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am Finder 1" sheetId="1" r:id="rId4"/>
    <sheet state="visible" name="Player Lookup 1" sheetId="2" r:id="rId5"/>
    <sheet state="visible" name="Player Lookup 2" sheetId="3" r:id="rId6"/>
    <sheet state="visible" name="Player Lookup 4" sheetId="4" r:id="rId7"/>
    <sheet state="visible" name="Player Comparison 1" sheetId="5" r:id="rId8"/>
    <sheet state="visible" name="Player Lookup 3" sheetId="6" r:id="rId9"/>
    <sheet state="visible" name="Player Lookup 5" sheetId="7" r:id="rId10"/>
    <sheet state="visible" name="Player Comparison 2" sheetId="8" r:id="rId11"/>
    <sheet state="visible" name="Player Lookup &amp; Forecast 1" sheetId="9" r:id="rId12"/>
    <sheet state="visible" name="Player Lookup &amp; Forecast 2" sheetId="10" r:id="rId13"/>
    <sheet state="visible" name="Career Projection 1" sheetId="11" r:id="rId14"/>
    <sheet state="hidden" name="Salary Cap" sheetId="12" r:id="rId15"/>
    <sheet state="hidden" name="Growth Summary" sheetId="13" r:id="rId16"/>
    <sheet state="hidden" name="Dropdowns" sheetId="14" r:id="rId17"/>
    <sheet state="visible" name="Career Projection 2" sheetId="15" r:id="rId18"/>
    <sheet state="visible" name="Query Tool" sheetId="16" r:id="rId19"/>
    <sheet state="visible" name="Data" sheetId="17" r:id="rId20"/>
    <sheet state="visible" name="Team Finder 2" sheetId="18" r:id="rId21"/>
    <sheet state="visible" name="Team Finder 3" sheetId="19" r:id="rId22"/>
    <sheet state="visible" name="09-20 Career Data" sheetId="20" r:id="rId23"/>
    <sheet state="visible" name="Team Values" sheetId="21" r:id="rId24"/>
    <sheet state="hidden" name="Year Conversion" sheetId="22" r:id="rId25"/>
  </sheets>
  <definedNames>
    <definedName hidden="1" localSheetId="19" name="_xlnm._FilterDatabase">'09-20 Career Data'!$A$1:$G$1429</definedName>
    <definedName hidden="1" localSheetId="20" name="_xlnm._FilterDatabase">'Team Values'!$A$1:$F$372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5">
      <text>
        <t xml:space="preserve">Among players with 250+ total minutes played on the season.
Looking at the relationship between higher impact players and those players playing more per game should provide a rough estimate of which teams play the most optimal lineups.
Using MPG instead of Minutes will reduce the impact of injuries on this analysis.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B5">
      <text>
        <t xml:space="preserve">These designations look at aggregate Wins Added (looking at LEBRON and minutes played) and compare the player's rank to the other players *that* season.
See table below for how rankings translate to various levels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B5">
      <text>
        <t xml:space="preserve">These designations look at aggregate Wins Added (looking at LEBRON and minutes played) and compare the player's rank to the other players *that* season.
See table below for how rankings translate to various levels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B5">
      <text>
        <t xml:space="preserve">These designations look at aggregate Wins Added (looking at LEBRON and minutes played) and compare the player's rank to the other players *that* season.
See table below for how rankings translate to various levels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B5">
      <text>
        <t xml:space="preserve">These designations look at aggregate Wins Added (looking at LEBRON and minutes played) and compare the player's rank to the other players *that* season.
See table below for how rankings translate to various levels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B5">
      <text>
        <t xml:space="preserve">These designations look at aggregate Wins Added (looking at LEBRON and minutes played) and compare the player's rank to the other players *that* season.
See table below for how rankings translate to various levels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5">
      <text>
        <t xml:space="preserve">Among players with 250+ total minutes played on the season.
Looking at the relationship between higher impact players and those players playing more per game should provide a rough estimate of which teams play the most optimal lineups.
Using MPG instead of Minutes will reduce the impact of injuries on this analysis.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5">
      <text>
        <t xml:space="preserve">Among players with 250+ total minutes played on the season.
Looking at the relationship between higher impact players and those players playing more per game should provide a rough estimate of which teams play the most optimal lineups.
Using MPG instead of Minutes will reduce the impact of injuries on this analysis.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">
      <text>
        <t xml:space="preserve">Values reflect a weighted average for the team using minutes to weigh players</t>
      </text>
    </comment>
  </commentList>
</comments>
</file>

<file path=xl/sharedStrings.xml><?xml version="1.0" encoding="utf-8"?>
<sst xmlns="http://schemas.openxmlformats.org/spreadsheetml/2006/main" count="3344" uniqueCount="1665">
  <si>
    <t>Team:</t>
  </si>
  <si>
    <t>BRK</t>
  </si>
  <si>
    <t>Player</t>
  </si>
  <si>
    <t>MPG</t>
  </si>
  <si>
    <t>Minutes</t>
  </si>
  <si>
    <t>Games</t>
  </si>
  <si>
    <t>Position</t>
  </si>
  <si>
    <t>Age</t>
  </si>
  <si>
    <t>LEBRON</t>
  </si>
  <si>
    <t>O-LEBRON</t>
  </si>
  <si>
    <t>D-LEBRON</t>
  </si>
  <si>
    <t>Wins Added</t>
  </si>
  <si>
    <t>Season</t>
  </si>
  <si>
    <t>2020-21</t>
  </si>
  <si>
    <t>CLE</t>
  </si>
  <si>
    <t>MIL</t>
  </si>
  <si>
    <t>Correlation of MPG to BRON</t>
  </si>
  <si>
    <t>MIA</t>
  </si>
  <si>
    <t>ORL</t>
  </si>
  <si>
    <t>GSW</t>
  </si>
  <si>
    <t>NOH</t>
  </si>
  <si>
    <t>NOP</t>
  </si>
  <si>
    <t>Team</t>
  </si>
  <si>
    <t>Correlation</t>
  </si>
  <si>
    <t>OKC</t>
  </si>
  <si>
    <t>HOU</t>
  </si>
  <si>
    <t>LAC</t>
  </si>
  <si>
    <t>SAS</t>
  </si>
  <si>
    <t>UTA</t>
  </si>
  <si>
    <t>CHI</t>
  </si>
  <si>
    <t>PHI</t>
  </si>
  <si>
    <t>TOR</t>
  </si>
  <si>
    <t>LAL</t>
  </si>
  <si>
    <t>MEM</t>
  </si>
  <si>
    <t>DEN</t>
  </si>
  <si>
    <t>BOS</t>
  </si>
  <si>
    <t>POR</t>
  </si>
  <si>
    <t>MIN</t>
  </si>
  <si>
    <t>This filtering method won't capture players who played for multiple teams in a season and are coded as "TOT" for team</t>
  </si>
  <si>
    <t>IND</t>
  </si>
  <si>
    <t>SAC</t>
  </si>
  <si>
    <t>DAL</t>
  </si>
  <si>
    <t>ATL</t>
  </si>
  <si>
    <t>DET</t>
  </si>
  <si>
    <t>PHO</t>
  </si>
  <si>
    <t>CHO</t>
  </si>
  <si>
    <t>TOT</t>
  </si>
  <si>
    <t>WAS</t>
  </si>
  <si>
    <t>NYK</t>
  </si>
  <si>
    <t>CHA</t>
  </si>
  <si>
    <t>NJN</t>
  </si>
  <si>
    <t>Player:</t>
  </si>
  <si>
    <t>James Harden</t>
  </si>
  <si>
    <t>Go HERE for a writeup on our LEBRON impact metric</t>
  </si>
  <si>
    <t>Metric Value</t>
  </si>
  <si>
    <t>Percentile (Player is higher than X% of NBA)</t>
  </si>
  <si>
    <t>Wins Added Level</t>
  </si>
  <si>
    <t>Found</t>
  </si>
  <si>
    <t>O-BRON</t>
  </si>
  <si>
    <t>D-BRON</t>
  </si>
  <si>
    <t>BRON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</si>
  <si>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</si>
  <si>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</si>
  <si>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</si>
  <si>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</si>
  <si>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</si>
  <si>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</si>
  <si>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</si>
  <si>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</si>
  <si>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</si>
  <si>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</si>
  <si>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</si>
  <si>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Min</t>
  </si>
  <si>
    <t>Max</t>
  </si>
  <si>
    <t>Wins Added Levels:</t>
  </si>
  <si>
    <t>MVP Candidate (Top 5)</t>
  </si>
  <si>
    <t>All NBA (Players 6-15)</t>
  </si>
  <si>
    <t>All Star (Players 16-24)</t>
  </si>
  <si>
    <t>Starter (Players 25-150)</t>
  </si>
  <si>
    <t>Rotation (Players 151-270)</t>
  </si>
  <si>
    <t>Bench (Players 271-360)</t>
  </si>
  <si>
    <t>Luck-adjusted player Estimate using a Box prior Regularized ON off is an impact metric leveraging luck-adjusted RAPM and Box Score data</t>
  </si>
  <si>
    <t>Fringe NBA (Players 361+)</t>
  </si>
  <si>
    <t>Luke Kennard</t>
  </si>
  <si>
    <t>Player 1:</t>
  </si>
  <si>
    <t>Mike Conley</t>
  </si>
  <si>
    <t>Player 2:</t>
  </si>
  <si>
    <t>Devin Booker</t>
  </si>
  <si>
    <t>Percentile</t>
  </si>
  <si>
    <t>Blake Griffin</t>
  </si>
  <si>
    <t>Tim Duncan</t>
  </si>
  <si>
    <t>Steve Nash</t>
  </si>
  <si>
    <t>Zach LaVine</t>
  </si>
  <si>
    <t>Pos</t>
  </si>
  <si>
    <t>MY O-BRON</t>
  </si>
  <si>
    <t>MY D-BRON</t>
  </si>
  <si>
    <t>Weight</t>
  </si>
  <si>
    <t>Forward-looking projections utilizing multi-year LEBRON values to forecast forward</t>
  </si>
  <si>
    <t>Multi-Year 2019-20</t>
  </si>
  <si>
    <t>Patty Mills</t>
  </si>
  <si>
    <t>Odds of a Wins Added Value Within the _______ Tier</t>
  </si>
  <si>
    <t>John Collins</t>
  </si>
  <si>
    <t>MP W</t>
  </si>
  <si>
    <t>Value Added</t>
  </si>
  <si>
    <t>Fringe</t>
  </si>
  <si>
    <t>Bench</t>
  </si>
  <si>
    <t>Rotation</t>
  </si>
  <si>
    <t>Starter</t>
  </si>
  <si>
    <t>All Star</t>
  </si>
  <si>
    <t>All NBA</t>
  </si>
  <si>
    <t>MVP Candidate</t>
  </si>
  <si>
    <t>Open Market</t>
  </si>
  <si>
    <t>MY-BRON</t>
  </si>
  <si>
    <t>Age^2</t>
  </si>
  <si>
    <t>Age^3</t>
  </si>
  <si>
    <t>Age^4</t>
  </si>
  <si>
    <t>Note: future $ valuations are based on projected future salary cap raises over time</t>
  </si>
  <si>
    <t>Mid-Level Exception</t>
  </si>
  <si>
    <t>Salary Cap</t>
  </si>
  <si>
    <t>Luxury Tax</t>
  </si>
  <si>
    <t>BAE</t>
  </si>
  <si>
    <t>Standard /
Non-Taxpayer</t>
  </si>
  <si>
    <t>Taxpayer</t>
  </si>
  <si>
    <t>Team Room /
Under Cap</t>
  </si>
  <si>
    <t>2027-2028</t>
  </si>
  <si>
    <t>2026-2027</t>
  </si>
  <si>
    <t>2025-2026</t>
  </si>
  <si>
    <t>2024-2025</t>
  </si>
  <si>
    <t>2023-2024</t>
  </si>
  <si>
    <t>2022-2023</t>
  </si>
  <si>
    <t>2021-2022</t>
  </si>
  <si>
    <t>2020-2021</t>
  </si>
  <si>
    <t>2019-2020</t>
  </si>
  <si>
    <t>2018-2019</t>
  </si>
  <si>
    <t>2017-2018</t>
  </si>
  <si>
    <t>2016-2017</t>
  </si>
  <si>
    <t>2015-2016</t>
  </si>
  <si>
    <t>2014-2015</t>
  </si>
  <si>
    <t>2013-2014</t>
  </si>
  <si>
    <t>2012-2013</t>
  </si>
  <si>
    <t>2011-2012</t>
  </si>
  <si>
    <t>2010-2011</t>
  </si>
  <si>
    <t>N/A</t>
  </si>
  <si>
    <t>2009-2010</t>
  </si>
  <si>
    <t>2008-2009</t>
  </si>
  <si>
    <t>2007-2008</t>
  </si>
  <si>
    <t>2006-2007</t>
  </si>
  <si>
    <t>2005-2006</t>
  </si>
  <si>
    <t>2004-2005</t>
  </si>
  <si>
    <t>2003-2004</t>
  </si>
  <si>
    <t>2002-2003</t>
  </si>
  <si>
    <t>2001-2002</t>
  </si>
  <si>
    <t>2000-2001</t>
  </si>
  <si>
    <t>1999-2000</t>
  </si>
  <si>
    <t>1998-1999</t>
  </si>
  <si>
    <t>1997-1998</t>
  </si>
  <si>
    <t>1996-1997</t>
  </si>
  <si>
    <t>1995-1996</t>
  </si>
  <si>
    <t>1994-1995</t>
  </si>
  <si>
    <t>1993-1994</t>
  </si>
  <si>
    <t>1992-1993</t>
  </si>
  <si>
    <t>1991-1992</t>
  </si>
  <si>
    <t>1990-1991</t>
  </si>
  <si>
    <t>1989-1990</t>
  </si>
  <si>
    <t>1988-1989</t>
  </si>
  <si>
    <t>1987-1988</t>
  </si>
  <si>
    <t>1986-1987</t>
  </si>
  <si>
    <t>1985-1986</t>
  </si>
  <si>
    <t>1984-1985</t>
  </si>
  <si>
    <t>SG</t>
  </si>
  <si>
    <t>Weighted Average Growth</t>
  </si>
  <si>
    <t>Weighted Average Growth - Smoothed</t>
  </si>
  <si>
    <t>Average Expected Growth</t>
  </si>
  <si>
    <t>Weighted Average Growth - Smoothed PG</t>
  </si>
  <si>
    <t>Weighted Average Growth - Smoothed SG</t>
  </si>
  <si>
    <t>Weighted Average Growth - Smoothed SF</t>
  </si>
  <si>
    <t>Weighted Average Growth - Smoothed PF</t>
  </si>
  <si>
    <t>Weighted Average Growth - Smoothed C</t>
  </si>
  <si>
    <t>Players</t>
  </si>
  <si>
    <t>Overall</t>
  </si>
  <si>
    <t>PG</t>
  </si>
  <si>
    <t>SF</t>
  </si>
  <si>
    <t>PF</t>
  </si>
  <si>
    <t>C</t>
  </si>
  <si>
    <t>Caliber</t>
  </si>
  <si>
    <t>Rank</t>
  </si>
  <si>
    <t>Avg Wins Added</t>
  </si>
  <si>
    <t>MVP</t>
  </si>
  <si>
    <t>Top 5</t>
  </si>
  <si>
    <t>All?</t>
  </si>
  <si>
    <t>Top 15</t>
  </si>
  <si>
    <t>Top 24</t>
  </si>
  <si>
    <t>16-24</t>
  </si>
  <si>
    <t>Top 150</t>
  </si>
  <si>
    <t>25-150</t>
  </si>
  <si>
    <t>Top 270</t>
  </si>
  <si>
    <t>151-270</t>
  </si>
  <si>
    <t>Top 360</t>
  </si>
  <si>
    <t>271-360</t>
  </si>
  <si>
    <t>Fringe NBA</t>
  </si>
  <si>
    <t>361+</t>
  </si>
  <si>
    <t>Andre Drummond</t>
  </si>
  <si>
    <t>Offensive Archetype</t>
  </si>
  <si>
    <t>Among Filtered Group</t>
  </si>
  <si>
    <t>Sort By:</t>
  </si>
  <si>
    <t>Maximum</t>
  </si>
  <si>
    <t>90th percentile</t>
  </si>
  <si>
    <t>75th percentile</t>
  </si>
  <si>
    <t>Position(s)</t>
  </si>
  <si>
    <t>Weighted Average</t>
  </si>
  <si>
    <t>All</t>
  </si>
  <si>
    <t>50th percentile</t>
  </si>
  <si>
    <t>25th percentile</t>
  </si>
  <si>
    <t>10th percentile</t>
  </si>
  <si>
    <t>Minimum</t>
  </si>
  <si>
    <t>Values shown may not necessarily be for the same player</t>
  </si>
  <si>
    <t>Please Note: Attempted copies of this tab won't be functional due to how the filters are set up</t>
  </si>
  <si>
    <t>Season(s)</t>
  </si>
  <si>
    <t>Minutes Minimum</t>
  </si>
  <si>
    <t>Age(s)</t>
  </si>
  <si>
    <t>From:</t>
  </si>
  <si>
    <t>To:</t>
  </si>
  <si>
    <t>Team(s)</t>
  </si>
  <si>
    <t>BKN</t>
  </si>
  <si>
    <t>PHX</t>
  </si>
  <si>
    <t>LEBRON Rank</t>
  </si>
  <si>
    <t>O-LEBRON Rank</t>
  </si>
  <si>
    <t>D-LEBRON Rank</t>
  </si>
  <si>
    <t>BRON Rk Year</t>
  </si>
  <si>
    <t>Query</t>
  </si>
  <si>
    <t>Pos True</t>
  </si>
  <si>
    <t>Season True</t>
  </si>
  <si>
    <t>Min True</t>
  </si>
  <si>
    <t>Age True</t>
  </si>
  <si>
    <t>Team True</t>
  </si>
  <si>
    <t>Name Code</t>
  </si>
  <si>
    <t>LEBRON Growth</t>
  </si>
  <si>
    <t>O-LEBRON Growth</t>
  </si>
  <si>
    <t>D-LEBRON Growth</t>
  </si>
  <si>
    <t>Team Code</t>
  </si>
  <si>
    <t>Seasons</t>
  </si>
  <si>
    <t>WA / Season</t>
  </si>
  <si>
    <t>Career LEBRON</t>
  </si>
  <si>
    <t>Career O-LEBRON</t>
  </si>
  <si>
    <t>Career D-LEBRON</t>
  </si>
  <si>
    <t>Jason Kidd</t>
  </si>
  <si>
    <t>Marcus Camby</t>
  </si>
  <si>
    <t>Ben Wallace</t>
  </si>
  <si>
    <t>Baron Davis</t>
  </si>
  <si>
    <t>Lamar Odom</t>
  </si>
  <si>
    <t>Brandon Roy</t>
  </si>
  <si>
    <t>Rasheed Wallace</t>
  </si>
  <si>
    <t>Jeff Foster</t>
  </si>
  <si>
    <t>Shaquille O'Neal</t>
  </si>
  <si>
    <t>Morris Almond</t>
  </si>
  <si>
    <t>Brad Miller</t>
  </si>
  <si>
    <t>Mehmet Okur</t>
  </si>
  <si>
    <t>Carlos Delfino</t>
  </si>
  <si>
    <t>Charles Brown Jr.</t>
  </si>
  <si>
    <t>Willie Warren</t>
  </si>
  <si>
    <t>Ryan Bowen</t>
  </si>
  <si>
    <t>Orien Greene</t>
  </si>
  <si>
    <t>Larry Owens</t>
  </si>
  <si>
    <t>Kelenna Azubuike</t>
  </si>
  <si>
    <t>Darington Hobson</t>
  </si>
  <si>
    <t>Keith Benson</t>
  </si>
  <si>
    <t>Ryan Reid</t>
  </si>
  <si>
    <t>Antonio Daniels</t>
  </si>
  <si>
    <t>Joe Alexander</t>
  </si>
  <si>
    <t>Jason Hart</t>
  </si>
  <si>
    <t>Rudy Fernandez</t>
  </si>
  <si>
    <t>Josh Akognon</t>
  </si>
  <si>
    <t>Paul Davis</t>
  </si>
  <si>
    <t>Patrick Ewing</t>
  </si>
  <si>
    <t>Gani Lawal</t>
  </si>
  <si>
    <t>Trey Gilder</t>
  </si>
  <si>
    <t>Dwayne Jones</t>
  </si>
  <si>
    <t>Carldell Johnson</t>
  </si>
  <si>
    <t>Antonio Anderson</t>
  </si>
  <si>
    <t>Pape Sy</t>
  </si>
  <si>
    <t>Jeff Foote</t>
  </si>
  <si>
    <t>Ronald Dupree</t>
  </si>
  <si>
    <t>Roko Ukic</t>
  </si>
  <si>
    <t>Vernon Macklin</t>
  </si>
  <si>
    <t>Oliver Lafayette</t>
  </si>
  <si>
    <t>Antonio McDyess</t>
  </si>
  <si>
    <t>Maurice Ager</t>
  </si>
  <si>
    <t>Mario West</t>
  </si>
  <si>
    <t>Taylor Griffin</t>
  </si>
  <si>
    <t>Derrick Byars</t>
  </si>
  <si>
    <t>Blake Ahearn</t>
  </si>
  <si>
    <t>Andre Emmett</t>
  </si>
  <si>
    <t>Marcus Haislip</t>
  </si>
  <si>
    <t>Tim Ohlbrecht</t>
  </si>
  <si>
    <t>Cedric Jackson</t>
  </si>
  <si>
    <t>Tracy McGrady</t>
  </si>
  <si>
    <t>Sundiata Gaines</t>
  </si>
  <si>
    <t>Marcus Cousin</t>
  </si>
  <si>
    <t>Rodrigue Beaubois</t>
  </si>
  <si>
    <t>Tyler Honeycutt</t>
  </si>
  <si>
    <t>Yao Ming</t>
  </si>
  <si>
    <t>Andy Rautins</t>
  </si>
  <si>
    <t>Jason Williams</t>
  </si>
  <si>
    <t>Kareem Rush</t>
  </si>
  <si>
    <t>Dennis Horner</t>
  </si>
  <si>
    <t>Jordan Williams</t>
  </si>
  <si>
    <t>Renaldo Balkman</t>
  </si>
  <si>
    <t>Garret Siler</t>
  </si>
  <si>
    <t>Fab Melo</t>
  </si>
  <si>
    <t>Othello Hunter</t>
  </si>
  <si>
    <t>Eric Dawson</t>
  </si>
  <si>
    <t>Patrick O'Bryant</t>
  </si>
  <si>
    <t>Mychel Thompson</t>
  </si>
  <si>
    <t>Luke Zeller</t>
  </si>
  <si>
    <t>Desmond Mason</t>
  </si>
  <si>
    <t>Travis Leslie</t>
  </si>
  <si>
    <t>Travis Diener</t>
  </si>
  <si>
    <t>Trey Johnson</t>
  </si>
  <si>
    <t>Kyle Weaver</t>
  </si>
  <si>
    <t>Anthony Parker</t>
  </si>
  <si>
    <t>Delonte West</t>
  </si>
  <si>
    <t>Sherron Collins</t>
  </si>
  <si>
    <t>Will Conroy</t>
  </si>
  <si>
    <t>Quentin Richardson</t>
  </si>
  <si>
    <t>Jerry Smith</t>
  </si>
  <si>
    <t>Solomon Alabi</t>
  </si>
  <si>
    <t>D.J. Kennedy</t>
  </si>
  <si>
    <t>Darryl Watkins</t>
  </si>
  <si>
    <t>Kris Joseph</t>
  </si>
  <si>
    <t>Sean Williams</t>
  </si>
  <si>
    <t>Ivan Johnson</t>
  </si>
  <si>
    <t>Kevin Murphy</t>
  </si>
  <si>
    <t>Jared Jeffries</t>
  </si>
  <si>
    <t>Edwin Ubiles</t>
  </si>
  <si>
    <t>Mike Bibby</t>
  </si>
  <si>
    <t>Yakhouba Diawara</t>
  </si>
  <si>
    <t>Marcus Banks</t>
  </si>
  <si>
    <t>Gilbert Arenas</t>
  </si>
  <si>
    <t>James Posey</t>
  </si>
  <si>
    <t>Devean George</t>
  </si>
  <si>
    <t>Jerome Dyson</t>
  </si>
  <si>
    <t>Hamed Haddadi</t>
  </si>
  <si>
    <t>Mike Wilks</t>
  </si>
  <si>
    <t>Sean May</t>
  </si>
  <si>
    <t>Erick Dampier</t>
  </si>
  <si>
    <t>Craig Smith</t>
  </si>
  <si>
    <t>Primoz Brezec</t>
  </si>
  <si>
    <t>Grant Hill</t>
  </si>
  <si>
    <t>Alando Tucker</t>
  </si>
  <si>
    <t>Troy Murphy</t>
  </si>
  <si>
    <t>Vladimir Radmanovic</t>
  </si>
  <si>
    <t>Chris Wilcox</t>
  </si>
  <si>
    <t>PJ Tucker</t>
  </si>
  <si>
    <t>Jamario Moon</t>
  </si>
  <si>
    <t>Brian Skinner</t>
  </si>
  <si>
    <t>Pops Mensah-Bonsu</t>
  </si>
  <si>
    <t>Justin Dentmon</t>
  </si>
  <si>
    <t>Randolph Morris</t>
  </si>
  <si>
    <t>Peja Stojakovic</t>
  </si>
  <si>
    <t>Ime Udoka</t>
  </si>
  <si>
    <t>Steven Hunter</t>
  </si>
  <si>
    <t>Oleksiy Pecherov</t>
  </si>
  <si>
    <t>Courtney Fortson</t>
  </si>
  <si>
    <t>Daniel Gibson</t>
  </si>
  <si>
    <t>Josh Davis</t>
  </si>
  <si>
    <t>Coby Karl</t>
  </si>
  <si>
    <t>Marcus Landry</t>
  </si>
  <si>
    <t>Craig Brackins</t>
  </si>
  <si>
    <t>Leon Powe</t>
  </si>
  <si>
    <t>Ben Uzoh</t>
  </si>
  <si>
    <t>Brian Cardinal</t>
  </si>
  <si>
    <t>Mickell Gladness</t>
  </si>
  <si>
    <t>Kenny Thomas</t>
  </si>
  <si>
    <t>Lindsey Hunter</t>
  </si>
  <si>
    <t>Tim Thomas</t>
  </si>
  <si>
    <t>Brian Cook</t>
  </si>
  <si>
    <t>Eddy Curry</t>
  </si>
  <si>
    <t>Kurt Thomas</t>
  </si>
  <si>
    <t>Josh Boone</t>
  </si>
  <si>
    <t>T.J. Ford</t>
  </si>
  <si>
    <t>David Andersen</t>
  </si>
  <si>
    <t>Donte Greene</t>
  </si>
  <si>
    <t>Chris Richard</t>
  </si>
  <si>
    <t>Trey Thompkins</t>
  </si>
  <si>
    <t>Corey Maggette</t>
  </si>
  <si>
    <t>James Singleton</t>
  </si>
  <si>
    <t>Anthony Johnson</t>
  </si>
  <si>
    <t>Charlie Bell</t>
  </si>
  <si>
    <t>Anthony Carter</t>
  </si>
  <si>
    <t>Jon Brockman</t>
  </si>
  <si>
    <t>Malik Hairston</t>
  </si>
  <si>
    <t>Eduardo Najera</t>
  </si>
  <si>
    <t>Keyon Dooling</t>
  </si>
  <si>
    <t>Julian Wright</t>
  </si>
  <si>
    <t>Mickael Pietrus</t>
  </si>
  <si>
    <t>Nenad Krstic</t>
  </si>
  <si>
    <t>Chris Quinn</t>
  </si>
  <si>
    <t>Ben Hansbrough</t>
  </si>
  <si>
    <t>Daequan Cook</t>
  </si>
  <si>
    <t>DeSagana Diop</t>
  </si>
  <si>
    <t>Jamaal Magloire</t>
  </si>
  <si>
    <t>Chris Hunter</t>
  </si>
  <si>
    <t>Shelden Williams</t>
  </si>
  <si>
    <t>Dominique Jones</t>
  </si>
  <si>
    <t>Joel Przybilla</t>
  </si>
  <si>
    <t>Zydrunas Ilgauskas</t>
  </si>
  <si>
    <t>Luther Head</t>
  </si>
  <si>
    <t>Lazar Hayward</t>
  </si>
  <si>
    <t>TJ Leaf</t>
  </si>
  <si>
    <t>Kwame Brown</t>
  </si>
  <si>
    <t>Pooh Jeter</t>
  </si>
  <si>
    <t>Zabian Dowdell</t>
  </si>
  <si>
    <t>Dan Gadzuric</t>
  </si>
  <si>
    <t>Mickael Gelabale</t>
  </si>
  <si>
    <t>Devin Ebanks</t>
  </si>
  <si>
    <t>DJ Mbenga</t>
  </si>
  <si>
    <t>Rasho Nesterovic</t>
  </si>
  <si>
    <t>Kevin Jones</t>
  </si>
  <si>
    <t>Darko Milicic</t>
  </si>
  <si>
    <t>Eddie House</t>
  </si>
  <si>
    <t>Marcus Morris</t>
  </si>
  <si>
    <t>Luke Harangody</t>
  </si>
  <si>
    <t>Earl Boykins</t>
  </si>
  <si>
    <t>Flip Murray</t>
  </si>
  <si>
    <t>Devin Brown</t>
  </si>
  <si>
    <t>Kim English</t>
  </si>
  <si>
    <t>Tony Battie</t>
  </si>
  <si>
    <t>Rodney Carney</t>
  </si>
  <si>
    <t>Ike Diogu</t>
  </si>
  <si>
    <t>Chucky Atkins</t>
  </si>
  <si>
    <t>Theo Ratliff</t>
  </si>
  <si>
    <t>Francisco Elson</t>
  </si>
  <si>
    <t>Luke Walton</t>
  </si>
  <si>
    <t>Mikki Moore</t>
  </si>
  <si>
    <t>Richard Hamilton</t>
  </si>
  <si>
    <t>Chris Duhon</t>
  </si>
  <si>
    <t>Darius Songaila</t>
  </si>
  <si>
    <t>Yi Jianlian</t>
  </si>
  <si>
    <t>Linas Kleiza</t>
  </si>
  <si>
    <t>Kyrylo Fesenko</t>
  </si>
  <si>
    <t>Darnell Jackson</t>
  </si>
  <si>
    <t>Antoine Wright</t>
  </si>
  <si>
    <t>Samardo Samuels</t>
  </si>
  <si>
    <t>Jerry Stackhouse</t>
  </si>
  <si>
    <t>Bobby Simmons</t>
  </si>
  <si>
    <t>JaJuan Johnson</t>
  </si>
  <si>
    <t>Christian Eyenga</t>
  </si>
  <si>
    <t>Jarron Collins</t>
  </si>
  <si>
    <t>Sean Marks</t>
  </si>
  <si>
    <t>Michael Frazier</t>
  </si>
  <si>
    <t>Larry Hughes</t>
  </si>
  <si>
    <t>DaJuan Summers</t>
  </si>
  <si>
    <t>DeShawn Stevenson</t>
  </si>
  <si>
    <t>Josh Howard</t>
  </si>
  <si>
    <t>Nathan Jawai</t>
  </si>
  <si>
    <t>Armon Johnson</t>
  </si>
  <si>
    <t>Derrick Brown</t>
  </si>
  <si>
    <t>Von Wafer</t>
  </si>
  <si>
    <t>Marcus Williams</t>
  </si>
  <si>
    <t>Andres Nocioni</t>
  </si>
  <si>
    <t>Matt Carroll</t>
  </si>
  <si>
    <t>Dominic McGuire</t>
  </si>
  <si>
    <t>Allen Iverson</t>
  </si>
  <si>
    <t>Marquis Daniels</t>
  </si>
  <si>
    <t>Johan Petro</t>
  </si>
  <si>
    <t>Charles Jenkins</t>
  </si>
  <si>
    <t>Michael Redd</t>
  </si>
  <si>
    <t>Kevin Ollie</t>
  </si>
  <si>
    <t>J.R. Giddens</t>
  </si>
  <si>
    <t>Derrick Caracter</t>
  </si>
  <si>
    <t>Fabricio Oberto</t>
  </si>
  <si>
    <t>Carlos Arroyo</t>
  </si>
  <si>
    <t>Al Thornton</t>
  </si>
  <si>
    <t>Gary Forbes</t>
  </si>
  <si>
    <t>Morris Peterson</t>
  </si>
  <si>
    <t>Semih Erden</t>
  </si>
  <si>
    <t>Sam Young</t>
  </si>
  <si>
    <t>Hakim Warrick</t>
  </si>
  <si>
    <t>Terrence Williams</t>
  </si>
  <si>
    <t>Rafer Alston</t>
  </si>
  <si>
    <t>James White</t>
  </si>
  <si>
    <t>Acie Law</t>
  </si>
  <si>
    <t>Joe Smith</t>
  </si>
  <si>
    <t>Jason Kapono</t>
  </si>
  <si>
    <t>Josh Selby</t>
  </si>
  <si>
    <t>Walker Russell</t>
  </si>
  <si>
    <t>Jonathan Bender</t>
  </si>
  <si>
    <t>Maurice Evans</t>
  </si>
  <si>
    <t>Sasha Pavlovic</t>
  </si>
  <si>
    <t>Etan Thomas</t>
  </si>
  <si>
    <t>Adam Morrison</t>
  </si>
  <si>
    <t>Michael Finley</t>
  </si>
  <si>
    <t>Brian Scalabrine</t>
  </si>
  <si>
    <t>Jermaine Taylor</t>
  </si>
  <si>
    <t>Quinton Ross</t>
  </si>
  <si>
    <t>Juwan Howard</t>
  </si>
  <si>
    <t>Raja Bell</t>
  </si>
  <si>
    <t>DeQuan Jones</t>
  </si>
  <si>
    <t>Joey Graham</t>
  </si>
  <si>
    <t>Mardy Collins</t>
  </si>
  <si>
    <t>Ricky Davis</t>
  </si>
  <si>
    <t>Terrel Harris</t>
  </si>
  <si>
    <t>Nolan Smith</t>
  </si>
  <si>
    <t>Stephen Graham</t>
  </si>
  <si>
    <t>Jarvis Hayes</t>
  </si>
  <si>
    <t>Jawad Williams</t>
  </si>
  <si>
    <t>Jonny Flynn</t>
  </si>
  <si>
    <t>Malik Allen</t>
  </si>
  <si>
    <t>Cory Higgins</t>
  </si>
  <si>
    <t>Trenton Hassell</t>
  </si>
  <si>
    <t>Stephen Curry</t>
  </si>
  <si>
    <t>Kawhi Leonard</t>
  </si>
  <si>
    <t>LeBron James</t>
  </si>
  <si>
    <t>Chris Paul</t>
  </si>
  <si>
    <t>Kevin Durant</t>
  </si>
  <si>
    <t>Anthony Davis</t>
  </si>
  <si>
    <t>Russell Westbrook</t>
  </si>
  <si>
    <t>Joel Embiid</t>
  </si>
  <si>
    <t>Nikola Jokic</t>
  </si>
  <si>
    <t>Rudy Gobert</t>
  </si>
  <si>
    <t>Kyle Lowry</t>
  </si>
  <si>
    <t>Giannis Antetokounmpo</t>
  </si>
  <si>
    <t>Draymond Green</t>
  </si>
  <si>
    <t>Damian Lillard</t>
  </si>
  <si>
    <t>DeMarcus Cousins</t>
  </si>
  <si>
    <t>Luka Doncic</t>
  </si>
  <si>
    <t>Paul George</t>
  </si>
  <si>
    <t>Jimmy Butler</t>
  </si>
  <si>
    <t>Hassan Whiteside</t>
  </si>
  <si>
    <t>Karl-Anthony Towns</t>
  </si>
  <si>
    <t>Kevin Love</t>
  </si>
  <si>
    <t>DeAndre Jordan</t>
  </si>
  <si>
    <t>Kemba Walker</t>
  </si>
  <si>
    <t>John Wall</t>
  </si>
  <si>
    <t>Paul Millsap</t>
  </si>
  <si>
    <t>LaMarcus Aldridge</t>
  </si>
  <si>
    <t>Jayson Tatum</t>
  </si>
  <si>
    <t>Kyrie Irving</t>
  </si>
  <si>
    <t>Eric Bledsoe</t>
  </si>
  <si>
    <t>Chris Bosh</t>
  </si>
  <si>
    <t>Ricky Rubio</t>
  </si>
  <si>
    <t>Kristaps Porzingis</t>
  </si>
  <si>
    <t>Jrue Holiday</t>
  </si>
  <si>
    <t>Marc Gasol</t>
  </si>
  <si>
    <t>Clint Capela</t>
  </si>
  <si>
    <t>Joakim Noah</t>
  </si>
  <si>
    <t>Jusuf Nurkic</t>
  </si>
  <si>
    <t>Dirk Nowitzki</t>
  </si>
  <si>
    <t>Manu Ginobili</t>
  </si>
  <si>
    <t>Christian Wood</t>
  </si>
  <si>
    <t>Danny Green</t>
  </si>
  <si>
    <t>Danilo Gallinari</t>
  </si>
  <si>
    <t>Gordon Hayward</t>
  </si>
  <si>
    <t>Ben Simmons</t>
  </si>
  <si>
    <t>Andrew Bogut</t>
  </si>
  <si>
    <t>Robert Covington</t>
  </si>
  <si>
    <t>Bam Adebayo</t>
  </si>
  <si>
    <t>Derrick White</t>
  </si>
  <si>
    <t>Fred VanVleet</t>
  </si>
  <si>
    <t>Dwight Howard</t>
  </si>
  <si>
    <t>Klay Thompson</t>
  </si>
  <si>
    <t>Boban Marjanovic</t>
  </si>
  <si>
    <t>Brook Lopez</t>
  </si>
  <si>
    <t>Alan Williams</t>
  </si>
  <si>
    <t>Khris Middleton</t>
  </si>
  <si>
    <t>Nikola Mirotic</t>
  </si>
  <si>
    <t>Al Horford</t>
  </si>
  <si>
    <t>Nikola Vucevic</t>
  </si>
  <si>
    <t>Mitchell Robinson</t>
  </si>
  <si>
    <t>Isaiah Thomas</t>
  </si>
  <si>
    <t>Kevin Garnett</t>
  </si>
  <si>
    <t>Derrick Favors</t>
  </si>
  <si>
    <t>Shane Battier</t>
  </si>
  <si>
    <t>George Hill</t>
  </si>
  <si>
    <t>Chris Boucher</t>
  </si>
  <si>
    <t>Eric Moreland</t>
  </si>
  <si>
    <t>DeMar DeRozan</t>
  </si>
  <si>
    <t>Otto Porter Jr.</t>
  </si>
  <si>
    <t>Salah Mejri</t>
  </si>
  <si>
    <t>Pau Gasol</t>
  </si>
  <si>
    <t>Andre Iguodala</t>
  </si>
  <si>
    <t>Donovan Mitchell</t>
  </si>
  <si>
    <t>Jarrett Allen</t>
  </si>
  <si>
    <t>David West</t>
  </si>
  <si>
    <t>Serge Ibaka</t>
  </si>
  <si>
    <t>Ivica Zubac</t>
  </si>
  <si>
    <t>Myles Turner</t>
  </si>
  <si>
    <t>Pascal Siakam</t>
  </si>
  <si>
    <t>Shawn Long</t>
  </si>
  <si>
    <t>Deron Williams</t>
  </si>
  <si>
    <t>David Lee</t>
  </si>
  <si>
    <t>Zion Williamson</t>
  </si>
  <si>
    <t>Tiago Splitter</t>
  </si>
  <si>
    <t>Victor Oladipo</t>
  </si>
  <si>
    <t>Patrick Beverley</t>
  </si>
  <si>
    <t>Michael Porter Jr.</t>
  </si>
  <si>
    <t>JaVale McGee</t>
  </si>
  <si>
    <t>Robert Williams III</t>
  </si>
  <si>
    <t>Al Jefferson</t>
  </si>
  <si>
    <t>Bradley Beal</t>
  </si>
  <si>
    <t>Jeff Withey</t>
  </si>
  <si>
    <t>Richaun Holmes</t>
  </si>
  <si>
    <t>Kyle O'Quinn</t>
  </si>
  <si>
    <t>CJ McCollum</t>
  </si>
  <si>
    <t>Steven Adams</t>
  </si>
  <si>
    <t>Jonas Valanciunas</t>
  </si>
  <si>
    <t>Nicolas Batum</t>
  </si>
  <si>
    <t>Xavier Tillman</t>
  </si>
  <si>
    <t>Daniel Theis</t>
  </si>
  <si>
    <t>Lucas Nogueira</t>
  </si>
  <si>
    <t>Jakob Poeltl</t>
  </si>
  <si>
    <t>Tyus Jones</t>
  </si>
  <si>
    <t>Jared Sullinger</t>
  </si>
  <si>
    <t>Duncan Robinson</t>
  </si>
  <si>
    <t>Montrezl Harrell</t>
  </si>
  <si>
    <t>Joe Ingles</t>
  </si>
  <si>
    <t>Michael Kidd-Gilchrist</t>
  </si>
  <si>
    <t>Zach Randolph</t>
  </si>
  <si>
    <t>Kira Lewis Jr.</t>
  </si>
  <si>
    <t>Jae Crowder</t>
  </si>
  <si>
    <t>Carmelo Anthony</t>
  </si>
  <si>
    <t>Chris Andersen</t>
  </si>
  <si>
    <t>Goran Dragic</t>
  </si>
  <si>
    <t>Brandan Wright</t>
  </si>
  <si>
    <t>Malcolm Brogdon</t>
  </si>
  <si>
    <t>Kyle Guy</t>
  </si>
  <si>
    <t>Brandon Clarke</t>
  </si>
  <si>
    <t>Donte DiVincenzo</t>
  </si>
  <si>
    <t>Al-Farouq Aminu</t>
  </si>
  <si>
    <t>Marcin Gortat</t>
  </si>
  <si>
    <t>Aaron Gordon</t>
  </si>
  <si>
    <t>Anderson Varejao</t>
  </si>
  <si>
    <t>Ty Lawson</t>
  </si>
  <si>
    <t>Jeff Teague</t>
  </si>
  <si>
    <t>Mason Plumlee</t>
  </si>
  <si>
    <t>Paul Pierce</t>
  </si>
  <si>
    <t>Marcus Smart</t>
  </si>
  <si>
    <t>Tony Allen</t>
  </si>
  <si>
    <t>Jahmi'us Ramsey</t>
  </si>
  <si>
    <t>Kenneth Faried</t>
  </si>
  <si>
    <t>Dejounte Murray</t>
  </si>
  <si>
    <t>Jonathan Isaac</t>
  </si>
  <si>
    <t>Devin Vassell</t>
  </si>
  <si>
    <t>Domantas Sabonis</t>
  </si>
  <si>
    <t>Mike James</t>
  </si>
  <si>
    <t>JJ Redick</t>
  </si>
  <si>
    <t>Naji Marshall</t>
  </si>
  <si>
    <t>Channing Frye</t>
  </si>
  <si>
    <t>Larry Nance Jr.</t>
  </si>
  <si>
    <t>De'Anthony Melton</t>
  </si>
  <si>
    <t>Nikola Pekovic</t>
  </si>
  <si>
    <t>Pierre Jackson</t>
  </si>
  <si>
    <t>Jamal Murray</t>
  </si>
  <si>
    <t>Matt Mooney</t>
  </si>
  <si>
    <t>Reggie Jackson</t>
  </si>
  <si>
    <t>DeMarre Carroll</t>
  </si>
  <si>
    <t>Delon Wright</t>
  </si>
  <si>
    <t>Josh McRoberts</t>
  </si>
  <si>
    <t>Trevor Ariza</t>
  </si>
  <si>
    <t>Brandon Jennings</t>
  </si>
  <si>
    <t>Immanuel Quickley</t>
  </si>
  <si>
    <t>Nene</t>
  </si>
  <si>
    <t>Alec Peters</t>
  </si>
  <si>
    <t>Davis Bertans</t>
  </si>
  <si>
    <t>Larry Sanders</t>
  </si>
  <si>
    <t>Rudy Gay</t>
  </si>
  <si>
    <t>Kyle Anderson</t>
  </si>
  <si>
    <t>Cody Zeller</t>
  </si>
  <si>
    <t>Greg Monroe</t>
  </si>
  <si>
    <t>Luke Kornet</t>
  </si>
  <si>
    <t>Spencer Dinwiddie</t>
  </si>
  <si>
    <t>Robert Woodard II</t>
  </si>
  <si>
    <t>Chris Chiozza</t>
  </si>
  <si>
    <t>Kenyon Martin</t>
  </si>
  <si>
    <t>Mario Chalmers</t>
  </si>
  <si>
    <t>Tyreke Evans</t>
  </si>
  <si>
    <t>Andre Roberson</t>
  </si>
  <si>
    <t>Dwight Powell</t>
  </si>
  <si>
    <t>Darren Collison</t>
  </si>
  <si>
    <t>Jeff Adrien</t>
  </si>
  <si>
    <t>Kelly Olynyk</t>
  </si>
  <si>
    <t>Lonzo Ball</t>
  </si>
  <si>
    <t>Carrick Felix</t>
  </si>
  <si>
    <t>Tyson Chandler</t>
  </si>
  <si>
    <t>Kyle Korver</t>
  </si>
  <si>
    <t>Patrick Patterson</t>
  </si>
  <si>
    <t>Cory Jefferson</t>
  </si>
  <si>
    <t>James Johnson</t>
  </si>
  <si>
    <t>Elfrid Payton</t>
  </si>
  <si>
    <t>Malik Newman</t>
  </si>
  <si>
    <t>Lou Williams</t>
  </si>
  <si>
    <t>Thomas Bryant</t>
  </si>
  <si>
    <t>Cole Aldrich</t>
  </si>
  <si>
    <t>Samuel Dalembert</t>
  </si>
  <si>
    <t>Nick Calathes</t>
  </si>
  <si>
    <t>Amir Johnson</t>
  </si>
  <si>
    <t>Chandler Parsons</t>
  </si>
  <si>
    <t>Jamaal Tinsley</t>
  </si>
  <si>
    <t>Eric Mika</t>
  </si>
  <si>
    <t>CJ Miles</t>
  </si>
  <si>
    <t>Royce O'Neale</t>
  </si>
  <si>
    <t>Mike Harris</t>
  </si>
  <si>
    <t>Justin James</t>
  </si>
  <si>
    <t>Willie Cauley-Stein</t>
  </si>
  <si>
    <t>Tobias Harris</t>
  </si>
  <si>
    <t>Mike Dunleavy</t>
  </si>
  <si>
    <t>Pero Antic</t>
  </si>
  <si>
    <t>Zaza Pachulia</t>
  </si>
  <si>
    <t>Devin Harris</t>
  </si>
  <si>
    <t>Jordan Bell</t>
  </si>
  <si>
    <t>Adonis Thomas</t>
  </si>
  <si>
    <t>Cameron Johnson</t>
  </si>
  <si>
    <t>Emeka Okafor</t>
  </si>
  <si>
    <t>Dorell Wright</t>
  </si>
  <si>
    <t>Luol Deng</t>
  </si>
  <si>
    <t>Kevon Looney</t>
  </si>
  <si>
    <t>Monte Morris</t>
  </si>
  <si>
    <t>Devon Dotson</t>
  </si>
  <si>
    <t>Marvin Williams</t>
  </si>
  <si>
    <t>Andris Biedrins</t>
  </si>
  <si>
    <t>Cody Martin</t>
  </si>
  <si>
    <t>Willie Reed</t>
  </si>
  <si>
    <t>Ronny Turiaf</t>
  </si>
  <si>
    <t>Darius Johnson-Odom</t>
  </si>
  <si>
    <t>J.J. Barea</t>
  </si>
  <si>
    <t>Tyler Cook</t>
  </si>
  <si>
    <t>Dewayne Dedmon</t>
  </si>
  <si>
    <t>Mikal Bridges</t>
  </si>
  <si>
    <t>Jeremiah Martin</t>
  </si>
  <si>
    <t>Ed Davis</t>
  </si>
  <si>
    <t>Tony Mitchell</t>
  </si>
  <si>
    <t>Jeremy Evans</t>
  </si>
  <si>
    <t>Jemerrio Jones</t>
  </si>
  <si>
    <t>Shayne Whittington</t>
  </si>
  <si>
    <t>Marques Bolden</t>
  </si>
  <si>
    <t>Alexey Shved</t>
  </si>
  <si>
    <t>Trae Young</t>
  </si>
  <si>
    <t>David Wear</t>
  </si>
  <si>
    <t>Sim Bhullar</t>
  </si>
  <si>
    <t>Chris Wright</t>
  </si>
  <si>
    <t>Rondae Hollis-Jefferson</t>
  </si>
  <si>
    <t>David Stockton</t>
  </si>
  <si>
    <t>Jack Cooley</t>
  </si>
  <si>
    <t>Royce White</t>
  </si>
  <si>
    <t>Jeremy Lamb</t>
  </si>
  <si>
    <t>Shane Edwards</t>
  </si>
  <si>
    <t>Danuel House Jr.</t>
  </si>
  <si>
    <t>Jaylen Brown</t>
  </si>
  <si>
    <t>Ersan Ilyasova</t>
  </si>
  <si>
    <t>Devonte' Graham</t>
  </si>
  <si>
    <t>Alex Caruso</t>
  </si>
  <si>
    <t>Moses Brown</t>
  </si>
  <si>
    <t>Vincent Hunter</t>
  </si>
  <si>
    <t>Nerlens Noel</t>
  </si>
  <si>
    <t>Wesley Matthews</t>
  </si>
  <si>
    <t>Josh Richardson</t>
  </si>
  <si>
    <t>Pablo Prigioni</t>
  </si>
  <si>
    <t>Ian Mahinmi</t>
  </si>
  <si>
    <t>Ja Morant</t>
  </si>
  <si>
    <t>Kentavious Caldwell-Pope</t>
  </si>
  <si>
    <t>Jaren Jackson Jr.</t>
  </si>
  <si>
    <t>Josh Hall</t>
  </si>
  <si>
    <t>Taj Gibson</t>
  </si>
  <si>
    <t>Mangok Mathiang</t>
  </si>
  <si>
    <t>Mo Bamba</t>
  </si>
  <si>
    <t>Gorgui Dieng</t>
  </si>
  <si>
    <t>Josh Magette</t>
  </si>
  <si>
    <t>Bruno Caboclo</t>
  </si>
  <si>
    <t>Marcus Paige</t>
  </si>
  <si>
    <t>Tahjere McCall</t>
  </si>
  <si>
    <t>Jarell Eddie</t>
  </si>
  <si>
    <t>Damion Lee</t>
  </si>
  <si>
    <t>Jaxson Hayes</t>
  </si>
  <si>
    <t>Joel Anthony</t>
  </si>
  <si>
    <t>Jordan Sibert</t>
  </si>
  <si>
    <t>Naz Reid</t>
  </si>
  <si>
    <t>Maxi Kleber</t>
  </si>
  <si>
    <t>Keith Bogans</t>
  </si>
  <si>
    <t>Ray Spalding</t>
  </si>
  <si>
    <t>Michael Gbinije</t>
  </si>
  <si>
    <t>Michael Carter-Williams</t>
  </si>
  <si>
    <t>Omari Johnson</t>
  </si>
  <si>
    <t>Rashard Lewis</t>
  </si>
  <si>
    <t>Thabo Sefolosha</t>
  </si>
  <si>
    <t>Ashton Hagans</t>
  </si>
  <si>
    <t>Precious Achiuwa</t>
  </si>
  <si>
    <t>Hilton Armstrong</t>
  </si>
  <si>
    <t>Josh Harrellson</t>
  </si>
  <si>
    <t>Alen Smailagic</t>
  </si>
  <si>
    <t>Phil Pressey</t>
  </si>
  <si>
    <t>Hamady Ndiaye</t>
  </si>
  <si>
    <t>Jaylen Hoard</t>
  </si>
  <si>
    <t>Louis King</t>
  </si>
  <si>
    <t>Nemanja Bjelica</t>
  </si>
  <si>
    <t>Jameel Warney</t>
  </si>
  <si>
    <t>Mitchell Creek</t>
  </si>
  <si>
    <t>Keldon Johnson</t>
  </si>
  <si>
    <t>Billy Garrett</t>
  </si>
  <si>
    <t>Justin Robinson</t>
  </si>
  <si>
    <t>Solomon Jones</t>
  </si>
  <si>
    <t>Jerrelle Benimon</t>
  </si>
  <si>
    <t>Ronnie Price</t>
  </si>
  <si>
    <t>Casper Ware</t>
  </si>
  <si>
    <t>Scotty Hopson</t>
  </si>
  <si>
    <t>Corey Brewer</t>
  </si>
  <si>
    <t>Josh Gray</t>
  </si>
  <si>
    <t>Dwyane Wade</t>
  </si>
  <si>
    <t>Tyrell Terry</t>
  </si>
  <si>
    <t>Emanuel Terry</t>
  </si>
  <si>
    <t>Monta Ellis</t>
  </si>
  <si>
    <t>DJ Stephens</t>
  </si>
  <si>
    <t>Grant Jerrett</t>
  </si>
  <si>
    <t>Justise Winslow</t>
  </si>
  <si>
    <t>Vince Carter</t>
  </si>
  <si>
    <t>Matt Williams Jr.</t>
  </si>
  <si>
    <t>Shai Gilgeous-Alexander</t>
  </si>
  <si>
    <t>Tristan Thompson</t>
  </si>
  <si>
    <t>De'Aaron Fox</t>
  </si>
  <si>
    <t>Jarnell Stokes</t>
  </si>
  <si>
    <t>Elijah Millsap</t>
  </si>
  <si>
    <t>Ignas Brazdeikis</t>
  </si>
  <si>
    <t>Paul Reed</t>
  </si>
  <si>
    <t>Ryan Anderson</t>
  </si>
  <si>
    <t>Andre Ingram</t>
  </si>
  <si>
    <t>Mychal Mulder</t>
  </si>
  <si>
    <t>Xavier Henry</t>
  </si>
  <si>
    <t>Bryce Dejean-Jones</t>
  </si>
  <si>
    <t>John Konchar</t>
  </si>
  <si>
    <t>Caris LeVert</t>
  </si>
  <si>
    <t>Nico Mannion</t>
  </si>
  <si>
    <t>Marcus Morris Sr.</t>
  </si>
  <si>
    <t>Scott Machado</t>
  </si>
  <si>
    <t>Tony Bradley</t>
  </si>
  <si>
    <t>Arinze Onuaku</t>
  </si>
  <si>
    <t>P.J. Tucker</t>
  </si>
  <si>
    <t>Wenyen Gabriel</t>
  </si>
  <si>
    <t>Garrison Mathews</t>
  </si>
  <si>
    <t>Devyn Marble</t>
  </si>
  <si>
    <t>Jarvis Varnado</t>
  </si>
  <si>
    <t>Jaylen Nowell</t>
  </si>
  <si>
    <t>Charlie Villanueva</t>
  </si>
  <si>
    <t>Chris Smith</t>
  </si>
  <si>
    <t>Gigi Datome</t>
  </si>
  <si>
    <t>Zach Lofton</t>
  </si>
  <si>
    <t>Lauri Markkanen</t>
  </si>
  <si>
    <t>Deni Avdija</t>
  </si>
  <si>
    <t>Brodric Thomas</t>
  </si>
  <si>
    <t>Josh Smith</t>
  </si>
  <si>
    <t>J.P. Macura</t>
  </si>
  <si>
    <t>Yante Maten</t>
  </si>
  <si>
    <t>Jeremy Lin</t>
  </si>
  <si>
    <t>Jacob Wiley</t>
  </si>
  <si>
    <t>Matt Barnes</t>
  </si>
  <si>
    <t>Ben Bentil</t>
  </si>
  <si>
    <t>Wendell Carter Jr.</t>
  </si>
  <si>
    <t>Jerel McNeal</t>
  </si>
  <si>
    <t>Joel Bolomboy</t>
  </si>
  <si>
    <t>Thaddeus Young</t>
  </si>
  <si>
    <t>Reggie Hearn</t>
  </si>
  <si>
    <t>Tacko Fall</t>
  </si>
  <si>
    <t>Luka Samanic</t>
  </si>
  <si>
    <t>Patrick Christopher</t>
  </si>
  <si>
    <t>Deandre Ayton</t>
  </si>
  <si>
    <t>Nick Collison</t>
  </si>
  <si>
    <t>Stanton Kidd</t>
  </si>
  <si>
    <t>Gary Harris</t>
  </si>
  <si>
    <t>Amile Jefferson</t>
  </si>
  <si>
    <t>Gian Clavell</t>
  </si>
  <si>
    <t>Keith Appling</t>
  </si>
  <si>
    <t>Walt Lemon Jr.</t>
  </si>
  <si>
    <t>Nigel Williams-Goss</t>
  </si>
  <si>
    <t>Jared Dudley</t>
  </si>
  <si>
    <t>DJ White</t>
  </si>
  <si>
    <t>George King</t>
  </si>
  <si>
    <t>DeJuan Blair</t>
  </si>
  <si>
    <t>Terrence Jones</t>
  </si>
  <si>
    <t>Malcolm Lee</t>
  </si>
  <si>
    <t>Lou Amundson</t>
  </si>
  <si>
    <t>Antawn Jamison</t>
  </si>
  <si>
    <t>Ish Smith</t>
  </si>
  <si>
    <t>Aron Baynes</t>
  </si>
  <si>
    <t>John Henson</t>
  </si>
  <si>
    <t>Kenyon Martin Jr.</t>
  </si>
  <si>
    <t>Joe Johnson</t>
  </si>
  <si>
    <t>Tomas Satoransky</t>
  </si>
  <si>
    <t>Othyus Jeffers</t>
  </si>
  <si>
    <t>Andre Miller</t>
  </si>
  <si>
    <t>Isaac Humphries</t>
  </si>
  <si>
    <t>Tony Parker</t>
  </si>
  <si>
    <t>Troy Caupain</t>
  </si>
  <si>
    <t>Willy Hernangomez</t>
  </si>
  <si>
    <t>Joey Dorsey</t>
  </si>
  <si>
    <t>Cory Joseph</t>
  </si>
  <si>
    <t>Shabazz Napier</t>
  </si>
  <si>
    <t>Devin Robinson</t>
  </si>
  <si>
    <t>Greivis Vasquez</t>
  </si>
  <si>
    <t>Justin Harper</t>
  </si>
  <si>
    <t>Mitch McGary</t>
  </si>
  <si>
    <t>Kyle Kuzma</t>
  </si>
  <si>
    <t>Adam Mokoka</t>
  </si>
  <si>
    <t>Brice Johnson</t>
  </si>
  <si>
    <t>Nigel Hayes</t>
  </si>
  <si>
    <t>Jalen Brunson</t>
  </si>
  <si>
    <t>Rawle Alkins</t>
  </si>
  <si>
    <t>JJ O'Brien</t>
  </si>
  <si>
    <t>Timofey Mozgov</t>
  </si>
  <si>
    <t>C.J. Watson</t>
  </si>
  <si>
    <t>Isaiah Hartenstein</t>
  </si>
  <si>
    <t>Jannero Pargo</t>
  </si>
  <si>
    <t>Duje Dukan</t>
  </si>
  <si>
    <t>Enes Kanter</t>
  </si>
  <si>
    <t>Shavlik Randolph</t>
  </si>
  <si>
    <t>Jameer Nelson</t>
  </si>
  <si>
    <t>Robin Lopez</t>
  </si>
  <si>
    <t>Elton Brand</t>
  </si>
  <si>
    <t>Bryce Cotton</t>
  </si>
  <si>
    <t>Shawne Williams</t>
  </si>
  <si>
    <t>Kadeem Allen</t>
  </si>
  <si>
    <t>Kalin Lucas</t>
  </si>
  <si>
    <t>Jason Richardson</t>
  </si>
  <si>
    <t>Trey Lyles</t>
  </si>
  <si>
    <t>Tariq Owens</t>
  </si>
  <si>
    <t>James Southerland</t>
  </si>
  <si>
    <t>Bonzie Colson</t>
  </si>
  <si>
    <t>Donta Hall</t>
  </si>
  <si>
    <t>Vander Blue</t>
  </si>
  <si>
    <t>Dusty Hannahs</t>
  </si>
  <si>
    <t>Kosta Koufos</t>
  </si>
  <si>
    <t>Cliff Alexander</t>
  </si>
  <si>
    <t>Drew Gooden</t>
  </si>
  <si>
    <t>Festus Ezeli</t>
  </si>
  <si>
    <t>Jarrod Uthoff</t>
  </si>
  <si>
    <t>Payton Pritchard</t>
  </si>
  <si>
    <t>Alex Stepheson</t>
  </si>
  <si>
    <t>Anthony Randolph</t>
  </si>
  <si>
    <t>Jonah Bolden</t>
  </si>
  <si>
    <t>DaQuan Jeffries</t>
  </si>
  <si>
    <t>Matt Bonner</t>
  </si>
  <si>
    <t>Tyler Bey</t>
  </si>
  <si>
    <t>Glen Rice</t>
  </si>
  <si>
    <t>Angel Delgado</t>
  </si>
  <si>
    <t>Pat Connaughton</t>
  </si>
  <si>
    <t>Josh Green</t>
  </si>
  <si>
    <t>Xavier Silas</t>
  </si>
  <si>
    <t>Matt Costello</t>
  </si>
  <si>
    <t>Russ Smith</t>
  </si>
  <si>
    <t>Markieff Morris</t>
  </si>
  <si>
    <t>Eric Gordon</t>
  </si>
  <si>
    <t>Jarred Vanderbilt</t>
  </si>
  <si>
    <t>Chris Johnson</t>
  </si>
  <si>
    <t>Nate Wolters</t>
  </si>
  <si>
    <t>Isaac Bonga</t>
  </si>
  <si>
    <t>Maurice Harkless</t>
  </si>
  <si>
    <t>OG Anunoby</t>
  </si>
  <si>
    <t>Dakari Johnson</t>
  </si>
  <si>
    <t>Jared Harper</t>
  </si>
  <si>
    <t>Tre Jones</t>
  </si>
  <si>
    <t>Anthony Gill</t>
  </si>
  <si>
    <t>LaMelo Ball</t>
  </si>
  <si>
    <t>Mirza Teletovic</t>
  </si>
  <si>
    <t>Terrence Ross</t>
  </si>
  <si>
    <t>D'Angelo Russell</t>
  </si>
  <si>
    <t>Kostas Antetokounmpo</t>
  </si>
  <si>
    <t>Josh Childress</t>
  </si>
  <si>
    <t>Jordan Adams</t>
  </si>
  <si>
    <t>Will Barton</t>
  </si>
  <si>
    <t>Jeremy Pargo</t>
  </si>
  <si>
    <t>Erik McCree</t>
  </si>
  <si>
    <t>Tyler Hansbrough</t>
  </si>
  <si>
    <t>Kenrich Williams</t>
  </si>
  <si>
    <t>Dennis Schroder</t>
  </si>
  <si>
    <t>Joe Chealey</t>
  </si>
  <si>
    <t>Omer Asik</t>
  </si>
  <si>
    <t>Rajon Rondo</t>
  </si>
  <si>
    <t>Metta World Peace</t>
  </si>
  <si>
    <t>Seth Curry</t>
  </si>
  <si>
    <t>Matisse Thybulle</t>
  </si>
  <si>
    <t>Toney Douglas</t>
  </si>
  <si>
    <t>Marquese Chriss</t>
  </si>
  <si>
    <t>Darrell Arthur</t>
  </si>
  <si>
    <t>Isaiah Joe</t>
  </si>
  <si>
    <t>Daniel Oturu</t>
  </si>
  <si>
    <t>Omri Casspi</t>
  </si>
  <si>
    <t>William Howard</t>
  </si>
  <si>
    <t>Stephen Zimmerman</t>
  </si>
  <si>
    <t>Milton Doyle</t>
  </si>
  <si>
    <t>Martell Webster</t>
  </si>
  <si>
    <t>Justin Wright-Foreman</t>
  </si>
  <si>
    <t>Donte Grantham</t>
  </si>
  <si>
    <t>Johnathan Motley</t>
  </si>
  <si>
    <t>Andre Dawkins</t>
  </si>
  <si>
    <t>Kevin Hervey</t>
  </si>
  <si>
    <t>Derrick Jones Jr.</t>
  </si>
  <si>
    <t>Facundo Campazzo</t>
  </si>
  <si>
    <t>Rodney Hood</t>
  </si>
  <si>
    <t>Jalen Smith</t>
  </si>
  <si>
    <t>Cassius Winston</t>
  </si>
  <si>
    <t>Justin Holiday</t>
  </si>
  <si>
    <t>Anthony Tolliver</t>
  </si>
  <si>
    <t>Steve Novak</t>
  </si>
  <si>
    <t>Cassius Stanley</t>
  </si>
  <si>
    <t>Josh Reaves</t>
  </si>
  <si>
    <t>Lavoy Allen</t>
  </si>
  <si>
    <t>Matthew Dellavedova</t>
  </si>
  <si>
    <t>Daniel Orton</t>
  </si>
  <si>
    <t>Kobe Bryant</t>
  </si>
  <si>
    <t>JR Smith</t>
  </si>
  <si>
    <t>Zach Norvell Jr.</t>
  </si>
  <si>
    <t>Damien Inglis</t>
  </si>
  <si>
    <t>Tim Quarterman</t>
  </si>
  <si>
    <t>Mfiondu Kabengele</t>
  </si>
  <si>
    <t>Tyler Davis</t>
  </si>
  <si>
    <t>JaMychal Green</t>
  </si>
  <si>
    <t>Xavier Munford</t>
  </si>
  <si>
    <t>Mike Muscala</t>
  </si>
  <si>
    <t>Jabari Bird</t>
  </si>
  <si>
    <t>Patricio Garino</t>
  </si>
  <si>
    <t>Tyrus Thomas</t>
  </si>
  <si>
    <t>Daryl Macon</t>
  </si>
  <si>
    <t>Tim Hardaway Jr.</t>
  </si>
  <si>
    <t>Jordan McLaughlin</t>
  </si>
  <si>
    <t>Dorian Finney-Smith</t>
  </si>
  <si>
    <t>Melvin Ely</t>
  </si>
  <si>
    <t>Frank Kaminsky</t>
  </si>
  <si>
    <t>Devontae Cacok</t>
  </si>
  <si>
    <t>Shake Milton</t>
  </si>
  <si>
    <t>AJ Hammons</t>
  </si>
  <si>
    <t>Nate Robinson</t>
  </si>
  <si>
    <t>T.J. Warren</t>
  </si>
  <si>
    <t>Terence Davis</t>
  </si>
  <si>
    <t>Talen Horton-Tucker</t>
  </si>
  <si>
    <t>Kent Bazemore</t>
  </si>
  <si>
    <t>Zhaire Smith</t>
  </si>
  <si>
    <t>Chimezie Metu</t>
  </si>
  <si>
    <t>Jonas Jerebko</t>
  </si>
  <si>
    <t>Tyler Johnson</t>
  </si>
  <si>
    <t>Alexis Ajinca</t>
  </si>
  <si>
    <t>Alize Johnson</t>
  </si>
  <si>
    <t>Henry Ellenson</t>
  </si>
  <si>
    <t>Trevon Duval</t>
  </si>
  <si>
    <t>Gustavo Ayon</t>
  </si>
  <si>
    <t>Kris Dunn</t>
  </si>
  <si>
    <t>Jan Vesely</t>
  </si>
  <si>
    <t>Dexter Pittman</t>
  </si>
  <si>
    <t>Markelle Fultz</t>
  </si>
  <si>
    <t>Miroslav Raduljica</t>
  </si>
  <si>
    <t>Jarrell Brantley</t>
  </si>
  <si>
    <t>Trey McKinney-Jones</t>
  </si>
  <si>
    <t>Jon Leuer</t>
  </si>
  <si>
    <t>KZ Okpala</t>
  </si>
  <si>
    <t>Kyle Collinsworth</t>
  </si>
  <si>
    <t>Boris Diaw</t>
  </si>
  <si>
    <t>Yogi Ferrell</t>
  </si>
  <si>
    <t>Devon Hall</t>
  </si>
  <si>
    <t>Davon Reed</t>
  </si>
  <si>
    <t>Cheick Diallo</t>
  </si>
  <si>
    <t>Ryan Kelly</t>
  </si>
  <si>
    <t>Elias Harris</t>
  </si>
  <si>
    <t>Johnathan Williams</t>
  </si>
  <si>
    <t>Milos Teodosic</t>
  </si>
  <si>
    <t>Derek Fisher</t>
  </si>
  <si>
    <t>Antonius Cleveland</t>
  </si>
  <si>
    <t>Ty-Shon Alexander</t>
  </si>
  <si>
    <t>Jalen Lecque</t>
  </si>
  <si>
    <t>Sasha Vujacic</t>
  </si>
  <si>
    <t>Luis Montero</t>
  </si>
  <si>
    <t>Marial Shayok</t>
  </si>
  <si>
    <t>Josh Hart</t>
  </si>
  <si>
    <t>Nickeil Alexander-Walker</t>
  </si>
  <si>
    <t>Brian Bowen II</t>
  </si>
  <si>
    <t>Spencer Hawes</t>
  </si>
  <si>
    <t>Alex Len</t>
  </si>
  <si>
    <t>Daniel Gafford</t>
  </si>
  <si>
    <t>Mike Tobey</t>
  </si>
  <si>
    <t>Beno Udrih</t>
  </si>
  <si>
    <t>Dewan Hernandez</t>
  </si>
  <si>
    <t>Dionte Christmas</t>
  </si>
  <si>
    <t>Damion James</t>
  </si>
  <si>
    <t>Andrei Kirilenko</t>
  </si>
  <si>
    <t>Nate Hinton</t>
  </si>
  <si>
    <t>Paul Watson</t>
  </si>
  <si>
    <t>Dario Saric</t>
  </si>
  <si>
    <t>Kyle Alexander</t>
  </si>
  <si>
    <t>Norvel Pelle</t>
  </si>
  <si>
    <t>Andrew Wiggins</t>
  </si>
  <si>
    <t>Roy Hibbert</t>
  </si>
  <si>
    <t>Nick Richards</t>
  </si>
  <si>
    <t>Vlatko Cancar</t>
  </si>
  <si>
    <t>Tim Frazier</t>
  </si>
  <si>
    <t>AJ Price</t>
  </si>
  <si>
    <t>Trevor Booker</t>
  </si>
  <si>
    <t>London Perrantes</t>
  </si>
  <si>
    <t>Brandon Ingram</t>
  </si>
  <si>
    <t>Chuck Hayes</t>
  </si>
  <si>
    <t>Jalen Harris</t>
  </si>
  <si>
    <t>Justin Patton</t>
  </si>
  <si>
    <t>Tarik Black</t>
  </si>
  <si>
    <t>Lorenzo Brown</t>
  </si>
  <si>
    <t>Kelly Oubre Jr.</t>
  </si>
  <si>
    <t>Iman Shumpert</t>
  </si>
  <si>
    <t>Zylan Cheatham</t>
  </si>
  <si>
    <t>Vincent Edwards</t>
  </si>
  <si>
    <t>Cameron Bairstow</t>
  </si>
  <si>
    <t>Andrew Goudelock</t>
  </si>
  <si>
    <t>Jacob Pullen</t>
  </si>
  <si>
    <t>T.J. McConnell</t>
  </si>
  <si>
    <t>DeVaughn Akoon-Purcell</t>
  </si>
  <si>
    <t>Nazr Mohammed</t>
  </si>
  <si>
    <t>Josh Huestis</t>
  </si>
  <si>
    <t>Markus Howard</t>
  </si>
  <si>
    <t>Nando De Colo</t>
  </si>
  <si>
    <t>BJ Johnson</t>
  </si>
  <si>
    <t>Henry Walker</t>
  </si>
  <si>
    <t>Vernon Carey Jr.</t>
  </si>
  <si>
    <t>Justin Anderson</t>
  </si>
  <si>
    <t>Ray Allen</t>
  </si>
  <si>
    <t>Zoran Dragic</t>
  </si>
  <si>
    <t>Tyler Zeller</t>
  </si>
  <si>
    <t>Ike Anigbogu</t>
  </si>
  <si>
    <t>Donald Sloan</t>
  </si>
  <si>
    <t>Marreese Speights</t>
  </si>
  <si>
    <t>Yuta Watanabe</t>
  </si>
  <si>
    <t>James Webb III</t>
  </si>
  <si>
    <t>Sam Merrill</t>
  </si>
  <si>
    <t>Derrick Rose</t>
  </si>
  <si>
    <t>Brad Wanamaker</t>
  </si>
  <si>
    <t>Coty Clarke</t>
  </si>
  <si>
    <t>Jalen Jones</t>
  </si>
  <si>
    <t>Thomas Robinson</t>
  </si>
  <si>
    <t>Bismack Biyombo</t>
  </si>
  <si>
    <t>Julius Randle</t>
  </si>
  <si>
    <t>Thomas Welsh</t>
  </si>
  <si>
    <t>Jason Thompson</t>
  </si>
  <si>
    <t>Harrison Barnes</t>
  </si>
  <si>
    <t>Demetrius Jackson</t>
  </si>
  <si>
    <t>Chris McCullough</t>
  </si>
  <si>
    <t>Chris Silva</t>
  </si>
  <si>
    <t>Ante Zizic</t>
  </si>
  <si>
    <t>Ben Moore</t>
  </si>
  <si>
    <t>Maurice Ndour</t>
  </si>
  <si>
    <t>Sergey Karasev</t>
  </si>
  <si>
    <t>Shamorie Ponds</t>
  </si>
  <si>
    <t>James Nunnally</t>
  </si>
  <si>
    <t>Deividas Sirvydis</t>
  </si>
  <si>
    <t>Julyan Stone</t>
  </si>
  <si>
    <t>Svi Mykhailiuk</t>
  </si>
  <si>
    <t>Jordan Mickey</t>
  </si>
  <si>
    <t>PJ Dozier</t>
  </si>
  <si>
    <t>Jabari Parker</t>
  </si>
  <si>
    <t>Drew Eubanks</t>
  </si>
  <si>
    <t>James Wiseman</t>
  </si>
  <si>
    <t>Chris Babb</t>
  </si>
  <si>
    <t>Andrew Bynum</t>
  </si>
  <si>
    <t>Khem Birch</t>
  </si>
  <si>
    <t>D.J. Wilson</t>
  </si>
  <si>
    <t>Cameron Payne</t>
  </si>
  <si>
    <t>Jaylen Morris</t>
  </si>
  <si>
    <t>Edy Tavares</t>
  </si>
  <si>
    <t>Kris Humphries</t>
  </si>
  <si>
    <t>Shawn Marion</t>
  </si>
  <si>
    <t>Reggie Williams</t>
  </si>
  <si>
    <t>Jerami Grant</t>
  </si>
  <si>
    <t>Dakota Mathias</t>
  </si>
  <si>
    <t>Tibor Pleiss</t>
  </si>
  <si>
    <t>Skal Labissiere</t>
  </si>
  <si>
    <t>Taurean Prince</t>
  </si>
  <si>
    <t>Josh Powell</t>
  </si>
  <si>
    <t>Sergio Rodriguez</t>
  </si>
  <si>
    <t>Will Cherry</t>
  </si>
  <si>
    <t>Ekpe Udoh</t>
  </si>
  <si>
    <t>Guerschon Yabusele</t>
  </si>
  <si>
    <t>Jevon Carter</t>
  </si>
  <si>
    <t>Caron Butler</t>
  </si>
  <si>
    <t>Chuma Okeke</t>
  </si>
  <si>
    <t>Courtney Lee</t>
  </si>
  <si>
    <t>Xavier Rathan-Mayes</t>
  </si>
  <si>
    <t>Andrew Harrison</t>
  </si>
  <si>
    <t>Karim Mane</t>
  </si>
  <si>
    <t>Royal Ivey</t>
  </si>
  <si>
    <t>Luis Scola</t>
  </si>
  <si>
    <t>Juwan Morgan</t>
  </si>
  <si>
    <t>Josh Okogie</t>
  </si>
  <si>
    <t>Thon Maker</t>
  </si>
  <si>
    <t>Alex Kirk</t>
  </si>
  <si>
    <t>Thanasis Antetokounmpo</t>
  </si>
  <si>
    <t>Jamil Wilson</t>
  </si>
  <si>
    <t>Evan Fournier</t>
  </si>
  <si>
    <t>Jaden McDaniels</t>
  </si>
  <si>
    <t>Andray Blatche</t>
  </si>
  <si>
    <t>Brandon Knight</t>
  </si>
  <si>
    <t>D.J. Augustin</t>
  </si>
  <si>
    <t>Amar'e Stoudemire</t>
  </si>
  <si>
    <t>Gabe Vincent</t>
  </si>
  <si>
    <t>Bobby Portis</t>
  </si>
  <si>
    <t>Bernard James</t>
  </si>
  <si>
    <t>Miles Plumlee</t>
  </si>
  <si>
    <t>R.J. Hampton</t>
  </si>
  <si>
    <t>Mustafa Shakur</t>
  </si>
  <si>
    <t>Shaquille Harrison</t>
  </si>
  <si>
    <t>Vic Law</t>
  </si>
  <si>
    <t>Aaron Holiday</t>
  </si>
  <si>
    <t>Avery Bradley</t>
  </si>
  <si>
    <t>Kendall Marshall</t>
  </si>
  <si>
    <t>Onyeka Okongwu</t>
  </si>
  <si>
    <t>Chinanu Onuaku</t>
  </si>
  <si>
    <t>Gary Payton II</t>
  </si>
  <si>
    <t>Steve Blake</t>
  </si>
  <si>
    <t>Jordan Loyd</t>
  </si>
  <si>
    <t>Trent Forrest</t>
  </si>
  <si>
    <t>Quinndary Weatherspoon</t>
  </si>
  <si>
    <t>Sasha Kaun</t>
  </si>
  <si>
    <t>Dean Wade</t>
  </si>
  <si>
    <t>Naz Mitrou-Long</t>
  </si>
  <si>
    <t>Bol Bol</t>
  </si>
  <si>
    <t>Jerian Grant</t>
  </si>
  <si>
    <t>Charles Cooke</t>
  </si>
  <si>
    <t>Donatas Motiejunas</t>
  </si>
  <si>
    <t>Arnett Moultrie</t>
  </si>
  <si>
    <t>Bogdan Bogdanovic</t>
  </si>
  <si>
    <t>Daniel Hamilton</t>
  </si>
  <si>
    <t>Viacheslav Kravtsov</t>
  </si>
  <si>
    <t>Trey Burke</t>
  </si>
  <si>
    <t>Shaun Livingston</t>
  </si>
  <si>
    <t>Ryan Gomes</t>
  </si>
  <si>
    <t>Juan Toscano-Anderson</t>
  </si>
  <si>
    <t>Norman Powell</t>
  </si>
  <si>
    <t>Khyri Thomas</t>
  </si>
  <si>
    <t>Kirk Hinrich</t>
  </si>
  <si>
    <t>Sam Dekker</t>
  </si>
  <si>
    <t>Gerald Henderson</t>
  </si>
  <si>
    <t>Marcus Thornton</t>
  </si>
  <si>
    <t>Tyler Cavanaugh</t>
  </si>
  <si>
    <t>Jordan McRae</t>
  </si>
  <si>
    <t>Furkan Korkmaz</t>
  </si>
  <si>
    <t>Brandon Bass</t>
  </si>
  <si>
    <t>Aaron Jackson</t>
  </si>
  <si>
    <t>Daniel Ochefu</t>
  </si>
  <si>
    <t>Wayne Ellington</t>
  </si>
  <si>
    <t>Terry Rozier</t>
  </si>
  <si>
    <t>Reggie Perry</t>
  </si>
  <si>
    <t>Justin Hamilton</t>
  </si>
  <si>
    <t>Vitor Faverani</t>
  </si>
  <si>
    <t>David Nwaba</t>
  </si>
  <si>
    <t>Marcus Derrickson</t>
  </si>
  <si>
    <t>Victor Claver</t>
  </si>
  <si>
    <t>Markel Brown</t>
  </si>
  <si>
    <t>Zeke Nnaji</t>
  </si>
  <si>
    <t>Anthony Morrow</t>
  </si>
  <si>
    <t>Marshall Plumlee</t>
  </si>
  <si>
    <t>Stanley Johnson</t>
  </si>
  <si>
    <t>Nicolas Brussino</t>
  </si>
  <si>
    <t>Chauncey Billups</t>
  </si>
  <si>
    <t>Jake Layman</t>
  </si>
  <si>
    <t>Lamar Stevens</t>
  </si>
  <si>
    <t>Buddy Hield</t>
  </si>
  <si>
    <t>Jordan Crawford</t>
  </si>
  <si>
    <t>Noah Vonleh</t>
  </si>
  <si>
    <t>Gerald Green</t>
  </si>
  <si>
    <t>John Holland</t>
  </si>
  <si>
    <t>Saben Lee</t>
  </si>
  <si>
    <t>Axel Toupane</t>
  </si>
  <si>
    <t>Joe Harris</t>
  </si>
  <si>
    <t>Tyler Ulis</t>
  </si>
  <si>
    <t>Wilson Chandler</t>
  </si>
  <si>
    <t>Dion Waiters</t>
  </si>
  <si>
    <t>Torrey Craig</t>
  </si>
  <si>
    <t>Nick Young</t>
  </si>
  <si>
    <t>Keljin Blevins</t>
  </si>
  <si>
    <t>Jose Calderon</t>
  </si>
  <si>
    <t>Haywood Highsmith</t>
  </si>
  <si>
    <t>Theo Pinson</t>
  </si>
  <si>
    <t>Nicolas Claxton</t>
  </si>
  <si>
    <t>Diamond Stone</t>
  </si>
  <si>
    <t>Amir Coffey</t>
  </si>
  <si>
    <t>Malik Beasley</t>
  </si>
  <si>
    <t>Mo Williams</t>
  </si>
  <si>
    <t>Wesley Johnson</t>
  </si>
  <si>
    <t>Randy Foye</t>
  </si>
  <si>
    <t>Rodney McGruder</t>
  </si>
  <si>
    <t>Vincent Poirier</t>
  </si>
  <si>
    <t>Tyrese Maxey</t>
  </si>
  <si>
    <t>Quincy Acy</t>
  </si>
  <si>
    <t>Jamel Artis</t>
  </si>
  <si>
    <t>Alec Burks</t>
  </si>
  <si>
    <t>Frank Mason</t>
  </si>
  <si>
    <t>Raymond Felton</t>
  </si>
  <si>
    <t>C.J. Williams</t>
  </si>
  <si>
    <t>Tyrese Haliburton</t>
  </si>
  <si>
    <t>Georgios Papagiannis</t>
  </si>
  <si>
    <t>Ryan Broekhoff</t>
  </si>
  <si>
    <t>Drew Gordon</t>
  </si>
  <si>
    <t>Jason Maxiell</t>
  </si>
  <si>
    <t>Garrett Temple</t>
  </si>
  <si>
    <t>Jaron Blossomgame</t>
  </si>
  <si>
    <t>Jamaal Franklin</t>
  </si>
  <si>
    <t>Ron Baker</t>
  </si>
  <si>
    <t>Brandon Goodwin</t>
  </si>
  <si>
    <t>Reggie Evans</t>
  </si>
  <si>
    <t>C.J. Wilcox</t>
  </si>
  <si>
    <t>Ivan Rabb</t>
  </si>
  <si>
    <t>Raul Neto</t>
  </si>
  <si>
    <t>Meyers Leonard</t>
  </si>
  <si>
    <t>Malachi Flynn</t>
  </si>
  <si>
    <t>Luc Mbah a Moute</t>
  </si>
  <si>
    <t>Jordan Hamilton</t>
  </si>
  <si>
    <t>Nassir Little</t>
  </si>
  <si>
    <t>Alex Poythress</t>
  </si>
  <si>
    <t>Gerald Wallace</t>
  </si>
  <si>
    <t>Danny Granger</t>
  </si>
  <si>
    <t>Malachi Richardson</t>
  </si>
  <si>
    <t>Myke Henry</t>
  </si>
  <si>
    <t>Rayjon Tucker</t>
  </si>
  <si>
    <t>Aaron Harrison</t>
  </si>
  <si>
    <t>Earl Barron</t>
  </si>
  <si>
    <t>MarShon Brooks</t>
  </si>
  <si>
    <t>Will Bynum</t>
  </si>
  <si>
    <t>Malcolm Delaney</t>
  </si>
  <si>
    <t>Francisco Garcia</t>
  </si>
  <si>
    <t>Desmond Bane</t>
  </si>
  <si>
    <t>Skylar Mays</t>
  </si>
  <si>
    <t>Tyler Lydon</t>
  </si>
  <si>
    <t>Zhou Qi</t>
  </si>
  <si>
    <t>Marvin Bagley III</t>
  </si>
  <si>
    <t>Shelvin Mack</t>
  </si>
  <si>
    <t>Sindarius Thornwell</t>
  </si>
  <si>
    <t>Chase Budinger</t>
  </si>
  <si>
    <t>Jordan Nwora</t>
  </si>
  <si>
    <t>Georges Niang</t>
  </si>
  <si>
    <t>Sean McDermott</t>
  </si>
  <si>
    <t>Glen Davis</t>
  </si>
  <si>
    <t>Tremont Waters</t>
  </si>
  <si>
    <t>Ryan Arcidiacono</t>
  </si>
  <si>
    <t>Briante Weber</t>
  </si>
  <si>
    <t>Aaron Brooks</t>
  </si>
  <si>
    <t>Rodions Kurucs</t>
  </si>
  <si>
    <t>Caleb Martin</t>
  </si>
  <si>
    <t>Lance Stephenson</t>
  </si>
  <si>
    <t>Goga Bitadze</t>
  </si>
  <si>
    <t>Michael Beasley</t>
  </si>
  <si>
    <t>Erik Murphy</t>
  </si>
  <si>
    <t>P.J. Washington</t>
  </si>
  <si>
    <t>Ramon Sessions</t>
  </si>
  <si>
    <t>Dylan Windler</t>
  </si>
  <si>
    <t>Bojan Bogdanovic</t>
  </si>
  <si>
    <t>Andrew White III</t>
  </si>
  <si>
    <t>Jermaine O'Neal</t>
  </si>
  <si>
    <t>Ryan Hollins</t>
  </si>
  <si>
    <t>Obi Toppin</t>
  </si>
  <si>
    <t>Langston Galloway</t>
  </si>
  <si>
    <t>Terance Mann</t>
  </si>
  <si>
    <t>Dwight Buycks</t>
  </si>
  <si>
    <t>Melvin Frazier Jr.</t>
  </si>
  <si>
    <t>Mindaugas Kuzminskas</t>
  </si>
  <si>
    <t>Tyler Ennis</t>
  </si>
  <si>
    <t>Rodney Stuckey</t>
  </si>
  <si>
    <t>Peyton Siva</t>
  </si>
  <si>
    <t>Chris Clemons</t>
  </si>
  <si>
    <t>Cartier Martin</t>
  </si>
  <si>
    <t>Solomon Hill</t>
  </si>
  <si>
    <t>CJ Elleby</t>
  </si>
  <si>
    <t>Zach Collins</t>
  </si>
  <si>
    <t>Aleksej Pokusevski</t>
  </si>
  <si>
    <t>Miye Oni</t>
  </si>
  <si>
    <t>Marco Belinelli</t>
  </si>
  <si>
    <t>Chris Kaman</t>
  </si>
  <si>
    <t>Juancho Hernangomez</t>
  </si>
  <si>
    <t>Damian Jones</t>
  </si>
  <si>
    <t>Nicolo Melli</t>
  </si>
  <si>
    <t>Kevin Martin</t>
  </si>
  <si>
    <t>Brendan Haywood</t>
  </si>
  <si>
    <t>Marcelo Huertas</t>
  </si>
  <si>
    <t>Evan Turner</t>
  </si>
  <si>
    <t>Kay Felder</t>
  </si>
  <si>
    <t>Kyle Wiltjer</t>
  </si>
  <si>
    <t>Isaiah Stewart</t>
  </si>
  <si>
    <t>Branden Dawson</t>
  </si>
  <si>
    <t>Lester Hudson</t>
  </si>
  <si>
    <t>Stephen Jackson</t>
  </si>
  <si>
    <t>Austin Daye</t>
  </si>
  <si>
    <t>Hedo Turkoglu</t>
  </si>
  <si>
    <t>Troy Brown Jr.</t>
  </si>
  <si>
    <t>Landry Shamet</t>
  </si>
  <si>
    <t>Marko Guduric</t>
  </si>
  <si>
    <t>Jorge Gutierrez</t>
  </si>
  <si>
    <t>JJ Hickson</t>
  </si>
  <si>
    <t>Jae'Sean Tate</t>
  </si>
  <si>
    <t>Jimmer Fredette</t>
  </si>
  <si>
    <t>Moritz Wagner</t>
  </si>
  <si>
    <t>James Ennis III</t>
  </si>
  <si>
    <t>E'Twaun Moore</t>
  </si>
  <si>
    <t>Oshae Brissett</t>
  </si>
  <si>
    <t>Jordan Bone</t>
  </si>
  <si>
    <t>Rasual Butler</t>
  </si>
  <si>
    <t>Manny Harris</t>
  </si>
  <si>
    <t>Jeff Green</t>
  </si>
  <si>
    <t>Robbie Hummel</t>
  </si>
  <si>
    <t>Cameron Reynolds</t>
  </si>
  <si>
    <t>Dzanan Musa</t>
  </si>
  <si>
    <t>Chris Douglas-Roberts</t>
  </si>
  <si>
    <t>Tyler Dorsey</t>
  </si>
  <si>
    <t>Anzejs Pasecniks</t>
  </si>
  <si>
    <t>Brandon Sampson</t>
  </si>
  <si>
    <t>Aaron Nesmith</t>
  </si>
  <si>
    <t>Ben McLemore</t>
  </si>
  <si>
    <t>Richard Jefferson</t>
  </si>
  <si>
    <t>RJ Hunter</t>
  </si>
  <si>
    <t>Elijah Hughes</t>
  </si>
  <si>
    <t>Dante Exum</t>
  </si>
  <si>
    <t>Max Strus</t>
  </si>
  <si>
    <t>Quincy Miller</t>
  </si>
  <si>
    <t>Reggie Bullock</t>
  </si>
  <si>
    <t>Troy Williams</t>
  </si>
  <si>
    <t>Darrun Hilliard</t>
  </si>
  <si>
    <t>Jeremy Tyler</t>
  </si>
  <si>
    <t>Austin Rivers</t>
  </si>
  <si>
    <t>John Jenkins</t>
  </si>
  <si>
    <t>Jason Terry</t>
  </si>
  <si>
    <t>Joel Freeland</t>
  </si>
  <si>
    <t>Leandro Barbosa</t>
  </si>
  <si>
    <t>Deng Adel</t>
  </si>
  <si>
    <t>Bobby Brown</t>
  </si>
  <si>
    <t>Alan Anderson</t>
  </si>
  <si>
    <t>Mason Jones</t>
  </si>
  <si>
    <t>Harry Giles III</t>
  </si>
  <si>
    <t>Luke Babbitt</t>
  </si>
  <si>
    <t>Carl Landry</t>
  </si>
  <si>
    <t>Maalik Wayns</t>
  </si>
  <si>
    <t>Jonathan Gibson</t>
  </si>
  <si>
    <t>James Young</t>
  </si>
  <si>
    <t>Kevin Huerter</t>
  </si>
  <si>
    <t>Damien Wilkins</t>
  </si>
  <si>
    <t>PJ Hairston</t>
  </si>
  <si>
    <t>Udonis Haslem</t>
  </si>
  <si>
    <t>Javonte Green</t>
  </si>
  <si>
    <t>Julian Washburn</t>
  </si>
  <si>
    <t>Anthony Brown</t>
  </si>
  <si>
    <t>Deyonta Davis</t>
  </si>
  <si>
    <t>Malcolm Miller</t>
  </si>
  <si>
    <t>Orlando Johnson</t>
  </si>
  <si>
    <t>RJ Barrett</t>
  </si>
  <si>
    <t>Roger Mason Jr.</t>
  </si>
  <si>
    <t>Chris Copeland</t>
  </si>
  <si>
    <t>Jared Terrell</t>
  </si>
  <si>
    <t>Lamar Patterson</t>
  </si>
  <si>
    <t>Jerome Jordan</t>
  </si>
  <si>
    <t>Jalen McDaniels</t>
  </si>
  <si>
    <t>Earl Watson</t>
  </si>
  <si>
    <t>Denzel Valentine</t>
  </si>
  <si>
    <t>Caleb Swanigan</t>
  </si>
  <si>
    <t>Jordan Clarkson</t>
  </si>
  <si>
    <t>Grant Williams</t>
  </si>
  <si>
    <t>Rakeem Christmas</t>
  </si>
  <si>
    <t>Al Harrington</t>
  </si>
  <si>
    <t>Gary Trent Jr.</t>
  </si>
  <si>
    <t>Dillon Brooks</t>
  </si>
  <si>
    <t>Timothe Luwawu-Cabarrot</t>
  </si>
  <si>
    <t>Andrew Nicholson</t>
  </si>
  <si>
    <t>Jared Cunningham</t>
  </si>
  <si>
    <t>Mike Scott</t>
  </si>
  <si>
    <t>Allen Crabbe</t>
  </si>
  <si>
    <t>Dante Cunningham</t>
  </si>
  <si>
    <t>Greg Oden</t>
  </si>
  <si>
    <t>Derrick Walton Jr.</t>
  </si>
  <si>
    <t>Isaiah Whitehead</t>
  </si>
  <si>
    <t>Travis Wear</t>
  </si>
  <si>
    <t>Ricky Ledo</t>
  </si>
  <si>
    <t>Isaiah Taylor</t>
  </si>
  <si>
    <t>Justin Jackson</t>
  </si>
  <si>
    <t>Chasson Randle</t>
  </si>
  <si>
    <t>Kelan Martin</t>
  </si>
  <si>
    <t>DeAndre' Bembry</t>
  </si>
  <si>
    <t>Ronnie Brewer</t>
  </si>
  <si>
    <t>Cole Anthony</t>
  </si>
  <si>
    <t>Bruce Brown</t>
  </si>
  <si>
    <t>Ty Jerome</t>
  </si>
  <si>
    <t>James Jones</t>
  </si>
  <si>
    <t>Gary Clark</t>
  </si>
  <si>
    <t>Lonnie Walker IV</t>
  </si>
  <si>
    <t>Cedi Osman</t>
  </si>
  <si>
    <t>Dairis Bertans</t>
  </si>
  <si>
    <t>Jodie Meeks</t>
  </si>
  <si>
    <t>Jamal Crawford</t>
  </si>
  <si>
    <t>Treveon Graham</t>
  </si>
  <si>
    <t>Matt Thomas</t>
  </si>
  <si>
    <t>Jordan Farmar</t>
  </si>
  <si>
    <t>Sheldon Mac</t>
  </si>
  <si>
    <t>Omari Spellman</t>
  </si>
  <si>
    <t>De'Andre Hunter</t>
  </si>
  <si>
    <t>Rodney Purvis</t>
  </si>
  <si>
    <t>Jeff Ayres</t>
  </si>
  <si>
    <t>Cleanthony Early</t>
  </si>
  <si>
    <t>Ray McCallum</t>
  </si>
  <si>
    <t>Tornike Shengelia</t>
  </si>
  <si>
    <t>Darius Morris</t>
  </si>
  <si>
    <t>Sterling Brown</t>
  </si>
  <si>
    <t>Brian Roberts</t>
  </si>
  <si>
    <t>Okaro White</t>
  </si>
  <si>
    <t>Jahlil Okafor</t>
  </si>
  <si>
    <t>Ognjen Kuzmic</t>
  </si>
  <si>
    <t>Larry Drew II</t>
  </si>
  <si>
    <t>Sebastian Telfair</t>
  </si>
  <si>
    <t>Jarrett Jack</t>
  </si>
  <si>
    <t>Bryn Forbes</t>
  </si>
  <si>
    <t>Quincy Pondexter</t>
  </si>
  <si>
    <t>Toure' Murry</t>
  </si>
  <si>
    <t>Miles Bridges</t>
  </si>
  <si>
    <t>JaKarr Sampson</t>
  </si>
  <si>
    <t>KJ McDaniels</t>
  </si>
  <si>
    <t>Kendrick Nunn</t>
  </si>
  <si>
    <t>Aaron Gray</t>
  </si>
  <si>
    <t>Alex Abrines</t>
  </si>
  <si>
    <t>Robert Sacre</t>
  </si>
  <si>
    <t>Rui Hachimura</t>
  </si>
  <si>
    <t>Carlos Boozer</t>
  </si>
  <si>
    <t>Tyrone Wallace</t>
  </si>
  <si>
    <t>Isaiah Hicks</t>
  </si>
  <si>
    <t>Jordan Hill</t>
  </si>
  <si>
    <t>Dennis Smith Jr.</t>
  </si>
  <si>
    <t>Sean Kilpatrick</t>
  </si>
  <si>
    <t>Travis Outlaw</t>
  </si>
  <si>
    <t>Marcus Georges-Hunt</t>
  </si>
  <si>
    <t>Tayshaun Prince</t>
  </si>
  <si>
    <t>Furkan Aldemir</t>
  </si>
  <si>
    <t>Tony Snell</t>
  </si>
  <si>
    <t>Shannon Brown</t>
  </si>
  <si>
    <t>Greg Smith</t>
  </si>
  <si>
    <t>Brandon Paul</t>
  </si>
  <si>
    <t>Jarell Martin</t>
  </si>
  <si>
    <t>Frank Ntilikina</t>
  </si>
  <si>
    <t>Jason Smith</t>
  </si>
  <si>
    <t>James Michael McAdoo</t>
  </si>
  <si>
    <t>Landry Fields</t>
  </si>
  <si>
    <t>Nemanja Nedovic</t>
  </si>
  <si>
    <t>Darius Miller</t>
  </si>
  <si>
    <t>Luguentz Dort</t>
  </si>
  <si>
    <t>Bruno Fernando</t>
  </si>
  <si>
    <t>Grayson Allen</t>
  </si>
  <si>
    <t>Nathan Knight</t>
  </si>
  <si>
    <t>Edmond Sumner</t>
  </si>
  <si>
    <t>Willie Green</t>
  </si>
  <si>
    <t>Derrick Williams</t>
  </si>
  <si>
    <t>Mike Miller</t>
  </si>
  <si>
    <t>Emmanuel Mudiay</t>
  </si>
  <si>
    <t>Glenn Robinson III</t>
  </si>
  <si>
    <t>Byron Mullens</t>
  </si>
  <si>
    <t>Tyler Herro</t>
  </si>
  <si>
    <t>Alonzo Gee</t>
  </si>
  <si>
    <t>Killian Hayes</t>
  </si>
  <si>
    <t>Joffrey Lauvergne</t>
  </si>
  <si>
    <t>Doug McDermott</t>
  </si>
  <si>
    <t>Jason Collins</t>
  </si>
  <si>
    <t>Troy Daniels</t>
  </si>
  <si>
    <t>Jawun Evans</t>
  </si>
  <si>
    <t>Greg Stiemsma</t>
  </si>
  <si>
    <t>Henry Sims</t>
  </si>
  <si>
    <t>Cristiano Felicio</t>
  </si>
  <si>
    <t>Malcolm Thomas</t>
  </si>
  <si>
    <t>Eric Paschall</t>
  </si>
  <si>
    <t>DeAndre Liggins</t>
  </si>
  <si>
    <t>Kevin Seraphin</t>
  </si>
  <si>
    <t>Luke Ridnour</t>
  </si>
  <si>
    <t>Jaylen Adams</t>
  </si>
  <si>
    <t>Shane Larkin</t>
  </si>
  <si>
    <t>Jerome Robinson</t>
  </si>
  <si>
    <t>Dahntay Jones</t>
  </si>
  <si>
    <t>Mario Hezonja</t>
  </si>
  <si>
    <t>Isaiah Roby</t>
  </si>
  <si>
    <t>Elie Okobo</t>
  </si>
  <si>
    <t>Damyean Dotson</t>
  </si>
  <si>
    <t>Admiral Schofield</t>
  </si>
  <si>
    <t>Kostas Papanikolaou</t>
  </si>
  <si>
    <t>Dragan Bender</t>
  </si>
  <si>
    <t>Isaiah Canaan</t>
  </si>
  <si>
    <t>Jerryd Bayless</t>
  </si>
  <si>
    <t>Carsen Edwards</t>
  </si>
  <si>
    <t>Gary Neal</t>
  </si>
  <si>
    <t>Shabazz Muhammad</t>
  </si>
  <si>
    <t>Darius Bazley</t>
  </si>
  <si>
    <t>Norris Cole</t>
  </si>
  <si>
    <t>Andrea Bargnani</t>
  </si>
  <si>
    <t>Josh Jackson</t>
  </si>
  <si>
    <t>Sonny Weems</t>
  </si>
  <si>
    <t>Cam Reddish</t>
  </si>
  <si>
    <t>Archie Goodwin</t>
  </si>
  <si>
    <t>Brandon Davies</t>
  </si>
  <si>
    <t>Wes Iwundu</t>
  </si>
  <si>
    <t>Nicolas Laprovittola</t>
  </si>
  <si>
    <t>Kyle Singler</t>
  </si>
  <si>
    <t>Perry Jones III</t>
  </si>
  <si>
    <t>Romeo Langford</t>
  </si>
  <si>
    <t>John Salmons</t>
  </si>
  <si>
    <t>Chandler Hutchison</t>
  </si>
  <si>
    <t>Doron Lamb</t>
  </si>
  <si>
    <t>Marquis Teague</t>
  </si>
  <si>
    <t>Jonathon Simmons</t>
  </si>
  <si>
    <t>Coby White</t>
  </si>
  <si>
    <t>Udoka Azubuike</t>
  </si>
  <si>
    <t>Quinn Cook</t>
  </si>
  <si>
    <t>Jarrett Culver</t>
  </si>
  <si>
    <t>Ian Clark</t>
  </si>
  <si>
    <t>Alfonzo McKinnie</t>
  </si>
  <si>
    <t>Malik Monk</t>
  </si>
  <si>
    <t>Earl Clark</t>
  </si>
  <si>
    <t>Erick Green</t>
  </si>
  <si>
    <t>Joe Young</t>
  </si>
  <si>
    <t>Gal Mekel</t>
  </si>
  <si>
    <t>Keita Bates-Diop</t>
  </si>
  <si>
    <t>O.J. Mayo</t>
  </si>
  <si>
    <t>Anthony Bennett</t>
  </si>
  <si>
    <t>Chris Singleton</t>
  </si>
  <si>
    <t>Rashad Vaughn</t>
  </si>
  <si>
    <t>Tony Wroten</t>
  </si>
  <si>
    <t>Dwayne Bacon</t>
  </si>
  <si>
    <t>Arron Afflalo</t>
  </si>
  <si>
    <t>Frank Jackson</t>
  </si>
  <si>
    <t>Antonio Blakeney</t>
  </si>
  <si>
    <t>Isaiah Briscoe</t>
  </si>
  <si>
    <t>John Lucas III</t>
  </si>
  <si>
    <t>Hamidou Diallo</t>
  </si>
  <si>
    <t>Brandon Rush</t>
  </si>
  <si>
    <t>Nik Stauskas</t>
  </si>
  <si>
    <t>Ky Bowman</t>
  </si>
  <si>
    <t>Wayne Selden</t>
  </si>
  <si>
    <t>Eric Maynor</t>
  </si>
  <si>
    <t>Damjan Rudez</t>
  </si>
  <si>
    <t>Adreian Payne</t>
  </si>
  <si>
    <t>Hasheem Thabeet</t>
  </si>
  <si>
    <t>Jeffery Taylor</t>
  </si>
  <si>
    <t>Terrance Ferguson</t>
  </si>
  <si>
    <t>Kendrick Perkins</t>
  </si>
  <si>
    <t>Wade Baldwin IV</t>
  </si>
  <si>
    <t>Nick Johnson</t>
  </si>
  <si>
    <t>Deonte Burton</t>
  </si>
  <si>
    <t>Semaj Christon</t>
  </si>
  <si>
    <t>Lance Thomas</t>
  </si>
  <si>
    <t>Collin Sexton</t>
  </si>
  <si>
    <t>Paul Zipser</t>
  </si>
  <si>
    <t>Kevin Porter Jr.</t>
  </si>
  <si>
    <t>Abdel Nader</t>
  </si>
  <si>
    <t>Jacob Evans</t>
  </si>
  <si>
    <t>Diante Garrett</t>
  </si>
  <si>
    <t>Saddiq Bey</t>
  </si>
  <si>
    <t>Semi Ojeleye</t>
  </si>
  <si>
    <t>Jabari Brown</t>
  </si>
  <si>
    <t>Ben Gordon</t>
  </si>
  <si>
    <t>Patrick McCaw</t>
  </si>
  <si>
    <t>Allonzo Trier</t>
  </si>
  <si>
    <t>James Anderson</t>
  </si>
  <si>
    <t>Darius Garland</t>
  </si>
  <si>
    <t>Hollis Thompson</t>
  </si>
  <si>
    <t>Jordan Poole</t>
  </si>
  <si>
    <t>Johnny O'Bryant III</t>
  </si>
  <si>
    <t>Patrick Williams</t>
  </si>
  <si>
    <t>Tyshawn Taylor</t>
  </si>
  <si>
    <t>Theo Maledon</t>
  </si>
  <si>
    <t>Anthony Edwards</t>
  </si>
  <si>
    <t>Sekou Doumbouya</t>
  </si>
  <si>
    <t>Elliot Williams</t>
  </si>
  <si>
    <t>Kobi Simmons</t>
  </si>
  <si>
    <t>Anfernee Simons</t>
  </si>
  <si>
    <t>Isaac Okoro</t>
  </si>
  <si>
    <t>Kevin Knox II</t>
  </si>
  <si>
    <t>Year</t>
  </si>
  <si>
    <t>MPG:BRON Correlation</t>
  </si>
  <si>
    <t>Last Season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</si>
</sst>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+#,##0.00;-#,##0.00"/>
    <numFmt numFmtId="165" formatCode="0.0"/>
    <numFmt numFmtId="166" formatCode="#,##0.0"/>
    <numFmt numFmtId="167" formatCode="&quot;$&quot;#,##0.00"/>
    <numFmt numFmtId="168" formatCode="+#,##0.0;-#,##0.0"/>
    <numFmt numFmtId="169" formatCode="0.0%"/>
    <numFmt numFmtId="170" formatCode="&quot;$&quot;#,##0.0&quot;M&quot;"/>
    <numFmt numFmtId="171" formatCode="&quot;$&quot;#,##0"/>
    <numFmt numFmtId="172" formatCode="m-d"/>
  </numFmts>
  <fonts count="43">
    <font>
      <sz val="10.0"/>
      <color rgb="FF000000"/>
      <name val="Arial"/>
    </font>
    <font>
      <sz val="15.0"/>
      <color theme="1"/>
      <name val="Arial"/>
    </font>
    <font>
      <b/>
      <sz val="15.0"/>
      <color theme="1"/>
      <name val="Arial"/>
    </font>
    <font>
      <b/>
      <sz val="15.0"/>
      <color rgb="FF000000"/>
      <name val="&quot;Helvetica Neue&quot;"/>
    </font>
    <font>
      <i/>
      <sz val="12.0"/>
      <color theme="1"/>
      <name val="Arial"/>
    </font>
    <font>
      <color theme="1"/>
      <name val="Arial"/>
    </font>
    <font>
      <b/>
      <sz val="16.0"/>
      <color rgb="FFFBBC04"/>
      <name val="Arial"/>
    </font>
    <font>
      <b/>
      <sz val="16.0"/>
      <color rgb="FFEA4335"/>
      <name val="Arial"/>
    </font>
    <font>
      <b/>
      <sz val="16.0"/>
      <color rgb="FF4285F4"/>
      <name val="Arial"/>
    </font>
    <font>
      <b/>
      <i/>
      <u/>
      <sz val="12.0"/>
      <color rgb="FF0000FF"/>
    </font>
    <font>
      <b/>
      <i/>
      <u/>
      <sz val="12.0"/>
      <color theme="1"/>
      <name val="Arial"/>
    </font>
    <font>
      <color rgb="FF000000"/>
      <name val="Arial"/>
    </font>
    <font>
      <sz val="14.0"/>
      <color theme="1"/>
      <name val="Arial"/>
    </font>
    <font>
      <b/>
      <sz val="17.0"/>
      <color theme="1"/>
      <name val="Arial"/>
    </font>
    <font>
      <i/>
      <sz val="15.0"/>
      <color theme="1"/>
      <name val="Arial"/>
    </font>
    <font>
      <b/>
      <sz val="15.0"/>
      <color rgb="FFEA4335"/>
      <name val="Arial"/>
    </font>
    <font>
      <b/>
      <sz val="15.0"/>
      <color rgb="FF4285F4"/>
      <name val="Arial"/>
    </font>
    <font>
      <b/>
      <sz val="15.0"/>
      <color rgb="FFFBBC04"/>
      <name val="Arial"/>
    </font>
    <font>
      <b/>
      <sz val="15.0"/>
      <color rgb="FF000000"/>
      <name val="Arial"/>
    </font>
    <font>
      <i/>
      <sz val="9.0"/>
      <color theme="1"/>
      <name val="Arial"/>
    </font>
    <font>
      <b/>
      <sz val="15.0"/>
      <color theme="5"/>
      <name val="Arial"/>
    </font>
    <font>
      <b/>
      <sz val="15.0"/>
      <color theme="4"/>
      <name val="Arial"/>
    </font>
    <font>
      <b/>
      <sz val="16.0"/>
      <color theme="1"/>
      <name val="Arial"/>
    </font>
    <font>
      <b/>
      <i/>
      <sz val="12.0"/>
      <color theme="1"/>
      <name val="Arial"/>
    </font>
    <font>
      <b/>
      <i/>
      <sz val="15.0"/>
      <color theme="1"/>
      <name val="Arial"/>
    </font>
    <font>
      <sz val="15.0"/>
      <color theme="7"/>
      <name val="Arial"/>
    </font>
    <font>
      <b/>
      <sz val="15.0"/>
      <color rgb="FFD4D4D4"/>
      <name val="Arial"/>
    </font>
    <font>
      <i/>
      <sz val="13.0"/>
      <color theme="1"/>
      <name val="Arial"/>
    </font>
    <font>
      <color rgb="FFF3F3F3"/>
      <name val="Arial"/>
    </font>
    <font>
      <b/>
      <u/>
      <sz val="13.0"/>
      <color theme="1"/>
      <name val="Arial"/>
    </font>
    <font>
      <sz val="13.0"/>
      <color theme="1"/>
      <name val="Arial"/>
    </font>
    <font>
      <b/>
      <u/>
      <sz val="13.0"/>
      <color theme="1"/>
      <name val="Arial"/>
    </font>
    <font>
      <b/>
      <color theme="1"/>
      <name val="Arial"/>
    </font>
    <font>
      <sz val="12.0"/>
      <color theme="1"/>
      <name val="Calibri"/>
    </font>
    <font>
      <b/>
      <sz val="13.0"/>
      <color theme="1"/>
      <name val="Arial"/>
    </font>
    <font>
      <b/>
      <sz val="14.0"/>
      <color rgb="FFEA4335"/>
      <name val="Arial"/>
    </font>
    <font>
      <i/>
      <sz val="11.0"/>
      <color theme="1"/>
      <name val="Arial"/>
    </font>
    <font>
      <i/>
      <color theme="1"/>
      <name val="Arial"/>
    </font>
    <font>
      <sz val="13.0"/>
      <color rgb="FFF3F3F3"/>
      <name val="Arial"/>
    </font>
    <font>
      <b/>
      <sz val="13.0"/>
      <color rgb="FF000000"/>
      <name val="&quot;Helvetica Neue&quot;"/>
    </font>
    <font>
      <b/>
      <sz val="13.0"/>
      <color rgb="FF000000"/>
      <name val="Helvetica Neue"/>
    </font>
    <font>
      <sz val="13.0"/>
      <color rgb="FF000000"/>
      <name val="&quot;Helvetica Neue&quot;"/>
    </font>
    <font>
      <sz val="13.0"/>
      <color rgb="FF000000"/>
      <name val="Helvetica Neue"/>
    </font>
  </fonts>
  <fills count="6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B4A7D6"/>
        <bgColor rgb="FFB4A7D6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1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1" numFmtId="0" xfId="0" applyAlignment="1" applyFont="1">
      <alignment horizontal="center"/>
    </xf>
    <xf borderId="1" fillId="0" fontId="2" numFmtId="0" xfId="0" applyAlignment="1" applyBorder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2" fillId="3" fontId="3" numFmtId="0" xfId="0" applyAlignment="1" applyBorder="1" applyFont="1">
      <alignment readingOrder="0" vertical="top"/>
    </xf>
    <xf borderId="2" fillId="3" fontId="3" numFmtId="164" xfId="0" applyAlignment="1" applyBorder="1" applyFont="1" applyNumberFormat="1">
      <alignment horizontal="center" readingOrder="0" vertical="top"/>
    </xf>
    <xf borderId="2" fillId="3" fontId="3" numFmtId="0" xfId="0" applyAlignment="1" applyBorder="1" applyFont="1">
      <alignment horizontal="center" readingOrder="0" vertical="top"/>
    </xf>
    <xf borderId="0" fillId="2" fontId="1" numFmtId="165" xfId="0" applyAlignment="1" applyFont="1" applyNumberFormat="1">
      <alignment horizontal="center"/>
    </xf>
    <xf borderId="0" fillId="2" fontId="1" numFmtId="1" xfId="0" applyAlignment="1" applyFont="1" applyNumberFormat="1">
      <alignment horizontal="center"/>
    </xf>
    <xf borderId="0" fillId="2" fontId="1" numFmtId="164" xfId="0" applyAlignment="1" applyFont="1" applyNumberFormat="1">
      <alignment horizontal="center"/>
    </xf>
    <xf borderId="0" fillId="2" fontId="1" numFmtId="166" xfId="0" applyAlignment="1" applyFont="1" applyNumberFormat="1">
      <alignment horizontal="center"/>
    </xf>
    <xf borderId="0" fillId="2" fontId="1" numFmtId="2" xfId="0" applyAlignment="1" applyFont="1" applyNumberFormat="1">
      <alignment horizontal="center"/>
    </xf>
    <xf borderId="0" fillId="2" fontId="2" numFmtId="0" xfId="0" applyAlignment="1" applyFont="1">
      <alignment readingOrder="0"/>
    </xf>
    <xf borderId="0" fillId="2" fontId="2" numFmtId="0" xfId="0" applyAlignment="1" applyFont="1">
      <alignment horizontal="center"/>
    </xf>
    <xf borderId="0" fillId="2" fontId="2" numFmtId="0" xfId="0" applyAlignment="1" applyFont="1">
      <alignment horizontal="center" readingOrder="0"/>
    </xf>
    <xf borderId="0" fillId="2" fontId="4" numFmtId="0" xfId="0" applyAlignment="1" applyFont="1">
      <alignment readingOrder="0"/>
    </xf>
    <xf borderId="0" fillId="2" fontId="5" numFmtId="0" xfId="0" applyFont="1"/>
    <xf borderId="3" fillId="2" fontId="2" numFmtId="0" xfId="0" applyAlignment="1" applyBorder="1" applyFont="1">
      <alignment horizontal="center" readingOrder="0" vertical="center"/>
    </xf>
    <xf borderId="4" fillId="3" fontId="2" numFmtId="167" xfId="0" applyAlignment="1" applyBorder="1" applyFont="1" applyNumberFormat="1">
      <alignment horizontal="center" readingOrder="0" vertical="center"/>
    </xf>
    <xf borderId="0" fillId="2" fontId="2" numFmtId="0" xfId="0" applyAlignment="1" applyFont="1">
      <alignment horizontal="left" readingOrder="0" vertical="center"/>
    </xf>
    <xf borderId="0" fillId="2" fontId="6" numFmtId="0" xfId="0" applyAlignment="1" applyFont="1">
      <alignment horizontal="center" readingOrder="0" vertical="center"/>
    </xf>
    <xf borderId="0" fillId="2" fontId="5" numFmtId="0" xfId="0" applyAlignment="1" applyFont="1">
      <alignment horizontal="center" vertical="center"/>
    </xf>
    <xf borderId="0" fillId="2" fontId="5" numFmtId="49" xfId="0" applyAlignment="1" applyFont="1" applyNumberFormat="1">
      <alignment horizontal="center" vertical="center"/>
    </xf>
    <xf borderId="0" fillId="2" fontId="5" numFmtId="168" xfId="0" applyAlignment="1" applyFont="1" applyNumberFormat="1">
      <alignment horizontal="center" vertical="center"/>
    </xf>
    <xf borderId="0" fillId="2" fontId="5" numFmtId="165" xfId="0" applyAlignment="1" applyFont="1" applyNumberFormat="1">
      <alignment horizontal="center" vertical="center"/>
    </xf>
    <xf borderId="0" fillId="2" fontId="7" numFmtId="49" xfId="0" applyAlignment="1" applyFont="1" applyNumberFormat="1">
      <alignment horizontal="center" readingOrder="0" vertical="center"/>
    </xf>
    <xf borderId="0" fillId="2" fontId="8" numFmtId="0" xfId="0" applyAlignment="1" applyFont="1">
      <alignment horizontal="center" readingOrder="0" vertical="center"/>
    </xf>
    <xf borderId="0" fillId="4" fontId="9" numFmtId="0" xfId="0" applyAlignment="1" applyFill="1" applyFont="1">
      <alignment horizontal="center" readingOrder="0" vertical="center"/>
    </xf>
    <xf borderId="0" fillId="4" fontId="10" numFmtId="0" xfId="0" applyAlignment="1" applyFont="1">
      <alignment horizontal="center" readingOrder="0" vertical="center"/>
    </xf>
    <xf borderId="0" fillId="2" fontId="2" numFmtId="0" xfId="0" applyAlignment="1" applyFont="1">
      <alignment horizontal="right" readingOrder="0"/>
    </xf>
    <xf borderId="0" fillId="2" fontId="2" numFmtId="0" xfId="0" applyAlignment="1" applyFont="1">
      <alignment horizontal="left" readingOrder="0"/>
    </xf>
    <xf borderId="0" fillId="2" fontId="11" numFmtId="49" xfId="0" applyAlignment="1" applyFont="1" applyNumberFormat="1">
      <alignment readingOrder="0" vertical="bottom"/>
    </xf>
    <xf borderId="0" fillId="2" fontId="5" numFmtId="0" xfId="0" applyAlignment="1" applyFont="1">
      <alignment horizontal="center"/>
    </xf>
    <xf borderId="0" fillId="2" fontId="5" numFmtId="49" xfId="0" applyFont="1" applyNumberFormat="1"/>
    <xf borderId="0" fillId="2" fontId="5" numFmtId="168" xfId="0" applyFont="1" applyNumberFormat="1"/>
    <xf borderId="0" fillId="2" fontId="5" numFmtId="165" xfId="0" applyFont="1" applyNumberFormat="1"/>
    <xf borderId="0" fillId="2" fontId="12" numFmtId="0" xfId="0" applyAlignment="1" applyFont="1">
      <alignment readingOrder="0" vertical="center"/>
    </xf>
    <xf borderId="0" fillId="2" fontId="13" numFmtId="0" xfId="0" applyAlignment="1" applyFont="1">
      <alignment horizontal="center" readingOrder="0" vertical="center"/>
    </xf>
    <xf borderId="0" fillId="2" fontId="14" numFmtId="0" xfId="0" applyAlignment="1" applyFont="1">
      <alignment horizontal="center" readingOrder="0"/>
    </xf>
    <xf borderId="2" fillId="2" fontId="2" numFmtId="0" xfId="0" applyAlignment="1" applyBorder="1" applyFont="1">
      <alignment horizontal="center" readingOrder="0"/>
    </xf>
    <xf borderId="2" fillId="2" fontId="15" numFmtId="0" xfId="0" applyAlignment="1" applyBorder="1" applyFont="1">
      <alignment horizontal="center" readingOrder="0"/>
    </xf>
    <xf borderId="2" fillId="2" fontId="16" numFmtId="0" xfId="0" applyAlignment="1" applyBorder="1" applyFont="1">
      <alignment horizontal="center" readingOrder="0"/>
    </xf>
    <xf borderId="2" fillId="2" fontId="17" numFmtId="0" xfId="0" applyAlignment="1" applyBorder="1" applyFont="1">
      <alignment horizontal="center" readingOrder="0"/>
    </xf>
    <xf borderId="2" fillId="2" fontId="18" numFmtId="0" xfId="0" applyAlignment="1" applyBorder="1" applyFont="1">
      <alignment horizontal="center" readingOrder="0"/>
    </xf>
    <xf borderId="0" fillId="2" fontId="1" numFmtId="49" xfId="0" applyFont="1" applyNumberFormat="1"/>
    <xf borderId="0" fillId="2" fontId="1" numFmtId="165" xfId="0" applyAlignment="1" applyFont="1" applyNumberFormat="1">
      <alignment horizontal="center" vertical="center"/>
    </xf>
    <xf borderId="0" fillId="2" fontId="1" numFmtId="168" xfId="0" applyAlignment="1" applyFont="1" applyNumberFormat="1">
      <alignment horizontal="center" vertical="center"/>
    </xf>
    <xf borderId="0" fillId="2" fontId="1" numFmtId="169" xfId="0" applyAlignment="1" applyFont="1" applyNumberFormat="1">
      <alignment horizontal="center" vertical="center"/>
    </xf>
    <xf borderId="0" fillId="2" fontId="1" numFmtId="0" xfId="0" applyAlignment="1" applyFont="1">
      <alignment horizontal="center" vertical="center"/>
    </xf>
    <xf borderId="0" fillId="2" fontId="5" numFmtId="49" xfId="0" applyAlignment="1" applyFont="1" applyNumberFormat="1">
      <alignment horizontal="center"/>
    </xf>
    <xf borderId="0" fillId="2" fontId="5" numFmtId="168" xfId="0" applyAlignment="1" applyFont="1" applyNumberFormat="1">
      <alignment horizontal="center" readingOrder="0"/>
    </xf>
    <xf borderId="0" fillId="2" fontId="5" numFmtId="0" xfId="0" applyAlignment="1" applyFont="1">
      <alignment horizontal="center" readingOrder="0"/>
    </xf>
    <xf borderId="0" fillId="2" fontId="5" numFmtId="0" xfId="0" applyAlignment="1" applyFont="1">
      <alignment readingOrder="0"/>
    </xf>
    <xf borderId="0" fillId="2" fontId="1" numFmtId="0" xfId="0" applyAlignment="1" applyFont="1">
      <alignment horizontal="center" vertical="center"/>
    </xf>
    <xf borderId="0" fillId="2" fontId="5" numFmtId="1" xfId="0" applyFont="1" applyNumberFormat="1"/>
    <xf borderId="0" fillId="2" fontId="5" numFmtId="164" xfId="0" applyFont="1" applyNumberFormat="1"/>
    <xf borderId="2" fillId="2" fontId="18" numFmtId="0" xfId="0" applyAlignment="1" applyBorder="1" applyFont="1">
      <alignment horizontal="left" readingOrder="0"/>
    </xf>
    <xf borderId="0" fillId="2" fontId="1" numFmtId="0" xfId="0" applyAlignment="1" applyFont="1">
      <alignment readingOrder="0"/>
    </xf>
    <xf borderId="0" fillId="2" fontId="19" numFmtId="0" xfId="0" applyAlignment="1" applyFont="1">
      <alignment readingOrder="0"/>
    </xf>
    <xf borderId="0" fillId="2" fontId="5" numFmtId="0" xfId="0" applyAlignment="1" applyFont="1">
      <alignment readingOrder="0"/>
    </xf>
    <xf borderId="4" fillId="3" fontId="2" numFmtId="0" xfId="0" applyAlignment="1" applyBorder="1" applyFont="1">
      <alignment horizontal="center" readingOrder="0" vertical="center"/>
    </xf>
    <xf borderId="3" fillId="2" fontId="20" numFmtId="0" xfId="0" applyAlignment="1" applyBorder="1" applyFont="1">
      <alignment horizontal="center" readingOrder="0" vertical="center"/>
    </xf>
    <xf borderId="1" fillId="3" fontId="17" numFmtId="0" xfId="0" applyAlignment="1" applyBorder="1" applyFont="1">
      <alignment horizontal="center" readingOrder="0" vertical="center"/>
    </xf>
    <xf borderId="0" fillId="2" fontId="21" numFmtId="0" xfId="0" applyAlignment="1" applyFont="1">
      <alignment horizontal="center" readingOrder="0" vertical="center"/>
    </xf>
    <xf borderId="3" fillId="2" fontId="21" numFmtId="0" xfId="0" applyAlignment="1" applyBorder="1" applyFont="1">
      <alignment horizontal="center" readingOrder="0" vertical="center"/>
    </xf>
    <xf borderId="0" fillId="2" fontId="22" numFmtId="49" xfId="0" applyAlignment="1" applyFont="1" applyNumberFormat="1">
      <alignment horizontal="center" readingOrder="0" vertical="center"/>
    </xf>
    <xf borderId="0" fillId="2" fontId="2" numFmtId="0" xfId="0" applyAlignment="1" applyFont="1">
      <alignment horizontal="center" readingOrder="0" vertical="center"/>
    </xf>
    <xf borderId="0" fillId="2" fontId="22" numFmtId="0" xfId="0" applyAlignment="1" applyFont="1">
      <alignment horizontal="center" readingOrder="0" vertical="center"/>
    </xf>
    <xf borderId="0" fillId="2" fontId="23" numFmtId="0" xfId="0" applyAlignment="1" applyFont="1">
      <alignment horizontal="center" readingOrder="0" vertical="center"/>
    </xf>
    <xf borderId="0" fillId="2" fontId="24" numFmtId="0" xfId="0" applyAlignment="1" applyFont="1">
      <alignment horizontal="center" readingOrder="0"/>
    </xf>
    <xf borderId="2" fillId="2" fontId="20" numFmtId="0" xfId="0" applyAlignment="1" applyBorder="1" applyFont="1">
      <alignment horizontal="center" readingOrder="0"/>
    </xf>
    <xf borderId="2" fillId="2" fontId="21" numFmtId="0" xfId="0" applyAlignment="1" applyBorder="1" applyFont="1">
      <alignment horizontal="center" readingOrder="0"/>
    </xf>
    <xf borderId="0" fillId="2" fontId="25" numFmtId="169" xfId="0" applyAlignment="1" applyFont="1" applyNumberFormat="1">
      <alignment horizontal="center" vertical="center"/>
    </xf>
    <xf borderId="0" fillId="2" fontId="11" numFmtId="49" xfId="0" applyAlignment="1" applyFont="1" applyNumberFormat="1">
      <alignment horizontal="center" readingOrder="0" vertical="bottom"/>
    </xf>
    <xf borderId="0" fillId="2" fontId="5" numFmtId="0" xfId="0" applyAlignment="1" applyFont="1">
      <alignment horizontal="center"/>
    </xf>
    <xf borderId="0" fillId="2" fontId="5" numFmtId="168" xfId="0" applyAlignment="1" applyFont="1" applyNumberFormat="1">
      <alignment horizontal="center"/>
    </xf>
    <xf borderId="0" fillId="2" fontId="5" numFmtId="0" xfId="0" applyAlignment="1" applyFont="1">
      <alignment horizontal="center" readingOrder="0"/>
    </xf>
    <xf borderId="1" fillId="3" fontId="26" numFmtId="0" xfId="0" applyAlignment="1" applyBorder="1" applyFont="1">
      <alignment horizontal="center" readingOrder="0" vertical="center"/>
    </xf>
    <xf borderId="0" fillId="2" fontId="5" numFmtId="164" xfId="0" applyFont="1" applyNumberFormat="1"/>
    <xf borderId="2" fillId="2" fontId="15" numFmtId="164" xfId="0" applyAlignment="1" applyBorder="1" applyFont="1" applyNumberFormat="1">
      <alignment horizontal="center" readingOrder="0"/>
    </xf>
    <xf borderId="2" fillId="2" fontId="16" numFmtId="164" xfId="0" applyAlignment="1" applyBorder="1" applyFont="1" applyNumberFormat="1">
      <alignment horizontal="center" readingOrder="0"/>
    </xf>
    <xf borderId="2" fillId="2" fontId="17" numFmtId="164" xfId="0" applyAlignment="1" applyBorder="1" applyFont="1" applyNumberFormat="1">
      <alignment horizontal="center" readingOrder="0"/>
    </xf>
    <xf borderId="0" fillId="2" fontId="1" numFmtId="164" xfId="0" applyAlignment="1" applyFont="1" applyNumberFormat="1">
      <alignment horizontal="center" vertical="center"/>
    </xf>
    <xf borderId="0" fillId="2" fontId="5" numFmtId="165" xfId="0" applyAlignment="1" applyFont="1" applyNumberFormat="1">
      <alignment horizontal="center"/>
    </xf>
    <xf borderId="0" fillId="2" fontId="5" numFmtId="165" xfId="0" applyAlignment="1" applyFont="1" applyNumberFormat="1">
      <alignment horizontal="center" readingOrder="0"/>
    </xf>
    <xf borderId="0" fillId="2" fontId="5" numFmtId="164" xfId="0" applyAlignment="1" applyFont="1" applyNumberFormat="1">
      <alignment horizontal="center"/>
    </xf>
    <xf borderId="0" fillId="2" fontId="5" numFmtId="164" xfId="0" applyAlignment="1" applyFont="1" applyNumberFormat="1">
      <alignment horizontal="center"/>
    </xf>
    <xf borderId="0" fillId="2" fontId="5" numFmtId="1" xfId="0" applyAlignment="1" applyFont="1" applyNumberFormat="1">
      <alignment horizontal="center"/>
    </xf>
    <xf borderId="0" fillId="2" fontId="5" numFmtId="168" xfId="0" applyFont="1" applyNumberFormat="1"/>
    <xf borderId="0" fillId="2" fontId="5" numFmtId="165" xfId="0" applyFont="1" applyNumberFormat="1"/>
    <xf borderId="0" fillId="5" fontId="1" numFmtId="165" xfId="0" applyAlignment="1" applyFill="1" applyFont="1" applyNumberFormat="1">
      <alignment horizontal="center" readingOrder="0" vertical="center"/>
    </xf>
    <xf borderId="0" fillId="2" fontId="27" numFmtId="0" xfId="0" applyAlignment="1" applyFont="1">
      <alignment readingOrder="0"/>
    </xf>
    <xf borderId="0" fillId="2" fontId="1" numFmtId="0" xfId="0" applyAlignment="1" applyFont="1">
      <alignment horizontal="center" readingOrder="0"/>
    </xf>
    <xf borderId="2" fillId="2" fontId="2" numFmtId="0" xfId="0" applyAlignment="1" applyBorder="1" applyFont="1">
      <alignment horizontal="center"/>
    </xf>
    <xf borderId="2" fillId="2" fontId="1" numFmtId="0" xfId="0" applyAlignment="1" applyBorder="1" applyFont="1">
      <alignment horizontal="center" readingOrder="0"/>
    </xf>
    <xf borderId="0" fillId="2" fontId="28" numFmtId="0" xfId="0" applyFont="1"/>
    <xf borderId="0" fillId="2" fontId="28" numFmtId="0" xfId="0" applyAlignment="1" applyFont="1">
      <alignment readingOrder="0"/>
    </xf>
    <xf borderId="0" fillId="2" fontId="1" numFmtId="3" xfId="0" applyAlignment="1" applyFont="1" applyNumberFormat="1">
      <alignment horizontal="center"/>
    </xf>
    <xf borderId="0" fillId="2" fontId="1" numFmtId="0" xfId="0" applyAlignment="1" applyFont="1">
      <alignment horizontal="center"/>
    </xf>
    <xf borderId="0" fillId="2" fontId="1" numFmtId="170" xfId="0" applyAlignment="1" applyFont="1" applyNumberFormat="1">
      <alignment horizontal="center"/>
    </xf>
    <xf borderId="0" fillId="2" fontId="1" numFmtId="169" xfId="0" applyAlignment="1" applyFont="1" applyNumberFormat="1">
      <alignment horizontal="center" readingOrder="0" vertical="center"/>
    </xf>
    <xf borderId="0" fillId="2" fontId="1" numFmtId="169" xfId="0" applyAlignment="1" applyFont="1" applyNumberFormat="1">
      <alignment horizontal="center"/>
    </xf>
    <xf borderId="0" fillId="2" fontId="1" numFmtId="171" xfId="0" applyAlignment="1" applyFont="1" applyNumberFormat="1">
      <alignment horizontal="center"/>
    </xf>
    <xf borderId="0" fillId="2" fontId="28" numFmtId="11" xfId="0" applyAlignment="1" applyFont="1" applyNumberFormat="1">
      <alignment readingOrder="0"/>
    </xf>
    <xf borderId="0" fillId="2" fontId="29" numFmtId="0" xfId="0" applyAlignment="1" applyFont="1">
      <alignment horizontal="center" readingOrder="0"/>
    </xf>
    <xf borderId="0" fillId="2" fontId="1" numFmtId="171" xfId="0" applyFont="1" applyNumberFormat="1"/>
    <xf borderId="0" fillId="2" fontId="30" numFmtId="0" xfId="0" applyAlignment="1" applyFont="1">
      <alignment horizontal="left"/>
    </xf>
    <xf borderId="0" fillId="2" fontId="30" numFmtId="0" xfId="0" applyAlignment="1" applyFont="1">
      <alignment horizontal="left" readingOrder="0"/>
    </xf>
    <xf borderId="0" fillId="2" fontId="30" numFmtId="166" xfId="0" applyAlignment="1" applyFont="1" applyNumberFormat="1">
      <alignment horizontal="center"/>
    </xf>
    <xf borderId="0" fillId="2" fontId="31" numFmtId="0" xfId="0" applyAlignment="1" applyFont="1">
      <alignment horizontal="center"/>
    </xf>
    <xf borderId="0" fillId="2" fontId="30" numFmtId="169" xfId="0" applyAlignment="1" applyFont="1" applyNumberFormat="1">
      <alignment horizontal="center"/>
    </xf>
    <xf borderId="0" fillId="2" fontId="32" numFmtId="0" xfId="0" applyAlignment="1" applyFont="1">
      <alignment readingOrder="0"/>
    </xf>
    <xf borderId="0" fillId="2" fontId="33" numFmtId="0" xfId="0" applyAlignment="1" applyFont="1">
      <alignment readingOrder="0"/>
    </xf>
    <xf borderId="0" fillId="2" fontId="5" numFmtId="172" xfId="0" applyAlignment="1" applyFont="1" applyNumberFormat="1">
      <alignment horizontal="center" readingOrder="0"/>
    </xf>
    <xf borderId="0" fillId="2" fontId="1" numFmtId="1" xfId="0" applyFont="1" applyNumberFormat="1"/>
    <xf borderId="0" fillId="2" fontId="1" numFmtId="164" xfId="0" applyFont="1" applyNumberFormat="1"/>
    <xf borderId="0" fillId="0" fontId="5" numFmtId="0" xfId="0" applyAlignment="1" applyFont="1">
      <alignment horizontal="center"/>
    </xf>
    <xf borderId="0" fillId="0" fontId="5" numFmtId="0" xfId="0" applyFont="1"/>
    <xf borderId="0" fillId="0" fontId="5" numFmtId="171" xfId="0" applyAlignment="1" applyFont="1" applyNumberFormat="1">
      <alignment horizontal="center"/>
    </xf>
    <xf borderId="0" fillId="0" fontId="32" numFmtId="0" xfId="0" applyAlignment="1" applyFont="1">
      <alignment horizontal="center"/>
    </xf>
    <xf borderId="0" fillId="0" fontId="32" numFmtId="0" xfId="0" applyAlignment="1" applyFont="1">
      <alignment horizontal="center" readingOrder="0"/>
    </xf>
    <xf borderId="0" fillId="0" fontId="32" numFmtId="0" xfId="0" applyFont="1"/>
    <xf borderId="0" fillId="0" fontId="32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5" numFmtId="3" xfId="0" applyAlignment="1" applyFont="1" applyNumberFormat="1">
      <alignment horizontal="center"/>
    </xf>
    <xf borderId="0" fillId="0" fontId="5" numFmtId="164" xfId="0" applyAlignment="1" applyFont="1" applyNumberFormat="1">
      <alignment horizontal="center"/>
    </xf>
    <xf borderId="0" fillId="0" fontId="5" numFmtId="164" xfId="0" applyAlignment="1" applyFont="1" applyNumberFormat="1">
      <alignment horizontal="center" readingOrder="0"/>
    </xf>
    <xf borderId="0" fillId="0" fontId="5" numFmtId="169" xfId="0" applyAlignment="1" applyFont="1" applyNumberFormat="1">
      <alignment horizontal="center"/>
    </xf>
    <xf borderId="0" fillId="0" fontId="5" numFmtId="0" xfId="0" applyAlignment="1" applyFont="1">
      <alignment readingOrder="0"/>
    </xf>
    <xf borderId="0" fillId="0" fontId="33" numFmtId="0" xfId="0" applyAlignment="1" applyFont="1">
      <alignment readingOrder="0"/>
    </xf>
    <xf borderId="0" fillId="0" fontId="5" numFmtId="172" xfId="0" applyAlignment="1" applyFont="1" applyNumberFormat="1">
      <alignment horizontal="center" readingOrder="0"/>
    </xf>
    <xf borderId="0" fillId="0" fontId="5" numFmtId="165" xfId="0" applyAlignment="1" applyFont="1" applyNumberFormat="1">
      <alignment horizontal="center"/>
    </xf>
    <xf borderId="0" fillId="2" fontId="30" numFmtId="0" xfId="0" applyAlignment="1" applyFont="1">
      <alignment horizontal="center"/>
    </xf>
    <xf borderId="0" fillId="2" fontId="30" numFmtId="164" xfId="0" applyAlignment="1" applyFont="1" applyNumberFormat="1">
      <alignment horizontal="center"/>
    </xf>
    <xf borderId="0" fillId="2" fontId="34" numFmtId="0" xfId="0" applyAlignment="1" applyFont="1">
      <alignment horizontal="center" readingOrder="0"/>
    </xf>
    <xf borderId="0" fillId="2" fontId="30" numFmtId="0" xfId="0" applyAlignment="1" applyFont="1">
      <alignment horizontal="center" readingOrder="0"/>
    </xf>
    <xf borderId="0" fillId="2" fontId="34" numFmtId="0" xfId="0" applyAlignment="1" applyFont="1">
      <alignment horizontal="center"/>
    </xf>
    <xf borderId="0" fillId="2" fontId="34" numFmtId="1" xfId="0" applyAlignment="1" applyFont="1" applyNumberFormat="1">
      <alignment horizontal="center"/>
    </xf>
    <xf borderId="0" fillId="2" fontId="34" numFmtId="164" xfId="0" applyAlignment="1" applyFont="1" applyNumberFormat="1">
      <alignment horizontal="center"/>
    </xf>
    <xf borderId="0" fillId="3" fontId="5" numFmtId="0" xfId="0" applyFont="1"/>
    <xf borderId="0" fillId="3" fontId="34" numFmtId="0" xfId="0" applyAlignment="1" applyFont="1">
      <alignment horizontal="center" readingOrder="0"/>
    </xf>
    <xf borderId="0" fillId="3" fontId="34" numFmtId="0" xfId="0" applyAlignment="1" applyFont="1">
      <alignment horizontal="center"/>
    </xf>
    <xf borderId="0" fillId="3" fontId="34" numFmtId="164" xfId="0" applyAlignment="1" applyFont="1" applyNumberFormat="1">
      <alignment horizontal="center" readingOrder="0"/>
    </xf>
    <xf borderId="0" fillId="3" fontId="34" numFmtId="0" xfId="0" applyAlignment="1" applyFont="1">
      <alignment readingOrder="0"/>
    </xf>
    <xf borderId="0" fillId="2" fontId="30" numFmtId="1" xfId="0" applyAlignment="1" applyFont="1" applyNumberFormat="1">
      <alignment horizontal="center"/>
    </xf>
    <xf borderId="0" fillId="2" fontId="30" numFmtId="165" xfId="0" applyAlignment="1" applyFont="1" applyNumberFormat="1">
      <alignment horizontal="center"/>
    </xf>
    <xf borderId="0" fillId="3" fontId="35" numFmtId="0" xfId="0" applyAlignment="1" applyFont="1">
      <alignment horizontal="center" readingOrder="0"/>
    </xf>
    <xf borderId="0" fillId="2" fontId="30" numFmtId="0" xfId="0" applyAlignment="1" applyFont="1">
      <alignment readingOrder="0"/>
    </xf>
    <xf borderId="0" fillId="2" fontId="30" numFmtId="0" xfId="0" applyFont="1"/>
    <xf borderId="0" fillId="3" fontId="30" numFmtId="0" xfId="0" applyAlignment="1" applyFont="1">
      <alignment horizontal="center" readingOrder="0"/>
    </xf>
    <xf borderId="0" fillId="2" fontId="36" numFmtId="0" xfId="0" applyAlignment="1" applyFont="1">
      <alignment horizontal="right" readingOrder="0" vertical="top"/>
    </xf>
    <xf borderId="0" fillId="2" fontId="37" numFmtId="0" xfId="0" applyAlignment="1" applyFont="1">
      <alignment horizontal="center" readingOrder="0"/>
    </xf>
    <xf borderId="0" fillId="2" fontId="37" numFmtId="0" xfId="0" applyAlignment="1" applyFont="1">
      <alignment readingOrder="0"/>
    </xf>
    <xf borderId="0" fillId="3" fontId="12" numFmtId="0" xfId="0" applyAlignment="1" applyFont="1">
      <alignment horizontal="center" readingOrder="0"/>
    </xf>
    <xf borderId="0" fillId="2" fontId="38" numFmtId="0" xfId="0" applyAlignment="1" applyFont="1">
      <alignment horizontal="center"/>
    </xf>
    <xf borderId="0" fillId="3" fontId="39" numFmtId="0" xfId="0" applyAlignment="1" applyFont="1">
      <alignment readingOrder="0" vertical="top"/>
    </xf>
    <xf borderId="0" fillId="3" fontId="40" numFmtId="0" xfId="0" applyAlignment="1" applyFont="1">
      <alignment horizontal="center" readingOrder="0" vertical="top"/>
    </xf>
    <xf borderId="0" fillId="3" fontId="39" numFmtId="0" xfId="0" applyAlignment="1" applyFont="1">
      <alignment horizontal="center" readingOrder="0" vertical="top"/>
    </xf>
    <xf borderId="0" fillId="3" fontId="39" numFmtId="1" xfId="0" applyAlignment="1" applyFont="1" applyNumberFormat="1">
      <alignment horizontal="center" readingOrder="0" vertical="top"/>
    </xf>
    <xf borderId="0" fillId="3" fontId="39" numFmtId="164" xfId="0" applyAlignment="1" applyFont="1" applyNumberFormat="1">
      <alignment horizontal="center" readingOrder="0" vertical="top"/>
    </xf>
    <xf borderId="0" fillId="0" fontId="41" numFmtId="0" xfId="0" applyAlignment="1" applyFont="1">
      <alignment readingOrder="0" vertical="top"/>
    </xf>
    <xf borderId="0" fillId="0" fontId="42" numFmtId="0" xfId="0" applyAlignment="1" applyFont="1">
      <alignment readingOrder="0" vertical="top"/>
    </xf>
    <xf borderId="0" fillId="0" fontId="41" numFmtId="0" xfId="0" applyAlignment="1" applyFont="1">
      <alignment horizontal="center" readingOrder="0" vertical="top"/>
    </xf>
    <xf borderId="0" fillId="0" fontId="41" numFmtId="1" xfId="0" applyAlignment="1" applyFont="1" applyNumberFormat="1">
      <alignment horizontal="center" readingOrder="0" vertical="top"/>
    </xf>
    <xf borderId="0" fillId="0" fontId="41" numFmtId="164" xfId="0" applyAlignment="1" applyFont="1" applyNumberFormat="1">
      <alignment horizontal="center" readingOrder="0" vertical="top"/>
    </xf>
    <xf borderId="0" fillId="0" fontId="41" numFmtId="166" xfId="0" applyAlignment="1" applyFont="1" applyNumberFormat="1">
      <alignment horizontal="center" readingOrder="0" vertical="top"/>
    </xf>
    <xf borderId="0" fillId="0" fontId="41" numFmtId="165" xfId="0" applyAlignment="1" applyFont="1" applyNumberFormat="1">
      <alignment horizontal="center" readingOrder="0" vertical="top"/>
    </xf>
    <xf borderId="0" fillId="0" fontId="41" numFmtId="164" xfId="0" applyAlignment="1" applyFont="1" applyNumberFormat="1">
      <alignment readingOrder="0" vertical="top"/>
    </xf>
    <xf borderId="0" fillId="3" fontId="1" numFmtId="0" xfId="0" applyFont="1"/>
    <xf borderId="0" fillId="3" fontId="1" numFmtId="0" xfId="0" applyAlignment="1" applyFont="1">
      <alignment horizontal="center" readingOrder="0"/>
    </xf>
    <xf borderId="0" fillId="3" fontId="3" numFmtId="164" xfId="0" applyAlignment="1" applyFont="1" applyNumberFormat="1">
      <alignment horizontal="center" readingOrder="0" vertical="top"/>
    </xf>
    <xf borderId="0" fillId="0" fontId="1" numFmtId="0" xfId="0" applyFont="1"/>
    <xf borderId="0" fillId="0" fontId="1" numFmtId="0" xfId="0" applyAlignment="1" applyFont="1">
      <alignment horizontal="center"/>
    </xf>
    <xf borderId="0" fillId="0" fontId="1" numFmtId="165" xfId="0" applyAlignment="1" applyFont="1" applyNumberFormat="1">
      <alignment horizontal="center"/>
    </xf>
    <xf borderId="0" fillId="0" fontId="1" numFmtId="164" xfId="0" applyAlignment="1" applyFont="1" applyNumberFormat="1">
      <alignment horizontal="center"/>
    </xf>
    <xf borderId="2" fillId="2" fontId="2" numFmtId="0" xfId="0" applyAlignment="1" applyBorder="1" applyFont="1">
      <alignment readingOrder="0"/>
    </xf>
    <xf borderId="2" fillId="2" fontId="2" numFmtId="2" xfId="0" applyAlignment="1" applyBorder="1" applyFont="1" applyNumberFormat="1">
      <alignment horizontal="center" readingOrder="0"/>
    </xf>
    <xf borderId="0" fillId="2" fontId="1" numFmtId="2" xfId="0" applyAlignment="1" applyFont="1" applyNumberFormat="1">
      <alignment horizontal="center" readingOrder="0"/>
    </xf>
    <xf borderId="0" fillId="2" fontId="1" numFmtId="0" xfId="0" applyAlignment="1" applyFont="1">
      <alignment readingOrder="0"/>
    </xf>
    <xf borderId="0" fillId="0" fontId="32" numFmtId="0" xfId="0" applyAlignment="1" applyFont="1">
      <alignment readingOrder="0"/>
    </xf>
  </cellXfs>
  <cellStyles count="1">
    <cellStyle xfId="0" name="Normal" builtinId="0"/>
  </cellStyles>
  <dxfs count="10"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57BB8A"/>
          <bgColor rgb="FF57BB8A"/>
        </patternFill>
      </fill>
      <border/>
    </dxf>
    <dxf>
      <font>
        <color theme="6"/>
      </font>
      <fill>
        <patternFill patternType="none"/>
      </fill>
      <border/>
    </dxf>
    <dxf>
      <font>
        <color theme="5"/>
      </font>
      <fill>
        <patternFill patternType="none"/>
      </fill>
      <border/>
    </dxf>
    <dxf>
      <font>
        <color theme="4"/>
      </font>
      <fill>
        <patternFill patternType="none"/>
      </fill>
      <border/>
    </dxf>
    <dxf>
      <font/>
      <fill>
        <patternFill patternType="solid">
          <fgColor rgb="FFB4A7D6"/>
          <bgColor rgb="FFB4A7D6"/>
        </patternFill>
      </fill>
      <border/>
    </dxf>
    <dxf>
      <font>
        <b/>
      </font>
      <fill>
        <patternFill patternType="none"/>
      </fill>
      <border/>
    </dxf>
    <dxf>
      <font>
        <color rgb="FFFBBC04"/>
      </font>
      <fill>
        <patternFill patternType="none"/>
      </fill>
      <border/>
    </dxf>
    <dxf>
      <font>
        <color rgb="FFEA4335"/>
      </font>
      <fill>
        <patternFill patternType="none"/>
      </fill>
      <border/>
    </dxf>
    <dxf>
      <font>
        <color rgb="FF4285F4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9283693484042557"/>
          <c:y val="0.060084269662921415"/>
          <c:w val="0.897943207003546"/>
          <c:h val="0.8055056179775281"/>
        </c:manualLayout>
      </c:layout>
      <c:lineChart>
        <c:ser>
          <c:idx val="0"/>
          <c:order val="0"/>
          <c:tx>
            <c:strRef>
              <c:f>'Player Lookup 1'!$I$2:$I$12</c:f>
            </c:strRef>
          </c:tx>
          <c:spPr>
            <a:ln cmpd="sng" w="47625">
              <a:solidFill>
                <a:srgbClr val="EA4335"/>
              </a:solidFill>
            </a:ln>
          </c:spPr>
          <c:marker>
            <c:symbol val="circle"/>
            <c:size val="10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1'!$H$13:$H$27</c:f>
            </c:strRef>
          </c:cat>
          <c:val>
            <c:numRef>
              <c:f>'Player Lookup 1'!$I$13:$I$27</c:f>
              <c:numCache/>
            </c:numRef>
          </c:val>
          <c:smooth val="0"/>
        </c:ser>
        <c:ser>
          <c:idx val="1"/>
          <c:order val="1"/>
          <c:tx>
            <c:strRef>
              <c:f>'Player Lookup 1'!$J$2:$J$12</c:f>
            </c:strRef>
          </c:tx>
          <c:spPr>
            <a:ln cmpd="sng" w="47625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1'!$H$13:$H$27</c:f>
            </c:strRef>
          </c:cat>
          <c:val>
            <c:numRef>
              <c:f>'Player Lookup 1'!$J$13:$J$27</c:f>
              <c:numCache/>
            </c:numRef>
          </c:val>
          <c:smooth val="0"/>
        </c:ser>
        <c:ser>
          <c:idx val="2"/>
          <c:order val="2"/>
          <c:tx>
            <c:strRef>
              <c:f>'Player Lookup 1'!$K$2:$K$12</c:f>
            </c:strRef>
          </c:tx>
          <c:spPr>
            <a:ln cmpd="sng" w="47625">
              <a:solidFill>
                <a:srgbClr val="FBBC04"/>
              </a:solidFill>
            </a:ln>
          </c:spPr>
          <c:marker>
            <c:symbol val="circle"/>
            <c:size val="10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1'!$H$13:$H$27</c:f>
            </c:strRef>
          </c:cat>
          <c:val>
            <c:numRef>
              <c:f>'Player Lookup 1'!$K$13:$K$27</c:f>
              <c:numCache/>
            </c:numRef>
          </c:val>
          <c:smooth val="0"/>
        </c:ser>
        <c:axId val="1781015662"/>
        <c:axId val="233347547"/>
      </c:lineChart>
      <c:catAx>
        <c:axId val="17810156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233347547"/>
      </c:catAx>
      <c:valAx>
        <c:axId val="2333475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D9D9D9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1781015662"/>
      </c:valAx>
    </c:plotArea>
    <c:plotVisOnly val="0"/>
  </c:chart>
  <c:spPr>
    <a:solidFill>
      <a:srgbClr val="FFFFFF">
        <a:alpha val="0"/>
      </a:srgbClr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9283693484042557"/>
          <c:y val="0.060084269662921415"/>
          <c:w val="0.897943207003546"/>
          <c:h val="0.8055056179775281"/>
        </c:manualLayout>
      </c:layout>
      <c:lineChart>
        <c:axId val="1201013608"/>
        <c:axId val="2071073860"/>
      </c:lineChart>
      <c:catAx>
        <c:axId val="1201013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2071073860"/>
      </c:catAx>
      <c:valAx>
        <c:axId val="207107386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201013608"/>
      </c:valAx>
    </c:plotArea>
    <c:plotVisOnly val="0"/>
  </c:chart>
  <c:spPr>
    <a:solidFill>
      <a:srgbClr val="FFFFFF">
        <a:alpha val="0"/>
      </a:srgbClr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9283693484042557"/>
          <c:y val="0.060084269662921415"/>
          <c:w val="0.897943207003546"/>
          <c:h val="0.8055056179775281"/>
        </c:manualLayout>
      </c:layout>
      <c:lineChart>
        <c:ser>
          <c:idx val="0"/>
          <c:order val="0"/>
          <c:tx>
            <c:strRef>
              <c:f>'Player Lookup 4'!$I$2:$I$16</c:f>
            </c:strRef>
          </c:tx>
          <c:spPr>
            <a:ln cmpd="sng" w="47625">
              <a:solidFill>
                <a:srgbClr val="EA4335"/>
              </a:solidFill>
            </a:ln>
          </c:spPr>
          <c:marker>
            <c:symbol val="circle"/>
            <c:size val="10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4'!$H$17:$H$27</c:f>
            </c:strRef>
          </c:cat>
          <c:val>
            <c:numRef>
              <c:f>'Player Lookup 4'!$I$17:$I$27</c:f>
              <c:numCache/>
            </c:numRef>
          </c:val>
          <c:smooth val="0"/>
        </c:ser>
        <c:ser>
          <c:idx val="1"/>
          <c:order val="1"/>
          <c:tx>
            <c:strRef>
              <c:f>'Player Lookup 4'!$J$2:$J$16</c:f>
            </c:strRef>
          </c:tx>
          <c:spPr>
            <a:ln cmpd="sng" w="47625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4'!$H$17:$H$27</c:f>
            </c:strRef>
          </c:cat>
          <c:val>
            <c:numRef>
              <c:f>'Player Lookup 4'!$J$17:$J$27</c:f>
              <c:numCache/>
            </c:numRef>
          </c:val>
          <c:smooth val="0"/>
        </c:ser>
        <c:ser>
          <c:idx val="2"/>
          <c:order val="2"/>
          <c:tx>
            <c:strRef>
              <c:f>'Player Lookup 4'!$K$2:$K$16</c:f>
            </c:strRef>
          </c:tx>
          <c:spPr>
            <a:ln cmpd="sng" w="47625">
              <a:solidFill>
                <a:srgbClr val="FBBC04"/>
              </a:solidFill>
            </a:ln>
          </c:spPr>
          <c:marker>
            <c:symbol val="circle"/>
            <c:size val="10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4'!$H$17:$H$27</c:f>
            </c:strRef>
          </c:cat>
          <c:val>
            <c:numRef>
              <c:f>'Player Lookup 4'!$K$17:$K$27</c:f>
              <c:numCache/>
            </c:numRef>
          </c:val>
          <c:smooth val="0"/>
        </c:ser>
        <c:axId val="791199645"/>
        <c:axId val="545755421"/>
      </c:lineChart>
      <c:catAx>
        <c:axId val="7911996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545755421"/>
      </c:catAx>
      <c:valAx>
        <c:axId val="545755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D9D9D9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791199645"/>
      </c:valAx>
    </c:plotArea>
    <c:plotVisOnly val="0"/>
  </c:chart>
  <c:spPr>
    <a:solidFill>
      <a:srgbClr val="FFFFFF">
        <a:alpha val="0"/>
      </a:srgbClr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9283693484042557"/>
          <c:y val="0.060084269662921415"/>
          <c:w val="0.897943207003546"/>
          <c:h val="0.8055056179775281"/>
        </c:manualLayout>
      </c:layout>
      <c:lineChart>
        <c:ser>
          <c:idx val="0"/>
          <c:order val="0"/>
          <c:tx>
            <c:strRef>
              <c:f>'Player Comparison 1'!$N$2:$N$14</c:f>
            </c:strRef>
          </c:tx>
          <c:spPr>
            <a:ln cmpd="sng" w="47625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Comparison 1'!$L$15:$L$29</c:f>
            </c:strRef>
          </c:cat>
          <c:val>
            <c:numRef>
              <c:f>'Player Comparison 1'!$N$15:$N$29</c:f>
              <c:numCache/>
            </c:numRef>
          </c:val>
          <c:smooth val="0"/>
        </c:ser>
        <c:ser>
          <c:idx val="1"/>
          <c:order val="1"/>
          <c:tx>
            <c:strRef>
              <c:f>'Player Comparison 1'!$M$2:$M$14</c:f>
            </c:strRef>
          </c:tx>
          <c:spPr>
            <a:ln cmpd="sng" w="47625">
              <a:solidFill>
                <a:srgbClr val="EA4335"/>
              </a:solidFill>
            </a:ln>
          </c:spPr>
          <c:marker>
            <c:symbol val="circle"/>
            <c:size val="10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Comparison 1'!$L$15:$L$29</c:f>
            </c:strRef>
          </c:cat>
          <c:val>
            <c:numRef>
              <c:f>'Player Comparison 1'!$M$15:$M$29</c:f>
              <c:numCache/>
            </c:numRef>
          </c:val>
          <c:smooth val="0"/>
        </c:ser>
        <c:axId val="814891518"/>
        <c:axId val="977068615"/>
      </c:lineChart>
      <c:catAx>
        <c:axId val="8148915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977068615"/>
      </c:catAx>
      <c:valAx>
        <c:axId val="9770686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D9D9D9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814891518"/>
      </c:valAx>
    </c:plotArea>
    <c:plotVisOnly val="0"/>
  </c:chart>
  <c:spPr>
    <a:solidFill>
      <a:srgbClr val="FFFFFF">
        <a:alpha val="0"/>
      </a:srgbClr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9283693484042557"/>
          <c:y val="0.060084269662921415"/>
          <c:w val="0.897943207003546"/>
          <c:h val="0.8055056179775281"/>
        </c:manualLayout>
      </c:layout>
      <c:lineChart>
        <c:ser>
          <c:idx val="0"/>
          <c:order val="0"/>
          <c:tx>
            <c:strRef>
              <c:f>'Player Lookup 3'!$I$2:$I$12</c:f>
            </c:strRef>
          </c:tx>
          <c:spPr>
            <a:ln cmpd="sng" w="47625">
              <a:solidFill>
                <a:srgbClr val="EA4335"/>
              </a:solidFill>
            </a:ln>
          </c:spPr>
          <c:marker>
            <c:symbol val="circle"/>
            <c:size val="10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3'!$H$13:$H$27</c:f>
            </c:strRef>
          </c:cat>
          <c:val>
            <c:numRef>
              <c:f>'Player Lookup 3'!$I$13:$I$27</c:f>
              <c:numCache/>
            </c:numRef>
          </c:val>
          <c:smooth val="0"/>
        </c:ser>
        <c:ser>
          <c:idx val="1"/>
          <c:order val="1"/>
          <c:tx>
            <c:strRef>
              <c:f>'Player Lookup 3'!$J$2:$J$12</c:f>
            </c:strRef>
          </c:tx>
          <c:spPr>
            <a:ln cmpd="sng" w="47625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3'!$H$13:$H$27</c:f>
            </c:strRef>
          </c:cat>
          <c:val>
            <c:numRef>
              <c:f>'Player Lookup 3'!$J$13:$J$27</c:f>
              <c:numCache/>
            </c:numRef>
          </c:val>
          <c:smooth val="0"/>
        </c:ser>
        <c:ser>
          <c:idx val="2"/>
          <c:order val="2"/>
          <c:tx>
            <c:strRef>
              <c:f>'Player Lookup 3'!$K$2:$K$12</c:f>
            </c:strRef>
          </c:tx>
          <c:spPr>
            <a:ln cmpd="sng" w="47625">
              <a:solidFill>
                <a:srgbClr val="FBBC04"/>
              </a:solidFill>
            </a:ln>
          </c:spPr>
          <c:marker>
            <c:symbol val="circle"/>
            <c:size val="10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3'!$H$13:$H$27</c:f>
            </c:strRef>
          </c:cat>
          <c:val>
            <c:numRef>
              <c:f>'Player Lookup 3'!$K$13:$K$27</c:f>
              <c:numCache/>
            </c:numRef>
          </c:val>
          <c:smooth val="0"/>
        </c:ser>
        <c:axId val="1842328277"/>
        <c:axId val="659539788"/>
      </c:lineChart>
      <c:catAx>
        <c:axId val="18423282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659539788"/>
      </c:catAx>
      <c:valAx>
        <c:axId val="6595397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D9D9D9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1842328277"/>
      </c:valAx>
    </c:plotArea>
    <c:plotVisOnly val="0"/>
  </c:chart>
  <c:spPr>
    <a:solidFill>
      <a:srgbClr val="FFFFFF">
        <a:alpha val="0"/>
      </a:srgbClr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9283693484042557"/>
          <c:y val="0.060084269662921415"/>
          <c:w val="0.897943207003546"/>
          <c:h val="0.8055056179775281"/>
        </c:manualLayout>
      </c:layout>
      <c:lineChart>
        <c:ser>
          <c:idx val="0"/>
          <c:order val="0"/>
          <c:tx>
            <c:strRef>
              <c:f>'Player Lookup 5'!$I$2:$I$12</c:f>
            </c:strRef>
          </c:tx>
          <c:spPr>
            <a:ln cmpd="sng" w="47625">
              <a:solidFill>
                <a:srgbClr val="EA4335"/>
              </a:solidFill>
            </a:ln>
          </c:spPr>
          <c:marker>
            <c:symbol val="circle"/>
            <c:size val="10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5'!$H$13:$H$27</c:f>
            </c:strRef>
          </c:cat>
          <c:val>
            <c:numRef>
              <c:f>'Player Lookup 5'!$I$13:$I$27</c:f>
              <c:numCache/>
            </c:numRef>
          </c:val>
          <c:smooth val="0"/>
        </c:ser>
        <c:ser>
          <c:idx val="1"/>
          <c:order val="1"/>
          <c:tx>
            <c:strRef>
              <c:f>'Player Lookup 5'!$J$2:$J$12</c:f>
            </c:strRef>
          </c:tx>
          <c:spPr>
            <a:ln cmpd="sng" w="47625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5'!$H$13:$H$27</c:f>
            </c:strRef>
          </c:cat>
          <c:val>
            <c:numRef>
              <c:f>'Player Lookup 5'!$J$13:$J$27</c:f>
              <c:numCache/>
            </c:numRef>
          </c:val>
          <c:smooth val="0"/>
        </c:ser>
        <c:ser>
          <c:idx val="2"/>
          <c:order val="2"/>
          <c:tx>
            <c:strRef>
              <c:f>'Player Lookup 5'!$K$2:$K$12</c:f>
            </c:strRef>
          </c:tx>
          <c:spPr>
            <a:ln cmpd="sng" w="47625">
              <a:solidFill>
                <a:srgbClr val="FBBC04"/>
              </a:solidFill>
            </a:ln>
          </c:spPr>
          <c:marker>
            <c:symbol val="circle"/>
            <c:size val="10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5'!$H$13:$H$27</c:f>
            </c:strRef>
          </c:cat>
          <c:val>
            <c:numRef>
              <c:f>'Player Lookup 5'!$K$13:$K$27</c:f>
              <c:numCache/>
            </c:numRef>
          </c:val>
          <c:smooth val="0"/>
        </c:ser>
        <c:axId val="579313772"/>
        <c:axId val="599642334"/>
      </c:lineChart>
      <c:catAx>
        <c:axId val="5793137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599642334"/>
      </c:catAx>
      <c:valAx>
        <c:axId val="5996423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D9D9D9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579313772"/>
      </c:valAx>
    </c:plotArea>
    <c:plotVisOnly val="0"/>
  </c:chart>
  <c:spPr>
    <a:solidFill>
      <a:srgbClr val="FFFFFF">
        <a:alpha val="0"/>
      </a:srgbClr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9283693484042557"/>
          <c:y val="0.060084269662921415"/>
          <c:w val="0.897943207003546"/>
          <c:h val="0.8055056179775281"/>
        </c:manualLayout>
      </c:layout>
      <c:lineChart>
        <c:ser>
          <c:idx val="0"/>
          <c:order val="0"/>
          <c:tx>
            <c:strRef>
              <c:f>'Player Comparison 2'!$N$2:$N$14</c:f>
            </c:strRef>
          </c:tx>
          <c:spPr>
            <a:ln cmpd="sng" w="47625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Comparison 2'!$L$15:$L$29</c:f>
            </c:strRef>
          </c:cat>
          <c:val>
            <c:numRef>
              <c:f>'Player Comparison 2'!$N$15:$N$29</c:f>
              <c:numCache/>
            </c:numRef>
          </c:val>
          <c:smooth val="0"/>
        </c:ser>
        <c:ser>
          <c:idx val="1"/>
          <c:order val="1"/>
          <c:tx>
            <c:strRef>
              <c:f>'Player Comparison 2'!$M$2:$M$14</c:f>
            </c:strRef>
          </c:tx>
          <c:spPr>
            <a:ln cmpd="sng" w="47625">
              <a:solidFill>
                <a:srgbClr val="EA4335"/>
              </a:solidFill>
            </a:ln>
          </c:spPr>
          <c:marker>
            <c:symbol val="circle"/>
            <c:size val="10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Comparison 2'!$L$15:$L$29</c:f>
            </c:strRef>
          </c:cat>
          <c:val>
            <c:numRef>
              <c:f>'Player Comparison 2'!$M$15:$M$29</c:f>
              <c:numCache/>
            </c:numRef>
          </c:val>
          <c:smooth val="0"/>
        </c:ser>
        <c:axId val="724853881"/>
        <c:axId val="1270564461"/>
      </c:lineChart>
      <c:catAx>
        <c:axId val="7248538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1270564461"/>
      </c:catAx>
      <c:valAx>
        <c:axId val="12705644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D9D9D9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724853881"/>
      </c:valAx>
    </c:plotArea>
    <c:plotVisOnly val="0"/>
  </c:chart>
  <c:spPr>
    <a:solidFill>
      <a:srgbClr val="FFFFFF">
        <a:alpha val="0"/>
      </a:srgbClr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9283693484042557"/>
          <c:y val="0.060084269662921415"/>
          <c:w val="0.897943207003546"/>
          <c:h val="0.8055056179775281"/>
        </c:manualLayout>
      </c:layout>
      <c:lineChart>
        <c:ser>
          <c:idx val="0"/>
          <c:order val="0"/>
          <c:tx>
            <c:strRef>
              <c:f>'Player Lookup &amp; Forecast 1'!$J$8:$J$13</c:f>
            </c:strRef>
          </c:tx>
          <c:spPr>
            <a:ln cmpd="sng" w="47625">
              <a:solidFill>
                <a:srgbClr val="EA4335"/>
              </a:solidFill>
            </a:ln>
          </c:spPr>
          <c:marker>
            <c:symbol val="circle"/>
            <c:size val="10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&amp; Forecast 1'!$I$14:$I$33</c:f>
            </c:strRef>
          </c:cat>
          <c:val>
            <c:numRef>
              <c:f>'Player Lookup &amp; Forecast 1'!$J$14:$J$33</c:f>
              <c:numCache/>
            </c:numRef>
          </c:val>
          <c:smooth val="0"/>
        </c:ser>
        <c:ser>
          <c:idx val="1"/>
          <c:order val="1"/>
          <c:tx>
            <c:strRef>
              <c:f>'Player Lookup &amp; Forecast 1'!$K$8:$K$13</c:f>
            </c:strRef>
          </c:tx>
          <c:spPr>
            <a:ln cmpd="sng" w="47625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&amp; Forecast 1'!$I$14:$I$33</c:f>
            </c:strRef>
          </c:cat>
          <c:val>
            <c:numRef>
              <c:f>'Player Lookup &amp; Forecast 1'!$K$14:$K$33</c:f>
              <c:numCache/>
            </c:numRef>
          </c:val>
          <c:smooth val="0"/>
        </c:ser>
        <c:ser>
          <c:idx val="2"/>
          <c:order val="2"/>
          <c:tx>
            <c:strRef>
              <c:f>'Player Lookup &amp; Forecast 1'!$L$8:$L$13</c:f>
            </c:strRef>
          </c:tx>
          <c:spPr>
            <a:ln cmpd="sng" w="47625">
              <a:solidFill>
                <a:srgbClr val="FBBC04"/>
              </a:solidFill>
            </a:ln>
          </c:spPr>
          <c:marker>
            <c:symbol val="circle"/>
            <c:size val="10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&amp; Forecast 1'!$I$14:$I$33</c:f>
            </c:strRef>
          </c:cat>
          <c:val>
            <c:numRef>
              <c:f>'Player Lookup &amp; Forecast 1'!$L$14:$L$33</c:f>
              <c:numCache/>
            </c:numRef>
          </c:val>
          <c:smooth val="0"/>
        </c:ser>
        <c:axId val="1562899533"/>
        <c:axId val="747709086"/>
      </c:lineChart>
      <c:catAx>
        <c:axId val="15628995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747709086"/>
      </c:catAx>
      <c:valAx>
        <c:axId val="7477090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D9D9D9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1562899533"/>
      </c:valAx>
    </c:plotArea>
    <c:plotVisOnly val="0"/>
  </c:chart>
  <c:spPr>
    <a:solidFill>
      <a:srgbClr val="FFFFFF">
        <a:alpha val="0"/>
      </a:srgbClr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9283693484042557"/>
          <c:y val="0.060084269662921415"/>
          <c:w val="0.897943207003546"/>
          <c:h val="0.8055056179775281"/>
        </c:manualLayout>
      </c:layout>
      <c:lineChart>
        <c:ser>
          <c:idx val="0"/>
          <c:order val="0"/>
          <c:tx>
            <c:strRef>
              <c:f>'Player Lookup &amp; Forecast 2'!$J$8:$J$12</c:f>
            </c:strRef>
          </c:tx>
          <c:spPr>
            <a:ln cmpd="sng" w="47625">
              <a:solidFill>
                <a:srgbClr val="EA4335"/>
              </a:solidFill>
            </a:ln>
          </c:spPr>
          <c:marker>
            <c:symbol val="circle"/>
            <c:size val="10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&amp; Forecast 2'!$I$13:$I$33</c:f>
            </c:strRef>
          </c:cat>
          <c:val>
            <c:numRef>
              <c:f>'Player Lookup &amp; Forecast 2'!$J$13:$J$33</c:f>
              <c:numCache/>
            </c:numRef>
          </c:val>
          <c:smooth val="0"/>
        </c:ser>
        <c:ser>
          <c:idx val="1"/>
          <c:order val="1"/>
          <c:tx>
            <c:strRef>
              <c:f>'Player Lookup &amp; Forecast 2'!$K$8:$K$12</c:f>
            </c:strRef>
          </c:tx>
          <c:spPr>
            <a:ln cmpd="sng" w="47625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&amp; Forecast 2'!$I$13:$I$33</c:f>
            </c:strRef>
          </c:cat>
          <c:val>
            <c:numRef>
              <c:f>'Player Lookup &amp; Forecast 2'!$K$13:$K$33</c:f>
              <c:numCache/>
            </c:numRef>
          </c:val>
          <c:smooth val="0"/>
        </c:ser>
        <c:ser>
          <c:idx val="2"/>
          <c:order val="2"/>
          <c:tx>
            <c:strRef>
              <c:f>'Player Lookup &amp; Forecast 2'!$L$8:$L$12</c:f>
            </c:strRef>
          </c:tx>
          <c:spPr>
            <a:ln cmpd="sng" w="47625">
              <a:solidFill>
                <a:srgbClr val="FBBC04"/>
              </a:solidFill>
            </a:ln>
          </c:spPr>
          <c:marker>
            <c:symbol val="circle"/>
            <c:size val="10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'Player Lookup &amp; Forecast 2'!$I$13:$I$33</c:f>
            </c:strRef>
          </c:cat>
          <c:val>
            <c:numRef>
              <c:f>'Player Lookup &amp; Forecast 2'!$L$13:$L$33</c:f>
              <c:numCache/>
            </c:numRef>
          </c:val>
          <c:smooth val="0"/>
        </c:ser>
        <c:axId val="77400008"/>
        <c:axId val="1370923099"/>
      </c:lineChart>
      <c:catAx>
        <c:axId val="77400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1370923099"/>
      </c:catAx>
      <c:valAx>
        <c:axId val="13709230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D9D9D9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1">
                <a:solidFill>
                  <a:srgbClr val="000000"/>
                </a:solidFill>
                <a:latin typeface="Verdana"/>
              </a:defRPr>
            </a:pPr>
          </a:p>
        </c:txPr>
        <c:crossAx val="77400008"/>
      </c:valAx>
    </c:plotArea>
    <c:plotVisOnly val="0"/>
  </c:chart>
  <c:spPr>
    <a:solidFill>
      <a:srgbClr val="FFFFFF">
        <a:alpha val="0"/>
      </a:srgbClr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171450</xdr:colOff>
      <xdr:row>3</xdr:row>
      <xdr:rowOff>66675</xdr:rowOff>
    </xdr:from>
    <xdr:ext cx="8191500" cy="51816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171450</xdr:colOff>
      <xdr:row>3</xdr:row>
      <xdr:rowOff>66675</xdr:rowOff>
    </xdr:from>
    <xdr:ext cx="8191500" cy="51816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171450</xdr:colOff>
      <xdr:row>3</xdr:row>
      <xdr:rowOff>66675</xdr:rowOff>
    </xdr:from>
    <xdr:ext cx="8191500" cy="51816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38100</xdr:rowOff>
    </xdr:from>
    <xdr:ext cx="10582275" cy="56483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171450</xdr:colOff>
      <xdr:row>3</xdr:row>
      <xdr:rowOff>66675</xdr:rowOff>
    </xdr:from>
    <xdr:ext cx="8191500" cy="51816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171450</xdr:colOff>
      <xdr:row>3</xdr:row>
      <xdr:rowOff>66675</xdr:rowOff>
    </xdr:from>
    <xdr:ext cx="8191500" cy="518160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38100</xdr:rowOff>
    </xdr:from>
    <xdr:ext cx="10582275" cy="564832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180975</xdr:colOff>
      <xdr:row>3</xdr:row>
      <xdr:rowOff>9525</xdr:rowOff>
    </xdr:from>
    <xdr:ext cx="8191500" cy="564832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180975</xdr:colOff>
      <xdr:row>3</xdr:row>
      <xdr:rowOff>9525</xdr:rowOff>
    </xdr:from>
    <xdr:ext cx="8191500" cy="56483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www.bball-index.com/lebron-introduction/" TargetMode="External"/><Relationship Id="rId3" Type="http://schemas.openxmlformats.org/officeDocument/2006/relationships/drawing" Target="../drawings/drawing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s://www.bball-index.com/lebron-introduction/" TargetMode="External"/><Relationship Id="rId3" Type="http://schemas.openxmlformats.org/officeDocument/2006/relationships/drawing" Target="../drawings/drawing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hyperlink" Target="https://www.bball-index.com/lebron-introduction/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ball-index.com/lebron-introduction/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hyperlink" Target="https://www.bball-index.com/lebron-introduction/" TargetMode="External"/><Relationship Id="rId3" Type="http://schemas.openxmlformats.org/officeDocument/2006/relationships/drawing" Target="../drawings/drawing6.xm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www.bball-index.com/lebron-introduction/" TargetMode="External"/><Relationship Id="rId3" Type="http://schemas.openxmlformats.org/officeDocument/2006/relationships/drawing" Target="../drawings/drawing7.xm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ball-index.com/lebron-introduction/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ball-index.com/lebron-introduction/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ball-index.com/lebron-introduction/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ball-index.com/lebron-introduction/" TargetMode="Externa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7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8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6.86"/>
    <col customWidth="1" min="2" max="2" width="18.14"/>
    <col customWidth="1" min="3" max="3" width="22.57"/>
    <col customWidth="1" min="4" max="4" width="6.86"/>
    <col customWidth="1" min="5" max="5" width="34.43"/>
    <col customWidth="1" min="6" max="6" width="7.86"/>
    <col customWidth="1" min="7" max="7" width="12.0"/>
    <col customWidth="1" min="8" max="8" width="10.71"/>
    <col customWidth="1" min="9" max="9" width="12.29"/>
    <col customWidth="1" min="10" max="10" width="6.43"/>
    <col customWidth="1" min="11" max="14" width="17.57"/>
    <col customWidth="1" min="15" max="15" width="6.86"/>
    <col hidden="1" min="16" max="17" width="14.43"/>
  </cols>
  <sheetData>
    <row r="1">
      <c r="A1" s="1"/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1"/>
      <c r="P1" s="1"/>
      <c r="Q1" s="1"/>
    </row>
    <row r="2">
      <c r="A2" s="1"/>
      <c r="B2" s="3" t="s">
        <v>0</v>
      </c>
      <c r="C2" s="4" t="s">
        <v>1</v>
      </c>
      <c r="D2" s="1"/>
      <c r="E2" s="5" t="s">
        <v>2</v>
      </c>
      <c r="F2" s="6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6" t="s">
        <v>8</v>
      </c>
      <c r="L2" s="6" t="s">
        <v>9</v>
      </c>
      <c r="M2" s="6" t="s">
        <v>10</v>
      </c>
      <c r="N2" s="6" t="s">
        <v>11</v>
      </c>
      <c r="O2" s="1"/>
      <c r="P2" s="1"/>
      <c r="Q2" s="1"/>
    </row>
    <row r="3">
      <c r="A3" s="1"/>
      <c r="B3" s="3" t="s">
        <v>12</v>
      </c>
      <c r="C3" s="4" t="s">
        <v>13</v>
      </c>
      <c r="D3" s="1"/>
      <c r="E3" s="1" t="str">
        <f>IFERROR(__xludf.DUMMYFUNCTION("sort(filter(Data!B:B,Data!C:C=C3,Data!D:D=C2),filter(Data!N:N,Data!C:C=C3,Data!D:D=C2),FALSE)"),"Kevin Durant")</f>
        <v>Kevin Durant</v>
      </c>
      <c r="F3" s="8">
        <f t="shared" ref="F3:F23" si="1">if(H3&lt;&gt;"",G3/H3,"")</f>
        <v>35.76359649</v>
      </c>
      <c r="G3" s="9">
        <f>IFERROR(__xludf.DUMMYFUNCTION("sort(filter(Data!F:M,Data!C:C=C3,Data!D:D=C2),filter(Data!N:N,Data!C:C=C3,Data!D:D=C2),FALSE)"),679.508333333333)</f>
        <v>679.5083333</v>
      </c>
      <c r="H3" s="2">
        <f>IFERROR(__xludf.DUMMYFUNCTION("""COMPUTED_VALUE"""),19.0)</f>
        <v>19</v>
      </c>
      <c r="I3" s="2" t="str">
        <f>IFERROR(__xludf.DUMMYFUNCTION("""COMPUTED_VALUE"""),"PF")</f>
        <v>PF</v>
      </c>
      <c r="J3" s="2">
        <f>IFERROR(__xludf.DUMMYFUNCTION("""COMPUTED_VALUE"""),32.0)</f>
        <v>32</v>
      </c>
      <c r="K3" s="10">
        <f>IFERROR(__xludf.DUMMYFUNCTION("""COMPUTED_VALUE"""),3.57959286226338)</f>
        <v>3.579592862</v>
      </c>
      <c r="L3" s="10">
        <f>IFERROR(__xludf.DUMMYFUNCTION("""COMPUTED_VALUE"""),4.16560393576605)</f>
        <v>4.165603936</v>
      </c>
      <c r="M3" s="10">
        <f>IFERROR(__xludf.DUMMYFUNCTION("""COMPUTED_VALUE"""),-0.586011073502672)</f>
        <v>-0.5860110735</v>
      </c>
      <c r="N3" s="11">
        <f>IFERROR(__xludf.DUMMYFUNCTION("""COMPUTED_VALUE"""),2.6588685140748853)</f>
        <v>2.658868514</v>
      </c>
      <c r="O3" s="1"/>
      <c r="P3" s="1" t="s">
        <v>14</v>
      </c>
      <c r="Q3" s="12">
        <f>IFERROR(__xludf.DUMMYFUNCTION("iferror(round(correl(filter(Data!J:J,Data!C:C=C$3,Data!D:D=P3,Data!F:F&gt;=250),filter(Data!N:N,Data!C:C=C$3,Data!D:D=P3,Data!F:F&gt;=250)),2),"""")"),-0.14)</f>
        <v>-0.14</v>
      </c>
    </row>
    <row r="4">
      <c r="A4" s="1"/>
      <c r="B4" s="1"/>
      <c r="C4" s="1"/>
      <c r="D4" s="1"/>
      <c r="E4" s="1" t="str">
        <f>IFERROR(__xludf.DUMMYFUNCTION("""COMPUTED_VALUE"""),"Kyrie Irving")</f>
        <v>Kyrie Irving</v>
      </c>
      <c r="F4" s="8">
        <f t="shared" si="1"/>
        <v>35.45863636</v>
      </c>
      <c r="G4" s="9">
        <f>IFERROR(__xludf.DUMMYFUNCTION("""COMPUTED_VALUE"""),780.09)</f>
        <v>780.09</v>
      </c>
      <c r="H4" s="2">
        <f>IFERROR(__xludf.DUMMYFUNCTION("""COMPUTED_VALUE"""),22.0)</f>
        <v>22</v>
      </c>
      <c r="I4" s="2" t="str">
        <f>IFERROR(__xludf.DUMMYFUNCTION("""COMPUTED_VALUE"""),"PG")</f>
        <v>PG</v>
      </c>
      <c r="J4" s="2">
        <f>IFERROR(__xludf.DUMMYFUNCTION("""COMPUTED_VALUE"""),28.0)</f>
        <v>28</v>
      </c>
      <c r="K4" s="10">
        <f>IFERROR(__xludf.DUMMYFUNCTION("""COMPUTED_VALUE"""),2.71699398264939)</f>
        <v>2.716993983</v>
      </c>
      <c r="L4" s="10">
        <f>IFERROR(__xludf.DUMMYFUNCTION("""COMPUTED_VALUE"""),4.22253766584973)</f>
        <v>4.222537666</v>
      </c>
      <c r="M4" s="10">
        <f>IFERROR(__xludf.DUMMYFUNCTION("""COMPUTED_VALUE"""),-1.50554368320034)</f>
        <v>-1.505543683</v>
      </c>
      <c r="N4" s="11">
        <f>IFERROR(__xludf.DUMMYFUNCTION("""COMPUTED_VALUE"""),2.6171077984393327)</f>
        <v>2.617107798</v>
      </c>
      <c r="O4" s="1"/>
      <c r="P4" s="1" t="s">
        <v>15</v>
      </c>
      <c r="Q4" s="12">
        <f>IFERROR(__xludf.DUMMYFUNCTION("iferror(round(correl(filter(Data!J:J,Data!C:C=C$3,Data!D:D=P4,Data!F:F&gt;=250),filter(Data!N:N,Data!C:C=C$3,Data!D:D=P4,Data!F:F&gt;=250)),2),"""")"),0.88)</f>
        <v>0.88</v>
      </c>
    </row>
    <row r="5">
      <c r="A5" s="1"/>
      <c r="B5" s="13" t="s">
        <v>16</v>
      </c>
      <c r="D5" s="1"/>
      <c r="E5" s="1" t="str">
        <f>IFERROR(__xludf.DUMMYFUNCTION("""COMPUTED_VALUE"""),"Joe Harris")</f>
        <v>Joe Harris</v>
      </c>
      <c r="F5" s="8">
        <f t="shared" si="1"/>
        <v>31.07911458</v>
      </c>
      <c r="G5" s="9">
        <f>IFERROR(__xludf.DUMMYFUNCTION("""COMPUTED_VALUE"""),994.531666666667)</f>
        <v>994.5316667</v>
      </c>
      <c r="H5" s="2">
        <f>IFERROR(__xludf.DUMMYFUNCTION("""COMPUTED_VALUE"""),32.0)</f>
        <v>32</v>
      </c>
      <c r="I5" s="2" t="str">
        <f>IFERROR(__xludf.DUMMYFUNCTION("""COMPUTED_VALUE"""),"SF")</f>
        <v>SF</v>
      </c>
      <c r="J5" s="2">
        <f>IFERROR(__xludf.DUMMYFUNCTION("""COMPUTED_VALUE"""),29.0)</f>
        <v>29</v>
      </c>
      <c r="K5" s="10">
        <f>IFERROR(__xludf.DUMMYFUNCTION("""COMPUTED_VALUE"""),-0.560059479623988)</f>
        <v>-0.5600594796</v>
      </c>
      <c r="L5" s="10">
        <f>IFERROR(__xludf.DUMMYFUNCTION("""COMPUTED_VALUE"""),0.902919326006878)</f>
        <v>0.902919326</v>
      </c>
      <c r="M5" s="10">
        <f>IFERROR(__xludf.DUMMYFUNCTION("""COMPUTED_VALUE"""),-1.46297880563087)</f>
        <v>-1.462978806</v>
      </c>
      <c r="N5" s="11">
        <f>IFERROR(__xludf.DUMMYFUNCTION("""COMPUTED_VALUE"""),1.1578782348533858)</f>
        <v>1.157878235</v>
      </c>
      <c r="O5" s="1"/>
      <c r="P5" s="1" t="s">
        <v>17</v>
      </c>
      <c r="Q5" s="12">
        <f>IFERROR(__xludf.DUMMYFUNCTION("iferror(round(correl(filter(Data!J:J,Data!C:C=C$3,Data!D:D=P5,Data!F:F&gt;=250),filter(Data!N:N,Data!C:C=C$3,Data!D:D=P5,Data!F:F&gt;=250)),2),"""")"),0.42)</f>
        <v>0.42</v>
      </c>
    </row>
    <row r="6">
      <c r="A6" s="1"/>
      <c r="B6" s="12">
        <f>IFERROR(__xludf.DUMMYFUNCTION("round(correl(filter(F:F,G:G&gt;=250),filter(K:K,G:G&gt;=250)),2)"),0.81)</f>
        <v>0.81</v>
      </c>
      <c r="D6" s="1"/>
      <c r="E6" s="1" t="str">
        <f>IFERROR(__xludf.DUMMYFUNCTION("""COMPUTED_VALUE"""),"Caris LeVert")</f>
        <v>Caris LeVert</v>
      </c>
      <c r="F6" s="8">
        <f t="shared" si="1"/>
        <v>27.80666667</v>
      </c>
      <c r="G6" s="9">
        <f>IFERROR(__xludf.DUMMYFUNCTION("""COMPUTED_VALUE"""),333.68)</f>
        <v>333.68</v>
      </c>
      <c r="H6" s="2">
        <f>IFERROR(__xludf.DUMMYFUNCTION("""COMPUTED_VALUE"""),12.0)</f>
        <v>12</v>
      </c>
      <c r="I6" s="2" t="str">
        <f>IFERROR(__xludf.DUMMYFUNCTION("""COMPUTED_VALUE"""),"SG")</f>
        <v>SG</v>
      </c>
      <c r="J6" s="2">
        <f>IFERROR(__xludf.DUMMYFUNCTION("""COMPUTED_VALUE"""),26.0)</f>
        <v>26</v>
      </c>
      <c r="K6" s="10">
        <f>IFERROR(__xludf.DUMMYFUNCTION("""COMPUTED_VALUE"""),1.68884757809565)</f>
        <v>1.688847578</v>
      </c>
      <c r="L6" s="10">
        <f>IFERROR(__xludf.DUMMYFUNCTION("""COMPUTED_VALUE"""),2.25987982196182)</f>
        <v>2.259879822</v>
      </c>
      <c r="M6" s="10">
        <f>IFERROR(__xludf.DUMMYFUNCTION("""COMPUTED_VALUE"""),-0.571032243866169)</f>
        <v>-0.5710322439</v>
      </c>
      <c r="N6" s="11">
        <f>IFERROR(__xludf.DUMMYFUNCTION("""COMPUTED_VALUE"""),0.8928544024873322)</f>
        <v>0.8928544025</v>
      </c>
      <c r="O6" s="1"/>
      <c r="P6" s="1" t="s">
        <v>18</v>
      </c>
      <c r="Q6" s="12">
        <f>IFERROR(__xludf.DUMMYFUNCTION("iferror(round(correl(filter(Data!J:J,Data!C:C=C$3,Data!D:D=P6,Data!F:F&gt;=250),filter(Data!N:N,Data!C:C=C$3,Data!D:D=P6,Data!F:F&gt;=250)),2),"""")"),0.4)</f>
        <v>0.4</v>
      </c>
    </row>
    <row r="7">
      <c r="A7" s="1"/>
      <c r="B7" s="14" t="str">
        <f>"'"&amp;right(C3,5)&amp;" Rank:"</f>
        <v>'20-21 Rank:</v>
      </c>
      <c r="C7" s="2">
        <f>rank(B6,C11:C40)</f>
        <v>3</v>
      </c>
      <c r="D7" s="1"/>
      <c r="E7" s="1" t="str">
        <f>IFERROR(__xludf.DUMMYFUNCTION("""COMPUTED_VALUE"""),"Jeff Green")</f>
        <v>Jeff Green</v>
      </c>
      <c r="F7" s="8">
        <f t="shared" si="1"/>
        <v>26.49557292</v>
      </c>
      <c r="G7" s="9">
        <f>IFERROR(__xludf.DUMMYFUNCTION("""COMPUTED_VALUE"""),847.858333333333)</f>
        <v>847.8583333</v>
      </c>
      <c r="H7" s="2">
        <f>IFERROR(__xludf.DUMMYFUNCTION("""COMPUTED_VALUE"""),32.0)</f>
        <v>32</v>
      </c>
      <c r="I7" s="2" t="str">
        <f>IFERROR(__xludf.DUMMYFUNCTION("""COMPUTED_VALUE"""),"PF")</f>
        <v>PF</v>
      </c>
      <c r="J7" s="2">
        <f>IFERROR(__xludf.DUMMYFUNCTION("""COMPUTED_VALUE"""),34.0)</f>
        <v>34</v>
      </c>
      <c r="K7" s="10">
        <f>IFERROR(__xludf.DUMMYFUNCTION("""COMPUTED_VALUE"""),-1.74435476425401)</f>
        <v>-1.744354764</v>
      </c>
      <c r="L7" s="10">
        <f>IFERROR(__xludf.DUMMYFUNCTION("""COMPUTED_VALUE"""),-0.176676124263832)</f>
        <v>-0.1766761243</v>
      </c>
      <c r="M7" s="10">
        <f>IFERROR(__xludf.DUMMYFUNCTION("""COMPUTED_VALUE"""),-1.56767863999018)</f>
        <v>-1.56767864</v>
      </c>
      <c r="N7" s="11">
        <f>IFERROR(__xludf.DUMMYFUNCTION("""COMPUTED_VALUE"""),0.31420479839677046)</f>
        <v>0.3142047984</v>
      </c>
      <c r="O7" s="1"/>
      <c r="P7" s="1" t="s">
        <v>19</v>
      </c>
      <c r="Q7" s="12">
        <f>IFERROR(__xludf.DUMMYFUNCTION("iferror(round(correl(filter(Data!J:J,Data!C:C=C$3,Data!D:D=P7,Data!F:F&gt;=250),filter(Data!N:N,Data!C:C=C$3,Data!D:D=P7,Data!F:F&gt;=250)),2),"""")"),0.68)</f>
        <v>0.68</v>
      </c>
    </row>
    <row r="8">
      <c r="A8" s="1"/>
      <c r="B8" s="1"/>
      <c r="C8" s="1"/>
      <c r="D8" s="1"/>
      <c r="E8" s="1" t="str">
        <f>IFERROR(__xludf.DUMMYFUNCTION("""COMPUTED_VALUE"""),"DeAndre Jordan")</f>
        <v>DeAndre Jordan</v>
      </c>
      <c r="F8" s="8">
        <f t="shared" si="1"/>
        <v>22.04127778</v>
      </c>
      <c r="G8" s="9">
        <f>IFERROR(__xludf.DUMMYFUNCTION("""COMPUTED_VALUE"""),661.238333333333)</f>
        <v>661.2383333</v>
      </c>
      <c r="H8" s="2">
        <f>IFERROR(__xludf.DUMMYFUNCTION("""COMPUTED_VALUE"""),30.0)</f>
        <v>30</v>
      </c>
      <c r="I8" s="2" t="str">
        <f>IFERROR(__xludf.DUMMYFUNCTION("""COMPUTED_VALUE"""),"C")</f>
        <v>C</v>
      </c>
      <c r="J8" s="2">
        <f>IFERROR(__xludf.DUMMYFUNCTION("""COMPUTED_VALUE"""),32.0)</f>
        <v>32</v>
      </c>
      <c r="K8" s="10">
        <f>IFERROR(__xludf.DUMMYFUNCTION("""COMPUTED_VALUE"""),0.531761445085516)</f>
        <v>0.5317614451</v>
      </c>
      <c r="L8" s="10">
        <f>IFERROR(__xludf.DUMMYFUNCTION("""COMPUTED_VALUE"""),-1.14440232041805)</f>
        <v>-1.14440232</v>
      </c>
      <c r="M8" s="10">
        <f>IFERROR(__xludf.DUMMYFUNCTION("""COMPUTED_VALUE"""),1.67616376550356)</f>
        <v>1.676163766</v>
      </c>
      <c r="N8" s="11">
        <f>IFERROR(__xludf.DUMMYFUNCTION("""COMPUTED_VALUE"""),1.2563753515152294)</f>
        <v>1.256375352</v>
      </c>
      <c r="O8" s="1"/>
      <c r="P8" s="1" t="s">
        <v>20</v>
      </c>
      <c r="Q8" s="12" t="str">
        <f>IFERROR(__xludf.DUMMYFUNCTION("iferror(round(correl(filter(Data!J:J,Data!C:C=C$3,Data!D:D=P8,Data!F:F&gt;=250),filter(Data!N:N,Data!C:C=C$3,Data!D:D=P8,Data!F:F&gt;=250)),2),"""")"),"")</f>
        <v/>
      </c>
    </row>
    <row r="9">
      <c r="A9" s="1"/>
      <c r="B9" s="14" t="str">
        <f>"Other "&amp;C3&amp;" Teams:"</f>
        <v>Other 2020-21 Teams:</v>
      </c>
      <c r="D9" s="1"/>
      <c r="E9" s="1" t="str">
        <f>IFERROR(__xludf.DUMMYFUNCTION("""COMPUTED_VALUE"""),"Spencer Dinwiddie")</f>
        <v>Spencer Dinwiddie</v>
      </c>
      <c r="F9" s="8">
        <f t="shared" si="1"/>
        <v>21.44444444</v>
      </c>
      <c r="G9" s="9">
        <f>IFERROR(__xludf.DUMMYFUNCTION("""COMPUTED_VALUE"""),64.3333333333333)</f>
        <v>64.33333333</v>
      </c>
      <c r="H9" s="2">
        <f>IFERROR(__xludf.DUMMYFUNCTION("""COMPUTED_VALUE"""),3.0)</f>
        <v>3</v>
      </c>
      <c r="I9" s="2" t="str">
        <f>IFERROR(__xludf.DUMMYFUNCTION("""COMPUTED_VALUE"""),"SG")</f>
        <v>SG</v>
      </c>
      <c r="J9" s="2">
        <f>IFERROR(__xludf.DUMMYFUNCTION("""COMPUTED_VALUE"""),27.0)</f>
        <v>27</v>
      </c>
      <c r="K9" s="10">
        <f>IFERROR(__xludf.DUMMYFUNCTION("""COMPUTED_VALUE"""),0.124283334390906)</f>
        <v>0.1242833344</v>
      </c>
      <c r="L9" s="10">
        <f>IFERROR(__xludf.DUMMYFUNCTION("""COMPUTED_VALUE"""),0.0177278053129077)</f>
        <v>0.01772780531</v>
      </c>
      <c r="M9" s="10">
        <f>IFERROR(__xludf.DUMMYFUNCTION("""COMPUTED_VALUE"""),0.106555529077999)</f>
        <v>0.1065555291</v>
      </c>
      <c r="N9" s="11">
        <f>IFERROR(__xludf.DUMMYFUNCTION("""COMPUTED_VALUE"""),0.10457096580084917)</f>
        <v>0.1045709658</v>
      </c>
      <c r="O9" s="1"/>
      <c r="P9" s="1" t="s">
        <v>21</v>
      </c>
      <c r="Q9" s="12">
        <f>IFERROR(__xludf.DUMMYFUNCTION("iferror(round(correl(filter(Data!J:J,Data!C:C=C$3,Data!D:D=P9,Data!F:F&gt;=250),filter(Data!N:N,Data!C:C=C$3,Data!D:D=P9,Data!F:F&gt;=250)),2),"""")"),0.6)</f>
        <v>0.6</v>
      </c>
    </row>
    <row r="10">
      <c r="A10" s="1"/>
      <c r="B10" s="15" t="s">
        <v>22</v>
      </c>
      <c r="C10" s="15" t="s">
        <v>23</v>
      </c>
      <c r="D10" s="1"/>
      <c r="E10" s="1" t="str">
        <f>IFERROR(__xludf.DUMMYFUNCTION("""COMPUTED_VALUE"""),"Bruce Brown")</f>
        <v>Bruce Brown</v>
      </c>
      <c r="F10" s="8">
        <f t="shared" si="1"/>
        <v>19.7139881</v>
      </c>
      <c r="G10" s="9">
        <f>IFERROR(__xludf.DUMMYFUNCTION("""COMPUTED_VALUE"""),551.991666666667)</f>
        <v>551.9916667</v>
      </c>
      <c r="H10" s="2">
        <f>IFERROR(__xludf.DUMMYFUNCTION("""COMPUTED_VALUE"""),28.0)</f>
        <v>28</v>
      </c>
      <c r="I10" s="2" t="str">
        <f>IFERROR(__xludf.DUMMYFUNCTION("""COMPUTED_VALUE"""),"PG")</f>
        <v>PG</v>
      </c>
      <c r="J10" s="2">
        <f>IFERROR(__xludf.DUMMYFUNCTION("""COMPUTED_VALUE"""),24.0)</f>
        <v>24</v>
      </c>
      <c r="K10" s="10">
        <f>IFERROR(__xludf.DUMMYFUNCTION("""COMPUTED_VALUE"""),-1.20902701181368)</f>
        <v>-1.209027012</v>
      </c>
      <c r="L10" s="10">
        <f>IFERROR(__xludf.DUMMYFUNCTION("""COMPUTED_VALUE"""),-0.703230828240303)</f>
        <v>-0.7032308282</v>
      </c>
      <c r="M10" s="10">
        <f>IFERROR(__xludf.DUMMYFUNCTION("""COMPUTED_VALUE"""),-0.505796183573381)</f>
        <v>-0.5057961836</v>
      </c>
      <c r="N10" s="11">
        <f>IFERROR(__xludf.DUMMYFUNCTION("""COMPUTED_VALUE"""),0.4019626206510802)</f>
        <v>0.4019626207</v>
      </c>
      <c r="O10" s="1"/>
      <c r="P10" s="1" t="s">
        <v>24</v>
      </c>
      <c r="Q10" s="12">
        <f>IFERROR(__xludf.DUMMYFUNCTION("iferror(round(correl(filter(Data!J:J,Data!C:C=C$3,Data!D:D=P10,Data!F:F&gt;=250),filter(Data!N:N,Data!C:C=C$3,Data!D:D=P10,Data!F:F&gt;=250)),2),"""")"),0.2)</f>
        <v>0.2</v>
      </c>
    </row>
    <row r="11">
      <c r="A11" s="1"/>
      <c r="B11" s="2" t="str">
        <f>IFERROR(__xludf.DUMMYFUNCTION("sort(filter(P:Q,Q:Q&lt;&gt;"""",P:P&lt;&gt;""TOT""),filter(Q:Q,Q:Q&lt;&gt;"""",P:P&lt;&gt;""TOT""),FALSE)"),"MIL")</f>
        <v>MIL</v>
      </c>
      <c r="C11" s="12">
        <f>IFERROR(__xludf.DUMMYFUNCTION("""COMPUTED_VALUE"""),0.88)</f>
        <v>0.88</v>
      </c>
      <c r="D11" s="1"/>
      <c r="E11" s="1" t="str">
        <f>IFERROR(__xludf.DUMMYFUNCTION("""COMPUTED_VALUE"""),"Timothe Luwawu-Cabarrot")</f>
        <v>Timothe Luwawu-Cabarrot</v>
      </c>
      <c r="F11" s="8">
        <f t="shared" si="1"/>
        <v>19.44817708</v>
      </c>
      <c r="G11" s="9">
        <f>IFERROR(__xludf.DUMMYFUNCTION("""COMPUTED_VALUE"""),622.341666666667)</f>
        <v>622.3416667</v>
      </c>
      <c r="H11" s="2">
        <f>IFERROR(__xludf.DUMMYFUNCTION("""COMPUTED_VALUE"""),32.0)</f>
        <v>32</v>
      </c>
      <c r="I11" s="2" t="str">
        <f>IFERROR(__xludf.DUMMYFUNCTION("""COMPUTED_VALUE"""),"SF")</f>
        <v>SF</v>
      </c>
      <c r="J11" s="2">
        <f>IFERROR(__xludf.DUMMYFUNCTION("""COMPUTED_VALUE"""),25.0)</f>
        <v>25</v>
      </c>
      <c r="K11" s="10">
        <f>IFERROR(__xludf.DUMMYFUNCTION("""COMPUTED_VALUE"""),-2.00476107192831)</f>
        <v>-2.004761072</v>
      </c>
      <c r="L11" s="10">
        <f>IFERROR(__xludf.DUMMYFUNCTION("""COMPUTED_VALUE"""),-0.367315122986214)</f>
        <v>-0.367315123</v>
      </c>
      <c r="M11" s="10">
        <f>IFERROR(__xludf.DUMMYFUNCTION("""COMPUTED_VALUE"""),-1.6374459489421)</f>
        <v>-1.637445949</v>
      </c>
      <c r="N11" s="11">
        <f>IFERROR(__xludf.DUMMYFUNCTION("""COMPUTED_VALUE"""),0.12295807950121163)</f>
        <v>0.1229580795</v>
      </c>
      <c r="O11" s="1"/>
      <c r="P11" s="1" t="s">
        <v>25</v>
      </c>
      <c r="Q11" s="12">
        <f>IFERROR(__xludf.DUMMYFUNCTION("iferror(round(correl(filter(Data!J:J,Data!C:C=C$3,Data!D:D=P11,Data!F:F&gt;=250),filter(Data!N:N,Data!C:C=C$3,Data!D:D=P11,Data!F:F&gt;=250)),2),"""")"),0.15)</f>
        <v>0.15</v>
      </c>
    </row>
    <row r="12">
      <c r="A12" s="1"/>
      <c r="B12" s="2" t="str">
        <f>IFERROR(__xludf.DUMMYFUNCTION("""COMPUTED_VALUE"""),"DET")</f>
        <v>DET</v>
      </c>
      <c r="C12" s="12">
        <f>IFERROR(__xludf.DUMMYFUNCTION("""COMPUTED_VALUE"""),0.85)</f>
        <v>0.85</v>
      </c>
      <c r="D12" s="1"/>
      <c r="E12" s="1" t="str">
        <f>IFERROR(__xludf.DUMMYFUNCTION("""COMPUTED_VALUE"""),"Landry Shamet")</f>
        <v>Landry Shamet</v>
      </c>
      <c r="F12" s="8">
        <f t="shared" si="1"/>
        <v>18.97208333</v>
      </c>
      <c r="G12" s="9">
        <f>IFERROR(__xludf.DUMMYFUNCTION("""COMPUTED_VALUE"""),531.218333333334)</f>
        <v>531.2183333</v>
      </c>
      <c r="H12" s="2">
        <f>IFERROR(__xludf.DUMMYFUNCTION("""COMPUTED_VALUE"""),28.0)</f>
        <v>28</v>
      </c>
      <c r="I12" s="2" t="str">
        <f>IFERROR(__xludf.DUMMYFUNCTION("""COMPUTED_VALUE"""),"SG")</f>
        <v>SG</v>
      </c>
      <c r="J12" s="2">
        <f>IFERROR(__xludf.DUMMYFUNCTION("""COMPUTED_VALUE"""),23.0)</f>
        <v>23</v>
      </c>
      <c r="K12" s="10">
        <f>IFERROR(__xludf.DUMMYFUNCTION("""COMPUTED_VALUE"""),-1.97046206367521)</f>
        <v>-1.970462064</v>
      </c>
      <c r="L12" s="10">
        <f>IFERROR(__xludf.DUMMYFUNCTION("""COMPUTED_VALUE"""),-0.253195785916167)</f>
        <v>-0.2531957859</v>
      </c>
      <c r="M12" s="10">
        <f>IFERROR(__xludf.DUMMYFUNCTION("""COMPUTED_VALUE"""),-1.71726627775905)</f>
        <v>-1.717266278</v>
      </c>
      <c r="N12" s="11">
        <f>IFERROR(__xludf.DUMMYFUNCTION("""COMPUTED_VALUE"""),0.11703840299602465)</f>
        <v>0.117038403</v>
      </c>
      <c r="O12" s="1"/>
      <c r="P12" s="1" t="s">
        <v>26</v>
      </c>
      <c r="Q12" s="12">
        <f>IFERROR(__xludf.DUMMYFUNCTION("iferror(round(correl(filter(Data!J:J,Data!C:C=C$3,Data!D:D=P12,Data!F:F&gt;=250),filter(Data!N:N,Data!C:C=C$3,Data!D:D=P12,Data!F:F&gt;=250)),2),"""")"),0.73)</f>
        <v>0.73</v>
      </c>
    </row>
    <row r="13">
      <c r="A13" s="1"/>
      <c r="B13" s="2" t="str">
        <f>IFERROR(__xludf.DUMMYFUNCTION("""COMPUTED_VALUE"""),"BRK")</f>
        <v>BRK</v>
      </c>
      <c r="C13" s="12">
        <f>IFERROR(__xludf.DUMMYFUNCTION("""COMPUTED_VALUE"""),0.81)</f>
        <v>0.81</v>
      </c>
      <c r="D13" s="1"/>
      <c r="E13" s="1" t="str">
        <f>IFERROR(__xludf.DUMMYFUNCTION("""COMPUTED_VALUE"""),"Tyler Johnson")</f>
        <v>Tyler Johnson</v>
      </c>
      <c r="F13" s="8">
        <f t="shared" si="1"/>
        <v>11.95547619</v>
      </c>
      <c r="G13" s="9">
        <f>IFERROR(__xludf.DUMMYFUNCTION("""COMPUTED_VALUE"""),167.376666666667)</f>
        <v>167.3766667</v>
      </c>
      <c r="H13" s="2">
        <f>IFERROR(__xludf.DUMMYFUNCTION("""COMPUTED_VALUE"""),14.0)</f>
        <v>14</v>
      </c>
      <c r="I13" s="2" t="str">
        <f>IFERROR(__xludf.DUMMYFUNCTION("""COMPUTED_VALUE"""),"SG")</f>
        <v>SG</v>
      </c>
      <c r="J13" s="2">
        <f>IFERROR(__xludf.DUMMYFUNCTION("""COMPUTED_VALUE"""),28.0)</f>
        <v>28</v>
      </c>
      <c r="K13" s="10">
        <f>IFERROR(__xludf.DUMMYFUNCTION("""COMPUTED_VALUE"""),-0.994195234672211)</f>
        <v>-0.9941952347</v>
      </c>
      <c r="L13" s="10">
        <f>IFERROR(__xludf.DUMMYFUNCTION("""COMPUTED_VALUE"""),-0.286387335013855)</f>
        <v>-0.286387335</v>
      </c>
      <c r="M13" s="10">
        <f>IFERROR(__xludf.DUMMYFUNCTION("""COMPUTED_VALUE"""),-0.707807899658355)</f>
        <v>-0.7078078997</v>
      </c>
      <c r="N13" s="11">
        <f>IFERROR(__xludf.DUMMYFUNCTION("""COMPUTED_VALUE"""),0.1460042078012529)</f>
        <v>0.1460042078</v>
      </c>
      <c r="O13" s="1"/>
      <c r="P13" s="1" t="s">
        <v>27</v>
      </c>
      <c r="Q13" s="12">
        <f>IFERROR(__xludf.DUMMYFUNCTION("iferror(round(correl(filter(Data!J:J,Data!C:C=C$3,Data!D:D=P13,Data!F:F&gt;=250),filter(Data!N:N,Data!C:C=C$3,Data!D:D=P13,Data!F:F&gt;=250)),2),"""")"),0.25)</f>
        <v>0.25</v>
      </c>
    </row>
    <row r="14">
      <c r="A14" s="1"/>
      <c r="B14" s="2" t="str">
        <f>IFERROR(__xludf.DUMMYFUNCTION("""COMPUTED_VALUE"""),"TOR")</f>
        <v>TOR</v>
      </c>
      <c r="C14" s="12">
        <f>IFERROR(__xludf.DUMMYFUNCTION("""COMPUTED_VALUE"""),0.77)</f>
        <v>0.77</v>
      </c>
      <c r="D14" s="1"/>
      <c r="E14" s="1" t="str">
        <f>IFERROR(__xludf.DUMMYFUNCTION("""COMPUTED_VALUE"""),"Reggie Perry")</f>
        <v>Reggie Perry</v>
      </c>
      <c r="F14" s="8">
        <f t="shared" si="1"/>
        <v>10.51404762</v>
      </c>
      <c r="G14" s="9">
        <f>IFERROR(__xludf.DUMMYFUNCTION("""COMPUTED_VALUE"""),147.196666666667)</f>
        <v>147.1966667</v>
      </c>
      <c r="H14" s="2">
        <f>IFERROR(__xludf.DUMMYFUNCTION("""COMPUTED_VALUE"""),14.0)</f>
        <v>14</v>
      </c>
      <c r="I14" s="2" t="str">
        <f>IFERROR(__xludf.DUMMYFUNCTION("""COMPUTED_VALUE"""),"PF")</f>
        <v>PF</v>
      </c>
      <c r="J14" s="2">
        <f>IFERROR(__xludf.DUMMYFUNCTION("""COMPUTED_VALUE"""),20.0)</f>
        <v>20</v>
      </c>
      <c r="K14" s="10">
        <f>IFERROR(__xludf.DUMMYFUNCTION("""COMPUTED_VALUE"""),-0.956806842699219)</f>
        <v>-0.9568068427</v>
      </c>
      <c r="L14" s="10">
        <f>IFERROR(__xludf.DUMMYFUNCTION("""COMPUTED_VALUE"""),0.0915030479620377)</f>
        <v>0.09150304796</v>
      </c>
      <c r="M14" s="10">
        <f>IFERROR(__xludf.DUMMYFUNCTION("""COMPUTED_VALUE"""),-1.04830989066126)</f>
        <v>-1.048309891</v>
      </c>
      <c r="N14" s="11">
        <f>IFERROR(__xludf.DUMMYFUNCTION("""COMPUTED_VALUE"""),0.13209669788745929)</f>
        <v>0.1320966979</v>
      </c>
      <c r="O14" s="1"/>
      <c r="P14" s="1" t="s">
        <v>28</v>
      </c>
      <c r="Q14" s="12">
        <f>IFERROR(__xludf.DUMMYFUNCTION("iferror(round(correl(filter(Data!J:J,Data!C:C=C$3,Data!D:D=P14,Data!F:F&gt;=250),filter(Data!N:N,Data!C:C=C$3,Data!D:D=P14,Data!F:F&gt;=250)),2),"""")"),0.45)</f>
        <v>0.45</v>
      </c>
    </row>
    <row r="15">
      <c r="A15" s="1"/>
      <c r="B15" s="2" t="str">
        <f>IFERROR(__xludf.DUMMYFUNCTION("""COMPUTED_VALUE"""),"LAL")</f>
        <v>LAL</v>
      </c>
      <c r="C15" s="12">
        <f>IFERROR(__xludf.DUMMYFUNCTION("""COMPUTED_VALUE"""),0.76)</f>
        <v>0.76</v>
      </c>
      <c r="D15" s="1"/>
      <c r="E15" s="1" t="str">
        <f>IFERROR(__xludf.DUMMYFUNCTION("""COMPUTED_VALUE"""),"Chris Chiozza")</f>
        <v>Chris Chiozza</v>
      </c>
      <c r="F15" s="8">
        <f t="shared" si="1"/>
        <v>9.254444444</v>
      </c>
      <c r="G15" s="9">
        <f>IFERROR(__xludf.DUMMYFUNCTION("""COMPUTED_VALUE"""),111.053333333333)</f>
        <v>111.0533333</v>
      </c>
      <c r="H15" s="2">
        <f>IFERROR(__xludf.DUMMYFUNCTION("""COMPUTED_VALUE"""),12.0)</f>
        <v>12</v>
      </c>
      <c r="I15" s="2" t="str">
        <f>IFERROR(__xludf.DUMMYFUNCTION("""COMPUTED_VALUE"""),"PG")</f>
        <v>PG</v>
      </c>
      <c r="J15" s="2">
        <f>IFERROR(__xludf.DUMMYFUNCTION("""COMPUTED_VALUE"""),25.0)</f>
        <v>25</v>
      </c>
      <c r="K15" s="10">
        <f>IFERROR(__xludf.DUMMYFUNCTION("""COMPUTED_VALUE"""),0.0905999499328745)</f>
        <v>0.09059994993</v>
      </c>
      <c r="L15" s="10">
        <f>IFERROR(__xludf.DUMMYFUNCTION("""COMPUTED_VALUE"""),0.702029607841368)</f>
        <v>0.7020296078</v>
      </c>
      <c r="M15" s="10">
        <f>IFERROR(__xludf.DUMMYFUNCTION("""COMPUTED_VALUE"""),-0.611429657908493)</f>
        <v>-0.6114296579</v>
      </c>
      <c r="N15" s="11">
        <f>IFERROR(__xludf.DUMMYFUNCTION("""COMPUTED_VALUE"""),0.17799045610242714)</f>
        <v>0.1779904561</v>
      </c>
      <c r="O15" s="1"/>
      <c r="P15" s="1" t="s">
        <v>29</v>
      </c>
      <c r="Q15" s="12">
        <f>IFERROR(__xludf.DUMMYFUNCTION("iferror(round(correl(filter(Data!J:J,Data!C:C=C$3,Data!D:D=P15,Data!F:F&gt;=250),filter(Data!N:N,Data!C:C=C$3,Data!D:D=P15,Data!F:F&gt;=250)),2),"""")"),-0.35)</f>
        <v>-0.35</v>
      </c>
    </row>
    <row r="16">
      <c r="A16" s="1"/>
      <c r="B16" s="2" t="str">
        <f>IFERROR(__xludf.DUMMYFUNCTION("""COMPUTED_VALUE"""),"POR")</f>
        <v>POR</v>
      </c>
      <c r="C16" s="12">
        <f>IFERROR(__xludf.DUMMYFUNCTION("""COMPUTED_VALUE"""),0.75)</f>
        <v>0.75</v>
      </c>
      <c r="D16" s="1"/>
      <c r="E16" s="1" t="str">
        <f>IFERROR(__xludf.DUMMYFUNCTION("""COMPUTED_VALUE"""),"Norvel Pelle")</f>
        <v>Norvel Pelle</v>
      </c>
      <c r="F16" s="8">
        <f t="shared" si="1"/>
        <v>9.250555556</v>
      </c>
      <c r="G16" s="9">
        <f>IFERROR(__xludf.DUMMYFUNCTION("""COMPUTED_VALUE"""),27.7516666666667)</f>
        <v>27.75166667</v>
      </c>
      <c r="H16" s="2">
        <f>IFERROR(__xludf.DUMMYFUNCTION("""COMPUTED_VALUE"""),3.0)</f>
        <v>3</v>
      </c>
      <c r="I16" s="2" t="str">
        <f>IFERROR(__xludf.DUMMYFUNCTION("""COMPUTED_VALUE"""),"C")</f>
        <v>C</v>
      </c>
      <c r="J16" s="2">
        <f>IFERROR(__xludf.DUMMYFUNCTION("""COMPUTED_VALUE"""),27.0)</f>
        <v>27</v>
      </c>
      <c r="K16" s="10">
        <f>IFERROR(__xludf.DUMMYFUNCTION("""COMPUTED_VALUE"""),-0.49035224086516)</f>
        <v>-0.4903522409</v>
      </c>
      <c r="L16" s="10">
        <f>IFERROR(__xludf.DUMMYFUNCTION("""COMPUTED_VALUE"""),-0.167535627391565)</f>
        <v>-0.1675356274</v>
      </c>
      <c r="M16" s="10">
        <f>IFERROR(__xludf.DUMMYFUNCTION("""COMPUTED_VALUE"""),-0.322816613473594)</f>
        <v>-0.3228166135</v>
      </c>
      <c r="N16" s="11">
        <f>IFERROR(__xludf.DUMMYFUNCTION("""COMPUTED_VALUE"""),0.03361244569306795)</f>
        <v>0.03361244569</v>
      </c>
      <c r="O16" s="1"/>
      <c r="P16" s="1" t="s">
        <v>30</v>
      </c>
      <c r="Q16" s="12">
        <f>IFERROR(__xludf.DUMMYFUNCTION("iferror(round(correl(filter(Data!J:J,Data!C:C=C$3,Data!D:D=P16,Data!F:F&gt;=250),filter(Data!N:N,Data!C:C=C$3,Data!D:D=P16,Data!F:F&gt;=250)),2),"""")"),0.67)</f>
        <v>0.67</v>
      </c>
    </row>
    <row r="17">
      <c r="A17" s="1"/>
      <c r="B17" s="2" t="str">
        <f>IFERROR(__xludf.DUMMYFUNCTION("""COMPUTED_VALUE"""),"LAC")</f>
        <v>LAC</v>
      </c>
      <c r="C17" s="12">
        <f>IFERROR(__xludf.DUMMYFUNCTION("""COMPUTED_VALUE"""),0.73)</f>
        <v>0.73</v>
      </c>
      <c r="D17" s="1"/>
      <c r="E17" s="1" t="str">
        <f>IFERROR(__xludf.DUMMYFUNCTION("""COMPUTED_VALUE"""),"Noah Vonleh")</f>
        <v>Noah Vonleh</v>
      </c>
      <c r="F17" s="8">
        <f t="shared" si="1"/>
        <v>2.691666667</v>
      </c>
      <c r="G17" s="9">
        <f>IFERROR(__xludf.DUMMYFUNCTION("""COMPUTED_VALUE"""),10.7666666666667)</f>
        <v>10.76666667</v>
      </c>
      <c r="H17" s="2">
        <f>IFERROR(__xludf.DUMMYFUNCTION("""COMPUTED_VALUE"""),4.0)</f>
        <v>4</v>
      </c>
      <c r="I17" s="2" t="str">
        <f>IFERROR(__xludf.DUMMYFUNCTION("""COMPUTED_VALUE"""),"PF")</f>
        <v>PF</v>
      </c>
      <c r="J17" s="2">
        <f>IFERROR(__xludf.DUMMYFUNCTION("""COMPUTED_VALUE"""),25.0)</f>
        <v>25</v>
      </c>
      <c r="K17" s="10">
        <f>IFERROR(__xludf.DUMMYFUNCTION("""COMPUTED_VALUE"""),-0.363044061872865)</f>
        <v>-0.3630440619</v>
      </c>
      <c r="L17" s="10">
        <f>IFERROR(__xludf.DUMMYFUNCTION("""COMPUTED_VALUE"""),0.0320399341799376)</f>
        <v>0.03203993418</v>
      </c>
      <c r="M17" s="10">
        <f>IFERROR(__xludf.DUMMYFUNCTION("""COMPUTED_VALUE"""),-0.395083996052802)</f>
        <v>-0.3950839961</v>
      </c>
      <c r="N17" s="11">
        <f>IFERROR(__xludf.DUMMYFUNCTION("""COMPUTED_VALUE"""),0.013963837618953943)</f>
        <v>0.01396383762</v>
      </c>
      <c r="O17" s="1"/>
      <c r="P17" s="1" t="s">
        <v>31</v>
      </c>
      <c r="Q17" s="12">
        <f>IFERROR(__xludf.DUMMYFUNCTION("iferror(round(correl(filter(Data!J:J,Data!C:C=C$3,Data!D:D=P17,Data!F:F&gt;=250),filter(Data!N:N,Data!C:C=C$3,Data!D:D=P17,Data!F:F&gt;=250)),2),"""")"),0.77)</f>
        <v>0.77</v>
      </c>
    </row>
    <row r="18">
      <c r="A18" s="1"/>
      <c r="B18" s="2" t="str">
        <f>IFERROR(__xludf.DUMMYFUNCTION("""COMPUTED_VALUE"""),"BOS")</f>
        <v>BOS</v>
      </c>
      <c r="C18" s="12">
        <f>IFERROR(__xludf.DUMMYFUNCTION("""COMPUTED_VALUE"""),0.7)</f>
        <v>0.7</v>
      </c>
      <c r="D18" s="1"/>
      <c r="E18" s="1"/>
      <c r="F18" s="8" t="str">
        <f t="shared" si="1"/>
        <v/>
      </c>
      <c r="G18" s="2"/>
      <c r="H18" s="2"/>
      <c r="I18" s="2"/>
      <c r="J18" s="2"/>
      <c r="K18" s="2"/>
      <c r="L18" s="2"/>
      <c r="M18" s="2"/>
      <c r="N18" s="2"/>
      <c r="O18" s="1"/>
      <c r="P18" s="1" t="s">
        <v>32</v>
      </c>
      <c r="Q18" s="12">
        <f>IFERROR(__xludf.DUMMYFUNCTION("iferror(round(correl(filter(Data!J:J,Data!C:C=C$3,Data!D:D=P18,Data!F:F&gt;=250),filter(Data!N:N,Data!C:C=C$3,Data!D:D=P18,Data!F:F&gt;=250)),2),"""")"),0.76)</f>
        <v>0.76</v>
      </c>
    </row>
    <row r="19">
      <c r="A19" s="1"/>
      <c r="B19" s="2" t="str">
        <f>IFERROR(__xludf.DUMMYFUNCTION("""COMPUTED_VALUE"""),"GSW")</f>
        <v>GSW</v>
      </c>
      <c r="C19" s="12">
        <f>IFERROR(__xludf.DUMMYFUNCTION("""COMPUTED_VALUE"""),0.68)</f>
        <v>0.68</v>
      </c>
      <c r="D19" s="1"/>
      <c r="E19" s="1"/>
      <c r="F19" s="8" t="str">
        <f t="shared" si="1"/>
        <v/>
      </c>
      <c r="G19" s="2"/>
      <c r="H19" s="2"/>
      <c r="I19" s="2"/>
      <c r="J19" s="2"/>
      <c r="K19" s="2"/>
      <c r="L19" s="2"/>
      <c r="M19" s="2"/>
      <c r="N19" s="2"/>
      <c r="O19" s="1"/>
      <c r="P19" s="1" t="s">
        <v>33</v>
      </c>
      <c r="Q19" s="12">
        <f>IFERROR(__xludf.DUMMYFUNCTION("iferror(round(correl(filter(Data!J:J,Data!C:C=C$3,Data!D:D=P19,Data!F:F&gt;=250),filter(Data!N:N,Data!C:C=C$3,Data!D:D=P19,Data!F:F&gt;=250)),2),"""")"),0.34)</f>
        <v>0.34</v>
      </c>
    </row>
    <row r="20">
      <c r="A20" s="1"/>
      <c r="B20" s="2" t="str">
        <f>IFERROR(__xludf.DUMMYFUNCTION("""COMPUTED_VALUE"""),"PHI")</f>
        <v>PHI</v>
      </c>
      <c r="C20" s="12">
        <f>IFERROR(__xludf.DUMMYFUNCTION("""COMPUTED_VALUE"""),0.67)</f>
        <v>0.67</v>
      </c>
      <c r="D20" s="1"/>
      <c r="E20" s="1"/>
      <c r="F20" s="8" t="str">
        <f t="shared" si="1"/>
        <v/>
      </c>
      <c r="G20" s="2"/>
      <c r="H20" s="2"/>
      <c r="I20" s="2"/>
      <c r="J20" s="2"/>
      <c r="K20" s="2"/>
      <c r="L20" s="2"/>
      <c r="M20" s="2"/>
      <c r="N20" s="2"/>
      <c r="O20" s="1"/>
      <c r="P20" s="1" t="s">
        <v>34</v>
      </c>
      <c r="Q20" s="12">
        <f>IFERROR(__xludf.DUMMYFUNCTION("iferror(round(correl(filter(Data!J:J,Data!C:C=C$3,Data!D:D=P20,Data!F:F&gt;=250),filter(Data!N:N,Data!C:C=C$3,Data!D:D=P20,Data!F:F&gt;=250)),2),"""")"),0.66)</f>
        <v>0.66</v>
      </c>
    </row>
    <row r="21">
      <c r="A21" s="1"/>
      <c r="B21" s="2" t="str">
        <f>IFERROR(__xludf.DUMMYFUNCTION("""COMPUTED_VALUE"""),"DEN")</f>
        <v>DEN</v>
      </c>
      <c r="C21" s="12">
        <f>IFERROR(__xludf.DUMMYFUNCTION("""COMPUTED_VALUE"""),0.66)</f>
        <v>0.66</v>
      </c>
      <c r="D21" s="1"/>
      <c r="E21" s="1"/>
      <c r="F21" s="8" t="str">
        <f t="shared" si="1"/>
        <v/>
      </c>
      <c r="G21" s="2"/>
      <c r="H21" s="2"/>
      <c r="I21" s="2"/>
      <c r="J21" s="2"/>
      <c r="K21" s="2"/>
      <c r="L21" s="2"/>
      <c r="M21" s="2"/>
      <c r="N21" s="2"/>
      <c r="O21" s="1"/>
      <c r="P21" s="1" t="s">
        <v>35</v>
      </c>
      <c r="Q21" s="12">
        <f>IFERROR(__xludf.DUMMYFUNCTION("iferror(round(correl(filter(Data!J:J,Data!C:C=C$3,Data!D:D=P21,Data!F:F&gt;=250),filter(Data!N:N,Data!C:C=C$3,Data!D:D=P21,Data!F:F&gt;=250)),2),"""")"),0.7)</f>
        <v>0.7</v>
      </c>
    </row>
    <row r="22">
      <c r="A22" s="1"/>
      <c r="B22" s="2" t="str">
        <f>IFERROR(__xludf.DUMMYFUNCTION("""COMPUTED_VALUE"""),"PHO")</f>
        <v>PHO</v>
      </c>
      <c r="C22" s="12">
        <f>IFERROR(__xludf.DUMMYFUNCTION("""COMPUTED_VALUE"""),0.66)</f>
        <v>0.66</v>
      </c>
      <c r="D22" s="1"/>
      <c r="E22" s="1"/>
      <c r="F22" s="8" t="str">
        <f t="shared" si="1"/>
        <v/>
      </c>
      <c r="G22" s="2"/>
      <c r="H22" s="2"/>
      <c r="I22" s="2"/>
      <c r="J22" s="2"/>
      <c r="K22" s="2"/>
      <c r="L22" s="2"/>
      <c r="M22" s="2"/>
      <c r="N22" s="2"/>
      <c r="O22" s="1"/>
      <c r="P22" s="1" t="s">
        <v>36</v>
      </c>
      <c r="Q22" s="12">
        <f>IFERROR(__xludf.DUMMYFUNCTION("iferror(round(correl(filter(Data!J:J,Data!C:C=C$3,Data!D:D=P22,Data!F:F&gt;=250),filter(Data!N:N,Data!C:C=C$3,Data!D:D=P22,Data!F:F&gt;=250)),2),"""")"),0.75)</f>
        <v>0.75</v>
      </c>
    </row>
    <row r="23">
      <c r="A23" s="1"/>
      <c r="B23" s="2" t="str">
        <f>IFERROR(__xludf.DUMMYFUNCTION("""COMPUTED_VALUE"""),"NOP")</f>
        <v>NOP</v>
      </c>
      <c r="C23" s="12">
        <f>IFERROR(__xludf.DUMMYFUNCTION("""COMPUTED_VALUE"""),0.6)</f>
        <v>0.6</v>
      </c>
      <c r="D23" s="1"/>
      <c r="E23" s="1"/>
      <c r="F23" s="8" t="str">
        <f t="shared" si="1"/>
        <v/>
      </c>
      <c r="G23" s="2"/>
      <c r="H23" s="2"/>
      <c r="I23" s="2"/>
      <c r="J23" s="2"/>
      <c r="K23" s="2"/>
      <c r="L23" s="2"/>
      <c r="M23" s="2"/>
      <c r="N23" s="2"/>
      <c r="O23" s="1"/>
      <c r="P23" s="1" t="s">
        <v>37</v>
      </c>
      <c r="Q23" s="12">
        <f>IFERROR(__xludf.DUMMYFUNCTION("iferror(round(correl(filter(Data!J:J,Data!C:C=C$3,Data!D:D=P23,Data!F:F&gt;=250),filter(Data!N:N,Data!C:C=C$3,Data!D:D=P23,Data!F:F&gt;=250)),2),"""")"),0.16)</f>
        <v>0.16</v>
      </c>
    </row>
    <row r="24">
      <c r="A24" s="1"/>
      <c r="B24" s="2" t="str">
        <f>IFERROR(__xludf.DUMMYFUNCTION("""COMPUTED_VALUE"""),"CHO")</f>
        <v>CHO</v>
      </c>
      <c r="C24" s="12">
        <f>IFERROR(__xludf.DUMMYFUNCTION("""COMPUTED_VALUE"""),0.6)</f>
        <v>0.6</v>
      </c>
      <c r="D24" s="1"/>
      <c r="E24" s="16" t="s">
        <v>38</v>
      </c>
      <c r="F24" s="8"/>
      <c r="G24" s="2"/>
      <c r="H24" s="2"/>
      <c r="I24" s="2"/>
      <c r="J24" s="2"/>
      <c r="K24" s="2"/>
      <c r="L24" s="2"/>
      <c r="M24" s="2"/>
      <c r="N24" s="2"/>
      <c r="O24" s="1"/>
      <c r="P24" s="1" t="s">
        <v>39</v>
      </c>
      <c r="Q24" s="12">
        <f>IFERROR(__xludf.DUMMYFUNCTION("iferror(round(correl(filter(Data!J:J,Data!C:C=C$3,Data!D:D=P24,Data!F:F&gt;=250),filter(Data!N:N,Data!C:C=C$3,Data!D:D=P24,Data!F:F&gt;=250)),2),"""")"),0.59)</f>
        <v>0.59</v>
      </c>
    </row>
    <row r="25">
      <c r="A25" s="1"/>
      <c r="B25" s="2" t="str">
        <f>IFERROR(__xludf.DUMMYFUNCTION("""COMPUTED_VALUE"""),"IND")</f>
        <v>IND</v>
      </c>
      <c r="C25" s="12">
        <f>IFERROR(__xludf.DUMMYFUNCTION("""COMPUTED_VALUE"""),0.59)</f>
        <v>0.59</v>
      </c>
      <c r="D25" s="1"/>
      <c r="E25" s="1"/>
      <c r="F25" s="8" t="str">
        <f t="shared" ref="F25:F35" si="2">if(H25&lt;&gt;"",G25/H25,"")</f>
        <v/>
      </c>
      <c r="G25" s="2"/>
      <c r="H25" s="2"/>
      <c r="I25" s="2"/>
      <c r="J25" s="2"/>
      <c r="K25" s="2"/>
      <c r="L25" s="2"/>
      <c r="M25" s="2"/>
      <c r="N25" s="2"/>
      <c r="O25" s="1"/>
      <c r="P25" s="1" t="s">
        <v>40</v>
      </c>
      <c r="Q25" s="12">
        <f>IFERROR(__xludf.DUMMYFUNCTION("iferror(round(correl(filter(Data!J:J,Data!C:C=C$3,Data!D:D=P25,Data!F:F&gt;=250),filter(Data!N:N,Data!C:C=C$3,Data!D:D=P25,Data!F:F&gt;=250)),2),"""")"),0.19)</f>
        <v>0.19</v>
      </c>
    </row>
    <row r="26">
      <c r="A26" s="1"/>
      <c r="B26" s="2" t="str">
        <f>IFERROR(__xludf.DUMMYFUNCTION("""COMPUTED_VALUE"""),"WAS")</f>
        <v>WAS</v>
      </c>
      <c r="C26" s="12">
        <f>IFERROR(__xludf.DUMMYFUNCTION("""COMPUTED_VALUE"""),0.51)</f>
        <v>0.51</v>
      </c>
      <c r="D26" s="1"/>
      <c r="E26" s="1"/>
      <c r="F26" s="8" t="str">
        <f t="shared" si="2"/>
        <v/>
      </c>
      <c r="G26" s="2"/>
      <c r="H26" s="2"/>
      <c r="I26" s="2"/>
      <c r="J26" s="2"/>
      <c r="K26" s="2"/>
      <c r="L26" s="2"/>
      <c r="M26" s="2"/>
      <c r="N26" s="2"/>
      <c r="O26" s="1"/>
      <c r="P26" s="1" t="s">
        <v>41</v>
      </c>
      <c r="Q26" s="12">
        <f>IFERROR(__xludf.DUMMYFUNCTION("iferror(round(correl(filter(Data!J:J,Data!C:C=C$3,Data!D:D=P26,Data!F:F&gt;=250),filter(Data!N:N,Data!C:C=C$3,Data!D:D=P26,Data!F:F&gt;=250)),2),"""")"),0.46)</f>
        <v>0.46</v>
      </c>
    </row>
    <row r="27">
      <c r="A27" s="1"/>
      <c r="B27" s="2" t="str">
        <f>IFERROR(__xludf.DUMMYFUNCTION("""COMPUTED_VALUE"""),"NYK")</f>
        <v>NYK</v>
      </c>
      <c r="C27" s="12">
        <f>IFERROR(__xludf.DUMMYFUNCTION("""COMPUTED_VALUE"""),0.49)</f>
        <v>0.49</v>
      </c>
      <c r="D27" s="1"/>
      <c r="E27" s="1"/>
      <c r="F27" s="8" t="str">
        <f t="shared" si="2"/>
        <v/>
      </c>
      <c r="G27" s="2"/>
      <c r="H27" s="2"/>
      <c r="I27" s="2"/>
      <c r="J27" s="2"/>
      <c r="K27" s="2"/>
      <c r="L27" s="2"/>
      <c r="M27" s="2"/>
      <c r="N27" s="2"/>
      <c r="O27" s="1"/>
      <c r="P27" s="1" t="s">
        <v>42</v>
      </c>
      <c r="Q27" s="12">
        <f>IFERROR(__xludf.DUMMYFUNCTION("iferror(round(correl(filter(Data!J:J,Data!C:C=C$3,Data!D:D=P27,Data!F:F&gt;=250),filter(Data!N:N,Data!C:C=C$3,Data!D:D=P27,Data!F:F&gt;=250)),2),"""")"),0.48)</f>
        <v>0.48</v>
      </c>
    </row>
    <row r="28">
      <c r="A28" s="1"/>
      <c r="B28" s="2" t="str">
        <f>IFERROR(__xludf.DUMMYFUNCTION("""COMPUTED_VALUE"""),"ATL")</f>
        <v>ATL</v>
      </c>
      <c r="C28" s="12">
        <f>IFERROR(__xludf.DUMMYFUNCTION("""COMPUTED_VALUE"""),0.48)</f>
        <v>0.48</v>
      </c>
      <c r="D28" s="1"/>
      <c r="E28" s="1"/>
      <c r="F28" s="8" t="str">
        <f t="shared" si="2"/>
        <v/>
      </c>
      <c r="G28" s="2"/>
      <c r="H28" s="2"/>
      <c r="I28" s="2"/>
      <c r="J28" s="2"/>
      <c r="K28" s="2"/>
      <c r="L28" s="2"/>
      <c r="M28" s="2"/>
      <c r="N28" s="2"/>
      <c r="O28" s="1"/>
      <c r="P28" s="1" t="s">
        <v>43</v>
      </c>
      <c r="Q28" s="12">
        <f>IFERROR(__xludf.DUMMYFUNCTION("iferror(round(correl(filter(Data!J:J,Data!C:C=C$3,Data!D:D=P28,Data!F:F&gt;=250),filter(Data!N:N,Data!C:C=C$3,Data!D:D=P28,Data!F:F&gt;=250)),2),"""")"),0.85)</f>
        <v>0.85</v>
      </c>
    </row>
    <row r="29">
      <c r="A29" s="1"/>
      <c r="B29" s="2" t="str">
        <f>IFERROR(__xludf.DUMMYFUNCTION("""COMPUTED_VALUE"""),"DAL")</f>
        <v>DAL</v>
      </c>
      <c r="C29" s="12">
        <f>IFERROR(__xludf.DUMMYFUNCTION("""COMPUTED_VALUE"""),0.46)</f>
        <v>0.46</v>
      </c>
      <c r="D29" s="1"/>
      <c r="E29" s="1"/>
      <c r="F29" s="8" t="str">
        <f t="shared" si="2"/>
        <v/>
      </c>
      <c r="G29" s="2"/>
      <c r="H29" s="2"/>
      <c r="I29" s="2"/>
      <c r="J29" s="2"/>
      <c r="K29" s="2"/>
      <c r="L29" s="2"/>
      <c r="M29" s="2"/>
      <c r="N29" s="2"/>
      <c r="O29" s="1"/>
      <c r="P29" s="1" t="s">
        <v>44</v>
      </c>
      <c r="Q29" s="12">
        <f>IFERROR(__xludf.DUMMYFUNCTION("iferror(round(correl(filter(Data!J:J,Data!C:C=C$3,Data!D:D=P29,Data!F:F&gt;=250),filter(Data!N:N,Data!C:C=C$3,Data!D:D=P29,Data!F:F&gt;=250)),2),"""")"),0.66)</f>
        <v>0.66</v>
      </c>
    </row>
    <row r="30">
      <c r="A30" s="1"/>
      <c r="B30" s="2" t="str">
        <f>IFERROR(__xludf.DUMMYFUNCTION("""COMPUTED_VALUE"""),"UTA")</f>
        <v>UTA</v>
      </c>
      <c r="C30" s="12">
        <f>IFERROR(__xludf.DUMMYFUNCTION("""COMPUTED_VALUE"""),0.45)</f>
        <v>0.45</v>
      </c>
      <c r="D30" s="1"/>
      <c r="E30" s="1"/>
      <c r="F30" s="8" t="str">
        <f t="shared" si="2"/>
        <v/>
      </c>
      <c r="G30" s="2"/>
      <c r="H30" s="2"/>
      <c r="I30" s="2"/>
      <c r="J30" s="2"/>
      <c r="K30" s="2"/>
      <c r="L30" s="2"/>
      <c r="M30" s="2"/>
      <c r="N30" s="2"/>
      <c r="O30" s="1"/>
      <c r="P30" s="1" t="s">
        <v>45</v>
      </c>
      <c r="Q30" s="12">
        <f>IFERROR(__xludf.DUMMYFUNCTION("iferror(round(correl(filter(Data!J:J,Data!C:C=C$3,Data!D:D=P30,Data!F:F&gt;=250),filter(Data!N:N,Data!C:C=C$3,Data!D:D=P30,Data!F:F&gt;=250)),2),"""")"),0.6)</f>
        <v>0.6</v>
      </c>
    </row>
    <row r="31">
      <c r="A31" s="1"/>
      <c r="B31" s="2" t="str">
        <f>IFERROR(__xludf.DUMMYFUNCTION("""COMPUTED_VALUE"""),"MIA")</f>
        <v>MIA</v>
      </c>
      <c r="C31" s="12">
        <f>IFERROR(__xludf.DUMMYFUNCTION("""COMPUTED_VALUE"""),0.42)</f>
        <v>0.42</v>
      </c>
      <c r="D31" s="1"/>
      <c r="E31" s="1"/>
      <c r="F31" s="8" t="str">
        <f t="shared" si="2"/>
        <v/>
      </c>
      <c r="G31" s="2"/>
      <c r="H31" s="2"/>
      <c r="I31" s="2"/>
      <c r="J31" s="2"/>
      <c r="K31" s="2"/>
      <c r="L31" s="2"/>
      <c r="M31" s="2"/>
      <c r="N31" s="2"/>
      <c r="O31" s="1"/>
      <c r="P31" s="1" t="s">
        <v>46</v>
      </c>
      <c r="Q31" s="12">
        <f>IFERROR(__xludf.DUMMYFUNCTION("iferror(round(correl(filter(Data!J:J,Data!C:C=C$3,Data!D:D=P31,Data!F:F&gt;=250),filter(Data!N:N,Data!C:C=C$3,Data!D:D=P31,Data!F:F&gt;=250)),2),"""")"),0.89)</f>
        <v>0.89</v>
      </c>
    </row>
    <row r="32">
      <c r="A32" s="1"/>
      <c r="B32" s="2" t="str">
        <f>IFERROR(__xludf.DUMMYFUNCTION("""COMPUTED_VALUE"""),"ORL")</f>
        <v>ORL</v>
      </c>
      <c r="C32" s="12">
        <f>IFERROR(__xludf.DUMMYFUNCTION("""COMPUTED_VALUE"""),0.4)</f>
        <v>0.4</v>
      </c>
      <c r="D32" s="1"/>
      <c r="E32" s="1"/>
      <c r="F32" s="8" t="str">
        <f t="shared" si="2"/>
        <v/>
      </c>
      <c r="G32" s="2"/>
      <c r="H32" s="2"/>
      <c r="I32" s="2"/>
      <c r="J32" s="2"/>
      <c r="K32" s="2"/>
      <c r="L32" s="2"/>
      <c r="M32" s="2"/>
      <c r="N32" s="2"/>
      <c r="O32" s="1"/>
      <c r="P32" s="1" t="s">
        <v>47</v>
      </c>
      <c r="Q32" s="12">
        <f>IFERROR(__xludf.DUMMYFUNCTION("iferror(round(correl(filter(Data!J:J,Data!C:C=C$3,Data!D:D=P32,Data!F:F&gt;=250),filter(Data!N:N,Data!C:C=C$3,Data!D:D=P32,Data!F:F&gt;=250)),2),"""")"),0.51)</f>
        <v>0.51</v>
      </c>
    </row>
    <row r="33">
      <c r="A33" s="1"/>
      <c r="B33" s="2" t="str">
        <f>IFERROR(__xludf.DUMMYFUNCTION("""COMPUTED_VALUE"""),"MEM")</f>
        <v>MEM</v>
      </c>
      <c r="C33" s="12">
        <f>IFERROR(__xludf.DUMMYFUNCTION("""COMPUTED_VALUE"""),0.34)</f>
        <v>0.34</v>
      </c>
      <c r="D33" s="1"/>
      <c r="E33" s="1"/>
      <c r="F33" s="8" t="str">
        <f t="shared" si="2"/>
        <v/>
      </c>
      <c r="G33" s="2"/>
      <c r="H33" s="2"/>
      <c r="I33" s="2"/>
      <c r="J33" s="2"/>
      <c r="K33" s="2"/>
      <c r="L33" s="2"/>
      <c r="M33" s="2"/>
      <c r="N33" s="2"/>
      <c r="O33" s="1"/>
      <c r="P33" s="1" t="s">
        <v>1</v>
      </c>
      <c r="Q33" s="12">
        <f>IFERROR(__xludf.DUMMYFUNCTION("iferror(round(correl(filter(Data!J:J,Data!C:C=C$3,Data!D:D=P33,Data!F:F&gt;=250),filter(Data!N:N,Data!C:C=C$3,Data!D:D=P33,Data!F:F&gt;=250)),2),"""")"),0.81)</f>
        <v>0.81</v>
      </c>
    </row>
    <row r="34">
      <c r="A34" s="1"/>
      <c r="B34" s="2" t="str">
        <f>IFERROR(__xludf.DUMMYFUNCTION("""COMPUTED_VALUE"""),"SAS")</f>
        <v>SAS</v>
      </c>
      <c r="C34" s="12">
        <f>IFERROR(__xludf.DUMMYFUNCTION("""COMPUTED_VALUE"""),0.25)</f>
        <v>0.25</v>
      </c>
      <c r="D34" s="1"/>
      <c r="E34" s="1"/>
      <c r="F34" s="8" t="str">
        <f t="shared" si="2"/>
        <v/>
      </c>
      <c r="G34" s="2"/>
      <c r="H34" s="2"/>
      <c r="I34" s="2"/>
      <c r="J34" s="2"/>
      <c r="K34" s="2"/>
      <c r="L34" s="2"/>
      <c r="M34" s="2"/>
      <c r="N34" s="2"/>
      <c r="O34" s="1"/>
      <c r="P34" s="1" t="s">
        <v>48</v>
      </c>
      <c r="Q34" s="12">
        <f>IFERROR(__xludf.DUMMYFUNCTION("iferror(round(correl(filter(Data!J:J,Data!C:C=C$3,Data!D:D=P34,Data!F:F&gt;=250),filter(Data!N:N,Data!C:C=C$3,Data!D:D=P34,Data!F:F&gt;=250)),2),"""")"),0.49)</f>
        <v>0.49</v>
      </c>
    </row>
    <row r="35">
      <c r="A35" s="1"/>
      <c r="B35" s="2" t="str">
        <f>IFERROR(__xludf.DUMMYFUNCTION("""COMPUTED_VALUE"""),"OKC")</f>
        <v>OKC</v>
      </c>
      <c r="C35" s="12">
        <f>IFERROR(__xludf.DUMMYFUNCTION("""COMPUTED_VALUE"""),0.2)</f>
        <v>0.2</v>
      </c>
      <c r="D35" s="1"/>
      <c r="E35" s="1"/>
      <c r="F35" s="8" t="str">
        <f t="shared" si="2"/>
        <v/>
      </c>
      <c r="G35" s="2"/>
      <c r="H35" s="2"/>
      <c r="I35" s="2"/>
      <c r="J35" s="2"/>
      <c r="K35" s="2"/>
      <c r="L35" s="2"/>
      <c r="M35" s="2"/>
      <c r="N35" s="2"/>
      <c r="O35" s="1"/>
      <c r="P35" s="1" t="s">
        <v>49</v>
      </c>
      <c r="Q35" s="12" t="str">
        <f>IFERROR(__xludf.DUMMYFUNCTION("iferror(round(correl(filter(Data!J:J,Data!C:C=C$3,Data!D:D=P35,Data!F:F&gt;=250),filter(Data!N:N,Data!C:C=C$3,Data!D:D=P35,Data!F:F&gt;=250)),2),"""")"),"")</f>
        <v/>
      </c>
    </row>
    <row r="36">
      <c r="A36" s="1"/>
      <c r="B36" s="2" t="str">
        <f>IFERROR(__xludf.DUMMYFUNCTION("""COMPUTED_VALUE"""),"SAC")</f>
        <v>SAC</v>
      </c>
      <c r="C36" s="12">
        <f>IFERROR(__xludf.DUMMYFUNCTION("""COMPUTED_VALUE"""),0.19)</f>
        <v>0.19</v>
      </c>
      <c r="D36" s="1"/>
      <c r="E36" s="1"/>
      <c r="F36" s="2"/>
      <c r="G36" s="2"/>
      <c r="H36" s="2"/>
      <c r="I36" s="2"/>
      <c r="J36" s="2"/>
      <c r="K36" s="2"/>
      <c r="L36" s="2"/>
      <c r="M36" s="2"/>
      <c r="N36" s="2"/>
      <c r="O36" s="1"/>
      <c r="P36" s="1" t="s">
        <v>50</v>
      </c>
      <c r="Q36" s="12" t="str">
        <f>IFERROR(__xludf.DUMMYFUNCTION("iferror(round(correl(filter(Data!J:J,Data!C:C=C$3,Data!D:D=P36,Data!F:F&gt;=250),filter(Data!N:N,Data!C:C=C$3,Data!D:D=P36,Data!F:F&gt;=250)),2),"""")"),"")</f>
        <v/>
      </c>
    </row>
    <row r="37">
      <c r="A37" s="1"/>
      <c r="B37" s="2" t="str">
        <f>IFERROR(__xludf.DUMMYFUNCTION("""COMPUTED_VALUE"""),"MIN")</f>
        <v>MIN</v>
      </c>
      <c r="C37" s="12">
        <f>IFERROR(__xludf.DUMMYFUNCTION("""COMPUTED_VALUE"""),0.16)</f>
        <v>0.16</v>
      </c>
      <c r="D37" s="1"/>
      <c r="E37" s="1"/>
      <c r="F37" s="2"/>
      <c r="G37" s="2"/>
      <c r="H37" s="2"/>
      <c r="I37" s="2"/>
      <c r="J37" s="2"/>
      <c r="K37" s="2"/>
      <c r="L37" s="2"/>
      <c r="M37" s="2"/>
      <c r="N37" s="2"/>
      <c r="O37" s="1"/>
      <c r="P37" s="1"/>
      <c r="Q37" s="12" t="str">
        <f>IFERROR(__xludf.DUMMYFUNCTION("iferror(round(correl(filter(Data!I:I,Data!C:C=C$3,Data!D:D=P37),filter(Data!N:N,Data!C:C=C$3,Data!D:D=P37)),2),"""")"),"")</f>
        <v/>
      </c>
    </row>
    <row r="38">
      <c r="A38" s="1"/>
      <c r="B38" s="2" t="str">
        <f>IFERROR(__xludf.DUMMYFUNCTION("""COMPUTED_VALUE"""),"HOU")</f>
        <v>HOU</v>
      </c>
      <c r="C38" s="12">
        <f>IFERROR(__xludf.DUMMYFUNCTION("""COMPUTED_VALUE"""),0.15)</f>
        <v>0.15</v>
      </c>
      <c r="D38" s="1"/>
      <c r="E38" s="1"/>
      <c r="F38" s="2"/>
      <c r="G38" s="2"/>
      <c r="H38" s="2"/>
      <c r="I38" s="2"/>
      <c r="J38" s="2"/>
      <c r="K38" s="2"/>
      <c r="L38" s="2"/>
      <c r="M38" s="2"/>
      <c r="N38" s="2"/>
      <c r="O38" s="1"/>
      <c r="P38" s="1"/>
      <c r="Q38" s="12" t="str">
        <f>IFERROR(__xludf.DUMMYFUNCTION("iferror(round(correl(filter(Data!I:I,Data!C:C=C$3,Data!D:D=P38),filter(Data!N:N,Data!C:C=C$3,Data!D:D=P38)),2),"""")"),"")</f>
        <v/>
      </c>
    </row>
    <row r="39">
      <c r="A39" s="1"/>
      <c r="B39" s="2" t="str">
        <f>IFERROR(__xludf.DUMMYFUNCTION("""COMPUTED_VALUE"""),"CLE")</f>
        <v>CLE</v>
      </c>
      <c r="C39" s="12">
        <f>IFERROR(__xludf.DUMMYFUNCTION("""COMPUTED_VALUE"""),-0.14)</f>
        <v>-0.14</v>
      </c>
      <c r="D39" s="1"/>
      <c r="E39" s="1"/>
      <c r="F39" s="2"/>
      <c r="G39" s="2"/>
      <c r="H39" s="2"/>
      <c r="I39" s="2"/>
      <c r="J39" s="2"/>
      <c r="K39" s="2"/>
      <c r="L39" s="2"/>
      <c r="M39" s="2"/>
      <c r="N39" s="2"/>
      <c r="O39" s="1"/>
      <c r="P39" s="1"/>
      <c r="Q39" s="12" t="str">
        <f>IFERROR(__xludf.DUMMYFUNCTION("iferror(round(correl(filter(Data!I:I,Data!C:C=C$3,Data!D:D=P39),filter(Data!N:N,Data!C:C=C$3,Data!D:D=P39)),2),"""")"),"")</f>
        <v/>
      </c>
    </row>
    <row r="40">
      <c r="A40" s="1"/>
      <c r="B40" s="2" t="str">
        <f>IFERROR(__xludf.DUMMYFUNCTION("""COMPUTED_VALUE"""),"CHI")</f>
        <v>CHI</v>
      </c>
      <c r="C40" s="12">
        <f>IFERROR(__xludf.DUMMYFUNCTION("""COMPUTED_VALUE"""),-0.35)</f>
        <v>-0.35</v>
      </c>
      <c r="D40" s="1"/>
      <c r="E40" s="1"/>
      <c r="F40" s="2"/>
      <c r="G40" s="2"/>
      <c r="H40" s="2"/>
      <c r="I40" s="2"/>
      <c r="J40" s="2"/>
      <c r="K40" s="2"/>
      <c r="L40" s="2"/>
      <c r="M40" s="2"/>
      <c r="N40" s="2"/>
      <c r="O40" s="1"/>
      <c r="P40" s="1"/>
      <c r="Q40" s="12" t="str">
        <f>IFERROR(__xludf.DUMMYFUNCTION("iferror(round(correl(filter(Data!I:I,Data!C:C=C$3,Data!D:D=P40),filter(Data!E:E,Data!C:C=C$3,Data!D:D=P40)),2),"""")"),"")</f>
        <v/>
      </c>
    </row>
    <row r="41">
      <c r="A41" s="1"/>
      <c r="B41" s="2"/>
      <c r="C41" s="2"/>
      <c r="D41" s="1"/>
      <c r="E41" s="1"/>
      <c r="F41" s="2"/>
      <c r="G41" s="2"/>
      <c r="H41" s="2"/>
      <c r="I41" s="2"/>
      <c r="J41" s="2"/>
      <c r="K41" s="2"/>
      <c r="L41" s="2"/>
      <c r="M41" s="2"/>
      <c r="N41" s="2"/>
      <c r="O41" s="1"/>
      <c r="P41" s="1"/>
      <c r="Q41" s="12" t="str">
        <f>IFERROR(__xludf.DUMMYFUNCTION("iferror(round(correl(filter(Data!I:I,Data!C:C=C$3,Data!D:D=P41),filter(Data!E:E,Data!C:C=C$3,Data!D:D=P41)),2),"""")"),"")</f>
        <v/>
      </c>
    </row>
    <row r="42">
      <c r="A42" s="1"/>
      <c r="B42" s="1"/>
      <c r="C42" s="1"/>
      <c r="D42" s="1"/>
      <c r="E42" s="1"/>
      <c r="F42" s="2"/>
      <c r="G42" s="2"/>
      <c r="H42" s="2"/>
      <c r="I42" s="2"/>
      <c r="J42" s="2"/>
      <c r="K42" s="2"/>
      <c r="L42" s="2"/>
      <c r="M42" s="2"/>
      <c r="N42" s="2"/>
      <c r="O42" s="1"/>
      <c r="P42" s="1"/>
      <c r="Q42" s="12" t="str">
        <f>IFERROR(__xludf.DUMMYFUNCTION("iferror(round(correl(filter(Data!I:I,Data!C:C=C$3,Data!D:D=P42),filter(Data!E:E,Data!C:C=C$3,Data!D:D=P42)),2),"""")"),"")</f>
        <v/>
      </c>
    </row>
    <row r="43">
      <c r="A43" s="1"/>
      <c r="B43" s="1"/>
      <c r="C43" s="1"/>
      <c r="D43" s="1"/>
      <c r="E43" s="1"/>
      <c r="F43" s="2"/>
      <c r="G43" s="2"/>
      <c r="H43" s="2"/>
      <c r="I43" s="2"/>
      <c r="J43" s="2"/>
      <c r="K43" s="2"/>
      <c r="L43" s="2"/>
      <c r="M43" s="2"/>
      <c r="N43" s="2"/>
      <c r="O43" s="1"/>
      <c r="P43" s="1"/>
      <c r="Q43" s="12" t="str">
        <f>IFERROR(__xludf.DUMMYFUNCTION("iferror(round(correl(filter(Data!I:I,Data!C:C=C$3,Data!D:D=P43),filter(Data!E:E,Data!C:C=C$3,Data!D:D=P43)),2),"""")"),"")</f>
        <v/>
      </c>
    </row>
    <row r="44">
      <c r="A44" s="1"/>
      <c r="B44" s="1"/>
      <c r="C44" s="1"/>
      <c r="D44" s="1"/>
      <c r="E44" s="1"/>
      <c r="F44" s="2"/>
      <c r="G44" s="2"/>
      <c r="H44" s="2"/>
      <c r="I44" s="2"/>
      <c r="J44" s="2"/>
      <c r="K44" s="2"/>
      <c r="L44" s="2"/>
      <c r="M44" s="2"/>
      <c r="N44" s="2"/>
      <c r="O44" s="1"/>
      <c r="P44" s="1"/>
      <c r="Q44" s="12" t="str">
        <f>IFERROR(__xludf.DUMMYFUNCTION("iferror(round(correl(filter(Data!I:I,Data!C:C=C$3,Data!D:D=P44),filter(Data!E:E,Data!C:C=C$3,Data!D:D=P44)),2),"""")"),"")</f>
        <v/>
      </c>
    </row>
    <row r="45">
      <c r="A45" s="1"/>
      <c r="B45" s="1"/>
      <c r="C45" s="1"/>
      <c r="D45" s="1"/>
      <c r="E45" s="1"/>
      <c r="F45" s="2"/>
      <c r="G45" s="2"/>
      <c r="H45" s="2"/>
      <c r="I45" s="2"/>
      <c r="J45" s="2"/>
      <c r="K45" s="2"/>
      <c r="L45" s="2"/>
      <c r="M45" s="2"/>
      <c r="N45" s="2"/>
      <c r="O45" s="1"/>
      <c r="P45" s="1"/>
      <c r="Q45" s="1"/>
    </row>
    <row r="46">
      <c r="A46" s="1"/>
      <c r="B46" s="1"/>
      <c r="C46" s="1"/>
      <c r="D46" s="1"/>
      <c r="E46" s="1"/>
      <c r="F46" s="2"/>
      <c r="G46" s="2"/>
      <c r="H46" s="2"/>
      <c r="I46" s="2"/>
      <c r="J46" s="2"/>
      <c r="K46" s="2"/>
      <c r="L46" s="2"/>
      <c r="M46" s="2"/>
      <c r="N46" s="2"/>
      <c r="O46" s="1"/>
      <c r="P46" s="1"/>
      <c r="Q46" s="1"/>
    </row>
    <row r="47">
      <c r="A47" s="1"/>
      <c r="B47" s="1"/>
      <c r="C47" s="1"/>
      <c r="D47" s="1"/>
      <c r="E47" s="1"/>
      <c r="F47" s="2"/>
      <c r="G47" s="2"/>
      <c r="H47" s="2"/>
      <c r="I47" s="2"/>
      <c r="J47" s="2"/>
      <c r="K47" s="2"/>
      <c r="L47" s="2"/>
      <c r="M47" s="2"/>
      <c r="N47" s="2"/>
      <c r="O47" s="1"/>
      <c r="P47" s="1"/>
      <c r="Q47" s="1"/>
    </row>
    <row r="48">
      <c r="A48" s="1"/>
      <c r="B48" s="1"/>
      <c r="C48" s="1"/>
      <c r="D48" s="1"/>
      <c r="E48" s="1"/>
      <c r="F48" s="2"/>
      <c r="G48" s="2"/>
      <c r="H48" s="2"/>
      <c r="I48" s="2"/>
      <c r="J48" s="2"/>
      <c r="K48" s="2"/>
      <c r="L48" s="2"/>
      <c r="M48" s="2"/>
      <c r="N48" s="2"/>
      <c r="O48" s="1"/>
      <c r="P48" s="1"/>
      <c r="Q48" s="1"/>
    </row>
    <row r="49">
      <c r="A49" s="1"/>
      <c r="B49" s="1"/>
      <c r="C49" s="1"/>
      <c r="D49" s="1"/>
      <c r="E49" s="1"/>
      <c r="F49" s="2"/>
      <c r="G49" s="2"/>
      <c r="H49" s="2"/>
      <c r="I49" s="2"/>
      <c r="J49" s="2"/>
      <c r="K49" s="2"/>
      <c r="L49" s="2"/>
      <c r="M49" s="2"/>
      <c r="N49" s="2"/>
      <c r="O49" s="1"/>
      <c r="P49" s="1"/>
      <c r="Q49" s="1"/>
    </row>
    <row r="50">
      <c r="A50" s="1"/>
      <c r="B50" s="1"/>
      <c r="C50" s="1"/>
      <c r="D50" s="1"/>
      <c r="E50" s="1"/>
      <c r="F50" s="2"/>
      <c r="G50" s="2"/>
      <c r="H50" s="2"/>
      <c r="I50" s="2"/>
      <c r="J50" s="2"/>
      <c r="K50" s="2"/>
      <c r="L50" s="2"/>
      <c r="M50" s="2"/>
      <c r="N50" s="2"/>
      <c r="O50" s="1"/>
      <c r="P50" s="1"/>
      <c r="Q50" s="1"/>
    </row>
    <row r="51">
      <c r="A51" s="1"/>
      <c r="B51" s="1"/>
      <c r="C51" s="1"/>
      <c r="D51" s="1"/>
      <c r="E51" s="1"/>
      <c r="F51" s="2"/>
      <c r="G51" s="2"/>
      <c r="H51" s="2"/>
      <c r="I51" s="2"/>
      <c r="J51" s="2"/>
      <c r="K51" s="2"/>
      <c r="L51" s="2"/>
      <c r="M51" s="2"/>
      <c r="N51" s="2"/>
      <c r="O51" s="1"/>
      <c r="P51" s="1"/>
      <c r="Q51" s="1"/>
    </row>
    <row r="52">
      <c r="A52" s="1"/>
      <c r="B52" s="1"/>
      <c r="C52" s="1"/>
      <c r="D52" s="1"/>
      <c r="E52" s="1"/>
      <c r="F52" s="2"/>
      <c r="G52" s="2"/>
      <c r="H52" s="2"/>
      <c r="I52" s="2"/>
      <c r="J52" s="2"/>
      <c r="K52" s="2"/>
      <c r="L52" s="2"/>
      <c r="M52" s="2"/>
      <c r="N52" s="2"/>
      <c r="O52" s="1"/>
      <c r="P52" s="1"/>
      <c r="Q52" s="1"/>
    </row>
    <row r="53">
      <c r="A53" s="1"/>
      <c r="B53" s="1"/>
      <c r="C53" s="1"/>
      <c r="D53" s="1"/>
      <c r="E53" s="1"/>
      <c r="F53" s="2"/>
      <c r="G53" s="2"/>
      <c r="H53" s="2"/>
      <c r="I53" s="2"/>
      <c r="J53" s="2"/>
      <c r="K53" s="2"/>
      <c r="L53" s="2"/>
      <c r="M53" s="2"/>
      <c r="N53" s="2"/>
      <c r="O53" s="1"/>
      <c r="P53" s="1"/>
      <c r="Q53" s="1"/>
    </row>
    <row r="54">
      <c r="A54" s="1"/>
      <c r="B54" s="1"/>
      <c r="C54" s="1"/>
      <c r="D54" s="1"/>
      <c r="E54" s="1"/>
      <c r="F54" s="2"/>
      <c r="G54" s="2"/>
      <c r="H54" s="2"/>
      <c r="I54" s="2"/>
      <c r="J54" s="2"/>
      <c r="K54" s="2"/>
      <c r="L54" s="2"/>
      <c r="M54" s="2"/>
      <c r="N54" s="2"/>
      <c r="O54" s="1"/>
      <c r="P54" s="1"/>
      <c r="Q54" s="1"/>
    </row>
    <row r="55">
      <c r="A55" s="1"/>
      <c r="B55" s="1"/>
      <c r="C55" s="1"/>
      <c r="D55" s="1"/>
      <c r="E55" s="1"/>
      <c r="F55" s="2"/>
      <c r="G55" s="2"/>
      <c r="H55" s="2"/>
      <c r="I55" s="2"/>
      <c r="J55" s="2"/>
      <c r="K55" s="2"/>
      <c r="L55" s="2"/>
      <c r="M55" s="2"/>
      <c r="N55" s="2"/>
      <c r="O55" s="1"/>
      <c r="P55" s="1"/>
      <c r="Q55" s="1"/>
    </row>
    <row r="56">
      <c r="A56" s="1"/>
      <c r="B56" s="1"/>
      <c r="C56" s="1"/>
      <c r="D56" s="1"/>
      <c r="E56" s="1"/>
      <c r="F56" s="2"/>
      <c r="G56" s="2"/>
      <c r="H56" s="2"/>
      <c r="I56" s="2"/>
      <c r="J56" s="2"/>
      <c r="K56" s="2"/>
      <c r="L56" s="2"/>
      <c r="M56" s="2"/>
      <c r="N56" s="2"/>
      <c r="O56" s="1"/>
      <c r="P56" s="1"/>
      <c r="Q56" s="1"/>
    </row>
    <row r="57">
      <c r="A57" s="1"/>
      <c r="B57" s="1"/>
      <c r="C57" s="1"/>
      <c r="D57" s="1"/>
      <c r="E57" s="1"/>
      <c r="F57" s="2"/>
      <c r="G57" s="2"/>
      <c r="H57" s="2"/>
      <c r="I57" s="2"/>
      <c r="J57" s="2"/>
      <c r="K57" s="2"/>
      <c r="L57" s="2"/>
      <c r="M57" s="2"/>
      <c r="N57" s="2"/>
      <c r="O57" s="1"/>
      <c r="P57" s="1"/>
      <c r="Q57" s="1"/>
    </row>
    <row r="58">
      <c r="A58" s="1"/>
      <c r="B58" s="1"/>
      <c r="C58" s="1"/>
      <c r="D58" s="1"/>
      <c r="E58" s="1"/>
      <c r="F58" s="2"/>
      <c r="G58" s="2"/>
      <c r="H58" s="2"/>
      <c r="I58" s="2"/>
      <c r="J58" s="2"/>
      <c r="K58" s="2"/>
      <c r="L58" s="2"/>
      <c r="M58" s="2"/>
      <c r="N58" s="2"/>
      <c r="O58" s="1"/>
      <c r="P58" s="1"/>
      <c r="Q58" s="1"/>
    </row>
    <row r="59">
      <c r="A59" s="1"/>
      <c r="B59" s="1"/>
      <c r="C59" s="1"/>
      <c r="D59" s="1"/>
      <c r="E59" s="1"/>
      <c r="F59" s="2"/>
      <c r="G59" s="2"/>
      <c r="H59" s="2"/>
      <c r="I59" s="2"/>
      <c r="J59" s="2"/>
      <c r="K59" s="2"/>
      <c r="L59" s="2"/>
      <c r="M59" s="2"/>
      <c r="N59" s="2"/>
      <c r="O59" s="1"/>
      <c r="P59" s="1"/>
      <c r="Q59" s="1"/>
    </row>
    <row r="60">
      <c r="A60" s="1"/>
      <c r="B60" s="1"/>
      <c r="C60" s="1"/>
      <c r="D60" s="1"/>
      <c r="E60" s="1"/>
      <c r="F60" s="2"/>
      <c r="G60" s="2"/>
      <c r="H60" s="2"/>
      <c r="I60" s="2"/>
      <c r="J60" s="2"/>
      <c r="K60" s="2"/>
      <c r="L60" s="2"/>
      <c r="M60" s="2"/>
      <c r="N60" s="2"/>
      <c r="O60" s="1"/>
      <c r="P60" s="1"/>
      <c r="Q60" s="1"/>
    </row>
    <row r="61">
      <c r="A61" s="1"/>
      <c r="B61" s="1"/>
      <c r="C61" s="1"/>
      <c r="D61" s="1"/>
      <c r="E61" s="1"/>
      <c r="F61" s="2"/>
      <c r="G61" s="2"/>
      <c r="H61" s="2"/>
      <c r="I61" s="2"/>
      <c r="J61" s="2"/>
      <c r="K61" s="2"/>
      <c r="L61" s="2"/>
      <c r="M61" s="2"/>
      <c r="N61" s="2"/>
      <c r="O61" s="1"/>
      <c r="P61" s="1"/>
      <c r="Q61" s="1"/>
    </row>
    <row r="62">
      <c r="A62" s="1"/>
      <c r="B62" s="1"/>
      <c r="C62" s="1"/>
      <c r="D62" s="1"/>
      <c r="E62" s="1"/>
      <c r="F62" s="2"/>
      <c r="G62" s="2"/>
      <c r="H62" s="2"/>
      <c r="I62" s="2"/>
      <c r="J62" s="2"/>
      <c r="K62" s="2"/>
      <c r="L62" s="2"/>
      <c r="M62" s="2"/>
      <c r="N62" s="2"/>
      <c r="O62" s="1"/>
      <c r="P62" s="1"/>
      <c r="Q62" s="1"/>
    </row>
    <row r="63">
      <c r="A63" s="1"/>
      <c r="B63" s="1"/>
      <c r="C63" s="1"/>
      <c r="D63" s="1"/>
      <c r="E63" s="1"/>
      <c r="F63" s="2"/>
      <c r="G63" s="2"/>
      <c r="H63" s="2"/>
      <c r="I63" s="2"/>
      <c r="J63" s="2"/>
      <c r="K63" s="2"/>
      <c r="L63" s="2"/>
      <c r="M63" s="2"/>
      <c r="N63" s="2"/>
      <c r="O63" s="1"/>
      <c r="P63" s="1"/>
      <c r="Q63" s="1"/>
    </row>
    <row r="64">
      <c r="A64" s="1"/>
      <c r="B64" s="1"/>
      <c r="C64" s="1"/>
      <c r="D64" s="1"/>
      <c r="E64" s="1"/>
      <c r="F64" s="2"/>
      <c r="G64" s="2"/>
      <c r="H64" s="2"/>
      <c r="I64" s="2"/>
      <c r="J64" s="2"/>
      <c r="K64" s="2"/>
      <c r="L64" s="2"/>
      <c r="M64" s="2"/>
      <c r="N64" s="2"/>
      <c r="O64" s="1"/>
      <c r="P64" s="1"/>
      <c r="Q64" s="1"/>
    </row>
    <row r="65">
      <c r="A65" s="1"/>
      <c r="B65" s="1"/>
      <c r="C65" s="1"/>
      <c r="D65" s="1"/>
      <c r="E65" s="1"/>
      <c r="F65" s="2"/>
      <c r="G65" s="2"/>
      <c r="H65" s="2"/>
      <c r="I65" s="2"/>
      <c r="J65" s="2"/>
      <c r="K65" s="2"/>
      <c r="L65" s="2"/>
      <c r="M65" s="2"/>
      <c r="N65" s="2"/>
      <c r="O65" s="1"/>
      <c r="P65" s="1"/>
      <c r="Q65" s="1"/>
    </row>
    <row r="66">
      <c r="A66" s="1"/>
      <c r="B66" s="1"/>
      <c r="C66" s="1"/>
      <c r="D66" s="1"/>
      <c r="E66" s="1"/>
      <c r="F66" s="2"/>
      <c r="G66" s="2"/>
      <c r="H66" s="2"/>
      <c r="I66" s="2"/>
      <c r="J66" s="2"/>
      <c r="K66" s="2"/>
      <c r="L66" s="2"/>
      <c r="M66" s="2"/>
      <c r="N66" s="2"/>
      <c r="O66" s="1"/>
      <c r="P66" s="1"/>
      <c r="Q66" s="1"/>
    </row>
    <row r="67">
      <c r="A67" s="1"/>
      <c r="B67" s="1"/>
      <c r="C67" s="1"/>
      <c r="D67" s="1"/>
      <c r="E67" s="1"/>
      <c r="F67" s="2"/>
      <c r="G67" s="2"/>
      <c r="H67" s="2"/>
      <c r="I67" s="2"/>
      <c r="J67" s="2"/>
      <c r="K67" s="2"/>
      <c r="L67" s="2"/>
      <c r="M67" s="2"/>
      <c r="N67" s="2"/>
      <c r="O67" s="1"/>
      <c r="P67" s="1"/>
      <c r="Q67" s="1"/>
    </row>
    <row r="68">
      <c r="A68" s="1"/>
      <c r="B68" s="1"/>
      <c r="C68" s="1"/>
      <c r="D68" s="1"/>
      <c r="E68" s="1"/>
      <c r="F68" s="2"/>
      <c r="G68" s="2"/>
      <c r="H68" s="2"/>
      <c r="I68" s="2"/>
      <c r="J68" s="2"/>
      <c r="K68" s="2"/>
      <c r="L68" s="2"/>
      <c r="M68" s="2"/>
      <c r="N68" s="2"/>
      <c r="O68" s="1"/>
      <c r="P68" s="1"/>
      <c r="Q68" s="1"/>
    </row>
    <row r="69">
      <c r="A69" s="1"/>
      <c r="B69" s="1"/>
      <c r="C69" s="1"/>
      <c r="D69" s="1"/>
      <c r="E69" s="1"/>
      <c r="F69" s="2"/>
      <c r="G69" s="2"/>
      <c r="H69" s="2"/>
      <c r="I69" s="2"/>
      <c r="J69" s="2"/>
      <c r="K69" s="2"/>
      <c r="L69" s="2"/>
      <c r="M69" s="2"/>
      <c r="N69" s="2"/>
      <c r="O69" s="1"/>
      <c r="P69" s="1"/>
      <c r="Q69" s="1"/>
    </row>
    <row r="70">
      <c r="A70" s="1"/>
      <c r="B70" s="1"/>
      <c r="C70" s="1"/>
      <c r="D70" s="1"/>
      <c r="E70" s="1"/>
      <c r="F70" s="2"/>
      <c r="G70" s="2"/>
      <c r="H70" s="2"/>
      <c r="I70" s="2"/>
      <c r="J70" s="2"/>
      <c r="K70" s="2"/>
      <c r="L70" s="2"/>
      <c r="M70" s="2"/>
      <c r="N70" s="2"/>
      <c r="O70" s="1"/>
      <c r="P70" s="1"/>
      <c r="Q70" s="1"/>
    </row>
    <row r="71">
      <c r="A71" s="1"/>
      <c r="B71" s="1"/>
      <c r="C71" s="1"/>
      <c r="D71" s="1"/>
      <c r="E71" s="1"/>
      <c r="F71" s="2"/>
      <c r="G71" s="2"/>
      <c r="H71" s="2"/>
      <c r="I71" s="2"/>
      <c r="J71" s="2"/>
      <c r="K71" s="2"/>
      <c r="L71" s="2"/>
      <c r="M71" s="2"/>
      <c r="N71" s="2"/>
      <c r="O71" s="1"/>
      <c r="P71" s="1"/>
      <c r="Q71" s="1"/>
    </row>
    <row r="72">
      <c r="A72" s="1"/>
      <c r="B72" s="1"/>
      <c r="C72" s="1"/>
      <c r="D72" s="1"/>
      <c r="E72" s="1"/>
      <c r="F72" s="2"/>
      <c r="G72" s="2"/>
      <c r="H72" s="2"/>
      <c r="I72" s="2"/>
      <c r="J72" s="2"/>
      <c r="K72" s="2"/>
      <c r="L72" s="2"/>
      <c r="M72" s="2"/>
      <c r="N72" s="2"/>
      <c r="O72" s="1"/>
      <c r="P72" s="1"/>
      <c r="Q72" s="1"/>
    </row>
    <row r="73">
      <c r="A73" s="1"/>
      <c r="B73" s="1"/>
      <c r="C73" s="1"/>
      <c r="D73" s="1"/>
      <c r="E73" s="1"/>
      <c r="F73" s="2"/>
      <c r="G73" s="2"/>
      <c r="H73" s="2"/>
      <c r="I73" s="2"/>
      <c r="J73" s="2"/>
      <c r="K73" s="2"/>
      <c r="L73" s="2"/>
      <c r="M73" s="2"/>
      <c r="N73" s="2"/>
      <c r="O73" s="1"/>
      <c r="P73" s="1"/>
      <c r="Q73" s="1"/>
    </row>
    <row r="74">
      <c r="A74" s="1"/>
      <c r="B74" s="1"/>
      <c r="C74" s="1"/>
      <c r="D74" s="1"/>
      <c r="E74" s="1"/>
      <c r="F74" s="2"/>
      <c r="G74" s="2"/>
      <c r="H74" s="2"/>
      <c r="I74" s="2"/>
      <c r="J74" s="2"/>
      <c r="K74" s="2"/>
      <c r="L74" s="2"/>
      <c r="M74" s="2"/>
      <c r="N74" s="2"/>
      <c r="O74" s="1"/>
      <c r="P74" s="1"/>
      <c r="Q74" s="1"/>
    </row>
    <row r="75">
      <c r="A75" s="1"/>
      <c r="B75" s="1"/>
      <c r="C75" s="1"/>
      <c r="D75" s="1"/>
      <c r="E75" s="1"/>
      <c r="F75" s="2"/>
      <c r="G75" s="2"/>
      <c r="H75" s="2"/>
      <c r="I75" s="2"/>
      <c r="J75" s="2"/>
      <c r="K75" s="2"/>
      <c r="L75" s="2"/>
      <c r="M75" s="2"/>
      <c r="N75" s="2"/>
      <c r="O75" s="1"/>
      <c r="P75" s="1"/>
      <c r="Q75" s="1"/>
    </row>
    <row r="76">
      <c r="A76" s="1"/>
      <c r="B76" s="1"/>
      <c r="C76" s="1"/>
      <c r="D76" s="1"/>
      <c r="E76" s="1"/>
      <c r="F76" s="2"/>
      <c r="G76" s="2"/>
      <c r="H76" s="2"/>
      <c r="I76" s="2"/>
      <c r="J76" s="2"/>
      <c r="K76" s="2"/>
      <c r="L76" s="2"/>
      <c r="M76" s="2"/>
      <c r="N76" s="2"/>
      <c r="O76" s="1"/>
      <c r="P76" s="1"/>
      <c r="Q76" s="1"/>
    </row>
    <row r="77">
      <c r="A77" s="1"/>
      <c r="B77" s="1"/>
      <c r="C77" s="1"/>
      <c r="D77" s="1"/>
      <c r="E77" s="1"/>
      <c r="F77" s="2"/>
      <c r="G77" s="2"/>
      <c r="H77" s="2"/>
      <c r="I77" s="2"/>
      <c r="J77" s="2"/>
      <c r="K77" s="2"/>
      <c r="L77" s="2"/>
      <c r="M77" s="2"/>
      <c r="N77" s="2"/>
      <c r="O77" s="1"/>
      <c r="P77" s="1"/>
      <c r="Q77" s="1"/>
    </row>
    <row r="78">
      <c r="A78" s="1"/>
      <c r="B78" s="1"/>
      <c r="C78" s="1"/>
      <c r="D78" s="1"/>
      <c r="E78" s="1"/>
      <c r="F78" s="2"/>
      <c r="G78" s="2"/>
      <c r="H78" s="2"/>
      <c r="I78" s="2"/>
      <c r="J78" s="2"/>
      <c r="K78" s="2"/>
      <c r="L78" s="2"/>
      <c r="M78" s="2"/>
      <c r="N78" s="2"/>
      <c r="O78" s="1"/>
      <c r="P78" s="1"/>
      <c r="Q78" s="1"/>
    </row>
    <row r="79">
      <c r="A79" s="1"/>
      <c r="B79" s="1"/>
      <c r="C79" s="1"/>
      <c r="D79" s="1"/>
      <c r="E79" s="1"/>
      <c r="F79" s="2"/>
      <c r="G79" s="2"/>
      <c r="H79" s="2"/>
      <c r="I79" s="2"/>
      <c r="J79" s="2"/>
      <c r="K79" s="2"/>
      <c r="L79" s="2"/>
      <c r="M79" s="2"/>
      <c r="N79" s="2"/>
      <c r="O79" s="1"/>
      <c r="P79" s="1"/>
      <c r="Q79" s="1"/>
    </row>
    <row r="80">
      <c r="A80" s="1"/>
      <c r="B80" s="1"/>
      <c r="C80" s="1"/>
      <c r="D80" s="1"/>
      <c r="E80" s="1"/>
      <c r="F80" s="2"/>
      <c r="G80" s="2"/>
      <c r="H80" s="2"/>
      <c r="I80" s="2"/>
      <c r="J80" s="2"/>
      <c r="K80" s="2"/>
      <c r="L80" s="2"/>
      <c r="M80" s="2"/>
      <c r="N80" s="2"/>
      <c r="O80" s="1"/>
      <c r="P80" s="1"/>
      <c r="Q80" s="1"/>
    </row>
    <row r="81">
      <c r="A81" s="1"/>
      <c r="B81" s="1"/>
      <c r="C81" s="1"/>
      <c r="D81" s="1"/>
      <c r="E81" s="1"/>
      <c r="F81" s="2"/>
      <c r="G81" s="2"/>
      <c r="H81" s="2"/>
      <c r="I81" s="2"/>
      <c r="J81" s="2"/>
      <c r="K81" s="2"/>
      <c r="L81" s="2"/>
      <c r="M81" s="2"/>
      <c r="N81" s="2"/>
      <c r="O81" s="1"/>
      <c r="P81" s="1"/>
      <c r="Q81" s="1"/>
    </row>
    <row r="82">
      <c r="A82" s="1"/>
      <c r="B82" s="1"/>
      <c r="C82" s="1"/>
      <c r="D82" s="1"/>
      <c r="E82" s="1"/>
      <c r="F82" s="2"/>
      <c r="G82" s="2"/>
      <c r="H82" s="2"/>
      <c r="I82" s="2"/>
      <c r="J82" s="2"/>
      <c r="K82" s="2"/>
      <c r="L82" s="2"/>
      <c r="M82" s="2"/>
      <c r="N82" s="2"/>
      <c r="O82" s="1"/>
      <c r="P82" s="1"/>
      <c r="Q82" s="1"/>
    </row>
    <row r="83">
      <c r="A83" s="1"/>
      <c r="B83" s="1"/>
      <c r="C83" s="1"/>
      <c r="D83" s="1"/>
      <c r="E83" s="1"/>
      <c r="F83" s="2"/>
      <c r="G83" s="2"/>
      <c r="H83" s="2"/>
      <c r="I83" s="2"/>
      <c r="J83" s="2"/>
      <c r="K83" s="2"/>
      <c r="L83" s="2"/>
      <c r="M83" s="2"/>
      <c r="N83" s="2"/>
      <c r="O83" s="1"/>
      <c r="P83" s="1"/>
      <c r="Q83" s="1"/>
    </row>
    <row r="84">
      <c r="A84" s="1"/>
      <c r="B84" s="1"/>
      <c r="C84" s="1"/>
      <c r="D84" s="1"/>
      <c r="E84" s="1"/>
      <c r="F84" s="2"/>
      <c r="G84" s="2"/>
      <c r="H84" s="2"/>
      <c r="I84" s="2"/>
      <c r="J84" s="2"/>
      <c r="K84" s="2"/>
      <c r="L84" s="2"/>
      <c r="M84" s="2"/>
      <c r="N84" s="2"/>
      <c r="O84" s="1"/>
      <c r="P84" s="1"/>
      <c r="Q84" s="1"/>
    </row>
    <row r="85">
      <c r="A85" s="1"/>
      <c r="B85" s="1"/>
      <c r="C85" s="1"/>
      <c r="D85" s="1"/>
      <c r="E85" s="1"/>
      <c r="F85" s="2"/>
      <c r="G85" s="2"/>
      <c r="H85" s="2"/>
      <c r="I85" s="2"/>
      <c r="J85" s="2"/>
      <c r="K85" s="2"/>
      <c r="L85" s="2"/>
      <c r="M85" s="2"/>
      <c r="N85" s="2"/>
      <c r="O85" s="1"/>
      <c r="P85" s="1"/>
      <c r="Q85" s="1"/>
    </row>
    <row r="86">
      <c r="A86" s="1"/>
      <c r="B86" s="1"/>
      <c r="C86" s="1"/>
      <c r="D86" s="1"/>
      <c r="E86" s="1"/>
      <c r="F86" s="2"/>
      <c r="G86" s="2"/>
      <c r="H86" s="2"/>
      <c r="I86" s="2"/>
      <c r="J86" s="2"/>
      <c r="K86" s="2"/>
      <c r="L86" s="2"/>
      <c r="M86" s="2"/>
      <c r="N86" s="2"/>
      <c r="O86" s="1"/>
      <c r="P86" s="1"/>
      <c r="Q86" s="1"/>
    </row>
    <row r="87">
      <c r="A87" s="1"/>
      <c r="B87" s="1"/>
      <c r="C87" s="1"/>
      <c r="D87" s="1"/>
      <c r="E87" s="1"/>
      <c r="F87" s="2"/>
      <c r="G87" s="2"/>
      <c r="H87" s="2"/>
      <c r="I87" s="2"/>
      <c r="J87" s="2"/>
      <c r="K87" s="2"/>
      <c r="L87" s="2"/>
      <c r="M87" s="2"/>
      <c r="N87" s="2"/>
      <c r="O87" s="1"/>
      <c r="P87" s="1"/>
      <c r="Q87" s="1"/>
    </row>
    <row r="88">
      <c r="A88" s="1"/>
      <c r="B88" s="1"/>
      <c r="C88" s="1"/>
      <c r="D88" s="1"/>
      <c r="E88" s="1"/>
      <c r="F88" s="2"/>
      <c r="G88" s="2"/>
      <c r="H88" s="2"/>
      <c r="I88" s="2"/>
      <c r="J88" s="2"/>
      <c r="K88" s="2"/>
      <c r="L88" s="2"/>
      <c r="M88" s="2"/>
      <c r="N88" s="2"/>
      <c r="O88" s="1"/>
      <c r="P88" s="1"/>
      <c r="Q88" s="1"/>
    </row>
    <row r="89">
      <c r="A89" s="1"/>
      <c r="B89" s="1"/>
      <c r="C89" s="1"/>
      <c r="D89" s="1"/>
      <c r="E89" s="1"/>
      <c r="F89" s="2"/>
      <c r="G89" s="2"/>
      <c r="H89" s="2"/>
      <c r="I89" s="2"/>
      <c r="J89" s="2"/>
      <c r="K89" s="2"/>
      <c r="L89" s="2"/>
      <c r="M89" s="2"/>
      <c r="N89" s="2"/>
      <c r="O89" s="1"/>
      <c r="P89" s="1"/>
      <c r="Q89" s="1"/>
    </row>
    <row r="90">
      <c r="A90" s="1"/>
      <c r="B90" s="1"/>
      <c r="C90" s="1"/>
      <c r="D90" s="1"/>
      <c r="E90" s="1"/>
      <c r="F90" s="2"/>
      <c r="G90" s="2"/>
      <c r="H90" s="2"/>
      <c r="I90" s="2"/>
      <c r="J90" s="2"/>
      <c r="K90" s="2"/>
      <c r="L90" s="2"/>
      <c r="M90" s="2"/>
      <c r="N90" s="2"/>
      <c r="O90" s="1"/>
      <c r="P90" s="1"/>
      <c r="Q90" s="1"/>
    </row>
    <row r="91">
      <c r="A91" s="1"/>
      <c r="B91" s="1"/>
      <c r="C91" s="1"/>
      <c r="D91" s="1"/>
      <c r="E91" s="1"/>
      <c r="F91" s="2"/>
      <c r="G91" s="2"/>
      <c r="H91" s="2"/>
      <c r="I91" s="2"/>
      <c r="J91" s="2"/>
      <c r="K91" s="2"/>
      <c r="L91" s="2"/>
      <c r="M91" s="2"/>
      <c r="N91" s="2"/>
      <c r="O91" s="1"/>
      <c r="P91" s="1"/>
      <c r="Q91" s="1"/>
    </row>
    <row r="92">
      <c r="A92" s="1"/>
      <c r="B92" s="1"/>
      <c r="C92" s="1"/>
      <c r="D92" s="1"/>
      <c r="E92" s="1"/>
      <c r="F92" s="2"/>
      <c r="G92" s="2"/>
      <c r="H92" s="2"/>
      <c r="I92" s="2"/>
      <c r="J92" s="2"/>
      <c r="K92" s="2"/>
      <c r="L92" s="2"/>
      <c r="M92" s="2"/>
      <c r="N92" s="2"/>
      <c r="O92" s="1"/>
      <c r="P92" s="1"/>
      <c r="Q92" s="1"/>
    </row>
    <row r="93">
      <c r="A93" s="1"/>
      <c r="B93" s="1"/>
      <c r="C93" s="1"/>
      <c r="D93" s="1"/>
      <c r="E93" s="1"/>
      <c r="F93" s="2"/>
      <c r="G93" s="2"/>
      <c r="H93" s="2"/>
      <c r="I93" s="2"/>
      <c r="J93" s="2"/>
      <c r="K93" s="2"/>
      <c r="L93" s="2"/>
      <c r="M93" s="2"/>
      <c r="N93" s="2"/>
      <c r="O93" s="1"/>
      <c r="P93" s="1"/>
      <c r="Q93" s="1"/>
    </row>
    <row r="94">
      <c r="A94" s="1"/>
      <c r="B94" s="1"/>
      <c r="C94" s="1"/>
      <c r="D94" s="1"/>
      <c r="E94" s="1"/>
      <c r="F94" s="2"/>
      <c r="G94" s="2"/>
      <c r="H94" s="2"/>
      <c r="I94" s="2"/>
      <c r="J94" s="2"/>
      <c r="K94" s="2"/>
      <c r="L94" s="2"/>
      <c r="M94" s="2"/>
      <c r="N94" s="2"/>
      <c r="O94" s="1"/>
      <c r="P94" s="1"/>
      <c r="Q94" s="1"/>
    </row>
    <row r="95">
      <c r="A95" s="1"/>
      <c r="B95" s="1"/>
      <c r="C95" s="1"/>
      <c r="D95" s="1"/>
      <c r="E95" s="1"/>
      <c r="F95" s="2"/>
      <c r="G95" s="2"/>
      <c r="H95" s="2"/>
      <c r="I95" s="2"/>
      <c r="J95" s="2"/>
      <c r="K95" s="2"/>
      <c r="L95" s="2"/>
      <c r="M95" s="2"/>
      <c r="N95" s="2"/>
      <c r="O95" s="1"/>
      <c r="P95" s="1"/>
      <c r="Q95" s="1"/>
    </row>
    <row r="96">
      <c r="A96" s="1"/>
      <c r="B96" s="1"/>
      <c r="C96" s="1"/>
      <c r="D96" s="1"/>
      <c r="E96" s="1"/>
      <c r="F96" s="2"/>
      <c r="G96" s="2"/>
      <c r="H96" s="2"/>
      <c r="I96" s="2"/>
      <c r="J96" s="2"/>
      <c r="K96" s="2"/>
      <c r="L96" s="2"/>
      <c r="M96" s="2"/>
      <c r="N96" s="2"/>
      <c r="O96" s="1"/>
      <c r="P96" s="1"/>
      <c r="Q96" s="1"/>
    </row>
    <row r="97">
      <c r="A97" s="1"/>
      <c r="B97" s="1"/>
      <c r="C97" s="1"/>
      <c r="D97" s="1"/>
      <c r="E97" s="1"/>
      <c r="F97" s="2"/>
      <c r="G97" s="2"/>
      <c r="H97" s="2"/>
      <c r="I97" s="2"/>
      <c r="J97" s="2"/>
      <c r="K97" s="2"/>
      <c r="L97" s="2"/>
      <c r="M97" s="2"/>
      <c r="N97" s="2"/>
      <c r="O97" s="1"/>
      <c r="P97" s="1"/>
      <c r="Q97" s="1"/>
    </row>
    <row r="98">
      <c r="A98" s="1"/>
      <c r="B98" s="1"/>
      <c r="C98" s="1"/>
      <c r="D98" s="1"/>
      <c r="E98" s="1"/>
      <c r="F98" s="2"/>
      <c r="G98" s="2"/>
      <c r="H98" s="2"/>
      <c r="I98" s="2"/>
      <c r="J98" s="2"/>
      <c r="K98" s="2"/>
      <c r="L98" s="2"/>
      <c r="M98" s="2"/>
      <c r="N98" s="2"/>
      <c r="O98" s="1"/>
      <c r="P98" s="1"/>
      <c r="Q98" s="1"/>
    </row>
    <row r="99">
      <c r="A99" s="1"/>
      <c r="B99" s="1"/>
      <c r="C99" s="1"/>
      <c r="D99" s="1"/>
      <c r="E99" s="1"/>
      <c r="F99" s="2"/>
      <c r="G99" s="2"/>
      <c r="H99" s="2"/>
      <c r="I99" s="2"/>
      <c r="J99" s="2"/>
      <c r="K99" s="2"/>
      <c r="L99" s="2"/>
      <c r="M99" s="2"/>
      <c r="N99" s="2"/>
      <c r="O99" s="1"/>
      <c r="P99" s="1"/>
      <c r="Q99" s="1"/>
    </row>
    <row r="100">
      <c r="A100" s="1"/>
      <c r="B100" s="1"/>
      <c r="C100" s="1"/>
      <c r="D100" s="1"/>
      <c r="E100" s="1"/>
      <c r="F100" s="2"/>
      <c r="G100" s="2"/>
      <c r="H100" s="2"/>
      <c r="I100" s="2"/>
      <c r="J100" s="2"/>
      <c r="K100" s="2"/>
      <c r="L100" s="2"/>
      <c r="M100" s="2"/>
      <c r="N100" s="2"/>
      <c r="O100" s="1"/>
      <c r="P100" s="1"/>
      <c r="Q100" s="1"/>
    </row>
    <row r="101">
      <c r="A101" s="1"/>
      <c r="B101" s="1"/>
      <c r="C101" s="1"/>
      <c r="D101" s="1"/>
      <c r="E101" s="1"/>
      <c r="F101" s="2"/>
      <c r="G101" s="2"/>
      <c r="H101" s="2"/>
      <c r="I101" s="2"/>
      <c r="J101" s="2"/>
      <c r="K101" s="2"/>
      <c r="L101" s="2"/>
      <c r="M101" s="2"/>
      <c r="N101" s="2"/>
      <c r="O101" s="1"/>
      <c r="P101" s="1"/>
      <c r="Q101" s="1"/>
    </row>
    <row r="102">
      <c r="A102" s="1"/>
      <c r="B102" s="1"/>
      <c r="C102" s="1"/>
      <c r="D102" s="1"/>
      <c r="E102" s="1"/>
      <c r="F102" s="2"/>
      <c r="G102" s="2"/>
      <c r="H102" s="2"/>
      <c r="I102" s="2"/>
      <c r="J102" s="2"/>
      <c r="K102" s="2"/>
      <c r="L102" s="2"/>
      <c r="M102" s="2"/>
      <c r="N102" s="2"/>
      <c r="O102" s="1"/>
      <c r="P102" s="1"/>
      <c r="Q102" s="1"/>
    </row>
    <row r="103">
      <c r="A103" s="1"/>
      <c r="B103" s="1"/>
      <c r="C103" s="1"/>
      <c r="D103" s="1"/>
      <c r="E103" s="1"/>
      <c r="F103" s="2"/>
      <c r="G103" s="2"/>
      <c r="H103" s="2"/>
      <c r="I103" s="2"/>
      <c r="J103" s="2"/>
      <c r="K103" s="2"/>
      <c r="L103" s="2"/>
      <c r="M103" s="2"/>
      <c r="N103" s="2"/>
      <c r="O103" s="1"/>
      <c r="P103" s="1"/>
      <c r="Q103" s="1"/>
    </row>
    <row r="104">
      <c r="A104" s="1"/>
      <c r="B104" s="1"/>
      <c r="C104" s="1"/>
      <c r="D104" s="1"/>
      <c r="E104" s="1"/>
      <c r="F104" s="2"/>
      <c r="G104" s="2"/>
      <c r="H104" s="2"/>
      <c r="I104" s="2"/>
      <c r="J104" s="2"/>
      <c r="K104" s="2"/>
      <c r="L104" s="2"/>
      <c r="M104" s="2"/>
      <c r="N104" s="2"/>
      <c r="O104" s="1"/>
      <c r="P104" s="1"/>
      <c r="Q104" s="1"/>
    </row>
    <row r="105">
      <c r="A105" s="1"/>
      <c r="B105" s="1"/>
      <c r="C105" s="1"/>
      <c r="D105" s="1"/>
      <c r="E105" s="1"/>
      <c r="F105" s="2"/>
      <c r="G105" s="2"/>
      <c r="H105" s="2"/>
      <c r="I105" s="2"/>
      <c r="J105" s="2"/>
      <c r="K105" s="2"/>
      <c r="L105" s="2"/>
      <c r="M105" s="2"/>
      <c r="N105" s="2"/>
      <c r="O105" s="1"/>
      <c r="P105" s="1"/>
      <c r="Q105" s="1"/>
    </row>
    <row r="106">
      <c r="A106" s="1"/>
      <c r="B106" s="1"/>
      <c r="C106" s="1"/>
      <c r="D106" s="1"/>
      <c r="E106" s="1"/>
      <c r="F106" s="2"/>
      <c r="G106" s="2"/>
      <c r="H106" s="2"/>
      <c r="I106" s="2"/>
      <c r="J106" s="2"/>
      <c r="K106" s="2"/>
      <c r="L106" s="2"/>
      <c r="M106" s="2"/>
      <c r="N106" s="2"/>
      <c r="O106" s="1"/>
      <c r="P106" s="1"/>
      <c r="Q106" s="1"/>
    </row>
    <row r="107">
      <c r="A107" s="1"/>
      <c r="B107" s="1"/>
      <c r="C107" s="1"/>
      <c r="D107" s="1"/>
      <c r="E107" s="1"/>
      <c r="F107" s="2"/>
      <c r="G107" s="2"/>
      <c r="H107" s="2"/>
      <c r="I107" s="2"/>
      <c r="J107" s="2"/>
      <c r="K107" s="2"/>
      <c r="L107" s="2"/>
      <c r="M107" s="2"/>
      <c r="N107" s="2"/>
      <c r="O107" s="1"/>
      <c r="P107" s="1"/>
      <c r="Q107" s="1"/>
    </row>
    <row r="108">
      <c r="A108" s="1"/>
      <c r="B108" s="1"/>
      <c r="C108" s="1"/>
      <c r="D108" s="1"/>
      <c r="E108" s="1"/>
      <c r="F108" s="2"/>
      <c r="G108" s="2"/>
      <c r="H108" s="2"/>
      <c r="I108" s="2"/>
      <c r="J108" s="2"/>
      <c r="K108" s="2"/>
      <c r="L108" s="2"/>
      <c r="M108" s="2"/>
      <c r="N108" s="2"/>
      <c r="O108" s="1"/>
      <c r="P108" s="1"/>
      <c r="Q108" s="1"/>
    </row>
    <row r="109">
      <c r="A109" s="1"/>
      <c r="B109" s="1"/>
      <c r="C109" s="1"/>
      <c r="D109" s="1"/>
      <c r="E109" s="1"/>
      <c r="F109" s="2"/>
      <c r="G109" s="2"/>
      <c r="H109" s="2"/>
      <c r="I109" s="2"/>
      <c r="J109" s="2"/>
      <c r="K109" s="2"/>
      <c r="L109" s="2"/>
      <c r="M109" s="2"/>
      <c r="N109" s="2"/>
      <c r="O109" s="1"/>
      <c r="P109" s="1"/>
      <c r="Q109" s="1"/>
    </row>
    <row r="110">
      <c r="A110" s="1"/>
      <c r="B110" s="1"/>
      <c r="C110" s="1"/>
      <c r="D110" s="1"/>
      <c r="E110" s="1"/>
      <c r="F110" s="2"/>
      <c r="G110" s="2"/>
      <c r="H110" s="2"/>
      <c r="I110" s="2"/>
      <c r="J110" s="2"/>
      <c r="K110" s="2"/>
      <c r="L110" s="2"/>
      <c r="M110" s="2"/>
      <c r="N110" s="2"/>
      <c r="O110" s="1"/>
      <c r="P110" s="1"/>
      <c r="Q110" s="1"/>
    </row>
    <row r="111">
      <c r="A111" s="1"/>
      <c r="B111" s="1"/>
      <c r="C111" s="1"/>
      <c r="D111" s="1"/>
      <c r="E111" s="1"/>
      <c r="F111" s="2"/>
      <c r="G111" s="2"/>
      <c r="H111" s="2"/>
      <c r="I111" s="2"/>
      <c r="J111" s="2"/>
      <c r="K111" s="2"/>
      <c r="L111" s="2"/>
      <c r="M111" s="2"/>
      <c r="N111" s="2"/>
      <c r="O111" s="1"/>
      <c r="P111" s="1"/>
      <c r="Q111" s="1"/>
    </row>
    <row r="112">
      <c r="A112" s="1"/>
      <c r="B112" s="1"/>
      <c r="C112" s="1"/>
      <c r="D112" s="1"/>
      <c r="E112" s="1"/>
      <c r="F112" s="2"/>
      <c r="G112" s="2"/>
      <c r="H112" s="2"/>
      <c r="I112" s="2"/>
      <c r="J112" s="2"/>
      <c r="K112" s="2"/>
      <c r="L112" s="2"/>
      <c r="M112" s="2"/>
      <c r="N112" s="2"/>
      <c r="O112" s="1"/>
      <c r="P112" s="1"/>
      <c r="Q112" s="1"/>
    </row>
    <row r="113">
      <c r="A113" s="1"/>
      <c r="B113" s="1"/>
      <c r="C113" s="1"/>
      <c r="D113" s="1"/>
      <c r="E113" s="1"/>
      <c r="F113" s="2"/>
      <c r="G113" s="2"/>
      <c r="H113" s="2"/>
      <c r="I113" s="2"/>
      <c r="J113" s="2"/>
      <c r="K113" s="2"/>
      <c r="L113" s="2"/>
      <c r="M113" s="2"/>
      <c r="N113" s="2"/>
      <c r="O113" s="1"/>
      <c r="P113" s="1"/>
      <c r="Q113" s="1"/>
    </row>
    <row r="114">
      <c r="A114" s="1"/>
      <c r="B114" s="1"/>
      <c r="C114" s="1"/>
      <c r="D114" s="1"/>
      <c r="E114" s="1"/>
      <c r="F114" s="2"/>
      <c r="G114" s="2"/>
      <c r="H114" s="2"/>
      <c r="I114" s="2"/>
      <c r="J114" s="2"/>
      <c r="K114" s="2"/>
      <c r="L114" s="2"/>
      <c r="M114" s="2"/>
      <c r="N114" s="2"/>
      <c r="O114" s="1"/>
      <c r="P114" s="1"/>
      <c r="Q114" s="1"/>
    </row>
    <row r="115">
      <c r="A115" s="1"/>
      <c r="B115" s="1"/>
      <c r="C115" s="1"/>
      <c r="D115" s="1"/>
      <c r="E115" s="1"/>
      <c r="F115" s="2"/>
      <c r="G115" s="2"/>
      <c r="H115" s="2"/>
      <c r="I115" s="2"/>
      <c r="J115" s="2"/>
      <c r="K115" s="2"/>
      <c r="L115" s="2"/>
      <c r="M115" s="2"/>
      <c r="N115" s="2"/>
      <c r="O115" s="1"/>
      <c r="P115" s="1"/>
      <c r="Q115" s="1"/>
    </row>
    <row r="116">
      <c r="A116" s="1"/>
      <c r="B116" s="1"/>
      <c r="C116" s="1"/>
      <c r="D116" s="1"/>
      <c r="E116" s="1"/>
      <c r="F116" s="2"/>
      <c r="G116" s="2"/>
      <c r="H116" s="2"/>
      <c r="I116" s="2"/>
      <c r="J116" s="2"/>
      <c r="K116" s="2"/>
      <c r="L116" s="2"/>
      <c r="M116" s="2"/>
      <c r="N116" s="2"/>
      <c r="O116" s="1"/>
      <c r="P116" s="1"/>
      <c r="Q116" s="1"/>
    </row>
    <row r="117">
      <c r="A117" s="1"/>
      <c r="B117" s="1"/>
      <c r="C117" s="1"/>
      <c r="D117" s="1"/>
      <c r="E117" s="1"/>
      <c r="F117" s="2"/>
      <c r="G117" s="2"/>
      <c r="H117" s="2"/>
      <c r="I117" s="2"/>
      <c r="J117" s="2"/>
      <c r="K117" s="2"/>
      <c r="L117" s="2"/>
      <c r="M117" s="2"/>
      <c r="N117" s="2"/>
      <c r="O117" s="1"/>
      <c r="P117" s="1"/>
      <c r="Q117" s="1"/>
    </row>
    <row r="118">
      <c r="A118" s="1"/>
      <c r="B118" s="1"/>
      <c r="C118" s="1"/>
      <c r="D118" s="1"/>
      <c r="E118" s="1"/>
      <c r="F118" s="2"/>
      <c r="G118" s="2"/>
      <c r="H118" s="2"/>
      <c r="I118" s="2"/>
      <c r="J118" s="2"/>
      <c r="K118" s="2"/>
      <c r="L118" s="2"/>
      <c r="M118" s="2"/>
      <c r="N118" s="2"/>
      <c r="O118" s="1"/>
      <c r="P118" s="1"/>
      <c r="Q118" s="1"/>
    </row>
    <row r="119">
      <c r="A119" s="1"/>
      <c r="B119" s="1"/>
      <c r="C119" s="1"/>
      <c r="D119" s="1"/>
      <c r="E119" s="1"/>
      <c r="F119" s="2"/>
      <c r="G119" s="2"/>
      <c r="H119" s="2"/>
      <c r="I119" s="2"/>
      <c r="J119" s="2"/>
      <c r="K119" s="2"/>
      <c r="L119" s="2"/>
      <c r="M119" s="2"/>
      <c r="N119" s="2"/>
      <c r="O119" s="1"/>
      <c r="P119" s="1"/>
      <c r="Q119" s="1"/>
    </row>
    <row r="120">
      <c r="A120" s="1"/>
      <c r="B120" s="1"/>
      <c r="C120" s="1"/>
      <c r="D120" s="1"/>
      <c r="E120" s="1"/>
      <c r="F120" s="2"/>
      <c r="G120" s="2"/>
      <c r="H120" s="2"/>
      <c r="I120" s="2"/>
      <c r="J120" s="2"/>
      <c r="K120" s="2"/>
      <c r="L120" s="2"/>
      <c r="M120" s="2"/>
      <c r="N120" s="2"/>
      <c r="O120" s="1"/>
      <c r="P120" s="1"/>
      <c r="Q120" s="1"/>
    </row>
    <row r="121">
      <c r="A121" s="1"/>
      <c r="B121" s="1"/>
      <c r="C121" s="1"/>
      <c r="D121" s="1"/>
      <c r="E121" s="1"/>
      <c r="F121" s="2"/>
      <c r="G121" s="2"/>
      <c r="H121" s="2"/>
      <c r="I121" s="2"/>
      <c r="J121" s="2"/>
      <c r="K121" s="2"/>
      <c r="L121" s="2"/>
      <c r="M121" s="2"/>
      <c r="N121" s="2"/>
      <c r="O121" s="1"/>
      <c r="P121" s="1"/>
      <c r="Q121" s="1"/>
    </row>
    <row r="122">
      <c r="A122" s="1"/>
      <c r="B122" s="1"/>
      <c r="C122" s="1"/>
      <c r="D122" s="1"/>
      <c r="E122" s="1"/>
      <c r="F122" s="2"/>
      <c r="G122" s="2"/>
      <c r="H122" s="2"/>
      <c r="I122" s="2"/>
      <c r="J122" s="2"/>
      <c r="K122" s="2"/>
      <c r="L122" s="2"/>
      <c r="M122" s="2"/>
      <c r="N122" s="2"/>
      <c r="O122" s="1"/>
      <c r="P122" s="1"/>
      <c r="Q122" s="1"/>
    </row>
    <row r="123">
      <c r="A123" s="1"/>
      <c r="B123" s="1"/>
      <c r="C123" s="1"/>
      <c r="D123" s="1"/>
      <c r="E123" s="1"/>
      <c r="F123" s="2"/>
      <c r="G123" s="2"/>
      <c r="H123" s="2"/>
      <c r="I123" s="2"/>
      <c r="J123" s="2"/>
      <c r="K123" s="2"/>
      <c r="L123" s="2"/>
      <c r="M123" s="2"/>
      <c r="N123" s="2"/>
      <c r="O123" s="1"/>
      <c r="P123" s="1"/>
      <c r="Q123" s="1"/>
    </row>
    <row r="124">
      <c r="A124" s="1"/>
      <c r="B124" s="1"/>
      <c r="C124" s="1"/>
      <c r="D124" s="1"/>
      <c r="E124" s="1"/>
      <c r="F124" s="2"/>
      <c r="G124" s="2"/>
      <c r="H124" s="2"/>
      <c r="I124" s="2"/>
      <c r="J124" s="2"/>
      <c r="K124" s="2"/>
      <c r="L124" s="2"/>
      <c r="M124" s="2"/>
      <c r="N124" s="2"/>
      <c r="O124" s="1"/>
      <c r="P124" s="1"/>
      <c r="Q124" s="1"/>
    </row>
    <row r="125">
      <c r="A125" s="1"/>
      <c r="B125" s="1"/>
      <c r="C125" s="1"/>
      <c r="D125" s="1"/>
      <c r="E125" s="1"/>
      <c r="F125" s="2"/>
      <c r="G125" s="2"/>
      <c r="H125" s="2"/>
      <c r="I125" s="2"/>
      <c r="J125" s="2"/>
      <c r="K125" s="2"/>
      <c r="L125" s="2"/>
      <c r="M125" s="2"/>
      <c r="N125" s="2"/>
      <c r="O125" s="1"/>
      <c r="P125" s="1"/>
      <c r="Q125" s="1"/>
    </row>
    <row r="126">
      <c r="A126" s="1"/>
      <c r="B126" s="1"/>
      <c r="C126" s="1"/>
      <c r="D126" s="1"/>
      <c r="E126" s="1"/>
      <c r="F126" s="2"/>
      <c r="G126" s="2"/>
      <c r="H126" s="2"/>
      <c r="I126" s="2"/>
      <c r="J126" s="2"/>
      <c r="K126" s="2"/>
      <c r="L126" s="2"/>
      <c r="M126" s="2"/>
      <c r="N126" s="2"/>
      <c r="O126" s="1"/>
      <c r="P126" s="1"/>
      <c r="Q126" s="1"/>
    </row>
    <row r="127">
      <c r="A127" s="1"/>
      <c r="B127" s="1"/>
      <c r="C127" s="1"/>
      <c r="D127" s="1"/>
      <c r="E127" s="1"/>
      <c r="F127" s="2"/>
      <c r="G127" s="2"/>
      <c r="H127" s="2"/>
      <c r="I127" s="2"/>
      <c r="J127" s="2"/>
      <c r="K127" s="2"/>
      <c r="L127" s="2"/>
      <c r="M127" s="2"/>
      <c r="N127" s="2"/>
      <c r="O127" s="1"/>
      <c r="P127" s="1"/>
      <c r="Q127" s="1"/>
    </row>
    <row r="128">
      <c r="A128" s="1"/>
      <c r="B128" s="1"/>
      <c r="C128" s="1"/>
      <c r="D128" s="1"/>
      <c r="E128" s="1"/>
      <c r="F128" s="2"/>
      <c r="G128" s="2"/>
      <c r="H128" s="2"/>
      <c r="I128" s="2"/>
      <c r="J128" s="2"/>
      <c r="K128" s="2"/>
      <c r="L128" s="2"/>
      <c r="M128" s="2"/>
      <c r="N128" s="2"/>
      <c r="O128" s="1"/>
      <c r="P128" s="1"/>
      <c r="Q128" s="1"/>
    </row>
    <row r="129">
      <c r="A129" s="1"/>
      <c r="B129" s="1"/>
      <c r="C129" s="1"/>
      <c r="D129" s="1"/>
      <c r="E129" s="1"/>
      <c r="F129" s="2"/>
      <c r="G129" s="2"/>
      <c r="H129" s="2"/>
      <c r="I129" s="2"/>
      <c r="J129" s="2"/>
      <c r="K129" s="2"/>
      <c r="L129" s="2"/>
      <c r="M129" s="2"/>
      <c r="N129" s="2"/>
      <c r="O129" s="1"/>
      <c r="P129" s="1"/>
      <c r="Q129" s="1"/>
    </row>
    <row r="130">
      <c r="A130" s="1"/>
      <c r="B130" s="1"/>
      <c r="C130" s="1"/>
      <c r="D130" s="1"/>
      <c r="E130" s="1"/>
      <c r="F130" s="2"/>
      <c r="G130" s="2"/>
      <c r="H130" s="2"/>
      <c r="I130" s="2"/>
      <c r="J130" s="2"/>
      <c r="K130" s="2"/>
      <c r="L130" s="2"/>
      <c r="M130" s="2"/>
      <c r="N130" s="2"/>
      <c r="O130" s="1"/>
      <c r="P130" s="1"/>
      <c r="Q130" s="1"/>
    </row>
    <row r="131">
      <c r="A131" s="1"/>
      <c r="B131" s="1"/>
      <c r="C131" s="1"/>
      <c r="D131" s="1"/>
      <c r="E131" s="1"/>
      <c r="F131" s="2"/>
      <c r="G131" s="2"/>
      <c r="H131" s="2"/>
      <c r="I131" s="2"/>
      <c r="J131" s="2"/>
      <c r="K131" s="2"/>
      <c r="L131" s="2"/>
      <c r="M131" s="2"/>
      <c r="N131" s="2"/>
      <c r="O131" s="1"/>
      <c r="P131" s="1"/>
      <c r="Q131" s="1"/>
    </row>
    <row r="132">
      <c r="A132" s="1"/>
      <c r="B132" s="1"/>
      <c r="C132" s="1"/>
      <c r="D132" s="1"/>
      <c r="E132" s="1"/>
      <c r="F132" s="2"/>
      <c r="G132" s="2"/>
      <c r="H132" s="2"/>
      <c r="I132" s="2"/>
      <c r="J132" s="2"/>
      <c r="K132" s="2"/>
      <c r="L132" s="2"/>
      <c r="M132" s="2"/>
      <c r="N132" s="2"/>
      <c r="O132" s="1"/>
      <c r="P132" s="1"/>
      <c r="Q132" s="1"/>
    </row>
    <row r="133">
      <c r="A133" s="1"/>
      <c r="B133" s="1"/>
      <c r="C133" s="1"/>
      <c r="D133" s="1"/>
      <c r="E133" s="1"/>
      <c r="F133" s="2"/>
      <c r="G133" s="2"/>
      <c r="H133" s="2"/>
      <c r="I133" s="2"/>
      <c r="J133" s="2"/>
      <c r="K133" s="2"/>
      <c r="L133" s="2"/>
      <c r="M133" s="2"/>
      <c r="N133" s="2"/>
      <c r="O133" s="1"/>
      <c r="P133" s="1"/>
      <c r="Q133" s="1"/>
    </row>
    <row r="134">
      <c r="A134" s="1"/>
      <c r="B134" s="1"/>
      <c r="C134" s="1"/>
      <c r="D134" s="1"/>
      <c r="E134" s="1"/>
      <c r="F134" s="2"/>
      <c r="G134" s="2"/>
      <c r="H134" s="2"/>
      <c r="I134" s="2"/>
      <c r="J134" s="2"/>
      <c r="K134" s="2"/>
      <c r="L134" s="2"/>
      <c r="M134" s="2"/>
      <c r="N134" s="2"/>
      <c r="O134" s="1"/>
      <c r="P134" s="1"/>
      <c r="Q134" s="1"/>
    </row>
    <row r="135">
      <c r="A135" s="1"/>
      <c r="B135" s="1"/>
      <c r="C135" s="1"/>
      <c r="D135" s="1"/>
      <c r="E135" s="1"/>
      <c r="F135" s="2"/>
      <c r="G135" s="2"/>
      <c r="H135" s="2"/>
      <c r="I135" s="2"/>
      <c r="J135" s="2"/>
      <c r="K135" s="2"/>
      <c r="L135" s="2"/>
      <c r="M135" s="2"/>
      <c r="N135" s="2"/>
      <c r="O135" s="1"/>
      <c r="P135" s="1"/>
      <c r="Q135" s="1"/>
    </row>
    <row r="136">
      <c r="A136" s="1"/>
      <c r="B136" s="1"/>
      <c r="C136" s="1"/>
      <c r="D136" s="1"/>
      <c r="E136" s="1"/>
      <c r="F136" s="2"/>
      <c r="G136" s="2"/>
      <c r="H136" s="2"/>
      <c r="I136" s="2"/>
      <c r="J136" s="2"/>
      <c r="K136" s="2"/>
      <c r="L136" s="2"/>
      <c r="M136" s="2"/>
      <c r="N136" s="2"/>
      <c r="O136" s="1"/>
      <c r="P136" s="1"/>
      <c r="Q136" s="1"/>
    </row>
    <row r="137">
      <c r="A137" s="1"/>
      <c r="B137" s="1"/>
      <c r="C137" s="1"/>
      <c r="D137" s="1"/>
      <c r="E137" s="1"/>
      <c r="F137" s="2"/>
      <c r="G137" s="2"/>
      <c r="H137" s="2"/>
      <c r="I137" s="2"/>
      <c r="J137" s="2"/>
      <c r="K137" s="2"/>
      <c r="L137" s="2"/>
      <c r="M137" s="2"/>
      <c r="N137" s="2"/>
      <c r="O137" s="1"/>
      <c r="P137" s="1"/>
      <c r="Q137" s="1"/>
    </row>
    <row r="138">
      <c r="A138" s="1"/>
      <c r="B138" s="1"/>
      <c r="C138" s="1"/>
      <c r="D138" s="1"/>
      <c r="E138" s="1"/>
      <c r="F138" s="2"/>
      <c r="G138" s="2"/>
      <c r="H138" s="2"/>
      <c r="I138" s="2"/>
      <c r="J138" s="2"/>
      <c r="K138" s="2"/>
      <c r="L138" s="2"/>
      <c r="M138" s="2"/>
      <c r="N138" s="2"/>
      <c r="O138" s="1"/>
      <c r="P138" s="1"/>
      <c r="Q138" s="1"/>
    </row>
    <row r="139">
      <c r="A139" s="1"/>
      <c r="B139" s="1"/>
      <c r="C139" s="1"/>
      <c r="D139" s="1"/>
      <c r="E139" s="1"/>
      <c r="F139" s="2"/>
      <c r="G139" s="2"/>
      <c r="H139" s="2"/>
      <c r="I139" s="2"/>
      <c r="J139" s="2"/>
      <c r="K139" s="2"/>
      <c r="L139" s="2"/>
      <c r="M139" s="2"/>
      <c r="N139" s="2"/>
      <c r="O139" s="1"/>
      <c r="P139" s="1"/>
      <c r="Q139" s="1"/>
    </row>
    <row r="140">
      <c r="A140" s="1"/>
      <c r="B140" s="1"/>
      <c r="C140" s="1"/>
      <c r="D140" s="1"/>
      <c r="E140" s="1"/>
      <c r="F140" s="2"/>
      <c r="G140" s="2"/>
      <c r="H140" s="2"/>
      <c r="I140" s="2"/>
      <c r="J140" s="2"/>
      <c r="K140" s="2"/>
      <c r="L140" s="2"/>
      <c r="M140" s="2"/>
      <c r="N140" s="2"/>
      <c r="O140" s="1"/>
      <c r="P140" s="1"/>
      <c r="Q140" s="1"/>
    </row>
    <row r="141">
      <c r="A141" s="1"/>
      <c r="B141" s="1"/>
      <c r="C141" s="1"/>
      <c r="D141" s="1"/>
      <c r="E141" s="1"/>
      <c r="F141" s="2"/>
      <c r="G141" s="2"/>
      <c r="H141" s="2"/>
      <c r="I141" s="2"/>
      <c r="J141" s="2"/>
      <c r="K141" s="2"/>
      <c r="L141" s="2"/>
      <c r="M141" s="2"/>
      <c r="N141" s="2"/>
      <c r="O141" s="1"/>
      <c r="P141" s="1"/>
      <c r="Q141" s="1"/>
    </row>
    <row r="142">
      <c r="A142" s="1"/>
      <c r="B142" s="1"/>
      <c r="C142" s="1"/>
      <c r="D142" s="1"/>
      <c r="E142" s="1"/>
      <c r="F142" s="2"/>
      <c r="G142" s="2"/>
      <c r="H142" s="2"/>
      <c r="I142" s="2"/>
      <c r="J142" s="2"/>
      <c r="K142" s="2"/>
      <c r="L142" s="2"/>
      <c r="M142" s="2"/>
      <c r="N142" s="2"/>
      <c r="O142" s="1"/>
      <c r="P142" s="1"/>
      <c r="Q142" s="1"/>
    </row>
    <row r="143">
      <c r="A143" s="1"/>
      <c r="B143" s="1"/>
      <c r="C143" s="1"/>
      <c r="D143" s="1"/>
      <c r="E143" s="1"/>
      <c r="F143" s="2"/>
      <c r="G143" s="2"/>
      <c r="H143" s="2"/>
      <c r="I143" s="2"/>
      <c r="J143" s="2"/>
      <c r="K143" s="2"/>
      <c r="L143" s="2"/>
      <c r="M143" s="2"/>
      <c r="N143" s="2"/>
      <c r="O143" s="1"/>
      <c r="P143" s="1"/>
      <c r="Q143" s="1"/>
    </row>
    <row r="144">
      <c r="A144" s="1"/>
      <c r="B144" s="1"/>
      <c r="C144" s="1"/>
      <c r="D144" s="1"/>
      <c r="E144" s="1"/>
      <c r="F144" s="2"/>
      <c r="G144" s="2"/>
      <c r="H144" s="2"/>
      <c r="I144" s="2"/>
      <c r="J144" s="2"/>
      <c r="K144" s="2"/>
      <c r="L144" s="2"/>
      <c r="M144" s="2"/>
      <c r="N144" s="2"/>
      <c r="O144" s="1"/>
      <c r="P144" s="1"/>
      <c r="Q144" s="1"/>
    </row>
    <row r="145">
      <c r="A145" s="1"/>
      <c r="B145" s="1"/>
      <c r="C145" s="1"/>
      <c r="D145" s="1"/>
      <c r="E145" s="1"/>
      <c r="F145" s="2"/>
      <c r="G145" s="2"/>
      <c r="H145" s="2"/>
      <c r="I145" s="2"/>
      <c r="J145" s="2"/>
      <c r="K145" s="2"/>
      <c r="L145" s="2"/>
      <c r="M145" s="2"/>
      <c r="N145" s="2"/>
      <c r="O145" s="1"/>
      <c r="P145" s="1"/>
      <c r="Q145" s="1"/>
    </row>
    <row r="146">
      <c r="A146" s="1"/>
      <c r="B146" s="1"/>
      <c r="C146" s="1"/>
      <c r="D146" s="1"/>
      <c r="E146" s="1"/>
      <c r="F146" s="2"/>
      <c r="G146" s="2"/>
      <c r="H146" s="2"/>
      <c r="I146" s="2"/>
      <c r="J146" s="2"/>
      <c r="K146" s="2"/>
      <c r="L146" s="2"/>
      <c r="M146" s="2"/>
      <c r="N146" s="2"/>
      <c r="O146" s="1"/>
      <c r="P146" s="1"/>
      <c r="Q146" s="1"/>
    </row>
    <row r="147">
      <c r="A147" s="1"/>
      <c r="B147" s="1"/>
      <c r="C147" s="1"/>
      <c r="D147" s="1"/>
      <c r="E147" s="1"/>
      <c r="F147" s="2"/>
      <c r="G147" s="2"/>
      <c r="H147" s="2"/>
      <c r="I147" s="2"/>
      <c r="J147" s="2"/>
      <c r="K147" s="2"/>
      <c r="L147" s="2"/>
      <c r="M147" s="2"/>
      <c r="N147" s="2"/>
      <c r="O147" s="1"/>
      <c r="P147" s="1"/>
      <c r="Q147" s="1"/>
    </row>
    <row r="148">
      <c r="A148" s="1"/>
      <c r="B148" s="1"/>
      <c r="C148" s="1"/>
      <c r="D148" s="1"/>
      <c r="E148" s="1"/>
      <c r="F148" s="2"/>
      <c r="G148" s="2"/>
      <c r="H148" s="2"/>
      <c r="I148" s="2"/>
      <c r="J148" s="2"/>
      <c r="K148" s="2"/>
      <c r="L148" s="2"/>
      <c r="M148" s="2"/>
      <c r="N148" s="2"/>
      <c r="O148" s="1"/>
      <c r="P148" s="1"/>
      <c r="Q148" s="1"/>
    </row>
    <row r="149">
      <c r="A149" s="1"/>
      <c r="B149" s="1"/>
      <c r="C149" s="1"/>
      <c r="D149" s="1"/>
      <c r="E149" s="1"/>
      <c r="F149" s="2"/>
      <c r="G149" s="2"/>
      <c r="H149" s="2"/>
      <c r="I149" s="2"/>
      <c r="J149" s="2"/>
      <c r="K149" s="2"/>
      <c r="L149" s="2"/>
      <c r="M149" s="2"/>
      <c r="N149" s="2"/>
      <c r="O149" s="1"/>
      <c r="P149" s="1"/>
      <c r="Q149" s="1"/>
    </row>
    <row r="150">
      <c r="A150" s="1"/>
      <c r="B150" s="1"/>
      <c r="C150" s="1"/>
      <c r="D150" s="1"/>
      <c r="E150" s="1"/>
      <c r="F150" s="2"/>
      <c r="G150" s="2"/>
      <c r="H150" s="2"/>
      <c r="I150" s="2"/>
      <c r="J150" s="2"/>
      <c r="K150" s="2"/>
      <c r="L150" s="2"/>
      <c r="M150" s="2"/>
      <c r="N150" s="2"/>
      <c r="O150" s="1"/>
      <c r="P150" s="1"/>
      <c r="Q150" s="1"/>
    </row>
    <row r="151">
      <c r="A151" s="1"/>
      <c r="B151" s="1"/>
      <c r="C151" s="1"/>
      <c r="D151" s="1"/>
      <c r="E151" s="1"/>
      <c r="F151" s="2"/>
      <c r="G151" s="2"/>
      <c r="H151" s="2"/>
      <c r="I151" s="2"/>
      <c r="J151" s="2"/>
      <c r="K151" s="2"/>
      <c r="L151" s="2"/>
      <c r="M151" s="2"/>
      <c r="N151" s="2"/>
      <c r="O151" s="1"/>
      <c r="P151" s="1"/>
      <c r="Q151" s="1"/>
    </row>
    <row r="152">
      <c r="A152" s="1"/>
      <c r="B152" s="1"/>
      <c r="C152" s="1"/>
      <c r="D152" s="1"/>
      <c r="E152" s="1"/>
      <c r="F152" s="2"/>
      <c r="G152" s="2"/>
      <c r="H152" s="2"/>
      <c r="I152" s="2"/>
      <c r="J152" s="2"/>
      <c r="K152" s="2"/>
      <c r="L152" s="2"/>
      <c r="M152" s="2"/>
      <c r="N152" s="2"/>
      <c r="O152" s="1"/>
      <c r="P152" s="1"/>
      <c r="Q152" s="1"/>
    </row>
    <row r="153">
      <c r="A153" s="1"/>
      <c r="B153" s="1"/>
      <c r="C153" s="1"/>
      <c r="D153" s="1"/>
      <c r="E153" s="1"/>
      <c r="F153" s="2"/>
      <c r="G153" s="2"/>
      <c r="H153" s="2"/>
      <c r="I153" s="2"/>
      <c r="J153" s="2"/>
      <c r="K153" s="2"/>
      <c r="L153" s="2"/>
      <c r="M153" s="2"/>
      <c r="N153" s="2"/>
      <c r="O153" s="1"/>
      <c r="P153" s="1"/>
      <c r="Q153" s="1"/>
    </row>
    <row r="154">
      <c r="A154" s="1"/>
      <c r="B154" s="1"/>
      <c r="C154" s="1"/>
      <c r="D154" s="1"/>
      <c r="E154" s="1"/>
      <c r="F154" s="2"/>
      <c r="G154" s="2"/>
      <c r="H154" s="2"/>
      <c r="I154" s="2"/>
      <c r="J154" s="2"/>
      <c r="K154" s="2"/>
      <c r="L154" s="2"/>
      <c r="M154" s="2"/>
      <c r="N154" s="2"/>
      <c r="O154" s="1"/>
      <c r="P154" s="1"/>
      <c r="Q154" s="1"/>
    </row>
    <row r="155">
      <c r="A155" s="1"/>
      <c r="B155" s="1"/>
      <c r="C155" s="1"/>
      <c r="D155" s="1"/>
      <c r="E155" s="1"/>
      <c r="F155" s="2"/>
      <c r="G155" s="2"/>
      <c r="H155" s="2"/>
      <c r="I155" s="2"/>
      <c r="J155" s="2"/>
      <c r="K155" s="2"/>
      <c r="L155" s="2"/>
      <c r="M155" s="2"/>
      <c r="N155" s="2"/>
      <c r="O155" s="1"/>
      <c r="P155" s="1"/>
      <c r="Q155" s="1"/>
    </row>
    <row r="156">
      <c r="A156" s="1"/>
      <c r="B156" s="1"/>
      <c r="C156" s="1"/>
      <c r="D156" s="1"/>
      <c r="E156" s="1"/>
      <c r="F156" s="2"/>
      <c r="G156" s="2"/>
      <c r="H156" s="2"/>
      <c r="I156" s="2"/>
      <c r="J156" s="2"/>
      <c r="K156" s="2"/>
      <c r="L156" s="2"/>
      <c r="M156" s="2"/>
      <c r="N156" s="2"/>
      <c r="O156" s="1"/>
      <c r="P156" s="1"/>
      <c r="Q156" s="1"/>
    </row>
    <row r="157">
      <c r="A157" s="1"/>
      <c r="B157" s="1"/>
      <c r="C157" s="1"/>
      <c r="D157" s="1"/>
      <c r="E157" s="1"/>
      <c r="F157" s="2"/>
      <c r="G157" s="2"/>
      <c r="H157" s="2"/>
      <c r="I157" s="2"/>
      <c r="J157" s="2"/>
      <c r="K157" s="2"/>
      <c r="L157" s="2"/>
      <c r="M157" s="2"/>
      <c r="N157" s="2"/>
      <c r="O157" s="1"/>
      <c r="P157" s="1"/>
      <c r="Q157" s="1"/>
    </row>
    <row r="158">
      <c r="A158" s="1"/>
      <c r="B158" s="1"/>
      <c r="C158" s="1"/>
      <c r="D158" s="1"/>
      <c r="E158" s="1"/>
      <c r="F158" s="2"/>
      <c r="G158" s="2"/>
      <c r="H158" s="2"/>
      <c r="I158" s="2"/>
      <c r="J158" s="2"/>
      <c r="K158" s="2"/>
      <c r="L158" s="2"/>
      <c r="M158" s="2"/>
      <c r="N158" s="2"/>
      <c r="O158" s="1"/>
      <c r="P158" s="1"/>
      <c r="Q158" s="1"/>
    </row>
    <row r="159">
      <c r="A159" s="1"/>
      <c r="B159" s="1"/>
      <c r="C159" s="1"/>
      <c r="D159" s="1"/>
      <c r="E159" s="1"/>
      <c r="F159" s="2"/>
      <c r="G159" s="2"/>
      <c r="H159" s="2"/>
      <c r="I159" s="2"/>
      <c r="J159" s="2"/>
      <c r="K159" s="2"/>
      <c r="L159" s="2"/>
      <c r="M159" s="2"/>
      <c r="N159" s="2"/>
      <c r="O159" s="1"/>
      <c r="P159" s="1"/>
      <c r="Q159" s="1"/>
    </row>
    <row r="160">
      <c r="A160" s="1"/>
      <c r="B160" s="1"/>
      <c r="C160" s="1"/>
      <c r="D160" s="1"/>
      <c r="E160" s="1"/>
      <c r="F160" s="2"/>
      <c r="G160" s="2"/>
      <c r="H160" s="2"/>
      <c r="I160" s="2"/>
      <c r="J160" s="2"/>
      <c r="K160" s="2"/>
      <c r="L160" s="2"/>
      <c r="M160" s="2"/>
      <c r="N160" s="2"/>
      <c r="O160" s="1"/>
      <c r="P160" s="1"/>
      <c r="Q160" s="1"/>
    </row>
    <row r="161">
      <c r="A161" s="1"/>
      <c r="B161" s="1"/>
      <c r="C161" s="1"/>
      <c r="D161" s="1"/>
      <c r="E161" s="1"/>
      <c r="F161" s="2"/>
      <c r="G161" s="2"/>
      <c r="H161" s="2"/>
      <c r="I161" s="2"/>
      <c r="J161" s="2"/>
      <c r="K161" s="2"/>
      <c r="L161" s="2"/>
      <c r="M161" s="2"/>
      <c r="N161" s="2"/>
      <c r="O161" s="1"/>
      <c r="P161" s="1"/>
      <c r="Q161" s="1"/>
    </row>
    <row r="162">
      <c r="A162" s="1"/>
      <c r="B162" s="1"/>
      <c r="C162" s="1"/>
      <c r="D162" s="1"/>
      <c r="E162" s="1"/>
      <c r="F162" s="2"/>
      <c r="G162" s="2"/>
      <c r="H162" s="2"/>
      <c r="I162" s="2"/>
      <c r="J162" s="2"/>
      <c r="K162" s="2"/>
      <c r="L162" s="2"/>
      <c r="M162" s="2"/>
      <c r="N162" s="2"/>
      <c r="O162" s="1"/>
      <c r="P162" s="1"/>
      <c r="Q162" s="1"/>
    </row>
    <row r="163">
      <c r="A163" s="1"/>
      <c r="B163" s="1"/>
      <c r="C163" s="1"/>
      <c r="D163" s="1"/>
      <c r="E163" s="1"/>
      <c r="F163" s="2"/>
      <c r="G163" s="2"/>
      <c r="H163" s="2"/>
      <c r="I163" s="2"/>
      <c r="J163" s="2"/>
      <c r="K163" s="2"/>
      <c r="L163" s="2"/>
      <c r="M163" s="2"/>
      <c r="N163" s="2"/>
      <c r="O163" s="1"/>
      <c r="P163" s="1"/>
      <c r="Q163" s="1"/>
    </row>
    <row r="164">
      <c r="A164" s="1"/>
      <c r="B164" s="1"/>
      <c r="C164" s="1"/>
      <c r="D164" s="1"/>
      <c r="E164" s="1"/>
      <c r="F164" s="2"/>
      <c r="G164" s="2"/>
      <c r="H164" s="2"/>
      <c r="I164" s="2"/>
      <c r="J164" s="2"/>
      <c r="K164" s="2"/>
      <c r="L164" s="2"/>
      <c r="M164" s="2"/>
      <c r="N164" s="2"/>
      <c r="O164" s="1"/>
      <c r="P164" s="1"/>
      <c r="Q164" s="1"/>
    </row>
    <row r="165">
      <c r="A165" s="1"/>
      <c r="B165" s="1"/>
      <c r="C165" s="1"/>
      <c r="D165" s="1"/>
      <c r="E165" s="1"/>
      <c r="F165" s="2"/>
      <c r="G165" s="2"/>
      <c r="H165" s="2"/>
      <c r="I165" s="2"/>
      <c r="J165" s="2"/>
      <c r="K165" s="2"/>
      <c r="L165" s="2"/>
      <c r="M165" s="2"/>
      <c r="N165" s="2"/>
      <c r="O165" s="1"/>
      <c r="P165" s="1"/>
      <c r="Q165" s="1"/>
    </row>
    <row r="166">
      <c r="A166" s="1"/>
      <c r="B166" s="1"/>
      <c r="C166" s="1"/>
      <c r="D166" s="1"/>
      <c r="E166" s="1"/>
      <c r="F166" s="2"/>
      <c r="G166" s="2"/>
      <c r="H166" s="2"/>
      <c r="I166" s="2"/>
      <c r="J166" s="2"/>
      <c r="K166" s="2"/>
      <c r="L166" s="2"/>
      <c r="M166" s="2"/>
      <c r="N166" s="2"/>
      <c r="O166" s="1"/>
      <c r="P166" s="1"/>
      <c r="Q166" s="1"/>
    </row>
    <row r="167">
      <c r="A167" s="1"/>
      <c r="B167" s="1"/>
      <c r="C167" s="1"/>
      <c r="D167" s="1"/>
      <c r="E167" s="1"/>
      <c r="F167" s="2"/>
      <c r="G167" s="2"/>
      <c r="H167" s="2"/>
      <c r="I167" s="2"/>
      <c r="J167" s="2"/>
      <c r="K167" s="2"/>
      <c r="L167" s="2"/>
      <c r="M167" s="2"/>
      <c r="N167" s="2"/>
      <c r="O167" s="1"/>
      <c r="P167" s="1"/>
      <c r="Q167" s="1"/>
    </row>
    <row r="168">
      <c r="A168" s="1"/>
      <c r="B168" s="1"/>
      <c r="C168" s="1"/>
      <c r="D168" s="1"/>
      <c r="E168" s="1"/>
      <c r="F168" s="2"/>
      <c r="G168" s="2"/>
      <c r="H168" s="2"/>
      <c r="I168" s="2"/>
      <c r="J168" s="2"/>
      <c r="K168" s="2"/>
      <c r="L168" s="2"/>
      <c r="M168" s="2"/>
      <c r="N168" s="2"/>
      <c r="O168" s="1"/>
      <c r="P168" s="1"/>
      <c r="Q168" s="1"/>
    </row>
    <row r="169">
      <c r="A169" s="1"/>
      <c r="B169" s="1"/>
      <c r="C169" s="1"/>
      <c r="D169" s="1"/>
      <c r="E169" s="1"/>
      <c r="F169" s="2"/>
      <c r="G169" s="2"/>
      <c r="H169" s="2"/>
      <c r="I169" s="2"/>
      <c r="J169" s="2"/>
      <c r="K169" s="2"/>
      <c r="L169" s="2"/>
      <c r="M169" s="2"/>
      <c r="N169" s="2"/>
      <c r="O169" s="1"/>
      <c r="P169" s="1"/>
      <c r="Q169" s="1"/>
    </row>
    <row r="170">
      <c r="A170" s="1"/>
      <c r="B170" s="1"/>
      <c r="C170" s="1"/>
      <c r="D170" s="1"/>
      <c r="E170" s="1"/>
      <c r="F170" s="2"/>
      <c r="G170" s="2"/>
      <c r="H170" s="2"/>
      <c r="I170" s="2"/>
      <c r="J170" s="2"/>
      <c r="K170" s="2"/>
      <c r="L170" s="2"/>
      <c r="M170" s="2"/>
      <c r="N170" s="2"/>
      <c r="O170" s="1"/>
      <c r="P170" s="1"/>
      <c r="Q170" s="1"/>
    </row>
    <row r="171">
      <c r="A171" s="1"/>
      <c r="B171" s="1"/>
      <c r="C171" s="1"/>
      <c r="D171" s="1"/>
      <c r="E171" s="1"/>
      <c r="F171" s="2"/>
      <c r="G171" s="2"/>
      <c r="H171" s="2"/>
      <c r="I171" s="2"/>
      <c r="J171" s="2"/>
      <c r="K171" s="2"/>
      <c r="L171" s="2"/>
      <c r="M171" s="2"/>
      <c r="N171" s="2"/>
      <c r="O171" s="1"/>
      <c r="P171" s="1"/>
      <c r="Q171" s="1"/>
    </row>
    <row r="172">
      <c r="A172" s="1"/>
      <c r="B172" s="1"/>
      <c r="C172" s="1"/>
      <c r="D172" s="1"/>
      <c r="E172" s="1"/>
      <c r="F172" s="2"/>
      <c r="G172" s="2"/>
      <c r="H172" s="2"/>
      <c r="I172" s="2"/>
      <c r="J172" s="2"/>
      <c r="K172" s="2"/>
      <c r="L172" s="2"/>
      <c r="M172" s="2"/>
      <c r="N172" s="2"/>
      <c r="O172" s="1"/>
      <c r="P172" s="1"/>
      <c r="Q172" s="1"/>
    </row>
    <row r="173">
      <c r="A173" s="1"/>
      <c r="B173" s="1"/>
      <c r="C173" s="1"/>
      <c r="D173" s="1"/>
      <c r="E173" s="1"/>
      <c r="F173" s="2"/>
      <c r="G173" s="2"/>
      <c r="H173" s="2"/>
      <c r="I173" s="2"/>
      <c r="J173" s="2"/>
      <c r="K173" s="2"/>
      <c r="L173" s="2"/>
      <c r="M173" s="2"/>
      <c r="N173" s="2"/>
      <c r="O173" s="1"/>
      <c r="P173" s="1"/>
      <c r="Q173" s="1"/>
    </row>
    <row r="174">
      <c r="A174" s="1"/>
      <c r="B174" s="1"/>
      <c r="C174" s="1"/>
      <c r="D174" s="1"/>
      <c r="E174" s="1"/>
      <c r="F174" s="2"/>
      <c r="G174" s="2"/>
      <c r="H174" s="2"/>
      <c r="I174" s="2"/>
      <c r="J174" s="2"/>
      <c r="K174" s="2"/>
      <c r="L174" s="2"/>
      <c r="M174" s="2"/>
      <c r="N174" s="2"/>
      <c r="O174" s="1"/>
      <c r="P174" s="1"/>
      <c r="Q174" s="1"/>
    </row>
    <row r="175">
      <c r="A175" s="1"/>
      <c r="B175" s="1"/>
      <c r="C175" s="1"/>
      <c r="D175" s="1"/>
      <c r="E175" s="1"/>
      <c r="F175" s="2"/>
      <c r="G175" s="2"/>
      <c r="H175" s="2"/>
      <c r="I175" s="2"/>
      <c r="J175" s="2"/>
      <c r="K175" s="2"/>
      <c r="L175" s="2"/>
      <c r="M175" s="2"/>
      <c r="N175" s="2"/>
      <c r="O175" s="1"/>
      <c r="P175" s="1"/>
      <c r="Q175" s="1"/>
    </row>
    <row r="176">
      <c r="A176" s="1"/>
      <c r="B176" s="1"/>
      <c r="C176" s="1"/>
      <c r="D176" s="1"/>
      <c r="E176" s="1"/>
      <c r="F176" s="2"/>
      <c r="G176" s="2"/>
      <c r="H176" s="2"/>
      <c r="I176" s="2"/>
      <c r="J176" s="2"/>
      <c r="K176" s="2"/>
      <c r="L176" s="2"/>
      <c r="M176" s="2"/>
      <c r="N176" s="2"/>
      <c r="O176" s="1"/>
      <c r="P176" s="1"/>
      <c r="Q176" s="1"/>
    </row>
    <row r="177">
      <c r="A177" s="1"/>
      <c r="B177" s="1"/>
      <c r="C177" s="1"/>
      <c r="D177" s="1"/>
      <c r="E177" s="1"/>
      <c r="F177" s="2"/>
      <c r="G177" s="2"/>
      <c r="H177" s="2"/>
      <c r="I177" s="2"/>
      <c r="J177" s="2"/>
      <c r="K177" s="2"/>
      <c r="L177" s="2"/>
      <c r="M177" s="2"/>
      <c r="N177" s="2"/>
      <c r="O177" s="1"/>
      <c r="P177" s="1"/>
      <c r="Q177" s="1"/>
    </row>
    <row r="178">
      <c r="A178" s="1"/>
      <c r="B178" s="1"/>
      <c r="C178" s="1"/>
      <c r="D178" s="1"/>
      <c r="E178" s="1"/>
      <c r="F178" s="2"/>
      <c r="G178" s="2"/>
      <c r="H178" s="2"/>
      <c r="I178" s="2"/>
      <c r="J178" s="2"/>
      <c r="K178" s="2"/>
      <c r="L178" s="2"/>
      <c r="M178" s="2"/>
      <c r="N178" s="2"/>
      <c r="O178" s="1"/>
      <c r="P178" s="1"/>
      <c r="Q178" s="1"/>
    </row>
    <row r="179">
      <c r="A179" s="1"/>
      <c r="B179" s="1"/>
      <c r="C179" s="1"/>
      <c r="D179" s="1"/>
      <c r="E179" s="1"/>
      <c r="F179" s="2"/>
      <c r="G179" s="2"/>
      <c r="H179" s="2"/>
      <c r="I179" s="2"/>
      <c r="J179" s="2"/>
      <c r="K179" s="2"/>
      <c r="L179" s="2"/>
      <c r="M179" s="2"/>
      <c r="N179" s="2"/>
      <c r="O179" s="1"/>
      <c r="P179" s="1"/>
      <c r="Q179" s="1"/>
    </row>
    <row r="180">
      <c r="A180" s="1"/>
      <c r="B180" s="1"/>
      <c r="C180" s="1"/>
      <c r="D180" s="1"/>
      <c r="E180" s="1"/>
      <c r="F180" s="2"/>
      <c r="G180" s="2"/>
      <c r="H180" s="2"/>
      <c r="I180" s="2"/>
      <c r="J180" s="2"/>
      <c r="K180" s="2"/>
      <c r="L180" s="2"/>
      <c r="M180" s="2"/>
      <c r="N180" s="2"/>
      <c r="O180" s="1"/>
      <c r="P180" s="1"/>
      <c r="Q180" s="1"/>
    </row>
    <row r="181">
      <c r="A181" s="1"/>
      <c r="B181" s="1"/>
      <c r="C181" s="1"/>
      <c r="D181" s="1"/>
      <c r="E181" s="1"/>
      <c r="F181" s="2"/>
      <c r="G181" s="2"/>
      <c r="H181" s="2"/>
      <c r="I181" s="2"/>
      <c r="J181" s="2"/>
      <c r="K181" s="2"/>
      <c r="L181" s="2"/>
      <c r="M181" s="2"/>
      <c r="N181" s="2"/>
      <c r="O181" s="1"/>
      <c r="P181" s="1"/>
      <c r="Q181" s="1"/>
    </row>
    <row r="182">
      <c r="A182" s="1"/>
      <c r="B182" s="1"/>
      <c r="C182" s="1"/>
      <c r="D182" s="1"/>
      <c r="E182" s="1"/>
      <c r="F182" s="2"/>
      <c r="G182" s="2"/>
      <c r="H182" s="2"/>
      <c r="I182" s="2"/>
      <c r="J182" s="2"/>
      <c r="K182" s="2"/>
      <c r="L182" s="2"/>
      <c r="M182" s="2"/>
      <c r="N182" s="2"/>
      <c r="O182" s="1"/>
      <c r="P182" s="1"/>
      <c r="Q182" s="1"/>
    </row>
    <row r="183">
      <c r="A183" s="1"/>
      <c r="B183" s="1"/>
      <c r="C183" s="1"/>
      <c r="D183" s="1"/>
      <c r="E183" s="1"/>
      <c r="F183" s="2"/>
      <c r="G183" s="2"/>
      <c r="H183" s="2"/>
      <c r="I183" s="2"/>
      <c r="J183" s="2"/>
      <c r="K183" s="2"/>
      <c r="L183" s="2"/>
      <c r="M183" s="2"/>
      <c r="N183" s="2"/>
      <c r="O183" s="1"/>
      <c r="P183" s="1"/>
      <c r="Q183" s="1"/>
    </row>
    <row r="184">
      <c r="A184" s="1"/>
      <c r="B184" s="1"/>
      <c r="C184" s="1"/>
      <c r="D184" s="1"/>
      <c r="E184" s="1"/>
      <c r="F184" s="2"/>
      <c r="G184" s="2"/>
      <c r="H184" s="2"/>
      <c r="I184" s="2"/>
      <c r="J184" s="2"/>
      <c r="K184" s="2"/>
      <c r="L184" s="2"/>
      <c r="M184" s="2"/>
      <c r="N184" s="2"/>
      <c r="O184" s="1"/>
      <c r="P184" s="1"/>
      <c r="Q184" s="1"/>
    </row>
    <row r="185">
      <c r="A185" s="1"/>
      <c r="B185" s="1"/>
      <c r="C185" s="1"/>
      <c r="D185" s="1"/>
      <c r="E185" s="1"/>
      <c r="F185" s="2"/>
      <c r="G185" s="2"/>
      <c r="H185" s="2"/>
      <c r="I185" s="2"/>
      <c r="J185" s="2"/>
      <c r="K185" s="2"/>
      <c r="L185" s="2"/>
      <c r="M185" s="2"/>
      <c r="N185" s="2"/>
      <c r="O185" s="1"/>
      <c r="P185" s="1"/>
      <c r="Q185" s="1"/>
    </row>
    <row r="186">
      <c r="A186" s="1"/>
      <c r="B186" s="1"/>
      <c r="C186" s="1"/>
      <c r="D186" s="1"/>
      <c r="E186" s="1"/>
      <c r="F186" s="2"/>
      <c r="G186" s="2"/>
      <c r="H186" s="2"/>
      <c r="I186" s="2"/>
      <c r="J186" s="2"/>
      <c r="K186" s="2"/>
      <c r="L186" s="2"/>
      <c r="M186" s="2"/>
      <c r="N186" s="2"/>
      <c r="O186" s="1"/>
      <c r="P186" s="1"/>
      <c r="Q186" s="1"/>
    </row>
    <row r="187">
      <c r="A187" s="1"/>
      <c r="B187" s="1"/>
      <c r="C187" s="1"/>
      <c r="D187" s="1"/>
      <c r="E187" s="1"/>
      <c r="F187" s="2"/>
      <c r="G187" s="2"/>
      <c r="H187" s="2"/>
      <c r="I187" s="2"/>
      <c r="J187" s="2"/>
      <c r="K187" s="2"/>
      <c r="L187" s="2"/>
      <c r="M187" s="2"/>
      <c r="N187" s="2"/>
      <c r="O187" s="1"/>
      <c r="P187" s="1"/>
      <c r="Q187" s="1"/>
    </row>
    <row r="188">
      <c r="A188" s="1"/>
      <c r="B188" s="1"/>
      <c r="C188" s="1"/>
      <c r="D188" s="1"/>
      <c r="E188" s="1"/>
      <c r="F188" s="2"/>
      <c r="G188" s="2"/>
      <c r="H188" s="2"/>
      <c r="I188" s="2"/>
      <c r="J188" s="2"/>
      <c r="K188" s="2"/>
      <c r="L188" s="2"/>
      <c r="M188" s="2"/>
      <c r="N188" s="2"/>
      <c r="O188" s="1"/>
      <c r="P188" s="1"/>
      <c r="Q188" s="1"/>
    </row>
    <row r="189">
      <c r="A189" s="1"/>
      <c r="B189" s="1"/>
      <c r="C189" s="1"/>
      <c r="D189" s="1"/>
      <c r="E189" s="1"/>
      <c r="F189" s="2"/>
      <c r="G189" s="2"/>
      <c r="H189" s="2"/>
      <c r="I189" s="2"/>
      <c r="J189" s="2"/>
      <c r="K189" s="2"/>
      <c r="L189" s="2"/>
      <c r="M189" s="2"/>
      <c r="N189" s="2"/>
      <c r="O189" s="1"/>
      <c r="P189" s="1"/>
      <c r="Q189" s="1"/>
    </row>
    <row r="190">
      <c r="A190" s="1"/>
      <c r="B190" s="1"/>
      <c r="C190" s="1"/>
      <c r="D190" s="1"/>
      <c r="E190" s="1"/>
      <c r="F190" s="2"/>
      <c r="G190" s="2"/>
      <c r="H190" s="2"/>
      <c r="I190" s="2"/>
      <c r="J190" s="2"/>
      <c r="K190" s="2"/>
      <c r="L190" s="2"/>
      <c r="M190" s="2"/>
      <c r="N190" s="2"/>
      <c r="O190" s="1"/>
      <c r="P190" s="1"/>
      <c r="Q190" s="1"/>
    </row>
    <row r="191">
      <c r="A191" s="1"/>
      <c r="B191" s="1"/>
      <c r="C191" s="1"/>
      <c r="D191" s="1"/>
      <c r="E191" s="1"/>
      <c r="F191" s="2"/>
      <c r="G191" s="2"/>
      <c r="H191" s="2"/>
      <c r="I191" s="2"/>
      <c r="J191" s="2"/>
      <c r="K191" s="2"/>
      <c r="L191" s="2"/>
      <c r="M191" s="2"/>
      <c r="N191" s="2"/>
      <c r="O191" s="1"/>
      <c r="P191" s="1"/>
      <c r="Q191" s="1"/>
    </row>
    <row r="192">
      <c r="A192" s="1"/>
      <c r="B192" s="1"/>
      <c r="C192" s="1"/>
      <c r="D192" s="1"/>
      <c r="E192" s="1"/>
      <c r="F192" s="2"/>
      <c r="G192" s="2"/>
      <c r="H192" s="2"/>
      <c r="I192" s="2"/>
      <c r="J192" s="2"/>
      <c r="K192" s="2"/>
      <c r="L192" s="2"/>
      <c r="M192" s="2"/>
      <c r="N192" s="2"/>
      <c r="O192" s="1"/>
      <c r="P192" s="1"/>
      <c r="Q192" s="1"/>
    </row>
    <row r="193">
      <c r="A193" s="1"/>
      <c r="B193" s="1"/>
      <c r="C193" s="1"/>
      <c r="D193" s="1"/>
      <c r="E193" s="1"/>
      <c r="F193" s="2"/>
      <c r="G193" s="2"/>
      <c r="H193" s="2"/>
      <c r="I193" s="2"/>
      <c r="J193" s="2"/>
      <c r="K193" s="2"/>
      <c r="L193" s="2"/>
      <c r="M193" s="2"/>
      <c r="N193" s="2"/>
      <c r="O193" s="1"/>
      <c r="P193" s="1"/>
      <c r="Q193" s="1"/>
    </row>
    <row r="194">
      <c r="A194" s="1"/>
      <c r="B194" s="1"/>
      <c r="C194" s="1"/>
      <c r="D194" s="1"/>
      <c r="E194" s="1"/>
      <c r="F194" s="2"/>
      <c r="G194" s="2"/>
      <c r="H194" s="2"/>
      <c r="I194" s="2"/>
      <c r="J194" s="2"/>
      <c r="K194" s="2"/>
      <c r="L194" s="2"/>
      <c r="M194" s="2"/>
      <c r="N194" s="2"/>
      <c r="O194" s="1"/>
      <c r="P194" s="1"/>
      <c r="Q194" s="1"/>
    </row>
    <row r="195">
      <c r="A195" s="1"/>
      <c r="B195" s="1"/>
      <c r="C195" s="1"/>
      <c r="D195" s="1"/>
      <c r="E195" s="1"/>
      <c r="F195" s="2"/>
      <c r="G195" s="2"/>
      <c r="H195" s="2"/>
      <c r="I195" s="2"/>
      <c r="J195" s="2"/>
      <c r="K195" s="2"/>
      <c r="L195" s="2"/>
      <c r="M195" s="2"/>
      <c r="N195" s="2"/>
      <c r="O195" s="1"/>
      <c r="P195" s="1"/>
      <c r="Q195" s="1"/>
    </row>
    <row r="196">
      <c r="A196" s="1"/>
      <c r="B196" s="1"/>
      <c r="C196" s="1"/>
      <c r="D196" s="1"/>
      <c r="E196" s="1"/>
      <c r="F196" s="2"/>
      <c r="G196" s="2"/>
      <c r="H196" s="2"/>
      <c r="I196" s="2"/>
      <c r="J196" s="2"/>
      <c r="K196" s="2"/>
      <c r="L196" s="2"/>
      <c r="M196" s="2"/>
      <c r="N196" s="2"/>
      <c r="O196" s="1"/>
      <c r="P196" s="1"/>
      <c r="Q196" s="1"/>
    </row>
    <row r="197">
      <c r="A197" s="1"/>
      <c r="B197" s="1"/>
      <c r="C197" s="1"/>
      <c r="D197" s="1"/>
      <c r="E197" s="1"/>
      <c r="F197" s="2"/>
      <c r="G197" s="2"/>
      <c r="H197" s="2"/>
      <c r="I197" s="2"/>
      <c r="J197" s="2"/>
      <c r="K197" s="2"/>
      <c r="L197" s="2"/>
      <c r="M197" s="2"/>
      <c r="N197" s="2"/>
      <c r="O197" s="1"/>
      <c r="P197" s="1"/>
      <c r="Q197" s="1"/>
    </row>
    <row r="198">
      <c r="A198" s="1"/>
      <c r="B198" s="1"/>
      <c r="C198" s="1"/>
      <c r="D198" s="1"/>
      <c r="E198" s="1"/>
      <c r="F198" s="2"/>
      <c r="G198" s="2"/>
      <c r="H198" s="2"/>
      <c r="I198" s="2"/>
      <c r="J198" s="2"/>
      <c r="K198" s="2"/>
      <c r="L198" s="2"/>
      <c r="M198" s="2"/>
      <c r="N198" s="2"/>
      <c r="O198" s="1"/>
      <c r="P198" s="1"/>
      <c r="Q198" s="1"/>
    </row>
    <row r="199">
      <c r="A199" s="1"/>
      <c r="B199" s="1"/>
      <c r="C199" s="1"/>
      <c r="D199" s="1"/>
      <c r="E199" s="1"/>
      <c r="F199" s="2"/>
      <c r="G199" s="2"/>
      <c r="H199" s="2"/>
      <c r="I199" s="2"/>
      <c r="J199" s="2"/>
      <c r="K199" s="2"/>
      <c r="L199" s="2"/>
      <c r="M199" s="2"/>
      <c r="N199" s="2"/>
      <c r="O199" s="1"/>
      <c r="P199" s="1"/>
      <c r="Q199" s="1"/>
    </row>
    <row r="200">
      <c r="A200" s="1"/>
      <c r="B200" s="1"/>
      <c r="C200" s="1"/>
      <c r="D200" s="1"/>
      <c r="E200" s="1"/>
      <c r="F200" s="2"/>
      <c r="G200" s="2"/>
      <c r="H200" s="2"/>
      <c r="I200" s="2"/>
      <c r="J200" s="2"/>
      <c r="K200" s="2"/>
      <c r="L200" s="2"/>
      <c r="M200" s="2"/>
      <c r="N200" s="2"/>
      <c r="O200" s="1"/>
      <c r="P200" s="1"/>
      <c r="Q200" s="1"/>
    </row>
    <row r="201">
      <c r="A201" s="1"/>
      <c r="B201" s="1"/>
      <c r="C201" s="1"/>
      <c r="D201" s="1"/>
      <c r="E201" s="1"/>
      <c r="F201" s="2"/>
      <c r="G201" s="2"/>
      <c r="H201" s="2"/>
      <c r="I201" s="2"/>
      <c r="J201" s="2"/>
      <c r="K201" s="2"/>
      <c r="L201" s="2"/>
      <c r="M201" s="2"/>
      <c r="N201" s="2"/>
      <c r="O201" s="1"/>
      <c r="P201" s="1"/>
      <c r="Q201" s="1"/>
    </row>
    <row r="202">
      <c r="A202" s="1"/>
      <c r="B202" s="1"/>
      <c r="C202" s="1"/>
      <c r="D202" s="1"/>
      <c r="E202" s="1"/>
      <c r="F202" s="2"/>
      <c r="G202" s="2"/>
      <c r="H202" s="2"/>
      <c r="I202" s="2"/>
      <c r="J202" s="2"/>
      <c r="K202" s="2"/>
      <c r="L202" s="2"/>
      <c r="M202" s="2"/>
      <c r="N202" s="2"/>
      <c r="O202" s="1"/>
      <c r="P202" s="1"/>
      <c r="Q202" s="1"/>
    </row>
    <row r="203">
      <c r="A203" s="1"/>
      <c r="B203" s="1"/>
      <c r="C203" s="1"/>
      <c r="D203" s="1"/>
      <c r="E203" s="1"/>
      <c r="F203" s="2"/>
      <c r="G203" s="2"/>
      <c r="H203" s="2"/>
      <c r="I203" s="2"/>
      <c r="J203" s="2"/>
      <c r="K203" s="2"/>
      <c r="L203" s="2"/>
      <c r="M203" s="2"/>
      <c r="N203" s="2"/>
      <c r="O203" s="1"/>
      <c r="P203" s="1"/>
      <c r="Q203" s="1"/>
    </row>
    <row r="204">
      <c r="A204" s="1"/>
      <c r="B204" s="1"/>
      <c r="C204" s="1"/>
      <c r="D204" s="1"/>
      <c r="E204" s="1"/>
      <c r="F204" s="2"/>
      <c r="G204" s="2"/>
      <c r="H204" s="2"/>
      <c r="I204" s="2"/>
      <c r="J204" s="2"/>
      <c r="K204" s="2"/>
      <c r="L204" s="2"/>
      <c r="M204" s="2"/>
      <c r="N204" s="2"/>
      <c r="O204" s="1"/>
      <c r="P204" s="1"/>
      <c r="Q204" s="1"/>
    </row>
    <row r="205">
      <c r="A205" s="1"/>
      <c r="B205" s="1"/>
      <c r="C205" s="1"/>
      <c r="D205" s="1"/>
      <c r="E205" s="1"/>
      <c r="F205" s="2"/>
      <c r="G205" s="2"/>
      <c r="H205" s="2"/>
      <c r="I205" s="2"/>
      <c r="J205" s="2"/>
      <c r="K205" s="2"/>
      <c r="L205" s="2"/>
      <c r="M205" s="2"/>
      <c r="N205" s="2"/>
      <c r="O205" s="1"/>
      <c r="P205" s="1"/>
      <c r="Q205" s="1"/>
    </row>
    <row r="206">
      <c r="A206" s="1"/>
      <c r="B206" s="1"/>
      <c r="C206" s="1"/>
      <c r="D206" s="1"/>
      <c r="E206" s="1"/>
      <c r="F206" s="2"/>
      <c r="G206" s="2"/>
      <c r="H206" s="2"/>
      <c r="I206" s="2"/>
      <c r="J206" s="2"/>
      <c r="K206" s="2"/>
      <c r="L206" s="2"/>
      <c r="M206" s="2"/>
      <c r="N206" s="2"/>
      <c r="O206" s="1"/>
      <c r="P206" s="1"/>
      <c r="Q206" s="1"/>
    </row>
    <row r="207">
      <c r="A207" s="1"/>
      <c r="B207" s="1"/>
      <c r="C207" s="1"/>
      <c r="D207" s="1"/>
      <c r="E207" s="1"/>
      <c r="F207" s="2"/>
      <c r="G207" s="2"/>
      <c r="H207" s="2"/>
      <c r="I207" s="2"/>
      <c r="J207" s="2"/>
      <c r="K207" s="2"/>
      <c r="L207" s="2"/>
      <c r="M207" s="2"/>
      <c r="N207" s="2"/>
      <c r="O207" s="1"/>
      <c r="P207" s="1"/>
      <c r="Q207" s="1"/>
    </row>
    <row r="208">
      <c r="A208" s="1"/>
      <c r="B208" s="1"/>
      <c r="C208" s="1"/>
      <c r="D208" s="1"/>
      <c r="E208" s="1"/>
      <c r="F208" s="2"/>
      <c r="G208" s="2"/>
      <c r="H208" s="2"/>
      <c r="I208" s="2"/>
      <c r="J208" s="2"/>
      <c r="K208" s="2"/>
      <c r="L208" s="2"/>
      <c r="M208" s="2"/>
      <c r="N208" s="2"/>
      <c r="O208" s="1"/>
      <c r="P208" s="1"/>
      <c r="Q208" s="1"/>
    </row>
    <row r="209">
      <c r="A209" s="1"/>
      <c r="B209" s="1"/>
      <c r="C209" s="1"/>
      <c r="D209" s="1"/>
      <c r="E209" s="1"/>
      <c r="F209" s="2"/>
      <c r="G209" s="2"/>
      <c r="H209" s="2"/>
      <c r="I209" s="2"/>
      <c r="J209" s="2"/>
      <c r="K209" s="2"/>
      <c r="L209" s="2"/>
      <c r="M209" s="2"/>
      <c r="N209" s="2"/>
      <c r="O209" s="1"/>
      <c r="P209" s="1"/>
      <c r="Q209" s="1"/>
    </row>
    <row r="210">
      <c r="A210" s="1"/>
      <c r="B210" s="1"/>
      <c r="C210" s="1"/>
      <c r="D210" s="1"/>
      <c r="E210" s="1"/>
      <c r="F210" s="2"/>
      <c r="G210" s="2"/>
      <c r="H210" s="2"/>
      <c r="I210" s="2"/>
      <c r="J210" s="2"/>
      <c r="K210" s="2"/>
      <c r="L210" s="2"/>
      <c r="M210" s="2"/>
      <c r="N210" s="2"/>
      <c r="O210" s="1"/>
      <c r="P210" s="1"/>
      <c r="Q210" s="1"/>
    </row>
    <row r="211">
      <c r="A211" s="1"/>
      <c r="B211" s="1"/>
      <c r="C211" s="1"/>
      <c r="D211" s="1"/>
      <c r="E211" s="1"/>
      <c r="F211" s="2"/>
      <c r="G211" s="2"/>
      <c r="H211" s="2"/>
      <c r="I211" s="2"/>
      <c r="J211" s="2"/>
      <c r="K211" s="2"/>
      <c r="L211" s="2"/>
      <c r="M211" s="2"/>
      <c r="N211" s="2"/>
      <c r="O211" s="1"/>
      <c r="P211" s="1"/>
      <c r="Q211" s="1"/>
    </row>
    <row r="212">
      <c r="A212" s="1"/>
      <c r="B212" s="1"/>
      <c r="C212" s="1"/>
      <c r="D212" s="1"/>
      <c r="E212" s="1"/>
      <c r="F212" s="2"/>
      <c r="G212" s="2"/>
      <c r="H212" s="2"/>
      <c r="I212" s="2"/>
      <c r="J212" s="2"/>
      <c r="K212" s="2"/>
      <c r="L212" s="2"/>
      <c r="M212" s="2"/>
      <c r="N212" s="2"/>
      <c r="O212" s="1"/>
      <c r="P212" s="1"/>
      <c r="Q212" s="1"/>
    </row>
    <row r="213">
      <c r="A213" s="1"/>
      <c r="B213" s="1"/>
      <c r="C213" s="1"/>
      <c r="D213" s="1"/>
      <c r="E213" s="1"/>
      <c r="F213" s="2"/>
      <c r="G213" s="2"/>
      <c r="H213" s="2"/>
      <c r="I213" s="2"/>
      <c r="J213" s="2"/>
      <c r="K213" s="2"/>
      <c r="L213" s="2"/>
      <c r="M213" s="2"/>
      <c r="N213" s="2"/>
      <c r="O213" s="1"/>
      <c r="P213" s="1"/>
      <c r="Q213" s="1"/>
    </row>
    <row r="214">
      <c r="A214" s="1"/>
      <c r="B214" s="1"/>
      <c r="C214" s="1"/>
      <c r="D214" s="1"/>
      <c r="E214" s="1"/>
      <c r="F214" s="2"/>
      <c r="G214" s="2"/>
      <c r="H214" s="2"/>
      <c r="I214" s="2"/>
      <c r="J214" s="2"/>
      <c r="K214" s="2"/>
      <c r="L214" s="2"/>
      <c r="M214" s="2"/>
      <c r="N214" s="2"/>
      <c r="O214" s="1"/>
      <c r="P214" s="1"/>
      <c r="Q214" s="1"/>
    </row>
    <row r="215">
      <c r="A215" s="1"/>
      <c r="B215" s="1"/>
      <c r="C215" s="1"/>
      <c r="D215" s="1"/>
      <c r="E215" s="1"/>
      <c r="F215" s="2"/>
      <c r="G215" s="2"/>
      <c r="H215" s="2"/>
      <c r="I215" s="2"/>
      <c r="J215" s="2"/>
      <c r="K215" s="2"/>
      <c r="L215" s="2"/>
      <c r="M215" s="2"/>
      <c r="N215" s="2"/>
      <c r="O215" s="1"/>
      <c r="P215" s="1"/>
      <c r="Q215" s="1"/>
    </row>
    <row r="216">
      <c r="A216" s="1"/>
      <c r="B216" s="1"/>
      <c r="C216" s="1"/>
      <c r="D216" s="1"/>
      <c r="E216" s="1"/>
      <c r="F216" s="2"/>
      <c r="G216" s="2"/>
      <c r="H216" s="2"/>
      <c r="I216" s="2"/>
      <c r="J216" s="2"/>
      <c r="K216" s="2"/>
      <c r="L216" s="2"/>
      <c r="M216" s="2"/>
      <c r="N216" s="2"/>
      <c r="O216" s="1"/>
      <c r="P216" s="1"/>
      <c r="Q216" s="1"/>
    </row>
    <row r="217">
      <c r="A217" s="1"/>
      <c r="B217" s="1"/>
      <c r="C217" s="1"/>
      <c r="D217" s="1"/>
      <c r="E217" s="1"/>
      <c r="F217" s="2"/>
      <c r="G217" s="2"/>
      <c r="H217" s="2"/>
      <c r="I217" s="2"/>
      <c r="J217" s="2"/>
      <c r="K217" s="2"/>
      <c r="L217" s="2"/>
      <c r="M217" s="2"/>
      <c r="N217" s="2"/>
      <c r="O217" s="1"/>
      <c r="P217" s="1"/>
      <c r="Q217" s="1"/>
    </row>
    <row r="218">
      <c r="A218" s="1"/>
      <c r="B218" s="1"/>
      <c r="C218" s="1"/>
      <c r="D218" s="1"/>
      <c r="E218" s="1"/>
      <c r="F218" s="2"/>
      <c r="G218" s="2"/>
      <c r="H218" s="2"/>
      <c r="I218" s="2"/>
      <c r="J218" s="2"/>
      <c r="K218" s="2"/>
      <c r="L218" s="2"/>
      <c r="M218" s="2"/>
      <c r="N218" s="2"/>
      <c r="O218" s="1"/>
      <c r="P218" s="1"/>
      <c r="Q218" s="1"/>
    </row>
    <row r="219">
      <c r="A219" s="1"/>
      <c r="B219" s="1"/>
      <c r="C219" s="1"/>
      <c r="D219" s="1"/>
      <c r="E219" s="1"/>
      <c r="F219" s="2"/>
      <c r="G219" s="2"/>
      <c r="H219" s="2"/>
      <c r="I219" s="2"/>
      <c r="J219" s="2"/>
      <c r="K219" s="2"/>
      <c r="L219" s="2"/>
      <c r="M219" s="2"/>
      <c r="N219" s="2"/>
      <c r="O219" s="1"/>
      <c r="P219" s="1"/>
      <c r="Q219" s="1"/>
    </row>
    <row r="220">
      <c r="A220" s="1"/>
      <c r="B220" s="1"/>
      <c r="C220" s="1"/>
      <c r="D220" s="1"/>
      <c r="E220" s="1"/>
      <c r="F220" s="2"/>
      <c r="G220" s="2"/>
      <c r="H220" s="2"/>
      <c r="I220" s="2"/>
      <c r="J220" s="2"/>
      <c r="K220" s="2"/>
      <c r="L220" s="2"/>
      <c r="M220" s="2"/>
      <c r="N220" s="2"/>
      <c r="O220" s="1"/>
      <c r="P220" s="1"/>
      <c r="Q220" s="1"/>
    </row>
    <row r="221">
      <c r="A221" s="1"/>
      <c r="B221" s="1"/>
      <c r="C221" s="1"/>
      <c r="D221" s="1"/>
      <c r="E221" s="1"/>
      <c r="F221" s="2"/>
      <c r="G221" s="2"/>
      <c r="H221" s="2"/>
      <c r="I221" s="2"/>
      <c r="J221" s="2"/>
      <c r="K221" s="2"/>
      <c r="L221" s="2"/>
      <c r="M221" s="2"/>
      <c r="N221" s="2"/>
      <c r="O221" s="1"/>
      <c r="P221" s="1"/>
      <c r="Q221" s="1"/>
    </row>
    <row r="222">
      <c r="A222" s="1"/>
      <c r="B222" s="1"/>
      <c r="C222" s="1"/>
      <c r="D222" s="1"/>
      <c r="E222" s="1"/>
      <c r="F222" s="2"/>
      <c r="G222" s="2"/>
      <c r="H222" s="2"/>
      <c r="I222" s="2"/>
      <c r="J222" s="2"/>
      <c r="K222" s="2"/>
      <c r="L222" s="2"/>
      <c r="M222" s="2"/>
      <c r="N222" s="2"/>
      <c r="O222" s="1"/>
      <c r="P222" s="1"/>
      <c r="Q222" s="1"/>
    </row>
    <row r="223">
      <c r="A223" s="1"/>
      <c r="B223" s="1"/>
      <c r="C223" s="1"/>
      <c r="D223" s="1"/>
      <c r="E223" s="1"/>
      <c r="F223" s="2"/>
      <c r="G223" s="2"/>
      <c r="H223" s="2"/>
      <c r="I223" s="2"/>
      <c r="J223" s="2"/>
      <c r="K223" s="2"/>
      <c r="L223" s="2"/>
      <c r="M223" s="2"/>
      <c r="N223" s="2"/>
      <c r="O223" s="1"/>
      <c r="P223" s="1"/>
      <c r="Q223" s="1"/>
    </row>
    <row r="224">
      <c r="A224" s="1"/>
      <c r="B224" s="1"/>
      <c r="C224" s="1"/>
      <c r="D224" s="1"/>
      <c r="E224" s="1"/>
      <c r="F224" s="2"/>
      <c r="G224" s="2"/>
      <c r="H224" s="2"/>
      <c r="I224" s="2"/>
      <c r="J224" s="2"/>
      <c r="K224" s="2"/>
      <c r="L224" s="2"/>
      <c r="M224" s="2"/>
      <c r="N224" s="2"/>
      <c r="O224" s="1"/>
      <c r="P224" s="1"/>
      <c r="Q224" s="1"/>
    </row>
    <row r="225">
      <c r="A225" s="1"/>
      <c r="B225" s="1"/>
      <c r="C225" s="1"/>
      <c r="D225" s="1"/>
      <c r="E225" s="1"/>
      <c r="F225" s="2"/>
      <c r="G225" s="2"/>
      <c r="H225" s="2"/>
      <c r="I225" s="2"/>
      <c r="J225" s="2"/>
      <c r="K225" s="2"/>
      <c r="L225" s="2"/>
      <c r="M225" s="2"/>
      <c r="N225" s="2"/>
      <c r="O225" s="1"/>
      <c r="P225" s="1"/>
      <c r="Q225" s="1"/>
    </row>
    <row r="226">
      <c r="A226" s="1"/>
      <c r="B226" s="1"/>
      <c r="C226" s="1"/>
      <c r="D226" s="1"/>
      <c r="E226" s="1"/>
      <c r="F226" s="2"/>
      <c r="G226" s="2"/>
      <c r="H226" s="2"/>
      <c r="I226" s="2"/>
      <c r="J226" s="2"/>
      <c r="K226" s="2"/>
      <c r="L226" s="2"/>
      <c r="M226" s="2"/>
      <c r="N226" s="2"/>
      <c r="O226" s="1"/>
      <c r="P226" s="1"/>
      <c r="Q226" s="1"/>
    </row>
    <row r="227">
      <c r="A227" s="1"/>
      <c r="B227" s="1"/>
      <c r="C227" s="1"/>
      <c r="D227" s="1"/>
      <c r="E227" s="1"/>
      <c r="F227" s="2"/>
      <c r="G227" s="2"/>
      <c r="H227" s="2"/>
      <c r="I227" s="2"/>
      <c r="J227" s="2"/>
      <c r="K227" s="2"/>
      <c r="L227" s="2"/>
      <c r="M227" s="2"/>
      <c r="N227" s="2"/>
      <c r="O227" s="1"/>
      <c r="P227" s="1"/>
      <c r="Q227" s="1"/>
    </row>
    <row r="228">
      <c r="A228" s="1"/>
      <c r="B228" s="1"/>
      <c r="C228" s="1"/>
      <c r="D228" s="1"/>
      <c r="E228" s="1"/>
      <c r="F228" s="2"/>
      <c r="G228" s="2"/>
      <c r="H228" s="2"/>
      <c r="I228" s="2"/>
      <c r="J228" s="2"/>
      <c r="K228" s="2"/>
      <c r="L228" s="2"/>
      <c r="M228" s="2"/>
      <c r="N228" s="2"/>
      <c r="O228" s="1"/>
      <c r="P228" s="1"/>
      <c r="Q228" s="1"/>
    </row>
    <row r="229">
      <c r="A229" s="1"/>
      <c r="B229" s="1"/>
      <c r="C229" s="1"/>
      <c r="D229" s="1"/>
      <c r="E229" s="1"/>
      <c r="F229" s="2"/>
      <c r="G229" s="2"/>
      <c r="H229" s="2"/>
      <c r="I229" s="2"/>
      <c r="J229" s="2"/>
      <c r="K229" s="2"/>
      <c r="L229" s="2"/>
      <c r="M229" s="2"/>
      <c r="N229" s="2"/>
      <c r="O229" s="1"/>
      <c r="P229" s="1"/>
      <c r="Q229" s="1"/>
    </row>
    <row r="230">
      <c r="A230" s="1"/>
      <c r="B230" s="1"/>
      <c r="C230" s="1"/>
      <c r="D230" s="1"/>
      <c r="E230" s="1"/>
      <c r="F230" s="2"/>
      <c r="G230" s="2"/>
      <c r="H230" s="2"/>
      <c r="I230" s="2"/>
      <c r="J230" s="2"/>
      <c r="K230" s="2"/>
      <c r="L230" s="2"/>
      <c r="M230" s="2"/>
      <c r="N230" s="2"/>
      <c r="O230" s="1"/>
      <c r="P230" s="1"/>
      <c r="Q230" s="1"/>
    </row>
    <row r="231">
      <c r="A231" s="1"/>
      <c r="B231" s="1"/>
      <c r="C231" s="1"/>
      <c r="D231" s="1"/>
      <c r="E231" s="1"/>
      <c r="F231" s="2"/>
      <c r="G231" s="2"/>
      <c r="H231" s="2"/>
      <c r="I231" s="2"/>
      <c r="J231" s="2"/>
      <c r="K231" s="2"/>
      <c r="L231" s="2"/>
      <c r="M231" s="2"/>
      <c r="N231" s="2"/>
      <c r="O231" s="1"/>
      <c r="P231" s="1"/>
      <c r="Q231" s="1"/>
    </row>
    <row r="232">
      <c r="A232" s="1"/>
      <c r="B232" s="1"/>
      <c r="C232" s="1"/>
      <c r="D232" s="1"/>
      <c r="E232" s="1"/>
      <c r="F232" s="2"/>
      <c r="G232" s="2"/>
      <c r="H232" s="2"/>
      <c r="I232" s="2"/>
      <c r="J232" s="2"/>
      <c r="K232" s="2"/>
      <c r="L232" s="2"/>
      <c r="M232" s="2"/>
      <c r="N232" s="2"/>
      <c r="O232" s="1"/>
      <c r="P232" s="1"/>
      <c r="Q232" s="1"/>
    </row>
    <row r="233">
      <c r="A233" s="1"/>
      <c r="B233" s="1"/>
      <c r="C233" s="1"/>
      <c r="D233" s="1"/>
      <c r="E233" s="1"/>
      <c r="F233" s="2"/>
      <c r="G233" s="2"/>
      <c r="H233" s="2"/>
      <c r="I233" s="2"/>
      <c r="J233" s="2"/>
      <c r="K233" s="2"/>
      <c r="L233" s="2"/>
      <c r="M233" s="2"/>
      <c r="N233" s="2"/>
      <c r="O233" s="1"/>
      <c r="P233" s="1"/>
      <c r="Q233" s="1"/>
    </row>
    <row r="234">
      <c r="A234" s="1"/>
      <c r="B234" s="1"/>
      <c r="C234" s="1"/>
      <c r="D234" s="1"/>
      <c r="E234" s="1"/>
      <c r="F234" s="2"/>
      <c r="G234" s="2"/>
      <c r="H234" s="2"/>
      <c r="I234" s="2"/>
      <c r="J234" s="2"/>
      <c r="K234" s="2"/>
      <c r="L234" s="2"/>
      <c r="M234" s="2"/>
      <c r="N234" s="2"/>
      <c r="O234" s="1"/>
      <c r="P234" s="1"/>
      <c r="Q234" s="1"/>
    </row>
    <row r="235">
      <c r="A235" s="1"/>
      <c r="B235" s="1"/>
      <c r="C235" s="1"/>
      <c r="D235" s="1"/>
      <c r="E235" s="1"/>
      <c r="F235" s="2"/>
      <c r="G235" s="2"/>
      <c r="H235" s="2"/>
      <c r="I235" s="2"/>
      <c r="J235" s="2"/>
      <c r="K235" s="2"/>
      <c r="L235" s="2"/>
      <c r="M235" s="2"/>
      <c r="N235" s="2"/>
      <c r="O235" s="1"/>
      <c r="P235" s="1"/>
      <c r="Q235" s="1"/>
    </row>
    <row r="236">
      <c r="A236" s="1"/>
      <c r="B236" s="1"/>
      <c r="C236" s="1"/>
      <c r="D236" s="1"/>
      <c r="E236" s="1"/>
      <c r="F236" s="2"/>
      <c r="G236" s="2"/>
      <c r="H236" s="2"/>
      <c r="I236" s="2"/>
      <c r="J236" s="2"/>
      <c r="K236" s="2"/>
      <c r="L236" s="2"/>
      <c r="M236" s="2"/>
      <c r="N236" s="2"/>
      <c r="O236" s="1"/>
      <c r="P236" s="1"/>
      <c r="Q236" s="1"/>
    </row>
    <row r="237">
      <c r="A237" s="1"/>
      <c r="B237" s="1"/>
      <c r="C237" s="1"/>
      <c r="D237" s="1"/>
      <c r="E237" s="1"/>
      <c r="F237" s="2"/>
      <c r="G237" s="2"/>
      <c r="H237" s="2"/>
      <c r="I237" s="2"/>
      <c r="J237" s="2"/>
      <c r="K237" s="2"/>
      <c r="L237" s="2"/>
      <c r="M237" s="2"/>
      <c r="N237" s="2"/>
      <c r="O237" s="1"/>
      <c r="P237" s="1"/>
      <c r="Q237" s="1"/>
    </row>
    <row r="238">
      <c r="A238" s="1"/>
      <c r="B238" s="1"/>
      <c r="C238" s="1"/>
      <c r="D238" s="1"/>
      <c r="E238" s="1"/>
      <c r="F238" s="2"/>
      <c r="G238" s="2"/>
      <c r="H238" s="2"/>
      <c r="I238" s="2"/>
      <c r="J238" s="2"/>
      <c r="K238" s="2"/>
      <c r="L238" s="2"/>
      <c r="M238" s="2"/>
      <c r="N238" s="2"/>
      <c r="O238" s="1"/>
      <c r="P238" s="1"/>
      <c r="Q238" s="1"/>
    </row>
    <row r="239">
      <c r="A239" s="1"/>
      <c r="B239" s="1"/>
      <c r="C239" s="1"/>
      <c r="D239" s="1"/>
      <c r="E239" s="1"/>
      <c r="F239" s="2"/>
      <c r="G239" s="2"/>
      <c r="H239" s="2"/>
      <c r="I239" s="2"/>
      <c r="J239" s="2"/>
      <c r="K239" s="2"/>
      <c r="L239" s="2"/>
      <c r="M239" s="2"/>
      <c r="N239" s="2"/>
      <c r="O239" s="1"/>
      <c r="P239" s="1"/>
      <c r="Q239" s="1"/>
    </row>
    <row r="240">
      <c r="A240" s="1"/>
      <c r="B240" s="1"/>
      <c r="C240" s="1"/>
      <c r="D240" s="1"/>
      <c r="E240" s="1"/>
      <c r="F240" s="2"/>
      <c r="G240" s="2"/>
      <c r="H240" s="2"/>
      <c r="I240" s="2"/>
      <c r="J240" s="2"/>
      <c r="K240" s="2"/>
      <c r="L240" s="2"/>
      <c r="M240" s="2"/>
      <c r="N240" s="2"/>
      <c r="O240" s="1"/>
      <c r="P240" s="1"/>
      <c r="Q240" s="1"/>
    </row>
    <row r="241">
      <c r="A241" s="1"/>
      <c r="B241" s="1"/>
      <c r="C241" s="1"/>
      <c r="D241" s="1"/>
      <c r="E241" s="1"/>
      <c r="F241" s="2"/>
      <c r="G241" s="2"/>
      <c r="H241" s="2"/>
      <c r="I241" s="2"/>
      <c r="J241" s="2"/>
      <c r="K241" s="2"/>
      <c r="L241" s="2"/>
      <c r="M241" s="2"/>
      <c r="N241" s="2"/>
      <c r="O241" s="1"/>
      <c r="P241" s="1"/>
      <c r="Q241" s="1"/>
    </row>
    <row r="242">
      <c r="A242" s="1"/>
      <c r="B242" s="1"/>
      <c r="C242" s="1"/>
      <c r="D242" s="1"/>
      <c r="E242" s="1"/>
      <c r="F242" s="2"/>
      <c r="G242" s="2"/>
      <c r="H242" s="2"/>
      <c r="I242" s="2"/>
      <c r="J242" s="2"/>
      <c r="K242" s="2"/>
      <c r="L242" s="2"/>
      <c r="M242" s="2"/>
      <c r="N242" s="2"/>
      <c r="O242" s="1"/>
      <c r="P242" s="1"/>
      <c r="Q242" s="1"/>
    </row>
    <row r="243">
      <c r="A243" s="1"/>
      <c r="B243" s="1"/>
      <c r="C243" s="1"/>
      <c r="D243" s="1"/>
      <c r="E243" s="1"/>
      <c r="F243" s="2"/>
      <c r="G243" s="2"/>
      <c r="H243" s="2"/>
      <c r="I243" s="2"/>
      <c r="J243" s="2"/>
      <c r="K243" s="2"/>
      <c r="L243" s="2"/>
      <c r="M243" s="2"/>
      <c r="N243" s="2"/>
      <c r="O243" s="1"/>
      <c r="P243" s="1"/>
      <c r="Q243" s="1"/>
    </row>
    <row r="244">
      <c r="A244" s="1"/>
      <c r="B244" s="1"/>
      <c r="C244" s="1"/>
      <c r="D244" s="1"/>
      <c r="E244" s="1"/>
      <c r="F244" s="2"/>
      <c r="G244" s="2"/>
      <c r="H244" s="2"/>
      <c r="I244" s="2"/>
      <c r="J244" s="2"/>
      <c r="K244" s="2"/>
      <c r="L244" s="2"/>
      <c r="M244" s="2"/>
      <c r="N244" s="2"/>
      <c r="O244" s="1"/>
      <c r="P244" s="1"/>
      <c r="Q244" s="1"/>
    </row>
    <row r="245">
      <c r="A245" s="1"/>
      <c r="B245" s="1"/>
      <c r="C245" s="1"/>
      <c r="D245" s="1"/>
      <c r="E245" s="1"/>
      <c r="F245" s="2"/>
      <c r="G245" s="2"/>
      <c r="H245" s="2"/>
      <c r="I245" s="2"/>
      <c r="J245" s="2"/>
      <c r="K245" s="2"/>
      <c r="L245" s="2"/>
      <c r="M245" s="2"/>
      <c r="N245" s="2"/>
      <c r="O245" s="1"/>
      <c r="P245" s="1"/>
      <c r="Q245" s="1"/>
    </row>
    <row r="246">
      <c r="A246" s="1"/>
      <c r="B246" s="1"/>
      <c r="C246" s="1"/>
      <c r="D246" s="1"/>
      <c r="E246" s="1"/>
      <c r="F246" s="2"/>
      <c r="G246" s="2"/>
      <c r="H246" s="2"/>
      <c r="I246" s="2"/>
      <c r="J246" s="2"/>
      <c r="K246" s="2"/>
      <c r="L246" s="2"/>
      <c r="M246" s="2"/>
      <c r="N246" s="2"/>
      <c r="O246" s="1"/>
      <c r="P246" s="1"/>
      <c r="Q246" s="1"/>
    </row>
    <row r="247">
      <c r="A247" s="1"/>
      <c r="B247" s="1"/>
      <c r="C247" s="1"/>
      <c r="D247" s="1"/>
      <c r="E247" s="1"/>
      <c r="F247" s="2"/>
      <c r="G247" s="2"/>
      <c r="H247" s="2"/>
      <c r="I247" s="2"/>
      <c r="J247" s="2"/>
      <c r="K247" s="2"/>
      <c r="L247" s="2"/>
      <c r="M247" s="2"/>
      <c r="N247" s="2"/>
      <c r="O247" s="1"/>
      <c r="P247" s="1"/>
      <c r="Q247" s="1"/>
    </row>
    <row r="248">
      <c r="A248" s="1"/>
      <c r="B248" s="1"/>
      <c r="C248" s="1"/>
      <c r="D248" s="1"/>
      <c r="E248" s="1"/>
      <c r="F248" s="2"/>
      <c r="G248" s="2"/>
      <c r="H248" s="2"/>
      <c r="I248" s="2"/>
      <c r="J248" s="2"/>
      <c r="K248" s="2"/>
      <c r="L248" s="2"/>
      <c r="M248" s="2"/>
      <c r="N248" s="2"/>
      <c r="O248" s="1"/>
      <c r="P248" s="1"/>
      <c r="Q248" s="1"/>
    </row>
    <row r="249">
      <c r="A249" s="1"/>
      <c r="B249" s="1"/>
      <c r="C249" s="1"/>
      <c r="D249" s="1"/>
      <c r="E249" s="1"/>
      <c r="F249" s="2"/>
      <c r="G249" s="2"/>
      <c r="H249" s="2"/>
      <c r="I249" s="2"/>
      <c r="J249" s="2"/>
      <c r="K249" s="2"/>
      <c r="L249" s="2"/>
      <c r="M249" s="2"/>
      <c r="N249" s="2"/>
      <c r="O249" s="1"/>
      <c r="P249" s="1"/>
      <c r="Q249" s="1"/>
    </row>
    <row r="250">
      <c r="A250" s="1"/>
      <c r="B250" s="1"/>
      <c r="C250" s="1"/>
      <c r="D250" s="1"/>
      <c r="E250" s="1"/>
      <c r="F250" s="2"/>
      <c r="G250" s="2"/>
      <c r="H250" s="2"/>
      <c r="I250" s="2"/>
      <c r="J250" s="2"/>
      <c r="K250" s="2"/>
      <c r="L250" s="2"/>
      <c r="M250" s="2"/>
      <c r="N250" s="2"/>
      <c r="O250" s="1"/>
      <c r="P250" s="1"/>
      <c r="Q250" s="1"/>
    </row>
    <row r="251">
      <c r="A251" s="1"/>
      <c r="B251" s="1"/>
      <c r="C251" s="1"/>
      <c r="D251" s="1"/>
      <c r="E251" s="1"/>
      <c r="F251" s="2"/>
      <c r="G251" s="2"/>
      <c r="H251" s="2"/>
      <c r="I251" s="2"/>
      <c r="J251" s="2"/>
      <c r="K251" s="2"/>
      <c r="L251" s="2"/>
      <c r="M251" s="2"/>
      <c r="N251" s="2"/>
      <c r="O251" s="1"/>
      <c r="P251" s="1"/>
      <c r="Q251" s="1"/>
    </row>
    <row r="252">
      <c r="A252" s="1"/>
      <c r="B252" s="1"/>
      <c r="C252" s="1"/>
      <c r="D252" s="1"/>
      <c r="E252" s="1"/>
      <c r="F252" s="2"/>
      <c r="G252" s="2"/>
      <c r="H252" s="2"/>
      <c r="I252" s="2"/>
      <c r="J252" s="2"/>
      <c r="K252" s="2"/>
      <c r="L252" s="2"/>
      <c r="M252" s="2"/>
      <c r="N252" s="2"/>
      <c r="O252" s="1"/>
      <c r="P252" s="1"/>
      <c r="Q252" s="1"/>
    </row>
    <row r="253">
      <c r="A253" s="1"/>
      <c r="B253" s="1"/>
      <c r="C253" s="1"/>
      <c r="D253" s="1"/>
      <c r="E253" s="1"/>
      <c r="F253" s="2"/>
      <c r="G253" s="2"/>
      <c r="H253" s="2"/>
      <c r="I253" s="2"/>
      <c r="J253" s="2"/>
      <c r="K253" s="2"/>
      <c r="L253" s="2"/>
      <c r="M253" s="2"/>
      <c r="N253" s="2"/>
      <c r="O253" s="1"/>
      <c r="P253" s="1"/>
      <c r="Q253" s="1"/>
    </row>
    <row r="254">
      <c r="A254" s="1"/>
      <c r="B254" s="1"/>
      <c r="C254" s="1"/>
      <c r="D254" s="1"/>
      <c r="E254" s="1"/>
      <c r="F254" s="2"/>
      <c r="G254" s="2"/>
      <c r="H254" s="2"/>
      <c r="I254" s="2"/>
      <c r="J254" s="2"/>
      <c r="K254" s="2"/>
      <c r="L254" s="2"/>
      <c r="M254" s="2"/>
      <c r="N254" s="2"/>
      <c r="O254" s="1"/>
      <c r="P254" s="1"/>
      <c r="Q254" s="1"/>
    </row>
    <row r="255">
      <c r="A255" s="1"/>
      <c r="B255" s="1"/>
      <c r="C255" s="1"/>
      <c r="D255" s="1"/>
      <c r="E255" s="1"/>
      <c r="F255" s="2"/>
      <c r="G255" s="2"/>
      <c r="H255" s="2"/>
      <c r="I255" s="2"/>
      <c r="J255" s="2"/>
      <c r="K255" s="2"/>
      <c r="L255" s="2"/>
      <c r="M255" s="2"/>
      <c r="N255" s="2"/>
      <c r="O255" s="1"/>
      <c r="P255" s="1"/>
      <c r="Q255" s="1"/>
    </row>
    <row r="256">
      <c r="A256" s="1"/>
      <c r="B256" s="1"/>
      <c r="C256" s="1"/>
      <c r="D256" s="1"/>
      <c r="E256" s="1"/>
      <c r="F256" s="2"/>
      <c r="G256" s="2"/>
      <c r="H256" s="2"/>
      <c r="I256" s="2"/>
      <c r="J256" s="2"/>
      <c r="K256" s="2"/>
      <c r="L256" s="2"/>
      <c r="M256" s="2"/>
      <c r="N256" s="2"/>
      <c r="O256" s="1"/>
      <c r="P256" s="1"/>
      <c r="Q256" s="1"/>
    </row>
    <row r="257">
      <c r="A257" s="1"/>
      <c r="B257" s="1"/>
      <c r="C257" s="1"/>
      <c r="D257" s="1"/>
      <c r="E257" s="1"/>
      <c r="F257" s="2"/>
      <c r="G257" s="2"/>
      <c r="H257" s="2"/>
      <c r="I257" s="2"/>
      <c r="J257" s="2"/>
      <c r="K257" s="2"/>
      <c r="L257" s="2"/>
      <c r="M257" s="2"/>
      <c r="N257" s="2"/>
      <c r="O257" s="1"/>
      <c r="P257" s="1"/>
      <c r="Q257" s="1"/>
    </row>
    <row r="258">
      <c r="A258" s="1"/>
      <c r="B258" s="1"/>
      <c r="C258" s="1"/>
      <c r="D258" s="1"/>
      <c r="E258" s="1"/>
      <c r="F258" s="2"/>
      <c r="G258" s="2"/>
      <c r="H258" s="2"/>
      <c r="I258" s="2"/>
      <c r="J258" s="2"/>
      <c r="K258" s="2"/>
      <c r="L258" s="2"/>
      <c r="M258" s="2"/>
      <c r="N258" s="2"/>
      <c r="O258" s="1"/>
      <c r="P258" s="1"/>
      <c r="Q258" s="1"/>
    </row>
    <row r="259">
      <c r="A259" s="1"/>
      <c r="B259" s="1"/>
      <c r="C259" s="1"/>
      <c r="D259" s="1"/>
      <c r="E259" s="1"/>
      <c r="F259" s="2"/>
      <c r="G259" s="2"/>
      <c r="H259" s="2"/>
      <c r="I259" s="2"/>
      <c r="J259" s="2"/>
      <c r="K259" s="2"/>
      <c r="L259" s="2"/>
      <c r="M259" s="2"/>
      <c r="N259" s="2"/>
      <c r="O259" s="1"/>
      <c r="P259" s="1"/>
      <c r="Q259" s="1"/>
    </row>
    <row r="260">
      <c r="A260" s="1"/>
      <c r="B260" s="1"/>
      <c r="C260" s="1"/>
      <c r="D260" s="1"/>
      <c r="E260" s="1"/>
      <c r="F260" s="2"/>
      <c r="G260" s="2"/>
      <c r="H260" s="2"/>
      <c r="I260" s="2"/>
      <c r="J260" s="2"/>
      <c r="K260" s="2"/>
      <c r="L260" s="2"/>
      <c r="M260" s="2"/>
      <c r="N260" s="2"/>
      <c r="O260" s="1"/>
      <c r="P260" s="1"/>
      <c r="Q260" s="1"/>
    </row>
    <row r="261">
      <c r="A261" s="1"/>
      <c r="B261" s="1"/>
      <c r="C261" s="1"/>
      <c r="D261" s="1"/>
      <c r="E261" s="1"/>
      <c r="F261" s="2"/>
      <c r="G261" s="2"/>
      <c r="H261" s="2"/>
      <c r="I261" s="2"/>
      <c r="J261" s="2"/>
      <c r="K261" s="2"/>
      <c r="L261" s="2"/>
      <c r="M261" s="2"/>
      <c r="N261" s="2"/>
      <c r="O261" s="1"/>
      <c r="P261" s="1"/>
      <c r="Q261" s="1"/>
    </row>
    <row r="262">
      <c r="A262" s="1"/>
      <c r="B262" s="1"/>
      <c r="C262" s="1"/>
      <c r="D262" s="1"/>
      <c r="E262" s="1"/>
      <c r="F262" s="2"/>
      <c r="G262" s="2"/>
      <c r="H262" s="2"/>
      <c r="I262" s="2"/>
      <c r="J262" s="2"/>
      <c r="K262" s="2"/>
      <c r="L262" s="2"/>
      <c r="M262" s="2"/>
      <c r="N262" s="2"/>
      <c r="O262" s="1"/>
      <c r="P262" s="1"/>
      <c r="Q262" s="1"/>
    </row>
    <row r="263">
      <c r="A263" s="1"/>
      <c r="B263" s="1"/>
      <c r="C263" s="1"/>
      <c r="D263" s="1"/>
      <c r="E263" s="1"/>
      <c r="F263" s="2"/>
      <c r="G263" s="2"/>
      <c r="H263" s="2"/>
      <c r="I263" s="2"/>
      <c r="J263" s="2"/>
      <c r="K263" s="2"/>
      <c r="L263" s="2"/>
      <c r="M263" s="2"/>
      <c r="N263" s="2"/>
      <c r="O263" s="1"/>
      <c r="P263" s="1"/>
      <c r="Q263" s="1"/>
    </row>
    <row r="264">
      <c r="A264" s="1"/>
      <c r="B264" s="1"/>
      <c r="C264" s="1"/>
      <c r="D264" s="1"/>
      <c r="E264" s="1"/>
      <c r="F264" s="2"/>
      <c r="G264" s="2"/>
      <c r="H264" s="2"/>
      <c r="I264" s="2"/>
      <c r="J264" s="2"/>
      <c r="K264" s="2"/>
      <c r="L264" s="2"/>
      <c r="M264" s="2"/>
      <c r="N264" s="2"/>
      <c r="O264" s="1"/>
      <c r="P264" s="1"/>
      <c r="Q264" s="1"/>
    </row>
    <row r="265">
      <c r="A265" s="1"/>
      <c r="B265" s="1"/>
      <c r="C265" s="1"/>
      <c r="D265" s="1"/>
      <c r="E265" s="1"/>
      <c r="F265" s="2"/>
      <c r="G265" s="2"/>
      <c r="H265" s="2"/>
      <c r="I265" s="2"/>
      <c r="J265" s="2"/>
      <c r="K265" s="2"/>
      <c r="L265" s="2"/>
      <c r="M265" s="2"/>
      <c r="N265" s="2"/>
      <c r="O265" s="1"/>
      <c r="P265" s="1"/>
      <c r="Q265" s="1"/>
    </row>
    <row r="266">
      <c r="A266" s="1"/>
      <c r="B266" s="1"/>
      <c r="C266" s="1"/>
      <c r="D266" s="1"/>
      <c r="E266" s="1"/>
      <c r="F266" s="2"/>
      <c r="G266" s="2"/>
      <c r="H266" s="2"/>
      <c r="I266" s="2"/>
      <c r="J266" s="2"/>
      <c r="K266" s="2"/>
      <c r="L266" s="2"/>
      <c r="M266" s="2"/>
      <c r="N266" s="2"/>
      <c r="O266" s="1"/>
      <c r="P266" s="1"/>
      <c r="Q266" s="1"/>
    </row>
    <row r="267">
      <c r="A267" s="1"/>
      <c r="B267" s="1"/>
      <c r="C267" s="1"/>
      <c r="D267" s="1"/>
      <c r="E267" s="1"/>
      <c r="F267" s="2"/>
      <c r="G267" s="2"/>
      <c r="H267" s="2"/>
      <c r="I267" s="2"/>
      <c r="J267" s="2"/>
      <c r="K267" s="2"/>
      <c r="L267" s="2"/>
      <c r="M267" s="2"/>
      <c r="N267" s="2"/>
      <c r="O267" s="1"/>
      <c r="P267" s="1"/>
      <c r="Q267" s="1"/>
    </row>
    <row r="268">
      <c r="A268" s="1"/>
      <c r="B268" s="1"/>
      <c r="C268" s="1"/>
      <c r="D268" s="1"/>
      <c r="E268" s="1"/>
      <c r="F268" s="2"/>
      <c r="G268" s="2"/>
      <c r="H268" s="2"/>
      <c r="I268" s="2"/>
      <c r="J268" s="2"/>
      <c r="K268" s="2"/>
      <c r="L268" s="2"/>
      <c r="M268" s="2"/>
      <c r="N268" s="2"/>
      <c r="O268" s="1"/>
      <c r="P268" s="1"/>
      <c r="Q268" s="1"/>
    </row>
    <row r="269">
      <c r="A269" s="1"/>
      <c r="B269" s="1"/>
      <c r="C269" s="1"/>
      <c r="D269" s="1"/>
      <c r="E269" s="1"/>
      <c r="F269" s="2"/>
      <c r="G269" s="2"/>
      <c r="H269" s="2"/>
      <c r="I269" s="2"/>
      <c r="J269" s="2"/>
      <c r="K269" s="2"/>
      <c r="L269" s="2"/>
      <c r="M269" s="2"/>
      <c r="N269" s="2"/>
      <c r="O269" s="1"/>
      <c r="P269" s="1"/>
      <c r="Q269" s="1"/>
    </row>
    <row r="270">
      <c r="A270" s="1"/>
      <c r="B270" s="1"/>
      <c r="C270" s="1"/>
      <c r="D270" s="1"/>
      <c r="E270" s="1"/>
      <c r="F270" s="2"/>
      <c r="G270" s="2"/>
      <c r="H270" s="2"/>
      <c r="I270" s="2"/>
      <c r="J270" s="2"/>
      <c r="K270" s="2"/>
      <c r="L270" s="2"/>
      <c r="M270" s="2"/>
      <c r="N270" s="2"/>
      <c r="O270" s="1"/>
      <c r="P270" s="1"/>
      <c r="Q270" s="1"/>
    </row>
    <row r="271">
      <c r="A271" s="1"/>
      <c r="B271" s="1"/>
      <c r="C271" s="1"/>
      <c r="D271" s="1"/>
      <c r="E271" s="1"/>
      <c r="F271" s="2"/>
      <c r="G271" s="2"/>
      <c r="H271" s="2"/>
      <c r="I271" s="2"/>
      <c r="J271" s="2"/>
      <c r="K271" s="2"/>
      <c r="L271" s="2"/>
      <c r="M271" s="2"/>
      <c r="N271" s="2"/>
      <c r="O271" s="1"/>
      <c r="P271" s="1"/>
      <c r="Q271" s="1"/>
    </row>
    <row r="272">
      <c r="A272" s="1"/>
      <c r="B272" s="1"/>
      <c r="C272" s="1"/>
      <c r="D272" s="1"/>
      <c r="E272" s="1"/>
      <c r="F272" s="2"/>
      <c r="G272" s="2"/>
      <c r="H272" s="2"/>
      <c r="I272" s="2"/>
      <c r="J272" s="2"/>
      <c r="K272" s="2"/>
      <c r="L272" s="2"/>
      <c r="M272" s="2"/>
      <c r="N272" s="2"/>
      <c r="O272" s="1"/>
      <c r="P272" s="1"/>
      <c r="Q272" s="1"/>
    </row>
    <row r="273">
      <c r="A273" s="1"/>
      <c r="B273" s="1"/>
      <c r="C273" s="1"/>
      <c r="D273" s="1"/>
      <c r="E273" s="1"/>
      <c r="F273" s="2"/>
      <c r="G273" s="2"/>
      <c r="H273" s="2"/>
      <c r="I273" s="2"/>
      <c r="J273" s="2"/>
      <c r="K273" s="2"/>
      <c r="L273" s="2"/>
      <c r="M273" s="2"/>
      <c r="N273" s="2"/>
      <c r="O273" s="1"/>
      <c r="P273" s="1"/>
      <c r="Q273" s="1"/>
    </row>
    <row r="274">
      <c r="A274" s="1"/>
      <c r="B274" s="1"/>
      <c r="C274" s="1"/>
      <c r="D274" s="1"/>
      <c r="E274" s="1"/>
      <c r="F274" s="2"/>
      <c r="G274" s="2"/>
      <c r="H274" s="2"/>
      <c r="I274" s="2"/>
      <c r="J274" s="2"/>
      <c r="K274" s="2"/>
      <c r="L274" s="2"/>
      <c r="M274" s="2"/>
      <c r="N274" s="2"/>
      <c r="O274" s="1"/>
      <c r="P274" s="1"/>
      <c r="Q274" s="1"/>
    </row>
    <row r="275">
      <c r="A275" s="1"/>
      <c r="B275" s="1"/>
      <c r="C275" s="1"/>
      <c r="D275" s="1"/>
      <c r="E275" s="1"/>
      <c r="F275" s="2"/>
      <c r="G275" s="2"/>
      <c r="H275" s="2"/>
      <c r="I275" s="2"/>
      <c r="J275" s="2"/>
      <c r="K275" s="2"/>
      <c r="L275" s="2"/>
      <c r="M275" s="2"/>
      <c r="N275" s="2"/>
      <c r="O275" s="1"/>
      <c r="P275" s="1"/>
      <c r="Q275" s="1"/>
    </row>
    <row r="276">
      <c r="A276" s="1"/>
      <c r="B276" s="1"/>
      <c r="C276" s="1"/>
      <c r="D276" s="1"/>
      <c r="E276" s="1"/>
      <c r="F276" s="2"/>
      <c r="G276" s="2"/>
      <c r="H276" s="2"/>
      <c r="I276" s="2"/>
      <c r="J276" s="2"/>
      <c r="K276" s="2"/>
      <c r="L276" s="2"/>
      <c r="M276" s="2"/>
      <c r="N276" s="2"/>
      <c r="O276" s="1"/>
      <c r="P276" s="1"/>
      <c r="Q276" s="1"/>
    </row>
    <row r="277">
      <c r="A277" s="1"/>
      <c r="B277" s="1"/>
      <c r="C277" s="1"/>
      <c r="D277" s="1"/>
      <c r="E277" s="1"/>
      <c r="F277" s="2"/>
      <c r="G277" s="2"/>
      <c r="H277" s="2"/>
      <c r="I277" s="2"/>
      <c r="J277" s="2"/>
      <c r="K277" s="2"/>
      <c r="L277" s="2"/>
      <c r="M277" s="2"/>
      <c r="N277" s="2"/>
      <c r="O277" s="1"/>
      <c r="P277" s="1"/>
      <c r="Q277" s="1"/>
    </row>
    <row r="278">
      <c r="A278" s="1"/>
      <c r="B278" s="1"/>
      <c r="C278" s="1"/>
      <c r="D278" s="1"/>
      <c r="E278" s="1"/>
      <c r="F278" s="2"/>
      <c r="G278" s="2"/>
      <c r="H278" s="2"/>
      <c r="I278" s="2"/>
      <c r="J278" s="2"/>
      <c r="K278" s="2"/>
      <c r="L278" s="2"/>
      <c r="M278" s="2"/>
      <c r="N278" s="2"/>
      <c r="O278" s="1"/>
      <c r="P278" s="1"/>
      <c r="Q278" s="1"/>
    </row>
    <row r="279">
      <c r="A279" s="1"/>
      <c r="B279" s="1"/>
      <c r="C279" s="1"/>
      <c r="D279" s="1"/>
      <c r="E279" s="1"/>
      <c r="F279" s="2"/>
      <c r="G279" s="2"/>
      <c r="H279" s="2"/>
      <c r="I279" s="2"/>
      <c r="J279" s="2"/>
      <c r="K279" s="2"/>
      <c r="L279" s="2"/>
      <c r="M279" s="2"/>
      <c r="N279" s="2"/>
      <c r="O279" s="1"/>
      <c r="P279" s="1"/>
      <c r="Q279" s="1"/>
    </row>
    <row r="280">
      <c r="A280" s="1"/>
      <c r="B280" s="1"/>
      <c r="C280" s="1"/>
      <c r="D280" s="1"/>
      <c r="E280" s="1"/>
      <c r="F280" s="2"/>
      <c r="G280" s="2"/>
      <c r="H280" s="2"/>
      <c r="I280" s="2"/>
      <c r="J280" s="2"/>
      <c r="K280" s="2"/>
      <c r="L280" s="2"/>
      <c r="M280" s="2"/>
      <c r="N280" s="2"/>
      <c r="O280" s="1"/>
      <c r="P280" s="1"/>
      <c r="Q280" s="1"/>
    </row>
    <row r="281">
      <c r="A281" s="1"/>
      <c r="B281" s="1"/>
      <c r="C281" s="1"/>
      <c r="D281" s="1"/>
      <c r="E281" s="1"/>
      <c r="F281" s="2"/>
      <c r="G281" s="2"/>
      <c r="H281" s="2"/>
      <c r="I281" s="2"/>
      <c r="J281" s="2"/>
      <c r="K281" s="2"/>
      <c r="L281" s="2"/>
      <c r="M281" s="2"/>
      <c r="N281" s="2"/>
      <c r="O281" s="1"/>
      <c r="P281" s="1"/>
      <c r="Q281" s="1"/>
    </row>
    <row r="282">
      <c r="A282" s="1"/>
      <c r="B282" s="1"/>
      <c r="C282" s="1"/>
      <c r="D282" s="1"/>
      <c r="E282" s="1"/>
      <c r="F282" s="2"/>
      <c r="G282" s="2"/>
      <c r="H282" s="2"/>
      <c r="I282" s="2"/>
      <c r="J282" s="2"/>
      <c r="K282" s="2"/>
      <c r="L282" s="2"/>
      <c r="M282" s="2"/>
      <c r="N282" s="2"/>
      <c r="O282" s="1"/>
      <c r="P282" s="1"/>
      <c r="Q282" s="1"/>
    </row>
    <row r="283">
      <c r="A283" s="1"/>
      <c r="B283" s="1"/>
      <c r="C283" s="1"/>
      <c r="D283" s="1"/>
      <c r="E283" s="1"/>
      <c r="F283" s="2"/>
      <c r="G283" s="2"/>
      <c r="H283" s="2"/>
      <c r="I283" s="2"/>
      <c r="J283" s="2"/>
      <c r="K283" s="2"/>
      <c r="L283" s="2"/>
      <c r="M283" s="2"/>
      <c r="N283" s="2"/>
      <c r="O283" s="1"/>
      <c r="P283" s="1"/>
      <c r="Q283" s="1"/>
    </row>
    <row r="284">
      <c r="A284" s="1"/>
      <c r="B284" s="1"/>
      <c r="C284" s="1"/>
      <c r="D284" s="1"/>
      <c r="E284" s="1"/>
      <c r="F284" s="2"/>
      <c r="G284" s="2"/>
      <c r="H284" s="2"/>
      <c r="I284" s="2"/>
      <c r="J284" s="2"/>
      <c r="K284" s="2"/>
      <c r="L284" s="2"/>
      <c r="M284" s="2"/>
      <c r="N284" s="2"/>
      <c r="O284" s="1"/>
      <c r="P284" s="1"/>
      <c r="Q284" s="1"/>
    </row>
    <row r="285">
      <c r="A285" s="1"/>
      <c r="B285" s="1"/>
      <c r="C285" s="1"/>
      <c r="D285" s="1"/>
      <c r="E285" s="1"/>
      <c r="F285" s="2"/>
      <c r="G285" s="2"/>
      <c r="H285" s="2"/>
      <c r="I285" s="2"/>
      <c r="J285" s="2"/>
      <c r="K285" s="2"/>
      <c r="L285" s="2"/>
      <c r="M285" s="2"/>
      <c r="N285" s="2"/>
      <c r="O285" s="1"/>
      <c r="P285" s="1"/>
      <c r="Q285" s="1"/>
    </row>
    <row r="286">
      <c r="A286" s="1"/>
      <c r="B286" s="1"/>
      <c r="C286" s="1"/>
      <c r="D286" s="1"/>
      <c r="E286" s="1"/>
      <c r="F286" s="2"/>
      <c r="G286" s="2"/>
      <c r="H286" s="2"/>
      <c r="I286" s="2"/>
      <c r="J286" s="2"/>
      <c r="K286" s="2"/>
      <c r="L286" s="2"/>
      <c r="M286" s="2"/>
      <c r="N286" s="2"/>
      <c r="O286" s="1"/>
      <c r="P286" s="1"/>
      <c r="Q286" s="1"/>
    </row>
    <row r="287">
      <c r="A287" s="1"/>
      <c r="B287" s="1"/>
      <c r="C287" s="1"/>
      <c r="D287" s="1"/>
      <c r="E287" s="1"/>
      <c r="F287" s="2"/>
      <c r="G287" s="2"/>
      <c r="H287" s="2"/>
      <c r="I287" s="2"/>
      <c r="J287" s="2"/>
      <c r="K287" s="2"/>
      <c r="L287" s="2"/>
      <c r="M287" s="2"/>
      <c r="N287" s="2"/>
      <c r="O287" s="1"/>
      <c r="P287" s="1"/>
      <c r="Q287" s="1"/>
    </row>
    <row r="288">
      <c r="A288" s="1"/>
      <c r="B288" s="1"/>
      <c r="C288" s="1"/>
      <c r="D288" s="1"/>
      <c r="E288" s="1"/>
      <c r="F288" s="2"/>
      <c r="G288" s="2"/>
      <c r="H288" s="2"/>
      <c r="I288" s="2"/>
      <c r="J288" s="2"/>
      <c r="K288" s="2"/>
      <c r="L288" s="2"/>
      <c r="M288" s="2"/>
      <c r="N288" s="2"/>
      <c r="O288" s="1"/>
      <c r="P288" s="1"/>
      <c r="Q288" s="1"/>
    </row>
    <row r="289">
      <c r="A289" s="1"/>
      <c r="B289" s="1"/>
      <c r="C289" s="1"/>
      <c r="D289" s="1"/>
      <c r="E289" s="1"/>
      <c r="F289" s="2"/>
      <c r="G289" s="2"/>
      <c r="H289" s="2"/>
      <c r="I289" s="2"/>
      <c r="J289" s="2"/>
      <c r="K289" s="2"/>
      <c r="L289" s="2"/>
      <c r="M289" s="2"/>
      <c r="N289" s="2"/>
      <c r="O289" s="1"/>
      <c r="P289" s="1"/>
      <c r="Q289" s="1"/>
    </row>
    <row r="290">
      <c r="A290" s="1"/>
      <c r="B290" s="1"/>
      <c r="C290" s="1"/>
      <c r="D290" s="1"/>
      <c r="E290" s="1"/>
      <c r="F290" s="2"/>
      <c r="G290" s="2"/>
      <c r="H290" s="2"/>
      <c r="I290" s="2"/>
      <c r="J290" s="2"/>
      <c r="K290" s="2"/>
      <c r="L290" s="2"/>
      <c r="M290" s="2"/>
      <c r="N290" s="2"/>
      <c r="O290" s="1"/>
      <c r="P290" s="1"/>
      <c r="Q290" s="1"/>
    </row>
    <row r="291">
      <c r="A291" s="1"/>
      <c r="B291" s="1"/>
      <c r="C291" s="1"/>
      <c r="D291" s="1"/>
      <c r="E291" s="1"/>
      <c r="F291" s="2"/>
      <c r="G291" s="2"/>
      <c r="H291" s="2"/>
      <c r="I291" s="2"/>
      <c r="J291" s="2"/>
      <c r="K291" s="2"/>
      <c r="L291" s="2"/>
      <c r="M291" s="2"/>
      <c r="N291" s="2"/>
      <c r="O291" s="1"/>
      <c r="P291" s="1"/>
      <c r="Q291" s="1"/>
    </row>
    <row r="292">
      <c r="A292" s="1"/>
      <c r="B292" s="1"/>
      <c r="C292" s="1"/>
      <c r="D292" s="1"/>
      <c r="E292" s="1"/>
      <c r="F292" s="2"/>
      <c r="G292" s="2"/>
      <c r="H292" s="2"/>
      <c r="I292" s="2"/>
      <c r="J292" s="2"/>
      <c r="K292" s="2"/>
      <c r="L292" s="2"/>
      <c r="M292" s="2"/>
      <c r="N292" s="2"/>
      <c r="O292" s="1"/>
      <c r="P292" s="1"/>
      <c r="Q292" s="1"/>
    </row>
    <row r="293">
      <c r="A293" s="1"/>
      <c r="B293" s="1"/>
      <c r="C293" s="1"/>
      <c r="D293" s="1"/>
      <c r="E293" s="1"/>
      <c r="F293" s="2"/>
      <c r="G293" s="2"/>
      <c r="H293" s="2"/>
      <c r="I293" s="2"/>
      <c r="J293" s="2"/>
      <c r="K293" s="2"/>
      <c r="L293" s="2"/>
      <c r="M293" s="2"/>
      <c r="N293" s="2"/>
      <c r="O293" s="1"/>
      <c r="P293" s="1"/>
      <c r="Q293" s="1"/>
    </row>
    <row r="294">
      <c r="A294" s="1"/>
      <c r="B294" s="1"/>
      <c r="C294" s="1"/>
      <c r="D294" s="1"/>
      <c r="E294" s="1"/>
      <c r="F294" s="2"/>
      <c r="G294" s="2"/>
      <c r="H294" s="2"/>
      <c r="I294" s="2"/>
      <c r="J294" s="2"/>
      <c r="K294" s="2"/>
      <c r="L294" s="2"/>
      <c r="M294" s="2"/>
      <c r="N294" s="2"/>
      <c r="O294" s="1"/>
      <c r="P294" s="1"/>
      <c r="Q294" s="1"/>
    </row>
    <row r="295">
      <c r="A295" s="1"/>
      <c r="B295" s="1"/>
      <c r="C295" s="1"/>
      <c r="D295" s="1"/>
      <c r="E295" s="1"/>
      <c r="F295" s="2"/>
      <c r="G295" s="2"/>
      <c r="H295" s="2"/>
      <c r="I295" s="2"/>
      <c r="J295" s="2"/>
      <c r="K295" s="2"/>
      <c r="L295" s="2"/>
      <c r="M295" s="2"/>
      <c r="N295" s="2"/>
      <c r="O295" s="1"/>
      <c r="P295" s="1"/>
      <c r="Q295" s="1"/>
    </row>
    <row r="296">
      <c r="A296" s="1"/>
      <c r="B296" s="1"/>
      <c r="C296" s="1"/>
      <c r="D296" s="1"/>
      <c r="E296" s="1"/>
      <c r="F296" s="2"/>
      <c r="G296" s="2"/>
      <c r="H296" s="2"/>
      <c r="I296" s="2"/>
      <c r="J296" s="2"/>
      <c r="K296" s="2"/>
      <c r="L296" s="2"/>
      <c r="M296" s="2"/>
      <c r="N296" s="2"/>
      <c r="O296" s="1"/>
      <c r="P296" s="1"/>
      <c r="Q296" s="1"/>
    </row>
    <row r="297">
      <c r="A297" s="1"/>
      <c r="B297" s="1"/>
      <c r="C297" s="1"/>
      <c r="D297" s="1"/>
      <c r="E297" s="1"/>
      <c r="F297" s="2"/>
      <c r="G297" s="2"/>
      <c r="H297" s="2"/>
      <c r="I297" s="2"/>
      <c r="J297" s="2"/>
      <c r="K297" s="2"/>
      <c r="L297" s="2"/>
      <c r="M297" s="2"/>
      <c r="N297" s="2"/>
      <c r="O297" s="1"/>
      <c r="P297" s="1"/>
      <c r="Q297" s="1"/>
    </row>
    <row r="298">
      <c r="A298" s="1"/>
      <c r="B298" s="1"/>
      <c r="C298" s="1"/>
      <c r="D298" s="1"/>
      <c r="E298" s="1"/>
      <c r="F298" s="2"/>
      <c r="G298" s="2"/>
      <c r="H298" s="2"/>
      <c r="I298" s="2"/>
      <c r="J298" s="2"/>
      <c r="K298" s="2"/>
      <c r="L298" s="2"/>
      <c r="M298" s="2"/>
      <c r="N298" s="2"/>
      <c r="O298" s="1"/>
      <c r="P298" s="1"/>
      <c r="Q298" s="1"/>
    </row>
    <row r="299">
      <c r="A299" s="1"/>
      <c r="B299" s="1"/>
      <c r="C299" s="1"/>
      <c r="D299" s="1"/>
      <c r="E299" s="1"/>
      <c r="F299" s="2"/>
      <c r="G299" s="2"/>
      <c r="H299" s="2"/>
      <c r="I299" s="2"/>
      <c r="J299" s="2"/>
      <c r="K299" s="2"/>
      <c r="L299" s="2"/>
      <c r="M299" s="2"/>
      <c r="N299" s="2"/>
      <c r="O299" s="1"/>
      <c r="P299" s="1"/>
      <c r="Q299" s="1"/>
    </row>
    <row r="300">
      <c r="A300" s="1"/>
      <c r="B300" s="1"/>
      <c r="C300" s="1"/>
      <c r="D300" s="1"/>
      <c r="E300" s="1"/>
      <c r="F300" s="2"/>
      <c r="G300" s="2"/>
      <c r="H300" s="2"/>
      <c r="I300" s="2"/>
      <c r="J300" s="2"/>
      <c r="K300" s="2"/>
      <c r="L300" s="2"/>
      <c r="M300" s="2"/>
      <c r="N300" s="2"/>
      <c r="O300" s="1"/>
      <c r="P300" s="1"/>
      <c r="Q300" s="1"/>
    </row>
    <row r="301">
      <c r="A301" s="1"/>
      <c r="B301" s="1"/>
      <c r="C301" s="1"/>
      <c r="D301" s="1"/>
      <c r="E301" s="1"/>
      <c r="F301" s="2"/>
      <c r="G301" s="2"/>
      <c r="H301" s="2"/>
      <c r="I301" s="2"/>
      <c r="J301" s="2"/>
      <c r="K301" s="2"/>
      <c r="L301" s="2"/>
      <c r="M301" s="2"/>
      <c r="N301" s="2"/>
      <c r="O301" s="1"/>
      <c r="P301" s="1"/>
      <c r="Q301" s="1"/>
    </row>
    <row r="302">
      <c r="A302" s="1"/>
      <c r="B302" s="1"/>
      <c r="C302" s="1"/>
      <c r="D302" s="1"/>
      <c r="E302" s="1"/>
      <c r="F302" s="2"/>
      <c r="G302" s="2"/>
      <c r="H302" s="2"/>
      <c r="I302" s="2"/>
      <c r="J302" s="2"/>
      <c r="K302" s="2"/>
      <c r="L302" s="2"/>
      <c r="M302" s="2"/>
      <c r="N302" s="2"/>
      <c r="O302" s="1"/>
      <c r="P302" s="1"/>
      <c r="Q302" s="1"/>
    </row>
    <row r="303">
      <c r="A303" s="1"/>
      <c r="B303" s="1"/>
      <c r="C303" s="1"/>
      <c r="D303" s="1"/>
      <c r="E303" s="1"/>
      <c r="F303" s="2"/>
      <c r="G303" s="2"/>
      <c r="H303" s="2"/>
      <c r="I303" s="2"/>
      <c r="J303" s="2"/>
      <c r="K303" s="2"/>
      <c r="L303" s="2"/>
      <c r="M303" s="2"/>
      <c r="N303" s="2"/>
      <c r="O303" s="1"/>
      <c r="P303" s="1"/>
      <c r="Q303" s="1"/>
    </row>
    <row r="304">
      <c r="A304" s="1"/>
      <c r="B304" s="1"/>
      <c r="C304" s="1"/>
      <c r="D304" s="1"/>
      <c r="E304" s="1"/>
      <c r="F304" s="2"/>
      <c r="G304" s="2"/>
      <c r="H304" s="2"/>
      <c r="I304" s="2"/>
      <c r="J304" s="2"/>
      <c r="K304" s="2"/>
      <c r="L304" s="2"/>
      <c r="M304" s="2"/>
      <c r="N304" s="2"/>
      <c r="O304" s="1"/>
      <c r="P304" s="1"/>
      <c r="Q304" s="1"/>
    </row>
    <row r="305">
      <c r="A305" s="1"/>
      <c r="B305" s="1"/>
      <c r="C305" s="1"/>
      <c r="D305" s="1"/>
      <c r="E305" s="1"/>
      <c r="F305" s="2"/>
      <c r="G305" s="2"/>
      <c r="H305" s="2"/>
      <c r="I305" s="2"/>
      <c r="J305" s="2"/>
      <c r="K305" s="2"/>
      <c r="L305" s="2"/>
      <c r="M305" s="2"/>
      <c r="N305" s="2"/>
      <c r="O305" s="1"/>
      <c r="P305" s="1"/>
      <c r="Q305" s="1"/>
    </row>
    <row r="306">
      <c r="A306" s="1"/>
      <c r="B306" s="1"/>
      <c r="C306" s="1"/>
      <c r="D306" s="1"/>
      <c r="E306" s="1"/>
      <c r="F306" s="2"/>
      <c r="G306" s="2"/>
      <c r="H306" s="2"/>
      <c r="I306" s="2"/>
      <c r="J306" s="2"/>
      <c r="K306" s="2"/>
      <c r="L306" s="2"/>
      <c r="M306" s="2"/>
      <c r="N306" s="2"/>
      <c r="O306" s="1"/>
      <c r="P306" s="1"/>
      <c r="Q306" s="1"/>
    </row>
    <row r="307">
      <c r="A307" s="1"/>
      <c r="B307" s="1"/>
      <c r="C307" s="1"/>
      <c r="D307" s="1"/>
      <c r="E307" s="1"/>
      <c r="F307" s="2"/>
      <c r="G307" s="2"/>
      <c r="H307" s="2"/>
      <c r="I307" s="2"/>
      <c r="J307" s="2"/>
      <c r="K307" s="2"/>
      <c r="L307" s="2"/>
      <c r="M307" s="2"/>
      <c r="N307" s="2"/>
      <c r="O307" s="1"/>
      <c r="P307" s="1"/>
      <c r="Q307" s="1"/>
    </row>
    <row r="308">
      <c r="A308" s="1"/>
      <c r="B308" s="1"/>
      <c r="C308" s="1"/>
      <c r="D308" s="1"/>
      <c r="E308" s="1"/>
      <c r="F308" s="2"/>
      <c r="G308" s="2"/>
      <c r="H308" s="2"/>
      <c r="I308" s="2"/>
      <c r="J308" s="2"/>
      <c r="K308" s="2"/>
      <c r="L308" s="2"/>
      <c r="M308" s="2"/>
      <c r="N308" s="2"/>
      <c r="O308" s="1"/>
      <c r="P308" s="1"/>
      <c r="Q308" s="1"/>
    </row>
    <row r="309">
      <c r="A309" s="1"/>
      <c r="B309" s="1"/>
      <c r="C309" s="1"/>
      <c r="D309" s="1"/>
      <c r="E309" s="1"/>
      <c r="F309" s="2"/>
      <c r="G309" s="2"/>
      <c r="H309" s="2"/>
      <c r="I309" s="2"/>
      <c r="J309" s="2"/>
      <c r="K309" s="2"/>
      <c r="L309" s="2"/>
      <c r="M309" s="2"/>
      <c r="N309" s="2"/>
      <c r="O309" s="1"/>
      <c r="P309" s="1"/>
      <c r="Q309" s="1"/>
    </row>
    <row r="310">
      <c r="A310" s="1"/>
      <c r="B310" s="1"/>
      <c r="C310" s="1"/>
      <c r="D310" s="1"/>
      <c r="E310" s="1"/>
      <c r="F310" s="2"/>
      <c r="G310" s="2"/>
      <c r="H310" s="2"/>
      <c r="I310" s="2"/>
      <c r="J310" s="2"/>
      <c r="K310" s="2"/>
      <c r="L310" s="2"/>
      <c r="M310" s="2"/>
      <c r="N310" s="2"/>
      <c r="O310" s="1"/>
      <c r="P310" s="1"/>
      <c r="Q310" s="1"/>
    </row>
    <row r="311">
      <c r="A311" s="1"/>
      <c r="B311" s="1"/>
      <c r="C311" s="1"/>
      <c r="D311" s="1"/>
      <c r="E311" s="1"/>
      <c r="F311" s="2"/>
      <c r="G311" s="2"/>
      <c r="H311" s="2"/>
      <c r="I311" s="2"/>
      <c r="J311" s="2"/>
      <c r="K311" s="2"/>
      <c r="L311" s="2"/>
      <c r="M311" s="2"/>
      <c r="N311" s="2"/>
      <c r="O311" s="1"/>
      <c r="P311" s="1"/>
      <c r="Q311" s="1"/>
    </row>
    <row r="312">
      <c r="A312" s="1"/>
      <c r="B312" s="1"/>
      <c r="C312" s="1"/>
      <c r="D312" s="1"/>
      <c r="E312" s="1"/>
      <c r="F312" s="2"/>
      <c r="G312" s="2"/>
      <c r="H312" s="2"/>
      <c r="I312" s="2"/>
      <c r="J312" s="2"/>
      <c r="K312" s="2"/>
      <c r="L312" s="2"/>
      <c r="M312" s="2"/>
      <c r="N312" s="2"/>
      <c r="O312" s="1"/>
      <c r="P312" s="1"/>
      <c r="Q312" s="1"/>
    </row>
    <row r="313">
      <c r="A313" s="1"/>
      <c r="B313" s="1"/>
      <c r="C313" s="1"/>
      <c r="D313" s="1"/>
      <c r="E313" s="1"/>
      <c r="F313" s="2"/>
      <c r="G313" s="2"/>
      <c r="H313" s="2"/>
      <c r="I313" s="2"/>
      <c r="J313" s="2"/>
      <c r="K313" s="2"/>
      <c r="L313" s="2"/>
      <c r="M313" s="2"/>
      <c r="N313" s="2"/>
      <c r="O313" s="1"/>
      <c r="P313" s="1"/>
      <c r="Q313" s="1"/>
    </row>
    <row r="314">
      <c r="A314" s="1"/>
      <c r="B314" s="1"/>
      <c r="C314" s="1"/>
      <c r="D314" s="1"/>
      <c r="E314" s="1"/>
      <c r="F314" s="2"/>
      <c r="G314" s="2"/>
      <c r="H314" s="2"/>
      <c r="I314" s="2"/>
      <c r="J314" s="2"/>
      <c r="K314" s="2"/>
      <c r="L314" s="2"/>
      <c r="M314" s="2"/>
      <c r="N314" s="2"/>
      <c r="O314" s="1"/>
      <c r="P314" s="1"/>
      <c r="Q314" s="1"/>
    </row>
    <row r="315">
      <c r="A315" s="1"/>
      <c r="B315" s="1"/>
      <c r="C315" s="1"/>
      <c r="D315" s="1"/>
      <c r="E315" s="1"/>
      <c r="F315" s="2"/>
      <c r="G315" s="2"/>
      <c r="H315" s="2"/>
      <c r="I315" s="2"/>
      <c r="J315" s="2"/>
      <c r="K315" s="2"/>
      <c r="L315" s="2"/>
      <c r="M315" s="2"/>
      <c r="N315" s="2"/>
      <c r="O315" s="1"/>
      <c r="P315" s="1"/>
      <c r="Q315" s="1"/>
    </row>
    <row r="316">
      <c r="A316" s="1"/>
      <c r="B316" s="1"/>
      <c r="C316" s="1"/>
      <c r="D316" s="1"/>
      <c r="E316" s="1"/>
      <c r="F316" s="2"/>
      <c r="G316" s="2"/>
      <c r="H316" s="2"/>
      <c r="I316" s="2"/>
      <c r="J316" s="2"/>
      <c r="K316" s="2"/>
      <c r="L316" s="2"/>
      <c r="M316" s="2"/>
      <c r="N316" s="2"/>
      <c r="O316" s="1"/>
      <c r="P316" s="1"/>
      <c r="Q316" s="1"/>
    </row>
    <row r="317">
      <c r="A317" s="1"/>
      <c r="B317" s="1"/>
      <c r="C317" s="1"/>
      <c r="D317" s="1"/>
      <c r="E317" s="1"/>
      <c r="F317" s="2"/>
      <c r="G317" s="2"/>
      <c r="H317" s="2"/>
      <c r="I317" s="2"/>
      <c r="J317" s="2"/>
      <c r="K317" s="2"/>
      <c r="L317" s="2"/>
      <c r="M317" s="2"/>
      <c r="N317" s="2"/>
      <c r="O317" s="1"/>
      <c r="P317" s="1"/>
      <c r="Q317" s="1"/>
    </row>
    <row r="318">
      <c r="A318" s="1"/>
      <c r="B318" s="1"/>
      <c r="C318" s="1"/>
      <c r="D318" s="1"/>
      <c r="E318" s="1"/>
      <c r="F318" s="2"/>
      <c r="G318" s="2"/>
      <c r="H318" s="2"/>
      <c r="I318" s="2"/>
      <c r="J318" s="2"/>
      <c r="K318" s="2"/>
      <c r="L318" s="2"/>
      <c r="M318" s="2"/>
      <c r="N318" s="2"/>
      <c r="O318" s="1"/>
      <c r="P318" s="1"/>
      <c r="Q318" s="1"/>
    </row>
    <row r="319">
      <c r="A319" s="1"/>
      <c r="B319" s="1"/>
      <c r="C319" s="1"/>
      <c r="D319" s="1"/>
      <c r="E319" s="1"/>
      <c r="F319" s="2"/>
      <c r="G319" s="2"/>
      <c r="H319" s="2"/>
      <c r="I319" s="2"/>
      <c r="J319" s="2"/>
      <c r="K319" s="2"/>
      <c r="L319" s="2"/>
      <c r="M319" s="2"/>
      <c r="N319" s="2"/>
      <c r="O319" s="1"/>
      <c r="P319" s="1"/>
      <c r="Q319" s="1"/>
    </row>
    <row r="320">
      <c r="A320" s="1"/>
      <c r="B320" s="1"/>
      <c r="C320" s="1"/>
      <c r="D320" s="1"/>
      <c r="E320" s="1"/>
      <c r="F320" s="2"/>
      <c r="G320" s="2"/>
      <c r="H320" s="2"/>
      <c r="I320" s="2"/>
      <c r="J320" s="2"/>
      <c r="K320" s="2"/>
      <c r="L320" s="2"/>
      <c r="M320" s="2"/>
      <c r="N320" s="2"/>
      <c r="O320" s="1"/>
      <c r="P320" s="1"/>
      <c r="Q320" s="1"/>
    </row>
    <row r="321">
      <c r="A321" s="1"/>
      <c r="B321" s="1"/>
      <c r="C321" s="1"/>
      <c r="D321" s="1"/>
      <c r="E321" s="1"/>
      <c r="F321" s="2"/>
      <c r="G321" s="2"/>
      <c r="H321" s="2"/>
      <c r="I321" s="2"/>
      <c r="J321" s="2"/>
      <c r="K321" s="2"/>
      <c r="L321" s="2"/>
      <c r="M321" s="2"/>
      <c r="N321" s="2"/>
      <c r="O321" s="1"/>
      <c r="P321" s="1"/>
      <c r="Q321" s="1"/>
    </row>
    <row r="322">
      <c r="A322" s="1"/>
      <c r="B322" s="1"/>
      <c r="C322" s="1"/>
      <c r="D322" s="1"/>
      <c r="E322" s="1"/>
      <c r="F322" s="2"/>
      <c r="G322" s="2"/>
      <c r="H322" s="2"/>
      <c r="I322" s="2"/>
      <c r="J322" s="2"/>
      <c r="K322" s="2"/>
      <c r="L322" s="2"/>
      <c r="M322" s="2"/>
      <c r="N322" s="2"/>
      <c r="O322" s="1"/>
      <c r="P322" s="1"/>
      <c r="Q322" s="1"/>
    </row>
    <row r="323">
      <c r="A323" s="1"/>
      <c r="B323" s="1"/>
      <c r="C323" s="1"/>
      <c r="D323" s="1"/>
      <c r="E323" s="1"/>
      <c r="F323" s="2"/>
      <c r="G323" s="2"/>
      <c r="H323" s="2"/>
      <c r="I323" s="2"/>
      <c r="J323" s="2"/>
      <c r="K323" s="2"/>
      <c r="L323" s="2"/>
      <c r="M323" s="2"/>
      <c r="N323" s="2"/>
      <c r="O323" s="1"/>
      <c r="P323" s="1"/>
      <c r="Q323" s="1"/>
    </row>
    <row r="324">
      <c r="A324" s="1"/>
      <c r="B324" s="1"/>
      <c r="C324" s="1"/>
      <c r="D324" s="1"/>
      <c r="E324" s="1"/>
      <c r="F324" s="2"/>
      <c r="G324" s="2"/>
      <c r="H324" s="2"/>
      <c r="I324" s="2"/>
      <c r="J324" s="2"/>
      <c r="K324" s="2"/>
      <c r="L324" s="2"/>
      <c r="M324" s="2"/>
      <c r="N324" s="2"/>
      <c r="O324" s="1"/>
      <c r="P324" s="1"/>
      <c r="Q324" s="1"/>
    </row>
    <row r="325">
      <c r="A325" s="1"/>
      <c r="B325" s="1"/>
      <c r="C325" s="1"/>
      <c r="D325" s="1"/>
      <c r="E325" s="1"/>
      <c r="F325" s="2"/>
      <c r="G325" s="2"/>
      <c r="H325" s="2"/>
      <c r="I325" s="2"/>
      <c r="J325" s="2"/>
      <c r="K325" s="2"/>
      <c r="L325" s="2"/>
      <c r="M325" s="2"/>
      <c r="N325" s="2"/>
      <c r="O325" s="1"/>
      <c r="P325" s="1"/>
      <c r="Q325" s="1"/>
    </row>
    <row r="326">
      <c r="A326" s="1"/>
      <c r="B326" s="1"/>
      <c r="C326" s="1"/>
      <c r="D326" s="1"/>
      <c r="E326" s="1"/>
      <c r="F326" s="2"/>
      <c r="G326" s="2"/>
      <c r="H326" s="2"/>
      <c r="I326" s="2"/>
      <c r="J326" s="2"/>
      <c r="K326" s="2"/>
      <c r="L326" s="2"/>
      <c r="M326" s="2"/>
      <c r="N326" s="2"/>
      <c r="O326" s="1"/>
      <c r="P326" s="1"/>
      <c r="Q326" s="1"/>
    </row>
    <row r="327">
      <c r="A327" s="1"/>
      <c r="B327" s="1"/>
      <c r="C327" s="1"/>
      <c r="D327" s="1"/>
      <c r="E327" s="1"/>
      <c r="F327" s="2"/>
      <c r="G327" s="2"/>
      <c r="H327" s="2"/>
      <c r="I327" s="2"/>
      <c r="J327" s="2"/>
      <c r="K327" s="2"/>
      <c r="L327" s="2"/>
      <c r="M327" s="2"/>
      <c r="N327" s="2"/>
      <c r="O327" s="1"/>
      <c r="P327" s="1"/>
      <c r="Q327" s="1"/>
    </row>
    <row r="328">
      <c r="A328" s="1"/>
      <c r="B328" s="1"/>
      <c r="C328" s="1"/>
      <c r="D328" s="1"/>
      <c r="E328" s="1"/>
      <c r="F328" s="2"/>
      <c r="G328" s="2"/>
      <c r="H328" s="2"/>
      <c r="I328" s="2"/>
      <c r="J328" s="2"/>
      <c r="K328" s="2"/>
      <c r="L328" s="2"/>
      <c r="M328" s="2"/>
      <c r="N328" s="2"/>
      <c r="O328" s="1"/>
      <c r="P328" s="1"/>
      <c r="Q328" s="1"/>
    </row>
    <row r="329">
      <c r="A329" s="1"/>
      <c r="B329" s="1"/>
      <c r="C329" s="1"/>
      <c r="D329" s="1"/>
      <c r="E329" s="1"/>
      <c r="F329" s="2"/>
      <c r="G329" s="2"/>
      <c r="H329" s="2"/>
      <c r="I329" s="2"/>
      <c r="J329" s="2"/>
      <c r="K329" s="2"/>
      <c r="L329" s="2"/>
      <c r="M329" s="2"/>
      <c r="N329" s="2"/>
      <c r="O329" s="1"/>
      <c r="P329" s="1"/>
      <c r="Q329" s="1"/>
    </row>
    <row r="330">
      <c r="A330" s="1"/>
      <c r="B330" s="1"/>
      <c r="C330" s="1"/>
      <c r="D330" s="1"/>
      <c r="E330" s="1"/>
      <c r="F330" s="2"/>
      <c r="G330" s="2"/>
      <c r="H330" s="2"/>
      <c r="I330" s="2"/>
      <c r="J330" s="2"/>
      <c r="K330" s="2"/>
      <c r="L330" s="2"/>
      <c r="M330" s="2"/>
      <c r="N330" s="2"/>
      <c r="O330" s="1"/>
      <c r="P330" s="1"/>
      <c r="Q330" s="1"/>
    </row>
    <row r="331">
      <c r="A331" s="1"/>
      <c r="B331" s="1"/>
      <c r="C331" s="1"/>
      <c r="D331" s="1"/>
      <c r="E331" s="1"/>
      <c r="F331" s="2"/>
      <c r="G331" s="2"/>
      <c r="H331" s="2"/>
      <c r="I331" s="2"/>
      <c r="J331" s="2"/>
      <c r="K331" s="2"/>
      <c r="L331" s="2"/>
      <c r="M331" s="2"/>
      <c r="N331" s="2"/>
      <c r="O331" s="1"/>
      <c r="P331" s="1"/>
      <c r="Q331" s="1"/>
    </row>
    <row r="332">
      <c r="A332" s="1"/>
      <c r="B332" s="1"/>
      <c r="C332" s="1"/>
      <c r="D332" s="1"/>
      <c r="E332" s="1"/>
      <c r="F332" s="2"/>
      <c r="G332" s="2"/>
      <c r="H332" s="2"/>
      <c r="I332" s="2"/>
      <c r="J332" s="2"/>
      <c r="K332" s="2"/>
      <c r="L332" s="2"/>
      <c r="M332" s="2"/>
      <c r="N332" s="2"/>
      <c r="O332" s="1"/>
      <c r="P332" s="1"/>
      <c r="Q332" s="1"/>
    </row>
    <row r="333">
      <c r="A333" s="1"/>
      <c r="B333" s="1"/>
      <c r="C333" s="1"/>
      <c r="D333" s="1"/>
      <c r="E333" s="1"/>
      <c r="F333" s="2"/>
      <c r="G333" s="2"/>
      <c r="H333" s="2"/>
      <c r="I333" s="2"/>
      <c r="J333" s="2"/>
      <c r="K333" s="2"/>
      <c r="L333" s="2"/>
      <c r="M333" s="2"/>
      <c r="N333" s="2"/>
      <c r="O333" s="1"/>
      <c r="P333" s="1"/>
      <c r="Q333" s="1"/>
    </row>
    <row r="334">
      <c r="A334" s="1"/>
      <c r="B334" s="1"/>
      <c r="C334" s="1"/>
      <c r="D334" s="1"/>
      <c r="E334" s="1"/>
      <c r="F334" s="2"/>
      <c r="G334" s="2"/>
      <c r="H334" s="2"/>
      <c r="I334" s="2"/>
      <c r="J334" s="2"/>
      <c r="K334" s="2"/>
      <c r="L334" s="2"/>
      <c r="M334" s="2"/>
      <c r="N334" s="2"/>
      <c r="O334" s="1"/>
      <c r="P334" s="1"/>
      <c r="Q334" s="1"/>
    </row>
    <row r="335">
      <c r="A335" s="1"/>
      <c r="B335" s="1"/>
      <c r="C335" s="1"/>
      <c r="D335" s="1"/>
      <c r="E335" s="1"/>
      <c r="F335" s="2"/>
      <c r="G335" s="2"/>
      <c r="H335" s="2"/>
      <c r="I335" s="2"/>
      <c r="J335" s="2"/>
      <c r="K335" s="2"/>
      <c r="L335" s="2"/>
      <c r="M335" s="2"/>
      <c r="N335" s="2"/>
      <c r="O335" s="1"/>
      <c r="P335" s="1"/>
      <c r="Q335" s="1"/>
    </row>
    <row r="336">
      <c r="A336" s="1"/>
      <c r="B336" s="1"/>
      <c r="C336" s="1"/>
      <c r="D336" s="1"/>
      <c r="E336" s="1"/>
      <c r="F336" s="2"/>
      <c r="G336" s="2"/>
      <c r="H336" s="2"/>
      <c r="I336" s="2"/>
      <c r="J336" s="2"/>
      <c r="K336" s="2"/>
      <c r="L336" s="2"/>
      <c r="M336" s="2"/>
      <c r="N336" s="2"/>
      <c r="O336" s="1"/>
      <c r="P336" s="1"/>
      <c r="Q336" s="1"/>
    </row>
    <row r="337">
      <c r="A337" s="1"/>
      <c r="B337" s="1"/>
      <c r="C337" s="1"/>
      <c r="D337" s="1"/>
      <c r="E337" s="1"/>
      <c r="F337" s="2"/>
      <c r="G337" s="2"/>
      <c r="H337" s="2"/>
      <c r="I337" s="2"/>
      <c r="J337" s="2"/>
      <c r="K337" s="2"/>
      <c r="L337" s="2"/>
      <c r="M337" s="2"/>
      <c r="N337" s="2"/>
      <c r="O337" s="1"/>
      <c r="P337" s="1"/>
      <c r="Q337" s="1"/>
    </row>
    <row r="338">
      <c r="A338" s="1"/>
      <c r="B338" s="1"/>
      <c r="C338" s="1"/>
      <c r="D338" s="1"/>
      <c r="E338" s="1"/>
      <c r="F338" s="2"/>
      <c r="G338" s="2"/>
      <c r="H338" s="2"/>
      <c r="I338" s="2"/>
      <c r="J338" s="2"/>
      <c r="K338" s="2"/>
      <c r="L338" s="2"/>
      <c r="M338" s="2"/>
      <c r="N338" s="2"/>
      <c r="O338" s="1"/>
      <c r="P338" s="1"/>
      <c r="Q338" s="1"/>
    </row>
    <row r="339">
      <c r="A339" s="1"/>
      <c r="B339" s="1"/>
      <c r="C339" s="1"/>
      <c r="D339" s="1"/>
      <c r="E339" s="1"/>
      <c r="F339" s="2"/>
      <c r="G339" s="2"/>
      <c r="H339" s="2"/>
      <c r="I339" s="2"/>
      <c r="J339" s="2"/>
      <c r="K339" s="2"/>
      <c r="L339" s="2"/>
      <c r="M339" s="2"/>
      <c r="N339" s="2"/>
      <c r="O339" s="1"/>
      <c r="P339" s="1"/>
      <c r="Q339" s="1"/>
    </row>
    <row r="340">
      <c r="A340" s="1"/>
      <c r="B340" s="1"/>
      <c r="C340" s="1"/>
      <c r="D340" s="1"/>
      <c r="E340" s="1"/>
      <c r="F340" s="2"/>
      <c r="G340" s="2"/>
      <c r="H340" s="2"/>
      <c r="I340" s="2"/>
      <c r="J340" s="2"/>
      <c r="K340" s="2"/>
      <c r="L340" s="2"/>
      <c r="M340" s="2"/>
      <c r="N340" s="2"/>
      <c r="O340" s="1"/>
      <c r="P340" s="1"/>
      <c r="Q340" s="1"/>
    </row>
    <row r="341">
      <c r="A341" s="1"/>
      <c r="B341" s="1"/>
      <c r="C341" s="1"/>
      <c r="D341" s="1"/>
      <c r="E341" s="1"/>
      <c r="F341" s="2"/>
      <c r="G341" s="2"/>
      <c r="H341" s="2"/>
      <c r="I341" s="2"/>
      <c r="J341" s="2"/>
      <c r="K341" s="2"/>
      <c r="L341" s="2"/>
      <c r="M341" s="2"/>
      <c r="N341" s="2"/>
      <c r="O341" s="1"/>
      <c r="P341" s="1"/>
      <c r="Q341" s="1"/>
    </row>
    <row r="342">
      <c r="A342" s="1"/>
      <c r="B342" s="1"/>
      <c r="C342" s="1"/>
      <c r="D342" s="1"/>
      <c r="E342" s="1"/>
      <c r="F342" s="2"/>
      <c r="G342" s="2"/>
      <c r="H342" s="2"/>
      <c r="I342" s="2"/>
      <c r="J342" s="2"/>
      <c r="K342" s="2"/>
      <c r="L342" s="2"/>
      <c r="M342" s="2"/>
      <c r="N342" s="2"/>
      <c r="O342" s="1"/>
      <c r="P342" s="1"/>
      <c r="Q342" s="1"/>
    </row>
    <row r="343">
      <c r="A343" s="1"/>
      <c r="B343" s="1"/>
      <c r="C343" s="1"/>
      <c r="D343" s="1"/>
      <c r="E343" s="1"/>
      <c r="F343" s="2"/>
      <c r="G343" s="2"/>
      <c r="H343" s="2"/>
      <c r="I343" s="2"/>
      <c r="J343" s="2"/>
      <c r="K343" s="2"/>
      <c r="L343" s="2"/>
      <c r="M343" s="2"/>
      <c r="N343" s="2"/>
      <c r="O343" s="1"/>
      <c r="P343" s="1"/>
      <c r="Q343" s="1"/>
    </row>
    <row r="344">
      <c r="A344" s="1"/>
      <c r="B344" s="1"/>
      <c r="C344" s="1"/>
      <c r="D344" s="1"/>
      <c r="E344" s="1"/>
      <c r="F344" s="2"/>
      <c r="G344" s="2"/>
      <c r="H344" s="2"/>
      <c r="I344" s="2"/>
      <c r="J344" s="2"/>
      <c r="K344" s="2"/>
      <c r="L344" s="2"/>
      <c r="M344" s="2"/>
      <c r="N344" s="2"/>
      <c r="O344" s="1"/>
      <c r="P344" s="1"/>
      <c r="Q344" s="1"/>
    </row>
    <row r="345">
      <c r="A345" s="1"/>
      <c r="B345" s="1"/>
      <c r="C345" s="1"/>
      <c r="D345" s="1"/>
      <c r="E345" s="1"/>
      <c r="F345" s="2"/>
      <c r="G345" s="2"/>
      <c r="H345" s="2"/>
      <c r="I345" s="2"/>
      <c r="J345" s="2"/>
      <c r="K345" s="2"/>
      <c r="L345" s="2"/>
      <c r="M345" s="2"/>
      <c r="N345" s="2"/>
      <c r="O345" s="1"/>
      <c r="P345" s="1"/>
      <c r="Q345" s="1"/>
    </row>
    <row r="346">
      <c r="A346" s="1"/>
      <c r="B346" s="1"/>
      <c r="C346" s="1"/>
      <c r="D346" s="1"/>
      <c r="E346" s="1"/>
      <c r="F346" s="2"/>
      <c r="G346" s="2"/>
      <c r="H346" s="2"/>
      <c r="I346" s="2"/>
      <c r="J346" s="2"/>
      <c r="K346" s="2"/>
      <c r="L346" s="2"/>
      <c r="M346" s="2"/>
      <c r="N346" s="2"/>
      <c r="O346" s="1"/>
      <c r="P346" s="1"/>
      <c r="Q346" s="1"/>
    </row>
    <row r="347">
      <c r="A347" s="1"/>
      <c r="B347" s="1"/>
      <c r="C347" s="1"/>
      <c r="D347" s="1"/>
      <c r="E347" s="1"/>
      <c r="F347" s="2"/>
      <c r="G347" s="2"/>
      <c r="H347" s="2"/>
      <c r="I347" s="2"/>
      <c r="J347" s="2"/>
      <c r="K347" s="2"/>
      <c r="L347" s="2"/>
      <c r="M347" s="2"/>
      <c r="N347" s="2"/>
      <c r="O347" s="1"/>
      <c r="P347" s="1"/>
      <c r="Q347" s="1"/>
    </row>
    <row r="348">
      <c r="A348" s="1"/>
      <c r="B348" s="1"/>
      <c r="C348" s="1"/>
      <c r="D348" s="1"/>
      <c r="E348" s="1"/>
      <c r="F348" s="2"/>
      <c r="G348" s="2"/>
      <c r="H348" s="2"/>
      <c r="I348" s="2"/>
      <c r="J348" s="2"/>
      <c r="K348" s="2"/>
      <c r="L348" s="2"/>
      <c r="M348" s="2"/>
      <c r="N348" s="2"/>
      <c r="O348" s="1"/>
      <c r="P348" s="1"/>
      <c r="Q348" s="1"/>
    </row>
    <row r="349">
      <c r="A349" s="1"/>
      <c r="B349" s="1"/>
      <c r="C349" s="1"/>
      <c r="D349" s="1"/>
      <c r="E349" s="1"/>
      <c r="F349" s="2"/>
      <c r="G349" s="2"/>
      <c r="H349" s="2"/>
      <c r="I349" s="2"/>
      <c r="J349" s="2"/>
      <c r="K349" s="2"/>
      <c r="L349" s="2"/>
      <c r="M349" s="2"/>
      <c r="N349" s="2"/>
      <c r="O349" s="1"/>
      <c r="P349" s="1"/>
      <c r="Q349" s="1"/>
    </row>
    <row r="350">
      <c r="A350" s="1"/>
      <c r="B350" s="1"/>
      <c r="C350" s="1"/>
      <c r="D350" s="1"/>
      <c r="E350" s="1"/>
      <c r="F350" s="2"/>
      <c r="G350" s="2"/>
      <c r="H350" s="2"/>
      <c r="I350" s="2"/>
      <c r="J350" s="2"/>
      <c r="K350" s="2"/>
      <c r="L350" s="2"/>
      <c r="M350" s="2"/>
      <c r="N350" s="2"/>
      <c r="O350" s="1"/>
      <c r="P350" s="1"/>
      <c r="Q350" s="1"/>
    </row>
    <row r="351">
      <c r="A351" s="1"/>
      <c r="B351" s="1"/>
      <c r="C351" s="1"/>
      <c r="D351" s="1"/>
      <c r="E351" s="1"/>
      <c r="F351" s="2"/>
      <c r="G351" s="2"/>
      <c r="H351" s="2"/>
      <c r="I351" s="2"/>
      <c r="J351" s="2"/>
      <c r="K351" s="2"/>
      <c r="L351" s="2"/>
      <c r="M351" s="2"/>
      <c r="N351" s="2"/>
      <c r="O351" s="1"/>
      <c r="P351" s="1"/>
      <c r="Q351" s="1"/>
    </row>
    <row r="352">
      <c r="A352" s="1"/>
      <c r="B352" s="1"/>
      <c r="C352" s="1"/>
      <c r="D352" s="1"/>
      <c r="E352" s="1"/>
      <c r="F352" s="2"/>
      <c r="G352" s="2"/>
      <c r="H352" s="2"/>
      <c r="I352" s="2"/>
      <c r="J352" s="2"/>
      <c r="K352" s="2"/>
      <c r="L352" s="2"/>
      <c r="M352" s="2"/>
      <c r="N352" s="2"/>
      <c r="O352" s="1"/>
      <c r="P352" s="1"/>
      <c r="Q352" s="1"/>
    </row>
    <row r="353">
      <c r="A353" s="1"/>
      <c r="B353" s="1"/>
      <c r="C353" s="1"/>
      <c r="D353" s="1"/>
      <c r="E353" s="1"/>
      <c r="F353" s="2"/>
      <c r="G353" s="2"/>
      <c r="H353" s="2"/>
      <c r="I353" s="2"/>
      <c r="J353" s="2"/>
      <c r="K353" s="2"/>
      <c r="L353" s="2"/>
      <c r="M353" s="2"/>
      <c r="N353" s="2"/>
      <c r="O353" s="1"/>
      <c r="P353" s="1"/>
      <c r="Q353" s="1"/>
    </row>
    <row r="354">
      <c r="A354" s="1"/>
      <c r="B354" s="1"/>
      <c r="C354" s="1"/>
      <c r="D354" s="1"/>
      <c r="E354" s="1"/>
      <c r="F354" s="2"/>
      <c r="G354" s="2"/>
      <c r="H354" s="2"/>
      <c r="I354" s="2"/>
      <c r="J354" s="2"/>
      <c r="K354" s="2"/>
      <c r="L354" s="2"/>
      <c r="M354" s="2"/>
      <c r="N354" s="2"/>
      <c r="O354" s="1"/>
      <c r="P354" s="1"/>
      <c r="Q354" s="1"/>
    </row>
    <row r="355">
      <c r="A355" s="1"/>
      <c r="B355" s="1"/>
      <c r="C355" s="1"/>
      <c r="D355" s="1"/>
      <c r="E355" s="1"/>
      <c r="F355" s="2"/>
      <c r="G355" s="2"/>
      <c r="H355" s="2"/>
      <c r="I355" s="2"/>
      <c r="J355" s="2"/>
      <c r="K355" s="2"/>
      <c r="L355" s="2"/>
      <c r="M355" s="2"/>
      <c r="N355" s="2"/>
      <c r="O355" s="1"/>
      <c r="P355" s="1"/>
      <c r="Q355" s="1"/>
    </row>
    <row r="356">
      <c r="A356" s="1"/>
      <c r="B356" s="1"/>
      <c r="C356" s="1"/>
      <c r="D356" s="1"/>
      <c r="E356" s="1"/>
      <c r="F356" s="2"/>
      <c r="G356" s="2"/>
      <c r="H356" s="2"/>
      <c r="I356" s="2"/>
      <c r="J356" s="2"/>
      <c r="K356" s="2"/>
      <c r="L356" s="2"/>
      <c r="M356" s="2"/>
      <c r="N356" s="2"/>
      <c r="O356" s="1"/>
      <c r="P356" s="1"/>
      <c r="Q356" s="1"/>
    </row>
    <row r="357">
      <c r="A357" s="1"/>
      <c r="B357" s="1"/>
      <c r="C357" s="1"/>
      <c r="D357" s="1"/>
      <c r="E357" s="1"/>
      <c r="F357" s="2"/>
      <c r="G357" s="2"/>
      <c r="H357" s="2"/>
      <c r="I357" s="2"/>
      <c r="J357" s="2"/>
      <c r="K357" s="2"/>
      <c r="L357" s="2"/>
      <c r="M357" s="2"/>
      <c r="N357" s="2"/>
      <c r="O357" s="1"/>
      <c r="P357" s="1"/>
      <c r="Q357" s="1"/>
    </row>
    <row r="358">
      <c r="A358" s="1"/>
      <c r="B358" s="1"/>
      <c r="C358" s="1"/>
      <c r="D358" s="1"/>
      <c r="E358" s="1"/>
      <c r="F358" s="2"/>
      <c r="G358" s="2"/>
      <c r="H358" s="2"/>
      <c r="I358" s="2"/>
      <c r="J358" s="2"/>
      <c r="K358" s="2"/>
      <c r="L358" s="2"/>
      <c r="M358" s="2"/>
      <c r="N358" s="2"/>
      <c r="O358" s="1"/>
      <c r="P358" s="1"/>
      <c r="Q358" s="1"/>
    </row>
    <row r="359">
      <c r="A359" s="1"/>
      <c r="B359" s="1"/>
      <c r="C359" s="1"/>
      <c r="D359" s="1"/>
      <c r="E359" s="1"/>
      <c r="F359" s="2"/>
      <c r="G359" s="2"/>
      <c r="H359" s="2"/>
      <c r="I359" s="2"/>
      <c r="J359" s="2"/>
      <c r="K359" s="2"/>
      <c r="L359" s="2"/>
      <c r="M359" s="2"/>
      <c r="N359" s="2"/>
      <c r="O359" s="1"/>
      <c r="P359" s="1"/>
      <c r="Q359" s="1"/>
    </row>
    <row r="360">
      <c r="A360" s="1"/>
      <c r="B360" s="1"/>
      <c r="C360" s="1"/>
      <c r="D360" s="1"/>
      <c r="E360" s="1"/>
      <c r="F360" s="2"/>
      <c r="G360" s="2"/>
      <c r="H360" s="2"/>
      <c r="I360" s="2"/>
      <c r="J360" s="2"/>
      <c r="K360" s="2"/>
      <c r="L360" s="2"/>
      <c r="M360" s="2"/>
      <c r="N360" s="2"/>
      <c r="O360" s="1"/>
      <c r="P360" s="1"/>
      <c r="Q360" s="1"/>
    </row>
    <row r="361">
      <c r="A361" s="1"/>
      <c r="B361" s="1"/>
      <c r="C361" s="1"/>
      <c r="D361" s="1"/>
      <c r="E361" s="1"/>
      <c r="F361" s="2"/>
      <c r="G361" s="2"/>
      <c r="H361" s="2"/>
      <c r="I361" s="2"/>
      <c r="J361" s="2"/>
      <c r="K361" s="2"/>
      <c r="L361" s="2"/>
      <c r="M361" s="2"/>
      <c r="N361" s="2"/>
      <c r="O361" s="1"/>
      <c r="P361" s="1"/>
      <c r="Q361" s="1"/>
    </row>
    <row r="362">
      <c r="A362" s="1"/>
      <c r="B362" s="1"/>
      <c r="C362" s="1"/>
      <c r="D362" s="1"/>
      <c r="E362" s="1"/>
      <c r="F362" s="2"/>
      <c r="G362" s="2"/>
      <c r="H362" s="2"/>
      <c r="I362" s="2"/>
      <c r="J362" s="2"/>
      <c r="K362" s="2"/>
      <c r="L362" s="2"/>
      <c r="M362" s="2"/>
      <c r="N362" s="2"/>
      <c r="O362" s="1"/>
      <c r="P362" s="1"/>
      <c r="Q362" s="1"/>
    </row>
    <row r="363">
      <c r="A363" s="1"/>
      <c r="B363" s="1"/>
      <c r="C363" s="1"/>
      <c r="D363" s="1"/>
      <c r="E363" s="1"/>
      <c r="F363" s="2"/>
      <c r="G363" s="2"/>
      <c r="H363" s="2"/>
      <c r="I363" s="2"/>
      <c r="J363" s="2"/>
      <c r="K363" s="2"/>
      <c r="L363" s="2"/>
      <c r="M363" s="2"/>
      <c r="N363" s="2"/>
      <c r="O363" s="1"/>
      <c r="P363" s="1"/>
      <c r="Q363" s="1"/>
    </row>
    <row r="364">
      <c r="A364" s="1"/>
      <c r="B364" s="1"/>
      <c r="C364" s="1"/>
      <c r="D364" s="1"/>
      <c r="E364" s="1"/>
      <c r="F364" s="2"/>
      <c r="G364" s="2"/>
      <c r="H364" s="2"/>
      <c r="I364" s="2"/>
      <c r="J364" s="2"/>
      <c r="K364" s="2"/>
      <c r="L364" s="2"/>
      <c r="M364" s="2"/>
      <c r="N364" s="2"/>
      <c r="O364" s="1"/>
      <c r="P364" s="1"/>
      <c r="Q364" s="1"/>
    </row>
    <row r="365">
      <c r="A365" s="1"/>
      <c r="B365" s="1"/>
      <c r="C365" s="1"/>
      <c r="D365" s="1"/>
      <c r="E365" s="1"/>
      <c r="F365" s="2"/>
      <c r="G365" s="2"/>
      <c r="H365" s="2"/>
      <c r="I365" s="2"/>
      <c r="J365" s="2"/>
      <c r="K365" s="2"/>
      <c r="L365" s="2"/>
      <c r="M365" s="2"/>
      <c r="N365" s="2"/>
      <c r="O365" s="1"/>
      <c r="P365" s="1"/>
      <c r="Q365" s="1"/>
    </row>
    <row r="366">
      <c r="A366" s="1"/>
      <c r="B366" s="1"/>
      <c r="C366" s="1"/>
      <c r="D366" s="1"/>
      <c r="E366" s="1"/>
      <c r="F366" s="2"/>
      <c r="G366" s="2"/>
      <c r="H366" s="2"/>
      <c r="I366" s="2"/>
      <c r="J366" s="2"/>
      <c r="K366" s="2"/>
      <c r="L366" s="2"/>
      <c r="M366" s="2"/>
      <c r="N366" s="2"/>
      <c r="O366" s="1"/>
      <c r="P366" s="1"/>
      <c r="Q366" s="1"/>
    </row>
    <row r="367">
      <c r="A367" s="1"/>
      <c r="B367" s="1"/>
      <c r="C367" s="1"/>
      <c r="D367" s="1"/>
      <c r="E367" s="1"/>
      <c r="F367" s="2"/>
      <c r="G367" s="2"/>
      <c r="H367" s="2"/>
      <c r="I367" s="2"/>
      <c r="J367" s="2"/>
      <c r="K367" s="2"/>
      <c r="L367" s="2"/>
      <c r="M367" s="2"/>
      <c r="N367" s="2"/>
      <c r="O367" s="1"/>
      <c r="P367" s="1"/>
      <c r="Q367" s="1"/>
    </row>
    <row r="368">
      <c r="A368" s="1"/>
      <c r="B368" s="1"/>
      <c r="C368" s="1"/>
      <c r="D368" s="1"/>
      <c r="E368" s="1"/>
      <c r="F368" s="2"/>
      <c r="G368" s="2"/>
      <c r="H368" s="2"/>
      <c r="I368" s="2"/>
      <c r="J368" s="2"/>
      <c r="K368" s="2"/>
      <c r="L368" s="2"/>
      <c r="M368" s="2"/>
      <c r="N368" s="2"/>
      <c r="O368" s="1"/>
      <c r="P368" s="1"/>
      <c r="Q368" s="1"/>
    </row>
    <row r="369">
      <c r="A369" s="1"/>
      <c r="B369" s="1"/>
      <c r="C369" s="1"/>
      <c r="D369" s="1"/>
      <c r="E369" s="1"/>
      <c r="F369" s="2"/>
      <c r="G369" s="2"/>
      <c r="H369" s="2"/>
      <c r="I369" s="2"/>
      <c r="J369" s="2"/>
      <c r="K369" s="2"/>
      <c r="L369" s="2"/>
      <c r="M369" s="2"/>
      <c r="N369" s="2"/>
      <c r="O369" s="1"/>
      <c r="P369" s="1"/>
      <c r="Q369" s="1"/>
    </row>
    <row r="370">
      <c r="A370" s="1"/>
      <c r="B370" s="1"/>
      <c r="C370" s="1"/>
      <c r="D370" s="1"/>
      <c r="E370" s="1"/>
      <c r="F370" s="2"/>
      <c r="G370" s="2"/>
      <c r="H370" s="2"/>
      <c r="I370" s="2"/>
      <c r="J370" s="2"/>
      <c r="K370" s="2"/>
      <c r="L370" s="2"/>
      <c r="M370" s="2"/>
      <c r="N370" s="2"/>
      <c r="O370" s="1"/>
      <c r="P370" s="1"/>
      <c r="Q370" s="1"/>
    </row>
    <row r="371">
      <c r="A371" s="1"/>
      <c r="B371" s="1"/>
      <c r="C371" s="1"/>
      <c r="D371" s="1"/>
      <c r="E371" s="1"/>
      <c r="F371" s="2"/>
      <c r="G371" s="2"/>
      <c r="H371" s="2"/>
      <c r="I371" s="2"/>
      <c r="J371" s="2"/>
      <c r="K371" s="2"/>
      <c r="L371" s="2"/>
      <c r="M371" s="2"/>
      <c r="N371" s="2"/>
      <c r="O371" s="1"/>
      <c r="P371" s="1"/>
      <c r="Q371" s="1"/>
    </row>
    <row r="372">
      <c r="A372" s="1"/>
      <c r="B372" s="1"/>
      <c r="C372" s="1"/>
      <c r="D372" s="1"/>
      <c r="E372" s="1"/>
      <c r="F372" s="2"/>
      <c r="G372" s="2"/>
      <c r="H372" s="2"/>
      <c r="I372" s="2"/>
      <c r="J372" s="2"/>
      <c r="K372" s="2"/>
      <c r="L372" s="2"/>
      <c r="M372" s="2"/>
      <c r="N372" s="2"/>
      <c r="O372" s="1"/>
      <c r="P372" s="1"/>
      <c r="Q372" s="1"/>
    </row>
    <row r="373">
      <c r="A373" s="1"/>
      <c r="B373" s="1"/>
      <c r="C373" s="1"/>
      <c r="D373" s="1"/>
      <c r="E373" s="1"/>
      <c r="F373" s="2"/>
      <c r="G373" s="2"/>
      <c r="H373" s="2"/>
      <c r="I373" s="2"/>
      <c r="J373" s="2"/>
      <c r="K373" s="2"/>
      <c r="L373" s="2"/>
      <c r="M373" s="2"/>
      <c r="N373" s="2"/>
      <c r="O373" s="1"/>
      <c r="P373" s="1"/>
      <c r="Q373" s="1"/>
    </row>
    <row r="374">
      <c r="A374" s="1"/>
      <c r="B374" s="1"/>
      <c r="C374" s="1"/>
      <c r="D374" s="1"/>
      <c r="E374" s="1"/>
      <c r="F374" s="2"/>
      <c r="G374" s="2"/>
      <c r="H374" s="2"/>
      <c r="I374" s="2"/>
      <c r="J374" s="2"/>
      <c r="K374" s="2"/>
      <c r="L374" s="2"/>
      <c r="M374" s="2"/>
      <c r="N374" s="2"/>
      <c r="O374" s="1"/>
      <c r="P374" s="1"/>
      <c r="Q374" s="1"/>
    </row>
    <row r="375">
      <c r="A375" s="1"/>
      <c r="B375" s="1"/>
      <c r="C375" s="1"/>
      <c r="D375" s="1"/>
      <c r="E375" s="1"/>
      <c r="F375" s="2"/>
      <c r="G375" s="2"/>
      <c r="H375" s="2"/>
      <c r="I375" s="2"/>
      <c r="J375" s="2"/>
      <c r="K375" s="2"/>
      <c r="L375" s="2"/>
      <c r="M375" s="2"/>
      <c r="N375" s="2"/>
      <c r="O375" s="1"/>
      <c r="P375" s="1"/>
      <c r="Q375" s="1"/>
    </row>
    <row r="376">
      <c r="A376" s="1"/>
      <c r="B376" s="1"/>
      <c r="C376" s="1"/>
      <c r="D376" s="1"/>
      <c r="E376" s="1"/>
      <c r="F376" s="2"/>
      <c r="G376" s="2"/>
      <c r="H376" s="2"/>
      <c r="I376" s="2"/>
      <c r="J376" s="2"/>
      <c r="K376" s="2"/>
      <c r="L376" s="2"/>
      <c r="M376" s="2"/>
      <c r="N376" s="2"/>
      <c r="O376" s="1"/>
      <c r="P376" s="1"/>
      <c r="Q376" s="1"/>
    </row>
    <row r="377">
      <c r="A377" s="1"/>
      <c r="B377" s="1"/>
      <c r="C377" s="1"/>
      <c r="D377" s="1"/>
      <c r="E377" s="1"/>
      <c r="F377" s="2"/>
      <c r="G377" s="2"/>
      <c r="H377" s="2"/>
      <c r="I377" s="2"/>
      <c r="J377" s="2"/>
      <c r="K377" s="2"/>
      <c r="L377" s="2"/>
      <c r="M377" s="2"/>
      <c r="N377" s="2"/>
      <c r="O377" s="1"/>
      <c r="P377" s="1"/>
      <c r="Q377" s="1"/>
    </row>
    <row r="378">
      <c r="A378" s="1"/>
      <c r="B378" s="1"/>
      <c r="C378" s="1"/>
      <c r="D378" s="1"/>
      <c r="E378" s="1"/>
      <c r="F378" s="2"/>
      <c r="G378" s="2"/>
      <c r="H378" s="2"/>
      <c r="I378" s="2"/>
      <c r="J378" s="2"/>
      <c r="K378" s="2"/>
      <c r="L378" s="2"/>
      <c r="M378" s="2"/>
      <c r="N378" s="2"/>
      <c r="O378" s="1"/>
      <c r="P378" s="1"/>
      <c r="Q378" s="1"/>
    </row>
    <row r="379">
      <c r="A379" s="1"/>
      <c r="B379" s="1"/>
      <c r="C379" s="1"/>
      <c r="D379" s="1"/>
      <c r="E379" s="1"/>
      <c r="F379" s="2"/>
      <c r="G379" s="2"/>
      <c r="H379" s="2"/>
      <c r="I379" s="2"/>
      <c r="J379" s="2"/>
      <c r="K379" s="2"/>
      <c r="L379" s="2"/>
      <c r="M379" s="2"/>
      <c r="N379" s="2"/>
      <c r="O379" s="1"/>
      <c r="P379" s="1"/>
      <c r="Q379" s="1"/>
    </row>
    <row r="380">
      <c r="A380" s="1"/>
      <c r="B380" s="1"/>
      <c r="C380" s="1"/>
      <c r="D380" s="1"/>
      <c r="E380" s="1"/>
      <c r="F380" s="2"/>
      <c r="G380" s="2"/>
      <c r="H380" s="2"/>
      <c r="I380" s="2"/>
      <c r="J380" s="2"/>
      <c r="K380" s="2"/>
      <c r="L380" s="2"/>
      <c r="M380" s="2"/>
      <c r="N380" s="2"/>
      <c r="O380" s="1"/>
      <c r="P380" s="1"/>
      <c r="Q380" s="1"/>
    </row>
    <row r="381">
      <c r="A381" s="1"/>
      <c r="B381" s="1"/>
      <c r="C381" s="1"/>
      <c r="D381" s="1"/>
      <c r="E381" s="1"/>
      <c r="F381" s="2"/>
      <c r="G381" s="2"/>
      <c r="H381" s="2"/>
      <c r="I381" s="2"/>
      <c r="J381" s="2"/>
      <c r="K381" s="2"/>
      <c r="L381" s="2"/>
      <c r="M381" s="2"/>
      <c r="N381" s="2"/>
      <c r="O381" s="1"/>
      <c r="P381" s="1"/>
      <c r="Q381" s="1"/>
    </row>
    <row r="382">
      <c r="A382" s="1"/>
      <c r="B382" s="1"/>
      <c r="C382" s="1"/>
      <c r="D382" s="1"/>
      <c r="E382" s="1"/>
      <c r="F382" s="2"/>
      <c r="G382" s="2"/>
      <c r="H382" s="2"/>
      <c r="I382" s="2"/>
      <c r="J382" s="2"/>
      <c r="K382" s="2"/>
      <c r="L382" s="2"/>
      <c r="M382" s="2"/>
      <c r="N382" s="2"/>
      <c r="O382" s="1"/>
      <c r="P382" s="1"/>
      <c r="Q382" s="1"/>
    </row>
    <row r="383">
      <c r="A383" s="1"/>
      <c r="B383" s="1"/>
      <c r="C383" s="1"/>
      <c r="D383" s="1"/>
      <c r="E383" s="1"/>
      <c r="F383" s="2"/>
      <c r="G383" s="2"/>
      <c r="H383" s="2"/>
      <c r="I383" s="2"/>
      <c r="J383" s="2"/>
      <c r="K383" s="2"/>
      <c r="L383" s="2"/>
      <c r="M383" s="2"/>
      <c r="N383" s="2"/>
      <c r="O383" s="1"/>
      <c r="P383" s="1"/>
      <c r="Q383" s="1"/>
    </row>
    <row r="384">
      <c r="A384" s="1"/>
      <c r="B384" s="1"/>
      <c r="C384" s="1"/>
      <c r="D384" s="1"/>
      <c r="E384" s="1"/>
      <c r="F384" s="2"/>
      <c r="G384" s="2"/>
      <c r="H384" s="2"/>
      <c r="I384" s="2"/>
      <c r="J384" s="2"/>
      <c r="K384" s="2"/>
      <c r="L384" s="2"/>
      <c r="M384" s="2"/>
      <c r="N384" s="2"/>
      <c r="O384" s="1"/>
      <c r="P384" s="1"/>
      <c r="Q384" s="1"/>
    </row>
    <row r="385">
      <c r="A385" s="1"/>
      <c r="B385" s="1"/>
      <c r="C385" s="1"/>
      <c r="D385" s="1"/>
      <c r="E385" s="1"/>
      <c r="F385" s="2"/>
      <c r="G385" s="2"/>
      <c r="H385" s="2"/>
      <c r="I385" s="2"/>
      <c r="J385" s="2"/>
      <c r="K385" s="2"/>
      <c r="L385" s="2"/>
      <c r="M385" s="2"/>
      <c r="N385" s="2"/>
      <c r="O385" s="1"/>
      <c r="P385" s="1"/>
      <c r="Q385" s="1"/>
    </row>
    <row r="386">
      <c r="A386" s="1"/>
      <c r="B386" s="1"/>
      <c r="C386" s="1"/>
      <c r="D386" s="1"/>
      <c r="E386" s="1"/>
      <c r="F386" s="2"/>
      <c r="G386" s="2"/>
      <c r="H386" s="2"/>
      <c r="I386" s="2"/>
      <c r="J386" s="2"/>
      <c r="K386" s="2"/>
      <c r="L386" s="2"/>
      <c r="M386" s="2"/>
      <c r="N386" s="2"/>
      <c r="O386" s="1"/>
      <c r="P386" s="1"/>
      <c r="Q386" s="1"/>
    </row>
    <row r="387">
      <c r="A387" s="1"/>
      <c r="B387" s="1"/>
      <c r="C387" s="1"/>
      <c r="D387" s="1"/>
      <c r="E387" s="1"/>
      <c r="F387" s="2"/>
      <c r="G387" s="2"/>
      <c r="H387" s="2"/>
      <c r="I387" s="2"/>
      <c r="J387" s="2"/>
      <c r="K387" s="2"/>
      <c r="L387" s="2"/>
      <c r="M387" s="2"/>
      <c r="N387" s="2"/>
      <c r="O387" s="1"/>
      <c r="P387" s="1"/>
      <c r="Q387" s="1"/>
    </row>
    <row r="388">
      <c r="A388" s="1"/>
      <c r="B388" s="1"/>
      <c r="C388" s="1"/>
      <c r="D388" s="1"/>
      <c r="E388" s="1"/>
      <c r="F388" s="2"/>
      <c r="G388" s="2"/>
      <c r="H388" s="2"/>
      <c r="I388" s="2"/>
      <c r="J388" s="2"/>
      <c r="K388" s="2"/>
      <c r="L388" s="2"/>
      <c r="M388" s="2"/>
      <c r="N388" s="2"/>
      <c r="O388" s="1"/>
      <c r="P388" s="1"/>
      <c r="Q388" s="1"/>
    </row>
    <row r="389">
      <c r="A389" s="1"/>
      <c r="B389" s="1"/>
      <c r="C389" s="1"/>
      <c r="D389" s="1"/>
      <c r="E389" s="1"/>
      <c r="F389" s="2"/>
      <c r="G389" s="2"/>
      <c r="H389" s="2"/>
      <c r="I389" s="2"/>
      <c r="J389" s="2"/>
      <c r="K389" s="2"/>
      <c r="L389" s="2"/>
      <c r="M389" s="2"/>
      <c r="N389" s="2"/>
      <c r="O389" s="1"/>
      <c r="P389" s="1"/>
      <c r="Q389" s="1"/>
    </row>
    <row r="390">
      <c r="A390" s="1"/>
      <c r="B390" s="1"/>
      <c r="C390" s="1"/>
      <c r="D390" s="1"/>
      <c r="E390" s="1"/>
      <c r="F390" s="2"/>
      <c r="G390" s="2"/>
      <c r="H390" s="2"/>
      <c r="I390" s="2"/>
      <c r="J390" s="2"/>
      <c r="K390" s="2"/>
      <c r="L390" s="2"/>
      <c r="M390" s="2"/>
      <c r="N390" s="2"/>
      <c r="O390" s="1"/>
      <c r="P390" s="1"/>
      <c r="Q390" s="1"/>
    </row>
    <row r="391">
      <c r="A391" s="1"/>
      <c r="B391" s="1"/>
      <c r="C391" s="1"/>
      <c r="D391" s="1"/>
      <c r="E391" s="1"/>
      <c r="F391" s="2"/>
      <c r="G391" s="2"/>
      <c r="H391" s="2"/>
      <c r="I391" s="2"/>
      <c r="J391" s="2"/>
      <c r="K391" s="2"/>
      <c r="L391" s="2"/>
      <c r="M391" s="2"/>
      <c r="N391" s="2"/>
      <c r="O391" s="1"/>
      <c r="P391" s="1"/>
      <c r="Q391" s="1"/>
    </row>
    <row r="392">
      <c r="A392" s="1"/>
      <c r="B392" s="1"/>
      <c r="C392" s="1"/>
      <c r="D392" s="1"/>
      <c r="E392" s="1"/>
      <c r="F392" s="2"/>
      <c r="G392" s="2"/>
      <c r="H392" s="2"/>
      <c r="I392" s="2"/>
      <c r="J392" s="2"/>
      <c r="K392" s="2"/>
      <c r="L392" s="2"/>
      <c r="M392" s="2"/>
      <c r="N392" s="2"/>
      <c r="O392" s="1"/>
      <c r="P392" s="1"/>
      <c r="Q392" s="1"/>
    </row>
    <row r="393">
      <c r="A393" s="1"/>
      <c r="B393" s="1"/>
      <c r="C393" s="1"/>
      <c r="D393" s="1"/>
      <c r="E393" s="1"/>
      <c r="F393" s="2"/>
      <c r="G393" s="2"/>
      <c r="H393" s="2"/>
      <c r="I393" s="2"/>
      <c r="J393" s="2"/>
      <c r="K393" s="2"/>
      <c r="L393" s="2"/>
      <c r="M393" s="2"/>
      <c r="N393" s="2"/>
      <c r="O393" s="1"/>
      <c r="P393" s="1"/>
      <c r="Q393" s="1"/>
    </row>
    <row r="394">
      <c r="A394" s="1"/>
      <c r="B394" s="1"/>
      <c r="C394" s="1"/>
      <c r="D394" s="1"/>
      <c r="E394" s="1"/>
      <c r="F394" s="2"/>
      <c r="G394" s="2"/>
      <c r="H394" s="2"/>
      <c r="I394" s="2"/>
      <c r="J394" s="2"/>
      <c r="K394" s="2"/>
      <c r="L394" s="2"/>
      <c r="M394" s="2"/>
      <c r="N394" s="2"/>
      <c r="O394" s="1"/>
      <c r="P394" s="1"/>
      <c r="Q394" s="1"/>
    </row>
    <row r="395">
      <c r="A395" s="1"/>
      <c r="B395" s="1"/>
      <c r="C395" s="1"/>
      <c r="D395" s="1"/>
      <c r="E395" s="1"/>
      <c r="F395" s="2"/>
      <c r="G395" s="2"/>
      <c r="H395" s="2"/>
      <c r="I395" s="2"/>
      <c r="J395" s="2"/>
      <c r="K395" s="2"/>
      <c r="L395" s="2"/>
      <c r="M395" s="2"/>
      <c r="N395" s="2"/>
      <c r="O395" s="1"/>
      <c r="P395" s="1"/>
      <c r="Q395" s="1"/>
    </row>
    <row r="396">
      <c r="A396" s="1"/>
      <c r="B396" s="1"/>
      <c r="C396" s="1"/>
      <c r="D396" s="1"/>
      <c r="E396" s="1"/>
      <c r="F396" s="2"/>
      <c r="G396" s="2"/>
      <c r="H396" s="2"/>
      <c r="I396" s="2"/>
      <c r="J396" s="2"/>
      <c r="K396" s="2"/>
      <c r="L396" s="2"/>
      <c r="M396" s="2"/>
      <c r="N396" s="2"/>
      <c r="O396" s="1"/>
      <c r="P396" s="1"/>
      <c r="Q396" s="1"/>
    </row>
    <row r="397">
      <c r="A397" s="1"/>
      <c r="B397" s="1"/>
      <c r="C397" s="1"/>
      <c r="D397" s="1"/>
      <c r="E397" s="1"/>
      <c r="F397" s="2"/>
      <c r="G397" s="2"/>
      <c r="H397" s="2"/>
      <c r="I397" s="2"/>
      <c r="J397" s="2"/>
      <c r="K397" s="2"/>
      <c r="L397" s="2"/>
      <c r="M397" s="2"/>
      <c r="N397" s="2"/>
      <c r="O397" s="1"/>
      <c r="P397" s="1"/>
      <c r="Q397" s="1"/>
    </row>
    <row r="398">
      <c r="A398" s="1"/>
      <c r="B398" s="1"/>
      <c r="C398" s="1"/>
      <c r="D398" s="1"/>
      <c r="E398" s="1"/>
      <c r="F398" s="2"/>
      <c r="G398" s="2"/>
      <c r="H398" s="2"/>
      <c r="I398" s="2"/>
      <c r="J398" s="2"/>
      <c r="K398" s="2"/>
      <c r="L398" s="2"/>
      <c r="M398" s="2"/>
      <c r="N398" s="2"/>
      <c r="O398" s="1"/>
      <c r="P398" s="1"/>
      <c r="Q398" s="1"/>
    </row>
    <row r="399">
      <c r="A399" s="1"/>
      <c r="B399" s="1"/>
      <c r="C399" s="1"/>
      <c r="D399" s="1"/>
      <c r="E399" s="1"/>
      <c r="F399" s="2"/>
      <c r="G399" s="2"/>
      <c r="H399" s="2"/>
      <c r="I399" s="2"/>
      <c r="J399" s="2"/>
      <c r="K399" s="2"/>
      <c r="L399" s="2"/>
      <c r="M399" s="2"/>
      <c r="N399" s="2"/>
      <c r="O399" s="1"/>
      <c r="P399" s="1"/>
      <c r="Q399" s="1"/>
    </row>
    <row r="400">
      <c r="A400" s="1"/>
      <c r="B400" s="1"/>
      <c r="C400" s="1"/>
      <c r="D400" s="1"/>
      <c r="E400" s="1"/>
      <c r="F400" s="2"/>
      <c r="G400" s="2"/>
      <c r="H400" s="2"/>
      <c r="I400" s="2"/>
      <c r="J400" s="2"/>
      <c r="K400" s="2"/>
      <c r="L400" s="2"/>
      <c r="M400" s="2"/>
      <c r="N400" s="2"/>
      <c r="O400" s="1"/>
      <c r="P400" s="1"/>
      <c r="Q400" s="1"/>
    </row>
    <row r="401">
      <c r="A401" s="1"/>
      <c r="B401" s="1"/>
      <c r="C401" s="1"/>
      <c r="D401" s="1"/>
      <c r="E401" s="1"/>
      <c r="F401" s="2"/>
      <c r="G401" s="2"/>
      <c r="H401" s="2"/>
      <c r="I401" s="2"/>
      <c r="J401" s="2"/>
      <c r="K401" s="2"/>
      <c r="L401" s="2"/>
      <c r="M401" s="2"/>
      <c r="N401" s="2"/>
      <c r="O401" s="1"/>
      <c r="P401" s="1"/>
      <c r="Q401" s="1"/>
    </row>
    <row r="402">
      <c r="A402" s="1"/>
      <c r="B402" s="1"/>
      <c r="C402" s="1"/>
      <c r="D402" s="1"/>
      <c r="E402" s="1"/>
      <c r="F402" s="2"/>
      <c r="G402" s="2"/>
      <c r="H402" s="2"/>
      <c r="I402" s="2"/>
      <c r="J402" s="2"/>
      <c r="K402" s="2"/>
      <c r="L402" s="2"/>
      <c r="M402" s="2"/>
      <c r="N402" s="2"/>
      <c r="O402" s="1"/>
      <c r="P402" s="1"/>
      <c r="Q402" s="1"/>
    </row>
    <row r="403">
      <c r="A403" s="1"/>
      <c r="B403" s="1"/>
      <c r="C403" s="1"/>
      <c r="D403" s="1"/>
      <c r="E403" s="1"/>
      <c r="F403" s="2"/>
      <c r="G403" s="2"/>
      <c r="H403" s="2"/>
      <c r="I403" s="2"/>
      <c r="J403" s="2"/>
      <c r="K403" s="2"/>
      <c r="L403" s="2"/>
      <c r="M403" s="2"/>
      <c r="N403" s="2"/>
      <c r="O403" s="1"/>
      <c r="P403" s="1"/>
      <c r="Q403" s="1"/>
    </row>
    <row r="404">
      <c r="A404" s="1"/>
      <c r="B404" s="1"/>
      <c r="C404" s="1"/>
      <c r="D404" s="1"/>
      <c r="E404" s="1"/>
      <c r="F404" s="2"/>
      <c r="G404" s="2"/>
      <c r="H404" s="2"/>
      <c r="I404" s="2"/>
      <c r="J404" s="2"/>
      <c r="K404" s="2"/>
      <c r="L404" s="2"/>
      <c r="M404" s="2"/>
      <c r="N404" s="2"/>
      <c r="O404" s="1"/>
      <c r="P404" s="1"/>
      <c r="Q404" s="1"/>
    </row>
    <row r="405">
      <c r="A405" s="1"/>
      <c r="B405" s="1"/>
      <c r="C405" s="1"/>
      <c r="D405" s="1"/>
      <c r="E405" s="1"/>
      <c r="F405" s="2"/>
      <c r="G405" s="2"/>
      <c r="H405" s="2"/>
      <c r="I405" s="2"/>
      <c r="J405" s="2"/>
      <c r="K405" s="2"/>
      <c r="L405" s="2"/>
      <c r="M405" s="2"/>
      <c r="N405" s="2"/>
      <c r="O405" s="1"/>
      <c r="P405" s="1"/>
      <c r="Q405" s="1"/>
    </row>
    <row r="406">
      <c r="A406" s="1"/>
      <c r="B406" s="1"/>
      <c r="C406" s="1"/>
      <c r="D406" s="1"/>
      <c r="E406" s="1"/>
      <c r="F406" s="2"/>
      <c r="G406" s="2"/>
      <c r="H406" s="2"/>
      <c r="I406" s="2"/>
      <c r="J406" s="2"/>
      <c r="K406" s="2"/>
      <c r="L406" s="2"/>
      <c r="M406" s="2"/>
      <c r="N406" s="2"/>
      <c r="O406" s="1"/>
      <c r="P406" s="1"/>
      <c r="Q406" s="1"/>
    </row>
    <row r="407">
      <c r="A407" s="1"/>
      <c r="B407" s="1"/>
      <c r="C407" s="1"/>
      <c r="D407" s="1"/>
      <c r="E407" s="1"/>
      <c r="F407" s="2"/>
      <c r="G407" s="2"/>
      <c r="H407" s="2"/>
      <c r="I407" s="2"/>
      <c r="J407" s="2"/>
      <c r="K407" s="2"/>
      <c r="L407" s="2"/>
      <c r="M407" s="2"/>
      <c r="N407" s="2"/>
      <c r="O407" s="1"/>
      <c r="P407" s="1"/>
      <c r="Q407" s="1"/>
    </row>
    <row r="408">
      <c r="A408" s="1"/>
      <c r="B408" s="1"/>
      <c r="C408" s="1"/>
      <c r="D408" s="1"/>
      <c r="E408" s="1"/>
      <c r="F408" s="2"/>
      <c r="G408" s="2"/>
      <c r="H408" s="2"/>
      <c r="I408" s="2"/>
      <c r="J408" s="2"/>
      <c r="K408" s="2"/>
      <c r="L408" s="2"/>
      <c r="M408" s="2"/>
      <c r="N408" s="2"/>
      <c r="O408" s="1"/>
      <c r="P408" s="1"/>
      <c r="Q408" s="1"/>
    </row>
    <row r="409">
      <c r="A409" s="1"/>
      <c r="B409" s="1"/>
      <c r="C409" s="1"/>
      <c r="D409" s="1"/>
      <c r="E409" s="1"/>
      <c r="F409" s="2"/>
      <c r="G409" s="2"/>
      <c r="H409" s="2"/>
      <c r="I409" s="2"/>
      <c r="J409" s="2"/>
      <c r="K409" s="2"/>
      <c r="L409" s="2"/>
      <c r="M409" s="2"/>
      <c r="N409" s="2"/>
      <c r="O409" s="1"/>
      <c r="P409" s="1"/>
      <c r="Q409" s="1"/>
    </row>
    <row r="410">
      <c r="A410" s="1"/>
      <c r="B410" s="1"/>
      <c r="C410" s="1"/>
      <c r="D410" s="1"/>
      <c r="E410" s="1"/>
      <c r="F410" s="2"/>
      <c r="G410" s="2"/>
      <c r="H410" s="2"/>
      <c r="I410" s="2"/>
      <c r="J410" s="2"/>
      <c r="K410" s="2"/>
      <c r="L410" s="2"/>
      <c r="M410" s="2"/>
      <c r="N410" s="2"/>
      <c r="O410" s="1"/>
      <c r="P410" s="1"/>
      <c r="Q410" s="1"/>
    </row>
    <row r="411">
      <c r="A411" s="1"/>
      <c r="B411" s="1"/>
      <c r="C411" s="1"/>
      <c r="D411" s="1"/>
      <c r="E411" s="1"/>
      <c r="F411" s="2"/>
      <c r="G411" s="2"/>
      <c r="H411" s="2"/>
      <c r="I411" s="2"/>
      <c r="J411" s="2"/>
      <c r="K411" s="2"/>
      <c r="L411" s="2"/>
      <c r="M411" s="2"/>
      <c r="N411" s="2"/>
      <c r="O411" s="1"/>
      <c r="P411" s="1"/>
      <c r="Q411" s="1"/>
    </row>
    <row r="412">
      <c r="A412" s="1"/>
      <c r="B412" s="1"/>
      <c r="C412" s="1"/>
      <c r="D412" s="1"/>
      <c r="E412" s="1"/>
      <c r="F412" s="2"/>
      <c r="G412" s="2"/>
      <c r="H412" s="2"/>
      <c r="I412" s="2"/>
      <c r="J412" s="2"/>
      <c r="K412" s="2"/>
      <c r="L412" s="2"/>
      <c r="M412" s="2"/>
      <c r="N412" s="2"/>
      <c r="O412" s="1"/>
      <c r="P412" s="1"/>
      <c r="Q412" s="1"/>
    </row>
    <row r="413">
      <c r="A413" s="1"/>
      <c r="B413" s="1"/>
      <c r="C413" s="1"/>
      <c r="D413" s="1"/>
      <c r="E413" s="1"/>
      <c r="F413" s="2"/>
      <c r="G413" s="2"/>
      <c r="H413" s="2"/>
      <c r="I413" s="2"/>
      <c r="J413" s="2"/>
      <c r="K413" s="2"/>
      <c r="L413" s="2"/>
      <c r="M413" s="2"/>
      <c r="N413" s="2"/>
      <c r="O413" s="1"/>
      <c r="P413" s="1"/>
      <c r="Q413" s="1"/>
    </row>
    <row r="414">
      <c r="A414" s="1"/>
      <c r="B414" s="1"/>
      <c r="C414" s="1"/>
      <c r="D414" s="1"/>
      <c r="E414" s="1"/>
      <c r="F414" s="2"/>
      <c r="G414" s="2"/>
      <c r="H414" s="2"/>
      <c r="I414" s="2"/>
      <c r="J414" s="2"/>
      <c r="K414" s="2"/>
      <c r="L414" s="2"/>
      <c r="M414" s="2"/>
      <c r="N414" s="2"/>
      <c r="O414" s="1"/>
      <c r="P414" s="1"/>
      <c r="Q414" s="1"/>
    </row>
    <row r="415">
      <c r="A415" s="1"/>
      <c r="B415" s="1"/>
      <c r="C415" s="1"/>
      <c r="D415" s="1"/>
      <c r="E415" s="1"/>
      <c r="F415" s="2"/>
      <c r="G415" s="2"/>
      <c r="H415" s="2"/>
      <c r="I415" s="2"/>
      <c r="J415" s="2"/>
      <c r="K415" s="2"/>
      <c r="L415" s="2"/>
      <c r="M415" s="2"/>
      <c r="N415" s="2"/>
      <c r="O415" s="1"/>
      <c r="P415" s="1"/>
      <c r="Q415" s="1"/>
    </row>
    <row r="416">
      <c r="A416" s="1"/>
      <c r="B416" s="1"/>
      <c r="C416" s="1"/>
      <c r="D416" s="1"/>
      <c r="E416" s="1"/>
      <c r="F416" s="2"/>
      <c r="G416" s="2"/>
      <c r="H416" s="2"/>
      <c r="I416" s="2"/>
      <c r="J416" s="2"/>
      <c r="K416" s="2"/>
      <c r="L416" s="2"/>
      <c r="M416" s="2"/>
      <c r="N416" s="2"/>
      <c r="O416" s="1"/>
      <c r="P416" s="1"/>
      <c r="Q416" s="1"/>
    </row>
    <row r="417">
      <c r="A417" s="1"/>
      <c r="B417" s="1"/>
      <c r="C417" s="1"/>
      <c r="D417" s="1"/>
      <c r="E417" s="1"/>
      <c r="F417" s="2"/>
      <c r="G417" s="2"/>
      <c r="H417" s="2"/>
      <c r="I417" s="2"/>
      <c r="J417" s="2"/>
      <c r="K417" s="2"/>
      <c r="L417" s="2"/>
      <c r="M417" s="2"/>
      <c r="N417" s="2"/>
      <c r="O417" s="1"/>
      <c r="P417" s="1"/>
      <c r="Q417" s="1"/>
    </row>
    <row r="418">
      <c r="A418" s="1"/>
      <c r="B418" s="1"/>
      <c r="C418" s="1"/>
      <c r="D418" s="1"/>
      <c r="E418" s="1"/>
      <c r="F418" s="2"/>
      <c r="G418" s="2"/>
      <c r="H418" s="2"/>
      <c r="I418" s="2"/>
      <c r="J418" s="2"/>
      <c r="K418" s="2"/>
      <c r="L418" s="2"/>
      <c r="M418" s="2"/>
      <c r="N418" s="2"/>
      <c r="O418" s="1"/>
      <c r="P418" s="1"/>
      <c r="Q418" s="1"/>
    </row>
    <row r="419">
      <c r="A419" s="1"/>
      <c r="B419" s="1"/>
      <c r="C419" s="1"/>
      <c r="D419" s="1"/>
      <c r="E419" s="1"/>
      <c r="F419" s="2"/>
      <c r="G419" s="2"/>
      <c r="H419" s="2"/>
      <c r="I419" s="2"/>
      <c r="J419" s="2"/>
      <c r="K419" s="2"/>
      <c r="L419" s="2"/>
      <c r="M419" s="2"/>
      <c r="N419" s="2"/>
      <c r="O419" s="1"/>
      <c r="P419" s="1"/>
      <c r="Q419" s="1"/>
    </row>
    <row r="420">
      <c r="A420" s="1"/>
      <c r="B420" s="1"/>
      <c r="C420" s="1"/>
      <c r="D420" s="1"/>
      <c r="E420" s="1"/>
      <c r="F420" s="2"/>
      <c r="G420" s="2"/>
      <c r="H420" s="2"/>
      <c r="I420" s="2"/>
      <c r="J420" s="2"/>
      <c r="K420" s="2"/>
      <c r="L420" s="2"/>
      <c r="M420" s="2"/>
      <c r="N420" s="2"/>
      <c r="O420" s="1"/>
      <c r="P420" s="1"/>
      <c r="Q420" s="1"/>
    </row>
    <row r="421">
      <c r="A421" s="1"/>
      <c r="B421" s="1"/>
      <c r="C421" s="1"/>
      <c r="D421" s="1"/>
      <c r="E421" s="1"/>
      <c r="F421" s="2"/>
      <c r="G421" s="2"/>
      <c r="H421" s="2"/>
      <c r="I421" s="2"/>
      <c r="J421" s="2"/>
      <c r="K421" s="2"/>
      <c r="L421" s="2"/>
      <c r="M421" s="2"/>
      <c r="N421" s="2"/>
      <c r="O421" s="1"/>
      <c r="P421" s="1"/>
      <c r="Q421" s="1"/>
    </row>
    <row r="422">
      <c r="A422" s="1"/>
      <c r="B422" s="1"/>
      <c r="C422" s="1"/>
      <c r="D422" s="1"/>
      <c r="E422" s="1"/>
      <c r="F422" s="2"/>
      <c r="G422" s="2"/>
      <c r="H422" s="2"/>
      <c r="I422" s="2"/>
      <c r="J422" s="2"/>
      <c r="K422" s="2"/>
      <c r="L422" s="2"/>
      <c r="M422" s="2"/>
      <c r="N422" s="2"/>
      <c r="O422" s="1"/>
      <c r="P422" s="1"/>
      <c r="Q422" s="1"/>
    </row>
    <row r="423">
      <c r="A423" s="1"/>
      <c r="B423" s="1"/>
      <c r="C423" s="1"/>
      <c r="D423" s="1"/>
      <c r="E423" s="1"/>
      <c r="F423" s="2"/>
      <c r="G423" s="2"/>
      <c r="H423" s="2"/>
      <c r="I423" s="2"/>
      <c r="J423" s="2"/>
      <c r="K423" s="2"/>
      <c r="L423" s="2"/>
      <c r="M423" s="2"/>
      <c r="N423" s="2"/>
      <c r="O423" s="1"/>
      <c r="P423" s="1"/>
      <c r="Q423" s="1"/>
    </row>
    <row r="424">
      <c r="A424" s="1"/>
      <c r="B424" s="1"/>
      <c r="C424" s="1"/>
      <c r="D424" s="1"/>
      <c r="E424" s="1"/>
      <c r="F424" s="2"/>
      <c r="G424" s="2"/>
      <c r="H424" s="2"/>
      <c r="I424" s="2"/>
      <c r="J424" s="2"/>
      <c r="K424" s="2"/>
      <c r="L424" s="2"/>
      <c r="M424" s="2"/>
      <c r="N424" s="2"/>
      <c r="O424" s="1"/>
      <c r="P424" s="1"/>
      <c r="Q424" s="1"/>
    </row>
    <row r="425">
      <c r="A425" s="1"/>
      <c r="B425" s="1"/>
      <c r="C425" s="1"/>
      <c r="D425" s="1"/>
      <c r="E425" s="1"/>
      <c r="F425" s="2"/>
      <c r="G425" s="2"/>
      <c r="H425" s="2"/>
      <c r="I425" s="2"/>
      <c r="J425" s="2"/>
      <c r="K425" s="2"/>
      <c r="L425" s="2"/>
      <c r="M425" s="2"/>
      <c r="N425" s="2"/>
      <c r="O425" s="1"/>
      <c r="P425" s="1"/>
      <c r="Q425" s="1"/>
    </row>
    <row r="426">
      <c r="A426" s="1"/>
      <c r="B426" s="1"/>
      <c r="C426" s="1"/>
      <c r="D426" s="1"/>
      <c r="E426" s="1"/>
      <c r="F426" s="2"/>
      <c r="G426" s="2"/>
      <c r="H426" s="2"/>
      <c r="I426" s="2"/>
      <c r="J426" s="2"/>
      <c r="K426" s="2"/>
      <c r="L426" s="2"/>
      <c r="M426" s="2"/>
      <c r="N426" s="2"/>
      <c r="O426" s="1"/>
      <c r="P426" s="1"/>
      <c r="Q426" s="1"/>
    </row>
    <row r="427">
      <c r="A427" s="1"/>
      <c r="B427" s="1"/>
      <c r="C427" s="1"/>
      <c r="D427" s="1"/>
      <c r="E427" s="1"/>
      <c r="F427" s="2"/>
      <c r="G427" s="2"/>
      <c r="H427" s="2"/>
      <c r="I427" s="2"/>
      <c r="J427" s="2"/>
      <c r="K427" s="2"/>
      <c r="L427" s="2"/>
      <c r="M427" s="2"/>
      <c r="N427" s="2"/>
      <c r="O427" s="1"/>
      <c r="P427" s="1"/>
      <c r="Q427" s="1"/>
    </row>
    <row r="428">
      <c r="A428" s="1"/>
      <c r="B428" s="1"/>
      <c r="C428" s="1"/>
      <c r="D428" s="1"/>
      <c r="E428" s="1"/>
      <c r="F428" s="2"/>
      <c r="G428" s="2"/>
      <c r="H428" s="2"/>
      <c r="I428" s="2"/>
      <c r="J428" s="2"/>
      <c r="K428" s="2"/>
      <c r="L428" s="2"/>
      <c r="M428" s="2"/>
      <c r="N428" s="2"/>
      <c r="O428" s="1"/>
      <c r="P428" s="1"/>
      <c r="Q428" s="1"/>
    </row>
    <row r="429">
      <c r="A429" s="1"/>
      <c r="B429" s="1"/>
      <c r="C429" s="1"/>
      <c r="D429" s="1"/>
      <c r="E429" s="1"/>
      <c r="F429" s="2"/>
      <c r="G429" s="2"/>
      <c r="H429" s="2"/>
      <c r="I429" s="2"/>
      <c r="J429" s="2"/>
      <c r="K429" s="2"/>
      <c r="L429" s="2"/>
      <c r="M429" s="2"/>
      <c r="N429" s="2"/>
      <c r="O429" s="1"/>
      <c r="P429" s="1"/>
      <c r="Q429" s="1"/>
    </row>
    <row r="430">
      <c r="A430" s="1"/>
      <c r="B430" s="1"/>
      <c r="C430" s="1"/>
      <c r="D430" s="1"/>
      <c r="E430" s="1"/>
      <c r="F430" s="2"/>
      <c r="G430" s="2"/>
      <c r="H430" s="2"/>
      <c r="I430" s="2"/>
      <c r="J430" s="2"/>
      <c r="K430" s="2"/>
      <c r="L430" s="2"/>
      <c r="M430" s="2"/>
      <c r="N430" s="2"/>
      <c r="O430" s="1"/>
      <c r="P430" s="1"/>
      <c r="Q430" s="1"/>
    </row>
    <row r="431">
      <c r="A431" s="1"/>
      <c r="B431" s="1"/>
      <c r="C431" s="1"/>
      <c r="D431" s="1"/>
      <c r="E431" s="1"/>
      <c r="F431" s="2"/>
      <c r="G431" s="2"/>
      <c r="H431" s="2"/>
      <c r="I431" s="2"/>
      <c r="J431" s="2"/>
      <c r="K431" s="2"/>
      <c r="L431" s="2"/>
      <c r="M431" s="2"/>
      <c r="N431" s="2"/>
      <c r="O431" s="1"/>
      <c r="P431" s="1"/>
      <c r="Q431" s="1"/>
    </row>
    <row r="432">
      <c r="A432" s="1"/>
      <c r="B432" s="1"/>
      <c r="C432" s="1"/>
      <c r="D432" s="1"/>
      <c r="E432" s="1"/>
      <c r="F432" s="2"/>
      <c r="G432" s="2"/>
      <c r="H432" s="2"/>
      <c r="I432" s="2"/>
      <c r="J432" s="2"/>
      <c r="K432" s="2"/>
      <c r="L432" s="2"/>
      <c r="M432" s="2"/>
      <c r="N432" s="2"/>
      <c r="O432" s="1"/>
      <c r="P432" s="1"/>
      <c r="Q432" s="1"/>
    </row>
    <row r="433">
      <c r="A433" s="1"/>
      <c r="B433" s="1"/>
      <c r="C433" s="1"/>
      <c r="D433" s="1"/>
      <c r="E433" s="1"/>
      <c r="F433" s="2"/>
      <c r="G433" s="2"/>
      <c r="H433" s="2"/>
      <c r="I433" s="2"/>
      <c r="J433" s="2"/>
      <c r="K433" s="2"/>
      <c r="L433" s="2"/>
      <c r="M433" s="2"/>
      <c r="N433" s="2"/>
      <c r="O433" s="1"/>
      <c r="P433" s="1"/>
      <c r="Q433" s="1"/>
    </row>
    <row r="434">
      <c r="A434" s="1"/>
      <c r="B434" s="1"/>
      <c r="C434" s="1"/>
      <c r="D434" s="1"/>
      <c r="E434" s="1"/>
      <c r="F434" s="2"/>
      <c r="G434" s="2"/>
      <c r="H434" s="2"/>
      <c r="I434" s="2"/>
      <c r="J434" s="2"/>
      <c r="K434" s="2"/>
      <c r="L434" s="2"/>
      <c r="M434" s="2"/>
      <c r="N434" s="2"/>
      <c r="O434" s="1"/>
      <c r="P434" s="1"/>
      <c r="Q434" s="1"/>
    </row>
    <row r="435">
      <c r="A435" s="1"/>
      <c r="B435" s="1"/>
      <c r="C435" s="1"/>
      <c r="D435" s="1"/>
      <c r="E435" s="1"/>
      <c r="F435" s="2"/>
      <c r="G435" s="2"/>
      <c r="H435" s="2"/>
      <c r="I435" s="2"/>
      <c r="J435" s="2"/>
      <c r="K435" s="2"/>
      <c r="L435" s="2"/>
      <c r="M435" s="2"/>
      <c r="N435" s="2"/>
      <c r="O435" s="1"/>
      <c r="P435" s="1"/>
      <c r="Q435" s="1"/>
    </row>
    <row r="436">
      <c r="A436" s="1"/>
      <c r="B436" s="1"/>
      <c r="C436" s="1"/>
      <c r="D436" s="1"/>
      <c r="E436" s="1"/>
      <c r="F436" s="2"/>
      <c r="G436" s="2"/>
      <c r="H436" s="2"/>
      <c r="I436" s="2"/>
      <c r="J436" s="2"/>
      <c r="K436" s="2"/>
      <c r="L436" s="2"/>
      <c r="M436" s="2"/>
      <c r="N436" s="2"/>
      <c r="O436" s="1"/>
      <c r="P436" s="1"/>
      <c r="Q436" s="1"/>
    </row>
    <row r="437">
      <c r="A437" s="1"/>
      <c r="B437" s="1"/>
      <c r="C437" s="1"/>
      <c r="D437" s="1"/>
      <c r="E437" s="1"/>
      <c r="F437" s="2"/>
      <c r="G437" s="2"/>
      <c r="H437" s="2"/>
      <c r="I437" s="2"/>
      <c r="J437" s="2"/>
      <c r="K437" s="2"/>
      <c r="L437" s="2"/>
      <c r="M437" s="2"/>
      <c r="N437" s="2"/>
      <c r="O437" s="1"/>
      <c r="P437" s="1"/>
      <c r="Q437" s="1"/>
    </row>
    <row r="438">
      <c r="A438" s="1"/>
      <c r="B438" s="1"/>
      <c r="C438" s="1"/>
      <c r="D438" s="1"/>
      <c r="E438" s="1"/>
      <c r="F438" s="2"/>
      <c r="G438" s="2"/>
      <c r="H438" s="2"/>
      <c r="I438" s="2"/>
      <c r="J438" s="2"/>
      <c r="K438" s="2"/>
      <c r="L438" s="2"/>
      <c r="M438" s="2"/>
      <c r="N438" s="2"/>
      <c r="O438" s="1"/>
      <c r="P438" s="1"/>
      <c r="Q438" s="1"/>
    </row>
    <row r="439">
      <c r="A439" s="1"/>
      <c r="B439" s="1"/>
      <c r="C439" s="1"/>
      <c r="D439" s="1"/>
      <c r="E439" s="1"/>
      <c r="F439" s="2"/>
      <c r="G439" s="2"/>
      <c r="H439" s="2"/>
      <c r="I439" s="2"/>
      <c r="J439" s="2"/>
      <c r="K439" s="2"/>
      <c r="L439" s="2"/>
      <c r="M439" s="2"/>
      <c r="N439" s="2"/>
      <c r="O439" s="1"/>
      <c r="P439" s="1"/>
      <c r="Q439" s="1"/>
    </row>
    <row r="440">
      <c r="A440" s="1"/>
      <c r="B440" s="1"/>
      <c r="C440" s="1"/>
      <c r="D440" s="1"/>
      <c r="E440" s="1"/>
      <c r="F440" s="2"/>
      <c r="G440" s="2"/>
      <c r="H440" s="2"/>
      <c r="I440" s="2"/>
      <c r="J440" s="2"/>
      <c r="K440" s="2"/>
      <c r="L440" s="2"/>
      <c r="M440" s="2"/>
      <c r="N440" s="2"/>
      <c r="O440" s="1"/>
      <c r="P440" s="1"/>
      <c r="Q440" s="1"/>
    </row>
    <row r="441">
      <c r="A441" s="1"/>
      <c r="B441" s="1"/>
      <c r="C441" s="1"/>
      <c r="D441" s="1"/>
      <c r="E441" s="1"/>
      <c r="F441" s="2"/>
      <c r="G441" s="2"/>
      <c r="H441" s="2"/>
      <c r="I441" s="2"/>
      <c r="J441" s="2"/>
      <c r="K441" s="2"/>
      <c r="L441" s="2"/>
      <c r="M441" s="2"/>
      <c r="N441" s="2"/>
      <c r="O441" s="1"/>
      <c r="P441" s="1"/>
      <c r="Q441" s="1"/>
    </row>
    <row r="442">
      <c r="A442" s="1"/>
      <c r="B442" s="1"/>
      <c r="C442" s="1"/>
      <c r="D442" s="1"/>
      <c r="E442" s="1"/>
      <c r="F442" s="2"/>
      <c r="G442" s="2"/>
      <c r="H442" s="2"/>
      <c r="I442" s="2"/>
      <c r="J442" s="2"/>
      <c r="K442" s="2"/>
      <c r="L442" s="2"/>
      <c r="M442" s="2"/>
      <c r="N442" s="2"/>
      <c r="O442" s="1"/>
      <c r="P442" s="1"/>
      <c r="Q442" s="1"/>
    </row>
    <row r="443">
      <c r="A443" s="1"/>
      <c r="B443" s="1"/>
      <c r="C443" s="1"/>
      <c r="D443" s="1"/>
      <c r="E443" s="1"/>
      <c r="F443" s="2"/>
      <c r="G443" s="2"/>
      <c r="H443" s="2"/>
      <c r="I443" s="2"/>
      <c r="J443" s="2"/>
      <c r="K443" s="2"/>
      <c r="L443" s="2"/>
      <c r="M443" s="2"/>
      <c r="N443" s="2"/>
      <c r="O443" s="1"/>
      <c r="P443" s="1"/>
      <c r="Q443" s="1"/>
    </row>
    <row r="444">
      <c r="A444" s="1"/>
      <c r="B444" s="1"/>
      <c r="C444" s="1"/>
      <c r="D444" s="1"/>
      <c r="E444" s="1"/>
      <c r="F444" s="2"/>
      <c r="G444" s="2"/>
      <c r="H444" s="2"/>
      <c r="I444" s="2"/>
      <c r="J444" s="2"/>
      <c r="K444" s="2"/>
      <c r="L444" s="2"/>
      <c r="M444" s="2"/>
      <c r="N444" s="2"/>
      <c r="O444" s="1"/>
      <c r="P444" s="1"/>
      <c r="Q444" s="1"/>
    </row>
    <row r="445">
      <c r="A445" s="1"/>
      <c r="B445" s="1"/>
      <c r="C445" s="1"/>
      <c r="D445" s="1"/>
      <c r="E445" s="1"/>
      <c r="F445" s="2"/>
      <c r="G445" s="2"/>
      <c r="H445" s="2"/>
      <c r="I445" s="2"/>
      <c r="J445" s="2"/>
      <c r="K445" s="2"/>
      <c r="L445" s="2"/>
      <c r="M445" s="2"/>
      <c r="N445" s="2"/>
      <c r="O445" s="1"/>
      <c r="P445" s="1"/>
      <c r="Q445" s="1"/>
    </row>
    <row r="446">
      <c r="A446" s="1"/>
      <c r="B446" s="1"/>
      <c r="C446" s="1"/>
      <c r="D446" s="1"/>
      <c r="E446" s="1"/>
      <c r="F446" s="2"/>
      <c r="G446" s="2"/>
      <c r="H446" s="2"/>
      <c r="I446" s="2"/>
      <c r="J446" s="2"/>
      <c r="K446" s="2"/>
      <c r="L446" s="2"/>
      <c r="M446" s="2"/>
      <c r="N446" s="2"/>
      <c r="O446" s="1"/>
      <c r="P446" s="1"/>
      <c r="Q446" s="1"/>
    </row>
    <row r="447">
      <c r="A447" s="1"/>
      <c r="B447" s="1"/>
      <c r="C447" s="1"/>
      <c r="D447" s="1"/>
      <c r="E447" s="1"/>
      <c r="F447" s="2"/>
      <c r="G447" s="2"/>
      <c r="H447" s="2"/>
      <c r="I447" s="2"/>
      <c r="J447" s="2"/>
      <c r="K447" s="2"/>
      <c r="L447" s="2"/>
      <c r="M447" s="2"/>
      <c r="N447" s="2"/>
      <c r="O447" s="1"/>
      <c r="P447" s="1"/>
      <c r="Q447" s="1"/>
    </row>
    <row r="448">
      <c r="A448" s="1"/>
      <c r="B448" s="1"/>
      <c r="C448" s="1"/>
      <c r="D448" s="1"/>
      <c r="E448" s="1"/>
      <c r="F448" s="2"/>
      <c r="G448" s="2"/>
      <c r="H448" s="2"/>
      <c r="I448" s="2"/>
      <c r="J448" s="2"/>
      <c r="K448" s="2"/>
      <c r="L448" s="2"/>
      <c r="M448" s="2"/>
      <c r="N448" s="2"/>
      <c r="O448" s="1"/>
      <c r="P448" s="1"/>
      <c r="Q448" s="1"/>
    </row>
    <row r="449">
      <c r="A449" s="1"/>
      <c r="B449" s="1"/>
      <c r="C449" s="1"/>
      <c r="D449" s="1"/>
      <c r="E449" s="1"/>
      <c r="F449" s="2"/>
      <c r="G449" s="2"/>
      <c r="H449" s="2"/>
      <c r="I449" s="2"/>
      <c r="J449" s="2"/>
      <c r="K449" s="2"/>
      <c r="L449" s="2"/>
      <c r="M449" s="2"/>
      <c r="N449" s="2"/>
      <c r="O449" s="1"/>
      <c r="P449" s="1"/>
      <c r="Q449" s="1"/>
    </row>
    <row r="450">
      <c r="A450" s="1"/>
      <c r="B450" s="1"/>
      <c r="C450" s="1"/>
      <c r="D450" s="1"/>
      <c r="E450" s="1"/>
      <c r="F450" s="2"/>
      <c r="G450" s="2"/>
      <c r="H450" s="2"/>
      <c r="I450" s="2"/>
      <c r="J450" s="2"/>
      <c r="K450" s="2"/>
      <c r="L450" s="2"/>
      <c r="M450" s="2"/>
      <c r="N450" s="2"/>
      <c r="O450" s="1"/>
      <c r="P450" s="1"/>
      <c r="Q450" s="1"/>
    </row>
    <row r="451">
      <c r="A451" s="1"/>
      <c r="B451" s="1"/>
      <c r="C451" s="1"/>
      <c r="D451" s="1"/>
      <c r="E451" s="1"/>
      <c r="F451" s="2"/>
      <c r="G451" s="2"/>
      <c r="H451" s="2"/>
      <c r="I451" s="2"/>
      <c r="J451" s="2"/>
      <c r="K451" s="2"/>
      <c r="L451" s="2"/>
      <c r="M451" s="2"/>
      <c r="N451" s="2"/>
      <c r="O451" s="1"/>
      <c r="P451" s="1"/>
      <c r="Q451" s="1"/>
    </row>
    <row r="452">
      <c r="A452" s="1"/>
      <c r="B452" s="1"/>
      <c r="C452" s="1"/>
      <c r="D452" s="1"/>
      <c r="E452" s="1"/>
      <c r="F452" s="2"/>
      <c r="G452" s="2"/>
      <c r="H452" s="2"/>
      <c r="I452" s="2"/>
      <c r="J452" s="2"/>
      <c r="K452" s="2"/>
      <c r="L452" s="2"/>
      <c r="M452" s="2"/>
      <c r="N452" s="2"/>
      <c r="O452" s="1"/>
      <c r="P452" s="1"/>
      <c r="Q452" s="1"/>
    </row>
    <row r="453">
      <c r="A453" s="1"/>
      <c r="B453" s="1"/>
      <c r="C453" s="1"/>
      <c r="D453" s="1"/>
      <c r="E453" s="1"/>
      <c r="F453" s="2"/>
      <c r="G453" s="2"/>
      <c r="H453" s="2"/>
      <c r="I453" s="2"/>
      <c r="J453" s="2"/>
      <c r="K453" s="2"/>
      <c r="L453" s="2"/>
      <c r="M453" s="2"/>
      <c r="N453" s="2"/>
      <c r="O453" s="1"/>
      <c r="P453" s="1"/>
      <c r="Q453" s="1"/>
    </row>
    <row r="454">
      <c r="A454" s="1"/>
      <c r="B454" s="1"/>
      <c r="C454" s="1"/>
      <c r="D454" s="1"/>
      <c r="E454" s="1"/>
      <c r="F454" s="2"/>
      <c r="G454" s="2"/>
      <c r="H454" s="2"/>
      <c r="I454" s="2"/>
      <c r="J454" s="2"/>
      <c r="K454" s="2"/>
      <c r="L454" s="2"/>
      <c r="M454" s="2"/>
      <c r="N454" s="2"/>
      <c r="O454" s="1"/>
      <c r="P454" s="1"/>
      <c r="Q454" s="1"/>
    </row>
    <row r="455">
      <c r="A455" s="1"/>
      <c r="B455" s="1"/>
      <c r="C455" s="1"/>
      <c r="D455" s="1"/>
      <c r="E455" s="1"/>
      <c r="F455" s="2"/>
      <c r="G455" s="2"/>
      <c r="H455" s="2"/>
      <c r="I455" s="2"/>
      <c r="J455" s="2"/>
      <c r="K455" s="2"/>
      <c r="L455" s="2"/>
      <c r="M455" s="2"/>
      <c r="N455" s="2"/>
      <c r="O455" s="1"/>
      <c r="P455" s="1"/>
      <c r="Q455" s="1"/>
    </row>
    <row r="456">
      <c r="A456" s="1"/>
      <c r="B456" s="1"/>
      <c r="C456" s="1"/>
      <c r="D456" s="1"/>
      <c r="E456" s="1"/>
      <c r="F456" s="2"/>
      <c r="G456" s="2"/>
      <c r="H456" s="2"/>
      <c r="I456" s="2"/>
      <c r="J456" s="2"/>
      <c r="K456" s="2"/>
      <c r="L456" s="2"/>
      <c r="M456" s="2"/>
      <c r="N456" s="2"/>
      <c r="O456" s="1"/>
      <c r="P456" s="1"/>
      <c r="Q456" s="1"/>
    </row>
    <row r="457">
      <c r="A457" s="1"/>
      <c r="B457" s="1"/>
      <c r="C457" s="1"/>
      <c r="D457" s="1"/>
      <c r="E457" s="1"/>
      <c r="F457" s="2"/>
      <c r="G457" s="2"/>
      <c r="H457" s="2"/>
      <c r="I457" s="2"/>
      <c r="J457" s="2"/>
      <c r="K457" s="2"/>
      <c r="L457" s="2"/>
      <c r="M457" s="2"/>
      <c r="N457" s="2"/>
      <c r="O457" s="1"/>
      <c r="P457" s="1"/>
      <c r="Q457" s="1"/>
    </row>
    <row r="458">
      <c r="A458" s="1"/>
      <c r="B458" s="1"/>
      <c r="C458" s="1"/>
      <c r="D458" s="1"/>
      <c r="E458" s="1"/>
      <c r="F458" s="2"/>
      <c r="G458" s="2"/>
      <c r="H458" s="2"/>
      <c r="I458" s="2"/>
      <c r="J458" s="2"/>
      <c r="K458" s="2"/>
      <c r="L458" s="2"/>
      <c r="M458" s="2"/>
      <c r="N458" s="2"/>
      <c r="O458" s="1"/>
      <c r="P458" s="1"/>
      <c r="Q458" s="1"/>
    </row>
    <row r="459">
      <c r="A459" s="1"/>
      <c r="B459" s="1"/>
      <c r="C459" s="1"/>
      <c r="D459" s="1"/>
      <c r="E459" s="1"/>
      <c r="F459" s="2"/>
      <c r="G459" s="2"/>
      <c r="H459" s="2"/>
      <c r="I459" s="2"/>
      <c r="J459" s="2"/>
      <c r="K459" s="2"/>
      <c r="L459" s="2"/>
      <c r="M459" s="2"/>
      <c r="N459" s="2"/>
      <c r="O459" s="1"/>
      <c r="P459" s="1"/>
      <c r="Q459" s="1"/>
    </row>
    <row r="460">
      <c r="A460" s="1"/>
      <c r="B460" s="1"/>
      <c r="C460" s="1"/>
      <c r="D460" s="1"/>
      <c r="E460" s="1"/>
      <c r="F460" s="2"/>
      <c r="G460" s="2"/>
      <c r="H460" s="2"/>
      <c r="I460" s="2"/>
      <c r="J460" s="2"/>
      <c r="K460" s="2"/>
      <c r="L460" s="2"/>
      <c r="M460" s="2"/>
      <c r="N460" s="2"/>
      <c r="O460" s="1"/>
      <c r="P460" s="1"/>
      <c r="Q460" s="1"/>
    </row>
    <row r="461">
      <c r="A461" s="1"/>
      <c r="B461" s="1"/>
      <c r="C461" s="1"/>
      <c r="D461" s="1"/>
      <c r="E461" s="1"/>
      <c r="F461" s="2"/>
      <c r="G461" s="2"/>
      <c r="H461" s="2"/>
      <c r="I461" s="2"/>
      <c r="J461" s="2"/>
      <c r="K461" s="2"/>
      <c r="L461" s="2"/>
      <c r="M461" s="2"/>
      <c r="N461" s="2"/>
      <c r="O461" s="1"/>
      <c r="P461" s="1"/>
      <c r="Q461" s="1"/>
    </row>
    <row r="462">
      <c r="A462" s="1"/>
      <c r="B462" s="1"/>
      <c r="C462" s="1"/>
      <c r="D462" s="1"/>
      <c r="E462" s="1"/>
      <c r="F462" s="2"/>
      <c r="G462" s="2"/>
      <c r="H462" s="2"/>
      <c r="I462" s="2"/>
      <c r="J462" s="2"/>
      <c r="K462" s="2"/>
      <c r="L462" s="2"/>
      <c r="M462" s="2"/>
      <c r="N462" s="2"/>
      <c r="O462" s="1"/>
      <c r="P462" s="1"/>
      <c r="Q462" s="1"/>
    </row>
    <row r="463">
      <c r="A463" s="1"/>
      <c r="B463" s="1"/>
      <c r="C463" s="1"/>
      <c r="D463" s="1"/>
      <c r="E463" s="1"/>
      <c r="F463" s="2"/>
      <c r="G463" s="2"/>
      <c r="H463" s="2"/>
      <c r="I463" s="2"/>
      <c r="J463" s="2"/>
      <c r="K463" s="2"/>
      <c r="L463" s="2"/>
      <c r="M463" s="2"/>
      <c r="N463" s="2"/>
      <c r="O463" s="1"/>
      <c r="P463" s="1"/>
      <c r="Q463" s="1"/>
    </row>
    <row r="464">
      <c r="A464" s="1"/>
      <c r="B464" s="1"/>
      <c r="C464" s="1"/>
      <c r="D464" s="1"/>
      <c r="E464" s="1"/>
      <c r="F464" s="2"/>
      <c r="G464" s="2"/>
      <c r="H464" s="2"/>
      <c r="I464" s="2"/>
      <c r="J464" s="2"/>
      <c r="K464" s="2"/>
      <c r="L464" s="2"/>
      <c r="M464" s="2"/>
      <c r="N464" s="2"/>
      <c r="O464" s="1"/>
      <c r="P464" s="1"/>
      <c r="Q464" s="1"/>
    </row>
    <row r="465">
      <c r="A465" s="1"/>
      <c r="B465" s="1"/>
      <c r="C465" s="1"/>
      <c r="D465" s="1"/>
      <c r="E465" s="1"/>
      <c r="F465" s="2"/>
      <c r="G465" s="2"/>
      <c r="H465" s="2"/>
      <c r="I465" s="2"/>
      <c r="J465" s="2"/>
      <c r="K465" s="2"/>
      <c r="L465" s="2"/>
      <c r="M465" s="2"/>
      <c r="N465" s="2"/>
      <c r="O465" s="1"/>
      <c r="P465" s="1"/>
      <c r="Q465" s="1"/>
    </row>
    <row r="466">
      <c r="A466" s="1"/>
      <c r="B466" s="1"/>
      <c r="C466" s="1"/>
      <c r="D466" s="1"/>
      <c r="E466" s="1"/>
      <c r="F466" s="2"/>
      <c r="G466" s="2"/>
      <c r="H466" s="2"/>
      <c r="I466" s="2"/>
      <c r="J466" s="2"/>
      <c r="K466" s="2"/>
      <c r="L466" s="2"/>
      <c r="M466" s="2"/>
      <c r="N466" s="2"/>
      <c r="O466" s="1"/>
      <c r="P466" s="1"/>
      <c r="Q466" s="1"/>
    </row>
    <row r="467">
      <c r="A467" s="1"/>
      <c r="B467" s="1"/>
      <c r="C467" s="1"/>
      <c r="D467" s="1"/>
      <c r="E467" s="1"/>
      <c r="F467" s="2"/>
      <c r="G467" s="2"/>
      <c r="H467" s="2"/>
      <c r="I467" s="2"/>
      <c r="J467" s="2"/>
      <c r="K467" s="2"/>
      <c r="L467" s="2"/>
      <c r="M467" s="2"/>
      <c r="N467" s="2"/>
      <c r="O467" s="1"/>
      <c r="P467" s="1"/>
      <c r="Q467" s="1"/>
    </row>
    <row r="468">
      <c r="A468" s="1"/>
      <c r="B468" s="1"/>
      <c r="C468" s="1"/>
      <c r="D468" s="1"/>
      <c r="E468" s="1"/>
      <c r="F468" s="2"/>
      <c r="G468" s="2"/>
      <c r="H468" s="2"/>
      <c r="I468" s="2"/>
      <c r="J468" s="2"/>
      <c r="K468" s="2"/>
      <c r="L468" s="2"/>
      <c r="M468" s="2"/>
      <c r="N468" s="2"/>
      <c r="O468" s="1"/>
      <c r="P468" s="1"/>
      <c r="Q468" s="1"/>
    </row>
    <row r="469">
      <c r="A469" s="1"/>
      <c r="B469" s="1"/>
      <c r="C469" s="1"/>
      <c r="D469" s="1"/>
      <c r="E469" s="1"/>
      <c r="F469" s="2"/>
      <c r="G469" s="2"/>
      <c r="H469" s="2"/>
      <c r="I469" s="2"/>
      <c r="J469" s="2"/>
      <c r="K469" s="2"/>
      <c r="L469" s="2"/>
      <c r="M469" s="2"/>
      <c r="N469" s="2"/>
      <c r="O469" s="1"/>
      <c r="P469" s="1"/>
      <c r="Q469" s="1"/>
    </row>
    <row r="470">
      <c r="A470" s="1"/>
      <c r="B470" s="1"/>
      <c r="C470" s="1"/>
      <c r="D470" s="1"/>
      <c r="E470" s="1"/>
      <c r="F470" s="2"/>
      <c r="G470" s="2"/>
      <c r="H470" s="2"/>
      <c r="I470" s="2"/>
      <c r="J470" s="2"/>
      <c r="K470" s="2"/>
      <c r="L470" s="2"/>
      <c r="M470" s="2"/>
      <c r="N470" s="2"/>
      <c r="O470" s="1"/>
      <c r="P470" s="1"/>
      <c r="Q470" s="1"/>
    </row>
    <row r="471">
      <c r="A471" s="1"/>
      <c r="B471" s="1"/>
      <c r="C471" s="1"/>
      <c r="D471" s="1"/>
      <c r="E471" s="1"/>
      <c r="F471" s="2"/>
      <c r="G471" s="2"/>
      <c r="H471" s="2"/>
      <c r="I471" s="2"/>
      <c r="J471" s="2"/>
      <c r="K471" s="2"/>
      <c r="L471" s="2"/>
      <c r="M471" s="2"/>
      <c r="N471" s="2"/>
      <c r="O471" s="1"/>
      <c r="P471" s="1"/>
      <c r="Q471" s="1"/>
    </row>
    <row r="472">
      <c r="A472" s="1"/>
      <c r="B472" s="1"/>
      <c r="C472" s="1"/>
      <c r="D472" s="1"/>
      <c r="E472" s="1"/>
      <c r="F472" s="2"/>
      <c r="G472" s="2"/>
      <c r="H472" s="2"/>
      <c r="I472" s="2"/>
      <c r="J472" s="2"/>
      <c r="K472" s="2"/>
      <c r="L472" s="2"/>
      <c r="M472" s="2"/>
      <c r="N472" s="2"/>
      <c r="O472" s="1"/>
      <c r="P472" s="1"/>
      <c r="Q472" s="1"/>
    </row>
    <row r="473">
      <c r="A473" s="1"/>
      <c r="B473" s="1"/>
      <c r="C473" s="1"/>
      <c r="D473" s="1"/>
      <c r="E473" s="1"/>
      <c r="F473" s="2"/>
      <c r="G473" s="2"/>
      <c r="H473" s="2"/>
      <c r="I473" s="2"/>
      <c r="J473" s="2"/>
      <c r="K473" s="2"/>
      <c r="L473" s="2"/>
      <c r="M473" s="2"/>
      <c r="N473" s="2"/>
      <c r="O473" s="1"/>
      <c r="P473" s="1"/>
      <c r="Q473" s="1"/>
    </row>
    <row r="474">
      <c r="A474" s="1"/>
      <c r="B474" s="1"/>
      <c r="C474" s="1"/>
      <c r="D474" s="1"/>
      <c r="E474" s="1"/>
      <c r="F474" s="2"/>
      <c r="G474" s="2"/>
      <c r="H474" s="2"/>
      <c r="I474" s="2"/>
      <c r="J474" s="2"/>
      <c r="K474" s="2"/>
      <c r="L474" s="2"/>
      <c r="M474" s="2"/>
      <c r="N474" s="2"/>
      <c r="O474" s="1"/>
      <c r="P474" s="1"/>
      <c r="Q474" s="1"/>
    </row>
    <row r="475">
      <c r="A475" s="1"/>
      <c r="B475" s="1"/>
      <c r="C475" s="1"/>
      <c r="D475" s="1"/>
      <c r="E475" s="1"/>
      <c r="F475" s="2"/>
      <c r="G475" s="2"/>
      <c r="H475" s="2"/>
      <c r="I475" s="2"/>
      <c r="J475" s="2"/>
      <c r="K475" s="2"/>
      <c r="L475" s="2"/>
      <c r="M475" s="2"/>
      <c r="N475" s="2"/>
      <c r="O475" s="1"/>
      <c r="P475" s="1"/>
      <c r="Q475" s="1"/>
    </row>
    <row r="476">
      <c r="A476" s="1"/>
      <c r="B476" s="1"/>
      <c r="C476" s="1"/>
      <c r="D476" s="1"/>
      <c r="E476" s="1"/>
      <c r="F476" s="2"/>
      <c r="G476" s="2"/>
      <c r="H476" s="2"/>
      <c r="I476" s="2"/>
      <c r="J476" s="2"/>
      <c r="K476" s="2"/>
      <c r="L476" s="2"/>
      <c r="M476" s="2"/>
      <c r="N476" s="2"/>
      <c r="O476" s="1"/>
      <c r="P476" s="1"/>
      <c r="Q476" s="1"/>
    </row>
    <row r="477">
      <c r="A477" s="1"/>
      <c r="B477" s="1"/>
      <c r="C477" s="1"/>
      <c r="D477" s="1"/>
      <c r="E477" s="1"/>
      <c r="F477" s="2"/>
      <c r="G477" s="2"/>
      <c r="H477" s="2"/>
      <c r="I477" s="2"/>
      <c r="J477" s="2"/>
      <c r="K477" s="2"/>
      <c r="L477" s="2"/>
      <c r="M477" s="2"/>
      <c r="N477" s="2"/>
      <c r="O477" s="1"/>
      <c r="P477" s="1"/>
      <c r="Q477" s="1"/>
    </row>
    <row r="478">
      <c r="A478" s="1"/>
      <c r="B478" s="1"/>
      <c r="C478" s="1"/>
      <c r="D478" s="1"/>
      <c r="E478" s="1"/>
      <c r="F478" s="2"/>
      <c r="G478" s="2"/>
      <c r="H478" s="2"/>
      <c r="I478" s="2"/>
      <c r="J478" s="2"/>
      <c r="K478" s="2"/>
      <c r="L478" s="2"/>
      <c r="M478" s="2"/>
      <c r="N478" s="2"/>
      <c r="O478" s="1"/>
      <c r="P478" s="1"/>
      <c r="Q478" s="1"/>
    </row>
    <row r="479">
      <c r="A479" s="1"/>
      <c r="B479" s="1"/>
      <c r="C479" s="1"/>
      <c r="D479" s="1"/>
      <c r="E479" s="1"/>
      <c r="F479" s="2"/>
      <c r="G479" s="2"/>
      <c r="H479" s="2"/>
      <c r="I479" s="2"/>
      <c r="J479" s="2"/>
      <c r="K479" s="2"/>
      <c r="L479" s="2"/>
      <c r="M479" s="2"/>
      <c r="N479" s="2"/>
      <c r="O479" s="1"/>
      <c r="P479" s="1"/>
      <c r="Q479" s="1"/>
    </row>
    <row r="480">
      <c r="A480" s="1"/>
      <c r="B480" s="1"/>
      <c r="C480" s="1"/>
      <c r="D480" s="1"/>
      <c r="E480" s="1"/>
      <c r="F480" s="2"/>
      <c r="G480" s="2"/>
      <c r="H480" s="2"/>
      <c r="I480" s="2"/>
      <c r="J480" s="2"/>
      <c r="K480" s="2"/>
      <c r="L480" s="2"/>
      <c r="M480" s="2"/>
      <c r="N480" s="2"/>
      <c r="O480" s="1"/>
      <c r="P480" s="1"/>
      <c r="Q480" s="1"/>
    </row>
    <row r="481">
      <c r="A481" s="1"/>
      <c r="B481" s="1"/>
      <c r="C481" s="1"/>
      <c r="D481" s="1"/>
      <c r="E481" s="1"/>
      <c r="F481" s="2"/>
      <c r="G481" s="2"/>
      <c r="H481" s="2"/>
      <c r="I481" s="2"/>
      <c r="J481" s="2"/>
      <c r="K481" s="2"/>
      <c r="L481" s="2"/>
      <c r="M481" s="2"/>
      <c r="N481" s="2"/>
      <c r="O481" s="1"/>
      <c r="P481" s="1"/>
      <c r="Q481" s="1"/>
    </row>
    <row r="482">
      <c r="A482" s="1"/>
      <c r="B482" s="1"/>
      <c r="C482" s="1"/>
      <c r="D482" s="1"/>
      <c r="E482" s="1"/>
      <c r="F482" s="2"/>
      <c r="G482" s="2"/>
      <c r="H482" s="2"/>
      <c r="I482" s="2"/>
      <c r="J482" s="2"/>
      <c r="K482" s="2"/>
      <c r="L482" s="2"/>
      <c r="M482" s="2"/>
      <c r="N482" s="2"/>
      <c r="O482" s="1"/>
      <c r="P482" s="1"/>
      <c r="Q482" s="1"/>
    </row>
    <row r="483">
      <c r="A483" s="1"/>
      <c r="B483" s="1"/>
      <c r="C483" s="1"/>
      <c r="D483" s="1"/>
      <c r="E483" s="1"/>
      <c r="F483" s="2"/>
      <c r="G483" s="2"/>
      <c r="H483" s="2"/>
      <c r="I483" s="2"/>
      <c r="J483" s="2"/>
      <c r="K483" s="2"/>
      <c r="L483" s="2"/>
      <c r="M483" s="2"/>
      <c r="N483" s="2"/>
      <c r="O483" s="1"/>
      <c r="P483" s="1"/>
      <c r="Q483" s="1"/>
    </row>
    <row r="484">
      <c r="A484" s="1"/>
      <c r="B484" s="1"/>
      <c r="C484" s="1"/>
      <c r="D484" s="1"/>
      <c r="E484" s="1"/>
      <c r="F484" s="2"/>
      <c r="G484" s="2"/>
      <c r="H484" s="2"/>
      <c r="I484" s="2"/>
      <c r="J484" s="2"/>
      <c r="K484" s="2"/>
      <c r="L484" s="2"/>
      <c r="M484" s="2"/>
      <c r="N484" s="2"/>
      <c r="O484" s="1"/>
      <c r="P484" s="1"/>
      <c r="Q484" s="1"/>
    </row>
    <row r="485">
      <c r="A485" s="1"/>
      <c r="B485" s="1"/>
      <c r="C485" s="1"/>
      <c r="D485" s="1"/>
      <c r="E485" s="1"/>
      <c r="F485" s="2"/>
      <c r="G485" s="2"/>
      <c r="H485" s="2"/>
      <c r="I485" s="2"/>
      <c r="J485" s="2"/>
      <c r="K485" s="2"/>
      <c r="L485" s="2"/>
      <c r="M485" s="2"/>
      <c r="N485" s="2"/>
      <c r="O485" s="1"/>
      <c r="P485" s="1"/>
      <c r="Q485" s="1"/>
    </row>
    <row r="486">
      <c r="A486" s="1"/>
      <c r="B486" s="1"/>
      <c r="C486" s="1"/>
      <c r="D486" s="1"/>
      <c r="E486" s="1"/>
      <c r="F486" s="2"/>
      <c r="G486" s="2"/>
      <c r="H486" s="2"/>
      <c r="I486" s="2"/>
      <c r="J486" s="2"/>
      <c r="K486" s="2"/>
      <c r="L486" s="2"/>
      <c r="M486" s="2"/>
      <c r="N486" s="2"/>
      <c r="O486" s="1"/>
      <c r="P486" s="1"/>
      <c r="Q486" s="1"/>
    </row>
    <row r="487">
      <c r="A487" s="1"/>
      <c r="B487" s="1"/>
      <c r="C487" s="1"/>
      <c r="D487" s="1"/>
      <c r="E487" s="1"/>
      <c r="F487" s="2"/>
      <c r="G487" s="2"/>
      <c r="H487" s="2"/>
      <c r="I487" s="2"/>
      <c r="J487" s="2"/>
      <c r="K487" s="2"/>
      <c r="L487" s="2"/>
      <c r="M487" s="2"/>
      <c r="N487" s="2"/>
      <c r="O487" s="1"/>
      <c r="P487" s="1"/>
      <c r="Q487" s="1"/>
    </row>
    <row r="488">
      <c r="A488" s="1"/>
      <c r="B488" s="1"/>
      <c r="C488" s="1"/>
      <c r="D488" s="1"/>
      <c r="E488" s="1"/>
      <c r="F488" s="2"/>
      <c r="G488" s="2"/>
      <c r="H488" s="2"/>
      <c r="I488" s="2"/>
      <c r="J488" s="2"/>
      <c r="K488" s="2"/>
      <c r="L488" s="2"/>
      <c r="M488" s="2"/>
      <c r="N488" s="2"/>
      <c r="O488" s="1"/>
      <c r="P488" s="1"/>
      <c r="Q488" s="1"/>
    </row>
    <row r="489">
      <c r="A489" s="1"/>
      <c r="B489" s="1"/>
      <c r="C489" s="1"/>
      <c r="D489" s="1"/>
      <c r="E489" s="1"/>
      <c r="F489" s="2"/>
      <c r="G489" s="2"/>
      <c r="H489" s="2"/>
      <c r="I489" s="2"/>
      <c r="J489" s="2"/>
      <c r="K489" s="2"/>
      <c r="L489" s="2"/>
      <c r="M489" s="2"/>
      <c r="N489" s="2"/>
      <c r="O489" s="1"/>
      <c r="P489" s="1"/>
      <c r="Q489" s="1"/>
    </row>
    <row r="490">
      <c r="A490" s="1"/>
      <c r="B490" s="1"/>
      <c r="C490" s="1"/>
      <c r="D490" s="1"/>
      <c r="E490" s="1"/>
      <c r="F490" s="2"/>
      <c r="G490" s="2"/>
      <c r="H490" s="2"/>
      <c r="I490" s="2"/>
      <c r="J490" s="2"/>
      <c r="K490" s="2"/>
      <c r="L490" s="2"/>
      <c r="M490" s="2"/>
      <c r="N490" s="2"/>
      <c r="O490" s="1"/>
      <c r="P490" s="1"/>
      <c r="Q490" s="1"/>
    </row>
    <row r="491">
      <c r="A491" s="1"/>
      <c r="B491" s="1"/>
      <c r="C491" s="1"/>
      <c r="D491" s="1"/>
      <c r="E491" s="1"/>
      <c r="F491" s="2"/>
      <c r="G491" s="2"/>
      <c r="H491" s="2"/>
      <c r="I491" s="2"/>
      <c r="J491" s="2"/>
      <c r="K491" s="2"/>
      <c r="L491" s="2"/>
      <c r="M491" s="2"/>
      <c r="N491" s="2"/>
      <c r="O491" s="1"/>
      <c r="P491" s="1"/>
      <c r="Q491" s="1"/>
    </row>
    <row r="492">
      <c r="A492" s="1"/>
      <c r="B492" s="1"/>
      <c r="C492" s="1"/>
      <c r="D492" s="1"/>
      <c r="E492" s="1"/>
      <c r="F492" s="2"/>
      <c r="G492" s="2"/>
      <c r="H492" s="2"/>
      <c r="I492" s="2"/>
      <c r="J492" s="2"/>
      <c r="K492" s="2"/>
      <c r="L492" s="2"/>
      <c r="M492" s="2"/>
      <c r="N492" s="2"/>
      <c r="O492" s="1"/>
      <c r="P492" s="1"/>
      <c r="Q492" s="1"/>
    </row>
    <row r="493">
      <c r="A493" s="1"/>
      <c r="B493" s="1"/>
      <c r="C493" s="1"/>
      <c r="D493" s="1"/>
      <c r="E493" s="1"/>
      <c r="F493" s="2"/>
      <c r="G493" s="2"/>
      <c r="H493" s="2"/>
      <c r="I493" s="2"/>
      <c r="J493" s="2"/>
      <c r="K493" s="2"/>
      <c r="L493" s="2"/>
      <c r="M493" s="2"/>
      <c r="N493" s="2"/>
      <c r="O493" s="1"/>
      <c r="P493" s="1"/>
      <c r="Q493" s="1"/>
    </row>
    <row r="494">
      <c r="A494" s="1"/>
      <c r="B494" s="1"/>
      <c r="C494" s="1"/>
      <c r="D494" s="1"/>
      <c r="E494" s="1"/>
      <c r="F494" s="2"/>
      <c r="G494" s="2"/>
      <c r="H494" s="2"/>
      <c r="I494" s="2"/>
      <c r="J494" s="2"/>
      <c r="K494" s="2"/>
      <c r="L494" s="2"/>
      <c r="M494" s="2"/>
      <c r="N494" s="2"/>
      <c r="O494" s="1"/>
      <c r="P494" s="1"/>
      <c r="Q494" s="1"/>
    </row>
    <row r="495">
      <c r="A495" s="1"/>
      <c r="B495" s="1"/>
      <c r="C495" s="1"/>
      <c r="D495" s="1"/>
      <c r="E495" s="1"/>
      <c r="F495" s="2"/>
      <c r="G495" s="2"/>
      <c r="H495" s="2"/>
      <c r="I495" s="2"/>
      <c r="J495" s="2"/>
      <c r="K495" s="2"/>
      <c r="L495" s="2"/>
      <c r="M495" s="2"/>
      <c r="N495" s="2"/>
      <c r="O495" s="1"/>
      <c r="P495" s="1"/>
      <c r="Q495" s="1"/>
    </row>
    <row r="496">
      <c r="A496" s="1"/>
      <c r="B496" s="1"/>
      <c r="C496" s="1"/>
      <c r="D496" s="1"/>
      <c r="E496" s="1"/>
      <c r="F496" s="2"/>
      <c r="G496" s="2"/>
      <c r="H496" s="2"/>
      <c r="I496" s="2"/>
      <c r="J496" s="2"/>
      <c r="K496" s="2"/>
      <c r="L496" s="2"/>
      <c r="M496" s="2"/>
      <c r="N496" s="2"/>
      <c r="O496" s="1"/>
      <c r="P496" s="1"/>
      <c r="Q496" s="1"/>
    </row>
    <row r="497">
      <c r="A497" s="1"/>
      <c r="B497" s="1"/>
      <c r="C497" s="1"/>
      <c r="D497" s="1"/>
      <c r="E497" s="1"/>
      <c r="F497" s="2"/>
      <c r="G497" s="2"/>
      <c r="H497" s="2"/>
      <c r="I497" s="2"/>
      <c r="J497" s="2"/>
      <c r="K497" s="2"/>
      <c r="L497" s="2"/>
      <c r="M497" s="2"/>
      <c r="N497" s="2"/>
      <c r="O497" s="1"/>
      <c r="P497" s="1"/>
      <c r="Q497" s="1"/>
    </row>
    <row r="498">
      <c r="A498" s="1"/>
      <c r="B498" s="1"/>
      <c r="C498" s="1"/>
      <c r="D498" s="1"/>
      <c r="E498" s="1"/>
      <c r="F498" s="2"/>
      <c r="G498" s="2"/>
      <c r="H498" s="2"/>
      <c r="I498" s="2"/>
      <c r="J498" s="2"/>
      <c r="K498" s="2"/>
      <c r="L498" s="2"/>
      <c r="M498" s="2"/>
      <c r="N498" s="2"/>
      <c r="O498" s="1"/>
      <c r="P498" s="1"/>
      <c r="Q498" s="1"/>
    </row>
    <row r="499">
      <c r="A499" s="1"/>
      <c r="B499" s="1"/>
      <c r="C499" s="1"/>
      <c r="D499" s="1"/>
      <c r="E499" s="1"/>
      <c r="F499" s="2"/>
      <c r="G499" s="2"/>
      <c r="H499" s="2"/>
      <c r="I499" s="2"/>
      <c r="J499" s="2"/>
      <c r="K499" s="2"/>
      <c r="L499" s="2"/>
      <c r="M499" s="2"/>
      <c r="N499" s="2"/>
      <c r="O499" s="1"/>
      <c r="P499" s="1"/>
      <c r="Q499" s="1"/>
    </row>
    <row r="500">
      <c r="A500" s="1"/>
      <c r="B500" s="1"/>
      <c r="C500" s="1"/>
      <c r="D500" s="1"/>
      <c r="E500" s="1"/>
      <c r="F500" s="2"/>
      <c r="G500" s="2"/>
      <c r="H500" s="2"/>
      <c r="I500" s="2"/>
      <c r="J500" s="2"/>
      <c r="K500" s="2"/>
      <c r="L500" s="2"/>
      <c r="M500" s="2"/>
      <c r="N500" s="2"/>
      <c r="O500" s="1"/>
      <c r="P500" s="1"/>
      <c r="Q500" s="1"/>
    </row>
    <row r="501">
      <c r="A501" s="1"/>
      <c r="B501" s="1"/>
      <c r="C501" s="1"/>
      <c r="D501" s="1"/>
      <c r="E501" s="1"/>
      <c r="F501" s="2"/>
      <c r="G501" s="2"/>
      <c r="H501" s="2"/>
      <c r="I501" s="2"/>
      <c r="J501" s="2"/>
      <c r="K501" s="2"/>
      <c r="L501" s="2"/>
      <c r="M501" s="2"/>
      <c r="N501" s="2"/>
      <c r="O501" s="1"/>
      <c r="P501" s="1"/>
      <c r="Q501" s="1"/>
    </row>
    <row r="502">
      <c r="A502" s="1"/>
      <c r="B502" s="1"/>
      <c r="C502" s="1"/>
      <c r="D502" s="1"/>
      <c r="E502" s="1"/>
      <c r="F502" s="2"/>
      <c r="G502" s="2"/>
      <c r="H502" s="2"/>
      <c r="I502" s="2"/>
      <c r="J502" s="2"/>
      <c r="K502" s="2"/>
      <c r="L502" s="2"/>
      <c r="M502" s="2"/>
      <c r="N502" s="2"/>
      <c r="O502" s="1"/>
      <c r="P502" s="1"/>
      <c r="Q502" s="1"/>
    </row>
    <row r="503">
      <c r="A503" s="1"/>
      <c r="B503" s="1"/>
      <c r="C503" s="1"/>
      <c r="D503" s="1"/>
      <c r="E503" s="1"/>
      <c r="F503" s="2"/>
      <c r="G503" s="2"/>
      <c r="H503" s="2"/>
      <c r="I503" s="2"/>
      <c r="J503" s="2"/>
      <c r="K503" s="2"/>
      <c r="L503" s="2"/>
      <c r="M503" s="2"/>
      <c r="N503" s="2"/>
      <c r="O503" s="1"/>
      <c r="P503" s="1"/>
      <c r="Q503" s="1"/>
    </row>
    <row r="504">
      <c r="A504" s="1"/>
      <c r="B504" s="1"/>
      <c r="C504" s="1"/>
      <c r="D504" s="1"/>
      <c r="E504" s="1"/>
      <c r="F504" s="2"/>
      <c r="G504" s="2"/>
      <c r="H504" s="2"/>
      <c r="I504" s="2"/>
      <c r="J504" s="2"/>
      <c r="K504" s="2"/>
      <c r="L504" s="2"/>
      <c r="M504" s="2"/>
      <c r="N504" s="2"/>
      <c r="O504" s="1"/>
      <c r="P504" s="1"/>
      <c r="Q504" s="1"/>
    </row>
    <row r="505">
      <c r="A505" s="1"/>
      <c r="B505" s="1"/>
      <c r="C505" s="1"/>
      <c r="D505" s="1"/>
      <c r="E505" s="1"/>
      <c r="F505" s="2"/>
      <c r="G505" s="2"/>
      <c r="H505" s="2"/>
      <c r="I505" s="2"/>
      <c r="J505" s="2"/>
      <c r="K505" s="2"/>
      <c r="L505" s="2"/>
      <c r="M505" s="2"/>
      <c r="N505" s="2"/>
      <c r="O505" s="1"/>
      <c r="P505" s="1"/>
      <c r="Q505" s="1"/>
    </row>
    <row r="506">
      <c r="A506" s="1"/>
      <c r="B506" s="1"/>
      <c r="C506" s="1"/>
      <c r="D506" s="1"/>
      <c r="E506" s="1"/>
      <c r="F506" s="2"/>
      <c r="G506" s="2"/>
      <c r="H506" s="2"/>
      <c r="I506" s="2"/>
      <c r="J506" s="2"/>
      <c r="K506" s="2"/>
      <c r="L506" s="2"/>
      <c r="M506" s="2"/>
      <c r="N506" s="2"/>
      <c r="O506" s="1"/>
      <c r="P506" s="1"/>
      <c r="Q506" s="1"/>
    </row>
    <row r="507">
      <c r="A507" s="1"/>
      <c r="B507" s="1"/>
      <c r="C507" s="1"/>
      <c r="D507" s="1"/>
      <c r="E507" s="1"/>
      <c r="F507" s="2"/>
      <c r="G507" s="2"/>
      <c r="H507" s="2"/>
      <c r="I507" s="2"/>
      <c r="J507" s="2"/>
      <c r="K507" s="2"/>
      <c r="L507" s="2"/>
      <c r="M507" s="2"/>
      <c r="N507" s="2"/>
      <c r="O507" s="1"/>
      <c r="P507" s="1"/>
      <c r="Q507" s="1"/>
    </row>
    <row r="508">
      <c r="A508" s="1"/>
      <c r="B508" s="1"/>
      <c r="C508" s="1"/>
      <c r="D508" s="1"/>
      <c r="E508" s="1"/>
      <c r="F508" s="2"/>
      <c r="G508" s="2"/>
      <c r="H508" s="2"/>
      <c r="I508" s="2"/>
      <c r="J508" s="2"/>
      <c r="K508" s="2"/>
      <c r="L508" s="2"/>
      <c r="M508" s="2"/>
      <c r="N508" s="2"/>
      <c r="O508" s="1"/>
      <c r="P508" s="1"/>
      <c r="Q508" s="1"/>
    </row>
    <row r="509">
      <c r="A509" s="1"/>
      <c r="B509" s="1"/>
      <c r="C509" s="1"/>
      <c r="D509" s="1"/>
      <c r="E509" s="1"/>
      <c r="F509" s="2"/>
      <c r="G509" s="2"/>
      <c r="H509" s="2"/>
      <c r="I509" s="2"/>
      <c r="J509" s="2"/>
      <c r="K509" s="2"/>
      <c r="L509" s="2"/>
      <c r="M509" s="2"/>
      <c r="N509" s="2"/>
      <c r="O509" s="1"/>
      <c r="P509" s="1"/>
      <c r="Q509" s="1"/>
    </row>
    <row r="510">
      <c r="A510" s="1"/>
      <c r="B510" s="1"/>
      <c r="C510" s="1"/>
      <c r="D510" s="1"/>
      <c r="E510" s="1"/>
      <c r="F510" s="2"/>
      <c r="G510" s="2"/>
      <c r="H510" s="2"/>
      <c r="I510" s="2"/>
      <c r="J510" s="2"/>
      <c r="K510" s="2"/>
      <c r="L510" s="2"/>
      <c r="M510" s="2"/>
      <c r="N510" s="2"/>
      <c r="O510" s="1"/>
      <c r="P510" s="1"/>
      <c r="Q510" s="1"/>
    </row>
    <row r="511">
      <c r="A511" s="1"/>
      <c r="B511" s="1"/>
      <c r="C511" s="1"/>
      <c r="D511" s="1"/>
      <c r="E511" s="1"/>
      <c r="F511" s="2"/>
      <c r="G511" s="2"/>
      <c r="H511" s="2"/>
      <c r="I511" s="2"/>
      <c r="J511" s="2"/>
      <c r="K511" s="2"/>
      <c r="L511" s="2"/>
      <c r="M511" s="2"/>
      <c r="N511" s="2"/>
      <c r="O511" s="1"/>
      <c r="P511" s="1"/>
      <c r="Q511" s="1"/>
    </row>
    <row r="512">
      <c r="A512" s="1"/>
      <c r="B512" s="1"/>
      <c r="C512" s="1"/>
      <c r="D512" s="1"/>
      <c r="E512" s="1"/>
      <c r="F512" s="2"/>
      <c r="G512" s="2"/>
      <c r="H512" s="2"/>
      <c r="I512" s="2"/>
      <c r="J512" s="2"/>
      <c r="K512" s="2"/>
      <c r="L512" s="2"/>
      <c r="M512" s="2"/>
      <c r="N512" s="2"/>
      <c r="O512" s="1"/>
      <c r="P512" s="1"/>
      <c r="Q512" s="1"/>
    </row>
    <row r="513">
      <c r="A513" s="1"/>
      <c r="B513" s="1"/>
      <c r="C513" s="1"/>
      <c r="D513" s="1"/>
      <c r="E513" s="1"/>
      <c r="F513" s="2"/>
      <c r="G513" s="2"/>
      <c r="H513" s="2"/>
      <c r="I513" s="2"/>
      <c r="J513" s="2"/>
      <c r="K513" s="2"/>
      <c r="L513" s="2"/>
      <c r="M513" s="2"/>
      <c r="N513" s="2"/>
      <c r="O513" s="1"/>
      <c r="P513" s="1"/>
      <c r="Q513" s="1"/>
    </row>
    <row r="514">
      <c r="A514" s="1"/>
      <c r="B514" s="1"/>
      <c r="C514" s="1"/>
      <c r="D514" s="1"/>
      <c r="E514" s="1"/>
      <c r="F514" s="2"/>
      <c r="G514" s="2"/>
      <c r="H514" s="2"/>
      <c r="I514" s="2"/>
      <c r="J514" s="2"/>
      <c r="K514" s="2"/>
      <c r="L514" s="2"/>
      <c r="M514" s="2"/>
      <c r="N514" s="2"/>
      <c r="O514" s="1"/>
      <c r="P514" s="1"/>
      <c r="Q514" s="1"/>
    </row>
    <row r="515">
      <c r="A515" s="1"/>
      <c r="B515" s="1"/>
      <c r="C515" s="1"/>
      <c r="D515" s="1"/>
      <c r="E515" s="1"/>
      <c r="F515" s="2"/>
      <c r="G515" s="2"/>
      <c r="H515" s="2"/>
      <c r="I515" s="2"/>
      <c r="J515" s="2"/>
      <c r="K515" s="2"/>
      <c r="L515" s="2"/>
      <c r="M515" s="2"/>
      <c r="N515" s="2"/>
      <c r="O515" s="1"/>
      <c r="P515" s="1"/>
      <c r="Q515" s="1"/>
    </row>
    <row r="516">
      <c r="A516" s="1"/>
      <c r="B516" s="1"/>
      <c r="C516" s="1"/>
      <c r="D516" s="1"/>
      <c r="E516" s="1"/>
      <c r="F516" s="2"/>
      <c r="G516" s="2"/>
      <c r="H516" s="2"/>
      <c r="I516" s="2"/>
      <c r="J516" s="2"/>
      <c r="K516" s="2"/>
      <c r="L516" s="2"/>
      <c r="M516" s="2"/>
      <c r="N516" s="2"/>
      <c r="O516" s="1"/>
      <c r="P516" s="1"/>
      <c r="Q516" s="1"/>
    </row>
    <row r="517">
      <c r="A517" s="1"/>
      <c r="B517" s="1"/>
      <c r="C517" s="1"/>
      <c r="D517" s="1"/>
      <c r="E517" s="1"/>
      <c r="F517" s="2"/>
      <c r="G517" s="2"/>
      <c r="H517" s="2"/>
      <c r="I517" s="2"/>
      <c r="J517" s="2"/>
      <c r="K517" s="2"/>
      <c r="L517" s="2"/>
      <c r="M517" s="2"/>
      <c r="N517" s="2"/>
      <c r="O517" s="1"/>
      <c r="P517" s="1"/>
      <c r="Q517" s="1"/>
    </row>
    <row r="518">
      <c r="A518" s="1"/>
      <c r="B518" s="1"/>
      <c r="C518" s="1"/>
      <c r="D518" s="1"/>
      <c r="E518" s="1"/>
      <c r="F518" s="2"/>
      <c r="G518" s="2"/>
      <c r="H518" s="2"/>
      <c r="I518" s="2"/>
      <c r="J518" s="2"/>
      <c r="K518" s="2"/>
      <c r="L518" s="2"/>
      <c r="M518" s="2"/>
      <c r="N518" s="2"/>
      <c r="O518" s="1"/>
      <c r="P518" s="1"/>
      <c r="Q518" s="1"/>
    </row>
    <row r="519">
      <c r="A519" s="1"/>
      <c r="B519" s="1"/>
      <c r="C519" s="1"/>
      <c r="D519" s="1"/>
      <c r="E519" s="1"/>
      <c r="F519" s="2"/>
      <c r="G519" s="2"/>
      <c r="H519" s="2"/>
      <c r="I519" s="2"/>
      <c r="J519" s="2"/>
      <c r="K519" s="2"/>
      <c r="L519" s="2"/>
      <c r="M519" s="2"/>
      <c r="N519" s="2"/>
      <c r="O519" s="1"/>
      <c r="P519" s="1"/>
      <c r="Q519" s="1"/>
    </row>
    <row r="520">
      <c r="A520" s="1"/>
      <c r="B520" s="1"/>
      <c r="C520" s="1"/>
      <c r="D520" s="1"/>
      <c r="E520" s="1"/>
      <c r="F520" s="2"/>
      <c r="G520" s="2"/>
      <c r="H520" s="2"/>
      <c r="I520" s="2"/>
      <c r="J520" s="2"/>
      <c r="K520" s="2"/>
      <c r="L520" s="2"/>
      <c r="M520" s="2"/>
      <c r="N520" s="2"/>
      <c r="O520" s="1"/>
      <c r="P520" s="1"/>
      <c r="Q520" s="1"/>
    </row>
    <row r="521">
      <c r="A521" s="1"/>
      <c r="B521" s="1"/>
      <c r="C521" s="1"/>
      <c r="D521" s="1"/>
      <c r="E521" s="1"/>
      <c r="F521" s="2"/>
      <c r="G521" s="2"/>
      <c r="H521" s="2"/>
      <c r="I521" s="2"/>
      <c r="J521" s="2"/>
      <c r="K521" s="2"/>
      <c r="L521" s="2"/>
      <c r="M521" s="2"/>
      <c r="N521" s="2"/>
      <c r="O521" s="1"/>
      <c r="P521" s="1"/>
      <c r="Q521" s="1"/>
    </row>
    <row r="522">
      <c r="A522" s="1"/>
      <c r="B522" s="1"/>
      <c r="C522" s="1"/>
      <c r="D522" s="1"/>
      <c r="E522" s="1"/>
      <c r="F522" s="2"/>
      <c r="G522" s="2"/>
      <c r="H522" s="2"/>
      <c r="I522" s="2"/>
      <c r="J522" s="2"/>
      <c r="K522" s="2"/>
      <c r="L522" s="2"/>
      <c r="M522" s="2"/>
      <c r="N522" s="2"/>
      <c r="O522" s="1"/>
      <c r="P522" s="1"/>
      <c r="Q522" s="1"/>
    </row>
    <row r="523">
      <c r="A523" s="1"/>
      <c r="B523" s="1"/>
      <c r="C523" s="1"/>
      <c r="D523" s="1"/>
      <c r="E523" s="1"/>
      <c r="F523" s="2"/>
      <c r="G523" s="2"/>
      <c r="H523" s="2"/>
      <c r="I523" s="2"/>
      <c r="J523" s="2"/>
      <c r="K523" s="2"/>
      <c r="L523" s="2"/>
      <c r="M523" s="2"/>
      <c r="N523" s="2"/>
      <c r="O523" s="1"/>
      <c r="P523" s="1"/>
      <c r="Q523" s="1"/>
    </row>
    <row r="524">
      <c r="A524" s="1"/>
      <c r="B524" s="1"/>
      <c r="C524" s="1"/>
      <c r="D524" s="1"/>
      <c r="E524" s="1"/>
      <c r="F524" s="2"/>
      <c r="G524" s="2"/>
      <c r="H524" s="2"/>
      <c r="I524" s="2"/>
      <c r="J524" s="2"/>
      <c r="K524" s="2"/>
      <c r="L524" s="2"/>
      <c r="M524" s="2"/>
      <c r="N524" s="2"/>
      <c r="O524" s="1"/>
      <c r="P524" s="1"/>
      <c r="Q524" s="1"/>
    </row>
    <row r="525">
      <c r="A525" s="1"/>
      <c r="B525" s="1"/>
      <c r="C525" s="1"/>
      <c r="D525" s="1"/>
      <c r="E525" s="1"/>
      <c r="F525" s="2"/>
      <c r="G525" s="2"/>
      <c r="H525" s="2"/>
      <c r="I525" s="2"/>
      <c r="J525" s="2"/>
      <c r="K525" s="2"/>
      <c r="L525" s="2"/>
      <c r="M525" s="2"/>
      <c r="N525" s="2"/>
      <c r="O525" s="1"/>
      <c r="P525" s="1"/>
      <c r="Q525" s="1"/>
    </row>
    <row r="526">
      <c r="A526" s="1"/>
      <c r="B526" s="1"/>
      <c r="C526" s="1"/>
      <c r="D526" s="1"/>
      <c r="E526" s="1"/>
      <c r="F526" s="2"/>
      <c r="G526" s="2"/>
      <c r="H526" s="2"/>
      <c r="I526" s="2"/>
      <c r="J526" s="2"/>
      <c r="K526" s="2"/>
      <c r="L526" s="2"/>
      <c r="M526" s="2"/>
      <c r="N526" s="2"/>
      <c r="O526" s="1"/>
      <c r="P526" s="1"/>
      <c r="Q526" s="1"/>
    </row>
    <row r="527">
      <c r="A527" s="1"/>
      <c r="B527" s="1"/>
      <c r="C527" s="1"/>
      <c r="D527" s="1"/>
      <c r="E527" s="1"/>
      <c r="F527" s="2"/>
      <c r="G527" s="2"/>
      <c r="H527" s="2"/>
      <c r="I527" s="2"/>
      <c r="J527" s="2"/>
      <c r="K527" s="2"/>
      <c r="L527" s="2"/>
      <c r="M527" s="2"/>
      <c r="N527" s="2"/>
      <c r="O527" s="1"/>
      <c r="P527" s="1"/>
      <c r="Q527" s="1"/>
    </row>
    <row r="528">
      <c r="A528" s="1"/>
      <c r="B528" s="1"/>
      <c r="C528" s="1"/>
      <c r="D528" s="1"/>
      <c r="E528" s="1"/>
      <c r="F528" s="2"/>
      <c r="G528" s="2"/>
      <c r="H528" s="2"/>
      <c r="I528" s="2"/>
      <c r="J528" s="2"/>
      <c r="K528" s="2"/>
      <c r="L528" s="2"/>
      <c r="M528" s="2"/>
      <c r="N528" s="2"/>
      <c r="O528" s="1"/>
      <c r="P528" s="1"/>
      <c r="Q528" s="1"/>
    </row>
    <row r="529">
      <c r="A529" s="1"/>
      <c r="B529" s="1"/>
      <c r="C529" s="1"/>
      <c r="D529" s="1"/>
      <c r="E529" s="1"/>
      <c r="F529" s="2"/>
      <c r="G529" s="2"/>
      <c r="H529" s="2"/>
      <c r="I529" s="2"/>
      <c r="J529" s="2"/>
      <c r="K529" s="2"/>
      <c r="L529" s="2"/>
      <c r="M529" s="2"/>
      <c r="N529" s="2"/>
      <c r="O529" s="1"/>
      <c r="P529" s="1"/>
      <c r="Q529" s="1"/>
    </row>
    <row r="530">
      <c r="A530" s="1"/>
      <c r="B530" s="1"/>
      <c r="C530" s="1"/>
      <c r="D530" s="1"/>
      <c r="E530" s="1"/>
      <c r="F530" s="2"/>
      <c r="G530" s="2"/>
      <c r="H530" s="2"/>
      <c r="I530" s="2"/>
      <c r="J530" s="2"/>
      <c r="K530" s="2"/>
      <c r="L530" s="2"/>
      <c r="M530" s="2"/>
      <c r="N530" s="2"/>
      <c r="O530" s="1"/>
      <c r="P530" s="1"/>
      <c r="Q530" s="1"/>
    </row>
    <row r="531">
      <c r="A531" s="1"/>
      <c r="B531" s="1"/>
      <c r="C531" s="1"/>
      <c r="D531" s="1"/>
      <c r="E531" s="1"/>
      <c r="F531" s="2"/>
      <c r="G531" s="2"/>
      <c r="H531" s="2"/>
      <c r="I531" s="2"/>
      <c r="J531" s="2"/>
      <c r="K531" s="2"/>
      <c r="L531" s="2"/>
      <c r="M531" s="2"/>
      <c r="N531" s="2"/>
      <c r="O531" s="1"/>
      <c r="P531" s="1"/>
      <c r="Q531" s="1"/>
    </row>
    <row r="532">
      <c r="A532" s="1"/>
      <c r="B532" s="1"/>
      <c r="C532" s="1"/>
      <c r="D532" s="1"/>
      <c r="E532" s="1"/>
      <c r="F532" s="2"/>
      <c r="G532" s="2"/>
      <c r="H532" s="2"/>
      <c r="I532" s="2"/>
      <c r="J532" s="2"/>
      <c r="K532" s="2"/>
      <c r="L532" s="2"/>
      <c r="M532" s="2"/>
      <c r="N532" s="2"/>
      <c r="O532" s="1"/>
      <c r="P532" s="1"/>
      <c r="Q532" s="1"/>
    </row>
    <row r="533">
      <c r="A533" s="1"/>
      <c r="B533" s="1"/>
      <c r="C533" s="1"/>
      <c r="D533" s="1"/>
      <c r="E533" s="1"/>
      <c r="F533" s="2"/>
      <c r="G533" s="2"/>
      <c r="H533" s="2"/>
      <c r="I533" s="2"/>
      <c r="J533" s="2"/>
      <c r="K533" s="2"/>
      <c r="L533" s="2"/>
      <c r="M533" s="2"/>
      <c r="N533" s="2"/>
      <c r="O533" s="1"/>
      <c r="P533" s="1"/>
      <c r="Q533" s="1"/>
    </row>
    <row r="534">
      <c r="A534" s="1"/>
      <c r="B534" s="1"/>
      <c r="C534" s="1"/>
      <c r="D534" s="1"/>
      <c r="E534" s="1"/>
      <c r="F534" s="2"/>
      <c r="G534" s="2"/>
      <c r="H534" s="2"/>
      <c r="I534" s="2"/>
      <c r="J534" s="2"/>
      <c r="K534" s="2"/>
      <c r="L534" s="2"/>
      <c r="M534" s="2"/>
      <c r="N534" s="2"/>
      <c r="O534" s="1"/>
      <c r="P534" s="1"/>
      <c r="Q534" s="1"/>
    </row>
    <row r="535">
      <c r="A535" s="1"/>
      <c r="B535" s="1"/>
      <c r="C535" s="1"/>
      <c r="D535" s="1"/>
      <c r="E535" s="1"/>
      <c r="F535" s="2"/>
      <c r="G535" s="2"/>
      <c r="H535" s="2"/>
      <c r="I535" s="2"/>
      <c r="J535" s="2"/>
      <c r="K535" s="2"/>
      <c r="L535" s="2"/>
      <c r="M535" s="2"/>
      <c r="N535" s="2"/>
      <c r="O535" s="1"/>
      <c r="P535" s="1"/>
      <c r="Q535" s="1"/>
    </row>
    <row r="536">
      <c r="A536" s="1"/>
      <c r="B536" s="1"/>
      <c r="C536" s="1"/>
      <c r="D536" s="1"/>
      <c r="E536" s="1"/>
      <c r="F536" s="2"/>
      <c r="G536" s="2"/>
      <c r="H536" s="2"/>
      <c r="I536" s="2"/>
      <c r="J536" s="2"/>
      <c r="K536" s="2"/>
      <c r="L536" s="2"/>
      <c r="M536" s="2"/>
      <c r="N536" s="2"/>
      <c r="O536" s="1"/>
      <c r="P536" s="1"/>
      <c r="Q536" s="1"/>
    </row>
    <row r="537">
      <c r="A537" s="1"/>
      <c r="B537" s="1"/>
      <c r="C537" s="1"/>
      <c r="D537" s="1"/>
      <c r="E537" s="1"/>
      <c r="F537" s="2"/>
      <c r="G537" s="2"/>
      <c r="H537" s="2"/>
      <c r="I537" s="2"/>
      <c r="J537" s="2"/>
      <c r="K537" s="2"/>
      <c r="L537" s="2"/>
      <c r="M537" s="2"/>
      <c r="N537" s="2"/>
      <c r="O537" s="1"/>
      <c r="P537" s="1"/>
      <c r="Q537" s="1"/>
    </row>
    <row r="538">
      <c r="A538" s="1"/>
      <c r="B538" s="1"/>
      <c r="C538" s="1"/>
      <c r="D538" s="1"/>
      <c r="E538" s="1"/>
      <c r="F538" s="2"/>
      <c r="G538" s="2"/>
      <c r="H538" s="2"/>
      <c r="I538" s="2"/>
      <c r="J538" s="2"/>
      <c r="K538" s="2"/>
      <c r="L538" s="2"/>
      <c r="M538" s="2"/>
      <c r="N538" s="2"/>
      <c r="O538" s="1"/>
      <c r="P538" s="1"/>
      <c r="Q538" s="1"/>
    </row>
    <row r="539">
      <c r="A539" s="1"/>
      <c r="B539" s="1"/>
      <c r="C539" s="1"/>
      <c r="D539" s="1"/>
      <c r="E539" s="1"/>
      <c r="F539" s="2"/>
      <c r="G539" s="2"/>
      <c r="H539" s="2"/>
      <c r="I539" s="2"/>
      <c r="J539" s="2"/>
      <c r="K539" s="2"/>
      <c r="L539" s="2"/>
      <c r="M539" s="2"/>
      <c r="N539" s="2"/>
      <c r="O539" s="1"/>
      <c r="P539" s="1"/>
      <c r="Q539" s="1"/>
    </row>
    <row r="540">
      <c r="A540" s="1"/>
      <c r="B540" s="1"/>
      <c r="C540" s="1"/>
      <c r="D540" s="1"/>
      <c r="E540" s="1"/>
      <c r="F540" s="2"/>
      <c r="G540" s="2"/>
      <c r="H540" s="2"/>
      <c r="I540" s="2"/>
      <c r="J540" s="2"/>
      <c r="K540" s="2"/>
      <c r="L540" s="2"/>
      <c r="M540" s="2"/>
      <c r="N540" s="2"/>
      <c r="O540" s="1"/>
      <c r="P540" s="1"/>
      <c r="Q540" s="1"/>
    </row>
    <row r="541">
      <c r="A541" s="1"/>
      <c r="B541" s="1"/>
      <c r="C541" s="1"/>
      <c r="D541" s="1"/>
      <c r="E541" s="1"/>
      <c r="F541" s="2"/>
      <c r="G541" s="2"/>
      <c r="H541" s="2"/>
      <c r="I541" s="2"/>
      <c r="J541" s="2"/>
      <c r="K541" s="2"/>
      <c r="L541" s="2"/>
      <c r="M541" s="2"/>
      <c r="N541" s="2"/>
      <c r="O541" s="1"/>
      <c r="P541" s="1"/>
      <c r="Q541" s="1"/>
    </row>
    <row r="542">
      <c r="A542" s="1"/>
      <c r="B542" s="1"/>
      <c r="C542" s="1"/>
      <c r="D542" s="1"/>
      <c r="E542" s="1"/>
      <c r="F542" s="2"/>
      <c r="G542" s="2"/>
      <c r="H542" s="2"/>
      <c r="I542" s="2"/>
      <c r="J542" s="2"/>
      <c r="K542" s="2"/>
      <c r="L542" s="2"/>
      <c r="M542" s="2"/>
      <c r="N542" s="2"/>
      <c r="O542" s="1"/>
      <c r="P542" s="1"/>
      <c r="Q542" s="1"/>
    </row>
  </sheetData>
  <mergeCells count="3">
    <mergeCell ref="B5:C5"/>
    <mergeCell ref="B6:C6"/>
    <mergeCell ref="B9:C9"/>
  </mergeCells>
  <conditionalFormatting sqref="G1:G542">
    <cfRule type="colorScale" priority="1">
      <colorScale>
        <cfvo type="min"/>
        <cfvo type="max"/>
        <color rgb="FFFFFFFF"/>
        <color rgb="FFFFD666"/>
      </colorScale>
    </cfRule>
  </conditionalFormatting>
  <conditionalFormatting sqref="H1:H542">
    <cfRule type="colorScale" priority="2">
      <colorScale>
        <cfvo type="min"/>
        <cfvo type="max"/>
        <color rgb="FFFFFFFF"/>
        <color rgb="FFFFD666"/>
      </colorScale>
    </cfRule>
  </conditionalFormatting>
  <conditionalFormatting sqref="J1:J542">
    <cfRule type="colorScale" priority="3">
      <colorScale>
        <cfvo type="min"/>
        <cfvo type="max"/>
        <color rgb="FFFFFFFF"/>
        <color rgb="FFFFD666"/>
      </colorScale>
    </cfRule>
  </conditionalFormatting>
  <conditionalFormatting sqref="K1:K542">
    <cfRule type="colorScale" priority="4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L1:L542">
    <cfRule type="colorScale" priority="5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M1:M542">
    <cfRule type="colorScale" priority="6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N1:N542">
    <cfRule type="colorScale" priority="7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F1:F542">
    <cfRule type="colorScale" priority="8">
      <colorScale>
        <cfvo type="min"/>
        <cfvo type="max"/>
        <color rgb="FFFFFFFF"/>
        <color rgb="FFFFD666"/>
      </colorScale>
    </cfRule>
  </conditionalFormatting>
  <conditionalFormatting sqref="C11:C40">
    <cfRule type="colorScale" priority="9">
      <colorScale>
        <cfvo type="min"/>
        <cfvo type="percentile" val="50"/>
        <cfvo type="max"/>
        <color rgb="FFE67C73"/>
        <color rgb="FFFFFFFF"/>
        <color rgb="FF57BB8A"/>
      </colorScale>
    </cfRule>
  </conditionalFormatting>
  <dataValidations>
    <dataValidation type="list" allowBlank="1" showErrorMessage="1" sqref="C2">
      <formula1>Data!$D$2:$D542</formula1>
    </dataValidation>
    <dataValidation type="list" allowBlank="1" showErrorMessage="1" sqref="C3">
      <formula1>Data!$C:$C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3.29"/>
    <col customWidth="1" min="2" max="2" width="14.86"/>
    <col customWidth="1" min="3" max="3" width="40.0"/>
    <col customWidth="1" min="5" max="5" width="17.71"/>
    <col customWidth="1" hidden="1" min="6" max="13" width="17.71"/>
    <col customWidth="1" min="14" max="15" width="17.71"/>
    <col customWidth="1" min="16" max="16" width="3.29"/>
    <col customWidth="1" min="17" max="17" width="12.29"/>
    <col customWidth="1" min="18" max="21" width="16.86"/>
    <col customWidth="1" min="22" max="22" width="17.57"/>
    <col customWidth="1" min="23" max="27" width="16.86"/>
    <col customWidth="1" min="28" max="28" width="25.71"/>
    <col customWidth="1" min="29" max="29" width="11.57"/>
  </cols>
  <sheetData>
    <row r="1" ht="7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</row>
    <row r="2">
      <c r="A2" s="17"/>
      <c r="B2" s="18" t="s">
        <v>51</v>
      </c>
      <c r="C2" s="19" t="s">
        <v>52</v>
      </c>
      <c r="D2" s="20"/>
      <c r="E2" s="21" t="s">
        <v>8</v>
      </c>
      <c r="F2" s="22"/>
      <c r="G2" s="22"/>
      <c r="H2" s="23"/>
      <c r="I2" s="24"/>
      <c r="J2" s="24"/>
      <c r="K2" s="24"/>
      <c r="L2" s="25"/>
      <c r="M2" s="25"/>
      <c r="N2" s="26" t="s">
        <v>9</v>
      </c>
      <c r="O2" s="27" t="s">
        <v>10</v>
      </c>
      <c r="P2" s="17"/>
      <c r="Q2" s="28" t="s">
        <v>53</v>
      </c>
      <c r="V2" s="29"/>
      <c r="W2" s="17"/>
      <c r="X2" s="17"/>
      <c r="Y2" s="17"/>
      <c r="Z2" s="17"/>
      <c r="AA2" s="17"/>
      <c r="AB2" s="17"/>
      <c r="AC2" s="17"/>
    </row>
    <row r="3" ht="7.5" customHeight="1">
      <c r="A3" s="17"/>
      <c r="B3" s="30"/>
      <c r="C3" s="30"/>
      <c r="D3" s="31"/>
      <c r="E3" s="31"/>
      <c r="F3" s="32"/>
      <c r="G3" s="33"/>
      <c r="H3" s="34"/>
      <c r="I3" s="35"/>
      <c r="J3" s="35"/>
      <c r="K3" s="35"/>
      <c r="L3" s="36"/>
      <c r="M3" s="36"/>
      <c r="N3" s="17"/>
      <c r="O3" s="3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</row>
    <row r="4">
      <c r="A4" s="17"/>
      <c r="B4" s="38" t="str">
        <f>"LEBRON Impact Data for "&amp;C2</f>
        <v>LEBRON Impact Data for James Harden</v>
      </c>
      <c r="P4" s="17"/>
      <c r="Q4" s="17"/>
      <c r="R4" s="39" t="s">
        <v>54</v>
      </c>
      <c r="V4" s="39"/>
      <c r="W4" s="39" t="s">
        <v>55</v>
      </c>
      <c r="AB4" s="39"/>
      <c r="AC4" s="17"/>
    </row>
    <row r="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40" t="s">
        <v>12</v>
      </c>
      <c r="R5" s="40" t="s">
        <v>4</v>
      </c>
      <c r="S5" s="41" t="s">
        <v>9</v>
      </c>
      <c r="T5" s="42" t="s">
        <v>10</v>
      </c>
      <c r="U5" s="43" t="s">
        <v>8</v>
      </c>
      <c r="V5" s="44" t="s">
        <v>11</v>
      </c>
      <c r="W5" s="40" t="s">
        <v>4</v>
      </c>
      <c r="X5" s="41" t="s">
        <v>9</v>
      </c>
      <c r="Y5" s="42" t="s">
        <v>10</v>
      </c>
      <c r="Z5" s="43" t="s">
        <v>8</v>
      </c>
      <c r="AA5" s="44" t="s">
        <v>11</v>
      </c>
      <c r="AB5" s="44" t="s">
        <v>56</v>
      </c>
      <c r="AC5" s="17"/>
    </row>
    <row r="6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45" t="str">
        <f>IFERROR(__xludf.DUMMYFUNCTION("filter(H9:H20,L9:L20&lt;&gt;"""")"),"2013-14")</f>
        <v>2013-14</v>
      </c>
      <c r="R6" s="46">
        <f>IFERROR(__xludf.DUMMYFUNCTION("filter(L9:L20,L9:L20&lt;&gt;"""")"),2777.46)</f>
        <v>2777.46</v>
      </c>
      <c r="S6" s="47">
        <f>IFERROR(__xludf.DUMMYFUNCTION("filter(I9:K20,L9:L20&lt;&gt;"""")"),5.24974824093418)</f>
        <v>5.249748241</v>
      </c>
      <c r="T6" s="47">
        <f>IFERROR(__xludf.DUMMYFUNCTION("""COMPUTED_VALUE"""),-0.503620003160907)</f>
        <v>-0.5036200032</v>
      </c>
      <c r="U6" s="47">
        <f>IFERROR(__xludf.DUMMYFUNCTION("""COMPUTED_VALUE"""),4.74612823777327)</f>
        <v>4.746128238</v>
      </c>
      <c r="V6" s="46">
        <f>IFERROR(__xludf.DUMMYFUNCTION("filter(M9:M20,L9:L20&lt;&gt;"""")"),12.901142581948429)</f>
        <v>12.90114258</v>
      </c>
      <c r="W6" s="48">
        <f>if(R6="","",if(PERCENTRANK(Data!F:F,R6)=1,"👑",if(PERCENTRANK(Data!F:F,R6)=0,"💩",PERCENTRANK(Data!F:F,R6))))</f>
        <v>0.983</v>
      </c>
      <c r="X6" s="48">
        <f>if(S6="","",if(RANK(S6,Data!K:K)=1,"👑",if(PERCENTRANK(Data!K:K,S6)=0,"💩",PERCENTRANK(Data!K:K,S6))))</f>
        <v>0.994</v>
      </c>
      <c r="Y6" s="48">
        <f>if(T6="","",if(RANK(T6,Data!L:L)=1,"👑",if(PERCENTRANK(Data!L:L,T6)=0,"💩",PERCENTRANK(Data!L:L,T6))))</f>
        <v>0.34</v>
      </c>
      <c r="Z6" s="48">
        <f>if(U6="","",if(RANK(U6,Data!J:J)=1,"👑",if(PERCENTRANK(Data!J:J,U6)=0,"💩",PERCENTRANK(Data!J:J,U6))))</f>
        <v>0.986</v>
      </c>
      <c r="AA6" s="48">
        <f>if(V6="","",if(RANK(V6,Data!M:M)=1,"👑",if(PERCENTRANK(Data!M:M,V6)=0,"💩",PERCENTRANK(Data!M:M,V6))))</f>
        <v>0.992</v>
      </c>
      <c r="AB6" s="49" t="str">
        <f>IFERROR(__xludf.DUMMYFUNCTION("if(V6="""","""",if(RANK(V6,filter(Data!M:M,Data!C:C=Q6))&lt;6,""MVP Candidate"",if(RANK(V6,filter(Data!M:M,Data!C:C=Q6))&lt;16,""All NBA"",if(RANK(V6,filter(Data!M:M,Data!C:C=Q6))&lt;25,""All Star"",if(RANK(V6,filter(Data!M:M,Data!C:C=Q6))&lt;151,""Starter"",if(RANK("&amp;"V6,filter(Data!M:M,Data!C:C=Q6))&lt;271,""Rotation"",if(RANK(V6,filter(Data!M:M,Data!C:C=Q6))&lt;361,""Bench"",if(RANK(V6,filter(Data!M:M,Data!C:C=Q6))&gt;360,""Fringe NBA"",""""))))))))"),"MVP Candidate")</f>
        <v>MVP Candidate</v>
      </c>
      <c r="AC6" s="17"/>
    </row>
    <row r="7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45" t="str">
        <f>IFERROR(__xludf.DUMMYFUNCTION("""COMPUTED_VALUE"""),"2014-15")</f>
        <v>2014-15</v>
      </c>
      <c r="R7" s="46">
        <f>IFERROR(__xludf.DUMMYFUNCTION("""COMPUTED_VALUE"""),2980.865)</f>
        <v>2980.865</v>
      </c>
      <c r="S7" s="47">
        <f>IFERROR(__xludf.DUMMYFUNCTION("""COMPUTED_VALUE"""),5.66137888044175)</f>
        <v>5.66137888</v>
      </c>
      <c r="T7" s="47">
        <f>IFERROR(__xludf.DUMMYFUNCTION("""COMPUTED_VALUE"""),-0.324610881337971)</f>
        <v>-0.3246108813</v>
      </c>
      <c r="U7" s="47">
        <f>IFERROR(__xludf.DUMMYFUNCTION("""COMPUTED_VALUE"""),5.33676799910378)</f>
        <v>5.336767999</v>
      </c>
      <c r="V7" s="46">
        <f>IFERROR(__xludf.DUMMYFUNCTION("""COMPUTED_VALUE"""),14.915470244729422)</f>
        <v>14.91547024</v>
      </c>
      <c r="W7" s="48">
        <f>if(R7="","",if(PERCENTRANK(Data!F:F,R7)=1,"👑",if(PERCENTRANK(Data!F:F,R7)=0,"💩",PERCENTRANK(Data!F:F,R7))))</f>
        <v>0.998</v>
      </c>
      <c r="X7" s="48">
        <f>if(S7="","",if(RANK(S7,Data!K:K)=1,"👑",if(PERCENTRANK(Data!K:K,S7)=0,"💩",PERCENTRANK(Data!K:K,S7))))</f>
        <v>0.996</v>
      </c>
      <c r="Y7" s="48">
        <f>if(T7="","",if(RANK(T7,Data!L:L)=1,"👑",if(PERCENTRANK(Data!L:L,T7)=0,"💩",PERCENTRANK(Data!L:L,T7))))</f>
        <v>0.423</v>
      </c>
      <c r="Z7" s="48">
        <f>if(U7="","",if(RANK(U7,Data!J:J)=1,"👑",if(PERCENTRANK(Data!J:J,U7)=0,"💩",PERCENTRANK(Data!J:J,U7))))</f>
        <v>0.99</v>
      </c>
      <c r="AA7" s="48">
        <f>if(V7="","",if(RANK(V7,Data!M:M)=1,"👑",if(PERCENTRANK(Data!M:M,V7)=0,"💩",PERCENTRANK(Data!M:M,V7))))</f>
        <v>0.997</v>
      </c>
      <c r="AB7" s="49" t="str">
        <f>IFERROR(__xludf.DUMMYFUNCTION("if(V7="""","""",if(RANK(V7,filter(Data!M:M,Data!C:C=Q7))&lt;6,""MVP Candidate"",if(RANK(V7,filter(Data!M:M,Data!C:C=Q7))&lt;16,""All NBA"",if(RANK(V7,filter(Data!M:M,Data!C:C=Q7))&lt;25,""All Star"",if(RANK(V7,filter(Data!M:M,Data!C:C=Q7))&lt;151,""Starter"",if(RANK("&amp;"V7,filter(Data!M:M,Data!C:C=Q7))&lt;271,""Rotation"",if(RANK(V7,filter(Data!M:M,Data!C:C=Q7))&lt;361,""Bench"",if(RANK(V7,filter(Data!M:M,Data!C:C=Q7))&gt;360,""Fringe NBA"",""""))))))))"),"MVP Candidate")</f>
        <v>MVP Candidate</v>
      </c>
      <c r="AC7" s="17"/>
    </row>
    <row r="8">
      <c r="A8" s="17"/>
      <c r="B8" s="17"/>
      <c r="C8" s="17"/>
      <c r="D8" s="17"/>
      <c r="E8" s="17"/>
      <c r="F8" s="33" t="s">
        <v>12</v>
      </c>
      <c r="G8" s="33" t="s">
        <v>57</v>
      </c>
      <c r="H8" s="50" t="s">
        <v>12</v>
      </c>
      <c r="I8" s="51" t="s">
        <v>58</v>
      </c>
      <c r="J8" s="51" t="s">
        <v>59</v>
      </c>
      <c r="K8" s="51" t="s">
        <v>60</v>
      </c>
      <c r="L8" s="33" t="s">
        <v>4</v>
      </c>
      <c r="M8" s="52" t="s">
        <v>11</v>
      </c>
      <c r="N8" s="17"/>
      <c r="O8" s="17"/>
      <c r="P8" s="17"/>
      <c r="Q8" s="45" t="str">
        <f>IFERROR(__xludf.DUMMYFUNCTION("""COMPUTED_VALUE"""),"2015-16")</f>
        <v>2015-16</v>
      </c>
      <c r="R8" s="46">
        <f>IFERROR(__xludf.DUMMYFUNCTION("""COMPUTED_VALUE"""),3124.635)</f>
        <v>3124.635</v>
      </c>
      <c r="S8" s="47">
        <f>IFERROR(__xludf.DUMMYFUNCTION("""COMPUTED_VALUE"""),4.75796386983191)</f>
        <v>4.75796387</v>
      </c>
      <c r="T8" s="47">
        <f>IFERROR(__xludf.DUMMYFUNCTION("""COMPUTED_VALUE"""),-0.462253777384937)</f>
        <v>-0.4622537774</v>
      </c>
      <c r="U8" s="47">
        <f>IFERROR(__xludf.DUMMYFUNCTION("""COMPUTED_VALUE"""),4.29571009244698)</f>
        <v>4.295710092</v>
      </c>
      <c r="V8" s="46">
        <f>IFERROR(__xludf.DUMMYFUNCTION("""COMPUTED_VALUE"""),13.641402864796383)</f>
        <v>13.64140286</v>
      </c>
      <c r="W8" s="48" t="str">
        <f>if(R8="","",if(PERCENTRANK(Data!F:F,R8)=1,"👑",if(PERCENTRANK(Data!F:F,R8)=0,"💩",PERCENTRANK(Data!F:F,R8))))</f>
        <v>👑</v>
      </c>
      <c r="X8" s="48">
        <f>if(S8="","",if(RANK(S8,Data!K:K)=1,"👑",if(PERCENTRANK(Data!K:K,S8)=0,"💩",PERCENTRANK(Data!K:K,S8))))</f>
        <v>0.991</v>
      </c>
      <c r="Y8" s="48">
        <f>if(T8="","",if(RANK(T8,Data!L:L)=1,"👑",if(PERCENTRANK(Data!L:L,T8)=0,"💩",PERCENTRANK(Data!L:L,T8))))</f>
        <v>0.359</v>
      </c>
      <c r="Z8" s="48">
        <f>if(U8="","",if(RANK(U8,Data!J:J)=1,"👑",if(PERCENTRANK(Data!J:J,U8)=0,"💩",PERCENTRANK(Data!J:J,U8))))</f>
        <v>0.98</v>
      </c>
      <c r="AA8" s="48">
        <f>if(V8="","",if(RANK(V8,Data!M:M)=1,"👑",if(PERCENTRANK(Data!M:M,V8)=0,"💩",PERCENTRANK(Data!M:M,V8))))</f>
        <v>0.995</v>
      </c>
      <c r="AB8" s="49" t="str">
        <f>IFERROR(__xludf.DUMMYFUNCTION("if(V8="""","""",if(RANK(V8,filter(Data!M:M,Data!C:C=Q8))&lt;6,""MVP Candidate"",if(RANK(V8,filter(Data!M:M,Data!C:C=Q8))&lt;16,""All NBA"",if(RANK(V8,filter(Data!M:M,Data!C:C=Q8))&lt;25,""All Star"",if(RANK(V8,filter(Data!M:M,Data!C:C=Q8))&lt;151,""Starter"",if(RANK("&amp;"V8,filter(Data!M:M,Data!C:C=Q8))&lt;271,""Rotation"",if(RANK(V8,filter(Data!M:M,Data!C:C=Q8))&lt;361,""Bench"",if(RANK(V8,filter(Data!M:M,Data!C:C=Q8))&gt;360,""Fringe NBA"",""""))))))))"),"MVP Candidate")</f>
        <v>MVP Candidate</v>
      </c>
      <c r="AC8" s="17"/>
    </row>
    <row r="9">
      <c r="A9" s="17"/>
      <c r="B9" s="17"/>
      <c r="C9" s="17"/>
      <c r="D9" s="17"/>
      <c r="E9" s="17"/>
      <c r="F9" s="32" t="s">
        <v>61</v>
      </c>
      <c r="G9" s="33">
        <f>countifs(Data!B:B,C$2,Data!C:C,F9)</f>
        <v>0</v>
      </c>
      <c r="H9" s="34" t="str">
        <f t="shared" ref="H9:H20" si="1">IF(G9=1,F9,"")</f>
        <v/>
      </c>
      <c r="I9" s="35" t="str">
        <f>IF($G9=1,SUMIFS(Data!K:K,Data!$B:$B,$C$2,Data!$C:$C,$F9),"")</f>
        <v/>
      </c>
      <c r="J9" s="35" t="str">
        <f>IF($G9=1,SUMIFS(Data!L:L,Data!$B:$B,$C$2,Data!$C:$C,$F9),"")</f>
        <v/>
      </c>
      <c r="K9" s="35" t="str">
        <f>IF($G9=1,SUMIFS(Data!J:J,Data!$B:$B,$C$2,Data!$C:$C,$F9),"")</f>
        <v/>
      </c>
      <c r="L9" s="36" t="str">
        <f>IF($G9=1,SUMIFS(Data!F:F,Data!$B:$B,$C$2,Data!$C:$C,$F9),"")</f>
        <v/>
      </c>
      <c r="M9" s="36" t="str">
        <f>IF($G9=1,SUMIFS(Data!M:M,Data!$B:$B,$C$2,Data!$C:$C,$F9),"")</f>
        <v/>
      </c>
      <c r="N9" s="17"/>
      <c r="O9" s="17"/>
      <c r="P9" s="17"/>
      <c r="Q9" s="45" t="str">
        <f>IFERROR(__xludf.DUMMYFUNCTION("""COMPUTED_VALUE"""),"2016-17")</f>
        <v>2016-17</v>
      </c>
      <c r="R9" s="46">
        <f>IFERROR(__xludf.DUMMYFUNCTION("""COMPUTED_VALUE"""),2946.72)</f>
        <v>2946.72</v>
      </c>
      <c r="S9" s="47">
        <f>IFERROR(__xludf.DUMMYFUNCTION("""COMPUTED_VALUE"""),6.2705357205564)</f>
        <v>6.270535721</v>
      </c>
      <c r="T9" s="47">
        <f>IFERROR(__xludf.DUMMYFUNCTION("""COMPUTED_VALUE"""),-0.719890790189957)</f>
        <v>-0.7198907902</v>
      </c>
      <c r="U9" s="47">
        <f>IFERROR(__xludf.DUMMYFUNCTION("""COMPUTED_VALUE"""),5.55064493036645)</f>
        <v>5.55064493</v>
      </c>
      <c r="V9" s="46">
        <f>IFERROR(__xludf.DUMMYFUNCTION("""COMPUTED_VALUE"""),15.121063728810272)</f>
        <v>15.12106373</v>
      </c>
      <c r="W9" s="48">
        <f>if(R9="","",if(PERCENTRANK(Data!F:F,R9)=1,"👑",if(PERCENTRANK(Data!F:F,R9)=0,"💩",PERCENTRANK(Data!F:F,R9))))</f>
        <v>0.996</v>
      </c>
      <c r="X9" s="48">
        <f>if(S9="","",if(RANK(S9,Data!K:K)=1,"👑",if(PERCENTRANK(Data!K:K,S9)=0,"💩",PERCENTRANK(Data!K:K,S9))))</f>
        <v>0.999</v>
      </c>
      <c r="Y9" s="48">
        <f>if(T9="","",if(RANK(T9,Data!L:L)=1,"👑",if(PERCENTRANK(Data!L:L,T9)=0,"💩",PERCENTRANK(Data!L:L,T9))))</f>
        <v>0.251</v>
      </c>
      <c r="Z9" s="48">
        <f>if(U9="","",if(RANK(U9,Data!J:J)=1,"👑",if(PERCENTRANK(Data!J:J,U9)=0,"💩",PERCENTRANK(Data!J:J,U9))))</f>
        <v>0.993</v>
      </c>
      <c r="AA9" s="48">
        <f>if(V9="","",if(RANK(V9,Data!M:M)=1,"👑",if(PERCENTRANK(Data!M:M,V9)=0,"💩",PERCENTRANK(Data!M:M,V9))))</f>
        <v>0.998</v>
      </c>
      <c r="AB9" s="49" t="str">
        <f>IFERROR(__xludf.DUMMYFUNCTION("if(V9="""","""",if(RANK(V9,filter(Data!M:M,Data!C:C=Q9))&lt;6,""MVP Candidate"",if(RANK(V9,filter(Data!M:M,Data!C:C=Q9))&lt;16,""All NBA"",if(RANK(V9,filter(Data!M:M,Data!C:C=Q9))&lt;25,""All Star"",if(RANK(V9,filter(Data!M:M,Data!C:C=Q9))&lt;151,""Starter"",if(RANK("&amp;"V9,filter(Data!M:M,Data!C:C=Q9))&lt;271,""Rotation"",if(RANK(V9,filter(Data!M:M,Data!C:C=Q9))&lt;361,""Bench"",if(RANK(V9,filter(Data!M:M,Data!C:C=Q9))&gt;360,""Fringe NBA"",""""))))))))"),"MVP Candidate")</f>
        <v>MVP Candidate</v>
      </c>
      <c r="AC9" s="17"/>
    </row>
    <row r="10">
      <c r="A10" s="17"/>
      <c r="B10" s="17"/>
      <c r="C10" s="17"/>
      <c r="D10" s="17"/>
      <c r="E10" s="17"/>
      <c r="F10" s="32" t="s">
        <v>62</v>
      </c>
      <c r="G10" s="33">
        <f>countifs(Data!B:B,C$2,Data!C:C,F10)</f>
        <v>0</v>
      </c>
      <c r="H10" s="34" t="str">
        <f t="shared" si="1"/>
        <v/>
      </c>
      <c r="I10" s="35" t="str">
        <f>IF($G10=1,SUMIFS(Data!K:K,Data!$B:$B,$C$2,Data!$C:$C,$F10),"")</f>
        <v/>
      </c>
      <c r="J10" s="35" t="str">
        <f>IF($G10=1,SUMIFS(Data!L:L,Data!$B:$B,$C$2,Data!$C:$C,$F10),"")</f>
        <v/>
      </c>
      <c r="K10" s="35" t="str">
        <f>IF($G10=1,SUMIFS(Data!J:J,Data!$B:$B,$C$2,Data!$C:$C,$F10),"")</f>
        <v/>
      </c>
      <c r="L10" s="36" t="str">
        <f>IF($G10=1,SUMIFS(Data!F:F,Data!$B:$B,$C$2,Data!$C:$C,$F10),"")</f>
        <v/>
      </c>
      <c r="M10" s="36" t="str">
        <f>IF($G10=1,SUMIFS(Data!M:M,Data!$B:$B,$C$2,Data!$C:$C,$F10),"")</f>
        <v/>
      </c>
      <c r="N10" s="17"/>
      <c r="O10" s="17"/>
      <c r="P10" s="17"/>
      <c r="Q10" s="45" t="str">
        <f>IFERROR(__xludf.DUMMYFUNCTION("""COMPUTED_VALUE"""),"2017-18")</f>
        <v>2017-18</v>
      </c>
      <c r="R10" s="46">
        <f>IFERROR(__xludf.DUMMYFUNCTION("""COMPUTED_VALUE"""),2550.785)</f>
        <v>2550.785</v>
      </c>
      <c r="S10" s="47">
        <f>IFERROR(__xludf.DUMMYFUNCTION("""COMPUTED_VALUE"""),6.57485184171218)</f>
        <v>6.574851842</v>
      </c>
      <c r="T10" s="47">
        <f>IFERROR(__xludf.DUMMYFUNCTION("""COMPUTED_VALUE"""),-0.301570332365203)</f>
        <v>-0.3015703324</v>
      </c>
      <c r="U10" s="47">
        <f>IFERROR(__xludf.DUMMYFUNCTION("""COMPUTED_VALUE"""),6.27328150934698)</f>
        <v>6.273281509</v>
      </c>
      <c r="V10" s="46">
        <f>IFERROR(__xludf.DUMMYFUNCTION("""COMPUTED_VALUE"""),14.167112468301049)</f>
        <v>14.16711247</v>
      </c>
      <c r="W10" s="48">
        <f>if(R10="","",if(PERCENTRANK(Data!F:F,R10)=1,"👑",if(PERCENTRANK(Data!F:F,R10)=0,"💩",PERCENTRANK(Data!F:F,R10))))</f>
        <v>0.954</v>
      </c>
      <c r="X10" s="48">
        <f>if(S10="","",if(RANK(S10,Data!K:K)=1,"👑",if(PERCENTRANK(Data!K:K,S10)=0,"💩",PERCENTRANK(Data!K:K,S10))))</f>
        <v>1</v>
      </c>
      <c r="Y10" s="48">
        <f>if(T10="","",if(RANK(T10,Data!L:L)=1,"👑",if(PERCENTRANK(Data!L:L,T10)=0,"💩",PERCENTRANK(Data!L:L,T10))))</f>
        <v>0.435</v>
      </c>
      <c r="Z10" s="48">
        <f>if(U10="","",if(RANK(U10,Data!J:J)=1,"👑",if(PERCENTRANK(Data!J:J,U10)=0,"💩",PERCENTRANK(Data!J:J,U10))))</f>
        <v>0.997</v>
      </c>
      <c r="AA10" s="48">
        <f>if(V10="","",if(RANK(V10,Data!M:M)=1,"👑",if(PERCENTRANK(Data!M:M,V10)=0,"💩",PERCENTRANK(Data!M:M,V10))))</f>
        <v>0.995</v>
      </c>
      <c r="AB10" s="49" t="str">
        <f>IFERROR(__xludf.DUMMYFUNCTION("if(V10="""","""",if(RANK(V10,filter(Data!M:M,Data!C:C=Q10))&lt;6,""MVP Candidate"",if(RANK(V10,filter(Data!M:M,Data!C:C=Q10))&lt;16,""All NBA"",if(RANK(V10,filter(Data!M:M,Data!C:C=Q10))&lt;25,""All Star"",if(RANK(V10,filter(Data!M:M,Data!C:C=Q10))&lt;151,""Starter"""&amp;",if(RANK(V10,filter(Data!M:M,Data!C:C=Q10))&lt;271,""Rotation"",if(RANK(V10,filter(Data!M:M,Data!C:C=Q10))&lt;361,""Bench"",if(RANK(V10,filter(Data!M:M,Data!C:C=Q10))&gt;360,""Fringe NBA"",""""))))))))"),"MVP Candidate")</f>
        <v>MVP Candidate</v>
      </c>
      <c r="AC10" s="17"/>
    </row>
    <row r="11">
      <c r="A11" s="17"/>
      <c r="B11" s="17"/>
      <c r="C11" s="17"/>
      <c r="D11" s="17"/>
      <c r="E11" s="17"/>
      <c r="F11" s="32" t="s">
        <v>63</v>
      </c>
      <c r="G11" s="33">
        <f>countifs(Data!B:B,C$2,Data!C:C,F11)</f>
        <v>0</v>
      </c>
      <c r="H11" s="34" t="str">
        <f t="shared" si="1"/>
        <v/>
      </c>
      <c r="I11" s="35" t="str">
        <f>IF($G11=1,SUMIFS(Data!K:K,Data!$B:$B,$C$2,Data!$C:$C,$F11),"")</f>
        <v/>
      </c>
      <c r="J11" s="35" t="str">
        <f>IF($G11=1,SUMIFS(Data!L:L,Data!$B:$B,$C$2,Data!$C:$C,$F11),"")</f>
        <v/>
      </c>
      <c r="K11" s="35" t="str">
        <f>IF($G11=1,SUMIFS(Data!J:J,Data!$B:$B,$C$2,Data!$C:$C,$F11),"")</f>
        <v/>
      </c>
      <c r="L11" s="36" t="str">
        <f>IF($G11=1,SUMIFS(Data!F:F,Data!$B:$B,$C$2,Data!$C:$C,$F11),"")</f>
        <v/>
      </c>
      <c r="M11" s="36" t="str">
        <f>IF($G11=1,SUMIFS(Data!M:M,Data!$B:$B,$C$2,Data!$C:$C,$F11),"")</f>
        <v/>
      </c>
      <c r="N11" s="17"/>
      <c r="O11" s="17"/>
      <c r="P11" s="17"/>
      <c r="Q11" s="45" t="str">
        <f>IFERROR(__xludf.DUMMYFUNCTION("""COMPUTED_VALUE"""),"2018-19")</f>
        <v>2018-19</v>
      </c>
      <c r="R11" s="46">
        <f>IFERROR(__xludf.DUMMYFUNCTION("""COMPUTED_VALUE"""),2866.725)</f>
        <v>2866.725</v>
      </c>
      <c r="S11" s="47">
        <f>IFERROR(__xludf.DUMMYFUNCTION("""COMPUTED_VALUE"""),6.74342807593915)</f>
        <v>6.743428076</v>
      </c>
      <c r="T11" s="47">
        <f>IFERROR(__xludf.DUMMYFUNCTION("""COMPUTED_VALUE"""),-0.553257834582977)</f>
        <v>-0.5532578346</v>
      </c>
      <c r="U11" s="47">
        <f>IFERROR(__xludf.DUMMYFUNCTION("""COMPUTED_VALUE"""),6.19017024135617)</f>
        <v>6.190170241</v>
      </c>
      <c r="V11" s="46">
        <f>IFERROR(__xludf.DUMMYFUNCTION("""COMPUTED_VALUE"""),15.784654530570437)</f>
        <v>15.78465453</v>
      </c>
      <c r="W11" s="48">
        <f>if(R11="","",if(PERCENTRANK(Data!F:F,R11)=1,"👑",if(PERCENTRANK(Data!F:F,R11)=0,"💩",PERCENTRANK(Data!F:F,R11))))</f>
        <v>0.992</v>
      </c>
      <c r="X11" s="48" t="str">
        <f>if(S11="","",if(RANK(S11,Data!K:K)=1,"👑",if(PERCENTRANK(Data!K:K,S11)=0,"💩",PERCENTRANK(Data!K:K,S11))))</f>
        <v>👑</v>
      </c>
      <c r="Y11" s="48">
        <f>if(T11="","",if(RANK(T11,Data!L:L)=1,"👑",if(PERCENTRANK(Data!L:L,T11)=0,"💩",PERCENTRANK(Data!L:L,T11))))</f>
        <v>0.32</v>
      </c>
      <c r="Z11" s="48">
        <f>if(U11="","",if(RANK(U11,Data!J:J)=1,"👑",if(PERCENTRANK(Data!J:J,U11)=0,"💩",PERCENTRANK(Data!J:J,U11))))</f>
        <v>0.997</v>
      </c>
      <c r="AA11" s="48">
        <f>if(V11="","",if(RANK(V11,Data!M:M)=1,"👑",if(PERCENTRANK(Data!M:M,V11)=0,"💩",PERCENTRANK(Data!M:M,V11))))</f>
        <v>1</v>
      </c>
      <c r="AB11" s="49" t="str">
        <f>IFERROR(__xludf.DUMMYFUNCTION("if(V11="""","""",if(RANK(V11,filter(Data!M:M,Data!C:C=Q11))&lt;6,""MVP Candidate"",if(RANK(V11,filter(Data!M:M,Data!C:C=Q11))&lt;16,""All NBA"",if(RANK(V11,filter(Data!M:M,Data!C:C=Q11))&lt;25,""All Star"",if(RANK(V11,filter(Data!M:M,Data!C:C=Q11))&lt;151,""Starter"""&amp;",if(RANK(V11,filter(Data!M:M,Data!C:C=Q11))&lt;271,""Rotation"",if(RANK(V11,filter(Data!M:M,Data!C:C=Q11))&lt;361,""Bench"",if(RANK(V11,filter(Data!M:M,Data!C:C=Q11))&gt;360,""Fringe NBA"",""""))))))))"),"MVP Candidate")</f>
        <v>MVP Candidate</v>
      </c>
      <c r="AC11" s="17"/>
    </row>
    <row r="12">
      <c r="A12" s="17"/>
      <c r="B12" s="17"/>
      <c r="C12" s="17"/>
      <c r="D12" s="17"/>
      <c r="E12" s="17"/>
      <c r="F12" s="53" t="s">
        <v>64</v>
      </c>
      <c r="G12" s="33">
        <f>countifs(Data!B:B,C$2,Data!C:C,F12)</f>
        <v>0</v>
      </c>
      <c r="H12" s="34" t="str">
        <f t="shared" si="1"/>
        <v/>
      </c>
      <c r="I12" s="35" t="str">
        <f>IF($G12=1,SUMIFS(Data!K:K,Data!$B:$B,$C$2,Data!$C:$C,$F12),"")</f>
        <v/>
      </c>
      <c r="J12" s="35" t="str">
        <f>IF($G12=1,SUMIFS(Data!L:L,Data!$B:$B,$C$2,Data!$C:$C,$F12),"")</f>
        <v/>
      </c>
      <c r="K12" s="35" t="str">
        <f>IF($G12=1,SUMIFS(Data!J:J,Data!$B:$B,$C$2,Data!$C:$C,$F12),"")</f>
        <v/>
      </c>
      <c r="L12" s="36" t="str">
        <f>IF($G12=1,SUMIFS(Data!F:F,Data!$B:$B,$C$2,Data!$C:$C,$F12),"")</f>
        <v/>
      </c>
      <c r="M12" s="36" t="str">
        <f>IF($G12=1,SUMIFS(Data!M:M,Data!$B:$B,$C$2,Data!$C:$C,$F12),"")</f>
        <v/>
      </c>
      <c r="N12" s="17"/>
      <c r="O12" s="17"/>
      <c r="P12" s="17"/>
      <c r="Q12" s="45" t="str">
        <f>IFERROR(__xludf.DUMMYFUNCTION("""COMPUTED_VALUE"""),"2019-20")</f>
        <v>2019-20</v>
      </c>
      <c r="R12" s="46">
        <f>IFERROR(__xludf.DUMMYFUNCTION("""COMPUTED_VALUE"""),2482.55)</f>
        <v>2482.55</v>
      </c>
      <c r="S12" s="47">
        <f>IFERROR(__xludf.DUMMYFUNCTION("""COMPUTED_VALUE"""),6.39841393466289)</f>
        <v>6.398413935</v>
      </c>
      <c r="T12" s="47">
        <f>IFERROR(__xludf.DUMMYFUNCTION("""COMPUTED_VALUE"""),0.428487580977151)</f>
        <v>0.428487581</v>
      </c>
      <c r="U12" s="47">
        <f>IFERROR(__xludf.DUMMYFUNCTION("""COMPUTED_VALUE"""),6.82690151564004)</f>
        <v>6.826901516</v>
      </c>
      <c r="V12" s="46">
        <f>IFERROR(__xludf.DUMMYFUNCTION("""COMPUTED_VALUE"""),14.56689002352609)</f>
        <v>14.56689002</v>
      </c>
      <c r="W12" s="48">
        <f>if(R12="","",if(PERCENTRANK(Data!F:F,R12)=1,"👑",if(PERCENTRANK(Data!F:F,R12)=0,"💩",PERCENTRANK(Data!F:F,R12))))</f>
        <v>0.941</v>
      </c>
      <c r="X12" s="48">
        <f>if(S12="","",if(RANK(S12,Data!K:K)=1,"👑",if(PERCENTRANK(Data!K:K,S12)=0,"💩",PERCENTRANK(Data!K:K,S12))))</f>
        <v>0.999</v>
      </c>
      <c r="Y12" s="48">
        <f>if(T12="","",if(RANK(T12,Data!L:L)=1,"👑",if(PERCENTRANK(Data!L:L,T12)=0,"💩",PERCENTRANK(Data!L:L,T12))))</f>
        <v>0.732</v>
      </c>
      <c r="Z12" s="48">
        <f>if(U12="","",if(RANK(U12,Data!J:J)=1,"👑",if(PERCENTRANK(Data!J:J,U12)=0,"💩",PERCENTRANK(Data!J:J,U12))))</f>
        <v>0.999</v>
      </c>
      <c r="AA12" s="48">
        <f>if(V12="","",if(RANK(V12,Data!M:M)=1,"👑",if(PERCENTRANK(Data!M:M,V12)=0,"💩",PERCENTRANK(Data!M:M,V12))))</f>
        <v>0.997</v>
      </c>
      <c r="AB12" s="49" t="str">
        <f>IFERROR(__xludf.DUMMYFUNCTION("if(V12="""","""",if(RANK(V12,filter(Data!M:M,Data!C:C=Q12))&lt;6,""MVP Candidate"",if(RANK(V12,filter(Data!M:M,Data!C:C=Q12))&lt;16,""All NBA"",if(RANK(V12,filter(Data!M:M,Data!C:C=Q12))&lt;25,""All Star"",if(RANK(V12,filter(Data!M:M,Data!C:C=Q12))&lt;151,""Starter"""&amp;",if(RANK(V12,filter(Data!M:M,Data!C:C=Q12))&lt;271,""Rotation"",if(RANK(V12,filter(Data!M:M,Data!C:C=Q12))&lt;361,""Bench"",if(RANK(V12,filter(Data!M:M,Data!C:C=Q12))&gt;360,""Fringe NBA"",""""))))))))"),"MVP Candidate")</f>
        <v>MVP Candidate</v>
      </c>
      <c r="AC12" s="17"/>
    </row>
    <row r="13">
      <c r="A13" s="17"/>
      <c r="B13" s="17"/>
      <c r="C13" s="17"/>
      <c r="D13" s="17"/>
      <c r="E13" s="17"/>
      <c r="F13" s="53" t="s">
        <v>65</v>
      </c>
      <c r="G13" s="33">
        <f>countifs(Data!B:B,C$2,Data!C:C,F13)</f>
        <v>1</v>
      </c>
      <c r="H13" s="34" t="str">
        <f t="shared" si="1"/>
        <v>2013-14</v>
      </c>
      <c r="I13" s="35">
        <f>IF($G13=1,SUMIFS(Data!K:K,Data!$B:$B,$C$2,Data!$C:$C,$F13),"")</f>
        <v>5.249748241</v>
      </c>
      <c r="J13" s="35">
        <f>IF($G13=1,SUMIFS(Data!L:L,Data!$B:$B,$C$2,Data!$C:$C,$F13),"")</f>
        <v>-0.5036200032</v>
      </c>
      <c r="K13" s="35">
        <f>IF($G13=1,SUMIFS(Data!J:J,Data!$B:$B,$C$2,Data!$C:$C,$F13),"")</f>
        <v>4.746128238</v>
      </c>
      <c r="L13" s="36">
        <f>IF($G13=1,SUMIFS(Data!F:F,Data!$B:$B,$C$2,Data!$C:$C,$F13),"")</f>
        <v>2777.46</v>
      </c>
      <c r="M13" s="36">
        <f>IF($G13=1,SUMIFS(Data!M:M,Data!$B:$B,$C$2,Data!$C:$C,$F13),"")</f>
        <v>12.90114258</v>
      </c>
      <c r="N13" s="17"/>
      <c r="O13" s="17"/>
      <c r="P13" s="17"/>
      <c r="Q13" s="45" t="str">
        <f>IFERROR(__xludf.DUMMYFUNCTION("""COMPUTED_VALUE"""),"2020-21")</f>
        <v>2020-21</v>
      </c>
      <c r="R13" s="46">
        <f>IFERROR(__xludf.DUMMYFUNCTION("""COMPUTED_VALUE"""),981.671666666667)</f>
        <v>981.6716667</v>
      </c>
      <c r="S13" s="47">
        <f>IFERROR(__xludf.DUMMYFUNCTION("""COMPUTED_VALUE"""),4.47508722729033)</f>
        <v>4.475087227</v>
      </c>
      <c r="T13" s="47">
        <f>IFERROR(__xludf.DUMMYFUNCTION("""COMPUTED_VALUE"""),-0.705356598468994)</f>
        <v>-0.7053565985</v>
      </c>
      <c r="U13" s="47">
        <f>IFERROR(__xludf.DUMMYFUNCTION("""COMPUTED_VALUE"""),3.76973062882133)</f>
        <v>3.769730629</v>
      </c>
      <c r="V13" s="46">
        <f>IFERROR(__xludf.DUMMYFUNCTION("""COMPUTED_VALUE"""),3.9602258997363493)</f>
        <v>3.9602259</v>
      </c>
      <c r="W13" s="48">
        <f>if(R13="","",if(PERCENTRANK(Data!F:F,R13)=1,"👑",if(PERCENTRANK(Data!F:F,R13)=0,"💩",PERCENTRANK(Data!F:F,R13))))</f>
        <v>0.519</v>
      </c>
      <c r="X13" s="48">
        <f>if(S13="","",if(RANK(S13,Data!K:K)=1,"👑",if(PERCENTRANK(Data!K:K,S13)=0,"💩",PERCENTRANK(Data!K:K,S13))))</f>
        <v>0.99</v>
      </c>
      <c r="Y13" s="48">
        <f>if(T13="","",if(RANK(T13,Data!L:L)=1,"👑",if(PERCENTRANK(Data!L:L,T13)=0,"💩",PERCENTRANK(Data!L:L,T13))))</f>
        <v>0.258</v>
      </c>
      <c r="Z13" s="48">
        <f>if(U13="","",if(RANK(U13,Data!J:J)=1,"👑",if(PERCENTRANK(Data!J:J,U13)=0,"💩",PERCENTRANK(Data!J:J,U13))))</f>
        <v>0.973</v>
      </c>
      <c r="AA13" s="48">
        <f>if(V13="","",if(RANK(V13,Data!M:M)=1,"👑",if(PERCENTRANK(Data!M:M,V13)=0,"💩",PERCENTRANK(Data!M:M,V13))))</f>
        <v>0.853</v>
      </c>
      <c r="AB13" s="49" t="str">
        <f>IFERROR(__xludf.DUMMYFUNCTION("if(V13="""","""",if(RANK(V13,filter(Data!M:M,Data!C:C=Q13))&lt;6,""MVP Candidate"",if(RANK(V13,filter(Data!M:M,Data!C:C=Q13))&lt;16,""All NBA"",if(RANK(V13,filter(Data!M:M,Data!C:C=Q13))&lt;25,""All Star"",if(RANK(V13,filter(Data!M:M,Data!C:C=Q13))&lt;151,""Starter"""&amp;",if(RANK(V13,filter(Data!M:M,Data!C:C=Q13))&lt;271,""Rotation"",if(RANK(V13,filter(Data!M:M,Data!C:C=Q13))&lt;361,""Bench"",if(RANK(V13,filter(Data!M:M,Data!C:C=Q13))&gt;360,""Fringe NBA"",""""))))))))"),"All NBA")</f>
        <v>All NBA</v>
      </c>
      <c r="AC13" s="17"/>
    </row>
    <row r="14">
      <c r="A14" s="17"/>
      <c r="B14" s="17"/>
      <c r="C14" s="17"/>
      <c r="D14" s="17"/>
      <c r="E14" s="17"/>
      <c r="F14" s="53" t="s">
        <v>66</v>
      </c>
      <c r="G14" s="33">
        <f>countifs(Data!B:B,C$2,Data!C:C,F14)</f>
        <v>1</v>
      </c>
      <c r="H14" s="34" t="str">
        <f t="shared" si="1"/>
        <v>2014-15</v>
      </c>
      <c r="I14" s="35">
        <f>IF($G14=1,SUMIFS(Data!K:K,Data!$B:$B,$C$2,Data!$C:$C,$F14),"")</f>
        <v>5.66137888</v>
      </c>
      <c r="J14" s="35">
        <f>IF($G14=1,SUMIFS(Data!L:L,Data!$B:$B,$C$2,Data!$C:$C,$F14),"")</f>
        <v>-0.3246108813</v>
      </c>
      <c r="K14" s="35">
        <f>IF($G14=1,SUMIFS(Data!J:J,Data!$B:$B,$C$2,Data!$C:$C,$F14),"")</f>
        <v>5.336767999</v>
      </c>
      <c r="L14" s="36">
        <f>IF($G14=1,SUMIFS(Data!F:F,Data!$B:$B,$C$2,Data!$C:$C,$F14),"")</f>
        <v>2980.865</v>
      </c>
      <c r="M14" s="36">
        <f>IF($G14=1,SUMIFS(Data!M:M,Data!$B:$B,$C$2,Data!$C:$C,$F14),"")</f>
        <v>14.91547024</v>
      </c>
      <c r="N14" s="17"/>
      <c r="O14" s="17"/>
      <c r="P14" s="17"/>
      <c r="Q14" s="1"/>
      <c r="R14" s="54"/>
      <c r="S14" s="54"/>
      <c r="T14" s="54"/>
      <c r="U14" s="54"/>
      <c r="V14" s="54"/>
      <c r="W14" s="48" t="str">
        <f>if(R14="","",if(PERCENTRANK(Data!F:F,R14)=1,"👑",if(PERCENTRANK(Data!F:F,R14)=0,"💩",PERCENTRANK(Data!F:F,R14))))</f>
        <v/>
      </c>
      <c r="X14" s="48" t="str">
        <f>if(S14="","",if(RANK(S14,Data!K:K)=1,"👑",if(PERCENTRANK(Data!K:K,S14)=0,"💩",PERCENTRANK(Data!K:K,S14))))</f>
        <v/>
      </c>
      <c r="Y14" s="48" t="str">
        <f>if(T14="","",if(RANK(T14,Data!L:L)=1,"👑",if(PERCENTRANK(Data!L:L,T14)=0,"💩",PERCENTRANK(Data!L:L,T14))))</f>
        <v/>
      </c>
      <c r="Z14" s="48" t="str">
        <f>if(U14="","",if(RANK(U14,Data!J:J)=1,"👑",if(PERCENTRANK(Data!J:J,U14)=0,"💩",PERCENTRANK(Data!J:J,U14))))</f>
        <v/>
      </c>
      <c r="AA14" s="48" t="str">
        <f>if(V14="","",if(RANK(V14,Data!M:M)=1,"👑",if(PERCENTRANK(Data!M:M,V14)=0,"💩",PERCENTRANK(Data!M:M,V14))))</f>
        <v/>
      </c>
      <c r="AB14" s="49" t="str">
        <f>IFERROR(__xludf.DUMMYFUNCTION("if(V14="""","""",if(RANK(V14,filter(Data!M:M,Data!C:C=Q14))&lt;6,""MVP Candidate"",if(RANK(V14,filter(Data!M:M,Data!C:C=Q14))&lt;16,""All NBA"",if(RANK(V14,filter(Data!M:M,Data!C:C=Q14))&lt;25,""All Star"",if(RANK(V14,filter(Data!M:M,Data!C:C=Q14))&lt;151,""Starter"""&amp;",if(RANK(V14,filter(Data!M:M,Data!C:C=Q14))&lt;271,""Rotation"",if(RANK(V14,filter(Data!M:M,Data!C:C=Q14))&lt;361,""Bench"",if(RANK(V14,filter(Data!M:M,Data!C:C=Q14))&gt;360,""Fringe NBA"",""""))))))))"),"")</f>
        <v/>
      </c>
      <c r="AC14" s="17"/>
    </row>
    <row r="15">
      <c r="A15" s="17"/>
      <c r="B15" s="17"/>
      <c r="C15" s="17"/>
      <c r="D15" s="17"/>
      <c r="E15" s="17"/>
      <c r="F15" s="53" t="s">
        <v>67</v>
      </c>
      <c r="G15" s="33">
        <f>countifs(Data!B:B,C$2,Data!C:C,F15)</f>
        <v>1</v>
      </c>
      <c r="H15" s="34" t="str">
        <f t="shared" si="1"/>
        <v>2015-16</v>
      </c>
      <c r="I15" s="35">
        <f>IF($G15=1,SUMIFS(Data!K:K,Data!$B:$B,$C$2,Data!$C:$C,$F15),"")</f>
        <v>4.75796387</v>
      </c>
      <c r="J15" s="35">
        <f>IF($G15=1,SUMIFS(Data!L:L,Data!$B:$B,$C$2,Data!$C:$C,$F15),"")</f>
        <v>-0.4622537774</v>
      </c>
      <c r="K15" s="35">
        <f>IF($G15=1,SUMIFS(Data!J:J,Data!$B:$B,$C$2,Data!$C:$C,$F15),"")</f>
        <v>4.295710092</v>
      </c>
      <c r="L15" s="36">
        <f>IF($G15=1,SUMIFS(Data!F:F,Data!$B:$B,$C$2,Data!$C:$C,$F15),"")</f>
        <v>3124.635</v>
      </c>
      <c r="M15" s="36">
        <f>IF($G15=1,SUMIFS(Data!M:M,Data!$B:$B,$C$2,Data!$C:$C,$F15),"")</f>
        <v>13.64140286</v>
      </c>
      <c r="N15" s="17"/>
      <c r="O15" s="17"/>
      <c r="P15" s="17"/>
      <c r="Q15" s="1"/>
      <c r="R15" s="54"/>
      <c r="S15" s="54"/>
      <c r="T15" s="54"/>
      <c r="U15" s="54"/>
      <c r="V15" s="54"/>
      <c r="W15" s="48" t="str">
        <f>if(R15="","",if(PERCENTRANK(Data!F:F,R15)=1,"👑",if(PERCENTRANK(Data!F:F,R15)=0,"💩",PERCENTRANK(Data!F:F,R15))))</f>
        <v/>
      </c>
      <c r="X15" s="48" t="str">
        <f>if(S15="","",if(RANK(S15,Data!K:K)=1,"👑",if(PERCENTRANK(Data!K:K,S15)=0,"💩",PERCENTRANK(Data!K:K,S15))))</f>
        <v/>
      </c>
      <c r="Y15" s="48" t="str">
        <f>if(T15="","",if(RANK(T15,Data!L:L)=1,"👑",if(PERCENTRANK(Data!L:L,T15)=0,"💩",PERCENTRANK(Data!L:L,T15))))</f>
        <v/>
      </c>
      <c r="Z15" s="48" t="str">
        <f>if(U15="","",if(RANK(U15,Data!J:J)=1,"👑",if(PERCENTRANK(Data!J:J,U15)=0,"💩",PERCENTRANK(Data!J:J,U15))))</f>
        <v/>
      </c>
      <c r="AA15" s="48" t="str">
        <f>if(V15="","",if(RANK(V15,Data!M:M)=1,"👑",if(PERCENTRANK(Data!M:M,V15)=0,"💩",PERCENTRANK(Data!M:M,V15))))</f>
        <v/>
      </c>
      <c r="AB15" s="49" t="str">
        <f>IFERROR(__xludf.DUMMYFUNCTION("if(V15="""","""",if(RANK(V15,filter(Data!M:M,Data!C:C=Q15))&lt;6,""MVP Candidate"",if(RANK(V15,filter(Data!M:M,Data!C:C=Q15))&lt;16,""All NBA"",if(RANK(V15,filter(Data!M:M,Data!C:C=Q15))&lt;25,""All Star"",if(RANK(V15,filter(Data!M:M,Data!C:C=Q15))&lt;151,""Starter"""&amp;",if(RANK(V15,filter(Data!M:M,Data!C:C=Q15))&lt;271,""Rotation"",if(RANK(V15,filter(Data!M:M,Data!C:C=Q15))&lt;361,""Bench"",if(RANK(V15,filter(Data!M:M,Data!C:C=Q15))&gt;360,""Fringe NBA"",""""))))))))"),"")</f>
        <v/>
      </c>
      <c r="AC15" s="17"/>
    </row>
    <row r="16">
      <c r="A16" s="17"/>
      <c r="B16" s="17"/>
      <c r="C16" s="17"/>
      <c r="D16" s="17"/>
      <c r="E16" s="17"/>
      <c r="F16" s="53" t="s">
        <v>68</v>
      </c>
      <c r="G16" s="33">
        <f>countifs(Data!B:B,C$2,Data!C:C,F16)</f>
        <v>1</v>
      </c>
      <c r="H16" s="34" t="str">
        <f t="shared" si="1"/>
        <v>2016-17</v>
      </c>
      <c r="I16" s="35">
        <f>IF($G16=1,SUMIFS(Data!K:K,Data!$B:$B,$C$2,Data!$C:$C,$F16),"")</f>
        <v>6.270535721</v>
      </c>
      <c r="J16" s="35">
        <f>IF($G16=1,SUMIFS(Data!L:L,Data!$B:$B,$C$2,Data!$C:$C,$F16),"")</f>
        <v>-0.7198907902</v>
      </c>
      <c r="K16" s="35">
        <f>IF($G16=1,SUMIFS(Data!J:J,Data!$B:$B,$C$2,Data!$C:$C,$F16),"")</f>
        <v>5.55064493</v>
      </c>
      <c r="L16" s="36">
        <f>IF($G16=1,SUMIFS(Data!F:F,Data!$B:$B,$C$2,Data!$C:$C,$F16),"")</f>
        <v>2946.72</v>
      </c>
      <c r="M16" s="36">
        <f>IF($G16=1,SUMIFS(Data!M:M,Data!$B:$B,$C$2,Data!$C:$C,$F16),"")</f>
        <v>15.12106373</v>
      </c>
      <c r="N16" s="17"/>
      <c r="O16" s="17"/>
      <c r="P16" s="17"/>
      <c r="Q16" s="1"/>
      <c r="R16" s="54"/>
      <c r="S16" s="54"/>
      <c r="T16" s="54"/>
      <c r="U16" s="54"/>
      <c r="V16" s="54"/>
      <c r="W16" s="48" t="str">
        <f>if(R16="","",if(PERCENTRANK(Data!F:F,R16)=1,"👑",if(PERCENTRANK(Data!F:F,R16)=0,"💩",PERCENTRANK(Data!F:F,R16))))</f>
        <v/>
      </c>
      <c r="X16" s="48" t="str">
        <f>if(S16="","",if(RANK(S16,Data!K:K)=1,"👑",if(PERCENTRANK(Data!K:K,S16)=0,"💩",PERCENTRANK(Data!K:K,S16))))</f>
        <v/>
      </c>
      <c r="Y16" s="48" t="str">
        <f>if(T16="","",if(RANK(T16,Data!L:L)=1,"👑",if(PERCENTRANK(Data!L:L,T16)=0,"💩",PERCENTRANK(Data!L:L,T16))))</f>
        <v/>
      </c>
      <c r="Z16" s="48" t="str">
        <f>if(U16="","",if(RANK(U16,Data!J:J)=1,"👑",if(PERCENTRANK(Data!J:J,U16)=0,"💩",PERCENTRANK(Data!J:J,U16))))</f>
        <v/>
      </c>
      <c r="AA16" s="48" t="str">
        <f>if(V16="","",if(RANK(V16,Data!M:M)=1,"👑",if(PERCENTRANK(Data!M:M,V16)=0,"💩",PERCENTRANK(Data!M:M,V16))))</f>
        <v/>
      </c>
      <c r="AB16" s="49" t="str">
        <f>IFERROR(__xludf.DUMMYFUNCTION("if(V16="""","""",if(RANK(V16,filter(Data!M:M,Data!C:C=Q16))&lt;6,""MVP Candidate"",if(RANK(V16,filter(Data!M:M,Data!C:C=Q16))&lt;16,""All NBA"",if(RANK(V16,filter(Data!M:M,Data!C:C=Q16))&lt;25,""All Star"",if(RANK(V16,filter(Data!M:M,Data!C:C=Q16))&lt;151,""Starter"""&amp;",if(RANK(V16,filter(Data!M:M,Data!C:C=Q16))&lt;271,""Rotation"",if(RANK(V16,filter(Data!M:M,Data!C:C=Q16))&lt;361,""Bench"",if(RANK(V16,filter(Data!M:M,Data!C:C=Q16))&gt;360,""Fringe NBA"",""""))))))))"),"")</f>
        <v/>
      </c>
      <c r="AC16" s="17"/>
    </row>
    <row r="17">
      <c r="A17" s="17"/>
      <c r="B17" s="17"/>
      <c r="C17" s="17"/>
      <c r="D17" s="17"/>
      <c r="E17" s="17"/>
      <c r="F17" s="53" t="s">
        <v>69</v>
      </c>
      <c r="G17" s="33">
        <f>countifs(Data!B:B,C$2,Data!C:C,F17)</f>
        <v>1</v>
      </c>
      <c r="H17" s="34" t="str">
        <f t="shared" si="1"/>
        <v>2017-18</v>
      </c>
      <c r="I17" s="35">
        <f>IF($G17=1,SUMIFS(Data!K:K,Data!$B:$B,$C$2,Data!$C:$C,$F17),"")</f>
        <v>6.574851842</v>
      </c>
      <c r="J17" s="35">
        <f>IF($G17=1,SUMIFS(Data!L:L,Data!$B:$B,$C$2,Data!$C:$C,$F17),"")</f>
        <v>-0.3015703324</v>
      </c>
      <c r="K17" s="35">
        <f>IF($G17=1,SUMIFS(Data!J:J,Data!$B:$B,$C$2,Data!$C:$C,$F17),"")</f>
        <v>6.273281509</v>
      </c>
      <c r="L17" s="36">
        <f>IF($G17=1,SUMIFS(Data!F:F,Data!$B:$B,$C$2,Data!$C:$C,$F17),"")</f>
        <v>2550.785</v>
      </c>
      <c r="M17" s="36">
        <f>IF($G17=1,SUMIFS(Data!M:M,Data!$B:$B,$C$2,Data!$C:$C,$F17),"")</f>
        <v>14.16711247</v>
      </c>
      <c r="N17" s="17"/>
      <c r="O17" s="17"/>
      <c r="P17" s="17"/>
      <c r="Q17" s="45"/>
      <c r="R17" s="54"/>
      <c r="S17" s="54"/>
      <c r="T17" s="54"/>
      <c r="U17" s="54"/>
      <c r="V17" s="54"/>
      <c r="W17" s="48" t="str">
        <f>if(R17="","",if(PERCENTRANK(Data!F:F,R17)=1,"👑",if(PERCENTRANK(Data!F:F,R17)=0,"💩",PERCENTRANK(Data!F:F,R17))))</f>
        <v/>
      </c>
      <c r="X17" s="48" t="str">
        <f>if(S17="","",if(RANK(S17,Data!K:K)=1,"👑",if(PERCENTRANK(Data!K:K,S17)=0,"💩",PERCENTRANK(Data!K:K,S17))))</f>
        <v/>
      </c>
      <c r="Y17" s="48" t="str">
        <f>if(T17="","",if(RANK(T17,Data!L:L)=1,"👑",if(PERCENTRANK(Data!L:L,T17)=0,"💩",PERCENTRANK(Data!L:L,T17))))</f>
        <v/>
      </c>
      <c r="Z17" s="48" t="str">
        <f>if(U17="","",if(RANK(U17,Data!J:J)=1,"👑",if(PERCENTRANK(Data!J:J,U17)=0,"💩",PERCENTRANK(Data!J:J,U17))))</f>
        <v/>
      </c>
      <c r="AA17" s="48" t="str">
        <f>if(V17="","",if(RANK(V17,Data!M:M)=1,"👑",if(PERCENTRANK(Data!M:M,V17)=0,"💩",PERCENTRANK(Data!M:M,V17))))</f>
        <v/>
      </c>
      <c r="AB17" s="49" t="str">
        <f>IFERROR(__xludf.DUMMYFUNCTION("if(V17="""","""",if(RANK(V17,filter(Data!M:M,Data!C:C=Q17))&lt;6,""MVP Candidate"",if(RANK(V17,filter(Data!M:M,Data!C:C=Q17))&lt;16,""All NBA"",if(RANK(V17,filter(Data!M:M,Data!C:C=Q17))&lt;25,""All Star"",if(RANK(V17,filter(Data!M:M,Data!C:C=Q17))&lt;151,""Starter"""&amp;",if(RANK(V17,filter(Data!M:M,Data!C:C=Q17))&lt;271,""Rotation"",if(RANK(V17,filter(Data!M:M,Data!C:C=Q17))&lt;361,""Bench"",if(RANK(V17,filter(Data!M:M,Data!C:C=Q17))&gt;360,""Fringe NBA"",""""))))))))"),"")</f>
        <v/>
      </c>
      <c r="AC17" s="17"/>
    </row>
    <row r="18">
      <c r="A18" s="17"/>
      <c r="B18" s="17"/>
      <c r="C18" s="17"/>
      <c r="D18" s="17"/>
      <c r="E18" s="17"/>
      <c r="F18" s="53" t="s">
        <v>70</v>
      </c>
      <c r="G18" s="33">
        <f>countifs(Data!B:B,C$2,Data!C:C,F18)</f>
        <v>1</v>
      </c>
      <c r="H18" s="34" t="str">
        <f t="shared" si="1"/>
        <v>2018-19</v>
      </c>
      <c r="I18" s="35">
        <f>IF($G18=1,SUMIFS(Data!K:K,Data!$B:$B,$C$2,Data!$C:$C,$F18),"")</f>
        <v>6.743428076</v>
      </c>
      <c r="J18" s="35">
        <f>IF($G18=1,SUMIFS(Data!L:L,Data!$B:$B,$C$2,Data!$C:$C,$F18),"")</f>
        <v>-0.5532578346</v>
      </c>
      <c r="K18" s="35">
        <f>IF($G18=1,SUMIFS(Data!J:J,Data!$B:$B,$C$2,Data!$C:$C,$F18),"")</f>
        <v>6.190170241</v>
      </c>
      <c r="L18" s="36">
        <f>IF($G18=1,SUMIFS(Data!F:F,Data!$B:$B,$C$2,Data!$C:$C,$F18),"")</f>
        <v>2866.725</v>
      </c>
      <c r="M18" s="36">
        <f>IF($G18=1,SUMIFS(Data!M:M,Data!$B:$B,$C$2,Data!$C:$C,$F18),"")</f>
        <v>15.78465453</v>
      </c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48"/>
      <c r="Z18" s="17"/>
      <c r="AA18" s="17"/>
      <c r="AB18" s="17"/>
      <c r="AC18" s="17"/>
    </row>
    <row r="19" hidden="1">
      <c r="A19" s="17"/>
      <c r="B19" s="17"/>
      <c r="C19" s="17"/>
      <c r="D19" s="17"/>
      <c r="E19" s="17"/>
      <c r="F19" s="53" t="s">
        <v>71</v>
      </c>
      <c r="G19" s="33">
        <f>countifs(Data!B:B,C$2,Data!C:C,F19)</f>
        <v>1</v>
      </c>
      <c r="H19" s="34" t="str">
        <f t="shared" si="1"/>
        <v>2019-20</v>
      </c>
      <c r="I19" s="35">
        <f>IF($G19=1,SUMIFS(Data!K:K,Data!$B:$B,$C$2,Data!$C:$C,$F19),"")</f>
        <v>6.398413935</v>
      </c>
      <c r="J19" s="35">
        <f>IF($G19=1,SUMIFS(Data!L:L,Data!$B:$B,$C$2,Data!$C:$C,$F19),"")</f>
        <v>0.428487581</v>
      </c>
      <c r="K19" s="35">
        <f>IF($G19=1,SUMIFS(Data!J:J,Data!$B:$B,$C$2,Data!$C:$C,$F19),"")</f>
        <v>6.826901516</v>
      </c>
      <c r="L19" s="36">
        <f>IF($G19=1,SUMIFS(Data!F:F,Data!$B:$B,$C$2,Data!$C:$C,$F19),"")</f>
        <v>2482.55</v>
      </c>
      <c r="M19" s="36">
        <f>IF($G19=1,SUMIFS(Data!M:M,Data!$B:$B,$C$2,Data!$C:$C,$F19),"")</f>
        <v>14.56689002</v>
      </c>
      <c r="N19" s="17"/>
      <c r="O19" s="17"/>
      <c r="P19" s="17"/>
      <c r="Q19" s="53" t="s">
        <v>72</v>
      </c>
      <c r="R19" s="55">
        <f>MIN(Data!F:F)</f>
        <v>0.5166666667</v>
      </c>
      <c r="S19" s="56">
        <f>MIN(Data!J:J)</f>
        <v>-4.782766307</v>
      </c>
      <c r="T19" s="56">
        <f>MIN(Data!K:K)</f>
        <v>-4.322019044</v>
      </c>
      <c r="U19" s="56">
        <f>MIN(Data!L:L)</f>
        <v>-3.637442967</v>
      </c>
      <c r="V19" s="56">
        <f>MIN(Data!M:M)</f>
        <v>-3.532982785</v>
      </c>
      <c r="W19" s="17"/>
      <c r="X19" s="53">
        <v>1.0</v>
      </c>
      <c r="Y19" s="17"/>
      <c r="Z19" s="17"/>
      <c r="AA19" s="17"/>
      <c r="AB19" s="17"/>
      <c r="AC19" s="17"/>
    </row>
    <row r="20" hidden="1">
      <c r="A20" s="17"/>
      <c r="B20" s="17"/>
      <c r="C20" s="17"/>
      <c r="D20" s="17"/>
      <c r="E20" s="17"/>
      <c r="F20" s="53" t="s">
        <v>13</v>
      </c>
      <c r="G20" s="33">
        <f>countifs(Data!B:B,C$2,Data!C:C,F20)</f>
        <v>1</v>
      </c>
      <c r="H20" s="34" t="str">
        <f t="shared" si="1"/>
        <v>2020-21</v>
      </c>
      <c r="I20" s="35">
        <f>IF($G20=1,SUMIFS(Data!K:K,Data!$B:$B,$C$2,Data!$C:$C,$F20),"")</f>
        <v>4.475087227</v>
      </c>
      <c r="J20" s="35">
        <f>IF($G20=1,SUMIFS(Data!L:L,Data!$B:$B,$C$2,Data!$C:$C,$F20),"")</f>
        <v>-0.7053565985</v>
      </c>
      <c r="K20" s="35">
        <f>IF($G20=1,SUMIFS(Data!J:J,Data!$B:$B,$C$2,Data!$C:$C,$F20),"")</f>
        <v>3.769730629</v>
      </c>
      <c r="L20" s="36">
        <f>IF($G20=1,SUMIFS(Data!F:F,Data!$B:$B,$C$2,Data!$C:$C,$F20),"")</f>
        <v>981.6716667</v>
      </c>
      <c r="M20" s="36">
        <f>IF($G20=1,SUMIFS(Data!M:M,Data!$B:$B,$C$2,Data!$C:$C,$F20),"")</f>
        <v>3.9602259</v>
      </c>
      <c r="N20" s="17"/>
      <c r="O20" s="17"/>
      <c r="P20" s="17"/>
      <c r="Q20" s="53" t="s">
        <v>73</v>
      </c>
      <c r="R20" s="55">
        <f>MAX(Data!F:F)</f>
        <v>3124.635</v>
      </c>
      <c r="S20" s="56">
        <f>MAX(Data!J:J)</f>
        <v>9.119122301</v>
      </c>
      <c r="T20" s="56">
        <f>MAX(Data!K:K)</f>
        <v>6.743428076</v>
      </c>
      <c r="U20" s="56">
        <f>MAX(Data!L:L)</f>
        <v>4.523460958</v>
      </c>
      <c r="V20" s="56">
        <f>MAX(Data!M:M)</f>
        <v>18.15807429</v>
      </c>
      <c r="W20" s="17"/>
      <c r="X20" s="53">
        <v>0.0</v>
      </c>
      <c r="Y20" s="17"/>
      <c r="Z20" s="17"/>
      <c r="AA20" s="17"/>
      <c r="AB20" s="17"/>
      <c r="AC20" s="17"/>
    </row>
    <row r="2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36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57" t="s">
        <v>74</v>
      </c>
      <c r="AC21" s="17"/>
    </row>
    <row r="2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36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58" t="s">
        <v>75</v>
      </c>
      <c r="AC22" s="17"/>
    </row>
    <row r="2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58" t="s">
        <v>76</v>
      </c>
      <c r="AC23" s="17"/>
    </row>
    <row r="24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58" t="s">
        <v>77</v>
      </c>
      <c r="AC24" s="17"/>
    </row>
    <row r="2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58" t="s">
        <v>78</v>
      </c>
      <c r="AC25" s="17"/>
    </row>
    <row r="26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58" t="s">
        <v>79</v>
      </c>
      <c r="AC26" s="17"/>
    </row>
    <row r="27">
      <c r="A27" s="17"/>
      <c r="B27" s="59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58" t="s">
        <v>80</v>
      </c>
      <c r="AC27" s="17"/>
    </row>
    <row r="28">
      <c r="A28" s="17"/>
      <c r="B28" s="59" t="s">
        <v>81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58" t="s">
        <v>82</v>
      </c>
      <c r="AC28" s="17"/>
    </row>
    <row r="29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60"/>
      <c r="AA29" s="17"/>
      <c r="AB29" s="17"/>
      <c r="AC29" s="17"/>
    </row>
    <row r="3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60"/>
      <c r="AA30" s="17"/>
      <c r="AB30" s="17"/>
      <c r="AC30" s="17"/>
    </row>
  </sheetData>
  <mergeCells count="4">
    <mergeCell ref="Q2:U2"/>
    <mergeCell ref="B4:O4"/>
    <mergeCell ref="R4:U4"/>
    <mergeCell ref="W4:AA4"/>
  </mergeCells>
  <conditionalFormatting sqref="S6:S20">
    <cfRule type="colorScale" priority="1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T6:T20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U6:U20">
    <cfRule type="colorScale" priority="3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R6:R20">
    <cfRule type="colorScale" priority="4">
      <colorScale>
        <cfvo type="min"/>
        <cfvo type="max"/>
        <color rgb="FFFFFFFF"/>
        <color rgb="FFFFD666"/>
      </colorScale>
    </cfRule>
  </conditionalFormatting>
  <conditionalFormatting sqref="W6:AB20">
    <cfRule type="colorScale" priority="5">
      <colorScale>
        <cfvo type="formula" val="0"/>
        <cfvo type="formula" val="0.5"/>
        <cfvo type="formula" val="1"/>
        <color rgb="FFE67C73"/>
        <color rgb="FFFFFFFF"/>
        <color rgb="FF57BB8A"/>
      </colorScale>
    </cfRule>
  </conditionalFormatting>
  <conditionalFormatting sqref="W6:AB20">
    <cfRule type="containsText" dxfId="0" priority="6" operator="containsText" text="💩">
      <formula>NOT(ISERROR(SEARCH(("💩"),(W6))))</formula>
    </cfRule>
  </conditionalFormatting>
  <conditionalFormatting sqref="W6:AB20">
    <cfRule type="containsText" dxfId="1" priority="7" operator="containsText" text="👑">
      <formula>NOT(ISERROR(SEARCH(("👑"),(W6))))</formula>
    </cfRule>
  </conditionalFormatting>
  <conditionalFormatting sqref="V6:V20">
    <cfRule type="colorScale" priority="8">
      <colorScale>
        <cfvo type="min"/>
        <cfvo type="formula" val="0"/>
        <cfvo type="max"/>
        <color rgb="FFE67C73"/>
        <color rgb="FFFFFFFF"/>
        <color rgb="FF57BB8A"/>
      </colorScale>
    </cfRule>
  </conditionalFormatting>
  <dataValidations>
    <dataValidation type="list" allowBlank="1" showErrorMessage="1" sqref="C2">
      <formula1>Data!$B$2:$B30</formula1>
    </dataValidation>
  </dataValidations>
  <hyperlinks>
    <hyperlink r:id="rId2" ref="Q2"/>
  </hyperlinks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3.29"/>
    <col customWidth="1" min="2" max="2" width="14.86"/>
    <col customWidth="1" min="3" max="3" width="40.0"/>
    <col customWidth="1" min="5" max="5" width="17.71"/>
    <col customWidth="1" hidden="1" min="6" max="13" width="17.71"/>
    <col customWidth="1" min="14" max="15" width="17.71"/>
    <col customWidth="1" min="16" max="16" width="3.29"/>
    <col customWidth="1" min="17" max="17" width="12.29"/>
    <col customWidth="1" min="18" max="21" width="16.86"/>
    <col customWidth="1" min="22" max="22" width="17.57"/>
    <col customWidth="1" min="23" max="27" width="16.86"/>
    <col customWidth="1" min="28" max="28" width="25.71"/>
    <col customWidth="1" min="29" max="29" width="11.57"/>
  </cols>
  <sheetData>
    <row r="1" ht="7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</row>
    <row r="2">
      <c r="A2" s="17"/>
      <c r="B2" s="18" t="s">
        <v>51</v>
      </c>
      <c r="C2" s="61"/>
      <c r="D2" s="20"/>
      <c r="E2" s="21" t="s">
        <v>8</v>
      </c>
      <c r="F2" s="22"/>
      <c r="G2" s="22"/>
      <c r="H2" s="23"/>
      <c r="I2" s="24"/>
      <c r="J2" s="24"/>
      <c r="K2" s="24"/>
      <c r="L2" s="25"/>
      <c r="M2" s="25"/>
      <c r="N2" s="26" t="s">
        <v>9</v>
      </c>
      <c r="O2" s="27" t="s">
        <v>10</v>
      </c>
      <c r="P2" s="17"/>
      <c r="Q2" s="28" t="s">
        <v>53</v>
      </c>
      <c r="V2" s="29"/>
      <c r="W2" s="17"/>
      <c r="X2" s="17"/>
      <c r="Y2" s="17"/>
      <c r="Z2" s="17"/>
      <c r="AA2" s="17"/>
      <c r="AB2" s="17"/>
      <c r="AC2" s="17"/>
    </row>
    <row r="3" ht="7.5" customHeight="1">
      <c r="A3" s="17"/>
      <c r="B3" s="30"/>
      <c r="C3" s="30"/>
      <c r="D3" s="31"/>
      <c r="E3" s="31"/>
      <c r="F3" s="32"/>
      <c r="G3" s="33"/>
      <c r="H3" s="34"/>
      <c r="I3" s="35"/>
      <c r="J3" s="35"/>
      <c r="K3" s="35"/>
      <c r="L3" s="36"/>
      <c r="M3" s="36"/>
      <c r="N3" s="17"/>
      <c r="O3" s="3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</row>
    <row r="4">
      <c r="A4" s="17"/>
      <c r="B4" s="38" t="str">
        <f>"LEBRON Impact Data for "&amp;C2</f>
        <v>LEBRON Impact Data for </v>
      </c>
      <c r="P4" s="17"/>
      <c r="Q4" s="17"/>
      <c r="R4" s="39" t="s">
        <v>54</v>
      </c>
      <c r="V4" s="39"/>
      <c r="W4" s="39" t="s">
        <v>55</v>
      </c>
      <c r="AB4" s="39"/>
      <c r="AC4" s="17"/>
    </row>
    <row r="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40" t="s">
        <v>12</v>
      </c>
      <c r="R5" s="40" t="s">
        <v>4</v>
      </c>
      <c r="S5" s="41" t="s">
        <v>9</v>
      </c>
      <c r="T5" s="42" t="s">
        <v>10</v>
      </c>
      <c r="U5" s="43" t="s">
        <v>8</v>
      </c>
      <c r="V5" s="44" t="s">
        <v>11</v>
      </c>
      <c r="W5" s="40" t="s">
        <v>4</v>
      </c>
      <c r="X5" s="41" t="s">
        <v>9</v>
      </c>
      <c r="Y5" s="42" t="s">
        <v>10</v>
      </c>
      <c r="Z5" s="43" t="s">
        <v>8</v>
      </c>
      <c r="AA5" s="44" t="s">
        <v>11</v>
      </c>
      <c r="AB5" s="44" t="s">
        <v>56</v>
      </c>
      <c r="AC5" s="17"/>
    </row>
    <row r="6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" t="str">
        <f>IFERROR(__xludf.DUMMYFUNCTION("filter(H9:H20,L9:L20&lt;&gt;"""")"),"#N/A")</f>
        <v>#N/A</v>
      </c>
      <c r="R6" s="54" t="str">
        <f>IFERROR(__xludf.DUMMYFUNCTION("filter(L9:L20,L9:L20&lt;&gt;"""")"),"#N/A")</f>
        <v>#N/A</v>
      </c>
      <c r="S6" s="54" t="str">
        <f>IFERROR(__xludf.DUMMYFUNCTION("filter(I9:K20,L9:L20&lt;&gt;"""")"),"#N/A")</f>
        <v>#N/A</v>
      </c>
      <c r="T6" s="54"/>
      <c r="U6" s="54"/>
      <c r="V6" s="54" t="str">
        <f>IFERROR(__xludf.DUMMYFUNCTION("filter(M9:M20,L9:L20&lt;&gt;"""")"),"#N/A")</f>
        <v>#N/A</v>
      </c>
      <c r="W6" s="48" t="str">
        <f>if(R6="","",if(PERCENTRANK(Data!F:F,R6)=1,"👑",if(PERCENTRANK(Data!F:F,R6)=0,"💩",PERCENTRANK(Data!F:F,R6))))</f>
        <v>#N/A</v>
      </c>
      <c r="X6" s="48" t="str">
        <f>if(S6="","",if(RANK(S6,Data!K:K)=1,"👑",if(PERCENTRANK(Data!K:K,S6)=0,"💩",PERCENTRANK(Data!K:K,S6))))</f>
        <v>#N/A</v>
      </c>
      <c r="Y6" s="48" t="str">
        <f>if(T6="","",if(RANK(T6,Data!L:L)=1,"👑",if(PERCENTRANK(Data!L:L,T6)=0,"💩",PERCENTRANK(Data!L:L,T6))))</f>
        <v/>
      </c>
      <c r="Z6" s="48" t="str">
        <f>if(U6="","",if(RANK(U6,Data!J:J)=1,"👑",if(PERCENTRANK(Data!J:J,U6)=0,"💩",PERCENTRANK(Data!J:J,U6))))</f>
        <v/>
      </c>
      <c r="AA6" s="48" t="str">
        <f>if(V6="","",if(RANK(V6,Data!M:M)=1,"👑",if(PERCENTRANK(Data!M:M,V6)=0,"💩",PERCENTRANK(Data!M:M,V6))))</f>
        <v>#N/A</v>
      </c>
      <c r="AB6" s="49" t="str">
        <f>IFERROR(__xludf.DUMMYFUNCTION("if(V6="""","""",if(RANK(V6,filter(Data!M:M,Data!C:C=Q6))&lt;6,""MVP Candidate"",if(RANK(V6,filter(Data!M:M,Data!C:C=Q6))&lt;16,""All NBA"",if(RANK(V6,filter(Data!M:M,Data!C:C=Q6))&lt;25,""All Star"",if(RANK(V6,filter(Data!M:M,Data!C:C=Q6))&lt;151,""Starter"",if(RANK("&amp;"V6,filter(Data!M:M,Data!C:C=Q6))&lt;271,""Rotation"",if(RANK(V6,filter(Data!M:M,Data!C:C=Q6))&lt;361,""Bench"",if(RANK(V6,filter(Data!M:M,Data!C:C=Q6))&gt;360,""Fringe NBA"",""""))))))))"),"#N/A")</f>
        <v>#N/A</v>
      </c>
      <c r="AC6" s="17"/>
    </row>
    <row r="7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"/>
      <c r="R7" s="54"/>
      <c r="S7" s="54"/>
      <c r="T7" s="54"/>
      <c r="U7" s="54"/>
      <c r="V7" s="54"/>
      <c r="W7" s="48" t="str">
        <f>if(R7="","",if(PERCENTRANK(Data!F:F,R7)=1,"👑",if(PERCENTRANK(Data!F:F,R7)=0,"💩",PERCENTRANK(Data!F:F,R7))))</f>
        <v/>
      </c>
      <c r="X7" s="48" t="str">
        <f>if(S7="","",if(RANK(S7,Data!K:K)=1,"👑",if(PERCENTRANK(Data!K:K,S7)=0,"💩",PERCENTRANK(Data!K:K,S7))))</f>
        <v/>
      </c>
      <c r="Y7" s="48" t="str">
        <f>if(T7="","",if(RANK(T7,Data!L:L)=1,"👑",if(PERCENTRANK(Data!L:L,T7)=0,"💩",PERCENTRANK(Data!L:L,T7))))</f>
        <v/>
      </c>
      <c r="Z7" s="48" t="str">
        <f>if(U7="","",if(RANK(U7,Data!J:J)=1,"👑",if(PERCENTRANK(Data!J:J,U7)=0,"💩",PERCENTRANK(Data!J:J,U7))))</f>
        <v/>
      </c>
      <c r="AA7" s="48" t="str">
        <f>if(V7="","",if(RANK(V7,Data!M:M)=1,"👑",if(PERCENTRANK(Data!M:M,V7)=0,"💩",PERCENTRANK(Data!M:M,V7))))</f>
        <v/>
      </c>
      <c r="AB7" s="49" t="str">
        <f>IFERROR(__xludf.DUMMYFUNCTION("if(V7="""","""",if(RANK(V7,filter(Data!M:M,Data!C:C=Q7))&lt;6,""MVP Candidate"",if(RANK(V7,filter(Data!M:M,Data!C:C=Q7))&lt;16,""All NBA"",if(RANK(V7,filter(Data!M:M,Data!C:C=Q7))&lt;25,""All Star"",if(RANK(V7,filter(Data!M:M,Data!C:C=Q7))&lt;151,""Starter"",if(RANK("&amp;"V7,filter(Data!M:M,Data!C:C=Q7))&lt;271,""Rotation"",if(RANK(V7,filter(Data!M:M,Data!C:C=Q7))&lt;361,""Bench"",if(RANK(V7,filter(Data!M:M,Data!C:C=Q7))&gt;360,""Fringe NBA"",""""))))))))"),"")</f>
        <v/>
      </c>
      <c r="AC7" s="17"/>
    </row>
    <row r="8">
      <c r="A8" s="17"/>
      <c r="B8" s="17"/>
      <c r="C8" s="17"/>
      <c r="D8" s="17"/>
      <c r="E8" s="17"/>
      <c r="F8" s="33" t="s">
        <v>12</v>
      </c>
      <c r="G8" s="33" t="s">
        <v>57</v>
      </c>
      <c r="H8" s="50" t="s">
        <v>12</v>
      </c>
      <c r="I8" s="51" t="s">
        <v>58</v>
      </c>
      <c r="J8" s="51" t="s">
        <v>59</v>
      </c>
      <c r="K8" s="51" t="s">
        <v>60</v>
      </c>
      <c r="L8" s="33" t="s">
        <v>4</v>
      </c>
      <c r="M8" s="52" t="s">
        <v>11</v>
      </c>
      <c r="N8" s="17"/>
      <c r="O8" s="17"/>
      <c r="P8" s="17"/>
      <c r="Q8" s="1"/>
      <c r="R8" s="54"/>
      <c r="S8" s="54"/>
      <c r="T8" s="54"/>
      <c r="U8" s="54"/>
      <c r="V8" s="54"/>
      <c r="W8" s="48" t="str">
        <f>if(R8="","",if(PERCENTRANK(Data!F:F,R8)=1,"👑",if(PERCENTRANK(Data!F:F,R8)=0,"💩",PERCENTRANK(Data!F:F,R8))))</f>
        <v/>
      </c>
      <c r="X8" s="48" t="str">
        <f>if(S8="","",if(RANK(S8,Data!K:K)=1,"👑",if(PERCENTRANK(Data!K:K,S8)=0,"💩",PERCENTRANK(Data!K:K,S8))))</f>
        <v/>
      </c>
      <c r="Y8" s="48" t="str">
        <f>if(T8="","",if(RANK(T8,Data!L:L)=1,"👑",if(PERCENTRANK(Data!L:L,T8)=0,"💩",PERCENTRANK(Data!L:L,T8))))</f>
        <v/>
      </c>
      <c r="Z8" s="48" t="str">
        <f>if(U8="","",if(RANK(U8,Data!J:J)=1,"👑",if(PERCENTRANK(Data!J:J,U8)=0,"💩",PERCENTRANK(Data!J:J,U8))))</f>
        <v/>
      </c>
      <c r="AA8" s="48" t="str">
        <f>if(V8="","",if(RANK(V8,Data!M:M)=1,"👑",if(PERCENTRANK(Data!M:M,V8)=0,"💩",PERCENTRANK(Data!M:M,V8))))</f>
        <v/>
      </c>
      <c r="AB8" s="49" t="str">
        <f>IFERROR(__xludf.DUMMYFUNCTION("if(V8="""","""",if(RANK(V8,filter(Data!M:M,Data!C:C=Q8))&lt;6,""MVP Candidate"",if(RANK(V8,filter(Data!M:M,Data!C:C=Q8))&lt;16,""All NBA"",if(RANK(V8,filter(Data!M:M,Data!C:C=Q8))&lt;25,""All Star"",if(RANK(V8,filter(Data!M:M,Data!C:C=Q8))&lt;151,""Starter"",if(RANK("&amp;"V8,filter(Data!M:M,Data!C:C=Q8))&lt;271,""Rotation"",if(RANK(V8,filter(Data!M:M,Data!C:C=Q8))&lt;361,""Bench"",if(RANK(V8,filter(Data!M:M,Data!C:C=Q8))&gt;360,""Fringe NBA"",""""))))))))"),"")</f>
        <v/>
      </c>
      <c r="AC8" s="17"/>
    </row>
    <row r="9">
      <c r="A9" s="17"/>
      <c r="B9" s="17"/>
      <c r="C9" s="17"/>
      <c r="D9" s="17"/>
      <c r="E9" s="17"/>
      <c r="F9" s="32" t="s">
        <v>61</v>
      </c>
      <c r="G9" s="33">
        <f>countifs(Data!B:B,C$2,Data!C:C,F9)</f>
        <v>0</v>
      </c>
      <c r="H9" s="34" t="str">
        <f t="shared" ref="H9:H20" si="1">IF(G9=1,F9,"")</f>
        <v/>
      </c>
      <c r="I9" s="35" t="str">
        <f>IF($G9=1,SUMIFS(Data!K:K,Data!$B:$B,$C$2,Data!$C:$C,$F9),"")</f>
        <v/>
      </c>
      <c r="J9" s="35" t="str">
        <f>IF($G9=1,SUMIFS(Data!L:L,Data!$B:$B,$C$2,Data!$C:$C,$F9),"")</f>
        <v/>
      </c>
      <c r="K9" s="35" t="str">
        <f>IF($G9=1,SUMIFS(Data!J:J,Data!$B:$B,$C$2,Data!$C:$C,$F9),"")</f>
        <v/>
      </c>
      <c r="L9" s="36" t="str">
        <f>IF($G9=1,SUMIFS(Data!F:F,Data!$B:$B,$C$2,Data!$C:$C,$F9),"")</f>
        <v/>
      </c>
      <c r="M9" s="36" t="str">
        <f>IF($G9=1,SUMIFS(Data!M:M,Data!$B:$B,$C$2,Data!$C:$C,$F9),"")</f>
        <v/>
      </c>
      <c r="N9" s="17"/>
      <c r="O9" s="17"/>
      <c r="P9" s="17"/>
      <c r="Q9" s="1"/>
      <c r="R9" s="54"/>
      <c r="S9" s="54"/>
      <c r="T9" s="54"/>
      <c r="U9" s="54"/>
      <c r="V9" s="54"/>
      <c r="W9" s="48" t="str">
        <f>if(R9="","",if(PERCENTRANK(Data!F:F,R9)=1,"👑",if(PERCENTRANK(Data!F:F,R9)=0,"💩",PERCENTRANK(Data!F:F,R9))))</f>
        <v/>
      </c>
      <c r="X9" s="48" t="str">
        <f>if(S9="","",if(RANK(S9,Data!K:K)=1,"👑",if(PERCENTRANK(Data!K:K,S9)=0,"💩",PERCENTRANK(Data!K:K,S9))))</f>
        <v/>
      </c>
      <c r="Y9" s="48" t="str">
        <f>if(T9="","",if(RANK(T9,Data!L:L)=1,"👑",if(PERCENTRANK(Data!L:L,T9)=0,"💩",PERCENTRANK(Data!L:L,T9))))</f>
        <v/>
      </c>
      <c r="Z9" s="48" t="str">
        <f>if(U9="","",if(RANK(U9,Data!J:J)=1,"👑",if(PERCENTRANK(Data!J:J,U9)=0,"💩",PERCENTRANK(Data!J:J,U9))))</f>
        <v/>
      </c>
      <c r="AA9" s="48" t="str">
        <f>if(V9="","",if(RANK(V9,Data!M:M)=1,"👑",if(PERCENTRANK(Data!M:M,V9)=0,"💩",PERCENTRANK(Data!M:M,V9))))</f>
        <v/>
      </c>
      <c r="AB9" s="49" t="str">
        <f>IFERROR(__xludf.DUMMYFUNCTION("if(V9="""","""",if(RANK(V9,filter(Data!M:M,Data!C:C=Q9))&lt;6,""MVP Candidate"",if(RANK(V9,filter(Data!M:M,Data!C:C=Q9))&lt;16,""All NBA"",if(RANK(V9,filter(Data!M:M,Data!C:C=Q9))&lt;25,""All Star"",if(RANK(V9,filter(Data!M:M,Data!C:C=Q9))&lt;151,""Starter"",if(RANK("&amp;"V9,filter(Data!M:M,Data!C:C=Q9))&lt;271,""Rotation"",if(RANK(V9,filter(Data!M:M,Data!C:C=Q9))&lt;361,""Bench"",if(RANK(V9,filter(Data!M:M,Data!C:C=Q9))&gt;360,""Fringe NBA"",""""))))))))"),"")</f>
        <v/>
      </c>
      <c r="AC9" s="17"/>
    </row>
    <row r="10">
      <c r="A10" s="17"/>
      <c r="B10" s="17"/>
      <c r="C10" s="17"/>
      <c r="D10" s="17"/>
      <c r="E10" s="17"/>
      <c r="F10" s="32" t="s">
        <v>62</v>
      </c>
      <c r="G10" s="33">
        <f>countifs(Data!B:B,C$2,Data!C:C,F10)</f>
        <v>0</v>
      </c>
      <c r="H10" s="34" t="str">
        <f t="shared" si="1"/>
        <v/>
      </c>
      <c r="I10" s="35" t="str">
        <f>IF($G10=1,SUMIFS(Data!K:K,Data!$B:$B,$C$2,Data!$C:$C,$F10),"")</f>
        <v/>
      </c>
      <c r="J10" s="35" t="str">
        <f>IF($G10=1,SUMIFS(Data!L:L,Data!$B:$B,$C$2,Data!$C:$C,$F10),"")</f>
        <v/>
      </c>
      <c r="K10" s="35" t="str">
        <f>IF($G10=1,SUMIFS(Data!J:J,Data!$B:$B,$C$2,Data!$C:$C,$F10),"")</f>
        <v/>
      </c>
      <c r="L10" s="36" t="str">
        <f>IF($G10=1,SUMIFS(Data!F:F,Data!$B:$B,$C$2,Data!$C:$C,$F10),"")</f>
        <v/>
      </c>
      <c r="M10" s="36" t="str">
        <f>IF($G10=1,SUMIFS(Data!M:M,Data!$B:$B,$C$2,Data!$C:$C,$F10),"")</f>
        <v/>
      </c>
      <c r="N10" s="17"/>
      <c r="O10" s="17"/>
      <c r="P10" s="17"/>
      <c r="Q10" s="1"/>
      <c r="R10" s="54"/>
      <c r="S10" s="54"/>
      <c r="T10" s="54"/>
      <c r="U10" s="54"/>
      <c r="V10" s="54"/>
      <c r="W10" s="48" t="str">
        <f>if(R10="","",if(PERCENTRANK(Data!F:F,R10)=1,"👑",if(PERCENTRANK(Data!F:F,R10)=0,"💩",PERCENTRANK(Data!F:F,R10))))</f>
        <v/>
      </c>
      <c r="X10" s="48" t="str">
        <f>if(S10="","",if(RANK(S10,Data!K:K)=1,"👑",if(PERCENTRANK(Data!K:K,S10)=0,"💩",PERCENTRANK(Data!K:K,S10))))</f>
        <v/>
      </c>
      <c r="Y10" s="48" t="str">
        <f>if(T10="","",if(RANK(T10,Data!L:L)=1,"👑",if(PERCENTRANK(Data!L:L,T10)=0,"💩",PERCENTRANK(Data!L:L,T10))))</f>
        <v/>
      </c>
      <c r="Z10" s="48" t="str">
        <f>if(U10="","",if(RANK(U10,Data!J:J)=1,"👑",if(PERCENTRANK(Data!J:J,U10)=0,"💩",PERCENTRANK(Data!J:J,U10))))</f>
        <v/>
      </c>
      <c r="AA10" s="48" t="str">
        <f>if(V10="","",if(RANK(V10,Data!M:M)=1,"👑",if(PERCENTRANK(Data!M:M,V10)=0,"💩",PERCENTRANK(Data!M:M,V10))))</f>
        <v/>
      </c>
      <c r="AB10" s="49" t="str">
        <f>IFERROR(__xludf.DUMMYFUNCTION("if(V10="""","""",if(RANK(V10,filter(Data!M:M,Data!C:C=Q10))&lt;6,""MVP Candidate"",if(RANK(V10,filter(Data!M:M,Data!C:C=Q10))&lt;16,""All NBA"",if(RANK(V10,filter(Data!M:M,Data!C:C=Q10))&lt;25,""All Star"",if(RANK(V10,filter(Data!M:M,Data!C:C=Q10))&lt;151,""Starter"""&amp;",if(RANK(V10,filter(Data!M:M,Data!C:C=Q10))&lt;271,""Rotation"",if(RANK(V10,filter(Data!M:M,Data!C:C=Q10))&lt;361,""Bench"",if(RANK(V10,filter(Data!M:M,Data!C:C=Q10))&gt;360,""Fringe NBA"",""""))))))))"),"")</f>
        <v/>
      </c>
      <c r="AC10" s="17"/>
    </row>
    <row r="11">
      <c r="A11" s="17"/>
      <c r="B11" s="17"/>
      <c r="C11" s="17"/>
      <c r="D11" s="17"/>
      <c r="E11" s="17"/>
      <c r="F11" s="32" t="s">
        <v>63</v>
      </c>
      <c r="G11" s="33">
        <f>countifs(Data!B:B,C$2,Data!C:C,F11)</f>
        <v>0</v>
      </c>
      <c r="H11" s="34" t="str">
        <f t="shared" si="1"/>
        <v/>
      </c>
      <c r="I11" s="35" t="str">
        <f>IF($G11=1,SUMIFS(Data!K:K,Data!$B:$B,$C$2,Data!$C:$C,$F11),"")</f>
        <v/>
      </c>
      <c r="J11" s="35" t="str">
        <f>IF($G11=1,SUMIFS(Data!L:L,Data!$B:$B,$C$2,Data!$C:$C,$F11),"")</f>
        <v/>
      </c>
      <c r="K11" s="35" t="str">
        <f>IF($G11=1,SUMIFS(Data!J:J,Data!$B:$B,$C$2,Data!$C:$C,$F11),"")</f>
        <v/>
      </c>
      <c r="L11" s="36" t="str">
        <f>IF($G11=1,SUMIFS(Data!F:F,Data!$B:$B,$C$2,Data!$C:$C,$F11),"")</f>
        <v/>
      </c>
      <c r="M11" s="36" t="str">
        <f>IF($G11=1,SUMIFS(Data!M:M,Data!$B:$B,$C$2,Data!$C:$C,$F11),"")</f>
        <v/>
      </c>
      <c r="N11" s="17"/>
      <c r="O11" s="17"/>
      <c r="P11" s="17"/>
      <c r="Q11" s="1"/>
      <c r="R11" s="54"/>
      <c r="S11" s="54"/>
      <c r="T11" s="54"/>
      <c r="U11" s="54"/>
      <c r="V11" s="54"/>
      <c r="W11" s="48" t="str">
        <f>if(R11="","",if(PERCENTRANK(Data!F:F,R11)=1,"👑",if(PERCENTRANK(Data!F:F,R11)=0,"💩",PERCENTRANK(Data!F:F,R11))))</f>
        <v/>
      </c>
      <c r="X11" s="48" t="str">
        <f>if(S11="","",if(RANK(S11,Data!K:K)=1,"👑",if(PERCENTRANK(Data!K:K,S11)=0,"💩",PERCENTRANK(Data!K:K,S11))))</f>
        <v/>
      </c>
      <c r="Y11" s="48" t="str">
        <f>if(T11="","",if(RANK(T11,Data!L:L)=1,"👑",if(PERCENTRANK(Data!L:L,T11)=0,"💩",PERCENTRANK(Data!L:L,T11))))</f>
        <v/>
      </c>
      <c r="Z11" s="48" t="str">
        <f>if(U11="","",if(RANK(U11,Data!J:J)=1,"👑",if(PERCENTRANK(Data!J:J,U11)=0,"💩",PERCENTRANK(Data!J:J,U11))))</f>
        <v/>
      </c>
      <c r="AA11" s="48" t="str">
        <f>if(V11="","",if(RANK(V11,Data!M:M)=1,"👑",if(PERCENTRANK(Data!M:M,V11)=0,"💩",PERCENTRANK(Data!M:M,V11))))</f>
        <v/>
      </c>
      <c r="AB11" s="49" t="str">
        <f>IFERROR(__xludf.DUMMYFUNCTION("if(V11="""","""",if(RANK(V11,filter(Data!M:M,Data!C:C=Q11))&lt;6,""MVP Candidate"",if(RANK(V11,filter(Data!M:M,Data!C:C=Q11))&lt;16,""All NBA"",if(RANK(V11,filter(Data!M:M,Data!C:C=Q11))&lt;25,""All Star"",if(RANK(V11,filter(Data!M:M,Data!C:C=Q11))&lt;151,""Starter"""&amp;",if(RANK(V11,filter(Data!M:M,Data!C:C=Q11))&lt;271,""Rotation"",if(RANK(V11,filter(Data!M:M,Data!C:C=Q11))&lt;361,""Bench"",if(RANK(V11,filter(Data!M:M,Data!C:C=Q11))&gt;360,""Fringe NBA"",""""))))))))"),"")</f>
        <v/>
      </c>
      <c r="AC11" s="17"/>
    </row>
    <row r="12">
      <c r="A12" s="17"/>
      <c r="B12" s="17"/>
      <c r="C12" s="17"/>
      <c r="D12" s="17"/>
      <c r="E12" s="17"/>
      <c r="F12" s="53" t="s">
        <v>64</v>
      </c>
      <c r="G12" s="33">
        <f>countifs(Data!B:B,C$2,Data!C:C,F12)</f>
        <v>0</v>
      </c>
      <c r="H12" s="34" t="str">
        <f t="shared" si="1"/>
        <v/>
      </c>
      <c r="I12" s="35" t="str">
        <f>IF($G12=1,SUMIFS(Data!K:K,Data!$B:$B,$C$2,Data!$C:$C,$F12),"")</f>
        <v/>
      </c>
      <c r="J12" s="35" t="str">
        <f>IF($G12=1,SUMIFS(Data!L:L,Data!$B:$B,$C$2,Data!$C:$C,$F12),"")</f>
        <v/>
      </c>
      <c r="K12" s="35" t="str">
        <f>IF($G12=1,SUMIFS(Data!J:J,Data!$B:$B,$C$2,Data!$C:$C,$F12),"")</f>
        <v/>
      </c>
      <c r="L12" s="36" t="str">
        <f>IF($G12=1,SUMIFS(Data!F:F,Data!$B:$B,$C$2,Data!$C:$C,$F12),"")</f>
        <v/>
      </c>
      <c r="M12" s="36" t="str">
        <f>IF($G12=1,SUMIFS(Data!M:M,Data!$B:$B,$C$2,Data!$C:$C,$F12),"")</f>
        <v/>
      </c>
      <c r="N12" s="17"/>
      <c r="O12" s="17"/>
      <c r="P12" s="17"/>
      <c r="Q12" s="1"/>
      <c r="R12" s="54"/>
      <c r="S12" s="54"/>
      <c r="T12" s="54"/>
      <c r="U12" s="54"/>
      <c r="V12" s="54"/>
      <c r="W12" s="48" t="str">
        <f>if(R12="","",if(PERCENTRANK(Data!F:F,R12)=1,"👑",if(PERCENTRANK(Data!F:F,R12)=0,"💩",PERCENTRANK(Data!F:F,R12))))</f>
        <v/>
      </c>
      <c r="X12" s="48" t="str">
        <f>if(S12="","",if(RANK(S12,Data!K:K)=1,"👑",if(PERCENTRANK(Data!K:K,S12)=0,"💩",PERCENTRANK(Data!K:K,S12))))</f>
        <v/>
      </c>
      <c r="Y12" s="48" t="str">
        <f>if(T12="","",if(RANK(T12,Data!L:L)=1,"👑",if(PERCENTRANK(Data!L:L,T12)=0,"💩",PERCENTRANK(Data!L:L,T12))))</f>
        <v/>
      </c>
      <c r="Z12" s="48" t="str">
        <f>if(U12="","",if(RANK(U12,Data!J:J)=1,"👑",if(PERCENTRANK(Data!J:J,U12)=0,"💩",PERCENTRANK(Data!J:J,U12))))</f>
        <v/>
      </c>
      <c r="AA12" s="48" t="str">
        <f>if(V12="","",if(RANK(V12,Data!M:M)=1,"👑",if(PERCENTRANK(Data!M:M,V12)=0,"💩",PERCENTRANK(Data!M:M,V12))))</f>
        <v/>
      </c>
      <c r="AB12" s="49" t="str">
        <f>IFERROR(__xludf.DUMMYFUNCTION("if(V12="""","""",if(RANK(V12,filter(Data!M:M,Data!C:C=Q12))&lt;6,""MVP Candidate"",if(RANK(V12,filter(Data!M:M,Data!C:C=Q12))&lt;16,""All NBA"",if(RANK(V12,filter(Data!M:M,Data!C:C=Q12))&lt;25,""All Star"",if(RANK(V12,filter(Data!M:M,Data!C:C=Q12))&lt;151,""Starter"""&amp;",if(RANK(V12,filter(Data!M:M,Data!C:C=Q12))&lt;271,""Rotation"",if(RANK(V12,filter(Data!M:M,Data!C:C=Q12))&lt;361,""Bench"",if(RANK(V12,filter(Data!M:M,Data!C:C=Q12))&gt;360,""Fringe NBA"",""""))))))))"),"")</f>
        <v/>
      </c>
      <c r="AC12" s="17"/>
    </row>
    <row r="13">
      <c r="A13" s="17"/>
      <c r="B13" s="17"/>
      <c r="C13" s="17"/>
      <c r="D13" s="17"/>
      <c r="E13" s="17"/>
      <c r="F13" s="53" t="s">
        <v>65</v>
      </c>
      <c r="G13" s="33">
        <f>countifs(Data!B:B,C$2,Data!C:C,F13)</f>
        <v>0</v>
      </c>
      <c r="H13" s="34" t="str">
        <f t="shared" si="1"/>
        <v/>
      </c>
      <c r="I13" s="35" t="str">
        <f>IF($G13=1,SUMIFS(Data!K:K,Data!$B:$B,$C$2,Data!$C:$C,$F13),"")</f>
        <v/>
      </c>
      <c r="J13" s="35" t="str">
        <f>IF($G13=1,SUMIFS(Data!L:L,Data!$B:$B,$C$2,Data!$C:$C,$F13),"")</f>
        <v/>
      </c>
      <c r="K13" s="35" t="str">
        <f>IF($G13=1,SUMIFS(Data!J:J,Data!$B:$B,$C$2,Data!$C:$C,$F13),"")</f>
        <v/>
      </c>
      <c r="L13" s="36" t="str">
        <f>IF($G13=1,SUMIFS(Data!F:F,Data!$B:$B,$C$2,Data!$C:$C,$F13),"")</f>
        <v/>
      </c>
      <c r="M13" s="36" t="str">
        <f>IF($G13=1,SUMIFS(Data!M:M,Data!$B:$B,$C$2,Data!$C:$C,$F13),"")</f>
        <v/>
      </c>
      <c r="N13" s="17"/>
      <c r="O13" s="17"/>
      <c r="P13" s="17"/>
      <c r="Q13" s="1"/>
      <c r="R13" s="54"/>
      <c r="S13" s="54"/>
      <c r="T13" s="54"/>
      <c r="U13" s="54"/>
      <c r="V13" s="54"/>
      <c r="W13" s="48" t="str">
        <f>if(R13="","",if(PERCENTRANK(Data!F:F,R13)=1,"👑",if(PERCENTRANK(Data!F:F,R13)=0,"💩",PERCENTRANK(Data!F:F,R13))))</f>
        <v/>
      </c>
      <c r="X13" s="48" t="str">
        <f>if(S13="","",if(RANK(S13,Data!K:K)=1,"👑",if(PERCENTRANK(Data!K:K,S13)=0,"💩",PERCENTRANK(Data!K:K,S13))))</f>
        <v/>
      </c>
      <c r="Y13" s="48" t="str">
        <f>if(T13="","",if(RANK(T13,Data!L:L)=1,"👑",if(PERCENTRANK(Data!L:L,T13)=0,"💩",PERCENTRANK(Data!L:L,T13))))</f>
        <v/>
      </c>
      <c r="Z13" s="48" t="str">
        <f>if(U13="","",if(RANK(U13,Data!J:J)=1,"👑",if(PERCENTRANK(Data!J:J,U13)=0,"💩",PERCENTRANK(Data!J:J,U13))))</f>
        <v/>
      </c>
      <c r="AA13" s="48" t="str">
        <f>if(V13="","",if(RANK(V13,Data!M:M)=1,"👑",if(PERCENTRANK(Data!M:M,V13)=0,"💩",PERCENTRANK(Data!M:M,V13))))</f>
        <v/>
      </c>
      <c r="AB13" s="49" t="str">
        <f>IFERROR(__xludf.DUMMYFUNCTION("if(V13="""","""",if(RANK(V13,filter(Data!M:M,Data!C:C=Q13))&lt;6,""MVP Candidate"",if(RANK(V13,filter(Data!M:M,Data!C:C=Q13))&lt;16,""All NBA"",if(RANK(V13,filter(Data!M:M,Data!C:C=Q13))&lt;25,""All Star"",if(RANK(V13,filter(Data!M:M,Data!C:C=Q13))&lt;151,""Starter"""&amp;",if(RANK(V13,filter(Data!M:M,Data!C:C=Q13))&lt;271,""Rotation"",if(RANK(V13,filter(Data!M:M,Data!C:C=Q13))&lt;361,""Bench"",if(RANK(V13,filter(Data!M:M,Data!C:C=Q13))&gt;360,""Fringe NBA"",""""))))))))"),"")</f>
        <v/>
      </c>
      <c r="AC13" s="17"/>
    </row>
    <row r="14">
      <c r="A14" s="17"/>
      <c r="B14" s="17"/>
      <c r="C14" s="17"/>
      <c r="D14" s="17"/>
      <c r="E14" s="17"/>
      <c r="F14" s="53" t="s">
        <v>66</v>
      </c>
      <c r="G14" s="33">
        <f>countifs(Data!B:B,C$2,Data!C:C,F14)</f>
        <v>0</v>
      </c>
      <c r="H14" s="34" t="str">
        <f t="shared" si="1"/>
        <v/>
      </c>
      <c r="I14" s="35" t="str">
        <f>IF($G14=1,SUMIFS(Data!K:K,Data!$B:$B,$C$2,Data!$C:$C,$F14),"")</f>
        <v/>
      </c>
      <c r="J14" s="35" t="str">
        <f>IF($G14=1,SUMIFS(Data!L:L,Data!$B:$B,$C$2,Data!$C:$C,$F14),"")</f>
        <v/>
      </c>
      <c r="K14" s="35" t="str">
        <f>IF($G14=1,SUMIFS(Data!J:J,Data!$B:$B,$C$2,Data!$C:$C,$F14),"")</f>
        <v/>
      </c>
      <c r="L14" s="36" t="str">
        <f>IF($G14=1,SUMIFS(Data!F:F,Data!$B:$B,$C$2,Data!$C:$C,$F14),"")</f>
        <v/>
      </c>
      <c r="M14" s="36" t="str">
        <f>IF($G14=1,SUMIFS(Data!M:M,Data!$B:$B,$C$2,Data!$C:$C,$F14),"")</f>
        <v/>
      </c>
      <c r="N14" s="17"/>
      <c r="O14" s="17"/>
      <c r="P14" s="17"/>
      <c r="Q14" s="1"/>
      <c r="R14" s="54"/>
      <c r="S14" s="54"/>
      <c r="T14" s="54"/>
      <c r="U14" s="54"/>
      <c r="V14" s="54"/>
      <c r="W14" s="48" t="str">
        <f>if(R14="","",if(PERCENTRANK(Data!F:F,R14)=1,"👑",if(PERCENTRANK(Data!F:F,R14)=0,"💩",PERCENTRANK(Data!F:F,R14))))</f>
        <v/>
      </c>
      <c r="X14" s="48" t="str">
        <f>if(S14="","",if(RANK(S14,Data!K:K)=1,"👑",if(PERCENTRANK(Data!K:K,S14)=0,"💩",PERCENTRANK(Data!K:K,S14))))</f>
        <v/>
      </c>
      <c r="Y14" s="48" t="str">
        <f>if(T14="","",if(RANK(T14,Data!L:L)=1,"👑",if(PERCENTRANK(Data!L:L,T14)=0,"💩",PERCENTRANK(Data!L:L,T14))))</f>
        <v/>
      </c>
      <c r="Z14" s="48" t="str">
        <f>if(U14="","",if(RANK(U14,Data!J:J)=1,"👑",if(PERCENTRANK(Data!J:J,U14)=0,"💩",PERCENTRANK(Data!J:J,U14))))</f>
        <v/>
      </c>
      <c r="AA14" s="48" t="str">
        <f>if(V14="","",if(RANK(V14,Data!M:M)=1,"👑",if(PERCENTRANK(Data!M:M,V14)=0,"💩",PERCENTRANK(Data!M:M,V14))))</f>
        <v/>
      </c>
      <c r="AB14" s="49" t="str">
        <f>IFERROR(__xludf.DUMMYFUNCTION("if(V14="""","""",if(RANK(V14,filter(Data!M:M,Data!C:C=Q14))&lt;6,""MVP Candidate"",if(RANK(V14,filter(Data!M:M,Data!C:C=Q14))&lt;16,""All NBA"",if(RANK(V14,filter(Data!M:M,Data!C:C=Q14))&lt;25,""All Star"",if(RANK(V14,filter(Data!M:M,Data!C:C=Q14))&lt;151,""Starter"""&amp;",if(RANK(V14,filter(Data!M:M,Data!C:C=Q14))&lt;271,""Rotation"",if(RANK(V14,filter(Data!M:M,Data!C:C=Q14))&lt;361,""Bench"",if(RANK(V14,filter(Data!M:M,Data!C:C=Q14))&gt;360,""Fringe NBA"",""""))))))))"),"")</f>
        <v/>
      </c>
      <c r="AC14" s="17"/>
    </row>
    <row r="15">
      <c r="A15" s="17"/>
      <c r="B15" s="17"/>
      <c r="C15" s="17"/>
      <c r="D15" s="17"/>
      <c r="E15" s="17"/>
      <c r="F15" s="53" t="s">
        <v>67</v>
      </c>
      <c r="G15" s="33">
        <f>countifs(Data!B:B,C$2,Data!C:C,F15)</f>
        <v>0</v>
      </c>
      <c r="H15" s="34" t="str">
        <f t="shared" si="1"/>
        <v/>
      </c>
      <c r="I15" s="35" t="str">
        <f>IF($G15=1,SUMIFS(Data!K:K,Data!$B:$B,$C$2,Data!$C:$C,$F15),"")</f>
        <v/>
      </c>
      <c r="J15" s="35" t="str">
        <f>IF($G15=1,SUMIFS(Data!L:L,Data!$B:$B,$C$2,Data!$C:$C,$F15),"")</f>
        <v/>
      </c>
      <c r="K15" s="35" t="str">
        <f>IF($G15=1,SUMIFS(Data!J:J,Data!$B:$B,$C$2,Data!$C:$C,$F15),"")</f>
        <v/>
      </c>
      <c r="L15" s="36" t="str">
        <f>IF($G15=1,SUMIFS(Data!F:F,Data!$B:$B,$C$2,Data!$C:$C,$F15),"")</f>
        <v/>
      </c>
      <c r="M15" s="36" t="str">
        <f>IF($G15=1,SUMIFS(Data!M:M,Data!$B:$B,$C$2,Data!$C:$C,$F15),"")</f>
        <v/>
      </c>
      <c r="N15" s="17"/>
      <c r="O15" s="17"/>
      <c r="P15" s="17"/>
      <c r="Q15" s="1"/>
      <c r="R15" s="54"/>
      <c r="S15" s="54"/>
      <c r="T15" s="54"/>
      <c r="U15" s="54"/>
      <c r="V15" s="54"/>
      <c r="W15" s="48" t="str">
        <f>if(R15="","",if(PERCENTRANK(Data!F:F,R15)=1,"👑",if(PERCENTRANK(Data!F:F,R15)=0,"💩",PERCENTRANK(Data!F:F,R15))))</f>
        <v/>
      </c>
      <c r="X15" s="48" t="str">
        <f>if(S15="","",if(RANK(S15,Data!K:K)=1,"👑",if(PERCENTRANK(Data!K:K,S15)=0,"💩",PERCENTRANK(Data!K:K,S15))))</f>
        <v/>
      </c>
      <c r="Y15" s="48" t="str">
        <f>if(T15="","",if(RANK(T15,Data!L:L)=1,"👑",if(PERCENTRANK(Data!L:L,T15)=0,"💩",PERCENTRANK(Data!L:L,T15))))</f>
        <v/>
      </c>
      <c r="Z15" s="48" t="str">
        <f>if(U15="","",if(RANK(U15,Data!J:J)=1,"👑",if(PERCENTRANK(Data!J:J,U15)=0,"💩",PERCENTRANK(Data!J:J,U15))))</f>
        <v/>
      </c>
      <c r="AA15" s="48" t="str">
        <f>if(V15="","",if(RANK(V15,Data!M:M)=1,"👑",if(PERCENTRANK(Data!M:M,V15)=0,"💩",PERCENTRANK(Data!M:M,V15))))</f>
        <v/>
      </c>
      <c r="AB15" s="49" t="str">
        <f>IFERROR(__xludf.DUMMYFUNCTION("if(V15="""","""",if(RANK(V15,filter(Data!M:M,Data!C:C=Q15))&lt;6,""MVP Candidate"",if(RANK(V15,filter(Data!M:M,Data!C:C=Q15))&lt;16,""All NBA"",if(RANK(V15,filter(Data!M:M,Data!C:C=Q15))&lt;25,""All Star"",if(RANK(V15,filter(Data!M:M,Data!C:C=Q15))&lt;151,""Starter"""&amp;",if(RANK(V15,filter(Data!M:M,Data!C:C=Q15))&lt;271,""Rotation"",if(RANK(V15,filter(Data!M:M,Data!C:C=Q15))&lt;361,""Bench"",if(RANK(V15,filter(Data!M:M,Data!C:C=Q15))&gt;360,""Fringe NBA"",""""))))))))"),"")</f>
        <v/>
      </c>
      <c r="AC15" s="17"/>
    </row>
    <row r="16">
      <c r="A16" s="17"/>
      <c r="B16" s="17"/>
      <c r="C16" s="17"/>
      <c r="D16" s="17"/>
      <c r="E16" s="17"/>
      <c r="F16" s="53" t="s">
        <v>68</v>
      </c>
      <c r="G16" s="33">
        <f>countifs(Data!B:B,C$2,Data!C:C,F16)</f>
        <v>0</v>
      </c>
      <c r="H16" s="34" t="str">
        <f t="shared" si="1"/>
        <v/>
      </c>
      <c r="I16" s="35" t="str">
        <f>IF($G16=1,SUMIFS(Data!K:K,Data!$B:$B,$C$2,Data!$C:$C,$F16),"")</f>
        <v/>
      </c>
      <c r="J16" s="35" t="str">
        <f>IF($G16=1,SUMIFS(Data!L:L,Data!$B:$B,$C$2,Data!$C:$C,$F16),"")</f>
        <v/>
      </c>
      <c r="K16" s="35" t="str">
        <f>IF($G16=1,SUMIFS(Data!J:J,Data!$B:$B,$C$2,Data!$C:$C,$F16),"")</f>
        <v/>
      </c>
      <c r="L16" s="36" t="str">
        <f>IF($G16=1,SUMIFS(Data!F:F,Data!$B:$B,$C$2,Data!$C:$C,$F16),"")</f>
        <v/>
      </c>
      <c r="M16" s="36" t="str">
        <f>IF($G16=1,SUMIFS(Data!M:M,Data!$B:$B,$C$2,Data!$C:$C,$F16),"")</f>
        <v/>
      </c>
      <c r="N16" s="17"/>
      <c r="O16" s="17"/>
      <c r="P16" s="17"/>
      <c r="Q16" s="1"/>
      <c r="R16" s="54"/>
      <c r="S16" s="54"/>
      <c r="T16" s="54"/>
      <c r="U16" s="54"/>
      <c r="V16" s="54"/>
      <c r="W16" s="48" t="str">
        <f>if(R16="","",if(PERCENTRANK(Data!F:F,R16)=1,"👑",if(PERCENTRANK(Data!F:F,R16)=0,"💩",PERCENTRANK(Data!F:F,R16))))</f>
        <v/>
      </c>
      <c r="X16" s="48" t="str">
        <f>if(S16="","",if(RANK(S16,Data!K:K)=1,"👑",if(PERCENTRANK(Data!K:K,S16)=0,"💩",PERCENTRANK(Data!K:K,S16))))</f>
        <v/>
      </c>
      <c r="Y16" s="48" t="str">
        <f>if(T16="","",if(RANK(T16,Data!L:L)=1,"👑",if(PERCENTRANK(Data!L:L,T16)=0,"💩",PERCENTRANK(Data!L:L,T16))))</f>
        <v/>
      </c>
      <c r="Z16" s="48" t="str">
        <f>if(U16="","",if(RANK(U16,Data!J:J)=1,"👑",if(PERCENTRANK(Data!J:J,U16)=0,"💩",PERCENTRANK(Data!J:J,U16))))</f>
        <v/>
      </c>
      <c r="AA16" s="48" t="str">
        <f>if(V16="","",if(RANK(V16,Data!M:M)=1,"👑",if(PERCENTRANK(Data!M:M,V16)=0,"💩",PERCENTRANK(Data!M:M,V16))))</f>
        <v/>
      </c>
      <c r="AB16" s="49" t="str">
        <f>IFERROR(__xludf.DUMMYFUNCTION("if(V16="""","""",if(RANK(V16,filter(Data!M:M,Data!C:C=Q16))&lt;6,""MVP Candidate"",if(RANK(V16,filter(Data!M:M,Data!C:C=Q16))&lt;16,""All NBA"",if(RANK(V16,filter(Data!M:M,Data!C:C=Q16))&lt;25,""All Star"",if(RANK(V16,filter(Data!M:M,Data!C:C=Q16))&lt;151,""Starter"""&amp;",if(RANK(V16,filter(Data!M:M,Data!C:C=Q16))&lt;271,""Rotation"",if(RANK(V16,filter(Data!M:M,Data!C:C=Q16))&lt;361,""Bench"",if(RANK(V16,filter(Data!M:M,Data!C:C=Q16))&gt;360,""Fringe NBA"",""""))))))))"),"")</f>
        <v/>
      </c>
      <c r="AC16" s="17"/>
    </row>
    <row r="17">
      <c r="A17" s="17"/>
      <c r="B17" s="17"/>
      <c r="C17" s="17"/>
      <c r="D17" s="17"/>
      <c r="E17" s="17"/>
      <c r="F17" s="53" t="s">
        <v>69</v>
      </c>
      <c r="G17" s="33">
        <f>countifs(Data!B:B,C$2,Data!C:C,F17)</f>
        <v>0</v>
      </c>
      <c r="H17" s="34" t="str">
        <f t="shared" si="1"/>
        <v/>
      </c>
      <c r="I17" s="35" t="str">
        <f>IF($G17=1,SUMIFS(Data!K:K,Data!$B:$B,$C$2,Data!$C:$C,$F17),"")</f>
        <v/>
      </c>
      <c r="J17" s="35" t="str">
        <f>IF($G17=1,SUMIFS(Data!L:L,Data!$B:$B,$C$2,Data!$C:$C,$F17),"")</f>
        <v/>
      </c>
      <c r="K17" s="35" t="str">
        <f>IF($G17=1,SUMIFS(Data!J:J,Data!$B:$B,$C$2,Data!$C:$C,$F17),"")</f>
        <v/>
      </c>
      <c r="L17" s="36" t="str">
        <f>IF($G17=1,SUMIFS(Data!F:F,Data!$B:$B,$C$2,Data!$C:$C,$F17),"")</f>
        <v/>
      </c>
      <c r="M17" s="36" t="str">
        <f>IF($G17=1,SUMIFS(Data!M:M,Data!$B:$B,$C$2,Data!$C:$C,$F17),"")</f>
        <v/>
      </c>
      <c r="N17" s="17"/>
      <c r="O17" s="17"/>
      <c r="P17" s="17"/>
      <c r="Q17" s="45"/>
      <c r="R17" s="54"/>
      <c r="S17" s="54"/>
      <c r="T17" s="54"/>
      <c r="U17" s="54"/>
      <c r="V17" s="54"/>
      <c r="W17" s="48" t="str">
        <f>if(R17="","",if(PERCENTRANK(Data!F:F,R17)=1,"👑",if(PERCENTRANK(Data!F:F,R17)=0,"💩",PERCENTRANK(Data!F:F,R17))))</f>
        <v/>
      </c>
      <c r="X17" s="48" t="str">
        <f>if(S17="","",if(RANK(S17,Data!K:K)=1,"👑",if(PERCENTRANK(Data!K:K,S17)=0,"💩",PERCENTRANK(Data!K:K,S17))))</f>
        <v/>
      </c>
      <c r="Y17" s="48" t="str">
        <f>if(T17="","",if(RANK(T17,Data!L:L)=1,"👑",if(PERCENTRANK(Data!L:L,T17)=0,"💩",PERCENTRANK(Data!L:L,T17))))</f>
        <v/>
      </c>
      <c r="Z17" s="48" t="str">
        <f>if(U17="","",if(RANK(U17,Data!J:J)=1,"👑",if(PERCENTRANK(Data!J:J,U17)=0,"💩",PERCENTRANK(Data!J:J,U17))))</f>
        <v/>
      </c>
      <c r="AA17" s="48" t="str">
        <f>if(V17="","",if(RANK(V17,Data!M:M)=1,"👑",if(PERCENTRANK(Data!M:M,V17)=0,"💩",PERCENTRANK(Data!M:M,V17))))</f>
        <v/>
      </c>
      <c r="AB17" s="49" t="str">
        <f>IFERROR(__xludf.DUMMYFUNCTION("if(V17="""","""",if(RANK(V17,filter(Data!M:M,Data!C:C=Q17))&lt;6,""MVP Candidate"",if(RANK(V17,filter(Data!M:M,Data!C:C=Q17))&lt;16,""All NBA"",if(RANK(V17,filter(Data!M:M,Data!C:C=Q17))&lt;25,""All Star"",if(RANK(V17,filter(Data!M:M,Data!C:C=Q17))&lt;151,""Starter"""&amp;",if(RANK(V17,filter(Data!M:M,Data!C:C=Q17))&lt;271,""Rotation"",if(RANK(V17,filter(Data!M:M,Data!C:C=Q17))&lt;361,""Bench"",if(RANK(V17,filter(Data!M:M,Data!C:C=Q17))&gt;360,""Fringe NBA"",""""))))))))"),"")</f>
        <v/>
      </c>
      <c r="AC17" s="17"/>
    </row>
    <row r="18">
      <c r="A18" s="17"/>
      <c r="B18" s="17"/>
      <c r="C18" s="17"/>
      <c r="D18" s="17"/>
      <c r="E18" s="17"/>
      <c r="F18" s="53" t="s">
        <v>70</v>
      </c>
      <c r="G18" s="33">
        <f>countifs(Data!B:B,C$2,Data!C:C,F18)</f>
        <v>0</v>
      </c>
      <c r="H18" s="34" t="str">
        <f t="shared" si="1"/>
        <v/>
      </c>
      <c r="I18" s="35" t="str">
        <f>IF($G18=1,SUMIFS(Data!K:K,Data!$B:$B,$C$2,Data!$C:$C,$F18),"")</f>
        <v/>
      </c>
      <c r="J18" s="35" t="str">
        <f>IF($G18=1,SUMIFS(Data!L:L,Data!$B:$B,$C$2,Data!$C:$C,$F18),"")</f>
        <v/>
      </c>
      <c r="K18" s="35" t="str">
        <f>IF($G18=1,SUMIFS(Data!J:J,Data!$B:$B,$C$2,Data!$C:$C,$F18),"")</f>
        <v/>
      </c>
      <c r="L18" s="36" t="str">
        <f>IF($G18=1,SUMIFS(Data!F:F,Data!$B:$B,$C$2,Data!$C:$C,$F18),"")</f>
        <v/>
      </c>
      <c r="M18" s="36" t="str">
        <f>IF($G18=1,SUMIFS(Data!M:M,Data!$B:$B,$C$2,Data!$C:$C,$F18),"")</f>
        <v/>
      </c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48"/>
      <c r="Z18" s="17"/>
      <c r="AA18" s="17"/>
      <c r="AB18" s="17"/>
      <c r="AC18" s="17"/>
    </row>
    <row r="19" hidden="1">
      <c r="A19" s="17"/>
      <c r="B19" s="17"/>
      <c r="C19" s="17"/>
      <c r="D19" s="17"/>
      <c r="E19" s="17"/>
      <c r="F19" s="53" t="s">
        <v>71</v>
      </c>
      <c r="G19" s="33">
        <f>countifs(Data!B:B,C$2,Data!C:C,F19)</f>
        <v>0</v>
      </c>
      <c r="H19" s="34" t="str">
        <f t="shared" si="1"/>
        <v/>
      </c>
      <c r="I19" s="35" t="str">
        <f>IF($G19=1,SUMIFS(Data!K:K,Data!$B:$B,$C$2,Data!$C:$C,$F19),"")</f>
        <v/>
      </c>
      <c r="J19" s="35" t="str">
        <f>IF($G19=1,SUMIFS(Data!L:L,Data!$B:$B,$C$2,Data!$C:$C,$F19),"")</f>
        <v/>
      </c>
      <c r="K19" s="35" t="str">
        <f>IF($G19=1,SUMIFS(Data!J:J,Data!$B:$B,$C$2,Data!$C:$C,$F19),"")</f>
        <v/>
      </c>
      <c r="L19" s="36" t="str">
        <f>IF($G19=1,SUMIFS(Data!F:F,Data!$B:$B,$C$2,Data!$C:$C,$F19),"")</f>
        <v/>
      </c>
      <c r="M19" s="36" t="str">
        <f>IF($G19=1,SUMIFS(Data!M:M,Data!$B:$B,$C$2,Data!$C:$C,$F19),"")</f>
        <v/>
      </c>
      <c r="N19" s="17"/>
      <c r="O19" s="17"/>
      <c r="P19" s="17"/>
      <c r="Q19" s="53" t="s">
        <v>72</v>
      </c>
      <c r="R19" s="55">
        <f>MIN(Data!F:F)</f>
        <v>0.5166666667</v>
      </c>
      <c r="S19" s="56">
        <f>MIN(Data!J:J)</f>
        <v>-4.782766307</v>
      </c>
      <c r="T19" s="56">
        <f>MIN(Data!K:K)</f>
        <v>-4.322019044</v>
      </c>
      <c r="U19" s="56">
        <f>MIN(Data!L:L)</f>
        <v>-3.637442967</v>
      </c>
      <c r="V19" s="56">
        <f>MIN(Data!M:M)</f>
        <v>-3.532982785</v>
      </c>
      <c r="W19" s="17"/>
      <c r="X19" s="53">
        <v>1.0</v>
      </c>
      <c r="Y19" s="17"/>
      <c r="Z19" s="17"/>
      <c r="AA19" s="17"/>
      <c r="AB19" s="17"/>
      <c r="AC19" s="17"/>
    </row>
    <row r="20" hidden="1">
      <c r="A20" s="17"/>
      <c r="B20" s="17"/>
      <c r="C20" s="17"/>
      <c r="D20" s="17"/>
      <c r="E20" s="17"/>
      <c r="F20" s="53" t="s">
        <v>13</v>
      </c>
      <c r="G20" s="33">
        <f>countifs(Data!B:B,C$2,Data!C:C,F20)</f>
        <v>0</v>
      </c>
      <c r="H20" s="34" t="str">
        <f t="shared" si="1"/>
        <v/>
      </c>
      <c r="I20" s="35" t="str">
        <f>IF($G20=1,SUMIFS(Data!K:K,Data!$B:$B,$C$2,Data!$C:$C,$F20),"")</f>
        <v/>
      </c>
      <c r="J20" s="35" t="str">
        <f>IF($G20=1,SUMIFS(Data!L:L,Data!$B:$B,$C$2,Data!$C:$C,$F20),"")</f>
        <v/>
      </c>
      <c r="K20" s="35" t="str">
        <f>IF($G20=1,SUMIFS(Data!J:J,Data!$B:$B,$C$2,Data!$C:$C,$F20),"")</f>
        <v/>
      </c>
      <c r="L20" s="36" t="str">
        <f>IF($G20=1,SUMIFS(Data!F:F,Data!$B:$B,$C$2,Data!$C:$C,$F20),"")</f>
        <v/>
      </c>
      <c r="M20" s="36" t="str">
        <f>IF($G20=1,SUMIFS(Data!M:M,Data!$B:$B,$C$2,Data!$C:$C,$F20),"")</f>
        <v/>
      </c>
      <c r="N20" s="17"/>
      <c r="O20" s="17"/>
      <c r="P20" s="17"/>
      <c r="Q20" s="53" t="s">
        <v>73</v>
      </c>
      <c r="R20" s="55">
        <f>MAX(Data!F:F)</f>
        <v>3124.635</v>
      </c>
      <c r="S20" s="56">
        <f>MAX(Data!J:J)</f>
        <v>9.119122301</v>
      </c>
      <c r="T20" s="56">
        <f>MAX(Data!K:K)</f>
        <v>6.743428076</v>
      </c>
      <c r="U20" s="56">
        <f>MAX(Data!L:L)</f>
        <v>4.523460958</v>
      </c>
      <c r="V20" s="56">
        <f>MAX(Data!M:M)</f>
        <v>18.15807429</v>
      </c>
      <c r="W20" s="17"/>
      <c r="X20" s="53">
        <v>0.0</v>
      </c>
      <c r="Y20" s="17"/>
      <c r="Z20" s="17"/>
      <c r="AA20" s="17"/>
      <c r="AB20" s="17"/>
      <c r="AC20" s="17"/>
    </row>
    <row r="2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36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57" t="s">
        <v>74</v>
      </c>
      <c r="AC21" s="17"/>
    </row>
    <row r="2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36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58" t="s">
        <v>75</v>
      </c>
      <c r="AC22" s="17"/>
    </row>
    <row r="2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58" t="s">
        <v>76</v>
      </c>
      <c r="AC23" s="17"/>
    </row>
    <row r="24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58" t="s">
        <v>77</v>
      </c>
      <c r="AC24" s="17"/>
    </row>
    <row r="25" hidden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58" t="s">
        <v>78</v>
      </c>
      <c r="AC25" s="17"/>
    </row>
    <row r="26" hidden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58" t="s">
        <v>79</v>
      </c>
      <c r="AC26" s="17"/>
    </row>
    <row r="27" hidden="1">
      <c r="A27" s="17"/>
      <c r="B27" s="59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58" t="s">
        <v>80</v>
      </c>
      <c r="AC27" s="17"/>
    </row>
    <row r="28">
      <c r="A28" s="17"/>
      <c r="B28" s="59" t="s">
        <v>81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58" t="s">
        <v>82</v>
      </c>
      <c r="AC28" s="17"/>
    </row>
    <row r="29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60"/>
      <c r="AA29" s="17"/>
      <c r="AB29" s="17"/>
      <c r="AC29" s="17"/>
    </row>
    <row r="3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60"/>
      <c r="AA30" s="17"/>
      <c r="AB30" s="17"/>
      <c r="AC30" s="17"/>
    </row>
  </sheetData>
  <mergeCells count="4">
    <mergeCell ref="Q2:U2"/>
    <mergeCell ref="B4:O4"/>
    <mergeCell ref="R4:U4"/>
    <mergeCell ref="W4:AA4"/>
  </mergeCells>
  <conditionalFormatting sqref="S6:S20">
    <cfRule type="colorScale" priority="1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T6:T20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U6:U20">
    <cfRule type="colorScale" priority="3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R6:R20">
    <cfRule type="colorScale" priority="4">
      <colorScale>
        <cfvo type="min"/>
        <cfvo type="max"/>
        <color rgb="FFFFFFFF"/>
        <color rgb="FFFFD666"/>
      </colorScale>
    </cfRule>
  </conditionalFormatting>
  <conditionalFormatting sqref="W6:AB20">
    <cfRule type="colorScale" priority="5">
      <colorScale>
        <cfvo type="formula" val="0"/>
        <cfvo type="formula" val="0.5"/>
        <cfvo type="formula" val="1"/>
        <color rgb="FFE67C73"/>
        <color rgb="FFFFFFFF"/>
        <color rgb="FF57BB8A"/>
      </colorScale>
    </cfRule>
  </conditionalFormatting>
  <conditionalFormatting sqref="W6:AB20">
    <cfRule type="containsText" dxfId="0" priority="6" operator="containsText" text="💩">
      <formula>NOT(ISERROR(SEARCH(("💩"),(W6))))</formula>
    </cfRule>
  </conditionalFormatting>
  <conditionalFormatting sqref="W6:AB20">
    <cfRule type="containsText" dxfId="1" priority="7" operator="containsText" text="👑">
      <formula>NOT(ISERROR(SEARCH(("👑"),(W6))))</formula>
    </cfRule>
  </conditionalFormatting>
  <conditionalFormatting sqref="V6:V20">
    <cfRule type="colorScale" priority="8">
      <colorScale>
        <cfvo type="min"/>
        <cfvo type="formula" val="0"/>
        <cfvo type="max"/>
        <color rgb="FFE67C73"/>
        <color rgb="FFFFFFFF"/>
        <color rgb="FF57BB8A"/>
      </colorScale>
    </cfRule>
  </conditionalFormatting>
  <dataValidations>
    <dataValidation type="list" allowBlank="1" showErrorMessage="1" sqref="C2">
      <formula1>Data!$B$2:$B30</formula1>
    </dataValidation>
  </dataValidations>
  <hyperlinks>
    <hyperlink r:id="rId2" ref="Q2"/>
  </hyperlinks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3.29"/>
    <col customWidth="1" min="2" max="2" width="14.86"/>
    <col customWidth="1" min="3" max="3" width="40.0"/>
    <col customWidth="1" min="5" max="5" width="17.71"/>
    <col customWidth="1" hidden="1" min="6" max="13" width="17.71"/>
    <col customWidth="1" min="14" max="15" width="17.71"/>
    <col customWidth="1" min="16" max="16" width="3.29"/>
    <col customWidth="1" min="17" max="17" width="12.29"/>
    <col customWidth="1" min="18" max="21" width="16.86"/>
    <col customWidth="1" min="22" max="22" width="17.57"/>
    <col customWidth="1" min="23" max="27" width="16.86"/>
    <col customWidth="1" min="28" max="28" width="25.71"/>
    <col customWidth="1" min="29" max="29" width="11.57"/>
  </cols>
  <sheetData>
    <row r="1" ht="7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</row>
    <row r="2">
      <c r="A2" s="17"/>
      <c r="B2" s="18" t="s">
        <v>51</v>
      </c>
      <c r="C2" s="61" t="s">
        <v>83</v>
      </c>
      <c r="D2" s="20"/>
      <c r="E2" s="21" t="s">
        <v>8</v>
      </c>
      <c r="F2" s="22"/>
      <c r="G2" s="22"/>
      <c r="H2" s="23"/>
      <c r="I2" s="24"/>
      <c r="J2" s="24"/>
      <c r="K2" s="24"/>
      <c r="L2" s="25"/>
      <c r="M2" s="25"/>
      <c r="N2" s="26" t="s">
        <v>9</v>
      </c>
      <c r="O2" s="27" t="s">
        <v>10</v>
      </c>
      <c r="P2" s="17"/>
      <c r="Q2" s="28" t="s">
        <v>53</v>
      </c>
      <c r="V2" s="29"/>
      <c r="W2" s="17"/>
      <c r="X2" s="17"/>
      <c r="Y2" s="17"/>
      <c r="Z2" s="17"/>
      <c r="AA2" s="17"/>
      <c r="AB2" s="17"/>
      <c r="AC2" s="17"/>
    </row>
    <row r="3" ht="7.5" customHeight="1">
      <c r="A3" s="17"/>
      <c r="B3" s="30"/>
      <c r="C3" s="30"/>
      <c r="D3" s="31"/>
      <c r="E3" s="31"/>
      <c r="F3" s="32"/>
      <c r="G3" s="33"/>
      <c r="H3" s="34"/>
      <c r="I3" s="35"/>
      <c r="J3" s="35"/>
      <c r="K3" s="35"/>
      <c r="L3" s="36"/>
      <c r="M3" s="36"/>
      <c r="N3" s="17"/>
      <c r="O3" s="3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</row>
    <row r="4">
      <c r="A4" s="17"/>
      <c r="B4" s="38" t="str">
        <f>"LEBRON Impact Data for "&amp;C2</f>
        <v>LEBRON Impact Data for Luke Kennard</v>
      </c>
      <c r="P4" s="17"/>
      <c r="Q4" s="17"/>
      <c r="R4" s="39" t="s">
        <v>54</v>
      </c>
      <c r="V4" s="39"/>
      <c r="W4" s="39" t="s">
        <v>55</v>
      </c>
      <c r="AB4" s="39"/>
      <c r="AC4" s="17"/>
    </row>
    <row r="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40" t="s">
        <v>12</v>
      </c>
      <c r="R5" s="40" t="s">
        <v>4</v>
      </c>
      <c r="S5" s="41" t="s">
        <v>9</v>
      </c>
      <c r="T5" s="42" t="s">
        <v>10</v>
      </c>
      <c r="U5" s="43" t="s">
        <v>8</v>
      </c>
      <c r="V5" s="44" t="s">
        <v>11</v>
      </c>
      <c r="W5" s="40" t="s">
        <v>4</v>
      </c>
      <c r="X5" s="41" t="s">
        <v>9</v>
      </c>
      <c r="Y5" s="42" t="s">
        <v>10</v>
      </c>
      <c r="Z5" s="43" t="s">
        <v>8</v>
      </c>
      <c r="AA5" s="44" t="s">
        <v>11</v>
      </c>
      <c r="AB5" s="44" t="s">
        <v>56</v>
      </c>
      <c r="AC5" s="17"/>
    </row>
    <row r="6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45" t="str">
        <f>IFERROR(__xludf.DUMMYFUNCTION("filter(H9:H20,L9:L20&lt;&gt;"""")"),"2017-18")</f>
        <v>2017-18</v>
      </c>
      <c r="R6" s="46">
        <f>IFERROR(__xludf.DUMMYFUNCTION("filter(L9:L20,L9:L20&lt;&gt;"""")"),1462.77333333333)</f>
        <v>1462.773333</v>
      </c>
      <c r="S6" s="47">
        <f>IFERROR(__xludf.DUMMYFUNCTION("filter(I9:K20,L9:L20&lt;&gt;"""")"),-0.987242496875504)</f>
        <v>-0.9872424969</v>
      </c>
      <c r="T6" s="47">
        <f>IFERROR(__xludf.DUMMYFUNCTION("""COMPUTED_VALUE"""),-0.656099577903966)</f>
        <v>-0.6560995779</v>
      </c>
      <c r="U6" s="47">
        <f>IFERROR(__xludf.DUMMYFUNCTION("""COMPUTED_VALUE"""),-1.64334207477947)</f>
        <v>-1.643342075</v>
      </c>
      <c r="V6" s="46">
        <f>IFERROR(__xludf.DUMMYFUNCTION("filter(M9:M20,L9:L20&lt;&gt;"""")"),0.6405192758141199)</f>
        <v>0.6405192758</v>
      </c>
      <c r="W6" s="48">
        <f>if(R6="","",if(PERCENTRANK(Data!F:F,R6)=1,"👑",if(PERCENTRANK(Data!F:F,R6)=0,"💩",PERCENTRANK(Data!F:F,R6))))</f>
        <v>0.668</v>
      </c>
      <c r="X6" s="48">
        <f>if(S6="","",if(RANK(S6,Data!K:K)=1,"👑",if(PERCENTRANK(Data!K:K,S6)=0,"💩",PERCENTRANK(Data!K:K,S6))))</f>
        <v>0.307</v>
      </c>
      <c r="Y6" s="48">
        <f>if(T6="","",if(RANK(T6,Data!L:L)=1,"👑",if(PERCENTRANK(Data!L:L,T6)=0,"💩",PERCENTRANK(Data!L:L,T6))))</f>
        <v>0.277</v>
      </c>
      <c r="Z6" s="48">
        <f>if(U6="","",if(RANK(U6,Data!J:J)=1,"👑",if(PERCENTRANK(Data!J:J,U6)=0,"💩",PERCENTRANK(Data!J:J,U6))))</f>
        <v>0.206</v>
      </c>
      <c r="AA6" s="48">
        <f>if(V6="","",if(RANK(V6,Data!M:M)=1,"👑",if(PERCENTRANK(Data!M:M,V6)=0,"💩",PERCENTRANK(Data!M:M,V6))))</f>
        <v>0.502</v>
      </c>
      <c r="AB6" s="49" t="str">
        <f>IFERROR(__xludf.DUMMYFUNCTION("if(V6="""","""",if(RANK(V6,filter(Data!M:M,Data!C:C=Q6))&lt;6,""MVP Candidate"",if(RANK(V6,filter(Data!M:M,Data!C:C=Q6))&lt;16,""All NBA"",if(RANK(V6,filter(Data!M:M,Data!C:C=Q6))&lt;25,""All Star"",if(RANK(V6,filter(Data!M:M,Data!C:C=Q6))&lt;151,""Starter"",if(RANK("&amp;"V6,filter(Data!M:M,Data!C:C=Q6))&lt;271,""Rotation"",if(RANK(V6,filter(Data!M:M,Data!C:C=Q6))&lt;361,""Bench"",if(RANK(V6,filter(Data!M:M,Data!C:C=Q6))&gt;360,""Fringe NBA"",""""))))))))"),"Bench")</f>
        <v>Bench</v>
      </c>
      <c r="AC6" s="17"/>
    </row>
    <row r="7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45" t="str">
        <f>IFERROR(__xludf.DUMMYFUNCTION("""COMPUTED_VALUE"""),"2018-19")</f>
        <v>2018-19</v>
      </c>
      <c r="R7" s="46">
        <f>IFERROR(__xludf.DUMMYFUNCTION("""COMPUTED_VALUE"""),1436.63)</f>
        <v>1436.63</v>
      </c>
      <c r="S7" s="47">
        <f>IFERROR(__xludf.DUMMYFUNCTION("""COMPUTED_VALUE"""),-0.634217245421016)</f>
        <v>-0.6342172454</v>
      </c>
      <c r="T7" s="47">
        <f>IFERROR(__xludf.DUMMYFUNCTION("""COMPUTED_VALUE"""),-0.97719315401043)</f>
        <v>-0.977193154</v>
      </c>
      <c r="U7" s="47">
        <f>IFERROR(__xludf.DUMMYFUNCTION("""COMPUTED_VALUE"""),-1.61141039943145)</f>
        <v>-1.611410399</v>
      </c>
      <c r="V7" s="46">
        <f>IFERROR(__xludf.DUMMYFUNCTION("""COMPUTED_VALUE"""),0.6596605430510162)</f>
        <v>0.6596605431</v>
      </c>
      <c r="W7" s="48">
        <f>if(R7="","",if(PERCENTRANK(Data!F:F,R7)=1,"👑",if(PERCENTRANK(Data!F:F,R7)=0,"💩",PERCENTRANK(Data!F:F,R7))))</f>
        <v>0.661</v>
      </c>
      <c r="X7" s="48">
        <f>if(S7="","",if(RANK(S7,Data!K:K)=1,"👑",if(PERCENTRANK(Data!K:K,S7)=0,"💩",PERCENTRANK(Data!K:K,S7))))</f>
        <v>0.424</v>
      </c>
      <c r="Y7" s="48">
        <f>if(T7="","",if(RANK(T7,Data!L:L)=1,"👑",if(PERCENTRANK(Data!L:L,T7)=0,"💩",PERCENTRANK(Data!L:L,T7))))</f>
        <v>0.175</v>
      </c>
      <c r="Z7" s="48">
        <f>if(U7="","",if(RANK(U7,Data!J:J)=1,"👑",if(PERCENTRANK(Data!J:J,U7)=0,"💩",PERCENTRANK(Data!J:J,U7))))</f>
        <v>0.214</v>
      </c>
      <c r="AA7" s="48">
        <f>if(V7="","",if(RANK(V7,Data!M:M)=1,"👑",if(PERCENTRANK(Data!M:M,V7)=0,"💩",PERCENTRANK(Data!M:M,V7))))</f>
        <v>0.506</v>
      </c>
      <c r="AB7" s="49" t="str">
        <f>IFERROR(__xludf.DUMMYFUNCTION("if(V7="""","""",if(RANK(V7,filter(Data!M:M,Data!C:C=Q7))&lt;6,""MVP Candidate"",if(RANK(V7,filter(Data!M:M,Data!C:C=Q7))&lt;16,""All NBA"",if(RANK(V7,filter(Data!M:M,Data!C:C=Q7))&lt;25,""All Star"",if(RANK(V7,filter(Data!M:M,Data!C:C=Q7))&lt;151,""Starter"",if(RANK("&amp;"V7,filter(Data!M:M,Data!C:C=Q7))&lt;271,""Rotation"",if(RANK(V7,filter(Data!M:M,Data!C:C=Q7))&lt;361,""Bench"",if(RANK(V7,filter(Data!M:M,Data!C:C=Q7))&gt;360,""Fringe NBA"",""""))))))))"),"Rotation")</f>
        <v>Rotation</v>
      </c>
      <c r="AC7" s="17"/>
    </row>
    <row r="8">
      <c r="A8" s="17"/>
      <c r="B8" s="17"/>
      <c r="C8" s="17"/>
      <c r="D8" s="17"/>
      <c r="E8" s="17"/>
      <c r="F8" s="33" t="s">
        <v>12</v>
      </c>
      <c r="G8" s="33" t="s">
        <v>57</v>
      </c>
      <c r="H8" s="50" t="s">
        <v>12</v>
      </c>
      <c r="I8" s="51" t="s">
        <v>58</v>
      </c>
      <c r="J8" s="51" t="s">
        <v>59</v>
      </c>
      <c r="K8" s="51" t="s">
        <v>60</v>
      </c>
      <c r="L8" s="33" t="s">
        <v>4</v>
      </c>
      <c r="M8" s="52" t="s">
        <v>11</v>
      </c>
      <c r="N8" s="17"/>
      <c r="O8" s="17"/>
      <c r="P8" s="17"/>
      <c r="Q8" s="45" t="str">
        <f>IFERROR(__xludf.DUMMYFUNCTION("""COMPUTED_VALUE"""),"2019-20")</f>
        <v>2019-20</v>
      </c>
      <c r="R8" s="46">
        <f>IFERROR(__xludf.DUMMYFUNCTION("""COMPUTED_VALUE"""),921.923333333334)</f>
        <v>921.9233333</v>
      </c>
      <c r="S8" s="47">
        <f>IFERROR(__xludf.DUMMYFUNCTION("""COMPUTED_VALUE"""),0.684853608087011)</f>
        <v>0.6848536081</v>
      </c>
      <c r="T8" s="47">
        <f>IFERROR(__xludf.DUMMYFUNCTION("""COMPUTED_VALUE"""),-1.41156770593478)</f>
        <v>-1.411567706</v>
      </c>
      <c r="U8" s="47">
        <f>IFERROR(__xludf.DUMMYFUNCTION("""COMPUTED_VALUE"""),-0.726714097847768)</f>
        <v>-0.7267140978</v>
      </c>
      <c r="V8" s="46">
        <f>IFERROR(__xludf.DUMMYFUNCTION("""COMPUTED_VALUE"""),0.9699394531091122)</f>
        <v>0.9699394531</v>
      </c>
      <c r="W8" s="48">
        <f>if(R8="","",if(PERCENTRANK(Data!F:F,R8)=1,"👑",if(PERCENTRANK(Data!F:F,R8)=0,"💩",PERCENTRANK(Data!F:F,R8))))</f>
        <v>0.496</v>
      </c>
      <c r="X8" s="48">
        <f>if(S8="","",if(RANK(S8,Data!K:K)=1,"👑",if(PERCENTRANK(Data!K:K,S8)=0,"💩",PERCENTRANK(Data!K:K,S8))))</f>
        <v>0.836</v>
      </c>
      <c r="Y8" s="48">
        <f>if(T8="","",if(RANK(T8,Data!L:L)=1,"👑",if(PERCENTRANK(Data!L:L,T8)=0,"💩",PERCENTRANK(Data!L:L,T8))))</f>
        <v>0.083</v>
      </c>
      <c r="Z8" s="48">
        <f>if(U8="","",if(RANK(U8,Data!J:J)=1,"👑",if(PERCENTRANK(Data!J:J,U8)=0,"💩",PERCENTRANK(Data!J:J,U8))))</f>
        <v>0.456</v>
      </c>
      <c r="AA8" s="48">
        <f>if(V8="","",if(RANK(V8,Data!M:M)=1,"👑",if(PERCENTRANK(Data!M:M,V8)=0,"💩",PERCENTRANK(Data!M:M,V8))))</f>
        <v>0.574</v>
      </c>
      <c r="AB8" s="49" t="str">
        <f>IFERROR(__xludf.DUMMYFUNCTION("if(V8="""","""",if(RANK(V8,filter(Data!M:M,Data!C:C=Q8))&lt;6,""MVP Candidate"",if(RANK(V8,filter(Data!M:M,Data!C:C=Q8))&lt;16,""All NBA"",if(RANK(V8,filter(Data!M:M,Data!C:C=Q8))&lt;25,""All Star"",if(RANK(V8,filter(Data!M:M,Data!C:C=Q8))&lt;151,""Starter"",if(RANK("&amp;"V8,filter(Data!M:M,Data!C:C=Q8))&lt;271,""Rotation"",if(RANK(V8,filter(Data!M:M,Data!C:C=Q8))&lt;361,""Bench"",if(RANK(V8,filter(Data!M:M,Data!C:C=Q8))&gt;360,""Fringe NBA"",""""))))))))"),"Rotation")</f>
        <v>Rotation</v>
      </c>
      <c r="AC8" s="17"/>
    </row>
    <row r="9">
      <c r="A9" s="17"/>
      <c r="B9" s="17"/>
      <c r="C9" s="17"/>
      <c r="D9" s="17"/>
      <c r="E9" s="17"/>
      <c r="F9" s="32" t="s">
        <v>61</v>
      </c>
      <c r="G9" s="33">
        <f>countifs(Data!B:B,C$2,Data!C:C,F9)</f>
        <v>0</v>
      </c>
      <c r="H9" s="34" t="str">
        <f t="shared" ref="H9:H20" si="1">IF(G9=1,F9,"")</f>
        <v/>
      </c>
      <c r="I9" s="35" t="str">
        <f>IF($G9=1,SUMIFS(Data!K:K,Data!$B:$B,$C$2,Data!$C:$C,$F9),"")</f>
        <v/>
      </c>
      <c r="J9" s="35" t="str">
        <f>IF($G9=1,SUMIFS(Data!L:L,Data!$B:$B,$C$2,Data!$C:$C,$F9),"")</f>
        <v/>
      </c>
      <c r="K9" s="35" t="str">
        <f>IF($G9=1,SUMIFS(Data!J:J,Data!$B:$B,$C$2,Data!$C:$C,$F9),"")</f>
        <v/>
      </c>
      <c r="L9" s="36" t="str">
        <f>IF($G9=1,SUMIFS(Data!F:F,Data!$B:$B,$C$2,Data!$C:$C,$F9),"")</f>
        <v/>
      </c>
      <c r="M9" s="36" t="str">
        <f>IF($G9=1,SUMIFS(Data!M:M,Data!$B:$B,$C$2,Data!$C:$C,$F9),"")</f>
        <v/>
      </c>
      <c r="N9" s="17"/>
      <c r="O9" s="17"/>
      <c r="P9" s="17"/>
      <c r="Q9" s="45" t="str">
        <f>IFERROR(__xludf.DUMMYFUNCTION("""COMPUTED_VALUE"""),"2020-21")</f>
        <v>2020-21</v>
      </c>
      <c r="R9" s="46">
        <f>IFERROR(__xludf.DUMMYFUNCTION("""COMPUTED_VALUE"""),638.551666666667)</f>
        <v>638.5516667</v>
      </c>
      <c r="S9" s="47">
        <f>IFERROR(__xludf.DUMMYFUNCTION("""COMPUTED_VALUE"""),-1.22792072875595)</f>
        <v>-1.227920729</v>
      </c>
      <c r="T9" s="47">
        <f>IFERROR(__xludf.DUMMYFUNCTION("""COMPUTED_VALUE"""),-2.30619789537848)</f>
        <v>-2.306197895</v>
      </c>
      <c r="U9" s="47">
        <f>IFERROR(__xludf.DUMMYFUNCTION("""COMPUTED_VALUE"""),-3.53411862413443)</f>
        <v>-3.534118624</v>
      </c>
      <c r="V9" s="46">
        <f>IFERROR(__xludf.DUMMYFUNCTION("""COMPUTED_VALUE"""),-0.5111604712400637)</f>
        <v>-0.5111604712</v>
      </c>
      <c r="W9" s="48">
        <f>if(R9="","",if(PERCENTRANK(Data!F:F,R9)=1,"👑",if(PERCENTRANK(Data!F:F,R9)=0,"💩",PERCENTRANK(Data!F:F,R9))))</f>
        <v>0.389</v>
      </c>
      <c r="X9" s="48">
        <f>if(S9="","",if(RANK(S9,Data!K:K)=1,"👑",if(PERCENTRANK(Data!K:K,S9)=0,"💩",PERCENTRANK(Data!K:K,S9))))</f>
        <v>0.237</v>
      </c>
      <c r="Y9" s="48">
        <f>if(T9="","",if(RANK(T9,Data!L:L)=1,"👑",if(PERCENTRANK(Data!L:L,T9)=0,"💩",PERCENTRANK(Data!L:L,T9))))</f>
        <v>0.013</v>
      </c>
      <c r="Z9" s="48">
        <f>if(U9="","",if(RANK(U9,Data!J:J)=1,"👑",if(PERCENTRANK(Data!J:J,U9)=0,"💩",PERCENTRANK(Data!J:J,U9))))</f>
        <v>0.012</v>
      </c>
      <c r="AA9" s="48">
        <f>if(V9="","",if(RANK(V9,Data!M:M)=1,"👑",if(PERCENTRANK(Data!M:M,V9)=0,"💩",PERCENTRANK(Data!M:M,V9))))</f>
        <v>0.025</v>
      </c>
      <c r="AB9" s="49" t="str">
        <f>IFERROR(__xludf.DUMMYFUNCTION("if(V9="""","""",if(RANK(V9,filter(Data!M:M,Data!C:C=Q9))&lt;6,""MVP Candidate"",if(RANK(V9,filter(Data!M:M,Data!C:C=Q9))&lt;16,""All NBA"",if(RANK(V9,filter(Data!M:M,Data!C:C=Q9))&lt;25,""All Star"",if(RANK(V9,filter(Data!M:M,Data!C:C=Q9))&lt;151,""Starter"",if(RANK("&amp;"V9,filter(Data!M:M,Data!C:C=Q9))&lt;271,""Rotation"",if(RANK(V9,filter(Data!M:M,Data!C:C=Q9))&lt;361,""Bench"",if(RANK(V9,filter(Data!M:M,Data!C:C=Q9))&gt;360,""Fringe NBA"",""""))))))))"),"Fringe NBA")</f>
        <v>Fringe NBA</v>
      </c>
      <c r="AC9" s="17"/>
    </row>
    <row r="10">
      <c r="A10" s="17"/>
      <c r="B10" s="17"/>
      <c r="C10" s="17"/>
      <c r="D10" s="17"/>
      <c r="E10" s="17"/>
      <c r="F10" s="32" t="s">
        <v>62</v>
      </c>
      <c r="G10" s="33">
        <f>countifs(Data!B:B,C$2,Data!C:C,F10)</f>
        <v>0</v>
      </c>
      <c r="H10" s="34" t="str">
        <f t="shared" si="1"/>
        <v/>
      </c>
      <c r="I10" s="35" t="str">
        <f>IF($G10=1,SUMIFS(Data!K:K,Data!$B:$B,$C$2,Data!$C:$C,$F10),"")</f>
        <v/>
      </c>
      <c r="J10" s="35" t="str">
        <f>IF($G10=1,SUMIFS(Data!L:L,Data!$B:$B,$C$2,Data!$C:$C,$F10),"")</f>
        <v/>
      </c>
      <c r="K10" s="35" t="str">
        <f>IF($G10=1,SUMIFS(Data!J:J,Data!$B:$B,$C$2,Data!$C:$C,$F10),"")</f>
        <v/>
      </c>
      <c r="L10" s="36" t="str">
        <f>IF($G10=1,SUMIFS(Data!F:F,Data!$B:$B,$C$2,Data!$C:$C,$F10),"")</f>
        <v/>
      </c>
      <c r="M10" s="36" t="str">
        <f>IF($G10=1,SUMIFS(Data!M:M,Data!$B:$B,$C$2,Data!$C:$C,$F10),"")</f>
        <v/>
      </c>
      <c r="N10" s="17"/>
      <c r="O10" s="17"/>
      <c r="P10" s="17"/>
      <c r="Q10" s="1"/>
      <c r="R10" s="54"/>
      <c r="S10" s="54"/>
      <c r="T10" s="54"/>
      <c r="U10" s="54"/>
      <c r="V10" s="54"/>
      <c r="W10" s="48" t="str">
        <f>if(R10="","",if(PERCENTRANK(Data!F:F,R10)=1,"👑",if(PERCENTRANK(Data!F:F,R10)=0,"💩",PERCENTRANK(Data!F:F,R10))))</f>
        <v/>
      </c>
      <c r="X10" s="48" t="str">
        <f>if(S10="","",if(RANK(S10,Data!K:K)=1,"👑",if(PERCENTRANK(Data!K:K,S10)=0,"💩",PERCENTRANK(Data!K:K,S10))))</f>
        <v/>
      </c>
      <c r="Y10" s="48" t="str">
        <f>if(T10="","",if(RANK(T10,Data!L:L)=1,"👑",if(PERCENTRANK(Data!L:L,T10)=0,"💩",PERCENTRANK(Data!L:L,T10))))</f>
        <v/>
      </c>
      <c r="Z10" s="48" t="str">
        <f>if(U10="","",if(RANK(U10,Data!J:J)=1,"👑",if(PERCENTRANK(Data!J:J,U10)=0,"💩",PERCENTRANK(Data!J:J,U10))))</f>
        <v/>
      </c>
      <c r="AA10" s="48" t="str">
        <f>if(V10="","",if(RANK(V10,Data!M:M)=1,"👑",if(PERCENTRANK(Data!M:M,V10)=0,"💩",PERCENTRANK(Data!M:M,V10))))</f>
        <v/>
      </c>
      <c r="AB10" s="49" t="str">
        <f>IFERROR(__xludf.DUMMYFUNCTION("if(V10="""","""",if(RANK(V10,filter(Data!M:M,Data!C:C=Q10))&lt;6,""MVP Candidate"",if(RANK(V10,filter(Data!M:M,Data!C:C=Q10))&lt;16,""All NBA"",if(RANK(V10,filter(Data!M:M,Data!C:C=Q10))&lt;25,""All Star"",if(RANK(V10,filter(Data!M:M,Data!C:C=Q10))&lt;151,""Starter"""&amp;",if(RANK(V10,filter(Data!M:M,Data!C:C=Q10))&lt;271,""Rotation"",if(RANK(V10,filter(Data!M:M,Data!C:C=Q10))&lt;361,""Bench"",if(RANK(V10,filter(Data!M:M,Data!C:C=Q10))&gt;360,""Fringe NBA"",""""))))))))"),"")</f>
        <v/>
      </c>
      <c r="AC10" s="17"/>
    </row>
    <row r="11">
      <c r="A11" s="17"/>
      <c r="B11" s="17"/>
      <c r="C11" s="17"/>
      <c r="D11" s="17"/>
      <c r="E11" s="17"/>
      <c r="F11" s="32" t="s">
        <v>63</v>
      </c>
      <c r="G11" s="33">
        <f>countifs(Data!B:B,C$2,Data!C:C,F11)</f>
        <v>0</v>
      </c>
      <c r="H11" s="34" t="str">
        <f t="shared" si="1"/>
        <v/>
      </c>
      <c r="I11" s="35" t="str">
        <f>IF($G11=1,SUMIFS(Data!K:K,Data!$B:$B,$C$2,Data!$C:$C,$F11),"")</f>
        <v/>
      </c>
      <c r="J11" s="35" t="str">
        <f>IF($G11=1,SUMIFS(Data!L:L,Data!$B:$B,$C$2,Data!$C:$C,$F11),"")</f>
        <v/>
      </c>
      <c r="K11" s="35" t="str">
        <f>IF($G11=1,SUMIFS(Data!J:J,Data!$B:$B,$C$2,Data!$C:$C,$F11),"")</f>
        <v/>
      </c>
      <c r="L11" s="36" t="str">
        <f>IF($G11=1,SUMIFS(Data!F:F,Data!$B:$B,$C$2,Data!$C:$C,$F11),"")</f>
        <v/>
      </c>
      <c r="M11" s="36" t="str">
        <f>IF($G11=1,SUMIFS(Data!M:M,Data!$B:$B,$C$2,Data!$C:$C,$F11),"")</f>
        <v/>
      </c>
      <c r="N11" s="17"/>
      <c r="O11" s="17"/>
      <c r="P11" s="17"/>
      <c r="Q11" s="1"/>
      <c r="R11" s="54"/>
      <c r="S11" s="54"/>
      <c r="T11" s="54"/>
      <c r="U11" s="54"/>
      <c r="V11" s="54"/>
      <c r="W11" s="48" t="str">
        <f>if(R11="","",if(PERCENTRANK(Data!F:F,R11)=1,"👑",if(PERCENTRANK(Data!F:F,R11)=0,"💩",PERCENTRANK(Data!F:F,R11))))</f>
        <v/>
      </c>
      <c r="X11" s="48" t="str">
        <f>if(S11="","",if(RANK(S11,Data!K:K)=1,"👑",if(PERCENTRANK(Data!K:K,S11)=0,"💩",PERCENTRANK(Data!K:K,S11))))</f>
        <v/>
      </c>
      <c r="Y11" s="48" t="str">
        <f>if(T11="","",if(RANK(T11,Data!L:L)=1,"👑",if(PERCENTRANK(Data!L:L,T11)=0,"💩",PERCENTRANK(Data!L:L,T11))))</f>
        <v/>
      </c>
      <c r="Z11" s="48" t="str">
        <f>if(U11="","",if(RANK(U11,Data!J:J)=1,"👑",if(PERCENTRANK(Data!J:J,U11)=0,"💩",PERCENTRANK(Data!J:J,U11))))</f>
        <v/>
      </c>
      <c r="AA11" s="48" t="str">
        <f>if(V11="","",if(RANK(V11,Data!M:M)=1,"👑",if(PERCENTRANK(Data!M:M,V11)=0,"💩",PERCENTRANK(Data!M:M,V11))))</f>
        <v/>
      </c>
      <c r="AB11" s="49" t="str">
        <f>IFERROR(__xludf.DUMMYFUNCTION("if(V11="""","""",if(RANK(V11,filter(Data!M:M,Data!C:C=Q11))&lt;6,""MVP Candidate"",if(RANK(V11,filter(Data!M:M,Data!C:C=Q11))&lt;16,""All NBA"",if(RANK(V11,filter(Data!M:M,Data!C:C=Q11))&lt;25,""All Star"",if(RANK(V11,filter(Data!M:M,Data!C:C=Q11))&lt;151,""Starter"""&amp;",if(RANK(V11,filter(Data!M:M,Data!C:C=Q11))&lt;271,""Rotation"",if(RANK(V11,filter(Data!M:M,Data!C:C=Q11))&lt;361,""Bench"",if(RANK(V11,filter(Data!M:M,Data!C:C=Q11))&gt;360,""Fringe NBA"",""""))))))))"),"")</f>
        <v/>
      </c>
      <c r="AC11" s="17"/>
    </row>
    <row r="12">
      <c r="A12" s="17"/>
      <c r="B12" s="17"/>
      <c r="C12" s="17"/>
      <c r="D12" s="17"/>
      <c r="E12" s="17"/>
      <c r="F12" s="53" t="s">
        <v>64</v>
      </c>
      <c r="G12" s="33">
        <f>countifs(Data!B:B,C$2,Data!C:C,F12)</f>
        <v>0</v>
      </c>
      <c r="H12" s="34" t="str">
        <f t="shared" si="1"/>
        <v/>
      </c>
      <c r="I12" s="35" t="str">
        <f>IF($G12=1,SUMIFS(Data!K:K,Data!$B:$B,$C$2,Data!$C:$C,$F12),"")</f>
        <v/>
      </c>
      <c r="J12" s="35" t="str">
        <f>IF($G12=1,SUMIFS(Data!L:L,Data!$B:$B,$C$2,Data!$C:$C,$F12),"")</f>
        <v/>
      </c>
      <c r="K12" s="35" t="str">
        <f>IF($G12=1,SUMIFS(Data!J:J,Data!$B:$B,$C$2,Data!$C:$C,$F12),"")</f>
        <v/>
      </c>
      <c r="L12" s="36" t="str">
        <f>IF($G12=1,SUMIFS(Data!F:F,Data!$B:$B,$C$2,Data!$C:$C,$F12),"")</f>
        <v/>
      </c>
      <c r="M12" s="36" t="str">
        <f>IF($G12=1,SUMIFS(Data!M:M,Data!$B:$B,$C$2,Data!$C:$C,$F12),"")</f>
        <v/>
      </c>
      <c r="N12" s="17"/>
      <c r="O12" s="17"/>
      <c r="P12" s="17"/>
      <c r="Q12" s="1"/>
      <c r="R12" s="54"/>
      <c r="S12" s="54"/>
      <c r="T12" s="54"/>
      <c r="U12" s="54"/>
      <c r="V12" s="54"/>
      <c r="W12" s="48" t="str">
        <f>if(R12="","",if(PERCENTRANK(Data!F:F,R12)=1,"👑",if(PERCENTRANK(Data!F:F,R12)=0,"💩",PERCENTRANK(Data!F:F,R12))))</f>
        <v/>
      </c>
      <c r="X12" s="48" t="str">
        <f>if(S12="","",if(RANK(S12,Data!K:K)=1,"👑",if(PERCENTRANK(Data!K:K,S12)=0,"💩",PERCENTRANK(Data!K:K,S12))))</f>
        <v/>
      </c>
      <c r="Y12" s="48" t="str">
        <f>if(T12="","",if(RANK(T12,Data!L:L)=1,"👑",if(PERCENTRANK(Data!L:L,T12)=0,"💩",PERCENTRANK(Data!L:L,T12))))</f>
        <v/>
      </c>
      <c r="Z12" s="48" t="str">
        <f>if(U12="","",if(RANK(U12,Data!J:J)=1,"👑",if(PERCENTRANK(Data!J:J,U12)=0,"💩",PERCENTRANK(Data!J:J,U12))))</f>
        <v/>
      </c>
      <c r="AA12" s="48" t="str">
        <f>if(V12="","",if(RANK(V12,Data!M:M)=1,"👑",if(PERCENTRANK(Data!M:M,V12)=0,"💩",PERCENTRANK(Data!M:M,V12))))</f>
        <v/>
      </c>
      <c r="AB12" s="49" t="str">
        <f>IFERROR(__xludf.DUMMYFUNCTION("if(V12="""","""",if(RANK(V12,filter(Data!M:M,Data!C:C=Q12))&lt;6,""MVP Candidate"",if(RANK(V12,filter(Data!M:M,Data!C:C=Q12))&lt;16,""All NBA"",if(RANK(V12,filter(Data!M:M,Data!C:C=Q12))&lt;25,""All Star"",if(RANK(V12,filter(Data!M:M,Data!C:C=Q12))&lt;151,""Starter"""&amp;",if(RANK(V12,filter(Data!M:M,Data!C:C=Q12))&lt;271,""Rotation"",if(RANK(V12,filter(Data!M:M,Data!C:C=Q12))&lt;361,""Bench"",if(RANK(V12,filter(Data!M:M,Data!C:C=Q12))&gt;360,""Fringe NBA"",""""))))))))"),"")</f>
        <v/>
      </c>
      <c r="AC12" s="17"/>
    </row>
    <row r="13">
      <c r="A13" s="17"/>
      <c r="B13" s="17"/>
      <c r="C13" s="17"/>
      <c r="D13" s="17"/>
      <c r="E13" s="17"/>
      <c r="F13" s="53" t="s">
        <v>65</v>
      </c>
      <c r="G13" s="33">
        <f>countifs(Data!B:B,C$2,Data!C:C,F13)</f>
        <v>0</v>
      </c>
      <c r="H13" s="34" t="str">
        <f t="shared" si="1"/>
        <v/>
      </c>
      <c r="I13" s="35" t="str">
        <f>IF($G13=1,SUMIFS(Data!K:K,Data!$B:$B,$C$2,Data!$C:$C,$F13),"")</f>
        <v/>
      </c>
      <c r="J13" s="35" t="str">
        <f>IF($G13=1,SUMIFS(Data!L:L,Data!$B:$B,$C$2,Data!$C:$C,$F13),"")</f>
        <v/>
      </c>
      <c r="K13" s="35" t="str">
        <f>IF($G13=1,SUMIFS(Data!J:J,Data!$B:$B,$C$2,Data!$C:$C,$F13),"")</f>
        <v/>
      </c>
      <c r="L13" s="36" t="str">
        <f>IF($G13=1,SUMIFS(Data!F:F,Data!$B:$B,$C$2,Data!$C:$C,$F13),"")</f>
        <v/>
      </c>
      <c r="M13" s="36" t="str">
        <f>IF($G13=1,SUMIFS(Data!M:M,Data!$B:$B,$C$2,Data!$C:$C,$F13),"")</f>
        <v/>
      </c>
      <c r="N13" s="17"/>
      <c r="O13" s="17"/>
      <c r="P13" s="17"/>
      <c r="Q13" s="1"/>
      <c r="R13" s="54"/>
      <c r="S13" s="54"/>
      <c r="T13" s="54"/>
      <c r="U13" s="54"/>
      <c r="V13" s="54"/>
      <c r="W13" s="48" t="str">
        <f>if(R13="","",if(PERCENTRANK(Data!F:F,R13)=1,"👑",if(PERCENTRANK(Data!F:F,R13)=0,"💩",PERCENTRANK(Data!F:F,R13))))</f>
        <v/>
      </c>
      <c r="X13" s="48" t="str">
        <f>if(S13="","",if(RANK(S13,Data!K:K)=1,"👑",if(PERCENTRANK(Data!K:K,S13)=0,"💩",PERCENTRANK(Data!K:K,S13))))</f>
        <v/>
      </c>
      <c r="Y13" s="48" t="str">
        <f>if(T13="","",if(RANK(T13,Data!L:L)=1,"👑",if(PERCENTRANK(Data!L:L,T13)=0,"💩",PERCENTRANK(Data!L:L,T13))))</f>
        <v/>
      </c>
      <c r="Z13" s="48" t="str">
        <f>if(U13="","",if(RANK(U13,Data!J:J)=1,"👑",if(PERCENTRANK(Data!J:J,U13)=0,"💩",PERCENTRANK(Data!J:J,U13))))</f>
        <v/>
      </c>
      <c r="AA13" s="48" t="str">
        <f>if(V13="","",if(RANK(V13,Data!M:M)=1,"👑",if(PERCENTRANK(Data!M:M,V13)=0,"💩",PERCENTRANK(Data!M:M,V13))))</f>
        <v/>
      </c>
      <c r="AB13" s="49" t="str">
        <f>IFERROR(__xludf.DUMMYFUNCTION("if(V13="""","""",if(RANK(V13,filter(Data!M:M,Data!C:C=Q13))&lt;6,""MVP Candidate"",if(RANK(V13,filter(Data!M:M,Data!C:C=Q13))&lt;16,""All NBA"",if(RANK(V13,filter(Data!M:M,Data!C:C=Q13))&lt;25,""All Star"",if(RANK(V13,filter(Data!M:M,Data!C:C=Q13))&lt;151,""Starter"""&amp;",if(RANK(V13,filter(Data!M:M,Data!C:C=Q13))&lt;271,""Rotation"",if(RANK(V13,filter(Data!M:M,Data!C:C=Q13))&lt;361,""Bench"",if(RANK(V13,filter(Data!M:M,Data!C:C=Q13))&gt;360,""Fringe NBA"",""""))))))))"),"")</f>
        <v/>
      </c>
      <c r="AC13" s="17"/>
    </row>
    <row r="14">
      <c r="A14" s="17"/>
      <c r="B14" s="17"/>
      <c r="C14" s="17"/>
      <c r="D14" s="17"/>
      <c r="E14" s="17"/>
      <c r="F14" s="53" t="s">
        <v>66</v>
      </c>
      <c r="G14" s="33">
        <f>countifs(Data!B:B,C$2,Data!C:C,F14)</f>
        <v>0</v>
      </c>
      <c r="H14" s="34" t="str">
        <f t="shared" si="1"/>
        <v/>
      </c>
      <c r="I14" s="35" t="str">
        <f>IF($G14=1,SUMIFS(Data!K:K,Data!$B:$B,$C$2,Data!$C:$C,$F14),"")</f>
        <v/>
      </c>
      <c r="J14" s="35" t="str">
        <f>IF($G14=1,SUMIFS(Data!L:L,Data!$B:$B,$C$2,Data!$C:$C,$F14),"")</f>
        <v/>
      </c>
      <c r="K14" s="35" t="str">
        <f>IF($G14=1,SUMIFS(Data!J:J,Data!$B:$B,$C$2,Data!$C:$C,$F14),"")</f>
        <v/>
      </c>
      <c r="L14" s="36" t="str">
        <f>IF($G14=1,SUMIFS(Data!F:F,Data!$B:$B,$C$2,Data!$C:$C,$F14),"")</f>
        <v/>
      </c>
      <c r="M14" s="36" t="str">
        <f>IF($G14=1,SUMIFS(Data!M:M,Data!$B:$B,$C$2,Data!$C:$C,$F14),"")</f>
        <v/>
      </c>
      <c r="N14" s="17"/>
      <c r="O14" s="17"/>
      <c r="P14" s="17"/>
      <c r="Q14" s="1"/>
      <c r="R14" s="54"/>
      <c r="S14" s="54"/>
      <c r="T14" s="54"/>
      <c r="U14" s="54"/>
      <c r="V14" s="54"/>
      <c r="W14" s="48" t="str">
        <f>if(R14="","",if(PERCENTRANK(Data!F:F,R14)=1,"👑",if(PERCENTRANK(Data!F:F,R14)=0,"💩",PERCENTRANK(Data!F:F,R14))))</f>
        <v/>
      </c>
      <c r="X14" s="48" t="str">
        <f>if(S14="","",if(RANK(S14,Data!K:K)=1,"👑",if(PERCENTRANK(Data!K:K,S14)=0,"💩",PERCENTRANK(Data!K:K,S14))))</f>
        <v/>
      </c>
      <c r="Y14" s="48" t="str">
        <f>if(T14="","",if(RANK(T14,Data!L:L)=1,"👑",if(PERCENTRANK(Data!L:L,T14)=0,"💩",PERCENTRANK(Data!L:L,T14))))</f>
        <v/>
      </c>
      <c r="Z14" s="48" t="str">
        <f>if(U14="","",if(RANK(U14,Data!J:J)=1,"👑",if(PERCENTRANK(Data!J:J,U14)=0,"💩",PERCENTRANK(Data!J:J,U14))))</f>
        <v/>
      </c>
      <c r="AA14" s="48" t="str">
        <f>if(V14="","",if(RANK(V14,Data!M:M)=1,"👑",if(PERCENTRANK(Data!M:M,V14)=0,"💩",PERCENTRANK(Data!M:M,V14))))</f>
        <v/>
      </c>
      <c r="AB14" s="49" t="str">
        <f>IFERROR(__xludf.DUMMYFUNCTION("if(V14="""","""",if(RANK(V14,filter(Data!M:M,Data!C:C=Q14))&lt;6,""MVP Candidate"",if(RANK(V14,filter(Data!M:M,Data!C:C=Q14))&lt;16,""All NBA"",if(RANK(V14,filter(Data!M:M,Data!C:C=Q14))&lt;25,""All Star"",if(RANK(V14,filter(Data!M:M,Data!C:C=Q14))&lt;151,""Starter"""&amp;",if(RANK(V14,filter(Data!M:M,Data!C:C=Q14))&lt;271,""Rotation"",if(RANK(V14,filter(Data!M:M,Data!C:C=Q14))&lt;361,""Bench"",if(RANK(V14,filter(Data!M:M,Data!C:C=Q14))&gt;360,""Fringe NBA"",""""))))))))"),"")</f>
        <v/>
      </c>
      <c r="AC14" s="17"/>
    </row>
    <row r="15">
      <c r="A15" s="17"/>
      <c r="B15" s="17"/>
      <c r="C15" s="17"/>
      <c r="D15" s="17"/>
      <c r="E15" s="17"/>
      <c r="F15" s="53" t="s">
        <v>67</v>
      </c>
      <c r="G15" s="33">
        <f>countifs(Data!B:B,C$2,Data!C:C,F15)</f>
        <v>0</v>
      </c>
      <c r="H15" s="34" t="str">
        <f t="shared" si="1"/>
        <v/>
      </c>
      <c r="I15" s="35" t="str">
        <f>IF($G15=1,SUMIFS(Data!K:K,Data!$B:$B,$C$2,Data!$C:$C,$F15),"")</f>
        <v/>
      </c>
      <c r="J15" s="35" t="str">
        <f>IF($G15=1,SUMIFS(Data!L:L,Data!$B:$B,$C$2,Data!$C:$C,$F15),"")</f>
        <v/>
      </c>
      <c r="K15" s="35" t="str">
        <f>IF($G15=1,SUMIFS(Data!J:J,Data!$B:$B,$C$2,Data!$C:$C,$F15),"")</f>
        <v/>
      </c>
      <c r="L15" s="36" t="str">
        <f>IF($G15=1,SUMIFS(Data!F:F,Data!$B:$B,$C$2,Data!$C:$C,$F15),"")</f>
        <v/>
      </c>
      <c r="M15" s="36" t="str">
        <f>IF($G15=1,SUMIFS(Data!M:M,Data!$B:$B,$C$2,Data!$C:$C,$F15),"")</f>
        <v/>
      </c>
      <c r="N15" s="17"/>
      <c r="O15" s="17"/>
      <c r="P15" s="17"/>
      <c r="Q15" s="1"/>
      <c r="R15" s="54"/>
      <c r="S15" s="54"/>
      <c r="T15" s="54"/>
      <c r="U15" s="54"/>
      <c r="V15" s="54"/>
      <c r="W15" s="48" t="str">
        <f>if(R15="","",if(PERCENTRANK(Data!F:F,R15)=1,"👑",if(PERCENTRANK(Data!F:F,R15)=0,"💩",PERCENTRANK(Data!F:F,R15))))</f>
        <v/>
      </c>
      <c r="X15" s="48" t="str">
        <f>if(S15="","",if(RANK(S15,Data!K:K)=1,"👑",if(PERCENTRANK(Data!K:K,S15)=0,"💩",PERCENTRANK(Data!K:K,S15))))</f>
        <v/>
      </c>
      <c r="Y15" s="48" t="str">
        <f>if(T15="","",if(RANK(T15,Data!L:L)=1,"👑",if(PERCENTRANK(Data!L:L,T15)=0,"💩",PERCENTRANK(Data!L:L,T15))))</f>
        <v/>
      </c>
      <c r="Z15" s="48" t="str">
        <f>if(U15="","",if(RANK(U15,Data!J:J)=1,"👑",if(PERCENTRANK(Data!J:J,U15)=0,"💩",PERCENTRANK(Data!J:J,U15))))</f>
        <v/>
      </c>
      <c r="AA15" s="48" t="str">
        <f>if(V15="","",if(RANK(V15,Data!M:M)=1,"👑",if(PERCENTRANK(Data!M:M,V15)=0,"💩",PERCENTRANK(Data!M:M,V15))))</f>
        <v/>
      </c>
      <c r="AB15" s="49" t="str">
        <f>IFERROR(__xludf.DUMMYFUNCTION("if(V15="""","""",if(RANK(V15,filter(Data!M:M,Data!C:C=Q15))&lt;6,""MVP Candidate"",if(RANK(V15,filter(Data!M:M,Data!C:C=Q15))&lt;16,""All NBA"",if(RANK(V15,filter(Data!M:M,Data!C:C=Q15))&lt;25,""All Star"",if(RANK(V15,filter(Data!M:M,Data!C:C=Q15))&lt;151,""Starter"""&amp;",if(RANK(V15,filter(Data!M:M,Data!C:C=Q15))&lt;271,""Rotation"",if(RANK(V15,filter(Data!M:M,Data!C:C=Q15))&lt;361,""Bench"",if(RANK(V15,filter(Data!M:M,Data!C:C=Q15))&gt;360,""Fringe NBA"",""""))))))))"),"")</f>
        <v/>
      </c>
      <c r="AC15" s="17"/>
    </row>
    <row r="16">
      <c r="A16" s="17"/>
      <c r="B16" s="17"/>
      <c r="C16" s="17"/>
      <c r="D16" s="17"/>
      <c r="E16" s="17"/>
      <c r="F16" s="53" t="s">
        <v>68</v>
      </c>
      <c r="G16" s="33">
        <f>countifs(Data!B:B,C$2,Data!C:C,F16)</f>
        <v>0</v>
      </c>
      <c r="H16" s="34" t="str">
        <f t="shared" si="1"/>
        <v/>
      </c>
      <c r="I16" s="35" t="str">
        <f>IF($G16=1,SUMIFS(Data!K:K,Data!$B:$B,$C$2,Data!$C:$C,$F16),"")</f>
        <v/>
      </c>
      <c r="J16" s="35" t="str">
        <f>IF($G16=1,SUMIFS(Data!L:L,Data!$B:$B,$C$2,Data!$C:$C,$F16),"")</f>
        <v/>
      </c>
      <c r="K16" s="35" t="str">
        <f>IF($G16=1,SUMIFS(Data!J:J,Data!$B:$B,$C$2,Data!$C:$C,$F16),"")</f>
        <v/>
      </c>
      <c r="L16" s="36" t="str">
        <f>IF($G16=1,SUMIFS(Data!F:F,Data!$B:$B,$C$2,Data!$C:$C,$F16),"")</f>
        <v/>
      </c>
      <c r="M16" s="36" t="str">
        <f>IF($G16=1,SUMIFS(Data!M:M,Data!$B:$B,$C$2,Data!$C:$C,$F16),"")</f>
        <v/>
      </c>
      <c r="N16" s="17"/>
      <c r="O16" s="17"/>
      <c r="P16" s="17"/>
      <c r="Q16" s="1"/>
      <c r="R16" s="54"/>
      <c r="S16" s="54"/>
      <c r="T16" s="54"/>
      <c r="U16" s="54"/>
      <c r="V16" s="54"/>
      <c r="W16" s="48" t="str">
        <f>if(R16="","",if(PERCENTRANK(Data!F:F,R16)=1,"👑",if(PERCENTRANK(Data!F:F,R16)=0,"💩",PERCENTRANK(Data!F:F,R16))))</f>
        <v/>
      </c>
      <c r="X16" s="48" t="str">
        <f>if(S16="","",if(RANK(S16,Data!K:K)=1,"👑",if(PERCENTRANK(Data!K:K,S16)=0,"💩",PERCENTRANK(Data!K:K,S16))))</f>
        <v/>
      </c>
      <c r="Y16" s="48" t="str">
        <f>if(T16="","",if(RANK(T16,Data!L:L)=1,"👑",if(PERCENTRANK(Data!L:L,T16)=0,"💩",PERCENTRANK(Data!L:L,T16))))</f>
        <v/>
      </c>
      <c r="Z16" s="48" t="str">
        <f>if(U16="","",if(RANK(U16,Data!J:J)=1,"👑",if(PERCENTRANK(Data!J:J,U16)=0,"💩",PERCENTRANK(Data!J:J,U16))))</f>
        <v/>
      </c>
      <c r="AA16" s="48" t="str">
        <f>if(V16="","",if(RANK(V16,Data!M:M)=1,"👑",if(PERCENTRANK(Data!M:M,V16)=0,"💩",PERCENTRANK(Data!M:M,V16))))</f>
        <v/>
      </c>
      <c r="AB16" s="49" t="str">
        <f>IFERROR(__xludf.DUMMYFUNCTION("if(V16="""","""",if(RANK(V16,filter(Data!M:M,Data!C:C=Q16))&lt;6,""MVP Candidate"",if(RANK(V16,filter(Data!M:M,Data!C:C=Q16))&lt;16,""All NBA"",if(RANK(V16,filter(Data!M:M,Data!C:C=Q16))&lt;25,""All Star"",if(RANK(V16,filter(Data!M:M,Data!C:C=Q16))&lt;151,""Starter"""&amp;",if(RANK(V16,filter(Data!M:M,Data!C:C=Q16))&lt;271,""Rotation"",if(RANK(V16,filter(Data!M:M,Data!C:C=Q16))&lt;361,""Bench"",if(RANK(V16,filter(Data!M:M,Data!C:C=Q16))&gt;360,""Fringe NBA"",""""))))))))"),"")</f>
        <v/>
      </c>
      <c r="AC16" s="17"/>
    </row>
    <row r="17">
      <c r="A17" s="17"/>
      <c r="B17" s="17"/>
      <c r="C17" s="17"/>
      <c r="D17" s="17"/>
      <c r="E17" s="17"/>
      <c r="F17" s="53" t="s">
        <v>69</v>
      </c>
      <c r="G17" s="33">
        <f>countifs(Data!B:B,C$2,Data!C:C,F17)</f>
        <v>1</v>
      </c>
      <c r="H17" s="34" t="str">
        <f t="shared" si="1"/>
        <v>2017-18</v>
      </c>
      <c r="I17" s="35">
        <f>IF($G17=1,SUMIFS(Data!K:K,Data!$B:$B,$C$2,Data!$C:$C,$F17),"")</f>
        <v>-0.9872424969</v>
      </c>
      <c r="J17" s="35">
        <f>IF($G17=1,SUMIFS(Data!L:L,Data!$B:$B,$C$2,Data!$C:$C,$F17),"")</f>
        <v>-0.6560995779</v>
      </c>
      <c r="K17" s="35">
        <f>IF($G17=1,SUMIFS(Data!J:J,Data!$B:$B,$C$2,Data!$C:$C,$F17),"")</f>
        <v>-1.643342075</v>
      </c>
      <c r="L17" s="36">
        <f>IF($G17=1,SUMIFS(Data!F:F,Data!$B:$B,$C$2,Data!$C:$C,$F17),"")</f>
        <v>1462.773333</v>
      </c>
      <c r="M17" s="36">
        <f>IF($G17=1,SUMIFS(Data!M:M,Data!$B:$B,$C$2,Data!$C:$C,$F17),"")</f>
        <v>0.6405192758</v>
      </c>
      <c r="N17" s="17"/>
      <c r="O17" s="17"/>
      <c r="P17" s="17"/>
      <c r="Q17" s="45"/>
      <c r="R17" s="54"/>
      <c r="S17" s="54"/>
      <c r="T17" s="54"/>
      <c r="U17" s="54"/>
      <c r="V17" s="54"/>
      <c r="W17" s="48" t="str">
        <f>if(R17="","",if(PERCENTRANK(Data!F:F,R17)=1,"👑",if(PERCENTRANK(Data!F:F,R17)=0,"💩",PERCENTRANK(Data!F:F,R17))))</f>
        <v/>
      </c>
      <c r="X17" s="48" t="str">
        <f>if(S17="","",if(RANK(S17,Data!K:K)=1,"👑",if(PERCENTRANK(Data!K:K,S17)=0,"💩",PERCENTRANK(Data!K:K,S17))))</f>
        <v/>
      </c>
      <c r="Y17" s="48" t="str">
        <f>if(T17="","",if(RANK(T17,Data!L:L)=1,"👑",if(PERCENTRANK(Data!L:L,T17)=0,"💩",PERCENTRANK(Data!L:L,T17))))</f>
        <v/>
      </c>
      <c r="Z17" s="48" t="str">
        <f>if(U17="","",if(RANK(U17,Data!J:J)=1,"👑",if(PERCENTRANK(Data!J:J,U17)=0,"💩",PERCENTRANK(Data!J:J,U17))))</f>
        <v/>
      </c>
      <c r="AA17" s="48" t="str">
        <f>if(V17="","",if(RANK(V17,Data!M:M)=1,"👑",if(PERCENTRANK(Data!M:M,V17)=0,"💩",PERCENTRANK(Data!M:M,V17))))</f>
        <v/>
      </c>
      <c r="AB17" s="49" t="str">
        <f>IFERROR(__xludf.DUMMYFUNCTION("if(V17="""","""",if(RANK(V17,filter(Data!M:M,Data!C:C=Q17))&lt;6,""MVP Candidate"",if(RANK(V17,filter(Data!M:M,Data!C:C=Q17))&lt;16,""All NBA"",if(RANK(V17,filter(Data!M:M,Data!C:C=Q17))&lt;25,""All Star"",if(RANK(V17,filter(Data!M:M,Data!C:C=Q17))&lt;151,""Starter"""&amp;",if(RANK(V17,filter(Data!M:M,Data!C:C=Q17))&lt;271,""Rotation"",if(RANK(V17,filter(Data!M:M,Data!C:C=Q17))&lt;361,""Bench"",if(RANK(V17,filter(Data!M:M,Data!C:C=Q17))&gt;360,""Fringe NBA"",""""))))))))"),"")</f>
        <v/>
      </c>
      <c r="AC17" s="17"/>
    </row>
    <row r="18">
      <c r="A18" s="17"/>
      <c r="B18" s="17"/>
      <c r="C18" s="17"/>
      <c r="D18" s="17"/>
      <c r="E18" s="17"/>
      <c r="F18" s="53" t="s">
        <v>70</v>
      </c>
      <c r="G18" s="33">
        <f>countifs(Data!B:B,C$2,Data!C:C,F18)</f>
        <v>1</v>
      </c>
      <c r="H18" s="34" t="str">
        <f t="shared" si="1"/>
        <v>2018-19</v>
      </c>
      <c r="I18" s="35">
        <f>IF($G18=1,SUMIFS(Data!K:K,Data!$B:$B,$C$2,Data!$C:$C,$F18),"")</f>
        <v>-0.6342172454</v>
      </c>
      <c r="J18" s="35">
        <f>IF($G18=1,SUMIFS(Data!L:L,Data!$B:$B,$C$2,Data!$C:$C,$F18),"")</f>
        <v>-0.977193154</v>
      </c>
      <c r="K18" s="35">
        <f>IF($G18=1,SUMIFS(Data!J:J,Data!$B:$B,$C$2,Data!$C:$C,$F18),"")</f>
        <v>-1.611410399</v>
      </c>
      <c r="L18" s="36">
        <f>IF($G18=1,SUMIFS(Data!F:F,Data!$B:$B,$C$2,Data!$C:$C,$F18),"")</f>
        <v>1436.63</v>
      </c>
      <c r="M18" s="36">
        <f>IF($G18=1,SUMIFS(Data!M:M,Data!$B:$B,$C$2,Data!$C:$C,$F18),"")</f>
        <v>0.6596605431</v>
      </c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48"/>
      <c r="Z18" s="17"/>
      <c r="AA18" s="17"/>
      <c r="AB18" s="17"/>
      <c r="AC18" s="17"/>
    </row>
    <row r="19" hidden="1">
      <c r="A19" s="17"/>
      <c r="B19" s="17"/>
      <c r="C19" s="17"/>
      <c r="D19" s="17"/>
      <c r="E19" s="17"/>
      <c r="F19" s="53" t="s">
        <v>71</v>
      </c>
      <c r="G19" s="33">
        <f>countifs(Data!B:B,C$2,Data!C:C,F19)</f>
        <v>1</v>
      </c>
      <c r="H19" s="34" t="str">
        <f t="shared" si="1"/>
        <v>2019-20</v>
      </c>
      <c r="I19" s="35">
        <f>IF($G19=1,SUMIFS(Data!K:K,Data!$B:$B,$C$2,Data!$C:$C,$F19),"")</f>
        <v>0.6848536081</v>
      </c>
      <c r="J19" s="35">
        <f>IF($G19=1,SUMIFS(Data!L:L,Data!$B:$B,$C$2,Data!$C:$C,$F19),"")</f>
        <v>-1.411567706</v>
      </c>
      <c r="K19" s="35">
        <f>IF($G19=1,SUMIFS(Data!J:J,Data!$B:$B,$C$2,Data!$C:$C,$F19),"")</f>
        <v>-0.7267140978</v>
      </c>
      <c r="L19" s="36">
        <f>IF($G19=1,SUMIFS(Data!F:F,Data!$B:$B,$C$2,Data!$C:$C,$F19),"")</f>
        <v>921.9233333</v>
      </c>
      <c r="M19" s="36">
        <f>IF($G19=1,SUMIFS(Data!M:M,Data!$B:$B,$C$2,Data!$C:$C,$F19),"")</f>
        <v>0.9699394531</v>
      </c>
      <c r="N19" s="17"/>
      <c r="O19" s="17"/>
      <c r="P19" s="17"/>
      <c r="Q19" s="53" t="s">
        <v>72</v>
      </c>
      <c r="R19" s="55">
        <f>MIN(Data!F:F)</f>
        <v>0.5166666667</v>
      </c>
      <c r="S19" s="56">
        <f>MIN(Data!J:J)</f>
        <v>-4.782766307</v>
      </c>
      <c r="T19" s="56">
        <f>MIN(Data!K:K)</f>
        <v>-4.322019044</v>
      </c>
      <c r="U19" s="56">
        <f>MIN(Data!L:L)</f>
        <v>-3.637442967</v>
      </c>
      <c r="V19" s="56">
        <f>MIN(Data!M:M)</f>
        <v>-3.532982785</v>
      </c>
      <c r="W19" s="17"/>
      <c r="X19" s="53">
        <v>1.0</v>
      </c>
      <c r="Y19" s="17"/>
      <c r="Z19" s="17"/>
      <c r="AA19" s="17"/>
      <c r="AB19" s="17"/>
      <c r="AC19" s="17"/>
    </row>
    <row r="20" hidden="1">
      <c r="A20" s="17"/>
      <c r="B20" s="17"/>
      <c r="C20" s="17"/>
      <c r="D20" s="17"/>
      <c r="E20" s="17"/>
      <c r="F20" s="53" t="s">
        <v>13</v>
      </c>
      <c r="G20" s="33">
        <f>countifs(Data!B:B,C$2,Data!C:C,F20)</f>
        <v>1</v>
      </c>
      <c r="H20" s="34" t="str">
        <f t="shared" si="1"/>
        <v>2020-21</v>
      </c>
      <c r="I20" s="35">
        <f>IF($G20=1,SUMIFS(Data!K:K,Data!$B:$B,$C$2,Data!$C:$C,$F20),"")</f>
        <v>-1.227920729</v>
      </c>
      <c r="J20" s="35">
        <f>IF($G20=1,SUMIFS(Data!L:L,Data!$B:$B,$C$2,Data!$C:$C,$F20),"")</f>
        <v>-2.306197895</v>
      </c>
      <c r="K20" s="35">
        <f>IF($G20=1,SUMIFS(Data!J:J,Data!$B:$B,$C$2,Data!$C:$C,$F20),"")</f>
        <v>-3.534118624</v>
      </c>
      <c r="L20" s="36">
        <f>IF($G20=1,SUMIFS(Data!F:F,Data!$B:$B,$C$2,Data!$C:$C,$F20),"")</f>
        <v>638.5516667</v>
      </c>
      <c r="M20" s="36">
        <f>IF($G20=1,SUMIFS(Data!M:M,Data!$B:$B,$C$2,Data!$C:$C,$F20),"")</f>
        <v>-0.5111604712</v>
      </c>
      <c r="N20" s="17"/>
      <c r="O20" s="17"/>
      <c r="P20" s="17"/>
      <c r="Q20" s="53" t="s">
        <v>73</v>
      </c>
      <c r="R20" s="55">
        <f>MAX(Data!F:F)</f>
        <v>3124.635</v>
      </c>
      <c r="S20" s="56">
        <f>MAX(Data!J:J)</f>
        <v>9.119122301</v>
      </c>
      <c r="T20" s="56">
        <f>MAX(Data!K:K)</f>
        <v>6.743428076</v>
      </c>
      <c r="U20" s="56">
        <f>MAX(Data!L:L)</f>
        <v>4.523460958</v>
      </c>
      <c r="V20" s="56">
        <f>MAX(Data!M:M)</f>
        <v>18.15807429</v>
      </c>
      <c r="W20" s="17"/>
      <c r="X20" s="53">
        <v>0.0</v>
      </c>
      <c r="Y20" s="17"/>
      <c r="Z20" s="17"/>
      <c r="AA20" s="17"/>
      <c r="AB20" s="17"/>
      <c r="AC20" s="17"/>
    </row>
    <row r="2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36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57" t="s">
        <v>74</v>
      </c>
      <c r="AC21" s="17"/>
    </row>
    <row r="2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36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58" t="s">
        <v>75</v>
      </c>
      <c r="AC22" s="17"/>
    </row>
    <row r="2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58" t="s">
        <v>76</v>
      </c>
      <c r="AC23" s="17"/>
    </row>
    <row r="24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58" t="s">
        <v>77</v>
      </c>
      <c r="AC24" s="17"/>
    </row>
    <row r="2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58" t="s">
        <v>78</v>
      </c>
      <c r="AC25" s="17"/>
    </row>
    <row r="26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58" t="s">
        <v>79</v>
      </c>
      <c r="AC26" s="17"/>
    </row>
    <row r="27">
      <c r="A27" s="17"/>
      <c r="B27" s="59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58" t="s">
        <v>80</v>
      </c>
      <c r="AC27" s="17"/>
    </row>
    <row r="28">
      <c r="A28" s="17"/>
      <c r="B28" s="59" t="s">
        <v>81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58" t="s">
        <v>82</v>
      </c>
      <c r="AC28" s="17"/>
    </row>
    <row r="29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60"/>
      <c r="AA29" s="17"/>
      <c r="AB29" s="17"/>
      <c r="AC29" s="17"/>
    </row>
    <row r="3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60"/>
      <c r="AA30" s="17"/>
      <c r="AB30" s="17"/>
      <c r="AC30" s="17"/>
    </row>
  </sheetData>
  <mergeCells count="4">
    <mergeCell ref="Q2:U2"/>
    <mergeCell ref="B4:O4"/>
    <mergeCell ref="R4:U4"/>
    <mergeCell ref="W4:AA4"/>
  </mergeCells>
  <conditionalFormatting sqref="S6:S20">
    <cfRule type="colorScale" priority="1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T6:T20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U6:U20">
    <cfRule type="colorScale" priority="3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R6:R20">
    <cfRule type="colorScale" priority="4">
      <colorScale>
        <cfvo type="min"/>
        <cfvo type="max"/>
        <color rgb="FFFFFFFF"/>
        <color rgb="FFFFD666"/>
      </colorScale>
    </cfRule>
  </conditionalFormatting>
  <conditionalFormatting sqref="W6:AB20">
    <cfRule type="colorScale" priority="5">
      <colorScale>
        <cfvo type="formula" val="0"/>
        <cfvo type="formula" val="0.5"/>
        <cfvo type="formula" val="1"/>
        <color rgb="FFE67C73"/>
        <color rgb="FFFFFFFF"/>
        <color rgb="FF57BB8A"/>
      </colorScale>
    </cfRule>
  </conditionalFormatting>
  <conditionalFormatting sqref="W6:AB20">
    <cfRule type="containsText" dxfId="0" priority="6" operator="containsText" text="💩">
      <formula>NOT(ISERROR(SEARCH(("💩"),(W6))))</formula>
    </cfRule>
  </conditionalFormatting>
  <conditionalFormatting sqref="W6:AB20">
    <cfRule type="containsText" dxfId="1" priority="7" operator="containsText" text="👑">
      <formula>NOT(ISERROR(SEARCH(("👑"),(W6))))</formula>
    </cfRule>
  </conditionalFormatting>
  <conditionalFormatting sqref="V6:V20">
    <cfRule type="colorScale" priority="8">
      <colorScale>
        <cfvo type="min"/>
        <cfvo type="formula" val="0"/>
        <cfvo type="max"/>
        <color rgb="FFE67C73"/>
        <color rgb="FFFFFFFF"/>
        <color rgb="FF57BB8A"/>
      </colorScale>
    </cfRule>
  </conditionalFormatting>
  <dataValidations>
    <dataValidation type="list" allowBlank="1" showErrorMessage="1" sqref="C2">
      <formula1>Data!$B$2:$B30</formula1>
    </dataValidation>
  </dataValidations>
  <hyperlinks>
    <hyperlink r:id="rId2" ref="Q2"/>
  </hyperlink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3.29"/>
    <col customWidth="1" min="2" max="2" width="14.71"/>
    <col customWidth="1" min="3" max="3" width="40.57"/>
    <col customWidth="1" min="5" max="5" width="19.14"/>
    <col customWidth="1" min="6" max="7" width="14.71"/>
    <col customWidth="1" min="8" max="8" width="40.57"/>
    <col customWidth="1" hidden="1" min="9" max="14" width="17.71"/>
    <col customWidth="1" min="15" max="15" width="17.71"/>
    <col customWidth="1" min="16" max="16" width="3.29"/>
    <col customWidth="1" min="17" max="17" width="12.29"/>
    <col customWidth="1" min="18" max="23" width="23.14"/>
    <col customWidth="1" min="24" max="24" width="3.29"/>
  </cols>
  <sheetData>
    <row r="1" ht="7.5" customHeight="1">
      <c r="A1" s="53">
        <v>1.0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>
      <c r="A2" s="17"/>
      <c r="B2" s="62" t="s">
        <v>84</v>
      </c>
      <c r="C2" s="61" t="s">
        <v>85</v>
      </c>
      <c r="D2" s="20"/>
      <c r="E2" s="63" t="s">
        <v>8</v>
      </c>
      <c r="F2" s="64"/>
      <c r="G2" s="65" t="s">
        <v>86</v>
      </c>
      <c r="H2" s="61" t="s">
        <v>87</v>
      </c>
      <c r="I2" s="22"/>
      <c r="J2" s="23"/>
      <c r="K2" s="24"/>
      <c r="L2" s="24"/>
      <c r="M2" s="24"/>
      <c r="N2" s="25"/>
      <c r="O2" s="66"/>
      <c r="P2" s="17"/>
      <c r="Q2" s="28" t="s">
        <v>53</v>
      </c>
      <c r="U2" s="17"/>
      <c r="V2" s="17"/>
      <c r="W2" s="17"/>
      <c r="X2" s="17"/>
    </row>
    <row r="3">
      <c r="A3" s="17"/>
      <c r="B3" s="67"/>
      <c r="C3" s="67"/>
      <c r="D3" s="20"/>
      <c r="E3" s="21"/>
      <c r="F3" s="21"/>
      <c r="G3" s="21"/>
      <c r="H3" s="22"/>
      <c r="I3" s="22"/>
      <c r="J3" s="23"/>
      <c r="K3" s="24"/>
      <c r="L3" s="24"/>
      <c r="M3" s="24"/>
      <c r="N3" s="25"/>
      <c r="O3" s="68"/>
      <c r="P3" s="17"/>
      <c r="Q3" s="69"/>
      <c r="R3" s="69"/>
      <c r="S3" s="69"/>
      <c r="T3" s="17"/>
      <c r="U3" s="17"/>
      <c r="V3" s="17"/>
      <c r="W3" s="17"/>
      <c r="X3" s="17"/>
    </row>
    <row r="4">
      <c r="A4" s="17"/>
      <c r="B4" s="38" t="str">
        <f>E2&amp;" Impact Data Comparison for "&amp;C2&amp;" &amp; "&amp;H2</f>
        <v>LEBRON Impact Data Comparison for Mike Conley &amp; Devin Booker</v>
      </c>
      <c r="I4" s="38"/>
      <c r="J4" s="38"/>
      <c r="K4" s="38"/>
      <c r="L4" s="38"/>
      <c r="M4" s="38"/>
      <c r="N4" s="38"/>
      <c r="O4" s="38"/>
      <c r="P4" s="17"/>
      <c r="Q4" s="17"/>
      <c r="R4" s="69"/>
      <c r="S4" s="69"/>
      <c r="T4" s="17"/>
      <c r="U4" s="17"/>
      <c r="V4" s="17"/>
      <c r="W4" s="17"/>
      <c r="X4" s="17"/>
    </row>
    <row r="5" ht="7.5" customHeight="1">
      <c r="A5" s="17"/>
      <c r="B5" s="30"/>
      <c r="C5" s="30"/>
      <c r="D5" s="31"/>
      <c r="E5" s="31"/>
      <c r="F5" s="31"/>
      <c r="G5" s="31"/>
      <c r="H5" s="32"/>
      <c r="I5" s="33"/>
      <c r="J5" s="34"/>
      <c r="K5" s="35"/>
      <c r="L5" s="35"/>
      <c r="M5" s="35"/>
      <c r="N5" s="36"/>
      <c r="O5" s="17"/>
      <c r="P5" s="17"/>
      <c r="Q5" s="17"/>
      <c r="R5" s="17"/>
      <c r="S5" s="17"/>
      <c r="T5" s="17"/>
      <c r="U5" s="17"/>
      <c r="V5" s="17"/>
      <c r="W5" s="17"/>
      <c r="X5" s="17"/>
    </row>
    <row r="6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70" t="str">
        <f>E2</f>
        <v>LEBRON</v>
      </c>
      <c r="T6" s="70" t="s">
        <v>88</v>
      </c>
      <c r="V6" s="70" t="str">
        <f>"Higher "&amp;if(R6="LEBRON","Overall",if(R6="O-LEBRON","Offensive",if(R6="D-LEBRON","Defensive")))&amp;" Impact"</f>
        <v>Higher Overall Impact</v>
      </c>
      <c r="X6" s="17"/>
    </row>
    <row r="7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40" t="s">
        <v>12</v>
      </c>
      <c r="R7" s="71" t="str">
        <f>RIGHT(C2,LEN(C2)-FIND(" ",C2))</f>
        <v>Conley</v>
      </c>
      <c r="S7" s="72" t="str">
        <f>RIGHT(H2,LEN(H2)-FIND(" ",H2))</f>
        <v>Booker</v>
      </c>
      <c r="T7" s="41" t="str">
        <f t="shared" ref="T7:W7" si="1">R7</f>
        <v>Conley</v>
      </c>
      <c r="U7" s="42" t="str">
        <f t="shared" si="1"/>
        <v>Booker</v>
      </c>
      <c r="V7" s="41" t="str">
        <f t="shared" si="1"/>
        <v>Conley</v>
      </c>
      <c r="W7" s="42" t="str">
        <f t="shared" si="1"/>
        <v>Booker</v>
      </c>
      <c r="X7" s="17"/>
    </row>
    <row r="8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" t="str">
        <f>IFERROR(__xludf.DUMMYFUNCTION("filter(I11:I36,L11:L36&lt;&gt;"""")"),"2013-14")</f>
        <v>2013-14</v>
      </c>
      <c r="R8" s="47">
        <f>IFERROR(__xludf.DUMMYFUNCTION("filter(M11:M36,L11:L36&lt;&gt;"""")"),3.12064570387788)</f>
        <v>3.120645704</v>
      </c>
      <c r="S8" s="47" t="str">
        <f>IFERROR(__xludf.DUMMYFUNCTION("filter(N11:N36,L11:L36&lt;&gt;"""")"),"")</f>
        <v/>
      </c>
      <c r="T8" s="48">
        <f>if(R8="","",if(if($R$6="LEBRON",PERCENTRANK(Data!$J:$J,R8),if($R$6="O-LEBRON",PERCENTRANK(Data!$K:$K,R8),if($R$6="D-LEBRON",PERCENTRANK(Data!$L:$L,R8))))=1,"👑",if(if($R$6="LEBRON",PERCENTRANK(Data!$J:$J,R8),if($R$6="O-LEBRON",PERCENTRANK(Data!$K:$K,R8),if($R$6="D-LEBRON",PERCENTRANK(Data!$L:$L,R8))))=0,"💩",if($R$6="LEBRON",PERCENTRANK(Data!$J:$J,R8),if($R$6="O-LEBRON",PERCENTRANK(Data!$K:$K,R8),if($R$6="D-LEBRON",PERCENTRANK(Data!$L:$L,R8)))))))</f>
        <v>0.96</v>
      </c>
      <c r="U8" s="48" t="str">
        <f>if(S8="","",if(if($R$6="LEBRON",PERCENTRANK(Data!$J:$J,S8),if($R$6="O-LEBRON",PERCENTRANK(Data!$K:$K,S8),if($R$6="D-LEBRON",PERCENTRANK(Data!$L:$L,S8))))=1,"👑",if(if($R$6="LEBRON",PERCENTRANK(Data!$J:$J,S8),if($R$6="O-LEBRON",PERCENTRANK(Data!$K:$K,S8),if($R$6="D-LEBRON",PERCENTRANK(Data!$L:$L,S8))))=0,"💩",if($R$6="LEBRON",PERCENTRANK(Data!$J:$J,S8),if($R$6="O-LEBRON",PERCENTRANK(Data!$K:$K,S8),if($R$6="D-LEBRON",PERCENTRANK(Data!$L:$L,S8)))))))</f>
        <v/>
      </c>
      <c r="V8" s="73" t="str">
        <f t="shared" ref="V8:V25" si="2">if(R8="","",if(S8="","✔",if(R8&gt;S8,"✔",if(R8=S8,"Tie",""))))</f>
        <v>✔</v>
      </c>
      <c r="W8" s="73" t="str">
        <f t="shared" ref="W8:W25" si="3">if(S8="","",if(R8="","✔",if(S8&gt;R8,"✔",if(S8=R8,"Tie",""))))</f>
        <v/>
      </c>
      <c r="X8" s="17"/>
    </row>
    <row r="9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" t="str">
        <f>IFERROR(__xludf.DUMMYFUNCTION("""COMPUTED_VALUE"""),"2014-15")</f>
        <v>2014-15</v>
      </c>
      <c r="R9" s="47">
        <f>IFERROR(__xludf.DUMMYFUNCTION("""COMPUTED_VALUE"""),1.76332810565814)</f>
        <v>1.763328106</v>
      </c>
      <c r="S9" s="47" t="str">
        <f>IFERROR(__xludf.DUMMYFUNCTION("""COMPUTED_VALUE"""),"")</f>
        <v/>
      </c>
      <c r="T9" s="48">
        <f>if(R9="","",if(if($R$6="LEBRON",PERCENTRANK(Data!$J:$J,R9),if($R$6="O-LEBRON",PERCENTRANK(Data!$K:$K,R9),if($R$6="D-LEBRON",PERCENTRANK(Data!$L:$L,R9))))=1,"👑",if(if($R$6="LEBRON",PERCENTRANK(Data!$J:$J,R9),if($R$6="O-LEBRON",PERCENTRANK(Data!$K:$K,R9),if($R$6="D-LEBRON",PERCENTRANK(Data!$L:$L,R9))))=0,"💩",if($R$6="LEBRON",PERCENTRANK(Data!$J:$J,R9),if($R$6="O-LEBRON",PERCENTRANK(Data!$K:$K,R9),if($R$6="D-LEBRON",PERCENTRANK(Data!$L:$L,R9)))))))</f>
        <v>0.905</v>
      </c>
      <c r="U9" s="48" t="str">
        <f>if(S9="","",if(if($R$6="LEBRON",PERCENTRANK(Data!$J:$J,S9),if($R$6="O-LEBRON",PERCENTRANK(Data!$K:$K,S9),if($R$6="D-LEBRON",PERCENTRANK(Data!$L:$L,S9))))=1,"👑",if(if($R$6="LEBRON",PERCENTRANK(Data!$J:$J,S9),if($R$6="O-LEBRON",PERCENTRANK(Data!$K:$K,S9),if($R$6="D-LEBRON",PERCENTRANK(Data!$L:$L,S9))))=0,"💩",if($R$6="LEBRON",PERCENTRANK(Data!$J:$J,S9),if($R$6="O-LEBRON",PERCENTRANK(Data!$K:$K,S9),if($R$6="D-LEBRON",PERCENTRANK(Data!$L:$L,S9)))))))</f>
        <v/>
      </c>
      <c r="V9" s="73" t="str">
        <f t="shared" si="2"/>
        <v>✔</v>
      </c>
      <c r="W9" s="73" t="str">
        <f t="shared" si="3"/>
        <v/>
      </c>
      <c r="X9" s="17"/>
    </row>
    <row r="10">
      <c r="A10" s="17"/>
      <c r="B10" s="17"/>
      <c r="C10" s="17"/>
      <c r="D10" s="17"/>
      <c r="E10" s="17"/>
      <c r="F10" s="17"/>
      <c r="G10" s="17"/>
      <c r="H10" s="17"/>
      <c r="I10" s="33" t="s">
        <v>12</v>
      </c>
      <c r="J10" s="33" t="str">
        <f>"Found "&amp;C2</f>
        <v>Found Mike Conley</v>
      </c>
      <c r="K10" s="33" t="str">
        <f>"Found "&amp;H2</f>
        <v>Found Devin Booker</v>
      </c>
      <c r="L10" s="50" t="s">
        <v>12</v>
      </c>
      <c r="M10" s="51" t="str">
        <f>C2</f>
        <v>Mike Conley</v>
      </c>
      <c r="N10" s="51" t="str">
        <f>H2</f>
        <v>Devin Booker</v>
      </c>
      <c r="O10" s="17"/>
      <c r="P10" s="17"/>
      <c r="Q10" s="1" t="str">
        <f>IFERROR(__xludf.DUMMYFUNCTION("""COMPUTED_VALUE"""),"2015-16")</f>
        <v>2015-16</v>
      </c>
      <c r="R10" s="47">
        <f>IFERROR(__xludf.DUMMYFUNCTION("""COMPUTED_VALUE"""),2.75849171527509)</f>
        <v>2.758491715</v>
      </c>
      <c r="S10" s="47">
        <f>IFERROR(__xludf.DUMMYFUNCTION("""COMPUTED_VALUE"""),-2.90849450020885)</f>
        <v>-2.9084945</v>
      </c>
      <c r="T10" s="48">
        <f>if(R10="","",if(if($R$6="LEBRON",PERCENTRANK(Data!$J:$J,R10),if($R$6="O-LEBRON",PERCENTRANK(Data!$K:$K,R10),if($R$6="D-LEBRON",PERCENTRANK(Data!$L:$L,R10))))=1,"👑",if(if($R$6="LEBRON",PERCENTRANK(Data!$J:$J,R10),if($R$6="O-LEBRON",PERCENTRANK(Data!$K:$K,R10),if($R$6="D-LEBRON",PERCENTRANK(Data!$L:$L,R10))))=0,"💩",if($R$6="LEBRON",PERCENTRANK(Data!$J:$J,R10),if($R$6="O-LEBRON",PERCENTRANK(Data!$K:$K,R10),if($R$6="D-LEBRON",PERCENTRANK(Data!$L:$L,R10)))))))</f>
        <v>0.951</v>
      </c>
      <c r="U10" s="48">
        <f>if(S10="","",if(if($R$6="LEBRON",PERCENTRANK(Data!$J:$J,S10),if($R$6="O-LEBRON",PERCENTRANK(Data!$K:$K,S10),if($R$6="D-LEBRON",PERCENTRANK(Data!$L:$L,S10))))=1,"👑",if(if($R$6="LEBRON",PERCENTRANK(Data!$J:$J,S10),if($R$6="O-LEBRON",PERCENTRANK(Data!$K:$K,S10),if($R$6="D-LEBRON",PERCENTRANK(Data!$L:$L,S10))))=0,"💩",if($R$6="LEBRON",PERCENTRANK(Data!$J:$J,S10),if($R$6="O-LEBRON",PERCENTRANK(Data!$K:$K,S10),if($R$6="D-LEBRON",PERCENTRANK(Data!$L:$L,S10)))))))</f>
        <v>0.036</v>
      </c>
      <c r="V10" s="73" t="str">
        <f t="shared" si="2"/>
        <v>✔</v>
      </c>
      <c r="W10" s="73" t="str">
        <f t="shared" si="3"/>
        <v/>
      </c>
      <c r="X10" s="17"/>
    </row>
    <row r="11">
      <c r="A11" s="17"/>
      <c r="B11" s="17"/>
      <c r="C11" s="17"/>
      <c r="D11" s="17"/>
      <c r="E11" s="17"/>
      <c r="F11" s="17"/>
      <c r="G11" s="17"/>
      <c r="H11" s="17"/>
      <c r="I11" s="74" t="s">
        <v>61</v>
      </c>
      <c r="J11" s="33">
        <f>countifs(Data!B:B,C$2,Data!C:C,I11)</f>
        <v>0</v>
      </c>
      <c r="K11" s="75">
        <f>countifs(Data!B:B,H$2,Data!C:C,I11)</f>
        <v>0</v>
      </c>
      <c r="L11" s="50" t="str">
        <f t="shared" ref="L11:L22" si="4">IF(sum(J11,K11)&gt;0,I11,"")</f>
        <v/>
      </c>
      <c r="M11" s="76" t="str">
        <f>IF($J11=1,if(E$2="LEBRON",SUMIFS(Data!J:J,Data!$B:$B,$C$2,Data!$C:$C,$I11),if(E$2="O-LEBRON",SUMIFS(Data!K:K,Data!$B:$B,$C$2,Data!$C:$C,$I11),if(E$2="D-LEBRON",SUMIFS(Data!L:L,Data!$B:$B,$C$2,Data!$C:$C,$I11),""))),"")</f>
        <v/>
      </c>
      <c r="N11" s="76" t="str">
        <f>IF($K11=1,if(E$2="LEBRON",SUMIFS(Data!J:J,Data!$B:$B,$H$2,Data!$C:$C,$I11),if(E$2="O-LEBRON",SUMIFS(Data!K:K,Data!$B:$B,$H$2,Data!$C:$C,$I11),if(E$2="D-LEBRON",SUMIFS(Data!L:L,Data!$B:$B,$H$2,Data!$C:$C,$I11),""))),"")</f>
        <v/>
      </c>
      <c r="O11" s="17"/>
      <c r="P11" s="17"/>
      <c r="Q11" s="1" t="str">
        <f>IFERROR(__xludf.DUMMYFUNCTION("""COMPUTED_VALUE"""),"2016-17")</f>
        <v>2016-17</v>
      </c>
      <c r="R11" s="47">
        <f>IFERROR(__xludf.DUMMYFUNCTION("""COMPUTED_VALUE"""),3.77173959381114)</f>
        <v>3.771739594</v>
      </c>
      <c r="S11" s="47">
        <f>IFERROR(__xludf.DUMMYFUNCTION("""COMPUTED_VALUE"""),-1.07389778376335)</f>
        <v>-1.073897784</v>
      </c>
      <c r="T11" s="48">
        <f>if(R11="","",if(if($R$6="LEBRON",PERCENTRANK(Data!$J:$J,R11),if($R$6="O-LEBRON",PERCENTRANK(Data!$K:$K,R11),if($R$6="D-LEBRON",PERCENTRANK(Data!$L:$L,R11))))=1,"👑",if(if($R$6="LEBRON",PERCENTRANK(Data!$J:$J,R11),if($R$6="O-LEBRON",PERCENTRANK(Data!$K:$K,R11),if($R$6="D-LEBRON",PERCENTRANK(Data!$L:$L,R11))))=0,"💩",if($R$6="LEBRON",PERCENTRANK(Data!$J:$J,R11),if($R$6="O-LEBRON",PERCENTRANK(Data!$K:$K,R11),if($R$6="D-LEBRON",PERCENTRANK(Data!$L:$L,R11)))))))</f>
        <v>0.973</v>
      </c>
      <c r="U11" s="48">
        <f>if(S11="","",if(if($R$6="LEBRON",PERCENTRANK(Data!$J:$J,S11),if($R$6="O-LEBRON",PERCENTRANK(Data!$K:$K,S11),if($R$6="D-LEBRON",PERCENTRANK(Data!$L:$L,S11))))=1,"👑",if(if($R$6="LEBRON",PERCENTRANK(Data!$J:$J,S11),if($R$6="O-LEBRON",PERCENTRANK(Data!$K:$K,S11),if($R$6="D-LEBRON",PERCENTRANK(Data!$L:$L,S11))))=0,"💩",if($R$6="LEBRON",PERCENTRANK(Data!$J:$J,S11),if($R$6="O-LEBRON",PERCENTRANK(Data!$K:$K,S11),if($R$6="D-LEBRON",PERCENTRANK(Data!$L:$L,S11)))))))</f>
        <v>0.357</v>
      </c>
      <c r="V11" s="73" t="str">
        <f t="shared" si="2"/>
        <v>✔</v>
      </c>
      <c r="W11" s="73" t="str">
        <f t="shared" si="3"/>
        <v/>
      </c>
      <c r="X11" s="17"/>
    </row>
    <row r="12">
      <c r="A12" s="17"/>
      <c r="B12" s="17"/>
      <c r="C12" s="17"/>
      <c r="D12" s="17"/>
      <c r="E12" s="17"/>
      <c r="F12" s="17"/>
      <c r="G12" s="17"/>
      <c r="H12" s="17"/>
      <c r="I12" s="74" t="s">
        <v>62</v>
      </c>
      <c r="J12" s="33">
        <f>countifs(Data!B:B,C$2,Data!C:C,I12)</f>
        <v>0</v>
      </c>
      <c r="K12" s="75">
        <f>countifs(Data!B:B,H$2,Data!C:C,I12)</f>
        <v>0</v>
      </c>
      <c r="L12" s="50" t="str">
        <f t="shared" si="4"/>
        <v/>
      </c>
      <c r="M12" s="76" t="str">
        <f>IF($J12=1,if(E$2="LEBRON",SUMIFS(Data!J:J,Data!$B:$B,$C$2,Data!$C:$C,$I12),if(E$2="O-LEBRON",SUMIFS(Data!K:K,Data!$B:$B,$C$2,Data!$C:$C,$I12),if(E$2="D-LEBRON",SUMIFS(Data!L:L,Data!$B:$B,$C$2,Data!$C:$C,$I12),""))),"")</f>
        <v/>
      </c>
      <c r="N12" s="76" t="str">
        <f>IF($K12=1,if(E$2="LEBRON",SUMIFS(Data!J:J,Data!$B:$B,$H$2,Data!$C:$C,$I12),if(E$2="O-LEBRON",SUMIFS(Data!K:K,Data!$B:$B,$H$2,Data!$C:$C,$I12),if(E$2="D-LEBRON",SUMIFS(Data!L:L,Data!$B:$B,$H$2,Data!$C:$C,$I12),""))),"")</f>
        <v/>
      </c>
      <c r="O12" s="17"/>
      <c r="P12" s="17"/>
      <c r="Q12" s="1" t="str">
        <f>IFERROR(__xludf.DUMMYFUNCTION("""COMPUTED_VALUE"""),"2017-18")</f>
        <v>2017-18</v>
      </c>
      <c r="R12" s="47">
        <f>IFERROR(__xludf.DUMMYFUNCTION("""COMPUTED_VALUE"""),2.0539207849092)</f>
        <v>2.053920785</v>
      </c>
      <c r="S12" s="47">
        <f>IFERROR(__xludf.DUMMYFUNCTION("""COMPUTED_VALUE"""),-0.970729201356244)</f>
        <v>-0.9707292014</v>
      </c>
      <c r="T12" s="48">
        <f>if(R12="","",if(if($R$6="LEBRON",PERCENTRANK(Data!$J:$J,R12),if($R$6="O-LEBRON",PERCENTRANK(Data!$K:$K,R12),if($R$6="D-LEBRON",PERCENTRANK(Data!$L:$L,R12))))=1,"👑",if(if($R$6="LEBRON",PERCENTRANK(Data!$J:$J,R12),if($R$6="O-LEBRON",PERCENTRANK(Data!$K:$K,R12),if($R$6="D-LEBRON",PERCENTRANK(Data!$L:$L,R12))))=0,"💩",if($R$6="LEBRON",PERCENTRANK(Data!$J:$J,R12),if($R$6="O-LEBRON",PERCENTRANK(Data!$K:$K,R12),if($R$6="D-LEBRON",PERCENTRANK(Data!$L:$L,R12)))))))</f>
        <v>0.924</v>
      </c>
      <c r="U12" s="48">
        <f>if(S12="","",if(if($R$6="LEBRON",PERCENTRANK(Data!$J:$J,S12),if($R$6="O-LEBRON",PERCENTRANK(Data!$K:$K,S12),if($R$6="D-LEBRON",PERCENTRANK(Data!$L:$L,S12))))=1,"👑",if(if($R$6="LEBRON",PERCENTRANK(Data!$J:$J,S12),if($R$6="O-LEBRON",PERCENTRANK(Data!$K:$K,S12),if($R$6="D-LEBRON",PERCENTRANK(Data!$L:$L,S12))))=0,"💩",if($R$6="LEBRON",PERCENTRANK(Data!$J:$J,S12),if($R$6="O-LEBRON",PERCENTRANK(Data!$K:$K,S12),if($R$6="D-LEBRON",PERCENTRANK(Data!$L:$L,S12)))))))</f>
        <v>0.384</v>
      </c>
      <c r="V12" s="73" t="str">
        <f t="shared" si="2"/>
        <v>✔</v>
      </c>
      <c r="W12" s="73" t="str">
        <f t="shared" si="3"/>
        <v/>
      </c>
      <c r="X12" s="17"/>
    </row>
    <row r="13">
      <c r="A13" s="17"/>
      <c r="B13" s="17"/>
      <c r="C13" s="17"/>
      <c r="D13" s="17"/>
      <c r="E13" s="17"/>
      <c r="F13" s="17"/>
      <c r="G13" s="17"/>
      <c r="H13" s="17"/>
      <c r="I13" s="74" t="s">
        <v>63</v>
      </c>
      <c r="J13" s="33">
        <f>countifs(Data!B:B,C$2,Data!C:C,I13)</f>
        <v>0</v>
      </c>
      <c r="K13" s="75">
        <f>countifs(Data!B:B,H$2,Data!C:C,I13)</f>
        <v>0</v>
      </c>
      <c r="L13" s="50" t="str">
        <f t="shared" si="4"/>
        <v/>
      </c>
      <c r="M13" s="76" t="str">
        <f>IF($J13=1,if(E$2="LEBRON",SUMIFS(Data!J:J,Data!$B:$B,$C$2,Data!$C:$C,$I13),if(E$2="O-LEBRON",SUMIFS(Data!K:K,Data!$B:$B,$C$2,Data!$C:$C,$I13),if(E$2="D-LEBRON",SUMIFS(Data!L:L,Data!$B:$B,$C$2,Data!$C:$C,$I13),""))),"")</f>
        <v/>
      </c>
      <c r="N13" s="76" t="str">
        <f>IF($K13=1,if(E$2="LEBRON",SUMIFS(Data!J:J,Data!$B:$B,$H$2,Data!$C:$C,$I13),if(E$2="O-LEBRON",SUMIFS(Data!K:K,Data!$B:$B,$H$2,Data!$C:$C,$I13),if(E$2="D-LEBRON",SUMIFS(Data!L:L,Data!$B:$B,$H$2,Data!$C:$C,$I13),""))),"")</f>
        <v/>
      </c>
      <c r="O13" s="17"/>
      <c r="P13" s="17"/>
      <c r="Q13" s="1" t="str">
        <f>IFERROR(__xludf.DUMMYFUNCTION("""COMPUTED_VALUE"""),"2018-19")</f>
        <v>2018-19</v>
      </c>
      <c r="R13" s="47">
        <f>IFERROR(__xludf.DUMMYFUNCTION("""COMPUTED_VALUE"""),3.78322738561689)</f>
        <v>3.783227386</v>
      </c>
      <c r="S13" s="47">
        <f>IFERROR(__xludf.DUMMYFUNCTION("""COMPUTED_VALUE"""),-0.129141708565289)</f>
        <v>-0.1291417086</v>
      </c>
      <c r="T13" s="48">
        <f>if(R13="","",if(if($R$6="LEBRON",PERCENTRANK(Data!$J:$J,R13),if($R$6="O-LEBRON",PERCENTRANK(Data!$K:$K,R13),if($R$6="D-LEBRON",PERCENTRANK(Data!$L:$L,R13))))=1,"👑",if(if($R$6="LEBRON",PERCENTRANK(Data!$J:$J,R13),if($R$6="O-LEBRON",PERCENTRANK(Data!$K:$K,R13),if($R$6="D-LEBRON",PERCENTRANK(Data!$L:$L,R13))))=0,"💩",if($R$6="LEBRON",PERCENTRANK(Data!$J:$J,R13),if($R$6="O-LEBRON",PERCENTRANK(Data!$K:$K,R13),if($R$6="D-LEBRON",PERCENTRANK(Data!$L:$L,R13)))))))</f>
        <v>0.973</v>
      </c>
      <c r="U13" s="48">
        <f>if(S13="","",if(if($R$6="LEBRON",PERCENTRANK(Data!$J:$J,S13),if($R$6="O-LEBRON",PERCENTRANK(Data!$K:$K,S13),if($R$6="D-LEBRON",PERCENTRANK(Data!$L:$L,S13))))=1,"👑",if(if($R$6="LEBRON",PERCENTRANK(Data!$J:$J,S13),if($R$6="O-LEBRON",PERCENTRANK(Data!$K:$K,S13),if($R$6="D-LEBRON",PERCENTRANK(Data!$L:$L,S13))))=0,"💩",if($R$6="LEBRON",PERCENTRANK(Data!$J:$J,S13),if($R$6="O-LEBRON",PERCENTRANK(Data!$K:$K,S13),if($R$6="D-LEBRON",PERCENTRANK(Data!$L:$L,S13)))))))</f>
        <v>0.648</v>
      </c>
      <c r="V13" s="73" t="str">
        <f t="shared" si="2"/>
        <v>✔</v>
      </c>
      <c r="W13" s="73" t="str">
        <f t="shared" si="3"/>
        <v/>
      </c>
      <c r="X13" s="17"/>
    </row>
    <row r="14">
      <c r="A14" s="17"/>
      <c r="B14" s="17"/>
      <c r="C14" s="17"/>
      <c r="D14" s="17"/>
      <c r="E14" s="17"/>
      <c r="F14" s="17"/>
      <c r="G14" s="17"/>
      <c r="H14" s="17"/>
      <c r="I14" s="77" t="s">
        <v>64</v>
      </c>
      <c r="J14" s="33">
        <f>countifs(Data!B:B,C$2,Data!C:C,I14)</f>
        <v>0</v>
      </c>
      <c r="K14" s="75">
        <f>countifs(Data!B:B,H$2,Data!C:C,I14)</f>
        <v>0</v>
      </c>
      <c r="L14" s="50" t="str">
        <f t="shared" si="4"/>
        <v/>
      </c>
      <c r="M14" s="76" t="str">
        <f>IF($J14=1,if(E$2="LEBRON",SUMIFS(Data!J:J,Data!$B:$B,$C$2,Data!$C:$C,$I14),if(E$2="O-LEBRON",SUMIFS(Data!K:K,Data!$B:$B,$C$2,Data!$C:$C,$I14),if(E$2="D-LEBRON",SUMIFS(Data!L:L,Data!$B:$B,$C$2,Data!$C:$C,$I14),""))),"")</f>
        <v/>
      </c>
      <c r="N14" s="76" t="str">
        <f>IF($K14=1,if(E$2="LEBRON",SUMIFS(Data!J:J,Data!$B:$B,$H$2,Data!$C:$C,$I14),if(E$2="O-LEBRON",SUMIFS(Data!K:K,Data!$B:$B,$H$2,Data!$C:$C,$I14),if(E$2="D-LEBRON",SUMIFS(Data!L:L,Data!$B:$B,$H$2,Data!$C:$C,$I14),""))),"")</f>
        <v/>
      </c>
      <c r="O14" s="17"/>
      <c r="P14" s="17"/>
      <c r="Q14" s="1" t="str">
        <f>IFERROR(__xludf.DUMMYFUNCTION("""COMPUTED_VALUE"""),"2019-20")</f>
        <v>2019-20</v>
      </c>
      <c r="R14" s="47">
        <f>IFERROR(__xludf.DUMMYFUNCTION("""COMPUTED_VALUE"""),-0.263760518197407)</f>
        <v>-0.2637605182</v>
      </c>
      <c r="S14" s="47">
        <f>IFERROR(__xludf.DUMMYFUNCTION("""COMPUTED_VALUE"""),1.60833818036328)</f>
        <v>1.60833818</v>
      </c>
      <c r="T14" s="48">
        <f>if(R14="","",if(if($R$6="LEBRON",PERCENTRANK(Data!$J:$J,R14),if($R$6="O-LEBRON",PERCENTRANK(Data!$K:$K,R14),if($R$6="D-LEBRON",PERCENTRANK(Data!$L:$L,R14))))=1,"👑",if(if($R$6="LEBRON",PERCENTRANK(Data!$J:$J,R14),if($R$6="O-LEBRON",PERCENTRANK(Data!$K:$K,R14),if($R$6="D-LEBRON",PERCENTRANK(Data!$L:$L,R14))))=0,"💩",if($R$6="LEBRON",PERCENTRANK(Data!$J:$J,R14),if($R$6="O-LEBRON",PERCENTRANK(Data!$K:$K,R14),if($R$6="D-LEBRON",PERCENTRANK(Data!$L:$L,R14)))))))</f>
        <v>0.608</v>
      </c>
      <c r="U14" s="48">
        <f>if(S14="","",if(if($R$6="LEBRON",PERCENTRANK(Data!$J:$J,S14),if($R$6="O-LEBRON",PERCENTRANK(Data!$K:$K,S14),if($R$6="D-LEBRON",PERCENTRANK(Data!$L:$L,S14))))=1,"👑",if(if($R$6="LEBRON",PERCENTRANK(Data!$J:$J,S14),if($R$6="O-LEBRON",PERCENTRANK(Data!$K:$K,S14),if($R$6="D-LEBRON",PERCENTRANK(Data!$L:$L,S14))))=0,"💩",if($R$6="LEBRON",PERCENTRANK(Data!$J:$J,S14),if($R$6="O-LEBRON",PERCENTRANK(Data!$K:$K,S14),if($R$6="D-LEBRON",PERCENTRANK(Data!$L:$L,S14)))))))</f>
        <v>0.893</v>
      </c>
      <c r="V14" s="73" t="str">
        <f t="shared" si="2"/>
        <v/>
      </c>
      <c r="W14" s="73" t="str">
        <f t="shared" si="3"/>
        <v>✔</v>
      </c>
      <c r="X14" s="17"/>
    </row>
    <row r="15">
      <c r="A15" s="17"/>
      <c r="B15" s="17"/>
      <c r="C15" s="17"/>
      <c r="D15" s="17"/>
      <c r="E15" s="17"/>
      <c r="F15" s="17"/>
      <c r="G15" s="17"/>
      <c r="H15" s="17"/>
      <c r="I15" s="77" t="s">
        <v>65</v>
      </c>
      <c r="J15" s="33">
        <f>countifs(Data!B:B,C$2,Data!C:C,I15)</f>
        <v>1</v>
      </c>
      <c r="K15" s="75">
        <f>countifs(Data!B:B,H$2,Data!C:C,I15)</f>
        <v>0</v>
      </c>
      <c r="L15" s="50" t="str">
        <f t="shared" si="4"/>
        <v>2013-14</v>
      </c>
      <c r="M15" s="76">
        <f>IF($J15=1,if(E$2="LEBRON",SUMIFS(Data!J:J,Data!$B:$B,$C$2,Data!$C:$C,$I15),if(E$2="O-LEBRON",SUMIFS(Data!K:K,Data!$B:$B,$C$2,Data!$C:$C,$I15),if(E$2="D-LEBRON",SUMIFS(Data!L:L,Data!$B:$B,$C$2,Data!$C:$C,$I15),""))),"")</f>
        <v>3.120645704</v>
      </c>
      <c r="N15" s="76" t="str">
        <f>IF($K15=1,if(E$2="LEBRON",SUMIFS(Data!J:J,Data!$B:$B,$H$2,Data!$C:$C,$I15),if(E$2="O-LEBRON",SUMIFS(Data!K:K,Data!$B:$B,$H$2,Data!$C:$C,$I15),if(E$2="D-LEBRON",SUMIFS(Data!L:L,Data!$B:$B,$H$2,Data!$C:$C,$I15),""))),"")</f>
        <v/>
      </c>
      <c r="O15" s="17"/>
      <c r="P15" s="17"/>
      <c r="Q15" s="1" t="str">
        <f>IFERROR(__xludf.DUMMYFUNCTION("""COMPUTED_VALUE"""),"2020-21")</f>
        <v>2020-21</v>
      </c>
      <c r="R15" s="47">
        <f>IFERROR(__xludf.DUMMYFUNCTION("""COMPUTED_VALUE"""),3.58570384164369)</f>
        <v>3.585703842</v>
      </c>
      <c r="S15" s="47">
        <f>IFERROR(__xludf.DUMMYFUNCTION("""COMPUTED_VALUE"""),0.86461292982011)</f>
        <v>0.8646129298</v>
      </c>
      <c r="T15" s="48">
        <f>if(R15="","",if(if($R$6="LEBRON",PERCENTRANK(Data!$J:$J,R15),if($R$6="O-LEBRON",PERCENTRANK(Data!$K:$K,R15),if($R$6="D-LEBRON",PERCENTRANK(Data!$L:$L,R15))))=1,"👑",if(if($R$6="LEBRON",PERCENTRANK(Data!$J:$J,R15),if($R$6="O-LEBRON",PERCENTRANK(Data!$K:$K,R15),if($R$6="D-LEBRON",PERCENTRANK(Data!$L:$L,R15))))=0,"💩",if($R$6="LEBRON",PERCENTRANK(Data!$J:$J,R15),if($R$6="O-LEBRON",PERCENTRANK(Data!$K:$K,R15),if($R$6="D-LEBRON",PERCENTRANK(Data!$L:$L,R15)))))))</f>
        <v>0.97</v>
      </c>
      <c r="U15" s="48">
        <f>if(S15="","",if(if($R$6="LEBRON",PERCENTRANK(Data!$J:$J,S15),if($R$6="O-LEBRON",PERCENTRANK(Data!$K:$K,S15),if($R$6="D-LEBRON",PERCENTRANK(Data!$L:$L,S15))))=1,"👑",if(if($R$6="LEBRON",PERCENTRANK(Data!$J:$J,S15),if($R$6="O-LEBRON",PERCENTRANK(Data!$K:$K,S15),if($R$6="D-LEBRON",PERCENTRANK(Data!$L:$L,S15))))=0,"💩",if($R$6="LEBRON",PERCENTRANK(Data!$J:$J,S15),if($R$6="O-LEBRON",PERCENTRANK(Data!$K:$K,S15),if($R$6="D-LEBRON",PERCENTRANK(Data!$L:$L,S15)))))))</f>
        <v>0.824</v>
      </c>
      <c r="V15" s="73" t="str">
        <f t="shared" si="2"/>
        <v>✔</v>
      </c>
      <c r="W15" s="73" t="str">
        <f t="shared" si="3"/>
        <v/>
      </c>
      <c r="X15" s="17"/>
    </row>
    <row r="16">
      <c r="A16" s="17"/>
      <c r="B16" s="17"/>
      <c r="C16" s="17"/>
      <c r="D16" s="17"/>
      <c r="E16" s="17"/>
      <c r="F16" s="17"/>
      <c r="G16" s="17"/>
      <c r="H16" s="17"/>
      <c r="I16" s="77" t="s">
        <v>66</v>
      </c>
      <c r="J16" s="33">
        <f>countifs(Data!B:B,C$2,Data!C:C,I16)</f>
        <v>1</v>
      </c>
      <c r="K16" s="75">
        <f>countifs(Data!B:B,H$2,Data!C:C,I16)</f>
        <v>0</v>
      </c>
      <c r="L16" s="50" t="str">
        <f t="shared" si="4"/>
        <v>2014-15</v>
      </c>
      <c r="M16" s="76">
        <f>IF($J16=1,if(E$2="LEBRON",SUMIFS(Data!J:J,Data!$B:$B,$C$2,Data!$C:$C,$I16),if(E$2="O-LEBRON",SUMIFS(Data!K:K,Data!$B:$B,$C$2,Data!$C:$C,$I16),if(E$2="D-LEBRON",SUMIFS(Data!L:L,Data!$B:$B,$C$2,Data!$C:$C,$I16),""))),"")</f>
        <v>1.763328106</v>
      </c>
      <c r="N16" s="76" t="str">
        <f>IF($K16=1,if(E$2="LEBRON",SUMIFS(Data!J:J,Data!$B:$B,$H$2,Data!$C:$C,$I16),if(E$2="O-LEBRON",SUMIFS(Data!K:K,Data!$B:$B,$H$2,Data!$C:$C,$I16),if(E$2="D-LEBRON",SUMIFS(Data!L:L,Data!$B:$B,$H$2,Data!$C:$C,$I16),""))),"")</f>
        <v/>
      </c>
      <c r="O16" s="17"/>
      <c r="P16" s="17"/>
      <c r="Q16" s="1"/>
      <c r="R16" s="54"/>
      <c r="S16" s="54"/>
      <c r="T16" s="48" t="str">
        <f>if(R16="","",if(if($R$6="LEBRON",PERCENTRANK(Data!$J:$J,R16),if($R$6="O-LEBRON",PERCENTRANK(Data!$K:$K,R16),if($R$6="D-LEBRON",PERCENTRANK(Data!$L:$L,R16))))=1,"👑",if(if($R$6="LEBRON",PERCENTRANK(Data!$J:$J,R16),if($R$6="O-LEBRON",PERCENTRANK(Data!$K:$K,R16),if($R$6="D-LEBRON",PERCENTRANK(Data!$L:$L,R16))))=0,"💩",if($R$6="LEBRON",PERCENTRANK(Data!$J:$J,R16),if($R$6="O-LEBRON",PERCENTRANK(Data!$K:$K,R16),if($R$6="D-LEBRON",PERCENTRANK(Data!$L:$L,R16)))))))</f>
        <v/>
      </c>
      <c r="U16" s="48" t="str">
        <f>if(S16="","",if(if($R$6="LEBRON",PERCENTRANK(Data!$J:$J,S16),if($R$6="O-LEBRON",PERCENTRANK(Data!$K:$K,S16),if($R$6="D-LEBRON",PERCENTRANK(Data!$L:$L,S16))))=1,"👑",if(if($R$6="LEBRON",PERCENTRANK(Data!$J:$J,S16),if($R$6="O-LEBRON",PERCENTRANK(Data!$K:$K,S16),if($R$6="D-LEBRON",PERCENTRANK(Data!$L:$L,S16))))=0,"💩",if($R$6="LEBRON",PERCENTRANK(Data!$J:$J,S16),if($R$6="O-LEBRON",PERCENTRANK(Data!$K:$K,S16),if($R$6="D-LEBRON",PERCENTRANK(Data!$L:$L,S16)))))))</f>
        <v/>
      </c>
      <c r="V16" s="73" t="str">
        <f t="shared" si="2"/>
        <v/>
      </c>
      <c r="W16" s="73" t="str">
        <f t="shared" si="3"/>
        <v/>
      </c>
      <c r="X16" s="17"/>
    </row>
    <row r="17">
      <c r="A17" s="17"/>
      <c r="B17" s="17"/>
      <c r="C17" s="17"/>
      <c r="D17" s="17"/>
      <c r="E17" s="17"/>
      <c r="F17" s="17"/>
      <c r="G17" s="17"/>
      <c r="H17" s="17"/>
      <c r="I17" s="77" t="s">
        <v>67</v>
      </c>
      <c r="J17" s="33">
        <f>countifs(Data!B:B,C$2,Data!C:C,I17)</f>
        <v>1</v>
      </c>
      <c r="K17" s="75">
        <f>countifs(Data!B:B,H$2,Data!C:C,I17)</f>
        <v>1</v>
      </c>
      <c r="L17" s="50" t="str">
        <f t="shared" si="4"/>
        <v>2015-16</v>
      </c>
      <c r="M17" s="76">
        <f>IF($J17=1,if(E$2="LEBRON",SUMIFS(Data!J:J,Data!$B:$B,$C$2,Data!$C:$C,$I17),if(E$2="O-LEBRON",SUMIFS(Data!K:K,Data!$B:$B,$C$2,Data!$C:$C,$I17),if(E$2="D-LEBRON",SUMIFS(Data!L:L,Data!$B:$B,$C$2,Data!$C:$C,$I17),""))),"")</f>
        <v>2.758491715</v>
      </c>
      <c r="N17" s="76">
        <f>IF($K17=1,if(E$2="LEBRON",SUMIFS(Data!J:J,Data!$B:$B,$H$2,Data!$C:$C,$I17),if(E$2="O-LEBRON",SUMIFS(Data!K:K,Data!$B:$B,$H$2,Data!$C:$C,$I17),if(E$2="D-LEBRON",SUMIFS(Data!L:L,Data!$B:$B,$H$2,Data!$C:$C,$I17),""))),"")</f>
        <v>-2.9084945</v>
      </c>
      <c r="O17" s="17"/>
      <c r="P17" s="17"/>
      <c r="Q17" s="1"/>
      <c r="R17" s="54"/>
      <c r="S17" s="54"/>
      <c r="T17" s="48" t="str">
        <f>if(R17="","",if(if($R$6="LEBRON",PERCENTRANK(Data!$J:$J,R17),if($R$6="O-LEBRON",PERCENTRANK(Data!$K:$K,R17),if($R$6="D-LEBRON",PERCENTRANK(Data!$L:$L,R17))))=1,"👑",if(if($R$6="LEBRON",PERCENTRANK(Data!$J:$J,R17),if($R$6="O-LEBRON",PERCENTRANK(Data!$K:$K,R17),if($R$6="D-LEBRON",PERCENTRANK(Data!$L:$L,R17))))=0,"💩",if($R$6="LEBRON",PERCENTRANK(Data!$J:$J,R17),if($R$6="O-LEBRON",PERCENTRANK(Data!$K:$K,R17),if($R$6="D-LEBRON",PERCENTRANK(Data!$L:$L,R17)))))))</f>
        <v/>
      </c>
      <c r="U17" s="48" t="str">
        <f>if(S17="","",if(if($R$6="LEBRON",PERCENTRANK(Data!$J:$J,S17),if($R$6="O-LEBRON",PERCENTRANK(Data!$K:$K,S17),if($R$6="D-LEBRON",PERCENTRANK(Data!$L:$L,S17))))=1,"👑",if(if($R$6="LEBRON",PERCENTRANK(Data!$J:$J,S17),if($R$6="O-LEBRON",PERCENTRANK(Data!$K:$K,S17),if($R$6="D-LEBRON",PERCENTRANK(Data!$L:$L,S17))))=0,"💩",if($R$6="LEBRON",PERCENTRANK(Data!$J:$J,S17),if($R$6="O-LEBRON",PERCENTRANK(Data!$K:$K,S17),if($R$6="D-LEBRON",PERCENTRANK(Data!$L:$L,S17)))))))</f>
        <v/>
      </c>
      <c r="V17" s="73" t="str">
        <f t="shared" si="2"/>
        <v/>
      </c>
      <c r="W17" s="73" t="str">
        <f t="shared" si="3"/>
        <v/>
      </c>
      <c r="X17" s="17"/>
    </row>
    <row r="18">
      <c r="A18" s="17"/>
      <c r="B18" s="17"/>
      <c r="C18" s="17"/>
      <c r="D18" s="17"/>
      <c r="E18" s="17"/>
      <c r="F18" s="17"/>
      <c r="G18" s="17"/>
      <c r="H18" s="17"/>
      <c r="I18" s="77" t="s">
        <v>68</v>
      </c>
      <c r="J18" s="33">
        <f>countifs(Data!B:B,C$2,Data!C:C,I18)</f>
        <v>1</v>
      </c>
      <c r="K18" s="75">
        <f>countifs(Data!B:B,H$2,Data!C:C,I18)</f>
        <v>1</v>
      </c>
      <c r="L18" s="50" t="str">
        <f t="shared" si="4"/>
        <v>2016-17</v>
      </c>
      <c r="M18" s="76">
        <f>IF($J18=1,if(E$2="LEBRON",SUMIFS(Data!J:J,Data!$B:$B,$C$2,Data!$C:$C,$I18),if(E$2="O-LEBRON",SUMIFS(Data!K:K,Data!$B:$B,$C$2,Data!$C:$C,$I18),if(E$2="D-LEBRON",SUMIFS(Data!L:L,Data!$B:$B,$C$2,Data!$C:$C,$I18),""))),"")</f>
        <v>3.771739594</v>
      </c>
      <c r="N18" s="76">
        <f>IF($K18=1,if(E$2="LEBRON",SUMIFS(Data!J:J,Data!$B:$B,$H$2,Data!$C:$C,$I18),if(E$2="O-LEBRON",SUMIFS(Data!K:K,Data!$B:$B,$H$2,Data!$C:$C,$I18),if(E$2="D-LEBRON",SUMIFS(Data!L:L,Data!$B:$B,$H$2,Data!$C:$C,$I18),""))),"")</f>
        <v>-1.073897784</v>
      </c>
      <c r="O18" s="17"/>
      <c r="P18" s="17"/>
      <c r="Q18" s="1"/>
      <c r="R18" s="54"/>
      <c r="S18" s="54"/>
      <c r="T18" s="48" t="str">
        <f>if(R18="","",if(if($R$6="LEBRON",PERCENTRANK(Data!$J:$J,R18),if($R$6="O-LEBRON",PERCENTRANK(Data!$K:$K,R18),if($R$6="D-LEBRON",PERCENTRANK(Data!$L:$L,R18))))=1,"👑",if(if($R$6="LEBRON",PERCENTRANK(Data!$J:$J,R18),if($R$6="O-LEBRON",PERCENTRANK(Data!$K:$K,R18),if($R$6="D-LEBRON",PERCENTRANK(Data!$L:$L,R18))))=0,"💩",if($R$6="LEBRON",PERCENTRANK(Data!$J:$J,R18),if($R$6="O-LEBRON",PERCENTRANK(Data!$K:$K,R18),if($R$6="D-LEBRON",PERCENTRANK(Data!$L:$L,R18)))))))</f>
        <v/>
      </c>
      <c r="U18" s="48" t="str">
        <f>if(S18="","",if(if($R$6="LEBRON",PERCENTRANK(Data!$J:$J,S18),if($R$6="O-LEBRON",PERCENTRANK(Data!$K:$K,S18),if($R$6="D-LEBRON",PERCENTRANK(Data!$L:$L,S18))))=1,"👑",if(if($R$6="LEBRON",PERCENTRANK(Data!$J:$J,S18),if($R$6="O-LEBRON",PERCENTRANK(Data!$K:$K,S18),if($R$6="D-LEBRON",PERCENTRANK(Data!$L:$L,S18))))=0,"💩",if($R$6="LEBRON",PERCENTRANK(Data!$J:$J,S18),if($R$6="O-LEBRON",PERCENTRANK(Data!$K:$K,S18),if($R$6="D-LEBRON",PERCENTRANK(Data!$L:$L,S18)))))))</f>
        <v/>
      </c>
      <c r="V18" s="73" t="str">
        <f t="shared" si="2"/>
        <v/>
      </c>
      <c r="W18" s="73" t="str">
        <f t="shared" si="3"/>
        <v/>
      </c>
      <c r="X18" s="17"/>
    </row>
    <row r="19">
      <c r="A19" s="17"/>
      <c r="B19" s="17"/>
      <c r="C19" s="17"/>
      <c r="D19" s="17"/>
      <c r="E19" s="17"/>
      <c r="F19" s="17"/>
      <c r="G19" s="17"/>
      <c r="H19" s="17"/>
      <c r="I19" s="77" t="s">
        <v>69</v>
      </c>
      <c r="J19" s="33">
        <f>countifs(Data!B:B,C$2,Data!C:C,I19)</f>
        <v>1</v>
      </c>
      <c r="K19" s="75">
        <f>countifs(Data!B:B,H$2,Data!C:C,I19)</f>
        <v>1</v>
      </c>
      <c r="L19" s="50" t="str">
        <f t="shared" si="4"/>
        <v>2017-18</v>
      </c>
      <c r="M19" s="76">
        <f>IF($J19=1,if(E$2="LEBRON",SUMIFS(Data!J:J,Data!$B:$B,$C$2,Data!$C:$C,$I19),if(E$2="O-LEBRON",SUMIFS(Data!K:K,Data!$B:$B,$C$2,Data!$C:$C,$I19),if(E$2="D-LEBRON",SUMIFS(Data!L:L,Data!$B:$B,$C$2,Data!$C:$C,$I19),""))),"")</f>
        <v>2.053920785</v>
      </c>
      <c r="N19" s="76">
        <f>IF($K19=1,if(E$2="LEBRON",SUMIFS(Data!J:J,Data!$B:$B,$H$2,Data!$C:$C,$I19),if(E$2="O-LEBRON",SUMIFS(Data!K:K,Data!$B:$B,$H$2,Data!$C:$C,$I19),if(E$2="D-LEBRON",SUMIFS(Data!L:L,Data!$B:$B,$H$2,Data!$C:$C,$I19),""))),"")</f>
        <v>-0.9707292014</v>
      </c>
      <c r="O19" s="17"/>
      <c r="P19" s="17"/>
      <c r="Q19" s="1"/>
      <c r="R19" s="47"/>
      <c r="S19" s="47"/>
      <c r="T19" s="48" t="str">
        <f>if(R19="","",if(if($R$6="LEBRON",PERCENTRANK(Data!$J:$J,R19),if($R$6="O-LEBRON",PERCENTRANK(Data!$K:$K,R19),if($R$6="D-LEBRON",PERCENTRANK(Data!$L:$L,R19))))=1,"👑",if(if($R$6="LEBRON",PERCENTRANK(Data!$J:$J,R19),if($R$6="O-LEBRON",PERCENTRANK(Data!$K:$K,R19),if($R$6="D-LEBRON",PERCENTRANK(Data!$L:$L,R19))))=0,"💩",if($R$6="LEBRON",PERCENTRANK(Data!$J:$J,R19),if($R$6="O-LEBRON",PERCENTRANK(Data!$K:$K,R19),if($R$6="D-LEBRON",PERCENTRANK(Data!$L:$L,R19)))))))</f>
        <v/>
      </c>
      <c r="U19" s="48" t="str">
        <f>if(S19="","",if(if($R$6="LEBRON",PERCENTRANK(Data!$J:$J,S19),if($R$6="O-LEBRON",PERCENTRANK(Data!$K:$K,S19),if($R$6="D-LEBRON",PERCENTRANK(Data!$L:$L,S19))))=1,"👑",if(if($R$6="LEBRON",PERCENTRANK(Data!$J:$J,S19),if($R$6="O-LEBRON",PERCENTRANK(Data!$K:$K,S19),if($R$6="D-LEBRON",PERCENTRANK(Data!$L:$L,S19))))=0,"💩",if($R$6="LEBRON",PERCENTRANK(Data!$J:$J,S19),if($R$6="O-LEBRON",PERCENTRANK(Data!$K:$K,S19),if($R$6="D-LEBRON",PERCENTRANK(Data!$L:$L,S19)))))))</f>
        <v/>
      </c>
      <c r="V19" s="73" t="str">
        <f t="shared" si="2"/>
        <v/>
      </c>
      <c r="W19" s="73" t="str">
        <f t="shared" si="3"/>
        <v/>
      </c>
      <c r="X19" s="17"/>
    </row>
    <row r="20">
      <c r="A20" s="17"/>
      <c r="B20" s="17"/>
      <c r="C20" s="17"/>
      <c r="D20" s="17"/>
      <c r="E20" s="17"/>
      <c r="F20" s="17"/>
      <c r="G20" s="17"/>
      <c r="H20" s="17"/>
      <c r="I20" s="77" t="s">
        <v>70</v>
      </c>
      <c r="J20" s="33">
        <f>countifs(Data!B:B,C$2,Data!C:C,I20)</f>
        <v>1</v>
      </c>
      <c r="K20" s="75">
        <f>countifs(Data!B:B,H$2,Data!C:C,I20)</f>
        <v>1</v>
      </c>
      <c r="L20" s="50" t="str">
        <f t="shared" si="4"/>
        <v>2018-19</v>
      </c>
      <c r="M20" s="76">
        <f>IF($J20=1,if(E$2="LEBRON",SUMIFS(Data!J:J,Data!$B:$B,$C$2,Data!$C:$C,$I20),if(E$2="O-LEBRON",SUMIFS(Data!K:K,Data!$B:$B,$C$2,Data!$C:$C,$I20),if(E$2="D-LEBRON",SUMIFS(Data!L:L,Data!$B:$B,$C$2,Data!$C:$C,$I20),""))),"")</f>
        <v>3.783227386</v>
      </c>
      <c r="N20" s="76">
        <f>IF($K20=1,if(E$2="LEBRON",SUMIFS(Data!J:J,Data!$B:$B,$H$2,Data!$C:$C,$I20),if(E$2="O-LEBRON",SUMIFS(Data!K:K,Data!$B:$B,$H$2,Data!$C:$C,$I20),if(E$2="D-LEBRON",SUMIFS(Data!L:L,Data!$B:$B,$H$2,Data!$C:$C,$I20),""))),"")</f>
        <v>-0.1291417086</v>
      </c>
      <c r="O20" s="17"/>
      <c r="P20" s="17"/>
      <c r="Q20" s="17"/>
      <c r="R20" s="17"/>
      <c r="S20" s="17"/>
      <c r="T20" s="48" t="str">
        <f>if(R20="","",if(if($R$6="LEBRON",PERCENTRANK(Data!$J:$J,R20),if($R$6="O-LEBRON",PERCENTRANK(Data!$K:$K,R20),if($R$6="D-LEBRON",PERCENTRANK(Data!$L:$L,R20))))=1,"👑",if(if($R$6="LEBRON",PERCENTRANK(Data!$J:$J,R20),if($R$6="O-LEBRON",PERCENTRANK(Data!$K:$K,R20),if($R$6="D-LEBRON",PERCENTRANK(Data!$L:$L,R20))))=0,"💩",if($R$6="LEBRON",PERCENTRANK(Data!$J:$J,R20),if($R$6="O-LEBRON",PERCENTRANK(Data!$K:$K,R20),if($R$6="D-LEBRON",PERCENTRANK(Data!$L:$L,R20)))))))</f>
        <v/>
      </c>
      <c r="U20" s="48" t="str">
        <f>if(S20="","",if(if($R$6="LEBRON",PERCENTRANK(Data!$J:$J,S20),if($R$6="O-LEBRON",PERCENTRANK(Data!$K:$K,S20),if($R$6="D-LEBRON",PERCENTRANK(Data!$L:$L,S20))))=1,"👑",if(if($R$6="LEBRON",PERCENTRANK(Data!$J:$J,S20),if($R$6="O-LEBRON",PERCENTRANK(Data!$K:$K,S20),if($R$6="D-LEBRON",PERCENTRANK(Data!$L:$L,S20))))=0,"💩",if($R$6="LEBRON",PERCENTRANK(Data!$J:$J,S20),if($R$6="O-LEBRON",PERCENTRANK(Data!$K:$K,S20),if($R$6="D-LEBRON",PERCENTRANK(Data!$L:$L,S20)))))))</f>
        <v/>
      </c>
      <c r="V20" s="48" t="str">
        <f t="shared" si="2"/>
        <v/>
      </c>
      <c r="W20" s="48" t="str">
        <f t="shared" si="3"/>
        <v/>
      </c>
      <c r="X20" s="17"/>
    </row>
    <row r="21" hidden="1">
      <c r="A21" s="17"/>
      <c r="B21" s="17"/>
      <c r="C21" s="17"/>
      <c r="D21" s="17"/>
      <c r="E21" s="17"/>
      <c r="F21" s="17"/>
      <c r="G21" s="17"/>
      <c r="H21" s="53"/>
      <c r="I21" s="77" t="s">
        <v>71</v>
      </c>
      <c r="J21" s="33">
        <f>countifs(Data!B:B,C$2,Data!C:C,I21)</f>
        <v>1</v>
      </c>
      <c r="K21" s="75">
        <f>countifs(Data!B:B,H$2,Data!C:C,I21)</f>
        <v>1</v>
      </c>
      <c r="L21" s="50" t="str">
        <f t="shared" si="4"/>
        <v>2019-20</v>
      </c>
      <c r="M21" s="76">
        <f>IF($J21=1,if(E$2="LEBRON",SUMIFS(Data!J:J,Data!$B:$B,$C$2,Data!$C:$C,$I21),if(E$2="O-LEBRON",SUMIFS(Data!K:K,Data!$B:$B,$C$2,Data!$C:$C,$I21),if(E$2="D-LEBRON",SUMIFS(Data!L:L,Data!$B:$B,$C$2,Data!$C:$C,$I21),""))),"")</f>
        <v>-0.2637605182</v>
      </c>
      <c r="N21" s="76">
        <f>IF($K21=1,if(E$2="LEBRON",SUMIFS(Data!J:J,Data!$B:$B,$H$2,Data!$C:$C,$I21),if(E$2="O-LEBRON",SUMIFS(Data!K:K,Data!$B:$B,$H$2,Data!$C:$C,$I21),if(E$2="D-LEBRON",SUMIFS(Data!L:L,Data!$B:$B,$H$2,Data!$C:$C,$I21),""))),"")</f>
        <v>1.60833818</v>
      </c>
      <c r="O21" s="17"/>
      <c r="P21" s="17"/>
      <c r="Q21" s="53" t="s">
        <v>72</v>
      </c>
      <c r="R21" s="17">
        <f>if(R6="LEBRON",max(Data!I:I),if(R6="O-LEBRON",max(Data!J:J),if(R6="D-LEBRON",max(Data!K:K))))</f>
        <v>43</v>
      </c>
      <c r="S21" s="17"/>
      <c r="T21" s="48" t="str">
        <f>if(R21="","",if(if($R$6="LEBRON",PERCENTRANK(Data!$J:$J,R21),if($R$6="O-LEBRON",PERCENTRANK(Data!$K:$K,R21),if($R$6="D-LEBRON",PERCENTRANK(Data!$L:$L,R21))))=1,"👑",if(if($R$6="LEBRON",PERCENTRANK(Data!$J:$J,R21),if($R$6="O-LEBRON",PERCENTRANK(Data!$K:$K,R21),if($R$6="D-LEBRON",PERCENTRANK(Data!$L:$L,R21))))=0,"💩",if($R$6="LEBRON",PERCENTRANK(Data!$J:$J,R21),if($R$6="O-LEBRON",PERCENTRANK(Data!$K:$K,R21),if($R$6="D-LEBRON",PERCENTRANK(Data!$L:$L,R21)))))))</f>
        <v>#N/A</v>
      </c>
      <c r="U21" s="48" t="str">
        <f>if(S21="","",if(if($R$6="LEBRON",PERCENTRANK(Data!$J:$J,S21),if($R$6="O-LEBRON",PERCENTRANK(Data!$K:$K,S21),if($R$6="D-LEBRON",PERCENTRANK(Data!$L:$L,S21))))=1,"👑",if(if($R$6="LEBRON",PERCENTRANK(Data!$J:$J,S21),if($R$6="O-LEBRON",PERCENTRANK(Data!$K:$K,S21),if($R$6="D-LEBRON",PERCENTRANK(Data!$L:$L,S21))))=0,"💩",if($R$6="LEBRON",PERCENTRANK(Data!$J:$J,S21),if($R$6="O-LEBRON",PERCENTRANK(Data!$K:$K,S21),if($R$6="D-LEBRON",PERCENTRANK(Data!$L:$L,S21)))))))</f>
        <v/>
      </c>
      <c r="V21" s="48" t="str">
        <f t="shared" si="2"/>
        <v>✔</v>
      </c>
      <c r="W21" s="48" t="str">
        <f t="shared" si="3"/>
        <v/>
      </c>
      <c r="X21" s="17"/>
    </row>
    <row r="22" hidden="1">
      <c r="A22" s="17"/>
      <c r="B22" s="17"/>
      <c r="C22" s="17"/>
      <c r="D22" s="17"/>
      <c r="E22" s="17"/>
      <c r="F22" s="17"/>
      <c r="G22" s="17"/>
      <c r="H22" s="17"/>
      <c r="I22" s="77" t="s">
        <v>13</v>
      </c>
      <c r="J22" s="33">
        <f>countifs(Data!B:B,C$2,Data!C:C,I22)</f>
        <v>1</v>
      </c>
      <c r="K22" s="75">
        <f>countifs(Data!B:B,H$2,Data!C:C,I22)</f>
        <v>1</v>
      </c>
      <c r="L22" s="50" t="str">
        <f t="shared" si="4"/>
        <v>2020-21</v>
      </c>
      <c r="M22" s="76">
        <f>IF($J22=1,if(E$2="LEBRON",SUMIFS(Data!J:J,Data!$B:$B,$C$2,Data!$C:$C,$I22),if(E$2="O-LEBRON",SUMIFS(Data!K:K,Data!$B:$B,$C$2,Data!$C:$C,$I22),if(E$2="D-LEBRON",SUMIFS(Data!L:L,Data!$B:$B,$C$2,Data!$C:$C,$I22),""))),"")</f>
        <v>3.585703842</v>
      </c>
      <c r="N22" s="76">
        <f>IF($K22=1,if(E$2="LEBRON",SUMIFS(Data!J:J,Data!$B:$B,$H$2,Data!$C:$C,$I22),if(E$2="O-LEBRON",SUMIFS(Data!K:K,Data!$B:$B,$H$2,Data!$C:$C,$I22),if(E$2="D-LEBRON",SUMIFS(Data!L:L,Data!$B:$B,$H$2,Data!$C:$C,$I22),""))),"")</f>
        <v>0.8646129298</v>
      </c>
      <c r="O22" s="17"/>
      <c r="P22" s="17"/>
      <c r="Q22" s="53" t="s">
        <v>73</v>
      </c>
      <c r="R22" s="17">
        <f>if(R6="LEBRON",min(Data!I:I),if(R6="O-LEBRON",min(Data!J:J),if(R6="D-LEBRON",MIN(Data!K:K))))</f>
        <v>19</v>
      </c>
      <c r="S22" s="17"/>
      <c r="T22" s="48" t="str">
        <f>if(R22="","",if(if($R$6="LEBRON",PERCENTRANK(Data!$J:$J,R22),if($R$6="O-LEBRON",PERCENTRANK(Data!$K:$K,R22),if($R$6="D-LEBRON",PERCENTRANK(Data!$L:$L,R22))))=1,"👑",if(if($R$6="LEBRON",PERCENTRANK(Data!$J:$J,R22),if($R$6="O-LEBRON",PERCENTRANK(Data!$K:$K,R22),if($R$6="D-LEBRON",PERCENTRANK(Data!$L:$L,R22))))=0,"💩",if($R$6="LEBRON",PERCENTRANK(Data!$J:$J,R22),if($R$6="O-LEBRON",PERCENTRANK(Data!$K:$K,R22),if($R$6="D-LEBRON",PERCENTRANK(Data!$L:$L,R22)))))))</f>
        <v>#N/A</v>
      </c>
      <c r="U22" s="48" t="str">
        <f>if(S22="","",if(if($R$6="LEBRON",PERCENTRANK(Data!$J:$J,S22),if($R$6="O-LEBRON",PERCENTRANK(Data!$K:$K,S22),if($R$6="D-LEBRON",PERCENTRANK(Data!$L:$L,S22))))=1,"👑",if(if($R$6="LEBRON",PERCENTRANK(Data!$J:$J,S22),if($R$6="O-LEBRON",PERCENTRANK(Data!$K:$K,S22),if($R$6="D-LEBRON",PERCENTRANK(Data!$L:$L,S22))))=0,"💩",if($R$6="LEBRON",PERCENTRANK(Data!$J:$J,S22),if($R$6="O-LEBRON",PERCENTRANK(Data!$K:$K,S22),if($R$6="D-LEBRON",PERCENTRANK(Data!$L:$L,S22)))))))</f>
        <v/>
      </c>
      <c r="V22" s="48" t="str">
        <f t="shared" si="2"/>
        <v>✔</v>
      </c>
      <c r="W22" s="48" t="str">
        <f t="shared" si="3"/>
        <v/>
      </c>
      <c r="X22" s="17"/>
    </row>
    <row r="2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48" t="str">
        <f>if(R23="","",if(if($R$6="LEBRON",PERCENTRANK(Data!$J:$J,R23),if($R$6="O-LEBRON",PERCENTRANK(Data!$K:$K,R23),if($R$6="D-LEBRON",PERCENTRANK(Data!$L:$L,R23))))=1,"👑",if(if($R$6="LEBRON",PERCENTRANK(Data!$J:$J,R23),if($R$6="O-LEBRON",PERCENTRANK(Data!$K:$K,R23),if($R$6="D-LEBRON",PERCENTRANK(Data!$L:$L,R23))))=0,"💩",if($R$6="LEBRON",PERCENTRANK(Data!$J:$J,R23),if($R$6="O-LEBRON",PERCENTRANK(Data!$K:$K,R23),if($R$6="D-LEBRON",PERCENTRANK(Data!$L:$L,R23)))))))</f>
        <v/>
      </c>
      <c r="U23" s="48" t="str">
        <f>if(S23="","",if(if($R$6="LEBRON",PERCENTRANK(Data!$J:$J,S23),if($R$6="O-LEBRON",PERCENTRANK(Data!$K:$K,S23),if($R$6="D-LEBRON",PERCENTRANK(Data!$L:$L,S23))))=1,"👑",if(if($R$6="LEBRON",PERCENTRANK(Data!$J:$J,S23),if($R$6="O-LEBRON",PERCENTRANK(Data!$K:$K,S23),if($R$6="D-LEBRON",PERCENTRANK(Data!$L:$L,S23))))=0,"💩",if($R$6="LEBRON",PERCENTRANK(Data!$J:$J,S23),if($R$6="O-LEBRON",PERCENTRANK(Data!$K:$K,S23),if($R$6="D-LEBRON",PERCENTRANK(Data!$L:$L,S23)))))))</f>
        <v/>
      </c>
      <c r="V23" s="48" t="str">
        <f t="shared" si="2"/>
        <v/>
      </c>
      <c r="W23" s="48" t="str">
        <f t="shared" si="3"/>
        <v/>
      </c>
      <c r="X23" s="17"/>
    </row>
    <row r="24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48" t="str">
        <f>if(R24="","",if(if($R$6="LEBRON",PERCENTRANK(Data!$J:$J,R24),if($R$6="O-LEBRON",PERCENTRANK(Data!$K:$K,R24),if($R$6="D-LEBRON",PERCENTRANK(Data!$L:$L,R24))))=1,"👑",if(if($R$6="LEBRON",PERCENTRANK(Data!$J:$J,R24),if($R$6="O-LEBRON",PERCENTRANK(Data!$K:$K,R24),if($R$6="D-LEBRON",PERCENTRANK(Data!$L:$L,R24))))=0,"💩",if($R$6="LEBRON",PERCENTRANK(Data!$J:$J,R24),if($R$6="O-LEBRON",PERCENTRANK(Data!$K:$K,R24),if($R$6="D-LEBRON",PERCENTRANK(Data!$L:$L,R24)))))))</f>
        <v/>
      </c>
      <c r="U24" s="48" t="str">
        <f>if(S24="","",if(if($R$6="LEBRON",PERCENTRANK(Data!$J:$J,S24),if($R$6="O-LEBRON",PERCENTRANK(Data!$K:$K,S24),if($R$6="D-LEBRON",PERCENTRANK(Data!$L:$L,S24))))=1,"👑",if(if($R$6="LEBRON",PERCENTRANK(Data!$J:$J,S24),if($R$6="O-LEBRON",PERCENTRANK(Data!$K:$K,S24),if($R$6="D-LEBRON",PERCENTRANK(Data!$L:$L,S24))))=0,"💩",if($R$6="LEBRON",PERCENTRANK(Data!$J:$J,S24),if($R$6="O-LEBRON",PERCENTRANK(Data!$K:$K,S24),if($R$6="D-LEBRON",PERCENTRANK(Data!$L:$L,S24)))))))</f>
        <v/>
      </c>
      <c r="V24" s="48" t="str">
        <f t="shared" si="2"/>
        <v/>
      </c>
      <c r="W24" s="48" t="str">
        <f t="shared" si="3"/>
        <v/>
      </c>
      <c r="X24" s="17"/>
    </row>
    <row r="2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48"/>
      <c r="U25" s="17"/>
      <c r="V25" s="48" t="str">
        <f t="shared" si="2"/>
        <v/>
      </c>
      <c r="W25" s="48" t="str">
        <f t="shared" si="3"/>
        <v/>
      </c>
      <c r="X25" s="17"/>
    </row>
    <row r="26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48"/>
      <c r="X26" s="17"/>
    </row>
    <row r="27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48"/>
      <c r="X27" s="17"/>
    </row>
    <row r="28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</row>
    <row r="31">
      <c r="A31" s="17"/>
      <c r="B31" s="17"/>
      <c r="C31" s="59" t="s">
        <v>81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</row>
    <row r="3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</row>
    <row r="3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</row>
    <row r="34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</row>
    <row r="3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</row>
    <row r="36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</row>
  </sheetData>
  <mergeCells count="5">
    <mergeCell ref="Q2:T2"/>
    <mergeCell ref="B4:H4"/>
    <mergeCell ref="R6:S6"/>
    <mergeCell ref="T6:U6"/>
    <mergeCell ref="V6:W6"/>
  </mergeCells>
  <conditionalFormatting sqref="T8:T25 U8:U24 V8:V25 W8:W27">
    <cfRule type="containsText" dxfId="0" priority="1" operator="containsText" text="💩">
      <formula>NOT(ISERROR(SEARCH(("💩"),(T8))))</formula>
    </cfRule>
  </conditionalFormatting>
  <conditionalFormatting sqref="T8:T25 U8:U24 V8:V25 W8:W27">
    <cfRule type="containsText" dxfId="1" priority="2" operator="containsText" text="👑">
      <formula>NOT(ISERROR(SEARCH(("👑"),(T8))))</formula>
    </cfRule>
  </conditionalFormatting>
  <conditionalFormatting sqref="E2 R6">
    <cfRule type="cellIs" dxfId="2" priority="3" operator="equal">
      <formula>"LEBRON"</formula>
    </cfRule>
  </conditionalFormatting>
  <conditionalFormatting sqref="E2 R6">
    <cfRule type="cellIs" dxfId="3" priority="4" operator="equal">
      <formula>"O-LEBRON"</formula>
    </cfRule>
  </conditionalFormatting>
  <conditionalFormatting sqref="E2 R6">
    <cfRule type="cellIs" dxfId="4" priority="5" operator="equal">
      <formula>"D-LEBRON"</formula>
    </cfRule>
  </conditionalFormatting>
  <conditionalFormatting sqref="R8:S22">
    <cfRule type="colorScale" priority="6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T1 U1:W36 T3:T36">
    <cfRule type="colorScale" priority="7">
      <colorScale>
        <cfvo type="formula" val="0"/>
        <cfvo type="formula" val="0.5"/>
        <cfvo type="formula" val="1"/>
        <color rgb="FFE67C73"/>
        <color rgb="FFFFFFFF"/>
        <color rgb="FF57BB8A"/>
      </colorScale>
    </cfRule>
  </conditionalFormatting>
  <dataValidations>
    <dataValidation type="list" allowBlank="1" showErrorMessage="1" sqref="C2 H2">
      <formula1>Data!$B$2:$B36</formula1>
    </dataValidation>
    <dataValidation type="list" allowBlank="1" showErrorMessage="1" sqref="E2">
      <formula1>"LEBRON,O-LEBRON,D-LEBRON"</formula1>
    </dataValidation>
  </dataValidations>
  <hyperlinks>
    <hyperlink r:id="rId1" ref="Q2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3.29"/>
    <col customWidth="1" min="2" max="2" width="14.86"/>
    <col customWidth="1" min="3" max="3" width="40.0"/>
    <col customWidth="1" min="5" max="5" width="17.71"/>
    <col customWidth="1" hidden="1" min="6" max="13" width="17.71"/>
    <col customWidth="1" min="14" max="15" width="17.71"/>
    <col customWidth="1" min="16" max="16" width="3.29"/>
    <col customWidth="1" min="17" max="17" width="12.29"/>
    <col customWidth="1" min="18" max="21" width="16.86"/>
    <col customWidth="1" min="22" max="22" width="17.57"/>
    <col customWidth="1" min="23" max="27" width="16.86"/>
    <col customWidth="1" min="28" max="28" width="25.71"/>
    <col customWidth="1" min="29" max="29" width="11.57"/>
  </cols>
  <sheetData>
    <row r="1" ht="7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</row>
    <row r="2">
      <c r="A2" s="17"/>
      <c r="B2" s="18" t="s">
        <v>51</v>
      </c>
      <c r="C2" s="61" t="s">
        <v>89</v>
      </c>
      <c r="D2" s="20"/>
      <c r="E2" s="21" t="s">
        <v>8</v>
      </c>
      <c r="F2" s="22"/>
      <c r="G2" s="22"/>
      <c r="H2" s="23"/>
      <c r="I2" s="24"/>
      <c r="J2" s="24"/>
      <c r="K2" s="24"/>
      <c r="L2" s="25"/>
      <c r="M2" s="25"/>
      <c r="N2" s="26" t="s">
        <v>9</v>
      </c>
      <c r="O2" s="27" t="s">
        <v>10</v>
      </c>
      <c r="P2" s="17"/>
      <c r="Q2" s="28" t="s">
        <v>53</v>
      </c>
      <c r="V2" s="29"/>
      <c r="W2" s="17"/>
      <c r="X2" s="17"/>
      <c r="Y2" s="17"/>
      <c r="Z2" s="17"/>
      <c r="AA2" s="17"/>
      <c r="AB2" s="17"/>
      <c r="AC2" s="17"/>
    </row>
    <row r="3" ht="7.5" customHeight="1">
      <c r="A3" s="17"/>
      <c r="B3" s="30"/>
      <c r="C3" s="30"/>
      <c r="D3" s="31"/>
      <c r="E3" s="31"/>
      <c r="F3" s="32"/>
      <c r="G3" s="33"/>
      <c r="H3" s="34"/>
      <c r="I3" s="35"/>
      <c r="J3" s="35"/>
      <c r="K3" s="35"/>
      <c r="L3" s="36"/>
      <c r="M3" s="36"/>
      <c r="N3" s="17"/>
      <c r="O3" s="3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</row>
    <row r="4">
      <c r="A4" s="17"/>
      <c r="B4" s="38" t="str">
        <f>"LEBRON Impact Data for "&amp;C2</f>
        <v>LEBRON Impact Data for Blake Griffin</v>
      </c>
      <c r="P4" s="17"/>
      <c r="Q4" s="17"/>
      <c r="R4" s="39" t="s">
        <v>54</v>
      </c>
      <c r="V4" s="39"/>
      <c r="W4" s="39" t="s">
        <v>55</v>
      </c>
      <c r="AB4" s="39"/>
      <c r="AC4" s="17"/>
    </row>
    <row r="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40" t="s">
        <v>12</v>
      </c>
      <c r="R5" s="40" t="s">
        <v>4</v>
      </c>
      <c r="S5" s="41" t="s">
        <v>9</v>
      </c>
      <c r="T5" s="42" t="s">
        <v>10</v>
      </c>
      <c r="U5" s="43" t="s">
        <v>8</v>
      </c>
      <c r="V5" s="44" t="s">
        <v>11</v>
      </c>
      <c r="W5" s="40" t="s">
        <v>4</v>
      </c>
      <c r="X5" s="41" t="s">
        <v>9</v>
      </c>
      <c r="Y5" s="42" t="s">
        <v>10</v>
      </c>
      <c r="Z5" s="43" t="s">
        <v>8</v>
      </c>
      <c r="AA5" s="44" t="s">
        <v>11</v>
      </c>
      <c r="AB5" s="44" t="s">
        <v>56</v>
      </c>
      <c r="AC5" s="17"/>
    </row>
    <row r="6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45" t="str">
        <f>IFERROR(__xludf.DUMMYFUNCTION("filter(H9:H20,L9:L20&lt;&gt;"""")"),"2013-14")</f>
        <v>2013-14</v>
      </c>
      <c r="R6" s="46">
        <f>IFERROR(__xludf.DUMMYFUNCTION("filter(L9:L20,L9:L20&lt;&gt;"""")"),2863.30166666667)</f>
        <v>2863.301667</v>
      </c>
      <c r="S6" s="47">
        <f>IFERROR(__xludf.DUMMYFUNCTION("filter(I9:K20,L9:L20&lt;&gt;"""")"),2.91962412576825)</f>
        <v>2.919624126</v>
      </c>
      <c r="T6" s="47">
        <f>IFERROR(__xludf.DUMMYFUNCTION("""COMPUTED_VALUE"""),0.700893825212372)</f>
        <v>0.7008938252</v>
      </c>
      <c r="U6" s="47">
        <f>IFERROR(__xludf.DUMMYFUNCTION("""COMPUTED_VALUE"""),3.62051795098062)</f>
        <v>3.620517951</v>
      </c>
      <c r="V6" s="46">
        <f>IFERROR(__xludf.DUMMYFUNCTION("filter(M9:M20,L9:L20&lt;&gt;"""")"),11.278782561200536)</f>
        <v>11.27878256</v>
      </c>
      <c r="W6" s="48">
        <f>if(R6="","",if(PERCENTRANK(Data!F:F,R6)=1,"👑",if(PERCENTRANK(Data!F:F,R6)=0,"💩",PERCENTRANK(Data!F:F,R6))))</f>
        <v>0.992</v>
      </c>
      <c r="X6" s="48">
        <f>if(S6="","",if(RANK(S6,Data!K:K)=1,"👑",if(PERCENTRANK(Data!K:K,S6)=0,"💩",PERCENTRANK(Data!K:K,S6))))</f>
        <v>0.968</v>
      </c>
      <c r="Y6" s="48">
        <f>if(T6="","",if(RANK(T6,Data!L:L)=1,"👑",if(PERCENTRANK(Data!L:L,T6)=0,"💩",PERCENTRANK(Data!L:L,T6))))</f>
        <v>0.794</v>
      </c>
      <c r="Z6" s="48">
        <f>if(U6="","",if(RANK(U6,Data!J:J)=1,"👑",if(PERCENTRANK(Data!J:J,U6)=0,"💩",PERCENTRANK(Data!J:J,U6))))</f>
        <v>0.97</v>
      </c>
      <c r="AA6" s="48">
        <f>if(V6="","",if(RANK(V6,Data!M:M)=1,"👑",if(PERCENTRANK(Data!M:M,V6)=0,"💩",PERCENTRANK(Data!M:M,V6))))</f>
        <v>0.986</v>
      </c>
      <c r="AB6" s="49" t="str">
        <f>IFERROR(__xludf.DUMMYFUNCTION("if(V6="""","""",if(RANK(V6,filter(Data!M:M,Data!C:C=Q6))&lt;6,""MVP Candidate"",if(RANK(V6,filter(Data!M:M,Data!C:C=Q6))&lt;16,""All NBA"",if(RANK(V6,filter(Data!M:M,Data!C:C=Q6))&lt;25,""All Star"",if(RANK(V6,filter(Data!M:M,Data!C:C=Q6))&lt;151,""Starter"",if(RANK("&amp;"V6,filter(Data!M:M,Data!C:C=Q6))&lt;271,""Rotation"",if(RANK(V6,filter(Data!M:M,Data!C:C=Q6))&lt;361,""Bench"",if(RANK(V6,filter(Data!M:M,Data!C:C=Q6))&gt;360,""Fringe NBA"",""""))))))))"),"All NBA")</f>
        <v>All NBA</v>
      </c>
      <c r="AC6" s="17"/>
    </row>
    <row r="7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45" t="str">
        <f>IFERROR(__xludf.DUMMYFUNCTION("""COMPUTED_VALUE"""),"2014-15")</f>
        <v>2014-15</v>
      </c>
      <c r="R7" s="46">
        <f>IFERROR(__xludf.DUMMYFUNCTION("""COMPUTED_VALUE"""),2355.78833333333)</f>
        <v>2355.788333</v>
      </c>
      <c r="S7" s="47">
        <f>IFERROR(__xludf.DUMMYFUNCTION("""COMPUTED_VALUE"""),2.25966402344712)</f>
        <v>2.259664023</v>
      </c>
      <c r="T7" s="47">
        <f>IFERROR(__xludf.DUMMYFUNCTION("""COMPUTED_VALUE"""),-0.41773478382268)</f>
        <v>-0.4177347838</v>
      </c>
      <c r="U7" s="47">
        <f>IFERROR(__xludf.DUMMYFUNCTION("""COMPUTED_VALUE"""),1.84192923962444)</f>
        <v>1.84192924</v>
      </c>
      <c r="V7" s="46">
        <f>IFERROR(__xludf.DUMMYFUNCTION("""COMPUTED_VALUE"""),6.5435712354850475)</f>
        <v>6.543571235</v>
      </c>
      <c r="W7" s="48">
        <f>if(R7="","",if(PERCENTRANK(Data!F:F,R7)=1,"👑",if(PERCENTRANK(Data!F:F,R7)=0,"💩",PERCENTRANK(Data!F:F,R7))))</f>
        <v>0.916</v>
      </c>
      <c r="X7" s="48">
        <f>if(S7="","",if(RANK(S7,Data!K:K)=1,"👑",if(PERCENTRANK(Data!K:K,S7)=0,"💩",PERCENTRANK(Data!K:K,S7))))</f>
        <v>0.954</v>
      </c>
      <c r="Y7" s="48">
        <f>if(T7="","",if(RANK(T7,Data!L:L)=1,"👑",if(PERCENTRANK(Data!L:L,T7)=0,"💩",PERCENTRANK(Data!L:L,T7))))</f>
        <v>0.378</v>
      </c>
      <c r="Z7" s="48">
        <f>if(U7="","",if(RANK(U7,Data!J:J)=1,"👑",if(PERCENTRANK(Data!J:J,U7)=0,"💩",PERCENTRANK(Data!J:J,U7))))</f>
        <v>0.91</v>
      </c>
      <c r="AA7" s="48">
        <f>if(V7="","",if(RANK(V7,Data!M:M)=1,"👑",if(PERCENTRANK(Data!M:M,V7)=0,"💩",PERCENTRANK(Data!M:M,V7))))</f>
        <v>0.939</v>
      </c>
      <c r="AB7" s="49" t="str">
        <f>IFERROR(__xludf.DUMMYFUNCTION("if(V7="""","""",if(RANK(V7,filter(Data!M:M,Data!C:C=Q7))&lt;6,""MVP Candidate"",if(RANK(V7,filter(Data!M:M,Data!C:C=Q7))&lt;16,""All NBA"",if(RANK(V7,filter(Data!M:M,Data!C:C=Q7))&lt;25,""All Star"",if(RANK(V7,filter(Data!M:M,Data!C:C=Q7))&lt;151,""Starter"",if(RANK("&amp;"V7,filter(Data!M:M,Data!C:C=Q7))&lt;271,""Rotation"",if(RANK(V7,filter(Data!M:M,Data!C:C=Q7))&lt;361,""Bench"",if(RANK(V7,filter(Data!M:M,Data!C:C=Q7))&gt;360,""Fringe NBA"",""""))))))))"),"Starter")</f>
        <v>Starter</v>
      </c>
      <c r="AC7" s="17"/>
    </row>
    <row r="8">
      <c r="A8" s="17"/>
      <c r="B8" s="17"/>
      <c r="C8" s="17"/>
      <c r="D8" s="17"/>
      <c r="E8" s="17"/>
      <c r="F8" s="33" t="s">
        <v>12</v>
      </c>
      <c r="G8" s="33" t="s">
        <v>57</v>
      </c>
      <c r="H8" s="50" t="s">
        <v>12</v>
      </c>
      <c r="I8" s="51" t="s">
        <v>58</v>
      </c>
      <c r="J8" s="51" t="s">
        <v>59</v>
      </c>
      <c r="K8" s="51" t="s">
        <v>60</v>
      </c>
      <c r="L8" s="33" t="s">
        <v>4</v>
      </c>
      <c r="M8" s="52" t="s">
        <v>11</v>
      </c>
      <c r="N8" s="17"/>
      <c r="O8" s="17"/>
      <c r="P8" s="17"/>
      <c r="Q8" s="45" t="str">
        <f>IFERROR(__xludf.DUMMYFUNCTION("""COMPUTED_VALUE"""),"2015-16")</f>
        <v>2015-16</v>
      </c>
      <c r="R8" s="46">
        <f>IFERROR(__xludf.DUMMYFUNCTION("""COMPUTED_VALUE"""),1170.28166666667)</f>
        <v>1170.281667</v>
      </c>
      <c r="S8" s="47">
        <f>IFERROR(__xludf.DUMMYFUNCTION("""COMPUTED_VALUE"""),0.829350855579533)</f>
        <v>0.8293508556</v>
      </c>
      <c r="T8" s="47">
        <f>IFERROR(__xludf.DUMMYFUNCTION("""COMPUTED_VALUE"""),0.19237681730378)</f>
        <v>0.1923768173</v>
      </c>
      <c r="U8" s="47">
        <f>IFERROR(__xludf.DUMMYFUNCTION("""COMPUTED_VALUE"""),1.02172767288331)</f>
        <v>1.021727673</v>
      </c>
      <c r="V8" s="46">
        <f>IFERROR(__xludf.DUMMYFUNCTION("""COMPUTED_VALUE"""),2.609152144226702)</f>
        <v>2.609152144</v>
      </c>
      <c r="W8" s="48">
        <f>if(R8="","",if(PERCENTRANK(Data!F:F,R8)=1,"👑",if(PERCENTRANK(Data!F:F,R8)=0,"💩",PERCENTRANK(Data!F:F,R8))))</f>
        <v>0.578</v>
      </c>
      <c r="X8" s="48">
        <f>if(S8="","",if(RANK(S8,Data!K:K)=1,"👑",if(PERCENTRANK(Data!K:K,S8)=0,"💩",PERCENTRANK(Data!K:K,S8))))</f>
        <v>0.853</v>
      </c>
      <c r="Y8" s="48">
        <f>if(T8="","",if(RANK(T8,Data!L:L)=1,"👑",if(PERCENTRANK(Data!L:L,T8)=0,"💩",PERCENTRANK(Data!L:L,T8))))</f>
        <v>0.651</v>
      </c>
      <c r="Z8" s="48">
        <f>if(U8="","",if(RANK(U8,Data!J:J)=1,"👑",if(PERCENTRANK(Data!J:J,U8)=0,"💩",PERCENTRANK(Data!J:J,U8))))</f>
        <v>0.838</v>
      </c>
      <c r="AA8" s="48">
        <f>if(V8="","",if(RANK(V8,Data!M:M)=1,"👑",if(PERCENTRANK(Data!M:M,V8)=0,"💩",PERCENTRANK(Data!M:M,V8))))</f>
        <v>0.773</v>
      </c>
      <c r="AB8" s="49" t="str">
        <f>IFERROR(__xludf.DUMMYFUNCTION("if(V8="""","""",if(RANK(V8,filter(Data!M:M,Data!C:C=Q8))&lt;6,""MVP Candidate"",if(RANK(V8,filter(Data!M:M,Data!C:C=Q8))&lt;16,""All NBA"",if(RANK(V8,filter(Data!M:M,Data!C:C=Q8))&lt;25,""All Star"",if(RANK(V8,filter(Data!M:M,Data!C:C=Q8))&lt;151,""Starter"",if(RANK("&amp;"V8,filter(Data!M:M,Data!C:C=Q8))&lt;271,""Rotation"",if(RANK(V8,filter(Data!M:M,Data!C:C=Q8))&lt;361,""Bench"",if(RANK(V8,filter(Data!M:M,Data!C:C=Q8))&gt;360,""Fringe NBA"",""""))))))))"),"Starter")</f>
        <v>Starter</v>
      </c>
      <c r="AC8" s="17"/>
    </row>
    <row r="9">
      <c r="A9" s="17"/>
      <c r="B9" s="17"/>
      <c r="C9" s="17"/>
      <c r="D9" s="17"/>
      <c r="E9" s="17"/>
      <c r="F9" s="32" t="s">
        <v>61</v>
      </c>
      <c r="G9" s="33">
        <f>countifs(Data!B:B,C$2,Data!C:C,F9)</f>
        <v>0</v>
      </c>
      <c r="H9" s="34" t="str">
        <f t="shared" ref="H9:H20" si="1">IF(G9=1,F9,"")</f>
        <v/>
      </c>
      <c r="I9" s="35" t="str">
        <f>IF($G9=1,SUMIFS(Data!K:K,Data!$B:$B,$C$2,Data!$C:$C,$F9),"")</f>
        <v/>
      </c>
      <c r="J9" s="35" t="str">
        <f>IF($G9=1,SUMIFS(Data!L:L,Data!$B:$B,$C$2,Data!$C:$C,$F9),"")</f>
        <v/>
      </c>
      <c r="K9" s="35" t="str">
        <f>IF($G9=1,SUMIFS(Data!J:J,Data!$B:$B,$C$2,Data!$C:$C,$F9),"")</f>
        <v/>
      </c>
      <c r="L9" s="36" t="str">
        <f>IF($G9=1,SUMIFS(Data!F:F,Data!$B:$B,$C$2,Data!$C:$C,$F9),"")</f>
        <v/>
      </c>
      <c r="M9" s="36" t="str">
        <f>IF($G9=1,SUMIFS(Data!M:M,Data!$B:$B,$C$2,Data!$C:$C,$F9),"")</f>
        <v/>
      </c>
      <c r="N9" s="17"/>
      <c r="O9" s="17"/>
      <c r="P9" s="17"/>
      <c r="Q9" s="45" t="str">
        <f>IFERROR(__xludf.DUMMYFUNCTION("""COMPUTED_VALUE"""),"2016-17")</f>
        <v>2016-17</v>
      </c>
      <c r="R9" s="46">
        <f>IFERROR(__xludf.DUMMYFUNCTION("""COMPUTED_VALUE"""),2076.17666666667)</f>
        <v>2076.176667</v>
      </c>
      <c r="S9" s="47">
        <f>IFERROR(__xludf.DUMMYFUNCTION("""COMPUTED_VALUE"""),2.47607328009727)</f>
        <v>2.47607328</v>
      </c>
      <c r="T9" s="47">
        <f>IFERROR(__xludf.DUMMYFUNCTION("""COMPUTED_VALUE"""),0.296839048119516)</f>
        <v>0.2968390481</v>
      </c>
      <c r="U9" s="47">
        <f>IFERROR(__xludf.DUMMYFUNCTION("""COMPUTED_VALUE"""),2.77291232821679)</f>
        <v>2.772912328</v>
      </c>
      <c r="V9" s="46">
        <f>IFERROR(__xludf.DUMMYFUNCTION("""COMPUTED_VALUE"""),7.041185654602686)</f>
        <v>7.041185655</v>
      </c>
      <c r="W9" s="48">
        <f>if(R9="","",if(PERCENTRANK(Data!F:F,R9)=1,"👑",if(PERCENTRANK(Data!F:F,R9)=0,"💩",PERCENTRANK(Data!F:F,R9))))</f>
        <v>0.847</v>
      </c>
      <c r="X9" s="48">
        <f>if(S9="","",if(RANK(S9,Data!K:K)=1,"👑",if(PERCENTRANK(Data!K:K,S9)=0,"💩",PERCENTRANK(Data!K:K,S9))))</f>
        <v>0.96</v>
      </c>
      <c r="Y9" s="48">
        <f>if(T9="","",if(RANK(T9,Data!L:L)=1,"👑",if(PERCENTRANK(Data!L:L,T9)=0,"💩",PERCENTRANK(Data!L:L,T9))))</f>
        <v>0.69</v>
      </c>
      <c r="Z9" s="48">
        <f>if(U9="","",if(RANK(U9,Data!J:J)=1,"👑",if(PERCENTRANK(Data!J:J,U9)=0,"💩",PERCENTRANK(Data!J:J,U9))))</f>
        <v>0.952</v>
      </c>
      <c r="AA9" s="48">
        <f>if(V9="","",if(RANK(V9,Data!M:M)=1,"👑",if(PERCENTRANK(Data!M:M,V9)=0,"💩",PERCENTRANK(Data!M:M,V9))))</f>
        <v>0.947</v>
      </c>
      <c r="AB9" s="49" t="str">
        <f>IFERROR(__xludf.DUMMYFUNCTION("if(V9="""","""",if(RANK(V9,filter(Data!M:M,Data!C:C=Q9))&lt;6,""MVP Candidate"",if(RANK(V9,filter(Data!M:M,Data!C:C=Q9))&lt;16,""All NBA"",if(RANK(V9,filter(Data!M:M,Data!C:C=Q9))&lt;25,""All Star"",if(RANK(V9,filter(Data!M:M,Data!C:C=Q9))&lt;151,""Starter"",if(RANK("&amp;"V9,filter(Data!M:M,Data!C:C=Q9))&lt;271,""Rotation"",if(RANK(V9,filter(Data!M:M,Data!C:C=Q9))&lt;361,""Bench"",if(RANK(V9,filter(Data!M:M,Data!C:C=Q9))&gt;360,""Fringe NBA"",""""))))))))"),"Starter")</f>
        <v>Starter</v>
      </c>
      <c r="AC9" s="17"/>
    </row>
    <row r="10">
      <c r="A10" s="17"/>
      <c r="B10" s="17"/>
      <c r="C10" s="17"/>
      <c r="D10" s="17"/>
      <c r="E10" s="17"/>
      <c r="F10" s="32" t="s">
        <v>62</v>
      </c>
      <c r="G10" s="33">
        <f>countifs(Data!B:B,C$2,Data!C:C,F10)</f>
        <v>0</v>
      </c>
      <c r="H10" s="34" t="str">
        <f t="shared" si="1"/>
        <v/>
      </c>
      <c r="I10" s="35" t="str">
        <f>IF($G10=1,SUMIFS(Data!K:K,Data!$B:$B,$C$2,Data!$C:$C,$F10),"")</f>
        <v/>
      </c>
      <c r="J10" s="35" t="str">
        <f>IF($G10=1,SUMIFS(Data!L:L,Data!$B:$B,$C$2,Data!$C:$C,$F10),"")</f>
        <v/>
      </c>
      <c r="K10" s="35" t="str">
        <f>IF($G10=1,SUMIFS(Data!J:J,Data!$B:$B,$C$2,Data!$C:$C,$F10),"")</f>
        <v/>
      </c>
      <c r="L10" s="36" t="str">
        <f>IF($G10=1,SUMIFS(Data!F:F,Data!$B:$B,$C$2,Data!$C:$C,$F10),"")</f>
        <v/>
      </c>
      <c r="M10" s="36" t="str">
        <f>IF($G10=1,SUMIFS(Data!M:M,Data!$B:$B,$C$2,Data!$C:$C,$F10),"")</f>
        <v/>
      </c>
      <c r="N10" s="17"/>
      <c r="O10" s="17"/>
      <c r="P10" s="17"/>
      <c r="Q10" s="45" t="str">
        <f>IFERROR(__xludf.DUMMYFUNCTION("""COMPUTED_VALUE"""),"2017-18")</f>
        <v>2017-18</v>
      </c>
      <c r="R10" s="46">
        <f>IFERROR(__xludf.DUMMYFUNCTION("""COMPUTED_VALUE"""),1969.82166666667)</f>
        <v>1969.821667</v>
      </c>
      <c r="S10" s="47">
        <f>IFERROR(__xludf.DUMMYFUNCTION("""COMPUTED_VALUE"""),1.34961435367043)</f>
        <v>1.349614354</v>
      </c>
      <c r="T10" s="47">
        <f>IFERROR(__xludf.DUMMYFUNCTION("""COMPUTED_VALUE"""),-0.810465383694542)</f>
        <v>-0.8104653837</v>
      </c>
      <c r="U10" s="47">
        <f>IFERROR(__xludf.DUMMYFUNCTION("""COMPUTED_VALUE"""),0.539148969975885)</f>
        <v>0.53914897</v>
      </c>
      <c r="V10" s="46">
        <f>IFERROR(__xludf.DUMMYFUNCTION("""COMPUTED_VALUE"""),3.7525274163985203)</f>
        <v>3.752527416</v>
      </c>
      <c r="W10" s="48">
        <f>if(R10="","",if(PERCENTRANK(Data!F:F,R10)=1,"👑",if(PERCENTRANK(Data!F:F,R10)=0,"💩",PERCENTRANK(Data!F:F,R10))))</f>
        <v>0.812</v>
      </c>
      <c r="X10" s="48">
        <f>if(S10="","",if(RANK(S10,Data!K:K)=1,"👑",if(PERCENTRANK(Data!K:K,S10)=0,"💩",PERCENTRANK(Data!K:K,S10))))</f>
        <v>0.908</v>
      </c>
      <c r="Y10" s="48">
        <f>if(T10="","",if(RANK(T10,Data!L:L)=1,"👑",if(PERCENTRANK(Data!L:L,T10)=0,"💩",PERCENTRANK(Data!L:L,T10))))</f>
        <v>0.22</v>
      </c>
      <c r="Z10" s="48">
        <f>if(U10="","",if(RANK(U10,Data!J:J)=1,"👑",if(PERCENTRANK(Data!J:J,U10)=0,"💩",PERCENTRANK(Data!J:J,U10))))</f>
        <v>0.781</v>
      </c>
      <c r="AA10" s="48">
        <f>if(V10="","",if(RANK(V10,Data!M:M)=1,"👑",if(PERCENTRANK(Data!M:M,V10)=0,"💩",PERCENTRANK(Data!M:M,V10))))</f>
        <v>0.843</v>
      </c>
      <c r="AB10" s="49" t="str">
        <f>IFERROR(__xludf.DUMMYFUNCTION("if(V10="""","""",if(RANK(V10,filter(Data!M:M,Data!C:C=Q10))&lt;6,""MVP Candidate"",if(RANK(V10,filter(Data!M:M,Data!C:C=Q10))&lt;16,""All NBA"",if(RANK(V10,filter(Data!M:M,Data!C:C=Q10))&lt;25,""All Star"",if(RANK(V10,filter(Data!M:M,Data!C:C=Q10))&lt;151,""Starter"""&amp;",if(RANK(V10,filter(Data!M:M,Data!C:C=Q10))&lt;271,""Rotation"",if(RANK(V10,filter(Data!M:M,Data!C:C=Q10))&lt;361,""Bench"",if(RANK(V10,filter(Data!M:M,Data!C:C=Q10))&gt;360,""Fringe NBA"",""""))))))))"),"Starter")</f>
        <v>Starter</v>
      </c>
      <c r="AC10" s="17"/>
    </row>
    <row r="11">
      <c r="A11" s="17"/>
      <c r="B11" s="17"/>
      <c r="C11" s="17"/>
      <c r="D11" s="17"/>
      <c r="E11" s="17"/>
      <c r="F11" s="32" t="s">
        <v>63</v>
      </c>
      <c r="G11" s="33">
        <f>countifs(Data!B:B,C$2,Data!C:C,F11)</f>
        <v>0</v>
      </c>
      <c r="H11" s="34" t="str">
        <f t="shared" si="1"/>
        <v/>
      </c>
      <c r="I11" s="35" t="str">
        <f>IF($G11=1,SUMIFS(Data!K:K,Data!$B:$B,$C$2,Data!$C:$C,$F11),"")</f>
        <v/>
      </c>
      <c r="J11" s="35" t="str">
        <f>IF($G11=1,SUMIFS(Data!L:L,Data!$B:$B,$C$2,Data!$C:$C,$F11),"")</f>
        <v/>
      </c>
      <c r="K11" s="35" t="str">
        <f>IF($G11=1,SUMIFS(Data!J:J,Data!$B:$B,$C$2,Data!$C:$C,$F11),"")</f>
        <v/>
      </c>
      <c r="L11" s="36" t="str">
        <f>IF($G11=1,SUMIFS(Data!F:F,Data!$B:$B,$C$2,Data!$C:$C,$F11),"")</f>
        <v/>
      </c>
      <c r="M11" s="36" t="str">
        <f>IF($G11=1,SUMIFS(Data!M:M,Data!$B:$B,$C$2,Data!$C:$C,$F11),"")</f>
        <v/>
      </c>
      <c r="N11" s="17"/>
      <c r="O11" s="17"/>
      <c r="P11" s="17"/>
      <c r="Q11" s="45" t="str">
        <f>IFERROR(__xludf.DUMMYFUNCTION("""COMPUTED_VALUE"""),"2018-19")</f>
        <v>2018-19</v>
      </c>
      <c r="R11" s="46">
        <f>IFERROR(__xludf.DUMMYFUNCTION("""COMPUTED_VALUE"""),2622.33333333333)</f>
        <v>2622.333333</v>
      </c>
      <c r="S11" s="47">
        <f>IFERROR(__xludf.DUMMYFUNCTION("""COMPUTED_VALUE"""),1.78258082215527)</f>
        <v>1.782580822</v>
      </c>
      <c r="T11" s="47">
        <f>IFERROR(__xludf.DUMMYFUNCTION("""COMPUTED_VALUE"""),0.108792037824968)</f>
        <v>0.1087920378</v>
      </c>
      <c r="U11" s="47">
        <f>IFERROR(__xludf.DUMMYFUNCTION("""COMPUTED_VALUE"""),1.89137285998024)</f>
        <v>1.89137286</v>
      </c>
      <c r="V11" s="46">
        <f>IFERROR(__xludf.DUMMYFUNCTION("""COMPUTED_VALUE"""),7.370098333517497)</f>
        <v>7.370098334</v>
      </c>
      <c r="W11" s="48">
        <f>if(R11="","",if(PERCENTRANK(Data!F:F,R11)=1,"👑",if(PERCENTRANK(Data!F:F,R11)=0,"💩",PERCENTRANK(Data!F:F,R11))))</f>
        <v>0.966</v>
      </c>
      <c r="X11" s="48">
        <f>if(S11="","",if(RANK(S11,Data!K:K)=1,"👑",if(PERCENTRANK(Data!K:K,S11)=0,"💩",PERCENTRANK(Data!K:K,S11))))</f>
        <v>0.935</v>
      </c>
      <c r="Y11" s="48">
        <f>if(T11="","",if(RANK(T11,Data!L:L)=1,"👑",if(PERCENTRANK(Data!L:L,T11)=0,"💩",PERCENTRANK(Data!L:L,T11))))</f>
        <v>0.624</v>
      </c>
      <c r="Z11" s="48">
        <f>if(U11="","",if(RANK(U11,Data!J:J)=1,"👑",if(PERCENTRANK(Data!J:J,U11)=0,"💩",PERCENTRANK(Data!J:J,U11))))</f>
        <v>0.914</v>
      </c>
      <c r="AA11" s="48">
        <f>if(V11="","",if(RANK(V11,Data!M:M)=1,"👑",if(PERCENTRANK(Data!M:M,V11)=0,"💩",PERCENTRANK(Data!M:M,V11))))</f>
        <v>0.952</v>
      </c>
      <c r="AB11" s="49" t="str">
        <f>IFERROR(__xludf.DUMMYFUNCTION("if(V11="""","""",if(RANK(V11,filter(Data!M:M,Data!C:C=Q11))&lt;6,""MVP Candidate"",if(RANK(V11,filter(Data!M:M,Data!C:C=Q11))&lt;16,""All NBA"",if(RANK(V11,filter(Data!M:M,Data!C:C=Q11))&lt;25,""All Star"",if(RANK(V11,filter(Data!M:M,Data!C:C=Q11))&lt;151,""Starter"""&amp;",if(RANK(V11,filter(Data!M:M,Data!C:C=Q11))&lt;271,""Rotation"",if(RANK(V11,filter(Data!M:M,Data!C:C=Q11))&lt;361,""Bench"",if(RANK(V11,filter(Data!M:M,Data!C:C=Q11))&gt;360,""Fringe NBA"",""""))))))))"),"Starter")</f>
        <v>Starter</v>
      </c>
      <c r="AC11" s="17"/>
    </row>
    <row r="12">
      <c r="A12" s="17"/>
      <c r="B12" s="17"/>
      <c r="C12" s="17"/>
      <c r="D12" s="17"/>
      <c r="E12" s="17"/>
      <c r="F12" s="53" t="s">
        <v>64</v>
      </c>
      <c r="G12" s="33">
        <f>countifs(Data!B:B,C$2,Data!C:C,F12)</f>
        <v>0</v>
      </c>
      <c r="H12" s="34" t="str">
        <f t="shared" si="1"/>
        <v/>
      </c>
      <c r="I12" s="35" t="str">
        <f>IF($G12=1,SUMIFS(Data!K:K,Data!$B:$B,$C$2,Data!$C:$C,$F12),"")</f>
        <v/>
      </c>
      <c r="J12" s="35" t="str">
        <f>IF($G12=1,SUMIFS(Data!L:L,Data!$B:$B,$C$2,Data!$C:$C,$F12),"")</f>
        <v/>
      </c>
      <c r="K12" s="35" t="str">
        <f>IF($G12=1,SUMIFS(Data!J:J,Data!$B:$B,$C$2,Data!$C:$C,$F12),"")</f>
        <v/>
      </c>
      <c r="L12" s="36" t="str">
        <f>IF($G12=1,SUMIFS(Data!F:F,Data!$B:$B,$C$2,Data!$C:$C,$F12),"")</f>
        <v/>
      </c>
      <c r="M12" s="36" t="str">
        <f>IF($G12=1,SUMIFS(Data!M:M,Data!$B:$B,$C$2,Data!$C:$C,$F12),"")</f>
        <v/>
      </c>
      <c r="N12" s="17"/>
      <c r="O12" s="17"/>
      <c r="P12" s="17"/>
      <c r="Q12" s="45" t="str">
        <f>IFERROR(__xludf.DUMMYFUNCTION("""COMPUTED_VALUE"""),"2019-20")</f>
        <v>2019-20</v>
      </c>
      <c r="R12" s="46">
        <f>IFERROR(__xludf.DUMMYFUNCTION("""COMPUTED_VALUE"""),512.28)</f>
        <v>512.28</v>
      </c>
      <c r="S12" s="47">
        <f>IFERROR(__xludf.DUMMYFUNCTION("""COMPUTED_VALUE"""),1.50682302642925)</f>
        <v>1.506823026</v>
      </c>
      <c r="T12" s="47">
        <f>IFERROR(__xludf.DUMMYFUNCTION("""COMPUTED_VALUE"""),-0.787285698526575)</f>
        <v>-0.7872856985</v>
      </c>
      <c r="U12" s="47">
        <f>IFERROR(__xludf.DUMMYFUNCTION("""COMPUTED_VALUE"""),0.719537327902675)</f>
        <v>0.7195373279</v>
      </c>
      <c r="V12" s="46">
        <f>IFERROR(__xludf.DUMMYFUNCTION("""COMPUTED_VALUE"""),1.0380958747743225)</f>
        <v>1.038095875</v>
      </c>
      <c r="W12" s="48">
        <f>if(R12="","",if(PERCENTRANK(Data!F:F,R12)=1,"👑",if(PERCENTRANK(Data!F:F,R12)=0,"💩",PERCENTRANK(Data!F:F,R12))))</f>
        <v>0.339</v>
      </c>
      <c r="X12" s="48">
        <f>if(S12="","",if(RANK(S12,Data!K:K)=1,"👑",if(PERCENTRANK(Data!K:K,S12)=0,"💩",PERCENTRANK(Data!K:K,S12))))</f>
        <v>0.92</v>
      </c>
      <c r="Y12" s="48">
        <f>if(T12="","",if(RANK(T12,Data!L:L)=1,"👑",if(PERCENTRANK(Data!L:L,T12)=0,"💩",PERCENTRANK(Data!L:L,T12))))</f>
        <v>0.229</v>
      </c>
      <c r="Z12" s="48">
        <f>if(U12="","",if(RANK(U12,Data!J:J)=1,"👑",if(PERCENTRANK(Data!J:J,U12)=0,"💩",PERCENTRANK(Data!J:J,U12))))</f>
        <v>0.805</v>
      </c>
      <c r="AA12" s="48">
        <f>if(V12="","",if(RANK(V12,Data!M:M)=1,"👑",if(PERCENTRANK(Data!M:M,V12)=0,"💩",PERCENTRANK(Data!M:M,V12))))</f>
        <v>0.584</v>
      </c>
      <c r="AB12" s="49" t="str">
        <f>IFERROR(__xludf.DUMMYFUNCTION("if(V12="""","""",if(RANK(V12,filter(Data!M:M,Data!C:C=Q12))&lt;6,""MVP Candidate"",if(RANK(V12,filter(Data!M:M,Data!C:C=Q12))&lt;16,""All NBA"",if(RANK(V12,filter(Data!M:M,Data!C:C=Q12))&lt;25,""All Star"",if(RANK(V12,filter(Data!M:M,Data!C:C=Q12))&lt;151,""Starter"""&amp;",if(RANK(V12,filter(Data!M:M,Data!C:C=Q12))&lt;271,""Rotation"",if(RANK(V12,filter(Data!M:M,Data!C:C=Q12))&lt;361,""Bench"",if(RANK(V12,filter(Data!M:M,Data!C:C=Q12))&gt;360,""Fringe NBA"",""""))))))))"),"Rotation")</f>
        <v>Rotation</v>
      </c>
      <c r="AC12" s="17"/>
    </row>
    <row r="13">
      <c r="A13" s="17"/>
      <c r="B13" s="17"/>
      <c r="C13" s="17"/>
      <c r="D13" s="17"/>
      <c r="E13" s="17"/>
      <c r="F13" s="53" t="s">
        <v>65</v>
      </c>
      <c r="G13" s="33">
        <f>countifs(Data!B:B,C$2,Data!C:C,F13)</f>
        <v>1</v>
      </c>
      <c r="H13" s="34" t="str">
        <f t="shared" si="1"/>
        <v>2013-14</v>
      </c>
      <c r="I13" s="35">
        <f>IF($G13=1,SUMIFS(Data!K:K,Data!$B:$B,$C$2,Data!$C:$C,$F13),"")</f>
        <v>2.919624126</v>
      </c>
      <c r="J13" s="35">
        <f>IF($G13=1,SUMIFS(Data!L:L,Data!$B:$B,$C$2,Data!$C:$C,$F13),"")</f>
        <v>0.7008938252</v>
      </c>
      <c r="K13" s="35">
        <f>IF($G13=1,SUMIFS(Data!J:J,Data!$B:$B,$C$2,Data!$C:$C,$F13),"")</f>
        <v>3.620517951</v>
      </c>
      <c r="L13" s="36">
        <f>IF($G13=1,SUMIFS(Data!F:F,Data!$B:$B,$C$2,Data!$C:$C,$F13),"")</f>
        <v>2863.301667</v>
      </c>
      <c r="M13" s="36">
        <f>IF($G13=1,SUMIFS(Data!M:M,Data!$B:$B,$C$2,Data!$C:$C,$F13),"")</f>
        <v>11.27878256</v>
      </c>
      <c r="N13" s="17"/>
      <c r="O13" s="17"/>
      <c r="P13" s="17"/>
      <c r="Q13" s="45" t="str">
        <f>IFERROR(__xludf.DUMMYFUNCTION("""COMPUTED_VALUE"""),"2020-21")</f>
        <v>2020-21</v>
      </c>
      <c r="R13" s="46">
        <f>IFERROR(__xludf.DUMMYFUNCTION("""COMPUTED_VALUE"""),626.366666666666)</f>
        <v>626.3666667</v>
      </c>
      <c r="S13" s="47">
        <f>IFERROR(__xludf.DUMMYFUNCTION("""COMPUTED_VALUE"""),-0.404414762746688)</f>
        <v>-0.4044147627</v>
      </c>
      <c r="T13" s="47">
        <f>IFERROR(__xludf.DUMMYFUNCTION("""COMPUTED_VALUE"""),-0.0535412023874025)</f>
        <v>-0.05354120239</v>
      </c>
      <c r="U13" s="47">
        <f>IFERROR(__xludf.DUMMYFUNCTION("""COMPUTED_VALUE"""),-0.45795596513409)</f>
        <v>-0.4579559651</v>
      </c>
      <c r="V13" s="46">
        <f>IFERROR(__xludf.DUMMYFUNCTION("""COMPUTED_VALUE"""),0.7723146975562204)</f>
        <v>0.7723146976</v>
      </c>
      <c r="W13" s="48">
        <f>if(R13="","",if(PERCENTRANK(Data!F:F,R13)=1,"👑",if(PERCENTRANK(Data!F:F,R13)=0,"💩",PERCENTRANK(Data!F:F,R13))))</f>
        <v>0.384</v>
      </c>
      <c r="X13" s="48">
        <f>if(S13="","",if(RANK(S13,Data!K:K)=1,"👑",if(PERCENTRANK(Data!K:K,S13)=0,"💩",PERCENTRANK(Data!K:K,S13))))</f>
        <v>0.514</v>
      </c>
      <c r="Y13" s="48">
        <f>if(T13="","",if(RANK(T13,Data!L:L)=1,"👑",if(PERCENTRANK(Data!L:L,T13)=0,"💩",PERCENTRANK(Data!L:L,T13))))</f>
        <v>0.548</v>
      </c>
      <c r="Z13" s="48">
        <f>if(U13="","",if(RANK(U13,Data!J:J)=1,"👑",if(PERCENTRANK(Data!J:J,U13)=0,"💩",PERCENTRANK(Data!J:J,U13))))</f>
        <v>0.555</v>
      </c>
      <c r="AA13" s="48">
        <f>if(V13="","",if(RANK(V13,Data!M:M)=1,"👑",if(PERCENTRANK(Data!M:M,V13)=0,"💩",PERCENTRANK(Data!M:M,V13))))</f>
        <v>0.536</v>
      </c>
      <c r="AB13" s="49" t="str">
        <f>IFERROR(__xludf.DUMMYFUNCTION("if(V13="""","""",if(RANK(V13,filter(Data!M:M,Data!C:C=Q13))&lt;6,""MVP Candidate"",if(RANK(V13,filter(Data!M:M,Data!C:C=Q13))&lt;16,""All NBA"",if(RANK(V13,filter(Data!M:M,Data!C:C=Q13))&lt;25,""All Star"",if(RANK(V13,filter(Data!M:M,Data!C:C=Q13))&lt;151,""Starter"""&amp;",if(RANK(V13,filter(Data!M:M,Data!C:C=Q13))&lt;271,""Rotation"",if(RANK(V13,filter(Data!M:M,Data!C:C=Q13))&lt;361,""Bench"",if(RANK(V13,filter(Data!M:M,Data!C:C=Q13))&gt;360,""Fringe NBA"",""""))))))))"),"Starter")</f>
        <v>Starter</v>
      </c>
      <c r="AC13" s="17"/>
    </row>
    <row r="14">
      <c r="A14" s="17"/>
      <c r="B14" s="17"/>
      <c r="C14" s="17"/>
      <c r="D14" s="17"/>
      <c r="E14" s="17"/>
      <c r="F14" s="53" t="s">
        <v>66</v>
      </c>
      <c r="G14" s="33">
        <f>countifs(Data!B:B,C$2,Data!C:C,F14)</f>
        <v>1</v>
      </c>
      <c r="H14" s="34" t="str">
        <f t="shared" si="1"/>
        <v>2014-15</v>
      </c>
      <c r="I14" s="35">
        <f>IF($G14=1,SUMIFS(Data!K:K,Data!$B:$B,$C$2,Data!$C:$C,$F14),"")</f>
        <v>2.259664023</v>
      </c>
      <c r="J14" s="35">
        <f>IF($G14=1,SUMIFS(Data!L:L,Data!$B:$B,$C$2,Data!$C:$C,$F14),"")</f>
        <v>-0.4177347838</v>
      </c>
      <c r="K14" s="35">
        <f>IF($G14=1,SUMIFS(Data!J:J,Data!$B:$B,$C$2,Data!$C:$C,$F14),"")</f>
        <v>1.84192924</v>
      </c>
      <c r="L14" s="36">
        <f>IF($G14=1,SUMIFS(Data!F:F,Data!$B:$B,$C$2,Data!$C:$C,$F14),"")</f>
        <v>2355.788333</v>
      </c>
      <c r="M14" s="36">
        <f>IF($G14=1,SUMIFS(Data!M:M,Data!$B:$B,$C$2,Data!$C:$C,$F14),"")</f>
        <v>6.543571235</v>
      </c>
      <c r="N14" s="17"/>
      <c r="O14" s="17"/>
      <c r="P14" s="17"/>
      <c r="Q14" s="1"/>
      <c r="R14" s="54"/>
      <c r="S14" s="54"/>
      <c r="T14" s="54"/>
      <c r="U14" s="54"/>
      <c r="V14" s="54"/>
      <c r="W14" s="48" t="str">
        <f>if(R14="","",if(PERCENTRANK(Data!F:F,R14)=1,"👑",if(PERCENTRANK(Data!F:F,R14)=0,"💩",PERCENTRANK(Data!F:F,R14))))</f>
        <v/>
      </c>
      <c r="X14" s="48" t="str">
        <f>if(S14="","",if(RANK(S14,Data!K:K)=1,"👑",if(PERCENTRANK(Data!K:K,S14)=0,"💩",PERCENTRANK(Data!K:K,S14))))</f>
        <v/>
      </c>
      <c r="Y14" s="48" t="str">
        <f>if(T14="","",if(RANK(T14,Data!L:L)=1,"👑",if(PERCENTRANK(Data!L:L,T14)=0,"💩",PERCENTRANK(Data!L:L,T14))))</f>
        <v/>
      </c>
      <c r="Z14" s="48" t="str">
        <f>if(U14="","",if(RANK(U14,Data!J:J)=1,"👑",if(PERCENTRANK(Data!J:J,U14)=0,"💩",PERCENTRANK(Data!J:J,U14))))</f>
        <v/>
      </c>
      <c r="AA14" s="48" t="str">
        <f>if(V14="","",if(RANK(V14,Data!M:M)=1,"👑",if(PERCENTRANK(Data!M:M,V14)=0,"💩",PERCENTRANK(Data!M:M,V14))))</f>
        <v/>
      </c>
      <c r="AB14" s="49" t="str">
        <f>IFERROR(__xludf.DUMMYFUNCTION("if(V14="""","""",if(RANK(V14,filter(Data!M:M,Data!C:C=Q14))&lt;6,""MVP Candidate"",if(RANK(V14,filter(Data!M:M,Data!C:C=Q14))&lt;16,""All NBA"",if(RANK(V14,filter(Data!M:M,Data!C:C=Q14))&lt;25,""All Star"",if(RANK(V14,filter(Data!M:M,Data!C:C=Q14))&lt;151,""Starter"""&amp;",if(RANK(V14,filter(Data!M:M,Data!C:C=Q14))&lt;271,""Rotation"",if(RANK(V14,filter(Data!M:M,Data!C:C=Q14))&lt;361,""Bench"",if(RANK(V14,filter(Data!M:M,Data!C:C=Q14))&gt;360,""Fringe NBA"",""""))))))))"),"")</f>
        <v/>
      </c>
      <c r="AC14" s="17"/>
    </row>
    <row r="15">
      <c r="A15" s="17"/>
      <c r="B15" s="17"/>
      <c r="C15" s="17"/>
      <c r="D15" s="17"/>
      <c r="E15" s="17"/>
      <c r="F15" s="53" t="s">
        <v>67</v>
      </c>
      <c r="G15" s="33">
        <f>countifs(Data!B:B,C$2,Data!C:C,F15)</f>
        <v>1</v>
      </c>
      <c r="H15" s="34" t="str">
        <f t="shared" si="1"/>
        <v>2015-16</v>
      </c>
      <c r="I15" s="35">
        <f>IF($G15=1,SUMIFS(Data!K:K,Data!$B:$B,$C$2,Data!$C:$C,$F15),"")</f>
        <v>0.8293508556</v>
      </c>
      <c r="J15" s="35">
        <f>IF($G15=1,SUMIFS(Data!L:L,Data!$B:$B,$C$2,Data!$C:$C,$F15),"")</f>
        <v>0.1923768173</v>
      </c>
      <c r="K15" s="35">
        <f>IF($G15=1,SUMIFS(Data!J:J,Data!$B:$B,$C$2,Data!$C:$C,$F15),"")</f>
        <v>1.021727673</v>
      </c>
      <c r="L15" s="36">
        <f>IF($G15=1,SUMIFS(Data!F:F,Data!$B:$B,$C$2,Data!$C:$C,$F15),"")</f>
        <v>1170.281667</v>
      </c>
      <c r="M15" s="36">
        <f>IF($G15=1,SUMIFS(Data!M:M,Data!$B:$B,$C$2,Data!$C:$C,$F15),"")</f>
        <v>2.609152144</v>
      </c>
      <c r="N15" s="17"/>
      <c r="O15" s="17"/>
      <c r="P15" s="17"/>
      <c r="Q15" s="1"/>
      <c r="R15" s="54"/>
      <c r="S15" s="54"/>
      <c r="T15" s="54"/>
      <c r="U15" s="54"/>
      <c r="V15" s="54"/>
      <c r="W15" s="48" t="str">
        <f>if(R15="","",if(PERCENTRANK(Data!F:F,R15)=1,"👑",if(PERCENTRANK(Data!F:F,R15)=0,"💩",PERCENTRANK(Data!F:F,R15))))</f>
        <v/>
      </c>
      <c r="X15" s="48" t="str">
        <f>if(S15="","",if(RANK(S15,Data!K:K)=1,"👑",if(PERCENTRANK(Data!K:K,S15)=0,"💩",PERCENTRANK(Data!K:K,S15))))</f>
        <v/>
      </c>
      <c r="Y15" s="48" t="str">
        <f>if(T15="","",if(RANK(T15,Data!L:L)=1,"👑",if(PERCENTRANK(Data!L:L,T15)=0,"💩",PERCENTRANK(Data!L:L,T15))))</f>
        <v/>
      </c>
      <c r="Z15" s="48" t="str">
        <f>if(U15="","",if(RANK(U15,Data!J:J)=1,"👑",if(PERCENTRANK(Data!J:J,U15)=0,"💩",PERCENTRANK(Data!J:J,U15))))</f>
        <v/>
      </c>
      <c r="AA15" s="48" t="str">
        <f>if(V15="","",if(RANK(V15,Data!M:M)=1,"👑",if(PERCENTRANK(Data!M:M,V15)=0,"💩",PERCENTRANK(Data!M:M,V15))))</f>
        <v/>
      </c>
      <c r="AB15" s="49" t="str">
        <f>IFERROR(__xludf.DUMMYFUNCTION("if(V15="""","""",if(RANK(V15,filter(Data!M:M,Data!C:C=Q15))&lt;6,""MVP Candidate"",if(RANK(V15,filter(Data!M:M,Data!C:C=Q15))&lt;16,""All NBA"",if(RANK(V15,filter(Data!M:M,Data!C:C=Q15))&lt;25,""All Star"",if(RANK(V15,filter(Data!M:M,Data!C:C=Q15))&lt;151,""Starter"""&amp;",if(RANK(V15,filter(Data!M:M,Data!C:C=Q15))&lt;271,""Rotation"",if(RANK(V15,filter(Data!M:M,Data!C:C=Q15))&lt;361,""Bench"",if(RANK(V15,filter(Data!M:M,Data!C:C=Q15))&gt;360,""Fringe NBA"",""""))))))))"),"")</f>
        <v/>
      </c>
      <c r="AC15" s="17"/>
    </row>
    <row r="16">
      <c r="A16" s="17"/>
      <c r="B16" s="17"/>
      <c r="C16" s="17"/>
      <c r="D16" s="17"/>
      <c r="E16" s="17"/>
      <c r="F16" s="53" t="s">
        <v>68</v>
      </c>
      <c r="G16" s="33">
        <f>countifs(Data!B:B,C$2,Data!C:C,F16)</f>
        <v>1</v>
      </c>
      <c r="H16" s="34" t="str">
        <f t="shared" si="1"/>
        <v>2016-17</v>
      </c>
      <c r="I16" s="35">
        <f>IF($G16=1,SUMIFS(Data!K:K,Data!$B:$B,$C$2,Data!$C:$C,$F16),"")</f>
        <v>2.47607328</v>
      </c>
      <c r="J16" s="35">
        <f>IF($G16=1,SUMIFS(Data!L:L,Data!$B:$B,$C$2,Data!$C:$C,$F16),"")</f>
        <v>0.2968390481</v>
      </c>
      <c r="K16" s="35">
        <f>IF($G16=1,SUMIFS(Data!J:J,Data!$B:$B,$C$2,Data!$C:$C,$F16),"")</f>
        <v>2.772912328</v>
      </c>
      <c r="L16" s="36">
        <f>IF($G16=1,SUMIFS(Data!F:F,Data!$B:$B,$C$2,Data!$C:$C,$F16),"")</f>
        <v>2076.176667</v>
      </c>
      <c r="M16" s="36">
        <f>IF($G16=1,SUMIFS(Data!M:M,Data!$B:$B,$C$2,Data!$C:$C,$F16),"")</f>
        <v>7.041185655</v>
      </c>
      <c r="N16" s="17"/>
      <c r="O16" s="17"/>
      <c r="P16" s="17"/>
      <c r="Q16" s="1"/>
      <c r="R16" s="54"/>
      <c r="S16" s="54"/>
      <c r="T16" s="54"/>
      <c r="U16" s="54"/>
      <c r="V16" s="54"/>
      <c r="W16" s="48" t="str">
        <f>if(R16="","",if(PERCENTRANK(Data!F:F,R16)=1,"👑",if(PERCENTRANK(Data!F:F,R16)=0,"💩",PERCENTRANK(Data!F:F,R16))))</f>
        <v/>
      </c>
      <c r="X16" s="48" t="str">
        <f>if(S16="","",if(RANK(S16,Data!K:K)=1,"👑",if(PERCENTRANK(Data!K:K,S16)=0,"💩",PERCENTRANK(Data!K:K,S16))))</f>
        <v/>
      </c>
      <c r="Y16" s="48" t="str">
        <f>if(T16="","",if(RANK(T16,Data!L:L)=1,"👑",if(PERCENTRANK(Data!L:L,T16)=0,"💩",PERCENTRANK(Data!L:L,T16))))</f>
        <v/>
      </c>
      <c r="Z16" s="48" t="str">
        <f>if(U16="","",if(RANK(U16,Data!J:J)=1,"👑",if(PERCENTRANK(Data!J:J,U16)=0,"💩",PERCENTRANK(Data!J:J,U16))))</f>
        <v/>
      </c>
      <c r="AA16" s="48" t="str">
        <f>if(V16="","",if(RANK(V16,Data!M:M)=1,"👑",if(PERCENTRANK(Data!M:M,V16)=0,"💩",PERCENTRANK(Data!M:M,V16))))</f>
        <v/>
      </c>
      <c r="AB16" s="49" t="str">
        <f>IFERROR(__xludf.DUMMYFUNCTION("if(V16="""","""",if(RANK(V16,filter(Data!M:M,Data!C:C=Q16))&lt;6,""MVP Candidate"",if(RANK(V16,filter(Data!M:M,Data!C:C=Q16))&lt;16,""All NBA"",if(RANK(V16,filter(Data!M:M,Data!C:C=Q16))&lt;25,""All Star"",if(RANK(V16,filter(Data!M:M,Data!C:C=Q16))&lt;151,""Starter"""&amp;",if(RANK(V16,filter(Data!M:M,Data!C:C=Q16))&lt;271,""Rotation"",if(RANK(V16,filter(Data!M:M,Data!C:C=Q16))&lt;361,""Bench"",if(RANK(V16,filter(Data!M:M,Data!C:C=Q16))&gt;360,""Fringe NBA"",""""))))))))"),"")</f>
        <v/>
      </c>
      <c r="AC16" s="17"/>
    </row>
    <row r="17">
      <c r="A17" s="17"/>
      <c r="B17" s="17"/>
      <c r="C17" s="17"/>
      <c r="D17" s="17"/>
      <c r="E17" s="17"/>
      <c r="F17" s="53" t="s">
        <v>69</v>
      </c>
      <c r="G17" s="33">
        <f>countifs(Data!B:B,C$2,Data!C:C,F17)</f>
        <v>1</v>
      </c>
      <c r="H17" s="34" t="str">
        <f t="shared" si="1"/>
        <v>2017-18</v>
      </c>
      <c r="I17" s="35">
        <f>IF($G17=1,SUMIFS(Data!K:K,Data!$B:$B,$C$2,Data!$C:$C,$F17),"")</f>
        <v>1.349614354</v>
      </c>
      <c r="J17" s="35">
        <f>IF($G17=1,SUMIFS(Data!L:L,Data!$B:$B,$C$2,Data!$C:$C,$F17),"")</f>
        <v>-0.8104653837</v>
      </c>
      <c r="K17" s="35">
        <f>IF($G17=1,SUMIFS(Data!J:J,Data!$B:$B,$C$2,Data!$C:$C,$F17),"")</f>
        <v>0.53914897</v>
      </c>
      <c r="L17" s="36">
        <f>IF($G17=1,SUMIFS(Data!F:F,Data!$B:$B,$C$2,Data!$C:$C,$F17),"")</f>
        <v>1969.821667</v>
      </c>
      <c r="M17" s="36">
        <f>IF($G17=1,SUMIFS(Data!M:M,Data!$B:$B,$C$2,Data!$C:$C,$F17),"")</f>
        <v>3.752527416</v>
      </c>
      <c r="N17" s="17"/>
      <c r="O17" s="17"/>
      <c r="P17" s="17"/>
      <c r="Q17" s="45"/>
      <c r="R17" s="54"/>
      <c r="S17" s="54"/>
      <c r="T17" s="54"/>
      <c r="U17" s="54"/>
      <c r="V17" s="54"/>
      <c r="W17" s="48" t="str">
        <f>if(R17="","",if(PERCENTRANK(Data!F:F,R17)=1,"👑",if(PERCENTRANK(Data!F:F,R17)=0,"💩",PERCENTRANK(Data!F:F,R17))))</f>
        <v/>
      </c>
      <c r="X17" s="48" t="str">
        <f>if(S17="","",if(RANK(S17,Data!K:K)=1,"👑",if(PERCENTRANK(Data!K:K,S17)=0,"💩",PERCENTRANK(Data!K:K,S17))))</f>
        <v/>
      </c>
      <c r="Y17" s="48" t="str">
        <f>if(T17="","",if(RANK(T17,Data!L:L)=1,"👑",if(PERCENTRANK(Data!L:L,T17)=0,"💩",PERCENTRANK(Data!L:L,T17))))</f>
        <v/>
      </c>
      <c r="Z17" s="48" t="str">
        <f>if(U17="","",if(RANK(U17,Data!J:J)=1,"👑",if(PERCENTRANK(Data!J:J,U17)=0,"💩",PERCENTRANK(Data!J:J,U17))))</f>
        <v/>
      </c>
      <c r="AA17" s="48" t="str">
        <f>if(V17="","",if(RANK(V17,Data!M:M)=1,"👑",if(PERCENTRANK(Data!M:M,V17)=0,"💩",PERCENTRANK(Data!M:M,V17))))</f>
        <v/>
      </c>
      <c r="AB17" s="49" t="str">
        <f>IFERROR(__xludf.DUMMYFUNCTION("if(V17="""","""",if(RANK(V17,filter(Data!M:M,Data!C:C=Q17))&lt;6,""MVP Candidate"",if(RANK(V17,filter(Data!M:M,Data!C:C=Q17))&lt;16,""All NBA"",if(RANK(V17,filter(Data!M:M,Data!C:C=Q17))&lt;25,""All Star"",if(RANK(V17,filter(Data!M:M,Data!C:C=Q17))&lt;151,""Starter"""&amp;",if(RANK(V17,filter(Data!M:M,Data!C:C=Q17))&lt;271,""Rotation"",if(RANK(V17,filter(Data!M:M,Data!C:C=Q17))&lt;361,""Bench"",if(RANK(V17,filter(Data!M:M,Data!C:C=Q17))&gt;360,""Fringe NBA"",""""))))))))"),"")</f>
        <v/>
      </c>
      <c r="AC17" s="17"/>
    </row>
    <row r="18">
      <c r="A18" s="17"/>
      <c r="B18" s="17"/>
      <c r="C18" s="17"/>
      <c r="D18" s="17"/>
      <c r="E18" s="17"/>
      <c r="F18" s="53" t="s">
        <v>70</v>
      </c>
      <c r="G18" s="33">
        <f>countifs(Data!B:B,C$2,Data!C:C,F18)</f>
        <v>1</v>
      </c>
      <c r="H18" s="34" t="str">
        <f t="shared" si="1"/>
        <v>2018-19</v>
      </c>
      <c r="I18" s="35">
        <f>IF($G18=1,SUMIFS(Data!K:K,Data!$B:$B,$C$2,Data!$C:$C,$F18),"")</f>
        <v>1.782580822</v>
      </c>
      <c r="J18" s="35">
        <f>IF($G18=1,SUMIFS(Data!L:L,Data!$B:$B,$C$2,Data!$C:$C,$F18),"")</f>
        <v>0.1087920378</v>
      </c>
      <c r="K18" s="35">
        <f>IF($G18=1,SUMIFS(Data!J:J,Data!$B:$B,$C$2,Data!$C:$C,$F18),"")</f>
        <v>1.89137286</v>
      </c>
      <c r="L18" s="36">
        <f>IF($G18=1,SUMIFS(Data!F:F,Data!$B:$B,$C$2,Data!$C:$C,$F18),"")</f>
        <v>2622.333333</v>
      </c>
      <c r="M18" s="36">
        <f>IF($G18=1,SUMIFS(Data!M:M,Data!$B:$B,$C$2,Data!$C:$C,$F18),"")</f>
        <v>7.370098334</v>
      </c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48"/>
      <c r="Z18" s="17"/>
      <c r="AA18" s="17"/>
      <c r="AB18" s="17"/>
      <c r="AC18" s="17"/>
    </row>
    <row r="19" hidden="1">
      <c r="A19" s="17"/>
      <c r="B19" s="17"/>
      <c r="C19" s="17"/>
      <c r="D19" s="17"/>
      <c r="E19" s="17"/>
      <c r="F19" s="53" t="s">
        <v>71</v>
      </c>
      <c r="G19" s="33">
        <f>countifs(Data!B:B,C$2,Data!C:C,F19)</f>
        <v>1</v>
      </c>
      <c r="H19" s="34" t="str">
        <f t="shared" si="1"/>
        <v>2019-20</v>
      </c>
      <c r="I19" s="35">
        <f>IF($G19=1,SUMIFS(Data!K:K,Data!$B:$B,$C$2,Data!$C:$C,$F19),"")</f>
        <v>1.506823026</v>
      </c>
      <c r="J19" s="35">
        <f>IF($G19=1,SUMIFS(Data!L:L,Data!$B:$B,$C$2,Data!$C:$C,$F19),"")</f>
        <v>-0.7872856985</v>
      </c>
      <c r="K19" s="35">
        <f>IF($G19=1,SUMIFS(Data!J:J,Data!$B:$B,$C$2,Data!$C:$C,$F19),"")</f>
        <v>0.7195373279</v>
      </c>
      <c r="L19" s="36">
        <f>IF($G19=1,SUMIFS(Data!F:F,Data!$B:$B,$C$2,Data!$C:$C,$F19),"")</f>
        <v>512.28</v>
      </c>
      <c r="M19" s="36">
        <f>IF($G19=1,SUMIFS(Data!M:M,Data!$B:$B,$C$2,Data!$C:$C,$F19),"")</f>
        <v>1.038095875</v>
      </c>
      <c r="N19" s="17"/>
      <c r="O19" s="17"/>
      <c r="P19" s="17"/>
      <c r="Q19" s="53" t="s">
        <v>72</v>
      </c>
      <c r="R19" s="55">
        <f>MIN(Data!F:F)</f>
        <v>0.5166666667</v>
      </c>
      <c r="S19" s="56">
        <f>MIN(Data!J:J)</f>
        <v>-4.782766307</v>
      </c>
      <c r="T19" s="56">
        <f>MIN(Data!K:K)</f>
        <v>-4.322019044</v>
      </c>
      <c r="U19" s="56">
        <f>MIN(Data!L:L)</f>
        <v>-3.637442967</v>
      </c>
      <c r="V19" s="56">
        <f>MIN(Data!M:M)</f>
        <v>-3.532982785</v>
      </c>
      <c r="W19" s="17"/>
      <c r="X19" s="53">
        <v>1.0</v>
      </c>
      <c r="Y19" s="17"/>
      <c r="Z19" s="17"/>
      <c r="AA19" s="17"/>
      <c r="AB19" s="17"/>
      <c r="AC19" s="17"/>
    </row>
    <row r="20" hidden="1">
      <c r="A20" s="17"/>
      <c r="B20" s="17"/>
      <c r="C20" s="17"/>
      <c r="D20" s="17"/>
      <c r="E20" s="17"/>
      <c r="F20" s="53" t="s">
        <v>13</v>
      </c>
      <c r="G20" s="33">
        <f>countifs(Data!B:B,C$2,Data!C:C,F20)</f>
        <v>1</v>
      </c>
      <c r="H20" s="34" t="str">
        <f t="shared" si="1"/>
        <v>2020-21</v>
      </c>
      <c r="I20" s="35">
        <f>IF($G20=1,SUMIFS(Data!K:K,Data!$B:$B,$C$2,Data!$C:$C,$F20),"")</f>
        <v>-0.4044147627</v>
      </c>
      <c r="J20" s="35">
        <f>IF($G20=1,SUMIFS(Data!L:L,Data!$B:$B,$C$2,Data!$C:$C,$F20),"")</f>
        <v>-0.05354120239</v>
      </c>
      <c r="K20" s="35">
        <f>IF($G20=1,SUMIFS(Data!J:J,Data!$B:$B,$C$2,Data!$C:$C,$F20),"")</f>
        <v>-0.4579559651</v>
      </c>
      <c r="L20" s="36">
        <f>IF($G20=1,SUMIFS(Data!F:F,Data!$B:$B,$C$2,Data!$C:$C,$F20),"")</f>
        <v>626.3666667</v>
      </c>
      <c r="M20" s="36">
        <f>IF($G20=1,SUMIFS(Data!M:M,Data!$B:$B,$C$2,Data!$C:$C,$F20),"")</f>
        <v>0.7723146976</v>
      </c>
      <c r="N20" s="17"/>
      <c r="O20" s="17"/>
      <c r="P20" s="17"/>
      <c r="Q20" s="53" t="s">
        <v>73</v>
      </c>
      <c r="R20" s="55">
        <f>MAX(Data!F:F)</f>
        <v>3124.635</v>
      </c>
      <c r="S20" s="56">
        <f>MAX(Data!J:J)</f>
        <v>9.119122301</v>
      </c>
      <c r="T20" s="56">
        <f>MAX(Data!K:K)</f>
        <v>6.743428076</v>
      </c>
      <c r="U20" s="56">
        <f>MAX(Data!L:L)</f>
        <v>4.523460958</v>
      </c>
      <c r="V20" s="56">
        <f>MAX(Data!M:M)</f>
        <v>18.15807429</v>
      </c>
      <c r="W20" s="17"/>
      <c r="X20" s="53">
        <v>0.0</v>
      </c>
      <c r="Y20" s="17"/>
      <c r="Z20" s="17"/>
      <c r="AA20" s="17"/>
      <c r="AB20" s="17"/>
      <c r="AC20" s="17"/>
    </row>
    <row r="2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36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57" t="s">
        <v>74</v>
      </c>
      <c r="AC21" s="17"/>
    </row>
    <row r="2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36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58" t="s">
        <v>75</v>
      </c>
      <c r="AC22" s="17"/>
    </row>
    <row r="2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58" t="s">
        <v>76</v>
      </c>
      <c r="AC23" s="17"/>
    </row>
    <row r="24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58" t="s">
        <v>77</v>
      </c>
      <c r="AC24" s="17"/>
    </row>
    <row r="2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58" t="s">
        <v>78</v>
      </c>
      <c r="AC25" s="17"/>
    </row>
    <row r="26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58" t="s">
        <v>79</v>
      </c>
      <c r="AC26" s="17"/>
    </row>
    <row r="27">
      <c r="A27" s="17"/>
      <c r="B27" s="59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58" t="s">
        <v>80</v>
      </c>
      <c r="AC27" s="17"/>
    </row>
    <row r="28">
      <c r="A28" s="17"/>
      <c r="B28" s="59" t="s">
        <v>81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58" t="s">
        <v>82</v>
      </c>
      <c r="AC28" s="17"/>
    </row>
    <row r="29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60"/>
      <c r="AA29" s="17"/>
      <c r="AB29" s="17"/>
      <c r="AC29" s="17"/>
    </row>
    <row r="3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60"/>
      <c r="AA30" s="17"/>
      <c r="AB30" s="17"/>
      <c r="AC30" s="17"/>
    </row>
  </sheetData>
  <mergeCells count="4">
    <mergeCell ref="Q2:U2"/>
    <mergeCell ref="B4:O4"/>
    <mergeCell ref="R4:U4"/>
    <mergeCell ref="W4:AA4"/>
  </mergeCells>
  <conditionalFormatting sqref="S6:S20">
    <cfRule type="colorScale" priority="1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T6:T20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U6:U20">
    <cfRule type="colorScale" priority="3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R6:R20">
    <cfRule type="colorScale" priority="4">
      <colorScale>
        <cfvo type="min"/>
        <cfvo type="max"/>
        <color rgb="FFFFFFFF"/>
        <color rgb="FFFFD666"/>
      </colorScale>
    </cfRule>
  </conditionalFormatting>
  <conditionalFormatting sqref="W6:AB20">
    <cfRule type="colorScale" priority="5">
      <colorScale>
        <cfvo type="formula" val="0"/>
        <cfvo type="formula" val="0.5"/>
        <cfvo type="formula" val="1"/>
        <color rgb="FFE67C73"/>
        <color rgb="FFFFFFFF"/>
        <color rgb="FF57BB8A"/>
      </colorScale>
    </cfRule>
  </conditionalFormatting>
  <conditionalFormatting sqref="W6:AB20">
    <cfRule type="containsText" dxfId="0" priority="6" operator="containsText" text="💩">
      <formula>NOT(ISERROR(SEARCH(("💩"),(W6))))</formula>
    </cfRule>
  </conditionalFormatting>
  <conditionalFormatting sqref="W6:AB20">
    <cfRule type="containsText" dxfId="1" priority="7" operator="containsText" text="👑">
      <formula>NOT(ISERROR(SEARCH(("👑"),(W6))))</formula>
    </cfRule>
  </conditionalFormatting>
  <conditionalFormatting sqref="V6:V20">
    <cfRule type="colorScale" priority="8">
      <colorScale>
        <cfvo type="min"/>
        <cfvo type="formula" val="0"/>
        <cfvo type="max"/>
        <color rgb="FFE67C73"/>
        <color rgb="FFFFFFFF"/>
        <color rgb="FF57BB8A"/>
      </colorScale>
    </cfRule>
  </conditionalFormatting>
  <dataValidations>
    <dataValidation type="list" allowBlank="1" showErrorMessage="1" sqref="C2">
      <formula1>Data!$B$2:$B30</formula1>
    </dataValidation>
  </dataValidations>
  <hyperlinks>
    <hyperlink r:id="rId2" ref="Q2"/>
  </hyperlinks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3.29"/>
    <col customWidth="1" min="2" max="2" width="14.86"/>
    <col customWidth="1" min="3" max="3" width="40.0"/>
    <col customWidth="1" min="5" max="5" width="17.71"/>
    <col customWidth="1" hidden="1" min="6" max="13" width="17.71"/>
    <col customWidth="1" min="14" max="15" width="17.71"/>
    <col customWidth="1" min="16" max="16" width="3.29"/>
    <col customWidth="1" min="17" max="17" width="12.29"/>
    <col customWidth="1" min="18" max="21" width="16.86"/>
    <col customWidth="1" min="22" max="22" width="17.57"/>
    <col customWidth="1" min="23" max="27" width="16.86"/>
    <col customWidth="1" min="28" max="28" width="25.71"/>
    <col customWidth="1" min="29" max="29" width="11.57"/>
  </cols>
  <sheetData>
    <row r="1" ht="7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</row>
    <row r="2">
      <c r="A2" s="17"/>
      <c r="B2" s="18" t="s">
        <v>51</v>
      </c>
      <c r="C2" s="61" t="s">
        <v>90</v>
      </c>
      <c r="D2" s="20"/>
      <c r="E2" s="21" t="s">
        <v>8</v>
      </c>
      <c r="F2" s="22"/>
      <c r="G2" s="22"/>
      <c r="H2" s="23"/>
      <c r="I2" s="24"/>
      <c r="J2" s="24"/>
      <c r="K2" s="24"/>
      <c r="L2" s="25"/>
      <c r="M2" s="25"/>
      <c r="N2" s="26" t="s">
        <v>9</v>
      </c>
      <c r="O2" s="27" t="s">
        <v>10</v>
      </c>
      <c r="P2" s="17"/>
      <c r="Q2" s="28" t="s">
        <v>53</v>
      </c>
      <c r="V2" s="29"/>
      <c r="W2" s="17"/>
      <c r="X2" s="17"/>
      <c r="Y2" s="17"/>
      <c r="Z2" s="17"/>
      <c r="AA2" s="17"/>
      <c r="AB2" s="17"/>
      <c r="AC2" s="17"/>
    </row>
    <row r="3" ht="7.5" customHeight="1">
      <c r="A3" s="17"/>
      <c r="B3" s="30"/>
      <c r="C3" s="30"/>
      <c r="D3" s="31"/>
      <c r="E3" s="31"/>
      <c r="F3" s="32"/>
      <c r="G3" s="33"/>
      <c r="H3" s="34"/>
      <c r="I3" s="35"/>
      <c r="J3" s="35"/>
      <c r="K3" s="35"/>
      <c r="L3" s="36"/>
      <c r="M3" s="36"/>
      <c r="N3" s="17"/>
      <c r="O3" s="3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</row>
    <row r="4">
      <c r="A4" s="17"/>
      <c r="B4" s="38" t="str">
        <f>"LEBRON Impact Data for "&amp;C2</f>
        <v>LEBRON Impact Data for Tim Duncan</v>
      </c>
      <c r="P4" s="17"/>
      <c r="Q4" s="17"/>
      <c r="R4" s="39" t="s">
        <v>54</v>
      </c>
      <c r="V4" s="39"/>
      <c r="W4" s="39" t="s">
        <v>55</v>
      </c>
      <c r="AB4" s="39"/>
      <c r="AC4" s="17"/>
    </row>
    <row r="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40" t="s">
        <v>12</v>
      </c>
      <c r="R5" s="40" t="s">
        <v>4</v>
      </c>
      <c r="S5" s="41" t="s">
        <v>9</v>
      </c>
      <c r="T5" s="42" t="s">
        <v>10</v>
      </c>
      <c r="U5" s="43" t="s">
        <v>8</v>
      </c>
      <c r="V5" s="44" t="s">
        <v>11</v>
      </c>
      <c r="W5" s="40" t="s">
        <v>4</v>
      </c>
      <c r="X5" s="41" t="s">
        <v>9</v>
      </c>
      <c r="Y5" s="42" t="s">
        <v>10</v>
      </c>
      <c r="Z5" s="43" t="s">
        <v>8</v>
      </c>
      <c r="AA5" s="44" t="s">
        <v>11</v>
      </c>
      <c r="AB5" s="44" t="s">
        <v>56</v>
      </c>
      <c r="AC5" s="17"/>
    </row>
    <row r="6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45" t="str">
        <f>IFERROR(__xludf.DUMMYFUNCTION("filter(H9:H20,L9:L20&lt;&gt;"""")"),"2013-14")</f>
        <v>2013-14</v>
      </c>
      <c r="R6" s="46">
        <f>IFERROR(__xludf.DUMMYFUNCTION("filter(L9:L20,L9:L20&lt;&gt;"""")"),2158.15833333333)</f>
        <v>2158.158333</v>
      </c>
      <c r="S6" s="47">
        <f>IFERROR(__xludf.DUMMYFUNCTION("filter(I9:K20,L9:L20&lt;&gt;"""")"),0.222172701048431)</f>
        <v>0.222172701</v>
      </c>
      <c r="T6" s="47">
        <f>IFERROR(__xludf.DUMMYFUNCTION("""COMPUTED_VALUE"""),3.13408254411159)</f>
        <v>3.134082544</v>
      </c>
      <c r="U6" s="47">
        <f>IFERROR(__xludf.DUMMYFUNCTION("""COMPUTED_VALUE"""),3.35625524516002)</f>
        <v>3.356255245</v>
      </c>
      <c r="V6" s="46">
        <f>IFERROR(__xludf.DUMMYFUNCTION("filter(M9:M20,L9:L20&lt;&gt;"""")"),8.135528200093455)</f>
        <v>8.1355282</v>
      </c>
      <c r="W6" s="48">
        <f>if(R6="","",if(PERCENTRANK(Data!F:F,R6)=1,"👑",if(PERCENTRANK(Data!F:F,R6)=0,"💩",PERCENTRANK(Data!F:F,R6))))</f>
        <v>0.87</v>
      </c>
      <c r="X6" s="48">
        <f>if(S6="","",if(RANK(S6,Data!K:K)=1,"👑",if(PERCENTRANK(Data!K:K,S6)=0,"💩",PERCENTRANK(Data!K:K,S6))))</f>
        <v>0.759</v>
      </c>
      <c r="Y6" s="48">
        <f>if(T6="","",if(RANK(T6,Data!L:L)=1,"👑",if(PERCENTRANK(Data!L:L,T6)=0,"💩",PERCENTRANK(Data!L:L,T6))))</f>
        <v>0.991</v>
      </c>
      <c r="Z6" s="48">
        <f>if(U6="","",if(RANK(U6,Data!J:J)=1,"👑",if(PERCENTRANK(Data!J:J,U6)=0,"💩",PERCENTRANK(Data!J:J,U6))))</f>
        <v>0.965</v>
      </c>
      <c r="AA6" s="48">
        <f>if(V6="","",if(RANK(V6,Data!M:M)=1,"👑",if(PERCENTRANK(Data!M:M,V6)=0,"💩",PERCENTRANK(Data!M:M,V6))))</f>
        <v>0.961</v>
      </c>
      <c r="AB6" s="49" t="str">
        <f>IFERROR(__xludf.DUMMYFUNCTION("if(V6="""","""",if(RANK(V6,filter(Data!M:M,Data!C:C=Q6))&lt;6,""MVP Candidate"",if(RANK(V6,filter(Data!M:M,Data!C:C=Q6))&lt;16,""All NBA"",if(RANK(V6,filter(Data!M:M,Data!C:C=Q6))&lt;25,""All Star"",if(RANK(V6,filter(Data!M:M,Data!C:C=Q6))&lt;151,""Starter"",if(RANK("&amp;"V6,filter(Data!M:M,Data!C:C=Q6))&lt;271,""Rotation"",if(RANK(V6,filter(Data!M:M,Data!C:C=Q6))&lt;361,""Bench"",if(RANK(V6,filter(Data!M:M,Data!C:C=Q6))&gt;360,""Fringe NBA"",""""))))))))"),"Starter")</f>
        <v>Starter</v>
      </c>
      <c r="AC6" s="17"/>
    </row>
    <row r="7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45" t="str">
        <f>IFERROR(__xludf.DUMMYFUNCTION("""COMPUTED_VALUE"""),"2014-15")</f>
        <v>2014-15</v>
      </c>
      <c r="R7" s="46">
        <f>IFERROR(__xludf.DUMMYFUNCTION("""COMPUTED_VALUE"""),2226.80166666667)</f>
        <v>2226.801667</v>
      </c>
      <c r="S7" s="47">
        <f>IFERROR(__xludf.DUMMYFUNCTION("""COMPUTED_VALUE"""),0.45715118153585)</f>
        <v>0.4571511815</v>
      </c>
      <c r="T7" s="47">
        <f>IFERROR(__xludf.DUMMYFUNCTION("""COMPUTED_VALUE"""),3.60095245733431)</f>
        <v>3.600952457</v>
      </c>
      <c r="U7" s="47">
        <f>IFERROR(__xludf.DUMMYFUNCTION("""COMPUTED_VALUE"""),4.05810363887016)</f>
        <v>4.058103639</v>
      </c>
      <c r="V7" s="46">
        <f>IFERROR(__xludf.DUMMYFUNCTION("""COMPUTED_VALUE"""),9.389700832891107)</f>
        <v>9.389700833</v>
      </c>
      <c r="W7" s="48">
        <f>if(R7="","",if(PERCENTRANK(Data!F:F,R7)=1,"👑",if(PERCENTRANK(Data!F:F,R7)=0,"💩",PERCENTRANK(Data!F:F,R7))))</f>
        <v>0.887</v>
      </c>
      <c r="X7" s="48">
        <f>if(S7="","",if(RANK(S7,Data!K:K)=1,"👑",if(PERCENTRANK(Data!K:K,S7)=0,"💩",PERCENTRANK(Data!K:K,S7))))</f>
        <v>0.802</v>
      </c>
      <c r="Y7" s="48">
        <f>if(T7="","",if(RANK(T7,Data!L:L)=1,"👑",if(PERCENTRANK(Data!L:L,T7)=0,"💩",PERCENTRANK(Data!L:L,T7))))</f>
        <v>0.996</v>
      </c>
      <c r="Z7" s="48">
        <f>if(U7="","",if(RANK(U7,Data!J:J)=1,"👑",if(PERCENTRANK(Data!J:J,U7)=0,"💩",PERCENTRANK(Data!J:J,U7))))</f>
        <v>0.977</v>
      </c>
      <c r="AA7" s="48">
        <f>if(V7="","",if(RANK(V7,Data!M:M)=1,"👑",if(PERCENTRANK(Data!M:M,V7)=0,"💩",PERCENTRANK(Data!M:M,V7))))</f>
        <v>0.974</v>
      </c>
      <c r="AB7" s="49" t="str">
        <f>IFERROR(__xludf.DUMMYFUNCTION("if(V7="""","""",if(RANK(V7,filter(Data!M:M,Data!C:C=Q7))&lt;6,""MVP Candidate"",if(RANK(V7,filter(Data!M:M,Data!C:C=Q7))&lt;16,""All NBA"",if(RANK(V7,filter(Data!M:M,Data!C:C=Q7))&lt;25,""All Star"",if(RANK(V7,filter(Data!M:M,Data!C:C=Q7))&lt;151,""Starter"",if(RANK("&amp;"V7,filter(Data!M:M,Data!C:C=Q7))&lt;271,""Rotation"",if(RANK(V7,filter(Data!M:M,Data!C:C=Q7))&lt;361,""Bench"",if(RANK(V7,filter(Data!M:M,Data!C:C=Q7))&gt;360,""Fringe NBA"",""""))))))))"),"All Star")</f>
        <v>All Star</v>
      </c>
      <c r="AC7" s="17"/>
    </row>
    <row r="8">
      <c r="A8" s="17"/>
      <c r="B8" s="17"/>
      <c r="C8" s="17"/>
      <c r="D8" s="17"/>
      <c r="E8" s="17"/>
      <c r="F8" s="33" t="s">
        <v>12</v>
      </c>
      <c r="G8" s="33" t="s">
        <v>57</v>
      </c>
      <c r="H8" s="50" t="s">
        <v>12</v>
      </c>
      <c r="I8" s="51" t="s">
        <v>58</v>
      </c>
      <c r="J8" s="51" t="s">
        <v>59</v>
      </c>
      <c r="K8" s="51" t="s">
        <v>60</v>
      </c>
      <c r="L8" s="33" t="s">
        <v>4</v>
      </c>
      <c r="M8" s="52" t="s">
        <v>11</v>
      </c>
      <c r="N8" s="17"/>
      <c r="O8" s="17"/>
      <c r="P8" s="17"/>
      <c r="Q8" s="45" t="str">
        <f>IFERROR(__xludf.DUMMYFUNCTION("""COMPUTED_VALUE"""),"2015-16")</f>
        <v>2015-16</v>
      </c>
      <c r="R8" s="46">
        <f>IFERROR(__xludf.DUMMYFUNCTION("""COMPUTED_VALUE"""),1536.42666666667)</f>
        <v>1536.426667</v>
      </c>
      <c r="S8" s="47">
        <f>IFERROR(__xludf.DUMMYFUNCTION("""COMPUTED_VALUE"""),-0.255478991006442)</f>
        <v>-0.255478991</v>
      </c>
      <c r="T8" s="47">
        <f>IFERROR(__xludf.DUMMYFUNCTION("""COMPUTED_VALUE"""),3.55902951903017)</f>
        <v>3.559029519</v>
      </c>
      <c r="U8" s="47">
        <f>IFERROR(__xludf.DUMMYFUNCTION("""COMPUTED_VALUE"""),3.30355052802373)</f>
        <v>3.303550528</v>
      </c>
      <c r="V8" s="46">
        <f>IFERROR(__xludf.DUMMYFUNCTION("""COMPUTED_VALUE"""),5.739663240462865)</f>
        <v>5.73966324</v>
      </c>
      <c r="W8" s="48">
        <f>if(R8="","",if(PERCENTRANK(Data!F:F,R8)=1,"👑",if(PERCENTRANK(Data!F:F,R8)=0,"💩",PERCENTRANK(Data!F:F,R8))))</f>
        <v>0.69</v>
      </c>
      <c r="X8" s="48">
        <f>if(S8="","",if(RANK(S8,Data!K:K)=1,"👑",if(PERCENTRANK(Data!K:K,S8)=0,"💩",PERCENTRANK(Data!K:K,S8))))</f>
        <v>0.582</v>
      </c>
      <c r="Y8" s="48">
        <f>if(T8="","",if(RANK(T8,Data!L:L)=1,"👑",if(PERCENTRANK(Data!L:L,T8)=0,"💩",PERCENTRANK(Data!L:L,T8))))</f>
        <v>0.995</v>
      </c>
      <c r="Z8" s="48">
        <f>if(U8="","",if(RANK(U8,Data!J:J)=1,"👑",if(PERCENTRANK(Data!J:J,U8)=0,"💩",PERCENTRANK(Data!J:J,U8))))</f>
        <v>0.964</v>
      </c>
      <c r="AA8" s="48">
        <f>if(V8="","",if(RANK(V8,Data!M:M)=1,"👑",if(PERCENTRANK(Data!M:M,V8)=0,"💩",PERCENTRANK(Data!M:M,V8))))</f>
        <v>0.922</v>
      </c>
      <c r="AB8" s="49" t="str">
        <f>IFERROR(__xludf.DUMMYFUNCTION("if(V8="""","""",if(RANK(V8,filter(Data!M:M,Data!C:C=Q8))&lt;6,""MVP Candidate"",if(RANK(V8,filter(Data!M:M,Data!C:C=Q8))&lt;16,""All NBA"",if(RANK(V8,filter(Data!M:M,Data!C:C=Q8))&lt;25,""All Star"",if(RANK(V8,filter(Data!M:M,Data!C:C=Q8))&lt;151,""Starter"",if(RANK("&amp;"V8,filter(Data!M:M,Data!C:C=Q8))&lt;271,""Rotation"",if(RANK(V8,filter(Data!M:M,Data!C:C=Q8))&lt;361,""Bench"",if(RANK(V8,filter(Data!M:M,Data!C:C=Q8))&gt;360,""Fringe NBA"",""""))))))))"),"Starter")</f>
        <v>Starter</v>
      </c>
      <c r="AC8" s="17"/>
    </row>
    <row r="9">
      <c r="A9" s="17"/>
      <c r="B9" s="17"/>
      <c r="C9" s="17"/>
      <c r="D9" s="17"/>
      <c r="E9" s="17"/>
      <c r="F9" s="32" t="s">
        <v>61</v>
      </c>
      <c r="G9" s="33">
        <f>countifs(Data!B:B,C$2,Data!C:C,F9)</f>
        <v>0</v>
      </c>
      <c r="H9" s="34" t="str">
        <f t="shared" ref="H9:H20" si="1">IF(G9=1,F9,"")</f>
        <v/>
      </c>
      <c r="I9" s="35" t="str">
        <f>IF($G9=1,SUMIFS(Data!K:K,Data!$B:$B,$C$2,Data!$C:$C,$F9),"")</f>
        <v/>
      </c>
      <c r="J9" s="35" t="str">
        <f>IF($G9=1,SUMIFS(Data!L:L,Data!$B:$B,$C$2,Data!$C:$C,$F9),"")</f>
        <v/>
      </c>
      <c r="K9" s="35" t="str">
        <f>IF($G9=1,SUMIFS(Data!J:J,Data!$B:$B,$C$2,Data!$C:$C,$F9),"")</f>
        <v/>
      </c>
      <c r="L9" s="36" t="str">
        <f>IF($G9=1,SUMIFS(Data!F:F,Data!$B:$B,$C$2,Data!$C:$C,$F9),"")</f>
        <v/>
      </c>
      <c r="M9" s="36" t="str">
        <f>IF($G9=1,SUMIFS(Data!M:M,Data!$B:$B,$C$2,Data!$C:$C,$F9),"")</f>
        <v/>
      </c>
      <c r="N9" s="17"/>
      <c r="O9" s="17"/>
      <c r="P9" s="17"/>
      <c r="Q9" s="1"/>
      <c r="R9" s="54"/>
      <c r="S9" s="54"/>
      <c r="T9" s="54"/>
      <c r="U9" s="54"/>
      <c r="V9" s="54"/>
      <c r="W9" s="48" t="str">
        <f>if(R9="","",if(PERCENTRANK(Data!F:F,R9)=1,"👑",if(PERCENTRANK(Data!F:F,R9)=0,"💩",PERCENTRANK(Data!F:F,R9))))</f>
        <v/>
      </c>
      <c r="X9" s="48" t="str">
        <f>if(S9="","",if(RANK(S9,Data!K:K)=1,"👑",if(PERCENTRANK(Data!K:K,S9)=0,"💩",PERCENTRANK(Data!K:K,S9))))</f>
        <v/>
      </c>
      <c r="Y9" s="48" t="str">
        <f>if(T9="","",if(RANK(T9,Data!L:L)=1,"👑",if(PERCENTRANK(Data!L:L,T9)=0,"💩",PERCENTRANK(Data!L:L,T9))))</f>
        <v/>
      </c>
      <c r="Z9" s="48" t="str">
        <f>if(U9="","",if(RANK(U9,Data!J:J)=1,"👑",if(PERCENTRANK(Data!J:J,U9)=0,"💩",PERCENTRANK(Data!J:J,U9))))</f>
        <v/>
      </c>
      <c r="AA9" s="48" t="str">
        <f>if(V9="","",if(RANK(V9,Data!M:M)=1,"👑",if(PERCENTRANK(Data!M:M,V9)=0,"💩",PERCENTRANK(Data!M:M,V9))))</f>
        <v/>
      </c>
      <c r="AB9" s="49" t="str">
        <f>IFERROR(__xludf.DUMMYFUNCTION("if(V9="""","""",if(RANK(V9,filter(Data!M:M,Data!C:C=Q9))&lt;6,""MVP Candidate"",if(RANK(V9,filter(Data!M:M,Data!C:C=Q9))&lt;16,""All NBA"",if(RANK(V9,filter(Data!M:M,Data!C:C=Q9))&lt;25,""All Star"",if(RANK(V9,filter(Data!M:M,Data!C:C=Q9))&lt;151,""Starter"",if(RANK("&amp;"V9,filter(Data!M:M,Data!C:C=Q9))&lt;271,""Rotation"",if(RANK(V9,filter(Data!M:M,Data!C:C=Q9))&lt;361,""Bench"",if(RANK(V9,filter(Data!M:M,Data!C:C=Q9))&gt;360,""Fringe NBA"",""""))))))))"),"")</f>
        <v/>
      </c>
      <c r="AC9" s="17"/>
    </row>
    <row r="10">
      <c r="A10" s="17"/>
      <c r="B10" s="17"/>
      <c r="C10" s="17"/>
      <c r="D10" s="17"/>
      <c r="E10" s="17"/>
      <c r="F10" s="32" t="s">
        <v>62</v>
      </c>
      <c r="G10" s="33">
        <f>countifs(Data!B:B,C$2,Data!C:C,F10)</f>
        <v>0</v>
      </c>
      <c r="H10" s="34" t="str">
        <f t="shared" si="1"/>
        <v/>
      </c>
      <c r="I10" s="35" t="str">
        <f>IF($G10=1,SUMIFS(Data!K:K,Data!$B:$B,$C$2,Data!$C:$C,$F10),"")</f>
        <v/>
      </c>
      <c r="J10" s="35" t="str">
        <f>IF($G10=1,SUMIFS(Data!L:L,Data!$B:$B,$C$2,Data!$C:$C,$F10),"")</f>
        <v/>
      </c>
      <c r="K10" s="35" t="str">
        <f>IF($G10=1,SUMIFS(Data!J:J,Data!$B:$B,$C$2,Data!$C:$C,$F10),"")</f>
        <v/>
      </c>
      <c r="L10" s="36" t="str">
        <f>IF($G10=1,SUMIFS(Data!F:F,Data!$B:$B,$C$2,Data!$C:$C,$F10),"")</f>
        <v/>
      </c>
      <c r="M10" s="36" t="str">
        <f>IF($G10=1,SUMIFS(Data!M:M,Data!$B:$B,$C$2,Data!$C:$C,$F10),"")</f>
        <v/>
      </c>
      <c r="N10" s="17"/>
      <c r="O10" s="17"/>
      <c r="P10" s="17"/>
      <c r="Q10" s="1"/>
      <c r="R10" s="54"/>
      <c r="S10" s="54"/>
      <c r="T10" s="54"/>
      <c r="U10" s="54"/>
      <c r="V10" s="54"/>
      <c r="W10" s="48" t="str">
        <f>if(R10="","",if(PERCENTRANK(Data!F:F,R10)=1,"👑",if(PERCENTRANK(Data!F:F,R10)=0,"💩",PERCENTRANK(Data!F:F,R10))))</f>
        <v/>
      </c>
      <c r="X10" s="48" t="str">
        <f>if(S10="","",if(RANK(S10,Data!K:K)=1,"👑",if(PERCENTRANK(Data!K:K,S10)=0,"💩",PERCENTRANK(Data!K:K,S10))))</f>
        <v/>
      </c>
      <c r="Y10" s="48" t="str">
        <f>if(T10="","",if(RANK(T10,Data!L:L)=1,"👑",if(PERCENTRANK(Data!L:L,T10)=0,"💩",PERCENTRANK(Data!L:L,T10))))</f>
        <v/>
      </c>
      <c r="Z10" s="48" t="str">
        <f>if(U10="","",if(RANK(U10,Data!J:J)=1,"👑",if(PERCENTRANK(Data!J:J,U10)=0,"💩",PERCENTRANK(Data!J:J,U10))))</f>
        <v/>
      </c>
      <c r="AA10" s="48" t="str">
        <f>if(V10="","",if(RANK(V10,Data!M:M)=1,"👑",if(PERCENTRANK(Data!M:M,V10)=0,"💩",PERCENTRANK(Data!M:M,V10))))</f>
        <v/>
      </c>
      <c r="AB10" s="49" t="str">
        <f>IFERROR(__xludf.DUMMYFUNCTION("if(V10="""","""",if(RANK(V10,filter(Data!M:M,Data!C:C=Q10))&lt;6,""MVP Candidate"",if(RANK(V10,filter(Data!M:M,Data!C:C=Q10))&lt;16,""All NBA"",if(RANK(V10,filter(Data!M:M,Data!C:C=Q10))&lt;25,""All Star"",if(RANK(V10,filter(Data!M:M,Data!C:C=Q10))&lt;151,""Starter"""&amp;",if(RANK(V10,filter(Data!M:M,Data!C:C=Q10))&lt;271,""Rotation"",if(RANK(V10,filter(Data!M:M,Data!C:C=Q10))&lt;361,""Bench"",if(RANK(V10,filter(Data!M:M,Data!C:C=Q10))&gt;360,""Fringe NBA"",""""))))))))"),"")</f>
        <v/>
      </c>
      <c r="AC10" s="17"/>
    </row>
    <row r="11">
      <c r="A11" s="17"/>
      <c r="B11" s="17"/>
      <c r="C11" s="17"/>
      <c r="D11" s="17"/>
      <c r="E11" s="17"/>
      <c r="F11" s="32" t="s">
        <v>63</v>
      </c>
      <c r="G11" s="33">
        <f>countifs(Data!B:B,C$2,Data!C:C,F11)</f>
        <v>0</v>
      </c>
      <c r="H11" s="34" t="str">
        <f t="shared" si="1"/>
        <v/>
      </c>
      <c r="I11" s="35" t="str">
        <f>IF($G11=1,SUMIFS(Data!K:K,Data!$B:$B,$C$2,Data!$C:$C,$F11),"")</f>
        <v/>
      </c>
      <c r="J11" s="35" t="str">
        <f>IF($G11=1,SUMIFS(Data!L:L,Data!$B:$B,$C$2,Data!$C:$C,$F11),"")</f>
        <v/>
      </c>
      <c r="K11" s="35" t="str">
        <f>IF($G11=1,SUMIFS(Data!J:J,Data!$B:$B,$C$2,Data!$C:$C,$F11),"")</f>
        <v/>
      </c>
      <c r="L11" s="36" t="str">
        <f>IF($G11=1,SUMIFS(Data!F:F,Data!$B:$B,$C$2,Data!$C:$C,$F11),"")</f>
        <v/>
      </c>
      <c r="M11" s="36" t="str">
        <f>IF($G11=1,SUMIFS(Data!M:M,Data!$B:$B,$C$2,Data!$C:$C,$F11),"")</f>
        <v/>
      </c>
      <c r="N11" s="17"/>
      <c r="O11" s="17"/>
      <c r="P11" s="17"/>
      <c r="Q11" s="1"/>
      <c r="R11" s="54"/>
      <c r="S11" s="54"/>
      <c r="T11" s="54"/>
      <c r="U11" s="54"/>
      <c r="V11" s="54"/>
      <c r="W11" s="48" t="str">
        <f>if(R11="","",if(PERCENTRANK(Data!F:F,R11)=1,"👑",if(PERCENTRANK(Data!F:F,R11)=0,"💩",PERCENTRANK(Data!F:F,R11))))</f>
        <v/>
      </c>
      <c r="X11" s="48" t="str">
        <f>if(S11="","",if(RANK(S11,Data!K:K)=1,"👑",if(PERCENTRANK(Data!K:K,S11)=0,"💩",PERCENTRANK(Data!K:K,S11))))</f>
        <v/>
      </c>
      <c r="Y11" s="48" t="str">
        <f>if(T11="","",if(RANK(T11,Data!L:L)=1,"👑",if(PERCENTRANK(Data!L:L,T11)=0,"💩",PERCENTRANK(Data!L:L,T11))))</f>
        <v/>
      </c>
      <c r="Z11" s="48" t="str">
        <f>if(U11="","",if(RANK(U11,Data!J:J)=1,"👑",if(PERCENTRANK(Data!J:J,U11)=0,"💩",PERCENTRANK(Data!J:J,U11))))</f>
        <v/>
      </c>
      <c r="AA11" s="48" t="str">
        <f>if(V11="","",if(RANK(V11,Data!M:M)=1,"👑",if(PERCENTRANK(Data!M:M,V11)=0,"💩",PERCENTRANK(Data!M:M,V11))))</f>
        <v/>
      </c>
      <c r="AB11" s="49" t="str">
        <f>IFERROR(__xludf.DUMMYFUNCTION("if(V11="""","""",if(RANK(V11,filter(Data!M:M,Data!C:C=Q11))&lt;6,""MVP Candidate"",if(RANK(V11,filter(Data!M:M,Data!C:C=Q11))&lt;16,""All NBA"",if(RANK(V11,filter(Data!M:M,Data!C:C=Q11))&lt;25,""All Star"",if(RANK(V11,filter(Data!M:M,Data!C:C=Q11))&lt;151,""Starter"""&amp;",if(RANK(V11,filter(Data!M:M,Data!C:C=Q11))&lt;271,""Rotation"",if(RANK(V11,filter(Data!M:M,Data!C:C=Q11))&lt;361,""Bench"",if(RANK(V11,filter(Data!M:M,Data!C:C=Q11))&gt;360,""Fringe NBA"",""""))))))))"),"")</f>
        <v/>
      </c>
      <c r="AC11" s="17"/>
    </row>
    <row r="12">
      <c r="A12" s="17"/>
      <c r="B12" s="17"/>
      <c r="C12" s="17"/>
      <c r="D12" s="17"/>
      <c r="E12" s="17"/>
      <c r="F12" s="53" t="s">
        <v>64</v>
      </c>
      <c r="G12" s="33">
        <f>countifs(Data!B:B,C$2,Data!C:C,F12)</f>
        <v>0</v>
      </c>
      <c r="H12" s="34" t="str">
        <f t="shared" si="1"/>
        <v/>
      </c>
      <c r="I12" s="35" t="str">
        <f>IF($G12=1,SUMIFS(Data!K:K,Data!$B:$B,$C$2,Data!$C:$C,$F12),"")</f>
        <v/>
      </c>
      <c r="J12" s="35" t="str">
        <f>IF($G12=1,SUMIFS(Data!L:L,Data!$B:$B,$C$2,Data!$C:$C,$F12),"")</f>
        <v/>
      </c>
      <c r="K12" s="35" t="str">
        <f>IF($G12=1,SUMIFS(Data!J:J,Data!$B:$B,$C$2,Data!$C:$C,$F12),"")</f>
        <v/>
      </c>
      <c r="L12" s="36" t="str">
        <f>IF($G12=1,SUMIFS(Data!F:F,Data!$B:$B,$C$2,Data!$C:$C,$F12),"")</f>
        <v/>
      </c>
      <c r="M12" s="36" t="str">
        <f>IF($G12=1,SUMIFS(Data!M:M,Data!$B:$B,$C$2,Data!$C:$C,$F12),"")</f>
        <v/>
      </c>
      <c r="N12" s="17"/>
      <c r="O12" s="17"/>
      <c r="P12" s="17"/>
      <c r="Q12" s="1"/>
      <c r="R12" s="54"/>
      <c r="S12" s="54"/>
      <c r="T12" s="54"/>
      <c r="U12" s="54"/>
      <c r="V12" s="54"/>
      <c r="W12" s="48" t="str">
        <f>if(R12="","",if(PERCENTRANK(Data!F:F,R12)=1,"👑",if(PERCENTRANK(Data!F:F,R12)=0,"💩",PERCENTRANK(Data!F:F,R12))))</f>
        <v/>
      </c>
      <c r="X12" s="48" t="str">
        <f>if(S12="","",if(RANK(S12,Data!K:K)=1,"👑",if(PERCENTRANK(Data!K:K,S12)=0,"💩",PERCENTRANK(Data!K:K,S12))))</f>
        <v/>
      </c>
      <c r="Y12" s="48" t="str">
        <f>if(T12="","",if(RANK(T12,Data!L:L)=1,"👑",if(PERCENTRANK(Data!L:L,T12)=0,"💩",PERCENTRANK(Data!L:L,T12))))</f>
        <v/>
      </c>
      <c r="Z12" s="48" t="str">
        <f>if(U12="","",if(RANK(U12,Data!J:J)=1,"👑",if(PERCENTRANK(Data!J:J,U12)=0,"💩",PERCENTRANK(Data!J:J,U12))))</f>
        <v/>
      </c>
      <c r="AA12" s="48" t="str">
        <f>if(V12="","",if(RANK(V12,Data!M:M)=1,"👑",if(PERCENTRANK(Data!M:M,V12)=0,"💩",PERCENTRANK(Data!M:M,V12))))</f>
        <v/>
      </c>
      <c r="AB12" s="49" t="str">
        <f>IFERROR(__xludf.DUMMYFUNCTION("if(V12="""","""",if(RANK(V12,filter(Data!M:M,Data!C:C=Q12))&lt;6,""MVP Candidate"",if(RANK(V12,filter(Data!M:M,Data!C:C=Q12))&lt;16,""All NBA"",if(RANK(V12,filter(Data!M:M,Data!C:C=Q12))&lt;25,""All Star"",if(RANK(V12,filter(Data!M:M,Data!C:C=Q12))&lt;151,""Starter"""&amp;",if(RANK(V12,filter(Data!M:M,Data!C:C=Q12))&lt;271,""Rotation"",if(RANK(V12,filter(Data!M:M,Data!C:C=Q12))&lt;361,""Bench"",if(RANK(V12,filter(Data!M:M,Data!C:C=Q12))&gt;360,""Fringe NBA"",""""))))))))"),"")</f>
        <v/>
      </c>
      <c r="AC12" s="17"/>
    </row>
    <row r="13">
      <c r="A13" s="17"/>
      <c r="B13" s="17"/>
      <c r="C13" s="17"/>
      <c r="D13" s="17"/>
      <c r="E13" s="17"/>
      <c r="F13" s="53" t="s">
        <v>65</v>
      </c>
      <c r="G13" s="33">
        <f>countifs(Data!B:B,C$2,Data!C:C,F13)</f>
        <v>1</v>
      </c>
      <c r="H13" s="34" t="str">
        <f t="shared" si="1"/>
        <v>2013-14</v>
      </c>
      <c r="I13" s="35">
        <f>IF($G13=1,SUMIFS(Data!K:K,Data!$B:$B,$C$2,Data!$C:$C,$F13),"")</f>
        <v>0.222172701</v>
      </c>
      <c r="J13" s="35">
        <f>IF($G13=1,SUMIFS(Data!L:L,Data!$B:$B,$C$2,Data!$C:$C,$F13),"")</f>
        <v>3.134082544</v>
      </c>
      <c r="K13" s="35">
        <f>IF($G13=1,SUMIFS(Data!J:J,Data!$B:$B,$C$2,Data!$C:$C,$F13),"")</f>
        <v>3.356255245</v>
      </c>
      <c r="L13" s="36">
        <f>IF($G13=1,SUMIFS(Data!F:F,Data!$B:$B,$C$2,Data!$C:$C,$F13),"")</f>
        <v>2158.158333</v>
      </c>
      <c r="M13" s="36">
        <f>IF($G13=1,SUMIFS(Data!M:M,Data!$B:$B,$C$2,Data!$C:$C,$F13),"")</f>
        <v>8.1355282</v>
      </c>
      <c r="N13" s="17"/>
      <c r="O13" s="17"/>
      <c r="P13" s="17"/>
      <c r="Q13" s="1"/>
      <c r="R13" s="54"/>
      <c r="S13" s="54"/>
      <c r="T13" s="54"/>
      <c r="U13" s="54"/>
      <c r="V13" s="54"/>
      <c r="W13" s="48" t="str">
        <f>if(R13="","",if(PERCENTRANK(Data!F:F,R13)=1,"👑",if(PERCENTRANK(Data!F:F,R13)=0,"💩",PERCENTRANK(Data!F:F,R13))))</f>
        <v/>
      </c>
      <c r="X13" s="48" t="str">
        <f>if(S13="","",if(RANK(S13,Data!K:K)=1,"👑",if(PERCENTRANK(Data!K:K,S13)=0,"💩",PERCENTRANK(Data!K:K,S13))))</f>
        <v/>
      </c>
      <c r="Y13" s="48" t="str">
        <f>if(T13="","",if(RANK(T13,Data!L:L)=1,"👑",if(PERCENTRANK(Data!L:L,T13)=0,"💩",PERCENTRANK(Data!L:L,T13))))</f>
        <v/>
      </c>
      <c r="Z13" s="48" t="str">
        <f>if(U13="","",if(RANK(U13,Data!J:J)=1,"👑",if(PERCENTRANK(Data!J:J,U13)=0,"💩",PERCENTRANK(Data!J:J,U13))))</f>
        <v/>
      </c>
      <c r="AA13" s="48" t="str">
        <f>if(V13="","",if(RANK(V13,Data!M:M)=1,"👑",if(PERCENTRANK(Data!M:M,V13)=0,"💩",PERCENTRANK(Data!M:M,V13))))</f>
        <v/>
      </c>
      <c r="AB13" s="49" t="str">
        <f>IFERROR(__xludf.DUMMYFUNCTION("if(V13="""","""",if(RANK(V13,filter(Data!M:M,Data!C:C=Q13))&lt;6,""MVP Candidate"",if(RANK(V13,filter(Data!M:M,Data!C:C=Q13))&lt;16,""All NBA"",if(RANK(V13,filter(Data!M:M,Data!C:C=Q13))&lt;25,""All Star"",if(RANK(V13,filter(Data!M:M,Data!C:C=Q13))&lt;151,""Starter"""&amp;",if(RANK(V13,filter(Data!M:M,Data!C:C=Q13))&lt;271,""Rotation"",if(RANK(V13,filter(Data!M:M,Data!C:C=Q13))&lt;361,""Bench"",if(RANK(V13,filter(Data!M:M,Data!C:C=Q13))&gt;360,""Fringe NBA"",""""))))))))"),"")</f>
        <v/>
      </c>
      <c r="AC13" s="17"/>
    </row>
    <row r="14">
      <c r="A14" s="17"/>
      <c r="B14" s="17"/>
      <c r="C14" s="17"/>
      <c r="D14" s="17"/>
      <c r="E14" s="17"/>
      <c r="F14" s="53" t="s">
        <v>66</v>
      </c>
      <c r="G14" s="33">
        <f>countifs(Data!B:B,C$2,Data!C:C,F14)</f>
        <v>1</v>
      </c>
      <c r="H14" s="34" t="str">
        <f t="shared" si="1"/>
        <v>2014-15</v>
      </c>
      <c r="I14" s="35">
        <f>IF($G14=1,SUMIFS(Data!K:K,Data!$B:$B,$C$2,Data!$C:$C,$F14),"")</f>
        <v>0.4571511815</v>
      </c>
      <c r="J14" s="35">
        <f>IF($G14=1,SUMIFS(Data!L:L,Data!$B:$B,$C$2,Data!$C:$C,$F14),"")</f>
        <v>3.600952457</v>
      </c>
      <c r="K14" s="35">
        <f>IF($G14=1,SUMIFS(Data!J:J,Data!$B:$B,$C$2,Data!$C:$C,$F14),"")</f>
        <v>4.058103639</v>
      </c>
      <c r="L14" s="36">
        <f>IF($G14=1,SUMIFS(Data!F:F,Data!$B:$B,$C$2,Data!$C:$C,$F14),"")</f>
        <v>2226.801667</v>
      </c>
      <c r="M14" s="36">
        <f>IF($G14=1,SUMIFS(Data!M:M,Data!$B:$B,$C$2,Data!$C:$C,$F14),"")</f>
        <v>9.389700833</v>
      </c>
      <c r="N14" s="17"/>
      <c r="O14" s="17"/>
      <c r="P14" s="17"/>
      <c r="Q14" s="1"/>
      <c r="R14" s="54"/>
      <c r="S14" s="54"/>
      <c r="T14" s="54"/>
      <c r="U14" s="54"/>
      <c r="V14" s="54"/>
      <c r="W14" s="48" t="str">
        <f>if(R14="","",if(PERCENTRANK(Data!F:F,R14)=1,"👑",if(PERCENTRANK(Data!F:F,R14)=0,"💩",PERCENTRANK(Data!F:F,R14))))</f>
        <v/>
      </c>
      <c r="X14" s="48" t="str">
        <f>if(S14="","",if(RANK(S14,Data!K:K)=1,"👑",if(PERCENTRANK(Data!K:K,S14)=0,"💩",PERCENTRANK(Data!K:K,S14))))</f>
        <v/>
      </c>
      <c r="Y14" s="48" t="str">
        <f>if(T14="","",if(RANK(T14,Data!L:L)=1,"👑",if(PERCENTRANK(Data!L:L,T14)=0,"💩",PERCENTRANK(Data!L:L,T14))))</f>
        <v/>
      </c>
      <c r="Z14" s="48" t="str">
        <f>if(U14="","",if(RANK(U14,Data!J:J)=1,"👑",if(PERCENTRANK(Data!J:J,U14)=0,"💩",PERCENTRANK(Data!J:J,U14))))</f>
        <v/>
      </c>
      <c r="AA14" s="48" t="str">
        <f>if(V14="","",if(RANK(V14,Data!M:M)=1,"👑",if(PERCENTRANK(Data!M:M,V14)=0,"💩",PERCENTRANK(Data!M:M,V14))))</f>
        <v/>
      </c>
      <c r="AB14" s="49" t="str">
        <f>IFERROR(__xludf.DUMMYFUNCTION("if(V14="""","""",if(RANK(V14,filter(Data!M:M,Data!C:C=Q14))&lt;6,""MVP Candidate"",if(RANK(V14,filter(Data!M:M,Data!C:C=Q14))&lt;16,""All NBA"",if(RANK(V14,filter(Data!M:M,Data!C:C=Q14))&lt;25,""All Star"",if(RANK(V14,filter(Data!M:M,Data!C:C=Q14))&lt;151,""Starter"""&amp;",if(RANK(V14,filter(Data!M:M,Data!C:C=Q14))&lt;271,""Rotation"",if(RANK(V14,filter(Data!M:M,Data!C:C=Q14))&lt;361,""Bench"",if(RANK(V14,filter(Data!M:M,Data!C:C=Q14))&gt;360,""Fringe NBA"",""""))))))))"),"")</f>
        <v/>
      </c>
      <c r="AC14" s="17"/>
    </row>
    <row r="15">
      <c r="A15" s="17"/>
      <c r="B15" s="17"/>
      <c r="C15" s="17"/>
      <c r="D15" s="17"/>
      <c r="E15" s="17"/>
      <c r="F15" s="53" t="s">
        <v>67</v>
      </c>
      <c r="G15" s="33">
        <f>countifs(Data!B:B,C$2,Data!C:C,F15)</f>
        <v>1</v>
      </c>
      <c r="H15" s="34" t="str">
        <f t="shared" si="1"/>
        <v>2015-16</v>
      </c>
      <c r="I15" s="35">
        <f>IF($G15=1,SUMIFS(Data!K:K,Data!$B:$B,$C$2,Data!$C:$C,$F15),"")</f>
        <v>-0.255478991</v>
      </c>
      <c r="J15" s="35">
        <f>IF($G15=1,SUMIFS(Data!L:L,Data!$B:$B,$C$2,Data!$C:$C,$F15),"")</f>
        <v>3.559029519</v>
      </c>
      <c r="K15" s="35">
        <f>IF($G15=1,SUMIFS(Data!J:J,Data!$B:$B,$C$2,Data!$C:$C,$F15),"")</f>
        <v>3.303550528</v>
      </c>
      <c r="L15" s="36">
        <f>IF($G15=1,SUMIFS(Data!F:F,Data!$B:$B,$C$2,Data!$C:$C,$F15),"")</f>
        <v>1536.426667</v>
      </c>
      <c r="M15" s="36">
        <f>IF($G15=1,SUMIFS(Data!M:M,Data!$B:$B,$C$2,Data!$C:$C,$F15),"")</f>
        <v>5.73966324</v>
      </c>
      <c r="N15" s="17"/>
      <c r="O15" s="17"/>
      <c r="P15" s="17"/>
      <c r="Q15" s="1"/>
      <c r="R15" s="54"/>
      <c r="S15" s="54"/>
      <c r="T15" s="54"/>
      <c r="U15" s="54"/>
      <c r="V15" s="54"/>
      <c r="W15" s="48" t="str">
        <f>if(R15="","",if(PERCENTRANK(Data!F:F,R15)=1,"👑",if(PERCENTRANK(Data!F:F,R15)=0,"💩",PERCENTRANK(Data!F:F,R15))))</f>
        <v/>
      </c>
      <c r="X15" s="48" t="str">
        <f>if(S15="","",if(RANK(S15,Data!K:K)=1,"👑",if(PERCENTRANK(Data!K:K,S15)=0,"💩",PERCENTRANK(Data!K:K,S15))))</f>
        <v/>
      </c>
      <c r="Y15" s="48" t="str">
        <f>if(T15="","",if(RANK(T15,Data!L:L)=1,"👑",if(PERCENTRANK(Data!L:L,T15)=0,"💩",PERCENTRANK(Data!L:L,T15))))</f>
        <v/>
      </c>
      <c r="Z15" s="48" t="str">
        <f>if(U15="","",if(RANK(U15,Data!J:J)=1,"👑",if(PERCENTRANK(Data!J:J,U15)=0,"💩",PERCENTRANK(Data!J:J,U15))))</f>
        <v/>
      </c>
      <c r="AA15" s="48" t="str">
        <f>if(V15="","",if(RANK(V15,Data!M:M)=1,"👑",if(PERCENTRANK(Data!M:M,V15)=0,"💩",PERCENTRANK(Data!M:M,V15))))</f>
        <v/>
      </c>
      <c r="AB15" s="49" t="str">
        <f>IFERROR(__xludf.DUMMYFUNCTION("if(V15="""","""",if(RANK(V15,filter(Data!M:M,Data!C:C=Q15))&lt;6,""MVP Candidate"",if(RANK(V15,filter(Data!M:M,Data!C:C=Q15))&lt;16,""All NBA"",if(RANK(V15,filter(Data!M:M,Data!C:C=Q15))&lt;25,""All Star"",if(RANK(V15,filter(Data!M:M,Data!C:C=Q15))&lt;151,""Starter"""&amp;",if(RANK(V15,filter(Data!M:M,Data!C:C=Q15))&lt;271,""Rotation"",if(RANK(V15,filter(Data!M:M,Data!C:C=Q15))&lt;361,""Bench"",if(RANK(V15,filter(Data!M:M,Data!C:C=Q15))&gt;360,""Fringe NBA"",""""))))))))"),"")</f>
        <v/>
      </c>
      <c r="AC15" s="17"/>
    </row>
    <row r="16">
      <c r="A16" s="17"/>
      <c r="B16" s="17"/>
      <c r="C16" s="17"/>
      <c r="D16" s="17"/>
      <c r="E16" s="17"/>
      <c r="F16" s="53" t="s">
        <v>68</v>
      </c>
      <c r="G16" s="33">
        <f>countifs(Data!B:B,C$2,Data!C:C,F16)</f>
        <v>0</v>
      </c>
      <c r="H16" s="34" t="str">
        <f t="shared" si="1"/>
        <v/>
      </c>
      <c r="I16" s="35" t="str">
        <f>IF($G16=1,SUMIFS(Data!K:K,Data!$B:$B,$C$2,Data!$C:$C,$F16),"")</f>
        <v/>
      </c>
      <c r="J16" s="35" t="str">
        <f>IF($G16=1,SUMIFS(Data!L:L,Data!$B:$B,$C$2,Data!$C:$C,$F16),"")</f>
        <v/>
      </c>
      <c r="K16" s="35" t="str">
        <f>IF($G16=1,SUMIFS(Data!J:J,Data!$B:$B,$C$2,Data!$C:$C,$F16),"")</f>
        <v/>
      </c>
      <c r="L16" s="36" t="str">
        <f>IF($G16=1,SUMIFS(Data!F:F,Data!$B:$B,$C$2,Data!$C:$C,$F16),"")</f>
        <v/>
      </c>
      <c r="M16" s="36" t="str">
        <f>IF($G16=1,SUMIFS(Data!M:M,Data!$B:$B,$C$2,Data!$C:$C,$F16),"")</f>
        <v/>
      </c>
      <c r="N16" s="17"/>
      <c r="O16" s="17"/>
      <c r="P16" s="17"/>
      <c r="Q16" s="1"/>
      <c r="R16" s="54"/>
      <c r="S16" s="54"/>
      <c r="T16" s="54"/>
      <c r="U16" s="54"/>
      <c r="V16" s="54"/>
      <c r="W16" s="48" t="str">
        <f>if(R16="","",if(PERCENTRANK(Data!F:F,R16)=1,"👑",if(PERCENTRANK(Data!F:F,R16)=0,"💩",PERCENTRANK(Data!F:F,R16))))</f>
        <v/>
      </c>
      <c r="X16" s="48" t="str">
        <f>if(S16="","",if(RANK(S16,Data!K:K)=1,"👑",if(PERCENTRANK(Data!K:K,S16)=0,"💩",PERCENTRANK(Data!K:K,S16))))</f>
        <v/>
      </c>
      <c r="Y16" s="48" t="str">
        <f>if(T16="","",if(RANK(T16,Data!L:L)=1,"👑",if(PERCENTRANK(Data!L:L,T16)=0,"💩",PERCENTRANK(Data!L:L,T16))))</f>
        <v/>
      </c>
      <c r="Z16" s="48" t="str">
        <f>if(U16="","",if(RANK(U16,Data!J:J)=1,"👑",if(PERCENTRANK(Data!J:J,U16)=0,"💩",PERCENTRANK(Data!J:J,U16))))</f>
        <v/>
      </c>
      <c r="AA16" s="48" t="str">
        <f>if(V16="","",if(RANK(V16,Data!M:M)=1,"👑",if(PERCENTRANK(Data!M:M,V16)=0,"💩",PERCENTRANK(Data!M:M,V16))))</f>
        <v/>
      </c>
      <c r="AB16" s="49" t="str">
        <f>IFERROR(__xludf.DUMMYFUNCTION("if(V16="""","""",if(RANK(V16,filter(Data!M:M,Data!C:C=Q16))&lt;6,""MVP Candidate"",if(RANK(V16,filter(Data!M:M,Data!C:C=Q16))&lt;16,""All NBA"",if(RANK(V16,filter(Data!M:M,Data!C:C=Q16))&lt;25,""All Star"",if(RANK(V16,filter(Data!M:M,Data!C:C=Q16))&lt;151,""Starter"""&amp;",if(RANK(V16,filter(Data!M:M,Data!C:C=Q16))&lt;271,""Rotation"",if(RANK(V16,filter(Data!M:M,Data!C:C=Q16))&lt;361,""Bench"",if(RANK(V16,filter(Data!M:M,Data!C:C=Q16))&gt;360,""Fringe NBA"",""""))))))))"),"")</f>
        <v/>
      </c>
      <c r="AC16" s="17"/>
    </row>
    <row r="17">
      <c r="A17" s="17"/>
      <c r="B17" s="17"/>
      <c r="C17" s="17"/>
      <c r="D17" s="17"/>
      <c r="E17" s="17"/>
      <c r="F17" s="53" t="s">
        <v>69</v>
      </c>
      <c r="G17" s="33">
        <f>countifs(Data!B:B,C$2,Data!C:C,F17)</f>
        <v>0</v>
      </c>
      <c r="H17" s="34" t="str">
        <f t="shared" si="1"/>
        <v/>
      </c>
      <c r="I17" s="35" t="str">
        <f>IF($G17=1,SUMIFS(Data!K:K,Data!$B:$B,$C$2,Data!$C:$C,$F17),"")</f>
        <v/>
      </c>
      <c r="J17" s="35" t="str">
        <f>IF($G17=1,SUMIFS(Data!L:L,Data!$B:$B,$C$2,Data!$C:$C,$F17),"")</f>
        <v/>
      </c>
      <c r="K17" s="35" t="str">
        <f>IF($G17=1,SUMIFS(Data!J:J,Data!$B:$B,$C$2,Data!$C:$C,$F17),"")</f>
        <v/>
      </c>
      <c r="L17" s="36" t="str">
        <f>IF($G17=1,SUMIFS(Data!F:F,Data!$B:$B,$C$2,Data!$C:$C,$F17),"")</f>
        <v/>
      </c>
      <c r="M17" s="36" t="str">
        <f>IF($G17=1,SUMIFS(Data!M:M,Data!$B:$B,$C$2,Data!$C:$C,$F17),"")</f>
        <v/>
      </c>
      <c r="N17" s="17"/>
      <c r="O17" s="17"/>
      <c r="P17" s="17"/>
      <c r="Q17" s="45"/>
      <c r="R17" s="54"/>
      <c r="S17" s="54"/>
      <c r="T17" s="54"/>
      <c r="U17" s="54"/>
      <c r="V17" s="54"/>
      <c r="W17" s="48" t="str">
        <f>if(R17="","",if(PERCENTRANK(Data!F:F,R17)=1,"👑",if(PERCENTRANK(Data!F:F,R17)=0,"💩",PERCENTRANK(Data!F:F,R17))))</f>
        <v/>
      </c>
      <c r="X17" s="48" t="str">
        <f>if(S17="","",if(RANK(S17,Data!K:K)=1,"👑",if(PERCENTRANK(Data!K:K,S17)=0,"💩",PERCENTRANK(Data!K:K,S17))))</f>
        <v/>
      </c>
      <c r="Y17" s="48" t="str">
        <f>if(T17="","",if(RANK(T17,Data!L:L)=1,"👑",if(PERCENTRANK(Data!L:L,T17)=0,"💩",PERCENTRANK(Data!L:L,T17))))</f>
        <v/>
      </c>
      <c r="Z17" s="48" t="str">
        <f>if(U17="","",if(RANK(U17,Data!J:J)=1,"👑",if(PERCENTRANK(Data!J:J,U17)=0,"💩",PERCENTRANK(Data!J:J,U17))))</f>
        <v/>
      </c>
      <c r="AA17" s="48" t="str">
        <f>if(V17="","",if(RANK(V17,Data!M:M)=1,"👑",if(PERCENTRANK(Data!M:M,V17)=0,"💩",PERCENTRANK(Data!M:M,V17))))</f>
        <v/>
      </c>
      <c r="AB17" s="49" t="str">
        <f>IFERROR(__xludf.DUMMYFUNCTION("if(V17="""","""",if(RANK(V17,filter(Data!M:M,Data!C:C=Q17))&lt;6,""MVP Candidate"",if(RANK(V17,filter(Data!M:M,Data!C:C=Q17))&lt;16,""All NBA"",if(RANK(V17,filter(Data!M:M,Data!C:C=Q17))&lt;25,""All Star"",if(RANK(V17,filter(Data!M:M,Data!C:C=Q17))&lt;151,""Starter"""&amp;",if(RANK(V17,filter(Data!M:M,Data!C:C=Q17))&lt;271,""Rotation"",if(RANK(V17,filter(Data!M:M,Data!C:C=Q17))&lt;361,""Bench"",if(RANK(V17,filter(Data!M:M,Data!C:C=Q17))&gt;360,""Fringe NBA"",""""))))))))"),"")</f>
        <v/>
      </c>
      <c r="AC17" s="17"/>
    </row>
    <row r="18">
      <c r="A18" s="17"/>
      <c r="B18" s="17"/>
      <c r="C18" s="17"/>
      <c r="D18" s="17"/>
      <c r="E18" s="17"/>
      <c r="F18" s="53" t="s">
        <v>70</v>
      </c>
      <c r="G18" s="33">
        <f>countifs(Data!B:B,C$2,Data!C:C,F18)</f>
        <v>0</v>
      </c>
      <c r="H18" s="34" t="str">
        <f t="shared" si="1"/>
        <v/>
      </c>
      <c r="I18" s="35" t="str">
        <f>IF($G18=1,SUMIFS(Data!K:K,Data!$B:$B,$C$2,Data!$C:$C,$F18),"")</f>
        <v/>
      </c>
      <c r="J18" s="35" t="str">
        <f>IF($G18=1,SUMIFS(Data!L:L,Data!$B:$B,$C$2,Data!$C:$C,$F18),"")</f>
        <v/>
      </c>
      <c r="K18" s="35" t="str">
        <f>IF($G18=1,SUMIFS(Data!J:J,Data!$B:$B,$C$2,Data!$C:$C,$F18),"")</f>
        <v/>
      </c>
      <c r="L18" s="36" t="str">
        <f>IF($G18=1,SUMIFS(Data!F:F,Data!$B:$B,$C$2,Data!$C:$C,$F18),"")</f>
        <v/>
      </c>
      <c r="M18" s="36" t="str">
        <f>IF($G18=1,SUMIFS(Data!M:M,Data!$B:$B,$C$2,Data!$C:$C,$F18),"")</f>
        <v/>
      </c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48"/>
      <c r="Z18" s="17"/>
      <c r="AA18" s="17"/>
      <c r="AB18" s="17"/>
      <c r="AC18" s="17"/>
    </row>
    <row r="19" hidden="1">
      <c r="A19" s="17"/>
      <c r="B19" s="17"/>
      <c r="C19" s="17"/>
      <c r="D19" s="17"/>
      <c r="E19" s="17"/>
      <c r="F19" s="53" t="s">
        <v>71</v>
      </c>
      <c r="G19" s="33">
        <f>countifs(Data!B:B,C$2,Data!C:C,F19)</f>
        <v>0</v>
      </c>
      <c r="H19" s="34" t="str">
        <f t="shared" si="1"/>
        <v/>
      </c>
      <c r="I19" s="35" t="str">
        <f>IF($G19=1,SUMIFS(Data!K:K,Data!$B:$B,$C$2,Data!$C:$C,$F19),"")</f>
        <v/>
      </c>
      <c r="J19" s="35" t="str">
        <f>IF($G19=1,SUMIFS(Data!L:L,Data!$B:$B,$C$2,Data!$C:$C,$F19),"")</f>
        <v/>
      </c>
      <c r="K19" s="35" t="str">
        <f>IF($G19=1,SUMIFS(Data!J:J,Data!$B:$B,$C$2,Data!$C:$C,$F19),"")</f>
        <v/>
      </c>
      <c r="L19" s="36" t="str">
        <f>IF($G19=1,SUMIFS(Data!F:F,Data!$B:$B,$C$2,Data!$C:$C,$F19),"")</f>
        <v/>
      </c>
      <c r="M19" s="36" t="str">
        <f>IF($G19=1,SUMIFS(Data!M:M,Data!$B:$B,$C$2,Data!$C:$C,$F19),"")</f>
        <v/>
      </c>
      <c r="N19" s="17"/>
      <c r="O19" s="17"/>
      <c r="P19" s="17"/>
      <c r="Q19" s="53" t="s">
        <v>72</v>
      </c>
      <c r="R19" s="55">
        <f>MIN(Data!F:F)</f>
        <v>0.5166666667</v>
      </c>
      <c r="S19" s="56">
        <f>MIN(Data!J:J)</f>
        <v>-4.782766307</v>
      </c>
      <c r="T19" s="56">
        <f>MIN(Data!K:K)</f>
        <v>-4.322019044</v>
      </c>
      <c r="U19" s="56">
        <f>MIN(Data!L:L)</f>
        <v>-3.637442967</v>
      </c>
      <c r="V19" s="56">
        <f>MIN(Data!M:M)</f>
        <v>-3.532982785</v>
      </c>
      <c r="W19" s="17"/>
      <c r="X19" s="53">
        <v>1.0</v>
      </c>
      <c r="Y19" s="17"/>
      <c r="Z19" s="17"/>
      <c r="AA19" s="17"/>
      <c r="AB19" s="17"/>
      <c r="AC19" s="17"/>
    </row>
    <row r="20" hidden="1">
      <c r="A20" s="17"/>
      <c r="B20" s="17"/>
      <c r="C20" s="17"/>
      <c r="D20" s="17"/>
      <c r="E20" s="17"/>
      <c r="F20" s="53" t="s">
        <v>13</v>
      </c>
      <c r="G20" s="33">
        <f>countifs(Data!B:B,C$2,Data!C:C,F20)</f>
        <v>0</v>
      </c>
      <c r="H20" s="34" t="str">
        <f t="shared" si="1"/>
        <v/>
      </c>
      <c r="I20" s="35" t="str">
        <f>IF($G20=1,SUMIFS(Data!K:K,Data!$B:$B,$C$2,Data!$C:$C,$F20),"")</f>
        <v/>
      </c>
      <c r="J20" s="35" t="str">
        <f>IF($G20=1,SUMIFS(Data!L:L,Data!$B:$B,$C$2,Data!$C:$C,$F20),"")</f>
        <v/>
      </c>
      <c r="K20" s="35" t="str">
        <f>IF($G20=1,SUMIFS(Data!J:J,Data!$B:$B,$C$2,Data!$C:$C,$F20),"")</f>
        <v/>
      </c>
      <c r="L20" s="36" t="str">
        <f>IF($G20=1,SUMIFS(Data!F:F,Data!$B:$B,$C$2,Data!$C:$C,$F20),"")</f>
        <v/>
      </c>
      <c r="M20" s="36" t="str">
        <f>IF($G20=1,SUMIFS(Data!M:M,Data!$B:$B,$C$2,Data!$C:$C,$F20),"")</f>
        <v/>
      </c>
      <c r="N20" s="17"/>
      <c r="O20" s="17"/>
      <c r="P20" s="17"/>
      <c r="Q20" s="53" t="s">
        <v>73</v>
      </c>
      <c r="R20" s="55">
        <f>MAX(Data!F:F)</f>
        <v>3124.635</v>
      </c>
      <c r="S20" s="56">
        <f>MAX(Data!J:J)</f>
        <v>9.119122301</v>
      </c>
      <c r="T20" s="56">
        <f>MAX(Data!K:K)</f>
        <v>6.743428076</v>
      </c>
      <c r="U20" s="56">
        <f>MAX(Data!L:L)</f>
        <v>4.523460958</v>
      </c>
      <c r="V20" s="56">
        <f>MAX(Data!M:M)</f>
        <v>18.15807429</v>
      </c>
      <c r="W20" s="17"/>
      <c r="X20" s="53">
        <v>0.0</v>
      </c>
      <c r="Y20" s="17"/>
      <c r="Z20" s="17"/>
      <c r="AA20" s="17"/>
      <c r="AB20" s="17"/>
      <c r="AC20" s="17"/>
    </row>
    <row r="2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36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57" t="s">
        <v>74</v>
      </c>
      <c r="AC21" s="17"/>
    </row>
    <row r="2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36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58" t="s">
        <v>75</v>
      </c>
      <c r="AC22" s="17"/>
    </row>
    <row r="2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58" t="s">
        <v>76</v>
      </c>
      <c r="AC23" s="17"/>
    </row>
    <row r="24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58" t="s">
        <v>77</v>
      </c>
      <c r="AC24" s="17"/>
    </row>
    <row r="2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58" t="s">
        <v>78</v>
      </c>
      <c r="AC25" s="17"/>
    </row>
    <row r="26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58" t="s">
        <v>79</v>
      </c>
      <c r="AC26" s="17"/>
    </row>
    <row r="27">
      <c r="A27" s="17"/>
      <c r="B27" s="59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58" t="s">
        <v>80</v>
      </c>
      <c r="AC27" s="17"/>
    </row>
    <row r="28">
      <c r="A28" s="17"/>
      <c r="B28" s="59" t="s">
        <v>81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58" t="s">
        <v>82</v>
      </c>
      <c r="AC28" s="17"/>
    </row>
    <row r="29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60"/>
      <c r="AA29" s="17"/>
      <c r="AB29" s="17"/>
      <c r="AC29" s="17"/>
    </row>
    <row r="3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60"/>
      <c r="AA30" s="17"/>
      <c r="AB30" s="17"/>
      <c r="AC30" s="17"/>
    </row>
  </sheetData>
  <mergeCells count="4">
    <mergeCell ref="Q2:U2"/>
    <mergeCell ref="B4:O4"/>
    <mergeCell ref="R4:U4"/>
    <mergeCell ref="W4:AA4"/>
  </mergeCells>
  <conditionalFormatting sqref="S6:S20">
    <cfRule type="colorScale" priority="1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T6:T20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U6:U20">
    <cfRule type="colorScale" priority="3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R6:R20">
    <cfRule type="colorScale" priority="4">
      <colorScale>
        <cfvo type="min"/>
        <cfvo type="max"/>
        <color rgb="FFFFFFFF"/>
        <color rgb="FFFFD666"/>
      </colorScale>
    </cfRule>
  </conditionalFormatting>
  <conditionalFormatting sqref="W6:AB20">
    <cfRule type="colorScale" priority="5">
      <colorScale>
        <cfvo type="formula" val="0"/>
        <cfvo type="formula" val="0.5"/>
        <cfvo type="formula" val="1"/>
        <color rgb="FFE67C73"/>
        <color rgb="FFFFFFFF"/>
        <color rgb="FF57BB8A"/>
      </colorScale>
    </cfRule>
  </conditionalFormatting>
  <conditionalFormatting sqref="W6:AB20">
    <cfRule type="containsText" dxfId="0" priority="6" operator="containsText" text="💩">
      <formula>NOT(ISERROR(SEARCH(("💩"),(W6))))</formula>
    </cfRule>
  </conditionalFormatting>
  <conditionalFormatting sqref="W6:AB20">
    <cfRule type="containsText" dxfId="1" priority="7" operator="containsText" text="👑">
      <formula>NOT(ISERROR(SEARCH(("👑"),(W6))))</formula>
    </cfRule>
  </conditionalFormatting>
  <conditionalFormatting sqref="V6:V20">
    <cfRule type="colorScale" priority="8">
      <colorScale>
        <cfvo type="min"/>
        <cfvo type="formula" val="0"/>
        <cfvo type="max"/>
        <color rgb="FFE67C73"/>
        <color rgb="FFFFFFFF"/>
        <color rgb="FF57BB8A"/>
      </colorScale>
    </cfRule>
  </conditionalFormatting>
  <dataValidations>
    <dataValidation type="list" allowBlank="1" showErrorMessage="1" sqref="C2">
      <formula1>Data!$B$2:$B30</formula1>
    </dataValidation>
  </dataValidations>
  <hyperlinks>
    <hyperlink r:id="rId2" ref="Q2"/>
  </hyperlinks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3.29"/>
    <col customWidth="1" min="2" max="2" width="14.71"/>
    <col customWidth="1" min="3" max="3" width="40.57"/>
    <col customWidth="1" min="5" max="5" width="19.14"/>
    <col customWidth="1" min="6" max="7" width="14.71"/>
    <col customWidth="1" min="8" max="8" width="40.57"/>
    <col customWidth="1" hidden="1" min="9" max="14" width="17.71"/>
    <col customWidth="1" min="15" max="15" width="17.71"/>
    <col customWidth="1" min="16" max="16" width="3.29"/>
    <col customWidth="1" min="17" max="17" width="12.29"/>
    <col customWidth="1" min="18" max="23" width="23.14"/>
    <col customWidth="1" min="24" max="24" width="3.29"/>
  </cols>
  <sheetData>
    <row r="1" ht="7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>
      <c r="A2" s="17"/>
      <c r="B2" s="62" t="s">
        <v>84</v>
      </c>
      <c r="C2" s="61" t="s">
        <v>91</v>
      </c>
      <c r="D2" s="20"/>
      <c r="E2" s="78" t="s">
        <v>8</v>
      </c>
      <c r="F2" s="64"/>
      <c r="G2" s="65" t="s">
        <v>86</v>
      </c>
      <c r="H2" s="61" t="s">
        <v>52</v>
      </c>
      <c r="I2" s="22"/>
      <c r="J2" s="23"/>
      <c r="K2" s="24"/>
      <c r="L2" s="24"/>
      <c r="M2" s="24"/>
      <c r="N2" s="25"/>
      <c r="O2" s="66"/>
      <c r="P2" s="17"/>
      <c r="Q2" s="28" t="s">
        <v>53</v>
      </c>
      <c r="U2" s="17"/>
      <c r="V2" s="17"/>
      <c r="W2" s="17"/>
      <c r="X2" s="17"/>
    </row>
    <row r="3">
      <c r="A3" s="17"/>
      <c r="B3" s="67"/>
      <c r="C3" s="67"/>
      <c r="D3" s="20"/>
      <c r="E3" s="21"/>
      <c r="F3" s="21"/>
      <c r="G3" s="21"/>
      <c r="H3" s="22"/>
      <c r="I3" s="22"/>
      <c r="J3" s="23"/>
      <c r="K3" s="24"/>
      <c r="L3" s="24"/>
      <c r="M3" s="24"/>
      <c r="N3" s="25"/>
      <c r="O3" s="68"/>
      <c r="P3" s="17"/>
      <c r="Q3" s="69"/>
      <c r="R3" s="69"/>
      <c r="S3" s="69"/>
      <c r="T3" s="17"/>
      <c r="U3" s="17"/>
      <c r="V3" s="17"/>
      <c r="W3" s="17"/>
      <c r="X3" s="17"/>
    </row>
    <row r="4">
      <c r="A4" s="17"/>
      <c r="B4" s="38" t="str">
        <f>E2&amp;" Impact Data Comparison for "&amp;C2&amp;" &amp; "&amp;H2</f>
        <v>LEBRON Impact Data Comparison for Steve Nash &amp; James Harden</v>
      </c>
      <c r="I4" s="38"/>
      <c r="J4" s="38"/>
      <c r="K4" s="38"/>
      <c r="L4" s="38"/>
      <c r="M4" s="38"/>
      <c r="N4" s="38"/>
      <c r="O4" s="38"/>
      <c r="P4" s="17"/>
      <c r="Q4" s="17"/>
      <c r="R4" s="69"/>
      <c r="S4" s="69"/>
      <c r="T4" s="17"/>
      <c r="U4" s="17"/>
      <c r="V4" s="17"/>
      <c r="W4" s="17"/>
      <c r="X4" s="17"/>
    </row>
    <row r="5" ht="7.5" customHeight="1">
      <c r="A5" s="17"/>
      <c r="B5" s="30"/>
      <c r="C5" s="30"/>
      <c r="D5" s="31"/>
      <c r="E5" s="31"/>
      <c r="F5" s="31"/>
      <c r="G5" s="31"/>
      <c r="H5" s="32"/>
      <c r="I5" s="33"/>
      <c r="J5" s="34"/>
      <c r="K5" s="35"/>
      <c r="L5" s="35"/>
      <c r="M5" s="35"/>
      <c r="N5" s="36"/>
      <c r="O5" s="17"/>
      <c r="P5" s="17"/>
      <c r="Q5" s="17"/>
      <c r="R5" s="17"/>
      <c r="S5" s="17"/>
      <c r="T5" s="17"/>
      <c r="U5" s="17"/>
      <c r="V5" s="17"/>
      <c r="W5" s="17"/>
      <c r="X5" s="17"/>
    </row>
    <row r="6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70" t="str">
        <f>E2</f>
        <v>LEBRON</v>
      </c>
      <c r="T6" s="70" t="s">
        <v>88</v>
      </c>
      <c r="V6" s="70" t="str">
        <f>"Higher "&amp;if(R6="LEBRON","Overall",if(R6="O-LEBRON","Offensive",if(R6="D-LEBRON","Defensive")))&amp;" Impact"</f>
        <v>Higher Overall Impact</v>
      </c>
      <c r="X6" s="17"/>
    </row>
    <row r="7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40" t="s">
        <v>12</v>
      </c>
      <c r="R7" s="71" t="str">
        <f>RIGHT(C2,LEN(C2)-FIND(" ",C2))</f>
        <v>Nash</v>
      </c>
      <c r="S7" s="72" t="str">
        <f>RIGHT(H2,LEN(H2)-FIND(" ",H2))</f>
        <v>Harden</v>
      </c>
      <c r="T7" s="41" t="str">
        <f t="shared" ref="T7:W7" si="1">R7</f>
        <v>Nash</v>
      </c>
      <c r="U7" s="42" t="str">
        <f t="shared" si="1"/>
        <v>Harden</v>
      </c>
      <c r="V7" s="41" t="str">
        <f t="shared" si="1"/>
        <v>Nash</v>
      </c>
      <c r="W7" s="42" t="str">
        <f t="shared" si="1"/>
        <v>Harden</v>
      </c>
      <c r="X7" s="17"/>
    </row>
    <row r="8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" t="str">
        <f>IFERROR(__xludf.DUMMYFUNCTION("filter(I11:I36,L11:L36&lt;&gt;"""")"),"2013-14")</f>
        <v>2013-14</v>
      </c>
      <c r="R8" s="47">
        <f>IFERROR(__xludf.DUMMYFUNCTION("filter(M11:M36,L11:L36&lt;&gt;"""")"),-1.00754054133793)</f>
        <v>-1.007540541</v>
      </c>
      <c r="S8" s="47">
        <f>IFERROR(__xludf.DUMMYFUNCTION("filter(N11:N36,L11:L36&lt;&gt;"""")"),4.74612823777327)</f>
        <v>4.746128238</v>
      </c>
      <c r="T8" s="48">
        <f>if(R8="","",if(if($R$6="LEBRON",PERCENTRANK(Data!$J:$J,R8),if($R$6="O-LEBRON",PERCENTRANK(Data!$K:$K,R8),if($R$6="D-LEBRON",PERCENTRANK(Data!$L:$L,R8))))=1,"👑",if(if($R$6="LEBRON",PERCENTRANK(Data!$J:$J,R8),if($R$6="O-LEBRON",PERCENTRANK(Data!$K:$K,R8),if($R$6="D-LEBRON",PERCENTRANK(Data!$L:$L,R8))))=0,"💩",if($R$6="LEBRON",PERCENTRANK(Data!$J:$J,R8),if($R$6="O-LEBRON",PERCENTRANK(Data!$K:$K,R8),if($R$6="D-LEBRON",PERCENTRANK(Data!$L:$L,R8)))))))</f>
        <v>0.375</v>
      </c>
      <c r="U8" s="48">
        <f>if(S8="","",if(if($R$6="LEBRON",PERCENTRANK(Data!$J:$J,S8),if($R$6="O-LEBRON",PERCENTRANK(Data!$K:$K,S8),if($R$6="D-LEBRON",PERCENTRANK(Data!$L:$L,S8))))=1,"👑",if(if($R$6="LEBRON",PERCENTRANK(Data!$J:$J,S8),if($R$6="O-LEBRON",PERCENTRANK(Data!$K:$K,S8),if($R$6="D-LEBRON",PERCENTRANK(Data!$L:$L,S8))))=0,"💩",if($R$6="LEBRON",PERCENTRANK(Data!$J:$J,S8),if($R$6="O-LEBRON",PERCENTRANK(Data!$K:$K,S8),if($R$6="D-LEBRON",PERCENTRANK(Data!$L:$L,S8)))))))</f>
        <v>0.986</v>
      </c>
      <c r="V8" s="73" t="str">
        <f t="shared" ref="V8:V25" si="2">if(R8="","",if(S8="","✔",if(R8&gt;S8,"✔",if(R8=S8,"Tie",""))))</f>
        <v/>
      </c>
      <c r="W8" s="73" t="str">
        <f t="shared" ref="W8:W25" si="3">if(S8="","",if(R8="","✔",if(S8&gt;R8,"✔",if(S8=R8,"Tie",""))))</f>
        <v>✔</v>
      </c>
      <c r="X8" s="17"/>
    </row>
    <row r="9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" t="str">
        <f>IFERROR(__xludf.DUMMYFUNCTION("""COMPUTED_VALUE"""),"2014-15")</f>
        <v>2014-15</v>
      </c>
      <c r="R9" s="47" t="str">
        <f>IFERROR(__xludf.DUMMYFUNCTION("""COMPUTED_VALUE"""),"")</f>
        <v/>
      </c>
      <c r="S9" s="47">
        <f>IFERROR(__xludf.DUMMYFUNCTION("""COMPUTED_VALUE"""),5.33676799910378)</f>
        <v>5.336767999</v>
      </c>
      <c r="T9" s="48" t="str">
        <f>if(R9="","",if(if($R$6="LEBRON",PERCENTRANK(Data!$J:$J,R9),if($R$6="O-LEBRON",PERCENTRANK(Data!$K:$K,R9),if($R$6="D-LEBRON",PERCENTRANK(Data!$L:$L,R9))))=1,"👑",if(if($R$6="LEBRON",PERCENTRANK(Data!$J:$J,R9),if($R$6="O-LEBRON",PERCENTRANK(Data!$K:$K,R9),if($R$6="D-LEBRON",PERCENTRANK(Data!$L:$L,R9))))=0,"💩",if($R$6="LEBRON",PERCENTRANK(Data!$J:$J,R9),if($R$6="O-LEBRON",PERCENTRANK(Data!$K:$K,R9),if($R$6="D-LEBRON",PERCENTRANK(Data!$L:$L,R9)))))))</f>
        <v/>
      </c>
      <c r="U9" s="48">
        <f>if(S9="","",if(if($R$6="LEBRON",PERCENTRANK(Data!$J:$J,S9),if($R$6="O-LEBRON",PERCENTRANK(Data!$K:$K,S9),if($R$6="D-LEBRON",PERCENTRANK(Data!$L:$L,S9))))=1,"👑",if(if($R$6="LEBRON",PERCENTRANK(Data!$J:$J,S9),if($R$6="O-LEBRON",PERCENTRANK(Data!$K:$K,S9),if($R$6="D-LEBRON",PERCENTRANK(Data!$L:$L,S9))))=0,"💩",if($R$6="LEBRON",PERCENTRANK(Data!$J:$J,S9),if($R$6="O-LEBRON",PERCENTRANK(Data!$K:$K,S9),if($R$6="D-LEBRON",PERCENTRANK(Data!$L:$L,S9)))))))</f>
        <v>0.99</v>
      </c>
      <c r="V9" s="73" t="str">
        <f t="shared" si="2"/>
        <v/>
      </c>
      <c r="W9" s="73" t="str">
        <f t="shared" si="3"/>
        <v>✔</v>
      </c>
      <c r="X9" s="17"/>
    </row>
    <row r="10">
      <c r="A10" s="17"/>
      <c r="B10" s="17"/>
      <c r="C10" s="17"/>
      <c r="D10" s="17"/>
      <c r="E10" s="17"/>
      <c r="F10" s="17"/>
      <c r="G10" s="17"/>
      <c r="H10" s="17"/>
      <c r="I10" s="33" t="s">
        <v>12</v>
      </c>
      <c r="J10" s="33" t="str">
        <f>"Found "&amp;C2</f>
        <v>Found Steve Nash</v>
      </c>
      <c r="K10" s="33" t="str">
        <f>"Found "&amp;H2</f>
        <v>Found James Harden</v>
      </c>
      <c r="L10" s="50" t="s">
        <v>12</v>
      </c>
      <c r="M10" s="51" t="str">
        <f>C2</f>
        <v>Steve Nash</v>
      </c>
      <c r="N10" s="51" t="str">
        <f>H2</f>
        <v>James Harden</v>
      </c>
      <c r="O10" s="17"/>
      <c r="P10" s="17"/>
      <c r="Q10" s="1" t="str">
        <f>IFERROR(__xludf.DUMMYFUNCTION("""COMPUTED_VALUE"""),"2015-16")</f>
        <v>2015-16</v>
      </c>
      <c r="R10" s="47" t="str">
        <f>IFERROR(__xludf.DUMMYFUNCTION("""COMPUTED_VALUE"""),"")</f>
        <v/>
      </c>
      <c r="S10" s="47">
        <f>IFERROR(__xludf.DUMMYFUNCTION("""COMPUTED_VALUE"""),4.29571009244698)</f>
        <v>4.295710092</v>
      </c>
      <c r="T10" s="48" t="str">
        <f>if(R10="","",if(if($R$6="LEBRON",PERCENTRANK(Data!$J:$J,R10),if($R$6="O-LEBRON",PERCENTRANK(Data!$K:$K,R10),if($R$6="D-LEBRON",PERCENTRANK(Data!$L:$L,R10))))=1,"👑",if(if($R$6="LEBRON",PERCENTRANK(Data!$J:$J,R10),if($R$6="O-LEBRON",PERCENTRANK(Data!$K:$K,R10),if($R$6="D-LEBRON",PERCENTRANK(Data!$L:$L,R10))))=0,"💩",if($R$6="LEBRON",PERCENTRANK(Data!$J:$J,R10),if($R$6="O-LEBRON",PERCENTRANK(Data!$K:$K,R10),if($R$6="D-LEBRON",PERCENTRANK(Data!$L:$L,R10)))))))</f>
        <v/>
      </c>
      <c r="U10" s="48">
        <f>if(S10="","",if(if($R$6="LEBRON",PERCENTRANK(Data!$J:$J,S10),if($R$6="O-LEBRON",PERCENTRANK(Data!$K:$K,S10),if($R$6="D-LEBRON",PERCENTRANK(Data!$L:$L,S10))))=1,"👑",if(if($R$6="LEBRON",PERCENTRANK(Data!$J:$J,S10),if($R$6="O-LEBRON",PERCENTRANK(Data!$K:$K,S10),if($R$6="D-LEBRON",PERCENTRANK(Data!$L:$L,S10))))=0,"💩",if($R$6="LEBRON",PERCENTRANK(Data!$J:$J,S10),if($R$6="O-LEBRON",PERCENTRANK(Data!$K:$K,S10),if($R$6="D-LEBRON",PERCENTRANK(Data!$L:$L,S10)))))))</f>
        <v>0.98</v>
      </c>
      <c r="V10" s="73" t="str">
        <f t="shared" si="2"/>
        <v/>
      </c>
      <c r="W10" s="73" t="str">
        <f t="shared" si="3"/>
        <v>✔</v>
      </c>
      <c r="X10" s="17"/>
    </row>
    <row r="11">
      <c r="A11" s="17"/>
      <c r="B11" s="17"/>
      <c r="C11" s="17"/>
      <c r="D11" s="17"/>
      <c r="E11" s="17"/>
      <c r="F11" s="17"/>
      <c r="G11" s="17"/>
      <c r="H11" s="17"/>
      <c r="I11" s="74" t="s">
        <v>61</v>
      </c>
      <c r="J11" s="33">
        <f>countifs(Data!B:B,C$2,Data!C:C,I11)</f>
        <v>0</v>
      </c>
      <c r="K11" s="75">
        <f>countifs(Data!B:B,H$2,Data!C:C,I11)</f>
        <v>0</v>
      </c>
      <c r="L11" s="50" t="str">
        <f t="shared" ref="L11:L22" si="4">IF(sum(J11,K11)&gt;0,I11,"")</f>
        <v/>
      </c>
      <c r="M11" s="76" t="str">
        <f>IF($J11=1,if(E$2="LEBRON",SUMIFS(Data!J:J,Data!$B:$B,$C$2,Data!$C:$C,$I11),if(E$2="O-LEBRON",SUMIFS(Data!K:K,Data!$B:$B,$C$2,Data!$C:$C,$I11),if(E$2="D-LEBRON",SUMIFS(Data!L:L,Data!$B:$B,$C$2,Data!$C:$C,$I11),""))),"")</f>
        <v/>
      </c>
      <c r="N11" s="76" t="str">
        <f>IF($K11=1,if(E$2="LEBRON",SUMIFS(Data!J:J,Data!$B:$B,$H$2,Data!$C:$C,$I11),if(E$2="O-LEBRON",SUMIFS(Data!K:K,Data!$B:$B,$H$2,Data!$C:$C,$I11),if(E$2="D-LEBRON",SUMIFS(Data!L:L,Data!$B:$B,$H$2,Data!$C:$C,$I11),""))),"")</f>
        <v/>
      </c>
      <c r="O11" s="17"/>
      <c r="P11" s="17"/>
      <c r="Q11" s="1" t="str">
        <f>IFERROR(__xludf.DUMMYFUNCTION("""COMPUTED_VALUE"""),"2016-17")</f>
        <v>2016-17</v>
      </c>
      <c r="R11" s="47" t="str">
        <f>IFERROR(__xludf.DUMMYFUNCTION("""COMPUTED_VALUE"""),"")</f>
        <v/>
      </c>
      <c r="S11" s="47">
        <f>IFERROR(__xludf.DUMMYFUNCTION("""COMPUTED_VALUE"""),5.55064493036645)</f>
        <v>5.55064493</v>
      </c>
      <c r="T11" s="48" t="str">
        <f>if(R11="","",if(if($R$6="LEBRON",PERCENTRANK(Data!$J:$J,R11),if($R$6="O-LEBRON",PERCENTRANK(Data!$K:$K,R11),if($R$6="D-LEBRON",PERCENTRANK(Data!$L:$L,R11))))=1,"👑",if(if($R$6="LEBRON",PERCENTRANK(Data!$J:$J,R11),if($R$6="O-LEBRON",PERCENTRANK(Data!$K:$K,R11),if($R$6="D-LEBRON",PERCENTRANK(Data!$L:$L,R11))))=0,"💩",if($R$6="LEBRON",PERCENTRANK(Data!$J:$J,R11),if($R$6="O-LEBRON",PERCENTRANK(Data!$K:$K,R11),if($R$6="D-LEBRON",PERCENTRANK(Data!$L:$L,R11)))))))</f>
        <v/>
      </c>
      <c r="U11" s="48">
        <f>if(S11="","",if(if($R$6="LEBRON",PERCENTRANK(Data!$J:$J,S11),if($R$6="O-LEBRON",PERCENTRANK(Data!$K:$K,S11),if($R$6="D-LEBRON",PERCENTRANK(Data!$L:$L,S11))))=1,"👑",if(if($R$6="LEBRON",PERCENTRANK(Data!$J:$J,S11),if($R$6="O-LEBRON",PERCENTRANK(Data!$K:$K,S11),if($R$6="D-LEBRON",PERCENTRANK(Data!$L:$L,S11))))=0,"💩",if($R$6="LEBRON",PERCENTRANK(Data!$J:$J,S11),if($R$6="O-LEBRON",PERCENTRANK(Data!$K:$K,S11),if($R$6="D-LEBRON",PERCENTRANK(Data!$L:$L,S11)))))))</f>
        <v>0.993</v>
      </c>
      <c r="V11" s="73" t="str">
        <f t="shared" si="2"/>
        <v/>
      </c>
      <c r="W11" s="73" t="str">
        <f t="shared" si="3"/>
        <v>✔</v>
      </c>
      <c r="X11" s="17"/>
    </row>
    <row r="12">
      <c r="A12" s="17"/>
      <c r="B12" s="17"/>
      <c r="C12" s="17"/>
      <c r="D12" s="17"/>
      <c r="E12" s="17"/>
      <c r="F12" s="17"/>
      <c r="G12" s="17"/>
      <c r="H12" s="17"/>
      <c r="I12" s="74" t="s">
        <v>62</v>
      </c>
      <c r="J12" s="33">
        <f>countifs(Data!B:B,C$2,Data!C:C,I12)</f>
        <v>0</v>
      </c>
      <c r="K12" s="75">
        <f>countifs(Data!B:B,H$2,Data!C:C,I12)</f>
        <v>0</v>
      </c>
      <c r="L12" s="50" t="str">
        <f t="shared" si="4"/>
        <v/>
      </c>
      <c r="M12" s="76" t="str">
        <f>IF($J12=1,if(E$2="LEBRON",SUMIFS(Data!J:J,Data!$B:$B,$C$2,Data!$C:$C,$I12),if(E$2="O-LEBRON",SUMIFS(Data!K:K,Data!$B:$B,$C$2,Data!$C:$C,$I12),if(E$2="D-LEBRON",SUMIFS(Data!L:L,Data!$B:$B,$C$2,Data!$C:$C,$I12),""))),"")</f>
        <v/>
      </c>
      <c r="N12" s="76" t="str">
        <f>IF($K12=1,if(E$2="LEBRON",SUMIFS(Data!J:J,Data!$B:$B,$H$2,Data!$C:$C,$I12),if(E$2="O-LEBRON",SUMIFS(Data!K:K,Data!$B:$B,$H$2,Data!$C:$C,$I12),if(E$2="D-LEBRON",SUMIFS(Data!L:L,Data!$B:$B,$H$2,Data!$C:$C,$I12),""))),"")</f>
        <v/>
      </c>
      <c r="O12" s="17"/>
      <c r="P12" s="17"/>
      <c r="Q12" s="1" t="str">
        <f>IFERROR(__xludf.DUMMYFUNCTION("""COMPUTED_VALUE"""),"2017-18")</f>
        <v>2017-18</v>
      </c>
      <c r="R12" s="47" t="str">
        <f>IFERROR(__xludf.DUMMYFUNCTION("""COMPUTED_VALUE"""),"")</f>
        <v/>
      </c>
      <c r="S12" s="47">
        <f>IFERROR(__xludf.DUMMYFUNCTION("""COMPUTED_VALUE"""),6.27328150934698)</f>
        <v>6.273281509</v>
      </c>
      <c r="T12" s="48" t="str">
        <f>if(R12="","",if(if($R$6="LEBRON",PERCENTRANK(Data!$J:$J,R12),if($R$6="O-LEBRON",PERCENTRANK(Data!$K:$K,R12),if($R$6="D-LEBRON",PERCENTRANK(Data!$L:$L,R12))))=1,"👑",if(if($R$6="LEBRON",PERCENTRANK(Data!$J:$J,R12),if($R$6="O-LEBRON",PERCENTRANK(Data!$K:$K,R12),if($R$6="D-LEBRON",PERCENTRANK(Data!$L:$L,R12))))=0,"💩",if($R$6="LEBRON",PERCENTRANK(Data!$J:$J,R12),if($R$6="O-LEBRON",PERCENTRANK(Data!$K:$K,R12),if($R$6="D-LEBRON",PERCENTRANK(Data!$L:$L,R12)))))))</f>
        <v/>
      </c>
      <c r="U12" s="48">
        <f>if(S12="","",if(if($R$6="LEBRON",PERCENTRANK(Data!$J:$J,S12),if($R$6="O-LEBRON",PERCENTRANK(Data!$K:$K,S12),if($R$6="D-LEBRON",PERCENTRANK(Data!$L:$L,S12))))=1,"👑",if(if($R$6="LEBRON",PERCENTRANK(Data!$J:$J,S12),if($R$6="O-LEBRON",PERCENTRANK(Data!$K:$K,S12),if($R$6="D-LEBRON",PERCENTRANK(Data!$L:$L,S12))))=0,"💩",if($R$6="LEBRON",PERCENTRANK(Data!$J:$J,S12),if($R$6="O-LEBRON",PERCENTRANK(Data!$K:$K,S12),if($R$6="D-LEBRON",PERCENTRANK(Data!$L:$L,S12)))))))</f>
        <v>0.997</v>
      </c>
      <c r="V12" s="73" t="str">
        <f t="shared" si="2"/>
        <v/>
      </c>
      <c r="W12" s="73" t="str">
        <f t="shared" si="3"/>
        <v>✔</v>
      </c>
      <c r="X12" s="17"/>
    </row>
    <row r="13">
      <c r="A13" s="17"/>
      <c r="B13" s="17"/>
      <c r="C13" s="17"/>
      <c r="D13" s="17"/>
      <c r="E13" s="17"/>
      <c r="F13" s="17"/>
      <c r="G13" s="17"/>
      <c r="H13" s="17"/>
      <c r="I13" s="74" t="s">
        <v>63</v>
      </c>
      <c r="J13" s="33">
        <f>countifs(Data!B:B,C$2,Data!C:C,I13)</f>
        <v>0</v>
      </c>
      <c r="K13" s="75">
        <f>countifs(Data!B:B,H$2,Data!C:C,I13)</f>
        <v>0</v>
      </c>
      <c r="L13" s="50" t="str">
        <f t="shared" si="4"/>
        <v/>
      </c>
      <c r="M13" s="76" t="str">
        <f>IF($J13=1,if(E$2="LEBRON",SUMIFS(Data!J:J,Data!$B:$B,$C$2,Data!$C:$C,$I13),if(E$2="O-LEBRON",SUMIFS(Data!K:K,Data!$B:$B,$C$2,Data!$C:$C,$I13),if(E$2="D-LEBRON",SUMIFS(Data!L:L,Data!$B:$B,$C$2,Data!$C:$C,$I13),""))),"")</f>
        <v/>
      </c>
      <c r="N13" s="76" t="str">
        <f>IF($K13=1,if(E$2="LEBRON",SUMIFS(Data!J:J,Data!$B:$B,$H$2,Data!$C:$C,$I13),if(E$2="O-LEBRON",SUMIFS(Data!K:K,Data!$B:$B,$H$2,Data!$C:$C,$I13),if(E$2="D-LEBRON",SUMIFS(Data!L:L,Data!$B:$B,$H$2,Data!$C:$C,$I13),""))),"")</f>
        <v/>
      </c>
      <c r="O13" s="17"/>
      <c r="P13" s="17"/>
      <c r="Q13" s="1" t="str">
        <f>IFERROR(__xludf.DUMMYFUNCTION("""COMPUTED_VALUE"""),"2018-19")</f>
        <v>2018-19</v>
      </c>
      <c r="R13" s="47" t="str">
        <f>IFERROR(__xludf.DUMMYFUNCTION("""COMPUTED_VALUE"""),"")</f>
        <v/>
      </c>
      <c r="S13" s="47">
        <f>IFERROR(__xludf.DUMMYFUNCTION("""COMPUTED_VALUE"""),6.19017024135617)</f>
        <v>6.190170241</v>
      </c>
      <c r="T13" s="48" t="str">
        <f>if(R13="","",if(if($R$6="LEBRON",PERCENTRANK(Data!$J:$J,R13),if($R$6="O-LEBRON",PERCENTRANK(Data!$K:$K,R13),if($R$6="D-LEBRON",PERCENTRANK(Data!$L:$L,R13))))=1,"👑",if(if($R$6="LEBRON",PERCENTRANK(Data!$J:$J,R13),if($R$6="O-LEBRON",PERCENTRANK(Data!$K:$K,R13),if($R$6="D-LEBRON",PERCENTRANK(Data!$L:$L,R13))))=0,"💩",if($R$6="LEBRON",PERCENTRANK(Data!$J:$J,R13),if($R$6="O-LEBRON",PERCENTRANK(Data!$K:$K,R13),if($R$6="D-LEBRON",PERCENTRANK(Data!$L:$L,R13)))))))</f>
        <v/>
      </c>
      <c r="U13" s="48">
        <f>if(S13="","",if(if($R$6="LEBRON",PERCENTRANK(Data!$J:$J,S13),if($R$6="O-LEBRON",PERCENTRANK(Data!$K:$K,S13),if($R$6="D-LEBRON",PERCENTRANK(Data!$L:$L,S13))))=1,"👑",if(if($R$6="LEBRON",PERCENTRANK(Data!$J:$J,S13),if($R$6="O-LEBRON",PERCENTRANK(Data!$K:$K,S13),if($R$6="D-LEBRON",PERCENTRANK(Data!$L:$L,S13))))=0,"💩",if($R$6="LEBRON",PERCENTRANK(Data!$J:$J,S13),if($R$6="O-LEBRON",PERCENTRANK(Data!$K:$K,S13),if($R$6="D-LEBRON",PERCENTRANK(Data!$L:$L,S13)))))))</f>
        <v>0.997</v>
      </c>
      <c r="V13" s="73" t="str">
        <f t="shared" si="2"/>
        <v/>
      </c>
      <c r="W13" s="73" t="str">
        <f t="shared" si="3"/>
        <v>✔</v>
      </c>
      <c r="X13" s="17"/>
    </row>
    <row r="14">
      <c r="A14" s="17"/>
      <c r="B14" s="17"/>
      <c r="C14" s="17"/>
      <c r="D14" s="17"/>
      <c r="E14" s="17"/>
      <c r="F14" s="17"/>
      <c r="G14" s="17"/>
      <c r="H14" s="17"/>
      <c r="I14" s="77" t="s">
        <v>64</v>
      </c>
      <c r="J14" s="33">
        <f>countifs(Data!B:B,C$2,Data!C:C,I14)</f>
        <v>0</v>
      </c>
      <c r="K14" s="75">
        <f>countifs(Data!B:B,H$2,Data!C:C,I14)</f>
        <v>0</v>
      </c>
      <c r="L14" s="50" t="str">
        <f t="shared" si="4"/>
        <v/>
      </c>
      <c r="M14" s="76" t="str">
        <f>IF($J14=1,if(E$2="LEBRON",SUMIFS(Data!J:J,Data!$B:$B,$C$2,Data!$C:$C,$I14),if(E$2="O-LEBRON",SUMIFS(Data!K:K,Data!$B:$B,$C$2,Data!$C:$C,$I14),if(E$2="D-LEBRON",SUMIFS(Data!L:L,Data!$B:$B,$C$2,Data!$C:$C,$I14),""))),"")</f>
        <v/>
      </c>
      <c r="N14" s="76" t="str">
        <f>IF($K14=1,if(E$2="LEBRON",SUMIFS(Data!J:J,Data!$B:$B,$H$2,Data!$C:$C,$I14),if(E$2="O-LEBRON",SUMIFS(Data!K:K,Data!$B:$B,$H$2,Data!$C:$C,$I14),if(E$2="D-LEBRON",SUMIFS(Data!L:L,Data!$B:$B,$H$2,Data!$C:$C,$I14),""))),"")</f>
        <v/>
      </c>
      <c r="O14" s="17"/>
      <c r="P14" s="17"/>
      <c r="Q14" s="1" t="str">
        <f>IFERROR(__xludf.DUMMYFUNCTION("""COMPUTED_VALUE"""),"2019-20")</f>
        <v>2019-20</v>
      </c>
      <c r="R14" s="47" t="str">
        <f>IFERROR(__xludf.DUMMYFUNCTION("""COMPUTED_VALUE"""),"")</f>
        <v/>
      </c>
      <c r="S14" s="47">
        <f>IFERROR(__xludf.DUMMYFUNCTION("""COMPUTED_VALUE"""),6.82690151564004)</f>
        <v>6.826901516</v>
      </c>
      <c r="T14" s="48" t="str">
        <f>if(R14="","",if(if($R$6="LEBRON",PERCENTRANK(Data!$J:$J,R14),if($R$6="O-LEBRON",PERCENTRANK(Data!$K:$K,R14),if($R$6="D-LEBRON",PERCENTRANK(Data!$L:$L,R14))))=1,"👑",if(if($R$6="LEBRON",PERCENTRANK(Data!$J:$J,R14),if($R$6="O-LEBRON",PERCENTRANK(Data!$K:$K,R14),if($R$6="D-LEBRON",PERCENTRANK(Data!$L:$L,R14))))=0,"💩",if($R$6="LEBRON",PERCENTRANK(Data!$J:$J,R14),if($R$6="O-LEBRON",PERCENTRANK(Data!$K:$K,R14),if($R$6="D-LEBRON",PERCENTRANK(Data!$L:$L,R14)))))))</f>
        <v/>
      </c>
      <c r="U14" s="48">
        <f>if(S14="","",if(if($R$6="LEBRON",PERCENTRANK(Data!$J:$J,S14),if($R$6="O-LEBRON",PERCENTRANK(Data!$K:$K,S14),if($R$6="D-LEBRON",PERCENTRANK(Data!$L:$L,S14))))=1,"👑",if(if($R$6="LEBRON",PERCENTRANK(Data!$J:$J,S14),if($R$6="O-LEBRON",PERCENTRANK(Data!$K:$K,S14),if($R$6="D-LEBRON",PERCENTRANK(Data!$L:$L,S14))))=0,"💩",if($R$6="LEBRON",PERCENTRANK(Data!$J:$J,S14),if($R$6="O-LEBRON",PERCENTRANK(Data!$K:$K,S14),if($R$6="D-LEBRON",PERCENTRANK(Data!$L:$L,S14)))))))</f>
        <v>0.999</v>
      </c>
      <c r="V14" s="73" t="str">
        <f t="shared" si="2"/>
        <v/>
      </c>
      <c r="W14" s="73" t="str">
        <f t="shared" si="3"/>
        <v>✔</v>
      </c>
      <c r="X14" s="17"/>
    </row>
    <row r="15">
      <c r="A15" s="17"/>
      <c r="B15" s="17"/>
      <c r="C15" s="17"/>
      <c r="D15" s="17"/>
      <c r="E15" s="17"/>
      <c r="F15" s="17"/>
      <c r="G15" s="17"/>
      <c r="H15" s="17"/>
      <c r="I15" s="77" t="s">
        <v>65</v>
      </c>
      <c r="J15" s="33">
        <f>countifs(Data!B:B,C$2,Data!C:C,I15)</f>
        <v>1</v>
      </c>
      <c r="K15" s="75">
        <f>countifs(Data!B:B,H$2,Data!C:C,I15)</f>
        <v>1</v>
      </c>
      <c r="L15" s="50" t="str">
        <f t="shared" si="4"/>
        <v>2013-14</v>
      </c>
      <c r="M15" s="76">
        <f>IF($J15=1,if(E$2="LEBRON",SUMIFS(Data!J:J,Data!$B:$B,$C$2,Data!$C:$C,$I15),if(E$2="O-LEBRON",SUMIFS(Data!K:K,Data!$B:$B,$C$2,Data!$C:$C,$I15),if(E$2="D-LEBRON",SUMIFS(Data!L:L,Data!$B:$B,$C$2,Data!$C:$C,$I15),""))),"")</f>
        <v>-1.007540541</v>
      </c>
      <c r="N15" s="76">
        <f>IF($K15=1,if(E$2="LEBRON",SUMIFS(Data!J:J,Data!$B:$B,$H$2,Data!$C:$C,$I15),if(E$2="O-LEBRON",SUMIFS(Data!K:K,Data!$B:$B,$H$2,Data!$C:$C,$I15),if(E$2="D-LEBRON",SUMIFS(Data!L:L,Data!$B:$B,$H$2,Data!$C:$C,$I15),""))),"")</f>
        <v>4.746128238</v>
      </c>
      <c r="O15" s="17"/>
      <c r="P15" s="17"/>
      <c r="Q15" s="1" t="str">
        <f>IFERROR(__xludf.DUMMYFUNCTION("""COMPUTED_VALUE"""),"2020-21")</f>
        <v>2020-21</v>
      </c>
      <c r="R15" s="47" t="str">
        <f>IFERROR(__xludf.DUMMYFUNCTION("""COMPUTED_VALUE"""),"")</f>
        <v/>
      </c>
      <c r="S15" s="47">
        <f>IFERROR(__xludf.DUMMYFUNCTION("""COMPUTED_VALUE"""),3.76973062882133)</f>
        <v>3.769730629</v>
      </c>
      <c r="T15" s="48" t="str">
        <f>if(R15="","",if(if($R$6="LEBRON",PERCENTRANK(Data!$J:$J,R15),if($R$6="O-LEBRON",PERCENTRANK(Data!$K:$K,R15),if($R$6="D-LEBRON",PERCENTRANK(Data!$L:$L,R15))))=1,"👑",if(if($R$6="LEBRON",PERCENTRANK(Data!$J:$J,R15),if($R$6="O-LEBRON",PERCENTRANK(Data!$K:$K,R15),if($R$6="D-LEBRON",PERCENTRANK(Data!$L:$L,R15))))=0,"💩",if($R$6="LEBRON",PERCENTRANK(Data!$J:$J,R15),if($R$6="O-LEBRON",PERCENTRANK(Data!$K:$K,R15),if($R$6="D-LEBRON",PERCENTRANK(Data!$L:$L,R15)))))))</f>
        <v/>
      </c>
      <c r="U15" s="48">
        <f>if(S15="","",if(if($R$6="LEBRON",PERCENTRANK(Data!$J:$J,S15),if($R$6="O-LEBRON",PERCENTRANK(Data!$K:$K,S15),if($R$6="D-LEBRON",PERCENTRANK(Data!$L:$L,S15))))=1,"👑",if(if($R$6="LEBRON",PERCENTRANK(Data!$J:$J,S15),if($R$6="O-LEBRON",PERCENTRANK(Data!$K:$K,S15),if($R$6="D-LEBRON",PERCENTRANK(Data!$L:$L,S15))))=0,"💩",if($R$6="LEBRON",PERCENTRANK(Data!$J:$J,S15),if($R$6="O-LEBRON",PERCENTRANK(Data!$K:$K,S15),if($R$6="D-LEBRON",PERCENTRANK(Data!$L:$L,S15)))))))</f>
        <v>0.973</v>
      </c>
      <c r="V15" s="73" t="str">
        <f t="shared" si="2"/>
        <v/>
      </c>
      <c r="W15" s="73" t="str">
        <f t="shared" si="3"/>
        <v>✔</v>
      </c>
      <c r="X15" s="17"/>
    </row>
    <row r="16">
      <c r="A16" s="17"/>
      <c r="B16" s="17"/>
      <c r="C16" s="17"/>
      <c r="D16" s="17"/>
      <c r="E16" s="17"/>
      <c r="F16" s="17"/>
      <c r="G16" s="17"/>
      <c r="H16" s="17"/>
      <c r="I16" s="77" t="s">
        <v>66</v>
      </c>
      <c r="J16" s="33">
        <f>countifs(Data!B:B,C$2,Data!C:C,I16)</f>
        <v>0</v>
      </c>
      <c r="K16" s="75">
        <f>countifs(Data!B:B,H$2,Data!C:C,I16)</f>
        <v>1</v>
      </c>
      <c r="L16" s="50" t="str">
        <f t="shared" si="4"/>
        <v>2014-15</v>
      </c>
      <c r="M16" s="76" t="str">
        <f>IF($J16=1,if(E$2="LEBRON",SUMIFS(Data!J:J,Data!$B:$B,$C$2,Data!$C:$C,$I16),if(E$2="O-LEBRON",SUMIFS(Data!K:K,Data!$B:$B,$C$2,Data!$C:$C,$I16),if(E$2="D-LEBRON",SUMIFS(Data!L:L,Data!$B:$B,$C$2,Data!$C:$C,$I16),""))),"")</f>
        <v/>
      </c>
      <c r="N16" s="76">
        <f>IF($K16=1,if(E$2="LEBRON",SUMIFS(Data!J:J,Data!$B:$B,$H$2,Data!$C:$C,$I16),if(E$2="O-LEBRON",SUMIFS(Data!K:K,Data!$B:$B,$H$2,Data!$C:$C,$I16),if(E$2="D-LEBRON",SUMIFS(Data!L:L,Data!$B:$B,$H$2,Data!$C:$C,$I16),""))),"")</f>
        <v>5.336767999</v>
      </c>
      <c r="O16" s="17"/>
      <c r="P16" s="17"/>
      <c r="Q16" s="1"/>
      <c r="R16" s="54"/>
      <c r="S16" s="54"/>
      <c r="T16" s="48" t="str">
        <f>if(R16="","",if(if($R$6="LEBRON",PERCENTRANK(Data!$J:$J,R16),if($R$6="O-LEBRON",PERCENTRANK(Data!$K:$K,R16),if($R$6="D-LEBRON",PERCENTRANK(Data!$L:$L,R16))))=1,"👑",if(if($R$6="LEBRON",PERCENTRANK(Data!$J:$J,R16),if($R$6="O-LEBRON",PERCENTRANK(Data!$K:$K,R16),if($R$6="D-LEBRON",PERCENTRANK(Data!$L:$L,R16))))=0,"💩",if($R$6="LEBRON",PERCENTRANK(Data!$J:$J,R16),if($R$6="O-LEBRON",PERCENTRANK(Data!$K:$K,R16),if($R$6="D-LEBRON",PERCENTRANK(Data!$L:$L,R16)))))))</f>
        <v/>
      </c>
      <c r="U16" s="48" t="str">
        <f>if(S16="","",if(if($R$6="LEBRON",PERCENTRANK(Data!$J:$J,S16),if($R$6="O-LEBRON",PERCENTRANK(Data!$K:$K,S16),if($R$6="D-LEBRON",PERCENTRANK(Data!$L:$L,S16))))=1,"👑",if(if($R$6="LEBRON",PERCENTRANK(Data!$J:$J,S16),if($R$6="O-LEBRON",PERCENTRANK(Data!$K:$K,S16),if($R$6="D-LEBRON",PERCENTRANK(Data!$L:$L,S16))))=0,"💩",if($R$6="LEBRON",PERCENTRANK(Data!$J:$J,S16),if($R$6="O-LEBRON",PERCENTRANK(Data!$K:$K,S16),if($R$6="D-LEBRON",PERCENTRANK(Data!$L:$L,S16)))))))</f>
        <v/>
      </c>
      <c r="V16" s="73" t="str">
        <f t="shared" si="2"/>
        <v/>
      </c>
      <c r="W16" s="73" t="str">
        <f t="shared" si="3"/>
        <v/>
      </c>
      <c r="X16" s="17"/>
    </row>
    <row r="17">
      <c r="A17" s="17"/>
      <c r="B17" s="17"/>
      <c r="C17" s="17"/>
      <c r="D17" s="17"/>
      <c r="E17" s="17"/>
      <c r="F17" s="17"/>
      <c r="G17" s="17"/>
      <c r="H17" s="17"/>
      <c r="I17" s="77" t="s">
        <v>67</v>
      </c>
      <c r="J17" s="33">
        <f>countifs(Data!B:B,C$2,Data!C:C,I17)</f>
        <v>0</v>
      </c>
      <c r="K17" s="75">
        <f>countifs(Data!B:B,H$2,Data!C:C,I17)</f>
        <v>1</v>
      </c>
      <c r="L17" s="50" t="str">
        <f t="shared" si="4"/>
        <v>2015-16</v>
      </c>
      <c r="M17" s="76" t="str">
        <f>IF($J17=1,if(E$2="LEBRON",SUMIFS(Data!J:J,Data!$B:$B,$C$2,Data!$C:$C,$I17),if(E$2="O-LEBRON",SUMIFS(Data!K:K,Data!$B:$B,$C$2,Data!$C:$C,$I17),if(E$2="D-LEBRON",SUMIFS(Data!L:L,Data!$B:$B,$C$2,Data!$C:$C,$I17),""))),"")</f>
        <v/>
      </c>
      <c r="N17" s="76">
        <f>IF($K17=1,if(E$2="LEBRON",SUMIFS(Data!J:J,Data!$B:$B,$H$2,Data!$C:$C,$I17),if(E$2="O-LEBRON",SUMIFS(Data!K:K,Data!$B:$B,$H$2,Data!$C:$C,$I17),if(E$2="D-LEBRON",SUMIFS(Data!L:L,Data!$B:$B,$H$2,Data!$C:$C,$I17),""))),"")</f>
        <v>4.295710092</v>
      </c>
      <c r="O17" s="17"/>
      <c r="P17" s="17"/>
      <c r="Q17" s="1"/>
      <c r="R17" s="54"/>
      <c r="S17" s="54"/>
      <c r="T17" s="48" t="str">
        <f>if(R17="","",if(if($R$6="LEBRON",PERCENTRANK(Data!$J:$J,R17),if($R$6="O-LEBRON",PERCENTRANK(Data!$K:$K,R17),if($R$6="D-LEBRON",PERCENTRANK(Data!$L:$L,R17))))=1,"👑",if(if($R$6="LEBRON",PERCENTRANK(Data!$J:$J,R17),if($R$6="O-LEBRON",PERCENTRANK(Data!$K:$K,R17),if($R$6="D-LEBRON",PERCENTRANK(Data!$L:$L,R17))))=0,"💩",if($R$6="LEBRON",PERCENTRANK(Data!$J:$J,R17),if($R$6="O-LEBRON",PERCENTRANK(Data!$K:$K,R17),if($R$6="D-LEBRON",PERCENTRANK(Data!$L:$L,R17)))))))</f>
        <v/>
      </c>
      <c r="U17" s="48" t="str">
        <f>if(S17="","",if(if($R$6="LEBRON",PERCENTRANK(Data!$J:$J,S17),if($R$6="O-LEBRON",PERCENTRANK(Data!$K:$K,S17),if($R$6="D-LEBRON",PERCENTRANK(Data!$L:$L,S17))))=1,"👑",if(if($R$6="LEBRON",PERCENTRANK(Data!$J:$J,S17),if($R$6="O-LEBRON",PERCENTRANK(Data!$K:$K,S17),if($R$6="D-LEBRON",PERCENTRANK(Data!$L:$L,S17))))=0,"💩",if($R$6="LEBRON",PERCENTRANK(Data!$J:$J,S17),if($R$6="O-LEBRON",PERCENTRANK(Data!$K:$K,S17),if($R$6="D-LEBRON",PERCENTRANK(Data!$L:$L,S17)))))))</f>
        <v/>
      </c>
      <c r="V17" s="73" t="str">
        <f t="shared" si="2"/>
        <v/>
      </c>
      <c r="W17" s="73" t="str">
        <f t="shared" si="3"/>
        <v/>
      </c>
      <c r="X17" s="17"/>
    </row>
    <row r="18">
      <c r="A18" s="17"/>
      <c r="B18" s="17"/>
      <c r="C18" s="17"/>
      <c r="D18" s="17"/>
      <c r="E18" s="17"/>
      <c r="F18" s="17"/>
      <c r="G18" s="17"/>
      <c r="H18" s="17"/>
      <c r="I18" s="77" t="s">
        <v>68</v>
      </c>
      <c r="J18" s="33">
        <f>countifs(Data!B:B,C$2,Data!C:C,I18)</f>
        <v>0</v>
      </c>
      <c r="K18" s="75">
        <f>countifs(Data!B:B,H$2,Data!C:C,I18)</f>
        <v>1</v>
      </c>
      <c r="L18" s="50" t="str">
        <f t="shared" si="4"/>
        <v>2016-17</v>
      </c>
      <c r="M18" s="76" t="str">
        <f>IF($J18=1,if(E$2="LEBRON",SUMIFS(Data!J:J,Data!$B:$B,$C$2,Data!$C:$C,$I18),if(E$2="O-LEBRON",SUMIFS(Data!K:K,Data!$B:$B,$C$2,Data!$C:$C,$I18),if(E$2="D-LEBRON",SUMIFS(Data!L:L,Data!$B:$B,$C$2,Data!$C:$C,$I18),""))),"")</f>
        <v/>
      </c>
      <c r="N18" s="76">
        <f>IF($K18=1,if(E$2="LEBRON",SUMIFS(Data!J:J,Data!$B:$B,$H$2,Data!$C:$C,$I18),if(E$2="O-LEBRON",SUMIFS(Data!K:K,Data!$B:$B,$H$2,Data!$C:$C,$I18),if(E$2="D-LEBRON",SUMIFS(Data!L:L,Data!$B:$B,$H$2,Data!$C:$C,$I18),""))),"")</f>
        <v>5.55064493</v>
      </c>
      <c r="O18" s="17"/>
      <c r="P18" s="17"/>
      <c r="Q18" s="1"/>
      <c r="R18" s="54"/>
      <c r="S18" s="54"/>
      <c r="T18" s="48" t="str">
        <f>if(R18="","",if(if($R$6="LEBRON",PERCENTRANK(Data!$J:$J,R18),if($R$6="O-LEBRON",PERCENTRANK(Data!$K:$K,R18),if($R$6="D-LEBRON",PERCENTRANK(Data!$L:$L,R18))))=1,"👑",if(if($R$6="LEBRON",PERCENTRANK(Data!$J:$J,R18),if($R$6="O-LEBRON",PERCENTRANK(Data!$K:$K,R18),if($R$6="D-LEBRON",PERCENTRANK(Data!$L:$L,R18))))=0,"💩",if($R$6="LEBRON",PERCENTRANK(Data!$J:$J,R18),if($R$6="O-LEBRON",PERCENTRANK(Data!$K:$K,R18),if($R$6="D-LEBRON",PERCENTRANK(Data!$L:$L,R18)))))))</f>
        <v/>
      </c>
      <c r="U18" s="48" t="str">
        <f>if(S18="","",if(if($R$6="LEBRON",PERCENTRANK(Data!$J:$J,S18),if($R$6="O-LEBRON",PERCENTRANK(Data!$K:$K,S18),if($R$6="D-LEBRON",PERCENTRANK(Data!$L:$L,S18))))=1,"👑",if(if($R$6="LEBRON",PERCENTRANK(Data!$J:$J,S18),if($R$6="O-LEBRON",PERCENTRANK(Data!$K:$K,S18),if($R$6="D-LEBRON",PERCENTRANK(Data!$L:$L,S18))))=0,"💩",if($R$6="LEBRON",PERCENTRANK(Data!$J:$J,S18),if($R$6="O-LEBRON",PERCENTRANK(Data!$K:$K,S18),if($R$6="D-LEBRON",PERCENTRANK(Data!$L:$L,S18)))))))</f>
        <v/>
      </c>
      <c r="V18" s="73" t="str">
        <f t="shared" si="2"/>
        <v/>
      </c>
      <c r="W18" s="73" t="str">
        <f t="shared" si="3"/>
        <v/>
      </c>
      <c r="X18" s="17"/>
    </row>
    <row r="19">
      <c r="A19" s="17"/>
      <c r="B19" s="17"/>
      <c r="C19" s="17"/>
      <c r="D19" s="17"/>
      <c r="E19" s="17"/>
      <c r="F19" s="17"/>
      <c r="G19" s="17"/>
      <c r="H19" s="17"/>
      <c r="I19" s="77" t="s">
        <v>69</v>
      </c>
      <c r="J19" s="33">
        <f>countifs(Data!B:B,C$2,Data!C:C,I19)</f>
        <v>0</v>
      </c>
      <c r="K19" s="75">
        <f>countifs(Data!B:B,H$2,Data!C:C,I19)</f>
        <v>1</v>
      </c>
      <c r="L19" s="50" t="str">
        <f t="shared" si="4"/>
        <v>2017-18</v>
      </c>
      <c r="M19" s="76" t="str">
        <f>IF($J19=1,if(E$2="LEBRON",SUMIFS(Data!J:J,Data!$B:$B,$C$2,Data!$C:$C,$I19),if(E$2="O-LEBRON",SUMIFS(Data!K:K,Data!$B:$B,$C$2,Data!$C:$C,$I19),if(E$2="D-LEBRON",SUMIFS(Data!L:L,Data!$B:$B,$C$2,Data!$C:$C,$I19),""))),"")</f>
        <v/>
      </c>
      <c r="N19" s="76">
        <f>IF($K19=1,if(E$2="LEBRON",SUMIFS(Data!J:J,Data!$B:$B,$H$2,Data!$C:$C,$I19),if(E$2="O-LEBRON",SUMIFS(Data!K:K,Data!$B:$B,$H$2,Data!$C:$C,$I19),if(E$2="D-LEBRON",SUMIFS(Data!L:L,Data!$B:$B,$H$2,Data!$C:$C,$I19),""))),"")</f>
        <v>6.273281509</v>
      </c>
      <c r="O19" s="17"/>
      <c r="P19" s="17"/>
      <c r="Q19" s="1"/>
      <c r="R19" s="47"/>
      <c r="S19" s="47"/>
      <c r="T19" s="48" t="str">
        <f>if(R19="","",if(if($R$6="LEBRON",PERCENTRANK(Data!$J:$J,R19),if($R$6="O-LEBRON",PERCENTRANK(Data!$K:$K,R19),if($R$6="D-LEBRON",PERCENTRANK(Data!$L:$L,R19))))=1,"👑",if(if($R$6="LEBRON",PERCENTRANK(Data!$J:$J,R19),if($R$6="O-LEBRON",PERCENTRANK(Data!$K:$K,R19),if($R$6="D-LEBRON",PERCENTRANK(Data!$L:$L,R19))))=0,"💩",if($R$6="LEBRON",PERCENTRANK(Data!$J:$J,R19),if($R$6="O-LEBRON",PERCENTRANK(Data!$K:$K,R19),if($R$6="D-LEBRON",PERCENTRANK(Data!$L:$L,R19)))))))</f>
        <v/>
      </c>
      <c r="U19" s="48" t="str">
        <f>if(S19="","",if(if($R$6="LEBRON",PERCENTRANK(Data!$J:$J,S19),if($R$6="O-LEBRON",PERCENTRANK(Data!$K:$K,S19),if($R$6="D-LEBRON",PERCENTRANK(Data!$L:$L,S19))))=1,"👑",if(if($R$6="LEBRON",PERCENTRANK(Data!$J:$J,S19),if($R$6="O-LEBRON",PERCENTRANK(Data!$K:$K,S19),if($R$6="D-LEBRON",PERCENTRANK(Data!$L:$L,S19))))=0,"💩",if($R$6="LEBRON",PERCENTRANK(Data!$J:$J,S19),if($R$6="O-LEBRON",PERCENTRANK(Data!$K:$K,S19),if($R$6="D-LEBRON",PERCENTRANK(Data!$L:$L,S19)))))))</f>
        <v/>
      </c>
      <c r="V19" s="73" t="str">
        <f t="shared" si="2"/>
        <v/>
      </c>
      <c r="W19" s="73" t="str">
        <f t="shared" si="3"/>
        <v/>
      </c>
      <c r="X19" s="17"/>
    </row>
    <row r="20">
      <c r="A20" s="17"/>
      <c r="B20" s="17"/>
      <c r="C20" s="17"/>
      <c r="D20" s="17"/>
      <c r="E20" s="17"/>
      <c r="F20" s="17"/>
      <c r="G20" s="17"/>
      <c r="H20" s="17"/>
      <c r="I20" s="77" t="s">
        <v>70</v>
      </c>
      <c r="J20" s="33">
        <f>countifs(Data!B:B,C$2,Data!C:C,I20)</f>
        <v>0</v>
      </c>
      <c r="K20" s="75">
        <f>countifs(Data!B:B,H$2,Data!C:C,I20)</f>
        <v>1</v>
      </c>
      <c r="L20" s="50" t="str">
        <f t="shared" si="4"/>
        <v>2018-19</v>
      </c>
      <c r="M20" s="76" t="str">
        <f>IF($J20=1,if(E$2="LEBRON",SUMIFS(Data!J:J,Data!$B:$B,$C$2,Data!$C:$C,$I20),if(E$2="O-LEBRON",SUMIFS(Data!K:K,Data!$B:$B,$C$2,Data!$C:$C,$I20),if(E$2="D-LEBRON",SUMIFS(Data!L:L,Data!$B:$B,$C$2,Data!$C:$C,$I20),""))),"")</f>
        <v/>
      </c>
      <c r="N20" s="76">
        <f>IF($K20=1,if(E$2="LEBRON",SUMIFS(Data!J:J,Data!$B:$B,$H$2,Data!$C:$C,$I20),if(E$2="O-LEBRON",SUMIFS(Data!K:K,Data!$B:$B,$H$2,Data!$C:$C,$I20),if(E$2="D-LEBRON",SUMIFS(Data!L:L,Data!$B:$B,$H$2,Data!$C:$C,$I20),""))),"")</f>
        <v>6.190170241</v>
      </c>
      <c r="O20" s="17"/>
      <c r="P20" s="17"/>
      <c r="Q20" s="17"/>
      <c r="R20" s="17"/>
      <c r="S20" s="17"/>
      <c r="T20" s="48" t="str">
        <f>if(R20="","",if(if($R$6="LEBRON",PERCENTRANK(Data!$J:$J,R20),if($R$6="O-LEBRON",PERCENTRANK(Data!$K:$K,R20),if($R$6="D-LEBRON",PERCENTRANK(Data!$L:$L,R20))))=1,"👑",if(if($R$6="LEBRON",PERCENTRANK(Data!$J:$J,R20),if($R$6="O-LEBRON",PERCENTRANK(Data!$K:$K,R20),if($R$6="D-LEBRON",PERCENTRANK(Data!$L:$L,R20))))=0,"💩",if($R$6="LEBRON",PERCENTRANK(Data!$J:$J,R20),if($R$6="O-LEBRON",PERCENTRANK(Data!$K:$K,R20),if($R$6="D-LEBRON",PERCENTRANK(Data!$L:$L,R20)))))))</f>
        <v/>
      </c>
      <c r="U20" s="48" t="str">
        <f>if(S20="","",if(if($R$6="LEBRON",PERCENTRANK(Data!$J:$J,S20),if($R$6="O-LEBRON",PERCENTRANK(Data!$K:$K,S20),if($R$6="D-LEBRON",PERCENTRANK(Data!$L:$L,S20))))=1,"👑",if(if($R$6="LEBRON",PERCENTRANK(Data!$J:$J,S20),if($R$6="O-LEBRON",PERCENTRANK(Data!$K:$K,S20),if($R$6="D-LEBRON",PERCENTRANK(Data!$L:$L,S20))))=0,"💩",if($R$6="LEBRON",PERCENTRANK(Data!$J:$J,S20),if($R$6="O-LEBRON",PERCENTRANK(Data!$K:$K,S20),if($R$6="D-LEBRON",PERCENTRANK(Data!$L:$L,S20)))))))</f>
        <v/>
      </c>
      <c r="V20" s="48" t="str">
        <f t="shared" si="2"/>
        <v/>
      </c>
      <c r="W20" s="48" t="str">
        <f t="shared" si="3"/>
        <v/>
      </c>
      <c r="X20" s="17"/>
    </row>
    <row r="21" hidden="1">
      <c r="A21" s="17"/>
      <c r="B21" s="17"/>
      <c r="C21" s="17"/>
      <c r="D21" s="17"/>
      <c r="E21" s="17"/>
      <c r="F21" s="17"/>
      <c r="G21" s="17"/>
      <c r="H21" s="53"/>
      <c r="I21" s="77" t="s">
        <v>71</v>
      </c>
      <c r="J21" s="33">
        <f>countifs(Data!B:B,C$2,Data!C:C,I21)</f>
        <v>0</v>
      </c>
      <c r="K21" s="75">
        <f>countifs(Data!B:B,H$2,Data!C:C,I21)</f>
        <v>1</v>
      </c>
      <c r="L21" s="50" t="str">
        <f t="shared" si="4"/>
        <v>2019-20</v>
      </c>
      <c r="M21" s="76" t="str">
        <f>IF($J21=1,if(E$2="LEBRON",SUMIFS(Data!J:J,Data!$B:$B,$C$2,Data!$C:$C,$I21),if(E$2="O-LEBRON",SUMIFS(Data!K:K,Data!$B:$B,$C$2,Data!$C:$C,$I21),if(E$2="D-LEBRON",SUMIFS(Data!L:L,Data!$B:$B,$C$2,Data!$C:$C,$I21),""))),"")</f>
        <v/>
      </c>
      <c r="N21" s="76">
        <f>IF($K21=1,if(E$2="LEBRON",SUMIFS(Data!J:J,Data!$B:$B,$H$2,Data!$C:$C,$I21),if(E$2="O-LEBRON",SUMIFS(Data!K:K,Data!$B:$B,$H$2,Data!$C:$C,$I21),if(E$2="D-LEBRON",SUMIFS(Data!L:L,Data!$B:$B,$H$2,Data!$C:$C,$I21),""))),"")</f>
        <v>6.826901516</v>
      </c>
      <c r="O21" s="17"/>
      <c r="P21" s="17"/>
      <c r="Q21" s="53" t="s">
        <v>72</v>
      </c>
      <c r="R21" s="17">
        <f>if(R6="LEBRON",max(Data!I:I),if(R6="O-LEBRON",max(Data!J:J),if(R6="D-LEBRON",max(Data!K:K))))</f>
        <v>43</v>
      </c>
      <c r="S21" s="17"/>
      <c r="T21" s="48" t="str">
        <f>if(R21="","",if(if($R$6="LEBRON",PERCENTRANK(Data!$J:$J,R21),if($R$6="O-LEBRON",PERCENTRANK(Data!$K:$K,R21),if($R$6="D-LEBRON",PERCENTRANK(Data!$L:$L,R21))))=1,"👑",if(if($R$6="LEBRON",PERCENTRANK(Data!$J:$J,R21),if($R$6="O-LEBRON",PERCENTRANK(Data!$K:$K,R21),if($R$6="D-LEBRON",PERCENTRANK(Data!$L:$L,R21))))=0,"💩",if($R$6="LEBRON",PERCENTRANK(Data!$J:$J,R21),if($R$6="O-LEBRON",PERCENTRANK(Data!$K:$K,R21),if($R$6="D-LEBRON",PERCENTRANK(Data!$L:$L,R21)))))))</f>
        <v>#N/A</v>
      </c>
      <c r="U21" s="48" t="str">
        <f>if(S21="","",if(if($R$6="LEBRON",PERCENTRANK(Data!$J:$J,S21),if($R$6="O-LEBRON",PERCENTRANK(Data!$K:$K,S21),if($R$6="D-LEBRON",PERCENTRANK(Data!$L:$L,S21))))=1,"👑",if(if($R$6="LEBRON",PERCENTRANK(Data!$J:$J,S21),if($R$6="O-LEBRON",PERCENTRANK(Data!$K:$K,S21),if($R$6="D-LEBRON",PERCENTRANK(Data!$L:$L,S21))))=0,"💩",if($R$6="LEBRON",PERCENTRANK(Data!$J:$J,S21),if($R$6="O-LEBRON",PERCENTRANK(Data!$K:$K,S21),if($R$6="D-LEBRON",PERCENTRANK(Data!$L:$L,S21)))))))</f>
        <v/>
      </c>
      <c r="V21" s="48" t="str">
        <f t="shared" si="2"/>
        <v>✔</v>
      </c>
      <c r="W21" s="48" t="str">
        <f t="shared" si="3"/>
        <v/>
      </c>
      <c r="X21" s="17"/>
    </row>
    <row r="22" hidden="1">
      <c r="A22" s="17"/>
      <c r="B22" s="17"/>
      <c r="C22" s="17"/>
      <c r="D22" s="17"/>
      <c r="E22" s="17"/>
      <c r="F22" s="17"/>
      <c r="G22" s="17"/>
      <c r="H22" s="17"/>
      <c r="I22" s="77" t="s">
        <v>13</v>
      </c>
      <c r="J22" s="33">
        <f>countifs(Data!B:B,C$2,Data!C:C,I22)</f>
        <v>0</v>
      </c>
      <c r="K22" s="75">
        <f>countifs(Data!B:B,H$2,Data!C:C,I22)</f>
        <v>1</v>
      </c>
      <c r="L22" s="50" t="str">
        <f t="shared" si="4"/>
        <v>2020-21</v>
      </c>
      <c r="M22" s="76" t="str">
        <f>IF($J22=1,if(E$2="LEBRON",SUMIFS(Data!J:J,Data!$B:$B,$C$2,Data!$C:$C,$I22),if(E$2="O-LEBRON",SUMIFS(Data!K:K,Data!$B:$B,$C$2,Data!$C:$C,$I22),if(E$2="D-LEBRON",SUMIFS(Data!L:L,Data!$B:$B,$C$2,Data!$C:$C,$I22),""))),"")</f>
        <v/>
      </c>
      <c r="N22" s="76">
        <f>IF($K22=1,if(E$2="LEBRON",SUMIFS(Data!J:J,Data!$B:$B,$H$2,Data!$C:$C,$I22),if(E$2="O-LEBRON",SUMIFS(Data!K:K,Data!$B:$B,$H$2,Data!$C:$C,$I22),if(E$2="D-LEBRON",SUMIFS(Data!L:L,Data!$B:$B,$H$2,Data!$C:$C,$I22),""))),"")</f>
        <v>3.769730629</v>
      </c>
      <c r="O22" s="17"/>
      <c r="P22" s="17"/>
      <c r="Q22" s="53" t="s">
        <v>73</v>
      </c>
      <c r="R22" s="17">
        <f>if(R6="LEBRON",min(Data!I:I),if(R6="O-LEBRON",min(Data!J:J),if(R6="D-LEBRON",MIN(Data!K:K))))</f>
        <v>19</v>
      </c>
      <c r="S22" s="17"/>
      <c r="T22" s="48" t="str">
        <f>if(R22="","",if(if($R$6="LEBRON",PERCENTRANK(Data!$J:$J,R22),if($R$6="O-LEBRON",PERCENTRANK(Data!$K:$K,R22),if($R$6="D-LEBRON",PERCENTRANK(Data!$L:$L,R22))))=1,"👑",if(if($R$6="LEBRON",PERCENTRANK(Data!$J:$J,R22),if($R$6="O-LEBRON",PERCENTRANK(Data!$K:$K,R22),if($R$6="D-LEBRON",PERCENTRANK(Data!$L:$L,R22))))=0,"💩",if($R$6="LEBRON",PERCENTRANK(Data!$J:$J,R22),if($R$6="O-LEBRON",PERCENTRANK(Data!$K:$K,R22),if($R$6="D-LEBRON",PERCENTRANK(Data!$L:$L,R22)))))))</f>
        <v>#N/A</v>
      </c>
      <c r="U22" s="48" t="str">
        <f>if(S22="","",if(if($R$6="LEBRON",PERCENTRANK(Data!$J:$J,S22),if($R$6="O-LEBRON",PERCENTRANK(Data!$K:$K,S22),if($R$6="D-LEBRON",PERCENTRANK(Data!$L:$L,S22))))=1,"👑",if(if($R$6="LEBRON",PERCENTRANK(Data!$J:$J,S22),if($R$6="O-LEBRON",PERCENTRANK(Data!$K:$K,S22),if($R$6="D-LEBRON",PERCENTRANK(Data!$L:$L,S22))))=0,"💩",if($R$6="LEBRON",PERCENTRANK(Data!$J:$J,S22),if($R$6="O-LEBRON",PERCENTRANK(Data!$K:$K,S22),if($R$6="D-LEBRON",PERCENTRANK(Data!$L:$L,S22)))))))</f>
        <v/>
      </c>
      <c r="V22" s="48" t="str">
        <f t="shared" si="2"/>
        <v>✔</v>
      </c>
      <c r="W22" s="48" t="str">
        <f t="shared" si="3"/>
        <v/>
      </c>
      <c r="X22" s="17"/>
    </row>
    <row r="2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48" t="str">
        <f>if(R23="","",if(if($R$6="LEBRON",PERCENTRANK(Data!$J:$J,R23),if($R$6="O-LEBRON",PERCENTRANK(Data!$K:$K,R23),if($R$6="D-LEBRON",PERCENTRANK(Data!$L:$L,R23))))=1,"👑",if(if($R$6="LEBRON",PERCENTRANK(Data!$J:$J,R23),if($R$6="O-LEBRON",PERCENTRANK(Data!$K:$K,R23),if($R$6="D-LEBRON",PERCENTRANK(Data!$L:$L,R23))))=0,"💩",if($R$6="LEBRON",PERCENTRANK(Data!$J:$J,R23),if($R$6="O-LEBRON",PERCENTRANK(Data!$K:$K,R23),if($R$6="D-LEBRON",PERCENTRANK(Data!$L:$L,R23)))))))</f>
        <v/>
      </c>
      <c r="U23" s="48" t="str">
        <f>if(S23="","",if(if($R$6="LEBRON",PERCENTRANK(Data!$J:$J,S23),if($R$6="O-LEBRON",PERCENTRANK(Data!$K:$K,S23),if($R$6="D-LEBRON",PERCENTRANK(Data!$L:$L,S23))))=1,"👑",if(if($R$6="LEBRON",PERCENTRANK(Data!$J:$J,S23),if($R$6="O-LEBRON",PERCENTRANK(Data!$K:$K,S23),if($R$6="D-LEBRON",PERCENTRANK(Data!$L:$L,S23))))=0,"💩",if($R$6="LEBRON",PERCENTRANK(Data!$J:$J,S23),if($R$6="O-LEBRON",PERCENTRANK(Data!$K:$K,S23),if($R$6="D-LEBRON",PERCENTRANK(Data!$L:$L,S23)))))))</f>
        <v/>
      </c>
      <c r="V23" s="48" t="str">
        <f t="shared" si="2"/>
        <v/>
      </c>
      <c r="W23" s="48" t="str">
        <f t="shared" si="3"/>
        <v/>
      </c>
      <c r="X23" s="17"/>
    </row>
    <row r="24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48" t="str">
        <f>if(R24="","",if(if($R$6="LEBRON",PERCENTRANK(Data!$J:$J,R24),if($R$6="O-LEBRON",PERCENTRANK(Data!$K:$K,R24),if($R$6="D-LEBRON",PERCENTRANK(Data!$L:$L,R24))))=1,"👑",if(if($R$6="LEBRON",PERCENTRANK(Data!$J:$J,R24),if($R$6="O-LEBRON",PERCENTRANK(Data!$K:$K,R24),if($R$6="D-LEBRON",PERCENTRANK(Data!$L:$L,R24))))=0,"💩",if($R$6="LEBRON",PERCENTRANK(Data!$J:$J,R24),if($R$6="O-LEBRON",PERCENTRANK(Data!$K:$K,R24),if($R$6="D-LEBRON",PERCENTRANK(Data!$L:$L,R24)))))))</f>
        <v/>
      </c>
      <c r="U24" s="48" t="str">
        <f>if(S24="","",if(if($R$6="LEBRON",PERCENTRANK(Data!$J:$J,S24),if($R$6="O-LEBRON",PERCENTRANK(Data!$K:$K,S24),if($R$6="D-LEBRON",PERCENTRANK(Data!$L:$L,S24))))=1,"👑",if(if($R$6="LEBRON",PERCENTRANK(Data!$J:$J,S24),if($R$6="O-LEBRON",PERCENTRANK(Data!$K:$K,S24),if($R$6="D-LEBRON",PERCENTRANK(Data!$L:$L,S24))))=0,"💩",if($R$6="LEBRON",PERCENTRANK(Data!$J:$J,S24),if($R$6="O-LEBRON",PERCENTRANK(Data!$K:$K,S24),if($R$6="D-LEBRON",PERCENTRANK(Data!$L:$L,S24)))))))</f>
        <v/>
      </c>
      <c r="V24" s="48" t="str">
        <f t="shared" si="2"/>
        <v/>
      </c>
      <c r="W24" s="48" t="str">
        <f t="shared" si="3"/>
        <v/>
      </c>
      <c r="X24" s="17"/>
    </row>
    <row r="2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48"/>
      <c r="U25" s="17"/>
      <c r="V25" s="48" t="str">
        <f t="shared" si="2"/>
        <v/>
      </c>
      <c r="W25" s="48" t="str">
        <f t="shared" si="3"/>
        <v/>
      </c>
      <c r="X25" s="17"/>
    </row>
    <row r="26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48"/>
      <c r="X26" s="17"/>
    </row>
    <row r="27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48"/>
      <c r="X27" s="17"/>
    </row>
    <row r="28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</row>
    <row r="31">
      <c r="A31" s="17"/>
      <c r="B31" s="17"/>
      <c r="C31" s="59" t="s">
        <v>81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</row>
    <row r="3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</row>
    <row r="3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</row>
    <row r="34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</row>
    <row r="3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</row>
    <row r="36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</row>
  </sheetData>
  <mergeCells count="5">
    <mergeCell ref="Q2:T2"/>
    <mergeCell ref="B4:H4"/>
    <mergeCell ref="R6:S6"/>
    <mergeCell ref="T6:U6"/>
    <mergeCell ref="V6:W6"/>
  </mergeCells>
  <conditionalFormatting sqref="T8:T25 U8:U24 V8:V25 W8:W27">
    <cfRule type="containsText" dxfId="0" priority="1" operator="containsText" text="💩">
      <formula>NOT(ISERROR(SEARCH(("💩"),(T8))))</formula>
    </cfRule>
  </conditionalFormatting>
  <conditionalFormatting sqref="T8:T25 U8:U24 V8:V25 W8:W27">
    <cfRule type="containsText" dxfId="1" priority="2" operator="containsText" text="👑">
      <formula>NOT(ISERROR(SEARCH(("👑"),(T8))))</formula>
    </cfRule>
  </conditionalFormatting>
  <conditionalFormatting sqref="E2 R6">
    <cfRule type="cellIs" dxfId="2" priority="3" operator="equal">
      <formula>"LEBRON"</formula>
    </cfRule>
  </conditionalFormatting>
  <conditionalFormatting sqref="E2 R6">
    <cfRule type="cellIs" dxfId="3" priority="4" operator="equal">
      <formula>"O-LEBRON"</formula>
    </cfRule>
  </conditionalFormatting>
  <conditionalFormatting sqref="E2 R6">
    <cfRule type="cellIs" dxfId="4" priority="5" operator="equal">
      <formula>"D-LEBRON"</formula>
    </cfRule>
  </conditionalFormatting>
  <conditionalFormatting sqref="R8:S22">
    <cfRule type="colorScale" priority="6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T1 U1:W36 T3:T36">
    <cfRule type="colorScale" priority="7">
      <colorScale>
        <cfvo type="formula" val="0"/>
        <cfvo type="formula" val="0.5"/>
        <cfvo type="formula" val="1"/>
        <color rgb="FFE67C73"/>
        <color rgb="FFFFFFFF"/>
        <color rgb="FF57BB8A"/>
      </colorScale>
    </cfRule>
  </conditionalFormatting>
  <dataValidations>
    <dataValidation type="list" allowBlank="1" showErrorMessage="1" sqref="C2 H2">
      <formula1>Data!$B$2:$B36</formula1>
    </dataValidation>
    <dataValidation type="list" allowBlank="1" showErrorMessage="1" sqref="E2">
      <formula1>"LEBRON,O-LEBRON,D-LEBRON"</formula1>
    </dataValidation>
  </dataValidations>
  <hyperlinks>
    <hyperlink r:id="rId1" ref="Q2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3.29"/>
    <col customWidth="1" min="2" max="2" width="14.86"/>
    <col customWidth="1" min="3" max="3" width="40.0"/>
    <col customWidth="1" min="5" max="5" width="17.71"/>
    <col customWidth="1" hidden="1" min="6" max="14" width="17.71"/>
    <col customWidth="1" min="15" max="16" width="17.71"/>
    <col customWidth="1" min="17" max="17" width="3.29"/>
    <col customWidth="1" min="18" max="18" width="12.29"/>
    <col customWidth="1" min="19" max="26" width="16.86"/>
    <col customWidth="1" min="27" max="27" width="3.29"/>
  </cols>
  <sheetData>
    <row r="1" ht="7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79"/>
      <c r="U1" s="79"/>
      <c r="V1" s="79"/>
      <c r="W1" s="17"/>
      <c r="X1" s="17"/>
      <c r="Y1" s="17"/>
      <c r="Z1" s="17"/>
      <c r="AA1" s="17"/>
    </row>
    <row r="2">
      <c r="A2" s="17"/>
      <c r="B2" s="18" t="s">
        <v>51</v>
      </c>
      <c r="C2" s="61" t="s">
        <v>92</v>
      </c>
      <c r="D2" s="20"/>
      <c r="E2" s="21" t="s">
        <v>8</v>
      </c>
      <c r="F2" s="17"/>
      <c r="G2" s="22"/>
      <c r="H2" s="22"/>
      <c r="I2" s="23"/>
      <c r="J2" s="24"/>
      <c r="K2" s="24"/>
      <c r="L2" s="24"/>
      <c r="M2" s="25"/>
      <c r="N2" s="25"/>
      <c r="O2" s="26" t="s">
        <v>9</v>
      </c>
      <c r="P2" s="27" t="s">
        <v>10</v>
      </c>
      <c r="Q2" s="17"/>
      <c r="R2" s="28" t="s">
        <v>53</v>
      </c>
      <c r="W2" s="17"/>
      <c r="X2" s="17"/>
      <c r="Y2" s="17"/>
      <c r="Z2" s="17"/>
      <c r="AA2" s="17"/>
    </row>
    <row r="3" ht="7.5" customHeight="1">
      <c r="A3" s="17"/>
      <c r="B3" s="30"/>
      <c r="C3" s="30"/>
      <c r="D3" s="31"/>
      <c r="E3" s="31"/>
      <c r="F3" s="31"/>
      <c r="G3" s="32"/>
      <c r="H3" s="33"/>
      <c r="I3" s="34"/>
      <c r="J3" s="35"/>
      <c r="K3" s="35"/>
      <c r="L3" s="35"/>
      <c r="M3" s="36"/>
      <c r="N3" s="36"/>
      <c r="O3" s="17"/>
      <c r="P3" s="37"/>
      <c r="Q3" s="17"/>
      <c r="R3" s="17"/>
      <c r="S3" s="17"/>
      <c r="T3" s="79"/>
      <c r="U3" s="79"/>
      <c r="V3" s="79"/>
      <c r="W3" s="17"/>
      <c r="X3" s="17"/>
      <c r="Y3" s="17"/>
      <c r="Z3" s="17"/>
      <c r="AA3" s="17"/>
    </row>
    <row r="4">
      <c r="A4" s="17"/>
      <c r="B4" s="38" t="str">
        <f>"LEBRON Impact Data &amp; Career Projections for "&amp;C2</f>
        <v>LEBRON Impact Data &amp; Career Projections for Zach LaVine</v>
      </c>
      <c r="Q4" s="17"/>
      <c r="R4" s="17"/>
      <c r="S4" s="39" t="s">
        <v>54</v>
      </c>
      <c r="W4" s="39" t="s">
        <v>55</v>
      </c>
      <c r="AA4" s="17"/>
    </row>
    <row r="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40" t="s">
        <v>12</v>
      </c>
      <c r="S5" s="40" t="s">
        <v>4</v>
      </c>
      <c r="T5" s="80" t="s">
        <v>9</v>
      </c>
      <c r="U5" s="81" t="s">
        <v>10</v>
      </c>
      <c r="V5" s="82" t="s">
        <v>8</v>
      </c>
      <c r="W5" s="40" t="s">
        <v>4</v>
      </c>
      <c r="X5" s="41" t="s">
        <v>9</v>
      </c>
      <c r="Y5" s="42" t="s">
        <v>10</v>
      </c>
      <c r="Z5" s="43" t="s">
        <v>8</v>
      </c>
      <c r="AA5" s="17"/>
    </row>
    <row r="6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45" t="str">
        <f>IFERROR(__xludf.DUMMYFUNCTION("filter(I9:I40,M9:M40&lt;&gt;"""")"),"2014-15")</f>
        <v>2014-15</v>
      </c>
      <c r="S6" s="46">
        <f>IFERROR(__xludf.DUMMYFUNCTION("filter(M9:M40,M9:M40&lt;&gt;"""")"),1901.72166666667)</f>
        <v>1901.721667</v>
      </c>
      <c r="T6" s="83">
        <f>IFERROR(__xludf.DUMMYFUNCTION("filter(J9:L40,M9:M40&lt;&gt;"""")"),-1.86852797944385)</f>
        <v>-1.868527979</v>
      </c>
      <c r="U6" s="83">
        <f>IFERROR(__xludf.DUMMYFUNCTION("""COMPUTED_VALUE"""),-2.86125437543679)</f>
        <v>-2.861254375</v>
      </c>
      <c r="V6" s="83">
        <f>IFERROR(__xludf.DUMMYFUNCTION("""COMPUTED_VALUE"""),-4.72978235488064)</f>
        <v>-4.729782355</v>
      </c>
      <c r="W6" s="48">
        <f>if(S6="","",if(PERCENTRANK(Data!F:F,S6)=1,"👑",if(PERCENTRANK(Data!F:F,S6)=0,"💩",PERCENTRANK(Data!F:F,S6))))</f>
        <v>0.794</v>
      </c>
      <c r="X6" s="48">
        <f>if(T6="","",if(PERCENTRANK(Data!K:K,T6)=1,"👑",if(PERCENTRANK(Data!K:K,T6)=0,"💩",PERCENTRANK(Data!K:K,T6))))</f>
        <v>0.098</v>
      </c>
      <c r="Y6" s="48">
        <f>if(U6="","",if(PERCENTRANK(Data!K:K,U6)=1,"👑",if(PERCENTRANK(Data!K:K,U6)=0,"💩",PERCENTRANK(Data!K:K,U6))))</f>
        <v>0.013</v>
      </c>
      <c r="Z6" s="48" t="str">
        <f>if(V6="","",if(PERCENTRANK(Data!J:J,V6)=1,"👑",if(PERCENTRANK(Data!J:J,V6)=0,"💩",PERCENTRANK(Data!J:J,V6))))</f>
        <v>💩</v>
      </c>
      <c r="AA6" s="17"/>
    </row>
    <row r="7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45" t="str">
        <f>IFERROR(__xludf.DUMMYFUNCTION("""COMPUTED_VALUE"""),"2015-16")</f>
        <v>2015-16</v>
      </c>
      <c r="S7" s="46">
        <f>IFERROR(__xludf.DUMMYFUNCTION("""COMPUTED_VALUE"""),2293.48333333333)</f>
        <v>2293.483333</v>
      </c>
      <c r="T7" s="83">
        <f>IFERROR(__xludf.DUMMYFUNCTION("""COMPUTED_VALUE"""),-0.597648013644014)</f>
        <v>-0.5976480136</v>
      </c>
      <c r="U7" s="83">
        <f>IFERROR(__xludf.DUMMYFUNCTION("""COMPUTED_VALUE"""),-2.6831717029197)</f>
        <v>-2.683171703</v>
      </c>
      <c r="V7" s="83">
        <f>IFERROR(__xludf.DUMMYFUNCTION("""COMPUTED_VALUE"""),-3.28081971656372)</f>
        <v>-3.280819717</v>
      </c>
      <c r="W7" s="48">
        <f>if(S7="","",if(PERCENTRANK(Data!F:F,S7)=1,"👑",if(PERCENTRANK(Data!F:F,S7)=0,"💩",PERCENTRANK(Data!F:F,S7))))</f>
        <v>0.902</v>
      </c>
      <c r="X7" s="48">
        <f>if(T7="","",if(PERCENTRANK(Data!K:K,T7)=1,"👑",if(PERCENTRANK(Data!K:K,T7)=0,"💩",PERCENTRANK(Data!K:K,T7))))</f>
        <v>0.437</v>
      </c>
      <c r="Y7" s="48">
        <f>if(U7="","",if(PERCENTRANK(Data!K:K,U7)=1,"👑",if(PERCENTRANK(Data!K:K,U7)=0,"💩",PERCENTRANK(Data!K:K,U7))))</f>
        <v>0.022</v>
      </c>
      <c r="Z7" s="48">
        <f>if(V7="","",if(PERCENTRANK(Data!J:J,V7)=1,"👑",if(PERCENTRANK(Data!J:J,V7)=0,"💩",PERCENTRANK(Data!J:J,V7))))</f>
        <v>0.018</v>
      </c>
      <c r="AA7" s="17"/>
    </row>
    <row r="8">
      <c r="A8" s="17"/>
      <c r="B8" s="17"/>
      <c r="C8" s="17"/>
      <c r="D8" s="17"/>
      <c r="E8" s="53"/>
      <c r="F8" s="53" t="s">
        <v>7</v>
      </c>
      <c r="G8" s="33" t="s">
        <v>12</v>
      </c>
      <c r="H8" s="33" t="s">
        <v>57</v>
      </c>
      <c r="I8" s="50" t="s">
        <v>12</v>
      </c>
      <c r="J8" s="51" t="s">
        <v>58</v>
      </c>
      <c r="K8" s="51" t="s">
        <v>59</v>
      </c>
      <c r="L8" s="51" t="s">
        <v>60</v>
      </c>
      <c r="M8" s="33" t="s">
        <v>4</v>
      </c>
      <c r="N8" s="52" t="s">
        <v>93</v>
      </c>
      <c r="O8" s="17"/>
      <c r="P8" s="17"/>
      <c r="Q8" s="17"/>
      <c r="R8" s="45" t="str">
        <f>IFERROR(__xludf.DUMMYFUNCTION("""COMPUTED_VALUE"""),"2016-17")</f>
        <v>2016-17</v>
      </c>
      <c r="S8" s="46">
        <f>IFERROR(__xludf.DUMMYFUNCTION("""COMPUTED_VALUE"""),1748.80333333333)</f>
        <v>1748.803333</v>
      </c>
      <c r="T8" s="83">
        <f>IFERROR(__xludf.DUMMYFUNCTION("""COMPUTED_VALUE"""),0.108418126870386)</f>
        <v>0.1084181269</v>
      </c>
      <c r="U8" s="83">
        <f>IFERROR(__xludf.DUMMYFUNCTION("""COMPUTED_VALUE"""),-1.53919412551162)</f>
        <v>-1.539194126</v>
      </c>
      <c r="V8" s="83">
        <f>IFERROR(__xludf.DUMMYFUNCTION("""COMPUTED_VALUE"""),-1.43077599864124)</f>
        <v>-1.430775999</v>
      </c>
      <c r="W8" s="48">
        <f>if(S8="","",if(PERCENTRANK(Data!F:F,S8)=1,"👑",if(PERCENTRANK(Data!F:F,S8)=0,"💩",PERCENTRANK(Data!F:F,S8))))</f>
        <v>0.751</v>
      </c>
      <c r="X8" s="48">
        <f>if(T8="","",if(PERCENTRANK(Data!K:K,T8)=1,"👑",if(PERCENTRANK(Data!K:K,T8)=0,"💩",PERCENTRANK(Data!K:K,T8))))</f>
        <v>0.736</v>
      </c>
      <c r="Y8" s="48">
        <f>if(U8="","",if(PERCENTRANK(Data!K:K,U8)=1,"👑",if(PERCENTRANK(Data!K:K,U8)=0,"💩",PERCENTRANK(Data!K:K,U8))))</f>
        <v>0.154</v>
      </c>
      <c r="Z8" s="48">
        <f>if(V8="","",if(PERCENTRANK(Data!J:J,V8)=1,"👑",if(PERCENTRANK(Data!J:J,V8)=0,"💩",PERCENTRANK(Data!J:J,V8))))</f>
        <v>0.255</v>
      </c>
      <c r="AA8" s="17"/>
    </row>
    <row r="9">
      <c r="A9" s="17"/>
      <c r="B9" s="17"/>
      <c r="C9" s="17"/>
      <c r="D9" s="17"/>
      <c r="E9" s="17"/>
      <c r="F9" s="17" t="str">
        <f>IFERROR(__xludf.DUMMYFUNCTION("iferror(filter(Data!I:I,Data!B:B=C$2,Data!C:C=G9),"""")"),"")</f>
        <v/>
      </c>
      <c r="G9" s="32" t="s">
        <v>61</v>
      </c>
      <c r="H9" s="33">
        <f>countifs(Data!B:B,C$2,Data!C:C,G9)</f>
        <v>0</v>
      </c>
      <c r="I9" s="34" t="str">
        <f t="shared" ref="I9:I20" si="1">IF(H9=1,G9,"")</f>
        <v/>
      </c>
      <c r="J9" s="35" t="str">
        <f>IF($H9=1,SUMIFS(Data!K:K,Data!$B:$B,$C$2,Data!$C:$C,$G9),"")</f>
        <v/>
      </c>
      <c r="K9" s="35" t="str">
        <f>IF($H9=1,SUMIFS(Data!L:L,Data!$B:$B,$C$2,Data!$C:$C,$G9),"")</f>
        <v/>
      </c>
      <c r="L9" s="35" t="str">
        <f>IF($H9=1,SUMIFS(Data!J:J,Data!$B:$B,$C$2,Data!$C:$C,$G9),"")</f>
        <v/>
      </c>
      <c r="M9" s="36" t="str">
        <f>IF($H9=1,SUMIFS(Data!F:F,Data!$B:$B,$C$2,Data!$C:$C,$G9),"")</f>
        <v/>
      </c>
      <c r="N9" s="84" t="str">
        <f>IFERROR(__xludf.DUMMYFUNCTION("iferror(filter(Data!H:H,Data!B:B=C2,Data!C:C=G20),filter(Data!H:H,Data!B:B=C2,Data!C:C=G19))"),"SG")</f>
        <v>SG</v>
      </c>
      <c r="O9" s="17"/>
      <c r="P9" s="17"/>
      <c r="Q9" s="17"/>
      <c r="R9" s="45" t="str">
        <f>IFERROR(__xludf.DUMMYFUNCTION("""COMPUTED_VALUE"""),"2017-18")</f>
        <v>2017-18</v>
      </c>
      <c r="S9" s="46">
        <f>IFERROR(__xludf.DUMMYFUNCTION("""COMPUTED_VALUE"""),656.286666666667)</f>
        <v>656.2866667</v>
      </c>
      <c r="T9" s="83">
        <f>IFERROR(__xludf.DUMMYFUNCTION("""COMPUTED_VALUE"""),0.692254988478928)</f>
        <v>0.6922549885</v>
      </c>
      <c r="U9" s="83">
        <f>IFERROR(__xludf.DUMMYFUNCTION("""COMPUTED_VALUE"""),-0.848259762128746)</f>
        <v>-0.8482597621</v>
      </c>
      <c r="V9" s="83">
        <f>IFERROR(__xludf.DUMMYFUNCTION("""COMPUTED_VALUE"""),-0.156004773649818)</f>
        <v>-0.1560047736</v>
      </c>
      <c r="W9" s="48">
        <f>if(S9="","",if(PERCENTRANK(Data!F:F,S9)=1,"👑",if(PERCENTRANK(Data!F:F,S9)=0,"💩",PERCENTRANK(Data!F:F,S9))))</f>
        <v>0.395</v>
      </c>
      <c r="X9" s="48">
        <f>if(T9="","",if(PERCENTRANK(Data!K:K,T9)=1,"👑",if(PERCENTRANK(Data!K:K,T9)=0,"💩",PERCENTRANK(Data!K:K,T9))))</f>
        <v>0.837</v>
      </c>
      <c r="Y9" s="48">
        <f>if(U9="","",if(PERCENTRANK(Data!K:K,U9)=1,"👑",if(PERCENTRANK(Data!K:K,U9)=0,"💩",PERCENTRANK(Data!K:K,U9))))</f>
        <v>0.347</v>
      </c>
      <c r="Z9" s="48">
        <f>if(V9="","",if(PERCENTRANK(Data!J:J,V9)=1,"👑",if(PERCENTRANK(Data!J:J,V9)=0,"💩",PERCENTRANK(Data!J:J,V9))))</f>
        <v>0.639</v>
      </c>
      <c r="AA9" s="17"/>
    </row>
    <row r="10">
      <c r="A10" s="17"/>
      <c r="B10" s="17"/>
      <c r="C10" s="17"/>
      <c r="D10" s="17"/>
      <c r="E10" s="17"/>
      <c r="F10" s="17" t="str">
        <f>IFERROR(__xludf.DUMMYFUNCTION("iferror(filter(Data!I:I,Data!B:B=C$2,Data!C:C=G10),"""")"),"")</f>
        <v/>
      </c>
      <c r="G10" s="32" t="s">
        <v>62</v>
      </c>
      <c r="H10" s="33">
        <f>countifs(Data!B:B,C$2,Data!C:C,G10)</f>
        <v>0</v>
      </c>
      <c r="I10" s="34" t="str">
        <f t="shared" si="1"/>
        <v/>
      </c>
      <c r="J10" s="35" t="str">
        <f>IF($H10=1,SUMIFS(Data!K:K,Data!$B:$B,$C$2,Data!$C:$C,$G10),"")</f>
        <v/>
      </c>
      <c r="K10" s="35" t="str">
        <f>IF($H10=1,SUMIFS(Data!L:L,Data!$B:$B,$C$2,Data!$C:$C,$G10),"")</f>
        <v/>
      </c>
      <c r="L10" s="35" t="str">
        <f>IF($H10=1,SUMIFS(Data!J:J,Data!$B:$B,$C$2,Data!$C:$C,$G10),"")</f>
        <v/>
      </c>
      <c r="M10" s="36" t="str">
        <f>IF($H10=1,SUMIFS(Data!F:F,Data!$B:$B,$C$2,Data!$C:$C,$G10),"")</f>
        <v/>
      </c>
      <c r="N10" s="17"/>
      <c r="O10" s="17"/>
      <c r="P10" s="17"/>
      <c r="Q10" s="17"/>
      <c r="R10" s="45" t="str">
        <f>IFERROR(__xludf.DUMMYFUNCTION("""COMPUTED_VALUE"""),"2018-19")</f>
        <v>2018-19</v>
      </c>
      <c r="S10" s="46">
        <f>IFERROR(__xludf.DUMMYFUNCTION("""COMPUTED_VALUE"""),2170.855)</f>
        <v>2170.855</v>
      </c>
      <c r="T10" s="83">
        <f>IFERROR(__xludf.DUMMYFUNCTION("""COMPUTED_VALUE"""),1.14803860965402)</f>
        <v>1.14803861</v>
      </c>
      <c r="U10" s="83">
        <f>IFERROR(__xludf.DUMMYFUNCTION("""COMPUTED_VALUE"""),-1.3226316839819)</f>
        <v>-1.322631684</v>
      </c>
      <c r="V10" s="83">
        <f>IFERROR(__xludf.DUMMYFUNCTION("""COMPUTED_VALUE"""),-0.174593074327881)</f>
        <v>-0.1745930743</v>
      </c>
      <c r="W10" s="48">
        <f>if(S10="","",if(PERCENTRANK(Data!F:F,S10)=1,"👑",if(PERCENTRANK(Data!F:F,S10)=0,"💩",PERCENTRANK(Data!F:F,S10))))</f>
        <v>0.873</v>
      </c>
      <c r="X10" s="48">
        <f>if(T10="","",if(PERCENTRANK(Data!K:K,T10)=1,"👑",if(PERCENTRANK(Data!K:K,T10)=0,"💩",PERCENTRANK(Data!K:K,T10))))</f>
        <v>0.892</v>
      </c>
      <c r="Y10" s="48">
        <f>if(U10="","",if(PERCENTRANK(Data!K:K,U10)=1,"👑",if(PERCENTRANK(Data!K:K,U10)=0,"💩",PERCENTRANK(Data!K:K,U10))))</f>
        <v>0.209</v>
      </c>
      <c r="Z10" s="48">
        <f>if(V10="","",if(PERCENTRANK(Data!J:J,V10)=1,"👑",if(PERCENTRANK(Data!J:J,V10)=0,"💩",PERCENTRANK(Data!J:J,V10))))</f>
        <v>0.632</v>
      </c>
      <c r="AA10" s="17"/>
    </row>
    <row r="11">
      <c r="A11" s="17"/>
      <c r="B11" s="17"/>
      <c r="C11" s="17"/>
      <c r="D11" s="17"/>
      <c r="E11" s="17"/>
      <c r="F11" s="17" t="str">
        <f>IFERROR(__xludf.DUMMYFUNCTION("iferror(filter(Data!I:I,Data!B:B=C$2,Data!C:C=G11),"""")"),"")</f>
        <v/>
      </c>
      <c r="G11" s="32" t="s">
        <v>63</v>
      </c>
      <c r="H11" s="33">
        <f>countifs(Data!B:B,C$2,Data!C:C,G11)</f>
        <v>0</v>
      </c>
      <c r="I11" s="34" t="str">
        <f t="shared" si="1"/>
        <v/>
      </c>
      <c r="J11" s="35" t="str">
        <f>IF($H11=1,SUMIFS(Data!K:K,Data!$B:$B,$C$2,Data!$C:$C,$G11),"")</f>
        <v/>
      </c>
      <c r="K11" s="35" t="str">
        <f>IF($H11=1,SUMIFS(Data!L:L,Data!$B:$B,$C$2,Data!$C:$C,$G11),"")</f>
        <v/>
      </c>
      <c r="L11" s="35" t="str">
        <f>IF($H11=1,SUMIFS(Data!J:J,Data!$B:$B,$C$2,Data!$C:$C,$G11),"")</f>
        <v/>
      </c>
      <c r="M11" s="36" t="str">
        <f>IF($H11=1,SUMIFS(Data!F:F,Data!$B:$B,$C$2,Data!$C:$C,$G11),"")</f>
        <v/>
      </c>
      <c r="N11" s="85" t="s">
        <v>94</v>
      </c>
      <c r="O11" s="17"/>
      <c r="P11" s="17"/>
      <c r="Q11" s="17"/>
      <c r="R11" s="45" t="str">
        <f>IFERROR(__xludf.DUMMYFUNCTION("""COMPUTED_VALUE"""),"2019-20")</f>
        <v>2019-20</v>
      </c>
      <c r="S11" s="46">
        <f>IFERROR(__xludf.DUMMYFUNCTION("""COMPUTED_VALUE"""),2085.41)</f>
        <v>2085.41</v>
      </c>
      <c r="T11" s="83">
        <f>IFERROR(__xludf.DUMMYFUNCTION("""COMPUTED_VALUE"""),1.81659641267338)</f>
        <v>1.816596413</v>
      </c>
      <c r="U11" s="83">
        <f>IFERROR(__xludf.DUMMYFUNCTION("""COMPUTED_VALUE"""),-1.45150671712732)</f>
        <v>-1.451506717</v>
      </c>
      <c r="V11" s="83">
        <f>IFERROR(__xludf.DUMMYFUNCTION("""COMPUTED_VALUE"""),0.365089695546065)</f>
        <v>0.3650896955</v>
      </c>
      <c r="W11" s="48">
        <f>if(S11="","",if(PERCENTRANK(Data!F:F,S11)=1,"👑",if(PERCENTRANK(Data!F:F,S11)=0,"💩",PERCENTRANK(Data!F:F,S11))))</f>
        <v>0.85</v>
      </c>
      <c r="X11" s="48">
        <f>if(T11="","",if(PERCENTRANK(Data!K:K,T11)=1,"👑",if(PERCENTRANK(Data!K:K,T11)=0,"💩",PERCENTRANK(Data!K:K,T11))))</f>
        <v>0.936</v>
      </c>
      <c r="Y11" s="48">
        <f>if(U11="","",if(PERCENTRANK(Data!K:K,U11)=1,"👑",if(PERCENTRANK(Data!K:K,U11)=0,"💩",PERCENTRANK(Data!K:K,U11))))</f>
        <v>0.178</v>
      </c>
      <c r="Z11" s="48">
        <f>if(V11="","",if(PERCENTRANK(Data!J:J,V11)=1,"👑",if(PERCENTRANK(Data!J:J,V11)=0,"💩",PERCENTRANK(Data!J:J,V11))))</f>
        <v>0.758</v>
      </c>
      <c r="AA11" s="17"/>
    </row>
    <row r="12">
      <c r="A12" s="17"/>
      <c r="B12" s="17"/>
      <c r="C12" s="17"/>
      <c r="D12" s="17"/>
      <c r="E12" s="17"/>
      <c r="F12" s="17" t="str">
        <f>IFERROR(__xludf.DUMMYFUNCTION("iferror(filter(Data!I:I,Data!B:B=C$2,Data!C:C=G12),"""")"),"")</f>
        <v/>
      </c>
      <c r="G12" s="53" t="s">
        <v>64</v>
      </c>
      <c r="H12" s="33">
        <f>countifs(Data!B:B,C$2,Data!C:C,G12)</f>
        <v>0</v>
      </c>
      <c r="I12" s="34" t="str">
        <f t="shared" si="1"/>
        <v/>
      </c>
      <c r="J12" s="35" t="str">
        <f>IF($H12=1,SUMIFS(Data!K:K,Data!$B:$B,$C$2,Data!$C:$C,$G12),"")</f>
        <v/>
      </c>
      <c r="K12" s="35" t="str">
        <f>IF($H12=1,SUMIFS(Data!L:L,Data!$B:$B,$C$2,Data!$C:$C,$G12),"")</f>
        <v/>
      </c>
      <c r="L12" s="35" t="str">
        <f>IF($H12=1,SUMIFS(Data!J:J,Data!$B:$B,$C$2,Data!$C:$C,$G12),"")</f>
        <v/>
      </c>
      <c r="M12" s="36" t="str">
        <f>IF($H12=1,SUMIFS(Data!F:F,Data!$B:$B,$C$2,Data!$C:$C,$G12),"")</f>
        <v/>
      </c>
      <c r="N12" s="86">
        <f>(J18*N21+J19*N22+J20*N23)/sum(N21:N23)</f>
        <v>1.924282755</v>
      </c>
      <c r="O12" s="17"/>
      <c r="P12" s="17"/>
      <c r="Q12" s="17"/>
      <c r="R12" s="45" t="str">
        <f>IFERROR(__xludf.DUMMYFUNCTION("""COMPUTED_VALUE"""),"2020-21")</f>
        <v>2020-21</v>
      </c>
      <c r="S12" s="46">
        <f>IFERROR(__xludf.DUMMYFUNCTION("""COMPUTED_VALUE"""),1035.89333333333)</f>
        <v>1035.893333</v>
      </c>
      <c r="T12" s="83">
        <f>IFERROR(__xludf.DUMMYFUNCTION("""COMPUTED_VALUE"""),2.21861171265297)</f>
        <v>2.218611713</v>
      </c>
      <c r="U12" s="83">
        <f>IFERROR(__xludf.DUMMYFUNCTION("""COMPUTED_VALUE"""),-1.9867982301738)</f>
        <v>-1.98679823</v>
      </c>
      <c r="V12" s="83">
        <f>IFERROR(__xludf.DUMMYFUNCTION("""COMPUTED_VALUE"""),0.231813482479175)</f>
        <v>0.2318134825</v>
      </c>
      <c r="W12" s="48">
        <f>if(S12="","",if(PERCENTRANK(Data!F:F,S12)=1,"👑",if(PERCENTRANK(Data!F:F,S12)=0,"💩",PERCENTRANK(Data!F:F,S12))))</f>
        <v>0.538</v>
      </c>
      <c r="X12" s="48">
        <f>if(T12="","",if(PERCENTRANK(Data!K:K,T12)=1,"👑",if(PERCENTRANK(Data!K:K,T12)=0,"💩",PERCENTRANK(Data!K:K,T12))))</f>
        <v>0.952</v>
      </c>
      <c r="Y12" s="48">
        <f>if(U12="","",if(PERCENTRANK(Data!K:K,U12)=1,"👑",if(PERCENTRANK(Data!K:K,U12)=0,"💩",PERCENTRANK(Data!K:K,U12))))</f>
        <v>0.077</v>
      </c>
      <c r="Z12" s="48">
        <f>if(V12="","",if(PERCENTRANK(Data!J:J,V12)=1,"👑",if(PERCENTRANK(Data!J:J,V12)=0,"💩",PERCENTRANK(Data!J:J,V12))))</f>
        <v>0.734</v>
      </c>
      <c r="AA12" s="17"/>
    </row>
    <row r="13">
      <c r="A13" s="17"/>
      <c r="B13" s="17"/>
      <c r="C13" s="17"/>
      <c r="D13" s="17"/>
      <c r="E13" s="17"/>
      <c r="F13" s="17" t="str">
        <f>IFERROR(__xludf.DUMMYFUNCTION("iferror(filter(Data!I:I,Data!B:B=C$2,Data!C:C=G13),"""")"),"")</f>
        <v/>
      </c>
      <c r="G13" s="53" t="s">
        <v>65</v>
      </c>
      <c r="H13" s="33">
        <f>countifs(Data!B:B,C$2,Data!C:C,G13)</f>
        <v>0</v>
      </c>
      <c r="I13" s="34" t="str">
        <f t="shared" si="1"/>
        <v/>
      </c>
      <c r="J13" s="35" t="str">
        <f>IF($H13=1,SUMIFS(Data!K:K,Data!$B:$B,$C$2,Data!$C:$C,$G13),"")</f>
        <v/>
      </c>
      <c r="K13" s="35" t="str">
        <f>IF($H13=1,SUMIFS(Data!L:L,Data!$B:$B,$C$2,Data!$C:$C,$G13),"")</f>
        <v/>
      </c>
      <c r="L13" s="35" t="str">
        <f>IF($H13=1,SUMIFS(Data!J:J,Data!$B:$B,$C$2,Data!$C:$C,$G13),"")</f>
        <v/>
      </c>
      <c r="M13" s="36" t="str">
        <f>IF($H13=1,SUMIFS(Data!F:F,Data!$B:$B,$C$2,Data!$C:$C,$G13),"")</f>
        <v/>
      </c>
      <c r="N13" s="36"/>
      <c r="O13" s="17"/>
      <c r="P13" s="17"/>
      <c r="Q13" s="17"/>
      <c r="R13" s="1" t="str">
        <f>IFERROR(__xludf.DUMMYFUNCTION("""COMPUTED_VALUE"""),"2021-22")</f>
        <v>2021-22</v>
      </c>
      <c r="S13" s="46">
        <f>IFERROR(__xludf.DUMMYFUNCTION("""COMPUTED_VALUE"""),1577.0764211706548)</f>
        <v>1577.076421</v>
      </c>
      <c r="T13" s="83">
        <f>IFERROR(__xludf.DUMMYFUNCTION("""COMPUTED_VALUE"""),2.2761117126529697)</f>
        <v>2.276111713</v>
      </c>
      <c r="U13" s="83">
        <f>IFERROR(__xludf.DUMMYFUNCTION("""COMPUTED_VALUE"""),-2.0505482301738)</f>
        <v>-2.05054823</v>
      </c>
      <c r="V13" s="83">
        <f>IFERROR(__xludf.DUMMYFUNCTION("""COMPUTED_VALUE"""),0.22556348247916969)</f>
        <v>0.2255634825</v>
      </c>
      <c r="W13" s="48">
        <f>if(S13="","",if(PERCENTRANK(Data!F:F,S13)=1,"👑",if(PERCENTRANK(Data!F:F,S13)=0,"💩",PERCENTRANK(Data!F:F,S13))))</f>
        <v>0.7</v>
      </c>
      <c r="X13" s="48">
        <f>if(T13="","",if(PERCENTRANK(Data!K:K,T13)=1,"👑",if(PERCENTRANK(Data!K:K,T13)=0,"💩",PERCENTRANK(Data!K:K,T13))))</f>
        <v>0.955</v>
      </c>
      <c r="Y13" s="48">
        <f>if(U13="","",if(PERCENTRANK(Data!K:K,U13)=1,"👑",if(PERCENTRANK(Data!K:K,U13)=0,"💩",PERCENTRANK(Data!K:K,U13))))</f>
        <v>0.07</v>
      </c>
      <c r="Z13" s="48">
        <f>if(V13="","",if(PERCENTRANK(Data!J:J,V13)=1,"👑",if(PERCENTRANK(Data!J:J,V13)=0,"💩",PERCENTRANK(Data!J:J,V13))))</f>
        <v>0.734</v>
      </c>
      <c r="AA13" s="17"/>
    </row>
    <row r="14">
      <c r="A14" s="17"/>
      <c r="B14" s="17"/>
      <c r="C14" s="17"/>
      <c r="D14" s="17"/>
      <c r="E14" s="17"/>
      <c r="F14" s="17">
        <f>IFERROR(__xludf.DUMMYFUNCTION("iferror(filter(Data!I:I,Data!B:B=C$2,Data!C:C=G14),"""")"),19.0)</f>
        <v>19</v>
      </c>
      <c r="G14" s="53" t="s">
        <v>66</v>
      </c>
      <c r="H14" s="33">
        <f>countifs(Data!B:B,C$2,Data!C:C,G14)</f>
        <v>1</v>
      </c>
      <c r="I14" s="34" t="str">
        <f t="shared" si="1"/>
        <v>2014-15</v>
      </c>
      <c r="J14" s="35">
        <f>IF($H14=1,SUMIFS(Data!K:K,Data!$B:$B,$C$2,Data!$C:$C,$G14),"")</f>
        <v>-1.868527979</v>
      </c>
      <c r="K14" s="35">
        <f>IF($H14=1,SUMIFS(Data!L:L,Data!$B:$B,$C$2,Data!$C:$C,$G14),"")</f>
        <v>-2.861254375</v>
      </c>
      <c r="L14" s="35">
        <f>IF($H14=1,SUMIFS(Data!J:J,Data!$B:$B,$C$2,Data!$C:$C,$G14),"")</f>
        <v>-4.729782355</v>
      </c>
      <c r="M14" s="36">
        <f>IF($H14=1,SUMIFS(Data!F:F,Data!$B:$B,$C$2,Data!$C:$C,$G14),"")</f>
        <v>1901.721667</v>
      </c>
      <c r="N14" s="77" t="s">
        <v>95</v>
      </c>
      <c r="O14" s="17"/>
      <c r="P14" s="17"/>
      <c r="Q14" s="17"/>
      <c r="R14" s="1" t="str">
        <f>IFERROR(__xludf.DUMMYFUNCTION("""COMPUTED_VALUE"""),"2022-23")</f>
        <v>2022-23</v>
      </c>
      <c r="S14" s="46">
        <f>IFERROR(__xludf.DUMMYFUNCTION("""COMPUTED_VALUE"""),1600.5723835317872)</f>
        <v>1600.572384</v>
      </c>
      <c r="T14" s="83">
        <f>IFERROR(__xludf.DUMMYFUNCTION("""COMPUTED_VALUE"""),2.2803117126529697)</f>
        <v>2.280311713</v>
      </c>
      <c r="U14" s="83">
        <f>IFERROR(__xludf.DUMMYFUNCTION("""COMPUTED_VALUE"""),-2.1399482301738)</f>
        <v>-2.13994823</v>
      </c>
      <c r="V14" s="83">
        <f>IFERROR(__xludf.DUMMYFUNCTION("""COMPUTED_VALUE"""),0.14036348247916974)</f>
        <v>0.1403634825</v>
      </c>
      <c r="W14" s="48">
        <f>if(S14="","",if(PERCENTRANK(Data!F:F,S14)=1,"👑",if(PERCENTRANK(Data!F:F,S14)=0,"💩",PERCENTRANK(Data!F:F,S14))))</f>
        <v>0.705</v>
      </c>
      <c r="X14" s="48">
        <f>iferror(if(T14="","",if(PERCENTRANK(Data!K:K,T14)=1,"👑",if(PERCENTRANK(Data!K:K,T14)=0,"💩",PERCENTRANK(Data!K:K,T14)))),"💩")</f>
        <v>0.955</v>
      </c>
      <c r="Y14" s="48">
        <f>iferror(if(U14="","",if(PERCENTRANK(Data!K:K,U14)=1,"👑",if(PERCENTRANK(Data!K:K,U14)=0,"💩",PERCENTRANK(Data!K:K,U14)))),"💩")</f>
        <v>0.059</v>
      </c>
      <c r="Z14" s="48">
        <f>iferror(if(V14="","",if(PERCENTRANK(Data!J:J,V14)=1,"👑",if(PERCENTRANK(Data!J:J,V14)=0,"💩",PERCENTRANK(Data!J:J,V14)))),"💩")</f>
        <v>0.715</v>
      </c>
      <c r="AA14" s="17"/>
    </row>
    <row r="15">
      <c r="A15" s="17"/>
      <c r="B15" s="17"/>
      <c r="C15" s="17"/>
      <c r="D15" s="17"/>
      <c r="E15" s="17"/>
      <c r="F15" s="17">
        <f>IFERROR(__xludf.DUMMYFUNCTION("iferror(filter(Data!I:I,Data!B:B=C$2,Data!C:C=G15),"""")"),20.0)</f>
        <v>20</v>
      </c>
      <c r="G15" s="53" t="s">
        <v>67</v>
      </c>
      <c r="H15" s="33">
        <f>countifs(Data!B:B,C$2,Data!C:C,G15)</f>
        <v>1</v>
      </c>
      <c r="I15" s="34" t="str">
        <f t="shared" si="1"/>
        <v>2015-16</v>
      </c>
      <c r="J15" s="35">
        <f>IF($H15=1,SUMIFS(Data!K:K,Data!$B:$B,$C$2,Data!$C:$C,$G15),"")</f>
        <v>-0.5976480136</v>
      </c>
      <c r="K15" s="35">
        <f>IF($H15=1,SUMIFS(Data!L:L,Data!$B:$B,$C$2,Data!$C:$C,$G15),"")</f>
        <v>-2.683171703</v>
      </c>
      <c r="L15" s="35">
        <f>IF($H15=1,SUMIFS(Data!J:J,Data!$B:$B,$C$2,Data!$C:$C,$G15),"")</f>
        <v>-3.280819717</v>
      </c>
      <c r="M15" s="36">
        <f>IF($H15=1,SUMIFS(Data!F:F,Data!$B:$B,$C$2,Data!$C:$C,$G15),"")</f>
        <v>2293.483333</v>
      </c>
      <c r="N15" s="87">
        <f>(K18*N21+K19*N22+K20*N23)/sum(N21:N23)</f>
        <v>-1.716480185</v>
      </c>
      <c r="O15" s="17"/>
      <c r="P15" s="17"/>
      <c r="Q15" s="17"/>
      <c r="R15" s="1" t="str">
        <f>IFERROR(__xludf.DUMMYFUNCTION("""COMPUTED_VALUE"""),"2023-24")</f>
        <v>2023-24</v>
      </c>
      <c r="S15" s="46">
        <f>IFERROR(__xludf.DUMMYFUNCTION("""COMPUTED_VALUE"""),1608.859789053469)</f>
        <v>1608.859789</v>
      </c>
      <c r="T15" s="83">
        <f>IFERROR(__xludf.DUMMYFUNCTION("""COMPUTED_VALUE"""),2.2312117126529696)</f>
        <v>2.231211713</v>
      </c>
      <c r="U15" s="83">
        <f>IFERROR(__xludf.DUMMYFUNCTION("""COMPUTED_VALUE"""),-2.2549982301738)</f>
        <v>-2.25499823</v>
      </c>
      <c r="V15" s="83">
        <f>IFERROR(__xludf.DUMMYFUNCTION("""COMPUTED_VALUE"""),-0.023786517520830497)</f>
        <v>-0.02378651752</v>
      </c>
      <c r="W15" s="48">
        <f>if(S15="","",if(PERCENTRANK(Data!F:F,S15)=1,"👑",if(PERCENTRANK(Data!F:F,S15)=0,"💩",PERCENTRANK(Data!F:F,S15))))</f>
        <v>0.707</v>
      </c>
      <c r="X15" s="48">
        <f>iferror(if(T15="","",if(PERCENTRANK(Data!K:K,T15)=1,"👑",if(PERCENTRANK(Data!K:K,T15)=0,"💩",PERCENTRANK(Data!K:K,T15)))),"💩")</f>
        <v>0.952</v>
      </c>
      <c r="Y15" s="48">
        <f>iferror(if(U15="","",if(PERCENTRANK(Data!K:K,U15)=1,"👑",if(PERCENTRANK(Data!K:K,U15)=0,"💩",PERCENTRANK(Data!K:K,U15)))),"💩")</f>
        <v>0.048</v>
      </c>
      <c r="Z15" s="48">
        <f>iferror(if(V15="","",if(PERCENTRANK(Data!J:J,V15)=1,"👑",if(PERCENTRANK(Data!J:J,V15)=0,"💩",PERCENTRANK(Data!J:J,V15)))),"💩")</f>
        <v>0.674</v>
      </c>
      <c r="AA15" s="17"/>
    </row>
    <row r="16">
      <c r="A16" s="17"/>
      <c r="B16" s="17"/>
      <c r="C16" s="17"/>
      <c r="D16" s="17"/>
      <c r="E16" s="17"/>
      <c r="F16" s="17">
        <f>IFERROR(__xludf.DUMMYFUNCTION("iferror(filter(Data!I:I,Data!B:B=C$2,Data!C:C=G16),"""")"),21.0)</f>
        <v>21</v>
      </c>
      <c r="G16" s="53" t="s">
        <v>68</v>
      </c>
      <c r="H16" s="33">
        <f>countifs(Data!B:B,C$2,Data!C:C,G16)</f>
        <v>1</v>
      </c>
      <c r="I16" s="34" t="str">
        <f t="shared" si="1"/>
        <v>2016-17</v>
      </c>
      <c r="J16" s="35">
        <f>IF($H16=1,SUMIFS(Data!K:K,Data!$B:$B,$C$2,Data!$C:$C,$G16),"")</f>
        <v>0.1084181269</v>
      </c>
      <c r="K16" s="35">
        <f>IF($H16=1,SUMIFS(Data!L:L,Data!$B:$B,$C$2,Data!$C:$C,$G16),"")</f>
        <v>-1.539194126</v>
      </c>
      <c r="L16" s="35">
        <f>IF($H16=1,SUMIFS(Data!J:J,Data!$B:$B,$C$2,Data!$C:$C,$G16),"")</f>
        <v>-1.430775999</v>
      </c>
      <c r="M16" s="36">
        <f>IF($H16=1,SUMIFS(Data!F:F,Data!$B:$B,$C$2,Data!$C:$C,$G16),"")</f>
        <v>1748.803333</v>
      </c>
      <c r="N16" s="36"/>
      <c r="O16" s="17"/>
      <c r="P16" s="17"/>
      <c r="Q16" s="17"/>
      <c r="R16" s="1" t="str">
        <f>IFERROR(__xludf.DUMMYFUNCTION("""COMPUTED_VALUE"""),"2024-25")</f>
        <v>2024-25</v>
      </c>
      <c r="S16" s="46">
        <f>IFERROR(__xludf.DUMMYFUNCTION("""COMPUTED_VALUE"""),1601.5509361216602)</f>
        <v>1601.550936</v>
      </c>
      <c r="T16" s="83">
        <f>IFERROR(__xludf.DUMMYFUNCTION("""COMPUTED_VALUE"""),2.1288117126529693)</f>
        <v>2.128811713</v>
      </c>
      <c r="U16" s="83">
        <f>IFERROR(__xludf.DUMMYFUNCTION("""COMPUTED_VALUE"""),-2.3956982301738)</f>
        <v>-2.39569823</v>
      </c>
      <c r="V16" s="83">
        <f>IFERROR(__xludf.DUMMYFUNCTION("""COMPUTED_VALUE"""),-0.2668865175208306)</f>
        <v>-0.2668865175</v>
      </c>
      <c r="W16" s="48">
        <f>if(S16="","",if(PERCENTRANK(Data!F:F,S16)=1,"👑",if(PERCENTRANK(Data!F:F,S16)=0,"💩",PERCENTRANK(Data!F:F,S16))))</f>
        <v>0.705</v>
      </c>
      <c r="X16" s="48">
        <f>iferror(if(T16="","",if(PERCENTRANK(Data!K:K,T16)=1,"👑",if(PERCENTRANK(Data!K:K,T16)=0,"💩",PERCENTRANK(Data!K:K,T16)))),"💩")</f>
        <v>0.948</v>
      </c>
      <c r="Y16" s="48">
        <f>iferror(if(U16="","",if(PERCENTRANK(Data!K:K,U16)=1,"👑",if(PERCENTRANK(Data!K:K,U16)=0,"💩",PERCENTRANK(Data!K:K,U16)))),"💩")</f>
        <v>0.037</v>
      </c>
      <c r="Z16" s="48">
        <f>iferror(if(V16="","",if(PERCENTRANK(Data!J:J,V16)=1,"👑",if(PERCENTRANK(Data!J:J,V16)=0,"💩",PERCENTRANK(Data!J:J,V16)))),"💩")</f>
        <v>0.607</v>
      </c>
      <c r="AA16" s="17"/>
    </row>
    <row r="17">
      <c r="A17" s="17"/>
      <c r="B17" s="17"/>
      <c r="C17" s="17"/>
      <c r="D17" s="17"/>
      <c r="E17" s="17"/>
      <c r="F17" s="17">
        <f>IFERROR(__xludf.DUMMYFUNCTION("iferror(filter(Data!I:I,Data!B:B=C$2,Data!C:C=G17),"""")"),22.0)</f>
        <v>22</v>
      </c>
      <c r="G17" s="53" t="s">
        <v>69</v>
      </c>
      <c r="H17" s="33">
        <f>countifs(Data!B:B,C$2,Data!C:C,G17)</f>
        <v>1</v>
      </c>
      <c r="I17" s="34" t="str">
        <f t="shared" si="1"/>
        <v>2017-18</v>
      </c>
      <c r="J17" s="35">
        <f>IF($H17=1,SUMIFS(Data!K:K,Data!$B:$B,$C$2,Data!$C:$C,$G17),"")</f>
        <v>0.6922549885</v>
      </c>
      <c r="K17" s="35">
        <f>IF($H17=1,SUMIFS(Data!L:L,Data!$B:$B,$C$2,Data!$C:$C,$G17),"")</f>
        <v>-0.8482597621</v>
      </c>
      <c r="L17" s="35">
        <f>IF($H17=1,SUMIFS(Data!J:J,Data!$B:$B,$C$2,Data!$C:$C,$G17),"")</f>
        <v>-0.1560047736</v>
      </c>
      <c r="M17" s="36">
        <f>IF($H17=1,SUMIFS(Data!F:F,Data!$B:$B,$C$2,Data!$C:$C,$G17),"")</f>
        <v>656.2866667</v>
      </c>
      <c r="N17" s="77" t="s">
        <v>4</v>
      </c>
      <c r="O17" s="17"/>
      <c r="P17" s="17"/>
      <c r="Q17" s="17"/>
      <c r="R17" s="45" t="str">
        <f>IFERROR(__xludf.DUMMYFUNCTION("""COMPUTED_VALUE"""),"2025-26")</f>
        <v>2025-26</v>
      </c>
      <c r="S17" s="46">
        <f>IFERROR(__xludf.DUMMYFUNCTION("""COMPUTED_VALUE"""),1578.7071644571224)</f>
        <v>1578.707164</v>
      </c>
      <c r="T17" s="83">
        <f>IFERROR(__xludf.DUMMYFUNCTION("""COMPUTED_VALUE"""),1.9731117126529691)</f>
        <v>1.973111713</v>
      </c>
      <c r="U17" s="83">
        <f>IFERROR(__xludf.DUMMYFUNCTION("""COMPUTED_VALUE"""),-2.5620482301738)</f>
        <v>-2.56204823</v>
      </c>
      <c r="V17" s="83">
        <f>IFERROR(__xludf.DUMMYFUNCTION("""COMPUTED_VALUE"""),-0.5889365175208308)</f>
        <v>-0.5889365175</v>
      </c>
      <c r="W17" s="48">
        <f>if(S17="","",if(PERCENTRANK(Data!F:F,S17)=1,"👑",if(PERCENTRANK(Data!F:F,S17)=0,"💩",PERCENTRANK(Data!F:F,S17))))</f>
        <v>0.701</v>
      </c>
      <c r="X17" s="48">
        <f>iferror(if(T17="","",if(PERCENTRANK(Data!K:K,T17)=1,"👑",if(PERCENTRANK(Data!K:K,T17)=0,"💩",PERCENTRANK(Data!K:K,T17)))),"💩")</f>
        <v>0.943</v>
      </c>
      <c r="Y17" s="48">
        <f>iferror(if(U17="","",if(PERCENTRANK(Data!K:K,U17)=1,"👑",if(PERCENTRANK(Data!K:K,U17)=0,"💩",PERCENTRANK(Data!K:K,U17)))),"💩")</f>
        <v>0.027</v>
      </c>
      <c r="Z17" s="48">
        <f>iferror(if(V17="","",if(PERCENTRANK(Data!J:J,V17)=1,"👑",if(PERCENTRANK(Data!J:J,V17)=0,"💩",PERCENTRANK(Data!J:J,V17)))),"💩")</f>
        <v>0.508</v>
      </c>
      <c r="AA17" s="17"/>
    </row>
    <row r="18">
      <c r="A18" s="17"/>
      <c r="B18" s="17"/>
      <c r="C18" s="17"/>
      <c r="D18" s="17"/>
      <c r="E18" s="17"/>
      <c r="F18" s="17">
        <f>IFERROR(__xludf.DUMMYFUNCTION("iferror(filter(Data!I:I,Data!B:B=C$2,Data!C:C=G18),"""")"),23.0)</f>
        <v>23</v>
      </c>
      <c r="G18" s="53" t="s">
        <v>70</v>
      </c>
      <c r="H18" s="33">
        <f>countifs(Data!B:B,C$2,Data!C:C,G18)</f>
        <v>1</v>
      </c>
      <c r="I18" s="34" t="str">
        <f t="shared" si="1"/>
        <v>2018-19</v>
      </c>
      <c r="J18" s="35">
        <f>IF($H18=1,SUMIFS(Data!K:K,Data!$B:$B,$C$2,Data!$C:$C,$G18),"")</f>
        <v>1.14803861</v>
      </c>
      <c r="K18" s="35">
        <f>IF($H18=1,SUMIFS(Data!L:L,Data!$B:$B,$C$2,Data!$C:$C,$G18),"")</f>
        <v>-1.322631684</v>
      </c>
      <c r="L18" s="35">
        <f>IF($H18=1,SUMIFS(Data!J:J,Data!$B:$B,$C$2,Data!$C:$C,$G18),"")</f>
        <v>-0.1745930743</v>
      </c>
      <c r="M18" s="36">
        <f>IF($H18=1,SUMIFS(Data!F:F,Data!$B:$B,$C$2,Data!$C:$C,$G18),"")</f>
        <v>2170.855</v>
      </c>
      <c r="N18" s="88">
        <f>(M18*N21+M19*N22+M20*N23)/sum(N21:N23)</f>
        <v>1539.183143</v>
      </c>
      <c r="O18" s="17"/>
      <c r="P18" s="17"/>
      <c r="Q18" s="17"/>
      <c r="R18" s="45" t="str">
        <f>IFERROR(__xludf.DUMMYFUNCTION("""COMPUTED_VALUE"""),"2026-27")</f>
        <v>2026-27</v>
      </c>
      <c r="S18" s="46">
        <f>IFERROR(__xludf.DUMMYFUNCTION("""COMPUTED_VALUE"""),1540.8431600775048)</f>
        <v>1540.84316</v>
      </c>
      <c r="T18" s="83">
        <f>IFERROR(__xludf.DUMMYFUNCTION("""COMPUTED_VALUE"""),1.764111712652969)</f>
        <v>1.764111713</v>
      </c>
      <c r="U18" s="83">
        <f>IFERROR(__xludf.DUMMYFUNCTION("""COMPUTED_VALUE"""),-2.8180482301738)</f>
        <v>-2.81804823</v>
      </c>
      <c r="V18" s="83">
        <f>IFERROR(__xludf.DUMMYFUNCTION("""COMPUTED_VALUE"""),-1.053936517520831)</f>
        <v>-1.053936518</v>
      </c>
      <c r="W18" s="48">
        <f>if(S18="","",if(PERCENTRANK(Data!F:F,S18)=1,"👑",if(PERCENTRANK(Data!F:F,S18)=0,"💩",PERCENTRANK(Data!F:F,S18))))</f>
        <v>0.691</v>
      </c>
      <c r="X18" s="48">
        <f>iferror(if(T18="","",if(PERCENTRANK(Data!K:K,T18)=1,"👑",if(PERCENTRANK(Data!K:K,T18)=0,"💩",PERCENTRANK(Data!K:K,T18)))),"💩")</f>
        <v>0.934</v>
      </c>
      <c r="Y18" s="48">
        <f>iferror(if(U18="","",if(PERCENTRANK(Data!K:K,U18)=1,"👑",if(PERCENTRANK(Data!K:K,U18)=0,"💩",PERCENTRANK(Data!K:K,U18)))),"💩")</f>
        <v>0.014</v>
      </c>
      <c r="Z18" s="48">
        <f>iferror(if(V18="","",if(PERCENTRANK(Data!J:J,V18)=1,"👑",if(PERCENTRANK(Data!J:J,V18)=0,"💩",PERCENTRANK(Data!J:J,V18)))),"💩")</f>
        <v>0.364</v>
      </c>
      <c r="AA18" s="17"/>
    </row>
    <row r="19">
      <c r="A19" s="17"/>
      <c r="B19" s="17"/>
      <c r="C19" s="17"/>
      <c r="D19" s="17"/>
      <c r="E19" s="17"/>
      <c r="F19" s="17">
        <f>IFERROR(__xludf.DUMMYFUNCTION("iferror(filter(Data!I:I,Data!B:B=C$2,Data!C:C=G19),"""")"),24.0)</f>
        <v>24</v>
      </c>
      <c r="G19" s="53" t="s">
        <v>71</v>
      </c>
      <c r="H19" s="33">
        <f>countifs(Data!B:B,C$2,Data!C:C,G19)</f>
        <v>1</v>
      </c>
      <c r="I19" s="34" t="str">
        <f t="shared" si="1"/>
        <v>2019-20</v>
      </c>
      <c r="J19" s="35">
        <f>IF($H19=1,SUMIFS(Data!K:K,Data!$B:$B,$C$2,Data!$C:$C,$G19),"")</f>
        <v>1.816596413</v>
      </c>
      <c r="K19" s="35">
        <f>IF($H19=1,SUMIFS(Data!L:L,Data!$B:$B,$C$2,Data!$C:$C,$G19),"")</f>
        <v>-1.451506717</v>
      </c>
      <c r="L19" s="35">
        <f>IF($H19=1,SUMIFS(Data!J:J,Data!$B:$B,$C$2,Data!$C:$C,$G19),"")</f>
        <v>0.3650896955</v>
      </c>
      <c r="M19" s="36">
        <f>IF($H19=1,SUMIFS(Data!F:F,Data!$B:$B,$C$2,Data!$C:$C,$G19),"")</f>
        <v>2085.41</v>
      </c>
      <c r="N19" s="17"/>
      <c r="O19" s="17"/>
      <c r="P19" s="17"/>
      <c r="Q19" s="17"/>
      <c r="R19" s="45" t="str">
        <f>IFERROR(__xludf.DUMMYFUNCTION("""COMPUTED_VALUE"""),"2027-28")</f>
        <v>2027-28</v>
      </c>
      <c r="S19" s="46">
        <f>IFERROR(__xludf.DUMMYFUNCTION("""COMPUTED_VALUE"""),1488.9092902849204)</f>
        <v>1488.90929</v>
      </c>
      <c r="T19" s="83">
        <f>IFERROR(__xludf.DUMMYFUNCTION("""COMPUTED_VALUE"""),1.5018117126529689)</f>
        <v>1.501811713</v>
      </c>
      <c r="U19" s="83">
        <f>IFERROR(__xludf.DUMMYFUNCTION("""COMPUTED_VALUE"""),-3.1082482301738)</f>
        <v>-3.10824823</v>
      </c>
      <c r="V19" s="83">
        <f>IFERROR(__xludf.DUMMYFUNCTION("""COMPUTED_VALUE"""),-1.6064365175208313)</f>
        <v>-1.606436518</v>
      </c>
      <c r="W19" s="48">
        <f>if(S19="","",if(PERCENTRANK(Data!F:F,S19)=1,"👑",if(PERCENTRANK(Data!F:F,S19)=0,"💩",PERCENTRANK(Data!F:F,S19))))</f>
        <v>0.677</v>
      </c>
      <c r="X19" s="48">
        <f>iferror(if(T19="","",if(PERCENTRANK(Data!K:K,T19)=1,"👑",if(PERCENTRANK(Data!K:K,T19)=0,"💩",PERCENTRANK(Data!K:K,T19)))),"💩")</f>
        <v>0.92</v>
      </c>
      <c r="Y19" s="48">
        <f>iferror(if(U19="","",if(PERCENTRANK(Data!K:K,U19)=1,"👑",if(PERCENTRANK(Data!K:K,U19)=0,"💩",PERCENTRANK(Data!K:K,U19)))),"💩")</f>
        <v>0.007</v>
      </c>
      <c r="Z19" s="48">
        <f>iferror(if(V19="","",if(PERCENTRANK(Data!J:J,V19)=1,"👑",if(PERCENTRANK(Data!J:J,V19)=0,"💩",PERCENTRANK(Data!J:J,V19)))),"💩")</f>
        <v>0.214</v>
      </c>
      <c r="AA19" s="17"/>
    </row>
    <row r="20">
      <c r="A20" s="17"/>
      <c r="B20" s="17"/>
      <c r="C20" s="17"/>
      <c r="D20" s="17"/>
      <c r="E20" s="17"/>
      <c r="F20" s="17">
        <f>if(F19&lt;&gt;"",F19+1,if(F18&lt;&gt;"",F18+2,if(F17&lt;&gt;"",F17+3,if(F16&lt;&gt;"",F16+4))))</f>
        <v>25</v>
      </c>
      <c r="G20" s="53" t="s">
        <v>13</v>
      </c>
      <c r="H20" s="33">
        <f>countifs(Data!B:B,C$2,Data!C:C,G20)</f>
        <v>1</v>
      </c>
      <c r="I20" s="34" t="str">
        <f t="shared" si="1"/>
        <v>2020-21</v>
      </c>
      <c r="J20" s="35">
        <f>IF($H20=1,SUMIFS(Data!K:K,Data!$B:$B,$C$2,Data!$C:$C,$G20),"")</f>
        <v>2.218611713</v>
      </c>
      <c r="K20" s="35">
        <f>IF($H20=1,SUMIFS(Data!L:L,Data!$B:$B,$C$2,Data!$C:$C,$G20),"")</f>
        <v>-1.98679823</v>
      </c>
      <c r="L20" s="35">
        <f>IF($H20=1,SUMIFS(Data!J:J,Data!$B:$B,$C$2,Data!$C:$C,$G20),"")</f>
        <v>0.2318134825</v>
      </c>
      <c r="M20" s="36">
        <f>IF($H20=1,SUMIFS(Data!F:F,Data!$B:$B,$C$2,Data!$C:$C,$G20),"")</f>
        <v>1035.893333</v>
      </c>
      <c r="N20" s="85" t="s">
        <v>96</v>
      </c>
      <c r="O20" s="17"/>
      <c r="P20" s="17"/>
      <c r="Q20" s="17"/>
      <c r="R20" s="45" t="str">
        <f>IFERROR(__xludf.DUMMYFUNCTION("""COMPUTED_VALUE"""),"2028-29")</f>
        <v>2028-29</v>
      </c>
      <c r="S20" s="46">
        <f>IFERROR(__xludf.DUMMYFUNCTION("""COMPUTED_VALUE"""),1424.252671653699)</f>
        <v>1424.252672</v>
      </c>
      <c r="T20" s="83">
        <f>IFERROR(__xludf.DUMMYFUNCTION("""COMPUTED_VALUE"""),1.1862117126529688)</f>
        <v>1.186211713</v>
      </c>
      <c r="U20" s="83">
        <f>IFERROR(__xludf.DUMMYFUNCTION("""COMPUTED_VALUE"""),-3.4326482301738004)</f>
        <v>-3.43264823</v>
      </c>
      <c r="V20" s="83">
        <f>IFERROR(__xludf.DUMMYFUNCTION("""COMPUTED_VALUE"""),-2.2464365175208316)</f>
        <v>-2.246436518</v>
      </c>
      <c r="W20" s="48">
        <f>if(S20="","",if(PERCENTRANK(Data!F:F,S20)=1,"👑",if(PERCENTRANK(Data!F:F,S20)=0,"💩",PERCENTRANK(Data!F:F,S20))))</f>
        <v>0.657</v>
      </c>
      <c r="X20" s="48">
        <f>iferror(if(T20="","",if(PERCENTRANK(Data!K:K,T20)=1,"👑",if(PERCENTRANK(Data!K:K,T20)=0,"💩",PERCENTRANK(Data!K:K,T20)))),"💩")</f>
        <v>0.894</v>
      </c>
      <c r="Y20" s="48">
        <f>iferror(if(U20="","",if(PERCENTRANK(Data!K:K,U20)=1,"👑",if(PERCENTRANK(Data!K:K,U20)=0,"💩",PERCENTRANK(Data!K:K,U20)))),"💩")</f>
        <v>0.002</v>
      </c>
      <c r="Z20" s="48">
        <f>iferror(if(V20="","",if(PERCENTRANK(Data!J:J,V20)=1,"👑",if(PERCENTRANK(Data!J:J,V20)=0,"💩",PERCENTRANK(Data!J:J,V20)))),"💩")</f>
        <v>0.095</v>
      </c>
      <c r="AA20" s="17"/>
    </row>
    <row r="21">
      <c r="A21" s="17"/>
      <c r="B21" s="17"/>
      <c r="C21" s="17"/>
      <c r="D21" s="17"/>
      <c r="E21" s="17"/>
      <c r="F21" s="17">
        <f t="shared" ref="F21:F40" si="2">F20+1</f>
        <v>26</v>
      </c>
      <c r="G21" s="53" t="str">
        <f t="shared" ref="G21:G40" si="3">if(G20="","",IF(F21&gt;42,"",IF(L20&lt;-2.3,"",LEFT(G20,4)+1&amp;"-"&amp;RIGHT(G20,2)+1)))</f>
        <v>2021-22</v>
      </c>
      <c r="H21" s="75">
        <f t="shared" ref="H21:H40" si="4">if(M21="","",1)</f>
        <v>1</v>
      </c>
      <c r="I21" s="17" t="str">
        <f t="shared" ref="I21:I40" si="5">if(G21="","",G21)</f>
        <v>2021-22</v>
      </c>
      <c r="J21" s="35">
        <f>IFERROR(__xludf.DUMMYFUNCTION("IF(I21="""","""",if(J20="""",N$12+filter('Growth Summary'!L:L,'Growth Summary'!A:A=F21-1,'Growth Summary'!B:B=N$9),J20+filter('Growth Summary'!L:L,'Growth Summary'!A:A=F20,'Growth Summary'!B:B=N$9)))"),2.2761117126529697)</f>
        <v>2.276111713</v>
      </c>
      <c r="K21" s="35">
        <f>IFERROR(__xludf.DUMMYFUNCTION("IF(I21="""","""",if(K20="""",N$15+filter('Growth Summary'!M:M,'Growth Summary'!A:A=F21-1,'Growth Summary'!B:B=N$9),K20+filter('Growth Summary'!M:M,'Growth Summary'!A:A=F20,'Growth Summary'!B:B=N$9)))"),-2.0505482301738)</f>
        <v>-2.05054823</v>
      </c>
      <c r="L21" s="89">
        <f t="shared" ref="L21:L40" si="6">IF(I21="","",sum(J21:K21))</f>
        <v>0.2255634825</v>
      </c>
      <c r="M21" s="90">
        <f>IF(G21="","",IF((1.27735607841386-0.00972065365210483*F21)*N18&gt;82*35,82*35,(1.27735607841386-0.00972065365210483*F21)*N18))</f>
        <v>1577.076421</v>
      </c>
      <c r="N21" s="84">
        <f>if(M18=0,0,1)*M18</f>
        <v>2170.855</v>
      </c>
      <c r="O21" s="17"/>
      <c r="P21" s="17"/>
      <c r="Q21" s="17"/>
      <c r="R21" s="45" t="str">
        <f>IFERROR(__xludf.DUMMYFUNCTION("""COMPUTED_VALUE"""),"2029-30")</f>
        <v>2029-30</v>
      </c>
      <c r="S21" s="46">
        <f>IFERROR(__xludf.DUMMYFUNCTION("""COMPUTED_VALUE"""),1348.5591315701918)</f>
        <v>1348.559132</v>
      </c>
      <c r="T21" s="83">
        <f>IFERROR(__xludf.DUMMYFUNCTION("""COMPUTED_VALUE"""),0.8173117126529688)</f>
        <v>0.8173117127</v>
      </c>
      <c r="U21" s="83">
        <f>IFERROR(__xludf.DUMMYFUNCTION("""COMPUTED_VALUE"""),-3.7912482301738004)</f>
        <v>-3.79124823</v>
      </c>
      <c r="V21" s="83">
        <f>IFERROR(__xludf.DUMMYFUNCTION("""COMPUTED_VALUE"""),-2.9739365175208317)</f>
        <v>-2.973936518</v>
      </c>
      <c r="W21" s="48">
        <f>if(S21="","",if(PERCENTRANK(Data!F:F,S21)=1,"👑",if(PERCENTRANK(Data!F:F,S21)=0,"💩",PERCENTRANK(Data!F:F,S21))))</f>
        <v>0.634</v>
      </c>
      <c r="X21" s="48">
        <f>iferror(if(T21="","",if(PERCENTRANK(Data!K:K,T21)=1,"👑",if(PERCENTRANK(Data!K:K,T21)=0,"💩",PERCENTRANK(Data!K:K,T21)))),"💩")</f>
        <v>0.852</v>
      </c>
      <c r="Y21" s="48">
        <f>iferror(if(U21="","",if(PERCENTRANK(Data!K:K,U21)=1,"👑",if(PERCENTRANK(Data!K:K,U21)=0,"💩",PERCENTRANK(Data!K:K,U21)))),"💩")</f>
        <v>0.001</v>
      </c>
      <c r="Z21" s="48">
        <f>iferror(if(V21="","",if(PERCENTRANK(Data!J:J,V21)=1,"👑",if(PERCENTRANK(Data!J:J,V21)=0,"💩",PERCENTRANK(Data!J:J,V21)))),"💩")</f>
        <v>0.033</v>
      </c>
      <c r="AA21" s="17"/>
    </row>
    <row r="22">
      <c r="A22" s="17"/>
      <c r="B22" s="17"/>
      <c r="C22" s="17"/>
      <c r="D22" s="17"/>
      <c r="E22" s="17"/>
      <c r="F22" s="17">
        <f t="shared" si="2"/>
        <v>27</v>
      </c>
      <c r="G22" s="53" t="str">
        <f t="shared" si="3"/>
        <v>2022-23</v>
      </c>
      <c r="H22" s="75">
        <f t="shared" si="4"/>
        <v>1</v>
      </c>
      <c r="I22" s="17" t="str">
        <f t="shared" si="5"/>
        <v>2022-23</v>
      </c>
      <c r="J22" s="35">
        <f>IFERROR(__xludf.DUMMYFUNCTION("IF(I22="""","""",if(J21="""",N$12+filter('Growth Summary'!L:L,'Growth Summary'!A:A=F22-1,'Growth Summary'!B:B=N$9),J21+filter('Growth Summary'!L:L,'Growth Summary'!A:A=F21,'Growth Summary'!B:B=N$9)))"),2.2803117126529697)</f>
        <v>2.280311713</v>
      </c>
      <c r="K22" s="35">
        <f>IFERROR(__xludf.DUMMYFUNCTION("IF(I22="""","""",if(K21="""",N$15+filter('Growth Summary'!M:M,'Growth Summary'!A:A=F22-1,'Growth Summary'!B:B=N$9),K21+filter('Growth Summary'!M:M,'Growth Summary'!A:A=F21,'Growth Summary'!B:B=N$9)))"),-2.1399482301738)</f>
        <v>-2.13994823</v>
      </c>
      <c r="L22" s="89">
        <f t="shared" si="6"/>
        <v>0.1403634825</v>
      </c>
      <c r="M22" s="90">
        <f t="shared" ref="M22:M40" si="7">IF(G22="","",IF((1.27735607841386-0.00972065365210483*F22)*M21&gt;82*35,82*35,(1.27735607841386-0.00972065365210483*F22)*M21))</f>
        <v>1600.572384</v>
      </c>
      <c r="N22" s="84">
        <f>if(M19=0,1,2)*M19</f>
        <v>4170.82</v>
      </c>
      <c r="O22" s="17"/>
      <c r="P22" s="17"/>
      <c r="Q22" s="17"/>
      <c r="R22" s="45"/>
      <c r="S22" s="46"/>
      <c r="T22" s="83"/>
      <c r="U22" s="83"/>
      <c r="V22" s="83"/>
      <c r="W22" s="48" t="str">
        <f>if(S22="","",if(PERCENTRANK(Data!F:F,S22)=1,"👑",if(PERCENTRANK(Data!F:F,S22)=0,"💩",PERCENTRANK(Data!F:F,S22))))</f>
        <v/>
      </c>
      <c r="X22" s="48" t="str">
        <f>iferror(if(T22="","",if(PERCENTRANK(Data!K:K,T22)=1,"👑",if(PERCENTRANK(Data!K:K,T22)=0,"💩",PERCENTRANK(Data!K:K,T22)))),"💩")</f>
        <v/>
      </c>
      <c r="Y22" s="48" t="str">
        <f>iferror(if(U22="","",if(PERCENTRANK(Data!K:K,U22)=1,"👑",if(PERCENTRANK(Data!K:K,U22)=0,"💩",PERCENTRANK(Data!K:K,U22)))),"💩")</f>
        <v/>
      </c>
      <c r="Z22" s="48" t="str">
        <f>iferror(if(V22="","",if(PERCENTRANK(Data!J:J,V22)=1,"👑",if(PERCENTRANK(Data!J:J,V22)=0,"💩",PERCENTRANK(Data!J:J,V22)))),"💩")</f>
        <v/>
      </c>
      <c r="AA22" s="17"/>
    </row>
    <row r="23">
      <c r="A23" s="17"/>
      <c r="B23" s="17"/>
      <c r="C23" s="17"/>
      <c r="D23" s="17"/>
      <c r="E23" s="17"/>
      <c r="F23" s="17">
        <f t="shared" si="2"/>
        <v>28</v>
      </c>
      <c r="G23" s="53" t="str">
        <f t="shared" si="3"/>
        <v>2023-24</v>
      </c>
      <c r="H23" s="75">
        <f t="shared" si="4"/>
        <v>1</v>
      </c>
      <c r="I23" s="17" t="str">
        <f t="shared" si="5"/>
        <v>2023-24</v>
      </c>
      <c r="J23" s="35">
        <f>IFERROR(__xludf.DUMMYFUNCTION("IF(I23="""","""",if(J22="""",N$12+filter('Growth Summary'!L:L,'Growth Summary'!A:A=F23-1,'Growth Summary'!B:B=N$9),J22+filter('Growth Summary'!L:L,'Growth Summary'!A:A=F22,'Growth Summary'!B:B=N$9)))"),2.2312117126529696)</f>
        <v>2.231211713</v>
      </c>
      <c r="K23" s="35">
        <f>IFERROR(__xludf.DUMMYFUNCTION("IF(I23="""","""",if(K22="""",N$15+filter('Growth Summary'!M:M,'Growth Summary'!A:A=F23-1,'Growth Summary'!B:B=N$9),K22+filter('Growth Summary'!M:M,'Growth Summary'!A:A=F22,'Growth Summary'!B:B=N$9)))"),-2.2549982301738)</f>
        <v>-2.25499823</v>
      </c>
      <c r="L23" s="89">
        <f t="shared" si="6"/>
        <v>-0.02378651752</v>
      </c>
      <c r="M23" s="90">
        <f t="shared" si="7"/>
        <v>1608.859789</v>
      </c>
      <c r="N23" s="84">
        <f>if(M20=0,3,7)*M20</f>
        <v>7251.253333</v>
      </c>
      <c r="O23" s="17"/>
      <c r="P23" s="17"/>
      <c r="Q23" s="17"/>
      <c r="R23" s="45"/>
      <c r="S23" s="46"/>
      <c r="T23" s="83"/>
      <c r="U23" s="83"/>
      <c r="V23" s="83"/>
      <c r="W23" s="48" t="str">
        <f>if(S23="","",if(PERCENTRANK(Data!F:F,S23)=1,"👑",if(PERCENTRANK(Data!F:F,S23)=0,"💩",PERCENTRANK(Data!F:F,S23))))</f>
        <v/>
      </c>
      <c r="X23" s="48" t="str">
        <f>iferror(if(T23="","",if(PERCENTRANK(Data!K:K,T23)=1,"👑",if(PERCENTRANK(Data!K:K,T23)=0,"💩",PERCENTRANK(Data!K:K,T23)))),"💩")</f>
        <v/>
      </c>
      <c r="Y23" s="48" t="str">
        <f>iferror(if(U23="","",if(PERCENTRANK(Data!K:K,U23)=1,"👑",if(PERCENTRANK(Data!K:K,U23)=0,"💩",PERCENTRANK(Data!K:K,U23)))),"💩")</f>
        <v/>
      </c>
      <c r="Z23" s="48" t="str">
        <f>iferror(if(V23="","",if(PERCENTRANK(Data!J:J,V23)=1,"👑",if(PERCENTRANK(Data!J:J,V23)=0,"💩",PERCENTRANK(Data!J:J,V23)))),"💩")</f>
        <v/>
      </c>
      <c r="AA23" s="17"/>
    </row>
    <row r="24">
      <c r="A24" s="17"/>
      <c r="B24" s="17"/>
      <c r="C24" s="17"/>
      <c r="D24" s="17"/>
      <c r="E24" s="17"/>
      <c r="F24" s="17">
        <f t="shared" si="2"/>
        <v>29</v>
      </c>
      <c r="G24" s="53" t="str">
        <f t="shared" si="3"/>
        <v>2024-25</v>
      </c>
      <c r="H24" s="75">
        <f t="shared" si="4"/>
        <v>1</v>
      </c>
      <c r="I24" s="17" t="str">
        <f t="shared" si="5"/>
        <v>2024-25</v>
      </c>
      <c r="J24" s="35">
        <f>IFERROR(__xludf.DUMMYFUNCTION("IF(I24="""","""",if(J23="""",N$12+filter('Growth Summary'!L:L,'Growth Summary'!A:A=F24-1,'Growth Summary'!B:B=N$9),J23+filter('Growth Summary'!L:L,'Growth Summary'!A:A=F23,'Growth Summary'!B:B=N$9)))"),2.1288117126529693)</f>
        <v>2.128811713</v>
      </c>
      <c r="K24" s="35">
        <f>IFERROR(__xludf.DUMMYFUNCTION("IF(I24="""","""",if(K23="""",N$15+filter('Growth Summary'!M:M,'Growth Summary'!A:A=F24-1,'Growth Summary'!B:B=N$9),K23+filter('Growth Summary'!M:M,'Growth Summary'!A:A=F23,'Growth Summary'!B:B=N$9)))"),-2.3956982301738)</f>
        <v>-2.39569823</v>
      </c>
      <c r="L24" s="89">
        <f t="shared" si="6"/>
        <v>-0.2668865175</v>
      </c>
      <c r="M24" s="90">
        <f t="shared" si="7"/>
        <v>1601.550936</v>
      </c>
      <c r="N24" s="90"/>
      <c r="O24" s="17"/>
      <c r="P24" s="17"/>
      <c r="Q24" s="17"/>
      <c r="R24" s="45"/>
      <c r="S24" s="46"/>
      <c r="T24" s="83"/>
      <c r="U24" s="83"/>
      <c r="V24" s="83"/>
      <c r="W24" s="48" t="str">
        <f>if(S24="","",if(PERCENTRANK(Data!F:F,S24)=1,"👑",if(PERCENTRANK(Data!F:F,S24)=0,"💩",PERCENTRANK(Data!F:F,S24))))</f>
        <v/>
      </c>
      <c r="X24" s="48" t="str">
        <f>iferror(if(T24="","",if(PERCENTRANK(Data!K:K,T24)=1,"👑",if(PERCENTRANK(Data!K:K,T24)=0,"💩",PERCENTRANK(Data!K:K,T24)))),"💩")</f>
        <v/>
      </c>
      <c r="Y24" s="48" t="str">
        <f>iferror(if(U24="","",if(PERCENTRANK(Data!K:K,U24)=1,"👑",if(PERCENTRANK(Data!K:K,U24)=0,"💩",PERCENTRANK(Data!K:K,U24)))),"💩")</f>
        <v/>
      </c>
      <c r="Z24" s="48" t="str">
        <f>iferror(if(V24="","",if(PERCENTRANK(Data!J:J,V24)=1,"👑",if(PERCENTRANK(Data!J:J,V24)=0,"💩",PERCENTRANK(Data!J:J,V24)))),"💩")</f>
        <v/>
      </c>
      <c r="AA24" s="17"/>
    </row>
    <row r="25">
      <c r="A25" s="17"/>
      <c r="B25" s="17"/>
      <c r="C25" s="17"/>
      <c r="D25" s="17"/>
      <c r="E25" s="17"/>
      <c r="F25" s="17">
        <f t="shared" si="2"/>
        <v>30</v>
      </c>
      <c r="G25" s="53" t="str">
        <f t="shared" si="3"/>
        <v>2025-26</v>
      </c>
      <c r="H25" s="75">
        <f t="shared" si="4"/>
        <v>1</v>
      </c>
      <c r="I25" s="17" t="str">
        <f t="shared" si="5"/>
        <v>2025-26</v>
      </c>
      <c r="J25" s="35">
        <f>IFERROR(__xludf.DUMMYFUNCTION("IF(I25="""","""",if(J24="""",N$12+filter('Growth Summary'!L:L,'Growth Summary'!A:A=F25-1,'Growth Summary'!B:B=N$9),J24+filter('Growth Summary'!L:L,'Growth Summary'!A:A=F24,'Growth Summary'!B:B=N$9)))"),1.9731117126529691)</f>
        <v>1.973111713</v>
      </c>
      <c r="K25" s="35">
        <f>IFERROR(__xludf.DUMMYFUNCTION("IF(I25="""","""",if(K24="""",N$15+filter('Growth Summary'!M:M,'Growth Summary'!A:A=F25-1,'Growth Summary'!B:B=N$9),K24+filter('Growth Summary'!M:M,'Growth Summary'!A:A=F24,'Growth Summary'!B:B=N$9)))"),-2.5620482301738)</f>
        <v>-2.56204823</v>
      </c>
      <c r="L25" s="89">
        <f t="shared" si="6"/>
        <v>-0.5889365175</v>
      </c>
      <c r="M25" s="90">
        <f t="shared" si="7"/>
        <v>1578.707164</v>
      </c>
      <c r="N25" s="90"/>
      <c r="O25" s="17"/>
      <c r="P25" s="17"/>
      <c r="Q25" s="17"/>
      <c r="R25" s="45"/>
      <c r="S25" s="46"/>
      <c r="T25" s="83"/>
      <c r="U25" s="83"/>
      <c r="V25" s="83"/>
      <c r="W25" s="48" t="str">
        <f>if(S25="","",if(PERCENTRANK(Data!F:F,S25)=1,"👑",if(PERCENTRANK(Data!F:F,S25)=0,"💩",PERCENTRANK(Data!F:F,S25))))</f>
        <v/>
      </c>
      <c r="X25" s="48" t="str">
        <f>iferror(if(T25="","",if(PERCENTRANK(Data!K:K,T25)=1,"👑",if(PERCENTRANK(Data!K:K,T25)=0,"💩",PERCENTRANK(Data!K:K,T25)))),"💩")</f>
        <v/>
      </c>
      <c r="Y25" s="48" t="str">
        <f>iferror(if(U25="","",if(PERCENTRANK(Data!K:K,U25)=1,"👑",if(PERCENTRANK(Data!K:K,U25)=0,"💩",PERCENTRANK(Data!K:K,U25)))),"💩")</f>
        <v/>
      </c>
      <c r="Z25" s="48" t="str">
        <f>iferror(if(V25="","",if(PERCENTRANK(Data!J:J,V25)=1,"👑",if(PERCENTRANK(Data!J:J,V25)=0,"💩",PERCENTRANK(Data!J:J,V25)))),"💩")</f>
        <v/>
      </c>
      <c r="AA25" s="17"/>
    </row>
    <row r="26">
      <c r="A26" s="17"/>
      <c r="B26" s="59" t="s">
        <v>81</v>
      </c>
      <c r="C26" s="17"/>
      <c r="D26" s="17"/>
      <c r="E26" s="17"/>
      <c r="F26" s="17">
        <f t="shared" si="2"/>
        <v>31</v>
      </c>
      <c r="G26" s="53" t="str">
        <f t="shared" si="3"/>
        <v>2026-27</v>
      </c>
      <c r="H26" s="75">
        <f t="shared" si="4"/>
        <v>1</v>
      </c>
      <c r="I26" s="17" t="str">
        <f t="shared" si="5"/>
        <v>2026-27</v>
      </c>
      <c r="J26" s="35">
        <f>IFERROR(__xludf.DUMMYFUNCTION("IF(I26="""","""",if(J25="""",N$12+filter('Growth Summary'!L:L,'Growth Summary'!A:A=F26-1,'Growth Summary'!B:B=N$9),J25+filter('Growth Summary'!L:L,'Growth Summary'!A:A=F25,'Growth Summary'!B:B=N$9)))"),1.764111712652969)</f>
        <v>1.764111713</v>
      </c>
      <c r="K26" s="35">
        <f>IFERROR(__xludf.DUMMYFUNCTION("IF(I26="""","""",if(K25="""",N$15+filter('Growth Summary'!M:M,'Growth Summary'!A:A=F26-1,'Growth Summary'!B:B=N$9),K25+filter('Growth Summary'!M:M,'Growth Summary'!A:A=F25,'Growth Summary'!B:B=N$9)))"),-2.8180482301738)</f>
        <v>-2.81804823</v>
      </c>
      <c r="L26" s="89">
        <f t="shared" si="6"/>
        <v>-1.053936518</v>
      </c>
      <c r="M26" s="90">
        <f t="shared" si="7"/>
        <v>1540.84316</v>
      </c>
      <c r="N26" s="90"/>
      <c r="O26" s="17"/>
      <c r="P26" s="17"/>
      <c r="Q26" s="17"/>
      <c r="R26" s="45"/>
      <c r="S26" s="46"/>
      <c r="T26" s="83"/>
      <c r="U26" s="83"/>
      <c r="V26" s="83"/>
      <c r="W26" s="48" t="str">
        <f>if(S26="","",if(PERCENTRANK(Data!F:F,S26)=1,"👑",if(PERCENTRANK(Data!F:F,S26)=0,"💩",PERCENTRANK(Data!F:F,S26))))</f>
        <v/>
      </c>
      <c r="X26" s="48" t="str">
        <f>iferror(if(T26="","",if(PERCENTRANK(Data!K:K,T26)=1,"👑",if(PERCENTRANK(Data!K:K,T26)=0,"💩",PERCENTRANK(Data!K:K,T26)))),"💩")</f>
        <v/>
      </c>
      <c r="Y26" s="48" t="str">
        <f>iferror(if(U26="","",if(PERCENTRANK(Data!K:K,U26)=1,"👑",if(PERCENTRANK(Data!K:K,U26)=0,"💩",PERCENTRANK(Data!K:K,U26)))),"💩")</f>
        <v/>
      </c>
      <c r="Z26" s="48" t="str">
        <f>iferror(if(V26="","",if(PERCENTRANK(Data!J:J,V26)=1,"👑",if(PERCENTRANK(Data!J:J,V26)=0,"💩",PERCENTRANK(Data!J:J,V26)))),"💩")</f>
        <v/>
      </c>
      <c r="AA26" s="17"/>
    </row>
    <row r="27">
      <c r="A27" s="17"/>
      <c r="B27" s="17"/>
      <c r="C27" s="17"/>
      <c r="D27" s="17"/>
      <c r="E27" s="17"/>
      <c r="F27" s="17">
        <f t="shared" si="2"/>
        <v>32</v>
      </c>
      <c r="G27" s="53" t="str">
        <f t="shared" si="3"/>
        <v>2027-28</v>
      </c>
      <c r="H27" s="75">
        <f t="shared" si="4"/>
        <v>1</v>
      </c>
      <c r="I27" s="17" t="str">
        <f t="shared" si="5"/>
        <v>2027-28</v>
      </c>
      <c r="J27" s="35">
        <f>IFERROR(__xludf.DUMMYFUNCTION("IF(I27="""","""",if(J26="""",N$12+filter('Growth Summary'!L:L,'Growth Summary'!A:A=F27-1,'Growth Summary'!B:B=N$9),J26+filter('Growth Summary'!L:L,'Growth Summary'!A:A=F26,'Growth Summary'!B:B=N$9)))"),1.5018117126529689)</f>
        <v>1.501811713</v>
      </c>
      <c r="K27" s="35">
        <f>IFERROR(__xludf.DUMMYFUNCTION("IF(I27="""","""",if(K26="""",N$15+filter('Growth Summary'!M:M,'Growth Summary'!A:A=F27-1,'Growth Summary'!B:B=N$9),K26+filter('Growth Summary'!M:M,'Growth Summary'!A:A=F26,'Growth Summary'!B:B=N$9)))"),-3.1082482301738)</f>
        <v>-3.10824823</v>
      </c>
      <c r="L27" s="89">
        <f t="shared" si="6"/>
        <v>-1.606436518</v>
      </c>
      <c r="M27" s="90">
        <f t="shared" si="7"/>
        <v>1488.90929</v>
      </c>
      <c r="N27" s="90"/>
      <c r="O27" s="17"/>
      <c r="P27" s="17"/>
      <c r="Q27" s="17"/>
      <c r="R27" s="45"/>
      <c r="S27" s="46"/>
      <c r="T27" s="83"/>
      <c r="U27" s="83"/>
      <c r="V27" s="83"/>
      <c r="W27" s="48" t="str">
        <f>if(S27="","",if(PERCENTRANK(Data!F:F,S27)=1,"👑",if(PERCENTRANK(Data!F:F,S27)=0,"💩",PERCENTRANK(Data!F:F,S27))))</f>
        <v/>
      </c>
      <c r="X27" s="48" t="str">
        <f>iferror(if(T27="","",if(PERCENTRANK(Data!K:K,T27)=1,"👑",if(PERCENTRANK(Data!K:K,T27)=0,"💩",PERCENTRANK(Data!K:K,T27)))),"💩")</f>
        <v/>
      </c>
      <c r="Y27" s="48" t="str">
        <f>iferror(if(U27="","",if(PERCENTRANK(Data!K:K,U27)=1,"👑",if(PERCENTRANK(Data!K:K,U27)=0,"💩",PERCENTRANK(Data!K:K,U27)))),"💩")</f>
        <v/>
      </c>
      <c r="Z27" s="48" t="str">
        <f>iferror(if(V27="","",if(PERCENTRANK(Data!J:J,V27)=1,"👑",if(PERCENTRANK(Data!J:J,V27)=0,"💩",PERCENTRANK(Data!J:J,V27)))),"💩")</f>
        <v/>
      </c>
      <c r="AA27" s="17"/>
    </row>
    <row r="28">
      <c r="A28" s="17"/>
      <c r="B28" s="17"/>
      <c r="C28" s="17"/>
      <c r="D28" s="17"/>
      <c r="E28" s="17"/>
      <c r="F28" s="17">
        <f t="shared" si="2"/>
        <v>33</v>
      </c>
      <c r="G28" s="53" t="str">
        <f t="shared" si="3"/>
        <v>2028-29</v>
      </c>
      <c r="H28" s="75">
        <f t="shared" si="4"/>
        <v>1</v>
      </c>
      <c r="I28" s="17" t="str">
        <f t="shared" si="5"/>
        <v>2028-29</v>
      </c>
      <c r="J28" s="35">
        <f>IFERROR(__xludf.DUMMYFUNCTION("IF(I28="""","""",if(J27="""",N$12+filter('Growth Summary'!L:L,'Growth Summary'!A:A=F28-1,'Growth Summary'!B:B=N$9),J27+filter('Growth Summary'!L:L,'Growth Summary'!A:A=F27,'Growth Summary'!B:B=N$9)))"),1.1862117126529688)</f>
        <v>1.186211713</v>
      </c>
      <c r="K28" s="35">
        <f>IFERROR(__xludf.DUMMYFUNCTION("IF(I28="""","""",if(K27="""",N$15+filter('Growth Summary'!M:M,'Growth Summary'!A:A=F28-1,'Growth Summary'!B:B=N$9),K27+filter('Growth Summary'!M:M,'Growth Summary'!A:A=F27,'Growth Summary'!B:B=N$9)))"),-3.4326482301738004)</f>
        <v>-3.43264823</v>
      </c>
      <c r="L28" s="89">
        <f t="shared" si="6"/>
        <v>-2.246436518</v>
      </c>
      <c r="M28" s="90">
        <f t="shared" si="7"/>
        <v>1424.252672</v>
      </c>
      <c r="N28" s="90"/>
      <c r="O28" s="17"/>
      <c r="P28" s="17"/>
      <c r="Q28" s="17"/>
      <c r="R28" s="45"/>
      <c r="S28" s="46"/>
      <c r="T28" s="83"/>
      <c r="U28" s="83"/>
      <c r="V28" s="83"/>
      <c r="W28" s="48" t="str">
        <f>if(S28="","",if(PERCENTRANK(Data!F:F,S28)=1,"👑",if(PERCENTRANK(Data!F:F,S28)=0,"💩",PERCENTRANK(Data!F:F,S28))))</f>
        <v/>
      </c>
      <c r="X28" s="48" t="str">
        <f>iferror(if(T28="","",if(PERCENTRANK(Data!K:K,T28)=1,"👑",if(PERCENTRANK(Data!K:K,T28)=0,"💩",PERCENTRANK(Data!K:K,T28)))),"💩")</f>
        <v/>
      </c>
      <c r="Y28" s="48" t="str">
        <f>iferror(if(U28="","",if(PERCENTRANK(Data!K:K,U28)=1,"👑",if(PERCENTRANK(Data!K:K,U28)=0,"💩",PERCENTRANK(Data!K:K,U28)))),"💩")</f>
        <v/>
      </c>
      <c r="Z28" s="48" t="str">
        <f>iferror(if(V28="","",if(PERCENTRANK(Data!J:J,V28)=1,"👑",if(PERCENTRANK(Data!J:J,V28)=0,"💩",PERCENTRANK(Data!J:J,V28)))),"💩")</f>
        <v/>
      </c>
      <c r="AA28" s="17"/>
    </row>
    <row r="29">
      <c r="A29" s="17"/>
      <c r="B29" s="17"/>
      <c r="C29" s="17"/>
      <c r="D29" s="17"/>
      <c r="E29" s="17"/>
      <c r="F29" s="17">
        <f t="shared" si="2"/>
        <v>34</v>
      </c>
      <c r="G29" s="53" t="str">
        <f t="shared" si="3"/>
        <v>2029-30</v>
      </c>
      <c r="H29" s="75">
        <f t="shared" si="4"/>
        <v>1</v>
      </c>
      <c r="I29" s="17" t="str">
        <f t="shared" si="5"/>
        <v>2029-30</v>
      </c>
      <c r="J29" s="35">
        <f>IFERROR(__xludf.DUMMYFUNCTION("IF(I29="""","""",if(J28="""",N$12+filter('Growth Summary'!L:L,'Growth Summary'!A:A=F29-1,'Growth Summary'!B:B=N$9),J28+filter('Growth Summary'!L:L,'Growth Summary'!A:A=F28,'Growth Summary'!B:B=N$9)))"),0.8173117126529688)</f>
        <v>0.8173117127</v>
      </c>
      <c r="K29" s="35">
        <f>IFERROR(__xludf.DUMMYFUNCTION("IF(I29="""","""",if(K28="""",N$15+filter('Growth Summary'!M:M,'Growth Summary'!A:A=F29-1,'Growth Summary'!B:B=N$9),K28+filter('Growth Summary'!M:M,'Growth Summary'!A:A=F28,'Growth Summary'!B:B=N$9)))"),-3.7912482301738004)</f>
        <v>-3.79124823</v>
      </c>
      <c r="L29" s="89">
        <f t="shared" si="6"/>
        <v>-2.973936518</v>
      </c>
      <c r="M29" s="90">
        <f t="shared" si="7"/>
        <v>1348.559132</v>
      </c>
      <c r="N29" s="90"/>
      <c r="O29" s="17"/>
      <c r="P29" s="17"/>
      <c r="Q29" s="17"/>
      <c r="R29" s="45"/>
      <c r="S29" s="46"/>
      <c r="T29" s="83"/>
      <c r="U29" s="83"/>
      <c r="V29" s="83"/>
      <c r="W29" s="48" t="str">
        <f>if(S29="","",if(PERCENTRANK(Data!F:F,S29)=1,"👑",if(PERCENTRANK(Data!F:F,S29)=0,"💩",PERCENTRANK(Data!F:F,S29))))</f>
        <v/>
      </c>
      <c r="X29" s="48" t="str">
        <f>iferror(if(T29="","",if(PERCENTRANK(Data!K:K,T29)=1,"👑",if(PERCENTRANK(Data!K:K,T29)=0,"💩",PERCENTRANK(Data!K:K,T29)))),"💩")</f>
        <v/>
      </c>
      <c r="Y29" s="48" t="str">
        <f>iferror(if(U29="","",if(PERCENTRANK(Data!K:K,U29)=1,"👑",if(PERCENTRANK(Data!K:K,U29)=0,"💩",PERCENTRANK(Data!K:K,U29)))),"💩")</f>
        <v/>
      </c>
      <c r="Z29" s="48" t="str">
        <f>iferror(if(V29="","",if(PERCENTRANK(Data!J:J,V29)=1,"👑",if(PERCENTRANK(Data!J:J,V29)=0,"💩",PERCENTRANK(Data!J:J,V29)))),"💩")</f>
        <v/>
      </c>
      <c r="AA29" s="17"/>
    </row>
    <row r="30">
      <c r="A30" s="17"/>
      <c r="B30" s="17"/>
      <c r="C30" s="17"/>
      <c r="D30" s="17"/>
      <c r="E30" s="17"/>
      <c r="F30" s="17">
        <f t="shared" si="2"/>
        <v>35</v>
      </c>
      <c r="G30" s="53" t="str">
        <f t="shared" si="3"/>
        <v/>
      </c>
      <c r="H30" s="75" t="str">
        <f t="shared" si="4"/>
        <v/>
      </c>
      <c r="I30" s="17" t="str">
        <f t="shared" si="5"/>
        <v/>
      </c>
      <c r="J30" s="35" t="str">
        <f>IFERROR(__xludf.DUMMYFUNCTION("IF(I30="""","""",if(J29="""",N$12+filter('Growth Summary'!L:L,'Growth Summary'!A:A=F30-1,'Growth Summary'!B:B=N$9),J29+filter('Growth Summary'!L:L,'Growth Summary'!A:A=F29,'Growth Summary'!B:B=N$9)))"),"")</f>
        <v/>
      </c>
      <c r="K30" s="35" t="str">
        <f>IFERROR(__xludf.DUMMYFUNCTION("IF(I30="""","""",if(K29="""",N$15+filter('Growth Summary'!M:M,'Growth Summary'!A:A=F30-1,'Growth Summary'!B:B=N$9),K29+filter('Growth Summary'!M:M,'Growth Summary'!A:A=F29,'Growth Summary'!B:B=N$9)))"),"")</f>
        <v/>
      </c>
      <c r="L30" s="17" t="str">
        <f t="shared" si="6"/>
        <v/>
      </c>
      <c r="M30" s="90" t="str">
        <f t="shared" si="7"/>
        <v/>
      </c>
      <c r="N30" s="90"/>
      <c r="O30" s="17"/>
      <c r="P30" s="17"/>
      <c r="Q30" s="17"/>
      <c r="R30" s="45"/>
      <c r="S30" s="91" t="s">
        <v>97</v>
      </c>
      <c r="Z30" s="48"/>
      <c r="AA30" s="17"/>
    </row>
    <row r="31">
      <c r="A31" s="17"/>
      <c r="B31" s="17"/>
      <c r="C31" s="17"/>
      <c r="D31" s="17"/>
      <c r="E31" s="17"/>
      <c r="F31" s="17">
        <f t="shared" si="2"/>
        <v>36</v>
      </c>
      <c r="G31" s="53" t="str">
        <f t="shared" si="3"/>
        <v/>
      </c>
      <c r="H31" s="75" t="str">
        <f t="shared" si="4"/>
        <v/>
      </c>
      <c r="I31" s="17" t="str">
        <f t="shared" si="5"/>
        <v/>
      </c>
      <c r="J31" s="35" t="str">
        <f>IFERROR(__xludf.DUMMYFUNCTION("IF(I31="""","""",if(J30="""",N$12+filter('Growth Summary'!L:L,'Growth Summary'!A:A=F31-1,'Growth Summary'!B:B=N$9),J30+filter('Growth Summary'!L:L,'Growth Summary'!A:A=F30,'Growth Summary'!B:B=N$9)))"),"")</f>
        <v/>
      </c>
      <c r="K31" s="35" t="str">
        <f>IFERROR(__xludf.DUMMYFUNCTION("IF(I31="""","""",if(K30="""",N$15+filter('Growth Summary'!M:M,'Growth Summary'!A:A=F31-1,'Growth Summary'!B:B=N$9),K30+filter('Growth Summary'!M:M,'Growth Summary'!A:A=F30,'Growth Summary'!B:B=N$9)))"),"")</f>
        <v/>
      </c>
      <c r="L31" s="17" t="str">
        <f t="shared" si="6"/>
        <v/>
      </c>
      <c r="M31" s="90" t="str">
        <f t="shared" si="7"/>
        <v/>
      </c>
      <c r="N31" s="90"/>
      <c r="O31" s="17"/>
      <c r="P31" s="17"/>
      <c r="Q31" s="17"/>
      <c r="R31" s="45"/>
      <c r="S31" s="92"/>
      <c r="T31" s="83"/>
      <c r="U31" s="83"/>
      <c r="V31" s="83"/>
      <c r="W31" s="48"/>
      <c r="X31" s="48"/>
      <c r="Y31" s="48"/>
      <c r="Z31" s="48"/>
      <c r="AA31" s="17"/>
    </row>
    <row r="32">
      <c r="A32" s="17"/>
      <c r="B32" s="17"/>
      <c r="C32" s="17"/>
      <c r="D32" s="17"/>
      <c r="E32" s="17"/>
      <c r="F32" s="17">
        <f t="shared" si="2"/>
        <v>37</v>
      </c>
      <c r="G32" s="53" t="str">
        <f t="shared" si="3"/>
        <v/>
      </c>
      <c r="H32" s="75" t="str">
        <f t="shared" si="4"/>
        <v/>
      </c>
      <c r="I32" s="17" t="str">
        <f t="shared" si="5"/>
        <v/>
      </c>
      <c r="J32" s="35" t="str">
        <f>IFERROR(__xludf.DUMMYFUNCTION("IF(I32="""","""",if(J31="""",N$12+filter('Growth Summary'!L:L,'Growth Summary'!A:A=F32-1,'Growth Summary'!B:B=N$9),J31+filter('Growth Summary'!L:L,'Growth Summary'!A:A=F31,'Growth Summary'!B:B=N$9)))"),"")</f>
        <v/>
      </c>
      <c r="K32" s="35" t="str">
        <f>IFERROR(__xludf.DUMMYFUNCTION("IF(I32="""","""",if(K31="""",N$15+filter('Growth Summary'!M:M,'Growth Summary'!A:A=F32-1,'Growth Summary'!B:B=N$9),K31+filter('Growth Summary'!M:M,'Growth Summary'!A:A=F31,'Growth Summary'!B:B=N$9)))"),"")</f>
        <v/>
      </c>
      <c r="L32" s="17" t="str">
        <f t="shared" si="6"/>
        <v/>
      </c>
      <c r="M32" s="90" t="str">
        <f t="shared" si="7"/>
        <v/>
      </c>
      <c r="N32" s="90"/>
      <c r="O32" s="17"/>
      <c r="P32" s="17"/>
      <c r="Q32" s="17"/>
      <c r="R32" s="45"/>
      <c r="S32" s="46"/>
      <c r="T32" s="83"/>
      <c r="U32" s="83"/>
      <c r="V32" s="83"/>
      <c r="W32" s="48" t="str">
        <f>if(S32="","",if(PERCENTRANK(Data!F:F,S32)=1,"👑",if(PERCENTRANK(Data!F:F,S32)=0,"💩",PERCENTRANK(Data!F:F,S32))))</f>
        <v/>
      </c>
      <c r="X32" s="48" t="str">
        <f>if(T32="","",if(PERCENTRANK(Data!K:K,T32)=1,"👑",if(PERCENTRANK(Data!K:K,T32)=0,"💩",PERCENTRANK(Data!K:K,T32))))</f>
        <v/>
      </c>
      <c r="Y32" s="48" t="str">
        <f>if(U32="","",if(PERCENTRANK(Data!K:K,U32)=1,"👑",if(PERCENTRANK(Data!K:K,U32)=0,"💩",PERCENTRANK(Data!K:K,U32))))</f>
        <v/>
      </c>
      <c r="Z32" s="48" t="str">
        <f>if(V32="","",if(PERCENTRANK(Data!J:J,V32)=1,"👑",if(PERCENTRANK(Data!J:J,V32)=0,"💩",PERCENTRANK(Data!J:J,V32))))</f>
        <v/>
      </c>
      <c r="AA32" s="17"/>
    </row>
    <row r="33">
      <c r="A33" s="17"/>
      <c r="B33" s="17"/>
      <c r="C33" s="17"/>
      <c r="D33" s="17"/>
      <c r="E33" s="17"/>
      <c r="F33" s="17">
        <f t="shared" si="2"/>
        <v>38</v>
      </c>
      <c r="G33" s="53" t="str">
        <f t="shared" si="3"/>
        <v/>
      </c>
      <c r="H33" s="75" t="str">
        <f t="shared" si="4"/>
        <v/>
      </c>
      <c r="I33" s="17" t="str">
        <f t="shared" si="5"/>
        <v/>
      </c>
      <c r="J33" s="35" t="str">
        <f>IFERROR(__xludf.DUMMYFUNCTION("IF(I33="""","""",if(J32="""",N$12+filter('Growth Summary'!L:L,'Growth Summary'!A:A=F33-1,'Growth Summary'!B:B=N$9),J32+filter('Growth Summary'!L:L,'Growth Summary'!A:A=F32,'Growth Summary'!B:B=N$9)))"),"")</f>
        <v/>
      </c>
      <c r="K33" s="35" t="str">
        <f>IFERROR(__xludf.DUMMYFUNCTION("IF(I33="""","""",if(K32="""",N$15+filter('Growth Summary'!M:M,'Growth Summary'!A:A=F33-1,'Growth Summary'!B:B=N$9),K32+filter('Growth Summary'!M:M,'Growth Summary'!A:A=F32,'Growth Summary'!B:B=N$9)))"),"")</f>
        <v/>
      </c>
      <c r="L33" s="17" t="str">
        <f t="shared" si="6"/>
        <v/>
      </c>
      <c r="M33" s="90" t="str">
        <f t="shared" si="7"/>
        <v/>
      </c>
      <c r="N33" s="90"/>
      <c r="O33" s="17"/>
      <c r="P33" s="17"/>
      <c r="Q33" s="17"/>
      <c r="R33" s="45"/>
      <c r="S33" s="46"/>
      <c r="T33" s="83"/>
      <c r="U33" s="83"/>
      <c r="V33" s="83"/>
      <c r="W33" s="48" t="str">
        <f>if(S33="","",if(PERCENTRANK(Data!F:F,S33)=1,"👑",if(PERCENTRANK(Data!F:F,S33)=0,"💩",PERCENTRANK(Data!F:F,S33))))</f>
        <v/>
      </c>
      <c r="X33" s="48" t="str">
        <f>if(T33="","",if(PERCENTRANK(Data!K:K,T33)=1,"👑",if(PERCENTRANK(Data!K:K,T33)=0,"💩",PERCENTRANK(Data!K:K,T33))))</f>
        <v/>
      </c>
      <c r="Y33" s="48" t="str">
        <f>if(U33="","",if(PERCENTRANK(Data!K:K,U33)=1,"👑",if(PERCENTRANK(Data!K:K,U33)=0,"💩",PERCENTRANK(Data!K:K,U33))))</f>
        <v/>
      </c>
      <c r="Z33" s="48" t="str">
        <f>if(V33="","",if(PERCENTRANK(Data!J:J,V33)=1,"👑",if(PERCENTRANK(Data!J:J,V33)=0,"💩",PERCENTRANK(Data!J:J,V33))))</f>
        <v/>
      </c>
      <c r="AA33" s="17"/>
    </row>
    <row r="34" hidden="1">
      <c r="A34" s="17"/>
      <c r="B34" s="17"/>
      <c r="C34" s="17"/>
      <c r="D34" s="17"/>
      <c r="E34" s="17"/>
      <c r="F34" s="17">
        <f t="shared" si="2"/>
        <v>39</v>
      </c>
      <c r="G34" s="53" t="str">
        <f t="shared" si="3"/>
        <v/>
      </c>
      <c r="H34" s="75" t="str">
        <f t="shared" si="4"/>
        <v/>
      </c>
      <c r="I34" s="17" t="str">
        <f t="shared" si="5"/>
        <v/>
      </c>
      <c r="J34" s="35" t="str">
        <f>IF(I34="","",power($F33,1)*'Career Projection 1'!AF$7+power($F33,2)*'Career Projection 1'!AF$8+power($F33,3)*'Career Projection 1'!AF$9+power($F33,4)*'Career Projection 1'!AF$10+J33)</f>
        <v/>
      </c>
      <c r="K34" s="35" t="str">
        <f>IF(I34="","",power($F33,1)*'Career Projection 1'!AG$7+power($F33,2)*'Career Projection 1'!AG$8+power($F33,3)*'Career Projection 1'!AG$9+power($F33,4)*'Career Projection 1'!AG$10+K33)</f>
        <v/>
      </c>
      <c r="L34" s="17" t="str">
        <f t="shared" si="6"/>
        <v/>
      </c>
      <c r="M34" s="90" t="str">
        <f t="shared" si="7"/>
        <v/>
      </c>
      <c r="N34" s="90"/>
      <c r="O34" s="17"/>
      <c r="P34" s="17"/>
      <c r="Q34" s="17"/>
      <c r="R34" s="45"/>
      <c r="S34" s="46"/>
      <c r="T34" s="83"/>
      <c r="U34" s="83"/>
      <c r="V34" s="83"/>
      <c r="W34" s="48" t="str">
        <f>if(S34="","",if(PERCENTRANK(Data!F:F,S34)=1,"👑",if(PERCENTRANK(Data!F:F,S34)=0,"💩",PERCENTRANK(Data!F:F,S34))))</f>
        <v/>
      </c>
      <c r="X34" s="48" t="str">
        <f>if(T34="","",if(PERCENTRANK(Data!K:K,T34)=1,"👑",if(PERCENTRANK(Data!K:K,T34)=0,"💩",PERCENTRANK(Data!K:K,T34))))</f>
        <v/>
      </c>
      <c r="Y34" s="48" t="str">
        <f>if(U34="","",if(PERCENTRANK(Data!K:K,U34)=1,"👑",if(PERCENTRANK(Data!K:K,U34)=0,"💩",PERCENTRANK(Data!K:K,U34))))</f>
        <v/>
      </c>
      <c r="Z34" s="48" t="str">
        <f>if(V34="","",if(PERCENTRANK(Data!J:J,V34)=1,"👑",if(PERCENTRANK(Data!J:J,V34)=0,"💩",PERCENTRANK(Data!J:J,V34))))</f>
        <v/>
      </c>
      <c r="AA34" s="17"/>
    </row>
    <row r="35" hidden="1">
      <c r="A35" s="17"/>
      <c r="B35" s="17"/>
      <c r="C35" s="17"/>
      <c r="D35" s="17"/>
      <c r="E35" s="17"/>
      <c r="F35" s="17">
        <f t="shared" si="2"/>
        <v>40</v>
      </c>
      <c r="G35" s="53" t="str">
        <f t="shared" si="3"/>
        <v/>
      </c>
      <c r="H35" s="75" t="str">
        <f t="shared" si="4"/>
        <v/>
      </c>
      <c r="I35" s="17" t="str">
        <f t="shared" si="5"/>
        <v/>
      </c>
      <c r="J35" s="35" t="str">
        <f>IF(I35="","",power($F34,1)*'Career Projection 1'!AF$7+power($F34,2)*'Career Projection 1'!AF$8+power($F34,3)*'Career Projection 1'!AF$9+power($F34,4)*'Career Projection 1'!AF$10+J34)</f>
        <v/>
      </c>
      <c r="K35" s="35" t="str">
        <f>IF(I35="","",power($F34,1)*'Career Projection 1'!AG$7+power($F34,2)*'Career Projection 1'!AG$8+power($F34,3)*'Career Projection 1'!AG$9+power($F34,4)*'Career Projection 1'!AG$10+K34)</f>
        <v/>
      </c>
      <c r="L35" s="17" t="str">
        <f t="shared" si="6"/>
        <v/>
      </c>
      <c r="M35" s="90" t="str">
        <f t="shared" si="7"/>
        <v/>
      </c>
      <c r="N35" s="90"/>
      <c r="O35" s="17"/>
      <c r="P35" s="17"/>
      <c r="Q35" s="17"/>
      <c r="R35" s="45"/>
      <c r="S35" s="46"/>
      <c r="T35" s="83"/>
      <c r="U35" s="83"/>
      <c r="V35" s="83"/>
      <c r="W35" s="48" t="str">
        <f>if(S35="","",if(PERCENTRANK(Data!F:F,S35)=1,"👑",if(PERCENTRANK(Data!F:F,S35)=0,"💩",PERCENTRANK(Data!F:F,S35))))</f>
        <v/>
      </c>
      <c r="X35" s="48" t="str">
        <f>if(T35="","",if(PERCENTRANK(Data!K:K,T35)=1,"👑",if(PERCENTRANK(Data!K:K,T35)=0,"💩",PERCENTRANK(Data!K:K,T35))))</f>
        <v/>
      </c>
      <c r="Y35" s="48" t="str">
        <f>if(U35="","",if(PERCENTRANK(Data!K:K,U35)=1,"👑",if(PERCENTRANK(Data!K:K,U35)=0,"💩",PERCENTRANK(Data!K:K,U35))))</f>
        <v/>
      </c>
      <c r="Z35" s="48" t="str">
        <f>if(V35="","",if(PERCENTRANK(Data!J:J,V35)=1,"👑",if(PERCENTRANK(Data!J:J,V35)=0,"💩",PERCENTRANK(Data!J:J,V35))))</f>
        <v/>
      </c>
      <c r="AA35" s="17"/>
    </row>
    <row r="36" hidden="1">
      <c r="A36" s="17"/>
      <c r="B36" s="17"/>
      <c r="C36" s="17"/>
      <c r="D36" s="17"/>
      <c r="E36" s="17"/>
      <c r="F36" s="17">
        <f t="shared" si="2"/>
        <v>41</v>
      </c>
      <c r="G36" s="53" t="str">
        <f t="shared" si="3"/>
        <v/>
      </c>
      <c r="H36" s="75" t="str">
        <f t="shared" si="4"/>
        <v/>
      </c>
      <c r="I36" s="17" t="str">
        <f t="shared" si="5"/>
        <v/>
      </c>
      <c r="J36" s="35" t="str">
        <f>IF(I36="","",power($F35,1)*'Career Projection 1'!AF$7+power($F35,2)*'Career Projection 1'!AF$8+power($F35,3)*'Career Projection 1'!AF$9+power($F35,4)*'Career Projection 1'!AF$10+J35)</f>
        <v/>
      </c>
      <c r="K36" s="35" t="str">
        <f>IF(I36="","",power($F35,1)*'Career Projection 1'!AG$7+power($F35,2)*'Career Projection 1'!AG$8+power($F35,3)*'Career Projection 1'!AG$9+power($F35,4)*'Career Projection 1'!AG$10+K35)</f>
        <v/>
      </c>
      <c r="L36" s="17" t="str">
        <f t="shared" si="6"/>
        <v/>
      </c>
      <c r="M36" s="90" t="str">
        <f t="shared" si="7"/>
        <v/>
      </c>
      <c r="N36" s="90"/>
      <c r="O36" s="17"/>
      <c r="P36" s="17"/>
      <c r="Q36" s="17"/>
      <c r="R36" s="45"/>
      <c r="S36" s="46"/>
      <c r="T36" s="83"/>
      <c r="U36" s="83"/>
      <c r="V36" s="83"/>
      <c r="W36" s="48" t="str">
        <f>if(S36="","",if(PERCENTRANK(Data!F:F,S36)=1,"👑",if(PERCENTRANK(Data!F:F,S36)=0,"💩",PERCENTRANK(Data!F:F,S36))))</f>
        <v/>
      </c>
      <c r="X36" s="48" t="str">
        <f>if(T36="","",if(PERCENTRANK(Data!K:K,T36)=1,"👑",if(PERCENTRANK(Data!K:K,T36)=0,"💩",PERCENTRANK(Data!K:K,T36))))</f>
        <v/>
      </c>
      <c r="Y36" s="48" t="str">
        <f>if(U36="","",if(PERCENTRANK(Data!K:K,U36)=1,"👑",if(PERCENTRANK(Data!K:K,U36)=0,"💩",PERCENTRANK(Data!K:K,U36))))</f>
        <v/>
      </c>
      <c r="Z36" s="48" t="str">
        <f>if(V36="","",if(PERCENTRANK(Data!J:J,V36)=1,"👑",if(PERCENTRANK(Data!J:J,V36)=0,"💩",PERCENTRANK(Data!J:J,V36))))</f>
        <v/>
      </c>
      <c r="AA36" s="17"/>
    </row>
    <row r="37" hidden="1">
      <c r="A37" s="17"/>
      <c r="B37" s="17"/>
      <c r="C37" s="17"/>
      <c r="D37" s="17"/>
      <c r="E37" s="17"/>
      <c r="F37" s="17">
        <f t="shared" si="2"/>
        <v>42</v>
      </c>
      <c r="G37" s="53" t="str">
        <f t="shared" si="3"/>
        <v/>
      </c>
      <c r="H37" s="75" t="str">
        <f t="shared" si="4"/>
        <v/>
      </c>
      <c r="I37" s="17" t="str">
        <f t="shared" si="5"/>
        <v/>
      </c>
      <c r="J37" s="35" t="str">
        <f>IF(I37="","",power($F36,1)*'Career Projection 1'!AF$7+power($F36,2)*'Career Projection 1'!AF$8+power($F36,3)*'Career Projection 1'!AF$9+power($F36,4)*'Career Projection 1'!AF$10+J36)</f>
        <v/>
      </c>
      <c r="K37" s="35" t="str">
        <f>IF(I37="","",power($F36,1)*'Career Projection 1'!AG$7+power($F36,2)*'Career Projection 1'!AG$8+power($F36,3)*'Career Projection 1'!AG$9+power($F36,4)*'Career Projection 1'!AG$10+K36)</f>
        <v/>
      </c>
      <c r="L37" s="17" t="str">
        <f t="shared" si="6"/>
        <v/>
      </c>
      <c r="M37" s="90" t="str">
        <f t="shared" si="7"/>
        <v/>
      </c>
      <c r="N37" s="90"/>
      <c r="O37" s="17"/>
      <c r="P37" s="17"/>
      <c r="Q37" s="17"/>
      <c r="R37" s="45"/>
      <c r="S37" s="46"/>
      <c r="T37" s="83"/>
      <c r="U37" s="83"/>
      <c r="V37" s="83"/>
      <c r="W37" s="17"/>
      <c r="X37" s="17"/>
      <c r="Y37" s="17"/>
      <c r="Z37" s="17"/>
      <c r="AA37" s="17"/>
    </row>
    <row r="38" hidden="1">
      <c r="A38" s="17"/>
      <c r="B38" s="17"/>
      <c r="C38" s="17"/>
      <c r="D38" s="17"/>
      <c r="E38" s="17"/>
      <c r="F38" s="17">
        <f t="shared" si="2"/>
        <v>43</v>
      </c>
      <c r="G38" s="53" t="str">
        <f t="shared" si="3"/>
        <v/>
      </c>
      <c r="H38" s="75" t="str">
        <f t="shared" si="4"/>
        <v/>
      </c>
      <c r="I38" s="17" t="str">
        <f t="shared" si="5"/>
        <v/>
      </c>
      <c r="J38" s="35" t="str">
        <f>IF(I38="","",power($F37,1)*'Career Projection 1'!AF$7+power($F37,2)*'Career Projection 1'!AF$8+power($F37,3)*'Career Projection 1'!AF$9+power($F37,4)*'Career Projection 1'!AF$10+J37)</f>
        <v/>
      </c>
      <c r="K38" s="35" t="str">
        <f>IF(I38="","",power($F37,1)*'Career Projection 1'!AG$7+power($F37,2)*'Career Projection 1'!AG$8+power($F37,3)*'Career Projection 1'!AG$9+power($F37,4)*'Career Projection 1'!AG$10+K37)</f>
        <v/>
      </c>
      <c r="L38" s="17" t="str">
        <f t="shared" si="6"/>
        <v/>
      </c>
      <c r="M38" s="90" t="str">
        <f t="shared" si="7"/>
        <v/>
      </c>
      <c r="N38" s="90"/>
      <c r="O38" s="17"/>
      <c r="P38" s="17"/>
      <c r="Q38" s="17"/>
      <c r="R38" s="17"/>
      <c r="S38" s="46"/>
      <c r="T38" s="83"/>
      <c r="U38" s="83"/>
      <c r="V38" s="83"/>
      <c r="W38" s="17"/>
      <c r="X38" s="17"/>
      <c r="Y38" s="17"/>
      <c r="Z38" s="17"/>
      <c r="AA38" s="17"/>
    </row>
    <row r="39" hidden="1">
      <c r="A39" s="17"/>
      <c r="B39" s="17"/>
      <c r="C39" s="17"/>
      <c r="D39" s="17"/>
      <c r="E39" s="17"/>
      <c r="F39" s="17">
        <f t="shared" si="2"/>
        <v>44</v>
      </c>
      <c r="G39" s="53" t="str">
        <f t="shared" si="3"/>
        <v/>
      </c>
      <c r="H39" s="75" t="str">
        <f t="shared" si="4"/>
        <v/>
      </c>
      <c r="I39" s="17" t="str">
        <f t="shared" si="5"/>
        <v/>
      </c>
      <c r="J39" s="35" t="str">
        <f>IF(I39="","",power($F38,1)*'Career Projection 1'!AF$7+power($F38,2)*'Career Projection 1'!AF$8+power($F38,3)*'Career Projection 1'!AF$9+power($F38,4)*'Career Projection 1'!AF$10+J38)</f>
        <v/>
      </c>
      <c r="K39" s="35" t="str">
        <f>IF(I39="","",power($F38,1)*'Career Projection 1'!AG$7+power($F38,2)*'Career Projection 1'!AG$8+power($F38,3)*'Career Projection 1'!AG$9+power($F38,4)*'Career Projection 1'!AG$10+K38)</f>
        <v/>
      </c>
      <c r="L39" s="17" t="str">
        <f t="shared" si="6"/>
        <v/>
      </c>
      <c r="M39" s="90" t="str">
        <f t="shared" si="7"/>
        <v/>
      </c>
      <c r="N39" s="90"/>
      <c r="O39" s="17"/>
      <c r="P39" s="17"/>
      <c r="Q39" s="17"/>
      <c r="R39" s="17"/>
      <c r="S39" s="17"/>
      <c r="T39" s="79"/>
      <c r="U39" s="83"/>
      <c r="V39" s="79"/>
      <c r="W39" s="17"/>
      <c r="X39" s="17"/>
      <c r="Y39" s="17"/>
      <c r="Z39" s="17"/>
      <c r="AA39" s="17"/>
    </row>
    <row r="40" hidden="1">
      <c r="A40" s="17"/>
      <c r="B40" s="17"/>
      <c r="C40" s="17"/>
      <c r="D40" s="17"/>
      <c r="E40" s="17"/>
      <c r="F40" s="17">
        <f t="shared" si="2"/>
        <v>45</v>
      </c>
      <c r="G40" s="53" t="str">
        <f t="shared" si="3"/>
        <v/>
      </c>
      <c r="H40" s="75" t="str">
        <f t="shared" si="4"/>
        <v/>
      </c>
      <c r="I40" s="17" t="str">
        <f t="shared" si="5"/>
        <v/>
      </c>
      <c r="J40" s="35" t="str">
        <f>IF(I40="","",power($F39,1)*'Career Projection 1'!AF$7+power($F39,2)*'Career Projection 1'!AF$8+power($F39,3)*'Career Projection 1'!AF$9+power($F39,4)*'Career Projection 1'!AF$10+J39)</f>
        <v/>
      </c>
      <c r="K40" s="35" t="str">
        <f>IF(I40="","",power($F39,1)*'Career Projection 1'!AG$7+power($F39,2)*'Career Projection 1'!AG$8+power($F39,3)*'Career Projection 1'!AG$9+power($F39,4)*'Career Projection 1'!AG$10+K39)</f>
        <v/>
      </c>
      <c r="L40" s="17" t="str">
        <f t="shared" si="6"/>
        <v/>
      </c>
      <c r="M40" s="90" t="str">
        <f t="shared" si="7"/>
        <v/>
      </c>
      <c r="N40" s="90"/>
      <c r="O40" s="17"/>
      <c r="P40" s="17"/>
      <c r="Q40" s="17"/>
      <c r="R40" s="17"/>
      <c r="S40" s="17"/>
      <c r="T40" s="79"/>
      <c r="U40" s="79"/>
      <c r="V40" s="79"/>
      <c r="W40" s="17"/>
      <c r="X40" s="17"/>
      <c r="Y40" s="17"/>
      <c r="Z40" s="17"/>
      <c r="AA40" s="17"/>
    </row>
    <row r="41" hidden="1">
      <c r="A41" s="17"/>
      <c r="B41" s="17"/>
      <c r="C41" s="17"/>
      <c r="D41" s="17"/>
      <c r="E41" s="17"/>
      <c r="F41" s="53" t="s">
        <v>98</v>
      </c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53" t="s">
        <v>72</v>
      </c>
      <c r="S41" s="55">
        <f>MIN(Data!F:F)</f>
        <v>0.5166666667</v>
      </c>
      <c r="T41" s="79">
        <f>MIN(Data!J:J)</f>
        <v>-4.782766307</v>
      </c>
      <c r="U41" s="79">
        <f>MIN(Data!K:K)</f>
        <v>-4.322019044</v>
      </c>
      <c r="V41" s="79">
        <f>MIN(Data!K:K)</f>
        <v>-4.322019044</v>
      </c>
      <c r="W41" s="17"/>
      <c r="X41" s="53">
        <v>1.0</v>
      </c>
      <c r="Y41" s="17"/>
      <c r="Z41" s="17"/>
      <c r="AA41" s="17"/>
    </row>
    <row r="42" hidden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53" t="s">
        <v>73</v>
      </c>
      <c r="S42" s="55">
        <f>MAX(Data!F:F)</f>
        <v>3124.635</v>
      </c>
      <c r="T42" s="79">
        <f>MAX(Data!J:J)</f>
        <v>9.119122301</v>
      </c>
      <c r="U42" s="79">
        <f>MAX(Data!K:K)</f>
        <v>6.743428076</v>
      </c>
      <c r="V42" s="79">
        <f>MAX(Data!K:K)</f>
        <v>6.743428076</v>
      </c>
      <c r="W42" s="17"/>
      <c r="X42" s="53">
        <v>0.0</v>
      </c>
      <c r="Y42" s="17"/>
      <c r="Z42" s="17"/>
      <c r="AA42" s="17"/>
    </row>
    <row r="43" hidden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79"/>
      <c r="U43" s="79"/>
      <c r="V43" s="79"/>
      <c r="W43" s="17"/>
      <c r="X43" s="17"/>
      <c r="Y43" s="17"/>
      <c r="Z43" s="17"/>
      <c r="AA43" s="17"/>
    </row>
    <row r="44" hidden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79"/>
      <c r="U44" s="79"/>
      <c r="V44" s="79"/>
      <c r="W44" s="17"/>
      <c r="X44" s="17"/>
      <c r="Y44" s="17"/>
      <c r="Z44" s="17"/>
      <c r="AA44" s="17"/>
    </row>
  </sheetData>
  <mergeCells count="5">
    <mergeCell ref="R2:V2"/>
    <mergeCell ref="B4:P4"/>
    <mergeCell ref="S4:V4"/>
    <mergeCell ref="W4:Z4"/>
    <mergeCell ref="S30:Y30"/>
  </mergeCells>
  <conditionalFormatting sqref="T6:T29 T31:T38 T41:T42">
    <cfRule type="colorScale" priority="1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U6:U29 U31:U39 U41:U42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V6:V29 V31:V38 V41:V42">
    <cfRule type="colorScale" priority="3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S6:S38 S41:S42">
    <cfRule type="colorScale" priority="4">
      <colorScale>
        <cfvo type="min"/>
        <cfvo type="max"/>
        <color rgb="FFFFFFFF"/>
        <color rgb="FFFFD666"/>
      </colorScale>
    </cfRule>
  </conditionalFormatting>
  <conditionalFormatting sqref="W6:Y29 Z6:Z36 W31:Y36 W41:Z42">
    <cfRule type="colorScale" priority="5">
      <colorScale>
        <cfvo type="formula" val="0"/>
        <cfvo type="formula" val="0.5"/>
        <cfvo type="formula" val="1"/>
        <color rgb="FFE67C73"/>
        <color rgb="FFFFFFFF"/>
        <color rgb="FF57BB8A"/>
      </colorScale>
    </cfRule>
  </conditionalFormatting>
  <conditionalFormatting sqref="W6:Y29 Z6:Z36 W31:Y36 W41:Z42">
    <cfRule type="containsText" dxfId="0" priority="6" operator="containsText" text="💩">
      <formula>NOT(ISERROR(SEARCH(("💩"),(W6))))</formula>
    </cfRule>
  </conditionalFormatting>
  <conditionalFormatting sqref="W6:Y29 Z6:Z36 W31:Y36 W41:Z42">
    <cfRule type="containsText" dxfId="1" priority="7" operator="containsText" text="👑">
      <formula>NOT(ISERROR(SEARCH(("👑"),(W6))))</formula>
    </cfRule>
  </conditionalFormatting>
  <conditionalFormatting sqref="R1 R3:R31">
    <cfRule type="beginsWith" dxfId="5" priority="8" operator="beginsWith" text="2021">
      <formula>LEFT((R1),LEN("2021"))=("2021")</formula>
    </cfRule>
  </conditionalFormatting>
  <conditionalFormatting sqref="R1 R3:R31">
    <cfRule type="beginsWith" dxfId="5" priority="9" operator="beginsWith" text="2022">
      <formula>LEFT((R1),LEN("2022"))=("2022")</formula>
    </cfRule>
  </conditionalFormatting>
  <conditionalFormatting sqref="R1 R3:R31">
    <cfRule type="beginsWith" dxfId="5" priority="10" operator="beginsWith" text="2023">
      <formula>LEFT((R1),LEN("2023"))=("2023")</formula>
    </cfRule>
  </conditionalFormatting>
  <conditionalFormatting sqref="R1 R3:R31">
    <cfRule type="beginsWith" dxfId="5" priority="11" operator="beginsWith" text="2024">
      <formula>LEFT((R1),LEN("2024"))=("2024")</formula>
    </cfRule>
  </conditionalFormatting>
  <conditionalFormatting sqref="R3:R31">
    <cfRule type="beginsWith" dxfId="5" priority="12" operator="beginsWith" text="2025">
      <formula>LEFT((R3),LEN("2025"))=("2025")</formula>
    </cfRule>
  </conditionalFormatting>
  <conditionalFormatting sqref="R3:R31">
    <cfRule type="beginsWith" dxfId="5" priority="13" operator="beginsWith" text="2026">
      <formula>LEFT((R3),LEN("2026"))=("2026")</formula>
    </cfRule>
  </conditionalFormatting>
  <conditionalFormatting sqref="R3:R31">
    <cfRule type="beginsWith" dxfId="5" priority="14" operator="beginsWith" text="2027">
      <formula>LEFT((R3),LEN("2027"))=("2027")</formula>
    </cfRule>
  </conditionalFormatting>
  <conditionalFormatting sqref="R3:R31">
    <cfRule type="beginsWith" dxfId="5" priority="15" operator="beginsWith" text="2028">
      <formula>LEFT((R3),LEN("2028"))=("2028")</formula>
    </cfRule>
  </conditionalFormatting>
  <conditionalFormatting sqref="R3:R31">
    <cfRule type="beginsWith" dxfId="5" priority="16" operator="beginsWith" text="2029">
      <formula>LEFT((R3),LEN("2029"))=("2029")</formula>
    </cfRule>
  </conditionalFormatting>
  <conditionalFormatting sqref="R3:R31">
    <cfRule type="containsText" dxfId="5" priority="17" operator="containsText" text="2030">
      <formula>NOT(ISERROR(SEARCH(("2030"),(R3))))</formula>
    </cfRule>
  </conditionalFormatting>
  <conditionalFormatting sqref="R3:R31">
    <cfRule type="beginsWith" dxfId="5" priority="18" operator="beginsWith" text="2031">
      <formula>LEFT((R3),LEN("2031"))=("2031")</formula>
    </cfRule>
  </conditionalFormatting>
  <conditionalFormatting sqref="R5:R32">
    <cfRule type="containsText" dxfId="5" priority="19" operator="containsText" text="33">
      <formula>NOT(ISERROR(SEARCH(("33"),(R5))))</formula>
    </cfRule>
  </conditionalFormatting>
  <conditionalFormatting sqref="R5:R32">
    <cfRule type="containsText" dxfId="5" priority="20" operator="containsText" text="35">
      <formula>NOT(ISERROR(SEARCH(("35"),(R5))))</formula>
    </cfRule>
  </conditionalFormatting>
  <conditionalFormatting sqref="R5:R32">
    <cfRule type="containsText" dxfId="5" priority="21" operator="containsText" text="37">
      <formula>NOT(ISERROR(SEARCH(("37"),(R5))))</formula>
    </cfRule>
  </conditionalFormatting>
  <conditionalFormatting sqref="R5:R32">
    <cfRule type="containsText" dxfId="5" priority="22" operator="containsText" text="39">
      <formula>NOT(ISERROR(SEARCH(("39"),(R5))))</formula>
    </cfRule>
  </conditionalFormatting>
  <conditionalFormatting sqref="R5:R32">
    <cfRule type="containsText" dxfId="5" priority="23" operator="containsText" text="41">
      <formula>NOT(ISERROR(SEARCH(("41"),(R5))))</formula>
    </cfRule>
  </conditionalFormatting>
  <conditionalFormatting sqref="R5:R32">
    <cfRule type="containsText" dxfId="5" priority="24" operator="containsText" text="43">
      <formula>NOT(ISERROR(SEARCH(("43"),(R5))))</formula>
    </cfRule>
  </conditionalFormatting>
  <dataValidations>
    <dataValidation type="list" allowBlank="1" showErrorMessage="1" sqref="C2">
      <formula1>Data!$B$2:$B44</formula1>
    </dataValidation>
  </dataValidations>
  <hyperlinks>
    <hyperlink r:id="rId1" ref="R2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3.29"/>
    <col customWidth="1" min="2" max="2" width="14.86"/>
    <col customWidth="1" min="3" max="3" width="40.0"/>
    <col customWidth="1" min="5" max="5" width="17.71"/>
    <col customWidth="1" hidden="1" min="6" max="14" width="17.71"/>
    <col customWidth="1" min="15" max="16" width="17.71"/>
    <col customWidth="1" min="17" max="17" width="3.29"/>
    <col customWidth="1" min="18" max="18" width="12.29"/>
    <col customWidth="1" min="19" max="26" width="16.86"/>
    <col customWidth="1" min="27" max="27" width="3.29"/>
  </cols>
  <sheetData>
    <row r="1" ht="7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79"/>
      <c r="U1" s="79"/>
      <c r="V1" s="79"/>
      <c r="W1" s="17"/>
      <c r="X1" s="17"/>
      <c r="Y1" s="17"/>
      <c r="Z1" s="17"/>
      <c r="AA1" s="17"/>
    </row>
    <row r="2">
      <c r="A2" s="17"/>
      <c r="B2" s="18" t="s">
        <v>51</v>
      </c>
      <c r="C2" s="61" t="s">
        <v>99</v>
      </c>
      <c r="D2" s="20"/>
      <c r="E2" s="21" t="s">
        <v>8</v>
      </c>
      <c r="F2" s="17"/>
      <c r="G2" s="22"/>
      <c r="H2" s="22"/>
      <c r="I2" s="23"/>
      <c r="J2" s="24"/>
      <c r="K2" s="24"/>
      <c r="L2" s="24"/>
      <c r="M2" s="25"/>
      <c r="N2" s="25"/>
      <c r="O2" s="26" t="s">
        <v>9</v>
      </c>
      <c r="P2" s="27" t="s">
        <v>10</v>
      </c>
      <c r="Q2" s="17"/>
      <c r="R2" s="28" t="s">
        <v>53</v>
      </c>
      <c r="W2" s="17"/>
      <c r="X2" s="17"/>
      <c r="Y2" s="17"/>
      <c r="Z2" s="17"/>
      <c r="AA2" s="17"/>
    </row>
    <row r="3" ht="7.5" customHeight="1">
      <c r="A3" s="17"/>
      <c r="B3" s="30"/>
      <c r="C3" s="30"/>
      <c r="D3" s="31"/>
      <c r="E3" s="31"/>
      <c r="F3" s="31"/>
      <c r="G3" s="32"/>
      <c r="H3" s="33"/>
      <c r="I3" s="34"/>
      <c r="J3" s="35"/>
      <c r="K3" s="35"/>
      <c r="L3" s="35"/>
      <c r="M3" s="36"/>
      <c r="N3" s="36"/>
      <c r="O3" s="17"/>
      <c r="P3" s="37"/>
      <c r="Q3" s="17"/>
      <c r="R3" s="17"/>
      <c r="S3" s="17"/>
      <c r="T3" s="79"/>
      <c r="U3" s="79"/>
      <c r="V3" s="79"/>
      <c r="W3" s="17"/>
      <c r="X3" s="17"/>
      <c r="Y3" s="17"/>
      <c r="Z3" s="17"/>
      <c r="AA3" s="17"/>
    </row>
    <row r="4">
      <c r="A4" s="17"/>
      <c r="B4" s="38" t="str">
        <f>"LEBRON Impact Data &amp; Career Projections for "&amp;C2</f>
        <v>LEBRON Impact Data &amp; Career Projections for Patty Mills</v>
      </c>
      <c r="Q4" s="17"/>
      <c r="R4" s="17"/>
      <c r="S4" s="39" t="s">
        <v>54</v>
      </c>
      <c r="W4" s="39" t="s">
        <v>55</v>
      </c>
      <c r="AA4" s="17"/>
    </row>
    <row r="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40" t="s">
        <v>12</v>
      </c>
      <c r="S5" s="40" t="s">
        <v>4</v>
      </c>
      <c r="T5" s="80" t="s">
        <v>9</v>
      </c>
      <c r="U5" s="81" t="s">
        <v>10</v>
      </c>
      <c r="V5" s="82" t="s">
        <v>8</v>
      </c>
      <c r="W5" s="40" t="s">
        <v>4</v>
      </c>
      <c r="X5" s="41" t="s">
        <v>9</v>
      </c>
      <c r="Y5" s="42" t="s">
        <v>10</v>
      </c>
      <c r="Z5" s="43" t="s">
        <v>8</v>
      </c>
      <c r="AA5" s="17"/>
    </row>
    <row r="6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45" t="str">
        <f>IFERROR(__xludf.DUMMYFUNCTION("filter(I9:I40,M9:M40&lt;&gt;"""")"),"2013-14")</f>
        <v>2013-14</v>
      </c>
      <c r="S6" s="46">
        <f>IFERROR(__xludf.DUMMYFUNCTION("filter(M9:M40,M9:M40&lt;&gt;"""")"),1527.46333333333)</f>
        <v>1527.463333</v>
      </c>
      <c r="T6" s="83">
        <f>IFERROR(__xludf.DUMMYFUNCTION("filter(J9:L40,M9:M40&lt;&gt;"""")"),2.10031811027121)</f>
        <v>2.10031811</v>
      </c>
      <c r="U6" s="83">
        <f>IFERROR(__xludf.DUMMYFUNCTION("""COMPUTED_VALUE"""),-0.0520253274574511)</f>
        <v>-0.05202532746</v>
      </c>
      <c r="V6" s="83">
        <f>IFERROR(__xludf.DUMMYFUNCTION("""COMPUTED_VALUE"""),2.04829278281376)</f>
        <v>2.048292783</v>
      </c>
      <c r="W6" s="48">
        <f>if(S6="","",if(PERCENTRANK(Data!F:F,S6)=1,"👑",if(PERCENTRANK(Data!F:F,S6)=0,"💩",PERCENTRANK(Data!F:F,S6))))</f>
        <v>0.688</v>
      </c>
      <c r="X6" s="48">
        <f>if(T6="","",if(PERCENTRANK(Data!K:K,T6)=1,"👑",if(PERCENTRANK(Data!K:K,T6)=0,"💩",PERCENTRANK(Data!K:K,T6))))</f>
        <v>0.946</v>
      </c>
      <c r="Y6" s="48">
        <f>if(U6="","",if(PERCENTRANK(Data!K:K,U6)=1,"👑",if(PERCENTRANK(Data!K:K,U6)=0,"💩",PERCENTRANK(Data!K:K,U6))))</f>
        <v>0.682</v>
      </c>
      <c r="Z6" s="48">
        <f>if(V6="","",if(PERCENTRANK(Data!J:J,V6)=1,"👑",if(PERCENTRANK(Data!J:J,V6)=0,"💩",PERCENTRANK(Data!J:J,V6))))</f>
        <v>0.924</v>
      </c>
      <c r="AA6" s="17"/>
    </row>
    <row r="7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45" t="str">
        <f>IFERROR(__xludf.DUMMYFUNCTION("""COMPUTED_VALUE"""),"2014-15")</f>
        <v>2014-15</v>
      </c>
      <c r="S7" s="46">
        <f>IFERROR(__xludf.DUMMYFUNCTION("""COMPUTED_VALUE"""),801.33)</f>
        <v>801.33</v>
      </c>
      <c r="T7" s="83">
        <f>IFERROR(__xludf.DUMMYFUNCTION("""COMPUTED_VALUE"""),1.36143706759384)</f>
        <v>1.361437068</v>
      </c>
      <c r="U7" s="83">
        <f>IFERROR(__xludf.DUMMYFUNCTION("""COMPUTED_VALUE"""),-0.25085603475151)</f>
        <v>-0.2508560348</v>
      </c>
      <c r="V7" s="83">
        <f>IFERROR(__xludf.DUMMYFUNCTION("""COMPUTED_VALUE"""),1.11058103284233)</f>
        <v>1.110581033</v>
      </c>
      <c r="W7" s="48">
        <f>if(S7="","",if(PERCENTRANK(Data!F:F,S7)=1,"👑",if(PERCENTRANK(Data!F:F,S7)=0,"💩",PERCENTRANK(Data!F:F,S7))))</f>
        <v>0.451</v>
      </c>
      <c r="X7" s="48">
        <f>if(T7="","",if(PERCENTRANK(Data!K:K,T7)=1,"👑",if(PERCENTRANK(Data!K:K,T7)=0,"💩",PERCENTRANK(Data!K:K,T7))))</f>
        <v>0.909</v>
      </c>
      <c r="Y7" s="48">
        <f>if(U7="","",if(PERCENTRANK(Data!K:K,U7)=1,"👑",if(PERCENTRANK(Data!K:K,U7)=0,"💩",PERCENTRANK(Data!K:K,U7))))</f>
        <v>0.585</v>
      </c>
      <c r="Z7" s="48">
        <f>if(V7="","",if(PERCENTRANK(Data!J:J,V7)=1,"👑",if(PERCENTRANK(Data!J:J,V7)=0,"💩",PERCENTRANK(Data!J:J,V7))))</f>
        <v>0.847</v>
      </c>
      <c r="AA7" s="17"/>
    </row>
    <row r="8">
      <c r="A8" s="17"/>
      <c r="B8" s="17"/>
      <c r="C8" s="17"/>
      <c r="D8" s="17"/>
      <c r="E8" s="53"/>
      <c r="F8" s="53" t="s">
        <v>7</v>
      </c>
      <c r="G8" s="33" t="s">
        <v>12</v>
      </c>
      <c r="H8" s="33" t="s">
        <v>57</v>
      </c>
      <c r="I8" s="50" t="s">
        <v>12</v>
      </c>
      <c r="J8" s="51" t="s">
        <v>58</v>
      </c>
      <c r="K8" s="51" t="s">
        <v>59</v>
      </c>
      <c r="L8" s="51" t="s">
        <v>60</v>
      </c>
      <c r="M8" s="33" t="s">
        <v>4</v>
      </c>
      <c r="N8" s="52" t="s">
        <v>93</v>
      </c>
      <c r="O8" s="17"/>
      <c r="P8" s="17"/>
      <c r="Q8" s="17"/>
      <c r="R8" s="45" t="str">
        <f>IFERROR(__xludf.DUMMYFUNCTION("""COMPUTED_VALUE"""),"2015-16")</f>
        <v>2015-16</v>
      </c>
      <c r="S8" s="46">
        <f>IFERROR(__xludf.DUMMYFUNCTION("""COMPUTED_VALUE"""),1662.06)</f>
        <v>1662.06</v>
      </c>
      <c r="T8" s="83">
        <f>IFERROR(__xludf.DUMMYFUNCTION("""COMPUTED_VALUE"""),1.58392650872546)</f>
        <v>1.583926509</v>
      </c>
      <c r="U8" s="83">
        <f>IFERROR(__xludf.DUMMYFUNCTION("""COMPUTED_VALUE"""),0.521086503631786)</f>
        <v>0.5210865036</v>
      </c>
      <c r="V8" s="83">
        <f>IFERROR(__xludf.DUMMYFUNCTION("""COMPUTED_VALUE"""),2.10501301235725)</f>
        <v>2.105013012</v>
      </c>
      <c r="W8" s="48">
        <f>if(S8="","",if(PERCENTRANK(Data!F:F,S8)=1,"👑",if(PERCENTRANK(Data!F:F,S8)=0,"💩",PERCENTRANK(Data!F:F,S8))))</f>
        <v>0.725</v>
      </c>
      <c r="X8" s="48">
        <f>if(T8="","",if(PERCENTRANK(Data!K:K,T8)=1,"👑",if(PERCENTRANK(Data!K:K,T8)=0,"💩",PERCENTRANK(Data!K:K,T8))))</f>
        <v>0.926</v>
      </c>
      <c r="Y8" s="48">
        <f>if(U8="","",if(PERCENTRANK(Data!K:K,U8)=1,"👑",if(PERCENTRANK(Data!K:K,U8)=0,"💩",PERCENTRANK(Data!K:K,U8))))</f>
        <v>0.811</v>
      </c>
      <c r="Z8" s="48">
        <f>if(V8="","",if(PERCENTRANK(Data!J:J,V8)=1,"👑",if(PERCENTRANK(Data!J:J,V8)=0,"💩",PERCENTRANK(Data!J:J,V8))))</f>
        <v>0.928</v>
      </c>
      <c r="AA8" s="17"/>
    </row>
    <row r="9">
      <c r="A9" s="17"/>
      <c r="B9" s="17"/>
      <c r="C9" s="17"/>
      <c r="D9" s="17"/>
      <c r="E9" s="17"/>
      <c r="F9" s="17" t="str">
        <f>IFERROR(__xludf.DUMMYFUNCTION("iferror(filter(Data!I:I,Data!B:B=C$2,Data!C:C=G9),"""")"),"")</f>
        <v/>
      </c>
      <c r="G9" s="32" t="s">
        <v>61</v>
      </c>
      <c r="H9" s="33">
        <f>countifs(Data!B:B,C$2,Data!C:C,G9)</f>
        <v>0</v>
      </c>
      <c r="I9" s="34" t="str">
        <f t="shared" ref="I9:I20" si="1">IF(H9=1,G9,"")</f>
        <v/>
      </c>
      <c r="J9" s="35" t="str">
        <f>IF($H9=1,SUMIFS(Data!K:K,Data!$B:$B,$C$2,Data!$C:$C,$G9),"")</f>
        <v/>
      </c>
      <c r="K9" s="35" t="str">
        <f>IF($H9=1,SUMIFS(Data!L:L,Data!$B:$B,$C$2,Data!$C:$C,$G9),"")</f>
        <v/>
      </c>
      <c r="L9" s="35" t="str">
        <f>IF($H9=1,SUMIFS(Data!J:J,Data!$B:$B,$C$2,Data!$C:$C,$G9),"")</f>
        <v/>
      </c>
      <c r="M9" s="36" t="str">
        <f>IF($H9=1,SUMIFS(Data!F:F,Data!$B:$B,$C$2,Data!$C:$C,$G9),"")</f>
        <v/>
      </c>
      <c r="N9" s="84" t="str">
        <f>IFERROR(__xludf.DUMMYFUNCTION("iferror(filter(Data!H:H,Data!B:B=C2,Data!C:C=G20),filter(Data!H:H,Data!B:B=C2,Data!C:C=G19))"),"PG")</f>
        <v>PG</v>
      </c>
      <c r="O9" s="17"/>
      <c r="P9" s="17"/>
      <c r="Q9" s="17"/>
      <c r="R9" s="45" t="str">
        <f>IFERROR(__xludf.DUMMYFUNCTION("""COMPUTED_VALUE"""),"2016-17")</f>
        <v>2016-17</v>
      </c>
      <c r="S9" s="46">
        <f>IFERROR(__xludf.DUMMYFUNCTION("""COMPUTED_VALUE"""),1754.41333333333)</f>
        <v>1754.413333</v>
      </c>
      <c r="T9" s="83">
        <f>IFERROR(__xludf.DUMMYFUNCTION("""COMPUTED_VALUE"""),1.40685335000184)</f>
        <v>1.40685335</v>
      </c>
      <c r="U9" s="83">
        <f>IFERROR(__xludf.DUMMYFUNCTION("""COMPUTED_VALUE"""),-0.62022067234478)</f>
        <v>-0.6202206723</v>
      </c>
      <c r="V9" s="83">
        <f>IFERROR(__xludf.DUMMYFUNCTION("""COMPUTED_VALUE"""),0.786632677657064)</f>
        <v>0.7866326777</v>
      </c>
      <c r="W9" s="48">
        <f>if(S9="","",if(PERCENTRANK(Data!F:F,S9)=1,"👑",if(PERCENTRANK(Data!F:F,S9)=0,"💩",PERCENTRANK(Data!F:F,S9))))</f>
        <v>0.753</v>
      </c>
      <c r="X9" s="48">
        <f>if(T9="","",if(PERCENTRANK(Data!K:K,T9)=1,"👑",if(PERCENTRANK(Data!K:K,T9)=0,"💩",PERCENTRANK(Data!K:K,T9))))</f>
        <v>0.913</v>
      </c>
      <c r="Y9" s="48">
        <f>if(U9="","",if(PERCENTRANK(Data!K:K,U9)=1,"👑",if(PERCENTRANK(Data!K:K,U9)=0,"💩",PERCENTRANK(Data!K:K,U9))))</f>
        <v>0.429</v>
      </c>
      <c r="Z9" s="48">
        <f>if(V9="","",if(PERCENTRANK(Data!J:J,V9)=1,"👑",if(PERCENTRANK(Data!J:J,V9)=0,"💩",PERCENTRANK(Data!J:J,V9))))</f>
        <v>0.813</v>
      </c>
      <c r="AA9" s="17"/>
    </row>
    <row r="10">
      <c r="A10" s="17"/>
      <c r="B10" s="17"/>
      <c r="C10" s="17"/>
      <c r="D10" s="17"/>
      <c r="E10" s="17"/>
      <c r="F10" s="17" t="str">
        <f>IFERROR(__xludf.DUMMYFUNCTION("iferror(filter(Data!I:I,Data!B:B=C$2,Data!C:C=G10),"""")"),"")</f>
        <v/>
      </c>
      <c r="G10" s="32" t="s">
        <v>62</v>
      </c>
      <c r="H10" s="33">
        <f>countifs(Data!B:B,C$2,Data!C:C,G10)</f>
        <v>0</v>
      </c>
      <c r="I10" s="34" t="str">
        <f t="shared" si="1"/>
        <v/>
      </c>
      <c r="J10" s="35" t="str">
        <f>IF($H10=1,SUMIFS(Data!K:K,Data!$B:$B,$C$2,Data!$C:$C,$G10),"")</f>
        <v/>
      </c>
      <c r="K10" s="35" t="str">
        <f>IF($H10=1,SUMIFS(Data!L:L,Data!$B:$B,$C$2,Data!$C:$C,$G10),"")</f>
        <v/>
      </c>
      <c r="L10" s="35" t="str">
        <f>IF($H10=1,SUMIFS(Data!J:J,Data!$B:$B,$C$2,Data!$C:$C,$G10),"")</f>
        <v/>
      </c>
      <c r="M10" s="36" t="str">
        <f>IF($H10=1,SUMIFS(Data!F:F,Data!$B:$B,$C$2,Data!$C:$C,$G10),"")</f>
        <v/>
      </c>
      <c r="N10" s="17"/>
      <c r="O10" s="17"/>
      <c r="P10" s="17"/>
      <c r="Q10" s="17"/>
      <c r="R10" s="45" t="str">
        <f>IFERROR(__xludf.DUMMYFUNCTION("""COMPUTED_VALUE"""),"2017-18")</f>
        <v>2017-18</v>
      </c>
      <c r="S10" s="46">
        <f>IFERROR(__xludf.DUMMYFUNCTION("""COMPUTED_VALUE"""),2107.25166666667)</f>
        <v>2107.251667</v>
      </c>
      <c r="T10" s="83">
        <f>IFERROR(__xludf.DUMMYFUNCTION("""COMPUTED_VALUE"""),1.25092511281156)</f>
        <v>1.250925113</v>
      </c>
      <c r="U10" s="83">
        <f>IFERROR(__xludf.DUMMYFUNCTION("""COMPUTED_VALUE"""),-1.48359033383571)</f>
        <v>-1.483590334</v>
      </c>
      <c r="V10" s="83">
        <f>IFERROR(__xludf.DUMMYFUNCTION("""COMPUTED_VALUE"""),-0.232665221024151)</f>
        <v>-0.232665221</v>
      </c>
      <c r="W10" s="48">
        <f>if(S10="","",if(PERCENTRANK(Data!F:F,S10)=1,"👑",if(PERCENTRANK(Data!F:F,S10)=0,"💩",PERCENTRANK(Data!F:F,S10))))</f>
        <v>0.856</v>
      </c>
      <c r="X10" s="48">
        <f>if(T10="","",if(PERCENTRANK(Data!K:K,T10)=1,"👑",if(PERCENTRANK(Data!K:K,T10)=0,"💩",PERCENTRANK(Data!K:K,T10))))</f>
        <v>0.901</v>
      </c>
      <c r="Y10" s="48">
        <f>if(U10="","",if(PERCENTRANK(Data!K:K,U10)=1,"👑",if(PERCENTRANK(Data!K:K,U10)=0,"💩",PERCENTRANK(Data!K:K,U10))))</f>
        <v>0.168</v>
      </c>
      <c r="Z10" s="48">
        <f>if(V10="","",if(PERCENTRANK(Data!J:J,V10)=1,"👑",if(PERCENTRANK(Data!J:J,V10)=0,"💩",PERCENTRANK(Data!J:J,V10))))</f>
        <v>0.616</v>
      </c>
      <c r="AA10" s="17"/>
    </row>
    <row r="11">
      <c r="A11" s="17"/>
      <c r="B11" s="17"/>
      <c r="C11" s="17"/>
      <c r="D11" s="17"/>
      <c r="E11" s="17"/>
      <c r="F11" s="17" t="str">
        <f>IFERROR(__xludf.DUMMYFUNCTION("iferror(filter(Data!I:I,Data!B:B=C$2,Data!C:C=G11),"""")"),"")</f>
        <v/>
      </c>
      <c r="G11" s="32" t="s">
        <v>63</v>
      </c>
      <c r="H11" s="33">
        <f>countifs(Data!B:B,C$2,Data!C:C,G11)</f>
        <v>0</v>
      </c>
      <c r="I11" s="34" t="str">
        <f t="shared" si="1"/>
        <v/>
      </c>
      <c r="J11" s="35" t="str">
        <f>IF($H11=1,SUMIFS(Data!K:K,Data!$B:$B,$C$2,Data!$C:$C,$G11),"")</f>
        <v/>
      </c>
      <c r="K11" s="35" t="str">
        <f>IF($H11=1,SUMIFS(Data!L:L,Data!$B:$B,$C$2,Data!$C:$C,$G11),"")</f>
        <v/>
      </c>
      <c r="L11" s="35" t="str">
        <f>IF($H11=1,SUMIFS(Data!J:J,Data!$B:$B,$C$2,Data!$C:$C,$G11),"")</f>
        <v/>
      </c>
      <c r="M11" s="36" t="str">
        <f>IF($H11=1,SUMIFS(Data!F:F,Data!$B:$B,$C$2,Data!$C:$C,$G11),"")</f>
        <v/>
      </c>
      <c r="N11" s="85" t="s">
        <v>94</v>
      </c>
      <c r="O11" s="17"/>
      <c r="P11" s="17"/>
      <c r="Q11" s="17"/>
      <c r="R11" s="45" t="str">
        <f>IFERROR(__xludf.DUMMYFUNCTION("""COMPUTED_VALUE"""),"2018-19")</f>
        <v>2018-19</v>
      </c>
      <c r="S11" s="46">
        <f>IFERROR(__xludf.DUMMYFUNCTION("""COMPUTED_VALUE"""),1907.70833333333)</f>
        <v>1907.708333</v>
      </c>
      <c r="T11" s="83">
        <f>IFERROR(__xludf.DUMMYFUNCTION("""COMPUTED_VALUE"""),1.23580658098555)</f>
        <v>1.235806581</v>
      </c>
      <c r="U11" s="83">
        <f>IFERROR(__xludf.DUMMYFUNCTION("""COMPUTED_VALUE"""),-1.86346686630822)</f>
        <v>-1.863466866</v>
      </c>
      <c r="V11" s="83">
        <f>IFERROR(__xludf.DUMMYFUNCTION("""COMPUTED_VALUE"""),-0.627660285322671)</f>
        <v>-0.6276602853</v>
      </c>
      <c r="W11" s="48">
        <f>if(S11="","",if(PERCENTRANK(Data!F:F,S11)=1,"👑",if(PERCENTRANK(Data!F:F,S11)=0,"💩",PERCENTRANK(Data!F:F,S11))))</f>
        <v>0.796</v>
      </c>
      <c r="X11" s="48">
        <f>if(T11="","",if(PERCENTRANK(Data!K:K,T11)=1,"👑",if(PERCENTRANK(Data!K:K,T11)=0,"💩",PERCENTRANK(Data!K:K,T11))))</f>
        <v>0.899</v>
      </c>
      <c r="Y11" s="48">
        <f>if(U11="","",if(PERCENTRANK(Data!K:K,U11)=1,"👑",if(PERCENTRANK(Data!K:K,U11)=0,"💩",PERCENTRANK(Data!K:K,U11))))</f>
        <v>0.099</v>
      </c>
      <c r="Z11" s="48">
        <f>if(V11="","",if(PERCENTRANK(Data!J:J,V11)=1,"👑",if(PERCENTRANK(Data!J:J,V11)=0,"💩",PERCENTRANK(Data!J:J,V11))))</f>
        <v>0.494</v>
      </c>
      <c r="AA11" s="17"/>
    </row>
    <row r="12">
      <c r="A12" s="17"/>
      <c r="B12" s="17"/>
      <c r="C12" s="17"/>
      <c r="D12" s="17"/>
      <c r="E12" s="17"/>
      <c r="F12" s="17" t="str">
        <f>IFERROR(__xludf.DUMMYFUNCTION("iferror(filter(Data!I:I,Data!B:B=C$2,Data!C:C=G12),"""")"),"")</f>
        <v/>
      </c>
      <c r="G12" s="53" t="s">
        <v>64</v>
      </c>
      <c r="H12" s="33">
        <f>countifs(Data!B:B,C$2,Data!C:C,G12)</f>
        <v>0</v>
      </c>
      <c r="I12" s="34" t="str">
        <f t="shared" si="1"/>
        <v/>
      </c>
      <c r="J12" s="35" t="str">
        <f>IF($H12=1,SUMIFS(Data!K:K,Data!$B:$B,$C$2,Data!$C:$C,$G12),"")</f>
        <v/>
      </c>
      <c r="K12" s="35" t="str">
        <f>IF($H12=1,SUMIFS(Data!L:L,Data!$B:$B,$C$2,Data!$C:$C,$G12),"")</f>
        <v/>
      </c>
      <c r="L12" s="35" t="str">
        <f>IF($H12=1,SUMIFS(Data!J:J,Data!$B:$B,$C$2,Data!$C:$C,$G12),"")</f>
        <v/>
      </c>
      <c r="M12" s="36" t="str">
        <f>IF($H12=1,SUMIFS(Data!F:F,Data!$B:$B,$C$2,Data!$C:$C,$G12),"")</f>
        <v/>
      </c>
      <c r="N12" s="86">
        <f>(J18*N21+J19*N22+J20*N23)/sum(N21:N23)</f>
        <v>1.174643615</v>
      </c>
      <c r="O12" s="17"/>
      <c r="P12" s="17"/>
      <c r="Q12" s="17"/>
      <c r="R12" s="45" t="str">
        <f>IFERROR(__xludf.DUMMYFUNCTION("""COMPUTED_VALUE"""),"2019-20")</f>
        <v>2019-20</v>
      </c>
      <c r="S12" s="46">
        <f>IFERROR(__xludf.DUMMYFUNCTION("""COMPUTED_VALUE"""),1484.74833333333)</f>
        <v>1484.748333</v>
      </c>
      <c r="T12" s="83">
        <f>IFERROR(__xludf.DUMMYFUNCTION("""COMPUTED_VALUE"""),1.99766010345486)</f>
        <v>1.997660103</v>
      </c>
      <c r="U12" s="83">
        <f>IFERROR(__xludf.DUMMYFUNCTION("""COMPUTED_VALUE"""),-1.11968103646906)</f>
        <v>-1.119681036</v>
      </c>
      <c r="V12" s="83">
        <f>IFERROR(__xludf.DUMMYFUNCTION("""COMPUTED_VALUE"""),0.877979066985799)</f>
        <v>0.877979067</v>
      </c>
      <c r="W12" s="48">
        <f>if(S12="","",if(PERCENTRANK(Data!F:F,S12)=1,"👑",if(PERCENTRANK(Data!F:F,S12)=0,"💩",PERCENTRANK(Data!F:F,S12))))</f>
        <v>0.676</v>
      </c>
      <c r="X12" s="48">
        <f>if(T12="","",if(PERCENTRANK(Data!K:K,T12)=1,"👑",if(PERCENTRANK(Data!K:K,T12)=0,"💩",PERCENTRANK(Data!K:K,T12))))</f>
        <v>0.944</v>
      </c>
      <c r="Y12" s="48">
        <f>if(U12="","",if(PERCENTRANK(Data!K:K,U12)=1,"👑",if(PERCENTRANK(Data!K:K,U12)=0,"💩",PERCENTRANK(Data!K:K,U12))))</f>
        <v>0.266</v>
      </c>
      <c r="Z12" s="48">
        <f>if(V12="","",if(PERCENTRANK(Data!J:J,V12)=1,"👑",if(PERCENTRANK(Data!J:J,V12)=0,"💩",PERCENTRANK(Data!J:J,V12))))</f>
        <v>0.825</v>
      </c>
      <c r="AA12" s="17"/>
    </row>
    <row r="13">
      <c r="A13" s="17"/>
      <c r="B13" s="17"/>
      <c r="C13" s="17"/>
      <c r="D13" s="17"/>
      <c r="E13" s="17"/>
      <c r="F13" s="17">
        <f>IFERROR(__xludf.DUMMYFUNCTION("iferror(filter(Data!I:I,Data!B:B=C$2,Data!C:C=G13),"""")"),25.0)</f>
        <v>25</v>
      </c>
      <c r="G13" s="53" t="s">
        <v>65</v>
      </c>
      <c r="H13" s="33">
        <f>countifs(Data!B:B,C$2,Data!C:C,G13)</f>
        <v>1</v>
      </c>
      <c r="I13" s="34" t="str">
        <f t="shared" si="1"/>
        <v>2013-14</v>
      </c>
      <c r="J13" s="35">
        <f>IF($H13=1,SUMIFS(Data!K:K,Data!$B:$B,$C$2,Data!$C:$C,$G13),"")</f>
        <v>2.10031811</v>
      </c>
      <c r="K13" s="35">
        <f>IF($H13=1,SUMIFS(Data!L:L,Data!$B:$B,$C$2,Data!$C:$C,$G13),"")</f>
        <v>-0.05202532746</v>
      </c>
      <c r="L13" s="35">
        <f>IF($H13=1,SUMIFS(Data!J:J,Data!$B:$B,$C$2,Data!$C:$C,$G13),"")</f>
        <v>2.048292783</v>
      </c>
      <c r="M13" s="36">
        <f>IF($H13=1,SUMIFS(Data!F:F,Data!$B:$B,$C$2,Data!$C:$C,$G13),"")</f>
        <v>1527.463333</v>
      </c>
      <c r="N13" s="36"/>
      <c r="O13" s="17"/>
      <c r="P13" s="17"/>
      <c r="Q13" s="17"/>
      <c r="R13" s="45" t="str">
        <f>IFERROR(__xludf.DUMMYFUNCTION("""COMPUTED_VALUE"""),"2020-21")</f>
        <v>2020-21</v>
      </c>
      <c r="S13" s="46">
        <f>IFERROR(__xludf.DUMMYFUNCTION("""COMPUTED_VALUE"""),687.165)</f>
        <v>687.165</v>
      </c>
      <c r="T13" s="83">
        <f>IFERROR(__xludf.DUMMYFUNCTION("""COMPUTED_VALUE"""),0.642306129070907)</f>
        <v>0.6423061291</v>
      </c>
      <c r="U13" s="83">
        <f>IFERROR(__xludf.DUMMYFUNCTION("""COMPUTED_VALUE"""),-0.940395704567165)</f>
        <v>-0.9403957046</v>
      </c>
      <c r="V13" s="83">
        <f>IFERROR(__xludf.DUMMYFUNCTION("""COMPUTED_VALUE"""),-0.298089575496258)</f>
        <v>-0.2980895755</v>
      </c>
      <c r="W13" s="48">
        <f>if(S13="","",if(PERCENTRANK(Data!F:F,S13)=1,"👑",if(PERCENTRANK(Data!F:F,S13)=0,"💩",PERCENTRANK(Data!F:F,S13))))</f>
        <v>0.407</v>
      </c>
      <c r="X13" s="48">
        <f>if(T13="","",if(PERCENTRANK(Data!K:K,T13)=1,"👑",if(PERCENTRANK(Data!K:K,T13)=0,"💩",PERCENTRANK(Data!K:K,T13))))</f>
        <v>0.829</v>
      </c>
      <c r="Y13" s="48">
        <f>if(U13="","",if(PERCENTRANK(Data!K:K,U13)=1,"👑",if(PERCENTRANK(Data!K:K,U13)=0,"💩",PERCENTRANK(Data!K:K,U13))))</f>
        <v>0.318</v>
      </c>
      <c r="Z13" s="48">
        <f>if(V13="","",if(PERCENTRANK(Data!J:J,V13)=1,"👑",if(PERCENTRANK(Data!J:J,V13)=0,"💩",PERCENTRANK(Data!J:J,V13))))</f>
        <v>0.6</v>
      </c>
      <c r="AA13" s="17"/>
    </row>
    <row r="14">
      <c r="A14" s="17"/>
      <c r="B14" s="17"/>
      <c r="C14" s="17"/>
      <c r="D14" s="17"/>
      <c r="E14" s="17"/>
      <c r="F14" s="17">
        <f>IFERROR(__xludf.DUMMYFUNCTION("iferror(filter(Data!I:I,Data!B:B=C$2,Data!C:C=G14),"""")"),26.0)</f>
        <v>26</v>
      </c>
      <c r="G14" s="53" t="s">
        <v>66</v>
      </c>
      <c r="H14" s="33">
        <f>countifs(Data!B:B,C$2,Data!C:C,G14)</f>
        <v>1</v>
      </c>
      <c r="I14" s="34" t="str">
        <f t="shared" si="1"/>
        <v>2014-15</v>
      </c>
      <c r="J14" s="35">
        <f>IF($H14=1,SUMIFS(Data!K:K,Data!$B:$B,$C$2,Data!$C:$C,$G14),"")</f>
        <v>1.361437068</v>
      </c>
      <c r="K14" s="35">
        <f>IF($H14=1,SUMIFS(Data!L:L,Data!$B:$B,$C$2,Data!$C:$C,$G14),"")</f>
        <v>-0.2508560348</v>
      </c>
      <c r="L14" s="35">
        <f>IF($H14=1,SUMIFS(Data!J:J,Data!$B:$B,$C$2,Data!$C:$C,$G14),"")</f>
        <v>1.110581033</v>
      </c>
      <c r="M14" s="36">
        <f>IF($H14=1,SUMIFS(Data!F:F,Data!$B:$B,$C$2,Data!$C:$C,$G14),"")</f>
        <v>801.33</v>
      </c>
      <c r="N14" s="77" t="s">
        <v>95</v>
      </c>
      <c r="O14" s="17"/>
      <c r="P14" s="17"/>
      <c r="Q14" s="17"/>
      <c r="R14" s="1" t="str">
        <f>IFERROR(__xludf.DUMMYFUNCTION("""COMPUTED_VALUE"""),"2021-22")</f>
        <v>2021-22</v>
      </c>
      <c r="S14" s="46">
        <f>IFERROR(__xludf.DUMMYFUNCTION("""COMPUTED_VALUE"""),1121.1142648047073)</f>
        <v>1121.114265</v>
      </c>
      <c r="T14" s="83">
        <f>IFERROR(__xludf.DUMMYFUNCTION("""COMPUTED_VALUE"""),0.19550612907090692)</f>
        <v>0.1955061291</v>
      </c>
      <c r="U14" s="83">
        <f>IFERROR(__xludf.DUMMYFUNCTION("""COMPUTED_VALUE"""),-1.035595704567165)</f>
        <v>-1.035595705</v>
      </c>
      <c r="V14" s="83">
        <f>IFERROR(__xludf.DUMMYFUNCTION("""COMPUTED_VALUE"""),-0.8400895754962582)</f>
        <v>-0.8400895755</v>
      </c>
      <c r="W14" s="48">
        <f>if(S14="","",if(PERCENTRANK(Data!F:F,S14)=1,"👑",if(PERCENTRANK(Data!F:F,S14)=0,"💩",PERCENTRANK(Data!F:F,S14))))</f>
        <v>0.562</v>
      </c>
      <c r="X14" s="48">
        <f>iferror(if(T14="","",if(PERCENTRANK(Data!K:K,T14)=1,"👑",if(PERCENTRANK(Data!K:K,T14)=0,"💩",PERCENTRANK(Data!K:K,T14)))),"💩")</f>
        <v>0.755</v>
      </c>
      <c r="Y14" s="48">
        <f>iferror(if(U14="","",if(PERCENTRANK(Data!K:K,U14)=1,"👑",if(PERCENTRANK(Data!K:K,U14)=0,"💩",PERCENTRANK(Data!K:K,U14)))),"💩")</f>
        <v>0.29</v>
      </c>
      <c r="Z14" s="48">
        <f>iferror(if(V14="","",if(PERCENTRANK(Data!J:J,V14)=1,"👑",if(PERCENTRANK(Data!J:J,V14)=0,"💩",PERCENTRANK(Data!J:J,V14)))),"💩")</f>
        <v>0.419</v>
      </c>
      <c r="AA14" s="17"/>
    </row>
    <row r="15">
      <c r="A15" s="17"/>
      <c r="B15" s="17"/>
      <c r="C15" s="17"/>
      <c r="D15" s="17"/>
      <c r="E15" s="17"/>
      <c r="F15" s="17">
        <f>IFERROR(__xludf.DUMMYFUNCTION("iferror(filter(Data!I:I,Data!B:B=C$2,Data!C:C=G15),"""")"),27.0)</f>
        <v>27</v>
      </c>
      <c r="G15" s="53" t="s">
        <v>67</v>
      </c>
      <c r="H15" s="33">
        <f>countifs(Data!B:B,C$2,Data!C:C,G15)</f>
        <v>1</v>
      </c>
      <c r="I15" s="34" t="str">
        <f t="shared" si="1"/>
        <v>2015-16</v>
      </c>
      <c r="J15" s="35">
        <f>IF($H15=1,SUMIFS(Data!K:K,Data!$B:$B,$C$2,Data!$C:$C,$G15),"")</f>
        <v>1.583926509</v>
      </c>
      <c r="K15" s="35">
        <f>IF($H15=1,SUMIFS(Data!L:L,Data!$B:$B,$C$2,Data!$C:$C,$G15),"")</f>
        <v>0.5210865036</v>
      </c>
      <c r="L15" s="35">
        <f>IF($H15=1,SUMIFS(Data!J:J,Data!$B:$B,$C$2,Data!$C:$C,$G15),"")</f>
        <v>2.105013012</v>
      </c>
      <c r="M15" s="36">
        <f>IF($H15=1,SUMIFS(Data!F:F,Data!$B:$B,$C$2,Data!$C:$C,$G15),"")</f>
        <v>1662.06</v>
      </c>
      <c r="N15" s="87">
        <f>(K18*N21+K19*N22+K20*N23)/sum(N21:N23)</f>
        <v>-1.177130764</v>
      </c>
      <c r="O15" s="17"/>
      <c r="P15" s="17"/>
      <c r="Q15" s="17"/>
      <c r="R15" s="1" t="str">
        <f>IFERROR(__xludf.DUMMYFUNCTION("""COMPUTED_VALUE"""),"2022-23")</f>
        <v>2022-23</v>
      </c>
      <c r="S15" s="46">
        <f>IFERROR(__xludf.DUMMYFUNCTION("""COMPUTED_VALUE"""),1061.5313626763548)</f>
        <v>1061.531363</v>
      </c>
      <c r="T15" s="83">
        <f>IFERROR(__xludf.DUMMYFUNCTION("""COMPUTED_VALUE"""),-0.3286938709290931)</f>
        <v>-0.3286938709</v>
      </c>
      <c r="U15" s="83">
        <f>IFERROR(__xludf.DUMMYFUNCTION("""COMPUTED_VALUE"""),-1.190645704567165)</f>
        <v>-1.190645705</v>
      </c>
      <c r="V15" s="83">
        <f>IFERROR(__xludf.DUMMYFUNCTION("""COMPUTED_VALUE"""),-1.5193395754962582)</f>
        <v>-1.519339575</v>
      </c>
      <c r="W15" s="48">
        <f>if(S15="","",if(PERCENTRANK(Data!F:F,S15)=1,"👑",if(PERCENTRANK(Data!F:F,S15)=0,"💩",PERCENTRANK(Data!F:F,S15))))</f>
        <v>0.546</v>
      </c>
      <c r="X15" s="48">
        <f>iferror(if(T15="","",if(PERCENTRANK(Data!K:K,T15)=1,"👑",if(PERCENTRANK(Data!K:K,T15)=0,"💩",PERCENTRANK(Data!K:K,T15)))),"💩")</f>
        <v>0.549</v>
      </c>
      <c r="Y15" s="48">
        <f>iferror(if(U15="","",if(PERCENTRANK(Data!K:K,U15)=1,"👑",if(PERCENTRANK(Data!K:K,U15)=0,"💩",PERCENTRANK(Data!K:K,U15)))),"💩")</f>
        <v>0.245</v>
      </c>
      <c r="Z15" s="48">
        <f>iferror(if(V15="","",if(PERCENTRANK(Data!J:J,V15)=1,"👑",if(PERCENTRANK(Data!J:J,V15)=0,"💩",PERCENTRANK(Data!J:J,V15)))),"💩")</f>
        <v>0.235</v>
      </c>
      <c r="AA15" s="17"/>
    </row>
    <row r="16">
      <c r="A16" s="17"/>
      <c r="B16" s="17"/>
      <c r="C16" s="17"/>
      <c r="D16" s="17"/>
      <c r="E16" s="17"/>
      <c r="F16" s="17">
        <f>IFERROR(__xludf.DUMMYFUNCTION("iferror(filter(Data!I:I,Data!B:B=C$2,Data!C:C=G16),"""")"),28.0)</f>
        <v>28</v>
      </c>
      <c r="G16" s="53" t="s">
        <v>68</v>
      </c>
      <c r="H16" s="33">
        <f>countifs(Data!B:B,C$2,Data!C:C,G16)</f>
        <v>1</v>
      </c>
      <c r="I16" s="34" t="str">
        <f t="shared" si="1"/>
        <v>2016-17</v>
      </c>
      <c r="J16" s="35">
        <f>IF($H16=1,SUMIFS(Data!K:K,Data!$B:$B,$C$2,Data!$C:$C,$G16),"")</f>
        <v>1.40685335</v>
      </c>
      <c r="K16" s="35">
        <f>IF($H16=1,SUMIFS(Data!L:L,Data!$B:$B,$C$2,Data!$C:$C,$G16),"")</f>
        <v>-0.6202206723</v>
      </c>
      <c r="L16" s="35">
        <f>IF($H16=1,SUMIFS(Data!J:J,Data!$B:$B,$C$2,Data!$C:$C,$G16),"")</f>
        <v>0.7866326777</v>
      </c>
      <c r="M16" s="36">
        <f>IF($H16=1,SUMIFS(Data!F:F,Data!$B:$B,$C$2,Data!$C:$C,$G16),"")</f>
        <v>1754.413333</v>
      </c>
      <c r="N16" s="36"/>
      <c r="O16" s="17"/>
      <c r="P16" s="17"/>
      <c r="Q16" s="17"/>
      <c r="R16" s="1" t="str">
        <f>IFERROR(__xludf.DUMMYFUNCTION("""COMPUTED_VALUE"""),"2023-24")</f>
        <v>2023-24</v>
      </c>
      <c r="S16" s="46">
        <f>IFERROR(__xludf.DUMMYFUNCTION("""COMPUTED_VALUE"""),994.7962834317591)</f>
        <v>994.7962834</v>
      </c>
      <c r="T16" s="83">
        <f>IFERROR(__xludf.DUMMYFUNCTION("""COMPUTED_VALUE"""),-0.930293870929093)</f>
        <v>-0.9302938709</v>
      </c>
      <c r="U16" s="83">
        <f>IFERROR(__xludf.DUMMYFUNCTION("""COMPUTED_VALUE"""),-1.405545704567165)</f>
        <v>-1.405545705</v>
      </c>
      <c r="V16" s="83">
        <f>IFERROR(__xludf.DUMMYFUNCTION("""COMPUTED_VALUE"""),-2.335839575496258)</f>
        <v>-2.335839575</v>
      </c>
      <c r="W16" s="48">
        <f>if(S16="","",if(PERCENTRANK(Data!F:F,S16)=1,"👑",if(PERCENTRANK(Data!F:F,S16)=0,"💩",PERCENTRANK(Data!F:F,S16))))</f>
        <v>0.525</v>
      </c>
      <c r="X16" s="48">
        <f>iferror(if(T16="","",if(PERCENTRANK(Data!K:K,T16)=1,"👑",if(PERCENTRANK(Data!K:K,T16)=0,"💩",PERCENTRANK(Data!K:K,T16)))),"💩")</f>
        <v>0.321</v>
      </c>
      <c r="Y16" s="48">
        <f>iferror(if(U16="","",if(PERCENTRANK(Data!K:K,U16)=1,"👑",if(PERCENTRANK(Data!K:K,U16)=0,"💩",PERCENTRANK(Data!K:K,U16)))),"💩")</f>
        <v>0.189</v>
      </c>
      <c r="Z16" s="48">
        <f>iferror(if(V16="","",if(PERCENTRANK(Data!J:J,V16)=1,"👑",if(PERCENTRANK(Data!J:J,V16)=0,"💩",PERCENTRANK(Data!J:J,V16)))),"💩")</f>
        <v>0.085</v>
      </c>
      <c r="AA16" s="17"/>
    </row>
    <row r="17">
      <c r="A17" s="17"/>
      <c r="B17" s="17"/>
      <c r="C17" s="17"/>
      <c r="D17" s="17"/>
      <c r="E17" s="17"/>
      <c r="F17" s="17">
        <f>IFERROR(__xludf.DUMMYFUNCTION("iferror(filter(Data!I:I,Data!B:B=C$2,Data!C:C=G17),"""")"),29.0)</f>
        <v>29</v>
      </c>
      <c r="G17" s="53" t="s">
        <v>69</v>
      </c>
      <c r="H17" s="33">
        <f>countifs(Data!B:B,C$2,Data!C:C,G17)</f>
        <v>1</v>
      </c>
      <c r="I17" s="34" t="str">
        <f t="shared" si="1"/>
        <v>2017-18</v>
      </c>
      <c r="J17" s="35">
        <f>IF($H17=1,SUMIFS(Data!K:K,Data!$B:$B,$C$2,Data!$C:$C,$G17),"")</f>
        <v>1.250925113</v>
      </c>
      <c r="K17" s="35">
        <f>IF($H17=1,SUMIFS(Data!L:L,Data!$B:$B,$C$2,Data!$C:$C,$G17),"")</f>
        <v>-1.483590334</v>
      </c>
      <c r="L17" s="35">
        <f>IF($H17=1,SUMIFS(Data!J:J,Data!$B:$B,$C$2,Data!$C:$C,$G17),"")</f>
        <v>-0.232665221</v>
      </c>
      <c r="M17" s="36">
        <f>IF($H17=1,SUMIFS(Data!F:F,Data!$B:$B,$C$2,Data!$C:$C,$G17),"")</f>
        <v>2107.251667</v>
      </c>
      <c r="N17" s="77" t="s">
        <v>4</v>
      </c>
      <c r="O17" s="17"/>
      <c r="P17" s="17"/>
      <c r="Q17" s="17"/>
      <c r="R17" s="45"/>
      <c r="S17" s="46"/>
      <c r="T17" s="83"/>
      <c r="U17" s="83"/>
      <c r="V17" s="83"/>
      <c r="W17" s="48" t="str">
        <f>if(S17="","",if(PERCENTRANK(Data!F:F,S17)=1,"👑",if(PERCENTRANK(Data!F:F,S17)=0,"💩",PERCENTRANK(Data!F:F,S17))))</f>
        <v/>
      </c>
      <c r="X17" s="48" t="str">
        <f>iferror(if(T17="","",if(PERCENTRANK(Data!K:K,T17)=1,"👑",if(PERCENTRANK(Data!K:K,T17)=0,"💩",PERCENTRANK(Data!K:K,T17)))),"💩")</f>
        <v/>
      </c>
      <c r="Y17" s="48" t="str">
        <f>iferror(if(U17="","",if(PERCENTRANK(Data!K:K,U17)=1,"👑",if(PERCENTRANK(Data!K:K,U17)=0,"💩",PERCENTRANK(Data!K:K,U17)))),"💩")</f>
        <v/>
      </c>
      <c r="Z17" s="48" t="str">
        <f>iferror(if(V17="","",if(PERCENTRANK(Data!J:J,V17)=1,"👑",if(PERCENTRANK(Data!J:J,V17)=0,"💩",PERCENTRANK(Data!J:J,V17)))),"💩")</f>
        <v/>
      </c>
      <c r="AA17" s="17"/>
    </row>
    <row r="18">
      <c r="A18" s="17"/>
      <c r="B18" s="17"/>
      <c r="C18" s="17"/>
      <c r="D18" s="17"/>
      <c r="E18" s="17"/>
      <c r="F18" s="17">
        <f>IFERROR(__xludf.DUMMYFUNCTION("iferror(filter(Data!I:I,Data!B:B=C$2,Data!C:C=G18),"""")"),30.0)</f>
        <v>30</v>
      </c>
      <c r="G18" s="53" t="s">
        <v>70</v>
      </c>
      <c r="H18" s="33">
        <f>countifs(Data!B:B,C$2,Data!C:C,G18)</f>
        <v>1</v>
      </c>
      <c r="I18" s="34" t="str">
        <f t="shared" si="1"/>
        <v>2018-19</v>
      </c>
      <c r="J18" s="35">
        <f>IF($H18=1,SUMIFS(Data!K:K,Data!$B:$B,$C$2,Data!$C:$C,$G18),"")</f>
        <v>1.235806581</v>
      </c>
      <c r="K18" s="35">
        <f>IF($H18=1,SUMIFS(Data!L:L,Data!$B:$B,$C$2,Data!$C:$C,$G18),"")</f>
        <v>-1.863466866</v>
      </c>
      <c r="L18" s="35">
        <f>IF($H18=1,SUMIFS(Data!J:J,Data!$B:$B,$C$2,Data!$C:$C,$G18),"")</f>
        <v>-0.6276602853</v>
      </c>
      <c r="M18" s="36">
        <f>IF($H18=1,SUMIFS(Data!F:F,Data!$B:$B,$C$2,Data!$C:$C,$G18),"")</f>
        <v>1907.708333</v>
      </c>
      <c r="N18" s="88">
        <f>(M18*N21+M19*N22+M20*N23)/sum(N21:N23)</f>
        <v>1172.009347</v>
      </c>
      <c r="O18" s="17"/>
      <c r="P18" s="17"/>
      <c r="Q18" s="17"/>
      <c r="R18" s="45"/>
      <c r="S18" s="46"/>
      <c r="T18" s="83"/>
      <c r="U18" s="83"/>
      <c r="V18" s="83"/>
      <c r="W18" s="48" t="str">
        <f>if(S18="","",if(PERCENTRANK(Data!F:F,S18)=1,"👑",if(PERCENTRANK(Data!F:F,S18)=0,"💩",PERCENTRANK(Data!F:F,S18))))</f>
        <v/>
      </c>
      <c r="X18" s="48" t="str">
        <f>iferror(if(T18="","",if(PERCENTRANK(Data!K:K,T18)=1,"👑",if(PERCENTRANK(Data!K:K,T18)=0,"💩",PERCENTRANK(Data!K:K,T18)))),"💩")</f>
        <v/>
      </c>
      <c r="Y18" s="48" t="str">
        <f>iferror(if(U18="","",if(PERCENTRANK(Data!K:K,U18)=1,"👑",if(PERCENTRANK(Data!K:K,U18)=0,"💩",PERCENTRANK(Data!K:K,U18)))),"💩")</f>
        <v/>
      </c>
      <c r="Z18" s="48" t="str">
        <f>iferror(if(V18="","",if(PERCENTRANK(Data!J:J,V18)=1,"👑",if(PERCENTRANK(Data!J:J,V18)=0,"💩",PERCENTRANK(Data!J:J,V18)))),"💩")</f>
        <v/>
      </c>
      <c r="AA18" s="17"/>
    </row>
    <row r="19">
      <c r="A19" s="17"/>
      <c r="B19" s="17"/>
      <c r="C19" s="17"/>
      <c r="D19" s="17"/>
      <c r="E19" s="17"/>
      <c r="F19" s="17">
        <f>IFERROR(__xludf.DUMMYFUNCTION("iferror(filter(Data!I:I,Data!B:B=C$2,Data!C:C=G19),"""")"),31.0)</f>
        <v>31</v>
      </c>
      <c r="G19" s="53" t="s">
        <v>71</v>
      </c>
      <c r="H19" s="33">
        <f>countifs(Data!B:B,C$2,Data!C:C,G19)</f>
        <v>1</v>
      </c>
      <c r="I19" s="34" t="str">
        <f t="shared" si="1"/>
        <v>2019-20</v>
      </c>
      <c r="J19" s="35">
        <f>IF($H19=1,SUMIFS(Data!K:K,Data!$B:$B,$C$2,Data!$C:$C,$G19),"")</f>
        <v>1.997660103</v>
      </c>
      <c r="K19" s="35">
        <f>IF($H19=1,SUMIFS(Data!L:L,Data!$B:$B,$C$2,Data!$C:$C,$G19),"")</f>
        <v>-1.119681036</v>
      </c>
      <c r="L19" s="35">
        <f>IF($H19=1,SUMIFS(Data!J:J,Data!$B:$B,$C$2,Data!$C:$C,$G19),"")</f>
        <v>0.877979067</v>
      </c>
      <c r="M19" s="36">
        <f>IF($H19=1,SUMIFS(Data!F:F,Data!$B:$B,$C$2,Data!$C:$C,$G19),"")</f>
        <v>1484.748333</v>
      </c>
      <c r="N19" s="17"/>
      <c r="O19" s="17"/>
      <c r="P19" s="17"/>
      <c r="Q19" s="17"/>
      <c r="R19" s="45"/>
      <c r="S19" s="46"/>
      <c r="T19" s="83"/>
      <c r="U19" s="83"/>
      <c r="V19" s="83"/>
      <c r="W19" s="48" t="str">
        <f>if(S19="","",if(PERCENTRANK(Data!F:F,S19)=1,"👑",if(PERCENTRANK(Data!F:F,S19)=0,"💩",PERCENTRANK(Data!F:F,S19))))</f>
        <v/>
      </c>
      <c r="X19" s="48" t="str">
        <f>iferror(if(T19="","",if(PERCENTRANK(Data!K:K,T19)=1,"👑",if(PERCENTRANK(Data!K:K,T19)=0,"💩",PERCENTRANK(Data!K:K,T19)))),"💩")</f>
        <v/>
      </c>
      <c r="Y19" s="48" t="str">
        <f>iferror(if(U19="","",if(PERCENTRANK(Data!K:K,U19)=1,"👑",if(PERCENTRANK(Data!K:K,U19)=0,"💩",PERCENTRANK(Data!K:K,U19)))),"💩")</f>
        <v/>
      </c>
      <c r="Z19" s="48" t="str">
        <f>iferror(if(V19="","",if(PERCENTRANK(Data!J:J,V19)=1,"👑",if(PERCENTRANK(Data!J:J,V19)=0,"💩",PERCENTRANK(Data!J:J,V19)))),"💩")</f>
        <v/>
      </c>
      <c r="AA19" s="17"/>
    </row>
    <row r="20">
      <c r="A20" s="17"/>
      <c r="B20" s="17"/>
      <c r="C20" s="17"/>
      <c r="D20" s="17"/>
      <c r="E20" s="17"/>
      <c r="F20" s="17">
        <f>if(F19&lt;&gt;"",F19+1,if(F18&lt;&gt;"",F18+2,if(F17&lt;&gt;"",F17+3,if(F16&lt;&gt;"",F16+4))))</f>
        <v>32</v>
      </c>
      <c r="G20" s="53" t="s">
        <v>13</v>
      </c>
      <c r="H20" s="33">
        <f>countifs(Data!B:B,C$2,Data!C:C,G20)</f>
        <v>1</v>
      </c>
      <c r="I20" s="34" t="str">
        <f t="shared" si="1"/>
        <v>2020-21</v>
      </c>
      <c r="J20" s="35">
        <f>IF($H20=1,SUMIFS(Data!K:K,Data!$B:$B,$C$2,Data!$C:$C,$G20),"")</f>
        <v>0.6423061291</v>
      </c>
      <c r="K20" s="35">
        <f>IF($H20=1,SUMIFS(Data!L:L,Data!$B:$B,$C$2,Data!$C:$C,$G20),"")</f>
        <v>-0.9403957046</v>
      </c>
      <c r="L20" s="35">
        <f>IF($H20=1,SUMIFS(Data!J:J,Data!$B:$B,$C$2,Data!$C:$C,$G20),"")</f>
        <v>-0.2980895755</v>
      </c>
      <c r="M20" s="36">
        <f>IF($H20=1,SUMIFS(Data!F:F,Data!$B:$B,$C$2,Data!$C:$C,$G20),"")</f>
        <v>687.165</v>
      </c>
      <c r="N20" s="85" t="s">
        <v>96</v>
      </c>
      <c r="O20" s="17"/>
      <c r="P20" s="17"/>
      <c r="Q20" s="17"/>
      <c r="R20" s="45"/>
      <c r="S20" s="46"/>
      <c r="T20" s="83"/>
      <c r="U20" s="83"/>
      <c r="V20" s="83"/>
      <c r="W20" s="48" t="str">
        <f>if(S20="","",if(PERCENTRANK(Data!F:F,S20)=1,"👑",if(PERCENTRANK(Data!F:F,S20)=0,"💩",PERCENTRANK(Data!F:F,S20))))</f>
        <v/>
      </c>
      <c r="X20" s="48" t="str">
        <f>iferror(if(T20="","",if(PERCENTRANK(Data!K:K,T20)=1,"👑",if(PERCENTRANK(Data!K:K,T20)=0,"💩",PERCENTRANK(Data!K:K,T20)))),"💩")</f>
        <v/>
      </c>
      <c r="Y20" s="48" t="str">
        <f>iferror(if(U20="","",if(PERCENTRANK(Data!K:K,U20)=1,"👑",if(PERCENTRANK(Data!K:K,U20)=0,"💩",PERCENTRANK(Data!K:K,U20)))),"💩")</f>
        <v/>
      </c>
      <c r="Z20" s="48" t="str">
        <f>iferror(if(V20="","",if(PERCENTRANK(Data!J:J,V20)=1,"👑",if(PERCENTRANK(Data!J:J,V20)=0,"💩",PERCENTRANK(Data!J:J,V20)))),"💩")</f>
        <v/>
      </c>
      <c r="AA20" s="17"/>
    </row>
    <row r="21">
      <c r="A21" s="17"/>
      <c r="B21" s="17"/>
      <c r="C21" s="17"/>
      <c r="D21" s="17"/>
      <c r="E21" s="17"/>
      <c r="F21" s="17">
        <f t="shared" ref="F21:F40" si="2">F20+1</f>
        <v>33</v>
      </c>
      <c r="G21" s="53" t="str">
        <f t="shared" ref="G21:G40" si="3">if(G20="","",IF(F21&gt;42,"",IF(L20&lt;-2.3,"",LEFT(G20,4)+1&amp;"-"&amp;RIGHT(G20,2)+1)))</f>
        <v>2021-22</v>
      </c>
      <c r="H21" s="75">
        <f t="shared" ref="H21:H40" si="4">if(M21="","",1)</f>
        <v>1</v>
      </c>
      <c r="I21" s="17" t="str">
        <f t="shared" ref="I21:I40" si="5">if(G21="","",G21)</f>
        <v>2021-22</v>
      </c>
      <c r="J21" s="35">
        <f>IFERROR(__xludf.DUMMYFUNCTION("IF(I21="""","""",if(J20="""",N$12+filter('Growth Summary'!L:L,'Growth Summary'!A:A=F21-1,'Growth Summary'!B:B=N$9),J20+filter('Growth Summary'!L:L,'Growth Summary'!A:A=F20,'Growth Summary'!B:B=N$9)))"),0.19550612907090692)</f>
        <v>0.1955061291</v>
      </c>
      <c r="K21" s="35">
        <f>IFERROR(__xludf.DUMMYFUNCTION("IF(I21="""","""",if(K20="""",N$15+filter('Growth Summary'!M:M,'Growth Summary'!A:A=F21-1,'Growth Summary'!B:B=N$9),K20+filter('Growth Summary'!M:M,'Growth Summary'!A:A=F20,'Growth Summary'!B:B=N$9)))"),-1.035595704567165)</f>
        <v>-1.035595705</v>
      </c>
      <c r="L21" s="89">
        <f t="shared" ref="L21:L40" si="6">IF(I21="","",sum(J21:K21))</f>
        <v>-0.8400895755</v>
      </c>
      <c r="M21" s="90">
        <f>IF(G21="","",IF((1.27735607841386-0.00972065365210483*F21)*N18&gt;82*35,82*35,(1.27735607841386-0.00972065365210483*F21)*N18))</f>
        <v>1121.114265</v>
      </c>
      <c r="N21" s="84">
        <f>if(M18=0,0,1)*M18</f>
        <v>1907.708333</v>
      </c>
      <c r="O21" s="17"/>
      <c r="P21" s="17"/>
      <c r="Q21" s="17"/>
      <c r="R21" s="45"/>
      <c r="S21" s="46"/>
      <c r="T21" s="83"/>
      <c r="U21" s="83"/>
      <c r="V21" s="83"/>
      <c r="W21" s="48" t="str">
        <f>if(S21="","",if(PERCENTRANK(Data!F:F,S21)=1,"👑",if(PERCENTRANK(Data!F:F,S21)=0,"💩",PERCENTRANK(Data!F:F,S21))))</f>
        <v/>
      </c>
      <c r="X21" s="48" t="str">
        <f>iferror(if(T21="","",if(PERCENTRANK(Data!K:K,T21)=1,"👑",if(PERCENTRANK(Data!K:K,T21)=0,"💩",PERCENTRANK(Data!K:K,T21)))),"💩")</f>
        <v/>
      </c>
      <c r="Y21" s="48" t="str">
        <f>iferror(if(U21="","",if(PERCENTRANK(Data!K:K,U21)=1,"👑",if(PERCENTRANK(Data!K:K,U21)=0,"💩",PERCENTRANK(Data!K:K,U21)))),"💩")</f>
        <v/>
      </c>
      <c r="Z21" s="48" t="str">
        <f>iferror(if(V21="","",if(PERCENTRANK(Data!J:J,V21)=1,"👑",if(PERCENTRANK(Data!J:J,V21)=0,"💩",PERCENTRANK(Data!J:J,V21)))),"💩")</f>
        <v/>
      </c>
      <c r="AA21" s="17"/>
    </row>
    <row r="22">
      <c r="A22" s="17"/>
      <c r="B22" s="17"/>
      <c r="C22" s="17"/>
      <c r="D22" s="17"/>
      <c r="E22" s="17"/>
      <c r="F22" s="17">
        <f t="shared" si="2"/>
        <v>34</v>
      </c>
      <c r="G22" s="53" t="str">
        <f t="shared" si="3"/>
        <v>2022-23</v>
      </c>
      <c r="H22" s="75">
        <f t="shared" si="4"/>
        <v>1</v>
      </c>
      <c r="I22" s="17" t="str">
        <f t="shared" si="5"/>
        <v>2022-23</v>
      </c>
      <c r="J22" s="35">
        <f>IFERROR(__xludf.DUMMYFUNCTION("IF(I22="""","""",if(J21="""",N$12+filter('Growth Summary'!L:L,'Growth Summary'!A:A=F22-1,'Growth Summary'!B:B=N$9),J21+filter('Growth Summary'!L:L,'Growth Summary'!A:A=F21,'Growth Summary'!B:B=N$9)))"),-0.3286938709290931)</f>
        <v>-0.3286938709</v>
      </c>
      <c r="K22" s="35">
        <f>IFERROR(__xludf.DUMMYFUNCTION("IF(I22="""","""",if(K21="""",N$15+filter('Growth Summary'!M:M,'Growth Summary'!A:A=F22-1,'Growth Summary'!B:B=N$9),K21+filter('Growth Summary'!M:M,'Growth Summary'!A:A=F21,'Growth Summary'!B:B=N$9)))"),-1.190645704567165)</f>
        <v>-1.190645705</v>
      </c>
      <c r="L22" s="89">
        <f t="shared" si="6"/>
        <v>-1.519339575</v>
      </c>
      <c r="M22" s="90">
        <f t="shared" ref="M22:M40" si="7">IF(G22="","",IF((1.27735607841386-0.00972065365210483*F22)*M21&gt;82*35,82*35,(1.27735607841386-0.00972065365210483*F22)*M21))</f>
        <v>1061.531363</v>
      </c>
      <c r="N22" s="84">
        <f>if(M19=0,1,2)*M19</f>
        <v>2969.496667</v>
      </c>
      <c r="O22" s="17"/>
      <c r="P22" s="17"/>
      <c r="Q22" s="17"/>
      <c r="R22" s="45"/>
      <c r="S22" s="46"/>
      <c r="T22" s="83"/>
      <c r="U22" s="83"/>
      <c r="V22" s="83"/>
      <c r="W22" s="48" t="str">
        <f>if(S22="","",if(PERCENTRANK(Data!F:F,S22)=1,"👑",if(PERCENTRANK(Data!F:F,S22)=0,"💩",PERCENTRANK(Data!F:F,S22))))</f>
        <v/>
      </c>
      <c r="X22" s="48" t="str">
        <f>iferror(if(T22="","",if(PERCENTRANK(Data!K:K,T22)=1,"👑",if(PERCENTRANK(Data!K:K,T22)=0,"💩",PERCENTRANK(Data!K:K,T22)))),"💩")</f>
        <v/>
      </c>
      <c r="Y22" s="48" t="str">
        <f>iferror(if(U22="","",if(PERCENTRANK(Data!K:K,U22)=1,"👑",if(PERCENTRANK(Data!K:K,U22)=0,"💩",PERCENTRANK(Data!K:K,U22)))),"💩")</f>
        <v/>
      </c>
      <c r="Z22" s="48" t="str">
        <f>iferror(if(V22="","",if(PERCENTRANK(Data!J:J,V22)=1,"👑",if(PERCENTRANK(Data!J:J,V22)=0,"💩",PERCENTRANK(Data!J:J,V22)))),"💩")</f>
        <v/>
      </c>
      <c r="AA22" s="17"/>
    </row>
    <row r="23">
      <c r="A23" s="17"/>
      <c r="B23" s="17"/>
      <c r="C23" s="17"/>
      <c r="D23" s="17"/>
      <c r="E23" s="17"/>
      <c r="F23" s="17">
        <f t="shared" si="2"/>
        <v>35</v>
      </c>
      <c r="G23" s="53" t="str">
        <f t="shared" si="3"/>
        <v>2023-24</v>
      </c>
      <c r="H23" s="75">
        <f t="shared" si="4"/>
        <v>1</v>
      </c>
      <c r="I23" s="17" t="str">
        <f t="shared" si="5"/>
        <v>2023-24</v>
      </c>
      <c r="J23" s="35">
        <f>IFERROR(__xludf.DUMMYFUNCTION("IF(I23="""","""",if(J22="""",N$12+filter('Growth Summary'!L:L,'Growth Summary'!A:A=F23-1,'Growth Summary'!B:B=N$9),J22+filter('Growth Summary'!L:L,'Growth Summary'!A:A=F22,'Growth Summary'!B:B=N$9)))"),-0.930293870929093)</f>
        <v>-0.9302938709</v>
      </c>
      <c r="K23" s="35">
        <f>IFERROR(__xludf.DUMMYFUNCTION("IF(I23="""","""",if(K22="""",N$15+filter('Growth Summary'!M:M,'Growth Summary'!A:A=F23-1,'Growth Summary'!B:B=N$9),K22+filter('Growth Summary'!M:M,'Growth Summary'!A:A=F22,'Growth Summary'!B:B=N$9)))"),-1.405545704567165)</f>
        <v>-1.405545705</v>
      </c>
      <c r="L23" s="89">
        <f t="shared" si="6"/>
        <v>-2.335839575</v>
      </c>
      <c r="M23" s="90">
        <f t="shared" si="7"/>
        <v>994.7962834</v>
      </c>
      <c r="N23" s="84">
        <f>if(M20=0,3,7)*M20</f>
        <v>4810.155</v>
      </c>
      <c r="O23" s="17"/>
      <c r="P23" s="17"/>
      <c r="Q23" s="17"/>
      <c r="R23" s="45"/>
      <c r="S23" s="46"/>
      <c r="T23" s="83"/>
      <c r="U23" s="83"/>
      <c r="V23" s="83"/>
      <c r="W23" s="48" t="str">
        <f>if(S23="","",if(PERCENTRANK(Data!F:F,S23)=1,"👑",if(PERCENTRANK(Data!F:F,S23)=0,"💩",PERCENTRANK(Data!F:F,S23))))</f>
        <v/>
      </c>
      <c r="X23" s="48" t="str">
        <f>iferror(if(T23="","",if(PERCENTRANK(Data!K:K,T23)=1,"👑",if(PERCENTRANK(Data!K:K,T23)=0,"💩",PERCENTRANK(Data!K:K,T23)))),"💩")</f>
        <v/>
      </c>
      <c r="Y23" s="48" t="str">
        <f>iferror(if(U23="","",if(PERCENTRANK(Data!K:K,U23)=1,"👑",if(PERCENTRANK(Data!K:K,U23)=0,"💩",PERCENTRANK(Data!K:K,U23)))),"💩")</f>
        <v/>
      </c>
      <c r="Z23" s="48" t="str">
        <f>iferror(if(V23="","",if(PERCENTRANK(Data!J:J,V23)=1,"👑",if(PERCENTRANK(Data!J:J,V23)=0,"💩",PERCENTRANK(Data!J:J,V23)))),"💩")</f>
        <v/>
      </c>
      <c r="AA23" s="17"/>
    </row>
    <row r="24">
      <c r="A24" s="17"/>
      <c r="B24" s="17"/>
      <c r="C24" s="17"/>
      <c r="D24" s="17"/>
      <c r="E24" s="17"/>
      <c r="F24" s="17">
        <f t="shared" si="2"/>
        <v>36</v>
      </c>
      <c r="G24" s="53" t="str">
        <f t="shared" si="3"/>
        <v/>
      </c>
      <c r="H24" s="75" t="str">
        <f t="shared" si="4"/>
        <v/>
      </c>
      <c r="I24" s="17" t="str">
        <f t="shared" si="5"/>
        <v/>
      </c>
      <c r="J24" s="35" t="str">
        <f>IFERROR(__xludf.DUMMYFUNCTION("IF(I24="""","""",if(J23="""",N$12+filter('Growth Summary'!L:L,'Growth Summary'!A:A=F24-1,'Growth Summary'!B:B=N$9),J23+filter('Growth Summary'!L:L,'Growth Summary'!A:A=F23,'Growth Summary'!B:B=N$9)))"),"")</f>
        <v/>
      </c>
      <c r="K24" s="35" t="str">
        <f>IFERROR(__xludf.DUMMYFUNCTION("IF(I24="""","""",if(K23="""",N$15+filter('Growth Summary'!M:M,'Growth Summary'!A:A=F24-1,'Growth Summary'!B:B=N$9),K23+filter('Growth Summary'!M:M,'Growth Summary'!A:A=F23,'Growth Summary'!B:B=N$9)))"),"")</f>
        <v/>
      </c>
      <c r="L24" s="17" t="str">
        <f t="shared" si="6"/>
        <v/>
      </c>
      <c r="M24" s="90" t="str">
        <f t="shared" si="7"/>
        <v/>
      </c>
      <c r="N24" s="90"/>
      <c r="O24" s="17"/>
      <c r="P24" s="17"/>
      <c r="Q24" s="17"/>
      <c r="R24" s="45"/>
      <c r="S24" s="46"/>
      <c r="T24" s="83"/>
      <c r="U24" s="83"/>
      <c r="V24" s="83"/>
      <c r="W24" s="48" t="str">
        <f>if(S24="","",if(PERCENTRANK(Data!F:F,S24)=1,"👑",if(PERCENTRANK(Data!F:F,S24)=0,"💩",PERCENTRANK(Data!F:F,S24))))</f>
        <v/>
      </c>
      <c r="X24" s="48" t="str">
        <f>iferror(if(T24="","",if(PERCENTRANK(Data!K:K,T24)=1,"👑",if(PERCENTRANK(Data!K:K,T24)=0,"💩",PERCENTRANK(Data!K:K,T24)))),"💩")</f>
        <v/>
      </c>
      <c r="Y24" s="48" t="str">
        <f>iferror(if(U24="","",if(PERCENTRANK(Data!K:K,U24)=1,"👑",if(PERCENTRANK(Data!K:K,U24)=0,"💩",PERCENTRANK(Data!K:K,U24)))),"💩")</f>
        <v/>
      </c>
      <c r="Z24" s="48" t="str">
        <f>iferror(if(V24="","",if(PERCENTRANK(Data!J:J,V24)=1,"👑",if(PERCENTRANK(Data!J:J,V24)=0,"💩",PERCENTRANK(Data!J:J,V24)))),"💩")</f>
        <v/>
      </c>
      <c r="AA24" s="17"/>
    </row>
    <row r="25">
      <c r="A25" s="17"/>
      <c r="B25" s="17"/>
      <c r="C25" s="17"/>
      <c r="D25" s="17"/>
      <c r="E25" s="17"/>
      <c r="F25" s="17">
        <f t="shared" si="2"/>
        <v>37</v>
      </c>
      <c r="G25" s="53" t="str">
        <f t="shared" si="3"/>
        <v/>
      </c>
      <c r="H25" s="75" t="str">
        <f t="shared" si="4"/>
        <v/>
      </c>
      <c r="I25" s="17" t="str">
        <f t="shared" si="5"/>
        <v/>
      </c>
      <c r="J25" s="35" t="str">
        <f>IFERROR(__xludf.DUMMYFUNCTION("IF(I25="""","""",if(J24="""",N$12+filter('Growth Summary'!L:L,'Growth Summary'!A:A=F25-1,'Growth Summary'!B:B=N$9),J24+filter('Growth Summary'!L:L,'Growth Summary'!A:A=F24,'Growth Summary'!B:B=N$9)))"),"")</f>
        <v/>
      </c>
      <c r="K25" s="35" t="str">
        <f>IFERROR(__xludf.DUMMYFUNCTION("IF(I25="""","""",if(K24="""",N$15+filter('Growth Summary'!M:M,'Growth Summary'!A:A=F25-1,'Growth Summary'!B:B=N$9),K24+filter('Growth Summary'!M:M,'Growth Summary'!A:A=F24,'Growth Summary'!B:B=N$9)))"),"")</f>
        <v/>
      </c>
      <c r="L25" s="17" t="str">
        <f t="shared" si="6"/>
        <v/>
      </c>
      <c r="M25" s="90" t="str">
        <f t="shared" si="7"/>
        <v/>
      </c>
      <c r="N25" s="90"/>
      <c r="O25" s="17"/>
      <c r="P25" s="17"/>
      <c r="Q25" s="17"/>
      <c r="R25" s="45"/>
      <c r="S25" s="46"/>
      <c r="T25" s="83"/>
      <c r="U25" s="83"/>
      <c r="V25" s="83"/>
      <c r="W25" s="48" t="str">
        <f>if(S25="","",if(PERCENTRANK(Data!F:F,S25)=1,"👑",if(PERCENTRANK(Data!F:F,S25)=0,"💩",PERCENTRANK(Data!F:F,S25))))</f>
        <v/>
      </c>
      <c r="X25" s="48" t="str">
        <f>iferror(if(T25="","",if(PERCENTRANK(Data!K:K,T25)=1,"👑",if(PERCENTRANK(Data!K:K,T25)=0,"💩",PERCENTRANK(Data!K:K,T25)))),"💩")</f>
        <v/>
      </c>
      <c r="Y25" s="48" t="str">
        <f>iferror(if(U25="","",if(PERCENTRANK(Data!K:K,U25)=1,"👑",if(PERCENTRANK(Data!K:K,U25)=0,"💩",PERCENTRANK(Data!K:K,U25)))),"💩")</f>
        <v/>
      </c>
      <c r="Z25" s="48" t="str">
        <f>iferror(if(V25="","",if(PERCENTRANK(Data!J:J,V25)=1,"👑",if(PERCENTRANK(Data!J:J,V25)=0,"💩",PERCENTRANK(Data!J:J,V25)))),"💩")</f>
        <v/>
      </c>
      <c r="AA25" s="17"/>
    </row>
    <row r="26">
      <c r="A26" s="17"/>
      <c r="B26" s="59" t="s">
        <v>81</v>
      </c>
      <c r="C26" s="17"/>
      <c r="D26" s="17"/>
      <c r="E26" s="17"/>
      <c r="F26" s="17">
        <f t="shared" si="2"/>
        <v>38</v>
      </c>
      <c r="G26" s="53" t="str">
        <f t="shared" si="3"/>
        <v/>
      </c>
      <c r="H26" s="75" t="str">
        <f t="shared" si="4"/>
        <v/>
      </c>
      <c r="I26" s="17" t="str">
        <f t="shared" si="5"/>
        <v/>
      </c>
      <c r="J26" s="35" t="str">
        <f>IFERROR(__xludf.DUMMYFUNCTION("IF(I26="""","""",if(J25="""",N$12+filter('Growth Summary'!L:L,'Growth Summary'!A:A=F26-1,'Growth Summary'!B:B=N$9),J25+filter('Growth Summary'!L:L,'Growth Summary'!A:A=F25,'Growth Summary'!B:B=N$9)))"),"")</f>
        <v/>
      </c>
      <c r="K26" s="35" t="str">
        <f>IFERROR(__xludf.DUMMYFUNCTION("IF(I26="""","""",if(K25="""",N$15+filter('Growth Summary'!M:M,'Growth Summary'!A:A=F26-1,'Growth Summary'!B:B=N$9),K25+filter('Growth Summary'!M:M,'Growth Summary'!A:A=F25,'Growth Summary'!B:B=N$9)))"),"")</f>
        <v/>
      </c>
      <c r="L26" s="17" t="str">
        <f t="shared" si="6"/>
        <v/>
      </c>
      <c r="M26" s="90" t="str">
        <f t="shared" si="7"/>
        <v/>
      </c>
      <c r="N26" s="90"/>
      <c r="O26" s="17"/>
      <c r="P26" s="17"/>
      <c r="Q26" s="17"/>
      <c r="R26" s="45"/>
      <c r="S26" s="46"/>
      <c r="T26" s="83"/>
      <c r="U26" s="83"/>
      <c r="V26" s="83"/>
      <c r="W26" s="48" t="str">
        <f>if(S26="","",if(PERCENTRANK(Data!F:F,S26)=1,"👑",if(PERCENTRANK(Data!F:F,S26)=0,"💩",PERCENTRANK(Data!F:F,S26))))</f>
        <v/>
      </c>
      <c r="X26" s="48" t="str">
        <f>iferror(if(T26="","",if(PERCENTRANK(Data!K:K,T26)=1,"👑",if(PERCENTRANK(Data!K:K,T26)=0,"💩",PERCENTRANK(Data!K:K,T26)))),"💩")</f>
        <v/>
      </c>
      <c r="Y26" s="48" t="str">
        <f>iferror(if(U26="","",if(PERCENTRANK(Data!K:K,U26)=1,"👑",if(PERCENTRANK(Data!K:K,U26)=0,"💩",PERCENTRANK(Data!K:K,U26)))),"💩")</f>
        <v/>
      </c>
      <c r="Z26" s="48" t="str">
        <f>iferror(if(V26="","",if(PERCENTRANK(Data!J:J,V26)=1,"👑",if(PERCENTRANK(Data!J:J,V26)=0,"💩",PERCENTRANK(Data!J:J,V26)))),"💩")</f>
        <v/>
      </c>
      <c r="AA26" s="17"/>
    </row>
    <row r="27">
      <c r="A27" s="17"/>
      <c r="B27" s="17"/>
      <c r="C27" s="17"/>
      <c r="D27" s="17"/>
      <c r="E27" s="17"/>
      <c r="F27" s="17">
        <f t="shared" si="2"/>
        <v>39</v>
      </c>
      <c r="G27" s="53" t="str">
        <f t="shared" si="3"/>
        <v/>
      </c>
      <c r="H27" s="75" t="str">
        <f t="shared" si="4"/>
        <v/>
      </c>
      <c r="I27" s="17" t="str">
        <f t="shared" si="5"/>
        <v/>
      </c>
      <c r="J27" s="35" t="str">
        <f>IFERROR(__xludf.DUMMYFUNCTION("IF(I27="""","""",if(J26="""",N$12+filter('Growth Summary'!L:L,'Growth Summary'!A:A=F27-1,'Growth Summary'!B:B=N$9),J26+filter('Growth Summary'!L:L,'Growth Summary'!A:A=F26,'Growth Summary'!B:B=N$9)))"),"")</f>
        <v/>
      </c>
      <c r="K27" s="35" t="str">
        <f>IFERROR(__xludf.DUMMYFUNCTION("IF(I27="""","""",if(K26="""",N$15+filter('Growth Summary'!M:M,'Growth Summary'!A:A=F27-1,'Growth Summary'!B:B=N$9),K26+filter('Growth Summary'!M:M,'Growth Summary'!A:A=F26,'Growth Summary'!B:B=N$9)))"),"")</f>
        <v/>
      </c>
      <c r="L27" s="17" t="str">
        <f t="shared" si="6"/>
        <v/>
      </c>
      <c r="M27" s="90" t="str">
        <f t="shared" si="7"/>
        <v/>
      </c>
      <c r="N27" s="90"/>
      <c r="O27" s="17"/>
      <c r="P27" s="17"/>
      <c r="Q27" s="17"/>
      <c r="R27" s="45"/>
      <c r="S27" s="46"/>
      <c r="T27" s="83"/>
      <c r="U27" s="83"/>
      <c r="V27" s="83"/>
      <c r="W27" s="48" t="str">
        <f>if(S27="","",if(PERCENTRANK(Data!F:F,S27)=1,"👑",if(PERCENTRANK(Data!F:F,S27)=0,"💩",PERCENTRANK(Data!F:F,S27))))</f>
        <v/>
      </c>
      <c r="X27" s="48" t="str">
        <f>iferror(if(T27="","",if(PERCENTRANK(Data!K:K,T27)=1,"👑",if(PERCENTRANK(Data!K:K,T27)=0,"💩",PERCENTRANK(Data!K:K,T27)))),"💩")</f>
        <v/>
      </c>
      <c r="Y27" s="48" t="str">
        <f>iferror(if(U27="","",if(PERCENTRANK(Data!K:K,U27)=1,"👑",if(PERCENTRANK(Data!K:K,U27)=0,"💩",PERCENTRANK(Data!K:K,U27)))),"💩")</f>
        <v/>
      </c>
      <c r="Z27" s="48" t="str">
        <f>iferror(if(V27="","",if(PERCENTRANK(Data!J:J,V27)=1,"👑",if(PERCENTRANK(Data!J:J,V27)=0,"💩",PERCENTRANK(Data!J:J,V27)))),"💩")</f>
        <v/>
      </c>
      <c r="AA27" s="17"/>
    </row>
    <row r="28">
      <c r="A28" s="17"/>
      <c r="B28" s="17"/>
      <c r="C28" s="17"/>
      <c r="D28" s="17"/>
      <c r="E28" s="17"/>
      <c r="F28" s="17">
        <f t="shared" si="2"/>
        <v>40</v>
      </c>
      <c r="G28" s="53" t="str">
        <f t="shared" si="3"/>
        <v/>
      </c>
      <c r="H28" s="75" t="str">
        <f t="shared" si="4"/>
        <v/>
      </c>
      <c r="I28" s="17" t="str">
        <f t="shared" si="5"/>
        <v/>
      </c>
      <c r="J28" s="35" t="str">
        <f>IFERROR(__xludf.DUMMYFUNCTION("IF(I28="""","""",if(J27="""",N$12+filter('Growth Summary'!L:L,'Growth Summary'!A:A=F28-1,'Growth Summary'!B:B=N$9),J27+filter('Growth Summary'!L:L,'Growth Summary'!A:A=F27,'Growth Summary'!B:B=N$9)))"),"")</f>
        <v/>
      </c>
      <c r="K28" s="35" t="str">
        <f>IFERROR(__xludf.DUMMYFUNCTION("IF(I28="""","""",if(K27="""",N$15+filter('Growth Summary'!M:M,'Growth Summary'!A:A=F28-1,'Growth Summary'!B:B=N$9),K27+filter('Growth Summary'!M:M,'Growth Summary'!A:A=F27,'Growth Summary'!B:B=N$9)))"),"")</f>
        <v/>
      </c>
      <c r="L28" s="17" t="str">
        <f t="shared" si="6"/>
        <v/>
      </c>
      <c r="M28" s="90" t="str">
        <f t="shared" si="7"/>
        <v/>
      </c>
      <c r="N28" s="90"/>
      <c r="O28" s="17"/>
      <c r="P28" s="17"/>
      <c r="Q28" s="17"/>
      <c r="R28" s="45"/>
      <c r="S28" s="46"/>
      <c r="T28" s="83"/>
      <c r="U28" s="83"/>
      <c r="V28" s="83"/>
      <c r="W28" s="48" t="str">
        <f>if(S28="","",if(PERCENTRANK(Data!F:F,S28)=1,"👑",if(PERCENTRANK(Data!F:F,S28)=0,"💩",PERCENTRANK(Data!F:F,S28))))</f>
        <v/>
      </c>
      <c r="X28" s="48" t="str">
        <f>iferror(if(T28="","",if(PERCENTRANK(Data!K:K,T28)=1,"👑",if(PERCENTRANK(Data!K:K,T28)=0,"💩",PERCENTRANK(Data!K:K,T28)))),"💩")</f>
        <v/>
      </c>
      <c r="Y28" s="48" t="str">
        <f>iferror(if(U28="","",if(PERCENTRANK(Data!K:K,U28)=1,"👑",if(PERCENTRANK(Data!K:K,U28)=0,"💩",PERCENTRANK(Data!K:K,U28)))),"💩")</f>
        <v/>
      </c>
      <c r="Z28" s="48" t="str">
        <f>iferror(if(V28="","",if(PERCENTRANK(Data!J:J,V28)=1,"👑",if(PERCENTRANK(Data!J:J,V28)=0,"💩",PERCENTRANK(Data!J:J,V28)))),"💩")</f>
        <v/>
      </c>
      <c r="AA28" s="17"/>
    </row>
    <row r="29">
      <c r="A29" s="17"/>
      <c r="B29" s="17"/>
      <c r="C29" s="17"/>
      <c r="D29" s="17"/>
      <c r="E29" s="17"/>
      <c r="F29" s="17">
        <f t="shared" si="2"/>
        <v>41</v>
      </c>
      <c r="G29" s="53" t="str">
        <f t="shared" si="3"/>
        <v/>
      </c>
      <c r="H29" s="75" t="str">
        <f t="shared" si="4"/>
        <v/>
      </c>
      <c r="I29" s="17" t="str">
        <f t="shared" si="5"/>
        <v/>
      </c>
      <c r="J29" s="35" t="str">
        <f>IFERROR(__xludf.DUMMYFUNCTION("IF(I29="""","""",if(J28="""",N$12+filter('Growth Summary'!L:L,'Growth Summary'!A:A=F29-1,'Growth Summary'!B:B=N$9),J28+filter('Growth Summary'!L:L,'Growth Summary'!A:A=F28,'Growth Summary'!B:B=N$9)))"),"")</f>
        <v/>
      </c>
      <c r="K29" s="35" t="str">
        <f>IFERROR(__xludf.DUMMYFUNCTION("IF(I29="""","""",if(K28="""",N$15+filter('Growth Summary'!M:M,'Growth Summary'!A:A=F29-1,'Growth Summary'!B:B=N$9),K28+filter('Growth Summary'!M:M,'Growth Summary'!A:A=F28,'Growth Summary'!B:B=N$9)))"),"")</f>
        <v/>
      </c>
      <c r="L29" s="17" t="str">
        <f t="shared" si="6"/>
        <v/>
      </c>
      <c r="M29" s="90" t="str">
        <f t="shared" si="7"/>
        <v/>
      </c>
      <c r="N29" s="90"/>
      <c r="O29" s="17"/>
      <c r="P29" s="17"/>
      <c r="Q29" s="17"/>
      <c r="R29" s="45"/>
      <c r="S29" s="46"/>
      <c r="T29" s="83"/>
      <c r="U29" s="83"/>
      <c r="V29" s="83"/>
      <c r="W29" s="48" t="str">
        <f>if(S29="","",if(PERCENTRANK(Data!F:F,S29)=1,"👑",if(PERCENTRANK(Data!F:F,S29)=0,"💩",PERCENTRANK(Data!F:F,S29))))</f>
        <v/>
      </c>
      <c r="X29" s="48" t="str">
        <f>iferror(if(T29="","",if(PERCENTRANK(Data!K:K,T29)=1,"👑",if(PERCENTRANK(Data!K:K,T29)=0,"💩",PERCENTRANK(Data!K:K,T29)))),"💩")</f>
        <v/>
      </c>
      <c r="Y29" s="48" t="str">
        <f>iferror(if(U29="","",if(PERCENTRANK(Data!K:K,U29)=1,"👑",if(PERCENTRANK(Data!K:K,U29)=0,"💩",PERCENTRANK(Data!K:K,U29)))),"💩")</f>
        <v/>
      </c>
      <c r="Z29" s="48" t="str">
        <f>iferror(if(V29="","",if(PERCENTRANK(Data!J:J,V29)=1,"👑",if(PERCENTRANK(Data!J:J,V29)=0,"💩",PERCENTRANK(Data!J:J,V29)))),"💩")</f>
        <v/>
      </c>
      <c r="AA29" s="17"/>
    </row>
    <row r="30">
      <c r="A30" s="17"/>
      <c r="B30" s="17"/>
      <c r="C30" s="17"/>
      <c r="D30" s="17"/>
      <c r="E30" s="17"/>
      <c r="F30" s="17">
        <f t="shared" si="2"/>
        <v>42</v>
      </c>
      <c r="G30" s="53" t="str">
        <f t="shared" si="3"/>
        <v/>
      </c>
      <c r="H30" s="75" t="str">
        <f t="shared" si="4"/>
        <v/>
      </c>
      <c r="I30" s="17" t="str">
        <f t="shared" si="5"/>
        <v/>
      </c>
      <c r="J30" s="35" t="str">
        <f>IFERROR(__xludf.DUMMYFUNCTION("IF(I30="""","""",if(J29="""",N$12+filter('Growth Summary'!L:L,'Growth Summary'!A:A=F30-1,'Growth Summary'!B:B=N$9),J29+filter('Growth Summary'!L:L,'Growth Summary'!A:A=F29,'Growth Summary'!B:B=N$9)))"),"")</f>
        <v/>
      </c>
      <c r="K30" s="35" t="str">
        <f>IFERROR(__xludf.DUMMYFUNCTION("IF(I30="""","""",if(K29="""",N$15+filter('Growth Summary'!M:M,'Growth Summary'!A:A=F30-1,'Growth Summary'!B:B=N$9),K29+filter('Growth Summary'!M:M,'Growth Summary'!A:A=F29,'Growth Summary'!B:B=N$9)))"),"")</f>
        <v/>
      </c>
      <c r="L30" s="17" t="str">
        <f t="shared" si="6"/>
        <v/>
      </c>
      <c r="M30" s="90" t="str">
        <f t="shared" si="7"/>
        <v/>
      </c>
      <c r="N30" s="90"/>
      <c r="O30" s="17"/>
      <c r="P30" s="17"/>
      <c r="Q30" s="17"/>
      <c r="R30" s="45"/>
      <c r="S30" s="91" t="s">
        <v>97</v>
      </c>
      <c r="Z30" s="48"/>
      <c r="AA30" s="17"/>
    </row>
    <row r="31">
      <c r="A31" s="17"/>
      <c r="B31" s="17"/>
      <c r="C31" s="17"/>
      <c r="D31" s="17"/>
      <c r="E31" s="17"/>
      <c r="F31" s="17">
        <f t="shared" si="2"/>
        <v>43</v>
      </c>
      <c r="G31" s="53" t="str">
        <f t="shared" si="3"/>
        <v/>
      </c>
      <c r="H31" s="75" t="str">
        <f t="shared" si="4"/>
        <v/>
      </c>
      <c r="I31" s="17" t="str">
        <f t="shared" si="5"/>
        <v/>
      </c>
      <c r="J31" s="35" t="str">
        <f>IFERROR(__xludf.DUMMYFUNCTION("IF(I31="""","""",if(J30="""",N$12+filter('Growth Summary'!L:L,'Growth Summary'!A:A=F31-1,'Growth Summary'!B:B=N$9),J30+filter('Growth Summary'!L:L,'Growth Summary'!A:A=F30,'Growth Summary'!B:B=N$9)))"),"")</f>
        <v/>
      </c>
      <c r="K31" s="35" t="str">
        <f>IFERROR(__xludf.DUMMYFUNCTION("IF(I31="""","""",if(K30="""",N$15+filter('Growth Summary'!M:M,'Growth Summary'!A:A=F31-1,'Growth Summary'!B:B=N$9),K30+filter('Growth Summary'!M:M,'Growth Summary'!A:A=F30,'Growth Summary'!B:B=N$9)))"),"")</f>
        <v/>
      </c>
      <c r="L31" s="17" t="str">
        <f t="shared" si="6"/>
        <v/>
      </c>
      <c r="M31" s="90" t="str">
        <f t="shared" si="7"/>
        <v/>
      </c>
      <c r="N31" s="90"/>
      <c r="O31" s="17"/>
      <c r="P31" s="17"/>
      <c r="Q31" s="17"/>
      <c r="R31" s="45"/>
      <c r="S31" s="92"/>
      <c r="T31" s="83"/>
      <c r="U31" s="83"/>
      <c r="V31" s="83"/>
      <c r="W31" s="48"/>
      <c r="X31" s="48"/>
      <c r="Y31" s="48"/>
      <c r="Z31" s="48"/>
      <c r="AA31" s="17"/>
    </row>
    <row r="32">
      <c r="A32" s="17"/>
      <c r="B32" s="17"/>
      <c r="C32" s="17"/>
      <c r="D32" s="17"/>
      <c r="E32" s="17"/>
      <c r="F32" s="17">
        <f t="shared" si="2"/>
        <v>44</v>
      </c>
      <c r="G32" s="53" t="str">
        <f t="shared" si="3"/>
        <v/>
      </c>
      <c r="H32" s="75" t="str">
        <f t="shared" si="4"/>
        <v/>
      </c>
      <c r="I32" s="17" t="str">
        <f t="shared" si="5"/>
        <v/>
      </c>
      <c r="J32" s="35" t="str">
        <f>IFERROR(__xludf.DUMMYFUNCTION("IF(I32="""","""",if(J31="""",N$12+filter('Growth Summary'!L:L,'Growth Summary'!A:A=F32-1,'Growth Summary'!B:B=N$9),J31+filter('Growth Summary'!L:L,'Growth Summary'!A:A=F31,'Growth Summary'!B:B=N$9)))"),"")</f>
        <v/>
      </c>
      <c r="K32" s="35" t="str">
        <f>IFERROR(__xludf.DUMMYFUNCTION("IF(I32="""","""",if(K31="""",N$15+filter('Growth Summary'!M:M,'Growth Summary'!A:A=F32-1,'Growth Summary'!B:B=N$9),K31+filter('Growth Summary'!M:M,'Growth Summary'!A:A=F31,'Growth Summary'!B:B=N$9)))"),"")</f>
        <v/>
      </c>
      <c r="L32" s="17" t="str">
        <f t="shared" si="6"/>
        <v/>
      </c>
      <c r="M32" s="90" t="str">
        <f t="shared" si="7"/>
        <v/>
      </c>
      <c r="N32" s="90"/>
      <c r="O32" s="17"/>
      <c r="P32" s="17"/>
      <c r="Q32" s="17"/>
      <c r="R32" s="45"/>
      <c r="S32" s="46"/>
      <c r="T32" s="83"/>
      <c r="U32" s="83"/>
      <c r="V32" s="83"/>
      <c r="W32" s="48" t="str">
        <f>if(S32="","",if(PERCENTRANK(Data!F:F,S32)=1,"👑",if(PERCENTRANK(Data!F:F,S32)=0,"💩",PERCENTRANK(Data!F:F,S32))))</f>
        <v/>
      </c>
      <c r="X32" s="48" t="str">
        <f>if(T32="","",if(PERCENTRANK(Data!K:K,T32)=1,"👑",if(PERCENTRANK(Data!K:K,T32)=0,"💩",PERCENTRANK(Data!K:K,T32))))</f>
        <v/>
      </c>
      <c r="Y32" s="48" t="str">
        <f>if(U32="","",if(PERCENTRANK(Data!K:K,U32)=1,"👑",if(PERCENTRANK(Data!K:K,U32)=0,"💩",PERCENTRANK(Data!K:K,U32))))</f>
        <v/>
      </c>
      <c r="Z32" s="48" t="str">
        <f>if(V32="","",if(PERCENTRANK(Data!J:J,V32)=1,"👑",if(PERCENTRANK(Data!J:J,V32)=0,"💩",PERCENTRANK(Data!J:J,V32))))</f>
        <v/>
      </c>
      <c r="AA32" s="17"/>
    </row>
    <row r="33">
      <c r="A33" s="17"/>
      <c r="B33" s="17"/>
      <c r="C33" s="17"/>
      <c r="D33" s="17"/>
      <c r="E33" s="17"/>
      <c r="F33" s="17">
        <f t="shared" si="2"/>
        <v>45</v>
      </c>
      <c r="G33" s="53" t="str">
        <f t="shared" si="3"/>
        <v/>
      </c>
      <c r="H33" s="75" t="str">
        <f t="shared" si="4"/>
        <v/>
      </c>
      <c r="I33" s="17" t="str">
        <f t="shared" si="5"/>
        <v/>
      </c>
      <c r="J33" s="35" t="str">
        <f>IFERROR(__xludf.DUMMYFUNCTION("IF(I33="""","""",if(J32="""",N$12+filter('Growth Summary'!L:L,'Growth Summary'!A:A=F33-1,'Growth Summary'!B:B=N$9),J32+filter('Growth Summary'!L:L,'Growth Summary'!A:A=F32,'Growth Summary'!B:B=N$9)))"),"")</f>
        <v/>
      </c>
      <c r="K33" s="35" t="str">
        <f>IFERROR(__xludf.DUMMYFUNCTION("IF(I33="""","""",if(K32="""",N$15+filter('Growth Summary'!M:M,'Growth Summary'!A:A=F33-1,'Growth Summary'!B:B=N$9),K32+filter('Growth Summary'!M:M,'Growth Summary'!A:A=F32,'Growth Summary'!B:B=N$9)))"),"")</f>
        <v/>
      </c>
      <c r="L33" s="17" t="str">
        <f t="shared" si="6"/>
        <v/>
      </c>
      <c r="M33" s="90" t="str">
        <f t="shared" si="7"/>
        <v/>
      </c>
      <c r="N33" s="90"/>
      <c r="O33" s="17"/>
      <c r="P33" s="17"/>
      <c r="Q33" s="17"/>
      <c r="R33" s="45"/>
      <c r="S33" s="46"/>
      <c r="T33" s="83"/>
      <c r="U33" s="83"/>
      <c r="V33" s="83"/>
      <c r="W33" s="48" t="str">
        <f>if(S33="","",if(PERCENTRANK(Data!F:F,S33)=1,"👑",if(PERCENTRANK(Data!F:F,S33)=0,"💩",PERCENTRANK(Data!F:F,S33))))</f>
        <v/>
      </c>
      <c r="X33" s="48" t="str">
        <f>if(T33="","",if(PERCENTRANK(Data!K:K,T33)=1,"👑",if(PERCENTRANK(Data!K:K,T33)=0,"💩",PERCENTRANK(Data!K:K,T33))))</f>
        <v/>
      </c>
      <c r="Y33" s="48" t="str">
        <f>if(U33="","",if(PERCENTRANK(Data!K:K,U33)=1,"👑",if(PERCENTRANK(Data!K:K,U33)=0,"💩",PERCENTRANK(Data!K:K,U33))))</f>
        <v/>
      </c>
      <c r="Z33" s="48" t="str">
        <f>if(V33="","",if(PERCENTRANK(Data!J:J,V33)=1,"👑",if(PERCENTRANK(Data!J:J,V33)=0,"💩",PERCENTRANK(Data!J:J,V33))))</f>
        <v/>
      </c>
      <c r="AA33" s="17"/>
    </row>
    <row r="34" hidden="1">
      <c r="A34" s="17"/>
      <c r="B34" s="17"/>
      <c r="C34" s="17"/>
      <c r="D34" s="17"/>
      <c r="E34" s="17"/>
      <c r="F34" s="17">
        <f t="shared" si="2"/>
        <v>46</v>
      </c>
      <c r="G34" s="53" t="str">
        <f t="shared" si="3"/>
        <v/>
      </c>
      <c r="H34" s="75" t="str">
        <f t="shared" si="4"/>
        <v/>
      </c>
      <c r="I34" s="17" t="str">
        <f t="shared" si="5"/>
        <v/>
      </c>
      <c r="J34" s="35" t="str">
        <f>IF(I34="","",power($F33,1)*'Career Projection 1'!AF$7+power($F33,2)*'Career Projection 1'!AF$8+power($F33,3)*'Career Projection 1'!AF$9+power($F33,4)*'Career Projection 1'!AF$10+J33)</f>
        <v/>
      </c>
      <c r="K34" s="35" t="str">
        <f>IF(I34="","",power($F33,1)*'Career Projection 1'!AG$7+power($F33,2)*'Career Projection 1'!AG$8+power($F33,3)*'Career Projection 1'!AG$9+power($F33,4)*'Career Projection 1'!AG$10+K33)</f>
        <v/>
      </c>
      <c r="L34" s="17" t="str">
        <f t="shared" si="6"/>
        <v/>
      </c>
      <c r="M34" s="90" t="str">
        <f t="shared" si="7"/>
        <v/>
      </c>
      <c r="N34" s="90"/>
      <c r="O34" s="17"/>
      <c r="P34" s="17"/>
      <c r="Q34" s="17"/>
      <c r="R34" s="45"/>
      <c r="S34" s="46"/>
      <c r="T34" s="83"/>
      <c r="U34" s="83"/>
      <c r="V34" s="83"/>
      <c r="W34" s="48" t="str">
        <f>if(S34="","",if(PERCENTRANK(Data!F:F,S34)=1,"👑",if(PERCENTRANK(Data!F:F,S34)=0,"💩",PERCENTRANK(Data!F:F,S34))))</f>
        <v/>
      </c>
      <c r="X34" s="48" t="str">
        <f>if(T34="","",if(PERCENTRANK(Data!K:K,T34)=1,"👑",if(PERCENTRANK(Data!K:K,T34)=0,"💩",PERCENTRANK(Data!K:K,T34))))</f>
        <v/>
      </c>
      <c r="Y34" s="48" t="str">
        <f>if(U34="","",if(PERCENTRANK(Data!K:K,U34)=1,"👑",if(PERCENTRANK(Data!K:K,U34)=0,"💩",PERCENTRANK(Data!K:K,U34))))</f>
        <v/>
      </c>
      <c r="Z34" s="48" t="str">
        <f>if(V34="","",if(PERCENTRANK(Data!J:J,V34)=1,"👑",if(PERCENTRANK(Data!J:J,V34)=0,"💩",PERCENTRANK(Data!J:J,V34))))</f>
        <v/>
      </c>
      <c r="AA34" s="17"/>
    </row>
    <row r="35" hidden="1">
      <c r="A35" s="17"/>
      <c r="B35" s="17"/>
      <c r="C35" s="17"/>
      <c r="D35" s="17"/>
      <c r="E35" s="17"/>
      <c r="F35" s="17">
        <f t="shared" si="2"/>
        <v>47</v>
      </c>
      <c r="G35" s="53" t="str">
        <f t="shared" si="3"/>
        <v/>
      </c>
      <c r="H35" s="75" t="str">
        <f t="shared" si="4"/>
        <v/>
      </c>
      <c r="I35" s="17" t="str">
        <f t="shared" si="5"/>
        <v/>
      </c>
      <c r="J35" s="35" t="str">
        <f>IF(I35="","",power($F34,1)*'Career Projection 1'!AF$7+power($F34,2)*'Career Projection 1'!AF$8+power($F34,3)*'Career Projection 1'!AF$9+power($F34,4)*'Career Projection 1'!AF$10+J34)</f>
        <v/>
      </c>
      <c r="K35" s="35" t="str">
        <f>IF(I35="","",power($F34,1)*'Career Projection 1'!AG$7+power($F34,2)*'Career Projection 1'!AG$8+power($F34,3)*'Career Projection 1'!AG$9+power($F34,4)*'Career Projection 1'!AG$10+K34)</f>
        <v/>
      </c>
      <c r="L35" s="17" t="str">
        <f t="shared" si="6"/>
        <v/>
      </c>
      <c r="M35" s="90" t="str">
        <f t="shared" si="7"/>
        <v/>
      </c>
      <c r="N35" s="90"/>
      <c r="O35" s="17"/>
      <c r="P35" s="17"/>
      <c r="Q35" s="17"/>
      <c r="R35" s="45"/>
      <c r="S35" s="46"/>
      <c r="T35" s="83"/>
      <c r="U35" s="83"/>
      <c r="V35" s="83"/>
      <c r="W35" s="48" t="str">
        <f>if(S35="","",if(PERCENTRANK(Data!F:F,S35)=1,"👑",if(PERCENTRANK(Data!F:F,S35)=0,"💩",PERCENTRANK(Data!F:F,S35))))</f>
        <v/>
      </c>
      <c r="X35" s="48" t="str">
        <f>if(T35="","",if(PERCENTRANK(Data!K:K,T35)=1,"👑",if(PERCENTRANK(Data!K:K,T35)=0,"💩",PERCENTRANK(Data!K:K,T35))))</f>
        <v/>
      </c>
      <c r="Y35" s="48" t="str">
        <f>if(U35="","",if(PERCENTRANK(Data!K:K,U35)=1,"👑",if(PERCENTRANK(Data!K:K,U35)=0,"💩",PERCENTRANK(Data!K:K,U35))))</f>
        <v/>
      </c>
      <c r="Z35" s="48" t="str">
        <f>if(V35="","",if(PERCENTRANK(Data!J:J,V35)=1,"👑",if(PERCENTRANK(Data!J:J,V35)=0,"💩",PERCENTRANK(Data!J:J,V35))))</f>
        <v/>
      </c>
      <c r="AA35" s="17"/>
    </row>
    <row r="36" hidden="1">
      <c r="A36" s="17"/>
      <c r="B36" s="17"/>
      <c r="C36" s="17"/>
      <c r="D36" s="17"/>
      <c r="E36" s="17"/>
      <c r="F36" s="17">
        <f t="shared" si="2"/>
        <v>48</v>
      </c>
      <c r="G36" s="53" t="str">
        <f t="shared" si="3"/>
        <v/>
      </c>
      <c r="H36" s="75" t="str">
        <f t="shared" si="4"/>
        <v/>
      </c>
      <c r="I36" s="17" t="str">
        <f t="shared" si="5"/>
        <v/>
      </c>
      <c r="J36" s="35" t="str">
        <f>IF(I36="","",power($F35,1)*'Career Projection 1'!AF$7+power($F35,2)*'Career Projection 1'!AF$8+power($F35,3)*'Career Projection 1'!AF$9+power($F35,4)*'Career Projection 1'!AF$10+J35)</f>
        <v/>
      </c>
      <c r="K36" s="35" t="str">
        <f>IF(I36="","",power($F35,1)*'Career Projection 1'!AG$7+power($F35,2)*'Career Projection 1'!AG$8+power($F35,3)*'Career Projection 1'!AG$9+power($F35,4)*'Career Projection 1'!AG$10+K35)</f>
        <v/>
      </c>
      <c r="L36" s="17" t="str">
        <f t="shared" si="6"/>
        <v/>
      </c>
      <c r="M36" s="90" t="str">
        <f t="shared" si="7"/>
        <v/>
      </c>
      <c r="N36" s="90"/>
      <c r="O36" s="17"/>
      <c r="P36" s="17"/>
      <c r="Q36" s="17"/>
      <c r="R36" s="45"/>
      <c r="S36" s="46"/>
      <c r="T36" s="83"/>
      <c r="U36" s="83"/>
      <c r="V36" s="83"/>
      <c r="W36" s="48" t="str">
        <f>if(S36="","",if(PERCENTRANK(Data!F:F,S36)=1,"👑",if(PERCENTRANK(Data!F:F,S36)=0,"💩",PERCENTRANK(Data!F:F,S36))))</f>
        <v/>
      </c>
      <c r="X36" s="48" t="str">
        <f>if(T36="","",if(PERCENTRANK(Data!K:K,T36)=1,"👑",if(PERCENTRANK(Data!K:K,T36)=0,"💩",PERCENTRANK(Data!K:K,T36))))</f>
        <v/>
      </c>
      <c r="Y36" s="48" t="str">
        <f>if(U36="","",if(PERCENTRANK(Data!K:K,U36)=1,"👑",if(PERCENTRANK(Data!K:K,U36)=0,"💩",PERCENTRANK(Data!K:K,U36))))</f>
        <v/>
      </c>
      <c r="Z36" s="48" t="str">
        <f>if(V36="","",if(PERCENTRANK(Data!J:J,V36)=1,"👑",if(PERCENTRANK(Data!J:J,V36)=0,"💩",PERCENTRANK(Data!J:J,V36))))</f>
        <v/>
      </c>
      <c r="AA36" s="17"/>
    </row>
    <row r="37" hidden="1">
      <c r="A37" s="17"/>
      <c r="B37" s="17"/>
      <c r="C37" s="17"/>
      <c r="D37" s="17"/>
      <c r="E37" s="17"/>
      <c r="F37" s="17">
        <f t="shared" si="2"/>
        <v>49</v>
      </c>
      <c r="G37" s="53" t="str">
        <f t="shared" si="3"/>
        <v/>
      </c>
      <c r="H37" s="75" t="str">
        <f t="shared" si="4"/>
        <v/>
      </c>
      <c r="I37" s="17" t="str">
        <f t="shared" si="5"/>
        <v/>
      </c>
      <c r="J37" s="35" t="str">
        <f>IF(I37="","",power($F36,1)*'Career Projection 1'!AF$7+power($F36,2)*'Career Projection 1'!AF$8+power($F36,3)*'Career Projection 1'!AF$9+power($F36,4)*'Career Projection 1'!AF$10+J36)</f>
        <v/>
      </c>
      <c r="K37" s="35" t="str">
        <f>IF(I37="","",power($F36,1)*'Career Projection 1'!AG$7+power($F36,2)*'Career Projection 1'!AG$8+power($F36,3)*'Career Projection 1'!AG$9+power($F36,4)*'Career Projection 1'!AG$10+K36)</f>
        <v/>
      </c>
      <c r="L37" s="17" t="str">
        <f t="shared" si="6"/>
        <v/>
      </c>
      <c r="M37" s="90" t="str">
        <f t="shared" si="7"/>
        <v/>
      </c>
      <c r="N37" s="90"/>
      <c r="O37" s="17"/>
      <c r="P37" s="17"/>
      <c r="Q37" s="17"/>
      <c r="R37" s="45"/>
      <c r="S37" s="46"/>
      <c r="T37" s="83"/>
      <c r="U37" s="83"/>
      <c r="V37" s="83"/>
      <c r="W37" s="17"/>
      <c r="X37" s="17"/>
      <c r="Y37" s="17"/>
      <c r="Z37" s="17"/>
      <c r="AA37" s="17"/>
    </row>
    <row r="38" hidden="1">
      <c r="A38" s="17"/>
      <c r="B38" s="17"/>
      <c r="C38" s="17"/>
      <c r="D38" s="17"/>
      <c r="E38" s="17"/>
      <c r="F38" s="17">
        <f t="shared" si="2"/>
        <v>50</v>
      </c>
      <c r="G38" s="53" t="str">
        <f t="shared" si="3"/>
        <v/>
      </c>
      <c r="H38" s="75" t="str">
        <f t="shared" si="4"/>
        <v/>
      </c>
      <c r="I38" s="17" t="str">
        <f t="shared" si="5"/>
        <v/>
      </c>
      <c r="J38" s="35" t="str">
        <f>IF(I38="","",power($F37,1)*'Career Projection 1'!AF$7+power($F37,2)*'Career Projection 1'!AF$8+power($F37,3)*'Career Projection 1'!AF$9+power($F37,4)*'Career Projection 1'!AF$10+J37)</f>
        <v/>
      </c>
      <c r="K38" s="35" t="str">
        <f>IF(I38="","",power($F37,1)*'Career Projection 1'!AG$7+power($F37,2)*'Career Projection 1'!AG$8+power($F37,3)*'Career Projection 1'!AG$9+power($F37,4)*'Career Projection 1'!AG$10+K37)</f>
        <v/>
      </c>
      <c r="L38" s="17" t="str">
        <f t="shared" si="6"/>
        <v/>
      </c>
      <c r="M38" s="90" t="str">
        <f t="shared" si="7"/>
        <v/>
      </c>
      <c r="N38" s="90"/>
      <c r="O38" s="17"/>
      <c r="P38" s="17"/>
      <c r="Q38" s="17"/>
      <c r="R38" s="17"/>
      <c r="S38" s="46"/>
      <c r="T38" s="83"/>
      <c r="U38" s="83"/>
      <c r="V38" s="83"/>
      <c r="W38" s="17"/>
      <c r="X38" s="17"/>
      <c r="Y38" s="17"/>
      <c r="Z38" s="17"/>
      <c r="AA38" s="17"/>
    </row>
    <row r="39" hidden="1">
      <c r="A39" s="17"/>
      <c r="B39" s="17"/>
      <c r="C39" s="17"/>
      <c r="D39" s="17"/>
      <c r="E39" s="17"/>
      <c r="F39" s="17">
        <f t="shared" si="2"/>
        <v>51</v>
      </c>
      <c r="G39" s="53" t="str">
        <f t="shared" si="3"/>
        <v/>
      </c>
      <c r="H39" s="75" t="str">
        <f t="shared" si="4"/>
        <v/>
      </c>
      <c r="I39" s="17" t="str">
        <f t="shared" si="5"/>
        <v/>
      </c>
      <c r="J39" s="35" t="str">
        <f>IF(I39="","",power($F38,1)*'Career Projection 1'!AF$7+power($F38,2)*'Career Projection 1'!AF$8+power($F38,3)*'Career Projection 1'!AF$9+power($F38,4)*'Career Projection 1'!AF$10+J38)</f>
        <v/>
      </c>
      <c r="K39" s="35" t="str">
        <f>IF(I39="","",power($F38,1)*'Career Projection 1'!AG$7+power($F38,2)*'Career Projection 1'!AG$8+power($F38,3)*'Career Projection 1'!AG$9+power($F38,4)*'Career Projection 1'!AG$10+K38)</f>
        <v/>
      </c>
      <c r="L39" s="17" t="str">
        <f t="shared" si="6"/>
        <v/>
      </c>
      <c r="M39" s="90" t="str">
        <f t="shared" si="7"/>
        <v/>
      </c>
      <c r="N39" s="90"/>
      <c r="O39" s="17"/>
      <c r="P39" s="17"/>
      <c r="Q39" s="17"/>
      <c r="R39" s="17"/>
      <c r="S39" s="17"/>
      <c r="T39" s="79"/>
      <c r="U39" s="83"/>
      <c r="V39" s="79"/>
      <c r="W39" s="17"/>
      <c r="X39" s="17"/>
      <c r="Y39" s="17"/>
      <c r="Z39" s="17"/>
      <c r="AA39" s="17"/>
    </row>
    <row r="40" hidden="1">
      <c r="A40" s="17"/>
      <c r="B40" s="17"/>
      <c r="C40" s="17"/>
      <c r="D40" s="17"/>
      <c r="E40" s="17"/>
      <c r="F40" s="17">
        <f t="shared" si="2"/>
        <v>52</v>
      </c>
      <c r="G40" s="53" t="str">
        <f t="shared" si="3"/>
        <v/>
      </c>
      <c r="H40" s="75" t="str">
        <f t="shared" si="4"/>
        <v/>
      </c>
      <c r="I40" s="17" t="str">
        <f t="shared" si="5"/>
        <v/>
      </c>
      <c r="J40" s="35" t="str">
        <f>IF(I40="","",power($F39,1)*'Career Projection 1'!AF$7+power($F39,2)*'Career Projection 1'!AF$8+power($F39,3)*'Career Projection 1'!AF$9+power($F39,4)*'Career Projection 1'!AF$10+J39)</f>
        <v/>
      </c>
      <c r="K40" s="35" t="str">
        <f>IF(I40="","",power($F39,1)*'Career Projection 1'!AG$7+power($F39,2)*'Career Projection 1'!AG$8+power($F39,3)*'Career Projection 1'!AG$9+power($F39,4)*'Career Projection 1'!AG$10+K39)</f>
        <v/>
      </c>
      <c r="L40" s="17" t="str">
        <f t="shared" si="6"/>
        <v/>
      </c>
      <c r="M40" s="90" t="str">
        <f t="shared" si="7"/>
        <v/>
      </c>
      <c r="N40" s="90"/>
      <c r="O40" s="17"/>
      <c r="P40" s="17"/>
      <c r="Q40" s="17"/>
      <c r="R40" s="17"/>
      <c r="S40" s="17"/>
      <c r="T40" s="79"/>
      <c r="U40" s="79"/>
      <c r="V40" s="79"/>
      <c r="W40" s="17"/>
      <c r="X40" s="17"/>
      <c r="Y40" s="17"/>
      <c r="Z40" s="17"/>
      <c r="AA40" s="17"/>
    </row>
    <row r="41" hidden="1">
      <c r="A41" s="17"/>
      <c r="B41" s="17"/>
      <c r="C41" s="17"/>
      <c r="D41" s="17"/>
      <c r="E41" s="17"/>
      <c r="F41" s="53" t="s">
        <v>98</v>
      </c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53" t="s">
        <v>72</v>
      </c>
      <c r="S41" s="55">
        <f>MIN(Data!F:F)</f>
        <v>0.5166666667</v>
      </c>
      <c r="T41" s="79">
        <f>MIN(Data!J:J)</f>
        <v>-4.782766307</v>
      </c>
      <c r="U41" s="79">
        <f>MIN(Data!K:K)</f>
        <v>-4.322019044</v>
      </c>
      <c r="V41" s="79">
        <f>MIN(Data!K:K)</f>
        <v>-4.322019044</v>
      </c>
      <c r="W41" s="17"/>
      <c r="X41" s="53">
        <v>1.0</v>
      </c>
      <c r="Y41" s="17"/>
      <c r="Z41" s="17"/>
      <c r="AA41" s="17"/>
    </row>
    <row r="42" hidden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53" t="s">
        <v>73</v>
      </c>
      <c r="S42" s="55">
        <f>MAX(Data!F:F)</f>
        <v>3124.635</v>
      </c>
      <c r="T42" s="79">
        <f>MAX(Data!J:J)</f>
        <v>9.119122301</v>
      </c>
      <c r="U42" s="79">
        <f>MAX(Data!K:K)</f>
        <v>6.743428076</v>
      </c>
      <c r="V42" s="79">
        <f>MAX(Data!K:K)</f>
        <v>6.743428076</v>
      </c>
      <c r="W42" s="17"/>
      <c r="X42" s="53">
        <v>0.0</v>
      </c>
      <c r="Y42" s="17"/>
      <c r="Z42" s="17"/>
      <c r="AA42" s="17"/>
    </row>
    <row r="43" hidden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79"/>
      <c r="U43" s="79"/>
      <c r="V43" s="79"/>
      <c r="W43" s="17"/>
      <c r="X43" s="17"/>
      <c r="Y43" s="17"/>
      <c r="Z43" s="17"/>
      <c r="AA43" s="17"/>
    </row>
    <row r="44" hidden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79"/>
      <c r="U44" s="79"/>
      <c r="V44" s="79"/>
      <c r="W44" s="17"/>
      <c r="X44" s="17"/>
      <c r="Y44" s="17"/>
      <c r="Z44" s="17"/>
      <c r="AA44" s="17"/>
    </row>
  </sheetData>
  <mergeCells count="5">
    <mergeCell ref="R2:V2"/>
    <mergeCell ref="B4:P4"/>
    <mergeCell ref="S4:V4"/>
    <mergeCell ref="W4:Z4"/>
    <mergeCell ref="S30:Y30"/>
  </mergeCells>
  <conditionalFormatting sqref="T6:T29 T31:T38 T41:T42">
    <cfRule type="colorScale" priority="1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U6:U29 U31:U39 U41:U42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V6:V29 V31:V38 V41:V42">
    <cfRule type="colorScale" priority="3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S6:S38 S41:S42">
    <cfRule type="colorScale" priority="4">
      <colorScale>
        <cfvo type="min"/>
        <cfvo type="max"/>
        <color rgb="FFFFFFFF"/>
        <color rgb="FFFFD666"/>
      </colorScale>
    </cfRule>
  </conditionalFormatting>
  <conditionalFormatting sqref="W6:Y29 Z6:Z36 W31:Y36 W41:Z42">
    <cfRule type="colorScale" priority="5">
      <colorScale>
        <cfvo type="formula" val="0"/>
        <cfvo type="formula" val="0.5"/>
        <cfvo type="formula" val="1"/>
        <color rgb="FFE67C73"/>
        <color rgb="FFFFFFFF"/>
        <color rgb="FF57BB8A"/>
      </colorScale>
    </cfRule>
  </conditionalFormatting>
  <conditionalFormatting sqref="W6:Y29 Z6:Z36 W31:Y36 W41:Z42">
    <cfRule type="containsText" dxfId="0" priority="6" operator="containsText" text="💩">
      <formula>NOT(ISERROR(SEARCH(("💩"),(W6))))</formula>
    </cfRule>
  </conditionalFormatting>
  <conditionalFormatting sqref="W6:Y29 Z6:Z36 W31:Y36 W41:Z42">
    <cfRule type="containsText" dxfId="1" priority="7" operator="containsText" text="👑">
      <formula>NOT(ISERROR(SEARCH(("👑"),(W6))))</formula>
    </cfRule>
  </conditionalFormatting>
  <conditionalFormatting sqref="R1 R3:R31">
    <cfRule type="beginsWith" dxfId="5" priority="8" operator="beginsWith" text="2021">
      <formula>LEFT((R1),LEN("2021"))=("2021")</formula>
    </cfRule>
  </conditionalFormatting>
  <conditionalFormatting sqref="R1 R3:R31">
    <cfRule type="beginsWith" dxfId="5" priority="9" operator="beginsWith" text="2022">
      <formula>LEFT((R1),LEN("2022"))=("2022")</formula>
    </cfRule>
  </conditionalFormatting>
  <conditionalFormatting sqref="R1 R3:R31">
    <cfRule type="beginsWith" dxfId="5" priority="10" operator="beginsWith" text="2023">
      <formula>LEFT((R1),LEN("2023"))=("2023")</formula>
    </cfRule>
  </conditionalFormatting>
  <conditionalFormatting sqref="R1 R3:R31">
    <cfRule type="beginsWith" dxfId="5" priority="11" operator="beginsWith" text="2024">
      <formula>LEFT((R1),LEN("2024"))=("2024")</formula>
    </cfRule>
  </conditionalFormatting>
  <conditionalFormatting sqref="R3:R31">
    <cfRule type="beginsWith" dxfId="5" priority="12" operator="beginsWith" text="2025">
      <formula>LEFT((R3),LEN("2025"))=("2025")</formula>
    </cfRule>
  </conditionalFormatting>
  <conditionalFormatting sqref="R3:R31">
    <cfRule type="beginsWith" dxfId="5" priority="13" operator="beginsWith" text="2026">
      <formula>LEFT((R3),LEN("2026"))=("2026")</formula>
    </cfRule>
  </conditionalFormatting>
  <conditionalFormatting sqref="R3:R31">
    <cfRule type="beginsWith" dxfId="5" priority="14" operator="beginsWith" text="2027">
      <formula>LEFT((R3),LEN("2027"))=("2027")</formula>
    </cfRule>
  </conditionalFormatting>
  <conditionalFormatting sqref="R3:R31">
    <cfRule type="beginsWith" dxfId="5" priority="15" operator="beginsWith" text="2028">
      <formula>LEFT((R3),LEN("2028"))=("2028")</formula>
    </cfRule>
  </conditionalFormatting>
  <conditionalFormatting sqref="R3:R31">
    <cfRule type="beginsWith" dxfId="5" priority="16" operator="beginsWith" text="2029">
      <formula>LEFT((R3),LEN("2029"))=("2029")</formula>
    </cfRule>
  </conditionalFormatting>
  <conditionalFormatting sqref="R3:R31">
    <cfRule type="containsText" dxfId="5" priority="17" operator="containsText" text="2030">
      <formula>NOT(ISERROR(SEARCH(("2030"),(R3))))</formula>
    </cfRule>
  </conditionalFormatting>
  <conditionalFormatting sqref="R3:R31">
    <cfRule type="beginsWith" dxfId="5" priority="18" operator="beginsWith" text="2031">
      <formula>LEFT((R3),LEN("2031"))=("2031")</formula>
    </cfRule>
  </conditionalFormatting>
  <conditionalFormatting sqref="R5:R32">
    <cfRule type="containsText" dxfId="5" priority="19" operator="containsText" text="33">
      <formula>NOT(ISERROR(SEARCH(("33"),(R5))))</formula>
    </cfRule>
  </conditionalFormatting>
  <conditionalFormatting sqref="R5:R32">
    <cfRule type="containsText" dxfId="5" priority="20" operator="containsText" text="35">
      <formula>NOT(ISERROR(SEARCH(("35"),(R5))))</formula>
    </cfRule>
  </conditionalFormatting>
  <conditionalFormatting sqref="R5:R32">
    <cfRule type="containsText" dxfId="5" priority="21" operator="containsText" text="37">
      <formula>NOT(ISERROR(SEARCH(("37"),(R5))))</formula>
    </cfRule>
  </conditionalFormatting>
  <conditionalFormatting sqref="R5:R32">
    <cfRule type="containsText" dxfId="5" priority="22" operator="containsText" text="39">
      <formula>NOT(ISERROR(SEARCH(("39"),(R5))))</formula>
    </cfRule>
  </conditionalFormatting>
  <conditionalFormatting sqref="R5:R32">
    <cfRule type="containsText" dxfId="5" priority="23" operator="containsText" text="41">
      <formula>NOT(ISERROR(SEARCH(("41"),(R5))))</formula>
    </cfRule>
  </conditionalFormatting>
  <conditionalFormatting sqref="R5:R32">
    <cfRule type="containsText" dxfId="5" priority="24" operator="containsText" text="43">
      <formula>NOT(ISERROR(SEARCH(("43"),(R5))))</formula>
    </cfRule>
  </conditionalFormatting>
  <dataValidations>
    <dataValidation type="list" allowBlank="1" showErrorMessage="1" sqref="C2">
      <formula1>Data!$B$2:$B44</formula1>
    </dataValidation>
  </dataValidations>
  <hyperlinks>
    <hyperlink r:id="rId1" ref="R2"/>
  </hyperlin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4.43"/>
    <col customWidth="1" min="3" max="3" width="37.14"/>
    <col customWidth="1" min="4" max="4" width="15.86"/>
    <col customWidth="1" min="5" max="5" width="10.29"/>
    <col hidden="1" min="6" max="6" width="14.43"/>
    <col customWidth="1" min="7" max="7" width="11.57"/>
    <col customWidth="1" min="8" max="8" width="6.57"/>
    <col customWidth="1" min="9" max="10" width="12.0"/>
    <col customWidth="1" min="11" max="13" width="17.29"/>
    <col customWidth="1" hidden="1" min="14" max="16" width="9.29"/>
    <col customWidth="1" min="17" max="17" width="17.57"/>
    <col customWidth="1" min="18" max="18" width="18.29"/>
    <col customWidth="1" min="19" max="24" width="14.57"/>
    <col customWidth="1" min="25" max="25" width="22.0"/>
    <col customWidth="1" hidden="1" min="26" max="26" width="18.43"/>
    <col customWidth="1" hidden="1" min="27" max="28" width="15.43"/>
    <col customWidth="1" hidden="1" min="29" max="29" width="10.0"/>
    <col hidden="1" min="30" max="33" width="14.43"/>
  </cols>
  <sheetData>
    <row r="1">
      <c r="A1" s="17"/>
      <c r="B1" s="17"/>
      <c r="C1" s="17"/>
      <c r="D1" s="17"/>
      <c r="E1" s="1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39" t="s">
        <v>100</v>
      </c>
      <c r="Z1" s="1"/>
      <c r="AA1" s="1"/>
      <c r="AB1" s="1"/>
      <c r="AC1" s="1"/>
      <c r="AD1" s="17"/>
      <c r="AE1" s="17"/>
      <c r="AF1" s="17"/>
      <c r="AG1" s="17"/>
    </row>
    <row r="2">
      <c r="A2" s="17"/>
      <c r="B2" s="18" t="s">
        <v>51</v>
      </c>
      <c r="C2" s="61" t="s">
        <v>101</v>
      </c>
      <c r="D2" s="17"/>
      <c r="E2" s="17"/>
      <c r="F2" s="93" t="s">
        <v>7</v>
      </c>
      <c r="G2" s="40" t="s">
        <v>12</v>
      </c>
      <c r="H2" s="40" t="s">
        <v>7</v>
      </c>
      <c r="I2" s="40" t="s">
        <v>6</v>
      </c>
      <c r="J2" s="40" t="s">
        <v>4</v>
      </c>
      <c r="K2" s="40" t="s">
        <v>8</v>
      </c>
      <c r="L2" s="40" t="s">
        <v>9</v>
      </c>
      <c r="M2" s="40" t="s">
        <v>10</v>
      </c>
      <c r="N2" s="94"/>
      <c r="O2" s="95" t="s">
        <v>102</v>
      </c>
      <c r="P2" s="95" t="s">
        <v>96</v>
      </c>
      <c r="Q2" s="40" t="s">
        <v>11</v>
      </c>
      <c r="R2" s="40" t="s">
        <v>103</v>
      </c>
      <c r="S2" s="40" t="s">
        <v>104</v>
      </c>
      <c r="T2" s="40" t="s">
        <v>105</v>
      </c>
      <c r="U2" s="40" t="s">
        <v>106</v>
      </c>
      <c r="V2" s="40" t="s">
        <v>107</v>
      </c>
      <c r="W2" s="40" t="s">
        <v>108</v>
      </c>
      <c r="X2" s="40" t="s">
        <v>109</v>
      </c>
      <c r="Y2" s="40" t="s">
        <v>110</v>
      </c>
      <c r="Z2" s="40" t="s">
        <v>111</v>
      </c>
      <c r="AA2" s="1"/>
      <c r="AB2" s="1"/>
      <c r="AC2" s="1"/>
      <c r="AD2" s="17"/>
      <c r="AE2" s="96"/>
      <c r="AF2" s="97" t="s">
        <v>58</v>
      </c>
      <c r="AG2" s="97" t="s">
        <v>59</v>
      </c>
    </row>
    <row r="3" hidden="1">
      <c r="A3" s="17"/>
      <c r="B3" s="17"/>
      <c r="C3" s="17"/>
      <c r="D3" s="17"/>
      <c r="E3" s="17"/>
      <c r="F3" s="93"/>
      <c r="G3" s="93" t="s">
        <v>69</v>
      </c>
      <c r="H3" s="2"/>
      <c r="I3" s="98"/>
      <c r="J3" s="98">
        <f>IFERROR(__xludf.DUMMYFUNCTION("iferror(filter(Data!F:F,Data!B:B=C$2,Data!C:C=G3),"""")"),1784.62)</f>
        <v>1784.62</v>
      </c>
      <c r="K3" s="2">
        <f>IFERROR(__xludf.DUMMYFUNCTION("iferror(filter(Data!J:L,Data!B:B=C$2,Data!C:C=G3),"""")"),-0.00636480864302436)</f>
        <v>-0.006364808643</v>
      </c>
      <c r="L3" s="2">
        <f>IFERROR(__xludf.DUMMYFUNCTION("""COMPUTED_VALUE"""),-1.13108341538884)</f>
        <v>-1.131083415</v>
      </c>
      <c r="M3" s="2">
        <f>IFERROR(__xludf.DUMMYFUNCTION("""COMPUTED_VALUE"""),1.12471860674582)</f>
        <v>1.124718607</v>
      </c>
      <c r="N3" s="10"/>
      <c r="O3" s="99">
        <f>if(J3=0,0,1)*J3</f>
        <v>1784.62</v>
      </c>
      <c r="P3" s="99"/>
      <c r="Q3" s="2"/>
      <c r="R3" s="100"/>
      <c r="S3" s="101"/>
      <c r="T3" s="101"/>
      <c r="U3" s="101"/>
      <c r="V3" s="101"/>
      <c r="W3" s="101"/>
      <c r="X3" s="102"/>
      <c r="Y3" s="102"/>
      <c r="Z3" s="100"/>
      <c r="AA3" s="103"/>
      <c r="AB3" s="103"/>
      <c r="AC3" s="1"/>
      <c r="AD3" s="17"/>
      <c r="AE3" s="97"/>
      <c r="AF3" s="104"/>
      <c r="AG3" s="104"/>
    </row>
    <row r="4" hidden="1">
      <c r="A4" s="17"/>
      <c r="B4" s="17"/>
      <c r="C4" s="17"/>
      <c r="D4" s="17"/>
      <c r="E4" s="17"/>
      <c r="F4" s="93"/>
      <c r="G4" s="93" t="s">
        <v>70</v>
      </c>
      <c r="H4" s="2"/>
      <c r="I4" s="98"/>
      <c r="J4" s="98">
        <f>IFERROR(__xludf.DUMMYFUNCTION("iferror(filter(Data!F:F,Data!B:B=C$2,Data!C:C=G4),"""")"),1828.40166666667)</f>
        <v>1828.401667</v>
      </c>
      <c r="K4" s="2">
        <f>IFERROR(__xludf.DUMMYFUNCTION("iferror(filter(Data!J:L,Data!B:B=C$2,Data!C:C=G4),"""")"),0.33840127343931)</f>
        <v>0.3384012734</v>
      </c>
      <c r="L4" s="2">
        <f>IFERROR(__xludf.DUMMYFUNCTION("""COMPUTED_VALUE"""),1.93825721637176)</f>
        <v>1.938257216</v>
      </c>
      <c r="M4" s="2">
        <f>IFERROR(__xludf.DUMMYFUNCTION("""COMPUTED_VALUE"""),-1.59985594293245)</f>
        <v>-1.599855943</v>
      </c>
      <c r="N4" s="10">
        <f t="shared" ref="N4:N5" si="1">K4</f>
        <v>0.3384012734</v>
      </c>
      <c r="O4" s="99">
        <f>if(J4=0,1,2)*J4</f>
        <v>3656.803333</v>
      </c>
      <c r="P4" s="99">
        <f>if(J4=0,0,1)*J4</f>
        <v>1828.401667</v>
      </c>
      <c r="Q4" s="2"/>
      <c r="R4" s="100"/>
      <c r="S4" s="101"/>
      <c r="T4" s="101"/>
      <c r="U4" s="101"/>
      <c r="V4" s="101"/>
      <c r="W4" s="101"/>
      <c r="X4" s="102"/>
      <c r="Y4" s="102"/>
      <c r="Z4" s="100"/>
      <c r="AA4" s="103"/>
      <c r="AB4" s="103"/>
      <c r="AC4" s="1"/>
      <c r="AD4" s="17"/>
      <c r="AE4" s="97"/>
      <c r="AF4" s="104"/>
      <c r="AG4" s="104"/>
    </row>
    <row r="5" hidden="1">
      <c r="A5" s="17"/>
      <c r="B5" s="17"/>
      <c r="C5" s="17"/>
      <c r="D5" s="17"/>
      <c r="E5" s="17"/>
      <c r="F5" s="93"/>
      <c r="G5" s="93" t="s">
        <v>71</v>
      </c>
      <c r="H5" s="2"/>
      <c r="I5" s="98"/>
      <c r="J5" s="98">
        <f>IFERROR(__xludf.DUMMYFUNCTION("iferror(filter(Data!F:F,Data!B:B=C$2,Data!C:C=G5),"""")"),1363.16166666667)</f>
        <v>1363.161667</v>
      </c>
      <c r="K5" s="10">
        <f>IFERROR(__xludf.DUMMYFUNCTION("iferror(filter(Data!J:L,Data!B:B=C$2,Data!C:C=G5),"""")"),1.32253426898621)</f>
        <v>1.322534269</v>
      </c>
      <c r="L5" s="10">
        <f>IFERROR(__xludf.DUMMYFUNCTION("""COMPUTED_VALUE"""),0.837092161661822)</f>
        <v>0.8370921617</v>
      </c>
      <c r="M5" s="10">
        <f>IFERROR(__xludf.DUMMYFUNCTION("""COMPUTED_VALUE"""),0.485442107324388)</f>
        <v>0.4854421073</v>
      </c>
      <c r="N5" s="10">
        <f t="shared" si="1"/>
        <v>1.322534269</v>
      </c>
      <c r="O5" s="99">
        <f>if(J5=0,3,7)*J5</f>
        <v>9542.131667</v>
      </c>
      <c r="P5" s="99">
        <f>if(J5=0,1,2)*J5</f>
        <v>2726.323333</v>
      </c>
      <c r="Q5" s="2"/>
      <c r="R5" s="100"/>
      <c r="S5" s="101"/>
      <c r="T5" s="101"/>
      <c r="U5" s="101"/>
      <c r="V5" s="101"/>
      <c r="W5" s="101"/>
      <c r="X5" s="102"/>
      <c r="Y5" s="102"/>
      <c r="Z5" s="100"/>
      <c r="AA5" s="103"/>
      <c r="AB5" s="103"/>
      <c r="AC5" s="1"/>
      <c r="AD5" s="17"/>
      <c r="AE5" s="97"/>
      <c r="AF5" s="104"/>
      <c r="AG5" s="104"/>
    </row>
    <row r="6" hidden="1">
      <c r="A6" s="17"/>
      <c r="B6" s="17"/>
      <c r="C6" s="17"/>
      <c r="D6" s="17"/>
      <c r="E6" s="17"/>
      <c r="F6" s="93"/>
      <c r="G6" s="93" t="s">
        <v>112</v>
      </c>
      <c r="H6" s="2"/>
      <c r="I6" s="98"/>
      <c r="J6" s="98">
        <f>(J3*$O3+J4*$O4+J5*$O5)/sum($O3:O5)</f>
        <v>1526.903459</v>
      </c>
      <c r="K6" s="10">
        <f t="shared" ref="K6:M6" si="2">(K4*$P4+K5*$P5+K7*$P7)/sum($P4:$P7)</f>
        <v>0.5818404316</v>
      </c>
      <c r="L6" s="10">
        <f t="shared" si="2"/>
        <v>0.66458431</v>
      </c>
      <c r="M6" s="10">
        <f t="shared" si="2"/>
        <v>-0.08274387846</v>
      </c>
      <c r="N6" s="10"/>
      <c r="O6" s="10"/>
      <c r="P6" s="10"/>
      <c r="Q6" s="2"/>
      <c r="R6" s="100"/>
      <c r="S6" s="101"/>
      <c r="T6" s="101"/>
      <c r="U6" s="101"/>
      <c r="V6" s="101"/>
      <c r="W6" s="101"/>
      <c r="X6" s="102"/>
      <c r="Y6" s="102"/>
      <c r="Z6" s="100"/>
      <c r="AA6" s="103"/>
      <c r="AB6" s="103"/>
      <c r="AC6" s="1"/>
      <c r="AD6" s="17"/>
      <c r="AE6" s="97"/>
      <c r="AF6" s="104"/>
      <c r="AG6" s="104"/>
    </row>
    <row r="7">
      <c r="A7" s="17"/>
      <c r="B7" s="17"/>
      <c r="C7" s="17"/>
      <c r="D7" s="17"/>
      <c r="E7" s="17"/>
      <c r="F7" s="93">
        <f>H7</f>
        <v>23</v>
      </c>
      <c r="G7" s="93" t="s">
        <v>13</v>
      </c>
      <c r="H7" s="2">
        <f>IFERROR(__xludf.DUMMYFUNCTION("filter(Data!I:I,Data!B:B=C2,Data!C:C=G7)"),23.0)</f>
        <v>23</v>
      </c>
      <c r="I7" s="98" t="str">
        <f>IFERROR(__xludf.DUMMYFUNCTION("filter(Data!H:H,Data!B:B=C2,Data!C:C=G7)"),"PF")</f>
        <v>PF</v>
      </c>
      <c r="J7" s="98">
        <f>IFERROR(__xludf.DUMMYFUNCTION("filter(Data!F:F,Data!B:B=C$2,Data!C:C=G7)"),943.848333333333)</f>
        <v>943.8483333</v>
      </c>
      <c r="K7" s="10">
        <f>IFERROR(__xludf.DUMMYFUNCTION("filter(Data!J:L,Data!B:B=C$2,Data!C:C=G7)"),0.343565719460258)</f>
        <v>0.3435657195</v>
      </c>
      <c r="L7" s="10">
        <f>IFERROR(__xludf.DUMMYFUNCTION("""COMPUTED_VALUE"""),0.240923954119678)</f>
        <v>0.2409239541</v>
      </c>
      <c r="M7" s="10">
        <f>IFERROR(__xludf.DUMMYFUNCTION("""COMPUTED_VALUE"""),0.10264176534058)</f>
        <v>0.1026417653</v>
      </c>
      <c r="N7" s="10">
        <f t="shared" ref="N7:N30" si="3">K7</f>
        <v>0.3435657195</v>
      </c>
      <c r="O7" s="99"/>
      <c r="P7" s="99">
        <f>if(J7=0,3,7)*J7</f>
        <v>6606.938333</v>
      </c>
      <c r="Q7" s="11">
        <f>IFERROR(__xludf.DUMMYFUNCTION("filter(Data!M:M,Data!B:B=C$2,Data!C:C=G7)"),1.6736858543351618)</f>
        <v>1.673685854</v>
      </c>
      <c r="R7" s="100">
        <f t="shared" ref="R7:R30" si="4">IF(Q7="","",(AB7+AA7*Q7)/1000000)</f>
        <v>6.313670829</v>
      </c>
      <c r="S7" s="101">
        <f>IFERROR(__xludf.DUMMYFUNCTION("if(Q7="""","""",(NORMDIST($Q7,average(filter(Data!M:M,Data!C:C=""2020-21"",Data!R:R&gt;360)),stdev(filter(Data!M:M,Data!C:C=""2020-21"")),1))-sum(T7:Y7))"),0.016929698721242725)</f>
        <v>0.01692969872</v>
      </c>
      <c r="T7" s="101">
        <f>IFERROR(__xludf.DUMMYFUNCTION("if(Q7="""","""",(NORMDIST($Q7,average(filter(Data!M:M,Data!C:C=""2020-21"",Data!R:R&gt;270,Data!R:R&lt;361)),stdev(filter(Data!M:M,Data!C:C=""2020-21"")),1))-sum(U7:Y7))"),0.046796818479358904)</f>
        <v>0.04679681848</v>
      </c>
      <c r="U7" s="101">
        <f>IFERROR(__xludf.DUMMYFUNCTION("if(Q7="""","""",(NORMDIST($Q7,average(filter(Data!M:M,Data!C:C=""2020-21"",Data!R:R&gt;150,Data!R:R&lt;271)),stdev(filter(Data!M:M,Data!C:C=""2020-21"")),1))-sum(V7:Y7))"),0.3168857788729563)</f>
        <v>0.3168857789</v>
      </c>
      <c r="V7" s="101">
        <f>IFERROR(__xludf.DUMMYFUNCTION("if(Q7="""","""",(NORMDIST($Q7,average(filter(Data!M:M,Data!C:C=""2020-21"",Data!R:R&gt;24,Data!R:R&lt;151)),stdev(filter(Data!M:M,Data!C:C=""2020-21"")),1))-sum(W7:Y7))"),0.4783432775218126)</f>
        <v>0.4783432775</v>
      </c>
      <c r="W7" s="101">
        <f>IFERROR(__xludf.DUMMYFUNCTION("if(Q7="""","""",(NORMDIST($Q7,average(filter(Data!M:M,Data!C:C=""2020-21"",Data!R:R&gt;15,Data!R:R&lt;25)),stdev(filter(Data!M:M,Data!C:C=""2020-21"")),1))-sum(X7:Y7))"),0.08480712349870934)</f>
        <v>0.0848071235</v>
      </c>
      <c r="X7" s="102">
        <f>IFERROR(__xludf.DUMMYFUNCTION("if(Q7="""","""",(NORMDIST($Q7,average(filter(Data!M:M,Data!C:C=""2020-21"",Data!R:R&gt;5,Data!R:R&lt;16)),stdev(filter(Data!M:M,Data!C:C=""2020-21"")),1))-Y7)"),0.014985252371582769)</f>
        <v>0.01498525237</v>
      </c>
      <c r="Y7" s="102">
        <f>IFERROR(__xludf.DUMMYFUNCTION("if(Q7="""","""",(NORMDIST($Q7,average(filter(Data!M:M,Data!C:C=""2020-21"",Data!R:R&lt;6)),stdev(filter(Data!M:M,Data!C:C=""2020-21"")),1)))"),2.9720934088972584E-4)</f>
        <v>0.0002972093409</v>
      </c>
      <c r="Z7" s="100">
        <f t="shared" ref="Z7:Z30" si="5">IF(Q7="","",(AA7*Q7*0.05587472512/0.0258221367806)/1000000)</f>
        <v>10.20641668</v>
      </c>
      <c r="AA7" s="103">
        <f t="array" ref="AA7">INDEX('Salary Cap'!B:B,match(left(G7,5)&amp;"20"&amp;right(G7,2),'Salary Cap'!A:A,0))*0.0258221367806</f>
        <v>2818228.008</v>
      </c>
      <c r="AB7" s="103">
        <v>1596842.47695</v>
      </c>
      <c r="AC7" s="1">
        <f t="array" ref="AC7">INDEX(H8:H34,MATCH(LARGE(Q8:Q34,1),Q8:Q34,0))</f>
        <v>27</v>
      </c>
      <c r="AD7" s="17"/>
      <c r="AE7" s="97" t="s">
        <v>7</v>
      </c>
      <c r="AF7" s="104">
        <v>0.19899</v>
      </c>
      <c r="AG7" s="104">
        <v>0.31371</v>
      </c>
    </row>
    <row r="8">
      <c r="A8" s="17"/>
      <c r="B8" s="17"/>
      <c r="C8" s="105" t="str">
        <f>"Future Expected Value for "&amp;LEFT(C2,FIND(" ",C2)-1)&amp;":"</f>
        <v>Future Expected Value for John:</v>
      </c>
      <c r="E8" s="17"/>
      <c r="F8" s="93">
        <f t="shared" ref="F8:F30" si="6">F7+1</f>
        <v>24</v>
      </c>
      <c r="G8" s="93" t="str">
        <f t="shared" ref="G8:G30" si="7">if(G7="","",IF(F8&gt;42,"",IF(N7&lt;-2.3,"",LEFT(G7,4)+1&amp;"-"&amp;RIGHT(G7,2)+1)))</f>
        <v>2021-22</v>
      </c>
      <c r="H8" s="2">
        <f t="shared" ref="H8:H30" si="8">IF(G8="","",F8)</f>
        <v>24</v>
      </c>
      <c r="I8" s="98" t="str">
        <f t="shared" ref="I8:I30" si="9">if(G8="","",I7)</f>
        <v>PF</v>
      </c>
      <c r="J8" s="98">
        <f>IF(G8="","",IF((1.27735607841386-0.00972065365210483*H8)*J6&gt;82*35,82*35,(1.27735607841386-0.00972065365210483*H8)*J6))</f>
        <v>1594.179422</v>
      </c>
      <c r="K8" s="10">
        <f t="shared" ref="K8:K30" si="10">IF(G8="","",L8+M8)</f>
        <v>0.7343404316</v>
      </c>
      <c r="L8" s="10">
        <f>IFERROR(__xludf.DUMMYFUNCTION("IF(G8="""","""",L6+filter('Growth Summary'!L:L,'Growth Summary'!A:A=H7,'Growth Summary'!B:B=I8))"),0.7794843100347436)</f>
        <v>0.77948431</v>
      </c>
      <c r="M8" s="10">
        <f>IFERROR(__xludf.DUMMYFUNCTION("IF(G8="""","""",M6+filter('Growth Summary'!M:M,'Growth Summary'!A:A=H7,'Growth Summary'!B:B=I8))"),-0.045143878460790876)</f>
        <v>-0.04514387846</v>
      </c>
      <c r="N8" s="10">
        <f t="shared" si="3"/>
        <v>0.7343404316</v>
      </c>
      <c r="O8" s="10"/>
      <c r="P8" s="10"/>
      <c r="Q8" s="11">
        <f t="shared" ref="Q8:Q30" si="11">IF(J8="","",((POWER(108+K8/2,13.98)/(POWER(108+K8/2,13.98)+POWER(108-K8/2,13.98)))-0.426)*J8/48)</f>
        <v>3.246356621</v>
      </c>
      <c r="R8" s="100">
        <f t="shared" si="4"/>
        <v>11.10011019</v>
      </c>
      <c r="S8" s="101">
        <f>if(Q8="","",(NORMDIST($Q8,(Dropdowns!M$8*72/82),stdev(Data!M:M),1))-sum(U8:Y8))</f>
        <v>0.09440073899</v>
      </c>
      <c r="T8" s="101">
        <f>if(Q8="","",(NORMDIST($Q8,(Dropdowns!M$7*72/82),stdev(Data!M:M),1))-sum(U8:Y8))</f>
        <v>0.0688822928</v>
      </c>
      <c r="U8" s="101">
        <f>if(Q8="","",(NORMDIST($Q8,(Dropdowns!M$6*72/82),stdev(Data!M:M),1))-sum(V8:Y8))</f>
        <v>0.3180095989</v>
      </c>
      <c r="V8" s="101">
        <f>if(Q8="","",(NORMDIST($Q8,(Dropdowns!M$5*72/82),stdev(Data!M:M),1))-sum(W8:Y8))</f>
        <v>0.4115394471</v>
      </c>
      <c r="W8" s="101">
        <f>if(Q8="","",(NORMDIST($Q8,(Dropdowns!M$4*72/82),stdev(Data!M:M),1))-sum(X8:Y8))</f>
        <v>0.05763915487</v>
      </c>
      <c r="X8" s="102">
        <f>if(Q8="","",(NORMDIST($Q8,(Dropdowns!M$3*72/82),stdev(Data!M:M),1))-Y8)</f>
        <v>0.01666431588</v>
      </c>
      <c r="Y8" s="102">
        <f>if(Q8="","",(NORMDIST($Q8,(Dropdowns!M$2*72/82),stdev(Data!M:M),1)))</f>
        <v>0.0007966892883</v>
      </c>
      <c r="Z8" s="100">
        <f t="shared" si="5"/>
        <v>20.39069496</v>
      </c>
      <c r="AA8" s="103">
        <f t="array" ref="AA8">iferror(INDEX('Salary Cap'!B:B,match(left(G8,5)&amp;"20"&amp;right(G8,2),'Salary Cap'!A:A,0))*0.0258221367806,AA7*1.05)</f>
        <v>2902769.684</v>
      </c>
      <c r="AB8" s="106">
        <f t="shared" ref="AB8:AB30" si="12">AB7*1.05</f>
        <v>1676684.601</v>
      </c>
      <c r="AC8" s="1">
        <f t="array" ref="AC8">iferror(INDEX(H8:H34,MATCH(LARGE(Q8:Q34,2),Q8:Q34,0)),"")</f>
        <v>28</v>
      </c>
      <c r="AD8" s="17"/>
      <c r="AE8" s="97" t="s">
        <v>113</v>
      </c>
      <c r="AF8" s="104">
        <v>-0.0125197</v>
      </c>
      <c r="AG8" s="104">
        <v>-0.0307242</v>
      </c>
    </row>
    <row r="9">
      <c r="A9" s="17"/>
      <c r="B9" s="17"/>
      <c r="C9" s="107" t="str">
        <f>"3-Year Value: "&amp;text(SUM(Q8:Q10),"#0.0")&amp;" Wins Added : "&amp;text(sum(R8:R10),"$#0.0")&amp;"M"</f>
        <v>3-Year Value: 11.3 Wins Added : $39.4M</v>
      </c>
      <c r="E9" s="17"/>
      <c r="F9" s="93">
        <f t="shared" si="6"/>
        <v>25</v>
      </c>
      <c r="G9" s="93" t="str">
        <f t="shared" si="7"/>
        <v>2022-23</v>
      </c>
      <c r="H9" s="2">
        <f t="shared" si="8"/>
        <v>25</v>
      </c>
      <c r="I9" s="98" t="str">
        <f t="shared" si="9"/>
        <v>PF</v>
      </c>
      <c r="J9" s="98">
        <f>IF(G9="","",IF((1.27735607841386-0.00972065365210483*H9)*J8&gt;82*35,82*35,(1.27735607841386-0.00972065365210483*H9)*J8)*(82/72))</f>
        <v>1877.940225</v>
      </c>
      <c r="K9" s="10">
        <f t="shared" si="10"/>
        <v>0.8343404316</v>
      </c>
      <c r="L9" s="10">
        <f>IFERROR(__xludf.DUMMYFUNCTION("IF(G9="""","""",L8+filter('Growth Summary'!L:L,'Growth Summary'!A:A=H8,'Growth Summary'!B:B=I9))"),0.8576843100347435)</f>
        <v>0.85768431</v>
      </c>
      <c r="M9" s="10">
        <f>IFERROR(__xludf.DUMMYFUNCTION("IF(G9="""","""",M8+filter('Growth Summary'!M:M,'Growth Summary'!A:A=H8,'Growth Summary'!B:B=I9))"),-0.02334387846079089)</f>
        <v>-0.02334387846</v>
      </c>
      <c r="N9" s="10">
        <f t="shared" si="3"/>
        <v>0.8343404316</v>
      </c>
      <c r="O9" s="10"/>
      <c r="P9" s="10"/>
      <c r="Q9" s="11">
        <f t="shared" si="11"/>
        <v>3.950486049</v>
      </c>
      <c r="R9" s="100">
        <f t="shared" si="4"/>
        <v>13.57184766</v>
      </c>
      <c r="S9" s="101">
        <f>if(Q9="","",(NORMDIST($Q9,(Dropdowns!M$8*72/82),stdev(Data!M:M),1))-sum(U9:Y9))</f>
        <v>0.08020569308</v>
      </c>
      <c r="T9" s="101">
        <f>if(Q9="","",(NORMDIST($Q9,(Dropdowns!M$7),stdev(Data!M:M),1))-sum(U9:Y9))</f>
        <v>0.06039054772</v>
      </c>
      <c r="U9" s="101">
        <f>if(Q9="","",(NORMDIST($Q9,(Dropdowns!M$6),stdev(Data!M:M),1))-sum(V9:Y9))</f>
        <v>0.3352655458</v>
      </c>
      <c r="V9" s="101">
        <f>if(Q9="","",(NORMDIST($Q9,(Dropdowns!M$5),stdev(Data!M:M),1))-sum(W9:Y9))</f>
        <v>0.4618610553</v>
      </c>
      <c r="W9" s="101">
        <f>if(Q9="","",(NORMDIST($Q9,(Dropdowns!M$4),stdev(Data!M:M),1))-sum(X9:Y9))</f>
        <v>0.05099194536</v>
      </c>
      <c r="X9" s="102">
        <f>if(Q9="","",(NORMDIST($Q9,(Dropdowns!M$3),stdev(Data!M:M),1))-Y9)</f>
        <v>0.01034088754</v>
      </c>
      <c r="Y9" s="102">
        <f>if(Q9="","",(NORMDIST($Q9,(Dropdowns!M$2),stdev(Data!M:M),1)))</f>
        <v>0.000233767637</v>
      </c>
      <c r="Z9" s="100">
        <f t="shared" si="5"/>
        <v>25.55771265</v>
      </c>
      <c r="AA9" s="103">
        <f t="array" ref="AA9">iferror(INDEX('Salary Cap'!B:B,match(left(G9,5)&amp;"20"&amp;right(G9,2),'Salary Cap'!A:A,0))*0.0258221367806,AA8*1.05)</f>
        <v>2989841.929</v>
      </c>
      <c r="AB9" s="106">
        <f t="shared" si="12"/>
        <v>1760518.831</v>
      </c>
      <c r="AC9" s="1">
        <f t="array" ref="AC9">iferror(INDEX(H8:H34,MATCH(LARGE(Q8:Q34,3),Q8:Q34,0)),"")</f>
        <v>26</v>
      </c>
      <c r="AD9" s="17"/>
      <c r="AE9" s="97" t="s">
        <v>114</v>
      </c>
      <c r="AF9" s="104">
        <v>1.8447E-4</v>
      </c>
      <c r="AG9" s="104">
        <v>9.82141E-4</v>
      </c>
    </row>
    <row r="10">
      <c r="A10" s="17"/>
      <c r="B10" s="17"/>
      <c r="C10" s="107" t="str">
        <f>"5-Year Value: "&amp;text(SUM(Q8:Q12),"#0.0")&amp;" Wins Added : "&amp;text(sum(R8:R12),"$#0.0")&amp;"M"</f>
        <v>5-Year Value: 19.6 Wins Added : $71.3M</v>
      </c>
      <c r="E10" s="17"/>
      <c r="F10" s="93">
        <f t="shared" si="6"/>
        <v>26</v>
      </c>
      <c r="G10" s="93" t="str">
        <f t="shared" si="7"/>
        <v>2023-24</v>
      </c>
      <c r="H10" s="2">
        <f t="shared" si="8"/>
        <v>26</v>
      </c>
      <c r="I10" s="98" t="str">
        <f t="shared" si="9"/>
        <v>PF</v>
      </c>
      <c r="J10" s="98">
        <f t="shared" ref="J10:J30" si="13">IF(G10="","",IF((1.27735607841386-0.00972065365210483*H10)*J9&gt;82*35,82*35,(1.27735607841386-0.00972065365210483*H10)*J9))</f>
        <v>1924.173392</v>
      </c>
      <c r="K10" s="10">
        <f t="shared" si="10"/>
        <v>0.8818404316</v>
      </c>
      <c r="L10" s="10">
        <f>IFERROR(__xludf.DUMMYFUNCTION("IF(G10="""","""",L9+filter('Growth Summary'!L:L,'Growth Summary'!A:A=H9,'Growth Summary'!B:B=I10))"),0.8991843100347434)</f>
        <v>0.89918431</v>
      </c>
      <c r="M10" s="10">
        <f>IFERROR(__xludf.DUMMYFUNCTION("IF(G10="""","""",M9+filter('Growth Summary'!M:M,'Growth Summary'!A:A=H9,'Growth Summary'!B:B=I10))"),-0.017343878460790885)</f>
        <v>-0.01734387846</v>
      </c>
      <c r="N10" s="10">
        <f t="shared" si="3"/>
        <v>0.8818404316</v>
      </c>
      <c r="O10" s="10"/>
      <c r="P10" s="10"/>
      <c r="Q10" s="11">
        <f t="shared" si="11"/>
        <v>4.109174404</v>
      </c>
      <c r="R10" s="100">
        <f t="shared" si="4"/>
        <v>14.74858396</v>
      </c>
      <c r="S10" s="101">
        <f>if(Q10="","",(NORMDIST($Q10,(Dropdowns!M$8*72/82),stdev(Data!M:M),1))-sum(U10:Y10))</f>
        <v>0.07404600147</v>
      </c>
      <c r="T10" s="101">
        <f>if(Q10="","",(NORMDIST($Q10,(Dropdowns!M$7),stdev(Data!M:M),1))-sum(U10:Y10))</f>
        <v>0.05595588254</v>
      </c>
      <c r="U10" s="101">
        <f>if(Q10="","",(NORMDIST($Q10,(Dropdowns!M$6),stdev(Data!M:M),1))-sum(V10:Y10))</f>
        <v>0.324299124</v>
      </c>
      <c r="V10" s="101">
        <f>if(Q10="","",(NORMDIST($Q10,(Dropdowns!M$5),stdev(Data!M:M),1))-sum(W10:Y10))</f>
        <v>0.4782538805</v>
      </c>
      <c r="W10" s="101">
        <f>if(Q10="","",(NORMDIST($Q10,(Dropdowns!M$4),stdev(Data!M:M),1))-sum(X10:Y10))</f>
        <v>0.05690167259</v>
      </c>
      <c r="X10" s="102">
        <f>if(Q10="","",(NORMDIST($Q10,(Dropdowns!M$3),stdev(Data!M:M),1))-Y10)</f>
        <v>0.01210434112</v>
      </c>
      <c r="Y10" s="102">
        <f>if(Q10="","",(NORMDIST($Q10,(Dropdowns!M$2),stdev(Data!M:M),1)))</f>
        <v>0.0002930405575</v>
      </c>
      <c r="Z10" s="100">
        <f t="shared" si="5"/>
        <v>27.91349724</v>
      </c>
      <c r="AA10" s="103">
        <f t="array" ref="AA10">iferror(INDEX('Salary Cap'!B:B,match(left(G10,5)&amp;"20"&amp;right(G10,2),'Salary Cap'!A:A,0))*0.0258221367806,AA9*1.05)</f>
        <v>3139326.279</v>
      </c>
      <c r="AB10" s="106">
        <f t="shared" si="12"/>
        <v>1848544.772</v>
      </c>
      <c r="AC10" s="1"/>
      <c r="AD10" s="17"/>
      <c r="AE10" s="97" t="s">
        <v>115</v>
      </c>
      <c r="AF10" s="104">
        <v>0.0</v>
      </c>
      <c r="AG10" s="104">
        <v>-1.03522E-5</v>
      </c>
    </row>
    <row r="11">
      <c r="A11" s="17"/>
      <c r="B11" s="17"/>
      <c r="C11" s="107" t="str">
        <f>"7-Year Value: "&amp;text(SUM(Q8:Q14),"#0.0")&amp;" Wins Added : "&amp;text(sum(R8:R14),"$#0.0")&amp;"M"</f>
        <v>7-Year Value: 27.2 Wins Added : $104.1M</v>
      </c>
      <c r="E11" s="17"/>
      <c r="F11" s="93">
        <f t="shared" si="6"/>
        <v>27</v>
      </c>
      <c r="G11" s="93" t="str">
        <f t="shared" si="7"/>
        <v>2024-25</v>
      </c>
      <c r="H11" s="2">
        <f t="shared" si="8"/>
        <v>27</v>
      </c>
      <c r="I11" s="98" t="str">
        <f t="shared" si="9"/>
        <v>PF</v>
      </c>
      <c r="J11" s="98">
        <f t="shared" si="13"/>
        <v>1952.840554</v>
      </c>
      <c r="K11" s="10">
        <f t="shared" si="10"/>
        <v>0.8768404316</v>
      </c>
      <c r="L11" s="10">
        <f>IFERROR(__xludf.DUMMYFUNCTION("IF(G11="""","""",L10+filter('Growth Summary'!L:L,'Growth Summary'!A:A=H10,'Growth Summary'!B:B=I11))"),0.9039843100347433)</f>
        <v>0.90398431</v>
      </c>
      <c r="M11" s="10">
        <f>IFERROR(__xludf.DUMMYFUNCTION("IF(G11="""","""",M10+filter('Growth Summary'!M:M,'Growth Summary'!A:A=H10,'Growth Summary'!B:B=I11))"),-0.027143878460790916)</f>
        <v>-0.02714387846</v>
      </c>
      <c r="N11" s="10">
        <f t="shared" si="3"/>
        <v>0.8768404316</v>
      </c>
      <c r="O11" s="10"/>
      <c r="P11" s="10"/>
      <c r="Q11" s="11">
        <f t="shared" si="11"/>
        <v>4.163832893</v>
      </c>
      <c r="R11" s="100">
        <f t="shared" si="4"/>
        <v>15.66621041</v>
      </c>
      <c r="S11" s="101">
        <f>if(Q11="","",(NORMDIST($Q11,(Dropdowns!M$8*72/82),stdev(Data!M:M),1))-sum(U11:Y11))</f>
        <v>0.07197542382</v>
      </c>
      <c r="T11" s="101">
        <f>if(Q11="","",(NORMDIST($Q11,(Dropdowns!M$7),stdev(Data!M:M),1))-sum(U11:Y11))</f>
        <v>0.05445894837</v>
      </c>
      <c r="U11" s="101">
        <f>if(Q11="","",(NORMDIST($Q11,(Dropdowns!M$6),stdev(Data!M:M),1))-sum(V11:Y11))</f>
        <v>0.3203542212</v>
      </c>
      <c r="V11" s="101">
        <f>if(Q11="","",(NORMDIST($Q11,(Dropdowns!M$5),stdev(Data!M:M),1))-sum(W11:Y11))</f>
        <v>0.4836976258</v>
      </c>
      <c r="W11" s="101">
        <f>if(Q11="","",(NORMDIST($Q11,(Dropdowns!M$4),stdev(Data!M:M),1))-sum(X11:Y11))</f>
        <v>0.05904371627</v>
      </c>
      <c r="X11" s="102">
        <f>if(Q11="","",(NORMDIST($Q11,(Dropdowns!M$3),stdev(Data!M:M),1))-Y11)</f>
        <v>0.01276882132</v>
      </c>
      <c r="Y11" s="102">
        <f>if(Q11="","",(NORMDIST($Q11,(Dropdowns!M$2),stdev(Data!M:M),1)))</f>
        <v>0.0003165067009</v>
      </c>
      <c r="Z11" s="100">
        <f t="shared" si="5"/>
        <v>29.6990884</v>
      </c>
      <c r="AA11" s="103">
        <f t="array" ref="AA11">iferror(INDEX('Salary Cap'!B:B,match(left(G11,5)&amp;"20"&amp;right(G11,2),'Salary Cap'!A:A,0))*0.0258221367806,AA10*1.05)</f>
        <v>3296299.049</v>
      </c>
      <c r="AB11" s="106">
        <f t="shared" si="12"/>
        <v>1940972.011</v>
      </c>
      <c r="AC11" s="1"/>
      <c r="AD11" s="17"/>
      <c r="AE11" s="96"/>
      <c r="AF11" s="96"/>
      <c r="AG11" s="96"/>
    </row>
    <row r="12">
      <c r="A12" s="17"/>
      <c r="B12" s="17"/>
      <c r="C12" s="17"/>
      <c r="E12" s="17"/>
      <c r="F12" s="93">
        <f t="shared" si="6"/>
        <v>28</v>
      </c>
      <c r="G12" s="93" t="str">
        <f t="shared" si="7"/>
        <v>2025-26</v>
      </c>
      <c r="H12" s="2">
        <f t="shared" si="8"/>
        <v>28</v>
      </c>
      <c r="I12" s="98" t="str">
        <f t="shared" si="9"/>
        <v>PF</v>
      </c>
      <c r="J12" s="98">
        <f t="shared" si="13"/>
        <v>1962.951926</v>
      </c>
      <c r="K12" s="10">
        <f t="shared" si="10"/>
        <v>0.8193404316</v>
      </c>
      <c r="L12" s="10">
        <f>IFERROR(__xludf.DUMMYFUNCTION("IF(G12="""","""",L11+filter('Growth Summary'!L:L,'Growth Summary'!A:A=H11,'Growth Summary'!B:B=I12))"),0.8720843100347432)</f>
        <v>0.87208431</v>
      </c>
      <c r="M12" s="10">
        <f>IFERROR(__xludf.DUMMYFUNCTION("IF(G12="""","""",M11+filter('Growth Summary'!M:M,'Growth Summary'!A:A=H11,'Growth Summary'!B:B=I12))"),-0.05274387846079093)</f>
        <v>-0.05274387846</v>
      </c>
      <c r="N12" s="10">
        <f t="shared" si="3"/>
        <v>0.8193404316</v>
      </c>
      <c r="O12" s="10"/>
      <c r="P12" s="10"/>
      <c r="Q12" s="11">
        <f t="shared" si="11"/>
        <v>4.109524392</v>
      </c>
      <c r="R12" s="100">
        <f t="shared" si="4"/>
        <v>16.26158486</v>
      </c>
      <c r="S12" s="101">
        <f>if(Q12="","",(NORMDIST($Q12,(Dropdowns!M$8*72/82),stdev(Data!M:M),1))-sum(U12:Y12))</f>
        <v>0.07403265667</v>
      </c>
      <c r="T12" s="101">
        <f>if(Q12="","",(NORMDIST($Q12,(Dropdowns!M$7),stdev(Data!M:M),1))-sum(U12:Y12))</f>
        <v>0.05594624487</v>
      </c>
      <c r="U12" s="101">
        <f>if(Q12="","",(NORMDIST($Q12,(Dropdowns!M$6),stdev(Data!M:M),1))-sum(V12:Y12))</f>
        <v>0.3242741246</v>
      </c>
      <c r="V12" s="101">
        <f>if(Q12="","",(NORMDIST($Q12,(Dropdowns!M$5),stdev(Data!M:M),1))-sum(W12:Y12))</f>
        <v>0.4782890836</v>
      </c>
      <c r="W12" s="101">
        <f>if(Q12="","",(NORMDIST($Q12,(Dropdowns!M$4),stdev(Data!M:M),1))-sum(X12:Y12))</f>
        <v>0.05691521398</v>
      </c>
      <c r="X12" s="102">
        <f>if(Q12="","",(NORMDIST($Q12,(Dropdowns!M$3),stdev(Data!M:M),1))-Y12)</f>
        <v>0.01210849957</v>
      </c>
      <c r="Y12" s="102">
        <f>if(Q12="","",(NORMDIST($Q12,(Dropdowns!M$2),stdev(Data!M:M),1)))</f>
        <v>0.0002931855221</v>
      </c>
      <c r="Z12" s="100">
        <f t="shared" si="5"/>
        <v>30.77738102</v>
      </c>
      <c r="AA12" s="103">
        <f t="array" ref="AA12">iferror(INDEX('Salary Cap'!B:B,match(left(G12,5)&amp;"20"&amp;right(G12,2),'Salary Cap'!A:A,0))*0.0258221367806,AA11*1.05)</f>
        <v>3461121.748</v>
      </c>
      <c r="AB12" s="106">
        <f t="shared" si="12"/>
        <v>2038020.612</v>
      </c>
      <c r="AC12" s="1"/>
      <c r="AD12" s="17"/>
      <c r="AE12" s="17"/>
      <c r="AF12" s="17"/>
      <c r="AG12" s="17"/>
    </row>
    <row r="13">
      <c r="A13" s="17"/>
      <c r="B13" s="17"/>
      <c r="C13" s="105" t="str">
        <f>"Average Year Tier Odds for "&amp;LEFT(C2,FIND(" ",C2)-1)
&amp;":"</f>
        <v>Average Year Tier Odds for John:</v>
      </c>
      <c r="E13" s="17"/>
      <c r="F13" s="93">
        <f t="shared" si="6"/>
        <v>29</v>
      </c>
      <c r="G13" s="93" t="str">
        <f t="shared" si="7"/>
        <v>2026-27</v>
      </c>
      <c r="H13" s="2">
        <f t="shared" si="8"/>
        <v>29</v>
      </c>
      <c r="I13" s="98" t="str">
        <f t="shared" si="9"/>
        <v>PF</v>
      </c>
      <c r="J13" s="98">
        <f t="shared" si="13"/>
        <v>1954.034476</v>
      </c>
      <c r="K13" s="10">
        <f t="shared" si="10"/>
        <v>0.7093404316</v>
      </c>
      <c r="L13" s="10">
        <f>IFERROR(__xludf.DUMMYFUNCTION("IF(G13="""","""",L12+filter('Growth Summary'!L:L,'Growth Summary'!A:A=H12,'Growth Summary'!B:B=I13))"),0.8034843100347431)</f>
        <v>0.80348431</v>
      </c>
      <c r="M13" s="10">
        <f>IFERROR(__xludf.DUMMYFUNCTION("IF(G13="""","""",M12+filter('Growth Summary'!M:M,'Growth Summary'!A:A=H12,'Growth Summary'!B:B=I13))"),-0.09414387846079092)</f>
        <v>-0.09414387846</v>
      </c>
      <c r="N13" s="10">
        <f t="shared" si="3"/>
        <v>0.7093404316</v>
      </c>
      <c r="O13" s="10"/>
      <c r="P13" s="10"/>
      <c r="Q13" s="11">
        <f t="shared" si="11"/>
        <v>3.946295269</v>
      </c>
      <c r="R13" s="100">
        <f t="shared" si="4"/>
        <v>16.48147572</v>
      </c>
      <c r="S13" s="101">
        <f>if(Q13="","",(NORMDIST($Q13,(Dropdowns!M$8*72/82),stdev(Data!M:M),1))-sum(U13:Y13))</f>
        <v>0.08037118394</v>
      </c>
      <c r="T13" s="101">
        <f>if(Q13="","",(NORMDIST($Q13,(Dropdowns!M$7),stdev(Data!M:M),1))-sum(U13:Y13))</f>
        <v>0.06050930992</v>
      </c>
      <c r="U13" s="101">
        <f>if(Q13="","",(NORMDIST($Q13,(Dropdowns!M$6),stdev(Data!M:M),1))-sum(V13:Y13))</f>
        <v>0.3355447293</v>
      </c>
      <c r="V13" s="101">
        <f>if(Q13="","",(NORMDIST($Q13,(Dropdowns!M$5),stdev(Data!M:M),1))-sum(W13:Y13))</f>
        <v>0.4614170522</v>
      </c>
      <c r="W13" s="101">
        <f>if(Q13="","",(NORMDIST($Q13,(Dropdowns!M$4),stdev(Data!M:M),1))-sum(X13:Y13))</f>
        <v>0.05084205923</v>
      </c>
      <c r="X13" s="102">
        <f>if(Q13="","",(NORMDIST($Q13,(Dropdowns!M$3),stdev(Data!M:M),1))-Y13)</f>
        <v>0.01029749822</v>
      </c>
      <c r="Y13" s="102">
        <f>if(Q13="","",(NORMDIST($Q13,(Dropdowns!M$2),stdev(Data!M:M),1)))</f>
        <v>0.0002323657286</v>
      </c>
      <c r="Z13" s="100">
        <f t="shared" si="5"/>
        <v>31.03269102</v>
      </c>
      <c r="AA13" s="103">
        <f t="array" ref="AA13">iferror(INDEX('Salary Cap'!B:B,match(left(G13,5)&amp;"20"&amp;right(G13,2),'Salary Cap'!A:A,0))*0.0258221367806,AA12*1.05)</f>
        <v>3634181.708</v>
      </c>
      <c r="AB13" s="106">
        <f t="shared" si="12"/>
        <v>2139921.642</v>
      </c>
      <c r="AC13" s="1"/>
      <c r="AD13" s="17"/>
      <c r="AE13" s="17"/>
      <c r="AF13" s="17"/>
      <c r="AG13" s="17"/>
    </row>
    <row r="14">
      <c r="A14" s="17"/>
      <c r="B14" s="17"/>
      <c r="C14" s="108" t="s">
        <v>75</v>
      </c>
      <c r="D14" s="109" t="str">
        <f>IFERROR(__xludf.DUMMYFUNCTION("TEXT(SUM(Y$7:Y$29)*0.01,""0.0%"")&amp;"" - ""&amp;TEXT(AVERAGE.WEIGHTED(Y$7:Y$29,J$7:J$29),""0.0%"")"),"0.0% - 0.0%")</f>
        <v>0.0% - 0.0%</v>
      </c>
      <c r="E14" s="17"/>
      <c r="F14" s="93">
        <f t="shared" si="6"/>
        <v>30</v>
      </c>
      <c r="G14" s="93" t="str">
        <f t="shared" si="7"/>
        <v>2027-28</v>
      </c>
      <c r="H14" s="2">
        <f t="shared" si="8"/>
        <v>30</v>
      </c>
      <c r="I14" s="98" t="str">
        <f t="shared" si="9"/>
        <v>PF</v>
      </c>
      <c r="J14" s="98">
        <f t="shared" si="13"/>
        <v>1926.163044</v>
      </c>
      <c r="K14" s="10">
        <f t="shared" si="10"/>
        <v>0.5468404316</v>
      </c>
      <c r="L14" s="10">
        <f>IFERROR(__xludf.DUMMYFUNCTION("IF(G14="""","""",L13+filter('Growth Summary'!L:L,'Growth Summary'!A:A=H13,'Growth Summary'!B:B=I14))"),0.698184310034743)</f>
        <v>0.69818431</v>
      </c>
      <c r="M14" s="10">
        <f>IFERROR(__xludf.DUMMYFUNCTION("IF(G14="""","""",M13+filter('Growth Summary'!M:M,'Growth Summary'!A:A=H13,'Growth Summary'!B:B=I14))"),-0.15134387846079095)</f>
        <v>-0.1513438785</v>
      </c>
      <c r="N14" s="10">
        <f t="shared" si="3"/>
        <v>0.5468404316</v>
      </c>
      <c r="O14" s="10"/>
      <c r="P14" s="10"/>
      <c r="Q14" s="11">
        <f t="shared" si="11"/>
        <v>3.679333225</v>
      </c>
      <c r="R14" s="100">
        <f t="shared" si="4"/>
        <v>16.28685626</v>
      </c>
      <c r="S14" s="101">
        <f>if(Q14="","",(NORMDIST($Q14,(Dropdowns!M$8*72/82),stdev(Data!M:M),1))-sum(U14:Y14))</f>
        <v>0.09117264908</v>
      </c>
      <c r="T14" s="101">
        <f>if(Q14="","",(NORMDIST($Q14,(Dropdowns!M$7),stdev(Data!M:M),1))-sum(U14:Y14))</f>
        <v>0.0682171063</v>
      </c>
      <c r="U14" s="101">
        <f>if(Q14="","",(NORMDIST($Q14,(Dropdowns!M$6),stdev(Data!M:M),1))-sum(V14:Y14))</f>
        <v>0.3520995818</v>
      </c>
      <c r="V14" s="101">
        <f>if(Q14="","",(NORMDIST($Q14,(Dropdowns!M$5),stdev(Data!M:M),1))-sum(W14:Y14))</f>
        <v>0.4321216413</v>
      </c>
      <c r="W14" s="101">
        <f>if(Q14="","",(NORMDIST($Q14,(Dropdowns!M$4),stdev(Data!M:M),1))-sum(X14:Y14))</f>
        <v>0.04193535067</v>
      </c>
      <c r="X14" s="102">
        <f>if(Q14="","",(NORMDIST($Q14,(Dropdowns!M$3),stdev(Data!M:M),1))-Y14)</f>
        <v>0.007839079817</v>
      </c>
      <c r="Y14" s="102">
        <f>if(Q14="","",(NORMDIST($Q14,(Dropdowns!M$2),stdev(Data!M:M),1)))</f>
        <v>0.0001576121124</v>
      </c>
      <c r="Z14" s="100">
        <f t="shared" si="5"/>
        <v>30.38004611</v>
      </c>
      <c r="AA14" s="103">
        <f t="array" ref="AA14">iferror(INDEX('Salary Cap'!B:B,match(left(G14,5)&amp;"20"&amp;right(G14,2),'Salary Cap'!A:A,0))*0.0258221367806,AA13*1.05)</f>
        <v>3815892.085</v>
      </c>
      <c r="AB14" s="106">
        <f t="shared" si="12"/>
        <v>2246917.724</v>
      </c>
      <c r="AC14" s="2"/>
      <c r="AD14" s="17"/>
      <c r="AE14" s="17"/>
      <c r="AF14" s="17"/>
      <c r="AG14" s="17"/>
    </row>
    <row r="15">
      <c r="A15" s="17"/>
      <c r="B15" s="17"/>
      <c r="C15" s="108" t="s">
        <v>76</v>
      </c>
      <c r="D15" s="109" t="str">
        <f>IFERROR(__xludf.DUMMYFUNCTION("TEXT(SUM(X$7:X$29)*0.01,""0.0%"")&amp;"" - ""&amp;TEXT(AVERAGE.WEIGHTED(X$7:X$29,J$7:J$29),""0.0%"")"),"0.1% - 0.7%")</f>
        <v>0.1% - 0.7%</v>
      </c>
      <c r="E15" s="17"/>
      <c r="F15" s="93">
        <f t="shared" si="6"/>
        <v>31</v>
      </c>
      <c r="G15" s="93" t="str">
        <f t="shared" si="7"/>
        <v>2028-29</v>
      </c>
      <c r="H15" s="2">
        <f t="shared" si="8"/>
        <v>31</v>
      </c>
      <c r="I15" s="98" t="str">
        <f t="shared" si="9"/>
        <v>PF</v>
      </c>
      <c r="J15" s="98">
        <f t="shared" si="13"/>
        <v>1879.965594</v>
      </c>
      <c r="K15" s="10">
        <f t="shared" si="10"/>
        <v>0.2953404316</v>
      </c>
      <c r="L15" s="10">
        <f>IFERROR(__xludf.DUMMYFUNCTION("IF(G15="""","""",L14+filter('Growth Summary'!L:L,'Growth Summary'!A:A=H14,'Growth Summary'!B:B=I15))"),0.5561843100347428)</f>
        <v>0.55618431</v>
      </c>
      <c r="M15" s="10">
        <f>IFERROR(__xludf.DUMMYFUNCTION("IF(G15="""","""",M14+filter('Growth Summary'!M:M,'Growth Summary'!A:A=H14,'Growth Summary'!B:B=I15))"),-0.26084387846079093)</f>
        <v>-0.2608438785</v>
      </c>
      <c r="N15" s="10">
        <f t="shared" si="3"/>
        <v>0.2953404316</v>
      </c>
      <c r="O15" s="10"/>
      <c r="P15" s="10"/>
      <c r="Q15" s="11">
        <f t="shared" si="11"/>
        <v>3.272565248</v>
      </c>
      <c r="R15" s="100">
        <f t="shared" si="4"/>
        <v>15.47140723</v>
      </c>
      <c r="S15" s="101">
        <f>if(Q15="","",(NORMDIST($Q15,(Dropdowns!M$8*72/82),stdev(Data!M:M),1))-sum(U15:Y15))</f>
        <v>0.1083308618</v>
      </c>
      <c r="T15" s="101">
        <f>if(Q15="","",(NORMDIST($Q15,(Dropdowns!M$7),stdev(Data!M:M),1))-sum(U15:Y15))</f>
        <v>0.080277823</v>
      </c>
      <c r="U15" s="101">
        <f>if(Q15="","",(NORMDIST($Q15,(Dropdowns!M$6),stdev(Data!M:M),1))-sum(V15:Y15))</f>
        <v>0.3719946369</v>
      </c>
      <c r="V15" s="101">
        <f>if(Q15="","",(NORMDIST($Q15,(Dropdowns!M$5),stdev(Data!M:M),1))-sum(W15:Y15))</f>
        <v>0.3846469169</v>
      </c>
      <c r="W15" s="101">
        <f>if(Q15="","",(NORMDIST($Q15,(Dropdowns!M$4),stdev(Data!M:M),1))-sum(X15:Y15))</f>
        <v>0.03067546688</v>
      </c>
      <c r="X15" s="102">
        <f>if(Q15="","",(NORMDIST($Q15,(Dropdowns!M$3),stdev(Data!M:M),1))-Y15)</f>
        <v>0.005077375265</v>
      </c>
      <c r="Y15" s="102">
        <f>if(Q15="","",(NORMDIST($Q15,(Dropdowns!M$2),stdev(Data!M:M),1)))</f>
        <v>0.00008560132701</v>
      </c>
      <c r="Z15" s="100">
        <f t="shared" si="5"/>
        <v>28.37245525</v>
      </c>
      <c r="AA15" s="103">
        <f t="array" ref="AA15">iferror(INDEX('Salary Cap'!B:B,match(left(G15,5)&amp;"20"&amp;right(G15,2),'Salary Cap'!A:A,0))*0.0258221367806,AA14*1.05)</f>
        <v>4006686.689</v>
      </c>
      <c r="AB15" s="106">
        <f t="shared" si="12"/>
        <v>2359263.61</v>
      </c>
      <c r="AC15" s="2"/>
      <c r="AD15" s="17"/>
      <c r="AE15" s="17"/>
      <c r="AF15" s="17"/>
      <c r="AG15" s="17"/>
    </row>
    <row r="16">
      <c r="A16" s="17"/>
      <c r="B16" s="17"/>
      <c r="C16" s="108" t="s">
        <v>77</v>
      </c>
      <c r="D16" s="109" t="str">
        <f>IFERROR(__xludf.DUMMYFUNCTION("TEXT(SUM(W$7:W$29)*0.01,""0.0%"")&amp;"" - ""&amp;TEXT(AVERAGE.WEIGHTED(W$7:W$29,J$7:J$29),""0.0%"")"),"0.5% - 3.6%")</f>
        <v>0.5% - 3.6%</v>
      </c>
      <c r="E16" s="17"/>
      <c r="F16" s="93">
        <f t="shared" si="6"/>
        <v>32</v>
      </c>
      <c r="G16" s="93" t="str">
        <f t="shared" si="7"/>
        <v>2029-30</v>
      </c>
      <c r="H16" s="2">
        <f t="shared" si="8"/>
        <v>32</v>
      </c>
      <c r="I16" s="98" t="str">
        <f t="shared" si="9"/>
        <v>PF</v>
      </c>
      <c r="J16" s="98">
        <f t="shared" si="13"/>
        <v>1816.601657</v>
      </c>
      <c r="K16" s="10">
        <f t="shared" si="10"/>
        <v>-0.01655956843</v>
      </c>
      <c r="L16" s="10">
        <f>IFERROR(__xludf.DUMMYFUNCTION("IF(G16="""","""",L15+filter('Growth Summary'!L:L,'Growth Summary'!A:A=H15,'Growth Summary'!B:B=I16))"),0.3774843100347426)</f>
        <v>0.37748431</v>
      </c>
      <c r="M16" s="10">
        <f>IFERROR(__xludf.DUMMYFUNCTION("IF(G16="""","""",M15+filter('Growth Summary'!M:M,'Growth Summary'!A:A=H15,'Growth Summary'!B:B=I16))"),-0.39404387846079103)</f>
        <v>-0.3940438785</v>
      </c>
      <c r="N16" s="10">
        <f t="shared" si="3"/>
        <v>-0.01655956843</v>
      </c>
      <c r="O16" s="10"/>
      <c r="P16" s="10"/>
      <c r="Q16" s="11">
        <f t="shared" si="11"/>
        <v>2.780313157</v>
      </c>
      <c r="R16" s="100">
        <f t="shared" si="4"/>
        <v>14.17406269</v>
      </c>
      <c r="S16" s="101">
        <f>if(Q16="","",(NORMDIST($Q16,(Dropdowns!M$8*72/82),stdev(Data!M:M),1))-sum(U16:Y16))</f>
        <v>0.1292891328</v>
      </c>
      <c r="T16" s="101">
        <f>if(Q16="","",(NORMDIST($Q16,(Dropdowns!M$7),stdev(Data!M:M),1))-sum(U16:Y16))</f>
        <v>0.09466896318</v>
      </c>
      <c r="U16" s="101">
        <f>if(Q16="","",(NORMDIST($Q16,(Dropdowns!M$6),stdev(Data!M:M),1))-sum(V16:Y16))</f>
        <v>0.3859373601</v>
      </c>
      <c r="V16" s="101">
        <f>if(Q16="","",(NORMDIST($Q16,(Dropdowns!M$5),stdev(Data!M:M),1))-sum(W16:Y16))</f>
        <v>0.3253110522</v>
      </c>
      <c r="W16" s="101">
        <f>if(Q16="","",(NORMDIST($Q16,(Dropdowns!M$4),stdev(Data!M:M),1))-sum(X16:Y16))</f>
        <v>0.0203696204</v>
      </c>
      <c r="X16" s="102">
        <f>if(Q16="","",(NORMDIST($Q16,(Dropdowns!M$3),stdev(Data!M:M),1))-Y16)</f>
        <v>0.00291220376</v>
      </c>
      <c r="Y16" s="102">
        <f>if(Q16="","",(NORMDIST($Q16,(Dropdowns!M$2),stdev(Data!M:M),1)))</f>
        <v>0.00003965567803</v>
      </c>
      <c r="Z16" s="100">
        <f t="shared" si="5"/>
        <v>25.30996936</v>
      </c>
      <c r="AA16" s="103">
        <f t="array" ref="AA16">iferror(INDEX('Salary Cap'!B:B,match(left(G16,5)&amp;"20"&amp;right(G16,2),'Salary Cap'!A:A,0))*0.0258221367806,AA15*1.05)</f>
        <v>4207021.024</v>
      </c>
      <c r="AB16" s="106">
        <f t="shared" si="12"/>
        <v>2477226.791</v>
      </c>
      <c r="AC16" s="2"/>
      <c r="AD16" s="17"/>
      <c r="AE16" s="17"/>
      <c r="AF16" s="17"/>
      <c r="AG16" s="17"/>
    </row>
    <row r="17">
      <c r="A17" s="17"/>
      <c r="B17" s="17"/>
      <c r="C17" s="108" t="s">
        <v>78</v>
      </c>
      <c r="D17" s="109" t="str">
        <f>IFERROR(__xludf.DUMMYFUNCTION("TEXT(SUM(V$7:V$29)*0.01,""0.0%"")&amp;"" - ""&amp;TEXT(AVERAGE.WEIGHTED(V$7:V$29,J$7:J$29),""0.0%"")"),"5.1% - 35.4%")</f>
        <v>5.1% - 35.4%</v>
      </c>
      <c r="E17" s="17"/>
      <c r="F17" s="93">
        <f t="shared" si="6"/>
        <v>33</v>
      </c>
      <c r="G17" s="93" t="str">
        <f t="shared" si="7"/>
        <v>2030-31</v>
      </c>
      <c r="H17" s="2">
        <f t="shared" si="8"/>
        <v>33</v>
      </c>
      <c r="I17" s="98" t="str">
        <f t="shared" si="9"/>
        <v>PF</v>
      </c>
      <c r="J17" s="98">
        <f t="shared" si="13"/>
        <v>1737.714836</v>
      </c>
      <c r="K17" s="10">
        <f t="shared" si="10"/>
        <v>-0.3888595684</v>
      </c>
      <c r="L17" s="10">
        <f>IFERROR(__xludf.DUMMYFUNCTION("IF(G17="""","""",L16+filter('Growth Summary'!L:L,'Growth Summary'!A:A=H16,'Growth Summary'!B:B=I17))"),0.16208431003474244)</f>
        <v>0.16208431</v>
      </c>
      <c r="M17" s="10">
        <f>IFERROR(__xludf.DUMMYFUNCTION("IF(G17="""","""",M16+filter('Growth Summary'!M:M,'Growth Summary'!A:A=H16,'Growth Summary'!B:B=I17))"),-0.5509438784607911)</f>
        <v>-0.5509438785</v>
      </c>
      <c r="N17" s="10">
        <f t="shared" si="3"/>
        <v>-0.3888595684</v>
      </c>
      <c r="O17" s="10"/>
      <c r="P17" s="10"/>
      <c r="Q17" s="11">
        <f t="shared" si="11"/>
        <v>2.223504423</v>
      </c>
      <c r="R17" s="100">
        <f t="shared" si="4"/>
        <v>12.42313448</v>
      </c>
      <c r="S17" s="101">
        <f>if(Q17="","",(NORMDIST($Q17,(Dropdowns!M$8*72/82),stdev(Data!M:M),1))-sum(U17:Y17))</f>
        <v>0.1514295366</v>
      </c>
      <c r="T17" s="101">
        <f>if(Q17="","",(NORMDIST($Q17,(Dropdowns!M$7),stdev(Data!M:M),1))-sum(U17:Y17))</f>
        <v>0.1093453483</v>
      </c>
      <c r="U17" s="101">
        <f>if(Q17="","",(NORMDIST($Q17,(Dropdowns!M$6),stdev(Data!M:M),1))-sum(V17:Y17))</f>
        <v>0.3868663908</v>
      </c>
      <c r="V17" s="101">
        <f>if(Q17="","",(NORMDIST($Q17,(Dropdowns!M$5),stdev(Data!M:M),1))-sum(W17:Y17))</f>
        <v>0.259748434</v>
      </c>
      <c r="W17" s="101">
        <f>if(Q17="","",(NORMDIST($Q17,(Dropdowns!M$4),stdev(Data!M:M),1))-sum(X17:Y17))</f>
        <v>0.01230391214</v>
      </c>
      <c r="X17" s="102">
        <f>if(Q17="","",(NORMDIST($Q17,(Dropdowns!M$3),stdev(Data!M:M),1))-Y17)</f>
        <v>0.001491834388</v>
      </c>
      <c r="Y17" s="102">
        <f>if(Q17="","",(NORMDIST($Q17,(Dropdowns!M$2),stdev(Data!M:M),1)))</f>
        <v>0.00001594463464</v>
      </c>
      <c r="Z17" s="100">
        <f t="shared" si="5"/>
        <v>21.25324269</v>
      </c>
      <c r="AA17" s="103">
        <f t="array" ref="AA17">iferror(INDEX('Salary Cap'!B:B,match(left(G17,5)&amp;"20"&amp;right(G17,2),'Salary Cap'!A:A,0))*0.0258221367806,AA16*1.05)</f>
        <v>4417372.075</v>
      </c>
      <c r="AB17" s="106">
        <f t="shared" si="12"/>
        <v>2601088.131</v>
      </c>
      <c r="AC17" s="2"/>
      <c r="AD17" s="17"/>
      <c r="AE17" s="17"/>
      <c r="AF17" s="17"/>
      <c r="AG17" s="17"/>
    </row>
    <row r="18">
      <c r="A18" s="17"/>
      <c r="B18" s="17"/>
      <c r="C18" s="108" t="s">
        <v>79</v>
      </c>
      <c r="D18" s="109" t="str">
        <f>IFERROR(__xludf.DUMMYFUNCTION("TEXT(SUM(U$7:U$29)*0.01,""0.0%"")&amp;"" - ""&amp;TEXT(AVERAGE.WEIGHTED(U$7:U$29,J$7:J$29),""0.0%"")"),"5.0% - 33.6%")</f>
        <v>5.0% - 33.6%</v>
      </c>
      <c r="E18" s="17"/>
      <c r="F18" s="93">
        <f t="shared" si="6"/>
        <v>34</v>
      </c>
      <c r="G18" s="93" t="str">
        <f t="shared" si="7"/>
        <v>2031-32</v>
      </c>
      <c r="H18" s="2">
        <f t="shared" si="8"/>
        <v>34</v>
      </c>
      <c r="I18" s="98" t="str">
        <f t="shared" si="9"/>
        <v>PF</v>
      </c>
      <c r="J18" s="98">
        <f t="shared" si="13"/>
        <v>1645.36199</v>
      </c>
      <c r="K18" s="10">
        <f t="shared" si="10"/>
        <v>-0.8215595684</v>
      </c>
      <c r="L18" s="10">
        <f>IFERROR(__xludf.DUMMYFUNCTION("IF(G18="""","""",L17+filter('Growth Summary'!L:L,'Growth Summary'!A:A=H17,'Growth Summary'!B:B=I18))"),-0.09001568996525766)</f>
        <v>-0.09001568997</v>
      </c>
      <c r="M18" s="10">
        <f>IFERROR(__xludf.DUMMYFUNCTION("IF(G18="""","""",M17+filter('Growth Summary'!M:M,'Growth Summary'!A:A=H17,'Growth Summary'!B:B=I18))"),-0.7315438784607912)</f>
        <v>-0.7315438785</v>
      </c>
      <c r="N18" s="10">
        <f t="shared" si="3"/>
        <v>-0.8215595684</v>
      </c>
      <c r="O18" s="10"/>
      <c r="P18" s="10"/>
      <c r="Q18" s="11">
        <f t="shared" si="11"/>
        <v>1.626108519</v>
      </c>
      <c r="R18" s="100">
        <f t="shared" si="4"/>
        <v>10.27342522</v>
      </c>
      <c r="S18" s="101">
        <f>if(Q18="","",(NORMDIST($Q18,(Dropdowns!M$8*72/82),stdev(Data!M:M),1))-sum(U18:Y18))</f>
        <v>0.1707418644</v>
      </c>
      <c r="T18" s="101">
        <f>if(Q18="","",(NORMDIST($Q18,(Dropdowns!M$7),stdev(Data!M:M),1))-sum(U18:Y18))</f>
        <v>0.1214012316</v>
      </c>
      <c r="U18" s="101">
        <f>if(Q18="","",(NORMDIST($Q18,(Dropdowns!M$6),stdev(Data!M:M),1))-sum(V18:Y18))</f>
        <v>0.3703196448</v>
      </c>
      <c r="V18" s="101">
        <f>if(Q18="","",(NORMDIST($Q18,(Dropdowns!M$5),stdev(Data!M:M),1))-sum(W18:Y18))</f>
        <v>0.1955531812</v>
      </c>
      <c r="W18" s="101">
        <f>if(Q18="","",(NORMDIST($Q18,(Dropdowns!M$4),stdev(Data!M:M),1))-sum(X18:Y18))</f>
        <v>0.006824869759</v>
      </c>
      <c r="X18" s="102">
        <f>if(Q18="","",(NORMDIST($Q18,(Dropdowns!M$3),stdev(Data!M:M),1))-Y18)</f>
        <v>0.0006940572825</v>
      </c>
      <c r="Y18" s="102">
        <f>if(Q18="","",(NORMDIST($Q18,(Dropdowns!M$2),stdev(Data!M:M),1)))</f>
        <v>0.000005716357083</v>
      </c>
      <c r="Z18" s="100">
        <f t="shared" si="5"/>
        <v>16.32022072</v>
      </c>
      <c r="AA18" s="103">
        <f t="array" ref="AA18">iferror(INDEX('Salary Cap'!B:B,match(left(G18,5)&amp;"20"&amp;right(G18,2),'Salary Cap'!A:A,0))*0.0258221367806,AA17*1.05)</f>
        <v>4638240.679</v>
      </c>
      <c r="AB18" s="106">
        <f t="shared" si="12"/>
        <v>2731142.537</v>
      </c>
      <c r="AC18" s="2"/>
      <c r="AD18" s="17"/>
      <c r="AE18" s="17"/>
      <c r="AF18" s="17"/>
      <c r="AG18" s="17"/>
    </row>
    <row r="19">
      <c r="A19" s="17"/>
      <c r="B19" s="17"/>
      <c r="C19" s="108" t="s">
        <v>80</v>
      </c>
      <c r="D19" s="109" t="str">
        <f>IFERROR(__xludf.DUMMYFUNCTION("TEXT(SUM(T$7:T$29)*0.01,""0.0%"")&amp;"" - ""&amp;TEXT(AVERAGE.WEIGHTED(T$7:T$29,J$7:J$29),""0.0%"")"),"1.3% - 8.2%")</f>
        <v>1.3% - 8.2%</v>
      </c>
      <c r="E19" s="17"/>
      <c r="F19" s="93">
        <f t="shared" si="6"/>
        <v>35</v>
      </c>
      <c r="G19" s="93" t="str">
        <f t="shared" si="7"/>
        <v>2032-33</v>
      </c>
      <c r="H19" s="2">
        <f t="shared" si="8"/>
        <v>35</v>
      </c>
      <c r="I19" s="98" t="str">
        <f t="shared" si="9"/>
        <v>PF</v>
      </c>
      <c r="J19" s="98">
        <f t="shared" si="13"/>
        <v>1541.923348</v>
      </c>
      <c r="K19" s="10">
        <f t="shared" si="10"/>
        <v>-1.314659568</v>
      </c>
      <c r="L19" s="10">
        <f>IFERROR(__xludf.DUMMYFUNCTION("IF(G19="""","""",L18+filter('Growth Summary'!L:L,'Growth Summary'!A:A=H18,'Growth Summary'!B:B=I19))"),-0.3788156899652577)</f>
        <v>-0.37881569</v>
      </c>
      <c r="M19" s="10">
        <f>IFERROR(__xludf.DUMMYFUNCTION("IF(G19="""","""",M18+filter('Growth Summary'!M:M,'Growth Summary'!A:A=H18,'Growth Summary'!B:B=I19))"),-0.9358438784607912)</f>
        <v>-0.9358438785</v>
      </c>
      <c r="N19" s="10">
        <f t="shared" si="3"/>
        <v>-1.314659568</v>
      </c>
      <c r="O19" s="10"/>
      <c r="P19" s="10"/>
      <c r="Q19" s="11">
        <f t="shared" si="11"/>
        <v>1.01375064</v>
      </c>
      <c r="R19" s="100">
        <f t="shared" si="4"/>
        <v>7.804820091</v>
      </c>
      <c r="S19" s="101">
        <f>if(Q19="","",(NORMDIST($Q19,(Dropdowns!M$8*72/82),stdev(Data!M:M),1))-sum(U19:Y19))</f>
        <v>0.1830847641</v>
      </c>
      <c r="T19" s="101">
        <f>if(Q19="","",(NORMDIST($Q19,(Dropdowns!M$7),stdev(Data!M:M),1))-sum(U19:Y19))</f>
        <v>0.128066297</v>
      </c>
      <c r="U19" s="101">
        <f>if(Q19="","",(NORMDIST($Q19,(Dropdowns!M$6),stdev(Data!M:M),1))-sum(V19:Y19))</f>
        <v>0.336905493</v>
      </c>
      <c r="V19" s="101">
        <f>if(Q19="","",(NORMDIST($Q19,(Dropdowns!M$5),stdev(Data!M:M),1))-sum(W19:Y19))</f>
        <v>0.1395944156</v>
      </c>
      <c r="W19" s="101">
        <f>if(Q19="","",(NORMDIST($Q19,(Dropdowns!M$4),stdev(Data!M:M),1))-sum(X19:Y19))</f>
        <v>0.003540717782</v>
      </c>
      <c r="X19" s="102">
        <f>if(Q19="","",(NORMDIST($Q19,(Dropdowns!M$3),stdev(Data!M:M),1))-Y19)</f>
        <v>0.0003009343651</v>
      </c>
      <c r="Y19" s="102">
        <f>if(Q19="","",(NORMDIST($Q19,(Dropdowns!M$2),stdev(Data!M:M),1)))</f>
        <v>0.000001896111504</v>
      </c>
      <c r="Z19" s="100">
        <f t="shared" si="5"/>
        <v>10.68309138</v>
      </c>
      <c r="AA19" s="103">
        <f t="array" ref="AA19">iferror(INDEX('Salary Cap'!B:B,match(left(G19,5)&amp;"20"&amp;right(G19,2),'Salary Cap'!A:A,0))*0.0258221367806,AA18*1.05)</f>
        <v>4870152.712</v>
      </c>
      <c r="AB19" s="106">
        <f t="shared" si="12"/>
        <v>2867699.664</v>
      </c>
      <c r="AC19" s="2"/>
      <c r="AD19" s="17"/>
      <c r="AE19" s="17"/>
      <c r="AF19" s="17"/>
      <c r="AG19" s="17"/>
    </row>
    <row r="20">
      <c r="A20" s="17"/>
      <c r="B20" s="17"/>
      <c r="C20" s="108" t="s">
        <v>82</v>
      </c>
      <c r="D20" s="109" t="str">
        <f>IFERROR(__xludf.DUMMYFUNCTION("TEXT(SUM(S$7:S$29)*0.01,""0.0%"")&amp;"" - ""&amp;TEXT(AVERAGE.WEIGHTED(S$7:S$29,J$7:J$29),""0.0%"")"),"1.7% - 11.1%")</f>
        <v>1.7% - 11.1%</v>
      </c>
      <c r="E20" s="17"/>
      <c r="F20" s="93">
        <f t="shared" si="6"/>
        <v>36</v>
      </c>
      <c r="G20" s="93" t="str">
        <f t="shared" si="7"/>
        <v>2033-34</v>
      </c>
      <c r="H20" s="2">
        <f t="shared" si="8"/>
        <v>36</v>
      </c>
      <c r="I20" s="98" t="str">
        <f t="shared" si="9"/>
        <v>PF</v>
      </c>
      <c r="J20" s="98">
        <f t="shared" si="13"/>
        <v>1429.999059</v>
      </c>
      <c r="K20" s="10">
        <f t="shared" si="10"/>
        <v>-1.944159568</v>
      </c>
      <c r="L20" s="10">
        <f>IFERROR(__xludf.DUMMYFUNCTION("IF(G20="""","""",L19+filter('Growth Summary'!L:L,'Growth Summary'!A:A=H19,'Growth Summary'!B:B=I20))"),-0.704315689965258)</f>
        <v>-0.70431569</v>
      </c>
      <c r="M20" s="10">
        <f>IFERROR(__xludf.DUMMYFUNCTION("IF(G20="""","""",M19+filter('Growth Summary'!M:M,'Growth Summary'!A:A=H19,'Growth Summary'!B:B=I20))"),-1.2398438784607912)</f>
        <v>-1.239843878</v>
      </c>
      <c r="N20" s="10">
        <f t="shared" si="3"/>
        <v>-1.944159568</v>
      </c>
      <c r="O20" s="10"/>
      <c r="P20" s="10"/>
      <c r="Q20" s="11">
        <f t="shared" si="11"/>
        <v>0.340015795</v>
      </c>
      <c r="R20" s="100">
        <f t="shared" si="4"/>
        <v>4.749809936</v>
      </c>
      <c r="S20" s="101">
        <f>if(Q20="","",(NORMDIST($Q20,(Dropdowns!M$8*72/82),stdev(Data!M:M),1))-sum(U20:Y20))</f>
        <v>0.1857622931</v>
      </c>
      <c r="T20" s="101">
        <f>if(Q20="","",(NORMDIST($Q20,(Dropdowns!M$7),stdev(Data!M:M),1))-sum(U20:Y20))</f>
        <v>0.127544969</v>
      </c>
      <c r="U20" s="101">
        <f>if(Q20="","",(NORMDIST($Q20,(Dropdowns!M$6),stdev(Data!M:M),1))-sum(V20:Y20))</f>
        <v>0.286434077</v>
      </c>
      <c r="V20" s="101">
        <f>if(Q20="","",(NORMDIST($Q20,(Dropdowns!M$5),stdev(Data!M:M),1))-sum(W20:Y20))</f>
        <v>0.09121795568</v>
      </c>
      <c r="W20" s="101">
        <f>if(Q20="","",(NORMDIST($Q20,(Dropdowns!M$4),stdev(Data!M:M),1))-sum(X20:Y20))</f>
        <v>0.001618081894</v>
      </c>
      <c r="X20" s="102">
        <f>if(Q20="","",(NORMDIST($Q20,(Dropdowns!M$3),stdev(Data!M:M),1))-Y20)</f>
        <v>0.0001129826946</v>
      </c>
      <c r="Y20" s="102">
        <f>if(Q20="","",(NORMDIST($Q20,(Dropdowns!M$2),stdev(Data!M:M),1)))</f>
        <v>0.0000005297171166</v>
      </c>
      <c r="Z20" s="100">
        <f t="shared" si="5"/>
        <v>3.762306674</v>
      </c>
      <c r="AA20" s="103">
        <f t="array" ref="AA20">iferror(INDEX('Salary Cap'!B:B,match(left(G20,5)&amp;"20"&amp;right(G20,2),'Salary Cap'!A:A,0))*0.0258221367806,AA19*1.05)</f>
        <v>5113660.348</v>
      </c>
      <c r="AB20" s="106">
        <f t="shared" si="12"/>
        <v>3011084.647</v>
      </c>
      <c r="AC20" s="2"/>
      <c r="AD20" s="17"/>
      <c r="AE20" s="17"/>
      <c r="AF20" s="17"/>
      <c r="AG20" s="17"/>
    </row>
    <row r="21">
      <c r="A21" s="17"/>
      <c r="B21" s="17"/>
      <c r="C21" s="17"/>
      <c r="D21" s="17"/>
      <c r="E21" s="17"/>
      <c r="F21" s="93">
        <f t="shared" si="6"/>
        <v>37</v>
      </c>
      <c r="G21" s="93" t="str">
        <f t="shared" si="7"/>
        <v>2034-35</v>
      </c>
      <c r="H21" s="2">
        <f t="shared" si="8"/>
        <v>37</v>
      </c>
      <c r="I21" s="98" t="str">
        <f t="shared" si="9"/>
        <v>PF</v>
      </c>
      <c r="J21" s="98">
        <f t="shared" si="13"/>
        <v>1312.298544</v>
      </c>
      <c r="K21" s="10">
        <f t="shared" si="10"/>
        <v>-2.641959568</v>
      </c>
      <c r="L21" s="10">
        <f>IFERROR(__xludf.DUMMYFUNCTION("IF(G21="""","""",L20+filter('Growth Summary'!L:L,'Growth Summary'!A:A=H20,'Growth Summary'!B:B=I21))"),-1.0665156899652581)</f>
        <v>-1.06651569</v>
      </c>
      <c r="M21" s="10">
        <f>IFERROR(__xludf.DUMMYFUNCTION("IF(G21="""","""",M20+filter('Growth Summary'!M:M,'Growth Summary'!A:A=H20,'Growth Summary'!B:B=I21))"),-1.5754438784607914)</f>
        <v>-1.575443878</v>
      </c>
      <c r="N21" s="10">
        <f t="shared" si="3"/>
        <v>-2.641959568</v>
      </c>
      <c r="O21" s="10"/>
      <c r="P21" s="10"/>
      <c r="Q21" s="11">
        <f t="shared" si="11"/>
        <v>-0.2919111601</v>
      </c>
      <c r="R21" s="100">
        <f t="shared" si="4"/>
        <v>1.594267629</v>
      </c>
      <c r="S21" s="101">
        <f>if(Q21="","",(NORMDIST($Q21,(Dropdowns!M$8*72/82),stdev(Data!M:M),1))-sum(U21:Y21))</f>
        <v>0.1774675815</v>
      </c>
      <c r="T21" s="101">
        <f>if(Q21="","",(NORMDIST($Q21,(Dropdowns!M$7),stdev(Data!M:M),1))-sum(U21:Y21))</f>
        <v>0.119673185</v>
      </c>
      <c r="U21" s="101">
        <f>if(Q21="","",(NORMDIST($Q21,(Dropdowns!M$6),stdev(Data!M:M),1))-sum(V21:Y21))</f>
        <v>0.2326973148</v>
      </c>
      <c r="V21" s="101">
        <f>if(Q21="","",(NORMDIST($Q21,(Dropdowns!M$5),stdev(Data!M:M),1))-sum(W21:Y21))</f>
        <v>0.05806109636</v>
      </c>
      <c r="W21" s="101">
        <f>if(Q21="","",(NORMDIST($Q21,(Dropdowns!M$4),stdev(Data!M:M),1))-sum(X21:Y21))</f>
        <v>0.00073235793</v>
      </c>
      <c r="X21" s="102">
        <f>if(Q21="","",(NORMDIST($Q21,(Dropdowns!M$3),stdev(Data!M:M),1))-Y21)</f>
        <v>0.00004255465652</v>
      </c>
      <c r="Y21" s="102">
        <f>if(Q21="","",(NORMDIST($Q21,(Dropdowns!M$2),stdev(Data!M:M),1)))</f>
        <v>0.0000001510955688</v>
      </c>
      <c r="Z21" s="100">
        <f t="shared" si="5"/>
        <v>-3.391525594</v>
      </c>
      <c r="AA21" s="103">
        <f t="array" ref="AA21">iferror(INDEX('Salary Cap'!B:B,match(left(G21,5)&amp;"20"&amp;right(G21,2),'Salary Cap'!A:A,0))*0.0258221367806,AA20*1.05)</f>
        <v>5369343.365</v>
      </c>
      <c r="AB21" s="106">
        <f t="shared" si="12"/>
        <v>3161638.879</v>
      </c>
      <c r="AC21" s="2"/>
      <c r="AD21" s="17"/>
      <c r="AE21" s="17"/>
      <c r="AF21" s="17"/>
      <c r="AG21" s="17"/>
    </row>
    <row r="22">
      <c r="A22" s="17"/>
      <c r="B22" s="17"/>
      <c r="C22" s="110" t="str">
        <f>"Peak Future Odds (Age "&amp;MIN(AC:AC)&amp;"-"&amp;MAX(AC:AC)&amp;" Seasons):"</f>
        <v>Peak Future Odds (Age 26-28 Seasons):</v>
      </c>
      <c r="E22" s="17"/>
      <c r="F22" s="93">
        <f t="shared" si="6"/>
        <v>38</v>
      </c>
      <c r="G22" s="93" t="str">
        <f t="shared" si="7"/>
        <v/>
      </c>
      <c r="H22" s="2" t="str">
        <f t="shared" si="8"/>
        <v/>
      </c>
      <c r="I22" s="98" t="str">
        <f t="shared" si="9"/>
        <v/>
      </c>
      <c r="J22" s="98" t="str">
        <f t="shared" si="13"/>
        <v/>
      </c>
      <c r="K22" s="10" t="str">
        <f t="shared" si="10"/>
        <v/>
      </c>
      <c r="L22" s="10" t="str">
        <f>IFERROR(__xludf.DUMMYFUNCTION("IF(G22="""","""",L21+filter('Growth Summary'!L:L,'Growth Summary'!A:A=H21,'Growth Summary'!B:B=I22))"),"")</f>
        <v/>
      </c>
      <c r="M22" s="10" t="str">
        <f>IFERROR(__xludf.DUMMYFUNCTION("IF(G22="""","""",M21+filter('Growth Summary'!M:M,'Growth Summary'!A:A=H21,'Growth Summary'!B:B=I22))"),"")</f>
        <v/>
      </c>
      <c r="N22" s="10" t="str">
        <f t="shared" si="3"/>
        <v/>
      </c>
      <c r="O22" s="10"/>
      <c r="P22" s="10"/>
      <c r="Q22" s="11" t="str">
        <f t="shared" si="11"/>
        <v/>
      </c>
      <c r="R22" s="100" t="str">
        <f t="shared" si="4"/>
        <v/>
      </c>
      <c r="S22" s="101" t="str">
        <f>if(Q22="","",(NORMDIST($Q22,(Dropdowns!M$8*72/82),stdev(Data!M:M),1))-sum(U22:Y22))</f>
        <v/>
      </c>
      <c r="T22" s="101" t="str">
        <f>if(Q22="","",(NORMDIST($Q22,(Dropdowns!M$7),stdev(Data!M:M),1))-sum(U22:Y22))</f>
        <v/>
      </c>
      <c r="U22" s="101" t="str">
        <f>if(Q22="","",(NORMDIST($Q22,(Dropdowns!M$6),stdev(Data!M:M),1))-sum(V22:Y22))</f>
        <v/>
      </c>
      <c r="V22" s="101" t="str">
        <f>if(Q22="","",(NORMDIST($Q22,(Dropdowns!M$5),stdev(Data!M:M),1))-sum(W22:Y22))</f>
        <v/>
      </c>
      <c r="W22" s="101" t="str">
        <f>if(Q22="","",(NORMDIST($Q22,(Dropdowns!M$4),stdev(Data!M:M),1))-sum(X22:Y22))</f>
        <v/>
      </c>
      <c r="X22" s="102" t="str">
        <f>if(Q22="","",(NORMDIST($Q22,(Dropdowns!M$3),stdev(Data!M:M),1))-Y22)</f>
        <v/>
      </c>
      <c r="Y22" s="102" t="str">
        <f>if(Q22="","",(NORMDIST($Q22,(Dropdowns!M$2),stdev(Data!M:M),1)))</f>
        <v/>
      </c>
      <c r="Z22" s="100" t="str">
        <f t="shared" si="5"/>
        <v/>
      </c>
      <c r="AA22" s="103">
        <f t="array" ref="AA22">iferror(INDEX('Salary Cap'!B:B,match(left(G22,5)&amp;"20"&amp;right(G22,2),'Salary Cap'!A:A,0))*0.0258221367806,AA21*1.05)</f>
        <v>5637810.534</v>
      </c>
      <c r="AB22" s="106">
        <f t="shared" si="12"/>
        <v>3319720.823</v>
      </c>
      <c r="AC22" s="2"/>
      <c r="AD22" s="17"/>
      <c r="AE22" s="17"/>
      <c r="AF22" s="17"/>
      <c r="AG22" s="17"/>
    </row>
    <row r="23">
      <c r="A23" s="17"/>
      <c r="B23" s="17"/>
      <c r="C23" s="108" t="s">
        <v>75</v>
      </c>
      <c r="D23" s="111">
        <f t="array" ref="D23">(index(Y:Y,match(AC$7,H:H,0))*index(J:J,match(AC$7,H:H,0))+index(Y:Y,match(AC$8,H:H,0))*index(J:J,match(AC$8,H:H,0))+index(Y:Y,match(AC$9,H:H,0))*index(J:J,match(AC$9,H:H,0)))/sum(index(J:J,match(AC$7,H:H,0)),index(J:J,match(AC$8,H:H,0)),index(J:J,match(AC$9,H:H,0)))</f>
        <v>0.000300936185</v>
      </c>
      <c r="E23" s="17"/>
      <c r="F23" s="93">
        <f t="shared" si="6"/>
        <v>39</v>
      </c>
      <c r="G23" s="93" t="str">
        <f t="shared" si="7"/>
        <v/>
      </c>
      <c r="H23" s="2" t="str">
        <f t="shared" si="8"/>
        <v/>
      </c>
      <c r="I23" s="98" t="str">
        <f t="shared" si="9"/>
        <v/>
      </c>
      <c r="J23" s="98" t="str">
        <f t="shared" si="13"/>
        <v/>
      </c>
      <c r="K23" s="10" t="str">
        <f t="shared" si="10"/>
        <v/>
      </c>
      <c r="L23" s="10" t="str">
        <f>IFERROR(__xludf.DUMMYFUNCTION("IF(G23="""","""",L22+filter('Growth Summary'!L:L,'Growth Summary'!A:A=H22,'Growth Summary'!B:B=I23))"),"")</f>
        <v/>
      </c>
      <c r="M23" s="10" t="str">
        <f>IFERROR(__xludf.DUMMYFUNCTION("IF(G23="""","""",M22+filter('Growth Summary'!M:M,'Growth Summary'!A:A=H22,'Growth Summary'!B:B=I23))"),"")</f>
        <v/>
      </c>
      <c r="N23" s="10" t="str">
        <f t="shared" si="3"/>
        <v/>
      </c>
      <c r="O23" s="10"/>
      <c r="P23" s="10"/>
      <c r="Q23" s="11" t="str">
        <f t="shared" si="11"/>
        <v/>
      </c>
      <c r="R23" s="100" t="str">
        <f t="shared" si="4"/>
        <v/>
      </c>
      <c r="S23" s="101" t="str">
        <f>if(Q23="","",(NORMDIST($Q23,(Dropdowns!M$8*72/82),stdev(Data!M:M),1))-sum(U23:Y23))</f>
        <v/>
      </c>
      <c r="T23" s="101" t="str">
        <f>if(Q23="","",(NORMDIST($Q23,(Dropdowns!M$7),stdev(Data!M:M),1))-sum(U23:Y23))</f>
        <v/>
      </c>
      <c r="U23" s="101" t="str">
        <f>if(Q23="","",(NORMDIST($Q23,(Dropdowns!M$6),stdev(Data!M:M),1))-sum(V23:Y23))</f>
        <v/>
      </c>
      <c r="V23" s="101" t="str">
        <f>if(Q23="","",(NORMDIST($Q23,(Dropdowns!M$5),stdev(Data!M:M),1))-sum(W23:Y23))</f>
        <v/>
      </c>
      <c r="W23" s="101" t="str">
        <f>if(Q23="","",(NORMDIST($Q23,(Dropdowns!M$4),stdev(Data!M:M),1))-sum(X23:Y23))</f>
        <v/>
      </c>
      <c r="X23" s="102" t="str">
        <f>if(Q23="","",(NORMDIST($Q23,(Dropdowns!M$3),stdev(Data!M:M),1))-Y23)</f>
        <v/>
      </c>
      <c r="Y23" s="102" t="str">
        <f>if(Q23="","",(NORMDIST($Q23,(Dropdowns!M$2),stdev(Data!M:M),1)))</f>
        <v/>
      </c>
      <c r="Z23" s="100" t="str">
        <f t="shared" si="5"/>
        <v/>
      </c>
      <c r="AA23" s="103">
        <f t="array" ref="AA23">iferror(INDEX('Salary Cap'!B:B,match(left(G23,5)&amp;"20"&amp;right(G23,2),'Salary Cap'!A:A,0))*0.0258221367806,AA22*1.05)</f>
        <v>5919701.06</v>
      </c>
      <c r="AB23" s="106">
        <f t="shared" si="12"/>
        <v>3485706.865</v>
      </c>
      <c r="AC23" s="2"/>
      <c r="AD23" s="17"/>
      <c r="AE23" s="17"/>
      <c r="AF23" s="17"/>
      <c r="AG23" s="17"/>
    </row>
    <row r="24">
      <c r="A24" s="17"/>
      <c r="B24" s="17"/>
      <c r="C24" s="108" t="s">
        <v>76</v>
      </c>
      <c r="D24" s="111">
        <f t="array" ref="D24">(index(X:X,match(AC$7,H:H,0))*index(J:J,match(AC$7,H:H,0))+index(X:X,match(AC$8,H:H,0))*index(J:J,match(AC$8,H:H,0))+index(X:X,match(AC$9,H:H,0))*index(J:J,match(AC$9,H:H,0)))/sum(index(J:J,match(AC$7,H:H,0)),index(J:J,match(AC$8,H:H,0)),index(J:J,match(AC$9,H:H,0)))</f>
        <v>0.01232793604</v>
      </c>
      <c r="E24" s="17"/>
      <c r="F24" s="93">
        <f t="shared" si="6"/>
        <v>40</v>
      </c>
      <c r="G24" s="93" t="str">
        <f t="shared" si="7"/>
        <v/>
      </c>
      <c r="H24" s="2" t="str">
        <f t="shared" si="8"/>
        <v/>
      </c>
      <c r="I24" s="98" t="str">
        <f t="shared" si="9"/>
        <v/>
      </c>
      <c r="J24" s="98" t="str">
        <f t="shared" si="13"/>
        <v/>
      </c>
      <c r="K24" s="10" t="str">
        <f t="shared" si="10"/>
        <v/>
      </c>
      <c r="L24" s="10" t="str">
        <f>IFERROR(__xludf.DUMMYFUNCTION("IF(G24="""","""",L23+filter('Growth Summary'!L:L,'Growth Summary'!A:A=H23,'Growth Summary'!B:B=I24))"),"")</f>
        <v/>
      </c>
      <c r="M24" s="10" t="str">
        <f>IFERROR(__xludf.DUMMYFUNCTION("IF(G24="""","""",M23+filter('Growth Summary'!M:M,'Growth Summary'!A:A=H23,'Growth Summary'!B:B=I24))"),"")</f>
        <v/>
      </c>
      <c r="N24" s="10" t="str">
        <f t="shared" si="3"/>
        <v/>
      </c>
      <c r="O24" s="10"/>
      <c r="P24" s="10"/>
      <c r="Q24" s="11" t="str">
        <f t="shared" si="11"/>
        <v/>
      </c>
      <c r="R24" s="100" t="str">
        <f t="shared" si="4"/>
        <v/>
      </c>
      <c r="S24" s="101" t="str">
        <f>if(Q24="","",(NORMDIST($Q24,(Dropdowns!M$8*72/82),stdev(Data!M:M),1))-sum(U24:Y24))</f>
        <v/>
      </c>
      <c r="T24" s="101" t="str">
        <f>if(Q24="","",(NORMDIST($Q24,(Dropdowns!M$7),stdev(Data!M:M),1))-sum(U24:Y24))</f>
        <v/>
      </c>
      <c r="U24" s="101" t="str">
        <f>if(Q24="","",(NORMDIST($Q24,(Dropdowns!M$6),stdev(Data!M:M),1))-sum(V24:Y24))</f>
        <v/>
      </c>
      <c r="V24" s="101" t="str">
        <f>if(Q24="","",(NORMDIST($Q24,(Dropdowns!M$5),stdev(Data!M:M),1))-sum(W24:Y24))</f>
        <v/>
      </c>
      <c r="W24" s="101" t="str">
        <f>if(Q24="","",(NORMDIST($Q24,(Dropdowns!M$4),stdev(Data!M:M),1))-sum(X24:Y24))</f>
        <v/>
      </c>
      <c r="X24" s="102" t="str">
        <f>if(Q24="","",(NORMDIST($Q24,(Dropdowns!M$3),stdev(Data!M:M),1))-Y24)</f>
        <v/>
      </c>
      <c r="Y24" s="102" t="str">
        <f>if(Q24="","",(NORMDIST($Q24,(Dropdowns!M$2),stdev(Data!M:M),1)))</f>
        <v/>
      </c>
      <c r="Z24" s="100" t="str">
        <f t="shared" si="5"/>
        <v/>
      </c>
      <c r="AA24" s="103">
        <f t="array" ref="AA24">iferror(INDEX('Salary Cap'!B:B,match(left(G24,5)&amp;"20"&amp;right(G24,2),'Salary Cap'!A:A,0))*0.0258221367806,AA23*1.05)</f>
        <v>6215686.113</v>
      </c>
      <c r="AB24" s="106">
        <f t="shared" si="12"/>
        <v>3659992.208</v>
      </c>
      <c r="AC24" s="2"/>
      <c r="AD24" s="17"/>
      <c r="AE24" s="17"/>
      <c r="AF24" s="17"/>
      <c r="AG24" s="17"/>
    </row>
    <row r="25">
      <c r="A25" s="17"/>
      <c r="B25" s="17"/>
      <c r="C25" s="108" t="s">
        <v>77</v>
      </c>
      <c r="D25" s="111">
        <f t="array" ref="D25">(index(W:W,match(AC$7,H:H,0))*index(J:J,match(AC$7,H:H,0))+index(W:W,match(AC$8,H:H,0))*index(J:J,match(AC$8,H:H,0))+index(W:W,match(AC$9,H:H,0))*index(J:J,match(AC$9,H:H,0)))/sum(index(J:J,match(AC$7,H:H,0)),index(J:J,match(AC$8,H:H,0)),index(J:J,match(AC$9,H:H,0)))</f>
        <v>0.05762250743</v>
      </c>
      <c r="E25" s="17"/>
      <c r="F25" s="93">
        <f t="shared" si="6"/>
        <v>41</v>
      </c>
      <c r="G25" s="93" t="str">
        <f t="shared" si="7"/>
        <v/>
      </c>
      <c r="H25" s="2" t="str">
        <f t="shared" si="8"/>
        <v/>
      </c>
      <c r="I25" s="98" t="str">
        <f t="shared" si="9"/>
        <v/>
      </c>
      <c r="J25" s="98" t="str">
        <f t="shared" si="13"/>
        <v/>
      </c>
      <c r="K25" s="10" t="str">
        <f t="shared" si="10"/>
        <v/>
      </c>
      <c r="L25" s="10" t="str">
        <f>IFERROR(__xludf.DUMMYFUNCTION("IF(G25="""","""",L24+filter('Growth Summary'!L:L,'Growth Summary'!A:A=H24,'Growth Summary'!B:B=I25))"),"")</f>
        <v/>
      </c>
      <c r="M25" s="10" t="str">
        <f>IFERROR(__xludf.DUMMYFUNCTION("IF(G25="""","""",M24+filter('Growth Summary'!M:M,'Growth Summary'!A:A=H24,'Growth Summary'!B:B=I25))"),"")</f>
        <v/>
      </c>
      <c r="N25" s="10" t="str">
        <f t="shared" si="3"/>
        <v/>
      </c>
      <c r="O25" s="10"/>
      <c r="P25" s="10"/>
      <c r="Q25" s="11" t="str">
        <f t="shared" si="11"/>
        <v/>
      </c>
      <c r="R25" s="100" t="str">
        <f t="shared" si="4"/>
        <v/>
      </c>
      <c r="S25" s="101" t="str">
        <f>if(Q25="","",(NORMDIST($Q25,(Dropdowns!M$8*72/82),stdev(Data!M:M),1))-sum(U25:Y25))</f>
        <v/>
      </c>
      <c r="T25" s="101" t="str">
        <f>if(Q25="","",(NORMDIST($Q25,(Dropdowns!M$7),stdev(Data!M:M),1))-sum(U25:Y25))</f>
        <v/>
      </c>
      <c r="U25" s="101" t="str">
        <f>if(Q25="","",(NORMDIST($Q25,(Dropdowns!M$6),stdev(Data!M:M),1))-sum(V25:Y25))</f>
        <v/>
      </c>
      <c r="V25" s="101" t="str">
        <f>if(Q25="","",(NORMDIST($Q25,(Dropdowns!M$5),stdev(Data!M:M),1))-sum(W25:Y25))</f>
        <v/>
      </c>
      <c r="W25" s="101" t="str">
        <f>if(Q25="","",(NORMDIST($Q25,(Dropdowns!M$4),stdev(Data!M:M),1))-sum(X25:Y25))</f>
        <v/>
      </c>
      <c r="X25" s="102" t="str">
        <f>if(Q25="","",(NORMDIST($Q25,(Dropdowns!M$3),stdev(Data!M:M),1))-Y25)</f>
        <v/>
      </c>
      <c r="Y25" s="102" t="str">
        <f>if(Q25="","",(NORMDIST($Q25,(Dropdowns!M$2),stdev(Data!M:M),1)))</f>
        <v/>
      </c>
      <c r="Z25" s="100" t="str">
        <f t="shared" si="5"/>
        <v/>
      </c>
      <c r="AA25" s="103">
        <f t="array" ref="AA25">iferror(INDEX('Salary Cap'!B:B,match(left(G25,5)&amp;"20"&amp;right(G25,2),'Salary Cap'!A:A,0))*0.0258221367806,AA24*1.05)</f>
        <v>6526470.419</v>
      </c>
      <c r="AB25" s="106">
        <f t="shared" si="12"/>
        <v>3842991.818</v>
      </c>
      <c r="AC25" s="2"/>
      <c r="AD25" s="17"/>
      <c r="AE25" s="17"/>
      <c r="AF25" s="17"/>
      <c r="AG25" s="17"/>
    </row>
    <row r="26">
      <c r="A26" s="17"/>
      <c r="B26" s="17"/>
      <c r="C26" s="108" t="s">
        <v>78</v>
      </c>
      <c r="D26" s="111">
        <f t="array" ref="D26">(index(V:V,match(AC$7,H:H,0))*index(J:J,match(AC$7,H:H,0))+index(V:V,match(AC$8,H:H,0))*index(J:J,match(AC$8,H:H,0))+index(V:V,match(AC$9,H:H,0))*index(J:J,match(AC$9,H:H,0)))/sum(index(J:J,match(AC$7,H:H,0)),index(J:J,match(AC$8,H:H,0)),index(J:J,match(AC$9,H:H,0)))</f>
        <v>0.4800860605</v>
      </c>
      <c r="E26" s="17"/>
      <c r="F26" s="93">
        <f t="shared" si="6"/>
        <v>42</v>
      </c>
      <c r="G26" s="93" t="str">
        <f t="shared" si="7"/>
        <v/>
      </c>
      <c r="H26" s="2" t="str">
        <f t="shared" si="8"/>
        <v/>
      </c>
      <c r="I26" s="98" t="str">
        <f t="shared" si="9"/>
        <v/>
      </c>
      <c r="J26" s="98" t="str">
        <f t="shared" si="13"/>
        <v/>
      </c>
      <c r="K26" s="10" t="str">
        <f t="shared" si="10"/>
        <v/>
      </c>
      <c r="L26" s="10" t="str">
        <f>IFERROR(__xludf.DUMMYFUNCTION("IF(G26="""","""",L25+filter('Growth Summary'!L:L,'Growth Summary'!A:A=H25,'Growth Summary'!B:B=I26))"),"")</f>
        <v/>
      </c>
      <c r="M26" s="10" t="str">
        <f>IFERROR(__xludf.DUMMYFUNCTION("IF(G26="""","""",M25+filter('Growth Summary'!M:M,'Growth Summary'!A:A=H25,'Growth Summary'!B:B=I26))"),"")</f>
        <v/>
      </c>
      <c r="N26" s="10" t="str">
        <f t="shared" si="3"/>
        <v/>
      </c>
      <c r="O26" s="10"/>
      <c r="P26" s="10"/>
      <c r="Q26" s="11" t="str">
        <f t="shared" si="11"/>
        <v/>
      </c>
      <c r="R26" s="100" t="str">
        <f t="shared" si="4"/>
        <v/>
      </c>
      <c r="S26" s="101" t="str">
        <f>if(Q26="","",(NORMDIST($Q26,(Dropdowns!M$8*72/82),stdev(Data!M:M),1))-sum(U26:Y26))</f>
        <v/>
      </c>
      <c r="T26" s="101" t="str">
        <f>if(Q26="","",(NORMDIST($Q26,(Dropdowns!M$7),stdev(Data!M:M),1))-sum(U26:Y26))</f>
        <v/>
      </c>
      <c r="U26" s="101" t="str">
        <f>if(Q26="","",(NORMDIST($Q26,(Dropdowns!M$6),stdev(Data!M:M),1))-sum(V26:Y26))</f>
        <v/>
      </c>
      <c r="V26" s="101" t="str">
        <f>if(Q26="","",(NORMDIST($Q26,(Dropdowns!M$5),stdev(Data!M:M),1))-sum(W26:Y26))</f>
        <v/>
      </c>
      <c r="W26" s="101" t="str">
        <f>if(Q26="","",(NORMDIST($Q26,(Dropdowns!M$4),stdev(Data!M:M),1))-sum(X26:Y26))</f>
        <v/>
      </c>
      <c r="X26" s="102" t="str">
        <f>if(Q26="","",(NORMDIST($Q26,(Dropdowns!M$3),stdev(Data!M:M),1))-Y26)</f>
        <v/>
      </c>
      <c r="Y26" s="102" t="str">
        <f>if(Q26="","",(NORMDIST($Q26,(Dropdowns!M$2),stdev(Data!M:M),1)))</f>
        <v/>
      </c>
      <c r="Z26" s="100" t="str">
        <f t="shared" si="5"/>
        <v/>
      </c>
      <c r="AA26" s="103">
        <f t="array" ref="AA26">iferror(INDEX('Salary Cap'!B:B,match(left(G26,5)&amp;"20"&amp;right(G26,2),'Salary Cap'!A:A,0))*0.0258221367806,AA25*1.05)</f>
        <v>6852793.94</v>
      </c>
      <c r="AB26" s="106">
        <f t="shared" si="12"/>
        <v>4035141.409</v>
      </c>
      <c r="AC26" s="2"/>
      <c r="AD26" s="17"/>
      <c r="AE26" s="17"/>
      <c r="AF26" s="17"/>
      <c r="AG26" s="17"/>
    </row>
    <row r="27">
      <c r="A27" s="17"/>
      <c r="B27" s="17"/>
      <c r="C27" s="108" t="s">
        <v>79</v>
      </c>
      <c r="D27" s="111">
        <f t="array" ref="D27">(index(U:U,match(AC$7,H:H,0))*index(J:J,match(AC$7,H:H,0))+index(U:U,match(AC$8,H:H,0))*index(J:J,match(AC$8,H:H,0))+index(U:U,match(AC$9,H:H,0))*index(J:J,match(AC$9,H:H,0)))/sum(index(J:J,match(AC$7,H:H,0)),index(J:J,match(AC$8,H:H,0)),index(J:J,match(AC$9,H:H,0)))</f>
        <v>0.3229715754</v>
      </c>
      <c r="E27" s="17"/>
      <c r="F27" s="93">
        <f t="shared" si="6"/>
        <v>43</v>
      </c>
      <c r="G27" s="93" t="str">
        <f t="shared" si="7"/>
        <v/>
      </c>
      <c r="H27" s="2" t="str">
        <f t="shared" si="8"/>
        <v/>
      </c>
      <c r="I27" s="98" t="str">
        <f t="shared" si="9"/>
        <v/>
      </c>
      <c r="J27" s="98" t="str">
        <f t="shared" si="13"/>
        <v/>
      </c>
      <c r="K27" s="10" t="str">
        <f t="shared" si="10"/>
        <v/>
      </c>
      <c r="L27" s="10" t="str">
        <f>IFERROR(__xludf.DUMMYFUNCTION("IF(G27="""","""",L26+filter('Growth Summary'!L:L,'Growth Summary'!A:A=H26,'Growth Summary'!B:B=I27))"),"")</f>
        <v/>
      </c>
      <c r="M27" s="10" t="str">
        <f>IFERROR(__xludf.DUMMYFUNCTION("IF(G27="""","""",M26+filter('Growth Summary'!M:M,'Growth Summary'!A:A=H26,'Growth Summary'!B:B=I27))"),"")</f>
        <v/>
      </c>
      <c r="N27" s="10" t="str">
        <f t="shared" si="3"/>
        <v/>
      </c>
      <c r="O27" s="10"/>
      <c r="P27" s="10"/>
      <c r="Q27" s="11" t="str">
        <f t="shared" si="11"/>
        <v/>
      </c>
      <c r="R27" s="100" t="str">
        <f t="shared" si="4"/>
        <v/>
      </c>
      <c r="S27" s="101" t="str">
        <f>if(Q27="","",(NORMDIST($Q27,(Dropdowns!M$8*72/82),stdev(Data!M:M),1))-sum(U27:Y27))</f>
        <v/>
      </c>
      <c r="T27" s="101" t="str">
        <f>if(Q27="","",(NORMDIST($Q27,(Dropdowns!M$7),stdev(Data!M:M),1))-sum(U27:Y27))</f>
        <v/>
      </c>
      <c r="U27" s="101" t="str">
        <f>if(Q27="","",(NORMDIST($Q27,(Dropdowns!M$6),stdev(Data!M:M),1))-sum(V27:Y27))</f>
        <v/>
      </c>
      <c r="V27" s="101" t="str">
        <f>if(Q27="","",(NORMDIST($Q27,(Dropdowns!M$5),stdev(Data!M:M),1))-sum(W27:Y27))</f>
        <v/>
      </c>
      <c r="W27" s="101" t="str">
        <f>if(Q27="","",(NORMDIST($Q27,(Dropdowns!M$4),stdev(Data!M:M),1))-sum(X27:Y27))</f>
        <v/>
      </c>
      <c r="X27" s="102" t="str">
        <f>if(Q27="","",(NORMDIST($Q27,(Dropdowns!M$3),stdev(Data!M:M),1))-Y27)</f>
        <v/>
      </c>
      <c r="Y27" s="102" t="str">
        <f>if(Q27="","",(NORMDIST($Q27,(Dropdowns!M$2),stdev(Data!M:M),1)))</f>
        <v/>
      </c>
      <c r="Z27" s="100" t="str">
        <f t="shared" si="5"/>
        <v/>
      </c>
      <c r="AA27" s="103">
        <f t="array" ref="AA27">iferror(INDEX('Salary Cap'!B:B,match(left(G27,5)&amp;"20"&amp;right(G27,2),'Salary Cap'!A:A,0))*0.0258221367806,AA26*1.05)</f>
        <v>7195433.637</v>
      </c>
      <c r="AB27" s="106">
        <f t="shared" si="12"/>
        <v>4236898.48</v>
      </c>
      <c r="AC27" s="2"/>
      <c r="AD27" s="17"/>
      <c r="AE27" s="17"/>
      <c r="AF27" s="17"/>
      <c r="AG27" s="17"/>
    </row>
    <row r="28">
      <c r="A28" s="17"/>
      <c r="B28" s="17"/>
      <c r="C28" s="108" t="s">
        <v>80</v>
      </c>
      <c r="D28" s="111">
        <f t="array" ref="D28">(index(T:T,match(AC$7,H:H,0))*index(J:J,match(AC$7,H:H,0))+index(T:T,match(AC$8,H:H,0))*index(J:J,match(AC$8,H:H,0))+index(T:T,match(AC$9,H:H,0))*index(J:J,match(AC$9,H:H,0)))/sum(index(J:J,match(AC$7,H:H,0)),index(J:J,match(AC$8,H:H,0)),index(J:J,match(AC$9,H:H,0)))</f>
        <v>0.05545207959</v>
      </c>
      <c r="E28" s="17"/>
      <c r="F28" s="93">
        <f t="shared" si="6"/>
        <v>44</v>
      </c>
      <c r="G28" s="93" t="str">
        <f t="shared" si="7"/>
        <v/>
      </c>
      <c r="H28" s="2" t="str">
        <f t="shared" si="8"/>
        <v/>
      </c>
      <c r="I28" s="98" t="str">
        <f t="shared" si="9"/>
        <v/>
      </c>
      <c r="J28" s="98" t="str">
        <f t="shared" si="13"/>
        <v/>
      </c>
      <c r="K28" s="10" t="str">
        <f t="shared" si="10"/>
        <v/>
      </c>
      <c r="L28" s="10" t="str">
        <f>IFERROR(__xludf.DUMMYFUNCTION("IF(G28="""","""",L27+filter('Growth Summary'!L:L,'Growth Summary'!A:A=H27,'Growth Summary'!B:B=I28))"),"")</f>
        <v/>
      </c>
      <c r="M28" s="10" t="str">
        <f>IFERROR(__xludf.DUMMYFUNCTION("IF(G28="""","""",M27+filter('Growth Summary'!M:M,'Growth Summary'!A:A=H27,'Growth Summary'!B:B=I28))"),"")</f>
        <v/>
      </c>
      <c r="N28" s="10" t="str">
        <f t="shared" si="3"/>
        <v/>
      </c>
      <c r="O28" s="10"/>
      <c r="P28" s="10"/>
      <c r="Q28" s="11" t="str">
        <f t="shared" si="11"/>
        <v/>
      </c>
      <c r="R28" s="100" t="str">
        <f t="shared" si="4"/>
        <v/>
      </c>
      <c r="S28" s="101" t="str">
        <f>if(Q28="","",(NORMDIST($Q28,(Dropdowns!M$8*72/82),stdev(Data!M:M),1))-sum(U28:Y28))</f>
        <v/>
      </c>
      <c r="T28" s="101" t="str">
        <f>if(Q28="","",(NORMDIST($Q28,(Dropdowns!M$7),stdev(Data!M:M),1))-sum(U28:Y28))</f>
        <v/>
      </c>
      <c r="U28" s="101" t="str">
        <f>if(Q28="","",(NORMDIST($Q28,(Dropdowns!M$6),stdev(Data!M:M),1))-sum(V28:Y28))</f>
        <v/>
      </c>
      <c r="V28" s="101" t="str">
        <f>if(Q28="","",(NORMDIST($Q28,(Dropdowns!M$5),stdev(Data!M:M),1))-sum(W28:Y28))</f>
        <v/>
      </c>
      <c r="W28" s="101" t="str">
        <f>if(Q28="","",(NORMDIST($Q28,(Dropdowns!M$4),stdev(Data!M:M),1))-sum(X28:Y28))</f>
        <v/>
      </c>
      <c r="X28" s="102" t="str">
        <f>if(Q28="","",(NORMDIST($Q28,(Dropdowns!M$3),stdev(Data!M:M),1))-Y28)</f>
        <v/>
      </c>
      <c r="Y28" s="102" t="str">
        <f>if(Q28="","",(NORMDIST($Q28,(Dropdowns!M$2),stdev(Data!M:M),1)))</f>
        <v/>
      </c>
      <c r="Z28" s="100" t="str">
        <f t="shared" si="5"/>
        <v/>
      </c>
      <c r="AA28" s="103">
        <f t="array" ref="AA28">iferror(INDEX('Salary Cap'!B:B,match(left(G28,5)&amp;"20"&amp;right(G28,2),'Salary Cap'!A:A,0))*0.0258221367806,AA27*1.05)</f>
        <v>7555205.319</v>
      </c>
      <c r="AB28" s="106">
        <f t="shared" si="12"/>
        <v>4448743.404</v>
      </c>
      <c r="AC28" s="2"/>
      <c r="AD28" s="17"/>
      <c r="AE28" s="17"/>
      <c r="AF28" s="17"/>
      <c r="AG28" s="17"/>
    </row>
    <row r="29">
      <c r="A29" s="17"/>
      <c r="B29" s="17"/>
      <c r="C29" s="108" t="s">
        <v>82</v>
      </c>
      <c r="D29" s="111">
        <f t="array" ref="D29">(index(S:S,match(AC$7,H:H,0))*index(J:J,match(AC$7,H:H,0))+index(S:S,match(AC$8,H:H,0))*index(J:J,match(AC$8,H:H,0))+index(S:S,match(AC$9,H:H,0))*index(J:J,match(AC$9,H:H,0)))/sum(index(J:J,match(AC$7,H:H,0)),index(J:J,match(AC$8,H:H,0)),index(J:J,match(AC$9,H:H,0)))</f>
        <v>0.07334913041</v>
      </c>
      <c r="E29" s="17"/>
      <c r="F29" s="93">
        <f t="shared" si="6"/>
        <v>45</v>
      </c>
      <c r="G29" s="93" t="str">
        <f t="shared" si="7"/>
        <v/>
      </c>
      <c r="H29" s="2" t="str">
        <f t="shared" si="8"/>
        <v/>
      </c>
      <c r="I29" s="98" t="str">
        <f t="shared" si="9"/>
        <v/>
      </c>
      <c r="J29" s="98" t="str">
        <f t="shared" si="13"/>
        <v/>
      </c>
      <c r="K29" s="10" t="str">
        <f t="shared" si="10"/>
        <v/>
      </c>
      <c r="L29" s="10" t="str">
        <f>IFERROR(__xludf.DUMMYFUNCTION("IF(G29="""","""",L28+filter('Growth Summary'!L:L,'Growth Summary'!A:A=H28,'Growth Summary'!B:B=I29))"),"")</f>
        <v/>
      </c>
      <c r="M29" s="10" t="str">
        <f>IFERROR(__xludf.DUMMYFUNCTION("IF(G29="""","""",M28+filter('Growth Summary'!M:M,'Growth Summary'!A:A=H28,'Growth Summary'!B:B=I29))"),"")</f>
        <v/>
      </c>
      <c r="N29" s="10" t="str">
        <f t="shared" si="3"/>
        <v/>
      </c>
      <c r="O29" s="10"/>
      <c r="P29" s="10"/>
      <c r="Q29" s="11" t="str">
        <f t="shared" si="11"/>
        <v/>
      </c>
      <c r="R29" s="100" t="str">
        <f t="shared" si="4"/>
        <v/>
      </c>
      <c r="S29" s="101" t="str">
        <f>if(Q29="","",(NORMDIST($Q29,(Dropdowns!M$8*72/82),stdev(Data!M:M),1))-sum(U29:Y29))</f>
        <v/>
      </c>
      <c r="T29" s="101" t="str">
        <f>if(Q29="","",(NORMDIST($Q29,(Dropdowns!M$7),stdev(Data!M:M),1))-sum(U29:Y29))</f>
        <v/>
      </c>
      <c r="U29" s="101" t="str">
        <f>if(Q29="","",(NORMDIST($Q29,(Dropdowns!M$6),stdev(Data!M:M),1))-sum(V29:Y29))</f>
        <v/>
      </c>
      <c r="V29" s="101" t="str">
        <f>if(Q29="","",(NORMDIST($Q29,(Dropdowns!M$5),stdev(Data!M:M),1))-sum(W29:Y29))</f>
        <v/>
      </c>
      <c r="W29" s="101" t="str">
        <f>if(Q29="","",(NORMDIST($Q29,(Dropdowns!M$4),stdev(Data!M:M),1))-sum(X29:Y29))</f>
        <v/>
      </c>
      <c r="X29" s="102" t="str">
        <f>if(Q29="","",(NORMDIST($Q29,(Dropdowns!M$3),stdev(Data!M:M),1))-Y29)</f>
        <v/>
      </c>
      <c r="Y29" s="102" t="str">
        <f>if(Q29="","",(NORMDIST($Q29,(Dropdowns!M$2),stdev(Data!M:M),1)))</f>
        <v/>
      </c>
      <c r="Z29" s="100" t="str">
        <f t="shared" si="5"/>
        <v/>
      </c>
      <c r="AA29" s="103">
        <f t="array" ref="AA29">iferror(INDEX('Salary Cap'!B:B,match(left(G29,5)&amp;"20"&amp;right(G29,2),'Salary Cap'!A:A,0))*0.0258221367806,AA28*1.05)</f>
        <v>7932965.585</v>
      </c>
      <c r="AB29" s="106">
        <f t="shared" si="12"/>
        <v>4671180.574</v>
      </c>
      <c r="AC29" s="2"/>
      <c r="AD29" s="17"/>
      <c r="AE29" s="17"/>
      <c r="AF29" s="17"/>
      <c r="AG29" s="17"/>
    </row>
    <row r="30">
      <c r="A30" s="17"/>
      <c r="B30" s="17"/>
      <c r="C30" s="17"/>
      <c r="D30" s="17"/>
      <c r="E30" s="17"/>
      <c r="F30" s="93">
        <f t="shared" si="6"/>
        <v>46</v>
      </c>
      <c r="G30" s="93" t="str">
        <f t="shared" si="7"/>
        <v/>
      </c>
      <c r="H30" s="2" t="str">
        <f t="shared" si="8"/>
        <v/>
      </c>
      <c r="I30" s="98" t="str">
        <f t="shared" si="9"/>
        <v/>
      </c>
      <c r="J30" s="98" t="str">
        <f t="shared" si="13"/>
        <v/>
      </c>
      <c r="K30" s="10" t="str">
        <f t="shared" si="10"/>
        <v/>
      </c>
      <c r="L30" s="10" t="str">
        <f>IFERROR(__xludf.DUMMYFUNCTION("IF(G30="""","""",L29+filter('Growth Summary'!L:L,'Growth Summary'!A:A=H29,'Growth Summary'!B:B=I30))"),"")</f>
        <v/>
      </c>
      <c r="M30" s="10" t="str">
        <f>IFERROR(__xludf.DUMMYFUNCTION("IF(G30="""","""",M29+filter('Growth Summary'!M:M,'Growth Summary'!A:A=H29,'Growth Summary'!B:B=I30))"),"")</f>
        <v/>
      </c>
      <c r="N30" s="10" t="str">
        <f t="shared" si="3"/>
        <v/>
      </c>
      <c r="O30" s="10"/>
      <c r="P30" s="10"/>
      <c r="Q30" s="11" t="str">
        <f t="shared" si="11"/>
        <v/>
      </c>
      <c r="R30" s="100" t="str">
        <f t="shared" si="4"/>
        <v/>
      </c>
      <c r="S30" s="101" t="str">
        <f>if(Q30="","",(NORMDIST($Q30,(Dropdowns!M$8*72/82),stdev(Data!M:M),1))-sum(U30:Y30))</f>
        <v/>
      </c>
      <c r="T30" s="101" t="str">
        <f>if(Q30="","",(NORMDIST($Q30,(Dropdowns!M$7),stdev(Data!M:M),1))-sum(U30:Y30))</f>
        <v/>
      </c>
      <c r="U30" s="101" t="str">
        <f>if(Q30="","",(NORMDIST($Q30,(Dropdowns!M$6),stdev(Data!M:M),1))-sum(V30:Y30))</f>
        <v/>
      </c>
      <c r="V30" s="101" t="str">
        <f>if(Q30="","",(NORMDIST($Q30,(Dropdowns!M$5),stdev(Data!M:M),1))-sum(W30:Y30))</f>
        <v/>
      </c>
      <c r="W30" s="101" t="str">
        <f>if(Q30="","",(NORMDIST($Q30,(Dropdowns!M$4),stdev(Data!M:M),1))-sum(X30:Y30))</f>
        <v/>
      </c>
      <c r="X30" s="102" t="str">
        <f>if(Q30="","",(NORMDIST($Q30,(Dropdowns!M$3),stdev(Data!M:M),1))-Y30)</f>
        <v/>
      </c>
      <c r="Y30" s="102" t="str">
        <f>if(Q30="","",(NORMDIST($Q30,(Dropdowns!M$2),stdev(Data!M:M),1)))</f>
        <v/>
      </c>
      <c r="Z30" s="100" t="str">
        <f t="shared" si="5"/>
        <v/>
      </c>
      <c r="AA30" s="103">
        <f t="array" ref="AA30">iferror(INDEX('Salary Cap'!B:B,match(left(G30,5)&amp;"20"&amp;right(G30,2),'Salary Cap'!A:A,0))*0.0258221367806,AA29*1.05)</f>
        <v>8329613.864</v>
      </c>
      <c r="AB30" s="106">
        <f t="shared" si="12"/>
        <v>4904739.602</v>
      </c>
      <c r="AC30" s="2"/>
      <c r="AD30" s="17"/>
      <c r="AE30" s="17"/>
      <c r="AF30" s="17"/>
      <c r="AG30" s="17"/>
    </row>
    <row r="31">
      <c r="A31" s="17"/>
      <c r="B31" s="17"/>
      <c r="C31" s="112"/>
      <c r="D31" s="112"/>
      <c r="E31" s="17"/>
      <c r="F31" s="93"/>
      <c r="G31" s="93"/>
      <c r="H31" s="2"/>
      <c r="I31" s="1"/>
      <c r="J31" s="91" t="s">
        <v>97</v>
      </c>
      <c r="S31" s="1"/>
      <c r="T31" s="1"/>
      <c r="U31" s="1"/>
      <c r="V31" s="1"/>
      <c r="W31" s="1"/>
      <c r="X31" s="1"/>
      <c r="Y31" s="102"/>
      <c r="Z31" s="1"/>
      <c r="AA31" s="1"/>
      <c r="AB31" s="1"/>
      <c r="AC31" s="1"/>
      <c r="AD31" s="17"/>
      <c r="AE31" s="17"/>
      <c r="AF31" s="17"/>
      <c r="AG31" s="17"/>
    </row>
    <row r="32">
      <c r="A32" s="17"/>
      <c r="B32" s="17"/>
      <c r="C32" s="113"/>
      <c r="D32" s="17"/>
      <c r="E32" s="114"/>
      <c r="F32" s="1"/>
      <c r="G32" s="1"/>
      <c r="H32" s="1"/>
      <c r="I32" s="1"/>
      <c r="J32" s="92" t="s">
        <v>116</v>
      </c>
      <c r="K32" s="1"/>
      <c r="L32" s="10"/>
      <c r="M32" s="10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02"/>
      <c r="Z32" s="1"/>
      <c r="AA32" s="1"/>
      <c r="AB32" s="1"/>
      <c r="AC32" s="1"/>
      <c r="AD32" s="17"/>
      <c r="AE32" s="17"/>
      <c r="AF32" s="17"/>
      <c r="AG32" s="17"/>
    </row>
    <row r="33">
      <c r="A33" s="17"/>
      <c r="B33" s="17"/>
      <c r="C33" s="17"/>
      <c r="D33" s="17"/>
      <c r="E33" s="114"/>
      <c r="F33" s="1"/>
      <c r="G33" s="1"/>
      <c r="H33" s="1"/>
      <c r="I33" s="1"/>
      <c r="J33" s="59" t="s">
        <v>81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02"/>
      <c r="Z33" s="1"/>
      <c r="AA33" s="1"/>
      <c r="AB33" s="1"/>
      <c r="AC33" s="1"/>
      <c r="AD33" s="17"/>
      <c r="AE33" s="17"/>
      <c r="AF33" s="17"/>
      <c r="AG33" s="17"/>
    </row>
    <row r="34">
      <c r="A34" s="17"/>
      <c r="B34" s="17"/>
      <c r="C34" s="17"/>
      <c r="D34" s="17"/>
      <c r="E34" s="77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02"/>
      <c r="Z34" s="1"/>
      <c r="AA34" s="1"/>
      <c r="AB34" s="1"/>
      <c r="AC34" s="1"/>
      <c r="AD34" s="17"/>
      <c r="AE34" s="17"/>
      <c r="AF34" s="17"/>
      <c r="AG34" s="17"/>
    </row>
    <row r="35">
      <c r="A35" s="17"/>
      <c r="B35" s="17"/>
      <c r="C35" s="17"/>
      <c r="D35" s="17"/>
      <c r="E35" s="77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7"/>
      <c r="AE35" s="17"/>
      <c r="AF35" s="17"/>
      <c r="AG35" s="17"/>
    </row>
    <row r="36">
      <c r="A36" s="17"/>
      <c r="B36" s="17"/>
      <c r="C36" s="17"/>
      <c r="D36" s="17"/>
      <c r="E36" s="77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7"/>
      <c r="AE36" s="17"/>
      <c r="AF36" s="17"/>
      <c r="AG36" s="17"/>
    </row>
    <row r="37">
      <c r="A37" s="17"/>
      <c r="B37" s="17"/>
      <c r="C37" s="17"/>
      <c r="D37" s="17"/>
      <c r="E37" s="77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7"/>
      <c r="AE37" s="17"/>
      <c r="AF37" s="17"/>
      <c r="AG37" s="17"/>
    </row>
    <row r="38">
      <c r="A38" s="17"/>
      <c r="B38" s="17"/>
      <c r="C38" s="17"/>
      <c r="D38" s="17"/>
      <c r="E38" s="77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7"/>
      <c r="AE38" s="17"/>
      <c r="AF38" s="17"/>
      <c r="AG38" s="17"/>
    </row>
    <row r="39">
      <c r="A39" s="17"/>
      <c r="B39" s="17"/>
      <c r="C39" s="17"/>
      <c r="D39" s="17"/>
      <c r="E39" s="17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7"/>
      <c r="AE39" s="17"/>
      <c r="AF39" s="17"/>
      <c r="AG39" s="17"/>
    </row>
    <row r="40">
      <c r="A40" s="17"/>
      <c r="B40" s="17"/>
      <c r="C40" s="17"/>
      <c r="D40" s="17"/>
      <c r="E40" s="17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7"/>
      <c r="AE40" s="17"/>
      <c r="AF40" s="17"/>
      <c r="AG40" s="17"/>
    </row>
    <row r="41" hidden="1">
      <c r="A41" s="17"/>
      <c r="B41" s="17"/>
      <c r="C41" s="17"/>
      <c r="D41" s="17"/>
      <c r="E41" s="17"/>
      <c r="F41" s="1"/>
      <c r="G41" s="1"/>
      <c r="H41" s="1"/>
      <c r="I41" s="1"/>
      <c r="J41" s="115">
        <f>max(Data!F:F)</f>
        <v>3124.635</v>
      </c>
      <c r="K41" s="116">
        <f>max(Data!J:J)</f>
        <v>9.119122301</v>
      </c>
      <c r="L41" s="116">
        <f>max(Data!K:K)</f>
        <v>6.743428076</v>
      </c>
      <c r="M41" s="116">
        <f>max(Data!L:L)</f>
        <v>4.523460958</v>
      </c>
      <c r="N41" s="1"/>
      <c r="O41" s="1"/>
      <c r="P41" s="1"/>
      <c r="Q41" s="116">
        <f>max(Data!M:M)</f>
        <v>18.15807429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7"/>
      <c r="AE41" s="17"/>
      <c r="AF41" s="17"/>
      <c r="AG41" s="17"/>
    </row>
    <row r="42" hidden="1">
      <c r="A42" s="17"/>
      <c r="B42" s="17"/>
      <c r="C42" s="17"/>
      <c r="D42" s="17"/>
      <c r="E42" s="17"/>
      <c r="F42" s="1"/>
      <c r="G42" s="1"/>
      <c r="H42" s="1"/>
      <c r="I42" s="1"/>
      <c r="J42" s="115">
        <f>min(Data!F:F)</f>
        <v>0.5166666667</v>
      </c>
      <c r="K42" s="116">
        <f>MIN(Data!J:J)</f>
        <v>-4.782766307</v>
      </c>
      <c r="L42" s="116">
        <f>MIN(Data!K:K)</f>
        <v>-4.322019044</v>
      </c>
      <c r="M42" s="116">
        <f>MIN(Data!L:L)</f>
        <v>-3.637442967</v>
      </c>
      <c r="N42" s="1"/>
      <c r="O42" s="1"/>
      <c r="P42" s="1"/>
      <c r="Q42" s="116">
        <f>MIN(Data!M:M)</f>
        <v>-3.532982785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7"/>
      <c r="AE42" s="17"/>
      <c r="AF42" s="17"/>
      <c r="AG42" s="17"/>
    </row>
    <row r="43">
      <c r="A43" s="17"/>
      <c r="B43" s="17"/>
      <c r="C43" s="17"/>
      <c r="D43" s="17"/>
      <c r="E43" s="17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7"/>
      <c r="AE43" s="17"/>
      <c r="AF43" s="17"/>
      <c r="AG43" s="17"/>
    </row>
    <row r="44">
      <c r="A44" s="17"/>
      <c r="B44" s="17"/>
      <c r="C44" s="17"/>
      <c r="D44" s="17"/>
      <c r="E44" s="1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7"/>
      <c r="AE44" s="17"/>
      <c r="AF44" s="17"/>
      <c r="AG44" s="17"/>
    </row>
    <row r="45">
      <c r="A45" s="17"/>
      <c r="B45" s="17"/>
      <c r="C45" s="17"/>
      <c r="D45" s="17"/>
      <c r="E45" s="1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7"/>
      <c r="AE45" s="17"/>
      <c r="AF45" s="17"/>
      <c r="AG45" s="17"/>
    </row>
  </sheetData>
  <mergeCells count="9">
    <mergeCell ref="C22:D22"/>
    <mergeCell ref="J31:R31"/>
    <mergeCell ref="S1:Y1"/>
    <mergeCell ref="C8:D8"/>
    <mergeCell ref="C9:D9"/>
    <mergeCell ref="C10:D10"/>
    <mergeCell ref="C11:D11"/>
    <mergeCell ref="C12:D12"/>
    <mergeCell ref="C13:D13"/>
  </mergeCells>
  <conditionalFormatting sqref="K1:K30 L6:M6 K32:K45">
    <cfRule type="colorScale" priority="1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L1:L30 L32:L45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M1:M30 M32:M45">
    <cfRule type="colorScale" priority="3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I1:I45 J1:J32 J34:J45">
    <cfRule type="colorScale" priority="4">
      <colorScale>
        <cfvo type="min"/>
        <cfvo type="max"/>
        <color rgb="FFFFFFFF"/>
        <color rgb="FFFFD666"/>
      </colorScale>
    </cfRule>
  </conditionalFormatting>
  <conditionalFormatting sqref="Q1:Q30 Q32:Q45">
    <cfRule type="colorScale" priority="5">
      <colorScale>
        <cfvo type="min"/>
        <cfvo type="max"/>
        <color rgb="FFFFFFFF"/>
        <color rgb="FFFFD666"/>
      </colorScale>
    </cfRule>
  </conditionalFormatting>
  <conditionalFormatting sqref="S3:Y39">
    <cfRule type="colorScale" priority="6">
      <colorScale>
        <cfvo type="min"/>
        <cfvo type="max"/>
        <color rgb="FFFFFFFF"/>
        <color rgb="FFFFD666"/>
      </colorScale>
    </cfRule>
  </conditionalFormatting>
  <conditionalFormatting sqref="D23:D29">
    <cfRule type="colorScale" priority="7">
      <colorScale>
        <cfvo type="formula" val="0"/>
        <cfvo type="formula" val="0.5"/>
        <cfvo type="formula" val="1"/>
        <color rgb="FFFFFFFF"/>
        <color rgb="FFFFEBB3"/>
        <color rgb="FFFFD666"/>
      </colorScale>
    </cfRule>
  </conditionalFormatting>
  <conditionalFormatting sqref="R1:R30 R32:R45">
    <cfRule type="colorScale" priority="8">
      <colorScale>
        <cfvo type="min"/>
        <cfvo type="max"/>
        <color rgb="FFFFFFFF"/>
        <color rgb="FFFFD666"/>
      </colorScale>
    </cfRule>
  </conditionalFormatting>
  <conditionalFormatting sqref="G8:G39">
    <cfRule type="notContainsBlanks" dxfId="5" priority="9">
      <formula>LEN(TRIM(G8))&gt;0</formula>
    </cfRule>
  </conditionalFormatting>
  <dataValidations>
    <dataValidation type="list" allowBlank="1" showErrorMessage="1" sqref="C2">
      <formula1>Data!$B$2:$B45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7"/>
      <c r="C1" s="117"/>
      <c r="D1" s="117"/>
      <c r="E1" s="117" t="s">
        <v>117</v>
      </c>
      <c r="F1" s="117"/>
      <c r="G1" s="117"/>
    </row>
    <row r="2">
      <c r="A2" s="118" t="s">
        <v>12</v>
      </c>
      <c r="B2" s="117" t="s">
        <v>118</v>
      </c>
      <c r="C2" s="117" t="s">
        <v>119</v>
      </c>
      <c r="D2" s="117" t="s">
        <v>120</v>
      </c>
      <c r="E2" s="117" t="s">
        <v>121</v>
      </c>
      <c r="F2" s="117" t="s">
        <v>122</v>
      </c>
      <c r="G2" s="117" t="s">
        <v>123</v>
      </c>
    </row>
    <row r="3">
      <c r="A3" s="118" t="s">
        <v>124</v>
      </c>
      <c r="B3" s="119">
        <v>1.47776E8</v>
      </c>
      <c r="C3" s="119">
        <v>1.79577E8</v>
      </c>
      <c r="D3" s="119">
        <v>4907000.0</v>
      </c>
      <c r="E3" s="119">
        <v>1.2536E7</v>
      </c>
      <c r="F3" s="119">
        <v>7743000.0</v>
      </c>
      <c r="G3" s="119">
        <v>6455000.0</v>
      </c>
    </row>
    <row r="4">
      <c r="A4" s="118" t="s">
        <v>125</v>
      </c>
      <c r="B4" s="119">
        <v>1.40739E8</v>
      </c>
      <c r="C4" s="119">
        <v>1.71026E8</v>
      </c>
      <c r="D4" s="119">
        <v>4673000.0</v>
      </c>
      <c r="E4" s="119">
        <v>1.1939E7</v>
      </c>
      <c r="F4" s="119">
        <v>7374000.0</v>
      </c>
      <c r="G4" s="119">
        <v>6148000.0</v>
      </c>
    </row>
    <row r="5">
      <c r="A5" s="118" t="s">
        <v>126</v>
      </c>
      <c r="B5" s="119">
        <v>1.34037E8</v>
      </c>
      <c r="C5" s="119">
        <v>1.62882E8</v>
      </c>
      <c r="D5" s="119">
        <v>4450000.0</v>
      </c>
      <c r="E5" s="119">
        <v>1.137E7</v>
      </c>
      <c r="F5" s="119">
        <v>7023000.0</v>
      </c>
      <c r="G5" s="119">
        <v>5855000.0</v>
      </c>
    </row>
    <row r="6">
      <c r="A6" s="118" t="s">
        <v>127</v>
      </c>
      <c r="B6" s="119">
        <v>1.27654E8</v>
      </c>
      <c r="C6" s="119">
        <v>1.55126E8</v>
      </c>
      <c r="D6" s="119">
        <v>4238000.0</v>
      </c>
      <c r="E6" s="119">
        <v>1.0829E7</v>
      </c>
      <c r="F6" s="119">
        <v>6689000.0</v>
      </c>
      <c r="G6" s="119">
        <v>5576000.0</v>
      </c>
    </row>
    <row r="7">
      <c r="A7" s="118" t="s">
        <v>128</v>
      </c>
      <c r="B7" s="119">
        <v>1.21575E8</v>
      </c>
      <c r="C7" s="119">
        <v>1.47739E8</v>
      </c>
      <c r="D7" s="119">
        <v>4036000.0</v>
      </c>
      <c r="E7" s="119">
        <v>1.0313E7</v>
      </c>
      <c r="F7" s="119">
        <v>6370000.0</v>
      </c>
      <c r="G7" s="119">
        <v>5310000.0</v>
      </c>
    </row>
    <row r="8">
      <c r="A8" s="118" t="s">
        <v>129</v>
      </c>
      <c r="B8" s="119">
        <v>1.15786E8</v>
      </c>
      <c r="C8" s="119">
        <v>1.40704E8</v>
      </c>
      <c r="D8" s="119">
        <v>3844000.0</v>
      </c>
      <c r="E8" s="119">
        <v>9822000.0</v>
      </c>
      <c r="F8" s="119">
        <v>6067000.0</v>
      </c>
      <c r="G8" s="119">
        <v>5057000.0</v>
      </c>
    </row>
    <row r="9">
      <c r="A9" s="118" t="s">
        <v>130</v>
      </c>
      <c r="B9" s="119">
        <v>1.12414E8</v>
      </c>
      <c r="C9" s="119">
        <v>1.36606E8</v>
      </c>
      <c r="D9" s="119">
        <v>3732000.0</v>
      </c>
      <c r="E9" s="119">
        <v>9536000.0</v>
      </c>
      <c r="F9" s="119">
        <v>5890000.0</v>
      </c>
      <c r="G9" s="119">
        <v>4910000.0</v>
      </c>
    </row>
    <row r="10">
      <c r="A10" s="118" t="s">
        <v>131</v>
      </c>
      <c r="B10" s="119">
        <v>1.0914E8</v>
      </c>
      <c r="C10" s="119">
        <v>1.32627E8</v>
      </c>
      <c r="D10" s="119">
        <v>3623000.0</v>
      </c>
      <c r="E10" s="119">
        <v>9258000.0</v>
      </c>
      <c r="F10" s="119">
        <v>5718000.0</v>
      </c>
      <c r="G10" s="119">
        <v>4767000.0</v>
      </c>
    </row>
    <row r="11">
      <c r="A11" s="118" t="s">
        <v>132</v>
      </c>
      <c r="B11" s="119">
        <v>1.0914E8</v>
      </c>
      <c r="C11" s="119">
        <v>1.32627E8</v>
      </c>
      <c r="D11" s="119">
        <v>3623000.0</v>
      </c>
      <c r="E11" s="119">
        <v>9258000.0</v>
      </c>
      <c r="F11" s="119">
        <v>5718000.0</v>
      </c>
      <c r="G11" s="119">
        <v>4767000.0</v>
      </c>
    </row>
    <row r="12">
      <c r="A12" s="118" t="s">
        <v>133</v>
      </c>
      <c r="B12" s="119">
        <v>1.01869E8</v>
      </c>
      <c r="C12" s="119">
        <v>1.23733E8</v>
      </c>
      <c r="D12" s="119">
        <v>3382000.0</v>
      </c>
      <c r="E12" s="119">
        <v>8641000.0</v>
      </c>
      <c r="F12" s="119">
        <v>5337000.0</v>
      </c>
      <c r="G12" s="119">
        <v>4449000.0</v>
      </c>
    </row>
    <row r="13">
      <c r="A13" s="118" t="s">
        <v>134</v>
      </c>
      <c r="B13" s="119">
        <v>9.9093E7</v>
      </c>
      <c r="C13" s="119">
        <v>1.19266E8</v>
      </c>
      <c r="D13" s="119">
        <v>3290000.0</v>
      </c>
      <c r="E13" s="119">
        <v>8406000.0</v>
      </c>
      <c r="F13" s="119">
        <v>5192000.0</v>
      </c>
      <c r="G13" s="119">
        <v>4328000.0</v>
      </c>
    </row>
    <row r="14">
      <c r="A14" s="118" t="s">
        <v>135</v>
      </c>
      <c r="B14" s="119">
        <v>9.4143E7</v>
      </c>
      <c r="C14" s="119">
        <v>1.13287E8</v>
      </c>
      <c r="D14" s="119">
        <v>2203000.0</v>
      </c>
      <c r="E14" s="119">
        <v>5628000.0</v>
      </c>
      <c r="F14" s="119">
        <v>3477000.0</v>
      </c>
      <c r="G14" s="119">
        <v>2898000.0</v>
      </c>
    </row>
    <row r="15">
      <c r="A15" s="118" t="s">
        <v>136</v>
      </c>
      <c r="B15" s="119">
        <v>7.0E7</v>
      </c>
      <c r="C15" s="119">
        <v>8.474E7</v>
      </c>
      <c r="D15" s="119">
        <v>2139000.0</v>
      </c>
      <c r="E15" s="119">
        <v>5464000.0</v>
      </c>
      <c r="F15" s="119">
        <v>3376000.0</v>
      </c>
      <c r="G15" s="119">
        <v>2814000.0</v>
      </c>
    </row>
    <row r="16">
      <c r="A16" s="118" t="s">
        <v>137</v>
      </c>
      <c r="B16" s="119">
        <v>6.3065E7</v>
      </c>
      <c r="C16" s="119">
        <v>7.6829E7</v>
      </c>
      <c r="D16" s="119">
        <v>2077000.0</v>
      </c>
      <c r="E16" s="119">
        <v>5305000.0</v>
      </c>
      <c r="F16" s="119">
        <v>3278000.0</v>
      </c>
      <c r="G16" s="119">
        <v>2732000.0</v>
      </c>
    </row>
    <row r="17">
      <c r="A17" s="118" t="s">
        <v>138</v>
      </c>
      <c r="B17" s="119">
        <v>5.8679E7</v>
      </c>
      <c r="C17" s="119">
        <v>7.1748E7</v>
      </c>
      <c r="D17" s="119">
        <v>2016000.0</v>
      </c>
      <c r="E17" s="119">
        <v>5150000.0</v>
      </c>
      <c r="F17" s="119">
        <v>3183000.0</v>
      </c>
      <c r="G17" s="119">
        <v>2652000.0</v>
      </c>
    </row>
    <row r="18">
      <c r="A18" s="118" t="s">
        <v>139</v>
      </c>
      <c r="B18" s="119">
        <v>5.8044E7</v>
      </c>
      <c r="C18" s="119">
        <v>7.0307E7</v>
      </c>
      <c r="D18" s="119">
        <v>1957000.0</v>
      </c>
      <c r="E18" s="119">
        <v>5000000.0</v>
      </c>
      <c r="F18" s="119">
        <v>3090000.0</v>
      </c>
      <c r="G18" s="119">
        <v>2575000.0</v>
      </c>
    </row>
    <row r="19">
      <c r="A19" s="118" t="s">
        <v>140</v>
      </c>
      <c r="B19" s="119">
        <v>5.8044E7</v>
      </c>
      <c r="C19" s="119">
        <v>7.0307E7</v>
      </c>
      <c r="D19" s="119">
        <v>1900000.0</v>
      </c>
      <c r="E19" s="119">
        <v>5000000.0</v>
      </c>
      <c r="F19" s="119">
        <v>3000000.0</v>
      </c>
      <c r="G19" s="119">
        <v>2500000.0</v>
      </c>
    </row>
    <row r="20">
      <c r="A20" s="118" t="s">
        <v>141</v>
      </c>
      <c r="B20" s="119">
        <v>5.8044E7</v>
      </c>
      <c r="C20" s="119">
        <v>7.0307E7</v>
      </c>
      <c r="D20" s="119">
        <v>2080000.0</v>
      </c>
      <c r="E20" s="119">
        <v>5765000.0</v>
      </c>
      <c r="F20" s="119" t="s">
        <v>142</v>
      </c>
      <c r="G20" s="119" t="s">
        <v>142</v>
      </c>
    </row>
    <row r="21">
      <c r="A21" s="118" t="s">
        <v>143</v>
      </c>
      <c r="B21" s="119">
        <v>5.77E7</v>
      </c>
      <c r="C21" s="119">
        <v>6.992E7</v>
      </c>
      <c r="D21" s="119">
        <v>1990000.0</v>
      </c>
      <c r="E21" s="119">
        <v>5854000.0</v>
      </c>
      <c r="F21" s="119" t="s">
        <v>142</v>
      </c>
      <c r="G21" s="119" t="s">
        <v>142</v>
      </c>
    </row>
    <row r="22">
      <c r="A22" s="118" t="s">
        <v>144</v>
      </c>
      <c r="B22" s="119">
        <v>5.868E7</v>
      </c>
      <c r="C22" s="119">
        <v>7.115E7</v>
      </c>
      <c r="D22" s="119">
        <v>1910000.0</v>
      </c>
      <c r="E22" s="119">
        <v>5585000.0</v>
      </c>
      <c r="F22" s="119" t="s">
        <v>142</v>
      </c>
      <c r="G22" s="119" t="s">
        <v>142</v>
      </c>
    </row>
    <row r="23">
      <c r="A23" s="118" t="s">
        <v>145</v>
      </c>
      <c r="B23" s="119">
        <v>5.563E7</v>
      </c>
      <c r="C23" s="119">
        <v>6.7865E7</v>
      </c>
      <c r="D23" s="119">
        <v>1830000.0</v>
      </c>
      <c r="E23" s="119">
        <v>5356000.0</v>
      </c>
      <c r="F23" s="119" t="s">
        <v>142</v>
      </c>
      <c r="G23" s="119" t="s">
        <v>142</v>
      </c>
    </row>
    <row r="24">
      <c r="A24" s="118" t="s">
        <v>146</v>
      </c>
      <c r="B24" s="119">
        <v>5.3135E7</v>
      </c>
      <c r="C24" s="119">
        <v>6.542E7</v>
      </c>
      <c r="D24" s="119">
        <v>1750000.0</v>
      </c>
      <c r="E24" s="119">
        <v>5215000.0</v>
      </c>
      <c r="F24" s="119" t="s">
        <v>142</v>
      </c>
      <c r="G24" s="119" t="s">
        <v>142</v>
      </c>
    </row>
    <row r="25">
      <c r="A25" s="118" t="s">
        <v>147</v>
      </c>
      <c r="B25" s="119">
        <v>4.95E7</v>
      </c>
      <c r="C25" s="119">
        <v>6.17E7</v>
      </c>
      <c r="D25" s="119">
        <v>1670000.0</v>
      </c>
      <c r="E25" s="119">
        <v>5000000.0</v>
      </c>
      <c r="F25" s="119" t="s">
        <v>142</v>
      </c>
      <c r="G25" s="119" t="s">
        <v>142</v>
      </c>
    </row>
    <row r="26">
      <c r="A26" s="118" t="s">
        <v>148</v>
      </c>
      <c r="B26" s="119">
        <v>4.387E7</v>
      </c>
      <c r="C26" s="119" t="s">
        <v>142</v>
      </c>
      <c r="D26" s="119">
        <v>1600000.0</v>
      </c>
      <c r="E26" s="119">
        <v>4903000.0</v>
      </c>
      <c r="F26" s="119" t="s">
        <v>142</v>
      </c>
      <c r="G26" s="119" t="s">
        <v>142</v>
      </c>
    </row>
    <row r="27">
      <c r="A27" s="118" t="s">
        <v>149</v>
      </c>
      <c r="B27" s="119">
        <v>4.384E7</v>
      </c>
      <c r="C27" s="119">
        <v>5.4556722E7</v>
      </c>
      <c r="D27" s="119">
        <v>1500000.0</v>
      </c>
      <c r="E27" s="119">
        <v>4917000.0</v>
      </c>
      <c r="F27" s="119" t="s">
        <v>142</v>
      </c>
      <c r="G27" s="119" t="s">
        <v>142</v>
      </c>
    </row>
    <row r="28">
      <c r="A28" s="118" t="s">
        <v>150</v>
      </c>
      <c r="B28" s="119">
        <v>4.0271E7</v>
      </c>
      <c r="C28" s="119">
        <v>5.288E7</v>
      </c>
      <c r="D28" s="119">
        <v>1400000.0</v>
      </c>
      <c r="E28" s="119">
        <v>4546000.0</v>
      </c>
      <c r="F28" s="119" t="s">
        <v>142</v>
      </c>
      <c r="G28" s="119" t="s">
        <v>142</v>
      </c>
    </row>
    <row r="29">
      <c r="A29" s="118" t="s">
        <v>151</v>
      </c>
      <c r="B29" s="119">
        <v>4.25E7</v>
      </c>
      <c r="C29" s="119" t="s">
        <v>142</v>
      </c>
      <c r="D29" s="119">
        <v>1300000.0</v>
      </c>
      <c r="E29" s="119">
        <v>4538000.0</v>
      </c>
      <c r="F29" s="119" t="s">
        <v>142</v>
      </c>
      <c r="G29" s="119" t="s">
        <v>142</v>
      </c>
    </row>
    <row r="30">
      <c r="A30" s="118" t="s">
        <v>152</v>
      </c>
      <c r="B30" s="119">
        <v>3.55E7</v>
      </c>
      <c r="C30" s="119" t="s">
        <v>142</v>
      </c>
      <c r="D30" s="119">
        <v>1200000.0</v>
      </c>
      <c r="E30" s="119">
        <v>2250000.0</v>
      </c>
      <c r="F30" s="119" t="s">
        <v>142</v>
      </c>
      <c r="G30" s="119" t="s">
        <v>142</v>
      </c>
    </row>
    <row r="31">
      <c r="A31" s="118" t="s">
        <v>153</v>
      </c>
      <c r="B31" s="119">
        <v>3.4E7</v>
      </c>
      <c r="C31" s="119" t="s">
        <v>142</v>
      </c>
      <c r="D31" s="119">
        <v>1100000.0</v>
      </c>
      <c r="E31" s="119">
        <v>2000000.0</v>
      </c>
      <c r="F31" s="119" t="s">
        <v>142</v>
      </c>
      <c r="G31" s="119" t="s">
        <v>142</v>
      </c>
    </row>
    <row r="32">
      <c r="A32" s="118" t="s">
        <v>154</v>
      </c>
      <c r="B32" s="119">
        <v>3.0E7</v>
      </c>
      <c r="C32" s="119" t="s">
        <v>142</v>
      </c>
      <c r="D32" s="119">
        <v>1000000.0</v>
      </c>
      <c r="E32" s="119">
        <v>1750000.0</v>
      </c>
      <c r="F32" s="119" t="s">
        <v>142</v>
      </c>
      <c r="G32" s="119" t="s">
        <v>142</v>
      </c>
    </row>
    <row r="33">
      <c r="A33" s="118" t="s">
        <v>155</v>
      </c>
      <c r="B33" s="119">
        <v>2.69E7</v>
      </c>
      <c r="C33" s="119" t="s">
        <v>142</v>
      </c>
      <c r="D33" s="119" t="s">
        <v>142</v>
      </c>
      <c r="E33" s="119" t="s">
        <v>142</v>
      </c>
      <c r="F33" s="119" t="s">
        <v>142</v>
      </c>
      <c r="G33" s="119" t="s">
        <v>142</v>
      </c>
    </row>
    <row r="34">
      <c r="A34" s="118" t="s">
        <v>156</v>
      </c>
      <c r="B34" s="119">
        <v>2.4363E7</v>
      </c>
      <c r="C34" s="119" t="s">
        <v>142</v>
      </c>
      <c r="D34" s="119" t="s">
        <v>142</v>
      </c>
      <c r="E34" s="119" t="s">
        <v>142</v>
      </c>
      <c r="F34" s="119" t="s">
        <v>142</v>
      </c>
      <c r="G34" s="119" t="s">
        <v>142</v>
      </c>
    </row>
    <row r="35">
      <c r="A35" s="118" t="s">
        <v>157</v>
      </c>
      <c r="B35" s="119">
        <v>2.3E7</v>
      </c>
      <c r="C35" s="119" t="s">
        <v>142</v>
      </c>
      <c r="D35" s="119" t="s">
        <v>142</v>
      </c>
      <c r="E35" s="119" t="s">
        <v>142</v>
      </c>
      <c r="F35" s="119" t="s">
        <v>142</v>
      </c>
      <c r="G35" s="119" t="s">
        <v>142</v>
      </c>
    </row>
    <row r="36">
      <c r="A36" s="118" t="s">
        <v>158</v>
      </c>
      <c r="B36" s="119">
        <v>1.5964E7</v>
      </c>
      <c r="C36" s="119" t="s">
        <v>142</v>
      </c>
      <c r="D36" s="119" t="s">
        <v>142</v>
      </c>
      <c r="E36" s="119" t="s">
        <v>142</v>
      </c>
      <c r="F36" s="119" t="s">
        <v>142</v>
      </c>
      <c r="G36" s="119" t="s">
        <v>142</v>
      </c>
    </row>
    <row r="37">
      <c r="A37" s="118" t="s">
        <v>159</v>
      </c>
      <c r="B37" s="119">
        <v>1.5175E7</v>
      </c>
      <c r="C37" s="119" t="s">
        <v>142</v>
      </c>
      <c r="D37" s="119" t="s">
        <v>142</v>
      </c>
      <c r="E37" s="119" t="s">
        <v>142</v>
      </c>
      <c r="F37" s="119" t="s">
        <v>142</v>
      </c>
      <c r="G37" s="119" t="s">
        <v>142</v>
      </c>
    </row>
    <row r="38">
      <c r="A38" s="118" t="s">
        <v>160</v>
      </c>
      <c r="B38" s="119">
        <v>1.4E7</v>
      </c>
      <c r="C38" s="119" t="s">
        <v>142</v>
      </c>
      <c r="D38" s="119" t="s">
        <v>142</v>
      </c>
      <c r="E38" s="119" t="s">
        <v>142</v>
      </c>
      <c r="F38" s="119" t="s">
        <v>142</v>
      </c>
      <c r="G38" s="119" t="s">
        <v>142</v>
      </c>
    </row>
    <row r="39">
      <c r="A39" s="118" t="s">
        <v>161</v>
      </c>
      <c r="B39" s="119">
        <v>1.25E7</v>
      </c>
      <c r="C39" s="119" t="s">
        <v>142</v>
      </c>
      <c r="D39" s="119" t="s">
        <v>142</v>
      </c>
      <c r="E39" s="119" t="s">
        <v>142</v>
      </c>
      <c r="F39" s="119" t="s">
        <v>142</v>
      </c>
      <c r="G39" s="119" t="s">
        <v>142</v>
      </c>
    </row>
    <row r="40">
      <c r="A40" s="118" t="s">
        <v>162</v>
      </c>
      <c r="B40" s="119">
        <v>1.1871E7</v>
      </c>
      <c r="C40" s="119" t="s">
        <v>142</v>
      </c>
      <c r="D40" s="119" t="s">
        <v>142</v>
      </c>
      <c r="E40" s="119" t="s">
        <v>142</v>
      </c>
      <c r="F40" s="119" t="s">
        <v>142</v>
      </c>
      <c r="G40" s="119" t="s">
        <v>142</v>
      </c>
    </row>
    <row r="41">
      <c r="A41" s="118" t="s">
        <v>163</v>
      </c>
      <c r="B41" s="119">
        <v>9802000.0</v>
      </c>
      <c r="C41" s="119" t="s">
        <v>142</v>
      </c>
      <c r="D41" s="119" t="s">
        <v>142</v>
      </c>
      <c r="E41" s="119" t="s">
        <v>142</v>
      </c>
      <c r="F41" s="119" t="s">
        <v>142</v>
      </c>
      <c r="G41" s="119" t="s">
        <v>142</v>
      </c>
    </row>
    <row r="42">
      <c r="A42" s="118" t="s">
        <v>164</v>
      </c>
      <c r="B42" s="119">
        <v>7232000.0</v>
      </c>
      <c r="C42" s="119" t="s">
        <v>142</v>
      </c>
      <c r="D42" s="119" t="s">
        <v>142</v>
      </c>
      <c r="E42" s="119" t="s">
        <v>142</v>
      </c>
      <c r="F42" s="119" t="s">
        <v>142</v>
      </c>
      <c r="G42" s="119" t="s">
        <v>142</v>
      </c>
    </row>
    <row r="43">
      <c r="A43" s="118" t="s">
        <v>165</v>
      </c>
      <c r="B43" s="119">
        <v>6164000.0</v>
      </c>
      <c r="C43" s="119" t="s">
        <v>142</v>
      </c>
      <c r="D43" s="119" t="s">
        <v>142</v>
      </c>
      <c r="E43" s="119" t="s">
        <v>142</v>
      </c>
      <c r="F43" s="119" t="s">
        <v>142</v>
      </c>
      <c r="G43" s="119" t="s">
        <v>142</v>
      </c>
    </row>
    <row r="44">
      <c r="A44" s="118" t="s">
        <v>166</v>
      </c>
      <c r="B44" s="119">
        <v>4945000.0</v>
      </c>
      <c r="C44" s="119" t="s">
        <v>142</v>
      </c>
      <c r="D44" s="119" t="s">
        <v>142</v>
      </c>
      <c r="E44" s="119" t="s">
        <v>142</v>
      </c>
      <c r="F44" s="119" t="s">
        <v>142</v>
      </c>
      <c r="G44" s="119" t="s">
        <v>142</v>
      </c>
    </row>
    <row r="45">
      <c r="A45" s="118" t="s">
        <v>166</v>
      </c>
      <c r="B45" s="119">
        <v>4945000.0</v>
      </c>
      <c r="C45" s="119" t="s">
        <v>142</v>
      </c>
      <c r="D45" s="119" t="s">
        <v>142</v>
      </c>
      <c r="E45" s="119" t="s">
        <v>142</v>
      </c>
      <c r="F45" s="119" t="s">
        <v>142</v>
      </c>
      <c r="G45" s="119" t="s">
        <v>142</v>
      </c>
    </row>
    <row r="46">
      <c r="A46" s="118" t="s">
        <v>167</v>
      </c>
      <c r="B46" s="119">
        <v>4233000.0</v>
      </c>
      <c r="C46" s="119" t="s">
        <v>142</v>
      </c>
      <c r="D46" s="119" t="s">
        <v>142</v>
      </c>
      <c r="E46" s="119" t="s">
        <v>142</v>
      </c>
      <c r="F46" s="119" t="s">
        <v>142</v>
      </c>
      <c r="G46" s="119" t="s">
        <v>142</v>
      </c>
    </row>
    <row r="47">
      <c r="A47" s="118" t="s">
        <v>168</v>
      </c>
      <c r="B47" s="119">
        <v>3600000.0</v>
      </c>
      <c r="C47" s="119" t="s">
        <v>142</v>
      </c>
      <c r="D47" s="119" t="s">
        <v>142</v>
      </c>
      <c r="E47" s="119" t="s">
        <v>142</v>
      </c>
      <c r="F47" s="119" t="s">
        <v>142</v>
      </c>
      <c r="G47" s="119" t="s">
        <v>142</v>
      </c>
    </row>
    <row r="48">
      <c r="B48" s="117"/>
      <c r="C48" s="117"/>
      <c r="D48" s="117"/>
      <c r="E48" s="117"/>
      <c r="F48" s="117"/>
      <c r="G48" s="117"/>
    </row>
    <row r="49">
      <c r="B49" s="117"/>
      <c r="C49" s="117"/>
      <c r="D49" s="117"/>
      <c r="E49" s="117"/>
      <c r="F49" s="117"/>
      <c r="G49" s="117"/>
    </row>
    <row r="50">
      <c r="B50" s="117"/>
      <c r="C50" s="117"/>
      <c r="D50" s="117"/>
      <c r="E50" s="117"/>
      <c r="F50" s="117"/>
      <c r="G50" s="117"/>
    </row>
    <row r="51">
      <c r="B51" s="117"/>
      <c r="C51" s="117"/>
      <c r="D51" s="117"/>
      <c r="E51" s="117"/>
      <c r="F51" s="117"/>
      <c r="G51" s="117"/>
    </row>
    <row r="52">
      <c r="B52" s="117"/>
      <c r="C52" s="117"/>
      <c r="D52" s="117"/>
      <c r="E52" s="117"/>
      <c r="F52" s="117"/>
      <c r="G52" s="117"/>
    </row>
    <row r="53">
      <c r="B53" s="117"/>
      <c r="C53" s="117"/>
      <c r="D53" s="117"/>
      <c r="E53" s="117"/>
      <c r="F53" s="117"/>
      <c r="G53" s="117"/>
    </row>
    <row r="54">
      <c r="B54" s="117"/>
      <c r="C54" s="117"/>
      <c r="D54" s="117"/>
      <c r="E54" s="117"/>
      <c r="F54" s="117"/>
      <c r="G54" s="117"/>
    </row>
    <row r="55">
      <c r="B55" s="117"/>
      <c r="C55" s="117"/>
      <c r="D55" s="117"/>
      <c r="E55" s="117"/>
      <c r="F55" s="117"/>
      <c r="G55" s="117"/>
    </row>
    <row r="56">
      <c r="B56" s="117"/>
      <c r="C56" s="117"/>
      <c r="D56" s="117"/>
      <c r="E56" s="117"/>
      <c r="F56" s="117"/>
      <c r="G56" s="117"/>
    </row>
    <row r="57">
      <c r="B57" s="117"/>
      <c r="C57" s="117"/>
      <c r="D57" s="117"/>
      <c r="E57" s="117"/>
      <c r="F57" s="117"/>
      <c r="G57" s="117"/>
    </row>
    <row r="58">
      <c r="B58" s="117"/>
      <c r="C58" s="117"/>
      <c r="D58" s="117"/>
      <c r="E58" s="117"/>
      <c r="F58" s="117"/>
      <c r="G58" s="117"/>
    </row>
    <row r="59">
      <c r="B59" s="117"/>
      <c r="C59" s="117"/>
      <c r="D59" s="117"/>
      <c r="E59" s="117"/>
      <c r="F59" s="117"/>
      <c r="G59" s="117"/>
    </row>
    <row r="60">
      <c r="B60" s="117"/>
      <c r="C60" s="117"/>
      <c r="D60" s="117"/>
      <c r="E60" s="117"/>
      <c r="F60" s="117"/>
      <c r="G60" s="117"/>
    </row>
    <row r="61">
      <c r="B61" s="117"/>
      <c r="C61" s="117"/>
      <c r="D61" s="117"/>
      <c r="E61" s="117"/>
      <c r="F61" s="117"/>
      <c r="G61" s="117"/>
    </row>
    <row r="62">
      <c r="B62" s="117"/>
      <c r="C62" s="117"/>
      <c r="D62" s="117"/>
      <c r="E62" s="117"/>
      <c r="F62" s="117"/>
      <c r="G62" s="117"/>
    </row>
    <row r="63">
      <c r="B63" s="117"/>
      <c r="C63" s="117"/>
      <c r="D63" s="117"/>
      <c r="E63" s="117"/>
      <c r="F63" s="117"/>
      <c r="G63" s="117"/>
    </row>
    <row r="64">
      <c r="B64" s="117"/>
      <c r="C64" s="117"/>
      <c r="D64" s="117"/>
      <c r="E64" s="117"/>
      <c r="F64" s="117"/>
      <c r="G64" s="117"/>
    </row>
    <row r="65">
      <c r="B65" s="117"/>
      <c r="C65" s="117"/>
      <c r="D65" s="117"/>
      <c r="E65" s="117"/>
      <c r="F65" s="117"/>
      <c r="G65" s="117"/>
    </row>
    <row r="66">
      <c r="B66" s="117"/>
      <c r="C66" s="117"/>
      <c r="D66" s="117"/>
      <c r="E66" s="117"/>
      <c r="F66" s="117"/>
      <c r="G66" s="117"/>
    </row>
    <row r="67">
      <c r="B67" s="117"/>
      <c r="C67" s="117"/>
      <c r="D67" s="117"/>
      <c r="E67" s="117"/>
      <c r="F67" s="117"/>
      <c r="G67" s="117"/>
    </row>
    <row r="68">
      <c r="B68" s="117"/>
      <c r="C68" s="117"/>
      <c r="D68" s="117"/>
      <c r="E68" s="117"/>
      <c r="F68" s="117"/>
      <c r="G68" s="117"/>
    </row>
    <row r="69">
      <c r="B69" s="117"/>
      <c r="C69" s="117"/>
      <c r="D69" s="117"/>
      <c r="E69" s="117"/>
      <c r="F69" s="117"/>
      <c r="G69" s="117"/>
    </row>
    <row r="70">
      <c r="B70" s="117"/>
      <c r="C70" s="117"/>
      <c r="D70" s="117"/>
      <c r="E70" s="117"/>
      <c r="F70" s="117"/>
      <c r="G70" s="117"/>
    </row>
    <row r="71">
      <c r="B71" s="117"/>
      <c r="C71" s="117"/>
      <c r="D71" s="117"/>
      <c r="E71" s="117"/>
      <c r="F71" s="117"/>
      <c r="G71" s="117"/>
    </row>
    <row r="72">
      <c r="B72" s="117"/>
      <c r="C72" s="117"/>
      <c r="D72" s="117"/>
      <c r="E72" s="117"/>
      <c r="F72" s="117"/>
      <c r="G72" s="117"/>
    </row>
    <row r="73">
      <c r="B73" s="117"/>
      <c r="C73" s="117"/>
      <c r="D73" s="117"/>
      <c r="E73" s="117"/>
      <c r="F73" s="117"/>
      <c r="G73" s="117"/>
    </row>
    <row r="74">
      <c r="B74" s="117"/>
      <c r="C74" s="117"/>
      <c r="D74" s="117"/>
      <c r="E74" s="117"/>
      <c r="F74" s="117"/>
      <c r="G74" s="117"/>
    </row>
    <row r="75">
      <c r="B75" s="117"/>
      <c r="C75" s="117"/>
      <c r="D75" s="117"/>
      <c r="E75" s="117"/>
      <c r="F75" s="117"/>
      <c r="G75" s="117"/>
    </row>
    <row r="76">
      <c r="B76" s="117"/>
      <c r="C76" s="117"/>
      <c r="D76" s="117"/>
      <c r="E76" s="117"/>
      <c r="F76" s="117"/>
      <c r="G76" s="117"/>
    </row>
    <row r="77">
      <c r="B77" s="117"/>
      <c r="C77" s="117"/>
      <c r="D77" s="117"/>
      <c r="E77" s="117"/>
      <c r="F77" s="117"/>
      <c r="G77" s="117"/>
    </row>
    <row r="78">
      <c r="B78" s="117"/>
      <c r="C78" s="117"/>
      <c r="D78" s="117"/>
      <c r="E78" s="117"/>
      <c r="F78" s="117"/>
      <c r="G78" s="117"/>
    </row>
    <row r="79">
      <c r="B79" s="117"/>
      <c r="C79" s="117"/>
      <c r="D79" s="117"/>
      <c r="E79" s="117"/>
      <c r="F79" s="117"/>
      <c r="G79" s="117"/>
    </row>
    <row r="80">
      <c r="B80" s="117"/>
      <c r="C80" s="117"/>
      <c r="D80" s="117"/>
      <c r="E80" s="117"/>
      <c r="F80" s="117"/>
      <c r="G80" s="117"/>
    </row>
    <row r="81">
      <c r="B81" s="117"/>
      <c r="C81" s="117"/>
      <c r="D81" s="117"/>
      <c r="E81" s="117"/>
      <c r="F81" s="117"/>
      <c r="G81" s="117"/>
    </row>
    <row r="82">
      <c r="B82" s="117"/>
      <c r="C82" s="117"/>
      <c r="D82" s="117"/>
      <c r="E82" s="117"/>
      <c r="F82" s="117"/>
      <c r="G82" s="117"/>
    </row>
    <row r="83">
      <c r="B83" s="117"/>
      <c r="C83" s="117"/>
      <c r="D83" s="117"/>
      <c r="E83" s="117"/>
      <c r="F83" s="117"/>
      <c r="G83" s="117"/>
    </row>
    <row r="84">
      <c r="B84" s="117"/>
      <c r="C84" s="117"/>
      <c r="D84" s="117"/>
      <c r="E84" s="117"/>
      <c r="F84" s="117"/>
      <c r="G84" s="117"/>
    </row>
    <row r="85">
      <c r="B85" s="117"/>
      <c r="C85" s="117"/>
      <c r="D85" s="117"/>
      <c r="E85" s="117"/>
      <c r="F85" s="117"/>
      <c r="G85" s="117"/>
    </row>
    <row r="86">
      <c r="B86" s="117"/>
      <c r="C86" s="117"/>
      <c r="D86" s="117"/>
      <c r="E86" s="117"/>
      <c r="F86" s="117"/>
      <c r="G86" s="117"/>
    </row>
    <row r="87">
      <c r="B87" s="117"/>
      <c r="C87" s="117"/>
      <c r="D87" s="117"/>
      <c r="E87" s="117"/>
      <c r="F87" s="117"/>
      <c r="G87" s="117"/>
    </row>
    <row r="88">
      <c r="B88" s="117"/>
      <c r="C88" s="117"/>
      <c r="D88" s="117"/>
      <c r="E88" s="117"/>
      <c r="F88" s="117"/>
      <c r="G88" s="117"/>
    </row>
    <row r="89">
      <c r="B89" s="117"/>
      <c r="C89" s="117"/>
      <c r="D89" s="117"/>
      <c r="E89" s="117"/>
      <c r="F89" s="117"/>
      <c r="G89" s="117"/>
    </row>
    <row r="90">
      <c r="B90" s="117"/>
      <c r="C90" s="117"/>
      <c r="D90" s="117"/>
      <c r="E90" s="117"/>
      <c r="F90" s="117"/>
      <c r="G90" s="117"/>
    </row>
    <row r="91">
      <c r="B91" s="117"/>
      <c r="C91" s="117"/>
      <c r="D91" s="117"/>
      <c r="E91" s="117"/>
      <c r="F91" s="117"/>
      <c r="G91" s="117"/>
    </row>
    <row r="92">
      <c r="B92" s="117"/>
      <c r="C92" s="117"/>
      <c r="D92" s="117"/>
      <c r="E92" s="117"/>
      <c r="F92" s="117"/>
      <c r="G92" s="117"/>
    </row>
    <row r="93">
      <c r="B93" s="117"/>
      <c r="C93" s="117"/>
      <c r="D93" s="117"/>
      <c r="E93" s="117"/>
      <c r="F93" s="117"/>
      <c r="G93" s="117"/>
    </row>
    <row r="94">
      <c r="B94" s="117"/>
      <c r="C94" s="117"/>
      <c r="D94" s="117"/>
      <c r="E94" s="117"/>
      <c r="F94" s="117"/>
      <c r="G94" s="117"/>
    </row>
    <row r="95">
      <c r="B95" s="117"/>
      <c r="C95" s="117"/>
      <c r="D95" s="117"/>
      <c r="E95" s="117"/>
      <c r="F95" s="117"/>
      <c r="G95" s="117"/>
    </row>
    <row r="96">
      <c r="B96" s="117"/>
      <c r="C96" s="117"/>
      <c r="D96" s="117"/>
      <c r="E96" s="117"/>
      <c r="F96" s="117"/>
      <c r="G96" s="117"/>
    </row>
    <row r="97">
      <c r="B97" s="117"/>
      <c r="C97" s="117"/>
      <c r="D97" s="117"/>
      <c r="E97" s="117"/>
      <c r="F97" s="117"/>
      <c r="G97" s="117"/>
    </row>
    <row r="98">
      <c r="B98" s="117"/>
      <c r="C98" s="117"/>
      <c r="D98" s="117"/>
      <c r="E98" s="117"/>
      <c r="F98" s="117"/>
      <c r="G98" s="117"/>
    </row>
    <row r="99">
      <c r="B99" s="117"/>
      <c r="C99" s="117"/>
      <c r="D99" s="117"/>
      <c r="E99" s="117"/>
      <c r="F99" s="117"/>
      <c r="G99" s="117"/>
    </row>
    <row r="100">
      <c r="B100" s="117"/>
      <c r="C100" s="117"/>
      <c r="D100" s="117"/>
      <c r="E100" s="117"/>
      <c r="F100" s="117"/>
      <c r="G100" s="117"/>
    </row>
    <row r="101">
      <c r="B101" s="117"/>
      <c r="C101" s="117"/>
      <c r="D101" s="117"/>
      <c r="E101" s="117"/>
      <c r="F101" s="117"/>
      <c r="G101" s="117"/>
    </row>
    <row r="102">
      <c r="B102" s="117"/>
      <c r="C102" s="117"/>
      <c r="D102" s="117"/>
      <c r="E102" s="117"/>
      <c r="F102" s="117"/>
      <c r="G102" s="117"/>
    </row>
    <row r="103">
      <c r="B103" s="117"/>
      <c r="C103" s="117"/>
      <c r="D103" s="117"/>
      <c r="E103" s="117"/>
      <c r="F103" s="117"/>
      <c r="G103" s="117"/>
    </row>
    <row r="104">
      <c r="B104" s="117"/>
      <c r="C104" s="117"/>
      <c r="D104" s="117"/>
      <c r="E104" s="117"/>
      <c r="F104" s="117"/>
      <c r="G104" s="117"/>
    </row>
    <row r="105">
      <c r="B105" s="117"/>
      <c r="C105" s="117"/>
      <c r="D105" s="117"/>
      <c r="E105" s="117"/>
      <c r="F105" s="117"/>
      <c r="G105" s="117"/>
    </row>
    <row r="106">
      <c r="B106" s="117"/>
      <c r="C106" s="117"/>
      <c r="D106" s="117"/>
      <c r="E106" s="117"/>
      <c r="F106" s="117"/>
      <c r="G106" s="117"/>
    </row>
    <row r="107">
      <c r="B107" s="117"/>
      <c r="C107" s="117"/>
      <c r="D107" s="117"/>
      <c r="E107" s="117"/>
      <c r="F107" s="117"/>
      <c r="G107" s="117"/>
    </row>
    <row r="108">
      <c r="B108" s="117"/>
      <c r="C108" s="117"/>
      <c r="D108" s="117"/>
      <c r="E108" s="117"/>
      <c r="F108" s="117"/>
      <c r="G108" s="117"/>
    </row>
    <row r="109">
      <c r="B109" s="117"/>
      <c r="C109" s="117"/>
      <c r="D109" s="117"/>
      <c r="E109" s="117"/>
      <c r="F109" s="117"/>
      <c r="G109" s="117"/>
    </row>
    <row r="110">
      <c r="B110" s="117"/>
      <c r="C110" s="117"/>
      <c r="D110" s="117"/>
      <c r="E110" s="117"/>
      <c r="F110" s="117"/>
      <c r="G110" s="117"/>
    </row>
    <row r="111">
      <c r="B111" s="117"/>
      <c r="C111" s="117"/>
      <c r="D111" s="117"/>
      <c r="E111" s="117"/>
      <c r="F111" s="117"/>
      <c r="G111" s="117"/>
    </row>
    <row r="112">
      <c r="B112" s="117"/>
      <c r="C112" s="117"/>
      <c r="D112" s="117"/>
      <c r="E112" s="117"/>
      <c r="F112" s="117"/>
      <c r="G112" s="117"/>
    </row>
    <row r="113">
      <c r="B113" s="117"/>
      <c r="C113" s="117"/>
      <c r="D113" s="117"/>
      <c r="E113" s="117"/>
      <c r="F113" s="117"/>
      <c r="G113" s="117"/>
    </row>
    <row r="114">
      <c r="B114" s="117"/>
      <c r="C114" s="117"/>
      <c r="D114" s="117"/>
      <c r="E114" s="117"/>
      <c r="F114" s="117"/>
      <c r="G114" s="117"/>
    </row>
    <row r="115">
      <c r="B115" s="117"/>
      <c r="C115" s="117"/>
      <c r="D115" s="117"/>
      <c r="E115" s="117"/>
      <c r="F115" s="117"/>
      <c r="G115" s="117"/>
    </row>
    <row r="116">
      <c r="B116" s="117"/>
      <c r="C116" s="117"/>
      <c r="D116" s="117"/>
      <c r="E116" s="117"/>
      <c r="F116" s="117"/>
      <c r="G116" s="117"/>
    </row>
    <row r="117">
      <c r="B117" s="117"/>
      <c r="C117" s="117"/>
      <c r="D117" s="117"/>
      <c r="E117" s="117"/>
      <c r="F117" s="117"/>
      <c r="G117" s="117"/>
    </row>
    <row r="118">
      <c r="B118" s="117"/>
      <c r="C118" s="117"/>
      <c r="D118" s="117"/>
      <c r="E118" s="117"/>
      <c r="F118" s="117"/>
      <c r="G118" s="117"/>
    </row>
    <row r="119">
      <c r="B119" s="117"/>
      <c r="C119" s="117"/>
      <c r="D119" s="117"/>
      <c r="E119" s="117"/>
      <c r="F119" s="117"/>
      <c r="G119" s="117"/>
    </row>
    <row r="120">
      <c r="B120" s="117"/>
      <c r="C120" s="117"/>
      <c r="D120" s="117"/>
      <c r="E120" s="117"/>
      <c r="F120" s="117"/>
      <c r="G120" s="117"/>
    </row>
    <row r="121">
      <c r="B121" s="117"/>
      <c r="C121" s="117"/>
      <c r="D121" s="117"/>
      <c r="E121" s="117"/>
      <c r="F121" s="117"/>
      <c r="G121" s="117"/>
    </row>
    <row r="122">
      <c r="B122" s="117"/>
      <c r="C122" s="117"/>
      <c r="D122" s="117"/>
      <c r="E122" s="117"/>
      <c r="F122" s="117"/>
      <c r="G122" s="117"/>
    </row>
    <row r="123">
      <c r="B123" s="117"/>
      <c r="C123" s="117"/>
      <c r="D123" s="117"/>
      <c r="E123" s="117"/>
      <c r="F123" s="117"/>
      <c r="G123" s="117"/>
    </row>
    <row r="124">
      <c r="B124" s="117"/>
      <c r="C124" s="117"/>
      <c r="D124" s="117"/>
      <c r="E124" s="117"/>
      <c r="F124" s="117"/>
      <c r="G124" s="117"/>
    </row>
    <row r="125">
      <c r="B125" s="117"/>
      <c r="C125" s="117"/>
      <c r="D125" s="117"/>
      <c r="E125" s="117"/>
      <c r="F125" s="117"/>
      <c r="G125" s="117"/>
    </row>
    <row r="126">
      <c r="B126" s="117"/>
      <c r="C126" s="117"/>
      <c r="D126" s="117"/>
      <c r="E126" s="117"/>
      <c r="F126" s="117"/>
      <c r="G126" s="117"/>
    </row>
    <row r="127">
      <c r="B127" s="117"/>
      <c r="C127" s="117"/>
      <c r="D127" s="117"/>
      <c r="E127" s="117"/>
      <c r="F127" s="117"/>
      <c r="G127" s="117"/>
    </row>
    <row r="128">
      <c r="B128" s="117"/>
      <c r="C128" s="117"/>
      <c r="D128" s="117"/>
      <c r="E128" s="117"/>
      <c r="F128" s="117"/>
      <c r="G128" s="117"/>
    </row>
    <row r="129">
      <c r="B129" s="117"/>
      <c r="C129" s="117"/>
      <c r="D129" s="117"/>
      <c r="E129" s="117"/>
      <c r="F129" s="117"/>
      <c r="G129" s="117"/>
    </row>
    <row r="130">
      <c r="B130" s="117"/>
      <c r="C130" s="117"/>
      <c r="D130" s="117"/>
      <c r="E130" s="117"/>
      <c r="F130" s="117"/>
      <c r="G130" s="117"/>
    </row>
    <row r="131">
      <c r="B131" s="117"/>
      <c r="C131" s="117"/>
      <c r="D131" s="117"/>
      <c r="E131" s="117"/>
      <c r="F131" s="117"/>
      <c r="G131" s="117"/>
    </row>
    <row r="132">
      <c r="B132" s="117"/>
      <c r="C132" s="117"/>
      <c r="D132" s="117"/>
      <c r="E132" s="117"/>
      <c r="F132" s="117"/>
      <c r="G132" s="117"/>
    </row>
    <row r="133">
      <c r="B133" s="117"/>
      <c r="C133" s="117"/>
      <c r="D133" s="117"/>
      <c r="E133" s="117"/>
      <c r="F133" s="117"/>
      <c r="G133" s="117"/>
    </row>
    <row r="134">
      <c r="B134" s="117"/>
      <c r="C134" s="117"/>
      <c r="D134" s="117"/>
      <c r="E134" s="117"/>
      <c r="F134" s="117"/>
      <c r="G134" s="117"/>
    </row>
    <row r="135">
      <c r="B135" s="117"/>
      <c r="C135" s="117"/>
      <c r="D135" s="117"/>
      <c r="E135" s="117"/>
      <c r="F135" s="117"/>
      <c r="G135" s="117"/>
    </row>
    <row r="136">
      <c r="B136" s="117"/>
      <c r="C136" s="117"/>
      <c r="D136" s="117"/>
      <c r="E136" s="117"/>
      <c r="F136" s="117"/>
      <c r="G136" s="117"/>
    </row>
    <row r="137">
      <c r="B137" s="117"/>
      <c r="C137" s="117"/>
      <c r="D137" s="117"/>
      <c r="E137" s="117"/>
      <c r="F137" s="117"/>
      <c r="G137" s="117"/>
    </row>
    <row r="138">
      <c r="B138" s="117"/>
      <c r="C138" s="117"/>
      <c r="D138" s="117"/>
      <c r="E138" s="117"/>
      <c r="F138" s="117"/>
      <c r="G138" s="117"/>
    </row>
    <row r="139">
      <c r="B139" s="117"/>
      <c r="C139" s="117"/>
      <c r="D139" s="117"/>
      <c r="E139" s="117"/>
      <c r="F139" s="117"/>
      <c r="G139" s="117"/>
    </row>
    <row r="140">
      <c r="B140" s="117"/>
      <c r="C140" s="117"/>
      <c r="D140" s="117"/>
      <c r="E140" s="117"/>
      <c r="F140" s="117"/>
      <c r="G140" s="117"/>
    </row>
    <row r="141">
      <c r="B141" s="117"/>
      <c r="C141" s="117"/>
      <c r="D141" s="117"/>
      <c r="E141" s="117"/>
      <c r="F141" s="117"/>
      <c r="G141" s="117"/>
    </row>
    <row r="142">
      <c r="B142" s="117"/>
      <c r="C142" s="117"/>
      <c r="D142" s="117"/>
      <c r="E142" s="117"/>
      <c r="F142" s="117"/>
      <c r="G142" s="117"/>
    </row>
    <row r="143">
      <c r="B143" s="117"/>
      <c r="C143" s="117"/>
      <c r="D143" s="117"/>
      <c r="E143" s="117"/>
      <c r="F143" s="117"/>
      <c r="G143" s="117"/>
    </row>
    <row r="144">
      <c r="B144" s="117"/>
      <c r="C144" s="117"/>
      <c r="D144" s="117"/>
      <c r="E144" s="117"/>
      <c r="F144" s="117"/>
      <c r="G144" s="117"/>
    </row>
    <row r="145">
      <c r="B145" s="117"/>
      <c r="C145" s="117"/>
      <c r="D145" s="117"/>
      <c r="E145" s="117"/>
      <c r="F145" s="117"/>
      <c r="G145" s="117"/>
    </row>
    <row r="146">
      <c r="B146" s="117"/>
      <c r="C146" s="117"/>
      <c r="D146" s="117"/>
      <c r="E146" s="117"/>
      <c r="F146" s="117"/>
      <c r="G146" s="117"/>
    </row>
    <row r="147">
      <c r="B147" s="117"/>
      <c r="C147" s="117"/>
      <c r="D147" s="117"/>
      <c r="E147" s="117"/>
      <c r="F147" s="117"/>
      <c r="G147" s="117"/>
    </row>
    <row r="148">
      <c r="B148" s="117"/>
      <c r="C148" s="117"/>
      <c r="D148" s="117"/>
      <c r="E148" s="117"/>
      <c r="F148" s="117"/>
      <c r="G148" s="117"/>
    </row>
    <row r="149">
      <c r="B149" s="117"/>
      <c r="C149" s="117"/>
      <c r="D149" s="117"/>
      <c r="E149" s="117"/>
      <c r="F149" s="117"/>
      <c r="G149" s="117"/>
    </row>
    <row r="150">
      <c r="B150" s="117"/>
      <c r="C150" s="117"/>
      <c r="D150" s="117"/>
      <c r="E150" s="117"/>
      <c r="F150" s="117"/>
      <c r="G150" s="117"/>
    </row>
    <row r="151">
      <c r="B151" s="117"/>
      <c r="C151" s="117"/>
      <c r="D151" s="117"/>
      <c r="E151" s="117"/>
      <c r="F151" s="117"/>
      <c r="G151" s="117"/>
    </row>
    <row r="152">
      <c r="B152" s="117"/>
      <c r="C152" s="117"/>
      <c r="D152" s="117"/>
      <c r="E152" s="117"/>
      <c r="F152" s="117"/>
      <c r="G152" s="117"/>
    </row>
    <row r="153">
      <c r="B153" s="117"/>
      <c r="C153" s="117"/>
      <c r="D153" s="117"/>
      <c r="E153" s="117"/>
      <c r="F153" s="117"/>
      <c r="G153" s="117"/>
    </row>
    <row r="154">
      <c r="B154" s="117"/>
      <c r="C154" s="117"/>
      <c r="D154" s="117"/>
      <c r="E154" s="117"/>
      <c r="F154" s="117"/>
      <c r="G154" s="117"/>
    </row>
    <row r="155">
      <c r="B155" s="117"/>
      <c r="C155" s="117"/>
      <c r="D155" s="117"/>
      <c r="E155" s="117"/>
      <c r="F155" s="117"/>
      <c r="G155" s="117"/>
    </row>
    <row r="156">
      <c r="B156" s="117"/>
      <c r="C156" s="117"/>
      <c r="D156" s="117"/>
      <c r="E156" s="117"/>
      <c r="F156" s="117"/>
      <c r="G156" s="117"/>
    </row>
    <row r="157">
      <c r="B157" s="117"/>
      <c r="C157" s="117"/>
      <c r="D157" s="117"/>
      <c r="E157" s="117"/>
      <c r="F157" s="117"/>
      <c r="G157" s="117"/>
    </row>
    <row r="158">
      <c r="B158" s="117"/>
      <c r="C158" s="117"/>
      <c r="D158" s="117"/>
      <c r="E158" s="117"/>
      <c r="F158" s="117"/>
      <c r="G158" s="117"/>
    </row>
    <row r="159">
      <c r="B159" s="117"/>
      <c r="C159" s="117"/>
      <c r="D159" s="117"/>
      <c r="E159" s="117"/>
      <c r="F159" s="117"/>
      <c r="G159" s="117"/>
    </row>
    <row r="160">
      <c r="B160" s="117"/>
      <c r="C160" s="117"/>
      <c r="D160" s="117"/>
      <c r="E160" s="117"/>
      <c r="F160" s="117"/>
      <c r="G160" s="117"/>
    </row>
    <row r="161">
      <c r="B161" s="117"/>
      <c r="C161" s="117"/>
      <c r="D161" s="117"/>
      <c r="E161" s="117"/>
      <c r="F161" s="117"/>
      <c r="G161" s="117"/>
    </row>
    <row r="162">
      <c r="B162" s="117"/>
      <c r="C162" s="117"/>
      <c r="D162" s="117"/>
      <c r="E162" s="117"/>
      <c r="F162" s="117"/>
      <c r="G162" s="117"/>
    </row>
    <row r="163">
      <c r="B163" s="117"/>
      <c r="C163" s="117"/>
      <c r="D163" s="117"/>
      <c r="E163" s="117"/>
      <c r="F163" s="117"/>
      <c r="G163" s="117"/>
    </row>
    <row r="164">
      <c r="B164" s="117"/>
      <c r="C164" s="117"/>
      <c r="D164" s="117"/>
      <c r="E164" s="117"/>
      <c r="F164" s="117"/>
      <c r="G164" s="117"/>
    </row>
    <row r="165">
      <c r="B165" s="117"/>
      <c r="C165" s="117"/>
      <c r="D165" s="117"/>
      <c r="E165" s="117"/>
      <c r="F165" s="117"/>
      <c r="G165" s="117"/>
    </row>
    <row r="166">
      <c r="B166" s="117"/>
      <c r="C166" s="117"/>
      <c r="D166" s="117"/>
      <c r="E166" s="117"/>
      <c r="F166" s="117"/>
      <c r="G166" s="117"/>
    </row>
    <row r="167">
      <c r="B167" s="117"/>
      <c r="C167" s="117"/>
      <c r="D167" s="117"/>
      <c r="E167" s="117"/>
      <c r="F167" s="117"/>
      <c r="G167" s="117"/>
    </row>
    <row r="168">
      <c r="B168" s="117"/>
      <c r="C168" s="117"/>
      <c r="D168" s="117"/>
      <c r="E168" s="117"/>
      <c r="F168" s="117"/>
      <c r="G168" s="117"/>
    </row>
    <row r="169">
      <c r="B169" s="117"/>
      <c r="C169" s="117"/>
      <c r="D169" s="117"/>
      <c r="E169" s="117"/>
      <c r="F169" s="117"/>
      <c r="G169" s="117"/>
    </row>
    <row r="170">
      <c r="B170" s="117"/>
      <c r="C170" s="117"/>
      <c r="D170" s="117"/>
      <c r="E170" s="117"/>
      <c r="F170" s="117"/>
      <c r="G170" s="117"/>
    </row>
    <row r="171">
      <c r="B171" s="117"/>
      <c r="C171" s="117"/>
      <c r="D171" s="117"/>
      <c r="E171" s="117"/>
      <c r="F171" s="117"/>
      <c r="G171" s="117"/>
    </row>
    <row r="172">
      <c r="B172" s="117"/>
      <c r="C172" s="117"/>
      <c r="D172" s="117"/>
      <c r="E172" s="117"/>
      <c r="F172" s="117"/>
      <c r="G172" s="117"/>
    </row>
    <row r="173">
      <c r="B173" s="117"/>
      <c r="C173" s="117"/>
      <c r="D173" s="117"/>
      <c r="E173" s="117"/>
      <c r="F173" s="117"/>
      <c r="G173" s="117"/>
    </row>
    <row r="174">
      <c r="B174" s="117"/>
      <c r="C174" s="117"/>
      <c r="D174" s="117"/>
      <c r="E174" s="117"/>
      <c r="F174" s="117"/>
      <c r="G174" s="117"/>
    </row>
    <row r="175">
      <c r="B175" s="117"/>
      <c r="C175" s="117"/>
      <c r="D175" s="117"/>
      <c r="E175" s="117"/>
      <c r="F175" s="117"/>
      <c r="G175" s="117"/>
    </row>
    <row r="176">
      <c r="B176" s="117"/>
      <c r="C176" s="117"/>
      <c r="D176" s="117"/>
      <c r="E176" s="117"/>
      <c r="F176" s="117"/>
      <c r="G176" s="117"/>
    </row>
    <row r="177">
      <c r="B177" s="117"/>
      <c r="C177" s="117"/>
      <c r="D177" s="117"/>
      <c r="E177" s="117"/>
      <c r="F177" s="117"/>
      <c r="G177" s="117"/>
    </row>
    <row r="178">
      <c r="B178" s="117"/>
      <c r="C178" s="117"/>
      <c r="D178" s="117"/>
      <c r="E178" s="117"/>
      <c r="F178" s="117"/>
      <c r="G178" s="117"/>
    </row>
    <row r="179">
      <c r="B179" s="117"/>
      <c r="C179" s="117"/>
      <c r="D179" s="117"/>
      <c r="E179" s="117"/>
      <c r="F179" s="117"/>
      <c r="G179" s="117"/>
    </row>
    <row r="180">
      <c r="B180" s="117"/>
      <c r="C180" s="117"/>
      <c r="D180" s="117"/>
      <c r="E180" s="117"/>
      <c r="F180" s="117"/>
      <c r="G180" s="117"/>
    </row>
    <row r="181">
      <c r="B181" s="117"/>
      <c r="C181" s="117"/>
      <c r="D181" s="117"/>
      <c r="E181" s="117"/>
      <c r="F181" s="117"/>
      <c r="G181" s="117"/>
    </row>
    <row r="182">
      <c r="B182" s="117"/>
      <c r="C182" s="117"/>
      <c r="D182" s="117"/>
      <c r="E182" s="117"/>
      <c r="F182" s="117"/>
      <c r="G182" s="117"/>
    </row>
    <row r="183">
      <c r="B183" s="117"/>
      <c r="C183" s="117"/>
      <c r="D183" s="117"/>
      <c r="E183" s="117"/>
      <c r="F183" s="117"/>
      <c r="G183" s="117"/>
    </row>
    <row r="184">
      <c r="B184" s="117"/>
      <c r="C184" s="117"/>
      <c r="D184" s="117"/>
      <c r="E184" s="117"/>
      <c r="F184" s="117"/>
      <c r="G184" s="117"/>
    </row>
    <row r="185">
      <c r="B185" s="117"/>
      <c r="C185" s="117"/>
      <c r="D185" s="117"/>
      <c r="E185" s="117"/>
      <c r="F185" s="117"/>
      <c r="G185" s="117"/>
    </row>
    <row r="186">
      <c r="B186" s="117"/>
      <c r="C186" s="117"/>
      <c r="D186" s="117"/>
      <c r="E186" s="117"/>
      <c r="F186" s="117"/>
      <c r="G186" s="117"/>
    </row>
    <row r="187">
      <c r="B187" s="117"/>
      <c r="C187" s="117"/>
      <c r="D187" s="117"/>
      <c r="E187" s="117"/>
      <c r="F187" s="117"/>
      <c r="G187" s="117"/>
    </row>
    <row r="188">
      <c r="B188" s="117"/>
      <c r="C188" s="117"/>
      <c r="D188" s="117"/>
      <c r="E188" s="117"/>
      <c r="F188" s="117"/>
      <c r="G188" s="117"/>
    </row>
    <row r="189">
      <c r="B189" s="117"/>
      <c r="C189" s="117"/>
      <c r="D189" s="117"/>
      <c r="E189" s="117"/>
      <c r="F189" s="117"/>
      <c r="G189" s="117"/>
    </row>
    <row r="190">
      <c r="B190" s="117"/>
      <c r="C190" s="117"/>
      <c r="D190" s="117"/>
      <c r="E190" s="117"/>
      <c r="F190" s="117"/>
      <c r="G190" s="117"/>
    </row>
    <row r="191">
      <c r="B191" s="117"/>
      <c r="C191" s="117"/>
      <c r="D191" s="117"/>
      <c r="E191" s="117"/>
      <c r="F191" s="117"/>
      <c r="G191" s="117"/>
    </row>
    <row r="192">
      <c r="B192" s="117"/>
      <c r="C192" s="117"/>
      <c r="D192" s="117"/>
      <c r="E192" s="117"/>
      <c r="F192" s="117"/>
      <c r="G192" s="117"/>
    </row>
    <row r="193">
      <c r="B193" s="117"/>
      <c r="C193" s="117"/>
      <c r="D193" s="117"/>
      <c r="E193" s="117"/>
      <c r="F193" s="117"/>
      <c r="G193" s="117"/>
    </row>
    <row r="194">
      <c r="B194" s="117"/>
      <c r="C194" s="117"/>
      <c r="D194" s="117"/>
      <c r="E194" s="117"/>
      <c r="F194" s="117"/>
      <c r="G194" s="117"/>
    </row>
    <row r="195">
      <c r="B195" s="117"/>
      <c r="C195" s="117"/>
      <c r="D195" s="117"/>
      <c r="E195" s="117"/>
      <c r="F195" s="117"/>
      <c r="G195" s="117"/>
    </row>
    <row r="196">
      <c r="B196" s="117"/>
      <c r="C196" s="117"/>
      <c r="D196" s="117"/>
      <c r="E196" s="117"/>
      <c r="F196" s="117"/>
      <c r="G196" s="117"/>
    </row>
    <row r="197">
      <c r="B197" s="117"/>
      <c r="C197" s="117"/>
      <c r="D197" s="117"/>
      <c r="E197" s="117"/>
      <c r="F197" s="117"/>
      <c r="G197" s="117"/>
    </row>
    <row r="198">
      <c r="B198" s="117"/>
      <c r="C198" s="117"/>
      <c r="D198" s="117"/>
      <c r="E198" s="117"/>
      <c r="F198" s="117"/>
      <c r="G198" s="117"/>
    </row>
    <row r="199">
      <c r="B199" s="117"/>
      <c r="C199" s="117"/>
      <c r="D199" s="117"/>
      <c r="E199" s="117"/>
      <c r="F199" s="117"/>
      <c r="G199" s="117"/>
    </row>
    <row r="200">
      <c r="B200" s="117"/>
      <c r="C200" s="117"/>
      <c r="D200" s="117"/>
      <c r="E200" s="117"/>
      <c r="F200" s="117"/>
      <c r="G200" s="117"/>
    </row>
    <row r="201">
      <c r="B201" s="117"/>
      <c r="C201" s="117"/>
      <c r="D201" s="117"/>
      <c r="E201" s="117"/>
      <c r="F201" s="117"/>
      <c r="G201" s="117"/>
    </row>
    <row r="202">
      <c r="B202" s="117"/>
      <c r="C202" s="117"/>
      <c r="D202" s="117"/>
      <c r="E202" s="117"/>
      <c r="F202" s="117"/>
      <c r="G202" s="117"/>
    </row>
    <row r="203">
      <c r="B203" s="117"/>
      <c r="C203" s="117"/>
      <c r="D203" s="117"/>
      <c r="E203" s="117"/>
      <c r="F203" s="117"/>
      <c r="G203" s="117"/>
    </row>
    <row r="204">
      <c r="B204" s="117"/>
      <c r="C204" s="117"/>
      <c r="D204" s="117"/>
      <c r="E204" s="117"/>
      <c r="F204" s="117"/>
      <c r="G204" s="117"/>
    </row>
    <row r="205">
      <c r="B205" s="117"/>
      <c r="C205" s="117"/>
      <c r="D205" s="117"/>
      <c r="E205" s="117"/>
      <c r="F205" s="117"/>
      <c r="G205" s="117"/>
    </row>
    <row r="206">
      <c r="B206" s="117"/>
      <c r="C206" s="117"/>
      <c r="D206" s="117"/>
      <c r="E206" s="117"/>
      <c r="F206" s="117"/>
      <c r="G206" s="117"/>
    </row>
    <row r="207">
      <c r="B207" s="117"/>
      <c r="C207" s="117"/>
      <c r="D207" s="117"/>
      <c r="E207" s="117"/>
      <c r="F207" s="117"/>
      <c r="G207" s="117"/>
    </row>
    <row r="208">
      <c r="B208" s="117"/>
      <c r="C208" s="117"/>
      <c r="D208" s="117"/>
      <c r="E208" s="117"/>
      <c r="F208" s="117"/>
      <c r="G208" s="117"/>
    </row>
    <row r="209">
      <c r="B209" s="117"/>
      <c r="C209" s="117"/>
      <c r="D209" s="117"/>
      <c r="E209" s="117"/>
      <c r="F209" s="117"/>
      <c r="G209" s="117"/>
    </row>
    <row r="210">
      <c r="B210" s="117"/>
      <c r="C210" s="117"/>
      <c r="D210" s="117"/>
      <c r="E210" s="117"/>
      <c r="F210" s="117"/>
      <c r="G210" s="117"/>
    </row>
    <row r="211">
      <c r="B211" s="117"/>
      <c r="C211" s="117"/>
      <c r="D211" s="117"/>
      <c r="E211" s="117"/>
      <c r="F211" s="117"/>
      <c r="G211" s="117"/>
    </row>
    <row r="212">
      <c r="B212" s="117"/>
      <c r="C212" s="117"/>
      <c r="D212" s="117"/>
      <c r="E212" s="117"/>
      <c r="F212" s="117"/>
      <c r="G212" s="117"/>
    </row>
    <row r="213">
      <c r="B213" s="117"/>
      <c r="C213" s="117"/>
      <c r="D213" s="117"/>
      <c r="E213" s="117"/>
      <c r="F213" s="117"/>
      <c r="G213" s="117"/>
    </row>
    <row r="214">
      <c r="B214" s="117"/>
      <c r="C214" s="117"/>
      <c r="D214" s="117"/>
      <c r="E214" s="117"/>
      <c r="F214" s="117"/>
      <c r="G214" s="117"/>
    </row>
    <row r="215">
      <c r="B215" s="117"/>
      <c r="C215" s="117"/>
      <c r="D215" s="117"/>
      <c r="E215" s="117"/>
      <c r="F215" s="117"/>
      <c r="G215" s="117"/>
    </row>
    <row r="216">
      <c r="B216" s="117"/>
      <c r="C216" s="117"/>
      <c r="D216" s="117"/>
      <c r="E216" s="117"/>
      <c r="F216" s="117"/>
      <c r="G216" s="117"/>
    </row>
    <row r="217">
      <c r="B217" s="117"/>
      <c r="C217" s="117"/>
      <c r="D217" s="117"/>
      <c r="E217" s="117"/>
      <c r="F217" s="117"/>
      <c r="G217" s="117"/>
    </row>
    <row r="218">
      <c r="B218" s="117"/>
      <c r="C218" s="117"/>
      <c r="D218" s="117"/>
      <c r="E218" s="117"/>
      <c r="F218" s="117"/>
      <c r="G218" s="117"/>
    </row>
    <row r="219">
      <c r="B219" s="117"/>
      <c r="C219" s="117"/>
      <c r="D219" s="117"/>
      <c r="E219" s="117"/>
      <c r="F219" s="117"/>
      <c r="G219" s="117"/>
    </row>
    <row r="220">
      <c r="B220" s="117"/>
      <c r="C220" s="117"/>
      <c r="D220" s="117"/>
      <c r="E220" s="117"/>
      <c r="F220" s="117"/>
      <c r="G220" s="117"/>
    </row>
    <row r="221">
      <c r="B221" s="117"/>
      <c r="C221" s="117"/>
      <c r="D221" s="117"/>
      <c r="E221" s="117"/>
      <c r="F221" s="117"/>
      <c r="G221" s="117"/>
    </row>
    <row r="222">
      <c r="B222" s="117"/>
      <c r="C222" s="117"/>
      <c r="D222" s="117"/>
      <c r="E222" s="117"/>
      <c r="F222" s="117"/>
      <c r="G222" s="117"/>
    </row>
    <row r="223">
      <c r="B223" s="117"/>
      <c r="C223" s="117"/>
      <c r="D223" s="117"/>
      <c r="E223" s="117"/>
      <c r="F223" s="117"/>
      <c r="G223" s="117"/>
    </row>
    <row r="224">
      <c r="B224" s="117"/>
      <c r="C224" s="117"/>
      <c r="D224" s="117"/>
      <c r="E224" s="117"/>
      <c r="F224" s="117"/>
      <c r="G224" s="117"/>
    </row>
    <row r="225">
      <c r="B225" s="117"/>
      <c r="C225" s="117"/>
      <c r="D225" s="117"/>
      <c r="E225" s="117"/>
      <c r="F225" s="117"/>
      <c r="G225" s="117"/>
    </row>
    <row r="226">
      <c r="B226" s="117"/>
      <c r="C226" s="117"/>
      <c r="D226" s="117"/>
      <c r="E226" s="117"/>
      <c r="F226" s="117"/>
      <c r="G226" s="117"/>
    </row>
    <row r="227">
      <c r="B227" s="117"/>
      <c r="C227" s="117"/>
      <c r="D227" s="117"/>
      <c r="E227" s="117"/>
      <c r="F227" s="117"/>
      <c r="G227" s="117"/>
    </row>
    <row r="228">
      <c r="B228" s="117"/>
      <c r="C228" s="117"/>
      <c r="D228" s="117"/>
      <c r="E228" s="117"/>
      <c r="F228" s="117"/>
      <c r="G228" s="117"/>
    </row>
    <row r="229">
      <c r="B229" s="117"/>
      <c r="C229" s="117"/>
      <c r="D229" s="117"/>
      <c r="E229" s="117"/>
      <c r="F229" s="117"/>
      <c r="G229" s="117"/>
    </row>
    <row r="230">
      <c r="B230" s="117"/>
      <c r="C230" s="117"/>
      <c r="D230" s="117"/>
      <c r="E230" s="117"/>
      <c r="F230" s="117"/>
      <c r="G230" s="117"/>
    </row>
    <row r="231">
      <c r="B231" s="117"/>
      <c r="C231" s="117"/>
      <c r="D231" s="117"/>
      <c r="E231" s="117"/>
      <c r="F231" s="117"/>
      <c r="G231" s="117"/>
    </row>
    <row r="232">
      <c r="B232" s="117"/>
      <c r="C232" s="117"/>
      <c r="D232" s="117"/>
      <c r="E232" s="117"/>
      <c r="F232" s="117"/>
      <c r="G232" s="117"/>
    </row>
    <row r="233">
      <c r="B233" s="117"/>
      <c r="C233" s="117"/>
      <c r="D233" s="117"/>
      <c r="E233" s="117"/>
      <c r="F233" s="117"/>
      <c r="G233" s="117"/>
    </row>
    <row r="234">
      <c r="B234" s="117"/>
      <c r="C234" s="117"/>
      <c r="D234" s="117"/>
      <c r="E234" s="117"/>
      <c r="F234" s="117"/>
      <c r="G234" s="117"/>
    </row>
    <row r="235">
      <c r="B235" s="117"/>
      <c r="C235" s="117"/>
      <c r="D235" s="117"/>
      <c r="E235" s="117"/>
      <c r="F235" s="117"/>
      <c r="G235" s="117"/>
    </row>
    <row r="236">
      <c r="B236" s="117"/>
      <c r="C236" s="117"/>
      <c r="D236" s="117"/>
      <c r="E236" s="117"/>
      <c r="F236" s="117"/>
      <c r="G236" s="117"/>
    </row>
    <row r="237">
      <c r="B237" s="117"/>
      <c r="C237" s="117"/>
      <c r="D237" s="117"/>
      <c r="E237" s="117"/>
      <c r="F237" s="117"/>
      <c r="G237" s="117"/>
    </row>
    <row r="238">
      <c r="B238" s="117"/>
      <c r="C238" s="117"/>
      <c r="D238" s="117"/>
      <c r="E238" s="117"/>
      <c r="F238" s="117"/>
      <c r="G238" s="117"/>
    </row>
    <row r="239">
      <c r="B239" s="117"/>
      <c r="C239" s="117"/>
      <c r="D239" s="117"/>
      <c r="E239" s="117"/>
      <c r="F239" s="117"/>
      <c r="G239" s="117"/>
    </row>
    <row r="240">
      <c r="B240" s="117"/>
      <c r="C240" s="117"/>
      <c r="D240" s="117"/>
      <c r="E240" s="117"/>
      <c r="F240" s="117"/>
      <c r="G240" s="117"/>
    </row>
    <row r="241">
      <c r="B241" s="117"/>
      <c r="C241" s="117"/>
      <c r="D241" s="117"/>
      <c r="E241" s="117"/>
      <c r="F241" s="117"/>
      <c r="G241" s="117"/>
    </row>
    <row r="242">
      <c r="B242" s="117"/>
      <c r="C242" s="117"/>
      <c r="D242" s="117"/>
      <c r="E242" s="117"/>
      <c r="F242" s="117"/>
      <c r="G242" s="117"/>
    </row>
    <row r="243">
      <c r="B243" s="117"/>
      <c r="C243" s="117"/>
      <c r="D243" s="117"/>
      <c r="E243" s="117"/>
      <c r="F243" s="117"/>
      <c r="G243" s="117"/>
    </row>
    <row r="244">
      <c r="B244" s="117"/>
      <c r="C244" s="117"/>
      <c r="D244" s="117"/>
      <c r="E244" s="117"/>
      <c r="F244" s="117"/>
      <c r="G244" s="117"/>
    </row>
    <row r="245">
      <c r="B245" s="117"/>
      <c r="C245" s="117"/>
      <c r="D245" s="117"/>
      <c r="E245" s="117"/>
      <c r="F245" s="117"/>
      <c r="G245" s="117"/>
    </row>
    <row r="246">
      <c r="B246" s="117"/>
      <c r="C246" s="117"/>
      <c r="D246" s="117"/>
      <c r="E246" s="117"/>
      <c r="F246" s="117"/>
      <c r="G246" s="117"/>
    </row>
    <row r="247">
      <c r="B247" s="117"/>
      <c r="C247" s="117"/>
      <c r="D247" s="117"/>
      <c r="E247" s="117"/>
      <c r="F247" s="117"/>
      <c r="G247" s="117"/>
    </row>
    <row r="248">
      <c r="B248" s="117"/>
      <c r="C248" s="117"/>
      <c r="D248" s="117"/>
      <c r="E248" s="117"/>
      <c r="F248" s="117"/>
      <c r="G248" s="117"/>
    </row>
    <row r="249">
      <c r="B249" s="117"/>
      <c r="C249" s="117"/>
      <c r="D249" s="117"/>
      <c r="E249" s="117"/>
      <c r="F249" s="117"/>
      <c r="G249" s="117"/>
    </row>
    <row r="250">
      <c r="B250" s="117"/>
      <c r="C250" s="117"/>
      <c r="D250" s="117"/>
      <c r="E250" s="117"/>
      <c r="F250" s="117"/>
      <c r="G250" s="117"/>
    </row>
    <row r="251">
      <c r="B251" s="117"/>
      <c r="C251" s="117"/>
      <c r="D251" s="117"/>
      <c r="E251" s="117"/>
      <c r="F251" s="117"/>
      <c r="G251" s="117"/>
    </row>
    <row r="252">
      <c r="B252" s="117"/>
      <c r="C252" s="117"/>
      <c r="D252" s="117"/>
      <c r="E252" s="117"/>
      <c r="F252" s="117"/>
      <c r="G252" s="117"/>
    </row>
    <row r="253">
      <c r="B253" s="117"/>
      <c r="C253" s="117"/>
      <c r="D253" s="117"/>
      <c r="E253" s="117"/>
      <c r="F253" s="117"/>
      <c r="G253" s="117"/>
    </row>
    <row r="254">
      <c r="B254" s="117"/>
      <c r="C254" s="117"/>
      <c r="D254" s="117"/>
      <c r="E254" s="117"/>
      <c r="F254" s="117"/>
      <c r="G254" s="117"/>
    </row>
    <row r="255">
      <c r="B255" s="117"/>
      <c r="C255" s="117"/>
      <c r="D255" s="117"/>
      <c r="E255" s="117"/>
      <c r="F255" s="117"/>
      <c r="G255" s="117"/>
    </row>
    <row r="256">
      <c r="B256" s="117"/>
      <c r="C256" s="117"/>
      <c r="D256" s="117"/>
      <c r="E256" s="117"/>
      <c r="F256" s="117"/>
      <c r="G256" s="117"/>
    </row>
    <row r="257">
      <c r="B257" s="117"/>
      <c r="C257" s="117"/>
      <c r="D257" s="117"/>
      <c r="E257" s="117"/>
      <c r="F257" s="117"/>
      <c r="G257" s="117"/>
    </row>
    <row r="258">
      <c r="B258" s="117"/>
      <c r="C258" s="117"/>
      <c r="D258" s="117"/>
      <c r="E258" s="117"/>
      <c r="F258" s="117"/>
      <c r="G258" s="117"/>
    </row>
    <row r="259">
      <c r="B259" s="117"/>
      <c r="C259" s="117"/>
      <c r="D259" s="117"/>
      <c r="E259" s="117"/>
      <c r="F259" s="117"/>
      <c r="G259" s="117"/>
    </row>
    <row r="260">
      <c r="B260" s="117"/>
      <c r="C260" s="117"/>
      <c r="D260" s="117"/>
      <c r="E260" s="117"/>
      <c r="F260" s="117"/>
      <c r="G260" s="117"/>
    </row>
    <row r="261">
      <c r="B261" s="117"/>
      <c r="C261" s="117"/>
      <c r="D261" s="117"/>
      <c r="E261" s="117"/>
      <c r="F261" s="117"/>
      <c r="G261" s="117"/>
    </row>
    <row r="262">
      <c r="B262" s="117"/>
      <c r="C262" s="117"/>
      <c r="D262" s="117"/>
      <c r="E262" s="117"/>
      <c r="F262" s="117"/>
      <c r="G262" s="117"/>
    </row>
    <row r="263">
      <c r="B263" s="117"/>
      <c r="C263" s="117"/>
      <c r="D263" s="117"/>
      <c r="E263" s="117"/>
      <c r="F263" s="117"/>
      <c r="G263" s="117"/>
    </row>
    <row r="264">
      <c r="B264" s="117"/>
      <c r="C264" s="117"/>
      <c r="D264" s="117"/>
      <c r="E264" s="117"/>
      <c r="F264" s="117"/>
      <c r="G264" s="117"/>
    </row>
    <row r="265">
      <c r="B265" s="117"/>
      <c r="C265" s="117"/>
      <c r="D265" s="117"/>
      <c r="E265" s="117"/>
      <c r="F265" s="117"/>
      <c r="G265" s="117"/>
    </row>
    <row r="266">
      <c r="B266" s="117"/>
      <c r="C266" s="117"/>
      <c r="D266" s="117"/>
      <c r="E266" s="117"/>
      <c r="F266" s="117"/>
      <c r="G266" s="117"/>
    </row>
    <row r="267">
      <c r="B267" s="117"/>
      <c r="C267" s="117"/>
      <c r="D267" s="117"/>
      <c r="E267" s="117"/>
      <c r="F267" s="117"/>
      <c r="G267" s="117"/>
    </row>
    <row r="268">
      <c r="B268" s="117"/>
      <c r="C268" s="117"/>
      <c r="D268" s="117"/>
      <c r="E268" s="117"/>
      <c r="F268" s="117"/>
      <c r="G268" s="117"/>
    </row>
    <row r="269">
      <c r="B269" s="117"/>
      <c r="C269" s="117"/>
      <c r="D269" s="117"/>
      <c r="E269" s="117"/>
      <c r="F269" s="117"/>
      <c r="G269" s="117"/>
    </row>
    <row r="270">
      <c r="B270" s="117"/>
      <c r="C270" s="117"/>
      <c r="D270" s="117"/>
      <c r="E270" s="117"/>
      <c r="F270" s="117"/>
      <c r="G270" s="117"/>
    </row>
    <row r="271">
      <c r="B271" s="117"/>
      <c r="C271" s="117"/>
      <c r="D271" s="117"/>
      <c r="E271" s="117"/>
      <c r="F271" s="117"/>
      <c r="G271" s="117"/>
    </row>
    <row r="272">
      <c r="B272" s="117"/>
      <c r="C272" s="117"/>
      <c r="D272" s="117"/>
      <c r="E272" s="117"/>
      <c r="F272" s="117"/>
      <c r="G272" s="117"/>
    </row>
    <row r="273">
      <c r="B273" s="117"/>
      <c r="C273" s="117"/>
      <c r="D273" s="117"/>
      <c r="E273" s="117"/>
      <c r="F273" s="117"/>
      <c r="G273" s="117"/>
    </row>
    <row r="274">
      <c r="B274" s="117"/>
      <c r="C274" s="117"/>
      <c r="D274" s="117"/>
      <c r="E274" s="117"/>
      <c r="F274" s="117"/>
      <c r="G274" s="117"/>
    </row>
    <row r="275">
      <c r="B275" s="117"/>
      <c r="C275" s="117"/>
      <c r="D275" s="117"/>
      <c r="E275" s="117"/>
      <c r="F275" s="117"/>
      <c r="G275" s="117"/>
    </row>
    <row r="276">
      <c r="B276" s="117"/>
      <c r="C276" s="117"/>
      <c r="D276" s="117"/>
      <c r="E276" s="117"/>
      <c r="F276" s="117"/>
      <c r="G276" s="117"/>
    </row>
    <row r="277">
      <c r="B277" s="117"/>
      <c r="C277" s="117"/>
      <c r="D277" s="117"/>
      <c r="E277" s="117"/>
      <c r="F277" s="117"/>
      <c r="G277" s="117"/>
    </row>
    <row r="278">
      <c r="B278" s="117"/>
      <c r="C278" s="117"/>
      <c r="D278" s="117"/>
      <c r="E278" s="117"/>
      <c r="F278" s="117"/>
      <c r="G278" s="117"/>
    </row>
    <row r="279">
      <c r="B279" s="117"/>
      <c r="C279" s="117"/>
      <c r="D279" s="117"/>
      <c r="E279" s="117"/>
      <c r="F279" s="117"/>
      <c r="G279" s="117"/>
    </row>
    <row r="280">
      <c r="B280" s="117"/>
      <c r="C280" s="117"/>
      <c r="D280" s="117"/>
      <c r="E280" s="117"/>
      <c r="F280" s="117"/>
      <c r="G280" s="117"/>
    </row>
    <row r="281">
      <c r="B281" s="117"/>
      <c r="C281" s="117"/>
      <c r="D281" s="117"/>
      <c r="E281" s="117"/>
      <c r="F281" s="117"/>
      <c r="G281" s="117"/>
    </row>
    <row r="282">
      <c r="B282" s="117"/>
      <c r="C282" s="117"/>
      <c r="D282" s="117"/>
      <c r="E282" s="117"/>
      <c r="F282" s="117"/>
      <c r="G282" s="117"/>
    </row>
    <row r="283">
      <c r="B283" s="117"/>
      <c r="C283" s="117"/>
      <c r="D283" s="117"/>
      <c r="E283" s="117"/>
      <c r="F283" s="117"/>
      <c r="G283" s="117"/>
    </row>
    <row r="284">
      <c r="B284" s="117"/>
      <c r="C284" s="117"/>
      <c r="D284" s="117"/>
      <c r="E284" s="117"/>
      <c r="F284" s="117"/>
      <c r="G284" s="117"/>
    </row>
    <row r="285">
      <c r="B285" s="117"/>
      <c r="C285" s="117"/>
      <c r="D285" s="117"/>
      <c r="E285" s="117"/>
      <c r="F285" s="117"/>
      <c r="G285" s="117"/>
    </row>
    <row r="286">
      <c r="B286" s="117"/>
      <c r="C286" s="117"/>
      <c r="D286" s="117"/>
      <c r="E286" s="117"/>
      <c r="F286" s="117"/>
      <c r="G286" s="117"/>
    </row>
    <row r="287">
      <c r="B287" s="117"/>
      <c r="C287" s="117"/>
      <c r="D287" s="117"/>
      <c r="E287" s="117"/>
      <c r="F287" s="117"/>
      <c r="G287" s="117"/>
    </row>
    <row r="288">
      <c r="B288" s="117"/>
      <c r="C288" s="117"/>
      <c r="D288" s="117"/>
      <c r="E288" s="117"/>
      <c r="F288" s="117"/>
      <c r="G288" s="117"/>
    </row>
    <row r="289">
      <c r="B289" s="117"/>
      <c r="C289" s="117"/>
      <c r="D289" s="117"/>
      <c r="E289" s="117"/>
      <c r="F289" s="117"/>
      <c r="G289" s="117"/>
    </row>
    <row r="290">
      <c r="B290" s="117"/>
      <c r="C290" s="117"/>
      <c r="D290" s="117"/>
      <c r="E290" s="117"/>
      <c r="F290" s="117"/>
      <c r="G290" s="117"/>
    </row>
    <row r="291">
      <c r="B291" s="117"/>
      <c r="C291" s="117"/>
      <c r="D291" s="117"/>
      <c r="E291" s="117"/>
      <c r="F291" s="117"/>
      <c r="G291" s="117"/>
    </row>
    <row r="292">
      <c r="B292" s="117"/>
      <c r="C292" s="117"/>
      <c r="D292" s="117"/>
      <c r="E292" s="117"/>
      <c r="F292" s="117"/>
      <c r="G292" s="117"/>
    </row>
    <row r="293">
      <c r="B293" s="117"/>
      <c r="C293" s="117"/>
      <c r="D293" s="117"/>
      <c r="E293" s="117"/>
      <c r="F293" s="117"/>
      <c r="G293" s="117"/>
    </row>
    <row r="294">
      <c r="B294" s="117"/>
      <c r="C294" s="117"/>
      <c r="D294" s="117"/>
      <c r="E294" s="117"/>
      <c r="F294" s="117"/>
      <c r="G294" s="117"/>
    </row>
    <row r="295">
      <c r="B295" s="117"/>
      <c r="C295" s="117"/>
      <c r="D295" s="117"/>
      <c r="E295" s="117"/>
      <c r="F295" s="117"/>
      <c r="G295" s="117"/>
    </row>
    <row r="296">
      <c r="B296" s="117"/>
      <c r="C296" s="117"/>
      <c r="D296" s="117"/>
      <c r="E296" s="117"/>
      <c r="F296" s="117"/>
      <c r="G296" s="117"/>
    </row>
    <row r="297">
      <c r="B297" s="117"/>
      <c r="C297" s="117"/>
      <c r="D297" s="117"/>
      <c r="E297" s="117"/>
      <c r="F297" s="117"/>
      <c r="G297" s="117"/>
    </row>
    <row r="298">
      <c r="B298" s="117"/>
      <c r="C298" s="117"/>
      <c r="D298" s="117"/>
      <c r="E298" s="117"/>
      <c r="F298" s="117"/>
      <c r="G298" s="117"/>
    </row>
    <row r="299">
      <c r="B299" s="117"/>
      <c r="C299" s="117"/>
      <c r="D299" s="117"/>
      <c r="E299" s="117"/>
      <c r="F299" s="117"/>
      <c r="G299" s="117"/>
    </row>
    <row r="300">
      <c r="B300" s="117"/>
      <c r="C300" s="117"/>
      <c r="D300" s="117"/>
      <c r="E300" s="117"/>
      <c r="F300" s="117"/>
      <c r="G300" s="117"/>
    </row>
    <row r="301">
      <c r="B301" s="117"/>
      <c r="C301" s="117"/>
      <c r="D301" s="117"/>
      <c r="E301" s="117"/>
      <c r="F301" s="117"/>
      <c r="G301" s="117"/>
    </row>
    <row r="302">
      <c r="B302" s="117"/>
      <c r="C302" s="117"/>
      <c r="D302" s="117"/>
      <c r="E302" s="117"/>
      <c r="F302" s="117"/>
      <c r="G302" s="117"/>
    </row>
    <row r="303">
      <c r="B303" s="117"/>
      <c r="C303" s="117"/>
      <c r="D303" s="117"/>
      <c r="E303" s="117"/>
      <c r="F303" s="117"/>
      <c r="G303" s="117"/>
    </row>
    <row r="304">
      <c r="B304" s="117"/>
      <c r="C304" s="117"/>
      <c r="D304" s="117"/>
      <c r="E304" s="117"/>
      <c r="F304" s="117"/>
      <c r="G304" s="117"/>
    </row>
    <row r="305">
      <c r="B305" s="117"/>
      <c r="C305" s="117"/>
      <c r="D305" s="117"/>
      <c r="E305" s="117"/>
      <c r="F305" s="117"/>
      <c r="G305" s="117"/>
    </row>
    <row r="306">
      <c r="B306" s="117"/>
      <c r="C306" s="117"/>
      <c r="D306" s="117"/>
      <c r="E306" s="117"/>
      <c r="F306" s="117"/>
      <c r="G306" s="117"/>
    </row>
    <row r="307">
      <c r="B307" s="117"/>
      <c r="C307" s="117"/>
      <c r="D307" s="117"/>
      <c r="E307" s="117"/>
      <c r="F307" s="117"/>
      <c r="G307" s="117"/>
    </row>
    <row r="308">
      <c r="B308" s="117"/>
      <c r="C308" s="117"/>
      <c r="D308" s="117"/>
      <c r="E308" s="117"/>
      <c r="F308" s="117"/>
      <c r="G308" s="117"/>
    </row>
    <row r="309">
      <c r="B309" s="117"/>
      <c r="C309" s="117"/>
      <c r="D309" s="117"/>
      <c r="E309" s="117"/>
      <c r="F309" s="117"/>
      <c r="G309" s="117"/>
    </row>
    <row r="310">
      <c r="B310" s="117"/>
      <c r="C310" s="117"/>
      <c r="D310" s="117"/>
      <c r="E310" s="117"/>
      <c r="F310" s="117"/>
      <c r="G310" s="117"/>
    </row>
    <row r="311">
      <c r="B311" s="117"/>
      <c r="C311" s="117"/>
      <c r="D311" s="117"/>
      <c r="E311" s="117"/>
      <c r="F311" s="117"/>
      <c r="G311" s="117"/>
    </row>
    <row r="312">
      <c r="B312" s="117"/>
      <c r="C312" s="117"/>
      <c r="D312" s="117"/>
      <c r="E312" s="117"/>
      <c r="F312" s="117"/>
      <c r="G312" s="117"/>
    </row>
    <row r="313">
      <c r="B313" s="117"/>
      <c r="C313" s="117"/>
      <c r="D313" s="117"/>
      <c r="E313" s="117"/>
      <c r="F313" s="117"/>
      <c r="G313" s="117"/>
    </row>
    <row r="314">
      <c r="B314" s="117"/>
      <c r="C314" s="117"/>
      <c r="D314" s="117"/>
      <c r="E314" s="117"/>
      <c r="F314" s="117"/>
      <c r="G314" s="117"/>
    </row>
    <row r="315">
      <c r="B315" s="117"/>
      <c r="C315" s="117"/>
      <c r="D315" s="117"/>
      <c r="E315" s="117"/>
      <c r="F315" s="117"/>
      <c r="G315" s="117"/>
    </row>
    <row r="316">
      <c r="B316" s="117"/>
      <c r="C316" s="117"/>
      <c r="D316" s="117"/>
      <c r="E316" s="117"/>
      <c r="F316" s="117"/>
      <c r="G316" s="117"/>
    </row>
    <row r="317">
      <c r="B317" s="117"/>
      <c r="C317" s="117"/>
      <c r="D317" s="117"/>
      <c r="E317" s="117"/>
      <c r="F317" s="117"/>
      <c r="G317" s="117"/>
    </row>
    <row r="318">
      <c r="B318" s="117"/>
      <c r="C318" s="117"/>
      <c r="D318" s="117"/>
      <c r="E318" s="117"/>
      <c r="F318" s="117"/>
      <c r="G318" s="117"/>
    </row>
    <row r="319">
      <c r="B319" s="117"/>
      <c r="C319" s="117"/>
      <c r="D319" s="117"/>
      <c r="E319" s="117"/>
      <c r="F319" s="117"/>
      <c r="G319" s="117"/>
    </row>
    <row r="320">
      <c r="B320" s="117"/>
      <c r="C320" s="117"/>
      <c r="D320" s="117"/>
      <c r="E320" s="117"/>
      <c r="F320" s="117"/>
      <c r="G320" s="117"/>
    </row>
    <row r="321">
      <c r="B321" s="117"/>
      <c r="C321" s="117"/>
      <c r="D321" s="117"/>
      <c r="E321" s="117"/>
      <c r="F321" s="117"/>
      <c r="G321" s="117"/>
    </row>
    <row r="322">
      <c r="B322" s="117"/>
      <c r="C322" s="117"/>
      <c r="D322" s="117"/>
      <c r="E322" s="117"/>
      <c r="F322" s="117"/>
      <c r="G322" s="117"/>
    </row>
    <row r="323">
      <c r="B323" s="117"/>
      <c r="C323" s="117"/>
      <c r="D323" s="117"/>
      <c r="E323" s="117"/>
      <c r="F323" s="117"/>
      <c r="G323" s="117"/>
    </row>
    <row r="324">
      <c r="B324" s="117"/>
      <c r="C324" s="117"/>
      <c r="D324" s="117"/>
      <c r="E324" s="117"/>
      <c r="F324" s="117"/>
      <c r="G324" s="117"/>
    </row>
    <row r="325">
      <c r="B325" s="117"/>
      <c r="C325" s="117"/>
      <c r="D325" s="117"/>
      <c r="E325" s="117"/>
      <c r="F325" s="117"/>
      <c r="G325" s="117"/>
    </row>
    <row r="326">
      <c r="B326" s="117"/>
      <c r="C326" s="117"/>
      <c r="D326" s="117"/>
      <c r="E326" s="117"/>
      <c r="F326" s="117"/>
      <c r="G326" s="117"/>
    </row>
    <row r="327">
      <c r="B327" s="117"/>
      <c r="C327" s="117"/>
      <c r="D327" s="117"/>
      <c r="E327" s="117"/>
      <c r="F327" s="117"/>
      <c r="G327" s="117"/>
    </row>
    <row r="328">
      <c r="B328" s="117"/>
      <c r="C328" s="117"/>
      <c r="D328" s="117"/>
      <c r="E328" s="117"/>
      <c r="F328" s="117"/>
      <c r="G328" s="117"/>
    </row>
    <row r="329">
      <c r="B329" s="117"/>
      <c r="C329" s="117"/>
      <c r="D329" s="117"/>
      <c r="E329" s="117"/>
      <c r="F329" s="117"/>
      <c r="G329" s="117"/>
    </row>
    <row r="330">
      <c r="B330" s="117"/>
      <c r="C330" s="117"/>
      <c r="D330" s="117"/>
      <c r="E330" s="117"/>
      <c r="F330" s="117"/>
      <c r="G330" s="117"/>
    </row>
    <row r="331">
      <c r="B331" s="117"/>
      <c r="C331" s="117"/>
      <c r="D331" s="117"/>
      <c r="E331" s="117"/>
      <c r="F331" s="117"/>
      <c r="G331" s="117"/>
    </row>
    <row r="332">
      <c r="B332" s="117"/>
      <c r="C332" s="117"/>
      <c r="D332" s="117"/>
      <c r="E332" s="117"/>
      <c r="F332" s="117"/>
      <c r="G332" s="117"/>
    </row>
    <row r="333">
      <c r="B333" s="117"/>
      <c r="C333" s="117"/>
      <c r="D333" s="117"/>
      <c r="E333" s="117"/>
      <c r="F333" s="117"/>
      <c r="G333" s="117"/>
    </row>
    <row r="334">
      <c r="B334" s="117"/>
      <c r="C334" s="117"/>
      <c r="D334" s="117"/>
      <c r="E334" s="117"/>
      <c r="F334" s="117"/>
      <c r="G334" s="117"/>
    </row>
    <row r="335">
      <c r="B335" s="117"/>
      <c r="C335" s="117"/>
      <c r="D335" s="117"/>
      <c r="E335" s="117"/>
      <c r="F335" s="117"/>
      <c r="G335" s="117"/>
    </row>
    <row r="336">
      <c r="B336" s="117"/>
      <c r="C336" s="117"/>
      <c r="D336" s="117"/>
      <c r="E336" s="117"/>
      <c r="F336" s="117"/>
      <c r="G336" s="117"/>
    </row>
    <row r="337">
      <c r="B337" s="117"/>
      <c r="C337" s="117"/>
      <c r="D337" s="117"/>
      <c r="E337" s="117"/>
      <c r="F337" s="117"/>
      <c r="G337" s="117"/>
    </row>
    <row r="338">
      <c r="B338" s="117"/>
      <c r="C338" s="117"/>
      <c r="D338" s="117"/>
      <c r="E338" s="117"/>
      <c r="F338" s="117"/>
      <c r="G338" s="117"/>
    </row>
    <row r="339">
      <c r="B339" s="117"/>
      <c r="C339" s="117"/>
      <c r="D339" s="117"/>
      <c r="E339" s="117"/>
      <c r="F339" s="117"/>
      <c r="G339" s="117"/>
    </row>
    <row r="340">
      <c r="B340" s="117"/>
      <c r="C340" s="117"/>
      <c r="D340" s="117"/>
      <c r="E340" s="117"/>
      <c r="F340" s="117"/>
      <c r="G340" s="117"/>
    </row>
    <row r="341">
      <c r="B341" s="117"/>
      <c r="C341" s="117"/>
      <c r="D341" s="117"/>
      <c r="E341" s="117"/>
      <c r="F341" s="117"/>
      <c r="G341" s="117"/>
    </row>
    <row r="342">
      <c r="B342" s="117"/>
      <c r="C342" s="117"/>
      <c r="D342" s="117"/>
      <c r="E342" s="117"/>
      <c r="F342" s="117"/>
      <c r="G342" s="117"/>
    </row>
    <row r="343">
      <c r="B343" s="117"/>
      <c r="C343" s="117"/>
      <c r="D343" s="117"/>
      <c r="E343" s="117"/>
      <c r="F343" s="117"/>
      <c r="G343" s="117"/>
    </row>
    <row r="344">
      <c r="B344" s="117"/>
      <c r="C344" s="117"/>
      <c r="D344" s="117"/>
      <c r="E344" s="117"/>
      <c r="F344" s="117"/>
      <c r="G344" s="117"/>
    </row>
    <row r="345">
      <c r="B345" s="117"/>
      <c r="C345" s="117"/>
      <c r="D345" s="117"/>
      <c r="E345" s="117"/>
      <c r="F345" s="117"/>
      <c r="G345" s="117"/>
    </row>
    <row r="346">
      <c r="B346" s="117"/>
      <c r="C346" s="117"/>
      <c r="D346" s="117"/>
      <c r="E346" s="117"/>
      <c r="F346" s="117"/>
      <c r="G346" s="117"/>
    </row>
    <row r="347">
      <c r="B347" s="117"/>
      <c r="C347" s="117"/>
      <c r="D347" s="117"/>
      <c r="E347" s="117"/>
      <c r="F347" s="117"/>
      <c r="G347" s="117"/>
    </row>
    <row r="348">
      <c r="B348" s="117"/>
      <c r="C348" s="117"/>
      <c r="D348" s="117"/>
      <c r="E348" s="117"/>
      <c r="F348" s="117"/>
      <c r="G348" s="117"/>
    </row>
    <row r="349">
      <c r="B349" s="117"/>
      <c r="C349" s="117"/>
      <c r="D349" s="117"/>
      <c r="E349" s="117"/>
      <c r="F349" s="117"/>
      <c r="G349" s="117"/>
    </row>
    <row r="350">
      <c r="B350" s="117"/>
      <c r="C350" s="117"/>
      <c r="D350" s="117"/>
      <c r="E350" s="117"/>
      <c r="F350" s="117"/>
      <c r="G350" s="117"/>
    </row>
    <row r="351">
      <c r="B351" s="117"/>
      <c r="C351" s="117"/>
      <c r="D351" s="117"/>
      <c r="E351" s="117"/>
      <c r="F351" s="117"/>
      <c r="G351" s="117"/>
    </row>
    <row r="352">
      <c r="B352" s="117"/>
      <c r="C352" s="117"/>
      <c r="D352" s="117"/>
      <c r="E352" s="117"/>
      <c r="F352" s="117"/>
      <c r="G352" s="117"/>
    </row>
    <row r="353">
      <c r="B353" s="117"/>
      <c r="C353" s="117"/>
      <c r="D353" s="117"/>
      <c r="E353" s="117"/>
      <c r="F353" s="117"/>
      <c r="G353" s="117"/>
    </row>
    <row r="354">
      <c r="B354" s="117"/>
      <c r="C354" s="117"/>
      <c r="D354" s="117"/>
      <c r="E354" s="117"/>
      <c r="F354" s="117"/>
      <c r="G354" s="117"/>
    </row>
    <row r="355">
      <c r="B355" s="117"/>
      <c r="C355" s="117"/>
      <c r="D355" s="117"/>
      <c r="E355" s="117"/>
      <c r="F355" s="117"/>
      <c r="G355" s="117"/>
    </row>
    <row r="356">
      <c r="B356" s="117"/>
      <c r="C356" s="117"/>
      <c r="D356" s="117"/>
      <c r="E356" s="117"/>
      <c r="F356" s="117"/>
      <c r="G356" s="117"/>
    </row>
    <row r="357">
      <c r="B357" s="117"/>
      <c r="C357" s="117"/>
      <c r="D357" s="117"/>
      <c r="E357" s="117"/>
      <c r="F357" s="117"/>
      <c r="G357" s="117"/>
    </row>
    <row r="358">
      <c r="B358" s="117"/>
      <c r="C358" s="117"/>
      <c r="D358" s="117"/>
      <c r="E358" s="117"/>
      <c r="F358" s="117"/>
      <c r="G358" s="117"/>
    </row>
    <row r="359">
      <c r="B359" s="117"/>
      <c r="C359" s="117"/>
      <c r="D359" s="117"/>
      <c r="E359" s="117"/>
      <c r="F359" s="117"/>
      <c r="G359" s="117"/>
    </row>
    <row r="360">
      <c r="B360" s="117"/>
      <c r="C360" s="117"/>
      <c r="D360" s="117"/>
      <c r="E360" s="117"/>
      <c r="F360" s="117"/>
      <c r="G360" s="117"/>
    </row>
    <row r="361">
      <c r="B361" s="117"/>
      <c r="C361" s="117"/>
      <c r="D361" s="117"/>
      <c r="E361" s="117"/>
      <c r="F361" s="117"/>
      <c r="G361" s="117"/>
    </row>
    <row r="362">
      <c r="B362" s="117"/>
      <c r="C362" s="117"/>
      <c r="D362" s="117"/>
      <c r="E362" s="117"/>
      <c r="F362" s="117"/>
      <c r="G362" s="117"/>
    </row>
    <row r="363">
      <c r="B363" s="117"/>
      <c r="C363" s="117"/>
      <c r="D363" s="117"/>
      <c r="E363" s="117"/>
      <c r="F363" s="117"/>
      <c r="G363" s="117"/>
    </row>
    <row r="364">
      <c r="B364" s="117"/>
      <c r="C364" s="117"/>
      <c r="D364" s="117"/>
      <c r="E364" s="117"/>
      <c r="F364" s="117"/>
      <c r="G364" s="117"/>
    </row>
    <row r="365">
      <c r="B365" s="117"/>
      <c r="C365" s="117"/>
      <c r="D365" s="117"/>
      <c r="E365" s="117"/>
      <c r="F365" s="117"/>
      <c r="G365" s="117"/>
    </row>
    <row r="366">
      <c r="B366" s="117"/>
      <c r="C366" s="117"/>
      <c r="D366" s="117"/>
      <c r="E366" s="117"/>
      <c r="F366" s="117"/>
      <c r="G366" s="117"/>
    </row>
    <row r="367">
      <c r="B367" s="117"/>
      <c r="C367" s="117"/>
      <c r="D367" s="117"/>
      <c r="E367" s="117"/>
      <c r="F367" s="117"/>
      <c r="G367" s="117"/>
    </row>
    <row r="368">
      <c r="B368" s="117"/>
      <c r="C368" s="117"/>
      <c r="D368" s="117"/>
      <c r="E368" s="117"/>
      <c r="F368" s="117"/>
      <c r="G368" s="117"/>
    </row>
    <row r="369">
      <c r="B369" s="117"/>
      <c r="C369" s="117"/>
      <c r="D369" s="117"/>
      <c r="E369" s="117"/>
      <c r="F369" s="117"/>
      <c r="G369" s="117"/>
    </row>
    <row r="370">
      <c r="B370" s="117"/>
      <c r="C370" s="117"/>
      <c r="D370" s="117"/>
      <c r="E370" s="117"/>
      <c r="F370" s="117"/>
      <c r="G370" s="117"/>
    </row>
    <row r="371">
      <c r="B371" s="117"/>
      <c r="C371" s="117"/>
      <c r="D371" s="117"/>
      <c r="E371" s="117"/>
      <c r="F371" s="117"/>
      <c r="G371" s="117"/>
    </row>
    <row r="372">
      <c r="B372" s="117"/>
      <c r="C372" s="117"/>
      <c r="D372" s="117"/>
      <c r="E372" s="117"/>
      <c r="F372" s="117"/>
      <c r="G372" s="117"/>
    </row>
    <row r="373">
      <c r="B373" s="117"/>
      <c r="C373" s="117"/>
      <c r="D373" s="117"/>
      <c r="E373" s="117"/>
      <c r="F373" s="117"/>
      <c r="G373" s="117"/>
    </row>
    <row r="374">
      <c r="B374" s="117"/>
      <c r="C374" s="117"/>
      <c r="D374" s="117"/>
      <c r="E374" s="117"/>
      <c r="F374" s="117"/>
      <c r="G374" s="117"/>
    </row>
    <row r="375">
      <c r="B375" s="117"/>
      <c r="C375" s="117"/>
      <c r="D375" s="117"/>
      <c r="E375" s="117"/>
      <c r="F375" s="117"/>
      <c r="G375" s="117"/>
    </row>
    <row r="376">
      <c r="B376" s="117"/>
      <c r="C376" s="117"/>
      <c r="D376" s="117"/>
      <c r="E376" s="117"/>
      <c r="F376" s="117"/>
      <c r="G376" s="117"/>
    </row>
    <row r="377">
      <c r="B377" s="117"/>
      <c r="C377" s="117"/>
      <c r="D377" s="117"/>
      <c r="E377" s="117"/>
      <c r="F377" s="117"/>
      <c r="G377" s="117"/>
    </row>
    <row r="378">
      <c r="B378" s="117"/>
      <c r="C378" s="117"/>
      <c r="D378" s="117"/>
      <c r="E378" s="117"/>
      <c r="F378" s="117"/>
      <c r="G378" s="117"/>
    </row>
    <row r="379">
      <c r="B379" s="117"/>
      <c r="C379" s="117"/>
      <c r="D379" s="117"/>
      <c r="E379" s="117"/>
      <c r="F379" s="117"/>
      <c r="G379" s="117"/>
    </row>
    <row r="380">
      <c r="B380" s="117"/>
      <c r="C380" s="117"/>
      <c r="D380" s="117"/>
      <c r="E380" s="117"/>
      <c r="F380" s="117"/>
      <c r="G380" s="117"/>
    </row>
    <row r="381">
      <c r="B381" s="117"/>
      <c r="C381" s="117"/>
      <c r="D381" s="117"/>
      <c r="E381" s="117"/>
      <c r="F381" s="117"/>
      <c r="G381" s="117"/>
    </row>
    <row r="382">
      <c r="B382" s="117"/>
      <c r="C382" s="117"/>
      <c r="D382" s="117"/>
      <c r="E382" s="117"/>
      <c r="F382" s="117"/>
      <c r="G382" s="117"/>
    </row>
    <row r="383">
      <c r="B383" s="117"/>
      <c r="C383" s="117"/>
      <c r="D383" s="117"/>
      <c r="E383" s="117"/>
      <c r="F383" s="117"/>
      <c r="G383" s="117"/>
    </row>
    <row r="384">
      <c r="B384" s="117"/>
      <c r="C384" s="117"/>
      <c r="D384" s="117"/>
      <c r="E384" s="117"/>
      <c r="F384" s="117"/>
      <c r="G384" s="117"/>
    </row>
    <row r="385">
      <c r="B385" s="117"/>
      <c r="C385" s="117"/>
      <c r="D385" s="117"/>
      <c r="E385" s="117"/>
      <c r="F385" s="117"/>
      <c r="G385" s="117"/>
    </row>
    <row r="386">
      <c r="B386" s="117"/>
      <c r="C386" s="117"/>
      <c r="D386" s="117"/>
      <c r="E386" s="117"/>
      <c r="F386" s="117"/>
      <c r="G386" s="117"/>
    </row>
    <row r="387">
      <c r="B387" s="117"/>
      <c r="C387" s="117"/>
      <c r="D387" s="117"/>
      <c r="E387" s="117"/>
      <c r="F387" s="117"/>
      <c r="G387" s="117"/>
    </row>
    <row r="388">
      <c r="B388" s="117"/>
      <c r="C388" s="117"/>
      <c r="D388" s="117"/>
      <c r="E388" s="117"/>
      <c r="F388" s="117"/>
      <c r="G388" s="117"/>
    </row>
    <row r="389">
      <c r="B389" s="117"/>
      <c r="C389" s="117"/>
      <c r="D389" s="117"/>
      <c r="E389" s="117"/>
      <c r="F389" s="117"/>
      <c r="G389" s="117"/>
    </row>
    <row r="390">
      <c r="B390" s="117"/>
      <c r="C390" s="117"/>
      <c r="D390" s="117"/>
      <c r="E390" s="117"/>
      <c r="F390" s="117"/>
      <c r="G390" s="117"/>
    </row>
    <row r="391">
      <c r="B391" s="117"/>
      <c r="C391" s="117"/>
      <c r="D391" s="117"/>
      <c r="E391" s="117"/>
      <c r="F391" s="117"/>
      <c r="G391" s="117"/>
    </row>
    <row r="392">
      <c r="B392" s="117"/>
      <c r="C392" s="117"/>
      <c r="D392" s="117"/>
      <c r="E392" s="117"/>
      <c r="F392" s="117"/>
      <c r="G392" s="117"/>
    </row>
    <row r="393">
      <c r="B393" s="117"/>
      <c r="C393" s="117"/>
      <c r="D393" s="117"/>
      <c r="E393" s="117"/>
      <c r="F393" s="117"/>
      <c r="G393" s="117"/>
    </row>
    <row r="394">
      <c r="B394" s="117"/>
      <c r="C394" s="117"/>
      <c r="D394" s="117"/>
      <c r="E394" s="117"/>
      <c r="F394" s="117"/>
      <c r="G394" s="117"/>
    </row>
    <row r="395">
      <c r="B395" s="117"/>
      <c r="C395" s="117"/>
      <c r="D395" s="117"/>
      <c r="E395" s="117"/>
      <c r="F395" s="117"/>
      <c r="G395" s="117"/>
    </row>
    <row r="396">
      <c r="B396" s="117"/>
      <c r="C396" s="117"/>
      <c r="D396" s="117"/>
      <c r="E396" s="117"/>
      <c r="F396" s="117"/>
      <c r="G396" s="117"/>
    </row>
    <row r="397">
      <c r="B397" s="117"/>
      <c r="C397" s="117"/>
      <c r="D397" s="117"/>
      <c r="E397" s="117"/>
      <c r="F397" s="117"/>
      <c r="G397" s="117"/>
    </row>
    <row r="398">
      <c r="B398" s="117"/>
      <c r="C398" s="117"/>
      <c r="D398" s="117"/>
      <c r="E398" s="117"/>
      <c r="F398" s="117"/>
      <c r="G398" s="117"/>
    </row>
    <row r="399">
      <c r="B399" s="117"/>
      <c r="C399" s="117"/>
      <c r="D399" s="117"/>
      <c r="E399" s="117"/>
      <c r="F399" s="117"/>
      <c r="G399" s="117"/>
    </row>
    <row r="400">
      <c r="B400" s="117"/>
      <c r="C400" s="117"/>
      <c r="D400" s="117"/>
      <c r="E400" s="117"/>
      <c r="F400" s="117"/>
      <c r="G400" s="117"/>
    </row>
    <row r="401">
      <c r="B401" s="117"/>
      <c r="C401" s="117"/>
      <c r="D401" s="117"/>
      <c r="E401" s="117"/>
      <c r="F401" s="117"/>
      <c r="G401" s="117"/>
    </row>
    <row r="402">
      <c r="B402" s="117"/>
      <c r="C402" s="117"/>
      <c r="D402" s="117"/>
      <c r="E402" s="117"/>
      <c r="F402" s="117"/>
      <c r="G402" s="117"/>
    </row>
    <row r="403">
      <c r="B403" s="117"/>
      <c r="C403" s="117"/>
      <c r="D403" s="117"/>
      <c r="E403" s="117"/>
      <c r="F403" s="117"/>
      <c r="G403" s="117"/>
    </row>
    <row r="404">
      <c r="B404" s="117"/>
      <c r="C404" s="117"/>
      <c r="D404" s="117"/>
      <c r="E404" s="117"/>
      <c r="F404" s="117"/>
      <c r="G404" s="117"/>
    </row>
    <row r="405">
      <c r="B405" s="117"/>
      <c r="C405" s="117"/>
      <c r="D405" s="117"/>
      <c r="E405" s="117"/>
      <c r="F405" s="117"/>
      <c r="G405" s="117"/>
    </row>
    <row r="406">
      <c r="B406" s="117"/>
      <c r="C406" s="117"/>
      <c r="D406" s="117"/>
      <c r="E406" s="117"/>
      <c r="F406" s="117"/>
      <c r="G406" s="117"/>
    </row>
    <row r="407">
      <c r="B407" s="117"/>
      <c r="C407" s="117"/>
      <c r="D407" s="117"/>
      <c r="E407" s="117"/>
      <c r="F407" s="117"/>
      <c r="G407" s="117"/>
    </row>
    <row r="408">
      <c r="B408" s="117"/>
      <c r="C408" s="117"/>
      <c r="D408" s="117"/>
      <c r="E408" s="117"/>
      <c r="F408" s="117"/>
      <c r="G408" s="117"/>
    </row>
    <row r="409">
      <c r="B409" s="117"/>
      <c r="C409" s="117"/>
      <c r="D409" s="117"/>
      <c r="E409" s="117"/>
      <c r="F409" s="117"/>
      <c r="G409" s="117"/>
    </row>
    <row r="410">
      <c r="B410" s="117"/>
      <c r="C410" s="117"/>
      <c r="D410" s="117"/>
      <c r="E410" s="117"/>
      <c r="F410" s="117"/>
      <c r="G410" s="117"/>
    </row>
    <row r="411">
      <c r="B411" s="117"/>
      <c r="C411" s="117"/>
      <c r="D411" s="117"/>
      <c r="E411" s="117"/>
      <c r="F411" s="117"/>
      <c r="G411" s="117"/>
    </row>
    <row r="412">
      <c r="B412" s="117"/>
      <c r="C412" s="117"/>
      <c r="D412" s="117"/>
      <c r="E412" s="117"/>
      <c r="F412" s="117"/>
      <c r="G412" s="117"/>
    </row>
    <row r="413">
      <c r="B413" s="117"/>
      <c r="C413" s="117"/>
      <c r="D413" s="117"/>
      <c r="E413" s="117"/>
      <c r="F413" s="117"/>
      <c r="G413" s="117"/>
    </row>
    <row r="414">
      <c r="B414" s="117"/>
      <c r="C414" s="117"/>
      <c r="D414" s="117"/>
      <c r="E414" s="117"/>
      <c r="F414" s="117"/>
      <c r="G414" s="117"/>
    </row>
    <row r="415">
      <c r="B415" s="117"/>
      <c r="C415" s="117"/>
      <c r="D415" s="117"/>
      <c r="E415" s="117"/>
      <c r="F415" s="117"/>
      <c r="G415" s="117"/>
    </row>
    <row r="416">
      <c r="B416" s="117"/>
      <c r="C416" s="117"/>
      <c r="D416" s="117"/>
      <c r="E416" s="117"/>
      <c r="F416" s="117"/>
      <c r="G416" s="117"/>
    </row>
    <row r="417">
      <c r="B417" s="117"/>
      <c r="C417" s="117"/>
      <c r="D417" s="117"/>
      <c r="E417" s="117"/>
      <c r="F417" s="117"/>
      <c r="G417" s="117"/>
    </row>
    <row r="418">
      <c r="B418" s="117"/>
      <c r="C418" s="117"/>
      <c r="D418" s="117"/>
      <c r="E418" s="117"/>
      <c r="F418" s="117"/>
      <c r="G418" s="117"/>
    </row>
    <row r="419">
      <c r="B419" s="117"/>
      <c r="C419" s="117"/>
      <c r="D419" s="117"/>
      <c r="E419" s="117"/>
      <c r="F419" s="117"/>
      <c r="G419" s="117"/>
    </row>
    <row r="420">
      <c r="B420" s="117"/>
      <c r="C420" s="117"/>
      <c r="D420" s="117"/>
      <c r="E420" s="117"/>
      <c r="F420" s="117"/>
      <c r="G420" s="117"/>
    </row>
    <row r="421">
      <c r="B421" s="117"/>
      <c r="C421" s="117"/>
      <c r="D421" s="117"/>
      <c r="E421" s="117"/>
      <c r="F421" s="117"/>
      <c r="G421" s="117"/>
    </row>
    <row r="422">
      <c r="B422" s="117"/>
      <c r="C422" s="117"/>
      <c r="D422" s="117"/>
      <c r="E422" s="117"/>
      <c r="F422" s="117"/>
      <c r="G422" s="117"/>
    </row>
    <row r="423">
      <c r="B423" s="117"/>
      <c r="C423" s="117"/>
      <c r="D423" s="117"/>
      <c r="E423" s="117"/>
      <c r="F423" s="117"/>
      <c r="G423" s="117"/>
    </row>
    <row r="424">
      <c r="B424" s="117"/>
      <c r="C424" s="117"/>
      <c r="D424" s="117"/>
      <c r="E424" s="117"/>
      <c r="F424" s="117"/>
      <c r="G424" s="117"/>
    </row>
    <row r="425">
      <c r="B425" s="117"/>
      <c r="C425" s="117"/>
      <c r="D425" s="117"/>
      <c r="E425" s="117"/>
      <c r="F425" s="117"/>
      <c r="G425" s="117"/>
    </row>
    <row r="426">
      <c r="B426" s="117"/>
      <c r="C426" s="117"/>
      <c r="D426" s="117"/>
      <c r="E426" s="117"/>
      <c r="F426" s="117"/>
      <c r="G426" s="117"/>
    </row>
    <row r="427">
      <c r="B427" s="117"/>
      <c r="C427" s="117"/>
      <c r="D427" s="117"/>
      <c r="E427" s="117"/>
      <c r="F427" s="117"/>
      <c r="G427" s="117"/>
    </row>
    <row r="428">
      <c r="B428" s="117"/>
      <c r="C428" s="117"/>
      <c r="D428" s="117"/>
      <c r="E428" s="117"/>
      <c r="F428" s="117"/>
      <c r="G428" s="117"/>
    </row>
    <row r="429">
      <c r="B429" s="117"/>
      <c r="C429" s="117"/>
      <c r="D429" s="117"/>
      <c r="E429" s="117"/>
      <c r="F429" s="117"/>
      <c r="G429" s="117"/>
    </row>
    <row r="430">
      <c r="B430" s="117"/>
      <c r="C430" s="117"/>
      <c r="D430" s="117"/>
      <c r="E430" s="117"/>
      <c r="F430" s="117"/>
      <c r="G430" s="117"/>
    </row>
    <row r="431">
      <c r="B431" s="117"/>
      <c r="C431" s="117"/>
      <c r="D431" s="117"/>
      <c r="E431" s="117"/>
      <c r="F431" s="117"/>
      <c r="G431" s="117"/>
    </row>
    <row r="432">
      <c r="B432" s="117"/>
      <c r="C432" s="117"/>
      <c r="D432" s="117"/>
      <c r="E432" s="117"/>
      <c r="F432" s="117"/>
      <c r="G432" s="117"/>
    </row>
    <row r="433">
      <c r="B433" s="117"/>
      <c r="C433" s="117"/>
      <c r="D433" s="117"/>
      <c r="E433" s="117"/>
      <c r="F433" s="117"/>
      <c r="G433" s="117"/>
    </row>
    <row r="434">
      <c r="B434" s="117"/>
      <c r="C434" s="117"/>
      <c r="D434" s="117"/>
      <c r="E434" s="117"/>
      <c r="F434" s="117"/>
      <c r="G434" s="117"/>
    </row>
    <row r="435">
      <c r="B435" s="117"/>
      <c r="C435" s="117"/>
      <c r="D435" s="117"/>
      <c r="E435" s="117"/>
      <c r="F435" s="117"/>
      <c r="G435" s="117"/>
    </row>
    <row r="436">
      <c r="B436" s="117"/>
      <c r="C436" s="117"/>
      <c r="D436" s="117"/>
      <c r="E436" s="117"/>
      <c r="F436" s="117"/>
      <c r="G436" s="117"/>
    </row>
    <row r="437">
      <c r="B437" s="117"/>
      <c r="C437" s="117"/>
      <c r="D437" s="117"/>
      <c r="E437" s="117"/>
      <c r="F437" s="117"/>
      <c r="G437" s="117"/>
    </row>
    <row r="438">
      <c r="B438" s="117"/>
      <c r="C438" s="117"/>
      <c r="D438" s="117"/>
      <c r="E438" s="117"/>
      <c r="F438" s="117"/>
      <c r="G438" s="117"/>
    </row>
    <row r="439">
      <c r="B439" s="117"/>
      <c r="C439" s="117"/>
      <c r="D439" s="117"/>
      <c r="E439" s="117"/>
      <c r="F439" s="117"/>
      <c r="G439" s="117"/>
    </row>
    <row r="440">
      <c r="B440" s="117"/>
      <c r="C440" s="117"/>
      <c r="D440" s="117"/>
      <c r="E440" s="117"/>
      <c r="F440" s="117"/>
      <c r="G440" s="117"/>
    </row>
    <row r="441">
      <c r="B441" s="117"/>
      <c r="C441" s="117"/>
      <c r="D441" s="117"/>
      <c r="E441" s="117"/>
      <c r="F441" s="117"/>
      <c r="G441" s="117"/>
    </row>
    <row r="442">
      <c r="B442" s="117"/>
      <c r="C442" s="117"/>
      <c r="D442" s="117"/>
      <c r="E442" s="117"/>
      <c r="F442" s="117"/>
      <c r="G442" s="117"/>
    </row>
    <row r="443">
      <c r="B443" s="117"/>
      <c r="C443" s="117"/>
      <c r="D443" s="117"/>
      <c r="E443" s="117"/>
      <c r="F443" s="117"/>
      <c r="G443" s="117"/>
    </row>
    <row r="444">
      <c r="B444" s="117"/>
      <c r="C444" s="117"/>
      <c r="D444" s="117"/>
      <c r="E444" s="117"/>
      <c r="F444" s="117"/>
      <c r="G444" s="117"/>
    </row>
    <row r="445">
      <c r="B445" s="117"/>
      <c r="C445" s="117"/>
      <c r="D445" s="117"/>
      <c r="E445" s="117"/>
      <c r="F445" s="117"/>
      <c r="G445" s="117"/>
    </row>
    <row r="446">
      <c r="B446" s="117"/>
      <c r="C446" s="117"/>
      <c r="D446" s="117"/>
      <c r="E446" s="117"/>
      <c r="F446" s="117"/>
      <c r="G446" s="117"/>
    </row>
    <row r="447">
      <c r="B447" s="117"/>
      <c r="C447" s="117"/>
      <c r="D447" s="117"/>
      <c r="E447" s="117"/>
      <c r="F447" s="117"/>
      <c r="G447" s="117"/>
    </row>
    <row r="448">
      <c r="B448" s="117"/>
      <c r="C448" s="117"/>
      <c r="D448" s="117"/>
      <c r="E448" s="117"/>
      <c r="F448" s="117"/>
      <c r="G448" s="117"/>
    </row>
    <row r="449">
      <c r="B449" s="117"/>
      <c r="C449" s="117"/>
      <c r="D449" s="117"/>
      <c r="E449" s="117"/>
      <c r="F449" s="117"/>
      <c r="G449" s="117"/>
    </row>
    <row r="450">
      <c r="B450" s="117"/>
      <c r="C450" s="117"/>
      <c r="D450" s="117"/>
      <c r="E450" s="117"/>
      <c r="F450" s="117"/>
      <c r="G450" s="117"/>
    </row>
    <row r="451">
      <c r="B451" s="117"/>
      <c r="C451" s="117"/>
      <c r="D451" s="117"/>
      <c r="E451" s="117"/>
      <c r="F451" s="117"/>
      <c r="G451" s="117"/>
    </row>
    <row r="452">
      <c r="B452" s="117"/>
      <c r="C452" s="117"/>
      <c r="D452" s="117"/>
      <c r="E452" s="117"/>
      <c r="F452" s="117"/>
      <c r="G452" s="117"/>
    </row>
    <row r="453">
      <c r="B453" s="117"/>
      <c r="C453" s="117"/>
      <c r="D453" s="117"/>
      <c r="E453" s="117"/>
      <c r="F453" s="117"/>
      <c r="G453" s="117"/>
    </row>
    <row r="454">
      <c r="B454" s="117"/>
      <c r="C454" s="117"/>
      <c r="D454" s="117"/>
      <c r="E454" s="117"/>
      <c r="F454" s="117"/>
      <c r="G454" s="117"/>
    </row>
    <row r="455">
      <c r="B455" s="117"/>
      <c r="C455" s="117"/>
      <c r="D455" s="117"/>
      <c r="E455" s="117"/>
      <c r="F455" s="117"/>
      <c r="G455" s="117"/>
    </row>
    <row r="456">
      <c r="B456" s="117"/>
      <c r="C456" s="117"/>
      <c r="D456" s="117"/>
      <c r="E456" s="117"/>
      <c r="F456" s="117"/>
      <c r="G456" s="117"/>
    </row>
    <row r="457">
      <c r="B457" s="117"/>
      <c r="C457" s="117"/>
      <c r="D457" s="117"/>
      <c r="E457" s="117"/>
      <c r="F457" s="117"/>
      <c r="G457" s="117"/>
    </row>
    <row r="458">
      <c r="B458" s="117"/>
      <c r="C458" s="117"/>
      <c r="D458" s="117"/>
      <c r="E458" s="117"/>
      <c r="F458" s="117"/>
      <c r="G458" s="117"/>
    </row>
    <row r="459">
      <c r="B459" s="117"/>
      <c r="C459" s="117"/>
      <c r="D459" s="117"/>
      <c r="E459" s="117"/>
      <c r="F459" s="117"/>
      <c r="G459" s="117"/>
    </row>
    <row r="460">
      <c r="B460" s="117"/>
      <c r="C460" s="117"/>
      <c r="D460" s="117"/>
      <c r="E460" s="117"/>
      <c r="F460" s="117"/>
      <c r="G460" s="117"/>
    </row>
    <row r="461">
      <c r="B461" s="117"/>
      <c r="C461" s="117"/>
      <c r="D461" s="117"/>
      <c r="E461" s="117"/>
      <c r="F461" s="117"/>
      <c r="G461" s="117"/>
    </row>
    <row r="462">
      <c r="B462" s="117"/>
      <c r="C462" s="117"/>
      <c r="D462" s="117"/>
      <c r="E462" s="117"/>
      <c r="F462" s="117"/>
      <c r="G462" s="117"/>
    </row>
    <row r="463">
      <c r="B463" s="117"/>
      <c r="C463" s="117"/>
      <c r="D463" s="117"/>
      <c r="E463" s="117"/>
      <c r="F463" s="117"/>
      <c r="G463" s="117"/>
    </row>
    <row r="464">
      <c r="B464" s="117"/>
      <c r="C464" s="117"/>
      <c r="D464" s="117"/>
      <c r="E464" s="117"/>
      <c r="F464" s="117"/>
      <c r="G464" s="117"/>
    </row>
    <row r="465">
      <c r="B465" s="117"/>
      <c r="C465" s="117"/>
      <c r="D465" s="117"/>
      <c r="E465" s="117"/>
      <c r="F465" s="117"/>
      <c r="G465" s="117"/>
    </row>
    <row r="466">
      <c r="B466" s="117"/>
      <c r="C466" s="117"/>
      <c r="D466" s="117"/>
      <c r="E466" s="117"/>
      <c r="F466" s="117"/>
      <c r="G466" s="117"/>
    </row>
    <row r="467">
      <c r="B467" s="117"/>
      <c r="C467" s="117"/>
      <c r="D467" s="117"/>
      <c r="E467" s="117"/>
      <c r="F467" s="117"/>
      <c r="G467" s="117"/>
    </row>
    <row r="468">
      <c r="B468" s="117"/>
      <c r="C468" s="117"/>
      <c r="D468" s="117"/>
      <c r="E468" s="117"/>
      <c r="F468" s="117"/>
      <c r="G468" s="117"/>
    </row>
    <row r="469">
      <c r="B469" s="117"/>
      <c r="C469" s="117"/>
      <c r="D469" s="117"/>
      <c r="E469" s="117"/>
      <c r="F469" s="117"/>
      <c r="G469" s="117"/>
    </row>
    <row r="470">
      <c r="B470" s="117"/>
      <c r="C470" s="117"/>
      <c r="D470" s="117"/>
      <c r="E470" s="117"/>
      <c r="F470" s="117"/>
      <c r="G470" s="117"/>
    </row>
    <row r="471">
      <c r="B471" s="117"/>
      <c r="C471" s="117"/>
      <c r="D471" s="117"/>
      <c r="E471" s="117"/>
      <c r="F471" s="117"/>
      <c r="G471" s="117"/>
    </row>
    <row r="472">
      <c r="B472" s="117"/>
      <c r="C472" s="117"/>
      <c r="D472" s="117"/>
      <c r="E472" s="117"/>
      <c r="F472" s="117"/>
      <c r="G472" s="117"/>
    </row>
    <row r="473">
      <c r="B473" s="117"/>
      <c r="C473" s="117"/>
      <c r="D473" s="117"/>
      <c r="E473" s="117"/>
      <c r="F473" s="117"/>
      <c r="G473" s="117"/>
    </row>
    <row r="474">
      <c r="B474" s="117"/>
      <c r="C474" s="117"/>
      <c r="D474" s="117"/>
      <c r="E474" s="117"/>
      <c r="F474" s="117"/>
      <c r="G474" s="117"/>
    </row>
    <row r="475">
      <c r="B475" s="117"/>
      <c r="C475" s="117"/>
      <c r="D475" s="117"/>
      <c r="E475" s="117"/>
      <c r="F475" s="117"/>
      <c r="G475" s="117"/>
    </row>
    <row r="476">
      <c r="B476" s="117"/>
      <c r="C476" s="117"/>
      <c r="D476" s="117"/>
      <c r="E476" s="117"/>
      <c r="F476" s="117"/>
      <c r="G476" s="117"/>
    </row>
    <row r="477">
      <c r="B477" s="117"/>
      <c r="C477" s="117"/>
      <c r="D477" s="117"/>
      <c r="E477" s="117"/>
      <c r="F477" s="117"/>
      <c r="G477" s="117"/>
    </row>
    <row r="478">
      <c r="B478" s="117"/>
      <c r="C478" s="117"/>
      <c r="D478" s="117"/>
      <c r="E478" s="117"/>
      <c r="F478" s="117"/>
      <c r="G478" s="117"/>
    </row>
    <row r="479">
      <c r="B479" s="117"/>
      <c r="C479" s="117"/>
      <c r="D479" s="117"/>
      <c r="E479" s="117"/>
      <c r="F479" s="117"/>
      <c r="G479" s="117"/>
    </row>
    <row r="480">
      <c r="B480" s="117"/>
      <c r="C480" s="117"/>
      <c r="D480" s="117"/>
      <c r="E480" s="117"/>
      <c r="F480" s="117"/>
      <c r="G480" s="117"/>
    </row>
    <row r="481">
      <c r="B481" s="117"/>
      <c r="C481" s="117"/>
      <c r="D481" s="117"/>
      <c r="E481" s="117"/>
      <c r="F481" s="117"/>
      <c r="G481" s="117"/>
    </row>
    <row r="482">
      <c r="B482" s="117"/>
      <c r="C482" s="117"/>
      <c r="D482" s="117"/>
      <c r="E482" s="117"/>
      <c r="F482" s="117"/>
      <c r="G482" s="117"/>
    </row>
    <row r="483">
      <c r="B483" s="117"/>
      <c r="C483" s="117"/>
      <c r="D483" s="117"/>
      <c r="E483" s="117"/>
      <c r="F483" s="117"/>
      <c r="G483" s="117"/>
    </row>
    <row r="484">
      <c r="B484" s="117"/>
      <c r="C484" s="117"/>
      <c r="D484" s="117"/>
      <c r="E484" s="117"/>
      <c r="F484" s="117"/>
      <c r="G484" s="117"/>
    </row>
    <row r="485">
      <c r="B485" s="117"/>
      <c r="C485" s="117"/>
      <c r="D485" s="117"/>
      <c r="E485" s="117"/>
      <c r="F485" s="117"/>
      <c r="G485" s="117"/>
    </row>
    <row r="486">
      <c r="B486" s="117"/>
      <c r="C486" s="117"/>
      <c r="D486" s="117"/>
      <c r="E486" s="117"/>
      <c r="F486" s="117"/>
      <c r="G486" s="117"/>
    </row>
    <row r="487">
      <c r="B487" s="117"/>
      <c r="C487" s="117"/>
      <c r="D487" s="117"/>
      <c r="E487" s="117"/>
      <c r="F487" s="117"/>
      <c r="G487" s="117"/>
    </row>
    <row r="488">
      <c r="B488" s="117"/>
      <c r="C488" s="117"/>
      <c r="D488" s="117"/>
      <c r="E488" s="117"/>
      <c r="F488" s="117"/>
      <c r="G488" s="117"/>
    </row>
    <row r="489">
      <c r="B489" s="117"/>
      <c r="C489" s="117"/>
      <c r="D489" s="117"/>
      <c r="E489" s="117"/>
      <c r="F489" s="117"/>
      <c r="G489" s="117"/>
    </row>
    <row r="490">
      <c r="B490" s="117"/>
      <c r="C490" s="117"/>
      <c r="D490" s="117"/>
      <c r="E490" s="117"/>
      <c r="F490" s="117"/>
      <c r="G490" s="117"/>
    </row>
    <row r="491">
      <c r="B491" s="117"/>
      <c r="C491" s="117"/>
      <c r="D491" s="117"/>
      <c r="E491" s="117"/>
      <c r="F491" s="117"/>
      <c r="G491" s="117"/>
    </row>
    <row r="492">
      <c r="B492" s="117"/>
      <c r="C492" s="117"/>
      <c r="D492" s="117"/>
      <c r="E492" s="117"/>
      <c r="F492" s="117"/>
      <c r="G492" s="117"/>
    </row>
    <row r="493">
      <c r="B493" s="117"/>
      <c r="C493" s="117"/>
      <c r="D493" s="117"/>
      <c r="E493" s="117"/>
      <c r="F493" s="117"/>
      <c r="G493" s="117"/>
    </row>
    <row r="494">
      <c r="B494" s="117"/>
      <c r="C494" s="117"/>
      <c r="D494" s="117"/>
      <c r="E494" s="117"/>
      <c r="F494" s="117"/>
      <c r="G494" s="117"/>
    </row>
    <row r="495">
      <c r="B495" s="117"/>
      <c r="C495" s="117"/>
      <c r="D495" s="117"/>
      <c r="E495" s="117"/>
      <c r="F495" s="117"/>
      <c r="G495" s="117"/>
    </row>
    <row r="496">
      <c r="B496" s="117"/>
      <c r="C496" s="117"/>
      <c r="D496" s="117"/>
      <c r="E496" s="117"/>
      <c r="F496" s="117"/>
      <c r="G496" s="117"/>
    </row>
    <row r="497">
      <c r="B497" s="117"/>
      <c r="C497" s="117"/>
      <c r="D497" s="117"/>
      <c r="E497" s="117"/>
      <c r="F497" s="117"/>
      <c r="G497" s="117"/>
    </row>
    <row r="498">
      <c r="B498" s="117"/>
      <c r="C498" s="117"/>
      <c r="D498" s="117"/>
      <c r="E498" s="117"/>
      <c r="F498" s="117"/>
      <c r="G498" s="117"/>
    </row>
    <row r="499">
      <c r="B499" s="117"/>
      <c r="C499" s="117"/>
      <c r="D499" s="117"/>
      <c r="E499" s="117"/>
      <c r="F499" s="117"/>
      <c r="G499" s="117"/>
    </row>
    <row r="500">
      <c r="B500" s="117"/>
      <c r="C500" s="117"/>
      <c r="D500" s="117"/>
      <c r="E500" s="117"/>
      <c r="F500" s="117"/>
      <c r="G500" s="117"/>
    </row>
    <row r="501">
      <c r="B501" s="117"/>
      <c r="C501" s="117"/>
      <c r="D501" s="117"/>
      <c r="E501" s="117"/>
      <c r="F501" s="117"/>
      <c r="G501" s="117"/>
    </row>
    <row r="502">
      <c r="B502" s="117"/>
      <c r="C502" s="117"/>
      <c r="D502" s="117"/>
      <c r="E502" s="117"/>
      <c r="F502" s="117"/>
      <c r="G502" s="117"/>
    </row>
    <row r="503">
      <c r="B503" s="117"/>
      <c r="C503" s="117"/>
      <c r="D503" s="117"/>
      <c r="E503" s="117"/>
      <c r="F503" s="117"/>
      <c r="G503" s="117"/>
    </row>
    <row r="504">
      <c r="B504" s="117"/>
      <c r="C504" s="117"/>
      <c r="D504" s="117"/>
      <c r="E504" s="117"/>
      <c r="F504" s="117"/>
      <c r="G504" s="117"/>
    </row>
    <row r="505">
      <c r="B505" s="117"/>
      <c r="C505" s="117"/>
      <c r="D505" s="117"/>
      <c r="E505" s="117"/>
      <c r="F505" s="117"/>
      <c r="G505" s="117"/>
    </row>
    <row r="506">
      <c r="B506" s="117"/>
      <c r="C506" s="117"/>
      <c r="D506" s="117"/>
      <c r="E506" s="117"/>
      <c r="F506" s="117"/>
      <c r="G506" s="117"/>
    </row>
    <row r="507">
      <c r="B507" s="117"/>
      <c r="C507" s="117"/>
      <c r="D507" s="117"/>
      <c r="E507" s="117"/>
      <c r="F507" s="117"/>
      <c r="G507" s="117"/>
    </row>
    <row r="508">
      <c r="B508" s="117"/>
      <c r="C508" s="117"/>
      <c r="D508" s="117"/>
      <c r="E508" s="117"/>
      <c r="F508" s="117"/>
      <c r="G508" s="117"/>
    </row>
    <row r="509">
      <c r="B509" s="117"/>
      <c r="C509" s="117"/>
      <c r="D509" s="117"/>
      <c r="E509" s="117"/>
      <c r="F509" s="117"/>
      <c r="G509" s="117"/>
    </row>
    <row r="510">
      <c r="B510" s="117"/>
      <c r="C510" s="117"/>
      <c r="D510" s="117"/>
      <c r="E510" s="117"/>
      <c r="F510" s="117"/>
      <c r="G510" s="117"/>
    </row>
    <row r="511">
      <c r="B511" s="117"/>
      <c r="C511" s="117"/>
      <c r="D511" s="117"/>
      <c r="E511" s="117"/>
      <c r="F511" s="117"/>
      <c r="G511" s="117"/>
    </row>
    <row r="512">
      <c r="B512" s="117"/>
      <c r="C512" s="117"/>
      <c r="D512" s="117"/>
      <c r="E512" s="117"/>
      <c r="F512" s="117"/>
      <c r="G512" s="117"/>
    </row>
    <row r="513">
      <c r="B513" s="117"/>
      <c r="C513" s="117"/>
      <c r="D513" s="117"/>
      <c r="E513" s="117"/>
      <c r="F513" s="117"/>
      <c r="G513" s="117"/>
    </row>
    <row r="514">
      <c r="B514" s="117"/>
      <c r="C514" s="117"/>
      <c r="D514" s="117"/>
      <c r="E514" s="117"/>
      <c r="F514" s="117"/>
      <c r="G514" s="117"/>
    </row>
    <row r="515">
      <c r="B515" s="117"/>
      <c r="C515" s="117"/>
      <c r="D515" s="117"/>
      <c r="E515" s="117"/>
      <c r="F515" s="117"/>
      <c r="G515" s="117"/>
    </row>
    <row r="516">
      <c r="B516" s="117"/>
      <c r="C516" s="117"/>
      <c r="D516" s="117"/>
      <c r="E516" s="117"/>
      <c r="F516" s="117"/>
      <c r="G516" s="117"/>
    </row>
    <row r="517">
      <c r="B517" s="117"/>
      <c r="C517" s="117"/>
      <c r="D517" s="117"/>
      <c r="E517" s="117"/>
      <c r="F517" s="117"/>
      <c r="G517" s="117"/>
    </row>
    <row r="518">
      <c r="B518" s="117"/>
      <c r="C518" s="117"/>
      <c r="D518" s="117"/>
      <c r="E518" s="117"/>
      <c r="F518" s="117"/>
      <c r="G518" s="117"/>
    </row>
    <row r="519">
      <c r="B519" s="117"/>
      <c r="C519" s="117"/>
      <c r="D519" s="117"/>
      <c r="E519" s="117"/>
      <c r="F519" s="117"/>
      <c r="G519" s="117"/>
    </row>
    <row r="520">
      <c r="B520" s="117"/>
      <c r="C520" s="117"/>
      <c r="D520" s="117"/>
      <c r="E520" s="117"/>
      <c r="F520" s="117"/>
      <c r="G520" s="117"/>
    </row>
    <row r="521">
      <c r="B521" s="117"/>
      <c r="C521" s="117"/>
      <c r="D521" s="117"/>
      <c r="E521" s="117"/>
      <c r="F521" s="117"/>
      <c r="G521" s="117"/>
    </row>
    <row r="522">
      <c r="B522" s="117"/>
      <c r="C522" s="117"/>
      <c r="D522" s="117"/>
      <c r="E522" s="117"/>
      <c r="F522" s="117"/>
      <c r="G522" s="117"/>
    </row>
    <row r="523">
      <c r="B523" s="117"/>
      <c r="C523" s="117"/>
      <c r="D523" s="117"/>
      <c r="E523" s="117"/>
      <c r="F523" s="117"/>
      <c r="G523" s="117"/>
    </row>
    <row r="524">
      <c r="B524" s="117"/>
      <c r="C524" s="117"/>
      <c r="D524" s="117"/>
      <c r="E524" s="117"/>
      <c r="F524" s="117"/>
      <c r="G524" s="117"/>
    </row>
    <row r="525">
      <c r="B525" s="117"/>
      <c r="C525" s="117"/>
      <c r="D525" s="117"/>
      <c r="E525" s="117"/>
      <c r="F525" s="117"/>
      <c r="G525" s="117"/>
    </row>
    <row r="526">
      <c r="B526" s="117"/>
      <c r="C526" s="117"/>
      <c r="D526" s="117"/>
      <c r="E526" s="117"/>
      <c r="F526" s="117"/>
      <c r="G526" s="117"/>
    </row>
    <row r="527">
      <c r="B527" s="117"/>
      <c r="C527" s="117"/>
      <c r="D527" s="117"/>
      <c r="E527" s="117"/>
      <c r="F527" s="117"/>
      <c r="G527" s="117"/>
    </row>
    <row r="528">
      <c r="B528" s="117"/>
      <c r="C528" s="117"/>
      <c r="D528" s="117"/>
      <c r="E528" s="117"/>
      <c r="F528" s="117"/>
      <c r="G528" s="117"/>
    </row>
    <row r="529">
      <c r="B529" s="117"/>
      <c r="C529" s="117"/>
      <c r="D529" s="117"/>
      <c r="E529" s="117"/>
      <c r="F529" s="117"/>
      <c r="G529" s="117"/>
    </row>
    <row r="530">
      <c r="B530" s="117"/>
      <c r="C530" s="117"/>
      <c r="D530" s="117"/>
      <c r="E530" s="117"/>
      <c r="F530" s="117"/>
      <c r="G530" s="117"/>
    </row>
    <row r="531">
      <c r="B531" s="117"/>
      <c r="C531" s="117"/>
      <c r="D531" s="117"/>
      <c r="E531" s="117"/>
      <c r="F531" s="117"/>
      <c r="G531" s="117"/>
    </row>
    <row r="532">
      <c r="B532" s="117"/>
      <c r="C532" s="117"/>
      <c r="D532" s="117"/>
      <c r="E532" s="117"/>
      <c r="F532" s="117"/>
      <c r="G532" s="117"/>
    </row>
    <row r="533">
      <c r="B533" s="117"/>
      <c r="C533" s="117"/>
      <c r="D533" s="117"/>
      <c r="E533" s="117"/>
      <c r="F533" s="117"/>
      <c r="G533" s="117"/>
    </row>
    <row r="534">
      <c r="B534" s="117"/>
      <c r="C534" s="117"/>
      <c r="D534" s="117"/>
      <c r="E534" s="117"/>
      <c r="F534" s="117"/>
      <c r="G534" s="117"/>
    </row>
    <row r="535">
      <c r="B535" s="117"/>
      <c r="C535" s="117"/>
      <c r="D535" s="117"/>
      <c r="E535" s="117"/>
      <c r="F535" s="117"/>
      <c r="G535" s="117"/>
    </row>
    <row r="536">
      <c r="B536" s="117"/>
      <c r="C536" s="117"/>
      <c r="D536" s="117"/>
      <c r="E536" s="117"/>
      <c r="F536" s="117"/>
      <c r="G536" s="117"/>
    </row>
    <row r="537">
      <c r="B537" s="117"/>
      <c r="C537" s="117"/>
      <c r="D537" s="117"/>
      <c r="E537" s="117"/>
      <c r="F537" s="117"/>
      <c r="G537" s="117"/>
    </row>
    <row r="538">
      <c r="B538" s="117"/>
      <c r="C538" s="117"/>
      <c r="D538" s="117"/>
      <c r="E538" s="117"/>
      <c r="F538" s="117"/>
      <c r="G538" s="117"/>
    </row>
    <row r="539">
      <c r="B539" s="117"/>
      <c r="C539" s="117"/>
      <c r="D539" s="117"/>
      <c r="E539" s="117"/>
      <c r="F539" s="117"/>
      <c r="G539" s="117"/>
    </row>
    <row r="540">
      <c r="B540" s="117"/>
      <c r="C540" s="117"/>
      <c r="D540" s="117"/>
      <c r="E540" s="117"/>
      <c r="F540" s="117"/>
      <c r="G540" s="117"/>
    </row>
    <row r="541">
      <c r="B541" s="117"/>
      <c r="C541" s="117"/>
      <c r="D541" s="117"/>
      <c r="E541" s="117"/>
      <c r="F541" s="117"/>
      <c r="G541" s="117"/>
    </row>
    <row r="542">
      <c r="B542" s="117"/>
      <c r="C542" s="117"/>
      <c r="D542" s="117"/>
      <c r="E542" s="117"/>
      <c r="F542" s="117"/>
      <c r="G542" s="117"/>
    </row>
    <row r="543">
      <c r="B543" s="117"/>
      <c r="C543" s="117"/>
      <c r="D543" s="117"/>
      <c r="E543" s="117"/>
      <c r="F543" s="117"/>
      <c r="G543" s="117"/>
    </row>
    <row r="544">
      <c r="B544" s="117"/>
      <c r="C544" s="117"/>
      <c r="D544" s="117"/>
      <c r="E544" s="117"/>
      <c r="F544" s="117"/>
      <c r="G544" s="117"/>
    </row>
    <row r="545">
      <c r="B545" s="117"/>
      <c r="C545" s="117"/>
      <c r="D545" s="117"/>
      <c r="E545" s="117"/>
      <c r="F545" s="117"/>
      <c r="G545" s="117"/>
    </row>
    <row r="546">
      <c r="B546" s="117"/>
      <c r="C546" s="117"/>
      <c r="D546" s="117"/>
      <c r="E546" s="117"/>
      <c r="F546" s="117"/>
      <c r="G546" s="117"/>
    </row>
    <row r="547">
      <c r="B547" s="117"/>
      <c r="C547" s="117"/>
      <c r="D547" s="117"/>
      <c r="E547" s="117"/>
      <c r="F547" s="117"/>
      <c r="G547" s="117"/>
    </row>
    <row r="548">
      <c r="B548" s="117"/>
      <c r="C548" s="117"/>
      <c r="D548" s="117"/>
      <c r="E548" s="117"/>
      <c r="F548" s="117"/>
      <c r="G548" s="117"/>
    </row>
    <row r="549">
      <c r="B549" s="117"/>
      <c r="C549" s="117"/>
      <c r="D549" s="117"/>
      <c r="E549" s="117"/>
      <c r="F549" s="117"/>
      <c r="G549" s="117"/>
    </row>
    <row r="550">
      <c r="B550" s="117"/>
      <c r="C550" s="117"/>
      <c r="D550" s="117"/>
      <c r="E550" s="117"/>
      <c r="F550" s="117"/>
      <c r="G550" s="117"/>
    </row>
    <row r="551">
      <c r="B551" s="117"/>
      <c r="C551" s="117"/>
      <c r="D551" s="117"/>
      <c r="E551" s="117"/>
      <c r="F551" s="117"/>
      <c r="G551" s="117"/>
    </row>
    <row r="552">
      <c r="B552" s="117"/>
      <c r="C552" s="117"/>
      <c r="D552" s="117"/>
      <c r="E552" s="117"/>
      <c r="F552" s="117"/>
      <c r="G552" s="117"/>
    </row>
    <row r="553">
      <c r="B553" s="117"/>
      <c r="C553" s="117"/>
      <c r="D553" s="117"/>
      <c r="E553" s="117"/>
      <c r="F553" s="117"/>
      <c r="G553" s="117"/>
    </row>
    <row r="554">
      <c r="B554" s="117"/>
      <c r="C554" s="117"/>
      <c r="D554" s="117"/>
      <c r="E554" s="117"/>
      <c r="F554" s="117"/>
      <c r="G554" s="117"/>
    </row>
    <row r="555">
      <c r="B555" s="117"/>
      <c r="C555" s="117"/>
      <c r="D555" s="117"/>
      <c r="E555" s="117"/>
      <c r="F555" s="117"/>
      <c r="G555" s="117"/>
    </row>
    <row r="556">
      <c r="B556" s="117"/>
      <c r="C556" s="117"/>
      <c r="D556" s="117"/>
      <c r="E556" s="117"/>
      <c r="F556" s="117"/>
      <c r="G556" s="117"/>
    </row>
    <row r="557">
      <c r="B557" s="117"/>
      <c r="C557" s="117"/>
      <c r="D557" s="117"/>
      <c r="E557" s="117"/>
      <c r="F557" s="117"/>
      <c r="G557" s="117"/>
    </row>
    <row r="558">
      <c r="B558" s="117"/>
      <c r="C558" s="117"/>
      <c r="D558" s="117"/>
      <c r="E558" s="117"/>
      <c r="F558" s="117"/>
      <c r="G558" s="117"/>
    </row>
    <row r="559">
      <c r="B559" s="117"/>
      <c r="C559" s="117"/>
      <c r="D559" s="117"/>
      <c r="E559" s="117"/>
      <c r="F559" s="117"/>
      <c r="G559" s="117"/>
    </row>
    <row r="560">
      <c r="B560" s="117"/>
      <c r="C560" s="117"/>
      <c r="D560" s="117"/>
      <c r="E560" s="117"/>
      <c r="F560" s="117"/>
      <c r="G560" s="117"/>
    </row>
    <row r="561">
      <c r="B561" s="117"/>
      <c r="C561" s="117"/>
      <c r="D561" s="117"/>
      <c r="E561" s="117"/>
      <c r="F561" s="117"/>
      <c r="G561" s="117"/>
    </row>
    <row r="562">
      <c r="B562" s="117"/>
      <c r="C562" s="117"/>
      <c r="D562" s="117"/>
      <c r="E562" s="117"/>
      <c r="F562" s="117"/>
      <c r="G562" s="117"/>
    </row>
    <row r="563">
      <c r="B563" s="117"/>
      <c r="C563" s="117"/>
      <c r="D563" s="117"/>
      <c r="E563" s="117"/>
      <c r="F563" s="117"/>
      <c r="G563" s="117"/>
    </row>
    <row r="564">
      <c r="B564" s="117"/>
      <c r="C564" s="117"/>
      <c r="D564" s="117"/>
      <c r="E564" s="117"/>
      <c r="F564" s="117"/>
      <c r="G564" s="117"/>
    </row>
    <row r="565">
      <c r="B565" s="117"/>
      <c r="C565" s="117"/>
      <c r="D565" s="117"/>
      <c r="E565" s="117"/>
      <c r="F565" s="117"/>
      <c r="G565" s="117"/>
    </row>
    <row r="566">
      <c r="B566" s="117"/>
      <c r="C566" s="117"/>
      <c r="D566" s="117"/>
      <c r="E566" s="117"/>
      <c r="F566" s="117"/>
      <c r="G566" s="117"/>
    </row>
    <row r="567">
      <c r="B567" s="117"/>
      <c r="C567" s="117"/>
      <c r="D567" s="117"/>
      <c r="E567" s="117"/>
      <c r="F567" s="117"/>
      <c r="G567" s="117"/>
    </row>
    <row r="568">
      <c r="B568" s="117"/>
      <c r="C568" s="117"/>
      <c r="D568" s="117"/>
      <c r="E568" s="117"/>
      <c r="F568" s="117"/>
      <c r="G568" s="117"/>
    </row>
    <row r="569">
      <c r="B569" s="117"/>
      <c r="C569" s="117"/>
      <c r="D569" s="117"/>
      <c r="E569" s="117"/>
      <c r="F569" s="117"/>
      <c r="G569" s="117"/>
    </row>
    <row r="570">
      <c r="B570" s="117"/>
      <c r="C570" s="117"/>
      <c r="D570" s="117"/>
      <c r="E570" s="117"/>
      <c r="F570" s="117"/>
      <c r="G570" s="117"/>
    </row>
    <row r="571">
      <c r="B571" s="117"/>
      <c r="C571" s="117"/>
      <c r="D571" s="117"/>
      <c r="E571" s="117"/>
      <c r="F571" s="117"/>
      <c r="G571" s="117"/>
    </row>
    <row r="572">
      <c r="B572" s="117"/>
      <c r="C572" s="117"/>
      <c r="D572" s="117"/>
      <c r="E572" s="117"/>
      <c r="F572" s="117"/>
      <c r="G572" s="117"/>
    </row>
    <row r="573">
      <c r="B573" s="117"/>
      <c r="C573" s="117"/>
      <c r="D573" s="117"/>
      <c r="E573" s="117"/>
      <c r="F573" s="117"/>
      <c r="G573" s="117"/>
    </row>
    <row r="574">
      <c r="B574" s="117"/>
      <c r="C574" s="117"/>
      <c r="D574" s="117"/>
      <c r="E574" s="117"/>
      <c r="F574" s="117"/>
      <c r="G574" s="117"/>
    </row>
    <row r="575">
      <c r="B575" s="117"/>
      <c r="C575" s="117"/>
      <c r="D575" s="117"/>
      <c r="E575" s="117"/>
      <c r="F575" s="117"/>
      <c r="G575" s="117"/>
    </row>
    <row r="576">
      <c r="B576" s="117"/>
      <c r="C576" s="117"/>
      <c r="D576" s="117"/>
      <c r="E576" s="117"/>
      <c r="F576" s="117"/>
      <c r="G576" s="117"/>
    </row>
    <row r="577">
      <c r="B577" s="117"/>
      <c r="C577" s="117"/>
      <c r="D577" s="117"/>
      <c r="E577" s="117"/>
      <c r="F577" s="117"/>
      <c r="G577" s="117"/>
    </row>
    <row r="578">
      <c r="B578" s="117"/>
      <c r="C578" s="117"/>
      <c r="D578" s="117"/>
      <c r="E578" s="117"/>
      <c r="F578" s="117"/>
      <c r="G578" s="117"/>
    </row>
    <row r="579">
      <c r="B579" s="117"/>
      <c r="C579" s="117"/>
      <c r="D579" s="117"/>
      <c r="E579" s="117"/>
      <c r="F579" s="117"/>
      <c r="G579" s="117"/>
    </row>
    <row r="580">
      <c r="B580" s="117"/>
      <c r="C580" s="117"/>
      <c r="D580" s="117"/>
      <c r="E580" s="117"/>
      <c r="F580" s="117"/>
      <c r="G580" s="117"/>
    </row>
    <row r="581">
      <c r="B581" s="117"/>
      <c r="C581" s="117"/>
      <c r="D581" s="117"/>
      <c r="E581" s="117"/>
      <c r="F581" s="117"/>
      <c r="G581" s="117"/>
    </row>
    <row r="582">
      <c r="B582" s="117"/>
      <c r="C582" s="117"/>
      <c r="D582" s="117"/>
      <c r="E582" s="117"/>
      <c r="F582" s="117"/>
      <c r="G582" s="117"/>
    </row>
    <row r="583">
      <c r="B583" s="117"/>
      <c r="C583" s="117"/>
      <c r="D583" s="117"/>
      <c r="E583" s="117"/>
      <c r="F583" s="117"/>
      <c r="G583" s="117"/>
    </row>
    <row r="584">
      <c r="B584" s="117"/>
      <c r="C584" s="117"/>
      <c r="D584" s="117"/>
      <c r="E584" s="117"/>
      <c r="F584" s="117"/>
      <c r="G584" s="117"/>
    </row>
    <row r="585">
      <c r="B585" s="117"/>
      <c r="C585" s="117"/>
      <c r="D585" s="117"/>
      <c r="E585" s="117"/>
      <c r="F585" s="117"/>
      <c r="G585" s="117"/>
    </row>
    <row r="586">
      <c r="B586" s="117"/>
      <c r="C586" s="117"/>
      <c r="D586" s="117"/>
      <c r="E586" s="117"/>
      <c r="F586" s="117"/>
      <c r="G586" s="117"/>
    </row>
    <row r="587">
      <c r="B587" s="117"/>
      <c r="C587" s="117"/>
      <c r="D587" s="117"/>
      <c r="E587" s="117"/>
      <c r="F587" s="117"/>
      <c r="G587" s="117"/>
    </row>
    <row r="588">
      <c r="B588" s="117"/>
      <c r="C588" s="117"/>
      <c r="D588" s="117"/>
      <c r="E588" s="117"/>
      <c r="F588" s="117"/>
      <c r="G588" s="117"/>
    </row>
    <row r="589">
      <c r="B589" s="117"/>
      <c r="C589" s="117"/>
      <c r="D589" s="117"/>
      <c r="E589" s="117"/>
      <c r="F589" s="117"/>
      <c r="G589" s="117"/>
    </row>
    <row r="590">
      <c r="B590" s="117"/>
      <c r="C590" s="117"/>
      <c r="D590" s="117"/>
      <c r="E590" s="117"/>
      <c r="F590" s="117"/>
      <c r="G590" s="117"/>
    </row>
    <row r="591">
      <c r="B591" s="117"/>
      <c r="C591" s="117"/>
      <c r="D591" s="117"/>
      <c r="E591" s="117"/>
      <c r="F591" s="117"/>
      <c r="G591" s="117"/>
    </row>
    <row r="592">
      <c r="B592" s="117"/>
      <c r="C592" s="117"/>
      <c r="D592" s="117"/>
      <c r="E592" s="117"/>
      <c r="F592" s="117"/>
      <c r="G592" s="117"/>
    </row>
    <row r="593">
      <c r="B593" s="117"/>
      <c r="C593" s="117"/>
      <c r="D593" s="117"/>
      <c r="E593" s="117"/>
      <c r="F593" s="117"/>
      <c r="G593" s="117"/>
    </row>
    <row r="594">
      <c r="B594" s="117"/>
      <c r="C594" s="117"/>
      <c r="D594" s="117"/>
      <c r="E594" s="117"/>
      <c r="F594" s="117"/>
      <c r="G594" s="117"/>
    </row>
    <row r="595">
      <c r="B595" s="117"/>
      <c r="C595" s="117"/>
      <c r="D595" s="117"/>
      <c r="E595" s="117"/>
      <c r="F595" s="117"/>
      <c r="G595" s="117"/>
    </row>
    <row r="596">
      <c r="B596" s="117"/>
      <c r="C596" s="117"/>
      <c r="D596" s="117"/>
      <c r="E596" s="117"/>
      <c r="F596" s="117"/>
      <c r="G596" s="117"/>
    </row>
    <row r="597">
      <c r="B597" s="117"/>
      <c r="C597" s="117"/>
      <c r="D597" s="117"/>
      <c r="E597" s="117"/>
      <c r="F597" s="117"/>
      <c r="G597" s="117"/>
    </row>
    <row r="598">
      <c r="B598" s="117"/>
      <c r="C598" s="117"/>
      <c r="D598" s="117"/>
      <c r="E598" s="117"/>
      <c r="F598" s="117"/>
      <c r="G598" s="117"/>
    </row>
    <row r="599">
      <c r="B599" s="117"/>
      <c r="C599" s="117"/>
      <c r="D599" s="117"/>
      <c r="E599" s="117"/>
      <c r="F599" s="117"/>
      <c r="G599" s="117"/>
    </row>
    <row r="600">
      <c r="B600" s="117"/>
      <c r="C600" s="117"/>
      <c r="D600" s="117"/>
      <c r="E600" s="117"/>
      <c r="F600" s="117"/>
      <c r="G600" s="117"/>
    </row>
    <row r="601">
      <c r="B601" s="117"/>
      <c r="C601" s="117"/>
      <c r="D601" s="117"/>
      <c r="E601" s="117"/>
      <c r="F601" s="117"/>
      <c r="G601" s="117"/>
    </row>
    <row r="602">
      <c r="B602" s="117"/>
      <c r="C602" s="117"/>
      <c r="D602" s="117"/>
      <c r="E602" s="117"/>
      <c r="F602" s="117"/>
      <c r="G602" s="117"/>
    </row>
    <row r="603">
      <c r="B603" s="117"/>
      <c r="C603" s="117"/>
      <c r="D603" s="117"/>
      <c r="E603" s="117"/>
      <c r="F603" s="117"/>
      <c r="G603" s="117"/>
    </row>
    <row r="604">
      <c r="B604" s="117"/>
      <c r="C604" s="117"/>
      <c r="D604" s="117"/>
      <c r="E604" s="117"/>
      <c r="F604" s="117"/>
      <c r="G604" s="117"/>
    </row>
    <row r="605">
      <c r="B605" s="117"/>
      <c r="C605" s="117"/>
      <c r="D605" s="117"/>
      <c r="E605" s="117"/>
      <c r="F605" s="117"/>
      <c r="G605" s="117"/>
    </row>
    <row r="606">
      <c r="B606" s="117"/>
      <c r="C606" s="117"/>
      <c r="D606" s="117"/>
      <c r="E606" s="117"/>
      <c r="F606" s="117"/>
      <c r="G606" s="117"/>
    </row>
    <row r="607">
      <c r="B607" s="117"/>
      <c r="C607" s="117"/>
      <c r="D607" s="117"/>
      <c r="E607" s="117"/>
      <c r="F607" s="117"/>
      <c r="G607" s="117"/>
    </row>
    <row r="608">
      <c r="B608" s="117"/>
      <c r="C608" s="117"/>
      <c r="D608" s="117"/>
      <c r="E608" s="117"/>
      <c r="F608" s="117"/>
      <c r="G608" s="117"/>
    </row>
    <row r="609">
      <c r="B609" s="117"/>
      <c r="C609" s="117"/>
      <c r="D609" s="117"/>
      <c r="E609" s="117"/>
      <c r="F609" s="117"/>
      <c r="G609" s="117"/>
    </row>
    <row r="610">
      <c r="B610" s="117"/>
      <c r="C610" s="117"/>
      <c r="D610" s="117"/>
      <c r="E610" s="117"/>
      <c r="F610" s="117"/>
      <c r="G610" s="117"/>
    </row>
    <row r="611">
      <c r="B611" s="117"/>
      <c r="C611" s="117"/>
      <c r="D611" s="117"/>
      <c r="E611" s="117"/>
      <c r="F611" s="117"/>
      <c r="G611" s="117"/>
    </row>
    <row r="612">
      <c r="B612" s="117"/>
      <c r="C612" s="117"/>
      <c r="D612" s="117"/>
      <c r="E612" s="117"/>
      <c r="F612" s="117"/>
      <c r="G612" s="117"/>
    </row>
    <row r="613">
      <c r="B613" s="117"/>
      <c r="C613" s="117"/>
      <c r="D613" s="117"/>
      <c r="E613" s="117"/>
      <c r="F613" s="117"/>
      <c r="G613" s="117"/>
    </row>
    <row r="614">
      <c r="B614" s="117"/>
      <c r="C614" s="117"/>
      <c r="D614" s="117"/>
      <c r="E614" s="117"/>
      <c r="F614" s="117"/>
      <c r="G614" s="117"/>
    </row>
    <row r="615">
      <c r="B615" s="117"/>
      <c r="C615" s="117"/>
      <c r="D615" s="117"/>
      <c r="E615" s="117"/>
      <c r="F615" s="117"/>
      <c r="G615" s="117"/>
    </row>
    <row r="616">
      <c r="B616" s="117"/>
      <c r="C616" s="117"/>
      <c r="D616" s="117"/>
      <c r="E616" s="117"/>
      <c r="F616" s="117"/>
      <c r="G616" s="117"/>
    </row>
    <row r="617">
      <c r="B617" s="117"/>
      <c r="C617" s="117"/>
      <c r="D617" s="117"/>
      <c r="E617" s="117"/>
      <c r="F617" s="117"/>
      <c r="G617" s="117"/>
    </row>
    <row r="618">
      <c r="B618" s="117"/>
      <c r="C618" s="117"/>
      <c r="D618" s="117"/>
      <c r="E618" s="117"/>
      <c r="F618" s="117"/>
      <c r="G618" s="117"/>
    </row>
    <row r="619">
      <c r="B619" s="117"/>
      <c r="C619" s="117"/>
      <c r="D619" s="117"/>
      <c r="E619" s="117"/>
      <c r="F619" s="117"/>
      <c r="G619" s="117"/>
    </row>
    <row r="620">
      <c r="B620" s="117"/>
      <c r="C620" s="117"/>
      <c r="D620" s="117"/>
      <c r="E620" s="117"/>
      <c r="F620" s="117"/>
      <c r="G620" s="117"/>
    </row>
    <row r="621">
      <c r="B621" s="117"/>
      <c r="C621" s="117"/>
      <c r="D621" s="117"/>
      <c r="E621" s="117"/>
      <c r="F621" s="117"/>
      <c r="G621" s="117"/>
    </row>
    <row r="622">
      <c r="B622" s="117"/>
      <c r="C622" s="117"/>
      <c r="D622" s="117"/>
      <c r="E622" s="117"/>
      <c r="F622" s="117"/>
      <c r="G622" s="117"/>
    </row>
    <row r="623">
      <c r="B623" s="117"/>
      <c r="C623" s="117"/>
      <c r="D623" s="117"/>
      <c r="E623" s="117"/>
      <c r="F623" s="117"/>
      <c r="G623" s="117"/>
    </row>
    <row r="624">
      <c r="B624" s="117"/>
      <c r="C624" s="117"/>
      <c r="D624" s="117"/>
      <c r="E624" s="117"/>
      <c r="F624" s="117"/>
      <c r="G624" s="117"/>
    </row>
    <row r="625">
      <c r="B625" s="117"/>
      <c r="C625" s="117"/>
      <c r="D625" s="117"/>
      <c r="E625" s="117"/>
      <c r="F625" s="117"/>
      <c r="G625" s="117"/>
    </row>
    <row r="626">
      <c r="B626" s="117"/>
      <c r="C626" s="117"/>
      <c r="D626" s="117"/>
      <c r="E626" s="117"/>
      <c r="F626" s="117"/>
      <c r="G626" s="117"/>
    </row>
    <row r="627">
      <c r="B627" s="117"/>
      <c r="C627" s="117"/>
      <c r="D627" s="117"/>
      <c r="E627" s="117"/>
      <c r="F627" s="117"/>
      <c r="G627" s="117"/>
    </row>
    <row r="628">
      <c r="B628" s="117"/>
      <c r="C628" s="117"/>
      <c r="D628" s="117"/>
      <c r="E628" s="117"/>
      <c r="F628" s="117"/>
      <c r="G628" s="117"/>
    </row>
    <row r="629">
      <c r="B629" s="117"/>
      <c r="C629" s="117"/>
      <c r="D629" s="117"/>
      <c r="E629" s="117"/>
      <c r="F629" s="117"/>
      <c r="G629" s="117"/>
    </row>
    <row r="630">
      <c r="B630" s="117"/>
      <c r="C630" s="117"/>
      <c r="D630" s="117"/>
      <c r="E630" s="117"/>
      <c r="F630" s="117"/>
      <c r="G630" s="117"/>
    </row>
    <row r="631">
      <c r="B631" s="117"/>
      <c r="C631" s="117"/>
      <c r="D631" s="117"/>
      <c r="E631" s="117"/>
      <c r="F631" s="117"/>
      <c r="G631" s="117"/>
    </row>
    <row r="632">
      <c r="B632" s="117"/>
      <c r="C632" s="117"/>
      <c r="D632" s="117"/>
      <c r="E632" s="117"/>
      <c r="F632" s="117"/>
      <c r="G632" s="117"/>
    </row>
    <row r="633">
      <c r="B633" s="117"/>
      <c r="C633" s="117"/>
      <c r="D633" s="117"/>
      <c r="E633" s="117"/>
      <c r="F633" s="117"/>
      <c r="G633" s="117"/>
    </row>
    <row r="634">
      <c r="B634" s="117"/>
      <c r="C634" s="117"/>
      <c r="D634" s="117"/>
      <c r="E634" s="117"/>
      <c r="F634" s="117"/>
      <c r="G634" s="117"/>
    </row>
    <row r="635">
      <c r="B635" s="117"/>
      <c r="C635" s="117"/>
      <c r="D635" s="117"/>
      <c r="E635" s="117"/>
      <c r="F635" s="117"/>
      <c r="G635" s="117"/>
    </row>
    <row r="636">
      <c r="B636" s="117"/>
      <c r="C636" s="117"/>
      <c r="D636" s="117"/>
      <c r="E636" s="117"/>
      <c r="F636" s="117"/>
      <c r="G636" s="117"/>
    </row>
    <row r="637">
      <c r="B637" s="117"/>
      <c r="C637" s="117"/>
      <c r="D637" s="117"/>
      <c r="E637" s="117"/>
      <c r="F637" s="117"/>
      <c r="G637" s="117"/>
    </row>
    <row r="638">
      <c r="B638" s="117"/>
      <c r="C638" s="117"/>
      <c r="D638" s="117"/>
      <c r="E638" s="117"/>
      <c r="F638" s="117"/>
      <c r="G638" s="117"/>
    </row>
    <row r="639">
      <c r="B639" s="117"/>
      <c r="C639" s="117"/>
      <c r="D639" s="117"/>
      <c r="E639" s="117"/>
      <c r="F639" s="117"/>
      <c r="G639" s="117"/>
    </row>
    <row r="640">
      <c r="B640" s="117"/>
      <c r="C640" s="117"/>
      <c r="D640" s="117"/>
      <c r="E640" s="117"/>
      <c r="F640" s="117"/>
      <c r="G640" s="117"/>
    </row>
    <row r="641">
      <c r="B641" s="117"/>
      <c r="C641" s="117"/>
      <c r="D641" s="117"/>
      <c r="E641" s="117"/>
      <c r="F641" s="117"/>
      <c r="G641" s="117"/>
    </row>
    <row r="642">
      <c r="B642" s="117"/>
      <c r="C642" s="117"/>
      <c r="D642" s="117"/>
      <c r="E642" s="117"/>
      <c r="F642" s="117"/>
      <c r="G642" s="117"/>
    </row>
    <row r="643">
      <c r="B643" s="117"/>
      <c r="C643" s="117"/>
      <c r="D643" s="117"/>
      <c r="E643" s="117"/>
      <c r="F643" s="117"/>
      <c r="G643" s="117"/>
    </row>
    <row r="644">
      <c r="B644" s="117"/>
      <c r="C644" s="117"/>
      <c r="D644" s="117"/>
      <c r="E644" s="117"/>
      <c r="F644" s="117"/>
      <c r="G644" s="117"/>
    </row>
    <row r="645">
      <c r="B645" s="117"/>
      <c r="C645" s="117"/>
      <c r="D645" s="117"/>
      <c r="E645" s="117"/>
      <c r="F645" s="117"/>
      <c r="G645" s="117"/>
    </row>
    <row r="646">
      <c r="B646" s="117"/>
      <c r="C646" s="117"/>
      <c r="D646" s="117"/>
      <c r="E646" s="117"/>
      <c r="F646" s="117"/>
      <c r="G646" s="117"/>
    </row>
    <row r="647">
      <c r="B647" s="117"/>
      <c r="C647" s="117"/>
      <c r="D647" s="117"/>
      <c r="E647" s="117"/>
      <c r="F647" s="117"/>
      <c r="G647" s="117"/>
    </row>
    <row r="648">
      <c r="B648" s="117"/>
      <c r="C648" s="117"/>
      <c r="D648" s="117"/>
      <c r="E648" s="117"/>
      <c r="F648" s="117"/>
      <c r="G648" s="117"/>
    </row>
    <row r="649">
      <c r="B649" s="117"/>
      <c r="C649" s="117"/>
      <c r="D649" s="117"/>
      <c r="E649" s="117"/>
      <c r="F649" s="117"/>
      <c r="G649" s="117"/>
    </row>
    <row r="650">
      <c r="B650" s="117"/>
      <c r="C650" s="117"/>
      <c r="D650" s="117"/>
      <c r="E650" s="117"/>
      <c r="F650" s="117"/>
      <c r="G650" s="117"/>
    </row>
    <row r="651">
      <c r="B651" s="117"/>
      <c r="C651" s="117"/>
      <c r="D651" s="117"/>
      <c r="E651" s="117"/>
      <c r="F651" s="117"/>
      <c r="G651" s="117"/>
    </row>
    <row r="652">
      <c r="B652" s="117"/>
      <c r="C652" s="117"/>
      <c r="D652" s="117"/>
      <c r="E652" s="117"/>
      <c r="F652" s="117"/>
      <c r="G652" s="117"/>
    </row>
    <row r="653">
      <c r="B653" s="117"/>
      <c r="C653" s="117"/>
      <c r="D653" s="117"/>
      <c r="E653" s="117"/>
      <c r="F653" s="117"/>
      <c r="G653" s="117"/>
    </row>
    <row r="654">
      <c r="B654" s="117"/>
      <c r="C654" s="117"/>
      <c r="D654" s="117"/>
      <c r="E654" s="117"/>
      <c r="F654" s="117"/>
      <c r="G654" s="117"/>
    </row>
    <row r="655">
      <c r="B655" s="117"/>
      <c r="C655" s="117"/>
      <c r="D655" s="117"/>
      <c r="E655" s="117"/>
      <c r="F655" s="117"/>
      <c r="G655" s="117"/>
    </row>
    <row r="656">
      <c r="B656" s="117"/>
      <c r="C656" s="117"/>
      <c r="D656" s="117"/>
      <c r="E656" s="117"/>
      <c r="F656" s="117"/>
      <c r="G656" s="117"/>
    </row>
    <row r="657">
      <c r="B657" s="117"/>
      <c r="C657" s="117"/>
      <c r="D657" s="117"/>
      <c r="E657" s="117"/>
      <c r="F657" s="117"/>
      <c r="G657" s="117"/>
    </row>
    <row r="658">
      <c r="B658" s="117"/>
      <c r="C658" s="117"/>
      <c r="D658" s="117"/>
      <c r="E658" s="117"/>
      <c r="F658" s="117"/>
      <c r="G658" s="117"/>
    </row>
    <row r="659">
      <c r="B659" s="117"/>
      <c r="C659" s="117"/>
      <c r="D659" s="117"/>
      <c r="E659" s="117"/>
      <c r="F659" s="117"/>
      <c r="G659" s="117"/>
    </row>
    <row r="660">
      <c r="B660" s="117"/>
      <c r="C660" s="117"/>
      <c r="D660" s="117"/>
      <c r="E660" s="117"/>
      <c r="F660" s="117"/>
      <c r="G660" s="117"/>
    </row>
    <row r="661">
      <c r="B661" s="117"/>
      <c r="C661" s="117"/>
      <c r="D661" s="117"/>
      <c r="E661" s="117"/>
      <c r="F661" s="117"/>
      <c r="G661" s="117"/>
    </row>
    <row r="662">
      <c r="B662" s="117"/>
      <c r="C662" s="117"/>
      <c r="D662" s="117"/>
      <c r="E662" s="117"/>
      <c r="F662" s="117"/>
      <c r="G662" s="117"/>
    </row>
    <row r="663">
      <c r="B663" s="117"/>
      <c r="C663" s="117"/>
      <c r="D663" s="117"/>
      <c r="E663" s="117"/>
      <c r="F663" s="117"/>
      <c r="G663" s="117"/>
    </row>
    <row r="664">
      <c r="B664" s="117"/>
      <c r="C664" s="117"/>
      <c r="D664" s="117"/>
      <c r="E664" s="117"/>
      <c r="F664" s="117"/>
      <c r="G664" s="117"/>
    </row>
    <row r="665">
      <c r="B665" s="117"/>
      <c r="C665" s="117"/>
      <c r="D665" s="117"/>
      <c r="E665" s="117"/>
      <c r="F665" s="117"/>
      <c r="G665" s="117"/>
    </row>
    <row r="666">
      <c r="B666" s="117"/>
      <c r="C666" s="117"/>
      <c r="D666" s="117"/>
      <c r="E666" s="117"/>
      <c r="F666" s="117"/>
      <c r="G666" s="117"/>
    </row>
    <row r="667">
      <c r="B667" s="117"/>
      <c r="C667" s="117"/>
      <c r="D667" s="117"/>
      <c r="E667" s="117"/>
      <c r="F667" s="117"/>
      <c r="G667" s="117"/>
    </row>
    <row r="668">
      <c r="B668" s="117"/>
      <c r="C668" s="117"/>
      <c r="D668" s="117"/>
      <c r="E668" s="117"/>
      <c r="F668" s="117"/>
      <c r="G668" s="117"/>
    </row>
    <row r="669">
      <c r="B669" s="117"/>
      <c r="C669" s="117"/>
      <c r="D669" s="117"/>
      <c r="E669" s="117"/>
      <c r="F669" s="117"/>
      <c r="G669" s="117"/>
    </row>
    <row r="670">
      <c r="B670" s="117"/>
      <c r="C670" s="117"/>
      <c r="D670" s="117"/>
      <c r="E670" s="117"/>
      <c r="F670" s="117"/>
      <c r="G670" s="117"/>
    </row>
    <row r="671">
      <c r="B671" s="117"/>
      <c r="C671" s="117"/>
      <c r="D671" s="117"/>
      <c r="E671" s="117"/>
      <c r="F671" s="117"/>
      <c r="G671" s="117"/>
    </row>
    <row r="672">
      <c r="B672" s="117"/>
      <c r="C672" s="117"/>
      <c r="D672" s="117"/>
      <c r="E672" s="117"/>
      <c r="F672" s="117"/>
      <c r="G672" s="117"/>
    </row>
    <row r="673">
      <c r="B673" s="117"/>
      <c r="C673" s="117"/>
      <c r="D673" s="117"/>
      <c r="E673" s="117"/>
      <c r="F673" s="117"/>
      <c r="G673" s="117"/>
    </row>
    <row r="674">
      <c r="B674" s="117"/>
      <c r="C674" s="117"/>
      <c r="D674" s="117"/>
      <c r="E674" s="117"/>
      <c r="F674" s="117"/>
      <c r="G674" s="117"/>
    </row>
    <row r="675">
      <c r="B675" s="117"/>
      <c r="C675" s="117"/>
      <c r="D675" s="117"/>
      <c r="E675" s="117"/>
      <c r="F675" s="117"/>
      <c r="G675" s="117"/>
    </row>
    <row r="676">
      <c r="B676" s="117"/>
      <c r="C676" s="117"/>
      <c r="D676" s="117"/>
      <c r="E676" s="117"/>
      <c r="F676" s="117"/>
      <c r="G676" s="117"/>
    </row>
    <row r="677">
      <c r="B677" s="117"/>
      <c r="C677" s="117"/>
      <c r="D677" s="117"/>
      <c r="E677" s="117"/>
      <c r="F677" s="117"/>
      <c r="G677" s="117"/>
    </row>
    <row r="678">
      <c r="B678" s="117"/>
      <c r="C678" s="117"/>
      <c r="D678" s="117"/>
      <c r="E678" s="117"/>
      <c r="F678" s="117"/>
      <c r="G678" s="117"/>
    </row>
    <row r="679">
      <c r="B679" s="117"/>
      <c r="C679" s="117"/>
      <c r="D679" s="117"/>
      <c r="E679" s="117"/>
      <c r="F679" s="117"/>
      <c r="G679" s="117"/>
    </row>
    <row r="680">
      <c r="B680" s="117"/>
      <c r="C680" s="117"/>
      <c r="D680" s="117"/>
      <c r="E680" s="117"/>
      <c r="F680" s="117"/>
      <c r="G680" s="117"/>
    </row>
    <row r="681">
      <c r="B681" s="117"/>
      <c r="C681" s="117"/>
      <c r="D681" s="117"/>
      <c r="E681" s="117"/>
      <c r="F681" s="117"/>
      <c r="G681" s="117"/>
    </row>
    <row r="682">
      <c r="B682" s="117"/>
      <c r="C682" s="117"/>
      <c r="D682" s="117"/>
      <c r="E682" s="117"/>
      <c r="F682" s="117"/>
      <c r="G682" s="117"/>
    </row>
    <row r="683">
      <c r="B683" s="117"/>
      <c r="C683" s="117"/>
      <c r="D683" s="117"/>
      <c r="E683" s="117"/>
      <c r="F683" s="117"/>
      <c r="G683" s="117"/>
    </row>
    <row r="684">
      <c r="B684" s="117"/>
      <c r="C684" s="117"/>
      <c r="D684" s="117"/>
      <c r="E684" s="117"/>
      <c r="F684" s="117"/>
      <c r="G684" s="117"/>
    </row>
    <row r="685">
      <c r="B685" s="117"/>
      <c r="C685" s="117"/>
      <c r="D685" s="117"/>
      <c r="E685" s="117"/>
      <c r="F685" s="117"/>
      <c r="G685" s="117"/>
    </row>
    <row r="686">
      <c r="B686" s="117"/>
      <c r="C686" s="117"/>
      <c r="D686" s="117"/>
      <c r="E686" s="117"/>
      <c r="F686" s="117"/>
      <c r="G686" s="117"/>
    </row>
    <row r="687">
      <c r="B687" s="117"/>
      <c r="C687" s="117"/>
      <c r="D687" s="117"/>
      <c r="E687" s="117"/>
      <c r="F687" s="117"/>
      <c r="G687" s="117"/>
    </row>
    <row r="688">
      <c r="B688" s="117"/>
      <c r="C688" s="117"/>
      <c r="D688" s="117"/>
      <c r="E688" s="117"/>
      <c r="F688" s="117"/>
      <c r="G688" s="117"/>
    </row>
    <row r="689">
      <c r="B689" s="117"/>
      <c r="C689" s="117"/>
      <c r="D689" s="117"/>
      <c r="E689" s="117"/>
      <c r="F689" s="117"/>
      <c r="G689" s="117"/>
    </row>
    <row r="690">
      <c r="B690" s="117"/>
      <c r="C690" s="117"/>
      <c r="D690" s="117"/>
      <c r="E690" s="117"/>
      <c r="F690" s="117"/>
      <c r="G690" s="117"/>
    </row>
    <row r="691">
      <c r="B691" s="117"/>
      <c r="C691" s="117"/>
      <c r="D691" s="117"/>
      <c r="E691" s="117"/>
      <c r="F691" s="117"/>
      <c r="G691" s="117"/>
    </row>
    <row r="692">
      <c r="B692" s="117"/>
      <c r="C692" s="117"/>
      <c r="D692" s="117"/>
      <c r="E692" s="117"/>
      <c r="F692" s="117"/>
      <c r="G692" s="117"/>
    </row>
    <row r="693">
      <c r="B693" s="117"/>
      <c r="C693" s="117"/>
      <c r="D693" s="117"/>
      <c r="E693" s="117"/>
      <c r="F693" s="117"/>
      <c r="G693" s="117"/>
    </row>
    <row r="694">
      <c r="B694" s="117"/>
      <c r="C694" s="117"/>
      <c r="D694" s="117"/>
      <c r="E694" s="117"/>
      <c r="F694" s="117"/>
      <c r="G694" s="117"/>
    </row>
    <row r="695">
      <c r="B695" s="117"/>
      <c r="C695" s="117"/>
      <c r="D695" s="117"/>
      <c r="E695" s="117"/>
      <c r="F695" s="117"/>
      <c r="G695" s="117"/>
    </row>
    <row r="696">
      <c r="B696" s="117"/>
      <c r="C696" s="117"/>
      <c r="D696" s="117"/>
      <c r="E696" s="117"/>
      <c r="F696" s="117"/>
      <c r="G696" s="117"/>
    </row>
    <row r="697">
      <c r="B697" s="117"/>
      <c r="C697" s="117"/>
      <c r="D697" s="117"/>
      <c r="E697" s="117"/>
      <c r="F697" s="117"/>
      <c r="G697" s="117"/>
    </row>
    <row r="698">
      <c r="B698" s="117"/>
      <c r="C698" s="117"/>
      <c r="D698" s="117"/>
      <c r="E698" s="117"/>
      <c r="F698" s="117"/>
      <c r="G698" s="117"/>
    </row>
    <row r="699">
      <c r="B699" s="117"/>
      <c r="C699" s="117"/>
      <c r="D699" s="117"/>
      <c r="E699" s="117"/>
      <c r="F699" s="117"/>
      <c r="G699" s="117"/>
    </row>
    <row r="700">
      <c r="B700" s="117"/>
      <c r="C700" s="117"/>
      <c r="D700" s="117"/>
      <c r="E700" s="117"/>
      <c r="F700" s="117"/>
      <c r="G700" s="117"/>
    </row>
    <row r="701">
      <c r="B701" s="117"/>
      <c r="C701" s="117"/>
      <c r="D701" s="117"/>
      <c r="E701" s="117"/>
      <c r="F701" s="117"/>
      <c r="G701" s="117"/>
    </row>
    <row r="702">
      <c r="B702" s="117"/>
      <c r="C702" s="117"/>
      <c r="D702" s="117"/>
      <c r="E702" s="117"/>
      <c r="F702" s="117"/>
      <c r="G702" s="117"/>
    </row>
    <row r="703">
      <c r="B703" s="117"/>
      <c r="C703" s="117"/>
      <c r="D703" s="117"/>
      <c r="E703" s="117"/>
      <c r="F703" s="117"/>
      <c r="G703" s="117"/>
    </row>
    <row r="704">
      <c r="B704" s="117"/>
      <c r="C704" s="117"/>
      <c r="D704" s="117"/>
      <c r="E704" s="117"/>
      <c r="F704" s="117"/>
      <c r="G704" s="117"/>
    </row>
    <row r="705">
      <c r="B705" s="117"/>
      <c r="C705" s="117"/>
      <c r="D705" s="117"/>
      <c r="E705" s="117"/>
      <c r="F705" s="117"/>
      <c r="G705" s="117"/>
    </row>
    <row r="706">
      <c r="B706" s="117"/>
      <c r="C706" s="117"/>
      <c r="D706" s="117"/>
      <c r="E706" s="117"/>
      <c r="F706" s="117"/>
      <c r="G706" s="117"/>
    </row>
    <row r="707">
      <c r="B707" s="117"/>
      <c r="C707" s="117"/>
      <c r="D707" s="117"/>
      <c r="E707" s="117"/>
      <c r="F707" s="117"/>
      <c r="G707" s="117"/>
    </row>
    <row r="708">
      <c r="B708" s="117"/>
      <c r="C708" s="117"/>
      <c r="D708" s="117"/>
      <c r="E708" s="117"/>
      <c r="F708" s="117"/>
      <c r="G708" s="117"/>
    </row>
    <row r="709">
      <c r="B709" s="117"/>
      <c r="C709" s="117"/>
      <c r="D709" s="117"/>
      <c r="E709" s="117"/>
      <c r="F709" s="117"/>
      <c r="G709" s="117"/>
    </row>
    <row r="710">
      <c r="B710" s="117"/>
      <c r="C710" s="117"/>
      <c r="D710" s="117"/>
      <c r="E710" s="117"/>
      <c r="F710" s="117"/>
      <c r="G710" s="117"/>
    </row>
    <row r="711">
      <c r="B711" s="117"/>
      <c r="C711" s="117"/>
      <c r="D711" s="117"/>
      <c r="E711" s="117"/>
      <c r="F711" s="117"/>
      <c r="G711" s="117"/>
    </row>
    <row r="712">
      <c r="B712" s="117"/>
      <c r="C712" s="117"/>
      <c r="D712" s="117"/>
      <c r="E712" s="117"/>
      <c r="F712" s="117"/>
      <c r="G712" s="117"/>
    </row>
    <row r="713">
      <c r="B713" s="117"/>
      <c r="C713" s="117"/>
      <c r="D713" s="117"/>
      <c r="E713" s="117"/>
      <c r="F713" s="117"/>
      <c r="G713" s="117"/>
    </row>
    <row r="714">
      <c r="B714" s="117"/>
      <c r="C714" s="117"/>
      <c r="D714" s="117"/>
      <c r="E714" s="117"/>
      <c r="F714" s="117"/>
      <c r="G714" s="117"/>
    </row>
    <row r="715">
      <c r="B715" s="117"/>
      <c r="C715" s="117"/>
      <c r="D715" s="117"/>
      <c r="E715" s="117"/>
      <c r="F715" s="117"/>
      <c r="G715" s="117"/>
    </row>
    <row r="716">
      <c r="B716" s="117"/>
      <c r="C716" s="117"/>
      <c r="D716" s="117"/>
      <c r="E716" s="117"/>
      <c r="F716" s="117"/>
      <c r="G716" s="117"/>
    </row>
    <row r="717">
      <c r="B717" s="117"/>
      <c r="C717" s="117"/>
      <c r="D717" s="117"/>
      <c r="E717" s="117"/>
      <c r="F717" s="117"/>
      <c r="G717" s="117"/>
    </row>
    <row r="718">
      <c r="B718" s="117"/>
      <c r="C718" s="117"/>
      <c r="D718" s="117"/>
      <c r="E718" s="117"/>
      <c r="F718" s="117"/>
      <c r="G718" s="117"/>
    </row>
    <row r="719">
      <c r="B719" s="117"/>
      <c r="C719" s="117"/>
      <c r="D719" s="117"/>
      <c r="E719" s="117"/>
      <c r="F719" s="117"/>
      <c r="G719" s="117"/>
    </row>
    <row r="720">
      <c r="B720" s="117"/>
      <c r="C720" s="117"/>
      <c r="D720" s="117"/>
      <c r="E720" s="117"/>
      <c r="F720" s="117"/>
      <c r="G720" s="117"/>
    </row>
    <row r="721">
      <c r="B721" s="117"/>
      <c r="C721" s="117"/>
      <c r="D721" s="117"/>
      <c r="E721" s="117"/>
      <c r="F721" s="117"/>
      <c r="G721" s="117"/>
    </row>
    <row r="722">
      <c r="B722" s="117"/>
      <c r="C722" s="117"/>
      <c r="D722" s="117"/>
      <c r="E722" s="117"/>
      <c r="F722" s="117"/>
      <c r="G722" s="117"/>
    </row>
    <row r="723">
      <c r="B723" s="117"/>
      <c r="C723" s="117"/>
      <c r="D723" s="117"/>
      <c r="E723" s="117"/>
      <c r="F723" s="117"/>
      <c r="G723" s="117"/>
    </row>
    <row r="724">
      <c r="B724" s="117"/>
      <c r="C724" s="117"/>
      <c r="D724" s="117"/>
      <c r="E724" s="117"/>
      <c r="F724" s="117"/>
      <c r="G724" s="117"/>
    </row>
    <row r="725">
      <c r="B725" s="117"/>
      <c r="C725" s="117"/>
      <c r="D725" s="117"/>
      <c r="E725" s="117"/>
      <c r="F725" s="117"/>
      <c r="G725" s="117"/>
    </row>
    <row r="726">
      <c r="B726" s="117"/>
      <c r="C726" s="117"/>
      <c r="D726" s="117"/>
      <c r="E726" s="117"/>
      <c r="F726" s="117"/>
      <c r="G726" s="117"/>
    </row>
    <row r="727">
      <c r="B727" s="117"/>
      <c r="C727" s="117"/>
      <c r="D727" s="117"/>
      <c r="E727" s="117"/>
      <c r="F727" s="117"/>
      <c r="G727" s="117"/>
    </row>
    <row r="728">
      <c r="B728" s="117"/>
      <c r="C728" s="117"/>
      <c r="D728" s="117"/>
      <c r="E728" s="117"/>
      <c r="F728" s="117"/>
      <c r="G728" s="117"/>
    </row>
    <row r="729">
      <c r="B729" s="117"/>
      <c r="C729" s="117"/>
      <c r="D729" s="117"/>
      <c r="E729" s="117"/>
      <c r="F729" s="117"/>
      <c r="G729" s="117"/>
    </row>
    <row r="730">
      <c r="B730" s="117"/>
      <c r="C730" s="117"/>
      <c r="D730" s="117"/>
      <c r="E730" s="117"/>
      <c r="F730" s="117"/>
      <c r="G730" s="117"/>
    </row>
    <row r="731">
      <c r="B731" s="117"/>
      <c r="C731" s="117"/>
      <c r="D731" s="117"/>
      <c r="E731" s="117"/>
      <c r="F731" s="117"/>
      <c r="G731" s="117"/>
    </row>
    <row r="732">
      <c r="B732" s="117"/>
      <c r="C732" s="117"/>
      <c r="D732" s="117"/>
      <c r="E732" s="117"/>
      <c r="F732" s="117"/>
      <c r="G732" s="117"/>
    </row>
    <row r="733">
      <c r="B733" s="117"/>
      <c r="C733" s="117"/>
      <c r="D733" s="117"/>
      <c r="E733" s="117"/>
      <c r="F733" s="117"/>
      <c r="G733" s="117"/>
    </row>
    <row r="734">
      <c r="B734" s="117"/>
      <c r="C734" s="117"/>
      <c r="D734" s="117"/>
      <c r="E734" s="117"/>
      <c r="F734" s="117"/>
      <c r="G734" s="117"/>
    </row>
    <row r="735">
      <c r="B735" s="117"/>
      <c r="C735" s="117"/>
      <c r="D735" s="117"/>
      <c r="E735" s="117"/>
      <c r="F735" s="117"/>
      <c r="G735" s="117"/>
    </row>
    <row r="736">
      <c r="B736" s="117"/>
      <c r="C736" s="117"/>
      <c r="D736" s="117"/>
      <c r="E736" s="117"/>
      <c r="F736" s="117"/>
      <c r="G736" s="117"/>
    </row>
    <row r="737">
      <c r="B737" s="117"/>
      <c r="C737" s="117"/>
      <c r="D737" s="117"/>
      <c r="E737" s="117"/>
      <c r="F737" s="117"/>
      <c r="G737" s="117"/>
    </row>
    <row r="738">
      <c r="B738" s="117"/>
      <c r="C738" s="117"/>
      <c r="D738" s="117"/>
      <c r="E738" s="117"/>
      <c r="F738" s="117"/>
      <c r="G738" s="117"/>
    </row>
    <row r="739">
      <c r="B739" s="117"/>
      <c r="C739" s="117"/>
      <c r="D739" s="117"/>
      <c r="E739" s="117"/>
      <c r="F739" s="117"/>
      <c r="G739" s="117"/>
    </row>
    <row r="740">
      <c r="B740" s="117"/>
      <c r="C740" s="117"/>
      <c r="D740" s="117"/>
      <c r="E740" s="117"/>
      <c r="F740" s="117"/>
      <c r="G740" s="117"/>
    </row>
    <row r="741">
      <c r="B741" s="117"/>
      <c r="C741" s="117"/>
      <c r="D741" s="117"/>
      <c r="E741" s="117"/>
      <c r="F741" s="117"/>
      <c r="G741" s="117"/>
    </row>
    <row r="742">
      <c r="B742" s="117"/>
      <c r="C742" s="117"/>
      <c r="D742" s="117"/>
      <c r="E742" s="117"/>
      <c r="F742" s="117"/>
      <c r="G742" s="117"/>
    </row>
    <row r="743">
      <c r="B743" s="117"/>
      <c r="C743" s="117"/>
      <c r="D743" s="117"/>
      <c r="E743" s="117"/>
      <c r="F743" s="117"/>
      <c r="G743" s="117"/>
    </row>
    <row r="744">
      <c r="B744" s="117"/>
      <c r="C744" s="117"/>
      <c r="D744" s="117"/>
      <c r="E744" s="117"/>
      <c r="F744" s="117"/>
      <c r="G744" s="117"/>
    </row>
    <row r="745">
      <c r="B745" s="117"/>
      <c r="C745" s="117"/>
      <c r="D745" s="117"/>
      <c r="E745" s="117"/>
      <c r="F745" s="117"/>
      <c r="G745" s="117"/>
    </row>
    <row r="746">
      <c r="B746" s="117"/>
      <c r="C746" s="117"/>
      <c r="D746" s="117"/>
      <c r="E746" s="117"/>
      <c r="F746" s="117"/>
      <c r="G746" s="117"/>
    </row>
    <row r="747">
      <c r="B747" s="117"/>
      <c r="C747" s="117"/>
      <c r="D747" s="117"/>
      <c r="E747" s="117"/>
      <c r="F747" s="117"/>
      <c r="G747" s="117"/>
    </row>
    <row r="748">
      <c r="B748" s="117"/>
      <c r="C748" s="117"/>
      <c r="D748" s="117"/>
      <c r="E748" s="117"/>
      <c r="F748" s="117"/>
      <c r="G748" s="117"/>
    </row>
    <row r="749">
      <c r="B749" s="117"/>
      <c r="C749" s="117"/>
      <c r="D749" s="117"/>
      <c r="E749" s="117"/>
      <c r="F749" s="117"/>
      <c r="G749" s="117"/>
    </row>
    <row r="750">
      <c r="B750" s="117"/>
      <c r="C750" s="117"/>
      <c r="D750" s="117"/>
      <c r="E750" s="117"/>
      <c r="F750" s="117"/>
      <c r="G750" s="117"/>
    </row>
    <row r="751">
      <c r="B751" s="117"/>
      <c r="C751" s="117"/>
      <c r="D751" s="117"/>
      <c r="E751" s="117"/>
      <c r="F751" s="117"/>
      <c r="G751" s="117"/>
    </row>
    <row r="752">
      <c r="B752" s="117"/>
      <c r="C752" s="117"/>
      <c r="D752" s="117"/>
      <c r="E752" s="117"/>
      <c r="F752" s="117"/>
      <c r="G752" s="117"/>
    </row>
    <row r="753">
      <c r="B753" s="117"/>
      <c r="C753" s="117"/>
      <c r="D753" s="117"/>
      <c r="E753" s="117"/>
      <c r="F753" s="117"/>
      <c r="G753" s="117"/>
    </row>
    <row r="754">
      <c r="B754" s="117"/>
      <c r="C754" s="117"/>
      <c r="D754" s="117"/>
      <c r="E754" s="117"/>
      <c r="F754" s="117"/>
      <c r="G754" s="117"/>
    </row>
    <row r="755">
      <c r="B755" s="117"/>
      <c r="C755" s="117"/>
      <c r="D755" s="117"/>
      <c r="E755" s="117"/>
      <c r="F755" s="117"/>
      <c r="G755" s="117"/>
    </row>
    <row r="756">
      <c r="B756" s="117"/>
      <c r="C756" s="117"/>
      <c r="D756" s="117"/>
      <c r="E756" s="117"/>
      <c r="F756" s="117"/>
      <c r="G756" s="117"/>
    </row>
    <row r="757">
      <c r="B757" s="117"/>
      <c r="C757" s="117"/>
      <c r="D757" s="117"/>
      <c r="E757" s="117"/>
      <c r="F757" s="117"/>
      <c r="G757" s="117"/>
    </row>
    <row r="758">
      <c r="B758" s="117"/>
      <c r="C758" s="117"/>
      <c r="D758" s="117"/>
      <c r="E758" s="117"/>
      <c r="F758" s="117"/>
      <c r="G758" s="117"/>
    </row>
    <row r="759">
      <c r="B759" s="117"/>
      <c r="C759" s="117"/>
      <c r="D759" s="117"/>
      <c r="E759" s="117"/>
      <c r="F759" s="117"/>
      <c r="G759" s="117"/>
    </row>
    <row r="760">
      <c r="B760" s="117"/>
      <c r="C760" s="117"/>
      <c r="D760" s="117"/>
      <c r="E760" s="117"/>
      <c r="F760" s="117"/>
      <c r="G760" s="117"/>
    </row>
    <row r="761">
      <c r="B761" s="117"/>
      <c r="C761" s="117"/>
      <c r="D761" s="117"/>
      <c r="E761" s="117"/>
      <c r="F761" s="117"/>
      <c r="G761" s="117"/>
    </row>
    <row r="762">
      <c r="B762" s="117"/>
      <c r="C762" s="117"/>
      <c r="D762" s="117"/>
      <c r="E762" s="117"/>
      <c r="F762" s="117"/>
      <c r="G762" s="117"/>
    </row>
    <row r="763">
      <c r="B763" s="117"/>
      <c r="C763" s="117"/>
      <c r="D763" s="117"/>
      <c r="E763" s="117"/>
      <c r="F763" s="117"/>
      <c r="G763" s="117"/>
    </row>
    <row r="764">
      <c r="B764" s="117"/>
      <c r="C764" s="117"/>
      <c r="D764" s="117"/>
      <c r="E764" s="117"/>
      <c r="F764" s="117"/>
      <c r="G764" s="117"/>
    </row>
    <row r="765">
      <c r="B765" s="117"/>
      <c r="C765" s="117"/>
      <c r="D765" s="117"/>
      <c r="E765" s="117"/>
      <c r="F765" s="117"/>
      <c r="G765" s="117"/>
    </row>
    <row r="766">
      <c r="B766" s="117"/>
      <c r="C766" s="117"/>
      <c r="D766" s="117"/>
      <c r="E766" s="117"/>
      <c r="F766" s="117"/>
      <c r="G766" s="117"/>
    </row>
    <row r="767">
      <c r="B767" s="117"/>
      <c r="C767" s="117"/>
      <c r="D767" s="117"/>
      <c r="E767" s="117"/>
      <c r="F767" s="117"/>
      <c r="G767" s="117"/>
    </row>
    <row r="768">
      <c r="B768" s="117"/>
      <c r="C768" s="117"/>
      <c r="D768" s="117"/>
      <c r="E768" s="117"/>
      <c r="F768" s="117"/>
      <c r="G768" s="117"/>
    </row>
    <row r="769">
      <c r="B769" s="117"/>
      <c r="C769" s="117"/>
      <c r="D769" s="117"/>
      <c r="E769" s="117"/>
      <c r="F769" s="117"/>
      <c r="G769" s="117"/>
    </row>
    <row r="770">
      <c r="B770" s="117"/>
      <c r="C770" s="117"/>
      <c r="D770" s="117"/>
      <c r="E770" s="117"/>
      <c r="F770" s="117"/>
      <c r="G770" s="117"/>
    </row>
    <row r="771">
      <c r="B771" s="117"/>
      <c r="C771" s="117"/>
      <c r="D771" s="117"/>
      <c r="E771" s="117"/>
      <c r="F771" s="117"/>
      <c r="G771" s="117"/>
    </row>
    <row r="772">
      <c r="B772" s="117"/>
      <c r="C772" s="117"/>
      <c r="D772" s="117"/>
      <c r="E772" s="117"/>
      <c r="F772" s="117"/>
      <c r="G772" s="117"/>
    </row>
    <row r="773">
      <c r="B773" s="117"/>
      <c r="C773" s="117"/>
      <c r="D773" s="117"/>
      <c r="E773" s="117"/>
      <c r="F773" s="117"/>
      <c r="G773" s="117"/>
    </row>
    <row r="774">
      <c r="B774" s="117"/>
      <c r="C774" s="117"/>
      <c r="D774" s="117"/>
      <c r="E774" s="117"/>
      <c r="F774" s="117"/>
      <c r="G774" s="117"/>
    </row>
    <row r="775">
      <c r="B775" s="117"/>
      <c r="C775" s="117"/>
      <c r="D775" s="117"/>
      <c r="E775" s="117"/>
      <c r="F775" s="117"/>
      <c r="G775" s="117"/>
    </row>
    <row r="776">
      <c r="B776" s="117"/>
      <c r="C776" s="117"/>
      <c r="D776" s="117"/>
      <c r="E776" s="117"/>
      <c r="F776" s="117"/>
      <c r="G776" s="117"/>
    </row>
    <row r="777">
      <c r="B777" s="117"/>
      <c r="C777" s="117"/>
      <c r="D777" s="117"/>
      <c r="E777" s="117"/>
      <c r="F777" s="117"/>
      <c r="G777" s="117"/>
    </row>
    <row r="778">
      <c r="B778" s="117"/>
      <c r="C778" s="117"/>
      <c r="D778" s="117"/>
      <c r="E778" s="117"/>
      <c r="F778" s="117"/>
      <c r="G778" s="117"/>
    </row>
    <row r="779">
      <c r="B779" s="117"/>
      <c r="C779" s="117"/>
      <c r="D779" s="117"/>
      <c r="E779" s="117"/>
      <c r="F779" s="117"/>
      <c r="G779" s="117"/>
    </row>
    <row r="780">
      <c r="B780" s="117"/>
      <c r="C780" s="117"/>
      <c r="D780" s="117"/>
      <c r="E780" s="117"/>
      <c r="F780" s="117"/>
      <c r="G780" s="117"/>
    </row>
    <row r="781">
      <c r="B781" s="117"/>
      <c r="C781" s="117"/>
      <c r="D781" s="117"/>
      <c r="E781" s="117"/>
      <c r="F781" s="117"/>
      <c r="G781" s="117"/>
    </row>
    <row r="782">
      <c r="B782" s="117"/>
      <c r="C782" s="117"/>
      <c r="D782" s="117"/>
      <c r="E782" s="117"/>
      <c r="F782" s="117"/>
      <c r="G782" s="117"/>
    </row>
    <row r="783">
      <c r="B783" s="117"/>
      <c r="C783" s="117"/>
      <c r="D783" s="117"/>
      <c r="E783" s="117"/>
      <c r="F783" s="117"/>
      <c r="G783" s="117"/>
    </row>
    <row r="784">
      <c r="B784" s="117"/>
      <c r="C784" s="117"/>
      <c r="D784" s="117"/>
      <c r="E784" s="117"/>
      <c r="F784" s="117"/>
      <c r="G784" s="117"/>
    </row>
    <row r="785">
      <c r="B785" s="117"/>
      <c r="C785" s="117"/>
      <c r="D785" s="117"/>
      <c r="E785" s="117"/>
      <c r="F785" s="117"/>
      <c r="G785" s="117"/>
    </row>
    <row r="786">
      <c r="B786" s="117"/>
      <c r="C786" s="117"/>
      <c r="D786" s="117"/>
      <c r="E786" s="117"/>
      <c r="F786" s="117"/>
      <c r="G786" s="117"/>
    </row>
    <row r="787">
      <c r="B787" s="117"/>
      <c r="C787" s="117"/>
      <c r="D787" s="117"/>
      <c r="E787" s="117"/>
      <c r="F787" s="117"/>
      <c r="G787" s="117"/>
    </row>
    <row r="788">
      <c r="B788" s="117"/>
      <c r="C788" s="117"/>
      <c r="D788" s="117"/>
      <c r="E788" s="117"/>
      <c r="F788" s="117"/>
      <c r="G788" s="117"/>
    </row>
    <row r="789">
      <c r="B789" s="117"/>
      <c r="C789" s="117"/>
      <c r="D789" s="117"/>
      <c r="E789" s="117"/>
      <c r="F789" s="117"/>
      <c r="G789" s="117"/>
    </row>
    <row r="790">
      <c r="B790" s="117"/>
      <c r="C790" s="117"/>
      <c r="D790" s="117"/>
      <c r="E790" s="117"/>
      <c r="F790" s="117"/>
      <c r="G790" s="117"/>
    </row>
    <row r="791">
      <c r="B791" s="117"/>
      <c r="C791" s="117"/>
      <c r="D791" s="117"/>
      <c r="E791" s="117"/>
      <c r="F791" s="117"/>
      <c r="G791" s="117"/>
    </row>
    <row r="792">
      <c r="B792" s="117"/>
      <c r="C792" s="117"/>
      <c r="D792" s="117"/>
      <c r="E792" s="117"/>
      <c r="F792" s="117"/>
      <c r="G792" s="117"/>
    </row>
    <row r="793">
      <c r="B793" s="117"/>
      <c r="C793" s="117"/>
      <c r="D793" s="117"/>
      <c r="E793" s="117"/>
      <c r="F793" s="117"/>
      <c r="G793" s="117"/>
    </row>
    <row r="794">
      <c r="B794" s="117"/>
      <c r="C794" s="117"/>
      <c r="D794" s="117"/>
      <c r="E794" s="117"/>
      <c r="F794" s="117"/>
      <c r="G794" s="117"/>
    </row>
    <row r="795">
      <c r="B795" s="117"/>
      <c r="C795" s="117"/>
      <c r="D795" s="117"/>
      <c r="E795" s="117"/>
      <c r="F795" s="117"/>
      <c r="G795" s="117"/>
    </row>
    <row r="796">
      <c r="B796" s="117"/>
      <c r="C796" s="117"/>
      <c r="D796" s="117"/>
      <c r="E796" s="117"/>
      <c r="F796" s="117"/>
      <c r="G796" s="117"/>
    </row>
    <row r="797">
      <c r="B797" s="117"/>
      <c r="C797" s="117"/>
      <c r="D797" s="117"/>
      <c r="E797" s="117"/>
      <c r="F797" s="117"/>
      <c r="G797" s="117"/>
    </row>
    <row r="798">
      <c r="B798" s="117"/>
      <c r="C798" s="117"/>
      <c r="D798" s="117"/>
      <c r="E798" s="117"/>
      <c r="F798" s="117"/>
      <c r="G798" s="117"/>
    </row>
    <row r="799">
      <c r="B799" s="117"/>
      <c r="C799" s="117"/>
      <c r="D799" s="117"/>
      <c r="E799" s="117"/>
      <c r="F799" s="117"/>
      <c r="G799" s="117"/>
    </row>
    <row r="800">
      <c r="B800" s="117"/>
      <c r="C800" s="117"/>
      <c r="D800" s="117"/>
      <c r="E800" s="117"/>
      <c r="F800" s="117"/>
      <c r="G800" s="117"/>
    </row>
    <row r="801">
      <c r="B801" s="117"/>
      <c r="C801" s="117"/>
      <c r="D801" s="117"/>
      <c r="E801" s="117"/>
      <c r="F801" s="117"/>
      <c r="G801" s="117"/>
    </row>
    <row r="802">
      <c r="B802" s="117"/>
      <c r="C802" s="117"/>
      <c r="D802" s="117"/>
      <c r="E802" s="117"/>
      <c r="F802" s="117"/>
      <c r="G802" s="117"/>
    </row>
    <row r="803">
      <c r="B803" s="117"/>
      <c r="C803" s="117"/>
      <c r="D803" s="117"/>
      <c r="E803" s="117"/>
      <c r="F803" s="117"/>
      <c r="G803" s="117"/>
    </row>
    <row r="804">
      <c r="B804" s="117"/>
      <c r="C804" s="117"/>
      <c r="D804" s="117"/>
      <c r="E804" s="117"/>
      <c r="F804" s="117"/>
      <c r="G804" s="117"/>
    </row>
    <row r="805">
      <c r="B805" s="117"/>
      <c r="C805" s="117"/>
      <c r="D805" s="117"/>
      <c r="E805" s="117"/>
      <c r="F805" s="117"/>
      <c r="G805" s="117"/>
    </row>
    <row r="806">
      <c r="B806" s="117"/>
      <c r="C806" s="117"/>
      <c r="D806" s="117"/>
      <c r="E806" s="117"/>
      <c r="F806" s="117"/>
      <c r="G806" s="117"/>
    </row>
    <row r="807">
      <c r="B807" s="117"/>
      <c r="C807" s="117"/>
      <c r="D807" s="117"/>
      <c r="E807" s="117"/>
      <c r="F807" s="117"/>
      <c r="G807" s="117"/>
    </row>
    <row r="808">
      <c r="B808" s="117"/>
      <c r="C808" s="117"/>
      <c r="D808" s="117"/>
      <c r="E808" s="117"/>
      <c r="F808" s="117"/>
      <c r="G808" s="117"/>
    </row>
    <row r="809">
      <c r="B809" s="117"/>
      <c r="C809" s="117"/>
      <c r="D809" s="117"/>
      <c r="E809" s="117"/>
      <c r="F809" s="117"/>
      <c r="G809" s="117"/>
    </row>
    <row r="810">
      <c r="B810" s="117"/>
      <c r="C810" s="117"/>
      <c r="D810" s="117"/>
      <c r="E810" s="117"/>
      <c r="F810" s="117"/>
      <c r="G810" s="117"/>
    </row>
    <row r="811">
      <c r="B811" s="117"/>
      <c r="C811" s="117"/>
      <c r="D811" s="117"/>
      <c r="E811" s="117"/>
      <c r="F811" s="117"/>
      <c r="G811" s="117"/>
    </row>
    <row r="812">
      <c r="B812" s="117"/>
      <c r="C812" s="117"/>
      <c r="D812" s="117"/>
      <c r="E812" s="117"/>
      <c r="F812" s="117"/>
      <c r="G812" s="117"/>
    </row>
    <row r="813">
      <c r="B813" s="117"/>
      <c r="C813" s="117"/>
      <c r="D813" s="117"/>
      <c r="E813" s="117"/>
      <c r="F813" s="117"/>
      <c r="G813" s="117"/>
    </row>
    <row r="814">
      <c r="B814" s="117"/>
      <c r="C814" s="117"/>
      <c r="D814" s="117"/>
      <c r="E814" s="117"/>
      <c r="F814" s="117"/>
      <c r="G814" s="117"/>
    </row>
    <row r="815">
      <c r="B815" s="117"/>
      <c r="C815" s="117"/>
      <c r="D815" s="117"/>
      <c r="E815" s="117"/>
      <c r="F815" s="117"/>
      <c r="G815" s="117"/>
    </row>
    <row r="816">
      <c r="B816" s="117"/>
      <c r="C816" s="117"/>
      <c r="D816" s="117"/>
      <c r="E816" s="117"/>
      <c r="F816" s="117"/>
      <c r="G816" s="117"/>
    </row>
    <row r="817">
      <c r="B817" s="117"/>
      <c r="C817" s="117"/>
      <c r="D817" s="117"/>
      <c r="E817" s="117"/>
      <c r="F817" s="117"/>
      <c r="G817" s="117"/>
    </row>
    <row r="818">
      <c r="B818" s="117"/>
      <c r="C818" s="117"/>
      <c r="D818" s="117"/>
      <c r="E818" s="117"/>
      <c r="F818" s="117"/>
      <c r="G818" s="117"/>
    </row>
    <row r="819">
      <c r="B819" s="117"/>
      <c r="C819" s="117"/>
      <c r="D819" s="117"/>
      <c r="E819" s="117"/>
      <c r="F819" s="117"/>
      <c r="G819" s="117"/>
    </row>
    <row r="820">
      <c r="B820" s="117"/>
      <c r="C820" s="117"/>
      <c r="D820" s="117"/>
      <c r="E820" s="117"/>
      <c r="F820" s="117"/>
      <c r="G820" s="117"/>
    </row>
    <row r="821">
      <c r="B821" s="117"/>
      <c r="C821" s="117"/>
      <c r="D821" s="117"/>
      <c r="E821" s="117"/>
      <c r="F821" s="117"/>
      <c r="G821" s="117"/>
    </row>
    <row r="822">
      <c r="B822" s="117"/>
      <c r="C822" s="117"/>
      <c r="D822" s="117"/>
      <c r="E822" s="117"/>
      <c r="F822" s="117"/>
      <c r="G822" s="117"/>
    </row>
    <row r="823">
      <c r="B823" s="117"/>
      <c r="C823" s="117"/>
      <c r="D823" s="117"/>
      <c r="E823" s="117"/>
      <c r="F823" s="117"/>
      <c r="G823" s="117"/>
    </row>
    <row r="824">
      <c r="B824" s="117"/>
      <c r="C824" s="117"/>
      <c r="D824" s="117"/>
      <c r="E824" s="117"/>
      <c r="F824" s="117"/>
      <c r="G824" s="117"/>
    </row>
    <row r="825">
      <c r="B825" s="117"/>
      <c r="C825" s="117"/>
      <c r="D825" s="117"/>
      <c r="E825" s="117"/>
      <c r="F825" s="117"/>
      <c r="G825" s="117"/>
    </row>
    <row r="826">
      <c r="B826" s="117"/>
      <c r="C826" s="117"/>
      <c r="D826" s="117"/>
      <c r="E826" s="117"/>
      <c r="F826" s="117"/>
      <c r="G826" s="117"/>
    </row>
    <row r="827">
      <c r="B827" s="117"/>
      <c r="C827" s="117"/>
      <c r="D827" s="117"/>
      <c r="E827" s="117"/>
      <c r="F827" s="117"/>
      <c r="G827" s="117"/>
    </row>
    <row r="828">
      <c r="B828" s="117"/>
      <c r="C828" s="117"/>
      <c r="D828" s="117"/>
      <c r="E828" s="117"/>
      <c r="F828" s="117"/>
      <c r="G828" s="117"/>
    </row>
    <row r="829">
      <c r="B829" s="117"/>
      <c r="C829" s="117"/>
      <c r="D829" s="117"/>
      <c r="E829" s="117"/>
      <c r="F829" s="117"/>
      <c r="G829" s="117"/>
    </row>
    <row r="830">
      <c r="B830" s="117"/>
      <c r="C830" s="117"/>
      <c r="D830" s="117"/>
      <c r="E830" s="117"/>
      <c r="F830" s="117"/>
      <c r="G830" s="117"/>
    </row>
    <row r="831">
      <c r="B831" s="117"/>
      <c r="C831" s="117"/>
      <c r="D831" s="117"/>
      <c r="E831" s="117"/>
      <c r="F831" s="117"/>
      <c r="G831" s="117"/>
    </row>
    <row r="832">
      <c r="B832" s="117"/>
      <c r="C832" s="117"/>
      <c r="D832" s="117"/>
      <c r="E832" s="117"/>
      <c r="F832" s="117"/>
      <c r="G832" s="117"/>
    </row>
    <row r="833">
      <c r="B833" s="117"/>
      <c r="C833" s="117"/>
      <c r="D833" s="117"/>
      <c r="E833" s="117"/>
      <c r="F833" s="117"/>
      <c r="G833" s="117"/>
    </row>
    <row r="834">
      <c r="B834" s="117"/>
      <c r="C834" s="117"/>
      <c r="D834" s="117"/>
      <c r="E834" s="117"/>
      <c r="F834" s="117"/>
      <c r="G834" s="117"/>
    </row>
    <row r="835">
      <c r="B835" s="117"/>
      <c r="C835" s="117"/>
      <c r="D835" s="117"/>
      <c r="E835" s="117"/>
      <c r="F835" s="117"/>
      <c r="G835" s="117"/>
    </row>
    <row r="836">
      <c r="B836" s="117"/>
      <c r="C836" s="117"/>
      <c r="D836" s="117"/>
      <c r="E836" s="117"/>
      <c r="F836" s="117"/>
      <c r="G836" s="117"/>
    </row>
    <row r="837">
      <c r="B837" s="117"/>
      <c r="C837" s="117"/>
      <c r="D837" s="117"/>
      <c r="E837" s="117"/>
      <c r="F837" s="117"/>
      <c r="G837" s="117"/>
    </row>
    <row r="838">
      <c r="B838" s="117"/>
      <c r="C838" s="117"/>
      <c r="D838" s="117"/>
      <c r="E838" s="117"/>
      <c r="F838" s="117"/>
      <c r="G838" s="117"/>
    </row>
    <row r="839">
      <c r="B839" s="117"/>
      <c r="C839" s="117"/>
      <c r="D839" s="117"/>
      <c r="E839" s="117"/>
      <c r="F839" s="117"/>
      <c r="G839" s="117"/>
    </row>
    <row r="840">
      <c r="B840" s="117"/>
      <c r="C840" s="117"/>
      <c r="D840" s="117"/>
      <c r="E840" s="117"/>
      <c r="F840" s="117"/>
      <c r="G840" s="117"/>
    </row>
    <row r="841">
      <c r="B841" s="117"/>
      <c r="C841" s="117"/>
      <c r="D841" s="117"/>
      <c r="E841" s="117"/>
      <c r="F841" s="117"/>
      <c r="G841" s="117"/>
    </row>
    <row r="842">
      <c r="B842" s="117"/>
      <c r="C842" s="117"/>
      <c r="D842" s="117"/>
      <c r="E842" s="117"/>
      <c r="F842" s="117"/>
      <c r="G842" s="117"/>
    </row>
    <row r="843">
      <c r="B843" s="117"/>
      <c r="C843" s="117"/>
      <c r="D843" s="117"/>
      <c r="E843" s="117"/>
      <c r="F843" s="117"/>
      <c r="G843" s="117"/>
    </row>
    <row r="844">
      <c r="B844" s="117"/>
      <c r="C844" s="117"/>
      <c r="D844" s="117"/>
      <c r="E844" s="117"/>
      <c r="F844" s="117"/>
      <c r="G844" s="117"/>
    </row>
    <row r="845">
      <c r="B845" s="117"/>
      <c r="C845" s="117"/>
      <c r="D845" s="117"/>
      <c r="E845" s="117"/>
      <c r="F845" s="117"/>
      <c r="G845" s="117"/>
    </row>
    <row r="846">
      <c r="B846" s="117"/>
      <c r="C846" s="117"/>
      <c r="D846" s="117"/>
      <c r="E846" s="117"/>
      <c r="F846" s="117"/>
      <c r="G846" s="117"/>
    </row>
    <row r="847">
      <c r="B847" s="117"/>
      <c r="C847" s="117"/>
      <c r="D847" s="117"/>
      <c r="E847" s="117"/>
      <c r="F847" s="117"/>
      <c r="G847" s="117"/>
    </row>
    <row r="848">
      <c r="B848" s="117"/>
      <c r="C848" s="117"/>
      <c r="D848" s="117"/>
      <c r="E848" s="117"/>
      <c r="F848" s="117"/>
      <c r="G848" s="117"/>
    </row>
    <row r="849">
      <c r="B849" s="117"/>
      <c r="C849" s="117"/>
      <c r="D849" s="117"/>
      <c r="E849" s="117"/>
      <c r="F849" s="117"/>
      <c r="G849" s="117"/>
    </row>
    <row r="850">
      <c r="B850" s="117"/>
      <c r="C850" s="117"/>
      <c r="D850" s="117"/>
      <c r="E850" s="117"/>
      <c r="F850" s="117"/>
      <c r="G850" s="117"/>
    </row>
    <row r="851">
      <c r="B851" s="117"/>
      <c r="C851" s="117"/>
      <c r="D851" s="117"/>
      <c r="E851" s="117"/>
      <c r="F851" s="117"/>
      <c r="G851" s="117"/>
    </row>
    <row r="852">
      <c r="B852" s="117"/>
      <c r="C852" s="117"/>
      <c r="D852" s="117"/>
      <c r="E852" s="117"/>
      <c r="F852" s="117"/>
      <c r="G852" s="117"/>
    </row>
    <row r="853">
      <c r="B853" s="117"/>
      <c r="C853" s="117"/>
      <c r="D853" s="117"/>
      <c r="E853" s="117"/>
      <c r="F853" s="117"/>
      <c r="G853" s="117"/>
    </row>
    <row r="854">
      <c r="B854" s="117"/>
      <c r="C854" s="117"/>
      <c r="D854" s="117"/>
      <c r="E854" s="117"/>
      <c r="F854" s="117"/>
      <c r="G854" s="117"/>
    </row>
    <row r="855">
      <c r="B855" s="117"/>
      <c r="C855" s="117"/>
      <c r="D855" s="117"/>
      <c r="E855" s="117"/>
      <c r="F855" s="117"/>
      <c r="G855" s="117"/>
    </row>
    <row r="856">
      <c r="B856" s="117"/>
      <c r="C856" s="117"/>
      <c r="D856" s="117"/>
      <c r="E856" s="117"/>
      <c r="F856" s="117"/>
      <c r="G856" s="117"/>
    </row>
    <row r="857">
      <c r="B857" s="117"/>
      <c r="C857" s="117"/>
      <c r="D857" s="117"/>
      <c r="E857" s="117"/>
      <c r="F857" s="117"/>
      <c r="G857" s="117"/>
    </row>
    <row r="858">
      <c r="B858" s="117"/>
      <c r="C858" s="117"/>
      <c r="D858" s="117"/>
      <c r="E858" s="117"/>
      <c r="F858" s="117"/>
      <c r="G858" s="117"/>
    </row>
    <row r="859">
      <c r="B859" s="117"/>
      <c r="C859" s="117"/>
      <c r="D859" s="117"/>
      <c r="E859" s="117"/>
      <c r="F859" s="117"/>
      <c r="G859" s="117"/>
    </row>
    <row r="860">
      <c r="B860" s="117"/>
      <c r="C860" s="117"/>
      <c r="D860" s="117"/>
      <c r="E860" s="117"/>
      <c r="F860" s="117"/>
      <c r="G860" s="117"/>
    </row>
    <row r="861">
      <c r="B861" s="117"/>
      <c r="C861" s="117"/>
      <c r="D861" s="117"/>
      <c r="E861" s="117"/>
      <c r="F861" s="117"/>
      <c r="G861" s="117"/>
    </row>
    <row r="862">
      <c r="B862" s="117"/>
      <c r="C862" s="117"/>
      <c r="D862" s="117"/>
      <c r="E862" s="117"/>
      <c r="F862" s="117"/>
      <c r="G862" s="117"/>
    </row>
    <row r="863">
      <c r="B863" s="117"/>
      <c r="C863" s="117"/>
      <c r="D863" s="117"/>
      <c r="E863" s="117"/>
      <c r="F863" s="117"/>
      <c r="G863" s="117"/>
    </row>
    <row r="864">
      <c r="B864" s="117"/>
      <c r="C864" s="117"/>
      <c r="D864" s="117"/>
      <c r="E864" s="117"/>
      <c r="F864" s="117"/>
      <c r="G864" s="117"/>
    </row>
    <row r="865">
      <c r="B865" s="117"/>
      <c r="C865" s="117"/>
      <c r="D865" s="117"/>
      <c r="E865" s="117"/>
      <c r="F865" s="117"/>
      <c r="G865" s="117"/>
    </row>
    <row r="866">
      <c r="B866" s="117"/>
      <c r="C866" s="117"/>
      <c r="D866" s="117"/>
      <c r="E866" s="117"/>
      <c r="F866" s="117"/>
      <c r="G866" s="117"/>
    </row>
    <row r="867">
      <c r="B867" s="117"/>
      <c r="C867" s="117"/>
      <c r="D867" s="117"/>
      <c r="E867" s="117"/>
      <c r="F867" s="117"/>
      <c r="G867" s="117"/>
    </row>
    <row r="868">
      <c r="B868" s="117"/>
      <c r="C868" s="117"/>
      <c r="D868" s="117"/>
      <c r="E868" s="117"/>
      <c r="F868" s="117"/>
      <c r="G868" s="117"/>
    </row>
    <row r="869">
      <c r="B869" s="117"/>
      <c r="C869" s="117"/>
      <c r="D869" s="117"/>
      <c r="E869" s="117"/>
      <c r="F869" s="117"/>
      <c r="G869" s="117"/>
    </row>
    <row r="870">
      <c r="B870" s="117"/>
      <c r="C870" s="117"/>
      <c r="D870" s="117"/>
      <c r="E870" s="117"/>
      <c r="F870" s="117"/>
      <c r="G870" s="117"/>
    </row>
    <row r="871">
      <c r="B871" s="117"/>
      <c r="C871" s="117"/>
      <c r="D871" s="117"/>
      <c r="E871" s="117"/>
      <c r="F871" s="117"/>
      <c r="G871" s="117"/>
    </row>
    <row r="872">
      <c r="B872" s="117"/>
      <c r="C872" s="117"/>
      <c r="D872" s="117"/>
      <c r="E872" s="117"/>
      <c r="F872" s="117"/>
      <c r="G872" s="117"/>
    </row>
    <row r="873">
      <c r="B873" s="117"/>
      <c r="C873" s="117"/>
      <c r="D873" s="117"/>
      <c r="E873" s="117"/>
      <c r="F873" s="117"/>
      <c r="G873" s="117"/>
    </row>
    <row r="874">
      <c r="B874" s="117"/>
      <c r="C874" s="117"/>
      <c r="D874" s="117"/>
      <c r="E874" s="117"/>
      <c r="F874" s="117"/>
      <c r="G874" s="117"/>
    </row>
    <row r="875">
      <c r="B875" s="117"/>
      <c r="C875" s="117"/>
      <c r="D875" s="117"/>
      <c r="E875" s="117"/>
      <c r="F875" s="117"/>
      <c r="G875" s="117"/>
    </row>
    <row r="876">
      <c r="B876" s="117"/>
      <c r="C876" s="117"/>
      <c r="D876" s="117"/>
      <c r="E876" s="117"/>
      <c r="F876" s="117"/>
      <c r="G876" s="117"/>
    </row>
    <row r="877">
      <c r="B877" s="117"/>
      <c r="C877" s="117"/>
      <c r="D877" s="117"/>
      <c r="E877" s="117"/>
      <c r="F877" s="117"/>
      <c r="G877" s="117"/>
    </row>
    <row r="878">
      <c r="B878" s="117"/>
      <c r="C878" s="117"/>
      <c r="D878" s="117"/>
      <c r="E878" s="117"/>
      <c r="F878" s="117"/>
      <c r="G878" s="117"/>
    </row>
    <row r="879">
      <c r="B879" s="117"/>
      <c r="C879" s="117"/>
      <c r="D879" s="117"/>
      <c r="E879" s="117"/>
      <c r="F879" s="117"/>
      <c r="G879" s="117"/>
    </row>
    <row r="880">
      <c r="B880" s="117"/>
      <c r="C880" s="117"/>
      <c r="D880" s="117"/>
      <c r="E880" s="117"/>
      <c r="F880" s="117"/>
      <c r="G880" s="117"/>
    </row>
    <row r="881">
      <c r="B881" s="117"/>
      <c r="C881" s="117"/>
      <c r="D881" s="117"/>
      <c r="E881" s="117"/>
      <c r="F881" s="117"/>
      <c r="G881" s="117"/>
    </row>
    <row r="882">
      <c r="B882" s="117"/>
      <c r="C882" s="117"/>
      <c r="D882" s="117"/>
      <c r="E882" s="117"/>
      <c r="F882" s="117"/>
      <c r="G882" s="117"/>
    </row>
    <row r="883">
      <c r="B883" s="117"/>
      <c r="C883" s="117"/>
      <c r="D883" s="117"/>
      <c r="E883" s="117"/>
      <c r="F883" s="117"/>
      <c r="G883" s="117"/>
    </row>
    <row r="884">
      <c r="B884" s="117"/>
      <c r="C884" s="117"/>
      <c r="D884" s="117"/>
      <c r="E884" s="117"/>
      <c r="F884" s="117"/>
      <c r="G884" s="117"/>
    </row>
    <row r="885">
      <c r="B885" s="117"/>
      <c r="C885" s="117"/>
      <c r="D885" s="117"/>
      <c r="E885" s="117"/>
      <c r="F885" s="117"/>
      <c r="G885" s="117"/>
    </row>
    <row r="886">
      <c r="B886" s="117"/>
      <c r="C886" s="117"/>
      <c r="D886" s="117"/>
      <c r="E886" s="117"/>
      <c r="F886" s="117"/>
      <c r="G886" s="117"/>
    </row>
    <row r="887">
      <c r="B887" s="117"/>
      <c r="C887" s="117"/>
      <c r="D887" s="117"/>
      <c r="E887" s="117"/>
      <c r="F887" s="117"/>
      <c r="G887" s="117"/>
    </row>
    <row r="888">
      <c r="B888" s="117"/>
      <c r="C888" s="117"/>
      <c r="D888" s="117"/>
      <c r="E888" s="117"/>
      <c r="F888" s="117"/>
      <c r="G888" s="117"/>
    </row>
    <row r="889">
      <c r="B889" s="117"/>
      <c r="C889" s="117"/>
      <c r="D889" s="117"/>
      <c r="E889" s="117"/>
      <c r="F889" s="117"/>
      <c r="G889" s="117"/>
    </row>
    <row r="890">
      <c r="B890" s="117"/>
      <c r="C890" s="117"/>
      <c r="D890" s="117"/>
      <c r="E890" s="117"/>
      <c r="F890" s="117"/>
      <c r="G890" s="117"/>
    </row>
    <row r="891">
      <c r="B891" s="117"/>
      <c r="C891" s="117"/>
      <c r="D891" s="117"/>
      <c r="E891" s="117"/>
      <c r="F891" s="117"/>
      <c r="G891" s="117"/>
    </row>
    <row r="892">
      <c r="B892" s="117"/>
      <c r="C892" s="117"/>
      <c r="D892" s="117"/>
      <c r="E892" s="117"/>
      <c r="F892" s="117"/>
      <c r="G892" s="117"/>
    </row>
    <row r="893">
      <c r="B893" s="117"/>
      <c r="C893" s="117"/>
      <c r="D893" s="117"/>
      <c r="E893" s="117"/>
      <c r="F893" s="117"/>
      <c r="G893" s="117"/>
    </row>
    <row r="894">
      <c r="B894" s="117"/>
      <c r="C894" s="117"/>
      <c r="D894" s="117"/>
      <c r="E894" s="117"/>
      <c r="F894" s="117"/>
      <c r="G894" s="117"/>
    </row>
    <row r="895">
      <c r="B895" s="117"/>
      <c r="C895" s="117"/>
      <c r="D895" s="117"/>
      <c r="E895" s="117"/>
      <c r="F895" s="117"/>
      <c r="G895" s="117"/>
    </row>
    <row r="896">
      <c r="B896" s="117"/>
      <c r="C896" s="117"/>
      <c r="D896" s="117"/>
      <c r="E896" s="117"/>
      <c r="F896" s="117"/>
      <c r="G896" s="117"/>
    </row>
    <row r="897">
      <c r="B897" s="117"/>
      <c r="C897" s="117"/>
      <c r="D897" s="117"/>
      <c r="E897" s="117"/>
      <c r="F897" s="117"/>
      <c r="G897" s="117"/>
    </row>
    <row r="898">
      <c r="B898" s="117"/>
      <c r="C898" s="117"/>
      <c r="D898" s="117"/>
      <c r="E898" s="117"/>
      <c r="F898" s="117"/>
      <c r="G898" s="117"/>
    </row>
    <row r="899">
      <c r="B899" s="117"/>
      <c r="C899" s="117"/>
      <c r="D899" s="117"/>
      <c r="E899" s="117"/>
      <c r="F899" s="117"/>
      <c r="G899" s="117"/>
    </row>
    <row r="900">
      <c r="B900" s="117"/>
      <c r="C900" s="117"/>
      <c r="D900" s="117"/>
      <c r="E900" s="117"/>
      <c r="F900" s="117"/>
      <c r="G900" s="117"/>
    </row>
    <row r="901">
      <c r="B901" s="117"/>
      <c r="C901" s="117"/>
      <c r="D901" s="117"/>
      <c r="E901" s="117"/>
      <c r="F901" s="117"/>
      <c r="G901" s="117"/>
    </row>
    <row r="902">
      <c r="B902" s="117"/>
      <c r="C902" s="117"/>
      <c r="D902" s="117"/>
      <c r="E902" s="117"/>
      <c r="F902" s="117"/>
      <c r="G902" s="117"/>
    </row>
    <row r="903">
      <c r="B903" s="117"/>
      <c r="C903" s="117"/>
      <c r="D903" s="117"/>
      <c r="E903" s="117"/>
      <c r="F903" s="117"/>
      <c r="G903" s="117"/>
    </row>
    <row r="904">
      <c r="B904" s="117"/>
      <c r="C904" s="117"/>
      <c r="D904" s="117"/>
      <c r="E904" s="117"/>
      <c r="F904" s="117"/>
      <c r="G904" s="117"/>
    </row>
    <row r="905">
      <c r="B905" s="117"/>
      <c r="C905" s="117"/>
      <c r="D905" s="117"/>
      <c r="E905" s="117"/>
      <c r="F905" s="117"/>
      <c r="G905" s="117"/>
    </row>
    <row r="906">
      <c r="B906" s="117"/>
      <c r="C906" s="117"/>
      <c r="D906" s="117"/>
      <c r="E906" s="117"/>
      <c r="F906" s="117"/>
      <c r="G906" s="117"/>
    </row>
    <row r="907">
      <c r="B907" s="117"/>
      <c r="C907" s="117"/>
      <c r="D907" s="117"/>
      <c r="E907" s="117"/>
      <c r="F907" s="117"/>
      <c r="G907" s="117"/>
    </row>
    <row r="908">
      <c r="B908" s="117"/>
      <c r="C908" s="117"/>
      <c r="D908" s="117"/>
      <c r="E908" s="117"/>
      <c r="F908" s="117"/>
      <c r="G908" s="117"/>
    </row>
    <row r="909">
      <c r="B909" s="117"/>
      <c r="C909" s="117"/>
      <c r="D909" s="117"/>
      <c r="E909" s="117"/>
      <c r="F909" s="117"/>
      <c r="G909" s="117"/>
    </row>
    <row r="910">
      <c r="B910" s="117"/>
      <c r="C910" s="117"/>
      <c r="D910" s="117"/>
      <c r="E910" s="117"/>
      <c r="F910" s="117"/>
      <c r="G910" s="117"/>
    </row>
    <row r="911">
      <c r="B911" s="117"/>
      <c r="C911" s="117"/>
      <c r="D911" s="117"/>
      <c r="E911" s="117"/>
      <c r="F911" s="117"/>
      <c r="G911" s="117"/>
    </row>
    <row r="912">
      <c r="B912" s="117"/>
      <c r="C912" s="117"/>
      <c r="D912" s="117"/>
      <c r="E912" s="117"/>
      <c r="F912" s="117"/>
      <c r="G912" s="117"/>
    </row>
    <row r="913">
      <c r="B913" s="117"/>
      <c r="C913" s="117"/>
      <c r="D913" s="117"/>
      <c r="E913" s="117"/>
      <c r="F913" s="117"/>
      <c r="G913" s="117"/>
    </row>
    <row r="914">
      <c r="B914" s="117"/>
      <c r="C914" s="117"/>
      <c r="D914" s="117"/>
      <c r="E914" s="117"/>
      <c r="F914" s="117"/>
      <c r="G914" s="117"/>
    </row>
    <row r="915">
      <c r="B915" s="117"/>
      <c r="C915" s="117"/>
      <c r="D915" s="117"/>
      <c r="E915" s="117"/>
      <c r="F915" s="117"/>
      <c r="G915" s="117"/>
    </row>
    <row r="916">
      <c r="B916" s="117"/>
      <c r="C916" s="117"/>
      <c r="D916" s="117"/>
      <c r="E916" s="117"/>
      <c r="F916" s="117"/>
      <c r="G916" s="117"/>
    </row>
    <row r="917">
      <c r="B917" s="117"/>
      <c r="C917" s="117"/>
      <c r="D917" s="117"/>
      <c r="E917" s="117"/>
      <c r="F917" s="117"/>
      <c r="G917" s="117"/>
    </row>
    <row r="918">
      <c r="B918" s="117"/>
      <c r="C918" s="117"/>
      <c r="D918" s="117"/>
      <c r="E918" s="117"/>
      <c r="F918" s="117"/>
      <c r="G918" s="117"/>
    </row>
    <row r="919">
      <c r="B919" s="117"/>
      <c r="C919" s="117"/>
      <c r="D919" s="117"/>
      <c r="E919" s="117"/>
      <c r="F919" s="117"/>
      <c r="G919" s="117"/>
    </row>
    <row r="920">
      <c r="B920" s="117"/>
      <c r="C920" s="117"/>
      <c r="D920" s="117"/>
      <c r="E920" s="117"/>
      <c r="F920" s="117"/>
      <c r="G920" s="117"/>
    </row>
    <row r="921">
      <c r="B921" s="117"/>
      <c r="C921" s="117"/>
      <c r="D921" s="117"/>
      <c r="E921" s="117"/>
      <c r="F921" s="117"/>
      <c r="G921" s="117"/>
    </row>
    <row r="922">
      <c r="B922" s="117"/>
      <c r="C922" s="117"/>
      <c r="D922" s="117"/>
      <c r="E922" s="117"/>
      <c r="F922" s="117"/>
      <c r="G922" s="117"/>
    </row>
    <row r="923">
      <c r="B923" s="117"/>
      <c r="C923" s="117"/>
      <c r="D923" s="117"/>
      <c r="E923" s="117"/>
      <c r="F923" s="117"/>
      <c r="G923" s="117"/>
    </row>
    <row r="924">
      <c r="B924" s="117"/>
      <c r="C924" s="117"/>
      <c r="D924" s="117"/>
      <c r="E924" s="117"/>
      <c r="F924" s="117"/>
      <c r="G924" s="117"/>
    </row>
    <row r="925">
      <c r="B925" s="117"/>
      <c r="C925" s="117"/>
      <c r="D925" s="117"/>
      <c r="E925" s="117"/>
      <c r="F925" s="117"/>
      <c r="G925" s="117"/>
    </row>
    <row r="926">
      <c r="B926" s="117"/>
      <c r="C926" s="117"/>
      <c r="D926" s="117"/>
      <c r="E926" s="117"/>
      <c r="F926" s="117"/>
      <c r="G926" s="117"/>
    </row>
    <row r="927">
      <c r="B927" s="117"/>
      <c r="C927" s="117"/>
      <c r="D927" s="117"/>
      <c r="E927" s="117"/>
      <c r="F927" s="117"/>
      <c r="G927" s="117"/>
    </row>
    <row r="928">
      <c r="B928" s="117"/>
      <c r="C928" s="117"/>
      <c r="D928" s="117"/>
      <c r="E928" s="117"/>
      <c r="F928" s="117"/>
      <c r="G928" s="117"/>
    </row>
    <row r="929">
      <c r="B929" s="117"/>
      <c r="C929" s="117"/>
      <c r="D929" s="117"/>
      <c r="E929" s="117"/>
      <c r="F929" s="117"/>
      <c r="G929" s="117"/>
    </row>
    <row r="930">
      <c r="B930" s="117"/>
      <c r="C930" s="117"/>
      <c r="D930" s="117"/>
      <c r="E930" s="117"/>
      <c r="F930" s="117"/>
      <c r="G930" s="117"/>
    </row>
    <row r="931">
      <c r="B931" s="117"/>
      <c r="C931" s="117"/>
      <c r="D931" s="117"/>
      <c r="E931" s="117"/>
      <c r="F931" s="117"/>
      <c r="G931" s="117"/>
    </row>
    <row r="932">
      <c r="B932" s="117"/>
      <c r="C932" s="117"/>
      <c r="D932" s="117"/>
      <c r="E932" s="117"/>
      <c r="F932" s="117"/>
      <c r="G932" s="117"/>
    </row>
    <row r="933">
      <c r="B933" s="117"/>
      <c r="C933" s="117"/>
      <c r="D933" s="117"/>
      <c r="E933" s="117"/>
      <c r="F933" s="117"/>
      <c r="G933" s="117"/>
    </row>
    <row r="934">
      <c r="B934" s="117"/>
      <c r="C934" s="117"/>
      <c r="D934" s="117"/>
      <c r="E934" s="117"/>
      <c r="F934" s="117"/>
      <c r="G934" s="117"/>
    </row>
    <row r="935">
      <c r="B935" s="117"/>
      <c r="C935" s="117"/>
      <c r="D935" s="117"/>
      <c r="E935" s="117"/>
      <c r="F935" s="117"/>
      <c r="G935" s="117"/>
    </row>
    <row r="936">
      <c r="B936" s="117"/>
      <c r="C936" s="117"/>
      <c r="D936" s="117"/>
      <c r="E936" s="117"/>
      <c r="F936" s="117"/>
      <c r="G936" s="117"/>
    </row>
    <row r="937">
      <c r="B937" s="117"/>
      <c r="C937" s="117"/>
      <c r="D937" s="117"/>
      <c r="E937" s="117"/>
      <c r="F937" s="117"/>
      <c r="G937" s="117"/>
    </row>
    <row r="938">
      <c r="B938" s="117"/>
      <c r="C938" s="117"/>
      <c r="D938" s="117"/>
      <c r="E938" s="117"/>
      <c r="F938" s="117"/>
      <c r="G938" s="117"/>
    </row>
    <row r="939">
      <c r="B939" s="117"/>
      <c r="C939" s="117"/>
      <c r="D939" s="117"/>
      <c r="E939" s="117"/>
      <c r="F939" s="117"/>
      <c r="G939" s="117"/>
    </row>
    <row r="940">
      <c r="B940" s="117"/>
      <c r="C940" s="117"/>
      <c r="D940" s="117"/>
      <c r="E940" s="117"/>
      <c r="F940" s="117"/>
      <c r="G940" s="117"/>
    </row>
    <row r="941">
      <c r="B941" s="117"/>
      <c r="C941" s="117"/>
      <c r="D941" s="117"/>
      <c r="E941" s="117"/>
      <c r="F941" s="117"/>
      <c r="G941" s="117"/>
    </row>
    <row r="942">
      <c r="B942" s="117"/>
      <c r="C942" s="117"/>
      <c r="D942" s="117"/>
      <c r="E942" s="117"/>
      <c r="F942" s="117"/>
      <c r="G942" s="117"/>
    </row>
    <row r="943">
      <c r="B943" s="117"/>
      <c r="C943" s="117"/>
      <c r="D943" s="117"/>
      <c r="E943" s="117"/>
      <c r="F943" s="117"/>
      <c r="G943" s="117"/>
    </row>
    <row r="944">
      <c r="B944" s="117"/>
      <c r="C944" s="117"/>
      <c r="D944" s="117"/>
      <c r="E944" s="117"/>
      <c r="F944" s="117"/>
      <c r="G944" s="117"/>
    </row>
    <row r="945">
      <c r="B945" s="117"/>
      <c r="C945" s="117"/>
      <c r="D945" s="117"/>
      <c r="E945" s="117"/>
      <c r="F945" s="117"/>
      <c r="G945" s="117"/>
    </row>
    <row r="946">
      <c r="B946" s="117"/>
      <c r="C946" s="117"/>
      <c r="D946" s="117"/>
      <c r="E946" s="117"/>
      <c r="F946" s="117"/>
      <c r="G946" s="117"/>
    </row>
    <row r="947">
      <c r="B947" s="117"/>
      <c r="C947" s="117"/>
      <c r="D947" s="117"/>
      <c r="E947" s="117"/>
      <c r="F947" s="117"/>
      <c r="G947" s="117"/>
    </row>
    <row r="948">
      <c r="B948" s="117"/>
      <c r="C948" s="117"/>
      <c r="D948" s="117"/>
      <c r="E948" s="117"/>
      <c r="F948" s="117"/>
      <c r="G948" s="117"/>
    </row>
    <row r="949">
      <c r="B949" s="117"/>
      <c r="C949" s="117"/>
      <c r="D949" s="117"/>
      <c r="E949" s="117"/>
      <c r="F949" s="117"/>
      <c r="G949" s="117"/>
    </row>
    <row r="950">
      <c r="B950" s="117"/>
      <c r="C950" s="117"/>
      <c r="D950" s="117"/>
      <c r="E950" s="117"/>
      <c r="F950" s="117"/>
      <c r="G950" s="117"/>
    </row>
    <row r="951">
      <c r="B951" s="117"/>
      <c r="C951" s="117"/>
      <c r="D951" s="117"/>
      <c r="E951" s="117"/>
      <c r="F951" s="117"/>
      <c r="G951" s="117"/>
    </row>
    <row r="952">
      <c r="B952" s="117"/>
      <c r="C952" s="117"/>
      <c r="D952" s="117"/>
      <c r="E952" s="117"/>
      <c r="F952" s="117"/>
      <c r="G952" s="117"/>
    </row>
    <row r="953">
      <c r="B953" s="117"/>
      <c r="C953" s="117"/>
      <c r="D953" s="117"/>
      <c r="E953" s="117"/>
      <c r="F953" s="117"/>
      <c r="G953" s="117"/>
    </row>
    <row r="954">
      <c r="B954" s="117"/>
      <c r="C954" s="117"/>
      <c r="D954" s="117"/>
      <c r="E954" s="117"/>
      <c r="F954" s="117"/>
      <c r="G954" s="117"/>
    </row>
    <row r="955">
      <c r="B955" s="117"/>
      <c r="C955" s="117"/>
      <c r="D955" s="117"/>
      <c r="E955" s="117"/>
      <c r="F955" s="117"/>
      <c r="G955" s="117"/>
    </row>
    <row r="956">
      <c r="B956" s="117"/>
      <c r="C956" s="117"/>
      <c r="D956" s="117"/>
      <c r="E956" s="117"/>
      <c r="F956" s="117"/>
      <c r="G956" s="117"/>
    </row>
    <row r="957">
      <c r="B957" s="117"/>
      <c r="C957" s="117"/>
      <c r="D957" s="117"/>
      <c r="E957" s="117"/>
      <c r="F957" s="117"/>
      <c r="G957" s="117"/>
    </row>
    <row r="958">
      <c r="B958" s="117"/>
      <c r="C958" s="117"/>
      <c r="D958" s="117"/>
      <c r="E958" s="117"/>
      <c r="F958" s="117"/>
      <c r="G958" s="117"/>
    </row>
    <row r="959">
      <c r="B959" s="117"/>
      <c r="C959" s="117"/>
      <c r="D959" s="117"/>
      <c r="E959" s="117"/>
      <c r="F959" s="117"/>
      <c r="G959" s="117"/>
    </row>
    <row r="960">
      <c r="B960" s="117"/>
      <c r="C960" s="117"/>
      <c r="D960" s="117"/>
      <c r="E960" s="117"/>
      <c r="F960" s="117"/>
      <c r="G960" s="117"/>
    </row>
    <row r="961">
      <c r="B961" s="117"/>
      <c r="C961" s="117"/>
      <c r="D961" s="117"/>
      <c r="E961" s="117"/>
      <c r="F961" s="117"/>
      <c r="G961" s="117"/>
    </row>
    <row r="962">
      <c r="B962" s="117"/>
      <c r="C962" s="117"/>
      <c r="D962" s="117"/>
      <c r="E962" s="117"/>
      <c r="F962" s="117"/>
      <c r="G962" s="117"/>
    </row>
    <row r="963">
      <c r="B963" s="117"/>
      <c r="C963" s="117"/>
      <c r="D963" s="117"/>
      <c r="E963" s="117"/>
      <c r="F963" s="117"/>
      <c r="G963" s="117"/>
    </row>
    <row r="964">
      <c r="B964" s="117"/>
      <c r="C964" s="117"/>
      <c r="D964" s="117"/>
      <c r="E964" s="117"/>
      <c r="F964" s="117"/>
      <c r="G964" s="117"/>
    </row>
    <row r="965">
      <c r="B965" s="117"/>
      <c r="C965" s="117"/>
      <c r="D965" s="117"/>
      <c r="E965" s="117"/>
      <c r="F965" s="117"/>
      <c r="G965" s="117"/>
    </row>
    <row r="966">
      <c r="B966" s="117"/>
      <c r="C966" s="117"/>
      <c r="D966" s="117"/>
      <c r="E966" s="117"/>
      <c r="F966" s="117"/>
      <c r="G966" s="117"/>
    </row>
    <row r="967">
      <c r="B967" s="117"/>
      <c r="C967" s="117"/>
      <c r="D967" s="117"/>
      <c r="E967" s="117"/>
      <c r="F967" s="117"/>
      <c r="G967" s="117"/>
    </row>
    <row r="968">
      <c r="B968" s="117"/>
      <c r="C968" s="117"/>
      <c r="D968" s="117"/>
      <c r="E968" s="117"/>
      <c r="F968" s="117"/>
      <c r="G968" s="117"/>
    </row>
    <row r="969">
      <c r="B969" s="117"/>
      <c r="C969" s="117"/>
      <c r="D969" s="117"/>
      <c r="E969" s="117"/>
      <c r="F969" s="117"/>
      <c r="G969" s="117"/>
    </row>
    <row r="970">
      <c r="B970" s="117"/>
      <c r="C970" s="117"/>
      <c r="D970" s="117"/>
      <c r="E970" s="117"/>
      <c r="F970" s="117"/>
      <c r="G970" s="117"/>
    </row>
    <row r="971">
      <c r="B971" s="117"/>
      <c r="C971" s="117"/>
      <c r="D971" s="117"/>
      <c r="E971" s="117"/>
      <c r="F971" s="117"/>
      <c r="G971" s="117"/>
    </row>
    <row r="972">
      <c r="B972" s="117"/>
      <c r="C972" s="117"/>
      <c r="D972" s="117"/>
      <c r="E972" s="117"/>
      <c r="F972" s="117"/>
      <c r="G972" s="117"/>
    </row>
    <row r="973">
      <c r="B973" s="117"/>
      <c r="C973" s="117"/>
      <c r="D973" s="117"/>
      <c r="E973" s="117"/>
      <c r="F973" s="117"/>
      <c r="G973" s="117"/>
    </row>
    <row r="974">
      <c r="B974" s="117"/>
      <c r="C974" s="117"/>
      <c r="D974" s="117"/>
      <c r="E974" s="117"/>
      <c r="F974" s="117"/>
      <c r="G974" s="117"/>
    </row>
    <row r="975">
      <c r="B975" s="117"/>
      <c r="C975" s="117"/>
      <c r="D975" s="117"/>
      <c r="E975" s="117"/>
      <c r="F975" s="117"/>
      <c r="G975" s="117"/>
    </row>
    <row r="976">
      <c r="B976" s="117"/>
      <c r="C976" s="117"/>
      <c r="D976" s="117"/>
      <c r="E976" s="117"/>
      <c r="F976" s="117"/>
      <c r="G976" s="117"/>
    </row>
    <row r="977">
      <c r="B977" s="117"/>
      <c r="C977" s="117"/>
      <c r="D977" s="117"/>
      <c r="E977" s="117"/>
      <c r="F977" s="117"/>
      <c r="G977" s="117"/>
    </row>
    <row r="978">
      <c r="B978" s="117"/>
      <c r="C978" s="117"/>
      <c r="D978" s="117"/>
      <c r="E978" s="117"/>
      <c r="F978" s="117"/>
      <c r="G978" s="117"/>
    </row>
    <row r="979">
      <c r="B979" s="117"/>
      <c r="C979" s="117"/>
      <c r="D979" s="117"/>
      <c r="E979" s="117"/>
      <c r="F979" s="117"/>
      <c r="G979" s="117"/>
    </row>
    <row r="980">
      <c r="B980" s="117"/>
      <c r="C980" s="117"/>
      <c r="D980" s="117"/>
      <c r="E980" s="117"/>
      <c r="F980" s="117"/>
      <c r="G980" s="117"/>
    </row>
    <row r="981">
      <c r="B981" s="117"/>
      <c r="C981" s="117"/>
      <c r="D981" s="117"/>
      <c r="E981" s="117"/>
      <c r="F981" s="117"/>
      <c r="G981" s="117"/>
    </row>
    <row r="982">
      <c r="B982" s="117"/>
      <c r="C982" s="117"/>
      <c r="D982" s="117"/>
      <c r="E982" s="117"/>
      <c r="F982" s="117"/>
      <c r="G982" s="117"/>
    </row>
    <row r="983">
      <c r="B983" s="117"/>
      <c r="C983" s="117"/>
      <c r="D983" s="117"/>
      <c r="E983" s="117"/>
      <c r="F983" s="117"/>
      <c r="G983" s="117"/>
    </row>
    <row r="984">
      <c r="B984" s="117"/>
      <c r="C984" s="117"/>
      <c r="D984" s="117"/>
      <c r="E984" s="117"/>
      <c r="F984" s="117"/>
      <c r="G984" s="117"/>
    </row>
    <row r="985">
      <c r="B985" s="117"/>
      <c r="C985" s="117"/>
      <c r="D985" s="117"/>
      <c r="E985" s="117"/>
      <c r="F985" s="117"/>
      <c r="G985" s="117"/>
    </row>
    <row r="986">
      <c r="B986" s="117"/>
      <c r="C986" s="117"/>
      <c r="D986" s="117"/>
      <c r="E986" s="117"/>
      <c r="F986" s="117"/>
      <c r="G986" s="117"/>
    </row>
    <row r="987">
      <c r="B987" s="117"/>
      <c r="C987" s="117"/>
      <c r="D987" s="117"/>
      <c r="E987" s="117"/>
      <c r="F987" s="117"/>
      <c r="G987" s="117"/>
    </row>
    <row r="988">
      <c r="B988" s="117"/>
      <c r="C988" s="117"/>
      <c r="D988" s="117"/>
      <c r="E988" s="117"/>
      <c r="F988" s="117"/>
      <c r="G988" s="117"/>
    </row>
    <row r="989">
      <c r="B989" s="117"/>
      <c r="C989" s="117"/>
      <c r="D989" s="117"/>
      <c r="E989" s="117"/>
      <c r="F989" s="117"/>
      <c r="G989" s="117"/>
    </row>
    <row r="990">
      <c r="B990" s="117"/>
      <c r="C990" s="117"/>
      <c r="D990" s="117"/>
      <c r="E990" s="117"/>
      <c r="F990" s="117"/>
      <c r="G990" s="117"/>
    </row>
    <row r="991">
      <c r="B991" s="117"/>
      <c r="C991" s="117"/>
      <c r="D991" s="117"/>
      <c r="E991" s="117"/>
      <c r="F991" s="117"/>
      <c r="G991" s="117"/>
    </row>
    <row r="992">
      <c r="B992" s="117"/>
      <c r="C992" s="117"/>
      <c r="D992" s="117"/>
      <c r="E992" s="117"/>
      <c r="F992" s="117"/>
      <c r="G992" s="117"/>
    </row>
    <row r="993">
      <c r="B993" s="117"/>
      <c r="C993" s="117"/>
      <c r="D993" s="117"/>
      <c r="E993" s="117"/>
      <c r="F993" s="117"/>
      <c r="G993" s="117"/>
    </row>
    <row r="994">
      <c r="B994" s="117"/>
      <c r="C994" s="117"/>
      <c r="D994" s="117"/>
      <c r="E994" s="117"/>
      <c r="F994" s="117"/>
      <c r="G994" s="117"/>
    </row>
    <row r="995">
      <c r="B995" s="117"/>
      <c r="C995" s="117"/>
      <c r="D995" s="117"/>
      <c r="E995" s="117"/>
      <c r="F995" s="117"/>
      <c r="G995" s="117"/>
    </row>
    <row r="996">
      <c r="B996" s="117"/>
      <c r="C996" s="117"/>
      <c r="D996" s="117"/>
      <c r="E996" s="117"/>
      <c r="F996" s="117"/>
      <c r="G996" s="117"/>
    </row>
    <row r="997">
      <c r="B997" s="117"/>
      <c r="C997" s="117"/>
      <c r="D997" s="117"/>
      <c r="E997" s="117"/>
      <c r="F997" s="117"/>
      <c r="G997" s="117"/>
    </row>
    <row r="998">
      <c r="B998" s="117"/>
      <c r="C998" s="117"/>
      <c r="D998" s="117"/>
      <c r="E998" s="117"/>
      <c r="F998" s="117"/>
      <c r="G998" s="117"/>
    </row>
    <row r="999">
      <c r="B999" s="117"/>
      <c r="C999" s="117"/>
      <c r="D999" s="117"/>
      <c r="E999" s="117"/>
      <c r="F999" s="117"/>
      <c r="G999" s="117"/>
    </row>
    <row r="1000">
      <c r="B1000" s="117"/>
      <c r="C1000" s="117"/>
      <c r="D1000" s="117"/>
      <c r="E1000" s="117"/>
      <c r="F1000" s="117"/>
      <c r="G1000" s="117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12.14"/>
    <col customWidth="1" hidden="1" min="3" max="4" width="12.14"/>
    <col customWidth="1" hidden="1" min="5" max="7" width="13.57"/>
    <col hidden="1" min="8" max="10" width="14.43"/>
    <col customWidth="1" min="11" max="13" width="14.0"/>
    <col customWidth="1" hidden="1" min="14" max="28" width="14.0"/>
    <col customWidth="1" min="31" max="31" width="16.29"/>
  </cols>
  <sheetData>
    <row r="1">
      <c r="A1" s="120"/>
      <c r="B1" s="117"/>
      <c r="C1" s="121" t="s">
        <v>169</v>
      </c>
      <c r="D1" s="121"/>
      <c r="E1" s="121" t="s">
        <v>170</v>
      </c>
      <c r="H1" s="121" t="s">
        <v>171</v>
      </c>
      <c r="K1" s="121" t="s">
        <v>172</v>
      </c>
      <c r="N1" s="121" t="s">
        <v>173</v>
      </c>
      <c r="Q1" s="121" t="s">
        <v>174</v>
      </c>
      <c r="T1" s="121" t="s">
        <v>175</v>
      </c>
      <c r="W1" s="121" t="s">
        <v>176</v>
      </c>
      <c r="Z1" s="121" t="s">
        <v>177</v>
      </c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2"/>
    </row>
    <row r="2">
      <c r="A2" s="120" t="s">
        <v>7</v>
      </c>
      <c r="B2" s="121" t="s">
        <v>6</v>
      </c>
      <c r="C2" s="121" t="s">
        <v>178</v>
      </c>
      <c r="D2" s="121" t="s">
        <v>4</v>
      </c>
      <c r="E2" s="123" t="s">
        <v>8</v>
      </c>
      <c r="F2" s="123" t="s">
        <v>9</v>
      </c>
      <c r="G2" s="123" t="s">
        <v>10</v>
      </c>
      <c r="H2" s="123" t="s">
        <v>8</v>
      </c>
      <c r="I2" s="123" t="s">
        <v>9</v>
      </c>
      <c r="J2" s="123" t="s">
        <v>10</v>
      </c>
      <c r="K2" s="123" t="s">
        <v>8</v>
      </c>
      <c r="L2" s="123" t="s">
        <v>9</v>
      </c>
      <c r="M2" s="123" t="s">
        <v>10</v>
      </c>
      <c r="N2" s="123" t="s">
        <v>8</v>
      </c>
      <c r="O2" s="123" t="s">
        <v>9</v>
      </c>
      <c r="P2" s="123" t="s">
        <v>10</v>
      </c>
      <c r="Q2" s="123" t="s">
        <v>8</v>
      </c>
      <c r="R2" s="123" t="s">
        <v>9</v>
      </c>
      <c r="S2" s="123" t="s">
        <v>10</v>
      </c>
      <c r="T2" s="123" t="s">
        <v>8</v>
      </c>
      <c r="U2" s="123" t="s">
        <v>9</v>
      </c>
      <c r="V2" s="123" t="s">
        <v>10</v>
      </c>
      <c r="W2" s="123" t="s">
        <v>8</v>
      </c>
      <c r="X2" s="123" t="s">
        <v>9</v>
      </c>
      <c r="Y2" s="123" t="s">
        <v>10</v>
      </c>
      <c r="Z2" s="123" t="s">
        <v>8</v>
      </c>
      <c r="AA2" s="123" t="s">
        <v>9</v>
      </c>
      <c r="AB2" s="123" t="s">
        <v>10</v>
      </c>
      <c r="AC2" s="122"/>
      <c r="AF2" s="122"/>
      <c r="AG2" s="122"/>
      <c r="AH2" s="122"/>
      <c r="AI2" s="122"/>
      <c r="AJ2" s="122"/>
      <c r="AK2" s="122"/>
      <c r="AL2" s="122"/>
      <c r="AM2" s="122"/>
      <c r="AN2" s="122"/>
    </row>
    <row r="3">
      <c r="A3" s="117">
        <v>19.0</v>
      </c>
      <c r="B3" s="124" t="s">
        <v>179</v>
      </c>
      <c r="C3" s="117">
        <f>countifs(Data!H:H,A3,Data!G:G,C1)</f>
        <v>0</v>
      </c>
      <c r="D3" s="125" t="str">
        <f>IFERROR(__xludf.DUMMYFUNCTION("Average(filter(Data!E:E,Data!$H:$H=$A3,Data!G:G=C1))"),"#N/A")</f>
        <v>#N/A</v>
      </c>
      <c r="E3" s="126" t="str">
        <f>IFERROR(__xludf.DUMMYFUNCTION("average(filter(Data!Z:Z,Data!$H:$H=$A3,Data!Z:Z&lt;&gt;"""",Data!$G:$G=C1))"),"#N/A")</f>
        <v>#N/A</v>
      </c>
      <c r="F3" s="126" t="str">
        <f>IFERROR(__xludf.DUMMYFUNCTION("average(filter(Data!AA:AA,Data!$H:$H=$A3,Data!AA:AA&lt;&gt;"""",Data!$G:$G=C1))"),"#N/A")</f>
        <v>#N/A</v>
      </c>
      <c r="G3" s="126" t="str">
        <f>IFERROR(__xludf.DUMMYFUNCTION("average(filter(Data!AB:AB,Data!$H:$H=$A3,Data!AB:AB&lt;&gt;"""",Data!$G:$G=C1))"),"#N/A")</f>
        <v>#N/A</v>
      </c>
      <c r="H3" s="126"/>
      <c r="I3" s="117"/>
      <c r="J3" s="117"/>
      <c r="K3" s="127">
        <f t="shared" ref="K3:K26" si="2">sum(L3:M3)</f>
        <v>0.5007</v>
      </c>
      <c r="L3" s="126">
        <f t="shared" ref="L3:L26" si="3">-0.0447*$A3+1.2</f>
        <v>0.3507</v>
      </c>
      <c r="M3" s="126">
        <f t="shared" ref="M3:M26" si="4">-0.018*$A3+0.492</f>
        <v>0.15</v>
      </c>
      <c r="N3" s="127">
        <f t="shared" ref="N3:N26" si="5">sum(O3:P3)</f>
        <v>0.7545</v>
      </c>
      <c r="O3" s="126">
        <f t="shared" ref="O3:O26" si="6">-0.0774*$A3+2.03</f>
        <v>0.5594</v>
      </c>
      <c r="P3" s="126">
        <f t="shared" ref="P3:P26" si="7">-0.0171*$A3+0.52</f>
        <v>0.1951</v>
      </c>
      <c r="Q3" s="127">
        <f t="shared" ref="Q3:Q26" si="8">sum(R3:S3)</f>
        <v>0.4374</v>
      </c>
      <c r="R3" s="126">
        <f t="shared" ref="R3:R26" si="9">-0.0533*$A3+1.39</f>
        <v>0.3773</v>
      </c>
      <c r="S3" s="126">
        <f t="shared" ref="S3:S26" si="10">-0.0171*$A3+0.385</f>
        <v>0.0601</v>
      </c>
      <c r="T3" s="127">
        <f t="shared" ref="T3:T26" si="11">sum(U3:V3)</f>
        <v>0.5586</v>
      </c>
      <c r="U3" s="126">
        <f t="shared" ref="U3:U26" si="12">-0.0472*$A3+1.24</f>
        <v>0.3432</v>
      </c>
      <c r="V3" s="126">
        <f t="shared" ref="V3:V26" si="13">-0.0194*$A3+0.584</f>
        <v>0.2154</v>
      </c>
      <c r="W3" s="127">
        <f t="shared" ref="W3:W26" si="14">sum(X3:Y3)</f>
        <v>0.3625</v>
      </c>
      <c r="X3" s="126">
        <f t="shared" ref="X3:X26" si="15">-0.0367*$A3+0.959</f>
        <v>0.2617</v>
      </c>
      <c r="Y3" s="126">
        <f t="shared" ref="Y3:Y26" si="16">-0.0158*$A3+0.401</f>
        <v>0.1008</v>
      </c>
      <c r="Z3" s="127">
        <f t="shared" ref="Z3:Z26" si="17">sum(AA3:AB3)</f>
        <v>0.6457</v>
      </c>
      <c r="AA3" s="126">
        <f t="shared" ref="AA3:AA26" si="18">-0.0418*$A3+1.18</f>
        <v>0.3858</v>
      </c>
      <c r="AB3" s="126">
        <f t="shared" ref="AB3:AB26" si="19">-0.0339*$A3+0.904</f>
        <v>0.2599</v>
      </c>
    </row>
    <row r="4">
      <c r="A4" s="117">
        <v>20.0</v>
      </c>
      <c r="B4" s="124" t="s">
        <v>179</v>
      </c>
      <c r="C4" s="117">
        <f>countifs(Data!H:H,A4,Data!G:G,C1)</f>
        <v>0</v>
      </c>
      <c r="D4" s="125" t="str">
        <f>IFERROR(__xludf.DUMMYFUNCTION("Average(filter(Data!E:E,Data!$H:$H=$A4,Data!G:G=C1))"),"#N/A")</f>
        <v>#N/A</v>
      </c>
      <c r="E4" s="126" t="str">
        <f>IFERROR(__xludf.DUMMYFUNCTION("average(filter(Data!Z:Z,Data!$H:$H=$A4,Data!Z:Z&lt;&gt;"""",Data!$G:$G=C1))"),"#N/A")</f>
        <v>#N/A</v>
      </c>
      <c r="F4" s="126" t="str">
        <f>IFERROR(__xludf.DUMMYFUNCTION("average(filter(Data!AA:AA,Data!$H:$H=$A4,Data!AA:AA&lt;&gt;"""",Data!$G:$G=C1))"),"#N/A")</f>
        <v>#N/A</v>
      </c>
      <c r="G4" s="126" t="str">
        <f>IFERROR(__xludf.DUMMYFUNCTION("average(filter(Data!AB:AB,Data!$H:$H=$A4,Data!AB:AB&lt;&gt;"""",Data!$G:$G=C1))"),"#N/A")</f>
        <v>#N/A</v>
      </c>
      <c r="H4" s="126" t="str">
        <f t="shared" ref="H4:J4" si="1">average(E3:E5)</f>
        <v>#N/A</v>
      </c>
      <c r="I4" s="126" t="str">
        <f t="shared" si="1"/>
        <v>#N/A</v>
      </c>
      <c r="J4" s="126" t="str">
        <f t="shared" si="1"/>
        <v>#N/A</v>
      </c>
      <c r="K4" s="127">
        <f t="shared" si="2"/>
        <v>0.438</v>
      </c>
      <c r="L4" s="126">
        <f t="shared" si="3"/>
        <v>0.306</v>
      </c>
      <c r="M4" s="126">
        <f t="shared" si="4"/>
        <v>0.132</v>
      </c>
      <c r="N4" s="127">
        <f t="shared" si="5"/>
        <v>0.66</v>
      </c>
      <c r="O4" s="126">
        <f t="shared" si="6"/>
        <v>0.482</v>
      </c>
      <c r="P4" s="126">
        <f t="shared" si="7"/>
        <v>0.178</v>
      </c>
      <c r="Q4" s="127">
        <f t="shared" si="8"/>
        <v>0.367</v>
      </c>
      <c r="R4" s="126">
        <f t="shared" si="9"/>
        <v>0.324</v>
      </c>
      <c r="S4" s="126">
        <f t="shared" si="10"/>
        <v>0.043</v>
      </c>
      <c r="T4" s="127">
        <f t="shared" si="11"/>
        <v>0.492</v>
      </c>
      <c r="U4" s="126">
        <f t="shared" si="12"/>
        <v>0.296</v>
      </c>
      <c r="V4" s="126">
        <f t="shared" si="13"/>
        <v>0.196</v>
      </c>
      <c r="W4" s="127">
        <f t="shared" si="14"/>
        <v>0.31</v>
      </c>
      <c r="X4" s="126">
        <f t="shared" si="15"/>
        <v>0.225</v>
      </c>
      <c r="Y4" s="126">
        <f t="shared" si="16"/>
        <v>0.085</v>
      </c>
      <c r="Z4" s="127">
        <f t="shared" si="17"/>
        <v>0.57</v>
      </c>
      <c r="AA4" s="126">
        <f t="shared" si="18"/>
        <v>0.344</v>
      </c>
      <c r="AB4" s="126">
        <f t="shared" si="19"/>
        <v>0.226</v>
      </c>
    </row>
    <row r="5">
      <c r="A5" s="117">
        <v>21.0</v>
      </c>
      <c r="B5" s="124" t="s">
        <v>179</v>
      </c>
      <c r="C5" s="117">
        <f>countifs(Data!H:H,A5,Data!G:G,C1)</f>
        <v>0</v>
      </c>
      <c r="D5" s="125" t="str">
        <f>IFERROR(__xludf.DUMMYFUNCTION("Average(filter(Data!E:E,Data!$H:$H=$A5,Data!G:G=C1))"),"#N/A")</f>
        <v>#N/A</v>
      </c>
      <c r="E5" s="126" t="str">
        <f>IFERROR(__xludf.DUMMYFUNCTION("average(filter(Data!Z:Z,Data!$H:$H=$A5,Data!Z:Z&lt;&gt;"""",Data!$G:$G=C1))"),"#N/A")</f>
        <v>#N/A</v>
      </c>
      <c r="F5" s="126" t="str">
        <f>IFERROR(__xludf.DUMMYFUNCTION("average(filter(Data!AA:AA,Data!$H:$H=$A5,Data!AA:AA&lt;&gt;"""",Data!$G:$G=C1))"),"#N/A")</f>
        <v>#N/A</v>
      </c>
      <c r="G5" s="126" t="str">
        <f>IFERROR(__xludf.DUMMYFUNCTION("average(filter(Data!AB:AB,Data!$H:$H=$A5,Data!AB:AB&lt;&gt;"""",Data!$G:$G=C1))"),"#N/A")</f>
        <v>#N/A</v>
      </c>
      <c r="H5" s="126" t="str">
        <f t="shared" ref="H5:J5" si="20">average(E4:E6)</f>
        <v>#N/A</v>
      </c>
      <c r="I5" s="126" t="str">
        <f t="shared" si="20"/>
        <v>#N/A</v>
      </c>
      <c r="J5" s="126" t="str">
        <f t="shared" si="20"/>
        <v>#N/A</v>
      </c>
      <c r="K5" s="127">
        <f t="shared" si="2"/>
        <v>0.3753</v>
      </c>
      <c r="L5" s="126">
        <f t="shared" si="3"/>
        <v>0.2613</v>
      </c>
      <c r="M5" s="126">
        <f t="shared" si="4"/>
        <v>0.114</v>
      </c>
      <c r="N5" s="127">
        <f t="shared" si="5"/>
        <v>0.5655</v>
      </c>
      <c r="O5" s="126">
        <f t="shared" si="6"/>
        <v>0.4046</v>
      </c>
      <c r="P5" s="126">
        <f t="shared" si="7"/>
        <v>0.1609</v>
      </c>
      <c r="Q5" s="127">
        <f t="shared" si="8"/>
        <v>0.2966</v>
      </c>
      <c r="R5" s="126">
        <f t="shared" si="9"/>
        <v>0.2707</v>
      </c>
      <c r="S5" s="126">
        <f t="shared" si="10"/>
        <v>0.0259</v>
      </c>
      <c r="T5" s="127">
        <f t="shared" si="11"/>
        <v>0.4254</v>
      </c>
      <c r="U5" s="126">
        <f t="shared" si="12"/>
        <v>0.2488</v>
      </c>
      <c r="V5" s="126">
        <f t="shared" si="13"/>
        <v>0.1766</v>
      </c>
      <c r="W5" s="127">
        <f t="shared" si="14"/>
        <v>0.2575</v>
      </c>
      <c r="X5" s="126">
        <f t="shared" si="15"/>
        <v>0.1883</v>
      </c>
      <c r="Y5" s="126">
        <f t="shared" si="16"/>
        <v>0.0692</v>
      </c>
      <c r="Z5" s="127">
        <f t="shared" si="17"/>
        <v>0.4943</v>
      </c>
      <c r="AA5" s="126">
        <f t="shared" si="18"/>
        <v>0.3022</v>
      </c>
      <c r="AB5" s="126">
        <f t="shared" si="19"/>
        <v>0.1921</v>
      </c>
    </row>
    <row r="6">
      <c r="A6" s="117">
        <v>22.0</v>
      </c>
      <c r="B6" s="124" t="s">
        <v>179</v>
      </c>
      <c r="C6" s="117">
        <f>countifs(Data!H:H,A6,Data!G:G,C1)</f>
        <v>0</v>
      </c>
      <c r="D6" s="125" t="str">
        <f>IFERROR(__xludf.DUMMYFUNCTION("Average(filter(Data!E:E,Data!$H:$H=$A6,Data!G:G=C1))"),"#N/A")</f>
        <v>#N/A</v>
      </c>
      <c r="E6" s="126" t="str">
        <f>IFERROR(__xludf.DUMMYFUNCTION("average(filter(Data!Z:Z,Data!$H:$H=$A6,Data!Z:Z&lt;&gt;"""",Data!$G:$G=C1))"),"#N/A")</f>
        <v>#N/A</v>
      </c>
      <c r="F6" s="126" t="str">
        <f>IFERROR(__xludf.DUMMYFUNCTION("average(filter(Data!AA:AA,Data!$H:$H=$A6,Data!AA:AA&lt;&gt;"""",Data!$G:$G=C1))"),"#N/A")</f>
        <v>#N/A</v>
      </c>
      <c r="G6" s="126" t="str">
        <f>IFERROR(__xludf.DUMMYFUNCTION("average(filter(Data!AB:AB,Data!$H:$H=$A6,Data!AB:AB&lt;&gt;"""",Data!$G:$G=C1))"),"#N/A")</f>
        <v>#N/A</v>
      </c>
      <c r="H6" s="126" t="str">
        <f t="shared" ref="H6:J6" si="21">average(E5:E7)</f>
        <v>#N/A</v>
      </c>
      <c r="I6" s="126" t="str">
        <f t="shared" si="21"/>
        <v>#N/A</v>
      </c>
      <c r="J6" s="126" t="str">
        <f t="shared" si="21"/>
        <v>#N/A</v>
      </c>
      <c r="K6" s="127">
        <f t="shared" si="2"/>
        <v>0.3126</v>
      </c>
      <c r="L6" s="126">
        <f t="shared" si="3"/>
        <v>0.2166</v>
      </c>
      <c r="M6" s="126">
        <f t="shared" si="4"/>
        <v>0.096</v>
      </c>
      <c r="N6" s="127">
        <f t="shared" si="5"/>
        <v>0.471</v>
      </c>
      <c r="O6" s="126">
        <f t="shared" si="6"/>
        <v>0.3272</v>
      </c>
      <c r="P6" s="126">
        <f t="shared" si="7"/>
        <v>0.1438</v>
      </c>
      <c r="Q6" s="127">
        <f t="shared" si="8"/>
        <v>0.2262</v>
      </c>
      <c r="R6" s="126">
        <f t="shared" si="9"/>
        <v>0.2174</v>
      </c>
      <c r="S6" s="126">
        <f t="shared" si="10"/>
        <v>0.0088</v>
      </c>
      <c r="T6" s="127">
        <f t="shared" si="11"/>
        <v>0.3588</v>
      </c>
      <c r="U6" s="126">
        <f t="shared" si="12"/>
        <v>0.2016</v>
      </c>
      <c r="V6" s="126">
        <f t="shared" si="13"/>
        <v>0.1572</v>
      </c>
      <c r="W6" s="127">
        <f t="shared" si="14"/>
        <v>0.205</v>
      </c>
      <c r="X6" s="126">
        <f t="shared" si="15"/>
        <v>0.1516</v>
      </c>
      <c r="Y6" s="126">
        <f t="shared" si="16"/>
        <v>0.0534</v>
      </c>
      <c r="Z6" s="127">
        <f t="shared" si="17"/>
        <v>0.4186</v>
      </c>
      <c r="AA6" s="126">
        <f t="shared" si="18"/>
        <v>0.2604</v>
      </c>
      <c r="AB6" s="126">
        <f t="shared" si="19"/>
        <v>0.1582</v>
      </c>
    </row>
    <row r="7">
      <c r="A7" s="117">
        <v>23.0</v>
      </c>
      <c r="B7" s="124" t="s">
        <v>179</v>
      </c>
      <c r="C7" s="117">
        <f>countifs(Data!H:H,A7,Data!G:G,C1)</f>
        <v>0</v>
      </c>
      <c r="D7" s="125" t="str">
        <f>IFERROR(__xludf.DUMMYFUNCTION("Average(filter(Data!E:E,Data!$H:$H=$A7,Data!G:G=C1))"),"#N/A")</f>
        <v>#N/A</v>
      </c>
      <c r="E7" s="126" t="str">
        <f>IFERROR(__xludf.DUMMYFUNCTION("average(filter(Data!Z:Z,Data!$H:$H=$A7,Data!Z:Z&lt;&gt;"""",Data!$G:$G=C1))"),"#N/A")</f>
        <v>#N/A</v>
      </c>
      <c r="F7" s="126" t="str">
        <f>IFERROR(__xludf.DUMMYFUNCTION("average(filter(Data!AA:AA,Data!$H:$H=$A7,Data!AA:AA&lt;&gt;"""",Data!$G:$G=C1))"),"#N/A")</f>
        <v>#N/A</v>
      </c>
      <c r="G7" s="126" t="str">
        <f>IFERROR(__xludf.DUMMYFUNCTION("average(filter(Data!AB:AB,Data!$H:$H=$A7,Data!AB:AB&lt;&gt;"""",Data!$G:$G=C1))"),"#N/A")</f>
        <v>#N/A</v>
      </c>
      <c r="H7" s="126" t="str">
        <f t="shared" ref="H7:J7" si="22">average(E6:E8)</f>
        <v>#N/A</v>
      </c>
      <c r="I7" s="126" t="str">
        <f t="shared" si="22"/>
        <v>#N/A</v>
      </c>
      <c r="J7" s="126" t="str">
        <f t="shared" si="22"/>
        <v>#N/A</v>
      </c>
      <c r="K7" s="127">
        <f t="shared" si="2"/>
        <v>0.2499</v>
      </c>
      <c r="L7" s="126">
        <f t="shared" si="3"/>
        <v>0.1719</v>
      </c>
      <c r="M7" s="126">
        <f t="shared" si="4"/>
        <v>0.078</v>
      </c>
      <c r="N7" s="127">
        <f t="shared" si="5"/>
        <v>0.3765</v>
      </c>
      <c r="O7" s="126">
        <f t="shared" si="6"/>
        <v>0.2498</v>
      </c>
      <c r="P7" s="126">
        <f t="shared" si="7"/>
        <v>0.1267</v>
      </c>
      <c r="Q7" s="127">
        <f t="shared" si="8"/>
        <v>0.1558</v>
      </c>
      <c r="R7" s="126">
        <f t="shared" si="9"/>
        <v>0.1641</v>
      </c>
      <c r="S7" s="126">
        <f t="shared" si="10"/>
        <v>-0.0083</v>
      </c>
      <c r="T7" s="127">
        <f t="shared" si="11"/>
        <v>0.2922</v>
      </c>
      <c r="U7" s="126">
        <f t="shared" si="12"/>
        <v>0.1544</v>
      </c>
      <c r="V7" s="126">
        <f t="shared" si="13"/>
        <v>0.1378</v>
      </c>
      <c r="W7" s="127">
        <f t="shared" si="14"/>
        <v>0.1525</v>
      </c>
      <c r="X7" s="126">
        <f t="shared" si="15"/>
        <v>0.1149</v>
      </c>
      <c r="Y7" s="126">
        <f t="shared" si="16"/>
        <v>0.0376</v>
      </c>
      <c r="Z7" s="127">
        <f t="shared" si="17"/>
        <v>0.3429</v>
      </c>
      <c r="AA7" s="126">
        <f t="shared" si="18"/>
        <v>0.2186</v>
      </c>
      <c r="AB7" s="126">
        <f t="shared" si="19"/>
        <v>0.1243</v>
      </c>
    </row>
    <row r="8">
      <c r="A8" s="117">
        <v>24.0</v>
      </c>
      <c r="B8" s="124" t="s">
        <v>179</v>
      </c>
      <c r="C8" s="117">
        <f>countifs(Data!H:H,A8,Data!G:G,C1)</f>
        <v>0</v>
      </c>
      <c r="D8" s="125" t="str">
        <f>IFERROR(__xludf.DUMMYFUNCTION("Average(filter(Data!E:E,Data!$H:$H=$A8,Data!G:G=C1))"),"#N/A")</f>
        <v>#N/A</v>
      </c>
      <c r="E8" s="126" t="str">
        <f>IFERROR(__xludf.DUMMYFUNCTION("average(filter(Data!Z:Z,Data!$H:$H=$A8,Data!Z:Z&lt;&gt;"""",Data!$G:$G=C1))"),"#N/A")</f>
        <v>#N/A</v>
      </c>
      <c r="F8" s="126" t="str">
        <f>IFERROR(__xludf.DUMMYFUNCTION("average(filter(Data!AA:AA,Data!$H:$H=$A8,Data!AA:AA&lt;&gt;"""",Data!$G:$G=C1))"),"#N/A")</f>
        <v>#N/A</v>
      </c>
      <c r="G8" s="126" t="str">
        <f>IFERROR(__xludf.DUMMYFUNCTION("average(filter(Data!AB:AB,Data!$H:$H=$A8,Data!AB:AB&lt;&gt;"""",Data!$G:$G=C1))"),"#N/A")</f>
        <v>#N/A</v>
      </c>
      <c r="H8" s="126" t="str">
        <f t="shared" ref="H8:J8" si="23">average(E7:E9)</f>
        <v>#N/A</v>
      </c>
      <c r="I8" s="126" t="str">
        <f t="shared" si="23"/>
        <v>#N/A</v>
      </c>
      <c r="J8" s="126" t="str">
        <f t="shared" si="23"/>
        <v>#N/A</v>
      </c>
      <c r="K8" s="127">
        <f t="shared" si="2"/>
        <v>0.1872</v>
      </c>
      <c r="L8" s="126">
        <f t="shared" si="3"/>
        <v>0.1272</v>
      </c>
      <c r="M8" s="126">
        <f t="shared" si="4"/>
        <v>0.06</v>
      </c>
      <c r="N8" s="127">
        <f t="shared" si="5"/>
        <v>0.282</v>
      </c>
      <c r="O8" s="126">
        <f t="shared" si="6"/>
        <v>0.1724</v>
      </c>
      <c r="P8" s="126">
        <f t="shared" si="7"/>
        <v>0.1096</v>
      </c>
      <c r="Q8" s="127">
        <f t="shared" si="8"/>
        <v>0.0854</v>
      </c>
      <c r="R8" s="126">
        <f t="shared" si="9"/>
        <v>0.1108</v>
      </c>
      <c r="S8" s="126">
        <f t="shared" si="10"/>
        <v>-0.0254</v>
      </c>
      <c r="T8" s="127">
        <f t="shared" si="11"/>
        <v>0.2256</v>
      </c>
      <c r="U8" s="126">
        <f t="shared" si="12"/>
        <v>0.1072</v>
      </c>
      <c r="V8" s="126">
        <f t="shared" si="13"/>
        <v>0.1184</v>
      </c>
      <c r="W8" s="127">
        <f t="shared" si="14"/>
        <v>0.1</v>
      </c>
      <c r="X8" s="126">
        <f t="shared" si="15"/>
        <v>0.0782</v>
      </c>
      <c r="Y8" s="126">
        <f t="shared" si="16"/>
        <v>0.0218</v>
      </c>
      <c r="Z8" s="127">
        <f t="shared" si="17"/>
        <v>0.2672</v>
      </c>
      <c r="AA8" s="126">
        <f t="shared" si="18"/>
        <v>0.1768</v>
      </c>
      <c r="AB8" s="126">
        <f t="shared" si="19"/>
        <v>0.0904</v>
      </c>
    </row>
    <row r="9">
      <c r="A9" s="117">
        <v>25.0</v>
      </c>
      <c r="B9" s="124" t="s">
        <v>179</v>
      </c>
      <c r="C9" s="117">
        <f>countifs(Data!H:H,A9,Data!G:G,C1)</f>
        <v>0</v>
      </c>
      <c r="D9" s="125" t="str">
        <f>IFERROR(__xludf.DUMMYFUNCTION("Average(filter(Data!E:E,Data!$H:$H=$A9,Data!G:G=C1))"),"#N/A")</f>
        <v>#N/A</v>
      </c>
      <c r="E9" s="126" t="str">
        <f>IFERROR(__xludf.DUMMYFUNCTION("average(filter(Data!Z:Z,Data!$H:$H=$A9,Data!Z:Z&lt;&gt;"""",Data!$G:$G=C1))"),"#N/A")</f>
        <v>#N/A</v>
      </c>
      <c r="F9" s="126" t="str">
        <f>IFERROR(__xludf.DUMMYFUNCTION("average(filter(Data!AA:AA,Data!$H:$H=$A9,Data!AA:AA&lt;&gt;"""",Data!$G:$G=C1))"),"#N/A")</f>
        <v>#N/A</v>
      </c>
      <c r="G9" s="126" t="str">
        <f>IFERROR(__xludf.DUMMYFUNCTION("average(filter(Data!AB:AB,Data!$H:$H=$A9,Data!AB:AB&lt;&gt;"""",Data!$G:$G=C1))"),"#N/A")</f>
        <v>#N/A</v>
      </c>
      <c r="H9" s="126" t="str">
        <f t="shared" ref="H9:J9" si="24">average(E8:E10)</f>
        <v>#N/A</v>
      </c>
      <c r="I9" s="126" t="str">
        <f t="shared" si="24"/>
        <v>#N/A</v>
      </c>
      <c r="J9" s="126" t="str">
        <f t="shared" si="24"/>
        <v>#N/A</v>
      </c>
      <c r="K9" s="127">
        <f t="shared" si="2"/>
        <v>0.1245</v>
      </c>
      <c r="L9" s="126">
        <f t="shared" si="3"/>
        <v>0.0825</v>
      </c>
      <c r="M9" s="126">
        <f t="shared" si="4"/>
        <v>0.042</v>
      </c>
      <c r="N9" s="127">
        <f t="shared" si="5"/>
        <v>0.1875</v>
      </c>
      <c r="O9" s="126">
        <f t="shared" si="6"/>
        <v>0.095</v>
      </c>
      <c r="P9" s="126">
        <f t="shared" si="7"/>
        <v>0.0925</v>
      </c>
      <c r="Q9" s="127">
        <f t="shared" si="8"/>
        <v>0.015</v>
      </c>
      <c r="R9" s="126">
        <f t="shared" si="9"/>
        <v>0.0575</v>
      </c>
      <c r="S9" s="126">
        <f t="shared" si="10"/>
        <v>-0.0425</v>
      </c>
      <c r="T9" s="127">
        <f t="shared" si="11"/>
        <v>0.159</v>
      </c>
      <c r="U9" s="126">
        <f t="shared" si="12"/>
        <v>0.06</v>
      </c>
      <c r="V9" s="126">
        <f t="shared" si="13"/>
        <v>0.099</v>
      </c>
      <c r="W9" s="127">
        <f t="shared" si="14"/>
        <v>0.0475</v>
      </c>
      <c r="X9" s="126">
        <f t="shared" si="15"/>
        <v>0.0415</v>
      </c>
      <c r="Y9" s="126">
        <f t="shared" si="16"/>
        <v>0.006</v>
      </c>
      <c r="Z9" s="127">
        <f t="shared" si="17"/>
        <v>0.1915</v>
      </c>
      <c r="AA9" s="126">
        <f t="shared" si="18"/>
        <v>0.135</v>
      </c>
      <c r="AB9" s="126">
        <f t="shared" si="19"/>
        <v>0.0565</v>
      </c>
    </row>
    <row r="10">
      <c r="A10" s="117">
        <v>26.0</v>
      </c>
      <c r="B10" s="124" t="s">
        <v>179</v>
      </c>
      <c r="C10" s="117">
        <f>countifs(Data!H:H,A10,Data!G:G,C1)</f>
        <v>0</v>
      </c>
      <c r="D10" s="125" t="str">
        <f>IFERROR(__xludf.DUMMYFUNCTION("Average(filter(Data!E:E,Data!$H:$H=$A10,Data!G:G=C1))"),"#N/A")</f>
        <v>#N/A</v>
      </c>
      <c r="E10" s="126" t="str">
        <f>IFERROR(__xludf.DUMMYFUNCTION("average(filter(Data!Z:Z,Data!$H:$H=$A10,Data!Z:Z&lt;&gt;"""",Data!$G:$G=C1))"),"#N/A")</f>
        <v>#N/A</v>
      </c>
      <c r="F10" s="126" t="str">
        <f>IFERROR(__xludf.DUMMYFUNCTION("average(filter(Data!AA:AA,Data!$H:$H=$A10,Data!AA:AA&lt;&gt;"""",Data!$G:$G=C1))"),"#N/A")</f>
        <v>#N/A</v>
      </c>
      <c r="G10" s="126" t="str">
        <f>IFERROR(__xludf.DUMMYFUNCTION("average(filter(Data!AB:AB,Data!$H:$H=$A10,Data!AB:AB&lt;&gt;"""",Data!$G:$G=C1))"),"#N/A")</f>
        <v>#N/A</v>
      </c>
      <c r="H10" s="126" t="str">
        <f t="shared" ref="H10:J10" si="25">average(E9:E11)</f>
        <v>#N/A</v>
      </c>
      <c r="I10" s="126" t="str">
        <f t="shared" si="25"/>
        <v>#N/A</v>
      </c>
      <c r="J10" s="126" t="str">
        <f t="shared" si="25"/>
        <v>#N/A</v>
      </c>
      <c r="K10" s="127">
        <f t="shared" si="2"/>
        <v>0.0618</v>
      </c>
      <c r="L10" s="126">
        <f t="shared" si="3"/>
        <v>0.0378</v>
      </c>
      <c r="M10" s="126">
        <f t="shared" si="4"/>
        <v>0.024</v>
      </c>
      <c r="N10" s="127">
        <f t="shared" si="5"/>
        <v>0.093</v>
      </c>
      <c r="O10" s="126">
        <f t="shared" si="6"/>
        <v>0.0176</v>
      </c>
      <c r="P10" s="126">
        <f t="shared" si="7"/>
        <v>0.0754</v>
      </c>
      <c r="Q10" s="127">
        <f t="shared" si="8"/>
        <v>-0.0554</v>
      </c>
      <c r="R10" s="126">
        <f t="shared" si="9"/>
        <v>0.0042</v>
      </c>
      <c r="S10" s="126">
        <f t="shared" si="10"/>
        <v>-0.0596</v>
      </c>
      <c r="T10" s="127">
        <f t="shared" si="11"/>
        <v>0.0924</v>
      </c>
      <c r="U10" s="126">
        <f t="shared" si="12"/>
        <v>0.0128</v>
      </c>
      <c r="V10" s="126">
        <f t="shared" si="13"/>
        <v>0.0796</v>
      </c>
      <c r="W10" s="127">
        <f t="shared" si="14"/>
        <v>-0.005</v>
      </c>
      <c r="X10" s="126">
        <f t="shared" si="15"/>
        <v>0.0048</v>
      </c>
      <c r="Y10" s="126">
        <f t="shared" si="16"/>
        <v>-0.0098</v>
      </c>
      <c r="Z10" s="127">
        <f t="shared" si="17"/>
        <v>0.1158</v>
      </c>
      <c r="AA10" s="126">
        <f t="shared" si="18"/>
        <v>0.0932</v>
      </c>
      <c r="AB10" s="126">
        <f t="shared" si="19"/>
        <v>0.0226</v>
      </c>
    </row>
    <row r="11">
      <c r="A11" s="117">
        <v>27.0</v>
      </c>
      <c r="B11" s="124" t="s">
        <v>179</v>
      </c>
      <c r="C11" s="117">
        <f>countifs(Data!H:H,A11,Data!G:G,C1)</f>
        <v>0</v>
      </c>
      <c r="D11" s="125" t="str">
        <f>IFERROR(__xludf.DUMMYFUNCTION("Average(filter(Data!E:E,Data!$H:$H=$A11,Data!G:G=C1))"),"#N/A")</f>
        <v>#N/A</v>
      </c>
      <c r="E11" s="126" t="str">
        <f>IFERROR(__xludf.DUMMYFUNCTION("average(filter(Data!Z:Z,Data!$H:$H=$A11,Data!Z:Z&lt;&gt;"""",Data!$G:$G=C1))"),"#N/A")</f>
        <v>#N/A</v>
      </c>
      <c r="F11" s="126" t="str">
        <f>IFERROR(__xludf.DUMMYFUNCTION("average(filter(Data!AA:AA,Data!$H:$H=$A11,Data!AA:AA&lt;&gt;"""",Data!$G:$G=C1))"),"#N/A")</f>
        <v>#N/A</v>
      </c>
      <c r="G11" s="126" t="str">
        <f>IFERROR(__xludf.DUMMYFUNCTION("average(filter(Data!AB:AB,Data!$H:$H=$A11,Data!AB:AB&lt;&gt;"""",Data!$G:$G=C1))"),"#N/A")</f>
        <v>#N/A</v>
      </c>
      <c r="H11" s="126" t="str">
        <f t="shared" ref="H11:J11" si="26">average(E10:E12)</f>
        <v>#N/A</v>
      </c>
      <c r="I11" s="126" t="str">
        <f t="shared" si="26"/>
        <v>#N/A</v>
      </c>
      <c r="J11" s="126" t="str">
        <f t="shared" si="26"/>
        <v>#N/A</v>
      </c>
      <c r="K11" s="127">
        <f t="shared" si="2"/>
        <v>-0.0009</v>
      </c>
      <c r="L11" s="126">
        <f t="shared" si="3"/>
        <v>-0.0069</v>
      </c>
      <c r="M11" s="126">
        <f t="shared" si="4"/>
        <v>0.006</v>
      </c>
      <c r="N11" s="127">
        <f t="shared" si="5"/>
        <v>-0.0015</v>
      </c>
      <c r="O11" s="126">
        <f t="shared" si="6"/>
        <v>-0.0598</v>
      </c>
      <c r="P11" s="126">
        <f t="shared" si="7"/>
        <v>0.0583</v>
      </c>
      <c r="Q11" s="127">
        <f t="shared" si="8"/>
        <v>-0.1258</v>
      </c>
      <c r="R11" s="126">
        <f t="shared" si="9"/>
        <v>-0.0491</v>
      </c>
      <c r="S11" s="126">
        <f t="shared" si="10"/>
        <v>-0.0767</v>
      </c>
      <c r="T11" s="127">
        <f t="shared" si="11"/>
        <v>0.0258</v>
      </c>
      <c r="U11" s="126">
        <f t="shared" si="12"/>
        <v>-0.0344</v>
      </c>
      <c r="V11" s="126">
        <f t="shared" si="13"/>
        <v>0.0602</v>
      </c>
      <c r="W11" s="127">
        <f t="shared" si="14"/>
        <v>-0.0575</v>
      </c>
      <c r="X11" s="126">
        <f t="shared" si="15"/>
        <v>-0.0319</v>
      </c>
      <c r="Y11" s="126">
        <f t="shared" si="16"/>
        <v>-0.0256</v>
      </c>
      <c r="Z11" s="127">
        <f t="shared" si="17"/>
        <v>0.0401</v>
      </c>
      <c r="AA11" s="126">
        <f t="shared" si="18"/>
        <v>0.0514</v>
      </c>
      <c r="AB11" s="126">
        <f t="shared" si="19"/>
        <v>-0.0113</v>
      </c>
    </row>
    <row r="12">
      <c r="A12" s="117">
        <v>28.0</v>
      </c>
      <c r="B12" s="124" t="s">
        <v>179</v>
      </c>
      <c r="C12" s="117">
        <f>countifs(Data!H:H,A12,Data!G:G,C1)</f>
        <v>0</v>
      </c>
      <c r="D12" s="125" t="str">
        <f>IFERROR(__xludf.DUMMYFUNCTION("Average(filter(Data!E:E,Data!$H:$H=$A12,Data!G:G=C1))"),"#N/A")</f>
        <v>#N/A</v>
      </c>
      <c r="E12" s="126" t="str">
        <f>IFERROR(__xludf.DUMMYFUNCTION("average(filter(Data!Z:Z,Data!$H:$H=$A12,Data!Z:Z&lt;&gt;"""",Data!$G:$G=C1))"),"#N/A")</f>
        <v>#N/A</v>
      </c>
      <c r="F12" s="126" t="str">
        <f>IFERROR(__xludf.DUMMYFUNCTION("average(filter(Data!AA:AA,Data!$H:$H=$A12,Data!AA:AA&lt;&gt;"""",Data!$G:$G=C1))"),"#N/A")</f>
        <v>#N/A</v>
      </c>
      <c r="G12" s="126" t="str">
        <f>IFERROR(__xludf.DUMMYFUNCTION("average(filter(Data!AB:AB,Data!$H:$H=$A12,Data!AB:AB&lt;&gt;"""",Data!$G:$G=C1))"),"#N/A")</f>
        <v>#N/A</v>
      </c>
      <c r="H12" s="126" t="str">
        <f t="shared" ref="H12:J12" si="27">average(E11:E13)</f>
        <v>#N/A</v>
      </c>
      <c r="I12" s="126" t="str">
        <f t="shared" si="27"/>
        <v>#N/A</v>
      </c>
      <c r="J12" s="126" t="str">
        <f t="shared" si="27"/>
        <v>#N/A</v>
      </c>
      <c r="K12" s="127">
        <f t="shared" si="2"/>
        <v>-0.0636</v>
      </c>
      <c r="L12" s="126">
        <f t="shared" si="3"/>
        <v>-0.0516</v>
      </c>
      <c r="M12" s="126">
        <f t="shared" si="4"/>
        <v>-0.012</v>
      </c>
      <c r="N12" s="127">
        <f t="shared" si="5"/>
        <v>-0.096</v>
      </c>
      <c r="O12" s="126">
        <f t="shared" si="6"/>
        <v>-0.1372</v>
      </c>
      <c r="P12" s="126">
        <f t="shared" si="7"/>
        <v>0.0412</v>
      </c>
      <c r="Q12" s="127">
        <f t="shared" si="8"/>
        <v>-0.1962</v>
      </c>
      <c r="R12" s="126">
        <f t="shared" si="9"/>
        <v>-0.1024</v>
      </c>
      <c r="S12" s="126">
        <f t="shared" si="10"/>
        <v>-0.0938</v>
      </c>
      <c r="T12" s="127">
        <f t="shared" si="11"/>
        <v>-0.0408</v>
      </c>
      <c r="U12" s="126">
        <f t="shared" si="12"/>
        <v>-0.0816</v>
      </c>
      <c r="V12" s="126">
        <f t="shared" si="13"/>
        <v>0.0408</v>
      </c>
      <c r="W12" s="127">
        <f t="shared" si="14"/>
        <v>-0.11</v>
      </c>
      <c r="X12" s="126">
        <f t="shared" si="15"/>
        <v>-0.0686</v>
      </c>
      <c r="Y12" s="126">
        <f t="shared" si="16"/>
        <v>-0.0414</v>
      </c>
      <c r="Z12" s="127">
        <f t="shared" si="17"/>
        <v>-0.0356</v>
      </c>
      <c r="AA12" s="126">
        <f t="shared" si="18"/>
        <v>0.0096</v>
      </c>
      <c r="AB12" s="126">
        <f t="shared" si="19"/>
        <v>-0.0452</v>
      </c>
    </row>
    <row r="13">
      <c r="A13" s="117">
        <v>29.0</v>
      </c>
      <c r="B13" s="124" t="s">
        <v>179</v>
      </c>
      <c r="C13" s="117">
        <f>countifs(Data!H:H,A13,Data!G:G,C1)</f>
        <v>0</v>
      </c>
      <c r="D13" s="125" t="str">
        <f>IFERROR(__xludf.DUMMYFUNCTION("Average(filter(Data!E:E,Data!$H:$H=$A13,Data!G:G=C1))"),"#N/A")</f>
        <v>#N/A</v>
      </c>
      <c r="E13" s="126" t="str">
        <f>IFERROR(__xludf.DUMMYFUNCTION("average(filter(Data!Z:Z,Data!$H:$H=$A13,Data!Z:Z&lt;&gt;"""",Data!$G:$G=C1))"),"#N/A")</f>
        <v>#N/A</v>
      </c>
      <c r="F13" s="126" t="str">
        <f>IFERROR(__xludf.DUMMYFUNCTION("average(filter(Data!AA:AA,Data!$H:$H=$A13,Data!AA:AA&lt;&gt;"""",Data!$G:$G=C1))"),"#N/A")</f>
        <v>#N/A</v>
      </c>
      <c r="G13" s="126" t="str">
        <f>IFERROR(__xludf.DUMMYFUNCTION("average(filter(Data!AB:AB,Data!$H:$H=$A13,Data!AB:AB&lt;&gt;"""",Data!$G:$G=C1))"),"#N/A")</f>
        <v>#N/A</v>
      </c>
      <c r="H13" s="126" t="str">
        <f t="shared" ref="H13:J13" si="28">average(E12:E14)</f>
        <v>#N/A</v>
      </c>
      <c r="I13" s="126" t="str">
        <f t="shared" si="28"/>
        <v>#N/A</v>
      </c>
      <c r="J13" s="126" t="str">
        <f t="shared" si="28"/>
        <v>#N/A</v>
      </c>
      <c r="K13" s="127">
        <f t="shared" si="2"/>
        <v>-0.1263</v>
      </c>
      <c r="L13" s="126">
        <f t="shared" si="3"/>
        <v>-0.0963</v>
      </c>
      <c r="M13" s="126">
        <f t="shared" si="4"/>
        <v>-0.03</v>
      </c>
      <c r="N13" s="127">
        <f t="shared" si="5"/>
        <v>-0.1905</v>
      </c>
      <c r="O13" s="126">
        <f t="shared" si="6"/>
        <v>-0.2146</v>
      </c>
      <c r="P13" s="126">
        <f t="shared" si="7"/>
        <v>0.0241</v>
      </c>
      <c r="Q13" s="127">
        <f t="shared" si="8"/>
        <v>-0.2666</v>
      </c>
      <c r="R13" s="126">
        <f t="shared" si="9"/>
        <v>-0.1557</v>
      </c>
      <c r="S13" s="126">
        <f t="shared" si="10"/>
        <v>-0.1109</v>
      </c>
      <c r="T13" s="127">
        <f t="shared" si="11"/>
        <v>-0.1074</v>
      </c>
      <c r="U13" s="126">
        <f t="shared" si="12"/>
        <v>-0.1288</v>
      </c>
      <c r="V13" s="126">
        <f t="shared" si="13"/>
        <v>0.0214</v>
      </c>
      <c r="W13" s="127">
        <f t="shared" si="14"/>
        <v>-0.1625</v>
      </c>
      <c r="X13" s="126">
        <f t="shared" si="15"/>
        <v>-0.1053</v>
      </c>
      <c r="Y13" s="126">
        <f t="shared" si="16"/>
        <v>-0.0572</v>
      </c>
      <c r="Z13" s="127">
        <f t="shared" si="17"/>
        <v>-0.1113</v>
      </c>
      <c r="AA13" s="126">
        <f t="shared" si="18"/>
        <v>-0.0322</v>
      </c>
      <c r="AB13" s="126">
        <f t="shared" si="19"/>
        <v>-0.0791</v>
      </c>
    </row>
    <row r="14">
      <c r="A14" s="117">
        <v>30.0</v>
      </c>
      <c r="B14" s="124" t="s">
        <v>179</v>
      </c>
      <c r="C14" s="117">
        <f>countifs(Data!H:H,A14,Data!G:G,C1)</f>
        <v>0</v>
      </c>
      <c r="D14" s="125" t="str">
        <f>IFERROR(__xludf.DUMMYFUNCTION("Average(filter(Data!E:E,Data!$H:$H=$A14,Data!G:G=C1))"),"#N/A")</f>
        <v>#N/A</v>
      </c>
      <c r="E14" s="126" t="str">
        <f>IFERROR(__xludf.DUMMYFUNCTION("average(filter(Data!Z:Z,Data!$H:$H=$A14,Data!Z:Z&lt;&gt;"""",Data!$G:$G=C1))"),"#N/A")</f>
        <v>#N/A</v>
      </c>
      <c r="F14" s="126" t="str">
        <f>IFERROR(__xludf.DUMMYFUNCTION("average(filter(Data!AA:AA,Data!$H:$H=$A14,Data!AA:AA&lt;&gt;"""",Data!$G:$G=C1))"),"#N/A")</f>
        <v>#N/A</v>
      </c>
      <c r="G14" s="126" t="str">
        <f>IFERROR(__xludf.DUMMYFUNCTION("average(filter(Data!AB:AB,Data!$H:$H=$A14,Data!AB:AB&lt;&gt;"""",Data!$G:$G=C1))"),"#N/A")</f>
        <v>#N/A</v>
      </c>
      <c r="H14" s="126" t="str">
        <f t="shared" ref="H14:J14" si="29">average(E13:E15)</f>
        <v>#N/A</v>
      </c>
      <c r="I14" s="126" t="str">
        <f t="shared" si="29"/>
        <v>#N/A</v>
      </c>
      <c r="J14" s="126" t="str">
        <f t="shared" si="29"/>
        <v>#N/A</v>
      </c>
      <c r="K14" s="127">
        <f t="shared" si="2"/>
        <v>-0.189</v>
      </c>
      <c r="L14" s="126">
        <f t="shared" si="3"/>
        <v>-0.141</v>
      </c>
      <c r="M14" s="126">
        <f t="shared" si="4"/>
        <v>-0.048</v>
      </c>
      <c r="N14" s="127">
        <f t="shared" si="5"/>
        <v>-0.285</v>
      </c>
      <c r="O14" s="126">
        <f t="shared" si="6"/>
        <v>-0.292</v>
      </c>
      <c r="P14" s="126">
        <f t="shared" si="7"/>
        <v>0.007</v>
      </c>
      <c r="Q14" s="127">
        <f t="shared" si="8"/>
        <v>-0.337</v>
      </c>
      <c r="R14" s="126">
        <f t="shared" si="9"/>
        <v>-0.209</v>
      </c>
      <c r="S14" s="126">
        <f t="shared" si="10"/>
        <v>-0.128</v>
      </c>
      <c r="T14" s="127">
        <f t="shared" si="11"/>
        <v>-0.174</v>
      </c>
      <c r="U14" s="126">
        <f t="shared" si="12"/>
        <v>-0.176</v>
      </c>
      <c r="V14" s="126">
        <f t="shared" si="13"/>
        <v>0.002</v>
      </c>
      <c r="W14" s="127">
        <f t="shared" si="14"/>
        <v>-0.215</v>
      </c>
      <c r="X14" s="126">
        <f t="shared" si="15"/>
        <v>-0.142</v>
      </c>
      <c r="Y14" s="126">
        <f t="shared" si="16"/>
        <v>-0.073</v>
      </c>
      <c r="Z14" s="127">
        <f t="shared" si="17"/>
        <v>-0.187</v>
      </c>
      <c r="AA14" s="126">
        <f t="shared" si="18"/>
        <v>-0.074</v>
      </c>
      <c r="AB14" s="126">
        <f t="shared" si="19"/>
        <v>-0.113</v>
      </c>
    </row>
    <row r="15">
      <c r="A15" s="117">
        <v>31.0</v>
      </c>
      <c r="B15" s="124" t="s">
        <v>179</v>
      </c>
      <c r="C15" s="117">
        <f>countifs(Data!H:H,A15,Data!G:G,C1)</f>
        <v>0</v>
      </c>
      <c r="D15" s="125" t="str">
        <f>IFERROR(__xludf.DUMMYFUNCTION("Average(filter(Data!E:E,Data!$H:$H=$A15,Data!G:G=C1))"),"#N/A")</f>
        <v>#N/A</v>
      </c>
      <c r="E15" s="126" t="str">
        <f>IFERROR(__xludf.DUMMYFUNCTION("average(filter(Data!Z:Z,Data!$H:$H=$A15,Data!Z:Z&lt;&gt;"""",Data!$G:$G=C1))"),"#N/A")</f>
        <v>#N/A</v>
      </c>
      <c r="F15" s="126" t="str">
        <f>IFERROR(__xludf.DUMMYFUNCTION("average(filter(Data!AA:AA,Data!$H:$H=$A15,Data!AA:AA&lt;&gt;"""",Data!$G:$G=C1))"),"#N/A")</f>
        <v>#N/A</v>
      </c>
      <c r="G15" s="126" t="str">
        <f>IFERROR(__xludf.DUMMYFUNCTION("average(filter(Data!AB:AB,Data!$H:$H=$A15,Data!AB:AB&lt;&gt;"""",Data!$G:$G=C1))"),"#N/A")</f>
        <v>#N/A</v>
      </c>
      <c r="H15" s="126" t="str">
        <f t="shared" ref="H15:J15" si="30">average(E14:E16)</f>
        <v>#N/A</v>
      </c>
      <c r="I15" s="126" t="str">
        <f t="shared" si="30"/>
        <v>#N/A</v>
      </c>
      <c r="J15" s="126" t="str">
        <f t="shared" si="30"/>
        <v>#N/A</v>
      </c>
      <c r="K15" s="127">
        <f t="shared" si="2"/>
        <v>-0.2517</v>
      </c>
      <c r="L15" s="126">
        <f t="shared" si="3"/>
        <v>-0.1857</v>
      </c>
      <c r="M15" s="126">
        <f t="shared" si="4"/>
        <v>-0.066</v>
      </c>
      <c r="N15" s="127">
        <f t="shared" si="5"/>
        <v>-0.3795</v>
      </c>
      <c r="O15" s="126">
        <f t="shared" si="6"/>
        <v>-0.3694</v>
      </c>
      <c r="P15" s="126">
        <f t="shared" si="7"/>
        <v>-0.0101</v>
      </c>
      <c r="Q15" s="127">
        <f t="shared" si="8"/>
        <v>-0.4074</v>
      </c>
      <c r="R15" s="126">
        <f t="shared" si="9"/>
        <v>-0.2623</v>
      </c>
      <c r="S15" s="126">
        <f t="shared" si="10"/>
        <v>-0.1451</v>
      </c>
      <c r="T15" s="127">
        <f t="shared" si="11"/>
        <v>-0.2406</v>
      </c>
      <c r="U15" s="126">
        <f t="shared" si="12"/>
        <v>-0.2232</v>
      </c>
      <c r="V15" s="126">
        <f t="shared" si="13"/>
        <v>-0.0174</v>
      </c>
      <c r="W15" s="127">
        <f t="shared" si="14"/>
        <v>-0.2675</v>
      </c>
      <c r="X15" s="126">
        <f t="shared" si="15"/>
        <v>-0.1787</v>
      </c>
      <c r="Y15" s="126">
        <f t="shared" si="16"/>
        <v>-0.0888</v>
      </c>
      <c r="Z15" s="127">
        <f t="shared" si="17"/>
        <v>-0.2627</v>
      </c>
      <c r="AA15" s="126">
        <f t="shared" si="18"/>
        <v>-0.1158</v>
      </c>
      <c r="AB15" s="126">
        <f t="shared" si="19"/>
        <v>-0.1469</v>
      </c>
    </row>
    <row r="16">
      <c r="A16" s="117">
        <v>32.0</v>
      </c>
      <c r="B16" s="124" t="s">
        <v>179</v>
      </c>
      <c r="C16" s="117">
        <f>countifs(Data!H:H,A16,Data!G:G,C1)</f>
        <v>0</v>
      </c>
      <c r="D16" s="125" t="str">
        <f>IFERROR(__xludf.DUMMYFUNCTION("Average(filter(Data!E:E,Data!$H:$H=$A16,Data!G:G=C1))"),"#N/A")</f>
        <v>#N/A</v>
      </c>
      <c r="E16" s="126" t="str">
        <f>IFERROR(__xludf.DUMMYFUNCTION("average(filter(Data!Z:Z,Data!$H:$H=$A16,Data!Z:Z&lt;&gt;"""",Data!$G:$G=C1))"),"#N/A")</f>
        <v>#N/A</v>
      </c>
      <c r="F16" s="126" t="str">
        <f>IFERROR(__xludf.DUMMYFUNCTION("average(filter(Data!AA:AA,Data!$H:$H=$A16,Data!AA:AA&lt;&gt;"""",Data!$G:$G=C1))"),"#N/A")</f>
        <v>#N/A</v>
      </c>
      <c r="G16" s="126" t="str">
        <f>IFERROR(__xludf.DUMMYFUNCTION("average(filter(Data!AB:AB,Data!$H:$H=$A16,Data!AB:AB&lt;&gt;"""",Data!$G:$G=C1))"),"#N/A")</f>
        <v>#N/A</v>
      </c>
      <c r="H16" s="126" t="str">
        <f t="shared" ref="H16:J16" si="31">average(E15:E17)</f>
        <v>#N/A</v>
      </c>
      <c r="I16" s="126" t="str">
        <f t="shared" si="31"/>
        <v>#N/A</v>
      </c>
      <c r="J16" s="126" t="str">
        <f t="shared" si="31"/>
        <v>#N/A</v>
      </c>
      <c r="K16" s="127">
        <f t="shared" si="2"/>
        <v>-0.3144</v>
      </c>
      <c r="L16" s="126">
        <f t="shared" si="3"/>
        <v>-0.2304</v>
      </c>
      <c r="M16" s="126">
        <f t="shared" si="4"/>
        <v>-0.084</v>
      </c>
      <c r="N16" s="127">
        <f t="shared" si="5"/>
        <v>-0.474</v>
      </c>
      <c r="O16" s="126">
        <f t="shared" si="6"/>
        <v>-0.4468</v>
      </c>
      <c r="P16" s="126">
        <f t="shared" si="7"/>
        <v>-0.0272</v>
      </c>
      <c r="Q16" s="127">
        <f t="shared" si="8"/>
        <v>-0.4778</v>
      </c>
      <c r="R16" s="126">
        <f t="shared" si="9"/>
        <v>-0.3156</v>
      </c>
      <c r="S16" s="126">
        <f t="shared" si="10"/>
        <v>-0.1622</v>
      </c>
      <c r="T16" s="127">
        <f t="shared" si="11"/>
        <v>-0.3072</v>
      </c>
      <c r="U16" s="126">
        <f t="shared" si="12"/>
        <v>-0.2704</v>
      </c>
      <c r="V16" s="126">
        <f t="shared" si="13"/>
        <v>-0.0368</v>
      </c>
      <c r="W16" s="127">
        <f t="shared" si="14"/>
        <v>-0.32</v>
      </c>
      <c r="X16" s="126">
        <f t="shared" si="15"/>
        <v>-0.2154</v>
      </c>
      <c r="Y16" s="126">
        <f t="shared" si="16"/>
        <v>-0.1046</v>
      </c>
      <c r="Z16" s="127">
        <f t="shared" si="17"/>
        <v>-0.3384</v>
      </c>
      <c r="AA16" s="126">
        <f t="shared" si="18"/>
        <v>-0.1576</v>
      </c>
      <c r="AB16" s="126">
        <f t="shared" si="19"/>
        <v>-0.1808</v>
      </c>
    </row>
    <row r="17">
      <c r="A17" s="117">
        <v>33.0</v>
      </c>
      <c r="B17" s="124" t="s">
        <v>179</v>
      </c>
      <c r="C17" s="117">
        <f>countifs(Data!H:H,A17,Data!G:G,C1)</f>
        <v>0</v>
      </c>
      <c r="D17" s="125" t="str">
        <f>IFERROR(__xludf.DUMMYFUNCTION("Average(filter(Data!E:E,Data!$H:$H=$A17,Data!G:G=C1))"),"#N/A")</f>
        <v>#N/A</v>
      </c>
      <c r="E17" s="126" t="str">
        <f>IFERROR(__xludf.DUMMYFUNCTION("average(filter(Data!Z:Z,Data!$H:$H=$A17,Data!Z:Z&lt;&gt;"""",Data!$G:$G=C1))"),"#N/A")</f>
        <v>#N/A</v>
      </c>
      <c r="F17" s="126" t="str">
        <f>IFERROR(__xludf.DUMMYFUNCTION("average(filter(Data!AA:AA,Data!$H:$H=$A17,Data!AA:AA&lt;&gt;"""",Data!$G:$G=C1))"),"#N/A")</f>
        <v>#N/A</v>
      </c>
      <c r="G17" s="126" t="str">
        <f>IFERROR(__xludf.DUMMYFUNCTION("average(filter(Data!AB:AB,Data!$H:$H=$A17,Data!AB:AB&lt;&gt;"""",Data!$G:$G=C1))"),"#N/A")</f>
        <v>#N/A</v>
      </c>
      <c r="H17" s="126" t="str">
        <f t="shared" ref="H17:J17" si="32">average(E16:E18)</f>
        <v>#N/A</v>
      </c>
      <c r="I17" s="126" t="str">
        <f t="shared" si="32"/>
        <v>#N/A</v>
      </c>
      <c r="J17" s="126" t="str">
        <f t="shared" si="32"/>
        <v>#N/A</v>
      </c>
      <c r="K17" s="127">
        <f t="shared" si="2"/>
        <v>-0.3771</v>
      </c>
      <c r="L17" s="126">
        <f t="shared" si="3"/>
        <v>-0.2751</v>
      </c>
      <c r="M17" s="126">
        <f t="shared" si="4"/>
        <v>-0.102</v>
      </c>
      <c r="N17" s="127">
        <f t="shared" si="5"/>
        <v>-0.5685</v>
      </c>
      <c r="O17" s="126">
        <f t="shared" si="6"/>
        <v>-0.5242</v>
      </c>
      <c r="P17" s="126">
        <f t="shared" si="7"/>
        <v>-0.0443</v>
      </c>
      <c r="Q17" s="127">
        <f t="shared" si="8"/>
        <v>-0.5482</v>
      </c>
      <c r="R17" s="126">
        <f t="shared" si="9"/>
        <v>-0.3689</v>
      </c>
      <c r="S17" s="126">
        <f t="shared" si="10"/>
        <v>-0.1793</v>
      </c>
      <c r="T17" s="127">
        <f t="shared" si="11"/>
        <v>-0.3738</v>
      </c>
      <c r="U17" s="126">
        <f t="shared" si="12"/>
        <v>-0.3176</v>
      </c>
      <c r="V17" s="126">
        <f t="shared" si="13"/>
        <v>-0.0562</v>
      </c>
      <c r="W17" s="127">
        <f t="shared" si="14"/>
        <v>-0.3725</v>
      </c>
      <c r="X17" s="126">
        <f t="shared" si="15"/>
        <v>-0.2521</v>
      </c>
      <c r="Y17" s="126">
        <f t="shared" si="16"/>
        <v>-0.1204</v>
      </c>
      <c r="Z17" s="127">
        <f t="shared" si="17"/>
        <v>-0.4141</v>
      </c>
      <c r="AA17" s="126">
        <f t="shared" si="18"/>
        <v>-0.1994</v>
      </c>
      <c r="AB17" s="126">
        <f t="shared" si="19"/>
        <v>-0.2147</v>
      </c>
    </row>
    <row r="18">
      <c r="A18" s="117">
        <v>34.0</v>
      </c>
      <c r="B18" s="124" t="s">
        <v>179</v>
      </c>
      <c r="C18" s="117">
        <f>countifs(Data!H:H,A18,Data!G:G,C1)</f>
        <v>0</v>
      </c>
      <c r="D18" s="125" t="str">
        <f>IFERROR(__xludf.DUMMYFUNCTION("Average(filter(Data!E:E,Data!$H:$H=$A18,Data!G:G=C1))"),"#N/A")</f>
        <v>#N/A</v>
      </c>
      <c r="E18" s="126" t="str">
        <f>IFERROR(__xludf.DUMMYFUNCTION("average(filter(Data!Z:Z,Data!$H:$H=$A18,Data!Z:Z&lt;&gt;"""",Data!$G:$G=C1))"),"#N/A")</f>
        <v>#N/A</v>
      </c>
      <c r="F18" s="126" t="str">
        <f>IFERROR(__xludf.DUMMYFUNCTION("average(filter(Data!AA:AA,Data!$H:$H=$A18,Data!AA:AA&lt;&gt;"""",Data!$G:$G=C1))"),"#N/A")</f>
        <v>#N/A</v>
      </c>
      <c r="G18" s="126" t="str">
        <f>IFERROR(__xludf.DUMMYFUNCTION("average(filter(Data!AB:AB,Data!$H:$H=$A18,Data!AB:AB&lt;&gt;"""",Data!$G:$G=C1))"),"#N/A")</f>
        <v>#N/A</v>
      </c>
      <c r="H18" s="126" t="str">
        <f t="shared" ref="H18:J18" si="33">average(E17:E19)</f>
        <v>#N/A</v>
      </c>
      <c r="I18" s="126" t="str">
        <f t="shared" si="33"/>
        <v>#N/A</v>
      </c>
      <c r="J18" s="126" t="str">
        <f t="shared" si="33"/>
        <v>#N/A</v>
      </c>
      <c r="K18" s="127">
        <f t="shared" si="2"/>
        <v>-0.4398</v>
      </c>
      <c r="L18" s="126">
        <f t="shared" si="3"/>
        <v>-0.3198</v>
      </c>
      <c r="M18" s="126">
        <f t="shared" si="4"/>
        <v>-0.12</v>
      </c>
      <c r="N18" s="127">
        <f t="shared" si="5"/>
        <v>-0.663</v>
      </c>
      <c r="O18" s="126">
        <f t="shared" si="6"/>
        <v>-0.6016</v>
      </c>
      <c r="P18" s="126">
        <f t="shared" si="7"/>
        <v>-0.0614</v>
      </c>
      <c r="Q18" s="127">
        <f t="shared" si="8"/>
        <v>-0.6186</v>
      </c>
      <c r="R18" s="126">
        <f t="shared" si="9"/>
        <v>-0.4222</v>
      </c>
      <c r="S18" s="126">
        <f t="shared" si="10"/>
        <v>-0.1964</v>
      </c>
      <c r="T18" s="127">
        <f t="shared" si="11"/>
        <v>-0.4404</v>
      </c>
      <c r="U18" s="126">
        <f t="shared" si="12"/>
        <v>-0.3648</v>
      </c>
      <c r="V18" s="126">
        <f t="shared" si="13"/>
        <v>-0.0756</v>
      </c>
      <c r="W18" s="127">
        <f t="shared" si="14"/>
        <v>-0.425</v>
      </c>
      <c r="X18" s="126">
        <f t="shared" si="15"/>
        <v>-0.2888</v>
      </c>
      <c r="Y18" s="126">
        <f t="shared" si="16"/>
        <v>-0.1362</v>
      </c>
      <c r="Z18" s="127">
        <f t="shared" si="17"/>
        <v>-0.4898</v>
      </c>
      <c r="AA18" s="126">
        <f t="shared" si="18"/>
        <v>-0.2412</v>
      </c>
      <c r="AB18" s="126">
        <f t="shared" si="19"/>
        <v>-0.2486</v>
      </c>
    </row>
    <row r="19">
      <c r="A19" s="117">
        <v>35.0</v>
      </c>
      <c r="B19" s="124" t="s">
        <v>179</v>
      </c>
      <c r="C19" s="117">
        <f>countifs(Data!H:H,A19,Data!G:G,C1)</f>
        <v>0</v>
      </c>
      <c r="D19" s="125" t="str">
        <f>IFERROR(__xludf.DUMMYFUNCTION("Average(filter(Data!E:E,Data!$H:$H=$A19,Data!G:G=C1))"),"#N/A")</f>
        <v>#N/A</v>
      </c>
      <c r="E19" s="126" t="str">
        <f>IFERROR(__xludf.DUMMYFUNCTION("average(filter(Data!Z:Z,Data!$H:$H=$A19,Data!Z:Z&lt;&gt;"""",Data!$G:$G=C1))"),"#N/A")</f>
        <v>#N/A</v>
      </c>
      <c r="F19" s="126" t="str">
        <f>IFERROR(__xludf.DUMMYFUNCTION("average(filter(Data!AA:AA,Data!$H:$H=$A19,Data!AA:AA&lt;&gt;"""",Data!$G:$G=C1))"),"#N/A")</f>
        <v>#N/A</v>
      </c>
      <c r="G19" s="126" t="str">
        <f>IFERROR(__xludf.DUMMYFUNCTION("average(filter(Data!AB:AB,Data!$H:$H=$A19,Data!AB:AB&lt;&gt;"""",Data!$G:$G=C1))"),"#N/A")</f>
        <v>#N/A</v>
      </c>
      <c r="H19" s="126" t="str">
        <f t="shared" ref="H19:J19" si="34">average(E18:E20)</f>
        <v>#N/A</v>
      </c>
      <c r="I19" s="126" t="str">
        <f t="shared" si="34"/>
        <v>#N/A</v>
      </c>
      <c r="J19" s="126" t="str">
        <f t="shared" si="34"/>
        <v>#N/A</v>
      </c>
      <c r="K19" s="127">
        <f t="shared" si="2"/>
        <v>-0.5025</v>
      </c>
      <c r="L19" s="126">
        <f t="shared" si="3"/>
        <v>-0.3645</v>
      </c>
      <c r="M19" s="126">
        <f t="shared" si="4"/>
        <v>-0.138</v>
      </c>
      <c r="N19" s="127">
        <f t="shared" si="5"/>
        <v>-0.7575</v>
      </c>
      <c r="O19" s="126">
        <f t="shared" si="6"/>
        <v>-0.679</v>
      </c>
      <c r="P19" s="126">
        <f t="shared" si="7"/>
        <v>-0.0785</v>
      </c>
      <c r="Q19" s="127">
        <f t="shared" si="8"/>
        <v>-0.689</v>
      </c>
      <c r="R19" s="126">
        <f t="shared" si="9"/>
        <v>-0.4755</v>
      </c>
      <c r="S19" s="126">
        <f t="shared" si="10"/>
        <v>-0.2135</v>
      </c>
      <c r="T19" s="127">
        <f t="shared" si="11"/>
        <v>-0.507</v>
      </c>
      <c r="U19" s="126">
        <f t="shared" si="12"/>
        <v>-0.412</v>
      </c>
      <c r="V19" s="126">
        <f t="shared" si="13"/>
        <v>-0.095</v>
      </c>
      <c r="W19" s="127">
        <f t="shared" si="14"/>
        <v>-0.4775</v>
      </c>
      <c r="X19" s="126">
        <f t="shared" si="15"/>
        <v>-0.3255</v>
      </c>
      <c r="Y19" s="126">
        <f t="shared" si="16"/>
        <v>-0.152</v>
      </c>
      <c r="Z19" s="127">
        <f t="shared" si="17"/>
        <v>-0.5655</v>
      </c>
      <c r="AA19" s="126">
        <f t="shared" si="18"/>
        <v>-0.283</v>
      </c>
      <c r="AB19" s="126">
        <f t="shared" si="19"/>
        <v>-0.2825</v>
      </c>
    </row>
    <row r="20">
      <c r="A20" s="117">
        <v>36.0</v>
      </c>
      <c r="B20" s="124" t="s">
        <v>179</v>
      </c>
      <c r="C20" s="117">
        <f>countifs(Data!H:H,A20,Data!G:G,C1)</f>
        <v>0</v>
      </c>
      <c r="D20" s="125" t="str">
        <f>IFERROR(__xludf.DUMMYFUNCTION("Average(filter(Data!E:E,Data!$H:$H=$A20,Data!G:G=C1))"),"#N/A")</f>
        <v>#N/A</v>
      </c>
      <c r="E20" s="126" t="str">
        <f>IFERROR(__xludf.DUMMYFUNCTION("average(filter(Data!Z:Z,Data!$H:$H=$A20,Data!Z:Z&lt;&gt;"""",Data!$G:$G=C1))"),"#N/A")</f>
        <v>#N/A</v>
      </c>
      <c r="F20" s="126" t="str">
        <f>IFERROR(__xludf.DUMMYFUNCTION("average(filter(Data!AA:AA,Data!$H:$H=$A20,Data!AA:AA&lt;&gt;"""",Data!$G:$G=C1))"),"#N/A")</f>
        <v>#N/A</v>
      </c>
      <c r="G20" s="126" t="str">
        <f>IFERROR(__xludf.DUMMYFUNCTION("average(filter(Data!AB:AB,Data!$H:$H=$A20,Data!AB:AB&lt;&gt;"""",Data!$G:$G=C1))"),"#N/A")</f>
        <v>#N/A</v>
      </c>
      <c r="H20" s="126" t="str">
        <f t="shared" ref="H20:J20" si="35">average(E19:E21)</f>
        <v>#N/A</v>
      </c>
      <c r="I20" s="126" t="str">
        <f t="shared" si="35"/>
        <v>#N/A</v>
      </c>
      <c r="J20" s="126" t="str">
        <f t="shared" si="35"/>
        <v>#N/A</v>
      </c>
      <c r="K20" s="127">
        <f t="shared" si="2"/>
        <v>-0.5652</v>
      </c>
      <c r="L20" s="126">
        <f t="shared" si="3"/>
        <v>-0.4092</v>
      </c>
      <c r="M20" s="126">
        <f t="shared" si="4"/>
        <v>-0.156</v>
      </c>
      <c r="N20" s="127">
        <f t="shared" si="5"/>
        <v>-0.852</v>
      </c>
      <c r="O20" s="126">
        <f t="shared" si="6"/>
        <v>-0.7564</v>
      </c>
      <c r="P20" s="126">
        <f t="shared" si="7"/>
        <v>-0.0956</v>
      </c>
      <c r="Q20" s="127">
        <f t="shared" si="8"/>
        <v>-0.7594</v>
      </c>
      <c r="R20" s="126">
        <f t="shared" si="9"/>
        <v>-0.5288</v>
      </c>
      <c r="S20" s="126">
        <f t="shared" si="10"/>
        <v>-0.2306</v>
      </c>
      <c r="T20" s="127">
        <f t="shared" si="11"/>
        <v>-0.5736</v>
      </c>
      <c r="U20" s="126">
        <f t="shared" si="12"/>
        <v>-0.4592</v>
      </c>
      <c r="V20" s="126">
        <f t="shared" si="13"/>
        <v>-0.1144</v>
      </c>
      <c r="W20" s="127">
        <f t="shared" si="14"/>
        <v>-0.53</v>
      </c>
      <c r="X20" s="126">
        <f t="shared" si="15"/>
        <v>-0.3622</v>
      </c>
      <c r="Y20" s="126">
        <f t="shared" si="16"/>
        <v>-0.1678</v>
      </c>
      <c r="Z20" s="127">
        <f t="shared" si="17"/>
        <v>-0.6412</v>
      </c>
      <c r="AA20" s="126">
        <f t="shared" si="18"/>
        <v>-0.3248</v>
      </c>
      <c r="AB20" s="126">
        <f t="shared" si="19"/>
        <v>-0.3164</v>
      </c>
    </row>
    <row r="21">
      <c r="A21" s="117">
        <v>37.0</v>
      </c>
      <c r="B21" s="124" t="s">
        <v>179</v>
      </c>
      <c r="C21" s="117">
        <f>countifs(Data!H:H,A21,Data!G:G,C1)</f>
        <v>0</v>
      </c>
      <c r="D21" s="125" t="str">
        <f>IFERROR(__xludf.DUMMYFUNCTION("Average(filter(Data!E:E,Data!$H:$H=$A21,Data!G:G=C1))"),"#N/A")</f>
        <v>#N/A</v>
      </c>
      <c r="E21" s="126" t="str">
        <f>IFERROR(__xludf.DUMMYFUNCTION("average(filter(Data!Z:Z,Data!$H:$H=$A21,Data!Z:Z&lt;&gt;"""",Data!$G:$G=C1))"),"#N/A")</f>
        <v>#N/A</v>
      </c>
      <c r="F21" s="126" t="str">
        <f>IFERROR(__xludf.DUMMYFUNCTION("average(filter(Data!AA:AA,Data!$H:$H=$A21,Data!AA:AA&lt;&gt;"""",Data!$G:$G=C1))"),"#N/A")</f>
        <v>#N/A</v>
      </c>
      <c r="G21" s="126" t="str">
        <f>IFERROR(__xludf.DUMMYFUNCTION("average(filter(Data!AB:AB,Data!$H:$H=$A21,Data!AB:AB&lt;&gt;"""",Data!$G:$G=C1))"),"#N/A")</f>
        <v>#N/A</v>
      </c>
      <c r="H21" s="126"/>
      <c r="I21" s="126"/>
      <c r="J21" s="126"/>
      <c r="K21" s="127">
        <f t="shared" si="2"/>
        <v>-0.6279</v>
      </c>
      <c r="L21" s="126">
        <f t="shared" si="3"/>
        <v>-0.4539</v>
      </c>
      <c r="M21" s="126">
        <f t="shared" si="4"/>
        <v>-0.174</v>
      </c>
      <c r="N21" s="127">
        <f t="shared" si="5"/>
        <v>-0.9465</v>
      </c>
      <c r="O21" s="126">
        <f t="shared" si="6"/>
        <v>-0.8338</v>
      </c>
      <c r="P21" s="126">
        <f t="shared" si="7"/>
        <v>-0.1127</v>
      </c>
      <c r="Q21" s="127">
        <f t="shared" si="8"/>
        <v>-0.8298</v>
      </c>
      <c r="R21" s="126">
        <f t="shared" si="9"/>
        <v>-0.5821</v>
      </c>
      <c r="S21" s="126">
        <f t="shared" si="10"/>
        <v>-0.2477</v>
      </c>
      <c r="T21" s="127">
        <f t="shared" si="11"/>
        <v>-0.6402</v>
      </c>
      <c r="U21" s="126">
        <f t="shared" si="12"/>
        <v>-0.5064</v>
      </c>
      <c r="V21" s="126">
        <f t="shared" si="13"/>
        <v>-0.1338</v>
      </c>
      <c r="W21" s="127">
        <f t="shared" si="14"/>
        <v>-0.5825</v>
      </c>
      <c r="X21" s="126">
        <f t="shared" si="15"/>
        <v>-0.3989</v>
      </c>
      <c r="Y21" s="126">
        <f t="shared" si="16"/>
        <v>-0.1836</v>
      </c>
      <c r="Z21" s="127">
        <f t="shared" si="17"/>
        <v>-0.7169</v>
      </c>
      <c r="AA21" s="126">
        <f t="shared" si="18"/>
        <v>-0.3666</v>
      </c>
      <c r="AB21" s="126">
        <f t="shared" si="19"/>
        <v>-0.3503</v>
      </c>
    </row>
    <row r="22">
      <c r="A22" s="117">
        <v>38.0</v>
      </c>
      <c r="B22" s="124" t="s">
        <v>179</v>
      </c>
      <c r="C22" s="117">
        <f>countifs(Data!H:H,A22,Data!G:G,C1)</f>
        <v>0</v>
      </c>
      <c r="D22" s="125" t="str">
        <f>IFERROR(__xludf.DUMMYFUNCTION("Average(filter(Data!E:E,Data!$H:$H=$A22,Data!G:G=C1))"),"#N/A")</f>
        <v>#N/A</v>
      </c>
      <c r="E22" s="126" t="str">
        <f>IFERROR(__xludf.DUMMYFUNCTION("average(filter(Data!Z:Z,Data!$H:$H=$A22,Data!Z:Z&lt;&gt;"""",Data!$G:$G=C1))"),"#N/A")</f>
        <v>#N/A</v>
      </c>
      <c r="F22" s="126" t="str">
        <f>IFERROR(__xludf.DUMMYFUNCTION("average(filter(Data!AA:AA,Data!$H:$H=$A22,Data!AA:AA&lt;&gt;"""",Data!$G:$G=C1))"),"#N/A")</f>
        <v>#N/A</v>
      </c>
      <c r="G22" s="126" t="str">
        <f>IFERROR(__xludf.DUMMYFUNCTION("average(filter(Data!AB:AB,Data!$H:$H=$A22,Data!AB:AB&lt;&gt;"""",Data!$G:$G=C1))"),"#N/A")</f>
        <v>#N/A</v>
      </c>
      <c r="H22" s="126"/>
      <c r="I22" s="126"/>
      <c r="J22" s="126"/>
      <c r="K22" s="127">
        <f t="shared" si="2"/>
        <v>-0.6906</v>
      </c>
      <c r="L22" s="126">
        <f t="shared" si="3"/>
        <v>-0.4986</v>
      </c>
      <c r="M22" s="126">
        <f t="shared" si="4"/>
        <v>-0.192</v>
      </c>
      <c r="N22" s="127">
        <f t="shared" si="5"/>
        <v>-1.041</v>
      </c>
      <c r="O22" s="126">
        <f t="shared" si="6"/>
        <v>-0.9112</v>
      </c>
      <c r="P22" s="126">
        <f t="shared" si="7"/>
        <v>-0.1298</v>
      </c>
      <c r="Q22" s="127">
        <f t="shared" si="8"/>
        <v>-0.9002</v>
      </c>
      <c r="R22" s="126">
        <f t="shared" si="9"/>
        <v>-0.6354</v>
      </c>
      <c r="S22" s="126">
        <f t="shared" si="10"/>
        <v>-0.2648</v>
      </c>
      <c r="T22" s="127">
        <f t="shared" si="11"/>
        <v>-0.7068</v>
      </c>
      <c r="U22" s="126">
        <f t="shared" si="12"/>
        <v>-0.5536</v>
      </c>
      <c r="V22" s="126">
        <f t="shared" si="13"/>
        <v>-0.1532</v>
      </c>
      <c r="W22" s="127">
        <f t="shared" si="14"/>
        <v>-0.635</v>
      </c>
      <c r="X22" s="126">
        <f t="shared" si="15"/>
        <v>-0.4356</v>
      </c>
      <c r="Y22" s="126">
        <f t="shared" si="16"/>
        <v>-0.1994</v>
      </c>
      <c r="Z22" s="127">
        <f t="shared" si="17"/>
        <v>-0.7926</v>
      </c>
      <c r="AA22" s="126">
        <f t="shared" si="18"/>
        <v>-0.4084</v>
      </c>
      <c r="AB22" s="126">
        <f t="shared" si="19"/>
        <v>-0.3842</v>
      </c>
    </row>
    <row r="23">
      <c r="A23" s="117">
        <v>39.0</v>
      </c>
      <c r="B23" s="124" t="s">
        <v>179</v>
      </c>
      <c r="C23" s="117">
        <f>countifs(Data!H:H,A23,Data!G:G,C1)</f>
        <v>0</v>
      </c>
      <c r="D23" s="125" t="str">
        <f>IFERROR(__xludf.DUMMYFUNCTION("Average(filter(Data!E:E,Data!$H:$H=$A23,Data!G:G=C1))"),"#N/A")</f>
        <v>#N/A</v>
      </c>
      <c r="E23" s="126"/>
      <c r="F23" s="126"/>
      <c r="G23" s="126"/>
      <c r="H23" s="126"/>
      <c r="I23" s="126"/>
      <c r="J23" s="126"/>
      <c r="K23" s="127">
        <f t="shared" si="2"/>
        <v>-0.7533</v>
      </c>
      <c r="L23" s="126">
        <f t="shared" si="3"/>
        <v>-0.5433</v>
      </c>
      <c r="M23" s="126">
        <f t="shared" si="4"/>
        <v>-0.21</v>
      </c>
      <c r="N23" s="127">
        <f t="shared" si="5"/>
        <v>-1.1355</v>
      </c>
      <c r="O23" s="126">
        <f t="shared" si="6"/>
        <v>-0.9886</v>
      </c>
      <c r="P23" s="126">
        <f t="shared" si="7"/>
        <v>-0.1469</v>
      </c>
      <c r="Q23" s="127">
        <f t="shared" si="8"/>
        <v>-0.9706</v>
      </c>
      <c r="R23" s="126">
        <f t="shared" si="9"/>
        <v>-0.6887</v>
      </c>
      <c r="S23" s="126">
        <f t="shared" si="10"/>
        <v>-0.2819</v>
      </c>
      <c r="T23" s="127">
        <f t="shared" si="11"/>
        <v>-0.7734</v>
      </c>
      <c r="U23" s="126">
        <f t="shared" si="12"/>
        <v>-0.6008</v>
      </c>
      <c r="V23" s="126">
        <f t="shared" si="13"/>
        <v>-0.1726</v>
      </c>
      <c r="W23" s="127">
        <f t="shared" si="14"/>
        <v>-0.6875</v>
      </c>
      <c r="X23" s="126">
        <f t="shared" si="15"/>
        <v>-0.4723</v>
      </c>
      <c r="Y23" s="126">
        <f t="shared" si="16"/>
        <v>-0.2152</v>
      </c>
      <c r="Z23" s="127">
        <f t="shared" si="17"/>
        <v>-0.8683</v>
      </c>
      <c r="AA23" s="126">
        <f t="shared" si="18"/>
        <v>-0.4502</v>
      </c>
      <c r="AB23" s="126">
        <f t="shared" si="19"/>
        <v>-0.4181</v>
      </c>
    </row>
    <row r="24">
      <c r="A24" s="117">
        <v>40.0</v>
      </c>
      <c r="B24" s="124" t="s">
        <v>179</v>
      </c>
      <c r="C24" s="117">
        <f>countifs(Data!H:H,A24,Data!G:G,C1)</f>
        <v>0</v>
      </c>
      <c r="D24" s="125" t="str">
        <f>IFERROR(__xludf.DUMMYFUNCTION("Average(filter(Data!E:E,Data!$H:$H=$A24,Data!G:G=C1))"),"#N/A")</f>
        <v>#N/A</v>
      </c>
      <c r="E24" s="126"/>
      <c r="F24" s="126"/>
      <c r="G24" s="126"/>
      <c r="H24" s="126"/>
      <c r="I24" s="117"/>
      <c r="J24" s="117"/>
      <c r="K24" s="127">
        <f t="shared" si="2"/>
        <v>-0.816</v>
      </c>
      <c r="L24" s="126">
        <f t="shared" si="3"/>
        <v>-0.588</v>
      </c>
      <c r="M24" s="126">
        <f t="shared" si="4"/>
        <v>-0.228</v>
      </c>
      <c r="N24" s="127">
        <f t="shared" si="5"/>
        <v>-1.23</v>
      </c>
      <c r="O24" s="126">
        <f t="shared" si="6"/>
        <v>-1.066</v>
      </c>
      <c r="P24" s="126">
        <f t="shared" si="7"/>
        <v>-0.164</v>
      </c>
      <c r="Q24" s="127">
        <f t="shared" si="8"/>
        <v>-1.041</v>
      </c>
      <c r="R24" s="126">
        <f t="shared" si="9"/>
        <v>-0.742</v>
      </c>
      <c r="S24" s="126">
        <f t="shared" si="10"/>
        <v>-0.299</v>
      </c>
      <c r="T24" s="127">
        <f t="shared" si="11"/>
        <v>-0.84</v>
      </c>
      <c r="U24" s="126">
        <f t="shared" si="12"/>
        <v>-0.648</v>
      </c>
      <c r="V24" s="126">
        <f t="shared" si="13"/>
        <v>-0.192</v>
      </c>
      <c r="W24" s="127">
        <f t="shared" si="14"/>
        <v>-0.74</v>
      </c>
      <c r="X24" s="126">
        <f t="shared" si="15"/>
        <v>-0.509</v>
      </c>
      <c r="Y24" s="126">
        <f t="shared" si="16"/>
        <v>-0.231</v>
      </c>
      <c r="Z24" s="127">
        <f t="shared" si="17"/>
        <v>-0.944</v>
      </c>
      <c r="AA24" s="126">
        <f t="shared" si="18"/>
        <v>-0.492</v>
      </c>
      <c r="AB24" s="126">
        <f t="shared" si="19"/>
        <v>-0.452</v>
      </c>
    </row>
    <row r="25">
      <c r="A25" s="117">
        <v>41.0</v>
      </c>
      <c r="B25" s="124" t="s">
        <v>179</v>
      </c>
      <c r="C25" s="117">
        <f>countifs(Data!H:H,A25,Data!G:G,C1)</f>
        <v>0</v>
      </c>
      <c r="D25" s="125" t="str">
        <f>IFERROR(__xludf.DUMMYFUNCTION("Average(filter(Data!E:E,Data!$H:$H=$A25,Data!G:G=C1))"),"#N/A")</f>
        <v>#N/A</v>
      </c>
      <c r="E25" s="126"/>
      <c r="F25" s="126"/>
      <c r="G25" s="126"/>
      <c r="H25" s="126"/>
      <c r="I25" s="117"/>
      <c r="J25" s="117"/>
      <c r="K25" s="127">
        <f t="shared" si="2"/>
        <v>-0.8787</v>
      </c>
      <c r="L25" s="126">
        <f t="shared" si="3"/>
        <v>-0.6327</v>
      </c>
      <c r="M25" s="126">
        <f t="shared" si="4"/>
        <v>-0.246</v>
      </c>
      <c r="N25" s="127">
        <f t="shared" si="5"/>
        <v>-1.3245</v>
      </c>
      <c r="O25" s="126">
        <f t="shared" si="6"/>
        <v>-1.1434</v>
      </c>
      <c r="P25" s="126">
        <f t="shared" si="7"/>
        <v>-0.1811</v>
      </c>
      <c r="Q25" s="127">
        <f t="shared" si="8"/>
        <v>-1.1114</v>
      </c>
      <c r="R25" s="126">
        <f t="shared" si="9"/>
        <v>-0.7953</v>
      </c>
      <c r="S25" s="126">
        <f t="shared" si="10"/>
        <v>-0.3161</v>
      </c>
      <c r="T25" s="127">
        <f t="shared" si="11"/>
        <v>-0.9066</v>
      </c>
      <c r="U25" s="126">
        <f t="shared" si="12"/>
        <v>-0.6952</v>
      </c>
      <c r="V25" s="126">
        <f t="shared" si="13"/>
        <v>-0.2114</v>
      </c>
      <c r="W25" s="127">
        <f t="shared" si="14"/>
        <v>-0.7925</v>
      </c>
      <c r="X25" s="126">
        <f t="shared" si="15"/>
        <v>-0.5457</v>
      </c>
      <c r="Y25" s="126">
        <f t="shared" si="16"/>
        <v>-0.2468</v>
      </c>
      <c r="Z25" s="127">
        <f t="shared" si="17"/>
        <v>-1.0197</v>
      </c>
      <c r="AA25" s="126">
        <f t="shared" si="18"/>
        <v>-0.5338</v>
      </c>
      <c r="AB25" s="126">
        <f t="shared" si="19"/>
        <v>-0.4859</v>
      </c>
    </row>
    <row r="26">
      <c r="A26" s="117">
        <v>42.0</v>
      </c>
      <c r="B26" s="124" t="s">
        <v>179</v>
      </c>
      <c r="C26" s="117">
        <f>countifs(Data!H:H,A26,Data!G:G,C1)</f>
        <v>0</v>
      </c>
      <c r="D26" s="125" t="str">
        <f>IFERROR(__xludf.DUMMYFUNCTION("Average(filter(Data!E:E,Data!$H:$H=$A26,Data!G:G=C1))"),"#N/A")</f>
        <v>#N/A</v>
      </c>
      <c r="E26" s="126"/>
      <c r="F26" s="126"/>
      <c r="G26" s="126"/>
      <c r="H26" s="128"/>
      <c r="I26" s="117"/>
      <c r="J26" s="117"/>
      <c r="K26" s="127">
        <f t="shared" si="2"/>
        <v>-0.9414</v>
      </c>
      <c r="L26" s="126">
        <f t="shared" si="3"/>
        <v>-0.6774</v>
      </c>
      <c r="M26" s="126">
        <f t="shared" si="4"/>
        <v>-0.264</v>
      </c>
      <c r="N26" s="127">
        <f t="shared" si="5"/>
        <v>-1.419</v>
      </c>
      <c r="O26" s="126">
        <f t="shared" si="6"/>
        <v>-1.2208</v>
      </c>
      <c r="P26" s="126">
        <f t="shared" si="7"/>
        <v>-0.1982</v>
      </c>
      <c r="Q26" s="127">
        <f t="shared" si="8"/>
        <v>-1.1818</v>
      </c>
      <c r="R26" s="126">
        <f t="shared" si="9"/>
        <v>-0.8486</v>
      </c>
      <c r="S26" s="126">
        <f t="shared" si="10"/>
        <v>-0.3332</v>
      </c>
      <c r="T26" s="127">
        <f t="shared" si="11"/>
        <v>-0.9732</v>
      </c>
      <c r="U26" s="126">
        <f t="shared" si="12"/>
        <v>-0.7424</v>
      </c>
      <c r="V26" s="126">
        <f t="shared" si="13"/>
        <v>-0.2308</v>
      </c>
      <c r="W26" s="127">
        <f t="shared" si="14"/>
        <v>-0.845</v>
      </c>
      <c r="X26" s="126">
        <f t="shared" si="15"/>
        <v>-0.5824</v>
      </c>
      <c r="Y26" s="126">
        <f t="shared" si="16"/>
        <v>-0.2626</v>
      </c>
      <c r="Z26" s="127">
        <f t="shared" si="17"/>
        <v>-1.0954</v>
      </c>
      <c r="AA26" s="126">
        <f t="shared" si="18"/>
        <v>-0.5756</v>
      </c>
      <c r="AB26" s="126">
        <f t="shared" si="19"/>
        <v>-0.5198</v>
      </c>
    </row>
    <row r="27">
      <c r="A27" s="117">
        <v>19.0</v>
      </c>
      <c r="B27" s="124" t="s">
        <v>180</v>
      </c>
      <c r="C27" s="117"/>
      <c r="D27" s="125"/>
      <c r="E27" s="126"/>
      <c r="F27" s="126"/>
      <c r="G27" s="126"/>
      <c r="H27" s="117"/>
      <c r="I27" s="117"/>
      <c r="J27" s="117"/>
      <c r="K27" s="127">
        <v>0.7545</v>
      </c>
      <c r="L27" s="126">
        <v>0.5593999999999999</v>
      </c>
      <c r="M27" s="126">
        <v>0.1951</v>
      </c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</row>
    <row r="28">
      <c r="A28" s="117">
        <v>20.0</v>
      </c>
      <c r="B28" s="124" t="s">
        <v>180</v>
      </c>
      <c r="C28" s="117"/>
      <c r="D28" s="117"/>
      <c r="H28" s="117"/>
      <c r="I28" s="117"/>
      <c r="J28" s="117"/>
      <c r="K28" s="127">
        <v>0.6599999999999997</v>
      </c>
      <c r="L28" s="126">
        <v>0.48199999999999976</v>
      </c>
      <c r="M28" s="126">
        <v>0.178</v>
      </c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</row>
    <row r="29">
      <c r="A29" s="117">
        <v>21.0</v>
      </c>
      <c r="B29" s="124" t="s">
        <v>180</v>
      </c>
      <c r="C29" s="117"/>
      <c r="D29" s="117"/>
      <c r="H29" s="117"/>
      <c r="I29" s="117"/>
      <c r="J29" s="117"/>
      <c r="K29" s="127">
        <v>0.5654999999999999</v>
      </c>
      <c r="L29" s="126">
        <v>0.40459999999999985</v>
      </c>
      <c r="M29" s="126">
        <v>0.1609</v>
      </c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</row>
    <row r="30">
      <c r="A30" s="117">
        <v>22.0</v>
      </c>
      <c r="B30" s="124" t="s">
        <v>180</v>
      </c>
      <c r="C30" s="117"/>
      <c r="D30" s="117"/>
      <c r="H30" s="117"/>
      <c r="I30" s="117"/>
      <c r="J30" s="117"/>
      <c r="K30" s="127">
        <v>0.4709999999999999</v>
      </c>
      <c r="L30" s="126">
        <v>0.32719999999999994</v>
      </c>
      <c r="M30" s="126">
        <v>0.14379999999999998</v>
      </c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</row>
    <row r="31">
      <c r="A31" s="117">
        <v>23.0</v>
      </c>
      <c r="B31" s="124" t="s">
        <v>180</v>
      </c>
      <c r="C31" s="117"/>
      <c r="D31" s="117"/>
      <c r="H31" s="117"/>
      <c r="I31" s="117"/>
      <c r="J31" s="117"/>
      <c r="K31" s="127">
        <v>0.3764999999999998</v>
      </c>
      <c r="L31" s="126">
        <v>0.2497999999999998</v>
      </c>
      <c r="M31" s="126">
        <v>0.12669999999999998</v>
      </c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</row>
    <row r="32">
      <c r="A32" s="117">
        <v>24.0</v>
      </c>
      <c r="B32" s="124" t="s">
        <v>180</v>
      </c>
      <c r="C32" s="117"/>
      <c r="D32" s="117"/>
      <c r="H32" s="117"/>
      <c r="I32" s="117"/>
      <c r="J32" s="117"/>
      <c r="K32" s="127">
        <v>0.2819999999999999</v>
      </c>
      <c r="L32" s="126">
        <v>0.1723999999999999</v>
      </c>
      <c r="M32" s="126">
        <v>0.10960000000000003</v>
      </c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</row>
    <row r="33">
      <c r="A33" s="117">
        <v>25.0</v>
      </c>
      <c r="B33" s="124" t="s">
        <v>180</v>
      </c>
      <c r="C33" s="117"/>
      <c r="D33" s="117"/>
      <c r="H33" s="117"/>
      <c r="I33" s="117"/>
      <c r="J33" s="117"/>
      <c r="K33" s="127">
        <v>0.1875</v>
      </c>
      <c r="L33" s="126">
        <v>0.09499999999999997</v>
      </c>
      <c r="M33" s="126">
        <v>0.09250000000000003</v>
      </c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</row>
    <row r="34">
      <c r="A34" s="117">
        <v>26.0</v>
      </c>
      <c r="B34" s="124" t="s">
        <v>180</v>
      </c>
      <c r="C34" s="117"/>
      <c r="D34" s="117"/>
      <c r="H34" s="117"/>
      <c r="I34" s="117"/>
      <c r="J34" s="117"/>
      <c r="K34" s="127">
        <v>0.09299999999999986</v>
      </c>
      <c r="L34" s="126">
        <v>0.017599999999999838</v>
      </c>
      <c r="M34" s="126">
        <v>0.07540000000000002</v>
      </c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</row>
    <row r="35">
      <c r="A35" s="117">
        <v>27.0</v>
      </c>
      <c r="B35" s="124" t="s">
        <v>180</v>
      </c>
      <c r="C35" s="117"/>
      <c r="D35" s="117"/>
      <c r="H35" s="117"/>
      <c r="I35" s="117"/>
      <c r="J35" s="117"/>
      <c r="K35" s="127">
        <v>-0.0015000000000000568</v>
      </c>
      <c r="L35" s="126">
        <v>-0.059800000000000075</v>
      </c>
      <c r="M35" s="126">
        <v>0.05830000000000002</v>
      </c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</row>
    <row r="36">
      <c r="A36" s="117">
        <v>28.0</v>
      </c>
      <c r="B36" s="124" t="s">
        <v>180</v>
      </c>
      <c r="C36" s="117"/>
      <c r="D36" s="117"/>
      <c r="H36" s="117"/>
      <c r="I36" s="117"/>
      <c r="J36" s="117"/>
      <c r="K36" s="127">
        <v>-0.09599999999999997</v>
      </c>
      <c r="L36" s="126">
        <v>-0.1372</v>
      </c>
      <c r="M36" s="126">
        <v>0.041200000000000014</v>
      </c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</row>
    <row r="37">
      <c r="A37" s="117">
        <v>29.0</v>
      </c>
      <c r="B37" s="124" t="s">
        <v>180</v>
      </c>
      <c r="C37" s="117"/>
      <c r="D37" s="117"/>
      <c r="H37" s="117"/>
      <c r="I37" s="117"/>
      <c r="J37" s="117"/>
      <c r="K37" s="127">
        <v>-0.1904999999999999</v>
      </c>
      <c r="L37" s="126">
        <v>-0.2145999999999999</v>
      </c>
      <c r="M37" s="126">
        <v>0.02410000000000001</v>
      </c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</row>
    <row r="38">
      <c r="A38" s="117">
        <v>30.0</v>
      </c>
      <c r="B38" s="124" t="s">
        <v>180</v>
      </c>
      <c r="C38" s="117"/>
      <c r="D38" s="117"/>
      <c r="H38" s="117"/>
      <c r="I38" s="117"/>
      <c r="J38" s="117"/>
      <c r="K38" s="127">
        <v>-0.28500000000000025</v>
      </c>
      <c r="L38" s="126">
        <v>-0.29200000000000026</v>
      </c>
      <c r="M38" s="126">
        <v>0.007000000000000006</v>
      </c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</row>
    <row r="39">
      <c r="A39" s="117">
        <v>31.0</v>
      </c>
      <c r="B39" s="124" t="s">
        <v>180</v>
      </c>
      <c r="C39" s="117"/>
      <c r="D39" s="117"/>
      <c r="H39" s="117"/>
      <c r="I39" s="117"/>
      <c r="J39" s="117"/>
      <c r="K39" s="127">
        <v>-0.37950000000000017</v>
      </c>
      <c r="L39" s="126">
        <v>-0.3694000000000002</v>
      </c>
      <c r="M39" s="126">
        <v>-0.03534999999999999</v>
      </c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</row>
    <row r="40">
      <c r="A40" s="117">
        <v>32.0</v>
      </c>
      <c r="B40" s="124" t="s">
        <v>180</v>
      </c>
      <c r="C40" s="117"/>
      <c r="D40" s="117"/>
      <c r="H40" s="117"/>
      <c r="I40" s="117"/>
      <c r="J40" s="117"/>
      <c r="K40" s="127">
        <v>-0.4740000000000001</v>
      </c>
      <c r="L40" s="126">
        <v>-0.4468000000000001</v>
      </c>
      <c r="M40" s="126">
        <v>-0.0952</v>
      </c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</row>
    <row r="41">
      <c r="A41" s="117">
        <v>33.0</v>
      </c>
      <c r="B41" s="124" t="s">
        <v>180</v>
      </c>
      <c r="C41" s="117"/>
      <c r="D41" s="117"/>
      <c r="H41" s="117"/>
      <c r="I41" s="117"/>
      <c r="J41" s="117"/>
      <c r="K41" s="127">
        <v>-0.5685</v>
      </c>
      <c r="L41" s="126">
        <v>-0.5242</v>
      </c>
      <c r="M41" s="126">
        <v>-0.15505000000000002</v>
      </c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</row>
    <row r="42">
      <c r="A42" s="117">
        <v>34.0</v>
      </c>
      <c r="B42" s="124" t="s">
        <v>180</v>
      </c>
      <c r="C42" s="117"/>
      <c r="D42" s="117"/>
      <c r="H42" s="117"/>
      <c r="I42" s="117"/>
      <c r="J42" s="117"/>
      <c r="K42" s="127">
        <v>-0.6629999999999999</v>
      </c>
      <c r="L42" s="126">
        <v>-0.6015999999999999</v>
      </c>
      <c r="M42" s="126">
        <v>-0.21490000000000004</v>
      </c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</row>
    <row r="43">
      <c r="A43" s="117">
        <v>35.0</v>
      </c>
      <c r="B43" s="124" t="s">
        <v>180</v>
      </c>
      <c r="C43" s="117"/>
      <c r="D43" s="117"/>
      <c r="H43" s="117"/>
      <c r="I43" s="117"/>
      <c r="J43" s="117"/>
      <c r="K43" s="127">
        <v>-0.7575000000000003</v>
      </c>
      <c r="L43" s="126">
        <v>-0.6790000000000003</v>
      </c>
      <c r="M43" s="126">
        <v>-0.27475000000000005</v>
      </c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</row>
    <row r="44">
      <c r="A44" s="117">
        <v>36.0</v>
      </c>
      <c r="B44" s="124" t="s">
        <v>180</v>
      </c>
      <c r="C44" s="117"/>
      <c r="D44" s="117"/>
      <c r="H44" s="117"/>
      <c r="I44" s="117"/>
      <c r="J44" s="117"/>
      <c r="K44" s="127">
        <v>-0.8520000000000002</v>
      </c>
      <c r="L44" s="126">
        <v>-0.7564000000000002</v>
      </c>
      <c r="M44" s="126">
        <v>-0.33460000000000006</v>
      </c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</row>
    <row r="45">
      <c r="A45" s="117">
        <v>37.0</v>
      </c>
      <c r="B45" s="124" t="s">
        <v>180</v>
      </c>
      <c r="C45" s="117"/>
      <c r="D45" s="117"/>
      <c r="H45" s="117"/>
      <c r="I45" s="117"/>
      <c r="J45" s="117"/>
      <c r="K45" s="127">
        <v>-0.9465000000000001</v>
      </c>
      <c r="L45" s="126">
        <v>-0.8338000000000001</v>
      </c>
      <c r="M45" s="126">
        <v>-0.3944500000000001</v>
      </c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</row>
    <row r="46">
      <c r="A46" s="117">
        <v>38.0</v>
      </c>
      <c r="B46" s="124" t="s">
        <v>180</v>
      </c>
      <c r="C46" s="117"/>
      <c r="D46" s="117"/>
      <c r="H46" s="117"/>
      <c r="I46" s="117"/>
      <c r="J46" s="117"/>
      <c r="K46" s="127">
        <v>-1.041</v>
      </c>
      <c r="L46" s="126">
        <v>-0.9112</v>
      </c>
      <c r="M46" s="126">
        <v>-0.4543000000000001</v>
      </c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</row>
    <row r="47">
      <c r="A47" s="117">
        <v>39.0</v>
      </c>
      <c r="B47" s="124" t="s">
        <v>180</v>
      </c>
      <c r="C47" s="117"/>
      <c r="D47" s="117"/>
      <c r="H47" s="117"/>
      <c r="I47" s="117"/>
      <c r="J47" s="117"/>
      <c r="K47" s="127">
        <v>-1.1355</v>
      </c>
      <c r="L47" s="126">
        <v>-0.9885999999999999</v>
      </c>
      <c r="M47" s="126">
        <v>-0.5141500000000001</v>
      </c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</row>
    <row r="48">
      <c r="A48" s="117">
        <v>40.0</v>
      </c>
      <c r="B48" s="124" t="s">
        <v>180</v>
      </c>
      <c r="C48" s="117"/>
      <c r="D48" s="117"/>
      <c r="H48" s="117"/>
      <c r="I48" s="117"/>
      <c r="J48" s="117"/>
      <c r="K48" s="127">
        <v>-1.2300000000000004</v>
      </c>
      <c r="L48" s="126">
        <v>-1.0660000000000003</v>
      </c>
      <c r="M48" s="126">
        <v>-0.5740000000000001</v>
      </c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</row>
    <row r="49">
      <c r="A49" s="117">
        <v>41.0</v>
      </c>
      <c r="B49" s="124" t="s">
        <v>180</v>
      </c>
      <c r="C49" s="117"/>
      <c r="D49" s="117"/>
      <c r="H49" s="117"/>
      <c r="I49" s="117"/>
      <c r="J49" s="117"/>
      <c r="K49" s="127">
        <v>-1.3245000000000002</v>
      </c>
      <c r="L49" s="126">
        <v>-1.1434000000000002</v>
      </c>
      <c r="M49" s="126">
        <v>-0.6338500000000001</v>
      </c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</row>
    <row r="50">
      <c r="A50" s="117">
        <v>42.0</v>
      </c>
      <c r="B50" s="124" t="s">
        <v>180</v>
      </c>
      <c r="C50" s="117"/>
      <c r="D50" s="117"/>
      <c r="H50" s="117"/>
      <c r="I50" s="117"/>
      <c r="J50" s="117"/>
      <c r="K50" s="127">
        <v>-1.419</v>
      </c>
      <c r="L50" s="126">
        <v>-1.2208</v>
      </c>
      <c r="M50" s="126">
        <v>-0.6937000000000002</v>
      </c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</row>
    <row r="51">
      <c r="A51" s="117">
        <v>19.0</v>
      </c>
      <c r="B51" s="124" t="s">
        <v>169</v>
      </c>
      <c r="C51" s="117"/>
      <c r="D51" s="117"/>
      <c r="H51" s="117"/>
      <c r="I51" s="117"/>
      <c r="J51" s="117"/>
      <c r="K51" s="127">
        <v>0.43739999999999996</v>
      </c>
      <c r="L51" s="126">
        <v>0.37729999999999997</v>
      </c>
      <c r="M51" s="126">
        <v>0.06009999999999999</v>
      </c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</row>
    <row r="52">
      <c r="A52" s="117">
        <v>20.0</v>
      </c>
      <c r="B52" s="124" t="s">
        <v>169</v>
      </c>
      <c r="C52" s="117"/>
      <c r="D52" s="117"/>
      <c r="H52" s="117"/>
      <c r="I52" s="117"/>
      <c r="J52" s="117"/>
      <c r="K52" s="127">
        <v>0.3669999999999998</v>
      </c>
      <c r="L52" s="126">
        <v>0.32399999999999984</v>
      </c>
      <c r="M52" s="126">
        <v>0.04299999999999998</v>
      </c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</row>
    <row r="53">
      <c r="A53" s="117">
        <v>21.0</v>
      </c>
      <c r="B53" s="124" t="s">
        <v>169</v>
      </c>
      <c r="C53" s="117"/>
      <c r="D53" s="117"/>
      <c r="H53" s="117"/>
      <c r="I53" s="117"/>
      <c r="J53" s="117"/>
      <c r="K53" s="127">
        <v>0.2965999999999999</v>
      </c>
      <c r="L53" s="126">
        <v>0.27069999999999994</v>
      </c>
      <c r="M53" s="126">
        <v>0.02589999999999998</v>
      </c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</row>
    <row r="54">
      <c r="A54" s="117">
        <v>22.0</v>
      </c>
      <c r="B54" s="124" t="s">
        <v>169</v>
      </c>
      <c r="C54" s="117"/>
      <c r="D54" s="117"/>
      <c r="H54" s="117"/>
      <c r="I54" s="117"/>
      <c r="J54" s="117"/>
      <c r="K54" s="127">
        <v>0.2261999999999998</v>
      </c>
      <c r="L54" s="126">
        <v>0.21739999999999982</v>
      </c>
      <c r="M54" s="126">
        <v>0.008799999999999975</v>
      </c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</row>
    <row r="55">
      <c r="A55" s="117">
        <v>23.0</v>
      </c>
      <c r="B55" s="124" t="s">
        <v>169</v>
      </c>
      <c r="C55" s="117"/>
      <c r="D55" s="117"/>
      <c r="H55" s="117"/>
      <c r="I55" s="117"/>
      <c r="J55" s="117"/>
      <c r="K55" s="127">
        <v>0.15579999999999988</v>
      </c>
      <c r="L55" s="126">
        <v>0.1640999999999999</v>
      </c>
      <c r="M55" s="126">
        <v>-0.012450000000000044</v>
      </c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</row>
    <row r="56">
      <c r="A56" s="117">
        <v>24.0</v>
      </c>
      <c r="B56" s="124" t="s">
        <v>169</v>
      </c>
      <c r="C56" s="117"/>
      <c r="D56" s="117"/>
      <c r="H56" s="117"/>
      <c r="I56" s="117"/>
      <c r="J56" s="117"/>
      <c r="K56" s="127">
        <v>0.08540000000000003</v>
      </c>
      <c r="L56" s="126">
        <v>0.11080000000000001</v>
      </c>
      <c r="M56" s="126">
        <v>-0.03809999999999997</v>
      </c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</row>
    <row r="57">
      <c r="A57" s="117">
        <v>25.0</v>
      </c>
      <c r="B57" s="124" t="s">
        <v>169</v>
      </c>
      <c r="C57" s="117"/>
      <c r="D57" s="117"/>
      <c r="H57" s="117"/>
      <c r="I57" s="117"/>
      <c r="J57" s="117"/>
      <c r="K57" s="127">
        <v>0.014999999999999902</v>
      </c>
      <c r="L57" s="126">
        <v>0.057499999999999885</v>
      </c>
      <c r="M57" s="126">
        <v>-0.06374999999999997</v>
      </c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</row>
    <row r="58">
      <c r="A58" s="117">
        <v>26.0</v>
      </c>
      <c r="B58" s="124" t="s">
        <v>169</v>
      </c>
      <c r="C58" s="117"/>
      <c r="D58" s="117"/>
      <c r="H58" s="117"/>
      <c r="I58" s="117"/>
      <c r="J58" s="117"/>
      <c r="K58" s="127">
        <v>-0.055400000000000005</v>
      </c>
      <c r="L58" s="126">
        <v>0.0041999999999999815</v>
      </c>
      <c r="M58" s="126">
        <v>-0.08939999999999998</v>
      </c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</row>
    <row r="59">
      <c r="A59" s="117">
        <v>27.0</v>
      </c>
      <c r="B59" s="124" t="s">
        <v>169</v>
      </c>
      <c r="C59" s="117"/>
      <c r="D59" s="117"/>
      <c r="H59" s="117"/>
      <c r="I59" s="117"/>
      <c r="J59" s="117"/>
      <c r="K59" s="127">
        <v>-0.12580000000000013</v>
      </c>
      <c r="L59" s="126">
        <v>-0.049100000000000144</v>
      </c>
      <c r="M59" s="126">
        <v>-0.11504999999999999</v>
      </c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</row>
    <row r="60">
      <c r="A60" s="117">
        <v>28.0</v>
      </c>
      <c r="B60" s="124" t="s">
        <v>169</v>
      </c>
      <c r="C60" s="117"/>
      <c r="D60" s="117"/>
      <c r="H60" s="117"/>
      <c r="I60" s="117"/>
      <c r="J60" s="117"/>
      <c r="K60" s="127">
        <v>-0.19620000000000004</v>
      </c>
      <c r="L60" s="126">
        <v>-0.10240000000000005</v>
      </c>
      <c r="M60" s="126">
        <v>-0.1407</v>
      </c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</row>
    <row r="61">
      <c r="A61" s="117">
        <v>29.0</v>
      </c>
      <c r="B61" s="124" t="s">
        <v>169</v>
      </c>
      <c r="C61" s="117"/>
      <c r="D61" s="117"/>
      <c r="H61" s="117"/>
      <c r="I61" s="117"/>
      <c r="J61" s="117"/>
      <c r="K61" s="127">
        <v>-0.26660000000000017</v>
      </c>
      <c r="L61" s="126">
        <v>-0.15570000000000017</v>
      </c>
      <c r="M61" s="126">
        <v>-0.16635</v>
      </c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</row>
    <row r="62">
      <c r="A62" s="117">
        <v>30.0</v>
      </c>
      <c r="B62" s="124" t="s">
        <v>169</v>
      </c>
      <c r="C62" s="117"/>
      <c r="D62" s="117"/>
      <c r="H62" s="117"/>
      <c r="I62" s="117"/>
      <c r="J62" s="117"/>
      <c r="K62" s="127">
        <v>-0.3370000000000001</v>
      </c>
      <c r="L62" s="126">
        <v>-0.20900000000000007</v>
      </c>
      <c r="M62" s="126">
        <v>-0.256</v>
      </c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</row>
    <row r="63">
      <c r="A63" s="117">
        <v>31.0</v>
      </c>
      <c r="B63" s="124" t="s">
        <v>169</v>
      </c>
      <c r="C63" s="117"/>
      <c r="D63" s="117"/>
      <c r="H63" s="117"/>
      <c r="I63" s="117"/>
      <c r="J63" s="117"/>
      <c r="K63" s="127">
        <v>-0.4074000000000002</v>
      </c>
      <c r="L63" s="126">
        <v>-0.2623000000000002</v>
      </c>
      <c r="M63" s="126">
        <v>-0.2902</v>
      </c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</row>
    <row r="64">
      <c r="A64" s="117">
        <v>32.0</v>
      </c>
      <c r="B64" s="124" t="s">
        <v>169</v>
      </c>
      <c r="C64" s="117"/>
      <c r="D64" s="117"/>
      <c r="H64" s="117"/>
      <c r="I64" s="117"/>
      <c r="J64" s="117"/>
      <c r="K64" s="127">
        <v>-0.4778000000000001</v>
      </c>
      <c r="L64" s="126">
        <v>-0.3156000000000001</v>
      </c>
      <c r="M64" s="126">
        <v>-0.3244</v>
      </c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</row>
    <row r="65">
      <c r="A65" s="117">
        <v>33.0</v>
      </c>
      <c r="B65" s="124" t="s">
        <v>169</v>
      </c>
      <c r="C65" s="117"/>
      <c r="D65" s="117"/>
      <c r="H65" s="117"/>
      <c r="I65" s="117"/>
      <c r="J65" s="117"/>
      <c r="K65" s="127">
        <v>-0.5482</v>
      </c>
      <c r="L65" s="126">
        <v>-0.3689</v>
      </c>
      <c r="M65" s="126">
        <v>-0.35860000000000003</v>
      </c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</row>
    <row r="66">
      <c r="A66" s="117">
        <v>34.0</v>
      </c>
      <c r="B66" s="124" t="s">
        <v>169</v>
      </c>
      <c r="C66" s="117"/>
      <c r="D66" s="117"/>
      <c r="H66" s="117"/>
      <c r="I66" s="117"/>
      <c r="J66" s="117"/>
      <c r="K66" s="127">
        <v>-0.6186000000000001</v>
      </c>
      <c r="L66" s="126">
        <v>-0.42220000000000013</v>
      </c>
      <c r="M66" s="126">
        <v>-0.39280000000000004</v>
      </c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</row>
    <row r="67">
      <c r="A67" s="117">
        <v>35.0</v>
      </c>
      <c r="B67" s="124" t="s">
        <v>169</v>
      </c>
      <c r="C67" s="117"/>
      <c r="D67" s="117"/>
      <c r="H67" s="117"/>
      <c r="I67" s="117"/>
      <c r="J67" s="117"/>
      <c r="K67" s="127">
        <v>-0.6890000000000001</v>
      </c>
      <c r="L67" s="126">
        <v>-0.47550000000000003</v>
      </c>
      <c r="M67" s="126">
        <v>-0.42700000000000005</v>
      </c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</row>
    <row r="68">
      <c r="A68" s="117">
        <v>36.0</v>
      </c>
      <c r="B68" s="124" t="s">
        <v>169</v>
      </c>
      <c r="C68" s="117"/>
      <c r="D68" s="117"/>
      <c r="H68" s="117"/>
      <c r="I68" s="117"/>
      <c r="J68" s="117"/>
      <c r="K68" s="127">
        <v>-0.7594000000000002</v>
      </c>
      <c r="L68" s="126">
        <v>-0.5288000000000002</v>
      </c>
      <c r="M68" s="126">
        <v>-0.5765</v>
      </c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</row>
    <row r="69">
      <c r="A69" s="117">
        <v>37.0</v>
      </c>
      <c r="B69" s="124" t="s">
        <v>169</v>
      </c>
      <c r="C69" s="117"/>
      <c r="D69" s="117"/>
      <c r="H69" s="117"/>
      <c r="I69" s="117"/>
      <c r="J69" s="117"/>
      <c r="K69" s="127">
        <v>-0.8298000000000001</v>
      </c>
      <c r="L69" s="126">
        <v>-0.5821000000000001</v>
      </c>
      <c r="M69" s="126">
        <v>-0.6192500000000001</v>
      </c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</row>
    <row r="70">
      <c r="A70" s="117">
        <v>38.0</v>
      </c>
      <c r="B70" s="124" t="s">
        <v>169</v>
      </c>
      <c r="C70" s="117"/>
      <c r="D70" s="117"/>
      <c r="H70" s="117"/>
      <c r="I70" s="117"/>
      <c r="J70" s="117"/>
      <c r="K70" s="127">
        <v>-0.9002</v>
      </c>
      <c r="L70" s="126">
        <v>-0.6354</v>
      </c>
      <c r="M70" s="126">
        <v>-0.6620000000000001</v>
      </c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</row>
    <row r="71">
      <c r="A71" s="117">
        <v>39.0</v>
      </c>
      <c r="B71" s="124" t="s">
        <v>169</v>
      </c>
      <c r="C71" s="117"/>
      <c r="D71" s="117"/>
      <c r="H71" s="117"/>
      <c r="I71" s="117"/>
      <c r="J71" s="117"/>
      <c r="K71" s="127">
        <v>-0.9706000000000001</v>
      </c>
      <c r="L71" s="126">
        <v>-0.6887000000000001</v>
      </c>
      <c r="M71" s="126">
        <v>-0.7047500000000001</v>
      </c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</row>
    <row r="72">
      <c r="A72" s="117">
        <v>40.0</v>
      </c>
      <c r="B72" s="124" t="s">
        <v>169</v>
      </c>
      <c r="C72" s="117"/>
      <c r="D72" s="117"/>
      <c r="H72" s="117"/>
      <c r="I72" s="117"/>
      <c r="J72" s="117"/>
      <c r="K72" s="127">
        <v>-1.0410000000000004</v>
      </c>
      <c r="L72" s="126">
        <v>-0.7420000000000002</v>
      </c>
      <c r="M72" s="126">
        <v>-0.7475</v>
      </c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</row>
    <row r="73">
      <c r="A73" s="117">
        <v>41.0</v>
      </c>
      <c r="B73" s="124" t="s">
        <v>169</v>
      </c>
      <c r="C73" s="117"/>
      <c r="D73" s="117"/>
      <c r="H73" s="117"/>
      <c r="I73" s="117"/>
      <c r="J73" s="117"/>
      <c r="K73" s="127">
        <v>-1.1114</v>
      </c>
      <c r="L73" s="126">
        <v>-0.7952999999999999</v>
      </c>
      <c r="M73" s="126">
        <v>-0.7902500000000001</v>
      </c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</row>
    <row r="74">
      <c r="A74" s="117">
        <v>42.0</v>
      </c>
      <c r="B74" s="124" t="s">
        <v>169</v>
      </c>
      <c r="C74" s="117"/>
      <c r="D74" s="117"/>
      <c r="H74" s="117"/>
      <c r="I74" s="117"/>
      <c r="J74" s="117"/>
      <c r="K74" s="127">
        <v>-1.1818</v>
      </c>
      <c r="L74" s="126">
        <v>-0.8486</v>
      </c>
      <c r="M74" s="126">
        <v>-0.8330000000000002</v>
      </c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</row>
    <row r="75">
      <c r="A75" s="117">
        <v>19.0</v>
      </c>
      <c r="B75" s="124" t="s">
        <v>181</v>
      </c>
      <c r="C75" s="117"/>
      <c r="D75" s="117"/>
      <c r="H75" s="117"/>
      <c r="I75" s="117"/>
      <c r="J75" s="117"/>
      <c r="K75" s="127">
        <v>0.5586</v>
      </c>
      <c r="L75" s="126">
        <v>0.34320000000000006</v>
      </c>
      <c r="M75" s="126">
        <v>0.21539999999999992</v>
      </c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</row>
    <row r="76">
      <c r="A76" s="117">
        <v>20.0</v>
      </c>
      <c r="B76" s="124" t="s">
        <v>181</v>
      </c>
      <c r="C76" s="117"/>
      <c r="D76" s="117"/>
      <c r="H76" s="117"/>
      <c r="I76" s="117"/>
      <c r="J76" s="117"/>
      <c r="K76" s="127">
        <v>0.492</v>
      </c>
      <c r="L76" s="126">
        <v>0.29600000000000004</v>
      </c>
      <c r="M76" s="126">
        <v>0.19599999999999995</v>
      </c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</row>
    <row r="77">
      <c r="A77" s="117">
        <v>21.0</v>
      </c>
      <c r="B77" s="124" t="s">
        <v>181</v>
      </c>
      <c r="C77" s="117"/>
      <c r="D77" s="117"/>
      <c r="H77" s="117"/>
      <c r="I77" s="117"/>
      <c r="J77" s="117"/>
      <c r="K77" s="127">
        <v>0.4254</v>
      </c>
      <c r="L77" s="126">
        <v>0.24880000000000002</v>
      </c>
      <c r="M77" s="126">
        <v>0.17659999999999998</v>
      </c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</row>
    <row r="78">
      <c r="A78" s="117">
        <v>22.0</v>
      </c>
      <c r="B78" s="124" t="s">
        <v>181</v>
      </c>
      <c r="C78" s="117"/>
      <c r="D78" s="117"/>
      <c r="H78" s="117"/>
      <c r="I78" s="117"/>
      <c r="J78" s="117"/>
      <c r="K78" s="127">
        <v>0.35879999999999995</v>
      </c>
      <c r="L78" s="126">
        <v>0.2016</v>
      </c>
      <c r="M78" s="126">
        <v>0.15719999999999995</v>
      </c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</row>
    <row r="79">
      <c r="A79" s="117">
        <v>23.0</v>
      </c>
      <c r="B79" s="124" t="s">
        <v>181</v>
      </c>
      <c r="C79" s="117"/>
      <c r="D79" s="117"/>
      <c r="H79" s="117"/>
      <c r="I79" s="117"/>
      <c r="J79" s="117"/>
      <c r="K79" s="127">
        <v>0.2922</v>
      </c>
      <c r="L79" s="126">
        <v>0.1544000000000001</v>
      </c>
      <c r="M79" s="126">
        <v>0.13779999999999992</v>
      </c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</row>
    <row r="80">
      <c r="A80" s="117">
        <v>24.0</v>
      </c>
      <c r="B80" s="124" t="s">
        <v>181</v>
      </c>
      <c r="C80" s="117"/>
      <c r="D80" s="117"/>
      <c r="H80" s="117"/>
      <c r="I80" s="117"/>
      <c r="J80" s="117"/>
      <c r="K80" s="127">
        <v>0.2255999999999999</v>
      </c>
      <c r="L80" s="126">
        <v>0.10719999999999996</v>
      </c>
      <c r="M80" s="126">
        <v>0.11839999999999995</v>
      </c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</row>
    <row r="81">
      <c r="A81" s="117">
        <v>25.0</v>
      </c>
      <c r="B81" s="124" t="s">
        <v>181</v>
      </c>
      <c r="C81" s="117"/>
      <c r="D81" s="117"/>
      <c r="H81" s="117"/>
      <c r="I81" s="117"/>
      <c r="J81" s="117"/>
      <c r="K81" s="127">
        <v>0.15900000000000003</v>
      </c>
      <c r="L81" s="126">
        <v>0.06000000000000005</v>
      </c>
      <c r="M81" s="126">
        <v>0.09899999999999998</v>
      </c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</row>
    <row r="82">
      <c r="A82" s="117">
        <v>26.0</v>
      </c>
      <c r="B82" s="124" t="s">
        <v>181</v>
      </c>
      <c r="C82" s="117"/>
      <c r="D82" s="117"/>
      <c r="H82" s="117"/>
      <c r="I82" s="117"/>
      <c r="J82" s="117"/>
      <c r="K82" s="127">
        <v>0.09239999999999993</v>
      </c>
      <c r="L82" s="126">
        <v>0.012799999999999923</v>
      </c>
      <c r="M82" s="126">
        <v>0.0796</v>
      </c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</row>
    <row r="83">
      <c r="A83" s="117">
        <v>27.0</v>
      </c>
      <c r="B83" s="124" t="s">
        <v>181</v>
      </c>
      <c r="C83" s="117"/>
      <c r="D83" s="117"/>
      <c r="H83" s="117"/>
      <c r="I83" s="117"/>
      <c r="J83" s="117"/>
      <c r="K83" s="127">
        <v>0.025799999999999934</v>
      </c>
      <c r="L83" s="126">
        <v>-0.034399999999999986</v>
      </c>
      <c r="M83" s="126">
        <v>0.06019999999999992</v>
      </c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</row>
    <row r="84">
      <c r="A84" s="117">
        <v>28.0</v>
      </c>
      <c r="B84" s="124" t="s">
        <v>181</v>
      </c>
      <c r="C84" s="117"/>
      <c r="D84" s="117"/>
      <c r="H84" s="117"/>
      <c r="I84" s="117"/>
      <c r="J84" s="117"/>
      <c r="K84" s="127">
        <v>-0.04079999999999995</v>
      </c>
      <c r="L84" s="126">
        <v>-0.0815999999999999</v>
      </c>
      <c r="M84" s="126">
        <v>0.04079999999999995</v>
      </c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</row>
    <row r="85">
      <c r="A85" s="117">
        <v>29.0</v>
      </c>
      <c r="B85" s="124" t="s">
        <v>181</v>
      </c>
      <c r="C85" s="117"/>
      <c r="D85" s="117"/>
      <c r="H85" s="117"/>
      <c r="I85" s="117"/>
      <c r="J85" s="117"/>
      <c r="K85" s="127">
        <v>-0.10740000000000005</v>
      </c>
      <c r="L85" s="126">
        <v>-0.12880000000000003</v>
      </c>
      <c r="M85" s="126">
        <v>0.021399999999999975</v>
      </c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</row>
    <row r="86">
      <c r="A86" s="117">
        <v>30.0</v>
      </c>
      <c r="B86" s="124" t="s">
        <v>181</v>
      </c>
      <c r="C86" s="117"/>
      <c r="D86" s="117"/>
      <c r="H86" s="117"/>
      <c r="I86" s="117"/>
      <c r="J86" s="117"/>
      <c r="K86" s="127">
        <v>-0.17400000000000004</v>
      </c>
      <c r="L86" s="126">
        <v>-0.17599999999999993</v>
      </c>
      <c r="M86" s="126">
        <v>0.0019999999999998908</v>
      </c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</row>
    <row r="87">
      <c r="A87" s="117">
        <v>31.0</v>
      </c>
      <c r="B87" s="124" t="s">
        <v>181</v>
      </c>
      <c r="C87" s="117"/>
      <c r="D87" s="117"/>
      <c r="H87" s="117"/>
      <c r="I87" s="117"/>
      <c r="J87" s="117"/>
      <c r="K87" s="127">
        <v>-0.24060000000000015</v>
      </c>
      <c r="L87" s="126">
        <v>-0.22320000000000007</v>
      </c>
      <c r="M87" s="126">
        <v>-0.026100000000000123</v>
      </c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</row>
    <row r="88">
      <c r="A88" s="117">
        <v>32.0</v>
      </c>
      <c r="B88" s="124" t="s">
        <v>181</v>
      </c>
      <c r="C88" s="117"/>
      <c r="D88" s="117"/>
      <c r="H88" s="117"/>
      <c r="I88" s="117"/>
      <c r="J88" s="117"/>
      <c r="K88" s="127">
        <v>-0.30720000000000003</v>
      </c>
      <c r="L88" s="126">
        <v>-0.2704</v>
      </c>
      <c r="M88" s="126">
        <v>-0.05520000000000008</v>
      </c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</row>
    <row r="89">
      <c r="A89" s="117">
        <v>33.0</v>
      </c>
      <c r="B89" s="124" t="s">
        <v>181</v>
      </c>
      <c r="C89" s="117"/>
      <c r="D89" s="117"/>
      <c r="H89" s="117"/>
      <c r="I89" s="117"/>
      <c r="J89" s="117"/>
      <c r="K89" s="127">
        <v>-0.3737999999999999</v>
      </c>
      <c r="L89" s="126">
        <v>-0.3175999999999999</v>
      </c>
      <c r="M89" s="126">
        <v>-0.08430000000000004</v>
      </c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</row>
    <row r="90">
      <c r="A90" s="117">
        <v>34.0</v>
      </c>
      <c r="B90" s="124" t="s">
        <v>181</v>
      </c>
      <c r="C90" s="117"/>
      <c r="D90" s="117"/>
      <c r="H90" s="117"/>
      <c r="I90" s="117"/>
      <c r="J90" s="117"/>
      <c r="K90" s="127">
        <v>-0.4404</v>
      </c>
      <c r="L90" s="126">
        <v>-0.3648</v>
      </c>
      <c r="M90" s="126">
        <v>-0.1134</v>
      </c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</row>
    <row r="91">
      <c r="A91" s="117">
        <v>35.0</v>
      </c>
      <c r="B91" s="124" t="s">
        <v>181</v>
      </c>
      <c r="C91" s="117"/>
      <c r="D91" s="117"/>
      <c r="H91" s="117"/>
      <c r="I91" s="117"/>
      <c r="J91" s="117"/>
      <c r="K91" s="127">
        <v>-0.507</v>
      </c>
      <c r="L91" s="126">
        <v>-0.4119999999999999</v>
      </c>
      <c r="M91" s="126">
        <v>-0.19000000000000017</v>
      </c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</row>
    <row r="92">
      <c r="A92" s="117">
        <v>36.0</v>
      </c>
      <c r="B92" s="124" t="s">
        <v>181</v>
      </c>
      <c r="C92" s="117"/>
      <c r="D92" s="117"/>
      <c r="H92" s="117"/>
      <c r="I92" s="117"/>
      <c r="J92" s="117"/>
      <c r="K92" s="127">
        <v>-0.5736000000000001</v>
      </c>
      <c r="L92" s="126">
        <v>-0.45920000000000005</v>
      </c>
      <c r="M92" s="126">
        <v>-0.22880000000000011</v>
      </c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</row>
    <row r="93">
      <c r="A93" s="117">
        <v>37.0</v>
      </c>
      <c r="B93" s="124" t="s">
        <v>181</v>
      </c>
      <c r="C93" s="117"/>
      <c r="D93" s="117"/>
      <c r="H93" s="117"/>
      <c r="I93" s="117"/>
      <c r="J93" s="117"/>
      <c r="K93" s="127">
        <v>-0.6402</v>
      </c>
      <c r="L93" s="126">
        <v>-0.5064</v>
      </c>
      <c r="M93" s="126">
        <v>-0.26760000000000006</v>
      </c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</row>
    <row r="94">
      <c r="A94" s="117">
        <v>38.0</v>
      </c>
      <c r="B94" s="124" t="s">
        <v>181</v>
      </c>
      <c r="C94" s="117"/>
      <c r="D94" s="117"/>
      <c r="H94" s="117"/>
      <c r="I94" s="117"/>
      <c r="J94" s="117"/>
      <c r="K94" s="127">
        <v>-0.7068</v>
      </c>
      <c r="L94" s="126">
        <v>-0.5535999999999999</v>
      </c>
      <c r="M94" s="126">
        <v>-0.3064000000000002</v>
      </c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</row>
    <row r="95">
      <c r="A95" s="117">
        <v>39.0</v>
      </c>
      <c r="B95" s="124" t="s">
        <v>181</v>
      </c>
      <c r="C95" s="117"/>
      <c r="D95" s="117"/>
      <c r="H95" s="117"/>
      <c r="I95" s="117"/>
      <c r="J95" s="117"/>
      <c r="K95" s="127">
        <v>-0.7734000000000001</v>
      </c>
      <c r="L95" s="126">
        <v>-0.6008</v>
      </c>
      <c r="M95" s="126">
        <v>-0.3452000000000002</v>
      </c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</row>
    <row r="96">
      <c r="A96" s="117">
        <v>40.0</v>
      </c>
      <c r="B96" s="124" t="s">
        <v>181</v>
      </c>
      <c r="C96" s="117"/>
      <c r="D96" s="117"/>
      <c r="H96" s="117"/>
      <c r="I96" s="117"/>
      <c r="J96" s="117"/>
      <c r="K96" s="127">
        <v>-0.84</v>
      </c>
      <c r="L96" s="126">
        <v>-0.6479999999999999</v>
      </c>
      <c r="M96" s="126">
        <v>-0.3840000000000001</v>
      </c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</row>
    <row r="97">
      <c r="A97" s="117">
        <v>41.0</v>
      </c>
      <c r="B97" s="124" t="s">
        <v>181</v>
      </c>
      <c r="C97" s="117"/>
      <c r="D97" s="117"/>
      <c r="H97" s="117"/>
      <c r="I97" s="117"/>
      <c r="J97" s="117"/>
      <c r="K97" s="127">
        <v>-0.9066000000000001</v>
      </c>
      <c r="L97" s="126">
        <v>-0.6952</v>
      </c>
      <c r="M97" s="126">
        <v>-0.42280000000000006</v>
      </c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17"/>
      <c r="AB97" s="117"/>
    </row>
    <row r="98">
      <c r="A98" s="117">
        <v>42.0</v>
      </c>
      <c r="B98" s="124" t="s">
        <v>181</v>
      </c>
      <c r="C98" s="117"/>
      <c r="D98" s="117"/>
      <c r="H98" s="117"/>
      <c r="I98" s="117"/>
      <c r="J98" s="117"/>
      <c r="K98" s="127">
        <v>-0.9732</v>
      </c>
      <c r="L98" s="126">
        <v>-0.7424</v>
      </c>
      <c r="M98" s="126">
        <v>-0.4616</v>
      </c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</row>
    <row r="99">
      <c r="A99" s="117">
        <v>19.0</v>
      </c>
      <c r="B99" s="124" t="s">
        <v>182</v>
      </c>
      <c r="C99" s="117"/>
      <c r="D99" s="117"/>
      <c r="H99" s="117"/>
      <c r="I99" s="117"/>
      <c r="J99" s="117"/>
      <c r="K99" s="126">
        <v>0.36249999999999993</v>
      </c>
      <c r="L99" s="126">
        <v>0.26169999999999993</v>
      </c>
      <c r="M99" s="126">
        <v>0.1008</v>
      </c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</row>
    <row r="100">
      <c r="A100" s="117">
        <v>20.0</v>
      </c>
      <c r="B100" s="124" t="s">
        <v>182</v>
      </c>
      <c r="C100" s="117"/>
      <c r="D100" s="117"/>
      <c r="H100" s="117"/>
      <c r="I100" s="117"/>
      <c r="J100" s="117"/>
      <c r="K100" s="126">
        <v>0.30999999999999983</v>
      </c>
      <c r="L100" s="126">
        <v>0.22499999999999987</v>
      </c>
      <c r="M100" s="126">
        <v>0.08499999999999996</v>
      </c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</row>
    <row r="101">
      <c r="A101" s="117">
        <v>21.0</v>
      </c>
      <c r="B101" s="124" t="s">
        <v>182</v>
      </c>
      <c r="C101" s="117"/>
      <c r="D101" s="117"/>
      <c r="H101" s="117"/>
      <c r="I101" s="117"/>
      <c r="J101" s="117"/>
      <c r="K101" s="126">
        <v>0.2574999999999999</v>
      </c>
      <c r="L101" s="126">
        <v>0.1882999999999999</v>
      </c>
      <c r="M101" s="126">
        <v>0.06919999999999998</v>
      </c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</row>
    <row r="102">
      <c r="A102" s="117">
        <v>22.0</v>
      </c>
      <c r="B102" s="124" t="s">
        <v>182</v>
      </c>
      <c r="C102" s="117"/>
      <c r="D102" s="117"/>
      <c r="H102" s="117"/>
      <c r="I102" s="117"/>
      <c r="J102" s="117"/>
      <c r="K102" s="126">
        <v>0.20499999999999985</v>
      </c>
      <c r="L102" s="126">
        <v>0.15159999999999985</v>
      </c>
      <c r="M102" s="126">
        <v>0.0534</v>
      </c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</row>
    <row r="103">
      <c r="A103" s="117">
        <v>23.0</v>
      </c>
      <c r="B103" s="124" t="s">
        <v>182</v>
      </c>
      <c r="C103" s="117"/>
      <c r="D103" s="117"/>
      <c r="H103" s="117"/>
      <c r="I103" s="117"/>
      <c r="J103" s="117"/>
      <c r="K103" s="126">
        <v>0.15249999999999986</v>
      </c>
      <c r="L103" s="126">
        <v>0.11489999999999989</v>
      </c>
      <c r="M103" s="126">
        <v>0.03759999999999997</v>
      </c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</row>
    <row r="104">
      <c r="A104" s="117">
        <v>24.0</v>
      </c>
      <c r="B104" s="124" t="s">
        <v>182</v>
      </c>
      <c r="C104" s="117"/>
      <c r="D104" s="117"/>
      <c r="H104" s="117"/>
      <c r="I104" s="117"/>
      <c r="J104" s="117"/>
      <c r="K104" s="126">
        <v>0.09999999999999992</v>
      </c>
      <c r="L104" s="126">
        <v>0.07819999999999994</v>
      </c>
      <c r="M104" s="126">
        <v>0.021799999999999986</v>
      </c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</row>
    <row r="105">
      <c r="A105" s="117">
        <v>25.0</v>
      </c>
      <c r="B105" s="124" t="s">
        <v>182</v>
      </c>
      <c r="C105" s="117"/>
      <c r="D105" s="117"/>
      <c r="H105" s="117"/>
      <c r="I105" s="117"/>
      <c r="J105" s="117"/>
      <c r="K105" s="126">
        <v>0.047499999999999876</v>
      </c>
      <c r="L105" s="126">
        <v>0.04149999999999987</v>
      </c>
      <c r="M105" s="126">
        <v>0.006000000000000005</v>
      </c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</row>
    <row r="106">
      <c r="A106" s="117">
        <v>26.0</v>
      </c>
      <c r="B106" s="124" t="s">
        <v>182</v>
      </c>
      <c r="C106" s="117"/>
      <c r="D106" s="117"/>
      <c r="H106" s="117"/>
      <c r="I106" s="117"/>
      <c r="J106" s="117"/>
      <c r="K106" s="126">
        <v>-0.0050000000000001155</v>
      </c>
      <c r="L106" s="126">
        <v>0.0047999999999999154</v>
      </c>
      <c r="M106" s="126">
        <v>-0.009800000000000031</v>
      </c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</row>
    <row r="107">
      <c r="A107" s="117">
        <v>27.0</v>
      </c>
      <c r="B107" s="124" t="s">
        <v>182</v>
      </c>
      <c r="C107" s="117"/>
      <c r="D107" s="117"/>
      <c r="H107" s="117"/>
      <c r="I107" s="117"/>
      <c r="J107" s="117"/>
      <c r="K107" s="126">
        <v>-0.05750000000000016</v>
      </c>
      <c r="L107" s="126">
        <v>-0.03190000000000015</v>
      </c>
      <c r="M107" s="126">
        <v>-0.02560000000000001</v>
      </c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</row>
    <row r="108">
      <c r="A108" s="117">
        <v>28.0</v>
      </c>
      <c r="B108" s="124" t="s">
        <v>182</v>
      </c>
      <c r="C108" s="117"/>
      <c r="D108" s="117"/>
      <c r="H108" s="117"/>
      <c r="I108" s="117"/>
      <c r="J108" s="117"/>
      <c r="K108" s="126">
        <v>-0.1100000000000001</v>
      </c>
      <c r="L108" s="126">
        <v>-0.0686000000000001</v>
      </c>
      <c r="M108" s="126">
        <v>-0.04139999999999999</v>
      </c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</row>
    <row r="109">
      <c r="A109" s="117">
        <v>29.0</v>
      </c>
      <c r="B109" s="124" t="s">
        <v>182</v>
      </c>
      <c r="C109" s="117"/>
      <c r="D109" s="117"/>
      <c r="H109" s="117"/>
      <c r="I109" s="117"/>
      <c r="J109" s="117"/>
      <c r="K109" s="126">
        <v>-0.1625000000000001</v>
      </c>
      <c r="L109" s="126">
        <v>-0.10530000000000006</v>
      </c>
      <c r="M109" s="126">
        <v>-0.05720000000000003</v>
      </c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</row>
    <row r="110">
      <c r="A110" s="117">
        <v>30.0</v>
      </c>
      <c r="B110" s="124" t="s">
        <v>182</v>
      </c>
      <c r="C110" s="117"/>
      <c r="D110" s="117"/>
      <c r="H110" s="117"/>
      <c r="I110" s="117"/>
      <c r="J110" s="117"/>
      <c r="K110" s="126">
        <v>-0.21500000000000025</v>
      </c>
      <c r="L110" s="126">
        <v>-0.14200000000000024</v>
      </c>
      <c r="M110" s="126">
        <v>-0.10950000000000001</v>
      </c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</row>
    <row r="111">
      <c r="A111" s="117">
        <v>31.0</v>
      </c>
      <c r="B111" s="124" t="s">
        <v>182</v>
      </c>
      <c r="C111" s="117"/>
      <c r="D111" s="117"/>
      <c r="H111" s="117"/>
      <c r="I111" s="117"/>
      <c r="J111" s="117"/>
      <c r="K111" s="126">
        <v>-0.26750000000000024</v>
      </c>
      <c r="L111" s="126">
        <v>-0.1787000000000002</v>
      </c>
      <c r="M111" s="126">
        <v>-0.13320000000000007</v>
      </c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</row>
    <row r="112">
      <c r="A112" s="117">
        <v>32.0</v>
      </c>
      <c r="B112" s="124" t="s">
        <v>182</v>
      </c>
      <c r="C112" s="117"/>
      <c r="D112" s="117"/>
      <c r="H112" s="117"/>
      <c r="I112" s="117"/>
      <c r="J112" s="117"/>
      <c r="K112" s="126">
        <v>-0.3200000000000002</v>
      </c>
      <c r="L112" s="126">
        <v>-0.21540000000000015</v>
      </c>
      <c r="M112" s="126">
        <v>-0.15690000000000004</v>
      </c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</row>
    <row r="113">
      <c r="A113" s="117">
        <v>33.0</v>
      </c>
      <c r="B113" s="124" t="s">
        <v>182</v>
      </c>
      <c r="C113" s="117"/>
      <c r="D113" s="117"/>
      <c r="H113" s="117"/>
      <c r="I113" s="117"/>
      <c r="J113" s="117"/>
      <c r="K113" s="126">
        <v>-0.37250000000000016</v>
      </c>
      <c r="L113" s="126">
        <v>-0.2521000000000001</v>
      </c>
      <c r="M113" s="126">
        <v>-0.1806000000000001</v>
      </c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</row>
    <row r="114">
      <c r="A114" s="117">
        <v>34.0</v>
      </c>
      <c r="B114" s="124" t="s">
        <v>182</v>
      </c>
      <c r="C114" s="117"/>
      <c r="D114" s="117"/>
      <c r="H114" s="117"/>
      <c r="I114" s="117"/>
      <c r="J114" s="117"/>
      <c r="K114" s="126">
        <v>-0.42500000000000004</v>
      </c>
      <c r="L114" s="126">
        <v>-0.28880000000000006</v>
      </c>
      <c r="M114" s="126">
        <v>-0.20429999999999998</v>
      </c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</row>
    <row r="115">
      <c r="A115" s="117">
        <v>35.0</v>
      </c>
      <c r="B115" s="124" t="s">
        <v>182</v>
      </c>
      <c r="C115" s="117"/>
      <c r="D115" s="117"/>
      <c r="H115" s="117"/>
      <c r="I115" s="117"/>
      <c r="J115" s="117"/>
      <c r="K115" s="126">
        <v>-0.47750000000000026</v>
      </c>
      <c r="L115" s="126">
        <v>-0.32550000000000023</v>
      </c>
      <c r="M115" s="126">
        <v>-0.30400000000000005</v>
      </c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</row>
    <row r="116">
      <c r="A116" s="117">
        <v>36.0</v>
      </c>
      <c r="B116" s="124" t="s">
        <v>182</v>
      </c>
      <c r="C116" s="117"/>
      <c r="D116" s="117"/>
      <c r="H116" s="117"/>
      <c r="I116" s="117"/>
      <c r="J116" s="117"/>
      <c r="K116" s="126">
        <v>-0.5300000000000002</v>
      </c>
      <c r="L116" s="126">
        <v>-0.3622000000000002</v>
      </c>
      <c r="M116" s="126">
        <v>-0.3356000000000001</v>
      </c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</row>
    <row r="117">
      <c r="A117" s="117">
        <v>37.0</v>
      </c>
      <c r="B117" s="124" t="s">
        <v>182</v>
      </c>
      <c r="C117" s="117"/>
      <c r="D117" s="117"/>
      <c r="H117" s="117"/>
      <c r="I117" s="117"/>
      <c r="J117" s="117"/>
      <c r="K117" s="126">
        <v>-0.5825000000000001</v>
      </c>
      <c r="L117" s="126">
        <v>-0.39890000000000014</v>
      </c>
      <c r="M117" s="126">
        <v>-0.36719999999999997</v>
      </c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  <c r="AA117" s="117"/>
      <c r="AB117" s="117"/>
    </row>
    <row r="118">
      <c r="A118" s="117">
        <v>38.0</v>
      </c>
      <c r="B118" s="124" t="s">
        <v>182</v>
      </c>
      <c r="C118" s="117"/>
      <c r="D118" s="117"/>
      <c r="H118" s="117"/>
      <c r="I118" s="117"/>
      <c r="J118" s="117"/>
      <c r="K118" s="126">
        <v>-0.6350000000000001</v>
      </c>
      <c r="L118" s="126">
        <v>-0.4356000000000001</v>
      </c>
      <c r="M118" s="126">
        <v>-0.39880000000000004</v>
      </c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</row>
    <row r="119">
      <c r="A119" s="117">
        <v>39.0</v>
      </c>
      <c r="B119" s="124" t="s">
        <v>182</v>
      </c>
      <c r="C119" s="117"/>
      <c r="D119" s="117"/>
      <c r="H119" s="117"/>
      <c r="I119" s="117"/>
      <c r="J119" s="117"/>
      <c r="K119" s="126">
        <v>-0.6875000000000003</v>
      </c>
      <c r="L119" s="126">
        <v>-0.4723000000000003</v>
      </c>
      <c r="M119" s="126">
        <v>-0.4304000000000001</v>
      </c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</row>
    <row r="120">
      <c r="A120" s="117">
        <v>40.0</v>
      </c>
      <c r="B120" s="124" t="s">
        <v>182</v>
      </c>
      <c r="C120" s="117"/>
      <c r="D120" s="117"/>
      <c r="H120" s="117"/>
      <c r="I120" s="117"/>
      <c r="J120" s="117"/>
      <c r="K120" s="126">
        <v>-0.7400000000000003</v>
      </c>
      <c r="L120" s="126">
        <v>-0.5090000000000002</v>
      </c>
      <c r="M120" s="126">
        <v>-0.5775000000000002</v>
      </c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</row>
    <row r="121">
      <c r="A121" s="117">
        <v>41.0</v>
      </c>
      <c r="B121" s="124" t="s">
        <v>182</v>
      </c>
      <c r="C121" s="117"/>
      <c r="D121" s="117"/>
      <c r="H121" s="117"/>
      <c r="I121" s="117"/>
      <c r="J121" s="117"/>
      <c r="K121" s="126">
        <v>-0.7925000000000002</v>
      </c>
      <c r="L121" s="126">
        <v>-0.5457000000000002</v>
      </c>
      <c r="M121" s="126">
        <v>-0.617</v>
      </c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</row>
    <row r="122">
      <c r="A122" s="117">
        <v>42.0</v>
      </c>
      <c r="B122" s="124" t="s">
        <v>182</v>
      </c>
      <c r="C122" s="117"/>
      <c r="D122" s="117"/>
      <c r="H122" s="117"/>
      <c r="I122" s="117"/>
      <c r="J122" s="117"/>
      <c r="K122" s="126">
        <v>-0.8450000000000002</v>
      </c>
      <c r="L122" s="126">
        <v>-0.5824000000000001</v>
      </c>
      <c r="M122" s="126">
        <v>-0.6565000000000001</v>
      </c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</row>
    <row r="123">
      <c r="A123" s="117">
        <v>19.0</v>
      </c>
      <c r="B123" s="124" t="s">
        <v>183</v>
      </c>
      <c r="C123" s="117"/>
      <c r="D123" s="117"/>
      <c r="H123" s="117"/>
      <c r="I123" s="117"/>
      <c r="J123" s="117"/>
      <c r="K123" s="126">
        <v>0.6457</v>
      </c>
      <c r="L123" s="126">
        <v>0.38580000000000003</v>
      </c>
      <c r="M123" s="126">
        <v>0.2599</v>
      </c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</row>
    <row r="124">
      <c r="A124" s="117">
        <v>20.0</v>
      </c>
      <c r="B124" s="124" t="s">
        <v>183</v>
      </c>
      <c r="C124" s="117"/>
      <c r="D124" s="117"/>
      <c r="H124" s="117"/>
      <c r="I124" s="117"/>
      <c r="J124" s="117"/>
      <c r="K124" s="126">
        <v>0.5700000000000001</v>
      </c>
      <c r="L124" s="126">
        <v>0.344</v>
      </c>
      <c r="M124" s="126">
        <v>0.2260000000000001</v>
      </c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</row>
    <row r="125">
      <c r="A125" s="117">
        <v>21.0</v>
      </c>
      <c r="B125" s="124" t="s">
        <v>183</v>
      </c>
      <c r="C125" s="117"/>
      <c r="D125" s="117"/>
      <c r="H125" s="117"/>
      <c r="I125" s="117"/>
      <c r="J125" s="117"/>
      <c r="K125" s="126">
        <v>0.4943000000000001</v>
      </c>
      <c r="L125" s="126">
        <v>0.3022</v>
      </c>
      <c r="M125" s="126">
        <v>0.19210000000000005</v>
      </c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</row>
    <row r="126">
      <c r="A126" s="117">
        <v>22.0</v>
      </c>
      <c r="B126" s="124" t="s">
        <v>183</v>
      </c>
      <c r="C126" s="117"/>
      <c r="D126" s="117"/>
      <c r="H126" s="117"/>
      <c r="I126" s="117"/>
      <c r="J126" s="117"/>
      <c r="K126" s="126">
        <v>0.41859999999999997</v>
      </c>
      <c r="L126" s="126">
        <v>0.26039999999999996</v>
      </c>
      <c r="M126" s="126">
        <v>0.1582</v>
      </c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</row>
    <row r="127">
      <c r="A127" s="117">
        <v>23.0</v>
      </c>
      <c r="B127" s="124" t="s">
        <v>183</v>
      </c>
      <c r="C127" s="117"/>
      <c r="D127" s="117"/>
      <c r="H127" s="117"/>
      <c r="I127" s="117"/>
      <c r="J127" s="117"/>
      <c r="K127" s="126">
        <v>0.3429000000000001</v>
      </c>
      <c r="L127" s="126">
        <v>0.21860000000000002</v>
      </c>
      <c r="M127" s="126">
        <v>0.12430000000000008</v>
      </c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</row>
    <row r="128">
      <c r="A128" s="117">
        <v>24.0</v>
      </c>
      <c r="B128" s="124" t="s">
        <v>183</v>
      </c>
      <c r="C128" s="117"/>
      <c r="D128" s="117"/>
      <c r="H128" s="117"/>
      <c r="I128" s="117"/>
      <c r="J128" s="117"/>
      <c r="K128" s="126">
        <v>0.2672000000000001</v>
      </c>
      <c r="L128" s="126">
        <v>0.17680000000000007</v>
      </c>
      <c r="M128" s="126">
        <v>0.09040000000000004</v>
      </c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</row>
    <row r="129">
      <c r="A129" s="117">
        <v>25.0</v>
      </c>
      <c r="B129" s="124" t="s">
        <v>183</v>
      </c>
      <c r="C129" s="117"/>
      <c r="D129" s="117"/>
      <c r="H129" s="117"/>
      <c r="I129" s="117"/>
      <c r="J129" s="117"/>
      <c r="K129" s="126">
        <v>0.1915</v>
      </c>
      <c r="L129" s="126">
        <v>0.135</v>
      </c>
      <c r="M129" s="126">
        <v>0.056499999999999995</v>
      </c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</row>
    <row r="130">
      <c r="A130" s="117">
        <v>26.0</v>
      </c>
      <c r="B130" s="124" t="s">
        <v>183</v>
      </c>
      <c r="C130" s="117"/>
      <c r="D130" s="117"/>
      <c r="H130" s="117"/>
      <c r="I130" s="117"/>
      <c r="J130" s="117"/>
      <c r="K130" s="126">
        <v>0.11580000000000001</v>
      </c>
      <c r="L130" s="126">
        <v>0.09319999999999995</v>
      </c>
      <c r="M130" s="126">
        <v>0.022600000000000064</v>
      </c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</row>
    <row r="131">
      <c r="A131" s="117">
        <v>27.0</v>
      </c>
      <c r="B131" s="124" t="s">
        <v>183</v>
      </c>
      <c r="C131" s="117"/>
      <c r="D131" s="117"/>
      <c r="H131" s="117"/>
      <c r="I131" s="117"/>
      <c r="J131" s="117"/>
      <c r="K131" s="126">
        <v>0.040100000000000136</v>
      </c>
      <c r="L131" s="126">
        <v>0.05140000000000011</v>
      </c>
      <c r="M131" s="126">
        <v>-0.011299999999999977</v>
      </c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</row>
    <row r="132">
      <c r="A132" s="117">
        <v>28.0</v>
      </c>
      <c r="B132" s="124" t="s">
        <v>183</v>
      </c>
      <c r="C132" s="117"/>
      <c r="D132" s="117"/>
      <c r="H132" s="117"/>
      <c r="I132" s="117"/>
      <c r="J132" s="117"/>
      <c r="K132" s="126">
        <v>-0.035599999999999965</v>
      </c>
      <c r="L132" s="126">
        <v>0.009600000000000053</v>
      </c>
      <c r="M132" s="126">
        <v>-0.04520000000000002</v>
      </c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</row>
    <row r="133">
      <c r="A133" s="117">
        <v>29.0</v>
      </c>
      <c r="B133" s="124" t="s">
        <v>183</v>
      </c>
      <c r="C133" s="117"/>
      <c r="D133" s="117"/>
      <c r="H133" s="117"/>
      <c r="I133" s="117"/>
      <c r="J133" s="117"/>
      <c r="K133" s="126">
        <v>-0.11129999999999995</v>
      </c>
      <c r="L133" s="126">
        <v>-0.032200000000000006</v>
      </c>
      <c r="M133" s="126">
        <v>-0.07909999999999995</v>
      </c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  <c r="AA133" s="117"/>
      <c r="AB133" s="117"/>
    </row>
    <row r="134">
      <c r="A134" s="117">
        <v>30.0</v>
      </c>
      <c r="B134" s="124" t="s">
        <v>183</v>
      </c>
      <c r="C134" s="117"/>
      <c r="D134" s="117"/>
      <c r="H134" s="117"/>
      <c r="I134" s="117"/>
      <c r="J134" s="117"/>
      <c r="K134" s="126">
        <v>-0.18699999999999994</v>
      </c>
      <c r="L134" s="126">
        <v>-0.07400000000000007</v>
      </c>
      <c r="M134" s="126">
        <v>-0.16949999999999982</v>
      </c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</row>
    <row r="135">
      <c r="A135" s="117">
        <v>31.0</v>
      </c>
      <c r="B135" s="124" t="s">
        <v>183</v>
      </c>
      <c r="C135" s="117"/>
      <c r="D135" s="117"/>
      <c r="H135" s="117"/>
      <c r="I135" s="117"/>
      <c r="J135" s="117"/>
      <c r="K135" s="126">
        <v>-0.2626999999999998</v>
      </c>
      <c r="L135" s="126">
        <v>-0.1157999999999999</v>
      </c>
      <c r="M135" s="126">
        <v>-0.22034999999999988</v>
      </c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</row>
    <row r="136">
      <c r="A136" s="117">
        <v>32.0</v>
      </c>
      <c r="B136" s="124" t="s">
        <v>183</v>
      </c>
      <c r="C136" s="117"/>
      <c r="D136" s="117"/>
      <c r="H136" s="117"/>
      <c r="I136" s="117"/>
      <c r="J136" s="117"/>
      <c r="K136" s="126">
        <v>-0.3383999999999999</v>
      </c>
      <c r="L136" s="126">
        <v>-0.15759999999999996</v>
      </c>
      <c r="M136" s="126">
        <v>-0.27119999999999994</v>
      </c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</row>
    <row r="137">
      <c r="A137" s="117">
        <v>33.0</v>
      </c>
      <c r="B137" s="124" t="s">
        <v>183</v>
      </c>
      <c r="C137" s="117"/>
      <c r="D137" s="117"/>
      <c r="H137" s="117"/>
      <c r="I137" s="117"/>
      <c r="J137" s="117"/>
      <c r="K137" s="126">
        <v>-0.4141</v>
      </c>
      <c r="L137" s="126">
        <v>-0.19940000000000002</v>
      </c>
      <c r="M137" s="126">
        <v>-0.32205</v>
      </c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</row>
    <row r="138">
      <c r="A138" s="117">
        <v>34.0</v>
      </c>
      <c r="B138" s="124" t="s">
        <v>183</v>
      </c>
      <c r="C138" s="117"/>
      <c r="D138" s="117"/>
      <c r="H138" s="117"/>
      <c r="I138" s="117"/>
      <c r="J138" s="117"/>
      <c r="K138" s="126">
        <v>-0.4897999999999999</v>
      </c>
      <c r="L138" s="126">
        <v>-0.24119999999999986</v>
      </c>
      <c r="M138" s="126">
        <v>-0.37290000000000006</v>
      </c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</row>
    <row r="139">
      <c r="A139" s="117">
        <v>35.0</v>
      </c>
      <c r="B139" s="124" t="s">
        <v>183</v>
      </c>
      <c r="C139" s="117"/>
      <c r="D139" s="117"/>
      <c r="H139" s="117"/>
      <c r="I139" s="117"/>
      <c r="J139" s="117"/>
      <c r="K139" s="126">
        <v>-0.5654999999999998</v>
      </c>
      <c r="L139" s="126">
        <v>-0.2829999999999999</v>
      </c>
      <c r="M139" s="126">
        <v>-0.5649999999999997</v>
      </c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</row>
    <row r="140">
      <c r="A140" s="117">
        <v>36.0</v>
      </c>
      <c r="B140" s="124" t="s">
        <v>183</v>
      </c>
      <c r="C140" s="117"/>
      <c r="D140" s="117"/>
      <c r="H140" s="117"/>
      <c r="I140" s="117"/>
      <c r="J140" s="117"/>
      <c r="K140" s="126">
        <v>-0.6411999999999999</v>
      </c>
      <c r="L140" s="126">
        <v>-0.3248</v>
      </c>
      <c r="M140" s="126">
        <v>-0.6327999999999998</v>
      </c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</row>
    <row r="141">
      <c r="A141" s="117">
        <v>37.0</v>
      </c>
      <c r="B141" s="124" t="s">
        <v>183</v>
      </c>
      <c r="C141" s="117"/>
      <c r="D141" s="117"/>
      <c r="H141" s="117"/>
      <c r="I141" s="117"/>
      <c r="J141" s="117"/>
      <c r="K141" s="126">
        <v>-0.7169</v>
      </c>
      <c r="L141" s="126">
        <v>-0.36660000000000004</v>
      </c>
      <c r="M141" s="126">
        <v>-0.7005999999999999</v>
      </c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</row>
    <row r="142">
      <c r="A142" s="117">
        <v>38.0</v>
      </c>
      <c r="B142" s="124" t="s">
        <v>183</v>
      </c>
      <c r="C142" s="117"/>
      <c r="D142" s="117"/>
      <c r="H142" s="117"/>
      <c r="I142" s="117"/>
      <c r="J142" s="117"/>
      <c r="K142" s="126">
        <v>-0.7925999999999999</v>
      </c>
      <c r="L142" s="126">
        <v>-0.4083999999999999</v>
      </c>
      <c r="M142" s="126">
        <v>-0.7684</v>
      </c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</row>
    <row r="143">
      <c r="A143" s="117">
        <v>39.0</v>
      </c>
      <c r="B143" s="124" t="s">
        <v>183</v>
      </c>
      <c r="C143" s="117"/>
      <c r="D143" s="117"/>
      <c r="H143" s="117"/>
      <c r="I143" s="117"/>
      <c r="J143" s="117"/>
      <c r="K143" s="126">
        <v>-0.8683</v>
      </c>
      <c r="L143" s="126">
        <v>-0.45019999999999993</v>
      </c>
      <c r="M143" s="126">
        <v>-0.8362</v>
      </c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</row>
    <row r="144">
      <c r="A144" s="117">
        <v>40.0</v>
      </c>
      <c r="B144" s="124" t="s">
        <v>183</v>
      </c>
      <c r="C144" s="117"/>
      <c r="D144" s="117"/>
      <c r="H144" s="117"/>
      <c r="I144" s="117"/>
      <c r="J144" s="117"/>
      <c r="K144" s="126">
        <v>-0.9439999999999998</v>
      </c>
      <c r="L144" s="126">
        <v>-0.492</v>
      </c>
      <c r="M144" s="126">
        <v>-1.1299999999999997</v>
      </c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</row>
    <row r="145">
      <c r="A145" s="117">
        <v>41.0</v>
      </c>
      <c r="B145" s="124" t="s">
        <v>183</v>
      </c>
      <c r="C145" s="117"/>
      <c r="D145" s="117"/>
      <c r="H145" s="117"/>
      <c r="I145" s="117"/>
      <c r="J145" s="117"/>
      <c r="K145" s="126">
        <v>-1.0196999999999998</v>
      </c>
      <c r="L145" s="126">
        <v>-0.5337999999999998</v>
      </c>
      <c r="M145" s="126">
        <v>-1.2147499999999998</v>
      </c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</row>
    <row r="146">
      <c r="A146" s="117">
        <v>42.0</v>
      </c>
      <c r="B146" s="124" t="s">
        <v>183</v>
      </c>
      <c r="C146" s="117"/>
      <c r="D146" s="117"/>
      <c r="H146" s="117"/>
      <c r="I146" s="117"/>
      <c r="J146" s="117"/>
      <c r="K146" s="126">
        <v>-1.0953999999999997</v>
      </c>
      <c r="L146" s="126">
        <v>-0.5755999999999999</v>
      </c>
      <c r="M146" s="126">
        <v>-1.2994999999999999</v>
      </c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</row>
    <row r="147">
      <c r="A147" s="117"/>
      <c r="B147" s="117"/>
      <c r="C147" s="117"/>
      <c r="D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</row>
    <row r="148">
      <c r="A148" s="117"/>
      <c r="B148" s="117"/>
      <c r="C148" s="117"/>
      <c r="D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</row>
    <row r="149">
      <c r="A149" s="117"/>
      <c r="B149" s="117"/>
      <c r="C149" s="117"/>
      <c r="D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</row>
    <row r="150">
      <c r="A150" s="117"/>
      <c r="B150" s="117"/>
      <c r="C150" s="117"/>
      <c r="D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</row>
    <row r="151">
      <c r="A151" s="117"/>
      <c r="B151" s="117"/>
      <c r="C151" s="117"/>
      <c r="D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</row>
    <row r="152">
      <c r="A152" s="117"/>
      <c r="B152" s="117"/>
      <c r="C152" s="117"/>
      <c r="D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</row>
    <row r="153">
      <c r="A153" s="117"/>
      <c r="B153" s="117"/>
      <c r="C153" s="117"/>
      <c r="D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</row>
    <row r="154">
      <c r="A154" s="117"/>
      <c r="B154" s="117"/>
      <c r="C154" s="117"/>
      <c r="D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</row>
    <row r="155">
      <c r="A155" s="117"/>
      <c r="B155" s="117"/>
      <c r="C155" s="117"/>
      <c r="D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</row>
    <row r="156">
      <c r="A156" s="117"/>
      <c r="B156" s="117"/>
      <c r="C156" s="117"/>
      <c r="D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</row>
    <row r="157">
      <c r="A157" s="117"/>
      <c r="B157" s="117"/>
      <c r="C157" s="117"/>
      <c r="D157" s="117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</row>
    <row r="158">
      <c r="A158" s="117"/>
      <c r="B158" s="117"/>
      <c r="C158" s="117"/>
      <c r="D158" s="117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</row>
    <row r="159">
      <c r="A159" s="117"/>
      <c r="B159" s="117"/>
      <c r="C159" s="117"/>
      <c r="D159" s="117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</row>
    <row r="160">
      <c r="A160" s="117"/>
      <c r="B160" s="117"/>
      <c r="C160" s="117"/>
      <c r="D160" s="117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</row>
    <row r="161">
      <c r="A161" s="117"/>
      <c r="B161" s="117"/>
      <c r="C161" s="117"/>
      <c r="D161" s="117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</row>
    <row r="162">
      <c r="A162" s="117"/>
      <c r="B162" s="117"/>
      <c r="C162" s="117"/>
      <c r="D162" s="117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</row>
    <row r="163">
      <c r="A163" s="117"/>
      <c r="B163" s="117"/>
      <c r="C163" s="117"/>
      <c r="D163" s="117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</row>
    <row r="164">
      <c r="A164" s="117"/>
      <c r="B164" s="117"/>
      <c r="C164" s="117"/>
      <c r="D164" s="117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</row>
    <row r="165">
      <c r="A165" s="117"/>
      <c r="B165" s="117"/>
      <c r="C165" s="117"/>
      <c r="D165" s="117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</row>
    <row r="166">
      <c r="A166" s="117"/>
      <c r="B166" s="117"/>
      <c r="C166" s="117"/>
      <c r="D166" s="117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</row>
    <row r="167">
      <c r="A167" s="117"/>
      <c r="B167" s="117"/>
      <c r="C167" s="117"/>
      <c r="D167" s="117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</row>
    <row r="168">
      <c r="A168" s="117"/>
      <c r="B168" s="117"/>
      <c r="C168" s="117"/>
      <c r="D168" s="117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</row>
    <row r="169">
      <c r="A169" s="117"/>
      <c r="B169" s="117"/>
      <c r="C169" s="117"/>
      <c r="D169" s="117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</row>
    <row r="170">
      <c r="A170" s="117"/>
      <c r="B170" s="117"/>
      <c r="C170" s="117"/>
      <c r="D170" s="117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</row>
    <row r="171">
      <c r="A171" s="117"/>
      <c r="B171" s="117"/>
      <c r="C171" s="117"/>
      <c r="D171" s="117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</row>
    <row r="172">
      <c r="A172" s="117"/>
      <c r="B172" s="117"/>
      <c r="C172" s="117"/>
      <c r="D172" s="117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</row>
    <row r="173">
      <c r="A173" s="117"/>
      <c r="B173" s="117"/>
      <c r="C173" s="117"/>
      <c r="D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</row>
    <row r="174">
      <c r="A174" s="117"/>
      <c r="B174" s="117"/>
      <c r="C174" s="117"/>
      <c r="D174" s="117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</row>
    <row r="175">
      <c r="A175" s="117"/>
      <c r="B175" s="117"/>
      <c r="C175" s="117"/>
      <c r="D175" s="117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</row>
    <row r="176">
      <c r="A176" s="117"/>
      <c r="B176" s="117"/>
      <c r="C176" s="117"/>
      <c r="D176" s="117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</row>
    <row r="177">
      <c r="A177" s="117"/>
      <c r="B177" s="117"/>
      <c r="C177" s="117"/>
      <c r="D177" s="117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</row>
    <row r="178">
      <c r="A178" s="117"/>
      <c r="B178" s="117"/>
      <c r="C178" s="117"/>
      <c r="D178" s="117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</row>
    <row r="179">
      <c r="A179" s="117"/>
      <c r="B179" s="117"/>
      <c r="C179" s="117"/>
      <c r="D179" s="117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</row>
    <row r="180">
      <c r="A180" s="117"/>
      <c r="B180" s="117"/>
      <c r="C180" s="117"/>
      <c r="D180" s="117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</row>
    <row r="181">
      <c r="A181" s="117"/>
      <c r="B181" s="117"/>
      <c r="C181" s="117"/>
      <c r="D181" s="117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</row>
    <row r="182">
      <c r="A182" s="117"/>
      <c r="B182" s="117"/>
      <c r="C182" s="117"/>
      <c r="D182" s="117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</row>
    <row r="183">
      <c r="A183" s="117"/>
      <c r="B183" s="117"/>
      <c r="C183" s="117"/>
      <c r="D183" s="117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</row>
    <row r="184">
      <c r="A184" s="117"/>
      <c r="B184" s="117"/>
      <c r="C184" s="117"/>
      <c r="D184" s="117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</row>
    <row r="185">
      <c r="A185" s="117"/>
      <c r="B185" s="117"/>
      <c r="C185" s="117"/>
      <c r="D185" s="117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</row>
    <row r="186">
      <c r="A186" s="117"/>
      <c r="B186" s="117"/>
      <c r="C186" s="117"/>
      <c r="D186" s="117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</row>
    <row r="187">
      <c r="A187" s="117"/>
      <c r="B187" s="117"/>
      <c r="C187" s="117"/>
      <c r="D187" s="117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</row>
    <row r="188">
      <c r="A188" s="117"/>
      <c r="B188" s="117"/>
      <c r="C188" s="117"/>
      <c r="D188" s="117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</row>
    <row r="189">
      <c r="A189" s="117"/>
      <c r="B189" s="117"/>
      <c r="C189" s="117"/>
      <c r="D189" s="117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</row>
    <row r="190">
      <c r="A190" s="117"/>
      <c r="B190" s="117"/>
      <c r="C190" s="117"/>
      <c r="D190" s="117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</row>
    <row r="191">
      <c r="A191" s="117"/>
      <c r="B191" s="117"/>
      <c r="C191" s="117"/>
      <c r="D191" s="117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</row>
    <row r="192">
      <c r="A192" s="117"/>
      <c r="B192" s="117"/>
      <c r="C192" s="117"/>
      <c r="D192" s="117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</row>
    <row r="193">
      <c r="A193" s="117"/>
      <c r="B193" s="117"/>
      <c r="C193" s="117"/>
      <c r="D193" s="117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</row>
    <row r="194">
      <c r="A194" s="117"/>
      <c r="B194" s="117"/>
      <c r="C194" s="117"/>
      <c r="D194" s="117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</row>
    <row r="195">
      <c r="A195" s="117"/>
      <c r="B195" s="117"/>
      <c r="C195" s="117"/>
      <c r="D195" s="117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</row>
    <row r="196">
      <c r="A196" s="117"/>
      <c r="B196" s="117"/>
      <c r="C196" s="117"/>
      <c r="D196" s="117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</row>
    <row r="197">
      <c r="A197" s="117"/>
      <c r="B197" s="117"/>
      <c r="C197" s="117"/>
      <c r="D197" s="117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</row>
    <row r="198">
      <c r="A198" s="117"/>
      <c r="B198" s="117"/>
      <c r="C198" s="117"/>
      <c r="D198" s="117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</row>
    <row r="199">
      <c r="A199" s="117"/>
      <c r="B199" s="117"/>
      <c r="C199" s="117"/>
      <c r="D199" s="117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</row>
    <row r="200">
      <c r="A200" s="117"/>
      <c r="B200" s="117"/>
      <c r="C200" s="117"/>
      <c r="D200" s="117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</row>
    <row r="201">
      <c r="A201" s="117"/>
      <c r="B201" s="117"/>
      <c r="C201" s="117"/>
      <c r="D201" s="117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</row>
    <row r="202">
      <c r="A202" s="117"/>
      <c r="B202" s="117"/>
      <c r="C202" s="117"/>
      <c r="D202" s="117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</row>
    <row r="203">
      <c r="A203" s="117"/>
      <c r="B203" s="117"/>
      <c r="C203" s="117"/>
      <c r="D203" s="117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</row>
    <row r="204">
      <c r="A204" s="117"/>
      <c r="B204" s="117"/>
      <c r="C204" s="117"/>
      <c r="D204" s="117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</row>
    <row r="205">
      <c r="A205" s="117"/>
      <c r="B205" s="117"/>
      <c r="C205" s="117"/>
      <c r="D205" s="117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</row>
    <row r="206">
      <c r="A206" s="117"/>
      <c r="B206" s="117"/>
      <c r="C206" s="117"/>
      <c r="D206" s="117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</row>
    <row r="207">
      <c r="A207" s="117"/>
      <c r="B207" s="117"/>
      <c r="C207" s="117"/>
      <c r="D207" s="117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</row>
    <row r="208">
      <c r="A208" s="117"/>
      <c r="B208" s="117"/>
      <c r="C208" s="117"/>
      <c r="D208" s="117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</row>
    <row r="209">
      <c r="A209" s="117"/>
      <c r="B209" s="117"/>
      <c r="C209" s="117"/>
      <c r="D209" s="117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</row>
    <row r="210">
      <c r="A210" s="117"/>
      <c r="B210" s="117"/>
      <c r="C210" s="117"/>
      <c r="D210" s="117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</row>
    <row r="211">
      <c r="A211" s="117"/>
      <c r="B211" s="117"/>
      <c r="C211" s="117"/>
      <c r="D211" s="117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</row>
    <row r="212">
      <c r="A212" s="117"/>
      <c r="B212" s="117"/>
      <c r="C212" s="117"/>
      <c r="D212" s="117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</row>
    <row r="213">
      <c r="A213" s="117"/>
      <c r="B213" s="117"/>
      <c r="C213" s="117"/>
      <c r="D213" s="117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</row>
    <row r="214">
      <c r="A214" s="117"/>
      <c r="B214" s="117"/>
      <c r="C214" s="117"/>
      <c r="D214" s="117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</row>
    <row r="215">
      <c r="A215" s="117"/>
      <c r="B215" s="117"/>
      <c r="C215" s="117"/>
      <c r="D215" s="117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</row>
    <row r="216">
      <c r="A216" s="117"/>
      <c r="B216" s="117"/>
      <c r="C216" s="117"/>
      <c r="D216" s="117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</row>
    <row r="217">
      <c r="A217" s="117"/>
      <c r="B217" s="117"/>
      <c r="C217" s="117"/>
      <c r="D217" s="117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</row>
    <row r="218">
      <c r="A218" s="117"/>
      <c r="B218" s="117"/>
      <c r="C218" s="117"/>
      <c r="D218" s="117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</row>
    <row r="219">
      <c r="A219" s="117"/>
      <c r="B219" s="117"/>
      <c r="C219" s="117"/>
      <c r="D219" s="117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</row>
    <row r="220">
      <c r="A220" s="117"/>
      <c r="B220" s="117"/>
      <c r="C220" s="117"/>
      <c r="D220" s="117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</row>
    <row r="221">
      <c r="A221" s="117"/>
      <c r="B221" s="117"/>
      <c r="C221" s="117"/>
      <c r="D221" s="117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</row>
    <row r="222">
      <c r="A222" s="117"/>
      <c r="B222" s="117"/>
      <c r="C222" s="117"/>
      <c r="D222" s="117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</row>
    <row r="223">
      <c r="A223" s="117"/>
      <c r="B223" s="117"/>
      <c r="C223" s="117"/>
      <c r="D223" s="117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</row>
    <row r="224">
      <c r="A224" s="117"/>
      <c r="B224" s="117"/>
      <c r="C224" s="117"/>
      <c r="D224" s="117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</row>
    <row r="225">
      <c r="A225" s="117"/>
      <c r="B225" s="117"/>
      <c r="C225" s="117"/>
      <c r="D225" s="117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</row>
    <row r="226">
      <c r="A226" s="117"/>
      <c r="B226" s="117"/>
      <c r="C226" s="117"/>
      <c r="D226" s="117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</row>
    <row r="227">
      <c r="A227" s="117"/>
      <c r="B227" s="117"/>
      <c r="C227" s="117"/>
      <c r="D227" s="117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</row>
    <row r="228">
      <c r="A228" s="117"/>
      <c r="B228" s="117"/>
      <c r="C228" s="117"/>
      <c r="D228" s="117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</row>
    <row r="229">
      <c r="A229" s="117"/>
      <c r="B229" s="117"/>
      <c r="C229" s="117"/>
      <c r="D229" s="117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</row>
    <row r="230">
      <c r="A230" s="117"/>
      <c r="B230" s="117"/>
      <c r="C230" s="117"/>
      <c r="D230" s="117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</row>
    <row r="231">
      <c r="A231" s="117"/>
      <c r="B231" s="117"/>
      <c r="C231" s="117"/>
      <c r="D231" s="117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</row>
    <row r="232">
      <c r="A232" s="117"/>
      <c r="B232" s="117"/>
      <c r="C232" s="117"/>
      <c r="D232" s="117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</row>
    <row r="233">
      <c r="A233" s="117"/>
      <c r="B233" s="117"/>
      <c r="C233" s="117"/>
      <c r="D233" s="117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</row>
    <row r="234">
      <c r="A234" s="117"/>
      <c r="B234" s="117"/>
      <c r="C234" s="117"/>
      <c r="D234" s="117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</row>
    <row r="235">
      <c r="A235" s="117"/>
      <c r="B235" s="117"/>
      <c r="C235" s="117"/>
      <c r="D235" s="117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</row>
    <row r="236">
      <c r="A236" s="117"/>
      <c r="B236" s="117"/>
      <c r="C236" s="117"/>
      <c r="D236" s="117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</row>
    <row r="237">
      <c r="A237" s="117"/>
      <c r="B237" s="117"/>
      <c r="C237" s="117"/>
      <c r="D237" s="117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</row>
    <row r="238">
      <c r="A238" s="117"/>
      <c r="B238" s="117"/>
      <c r="C238" s="117"/>
      <c r="D238" s="117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</row>
    <row r="239">
      <c r="A239" s="117"/>
      <c r="B239" s="117"/>
      <c r="C239" s="117"/>
      <c r="D239" s="117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</row>
    <row r="240">
      <c r="A240" s="117"/>
      <c r="B240" s="117"/>
      <c r="C240" s="117"/>
      <c r="D240" s="117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</row>
    <row r="241">
      <c r="A241" s="117"/>
      <c r="B241" s="117"/>
      <c r="C241" s="117"/>
      <c r="D241" s="117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</row>
    <row r="242">
      <c r="A242" s="117"/>
      <c r="B242" s="117"/>
      <c r="C242" s="117"/>
      <c r="D242" s="117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</row>
    <row r="243">
      <c r="A243" s="117"/>
      <c r="B243" s="117"/>
      <c r="C243" s="117"/>
      <c r="D243" s="117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</row>
    <row r="244">
      <c r="A244" s="117"/>
      <c r="B244" s="117"/>
      <c r="C244" s="117"/>
      <c r="D244" s="117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</row>
    <row r="245">
      <c r="A245" s="117"/>
      <c r="B245" s="117"/>
      <c r="C245" s="117"/>
      <c r="D245" s="117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</row>
    <row r="246">
      <c r="A246" s="117"/>
      <c r="B246" s="117"/>
      <c r="C246" s="117"/>
      <c r="D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</row>
    <row r="247">
      <c r="A247" s="117"/>
      <c r="B247" s="117"/>
      <c r="C247" s="117"/>
      <c r="D247" s="117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</row>
    <row r="248">
      <c r="A248" s="117"/>
      <c r="B248" s="117"/>
      <c r="C248" s="117"/>
      <c r="D248" s="117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</row>
    <row r="249">
      <c r="A249" s="117"/>
      <c r="B249" s="117"/>
      <c r="C249" s="117"/>
      <c r="D249" s="117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</row>
    <row r="250">
      <c r="A250" s="117"/>
      <c r="B250" s="117"/>
      <c r="C250" s="117"/>
      <c r="D250" s="117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</row>
    <row r="251">
      <c r="A251" s="117"/>
      <c r="B251" s="117"/>
      <c r="C251" s="117"/>
      <c r="D251" s="117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</row>
    <row r="252">
      <c r="A252" s="117"/>
      <c r="B252" s="117"/>
      <c r="C252" s="117"/>
      <c r="D252" s="117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</row>
    <row r="253">
      <c r="A253" s="117"/>
      <c r="B253" s="117"/>
      <c r="C253" s="117"/>
      <c r="D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</row>
    <row r="254">
      <c r="A254" s="117"/>
      <c r="B254" s="117"/>
      <c r="C254" s="117"/>
      <c r="D254" s="117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</row>
    <row r="255">
      <c r="A255" s="117"/>
      <c r="B255" s="117"/>
      <c r="C255" s="117"/>
      <c r="D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</row>
    <row r="256">
      <c r="A256" s="117"/>
      <c r="B256" s="117"/>
      <c r="C256" s="117"/>
      <c r="D256" s="117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</row>
    <row r="257">
      <c r="A257" s="117"/>
      <c r="B257" s="117"/>
      <c r="C257" s="117"/>
      <c r="D257" s="117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</row>
    <row r="258">
      <c r="A258" s="117"/>
      <c r="B258" s="117"/>
      <c r="C258" s="117"/>
      <c r="D258" s="117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</row>
    <row r="259">
      <c r="A259" s="117"/>
      <c r="B259" s="117"/>
      <c r="C259" s="117"/>
      <c r="D259" s="117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</row>
    <row r="260">
      <c r="A260" s="117"/>
      <c r="B260" s="117"/>
      <c r="C260" s="117"/>
      <c r="D260" s="117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</row>
    <row r="261">
      <c r="A261" s="117"/>
      <c r="B261" s="117"/>
      <c r="C261" s="117"/>
      <c r="D261" s="117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</row>
    <row r="262">
      <c r="A262" s="117"/>
      <c r="B262" s="117"/>
      <c r="C262" s="117"/>
      <c r="D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</row>
    <row r="263">
      <c r="A263" s="117"/>
      <c r="B263" s="117"/>
      <c r="C263" s="117"/>
      <c r="D263" s="117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</row>
    <row r="264">
      <c r="A264" s="117"/>
      <c r="B264" s="117"/>
      <c r="C264" s="117"/>
      <c r="D264" s="117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</row>
    <row r="265">
      <c r="A265" s="117"/>
      <c r="B265" s="117"/>
      <c r="C265" s="117"/>
      <c r="D265" s="117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</row>
    <row r="266">
      <c r="A266" s="117"/>
      <c r="B266" s="117"/>
      <c r="C266" s="117"/>
      <c r="D266" s="117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</row>
    <row r="267">
      <c r="A267" s="117"/>
      <c r="B267" s="117"/>
      <c r="C267" s="117"/>
      <c r="D267" s="117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</row>
    <row r="268">
      <c r="A268" s="117"/>
      <c r="B268" s="117"/>
      <c r="C268" s="117"/>
      <c r="D268" s="117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</row>
    <row r="269">
      <c r="A269" s="117"/>
      <c r="B269" s="117"/>
      <c r="C269" s="117"/>
      <c r="D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</row>
    <row r="270">
      <c r="A270" s="117"/>
      <c r="B270" s="117"/>
      <c r="C270" s="117"/>
      <c r="D270" s="117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</row>
    <row r="271">
      <c r="A271" s="117"/>
      <c r="B271" s="117"/>
      <c r="C271" s="117"/>
      <c r="D271" s="117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</row>
    <row r="272">
      <c r="A272" s="117"/>
      <c r="B272" s="117"/>
      <c r="C272" s="117"/>
      <c r="D272" s="117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</row>
    <row r="273">
      <c r="A273" s="117"/>
      <c r="B273" s="117"/>
      <c r="C273" s="117"/>
      <c r="D273" s="117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</row>
    <row r="274">
      <c r="A274" s="117"/>
      <c r="B274" s="117"/>
      <c r="C274" s="117"/>
      <c r="D274" s="117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</row>
    <row r="275">
      <c r="A275" s="117"/>
      <c r="B275" s="117"/>
      <c r="C275" s="117"/>
      <c r="D275" s="117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</row>
    <row r="276">
      <c r="A276" s="117"/>
      <c r="B276" s="117"/>
      <c r="C276" s="117"/>
      <c r="D276" s="117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</row>
    <row r="277">
      <c r="A277" s="117"/>
      <c r="B277" s="117"/>
      <c r="C277" s="117"/>
      <c r="D277" s="117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</row>
    <row r="278">
      <c r="A278" s="117"/>
      <c r="B278" s="117"/>
      <c r="C278" s="117"/>
      <c r="D278" s="117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</row>
    <row r="279">
      <c r="A279" s="117"/>
      <c r="B279" s="117"/>
      <c r="C279" s="117"/>
      <c r="D279" s="117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</row>
    <row r="280">
      <c r="A280" s="117"/>
      <c r="B280" s="117"/>
      <c r="C280" s="117"/>
      <c r="D280" s="117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</row>
    <row r="281">
      <c r="A281" s="117"/>
      <c r="B281" s="117"/>
      <c r="C281" s="117"/>
      <c r="D281" s="117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</row>
    <row r="282">
      <c r="A282" s="117"/>
      <c r="B282" s="117"/>
      <c r="C282" s="117"/>
      <c r="D282" s="117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</row>
    <row r="283">
      <c r="A283" s="117"/>
      <c r="B283" s="117"/>
      <c r="C283" s="117"/>
      <c r="D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</row>
    <row r="284">
      <c r="A284" s="117"/>
      <c r="B284" s="117"/>
      <c r="C284" s="117"/>
      <c r="D284" s="117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</row>
    <row r="285">
      <c r="A285" s="117"/>
      <c r="B285" s="117"/>
      <c r="C285" s="117"/>
      <c r="D285" s="117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</row>
    <row r="286">
      <c r="A286" s="117"/>
      <c r="B286" s="117"/>
      <c r="C286" s="117"/>
      <c r="D286" s="117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</row>
    <row r="287">
      <c r="A287" s="117"/>
      <c r="B287" s="117"/>
      <c r="C287" s="117"/>
      <c r="D287" s="117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</row>
    <row r="288">
      <c r="A288" s="117"/>
      <c r="B288" s="117"/>
      <c r="C288" s="117"/>
      <c r="D288" s="117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</row>
    <row r="289">
      <c r="A289" s="117"/>
      <c r="B289" s="117"/>
      <c r="C289" s="117"/>
      <c r="D289" s="117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</row>
    <row r="290">
      <c r="A290" s="117"/>
      <c r="B290" s="117"/>
      <c r="C290" s="117"/>
      <c r="D290" s="117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</row>
    <row r="291">
      <c r="A291" s="117"/>
      <c r="B291" s="117"/>
      <c r="C291" s="117"/>
      <c r="D291" s="117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</row>
    <row r="292">
      <c r="A292" s="117"/>
      <c r="B292" s="117"/>
      <c r="C292" s="117"/>
      <c r="D292" s="117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</row>
    <row r="293">
      <c r="A293" s="117"/>
      <c r="B293" s="117"/>
      <c r="C293" s="117"/>
      <c r="D293" s="117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</row>
    <row r="294">
      <c r="A294" s="117"/>
      <c r="B294" s="117"/>
      <c r="C294" s="117"/>
      <c r="D294" s="117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</row>
    <row r="295">
      <c r="A295" s="117"/>
      <c r="B295" s="117"/>
      <c r="C295" s="117"/>
      <c r="D295" s="117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</row>
    <row r="296">
      <c r="A296" s="117"/>
      <c r="B296" s="117"/>
      <c r="C296" s="117"/>
      <c r="D296" s="117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</row>
    <row r="297">
      <c r="A297" s="117"/>
      <c r="B297" s="117"/>
      <c r="C297" s="117"/>
      <c r="D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</row>
    <row r="298">
      <c r="A298" s="117"/>
      <c r="B298" s="117"/>
      <c r="C298" s="117"/>
      <c r="D298" s="117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</row>
    <row r="299">
      <c r="A299" s="117"/>
      <c r="B299" s="117"/>
      <c r="C299" s="117"/>
      <c r="D299" s="117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</row>
    <row r="300">
      <c r="A300" s="117"/>
      <c r="B300" s="117"/>
      <c r="C300" s="117"/>
      <c r="D300" s="117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</row>
    <row r="301">
      <c r="A301" s="117"/>
      <c r="B301" s="117"/>
      <c r="C301" s="117"/>
      <c r="D301" s="117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</row>
    <row r="302">
      <c r="A302" s="117"/>
      <c r="B302" s="117"/>
      <c r="C302" s="117"/>
      <c r="D302" s="117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</row>
    <row r="303">
      <c r="A303" s="117"/>
      <c r="B303" s="117"/>
      <c r="C303" s="117"/>
      <c r="D303" s="117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</row>
    <row r="304">
      <c r="A304" s="117"/>
      <c r="B304" s="117"/>
      <c r="C304" s="117"/>
      <c r="D304" s="117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</row>
    <row r="305">
      <c r="A305" s="117"/>
      <c r="B305" s="117"/>
      <c r="C305" s="117"/>
      <c r="D305" s="117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</row>
    <row r="306">
      <c r="A306" s="117"/>
      <c r="B306" s="117"/>
      <c r="C306" s="117"/>
      <c r="D306" s="117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</row>
    <row r="307">
      <c r="A307" s="117"/>
      <c r="B307" s="117"/>
      <c r="C307" s="117"/>
      <c r="D307" s="117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</row>
    <row r="308">
      <c r="A308" s="117"/>
      <c r="B308" s="117"/>
      <c r="C308" s="117"/>
      <c r="D308" s="117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</row>
    <row r="309">
      <c r="A309" s="117"/>
      <c r="B309" s="117"/>
      <c r="C309" s="117"/>
      <c r="D309" s="117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</row>
    <row r="310">
      <c r="A310" s="117"/>
      <c r="B310" s="117"/>
      <c r="C310" s="117"/>
      <c r="D310" s="117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</row>
    <row r="311">
      <c r="A311" s="117"/>
      <c r="B311" s="117"/>
      <c r="C311" s="117"/>
      <c r="D311" s="117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</row>
    <row r="312">
      <c r="A312" s="117"/>
      <c r="B312" s="117"/>
      <c r="C312" s="117"/>
      <c r="D312" s="117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</row>
    <row r="313">
      <c r="A313" s="117"/>
      <c r="B313" s="117"/>
      <c r="C313" s="117"/>
      <c r="D313" s="117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</row>
    <row r="314">
      <c r="A314" s="117"/>
      <c r="B314" s="117"/>
      <c r="C314" s="117"/>
      <c r="D314" s="117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</row>
    <row r="315">
      <c r="A315" s="117"/>
      <c r="B315" s="117"/>
      <c r="C315" s="117"/>
      <c r="D315" s="117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</row>
    <row r="316">
      <c r="A316" s="117"/>
      <c r="B316" s="117"/>
      <c r="C316" s="117"/>
      <c r="D316" s="117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</row>
    <row r="317">
      <c r="A317" s="117"/>
      <c r="B317" s="117"/>
      <c r="C317" s="117"/>
      <c r="D317" s="117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</row>
    <row r="318">
      <c r="A318" s="117"/>
      <c r="B318" s="117"/>
      <c r="C318" s="117"/>
      <c r="D318" s="117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</row>
    <row r="319">
      <c r="A319" s="117"/>
      <c r="B319" s="117"/>
      <c r="C319" s="117"/>
      <c r="D319" s="117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</row>
    <row r="320">
      <c r="A320" s="117"/>
      <c r="B320" s="117"/>
      <c r="C320" s="117"/>
      <c r="D320" s="117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</row>
    <row r="321">
      <c r="A321" s="117"/>
      <c r="B321" s="117"/>
      <c r="C321" s="117"/>
      <c r="D321" s="117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</row>
    <row r="322">
      <c r="A322" s="117"/>
      <c r="B322" s="117"/>
      <c r="C322" s="117"/>
      <c r="D322" s="117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</row>
    <row r="323">
      <c r="A323" s="117"/>
      <c r="B323" s="117"/>
      <c r="C323" s="117"/>
      <c r="D323" s="117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</row>
    <row r="324">
      <c r="A324" s="117"/>
      <c r="B324" s="117"/>
      <c r="C324" s="117"/>
      <c r="D324" s="117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</row>
    <row r="325">
      <c r="A325" s="117"/>
      <c r="B325" s="117"/>
      <c r="C325" s="117"/>
      <c r="D325" s="117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</row>
    <row r="326">
      <c r="A326" s="117"/>
      <c r="B326" s="117"/>
      <c r="C326" s="117"/>
      <c r="D326" s="117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</row>
    <row r="327">
      <c r="A327" s="117"/>
      <c r="B327" s="117"/>
      <c r="C327" s="117"/>
      <c r="D327" s="117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</row>
    <row r="328">
      <c r="A328" s="117"/>
      <c r="B328" s="117"/>
      <c r="C328" s="117"/>
      <c r="D328" s="117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</row>
    <row r="329">
      <c r="A329" s="117"/>
      <c r="B329" s="117"/>
      <c r="C329" s="117"/>
      <c r="D329" s="117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</row>
    <row r="330">
      <c r="A330" s="117"/>
      <c r="B330" s="117"/>
      <c r="C330" s="117"/>
      <c r="D330" s="117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</row>
    <row r="331">
      <c r="A331" s="117"/>
      <c r="B331" s="117"/>
      <c r="C331" s="117"/>
      <c r="D331" s="117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</row>
    <row r="332">
      <c r="A332" s="117"/>
      <c r="B332" s="117"/>
      <c r="C332" s="117"/>
      <c r="D332" s="117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</row>
    <row r="333">
      <c r="A333" s="117"/>
      <c r="B333" s="117"/>
      <c r="C333" s="117"/>
      <c r="D333" s="117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</row>
    <row r="334">
      <c r="A334" s="117"/>
      <c r="B334" s="117"/>
      <c r="C334" s="117"/>
      <c r="D334" s="117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</row>
    <row r="335">
      <c r="A335" s="117"/>
      <c r="B335" s="117"/>
      <c r="C335" s="117"/>
      <c r="D335" s="117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</row>
    <row r="336">
      <c r="A336" s="117"/>
      <c r="B336" s="117"/>
      <c r="C336" s="117"/>
      <c r="D336" s="117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</row>
    <row r="337">
      <c r="A337" s="117"/>
      <c r="B337" s="117"/>
      <c r="C337" s="117"/>
      <c r="D337" s="117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</row>
    <row r="338">
      <c r="A338" s="117"/>
      <c r="B338" s="117"/>
      <c r="C338" s="117"/>
      <c r="D338" s="117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</row>
    <row r="339">
      <c r="A339" s="117"/>
      <c r="B339" s="117"/>
      <c r="C339" s="117"/>
      <c r="D339" s="117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</row>
    <row r="340">
      <c r="A340" s="117"/>
      <c r="B340" s="117"/>
      <c r="C340" s="117"/>
      <c r="D340" s="117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</row>
    <row r="341">
      <c r="A341" s="117"/>
      <c r="B341" s="117"/>
      <c r="C341" s="117"/>
      <c r="D341" s="117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</row>
    <row r="342">
      <c r="A342" s="117"/>
      <c r="B342" s="117"/>
      <c r="C342" s="117"/>
      <c r="D342" s="117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</row>
    <row r="343">
      <c r="A343" s="117"/>
      <c r="B343" s="117"/>
      <c r="C343" s="117"/>
      <c r="D343" s="117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</row>
    <row r="344">
      <c r="A344" s="117"/>
      <c r="B344" s="117"/>
      <c r="C344" s="117"/>
      <c r="D344" s="117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</row>
    <row r="345">
      <c r="A345" s="117"/>
      <c r="B345" s="117"/>
      <c r="C345" s="117"/>
      <c r="D345" s="117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</row>
    <row r="346">
      <c r="A346" s="117"/>
      <c r="B346" s="117"/>
      <c r="C346" s="117"/>
      <c r="D346" s="117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</row>
    <row r="347">
      <c r="A347" s="117"/>
      <c r="B347" s="117"/>
      <c r="C347" s="117"/>
      <c r="D347" s="117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</row>
    <row r="348">
      <c r="A348" s="117"/>
      <c r="B348" s="117"/>
      <c r="C348" s="117"/>
      <c r="D348" s="117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</row>
    <row r="349">
      <c r="A349" s="117"/>
      <c r="B349" s="117"/>
      <c r="C349" s="117"/>
      <c r="D349" s="117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</row>
    <row r="350">
      <c r="A350" s="117"/>
      <c r="B350" s="117"/>
      <c r="C350" s="117"/>
      <c r="D350" s="117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</row>
    <row r="351">
      <c r="A351" s="117"/>
      <c r="B351" s="117"/>
      <c r="C351" s="117"/>
      <c r="D351" s="117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</row>
    <row r="352">
      <c r="A352" s="117"/>
      <c r="B352" s="117"/>
      <c r="C352" s="117"/>
      <c r="D352" s="117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</row>
    <row r="353">
      <c r="A353" s="117"/>
      <c r="B353" s="117"/>
      <c r="C353" s="117"/>
      <c r="D353" s="117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</row>
    <row r="354">
      <c r="A354" s="117"/>
      <c r="B354" s="117"/>
      <c r="C354" s="117"/>
      <c r="D354" s="117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</row>
    <row r="355">
      <c r="A355" s="117"/>
      <c r="B355" s="117"/>
      <c r="C355" s="117"/>
      <c r="D355" s="117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</row>
    <row r="356">
      <c r="A356" s="117"/>
      <c r="B356" s="117"/>
      <c r="C356" s="117"/>
      <c r="D356" s="117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</row>
    <row r="357">
      <c r="A357" s="117"/>
      <c r="B357" s="117"/>
      <c r="C357" s="117"/>
      <c r="D357" s="117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</row>
    <row r="358">
      <c r="A358" s="117"/>
      <c r="B358" s="117"/>
      <c r="C358" s="117"/>
      <c r="D358" s="117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</row>
    <row r="359">
      <c r="A359" s="117"/>
      <c r="B359" s="117"/>
      <c r="C359" s="117"/>
      <c r="D359" s="117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</row>
    <row r="360">
      <c r="A360" s="117"/>
      <c r="B360" s="117"/>
      <c r="C360" s="117"/>
      <c r="D360" s="117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</row>
    <row r="361">
      <c r="A361" s="117"/>
      <c r="B361" s="117"/>
      <c r="C361" s="117"/>
      <c r="D361" s="117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</row>
    <row r="362">
      <c r="A362" s="117"/>
      <c r="B362" s="117"/>
      <c r="C362" s="117"/>
      <c r="D362" s="117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</row>
    <row r="363">
      <c r="A363" s="117"/>
      <c r="B363" s="117"/>
      <c r="C363" s="117"/>
      <c r="D363" s="117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</row>
    <row r="364">
      <c r="A364" s="117"/>
      <c r="B364" s="117"/>
      <c r="C364" s="117"/>
      <c r="D364" s="117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</row>
    <row r="365">
      <c r="A365" s="117"/>
      <c r="B365" s="117"/>
      <c r="C365" s="117"/>
      <c r="D365" s="117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</row>
    <row r="366">
      <c r="A366" s="117"/>
      <c r="B366" s="117"/>
      <c r="C366" s="117"/>
      <c r="D366" s="117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</row>
    <row r="367">
      <c r="A367" s="117"/>
      <c r="B367" s="117"/>
      <c r="C367" s="117"/>
      <c r="D367" s="117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</row>
    <row r="368">
      <c r="A368" s="117"/>
      <c r="B368" s="117"/>
      <c r="C368" s="117"/>
      <c r="D368" s="117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</row>
    <row r="369">
      <c r="A369" s="117"/>
      <c r="B369" s="117"/>
      <c r="C369" s="117"/>
      <c r="D369" s="117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</row>
    <row r="370">
      <c r="A370" s="117"/>
      <c r="B370" s="117"/>
      <c r="C370" s="117"/>
      <c r="D370" s="117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</row>
    <row r="371">
      <c r="A371" s="117"/>
      <c r="B371" s="117"/>
      <c r="C371" s="117"/>
      <c r="D371" s="117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</row>
    <row r="372">
      <c r="A372" s="117"/>
      <c r="B372" s="117"/>
      <c r="C372" s="117"/>
      <c r="D372" s="117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</row>
    <row r="373">
      <c r="A373" s="117"/>
      <c r="B373" s="117"/>
      <c r="C373" s="117"/>
      <c r="D373" s="117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</row>
    <row r="374">
      <c r="A374" s="117"/>
      <c r="B374" s="117"/>
      <c r="C374" s="117"/>
      <c r="D374" s="117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</row>
    <row r="375">
      <c r="A375" s="117"/>
      <c r="B375" s="117"/>
      <c r="C375" s="117"/>
      <c r="D375" s="117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</row>
    <row r="376">
      <c r="A376" s="117"/>
      <c r="B376" s="117"/>
      <c r="C376" s="117"/>
      <c r="D376" s="117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</row>
    <row r="377">
      <c r="A377" s="117"/>
      <c r="B377" s="117"/>
      <c r="C377" s="117"/>
      <c r="D377" s="117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</row>
    <row r="378">
      <c r="A378" s="117"/>
      <c r="B378" s="117"/>
      <c r="C378" s="117"/>
      <c r="D378" s="117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</row>
    <row r="379">
      <c r="A379" s="117"/>
      <c r="B379" s="117"/>
      <c r="C379" s="117"/>
      <c r="D379" s="117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</row>
    <row r="380">
      <c r="A380" s="117"/>
      <c r="B380" s="117"/>
      <c r="C380" s="117"/>
      <c r="D380" s="117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</row>
    <row r="381">
      <c r="A381" s="117"/>
      <c r="B381" s="117"/>
      <c r="C381" s="117"/>
      <c r="D381" s="117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</row>
    <row r="382">
      <c r="A382" s="117"/>
      <c r="B382" s="117"/>
      <c r="C382" s="117"/>
      <c r="D382" s="117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</row>
    <row r="383">
      <c r="A383" s="117"/>
      <c r="B383" s="117"/>
      <c r="C383" s="117"/>
      <c r="D383" s="117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</row>
    <row r="384">
      <c r="A384" s="117"/>
      <c r="B384" s="117"/>
      <c r="C384" s="117"/>
      <c r="D384" s="117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</row>
    <row r="385">
      <c r="A385" s="117"/>
      <c r="B385" s="117"/>
      <c r="C385" s="117"/>
      <c r="D385" s="117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</row>
    <row r="386">
      <c r="A386" s="117"/>
      <c r="B386" s="117"/>
      <c r="C386" s="117"/>
      <c r="D386" s="117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</row>
    <row r="387">
      <c r="A387" s="117"/>
      <c r="B387" s="117"/>
      <c r="C387" s="117"/>
      <c r="D387" s="117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</row>
    <row r="388">
      <c r="A388" s="117"/>
      <c r="B388" s="117"/>
      <c r="C388" s="117"/>
      <c r="D388" s="117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</row>
    <row r="389">
      <c r="A389" s="117"/>
      <c r="B389" s="117"/>
      <c r="C389" s="117"/>
      <c r="D389" s="117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</row>
    <row r="390">
      <c r="A390" s="117"/>
      <c r="B390" s="117"/>
      <c r="C390" s="117"/>
      <c r="D390" s="117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</row>
    <row r="391">
      <c r="A391" s="117"/>
      <c r="B391" s="117"/>
      <c r="C391" s="117"/>
      <c r="D391" s="117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</row>
    <row r="392">
      <c r="A392" s="117"/>
      <c r="B392" s="117"/>
      <c r="C392" s="117"/>
      <c r="D392" s="117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</row>
    <row r="393">
      <c r="A393" s="117"/>
      <c r="B393" s="117"/>
      <c r="C393" s="117"/>
      <c r="D393" s="117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</row>
    <row r="394">
      <c r="A394" s="117"/>
      <c r="B394" s="117"/>
      <c r="C394" s="117"/>
      <c r="D394" s="117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</row>
    <row r="395">
      <c r="A395" s="117"/>
      <c r="B395" s="117"/>
      <c r="C395" s="117"/>
      <c r="D395" s="117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</row>
    <row r="396">
      <c r="A396" s="117"/>
      <c r="B396" s="117"/>
      <c r="C396" s="117"/>
      <c r="D396" s="117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</row>
    <row r="397">
      <c r="A397" s="117"/>
      <c r="B397" s="117"/>
      <c r="C397" s="117"/>
      <c r="D397" s="117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</row>
    <row r="398">
      <c r="A398" s="117"/>
      <c r="B398" s="117"/>
      <c r="C398" s="117"/>
      <c r="D398" s="117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</row>
    <row r="399">
      <c r="A399" s="117"/>
      <c r="B399" s="117"/>
      <c r="C399" s="117"/>
      <c r="D399" s="117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</row>
    <row r="400">
      <c r="A400" s="117"/>
      <c r="B400" s="117"/>
      <c r="C400" s="117"/>
      <c r="D400" s="117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</row>
    <row r="401">
      <c r="A401" s="117"/>
      <c r="B401" s="117"/>
      <c r="C401" s="117"/>
      <c r="D401" s="117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</row>
    <row r="402">
      <c r="A402" s="117"/>
      <c r="B402" s="117"/>
      <c r="C402" s="117"/>
      <c r="D402" s="117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</row>
    <row r="403">
      <c r="A403" s="117"/>
      <c r="B403" s="117"/>
      <c r="C403" s="117"/>
      <c r="D403" s="117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</row>
    <row r="404">
      <c r="A404" s="117"/>
      <c r="B404" s="117"/>
      <c r="C404" s="117"/>
      <c r="D404" s="117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</row>
    <row r="405">
      <c r="A405" s="117"/>
      <c r="B405" s="117"/>
      <c r="C405" s="117"/>
      <c r="D405" s="117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</row>
    <row r="406">
      <c r="A406" s="117"/>
      <c r="B406" s="117"/>
      <c r="C406" s="117"/>
      <c r="D406" s="117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</row>
    <row r="407">
      <c r="A407" s="117"/>
      <c r="B407" s="117"/>
      <c r="C407" s="117"/>
      <c r="D407" s="117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</row>
    <row r="408">
      <c r="A408" s="117"/>
      <c r="B408" s="117"/>
      <c r="C408" s="117"/>
      <c r="D408" s="117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</row>
    <row r="409">
      <c r="A409" s="117"/>
      <c r="B409" s="117"/>
      <c r="C409" s="117"/>
      <c r="D409" s="117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</row>
    <row r="410">
      <c r="A410" s="117"/>
      <c r="B410" s="117"/>
      <c r="C410" s="117"/>
      <c r="D410" s="117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</row>
    <row r="411">
      <c r="A411" s="117"/>
      <c r="B411" s="117"/>
      <c r="C411" s="117"/>
      <c r="D411" s="117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</row>
    <row r="412">
      <c r="A412" s="117"/>
      <c r="B412" s="117"/>
      <c r="C412" s="117"/>
      <c r="D412" s="117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</row>
    <row r="413">
      <c r="A413" s="117"/>
      <c r="B413" s="117"/>
      <c r="C413" s="117"/>
      <c r="D413" s="117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</row>
    <row r="414">
      <c r="A414" s="117"/>
      <c r="B414" s="117"/>
      <c r="C414" s="117"/>
      <c r="D414" s="117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</row>
    <row r="415">
      <c r="A415" s="117"/>
      <c r="B415" s="117"/>
      <c r="C415" s="117"/>
      <c r="D415" s="117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</row>
    <row r="416">
      <c r="A416" s="117"/>
      <c r="B416" s="117"/>
      <c r="C416" s="117"/>
      <c r="D416" s="117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</row>
    <row r="417">
      <c r="A417" s="117"/>
      <c r="B417" s="117"/>
      <c r="C417" s="117"/>
      <c r="D417" s="117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</row>
    <row r="418">
      <c r="A418" s="117"/>
      <c r="B418" s="117"/>
      <c r="C418" s="117"/>
      <c r="D418" s="117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</row>
    <row r="419">
      <c r="A419" s="117"/>
      <c r="B419" s="117"/>
      <c r="C419" s="117"/>
      <c r="D419" s="117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</row>
    <row r="420">
      <c r="A420" s="117"/>
      <c r="B420" s="117"/>
      <c r="C420" s="117"/>
      <c r="D420" s="117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</row>
    <row r="421">
      <c r="A421" s="117"/>
      <c r="B421" s="117"/>
      <c r="C421" s="117"/>
      <c r="D421" s="117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</row>
    <row r="422">
      <c r="A422" s="117"/>
      <c r="B422" s="117"/>
      <c r="C422" s="117"/>
      <c r="D422" s="117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</row>
    <row r="423">
      <c r="A423" s="117"/>
      <c r="B423" s="117"/>
      <c r="C423" s="117"/>
      <c r="D423" s="117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</row>
    <row r="424">
      <c r="A424" s="117"/>
      <c r="B424" s="117"/>
      <c r="C424" s="117"/>
      <c r="D424" s="117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</row>
    <row r="425">
      <c r="A425" s="117"/>
      <c r="B425" s="117"/>
      <c r="C425" s="117"/>
      <c r="D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</row>
    <row r="426">
      <c r="A426" s="117"/>
      <c r="B426" s="117"/>
      <c r="C426" s="117"/>
      <c r="D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</row>
    <row r="427">
      <c r="A427" s="117"/>
      <c r="B427" s="117"/>
      <c r="C427" s="117"/>
      <c r="D427" s="117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</row>
    <row r="428">
      <c r="A428" s="117"/>
      <c r="B428" s="117"/>
      <c r="C428" s="117"/>
      <c r="D428" s="117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</row>
    <row r="429">
      <c r="A429" s="117"/>
      <c r="B429" s="117"/>
      <c r="C429" s="117"/>
      <c r="D429" s="117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</row>
    <row r="430">
      <c r="A430" s="117"/>
      <c r="B430" s="117"/>
      <c r="C430" s="117"/>
      <c r="D430" s="117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</row>
    <row r="431">
      <c r="A431" s="117"/>
      <c r="B431" s="117"/>
      <c r="C431" s="117"/>
      <c r="D431" s="117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</row>
    <row r="432">
      <c r="A432" s="117"/>
      <c r="B432" s="117"/>
      <c r="C432" s="117"/>
      <c r="D432" s="117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</row>
    <row r="433">
      <c r="A433" s="117"/>
      <c r="B433" s="117"/>
      <c r="C433" s="117"/>
      <c r="D433" s="117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</row>
    <row r="434">
      <c r="A434" s="117"/>
      <c r="B434" s="117"/>
      <c r="C434" s="117"/>
      <c r="D434" s="117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</row>
    <row r="435">
      <c r="A435" s="117"/>
      <c r="B435" s="117"/>
      <c r="C435" s="117"/>
      <c r="D435" s="117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</row>
    <row r="436">
      <c r="A436" s="117"/>
      <c r="B436" s="117"/>
      <c r="C436" s="117"/>
      <c r="D436" s="117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</row>
    <row r="437">
      <c r="A437" s="117"/>
      <c r="B437" s="117"/>
      <c r="C437" s="117"/>
      <c r="D437" s="117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</row>
    <row r="438">
      <c r="A438" s="117"/>
      <c r="B438" s="117"/>
      <c r="C438" s="117"/>
      <c r="D438" s="117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</row>
    <row r="439">
      <c r="A439" s="117"/>
      <c r="B439" s="117"/>
      <c r="C439" s="117"/>
      <c r="D439" s="117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</row>
    <row r="440">
      <c r="A440" s="117"/>
      <c r="B440" s="117"/>
      <c r="C440" s="117"/>
      <c r="D440" s="117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</row>
    <row r="441">
      <c r="A441" s="117"/>
      <c r="B441" s="117"/>
      <c r="C441" s="117"/>
      <c r="D441" s="117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</row>
    <row r="442">
      <c r="A442" s="117"/>
      <c r="B442" s="117"/>
      <c r="C442" s="117"/>
      <c r="D442" s="117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</row>
    <row r="443">
      <c r="A443" s="117"/>
      <c r="B443" s="117"/>
      <c r="C443" s="117"/>
      <c r="D443" s="117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</row>
    <row r="444">
      <c r="A444" s="117"/>
      <c r="B444" s="117"/>
      <c r="C444" s="117"/>
      <c r="D444" s="117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</row>
    <row r="445">
      <c r="A445" s="117"/>
      <c r="B445" s="117"/>
      <c r="C445" s="117"/>
      <c r="D445" s="117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</row>
    <row r="446">
      <c r="A446" s="117"/>
      <c r="B446" s="117"/>
      <c r="C446" s="117"/>
      <c r="D446" s="117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</row>
    <row r="447">
      <c r="A447" s="117"/>
      <c r="B447" s="117"/>
      <c r="C447" s="117"/>
      <c r="D447" s="117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</row>
    <row r="448">
      <c r="A448" s="117"/>
      <c r="B448" s="117"/>
      <c r="C448" s="117"/>
      <c r="D448" s="117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</row>
    <row r="449">
      <c r="A449" s="117"/>
      <c r="B449" s="117"/>
      <c r="C449" s="117"/>
      <c r="D449" s="117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</row>
    <row r="450">
      <c r="A450" s="117"/>
      <c r="B450" s="117"/>
      <c r="C450" s="117"/>
      <c r="D450" s="117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</row>
    <row r="451">
      <c r="A451" s="117"/>
      <c r="B451" s="117"/>
      <c r="C451" s="117"/>
      <c r="D451" s="117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</row>
    <row r="452">
      <c r="A452" s="117"/>
      <c r="B452" s="117"/>
      <c r="C452" s="117"/>
      <c r="D452" s="117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</row>
    <row r="453">
      <c r="A453" s="117"/>
      <c r="B453" s="117"/>
      <c r="C453" s="117"/>
      <c r="D453" s="117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</row>
    <row r="454">
      <c r="A454" s="117"/>
      <c r="B454" s="117"/>
      <c r="C454" s="117"/>
      <c r="D454" s="117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</row>
    <row r="455">
      <c r="A455" s="117"/>
      <c r="B455" s="117"/>
      <c r="C455" s="117"/>
      <c r="D455" s="117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</row>
    <row r="456">
      <c r="A456" s="117"/>
      <c r="B456" s="117"/>
      <c r="C456" s="117"/>
      <c r="D456" s="117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</row>
    <row r="457">
      <c r="A457" s="117"/>
      <c r="B457" s="117"/>
      <c r="C457" s="117"/>
      <c r="D457" s="117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</row>
    <row r="458">
      <c r="A458" s="117"/>
      <c r="B458" s="117"/>
      <c r="C458" s="117"/>
      <c r="D458" s="117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</row>
    <row r="459">
      <c r="A459" s="117"/>
      <c r="B459" s="117"/>
      <c r="C459" s="117"/>
      <c r="D459" s="117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</row>
    <row r="460">
      <c r="A460" s="117"/>
      <c r="B460" s="117"/>
      <c r="C460" s="117"/>
      <c r="D460" s="117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</row>
    <row r="461">
      <c r="A461" s="117"/>
      <c r="B461" s="117"/>
      <c r="C461" s="117"/>
      <c r="D461" s="117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</row>
    <row r="462">
      <c r="A462" s="117"/>
      <c r="B462" s="117"/>
      <c r="C462" s="117"/>
      <c r="D462" s="117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</row>
    <row r="463">
      <c r="A463" s="117"/>
      <c r="B463" s="117"/>
      <c r="C463" s="117"/>
      <c r="D463" s="117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</row>
    <row r="464">
      <c r="A464" s="117"/>
      <c r="B464" s="117"/>
      <c r="C464" s="117"/>
      <c r="D464" s="117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</row>
    <row r="465">
      <c r="A465" s="117"/>
      <c r="B465" s="117"/>
      <c r="C465" s="117"/>
      <c r="D465" s="117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</row>
    <row r="466">
      <c r="A466" s="117"/>
      <c r="B466" s="117"/>
      <c r="C466" s="117"/>
      <c r="D466" s="117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</row>
    <row r="467">
      <c r="A467" s="117"/>
      <c r="B467" s="117"/>
      <c r="C467" s="117"/>
      <c r="D467" s="117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</row>
    <row r="468">
      <c r="A468" s="117"/>
      <c r="B468" s="117"/>
      <c r="C468" s="117"/>
      <c r="D468" s="117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</row>
    <row r="469">
      <c r="A469" s="117"/>
      <c r="B469" s="117"/>
      <c r="C469" s="117"/>
      <c r="D469" s="117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</row>
    <row r="470">
      <c r="A470" s="117"/>
      <c r="B470" s="117"/>
      <c r="C470" s="117"/>
      <c r="D470" s="117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</row>
    <row r="471">
      <c r="A471" s="117"/>
      <c r="B471" s="117"/>
      <c r="C471" s="117"/>
      <c r="D471" s="117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</row>
    <row r="472">
      <c r="A472" s="117"/>
      <c r="B472" s="117"/>
      <c r="C472" s="117"/>
      <c r="D472" s="117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</row>
    <row r="473">
      <c r="A473" s="117"/>
      <c r="B473" s="117"/>
      <c r="C473" s="117"/>
      <c r="D473" s="117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</row>
    <row r="474">
      <c r="A474" s="117"/>
      <c r="B474" s="117"/>
      <c r="C474" s="117"/>
      <c r="D474" s="117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</row>
    <row r="475">
      <c r="A475" s="117"/>
      <c r="B475" s="117"/>
      <c r="C475" s="117"/>
      <c r="D475" s="117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</row>
    <row r="476">
      <c r="A476" s="117"/>
      <c r="B476" s="117"/>
      <c r="C476" s="117"/>
      <c r="D476" s="117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</row>
    <row r="477">
      <c r="A477" s="117"/>
      <c r="B477" s="117"/>
      <c r="C477" s="117"/>
      <c r="D477" s="117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</row>
    <row r="478">
      <c r="A478" s="117"/>
      <c r="B478" s="117"/>
      <c r="C478" s="117"/>
      <c r="D478" s="117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</row>
    <row r="479">
      <c r="A479" s="117"/>
      <c r="B479" s="117"/>
      <c r="C479" s="117"/>
      <c r="D479" s="117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</row>
    <row r="480">
      <c r="A480" s="117"/>
      <c r="B480" s="117"/>
      <c r="C480" s="117"/>
      <c r="D480" s="117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</row>
    <row r="481">
      <c r="A481" s="117"/>
      <c r="B481" s="117"/>
      <c r="C481" s="117"/>
      <c r="D481" s="117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</row>
    <row r="482">
      <c r="A482" s="117"/>
      <c r="B482" s="117"/>
      <c r="C482" s="117"/>
      <c r="D482" s="117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</row>
    <row r="483">
      <c r="A483" s="117"/>
      <c r="B483" s="117"/>
      <c r="C483" s="117"/>
      <c r="D483" s="117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</row>
    <row r="484">
      <c r="A484" s="117"/>
      <c r="B484" s="117"/>
      <c r="C484" s="117"/>
      <c r="D484" s="117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</row>
    <row r="485">
      <c r="A485" s="117"/>
      <c r="B485" s="117"/>
      <c r="C485" s="117"/>
      <c r="D485" s="117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</row>
    <row r="486">
      <c r="A486" s="117"/>
      <c r="B486" s="117"/>
      <c r="C486" s="117"/>
      <c r="D486" s="117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</row>
    <row r="487">
      <c r="A487" s="117"/>
      <c r="B487" s="117"/>
      <c r="C487" s="117"/>
      <c r="D487" s="117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</row>
    <row r="488">
      <c r="A488" s="117"/>
      <c r="B488" s="117"/>
      <c r="C488" s="117"/>
      <c r="D488" s="117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</row>
    <row r="489">
      <c r="A489" s="117"/>
      <c r="B489" s="117"/>
      <c r="C489" s="117"/>
      <c r="D489" s="117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</row>
    <row r="490">
      <c r="A490" s="117"/>
      <c r="B490" s="117"/>
      <c r="C490" s="117"/>
      <c r="D490" s="117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</row>
    <row r="491">
      <c r="A491" s="117"/>
      <c r="B491" s="117"/>
      <c r="C491" s="117"/>
      <c r="D491" s="117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</row>
    <row r="492">
      <c r="A492" s="117"/>
      <c r="B492" s="117"/>
      <c r="C492" s="117"/>
      <c r="D492" s="117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</row>
    <row r="493">
      <c r="A493" s="117"/>
      <c r="B493" s="117"/>
      <c r="C493" s="117"/>
      <c r="D493" s="117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</row>
    <row r="494">
      <c r="A494" s="117"/>
      <c r="B494" s="117"/>
      <c r="C494" s="117"/>
      <c r="D494" s="117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</row>
    <row r="495">
      <c r="A495" s="117"/>
      <c r="B495" s="117"/>
      <c r="C495" s="117"/>
      <c r="D495" s="117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</row>
    <row r="496">
      <c r="A496" s="117"/>
      <c r="B496" s="117"/>
      <c r="C496" s="117"/>
      <c r="D496" s="117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</row>
    <row r="497">
      <c r="A497" s="117"/>
      <c r="B497" s="117"/>
      <c r="C497" s="117"/>
      <c r="D497" s="117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</row>
    <row r="498">
      <c r="A498" s="117"/>
      <c r="B498" s="117"/>
      <c r="C498" s="117"/>
      <c r="D498" s="117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</row>
    <row r="499">
      <c r="A499" s="117"/>
      <c r="B499" s="117"/>
      <c r="C499" s="117"/>
      <c r="D499" s="117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</row>
    <row r="500">
      <c r="A500" s="117"/>
      <c r="B500" s="117"/>
      <c r="C500" s="117"/>
      <c r="D500" s="117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</row>
    <row r="501">
      <c r="A501" s="117"/>
      <c r="B501" s="117"/>
      <c r="C501" s="117"/>
      <c r="D501" s="117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</row>
    <row r="502">
      <c r="A502" s="117"/>
      <c r="B502" s="117"/>
      <c r="C502" s="117"/>
      <c r="D502" s="117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</row>
    <row r="503">
      <c r="A503" s="117"/>
      <c r="B503" s="117"/>
      <c r="C503" s="117"/>
      <c r="D503" s="117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</row>
    <row r="504">
      <c r="A504" s="117"/>
      <c r="B504" s="117"/>
      <c r="C504" s="117"/>
      <c r="D504" s="117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</row>
    <row r="505">
      <c r="A505" s="117"/>
      <c r="B505" s="117"/>
      <c r="C505" s="117"/>
      <c r="D505" s="117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</row>
    <row r="506">
      <c r="A506" s="117"/>
      <c r="B506" s="117"/>
      <c r="C506" s="117"/>
      <c r="D506" s="117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</row>
    <row r="507">
      <c r="A507" s="117"/>
      <c r="B507" s="117"/>
      <c r="C507" s="117"/>
      <c r="D507" s="117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</row>
    <row r="508">
      <c r="A508" s="117"/>
      <c r="B508" s="117"/>
      <c r="C508" s="117"/>
      <c r="D508" s="117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</row>
    <row r="509">
      <c r="A509" s="117"/>
      <c r="B509" s="117"/>
      <c r="C509" s="117"/>
      <c r="D509" s="117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</row>
    <row r="510">
      <c r="A510" s="117"/>
      <c r="B510" s="117"/>
      <c r="C510" s="117"/>
      <c r="D510" s="117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</row>
    <row r="511">
      <c r="A511" s="117"/>
      <c r="B511" s="117"/>
      <c r="C511" s="117"/>
      <c r="D511" s="117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</row>
    <row r="512">
      <c r="A512" s="117"/>
      <c r="B512" s="117"/>
      <c r="C512" s="117"/>
      <c r="D512" s="117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</row>
    <row r="513">
      <c r="A513" s="117"/>
      <c r="B513" s="117"/>
      <c r="C513" s="117"/>
      <c r="D513" s="117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</row>
    <row r="514">
      <c r="A514" s="117"/>
      <c r="B514" s="117"/>
      <c r="C514" s="117"/>
      <c r="D514" s="117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</row>
    <row r="515">
      <c r="A515" s="117"/>
      <c r="B515" s="117"/>
      <c r="C515" s="117"/>
      <c r="D515" s="117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</row>
    <row r="516">
      <c r="A516" s="117"/>
      <c r="B516" s="117"/>
      <c r="C516" s="117"/>
      <c r="D516" s="117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</row>
    <row r="517">
      <c r="A517" s="117"/>
      <c r="B517" s="117"/>
      <c r="C517" s="117"/>
      <c r="D517" s="117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</row>
    <row r="518">
      <c r="A518" s="117"/>
      <c r="B518" s="117"/>
      <c r="C518" s="117"/>
      <c r="D518" s="117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</row>
    <row r="519">
      <c r="A519" s="117"/>
      <c r="B519" s="117"/>
      <c r="C519" s="117"/>
      <c r="D519" s="117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</row>
    <row r="520">
      <c r="A520" s="117"/>
      <c r="B520" s="117"/>
      <c r="C520" s="117"/>
      <c r="D520" s="117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</row>
    <row r="521">
      <c r="A521" s="117"/>
      <c r="B521" s="117"/>
      <c r="C521" s="117"/>
      <c r="D521" s="117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</row>
    <row r="522">
      <c r="A522" s="117"/>
      <c r="B522" s="117"/>
      <c r="C522" s="117"/>
      <c r="D522" s="117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</row>
    <row r="523">
      <c r="A523" s="117"/>
      <c r="B523" s="117"/>
      <c r="C523" s="117"/>
      <c r="D523" s="117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</row>
    <row r="524">
      <c r="A524" s="117"/>
      <c r="B524" s="117"/>
      <c r="C524" s="117"/>
      <c r="D524" s="117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</row>
    <row r="525">
      <c r="A525" s="117"/>
      <c r="B525" s="117"/>
      <c r="C525" s="117"/>
      <c r="D525" s="117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</row>
    <row r="526">
      <c r="A526" s="117"/>
      <c r="B526" s="117"/>
      <c r="C526" s="117"/>
      <c r="D526" s="117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</row>
    <row r="527">
      <c r="A527" s="117"/>
      <c r="B527" s="117"/>
      <c r="C527" s="117"/>
      <c r="D527" s="117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</row>
    <row r="528">
      <c r="A528" s="117"/>
      <c r="B528" s="117"/>
      <c r="C528" s="117"/>
      <c r="D528" s="117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</row>
    <row r="529">
      <c r="A529" s="117"/>
      <c r="B529" s="117"/>
      <c r="C529" s="117"/>
      <c r="D529" s="117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</row>
    <row r="530">
      <c r="A530" s="117"/>
      <c r="B530" s="117"/>
      <c r="C530" s="117"/>
      <c r="D530" s="117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</row>
    <row r="531">
      <c r="A531" s="117"/>
      <c r="B531" s="117"/>
      <c r="C531" s="117"/>
      <c r="D531" s="117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</row>
    <row r="532">
      <c r="A532" s="117"/>
      <c r="B532" s="117"/>
      <c r="C532" s="117"/>
      <c r="D532" s="117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</row>
    <row r="533">
      <c r="A533" s="117"/>
      <c r="B533" s="117"/>
      <c r="C533" s="117"/>
      <c r="D533" s="117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</row>
    <row r="534">
      <c r="A534" s="117"/>
      <c r="B534" s="117"/>
      <c r="C534" s="117"/>
      <c r="D534" s="117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</row>
    <row r="535">
      <c r="A535" s="117"/>
      <c r="B535" s="117"/>
      <c r="C535" s="117"/>
      <c r="D535" s="117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</row>
    <row r="536">
      <c r="A536" s="117"/>
      <c r="B536" s="117"/>
      <c r="C536" s="117"/>
      <c r="D536" s="117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</row>
    <row r="537">
      <c r="A537" s="117"/>
      <c r="B537" s="117"/>
      <c r="C537" s="117"/>
      <c r="D537" s="117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</row>
    <row r="538">
      <c r="A538" s="117"/>
      <c r="B538" s="117"/>
      <c r="C538" s="117"/>
      <c r="D538" s="117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</row>
    <row r="539">
      <c r="A539" s="117"/>
      <c r="B539" s="117"/>
      <c r="C539" s="117"/>
      <c r="D539" s="117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</row>
    <row r="540">
      <c r="A540" s="117"/>
      <c r="B540" s="117"/>
      <c r="C540" s="117"/>
      <c r="D540" s="117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</row>
    <row r="541">
      <c r="A541" s="117"/>
      <c r="B541" s="117"/>
      <c r="C541" s="117"/>
      <c r="D541" s="117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</row>
    <row r="542">
      <c r="A542" s="117"/>
      <c r="B542" s="117"/>
      <c r="C542" s="117"/>
      <c r="D542" s="117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</row>
    <row r="543">
      <c r="A543" s="117"/>
      <c r="B543" s="117"/>
      <c r="C543" s="117"/>
      <c r="D543" s="117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</row>
    <row r="544">
      <c r="A544" s="117"/>
      <c r="B544" s="117"/>
      <c r="C544" s="117"/>
      <c r="D544" s="117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</row>
    <row r="545">
      <c r="A545" s="117"/>
      <c r="B545" s="117"/>
      <c r="C545" s="117"/>
      <c r="D545" s="117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</row>
    <row r="546">
      <c r="A546" s="117"/>
      <c r="B546" s="117"/>
      <c r="C546" s="117"/>
      <c r="D546" s="117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</row>
    <row r="547">
      <c r="A547" s="117"/>
      <c r="B547" s="117"/>
      <c r="C547" s="117"/>
      <c r="D547" s="117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</row>
    <row r="548">
      <c r="A548" s="117"/>
      <c r="B548" s="117"/>
      <c r="C548" s="117"/>
      <c r="D548" s="117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</row>
    <row r="549">
      <c r="A549" s="117"/>
      <c r="B549" s="117"/>
      <c r="C549" s="117"/>
      <c r="D549" s="117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</row>
    <row r="550">
      <c r="A550" s="117"/>
      <c r="B550" s="117"/>
      <c r="C550" s="117"/>
      <c r="D550" s="117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</row>
    <row r="551">
      <c r="A551" s="117"/>
      <c r="B551" s="117"/>
      <c r="C551" s="117"/>
      <c r="D551" s="117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</row>
    <row r="552">
      <c r="A552" s="117"/>
      <c r="B552" s="117"/>
      <c r="C552" s="117"/>
      <c r="D552" s="117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</row>
    <row r="553">
      <c r="A553" s="117"/>
      <c r="B553" s="117"/>
      <c r="C553" s="117"/>
      <c r="D553" s="117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</row>
    <row r="554">
      <c r="A554" s="117"/>
      <c r="B554" s="117"/>
      <c r="C554" s="117"/>
      <c r="D554" s="117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</row>
    <row r="555">
      <c r="A555" s="117"/>
      <c r="B555" s="117"/>
      <c r="C555" s="117"/>
      <c r="D555" s="117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</row>
    <row r="556">
      <c r="A556" s="117"/>
      <c r="B556" s="117"/>
      <c r="C556" s="117"/>
      <c r="D556" s="117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</row>
    <row r="557">
      <c r="A557" s="117"/>
      <c r="B557" s="117"/>
      <c r="C557" s="117"/>
      <c r="D557" s="117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</row>
    <row r="558">
      <c r="A558" s="117"/>
      <c r="B558" s="117"/>
      <c r="C558" s="117"/>
      <c r="D558" s="117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</row>
    <row r="559">
      <c r="A559" s="117"/>
      <c r="B559" s="117"/>
      <c r="C559" s="117"/>
      <c r="D559" s="117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</row>
    <row r="560">
      <c r="A560" s="117"/>
      <c r="B560" s="117"/>
      <c r="C560" s="117"/>
      <c r="D560" s="117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</row>
    <row r="561">
      <c r="A561" s="117"/>
      <c r="B561" s="117"/>
      <c r="C561" s="117"/>
      <c r="D561" s="117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</row>
    <row r="562">
      <c r="A562" s="117"/>
      <c r="B562" s="117"/>
      <c r="C562" s="117"/>
      <c r="D562" s="117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</row>
    <row r="563">
      <c r="A563" s="117"/>
      <c r="B563" s="117"/>
      <c r="C563" s="117"/>
      <c r="D563" s="117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</row>
    <row r="564">
      <c r="A564" s="117"/>
      <c r="B564" s="117"/>
      <c r="C564" s="117"/>
      <c r="D564" s="117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</row>
    <row r="565">
      <c r="A565" s="117"/>
      <c r="B565" s="117"/>
      <c r="C565" s="117"/>
      <c r="D565" s="117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</row>
    <row r="566">
      <c r="A566" s="117"/>
      <c r="B566" s="117"/>
      <c r="C566" s="117"/>
      <c r="D566" s="117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</row>
    <row r="567">
      <c r="A567" s="117"/>
      <c r="B567" s="117"/>
      <c r="C567" s="117"/>
      <c r="D567" s="117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</row>
    <row r="568">
      <c r="A568" s="117"/>
      <c r="B568" s="117"/>
      <c r="C568" s="117"/>
      <c r="D568" s="117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</row>
    <row r="569">
      <c r="A569" s="117"/>
      <c r="B569" s="117"/>
      <c r="C569" s="117"/>
      <c r="D569" s="117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</row>
    <row r="570">
      <c r="A570" s="117"/>
      <c r="B570" s="117"/>
      <c r="C570" s="117"/>
      <c r="D570" s="117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</row>
    <row r="571">
      <c r="A571" s="117"/>
      <c r="B571" s="117"/>
      <c r="C571" s="117"/>
      <c r="D571" s="117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</row>
    <row r="572">
      <c r="A572" s="117"/>
      <c r="B572" s="117"/>
      <c r="C572" s="117"/>
      <c r="D572" s="117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</row>
    <row r="573">
      <c r="A573" s="117"/>
      <c r="B573" s="117"/>
      <c r="C573" s="117"/>
      <c r="D573" s="117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</row>
    <row r="574">
      <c r="A574" s="117"/>
      <c r="B574" s="117"/>
      <c r="C574" s="117"/>
      <c r="D574" s="117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</row>
    <row r="575">
      <c r="A575" s="117"/>
      <c r="B575" s="117"/>
      <c r="C575" s="117"/>
      <c r="D575" s="117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</row>
    <row r="576">
      <c r="A576" s="117"/>
      <c r="B576" s="117"/>
      <c r="C576" s="117"/>
      <c r="D576" s="117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</row>
    <row r="577">
      <c r="A577" s="117"/>
      <c r="B577" s="117"/>
      <c r="C577" s="117"/>
      <c r="D577" s="117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</row>
    <row r="578">
      <c r="A578" s="117"/>
      <c r="B578" s="117"/>
      <c r="C578" s="117"/>
      <c r="D578" s="117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</row>
    <row r="579">
      <c r="A579" s="117"/>
      <c r="B579" s="117"/>
      <c r="C579" s="117"/>
      <c r="D579" s="117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</row>
    <row r="580">
      <c r="A580" s="117"/>
      <c r="B580" s="117"/>
      <c r="C580" s="117"/>
      <c r="D580" s="117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</row>
    <row r="581">
      <c r="A581" s="117"/>
      <c r="B581" s="117"/>
      <c r="C581" s="117"/>
      <c r="D581" s="117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</row>
    <row r="582">
      <c r="A582" s="117"/>
      <c r="B582" s="117"/>
      <c r="C582" s="117"/>
      <c r="D582" s="117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</row>
    <row r="583">
      <c r="A583" s="117"/>
      <c r="B583" s="117"/>
      <c r="C583" s="117"/>
      <c r="D583" s="117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</row>
    <row r="584">
      <c r="A584" s="117"/>
      <c r="B584" s="117"/>
      <c r="C584" s="117"/>
      <c r="D584" s="117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</row>
    <row r="585">
      <c r="A585" s="117"/>
      <c r="B585" s="117"/>
      <c r="C585" s="117"/>
      <c r="D585" s="117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</row>
    <row r="586">
      <c r="A586" s="117"/>
      <c r="B586" s="117"/>
      <c r="C586" s="117"/>
      <c r="D586" s="117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</row>
    <row r="587">
      <c r="A587" s="117"/>
      <c r="B587" s="117"/>
      <c r="C587" s="117"/>
      <c r="D587" s="117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</row>
    <row r="588">
      <c r="A588" s="117"/>
      <c r="B588" s="117"/>
      <c r="C588" s="117"/>
      <c r="D588" s="117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</row>
    <row r="589">
      <c r="A589" s="117"/>
      <c r="B589" s="117"/>
      <c r="C589" s="117"/>
      <c r="D589" s="117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</row>
    <row r="590">
      <c r="A590" s="117"/>
      <c r="B590" s="117"/>
      <c r="C590" s="117"/>
      <c r="D590" s="117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</row>
    <row r="591">
      <c r="A591" s="117"/>
      <c r="B591" s="117"/>
      <c r="C591" s="117"/>
      <c r="D591" s="117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</row>
    <row r="592">
      <c r="A592" s="117"/>
      <c r="B592" s="117"/>
      <c r="C592" s="117"/>
      <c r="D592" s="117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</row>
    <row r="593">
      <c r="A593" s="117"/>
      <c r="B593" s="117"/>
      <c r="C593" s="117"/>
      <c r="D593" s="117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</row>
    <row r="594">
      <c r="A594" s="117"/>
      <c r="B594" s="117"/>
      <c r="C594" s="117"/>
      <c r="D594" s="117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</row>
    <row r="595">
      <c r="A595" s="117"/>
      <c r="B595" s="117"/>
      <c r="C595" s="117"/>
      <c r="D595" s="117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</row>
    <row r="596">
      <c r="A596" s="117"/>
      <c r="B596" s="117"/>
      <c r="C596" s="117"/>
      <c r="D596" s="117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</row>
    <row r="597">
      <c r="A597" s="117"/>
      <c r="B597" s="117"/>
      <c r="C597" s="117"/>
      <c r="D597" s="117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</row>
    <row r="598">
      <c r="A598" s="117"/>
      <c r="B598" s="117"/>
      <c r="C598" s="117"/>
      <c r="D598" s="117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</row>
    <row r="599">
      <c r="A599" s="117"/>
      <c r="B599" s="117"/>
      <c r="C599" s="117"/>
      <c r="D599" s="117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</row>
    <row r="600">
      <c r="A600" s="117"/>
      <c r="B600" s="117"/>
      <c r="C600" s="117"/>
      <c r="D600" s="117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</row>
    <row r="601">
      <c r="A601" s="117"/>
      <c r="B601" s="117"/>
      <c r="C601" s="117"/>
      <c r="D601" s="117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</row>
    <row r="602">
      <c r="A602" s="117"/>
      <c r="B602" s="117"/>
      <c r="C602" s="117"/>
      <c r="D602" s="117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</row>
    <row r="603">
      <c r="A603" s="117"/>
      <c r="B603" s="117"/>
      <c r="C603" s="117"/>
      <c r="D603" s="117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</row>
    <row r="604">
      <c r="A604" s="117"/>
      <c r="B604" s="117"/>
      <c r="C604" s="117"/>
      <c r="D604" s="117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</row>
    <row r="605">
      <c r="A605" s="117"/>
      <c r="B605" s="117"/>
      <c r="C605" s="117"/>
      <c r="D605" s="117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</row>
    <row r="606">
      <c r="A606" s="117"/>
      <c r="B606" s="117"/>
      <c r="C606" s="117"/>
      <c r="D606" s="117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</row>
    <row r="607">
      <c r="A607" s="117"/>
      <c r="B607" s="117"/>
      <c r="C607" s="117"/>
      <c r="D607" s="117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</row>
    <row r="608">
      <c r="A608" s="117"/>
      <c r="B608" s="117"/>
      <c r="C608" s="117"/>
      <c r="D608" s="117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</row>
    <row r="609">
      <c r="A609" s="117"/>
      <c r="B609" s="117"/>
      <c r="C609" s="117"/>
      <c r="D609" s="117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</row>
    <row r="610">
      <c r="A610" s="117"/>
      <c r="B610" s="117"/>
      <c r="C610" s="117"/>
      <c r="D610" s="117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</row>
    <row r="611">
      <c r="A611" s="117"/>
      <c r="B611" s="117"/>
      <c r="C611" s="117"/>
      <c r="D611" s="117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</row>
    <row r="612">
      <c r="A612" s="117"/>
      <c r="B612" s="117"/>
      <c r="C612" s="117"/>
      <c r="D612" s="117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</row>
    <row r="613">
      <c r="A613" s="117"/>
      <c r="B613" s="117"/>
      <c r="C613" s="117"/>
      <c r="D613" s="117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</row>
    <row r="614">
      <c r="A614" s="117"/>
      <c r="B614" s="117"/>
      <c r="C614" s="117"/>
      <c r="D614" s="117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</row>
    <row r="615">
      <c r="A615" s="117"/>
      <c r="B615" s="117"/>
      <c r="C615" s="117"/>
      <c r="D615" s="117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</row>
    <row r="616">
      <c r="A616" s="117"/>
      <c r="B616" s="117"/>
      <c r="C616" s="117"/>
      <c r="D616" s="117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</row>
    <row r="617">
      <c r="A617" s="117"/>
      <c r="B617" s="117"/>
      <c r="C617" s="117"/>
      <c r="D617" s="117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</row>
    <row r="618">
      <c r="A618" s="117"/>
      <c r="B618" s="117"/>
      <c r="C618" s="117"/>
      <c r="D618" s="117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</row>
    <row r="619">
      <c r="A619" s="117"/>
      <c r="B619" s="117"/>
      <c r="C619" s="117"/>
      <c r="D619" s="117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</row>
    <row r="620">
      <c r="A620" s="117"/>
      <c r="B620" s="117"/>
      <c r="C620" s="117"/>
      <c r="D620" s="117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</row>
    <row r="621">
      <c r="A621" s="117"/>
      <c r="B621" s="117"/>
      <c r="C621" s="117"/>
      <c r="D621" s="117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</row>
    <row r="622">
      <c r="A622" s="117"/>
      <c r="B622" s="117"/>
      <c r="C622" s="117"/>
      <c r="D622" s="117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</row>
    <row r="623">
      <c r="A623" s="117"/>
      <c r="B623" s="117"/>
      <c r="C623" s="117"/>
      <c r="D623" s="117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</row>
    <row r="624">
      <c r="A624" s="117"/>
      <c r="B624" s="117"/>
      <c r="C624" s="117"/>
      <c r="D624" s="117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</row>
    <row r="625">
      <c r="A625" s="117"/>
      <c r="B625" s="117"/>
      <c r="C625" s="117"/>
      <c r="D625" s="117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</row>
    <row r="626">
      <c r="A626" s="117"/>
      <c r="B626" s="117"/>
      <c r="C626" s="117"/>
      <c r="D626" s="117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</row>
    <row r="627">
      <c r="A627" s="117"/>
      <c r="B627" s="117"/>
      <c r="C627" s="117"/>
      <c r="D627" s="117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</row>
    <row r="628">
      <c r="A628" s="117"/>
      <c r="B628" s="117"/>
      <c r="C628" s="117"/>
      <c r="D628" s="117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</row>
    <row r="629">
      <c r="A629" s="117"/>
      <c r="B629" s="117"/>
      <c r="C629" s="117"/>
      <c r="D629" s="117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</row>
    <row r="630">
      <c r="A630" s="117"/>
      <c r="B630" s="117"/>
      <c r="C630" s="117"/>
      <c r="D630" s="117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</row>
    <row r="631">
      <c r="A631" s="117"/>
      <c r="B631" s="117"/>
      <c r="C631" s="117"/>
      <c r="D631" s="117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</row>
    <row r="632">
      <c r="A632" s="117"/>
      <c r="B632" s="117"/>
      <c r="C632" s="117"/>
      <c r="D632" s="117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</row>
    <row r="633">
      <c r="A633" s="117"/>
      <c r="B633" s="117"/>
      <c r="C633" s="117"/>
      <c r="D633" s="117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</row>
    <row r="634">
      <c r="A634" s="117"/>
      <c r="B634" s="117"/>
      <c r="C634" s="117"/>
      <c r="D634" s="117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</row>
    <row r="635">
      <c r="A635" s="117"/>
      <c r="B635" s="117"/>
      <c r="C635" s="117"/>
      <c r="D635" s="117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</row>
    <row r="636">
      <c r="A636" s="117"/>
      <c r="B636" s="117"/>
      <c r="C636" s="117"/>
      <c r="D636" s="117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</row>
    <row r="637">
      <c r="A637" s="117"/>
      <c r="B637" s="117"/>
      <c r="C637" s="117"/>
      <c r="D637" s="117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</row>
    <row r="638">
      <c r="A638" s="117"/>
      <c r="B638" s="117"/>
      <c r="C638" s="117"/>
      <c r="D638" s="117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</row>
    <row r="639">
      <c r="A639" s="117"/>
      <c r="B639" s="117"/>
      <c r="C639" s="117"/>
      <c r="D639" s="117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</row>
    <row r="640">
      <c r="A640" s="117"/>
      <c r="B640" s="117"/>
      <c r="C640" s="117"/>
      <c r="D640" s="117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</row>
    <row r="641">
      <c r="A641" s="117"/>
      <c r="B641" s="117"/>
      <c r="C641" s="117"/>
      <c r="D641" s="117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</row>
    <row r="642">
      <c r="A642" s="117"/>
      <c r="B642" s="117"/>
      <c r="C642" s="117"/>
      <c r="D642" s="117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</row>
    <row r="643">
      <c r="A643" s="117"/>
      <c r="B643" s="117"/>
      <c r="C643" s="117"/>
      <c r="D643" s="117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</row>
    <row r="644">
      <c r="A644" s="117"/>
      <c r="B644" s="117"/>
      <c r="C644" s="117"/>
      <c r="D644" s="117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</row>
    <row r="645">
      <c r="A645" s="117"/>
      <c r="B645" s="117"/>
      <c r="C645" s="117"/>
      <c r="D645" s="117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</row>
    <row r="646">
      <c r="A646" s="117"/>
      <c r="B646" s="117"/>
      <c r="C646" s="117"/>
      <c r="D646" s="117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</row>
    <row r="647">
      <c r="A647" s="117"/>
      <c r="B647" s="117"/>
      <c r="C647" s="117"/>
      <c r="D647" s="117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</row>
    <row r="648">
      <c r="A648" s="117"/>
      <c r="B648" s="117"/>
      <c r="C648" s="117"/>
      <c r="D648" s="117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</row>
    <row r="649">
      <c r="A649" s="117"/>
      <c r="B649" s="117"/>
      <c r="C649" s="117"/>
      <c r="D649" s="117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</row>
    <row r="650">
      <c r="A650" s="117"/>
      <c r="B650" s="117"/>
      <c r="C650" s="117"/>
      <c r="D650" s="117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</row>
    <row r="651">
      <c r="A651" s="117"/>
      <c r="B651" s="117"/>
      <c r="C651" s="117"/>
      <c r="D651" s="117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</row>
    <row r="652">
      <c r="A652" s="117"/>
      <c r="B652" s="117"/>
      <c r="C652" s="117"/>
      <c r="D652" s="117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</row>
    <row r="653">
      <c r="A653" s="117"/>
      <c r="B653" s="117"/>
      <c r="C653" s="117"/>
      <c r="D653" s="117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</row>
    <row r="654">
      <c r="A654" s="117"/>
      <c r="B654" s="117"/>
      <c r="C654" s="117"/>
      <c r="D654" s="117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</row>
    <row r="655">
      <c r="A655" s="117"/>
      <c r="B655" s="117"/>
      <c r="C655" s="117"/>
      <c r="D655" s="117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</row>
    <row r="656">
      <c r="A656" s="117"/>
      <c r="B656" s="117"/>
      <c r="C656" s="117"/>
      <c r="D656" s="117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</row>
    <row r="657">
      <c r="A657" s="117"/>
      <c r="B657" s="117"/>
      <c r="C657" s="117"/>
      <c r="D657" s="117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</row>
    <row r="658">
      <c r="A658" s="117"/>
      <c r="B658" s="117"/>
      <c r="C658" s="117"/>
      <c r="D658" s="117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</row>
    <row r="659">
      <c r="A659" s="117"/>
      <c r="B659" s="117"/>
      <c r="C659" s="117"/>
      <c r="D659" s="117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</row>
    <row r="660">
      <c r="A660" s="117"/>
      <c r="B660" s="117"/>
      <c r="C660" s="117"/>
      <c r="D660" s="117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</row>
    <row r="661">
      <c r="A661" s="117"/>
      <c r="B661" s="117"/>
      <c r="C661" s="117"/>
      <c r="D661" s="117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</row>
    <row r="662">
      <c r="A662" s="117"/>
      <c r="B662" s="117"/>
      <c r="C662" s="117"/>
      <c r="D662" s="117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</row>
    <row r="663">
      <c r="A663" s="117"/>
      <c r="B663" s="117"/>
      <c r="C663" s="117"/>
      <c r="D663" s="117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</row>
    <row r="664">
      <c r="A664" s="117"/>
      <c r="B664" s="117"/>
      <c r="C664" s="117"/>
      <c r="D664" s="117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</row>
    <row r="665">
      <c r="A665" s="117"/>
      <c r="B665" s="117"/>
      <c r="C665" s="117"/>
      <c r="D665" s="117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</row>
    <row r="666">
      <c r="A666" s="117"/>
      <c r="B666" s="117"/>
      <c r="C666" s="117"/>
      <c r="D666" s="117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</row>
    <row r="667">
      <c r="A667" s="117"/>
      <c r="B667" s="117"/>
      <c r="C667" s="117"/>
      <c r="D667" s="117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</row>
    <row r="668">
      <c r="A668" s="117"/>
      <c r="B668" s="117"/>
      <c r="C668" s="117"/>
      <c r="D668" s="117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</row>
    <row r="669">
      <c r="A669" s="117"/>
      <c r="B669" s="117"/>
      <c r="C669" s="117"/>
      <c r="D669" s="117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</row>
    <row r="670">
      <c r="A670" s="117"/>
      <c r="B670" s="117"/>
      <c r="C670" s="117"/>
      <c r="D670" s="117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</row>
    <row r="671">
      <c r="A671" s="117"/>
      <c r="B671" s="117"/>
      <c r="C671" s="117"/>
      <c r="D671" s="117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</row>
    <row r="672">
      <c r="A672" s="117"/>
      <c r="B672" s="117"/>
      <c r="C672" s="117"/>
      <c r="D672" s="117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</row>
    <row r="673">
      <c r="A673" s="117"/>
      <c r="B673" s="117"/>
      <c r="C673" s="117"/>
      <c r="D673" s="117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</row>
    <row r="674">
      <c r="A674" s="117"/>
      <c r="B674" s="117"/>
      <c r="C674" s="117"/>
      <c r="D674" s="117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</row>
    <row r="675">
      <c r="A675" s="117"/>
      <c r="B675" s="117"/>
      <c r="C675" s="117"/>
      <c r="D675" s="117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</row>
    <row r="676">
      <c r="A676" s="117"/>
      <c r="B676" s="117"/>
      <c r="C676" s="117"/>
      <c r="D676" s="117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</row>
    <row r="677">
      <c r="A677" s="117"/>
      <c r="B677" s="117"/>
      <c r="C677" s="117"/>
      <c r="D677" s="117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</row>
    <row r="678">
      <c r="A678" s="117"/>
      <c r="B678" s="117"/>
      <c r="C678" s="117"/>
      <c r="D678" s="117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</row>
    <row r="679">
      <c r="A679" s="117"/>
      <c r="B679" s="117"/>
      <c r="C679" s="117"/>
      <c r="D679" s="117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</row>
    <row r="680">
      <c r="A680" s="117"/>
      <c r="B680" s="117"/>
      <c r="C680" s="117"/>
      <c r="D680" s="117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</row>
    <row r="681">
      <c r="A681" s="117"/>
      <c r="B681" s="117"/>
      <c r="C681" s="117"/>
      <c r="D681" s="117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</row>
    <row r="682">
      <c r="A682" s="117"/>
      <c r="B682" s="117"/>
      <c r="C682" s="117"/>
      <c r="D682" s="117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</row>
    <row r="683">
      <c r="A683" s="117"/>
      <c r="B683" s="117"/>
      <c r="C683" s="117"/>
      <c r="D683" s="117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</row>
    <row r="684">
      <c r="A684" s="117"/>
      <c r="B684" s="117"/>
      <c r="C684" s="117"/>
      <c r="D684" s="117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</row>
    <row r="685">
      <c r="A685" s="117"/>
      <c r="B685" s="117"/>
      <c r="C685" s="117"/>
      <c r="D685" s="117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</row>
    <row r="686">
      <c r="A686" s="117"/>
      <c r="B686" s="117"/>
      <c r="C686" s="117"/>
      <c r="D686" s="117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</row>
    <row r="687">
      <c r="A687" s="117"/>
      <c r="B687" s="117"/>
      <c r="C687" s="117"/>
      <c r="D687" s="117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</row>
    <row r="688">
      <c r="A688" s="117"/>
      <c r="B688" s="117"/>
      <c r="C688" s="117"/>
      <c r="D688" s="117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</row>
    <row r="689">
      <c r="A689" s="117"/>
      <c r="B689" s="117"/>
      <c r="C689" s="117"/>
      <c r="D689" s="117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</row>
    <row r="690">
      <c r="A690" s="117"/>
      <c r="B690" s="117"/>
      <c r="C690" s="117"/>
      <c r="D690" s="117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</row>
    <row r="691">
      <c r="A691" s="117"/>
      <c r="B691" s="117"/>
      <c r="C691" s="117"/>
      <c r="D691" s="117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</row>
    <row r="692">
      <c r="A692" s="117"/>
      <c r="B692" s="117"/>
      <c r="C692" s="117"/>
      <c r="D692" s="117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</row>
    <row r="693">
      <c r="A693" s="117"/>
      <c r="B693" s="117"/>
      <c r="C693" s="117"/>
      <c r="D693" s="117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</row>
    <row r="694">
      <c r="A694" s="117"/>
      <c r="B694" s="117"/>
      <c r="C694" s="117"/>
      <c r="D694" s="117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</row>
    <row r="695">
      <c r="A695" s="117"/>
      <c r="B695" s="117"/>
      <c r="C695" s="117"/>
      <c r="D695" s="117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</row>
    <row r="696">
      <c r="A696" s="117"/>
      <c r="B696" s="117"/>
      <c r="C696" s="117"/>
      <c r="D696" s="117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</row>
    <row r="697">
      <c r="A697" s="117"/>
      <c r="B697" s="117"/>
      <c r="C697" s="117"/>
      <c r="D697" s="117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</row>
    <row r="698">
      <c r="A698" s="117"/>
      <c r="B698" s="117"/>
      <c r="C698" s="117"/>
      <c r="D698" s="117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</row>
    <row r="699">
      <c r="A699" s="117"/>
      <c r="B699" s="117"/>
      <c r="C699" s="117"/>
      <c r="D699" s="117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</row>
    <row r="700">
      <c r="A700" s="117"/>
      <c r="B700" s="117"/>
      <c r="C700" s="117"/>
      <c r="D700" s="117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</row>
    <row r="701">
      <c r="A701" s="117"/>
      <c r="B701" s="117"/>
      <c r="C701" s="117"/>
      <c r="D701" s="117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</row>
    <row r="702">
      <c r="A702" s="117"/>
      <c r="B702" s="117"/>
      <c r="C702" s="117"/>
      <c r="D702" s="117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</row>
    <row r="703">
      <c r="A703" s="117"/>
      <c r="B703" s="117"/>
      <c r="C703" s="117"/>
      <c r="D703" s="117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</row>
    <row r="704">
      <c r="A704" s="117"/>
      <c r="B704" s="117"/>
      <c r="C704" s="117"/>
      <c r="D704" s="117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</row>
    <row r="705">
      <c r="A705" s="117"/>
      <c r="B705" s="117"/>
      <c r="C705" s="117"/>
      <c r="D705" s="117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</row>
    <row r="706">
      <c r="A706" s="117"/>
      <c r="B706" s="117"/>
      <c r="C706" s="117"/>
      <c r="D706" s="117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</row>
    <row r="707">
      <c r="A707" s="117"/>
      <c r="B707" s="117"/>
      <c r="C707" s="117"/>
      <c r="D707" s="117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</row>
    <row r="708">
      <c r="A708" s="117"/>
      <c r="B708" s="117"/>
      <c r="C708" s="117"/>
      <c r="D708" s="117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</row>
    <row r="709">
      <c r="A709" s="117"/>
      <c r="B709" s="117"/>
      <c r="C709" s="117"/>
      <c r="D709" s="117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</row>
    <row r="710">
      <c r="A710" s="117"/>
      <c r="B710" s="117"/>
      <c r="C710" s="117"/>
      <c r="D710" s="117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</row>
    <row r="711">
      <c r="A711" s="117"/>
      <c r="B711" s="117"/>
      <c r="C711" s="117"/>
      <c r="D711" s="117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</row>
    <row r="712">
      <c r="A712" s="117"/>
      <c r="B712" s="117"/>
      <c r="C712" s="117"/>
      <c r="D712" s="117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</row>
    <row r="713">
      <c r="A713" s="117"/>
      <c r="B713" s="117"/>
      <c r="C713" s="117"/>
      <c r="D713" s="117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</row>
    <row r="714">
      <c r="A714" s="117"/>
      <c r="B714" s="117"/>
      <c r="C714" s="117"/>
      <c r="D714" s="117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</row>
    <row r="715">
      <c r="A715" s="117"/>
      <c r="B715" s="117"/>
      <c r="C715" s="117"/>
      <c r="D715" s="117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</row>
    <row r="716">
      <c r="A716" s="117"/>
      <c r="B716" s="117"/>
      <c r="C716" s="117"/>
      <c r="D716" s="117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</row>
    <row r="717">
      <c r="A717" s="117"/>
      <c r="B717" s="117"/>
      <c r="C717" s="117"/>
      <c r="D717" s="117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</row>
    <row r="718">
      <c r="A718" s="117"/>
      <c r="B718" s="117"/>
      <c r="C718" s="117"/>
      <c r="D718" s="117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</row>
    <row r="719">
      <c r="A719" s="117"/>
      <c r="B719" s="117"/>
      <c r="C719" s="117"/>
      <c r="D719" s="117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</row>
    <row r="720">
      <c r="A720" s="117"/>
      <c r="B720" s="117"/>
      <c r="C720" s="117"/>
      <c r="D720" s="117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</row>
    <row r="721">
      <c r="A721" s="117"/>
      <c r="B721" s="117"/>
      <c r="C721" s="117"/>
      <c r="D721" s="117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</row>
    <row r="722">
      <c r="A722" s="117"/>
      <c r="B722" s="117"/>
      <c r="C722" s="117"/>
      <c r="D722" s="117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</row>
    <row r="723">
      <c r="A723" s="117"/>
      <c r="B723" s="117"/>
      <c r="C723" s="117"/>
      <c r="D723" s="117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</row>
    <row r="724">
      <c r="A724" s="117"/>
      <c r="B724" s="117"/>
      <c r="C724" s="117"/>
      <c r="D724" s="117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</row>
    <row r="725">
      <c r="A725" s="117"/>
      <c r="B725" s="117"/>
      <c r="C725" s="117"/>
      <c r="D725" s="117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</row>
    <row r="726">
      <c r="A726" s="117"/>
      <c r="B726" s="117"/>
      <c r="C726" s="117"/>
      <c r="D726" s="117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</row>
    <row r="727">
      <c r="A727" s="117"/>
      <c r="B727" s="117"/>
      <c r="C727" s="117"/>
      <c r="D727" s="117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</row>
    <row r="728">
      <c r="A728" s="117"/>
      <c r="B728" s="117"/>
      <c r="C728" s="117"/>
      <c r="D728" s="117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</row>
    <row r="729">
      <c r="A729" s="117"/>
      <c r="B729" s="117"/>
      <c r="C729" s="117"/>
      <c r="D729" s="117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</row>
    <row r="730">
      <c r="A730" s="117"/>
      <c r="B730" s="117"/>
      <c r="C730" s="117"/>
      <c r="D730" s="117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</row>
    <row r="731">
      <c r="A731" s="117"/>
      <c r="B731" s="117"/>
      <c r="C731" s="117"/>
      <c r="D731" s="117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</row>
    <row r="732">
      <c r="A732" s="117"/>
      <c r="B732" s="117"/>
      <c r="C732" s="117"/>
      <c r="D732" s="117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</row>
    <row r="733">
      <c r="A733" s="117"/>
      <c r="B733" s="117"/>
      <c r="C733" s="117"/>
      <c r="D733" s="117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</row>
    <row r="734">
      <c r="A734" s="117"/>
      <c r="B734" s="117"/>
      <c r="C734" s="117"/>
      <c r="D734" s="117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</row>
    <row r="735">
      <c r="A735" s="117"/>
      <c r="B735" s="117"/>
      <c r="C735" s="117"/>
      <c r="D735" s="117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</row>
    <row r="736">
      <c r="A736" s="117"/>
      <c r="B736" s="117"/>
      <c r="C736" s="117"/>
      <c r="D736" s="117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</row>
    <row r="737">
      <c r="A737" s="117"/>
      <c r="B737" s="117"/>
      <c r="C737" s="117"/>
      <c r="D737" s="117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</row>
    <row r="738">
      <c r="A738" s="117"/>
      <c r="B738" s="117"/>
      <c r="C738" s="117"/>
      <c r="D738" s="117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</row>
    <row r="739">
      <c r="A739" s="117"/>
      <c r="B739" s="117"/>
      <c r="C739" s="117"/>
      <c r="D739" s="117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</row>
    <row r="740">
      <c r="A740" s="117"/>
      <c r="B740" s="117"/>
      <c r="C740" s="117"/>
      <c r="D740" s="117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</row>
    <row r="741">
      <c r="A741" s="117"/>
      <c r="B741" s="117"/>
      <c r="C741" s="117"/>
      <c r="D741" s="117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</row>
    <row r="742">
      <c r="A742" s="117"/>
      <c r="B742" s="117"/>
      <c r="C742" s="117"/>
      <c r="D742" s="117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</row>
    <row r="743">
      <c r="A743" s="117"/>
      <c r="B743" s="117"/>
      <c r="C743" s="117"/>
      <c r="D743" s="117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</row>
    <row r="744">
      <c r="A744" s="117"/>
      <c r="B744" s="117"/>
      <c r="C744" s="117"/>
      <c r="D744" s="117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</row>
    <row r="745">
      <c r="A745" s="117"/>
      <c r="B745" s="117"/>
      <c r="C745" s="117"/>
      <c r="D745" s="117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</row>
    <row r="746">
      <c r="A746" s="117"/>
      <c r="B746" s="117"/>
      <c r="C746" s="117"/>
      <c r="D746" s="117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</row>
    <row r="747">
      <c r="A747" s="117"/>
      <c r="B747" s="117"/>
      <c r="C747" s="117"/>
      <c r="D747" s="117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</row>
    <row r="748">
      <c r="A748" s="117"/>
      <c r="B748" s="117"/>
      <c r="C748" s="117"/>
      <c r="D748" s="117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</row>
    <row r="749">
      <c r="A749" s="117"/>
      <c r="B749" s="117"/>
      <c r="C749" s="117"/>
      <c r="D749" s="117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</row>
    <row r="750">
      <c r="A750" s="117"/>
      <c r="B750" s="117"/>
      <c r="C750" s="117"/>
      <c r="D750" s="117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</row>
    <row r="751">
      <c r="A751" s="117"/>
      <c r="B751" s="117"/>
      <c r="C751" s="117"/>
      <c r="D751" s="117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</row>
    <row r="752">
      <c r="A752" s="117"/>
      <c r="B752" s="117"/>
      <c r="C752" s="117"/>
      <c r="D752" s="117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</row>
    <row r="753">
      <c r="A753" s="117"/>
      <c r="B753" s="117"/>
      <c r="C753" s="117"/>
      <c r="D753" s="117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</row>
    <row r="754">
      <c r="A754" s="117"/>
      <c r="B754" s="117"/>
      <c r="C754" s="117"/>
      <c r="D754" s="117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</row>
    <row r="755">
      <c r="A755" s="117"/>
      <c r="B755" s="117"/>
      <c r="C755" s="117"/>
      <c r="D755" s="117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</row>
    <row r="756">
      <c r="A756" s="117"/>
      <c r="B756" s="117"/>
      <c r="C756" s="117"/>
      <c r="D756" s="117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</row>
    <row r="757">
      <c r="A757" s="117"/>
      <c r="B757" s="117"/>
      <c r="C757" s="117"/>
      <c r="D757" s="117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</row>
    <row r="758">
      <c r="A758" s="117"/>
      <c r="B758" s="117"/>
      <c r="C758" s="117"/>
      <c r="D758" s="117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</row>
    <row r="759">
      <c r="A759" s="117"/>
      <c r="B759" s="117"/>
      <c r="C759" s="117"/>
      <c r="D759" s="117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</row>
    <row r="760">
      <c r="A760" s="117"/>
      <c r="B760" s="117"/>
      <c r="C760" s="117"/>
      <c r="D760" s="117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</row>
    <row r="761">
      <c r="A761" s="117"/>
      <c r="B761" s="117"/>
      <c r="C761" s="117"/>
      <c r="D761" s="117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</row>
    <row r="762">
      <c r="A762" s="117"/>
      <c r="B762" s="117"/>
      <c r="C762" s="117"/>
      <c r="D762" s="117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</row>
    <row r="763">
      <c r="A763" s="117"/>
      <c r="B763" s="117"/>
      <c r="C763" s="117"/>
      <c r="D763" s="117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</row>
    <row r="764">
      <c r="A764" s="117"/>
      <c r="B764" s="117"/>
      <c r="C764" s="117"/>
      <c r="D764" s="117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</row>
    <row r="765">
      <c r="A765" s="117"/>
      <c r="B765" s="117"/>
      <c r="C765" s="117"/>
      <c r="D765" s="117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</row>
    <row r="766">
      <c r="A766" s="117"/>
      <c r="B766" s="117"/>
      <c r="C766" s="117"/>
      <c r="D766" s="117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</row>
    <row r="767">
      <c r="A767" s="117"/>
      <c r="B767" s="117"/>
      <c r="C767" s="117"/>
      <c r="D767" s="117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</row>
    <row r="768">
      <c r="A768" s="117"/>
      <c r="B768" s="117"/>
      <c r="C768" s="117"/>
      <c r="D768" s="117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</row>
    <row r="769">
      <c r="A769" s="117"/>
      <c r="B769" s="117"/>
      <c r="C769" s="117"/>
      <c r="D769" s="117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</row>
    <row r="770">
      <c r="A770" s="117"/>
      <c r="B770" s="117"/>
      <c r="C770" s="117"/>
      <c r="D770" s="117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</row>
    <row r="771">
      <c r="A771" s="117"/>
      <c r="B771" s="117"/>
      <c r="C771" s="117"/>
      <c r="D771" s="117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</row>
    <row r="772">
      <c r="A772" s="117"/>
      <c r="B772" s="117"/>
      <c r="C772" s="117"/>
      <c r="D772" s="117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</row>
    <row r="773">
      <c r="A773" s="117"/>
      <c r="B773" s="117"/>
      <c r="C773" s="117"/>
      <c r="D773" s="117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</row>
    <row r="774">
      <c r="A774" s="117"/>
      <c r="B774" s="117"/>
      <c r="C774" s="117"/>
      <c r="D774" s="117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</row>
    <row r="775">
      <c r="A775" s="117"/>
      <c r="B775" s="117"/>
      <c r="C775" s="117"/>
      <c r="D775" s="117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</row>
    <row r="776">
      <c r="A776" s="117"/>
      <c r="B776" s="117"/>
      <c r="C776" s="117"/>
      <c r="D776" s="117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</row>
    <row r="777">
      <c r="A777" s="117"/>
      <c r="B777" s="117"/>
      <c r="C777" s="117"/>
      <c r="D777" s="117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</row>
    <row r="778">
      <c r="A778" s="117"/>
      <c r="B778" s="117"/>
      <c r="C778" s="117"/>
      <c r="D778" s="117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</row>
    <row r="779">
      <c r="A779" s="117"/>
      <c r="B779" s="117"/>
      <c r="C779" s="117"/>
      <c r="D779" s="117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</row>
    <row r="780">
      <c r="A780" s="117"/>
      <c r="B780" s="117"/>
      <c r="C780" s="117"/>
      <c r="D780" s="117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</row>
    <row r="781">
      <c r="A781" s="117"/>
      <c r="B781" s="117"/>
      <c r="C781" s="117"/>
      <c r="D781" s="117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</row>
    <row r="782">
      <c r="A782" s="117"/>
      <c r="B782" s="117"/>
      <c r="C782" s="117"/>
      <c r="D782" s="117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</row>
    <row r="783">
      <c r="A783" s="117"/>
      <c r="B783" s="117"/>
      <c r="C783" s="117"/>
      <c r="D783" s="117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</row>
    <row r="784">
      <c r="A784" s="117"/>
      <c r="B784" s="117"/>
      <c r="C784" s="117"/>
      <c r="D784" s="117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</row>
    <row r="785">
      <c r="A785" s="117"/>
      <c r="B785" s="117"/>
      <c r="C785" s="117"/>
      <c r="D785" s="117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</row>
    <row r="786">
      <c r="A786" s="117"/>
      <c r="B786" s="117"/>
      <c r="C786" s="117"/>
      <c r="D786" s="117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</row>
    <row r="787">
      <c r="A787" s="117"/>
      <c r="B787" s="117"/>
      <c r="C787" s="117"/>
      <c r="D787" s="117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</row>
    <row r="788">
      <c r="A788" s="117"/>
      <c r="B788" s="117"/>
      <c r="C788" s="117"/>
      <c r="D788" s="117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</row>
    <row r="789">
      <c r="A789" s="117"/>
      <c r="B789" s="117"/>
      <c r="C789" s="117"/>
      <c r="D789" s="117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</row>
    <row r="790">
      <c r="A790" s="117"/>
      <c r="B790" s="117"/>
      <c r="C790" s="117"/>
      <c r="D790" s="117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</row>
    <row r="791">
      <c r="A791" s="117"/>
      <c r="B791" s="117"/>
      <c r="C791" s="117"/>
      <c r="D791" s="117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</row>
    <row r="792">
      <c r="A792" s="117"/>
      <c r="B792" s="117"/>
      <c r="C792" s="117"/>
      <c r="D792" s="117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</row>
    <row r="793">
      <c r="A793" s="117"/>
      <c r="B793" s="117"/>
      <c r="C793" s="117"/>
      <c r="D793" s="117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</row>
    <row r="794">
      <c r="A794" s="117"/>
      <c r="B794" s="117"/>
      <c r="C794" s="117"/>
      <c r="D794" s="117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</row>
    <row r="795">
      <c r="A795" s="117"/>
      <c r="B795" s="117"/>
      <c r="C795" s="117"/>
      <c r="D795" s="117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</row>
    <row r="796">
      <c r="A796" s="117"/>
      <c r="B796" s="117"/>
      <c r="C796" s="117"/>
      <c r="D796" s="117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</row>
    <row r="797">
      <c r="A797" s="117"/>
      <c r="B797" s="117"/>
      <c r="C797" s="117"/>
      <c r="D797" s="117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</row>
    <row r="798">
      <c r="A798" s="117"/>
      <c r="B798" s="117"/>
      <c r="C798" s="117"/>
      <c r="D798" s="117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</row>
    <row r="799">
      <c r="A799" s="117"/>
      <c r="B799" s="117"/>
      <c r="C799" s="117"/>
      <c r="D799" s="117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</row>
    <row r="800">
      <c r="A800" s="117"/>
      <c r="B800" s="117"/>
      <c r="C800" s="117"/>
      <c r="D800" s="117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</row>
    <row r="801">
      <c r="A801" s="117"/>
      <c r="B801" s="117"/>
      <c r="C801" s="117"/>
      <c r="D801" s="117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</row>
    <row r="802">
      <c r="A802" s="117"/>
      <c r="B802" s="117"/>
      <c r="C802" s="117"/>
      <c r="D802" s="117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</row>
    <row r="803">
      <c r="A803" s="117"/>
      <c r="B803" s="117"/>
      <c r="C803" s="117"/>
      <c r="D803" s="117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</row>
    <row r="804">
      <c r="A804" s="117"/>
      <c r="B804" s="117"/>
      <c r="C804" s="117"/>
      <c r="D804" s="117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</row>
    <row r="805">
      <c r="A805" s="117"/>
      <c r="B805" s="117"/>
      <c r="C805" s="117"/>
      <c r="D805" s="117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</row>
    <row r="806">
      <c r="A806" s="117"/>
      <c r="B806" s="117"/>
      <c r="C806" s="117"/>
      <c r="D806" s="117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</row>
    <row r="807">
      <c r="A807" s="117"/>
      <c r="B807" s="117"/>
      <c r="C807" s="117"/>
      <c r="D807" s="117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</row>
    <row r="808">
      <c r="A808" s="117"/>
      <c r="B808" s="117"/>
      <c r="C808" s="117"/>
      <c r="D808" s="117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</row>
    <row r="809">
      <c r="A809" s="117"/>
      <c r="B809" s="117"/>
      <c r="C809" s="117"/>
      <c r="D809" s="117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</row>
    <row r="810">
      <c r="A810" s="117"/>
      <c r="B810" s="117"/>
      <c r="C810" s="117"/>
      <c r="D810" s="117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</row>
    <row r="811">
      <c r="A811" s="117"/>
      <c r="B811" s="117"/>
      <c r="C811" s="117"/>
      <c r="D811" s="117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</row>
    <row r="812">
      <c r="A812" s="117"/>
      <c r="B812" s="117"/>
      <c r="C812" s="117"/>
      <c r="D812" s="117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</row>
    <row r="813">
      <c r="A813" s="117"/>
      <c r="B813" s="117"/>
      <c r="C813" s="117"/>
      <c r="D813" s="117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</row>
    <row r="814">
      <c r="A814" s="117"/>
      <c r="B814" s="117"/>
      <c r="C814" s="117"/>
      <c r="D814" s="117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</row>
    <row r="815">
      <c r="A815" s="117"/>
      <c r="B815" s="117"/>
      <c r="C815" s="117"/>
      <c r="D815" s="117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</row>
    <row r="816">
      <c r="A816" s="117"/>
      <c r="B816" s="117"/>
      <c r="C816" s="117"/>
      <c r="D816" s="117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</row>
    <row r="817">
      <c r="A817" s="117"/>
      <c r="B817" s="117"/>
      <c r="C817" s="117"/>
      <c r="D817" s="117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</row>
    <row r="818">
      <c r="A818" s="117"/>
      <c r="B818" s="117"/>
      <c r="C818" s="117"/>
      <c r="D818" s="117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</row>
    <row r="819">
      <c r="A819" s="117"/>
      <c r="B819" s="117"/>
      <c r="C819" s="117"/>
      <c r="D819" s="117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</row>
    <row r="820">
      <c r="A820" s="117"/>
      <c r="B820" s="117"/>
      <c r="C820" s="117"/>
      <c r="D820" s="117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</row>
    <row r="821">
      <c r="A821" s="117"/>
      <c r="B821" s="117"/>
      <c r="C821" s="117"/>
      <c r="D821" s="117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</row>
    <row r="822">
      <c r="A822" s="117"/>
      <c r="B822" s="117"/>
      <c r="C822" s="117"/>
      <c r="D822" s="117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</row>
    <row r="823">
      <c r="A823" s="117"/>
      <c r="B823" s="117"/>
      <c r="C823" s="117"/>
      <c r="D823" s="117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</row>
    <row r="824">
      <c r="A824" s="117"/>
      <c r="B824" s="117"/>
      <c r="C824" s="117"/>
      <c r="D824" s="117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</row>
    <row r="825">
      <c r="A825" s="117"/>
      <c r="B825" s="117"/>
      <c r="C825" s="117"/>
      <c r="D825" s="117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</row>
    <row r="826">
      <c r="A826" s="117"/>
      <c r="B826" s="117"/>
      <c r="C826" s="117"/>
      <c r="D826" s="117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</row>
    <row r="827">
      <c r="A827" s="117"/>
      <c r="B827" s="117"/>
      <c r="C827" s="117"/>
      <c r="D827" s="117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</row>
    <row r="828">
      <c r="A828" s="117"/>
      <c r="B828" s="117"/>
      <c r="C828" s="117"/>
      <c r="D828" s="117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</row>
    <row r="829">
      <c r="A829" s="117"/>
      <c r="B829" s="117"/>
      <c r="C829" s="117"/>
      <c r="D829" s="117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</row>
    <row r="830">
      <c r="A830" s="117"/>
      <c r="B830" s="117"/>
      <c r="C830" s="117"/>
      <c r="D830" s="117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</row>
    <row r="831">
      <c r="A831" s="117"/>
      <c r="B831" s="117"/>
      <c r="C831" s="117"/>
      <c r="D831" s="117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</row>
    <row r="832">
      <c r="A832" s="117"/>
      <c r="B832" s="117"/>
      <c r="C832" s="117"/>
      <c r="D832" s="117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</row>
    <row r="833">
      <c r="A833" s="117"/>
      <c r="B833" s="117"/>
      <c r="C833" s="117"/>
      <c r="D833" s="117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</row>
    <row r="834">
      <c r="A834" s="117"/>
      <c r="B834" s="117"/>
      <c r="C834" s="117"/>
      <c r="D834" s="117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</row>
    <row r="835">
      <c r="A835" s="117"/>
      <c r="B835" s="117"/>
      <c r="C835" s="117"/>
      <c r="D835" s="117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</row>
    <row r="836">
      <c r="A836" s="117"/>
      <c r="B836" s="117"/>
      <c r="C836" s="117"/>
      <c r="D836" s="117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</row>
    <row r="837">
      <c r="A837" s="117"/>
      <c r="B837" s="117"/>
      <c r="C837" s="117"/>
      <c r="D837" s="117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</row>
    <row r="838">
      <c r="A838" s="117"/>
      <c r="B838" s="117"/>
      <c r="C838" s="117"/>
      <c r="D838" s="117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</row>
    <row r="839">
      <c r="A839" s="117"/>
      <c r="B839" s="117"/>
      <c r="C839" s="117"/>
      <c r="D839" s="117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</row>
    <row r="840">
      <c r="A840" s="117"/>
      <c r="B840" s="117"/>
      <c r="C840" s="117"/>
      <c r="D840" s="117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</row>
    <row r="841">
      <c r="A841" s="117"/>
      <c r="B841" s="117"/>
      <c r="C841" s="117"/>
      <c r="D841" s="117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</row>
    <row r="842">
      <c r="A842" s="117"/>
      <c r="B842" s="117"/>
      <c r="C842" s="117"/>
      <c r="D842" s="117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</row>
    <row r="843">
      <c r="A843" s="117"/>
      <c r="B843" s="117"/>
      <c r="C843" s="117"/>
      <c r="D843" s="117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</row>
    <row r="844">
      <c r="A844" s="117"/>
      <c r="B844" s="117"/>
      <c r="C844" s="117"/>
      <c r="D844" s="117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</row>
    <row r="845">
      <c r="A845" s="117"/>
      <c r="B845" s="117"/>
      <c r="C845" s="117"/>
      <c r="D845" s="117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</row>
    <row r="846">
      <c r="A846" s="117"/>
      <c r="B846" s="117"/>
      <c r="C846" s="117"/>
      <c r="D846" s="117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</row>
    <row r="847">
      <c r="A847" s="117"/>
      <c r="B847" s="117"/>
      <c r="C847" s="117"/>
      <c r="D847" s="117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</row>
    <row r="848">
      <c r="A848" s="117"/>
      <c r="B848" s="117"/>
      <c r="C848" s="117"/>
      <c r="D848" s="117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</row>
    <row r="849">
      <c r="A849" s="117"/>
      <c r="B849" s="117"/>
      <c r="C849" s="117"/>
      <c r="D849" s="117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</row>
    <row r="850">
      <c r="A850" s="117"/>
      <c r="B850" s="117"/>
      <c r="C850" s="117"/>
      <c r="D850" s="117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</row>
    <row r="851">
      <c r="A851" s="117"/>
      <c r="B851" s="117"/>
      <c r="C851" s="117"/>
      <c r="D851" s="117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</row>
    <row r="852">
      <c r="A852" s="117"/>
      <c r="B852" s="117"/>
      <c r="C852" s="117"/>
      <c r="D852" s="117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</row>
    <row r="853">
      <c r="A853" s="117"/>
      <c r="B853" s="117"/>
      <c r="C853" s="117"/>
      <c r="D853" s="117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</row>
    <row r="854">
      <c r="A854" s="117"/>
      <c r="B854" s="117"/>
      <c r="C854" s="117"/>
      <c r="D854" s="117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</row>
    <row r="855">
      <c r="A855" s="117"/>
      <c r="B855" s="117"/>
      <c r="C855" s="117"/>
      <c r="D855" s="117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</row>
    <row r="856">
      <c r="A856" s="117"/>
      <c r="B856" s="117"/>
      <c r="C856" s="117"/>
      <c r="D856" s="117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</row>
    <row r="857">
      <c r="A857" s="117"/>
      <c r="B857" s="117"/>
      <c r="C857" s="117"/>
      <c r="D857" s="117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</row>
    <row r="858">
      <c r="A858" s="117"/>
      <c r="B858" s="117"/>
      <c r="C858" s="117"/>
      <c r="D858" s="117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</row>
    <row r="859">
      <c r="A859" s="117"/>
      <c r="B859" s="117"/>
      <c r="C859" s="117"/>
      <c r="D859" s="117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</row>
    <row r="860">
      <c r="A860" s="117"/>
      <c r="B860" s="117"/>
      <c r="C860" s="117"/>
      <c r="D860" s="117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</row>
    <row r="861">
      <c r="A861" s="117"/>
      <c r="B861" s="117"/>
      <c r="C861" s="117"/>
      <c r="D861" s="117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</row>
    <row r="862">
      <c r="A862" s="117"/>
      <c r="B862" s="117"/>
      <c r="C862" s="117"/>
      <c r="D862" s="117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</row>
    <row r="863">
      <c r="A863" s="117"/>
      <c r="B863" s="117"/>
      <c r="C863" s="117"/>
      <c r="D863" s="117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</row>
    <row r="864">
      <c r="A864" s="117"/>
      <c r="B864" s="117"/>
      <c r="C864" s="117"/>
      <c r="D864" s="117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</row>
    <row r="865">
      <c r="A865" s="117"/>
      <c r="B865" s="117"/>
      <c r="C865" s="117"/>
      <c r="D865" s="117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</row>
    <row r="866">
      <c r="A866" s="117"/>
      <c r="B866" s="117"/>
      <c r="C866" s="117"/>
      <c r="D866" s="117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</row>
    <row r="867">
      <c r="A867" s="117"/>
      <c r="B867" s="117"/>
      <c r="C867" s="117"/>
      <c r="D867" s="117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</row>
    <row r="868">
      <c r="A868" s="117"/>
      <c r="B868" s="117"/>
      <c r="C868" s="117"/>
      <c r="D868" s="117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</row>
    <row r="869">
      <c r="A869" s="117"/>
      <c r="B869" s="117"/>
      <c r="C869" s="117"/>
      <c r="D869" s="117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</row>
    <row r="870">
      <c r="A870" s="117"/>
      <c r="B870" s="117"/>
      <c r="C870" s="117"/>
      <c r="D870" s="117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</row>
    <row r="871">
      <c r="A871" s="117"/>
      <c r="B871" s="117"/>
      <c r="C871" s="117"/>
      <c r="D871" s="117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</row>
    <row r="872">
      <c r="A872" s="117"/>
      <c r="B872" s="117"/>
      <c r="C872" s="117"/>
      <c r="D872" s="117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</row>
    <row r="873">
      <c r="A873" s="117"/>
      <c r="B873" s="117"/>
      <c r="C873" s="117"/>
      <c r="D873" s="117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</row>
    <row r="874">
      <c r="A874" s="117"/>
      <c r="B874" s="117"/>
      <c r="C874" s="117"/>
      <c r="D874" s="117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</row>
    <row r="875">
      <c r="A875" s="117"/>
      <c r="B875" s="117"/>
      <c r="C875" s="117"/>
      <c r="D875" s="117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</row>
    <row r="876">
      <c r="A876" s="117"/>
      <c r="B876" s="117"/>
      <c r="C876" s="117"/>
      <c r="D876" s="117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</row>
    <row r="877">
      <c r="A877" s="117"/>
      <c r="B877" s="117"/>
      <c r="C877" s="117"/>
      <c r="D877" s="117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</row>
    <row r="878">
      <c r="A878" s="117"/>
      <c r="B878" s="117"/>
      <c r="C878" s="117"/>
      <c r="D878" s="117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</row>
    <row r="879">
      <c r="A879" s="117"/>
      <c r="B879" s="117"/>
      <c r="C879" s="117"/>
      <c r="D879" s="117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</row>
    <row r="880">
      <c r="A880" s="117"/>
      <c r="B880" s="117"/>
      <c r="C880" s="117"/>
      <c r="D880" s="117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</row>
    <row r="881">
      <c r="A881" s="117"/>
      <c r="B881" s="117"/>
      <c r="C881" s="117"/>
      <c r="D881" s="117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</row>
    <row r="882">
      <c r="A882" s="117"/>
      <c r="B882" s="117"/>
      <c r="C882" s="117"/>
      <c r="D882" s="117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</row>
    <row r="883">
      <c r="A883" s="117"/>
      <c r="B883" s="117"/>
      <c r="C883" s="117"/>
      <c r="D883" s="117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</row>
    <row r="884">
      <c r="A884" s="117"/>
      <c r="B884" s="117"/>
      <c r="C884" s="117"/>
      <c r="D884" s="117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</row>
    <row r="885">
      <c r="A885" s="117"/>
      <c r="B885" s="117"/>
      <c r="C885" s="117"/>
      <c r="D885" s="117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</row>
    <row r="886">
      <c r="A886" s="117"/>
      <c r="B886" s="117"/>
      <c r="C886" s="117"/>
      <c r="D886" s="117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</row>
    <row r="887">
      <c r="A887" s="117"/>
      <c r="B887" s="117"/>
      <c r="C887" s="117"/>
      <c r="D887" s="117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</row>
    <row r="888">
      <c r="A888" s="117"/>
      <c r="B888" s="117"/>
      <c r="C888" s="117"/>
      <c r="D888" s="117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</row>
    <row r="889">
      <c r="A889" s="117"/>
      <c r="B889" s="117"/>
      <c r="C889" s="117"/>
      <c r="D889" s="117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</row>
    <row r="890">
      <c r="A890" s="117"/>
      <c r="B890" s="117"/>
      <c r="C890" s="117"/>
      <c r="D890" s="117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</row>
    <row r="891">
      <c r="A891" s="117"/>
      <c r="B891" s="117"/>
      <c r="C891" s="117"/>
      <c r="D891" s="117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</row>
    <row r="892">
      <c r="A892" s="117"/>
      <c r="B892" s="117"/>
      <c r="C892" s="117"/>
      <c r="D892" s="117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</row>
    <row r="893">
      <c r="A893" s="117"/>
      <c r="B893" s="117"/>
      <c r="C893" s="117"/>
      <c r="D893" s="117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</row>
    <row r="894">
      <c r="A894" s="117"/>
      <c r="B894" s="117"/>
      <c r="C894" s="117"/>
      <c r="D894" s="117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</row>
    <row r="895">
      <c r="A895" s="117"/>
      <c r="B895" s="117"/>
      <c r="C895" s="117"/>
      <c r="D895" s="117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</row>
    <row r="896">
      <c r="A896" s="117"/>
      <c r="B896" s="117"/>
      <c r="C896" s="117"/>
      <c r="D896" s="117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</row>
    <row r="897">
      <c r="A897" s="117"/>
      <c r="B897" s="117"/>
      <c r="C897" s="117"/>
      <c r="D897" s="117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</row>
    <row r="898">
      <c r="A898" s="117"/>
      <c r="B898" s="117"/>
      <c r="C898" s="117"/>
      <c r="D898" s="117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</row>
    <row r="899">
      <c r="A899" s="117"/>
      <c r="B899" s="117"/>
      <c r="C899" s="117"/>
      <c r="D899" s="117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</row>
    <row r="900">
      <c r="A900" s="117"/>
      <c r="B900" s="117"/>
      <c r="C900" s="117"/>
      <c r="D900" s="117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</row>
    <row r="901">
      <c r="A901" s="117"/>
      <c r="B901" s="117"/>
      <c r="C901" s="117"/>
      <c r="D901" s="117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</row>
    <row r="902">
      <c r="A902" s="117"/>
      <c r="B902" s="117"/>
      <c r="C902" s="117"/>
      <c r="D902" s="117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</row>
    <row r="903">
      <c r="A903" s="117"/>
      <c r="B903" s="117"/>
      <c r="C903" s="117"/>
      <c r="D903" s="117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</row>
    <row r="904">
      <c r="A904" s="117"/>
      <c r="B904" s="117"/>
      <c r="C904" s="117"/>
      <c r="D904" s="117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</row>
    <row r="905">
      <c r="A905" s="117"/>
      <c r="B905" s="117"/>
      <c r="C905" s="117"/>
      <c r="D905" s="117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</row>
    <row r="906">
      <c r="A906" s="117"/>
      <c r="B906" s="117"/>
      <c r="C906" s="117"/>
      <c r="D906" s="117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</row>
    <row r="907">
      <c r="A907" s="117"/>
      <c r="B907" s="117"/>
      <c r="C907" s="117"/>
      <c r="D907" s="117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</row>
    <row r="908">
      <c r="A908" s="117"/>
      <c r="B908" s="117"/>
      <c r="C908" s="117"/>
      <c r="D908" s="117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</row>
    <row r="909">
      <c r="A909" s="117"/>
      <c r="B909" s="117"/>
      <c r="C909" s="117"/>
      <c r="D909" s="117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</row>
    <row r="910">
      <c r="A910" s="117"/>
      <c r="B910" s="117"/>
      <c r="C910" s="117"/>
      <c r="D910" s="117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</row>
    <row r="911">
      <c r="A911" s="117"/>
      <c r="B911" s="117"/>
      <c r="C911" s="117"/>
      <c r="D911" s="117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</row>
    <row r="912">
      <c r="A912" s="117"/>
      <c r="B912" s="117"/>
      <c r="C912" s="117"/>
      <c r="D912" s="117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</row>
    <row r="913">
      <c r="A913" s="117"/>
      <c r="B913" s="117"/>
      <c r="C913" s="117"/>
      <c r="D913" s="117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</row>
    <row r="914">
      <c r="A914" s="117"/>
      <c r="B914" s="117"/>
      <c r="C914" s="117"/>
      <c r="D914" s="117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</row>
    <row r="915">
      <c r="A915" s="117"/>
      <c r="B915" s="117"/>
      <c r="C915" s="117"/>
      <c r="D915" s="117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</row>
    <row r="916">
      <c r="A916" s="117"/>
      <c r="B916" s="117"/>
      <c r="C916" s="117"/>
      <c r="D916" s="117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</row>
    <row r="917">
      <c r="A917" s="117"/>
      <c r="B917" s="117"/>
      <c r="C917" s="117"/>
      <c r="D917" s="117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</row>
    <row r="918">
      <c r="A918" s="117"/>
      <c r="B918" s="117"/>
      <c r="C918" s="117"/>
      <c r="D918" s="117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</row>
    <row r="919">
      <c r="A919" s="117"/>
      <c r="B919" s="117"/>
      <c r="C919" s="117"/>
      <c r="D919" s="117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</row>
    <row r="920">
      <c r="A920" s="117"/>
      <c r="B920" s="117"/>
      <c r="C920" s="117"/>
      <c r="D920" s="117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</row>
    <row r="921">
      <c r="A921" s="117"/>
      <c r="B921" s="117"/>
      <c r="C921" s="117"/>
      <c r="D921" s="117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</row>
    <row r="922">
      <c r="A922" s="117"/>
      <c r="B922" s="117"/>
      <c r="C922" s="117"/>
      <c r="D922" s="117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</row>
    <row r="923">
      <c r="A923" s="117"/>
      <c r="B923" s="117"/>
      <c r="C923" s="117"/>
      <c r="D923" s="117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</row>
    <row r="924">
      <c r="A924" s="117"/>
      <c r="B924" s="117"/>
      <c r="C924" s="117"/>
      <c r="D924" s="117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</row>
    <row r="925">
      <c r="A925" s="117"/>
      <c r="B925" s="117"/>
      <c r="C925" s="117"/>
      <c r="D925" s="117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</row>
    <row r="926">
      <c r="A926" s="117"/>
      <c r="B926" s="117"/>
      <c r="C926" s="117"/>
      <c r="D926" s="117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</row>
    <row r="927">
      <c r="A927" s="117"/>
      <c r="B927" s="117"/>
      <c r="C927" s="117"/>
      <c r="D927" s="117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</row>
    <row r="928">
      <c r="A928" s="117"/>
      <c r="B928" s="117"/>
      <c r="C928" s="117"/>
      <c r="D928" s="117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</row>
    <row r="929">
      <c r="A929" s="117"/>
      <c r="B929" s="117"/>
      <c r="C929" s="117"/>
      <c r="D929" s="117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</row>
    <row r="930">
      <c r="A930" s="117"/>
      <c r="B930" s="117"/>
      <c r="C930" s="117"/>
      <c r="D930" s="117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</row>
    <row r="931">
      <c r="A931" s="117"/>
      <c r="B931" s="117"/>
      <c r="C931" s="117"/>
      <c r="D931" s="117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</row>
    <row r="932">
      <c r="A932" s="117"/>
      <c r="B932" s="117"/>
      <c r="C932" s="117"/>
      <c r="D932" s="117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</row>
    <row r="933">
      <c r="A933" s="117"/>
      <c r="B933" s="117"/>
      <c r="C933" s="117"/>
      <c r="D933" s="117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</row>
    <row r="934">
      <c r="A934" s="117"/>
      <c r="B934" s="117"/>
      <c r="C934" s="117"/>
      <c r="D934" s="117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</row>
    <row r="935">
      <c r="A935" s="117"/>
      <c r="B935" s="117"/>
      <c r="C935" s="117"/>
      <c r="D935" s="117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</row>
    <row r="936">
      <c r="A936" s="117"/>
      <c r="B936" s="117"/>
      <c r="C936" s="117"/>
      <c r="D936" s="117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</row>
    <row r="937">
      <c r="A937" s="117"/>
      <c r="B937" s="117"/>
      <c r="C937" s="117"/>
      <c r="D937" s="117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</row>
    <row r="938">
      <c r="A938" s="117"/>
      <c r="B938" s="117"/>
      <c r="C938" s="117"/>
      <c r="D938" s="117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</row>
    <row r="939">
      <c r="A939" s="117"/>
      <c r="B939" s="117"/>
      <c r="C939" s="117"/>
      <c r="D939" s="117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</row>
    <row r="940">
      <c r="A940" s="117"/>
      <c r="B940" s="117"/>
      <c r="C940" s="117"/>
      <c r="D940" s="117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</row>
    <row r="941">
      <c r="A941" s="117"/>
      <c r="B941" s="117"/>
      <c r="C941" s="117"/>
      <c r="D941" s="117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</row>
    <row r="942">
      <c r="A942" s="117"/>
      <c r="B942" s="117"/>
      <c r="C942" s="117"/>
      <c r="D942" s="117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</row>
    <row r="943">
      <c r="A943" s="117"/>
      <c r="B943" s="117"/>
      <c r="C943" s="117"/>
      <c r="D943" s="117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</row>
    <row r="944">
      <c r="A944" s="117"/>
      <c r="B944" s="117"/>
      <c r="C944" s="117"/>
      <c r="D944" s="117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</row>
    <row r="945">
      <c r="A945" s="117"/>
      <c r="B945" s="117"/>
      <c r="C945" s="117"/>
      <c r="D945" s="117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</row>
    <row r="946">
      <c r="A946" s="117"/>
      <c r="B946" s="117"/>
      <c r="C946" s="117"/>
      <c r="D946" s="117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</row>
    <row r="947">
      <c r="A947" s="117"/>
      <c r="B947" s="117"/>
      <c r="C947" s="117"/>
      <c r="D947" s="117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</row>
    <row r="948">
      <c r="A948" s="117"/>
      <c r="B948" s="117"/>
      <c r="C948" s="117"/>
      <c r="D948" s="117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</row>
    <row r="949">
      <c r="A949" s="117"/>
      <c r="B949" s="117"/>
      <c r="C949" s="117"/>
      <c r="D949" s="117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</row>
    <row r="950">
      <c r="A950" s="117"/>
      <c r="B950" s="117"/>
      <c r="C950" s="117"/>
      <c r="D950" s="117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</row>
    <row r="951">
      <c r="A951" s="117"/>
      <c r="B951" s="117"/>
      <c r="C951" s="117"/>
      <c r="D951" s="117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</row>
    <row r="952">
      <c r="A952" s="117"/>
      <c r="B952" s="117"/>
      <c r="C952" s="117"/>
      <c r="D952" s="117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</row>
    <row r="953">
      <c r="A953" s="117"/>
      <c r="B953" s="117"/>
      <c r="C953" s="117"/>
      <c r="D953" s="117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</row>
    <row r="954">
      <c r="A954" s="117"/>
      <c r="B954" s="117"/>
      <c r="C954" s="117"/>
      <c r="D954" s="117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</row>
    <row r="955">
      <c r="A955" s="117"/>
      <c r="B955" s="117"/>
      <c r="C955" s="117"/>
      <c r="D955" s="117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</row>
    <row r="956">
      <c r="A956" s="117"/>
      <c r="B956" s="117"/>
      <c r="C956" s="117"/>
      <c r="D956" s="117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</row>
    <row r="957">
      <c r="A957" s="117"/>
      <c r="B957" s="117"/>
      <c r="C957" s="117"/>
      <c r="D957" s="117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</row>
    <row r="958">
      <c r="A958" s="117"/>
      <c r="B958" s="117"/>
      <c r="C958" s="117"/>
      <c r="D958" s="117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</row>
    <row r="959">
      <c r="A959" s="117"/>
      <c r="B959" s="117"/>
      <c r="C959" s="117"/>
      <c r="D959" s="117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</row>
    <row r="960">
      <c r="A960" s="117"/>
      <c r="B960" s="117"/>
      <c r="C960" s="117"/>
      <c r="D960" s="117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</row>
    <row r="961">
      <c r="A961" s="117"/>
      <c r="B961" s="117"/>
      <c r="C961" s="117"/>
      <c r="D961" s="117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</row>
    <row r="962">
      <c r="A962" s="117"/>
      <c r="B962" s="117"/>
      <c r="C962" s="117"/>
      <c r="D962" s="117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</row>
    <row r="963">
      <c r="A963" s="117"/>
      <c r="B963" s="117"/>
      <c r="C963" s="117"/>
      <c r="D963" s="117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</row>
    <row r="964">
      <c r="A964" s="117"/>
      <c r="B964" s="117"/>
      <c r="C964" s="117"/>
      <c r="D964" s="117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</row>
    <row r="965">
      <c r="A965" s="117"/>
      <c r="B965" s="117"/>
      <c r="C965" s="117"/>
      <c r="D965" s="117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</row>
    <row r="966">
      <c r="A966" s="117"/>
      <c r="B966" s="117"/>
      <c r="C966" s="117"/>
      <c r="D966" s="117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</row>
    <row r="967">
      <c r="A967" s="117"/>
      <c r="B967" s="117"/>
      <c r="C967" s="117"/>
      <c r="D967" s="117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</row>
    <row r="968">
      <c r="A968" s="117"/>
      <c r="B968" s="117"/>
      <c r="C968" s="117"/>
      <c r="D968" s="117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</row>
    <row r="969">
      <c r="A969" s="117"/>
      <c r="B969" s="117"/>
      <c r="C969" s="117"/>
      <c r="D969" s="117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</row>
    <row r="970">
      <c r="A970" s="117"/>
      <c r="B970" s="117"/>
      <c r="C970" s="117"/>
      <c r="D970" s="117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</row>
    <row r="971">
      <c r="A971" s="117"/>
      <c r="B971" s="117"/>
      <c r="C971" s="117"/>
      <c r="D971" s="117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</row>
    <row r="972">
      <c r="A972" s="117"/>
      <c r="B972" s="117"/>
      <c r="C972" s="117"/>
      <c r="D972" s="117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</row>
    <row r="973">
      <c r="A973" s="117"/>
      <c r="B973" s="117"/>
      <c r="C973" s="117"/>
      <c r="D973" s="117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</row>
    <row r="974">
      <c r="A974" s="117"/>
      <c r="B974" s="117"/>
      <c r="C974" s="117"/>
      <c r="D974" s="117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</row>
    <row r="975">
      <c r="A975" s="117"/>
      <c r="B975" s="117"/>
      <c r="C975" s="117"/>
      <c r="D975" s="117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</row>
    <row r="976">
      <c r="A976" s="117"/>
      <c r="B976" s="117"/>
      <c r="C976" s="117"/>
      <c r="D976" s="117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</row>
    <row r="977">
      <c r="A977" s="117"/>
      <c r="B977" s="117"/>
      <c r="C977" s="117"/>
      <c r="D977" s="117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</row>
    <row r="978">
      <c r="A978" s="117"/>
      <c r="B978" s="117"/>
      <c r="C978" s="117"/>
      <c r="D978" s="117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</row>
    <row r="979">
      <c r="A979" s="117"/>
      <c r="B979" s="117"/>
      <c r="C979" s="117"/>
      <c r="D979" s="117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</row>
    <row r="980">
      <c r="A980" s="117"/>
      <c r="B980" s="117"/>
      <c r="C980" s="117"/>
      <c r="D980" s="117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</row>
    <row r="981">
      <c r="A981" s="117"/>
      <c r="B981" s="117"/>
      <c r="C981" s="117"/>
      <c r="D981" s="117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</row>
    <row r="982">
      <c r="A982" s="117"/>
      <c r="B982" s="117"/>
      <c r="C982" s="117"/>
      <c r="D982" s="117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</row>
    <row r="983">
      <c r="A983" s="117"/>
      <c r="B983" s="117"/>
      <c r="C983" s="117"/>
      <c r="D983" s="117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</row>
    <row r="984">
      <c r="A984" s="117"/>
      <c r="B984" s="117"/>
      <c r="C984" s="117"/>
      <c r="D984" s="117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</row>
    <row r="985">
      <c r="A985" s="117"/>
      <c r="B985" s="117"/>
      <c r="C985" s="117"/>
      <c r="D985" s="117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</row>
    <row r="986">
      <c r="A986" s="117"/>
      <c r="B986" s="117"/>
      <c r="C986" s="117"/>
      <c r="D986" s="117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</row>
    <row r="987">
      <c r="A987" s="117"/>
      <c r="B987" s="117"/>
      <c r="C987" s="117"/>
      <c r="D987" s="117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</row>
    <row r="988">
      <c r="A988" s="117"/>
      <c r="B988" s="117"/>
      <c r="C988" s="117"/>
      <c r="D988" s="117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</row>
    <row r="989">
      <c r="A989" s="117"/>
      <c r="B989" s="117"/>
      <c r="C989" s="117"/>
      <c r="D989" s="117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</row>
    <row r="990">
      <c r="A990" s="117"/>
      <c r="B990" s="117"/>
      <c r="C990" s="117"/>
      <c r="D990" s="117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</row>
    <row r="991">
      <c r="A991" s="117"/>
      <c r="B991" s="117"/>
      <c r="C991" s="117"/>
      <c r="D991" s="117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</row>
    <row r="992">
      <c r="A992" s="117"/>
      <c r="B992" s="117"/>
      <c r="C992" s="117"/>
      <c r="D992" s="117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</row>
    <row r="993">
      <c r="A993" s="117"/>
      <c r="B993" s="117"/>
      <c r="C993" s="117"/>
      <c r="D993" s="117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</row>
    <row r="994">
      <c r="A994" s="117"/>
      <c r="B994" s="117"/>
      <c r="C994" s="117"/>
      <c r="D994" s="117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</row>
    <row r="995">
      <c r="A995" s="117"/>
      <c r="B995" s="117"/>
      <c r="C995" s="117"/>
      <c r="D995" s="117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</row>
    <row r="996">
      <c r="A996" s="117"/>
      <c r="B996" s="117"/>
      <c r="C996" s="117"/>
      <c r="D996" s="117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</row>
    <row r="997">
      <c r="A997" s="117"/>
      <c r="B997" s="117"/>
      <c r="C997" s="117"/>
      <c r="D997" s="117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</row>
    <row r="998">
      <c r="A998" s="117"/>
      <c r="B998" s="117"/>
      <c r="C998" s="117"/>
      <c r="D998" s="117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</row>
    <row r="999">
      <c r="A999" s="117"/>
      <c r="B999" s="117"/>
      <c r="C999" s="117"/>
      <c r="D999" s="117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</row>
    <row r="1000">
      <c r="A1000" s="117"/>
      <c r="B1000" s="117"/>
      <c r="C1000" s="117"/>
      <c r="D1000" s="117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</row>
    <row r="1001">
      <c r="A1001" s="117"/>
      <c r="B1001" s="117"/>
      <c r="C1001" s="117"/>
      <c r="D1001" s="117"/>
      <c r="H1001" s="117"/>
      <c r="I1001" s="117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</row>
  </sheetData>
  <mergeCells count="8">
    <mergeCell ref="E1:G1"/>
    <mergeCell ref="H1:J1"/>
    <mergeCell ref="K1:M1"/>
    <mergeCell ref="N1:P1"/>
    <mergeCell ref="Q1:S1"/>
    <mergeCell ref="T1:V1"/>
    <mergeCell ref="W1:Y1"/>
    <mergeCell ref="Z1:AB1"/>
  </mergeCells>
  <conditionalFormatting sqref="C1:C1001">
    <cfRule type="colorScale" priority="1">
      <colorScale>
        <cfvo type="min"/>
        <cfvo type="max"/>
        <color rgb="FFFFFFFF"/>
        <color rgb="FFFFD666"/>
      </colorScale>
    </cfRule>
  </conditionalFormatting>
  <conditionalFormatting sqref="F2 I2 L2 O2 R2 U2 X2 AA2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G2 J2 M2 P2:AB2">
    <cfRule type="colorScale" priority="3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D1:D1001">
    <cfRule type="colorScale" priority="4">
      <colorScale>
        <cfvo type="min"/>
        <cfvo type="max"/>
        <color rgb="FFFFFFFF"/>
        <color rgb="FFFFD666"/>
      </colorScale>
    </cfRule>
  </conditionalFormatting>
  <conditionalFormatting sqref="E2:E1001 H2 K2 N2:AB2 F3:G27">
    <cfRule type="colorScale" priority="5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K3:M146 N3:AB26">
    <cfRule type="colorScale" priority="6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H1:J1001 K1:AB1">
    <cfRule type="colorScale" priority="7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K3:M146 N3:AB26">
    <cfRule type="cellIs" dxfId="6" priority="8" operator="greaterThanOrEqual">
      <formula>0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57"/>
    <col customWidth="1" min="13" max="13" width="15.14"/>
  </cols>
  <sheetData>
    <row r="1">
      <c r="A1" s="129" t="s">
        <v>7</v>
      </c>
      <c r="C1" s="129"/>
      <c r="D1" s="129" t="s">
        <v>72</v>
      </c>
      <c r="E1" s="118">
        <f>if('Query Tool'!C37="",min(A:A),'Query Tool'!C37)</f>
        <v>20</v>
      </c>
      <c r="G1" s="129" t="s">
        <v>22</v>
      </c>
      <c r="J1" s="129" t="s">
        <v>184</v>
      </c>
      <c r="K1" s="129" t="s">
        <v>178</v>
      </c>
      <c r="L1" s="129" t="s">
        <v>185</v>
      </c>
      <c r="M1" s="129" t="s">
        <v>186</v>
      </c>
    </row>
    <row r="2">
      <c r="A2" s="118">
        <f>IFERROR(__xludf.DUMMYFUNCTION("sort(UNIQUE(Data!I2:I1001),UNIQUE(Data!I2:I1001),TRUE)"),19.0)</f>
        <v>19</v>
      </c>
      <c r="B2" s="118" t="b">
        <f t="shared" ref="B2:B55" si="1">if(E$3=TRUE,TRUE,and(A2&gt;=E$1,A2&lt;=E$2))</f>
        <v>1</v>
      </c>
      <c r="C2" s="129"/>
      <c r="D2" s="129" t="s">
        <v>73</v>
      </c>
      <c r="E2" s="118">
        <f>if('Query Tool'!D37="",max(A:A),'Query Tool'!D37)</f>
        <v>25</v>
      </c>
      <c r="G2" s="118" t="str">
        <f>IFERROR(__xludf.DUMMYFUNCTION("sort(unique(Data!D2:D1001),unique(Data!D2:D1001),TRUE)"),"ATL")</f>
        <v>ATL</v>
      </c>
      <c r="H2" s="118">
        <f>countif('Query Tool'!C:C,G2)</f>
        <v>1</v>
      </c>
      <c r="J2" s="130" t="s">
        <v>187</v>
      </c>
      <c r="K2" s="129" t="s">
        <v>188</v>
      </c>
      <c r="L2" s="131">
        <v>43835.0</v>
      </c>
      <c r="M2" s="132">
        <f>averageifs(Data!M:M,Data!C:C,"&lt;&gt;2019-20",Data!R:R,"&lt;6")</f>
        <v>13.09369052</v>
      </c>
    </row>
    <row r="3">
      <c r="A3" s="118">
        <f>IFERROR(__xludf.DUMMYFUNCTION("""COMPUTED_VALUE"""),20.0)</f>
        <v>20</v>
      </c>
      <c r="B3" s="118" t="b">
        <f t="shared" si="1"/>
        <v>1</v>
      </c>
      <c r="D3" s="129" t="s">
        <v>189</v>
      </c>
      <c r="E3" s="118" t="b">
        <f>'Query Tool'!D35</f>
        <v>1</v>
      </c>
      <c r="G3" s="118" t="str">
        <f>IFERROR(__xludf.DUMMYFUNCTION("""COMPUTED_VALUE"""),"BOS")</f>
        <v>BOS</v>
      </c>
      <c r="H3" s="118">
        <f>countif('Query Tool'!C:C,G3)</f>
        <v>1</v>
      </c>
      <c r="J3" s="129" t="s">
        <v>109</v>
      </c>
      <c r="K3" s="129" t="s">
        <v>190</v>
      </c>
      <c r="L3" s="131">
        <v>43997.0</v>
      </c>
      <c r="M3" s="132">
        <f>averageifs(Data!M:M,Data!C:C,"&lt;&gt;2019-20",Data!R:R,"&gt;5",Data!R:R,"&lt;16")</f>
        <v>9.974985378</v>
      </c>
    </row>
    <row r="4">
      <c r="A4" s="118">
        <f>IFERROR(__xludf.DUMMYFUNCTION("""COMPUTED_VALUE"""),21.0)</f>
        <v>21</v>
      </c>
      <c r="B4" s="118" t="b">
        <f t="shared" si="1"/>
        <v>1</v>
      </c>
      <c r="G4" s="118" t="str">
        <f>IFERROR(__xludf.DUMMYFUNCTION("""COMPUTED_VALUE"""),"BRK")</f>
        <v>BRK</v>
      </c>
      <c r="H4" s="118">
        <f>countif('Query Tool'!C:C,G4)</f>
        <v>1</v>
      </c>
      <c r="J4" s="129" t="s">
        <v>108</v>
      </c>
      <c r="K4" s="129" t="s">
        <v>191</v>
      </c>
      <c r="L4" s="124" t="s">
        <v>192</v>
      </c>
      <c r="M4" s="132">
        <f>averageifs(Data!M:M,Data!C:C,"&lt;&gt;2019-20",Data!R:R,"&gt;15",Data!R:R,"&lt;25")</f>
        <v>7.979578506</v>
      </c>
    </row>
    <row r="5">
      <c r="A5" s="118">
        <f>IFERROR(__xludf.DUMMYFUNCTION("""COMPUTED_VALUE"""),22.0)</f>
        <v>22</v>
      </c>
      <c r="B5" s="118" t="b">
        <f t="shared" si="1"/>
        <v>1</v>
      </c>
      <c r="G5" s="118" t="str">
        <f>IFERROR(__xludf.DUMMYFUNCTION("""COMPUTED_VALUE"""),"CHA")</f>
        <v>CHA</v>
      </c>
      <c r="H5" s="118">
        <f>countif('Query Tool'!C:C,G5)</f>
        <v>1</v>
      </c>
      <c r="J5" s="129" t="s">
        <v>107</v>
      </c>
      <c r="K5" s="129" t="s">
        <v>193</v>
      </c>
      <c r="L5" s="124" t="s">
        <v>194</v>
      </c>
      <c r="M5" s="132">
        <f>averageifs(Data!M:M,Data!C:C,"&lt;&gt;2019-20",Data!R:R,"&gt;24",Data!R:R,"&lt;151")</f>
        <v>3.796932255</v>
      </c>
    </row>
    <row r="6">
      <c r="A6" s="118">
        <f>IFERROR(__xludf.DUMMYFUNCTION("""COMPUTED_VALUE"""),23.0)</f>
        <v>23</v>
      </c>
      <c r="B6" s="118" t="b">
        <f t="shared" si="1"/>
        <v>1</v>
      </c>
      <c r="G6" s="118" t="str">
        <f>IFERROR(__xludf.DUMMYFUNCTION("""COMPUTED_VALUE"""),"CHI")</f>
        <v>CHI</v>
      </c>
      <c r="H6" s="118">
        <f>countif('Query Tool'!C:C,G6)</f>
        <v>1</v>
      </c>
      <c r="J6" s="129" t="s">
        <v>106</v>
      </c>
      <c r="K6" s="129" t="s">
        <v>195</v>
      </c>
      <c r="L6" s="124" t="s">
        <v>196</v>
      </c>
      <c r="M6" s="132">
        <f>averageifs(Data!M:M,Data!C:C,"&lt;&gt;2019-20",Data!R:R,"&gt;150",Data!R:R,"&lt;271")</f>
        <v>1.142565169</v>
      </c>
    </row>
    <row r="7">
      <c r="A7" s="118">
        <f>IFERROR(__xludf.DUMMYFUNCTION("""COMPUTED_VALUE"""),24.0)</f>
        <v>24</v>
      </c>
      <c r="B7" s="118" t="b">
        <f t="shared" si="1"/>
        <v>1</v>
      </c>
      <c r="G7" s="118" t="str">
        <f>IFERROR(__xludf.DUMMYFUNCTION("""COMPUTED_VALUE"""),"CHO")</f>
        <v>CHO</v>
      </c>
      <c r="H7" s="118">
        <f>countif('Query Tool'!C:C,G7)</f>
        <v>1</v>
      </c>
      <c r="J7" s="129" t="s">
        <v>105</v>
      </c>
      <c r="K7" s="129" t="s">
        <v>197</v>
      </c>
      <c r="L7" s="124" t="s">
        <v>198</v>
      </c>
      <c r="M7" s="132">
        <f>averageifs(Data!M:M,Data!C:C,"&lt;&gt;2019-20",Data!R:R,"&gt;270",Data!R:R,"&lt;361")</f>
        <v>0.2946269691</v>
      </c>
    </row>
    <row r="8">
      <c r="A8" s="118">
        <f>IFERROR(__xludf.DUMMYFUNCTION("""COMPUTED_VALUE"""),25.0)</f>
        <v>25</v>
      </c>
      <c r="B8" s="118" t="b">
        <f t="shared" si="1"/>
        <v>1</v>
      </c>
      <c r="G8" s="118" t="str">
        <f>IFERROR(__xludf.DUMMYFUNCTION("""COMPUTED_VALUE"""),"CLE")</f>
        <v>CLE</v>
      </c>
      <c r="H8" s="118">
        <f>countif('Query Tool'!C:C,G8)</f>
        <v>1</v>
      </c>
      <c r="J8" s="129" t="s">
        <v>199</v>
      </c>
      <c r="K8" s="129" t="s">
        <v>200</v>
      </c>
      <c r="L8" s="124" t="s">
        <v>200</v>
      </c>
      <c r="M8" s="132">
        <f>averageifs(Data!M:M,Data!C:C,"&lt;&gt;2019-20",Data!R:R,"&gt;360")</f>
        <v>-0.1009560516</v>
      </c>
    </row>
    <row r="9">
      <c r="A9" s="118">
        <f>IFERROR(__xludf.DUMMYFUNCTION("""COMPUTED_VALUE"""),26.0)</f>
        <v>26</v>
      </c>
      <c r="B9" s="118" t="b">
        <f t="shared" si="1"/>
        <v>1</v>
      </c>
      <c r="G9" s="118" t="str">
        <f>IFERROR(__xludf.DUMMYFUNCTION("""COMPUTED_VALUE"""),"DAL")</f>
        <v>DAL</v>
      </c>
      <c r="H9" s="118">
        <f>countif('Query Tool'!C:C,G9)</f>
        <v>1</v>
      </c>
    </row>
    <row r="10">
      <c r="A10" s="118">
        <f>IFERROR(__xludf.DUMMYFUNCTION("""COMPUTED_VALUE"""),27.0)</f>
        <v>27</v>
      </c>
      <c r="B10" s="118" t="b">
        <f t="shared" si="1"/>
        <v>1</v>
      </c>
      <c r="G10" s="118" t="str">
        <f>IFERROR(__xludf.DUMMYFUNCTION("""COMPUTED_VALUE"""),"DEN")</f>
        <v>DEN</v>
      </c>
      <c r="H10" s="118">
        <f>countif('Query Tool'!C:C,G10)</f>
        <v>1</v>
      </c>
    </row>
    <row r="11">
      <c r="A11" s="118">
        <f>IFERROR(__xludf.DUMMYFUNCTION("""COMPUTED_VALUE"""),28.0)</f>
        <v>28</v>
      </c>
      <c r="B11" s="118" t="b">
        <f t="shared" si="1"/>
        <v>1</v>
      </c>
      <c r="G11" s="118" t="str">
        <f>IFERROR(__xludf.DUMMYFUNCTION("""COMPUTED_VALUE"""),"DET")</f>
        <v>DET</v>
      </c>
      <c r="H11" s="118">
        <f>countif('Query Tool'!C:C,G11)</f>
        <v>1</v>
      </c>
    </row>
    <row r="12">
      <c r="A12" s="118">
        <f>IFERROR(__xludf.DUMMYFUNCTION("""COMPUTED_VALUE"""),29.0)</f>
        <v>29</v>
      </c>
      <c r="B12" s="118" t="b">
        <f t="shared" si="1"/>
        <v>1</v>
      </c>
      <c r="G12" s="118" t="str">
        <f>IFERROR(__xludf.DUMMYFUNCTION("""COMPUTED_VALUE"""),"GSW")</f>
        <v>GSW</v>
      </c>
      <c r="H12" s="118">
        <f>countif('Query Tool'!C:C,G12)</f>
        <v>1</v>
      </c>
    </row>
    <row r="13">
      <c r="A13" s="118">
        <f>IFERROR(__xludf.DUMMYFUNCTION("""COMPUTED_VALUE"""),30.0)</f>
        <v>30</v>
      </c>
      <c r="B13" s="118" t="b">
        <f t="shared" si="1"/>
        <v>1</v>
      </c>
      <c r="G13" s="118" t="str">
        <f>IFERROR(__xludf.DUMMYFUNCTION("""COMPUTED_VALUE"""),"HOU")</f>
        <v>HOU</v>
      </c>
      <c r="H13" s="118">
        <f>countif('Query Tool'!C:C,G13)</f>
        <v>1</v>
      </c>
    </row>
    <row r="14">
      <c r="A14" s="118">
        <f>IFERROR(__xludf.DUMMYFUNCTION("""COMPUTED_VALUE"""),31.0)</f>
        <v>31</v>
      </c>
      <c r="B14" s="118" t="b">
        <f t="shared" si="1"/>
        <v>1</v>
      </c>
      <c r="G14" s="118" t="str">
        <f>IFERROR(__xludf.DUMMYFUNCTION("""COMPUTED_VALUE"""),"IND")</f>
        <v>IND</v>
      </c>
      <c r="H14" s="118">
        <f>countif('Query Tool'!C:C,G14)</f>
        <v>1</v>
      </c>
    </row>
    <row r="15">
      <c r="A15" s="118">
        <f>IFERROR(__xludf.DUMMYFUNCTION("""COMPUTED_VALUE"""),32.0)</f>
        <v>32</v>
      </c>
      <c r="B15" s="118" t="b">
        <f t="shared" si="1"/>
        <v>1</v>
      </c>
      <c r="G15" s="118" t="str">
        <f>IFERROR(__xludf.DUMMYFUNCTION("""COMPUTED_VALUE"""),"LAC")</f>
        <v>LAC</v>
      </c>
      <c r="H15" s="118">
        <f>countif('Query Tool'!C:C,G15)</f>
        <v>1</v>
      </c>
    </row>
    <row r="16">
      <c r="A16" s="118">
        <f>IFERROR(__xludf.DUMMYFUNCTION("""COMPUTED_VALUE"""),33.0)</f>
        <v>33</v>
      </c>
      <c r="B16" s="118" t="b">
        <f t="shared" si="1"/>
        <v>1</v>
      </c>
      <c r="G16" s="118" t="str">
        <f>IFERROR(__xludf.DUMMYFUNCTION("""COMPUTED_VALUE"""),"LAL")</f>
        <v>LAL</v>
      </c>
      <c r="H16" s="118">
        <f>countif('Query Tool'!C:C,G16)</f>
        <v>1</v>
      </c>
    </row>
    <row r="17">
      <c r="A17" s="118">
        <f>IFERROR(__xludf.DUMMYFUNCTION("""COMPUTED_VALUE"""),34.0)</f>
        <v>34</v>
      </c>
      <c r="B17" s="118" t="b">
        <f t="shared" si="1"/>
        <v>1</v>
      </c>
      <c r="G17" s="118" t="str">
        <f>IFERROR(__xludf.DUMMYFUNCTION("""COMPUTED_VALUE"""),"MEM")</f>
        <v>MEM</v>
      </c>
      <c r="H17" s="118">
        <f>countif('Query Tool'!C:C,G17)</f>
        <v>1</v>
      </c>
    </row>
    <row r="18">
      <c r="A18" s="118">
        <f>IFERROR(__xludf.DUMMYFUNCTION("""COMPUTED_VALUE"""),35.0)</f>
        <v>35</v>
      </c>
      <c r="B18" s="118" t="b">
        <f t="shared" si="1"/>
        <v>1</v>
      </c>
      <c r="G18" s="118" t="str">
        <f>IFERROR(__xludf.DUMMYFUNCTION("""COMPUTED_VALUE"""),"MIA")</f>
        <v>MIA</v>
      </c>
      <c r="H18" s="118">
        <f>countif('Query Tool'!C:C,G18)</f>
        <v>1</v>
      </c>
    </row>
    <row r="19">
      <c r="A19" s="118">
        <f>IFERROR(__xludf.DUMMYFUNCTION("""COMPUTED_VALUE"""),36.0)</f>
        <v>36</v>
      </c>
      <c r="B19" s="118" t="b">
        <f t="shared" si="1"/>
        <v>1</v>
      </c>
      <c r="G19" s="118" t="str">
        <f>IFERROR(__xludf.DUMMYFUNCTION("""COMPUTED_VALUE"""),"MIL")</f>
        <v>MIL</v>
      </c>
      <c r="H19" s="118">
        <f>countif('Query Tool'!C:C,G19)</f>
        <v>1</v>
      </c>
    </row>
    <row r="20">
      <c r="A20" s="118">
        <f>IFERROR(__xludf.DUMMYFUNCTION("""COMPUTED_VALUE"""),37.0)</f>
        <v>37</v>
      </c>
      <c r="B20" s="118" t="b">
        <f t="shared" si="1"/>
        <v>1</v>
      </c>
      <c r="G20" s="118" t="str">
        <f>IFERROR(__xludf.DUMMYFUNCTION("""COMPUTED_VALUE"""),"MIN")</f>
        <v>MIN</v>
      </c>
      <c r="H20" s="118">
        <f>countif('Query Tool'!C:C,G20)</f>
        <v>1</v>
      </c>
    </row>
    <row r="21">
      <c r="A21" s="118">
        <f>IFERROR(__xludf.DUMMYFUNCTION("""COMPUTED_VALUE"""),38.0)</f>
        <v>38</v>
      </c>
      <c r="B21" s="118" t="b">
        <f t="shared" si="1"/>
        <v>1</v>
      </c>
      <c r="G21" s="118" t="str">
        <f>IFERROR(__xludf.DUMMYFUNCTION("""COMPUTED_VALUE"""),"NOP")</f>
        <v>NOP</v>
      </c>
      <c r="H21" s="118">
        <f>countif('Query Tool'!C:C,G21)</f>
        <v>1</v>
      </c>
    </row>
    <row r="22">
      <c r="A22" s="118">
        <f>IFERROR(__xludf.DUMMYFUNCTION("""COMPUTED_VALUE"""),39.0)</f>
        <v>39</v>
      </c>
      <c r="B22" s="118" t="b">
        <f t="shared" si="1"/>
        <v>1</v>
      </c>
      <c r="G22" s="118" t="str">
        <f>IFERROR(__xludf.DUMMYFUNCTION("""COMPUTED_VALUE"""),"NYK")</f>
        <v>NYK</v>
      </c>
      <c r="H22" s="118">
        <f>countif('Query Tool'!C:C,G22)</f>
        <v>1</v>
      </c>
    </row>
    <row r="23">
      <c r="A23" s="118">
        <f>IFERROR(__xludf.DUMMYFUNCTION("""COMPUTED_VALUE"""),40.0)</f>
        <v>40</v>
      </c>
      <c r="B23" s="118" t="b">
        <f t="shared" si="1"/>
        <v>1</v>
      </c>
      <c r="G23" s="118" t="str">
        <f>IFERROR(__xludf.DUMMYFUNCTION("""COMPUTED_VALUE"""),"OKC")</f>
        <v>OKC</v>
      </c>
      <c r="H23" s="118">
        <f>countif('Query Tool'!C:C,G23)</f>
        <v>1</v>
      </c>
    </row>
    <row r="24">
      <c r="A24" s="118">
        <f>IFERROR(__xludf.DUMMYFUNCTION("""COMPUTED_VALUE"""),41.0)</f>
        <v>41</v>
      </c>
      <c r="B24" s="118" t="b">
        <f t="shared" si="1"/>
        <v>1</v>
      </c>
      <c r="G24" s="118" t="str">
        <f>IFERROR(__xludf.DUMMYFUNCTION("""COMPUTED_VALUE"""),"ORL")</f>
        <v>ORL</v>
      </c>
      <c r="H24" s="118">
        <f>countif('Query Tool'!C:C,G24)</f>
        <v>1</v>
      </c>
    </row>
    <row r="25">
      <c r="A25" s="118">
        <f>IFERROR(__xludf.DUMMYFUNCTION("""COMPUTED_VALUE"""),42.0)</f>
        <v>42</v>
      </c>
      <c r="B25" s="118" t="b">
        <f t="shared" si="1"/>
        <v>1</v>
      </c>
      <c r="G25" s="118" t="str">
        <f>IFERROR(__xludf.DUMMYFUNCTION("""COMPUTED_VALUE"""),"PHI")</f>
        <v>PHI</v>
      </c>
      <c r="H25" s="118">
        <f>countif('Query Tool'!C:C,G25)</f>
        <v>1</v>
      </c>
    </row>
    <row r="26">
      <c r="A26" s="118">
        <f>IFERROR(__xludf.DUMMYFUNCTION("""COMPUTED_VALUE"""),43.0)</f>
        <v>43</v>
      </c>
      <c r="B26" s="118" t="b">
        <f t="shared" si="1"/>
        <v>1</v>
      </c>
      <c r="G26" s="118" t="str">
        <f>IFERROR(__xludf.DUMMYFUNCTION("""COMPUTED_VALUE"""),"PHO")</f>
        <v>PHO</v>
      </c>
      <c r="H26" s="118">
        <f>countif('Query Tool'!C:C,G26)</f>
        <v>1</v>
      </c>
    </row>
    <row r="27">
      <c r="A27" s="118"/>
      <c r="B27" s="118" t="b">
        <f t="shared" si="1"/>
        <v>1</v>
      </c>
      <c r="G27" s="118" t="str">
        <f>IFERROR(__xludf.DUMMYFUNCTION("""COMPUTED_VALUE"""),"POR")</f>
        <v>POR</v>
      </c>
      <c r="H27" s="118">
        <f>countif('Query Tool'!C:C,G27)</f>
        <v>1</v>
      </c>
    </row>
    <row r="28">
      <c r="B28" s="118" t="b">
        <f t="shared" si="1"/>
        <v>1</v>
      </c>
      <c r="G28" s="118" t="str">
        <f>IFERROR(__xludf.DUMMYFUNCTION("""COMPUTED_VALUE"""),"SAC")</f>
        <v>SAC</v>
      </c>
      <c r="H28" s="118">
        <f>countif('Query Tool'!C:C,G28)</f>
        <v>1</v>
      </c>
    </row>
    <row r="29">
      <c r="B29" s="118" t="b">
        <f t="shared" si="1"/>
        <v>1</v>
      </c>
      <c r="G29" s="118" t="str">
        <f>IFERROR(__xludf.DUMMYFUNCTION("""COMPUTED_VALUE"""),"SAS")</f>
        <v>SAS</v>
      </c>
      <c r="H29" s="118">
        <f>countif('Query Tool'!C:C,G29)</f>
        <v>1</v>
      </c>
    </row>
    <row r="30">
      <c r="B30" s="118" t="b">
        <f t="shared" si="1"/>
        <v>1</v>
      </c>
      <c r="G30" s="118" t="str">
        <f>IFERROR(__xludf.DUMMYFUNCTION("""COMPUTED_VALUE"""),"TOR")</f>
        <v>TOR</v>
      </c>
      <c r="H30" s="118">
        <f>countif('Query Tool'!C:C,G30)</f>
        <v>1</v>
      </c>
    </row>
    <row r="31">
      <c r="B31" s="118" t="b">
        <f t="shared" si="1"/>
        <v>1</v>
      </c>
      <c r="G31" s="118" t="str">
        <f>IFERROR(__xludf.DUMMYFUNCTION("""COMPUTED_VALUE"""),"TOT")</f>
        <v>TOT</v>
      </c>
      <c r="H31" s="118">
        <f>countif('Query Tool'!C:C,G31)</f>
        <v>1</v>
      </c>
    </row>
    <row r="32">
      <c r="B32" s="118" t="b">
        <f t="shared" si="1"/>
        <v>1</v>
      </c>
      <c r="G32" s="118" t="str">
        <f>IFERROR(__xludf.DUMMYFUNCTION("""COMPUTED_VALUE"""),"UTA")</f>
        <v>UTA</v>
      </c>
      <c r="H32" s="118">
        <f>countif('Query Tool'!C:C,G32)</f>
        <v>1</v>
      </c>
    </row>
    <row r="33">
      <c r="B33" s="118" t="b">
        <f t="shared" si="1"/>
        <v>1</v>
      </c>
      <c r="G33" s="118" t="str">
        <f>IFERROR(__xludf.DUMMYFUNCTION("""COMPUTED_VALUE"""),"WAS")</f>
        <v>WAS</v>
      </c>
      <c r="H33" s="118">
        <f>countif('Query Tool'!C:C,G33)</f>
        <v>1</v>
      </c>
    </row>
    <row r="34">
      <c r="B34" s="118" t="b">
        <f t="shared" si="1"/>
        <v>1</v>
      </c>
      <c r="G34" s="118"/>
      <c r="H34" s="118">
        <f>countif('Query Tool'!C:C,G34)</f>
        <v>0</v>
      </c>
    </row>
    <row r="35">
      <c r="B35" s="118" t="b">
        <f t="shared" si="1"/>
        <v>1</v>
      </c>
      <c r="H35" s="118">
        <f>countif('Query Tool'!C:C,G35)</f>
        <v>0</v>
      </c>
    </row>
    <row r="36">
      <c r="B36" s="118" t="b">
        <f t="shared" si="1"/>
        <v>1</v>
      </c>
    </row>
    <row r="37">
      <c r="B37" s="118" t="b">
        <f t="shared" si="1"/>
        <v>1</v>
      </c>
    </row>
    <row r="38">
      <c r="B38" s="118" t="b">
        <f t="shared" si="1"/>
        <v>1</v>
      </c>
    </row>
    <row r="39">
      <c r="B39" s="118" t="b">
        <f t="shared" si="1"/>
        <v>1</v>
      </c>
    </row>
    <row r="40">
      <c r="B40" s="118" t="b">
        <f t="shared" si="1"/>
        <v>1</v>
      </c>
    </row>
    <row r="41">
      <c r="B41" s="118" t="b">
        <f t="shared" si="1"/>
        <v>1</v>
      </c>
    </row>
    <row r="42">
      <c r="B42" s="118" t="b">
        <f t="shared" si="1"/>
        <v>1</v>
      </c>
    </row>
    <row r="43">
      <c r="B43" s="118" t="b">
        <f t="shared" si="1"/>
        <v>1</v>
      </c>
    </row>
    <row r="44">
      <c r="B44" s="118" t="b">
        <f t="shared" si="1"/>
        <v>1</v>
      </c>
    </row>
    <row r="45">
      <c r="B45" s="118" t="b">
        <f t="shared" si="1"/>
        <v>1</v>
      </c>
    </row>
    <row r="46">
      <c r="B46" s="118" t="b">
        <f t="shared" si="1"/>
        <v>1</v>
      </c>
    </row>
    <row r="47">
      <c r="B47" s="118" t="b">
        <f t="shared" si="1"/>
        <v>1</v>
      </c>
    </row>
    <row r="48">
      <c r="B48" s="118" t="b">
        <f t="shared" si="1"/>
        <v>1</v>
      </c>
    </row>
    <row r="49">
      <c r="B49" s="118" t="b">
        <f t="shared" si="1"/>
        <v>1</v>
      </c>
    </row>
    <row r="50">
      <c r="B50" s="118" t="b">
        <f t="shared" si="1"/>
        <v>1</v>
      </c>
    </row>
    <row r="51">
      <c r="B51" s="118" t="b">
        <f t="shared" si="1"/>
        <v>1</v>
      </c>
    </row>
    <row r="52">
      <c r="B52" s="118" t="b">
        <f t="shared" si="1"/>
        <v>1</v>
      </c>
    </row>
    <row r="53">
      <c r="B53" s="118" t="b">
        <f t="shared" si="1"/>
        <v>1</v>
      </c>
    </row>
    <row r="54">
      <c r="B54" s="118" t="b">
        <f t="shared" si="1"/>
        <v>1</v>
      </c>
    </row>
    <row r="55">
      <c r="B55" s="118" t="b">
        <f t="shared" si="1"/>
        <v>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4.43"/>
    <col customWidth="1" min="3" max="3" width="37.14"/>
    <col customWidth="1" min="4" max="4" width="15.86"/>
    <col customWidth="1" min="5" max="5" width="10.29"/>
    <col hidden="1" min="6" max="6" width="14.43"/>
    <col customWidth="1" min="7" max="7" width="11.57"/>
    <col customWidth="1" min="8" max="8" width="6.57"/>
    <col customWidth="1" min="9" max="10" width="12.0"/>
    <col customWidth="1" min="11" max="13" width="17.29"/>
    <col customWidth="1" hidden="1" min="14" max="16" width="9.29"/>
    <col customWidth="1" min="17" max="17" width="17.57"/>
    <col customWidth="1" min="18" max="18" width="18.29"/>
    <col customWidth="1" min="19" max="24" width="14.57"/>
    <col customWidth="1" min="25" max="25" width="22.0"/>
    <col customWidth="1" hidden="1" min="26" max="26" width="18.43"/>
    <col customWidth="1" hidden="1" min="27" max="28" width="15.43"/>
    <col customWidth="1" hidden="1" min="29" max="29" width="10.0"/>
    <col hidden="1" min="30" max="33" width="14.43"/>
  </cols>
  <sheetData>
    <row r="1">
      <c r="A1" s="17"/>
      <c r="B1" s="17"/>
      <c r="C1" s="17"/>
      <c r="D1" s="17"/>
      <c r="E1" s="1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39" t="s">
        <v>100</v>
      </c>
      <c r="Z1" s="1"/>
      <c r="AA1" s="1"/>
      <c r="AB1" s="1"/>
      <c r="AC1" s="1"/>
      <c r="AD1" s="17"/>
      <c r="AE1" s="17"/>
      <c r="AF1" s="17"/>
      <c r="AG1" s="17"/>
    </row>
    <row r="2">
      <c r="A2" s="17"/>
      <c r="B2" s="18" t="s">
        <v>51</v>
      </c>
      <c r="C2" s="61" t="s">
        <v>201</v>
      </c>
      <c r="D2" s="17"/>
      <c r="E2" s="17"/>
      <c r="F2" s="93" t="s">
        <v>7</v>
      </c>
      <c r="G2" s="40" t="s">
        <v>12</v>
      </c>
      <c r="H2" s="40" t="s">
        <v>7</v>
      </c>
      <c r="I2" s="40" t="s">
        <v>6</v>
      </c>
      <c r="J2" s="40" t="s">
        <v>4</v>
      </c>
      <c r="K2" s="40" t="s">
        <v>8</v>
      </c>
      <c r="L2" s="40" t="s">
        <v>9</v>
      </c>
      <c r="M2" s="40" t="s">
        <v>10</v>
      </c>
      <c r="N2" s="94"/>
      <c r="O2" s="95" t="s">
        <v>102</v>
      </c>
      <c r="P2" s="95" t="s">
        <v>96</v>
      </c>
      <c r="Q2" s="40" t="s">
        <v>11</v>
      </c>
      <c r="R2" s="40" t="s">
        <v>103</v>
      </c>
      <c r="S2" s="40" t="s">
        <v>104</v>
      </c>
      <c r="T2" s="40" t="s">
        <v>105</v>
      </c>
      <c r="U2" s="40" t="s">
        <v>106</v>
      </c>
      <c r="V2" s="40" t="s">
        <v>107</v>
      </c>
      <c r="W2" s="40" t="s">
        <v>108</v>
      </c>
      <c r="X2" s="40" t="s">
        <v>109</v>
      </c>
      <c r="Y2" s="40" t="s">
        <v>110</v>
      </c>
      <c r="Z2" s="40" t="s">
        <v>111</v>
      </c>
      <c r="AA2" s="1"/>
      <c r="AB2" s="1"/>
      <c r="AC2" s="1"/>
      <c r="AD2" s="17"/>
      <c r="AE2" s="96"/>
      <c r="AF2" s="97" t="s">
        <v>58</v>
      </c>
      <c r="AG2" s="97" t="s">
        <v>59</v>
      </c>
    </row>
    <row r="3" hidden="1">
      <c r="A3" s="17"/>
      <c r="B3" s="17"/>
      <c r="C3" s="17"/>
      <c r="D3" s="17"/>
      <c r="E3" s="17"/>
      <c r="F3" s="93"/>
      <c r="G3" s="93" t="s">
        <v>69</v>
      </c>
      <c r="H3" s="2"/>
      <c r="I3" s="98"/>
      <c r="J3" s="98">
        <f>IFERROR(__xludf.DUMMYFUNCTION("iferror(filter(Data!F:F,Data!B:B=C$2,Data!C:C=G3),"""")"),2624.84833333333)</f>
        <v>2624.848333</v>
      </c>
      <c r="K3" s="2">
        <f>IFERROR(__xludf.DUMMYFUNCTION("iferror(filter(Data!J:L,Data!B:B=C$2,Data!C:C=G3),"""")"),2.00034158337053)</f>
        <v>2.000341583</v>
      </c>
      <c r="L3" s="2">
        <f>IFERROR(__xludf.DUMMYFUNCTION("""COMPUTED_VALUE"""),-0.0848745757795915)</f>
        <v>-0.08487457578</v>
      </c>
      <c r="M3" s="2">
        <f>IFERROR(__xludf.DUMMYFUNCTION("""COMPUTED_VALUE"""),2.08521615915012)</f>
        <v>2.085216159</v>
      </c>
      <c r="N3" s="10"/>
      <c r="O3" s="99">
        <f>if(J3=0,0,1)*J3</f>
        <v>2624.848333</v>
      </c>
      <c r="P3" s="99"/>
      <c r="Q3" s="2"/>
      <c r="R3" s="100"/>
      <c r="S3" s="101"/>
      <c r="T3" s="101"/>
      <c r="U3" s="101"/>
      <c r="V3" s="101"/>
      <c r="W3" s="101"/>
      <c r="X3" s="102"/>
      <c r="Y3" s="102"/>
      <c r="Z3" s="100"/>
      <c r="AA3" s="103"/>
      <c r="AB3" s="103"/>
      <c r="AC3" s="1"/>
      <c r="AD3" s="17"/>
      <c r="AE3" s="97"/>
      <c r="AF3" s="104"/>
      <c r="AG3" s="104"/>
    </row>
    <row r="4" hidden="1">
      <c r="A4" s="17"/>
      <c r="B4" s="17"/>
      <c r="C4" s="17"/>
      <c r="D4" s="17"/>
      <c r="E4" s="17"/>
      <c r="F4" s="93"/>
      <c r="G4" s="93" t="s">
        <v>70</v>
      </c>
      <c r="H4" s="2"/>
      <c r="I4" s="98"/>
      <c r="J4" s="98">
        <f>IFERROR(__xludf.DUMMYFUNCTION("iferror(filter(Data!F:F,Data!B:B=C$2,Data!C:C=G4),"""")"),2646.89)</f>
        <v>2646.89</v>
      </c>
      <c r="K4" s="2">
        <f>IFERROR(__xludf.DUMMYFUNCTION("iferror(filter(Data!J:L,Data!B:B=C$2,Data!C:C=G4),"""")"),2.93626326417219)</f>
        <v>2.936263264</v>
      </c>
      <c r="L4" s="2">
        <f>IFERROR(__xludf.DUMMYFUNCTION("""COMPUTED_VALUE"""),0.930473833849163)</f>
        <v>0.9304738338</v>
      </c>
      <c r="M4" s="2">
        <f>IFERROR(__xludf.DUMMYFUNCTION("""COMPUTED_VALUE"""),2.00578943032303)</f>
        <v>2.00578943</v>
      </c>
      <c r="N4" s="10">
        <f t="shared" ref="N4:N5" si="1">K4</f>
        <v>2.936263264</v>
      </c>
      <c r="O4" s="99">
        <f>if(J4=0,1,2)*J4</f>
        <v>5293.78</v>
      </c>
      <c r="P4" s="99">
        <f>if(J4=0,0,1)*J4</f>
        <v>2646.89</v>
      </c>
      <c r="Q4" s="2"/>
      <c r="R4" s="100"/>
      <c r="S4" s="101"/>
      <c r="T4" s="101"/>
      <c r="U4" s="101"/>
      <c r="V4" s="101"/>
      <c r="W4" s="101"/>
      <c r="X4" s="102"/>
      <c r="Y4" s="102"/>
      <c r="Z4" s="100"/>
      <c r="AA4" s="103"/>
      <c r="AB4" s="103"/>
      <c r="AC4" s="1"/>
      <c r="AD4" s="17"/>
      <c r="AE4" s="97"/>
      <c r="AF4" s="104"/>
      <c r="AG4" s="104"/>
    </row>
    <row r="5" hidden="1">
      <c r="A5" s="17"/>
      <c r="B5" s="17"/>
      <c r="C5" s="17"/>
      <c r="D5" s="17"/>
      <c r="E5" s="17"/>
      <c r="F5" s="93"/>
      <c r="G5" s="93" t="s">
        <v>71</v>
      </c>
      <c r="H5" s="2"/>
      <c r="I5" s="98"/>
      <c r="J5" s="98">
        <f>IFERROR(__xludf.DUMMYFUNCTION("iferror(filter(Data!F:F,Data!B:B=C$2,Data!C:C=G5),"""")"),1878.20166666667)</f>
        <v>1878.201667</v>
      </c>
      <c r="K5" s="10">
        <f>IFERROR(__xludf.DUMMYFUNCTION("iferror(filter(Data!J:L,Data!B:B=C$2,Data!C:C=G5),"""")"),0.990476562784766)</f>
        <v>0.9904765628</v>
      </c>
      <c r="L5" s="10">
        <f>IFERROR(__xludf.DUMMYFUNCTION("""COMPUTED_VALUE"""),-1.00389150885812)</f>
        <v>-1.003891509</v>
      </c>
      <c r="M5" s="10">
        <f>IFERROR(__xludf.DUMMYFUNCTION("""COMPUTED_VALUE"""),1.99436807164288)</f>
        <v>1.994368072</v>
      </c>
      <c r="N5" s="10">
        <f t="shared" si="1"/>
        <v>0.9904765628</v>
      </c>
      <c r="O5" s="99">
        <f>if(J5=0,3,7)*J5</f>
        <v>13147.41167</v>
      </c>
      <c r="P5" s="99">
        <f>if(J5=0,1,2)*J5</f>
        <v>3756.403333</v>
      </c>
      <c r="Q5" s="2"/>
      <c r="R5" s="100"/>
      <c r="S5" s="101"/>
      <c r="T5" s="101"/>
      <c r="U5" s="101"/>
      <c r="V5" s="101"/>
      <c r="W5" s="101"/>
      <c r="X5" s="102"/>
      <c r="Y5" s="102"/>
      <c r="Z5" s="100"/>
      <c r="AA5" s="103"/>
      <c r="AB5" s="103"/>
      <c r="AC5" s="1"/>
      <c r="AD5" s="17"/>
      <c r="AE5" s="97"/>
      <c r="AF5" s="104"/>
      <c r="AG5" s="104"/>
    </row>
    <row r="6" hidden="1">
      <c r="A6" s="17"/>
      <c r="B6" s="17"/>
      <c r="C6" s="17"/>
      <c r="D6" s="17"/>
      <c r="E6" s="17"/>
      <c r="F6" s="93"/>
      <c r="G6" s="93" t="s">
        <v>112</v>
      </c>
      <c r="H6" s="2"/>
      <c r="I6" s="98"/>
      <c r="J6" s="98">
        <f>(J3*$O3+J4*$O4+J5*$O5)/sum($O3:O5)</f>
        <v>2164.401692</v>
      </c>
      <c r="K6" s="10">
        <f t="shared" ref="K6:M6" si="2">(K4*$P4+K5*$P5+K7*$P7)/sum($P4:$P7)</f>
        <v>1.547285788</v>
      </c>
      <c r="L6" s="10">
        <f t="shared" si="2"/>
        <v>-0.1008248067</v>
      </c>
      <c r="M6" s="10">
        <f t="shared" si="2"/>
        <v>1.648110594</v>
      </c>
      <c r="N6" s="10"/>
      <c r="O6" s="10"/>
      <c r="P6" s="10"/>
      <c r="Q6" s="2"/>
      <c r="R6" s="100"/>
      <c r="S6" s="101"/>
      <c r="T6" s="101"/>
      <c r="U6" s="101"/>
      <c r="V6" s="101"/>
      <c r="W6" s="101"/>
      <c r="X6" s="102"/>
      <c r="Y6" s="102"/>
      <c r="Z6" s="100"/>
      <c r="AA6" s="103"/>
      <c r="AB6" s="103"/>
      <c r="AC6" s="1"/>
      <c r="AD6" s="17"/>
      <c r="AE6" s="97"/>
      <c r="AF6" s="104"/>
      <c r="AG6" s="104"/>
    </row>
    <row r="7">
      <c r="A7" s="17"/>
      <c r="B7" s="17"/>
      <c r="C7" s="17"/>
      <c r="D7" s="17"/>
      <c r="E7" s="17"/>
      <c r="F7" s="93">
        <f>H7</f>
        <v>27</v>
      </c>
      <c r="G7" s="93" t="s">
        <v>13</v>
      </c>
      <c r="H7" s="2">
        <f>IFERROR(__xludf.DUMMYFUNCTION("filter(Data!I:I,Data!B:B=C2,Data!C:C=G7)"),27.0)</f>
        <v>27</v>
      </c>
      <c r="I7" s="98" t="str">
        <f>IFERROR(__xludf.DUMMYFUNCTION("filter(Data!H:H,Data!B:B=C2,Data!C:C=G7)"),"C")</f>
        <v>C</v>
      </c>
      <c r="J7" s="98">
        <f>IFERROR(__xludf.DUMMYFUNCTION("filter(Data!F:F,Data!B:B=C$2,Data!C:C=G7)"),721.803333333333)</f>
        <v>721.8033333</v>
      </c>
      <c r="K7" s="10">
        <f>IFERROR(__xludf.DUMMYFUNCTION("filter(Data!J:L,Data!B:B=C$2,Data!C:C=G7)"),1.23361297661319)</f>
        <v>1.233612977</v>
      </c>
      <c r="L7" s="10">
        <f>IFERROR(__xludf.DUMMYFUNCTION("""COMPUTED_VALUE"""),0.0303048398309973)</f>
        <v>0.03030483983</v>
      </c>
      <c r="M7" s="10">
        <f>IFERROR(__xludf.DUMMYFUNCTION("""COMPUTED_VALUE"""),1.20330813678219)</f>
        <v>1.203308137</v>
      </c>
      <c r="N7" s="10">
        <f t="shared" ref="N7:N30" si="3">K7</f>
        <v>1.233612977</v>
      </c>
      <c r="O7" s="99"/>
      <c r="P7" s="99">
        <f>if(J7=0,3,7)*J7</f>
        <v>5052.623333</v>
      </c>
      <c r="Q7" s="11">
        <f>IFERROR(__xludf.DUMMYFUNCTION("filter(Data!M:M,Data!B:B=C$2,Data!C:C=G7)"),1.7118303547465)</f>
        <v>1.711830355</v>
      </c>
      <c r="R7" s="100">
        <f t="shared" ref="R7:R30" si="4">IF(Q7="","",(AB7+AA7*Q7)/1000000)</f>
        <v>6.421170728</v>
      </c>
      <c r="S7" s="101">
        <f>IFERROR(__xludf.DUMMYFUNCTION("if(Q7="""","""",(NORMDIST($Q7,average(filter(Data!M:M,Data!C:C=""2020-21"",Data!R:R&gt;360)),stdev(filter(Data!M:M,Data!C:C=""2020-21"")),1))-sum(T7:Y7))"),0.015865344602722486)</f>
        <v>0.0158653446</v>
      </c>
      <c r="T7" s="101">
        <f>IFERROR(__xludf.DUMMYFUNCTION("if(Q7="""","""",(NORMDIST($Q7,average(filter(Data!M:M,Data!C:C=""2020-21"",Data!R:R&gt;270,Data!R:R&lt;361)),stdev(filter(Data!M:M,Data!C:C=""2020-21"")),1))-sum(U7:Y7))"),0.044283117968860086)</f>
        <v>0.04428311797</v>
      </c>
      <c r="U7" s="101">
        <f>IFERROR(__xludf.DUMMYFUNCTION("if(Q7="""","""",(NORMDIST($Q7,average(filter(Data!M:M,Data!C:C=""2020-21"",Data!R:R&gt;150,Data!R:R&lt;271)),stdev(filter(Data!M:M,Data!C:C=""2020-21"")),1))-sum(V7:Y7))"),0.30862954586800584)</f>
        <v>0.3086295459</v>
      </c>
      <c r="V7" s="101">
        <f>IFERROR(__xludf.DUMMYFUNCTION("if(Q7="""","""",(NORMDIST($Q7,average(filter(Data!M:M,Data!C:C=""2020-21"",Data!R:R&gt;24,Data!R:R&lt;151)),stdev(filter(Data!M:M,Data!C:C=""2020-21"")),1))-sum(W7:Y7))"),0.4864841704501355)</f>
        <v>0.4864841705</v>
      </c>
      <c r="W7" s="101">
        <f>IFERROR(__xludf.DUMMYFUNCTION("if(Q7="""","""",(NORMDIST($Q7,average(filter(Data!M:M,Data!C:C=""2020-21"",Data!R:R&gt;15,Data!R:R&lt;25)),stdev(filter(Data!M:M,Data!C:C=""2020-21"")),1))-sum(X7:Y7))"),0.09023988061382338)</f>
        <v>0.09023988061</v>
      </c>
      <c r="X7" s="102">
        <f>IFERROR(__xludf.DUMMYFUNCTION("if(Q7="""","""",(NORMDIST($Q7,average(filter(Data!M:M,Data!C:C=""2020-21"",Data!R:R&gt;5,Data!R:R&lt;16)),stdev(filter(Data!M:M,Data!C:C=""2020-21"")),1))-Y7)"),0.016498532374029207)</f>
        <v>0.01649853237</v>
      </c>
      <c r="Y7" s="102">
        <f>IFERROR(__xludf.DUMMYFUNCTION("if(Q7="""","""",(NORMDIST($Q7,average(filter(Data!M:M,Data!C:C=""2020-21"",Data!R:R&lt;6)),stdev(filter(Data!M:M,Data!C:C=""2020-21"")),1)))"),3.427567815983412E-4)</f>
        <v>0.0003427567816</v>
      </c>
      <c r="Z7" s="100">
        <f t="shared" ref="Z7:Z30" si="5">IF(Q7="","",(AA7*Q7*0.05587472512/0.0258221367806)/1000000)</f>
        <v>10.43902823</v>
      </c>
      <c r="AA7" s="103">
        <f t="array" ref="AA7">INDEX('Salary Cap'!B:B,match(left(G7,5)&amp;"20"&amp;right(G7,2),'Salary Cap'!A:A,0))*0.0258221367806</f>
        <v>2818228.008</v>
      </c>
      <c r="AB7" s="103">
        <v>1596842.47695</v>
      </c>
      <c r="AC7" s="1">
        <f t="array" ref="AC7">INDEX(H8:H34,MATCH(LARGE(Q8:Q34,1),Q8:Q34,0))</f>
        <v>29</v>
      </c>
      <c r="AD7" s="17"/>
      <c r="AE7" s="97" t="s">
        <v>7</v>
      </c>
      <c r="AF7" s="104">
        <v>0.19899</v>
      </c>
      <c r="AG7" s="104">
        <v>0.31371</v>
      </c>
    </row>
    <row r="8">
      <c r="A8" s="17"/>
      <c r="B8" s="17"/>
      <c r="C8" s="105" t="str">
        <f>"Future Expected Value for "&amp;LEFT(C2,FIND(" ",C2)-1)&amp;":"</f>
        <v>Future Expected Value for Andre:</v>
      </c>
      <c r="E8" s="17"/>
      <c r="F8" s="93">
        <f t="shared" ref="F8:F30" si="6">F7+1</f>
        <v>28</v>
      </c>
      <c r="G8" s="93" t="str">
        <f t="shared" ref="G8:G30" si="7">if(G7="","",IF(F8&gt;42,"",IF(N7&lt;-2.3,"",LEFT(G7,4)+1&amp;"-"&amp;RIGHT(G7,2)+1)))</f>
        <v>2021-22</v>
      </c>
      <c r="H8" s="2">
        <f t="shared" ref="H8:H30" si="8">IF(G8="","",F8)</f>
        <v>28</v>
      </c>
      <c r="I8" s="98" t="str">
        <f t="shared" ref="I8:I30" si="9">if(G8="","",I7)</f>
        <v>C</v>
      </c>
      <c r="J8" s="98">
        <f>IF(G8="","",IF((1.27735607841386-0.00972065365210483*H8)*J6&gt;82*35,82*35,(1.27735607841386-0.00972065365210483*H8)*J6))</f>
        <v>2175.60848</v>
      </c>
      <c r="K8" s="10">
        <f t="shared" ref="K8:K30" si="10">IF(G8="","",L8+M8)</f>
        <v>1.587385788</v>
      </c>
      <c r="L8" s="10">
        <f>IFERROR(__xludf.DUMMYFUNCTION("IF(G8="""","""",L6+filter('Growth Summary'!L:L,'Growth Summary'!A:A=H7,'Growth Summary'!B:B=I8))"),-0.04942480668006831)</f>
        <v>-0.04942480668</v>
      </c>
      <c r="M8" s="10">
        <f>IFERROR(__xludf.DUMMYFUNCTION("IF(G8="""","""",M6+filter('Growth Summary'!M:M,'Growth Summary'!A:A=H7,'Growth Summary'!B:B=I8))"),1.636810594368514)</f>
        <v>1.636810594</v>
      </c>
      <c r="N8" s="10">
        <f t="shared" si="3"/>
        <v>1.587385788</v>
      </c>
      <c r="O8" s="10"/>
      <c r="P8" s="10"/>
      <c r="Q8" s="11">
        <f t="shared" ref="Q8:Q30" si="11">IF(J8="","",((POWER(108+K8/2,13.98)/(POWER(108+K8/2,13.98)+POWER(108-K8/2,13.98)))-0.426)*J8/48)</f>
        <v>5.674281616</v>
      </c>
      <c r="R8" s="100">
        <f t="shared" si="4"/>
        <v>18.14781725</v>
      </c>
      <c r="S8" s="101">
        <f>if(Q8="","",(NORMDIST($Q8,(Dropdowns!M$8*72/82),stdev(Data!M:M),1))-sum(U8:Y8))</f>
        <v>0.02321656711</v>
      </c>
      <c r="T8" s="101">
        <f>if(Q8="","",(NORMDIST($Q8,(Dropdowns!M$7*72/82),stdev(Data!M:M),1))-sum(U8:Y8))</f>
        <v>0.01781748363</v>
      </c>
      <c r="U8" s="101">
        <f>if(Q8="","",(NORMDIST($Q8,(Dropdowns!M$6*72/82),stdev(Data!M:M),1))-sum(V8:Y8))</f>
        <v>0.1483069862</v>
      </c>
      <c r="V8" s="101">
        <f>if(Q8="","",(NORMDIST($Q8,(Dropdowns!M$5*72/82),stdev(Data!M:M),1))-sum(W8:Y8))</f>
        <v>0.5096489828</v>
      </c>
      <c r="W8" s="101">
        <f>if(Q8="","",(NORMDIST($Q8,(Dropdowns!M$4*72/82),stdev(Data!M:M),1))-sum(X8:Y8))</f>
        <v>0.1861481438</v>
      </c>
      <c r="X8" s="102">
        <f>if(Q8="","",(NORMDIST($Q8,(Dropdowns!M$3*72/82),stdev(Data!M:M),1))-Y8)</f>
        <v>0.1060214896</v>
      </c>
      <c r="Y8" s="102">
        <f>if(Q8="","",(NORMDIST($Q8,(Dropdowns!M$2*72/82),stdev(Data!M:M),1)))</f>
        <v>0.01293835411</v>
      </c>
      <c r="Z8" s="100">
        <f t="shared" si="5"/>
        <v>35.64073791</v>
      </c>
      <c r="AA8" s="103">
        <f t="array" ref="AA8">iferror(INDEX('Salary Cap'!B:B,match(left(G8,5)&amp;"20"&amp;right(G8,2),'Salary Cap'!A:A,0))*0.0258221367806,AA7*1.05)</f>
        <v>2902769.684</v>
      </c>
      <c r="AB8" s="106">
        <f t="shared" ref="AB8:AB30" si="12">AB7*1.05</f>
        <v>1676684.601</v>
      </c>
      <c r="AC8" s="1">
        <f t="array" ref="AC8">iferror(INDEX(H8:H34,MATCH(LARGE(Q8:Q34,2),Q8:Q34,0)),"")</f>
        <v>30</v>
      </c>
      <c r="AD8" s="17"/>
      <c r="AE8" s="97" t="s">
        <v>113</v>
      </c>
      <c r="AF8" s="104">
        <v>-0.0125197</v>
      </c>
      <c r="AG8" s="104">
        <v>-0.0307242</v>
      </c>
    </row>
    <row r="9">
      <c r="A9" s="17"/>
      <c r="B9" s="17"/>
      <c r="C9" s="107" t="str">
        <f>"3-Year Value: "&amp;text(SUM(Q8:Q10),"#0.0")&amp;" Wins Added : "&amp;text(sum(R8:R10),"$#0.0")&amp;"M"</f>
        <v>3-Year Value: 18.2 Wins Added : $60.0M</v>
      </c>
      <c r="E9" s="17"/>
      <c r="F9" s="93">
        <f t="shared" si="6"/>
        <v>29</v>
      </c>
      <c r="G9" s="93" t="str">
        <f t="shared" si="7"/>
        <v>2022-23</v>
      </c>
      <c r="H9" s="2">
        <f t="shared" si="8"/>
        <v>29</v>
      </c>
      <c r="I9" s="98" t="str">
        <f t="shared" si="9"/>
        <v>C</v>
      </c>
      <c r="J9" s="98">
        <f>IF(G9="","",IF((1.27735607841386-0.00972065365210483*H9)*J8&gt;82*35,82*35,(1.27735607841386-0.00972065365210483*H9)*J8)*(82/72))</f>
        <v>2466.52009</v>
      </c>
      <c r="K9" s="10">
        <f t="shared" si="10"/>
        <v>1.551785788</v>
      </c>
      <c r="L9" s="10">
        <f>IFERROR(__xludf.DUMMYFUNCTION("IF(G9="""","""",L8+filter('Growth Summary'!L:L,'Growth Summary'!A:A=H8,'Growth Summary'!B:B=I9))"),-0.039824806680068256)</f>
        <v>-0.03982480668</v>
      </c>
      <c r="M9" s="10">
        <f>IFERROR(__xludf.DUMMYFUNCTION("IF(G9="""","""",M8+filter('Growth Summary'!M:M,'Growth Summary'!A:A=H8,'Growth Summary'!B:B=I9))"),1.5916105943685142)</f>
        <v>1.591610594</v>
      </c>
      <c r="N9" s="10">
        <f t="shared" si="3"/>
        <v>1.551785788</v>
      </c>
      <c r="O9" s="10"/>
      <c r="P9" s="10"/>
      <c r="Q9" s="11">
        <f t="shared" si="11"/>
        <v>6.374422871</v>
      </c>
      <c r="R9" s="100">
        <f t="shared" si="4"/>
        <v>20.8190356</v>
      </c>
      <c r="S9" s="101">
        <f>if(Q9="","",(NORMDIST($Q9,(Dropdowns!M$8*72/82),stdev(Data!M:M),1))-sum(U9:Y9))</f>
        <v>0.01594559425</v>
      </c>
      <c r="T9" s="101">
        <f>if(Q9="","",(NORMDIST($Q9,(Dropdowns!M$7),stdev(Data!M:M),1))-sum(U9:Y9))</f>
        <v>0.01264558564</v>
      </c>
      <c r="U9" s="101">
        <f>if(Q9="","",(NORMDIST($Q9,(Dropdowns!M$6),stdev(Data!M:M),1))-sum(V9:Y9))</f>
        <v>0.1393527326</v>
      </c>
      <c r="V9" s="101">
        <f>if(Q9="","",(NORMDIST($Q9,(Dropdowns!M$5),stdev(Data!M:M),1))-sum(W9:Y9))</f>
        <v>0.5684704878</v>
      </c>
      <c r="W9" s="101">
        <f>if(Q9="","",(NORMDIST($Q9,(Dropdowns!M$4),stdev(Data!M:M),1))-sum(X9:Y9))</f>
        <v>0.1853980662</v>
      </c>
      <c r="X9" s="102">
        <f>if(Q9="","",(NORMDIST($Q9,(Dropdowns!M$3),stdev(Data!M:M),1))-Y9)</f>
        <v>0.07906847966</v>
      </c>
      <c r="Y9" s="102">
        <f>if(Q9="","",(NORMDIST($Q9,(Dropdowns!M$2),stdev(Data!M:M),1)))</f>
        <v>0.005067846346</v>
      </c>
      <c r="Z9" s="100">
        <f t="shared" si="5"/>
        <v>41.23939839</v>
      </c>
      <c r="AA9" s="103">
        <f t="array" ref="AA9">iferror(INDEX('Salary Cap'!B:B,match(left(G9,5)&amp;"20"&amp;right(G9,2),'Salary Cap'!A:A,0))*0.0258221367806,AA8*1.05)</f>
        <v>2989841.929</v>
      </c>
      <c r="AB9" s="106">
        <f t="shared" si="12"/>
        <v>1760518.831</v>
      </c>
      <c r="AC9" s="1">
        <f t="array" ref="AC9">iferror(INDEX(H8:H34,MATCH(LARGE(Q8:Q34,3),Q8:Q34,0)),"")</f>
        <v>28</v>
      </c>
      <c r="AD9" s="17"/>
      <c r="AE9" s="97" t="s">
        <v>114</v>
      </c>
      <c r="AF9" s="104">
        <v>1.8447E-4</v>
      </c>
      <c r="AG9" s="104">
        <v>9.82141E-4</v>
      </c>
    </row>
    <row r="10">
      <c r="A10" s="17"/>
      <c r="B10" s="17"/>
      <c r="C10" s="107" t="str">
        <f>"5-Year Value: "&amp;text(SUM(Q8:Q12),"#0.0")&amp;" Wins Added : "&amp;text(sum(R8:R12),"$#0.0")&amp;"M"</f>
        <v>5-Year Value: 28.6 Wins Added : $99.1M</v>
      </c>
      <c r="E10" s="17"/>
      <c r="F10" s="93">
        <f t="shared" si="6"/>
        <v>30</v>
      </c>
      <c r="G10" s="93" t="str">
        <f t="shared" si="7"/>
        <v>2023-24</v>
      </c>
      <c r="H10" s="2">
        <f t="shared" si="8"/>
        <v>30</v>
      </c>
      <c r="I10" s="98" t="str">
        <f t="shared" si="9"/>
        <v>C</v>
      </c>
      <c r="J10" s="98">
        <f t="shared" ref="J10:J30" si="13">IF(G10="","",IF((1.27735607841386-0.00972065365210483*H10)*J9&gt;82*35,82*35,(1.27735607841386-0.00972065365210483*H10)*J9))</f>
        <v>2431.338804</v>
      </c>
      <c r="K10" s="10">
        <f t="shared" si="10"/>
        <v>1.440485788</v>
      </c>
      <c r="L10" s="10">
        <f>IFERROR(__xludf.DUMMYFUNCTION("IF(G10="""","""",L9+filter('Growth Summary'!L:L,'Growth Summary'!A:A=H9,'Growth Summary'!B:B=I10))"),-0.07202480668006826)</f>
        <v>-0.07202480668</v>
      </c>
      <c r="M10" s="10">
        <f>IFERROR(__xludf.DUMMYFUNCTION("IF(G10="""","""",M9+filter('Growth Summary'!M:M,'Growth Summary'!A:A=H9,'Growth Summary'!B:B=I10))"),1.5125105943685142)</f>
        <v>1.512510594</v>
      </c>
      <c r="N10" s="10">
        <f t="shared" si="3"/>
        <v>1.440485788</v>
      </c>
      <c r="O10" s="10"/>
      <c r="P10" s="10"/>
      <c r="Q10" s="11">
        <f t="shared" si="11"/>
        <v>6.102752121</v>
      </c>
      <c r="R10" s="100">
        <f t="shared" si="4"/>
        <v>21.00707488</v>
      </c>
      <c r="S10" s="101">
        <f>if(Q10="","",(NORMDIST($Q10,(Dropdowns!M$8*72/82),stdev(Data!M:M),1))-sum(U10:Y10))</f>
        <v>0.01993122242</v>
      </c>
      <c r="T10" s="101">
        <f>if(Q10="","",(NORMDIST($Q10,(Dropdowns!M$7),stdev(Data!M:M),1))-sum(U10:Y10))</f>
        <v>0.01572081449</v>
      </c>
      <c r="U10" s="101">
        <f>if(Q10="","",(NORMDIST($Q10,(Dropdowns!M$6),stdev(Data!M:M),1))-sum(V10:Y10))</f>
        <v>0.1599526832</v>
      </c>
      <c r="V10" s="101">
        <f>if(Q10="","",(NORMDIST($Q10,(Dropdowns!M$5),stdev(Data!M:M),1))-sum(W10:Y10))</f>
        <v>0.5748783884</v>
      </c>
      <c r="W10" s="101">
        <f>if(Q10="","",(NORMDIST($Q10,(Dropdowns!M$4),stdev(Data!M:M),1))-sum(X10:Y10))</f>
        <v>0.1671178881</v>
      </c>
      <c r="X10" s="102">
        <f>if(Q10="","",(NORMDIST($Q10,(Dropdowns!M$3),stdev(Data!M:M),1))-Y10)</f>
        <v>0.06547074212</v>
      </c>
      <c r="Y10" s="102">
        <f>if(Q10="","",(NORMDIST($Q10,(Dropdowns!M$2),stdev(Data!M:M),1)))</f>
        <v>0.003735106804</v>
      </c>
      <c r="Z10" s="100">
        <f t="shared" si="5"/>
        <v>41.45581028</v>
      </c>
      <c r="AA10" s="103">
        <f t="array" ref="AA10">iferror(INDEX('Salary Cap'!B:B,match(left(G10,5)&amp;"20"&amp;right(G10,2),'Salary Cap'!A:A,0))*0.0258221367806,AA9*1.05)</f>
        <v>3139326.279</v>
      </c>
      <c r="AB10" s="106">
        <f t="shared" si="12"/>
        <v>1848544.772</v>
      </c>
      <c r="AC10" s="1"/>
      <c r="AD10" s="17"/>
      <c r="AE10" s="97" t="s">
        <v>115</v>
      </c>
      <c r="AF10" s="104">
        <v>0.0</v>
      </c>
      <c r="AG10" s="104">
        <v>-1.03522E-5</v>
      </c>
    </row>
    <row r="11">
      <c r="A11" s="17"/>
      <c r="B11" s="17"/>
      <c r="C11" s="107" t="str">
        <f>"7-Year Value: "&amp;text(SUM(Q8:Q14),"#0.0")&amp;" Wins Added : "&amp;text(sum(R8:R14),"$#0.0")&amp;"M"</f>
        <v>7-Year Value: 35.7 Wins Added : $129.9M</v>
      </c>
      <c r="E11" s="17"/>
      <c r="F11" s="93">
        <f t="shared" si="6"/>
        <v>31</v>
      </c>
      <c r="G11" s="93" t="str">
        <f t="shared" si="7"/>
        <v>2024-25</v>
      </c>
      <c r="H11" s="2">
        <f t="shared" si="8"/>
        <v>31</v>
      </c>
      <c r="I11" s="98" t="str">
        <f t="shared" si="9"/>
        <v>C</v>
      </c>
      <c r="J11" s="98">
        <f t="shared" si="13"/>
        <v>2373.025124</v>
      </c>
      <c r="K11" s="10">
        <f t="shared" si="10"/>
        <v>1.196985788</v>
      </c>
      <c r="L11" s="10">
        <f>IFERROR(__xludf.DUMMYFUNCTION("IF(G11="""","""",L10+filter('Growth Summary'!L:L,'Growth Summary'!A:A=H10,'Growth Summary'!B:B=I11))"),-0.14602480668006834)</f>
        <v>-0.1460248067</v>
      </c>
      <c r="M11" s="10">
        <f>IFERROR(__xludf.DUMMYFUNCTION("IF(G11="""","""",M10+filter('Growth Summary'!M:M,'Growth Summary'!A:A=H10,'Growth Summary'!B:B=I11))"),1.3430105943685144)</f>
        <v>1.343010594</v>
      </c>
      <c r="N11" s="10">
        <f t="shared" si="3"/>
        <v>1.196985788</v>
      </c>
      <c r="O11" s="10"/>
      <c r="P11" s="10"/>
      <c r="Q11" s="11">
        <f t="shared" si="11"/>
        <v>5.569632072</v>
      </c>
      <c r="R11" s="100">
        <f t="shared" si="4"/>
        <v>20.30014491</v>
      </c>
      <c r="S11" s="101">
        <f>if(Q11="","",(NORMDIST($Q11,(Dropdowns!M$8*72/82),stdev(Data!M:M),1))-sum(U11:Y11))</f>
        <v>0.02994136841</v>
      </c>
      <c r="T11" s="101">
        <f>if(Q11="","",(NORMDIST($Q11,(Dropdowns!M$7),stdev(Data!M:M),1))-sum(U11:Y11))</f>
        <v>0.02335958384</v>
      </c>
      <c r="U11" s="101">
        <f>if(Q11="","",(NORMDIST($Q11,(Dropdowns!M$6),stdev(Data!M:M),1))-sum(V11:Y11))</f>
        <v>0.2036514722</v>
      </c>
      <c r="V11" s="101">
        <f>if(Q11="","",(NORMDIST($Q11,(Dropdowns!M$5),stdev(Data!M:M),1))-sum(W11:Y11))</f>
        <v>0.5730023837</v>
      </c>
      <c r="W11" s="101">
        <f>if(Q11="","",(NORMDIST($Q11,(Dropdowns!M$4),stdev(Data!M:M),1))-sum(X11:Y11))</f>
        <v>0.1322938714</v>
      </c>
      <c r="X11" s="102">
        <f>if(Q11="","",(NORMDIST($Q11,(Dropdowns!M$3),stdev(Data!M:M),1))-Y11)</f>
        <v>0.04392969841</v>
      </c>
      <c r="Y11" s="102">
        <f>if(Q11="","",(NORMDIST($Q11,(Dropdowns!M$2),stdev(Data!M:M),1)))</f>
        <v>0.001993913669</v>
      </c>
      <c r="Z11" s="100">
        <f t="shared" si="5"/>
        <v>39.72613684</v>
      </c>
      <c r="AA11" s="103">
        <f t="array" ref="AA11">iferror(INDEX('Salary Cap'!B:B,match(left(G11,5)&amp;"20"&amp;right(G11,2),'Salary Cap'!A:A,0))*0.0258221367806,AA10*1.05)</f>
        <v>3296299.049</v>
      </c>
      <c r="AB11" s="106">
        <f t="shared" si="12"/>
        <v>1940972.011</v>
      </c>
      <c r="AC11" s="1"/>
      <c r="AD11" s="17"/>
      <c r="AE11" s="96"/>
      <c r="AF11" s="96"/>
      <c r="AG11" s="96"/>
    </row>
    <row r="12">
      <c r="A12" s="17"/>
      <c r="B12" s="17"/>
      <c r="C12" s="17"/>
      <c r="E12" s="17"/>
      <c r="F12" s="93">
        <f t="shared" si="6"/>
        <v>32</v>
      </c>
      <c r="G12" s="93" t="str">
        <f t="shared" si="7"/>
        <v>2025-26</v>
      </c>
      <c r="H12" s="2">
        <f t="shared" si="8"/>
        <v>32</v>
      </c>
      <c r="I12" s="98" t="str">
        <f t="shared" si="9"/>
        <v>C</v>
      </c>
      <c r="J12" s="98">
        <f t="shared" si="13"/>
        <v>2293.042696</v>
      </c>
      <c r="K12" s="10">
        <f t="shared" si="10"/>
        <v>0.8608357877</v>
      </c>
      <c r="L12" s="10">
        <f>IFERROR(__xludf.DUMMYFUNCTION("IF(G12="""","""",L11+filter('Growth Summary'!L:L,'Growth Summary'!A:A=H11,'Growth Summary'!B:B=I12))"),-0.26182480668006824)</f>
        <v>-0.2618248067</v>
      </c>
      <c r="M12" s="10">
        <f>IFERROR(__xludf.DUMMYFUNCTION("IF(G12="""","""",M11+filter('Growth Summary'!M:M,'Growth Summary'!A:A=H11,'Growth Summary'!B:B=I12))"),1.1226605943685146)</f>
        <v>1.122660594</v>
      </c>
      <c r="N12" s="10">
        <f t="shared" si="3"/>
        <v>0.8608357877</v>
      </c>
      <c r="O12" s="10"/>
      <c r="P12" s="10"/>
      <c r="Q12" s="11">
        <f t="shared" si="11"/>
        <v>4.864544868</v>
      </c>
      <c r="R12" s="100">
        <f t="shared" si="4"/>
        <v>18.87480265</v>
      </c>
      <c r="S12" s="101">
        <f>if(Q12="","",(NORMDIST($Q12,(Dropdowns!M$8*72/82),stdev(Data!M:M),1))-sum(U12:Y12))</f>
        <v>0.04816703904</v>
      </c>
      <c r="T12" s="101">
        <f>if(Q12="","",(NORMDIST($Q12,(Dropdowns!M$7),stdev(Data!M:M),1))-sum(U12:Y12))</f>
        <v>0.03701798991</v>
      </c>
      <c r="U12" s="101">
        <f>if(Q12="","",(NORMDIST($Q12,(Dropdowns!M$6),stdev(Data!M:M),1))-sum(V12:Y12))</f>
        <v>0.2642540287</v>
      </c>
      <c r="V12" s="101">
        <f>if(Q12="","",(NORMDIST($Q12,(Dropdowns!M$5),stdev(Data!M:M),1))-sum(W12:Y12))</f>
        <v>0.5419233806</v>
      </c>
      <c r="W12" s="101">
        <f>if(Q12="","",(NORMDIST($Q12,(Dropdowns!M$4),stdev(Data!M:M),1))-sum(X12:Y12))</f>
        <v>0.09137379221</v>
      </c>
      <c r="X12" s="102">
        <f>if(Q12="","",(NORMDIST($Q12,(Dropdowns!M$3),stdev(Data!M:M),1))-Y12)</f>
        <v>0.024440413</v>
      </c>
      <c r="Y12" s="102">
        <f>if(Q12="","",(NORMDIST($Q12,(Dropdowns!M$2),stdev(Data!M:M),1)))</f>
        <v>0.0008193511719</v>
      </c>
      <c r="Z12" s="100">
        <f t="shared" si="5"/>
        <v>36.43194117</v>
      </c>
      <c r="AA12" s="103">
        <f t="array" ref="AA12">iferror(INDEX('Salary Cap'!B:B,match(left(G12,5)&amp;"20"&amp;right(G12,2),'Salary Cap'!A:A,0))*0.0258221367806,AA11*1.05)</f>
        <v>3461121.748</v>
      </c>
      <c r="AB12" s="106">
        <f t="shared" si="12"/>
        <v>2038020.612</v>
      </c>
      <c r="AC12" s="1"/>
      <c r="AD12" s="17"/>
      <c r="AE12" s="17"/>
      <c r="AF12" s="17"/>
      <c r="AG12" s="17"/>
    </row>
    <row r="13">
      <c r="A13" s="17"/>
      <c r="B13" s="17"/>
      <c r="C13" s="105" t="str">
        <f>"Average Year Tier Odds for "&amp;LEFT(C2,FIND(" ",C2)-1)
&amp;":"</f>
        <v>Average Year Tier Odds for Andre:</v>
      </c>
      <c r="E13" s="17"/>
      <c r="F13" s="93">
        <f t="shared" si="6"/>
        <v>33</v>
      </c>
      <c r="G13" s="93" t="str">
        <f t="shared" si="7"/>
        <v>2026-27</v>
      </c>
      <c r="H13" s="2">
        <f t="shared" si="8"/>
        <v>33</v>
      </c>
      <c r="I13" s="98" t="str">
        <f t="shared" si="9"/>
        <v>C</v>
      </c>
      <c r="J13" s="98">
        <f t="shared" si="13"/>
        <v>2193.466188</v>
      </c>
      <c r="K13" s="10">
        <f t="shared" si="10"/>
        <v>0.4320357877</v>
      </c>
      <c r="L13" s="10">
        <f>IFERROR(__xludf.DUMMYFUNCTION("IF(G13="""","""",L12+filter('Growth Summary'!L:L,'Growth Summary'!A:A=H12,'Growth Summary'!B:B=I13))"),-0.4194248066800682)</f>
        <v>-0.4194248067</v>
      </c>
      <c r="M13" s="10">
        <f>IFERROR(__xludf.DUMMYFUNCTION("IF(G13="""","""",M12+filter('Growth Summary'!M:M,'Growth Summary'!A:A=H12,'Growth Summary'!B:B=I13))"),0.8514605943685147)</f>
        <v>0.8514605944</v>
      </c>
      <c r="N13" s="10">
        <f t="shared" si="3"/>
        <v>0.4320357877</v>
      </c>
      <c r="O13" s="10"/>
      <c r="P13" s="10"/>
      <c r="Q13" s="11">
        <f t="shared" si="11"/>
        <v>4.020328044</v>
      </c>
      <c r="R13" s="100">
        <f t="shared" si="4"/>
        <v>16.75052428</v>
      </c>
      <c r="S13" s="101">
        <f>if(Q13="","",(NORMDIST($Q13,(Dropdowns!M$8*72/82),stdev(Data!M:M),1))-sum(U13:Y13))</f>
        <v>0.07746850678</v>
      </c>
      <c r="T13" s="101">
        <f>if(Q13="","",(NORMDIST($Q13,(Dropdowns!M$7),stdev(Data!M:M),1))-sum(U13:Y13))</f>
        <v>0.05842333587</v>
      </c>
      <c r="U13" s="101">
        <f>if(Q13="","",(NORMDIST($Q13,(Dropdowns!M$6),stdev(Data!M:M),1))-sum(V13:Y13))</f>
        <v>0.3305319075</v>
      </c>
      <c r="V13" s="101">
        <f>if(Q13="","",(NORMDIST($Q13,(Dropdowns!M$5),stdev(Data!M:M),1))-sum(W13:Y13))</f>
        <v>0.4691790632</v>
      </c>
      <c r="W13" s="101">
        <f>if(Q13="","",(NORMDIST($Q13,(Dropdowns!M$4),stdev(Data!M:M),1))-sum(X13:Y13))</f>
        <v>0.05353655401</v>
      </c>
      <c r="X13" s="102">
        <f>if(Q13="","",(NORMDIST($Q13,(Dropdowns!M$3),stdev(Data!M:M),1))-Y13)</f>
        <v>0.0110876109</v>
      </c>
      <c r="Y13" s="102">
        <f>if(Q13="","",(NORMDIST($Q13,(Dropdowns!M$2),stdev(Data!M:M),1)))</f>
        <v>0.0002583242681</v>
      </c>
      <c r="Z13" s="100">
        <f t="shared" si="5"/>
        <v>31.61486647</v>
      </c>
      <c r="AA13" s="103">
        <f t="array" ref="AA13">iferror(INDEX('Salary Cap'!B:B,match(left(G13,5)&amp;"20"&amp;right(G13,2),'Salary Cap'!A:A,0))*0.0258221367806,AA12*1.05)</f>
        <v>3634181.708</v>
      </c>
      <c r="AB13" s="106">
        <f t="shared" si="12"/>
        <v>2139921.642</v>
      </c>
      <c r="AC13" s="1"/>
      <c r="AD13" s="17"/>
      <c r="AE13" s="17"/>
      <c r="AF13" s="17"/>
      <c r="AG13" s="17"/>
    </row>
    <row r="14">
      <c r="A14" s="17"/>
      <c r="B14" s="17"/>
      <c r="C14" s="108" t="s">
        <v>75</v>
      </c>
      <c r="D14" s="109" t="str">
        <f>IFERROR(__xludf.DUMMYFUNCTION("TEXT(SUM(Y$7:Y$29)*0.01,""0.0%"")&amp;"" - ""&amp;TEXT(AVERAGE.WEIGHTED(Y$7:Y$29,J$7:J$29),""0.0%"")"),"0.0% - 0.3%")</f>
        <v>0.0% - 0.3%</v>
      </c>
      <c r="E14" s="17"/>
      <c r="F14" s="93">
        <f t="shared" si="6"/>
        <v>34</v>
      </c>
      <c r="G14" s="93" t="str">
        <f t="shared" si="7"/>
        <v>2027-28</v>
      </c>
      <c r="H14" s="2">
        <f t="shared" si="8"/>
        <v>34</v>
      </c>
      <c r="I14" s="98" t="str">
        <f t="shared" si="9"/>
        <v>C</v>
      </c>
      <c r="J14" s="98">
        <f t="shared" si="13"/>
        <v>2076.891915</v>
      </c>
      <c r="K14" s="10">
        <f t="shared" si="10"/>
        <v>-0.08941421231</v>
      </c>
      <c r="L14" s="10">
        <f>IFERROR(__xludf.DUMMYFUNCTION("IF(G14="""","""",L13+filter('Growth Summary'!L:L,'Growth Summary'!A:A=H13,'Growth Summary'!B:B=I14))"),-0.6188248066800682)</f>
        <v>-0.6188248067</v>
      </c>
      <c r="M14" s="10">
        <f>IFERROR(__xludf.DUMMYFUNCTION("IF(G14="""","""",M13+filter('Growth Summary'!M:M,'Growth Summary'!A:A=H13,'Growth Summary'!B:B=I14))"),0.5294105943685148)</f>
        <v>0.5294105944</v>
      </c>
      <c r="N14" s="10">
        <f t="shared" si="3"/>
        <v>-0.08941421231</v>
      </c>
      <c r="O14" s="10"/>
      <c r="P14" s="10"/>
      <c r="Q14" s="11">
        <f t="shared" si="11"/>
        <v>3.076676913</v>
      </c>
      <c r="R14" s="100">
        <f t="shared" si="4"/>
        <v>13.9871848</v>
      </c>
      <c r="S14" s="101">
        <f>if(Q14="","",(NORMDIST($Q14,(Dropdowns!M$8*72/82),stdev(Data!M:M),1))-sum(U14:Y14))</f>
        <v>0.1167160208</v>
      </c>
      <c r="T14" s="101">
        <f>if(Q14="","",(NORMDIST($Q14,(Dropdowns!M$7),stdev(Data!M:M),1))-sum(U14:Y14))</f>
        <v>0.08608409436</v>
      </c>
      <c r="U14" s="101">
        <f>if(Q14="","",(NORMDIST($Q14,(Dropdowns!M$6),stdev(Data!M:M),1))-sum(V14:Y14))</f>
        <v>0.378956021</v>
      </c>
      <c r="V14" s="101">
        <f>if(Q14="","",(NORMDIST($Q14,(Dropdowns!M$5),stdev(Data!M:M),1))-sum(W14:Y14))</f>
        <v>0.3611047002</v>
      </c>
      <c r="W14" s="101">
        <f>if(Q14="","",(NORMDIST($Q14,(Dropdowns!M$4),stdev(Data!M:M),1))-sum(X14:Y14))</f>
        <v>0.02616995396</v>
      </c>
      <c r="X14" s="102">
        <f>if(Q14="","",(NORMDIST($Q14,(Dropdowns!M$3),stdev(Data!M:M),1))-Y14)</f>
        <v>0.004085984488</v>
      </c>
      <c r="Y14" s="102">
        <f>if(Q14="","",(NORMDIST($Q14,(Dropdowns!M$2),stdev(Data!M:M),1)))</f>
        <v>0.00006327792468</v>
      </c>
      <c r="Z14" s="100">
        <f t="shared" si="5"/>
        <v>25.40394707</v>
      </c>
      <c r="AA14" s="103">
        <f t="array" ref="AA14">iferror(INDEX('Salary Cap'!B:B,match(left(G14,5)&amp;"20"&amp;right(G14,2),'Salary Cap'!A:A,0))*0.0258221367806,AA13*1.05)</f>
        <v>3815892.085</v>
      </c>
      <c r="AB14" s="106">
        <f t="shared" si="12"/>
        <v>2246917.724</v>
      </c>
      <c r="AC14" s="2"/>
      <c r="AD14" s="17"/>
      <c r="AE14" s="17"/>
      <c r="AF14" s="17"/>
      <c r="AG14" s="17"/>
    </row>
    <row r="15">
      <c r="A15" s="17"/>
      <c r="B15" s="17"/>
      <c r="C15" s="108" t="s">
        <v>76</v>
      </c>
      <c r="D15" s="109" t="str">
        <f>IFERROR(__xludf.DUMMYFUNCTION("TEXT(SUM(X$7:X$29)*0.01,""0.0%"")&amp;"" - ""&amp;TEXT(AVERAGE.WEIGHTED(X$7:X$29,J$7:J$29),""0.0%"")"),"0.4% - 3.6%")</f>
        <v>0.4% - 3.6%</v>
      </c>
      <c r="E15" s="17"/>
      <c r="F15" s="93">
        <f t="shared" si="6"/>
        <v>35</v>
      </c>
      <c r="G15" s="93" t="str">
        <f t="shared" si="7"/>
        <v>2028-29</v>
      </c>
      <c r="H15" s="2">
        <f t="shared" si="8"/>
        <v>35</v>
      </c>
      <c r="I15" s="98" t="str">
        <f t="shared" si="9"/>
        <v>C</v>
      </c>
      <c r="J15" s="98">
        <f t="shared" si="13"/>
        <v>1946.324367</v>
      </c>
      <c r="K15" s="10">
        <f t="shared" si="10"/>
        <v>-0.7035142123</v>
      </c>
      <c r="L15" s="10">
        <f>IFERROR(__xludf.DUMMYFUNCTION("IF(G15="""","""",L14+filter('Growth Summary'!L:L,'Growth Summary'!A:A=H14,'Growth Summary'!B:B=I15))"),-0.8600248066800681)</f>
        <v>-0.8600248067</v>
      </c>
      <c r="M15" s="10">
        <f>IFERROR(__xludf.DUMMYFUNCTION("IF(G15="""","""",M14+filter('Growth Summary'!M:M,'Growth Summary'!A:A=H14,'Growth Summary'!B:B=I15))"),0.15651059436851472)</f>
        <v>0.1565105944</v>
      </c>
      <c r="N15" s="10">
        <f t="shared" si="3"/>
        <v>-0.7035142123</v>
      </c>
      <c r="O15" s="10"/>
      <c r="P15" s="10"/>
      <c r="Q15" s="11">
        <f t="shared" si="11"/>
        <v>2.078071819</v>
      </c>
      <c r="R15" s="100">
        <f t="shared" si="4"/>
        <v>10.6854463</v>
      </c>
      <c r="S15" s="101">
        <f>if(Q15="","",(NORMDIST($Q15,(Dropdowns!M$8*72/82),stdev(Data!M:M),1))-sum(U15:Y15))</f>
        <v>0.1566581191</v>
      </c>
      <c r="T15" s="101">
        <f>if(Q15="","",(NORMDIST($Q15,(Dropdowns!M$7),stdev(Data!M:M),1))-sum(U15:Y15))</f>
        <v>0.1127015595</v>
      </c>
      <c r="U15" s="101">
        <f>if(Q15="","",(NORMDIST($Q15,(Dropdowns!M$6),stdev(Data!M:M),1))-sum(V15:Y15))</f>
        <v>0.3844643597</v>
      </c>
      <c r="V15" s="101">
        <f>if(Q15="","",(NORMDIST($Q15,(Dropdowns!M$5),stdev(Data!M:M),1))-sum(W15:Y15))</f>
        <v>0.2433901116</v>
      </c>
      <c r="W15" s="101">
        <f>if(Q15="","",(NORMDIST($Q15,(Dropdowns!M$4),stdev(Data!M:M),1))-sum(X15:Y15))</f>
        <v>0.01070881899</v>
      </c>
      <c r="X15" s="102">
        <f>if(Q15="","",(NORMDIST($Q15,(Dropdowns!M$3),stdev(Data!M:M),1))-Y15)</f>
        <v>0.001243911842</v>
      </c>
      <c r="Y15" s="102">
        <f>if(Q15="","",(NORMDIST($Q15,(Dropdowns!M$2),stdev(Data!M:M),1)))</f>
        <v>0.00001247850572</v>
      </c>
      <c r="Z15" s="100">
        <f t="shared" si="5"/>
        <v>18.01644741</v>
      </c>
      <c r="AA15" s="103">
        <f t="array" ref="AA15">iferror(INDEX('Salary Cap'!B:B,match(left(G15,5)&amp;"20"&amp;right(G15,2),'Salary Cap'!A:A,0))*0.0258221367806,AA14*1.05)</f>
        <v>4006686.689</v>
      </c>
      <c r="AB15" s="106">
        <f t="shared" si="12"/>
        <v>2359263.61</v>
      </c>
      <c r="AC15" s="2"/>
      <c r="AD15" s="17"/>
      <c r="AE15" s="17"/>
      <c r="AF15" s="17"/>
      <c r="AG15" s="17"/>
    </row>
    <row r="16">
      <c r="A16" s="17"/>
      <c r="B16" s="17"/>
      <c r="C16" s="108" t="s">
        <v>77</v>
      </c>
      <c r="D16" s="109" t="str">
        <f>IFERROR(__xludf.DUMMYFUNCTION("TEXT(SUM(W$7:W$29)*0.01,""0.0%"")&amp;"" - ""&amp;TEXT(AVERAGE.WEIGHTED(W$7:W$29,J$7:J$29),""0.0%"")"),"0.9% - 9.3%")</f>
        <v>0.9% - 9.3%</v>
      </c>
      <c r="E16" s="17"/>
      <c r="F16" s="93">
        <f t="shared" si="6"/>
        <v>36</v>
      </c>
      <c r="G16" s="93" t="str">
        <f t="shared" si="7"/>
        <v>2029-30</v>
      </c>
      <c r="H16" s="2">
        <f t="shared" si="8"/>
        <v>36</v>
      </c>
      <c r="I16" s="98" t="str">
        <f t="shared" si="9"/>
        <v>C</v>
      </c>
      <c r="J16" s="98">
        <f t="shared" si="13"/>
        <v>1805.045639</v>
      </c>
      <c r="K16" s="10">
        <f t="shared" si="10"/>
        <v>-1.551514212</v>
      </c>
      <c r="L16" s="10">
        <f>IFERROR(__xludf.DUMMYFUNCTION("IF(G16="""","""",L15+filter('Growth Summary'!L:L,'Growth Summary'!A:A=H15,'Growth Summary'!B:B=I16))"),-1.1430248066800681)</f>
        <v>-1.143024807</v>
      </c>
      <c r="M16" s="10">
        <f>IFERROR(__xludf.DUMMYFUNCTION("IF(G16="""","""",M15+filter('Growth Summary'!M:M,'Growth Summary'!A:A=H15,'Growth Summary'!B:B=I16))"),-0.408489405631485)</f>
        <v>-0.4084894056</v>
      </c>
      <c r="N16" s="10">
        <f t="shared" si="3"/>
        <v>-1.551514212</v>
      </c>
      <c r="O16" s="10"/>
      <c r="P16" s="10"/>
      <c r="Q16" s="11">
        <f t="shared" si="11"/>
        <v>0.9009624328</v>
      </c>
      <c r="R16" s="100">
        <f t="shared" si="4"/>
        <v>6.267594687</v>
      </c>
      <c r="S16" s="101">
        <f>if(Q16="","",(NORMDIST($Q16,(Dropdowns!M$8*72/82),stdev(Data!M:M),1))-sum(U16:Y16))</f>
        <v>0.1843667088</v>
      </c>
      <c r="T16" s="101">
        <f>if(Q16="","",(NORMDIST($Q16,(Dropdowns!M$7),stdev(Data!M:M),1))-sum(U16:Y16))</f>
        <v>0.1285678451</v>
      </c>
      <c r="U16" s="101">
        <f>if(Q16="","",(NORMDIST($Q16,(Dropdowns!M$6),stdev(Data!M:M),1))-sum(V16:Y16))</f>
        <v>0.3292734363</v>
      </c>
      <c r="V16" s="101">
        <f>if(Q16="","",(NORMDIST($Q16,(Dropdowns!M$5),stdev(Data!M:M),1))-sum(W16:Y16))</f>
        <v>0.1305189137</v>
      </c>
      <c r="W16" s="101">
        <f>if(Q16="","",(NORMDIST($Q16,(Dropdowns!M$4),stdev(Data!M:M),1))-sum(X16:Y16))</f>
        <v>0.003119573026</v>
      </c>
      <c r="X16" s="102">
        <f>if(Q16="","",(NORMDIST($Q16,(Dropdowns!M$3),stdev(Data!M:M),1))-Y16)</f>
        <v>0.00025654271</v>
      </c>
      <c r="Y16" s="102">
        <f>if(Q16="","",(NORMDIST($Q16,(Dropdowns!M$2),stdev(Data!M:M),1)))</f>
        <v>0.000001538472512</v>
      </c>
      <c r="Z16" s="100">
        <f t="shared" si="5"/>
        <v>8.201713364</v>
      </c>
      <c r="AA16" s="103">
        <f t="array" ref="AA16">iferror(INDEX('Salary Cap'!B:B,match(left(G16,5)&amp;"20"&amp;right(G16,2),'Salary Cap'!A:A,0))*0.0258221367806,AA15*1.05)</f>
        <v>4207021.024</v>
      </c>
      <c r="AB16" s="106">
        <f t="shared" si="12"/>
        <v>2477226.791</v>
      </c>
      <c r="AC16" s="2"/>
      <c r="AD16" s="17"/>
      <c r="AE16" s="17"/>
      <c r="AF16" s="17"/>
      <c r="AG16" s="17"/>
    </row>
    <row r="17">
      <c r="A17" s="17"/>
      <c r="B17" s="17"/>
      <c r="C17" s="108" t="s">
        <v>78</v>
      </c>
      <c r="D17" s="109" t="str">
        <f>IFERROR(__xludf.DUMMYFUNCTION("TEXT(SUM(V$7:V$29)*0.01,""0.0%"")&amp;"" - ""&amp;TEXT(AVERAGE.WEIGHTED(V$7:V$29,J$7:J$29),""0.0%"")"),"4.5% - 42.7%")</f>
        <v>4.5% - 42.7%</v>
      </c>
      <c r="E17" s="17"/>
      <c r="F17" s="93">
        <f t="shared" si="6"/>
        <v>37</v>
      </c>
      <c r="G17" s="93" t="str">
        <f t="shared" si="7"/>
        <v>2030-31</v>
      </c>
      <c r="H17" s="2">
        <f t="shared" si="8"/>
        <v>37</v>
      </c>
      <c r="I17" s="98" t="str">
        <f t="shared" si="9"/>
        <v>C</v>
      </c>
      <c r="J17" s="98">
        <f t="shared" si="13"/>
        <v>1656.47575</v>
      </c>
      <c r="K17" s="10">
        <f t="shared" si="10"/>
        <v>-2.509114212</v>
      </c>
      <c r="L17" s="10">
        <f>IFERROR(__xludf.DUMMYFUNCTION("IF(G17="""","""",L16+filter('Growth Summary'!L:L,'Growth Summary'!A:A=H16,'Growth Summary'!B:B=I17))"),-1.467824806680068)</f>
        <v>-1.467824807</v>
      </c>
      <c r="M17" s="10">
        <f>IFERROR(__xludf.DUMMYFUNCTION("IF(G17="""","""",M16+filter('Growth Summary'!M:M,'Growth Summary'!A:A=H16,'Growth Summary'!B:B=I17))"),-1.0412894056314848)</f>
        <v>-1.041289406</v>
      </c>
      <c r="N17" s="10">
        <f t="shared" si="3"/>
        <v>-2.509114212</v>
      </c>
      <c r="O17" s="10"/>
      <c r="P17" s="10"/>
      <c r="Q17" s="11">
        <f t="shared" si="11"/>
        <v>-0.2241398768</v>
      </c>
      <c r="R17" s="100">
        <f t="shared" si="4"/>
        <v>1.610978898</v>
      </c>
      <c r="S17" s="101">
        <f>if(Q17="","",(NORMDIST($Q17,(Dropdowns!M$8*72/82),stdev(Data!M:M),1))-sum(U17:Y17))</f>
        <v>0.1788298384</v>
      </c>
      <c r="T17" s="101">
        <f>if(Q17="","",(NORMDIST($Q17,(Dropdowns!M$7),stdev(Data!M:M),1))-sum(U17:Y17))</f>
        <v>0.1208283929</v>
      </c>
      <c r="U17" s="101">
        <f>if(Q17="","",(NORMDIST($Q17,(Dropdowns!M$6),stdev(Data!M:M),1))-sum(V17:Y17))</f>
        <v>0.2385544971</v>
      </c>
      <c r="V17" s="101">
        <f>if(Q17="","",(NORMDIST($Q17,(Dropdowns!M$5),stdev(Data!M:M),1))-sum(W17:Y17))</f>
        <v>0.06109346609</v>
      </c>
      <c r="W17" s="101">
        <f>if(Q17="","",(NORMDIST($Q17,(Dropdowns!M$4),stdev(Data!M:M),1))-sum(X17:Y17))</f>
        <v>0.000799500143</v>
      </c>
      <c r="X17" s="102">
        <f>if(Q17="","",(NORMDIST($Q17,(Dropdowns!M$3),stdev(Data!M:M),1))-Y17)</f>
        <v>0.00004737918754</v>
      </c>
      <c r="Y17" s="102">
        <f>if(Q17="","",(NORMDIST($Q17,(Dropdowns!M$2),stdev(Data!M:M),1)))</f>
        <v>0.0000001733223443</v>
      </c>
      <c r="Z17" s="100">
        <f t="shared" si="5"/>
        <v>-2.142428478</v>
      </c>
      <c r="AA17" s="103">
        <f t="array" ref="AA17">iferror(INDEX('Salary Cap'!B:B,match(left(G17,5)&amp;"20"&amp;right(G17,2),'Salary Cap'!A:A,0))*0.0258221367806,AA16*1.05)</f>
        <v>4417372.075</v>
      </c>
      <c r="AB17" s="106">
        <f t="shared" si="12"/>
        <v>2601088.131</v>
      </c>
      <c r="AC17" s="2"/>
      <c r="AD17" s="17"/>
      <c r="AE17" s="17"/>
      <c r="AF17" s="17"/>
      <c r="AG17" s="17"/>
    </row>
    <row r="18">
      <c r="A18" s="17"/>
      <c r="B18" s="17"/>
      <c r="C18" s="108" t="s">
        <v>79</v>
      </c>
      <c r="D18" s="109" t="str">
        <f>IFERROR(__xludf.DUMMYFUNCTION("TEXT(SUM(U$7:U$29)*0.01,""0.0%"")&amp;"" - ""&amp;TEXT(AVERAGE.WEIGHTED(U$7:U$29,J$7:J$29),""0.0%"")"),"2.9% - 25.4%")</f>
        <v>2.9% - 25.4%</v>
      </c>
      <c r="E18" s="17"/>
      <c r="F18" s="93">
        <f t="shared" si="6"/>
        <v>38</v>
      </c>
      <c r="G18" s="93" t="str">
        <f t="shared" si="7"/>
        <v/>
      </c>
      <c r="H18" s="2" t="str">
        <f t="shared" si="8"/>
        <v/>
      </c>
      <c r="I18" s="98" t="str">
        <f t="shared" si="9"/>
        <v/>
      </c>
      <c r="J18" s="98" t="str">
        <f t="shared" si="13"/>
        <v/>
      </c>
      <c r="K18" s="10" t="str">
        <f t="shared" si="10"/>
        <v/>
      </c>
      <c r="L18" s="10" t="str">
        <f>IFERROR(__xludf.DUMMYFUNCTION("IF(G18="""","""",L17+filter('Growth Summary'!L:L,'Growth Summary'!A:A=H17,'Growth Summary'!B:B=I18))"),"")</f>
        <v/>
      </c>
      <c r="M18" s="10" t="str">
        <f>IFERROR(__xludf.DUMMYFUNCTION("IF(G18="""","""",M17+filter('Growth Summary'!M:M,'Growth Summary'!A:A=H17,'Growth Summary'!B:B=I18))"),"")</f>
        <v/>
      </c>
      <c r="N18" s="10" t="str">
        <f t="shared" si="3"/>
        <v/>
      </c>
      <c r="O18" s="10"/>
      <c r="P18" s="10"/>
      <c r="Q18" s="11" t="str">
        <f t="shared" si="11"/>
        <v/>
      </c>
      <c r="R18" s="100" t="str">
        <f t="shared" si="4"/>
        <v/>
      </c>
      <c r="S18" s="101" t="str">
        <f>if(Q18="","",(NORMDIST($Q18,(Dropdowns!M$8*72/82),stdev(Data!M:M),1))-sum(U18:Y18))</f>
        <v/>
      </c>
      <c r="T18" s="101" t="str">
        <f>if(Q18="","",(NORMDIST($Q18,(Dropdowns!M$7),stdev(Data!M:M),1))-sum(U18:Y18))</f>
        <v/>
      </c>
      <c r="U18" s="101" t="str">
        <f>if(Q18="","",(NORMDIST($Q18,(Dropdowns!M$6),stdev(Data!M:M),1))-sum(V18:Y18))</f>
        <v/>
      </c>
      <c r="V18" s="101" t="str">
        <f>if(Q18="","",(NORMDIST($Q18,(Dropdowns!M$5),stdev(Data!M:M),1))-sum(W18:Y18))</f>
        <v/>
      </c>
      <c r="W18" s="101" t="str">
        <f>if(Q18="","",(NORMDIST($Q18,(Dropdowns!M$4),stdev(Data!M:M),1))-sum(X18:Y18))</f>
        <v/>
      </c>
      <c r="X18" s="102" t="str">
        <f>if(Q18="","",(NORMDIST($Q18,(Dropdowns!M$3),stdev(Data!M:M),1))-Y18)</f>
        <v/>
      </c>
      <c r="Y18" s="102" t="str">
        <f>if(Q18="","",(NORMDIST($Q18,(Dropdowns!M$2),stdev(Data!M:M),1)))</f>
        <v/>
      </c>
      <c r="Z18" s="100" t="str">
        <f t="shared" si="5"/>
        <v/>
      </c>
      <c r="AA18" s="103">
        <f t="array" ref="AA18">iferror(INDEX('Salary Cap'!B:B,match(left(G18,5)&amp;"20"&amp;right(G18,2),'Salary Cap'!A:A,0))*0.0258221367806,AA17*1.05)</f>
        <v>4638240.679</v>
      </c>
      <c r="AB18" s="106">
        <f t="shared" si="12"/>
        <v>2731142.537</v>
      </c>
      <c r="AC18" s="2"/>
      <c r="AD18" s="17"/>
      <c r="AE18" s="17"/>
      <c r="AF18" s="17"/>
      <c r="AG18" s="17"/>
    </row>
    <row r="19">
      <c r="A19" s="17"/>
      <c r="B19" s="17"/>
      <c r="C19" s="108" t="s">
        <v>80</v>
      </c>
      <c r="D19" s="109" t="str">
        <f>IFERROR(__xludf.DUMMYFUNCTION("TEXT(SUM(T$7:T$29)*0.01,""0.0%"")&amp;"" - ""&amp;TEXT(AVERAGE.WEIGHTED(T$7:T$29,J$7:J$29),""0.0%"")"),"0.7% - 5.6%")</f>
        <v>0.7% - 5.6%</v>
      </c>
      <c r="E19" s="17"/>
      <c r="F19" s="93">
        <f t="shared" si="6"/>
        <v>39</v>
      </c>
      <c r="G19" s="93" t="str">
        <f t="shared" si="7"/>
        <v/>
      </c>
      <c r="H19" s="2" t="str">
        <f t="shared" si="8"/>
        <v/>
      </c>
      <c r="I19" s="98" t="str">
        <f t="shared" si="9"/>
        <v/>
      </c>
      <c r="J19" s="98" t="str">
        <f t="shared" si="13"/>
        <v/>
      </c>
      <c r="K19" s="10" t="str">
        <f t="shared" si="10"/>
        <v/>
      </c>
      <c r="L19" s="10" t="str">
        <f>IFERROR(__xludf.DUMMYFUNCTION("IF(G19="""","""",L18+filter('Growth Summary'!L:L,'Growth Summary'!A:A=H18,'Growth Summary'!B:B=I19))"),"")</f>
        <v/>
      </c>
      <c r="M19" s="10" t="str">
        <f>IFERROR(__xludf.DUMMYFUNCTION("IF(G19="""","""",M18+filter('Growth Summary'!M:M,'Growth Summary'!A:A=H18,'Growth Summary'!B:B=I19))"),"")</f>
        <v/>
      </c>
      <c r="N19" s="10" t="str">
        <f t="shared" si="3"/>
        <v/>
      </c>
      <c r="O19" s="10"/>
      <c r="P19" s="10"/>
      <c r="Q19" s="11" t="str">
        <f t="shared" si="11"/>
        <v/>
      </c>
      <c r="R19" s="100" t="str">
        <f t="shared" si="4"/>
        <v/>
      </c>
      <c r="S19" s="101" t="str">
        <f>if(Q19="","",(NORMDIST($Q19,(Dropdowns!M$8*72/82),stdev(Data!M:M),1))-sum(U19:Y19))</f>
        <v/>
      </c>
      <c r="T19" s="101" t="str">
        <f>if(Q19="","",(NORMDIST($Q19,(Dropdowns!M$7),stdev(Data!M:M),1))-sum(U19:Y19))</f>
        <v/>
      </c>
      <c r="U19" s="101" t="str">
        <f>if(Q19="","",(NORMDIST($Q19,(Dropdowns!M$6),stdev(Data!M:M),1))-sum(V19:Y19))</f>
        <v/>
      </c>
      <c r="V19" s="101" t="str">
        <f>if(Q19="","",(NORMDIST($Q19,(Dropdowns!M$5),stdev(Data!M:M),1))-sum(W19:Y19))</f>
        <v/>
      </c>
      <c r="W19" s="101" t="str">
        <f>if(Q19="","",(NORMDIST($Q19,(Dropdowns!M$4),stdev(Data!M:M),1))-sum(X19:Y19))</f>
        <v/>
      </c>
      <c r="X19" s="102" t="str">
        <f>if(Q19="","",(NORMDIST($Q19,(Dropdowns!M$3),stdev(Data!M:M),1))-Y19)</f>
        <v/>
      </c>
      <c r="Y19" s="102" t="str">
        <f>if(Q19="","",(NORMDIST($Q19,(Dropdowns!M$2),stdev(Data!M:M),1)))</f>
        <v/>
      </c>
      <c r="Z19" s="100" t="str">
        <f t="shared" si="5"/>
        <v/>
      </c>
      <c r="AA19" s="103">
        <f t="array" ref="AA19">iferror(INDEX('Salary Cap'!B:B,match(left(G19,5)&amp;"20"&amp;right(G19,2),'Salary Cap'!A:A,0))*0.0258221367806,AA18*1.05)</f>
        <v>4870152.712</v>
      </c>
      <c r="AB19" s="106">
        <f t="shared" si="12"/>
        <v>2867699.664</v>
      </c>
      <c r="AC19" s="2"/>
      <c r="AD19" s="17"/>
      <c r="AE19" s="17"/>
      <c r="AF19" s="17"/>
      <c r="AG19" s="17"/>
    </row>
    <row r="20">
      <c r="A20" s="17"/>
      <c r="B20" s="17"/>
      <c r="C20" s="108" t="s">
        <v>82</v>
      </c>
      <c r="D20" s="109" t="str">
        <f>IFERROR(__xludf.DUMMYFUNCTION("TEXT(SUM(S$7:S$29)*0.01,""0.0%"")&amp;"" - ""&amp;TEXT(AVERAGE.WEIGHTED(S$7:S$29,J$7:J$29),""0.0%"")"),"0.9% - 7.6%")</f>
        <v>0.9% - 7.6%</v>
      </c>
      <c r="E20" s="17"/>
      <c r="F20" s="93">
        <f t="shared" si="6"/>
        <v>40</v>
      </c>
      <c r="G20" s="93" t="str">
        <f t="shared" si="7"/>
        <v/>
      </c>
      <c r="H20" s="2" t="str">
        <f t="shared" si="8"/>
        <v/>
      </c>
      <c r="I20" s="98" t="str">
        <f t="shared" si="9"/>
        <v/>
      </c>
      <c r="J20" s="98" t="str">
        <f t="shared" si="13"/>
        <v/>
      </c>
      <c r="K20" s="10" t="str">
        <f t="shared" si="10"/>
        <v/>
      </c>
      <c r="L20" s="10" t="str">
        <f>IFERROR(__xludf.DUMMYFUNCTION("IF(G20="""","""",L19+filter('Growth Summary'!L:L,'Growth Summary'!A:A=H19,'Growth Summary'!B:B=I20))"),"")</f>
        <v/>
      </c>
      <c r="M20" s="10" t="str">
        <f>IFERROR(__xludf.DUMMYFUNCTION("IF(G20="""","""",M19+filter('Growth Summary'!M:M,'Growth Summary'!A:A=H19,'Growth Summary'!B:B=I20))"),"")</f>
        <v/>
      </c>
      <c r="N20" s="10" t="str">
        <f t="shared" si="3"/>
        <v/>
      </c>
      <c r="O20" s="10"/>
      <c r="P20" s="10"/>
      <c r="Q20" s="11" t="str">
        <f t="shared" si="11"/>
        <v/>
      </c>
      <c r="R20" s="100" t="str">
        <f t="shared" si="4"/>
        <v/>
      </c>
      <c r="S20" s="101" t="str">
        <f>if(Q20="","",(NORMDIST($Q20,(Dropdowns!M$8*72/82),stdev(Data!M:M),1))-sum(U20:Y20))</f>
        <v/>
      </c>
      <c r="T20" s="101" t="str">
        <f>if(Q20="","",(NORMDIST($Q20,(Dropdowns!M$7),stdev(Data!M:M),1))-sum(U20:Y20))</f>
        <v/>
      </c>
      <c r="U20" s="101" t="str">
        <f>if(Q20="","",(NORMDIST($Q20,(Dropdowns!M$6),stdev(Data!M:M),1))-sum(V20:Y20))</f>
        <v/>
      </c>
      <c r="V20" s="101" t="str">
        <f>if(Q20="","",(NORMDIST($Q20,(Dropdowns!M$5),stdev(Data!M:M),1))-sum(W20:Y20))</f>
        <v/>
      </c>
      <c r="W20" s="101" t="str">
        <f>if(Q20="","",(NORMDIST($Q20,(Dropdowns!M$4),stdev(Data!M:M),1))-sum(X20:Y20))</f>
        <v/>
      </c>
      <c r="X20" s="102" t="str">
        <f>if(Q20="","",(NORMDIST($Q20,(Dropdowns!M$3),stdev(Data!M:M),1))-Y20)</f>
        <v/>
      </c>
      <c r="Y20" s="102" t="str">
        <f>if(Q20="","",(NORMDIST($Q20,(Dropdowns!M$2),stdev(Data!M:M),1)))</f>
        <v/>
      </c>
      <c r="Z20" s="100" t="str">
        <f t="shared" si="5"/>
        <v/>
      </c>
      <c r="AA20" s="103">
        <f t="array" ref="AA20">iferror(INDEX('Salary Cap'!B:B,match(left(G20,5)&amp;"20"&amp;right(G20,2),'Salary Cap'!A:A,0))*0.0258221367806,AA19*1.05)</f>
        <v>5113660.348</v>
      </c>
      <c r="AB20" s="106">
        <f t="shared" si="12"/>
        <v>3011084.647</v>
      </c>
      <c r="AC20" s="2"/>
      <c r="AD20" s="17"/>
      <c r="AE20" s="17"/>
      <c r="AF20" s="17"/>
      <c r="AG20" s="17"/>
    </row>
    <row r="21">
      <c r="A21" s="17"/>
      <c r="B21" s="17"/>
      <c r="C21" s="17"/>
      <c r="D21" s="17"/>
      <c r="E21" s="17"/>
      <c r="F21" s="93">
        <f t="shared" si="6"/>
        <v>41</v>
      </c>
      <c r="G21" s="93" t="str">
        <f t="shared" si="7"/>
        <v/>
      </c>
      <c r="H21" s="2" t="str">
        <f t="shared" si="8"/>
        <v/>
      </c>
      <c r="I21" s="98" t="str">
        <f t="shared" si="9"/>
        <v/>
      </c>
      <c r="J21" s="98" t="str">
        <f t="shared" si="13"/>
        <v/>
      </c>
      <c r="K21" s="10" t="str">
        <f t="shared" si="10"/>
        <v/>
      </c>
      <c r="L21" s="10" t="str">
        <f>IFERROR(__xludf.DUMMYFUNCTION("IF(G21="""","""",L20+filter('Growth Summary'!L:L,'Growth Summary'!A:A=H20,'Growth Summary'!B:B=I21))"),"")</f>
        <v/>
      </c>
      <c r="M21" s="10" t="str">
        <f>IFERROR(__xludf.DUMMYFUNCTION("IF(G21="""","""",M20+filter('Growth Summary'!M:M,'Growth Summary'!A:A=H20,'Growth Summary'!B:B=I21))"),"")</f>
        <v/>
      </c>
      <c r="N21" s="10" t="str">
        <f t="shared" si="3"/>
        <v/>
      </c>
      <c r="O21" s="10"/>
      <c r="P21" s="10"/>
      <c r="Q21" s="11" t="str">
        <f t="shared" si="11"/>
        <v/>
      </c>
      <c r="R21" s="100" t="str">
        <f t="shared" si="4"/>
        <v/>
      </c>
      <c r="S21" s="101" t="str">
        <f>if(Q21="","",(NORMDIST($Q21,(Dropdowns!M$8*72/82),stdev(Data!M:M),1))-sum(U21:Y21))</f>
        <v/>
      </c>
      <c r="T21" s="101" t="str">
        <f>if(Q21="","",(NORMDIST($Q21,(Dropdowns!M$7),stdev(Data!M:M),1))-sum(U21:Y21))</f>
        <v/>
      </c>
      <c r="U21" s="101" t="str">
        <f>if(Q21="","",(NORMDIST($Q21,(Dropdowns!M$6),stdev(Data!M:M),1))-sum(V21:Y21))</f>
        <v/>
      </c>
      <c r="V21" s="101" t="str">
        <f>if(Q21="","",(NORMDIST($Q21,(Dropdowns!M$5),stdev(Data!M:M),1))-sum(W21:Y21))</f>
        <v/>
      </c>
      <c r="W21" s="101" t="str">
        <f>if(Q21="","",(NORMDIST($Q21,(Dropdowns!M$4),stdev(Data!M:M),1))-sum(X21:Y21))</f>
        <v/>
      </c>
      <c r="X21" s="102" t="str">
        <f>if(Q21="","",(NORMDIST($Q21,(Dropdowns!M$3),stdev(Data!M:M),1))-Y21)</f>
        <v/>
      </c>
      <c r="Y21" s="102" t="str">
        <f>if(Q21="","",(NORMDIST($Q21,(Dropdowns!M$2),stdev(Data!M:M),1)))</f>
        <v/>
      </c>
      <c r="Z21" s="100" t="str">
        <f t="shared" si="5"/>
        <v/>
      </c>
      <c r="AA21" s="103">
        <f t="array" ref="AA21">iferror(INDEX('Salary Cap'!B:B,match(left(G21,5)&amp;"20"&amp;right(G21,2),'Salary Cap'!A:A,0))*0.0258221367806,AA20*1.05)</f>
        <v>5369343.365</v>
      </c>
      <c r="AB21" s="106">
        <f t="shared" si="12"/>
        <v>3161638.879</v>
      </c>
      <c r="AC21" s="2"/>
      <c r="AD21" s="17"/>
      <c r="AE21" s="17"/>
      <c r="AF21" s="17"/>
      <c r="AG21" s="17"/>
    </row>
    <row r="22">
      <c r="A22" s="17"/>
      <c r="B22" s="17"/>
      <c r="C22" s="110" t="str">
        <f>"Peak Future Odds (Age "&amp;MIN(AC:AC)&amp;"-"&amp;MAX(AC:AC)&amp;" Seasons):"</f>
        <v>Peak Future Odds (Age 28-30 Seasons):</v>
      </c>
      <c r="E22" s="17"/>
      <c r="F22" s="93">
        <f t="shared" si="6"/>
        <v>42</v>
      </c>
      <c r="G22" s="93" t="str">
        <f t="shared" si="7"/>
        <v/>
      </c>
      <c r="H22" s="2" t="str">
        <f t="shared" si="8"/>
        <v/>
      </c>
      <c r="I22" s="98" t="str">
        <f t="shared" si="9"/>
        <v/>
      </c>
      <c r="J22" s="98" t="str">
        <f t="shared" si="13"/>
        <v/>
      </c>
      <c r="K22" s="10" t="str">
        <f t="shared" si="10"/>
        <v/>
      </c>
      <c r="L22" s="10" t="str">
        <f>IFERROR(__xludf.DUMMYFUNCTION("IF(G22="""","""",L21+filter('Growth Summary'!L:L,'Growth Summary'!A:A=H21,'Growth Summary'!B:B=I22))"),"")</f>
        <v/>
      </c>
      <c r="M22" s="10" t="str">
        <f>IFERROR(__xludf.DUMMYFUNCTION("IF(G22="""","""",M21+filter('Growth Summary'!M:M,'Growth Summary'!A:A=H21,'Growth Summary'!B:B=I22))"),"")</f>
        <v/>
      </c>
      <c r="N22" s="10" t="str">
        <f t="shared" si="3"/>
        <v/>
      </c>
      <c r="O22" s="10"/>
      <c r="P22" s="10"/>
      <c r="Q22" s="11" t="str">
        <f t="shared" si="11"/>
        <v/>
      </c>
      <c r="R22" s="100" t="str">
        <f t="shared" si="4"/>
        <v/>
      </c>
      <c r="S22" s="101" t="str">
        <f>if(Q22="","",(NORMDIST($Q22,(Dropdowns!M$8*72/82),stdev(Data!M:M),1))-sum(U22:Y22))</f>
        <v/>
      </c>
      <c r="T22" s="101" t="str">
        <f>if(Q22="","",(NORMDIST($Q22,(Dropdowns!M$7),stdev(Data!M:M),1))-sum(U22:Y22))</f>
        <v/>
      </c>
      <c r="U22" s="101" t="str">
        <f>if(Q22="","",(NORMDIST($Q22,(Dropdowns!M$6),stdev(Data!M:M),1))-sum(V22:Y22))</f>
        <v/>
      </c>
      <c r="V22" s="101" t="str">
        <f>if(Q22="","",(NORMDIST($Q22,(Dropdowns!M$5),stdev(Data!M:M),1))-sum(W22:Y22))</f>
        <v/>
      </c>
      <c r="W22" s="101" t="str">
        <f>if(Q22="","",(NORMDIST($Q22,(Dropdowns!M$4),stdev(Data!M:M),1))-sum(X22:Y22))</f>
        <v/>
      </c>
      <c r="X22" s="102" t="str">
        <f>if(Q22="","",(NORMDIST($Q22,(Dropdowns!M$3),stdev(Data!M:M),1))-Y22)</f>
        <v/>
      </c>
      <c r="Y22" s="102" t="str">
        <f>if(Q22="","",(NORMDIST($Q22,(Dropdowns!M$2),stdev(Data!M:M),1)))</f>
        <v/>
      </c>
      <c r="Z22" s="100" t="str">
        <f t="shared" si="5"/>
        <v/>
      </c>
      <c r="AA22" s="103">
        <f t="array" ref="AA22">iferror(INDEX('Salary Cap'!B:B,match(left(G22,5)&amp;"20"&amp;right(G22,2),'Salary Cap'!A:A,0))*0.0258221367806,AA21*1.05)</f>
        <v>5637810.534</v>
      </c>
      <c r="AB22" s="106">
        <f t="shared" si="12"/>
        <v>3319720.823</v>
      </c>
      <c r="AC22" s="2"/>
      <c r="AD22" s="17"/>
      <c r="AE22" s="17"/>
      <c r="AF22" s="17"/>
      <c r="AG22" s="17"/>
    </row>
    <row r="23">
      <c r="A23" s="17"/>
      <c r="B23" s="17"/>
      <c r="C23" s="108" t="s">
        <v>75</v>
      </c>
      <c r="D23" s="111">
        <f t="array" ref="D23">(index(Y:Y,match(AC$7,H:H,0))*index(J:J,match(AC$7,H:H,0))+index(Y:Y,match(AC$8,H:H,0))*index(J:J,match(AC$8,H:H,0))+index(Y:Y,match(AC$9,H:H,0))*index(J:J,match(AC$9,H:H,0)))/sum(index(J:J,match(AC$7,H:H,0)),index(J:J,match(AC$8,H:H,0)),index(J:J,match(AC$9,H:H,0)))</f>
        <v>0.007030505016</v>
      </c>
      <c r="E23" s="17"/>
      <c r="F23" s="93">
        <f t="shared" si="6"/>
        <v>43</v>
      </c>
      <c r="G23" s="93" t="str">
        <f t="shared" si="7"/>
        <v/>
      </c>
      <c r="H23" s="2" t="str">
        <f t="shared" si="8"/>
        <v/>
      </c>
      <c r="I23" s="98" t="str">
        <f t="shared" si="9"/>
        <v/>
      </c>
      <c r="J23" s="98" t="str">
        <f t="shared" si="13"/>
        <v/>
      </c>
      <c r="K23" s="10" t="str">
        <f t="shared" si="10"/>
        <v/>
      </c>
      <c r="L23" s="10" t="str">
        <f>IFERROR(__xludf.DUMMYFUNCTION("IF(G23="""","""",L22+filter('Growth Summary'!L:L,'Growth Summary'!A:A=H22,'Growth Summary'!B:B=I23))"),"")</f>
        <v/>
      </c>
      <c r="M23" s="10" t="str">
        <f>IFERROR(__xludf.DUMMYFUNCTION("IF(G23="""","""",M22+filter('Growth Summary'!M:M,'Growth Summary'!A:A=H22,'Growth Summary'!B:B=I23))"),"")</f>
        <v/>
      </c>
      <c r="N23" s="10" t="str">
        <f t="shared" si="3"/>
        <v/>
      </c>
      <c r="O23" s="10"/>
      <c r="P23" s="10"/>
      <c r="Q23" s="11" t="str">
        <f t="shared" si="11"/>
        <v/>
      </c>
      <c r="R23" s="100" t="str">
        <f t="shared" si="4"/>
        <v/>
      </c>
      <c r="S23" s="101" t="str">
        <f>if(Q23="","",(NORMDIST($Q23,(Dropdowns!M$8*72/82),stdev(Data!M:M),1))-sum(U23:Y23))</f>
        <v/>
      </c>
      <c r="T23" s="101" t="str">
        <f>if(Q23="","",(NORMDIST($Q23,(Dropdowns!M$7),stdev(Data!M:M),1))-sum(U23:Y23))</f>
        <v/>
      </c>
      <c r="U23" s="101" t="str">
        <f>if(Q23="","",(NORMDIST($Q23,(Dropdowns!M$6),stdev(Data!M:M),1))-sum(V23:Y23))</f>
        <v/>
      </c>
      <c r="V23" s="101" t="str">
        <f>if(Q23="","",(NORMDIST($Q23,(Dropdowns!M$5),stdev(Data!M:M),1))-sum(W23:Y23))</f>
        <v/>
      </c>
      <c r="W23" s="101" t="str">
        <f>if(Q23="","",(NORMDIST($Q23,(Dropdowns!M$4),stdev(Data!M:M),1))-sum(X23:Y23))</f>
        <v/>
      </c>
      <c r="X23" s="102" t="str">
        <f>if(Q23="","",(NORMDIST($Q23,(Dropdowns!M$3),stdev(Data!M:M),1))-Y23)</f>
        <v/>
      </c>
      <c r="Y23" s="102" t="str">
        <f>if(Q23="","",(NORMDIST($Q23,(Dropdowns!M$2),stdev(Data!M:M),1)))</f>
        <v/>
      </c>
      <c r="Z23" s="100" t="str">
        <f t="shared" si="5"/>
        <v/>
      </c>
      <c r="AA23" s="103">
        <f t="array" ref="AA23">iferror(INDEX('Salary Cap'!B:B,match(left(G23,5)&amp;"20"&amp;right(G23,2),'Salary Cap'!A:A,0))*0.0258221367806,AA22*1.05)</f>
        <v>5919701.06</v>
      </c>
      <c r="AB23" s="106">
        <f t="shared" si="12"/>
        <v>3485706.865</v>
      </c>
      <c r="AC23" s="2"/>
      <c r="AD23" s="17"/>
      <c r="AE23" s="17"/>
      <c r="AF23" s="17"/>
      <c r="AG23" s="17"/>
    </row>
    <row r="24">
      <c r="A24" s="17"/>
      <c r="B24" s="17"/>
      <c r="C24" s="108" t="s">
        <v>76</v>
      </c>
      <c r="D24" s="111">
        <f t="array" ref="D24">(index(X:X,match(AC$7,H:H,0))*index(J:J,match(AC$7,H:H,0))+index(X:X,match(AC$8,H:H,0))*index(J:J,match(AC$8,H:H,0))+index(X:X,match(AC$9,H:H,0))*index(J:J,match(AC$9,H:H,0)))/sum(index(J:J,match(AC$7,H:H,0)),index(J:J,match(AC$8,H:H,0)),index(J:J,match(AC$9,H:H,0)))</f>
        <v>0.0826845973</v>
      </c>
      <c r="E24" s="17"/>
      <c r="F24" s="93">
        <f t="shared" si="6"/>
        <v>44</v>
      </c>
      <c r="G24" s="93" t="str">
        <f t="shared" si="7"/>
        <v/>
      </c>
      <c r="H24" s="2" t="str">
        <f t="shared" si="8"/>
        <v/>
      </c>
      <c r="I24" s="98" t="str">
        <f t="shared" si="9"/>
        <v/>
      </c>
      <c r="J24" s="98" t="str">
        <f t="shared" si="13"/>
        <v/>
      </c>
      <c r="K24" s="10" t="str">
        <f t="shared" si="10"/>
        <v/>
      </c>
      <c r="L24" s="10" t="str">
        <f>IFERROR(__xludf.DUMMYFUNCTION("IF(G24="""","""",L23+filter('Growth Summary'!L:L,'Growth Summary'!A:A=H23,'Growth Summary'!B:B=I24))"),"")</f>
        <v/>
      </c>
      <c r="M24" s="10" t="str">
        <f>IFERROR(__xludf.DUMMYFUNCTION("IF(G24="""","""",M23+filter('Growth Summary'!M:M,'Growth Summary'!A:A=H23,'Growth Summary'!B:B=I24))"),"")</f>
        <v/>
      </c>
      <c r="N24" s="10" t="str">
        <f t="shared" si="3"/>
        <v/>
      </c>
      <c r="O24" s="10"/>
      <c r="P24" s="10"/>
      <c r="Q24" s="11" t="str">
        <f t="shared" si="11"/>
        <v/>
      </c>
      <c r="R24" s="100" t="str">
        <f t="shared" si="4"/>
        <v/>
      </c>
      <c r="S24" s="101" t="str">
        <f>if(Q24="","",(NORMDIST($Q24,(Dropdowns!M$8*72/82),stdev(Data!M:M),1))-sum(U24:Y24))</f>
        <v/>
      </c>
      <c r="T24" s="101" t="str">
        <f>if(Q24="","",(NORMDIST($Q24,(Dropdowns!M$7),stdev(Data!M:M),1))-sum(U24:Y24))</f>
        <v/>
      </c>
      <c r="U24" s="101" t="str">
        <f>if(Q24="","",(NORMDIST($Q24,(Dropdowns!M$6),stdev(Data!M:M),1))-sum(V24:Y24))</f>
        <v/>
      </c>
      <c r="V24" s="101" t="str">
        <f>if(Q24="","",(NORMDIST($Q24,(Dropdowns!M$5),stdev(Data!M:M),1))-sum(W24:Y24))</f>
        <v/>
      </c>
      <c r="W24" s="101" t="str">
        <f>if(Q24="","",(NORMDIST($Q24,(Dropdowns!M$4),stdev(Data!M:M),1))-sum(X24:Y24))</f>
        <v/>
      </c>
      <c r="X24" s="102" t="str">
        <f>if(Q24="","",(NORMDIST($Q24,(Dropdowns!M$3),stdev(Data!M:M),1))-Y24)</f>
        <v/>
      </c>
      <c r="Y24" s="102" t="str">
        <f>if(Q24="","",(NORMDIST($Q24,(Dropdowns!M$2),stdev(Data!M:M),1)))</f>
        <v/>
      </c>
      <c r="Z24" s="100" t="str">
        <f t="shared" si="5"/>
        <v/>
      </c>
      <c r="AA24" s="103">
        <f t="array" ref="AA24">iferror(INDEX('Salary Cap'!B:B,match(left(G24,5)&amp;"20"&amp;right(G24,2),'Salary Cap'!A:A,0))*0.0258221367806,AA23*1.05)</f>
        <v>6215686.113</v>
      </c>
      <c r="AB24" s="106">
        <f t="shared" si="12"/>
        <v>3659992.208</v>
      </c>
      <c r="AC24" s="2"/>
      <c r="AD24" s="17"/>
      <c r="AE24" s="17"/>
      <c r="AF24" s="17"/>
      <c r="AG24" s="17"/>
    </row>
    <row r="25">
      <c r="A25" s="17"/>
      <c r="B25" s="17"/>
      <c r="C25" s="108" t="s">
        <v>77</v>
      </c>
      <c r="D25" s="111">
        <f t="array" ref="D25">(index(W:W,match(AC$7,H:H,0))*index(J:J,match(AC$7,H:H,0))+index(W:W,match(AC$8,H:H,0))*index(J:J,match(AC$8,H:H,0))+index(W:W,match(AC$9,H:H,0))*index(J:J,match(AC$9,H:H,0)))/sum(index(J:J,match(AC$7,H:H,0)),index(J:J,match(AC$8,H:H,0)),index(J:J,match(AC$9,H:H,0)))</f>
        <v>0.1793453867</v>
      </c>
      <c r="E25" s="17"/>
      <c r="F25" s="93">
        <f t="shared" si="6"/>
        <v>45</v>
      </c>
      <c r="G25" s="93" t="str">
        <f t="shared" si="7"/>
        <v/>
      </c>
      <c r="H25" s="2" t="str">
        <f t="shared" si="8"/>
        <v/>
      </c>
      <c r="I25" s="98" t="str">
        <f t="shared" si="9"/>
        <v/>
      </c>
      <c r="J25" s="98" t="str">
        <f t="shared" si="13"/>
        <v/>
      </c>
      <c r="K25" s="10" t="str">
        <f t="shared" si="10"/>
        <v/>
      </c>
      <c r="L25" s="10" t="str">
        <f>IFERROR(__xludf.DUMMYFUNCTION("IF(G25="""","""",L24+filter('Growth Summary'!L:L,'Growth Summary'!A:A=H24,'Growth Summary'!B:B=I25))"),"")</f>
        <v/>
      </c>
      <c r="M25" s="10" t="str">
        <f>IFERROR(__xludf.DUMMYFUNCTION("IF(G25="""","""",M24+filter('Growth Summary'!M:M,'Growth Summary'!A:A=H24,'Growth Summary'!B:B=I25))"),"")</f>
        <v/>
      </c>
      <c r="N25" s="10" t="str">
        <f t="shared" si="3"/>
        <v/>
      </c>
      <c r="O25" s="10"/>
      <c r="P25" s="10"/>
      <c r="Q25" s="11" t="str">
        <f t="shared" si="11"/>
        <v/>
      </c>
      <c r="R25" s="100" t="str">
        <f t="shared" si="4"/>
        <v/>
      </c>
      <c r="S25" s="101" t="str">
        <f>if(Q25="","",(NORMDIST($Q25,(Dropdowns!M$8*72/82),stdev(Data!M:M),1))-sum(U25:Y25))</f>
        <v/>
      </c>
      <c r="T25" s="101" t="str">
        <f>if(Q25="","",(NORMDIST($Q25,(Dropdowns!M$7),stdev(Data!M:M),1))-sum(U25:Y25))</f>
        <v/>
      </c>
      <c r="U25" s="101" t="str">
        <f>if(Q25="","",(NORMDIST($Q25,(Dropdowns!M$6),stdev(Data!M:M),1))-sum(V25:Y25))</f>
        <v/>
      </c>
      <c r="V25" s="101" t="str">
        <f>if(Q25="","",(NORMDIST($Q25,(Dropdowns!M$5),stdev(Data!M:M),1))-sum(W25:Y25))</f>
        <v/>
      </c>
      <c r="W25" s="101" t="str">
        <f>if(Q25="","",(NORMDIST($Q25,(Dropdowns!M$4),stdev(Data!M:M),1))-sum(X25:Y25))</f>
        <v/>
      </c>
      <c r="X25" s="102" t="str">
        <f>if(Q25="","",(NORMDIST($Q25,(Dropdowns!M$3),stdev(Data!M:M),1))-Y25)</f>
        <v/>
      </c>
      <c r="Y25" s="102" t="str">
        <f>if(Q25="","",(NORMDIST($Q25,(Dropdowns!M$2),stdev(Data!M:M),1)))</f>
        <v/>
      </c>
      <c r="Z25" s="100" t="str">
        <f t="shared" si="5"/>
        <v/>
      </c>
      <c r="AA25" s="103">
        <f t="array" ref="AA25">iferror(INDEX('Salary Cap'!B:B,match(left(G25,5)&amp;"20"&amp;right(G25,2),'Salary Cap'!A:A,0))*0.0258221367806,AA24*1.05)</f>
        <v>6526470.419</v>
      </c>
      <c r="AB25" s="106">
        <f t="shared" si="12"/>
        <v>3842991.818</v>
      </c>
      <c r="AC25" s="2"/>
      <c r="AD25" s="17"/>
      <c r="AE25" s="17"/>
      <c r="AF25" s="17"/>
      <c r="AG25" s="17"/>
    </row>
    <row r="26">
      <c r="A26" s="17"/>
      <c r="B26" s="17"/>
      <c r="C26" s="108" t="s">
        <v>78</v>
      </c>
      <c r="D26" s="111">
        <f t="array" ref="D26">(index(V:V,match(AC$7,H:H,0))*index(J:J,match(AC$7,H:H,0))+index(V:V,match(AC$8,H:H,0))*index(J:J,match(AC$8,H:H,0))+index(V:V,match(AC$9,H:H,0))*index(J:J,match(AC$9,H:H,0)))/sum(index(J:J,match(AC$7,H:H,0)),index(J:J,match(AC$8,H:H,0)),index(J:J,match(AC$9,H:H,0)))</f>
        <v>0.5525811394</v>
      </c>
      <c r="E26" s="17"/>
      <c r="F26" s="93">
        <f t="shared" si="6"/>
        <v>46</v>
      </c>
      <c r="G26" s="93" t="str">
        <f t="shared" si="7"/>
        <v/>
      </c>
      <c r="H26" s="2" t="str">
        <f t="shared" si="8"/>
        <v/>
      </c>
      <c r="I26" s="98" t="str">
        <f t="shared" si="9"/>
        <v/>
      </c>
      <c r="J26" s="98" t="str">
        <f t="shared" si="13"/>
        <v/>
      </c>
      <c r="K26" s="10" t="str">
        <f t="shared" si="10"/>
        <v/>
      </c>
      <c r="L26" s="10" t="str">
        <f>IFERROR(__xludf.DUMMYFUNCTION("IF(G26="""","""",L25+filter('Growth Summary'!L:L,'Growth Summary'!A:A=H25,'Growth Summary'!B:B=I26))"),"")</f>
        <v/>
      </c>
      <c r="M26" s="10" t="str">
        <f>IFERROR(__xludf.DUMMYFUNCTION("IF(G26="""","""",M25+filter('Growth Summary'!M:M,'Growth Summary'!A:A=H25,'Growth Summary'!B:B=I26))"),"")</f>
        <v/>
      </c>
      <c r="N26" s="10" t="str">
        <f t="shared" si="3"/>
        <v/>
      </c>
      <c r="O26" s="10"/>
      <c r="P26" s="10"/>
      <c r="Q26" s="11" t="str">
        <f t="shared" si="11"/>
        <v/>
      </c>
      <c r="R26" s="100" t="str">
        <f t="shared" si="4"/>
        <v/>
      </c>
      <c r="S26" s="101" t="str">
        <f>if(Q26="","",(NORMDIST($Q26,(Dropdowns!M$8*72/82),stdev(Data!M:M),1))-sum(U26:Y26))</f>
        <v/>
      </c>
      <c r="T26" s="101" t="str">
        <f>if(Q26="","",(NORMDIST($Q26,(Dropdowns!M$7),stdev(Data!M:M),1))-sum(U26:Y26))</f>
        <v/>
      </c>
      <c r="U26" s="101" t="str">
        <f>if(Q26="","",(NORMDIST($Q26,(Dropdowns!M$6),stdev(Data!M:M),1))-sum(V26:Y26))</f>
        <v/>
      </c>
      <c r="V26" s="101" t="str">
        <f>if(Q26="","",(NORMDIST($Q26,(Dropdowns!M$5),stdev(Data!M:M),1))-sum(W26:Y26))</f>
        <v/>
      </c>
      <c r="W26" s="101" t="str">
        <f>if(Q26="","",(NORMDIST($Q26,(Dropdowns!M$4),stdev(Data!M:M),1))-sum(X26:Y26))</f>
        <v/>
      </c>
      <c r="X26" s="102" t="str">
        <f>if(Q26="","",(NORMDIST($Q26,(Dropdowns!M$3),stdev(Data!M:M),1))-Y26)</f>
        <v/>
      </c>
      <c r="Y26" s="102" t="str">
        <f>if(Q26="","",(NORMDIST($Q26,(Dropdowns!M$2),stdev(Data!M:M),1)))</f>
        <v/>
      </c>
      <c r="Z26" s="100" t="str">
        <f t="shared" si="5"/>
        <v/>
      </c>
      <c r="AA26" s="103">
        <f t="array" ref="AA26">iferror(INDEX('Salary Cap'!B:B,match(left(G26,5)&amp;"20"&amp;right(G26,2),'Salary Cap'!A:A,0))*0.0258221367806,AA25*1.05)</f>
        <v>6852793.94</v>
      </c>
      <c r="AB26" s="106">
        <f t="shared" si="12"/>
        <v>4035141.409</v>
      </c>
      <c r="AC26" s="2"/>
      <c r="AD26" s="17"/>
      <c r="AE26" s="17"/>
      <c r="AF26" s="17"/>
      <c r="AG26" s="17"/>
    </row>
    <row r="27">
      <c r="A27" s="17"/>
      <c r="B27" s="17"/>
      <c r="C27" s="108" t="s">
        <v>79</v>
      </c>
      <c r="D27" s="111">
        <f t="array" ref="D27">(index(U:U,match(AC$7,H:H,0))*index(J:J,match(AC$7,H:H,0))+index(U:U,match(AC$8,H:H,0))*index(J:J,match(AC$8,H:H,0))+index(U:U,match(AC$9,H:H,0))*index(J:J,match(AC$9,H:H,0)))/sum(index(J:J,match(AC$7,H:H,0)),index(J:J,match(AC$8,H:H,0)),index(J:J,match(AC$9,H:H,0)))</f>
        <v>0.1491875711</v>
      </c>
      <c r="E27" s="17"/>
      <c r="F27" s="93">
        <f t="shared" si="6"/>
        <v>47</v>
      </c>
      <c r="G27" s="93" t="str">
        <f t="shared" si="7"/>
        <v/>
      </c>
      <c r="H27" s="2" t="str">
        <f t="shared" si="8"/>
        <v/>
      </c>
      <c r="I27" s="98" t="str">
        <f t="shared" si="9"/>
        <v/>
      </c>
      <c r="J27" s="98" t="str">
        <f t="shared" si="13"/>
        <v/>
      </c>
      <c r="K27" s="10" t="str">
        <f t="shared" si="10"/>
        <v/>
      </c>
      <c r="L27" s="10" t="str">
        <f>IFERROR(__xludf.DUMMYFUNCTION("IF(G27="""","""",L26+filter('Growth Summary'!L:L,'Growth Summary'!A:A=H26,'Growth Summary'!B:B=I27))"),"")</f>
        <v/>
      </c>
      <c r="M27" s="10" t="str">
        <f>IFERROR(__xludf.DUMMYFUNCTION("IF(G27="""","""",M26+filter('Growth Summary'!M:M,'Growth Summary'!A:A=H26,'Growth Summary'!B:B=I27))"),"")</f>
        <v/>
      </c>
      <c r="N27" s="10" t="str">
        <f t="shared" si="3"/>
        <v/>
      </c>
      <c r="O27" s="10"/>
      <c r="P27" s="10"/>
      <c r="Q27" s="11" t="str">
        <f t="shared" si="11"/>
        <v/>
      </c>
      <c r="R27" s="100" t="str">
        <f t="shared" si="4"/>
        <v/>
      </c>
      <c r="S27" s="101" t="str">
        <f>if(Q27="","",(NORMDIST($Q27,(Dropdowns!M$8*72/82),stdev(Data!M:M),1))-sum(U27:Y27))</f>
        <v/>
      </c>
      <c r="T27" s="101" t="str">
        <f>if(Q27="","",(NORMDIST($Q27,(Dropdowns!M$7),stdev(Data!M:M),1))-sum(U27:Y27))</f>
        <v/>
      </c>
      <c r="U27" s="101" t="str">
        <f>if(Q27="","",(NORMDIST($Q27,(Dropdowns!M$6),stdev(Data!M:M),1))-sum(V27:Y27))</f>
        <v/>
      </c>
      <c r="V27" s="101" t="str">
        <f>if(Q27="","",(NORMDIST($Q27,(Dropdowns!M$5),stdev(Data!M:M),1))-sum(W27:Y27))</f>
        <v/>
      </c>
      <c r="W27" s="101" t="str">
        <f>if(Q27="","",(NORMDIST($Q27,(Dropdowns!M$4),stdev(Data!M:M),1))-sum(X27:Y27))</f>
        <v/>
      </c>
      <c r="X27" s="102" t="str">
        <f>if(Q27="","",(NORMDIST($Q27,(Dropdowns!M$3),stdev(Data!M:M),1))-Y27)</f>
        <v/>
      </c>
      <c r="Y27" s="102" t="str">
        <f>if(Q27="","",(NORMDIST($Q27,(Dropdowns!M$2),stdev(Data!M:M),1)))</f>
        <v/>
      </c>
      <c r="Z27" s="100" t="str">
        <f t="shared" si="5"/>
        <v/>
      </c>
      <c r="AA27" s="103">
        <f t="array" ref="AA27">iferror(INDEX('Salary Cap'!B:B,match(left(G27,5)&amp;"20"&amp;right(G27,2),'Salary Cap'!A:A,0))*0.0258221367806,AA26*1.05)</f>
        <v>7195433.637</v>
      </c>
      <c r="AB27" s="106">
        <f t="shared" si="12"/>
        <v>4236898.48</v>
      </c>
      <c r="AC27" s="2"/>
      <c r="AD27" s="17"/>
      <c r="AE27" s="17"/>
      <c r="AF27" s="17"/>
      <c r="AG27" s="17"/>
    </row>
    <row r="28">
      <c r="A28" s="17"/>
      <c r="B28" s="17"/>
      <c r="C28" s="108" t="s">
        <v>80</v>
      </c>
      <c r="D28" s="111">
        <f t="array" ref="D28">(index(T:T,match(AC$7,H:H,0))*index(J:J,match(AC$7,H:H,0))+index(T:T,match(AC$8,H:H,0))*index(J:J,match(AC$8,H:H,0))+index(T:T,match(AC$9,H:H,0))*index(J:J,match(AC$9,H:H,0)))/sum(index(J:J,match(AC$7,H:H,0)),index(J:J,match(AC$8,H:H,0)),index(J:J,match(AC$9,H:H,0)))</f>
        <v>0.0152933604</v>
      </c>
      <c r="E28" s="17"/>
      <c r="F28" s="93">
        <f t="shared" si="6"/>
        <v>48</v>
      </c>
      <c r="G28" s="93" t="str">
        <f t="shared" si="7"/>
        <v/>
      </c>
      <c r="H28" s="2" t="str">
        <f t="shared" si="8"/>
        <v/>
      </c>
      <c r="I28" s="98" t="str">
        <f t="shared" si="9"/>
        <v/>
      </c>
      <c r="J28" s="98" t="str">
        <f t="shared" si="13"/>
        <v/>
      </c>
      <c r="K28" s="10" t="str">
        <f t="shared" si="10"/>
        <v/>
      </c>
      <c r="L28" s="10" t="str">
        <f>IFERROR(__xludf.DUMMYFUNCTION("IF(G28="""","""",L27+filter('Growth Summary'!L:L,'Growth Summary'!A:A=H27,'Growth Summary'!B:B=I28))"),"")</f>
        <v/>
      </c>
      <c r="M28" s="10" t="str">
        <f>IFERROR(__xludf.DUMMYFUNCTION("IF(G28="""","""",M27+filter('Growth Summary'!M:M,'Growth Summary'!A:A=H27,'Growth Summary'!B:B=I28))"),"")</f>
        <v/>
      </c>
      <c r="N28" s="10" t="str">
        <f t="shared" si="3"/>
        <v/>
      </c>
      <c r="O28" s="10"/>
      <c r="P28" s="10"/>
      <c r="Q28" s="11" t="str">
        <f t="shared" si="11"/>
        <v/>
      </c>
      <c r="R28" s="100" t="str">
        <f t="shared" si="4"/>
        <v/>
      </c>
      <c r="S28" s="101" t="str">
        <f>if(Q28="","",(NORMDIST($Q28,(Dropdowns!M$8*72/82),stdev(Data!M:M),1))-sum(U28:Y28))</f>
        <v/>
      </c>
      <c r="T28" s="101" t="str">
        <f>if(Q28="","",(NORMDIST($Q28,(Dropdowns!M$7),stdev(Data!M:M),1))-sum(U28:Y28))</f>
        <v/>
      </c>
      <c r="U28" s="101" t="str">
        <f>if(Q28="","",(NORMDIST($Q28,(Dropdowns!M$6),stdev(Data!M:M),1))-sum(V28:Y28))</f>
        <v/>
      </c>
      <c r="V28" s="101" t="str">
        <f>if(Q28="","",(NORMDIST($Q28,(Dropdowns!M$5),stdev(Data!M:M),1))-sum(W28:Y28))</f>
        <v/>
      </c>
      <c r="W28" s="101" t="str">
        <f>if(Q28="","",(NORMDIST($Q28,(Dropdowns!M$4),stdev(Data!M:M),1))-sum(X28:Y28))</f>
        <v/>
      </c>
      <c r="X28" s="102" t="str">
        <f>if(Q28="","",(NORMDIST($Q28,(Dropdowns!M$3),stdev(Data!M:M),1))-Y28)</f>
        <v/>
      </c>
      <c r="Y28" s="102" t="str">
        <f>if(Q28="","",(NORMDIST($Q28,(Dropdowns!M$2),stdev(Data!M:M),1)))</f>
        <v/>
      </c>
      <c r="Z28" s="100" t="str">
        <f t="shared" si="5"/>
        <v/>
      </c>
      <c r="AA28" s="103">
        <f t="array" ref="AA28">iferror(INDEX('Salary Cap'!B:B,match(left(G28,5)&amp;"20"&amp;right(G28,2),'Salary Cap'!A:A,0))*0.0258221367806,AA27*1.05)</f>
        <v>7555205.319</v>
      </c>
      <c r="AB28" s="106">
        <f t="shared" si="12"/>
        <v>4448743.404</v>
      </c>
      <c r="AC28" s="2"/>
      <c r="AD28" s="17"/>
      <c r="AE28" s="17"/>
      <c r="AF28" s="17"/>
      <c r="AG28" s="17"/>
    </row>
    <row r="29">
      <c r="A29" s="17"/>
      <c r="B29" s="17"/>
      <c r="C29" s="108" t="s">
        <v>82</v>
      </c>
      <c r="D29" s="111">
        <f t="array" ref="D29">(index(S:S,match(AC$7,H:H,0))*index(J:J,match(AC$7,H:H,0))+index(S:S,match(AC$8,H:H,0))*index(J:J,match(AC$8,H:H,0))+index(S:S,match(AC$9,H:H,0))*index(J:J,match(AC$9,H:H,0)))/sum(index(J:J,match(AC$7,H:H,0)),index(J:J,match(AC$8,H:H,0)),index(J:J,match(AC$9,H:H,0)))</f>
        <v>0.01955191648</v>
      </c>
      <c r="E29" s="17"/>
      <c r="F29" s="93">
        <f t="shared" si="6"/>
        <v>49</v>
      </c>
      <c r="G29" s="93" t="str">
        <f t="shared" si="7"/>
        <v/>
      </c>
      <c r="H29" s="2" t="str">
        <f t="shared" si="8"/>
        <v/>
      </c>
      <c r="I29" s="98" t="str">
        <f t="shared" si="9"/>
        <v/>
      </c>
      <c r="J29" s="98" t="str">
        <f t="shared" si="13"/>
        <v/>
      </c>
      <c r="K29" s="10" t="str">
        <f t="shared" si="10"/>
        <v/>
      </c>
      <c r="L29" s="10" t="str">
        <f>IFERROR(__xludf.DUMMYFUNCTION("IF(G29="""","""",L28+filter('Growth Summary'!L:L,'Growth Summary'!A:A=H28,'Growth Summary'!B:B=I29))"),"")</f>
        <v/>
      </c>
      <c r="M29" s="10" t="str">
        <f>IFERROR(__xludf.DUMMYFUNCTION("IF(G29="""","""",M28+filter('Growth Summary'!M:M,'Growth Summary'!A:A=H28,'Growth Summary'!B:B=I29))"),"")</f>
        <v/>
      </c>
      <c r="N29" s="10" t="str">
        <f t="shared" si="3"/>
        <v/>
      </c>
      <c r="O29" s="10"/>
      <c r="P29" s="10"/>
      <c r="Q29" s="11" t="str">
        <f t="shared" si="11"/>
        <v/>
      </c>
      <c r="R29" s="100" t="str">
        <f t="shared" si="4"/>
        <v/>
      </c>
      <c r="S29" s="101" t="str">
        <f>if(Q29="","",(NORMDIST($Q29,(Dropdowns!M$8*72/82),stdev(Data!M:M),1))-sum(U29:Y29))</f>
        <v/>
      </c>
      <c r="T29" s="101" t="str">
        <f>if(Q29="","",(NORMDIST($Q29,(Dropdowns!M$7),stdev(Data!M:M),1))-sum(U29:Y29))</f>
        <v/>
      </c>
      <c r="U29" s="101" t="str">
        <f>if(Q29="","",(NORMDIST($Q29,(Dropdowns!M$6),stdev(Data!M:M),1))-sum(V29:Y29))</f>
        <v/>
      </c>
      <c r="V29" s="101" t="str">
        <f>if(Q29="","",(NORMDIST($Q29,(Dropdowns!M$5),stdev(Data!M:M),1))-sum(W29:Y29))</f>
        <v/>
      </c>
      <c r="W29" s="101" t="str">
        <f>if(Q29="","",(NORMDIST($Q29,(Dropdowns!M$4),stdev(Data!M:M),1))-sum(X29:Y29))</f>
        <v/>
      </c>
      <c r="X29" s="102" t="str">
        <f>if(Q29="","",(NORMDIST($Q29,(Dropdowns!M$3),stdev(Data!M:M),1))-Y29)</f>
        <v/>
      </c>
      <c r="Y29" s="102" t="str">
        <f>if(Q29="","",(NORMDIST($Q29,(Dropdowns!M$2),stdev(Data!M:M),1)))</f>
        <v/>
      </c>
      <c r="Z29" s="100" t="str">
        <f t="shared" si="5"/>
        <v/>
      </c>
      <c r="AA29" s="103">
        <f t="array" ref="AA29">iferror(INDEX('Salary Cap'!B:B,match(left(G29,5)&amp;"20"&amp;right(G29,2),'Salary Cap'!A:A,0))*0.0258221367806,AA28*1.05)</f>
        <v>7932965.585</v>
      </c>
      <c r="AB29" s="106">
        <f t="shared" si="12"/>
        <v>4671180.574</v>
      </c>
      <c r="AC29" s="2"/>
      <c r="AD29" s="17"/>
      <c r="AE29" s="17"/>
      <c r="AF29" s="17"/>
      <c r="AG29" s="17"/>
    </row>
    <row r="30">
      <c r="A30" s="17"/>
      <c r="B30" s="17"/>
      <c r="C30" s="17"/>
      <c r="D30" s="17"/>
      <c r="E30" s="17"/>
      <c r="F30" s="93">
        <f t="shared" si="6"/>
        <v>50</v>
      </c>
      <c r="G30" s="93" t="str">
        <f t="shared" si="7"/>
        <v/>
      </c>
      <c r="H30" s="2" t="str">
        <f t="shared" si="8"/>
        <v/>
      </c>
      <c r="I30" s="98" t="str">
        <f t="shared" si="9"/>
        <v/>
      </c>
      <c r="J30" s="98" t="str">
        <f t="shared" si="13"/>
        <v/>
      </c>
      <c r="K30" s="10" t="str">
        <f t="shared" si="10"/>
        <v/>
      </c>
      <c r="L30" s="10" t="str">
        <f>IFERROR(__xludf.DUMMYFUNCTION("IF(G30="""","""",L29+filter('Growth Summary'!L:L,'Growth Summary'!A:A=H29,'Growth Summary'!B:B=I30))"),"")</f>
        <v/>
      </c>
      <c r="M30" s="10" t="str">
        <f>IFERROR(__xludf.DUMMYFUNCTION("IF(G30="""","""",M29+filter('Growth Summary'!M:M,'Growth Summary'!A:A=H29,'Growth Summary'!B:B=I30))"),"")</f>
        <v/>
      </c>
      <c r="N30" s="10" t="str">
        <f t="shared" si="3"/>
        <v/>
      </c>
      <c r="O30" s="10"/>
      <c r="P30" s="10"/>
      <c r="Q30" s="11" t="str">
        <f t="shared" si="11"/>
        <v/>
      </c>
      <c r="R30" s="100" t="str">
        <f t="shared" si="4"/>
        <v/>
      </c>
      <c r="S30" s="101" t="str">
        <f>if(Q30="","",(NORMDIST($Q30,(Dropdowns!M$8*72/82),stdev(Data!M:M),1))-sum(U30:Y30))</f>
        <v/>
      </c>
      <c r="T30" s="101" t="str">
        <f>if(Q30="","",(NORMDIST($Q30,(Dropdowns!M$7),stdev(Data!M:M),1))-sum(U30:Y30))</f>
        <v/>
      </c>
      <c r="U30" s="101" t="str">
        <f>if(Q30="","",(NORMDIST($Q30,(Dropdowns!M$6),stdev(Data!M:M),1))-sum(V30:Y30))</f>
        <v/>
      </c>
      <c r="V30" s="101" t="str">
        <f>if(Q30="","",(NORMDIST($Q30,(Dropdowns!M$5),stdev(Data!M:M),1))-sum(W30:Y30))</f>
        <v/>
      </c>
      <c r="W30" s="101" t="str">
        <f>if(Q30="","",(NORMDIST($Q30,(Dropdowns!M$4),stdev(Data!M:M),1))-sum(X30:Y30))</f>
        <v/>
      </c>
      <c r="X30" s="102" t="str">
        <f>if(Q30="","",(NORMDIST($Q30,(Dropdowns!M$3),stdev(Data!M:M),1))-Y30)</f>
        <v/>
      </c>
      <c r="Y30" s="102" t="str">
        <f>if(Q30="","",(NORMDIST($Q30,(Dropdowns!M$2),stdev(Data!M:M),1)))</f>
        <v/>
      </c>
      <c r="Z30" s="100" t="str">
        <f t="shared" si="5"/>
        <v/>
      </c>
      <c r="AA30" s="103">
        <f t="array" ref="AA30">iferror(INDEX('Salary Cap'!B:B,match(left(G30,5)&amp;"20"&amp;right(G30,2),'Salary Cap'!A:A,0))*0.0258221367806,AA29*1.05)</f>
        <v>8329613.864</v>
      </c>
      <c r="AB30" s="106">
        <f t="shared" si="12"/>
        <v>4904739.602</v>
      </c>
      <c r="AC30" s="2"/>
      <c r="AD30" s="17"/>
      <c r="AE30" s="17"/>
      <c r="AF30" s="17"/>
      <c r="AG30" s="17"/>
    </row>
    <row r="31">
      <c r="A31" s="17"/>
      <c r="B31" s="17"/>
      <c r="C31" s="112"/>
      <c r="D31" s="112"/>
      <c r="E31" s="17"/>
      <c r="F31" s="93"/>
      <c r="G31" s="93"/>
      <c r="H31" s="2"/>
      <c r="I31" s="1"/>
      <c r="J31" s="91" t="s">
        <v>97</v>
      </c>
      <c r="S31" s="1"/>
      <c r="T31" s="1"/>
      <c r="U31" s="1"/>
      <c r="V31" s="1"/>
      <c r="W31" s="1"/>
      <c r="X31" s="1"/>
      <c r="Y31" s="102"/>
      <c r="Z31" s="1"/>
      <c r="AA31" s="1"/>
      <c r="AB31" s="1"/>
      <c r="AC31" s="1"/>
      <c r="AD31" s="17"/>
      <c r="AE31" s="17"/>
      <c r="AF31" s="17"/>
      <c r="AG31" s="17"/>
    </row>
    <row r="32">
      <c r="A32" s="17"/>
      <c r="B32" s="17"/>
      <c r="C32" s="113"/>
      <c r="D32" s="17"/>
      <c r="E32" s="114"/>
      <c r="F32" s="1"/>
      <c r="G32" s="1"/>
      <c r="H32" s="1"/>
      <c r="I32" s="1"/>
      <c r="J32" s="92" t="s">
        <v>116</v>
      </c>
      <c r="K32" s="1"/>
      <c r="L32" s="10"/>
      <c r="M32" s="10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02"/>
      <c r="Z32" s="1"/>
      <c r="AA32" s="1"/>
      <c r="AB32" s="1"/>
      <c r="AC32" s="1"/>
      <c r="AD32" s="17"/>
      <c r="AE32" s="17"/>
      <c r="AF32" s="17"/>
      <c r="AG32" s="17"/>
    </row>
    <row r="33">
      <c r="A33" s="17"/>
      <c r="B33" s="17"/>
      <c r="C33" s="17"/>
      <c r="D33" s="17"/>
      <c r="E33" s="114"/>
      <c r="F33" s="1"/>
      <c r="G33" s="1"/>
      <c r="H33" s="1"/>
      <c r="I33" s="1"/>
      <c r="J33" s="59" t="s">
        <v>81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02"/>
      <c r="Z33" s="1"/>
      <c r="AA33" s="1"/>
      <c r="AB33" s="1"/>
      <c r="AC33" s="1"/>
      <c r="AD33" s="17"/>
      <c r="AE33" s="17"/>
      <c r="AF33" s="17"/>
      <c r="AG33" s="17"/>
    </row>
    <row r="34">
      <c r="A34" s="17"/>
      <c r="B34" s="17"/>
      <c r="C34" s="17"/>
      <c r="D34" s="17"/>
      <c r="E34" s="77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02"/>
      <c r="Z34" s="1"/>
      <c r="AA34" s="1"/>
      <c r="AB34" s="1"/>
      <c r="AC34" s="1"/>
      <c r="AD34" s="17"/>
      <c r="AE34" s="17"/>
      <c r="AF34" s="17"/>
      <c r="AG34" s="17"/>
    </row>
    <row r="35">
      <c r="A35" s="17"/>
      <c r="B35" s="17"/>
      <c r="C35" s="17"/>
      <c r="D35" s="17"/>
      <c r="E35" s="77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7"/>
      <c r="AE35" s="17"/>
      <c r="AF35" s="17"/>
      <c r="AG35" s="17"/>
    </row>
    <row r="36">
      <c r="A36" s="17"/>
      <c r="B36" s="17"/>
      <c r="C36" s="17"/>
      <c r="D36" s="17"/>
      <c r="E36" s="77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7"/>
      <c r="AE36" s="17"/>
      <c r="AF36" s="17"/>
      <c r="AG36" s="17"/>
    </row>
    <row r="37">
      <c r="A37" s="17"/>
      <c r="B37" s="17"/>
      <c r="C37" s="17"/>
      <c r="D37" s="17"/>
      <c r="E37" s="77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7"/>
      <c r="AE37" s="17"/>
      <c r="AF37" s="17"/>
      <c r="AG37" s="17"/>
    </row>
    <row r="38">
      <c r="A38" s="17"/>
      <c r="B38" s="17"/>
      <c r="C38" s="17"/>
      <c r="D38" s="17"/>
      <c r="E38" s="77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7"/>
      <c r="AE38" s="17"/>
      <c r="AF38" s="17"/>
      <c r="AG38" s="17"/>
    </row>
    <row r="39">
      <c r="A39" s="17"/>
      <c r="B39" s="17"/>
      <c r="C39" s="17"/>
      <c r="D39" s="17"/>
      <c r="E39" s="17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7"/>
      <c r="AE39" s="17"/>
      <c r="AF39" s="17"/>
      <c r="AG39" s="17"/>
    </row>
    <row r="40">
      <c r="A40" s="17"/>
      <c r="B40" s="17"/>
      <c r="C40" s="17"/>
      <c r="D40" s="17"/>
      <c r="E40" s="17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7"/>
      <c r="AE40" s="17"/>
      <c r="AF40" s="17"/>
      <c r="AG40" s="17"/>
    </row>
    <row r="41" hidden="1">
      <c r="A41" s="17"/>
      <c r="B41" s="17"/>
      <c r="C41" s="17"/>
      <c r="D41" s="17"/>
      <c r="E41" s="17"/>
      <c r="F41" s="1"/>
      <c r="G41" s="1"/>
      <c r="H41" s="1"/>
      <c r="I41" s="1"/>
      <c r="J41" s="115">
        <f>max(Data!F:F)</f>
        <v>3124.635</v>
      </c>
      <c r="K41" s="116">
        <f>max(Data!J:J)</f>
        <v>9.119122301</v>
      </c>
      <c r="L41" s="116">
        <f>max(Data!K:K)</f>
        <v>6.743428076</v>
      </c>
      <c r="M41" s="116">
        <f>max(Data!L:L)</f>
        <v>4.523460958</v>
      </c>
      <c r="N41" s="1"/>
      <c r="O41" s="1"/>
      <c r="P41" s="1"/>
      <c r="Q41" s="116">
        <f>max(Data!M:M)</f>
        <v>18.15807429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7"/>
      <c r="AE41" s="17"/>
      <c r="AF41" s="17"/>
      <c r="AG41" s="17"/>
    </row>
    <row r="42" hidden="1">
      <c r="A42" s="17"/>
      <c r="B42" s="17"/>
      <c r="C42" s="17"/>
      <c r="D42" s="17"/>
      <c r="E42" s="17"/>
      <c r="F42" s="1"/>
      <c r="G42" s="1"/>
      <c r="H42" s="1"/>
      <c r="I42" s="1"/>
      <c r="J42" s="115">
        <f>min(Data!F:F)</f>
        <v>0.5166666667</v>
      </c>
      <c r="K42" s="116">
        <f>MIN(Data!J:J)</f>
        <v>-4.782766307</v>
      </c>
      <c r="L42" s="116">
        <f>MIN(Data!K:K)</f>
        <v>-4.322019044</v>
      </c>
      <c r="M42" s="116">
        <f>MIN(Data!L:L)</f>
        <v>-3.637442967</v>
      </c>
      <c r="N42" s="1"/>
      <c r="O42" s="1"/>
      <c r="P42" s="1"/>
      <c r="Q42" s="116">
        <f>MIN(Data!M:M)</f>
        <v>-3.532982785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7"/>
      <c r="AE42" s="17"/>
      <c r="AF42" s="17"/>
      <c r="AG42" s="17"/>
    </row>
    <row r="43">
      <c r="A43" s="17"/>
      <c r="B43" s="17"/>
      <c r="C43" s="17"/>
      <c r="D43" s="17"/>
      <c r="E43" s="17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7"/>
      <c r="AE43" s="17"/>
      <c r="AF43" s="17"/>
      <c r="AG43" s="17"/>
    </row>
    <row r="44">
      <c r="A44" s="17"/>
      <c r="B44" s="17"/>
      <c r="C44" s="17"/>
      <c r="D44" s="17"/>
      <c r="E44" s="1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7"/>
      <c r="AE44" s="17"/>
      <c r="AF44" s="17"/>
      <c r="AG44" s="17"/>
    </row>
    <row r="45">
      <c r="A45" s="17"/>
      <c r="B45" s="17"/>
      <c r="C45" s="17"/>
      <c r="D45" s="17"/>
      <c r="E45" s="1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7"/>
      <c r="AE45" s="17"/>
      <c r="AF45" s="17"/>
      <c r="AG45" s="17"/>
    </row>
  </sheetData>
  <mergeCells count="9">
    <mergeCell ref="C22:D22"/>
    <mergeCell ref="J31:R31"/>
    <mergeCell ref="S1:Y1"/>
    <mergeCell ref="C8:D8"/>
    <mergeCell ref="C9:D9"/>
    <mergeCell ref="C10:D10"/>
    <mergeCell ref="C11:D11"/>
    <mergeCell ref="C12:D12"/>
    <mergeCell ref="C13:D13"/>
  </mergeCells>
  <conditionalFormatting sqref="K1:K30 L6:M6 K32:K45">
    <cfRule type="colorScale" priority="1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L1:L30 L32:L45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M1:M30 M32:M45">
    <cfRule type="colorScale" priority="3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I1:I45 J1:J32 J34:J45">
    <cfRule type="colorScale" priority="4">
      <colorScale>
        <cfvo type="min"/>
        <cfvo type="max"/>
        <color rgb="FFFFFFFF"/>
        <color rgb="FFFFD666"/>
      </colorScale>
    </cfRule>
  </conditionalFormatting>
  <conditionalFormatting sqref="Q1:Q30 Q32:Q45">
    <cfRule type="colorScale" priority="5">
      <colorScale>
        <cfvo type="min"/>
        <cfvo type="max"/>
        <color rgb="FFFFFFFF"/>
        <color rgb="FFFFD666"/>
      </colorScale>
    </cfRule>
  </conditionalFormatting>
  <conditionalFormatting sqref="S3:Y39">
    <cfRule type="colorScale" priority="6">
      <colorScale>
        <cfvo type="min"/>
        <cfvo type="max"/>
        <color rgb="FFFFFFFF"/>
        <color rgb="FFFFD666"/>
      </colorScale>
    </cfRule>
  </conditionalFormatting>
  <conditionalFormatting sqref="D23:D29">
    <cfRule type="colorScale" priority="7">
      <colorScale>
        <cfvo type="formula" val="0"/>
        <cfvo type="formula" val="0.5"/>
        <cfvo type="formula" val="1"/>
        <color rgb="FFFFFFFF"/>
        <color rgb="FFFFEBB3"/>
        <color rgb="FFFFD666"/>
      </colorScale>
    </cfRule>
  </conditionalFormatting>
  <conditionalFormatting sqref="R1:R30 R32:R45">
    <cfRule type="colorScale" priority="8">
      <colorScale>
        <cfvo type="min"/>
        <cfvo type="max"/>
        <color rgb="FFFFFFFF"/>
        <color rgb="FFFFD666"/>
      </colorScale>
    </cfRule>
  </conditionalFormatting>
  <conditionalFormatting sqref="G8:G39">
    <cfRule type="notContainsBlanks" dxfId="5" priority="9">
      <formula>LEN(TRIM(G8))&gt;0</formula>
    </cfRule>
  </conditionalFormatting>
  <dataValidations>
    <dataValidation type="list" allowBlank="1" showErrorMessage="1" sqref="C2">
      <formula1>Data!$B$2:$B45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75"/>
  <cols>
    <col customWidth="1" min="1" max="1" width="3.29"/>
    <col customWidth="1" hidden="1" min="2" max="2" width="7.0"/>
    <col customWidth="1" min="3" max="4" width="12.43"/>
    <col customWidth="1" min="5" max="5" width="3.29"/>
    <col customWidth="1" min="6" max="6" width="30.29"/>
    <col customWidth="1" min="7" max="7" width="13.71"/>
    <col customWidth="1" min="8" max="8" width="10.86"/>
    <col customWidth="1" min="9" max="9" width="27.14"/>
    <col customWidth="1" min="10" max="10" width="13.71"/>
    <col customWidth="1" hidden="1" min="11" max="11" width="13.71"/>
    <col customWidth="1" min="12" max="12" width="10.86"/>
    <col customWidth="1" min="13" max="15" width="14.71"/>
    <col customWidth="1" min="16" max="17" width="15.43"/>
    <col customWidth="1" min="18" max="18" width="27.43"/>
    <col customWidth="1" hidden="1" min="19" max="19" width="10.43"/>
    <col customWidth="1" min="20" max="20" width="10.43"/>
    <col customWidth="1" min="21" max="23" width="14.43"/>
    <col customWidth="1" min="24" max="24" width="15.43"/>
  </cols>
  <sheetData>
    <row r="1" hidden="1">
      <c r="A1" s="17"/>
      <c r="B1" s="17"/>
      <c r="C1" s="133"/>
      <c r="D1" s="133"/>
      <c r="E1" s="17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4"/>
      <c r="Q1" s="133"/>
      <c r="R1" s="17"/>
      <c r="S1" s="17"/>
      <c r="T1" s="75"/>
      <c r="U1" s="75"/>
      <c r="V1" s="75"/>
      <c r="W1" s="75"/>
      <c r="X1" s="75"/>
    </row>
    <row r="2" hidden="1">
      <c r="A2" s="17"/>
      <c r="B2" s="17"/>
      <c r="C2" s="135"/>
      <c r="D2" s="135"/>
      <c r="E2" s="17"/>
      <c r="F2" s="136" t="s">
        <v>73</v>
      </c>
      <c r="G2" s="137"/>
      <c r="H2" s="137"/>
      <c r="I2" s="138">
        <f>max(Data!E:E)</f>
        <v>0</v>
      </c>
      <c r="J2" s="138">
        <f>max(Data!F:F)</f>
        <v>3124.635</v>
      </c>
      <c r="K2" s="137"/>
      <c r="L2" s="137">
        <f>max(Data!H:H)</f>
        <v>0</v>
      </c>
      <c r="M2" s="137">
        <f>max(Data!I:I)</f>
        <v>43</v>
      </c>
      <c r="N2" s="139">
        <f>max(Data!J:J)</f>
        <v>9.119122301</v>
      </c>
      <c r="O2" s="139">
        <f>max(Data!K:K)</f>
        <v>6.743428076</v>
      </c>
      <c r="P2" s="139"/>
      <c r="Q2" s="137"/>
      <c r="R2" s="17"/>
      <c r="S2" s="17"/>
      <c r="T2" s="75"/>
      <c r="U2" s="75"/>
      <c r="V2" s="75"/>
      <c r="W2" s="75"/>
      <c r="X2" s="75"/>
    </row>
    <row r="3" hidden="1">
      <c r="A3" s="17"/>
      <c r="B3" s="17"/>
      <c r="C3" s="135"/>
      <c r="D3" s="135"/>
      <c r="E3" s="17"/>
      <c r="F3" s="136" t="s">
        <v>72</v>
      </c>
      <c r="G3" s="137"/>
      <c r="H3" s="137"/>
      <c r="I3" s="138">
        <f>min(Data!E:E)</f>
        <v>0</v>
      </c>
      <c r="J3" s="138">
        <f>min(Data!F:F)</f>
        <v>0.5166666667</v>
      </c>
      <c r="K3" s="137"/>
      <c r="L3" s="137">
        <f>min(Data!H:H)</f>
        <v>0</v>
      </c>
      <c r="M3" s="137">
        <f>min(Data!I:I)</f>
        <v>19</v>
      </c>
      <c r="N3" s="139">
        <f>min(Data!J:J)</f>
        <v>-4.782766307</v>
      </c>
      <c r="O3" s="139">
        <f>min(Data!K:K)</f>
        <v>-4.322019044</v>
      </c>
      <c r="P3" s="139"/>
      <c r="Q3" s="137"/>
      <c r="R3" s="17"/>
      <c r="S3" s="17"/>
      <c r="T3" s="75"/>
      <c r="U3" s="75"/>
      <c r="V3" s="75"/>
      <c r="W3" s="75"/>
      <c r="X3" s="75"/>
    </row>
    <row r="4">
      <c r="A4" s="140"/>
      <c r="B4" s="140"/>
      <c r="C4" s="141"/>
      <c r="D4" s="141"/>
      <c r="E4" s="140"/>
      <c r="F4" s="142" t="s">
        <v>2</v>
      </c>
      <c r="G4" s="142" t="s">
        <v>12</v>
      </c>
      <c r="H4" s="142" t="s">
        <v>22</v>
      </c>
      <c r="I4" s="141" t="s">
        <v>202</v>
      </c>
      <c r="J4" s="142" t="s">
        <v>4</v>
      </c>
      <c r="K4" s="142" t="s">
        <v>5</v>
      </c>
      <c r="L4" s="142" t="s">
        <v>6</v>
      </c>
      <c r="M4" s="142" t="s">
        <v>7</v>
      </c>
      <c r="N4" s="141" t="s">
        <v>8</v>
      </c>
      <c r="O4" s="141" t="s">
        <v>9</v>
      </c>
      <c r="P4" s="143" t="s">
        <v>10</v>
      </c>
      <c r="Q4" s="141" t="s">
        <v>11</v>
      </c>
      <c r="R4" s="144" t="s">
        <v>203</v>
      </c>
      <c r="S4" s="142"/>
      <c r="T4" s="142" t="s">
        <v>4</v>
      </c>
      <c r="U4" s="141" t="s">
        <v>8</v>
      </c>
      <c r="V4" s="141" t="s">
        <v>9</v>
      </c>
      <c r="W4" s="141" t="s">
        <v>10</v>
      </c>
      <c r="X4" s="141" t="s">
        <v>11</v>
      </c>
    </row>
    <row r="5">
      <c r="A5" s="17"/>
      <c r="B5" s="17"/>
      <c r="C5" s="135" t="s">
        <v>204</v>
      </c>
      <c r="E5" s="17"/>
      <c r="F5" s="133" t="str">
        <f>IFERROR(__xludf.DUMMYFUNCTION("sort(filter(Data!B:M,Data!S:S=TRUE),if(C6=""LEBRON"",filter(Data!J:J,Data!S:S=TRUE),if(C6=""O-LEBRON"",filter(Data!K:K,Data!S:S=TRUE),if(C6=""D-LEBRON"",filter(Data!L:L,Data!S:S=TRUE),if(C6=""Wins Added"",filter(Data!M:M,Data!S:S=TRUE),filter(Data!J:J,Dat"&amp;"a!S:S=TRUE))))),FALSE)"),"Nikola Jokic")</f>
        <v>Nikola Jokic</v>
      </c>
      <c r="G5" s="133" t="str">
        <f>IFERROR(__xludf.DUMMYFUNCTION("""COMPUTED_VALUE"""),"2020-21")</f>
        <v>2020-21</v>
      </c>
      <c r="H5" s="133" t="str">
        <f>IFERROR(__xludf.DUMMYFUNCTION("""COMPUTED_VALUE"""),"DEN")</f>
        <v>DEN</v>
      </c>
      <c r="I5" s="145" t="str">
        <f>IFERROR(__xludf.DUMMYFUNCTION("""COMPUTED_VALUE"""),"Post Scorer")</f>
        <v>Post Scorer</v>
      </c>
      <c r="J5" s="145">
        <f>IFERROR(__xludf.DUMMYFUNCTION("""COMPUTED_VALUE"""),1075.90333333333)</f>
        <v>1075.903333</v>
      </c>
      <c r="K5" s="133">
        <f>IFERROR(__xludf.DUMMYFUNCTION("""COMPUTED_VALUE"""),30.0)</f>
        <v>30</v>
      </c>
      <c r="L5" s="133" t="str">
        <f>IFERROR(__xludf.DUMMYFUNCTION("""COMPUTED_VALUE"""),"C")</f>
        <v>C</v>
      </c>
      <c r="M5" s="133">
        <f>IFERROR(__xludf.DUMMYFUNCTION("""COMPUTED_VALUE"""),25.0)</f>
        <v>25</v>
      </c>
      <c r="N5" s="134">
        <f>IFERROR(__xludf.DUMMYFUNCTION("""COMPUTED_VALUE"""),5.788604940197)</f>
        <v>5.78860494</v>
      </c>
      <c r="O5" s="134">
        <f>IFERROR(__xludf.DUMMYFUNCTION("""COMPUTED_VALUE"""),5.45443739608264)</f>
        <v>5.454437396</v>
      </c>
      <c r="P5" s="134">
        <f>IFERROR(__xludf.DUMMYFUNCTION("""COMPUTED_VALUE"""),0.334167544114361)</f>
        <v>0.3341675441</v>
      </c>
      <c r="Q5" s="146">
        <f>IFERROR(__xludf.DUMMYFUNCTION("""COMPUTED_VALUE"""),5.672383485432966)</f>
        <v>5.672383485</v>
      </c>
      <c r="R5" s="136" t="s">
        <v>205</v>
      </c>
      <c r="S5" s="17"/>
      <c r="T5" s="145">
        <f>max(J:J)</f>
        <v>3124.635</v>
      </c>
      <c r="U5" s="134">
        <f t="shared" ref="U5:X5" si="1">max(N5:N5874)</f>
        <v>5.78860494</v>
      </c>
      <c r="V5" s="134">
        <f t="shared" si="1"/>
        <v>6.086504742</v>
      </c>
      <c r="W5" s="134">
        <f t="shared" si="1"/>
        <v>4.381864173</v>
      </c>
      <c r="X5" s="109">
        <f t="shared" si="1"/>
        <v>5.672383485</v>
      </c>
    </row>
    <row r="6">
      <c r="A6" s="17"/>
      <c r="B6" s="17"/>
      <c r="C6" s="147" t="s">
        <v>11</v>
      </c>
      <c r="E6" s="17"/>
      <c r="F6" s="133" t="str">
        <f>IFERROR(__xludf.DUMMYFUNCTION("""COMPUTED_VALUE"""),"LeBron James")</f>
        <v>LeBron James</v>
      </c>
      <c r="G6" s="133" t="str">
        <f>IFERROR(__xludf.DUMMYFUNCTION("""COMPUTED_VALUE"""),"2020-21")</f>
        <v>2020-21</v>
      </c>
      <c r="H6" s="133" t="str">
        <f>IFERROR(__xludf.DUMMYFUNCTION("""COMPUTED_VALUE"""),"LAL")</f>
        <v>LAL</v>
      </c>
      <c r="I6" s="145" t="str">
        <f>IFERROR(__xludf.DUMMYFUNCTION("""COMPUTED_VALUE"""),"Shot Creator")</f>
        <v>Shot Creator</v>
      </c>
      <c r="J6" s="145">
        <f>IFERROR(__xludf.DUMMYFUNCTION("""COMPUTED_VALUE"""),1076.58)</f>
        <v>1076.58</v>
      </c>
      <c r="K6" s="133">
        <f>IFERROR(__xludf.DUMMYFUNCTION("""COMPUTED_VALUE"""),31.0)</f>
        <v>31</v>
      </c>
      <c r="L6" s="133" t="str">
        <f>IFERROR(__xludf.DUMMYFUNCTION("""COMPUTED_VALUE"""),"PG")</f>
        <v>PG</v>
      </c>
      <c r="M6" s="133">
        <f>IFERROR(__xludf.DUMMYFUNCTION("""COMPUTED_VALUE"""),36.0)</f>
        <v>36</v>
      </c>
      <c r="N6" s="134">
        <f>IFERROR(__xludf.DUMMYFUNCTION("""COMPUTED_VALUE"""),5.36797644549319)</f>
        <v>5.367976445</v>
      </c>
      <c r="O6" s="134">
        <f>IFERROR(__xludf.DUMMYFUNCTION("""COMPUTED_VALUE"""),3.95781220473221)</f>
        <v>3.957812205</v>
      </c>
      <c r="P6" s="134">
        <f>IFERROR(__xludf.DUMMYFUNCTION("""COMPUTED_VALUE"""),1.41016424076098)</f>
        <v>1.410164241</v>
      </c>
      <c r="Q6" s="146">
        <f>IFERROR(__xludf.DUMMYFUNCTION("""COMPUTED_VALUE"""),5.407073605171476)</f>
        <v>5.407073605</v>
      </c>
      <c r="R6" s="136" t="s">
        <v>206</v>
      </c>
      <c r="S6" s="148">
        <v>0.9</v>
      </c>
      <c r="T6" s="145">
        <f t="shared" ref="T6:T7" si="3">percentile(J:J,$S6)</f>
        <v>984.2436667</v>
      </c>
      <c r="U6" s="134">
        <f t="shared" ref="U6:X6" si="2">percentile(N$5:N5874,$S6)</f>
        <v>2.624550889</v>
      </c>
      <c r="V6" s="134">
        <f t="shared" si="2"/>
        <v>2.484301089</v>
      </c>
      <c r="W6" s="134">
        <f t="shared" si="2"/>
        <v>1.584419156</v>
      </c>
      <c r="X6" s="109">
        <f t="shared" si="2"/>
        <v>2.770030867</v>
      </c>
    </row>
    <row r="7">
      <c r="A7" s="17"/>
      <c r="B7" s="17"/>
      <c r="C7" s="17"/>
      <c r="D7" s="17"/>
      <c r="E7" s="17"/>
      <c r="F7" s="133" t="str">
        <f>IFERROR(__xludf.DUMMYFUNCTION("""COMPUTED_VALUE"""),"Giannis Antetokounmpo")</f>
        <v>Giannis Antetokounmpo</v>
      </c>
      <c r="G7" s="133" t="str">
        <f>IFERROR(__xludf.DUMMYFUNCTION("""COMPUTED_VALUE"""),"2020-21")</f>
        <v>2020-21</v>
      </c>
      <c r="H7" s="133" t="str">
        <f>IFERROR(__xludf.DUMMYFUNCTION("""COMPUTED_VALUE"""),"MIL")</f>
        <v>MIL</v>
      </c>
      <c r="I7" s="145" t="str">
        <f>IFERROR(__xludf.DUMMYFUNCTION("""COMPUTED_VALUE"""),"Slasher")</f>
        <v>Slasher</v>
      </c>
      <c r="J7" s="145">
        <f>IFERROR(__xludf.DUMMYFUNCTION("""COMPUTED_VALUE"""),1012.70333333333)</f>
        <v>1012.703333</v>
      </c>
      <c r="K7" s="133">
        <f>IFERROR(__xludf.DUMMYFUNCTION("""COMPUTED_VALUE"""),30.0)</f>
        <v>30</v>
      </c>
      <c r="L7" s="133" t="str">
        <f>IFERROR(__xludf.DUMMYFUNCTION("""COMPUTED_VALUE"""),"PF")</f>
        <v>PF</v>
      </c>
      <c r="M7" s="133">
        <f>IFERROR(__xludf.DUMMYFUNCTION("""COMPUTED_VALUE"""),26.0)</f>
        <v>26</v>
      </c>
      <c r="N7" s="134">
        <f>IFERROR(__xludf.DUMMYFUNCTION("""COMPUTED_VALUE"""),5.70053777571043)</f>
        <v>5.700537776</v>
      </c>
      <c r="O7" s="134">
        <f>IFERROR(__xludf.DUMMYFUNCTION("""COMPUTED_VALUE"""),3.55924007190919)</f>
        <v>3.559240072</v>
      </c>
      <c r="P7" s="134">
        <f>IFERROR(__xludf.DUMMYFUNCTION("""COMPUTED_VALUE"""),2.14129770380123)</f>
        <v>2.141297704</v>
      </c>
      <c r="Q7" s="146">
        <f>IFERROR(__xludf.DUMMYFUNCTION("""COMPUTED_VALUE"""),5.286619911994156)</f>
        <v>5.286619912</v>
      </c>
      <c r="R7" s="136" t="s">
        <v>207</v>
      </c>
      <c r="S7" s="148">
        <v>0.75</v>
      </c>
      <c r="T7" s="145">
        <f t="shared" si="3"/>
        <v>869.5683333</v>
      </c>
      <c r="U7" s="134">
        <f t="shared" ref="U7:X7" si="4">percentile(N$5:N5874,$S7)</f>
        <v>1.365419501</v>
      </c>
      <c r="V7" s="134">
        <f t="shared" si="4"/>
        <v>0.9365051838</v>
      </c>
      <c r="W7" s="134">
        <f t="shared" si="4"/>
        <v>0.7561303476</v>
      </c>
      <c r="X7" s="109">
        <f t="shared" si="4"/>
        <v>1.791652749</v>
      </c>
    </row>
    <row r="8">
      <c r="A8" s="17"/>
      <c r="B8" s="17"/>
      <c r="C8" s="135" t="s">
        <v>208</v>
      </c>
      <c r="E8" s="17"/>
      <c r="F8" s="133" t="str">
        <f>IFERROR(__xludf.DUMMYFUNCTION("""COMPUTED_VALUE"""),"Rudy Gobert")</f>
        <v>Rudy Gobert</v>
      </c>
      <c r="G8" s="133" t="str">
        <f>IFERROR(__xludf.DUMMYFUNCTION("""COMPUTED_VALUE"""),"2020-21")</f>
        <v>2020-21</v>
      </c>
      <c r="H8" s="133" t="str">
        <f>IFERROR(__xludf.DUMMYFUNCTION("""COMPUTED_VALUE"""),"UTA")</f>
        <v>UTA</v>
      </c>
      <c r="I8" s="145" t="str">
        <f>IFERROR(__xludf.DUMMYFUNCTION("""COMPUTED_VALUE"""),"Roll + Cut Big")</f>
        <v>Roll + Cut Big</v>
      </c>
      <c r="J8" s="145">
        <f>IFERROR(__xludf.DUMMYFUNCTION("""COMPUTED_VALUE"""),909.08)</f>
        <v>909.08</v>
      </c>
      <c r="K8" s="133">
        <f>IFERROR(__xludf.DUMMYFUNCTION("""COMPUTED_VALUE"""),30.0)</f>
        <v>30</v>
      </c>
      <c r="L8" s="133" t="str">
        <f>IFERROR(__xludf.DUMMYFUNCTION("""COMPUTED_VALUE"""),"C")</f>
        <v>C</v>
      </c>
      <c r="M8" s="133">
        <f>IFERROR(__xludf.DUMMYFUNCTION("""COMPUTED_VALUE"""),28.0)</f>
        <v>28</v>
      </c>
      <c r="N8" s="134">
        <f>IFERROR(__xludf.DUMMYFUNCTION("""COMPUTED_VALUE"""),5.18737493276386)</f>
        <v>5.187374933</v>
      </c>
      <c r="O8" s="134">
        <f>IFERROR(__xludf.DUMMYFUNCTION("""COMPUTED_VALUE"""),0.805510759690612)</f>
        <v>0.8055107597</v>
      </c>
      <c r="P8" s="134">
        <f>IFERROR(__xludf.DUMMYFUNCTION("""COMPUTED_VALUE"""),4.38186417307325)</f>
        <v>4.381864173</v>
      </c>
      <c r="Q8" s="146">
        <f>IFERROR(__xludf.DUMMYFUNCTION("""COMPUTED_VALUE"""),4.467042544389599)</f>
        <v>4.467042544</v>
      </c>
      <c r="R8" s="136" t="s">
        <v>209</v>
      </c>
      <c r="S8" s="149"/>
      <c r="T8" s="145">
        <f>average(J:J)</f>
        <v>754.8710274</v>
      </c>
      <c r="U8" s="134">
        <f>IFERROR(__xludf.DUMMYFUNCTION("average.weighted(N$5:N5874,$J$5:$J5874)"),0.3309610659336033)</f>
        <v>0.3309610659</v>
      </c>
      <c r="V8" s="134">
        <f>IFERROR(__xludf.DUMMYFUNCTION("average.weighted(O$5:O5874,$J$5:$J5874)"),0.32897934319142363)</f>
        <v>0.3289793432</v>
      </c>
      <c r="W8" s="134">
        <f>IFERROR(__xludf.DUMMYFUNCTION("average.weighted(P$5:P5874,$J$5:$J5874)"),0.001981722742179118)</f>
        <v>0.001981722742</v>
      </c>
      <c r="X8" s="109">
        <f>IFERROR(__xludf.DUMMYFUNCTION("average.weighted(Q$5:Q5874,$J$5:$J5874)"),1.4556616446949784)</f>
        <v>1.455661645</v>
      </c>
    </row>
    <row r="9">
      <c r="A9" s="17"/>
      <c r="B9" s="17"/>
      <c r="C9" s="136" t="s">
        <v>210</v>
      </c>
      <c r="D9" s="150" t="b">
        <v>1</v>
      </c>
      <c r="E9" s="17"/>
      <c r="F9" s="133" t="str">
        <f>IFERROR(__xludf.DUMMYFUNCTION("""COMPUTED_VALUE"""),"Luka Doncic")</f>
        <v>Luka Doncic</v>
      </c>
      <c r="G9" s="133" t="str">
        <f>IFERROR(__xludf.DUMMYFUNCTION("""COMPUTED_VALUE"""),"2020-21")</f>
        <v>2020-21</v>
      </c>
      <c r="H9" s="133" t="str">
        <f>IFERROR(__xludf.DUMMYFUNCTION("""COMPUTED_VALUE"""),"DAL")</f>
        <v>DAL</v>
      </c>
      <c r="I9" s="145" t="str">
        <f>IFERROR(__xludf.DUMMYFUNCTION("""COMPUTED_VALUE"""),"Shot Creator")</f>
        <v>Shot Creator</v>
      </c>
      <c r="J9" s="145">
        <f>IFERROR(__xludf.DUMMYFUNCTION("""COMPUTED_VALUE"""),953.475)</f>
        <v>953.475</v>
      </c>
      <c r="K9" s="133">
        <f>IFERROR(__xludf.DUMMYFUNCTION("""COMPUTED_VALUE"""),27.0)</f>
        <v>27</v>
      </c>
      <c r="L9" s="133" t="str">
        <f>IFERROR(__xludf.DUMMYFUNCTION("""COMPUTED_VALUE"""),"PG")</f>
        <v>PG</v>
      </c>
      <c r="M9" s="133">
        <f>IFERROR(__xludf.DUMMYFUNCTION("""COMPUTED_VALUE"""),21.0)</f>
        <v>21</v>
      </c>
      <c r="N9" s="134">
        <f>IFERROR(__xludf.DUMMYFUNCTION("""COMPUTED_VALUE"""),4.69449213514886)</f>
        <v>4.694492135</v>
      </c>
      <c r="O9" s="134">
        <f>IFERROR(__xludf.DUMMYFUNCTION("""COMPUTED_VALUE"""),5.67673077181102)</f>
        <v>5.676730772</v>
      </c>
      <c r="P9" s="134">
        <f>IFERROR(__xludf.DUMMYFUNCTION("""COMPUTED_VALUE"""),-0.982238636662159)</f>
        <v>-0.9822386367</v>
      </c>
      <c r="Q9" s="146">
        <f>IFERROR(__xludf.DUMMYFUNCTION("""COMPUTED_VALUE"""),4.398545326891653)</f>
        <v>4.398545327</v>
      </c>
      <c r="R9" s="136" t="s">
        <v>211</v>
      </c>
      <c r="S9" s="148">
        <v>0.5</v>
      </c>
      <c r="T9" s="145">
        <f t="shared" ref="T9:T11" si="6">percentile(J:J,$S9)</f>
        <v>733.3383333</v>
      </c>
      <c r="U9" s="134">
        <f t="shared" ref="U9:X9" si="5">percentile(N$5:N5874,$S9)</f>
        <v>0.06794404193</v>
      </c>
      <c r="V9" s="134">
        <f t="shared" si="5"/>
        <v>-0.107989636</v>
      </c>
      <c r="W9" s="134">
        <f t="shared" si="5"/>
        <v>-0.02281932346</v>
      </c>
      <c r="X9" s="109">
        <f t="shared" si="5"/>
        <v>1.104499367</v>
      </c>
    </row>
    <row r="10">
      <c r="A10" s="17"/>
      <c r="B10" s="17" t="b">
        <f t="shared" ref="B10:B14" si="8">if(D$9=TRUE,TRUE,D10)</f>
        <v>1</v>
      </c>
      <c r="C10" s="136" t="s">
        <v>180</v>
      </c>
      <c r="D10" s="150" t="b">
        <v>0</v>
      </c>
      <c r="E10" s="17"/>
      <c r="F10" s="133" t="str">
        <f>IFERROR(__xludf.DUMMYFUNCTION("""COMPUTED_VALUE"""),"Kawhi Leonard")</f>
        <v>Kawhi Leonard</v>
      </c>
      <c r="G10" s="133" t="str">
        <f>IFERROR(__xludf.DUMMYFUNCTION("""COMPUTED_VALUE"""),"2020-21")</f>
        <v>2020-21</v>
      </c>
      <c r="H10" s="133" t="str">
        <f>IFERROR(__xludf.DUMMYFUNCTION("""COMPUTED_VALUE"""),"LAC")</f>
        <v>LAC</v>
      </c>
      <c r="I10" s="145" t="str">
        <f>IFERROR(__xludf.DUMMYFUNCTION("""COMPUTED_VALUE"""),"Shot Creator")</f>
        <v>Shot Creator</v>
      </c>
      <c r="J10" s="145">
        <f>IFERROR(__xludf.DUMMYFUNCTION("""COMPUTED_VALUE"""),869.133333333333)</f>
        <v>869.1333333</v>
      </c>
      <c r="K10" s="133">
        <f>IFERROR(__xludf.DUMMYFUNCTION("""COMPUTED_VALUE"""),25.0)</f>
        <v>25</v>
      </c>
      <c r="L10" s="133" t="str">
        <f>IFERROR(__xludf.DUMMYFUNCTION("""COMPUTED_VALUE"""),"SF")</f>
        <v>SF</v>
      </c>
      <c r="M10" s="133">
        <f>IFERROR(__xludf.DUMMYFUNCTION("""COMPUTED_VALUE"""),29.0)</f>
        <v>29</v>
      </c>
      <c r="N10" s="134">
        <f>IFERROR(__xludf.DUMMYFUNCTION("""COMPUTED_VALUE"""),5.34046676224394)</f>
        <v>5.340466762</v>
      </c>
      <c r="O10" s="134">
        <f>IFERROR(__xludf.DUMMYFUNCTION("""COMPUTED_VALUE"""),4.2893679405577)</f>
        <v>4.289367941</v>
      </c>
      <c r="P10" s="134">
        <f>IFERROR(__xludf.DUMMYFUNCTION("""COMPUTED_VALUE"""),1.05109882168624)</f>
        <v>1.051098822</v>
      </c>
      <c r="Q10" s="146">
        <f>IFERROR(__xludf.DUMMYFUNCTION("""COMPUTED_VALUE"""),4.350845241651916)</f>
        <v>4.350845242</v>
      </c>
      <c r="R10" s="136" t="s">
        <v>212</v>
      </c>
      <c r="S10" s="148">
        <v>0.25</v>
      </c>
      <c r="T10" s="145">
        <f t="shared" si="6"/>
        <v>594.8425</v>
      </c>
      <c r="U10" s="134">
        <f t="shared" ref="U10:X10" si="7">percentile(N$5:N5874,$S10)</f>
        <v>-1.205782823</v>
      </c>
      <c r="V10" s="134">
        <f t="shared" si="7"/>
        <v>-0.8797299814</v>
      </c>
      <c r="W10" s="134">
        <f t="shared" si="7"/>
        <v>-0.8718861846</v>
      </c>
      <c r="X10" s="109">
        <f t="shared" si="7"/>
        <v>0.4770437088</v>
      </c>
    </row>
    <row r="11">
      <c r="A11" s="17"/>
      <c r="B11" s="17" t="b">
        <f t="shared" si="8"/>
        <v>1</v>
      </c>
      <c r="C11" s="136" t="s">
        <v>169</v>
      </c>
      <c r="D11" s="150" t="b">
        <v>0</v>
      </c>
      <c r="E11" s="17"/>
      <c r="F11" s="133" t="str">
        <f>IFERROR(__xludf.DUMMYFUNCTION("""COMPUTED_VALUE"""),"Joel Embiid")</f>
        <v>Joel Embiid</v>
      </c>
      <c r="G11" s="133" t="str">
        <f>IFERROR(__xludf.DUMMYFUNCTION("""COMPUTED_VALUE"""),"2020-21")</f>
        <v>2020-21</v>
      </c>
      <c r="H11" s="133" t="str">
        <f>IFERROR(__xludf.DUMMYFUNCTION("""COMPUTED_VALUE"""),"PHI")</f>
        <v>PHI</v>
      </c>
      <c r="I11" s="145" t="str">
        <f>IFERROR(__xludf.DUMMYFUNCTION("""COMPUTED_VALUE"""),"Post Scorer")</f>
        <v>Post Scorer</v>
      </c>
      <c r="J11" s="145">
        <f>IFERROR(__xludf.DUMMYFUNCTION("""COMPUTED_VALUE"""),819.146666666667)</f>
        <v>819.1466667</v>
      </c>
      <c r="K11" s="133">
        <f>IFERROR(__xludf.DUMMYFUNCTION("""COMPUTED_VALUE"""),25.0)</f>
        <v>25</v>
      </c>
      <c r="L11" s="133" t="str">
        <f>IFERROR(__xludf.DUMMYFUNCTION("""COMPUTED_VALUE"""),"C")</f>
        <v>C</v>
      </c>
      <c r="M11" s="133">
        <f>IFERROR(__xludf.DUMMYFUNCTION("""COMPUTED_VALUE"""),26.0)</f>
        <v>26</v>
      </c>
      <c r="N11" s="134">
        <f>IFERROR(__xludf.DUMMYFUNCTION("""COMPUTED_VALUE"""),5.62764630685672)</f>
        <v>5.627646307</v>
      </c>
      <c r="O11" s="134">
        <f>IFERROR(__xludf.DUMMYFUNCTION("""COMPUTED_VALUE"""),4.02473348842788)</f>
        <v>4.024733488</v>
      </c>
      <c r="P11" s="134">
        <f>IFERROR(__xludf.DUMMYFUNCTION("""COMPUTED_VALUE"""),1.60291281842884)</f>
        <v>1.602912818</v>
      </c>
      <c r="Q11" s="146">
        <f>IFERROR(__xludf.DUMMYFUNCTION("""COMPUTED_VALUE"""),4.240877601023478)</f>
        <v>4.240877601</v>
      </c>
      <c r="R11" s="136" t="s">
        <v>213</v>
      </c>
      <c r="S11" s="148">
        <v>0.1</v>
      </c>
      <c r="T11" s="145">
        <f t="shared" si="6"/>
        <v>535.6996667</v>
      </c>
      <c r="U11" s="134">
        <f t="shared" ref="U11:X11" si="9">percentile(N$5:N5874,$S11)</f>
        <v>-2.057417556</v>
      </c>
      <c r="V11" s="134">
        <f t="shared" si="9"/>
        <v>-1.630710912</v>
      </c>
      <c r="W11" s="134">
        <f t="shared" si="9"/>
        <v>-1.504009623</v>
      </c>
      <c r="X11" s="109">
        <f t="shared" si="9"/>
        <v>0.1148852574</v>
      </c>
    </row>
    <row r="12">
      <c r="A12" s="17"/>
      <c r="B12" s="17" t="b">
        <f t="shared" si="8"/>
        <v>1</v>
      </c>
      <c r="C12" s="136" t="s">
        <v>181</v>
      </c>
      <c r="D12" s="150" t="b">
        <v>0</v>
      </c>
      <c r="E12" s="17"/>
      <c r="F12" s="133" t="str">
        <f>IFERROR(__xludf.DUMMYFUNCTION("""COMPUTED_VALUE"""),"Stephen Curry")</f>
        <v>Stephen Curry</v>
      </c>
      <c r="G12" s="133" t="str">
        <f>IFERROR(__xludf.DUMMYFUNCTION("""COMPUTED_VALUE"""),"2020-21")</f>
        <v>2020-21</v>
      </c>
      <c r="H12" s="133" t="str">
        <f>IFERROR(__xludf.DUMMYFUNCTION("""COMPUTED_VALUE"""),"GSW")</f>
        <v>GSW</v>
      </c>
      <c r="I12" s="145" t="str">
        <f>IFERROR(__xludf.DUMMYFUNCTION("""COMPUTED_VALUE"""),"Primary Ball Handler")</f>
        <v>Primary Ball Handler</v>
      </c>
      <c r="J12" s="145">
        <f>IFERROR(__xludf.DUMMYFUNCTION("""COMPUTED_VALUE"""),1023.55833333333)</f>
        <v>1023.558333</v>
      </c>
      <c r="K12" s="133">
        <f>IFERROR(__xludf.DUMMYFUNCTION("""COMPUTED_VALUE"""),30.0)</f>
        <v>30</v>
      </c>
      <c r="L12" s="133" t="str">
        <f>IFERROR(__xludf.DUMMYFUNCTION("""COMPUTED_VALUE"""),"PG")</f>
        <v>PG</v>
      </c>
      <c r="M12" s="133">
        <f>IFERROR(__xludf.DUMMYFUNCTION("""COMPUTED_VALUE"""),32.0)</f>
        <v>32</v>
      </c>
      <c r="N12" s="134">
        <f>IFERROR(__xludf.DUMMYFUNCTION("""COMPUTED_VALUE"""),3.7991330873059)</f>
        <v>3.799133087</v>
      </c>
      <c r="O12" s="134">
        <f>IFERROR(__xludf.DUMMYFUNCTION("""COMPUTED_VALUE"""),4.79102641206337)</f>
        <v>4.791026412</v>
      </c>
      <c r="P12" s="134">
        <f>IFERROR(__xludf.DUMMYFUNCTION("""COMPUTED_VALUE"""),-0.991893324757469)</f>
        <v>-0.9918933248</v>
      </c>
      <c r="Q12" s="146">
        <f>IFERROR(__xludf.DUMMYFUNCTION("""COMPUTED_VALUE"""),4.14832892105543)</f>
        <v>4.148328921</v>
      </c>
      <c r="R12" s="136" t="s">
        <v>214</v>
      </c>
      <c r="S12" s="17"/>
      <c r="T12" s="145">
        <f>min(J:J)</f>
        <v>0.5166666667</v>
      </c>
      <c r="U12" s="134">
        <f t="shared" ref="U12:X12" si="10">min(N5:N5874)</f>
        <v>-4.330282116</v>
      </c>
      <c r="V12" s="134">
        <f t="shared" si="10"/>
        <v>-3.697267621</v>
      </c>
      <c r="W12" s="134">
        <f t="shared" si="10"/>
        <v>-2.508370373</v>
      </c>
      <c r="X12" s="109">
        <f t="shared" si="10"/>
        <v>-1.12879962</v>
      </c>
    </row>
    <row r="13">
      <c r="A13" s="17"/>
      <c r="B13" s="17" t="b">
        <f t="shared" si="8"/>
        <v>1</v>
      </c>
      <c r="C13" s="136" t="s">
        <v>182</v>
      </c>
      <c r="D13" s="150" t="b">
        <v>0</v>
      </c>
      <c r="E13" s="17"/>
      <c r="F13" s="133" t="str">
        <f>IFERROR(__xludf.DUMMYFUNCTION("""COMPUTED_VALUE"""),"Fred VanVleet")</f>
        <v>Fred VanVleet</v>
      </c>
      <c r="G13" s="133" t="str">
        <f>IFERROR(__xludf.DUMMYFUNCTION("""COMPUTED_VALUE"""),"2020-21")</f>
        <v>2020-21</v>
      </c>
      <c r="H13" s="133" t="str">
        <f>IFERROR(__xludf.DUMMYFUNCTION("""COMPUTED_VALUE"""),"TOR")</f>
        <v>TOR</v>
      </c>
      <c r="I13" s="145" t="str">
        <f>IFERROR(__xludf.DUMMYFUNCTION("""COMPUTED_VALUE"""),"Primary Ball Handler")</f>
        <v>Primary Ball Handler</v>
      </c>
      <c r="J13" s="145">
        <f>IFERROR(__xludf.DUMMYFUNCTION("""COMPUTED_VALUE"""),1134.68166666667)</f>
        <v>1134.681667</v>
      </c>
      <c r="K13" s="133">
        <f>IFERROR(__xludf.DUMMYFUNCTION("""COMPUTED_VALUE"""),31.0)</f>
        <v>31</v>
      </c>
      <c r="L13" s="133" t="str">
        <f>IFERROR(__xludf.DUMMYFUNCTION("""COMPUTED_VALUE"""),"SG")</f>
        <v>SG</v>
      </c>
      <c r="M13" s="133">
        <f>IFERROR(__xludf.DUMMYFUNCTION("""COMPUTED_VALUE"""),26.0)</f>
        <v>26</v>
      </c>
      <c r="N13" s="134">
        <f>IFERROR(__xludf.DUMMYFUNCTION("""COMPUTED_VALUE"""),3.16134273915324)</f>
        <v>3.161342739</v>
      </c>
      <c r="O13" s="134">
        <f>IFERROR(__xludf.DUMMYFUNCTION("""COMPUTED_VALUE"""),2.67926407526831)</f>
        <v>2.679264075</v>
      </c>
      <c r="P13" s="134">
        <f>IFERROR(__xludf.DUMMYFUNCTION("""COMPUTED_VALUE"""),0.482078663884928)</f>
        <v>0.4820786639</v>
      </c>
      <c r="Q13" s="146">
        <f>IFERROR(__xludf.DUMMYFUNCTION("""COMPUTED_VALUE"""),4.1346718291916735)</f>
        <v>4.134671829</v>
      </c>
      <c r="R13" s="17"/>
      <c r="S13" s="17"/>
      <c r="T13" s="75"/>
      <c r="U13" s="75"/>
      <c r="V13" s="75"/>
      <c r="W13" s="151" t="s">
        <v>215</v>
      </c>
      <c r="X13" s="151"/>
    </row>
    <row r="14">
      <c r="A14" s="17"/>
      <c r="B14" s="17" t="b">
        <f t="shared" si="8"/>
        <v>1</v>
      </c>
      <c r="C14" s="136" t="s">
        <v>183</v>
      </c>
      <c r="D14" s="150" t="b">
        <v>0</v>
      </c>
      <c r="E14" s="17"/>
      <c r="F14" s="133" t="str">
        <f>IFERROR(__xludf.DUMMYFUNCTION("""COMPUTED_VALUE"""),"James Harden")</f>
        <v>James Harden</v>
      </c>
      <c r="G14" s="133" t="str">
        <f>IFERROR(__xludf.DUMMYFUNCTION("""COMPUTED_VALUE"""),"2020-21")</f>
        <v>2020-21</v>
      </c>
      <c r="H14" s="133" t="str">
        <f>IFERROR(__xludf.DUMMYFUNCTION("""COMPUTED_VALUE"""),"TOT")</f>
        <v>TOT</v>
      </c>
      <c r="I14" s="145" t="str">
        <f>IFERROR(__xludf.DUMMYFUNCTION("""COMPUTED_VALUE"""),"Shot Creator")</f>
        <v>Shot Creator</v>
      </c>
      <c r="J14" s="145">
        <f>IFERROR(__xludf.DUMMYFUNCTION("""COMPUTED_VALUE"""),981.671666666667)</f>
        <v>981.6716667</v>
      </c>
      <c r="K14" s="133">
        <f>IFERROR(__xludf.DUMMYFUNCTION("""COMPUTED_VALUE"""),26.0)</f>
        <v>26</v>
      </c>
      <c r="L14" s="133" t="str">
        <f>IFERROR(__xludf.DUMMYFUNCTION("""COMPUTED_VALUE"""),"SG")</f>
        <v>SG</v>
      </c>
      <c r="M14" s="133">
        <f>IFERROR(__xludf.DUMMYFUNCTION("""COMPUTED_VALUE"""),31.0)</f>
        <v>31</v>
      </c>
      <c r="N14" s="134">
        <f>IFERROR(__xludf.DUMMYFUNCTION("""COMPUTED_VALUE"""),3.76973062882133)</f>
        <v>3.769730629</v>
      </c>
      <c r="O14" s="134">
        <f>IFERROR(__xludf.DUMMYFUNCTION("""COMPUTED_VALUE"""),4.47508722729033)</f>
        <v>4.475087227</v>
      </c>
      <c r="P14" s="134">
        <f>IFERROR(__xludf.DUMMYFUNCTION("""COMPUTED_VALUE"""),-0.705356598468994)</f>
        <v>-0.7053565985</v>
      </c>
      <c r="Q14" s="146">
        <f>IFERROR(__xludf.DUMMYFUNCTION("""COMPUTED_VALUE"""),3.9602258997363493)</f>
        <v>3.9602259</v>
      </c>
      <c r="R14" s="17"/>
      <c r="S14" s="17"/>
      <c r="T14" s="75"/>
      <c r="U14" s="75"/>
      <c r="V14" s="75"/>
      <c r="W14" s="75"/>
      <c r="X14" s="75"/>
    </row>
    <row r="15">
      <c r="A15" s="17"/>
      <c r="B15" s="17"/>
      <c r="C15" s="133"/>
      <c r="D15" s="133"/>
      <c r="E15" s="17"/>
      <c r="F15" s="133" t="str">
        <f>IFERROR(__xludf.DUMMYFUNCTION("""COMPUTED_VALUE"""),"Damian Lillard")</f>
        <v>Damian Lillard</v>
      </c>
      <c r="G15" s="133" t="str">
        <f>IFERROR(__xludf.DUMMYFUNCTION("""COMPUTED_VALUE"""),"2020-21")</f>
        <v>2020-21</v>
      </c>
      <c r="H15" s="133" t="str">
        <f>IFERROR(__xludf.DUMMYFUNCTION("""COMPUTED_VALUE"""),"POR")</f>
        <v>POR</v>
      </c>
      <c r="I15" s="145" t="str">
        <f>IFERROR(__xludf.DUMMYFUNCTION("""COMPUTED_VALUE"""),"Shot Creator")</f>
        <v>Shot Creator</v>
      </c>
      <c r="J15" s="145">
        <f>IFERROR(__xludf.DUMMYFUNCTION("""COMPUTED_VALUE"""),1008.34666666667)</f>
        <v>1008.346667</v>
      </c>
      <c r="K15" s="133">
        <f>IFERROR(__xludf.DUMMYFUNCTION("""COMPUTED_VALUE"""),28.0)</f>
        <v>28</v>
      </c>
      <c r="L15" s="133" t="str">
        <f>IFERROR(__xludf.DUMMYFUNCTION("""COMPUTED_VALUE"""),"PG")</f>
        <v>PG</v>
      </c>
      <c r="M15" s="133">
        <f>IFERROR(__xludf.DUMMYFUNCTION("""COMPUTED_VALUE"""),30.0)</f>
        <v>30</v>
      </c>
      <c r="N15" s="134">
        <f>IFERROR(__xludf.DUMMYFUNCTION("""COMPUTED_VALUE"""),3.57813436839156)</f>
        <v>3.578134368</v>
      </c>
      <c r="O15" s="134">
        <f>IFERROR(__xludf.DUMMYFUNCTION("""COMPUTED_VALUE"""),6.08650474155482)</f>
        <v>6.086504742</v>
      </c>
      <c r="P15" s="134">
        <f>IFERROR(__xludf.DUMMYFUNCTION("""COMPUTED_VALUE"""),-2.50837037316326)</f>
        <v>-2.508370373</v>
      </c>
      <c r="Q15" s="146">
        <f>IFERROR(__xludf.DUMMYFUNCTION("""COMPUTED_VALUE"""),3.9446494730144934)</f>
        <v>3.944649473</v>
      </c>
      <c r="R15" s="152" t="s">
        <v>216</v>
      </c>
      <c r="X15" s="152"/>
    </row>
    <row r="16">
      <c r="A16" s="17"/>
      <c r="B16" s="17"/>
      <c r="C16" s="135" t="s">
        <v>217</v>
      </c>
      <c r="E16" s="17"/>
      <c r="F16" s="133" t="str">
        <f>IFERROR(__xludf.DUMMYFUNCTION("""COMPUTED_VALUE"""),"Anthony Davis")</f>
        <v>Anthony Davis</v>
      </c>
      <c r="G16" s="133" t="str">
        <f>IFERROR(__xludf.DUMMYFUNCTION("""COMPUTED_VALUE"""),"2020-21")</f>
        <v>2020-21</v>
      </c>
      <c r="H16" s="133" t="str">
        <f>IFERROR(__xludf.DUMMYFUNCTION("""COMPUTED_VALUE"""),"LAL")</f>
        <v>LAL</v>
      </c>
      <c r="I16" s="145" t="str">
        <f>IFERROR(__xludf.DUMMYFUNCTION("""COMPUTED_VALUE"""),"Post Scorer")</f>
        <v>Post Scorer</v>
      </c>
      <c r="J16" s="145">
        <f>IFERROR(__xludf.DUMMYFUNCTION("""COMPUTED_VALUE"""),755.011666666667)</f>
        <v>755.0116667</v>
      </c>
      <c r="K16" s="133">
        <f>IFERROR(__xludf.DUMMYFUNCTION("""COMPUTED_VALUE"""),23.0)</f>
        <v>23</v>
      </c>
      <c r="L16" s="133" t="str">
        <f>IFERROR(__xludf.DUMMYFUNCTION("""COMPUTED_VALUE"""),"PF")</f>
        <v>PF</v>
      </c>
      <c r="M16" s="133">
        <f>IFERROR(__xludf.DUMMYFUNCTION("""COMPUTED_VALUE"""),27.0)</f>
        <v>27</v>
      </c>
      <c r="N16" s="134">
        <f>IFERROR(__xludf.DUMMYFUNCTION("""COMPUTED_VALUE"""),4.63927914066241)</f>
        <v>4.639279141</v>
      </c>
      <c r="O16" s="134">
        <f>IFERROR(__xludf.DUMMYFUNCTION("""COMPUTED_VALUE"""),3.03614692307321)</f>
        <v>3.036146923</v>
      </c>
      <c r="P16" s="134">
        <f>IFERROR(__xludf.DUMMYFUNCTION("""COMPUTED_VALUE"""),1.6031322175892)</f>
        <v>1.603132218</v>
      </c>
      <c r="Q16" s="146">
        <f>IFERROR(__xludf.DUMMYFUNCTION("""COMPUTED_VALUE"""),3.457299600106495)</f>
        <v>3.4572996</v>
      </c>
      <c r="R16" s="153"/>
      <c r="S16" s="17"/>
      <c r="T16" s="75"/>
      <c r="U16" s="75"/>
      <c r="V16" s="75"/>
      <c r="W16" s="75"/>
      <c r="X16" s="75"/>
    </row>
    <row r="17">
      <c r="A17" s="17"/>
      <c r="B17" s="17"/>
      <c r="C17" s="136" t="s">
        <v>210</v>
      </c>
      <c r="D17" s="150" t="b">
        <v>0</v>
      </c>
      <c r="E17" s="17"/>
      <c r="F17" s="133" t="str">
        <f>IFERROR(__xludf.DUMMYFUNCTION("""COMPUTED_VALUE"""),"Jayson Tatum")</f>
        <v>Jayson Tatum</v>
      </c>
      <c r="G17" s="133" t="str">
        <f>IFERROR(__xludf.DUMMYFUNCTION("""COMPUTED_VALUE"""),"2020-21")</f>
        <v>2020-21</v>
      </c>
      <c r="H17" s="133" t="str">
        <f>IFERROR(__xludf.DUMMYFUNCTION("""COMPUTED_VALUE"""),"BOS")</f>
        <v>BOS</v>
      </c>
      <c r="I17" s="145" t="str">
        <f>IFERROR(__xludf.DUMMYFUNCTION("""COMPUTED_VALUE"""),"Shot Creator")</f>
        <v>Shot Creator</v>
      </c>
      <c r="J17" s="145">
        <f>IFERROR(__xludf.DUMMYFUNCTION("""COMPUTED_VALUE"""),888.188333333333)</f>
        <v>888.1883333</v>
      </c>
      <c r="K17" s="133">
        <f>IFERROR(__xludf.DUMMYFUNCTION("""COMPUTED_VALUE"""),25.0)</f>
        <v>25</v>
      </c>
      <c r="L17" s="133" t="str">
        <f>IFERROR(__xludf.DUMMYFUNCTION("""COMPUTED_VALUE"""),"SF")</f>
        <v>SF</v>
      </c>
      <c r="M17" s="133">
        <f>IFERROR(__xludf.DUMMYFUNCTION("""COMPUTED_VALUE"""),22.0)</f>
        <v>22</v>
      </c>
      <c r="N17" s="134">
        <f>IFERROR(__xludf.DUMMYFUNCTION("""COMPUTED_VALUE"""),3.22417531829755)</f>
        <v>3.224175318</v>
      </c>
      <c r="O17" s="134">
        <f>IFERROR(__xludf.DUMMYFUNCTION("""COMPUTED_VALUE"""),2.48345366618404)</f>
        <v>2.483453666</v>
      </c>
      <c r="P17" s="134">
        <f>IFERROR(__xludf.DUMMYFUNCTION("""COMPUTED_VALUE"""),0.740721652113508)</f>
        <v>0.7407216521</v>
      </c>
      <c r="Q17" s="146">
        <f>IFERROR(__xludf.DUMMYFUNCTION("""COMPUTED_VALUE"""),3.272543897939388)</f>
        <v>3.272543898</v>
      </c>
      <c r="R17" s="28" t="s">
        <v>53</v>
      </c>
      <c r="X17" s="75"/>
    </row>
    <row r="18">
      <c r="A18" s="17"/>
      <c r="B18" s="17" t="b">
        <f t="shared" ref="B18:B29" si="11">if(D$17=TRUE,TRUE,D18)</f>
        <v>0</v>
      </c>
      <c r="C18" s="133" t="s">
        <v>61</v>
      </c>
      <c r="D18" s="150" t="b">
        <v>0</v>
      </c>
      <c r="E18" s="17"/>
      <c r="F18" s="133" t="str">
        <f>IFERROR(__xludf.DUMMYFUNCTION("""COMPUTED_VALUE"""),"Khris Middleton")</f>
        <v>Khris Middleton</v>
      </c>
      <c r="G18" s="133" t="str">
        <f>IFERROR(__xludf.DUMMYFUNCTION("""COMPUTED_VALUE"""),"2020-21")</f>
        <v>2020-21</v>
      </c>
      <c r="H18" s="133" t="str">
        <f>IFERROR(__xludf.DUMMYFUNCTION("""COMPUTED_VALUE"""),"MIL")</f>
        <v>MIL</v>
      </c>
      <c r="I18" s="145" t="str">
        <f>IFERROR(__xludf.DUMMYFUNCTION("""COMPUTED_VALUE"""),"Shot Creator")</f>
        <v>Shot Creator</v>
      </c>
      <c r="J18" s="145">
        <f>IFERROR(__xludf.DUMMYFUNCTION("""COMPUTED_VALUE"""),1029.44)</f>
        <v>1029.44</v>
      </c>
      <c r="K18" s="133">
        <f>IFERROR(__xludf.DUMMYFUNCTION("""COMPUTED_VALUE"""),31.0)</f>
        <v>31</v>
      </c>
      <c r="L18" s="133" t="str">
        <f>IFERROR(__xludf.DUMMYFUNCTION("""COMPUTED_VALUE"""),"SF")</f>
        <v>SF</v>
      </c>
      <c r="M18" s="133">
        <f>IFERROR(__xludf.DUMMYFUNCTION("""COMPUTED_VALUE"""),29.0)</f>
        <v>29</v>
      </c>
      <c r="N18" s="134">
        <f>IFERROR(__xludf.DUMMYFUNCTION("""COMPUTED_VALUE"""),2.41926908856212)</f>
        <v>2.419269089</v>
      </c>
      <c r="O18" s="134">
        <f>IFERROR(__xludf.DUMMYFUNCTION("""COMPUTED_VALUE"""),2.36277137050599)</f>
        <v>2.362771371</v>
      </c>
      <c r="P18" s="134">
        <f>IFERROR(__xludf.DUMMYFUNCTION("""COMPUTED_VALUE"""),0.0564977180561213)</f>
        <v>0.05649771806</v>
      </c>
      <c r="Q18" s="146">
        <f>IFERROR(__xludf.DUMMYFUNCTION("""COMPUTED_VALUE"""),3.2525975723299605)</f>
        <v>3.252597572</v>
      </c>
      <c r="R18" s="17"/>
      <c r="S18" s="17"/>
      <c r="T18" s="17"/>
      <c r="U18" s="17"/>
      <c r="V18" s="17"/>
      <c r="W18" s="17"/>
      <c r="X18" s="75"/>
    </row>
    <row r="19">
      <c r="A19" s="17"/>
      <c r="B19" s="17" t="b">
        <f t="shared" si="11"/>
        <v>0</v>
      </c>
      <c r="C19" s="133" t="s">
        <v>62</v>
      </c>
      <c r="D19" s="150" t="b">
        <v>0</v>
      </c>
      <c r="E19" s="17"/>
      <c r="F19" s="133" t="str">
        <f>IFERROR(__xludf.DUMMYFUNCTION("""COMPUTED_VALUE"""),"Trae Young")</f>
        <v>Trae Young</v>
      </c>
      <c r="G19" s="133" t="str">
        <f>IFERROR(__xludf.DUMMYFUNCTION("""COMPUTED_VALUE"""),"2020-21")</f>
        <v>2020-21</v>
      </c>
      <c r="H19" s="133" t="str">
        <f>IFERROR(__xludf.DUMMYFUNCTION("""COMPUTED_VALUE"""),"ATL")</f>
        <v>ATL</v>
      </c>
      <c r="I19" s="145" t="str">
        <f>IFERROR(__xludf.DUMMYFUNCTION("""COMPUTED_VALUE"""),"Primary Ball Handler")</f>
        <v>Primary Ball Handler</v>
      </c>
      <c r="J19" s="145">
        <f>IFERROR(__xludf.DUMMYFUNCTION("""COMPUTED_VALUE"""),973.521666666667)</f>
        <v>973.5216667</v>
      </c>
      <c r="K19" s="133">
        <f>IFERROR(__xludf.DUMMYFUNCTION("""COMPUTED_VALUE"""),28.0)</f>
        <v>28</v>
      </c>
      <c r="L19" s="133" t="str">
        <f>IFERROR(__xludf.DUMMYFUNCTION("""COMPUTED_VALUE"""),"PG")</f>
        <v>PG</v>
      </c>
      <c r="M19" s="133">
        <f>IFERROR(__xludf.DUMMYFUNCTION("""COMPUTED_VALUE"""),22.0)</f>
        <v>22</v>
      </c>
      <c r="N19" s="134">
        <f>IFERROR(__xludf.DUMMYFUNCTION("""COMPUTED_VALUE"""),2.63596429953297)</f>
        <v>2.6359643</v>
      </c>
      <c r="O19" s="134">
        <f>IFERROR(__xludf.DUMMYFUNCTION("""COMPUTED_VALUE"""),4.36226075116496)</f>
        <v>4.362260751</v>
      </c>
      <c r="P19" s="134">
        <f>IFERROR(__xludf.DUMMYFUNCTION("""COMPUTED_VALUE"""),-1.72629645163199)</f>
        <v>-1.726296452</v>
      </c>
      <c r="Q19" s="146">
        <f>IFERROR(__xludf.DUMMYFUNCTION("""COMPUTED_VALUE"""),3.2144216512765453)</f>
        <v>3.214421651</v>
      </c>
      <c r="R19" s="17"/>
      <c r="S19" s="17"/>
      <c r="T19" s="75"/>
      <c r="U19" s="75"/>
      <c r="V19" s="75"/>
      <c r="W19" s="75"/>
      <c r="X19" s="75"/>
    </row>
    <row r="20">
      <c r="A20" s="17"/>
      <c r="B20" s="17" t="b">
        <f t="shared" si="11"/>
        <v>0</v>
      </c>
      <c r="C20" s="133" t="s">
        <v>63</v>
      </c>
      <c r="D20" s="150" t="b">
        <v>0</v>
      </c>
      <c r="E20" s="17"/>
      <c r="F20" s="133" t="str">
        <f>IFERROR(__xludf.DUMMYFUNCTION("""COMPUTED_VALUE"""),"Julius Randle")</f>
        <v>Julius Randle</v>
      </c>
      <c r="G20" s="133" t="str">
        <f>IFERROR(__xludf.DUMMYFUNCTION("""COMPUTED_VALUE"""),"2020-21")</f>
        <v>2020-21</v>
      </c>
      <c r="H20" s="133" t="str">
        <f>IFERROR(__xludf.DUMMYFUNCTION("""COMPUTED_VALUE"""),"NYK")</f>
        <v>NYK</v>
      </c>
      <c r="I20" s="145" t="str">
        <f>IFERROR(__xludf.DUMMYFUNCTION("""COMPUTED_VALUE"""),"Post Scorer")</f>
        <v>Post Scorer</v>
      </c>
      <c r="J20" s="145">
        <f>IFERROR(__xludf.DUMMYFUNCTION("""COMPUTED_VALUE"""),1139.895)</f>
        <v>1139.895</v>
      </c>
      <c r="K20" s="133">
        <f>IFERROR(__xludf.DUMMYFUNCTION("""COMPUTED_VALUE"""),31.0)</f>
        <v>31</v>
      </c>
      <c r="L20" s="133" t="str">
        <f>IFERROR(__xludf.DUMMYFUNCTION("""COMPUTED_VALUE"""),"PF")</f>
        <v>PF</v>
      </c>
      <c r="M20" s="133">
        <f>IFERROR(__xludf.DUMMYFUNCTION("""COMPUTED_VALUE"""),26.0)</f>
        <v>26</v>
      </c>
      <c r="N20" s="134">
        <f>IFERROR(__xludf.DUMMYFUNCTION("""COMPUTED_VALUE"""),1.81711029044977)</f>
        <v>1.81711029</v>
      </c>
      <c r="O20" s="134">
        <f>IFERROR(__xludf.DUMMYFUNCTION("""COMPUTED_VALUE"""),1.27664311246795)</f>
        <v>1.276643112</v>
      </c>
      <c r="P20" s="134">
        <f>IFERROR(__xludf.DUMMYFUNCTION("""COMPUTED_VALUE"""),0.54046717798182)</f>
        <v>0.540467178</v>
      </c>
      <c r="Q20" s="146">
        <f>IFERROR(__xludf.DUMMYFUNCTION("""COMPUTED_VALUE"""),3.1474270944033123)</f>
        <v>3.147427094</v>
      </c>
      <c r="R20" s="17"/>
      <c r="S20" s="17"/>
      <c r="T20" s="75"/>
      <c r="U20" s="75"/>
      <c r="V20" s="75"/>
      <c r="W20" s="75"/>
      <c r="X20" s="75"/>
    </row>
    <row r="21">
      <c r="A21" s="17"/>
      <c r="B21" s="17" t="b">
        <f t="shared" si="11"/>
        <v>0</v>
      </c>
      <c r="C21" s="133" t="s">
        <v>64</v>
      </c>
      <c r="D21" s="150" t="b">
        <v>0</v>
      </c>
      <c r="E21" s="17"/>
      <c r="F21" s="133" t="str">
        <f>IFERROR(__xludf.DUMMYFUNCTION("""COMPUTED_VALUE"""),"Chris Paul")</f>
        <v>Chris Paul</v>
      </c>
      <c r="G21" s="133" t="str">
        <f>IFERROR(__xludf.DUMMYFUNCTION("""COMPUTED_VALUE"""),"2020-21")</f>
        <v>2020-21</v>
      </c>
      <c r="H21" s="133" t="str">
        <f>IFERROR(__xludf.DUMMYFUNCTION("""COMPUTED_VALUE"""),"PHO")</f>
        <v>PHO</v>
      </c>
      <c r="I21" s="145" t="str">
        <f>IFERROR(__xludf.DUMMYFUNCTION("""COMPUTED_VALUE"""),"Shot Creator")</f>
        <v>Shot Creator</v>
      </c>
      <c r="J21" s="145">
        <f>IFERROR(__xludf.DUMMYFUNCTION("""COMPUTED_VALUE"""),895.92)</f>
        <v>895.92</v>
      </c>
      <c r="K21" s="133">
        <f>IFERROR(__xludf.DUMMYFUNCTION("""COMPUTED_VALUE"""),28.0)</f>
        <v>28</v>
      </c>
      <c r="L21" s="133" t="str">
        <f>IFERROR(__xludf.DUMMYFUNCTION("""COMPUTED_VALUE"""),"PG")</f>
        <v>PG</v>
      </c>
      <c r="M21" s="133">
        <f>IFERROR(__xludf.DUMMYFUNCTION("""COMPUTED_VALUE"""),35.0)</f>
        <v>35</v>
      </c>
      <c r="N21" s="134">
        <f>IFERROR(__xludf.DUMMYFUNCTION("""COMPUTED_VALUE"""),2.83926643683082)</f>
        <v>2.839266437</v>
      </c>
      <c r="O21" s="134">
        <f>IFERROR(__xludf.DUMMYFUNCTION("""COMPUTED_VALUE"""),2.199611178443)</f>
        <v>2.199611178</v>
      </c>
      <c r="P21" s="134">
        <f>IFERROR(__xludf.DUMMYFUNCTION("""COMPUTED_VALUE"""),0.639655258387817)</f>
        <v>0.6396552584</v>
      </c>
      <c r="Q21" s="146">
        <f>IFERROR(__xludf.DUMMYFUNCTION("""COMPUTED_VALUE"""),3.0772325073250637)</f>
        <v>3.077232507</v>
      </c>
      <c r="R21" s="17"/>
      <c r="S21" s="17"/>
      <c r="T21" s="75"/>
      <c r="U21" s="75"/>
      <c r="V21" s="75"/>
      <c r="W21" s="75"/>
      <c r="X21" s="75"/>
    </row>
    <row r="22">
      <c r="A22" s="17"/>
      <c r="B22" s="17" t="b">
        <f t="shared" si="11"/>
        <v>0</v>
      </c>
      <c r="C22" s="133" t="s">
        <v>65</v>
      </c>
      <c r="D22" s="150" t="b">
        <v>0</v>
      </c>
      <c r="E22" s="17"/>
      <c r="F22" s="133" t="str">
        <f>IFERROR(__xludf.DUMMYFUNCTION("""COMPUTED_VALUE"""),"Zion Williamson")</f>
        <v>Zion Williamson</v>
      </c>
      <c r="G22" s="133" t="str">
        <f>IFERROR(__xludf.DUMMYFUNCTION("""COMPUTED_VALUE"""),"2020-21")</f>
        <v>2020-21</v>
      </c>
      <c r="H22" s="133" t="str">
        <f>IFERROR(__xludf.DUMMYFUNCTION("""COMPUTED_VALUE"""),"NOP")</f>
        <v>NOP</v>
      </c>
      <c r="I22" s="145" t="str">
        <f>IFERROR(__xludf.DUMMYFUNCTION("""COMPUTED_VALUE"""),"Post Scorer")</f>
        <v>Post Scorer</v>
      </c>
      <c r="J22" s="145">
        <f>IFERROR(__xludf.DUMMYFUNCTION("""COMPUTED_VALUE"""),950.861666666667)</f>
        <v>950.8616667</v>
      </c>
      <c r="K22" s="133">
        <f>IFERROR(__xludf.DUMMYFUNCTION("""COMPUTED_VALUE"""),29.0)</f>
        <v>29</v>
      </c>
      <c r="L22" s="133" t="str">
        <f>IFERROR(__xludf.DUMMYFUNCTION("""COMPUTED_VALUE"""),"PF")</f>
        <v>PF</v>
      </c>
      <c r="M22" s="133">
        <f>IFERROR(__xludf.DUMMYFUNCTION("""COMPUTED_VALUE"""),20.0)</f>
        <v>20</v>
      </c>
      <c r="N22" s="134">
        <f>IFERROR(__xludf.DUMMYFUNCTION("""COMPUTED_VALUE"""),2.53403391940912)</f>
        <v>2.534033919</v>
      </c>
      <c r="O22" s="134">
        <f>IFERROR(__xludf.DUMMYFUNCTION("""COMPUTED_VALUE"""),3.45202998204277)</f>
        <v>3.452029982</v>
      </c>
      <c r="P22" s="134">
        <f>IFERROR(__xludf.DUMMYFUNCTION("""COMPUTED_VALUE"""),-0.917996062633657)</f>
        <v>-0.9179960626</v>
      </c>
      <c r="Q22" s="146">
        <f>IFERROR(__xludf.DUMMYFUNCTION("""COMPUTED_VALUE"""),3.0760448826359745)</f>
        <v>3.076044883</v>
      </c>
      <c r="R22" s="17"/>
      <c r="S22" s="17"/>
      <c r="T22" s="75"/>
      <c r="U22" s="75"/>
      <c r="V22" s="75"/>
      <c r="W22" s="75"/>
      <c r="X22" s="75"/>
    </row>
    <row r="23">
      <c r="A23" s="17"/>
      <c r="B23" s="17" t="b">
        <f t="shared" si="11"/>
        <v>0</v>
      </c>
      <c r="C23" s="133" t="s">
        <v>66</v>
      </c>
      <c r="D23" s="150" t="b">
        <v>0</v>
      </c>
      <c r="E23" s="17"/>
      <c r="F23" s="133" t="str">
        <f>IFERROR(__xludf.DUMMYFUNCTION("""COMPUTED_VALUE"""),"Donovan Mitchell")</f>
        <v>Donovan Mitchell</v>
      </c>
      <c r="G23" s="133" t="str">
        <f>IFERROR(__xludf.DUMMYFUNCTION("""COMPUTED_VALUE"""),"2020-21")</f>
        <v>2020-21</v>
      </c>
      <c r="H23" s="133" t="str">
        <f>IFERROR(__xludf.DUMMYFUNCTION("""COMPUTED_VALUE"""),"UTA")</f>
        <v>UTA</v>
      </c>
      <c r="I23" s="145" t="str">
        <f>IFERROR(__xludf.DUMMYFUNCTION("""COMPUTED_VALUE"""),"Primary Ball Handler")</f>
        <v>Primary Ball Handler</v>
      </c>
      <c r="J23" s="145">
        <f>IFERROR(__xludf.DUMMYFUNCTION("""COMPUTED_VALUE"""),941.613333333333)</f>
        <v>941.6133333</v>
      </c>
      <c r="K23" s="133">
        <f>IFERROR(__xludf.DUMMYFUNCTION("""COMPUTED_VALUE"""),28.0)</f>
        <v>28</v>
      </c>
      <c r="L23" s="133" t="str">
        <f>IFERROR(__xludf.DUMMYFUNCTION("""COMPUTED_VALUE"""),"SG")</f>
        <v>SG</v>
      </c>
      <c r="M23" s="133">
        <f>IFERROR(__xludf.DUMMYFUNCTION("""COMPUTED_VALUE"""),24.0)</f>
        <v>24</v>
      </c>
      <c r="N23" s="134">
        <f>IFERROR(__xludf.DUMMYFUNCTION("""COMPUTED_VALUE"""),2.54908688689015)</f>
        <v>2.549086887</v>
      </c>
      <c r="O23" s="134">
        <f>IFERROR(__xludf.DUMMYFUNCTION("""COMPUTED_VALUE"""),3.13177279026884)</f>
        <v>3.13177279</v>
      </c>
      <c r="P23" s="134">
        <f>IFERROR(__xludf.DUMMYFUNCTION("""COMPUTED_VALUE"""),-0.582685903378685)</f>
        <v>-0.5826859034</v>
      </c>
      <c r="Q23" s="146">
        <f>IFERROR(__xludf.DUMMYFUNCTION("""COMPUTED_VALUE"""),3.0554297537491397)</f>
        <v>3.055429754</v>
      </c>
      <c r="R23" s="17"/>
      <c r="S23" s="17"/>
      <c r="T23" s="75"/>
      <c r="U23" s="75"/>
      <c r="V23" s="75"/>
      <c r="W23" s="75"/>
      <c r="X23" s="75"/>
    </row>
    <row r="24">
      <c r="A24" s="17"/>
      <c r="B24" s="17" t="b">
        <f t="shared" si="11"/>
        <v>0</v>
      </c>
      <c r="C24" s="133" t="s">
        <v>67</v>
      </c>
      <c r="D24" s="150" t="b">
        <v>0</v>
      </c>
      <c r="E24" s="17"/>
      <c r="F24" s="133" t="str">
        <f>IFERROR(__xludf.DUMMYFUNCTION("""COMPUTED_VALUE"""),"Myles Turner")</f>
        <v>Myles Turner</v>
      </c>
      <c r="G24" s="133" t="str">
        <f>IFERROR(__xludf.DUMMYFUNCTION("""COMPUTED_VALUE"""),"2020-21")</f>
        <v>2020-21</v>
      </c>
      <c r="H24" s="133" t="str">
        <f>IFERROR(__xludf.DUMMYFUNCTION("""COMPUTED_VALUE"""),"IND")</f>
        <v>IND</v>
      </c>
      <c r="I24" s="145" t="str">
        <f>IFERROR(__xludf.DUMMYFUNCTION("""COMPUTED_VALUE"""),"Stretch Big")</f>
        <v>Stretch Big</v>
      </c>
      <c r="J24" s="145">
        <f>IFERROR(__xludf.DUMMYFUNCTION("""COMPUTED_VALUE"""),842.178333333333)</f>
        <v>842.1783333</v>
      </c>
      <c r="K24" s="133">
        <f>IFERROR(__xludf.DUMMYFUNCTION("""COMPUTED_VALUE"""),27.0)</f>
        <v>27</v>
      </c>
      <c r="L24" s="133" t="str">
        <f>IFERROR(__xludf.DUMMYFUNCTION("""COMPUTED_VALUE"""),"C")</f>
        <v>C</v>
      </c>
      <c r="M24" s="133">
        <f>IFERROR(__xludf.DUMMYFUNCTION("""COMPUTED_VALUE"""),24.0)</f>
        <v>24</v>
      </c>
      <c r="N24" s="134">
        <f>IFERROR(__xludf.DUMMYFUNCTION("""COMPUTED_VALUE"""),2.80816248739489)</f>
        <v>2.808162487</v>
      </c>
      <c r="O24" s="134">
        <f>IFERROR(__xludf.DUMMYFUNCTION("""COMPUTED_VALUE"""),-0.883262629848883)</f>
        <v>-0.8832626298</v>
      </c>
      <c r="P24" s="134">
        <f>IFERROR(__xludf.DUMMYFUNCTION("""COMPUTED_VALUE"""),3.69142511724377)</f>
        <v>3.691425117</v>
      </c>
      <c r="Q24" s="146">
        <f>IFERROR(__xludf.DUMMYFUNCTION("""COMPUTED_VALUE"""),2.8755587103176783)</f>
        <v>2.87555871</v>
      </c>
      <c r="R24" s="17"/>
      <c r="S24" s="17"/>
      <c r="T24" s="75"/>
      <c r="U24" s="75"/>
      <c r="V24" s="75"/>
      <c r="W24" s="75"/>
      <c r="X24" s="75"/>
    </row>
    <row r="25">
      <c r="A25" s="17"/>
      <c r="B25" s="17" t="b">
        <f t="shared" si="11"/>
        <v>0</v>
      </c>
      <c r="C25" s="133" t="s">
        <v>68</v>
      </c>
      <c r="D25" s="150" t="b">
        <v>0</v>
      </c>
      <c r="E25" s="17"/>
      <c r="F25" s="133" t="str">
        <f>IFERROR(__xludf.DUMMYFUNCTION("""COMPUTED_VALUE"""),"Ben Simmons")</f>
        <v>Ben Simmons</v>
      </c>
      <c r="G25" s="133" t="str">
        <f>IFERROR(__xludf.DUMMYFUNCTION("""COMPUTED_VALUE"""),"2020-21")</f>
        <v>2020-21</v>
      </c>
      <c r="H25" s="133" t="str">
        <f>IFERROR(__xludf.DUMMYFUNCTION("""COMPUTED_VALUE"""),"PHI")</f>
        <v>PHI</v>
      </c>
      <c r="I25" s="145" t="str">
        <f>IFERROR(__xludf.DUMMYFUNCTION("""COMPUTED_VALUE"""),"Roll + Cut Big")</f>
        <v>Roll + Cut Big</v>
      </c>
      <c r="J25" s="145">
        <f>IFERROR(__xludf.DUMMYFUNCTION("""COMPUTED_VALUE"""),873.386666666667)</f>
        <v>873.3866667</v>
      </c>
      <c r="K25" s="133">
        <f>IFERROR(__xludf.DUMMYFUNCTION("""COMPUTED_VALUE"""),26.0)</f>
        <v>26</v>
      </c>
      <c r="L25" s="133" t="str">
        <f>IFERROR(__xludf.DUMMYFUNCTION("""COMPUTED_VALUE"""),"PG")</f>
        <v>PG</v>
      </c>
      <c r="M25" s="133">
        <f>IFERROR(__xludf.DUMMYFUNCTION("""COMPUTED_VALUE"""),24.0)</f>
        <v>24</v>
      </c>
      <c r="N25" s="134">
        <f>IFERROR(__xludf.DUMMYFUNCTION("""COMPUTED_VALUE"""),2.61694194783922)</f>
        <v>2.616941948</v>
      </c>
      <c r="O25" s="134">
        <f>IFERROR(__xludf.DUMMYFUNCTION("""COMPUTED_VALUE"""),1.26731113008055)</f>
        <v>1.26731113</v>
      </c>
      <c r="P25" s="134">
        <f>IFERROR(__xludf.DUMMYFUNCTION("""COMPUTED_VALUE"""),1.34963081775867)</f>
        <v>1.349630818</v>
      </c>
      <c r="Q25" s="146">
        <f>IFERROR(__xludf.DUMMYFUNCTION("""COMPUTED_VALUE"""),2.872906044978505)</f>
        <v>2.872906045</v>
      </c>
      <c r="R25" s="17"/>
      <c r="S25" s="17"/>
      <c r="T25" s="75"/>
      <c r="U25" s="75"/>
      <c r="V25" s="75"/>
      <c r="W25" s="75"/>
      <c r="X25" s="75"/>
    </row>
    <row r="26">
      <c r="A26" s="17"/>
      <c r="B26" s="17" t="b">
        <f t="shared" si="11"/>
        <v>0</v>
      </c>
      <c r="C26" s="133" t="s">
        <v>69</v>
      </c>
      <c r="D26" s="150" t="b">
        <v>0</v>
      </c>
      <c r="E26" s="17"/>
      <c r="F26" s="133" t="str">
        <f>IFERROR(__xludf.DUMMYFUNCTION("""COMPUTED_VALUE"""),"Malcolm Brogdon")</f>
        <v>Malcolm Brogdon</v>
      </c>
      <c r="G26" s="133" t="str">
        <f>IFERROR(__xludf.DUMMYFUNCTION("""COMPUTED_VALUE"""),"2020-21")</f>
        <v>2020-21</v>
      </c>
      <c r="H26" s="133" t="str">
        <f>IFERROR(__xludf.DUMMYFUNCTION("""COMPUTED_VALUE"""),"IND")</f>
        <v>IND</v>
      </c>
      <c r="I26" s="145" t="str">
        <f>IFERROR(__xludf.DUMMYFUNCTION("""COMPUTED_VALUE"""),"Primary Ball Handler")</f>
        <v>Primary Ball Handler</v>
      </c>
      <c r="J26" s="145">
        <f>IFERROR(__xludf.DUMMYFUNCTION("""COMPUTED_VALUE"""),1045.04)</f>
        <v>1045.04</v>
      </c>
      <c r="K26" s="133">
        <f>IFERROR(__xludf.DUMMYFUNCTION("""COMPUTED_VALUE"""),29.0)</f>
        <v>29</v>
      </c>
      <c r="L26" s="133" t="str">
        <f>IFERROR(__xludf.DUMMYFUNCTION("""COMPUTED_VALUE"""),"PG")</f>
        <v>PG</v>
      </c>
      <c r="M26" s="133">
        <f>IFERROR(__xludf.DUMMYFUNCTION("""COMPUTED_VALUE"""),28.0)</f>
        <v>28</v>
      </c>
      <c r="N26" s="134">
        <f>IFERROR(__xludf.DUMMYFUNCTION("""COMPUTED_VALUE"""),1.71395995928891)</f>
        <v>1.713959959</v>
      </c>
      <c r="O26" s="134">
        <f>IFERROR(__xludf.DUMMYFUNCTION("""COMPUTED_VALUE"""),1.88322304862278)</f>
        <v>1.883223049</v>
      </c>
      <c r="P26" s="134">
        <f>IFERROR(__xludf.DUMMYFUNCTION("""COMPUTED_VALUE"""),-0.16926308933387)</f>
        <v>-0.1692630893</v>
      </c>
      <c r="Q26" s="146">
        <f>IFERROR(__xludf.DUMMYFUNCTION("""COMPUTED_VALUE"""),2.813778853460981)</f>
        <v>2.813778853</v>
      </c>
      <c r="R26" s="17"/>
      <c r="S26" s="17"/>
      <c r="T26" s="75"/>
      <c r="U26" s="75"/>
      <c r="V26" s="75"/>
      <c r="W26" s="75"/>
      <c r="X26" s="75"/>
    </row>
    <row r="27">
      <c r="A27" s="17"/>
      <c r="B27" s="17" t="b">
        <f t="shared" si="11"/>
        <v>0</v>
      </c>
      <c r="C27" s="133" t="s">
        <v>70</v>
      </c>
      <c r="D27" s="150" t="b">
        <v>0</v>
      </c>
      <c r="E27" s="17"/>
      <c r="F27" s="133" t="str">
        <f>IFERROR(__xludf.DUMMYFUNCTION("""COMPUTED_VALUE"""),"Mike Conley")</f>
        <v>Mike Conley</v>
      </c>
      <c r="G27" s="133" t="str">
        <f>IFERROR(__xludf.DUMMYFUNCTION("""COMPUTED_VALUE"""),"2020-21")</f>
        <v>2020-21</v>
      </c>
      <c r="H27" s="133" t="str">
        <f>IFERROR(__xludf.DUMMYFUNCTION("""COMPUTED_VALUE"""),"UTA")</f>
        <v>UTA</v>
      </c>
      <c r="I27" s="145" t="str">
        <f>IFERROR(__xludf.DUMMYFUNCTION("""COMPUTED_VALUE"""),"Primary Ball Handler")</f>
        <v>Primary Ball Handler</v>
      </c>
      <c r="J27" s="145">
        <f>IFERROR(__xludf.DUMMYFUNCTION("""COMPUTED_VALUE"""),699.765)</f>
        <v>699.765</v>
      </c>
      <c r="K27" s="133">
        <f>IFERROR(__xludf.DUMMYFUNCTION("""COMPUTED_VALUE"""),24.0)</f>
        <v>24</v>
      </c>
      <c r="L27" s="133" t="str">
        <f>IFERROR(__xludf.DUMMYFUNCTION("""COMPUTED_VALUE"""),"PG")</f>
        <v>PG</v>
      </c>
      <c r="M27" s="133">
        <f>IFERROR(__xludf.DUMMYFUNCTION("""COMPUTED_VALUE"""),33.0)</f>
        <v>33</v>
      </c>
      <c r="N27" s="134">
        <f>IFERROR(__xludf.DUMMYFUNCTION("""COMPUTED_VALUE"""),3.58570384164369)</f>
        <v>3.585703842</v>
      </c>
      <c r="O27" s="134">
        <f>IFERROR(__xludf.DUMMYFUNCTION("""COMPUTED_VALUE"""),3.09982744689796)</f>
        <v>3.099827447</v>
      </c>
      <c r="P27" s="134">
        <f>IFERROR(__xludf.DUMMYFUNCTION("""COMPUTED_VALUE"""),0.485876394745732)</f>
        <v>0.4858763947</v>
      </c>
      <c r="Q27" s="146">
        <f>IFERROR(__xludf.DUMMYFUNCTION("""COMPUTED_VALUE"""),2.7408655427839643)</f>
        <v>2.740865543</v>
      </c>
      <c r="R27" s="17"/>
      <c r="S27" s="17"/>
      <c r="T27" s="75"/>
      <c r="U27" s="75"/>
      <c r="V27" s="75"/>
      <c r="W27" s="75"/>
      <c r="X27" s="75"/>
    </row>
    <row r="28">
      <c r="A28" s="17"/>
      <c r="B28" s="17" t="b">
        <f t="shared" si="11"/>
        <v>0</v>
      </c>
      <c r="C28" s="133" t="s">
        <v>71</v>
      </c>
      <c r="D28" s="150" t="b">
        <v>0</v>
      </c>
      <c r="E28" s="17"/>
      <c r="F28" s="133" t="str">
        <f>IFERROR(__xludf.DUMMYFUNCTION("""COMPUTED_VALUE"""),"Pascal Siakam")</f>
        <v>Pascal Siakam</v>
      </c>
      <c r="G28" s="133" t="str">
        <f>IFERROR(__xludf.DUMMYFUNCTION("""COMPUTED_VALUE"""),"2020-21")</f>
        <v>2020-21</v>
      </c>
      <c r="H28" s="133" t="str">
        <f>IFERROR(__xludf.DUMMYFUNCTION("""COMPUTED_VALUE"""),"TOR")</f>
        <v>TOR</v>
      </c>
      <c r="I28" s="145" t="str">
        <f>IFERROR(__xludf.DUMMYFUNCTION("""COMPUTED_VALUE"""),"Slasher")</f>
        <v>Slasher</v>
      </c>
      <c r="J28" s="145">
        <f>IFERROR(__xludf.DUMMYFUNCTION("""COMPUTED_VALUE"""),1008.93166666667)</f>
        <v>1008.931667</v>
      </c>
      <c r="K28" s="133">
        <f>IFERROR(__xludf.DUMMYFUNCTION("""COMPUTED_VALUE"""),28.0)</f>
        <v>28</v>
      </c>
      <c r="L28" s="133" t="str">
        <f>IFERROR(__xludf.DUMMYFUNCTION("""COMPUTED_VALUE"""),"PF")</f>
        <v>PF</v>
      </c>
      <c r="M28" s="133">
        <f>IFERROR(__xludf.DUMMYFUNCTION("""COMPUTED_VALUE"""),26.0)</f>
        <v>26</v>
      </c>
      <c r="N28" s="134">
        <f>IFERROR(__xludf.DUMMYFUNCTION("""COMPUTED_VALUE"""),1.7292415173049)</f>
        <v>1.729241517</v>
      </c>
      <c r="O28" s="134">
        <f>IFERROR(__xludf.DUMMYFUNCTION("""COMPUTED_VALUE"""),1.07395240392189)</f>
        <v>1.073952404</v>
      </c>
      <c r="P28" s="134">
        <f>IFERROR(__xludf.DUMMYFUNCTION("""COMPUTED_VALUE"""),0.655289113383008)</f>
        <v>0.6552891134</v>
      </c>
      <c r="Q28" s="146">
        <f>IFERROR(__xludf.DUMMYFUNCTION("""COMPUTED_VALUE"""),2.726824207074904)</f>
        <v>2.726824207</v>
      </c>
      <c r="R28" s="17"/>
      <c r="S28" s="17"/>
      <c r="T28" s="75"/>
      <c r="U28" s="75"/>
      <c r="V28" s="75"/>
      <c r="W28" s="75"/>
      <c r="X28" s="75"/>
    </row>
    <row r="29">
      <c r="A29" s="17"/>
      <c r="B29" s="17" t="b">
        <f t="shared" si="11"/>
        <v>1</v>
      </c>
      <c r="C29" s="136" t="s">
        <v>13</v>
      </c>
      <c r="D29" s="150" t="b">
        <v>1</v>
      </c>
      <c r="E29" s="17"/>
      <c r="F29" s="133" t="str">
        <f>IFERROR(__xludf.DUMMYFUNCTION("""COMPUTED_VALUE"""),"Paul George")</f>
        <v>Paul George</v>
      </c>
      <c r="G29" s="133" t="str">
        <f>IFERROR(__xludf.DUMMYFUNCTION("""COMPUTED_VALUE"""),"2020-21")</f>
        <v>2020-21</v>
      </c>
      <c r="H29" s="133" t="str">
        <f>IFERROR(__xludf.DUMMYFUNCTION("""COMPUTED_VALUE"""),"LAC")</f>
        <v>LAC</v>
      </c>
      <c r="I29" s="145" t="str">
        <f>IFERROR(__xludf.DUMMYFUNCTION("""COMPUTED_VALUE"""),"Shot Creator")</f>
        <v>Shot Creator</v>
      </c>
      <c r="J29" s="145">
        <f>IFERROR(__xludf.DUMMYFUNCTION("""COMPUTED_VALUE"""),739.021666666667)</f>
        <v>739.0216667</v>
      </c>
      <c r="K29" s="133">
        <f>IFERROR(__xludf.DUMMYFUNCTION("""COMPUTED_VALUE"""),22.0)</f>
        <v>22</v>
      </c>
      <c r="L29" s="133" t="str">
        <f>IFERROR(__xludf.DUMMYFUNCTION("""COMPUTED_VALUE"""),"SF")</f>
        <v>SF</v>
      </c>
      <c r="M29" s="133">
        <f>IFERROR(__xludf.DUMMYFUNCTION("""COMPUTED_VALUE"""),30.0)</f>
        <v>30</v>
      </c>
      <c r="N29" s="134">
        <f>IFERROR(__xludf.DUMMYFUNCTION("""COMPUTED_VALUE"""),3.12300576637288)</f>
        <v>3.123005766</v>
      </c>
      <c r="O29" s="134">
        <f>IFERROR(__xludf.DUMMYFUNCTION("""COMPUTED_VALUE"""),3.07979450916029)</f>
        <v>3.079794509</v>
      </c>
      <c r="P29" s="134">
        <f>IFERROR(__xludf.DUMMYFUNCTION("""COMPUTED_VALUE"""),0.0432112572125876)</f>
        <v>0.04321125721</v>
      </c>
      <c r="Q29" s="146">
        <f>IFERROR(__xludf.DUMMYFUNCTION("""COMPUTED_VALUE"""),2.6745884050797533)</f>
        <v>2.674588405</v>
      </c>
      <c r="R29" s="17"/>
      <c r="S29" s="17"/>
      <c r="T29" s="75"/>
      <c r="U29" s="75"/>
      <c r="V29" s="75"/>
      <c r="W29" s="75"/>
      <c r="X29" s="75"/>
    </row>
    <row r="30">
      <c r="A30" s="17"/>
      <c r="B30" s="17"/>
      <c r="C30" s="136"/>
      <c r="D30" s="133"/>
      <c r="E30" s="17"/>
      <c r="F30" s="133" t="str">
        <f>IFERROR(__xludf.DUMMYFUNCTION("""COMPUTED_VALUE"""),"Jamal Murray")</f>
        <v>Jamal Murray</v>
      </c>
      <c r="G30" s="133" t="str">
        <f>IFERROR(__xludf.DUMMYFUNCTION("""COMPUTED_VALUE"""),"2020-21")</f>
        <v>2020-21</v>
      </c>
      <c r="H30" s="133" t="str">
        <f>IFERROR(__xludf.DUMMYFUNCTION("""COMPUTED_VALUE"""),"DEN")</f>
        <v>DEN</v>
      </c>
      <c r="I30" s="145" t="str">
        <f>IFERROR(__xludf.DUMMYFUNCTION("""COMPUTED_VALUE"""),"Primary Ball Handler")</f>
        <v>Primary Ball Handler</v>
      </c>
      <c r="J30" s="145">
        <f>IFERROR(__xludf.DUMMYFUNCTION("""COMPUTED_VALUE"""),981.143333333333)</f>
        <v>981.1433333</v>
      </c>
      <c r="K30" s="133">
        <f>IFERROR(__xludf.DUMMYFUNCTION("""COMPUTED_VALUE"""),28.0)</f>
        <v>28</v>
      </c>
      <c r="L30" s="133" t="str">
        <f>IFERROR(__xludf.DUMMYFUNCTION("""COMPUTED_VALUE"""),"PG")</f>
        <v>PG</v>
      </c>
      <c r="M30" s="133">
        <f>IFERROR(__xludf.DUMMYFUNCTION("""COMPUTED_VALUE"""),23.0)</f>
        <v>23</v>
      </c>
      <c r="N30" s="134">
        <f>IFERROR(__xludf.DUMMYFUNCTION("""COMPUTED_VALUE"""),1.74992848866013)</f>
        <v>1.749928489</v>
      </c>
      <c r="O30" s="134">
        <f>IFERROR(__xludf.DUMMYFUNCTION("""COMPUTED_VALUE"""),2.30802222235815)</f>
        <v>2.308022222</v>
      </c>
      <c r="P30" s="134">
        <f>IFERROR(__xludf.DUMMYFUNCTION("""COMPUTED_VALUE"""),-0.558093733698022)</f>
        <v>-0.5580937337</v>
      </c>
      <c r="Q30" s="146">
        <f>IFERROR(__xludf.DUMMYFUNCTION("""COMPUTED_VALUE"""),2.665233913931639)</f>
        <v>2.665233914</v>
      </c>
      <c r="R30" s="17"/>
      <c r="S30" s="17"/>
      <c r="T30" s="75"/>
      <c r="U30" s="75"/>
      <c r="V30" s="75"/>
      <c r="W30" s="75"/>
      <c r="X30" s="75"/>
    </row>
    <row r="31">
      <c r="A31" s="17"/>
      <c r="B31" s="17"/>
      <c r="C31" s="135" t="s">
        <v>218</v>
      </c>
      <c r="E31" s="17"/>
      <c r="F31" s="133" t="str">
        <f>IFERROR(__xludf.DUMMYFUNCTION("""COMPUTED_VALUE"""),"Kevin Durant")</f>
        <v>Kevin Durant</v>
      </c>
      <c r="G31" s="133" t="str">
        <f>IFERROR(__xludf.DUMMYFUNCTION("""COMPUTED_VALUE"""),"2020-21")</f>
        <v>2020-21</v>
      </c>
      <c r="H31" s="133" t="str">
        <f>IFERROR(__xludf.DUMMYFUNCTION("""COMPUTED_VALUE"""),"BRK")</f>
        <v>BRK</v>
      </c>
      <c r="I31" s="145" t="str">
        <f>IFERROR(__xludf.DUMMYFUNCTION("""COMPUTED_VALUE"""),"Shot Creator")</f>
        <v>Shot Creator</v>
      </c>
      <c r="J31" s="145">
        <f>IFERROR(__xludf.DUMMYFUNCTION("""COMPUTED_VALUE"""),679.508333333333)</f>
        <v>679.5083333</v>
      </c>
      <c r="K31" s="133">
        <f>IFERROR(__xludf.DUMMYFUNCTION("""COMPUTED_VALUE"""),19.0)</f>
        <v>19</v>
      </c>
      <c r="L31" s="133" t="str">
        <f>IFERROR(__xludf.DUMMYFUNCTION("""COMPUTED_VALUE"""),"PF")</f>
        <v>PF</v>
      </c>
      <c r="M31" s="133">
        <f>IFERROR(__xludf.DUMMYFUNCTION("""COMPUTED_VALUE"""),32.0)</f>
        <v>32</v>
      </c>
      <c r="N31" s="134">
        <f>IFERROR(__xludf.DUMMYFUNCTION("""COMPUTED_VALUE"""),3.57959286226338)</f>
        <v>3.579592862</v>
      </c>
      <c r="O31" s="134">
        <f>IFERROR(__xludf.DUMMYFUNCTION("""COMPUTED_VALUE"""),4.16560393576605)</f>
        <v>4.165603936</v>
      </c>
      <c r="P31" s="134">
        <f>IFERROR(__xludf.DUMMYFUNCTION("""COMPUTED_VALUE"""),-0.586011073502672)</f>
        <v>-0.5860110735</v>
      </c>
      <c r="Q31" s="146">
        <f>IFERROR(__xludf.DUMMYFUNCTION("""COMPUTED_VALUE"""),2.6588685140748853)</f>
        <v>2.658868514</v>
      </c>
      <c r="R31" s="17"/>
      <c r="S31" s="17"/>
      <c r="T31" s="75"/>
      <c r="U31" s="75"/>
      <c r="V31" s="75"/>
      <c r="W31" s="75"/>
      <c r="X31" s="75"/>
    </row>
    <row r="32">
      <c r="A32" s="17"/>
      <c r="B32" s="17"/>
      <c r="C32" s="154">
        <v>500.0</v>
      </c>
      <c r="E32" s="17"/>
      <c r="F32" s="133" t="str">
        <f>IFERROR(__xludf.DUMMYFUNCTION("""COMPUTED_VALUE"""),"Kyrie Irving")</f>
        <v>Kyrie Irving</v>
      </c>
      <c r="G32" s="133" t="str">
        <f>IFERROR(__xludf.DUMMYFUNCTION("""COMPUTED_VALUE"""),"2020-21")</f>
        <v>2020-21</v>
      </c>
      <c r="H32" s="133" t="str">
        <f>IFERROR(__xludf.DUMMYFUNCTION("""COMPUTED_VALUE"""),"BRK")</f>
        <v>BRK</v>
      </c>
      <c r="I32" s="145" t="str">
        <f>IFERROR(__xludf.DUMMYFUNCTION("""COMPUTED_VALUE"""),"Shot Creator")</f>
        <v>Shot Creator</v>
      </c>
      <c r="J32" s="145">
        <f>IFERROR(__xludf.DUMMYFUNCTION("""COMPUTED_VALUE"""),780.09)</f>
        <v>780.09</v>
      </c>
      <c r="K32" s="133">
        <f>IFERROR(__xludf.DUMMYFUNCTION("""COMPUTED_VALUE"""),22.0)</f>
        <v>22</v>
      </c>
      <c r="L32" s="133" t="str">
        <f>IFERROR(__xludf.DUMMYFUNCTION("""COMPUTED_VALUE"""),"PG")</f>
        <v>PG</v>
      </c>
      <c r="M32" s="133">
        <f>IFERROR(__xludf.DUMMYFUNCTION("""COMPUTED_VALUE"""),28.0)</f>
        <v>28</v>
      </c>
      <c r="N32" s="134">
        <f>IFERROR(__xludf.DUMMYFUNCTION("""COMPUTED_VALUE"""),2.71699398264939)</f>
        <v>2.716993983</v>
      </c>
      <c r="O32" s="134">
        <f>IFERROR(__xludf.DUMMYFUNCTION("""COMPUTED_VALUE"""),4.22253766584973)</f>
        <v>4.222537666</v>
      </c>
      <c r="P32" s="134">
        <f>IFERROR(__xludf.DUMMYFUNCTION("""COMPUTED_VALUE"""),-1.50554368320034)</f>
        <v>-1.505543683</v>
      </c>
      <c r="Q32" s="146">
        <f>IFERROR(__xludf.DUMMYFUNCTION("""COMPUTED_VALUE"""),2.6171077984393327)</f>
        <v>2.617107798</v>
      </c>
      <c r="R32" s="17"/>
      <c r="S32" s="17"/>
      <c r="T32" s="75"/>
      <c r="U32" s="75"/>
      <c r="V32" s="75"/>
      <c r="W32" s="75"/>
      <c r="X32" s="75"/>
    </row>
    <row r="33">
      <c r="A33" s="17"/>
      <c r="B33" s="17"/>
      <c r="C33" s="17"/>
      <c r="D33" s="133"/>
      <c r="E33" s="17"/>
      <c r="F33" s="133" t="str">
        <f>IFERROR(__xludf.DUMMYFUNCTION("""COMPUTED_VALUE"""),"Jrue Holiday")</f>
        <v>Jrue Holiday</v>
      </c>
      <c r="G33" s="133" t="str">
        <f>IFERROR(__xludf.DUMMYFUNCTION("""COMPUTED_VALUE"""),"2020-21")</f>
        <v>2020-21</v>
      </c>
      <c r="H33" s="133" t="str">
        <f>IFERROR(__xludf.DUMMYFUNCTION("""COMPUTED_VALUE"""),"MIL")</f>
        <v>MIL</v>
      </c>
      <c r="I33" s="145" t="str">
        <f>IFERROR(__xludf.DUMMYFUNCTION("""COMPUTED_VALUE"""),"Primary Ball Handler")</f>
        <v>Primary Ball Handler</v>
      </c>
      <c r="J33" s="145">
        <f>IFERROR(__xludf.DUMMYFUNCTION("""COMPUTED_VALUE"""),746.516666666667)</f>
        <v>746.5166667</v>
      </c>
      <c r="K33" s="133">
        <f>IFERROR(__xludf.DUMMYFUNCTION("""COMPUTED_VALUE"""),23.0)</f>
        <v>23</v>
      </c>
      <c r="L33" s="133" t="str">
        <f>IFERROR(__xludf.DUMMYFUNCTION("""COMPUTED_VALUE"""),"PG")</f>
        <v>PG</v>
      </c>
      <c r="M33" s="133">
        <f>IFERROR(__xludf.DUMMYFUNCTION("""COMPUTED_VALUE"""),30.0)</f>
        <v>30</v>
      </c>
      <c r="N33" s="134">
        <f>IFERROR(__xludf.DUMMYFUNCTION("""COMPUTED_VALUE"""),2.92684653708663)</f>
        <v>2.926846537</v>
      </c>
      <c r="O33" s="134">
        <f>IFERROR(__xludf.DUMMYFUNCTION("""COMPUTED_VALUE"""),2.22729154036537)</f>
        <v>2.22729154</v>
      </c>
      <c r="P33" s="134">
        <f>IFERROR(__xludf.DUMMYFUNCTION("""COMPUTED_VALUE"""),0.699554996721259)</f>
        <v>0.6995549967</v>
      </c>
      <c r="Q33" s="146">
        <f>IFERROR(__xludf.DUMMYFUNCTION("""COMPUTED_VALUE"""),2.60666021621131)</f>
        <v>2.606660216</v>
      </c>
      <c r="R33" s="17"/>
      <c r="S33" s="17"/>
      <c r="T33" s="75"/>
      <c r="U33" s="75"/>
      <c r="V33" s="75"/>
      <c r="W33" s="75"/>
      <c r="X33" s="75"/>
    </row>
    <row r="34">
      <c r="A34" s="17"/>
      <c r="B34" s="17"/>
      <c r="C34" s="135" t="s">
        <v>219</v>
      </c>
      <c r="E34" s="17"/>
      <c r="F34" s="133" t="str">
        <f>IFERROR(__xludf.DUMMYFUNCTION("""COMPUTED_VALUE"""),"Brandon Ingram")</f>
        <v>Brandon Ingram</v>
      </c>
      <c r="G34" s="133" t="str">
        <f>IFERROR(__xludf.DUMMYFUNCTION("""COMPUTED_VALUE"""),"2020-21")</f>
        <v>2020-21</v>
      </c>
      <c r="H34" s="133" t="str">
        <f>IFERROR(__xludf.DUMMYFUNCTION("""COMPUTED_VALUE"""),"NOP")</f>
        <v>NOP</v>
      </c>
      <c r="I34" s="145" t="str">
        <f>IFERROR(__xludf.DUMMYFUNCTION("""COMPUTED_VALUE"""),"Shot Creator")</f>
        <v>Shot Creator</v>
      </c>
      <c r="J34" s="145">
        <f>IFERROR(__xludf.DUMMYFUNCTION("""COMPUTED_VALUE"""),1049.29333333333)</f>
        <v>1049.293333</v>
      </c>
      <c r="K34" s="133">
        <f>IFERROR(__xludf.DUMMYFUNCTION("""COMPUTED_VALUE"""),30.0)</f>
        <v>30</v>
      </c>
      <c r="L34" s="133" t="str">
        <f>IFERROR(__xludf.DUMMYFUNCTION("""COMPUTED_VALUE"""),"SF")</f>
        <v>SF</v>
      </c>
      <c r="M34" s="133">
        <f>IFERROR(__xludf.DUMMYFUNCTION("""COMPUTED_VALUE"""),23.0)</f>
        <v>23</v>
      </c>
      <c r="N34" s="134">
        <f>IFERROR(__xludf.DUMMYFUNCTION("""COMPUTED_VALUE"""),1.36541950061141)</f>
        <v>1.365419501</v>
      </c>
      <c r="O34" s="134">
        <f>IFERROR(__xludf.DUMMYFUNCTION("""COMPUTED_VALUE"""),2.48557222417071)</f>
        <v>2.485572224</v>
      </c>
      <c r="P34" s="134">
        <f>IFERROR(__xludf.DUMMYFUNCTION("""COMPUTED_VALUE"""),-1.1201527235593)</f>
        <v>-1.120152724</v>
      </c>
      <c r="Q34" s="146">
        <f>IFERROR(__xludf.DUMMYFUNCTION("""COMPUTED_VALUE"""),2.581095579787013)</f>
        <v>2.58109558</v>
      </c>
      <c r="R34" s="17"/>
      <c r="S34" s="17"/>
      <c r="T34" s="75"/>
      <c r="U34" s="75"/>
      <c r="V34" s="75"/>
      <c r="W34" s="75"/>
      <c r="X34" s="75"/>
    </row>
    <row r="35">
      <c r="A35" s="17"/>
      <c r="B35" s="17"/>
      <c r="C35" s="136" t="s">
        <v>210</v>
      </c>
      <c r="D35" s="150" t="b">
        <v>1</v>
      </c>
      <c r="E35" s="17"/>
      <c r="F35" s="133" t="str">
        <f>IFERROR(__xludf.DUMMYFUNCTION("""COMPUTED_VALUE"""),"Dejounte Murray")</f>
        <v>Dejounte Murray</v>
      </c>
      <c r="G35" s="133" t="str">
        <f>IFERROR(__xludf.DUMMYFUNCTION("""COMPUTED_VALUE"""),"2020-21")</f>
        <v>2020-21</v>
      </c>
      <c r="H35" s="133" t="str">
        <f>IFERROR(__xludf.DUMMYFUNCTION("""COMPUTED_VALUE"""),"SAS")</f>
        <v>SAS</v>
      </c>
      <c r="I35" s="145" t="str">
        <f>IFERROR(__xludf.DUMMYFUNCTION("""COMPUTED_VALUE"""),"Slasher")</f>
        <v>Slasher</v>
      </c>
      <c r="J35" s="145">
        <f>IFERROR(__xludf.DUMMYFUNCTION("""COMPUTED_VALUE"""),821.036666666667)</f>
        <v>821.0366667</v>
      </c>
      <c r="K35" s="133">
        <f>IFERROR(__xludf.DUMMYFUNCTION("""COMPUTED_VALUE"""),27.0)</f>
        <v>27</v>
      </c>
      <c r="L35" s="133" t="str">
        <f>IFERROR(__xludf.DUMMYFUNCTION("""COMPUTED_VALUE"""),"PG")</f>
        <v>PG</v>
      </c>
      <c r="M35" s="133">
        <f>IFERROR(__xludf.DUMMYFUNCTION("""COMPUTED_VALUE"""),24.0)</f>
        <v>24</v>
      </c>
      <c r="N35" s="134">
        <f>IFERROR(__xludf.DUMMYFUNCTION("""COMPUTED_VALUE"""),2.35856510955178)</f>
        <v>2.35856511</v>
      </c>
      <c r="O35" s="134">
        <f>IFERROR(__xludf.DUMMYFUNCTION("""COMPUTED_VALUE"""),0.704662893474262)</f>
        <v>0.7046628935</v>
      </c>
      <c r="P35" s="134">
        <f>IFERROR(__xludf.DUMMYFUNCTION("""COMPUTED_VALUE"""),1.65390221607752)</f>
        <v>1.653902216</v>
      </c>
      <c r="Q35" s="146">
        <f>IFERROR(__xludf.DUMMYFUNCTION("""COMPUTED_VALUE"""),2.561315656776687)</f>
        <v>2.561315657</v>
      </c>
      <c r="R35" s="17"/>
      <c r="S35" s="17"/>
      <c r="T35" s="75"/>
      <c r="U35" s="75"/>
      <c r="V35" s="75"/>
      <c r="W35" s="75"/>
      <c r="X35" s="75"/>
    </row>
    <row r="36">
      <c r="A36" s="17"/>
      <c r="B36" s="17"/>
      <c r="C36" s="136" t="s">
        <v>220</v>
      </c>
      <c r="D36" s="136" t="s">
        <v>221</v>
      </c>
      <c r="E36" s="17"/>
      <c r="F36" s="133" t="str">
        <f>IFERROR(__xludf.DUMMYFUNCTION("""COMPUTED_VALUE"""),"Bam Adebayo")</f>
        <v>Bam Adebayo</v>
      </c>
      <c r="G36" s="133" t="str">
        <f>IFERROR(__xludf.DUMMYFUNCTION("""COMPUTED_VALUE"""),"2020-21")</f>
        <v>2020-21</v>
      </c>
      <c r="H36" s="133" t="str">
        <f>IFERROR(__xludf.DUMMYFUNCTION("""COMPUTED_VALUE"""),"MIA")</f>
        <v>MIA</v>
      </c>
      <c r="I36" s="145" t="str">
        <f>IFERROR(__xludf.DUMMYFUNCTION("""COMPUTED_VALUE"""),"Roll + Cut Big")</f>
        <v>Roll + Cut Big</v>
      </c>
      <c r="J36" s="145">
        <f>IFERROR(__xludf.DUMMYFUNCTION("""COMPUTED_VALUE"""),944.898333333334)</f>
        <v>944.8983333</v>
      </c>
      <c r="K36" s="133">
        <f>IFERROR(__xludf.DUMMYFUNCTION("""COMPUTED_VALUE"""),28.0)</f>
        <v>28</v>
      </c>
      <c r="L36" s="133" t="str">
        <f>IFERROR(__xludf.DUMMYFUNCTION("""COMPUTED_VALUE"""),"C")</f>
        <v>C</v>
      </c>
      <c r="M36" s="133">
        <f>IFERROR(__xludf.DUMMYFUNCTION("""COMPUTED_VALUE"""),23.0)</f>
        <v>23</v>
      </c>
      <c r="N36" s="134">
        <f>IFERROR(__xludf.DUMMYFUNCTION("""COMPUTED_VALUE"""),1.69237679638564)</f>
        <v>1.692376796</v>
      </c>
      <c r="O36" s="134">
        <f>IFERROR(__xludf.DUMMYFUNCTION("""COMPUTED_VALUE"""),0.319883481875042)</f>
        <v>0.3198834819</v>
      </c>
      <c r="P36" s="134">
        <f>IFERROR(__xludf.DUMMYFUNCTION("""COMPUTED_VALUE"""),1.3724933145106)</f>
        <v>1.372493315</v>
      </c>
      <c r="Q36" s="146">
        <f>IFERROR(__xludf.DUMMYFUNCTION("""COMPUTED_VALUE"""),2.530562123112352)</f>
        <v>2.530562123</v>
      </c>
      <c r="R36" s="17"/>
      <c r="S36" s="17"/>
      <c r="T36" s="75"/>
      <c r="U36" s="75"/>
      <c r="V36" s="75"/>
      <c r="W36" s="75"/>
      <c r="X36" s="75"/>
    </row>
    <row r="37">
      <c r="A37" s="17"/>
      <c r="B37" s="17"/>
      <c r="C37" s="150">
        <v>20.0</v>
      </c>
      <c r="D37" s="154">
        <v>25.0</v>
      </c>
      <c r="E37" s="17"/>
      <c r="F37" s="133" t="str">
        <f>IFERROR(__xludf.DUMMYFUNCTION("""COMPUTED_VALUE"""),"DeMar DeRozan")</f>
        <v>DeMar DeRozan</v>
      </c>
      <c r="G37" s="133" t="str">
        <f>IFERROR(__xludf.DUMMYFUNCTION("""COMPUTED_VALUE"""),"2020-21")</f>
        <v>2020-21</v>
      </c>
      <c r="H37" s="133" t="str">
        <f>IFERROR(__xludf.DUMMYFUNCTION("""COMPUTED_VALUE"""),"SAS")</f>
        <v>SAS</v>
      </c>
      <c r="I37" s="145" t="str">
        <f>IFERROR(__xludf.DUMMYFUNCTION("""COMPUTED_VALUE"""),"Shot Creator")</f>
        <v>Shot Creator</v>
      </c>
      <c r="J37" s="145">
        <f>IFERROR(__xludf.DUMMYFUNCTION("""COMPUTED_VALUE"""),834.743333333333)</f>
        <v>834.7433333</v>
      </c>
      <c r="K37" s="133">
        <f>IFERROR(__xludf.DUMMYFUNCTION("""COMPUTED_VALUE"""),25.0)</f>
        <v>25</v>
      </c>
      <c r="L37" s="133" t="str">
        <f>IFERROR(__xludf.DUMMYFUNCTION("""COMPUTED_VALUE"""),"PF")</f>
        <v>PF</v>
      </c>
      <c r="M37" s="133">
        <f>IFERROR(__xludf.DUMMYFUNCTION("""COMPUTED_VALUE"""),31.0)</f>
        <v>31</v>
      </c>
      <c r="N37" s="134">
        <f>IFERROR(__xludf.DUMMYFUNCTION("""COMPUTED_VALUE"""),2.08706212298078)</f>
        <v>2.087062123</v>
      </c>
      <c r="O37" s="134">
        <f>IFERROR(__xludf.DUMMYFUNCTION("""COMPUTED_VALUE"""),2.50881621414672)</f>
        <v>2.508816214</v>
      </c>
      <c r="P37" s="134">
        <f>IFERROR(__xludf.DUMMYFUNCTION("""COMPUTED_VALUE"""),-0.421754091165939)</f>
        <v>-0.4217540912</v>
      </c>
      <c r="Q37" s="146">
        <f>IFERROR(__xludf.DUMMYFUNCTION("""COMPUTED_VALUE"""),2.454387196647161)</f>
        <v>2.454387197</v>
      </c>
      <c r="R37" s="17"/>
      <c r="S37" s="17"/>
      <c r="T37" s="75"/>
      <c r="U37" s="75"/>
      <c r="V37" s="75"/>
      <c r="W37" s="75"/>
      <c r="X37" s="75"/>
    </row>
    <row r="38">
      <c r="A38" s="17"/>
      <c r="B38" s="17"/>
      <c r="C38" s="17"/>
      <c r="D38" s="17"/>
      <c r="E38" s="17"/>
      <c r="F38" s="133" t="str">
        <f>IFERROR(__xludf.DUMMYFUNCTION("""COMPUTED_VALUE"""),"Tobias Harris")</f>
        <v>Tobias Harris</v>
      </c>
      <c r="G38" s="133" t="str">
        <f>IFERROR(__xludf.DUMMYFUNCTION("""COMPUTED_VALUE"""),"2020-21")</f>
        <v>2020-21</v>
      </c>
      <c r="H38" s="133" t="str">
        <f>IFERROR(__xludf.DUMMYFUNCTION("""COMPUTED_VALUE"""),"PHI")</f>
        <v>PHI</v>
      </c>
      <c r="I38" s="145" t="str">
        <f>IFERROR(__xludf.DUMMYFUNCTION("""COMPUTED_VALUE"""),"Shot Creator")</f>
        <v>Shot Creator</v>
      </c>
      <c r="J38" s="145">
        <f>IFERROR(__xludf.DUMMYFUNCTION("""COMPUTED_VALUE"""),969.783333333333)</f>
        <v>969.7833333</v>
      </c>
      <c r="K38" s="133">
        <f>IFERROR(__xludf.DUMMYFUNCTION("""COMPUTED_VALUE"""),28.0)</f>
        <v>28</v>
      </c>
      <c r="L38" s="133" t="str">
        <f>IFERROR(__xludf.DUMMYFUNCTION("""COMPUTED_VALUE"""),"PF")</f>
        <v>PF</v>
      </c>
      <c r="M38" s="133">
        <f>IFERROR(__xludf.DUMMYFUNCTION("""COMPUTED_VALUE"""),28.0)</f>
        <v>28</v>
      </c>
      <c r="N38" s="134">
        <f>IFERROR(__xludf.DUMMYFUNCTION("""COMPUTED_VALUE"""),1.41436659766945)</f>
        <v>1.414366598</v>
      </c>
      <c r="O38" s="134">
        <f>IFERROR(__xludf.DUMMYFUNCTION("""COMPUTED_VALUE"""),0.582395646090791)</f>
        <v>0.5823956461</v>
      </c>
      <c r="P38" s="134">
        <f>IFERROR(__xludf.DUMMYFUNCTION("""COMPUTED_VALUE"""),0.831970951578655)</f>
        <v>0.8319709516</v>
      </c>
      <c r="Q38" s="146">
        <f>IFERROR(__xludf.DUMMYFUNCTION("""COMPUTED_VALUE"""),2.417259755246726)</f>
        <v>2.417259755</v>
      </c>
      <c r="R38" s="17"/>
      <c r="S38" s="17"/>
      <c r="T38" s="75"/>
      <c r="U38" s="75"/>
      <c r="V38" s="75"/>
      <c r="W38" s="75"/>
      <c r="X38" s="75"/>
    </row>
    <row r="39">
      <c r="A39" s="17"/>
      <c r="B39" s="17"/>
      <c r="C39" s="135" t="s">
        <v>222</v>
      </c>
      <c r="E39" s="17"/>
      <c r="F39" s="133" t="str">
        <f>IFERROR(__xludf.DUMMYFUNCTION("""COMPUTED_VALUE"""),"Clint Capela")</f>
        <v>Clint Capela</v>
      </c>
      <c r="G39" s="133" t="str">
        <f>IFERROR(__xludf.DUMMYFUNCTION("""COMPUTED_VALUE"""),"2020-21")</f>
        <v>2020-21</v>
      </c>
      <c r="H39" s="133" t="str">
        <f>IFERROR(__xludf.DUMMYFUNCTION("""COMPUTED_VALUE"""),"ATL")</f>
        <v>ATL</v>
      </c>
      <c r="I39" s="145" t="str">
        <f>IFERROR(__xludf.DUMMYFUNCTION("""COMPUTED_VALUE"""),"Roll + Cut Big")</f>
        <v>Roll + Cut Big</v>
      </c>
      <c r="J39" s="145">
        <f>IFERROR(__xludf.DUMMYFUNCTION("""COMPUTED_VALUE"""),794.381666666667)</f>
        <v>794.3816667</v>
      </c>
      <c r="K39" s="133">
        <f>IFERROR(__xludf.DUMMYFUNCTION("""COMPUTED_VALUE"""),27.0)</f>
        <v>27</v>
      </c>
      <c r="L39" s="133" t="str">
        <f>IFERROR(__xludf.DUMMYFUNCTION("""COMPUTED_VALUE"""),"C")</f>
        <v>C</v>
      </c>
      <c r="M39" s="133">
        <f>IFERROR(__xludf.DUMMYFUNCTION("""COMPUTED_VALUE"""),26.0)</f>
        <v>26</v>
      </c>
      <c r="N39" s="134">
        <f>IFERROR(__xludf.DUMMYFUNCTION("""COMPUTED_VALUE"""),2.1781894564032)</f>
        <v>2.178189456</v>
      </c>
      <c r="O39" s="134">
        <f>IFERROR(__xludf.DUMMYFUNCTION("""COMPUTED_VALUE"""),-0.471715646368577)</f>
        <v>-0.4717156464</v>
      </c>
      <c r="P39" s="134">
        <f>IFERROR(__xludf.DUMMYFUNCTION("""COMPUTED_VALUE"""),2.64990510277177)</f>
        <v>2.649905103</v>
      </c>
      <c r="Q39" s="146">
        <f>IFERROR(__xludf.DUMMYFUNCTION("""COMPUTED_VALUE"""),2.383603075468137)</f>
        <v>2.383603075</v>
      </c>
      <c r="R39" s="17"/>
      <c r="S39" s="17"/>
      <c r="T39" s="75"/>
      <c r="U39" s="75"/>
      <c r="V39" s="75"/>
      <c r="W39" s="75"/>
      <c r="X39" s="75"/>
    </row>
    <row r="40">
      <c r="A40" s="17"/>
      <c r="B40" s="17"/>
      <c r="C40" s="136" t="s">
        <v>210</v>
      </c>
      <c r="D40" s="150" t="b">
        <v>1</v>
      </c>
      <c r="E40" s="17"/>
      <c r="F40" s="133" t="str">
        <f>IFERROR(__xludf.DUMMYFUNCTION("""COMPUTED_VALUE"""),"Mikal Bridges")</f>
        <v>Mikal Bridges</v>
      </c>
      <c r="G40" s="133" t="str">
        <f>IFERROR(__xludf.DUMMYFUNCTION("""COMPUTED_VALUE"""),"2020-21")</f>
        <v>2020-21</v>
      </c>
      <c r="H40" s="133" t="str">
        <f>IFERROR(__xludf.DUMMYFUNCTION("""COMPUTED_VALUE"""),"PHO")</f>
        <v>PHO</v>
      </c>
      <c r="I40" s="145" t="str">
        <f>IFERROR(__xludf.DUMMYFUNCTION("""COMPUTED_VALUE"""),"Movement Shooter")</f>
        <v>Movement Shooter</v>
      </c>
      <c r="J40" s="145">
        <f>IFERROR(__xludf.DUMMYFUNCTION("""COMPUTED_VALUE"""),951.425)</f>
        <v>951.425</v>
      </c>
      <c r="K40" s="133">
        <f>IFERROR(__xludf.DUMMYFUNCTION("""COMPUTED_VALUE"""),29.0)</f>
        <v>29</v>
      </c>
      <c r="L40" s="133" t="str">
        <f>IFERROR(__xludf.DUMMYFUNCTION("""COMPUTED_VALUE"""),"SF")</f>
        <v>SF</v>
      </c>
      <c r="M40" s="133">
        <f>IFERROR(__xludf.DUMMYFUNCTION("""COMPUTED_VALUE"""),24.0)</f>
        <v>24</v>
      </c>
      <c r="N40" s="134">
        <f>IFERROR(__xludf.DUMMYFUNCTION("""COMPUTED_VALUE"""),1.42121021788746)</f>
        <v>1.421210218</v>
      </c>
      <c r="O40" s="134">
        <f>IFERROR(__xludf.DUMMYFUNCTION("""COMPUTED_VALUE"""),0.933009706874527)</f>
        <v>0.9330097069</v>
      </c>
      <c r="P40" s="134">
        <f>IFERROR(__xludf.DUMMYFUNCTION("""COMPUTED_VALUE"""),0.48820051101293)</f>
        <v>0.488200511</v>
      </c>
      <c r="Q40" s="146">
        <f>IFERROR(__xludf.DUMMYFUNCTION("""COMPUTED_VALUE"""),2.375853401892824)</f>
        <v>2.375853402</v>
      </c>
      <c r="R40" s="17"/>
      <c r="S40" s="17"/>
      <c r="T40" s="75"/>
      <c r="U40" s="75"/>
      <c r="V40" s="75"/>
      <c r="W40" s="75"/>
      <c r="X40" s="75"/>
    </row>
    <row r="41">
      <c r="A41" s="17"/>
      <c r="B41" s="17" t="b">
        <f t="shared" ref="B41:B71" si="12">if(D$40=TRUE,TRUE,D41)</f>
        <v>1</v>
      </c>
      <c r="C41" s="136" t="s">
        <v>42</v>
      </c>
      <c r="D41" s="150" t="b">
        <v>0</v>
      </c>
      <c r="E41" s="17"/>
      <c r="F41" s="133" t="str">
        <f>IFERROR(__xludf.DUMMYFUNCTION("""COMPUTED_VALUE"""),"Jimmy Butler")</f>
        <v>Jimmy Butler</v>
      </c>
      <c r="G41" s="133" t="str">
        <f>IFERROR(__xludf.DUMMYFUNCTION("""COMPUTED_VALUE"""),"2020-21")</f>
        <v>2020-21</v>
      </c>
      <c r="H41" s="133" t="str">
        <f>IFERROR(__xludf.DUMMYFUNCTION("""COMPUTED_VALUE"""),"MIA")</f>
        <v>MIA</v>
      </c>
      <c r="I41" s="145" t="str">
        <f>IFERROR(__xludf.DUMMYFUNCTION("""COMPUTED_VALUE"""),"Slasher")</f>
        <v>Slasher</v>
      </c>
      <c r="J41" s="145">
        <f>IFERROR(__xludf.DUMMYFUNCTION("""COMPUTED_VALUE"""),596.38)</f>
        <v>596.38</v>
      </c>
      <c r="K41" s="133">
        <f>IFERROR(__xludf.DUMMYFUNCTION("""COMPUTED_VALUE"""),18.0)</f>
        <v>18</v>
      </c>
      <c r="L41" s="133" t="str">
        <f>IFERROR(__xludf.DUMMYFUNCTION("""COMPUTED_VALUE"""),"SF")</f>
        <v>SF</v>
      </c>
      <c r="M41" s="133">
        <f>IFERROR(__xludf.DUMMYFUNCTION("""COMPUTED_VALUE"""),31.0)</f>
        <v>31</v>
      </c>
      <c r="N41" s="134">
        <f>IFERROR(__xludf.DUMMYFUNCTION("""COMPUTED_VALUE"""),3.61845442549922)</f>
        <v>3.618454425</v>
      </c>
      <c r="O41" s="134">
        <f>IFERROR(__xludf.DUMMYFUNCTION("""COMPUTED_VALUE"""),1.455364014483)</f>
        <v>1.455364014</v>
      </c>
      <c r="P41" s="134">
        <f>IFERROR(__xludf.DUMMYFUNCTION("""COMPUTED_VALUE"""),2.16309041101622)</f>
        <v>2.163090411</v>
      </c>
      <c r="Q41" s="146">
        <f>IFERROR(__xludf.DUMMYFUNCTION("""COMPUTED_VALUE"""),2.3484042601473174)</f>
        <v>2.34840426</v>
      </c>
      <c r="R41" s="17"/>
      <c r="S41" s="17"/>
      <c r="T41" s="75"/>
      <c r="U41" s="75"/>
      <c r="V41" s="75"/>
      <c r="W41" s="75"/>
      <c r="X41" s="75"/>
    </row>
    <row r="42">
      <c r="A42" s="17"/>
      <c r="B42" s="17" t="b">
        <f t="shared" si="12"/>
        <v>1</v>
      </c>
      <c r="C42" s="136" t="s">
        <v>223</v>
      </c>
      <c r="D42" s="150" t="b">
        <v>0</v>
      </c>
      <c r="E42" s="17"/>
      <c r="F42" s="133" t="str">
        <f>IFERROR(__xludf.DUMMYFUNCTION("""COMPUTED_VALUE"""),"Kyle Lowry")</f>
        <v>Kyle Lowry</v>
      </c>
      <c r="G42" s="133" t="str">
        <f>IFERROR(__xludf.DUMMYFUNCTION("""COMPUTED_VALUE"""),"2020-21")</f>
        <v>2020-21</v>
      </c>
      <c r="H42" s="133" t="str">
        <f>IFERROR(__xludf.DUMMYFUNCTION("""COMPUTED_VALUE"""),"TOR")</f>
        <v>TOR</v>
      </c>
      <c r="I42" s="145" t="str">
        <f>IFERROR(__xludf.DUMMYFUNCTION("""COMPUTED_VALUE"""),"Primary Ball Handler")</f>
        <v>Primary Ball Handler</v>
      </c>
      <c r="J42" s="145">
        <f>IFERROR(__xludf.DUMMYFUNCTION("""COMPUTED_VALUE"""),858.838333333334)</f>
        <v>858.8383333</v>
      </c>
      <c r="K42" s="133">
        <f>IFERROR(__xludf.DUMMYFUNCTION("""COMPUTED_VALUE"""),25.0)</f>
        <v>25</v>
      </c>
      <c r="L42" s="133" t="str">
        <f>IFERROR(__xludf.DUMMYFUNCTION("""COMPUTED_VALUE"""),"PG")</f>
        <v>PG</v>
      </c>
      <c r="M42" s="133">
        <f>IFERROR(__xludf.DUMMYFUNCTION("""COMPUTED_VALUE"""),34.0)</f>
        <v>34</v>
      </c>
      <c r="N42" s="134">
        <f>IFERROR(__xludf.DUMMYFUNCTION("""COMPUTED_VALUE"""),1.65821776558047)</f>
        <v>1.658217766</v>
      </c>
      <c r="O42" s="134">
        <f>IFERROR(__xludf.DUMMYFUNCTION("""COMPUTED_VALUE"""),1.08330357135417)</f>
        <v>1.083303571</v>
      </c>
      <c r="P42" s="134">
        <f>IFERROR(__xludf.DUMMYFUNCTION("""COMPUTED_VALUE"""),0.574914194226301)</f>
        <v>0.5749141942</v>
      </c>
      <c r="Q42" s="146">
        <f>IFERROR(__xludf.DUMMYFUNCTION("""COMPUTED_VALUE"""),2.2805329162855545)</f>
        <v>2.280532916</v>
      </c>
      <c r="R42" s="17"/>
      <c r="S42" s="17"/>
      <c r="T42" s="75"/>
      <c r="U42" s="75"/>
      <c r="V42" s="75"/>
      <c r="W42" s="75"/>
      <c r="X42" s="75"/>
    </row>
    <row r="43">
      <c r="A43" s="17"/>
      <c r="B43" s="17" t="b">
        <f t="shared" si="12"/>
        <v>1</v>
      </c>
      <c r="C43" s="136" t="s">
        <v>35</v>
      </c>
      <c r="D43" s="150" t="b">
        <v>0</v>
      </c>
      <c r="E43" s="17"/>
      <c r="F43" s="133" t="str">
        <f>IFERROR(__xludf.DUMMYFUNCTION("""COMPUTED_VALUE"""),"Bradley Beal")</f>
        <v>Bradley Beal</v>
      </c>
      <c r="G43" s="133" t="str">
        <f>IFERROR(__xludf.DUMMYFUNCTION("""COMPUTED_VALUE"""),"2020-21")</f>
        <v>2020-21</v>
      </c>
      <c r="H43" s="133" t="str">
        <f>IFERROR(__xludf.DUMMYFUNCTION("""COMPUTED_VALUE"""),"WAS")</f>
        <v>WAS</v>
      </c>
      <c r="I43" s="145" t="str">
        <f>IFERROR(__xludf.DUMMYFUNCTION("""COMPUTED_VALUE"""),"Secondary Ball Handler")</f>
        <v>Secondary Ball Handler</v>
      </c>
      <c r="J43" s="145">
        <f>IFERROR(__xludf.DUMMYFUNCTION("""COMPUTED_VALUE"""),881.381666666667)</f>
        <v>881.3816667</v>
      </c>
      <c r="K43" s="133">
        <f>IFERROR(__xludf.DUMMYFUNCTION("""COMPUTED_VALUE"""),25.0)</f>
        <v>25</v>
      </c>
      <c r="L43" s="133" t="str">
        <f>IFERROR(__xludf.DUMMYFUNCTION("""COMPUTED_VALUE"""),"SG")</f>
        <v>SG</v>
      </c>
      <c r="M43" s="133">
        <f>IFERROR(__xludf.DUMMYFUNCTION("""COMPUTED_VALUE"""),27.0)</f>
        <v>27</v>
      </c>
      <c r="N43" s="134">
        <f>IFERROR(__xludf.DUMMYFUNCTION("""COMPUTED_VALUE"""),1.53545463828182)</f>
        <v>1.535454638</v>
      </c>
      <c r="O43" s="134">
        <f>IFERROR(__xludf.DUMMYFUNCTION("""COMPUTED_VALUE"""),3.5631395523196)</f>
        <v>3.563139552</v>
      </c>
      <c r="P43" s="134">
        <f>IFERROR(__xludf.DUMMYFUNCTION("""COMPUTED_VALUE"""),-2.02768491403779)</f>
        <v>-2.027684914</v>
      </c>
      <c r="Q43" s="146">
        <f>IFERROR(__xludf.DUMMYFUNCTION("""COMPUTED_VALUE"""),2.2682157852249394)</f>
        <v>2.268215785</v>
      </c>
      <c r="R43" s="17"/>
      <c r="S43" s="17"/>
      <c r="T43" s="75"/>
      <c r="U43" s="75"/>
      <c r="V43" s="75"/>
      <c r="W43" s="75"/>
      <c r="X43" s="75"/>
    </row>
    <row r="44">
      <c r="A44" s="17"/>
      <c r="B44" s="17" t="b">
        <f t="shared" si="12"/>
        <v>1</v>
      </c>
      <c r="C44" s="136" t="s">
        <v>49</v>
      </c>
      <c r="D44" s="150" t="b">
        <v>0</v>
      </c>
      <c r="E44" s="17"/>
      <c r="F44" s="133" t="str">
        <f>IFERROR(__xludf.DUMMYFUNCTION("""COMPUTED_VALUE"""),"Chris Boucher")</f>
        <v>Chris Boucher</v>
      </c>
      <c r="G44" s="133" t="str">
        <f>IFERROR(__xludf.DUMMYFUNCTION("""COMPUTED_VALUE"""),"2020-21")</f>
        <v>2020-21</v>
      </c>
      <c r="H44" s="133" t="str">
        <f>IFERROR(__xludf.DUMMYFUNCTION("""COMPUTED_VALUE"""),"TOR")</f>
        <v>TOR</v>
      </c>
      <c r="I44" s="145" t="str">
        <f>IFERROR(__xludf.DUMMYFUNCTION("""COMPUTED_VALUE"""),"Stretch Big")</f>
        <v>Stretch Big</v>
      </c>
      <c r="J44" s="145">
        <f>IFERROR(__xludf.DUMMYFUNCTION("""COMPUTED_VALUE"""),722.973333333333)</f>
        <v>722.9733333</v>
      </c>
      <c r="K44" s="133">
        <f>IFERROR(__xludf.DUMMYFUNCTION("""COMPUTED_VALUE"""),31.0)</f>
        <v>31</v>
      </c>
      <c r="L44" s="133" t="str">
        <f>IFERROR(__xludf.DUMMYFUNCTION("""COMPUTED_VALUE"""),"C")</f>
        <v>C</v>
      </c>
      <c r="M44" s="133">
        <f>IFERROR(__xludf.DUMMYFUNCTION("""COMPUTED_VALUE"""),28.0)</f>
        <v>28</v>
      </c>
      <c r="N44" s="134">
        <f>IFERROR(__xludf.DUMMYFUNCTION("""COMPUTED_VALUE"""),2.33421780760754)</f>
        <v>2.334217808</v>
      </c>
      <c r="O44" s="134">
        <f>IFERROR(__xludf.DUMMYFUNCTION("""COMPUTED_VALUE"""),0.7244782401198)</f>
        <v>0.7244782401</v>
      </c>
      <c r="P44" s="134">
        <f>IFERROR(__xludf.DUMMYFUNCTION("""COMPUTED_VALUE"""),1.60973956748774)</f>
        <v>1.609739567</v>
      </c>
      <c r="Q44" s="146">
        <f>IFERROR(__xludf.DUMMYFUNCTION("""COMPUTED_VALUE"""),2.2437969277233725)</f>
        <v>2.243796928</v>
      </c>
      <c r="R44" s="17"/>
      <c r="S44" s="17"/>
      <c r="T44" s="75"/>
      <c r="U44" s="75"/>
      <c r="V44" s="75"/>
      <c r="W44" s="75"/>
      <c r="X44" s="75"/>
    </row>
    <row r="45">
      <c r="A45" s="17"/>
      <c r="B45" s="17" t="b">
        <f t="shared" si="12"/>
        <v>1</v>
      </c>
      <c r="C45" s="136" t="s">
        <v>29</v>
      </c>
      <c r="D45" s="150" t="b">
        <v>0</v>
      </c>
      <c r="E45" s="17"/>
      <c r="F45" s="133" t="str">
        <f>IFERROR(__xludf.DUMMYFUNCTION("""COMPUTED_VALUE"""),"Domantas Sabonis")</f>
        <v>Domantas Sabonis</v>
      </c>
      <c r="G45" s="133" t="str">
        <f>IFERROR(__xludf.DUMMYFUNCTION("""COMPUTED_VALUE"""),"2020-21")</f>
        <v>2020-21</v>
      </c>
      <c r="H45" s="133" t="str">
        <f>IFERROR(__xludf.DUMMYFUNCTION("""COMPUTED_VALUE"""),"IND")</f>
        <v>IND</v>
      </c>
      <c r="I45" s="145" t="str">
        <f>IFERROR(__xludf.DUMMYFUNCTION("""COMPUTED_VALUE"""),"Post Scorer")</f>
        <v>Post Scorer</v>
      </c>
      <c r="J45" s="145">
        <f>IFERROR(__xludf.DUMMYFUNCTION("""COMPUTED_VALUE"""),1055.23833333333)</f>
        <v>1055.238333</v>
      </c>
      <c r="K45" s="133">
        <f>IFERROR(__xludf.DUMMYFUNCTION("""COMPUTED_VALUE"""),29.0)</f>
        <v>29</v>
      </c>
      <c r="L45" s="133" t="str">
        <f>IFERROR(__xludf.DUMMYFUNCTION("""COMPUTED_VALUE"""),"PF")</f>
        <v>PF</v>
      </c>
      <c r="M45" s="133">
        <f>IFERROR(__xludf.DUMMYFUNCTION("""COMPUTED_VALUE"""),24.0)</f>
        <v>24</v>
      </c>
      <c r="N45" s="134">
        <f>IFERROR(__xludf.DUMMYFUNCTION("""COMPUTED_VALUE"""),0.715455755332736)</f>
        <v>0.7154557553</v>
      </c>
      <c r="O45" s="134">
        <f>IFERROR(__xludf.DUMMYFUNCTION("""COMPUTED_VALUE"""),0.246671101376851)</f>
        <v>0.2466711014</v>
      </c>
      <c r="P45" s="134">
        <f>IFERROR(__xludf.DUMMYFUNCTION("""COMPUTED_VALUE"""),0.468784653955885)</f>
        <v>0.468784654</v>
      </c>
      <c r="Q45" s="146">
        <f>IFERROR(__xludf.DUMMYFUNCTION("""COMPUTED_VALUE"""),2.1354614878609115)</f>
        <v>2.135461488</v>
      </c>
      <c r="R45" s="17"/>
      <c r="S45" s="17"/>
      <c r="T45" s="75"/>
      <c r="U45" s="75"/>
      <c r="V45" s="75"/>
      <c r="W45" s="75"/>
      <c r="X45" s="75"/>
    </row>
    <row r="46">
      <c r="A46" s="17"/>
      <c r="B46" s="17" t="b">
        <f t="shared" si="12"/>
        <v>1</v>
      </c>
      <c r="C46" s="136" t="s">
        <v>14</v>
      </c>
      <c r="D46" s="150" t="b">
        <v>0</v>
      </c>
      <c r="E46" s="17"/>
      <c r="F46" s="133" t="str">
        <f>IFERROR(__xludf.DUMMYFUNCTION("""COMPUTED_VALUE"""),"Jerami Grant")</f>
        <v>Jerami Grant</v>
      </c>
      <c r="G46" s="133" t="str">
        <f>IFERROR(__xludf.DUMMYFUNCTION("""COMPUTED_VALUE"""),"2020-21")</f>
        <v>2020-21</v>
      </c>
      <c r="H46" s="133" t="str">
        <f>IFERROR(__xludf.DUMMYFUNCTION("""COMPUTED_VALUE"""),"DET")</f>
        <v>DET</v>
      </c>
      <c r="I46" s="145" t="str">
        <f>IFERROR(__xludf.DUMMYFUNCTION("""COMPUTED_VALUE"""),"Stationary Shooter")</f>
        <v>Stationary Shooter</v>
      </c>
      <c r="J46" s="145">
        <f>IFERROR(__xludf.DUMMYFUNCTION("""COMPUTED_VALUE"""),1091.22333333333)</f>
        <v>1091.223333</v>
      </c>
      <c r="K46" s="133">
        <f>IFERROR(__xludf.DUMMYFUNCTION("""COMPUTED_VALUE"""),30.0)</f>
        <v>30</v>
      </c>
      <c r="L46" s="133" t="str">
        <f>IFERROR(__xludf.DUMMYFUNCTION("""COMPUTED_VALUE"""),"SF")</f>
        <v>SF</v>
      </c>
      <c r="M46" s="133">
        <f>IFERROR(__xludf.DUMMYFUNCTION("""COMPUTED_VALUE"""),26.0)</f>
        <v>26</v>
      </c>
      <c r="N46" s="134">
        <f>IFERROR(__xludf.DUMMYFUNCTION("""COMPUTED_VALUE"""),0.600285879510419)</f>
        <v>0.6002858795</v>
      </c>
      <c r="O46" s="134">
        <f>IFERROR(__xludf.DUMMYFUNCTION("""COMPUTED_VALUE"""),0.765490059583678)</f>
        <v>0.7654900596</v>
      </c>
      <c r="P46" s="134">
        <f>IFERROR(__xludf.DUMMYFUNCTION("""COMPUTED_VALUE"""),-0.165204180073259)</f>
        <v>-0.1652041801</v>
      </c>
      <c r="Q46" s="146">
        <f>IFERROR(__xludf.DUMMYFUNCTION("""COMPUTED_VALUE"""),2.1237070155873417)</f>
        <v>2.123707016</v>
      </c>
      <c r="R46" s="17"/>
      <c r="S46" s="17"/>
      <c r="T46" s="75"/>
      <c r="U46" s="75"/>
      <c r="V46" s="75"/>
      <c r="W46" s="75"/>
      <c r="X46" s="75"/>
    </row>
    <row r="47">
      <c r="A47" s="17"/>
      <c r="B47" s="17" t="b">
        <f t="shared" si="12"/>
        <v>1</v>
      </c>
      <c r="C47" s="136" t="s">
        <v>41</v>
      </c>
      <c r="D47" s="150" t="b">
        <v>0</v>
      </c>
      <c r="E47" s="17"/>
      <c r="F47" s="133" t="str">
        <f>IFERROR(__xludf.DUMMYFUNCTION("""COMPUTED_VALUE"""),"Brook Lopez")</f>
        <v>Brook Lopez</v>
      </c>
      <c r="G47" s="133" t="str">
        <f>IFERROR(__xludf.DUMMYFUNCTION("""COMPUTED_VALUE"""),"2020-21")</f>
        <v>2020-21</v>
      </c>
      <c r="H47" s="133" t="str">
        <f>IFERROR(__xludf.DUMMYFUNCTION("""COMPUTED_VALUE"""),"MIL")</f>
        <v>MIL</v>
      </c>
      <c r="I47" s="145" t="str">
        <f>IFERROR(__xludf.DUMMYFUNCTION("""COMPUTED_VALUE"""),"Stretch Big")</f>
        <v>Stretch Big</v>
      </c>
      <c r="J47" s="145">
        <f>IFERROR(__xludf.DUMMYFUNCTION("""COMPUTED_VALUE"""),832.466666666666)</f>
        <v>832.4666667</v>
      </c>
      <c r="K47" s="133">
        <f>IFERROR(__xludf.DUMMYFUNCTION("""COMPUTED_VALUE"""),31.0)</f>
        <v>31</v>
      </c>
      <c r="L47" s="133" t="str">
        <f>IFERROR(__xludf.DUMMYFUNCTION("""COMPUTED_VALUE"""),"C")</f>
        <v>C</v>
      </c>
      <c r="M47" s="133">
        <f>IFERROR(__xludf.DUMMYFUNCTION("""COMPUTED_VALUE"""),32.0)</f>
        <v>32</v>
      </c>
      <c r="N47" s="134">
        <f>IFERROR(__xludf.DUMMYFUNCTION("""COMPUTED_VALUE"""),1.48896350648738)</f>
        <v>1.488963506</v>
      </c>
      <c r="O47" s="134">
        <f>IFERROR(__xludf.DUMMYFUNCTION("""COMPUTED_VALUE"""),0.121738330168712)</f>
        <v>0.1217383302</v>
      </c>
      <c r="P47" s="134">
        <f>IFERROR(__xludf.DUMMYFUNCTION("""COMPUTED_VALUE"""),1.36722517631866)</f>
        <v>1.367225176</v>
      </c>
      <c r="Q47" s="146">
        <f>IFERROR(__xludf.DUMMYFUNCTION("""COMPUTED_VALUE"""),2.116488551295761)</f>
        <v>2.116488551</v>
      </c>
      <c r="R47" s="17"/>
      <c r="S47" s="17"/>
      <c r="T47" s="75"/>
      <c r="U47" s="75"/>
      <c r="V47" s="75"/>
      <c r="W47" s="75"/>
      <c r="X47" s="75"/>
    </row>
    <row r="48">
      <c r="A48" s="17"/>
      <c r="B48" s="17" t="b">
        <f t="shared" si="12"/>
        <v>1</v>
      </c>
      <c r="C48" s="136" t="s">
        <v>34</v>
      </c>
      <c r="D48" s="150" t="b">
        <v>0</v>
      </c>
      <c r="E48" s="17"/>
      <c r="F48" s="133" t="str">
        <f>IFERROR(__xludf.DUMMYFUNCTION("""COMPUTED_VALUE"""),"Nicolas Batum")</f>
        <v>Nicolas Batum</v>
      </c>
      <c r="G48" s="133" t="str">
        <f>IFERROR(__xludf.DUMMYFUNCTION("""COMPUTED_VALUE"""),"2020-21")</f>
        <v>2020-21</v>
      </c>
      <c r="H48" s="133" t="str">
        <f>IFERROR(__xludf.DUMMYFUNCTION("""COMPUTED_VALUE"""),"LAC")</f>
        <v>LAC</v>
      </c>
      <c r="I48" s="145" t="str">
        <f>IFERROR(__xludf.DUMMYFUNCTION("""COMPUTED_VALUE"""),"Athletic Finisher")</f>
        <v>Athletic Finisher</v>
      </c>
      <c r="J48" s="145">
        <f>IFERROR(__xludf.DUMMYFUNCTION("""COMPUTED_VALUE"""),867.008333333333)</f>
        <v>867.0083333</v>
      </c>
      <c r="K48" s="133">
        <f>IFERROR(__xludf.DUMMYFUNCTION("""COMPUTED_VALUE"""),29.0)</f>
        <v>29</v>
      </c>
      <c r="L48" s="133" t="str">
        <f>IFERROR(__xludf.DUMMYFUNCTION("""COMPUTED_VALUE"""),"SF")</f>
        <v>SF</v>
      </c>
      <c r="M48" s="133">
        <f>IFERROR(__xludf.DUMMYFUNCTION("""COMPUTED_VALUE"""),32.0)</f>
        <v>32</v>
      </c>
      <c r="N48" s="134">
        <f>IFERROR(__xludf.DUMMYFUNCTION("""COMPUTED_VALUE"""),1.30349057475862)</f>
        <v>1.303490575</v>
      </c>
      <c r="O48" s="134">
        <f>IFERROR(__xludf.DUMMYFUNCTION("""COMPUTED_VALUE"""),-0.0676914806843221)</f>
        <v>-0.06769148068</v>
      </c>
      <c r="P48" s="134">
        <f>IFERROR(__xludf.DUMMYFUNCTION("""COMPUTED_VALUE"""),1.37118205544295)</f>
        <v>1.371182055</v>
      </c>
      <c r="Q48" s="146">
        <f>IFERROR(__xludf.DUMMYFUNCTION("""COMPUTED_VALUE"""),2.0967714943023656)</f>
        <v>2.096771494</v>
      </c>
      <c r="R48" s="17"/>
      <c r="S48" s="17"/>
      <c r="T48" s="75"/>
      <c r="U48" s="75"/>
      <c r="V48" s="75"/>
      <c r="W48" s="75"/>
      <c r="X48" s="75"/>
    </row>
    <row r="49">
      <c r="A49" s="17"/>
      <c r="B49" s="17" t="b">
        <f t="shared" si="12"/>
        <v>1</v>
      </c>
      <c r="C49" s="136" t="s">
        <v>43</v>
      </c>
      <c r="D49" s="150" t="b">
        <v>0</v>
      </c>
      <c r="E49" s="17"/>
      <c r="F49" s="133" t="str">
        <f>IFERROR(__xludf.DUMMYFUNCTION("""COMPUTED_VALUE"""),"De'Aaron Fox")</f>
        <v>De'Aaron Fox</v>
      </c>
      <c r="G49" s="133" t="str">
        <f>IFERROR(__xludf.DUMMYFUNCTION("""COMPUTED_VALUE"""),"2020-21")</f>
        <v>2020-21</v>
      </c>
      <c r="H49" s="133" t="str">
        <f>IFERROR(__xludf.DUMMYFUNCTION("""COMPUTED_VALUE"""),"SAC")</f>
        <v>SAC</v>
      </c>
      <c r="I49" s="145" t="str">
        <f>IFERROR(__xludf.DUMMYFUNCTION("""COMPUTED_VALUE"""),"Primary Ball Handler")</f>
        <v>Primary Ball Handler</v>
      </c>
      <c r="J49" s="145">
        <f>IFERROR(__xludf.DUMMYFUNCTION("""COMPUTED_VALUE"""),966.448333333333)</f>
        <v>966.4483333</v>
      </c>
      <c r="K49" s="133">
        <f>IFERROR(__xludf.DUMMYFUNCTION("""COMPUTED_VALUE"""),29.0)</f>
        <v>29</v>
      </c>
      <c r="L49" s="133" t="str">
        <f>IFERROR(__xludf.DUMMYFUNCTION("""COMPUTED_VALUE"""),"PG")</f>
        <v>PG</v>
      </c>
      <c r="M49" s="133">
        <f>IFERROR(__xludf.DUMMYFUNCTION("""COMPUTED_VALUE"""),23.0)</f>
        <v>23</v>
      </c>
      <c r="N49" s="134">
        <f>IFERROR(__xludf.DUMMYFUNCTION("""COMPUTED_VALUE"""),0.848071127772725)</f>
        <v>0.8480711278</v>
      </c>
      <c r="O49" s="134">
        <f>IFERROR(__xludf.DUMMYFUNCTION("""COMPUTED_VALUE"""),1.96265526387877)</f>
        <v>1.962655264</v>
      </c>
      <c r="P49" s="134">
        <f>IFERROR(__xludf.DUMMYFUNCTION("""COMPUTED_VALUE"""),-1.11458413610604)</f>
        <v>-1.114584136</v>
      </c>
      <c r="Q49" s="146">
        <f>IFERROR(__xludf.DUMMYFUNCTION("""COMPUTED_VALUE"""),2.041967127861946)</f>
        <v>2.041967128</v>
      </c>
      <c r="R49" s="17"/>
      <c r="S49" s="17"/>
      <c r="T49" s="75"/>
      <c r="U49" s="75"/>
      <c r="V49" s="75"/>
      <c r="W49" s="75"/>
      <c r="X49" s="75"/>
    </row>
    <row r="50">
      <c r="A50" s="17"/>
      <c r="B50" s="17" t="b">
        <f t="shared" si="12"/>
        <v>1</v>
      </c>
      <c r="C50" s="136" t="s">
        <v>19</v>
      </c>
      <c r="D50" s="150" t="b">
        <v>0</v>
      </c>
      <c r="E50" s="17"/>
      <c r="F50" s="133" t="str">
        <f>IFERROR(__xludf.DUMMYFUNCTION("""COMPUTED_VALUE"""),"Jarrett Allen")</f>
        <v>Jarrett Allen</v>
      </c>
      <c r="G50" s="133" t="str">
        <f>IFERROR(__xludf.DUMMYFUNCTION("""COMPUTED_VALUE"""),"2020-21")</f>
        <v>2020-21</v>
      </c>
      <c r="H50" s="133" t="str">
        <f>IFERROR(__xludf.DUMMYFUNCTION("""COMPUTED_VALUE"""),"TOT")</f>
        <v>TOT</v>
      </c>
      <c r="I50" s="145" t="str">
        <f>IFERROR(__xludf.DUMMYFUNCTION("""COMPUTED_VALUE"""),"Roll + Cut Big")</f>
        <v>Roll + Cut Big</v>
      </c>
      <c r="J50" s="145">
        <f>IFERROR(__xludf.DUMMYFUNCTION("""COMPUTED_VALUE"""),809.286666666667)</f>
        <v>809.2866667</v>
      </c>
      <c r="K50" s="133">
        <f>IFERROR(__xludf.DUMMYFUNCTION("""COMPUTED_VALUE"""),30.0)</f>
        <v>30</v>
      </c>
      <c r="L50" s="133" t="str">
        <f>IFERROR(__xludf.DUMMYFUNCTION("""COMPUTED_VALUE"""),"C")</f>
        <v>C</v>
      </c>
      <c r="M50" s="133">
        <f>IFERROR(__xludf.DUMMYFUNCTION("""COMPUTED_VALUE"""),22.0)</f>
        <v>22</v>
      </c>
      <c r="N50" s="134">
        <f>IFERROR(__xludf.DUMMYFUNCTION("""COMPUTED_VALUE"""),1.4215444643828)</f>
        <v>1.421544464</v>
      </c>
      <c r="O50" s="134">
        <f>IFERROR(__xludf.DUMMYFUNCTION("""COMPUTED_VALUE"""),0.557951090176898)</f>
        <v>0.5579510902</v>
      </c>
      <c r="P50" s="134">
        <f>IFERROR(__xludf.DUMMYFUNCTION("""COMPUTED_VALUE"""),0.8635933742059)</f>
        <v>0.8635933742</v>
      </c>
      <c r="Q50" s="146">
        <f>IFERROR(__xludf.DUMMYFUNCTION("""COMPUTED_VALUE"""),2.021093137061565)</f>
        <v>2.021093137</v>
      </c>
      <c r="R50" s="17"/>
      <c r="S50" s="17"/>
      <c r="T50" s="75"/>
      <c r="U50" s="75"/>
      <c r="V50" s="75"/>
      <c r="W50" s="75"/>
      <c r="X50" s="75"/>
    </row>
    <row r="51">
      <c r="A51" s="17"/>
      <c r="B51" s="17" t="b">
        <f t="shared" si="12"/>
        <v>1</v>
      </c>
      <c r="C51" s="136" t="s">
        <v>25</v>
      </c>
      <c r="D51" s="150" t="b">
        <v>0</v>
      </c>
      <c r="E51" s="17"/>
      <c r="F51" s="133" t="str">
        <f>IFERROR(__xludf.DUMMYFUNCTION("""COMPUTED_VALUE"""),"Jaylen Brown")</f>
        <v>Jaylen Brown</v>
      </c>
      <c r="G51" s="133" t="str">
        <f>IFERROR(__xludf.DUMMYFUNCTION("""COMPUTED_VALUE"""),"2020-21")</f>
        <v>2020-21</v>
      </c>
      <c r="H51" s="133" t="str">
        <f>IFERROR(__xludf.DUMMYFUNCTION("""COMPUTED_VALUE"""),"BOS")</f>
        <v>BOS</v>
      </c>
      <c r="I51" s="145" t="str">
        <f>IFERROR(__xludf.DUMMYFUNCTION("""COMPUTED_VALUE"""),"Slasher")</f>
        <v>Slasher</v>
      </c>
      <c r="J51" s="145">
        <f>IFERROR(__xludf.DUMMYFUNCTION("""COMPUTED_VALUE"""),943.075)</f>
        <v>943.075</v>
      </c>
      <c r="K51" s="133">
        <f>IFERROR(__xludf.DUMMYFUNCTION("""COMPUTED_VALUE"""),28.0)</f>
        <v>28</v>
      </c>
      <c r="L51" s="133" t="str">
        <f>IFERROR(__xludf.DUMMYFUNCTION("""COMPUTED_VALUE"""),"SG")</f>
        <v>SG</v>
      </c>
      <c r="M51" s="133">
        <f>IFERROR(__xludf.DUMMYFUNCTION("""COMPUTED_VALUE"""),24.0)</f>
        <v>24</v>
      </c>
      <c r="N51" s="134">
        <f>IFERROR(__xludf.DUMMYFUNCTION("""COMPUTED_VALUE"""),0.797357255199727)</f>
        <v>0.7973572552</v>
      </c>
      <c r="O51" s="134">
        <f>IFERROR(__xludf.DUMMYFUNCTION("""COMPUTED_VALUE"""),1.43211830151308)</f>
        <v>1.432118302</v>
      </c>
      <c r="P51" s="134">
        <f>IFERROR(__xludf.DUMMYFUNCTION("""COMPUTED_VALUE"""),-0.634761046313356)</f>
        <v>-0.6347610463</v>
      </c>
      <c r="Q51" s="146">
        <f>IFERROR(__xludf.DUMMYFUNCTION("""COMPUTED_VALUE"""),1.9604289647749693)</f>
        <v>1.960428965</v>
      </c>
      <c r="R51" s="17"/>
      <c r="S51" s="17"/>
      <c r="T51" s="75"/>
      <c r="U51" s="75"/>
      <c r="V51" s="75"/>
      <c r="W51" s="75"/>
      <c r="X51" s="75"/>
    </row>
    <row r="52">
      <c r="A52" s="17"/>
      <c r="B52" s="17" t="b">
        <f t="shared" si="12"/>
        <v>1</v>
      </c>
      <c r="C52" s="136" t="s">
        <v>39</v>
      </c>
      <c r="D52" s="150" t="b">
        <v>0</v>
      </c>
      <c r="E52" s="17"/>
      <c r="F52" s="133" t="str">
        <f>IFERROR(__xludf.DUMMYFUNCTION("""COMPUTED_VALUE"""),"Kyle Anderson")</f>
        <v>Kyle Anderson</v>
      </c>
      <c r="G52" s="133" t="str">
        <f>IFERROR(__xludf.DUMMYFUNCTION("""COMPUTED_VALUE"""),"2020-21")</f>
        <v>2020-21</v>
      </c>
      <c r="H52" s="133" t="str">
        <f>IFERROR(__xludf.DUMMYFUNCTION("""COMPUTED_VALUE"""),"MEM")</f>
        <v>MEM</v>
      </c>
      <c r="I52" s="145" t="str">
        <f>IFERROR(__xludf.DUMMYFUNCTION("""COMPUTED_VALUE"""),"Secondary Ball Handler")</f>
        <v>Secondary Ball Handler</v>
      </c>
      <c r="J52" s="145">
        <f>IFERROR(__xludf.DUMMYFUNCTION("""COMPUTED_VALUE"""),700.033333333333)</f>
        <v>700.0333333</v>
      </c>
      <c r="K52" s="133">
        <f>IFERROR(__xludf.DUMMYFUNCTION("""COMPUTED_VALUE"""),25.0)</f>
        <v>25</v>
      </c>
      <c r="L52" s="133" t="str">
        <f>IFERROR(__xludf.DUMMYFUNCTION("""COMPUTED_VALUE"""),"PF")</f>
        <v>PF</v>
      </c>
      <c r="M52" s="133">
        <f>IFERROR(__xludf.DUMMYFUNCTION("""COMPUTED_VALUE"""),27.0)</f>
        <v>27</v>
      </c>
      <c r="N52" s="134">
        <f>IFERROR(__xludf.DUMMYFUNCTION("""COMPUTED_VALUE"""),1.86848892276788)</f>
        <v>1.868488923</v>
      </c>
      <c r="O52" s="134">
        <f>IFERROR(__xludf.DUMMYFUNCTION("""COMPUTED_VALUE"""),0.603550970627959)</f>
        <v>0.6035509706</v>
      </c>
      <c r="P52" s="134">
        <f>IFERROR(__xludf.DUMMYFUNCTION("""COMPUTED_VALUE"""),1.26493795213992)</f>
        <v>1.264937952</v>
      </c>
      <c r="Q52" s="146">
        <f>IFERROR(__xludf.DUMMYFUNCTION("""COMPUTED_VALUE"""),1.9568091579660745)</f>
        <v>1.956809158</v>
      </c>
      <c r="R52" s="17"/>
      <c r="S52" s="17"/>
      <c r="T52" s="75"/>
      <c r="U52" s="75"/>
      <c r="V52" s="75"/>
      <c r="W52" s="75"/>
      <c r="X52" s="75"/>
    </row>
    <row r="53">
      <c r="A53" s="17"/>
      <c r="B53" s="17" t="b">
        <f t="shared" si="12"/>
        <v>1</v>
      </c>
      <c r="C53" s="136" t="s">
        <v>26</v>
      </c>
      <c r="D53" s="150" t="b">
        <v>0</v>
      </c>
      <c r="E53" s="17"/>
      <c r="F53" s="133" t="str">
        <f>IFERROR(__xludf.DUMMYFUNCTION("""COMPUTED_VALUE"""),"Enes Kanter")</f>
        <v>Enes Kanter</v>
      </c>
      <c r="G53" s="133" t="str">
        <f>IFERROR(__xludf.DUMMYFUNCTION("""COMPUTED_VALUE"""),"2020-21")</f>
        <v>2020-21</v>
      </c>
      <c r="H53" s="133" t="str">
        <f>IFERROR(__xludf.DUMMYFUNCTION("""COMPUTED_VALUE"""),"POR")</f>
        <v>POR</v>
      </c>
      <c r="I53" s="145" t="str">
        <f>IFERROR(__xludf.DUMMYFUNCTION("""COMPUTED_VALUE"""),"Post Scorer")</f>
        <v>Post Scorer</v>
      </c>
      <c r="J53" s="145">
        <f>IFERROR(__xludf.DUMMYFUNCTION("""COMPUTED_VALUE"""),735.978333333333)</f>
        <v>735.9783333</v>
      </c>
      <c r="K53" s="133">
        <f>IFERROR(__xludf.DUMMYFUNCTION("""COMPUTED_VALUE"""),29.0)</f>
        <v>29</v>
      </c>
      <c r="L53" s="133" t="str">
        <f>IFERROR(__xludf.DUMMYFUNCTION("""COMPUTED_VALUE"""),"C")</f>
        <v>C</v>
      </c>
      <c r="M53" s="133">
        <f>IFERROR(__xludf.DUMMYFUNCTION("""COMPUTED_VALUE"""),28.0)</f>
        <v>28</v>
      </c>
      <c r="N53" s="134">
        <f>IFERROR(__xludf.DUMMYFUNCTION("""COMPUTED_VALUE"""),1.64691452750294)</f>
        <v>1.646914528</v>
      </c>
      <c r="O53" s="134">
        <f>IFERROR(__xludf.DUMMYFUNCTION("""COMPUTED_VALUE"""),1.49519576258738)</f>
        <v>1.495195763</v>
      </c>
      <c r="P53" s="134">
        <f>IFERROR(__xludf.DUMMYFUNCTION("""COMPUTED_VALUE"""),0.151718764915562)</f>
        <v>0.1517187649</v>
      </c>
      <c r="Q53" s="146">
        <f>IFERROR(__xludf.DUMMYFUNCTION("""COMPUTED_VALUE"""),1.948749058020691)</f>
        <v>1.948749058</v>
      </c>
      <c r="R53" s="17"/>
      <c r="S53" s="17"/>
      <c r="T53" s="75"/>
      <c r="U53" s="75"/>
      <c r="V53" s="75"/>
      <c r="W53" s="75"/>
      <c r="X53" s="75"/>
    </row>
    <row r="54">
      <c r="A54" s="17"/>
      <c r="B54" s="17" t="b">
        <f t="shared" si="12"/>
        <v>1</v>
      </c>
      <c r="C54" s="136" t="s">
        <v>32</v>
      </c>
      <c r="D54" s="150" t="b">
        <v>0</v>
      </c>
      <c r="E54" s="17"/>
      <c r="F54" s="133" t="str">
        <f>IFERROR(__xludf.DUMMYFUNCTION("""COMPUTED_VALUE"""),"Draymond Green")</f>
        <v>Draymond Green</v>
      </c>
      <c r="G54" s="133" t="str">
        <f>IFERROR(__xludf.DUMMYFUNCTION("""COMPUTED_VALUE"""),"2020-21")</f>
        <v>2020-21</v>
      </c>
      <c r="H54" s="133" t="str">
        <f>IFERROR(__xludf.DUMMYFUNCTION("""COMPUTED_VALUE"""),"GSW")</f>
        <v>GSW</v>
      </c>
      <c r="I54" s="145" t="str">
        <f>IFERROR(__xludf.DUMMYFUNCTION("""COMPUTED_VALUE"""),"Stretch Big")</f>
        <v>Stretch Big</v>
      </c>
      <c r="J54" s="145">
        <f>IFERROR(__xludf.DUMMYFUNCTION("""COMPUTED_VALUE"""),760.465)</f>
        <v>760.465</v>
      </c>
      <c r="K54" s="133">
        <f>IFERROR(__xludf.DUMMYFUNCTION("""COMPUTED_VALUE"""),26.0)</f>
        <v>26</v>
      </c>
      <c r="L54" s="133" t="str">
        <f>IFERROR(__xludf.DUMMYFUNCTION("""COMPUTED_VALUE"""),"PF")</f>
        <v>PF</v>
      </c>
      <c r="M54" s="133">
        <f>IFERROR(__xludf.DUMMYFUNCTION("""COMPUTED_VALUE"""),30.0)</f>
        <v>30</v>
      </c>
      <c r="N54" s="134">
        <f>IFERROR(__xludf.DUMMYFUNCTION("""COMPUTED_VALUE"""),1.50189900316054)</f>
        <v>1.501899003</v>
      </c>
      <c r="O54" s="134">
        <f>IFERROR(__xludf.DUMMYFUNCTION("""COMPUTED_VALUE"""),-0.545916969003046)</f>
        <v>-0.545916969</v>
      </c>
      <c r="P54" s="134">
        <f>IFERROR(__xludf.DUMMYFUNCTION("""COMPUTED_VALUE"""),2.04781597216359)</f>
        <v>2.047815972</v>
      </c>
      <c r="Q54" s="146">
        <f>IFERROR(__xludf.DUMMYFUNCTION("""COMPUTED_VALUE"""),1.9399998970322694)</f>
        <v>1.939999897</v>
      </c>
      <c r="R54" s="17"/>
      <c r="S54" s="17"/>
      <c r="T54" s="75"/>
      <c r="U54" s="75"/>
      <c r="V54" s="75"/>
      <c r="W54" s="75"/>
      <c r="X54" s="75"/>
    </row>
    <row r="55">
      <c r="A55" s="17"/>
      <c r="B55" s="17" t="b">
        <f t="shared" si="12"/>
        <v>1</v>
      </c>
      <c r="C55" s="136" t="s">
        <v>33</v>
      </c>
      <c r="D55" s="150" t="b">
        <v>0</v>
      </c>
      <c r="E55" s="17"/>
      <c r="F55" s="133" t="str">
        <f>IFERROR(__xludf.DUMMYFUNCTION("""COMPUTED_VALUE"""),"Serge Ibaka")</f>
        <v>Serge Ibaka</v>
      </c>
      <c r="G55" s="133" t="str">
        <f>IFERROR(__xludf.DUMMYFUNCTION("""COMPUTED_VALUE"""),"2020-21")</f>
        <v>2020-21</v>
      </c>
      <c r="H55" s="133" t="str">
        <f>IFERROR(__xludf.DUMMYFUNCTION("""COMPUTED_VALUE"""),"LAC")</f>
        <v>LAC</v>
      </c>
      <c r="I55" s="145" t="str">
        <f>IFERROR(__xludf.DUMMYFUNCTION("""COMPUTED_VALUE"""),"Stretch Big")</f>
        <v>Stretch Big</v>
      </c>
      <c r="J55" s="145">
        <f>IFERROR(__xludf.DUMMYFUNCTION("""COMPUTED_VALUE"""),744.731666666667)</f>
        <v>744.7316667</v>
      </c>
      <c r="K55" s="133">
        <f>IFERROR(__xludf.DUMMYFUNCTION("""COMPUTED_VALUE"""),31.0)</f>
        <v>31</v>
      </c>
      <c r="L55" s="133" t="str">
        <f>IFERROR(__xludf.DUMMYFUNCTION("""COMPUTED_VALUE"""),"C")</f>
        <v>C</v>
      </c>
      <c r="M55" s="133">
        <f>IFERROR(__xludf.DUMMYFUNCTION("""COMPUTED_VALUE"""),31.0)</f>
        <v>31</v>
      </c>
      <c r="N55" s="134">
        <f>IFERROR(__xludf.DUMMYFUNCTION("""COMPUTED_VALUE"""),1.53245352646463)</f>
        <v>1.532453526</v>
      </c>
      <c r="O55" s="134">
        <f>IFERROR(__xludf.DUMMYFUNCTION("""COMPUTED_VALUE"""),0.398687951813419)</f>
        <v>0.3986879518</v>
      </c>
      <c r="P55" s="134">
        <f>IFERROR(__xludf.DUMMYFUNCTION("""COMPUTED_VALUE"""),1.13376557465121)</f>
        <v>1.133765575</v>
      </c>
      <c r="Q55" s="146">
        <f>IFERROR(__xludf.DUMMYFUNCTION("""COMPUTED_VALUE"""),1.9150579516087136)</f>
        <v>1.915057952</v>
      </c>
      <c r="R55" s="17"/>
      <c r="S55" s="17"/>
      <c r="T55" s="75"/>
      <c r="U55" s="75"/>
      <c r="V55" s="75"/>
      <c r="W55" s="75"/>
      <c r="X55" s="75"/>
    </row>
    <row r="56">
      <c r="A56" s="17"/>
      <c r="B56" s="17" t="b">
        <f t="shared" si="12"/>
        <v>1</v>
      </c>
      <c r="C56" s="136" t="s">
        <v>17</v>
      </c>
      <c r="D56" s="150" t="b">
        <v>0</v>
      </c>
      <c r="E56" s="17"/>
      <c r="F56" s="133" t="str">
        <f>IFERROR(__xludf.DUMMYFUNCTION("""COMPUTED_VALUE"""),"Kelly Olynyk")</f>
        <v>Kelly Olynyk</v>
      </c>
      <c r="G56" s="133" t="str">
        <f>IFERROR(__xludf.DUMMYFUNCTION("""COMPUTED_VALUE"""),"2020-21")</f>
        <v>2020-21</v>
      </c>
      <c r="H56" s="133" t="str">
        <f>IFERROR(__xludf.DUMMYFUNCTION("""COMPUTED_VALUE"""),"MIA")</f>
        <v>MIA</v>
      </c>
      <c r="I56" s="145" t="str">
        <f>IFERROR(__xludf.DUMMYFUNCTION("""COMPUTED_VALUE"""),"Stretch Big")</f>
        <v>Stretch Big</v>
      </c>
      <c r="J56" s="145">
        <f>IFERROR(__xludf.DUMMYFUNCTION("""COMPUTED_VALUE"""),755.675)</f>
        <v>755.675</v>
      </c>
      <c r="K56" s="133">
        <f>IFERROR(__xludf.DUMMYFUNCTION("""COMPUTED_VALUE"""),29.0)</f>
        <v>29</v>
      </c>
      <c r="L56" s="133" t="str">
        <f>IFERROR(__xludf.DUMMYFUNCTION("""COMPUTED_VALUE"""),"C")</f>
        <v>C</v>
      </c>
      <c r="M56" s="133">
        <f>IFERROR(__xludf.DUMMYFUNCTION("""COMPUTED_VALUE"""),29.0)</f>
        <v>29</v>
      </c>
      <c r="N56" s="134">
        <f>IFERROR(__xludf.DUMMYFUNCTION("""COMPUTED_VALUE"""),1.43951771694644)</f>
        <v>1.439517717</v>
      </c>
      <c r="O56" s="134">
        <f>IFERROR(__xludf.DUMMYFUNCTION("""COMPUTED_VALUE"""),-0.12193895210185)</f>
        <v>-0.1219389521</v>
      </c>
      <c r="P56" s="134">
        <f>IFERROR(__xludf.DUMMYFUNCTION("""COMPUTED_VALUE"""),1.56145666904828)</f>
        <v>1.561456669</v>
      </c>
      <c r="Q56" s="146">
        <f>IFERROR(__xludf.DUMMYFUNCTION("""COMPUTED_VALUE"""),1.8962837946512716)</f>
        <v>1.896283795</v>
      </c>
      <c r="R56" s="17"/>
      <c r="S56" s="17"/>
      <c r="T56" s="75"/>
      <c r="U56" s="75"/>
      <c r="V56" s="75"/>
      <c r="W56" s="75"/>
      <c r="X56" s="75"/>
    </row>
    <row r="57">
      <c r="A57" s="17"/>
      <c r="B57" s="17" t="b">
        <f t="shared" si="12"/>
        <v>1</v>
      </c>
      <c r="C57" s="136" t="s">
        <v>15</v>
      </c>
      <c r="D57" s="150" t="b">
        <v>0</v>
      </c>
      <c r="E57" s="17"/>
      <c r="F57" s="133" t="str">
        <f>IFERROR(__xludf.DUMMYFUNCTION("""COMPUTED_VALUE"""),"Devin Booker")</f>
        <v>Devin Booker</v>
      </c>
      <c r="G57" s="133" t="str">
        <f>IFERROR(__xludf.DUMMYFUNCTION("""COMPUTED_VALUE"""),"2020-21")</f>
        <v>2020-21</v>
      </c>
      <c r="H57" s="133" t="str">
        <f>IFERROR(__xludf.DUMMYFUNCTION("""COMPUTED_VALUE"""),"PHO")</f>
        <v>PHO</v>
      </c>
      <c r="I57" s="145" t="str">
        <f>IFERROR(__xludf.DUMMYFUNCTION("""COMPUTED_VALUE"""),"Shot Creator")</f>
        <v>Shot Creator</v>
      </c>
      <c r="J57" s="145">
        <f>IFERROR(__xludf.DUMMYFUNCTION("""COMPUTED_VALUE"""),866.95)</f>
        <v>866.95</v>
      </c>
      <c r="K57" s="133">
        <f>IFERROR(__xludf.DUMMYFUNCTION("""COMPUTED_VALUE"""),25.0)</f>
        <v>25</v>
      </c>
      <c r="L57" s="133" t="str">
        <f>IFERROR(__xludf.DUMMYFUNCTION("""COMPUTED_VALUE"""),"SG")</f>
        <v>SG</v>
      </c>
      <c r="M57" s="133">
        <f>IFERROR(__xludf.DUMMYFUNCTION("""COMPUTED_VALUE"""),24.0)</f>
        <v>24</v>
      </c>
      <c r="N57" s="134">
        <f>IFERROR(__xludf.DUMMYFUNCTION("""COMPUTED_VALUE"""),0.86461292982011)</f>
        <v>0.8646129298</v>
      </c>
      <c r="O57" s="134">
        <f>IFERROR(__xludf.DUMMYFUNCTION("""COMPUTED_VALUE"""),2.16061031766817)</f>
        <v>2.160610318</v>
      </c>
      <c r="P57" s="134">
        <f>IFERROR(__xludf.DUMMYFUNCTION("""COMPUTED_VALUE"""),-1.29599738784806)</f>
        <v>-1.295997388</v>
      </c>
      <c r="Q57" s="146">
        <f>IFERROR(__xludf.DUMMYFUNCTION("""COMPUTED_VALUE"""),1.8413803873727888)</f>
        <v>1.841380387</v>
      </c>
      <c r="R57" s="17"/>
      <c r="S57" s="17"/>
      <c r="T57" s="75"/>
      <c r="U57" s="75"/>
      <c r="V57" s="75"/>
      <c r="W57" s="75"/>
      <c r="X57" s="75"/>
    </row>
    <row r="58">
      <c r="A58" s="17"/>
      <c r="B58" s="17" t="b">
        <f t="shared" si="12"/>
        <v>1</v>
      </c>
      <c r="C58" s="136" t="s">
        <v>37</v>
      </c>
      <c r="D58" s="150" t="b">
        <v>0</v>
      </c>
      <c r="E58" s="17"/>
      <c r="F58" s="133" t="str">
        <f>IFERROR(__xludf.DUMMYFUNCTION("""COMPUTED_VALUE"""),"Donte DiVincenzo")</f>
        <v>Donte DiVincenzo</v>
      </c>
      <c r="G58" s="133" t="str">
        <f>IFERROR(__xludf.DUMMYFUNCTION("""COMPUTED_VALUE"""),"2020-21")</f>
        <v>2020-21</v>
      </c>
      <c r="H58" s="133" t="str">
        <f>IFERROR(__xludf.DUMMYFUNCTION("""COMPUTED_VALUE"""),"MIL")</f>
        <v>MIL</v>
      </c>
      <c r="I58" s="145" t="str">
        <f>IFERROR(__xludf.DUMMYFUNCTION("""COMPUTED_VALUE"""),"Movement Shooter")</f>
        <v>Movement Shooter</v>
      </c>
      <c r="J58" s="145">
        <f>IFERROR(__xludf.DUMMYFUNCTION("""COMPUTED_VALUE"""),820.195)</f>
        <v>820.195</v>
      </c>
      <c r="K58" s="133">
        <f>IFERROR(__xludf.DUMMYFUNCTION("""COMPUTED_VALUE"""),31.0)</f>
        <v>31</v>
      </c>
      <c r="L58" s="133" t="str">
        <f>IFERROR(__xludf.DUMMYFUNCTION("""COMPUTED_VALUE"""),"SG")</f>
        <v>SG</v>
      </c>
      <c r="M58" s="133">
        <f>IFERROR(__xludf.DUMMYFUNCTION("""COMPUTED_VALUE"""),24.0)</f>
        <v>24</v>
      </c>
      <c r="N58" s="134">
        <f>IFERROR(__xludf.DUMMYFUNCTION("""COMPUTED_VALUE"""),1.03051841567393)</f>
        <v>1.030518416</v>
      </c>
      <c r="O58" s="134">
        <f>IFERROR(__xludf.DUMMYFUNCTION("""COMPUTED_VALUE"""),0.380782392316063)</f>
        <v>0.3807823923</v>
      </c>
      <c r="P58" s="134">
        <f>IFERROR(__xludf.DUMMYFUNCTION("""COMPUTED_VALUE"""),0.649736023357863)</f>
        <v>0.6497360234</v>
      </c>
      <c r="Q58" s="146">
        <f>IFERROR(__xludf.DUMMYFUNCTION("""COMPUTED_VALUE"""),1.8334709012470434)</f>
        <v>1.833470901</v>
      </c>
      <c r="R58" s="17"/>
      <c r="S58" s="17"/>
      <c r="T58" s="75"/>
      <c r="U58" s="75"/>
      <c r="V58" s="75"/>
      <c r="W58" s="75"/>
      <c r="X58" s="75"/>
    </row>
    <row r="59">
      <c r="A59" s="17"/>
      <c r="B59" s="17" t="b">
        <f t="shared" si="12"/>
        <v>1</v>
      </c>
      <c r="C59" s="136" t="s">
        <v>21</v>
      </c>
      <c r="D59" s="150" t="b">
        <v>0</v>
      </c>
      <c r="E59" s="17"/>
      <c r="F59" s="133" t="str">
        <f>IFERROR(__xludf.DUMMYFUNCTION("""COMPUTED_VALUE"""),"Shai Gilgeous-Alexander")</f>
        <v>Shai Gilgeous-Alexander</v>
      </c>
      <c r="G59" s="133" t="str">
        <f>IFERROR(__xludf.DUMMYFUNCTION("""COMPUTED_VALUE"""),"2020-21")</f>
        <v>2020-21</v>
      </c>
      <c r="H59" s="133" t="str">
        <f>IFERROR(__xludf.DUMMYFUNCTION("""COMPUTED_VALUE"""),"OKC")</f>
        <v>OKC</v>
      </c>
      <c r="I59" s="145" t="str">
        <f>IFERROR(__xludf.DUMMYFUNCTION("""COMPUTED_VALUE"""),"Shot Creator")</f>
        <v>Shot Creator</v>
      </c>
      <c r="J59" s="145">
        <f>IFERROR(__xludf.DUMMYFUNCTION("""COMPUTED_VALUE"""),813.275)</f>
        <v>813.275</v>
      </c>
      <c r="K59" s="133">
        <f>IFERROR(__xludf.DUMMYFUNCTION("""COMPUTED_VALUE"""),24.0)</f>
        <v>24</v>
      </c>
      <c r="L59" s="133" t="str">
        <f>IFERROR(__xludf.DUMMYFUNCTION("""COMPUTED_VALUE"""),"SG")</f>
        <v>SG</v>
      </c>
      <c r="M59" s="133">
        <f>IFERROR(__xludf.DUMMYFUNCTION("""COMPUTED_VALUE"""),22.0)</f>
        <v>22</v>
      </c>
      <c r="N59" s="134">
        <f>IFERROR(__xludf.DUMMYFUNCTION("""COMPUTED_VALUE"""),0.982259362009841)</f>
        <v>0.982259362</v>
      </c>
      <c r="O59" s="134">
        <f>IFERROR(__xludf.DUMMYFUNCTION("""COMPUTED_VALUE"""),2.65518275975653)</f>
        <v>2.65518276</v>
      </c>
      <c r="P59" s="134">
        <f>IFERROR(__xludf.DUMMYFUNCTION("""COMPUTED_VALUE"""),-1.67292339774669)</f>
        <v>-1.672923398</v>
      </c>
      <c r="Q59" s="146">
        <f>IFERROR(__xludf.DUMMYFUNCTION("""COMPUTED_VALUE"""),1.7916527489630774)</f>
        <v>1.791652749</v>
      </c>
      <c r="R59" s="17"/>
      <c r="S59" s="17"/>
      <c r="T59" s="75"/>
      <c r="U59" s="75"/>
      <c r="V59" s="75"/>
      <c r="W59" s="75"/>
      <c r="X59" s="75"/>
    </row>
    <row r="60">
      <c r="A60" s="17"/>
      <c r="B60" s="17" t="b">
        <f t="shared" si="12"/>
        <v>1</v>
      </c>
      <c r="C60" s="136" t="s">
        <v>48</v>
      </c>
      <c r="D60" s="150" t="b">
        <v>0</v>
      </c>
      <c r="E60" s="17"/>
      <c r="F60" s="133" t="str">
        <f>IFERROR(__xludf.DUMMYFUNCTION("""COMPUTED_VALUE"""),"Andrew Wiggins")</f>
        <v>Andrew Wiggins</v>
      </c>
      <c r="G60" s="133" t="str">
        <f>IFERROR(__xludf.DUMMYFUNCTION("""COMPUTED_VALUE"""),"2020-21")</f>
        <v>2020-21</v>
      </c>
      <c r="H60" s="133" t="str">
        <f>IFERROR(__xludf.DUMMYFUNCTION("""COMPUTED_VALUE"""),"GSW")</f>
        <v>GSW</v>
      </c>
      <c r="I60" s="145" t="str">
        <f>IFERROR(__xludf.DUMMYFUNCTION("""COMPUTED_VALUE"""),"Shot Creator")</f>
        <v>Shot Creator</v>
      </c>
      <c r="J60" s="145">
        <f>IFERROR(__xludf.DUMMYFUNCTION("""COMPUTED_VALUE"""),999.69)</f>
        <v>999.69</v>
      </c>
      <c r="K60" s="133">
        <f>IFERROR(__xludf.DUMMYFUNCTION("""COMPUTED_VALUE"""),31.0)</f>
        <v>31</v>
      </c>
      <c r="L60" s="133" t="str">
        <f>IFERROR(__xludf.DUMMYFUNCTION("""COMPUTED_VALUE"""),"PF")</f>
        <v>PF</v>
      </c>
      <c r="M60" s="133">
        <f>IFERROR(__xludf.DUMMYFUNCTION("""COMPUTED_VALUE"""),25.0)</f>
        <v>25</v>
      </c>
      <c r="N60" s="134">
        <f>IFERROR(__xludf.DUMMYFUNCTION("""COMPUTED_VALUE"""),0.358712360943655)</f>
        <v>0.3587123609</v>
      </c>
      <c r="O60" s="134">
        <f>IFERROR(__xludf.DUMMYFUNCTION("""COMPUTED_VALUE"""),-0.996083262381001)</f>
        <v>-0.9960832624</v>
      </c>
      <c r="P60" s="134">
        <f>IFERROR(__xludf.DUMMYFUNCTION("""COMPUTED_VALUE"""),1.35479562332466)</f>
        <v>1.354795623</v>
      </c>
      <c r="Q60" s="146">
        <f>IFERROR(__xludf.DUMMYFUNCTION("""COMPUTED_VALUE"""),1.7829107929976702)</f>
        <v>1.782910793</v>
      </c>
      <c r="R60" s="17"/>
      <c r="S60" s="17"/>
      <c r="T60" s="75"/>
      <c r="U60" s="75"/>
      <c r="V60" s="75"/>
      <c r="W60" s="75"/>
      <c r="X60" s="75"/>
    </row>
    <row r="61">
      <c r="A61" s="17"/>
      <c r="B61" s="17" t="b">
        <f t="shared" si="12"/>
        <v>1</v>
      </c>
      <c r="C61" s="136" t="s">
        <v>24</v>
      </c>
      <c r="D61" s="150" t="b">
        <v>0</v>
      </c>
      <c r="E61" s="17"/>
      <c r="F61" s="133" t="str">
        <f>IFERROR(__xludf.DUMMYFUNCTION("""COMPUTED_VALUE"""),"Victor Oladipo")</f>
        <v>Victor Oladipo</v>
      </c>
      <c r="G61" s="133" t="str">
        <f>IFERROR(__xludf.DUMMYFUNCTION("""COMPUTED_VALUE"""),"2020-21")</f>
        <v>2020-21</v>
      </c>
      <c r="H61" s="133" t="str">
        <f>IFERROR(__xludf.DUMMYFUNCTION("""COMPUTED_VALUE"""),"TOT")</f>
        <v>TOT</v>
      </c>
      <c r="I61" s="145" t="str">
        <f>IFERROR(__xludf.DUMMYFUNCTION("""COMPUTED_VALUE"""),"Primary Ball Handler")</f>
        <v>Primary Ball Handler</v>
      </c>
      <c r="J61" s="145">
        <f>IFERROR(__xludf.DUMMYFUNCTION("""COMPUTED_VALUE"""),639.273333333334)</f>
        <v>639.2733333</v>
      </c>
      <c r="K61" s="133">
        <f>IFERROR(__xludf.DUMMYFUNCTION("""COMPUTED_VALUE"""),20.0)</f>
        <v>20</v>
      </c>
      <c r="L61" s="133" t="str">
        <f>IFERROR(__xludf.DUMMYFUNCTION("""COMPUTED_VALUE"""),"SG")</f>
        <v>SG</v>
      </c>
      <c r="M61" s="133">
        <f>IFERROR(__xludf.DUMMYFUNCTION("""COMPUTED_VALUE"""),28.0)</f>
        <v>28</v>
      </c>
      <c r="N61" s="134">
        <f>IFERROR(__xludf.DUMMYFUNCTION("""COMPUTED_VALUE"""),1.84404631626072)</f>
        <v>1.844046316</v>
      </c>
      <c r="O61" s="134">
        <f>IFERROR(__xludf.DUMMYFUNCTION("""COMPUTED_VALUE"""),0.957599877216654)</f>
        <v>0.9575998772</v>
      </c>
      <c r="P61" s="134">
        <f>IFERROR(__xludf.DUMMYFUNCTION("""COMPUTED_VALUE"""),0.886446439044063)</f>
        <v>0.886446439</v>
      </c>
      <c r="Q61" s="146">
        <f>IFERROR(__xludf.DUMMYFUNCTION("""COMPUTED_VALUE"""),1.7765815008607204)</f>
        <v>1.776581501</v>
      </c>
      <c r="R61" s="17"/>
      <c r="S61" s="17"/>
      <c r="T61" s="75"/>
      <c r="U61" s="75"/>
      <c r="V61" s="75"/>
      <c r="W61" s="75"/>
      <c r="X61" s="75"/>
    </row>
    <row r="62">
      <c r="A62" s="17"/>
      <c r="B62" s="17" t="b">
        <f t="shared" si="12"/>
        <v>1</v>
      </c>
      <c r="C62" s="136" t="s">
        <v>18</v>
      </c>
      <c r="D62" s="150" t="b">
        <v>0</v>
      </c>
      <c r="E62" s="17"/>
      <c r="F62" s="133" t="str">
        <f>IFERROR(__xludf.DUMMYFUNCTION("""COMPUTED_VALUE"""),"Richaun Holmes")</f>
        <v>Richaun Holmes</v>
      </c>
      <c r="G62" s="133" t="str">
        <f>IFERROR(__xludf.DUMMYFUNCTION("""COMPUTED_VALUE"""),"2020-21")</f>
        <v>2020-21</v>
      </c>
      <c r="H62" s="133" t="str">
        <f>IFERROR(__xludf.DUMMYFUNCTION("""COMPUTED_VALUE"""),"SAC")</f>
        <v>SAC</v>
      </c>
      <c r="I62" s="145" t="str">
        <f>IFERROR(__xludf.DUMMYFUNCTION("""COMPUTED_VALUE"""),"Roll + Cut Big")</f>
        <v>Roll + Cut Big</v>
      </c>
      <c r="J62" s="145">
        <f>IFERROR(__xludf.DUMMYFUNCTION("""COMPUTED_VALUE"""),760.476666666666)</f>
        <v>760.4766667</v>
      </c>
      <c r="K62" s="133">
        <f>IFERROR(__xludf.DUMMYFUNCTION("""COMPUTED_VALUE"""),26.0)</f>
        <v>26</v>
      </c>
      <c r="L62" s="133" t="str">
        <f>IFERROR(__xludf.DUMMYFUNCTION("""COMPUTED_VALUE"""),"C")</f>
        <v>C</v>
      </c>
      <c r="M62" s="133">
        <f>IFERROR(__xludf.DUMMYFUNCTION("""COMPUTED_VALUE"""),27.0)</f>
        <v>27</v>
      </c>
      <c r="N62" s="134">
        <f>IFERROR(__xludf.DUMMYFUNCTION("""COMPUTED_VALUE"""),1.15738720597126)</f>
        <v>1.157387206</v>
      </c>
      <c r="O62" s="134">
        <f>IFERROR(__xludf.DUMMYFUNCTION("""COMPUTED_VALUE"""),-0.0888343141703438)</f>
        <v>-0.08883431417</v>
      </c>
      <c r="P62" s="134">
        <f>IFERROR(__xludf.DUMMYFUNCTION("""COMPUTED_VALUE"""),1.2462215201416)</f>
        <v>1.24622152</v>
      </c>
      <c r="Q62" s="146">
        <f>IFERROR(__xludf.DUMMYFUNCTION("""COMPUTED_VALUE"""),1.7646986743868727)</f>
        <v>1.764698674</v>
      </c>
      <c r="R62" s="17"/>
      <c r="S62" s="17"/>
      <c r="T62" s="75"/>
      <c r="U62" s="75"/>
      <c r="V62" s="75"/>
      <c r="W62" s="75"/>
      <c r="X62" s="75"/>
    </row>
    <row r="63">
      <c r="A63" s="17"/>
      <c r="B63" s="17" t="b">
        <f t="shared" si="12"/>
        <v>1</v>
      </c>
      <c r="C63" s="136" t="s">
        <v>30</v>
      </c>
      <c r="D63" s="150" t="b">
        <v>0</v>
      </c>
      <c r="E63" s="17"/>
      <c r="F63" s="133" t="str">
        <f>IFERROR(__xludf.DUMMYFUNCTION("""COMPUTED_VALUE"""),"Lonzo Ball")</f>
        <v>Lonzo Ball</v>
      </c>
      <c r="G63" s="133" t="str">
        <f>IFERROR(__xludf.DUMMYFUNCTION("""COMPUTED_VALUE"""),"2020-21")</f>
        <v>2020-21</v>
      </c>
      <c r="H63" s="133" t="str">
        <f>IFERROR(__xludf.DUMMYFUNCTION("""COMPUTED_VALUE"""),"NOP")</f>
        <v>NOP</v>
      </c>
      <c r="I63" s="145" t="str">
        <f>IFERROR(__xludf.DUMMYFUNCTION("""COMPUTED_VALUE"""),"Primary Ball Handler")</f>
        <v>Primary Ball Handler</v>
      </c>
      <c r="J63" s="145">
        <f>IFERROR(__xludf.DUMMYFUNCTION("""COMPUTED_VALUE"""),846.636666666667)</f>
        <v>846.6366667</v>
      </c>
      <c r="K63" s="133">
        <f>IFERROR(__xludf.DUMMYFUNCTION("""COMPUTED_VALUE"""),27.0)</f>
        <v>27</v>
      </c>
      <c r="L63" s="133" t="str">
        <f>IFERROR(__xludf.DUMMYFUNCTION("""COMPUTED_VALUE"""),"PG")</f>
        <v>PG</v>
      </c>
      <c r="M63" s="133">
        <f>IFERROR(__xludf.DUMMYFUNCTION("""COMPUTED_VALUE"""),23.0)</f>
        <v>23</v>
      </c>
      <c r="N63" s="134">
        <f>IFERROR(__xludf.DUMMYFUNCTION("""COMPUTED_VALUE"""),0.796408644545822)</f>
        <v>0.7964086445</v>
      </c>
      <c r="O63" s="134">
        <f>IFERROR(__xludf.DUMMYFUNCTION("""COMPUTED_VALUE"""),1.39362316871028)</f>
        <v>1.393623169</v>
      </c>
      <c r="P63" s="134">
        <f>IFERROR(__xludf.DUMMYFUNCTION("""COMPUTED_VALUE"""),-0.59721452416446)</f>
        <v>-0.5972145242</v>
      </c>
      <c r="Q63" s="146">
        <f>IFERROR(__xludf.DUMMYFUNCTION("""COMPUTED_VALUE"""),1.7594165411749294)</f>
        <v>1.759416541</v>
      </c>
      <c r="R63" s="17"/>
      <c r="S63" s="17"/>
      <c r="T63" s="75"/>
      <c r="U63" s="75"/>
      <c r="V63" s="75"/>
      <c r="W63" s="75"/>
      <c r="X63" s="75"/>
    </row>
    <row r="64">
      <c r="A64" s="17"/>
      <c r="B64" s="17" t="b">
        <f t="shared" si="12"/>
        <v>1</v>
      </c>
      <c r="C64" s="136" t="s">
        <v>224</v>
      </c>
      <c r="D64" s="150" t="b">
        <v>0</v>
      </c>
      <c r="E64" s="17"/>
      <c r="F64" s="133" t="str">
        <f>IFERROR(__xludf.DUMMYFUNCTION("""COMPUTED_VALUE"""),"Zach LaVine")</f>
        <v>Zach LaVine</v>
      </c>
      <c r="G64" s="133" t="str">
        <f>IFERROR(__xludf.DUMMYFUNCTION("""COMPUTED_VALUE"""),"2020-21")</f>
        <v>2020-21</v>
      </c>
      <c r="H64" s="133" t="str">
        <f>IFERROR(__xludf.DUMMYFUNCTION("""COMPUTED_VALUE"""),"CHI")</f>
        <v>CHI</v>
      </c>
      <c r="I64" s="145" t="str">
        <f>IFERROR(__xludf.DUMMYFUNCTION("""COMPUTED_VALUE"""),"Primary Ball Handler")</f>
        <v>Primary Ball Handler</v>
      </c>
      <c r="J64" s="145">
        <f>IFERROR(__xludf.DUMMYFUNCTION("""COMPUTED_VALUE"""),1035.89333333333)</f>
        <v>1035.893333</v>
      </c>
      <c r="K64" s="133">
        <f>IFERROR(__xludf.DUMMYFUNCTION("""COMPUTED_VALUE"""),29.0)</f>
        <v>29</v>
      </c>
      <c r="L64" s="133" t="str">
        <f>IFERROR(__xludf.DUMMYFUNCTION("""COMPUTED_VALUE"""),"SG")</f>
        <v>SG</v>
      </c>
      <c r="M64" s="133">
        <f>IFERROR(__xludf.DUMMYFUNCTION("""COMPUTED_VALUE"""),25.0)</f>
        <v>25</v>
      </c>
      <c r="N64" s="134">
        <f>IFERROR(__xludf.DUMMYFUNCTION("""COMPUTED_VALUE"""),0.231813482479175)</f>
        <v>0.2318134825</v>
      </c>
      <c r="O64" s="134">
        <f>IFERROR(__xludf.DUMMYFUNCTION("""COMPUTED_VALUE"""),2.21861171265297)</f>
        <v>2.218611713</v>
      </c>
      <c r="P64" s="134">
        <f>IFERROR(__xludf.DUMMYFUNCTION("""COMPUTED_VALUE"""),-1.9867982301738)</f>
        <v>-1.98679823</v>
      </c>
      <c r="Q64" s="146">
        <f>IFERROR(__xludf.DUMMYFUNCTION("""COMPUTED_VALUE"""),1.7588860623075806)</f>
        <v>1.758886062</v>
      </c>
      <c r="R64" s="17"/>
      <c r="S64" s="17"/>
      <c r="T64" s="75"/>
      <c r="U64" s="75"/>
      <c r="V64" s="75"/>
      <c r="W64" s="75"/>
      <c r="X64" s="75"/>
    </row>
    <row r="65">
      <c r="A65" s="17"/>
      <c r="B65" s="17" t="b">
        <f t="shared" si="12"/>
        <v>1</v>
      </c>
      <c r="C65" s="136" t="s">
        <v>36</v>
      </c>
      <c r="D65" s="150" t="b">
        <v>0</v>
      </c>
      <c r="E65" s="17"/>
      <c r="F65" s="133" t="str">
        <f>IFERROR(__xludf.DUMMYFUNCTION("""COMPUTED_VALUE"""),"Devonte' Graham")</f>
        <v>Devonte' Graham</v>
      </c>
      <c r="G65" s="133" t="str">
        <f>IFERROR(__xludf.DUMMYFUNCTION("""COMPUTED_VALUE"""),"2020-21")</f>
        <v>2020-21</v>
      </c>
      <c r="H65" s="133" t="str">
        <f>IFERROR(__xludf.DUMMYFUNCTION("""COMPUTED_VALUE"""),"CHO")</f>
        <v>CHO</v>
      </c>
      <c r="I65" s="145" t="str">
        <f>IFERROR(__xludf.DUMMYFUNCTION("""COMPUTED_VALUE"""),"Primary Ball Handler")</f>
        <v>Primary Ball Handler</v>
      </c>
      <c r="J65" s="145">
        <f>IFERROR(__xludf.DUMMYFUNCTION("""COMPUTED_VALUE"""),820.55)</f>
        <v>820.55</v>
      </c>
      <c r="K65" s="133">
        <f>IFERROR(__xludf.DUMMYFUNCTION("""COMPUTED_VALUE"""),25.0)</f>
        <v>25</v>
      </c>
      <c r="L65" s="133" t="str">
        <f>IFERROR(__xludf.DUMMYFUNCTION("""COMPUTED_VALUE"""),"PG")</f>
        <v>PG</v>
      </c>
      <c r="M65" s="133">
        <f>IFERROR(__xludf.DUMMYFUNCTION("""COMPUTED_VALUE"""),25.0)</f>
        <v>25</v>
      </c>
      <c r="N65" s="134">
        <f>IFERROR(__xludf.DUMMYFUNCTION("""COMPUTED_VALUE"""),0.856854028055687)</f>
        <v>0.8568540281</v>
      </c>
      <c r="O65" s="134">
        <f>IFERROR(__xludf.DUMMYFUNCTION("""COMPUTED_VALUE"""),1.6433071467347)</f>
        <v>1.643307147</v>
      </c>
      <c r="P65" s="134">
        <f>IFERROR(__xludf.DUMMYFUNCTION("""COMPUTED_VALUE"""),-0.786453118679011)</f>
        <v>-0.7864531187</v>
      </c>
      <c r="Q65" s="146">
        <f>IFERROR(__xludf.DUMMYFUNCTION("""COMPUTED_VALUE"""),1.7385488844889136)</f>
        <v>1.738548884</v>
      </c>
      <c r="R65" s="17"/>
      <c r="S65" s="17"/>
      <c r="T65" s="75"/>
      <c r="U65" s="75"/>
      <c r="V65" s="75"/>
      <c r="W65" s="75"/>
      <c r="X65" s="75"/>
    </row>
    <row r="66">
      <c r="A66" s="17"/>
      <c r="B66" s="17" t="b">
        <f t="shared" si="12"/>
        <v>1</v>
      </c>
      <c r="C66" s="136" t="s">
        <v>40</v>
      </c>
      <c r="D66" s="150" t="b">
        <v>0</v>
      </c>
      <c r="E66" s="17"/>
      <c r="F66" s="133" t="str">
        <f>IFERROR(__xludf.DUMMYFUNCTION("""COMPUTED_VALUE"""),"Robert Covington")</f>
        <v>Robert Covington</v>
      </c>
      <c r="G66" s="133" t="str">
        <f>IFERROR(__xludf.DUMMYFUNCTION("""COMPUTED_VALUE"""),"2020-21")</f>
        <v>2020-21</v>
      </c>
      <c r="H66" s="133" t="str">
        <f>IFERROR(__xludf.DUMMYFUNCTION("""COMPUTED_VALUE"""),"POR")</f>
        <v>POR</v>
      </c>
      <c r="I66" s="145" t="str">
        <f>IFERROR(__xludf.DUMMYFUNCTION("""COMPUTED_VALUE"""),"Movement Shooter")</f>
        <v>Movement Shooter</v>
      </c>
      <c r="J66" s="145">
        <f>IFERROR(__xludf.DUMMYFUNCTION("""COMPUTED_VALUE"""),851.72)</f>
        <v>851.72</v>
      </c>
      <c r="K66" s="133">
        <f>IFERROR(__xludf.DUMMYFUNCTION("""COMPUTED_VALUE"""),27.0)</f>
        <v>27</v>
      </c>
      <c r="L66" s="133" t="str">
        <f>IFERROR(__xludf.DUMMYFUNCTION("""COMPUTED_VALUE"""),"PF")</f>
        <v>PF</v>
      </c>
      <c r="M66" s="133">
        <f>IFERROR(__xludf.DUMMYFUNCTION("""COMPUTED_VALUE"""),30.0)</f>
        <v>30</v>
      </c>
      <c r="N66" s="134">
        <f>IFERROR(__xludf.DUMMYFUNCTION("""COMPUTED_VALUE"""),0.718222166927647)</f>
        <v>0.7182221669</v>
      </c>
      <c r="O66" s="134">
        <f>IFERROR(__xludf.DUMMYFUNCTION("""COMPUTED_VALUE"""),-1.04569808876292)</f>
        <v>-1.045698089</v>
      </c>
      <c r="P66" s="134">
        <f>IFERROR(__xludf.DUMMYFUNCTION("""COMPUTED_VALUE"""),1.76392025569057)</f>
        <v>1.763920256</v>
      </c>
      <c r="Q66" s="146">
        <f>IFERROR(__xludf.DUMMYFUNCTION("""COMPUTED_VALUE"""),1.725191263028588)</f>
        <v>1.725191263</v>
      </c>
      <c r="R66" s="17"/>
      <c r="S66" s="17"/>
      <c r="T66" s="75"/>
      <c r="U66" s="75"/>
      <c r="V66" s="75"/>
      <c r="W66" s="75"/>
      <c r="X66" s="75"/>
    </row>
    <row r="67">
      <c r="A67" s="17"/>
      <c r="B67" s="17" t="b">
        <f t="shared" si="12"/>
        <v>1</v>
      </c>
      <c r="C67" s="136" t="s">
        <v>27</v>
      </c>
      <c r="D67" s="150" t="b">
        <v>0</v>
      </c>
      <c r="E67" s="17"/>
      <c r="F67" s="133" t="str">
        <f>IFERROR(__xludf.DUMMYFUNCTION("""COMPUTED_VALUE"""),"Jordan Clarkson")</f>
        <v>Jordan Clarkson</v>
      </c>
      <c r="G67" s="133" t="str">
        <f>IFERROR(__xludf.DUMMYFUNCTION("""COMPUTED_VALUE"""),"2020-21")</f>
        <v>2020-21</v>
      </c>
      <c r="H67" s="133" t="str">
        <f>IFERROR(__xludf.DUMMYFUNCTION("""COMPUTED_VALUE"""),"UTA")</f>
        <v>UTA</v>
      </c>
      <c r="I67" s="145" t="str">
        <f>IFERROR(__xludf.DUMMYFUNCTION("""COMPUTED_VALUE"""),"Secondary Ball Handler")</f>
        <v>Secondary Ball Handler</v>
      </c>
      <c r="J67" s="145">
        <f>IFERROR(__xludf.DUMMYFUNCTION("""COMPUTED_VALUE"""),787.021666666667)</f>
        <v>787.0216667</v>
      </c>
      <c r="K67" s="133">
        <f>IFERROR(__xludf.DUMMYFUNCTION("""COMPUTED_VALUE"""),30.0)</f>
        <v>30</v>
      </c>
      <c r="L67" s="133" t="str">
        <f>IFERROR(__xludf.DUMMYFUNCTION("""COMPUTED_VALUE"""),"SG")</f>
        <v>SG</v>
      </c>
      <c r="M67" s="133">
        <f>IFERROR(__xludf.DUMMYFUNCTION("""COMPUTED_VALUE"""),28.0)</f>
        <v>28</v>
      </c>
      <c r="N67" s="134">
        <f>IFERROR(__xludf.DUMMYFUNCTION("""COMPUTED_VALUE"""),0.949974152410702)</f>
        <v>0.9499741524</v>
      </c>
      <c r="O67" s="134">
        <f>IFERROR(__xludf.DUMMYFUNCTION("""COMPUTED_VALUE"""),1.9880113517196)</f>
        <v>1.988011352</v>
      </c>
      <c r="P67" s="134">
        <f>IFERROR(__xludf.DUMMYFUNCTION("""COMPUTED_VALUE"""),-1.0380371993089)</f>
        <v>-1.038037199</v>
      </c>
      <c r="Q67" s="146">
        <f>IFERROR(__xludf.DUMMYFUNCTION("""COMPUTED_VALUE"""),1.7167522737188146)</f>
        <v>1.716752274</v>
      </c>
      <c r="R67" s="17"/>
      <c r="S67" s="17"/>
      <c r="T67" s="75"/>
      <c r="U67" s="75"/>
      <c r="V67" s="75"/>
      <c r="W67" s="75"/>
      <c r="X67" s="75"/>
    </row>
    <row r="68">
      <c r="A68" s="17"/>
      <c r="B68" s="17" t="b">
        <f t="shared" si="12"/>
        <v>1</v>
      </c>
      <c r="C68" s="136" t="s">
        <v>31</v>
      </c>
      <c r="D68" s="150" t="b">
        <v>0</v>
      </c>
      <c r="E68" s="17"/>
      <c r="F68" s="133" t="str">
        <f>IFERROR(__xludf.DUMMYFUNCTION("""COMPUTED_VALUE"""),"Andre Drummond")</f>
        <v>Andre Drummond</v>
      </c>
      <c r="G68" s="133" t="str">
        <f>IFERROR(__xludf.DUMMYFUNCTION("""COMPUTED_VALUE"""),"2020-21")</f>
        <v>2020-21</v>
      </c>
      <c r="H68" s="133" t="str">
        <f>IFERROR(__xludf.DUMMYFUNCTION("""COMPUTED_VALUE"""),"CLE")</f>
        <v>CLE</v>
      </c>
      <c r="I68" s="145" t="str">
        <f>IFERROR(__xludf.DUMMYFUNCTION("""COMPUTED_VALUE"""),"Post Scorer")</f>
        <v>Post Scorer</v>
      </c>
      <c r="J68" s="145">
        <f>IFERROR(__xludf.DUMMYFUNCTION("""COMPUTED_VALUE"""),721.803333333333)</f>
        <v>721.8033333</v>
      </c>
      <c r="K68" s="133">
        <f>IFERROR(__xludf.DUMMYFUNCTION("""COMPUTED_VALUE"""),25.0)</f>
        <v>25</v>
      </c>
      <c r="L68" s="133" t="str">
        <f>IFERROR(__xludf.DUMMYFUNCTION("""COMPUTED_VALUE"""),"C")</f>
        <v>C</v>
      </c>
      <c r="M68" s="133">
        <f>IFERROR(__xludf.DUMMYFUNCTION("""COMPUTED_VALUE"""),27.0)</f>
        <v>27</v>
      </c>
      <c r="N68" s="134">
        <f>IFERROR(__xludf.DUMMYFUNCTION("""COMPUTED_VALUE"""),1.23361297661319)</f>
        <v>1.233612977</v>
      </c>
      <c r="O68" s="134">
        <f>IFERROR(__xludf.DUMMYFUNCTION("""COMPUTED_VALUE"""),0.0303048398309973)</f>
        <v>0.03030483983</v>
      </c>
      <c r="P68" s="134">
        <f>IFERROR(__xludf.DUMMYFUNCTION("""COMPUTED_VALUE"""),1.20330813678219)</f>
        <v>1.203308137</v>
      </c>
      <c r="Q68" s="146">
        <f>IFERROR(__xludf.DUMMYFUNCTION("""COMPUTED_VALUE"""),1.7118303547465)</f>
        <v>1.711830355</v>
      </c>
      <c r="R68" s="17"/>
      <c r="S68" s="17"/>
      <c r="T68" s="75"/>
      <c r="U68" s="75"/>
      <c r="V68" s="75"/>
      <c r="W68" s="75"/>
      <c r="X68" s="75"/>
    </row>
    <row r="69">
      <c r="A69" s="17"/>
      <c r="B69" s="17" t="b">
        <f t="shared" si="12"/>
        <v>1</v>
      </c>
      <c r="C69" s="136" t="s">
        <v>28</v>
      </c>
      <c r="D69" s="150" t="b">
        <v>0</v>
      </c>
      <c r="E69" s="17"/>
      <c r="F69" s="133" t="str">
        <f>IFERROR(__xludf.DUMMYFUNCTION("""COMPUTED_VALUE"""),"Joe Ingles")</f>
        <v>Joe Ingles</v>
      </c>
      <c r="G69" s="133" t="str">
        <f>IFERROR(__xludf.DUMMYFUNCTION("""COMPUTED_VALUE"""),"2020-21")</f>
        <v>2020-21</v>
      </c>
      <c r="H69" s="133" t="str">
        <f>IFERROR(__xludf.DUMMYFUNCTION("""COMPUTED_VALUE"""),"UTA")</f>
        <v>UTA</v>
      </c>
      <c r="I69" s="145" t="str">
        <f>IFERROR(__xludf.DUMMYFUNCTION("""COMPUTED_VALUE"""),"Secondary Ball Handler")</f>
        <v>Secondary Ball Handler</v>
      </c>
      <c r="J69" s="145">
        <f>IFERROR(__xludf.DUMMYFUNCTION("""COMPUTED_VALUE"""),690.033333333333)</f>
        <v>690.0333333</v>
      </c>
      <c r="K69" s="133">
        <f>IFERROR(__xludf.DUMMYFUNCTION("""COMPUTED_VALUE"""),26.0)</f>
        <v>26</v>
      </c>
      <c r="L69" s="133" t="str">
        <f>IFERROR(__xludf.DUMMYFUNCTION("""COMPUTED_VALUE"""),"SF")</f>
        <v>SF</v>
      </c>
      <c r="M69" s="133">
        <f>IFERROR(__xludf.DUMMYFUNCTION("""COMPUTED_VALUE"""),33.0)</f>
        <v>33</v>
      </c>
      <c r="N69" s="134">
        <f>IFERROR(__xludf.DUMMYFUNCTION("""COMPUTED_VALUE"""),1.39058344089376)</f>
        <v>1.390583441</v>
      </c>
      <c r="O69" s="134">
        <f>IFERROR(__xludf.DUMMYFUNCTION("""COMPUTED_VALUE"""),1.02666050591984)</f>
        <v>1.026660506</v>
      </c>
      <c r="P69" s="134">
        <f>IFERROR(__xludf.DUMMYFUNCTION("""COMPUTED_VALUE"""),0.363922934973925)</f>
        <v>0.363922935</v>
      </c>
      <c r="Q69" s="146">
        <f>IFERROR(__xludf.DUMMYFUNCTION("""COMPUTED_VALUE"""),1.7089872661602115)</f>
        <v>1.708987266</v>
      </c>
      <c r="R69" s="17"/>
      <c r="S69" s="17"/>
      <c r="T69" s="75"/>
      <c r="U69" s="75"/>
      <c r="V69" s="75"/>
      <c r="W69" s="75"/>
      <c r="X69" s="75"/>
    </row>
    <row r="70">
      <c r="A70" s="17"/>
      <c r="B70" s="17" t="b">
        <f t="shared" si="12"/>
        <v>1</v>
      </c>
      <c r="C70" s="136" t="s">
        <v>47</v>
      </c>
      <c r="D70" s="150" t="b">
        <v>0</v>
      </c>
      <c r="E70" s="17"/>
      <c r="F70" s="133" t="str">
        <f>IFERROR(__xludf.DUMMYFUNCTION("""COMPUTED_VALUE"""),"Montrezl Harrell")</f>
        <v>Montrezl Harrell</v>
      </c>
      <c r="G70" s="133" t="str">
        <f>IFERROR(__xludf.DUMMYFUNCTION("""COMPUTED_VALUE"""),"2020-21")</f>
        <v>2020-21</v>
      </c>
      <c r="H70" s="133" t="str">
        <f>IFERROR(__xludf.DUMMYFUNCTION("""COMPUTED_VALUE"""),"LAL")</f>
        <v>LAL</v>
      </c>
      <c r="I70" s="145" t="str">
        <f>IFERROR(__xludf.DUMMYFUNCTION("""COMPUTED_VALUE"""),"Post Scorer")</f>
        <v>Post Scorer</v>
      </c>
      <c r="J70" s="145">
        <f>IFERROR(__xludf.DUMMYFUNCTION("""COMPUTED_VALUE"""),752.363333333333)</f>
        <v>752.3633333</v>
      </c>
      <c r="K70" s="133">
        <f>IFERROR(__xludf.DUMMYFUNCTION("""COMPUTED_VALUE"""),31.0)</f>
        <v>31</v>
      </c>
      <c r="L70" s="133" t="str">
        <f>IFERROR(__xludf.DUMMYFUNCTION("""COMPUTED_VALUE"""),"C")</f>
        <v>C</v>
      </c>
      <c r="M70" s="133">
        <f>IFERROR(__xludf.DUMMYFUNCTION("""COMPUTED_VALUE"""),27.0)</f>
        <v>27</v>
      </c>
      <c r="N70" s="134">
        <f>IFERROR(__xludf.DUMMYFUNCTION("""COMPUTED_VALUE"""),1.07184327879687)</f>
        <v>1.071843279</v>
      </c>
      <c r="O70" s="134">
        <f>IFERROR(__xludf.DUMMYFUNCTION("""COMPUTED_VALUE"""),0.513300702481158)</f>
        <v>0.5133007025</v>
      </c>
      <c r="P70" s="134">
        <f>IFERROR(__xludf.DUMMYFUNCTION("""COMPUTED_VALUE"""),0.558542576315712)</f>
        <v>0.5585425763</v>
      </c>
      <c r="Q70" s="146">
        <f>IFERROR(__xludf.DUMMYFUNCTION("""COMPUTED_VALUE"""),1.7027046147451637)</f>
        <v>1.702704615</v>
      </c>
      <c r="R70" s="17"/>
      <c r="S70" s="17"/>
      <c r="T70" s="75"/>
      <c r="U70" s="75"/>
      <c r="V70" s="75"/>
      <c r="W70" s="75"/>
      <c r="X70" s="75"/>
    </row>
    <row r="71">
      <c r="A71" s="17"/>
      <c r="B71" s="17" t="b">
        <f t="shared" si="12"/>
        <v>1</v>
      </c>
      <c r="C71" s="133" t="s">
        <v>46</v>
      </c>
      <c r="D71" s="150" t="b">
        <v>0</v>
      </c>
      <c r="E71" s="17"/>
      <c r="F71" s="133" t="str">
        <f>IFERROR(__xludf.DUMMYFUNCTION("""COMPUTED_VALUE"""),"Christian Wood")</f>
        <v>Christian Wood</v>
      </c>
      <c r="G71" s="133" t="str">
        <f>IFERROR(__xludf.DUMMYFUNCTION("""COMPUTED_VALUE"""),"2020-21")</f>
        <v>2020-21</v>
      </c>
      <c r="H71" s="133" t="str">
        <f>IFERROR(__xludf.DUMMYFUNCTION("""COMPUTED_VALUE"""),"HOU")</f>
        <v>HOU</v>
      </c>
      <c r="I71" s="145" t="str">
        <f>IFERROR(__xludf.DUMMYFUNCTION("""COMPUTED_VALUE"""),"Stretch Big")</f>
        <v>Stretch Big</v>
      </c>
      <c r="J71" s="145">
        <f>IFERROR(__xludf.DUMMYFUNCTION("""COMPUTED_VALUE"""),530.345)</f>
        <v>530.345</v>
      </c>
      <c r="K71" s="133">
        <f>IFERROR(__xludf.DUMMYFUNCTION("""COMPUTED_VALUE"""),17.0)</f>
        <v>17</v>
      </c>
      <c r="L71" s="133" t="str">
        <f>IFERROR(__xludf.DUMMYFUNCTION("""COMPUTED_VALUE"""),"C")</f>
        <v>C</v>
      </c>
      <c r="M71" s="133">
        <f>IFERROR(__xludf.DUMMYFUNCTION("""COMPUTED_VALUE"""),25.0)</f>
        <v>25</v>
      </c>
      <c r="N71" s="134">
        <f>IFERROR(__xludf.DUMMYFUNCTION("""COMPUTED_VALUE"""),2.46219826915916)</f>
        <v>2.462198269</v>
      </c>
      <c r="O71" s="134">
        <f>IFERROR(__xludf.DUMMYFUNCTION("""COMPUTED_VALUE"""),1.22647759021631)</f>
        <v>1.22647759</v>
      </c>
      <c r="P71" s="134">
        <f>IFERROR(__xludf.DUMMYFUNCTION("""COMPUTED_VALUE"""),1.23572067894285)</f>
        <v>1.235720679</v>
      </c>
      <c r="Q71" s="146">
        <f>IFERROR(__xludf.DUMMYFUNCTION("""COMPUTED_VALUE"""),1.6906418002090646)</f>
        <v>1.6906418</v>
      </c>
      <c r="R71" s="17"/>
      <c r="S71" s="17"/>
      <c r="T71" s="75"/>
      <c r="U71" s="75"/>
      <c r="V71" s="75"/>
      <c r="W71" s="75"/>
      <c r="X71" s="75"/>
    </row>
    <row r="72">
      <c r="A72" s="17"/>
      <c r="B72" s="17" t="b">
        <f>B42</f>
        <v>1</v>
      </c>
      <c r="C72" s="155" t="s">
        <v>1</v>
      </c>
      <c r="D72" s="133"/>
      <c r="E72" s="17"/>
      <c r="F72" s="133" t="str">
        <f>IFERROR(__xludf.DUMMYFUNCTION("""COMPUTED_VALUE"""),"Delon Wright")</f>
        <v>Delon Wright</v>
      </c>
      <c r="G72" s="133" t="str">
        <f>IFERROR(__xludf.DUMMYFUNCTION("""COMPUTED_VALUE"""),"2020-21")</f>
        <v>2020-21</v>
      </c>
      <c r="H72" s="133" t="str">
        <f>IFERROR(__xludf.DUMMYFUNCTION("""COMPUTED_VALUE"""),"DET")</f>
        <v>DET</v>
      </c>
      <c r="I72" s="145" t="str">
        <f>IFERROR(__xludf.DUMMYFUNCTION("""COMPUTED_VALUE"""),"Primary Ball Handler")</f>
        <v>Primary Ball Handler</v>
      </c>
      <c r="J72" s="145">
        <f>IFERROR(__xludf.DUMMYFUNCTION("""COMPUTED_VALUE"""),847.943333333333)</f>
        <v>847.9433333</v>
      </c>
      <c r="K72" s="133">
        <f>IFERROR(__xludf.DUMMYFUNCTION("""COMPUTED_VALUE"""),29.0)</f>
        <v>29</v>
      </c>
      <c r="L72" s="133" t="str">
        <f>IFERROR(__xludf.DUMMYFUNCTION("""COMPUTED_VALUE"""),"SG")</f>
        <v>SG</v>
      </c>
      <c r="M72" s="133">
        <f>IFERROR(__xludf.DUMMYFUNCTION("""COMPUTED_VALUE"""),28.0)</f>
        <v>28</v>
      </c>
      <c r="N72" s="134">
        <f>IFERROR(__xludf.DUMMYFUNCTION("""COMPUTED_VALUE"""),0.658919983622279)</f>
        <v>0.6589199836</v>
      </c>
      <c r="O72" s="134">
        <f>IFERROR(__xludf.DUMMYFUNCTION("""COMPUTED_VALUE"""),0.221818789977125)</f>
        <v>0.22181879</v>
      </c>
      <c r="P72" s="134">
        <f>IFERROR(__xludf.DUMMYFUNCTION("""COMPUTED_VALUE"""),0.437101193645153)</f>
        <v>0.4371011936</v>
      </c>
      <c r="Q72" s="146">
        <f>IFERROR(__xludf.DUMMYFUNCTION("""COMPUTED_VALUE"""),1.6837068607181198)</f>
        <v>1.683706861</v>
      </c>
      <c r="R72" s="17"/>
      <c r="S72" s="17"/>
      <c r="T72" s="75"/>
      <c r="U72" s="75"/>
      <c r="V72" s="75"/>
      <c r="W72" s="75"/>
      <c r="X72" s="75"/>
    </row>
    <row r="73">
      <c r="A73" s="17"/>
      <c r="B73" s="17" t="b">
        <f>B44</f>
        <v>1</v>
      </c>
      <c r="C73" s="155" t="s">
        <v>45</v>
      </c>
      <c r="D73" s="133"/>
      <c r="E73" s="17"/>
      <c r="F73" s="133" t="str">
        <f>IFERROR(__xludf.DUMMYFUNCTION("""COMPUTED_VALUE"""),"John Collins")</f>
        <v>John Collins</v>
      </c>
      <c r="G73" s="133" t="str">
        <f>IFERROR(__xludf.DUMMYFUNCTION("""COMPUTED_VALUE"""),"2020-21")</f>
        <v>2020-21</v>
      </c>
      <c r="H73" s="133" t="str">
        <f>IFERROR(__xludf.DUMMYFUNCTION("""COMPUTED_VALUE"""),"ATL")</f>
        <v>ATL</v>
      </c>
      <c r="I73" s="145" t="str">
        <f>IFERROR(__xludf.DUMMYFUNCTION("""COMPUTED_VALUE"""),"Stretch Big")</f>
        <v>Stretch Big</v>
      </c>
      <c r="J73" s="145">
        <f>IFERROR(__xludf.DUMMYFUNCTION("""COMPUTED_VALUE"""),943.848333333333)</f>
        <v>943.8483333</v>
      </c>
      <c r="K73" s="133">
        <f>IFERROR(__xludf.DUMMYFUNCTION("""COMPUTED_VALUE"""),30.0)</f>
        <v>30</v>
      </c>
      <c r="L73" s="133" t="str">
        <f>IFERROR(__xludf.DUMMYFUNCTION("""COMPUTED_VALUE"""),"PF")</f>
        <v>PF</v>
      </c>
      <c r="M73" s="133">
        <f>IFERROR(__xludf.DUMMYFUNCTION("""COMPUTED_VALUE"""),23.0)</f>
        <v>23</v>
      </c>
      <c r="N73" s="134">
        <f>IFERROR(__xludf.DUMMYFUNCTION("""COMPUTED_VALUE"""),0.343565719460258)</f>
        <v>0.3435657195</v>
      </c>
      <c r="O73" s="134">
        <f>IFERROR(__xludf.DUMMYFUNCTION("""COMPUTED_VALUE"""),0.240923954119678)</f>
        <v>0.2409239541</v>
      </c>
      <c r="P73" s="134">
        <f>IFERROR(__xludf.DUMMYFUNCTION("""COMPUTED_VALUE"""),0.10264176534058)</f>
        <v>0.1026417653</v>
      </c>
      <c r="Q73" s="146">
        <f>IFERROR(__xludf.DUMMYFUNCTION("""COMPUTED_VALUE"""),1.6736858543351618)</f>
        <v>1.673685854</v>
      </c>
      <c r="R73" s="17"/>
      <c r="S73" s="17"/>
      <c r="T73" s="75"/>
      <c r="U73" s="75"/>
      <c r="V73" s="75"/>
      <c r="W73" s="75"/>
      <c r="X73" s="75"/>
    </row>
    <row r="74">
      <c r="A74" s="17"/>
      <c r="B74" s="17" t="b">
        <f>B42</f>
        <v>1</v>
      </c>
      <c r="C74" s="155" t="s">
        <v>50</v>
      </c>
      <c r="D74" s="133"/>
      <c r="E74" s="17"/>
      <c r="F74" s="133" t="str">
        <f>IFERROR(__xludf.DUMMYFUNCTION("""COMPUTED_VALUE"""),"Al Horford")</f>
        <v>Al Horford</v>
      </c>
      <c r="G74" s="133" t="str">
        <f>IFERROR(__xludf.DUMMYFUNCTION("""COMPUTED_VALUE"""),"2020-21")</f>
        <v>2020-21</v>
      </c>
      <c r="H74" s="133" t="str">
        <f>IFERROR(__xludf.DUMMYFUNCTION("""COMPUTED_VALUE"""),"OKC")</f>
        <v>OKC</v>
      </c>
      <c r="I74" s="145" t="str">
        <f>IFERROR(__xludf.DUMMYFUNCTION("""COMPUTED_VALUE"""),"Versatile Big")</f>
        <v>Versatile Big</v>
      </c>
      <c r="J74" s="145">
        <f>IFERROR(__xludf.DUMMYFUNCTION("""COMPUTED_VALUE"""),593.305)</f>
        <v>593.305</v>
      </c>
      <c r="K74" s="133">
        <f>IFERROR(__xludf.DUMMYFUNCTION("""COMPUTED_VALUE"""),21.0)</f>
        <v>21</v>
      </c>
      <c r="L74" s="133" t="str">
        <f>IFERROR(__xludf.DUMMYFUNCTION("""COMPUTED_VALUE"""),"C")</f>
        <v>C</v>
      </c>
      <c r="M74" s="133">
        <f>IFERROR(__xludf.DUMMYFUNCTION("""COMPUTED_VALUE"""),34.0)</f>
        <v>34</v>
      </c>
      <c r="N74" s="134">
        <f>IFERROR(__xludf.DUMMYFUNCTION("""COMPUTED_VALUE"""),1.90626896537472)</f>
        <v>1.906268965</v>
      </c>
      <c r="O74" s="134">
        <f>IFERROR(__xludf.DUMMYFUNCTION("""COMPUTED_VALUE"""),-0.25419116107229)</f>
        <v>-0.2541911611</v>
      </c>
      <c r="P74" s="134">
        <f>IFERROR(__xludf.DUMMYFUNCTION("""COMPUTED_VALUE"""),2.16046012644701)</f>
        <v>2.160460126</v>
      </c>
      <c r="Q74" s="146">
        <f>IFERROR(__xludf.DUMMYFUNCTION("""COMPUTED_VALUE"""),1.6733604024178488)</f>
        <v>1.673360402</v>
      </c>
      <c r="R74" s="17"/>
      <c r="S74" s="17"/>
      <c r="T74" s="75"/>
      <c r="U74" s="75"/>
      <c r="V74" s="75"/>
      <c r="W74" s="75"/>
      <c r="X74" s="75"/>
    </row>
    <row r="75">
      <c r="A75" s="17"/>
      <c r="B75" s="17" t="b">
        <f>B59</f>
        <v>1</v>
      </c>
      <c r="C75" s="155" t="s">
        <v>20</v>
      </c>
      <c r="D75" s="133"/>
      <c r="E75" s="17"/>
      <c r="F75" s="133" t="str">
        <f>IFERROR(__xludf.DUMMYFUNCTION("""COMPUTED_VALUE"""),"Nikola Vucevic")</f>
        <v>Nikola Vucevic</v>
      </c>
      <c r="G75" s="133" t="str">
        <f>IFERROR(__xludf.DUMMYFUNCTION("""COMPUTED_VALUE"""),"2020-21")</f>
        <v>2020-21</v>
      </c>
      <c r="H75" s="133" t="str">
        <f>IFERROR(__xludf.DUMMYFUNCTION("""COMPUTED_VALUE"""),"ORL")</f>
        <v>ORL</v>
      </c>
      <c r="I75" s="145" t="str">
        <f>IFERROR(__xludf.DUMMYFUNCTION("""COMPUTED_VALUE"""),"Versatile Big")</f>
        <v>Versatile Big</v>
      </c>
      <c r="J75" s="145">
        <f>IFERROR(__xludf.DUMMYFUNCTION("""COMPUTED_VALUE"""),1048.66)</f>
        <v>1048.66</v>
      </c>
      <c r="K75" s="133">
        <f>IFERROR(__xludf.DUMMYFUNCTION("""COMPUTED_VALUE"""),31.0)</f>
        <v>31</v>
      </c>
      <c r="L75" s="133" t="str">
        <f>IFERROR(__xludf.DUMMYFUNCTION("""COMPUTED_VALUE"""),"C")</f>
        <v>C</v>
      </c>
      <c r="M75" s="133">
        <f>IFERROR(__xludf.DUMMYFUNCTION("""COMPUTED_VALUE"""),30.0)</f>
        <v>30</v>
      </c>
      <c r="N75" s="134">
        <f>IFERROR(__xludf.DUMMYFUNCTION("""COMPUTED_VALUE"""),0.070388331466725)</f>
        <v>0.07038833147</v>
      </c>
      <c r="O75" s="134">
        <f>IFERROR(__xludf.DUMMYFUNCTION("""COMPUTED_VALUE"""),-0.0544716446126627)</f>
        <v>-0.05447164461</v>
      </c>
      <c r="P75" s="134">
        <f>IFERROR(__xludf.DUMMYFUNCTION("""COMPUTED_VALUE"""),0.124859976079388)</f>
        <v>0.1248599761</v>
      </c>
      <c r="Q75" s="146">
        <f>IFERROR(__xludf.DUMMYFUNCTION("""COMPUTED_VALUE"""),1.6664480852924652)</f>
        <v>1.666448085</v>
      </c>
      <c r="R75" s="17"/>
      <c r="S75" s="17"/>
      <c r="T75" s="75"/>
      <c r="U75" s="75"/>
      <c r="V75" s="75"/>
      <c r="W75" s="75"/>
      <c r="X75" s="75"/>
    </row>
    <row r="76">
      <c r="A76" s="17"/>
      <c r="B76" s="17" t="b">
        <f>B64</f>
        <v>1</v>
      </c>
      <c r="C76" s="155" t="s">
        <v>44</v>
      </c>
      <c r="D76" s="133"/>
      <c r="E76" s="17"/>
      <c r="F76" s="133" t="str">
        <f>IFERROR(__xludf.DUMMYFUNCTION("""COMPUTED_VALUE"""),"Jakob Poeltl")</f>
        <v>Jakob Poeltl</v>
      </c>
      <c r="G76" s="133" t="str">
        <f>IFERROR(__xludf.DUMMYFUNCTION("""COMPUTED_VALUE"""),"2020-21")</f>
        <v>2020-21</v>
      </c>
      <c r="H76" s="133" t="str">
        <f>IFERROR(__xludf.DUMMYFUNCTION("""COMPUTED_VALUE"""),"SAS")</f>
        <v>SAS</v>
      </c>
      <c r="I76" s="145" t="str">
        <f>IFERROR(__xludf.DUMMYFUNCTION("""COMPUTED_VALUE"""),"Roll + Cut Big")</f>
        <v>Roll + Cut Big</v>
      </c>
      <c r="J76" s="145">
        <f>IFERROR(__xludf.DUMMYFUNCTION("""COMPUTED_VALUE"""),600.166666666667)</f>
        <v>600.1666667</v>
      </c>
      <c r="K76" s="133">
        <f>IFERROR(__xludf.DUMMYFUNCTION("""COMPUTED_VALUE"""),27.0)</f>
        <v>27</v>
      </c>
      <c r="L76" s="133" t="str">
        <f>IFERROR(__xludf.DUMMYFUNCTION("""COMPUTED_VALUE"""),"C")</f>
        <v>C</v>
      </c>
      <c r="M76" s="133">
        <f>IFERROR(__xludf.DUMMYFUNCTION("""COMPUTED_VALUE"""),25.0)</f>
        <v>25</v>
      </c>
      <c r="N76" s="134">
        <f>IFERROR(__xludf.DUMMYFUNCTION("""COMPUTED_VALUE"""),1.79075206485046)</f>
        <v>1.790752065</v>
      </c>
      <c r="O76" s="134">
        <f>IFERROR(__xludf.DUMMYFUNCTION("""COMPUTED_VALUE"""),-1.15950606475041)</f>
        <v>-1.159506065</v>
      </c>
      <c r="P76" s="134">
        <f>IFERROR(__xludf.DUMMYFUNCTION("""COMPUTED_VALUE"""),2.95025812960087)</f>
        <v>2.95025813</v>
      </c>
      <c r="Q76" s="146">
        <f>IFERROR(__xludf.DUMMYFUNCTION("""COMPUTED_VALUE"""),1.6466314768703982)</f>
        <v>1.646631477</v>
      </c>
      <c r="R76" s="17"/>
      <c r="S76" s="17"/>
      <c r="T76" s="75"/>
      <c r="U76" s="75"/>
      <c r="V76" s="75"/>
      <c r="W76" s="75"/>
      <c r="X76" s="75"/>
    </row>
    <row r="77">
      <c r="A77" s="17"/>
      <c r="B77" s="17"/>
      <c r="C77" s="133"/>
      <c r="D77" s="133"/>
      <c r="E77" s="17"/>
      <c r="F77" s="133" t="str">
        <f>IFERROR(__xludf.DUMMYFUNCTION("""COMPUTED_VALUE"""),"Royce O'Neale")</f>
        <v>Royce O'Neale</v>
      </c>
      <c r="G77" s="133" t="str">
        <f>IFERROR(__xludf.DUMMYFUNCTION("""COMPUTED_VALUE"""),"2020-21")</f>
        <v>2020-21</v>
      </c>
      <c r="H77" s="133" t="str">
        <f>IFERROR(__xludf.DUMMYFUNCTION("""COMPUTED_VALUE"""),"UTA")</f>
        <v>UTA</v>
      </c>
      <c r="I77" s="145" t="str">
        <f>IFERROR(__xludf.DUMMYFUNCTION("""COMPUTED_VALUE"""),"Stationary Shooter")</f>
        <v>Stationary Shooter</v>
      </c>
      <c r="J77" s="145">
        <f>IFERROR(__xludf.DUMMYFUNCTION("""COMPUTED_VALUE"""),981.358333333334)</f>
        <v>981.3583333</v>
      </c>
      <c r="K77" s="133">
        <f>IFERROR(__xludf.DUMMYFUNCTION("""COMPUTED_VALUE"""),30.0)</f>
        <v>30</v>
      </c>
      <c r="L77" s="133" t="str">
        <f>IFERROR(__xludf.DUMMYFUNCTION("""COMPUTED_VALUE"""),"SF")</f>
        <v>SF</v>
      </c>
      <c r="M77" s="133">
        <f>IFERROR(__xludf.DUMMYFUNCTION("""COMPUTED_VALUE"""),27.0)</f>
        <v>27</v>
      </c>
      <c r="N77" s="134">
        <f>IFERROR(__xludf.DUMMYFUNCTION("""COMPUTED_VALUE"""),0.151281503780204)</f>
        <v>0.1512815038</v>
      </c>
      <c r="O77" s="134">
        <f>IFERROR(__xludf.DUMMYFUNCTION("""COMPUTED_VALUE"""),-1.4208085445994)</f>
        <v>-1.420808545</v>
      </c>
      <c r="P77" s="134">
        <f>IFERROR(__xludf.DUMMYFUNCTION("""COMPUTED_VALUE"""),1.5720900483796)</f>
        <v>1.572090048</v>
      </c>
      <c r="Q77" s="146">
        <f>IFERROR(__xludf.DUMMYFUNCTION("""COMPUTED_VALUE"""),1.6130153882757592)</f>
        <v>1.613015388</v>
      </c>
      <c r="R77" s="17"/>
      <c r="S77" s="17"/>
      <c r="T77" s="75"/>
      <c r="U77" s="75"/>
      <c r="V77" s="75"/>
      <c r="W77" s="75"/>
      <c r="X77" s="75"/>
    </row>
    <row r="78">
      <c r="A78" s="17"/>
      <c r="B78" s="17"/>
      <c r="C78" s="133"/>
      <c r="D78" s="133"/>
      <c r="E78" s="17"/>
      <c r="F78" s="133" t="str">
        <f>IFERROR(__xludf.DUMMYFUNCTION("""COMPUTED_VALUE"""),"Thaddeus Young")</f>
        <v>Thaddeus Young</v>
      </c>
      <c r="G78" s="133" t="str">
        <f>IFERROR(__xludf.DUMMYFUNCTION("""COMPUTED_VALUE"""),"2020-21")</f>
        <v>2020-21</v>
      </c>
      <c r="H78" s="133" t="str">
        <f>IFERROR(__xludf.DUMMYFUNCTION("""COMPUTED_VALUE"""),"CHI")</f>
        <v>CHI</v>
      </c>
      <c r="I78" s="145" t="str">
        <f>IFERROR(__xludf.DUMMYFUNCTION("""COMPUTED_VALUE"""),"Roll + Cut Big")</f>
        <v>Roll + Cut Big</v>
      </c>
      <c r="J78" s="145">
        <f>IFERROR(__xludf.DUMMYFUNCTION("""COMPUTED_VALUE"""),633.851666666667)</f>
        <v>633.8516667</v>
      </c>
      <c r="K78" s="133">
        <f>IFERROR(__xludf.DUMMYFUNCTION("""COMPUTED_VALUE"""),25.0)</f>
        <v>25</v>
      </c>
      <c r="L78" s="133" t="str">
        <f>IFERROR(__xludf.DUMMYFUNCTION("""COMPUTED_VALUE"""),"PF")</f>
        <v>PF</v>
      </c>
      <c r="M78" s="133">
        <f>IFERROR(__xludf.DUMMYFUNCTION("""COMPUTED_VALUE"""),32.0)</f>
        <v>32</v>
      </c>
      <c r="N78" s="134">
        <f>IFERROR(__xludf.DUMMYFUNCTION("""COMPUTED_VALUE"""),1.48552254867059)</f>
        <v>1.485522549</v>
      </c>
      <c r="O78" s="134">
        <f>IFERROR(__xludf.DUMMYFUNCTION("""COMPUTED_VALUE"""),1.07347377864875)</f>
        <v>1.073473779</v>
      </c>
      <c r="P78" s="134">
        <f>IFERROR(__xludf.DUMMYFUNCTION("""COMPUTED_VALUE"""),0.412048770021843)</f>
        <v>0.41204877</v>
      </c>
      <c r="Q78" s="146">
        <f>IFERROR(__xludf.DUMMYFUNCTION("""COMPUTED_VALUE"""),1.6100667653588971)</f>
        <v>1.610066765</v>
      </c>
      <c r="R78" s="17"/>
      <c r="S78" s="17"/>
      <c r="T78" s="75"/>
      <c r="U78" s="75"/>
      <c r="V78" s="75"/>
      <c r="W78" s="75"/>
      <c r="X78" s="75"/>
    </row>
    <row r="79">
      <c r="A79" s="17"/>
      <c r="B79" s="17"/>
      <c r="C79" s="133"/>
      <c r="D79" s="133"/>
      <c r="E79" s="17"/>
      <c r="F79" s="133" t="str">
        <f>IFERROR(__xludf.DUMMYFUNCTION("""COMPUTED_VALUE"""),"Patrick Beverley")</f>
        <v>Patrick Beverley</v>
      </c>
      <c r="G79" s="133" t="str">
        <f>IFERROR(__xludf.DUMMYFUNCTION("""COMPUTED_VALUE"""),"2020-21")</f>
        <v>2020-21</v>
      </c>
      <c r="H79" s="133" t="str">
        <f>IFERROR(__xludf.DUMMYFUNCTION("""COMPUTED_VALUE"""),"LAC")</f>
        <v>LAC</v>
      </c>
      <c r="I79" s="145" t="str">
        <f>IFERROR(__xludf.DUMMYFUNCTION("""COMPUTED_VALUE"""),"Primary Ball Handler")</f>
        <v>Primary Ball Handler</v>
      </c>
      <c r="J79" s="145">
        <f>IFERROR(__xludf.DUMMYFUNCTION("""COMPUTED_VALUE"""),536.243333333333)</f>
        <v>536.2433333</v>
      </c>
      <c r="K79" s="133">
        <f>IFERROR(__xludf.DUMMYFUNCTION("""COMPUTED_VALUE"""),22.0)</f>
        <v>22</v>
      </c>
      <c r="L79" s="133" t="str">
        <f>IFERROR(__xludf.DUMMYFUNCTION("""COMPUTED_VALUE"""),"PG")</f>
        <v>PG</v>
      </c>
      <c r="M79" s="133">
        <f>IFERROR(__xludf.DUMMYFUNCTION("""COMPUTED_VALUE"""),32.0)</f>
        <v>32</v>
      </c>
      <c r="N79" s="134">
        <f>IFERROR(__xludf.DUMMYFUNCTION("""COMPUTED_VALUE"""),2.0886242613095)</f>
        <v>2.088624261</v>
      </c>
      <c r="O79" s="134">
        <f>IFERROR(__xludf.DUMMYFUNCTION("""COMPUTED_VALUE"""),0.0714419512045818)</f>
        <v>0.0714419512</v>
      </c>
      <c r="P79" s="134">
        <f>IFERROR(__xludf.DUMMYFUNCTION("""COMPUTED_VALUE"""),2.01718231010492)</f>
        <v>2.01718231</v>
      </c>
      <c r="Q79" s="146">
        <f>IFERROR(__xludf.DUMMYFUNCTION("""COMPUTED_VALUE"""),1.577265353825388)</f>
        <v>1.577265354</v>
      </c>
      <c r="R79" s="17"/>
      <c r="S79" s="17"/>
      <c r="T79" s="75"/>
      <c r="U79" s="75"/>
      <c r="V79" s="75"/>
      <c r="W79" s="75"/>
      <c r="X79" s="75"/>
    </row>
    <row r="80">
      <c r="A80" s="17"/>
      <c r="B80" s="17"/>
      <c r="C80" s="133"/>
      <c r="D80" s="133"/>
      <c r="E80" s="17"/>
      <c r="F80" s="133" t="str">
        <f>IFERROR(__xludf.DUMMYFUNCTION("""COMPUTED_VALUE"""),"Gordon Hayward")</f>
        <v>Gordon Hayward</v>
      </c>
      <c r="G80" s="133" t="str">
        <f>IFERROR(__xludf.DUMMYFUNCTION("""COMPUTED_VALUE"""),"2020-21")</f>
        <v>2020-21</v>
      </c>
      <c r="H80" s="133" t="str">
        <f>IFERROR(__xludf.DUMMYFUNCTION("""COMPUTED_VALUE"""),"CHO")</f>
        <v>CHO</v>
      </c>
      <c r="I80" s="145" t="str">
        <f>IFERROR(__xludf.DUMMYFUNCTION("""COMPUTED_VALUE"""),"Secondary Ball Handler")</f>
        <v>Secondary Ball Handler</v>
      </c>
      <c r="J80" s="145">
        <f>IFERROR(__xludf.DUMMYFUNCTION("""COMPUTED_VALUE"""),954.138333333333)</f>
        <v>954.1383333</v>
      </c>
      <c r="K80" s="133">
        <f>IFERROR(__xludf.DUMMYFUNCTION("""COMPUTED_VALUE"""),27.0)</f>
        <v>27</v>
      </c>
      <c r="L80" s="133" t="str">
        <f>IFERROR(__xludf.DUMMYFUNCTION("""COMPUTED_VALUE"""),"SF")</f>
        <v>SF</v>
      </c>
      <c r="M80" s="133">
        <f>IFERROR(__xludf.DUMMYFUNCTION("""COMPUTED_VALUE"""),30.0)</f>
        <v>30</v>
      </c>
      <c r="N80" s="134">
        <f>IFERROR(__xludf.DUMMYFUNCTION("""COMPUTED_VALUE"""),0.143213179299726)</f>
        <v>0.1432131793</v>
      </c>
      <c r="O80" s="134">
        <f>IFERROR(__xludf.DUMMYFUNCTION("""COMPUTED_VALUE"""),0.936505183790565)</f>
        <v>0.9365051838</v>
      </c>
      <c r="P80" s="134">
        <f>IFERROR(__xludf.DUMMYFUNCTION("""COMPUTED_VALUE"""),-0.793292004490839)</f>
        <v>-0.7932920045</v>
      </c>
      <c r="Q80" s="146">
        <f>IFERROR(__xludf.DUMMYFUNCTION("""COMPUTED_VALUE"""),1.5630854305908948)</f>
        <v>1.563085431</v>
      </c>
      <c r="R80" s="17"/>
      <c r="S80" s="17"/>
      <c r="T80" s="75"/>
      <c r="U80" s="75"/>
      <c r="V80" s="75"/>
      <c r="W80" s="75"/>
      <c r="X80" s="75"/>
    </row>
    <row r="81">
      <c r="A81" s="17"/>
      <c r="B81" s="17"/>
      <c r="C81" s="133"/>
      <c r="D81" s="133"/>
      <c r="E81" s="17"/>
      <c r="F81" s="133" t="str">
        <f>IFERROR(__xludf.DUMMYFUNCTION("""COMPUTED_VALUE"""),"Jae Crowder")</f>
        <v>Jae Crowder</v>
      </c>
      <c r="G81" s="133" t="str">
        <f>IFERROR(__xludf.DUMMYFUNCTION("""COMPUTED_VALUE"""),"2020-21")</f>
        <v>2020-21</v>
      </c>
      <c r="H81" s="133" t="str">
        <f>IFERROR(__xludf.DUMMYFUNCTION("""COMPUTED_VALUE"""),"PHO")</f>
        <v>PHO</v>
      </c>
      <c r="I81" s="145" t="str">
        <f>IFERROR(__xludf.DUMMYFUNCTION("""COMPUTED_VALUE"""),"Stationary Shooter")</f>
        <v>Stationary Shooter</v>
      </c>
      <c r="J81" s="145">
        <f>IFERROR(__xludf.DUMMYFUNCTION("""COMPUTED_VALUE"""),719.123333333333)</f>
        <v>719.1233333</v>
      </c>
      <c r="K81" s="133">
        <f>IFERROR(__xludf.DUMMYFUNCTION("""COMPUTED_VALUE"""),26.0)</f>
        <v>26</v>
      </c>
      <c r="L81" s="133" t="str">
        <f>IFERROR(__xludf.DUMMYFUNCTION("""COMPUTED_VALUE"""),"PF")</f>
        <v>PF</v>
      </c>
      <c r="M81" s="133">
        <f>IFERROR(__xludf.DUMMYFUNCTION("""COMPUTED_VALUE"""),30.0)</f>
        <v>30</v>
      </c>
      <c r="N81" s="134">
        <f>IFERROR(__xludf.DUMMYFUNCTION("""COMPUTED_VALUE"""),0.916029682183428)</f>
        <v>0.9160296822</v>
      </c>
      <c r="O81" s="134">
        <f>IFERROR(__xludf.DUMMYFUNCTION("""COMPUTED_VALUE"""),-0.131160552838446)</f>
        <v>-0.1311605528</v>
      </c>
      <c r="P81" s="134">
        <f>IFERROR(__xludf.DUMMYFUNCTION("""COMPUTED_VALUE"""),1.04719023502187)</f>
        <v>1.047190235</v>
      </c>
      <c r="Q81" s="146">
        <f>IFERROR(__xludf.DUMMYFUNCTION("""COMPUTED_VALUE"""),1.55224616584683)</f>
        <v>1.552246166</v>
      </c>
      <c r="R81" s="17"/>
      <c r="S81" s="17"/>
      <c r="T81" s="75"/>
      <c r="U81" s="75"/>
      <c r="V81" s="75"/>
      <c r="W81" s="75"/>
      <c r="X81" s="75"/>
    </row>
    <row r="82">
      <c r="A82" s="17"/>
      <c r="B82" s="17"/>
      <c r="C82" s="133"/>
      <c r="D82" s="133"/>
      <c r="E82" s="17"/>
      <c r="F82" s="133" t="str">
        <f>IFERROR(__xludf.DUMMYFUNCTION("""COMPUTED_VALUE"""),"Justin Holiday")</f>
        <v>Justin Holiday</v>
      </c>
      <c r="G82" s="133" t="str">
        <f>IFERROR(__xludf.DUMMYFUNCTION("""COMPUTED_VALUE"""),"2020-21")</f>
        <v>2020-21</v>
      </c>
      <c r="H82" s="133" t="str">
        <f>IFERROR(__xludf.DUMMYFUNCTION("""COMPUTED_VALUE"""),"IND")</f>
        <v>IND</v>
      </c>
      <c r="I82" s="145" t="str">
        <f>IFERROR(__xludf.DUMMYFUNCTION("""COMPUTED_VALUE"""),"Movement Shooter")</f>
        <v>Movement Shooter</v>
      </c>
      <c r="J82" s="145">
        <f>IFERROR(__xludf.DUMMYFUNCTION("""COMPUTED_VALUE"""),935.388333333333)</f>
        <v>935.3883333</v>
      </c>
      <c r="K82" s="133">
        <f>IFERROR(__xludf.DUMMYFUNCTION("""COMPUTED_VALUE"""),29.0)</f>
        <v>29</v>
      </c>
      <c r="L82" s="133" t="str">
        <f>IFERROR(__xludf.DUMMYFUNCTION("""COMPUTED_VALUE"""),"SG")</f>
        <v>SG</v>
      </c>
      <c r="M82" s="133">
        <f>IFERROR(__xludf.DUMMYFUNCTION("""COMPUTED_VALUE"""),31.0)</f>
        <v>31</v>
      </c>
      <c r="N82" s="134">
        <f>IFERROR(__xludf.DUMMYFUNCTION("""COMPUTED_VALUE"""),0.105126166888291)</f>
        <v>0.1051261669</v>
      </c>
      <c r="O82" s="134">
        <f>IFERROR(__xludf.DUMMYFUNCTION("""COMPUTED_VALUE"""),-0.801232509636734)</f>
        <v>-0.8012325096</v>
      </c>
      <c r="P82" s="134">
        <f>IFERROR(__xludf.DUMMYFUNCTION("""COMPUTED_VALUE"""),0.906358676525025)</f>
        <v>0.9063586765</v>
      </c>
      <c r="Q82" s="146">
        <f>IFERROR(__xludf.DUMMYFUNCTION("""COMPUTED_VALUE"""),1.5083516357970497)</f>
        <v>1.508351636</v>
      </c>
      <c r="R82" s="17"/>
      <c r="S82" s="17"/>
      <c r="T82" s="75"/>
      <c r="U82" s="75"/>
      <c r="V82" s="75"/>
      <c r="W82" s="75"/>
      <c r="X82" s="75"/>
    </row>
    <row r="83">
      <c r="A83" s="17"/>
      <c r="B83" s="17"/>
      <c r="C83" s="133"/>
      <c r="D83" s="133"/>
      <c r="E83" s="17"/>
      <c r="F83" s="133" t="str">
        <f>IFERROR(__xludf.DUMMYFUNCTION("""COMPUTED_VALUE"""),"T.J. McConnell")</f>
        <v>T.J. McConnell</v>
      </c>
      <c r="G83" s="133" t="str">
        <f>IFERROR(__xludf.DUMMYFUNCTION("""COMPUTED_VALUE"""),"2020-21")</f>
        <v>2020-21</v>
      </c>
      <c r="H83" s="133" t="str">
        <f>IFERROR(__xludf.DUMMYFUNCTION("""COMPUTED_VALUE"""),"IND")</f>
        <v>IND</v>
      </c>
      <c r="I83" s="145" t="str">
        <f>IFERROR(__xludf.DUMMYFUNCTION("""COMPUTED_VALUE"""),"Slasher")</f>
        <v>Slasher</v>
      </c>
      <c r="J83" s="145">
        <f>IFERROR(__xludf.DUMMYFUNCTION("""COMPUTED_VALUE"""),622.518333333333)</f>
        <v>622.5183333</v>
      </c>
      <c r="K83" s="133">
        <f>IFERROR(__xludf.DUMMYFUNCTION("""COMPUTED_VALUE"""),26.0)</f>
        <v>26</v>
      </c>
      <c r="L83" s="133" t="str">
        <f>IFERROR(__xludf.DUMMYFUNCTION("""COMPUTED_VALUE"""),"PG")</f>
        <v>PG</v>
      </c>
      <c r="M83" s="133">
        <f>IFERROR(__xludf.DUMMYFUNCTION("""COMPUTED_VALUE"""),28.0)</f>
        <v>28</v>
      </c>
      <c r="N83" s="134">
        <f>IFERROR(__xludf.DUMMYFUNCTION("""COMPUTED_VALUE"""),1.23024045507388)</f>
        <v>1.230240455</v>
      </c>
      <c r="O83" s="134">
        <f>IFERROR(__xludf.DUMMYFUNCTION("""COMPUTED_VALUE"""),-0.163832211266356)</f>
        <v>-0.1638322113</v>
      </c>
      <c r="P83" s="134">
        <f>IFERROR(__xludf.DUMMYFUNCTION("""COMPUTED_VALUE"""),1.39407266634023)</f>
        <v>1.394072666</v>
      </c>
      <c r="Q83" s="146">
        <f>IFERROR(__xludf.DUMMYFUNCTION("""COMPUTED_VALUE"""),1.4749593155451415)</f>
        <v>1.474959316</v>
      </c>
      <c r="R83" s="17"/>
      <c r="S83" s="17"/>
      <c r="T83" s="75"/>
      <c r="U83" s="75"/>
      <c r="V83" s="75"/>
      <c r="W83" s="75"/>
      <c r="X83" s="75"/>
    </row>
    <row r="84">
      <c r="A84" s="17"/>
      <c r="B84" s="17"/>
      <c r="C84" s="133"/>
      <c r="D84" s="133"/>
      <c r="E84" s="17"/>
      <c r="F84" s="133" t="str">
        <f>IFERROR(__xludf.DUMMYFUNCTION("""COMPUTED_VALUE"""),"Mitchell Robinson")</f>
        <v>Mitchell Robinson</v>
      </c>
      <c r="G84" s="133" t="str">
        <f>IFERROR(__xludf.DUMMYFUNCTION("""COMPUTED_VALUE"""),"2020-21")</f>
        <v>2020-21</v>
      </c>
      <c r="H84" s="133" t="str">
        <f>IFERROR(__xludf.DUMMYFUNCTION("""COMPUTED_VALUE"""),"NYK")</f>
        <v>NYK</v>
      </c>
      <c r="I84" s="145" t="str">
        <f>IFERROR(__xludf.DUMMYFUNCTION("""COMPUTED_VALUE"""),"Roll + Cut Big")</f>
        <v>Roll + Cut Big</v>
      </c>
      <c r="J84" s="145">
        <f>IFERROR(__xludf.DUMMYFUNCTION("""COMPUTED_VALUE"""),777.656666666667)</f>
        <v>777.6566667</v>
      </c>
      <c r="K84" s="133">
        <f>IFERROR(__xludf.DUMMYFUNCTION("""COMPUTED_VALUE"""),27.0)</f>
        <v>27</v>
      </c>
      <c r="L84" s="133" t="str">
        <f>IFERROR(__xludf.DUMMYFUNCTION("""COMPUTED_VALUE"""),"C")</f>
        <v>C</v>
      </c>
      <c r="M84" s="133">
        <f>IFERROR(__xludf.DUMMYFUNCTION("""COMPUTED_VALUE"""),22.0)</f>
        <v>22</v>
      </c>
      <c r="N84" s="134">
        <f>IFERROR(__xludf.DUMMYFUNCTION("""COMPUTED_VALUE"""),0.519886064318075)</f>
        <v>0.5198860643</v>
      </c>
      <c r="O84" s="134">
        <f>IFERROR(__xludf.DUMMYFUNCTION("""COMPUTED_VALUE"""),-1.28365822947333)</f>
        <v>-1.283658229</v>
      </c>
      <c r="P84" s="134">
        <f>IFERROR(__xludf.DUMMYFUNCTION("""COMPUTED_VALUE"""),1.8035442937914)</f>
        <v>1.803544294</v>
      </c>
      <c r="Q84" s="146">
        <f>IFERROR(__xludf.DUMMYFUNCTION("""COMPUTED_VALUE"""),1.4713551964373675)</f>
        <v>1.471355196</v>
      </c>
      <c r="R84" s="17"/>
      <c r="S84" s="17"/>
      <c r="T84" s="75"/>
      <c r="U84" s="75"/>
      <c r="V84" s="75"/>
      <c r="W84" s="75"/>
      <c r="X84" s="75"/>
    </row>
    <row r="85">
      <c r="A85" s="17"/>
      <c r="B85" s="17"/>
      <c r="C85" s="133"/>
      <c r="D85" s="133"/>
      <c r="E85" s="17"/>
      <c r="F85" s="133" t="str">
        <f>IFERROR(__xludf.DUMMYFUNCTION("""COMPUTED_VALUE"""),"Kelly Oubre Jr.")</f>
        <v>Kelly Oubre Jr.</v>
      </c>
      <c r="G85" s="133" t="str">
        <f>IFERROR(__xludf.DUMMYFUNCTION("""COMPUTED_VALUE"""),"2020-21")</f>
        <v>2020-21</v>
      </c>
      <c r="H85" s="133" t="str">
        <f>IFERROR(__xludf.DUMMYFUNCTION("""COMPUTED_VALUE"""),"GSW")</f>
        <v>GSW</v>
      </c>
      <c r="I85" s="145" t="str">
        <f>IFERROR(__xludf.DUMMYFUNCTION("""COMPUTED_VALUE"""),"Athletic Finisher")</f>
        <v>Athletic Finisher</v>
      </c>
      <c r="J85" s="145">
        <f>IFERROR(__xludf.DUMMYFUNCTION("""COMPUTED_VALUE"""),926.225)</f>
        <v>926.225</v>
      </c>
      <c r="K85" s="133">
        <f>IFERROR(__xludf.DUMMYFUNCTION("""COMPUTED_VALUE"""),31.0)</f>
        <v>31</v>
      </c>
      <c r="L85" s="133" t="str">
        <f>IFERROR(__xludf.DUMMYFUNCTION("""COMPUTED_VALUE"""),"SF")</f>
        <v>SF</v>
      </c>
      <c r="M85" s="133">
        <f>IFERROR(__xludf.DUMMYFUNCTION("""COMPUTED_VALUE"""),25.0)</f>
        <v>25</v>
      </c>
      <c r="N85" s="134">
        <f>IFERROR(__xludf.DUMMYFUNCTION("""COMPUTED_VALUE"""),0.0679440419254113)</f>
        <v>0.06794404193</v>
      </c>
      <c r="O85" s="134">
        <f>IFERROR(__xludf.DUMMYFUNCTION("""COMPUTED_VALUE"""),-0.688186305722001)</f>
        <v>-0.6881863057</v>
      </c>
      <c r="P85" s="134">
        <f>IFERROR(__xludf.DUMMYFUNCTION("""COMPUTED_VALUE"""),0.756130347647412)</f>
        <v>0.7561303476</v>
      </c>
      <c r="Q85" s="146">
        <f>IFERROR(__xludf.DUMMYFUNCTION("""COMPUTED_VALUE"""),1.470357692508662)</f>
        <v>1.470357693</v>
      </c>
      <c r="R85" s="17"/>
      <c r="S85" s="17"/>
      <c r="T85" s="75"/>
      <c r="U85" s="75"/>
      <c r="V85" s="75"/>
      <c r="W85" s="75"/>
      <c r="X85" s="75"/>
    </row>
    <row r="86">
      <c r="A86" s="17"/>
      <c r="B86" s="17"/>
      <c r="C86" s="133"/>
      <c r="D86" s="133"/>
      <c r="E86" s="17"/>
      <c r="F86" s="133" t="str">
        <f>IFERROR(__xludf.DUMMYFUNCTION("""COMPUTED_VALUE"""),"Cameron Johnson")</f>
        <v>Cameron Johnson</v>
      </c>
      <c r="G86" s="133" t="str">
        <f>IFERROR(__xludf.DUMMYFUNCTION("""COMPUTED_VALUE"""),"2020-21")</f>
        <v>2020-21</v>
      </c>
      <c r="H86" s="133" t="str">
        <f>IFERROR(__xludf.DUMMYFUNCTION("""COMPUTED_VALUE"""),"PHO")</f>
        <v>PHO</v>
      </c>
      <c r="I86" s="145" t="str">
        <f>IFERROR(__xludf.DUMMYFUNCTION("""COMPUTED_VALUE"""),"Stationary Shooter")</f>
        <v>Stationary Shooter</v>
      </c>
      <c r="J86" s="145">
        <f>IFERROR(__xludf.DUMMYFUNCTION("""COMPUTED_VALUE"""),720.278333333333)</f>
        <v>720.2783333</v>
      </c>
      <c r="K86" s="133">
        <f>IFERROR(__xludf.DUMMYFUNCTION("""COMPUTED_VALUE"""),29.0)</f>
        <v>29</v>
      </c>
      <c r="L86" s="133" t="str">
        <f>IFERROR(__xludf.DUMMYFUNCTION("""COMPUTED_VALUE"""),"PF")</f>
        <v>PF</v>
      </c>
      <c r="M86" s="133">
        <f>IFERROR(__xludf.DUMMYFUNCTION("""COMPUTED_VALUE"""),24.0)</f>
        <v>24</v>
      </c>
      <c r="N86" s="134">
        <f>IFERROR(__xludf.DUMMYFUNCTION("""COMPUTED_VALUE"""),0.71280832196121)</f>
        <v>0.712808322</v>
      </c>
      <c r="O86" s="134">
        <f>IFERROR(__xludf.DUMMYFUNCTION("""COMPUTED_VALUE"""),-0.0230238323557166)</f>
        <v>-0.02302383236</v>
      </c>
      <c r="P86" s="134">
        <f>IFERROR(__xludf.DUMMYFUNCTION("""COMPUTED_VALUE"""),0.735832154316927)</f>
        <v>0.7358321543</v>
      </c>
      <c r="Q86" s="146">
        <f>IFERROR(__xludf.DUMMYFUNCTION("""COMPUTED_VALUE"""),1.456327781448335)</f>
        <v>1.456327781</v>
      </c>
      <c r="R86" s="17"/>
      <c r="S86" s="17"/>
      <c r="T86" s="75"/>
      <c r="U86" s="75"/>
      <c r="V86" s="75"/>
      <c r="W86" s="75"/>
      <c r="X86" s="75"/>
    </row>
    <row r="87">
      <c r="A87" s="17"/>
      <c r="B87" s="17"/>
      <c r="C87" s="133"/>
      <c r="D87" s="133"/>
      <c r="E87" s="17"/>
      <c r="F87" s="133" t="str">
        <f>IFERROR(__xludf.DUMMYFUNCTION("""COMPUTED_VALUE"""),"Larry Nance Jr.")</f>
        <v>Larry Nance Jr.</v>
      </c>
      <c r="G87" s="133" t="str">
        <f>IFERROR(__xludf.DUMMYFUNCTION("""COMPUTED_VALUE"""),"2020-21")</f>
        <v>2020-21</v>
      </c>
      <c r="H87" s="133" t="str">
        <f>IFERROR(__xludf.DUMMYFUNCTION("""COMPUTED_VALUE"""),"CLE")</f>
        <v>CLE</v>
      </c>
      <c r="I87" s="145" t="str">
        <f>IFERROR(__xludf.DUMMYFUNCTION("""COMPUTED_VALUE"""),"Stretch Big")</f>
        <v>Stretch Big</v>
      </c>
      <c r="J87" s="145">
        <f>IFERROR(__xludf.DUMMYFUNCTION("""COMPUTED_VALUE"""),635.043333333334)</f>
        <v>635.0433333</v>
      </c>
      <c r="K87" s="133">
        <f>IFERROR(__xludf.DUMMYFUNCTION("""COMPUTED_VALUE"""),19.0)</f>
        <v>19</v>
      </c>
      <c r="L87" s="133" t="str">
        <f>IFERROR(__xludf.DUMMYFUNCTION("""COMPUTED_VALUE"""),"PF")</f>
        <v>PF</v>
      </c>
      <c r="M87" s="133">
        <f>IFERROR(__xludf.DUMMYFUNCTION("""COMPUTED_VALUE"""),28.0)</f>
        <v>28</v>
      </c>
      <c r="N87" s="134">
        <f>IFERROR(__xludf.DUMMYFUNCTION("""COMPUTED_VALUE"""),1.07571928791871)</f>
        <v>1.075719288</v>
      </c>
      <c r="O87" s="134">
        <f>IFERROR(__xludf.DUMMYFUNCTION("""COMPUTED_VALUE"""),-1.40112155022158)</f>
        <v>-1.40112155</v>
      </c>
      <c r="P87" s="134">
        <f>IFERROR(__xludf.DUMMYFUNCTION("""COMPUTED_VALUE"""),2.47684083814029)</f>
        <v>2.476840838</v>
      </c>
      <c r="Q87" s="146">
        <f>IFERROR(__xludf.DUMMYFUNCTION("""COMPUTED_VALUE"""),1.4388443894486087)</f>
        <v>1.438844389</v>
      </c>
      <c r="R87" s="17"/>
      <c r="S87" s="17"/>
      <c r="T87" s="75"/>
      <c r="U87" s="75"/>
      <c r="V87" s="75"/>
      <c r="W87" s="75"/>
      <c r="X87" s="75"/>
    </row>
    <row r="88">
      <c r="A88" s="17"/>
      <c r="B88" s="17"/>
      <c r="C88" s="133"/>
      <c r="D88" s="133"/>
      <c r="E88" s="17"/>
      <c r="F88" s="133" t="str">
        <f>IFERROR(__xludf.DUMMYFUNCTION("""COMPUTED_VALUE"""),"Deandre Ayton")</f>
        <v>Deandre Ayton</v>
      </c>
      <c r="G88" s="133" t="str">
        <f>IFERROR(__xludf.DUMMYFUNCTION("""COMPUTED_VALUE"""),"2020-21")</f>
        <v>2020-21</v>
      </c>
      <c r="H88" s="133" t="str">
        <f>IFERROR(__xludf.DUMMYFUNCTION("""COMPUTED_VALUE"""),"PHO")</f>
        <v>PHO</v>
      </c>
      <c r="I88" s="145" t="str">
        <f>IFERROR(__xludf.DUMMYFUNCTION("""COMPUTED_VALUE"""),"Post Scorer")</f>
        <v>Post Scorer</v>
      </c>
      <c r="J88" s="145">
        <f>IFERROR(__xludf.DUMMYFUNCTION("""COMPUTED_VALUE"""),923.695)</f>
        <v>923.695</v>
      </c>
      <c r="K88" s="133">
        <f>IFERROR(__xludf.DUMMYFUNCTION("""COMPUTED_VALUE"""),29.0)</f>
        <v>29</v>
      </c>
      <c r="L88" s="133" t="str">
        <f>IFERROR(__xludf.DUMMYFUNCTION("""COMPUTED_VALUE"""),"C")</f>
        <v>C</v>
      </c>
      <c r="M88" s="133">
        <f>IFERROR(__xludf.DUMMYFUNCTION("""COMPUTED_VALUE"""),22.0)</f>
        <v>22</v>
      </c>
      <c r="N88" s="134">
        <f>IFERROR(__xludf.DUMMYFUNCTION("""COMPUTED_VALUE"""),0.00749396465944829)</f>
        <v>0.007493964659</v>
      </c>
      <c r="O88" s="134">
        <f>IFERROR(__xludf.DUMMYFUNCTION("""COMPUTED_VALUE"""),-0.497744721330494)</f>
        <v>-0.4977447213</v>
      </c>
      <c r="P88" s="134">
        <f>IFERROR(__xludf.DUMMYFUNCTION("""COMPUTED_VALUE"""),0.505238685989942)</f>
        <v>0.505238686</v>
      </c>
      <c r="Q88" s="146">
        <f>IFERROR(__xludf.DUMMYFUNCTION("""COMPUTED_VALUE"""),1.428696626027311)</f>
        <v>1.428696626</v>
      </c>
      <c r="R88" s="17"/>
      <c r="S88" s="17"/>
      <c r="T88" s="75"/>
      <c r="U88" s="75"/>
      <c r="V88" s="75"/>
      <c r="W88" s="75"/>
      <c r="X88" s="75"/>
    </row>
    <row r="89">
      <c r="A89" s="17"/>
      <c r="B89" s="17"/>
      <c r="C89" s="133"/>
      <c r="D89" s="133"/>
      <c r="E89" s="17"/>
      <c r="F89" s="133" t="str">
        <f>IFERROR(__xludf.DUMMYFUNCTION("""COMPUTED_VALUE"""),"Jonas Valanciunas")</f>
        <v>Jonas Valanciunas</v>
      </c>
      <c r="G89" s="133" t="str">
        <f>IFERROR(__xludf.DUMMYFUNCTION("""COMPUTED_VALUE"""),"2020-21")</f>
        <v>2020-21</v>
      </c>
      <c r="H89" s="133" t="str">
        <f>IFERROR(__xludf.DUMMYFUNCTION("""COMPUTED_VALUE"""),"MEM")</f>
        <v>MEM</v>
      </c>
      <c r="I89" s="145" t="str">
        <f>IFERROR(__xludf.DUMMYFUNCTION("""COMPUTED_VALUE"""),"Post Scorer")</f>
        <v>Post Scorer</v>
      </c>
      <c r="J89" s="145">
        <f>IFERROR(__xludf.DUMMYFUNCTION("""COMPUTED_VALUE"""),577.111666666667)</f>
        <v>577.1116667</v>
      </c>
      <c r="K89" s="133">
        <f>IFERROR(__xludf.DUMMYFUNCTION("""COMPUTED_VALUE"""),21.0)</f>
        <v>21</v>
      </c>
      <c r="L89" s="133" t="str">
        <f>IFERROR(__xludf.DUMMYFUNCTION("""COMPUTED_VALUE"""),"C")</f>
        <v>C</v>
      </c>
      <c r="M89" s="133">
        <f>IFERROR(__xludf.DUMMYFUNCTION("""COMPUTED_VALUE"""),28.0)</f>
        <v>28</v>
      </c>
      <c r="N89" s="134">
        <f>IFERROR(__xludf.DUMMYFUNCTION("""COMPUTED_VALUE"""),1.36484144466272)</f>
        <v>1.364841445</v>
      </c>
      <c r="O89" s="134">
        <f>IFERROR(__xludf.DUMMYFUNCTION("""COMPUTED_VALUE"""),1.02494177812077)</f>
        <v>1.024941778</v>
      </c>
      <c r="P89" s="134">
        <f>IFERROR(__xludf.DUMMYFUNCTION("""COMPUTED_VALUE"""),0.339899666541953)</f>
        <v>0.3398996665</v>
      </c>
      <c r="Q89" s="146">
        <f>IFERROR(__xludf.DUMMYFUNCTION("""COMPUTED_VALUE"""),1.4193802150011485)</f>
        <v>1.419380215</v>
      </c>
      <c r="R89" s="17"/>
      <c r="S89" s="17"/>
      <c r="T89" s="75"/>
      <c r="U89" s="75"/>
      <c r="V89" s="75"/>
      <c r="W89" s="75"/>
      <c r="X89" s="75"/>
    </row>
    <row r="90">
      <c r="A90" s="17"/>
      <c r="B90" s="17"/>
      <c r="C90" s="133"/>
      <c r="D90" s="133"/>
      <c r="E90" s="17"/>
      <c r="F90" s="133" t="str">
        <f>IFERROR(__xludf.DUMMYFUNCTION("""COMPUTED_VALUE"""),"Dennis Schroder")</f>
        <v>Dennis Schroder</v>
      </c>
      <c r="G90" s="133" t="str">
        <f>IFERROR(__xludf.DUMMYFUNCTION("""COMPUTED_VALUE"""),"2020-21")</f>
        <v>2020-21</v>
      </c>
      <c r="H90" s="133" t="str">
        <f>IFERROR(__xludf.DUMMYFUNCTION("""COMPUTED_VALUE"""),"LAL")</f>
        <v>LAL</v>
      </c>
      <c r="I90" s="145" t="str">
        <f>IFERROR(__xludf.DUMMYFUNCTION("""COMPUTED_VALUE"""),"Slasher")</f>
        <v>Slasher</v>
      </c>
      <c r="J90" s="145">
        <f>IFERROR(__xludf.DUMMYFUNCTION("""COMPUTED_VALUE"""),901.618333333333)</f>
        <v>901.6183333</v>
      </c>
      <c r="K90" s="133">
        <f>IFERROR(__xludf.DUMMYFUNCTION("""COMPUTED_VALUE"""),29.0)</f>
        <v>29</v>
      </c>
      <c r="L90" s="133" t="str">
        <f>IFERROR(__xludf.DUMMYFUNCTION("""COMPUTED_VALUE"""),"SG")</f>
        <v>SG</v>
      </c>
      <c r="M90" s="133">
        <f>IFERROR(__xludf.DUMMYFUNCTION("""COMPUTED_VALUE"""),27.0)</f>
        <v>27</v>
      </c>
      <c r="N90" s="134">
        <f>IFERROR(__xludf.DUMMYFUNCTION("""COMPUTED_VALUE"""),0.0474072300106468)</f>
        <v>0.04740723001</v>
      </c>
      <c r="O90" s="134">
        <f>IFERROR(__xludf.DUMMYFUNCTION("""COMPUTED_VALUE"""),0.157533256490282)</f>
        <v>0.1575332565</v>
      </c>
      <c r="P90" s="134">
        <f>IFERROR(__xludf.DUMMYFUNCTION("""COMPUTED_VALUE"""),-0.110126026479635)</f>
        <v>-0.1101260265</v>
      </c>
      <c r="Q90" s="146">
        <f>IFERROR(__xludf.DUMMYFUNCTION("""COMPUTED_VALUE"""),1.4188118893606474)</f>
        <v>1.418811889</v>
      </c>
      <c r="R90" s="17"/>
      <c r="S90" s="17"/>
      <c r="T90" s="75"/>
      <c r="U90" s="75"/>
      <c r="V90" s="75"/>
      <c r="W90" s="75"/>
      <c r="X90" s="75"/>
    </row>
    <row r="91">
      <c r="A91" s="17"/>
      <c r="B91" s="17"/>
      <c r="C91" s="133"/>
      <c r="D91" s="133"/>
      <c r="E91" s="17"/>
      <c r="F91" s="133" t="str">
        <f>IFERROR(__xludf.DUMMYFUNCTION("""COMPUTED_VALUE"""),"Daniel Theis")</f>
        <v>Daniel Theis</v>
      </c>
      <c r="G91" s="133" t="str">
        <f>IFERROR(__xludf.DUMMYFUNCTION("""COMPUTED_VALUE"""),"2020-21")</f>
        <v>2020-21</v>
      </c>
      <c r="H91" s="133" t="str">
        <f>IFERROR(__xludf.DUMMYFUNCTION("""COMPUTED_VALUE"""),"BOS")</f>
        <v>BOS</v>
      </c>
      <c r="I91" s="145" t="str">
        <f>IFERROR(__xludf.DUMMYFUNCTION("""COMPUTED_VALUE"""),"Stretch Big")</f>
        <v>Stretch Big</v>
      </c>
      <c r="J91" s="145">
        <f>IFERROR(__xludf.DUMMYFUNCTION("""COMPUTED_VALUE"""),694.393333333333)</f>
        <v>694.3933333</v>
      </c>
      <c r="K91" s="133">
        <f>IFERROR(__xludf.DUMMYFUNCTION("""COMPUTED_VALUE"""),28.0)</f>
        <v>28</v>
      </c>
      <c r="L91" s="133" t="str">
        <f>IFERROR(__xludf.DUMMYFUNCTION("""COMPUTED_VALUE"""),"C")</f>
        <v>C</v>
      </c>
      <c r="M91" s="133">
        <f>IFERROR(__xludf.DUMMYFUNCTION("""COMPUTED_VALUE"""),28.0)</f>
        <v>28</v>
      </c>
      <c r="N91" s="134">
        <f>IFERROR(__xludf.DUMMYFUNCTION("""COMPUTED_VALUE"""),0.73036856269482)</f>
        <v>0.7303685627</v>
      </c>
      <c r="O91" s="134">
        <f>IFERROR(__xludf.DUMMYFUNCTION("""COMPUTED_VALUE"""),-0.651086929118766)</f>
        <v>-0.6510869291</v>
      </c>
      <c r="P91" s="134">
        <f>IFERROR(__xludf.DUMMYFUNCTION("""COMPUTED_VALUE"""),1.38145549181359)</f>
        <v>1.381455492</v>
      </c>
      <c r="Q91" s="146">
        <f>IFERROR(__xludf.DUMMYFUNCTION("""COMPUTED_VALUE"""),1.4121940705141312)</f>
        <v>1.412194071</v>
      </c>
      <c r="R91" s="17"/>
      <c r="S91" s="17"/>
      <c r="T91" s="75"/>
      <c r="U91" s="75"/>
      <c r="V91" s="75"/>
      <c r="W91" s="75"/>
      <c r="X91" s="75"/>
    </row>
    <row r="92">
      <c r="A92" s="17"/>
      <c r="B92" s="17"/>
      <c r="C92" s="133"/>
      <c r="D92" s="133"/>
      <c r="E92" s="17"/>
      <c r="F92" s="133" t="str">
        <f>IFERROR(__xludf.DUMMYFUNCTION("""COMPUTED_VALUE"""),"Josh Hart")</f>
        <v>Josh Hart</v>
      </c>
      <c r="G92" s="133" t="str">
        <f>IFERROR(__xludf.DUMMYFUNCTION("""COMPUTED_VALUE"""),"2020-21")</f>
        <v>2020-21</v>
      </c>
      <c r="H92" s="133" t="str">
        <f>IFERROR(__xludf.DUMMYFUNCTION("""COMPUTED_VALUE"""),"NOP")</f>
        <v>NOP</v>
      </c>
      <c r="I92" s="145" t="str">
        <f>IFERROR(__xludf.DUMMYFUNCTION("""COMPUTED_VALUE"""),"Stationary Shooter")</f>
        <v>Stationary Shooter</v>
      </c>
      <c r="J92" s="145">
        <f>IFERROR(__xludf.DUMMYFUNCTION("""COMPUTED_VALUE"""),850.823333333333)</f>
        <v>850.8233333</v>
      </c>
      <c r="K92" s="133">
        <f>IFERROR(__xludf.DUMMYFUNCTION("""COMPUTED_VALUE"""),30.0)</f>
        <v>30</v>
      </c>
      <c r="L92" s="133" t="str">
        <f>IFERROR(__xludf.DUMMYFUNCTION("""COMPUTED_VALUE"""),"SF")</f>
        <v>SF</v>
      </c>
      <c r="M92" s="133">
        <f>IFERROR(__xludf.DUMMYFUNCTION("""COMPUTED_VALUE"""),25.0)</f>
        <v>25</v>
      </c>
      <c r="N92" s="134">
        <f>IFERROR(__xludf.DUMMYFUNCTION("""COMPUTED_VALUE"""),0.135773971547709)</f>
        <v>0.1357739715</v>
      </c>
      <c r="O92" s="134">
        <f>IFERROR(__xludf.DUMMYFUNCTION("""COMPUTED_VALUE"""),-0.22795985173326)</f>
        <v>-0.2279598517</v>
      </c>
      <c r="P92" s="134">
        <f>IFERROR(__xludf.DUMMYFUNCTION("""COMPUTED_VALUE"""),0.363733823280969)</f>
        <v>0.3637338233</v>
      </c>
      <c r="Q92" s="146">
        <f>IFERROR(__xludf.DUMMYFUNCTION("""COMPUTED_VALUE"""),1.389566158047575)</f>
        <v>1.389566158</v>
      </c>
      <c r="R92" s="17"/>
      <c r="S92" s="17"/>
      <c r="T92" s="75"/>
      <c r="U92" s="75"/>
      <c r="V92" s="75"/>
      <c r="W92" s="75"/>
      <c r="X92" s="75"/>
    </row>
    <row r="93">
      <c r="A93" s="17"/>
      <c r="B93" s="17"/>
      <c r="C93" s="133"/>
      <c r="D93" s="133"/>
      <c r="E93" s="17"/>
      <c r="F93" s="133" t="str">
        <f>IFERROR(__xludf.DUMMYFUNCTION("""COMPUTED_VALUE"""),"Garrett Temple")</f>
        <v>Garrett Temple</v>
      </c>
      <c r="G93" s="133" t="str">
        <f>IFERROR(__xludf.DUMMYFUNCTION("""COMPUTED_VALUE"""),"2020-21")</f>
        <v>2020-21</v>
      </c>
      <c r="H93" s="133" t="str">
        <f>IFERROR(__xludf.DUMMYFUNCTION("""COMPUTED_VALUE"""),"CHI")</f>
        <v>CHI</v>
      </c>
      <c r="I93" s="145" t="str">
        <f>IFERROR(__xludf.DUMMYFUNCTION("""COMPUTED_VALUE"""),"Stationary Shooter")</f>
        <v>Stationary Shooter</v>
      </c>
      <c r="J93" s="145">
        <f>IFERROR(__xludf.DUMMYFUNCTION("""COMPUTED_VALUE"""),778.73)</f>
        <v>778.73</v>
      </c>
      <c r="K93" s="133">
        <f>IFERROR(__xludf.DUMMYFUNCTION("""COMPUTED_VALUE"""),28.0)</f>
        <v>28</v>
      </c>
      <c r="L93" s="133" t="str">
        <f>IFERROR(__xludf.DUMMYFUNCTION("""COMPUTED_VALUE"""),"SG")</f>
        <v>SG</v>
      </c>
      <c r="M93" s="133">
        <f>IFERROR(__xludf.DUMMYFUNCTION("""COMPUTED_VALUE"""),34.0)</f>
        <v>34</v>
      </c>
      <c r="N93" s="134">
        <f>IFERROR(__xludf.DUMMYFUNCTION("""COMPUTED_VALUE"""),0.311030873238135)</f>
        <v>0.3110308732</v>
      </c>
      <c r="O93" s="134">
        <f>IFERROR(__xludf.DUMMYFUNCTION("""COMPUTED_VALUE"""),-0.499073867126668)</f>
        <v>-0.4990738671</v>
      </c>
      <c r="P93" s="134">
        <f>IFERROR(__xludf.DUMMYFUNCTION("""COMPUTED_VALUE"""),0.810104740364803)</f>
        <v>0.8101047404</v>
      </c>
      <c r="Q93" s="146">
        <f>IFERROR(__xludf.DUMMYFUNCTION("""COMPUTED_VALUE"""),1.3638150311159745)</f>
        <v>1.363815031</v>
      </c>
      <c r="R93" s="17"/>
      <c r="S93" s="17"/>
      <c r="T93" s="75"/>
      <c r="U93" s="75"/>
      <c r="V93" s="75"/>
      <c r="W93" s="75"/>
      <c r="X93" s="75"/>
    </row>
    <row r="94">
      <c r="A94" s="17"/>
      <c r="B94" s="17"/>
      <c r="C94" s="133"/>
      <c r="D94" s="133"/>
      <c r="E94" s="17"/>
      <c r="F94" s="133" t="str">
        <f>IFERROR(__xludf.DUMMYFUNCTION("""COMPUTED_VALUE"""),"John Wall")</f>
        <v>John Wall</v>
      </c>
      <c r="G94" s="133" t="str">
        <f>IFERROR(__xludf.DUMMYFUNCTION("""COMPUTED_VALUE"""),"2020-21")</f>
        <v>2020-21</v>
      </c>
      <c r="H94" s="133" t="str">
        <f>IFERROR(__xludf.DUMMYFUNCTION("""COMPUTED_VALUE"""),"HOU")</f>
        <v>HOU</v>
      </c>
      <c r="I94" s="145" t="str">
        <f>IFERROR(__xludf.DUMMYFUNCTION("""COMPUTED_VALUE"""),"Shot Creator")</f>
        <v>Shot Creator</v>
      </c>
      <c r="J94" s="145">
        <f>IFERROR(__xludf.DUMMYFUNCTION("""COMPUTED_VALUE"""),591.03)</f>
        <v>591.03</v>
      </c>
      <c r="K94" s="133">
        <f>IFERROR(__xludf.DUMMYFUNCTION("""COMPUTED_VALUE"""),19.0)</f>
        <v>19</v>
      </c>
      <c r="L94" s="133" t="str">
        <f>IFERROR(__xludf.DUMMYFUNCTION("""COMPUTED_VALUE"""),"PG")</f>
        <v>PG</v>
      </c>
      <c r="M94" s="133">
        <f>IFERROR(__xludf.DUMMYFUNCTION("""COMPUTED_VALUE"""),30.0)</f>
        <v>30</v>
      </c>
      <c r="N94" s="134">
        <f>IFERROR(__xludf.DUMMYFUNCTION("""COMPUTED_VALUE"""),1.11170115440418)</f>
        <v>1.111701154</v>
      </c>
      <c r="O94" s="134">
        <f>IFERROR(__xludf.DUMMYFUNCTION("""COMPUTED_VALUE"""),1.2014489774454)</f>
        <v>1.201448977</v>
      </c>
      <c r="P94" s="134">
        <f>IFERROR(__xludf.DUMMYFUNCTION("""COMPUTED_VALUE"""),-0.0897478230412193)</f>
        <v>-0.08974782304</v>
      </c>
      <c r="Q94" s="146">
        <f>IFERROR(__xludf.DUMMYFUNCTION("""COMPUTED_VALUE"""),1.3533878481642565)</f>
        <v>1.353387848</v>
      </c>
      <c r="R94" s="17"/>
      <c r="S94" s="17"/>
      <c r="T94" s="75"/>
      <c r="U94" s="75"/>
      <c r="V94" s="75"/>
      <c r="W94" s="75"/>
      <c r="X94" s="75"/>
    </row>
    <row r="95">
      <c r="A95" s="17"/>
      <c r="B95" s="17"/>
      <c r="C95" s="133"/>
      <c r="D95" s="133"/>
      <c r="E95" s="17"/>
      <c r="F95" s="133" t="str">
        <f>IFERROR(__xludf.DUMMYFUNCTION("""COMPUTED_VALUE"""),"Bobby Portis")</f>
        <v>Bobby Portis</v>
      </c>
      <c r="G95" s="133" t="str">
        <f>IFERROR(__xludf.DUMMYFUNCTION("""COMPUTED_VALUE"""),"2020-21")</f>
        <v>2020-21</v>
      </c>
      <c r="H95" s="133" t="str">
        <f>IFERROR(__xludf.DUMMYFUNCTION("""COMPUTED_VALUE"""),"MIL")</f>
        <v>MIL</v>
      </c>
      <c r="I95" s="145" t="str">
        <f>IFERROR(__xludf.DUMMYFUNCTION("""COMPUTED_VALUE"""),"Roll + Cut Big")</f>
        <v>Roll + Cut Big</v>
      </c>
      <c r="J95" s="145">
        <f>IFERROR(__xludf.DUMMYFUNCTION("""COMPUTED_VALUE"""),669.1)</f>
        <v>669.1</v>
      </c>
      <c r="K95" s="133">
        <f>IFERROR(__xludf.DUMMYFUNCTION("""COMPUTED_VALUE"""),31.0)</f>
        <v>31</v>
      </c>
      <c r="L95" s="133" t="str">
        <f>IFERROR(__xludf.DUMMYFUNCTION("""COMPUTED_VALUE"""),"C")</f>
        <v>C</v>
      </c>
      <c r="M95" s="133">
        <f>IFERROR(__xludf.DUMMYFUNCTION("""COMPUTED_VALUE"""),25.0)</f>
        <v>25</v>
      </c>
      <c r="N95" s="134">
        <f>IFERROR(__xludf.DUMMYFUNCTION("""COMPUTED_VALUE"""),0.709044235333647)</f>
        <v>0.7090442353</v>
      </c>
      <c r="O95" s="134">
        <f>IFERROR(__xludf.DUMMYFUNCTION("""COMPUTED_VALUE"""),0.393321782397487)</f>
        <v>0.3933217824</v>
      </c>
      <c r="P95" s="134">
        <f>IFERROR(__xludf.DUMMYFUNCTION("""COMPUTED_VALUE"""),0.31572245293616)</f>
        <v>0.3157224529</v>
      </c>
      <c r="Q95" s="146">
        <f>IFERROR(__xludf.DUMMYFUNCTION("""COMPUTED_VALUE"""),1.351156111597236)</f>
        <v>1.351156112</v>
      </c>
      <c r="R95" s="17"/>
      <c r="S95" s="17"/>
      <c r="T95" s="75"/>
      <c r="U95" s="75"/>
      <c r="V95" s="75"/>
      <c r="W95" s="75"/>
      <c r="X95" s="75"/>
    </row>
    <row r="96">
      <c r="A96" s="17"/>
      <c r="B96" s="17"/>
      <c r="C96" s="133"/>
      <c r="D96" s="133"/>
      <c r="E96" s="17"/>
      <c r="F96" s="133" t="str">
        <f>IFERROR(__xludf.DUMMYFUNCTION("""COMPUTED_VALUE"""),"Terry Rozier")</f>
        <v>Terry Rozier</v>
      </c>
      <c r="G96" s="133" t="str">
        <f>IFERROR(__xludf.DUMMYFUNCTION("""COMPUTED_VALUE"""),"2020-21")</f>
        <v>2020-21</v>
      </c>
      <c r="H96" s="133" t="str">
        <f>IFERROR(__xludf.DUMMYFUNCTION("""COMPUTED_VALUE"""),"CHO")</f>
        <v>CHO</v>
      </c>
      <c r="I96" s="145" t="str">
        <f>IFERROR(__xludf.DUMMYFUNCTION("""COMPUTED_VALUE"""),"Secondary Ball Handler")</f>
        <v>Secondary Ball Handler</v>
      </c>
      <c r="J96" s="145">
        <f>IFERROR(__xludf.DUMMYFUNCTION("""COMPUTED_VALUE"""),905.706666666667)</f>
        <v>905.7066667</v>
      </c>
      <c r="K96" s="133">
        <f>IFERROR(__xludf.DUMMYFUNCTION("""COMPUTED_VALUE"""),27.0)</f>
        <v>27</v>
      </c>
      <c r="L96" s="133" t="str">
        <f>IFERROR(__xludf.DUMMYFUNCTION("""COMPUTED_VALUE"""),"SG")</f>
        <v>SG</v>
      </c>
      <c r="M96" s="133">
        <f>IFERROR(__xludf.DUMMYFUNCTION("""COMPUTED_VALUE"""),26.0)</f>
        <v>26</v>
      </c>
      <c r="N96" s="134">
        <f>IFERROR(__xludf.DUMMYFUNCTION("""COMPUTED_VALUE"""),-0.0826458797843088)</f>
        <v>-0.08264587978</v>
      </c>
      <c r="O96" s="134">
        <f>IFERROR(__xludf.DUMMYFUNCTION("""COMPUTED_VALUE"""),1.09299857210077)</f>
        <v>1.092998572</v>
      </c>
      <c r="P96" s="134">
        <f>IFERROR(__xludf.DUMMYFUNCTION("""COMPUTED_VALUE"""),-1.17564445188508)</f>
        <v>-1.175644452</v>
      </c>
      <c r="Q96" s="146">
        <f>IFERROR(__xludf.DUMMYFUNCTION("""COMPUTED_VALUE"""),1.3458331774455459)</f>
        <v>1.345833177</v>
      </c>
      <c r="R96" s="17"/>
      <c r="S96" s="17"/>
      <c r="T96" s="75"/>
      <c r="U96" s="75"/>
      <c r="V96" s="75"/>
      <c r="W96" s="75"/>
      <c r="X96" s="75"/>
    </row>
    <row r="97">
      <c r="A97" s="17"/>
      <c r="B97" s="17"/>
      <c r="C97" s="133"/>
      <c r="D97" s="133"/>
      <c r="E97" s="17"/>
      <c r="F97" s="133" t="str">
        <f>IFERROR(__xludf.DUMMYFUNCTION("""COMPUTED_VALUE"""),"LaMelo Ball")</f>
        <v>LaMelo Ball</v>
      </c>
      <c r="G97" s="133" t="str">
        <f>IFERROR(__xludf.DUMMYFUNCTION("""COMPUTED_VALUE"""),"2020-21")</f>
        <v>2020-21</v>
      </c>
      <c r="H97" s="133" t="str">
        <f>IFERROR(__xludf.DUMMYFUNCTION("""COMPUTED_VALUE"""),"CHO")</f>
        <v>CHO</v>
      </c>
      <c r="I97" s="145" t="str">
        <f>IFERROR(__xludf.DUMMYFUNCTION("""COMPUTED_VALUE"""),"Primary Ball Handler")</f>
        <v>Primary Ball Handler</v>
      </c>
      <c r="J97" s="145">
        <f>IFERROR(__xludf.DUMMYFUNCTION("""COMPUTED_VALUE"""),808.04)</f>
        <v>808.04</v>
      </c>
      <c r="K97" s="133">
        <f>IFERROR(__xludf.DUMMYFUNCTION("""COMPUTED_VALUE"""),29.0)</f>
        <v>29</v>
      </c>
      <c r="L97" s="133" t="str">
        <f>IFERROR(__xludf.DUMMYFUNCTION("""COMPUTED_VALUE"""),"PG")</f>
        <v>PG</v>
      </c>
      <c r="M97" s="133">
        <f>IFERROR(__xludf.DUMMYFUNCTION("""COMPUTED_VALUE"""),19.0)</f>
        <v>19</v>
      </c>
      <c r="N97" s="134">
        <f>IFERROR(__xludf.DUMMYFUNCTION("""COMPUTED_VALUE"""),0.120309659920355)</f>
        <v>0.1203096599</v>
      </c>
      <c r="O97" s="134">
        <f>IFERROR(__xludf.DUMMYFUNCTION("""COMPUTED_VALUE"""),0.485536125066986)</f>
        <v>0.4855361251</v>
      </c>
      <c r="P97" s="134">
        <f>IFERROR(__xludf.DUMMYFUNCTION("""COMPUTED_VALUE"""),-0.365226465146631)</f>
        <v>-0.3652264651</v>
      </c>
      <c r="Q97" s="146">
        <f>IFERROR(__xludf.DUMMYFUNCTION("""COMPUTED_VALUE"""),1.3112683902041724)</f>
        <v>1.31126839</v>
      </c>
      <c r="R97" s="17"/>
      <c r="S97" s="17"/>
      <c r="T97" s="75"/>
      <c r="U97" s="75"/>
      <c r="V97" s="75"/>
      <c r="W97" s="75"/>
      <c r="X97" s="75"/>
    </row>
    <row r="98">
      <c r="A98" s="17"/>
      <c r="B98" s="17"/>
      <c r="C98" s="133"/>
      <c r="D98" s="133"/>
      <c r="E98" s="17"/>
      <c r="F98" s="133" t="str">
        <f>IFERROR(__xludf.DUMMYFUNCTION("""COMPUTED_VALUE"""),"Tyus Jones")</f>
        <v>Tyus Jones</v>
      </c>
      <c r="G98" s="133" t="str">
        <f>IFERROR(__xludf.DUMMYFUNCTION("""COMPUTED_VALUE"""),"2020-21")</f>
        <v>2020-21</v>
      </c>
      <c r="H98" s="133" t="str">
        <f>IFERROR(__xludf.DUMMYFUNCTION("""COMPUTED_VALUE"""),"MEM")</f>
        <v>MEM</v>
      </c>
      <c r="I98" s="145" t="str">
        <f>IFERROR(__xludf.DUMMYFUNCTION("""COMPUTED_VALUE"""),"Primary Ball Handler")</f>
        <v>Primary Ball Handler</v>
      </c>
      <c r="J98" s="145">
        <f>IFERROR(__xludf.DUMMYFUNCTION("""COMPUTED_VALUE"""),600.311666666667)</f>
        <v>600.3116667</v>
      </c>
      <c r="K98" s="133">
        <f>IFERROR(__xludf.DUMMYFUNCTION("""COMPUTED_VALUE"""),26.0)</f>
        <v>26</v>
      </c>
      <c r="L98" s="133" t="str">
        <f>IFERROR(__xludf.DUMMYFUNCTION("""COMPUTED_VALUE"""),"PG")</f>
        <v>PG</v>
      </c>
      <c r="M98" s="133">
        <f>IFERROR(__xludf.DUMMYFUNCTION("""COMPUTED_VALUE"""),24.0)</f>
        <v>24</v>
      </c>
      <c r="N98" s="134">
        <f>IFERROR(__xludf.DUMMYFUNCTION("""COMPUTED_VALUE"""),0.885054318460114)</f>
        <v>0.8850543185</v>
      </c>
      <c r="O98" s="134">
        <f>IFERROR(__xludf.DUMMYFUNCTION("""COMPUTED_VALUE"""),0.649205431350452)</f>
        <v>0.6492054314</v>
      </c>
      <c r="P98" s="134">
        <f>IFERROR(__xludf.DUMMYFUNCTION("""COMPUTED_VALUE"""),0.235848887109662)</f>
        <v>0.2358488871</v>
      </c>
      <c r="Q98" s="146">
        <f>IFERROR(__xludf.DUMMYFUNCTION("""COMPUTED_VALUE"""),1.2832939409441975)</f>
        <v>1.283293941</v>
      </c>
      <c r="R98" s="17"/>
      <c r="S98" s="17"/>
      <c r="T98" s="75"/>
      <c r="U98" s="75"/>
      <c r="V98" s="75"/>
      <c r="W98" s="75"/>
      <c r="X98" s="75"/>
    </row>
    <row r="99">
      <c r="A99" s="17"/>
      <c r="B99" s="17"/>
      <c r="C99" s="133"/>
      <c r="D99" s="133"/>
      <c r="E99" s="17"/>
      <c r="F99" s="133" t="str">
        <f>IFERROR(__xludf.DUMMYFUNCTION("""COMPUTED_VALUE"""),"Monte Morris")</f>
        <v>Monte Morris</v>
      </c>
      <c r="G99" s="133" t="str">
        <f>IFERROR(__xludf.DUMMYFUNCTION("""COMPUTED_VALUE"""),"2020-21")</f>
        <v>2020-21</v>
      </c>
      <c r="H99" s="133" t="str">
        <f>IFERROR(__xludf.DUMMYFUNCTION("""COMPUTED_VALUE"""),"DEN")</f>
        <v>DEN</v>
      </c>
      <c r="I99" s="145" t="str">
        <f>IFERROR(__xludf.DUMMYFUNCTION("""COMPUTED_VALUE"""),"Primary Ball Handler")</f>
        <v>Primary Ball Handler</v>
      </c>
      <c r="J99" s="145">
        <f>IFERROR(__xludf.DUMMYFUNCTION("""COMPUTED_VALUE"""),762.376666666667)</f>
        <v>762.3766667</v>
      </c>
      <c r="K99" s="133">
        <f>IFERROR(__xludf.DUMMYFUNCTION("""COMPUTED_VALUE"""),29.0)</f>
        <v>29</v>
      </c>
      <c r="L99" s="133" t="str">
        <f>IFERROR(__xludf.DUMMYFUNCTION("""COMPUTED_VALUE"""),"PG")</f>
        <v>PG</v>
      </c>
      <c r="M99" s="133">
        <f>IFERROR(__xludf.DUMMYFUNCTION("""COMPUTED_VALUE"""),25.0)</f>
        <v>25</v>
      </c>
      <c r="N99" s="134">
        <f>IFERROR(__xludf.DUMMYFUNCTION("""COMPUTED_VALUE"""),0.207100910033268)</f>
        <v>0.20710091</v>
      </c>
      <c r="O99" s="134">
        <f>IFERROR(__xludf.DUMMYFUNCTION("""COMPUTED_VALUE"""),0.942306965715881)</f>
        <v>0.9423069657</v>
      </c>
      <c r="P99" s="134">
        <f>IFERROR(__xludf.DUMMYFUNCTION("""COMPUTED_VALUE"""),-0.735206055682613)</f>
        <v>-0.7352060557</v>
      </c>
      <c r="Q99" s="146">
        <f>IFERROR(__xludf.DUMMYFUNCTION("""COMPUTED_VALUE"""),1.2817714417017332)</f>
        <v>1.281771442</v>
      </c>
      <c r="R99" s="17"/>
      <c r="S99" s="17"/>
      <c r="T99" s="75"/>
      <c r="U99" s="75"/>
      <c r="V99" s="75"/>
      <c r="W99" s="75"/>
      <c r="X99" s="75"/>
    </row>
    <row r="100">
      <c r="A100" s="17"/>
      <c r="B100" s="17"/>
      <c r="C100" s="133"/>
      <c r="D100" s="133"/>
      <c r="E100" s="17"/>
      <c r="F100" s="133" t="str">
        <f>IFERROR(__xludf.DUMMYFUNCTION("""COMPUTED_VALUE"""),"Steven Adams")</f>
        <v>Steven Adams</v>
      </c>
      <c r="G100" s="133" t="str">
        <f>IFERROR(__xludf.DUMMYFUNCTION("""COMPUTED_VALUE"""),"2020-21")</f>
        <v>2020-21</v>
      </c>
      <c r="H100" s="133" t="str">
        <f>IFERROR(__xludf.DUMMYFUNCTION("""COMPUTED_VALUE"""),"NOP")</f>
        <v>NOP</v>
      </c>
      <c r="I100" s="145" t="str">
        <f>IFERROR(__xludf.DUMMYFUNCTION("""COMPUTED_VALUE"""),"Roll + Cut Big")</f>
        <v>Roll + Cut Big</v>
      </c>
      <c r="J100" s="145">
        <f>IFERROR(__xludf.DUMMYFUNCTION("""COMPUTED_VALUE"""),760.12)</f>
        <v>760.12</v>
      </c>
      <c r="K100" s="133">
        <f>IFERROR(__xludf.DUMMYFUNCTION("""COMPUTED_VALUE"""),27.0)</f>
        <v>27</v>
      </c>
      <c r="L100" s="133" t="str">
        <f>IFERROR(__xludf.DUMMYFUNCTION("""COMPUTED_VALUE"""),"C")</f>
        <v>C</v>
      </c>
      <c r="M100" s="133">
        <f>IFERROR(__xludf.DUMMYFUNCTION("""COMPUTED_VALUE"""),27.0)</f>
        <v>27</v>
      </c>
      <c r="N100" s="134">
        <f>IFERROR(__xludf.DUMMYFUNCTION("""COMPUTED_VALUE"""),0.197125344541397)</f>
        <v>0.1971253445</v>
      </c>
      <c r="O100" s="134">
        <f>IFERROR(__xludf.DUMMYFUNCTION("""COMPUTED_VALUE"""),-0.127139884424898)</f>
        <v>-0.1271398844</v>
      </c>
      <c r="P100" s="134">
        <f>IFERROR(__xludf.DUMMYFUNCTION("""COMPUTED_VALUE"""),0.324265228966294)</f>
        <v>0.324265229</v>
      </c>
      <c r="Q100" s="146">
        <f>IFERROR(__xludf.DUMMYFUNCTION("""COMPUTED_VALUE"""),1.2728660854752818)</f>
        <v>1.272866085</v>
      </c>
      <c r="R100" s="17"/>
      <c r="S100" s="17"/>
      <c r="T100" s="75"/>
      <c r="U100" s="75"/>
      <c r="V100" s="75"/>
      <c r="W100" s="75"/>
      <c r="X100" s="75"/>
    </row>
    <row r="101">
      <c r="A101" s="17"/>
      <c r="B101" s="17"/>
      <c r="C101" s="133"/>
      <c r="D101" s="133"/>
      <c r="E101" s="17"/>
      <c r="F101" s="133" t="str">
        <f>IFERROR(__xludf.DUMMYFUNCTION("""COMPUTED_VALUE"""),"Paul Millsap")</f>
        <v>Paul Millsap</v>
      </c>
      <c r="G101" s="133" t="str">
        <f>IFERROR(__xludf.DUMMYFUNCTION("""COMPUTED_VALUE"""),"2020-21")</f>
        <v>2020-21</v>
      </c>
      <c r="H101" s="133" t="str">
        <f>IFERROR(__xludf.DUMMYFUNCTION("""COMPUTED_VALUE"""),"DEN")</f>
        <v>DEN</v>
      </c>
      <c r="I101" s="145" t="str">
        <f>IFERROR(__xludf.DUMMYFUNCTION("""COMPUTED_VALUE"""),"Stretch Big")</f>
        <v>Stretch Big</v>
      </c>
      <c r="J101" s="145">
        <f>IFERROR(__xludf.DUMMYFUNCTION("""COMPUTED_VALUE"""),620.698333333333)</f>
        <v>620.6983333</v>
      </c>
      <c r="K101" s="133">
        <f>IFERROR(__xludf.DUMMYFUNCTION("""COMPUTED_VALUE"""),26.0)</f>
        <v>26</v>
      </c>
      <c r="L101" s="133" t="str">
        <f>IFERROR(__xludf.DUMMYFUNCTION("""COMPUTED_VALUE"""),"PF")</f>
        <v>PF</v>
      </c>
      <c r="M101" s="133">
        <f>IFERROR(__xludf.DUMMYFUNCTION("""COMPUTED_VALUE"""),35.0)</f>
        <v>35</v>
      </c>
      <c r="N101" s="134">
        <f>IFERROR(__xludf.DUMMYFUNCTION("""COMPUTED_VALUE"""),0.748333968572635)</f>
        <v>0.7483339686</v>
      </c>
      <c r="O101" s="134">
        <f>IFERROR(__xludf.DUMMYFUNCTION("""COMPUTED_VALUE"""),0.725064464626397)</f>
        <v>0.7250644646</v>
      </c>
      <c r="P101" s="134">
        <f>IFERROR(__xludf.DUMMYFUNCTION("""COMPUTED_VALUE"""),0.0232695039462373)</f>
        <v>0.02326950395</v>
      </c>
      <c r="Q101" s="146">
        <f>IFERROR(__xludf.DUMMYFUNCTION("""COMPUTED_VALUE"""),1.2698207297143362)</f>
        <v>1.26982073</v>
      </c>
      <c r="R101" s="17"/>
      <c r="S101" s="17"/>
      <c r="T101" s="75"/>
      <c r="U101" s="75"/>
      <c r="V101" s="75"/>
      <c r="W101" s="75"/>
      <c r="X101" s="75"/>
    </row>
    <row r="102">
      <c r="A102" s="17"/>
      <c r="B102" s="17"/>
      <c r="C102" s="133"/>
      <c r="D102" s="133"/>
      <c r="E102" s="17"/>
      <c r="F102" s="133" t="str">
        <f>IFERROR(__xludf.DUMMYFUNCTION("""COMPUTED_VALUE"""),"DeMarcus Cousins")</f>
        <v>DeMarcus Cousins</v>
      </c>
      <c r="G102" s="133" t="str">
        <f>IFERROR(__xludf.DUMMYFUNCTION("""COMPUTED_VALUE"""),"2020-21")</f>
        <v>2020-21</v>
      </c>
      <c r="H102" s="133" t="str">
        <f>IFERROR(__xludf.DUMMYFUNCTION("""COMPUTED_VALUE"""),"HOU")</f>
        <v>HOU</v>
      </c>
      <c r="I102" s="145" t="str">
        <f>IFERROR(__xludf.DUMMYFUNCTION("""COMPUTED_VALUE"""),"Stretch Big")</f>
        <v>Stretch Big</v>
      </c>
      <c r="J102" s="145">
        <f>IFERROR(__xludf.DUMMYFUNCTION("""COMPUTED_VALUE"""),506.115)</f>
        <v>506.115</v>
      </c>
      <c r="K102" s="133">
        <f>IFERROR(__xludf.DUMMYFUNCTION("""COMPUTED_VALUE"""),25.0)</f>
        <v>25</v>
      </c>
      <c r="L102" s="133" t="str">
        <f>IFERROR(__xludf.DUMMYFUNCTION("""COMPUTED_VALUE"""),"C")</f>
        <v>C</v>
      </c>
      <c r="M102" s="133">
        <f>IFERROR(__xludf.DUMMYFUNCTION("""COMPUTED_VALUE"""),30.0)</f>
        <v>30</v>
      </c>
      <c r="N102" s="134">
        <f>IFERROR(__xludf.DUMMYFUNCTION("""COMPUTED_VALUE"""),1.43369548937987)</f>
        <v>1.433695489</v>
      </c>
      <c r="O102" s="134">
        <f>IFERROR(__xludf.DUMMYFUNCTION("""COMPUTED_VALUE"""),-0.678420721055619)</f>
        <v>-0.6784207211</v>
      </c>
      <c r="P102" s="134">
        <f>IFERROR(__xludf.DUMMYFUNCTION("""COMPUTED_VALUE"""),2.11211621043549)</f>
        <v>2.11211621</v>
      </c>
      <c r="Q102" s="146">
        <f>IFERROR(__xludf.DUMMYFUNCTION("""COMPUTED_VALUE"""),1.2680706027634792)</f>
        <v>1.268070603</v>
      </c>
      <c r="R102" s="17"/>
      <c r="S102" s="17"/>
      <c r="T102" s="75"/>
      <c r="U102" s="75"/>
      <c r="V102" s="75"/>
      <c r="W102" s="75"/>
      <c r="X102" s="75"/>
    </row>
    <row r="103">
      <c r="A103" s="17"/>
      <c r="B103" s="17"/>
      <c r="C103" s="133"/>
      <c r="D103" s="133"/>
      <c r="E103" s="17"/>
      <c r="F103" s="133" t="str">
        <f>IFERROR(__xludf.DUMMYFUNCTION("""COMPUTED_VALUE"""),"DeAndre Jordan")</f>
        <v>DeAndre Jordan</v>
      </c>
      <c r="G103" s="133" t="str">
        <f>IFERROR(__xludf.DUMMYFUNCTION("""COMPUTED_VALUE"""),"2020-21")</f>
        <v>2020-21</v>
      </c>
      <c r="H103" s="133" t="str">
        <f>IFERROR(__xludf.DUMMYFUNCTION("""COMPUTED_VALUE"""),"BRK")</f>
        <v>BRK</v>
      </c>
      <c r="I103" s="145" t="str">
        <f>IFERROR(__xludf.DUMMYFUNCTION("""COMPUTED_VALUE"""),"Roll + Cut Big")</f>
        <v>Roll + Cut Big</v>
      </c>
      <c r="J103" s="145">
        <f>IFERROR(__xludf.DUMMYFUNCTION("""COMPUTED_VALUE"""),661.238333333333)</f>
        <v>661.2383333</v>
      </c>
      <c r="K103" s="133">
        <f>IFERROR(__xludf.DUMMYFUNCTION("""COMPUTED_VALUE"""),30.0)</f>
        <v>30</v>
      </c>
      <c r="L103" s="133" t="str">
        <f>IFERROR(__xludf.DUMMYFUNCTION("""COMPUTED_VALUE"""),"C")</f>
        <v>C</v>
      </c>
      <c r="M103" s="133">
        <f>IFERROR(__xludf.DUMMYFUNCTION("""COMPUTED_VALUE"""),32.0)</f>
        <v>32</v>
      </c>
      <c r="N103" s="134">
        <f>IFERROR(__xludf.DUMMYFUNCTION("""COMPUTED_VALUE"""),0.531761445085516)</f>
        <v>0.5317614451</v>
      </c>
      <c r="O103" s="134">
        <f>IFERROR(__xludf.DUMMYFUNCTION("""COMPUTED_VALUE"""),-1.14440232041805)</f>
        <v>-1.14440232</v>
      </c>
      <c r="P103" s="134">
        <f>IFERROR(__xludf.DUMMYFUNCTION("""COMPUTED_VALUE"""),1.67616376550356)</f>
        <v>1.676163766</v>
      </c>
      <c r="Q103" s="146">
        <f>IFERROR(__xludf.DUMMYFUNCTION("""COMPUTED_VALUE"""),1.2563753515152294)</f>
        <v>1.256375352</v>
      </c>
      <c r="R103" s="17"/>
      <c r="S103" s="17"/>
      <c r="T103" s="75"/>
      <c r="U103" s="75"/>
      <c r="V103" s="75"/>
      <c r="W103" s="75"/>
      <c r="X103" s="75"/>
    </row>
    <row r="104">
      <c r="A104" s="17"/>
      <c r="B104" s="17"/>
      <c r="C104" s="133"/>
      <c r="D104" s="133"/>
      <c r="E104" s="17"/>
      <c r="F104" s="133" t="str">
        <f>IFERROR(__xludf.DUMMYFUNCTION("""COMPUTED_VALUE"""),"Marc Gasol")</f>
        <v>Marc Gasol</v>
      </c>
      <c r="G104" s="133" t="str">
        <f>IFERROR(__xludf.DUMMYFUNCTION("""COMPUTED_VALUE"""),"2020-21")</f>
        <v>2020-21</v>
      </c>
      <c r="H104" s="133" t="str">
        <f>IFERROR(__xludf.DUMMYFUNCTION("""COMPUTED_VALUE"""),"LAL")</f>
        <v>LAL</v>
      </c>
      <c r="I104" s="145" t="str">
        <f>IFERROR(__xludf.DUMMYFUNCTION("""COMPUTED_VALUE"""),"Stretch Big")</f>
        <v>Stretch Big</v>
      </c>
      <c r="J104" s="145">
        <f>IFERROR(__xludf.DUMMYFUNCTION("""COMPUTED_VALUE"""),623.168333333333)</f>
        <v>623.1683333</v>
      </c>
      <c r="K104" s="133">
        <f>IFERROR(__xludf.DUMMYFUNCTION("""COMPUTED_VALUE"""),31.0)</f>
        <v>31</v>
      </c>
      <c r="L104" s="133" t="str">
        <f>IFERROR(__xludf.DUMMYFUNCTION("""COMPUTED_VALUE"""),"C")</f>
        <v>C</v>
      </c>
      <c r="M104" s="133">
        <f>IFERROR(__xludf.DUMMYFUNCTION("""COMPUTED_VALUE"""),36.0)</f>
        <v>36</v>
      </c>
      <c r="N104" s="134">
        <f>IFERROR(__xludf.DUMMYFUNCTION("""COMPUTED_VALUE"""),0.70223641029737)</f>
        <v>0.7022364103</v>
      </c>
      <c r="O104" s="134">
        <f>IFERROR(__xludf.DUMMYFUNCTION("""COMPUTED_VALUE"""),-1.85369793444253)</f>
        <v>-1.853697934</v>
      </c>
      <c r="P104" s="134">
        <f>IFERROR(__xludf.DUMMYFUNCTION("""COMPUTED_VALUE"""),2.5559343447399)</f>
        <v>2.555934345</v>
      </c>
      <c r="Q104" s="146">
        <f>IFERROR(__xludf.DUMMYFUNCTION("""COMPUTED_VALUE"""),1.2555491110022399)</f>
        <v>1.255549111</v>
      </c>
      <c r="R104" s="17"/>
      <c r="S104" s="17"/>
      <c r="T104" s="75"/>
      <c r="U104" s="75"/>
      <c r="V104" s="75"/>
      <c r="W104" s="75"/>
      <c r="X104" s="75"/>
    </row>
    <row r="105">
      <c r="A105" s="17"/>
      <c r="B105" s="17"/>
      <c r="C105" s="133"/>
      <c r="D105" s="133"/>
      <c r="E105" s="17"/>
      <c r="F105" s="133" t="str">
        <f>IFERROR(__xludf.DUMMYFUNCTION("""COMPUTED_VALUE"""),"Marcus Smart")</f>
        <v>Marcus Smart</v>
      </c>
      <c r="G105" s="133" t="str">
        <f>IFERROR(__xludf.DUMMYFUNCTION("""COMPUTED_VALUE"""),"2020-21")</f>
        <v>2020-21</v>
      </c>
      <c r="H105" s="133" t="str">
        <f>IFERROR(__xludf.DUMMYFUNCTION("""COMPUTED_VALUE"""),"BOS")</f>
        <v>BOS</v>
      </c>
      <c r="I105" s="145" t="str">
        <f>IFERROR(__xludf.DUMMYFUNCTION("""COMPUTED_VALUE"""),"Primary Ball Handler")</f>
        <v>Primary Ball Handler</v>
      </c>
      <c r="J105" s="145">
        <f>IFERROR(__xludf.DUMMYFUNCTION("""COMPUTED_VALUE"""),549.423333333333)</f>
        <v>549.4233333</v>
      </c>
      <c r="K105" s="133">
        <f>IFERROR(__xludf.DUMMYFUNCTION("""COMPUTED_VALUE"""),17.0)</f>
        <v>17</v>
      </c>
      <c r="L105" s="133" t="str">
        <f>IFERROR(__xludf.DUMMYFUNCTION("""COMPUTED_VALUE"""),"PG")</f>
        <v>PG</v>
      </c>
      <c r="M105" s="133">
        <f>IFERROR(__xludf.DUMMYFUNCTION("""COMPUTED_VALUE"""),26.0)</f>
        <v>26</v>
      </c>
      <c r="N105" s="134">
        <f>IFERROR(__xludf.DUMMYFUNCTION("""COMPUTED_VALUE"""),0.995858907186449)</f>
        <v>0.9958589072</v>
      </c>
      <c r="O105" s="134">
        <f>IFERROR(__xludf.DUMMYFUNCTION("""COMPUTED_VALUE"""),1.28935851005665)</f>
        <v>1.28935851</v>
      </c>
      <c r="P105" s="134">
        <f>IFERROR(__xludf.DUMMYFUNCTION("""COMPUTED_VALUE"""),-0.293499602870204)</f>
        <v>-0.2934996029</v>
      </c>
      <c r="Q105" s="146">
        <f>IFERROR(__xludf.DUMMYFUNCTION("""COMPUTED_VALUE"""),1.2154019586305485)</f>
        <v>1.215401959</v>
      </c>
      <c r="R105" s="17"/>
      <c r="S105" s="17"/>
      <c r="T105" s="75"/>
      <c r="U105" s="75"/>
      <c r="V105" s="75"/>
      <c r="W105" s="75"/>
      <c r="X105" s="75"/>
    </row>
    <row r="106">
      <c r="A106" s="17"/>
      <c r="B106" s="17"/>
      <c r="C106" s="133"/>
      <c r="D106" s="133"/>
      <c r="E106" s="17"/>
      <c r="F106" s="133" t="str">
        <f>IFERROR(__xludf.DUMMYFUNCTION("""COMPUTED_VALUE"""),"P.J. Washington")</f>
        <v>P.J. Washington</v>
      </c>
      <c r="G106" s="133" t="str">
        <f>IFERROR(__xludf.DUMMYFUNCTION("""COMPUTED_VALUE"""),"2020-21")</f>
        <v>2020-21</v>
      </c>
      <c r="H106" s="133" t="str">
        <f>IFERROR(__xludf.DUMMYFUNCTION("""COMPUTED_VALUE"""),"CHO")</f>
        <v>CHO</v>
      </c>
      <c r="I106" s="145" t="str">
        <f>IFERROR(__xludf.DUMMYFUNCTION("""COMPUTED_VALUE"""),"Stretch Big")</f>
        <v>Stretch Big</v>
      </c>
      <c r="J106" s="145">
        <f>IFERROR(__xludf.DUMMYFUNCTION("""COMPUTED_VALUE"""),722.731666666666)</f>
        <v>722.7316667</v>
      </c>
      <c r="K106" s="133">
        <f>IFERROR(__xludf.DUMMYFUNCTION("""COMPUTED_VALUE"""),25.0)</f>
        <v>25</v>
      </c>
      <c r="L106" s="133" t="str">
        <f>IFERROR(__xludf.DUMMYFUNCTION("""COMPUTED_VALUE"""),"PF")</f>
        <v>PF</v>
      </c>
      <c r="M106" s="133">
        <f>IFERROR(__xludf.DUMMYFUNCTION("""COMPUTED_VALUE"""),22.0)</f>
        <v>22</v>
      </c>
      <c r="N106" s="134">
        <f>IFERROR(__xludf.DUMMYFUNCTION("""COMPUTED_VALUE"""),0.186887258205793)</f>
        <v>0.1868872582</v>
      </c>
      <c r="O106" s="134">
        <f>IFERROR(__xludf.DUMMYFUNCTION("""COMPUTED_VALUE"""),-0.834674901785743)</f>
        <v>-0.8346749018</v>
      </c>
      <c r="P106" s="134">
        <f>IFERROR(__xludf.DUMMYFUNCTION("""COMPUTED_VALUE"""),1.02156215999154)</f>
        <v>1.02156216</v>
      </c>
      <c r="Q106" s="146">
        <f>IFERROR(__xludf.DUMMYFUNCTION("""COMPUTED_VALUE"""),1.2052692744452107)</f>
        <v>1.205269274</v>
      </c>
      <c r="R106" s="17"/>
      <c r="S106" s="17"/>
      <c r="T106" s="75"/>
      <c r="U106" s="75"/>
      <c r="V106" s="75"/>
      <c r="W106" s="75"/>
      <c r="X106" s="75"/>
    </row>
    <row r="107">
      <c r="A107" s="17"/>
      <c r="B107" s="17"/>
      <c r="C107" s="133"/>
      <c r="D107" s="133"/>
      <c r="E107" s="17"/>
      <c r="F107" s="133" t="str">
        <f>IFERROR(__xludf.DUMMYFUNCTION("""COMPUTED_VALUE"""),"Joe Harris")</f>
        <v>Joe Harris</v>
      </c>
      <c r="G107" s="133" t="str">
        <f>IFERROR(__xludf.DUMMYFUNCTION("""COMPUTED_VALUE"""),"2020-21")</f>
        <v>2020-21</v>
      </c>
      <c r="H107" s="133" t="str">
        <f>IFERROR(__xludf.DUMMYFUNCTION("""COMPUTED_VALUE"""),"BRK")</f>
        <v>BRK</v>
      </c>
      <c r="I107" s="145" t="str">
        <f>IFERROR(__xludf.DUMMYFUNCTION("""COMPUTED_VALUE"""),"Movement Shooter")</f>
        <v>Movement Shooter</v>
      </c>
      <c r="J107" s="145">
        <f>IFERROR(__xludf.DUMMYFUNCTION("""COMPUTED_VALUE"""),994.531666666667)</f>
        <v>994.5316667</v>
      </c>
      <c r="K107" s="133">
        <f>IFERROR(__xludf.DUMMYFUNCTION("""COMPUTED_VALUE"""),32.0)</f>
        <v>32</v>
      </c>
      <c r="L107" s="133" t="str">
        <f>IFERROR(__xludf.DUMMYFUNCTION("""COMPUTED_VALUE"""),"SF")</f>
        <v>SF</v>
      </c>
      <c r="M107" s="133">
        <f>IFERROR(__xludf.DUMMYFUNCTION("""COMPUTED_VALUE"""),29.0)</f>
        <v>29</v>
      </c>
      <c r="N107" s="134">
        <f>IFERROR(__xludf.DUMMYFUNCTION("""COMPUTED_VALUE"""),-0.560059479623988)</f>
        <v>-0.5600594796</v>
      </c>
      <c r="O107" s="134">
        <f>IFERROR(__xludf.DUMMYFUNCTION("""COMPUTED_VALUE"""),0.902919326006878)</f>
        <v>0.902919326</v>
      </c>
      <c r="P107" s="134">
        <f>IFERROR(__xludf.DUMMYFUNCTION("""COMPUTED_VALUE"""),-1.46297880563087)</f>
        <v>-1.462978806</v>
      </c>
      <c r="Q107" s="146">
        <f>IFERROR(__xludf.DUMMYFUNCTION("""COMPUTED_VALUE"""),1.1578782348533858)</f>
        <v>1.157878235</v>
      </c>
      <c r="R107" s="17"/>
      <c r="S107" s="17"/>
      <c r="T107" s="75"/>
      <c r="U107" s="75"/>
      <c r="V107" s="75"/>
      <c r="W107" s="75"/>
      <c r="X107" s="75"/>
    </row>
    <row r="108">
      <c r="A108" s="17"/>
      <c r="B108" s="17"/>
      <c r="C108" s="133"/>
      <c r="D108" s="133"/>
      <c r="E108" s="17"/>
      <c r="F108" s="133" t="str">
        <f>IFERROR(__xludf.DUMMYFUNCTION("""COMPUTED_VALUE"""),"Keldon Johnson")</f>
        <v>Keldon Johnson</v>
      </c>
      <c r="G108" s="133" t="str">
        <f>IFERROR(__xludf.DUMMYFUNCTION("""COMPUTED_VALUE"""),"2020-21")</f>
        <v>2020-21</v>
      </c>
      <c r="H108" s="133" t="str">
        <f>IFERROR(__xludf.DUMMYFUNCTION("""COMPUTED_VALUE"""),"SAS")</f>
        <v>SAS</v>
      </c>
      <c r="I108" s="145" t="str">
        <f>IFERROR(__xludf.DUMMYFUNCTION("""COMPUTED_VALUE"""),"Stationary Shooter")</f>
        <v>Stationary Shooter</v>
      </c>
      <c r="J108" s="145">
        <f>IFERROR(__xludf.DUMMYFUNCTION("""COMPUTED_VALUE"""),812.336666666666)</f>
        <v>812.3366667</v>
      </c>
      <c r="K108" s="133">
        <f>IFERROR(__xludf.DUMMYFUNCTION("""COMPUTED_VALUE"""),27.0)</f>
        <v>27</v>
      </c>
      <c r="L108" s="133" t="str">
        <f>IFERROR(__xludf.DUMMYFUNCTION("""COMPUTED_VALUE"""),"SF")</f>
        <v>SF</v>
      </c>
      <c r="M108" s="133">
        <f>IFERROR(__xludf.DUMMYFUNCTION("""COMPUTED_VALUE"""),21.0)</f>
        <v>21</v>
      </c>
      <c r="N108" s="134">
        <f>IFERROR(__xludf.DUMMYFUNCTION("""COMPUTED_VALUE"""),-0.182657156357084)</f>
        <v>-0.1826571564</v>
      </c>
      <c r="O108" s="134">
        <f>IFERROR(__xludf.DUMMYFUNCTION("""COMPUTED_VALUE"""),-0.288569358875948)</f>
        <v>-0.2885693589</v>
      </c>
      <c r="P108" s="134">
        <f>IFERROR(__xludf.DUMMYFUNCTION("""COMPUTED_VALUE"""),0.105912202518864)</f>
        <v>0.1059122025</v>
      </c>
      <c r="Q108" s="146">
        <f>IFERROR(__xludf.DUMMYFUNCTION("""COMPUTED_VALUE"""),1.152321315624125)</f>
        <v>1.152321316</v>
      </c>
      <c r="R108" s="17"/>
      <c r="S108" s="17"/>
      <c r="T108" s="75"/>
      <c r="U108" s="75"/>
      <c r="V108" s="75"/>
      <c r="W108" s="75"/>
      <c r="X108" s="75"/>
    </row>
    <row r="109">
      <c r="A109" s="17"/>
      <c r="B109" s="17"/>
      <c r="C109" s="133"/>
      <c r="D109" s="133"/>
      <c r="E109" s="17"/>
      <c r="F109" s="133" t="str">
        <f>IFERROR(__xludf.DUMMYFUNCTION("""COMPUTED_VALUE"""),"Pat Connaughton")</f>
        <v>Pat Connaughton</v>
      </c>
      <c r="G109" s="133" t="str">
        <f>IFERROR(__xludf.DUMMYFUNCTION("""COMPUTED_VALUE"""),"2020-21")</f>
        <v>2020-21</v>
      </c>
      <c r="H109" s="133" t="str">
        <f>IFERROR(__xludf.DUMMYFUNCTION("""COMPUTED_VALUE"""),"MIL")</f>
        <v>MIL</v>
      </c>
      <c r="I109" s="145" t="str">
        <f>IFERROR(__xludf.DUMMYFUNCTION("""COMPUTED_VALUE"""),"Athletic Finisher")</f>
        <v>Athletic Finisher</v>
      </c>
      <c r="J109" s="145">
        <f>IFERROR(__xludf.DUMMYFUNCTION("""COMPUTED_VALUE"""),559.686666666667)</f>
        <v>559.6866667</v>
      </c>
      <c r="K109" s="133">
        <f>IFERROR(__xludf.DUMMYFUNCTION("""COMPUTED_VALUE"""),28.0)</f>
        <v>28</v>
      </c>
      <c r="L109" s="133" t="str">
        <f>IFERROR(__xludf.DUMMYFUNCTION("""COMPUTED_VALUE"""),"SG")</f>
        <v>SG</v>
      </c>
      <c r="M109" s="133">
        <f>IFERROR(__xludf.DUMMYFUNCTION("""COMPUTED_VALUE"""),28.0)</f>
        <v>28</v>
      </c>
      <c r="N109" s="134">
        <f>IFERROR(__xludf.DUMMYFUNCTION("""COMPUTED_VALUE"""),0.746100877347718)</f>
        <v>0.7461008773</v>
      </c>
      <c r="O109" s="134">
        <f>IFERROR(__xludf.DUMMYFUNCTION("""COMPUTED_VALUE"""),0.0103998749302688)</f>
        <v>0.01039987493</v>
      </c>
      <c r="P109" s="134">
        <f>IFERROR(__xludf.DUMMYFUNCTION("""COMPUTED_VALUE"""),0.735701002417449)</f>
        <v>0.7357010024</v>
      </c>
      <c r="Q109" s="146">
        <f>IFERROR(__xludf.DUMMYFUNCTION("""COMPUTED_VALUE"""),1.1441627814875355)</f>
        <v>1.144162781</v>
      </c>
      <c r="R109" s="17"/>
      <c r="S109" s="17"/>
      <c r="T109" s="75"/>
      <c r="U109" s="75"/>
      <c r="V109" s="75"/>
      <c r="W109" s="75"/>
      <c r="X109" s="75"/>
    </row>
    <row r="110">
      <c r="A110" s="17"/>
      <c r="B110" s="17"/>
      <c r="C110" s="133"/>
      <c r="D110" s="133"/>
      <c r="E110" s="17"/>
      <c r="F110" s="133" t="str">
        <f>IFERROR(__xludf.DUMMYFUNCTION("""COMPUTED_VALUE"""),"Harrison Barnes")</f>
        <v>Harrison Barnes</v>
      </c>
      <c r="G110" s="133" t="str">
        <f>IFERROR(__xludf.DUMMYFUNCTION("""COMPUTED_VALUE"""),"2020-21")</f>
        <v>2020-21</v>
      </c>
      <c r="H110" s="133" t="str">
        <f>IFERROR(__xludf.DUMMYFUNCTION("""COMPUTED_VALUE"""),"SAC")</f>
        <v>SAC</v>
      </c>
      <c r="I110" s="145" t="str">
        <f>IFERROR(__xludf.DUMMYFUNCTION("""COMPUTED_VALUE"""),"Stretch Big")</f>
        <v>Stretch Big</v>
      </c>
      <c r="J110" s="145">
        <f>IFERROR(__xludf.DUMMYFUNCTION("""COMPUTED_VALUE"""),948.333333333333)</f>
        <v>948.3333333</v>
      </c>
      <c r="K110" s="133">
        <f>IFERROR(__xludf.DUMMYFUNCTION("""COMPUTED_VALUE"""),27.0)</f>
        <v>27</v>
      </c>
      <c r="L110" s="133" t="str">
        <f>IFERROR(__xludf.DUMMYFUNCTION("""COMPUTED_VALUE"""),"PF")</f>
        <v>PF</v>
      </c>
      <c r="M110" s="133">
        <f>IFERROR(__xludf.DUMMYFUNCTION("""COMPUTED_VALUE"""),28.0)</f>
        <v>28</v>
      </c>
      <c r="N110" s="134">
        <f>IFERROR(__xludf.DUMMYFUNCTION("""COMPUTED_VALUE"""),-0.507257049843996)</f>
        <v>-0.5072570498</v>
      </c>
      <c r="O110" s="134">
        <f>IFERROR(__xludf.DUMMYFUNCTION("""COMPUTED_VALUE"""),0.527059781179279)</f>
        <v>0.5270597812</v>
      </c>
      <c r="P110" s="134">
        <f>IFERROR(__xludf.DUMMYFUNCTION("""COMPUTED_VALUE"""),-1.03431683102328)</f>
        <v>-1.034316831</v>
      </c>
      <c r="Q110" s="146">
        <f>IFERROR(__xludf.DUMMYFUNCTION("""COMPUTED_VALUE"""),1.1378115860351683)</f>
        <v>1.137811586</v>
      </c>
      <c r="R110" s="17"/>
      <c r="S110" s="17"/>
      <c r="T110" s="75"/>
      <c r="U110" s="75"/>
      <c r="V110" s="75"/>
      <c r="W110" s="75"/>
      <c r="X110" s="75"/>
    </row>
    <row r="111">
      <c r="A111" s="17"/>
      <c r="B111" s="17"/>
      <c r="C111" s="133"/>
      <c r="D111" s="133"/>
      <c r="E111" s="17"/>
      <c r="F111" s="133" t="str">
        <f>IFERROR(__xludf.DUMMYFUNCTION("""COMPUTED_VALUE"""),"Ivica Zubac")</f>
        <v>Ivica Zubac</v>
      </c>
      <c r="G111" s="133" t="str">
        <f>IFERROR(__xludf.DUMMYFUNCTION("""COMPUTED_VALUE"""),"2020-21")</f>
        <v>2020-21</v>
      </c>
      <c r="H111" s="133" t="str">
        <f>IFERROR(__xludf.DUMMYFUNCTION("""COMPUTED_VALUE"""),"LAC")</f>
        <v>LAC</v>
      </c>
      <c r="I111" s="145" t="str">
        <f>IFERROR(__xludf.DUMMYFUNCTION("""COMPUTED_VALUE"""),"Roll + Cut Big")</f>
        <v>Roll + Cut Big</v>
      </c>
      <c r="J111" s="145">
        <f>IFERROR(__xludf.DUMMYFUNCTION("""COMPUTED_VALUE"""),622.896666666666)</f>
        <v>622.8966667</v>
      </c>
      <c r="K111" s="133">
        <f>IFERROR(__xludf.DUMMYFUNCTION("""COMPUTED_VALUE"""),32.0)</f>
        <v>32</v>
      </c>
      <c r="L111" s="133" t="str">
        <f>IFERROR(__xludf.DUMMYFUNCTION("""COMPUTED_VALUE"""),"C")</f>
        <v>C</v>
      </c>
      <c r="M111" s="133">
        <f>IFERROR(__xludf.DUMMYFUNCTION("""COMPUTED_VALUE"""),23.0)</f>
        <v>23</v>
      </c>
      <c r="N111" s="134">
        <f>IFERROR(__xludf.DUMMYFUNCTION("""COMPUTED_VALUE"""),0.393568809054588)</f>
        <v>0.3935688091</v>
      </c>
      <c r="O111" s="134">
        <f>IFERROR(__xludf.DUMMYFUNCTION("""COMPUTED_VALUE"""),-0.147051782386366)</f>
        <v>-0.1470517824</v>
      </c>
      <c r="P111" s="134">
        <f>IFERROR(__xludf.DUMMYFUNCTION("""COMPUTED_VALUE"""),0.540620591440954)</f>
        <v>0.5406205914</v>
      </c>
      <c r="Q111" s="146">
        <f>IFERROR(__xludf.DUMMYFUNCTION("""COMPUTED_VALUE"""),1.1255429252506288)</f>
        <v>1.125542925</v>
      </c>
      <c r="R111" s="17"/>
      <c r="S111" s="17"/>
      <c r="T111" s="75"/>
      <c r="U111" s="75"/>
      <c r="V111" s="75"/>
      <c r="W111" s="75"/>
      <c r="X111" s="75"/>
    </row>
    <row r="112">
      <c r="A112" s="17"/>
      <c r="B112" s="17"/>
      <c r="C112" s="133"/>
      <c r="D112" s="133"/>
      <c r="E112" s="17"/>
      <c r="F112" s="133" t="str">
        <f>IFERROR(__xludf.DUMMYFUNCTION("""COMPUTED_VALUE"""),"RJ Barrett")</f>
        <v>RJ Barrett</v>
      </c>
      <c r="G112" s="133" t="str">
        <f>IFERROR(__xludf.DUMMYFUNCTION("""COMPUTED_VALUE"""),"2020-21")</f>
        <v>2020-21</v>
      </c>
      <c r="H112" s="133" t="str">
        <f>IFERROR(__xludf.DUMMYFUNCTION("""COMPUTED_VALUE"""),"NYK")</f>
        <v>NYK</v>
      </c>
      <c r="I112" s="145" t="str">
        <f>IFERROR(__xludf.DUMMYFUNCTION("""COMPUTED_VALUE"""),"Slasher")</f>
        <v>Slasher</v>
      </c>
      <c r="J112" s="145">
        <f>IFERROR(__xludf.DUMMYFUNCTION("""COMPUTED_VALUE"""),1046.01833333333)</f>
        <v>1046.018333</v>
      </c>
      <c r="K112" s="133">
        <f>IFERROR(__xludf.DUMMYFUNCTION("""COMPUTED_VALUE"""),31.0)</f>
        <v>31</v>
      </c>
      <c r="L112" s="133" t="str">
        <f>IFERROR(__xludf.DUMMYFUNCTION("""COMPUTED_VALUE"""),"SG")</f>
        <v>SG</v>
      </c>
      <c r="M112" s="133">
        <f>IFERROR(__xludf.DUMMYFUNCTION("""COMPUTED_VALUE"""),20.0)</f>
        <v>20</v>
      </c>
      <c r="N112" s="134">
        <f>IFERROR(__xludf.DUMMYFUNCTION("""COMPUTED_VALUE"""),-0.714351228707866)</f>
        <v>-0.7143512287</v>
      </c>
      <c r="O112" s="134">
        <f>IFERROR(__xludf.DUMMYFUNCTION("""COMPUTED_VALUE"""),-0.18796327873206)</f>
        <v>-0.1879632787</v>
      </c>
      <c r="P112" s="134">
        <f>IFERROR(__xludf.DUMMYFUNCTION("""COMPUTED_VALUE"""),-0.526387949975806)</f>
        <v>-0.52638795</v>
      </c>
      <c r="Q112" s="146">
        <f>IFERROR(__xludf.DUMMYFUNCTION("""COMPUTED_VALUE"""),1.1091972799181298)</f>
        <v>1.10919728</v>
      </c>
      <c r="R112" s="17"/>
      <c r="S112" s="17"/>
      <c r="T112" s="75"/>
      <c r="U112" s="75"/>
      <c r="V112" s="75"/>
      <c r="W112" s="75"/>
      <c r="X112" s="75"/>
    </row>
    <row r="113">
      <c r="A113" s="17"/>
      <c r="B113" s="17"/>
      <c r="C113" s="133"/>
      <c r="D113" s="133"/>
      <c r="E113" s="17"/>
      <c r="F113" s="133" t="str">
        <f>IFERROR(__xludf.DUMMYFUNCTION("""COMPUTED_VALUE"""),"Immanuel Quickley")</f>
        <v>Immanuel Quickley</v>
      </c>
      <c r="G113" s="133" t="str">
        <f>IFERROR(__xludf.DUMMYFUNCTION("""COMPUTED_VALUE"""),"2020-21")</f>
        <v>2020-21</v>
      </c>
      <c r="H113" s="133" t="str">
        <f>IFERROR(__xludf.DUMMYFUNCTION("""COMPUTED_VALUE"""),"NYK")</f>
        <v>NYK</v>
      </c>
      <c r="I113" s="145" t="str">
        <f>IFERROR(__xludf.DUMMYFUNCTION("""COMPUTED_VALUE"""),"Secondary Ball Handler")</f>
        <v>Secondary Ball Handler</v>
      </c>
      <c r="J113" s="145">
        <f>IFERROR(__xludf.DUMMYFUNCTION("""COMPUTED_VALUE"""),514.253333333333)</f>
        <v>514.2533333</v>
      </c>
      <c r="K113" s="133">
        <f>IFERROR(__xludf.DUMMYFUNCTION("""COMPUTED_VALUE"""),27.0)</f>
        <v>27</v>
      </c>
      <c r="L113" s="133" t="str">
        <f>IFERROR(__xludf.DUMMYFUNCTION("""COMPUTED_VALUE"""),"PG")</f>
        <v>PG</v>
      </c>
      <c r="M113" s="133">
        <f>IFERROR(__xludf.DUMMYFUNCTION("""COMPUTED_VALUE"""),21.0)</f>
        <v>21</v>
      </c>
      <c r="N113" s="134">
        <f>IFERROR(__xludf.DUMMYFUNCTION("""COMPUTED_VALUE"""),0.900025642579152)</f>
        <v>0.9000256426</v>
      </c>
      <c r="O113" s="134">
        <f>IFERROR(__xludf.DUMMYFUNCTION("""COMPUTED_VALUE"""),1.68423300762015)</f>
        <v>1.684233008</v>
      </c>
      <c r="P113" s="134">
        <f>IFERROR(__xludf.DUMMYFUNCTION("""COMPUTED_VALUE"""),-0.784207365040993)</f>
        <v>-0.784207365</v>
      </c>
      <c r="Q113" s="146">
        <f>IFERROR(__xludf.DUMMYFUNCTION("""COMPUTED_VALUE"""),1.1044993674021306)</f>
        <v>1.104499367</v>
      </c>
      <c r="R113" s="17"/>
      <c r="S113" s="17"/>
      <c r="T113" s="75"/>
      <c r="U113" s="75"/>
      <c r="V113" s="75"/>
      <c r="W113" s="75"/>
      <c r="X113" s="75"/>
    </row>
    <row r="114">
      <c r="A114" s="17"/>
      <c r="B114" s="17"/>
      <c r="C114" s="133"/>
      <c r="D114" s="133"/>
      <c r="E114" s="17"/>
      <c r="F114" s="133" t="str">
        <f>IFERROR(__xludf.DUMMYFUNCTION("""COMPUTED_VALUE"""),"Aaron Gordon")</f>
        <v>Aaron Gordon</v>
      </c>
      <c r="G114" s="133" t="str">
        <f>IFERROR(__xludf.DUMMYFUNCTION("""COMPUTED_VALUE"""),"2020-21")</f>
        <v>2020-21</v>
      </c>
      <c r="H114" s="133" t="str">
        <f>IFERROR(__xludf.DUMMYFUNCTION("""COMPUTED_VALUE"""),"ORL")</f>
        <v>ORL</v>
      </c>
      <c r="I114" s="145" t="str">
        <f>IFERROR(__xludf.DUMMYFUNCTION("""COMPUTED_VALUE"""),"Stretch Big")</f>
        <v>Stretch Big</v>
      </c>
      <c r="J114" s="145">
        <f>IFERROR(__xludf.DUMMYFUNCTION("""COMPUTED_VALUE"""),552.02)</f>
        <v>552.02</v>
      </c>
      <c r="K114" s="133">
        <f>IFERROR(__xludf.DUMMYFUNCTION("""COMPUTED_VALUE"""),19.0)</f>
        <v>19</v>
      </c>
      <c r="L114" s="133" t="str">
        <f>IFERROR(__xludf.DUMMYFUNCTION("""COMPUTED_VALUE"""),"PF")</f>
        <v>PF</v>
      </c>
      <c r="M114" s="133">
        <f>IFERROR(__xludf.DUMMYFUNCTION("""COMPUTED_VALUE"""),25.0)</f>
        <v>25</v>
      </c>
      <c r="N114" s="134">
        <f>IFERROR(__xludf.DUMMYFUNCTION("""COMPUTED_VALUE"""),0.629229753671484)</f>
        <v>0.6292297537</v>
      </c>
      <c r="O114" s="134">
        <f>IFERROR(__xludf.DUMMYFUNCTION("""COMPUTED_VALUE"""),0.576678147139015)</f>
        <v>0.5766781471</v>
      </c>
      <c r="P114" s="134">
        <f>IFERROR(__xludf.DUMMYFUNCTION("""COMPUTED_VALUE"""),0.0525516065324689)</f>
        <v>0.05255160653</v>
      </c>
      <c r="Q114" s="146">
        <f>IFERROR(__xludf.DUMMYFUNCTION("""COMPUTED_VALUE"""),1.0850802011969833)</f>
        <v>1.085080201</v>
      </c>
      <c r="R114" s="17"/>
      <c r="S114" s="17"/>
      <c r="T114" s="75"/>
      <c r="U114" s="75"/>
      <c r="V114" s="75"/>
      <c r="W114" s="75"/>
      <c r="X114" s="75"/>
    </row>
    <row r="115">
      <c r="A115" s="17"/>
      <c r="B115" s="17"/>
      <c r="C115" s="133"/>
      <c r="D115" s="133"/>
      <c r="E115" s="17"/>
      <c r="F115" s="133" t="str">
        <f>IFERROR(__xludf.DUMMYFUNCTION("""COMPUTED_VALUE"""),"Derrick Jones Jr.")</f>
        <v>Derrick Jones Jr.</v>
      </c>
      <c r="G115" s="133" t="str">
        <f>IFERROR(__xludf.DUMMYFUNCTION("""COMPUTED_VALUE"""),"2020-21")</f>
        <v>2020-21</v>
      </c>
      <c r="H115" s="133" t="str">
        <f>IFERROR(__xludf.DUMMYFUNCTION("""COMPUTED_VALUE"""),"POR")</f>
        <v>POR</v>
      </c>
      <c r="I115" s="145" t="str">
        <f>IFERROR(__xludf.DUMMYFUNCTION("""COMPUTED_VALUE"""),"Stretch Big")</f>
        <v>Stretch Big</v>
      </c>
      <c r="J115" s="145">
        <f>IFERROR(__xludf.DUMMYFUNCTION("""COMPUTED_VALUE"""),681.143333333333)</f>
        <v>681.1433333</v>
      </c>
      <c r="K115" s="133">
        <f>IFERROR(__xludf.DUMMYFUNCTION("""COMPUTED_VALUE"""),25.0)</f>
        <v>25</v>
      </c>
      <c r="L115" s="133" t="str">
        <f>IFERROR(__xludf.DUMMYFUNCTION("""COMPUTED_VALUE"""),"SF")</f>
        <v>SF</v>
      </c>
      <c r="M115" s="133">
        <f>IFERROR(__xludf.DUMMYFUNCTION("""COMPUTED_VALUE"""),23.0)</f>
        <v>23</v>
      </c>
      <c r="N115" s="134">
        <f>IFERROR(__xludf.DUMMYFUNCTION("""COMPUTED_VALUE"""),0.0712180467445223)</f>
        <v>0.07121804674</v>
      </c>
      <c r="O115" s="134">
        <f>IFERROR(__xludf.DUMMYFUNCTION("""COMPUTED_VALUE"""),-0.787126095524666)</f>
        <v>-0.7871260955</v>
      </c>
      <c r="P115" s="134">
        <f>IFERROR(__xludf.DUMMYFUNCTION("""COMPUTED_VALUE"""),0.858344142269188)</f>
        <v>0.8583441423</v>
      </c>
      <c r="Q115" s="146">
        <f>IFERROR(__xludf.DUMMYFUNCTION("""COMPUTED_VALUE"""),1.0828004859339218)</f>
        <v>1.082800486</v>
      </c>
      <c r="R115" s="17"/>
      <c r="S115" s="17"/>
      <c r="T115" s="75"/>
      <c r="U115" s="75"/>
      <c r="V115" s="75"/>
      <c r="W115" s="75"/>
      <c r="X115" s="75"/>
    </row>
    <row r="116">
      <c r="A116" s="17"/>
      <c r="B116" s="17"/>
      <c r="C116" s="133"/>
      <c r="D116" s="133"/>
      <c r="E116" s="17"/>
      <c r="F116" s="133" t="str">
        <f>IFERROR(__xludf.DUMMYFUNCTION("""COMPUTED_VALUE"""),"Eric Bledsoe")</f>
        <v>Eric Bledsoe</v>
      </c>
      <c r="G116" s="133" t="str">
        <f>IFERROR(__xludf.DUMMYFUNCTION("""COMPUTED_VALUE"""),"2020-21")</f>
        <v>2020-21</v>
      </c>
      <c r="H116" s="133" t="str">
        <f>IFERROR(__xludf.DUMMYFUNCTION("""COMPUTED_VALUE"""),"NOP")</f>
        <v>NOP</v>
      </c>
      <c r="I116" s="145" t="str">
        <f>IFERROR(__xludf.DUMMYFUNCTION("""COMPUTED_VALUE"""),"Primary Ball Handler")</f>
        <v>Primary Ball Handler</v>
      </c>
      <c r="J116" s="145">
        <f>IFERROR(__xludf.DUMMYFUNCTION("""COMPUTED_VALUE"""),830.48)</f>
        <v>830.48</v>
      </c>
      <c r="K116" s="133">
        <f>IFERROR(__xludf.DUMMYFUNCTION("""COMPUTED_VALUE"""),29.0)</f>
        <v>29</v>
      </c>
      <c r="L116" s="133" t="str">
        <f>IFERROR(__xludf.DUMMYFUNCTION("""COMPUTED_VALUE"""),"SG")</f>
        <v>SG</v>
      </c>
      <c r="M116" s="133">
        <f>IFERROR(__xludf.DUMMYFUNCTION("""COMPUTED_VALUE"""),31.0)</f>
        <v>31</v>
      </c>
      <c r="N116" s="134">
        <f>IFERROR(__xludf.DUMMYFUNCTION("""COMPUTED_VALUE"""),-0.395452255504969)</f>
        <v>-0.3954522555</v>
      </c>
      <c r="O116" s="134">
        <f>IFERROR(__xludf.DUMMYFUNCTION("""COMPUTED_VALUE"""),0.177557262242767)</f>
        <v>0.1775572622</v>
      </c>
      <c r="P116" s="134">
        <f>IFERROR(__xludf.DUMMYFUNCTION("""COMPUTED_VALUE"""),-0.573009517747736)</f>
        <v>-0.5730095177</v>
      </c>
      <c r="Q116" s="146">
        <f>IFERROR(__xludf.DUMMYFUNCTION("""COMPUTED_VALUE"""),1.0589572459604335)</f>
        <v>1.058957246</v>
      </c>
      <c r="R116" s="17"/>
      <c r="S116" s="17"/>
      <c r="T116" s="75"/>
      <c r="U116" s="75"/>
      <c r="V116" s="75"/>
      <c r="W116" s="75"/>
      <c r="X116" s="75"/>
    </row>
    <row r="117">
      <c r="A117" s="17"/>
      <c r="B117" s="17"/>
      <c r="C117" s="133"/>
      <c r="D117" s="133"/>
      <c r="E117" s="17"/>
      <c r="F117" s="133" t="str">
        <f>IFERROR(__xludf.DUMMYFUNCTION("""COMPUTED_VALUE"""),"Bojan Bogdanovic")</f>
        <v>Bojan Bogdanovic</v>
      </c>
      <c r="G117" s="133" t="str">
        <f>IFERROR(__xludf.DUMMYFUNCTION("""COMPUTED_VALUE"""),"2020-21")</f>
        <v>2020-21</v>
      </c>
      <c r="H117" s="133" t="str">
        <f>IFERROR(__xludf.DUMMYFUNCTION("""COMPUTED_VALUE"""),"UTA")</f>
        <v>UTA</v>
      </c>
      <c r="I117" s="145" t="str">
        <f>IFERROR(__xludf.DUMMYFUNCTION("""COMPUTED_VALUE"""),"Movement Shooter")</f>
        <v>Movement Shooter</v>
      </c>
      <c r="J117" s="145">
        <f>IFERROR(__xludf.DUMMYFUNCTION("""COMPUTED_VALUE"""),924.981666666667)</f>
        <v>924.9816667</v>
      </c>
      <c r="K117" s="133">
        <f>IFERROR(__xludf.DUMMYFUNCTION("""COMPUTED_VALUE"""),30.0)</f>
        <v>30</v>
      </c>
      <c r="L117" s="133" t="str">
        <f>IFERROR(__xludf.DUMMYFUNCTION("""COMPUTED_VALUE"""),"SF")</f>
        <v>SF</v>
      </c>
      <c r="M117" s="133">
        <f>IFERROR(__xludf.DUMMYFUNCTION("""COMPUTED_VALUE"""),31.0)</f>
        <v>31</v>
      </c>
      <c r="N117" s="134">
        <f>IFERROR(__xludf.DUMMYFUNCTION("""COMPUTED_VALUE"""),-0.598790008441011)</f>
        <v>-0.5987900084</v>
      </c>
      <c r="O117" s="134">
        <f>IFERROR(__xludf.DUMMYFUNCTION("""COMPUTED_VALUE"""),-0.122449936322329)</f>
        <v>-0.1224499363</v>
      </c>
      <c r="P117" s="134">
        <f>IFERROR(__xludf.DUMMYFUNCTION("""COMPUTED_VALUE"""),-0.476340072118682)</f>
        <v>-0.4763400721</v>
      </c>
      <c r="Q117" s="146">
        <f>IFERROR(__xludf.DUMMYFUNCTION("""COMPUTED_VALUE"""),1.0527859205987873)</f>
        <v>1.052785921</v>
      </c>
      <c r="R117" s="17"/>
      <c r="S117" s="17"/>
      <c r="T117" s="75"/>
      <c r="U117" s="75"/>
      <c r="V117" s="75"/>
      <c r="W117" s="75"/>
      <c r="X117" s="75"/>
    </row>
    <row r="118">
      <c r="A118" s="17"/>
      <c r="B118" s="17"/>
      <c r="C118" s="133"/>
      <c r="D118" s="133"/>
      <c r="E118" s="17"/>
      <c r="F118" s="133" t="str">
        <f>IFERROR(__xludf.DUMMYFUNCTION("""COMPUTED_VALUE"""),"Kristaps Porzingis")</f>
        <v>Kristaps Porzingis</v>
      </c>
      <c r="G118" s="133" t="str">
        <f>IFERROR(__xludf.DUMMYFUNCTION("""COMPUTED_VALUE"""),"2020-21")</f>
        <v>2020-21</v>
      </c>
      <c r="H118" s="133" t="str">
        <f>IFERROR(__xludf.DUMMYFUNCTION("""COMPUTED_VALUE"""),"DAL")</f>
        <v>DAL</v>
      </c>
      <c r="I118" s="145" t="str">
        <f>IFERROR(__xludf.DUMMYFUNCTION("""COMPUTED_VALUE"""),"Versatile Big")</f>
        <v>Versatile Big</v>
      </c>
      <c r="J118" s="145">
        <f>IFERROR(__xludf.DUMMYFUNCTION("""COMPUTED_VALUE"""),509.26)</f>
        <v>509.26</v>
      </c>
      <c r="K118" s="133">
        <f>IFERROR(__xludf.DUMMYFUNCTION("""COMPUTED_VALUE"""),17.0)</f>
        <v>17</v>
      </c>
      <c r="L118" s="133" t="str">
        <f>IFERROR(__xludf.DUMMYFUNCTION("""COMPUTED_VALUE"""),"C")</f>
        <v>C</v>
      </c>
      <c r="M118" s="133">
        <f>IFERROR(__xludf.DUMMYFUNCTION("""COMPUTED_VALUE"""),25.0)</f>
        <v>25</v>
      </c>
      <c r="N118" s="134">
        <f>IFERROR(__xludf.DUMMYFUNCTION("""COMPUTED_VALUE"""),0.777441634793606)</f>
        <v>0.7774416348</v>
      </c>
      <c r="O118" s="134">
        <f>IFERROR(__xludf.DUMMYFUNCTION("""COMPUTED_VALUE"""),1.34687674981886)</f>
        <v>1.34687675</v>
      </c>
      <c r="P118" s="134">
        <f>IFERROR(__xludf.DUMMYFUNCTION("""COMPUTED_VALUE"""),-0.569435115025249)</f>
        <v>-0.569435115</v>
      </c>
      <c r="Q118" s="146">
        <f>IFERROR(__xludf.DUMMYFUNCTION("""COMPUTED_VALUE"""),1.0518104527236465)</f>
        <v>1.051810453</v>
      </c>
      <c r="R118" s="17"/>
      <c r="S118" s="17"/>
      <c r="T118" s="75"/>
      <c r="U118" s="75"/>
      <c r="V118" s="75"/>
      <c r="W118" s="75"/>
      <c r="X118" s="75"/>
    </row>
    <row r="119">
      <c r="A119" s="17"/>
      <c r="B119" s="17"/>
      <c r="C119" s="133"/>
      <c r="D119" s="133"/>
      <c r="E119" s="17"/>
      <c r="F119" s="133" t="str">
        <f>IFERROR(__xludf.DUMMYFUNCTION("""COMPUTED_VALUE"""),"Malik Beasley")</f>
        <v>Malik Beasley</v>
      </c>
      <c r="G119" s="133" t="str">
        <f>IFERROR(__xludf.DUMMYFUNCTION("""COMPUTED_VALUE"""),"2020-21")</f>
        <v>2020-21</v>
      </c>
      <c r="H119" s="133" t="str">
        <f>IFERROR(__xludf.DUMMYFUNCTION("""COMPUTED_VALUE"""),"MIN")</f>
        <v>MIN</v>
      </c>
      <c r="I119" s="145" t="str">
        <f>IFERROR(__xludf.DUMMYFUNCTION("""COMPUTED_VALUE"""),"Movement Shooter")</f>
        <v>Movement Shooter</v>
      </c>
      <c r="J119" s="145">
        <f>IFERROR(__xludf.DUMMYFUNCTION("""COMPUTED_VALUE"""),1021.85166666667)</f>
        <v>1021.851667</v>
      </c>
      <c r="K119" s="133">
        <f>IFERROR(__xludf.DUMMYFUNCTION("""COMPUTED_VALUE"""),31.0)</f>
        <v>31</v>
      </c>
      <c r="L119" s="133" t="str">
        <f>IFERROR(__xludf.DUMMYFUNCTION("""COMPUTED_VALUE"""),"SG")</f>
        <v>SG</v>
      </c>
      <c r="M119" s="133">
        <f>IFERROR(__xludf.DUMMYFUNCTION("""COMPUTED_VALUE"""),24.0)</f>
        <v>24</v>
      </c>
      <c r="N119" s="134">
        <f>IFERROR(__xludf.DUMMYFUNCTION("""COMPUTED_VALUE"""),-0.783973540745947)</f>
        <v>-0.7839735407</v>
      </c>
      <c r="O119" s="134">
        <f>IFERROR(__xludf.DUMMYFUNCTION("""COMPUTED_VALUE"""),0.858714596901487)</f>
        <v>0.8587145969</v>
      </c>
      <c r="P119" s="134">
        <f>IFERROR(__xludf.DUMMYFUNCTION("""COMPUTED_VALUE"""),-1.64268813764743)</f>
        <v>-1.642688138</v>
      </c>
      <c r="Q119" s="146">
        <f>IFERROR(__xludf.DUMMYFUNCTION("""COMPUTED_VALUE"""),1.0357187125777962)</f>
        <v>1.035718713</v>
      </c>
      <c r="R119" s="17"/>
      <c r="S119" s="17"/>
      <c r="T119" s="75"/>
      <c r="U119" s="75"/>
      <c r="V119" s="75"/>
      <c r="W119" s="75"/>
      <c r="X119" s="75"/>
    </row>
    <row r="120">
      <c r="A120" s="17"/>
      <c r="B120" s="17"/>
      <c r="C120" s="133"/>
      <c r="D120" s="133"/>
      <c r="E120" s="17"/>
      <c r="F120" s="133" t="str">
        <f>IFERROR(__xludf.DUMMYFUNCTION("""COMPUTED_VALUE"""),"Kentavious Caldwell-Pope")</f>
        <v>Kentavious Caldwell-Pope</v>
      </c>
      <c r="G120" s="133" t="str">
        <f>IFERROR(__xludf.DUMMYFUNCTION("""COMPUTED_VALUE"""),"2020-21")</f>
        <v>2020-21</v>
      </c>
      <c r="H120" s="133" t="str">
        <f>IFERROR(__xludf.DUMMYFUNCTION("""COMPUTED_VALUE"""),"LAL")</f>
        <v>LAL</v>
      </c>
      <c r="I120" s="145" t="str">
        <f>IFERROR(__xludf.DUMMYFUNCTION("""COMPUTED_VALUE"""),"Movement Shooter")</f>
        <v>Movement Shooter</v>
      </c>
      <c r="J120" s="145">
        <f>IFERROR(__xludf.DUMMYFUNCTION("""COMPUTED_VALUE"""),690.55)</f>
        <v>690.55</v>
      </c>
      <c r="K120" s="133">
        <f>IFERROR(__xludf.DUMMYFUNCTION("""COMPUTED_VALUE"""),27.0)</f>
        <v>27</v>
      </c>
      <c r="L120" s="133" t="str">
        <f>IFERROR(__xludf.DUMMYFUNCTION("""COMPUTED_VALUE"""),"SG")</f>
        <v>SG</v>
      </c>
      <c r="M120" s="133">
        <f>IFERROR(__xludf.DUMMYFUNCTION("""COMPUTED_VALUE"""),27.0)</f>
        <v>27</v>
      </c>
      <c r="N120" s="134">
        <f>IFERROR(__xludf.DUMMYFUNCTION("""COMPUTED_VALUE"""),-0.0680066830803434)</f>
        <v>-0.06800668308</v>
      </c>
      <c r="O120" s="134">
        <f>IFERROR(__xludf.DUMMYFUNCTION("""COMPUTED_VALUE"""),-0.87770675168579)</f>
        <v>-0.8777067517</v>
      </c>
      <c r="P120" s="134">
        <f>IFERROR(__xludf.DUMMYFUNCTION("""COMPUTED_VALUE"""),0.809700068605446)</f>
        <v>0.8097000686</v>
      </c>
      <c r="Q120" s="146">
        <f>IFERROR(__xludf.DUMMYFUNCTION("""COMPUTED_VALUE"""),1.0329368078863785)</f>
        <v>1.032936808</v>
      </c>
      <c r="R120" s="17"/>
      <c r="S120" s="17"/>
      <c r="T120" s="75"/>
      <c r="U120" s="75"/>
      <c r="V120" s="75"/>
      <c r="W120" s="75"/>
      <c r="X120" s="75"/>
    </row>
    <row r="121">
      <c r="A121" s="17"/>
      <c r="B121" s="17"/>
      <c r="C121" s="133"/>
      <c r="D121" s="133"/>
      <c r="E121" s="17"/>
      <c r="F121" s="133" t="str">
        <f>IFERROR(__xludf.DUMMYFUNCTION("""COMPUTED_VALUE"""),"Michael Porter Jr.")</f>
        <v>Michael Porter Jr.</v>
      </c>
      <c r="G121" s="133" t="str">
        <f>IFERROR(__xludf.DUMMYFUNCTION("""COMPUTED_VALUE"""),"2020-21")</f>
        <v>2020-21</v>
      </c>
      <c r="H121" s="133" t="str">
        <f>IFERROR(__xludf.DUMMYFUNCTION("""COMPUTED_VALUE"""),"DEN")</f>
        <v>DEN</v>
      </c>
      <c r="I121" s="145" t="str">
        <f>IFERROR(__xludf.DUMMYFUNCTION("""COMPUTED_VALUE"""),"Stretch Big")</f>
        <v>Stretch Big</v>
      </c>
      <c r="J121" s="145">
        <f>IFERROR(__xludf.DUMMYFUNCTION("""COMPUTED_VALUE"""),538.433333333333)</f>
        <v>538.4333333</v>
      </c>
      <c r="K121" s="133">
        <f>IFERROR(__xludf.DUMMYFUNCTION("""COMPUTED_VALUE"""),20.0)</f>
        <v>20</v>
      </c>
      <c r="L121" s="133" t="str">
        <f>IFERROR(__xludf.DUMMYFUNCTION("""COMPUTED_VALUE"""),"SF")</f>
        <v>SF</v>
      </c>
      <c r="M121" s="133">
        <f>IFERROR(__xludf.DUMMYFUNCTION("""COMPUTED_VALUE"""),22.0)</f>
        <v>22</v>
      </c>
      <c r="N121" s="134">
        <f>IFERROR(__xludf.DUMMYFUNCTION("""COMPUTED_VALUE"""),0.535355925742819)</f>
        <v>0.5353559257</v>
      </c>
      <c r="O121" s="134">
        <f>IFERROR(__xludf.DUMMYFUNCTION("""COMPUTED_VALUE"""),-0.081326829375151)</f>
        <v>-0.08132682938</v>
      </c>
      <c r="P121" s="134">
        <f>IFERROR(__xludf.DUMMYFUNCTION("""COMPUTED_VALUE"""),0.61668275511797)</f>
        <v>0.6166827551</v>
      </c>
      <c r="Q121" s="146">
        <f>IFERROR(__xludf.DUMMYFUNCTION("""COMPUTED_VALUE"""),1.0243449415918808)</f>
        <v>1.024344942</v>
      </c>
      <c r="R121" s="17"/>
      <c r="S121" s="17"/>
      <c r="T121" s="75"/>
      <c r="U121" s="75"/>
      <c r="V121" s="75"/>
      <c r="W121" s="75"/>
      <c r="X121" s="75"/>
    </row>
    <row r="122">
      <c r="A122" s="17"/>
      <c r="B122" s="17"/>
      <c r="C122" s="133"/>
      <c r="D122" s="133"/>
      <c r="E122" s="17"/>
      <c r="F122" s="133" t="str">
        <f>IFERROR(__xludf.DUMMYFUNCTION("""COMPUTED_VALUE"""),"De'Andre Hunter")</f>
        <v>De'Andre Hunter</v>
      </c>
      <c r="G122" s="133" t="str">
        <f>IFERROR(__xludf.DUMMYFUNCTION("""COMPUTED_VALUE"""),"2020-21")</f>
        <v>2020-21</v>
      </c>
      <c r="H122" s="133" t="str">
        <f>IFERROR(__xludf.DUMMYFUNCTION("""COMPUTED_VALUE"""),"ATL")</f>
        <v>ATL</v>
      </c>
      <c r="I122" s="145" t="str">
        <f>IFERROR(__xludf.DUMMYFUNCTION("""COMPUTED_VALUE"""),"Stationary Shooter")</f>
        <v>Stationary Shooter</v>
      </c>
      <c r="J122" s="145">
        <f>IFERROR(__xludf.DUMMYFUNCTION("""COMPUTED_VALUE"""),578.673333333333)</f>
        <v>578.6733333</v>
      </c>
      <c r="K122" s="133">
        <f>IFERROR(__xludf.DUMMYFUNCTION("""COMPUTED_VALUE"""),18.0)</f>
        <v>18</v>
      </c>
      <c r="L122" s="133" t="str">
        <f>IFERROR(__xludf.DUMMYFUNCTION("""COMPUTED_VALUE"""),"SF")</f>
        <v>SF</v>
      </c>
      <c r="M122" s="133">
        <f>IFERROR(__xludf.DUMMYFUNCTION("""COMPUTED_VALUE"""),23.0)</f>
        <v>23</v>
      </c>
      <c r="N122" s="134">
        <f>IFERROR(__xludf.DUMMYFUNCTION("""COMPUTED_VALUE"""),0.318497057957609)</f>
        <v>0.318497058</v>
      </c>
      <c r="O122" s="134">
        <f>IFERROR(__xludf.DUMMYFUNCTION("""COMPUTED_VALUE"""),0.319579139870434)</f>
        <v>0.3195791399</v>
      </c>
      <c r="P122" s="134">
        <f>IFERROR(__xludf.DUMMYFUNCTION("""COMPUTED_VALUE"""),-0.00108208191282504)</f>
        <v>-0.001082081913</v>
      </c>
      <c r="Q122" s="146">
        <f>IFERROR(__xludf.DUMMYFUNCTION("""COMPUTED_VALUE"""),1.016360943982696)</f>
        <v>1.016360944</v>
      </c>
      <c r="R122" s="17"/>
      <c r="S122" s="17"/>
      <c r="T122" s="75"/>
      <c r="U122" s="75"/>
      <c r="V122" s="75"/>
      <c r="W122" s="75"/>
      <c r="X122" s="75"/>
    </row>
    <row r="123">
      <c r="A123" s="17"/>
      <c r="B123" s="17"/>
      <c r="C123" s="133"/>
      <c r="D123" s="133"/>
      <c r="E123" s="17"/>
      <c r="F123" s="133" t="str">
        <f>IFERROR(__xludf.DUMMYFUNCTION("""COMPUTED_VALUE"""),"Ja Morant")</f>
        <v>Ja Morant</v>
      </c>
      <c r="G123" s="133" t="str">
        <f>IFERROR(__xludf.DUMMYFUNCTION("""COMPUTED_VALUE"""),"2020-21")</f>
        <v>2020-21</v>
      </c>
      <c r="H123" s="133" t="str">
        <f>IFERROR(__xludf.DUMMYFUNCTION("""COMPUTED_VALUE"""),"MEM")</f>
        <v>MEM</v>
      </c>
      <c r="I123" s="145" t="str">
        <f>IFERROR(__xludf.DUMMYFUNCTION("""COMPUTED_VALUE"""),"Slasher")</f>
        <v>Slasher</v>
      </c>
      <c r="J123" s="145">
        <f>IFERROR(__xludf.DUMMYFUNCTION("""COMPUTED_VALUE"""),542.931666666667)</f>
        <v>542.9316667</v>
      </c>
      <c r="K123" s="133">
        <f>IFERROR(__xludf.DUMMYFUNCTION("""COMPUTED_VALUE"""),18.0)</f>
        <v>18</v>
      </c>
      <c r="L123" s="133" t="str">
        <f>IFERROR(__xludf.DUMMYFUNCTION("""COMPUTED_VALUE"""),"PG")</f>
        <v>PG</v>
      </c>
      <c r="M123" s="133">
        <f>IFERROR(__xludf.DUMMYFUNCTION("""COMPUTED_VALUE"""),21.0)</f>
        <v>21</v>
      </c>
      <c r="N123" s="134">
        <f>IFERROR(__xludf.DUMMYFUNCTION("""COMPUTED_VALUE"""),0.440719202372124)</f>
        <v>0.4407192024</v>
      </c>
      <c r="O123" s="134">
        <f>IFERROR(__xludf.DUMMYFUNCTION("""COMPUTED_VALUE"""),1.92359660808808)</f>
        <v>1.923596608</v>
      </c>
      <c r="P123" s="134">
        <f>IFERROR(__xludf.DUMMYFUNCTION("""COMPUTED_VALUE"""),-1.48287740571596)</f>
        <v>-1.482877406</v>
      </c>
      <c r="Q123" s="146">
        <f>IFERROR(__xludf.DUMMYFUNCTION("""COMPUTED_VALUE"""),0.9982965546308856)</f>
        <v>0.9982965546</v>
      </c>
      <c r="R123" s="17"/>
      <c r="S123" s="17"/>
      <c r="T123" s="75"/>
      <c r="U123" s="75"/>
      <c r="V123" s="75"/>
      <c r="W123" s="75"/>
      <c r="X123" s="75"/>
    </row>
    <row r="124">
      <c r="A124" s="17"/>
      <c r="B124" s="17"/>
      <c r="C124" s="133"/>
      <c r="D124" s="133"/>
      <c r="E124" s="17"/>
      <c r="F124" s="133" t="str">
        <f>IFERROR(__xludf.DUMMYFUNCTION("""COMPUTED_VALUE"""),"Seth Curry")</f>
        <v>Seth Curry</v>
      </c>
      <c r="G124" s="133" t="str">
        <f>IFERROR(__xludf.DUMMYFUNCTION("""COMPUTED_VALUE"""),"2020-21")</f>
        <v>2020-21</v>
      </c>
      <c r="H124" s="133" t="str">
        <f>IFERROR(__xludf.DUMMYFUNCTION("""COMPUTED_VALUE"""),"PHI")</f>
        <v>PHI</v>
      </c>
      <c r="I124" s="145" t="str">
        <f>IFERROR(__xludf.DUMMYFUNCTION("""COMPUTED_VALUE"""),"Movement Shooter")</f>
        <v>Movement Shooter</v>
      </c>
      <c r="J124" s="145">
        <f>IFERROR(__xludf.DUMMYFUNCTION("""COMPUTED_VALUE"""),710.478333333333)</f>
        <v>710.4783333</v>
      </c>
      <c r="K124" s="133">
        <f>IFERROR(__xludf.DUMMYFUNCTION("""COMPUTED_VALUE"""),24.0)</f>
        <v>24</v>
      </c>
      <c r="L124" s="133" t="str">
        <f>IFERROR(__xludf.DUMMYFUNCTION("""COMPUTED_VALUE"""),"SG")</f>
        <v>SG</v>
      </c>
      <c r="M124" s="133">
        <f>IFERROR(__xludf.DUMMYFUNCTION("""COMPUTED_VALUE"""),30.0)</f>
        <v>30</v>
      </c>
      <c r="N124" s="134">
        <f>IFERROR(__xludf.DUMMYFUNCTION("""COMPUTED_VALUE"""),-0.253000590516868)</f>
        <v>-0.2530005905</v>
      </c>
      <c r="O124" s="134">
        <f>IFERROR(__xludf.DUMMYFUNCTION("""COMPUTED_VALUE"""),-0.192359723713215)</f>
        <v>-0.1923597237</v>
      </c>
      <c r="P124" s="134">
        <f>IFERROR(__xludf.DUMMYFUNCTION("""COMPUTED_VALUE"""),-0.0606408668036532)</f>
        <v>-0.0606408668</v>
      </c>
      <c r="Q124" s="146">
        <f>IFERROR(__xludf.DUMMYFUNCTION("""COMPUTED_VALUE"""),0.974144950068557)</f>
        <v>0.9741449501</v>
      </c>
      <c r="R124" s="17"/>
      <c r="S124" s="17"/>
      <c r="T124" s="75"/>
      <c r="U124" s="75"/>
      <c r="V124" s="75"/>
      <c r="W124" s="75"/>
      <c r="X124" s="75"/>
    </row>
    <row r="125">
      <c r="A125" s="17"/>
      <c r="B125" s="17"/>
      <c r="C125" s="133"/>
      <c r="D125" s="133"/>
      <c r="E125" s="17"/>
      <c r="F125" s="133" t="str">
        <f>IFERROR(__xludf.DUMMYFUNCTION("""COMPUTED_VALUE"""),"OG Anunoby")</f>
        <v>OG Anunoby</v>
      </c>
      <c r="G125" s="133" t="str">
        <f>IFERROR(__xludf.DUMMYFUNCTION("""COMPUTED_VALUE"""),"2020-21")</f>
        <v>2020-21</v>
      </c>
      <c r="H125" s="133" t="str">
        <f>IFERROR(__xludf.DUMMYFUNCTION("""COMPUTED_VALUE"""),"TOR")</f>
        <v>TOR</v>
      </c>
      <c r="I125" s="145" t="str">
        <f>IFERROR(__xludf.DUMMYFUNCTION("""COMPUTED_VALUE"""),"Stationary Shooter")</f>
        <v>Stationary Shooter</v>
      </c>
      <c r="J125" s="145">
        <f>IFERROR(__xludf.DUMMYFUNCTION("""COMPUTED_VALUE"""),675.968333333333)</f>
        <v>675.9683333</v>
      </c>
      <c r="K125" s="133">
        <f>IFERROR(__xludf.DUMMYFUNCTION("""COMPUTED_VALUE"""),20.0)</f>
        <v>20</v>
      </c>
      <c r="L125" s="133" t="str">
        <f>IFERROR(__xludf.DUMMYFUNCTION("""COMPUTED_VALUE"""),"SF")</f>
        <v>SF</v>
      </c>
      <c r="M125" s="133">
        <f>IFERROR(__xludf.DUMMYFUNCTION("""COMPUTED_VALUE"""),23.0)</f>
        <v>23</v>
      </c>
      <c r="N125" s="134">
        <f>IFERROR(__xludf.DUMMYFUNCTION("""COMPUTED_VALUE"""),-0.175645976513951)</f>
        <v>-0.1756459765</v>
      </c>
      <c r="O125" s="134">
        <f>IFERROR(__xludf.DUMMYFUNCTION("""COMPUTED_VALUE"""),-0.699558206718685)</f>
        <v>-0.6995582067</v>
      </c>
      <c r="P125" s="134">
        <f>IFERROR(__xludf.DUMMYFUNCTION("""COMPUTED_VALUE"""),0.523912230204734)</f>
        <v>0.5239122302</v>
      </c>
      <c r="Q125" s="146">
        <f>IFERROR(__xludf.DUMMYFUNCTION("""COMPUTED_VALUE"""),0.9620739672739892)</f>
        <v>0.9620739673</v>
      </c>
      <c r="R125" s="17"/>
      <c r="S125" s="17"/>
      <c r="T125" s="75"/>
      <c r="U125" s="75"/>
      <c r="V125" s="75"/>
      <c r="W125" s="75"/>
      <c r="X125" s="75"/>
    </row>
    <row r="126">
      <c r="A126" s="17"/>
      <c r="B126" s="17"/>
      <c r="C126" s="133"/>
      <c r="D126" s="133"/>
      <c r="E126" s="17"/>
      <c r="F126" s="133" t="str">
        <f>IFERROR(__xludf.DUMMYFUNCTION("""COMPUTED_VALUE"""),"Mason Plumlee")</f>
        <v>Mason Plumlee</v>
      </c>
      <c r="G126" s="133" t="str">
        <f>IFERROR(__xludf.DUMMYFUNCTION("""COMPUTED_VALUE"""),"2020-21")</f>
        <v>2020-21</v>
      </c>
      <c r="H126" s="133" t="str">
        <f>IFERROR(__xludf.DUMMYFUNCTION("""COMPUTED_VALUE"""),"DET")</f>
        <v>DET</v>
      </c>
      <c r="I126" s="145" t="str">
        <f>IFERROR(__xludf.DUMMYFUNCTION("""COMPUTED_VALUE"""),"Roll + Cut Big")</f>
        <v>Roll + Cut Big</v>
      </c>
      <c r="J126" s="145">
        <f>IFERROR(__xludf.DUMMYFUNCTION("""COMPUTED_VALUE"""),788.275)</f>
        <v>788.275</v>
      </c>
      <c r="K126" s="133">
        <f>IFERROR(__xludf.DUMMYFUNCTION("""COMPUTED_VALUE"""),28.0)</f>
        <v>28</v>
      </c>
      <c r="L126" s="133" t="str">
        <f>IFERROR(__xludf.DUMMYFUNCTION("""COMPUTED_VALUE"""),"C")</f>
        <v>C</v>
      </c>
      <c r="M126" s="133">
        <f>IFERROR(__xludf.DUMMYFUNCTION("""COMPUTED_VALUE"""),30.0)</f>
        <v>30</v>
      </c>
      <c r="N126" s="134">
        <f>IFERROR(__xludf.DUMMYFUNCTION("""COMPUTED_VALUE"""),-0.478657068857294)</f>
        <v>-0.4786570689</v>
      </c>
      <c r="O126" s="134">
        <f>IFERROR(__xludf.DUMMYFUNCTION("""COMPUTED_VALUE"""),-0.776248359039144)</f>
        <v>-0.776248359</v>
      </c>
      <c r="P126" s="134">
        <f>IFERROR(__xludf.DUMMYFUNCTION("""COMPUTED_VALUE"""),0.297591290181849)</f>
        <v>0.2975912902</v>
      </c>
      <c r="Q126" s="146">
        <f>IFERROR(__xludf.DUMMYFUNCTION("""COMPUTED_VALUE"""),0.9609573727634175)</f>
        <v>0.9609573728</v>
      </c>
      <c r="R126" s="17"/>
      <c r="S126" s="17"/>
      <c r="T126" s="75"/>
      <c r="U126" s="75"/>
      <c r="V126" s="75"/>
      <c r="W126" s="75"/>
      <c r="X126" s="75"/>
    </row>
    <row r="127">
      <c r="A127" s="17"/>
      <c r="B127" s="17"/>
      <c r="C127" s="133"/>
      <c r="D127" s="133"/>
      <c r="E127" s="17"/>
      <c r="F127" s="133" t="str">
        <f>IFERROR(__xludf.DUMMYFUNCTION("""COMPUTED_VALUE"""),"Rudy Gay")</f>
        <v>Rudy Gay</v>
      </c>
      <c r="G127" s="133" t="str">
        <f>IFERROR(__xludf.DUMMYFUNCTION("""COMPUTED_VALUE"""),"2020-21")</f>
        <v>2020-21</v>
      </c>
      <c r="H127" s="133" t="str">
        <f>IFERROR(__xludf.DUMMYFUNCTION("""COMPUTED_VALUE"""),"SAS")</f>
        <v>SAS</v>
      </c>
      <c r="I127" s="145" t="str">
        <f>IFERROR(__xludf.DUMMYFUNCTION("""COMPUTED_VALUE"""),"Stationary Shooter")</f>
        <v>Stationary Shooter</v>
      </c>
      <c r="J127" s="145">
        <f>IFERROR(__xludf.DUMMYFUNCTION("""COMPUTED_VALUE"""),571.516666666667)</f>
        <v>571.5166667</v>
      </c>
      <c r="K127" s="133">
        <f>IFERROR(__xludf.DUMMYFUNCTION("""COMPUTED_VALUE"""),26.0)</f>
        <v>26</v>
      </c>
      <c r="L127" s="133" t="str">
        <f>IFERROR(__xludf.DUMMYFUNCTION("""COMPUTED_VALUE"""),"PF")</f>
        <v>PF</v>
      </c>
      <c r="M127" s="133">
        <f>IFERROR(__xludf.DUMMYFUNCTION("""COMPUTED_VALUE"""),34.0)</f>
        <v>34</v>
      </c>
      <c r="N127" s="134">
        <f>IFERROR(__xludf.DUMMYFUNCTION("""COMPUTED_VALUE"""),0.20447377860893)</f>
        <v>0.2044737786</v>
      </c>
      <c r="O127" s="134">
        <f>IFERROR(__xludf.DUMMYFUNCTION("""COMPUTED_VALUE"""),-0.421429991874157)</f>
        <v>-0.4214299919</v>
      </c>
      <c r="P127" s="134">
        <f>IFERROR(__xludf.DUMMYFUNCTION("""COMPUTED_VALUE"""),0.625903770483087)</f>
        <v>0.6259037705</v>
      </c>
      <c r="Q127" s="146">
        <f>IFERROR(__xludf.DUMMYFUNCTION("""COMPUTED_VALUE"""),0.9598695567782068)</f>
        <v>0.9598695568</v>
      </c>
      <c r="R127" s="17"/>
      <c r="S127" s="17"/>
      <c r="T127" s="75"/>
      <c r="U127" s="75"/>
      <c r="V127" s="75"/>
      <c r="W127" s="75"/>
      <c r="X127" s="75"/>
    </row>
    <row r="128">
      <c r="A128" s="17"/>
      <c r="B128" s="17"/>
      <c r="C128" s="133"/>
      <c r="D128" s="133"/>
      <c r="E128" s="17"/>
      <c r="F128" s="133" t="str">
        <f>IFERROR(__xludf.DUMMYFUNCTION("""COMPUTED_VALUE"""),"Lou Williams")</f>
        <v>Lou Williams</v>
      </c>
      <c r="G128" s="133" t="str">
        <f>IFERROR(__xludf.DUMMYFUNCTION("""COMPUTED_VALUE"""),"2020-21")</f>
        <v>2020-21</v>
      </c>
      <c r="H128" s="133" t="str">
        <f>IFERROR(__xludf.DUMMYFUNCTION("""COMPUTED_VALUE"""),"LAC")</f>
        <v>LAC</v>
      </c>
      <c r="I128" s="145" t="str">
        <f>IFERROR(__xludf.DUMMYFUNCTION("""COMPUTED_VALUE"""),"Slasher")</f>
        <v>Slasher</v>
      </c>
      <c r="J128" s="145">
        <f>IFERROR(__xludf.DUMMYFUNCTION("""COMPUTED_VALUE"""),673.241666666667)</f>
        <v>673.2416667</v>
      </c>
      <c r="K128" s="133">
        <f>IFERROR(__xludf.DUMMYFUNCTION("""COMPUTED_VALUE"""),30.0)</f>
        <v>30</v>
      </c>
      <c r="L128" s="133" t="str">
        <f>IFERROR(__xludf.DUMMYFUNCTION("""COMPUTED_VALUE"""),"PG")</f>
        <v>PG</v>
      </c>
      <c r="M128" s="133">
        <f>IFERROR(__xludf.DUMMYFUNCTION("""COMPUTED_VALUE"""),34.0)</f>
        <v>34</v>
      </c>
      <c r="N128" s="134">
        <f>IFERROR(__xludf.DUMMYFUNCTION("""COMPUTED_VALUE"""),-0.197472080055089)</f>
        <v>-0.1974720801</v>
      </c>
      <c r="O128" s="134">
        <f>IFERROR(__xludf.DUMMYFUNCTION("""COMPUTED_VALUE"""),0.985607785926228)</f>
        <v>0.9856077859</v>
      </c>
      <c r="P128" s="134">
        <f>IFERROR(__xludf.DUMMYFUNCTION("""COMPUTED_VALUE"""),-1.18307986598132)</f>
        <v>-1.183079866</v>
      </c>
      <c r="Q128" s="146">
        <f>IFERROR(__xludf.DUMMYFUNCTION("""COMPUTED_VALUE"""),0.9482879606597591)</f>
        <v>0.9482879607</v>
      </c>
      <c r="R128" s="17"/>
      <c r="S128" s="17"/>
      <c r="T128" s="75"/>
      <c r="U128" s="75"/>
      <c r="V128" s="75"/>
      <c r="W128" s="75"/>
      <c r="X128" s="75"/>
    </row>
    <row r="129">
      <c r="A129" s="17"/>
      <c r="B129" s="17"/>
      <c r="C129" s="133"/>
      <c r="D129" s="133"/>
      <c r="E129" s="17"/>
      <c r="F129" s="133" t="str">
        <f>IFERROR(__xludf.DUMMYFUNCTION("""COMPUTED_VALUE"""),"Patty Mills")</f>
        <v>Patty Mills</v>
      </c>
      <c r="G129" s="133" t="str">
        <f>IFERROR(__xludf.DUMMYFUNCTION("""COMPUTED_VALUE"""),"2020-21")</f>
        <v>2020-21</v>
      </c>
      <c r="H129" s="133" t="str">
        <f>IFERROR(__xludf.DUMMYFUNCTION("""COMPUTED_VALUE"""),"SAS")</f>
        <v>SAS</v>
      </c>
      <c r="I129" s="145" t="str">
        <f>IFERROR(__xludf.DUMMYFUNCTION("""COMPUTED_VALUE"""),"Secondary Ball Handler")</f>
        <v>Secondary Ball Handler</v>
      </c>
      <c r="J129" s="145">
        <f>IFERROR(__xludf.DUMMYFUNCTION("""COMPUTED_VALUE"""),687.165)</f>
        <v>687.165</v>
      </c>
      <c r="K129" s="133">
        <f>IFERROR(__xludf.DUMMYFUNCTION("""COMPUTED_VALUE"""),27.0)</f>
        <v>27</v>
      </c>
      <c r="L129" s="133" t="str">
        <f>IFERROR(__xludf.DUMMYFUNCTION("""COMPUTED_VALUE"""),"PG")</f>
        <v>PG</v>
      </c>
      <c r="M129" s="133">
        <f>IFERROR(__xludf.DUMMYFUNCTION("""COMPUTED_VALUE"""),32.0)</f>
        <v>32</v>
      </c>
      <c r="N129" s="134">
        <f>IFERROR(__xludf.DUMMYFUNCTION("""COMPUTED_VALUE"""),-0.298089575496258)</f>
        <v>-0.2980895755</v>
      </c>
      <c r="O129" s="134">
        <f>IFERROR(__xludf.DUMMYFUNCTION("""COMPUTED_VALUE"""),0.642306129070907)</f>
        <v>0.6423061291</v>
      </c>
      <c r="P129" s="134">
        <f>IFERROR(__xludf.DUMMYFUNCTION("""COMPUTED_VALUE"""),-0.940395704567165)</f>
        <v>-0.9403957046</v>
      </c>
      <c r="Q129" s="146">
        <f>IFERROR(__xludf.DUMMYFUNCTION("""COMPUTED_VALUE"""),0.9212975867766261)</f>
        <v>0.9212975868</v>
      </c>
      <c r="R129" s="17"/>
      <c r="S129" s="17"/>
      <c r="T129" s="75"/>
      <c r="U129" s="75"/>
      <c r="V129" s="75"/>
      <c r="W129" s="75"/>
      <c r="X129" s="75"/>
    </row>
    <row r="130">
      <c r="A130" s="17"/>
      <c r="B130" s="17"/>
      <c r="C130" s="133"/>
      <c r="D130" s="133"/>
      <c r="E130" s="17"/>
      <c r="F130" s="133" t="str">
        <f>IFERROR(__xludf.DUMMYFUNCTION("""COMPUTED_VALUE"""),"Will Barton")</f>
        <v>Will Barton</v>
      </c>
      <c r="G130" s="133" t="str">
        <f>IFERROR(__xludf.DUMMYFUNCTION("""COMPUTED_VALUE"""),"2020-21")</f>
        <v>2020-21</v>
      </c>
      <c r="H130" s="133" t="str">
        <f>IFERROR(__xludf.DUMMYFUNCTION("""COMPUTED_VALUE"""),"DEN")</f>
        <v>DEN</v>
      </c>
      <c r="I130" s="145" t="str">
        <f>IFERROR(__xludf.DUMMYFUNCTION("""COMPUTED_VALUE"""),"Secondary Ball Handler")</f>
        <v>Secondary Ball Handler</v>
      </c>
      <c r="J130" s="145">
        <f>IFERROR(__xludf.DUMMYFUNCTION("""COMPUTED_VALUE"""),804.298333333333)</f>
        <v>804.2983333</v>
      </c>
      <c r="K130" s="133">
        <f>IFERROR(__xludf.DUMMYFUNCTION("""COMPUTED_VALUE"""),27.0)</f>
        <v>27</v>
      </c>
      <c r="L130" s="133" t="str">
        <f>IFERROR(__xludf.DUMMYFUNCTION("""COMPUTED_VALUE"""),"SF")</f>
        <v>SF</v>
      </c>
      <c r="M130" s="133">
        <f>IFERROR(__xludf.DUMMYFUNCTION("""COMPUTED_VALUE"""),30.0)</f>
        <v>30</v>
      </c>
      <c r="N130" s="134">
        <f>IFERROR(__xludf.DUMMYFUNCTION("""COMPUTED_VALUE"""),-0.601147442994591)</f>
        <v>-0.601147443</v>
      </c>
      <c r="O130" s="134">
        <f>IFERROR(__xludf.DUMMYFUNCTION("""COMPUTED_VALUE"""),-0.439546561529543)</f>
        <v>-0.4395465615</v>
      </c>
      <c r="P130" s="134">
        <f>IFERROR(__xludf.DUMMYFUNCTION("""COMPUTED_VALUE"""),-0.161600881465048)</f>
        <v>-0.1616008815</v>
      </c>
      <c r="Q130" s="146">
        <f>IFERROR(__xludf.DUMMYFUNCTION("""COMPUTED_VALUE"""),0.9141514289834908)</f>
        <v>0.914151429</v>
      </c>
      <c r="R130" s="17"/>
      <c r="S130" s="17"/>
      <c r="T130" s="75"/>
      <c r="U130" s="75"/>
      <c r="V130" s="75"/>
      <c r="W130" s="75"/>
      <c r="X130" s="75"/>
    </row>
    <row r="131">
      <c r="A131" s="17"/>
      <c r="B131" s="17"/>
      <c r="C131" s="133"/>
      <c r="D131" s="133"/>
      <c r="E131" s="17"/>
      <c r="F131" s="133" t="str">
        <f>IFERROR(__xludf.DUMMYFUNCTION("""COMPUTED_VALUE"""),"Tyrese Haliburton")</f>
        <v>Tyrese Haliburton</v>
      </c>
      <c r="G131" s="133" t="str">
        <f>IFERROR(__xludf.DUMMYFUNCTION("""COMPUTED_VALUE"""),"2020-21")</f>
        <v>2020-21</v>
      </c>
      <c r="H131" s="133" t="str">
        <f>IFERROR(__xludf.DUMMYFUNCTION("""COMPUTED_VALUE"""),"SAC")</f>
        <v>SAC</v>
      </c>
      <c r="I131" s="145" t="str">
        <f>IFERROR(__xludf.DUMMYFUNCTION("""COMPUTED_VALUE"""),"Primary Ball Handler")</f>
        <v>Primary Ball Handler</v>
      </c>
      <c r="J131" s="145">
        <f>IFERROR(__xludf.DUMMYFUNCTION("""COMPUTED_VALUE"""),830.976666666667)</f>
        <v>830.9766667</v>
      </c>
      <c r="K131" s="133">
        <f>IFERROR(__xludf.DUMMYFUNCTION("""COMPUTED_VALUE"""),28.0)</f>
        <v>28</v>
      </c>
      <c r="L131" s="133" t="str">
        <f>IFERROR(__xludf.DUMMYFUNCTION("""COMPUTED_VALUE"""),"PG")</f>
        <v>PG</v>
      </c>
      <c r="M131" s="133">
        <f>IFERROR(__xludf.DUMMYFUNCTION("""COMPUTED_VALUE"""),20.0)</f>
        <v>20</v>
      </c>
      <c r="N131" s="134">
        <f>IFERROR(__xludf.DUMMYFUNCTION("""COMPUTED_VALUE"""),-0.697720601939866)</f>
        <v>-0.6977206019</v>
      </c>
      <c r="O131" s="134">
        <f>IFERROR(__xludf.DUMMYFUNCTION("""COMPUTED_VALUE"""),0.930490520937351)</f>
        <v>0.9304905209</v>
      </c>
      <c r="P131" s="134">
        <f>IFERROR(__xludf.DUMMYFUNCTION("""COMPUTED_VALUE"""),-1.62821112287722)</f>
        <v>-1.628211123</v>
      </c>
      <c r="Q131" s="146">
        <f>IFERROR(__xludf.DUMMYFUNCTION("""COMPUTED_VALUE"""),0.8904649577360956)</f>
        <v>0.8904649577</v>
      </c>
      <c r="R131" s="17"/>
      <c r="S131" s="17"/>
      <c r="T131" s="75"/>
      <c r="U131" s="75"/>
      <c r="V131" s="75"/>
      <c r="W131" s="75"/>
      <c r="X131" s="75"/>
    </row>
    <row r="132">
      <c r="A132" s="17"/>
      <c r="B132" s="17"/>
      <c r="C132" s="133"/>
      <c r="D132" s="133"/>
      <c r="E132" s="17"/>
      <c r="F132" s="133" t="str">
        <f>IFERROR(__xludf.DUMMYFUNCTION("""COMPUTED_VALUE"""),"Doug McDermott")</f>
        <v>Doug McDermott</v>
      </c>
      <c r="G132" s="133" t="str">
        <f>IFERROR(__xludf.DUMMYFUNCTION("""COMPUTED_VALUE"""),"2020-21")</f>
        <v>2020-21</v>
      </c>
      <c r="H132" s="133" t="str">
        <f>IFERROR(__xludf.DUMMYFUNCTION("""COMPUTED_VALUE"""),"IND")</f>
        <v>IND</v>
      </c>
      <c r="I132" s="145" t="str">
        <f>IFERROR(__xludf.DUMMYFUNCTION("""COMPUTED_VALUE"""),"Athletic Finisher")</f>
        <v>Athletic Finisher</v>
      </c>
      <c r="J132" s="145">
        <f>IFERROR(__xludf.DUMMYFUNCTION("""COMPUTED_VALUE"""),732.866666666667)</f>
        <v>732.8666667</v>
      </c>
      <c r="K132" s="133">
        <f>IFERROR(__xludf.DUMMYFUNCTION("""COMPUTED_VALUE"""),28.0)</f>
        <v>28</v>
      </c>
      <c r="L132" s="133" t="str">
        <f>IFERROR(__xludf.DUMMYFUNCTION("""COMPUTED_VALUE"""),"PF")</f>
        <v>PF</v>
      </c>
      <c r="M132" s="133">
        <f>IFERROR(__xludf.DUMMYFUNCTION("""COMPUTED_VALUE"""),29.0)</f>
        <v>29</v>
      </c>
      <c r="N132" s="134">
        <f>IFERROR(__xludf.DUMMYFUNCTION("""COMPUTED_VALUE"""),-0.48642834282436)</f>
        <v>-0.4864283428</v>
      </c>
      <c r="O132" s="134">
        <f>IFERROR(__xludf.DUMMYFUNCTION("""COMPUTED_VALUE"""),0.385457841775138)</f>
        <v>0.3854578418</v>
      </c>
      <c r="P132" s="134">
        <f>IFERROR(__xludf.DUMMYFUNCTION("""COMPUTED_VALUE"""),-0.871886184599498)</f>
        <v>-0.8718861846</v>
      </c>
      <c r="Q132" s="146">
        <f>IFERROR(__xludf.DUMMYFUNCTION("""COMPUTED_VALUE"""),0.8895750948421407)</f>
        <v>0.8895750948</v>
      </c>
      <c r="R132" s="17"/>
      <c r="S132" s="17"/>
      <c r="T132" s="75"/>
      <c r="U132" s="75"/>
      <c r="V132" s="75"/>
      <c r="W132" s="75"/>
      <c r="X132" s="75"/>
    </row>
    <row r="133">
      <c r="A133" s="17"/>
      <c r="B133" s="17"/>
      <c r="C133" s="133"/>
      <c r="D133" s="133"/>
      <c r="E133" s="17"/>
      <c r="F133" s="133" t="str">
        <f>IFERROR(__xludf.DUMMYFUNCTION("""COMPUTED_VALUE"""),"Reggie Jackson")</f>
        <v>Reggie Jackson</v>
      </c>
      <c r="G133" s="133" t="str">
        <f>IFERROR(__xludf.DUMMYFUNCTION("""COMPUTED_VALUE"""),"2020-21")</f>
        <v>2020-21</v>
      </c>
      <c r="H133" s="133" t="str">
        <f>IFERROR(__xludf.DUMMYFUNCTION("""COMPUTED_VALUE"""),"LAC")</f>
        <v>LAC</v>
      </c>
      <c r="I133" s="145" t="str">
        <f>IFERROR(__xludf.DUMMYFUNCTION("""COMPUTED_VALUE"""),"Primary Ball Handler")</f>
        <v>Primary Ball Handler</v>
      </c>
      <c r="J133" s="145">
        <f>IFERROR(__xludf.DUMMYFUNCTION("""COMPUTED_VALUE"""),580.996666666667)</f>
        <v>580.9966667</v>
      </c>
      <c r="K133" s="133">
        <f>IFERROR(__xludf.DUMMYFUNCTION("""COMPUTED_VALUE"""),29.0)</f>
        <v>29</v>
      </c>
      <c r="L133" s="133" t="str">
        <f>IFERROR(__xludf.DUMMYFUNCTION("""COMPUTED_VALUE"""),"SG")</f>
        <v>SG</v>
      </c>
      <c r="M133" s="133">
        <f>IFERROR(__xludf.DUMMYFUNCTION("""COMPUTED_VALUE"""),30.0)</f>
        <v>30</v>
      </c>
      <c r="N133" s="134">
        <f>IFERROR(__xludf.DUMMYFUNCTION("""COMPUTED_VALUE"""),-0.0491265842687698)</f>
        <v>-0.04912658427</v>
      </c>
      <c r="O133" s="134">
        <f>IFERROR(__xludf.DUMMYFUNCTION("""COMPUTED_VALUE"""),0.674653496886301)</f>
        <v>0.6746534969</v>
      </c>
      <c r="P133" s="134">
        <f>IFERROR(__xludf.DUMMYFUNCTION("""COMPUTED_VALUE"""),-0.723780081155071)</f>
        <v>-0.7237800812</v>
      </c>
      <c r="Q133" s="146">
        <f>IFERROR(__xludf.DUMMYFUNCTION("""COMPUTED_VALUE"""),0.8764602759235842)</f>
        <v>0.8764602759</v>
      </c>
      <c r="R133" s="17"/>
      <c r="S133" s="17"/>
      <c r="T133" s="75"/>
      <c r="U133" s="75"/>
      <c r="V133" s="75"/>
      <c r="W133" s="75"/>
      <c r="X133" s="75"/>
    </row>
    <row r="134">
      <c r="A134" s="17"/>
      <c r="B134" s="17"/>
      <c r="C134" s="133"/>
      <c r="D134" s="133"/>
      <c r="E134" s="17"/>
      <c r="F134" s="133" t="str">
        <f>IFERROR(__xludf.DUMMYFUNCTION("""COMPUTED_VALUE"""),"Russell Westbrook")</f>
        <v>Russell Westbrook</v>
      </c>
      <c r="G134" s="133" t="str">
        <f>IFERROR(__xludf.DUMMYFUNCTION("""COMPUTED_VALUE"""),"2020-21")</f>
        <v>2020-21</v>
      </c>
      <c r="H134" s="133" t="str">
        <f>IFERROR(__xludf.DUMMYFUNCTION("""COMPUTED_VALUE"""),"WAS")</f>
        <v>WAS</v>
      </c>
      <c r="I134" s="145" t="str">
        <f>IFERROR(__xludf.DUMMYFUNCTION("""COMPUTED_VALUE"""),"Shot Creator")</f>
        <v>Shot Creator</v>
      </c>
      <c r="J134" s="145">
        <f>IFERROR(__xludf.DUMMYFUNCTION("""COMPUTED_VALUE"""),667.995)</f>
        <v>667.995</v>
      </c>
      <c r="K134" s="133">
        <f>IFERROR(__xludf.DUMMYFUNCTION("""COMPUTED_VALUE"""),20.0)</f>
        <v>20</v>
      </c>
      <c r="L134" s="133" t="str">
        <f>IFERROR(__xludf.DUMMYFUNCTION("""COMPUTED_VALUE"""),"PG")</f>
        <v>PG</v>
      </c>
      <c r="M134" s="133">
        <f>IFERROR(__xludf.DUMMYFUNCTION("""COMPUTED_VALUE"""),32.0)</f>
        <v>32</v>
      </c>
      <c r="N134" s="134">
        <f>IFERROR(__xludf.DUMMYFUNCTION("""COMPUTED_VALUE"""),-0.394780489977607)</f>
        <v>-0.39478049</v>
      </c>
      <c r="O134" s="134">
        <f>IFERROR(__xludf.DUMMYFUNCTION("""COMPUTED_VALUE"""),-0.211205826981571)</f>
        <v>-0.211205827</v>
      </c>
      <c r="P134" s="134">
        <f>IFERROR(__xludf.DUMMYFUNCTION("""COMPUTED_VALUE"""),-0.183574662996036)</f>
        <v>-0.183574663</v>
      </c>
      <c r="Q134" s="146">
        <f>IFERROR(__xludf.DUMMYFUNCTION("""COMPUTED_VALUE"""),0.8520725724061066)</f>
        <v>0.8520725724</v>
      </c>
      <c r="R134" s="17"/>
      <c r="S134" s="17"/>
      <c r="T134" s="75"/>
      <c r="U134" s="75"/>
      <c r="V134" s="75"/>
      <c r="W134" s="75"/>
      <c r="X134" s="75"/>
    </row>
    <row r="135">
      <c r="A135" s="17"/>
      <c r="B135" s="17"/>
      <c r="C135" s="133"/>
      <c r="D135" s="133"/>
      <c r="E135" s="17"/>
      <c r="F135" s="133" t="str">
        <f>IFERROR(__xludf.DUMMYFUNCTION("""COMPUTED_VALUE"""),"Jalen Brunson")</f>
        <v>Jalen Brunson</v>
      </c>
      <c r="G135" s="133" t="str">
        <f>IFERROR(__xludf.DUMMYFUNCTION("""COMPUTED_VALUE"""),"2020-21")</f>
        <v>2020-21</v>
      </c>
      <c r="H135" s="133" t="str">
        <f>IFERROR(__xludf.DUMMYFUNCTION("""COMPUTED_VALUE"""),"DAL")</f>
        <v>DAL</v>
      </c>
      <c r="I135" s="145" t="str">
        <f>IFERROR(__xludf.DUMMYFUNCTION("""COMPUTED_VALUE"""),"Primary Ball Handler")</f>
        <v>Primary Ball Handler</v>
      </c>
      <c r="J135" s="145">
        <f>IFERROR(__xludf.DUMMYFUNCTION("""COMPUTED_VALUE"""),577.985)</f>
        <v>577.985</v>
      </c>
      <c r="K135" s="133">
        <f>IFERROR(__xludf.DUMMYFUNCTION("""COMPUTED_VALUE"""),24.0)</f>
        <v>24</v>
      </c>
      <c r="L135" s="133" t="str">
        <f>IFERROR(__xludf.DUMMYFUNCTION("""COMPUTED_VALUE"""),"PG")</f>
        <v>PG</v>
      </c>
      <c r="M135" s="133">
        <f>IFERROR(__xludf.DUMMYFUNCTION("""COMPUTED_VALUE"""),24.0)</f>
        <v>24</v>
      </c>
      <c r="N135" s="134">
        <f>IFERROR(__xludf.DUMMYFUNCTION("""COMPUTED_VALUE"""),-0.135129743213771)</f>
        <v>-0.1351297432</v>
      </c>
      <c r="O135" s="134">
        <f>IFERROR(__xludf.DUMMYFUNCTION("""COMPUTED_VALUE"""),0.0682519701018394)</f>
        <v>0.0682519701</v>
      </c>
      <c r="P135" s="134">
        <f>IFERROR(__xludf.DUMMYFUNCTION("""COMPUTED_VALUE"""),-0.203381713315611)</f>
        <v>-0.2033817133</v>
      </c>
      <c r="Q135" s="146">
        <f>IFERROR(__xludf.DUMMYFUNCTION("""COMPUTED_VALUE"""),0.838405320732766)</f>
        <v>0.8384053207</v>
      </c>
      <c r="R135" s="17"/>
      <c r="S135" s="17"/>
      <c r="T135" s="75"/>
      <c r="U135" s="75"/>
      <c r="V135" s="75"/>
      <c r="W135" s="75"/>
      <c r="X135" s="75"/>
    </row>
    <row r="136">
      <c r="A136" s="17"/>
      <c r="B136" s="17"/>
      <c r="C136" s="133"/>
      <c r="D136" s="133"/>
      <c r="E136" s="17"/>
      <c r="F136" s="133" t="str">
        <f>IFERROR(__xludf.DUMMYFUNCTION("""COMPUTED_VALUE"""),"Mike Muscala")</f>
        <v>Mike Muscala</v>
      </c>
      <c r="G136" s="133" t="str">
        <f>IFERROR(__xludf.DUMMYFUNCTION("""COMPUTED_VALUE"""),"2020-21")</f>
        <v>2020-21</v>
      </c>
      <c r="H136" s="133" t="str">
        <f>IFERROR(__xludf.DUMMYFUNCTION("""COMPUTED_VALUE"""),"OKC")</f>
        <v>OKC</v>
      </c>
      <c r="I136" s="145" t="str">
        <f>IFERROR(__xludf.DUMMYFUNCTION("""COMPUTED_VALUE"""),"Stretch Big")</f>
        <v>Stretch Big</v>
      </c>
      <c r="J136" s="145">
        <f>IFERROR(__xludf.DUMMYFUNCTION("""COMPUTED_VALUE"""),527.675)</f>
        <v>527.675</v>
      </c>
      <c r="K136" s="133">
        <f>IFERROR(__xludf.DUMMYFUNCTION("""COMPUTED_VALUE"""),28.0)</f>
        <v>28</v>
      </c>
      <c r="L136" s="133" t="str">
        <f>IFERROR(__xludf.DUMMYFUNCTION("""COMPUTED_VALUE"""),"C")</f>
        <v>C</v>
      </c>
      <c r="M136" s="133">
        <f>IFERROR(__xludf.DUMMYFUNCTION("""COMPUTED_VALUE"""),29.0)</f>
        <v>29</v>
      </c>
      <c r="N136" s="134">
        <f>IFERROR(__xludf.DUMMYFUNCTION("""COMPUTED_VALUE"""),0.0319417854722394)</f>
        <v>0.03194178547</v>
      </c>
      <c r="O136" s="134">
        <f>IFERROR(__xludf.DUMMYFUNCTION("""COMPUTED_VALUE"""),0.283139334845619)</f>
        <v>0.2831393348</v>
      </c>
      <c r="P136" s="134">
        <f>IFERROR(__xludf.DUMMYFUNCTION("""COMPUTED_VALUE"""),-0.25119754937338)</f>
        <v>-0.2511975494</v>
      </c>
      <c r="Q136" s="146">
        <f>IFERROR(__xludf.DUMMYFUNCTION("""COMPUTED_VALUE"""),0.8248623317652055)</f>
        <v>0.8248623318</v>
      </c>
      <c r="R136" s="17"/>
      <c r="S136" s="17"/>
      <c r="T136" s="75"/>
      <c r="U136" s="75"/>
      <c r="V136" s="75"/>
      <c r="W136" s="75"/>
      <c r="X136" s="75"/>
    </row>
    <row r="137">
      <c r="A137" s="17"/>
      <c r="B137" s="17"/>
      <c r="C137" s="133"/>
      <c r="D137" s="133"/>
      <c r="E137" s="17"/>
      <c r="F137" s="133" t="str">
        <f>IFERROR(__xludf.DUMMYFUNCTION("""COMPUTED_VALUE"""),"Naz Reid")</f>
        <v>Naz Reid</v>
      </c>
      <c r="G137" s="133" t="str">
        <f>IFERROR(__xludf.DUMMYFUNCTION("""COMPUTED_VALUE"""),"2020-21")</f>
        <v>2020-21</v>
      </c>
      <c r="H137" s="133" t="str">
        <f>IFERROR(__xludf.DUMMYFUNCTION("""COMPUTED_VALUE"""),"MIN")</f>
        <v>MIN</v>
      </c>
      <c r="I137" s="145" t="str">
        <f>IFERROR(__xludf.DUMMYFUNCTION("""COMPUTED_VALUE"""),"Stretch Big")</f>
        <v>Stretch Big</v>
      </c>
      <c r="J137" s="145">
        <f>IFERROR(__xludf.DUMMYFUNCTION("""COMPUTED_VALUE"""),614.683333333333)</f>
        <v>614.6833333</v>
      </c>
      <c r="K137" s="133">
        <f>IFERROR(__xludf.DUMMYFUNCTION("""COMPUTED_VALUE"""),29.0)</f>
        <v>29</v>
      </c>
      <c r="L137" s="133" t="str">
        <f>IFERROR(__xludf.DUMMYFUNCTION("""COMPUTED_VALUE"""),"C")</f>
        <v>C</v>
      </c>
      <c r="M137" s="133">
        <f>IFERROR(__xludf.DUMMYFUNCTION("""COMPUTED_VALUE"""),21.0)</f>
        <v>21</v>
      </c>
      <c r="N137" s="134">
        <f>IFERROR(__xludf.DUMMYFUNCTION("""COMPUTED_VALUE"""),-0.321334591871626)</f>
        <v>-0.3213345919</v>
      </c>
      <c r="O137" s="134">
        <f>IFERROR(__xludf.DUMMYFUNCTION("""COMPUTED_VALUE"""),-0.926483544018551)</f>
        <v>-0.926483544</v>
      </c>
      <c r="P137" s="134">
        <f>IFERROR(__xludf.DUMMYFUNCTION("""COMPUTED_VALUE"""),0.605148952146925)</f>
        <v>0.6051489521</v>
      </c>
      <c r="Q137" s="146">
        <f>IFERROR(__xludf.DUMMYFUNCTION("""COMPUTED_VALUE"""),0.8144905934162902)</f>
        <v>0.8144905934</v>
      </c>
      <c r="R137" s="17"/>
      <c r="S137" s="17"/>
      <c r="T137" s="75"/>
      <c r="U137" s="75"/>
      <c r="V137" s="75"/>
      <c r="W137" s="75"/>
      <c r="X137" s="75"/>
    </row>
    <row r="138">
      <c r="A138" s="17"/>
      <c r="B138" s="17"/>
      <c r="C138" s="133"/>
      <c r="D138" s="133"/>
      <c r="E138" s="17"/>
      <c r="F138" s="133" t="str">
        <f>IFERROR(__xludf.DUMMYFUNCTION("""COMPUTED_VALUE"""),"Brandon Clarke")</f>
        <v>Brandon Clarke</v>
      </c>
      <c r="G138" s="133" t="str">
        <f>IFERROR(__xludf.DUMMYFUNCTION("""COMPUTED_VALUE"""),"2020-21")</f>
        <v>2020-21</v>
      </c>
      <c r="H138" s="133" t="str">
        <f>IFERROR(__xludf.DUMMYFUNCTION("""COMPUTED_VALUE"""),"MEM")</f>
        <v>MEM</v>
      </c>
      <c r="I138" s="145" t="str">
        <f>IFERROR(__xludf.DUMMYFUNCTION("""COMPUTED_VALUE"""),"Roll + Cut Big")</f>
        <v>Roll + Cut Big</v>
      </c>
      <c r="J138" s="145">
        <f>IFERROR(__xludf.DUMMYFUNCTION("""COMPUTED_VALUE"""),577.27)</f>
        <v>577.27</v>
      </c>
      <c r="K138" s="133">
        <f>IFERROR(__xludf.DUMMYFUNCTION("""COMPUTED_VALUE"""),21.0)</f>
        <v>21</v>
      </c>
      <c r="L138" s="133" t="str">
        <f>IFERROR(__xludf.DUMMYFUNCTION("""COMPUTED_VALUE"""),"PF")</f>
        <v>PF</v>
      </c>
      <c r="M138" s="133">
        <f>IFERROR(__xludf.DUMMYFUNCTION("""COMPUTED_VALUE"""),24.0)</f>
        <v>24</v>
      </c>
      <c r="N138" s="134">
        <f>IFERROR(__xludf.DUMMYFUNCTION("""COMPUTED_VALUE"""),-0.241110664741442)</f>
        <v>-0.2411106647</v>
      </c>
      <c r="O138" s="134">
        <f>IFERROR(__xludf.DUMMYFUNCTION("""COMPUTED_VALUE"""),-0.270539193037105)</f>
        <v>-0.270539193</v>
      </c>
      <c r="P138" s="134">
        <f>IFERROR(__xludf.DUMMYFUNCTION("""COMPUTED_VALUE"""),0.0294285282956638)</f>
        <v>0.0294285283</v>
      </c>
      <c r="Q138" s="146">
        <f>IFERROR(__xludf.DUMMYFUNCTION("""COMPUTED_VALUE"""),0.7961277419998881)</f>
        <v>0.796127742</v>
      </c>
      <c r="R138" s="17"/>
      <c r="S138" s="17"/>
      <c r="T138" s="75"/>
      <c r="U138" s="75"/>
      <c r="V138" s="75"/>
      <c r="W138" s="75"/>
      <c r="X138" s="75"/>
    </row>
    <row r="139">
      <c r="A139" s="17"/>
      <c r="B139" s="17"/>
      <c r="C139" s="133"/>
      <c r="D139" s="133"/>
      <c r="E139" s="17"/>
      <c r="F139" s="133" t="str">
        <f>IFERROR(__xludf.DUMMYFUNCTION("""COMPUTED_VALUE"""),"David Nwaba")</f>
        <v>David Nwaba</v>
      </c>
      <c r="G139" s="133" t="str">
        <f>IFERROR(__xludf.DUMMYFUNCTION("""COMPUTED_VALUE"""),"2020-21")</f>
        <v>2020-21</v>
      </c>
      <c r="H139" s="133" t="str">
        <f>IFERROR(__xludf.DUMMYFUNCTION("""COMPUTED_VALUE"""),"HOU")</f>
        <v>HOU</v>
      </c>
      <c r="I139" s="145" t="str">
        <f>IFERROR(__xludf.DUMMYFUNCTION("""COMPUTED_VALUE"""),"Stretch Big")</f>
        <v>Stretch Big</v>
      </c>
      <c r="J139" s="145">
        <f>IFERROR(__xludf.DUMMYFUNCTION("""COMPUTED_VALUE"""),559.868333333333)</f>
        <v>559.8683333</v>
      </c>
      <c r="K139" s="133">
        <f>IFERROR(__xludf.DUMMYFUNCTION("""COMPUTED_VALUE"""),24.0)</f>
        <v>24</v>
      </c>
      <c r="L139" s="133" t="str">
        <f>IFERROR(__xludf.DUMMYFUNCTION("""COMPUTED_VALUE"""),"SF")</f>
        <v>SF</v>
      </c>
      <c r="M139" s="133">
        <f>IFERROR(__xludf.DUMMYFUNCTION("""COMPUTED_VALUE"""),28.0)</f>
        <v>28</v>
      </c>
      <c r="N139" s="134">
        <f>IFERROR(__xludf.DUMMYFUNCTION("""COMPUTED_VALUE"""),-0.228880687834638)</f>
        <v>-0.2288806878</v>
      </c>
      <c r="O139" s="134">
        <f>IFERROR(__xludf.DUMMYFUNCTION("""COMPUTED_VALUE"""),-0.801957070950713)</f>
        <v>-0.801957071</v>
      </c>
      <c r="P139" s="134">
        <f>IFERROR(__xludf.DUMMYFUNCTION("""COMPUTED_VALUE"""),0.573076383116074)</f>
        <v>0.5730763831</v>
      </c>
      <c r="Q139" s="146">
        <f>IFERROR(__xludf.DUMMYFUNCTION("""COMPUTED_VALUE"""),0.7767438951866383)</f>
        <v>0.7767438952</v>
      </c>
      <c r="R139" s="17"/>
      <c r="S139" s="17"/>
      <c r="T139" s="75"/>
      <c r="U139" s="75"/>
      <c r="V139" s="75"/>
      <c r="W139" s="75"/>
      <c r="X139" s="75"/>
    </row>
    <row r="140">
      <c r="A140" s="17"/>
      <c r="B140" s="17"/>
      <c r="C140" s="133"/>
      <c r="D140" s="133"/>
      <c r="E140" s="17"/>
      <c r="F140" s="133" t="str">
        <f>IFERROR(__xludf.DUMMYFUNCTION("""COMPUTED_VALUE"""),"Blake Griffin")</f>
        <v>Blake Griffin</v>
      </c>
      <c r="G140" s="133" t="str">
        <f>IFERROR(__xludf.DUMMYFUNCTION("""COMPUTED_VALUE"""),"2020-21")</f>
        <v>2020-21</v>
      </c>
      <c r="H140" s="133" t="str">
        <f>IFERROR(__xludf.DUMMYFUNCTION("""COMPUTED_VALUE"""),"DET")</f>
        <v>DET</v>
      </c>
      <c r="I140" s="145" t="str">
        <f>IFERROR(__xludf.DUMMYFUNCTION("""COMPUTED_VALUE"""),"Versatile Big")</f>
        <v>Versatile Big</v>
      </c>
      <c r="J140" s="145">
        <f>IFERROR(__xludf.DUMMYFUNCTION("""COMPUTED_VALUE"""),626.366666666666)</f>
        <v>626.3666667</v>
      </c>
      <c r="K140" s="133">
        <f>IFERROR(__xludf.DUMMYFUNCTION("""COMPUTED_VALUE"""),20.0)</f>
        <v>20</v>
      </c>
      <c r="L140" s="133" t="str">
        <f>IFERROR(__xludf.DUMMYFUNCTION("""COMPUTED_VALUE"""),"PF")</f>
        <v>PF</v>
      </c>
      <c r="M140" s="133">
        <f>IFERROR(__xludf.DUMMYFUNCTION("""COMPUTED_VALUE"""),31.0)</f>
        <v>31</v>
      </c>
      <c r="N140" s="134">
        <f>IFERROR(__xludf.DUMMYFUNCTION("""COMPUTED_VALUE"""),-0.45795596513409)</f>
        <v>-0.4579559651</v>
      </c>
      <c r="O140" s="134">
        <f>IFERROR(__xludf.DUMMYFUNCTION("""COMPUTED_VALUE"""),-0.404414762746688)</f>
        <v>-0.4044147627</v>
      </c>
      <c r="P140" s="134">
        <f>IFERROR(__xludf.DUMMYFUNCTION("""COMPUTED_VALUE"""),-0.0535412023874025)</f>
        <v>-0.05354120239</v>
      </c>
      <c r="Q140" s="146">
        <f>IFERROR(__xludf.DUMMYFUNCTION("""COMPUTED_VALUE"""),0.7723146975562204)</f>
        <v>0.7723146976</v>
      </c>
      <c r="R140" s="17"/>
      <c r="S140" s="17"/>
      <c r="T140" s="75"/>
      <c r="U140" s="75"/>
      <c r="V140" s="75"/>
      <c r="W140" s="75"/>
      <c r="X140" s="75"/>
    </row>
    <row r="141">
      <c r="A141" s="17"/>
      <c r="B141" s="17"/>
      <c r="C141" s="133"/>
      <c r="D141" s="133"/>
      <c r="E141" s="17"/>
      <c r="F141" s="133" t="str">
        <f>IFERROR(__xludf.DUMMYFUNCTION("""COMPUTED_VALUE"""),"Kyle Kuzma")</f>
        <v>Kyle Kuzma</v>
      </c>
      <c r="G141" s="133" t="str">
        <f>IFERROR(__xludf.DUMMYFUNCTION("""COMPUTED_VALUE"""),"2020-21")</f>
        <v>2020-21</v>
      </c>
      <c r="H141" s="133" t="str">
        <f>IFERROR(__xludf.DUMMYFUNCTION("""COMPUTED_VALUE"""),"LAL")</f>
        <v>LAL</v>
      </c>
      <c r="I141" s="145" t="str">
        <f>IFERROR(__xludf.DUMMYFUNCTION("""COMPUTED_VALUE"""),"Athletic Finisher")</f>
        <v>Athletic Finisher</v>
      </c>
      <c r="J141" s="145">
        <f>IFERROR(__xludf.DUMMYFUNCTION("""COMPUTED_VALUE"""),791.943333333333)</f>
        <v>791.9433333</v>
      </c>
      <c r="K141" s="133">
        <f>IFERROR(__xludf.DUMMYFUNCTION("""COMPUTED_VALUE"""),31.0)</f>
        <v>31</v>
      </c>
      <c r="L141" s="133" t="str">
        <f>IFERROR(__xludf.DUMMYFUNCTION("""COMPUTED_VALUE"""),"SF")</f>
        <v>SF</v>
      </c>
      <c r="M141" s="133">
        <f>IFERROR(__xludf.DUMMYFUNCTION("""COMPUTED_VALUE"""),25.0)</f>
        <v>25</v>
      </c>
      <c r="N141" s="134">
        <f>IFERROR(__xludf.DUMMYFUNCTION("""COMPUTED_VALUE"""),-0.901744046354532)</f>
        <v>-0.9017440464</v>
      </c>
      <c r="O141" s="134">
        <f>IFERROR(__xludf.DUMMYFUNCTION("""COMPUTED_VALUE"""),-1.14737380859396)</f>
        <v>-1.147373809</v>
      </c>
      <c r="P141" s="134">
        <f>IFERROR(__xludf.DUMMYFUNCTION("""COMPUTED_VALUE"""),0.245629762239424)</f>
        <v>0.2456297622</v>
      </c>
      <c r="Q141" s="146">
        <f>IFERROR(__xludf.DUMMYFUNCTION("""COMPUTED_VALUE"""),0.7399964627695225)</f>
        <v>0.7399964628</v>
      </c>
      <c r="R141" s="17"/>
      <c r="S141" s="17"/>
      <c r="T141" s="75"/>
      <c r="U141" s="75"/>
      <c r="V141" s="75"/>
      <c r="W141" s="75"/>
      <c r="X141" s="75"/>
    </row>
    <row r="142">
      <c r="A142" s="17"/>
      <c r="B142" s="17"/>
      <c r="C142" s="133"/>
      <c r="D142" s="133"/>
      <c r="E142" s="17"/>
      <c r="F142" s="133" t="str">
        <f>IFERROR(__xludf.DUMMYFUNCTION("""COMPUTED_VALUE"""),"Eric Gordon")</f>
        <v>Eric Gordon</v>
      </c>
      <c r="G142" s="133" t="str">
        <f>IFERROR(__xludf.DUMMYFUNCTION("""COMPUTED_VALUE"""),"2020-21")</f>
        <v>2020-21</v>
      </c>
      <c r="H142" s="133" t="str">
        <f>IFERROR(__xludf.DUMMYFUNCTION("""COMPUTED_VALUE"""),"HOU")</f>
        <v>HOU</v>
      </c>
      <c r="I142" s="145" t="str">
        <f>IFERROR(__xludf.DUMMYFUNCTION("""COMPUTED_VALUE"""),"Secondary Ball Handler")</f>
        <v>Secondary Ball Handler</v>
      </c>
      <c r="J142" s="145">
        <f>IFERROR(__xludf.DUMMYFUNCTION("""COMPUTED_VALUE"""),646.48)</f>
        <v>646.48</v>
      </c>
      <c r="K142" s="133">
        <f>IFERROR(__xludf.DUMMYFUNCTION("""COMPUTED_VALUE"""),22.0)</f>
        <v>22</v>
      </c>
      <c r="L142" s="133" t="str">
        <f>IFERROR(__xludf.DUMMYFUNCTION("""COMPUTED_VALUE"""),"SG")</f>
        <v>SG</v>
      </c>
      <c r="M142" s="133">
        <f>IFERROR(__xludf.DUMMYFUNCTION("""COMPUTED_VALUE"""),32.0)</f>
        <v>32</v>
      </c>
      <c r="N142" s="134">
        <f>IFERROR(__xludf.DUMMYFUNCTION("""COMPUTED_VALUE"""),-0.593902743325337)</f>
        <v>-0.5939027433</v>
      </c>
      <c r="O142" s="134">
        <f>IFERROR(__xludf.DUMMYFUNCTION("""COMPUTED_VALUE"""),0.726564100150028)</f>
        <v>0.7265641002</v>
      </c>
      <c r="P142" s="134">
        <f>IFERROR(__xludf.DUMMYFUNCTION("""COMPUTED_VALUE"""),-1.32046684347536)</f>
        <v>-1.320466843</v>
      </c>
      <c r="Q142" s="146">
        <f>IFERROR(__xludf.DUMMYFUNCTION("""COMPUTED_VALUE"""),0.7379307797266944)</f>
        <v>0.7379307797</v>
      </c>
      <c r="R142" s="17"/>
      <c r="S142" s="17"/>
      <c r="T142" s="75"/>
      <c r="U142" s="75"/>
      <c r="V142" s="75"/>
      <c r="W142" s="75"/>
      <c r="X142" s="75"/>
    </row>
    <row r="143">
      <c r="A143" s="17"/>
      <c r="B143" s="17"/>
      <c r="C143" s="133"/>
      <c r="D143" s="133"/>
      <c r="E143" s="17"/>
      <c r="F143" s="133" t="str">
        <f>IFERROR(__xludf.DUMMYFUNCTION("""COMPUTED_VALUE"""),"Josh Jackson")</f>
        <v>Josh Jackson</v>
      </c>
      <c r="G143" s="133" t="str">
        <f>IFERROR(__xludf.DUMMYFUNCTION("""COMPUTED_VALUE"""),"2020-21")</f>
        <v>2020-21</v>
      </c>
      <c r="H143" s="133" t="str">
        <f>IFERROR(__xludf.DUMMYFUNCTION("""COMPUTED_VALUE"""),"DET")</f>
        <v>DET</v>
      </c>
      <c r="I143" s="145" t="str">
        <f>IFERROR(__xludf.DUMMYFUNCTION("""COMPUTED_VALUE"""),"Movement Shooter")</f>
        <v>Movement Shooter</v>
      </c>
      <c r="J143" s="145">
        <f>IFERROR(__xludf.DUMMYFUNCTION("""COMPUTED_VALUE"""),683.188333333334)</f>
        <v>683.1883333</v>
      </c>
      <c r="K143" s="133">
        <f>IFERROR(__xludf.DUMMYFUNCTION("""COMPUTED_VALUE"""),28.0)</f>
        <v>28</v>
      </c>
      <c r="L143" s="133" t="str">
        <f>IFERROR(__xludf.DUMMYFUNCTION("""COMPUTED_VALUE"""),"SG")</f>
        <v>SG</v>
      </c>
      <c r="M143" s="133">
        <f>IFERROR(__xludf.DUMMYFUNCTION("""COMPUTED_VALUE"""),23.0)</f>
        <v>23</v>
      </c>
      <c r="N143" s="134">
        <f>IFERROR(__xludf.DUMMYFUNCTION("""COMPUTED_VALUE"""),-0.694219745787811)</f>
        <v>-0.6942197458</v>
      </c>
      <c r="O143" s="134">
        <f>IFERROR(__xludf.DUMMYFUNCTION("""COMPUTED_VALUE"""),-1.44911884948861)</f>
        <v>-1.449118849</v>
      </c>
      <c r="P143" s="134">
        <f>IFERROR(__xludf.DUMMYFUNCTION("""COMPUTED_VALUE"""),0.754899103700798)</f>
        <v>0.7548991037</v>
      </c>
      <c r="Q143" s="146">
        <f>IFERROR(__xludf.DUMMYFUNCTION("""COMPUTED_VALUE"""),0.7337059327007845)</f>
        <v>0.7337059327</v>
      </c>
      <c r="R143" s="17"/>
      <c r="S143" s="17"/>
      <c r="T143" s="75"/>
      <c r="U143" s="75"/>
      <c r="V143" s="75"/>
      <c r="W143" s="75"/>
      <c r="X143" s="75"/>
    </row>
    <row r="144">
      <c r="A144" s="17"/>
      <c r="B144" s="17"/>
      <c r="C144" s="133"/>
      <c r="D144" s="133"/>
      <c r="E144" s="17"/>
      <c r="F144" s="133" t="str">
        <f>IFERROR(__xludf.DUMMYFUNCTION("""COMPUTED_VALUE"""),"Jarred Vanderbilt")</f>
        <v>Jarred Vanderbilt</v>
      </c>
      <c r="G144" s="133" t="str">
        <f>IFERROR(__xludf.DUMMYFUNCTION("""COMPUTED_VALUE"""),"2020-21")</f>
        <v>2020-21</v>
      </c>
      <c r="H144" s="133" t="str">
        <f>IFERROR(__xludf.DUMMYFUNCTION("""COMPUTED_VALUE"""),"MIN")</f>
        <v>MIN</v>
      </c>
      <c r="I144" s="145" t="str">
        <f>IFERROR(__xludf.DUMMYFUNCTION("""COMPUTED_VALUE"""),"Roll + Cut Big")</f>
        <v>Roll + Cut Big</v>
      </c>
      <c r="J144" s="145">
        <f>IFERROR(__xludf.DUMMYFUNCTION("""COMPUTED_VALUE"""),550.773333333333)</f>
        <v>550.7733333</v>
      </c>
      <c r="K144" s="133">
        <f>IFERROR(__xludf.DUMMYFUNCTION("""COMPUTED_VALUE"""),29.0)</f>
        <v>29</v>
      </c>
      <c r="L144" s="133" t="str">
        <f>IFERROR(__xludf.DUMMYFUNCTION("""COMPUTED_VALUE"""),"PF")</f>
        <v>PF</v>
      </c>
      <c r="M144" s="133">
        <f>IFERROR(__xludf.DUMMYFUNCTION("""COMPUTED_VALUE"""),21.0)</f>
        <v>21</v>
      </c>
      <c r="N144" s="134">
        <f>IFERROR(__xludf.DUMMYFUNCTION("""COMPUTED_VALUE"""),-0.339533642764649)</f>
        <v>-0.3395336428</v>
      </c>
      <c r="O144" s="134">
        <f>IFERROR(__xludf.DUMMYFUNCTION("""COMPUTED_VALUE"""),-2.54300642704122)</f>
        <v>-2.543006427</v>
      </c>
      <c r="P144" s="134">
        <f>IFERROR(__xludf.DUMMYFUNCTION("""COMPUTED_VALUE"""),2.20347278427657)</f>
        <v>2.203472784</v>
      </c>
      <c r="Q144" s="146">
        <f>IFERROR(__xludf.DUMMYFUNCTION("""COMPUTED_VALUE"""),0.7230514842943321)</f>
        <v>0.7230514843</v>
      </c>
      <c r="R144" s="17"/>
      <c r="S144" s="17"/>
      <c r="T144" s="75"/>
      <c r="U144" s="75"/>
      <c r="V144" s="75"/>
      <c r="W144" s="75"/>
      <c r="X144" s="75"/>
    </row>
    <row r="145">
      <c r="A145" s="17"/>
      <c r="B145" s="17"/>
      <c r="C145" s="133"/>
      <c r="D145" s="133"/>
      <c r="E145" s="17"/>
      <c r="F145" s="133" t="str">
        <f>IFERROR(__xludf.DUMMYFUNCTION("""COMPUTED_VALUE"""),"Buddy Hield")</f>
        <v>Buddy Hield</v>
      </c>
      <c r="G145" s="133" t="str">
        <f>IFERROR(__xludf.DUMMYFUNCTION("""COMPUTED_VALUE"""),"2020-21")</f>
        <v>2020-21</v>
      </c>
      <c r="H145" s="133" t="str">
        <f>IFERROR(__xludf.DUMMYFUNCTION("""COMPUTED_VALUE"""),"SAC")</f>
        <v>SAC</v>
      </c>
      <c r="I145" s="145" t="str">
        <f>IFERROR(__xludf.DUMMYFUNCTION("""COMPUTED_VALUE"""),"Movement Shooter")</f>
        <v>Movement Shooter</v>
      </c>
      <c r="J145" s="145">
        <f>IFERROR(__xludf.DUMMYFUNCTION("""COMPUTED_VALUE"""),1030.84166666667)</f>
        <v>1030.841667</v>
      </c>
      <c r="K145" s="133">
        <f>IFERROR(__xludf.DUMMYFUNCTION("""COMPUTED_VALUE"""),30.0)</f>
        <v>30</v>
      </c>
      <c r="L145" s="133" t="str">
        <f>IFERROR(__xludf.DUMMYFUNCTION("""COMPUTED_VALUE"""),"SG")</f>
        <v>SG</v>
      </c>
      <c r="M145" s="133">
        <f>IFERROR(__xludf.DUMMYFUNCTION("""COMPUTED_VALUE"""),28.0)</f>
        <v>28</v>
      </c>
      <c r="N145" s="134">
        <f>IFERROR(__xludf.DUMMYFUNCTION("""COMPUTED_VALUE"""),-1.26264182025571)</f>
        <v>-1.26264182</v>
      </c>
      <c r="O145" s="134">
        <f>IFERROR(__xludf.DUMMYFUNCTION("""COMPUTED_VALUE"""),0.375838950428458)</f>
        <v>0.3758389504</v>
      </c>
      <c r="P145" s="134">
        <f>IFERROR(__xludf.DUMMYFUNCTION("""COMPUTED_VALUE"""),-1.63848077068417)</f>
        <v>-1.638480771</v>
      </c>
      <c r="Q145" s="146">
        <f>IFERROR(__xludf.DUMMYFUNCTION("""COMPUTED_VALUE"""),0.7136380038360493)</f>
        <v>0.7136380038</v>
      </c>
      <c r="R145" s="17"/>
      <c r="S145" s="17"/>
      <c r="T145" s="75"/>
      <c r="U145" s="75"/>
      <c r="V145" s="75"/>
      <c r="W145" s="75"/>
      <c r="X145" s="75"/>
    </row>
    <row r="146">
      <c r="A146" s="17"/>
      <c r="B146" s="17"/>
      <c r="C146" s="133"/>
      <c r="D146" s="133"/>
      <c r="E146" s="17"/>
      <c r="F146" s="133" t="str">
        <f>IFERROR(__xludf.DUMMYFUNCTION("""COMPUTED_VALUE"""),"Hamidou Diallo")</f>
        <v>Hamidou Diallo</v>
      </c>
      <c r="G146" s="133" t="str">
        <f>IFERROR(__xludf.DUMMYFUNCTION("""COMPUTED_VALUE"""),"2020-21")</f>
        <v>2020-21</v>
      </c>
      <c r="H146" s="133" t="str">
        <f>IFERROR(__xludf.DUMMYFUNCTION("""COMPUTED_VALUE"""),"OKC")</f>
        <v>OKC</v>
      </c>
      <c r="I146" s="145" t="str">
        <f>IFERROR(__xludf.DUMMYFUNCTION("""COMPUTED_VALUE"""),"Athletic Finisher")</f>
        <v>Athletic Finisher</v>
      </c>
      <c r="J146" s="145">
        <f>IFERROR(__xludf.DUMMYFUNCTION("""COMPUTED_VALUE"""),729.72)</f>
        <v>729.72</v>
      </c>
      <c r="K146" s="133">
        <f>IFERROR(__xludf.DUMMYFUNCTION("""COMPUTED_VALUE"""),30.0)</f>
        <v>30</v>
      </c>
      <c r="L146" s="133" t="str">
        <f>IFERROR(__xludf.DUMMYFUNCTION("""COMPUTED_VALUE"""),"SG")</f>
        <v>SG</v>
      </c>
      <c r="M146" s="133">
        <f>IFERROR(__xludf.DUMMYFUNCTION("""COMPUTED_VALUE"""),22.0)</f>
        <v>22</v>
      </c>
      <c r="N146" s="134">
        <f>IFERROR(__xludf.DUMMYFUNCTION("""COMPUTED_VALUE"""),-0.877095439976702)</f>
        <v>-0.87709544</v>
      </c>
      <c r="O146" s="134">
        <f>IFERROR(__xludf.DUMMYFUNCTION("""COMPUTED_VALUE"""),-1.19488094899502)</f>
        <v>-1.194880949</v>
      </c>
      <c r="P146" s="134">
        <f>IFERROR(__xludf.DUMMYFUNCTION("""COMPUTED_VALUE"""),0.31778550901832)</f>
        <v>0.317785509</v>
      </c>
      <c r="Q146" s="146">
        <f>IFERROR(__xludf.DUMMYFUNCTION("""COMPUTED_VALUE"""),0.6939410942155898)</f>
        <v>0.6939410942</v>
      </c>
      <c r="R146" s="17"/>
      <c r="S146" s="17"/>
      <c r="T146" s="75"/>
      <c r="U146" s="75"/>
      <c r="V146" s="75"/>
      <c r="W146" s="75"/>
      <c r="X146" s="75"/>
    </row>
    <row r="147">
      <c r="A147" s="17"/>
      <c r="B147" s="17"/>
      <c r="C147" s="133"/>
      <c r="D147" s="133"/>
      <c r="E147" s="17"/>
      <c r="F147" s="133" t="str">
        <f>IFERROR(__xludf.DUMMYFUNCTION("""COMPUTED_VALUE"""),"Tyler Herro")</f>
        <v>Tyler Herro</v>
      </c>
      <c r="G147" s="133" t="str">
        <f>IFERROR(__xludf.DUMMYFUNCTION("""COMPUTED_VALUE"""),"2020-21")</f>
        <v>2020-21</v>
      </c>
      <c r="H147" s="133" t="str">
        <f>IFERROR(__xludf.DUMMYFUNCTION("""COMPUTED_VALUE"""),"MIA")</f>
        <v>MIA</v>
      </c>
      <c r="I147" s="145" t="str">
        <f>IFERROR(__xludf.DUMMYFUNCTION("""COMPUTED_VALUE"""),"Secondary Ball Handler")</f>
        <v>Secondary Ball Handler</v>
      </c>
      <c r="J147" s="145">
        <f>IFERROR(__xludf.DUMMYFUNCTION("""COMPUTED_VALUE"""),733.338333333333)</f>
        <v>733.3383333</v>
      </c>
      <c r="K147" s="133">
        <f>IFERROR(__xludf.DUMMYFUNCTION("""COMPUTED_VALUE"""),22.0)</f>
        <v>22</v>
      </c>
      <c r="L147" s="133" t="str">
        <f>IFERROR(__xludf.DUMMYFUNCTION("""COMPUTED_VALUE"""),"SG")</f>
        <v>SG</v>
      </c>
      <c r="M147" s="133">
        <f>IFERROR(__xludf.DUMMYFUNCTION("""COMPUTED_VALUE"""),21.0)</f>
        <v>21</v>
      </c>
      <c r="N147" s="134">
        <f>IFERROR(__xludf.DUMMYFUNCTION("""COMPUTED_VALUE"""),-0.891707307449339)</f>
        <v>-0.8917073074</v>
      </c>
      <c r="O147" s="134">
        <f>IFERROR(__xludf.DUMMYFUNCTION("""COMPUTED_VALUE"""),-0.509299762011399)</f>
        <v>-0.509299762</v>
      </c>
      <c r="P147" s="134">
        <f>IFERROR(__xludf.DUMMYFUNCTION("""COMPUTED_VALUE"""),-0.382407545437941)</f>
        <v>-0.3824075454</v>
      </c>
      <c r="Q147" s="146">
        <f>IFERROR(__xludf.DUMMYFUNCTION("""COMPUTED_VALUE"""),0.6901812732557747)</f>
        <v>0.6901812733</v>
      </c>
      <c r="R147" s="17"/>
      <c r="S147" s="17"/>
      <c r="T147" s="75"/>
      <c r="U147" s="75"/>
      <c r="V147" s="75"/>
      <c r="W147" s="75"/>
      <c r="X147" s="75"/>
    </row>
    <row r="148">
      <c r="A148" s="17"/>
      <c r="B148" s="17"/>
      <c r="C148" s="133"/>
      <c r="D148" s="133"/>
      <c r="E148" s="17"/>
      <c r="F148" s="133" t="str">
        <f>IFERROR(__xludf.DUMMYFUNCTION("""COMPUTED_VALUE"""),"Dwight Howard")</f>
        <v>Dwight Howard</v>
      </c>
      <c r="G148" s="133" t="str">
        <f>IFERROR(__xludf.DUMMYFUNCTION("""COMPUTED_VALUE"""),"2020-21")</f>
        <v>2020-21</v>
      </c>
      <c r="H148" s="133" t="str">
        <f>IFERROR(__xludf.DUMMYFUNCTION("""COMPUTED_VALUE"""),"PHI")</f>
        <v>PHI</v>
      </c>
      <c r="I148" s="145" t="str">
        <f>IFERROR(__xludf.DUMMYFUNCTION("""COMPUTED_VALUE"""),"Roll + Cut Big")</f>
        <v>Roll + Cut Big</v>
      </c>
      <c r="J148" s="145">
        <f>IFERROR(__xludf.DUMMYFUNCTION("""COMPUTED_VALUE"""),505.5)</f>
        <v>505.5</v>
      </c>
      <c r="K148" s="133">
        <f>IFERROR(__xludf.DUMMYFUNCTION("""COMPUTED_VALUE"""),31.0)</f>
        <v>31</v>
      </c>
      <c r="L148" s="133" t="str">
        <f>IFERROR(__xludf.DUMMYFUNCTION("""COMPUTED_VALUE"""),"C")</f>
        <v>C</v>
      </c>
      <c r="M148" s="133">
        <f>IFERROR(__xludf.DUMMYFUNCTION("""COMPUTED_VALUE"""),35.0)</f>
        <v>35</v>
      </c>
      <c r="N148" s="134">
        <f>IFERROR(__xludf.DUMMYFUNCTION("""COMPUTED_VALUE"""),-0.300178454334709)</f>
        <v>-0.3001784543</v>
      </c>
      <c r="O148" s="134">
        <f>IFERROR(__xludf.DUMMYFUNCTION("""COMPUTED_VALUE"""),-1.17308038519194)</f>
        <v>-1.173080385</v>
      </c>
      <c r="P148" s="134">
        <f>IFERROR(__xludf.DUMMYFUNCTION("""COMPUTED_VALUE"""),0.872901930857232)</f>
        <v>0.8729019309</v>
      </c>
      <c r="Q148" s="146">
        <f>IFERROR(__xludf.DUMMYFUNCTION("""COMPUTED_VALUE"""),0.6770236004926876)</f>
        <v>0.6770236005</v>
      </c>
      <c r="R148" s="17"/>
      <c r="S148" s="17"/>
      <c r="T148" s="75"/>
      <c r="U148" s="75"/>
      <c r="V148" s="75"/>
      <c r="W148" s="75"/>
      <c r="X148" s="75"/>
    </row>
    <row r="149">
      <c r="A149" s="17"/>
      <c r="B149" s="17"/>
      <c r="C149" s="133"/>
      <c r="D149" s="133"/>
      <c r="E149" s="17"/>
      <c r="F149" s="133" t="str">
        <f>IFERROR(__xludf.DUMMYFUNCTION("""COMPUTED_VALUE"""),"Marvin Bagley III")</f>
        <v>Marvin Bagley III</v>
      </c>
      <c r="G149" s="133" t="str">
        <f>IFERROR(__xludf.DUMMYFUNCTION("""COMPUTED_VALUE"""),"2020-21")</f>
        <v>2020-21</v>
      </c>
      <c r="H149" s="133" t="str">
        <f>IFERROR(__xludf.DUMMYFUNCTION("""COMPUTED_VALUE"""),"SAC")</f>
        <v>SAC</v>
      </c>
      <c r="I149" s="145" t="str">
        <f>IFERROR(__xludf.DUMMYFUNCTION("""COMPUTED_VALUE"""),"Stretch Big")</f>
        <v>Stretch Big</v>
      </c>
      <c r="J149" s="145">
        <f>IFERROR(__xludf.DUMMYFUNCTION("""COMPUTED_VALUE"""),711.625)</f>
        <v>711.625</v>
      </c>
      <c r="K149" s="133">
        <f>IFERROR(__xludf.DUMMYFUNCTION("""COMPUTED_VALUE"""),28.0)</f>
        <v>28</v>
      </c>
      <c r="L149" s="133" t="str">
        <f>IFERROR(__xludf.DUMMYFUNCTION("""COMPUTED_VALUE"""),"PF")</f>
        <v>PF</v>
      </c>
      <c r="M149" s="133">
        <f>IFERROR(__xludf.DUMMYFUNCTION("""COMPUTED_VALUE"""),21.0)</f>
        <v>21</v>
      </c>
      <c r="N149" s="134">
        <f>IFERROR(__xludf.DUMMYFUNCTION("""COMPUTED_VALUE"""),-0.912190957454616)</f>
        <v>-0.9121909575</v>
      </c>
      <c r="O149" s="134">
        <f>IFERROR(__xludf.DUMMYFUNCTION("""COMPUTED_VALUE"""),-0.10798963599876)</f>
        <v>-0.107989636</v>
      </c>
      <c r="P149" s="134">
        <f>IFERROR(__xludf.DUMMYFUNCTION("""COMPUTED_VALUE"""),-0.804201321455856)</f>
        <v>-0.8042013215</v>
      </c>
      <c r="Q149" s="146">
        <f>IFERROR(__xludf.DUMMYFUNCTION("""COMPUTED_VALUE"""),0.6599515698835504)</f>
        <v>0.6599515699</v>
      </c>
      <c r="R149" s="17"/>
      <c r="S149" s="17"/>
      <c r="T149" s="75"/>
      <c r="U149" s="75"/>
      <c r="V149" s="75"/>
      <c r="W149" s="75"/>
      <c r="X149" s="75"/>
    </row>
    <row r="150">
      <c r="A150" s="17"/>
      <c r="B150" s="17"/>
      <c r="C150" s="133"/>
      <c r="D150" s="133"/>
      <c r="E150" s="17"/>
      <c r="F150" s="133" t="str">
        <f>IFERROR(__xludf.DUMMYFUNCTION("""COMPUTED_VALUE"""),"Norman Powell")</f>
        <v>Norman Powell</v>
      </c>
      <c r="G150" s="133" t="str">
        <f>IFERROR(__xludf.DUMMYFUNCTION("""COMPUTED_VALUE"""),"2020-21")</f>
        <v>2020-21</v>
      </c>
      <c r="H150" s="133" t="str">
        <f>IFERROR(__xludf.DUMMYFUNCTION("""COMPUTED_VALUE"""),"TOR")</f>
        <v>TOR</v>
      </c>
      <c r="I150" s="145" t="str">
        <f>IFERROR(__xludf.DUMMYFUNCTION("""COMPUTED_VALUE"""),"Movement Shooter")</f>
        <v>Movement Shooter</v>
      </c>
      <c r="J150" s="145">
        <f>IFERROR(__xludf.DUMMYFUNCTION("""COMPUTED_VALUE"""),829.535)</f>
        <v>829.535</v>
      </c>
      <c r="K150" s="133">
        <f>IFERROR(__xludf.DUMMYFUNCTION("""COMPUTED_VALUE"""),29.0)</f>
        <v>29</v>
      </c>
      <c r="L150" s="133" t="str">
        <f>IFERROR(__xludf.DUMMYFUNCTION("""COMPUTED_VALUE"""),"SG")</f>
        <v>SG</v>
      </c>
      <c r="M150" s="133">
        <f>IFERROR(__xludf.DUMMYFUNCTION("""COMPUTED_VALUE"""),27.0)</f>
        <v>27</v>
      </c>
      <c r="N150" s="134">
        <f>IFERROR(__xludf.DUMMYFUNCTION("""COMPUTED_VALUE"""),-1.12507799762447)</f>
        <v>-1.125077998</v>
      </c>
      <c r="O150" s="134">
        <f>IFERROR(__xludf.DUMMYFUNCTION("""COMPUTED_VALUE"""),-0.285455264546878)</f>
        <v>-0.2854552645</v>
      </c>
      <c r="P150" s="134">
        <f>IFERROR(__xludf.DUMMYFUNCTION("""COMPUTED_VALUE"""),-0.839622733077596)</f>
        <v>-0.8396227331</v>
      </c>
      <c r="Q150" s="146">
        <f>IFERROR(__xludf.DUMMYFUNCTION("""COMPUTED_VALUE"""),0.6507548857420076)</f>
        <v>0.6507548857</v>
      </c>
      <c r="R150" s="17"/>
      <c r="S150" s="17"/>
      <c r="T150" s="75"/>
      <c r="U150" s="75"/>
      <c r="V150" s="75"/>
      <c r="W150" s="75"/>
      <c r="X150" s="75"/>
    </row>
    <row r="151">
      <c r="A151" s="17"/>
      <c r="B151" s="17"/>
      <c r="C151" s="133"/>
      <c r="D151" s="133"/>
      <c r="E151" s="17"/>
      <c r="F151" s="133" t="str">
        <f>IFERROR(__xludf.DUMMYFUNCTION("""COMPUTED_VALUE"""),"Tristan Thompson")</f>
        <v>Tristan Thompson</v>
      </c>
      <c r="G151" s="133" t="str">
        <f>IFERROR(__xludf.DUMMYFUNCTION("""COMPUTED_VALUE"""),"2020-21")</f>
        <v>2020-21</v>
      </c>
      <c r="H151" s="133" t="str">
        <f>IFERROR(__xludf.DUMMYFUNCTION("""COMPUTED_VALUE"""),"BOS")</f>
        <v>BOS</v>
      </c>
      <c r="I151" s="145" t="str">
        <f>IFERROR(__xludf.DUMMYFUNCTION("""COMPUTED_VALUE"""),"Roll + Cut Big")</f>
        <v>Roll + Cut Big</v>
      </c>
      <c r="J151" s="145">
        <f>IFERROR(__xludf.DUMMYFUNCTION("""COMPUTED_VALUE"""),643.005)</f>
        <v>643.005</v>
      </c>
      <c r="K151" s="133">
        <f>IFERROR(__xludf.DUMMYFUNCTION("""COMPUTED_VALUE"""),28.0)</f>
        <v>28</v>
      </c>
      <c r="L151" s="133" t="str">
        <f>IFERROR(__xludf.DUMMYFUNCTION("""COMPUTED_VALUE"""),"PF")</f>
        <v>PF</v>
      </c>
      <c r="M151" s="133">
        <f>IFERROR(__xludf.DUMMYFUNCTION("""COMPUTED_VALUE"""),29.0)</f>
        <v>29</v>
      </c>
      <c r="N151" s="134">
        <f>IFERROR(__xludf.DUMMYFUNCTION("""COMPUTED_VALUE"""),-0.81053344565043)</f>
        <v>-0.8105334457</v>
      </c>
      <c r="O151" s="134">
        <f>IFERROR(__xludf.DUMMYFUNCTION("""COMPUTED_VALUE"""),-1.57562941253394)</f>
        <v>-1.575629413</v>
      </c>
      <c r="P151" s="134">
        <f>IFERROR(__xludf.DUMMYFUNCTION("""COMPUTED_VALUE"""),0.765095966883506)</f>
        <v>0.7650959669</v>
      </c>
      <c r="Q151" s="146">
        <f>IFERROR(__xludf.DUMMYFUNCTION("""COMPUTED_VALUE"""),0.6402474372066108)</f>
        <v>0.6402474372</v>
      </c>
      <c r="R151" s="17"/>
      <c r="S151" s="17"/>
      <c r="T151" s="75"/>
      <c r="U151" s="75"/>
      <c r="V151" s="75"/>
      <c r="W151" s="75"/>
      <c r="X151" s="75"/>
    </row>
    <row r="152">
      <c r="A152" s="17"/>
      <c r="B152" s="17"/>
      <c r="C152" s="133"/>
      <c r="D152" s="133"/>
      <c r="E152" s="17"/>
      <c r="F152" s="133" t="str">
        <f>IFERROR(__xludf.DUMMYFUNCTION("""COMPUTED_VALUE"""),"Duncan Robinson")</f>
        <v>Duncan Robinson</v>
      </c>
      <c r="G152" s="133" t="str">
        <f>IFERROR(__xludf.DUMMYFUNCTION("""COMPUTED_VALUE"""),"2020-21")</f>
        <v>2020-21</v>
      </c>
      <c r="H152" s="133" t="str">
        <f>IFERROR(__xludf.DUMMYFUNCTION("""COMPUTED_VALUE"""),"MIA")</f>
        <v>MIA</v>
      </c>
      <c r="I152" s="145" t="str">
        <f>IFERROR(__xludf.DUMMYFUNCTION("""COMPUTED_VALUE"""),"Movement Shooter")</f>
        <v>Movement Shooter</v>
      </c>
      <c r="J152" s="145">
        <f>IFERROR(__xludf.DUMMYFUNCTION("""COMPUTED_VALUE"""),997.248333333333)</f>
        <v>997.2483333</v>
      </c>
      <c r="K152" s="133">
        <f>IFERROR(__xludf.DUMMYFUNCTION("""COMPUTED_VALUE"""),30.0)</f>
        <v>30</v>
      </c>
      <c r="L152" s="133" t="str">
        <f>IFERROR(__xludf.DUMMYFUNCTION("""COMPUTED_VALUE"""),"SF")</f>
        <v>SF</v>
      </c>
      <c r="M152" s="133">
        <f>IFERROR(__xludf.DUMMYFUNCTION("""COMPUTED_VALUE"""),26.0)</f>
        <v>26</v>
      </c>
      <c r="N152" s="134">
        <f>IFERROR(__xludf.DUMMYFUNCTION("""COMPUTED_VALUE"""),-1.36198706289862)</f>
        <v>-1.361987063</v>
      </c>
      <c r="O152" s="134">
        <f>IFERROR(__xludf.DUMMYFUNCTION("""COMPUTED_VALUE"""),-1.44021355700786)</f>
        <v>-1.440213557</v>
      </c>
      <c r="P152" s="134">
        <f>IFERROR(__xludf.DUMMYFUNCTION("""COMPUTED_VALUE"""),0.0782264941092427)</f>
        <v>0.07822649411</v>
      </c>
      <c r="Q152" s="146">
        <f>IFERROR(__xludf.DUMMYFUNCTION("""COMPUTED_VALUE"""),0.624065866277504)</f>
        <v>0.6240658663</v>
      </c>
      <c r="R152" s="17"/>
      <c r="S152" s="17"/>
      <c r="T152" s="75"/>
      <c r="U152" s="75"/>
      <c r="V152" s="75"/>
      <c r="W152" s="75"/>
      <c r="X152" s="75"/>
    </row>
    <row r="153">
      <c r="A153" s="17"/>
      <c r="B153" s="17"/>
      <c r="C153" s="133"/>
      <c r="D153" s="133"/>
      <c r="E153" s="17"/>
      <c r="F153" s="133" t="str">
        <f>IFERROR(__xludf.DUMMYFUNCTION("""COMPUTED_VALUE"""),"Danny Green")</f>
        <v>Danny Green</v>
      </c>
      <c r="G153" s="133" t="str">
        <f>IFERROR(__xludf.DUMMYFUNCTION("""COMPUTED_VALUE"""),"2020-21")</f>
        <v>2020-21</v>
      </c>
      <c r="H153" s="133" t="str">
        <f>IFERROR(__xludf.DUMMYFUNCTION("""COMPUTED_VALUE"""),"PHI")</f>
        <v>PHI</v>
      </c>
      <c r="I153" s="145" t="str">
        <f>IFERROR(__xludf.DUMMYFUNCTION("""COMPUTED_VALUE"""),"Movement Shooter")</f>
        <v>Movement Shooter</v>
      </c>
      <c r="J153" s="145">
        <f>IFERROR(__xludf.DUMMYFUNCTION("""COMPUTED_VALUE"""),884.606666666667)</f>
        <v>884.6066667</v>
      </c>
      <c r="K153" s="133">
        <f>IFERROR(__xludf.DUMMYFUNCTION("""COMPUTED_VALUE"""),31.0)</f>
        <v>31</v>
      </c>
      <c r="L153" s="133" t="str">
        <f>IFERROR(__xludf.DUMMYFUNCTION("""COMPUTED_VALUE"""),"SF")</f>
        <v>SF</v>
      </c>
      <c r="M153" s="133">
        <f>IFERROR(__xludf.DUMMYFUNCTION("""COMPUTED_VALUE"""),33.0)</f>
        <v>33</v>
      </c>
      <c r="N153" s="134">
        <f>IFERROR(__xludf.DUMMYFUNCTION("""COMPUTED_VALUE"""),-1.24299458945624)</f>
        <v>-1.242994589</v>
      </c>
      <c r="O153" s="134">
        <f>IFERROR(__xludf.DUMMYFUNCTION("""COMPUTED_VALUE"""),-0.77693351788744)</f>
        <v>-0.7769335179</v>
      </c>
      <c r="P153" s="134">
        <f>IFERROR(__xludf.DUMMYFUNCTION("""COMPUTED_VALUE"""),-0.466061071568804)</f>
        <v>-0.4660610716</v>
      </c>
      <c r="Q153" s="146">
        <f>IFERROR(__xludf.DUMMYFUNCTION("""COMPUTED_VALUE"""),0.6240426060751599)</f>
        <v>0.6240426061</v>
      </c>
      <c r="R153" s="17"/>
      <c r="S153" s="17"/>
      <c r="T153" s="75"/>
      <c r="U153" s="75"/>
      <c r="V153" s="75"/>
      <c r="W153" s="75"/>
      <c r="X153" s="75"/>
    </row>
    <row r="154">
      <c r="A154" s="17"/>
      <c r="B154" s="17"/>
      <c r="C154" s="133"/>
      <c r="D154" s="133"/>
      <c r="E154" s="17"/>
      <c r="F154" s="133" t="str">
        <f>IFERROR(__xludf.DUMMYFUNCTION("""COMPUTED_VALUE"""),"Damion Lee")</f>
        <v>Damion Lee</v>
      </c>
      <c r="G154" s="133" t="str">
        <f>IFERROR(__xludf.DUMMYFUNCTION("""COMPUTED_VALUE"""),"2020-21")</f>
        <v>2020-21</v>
      </c>
      <c r="H154" s="133" t="str">
        <f>IFERROR(__xludf.DUMMYFUNCTION("""COMPUTED_VALUE"""),"GSW")</f>
        <v>GSW</v>
      </c>
      <c r="I154" s="145" t="str">
        <f>IFERROR(__xludf.DUMMYFUNCTION("""COMPUTED_VALUE"""),"Stationary Shooter")</f>
        <v>Stationary Shooter</v>
      </c>
      <c r="J154" s="145">
        <f>IFERROR(__xludf.DUMMYFUNCTION("""COMPUTED_VALUE"""),604.025)</f>
        <v>604.025</v>
      </c>
      <c r="K154" s="133">
        <f>IFERROR(__xludf.DUMMYFUNCTION("""COMPUTED_VALUE"""),31.0)</f>
        <v>31</v>
      </c>
      <c r="L154" s="133" t="str">
        <f>IFERROR(__xludf.DUMMYFUNCTION("""COMPUTED_VALUE"""),"SG")</f>
        <v>SG</v>
      </c>
      <c r="M154" s="133">
        <f>IFERROR(__xludf.DUMMYFUNCTION("""COMPUTED_VALUE"""),28.0)</f>
        <v>28</v>
      </c>
      <c r="N154" s="134">
        <f>IFERROR(__xludf.DUMMYFUNCTION("""COMPUTED_VALUE"""),-0.835107627332369)</f>
        <v>-0.8351076273</v>
      </c>
      <c r="O154" s="134">
        <f>IFERROR(__xludf.DUMMYFUNCTION("""COMPUTED_VALUE"""),-1.03071187033867)</f>
        <v>-1.03071187</v>
      </c>
      <c r="P154" s="134">
        <f>IFERROR(__xludf.DUMMYFUNCTION("""COMPUTED_VALUE"""),0.195604243006303)</f>
        <v>0.195604243</v>
      </c>
      <c r="Q154" s="146">
        <f>IFERROR(__xludf.DUMMYFUNCTION("""COMPUTED_VALUE"""),0.5914555077965383)</f>
        <v>0.5914555078</v>
      </c>
      <c r="R154" s="17"/>
      <c r="S154" s="17"/>
      <c r="T154" s="75"/>
      <c r="U154" s="75"/>
      <c r="V154" s="75"/>
      <c r="W154" s="75"/>
      <c r="X154" s="75"/>
    </row>
    <row r="155">
      <c r="A155" s="17"/>
      <c r="B155" s="17"/>
      <c r="C155" s="133"/>
      <c r="D155" s="133"/>
      <c r="E155" s="17"/>
      <c r="F155" s="133" t="str">
        <f>IFERROR(__xludf.DUMMYFUNCTION("""COMPUTED_VALUE"""),"Taurean Prince")</f>
        <v>Taurean Prince</v>
      </c>
      <c r="G155" s="133" t="str">
        <f>IFERROR(__xludf.DUMMYFUNCTION("""COMPUTED_VALUE"""),"2020-21")</f>
        <v>2020-21</v>
      </c>
      <c r="H155" s="133" t="str">
        <f>IFERROR(__xludf.DUMMYFUNCTION("""COMPUTED_VALUE"""),"TOT")</f>
        <v>TOT</v>
      </c>
      <c r="I155" s="145" t="str">
        <f>IFERROR(__xludf.DUMMYFUNCTION("""COMPUTED_VALUE"""),"Secondary Ball Handler")</f>
        <v>Secondary Ball Handler</v>
      </c>
      <c r="J155" s="145">
        <f>IFERROR(__xludf.DUMMYFUNCTION("""COMPUTED_VALUE"""),592.008333333333)</f>
        <v>592.0083333</v>
      </c>
      <c r="K155" s="133">
        <f>IFERROR(__xludf.DUMMYFUNCTION("""COMPUTED_VALUE"""),27.0)</f>
        <v>27</v>
      </c>
      <c r="L155" s="133" t="str">
        <f>IFERROR(__xludf.DUMMYFUNCTION("""COMPUTED_VALUE"""),"PF")</f>
        <v>PF</v>
      </c>
      <c r="M155" s="133">
        <f>IFERROR(__xludf.DUMMYFUNCTION("""COMPUTED_VALUE"""),26.0)</f>
        <v>26</v>
      </c>
      <c r="N155" s="134">
        <f>IFERROR(__xludf.DUMMYFUNCTION("""COMPUTED_VALUE"""),-0.809516114743241)</f>
        <v>-0.8095161147</v>
      </c>
      <c r="O155" s="134">
        <f>IFERROR(__xludf.DUMMYFUNCTION("""COMPUTED_VALUE"""),-0.753873436523482)</f>
        <v>-0.7538734365</v>
      </c>
      <c r="P155" s="134">
        <f>IFERROR(__xludf.DUMMYFUNCTION("""COMPUTED_VALUE"""),-0.0556426782197591)</f>
        <v>-0.05564267822</v>
      </c>
      <c r="Q155" s="146">
        <f>IFERROR(__xludf.DUMMYFUNCTION("""COMPUTED_VALUE"""),0.5898744074887716)</f>
        <v>0.5898744075</v>
      </c>
      <c r="R155" s="17"/>
      <c r="S155" s="17"/>
      <c r="T155" s="75"/>
      <c r="U155" s="75"/>
      <c r="V155" s="75"/>
      <c r="W155" s="75"/>
      <c r="X155" s="75"/>
    </row>
    <row r="156">
      <c r="A156" s="17"/>
      <c r="B156" s="17"/>
      <c r="C156" s="133"/>
      <c r="D156" s="133"/>
      <c r="E156" s="17"/>
      <c r="F156" s="133" t="str">
        <f>IFERROR(__xludf.DUMMYFUNCTION("""COMPUTED_VALUE"""),"Ricky Rubio")</f>
        <v>Ricky Rubio</v>
      </c>
      <c r="G156" s="133" t="str">
        <f>IFERROR(__xludf.DUMMYFUNCTION("""COMPUTED_VALUE"""),"2020-21")</f>
        <v>2020-21</v>
      </c>
      <c r="H156" s="133" t="str">
        <f>IFERROR(__xludf.DUMMYFUNCTION("""COMPUTED_VALUE"""),"MIN")</f>
        <v>MIN</v>
      </c>
      <c r="I156" s="145" t="str">
        <f>IFERROR(__xludf.DUMMYFUNCTION("""COMPUTED_VALUE"""),"Primary Ball Handler")</f>
        <v>Primary Ball Handler</v>
      </c>
      <c r="J156" s="145">
        <f>IFERROR(__xludf.DUMMYFUNCTION("""COMPUTED_VALUE"""),732.063333333333)</f>
        <v>732.0633333</v>
      </c>
      <c r="K156" s="133">
        <f>IFERROR(__xludf.DUMMYFUNCTION("""COMPUTED_VALUE"""),29.0)</f>
        <v>29</v>
      </c>
      <c r="L156" s="133" t="str">
        <f>IFERROR(__xludf.DUMMYFUNCTION("""COMPUTED_VALUE"""),"PG")</f>
        <v>PG</v>
      </c>
      <c r="M156" s="133">
        <f>IFERROR(__xludf.DUMMYFUNCTION("""COMPUTED_VALUE"""),30.0)</f>
        <v>30</v>
      </c>
      <c r="N156" s="134">
        <f>IFERROR(__xludf.DUMMYFUNCTION("""COMPUTED_VALUE"""),-1.10466322108402)</f>
        <v>-1.104663221</v>
      </c>
      <c r="O156" s="134">
        <f>IFERROR(__xludf.DUMMYFUNCTION("""COMPUTED_VALUE"""),-0.439311330490956)</f>
        <v>-0.4393113305</v>
      </c>
      <c r="P156" s="134">
        <f>IFERROR(__xludf.DUMMYFUNCTION("""COMPUTED_VALUE"""),-0.665351890593069)</f>
        <v>-0.6653518906</v>
      </c>
      <c r="Q156" s="146">
        <f>IFERROR(__xludf.DUMMYFUNCTION("""COMPUTED_VALUE"""),0.5843138551314024)</f>
        <v>0.5843138551</v>
      </c>
      <c r="R156" s="17"/>
      <c r="S156" s="17"/>
      <c r="T156" s="75"/>
      <c r="U156" s="75"/>
      <c r="V156" s="75"/>
      <c r="W156" s="75"/>
      <c r="X156" s="75"/>
    </row>
    <row r="157">
      <c r="A157" s="17"/>
      <c r="B157" s="17"/>
      <c r="C157" s="133"/>
      <c r="D157" s="133"/>
      <c r="E157" s="17"/>
      <c r="F157" s="133" t="str">
        <f>IFERROR(__xludf.DUMMYFUNCTION("""COMPUTED_VALUE"""),"Dorian Finney-Smith")</f>
        <v>Dorian Finney-Smith</v>
      </c>
      <c r="G157" s="133" t="str">
        <f>IFERROR(__xludf.DUMMYFUNCTION("""COMPUTED_VALUE"""),"2020-21")</f>
        <v>2020-21</v>
      </c>
      <c r="H157" s="133" t="str">
        <f>IFERROR(__xludf.DUMMYFUNCTION("""COMPUTED_VALUE"""),"DAL")</f>
        <v>DAL</v>
      </c>
      <c r="I157" s="145" t="str">
        <f>IFERROR(__xludf.DUMMYFUNCTION("""COMPUTED_VALUE"""),"Stationary Shooter")</f>
        <v>Stationary Shooter</v>
      </c>
      <c r="J157" s="145">
        <f>IFERROR(__xludf.DUMMYFUNCTION("""COMPUTED_VALUE"""),582.661666666667)</f>
        <v>582.6616667</v>
      </c>
      <c r="K157" s="133">
        <f>IFERROR(__xludf.DUMMYFUNCTION("""COMPUTED_VALUE"""),19.0)</f>
        <v>19</v>
      </c>
      <c r="L157" s="133" t="str">
        <f>IFERROR(__xludf.DUMMYFUNCTION("""COMPUTED_VALUE"""),"PF")</f>
        <v>PF</v>
      </c>
      <c r="M157" s="133">
        <f>IFERROR(__xludf.DUMMYFUNCTION("""COMPUTED_VALUE"""),27.0)</f>
        <v>27</v>
      </c>
      <c r="N157" s="134">
        <f>IFERROR(__xludf.DUMMYFUNCTION("""COMPUTED_VALUE"""),-0.801076887941874)</f>
        <v>-0.8010768879</v>
      </c>
      <c r="O157" s="134">
        <f>IFERROR(__xludf.DUMMYFUNCTION("""COMPUTED_VALUE"""),-0.508456540444271)</f>
        <v>-0.5084565404</v>
      </c>
      <c r="P157" s="134">
        <f>IFERROR(__xludf.DUMMYFUNCTION("""COMPUTED_VALUE"""),-0.292620347497604)</f>
        <v>-0.2926203475</v>
      </c>
      <c r="Q157" s="146">
        <f>IFERROR(__xludf.DUMMYFUNCTION("""COMPUTED_VALUE"""),0.583867623276989)</f>
        <v>0.5838676233</v>
      </c>
      <c r="R157" s="17"/>
      <c r="S157" s="17"/>
      <c r="T157" s="75"/>
      <c r="U157" s="75"/>
      <c r="V157" s="75"/>
      <c r="W157" s="75"/>
      <c r="X157" s="75"/>
    </row>
    <row r="158">
      <c r="A158" s="17"/>
      <c r="B158" s="17"/>
      <c r="C158" s="133"/>
      <c r="D158" s="133"/>
      <c r="E158" s="17"/>
      <c r="F158" s="133" t="str">
        <f>IFERROR(__xludf.DUMMYFUNCTION("""COMPUTED_VALUE"""),"Matisse Thybulle")</f>
        <v>Matisse Thybulle</v>
      </c>
      <c r="G158" s="133" t="str">
        <f>IFERROR(__xludf.DUMMYFUNCTION("""COMPUTED_VALUE"""),"2020-21")</f>
        <v>2020-21</v>
      </c>
      <c r="H158" s="133" t="str">
        <f>IFERROR(__xludf.DUMMYFUNCTION("""COMPUTED_VALUE"""),"PHI")</f>
        <v>PHI</v>
      </c>
      <c r="I158" s="145" t="str">
        <f>IFERROR(__xludf.DUMMYFUNCTION("""COMPUTED_VALUE"""),"Stationary Shooter")</f>
        <v>Stationary Shooter</v>
      </c>
      <c r="J158" s="145">
        <f>IFERROR(__xludf.DUMMYFUNCTION("""COMPUTED_VALUE"""),513.09)</f>
        <v>513.09</v>
      </c>
      <c r="K158" s="133">
        <f>IFERROR(__xludf.DUMMYFUNCTION("""COMPUTED_VALUE"""),28.0)</f>
        <v>28</v>
      </c>
      <c r="L158" s="133" t="str">
        <f>IFERROR(__xludf.DUMMYFUNCTION("""COMPUTED_VALUE"""),"SG")</f>
        <v>SG</v>
      </c>
      <c r="M158" s="133">
        <f>IFERROR(__xludf.DUMMYFUNCTION("""COMPUTED_VALUE"""),23.0)</f>
        <v>23</v>
      </c>
      <c r="N158" s="134">
        <f>IFERROR(__xludf.DUMMYFUNCTION("""COMPUTED_VALUE"""),-0.619201849155983)</f>
        <v>-0.6192018492</v>
      </c>
      <c r="O158" s="134">
        <f>IFERROR(__xludf.DUMMYFUNCTION("""COMPUTED_VALUE"""),-2.44145449504388)</f>
        <v>-2.441454495</v>
      </c>
      <c r="P158" s="134">
        <f>IFERROR(__xludf.DUMMYFUNCTION("""COMPUTED_VALUE"""),1.8222526458879)</f>
        <v>1.822252646</v>
      </c>
      <c r="Q158" s="146">
        <f>IFERROR(__xludf.DUMMYFUNCTION("""COMPUTED_VALUE"""),0.5769334268460561)</f>
        <v>0.5769334268</v>
      </c>
      <c r="R158" s="17"/>
      <c r="S158" s="17"/>
      <c r="T158" s="75"/>
      <c r="U158" s="75"/>
      <c r="V158" s="75"/>
      <c r="W158" s="75"/>
      <c r="X158" s="75"/>
    </row>
    <row r="159">
      <c r="A159" s="17"/>
      <c r="B159" s="17"/>
      <c r="C159" s="133"/>
      <c r="D159" s="133"/>
      <c r="E159" s="17"/>
      <c r="F159" s="133" t="str">
        <f>IFERROR(__xludf.DUMMYFUNCTION("""COMPUTED_VALUE"""),"Dillon Brooks")</f>
        <v>Dillon Brooks</v>
      </c>
      <c r="G159" s="133" t="str">
        <f>IFERROR(__xludf.DUMMYFUNCTION("""COMPUTED_VALUE"""),"2020-21")</f>
        <v>2020-21</v>
      </c>
      <c r="H159" s="133" t="str">
        <f>IFERROR(__xludf.DUMMYFUNCTION("""COMPUTED_VALUE"""),"MEM")</f>
        <v>MEM</v>
      </c>
      <c r="I159" s="145" t="str">
        <f>IFERROR(__xludf.DUMMYFUNCTION("""COMPUTED_VALUE"""),"Secondary Ball Handler")</f>
        <v>Secondary Ball Handler</v>
      </c>
      <c r="J159" s="145">
        <f>IFERROR(__xludf.DUMMYFUNCTION("""COMPUTED_VALUE"""),699.836666666667)</f>
        <v>699.8366667</v>
      </c>
      <c r="K159" s="133">
        <f>IFERROR(__xludf.DUMMYFUNCTION("""COMPUTED_VALUE"""),24.0)</f>
        <v>24</v>
      </c>
      <c r="L159" s="133" t="str">
        <f>IFERROR(__xludf.DUMMYFUNCTION("""COMPUTED_VALUE"""),"SF")</f>
        <v>SF</v>
      </c>
      <c r="M159" s="133">
        <f>IFERROR(__xludf.DUMMYFUNCTION("""COMPUTED_VALUE"""),25.0)</f>
        <v>25</v>
      </c>
      <c r="N159" s="134">
        <f>IFERROR(__xludf.DUMMYFUNCTION("""COMPUTED_VALUE"""),-1.0923907028455)</f>
        <v>-1.092390703</v>
      </c>
      <c r="O159" s="134">
        <f>IFERROR(__xludf.DUMMYFUNCTION("""COMPUTED_VALUE"""),-1.00486351146178)</f>
        <v>-1.004863511</v>
      </c>
      <c r="P159" s="134">
        <f>IFERROR(__xludf.DUMMYFUNCTION("""COMPUTED_VALUE"""),-0.0875271913837192)</f>
        <v>-0.08752719138</v>
      </c>
      <c r="Q159" s="146">
        <f>IFERROR(__xludf.DUMMYFUNCTION("""COMPUTED_VALUE"""),0.5643527992055837)</f>
        <v>0.5643527992</v>
      </c>
      <c r="R159" s="17"/>
      <c r="S159" s="17"/>
      <c r="T159" s="75"/>
      <c r="U159" s="75"/>
      <c r="V159" s="75"/>
      <c r="W159" s="75"/>
      <c r="X159" s="75"/>
    </row>
    <row r="160">
      <c r="A160" s="17"/>
      <c r="B160" s="17"/>
      <c r="C160" s="133"/>
      <c r="D160" s="133"/>
      <c r="E160" s="17"/>
      <c r="F160" s="133" t="str">
        <f>IFERROR(__xludf.DUMMYFUNCTION("""COMPUTED_VALUE"""),"Collin Sexton")</f>
        <v>Collin Sexton</v>
      </c>
      <c r="G160" s="133" t="str">
        <f>IFERROR(__xludf.DUMMYFUNCTION("""COMPUTED_VALUE"""),"2020-21")</f>
        <v>2020-21</v>
      </c>
      <c r="H160" s="133" t="str">
        <f>IFERROR(__xludf.DUMMYFUNCTION("""COMPUTED_VALUE"""),"CLE")</f>
        <v>CLE</v>
      </c>
      <c r="I160" s="145" t="str">
        <f>IFERROR(__xludf.DUMMYFUNCTION("""COMPUTED_VALUE"""),"Slasher")</f>
        <v>Slasher</v>
      </c>
      <c r="J160" s="145">
        <f>IFERROR(__xludf.DUMMYFUNCTION("""COMPUTED_VALUE"""),924.948333333333)</f>
        <v>924.9483333</v>
      </c>
      <c r="K160" s="133">
        <f>IFERROR(__xludf.DUMMYFUNCTION("""COMPUTED_VALUE"""),26.0)</f>
        <v>26</v>
      </c>
      <c r="L160" s="133" t="str">
        <f>IFERROR(__xludf.DUMMYFUNCTION("""COMPUTED_VALUE"""),"SG")</f>
        <v>SG</v>
      </c>
      <c r="M160" s="133">
        <f>IFERROR(__xludf.DUMMYFUNCTION("""COMPUTED_VALUE"""),22.0)</f>
        <v>22</v>
      </c>
      <c r="N160" s="134">
        <f>IFERROR(__xludf.DUMMYFUNCTION("""COMPUTED_VALUE"""),-1.42370618729455)</f>
        <v>-1.423706187</v>
      </c>
      <c r="O160" s="134">
        <f>IFERROR(__xludf.DUMMYFUNCTION("""COMPUTED_VALUE"""),-0.504743077968828)</f>
        <v>-0.504743078</v>
      </c>
      <c r="P160" s="134">
        <f>IFERROR(__xludf.DUMMYFUNCTION("""COMPUTED_VALUE"""),-0.918963109325723)</f>
        <v>-0.9189631093</v>
      </c>
      <c r="Q160" s="146">
        <f>IFERROR(__xludf.DUMMYFUNCTION("""COMPUTED_VALUE"""),0.5406434908599379)</f>
        <v>0.5406434909</v>
      </c>
      <c r="R160" s="17"/>
      <c r="S160" s="17"/>
      <c r="T160" s="75"/>
      <c r="U160" s="75"/>
      <c r="V160" s="75"/>
      <c r="W160" s="75"/>
      <c r="X160" s="75"/>
    </row>
    <row r="161">
      <c r="A161" s="17"/>
      <c r="B161" s="17"/>
      <c r="C161" s="133"/>
      <c r="D161" s="133"/>
      <c r="E161" s="17"/>
      <c r="F161" s="133" t="str">
        <f>IFERROR(__xludf.DUMMYFUNCTION("""COMPUTED_VALUE"""),"JaMychal Green")</f>
        <v>JaMychal Green</v>
      </c>
      <c r="G161" s="133" t="str">
        <f>IFERROR(__xludf.DUMMYFUNCTION("""COMPUTED_VALUE"""),"2020-21")</f>
        <v>2020-21</v>
      </c>
      <c r="H161" s="133" t="str">
        <f>IFERROR(__xludf.DUMMYFUNCTION("""COMPUTED_VALUE"""),"DEN")</f>
        <v>DEN</v>
      </c>
      <c r="I161" s="145" t="str">
        <f>IFERROR(__xludf.DUMMYFUNCTION("""COMPUTED_VALUE"""),"Stretch Big")</f>
        <v>Stretch Big</v>
      </c>
      <c r="J161" s="145">
        <f>IFERROR(__xludf.DUMMYFUNCTION("""COMPUTED_VALUE"""),511.785)</f>
        <v>511.785</v>
      </c>
      <c r="K161" s="133">
        <f>IFERROR(__xludf.DUMMYFUNCTION("""COMPUTED_VALUE"""),25.0)</f>
        <v>25</v>
      </c>
      <c r="L161" s="133" t="str">
        <f>IFERROR(__xludf.DUMMYFUNCTION("""COMPUTED_VALUE"""),"PF")</f>
        <v>PF</v>
      </c>
      <c r="M161" s="133">
        <f>IFERROR(__xludf.DUMMYFUNCTION("""COMPUTED_VALUE"""),30.0)</f>
        <v>30</v>
      </c>
      <c r="N161" s="134">
        <f>IFERROR(__xludf.DUMMYFUNCTION("""COMPUTED_VALUE"""),-0.75224447150344)</f>
        <v>-0.7522444715</v>
      </c>
      <c r="O161" s="134">
        <f>IFERROR(__xludf.DUMMYFUNCTION("""COMPUTED_VALUE"""),-0.628224119849614)</f>
        <v>-0.6282241198</v>
      </c>
      <c r="P161" s="134">
        <f>IFERROR(__xludf.DUMMYFUNCTION("""COMPUTED_VALUE"""),-0.124020351653826)</f>
        <v>-0.1240203517</v>
      </c>
      <c r="Q161" s="146">
        <f>IFERROR(__xludf.DUMMYFUNCTION("""COMPUTED_VALUE"""),0.529651109373651)</f>
        <v>0.5296511094</v>
      </c>
      <c r="R161" s="17"/>
      <c r="S161" s="17"/>
      <c r="T161" s="75"/>
      <c r="U161" s="75"/>
      <c r="V161" s="75"/>
      <c r="W161" s="75"/>
      <c r="X161" s="75"/>
    </row>
    <row r="162">
      <c r="A162" s="17"/>
      <c r="B162" s="17"/>
      <c r="C162" s="133"/>
      <c r="D162" s="133"/>
      <c r="E162" s="17"/>
      <c r="F162" s="133" t="str">
        <f>IFERROR(__xludf.DUMMYFUNCTION("""COMPUTED_VALUE"""),"Khem Birch")</f>
        <v>Khem Birch</v>
      </c>
      <c r="G162" s="133" t="str">
        <f>IFERROR(__xludf.DUMMYFUNCTION("""COMPUTED_VALUE"""),"2020-21")</f>
        <v>2020-21</v>
      </c>
      <c r="H162" s="133" t="str">
        <f>IFERROR(__xludf.DUMMYFUNCTION("""COMPUTED_VALUE"""),"ORL")</f>
        <v>ORL</v>
      </c>
      <c r="I162" s="145" t="str">
        <f>IFERROR(__xludf.DUMMYFUNCTION("""COMPUTED_VALUE"""),"Roll + Cut Big")</f>
        <v>Roll + Cut Big</v>
      </c>
      <c r="J162" s="145">
        <f>IFERROR(__xludf.DUMMYFUNCTION("""COMPUTED_VALUE"""),655.78)</f>
        <v>655.78</v>
      </c>
      <c r="K162" s="133">
        <f>IFERROR(__xludf.DUMMYFUNCTION("""COMPUTED_VALUE"""),31.0)</f>
        <v>31</v>
      </c>
      <c r="L162" s="133" t="str">
        <f>IFERROR(__xludf.DUMMYFUNCTION("""COMPUTED_VALUE"""),"C")</f>
        <v>C</v>
      </c>
      <c r="M162" s="133">
        <f>IFERROR(__xludf.DUMMYFUNCTION("""COMPUTED_VALUE"""),28.0)</f>
        <v>28</v>
      </c>
      <c r="N162" s="134">
        <f>IFERROR(__xludf.DUMMYFUNCTION("""COMPUTED_VALUE"""),-1.11758947056132)</f>
        <v>-1.117589471</v>
      </c>
      <c r="O162" s="134">
        <f>IFERROR(__xludf.DUMMYFUNCTION("""COMPUTED_VALUE"""),-1.09477014710265)</f>
        <v>-1.094770147</v>
      </c>
      <c r="P162" s="134">
        <f>IFERROR(__xludf.DUMMYFUNCTION("""COMPUTED_VALUE"""),-0.022819323458673)</f>
        <v>-0.02281932346</v>
      </c>
      <c r="Q162" s="146">
        <f>IFERROR(__xludf.DUMMYFUNCTION("""COMPUTED_VALUE"""),0.5177408373764375)</f>
        <v>0.5177408374</v>
      </c>
      <c r="R162" s="17"/>
      <c r="S162" s="17"/>
      <c r="T162" s="75"/>
      <c r="U162" s="75"/>
      <c r="V162" s="75"/>
      <c r="W162" s="75"/>
      <c r="X162" s="75"/>
    </row>
    <row r="163">
      <c r="A163" s="17"/>
      <c r="B163" s="17"/>
      <c r="C163" s="133"/>
      <c r="D163" s="133"/>
      <c r="E163" s="17"/>
      <c r="F163" s="133" t="str">
        <f>IFERROR(__xludf.DUMMYFUNCTION("""COMPUTED_VALUE"""),"Deni Avdija")</f>
        <v>Deni Avdija</v>
      </c>
      <c r="G163" s="133" t="str">
        <f>IFERROR(__xludf.DUMMYFUNCTION("""COMPUTED_VALUE"""),"2020-21")</f>
        <v>2020-21</v>
      </c>
      <c r="H163" s="133" t="str">
        <f>IFERROR(__xludf.DUMMYFUNCTION("""COMPUTED_VALUE"""),"WAS")</f>
        <v>WAS</v>
      </c>
      <c r="I163" s="145" t="str">
        <f>IFERROR(__xludf.DUMMYFUNCTION("""COMPUTED_VALUE"""),"Stationary Shooter")</f>
        <v>Stationary Shooter</v>
      </c>
      <c r="J163" s="145">
        <f>IFERROR(__xludf.DUMMYFUNCTION("""COMPUTED_VALUE"""),514.006666666667)</f>
        <v>514.0066667</v>
      </c>
      <c r="K163" s="133">
        <f>IFERROR(__xludf.DUMMYFUNCTION("""COMPUTED_VALUE"""),23.0)</f>
        <v>23</v>
      </c>
      <c r="L163" s="133" t="str">
        <f>IFERROR(__xludf.DUMMYFUNCTION("""COMPUTED_VALUE"""),"SF")</f>
        <v>SF</v>
      </c>
      <c r="M163" s="133">
        <f>IFERROR(__xludf.DUMMYFUNCTION("""COMPUTED_VALUE"""),20.0)</f>
        <v>20</v>
      </c>
      <c r="N163" s="134">
        <f>IFERROR(__xludf.DUMMYFUNCTION("""COMPUTED_VALUE"""),-0.829616242729335)</f>
        <v>-0.8296162427</v>
      </c>
      <c r="O163" s="134">
        <f>IFERROR(__xludf.DUMMYFUNCTION("""COMPUTED_VALUE"""),-1.61859158887542)</f>
        <v>-1.618591589</v>
      </c>
      <c r="P163" s="134">
        <f>IFERROR(__xludf.DUMMYFUNCTION("""COMPUTED_VALUE"""),0.78897534614609)</f>
        <v>0.7889753461</v>
      </c>
      <c r="Q163" s="146">
        <f>IFERROR(__xludf.DUMMYFUNCTION("""COMPUTED_VALUE"""),0.5052079057072546)</f>
        <v>0.5052079057</v>
      </c>
      <c r="R163" s="17"/>
      <c r="S163" s="17"/>
      <c r="T163" s="75"/>
      <c r="U163" s="75"/>
      <c r="V163" s="75"/>
      <c r="W163" s="75"/>
      <c r="X163" s="75"/>
    </row>
    <row r="164">
      <c r="A164" s="17"/>
      <c r="B164" s="17"/>
      <c r="C164" s="133"/>
      <c r="D164" s="133"/>
      <c r="E164" s="17"/>
      <c r="F164" s="133" t="str">
        <f>IFERROR(__xludf.DUMMYFUNCTION("""COMPUTED_VALUE"""),"Gary Harris")</f>
        <v>Gary Harris</v>
      </c>
      <c r="G164" s="133" t="str">
        <f>IFERROR(__xludf.DUMMYFUNCTION("""COMPUTED_VALUE"""),"2020-21")</f>
        <v>2020-21</v>
      </c>
      <c r="H164" s="133" t="str">
        <f>IFERROR(__xludf.DUMMYFUNCTION("""COMPUTED_VALUE"""),"DEN")</f>
        <v>DEN</v>
      </c>
      <c r="I164" s="145" t="str">
        <f>IFERROR(__xludf.DUMMYFUNCTION("""COMPUTED_VALUE"""),"Stationary Shooter")</f>
        <v>Stationary Shooter</v>
      </c>
      <c r="J164" s="145">
        <f>IFERROR(__xludf.DUMMYFUNCTION("""COMPUTED_VALUE"""),581.418333333333)</f>
        <v>581.4183333</v>
      </c>
      <c r="K164" s="133">
        <f>IFERROR(__xludf.DUMMYFUNCTION("""COMPUTED_VALUE"""),19.0)</f>
        <v>19</v>
      </c>
      <c r="L164" s="133" t="str">
        <f>IFERROR(__xludf.DUMMYFUNCTION("""COMPUTED_VALUE"""),"SG")</f>
        <v>SG</v>
      </c>
      <c r="M164" s="133">
        <f>IFERROR(__xludf.DUMMYFUNCTION("""COMPUTED_VALUE"""),26.0)</f>
        <v>26</v>
      </c>
      <c r="N164" s="134">
        <f>IFERROR(__xludf.DUMMYFUNCTION("""COMPUTED_VALUE"""),-1.03335217860665)</f>
        <v>-1.033352179</v>
      </c>
      <c r="O164" s="134">
        <f>IFERROR(__xludf.DUMMYFUNCTION("""COMPUTED_VALUE"""),0.0730355845500449)</f>
        <v>0.07303558455</v>
      </c>
      <c r="P164" s="134">
        <f>IFERROR(__xludf.DUMMYFUNCTION("""COMPUTED_VALUE"""),-1.1063877631567)</f>
        <v>-1.106387763</v>
      </c>
      <c r="Q164" s="146">
        <f>IFERROR(__xludf.DUMMYFUNCTION("""COMPUTED_VALUE"""),0.49189314340804197)</f>
        <v>0.4918931434</v>
      </c>
      <c r="R164" s="17"/>
      <c r="S164" s="17"/>
      <c r="T164" s="75"/>
      <c r="U164" s="75"/>
      <c r="V164" s="75"/>
      <c r="W164" s="75"/>
      <c r="X164" s="75"/>
    </row>
    <row r="165">
      <c r="A165" s="17"/>
      <c r="B165" s="17"/>
      <c r="C165" s="133"/>
      <c r="D165" s="133"/>
      <c r="E165" s="17"/>
      <c r="F165" s="133" t="str">
        <f>IFERROR(__xludf.DUMMYFUNCTION("""COMPUTED_VALUE"""),"Brad Wanamaker")</f>
        <v>Brad Wanamaker</v>
      </c>
      <c r="G165" s="133" t="str">
        <f>IFERROR(__xludf.DUMMYFUNCTION("""COMPUTED_VALUE"""),"2020-21")</f>
        <v>2020-21</v>
      </c>
      <c r="H165" s="133" t="str">
        <f>IFERROR(__xludf.DUMMYFUNCTION("""COMPUTED_VALUE"""),"GSW")</f>
        <v>GSW</v>
      </c>
      <c r="I165" s="145" t="str">
        <f>IFERROR(__xludf.DUMMYFUNCTION("""COMPUTED_VALUE"""),"Secondary Ball Handler")</f>
        <v>Secondary Ball Handler</v>
      </c>
      <c r="J165" s="145">
        <f>IFERROR(__xludf.DUMMYFUNCTION("""COMPUTED_VALUE"""),511.673333333333)</f>
        <v>511.6733333</v>
      </c>
      <c r="K165" s="133">
        <f>IFERROR(__xludf.DUMMYFUNCTION("""COMPUTED_VALUE"""),31.0)</f>
        <v>31</v>
      </c>
      <c r="L165" s="133" t="str">
        <f>IFERROR(__xludf.DUMMYFUNCTION("""COMPUTED_VALUE"""),"PG")</f>
        <v>PG</v>
      </c>
      <c r="M165" s="133">
        <f>IFERROR(__xludf.DUMMYFUNCTION("""COMPUTED_VALUE"""),31.0)</f>
        <v>31</v>
      </c>
      <c r="N165" s="134">
        <f>IFERROR(__xludf.DUMMYFUNCTION("""COMPUTED_VALUE"""),-0.900348221917025)</f>
        <v>-0.9003482219</v>
      </c>
      <c r="O165" s="134">
        <f>IFERROR(__xludf.DUMMYFUNCTION("""COMPUTED_VALUE"""),-1.28555412631558)</f>
        <v>-1.285554126</v>
      </c>
      <c r="P165" s="134">
        <f>IFERROR(__xludf.DUMMYFUNCTION("""COMPUTED_VALUE"""),0.385205904398554)</f>
        <v>0.3852059044</v>
      </c>
      <c r="Q165" s="146">
        <f>IFERROR(__xludf.DUMMYFUNCTION("""COMPUTED_VALUE"""),0.4785904274877553)</f>
        <v>0.4785904275</v>
      </c>
      <c r="R165" s="17"/>
      <c r="S165" s="17"/>
      <c r="T165" s="75"/>
      <c r="U165" s="75"/>
      <c r="V165" s="75"/>
      <c r="W165" s="75"/>
      <c r="X165" s="75"/>
    </row>
    <row r="166">
      <c r="A166" s="17"/>
      <c r="B166" s="17"/>
      <c r="C166" s="133"/>
      <c r="D166" s="133"/>
      <c r="E166" s="17"/>
      <c r="F166" s="133" t="str">
        <f>IFERROR(__xludf.DUMMYFUNCTION("""COMPUTED_VALUE"""),"D.J. Augustin")</f>
        <v>D.J. Augustin</v>
      </c>
      <c r="G166" s="133" t="str">
        <f>IFERROR(__xludf.DUMMYFUNCTION("""COMPUTED_VALUE"""),"2020-21")</f>
        <v>2020-21</v>
      </c>
      <c r="H166" s="133" t="str">
        <f>IFERROR(__xludf.DUMMYFUNCTION("""COMPUTED_VALUE"""),"MIL")</f>
        <v>MIL</v>
      </c>
      <c r="I166" s="145" t="str">
        <f>IFERROR(__xludf.DUMMYFUNCTION("""COMPUTED_VALUE"""),"Secondary Ball Handler")</f>
        <v>Secondary Ball Handler</v>
      </c>
      <c r="J166" s="145">
        <f>IFERROR(__xludf.DUMMYFUNCTION("""COMPUTED_VALUE"""),564.615)</f>
        <v>564.615</v>
      </c>
      <c r="K166" s="133">
        <f>IFERROR(__xludf.DUMMYFUNCTION("""COMPUTED_VALUE"""),30.0)</f>
        <v>30</v>
      </c>
      <c r="L166" s="133" t="str">
        <f>IFERROR(__xludf.DUMMYFUNCTION("""COMPUTED_VALUE"""),"PG")</f>
        <v>PG</v>
      </c>
      <c r="M166" s="133">
        <f>IFERROR(__xludf.DUMMYFUNCTION("""COMPUTED_VALUE"""),33.0)</f>
        <v>33</v>
      </c>
      <c r="N166" s="134">
        <f>IFERROR(__xludf.DUMMYFUNCTION("""COMPUTED_VALUE"""),-1.03263639828905)</f>
        <v>-1.032636398</v>
      </c>
      <c r="O166" s="134">
        <f>IFERROR(__xludf.DUMMYFUNCTION("""COMPUTED_VALUE"""),0.0299505665031425)</f>
        <v>0.0299505665</v>
      </c>
      <c r="P166" s="134">
        <f>IFERROR(__xludf.DUMMYFUNCTION("""COMPUTED_VALUE"""),-1.06258696479219)</f>
        <v>-1.062586965</v>
      </c>
      <c r="Q166" s="146">
        <f>IFERROR(__xludf.DUMMYFUNCTION("""COMPUTED_VALUE"""),0.4779484001219987)</f>
        <v>0.4779484001</v>
      </c>
      <c r="R166" s="17"/>
      <c r="S166" s="17"/>
      <c r="T166" s="75"/>
      <c r="U166" s="75"/>
      <c r="V166" s="75"/>
      <c r="W166" s="75"/>
      <c r="X166" s="75"/>
    </row>
    <row r="167">
      <c r="A167" s="17"/>
      <c r="B167" s="17"/>
      <c r="C167" s="133"/>
      <c r="D167" s="133"/>
      <c r="E167" s="17"/>
      <c r="F167" s="133" t="str">
        <f>IFERROR(__xludf.DUMMYFUNCTION("""COMPUTED_VALUE"""),"Tim Hardaway Jr.")</f>
        <v>Tim Hardaway Jr.</v>
      </c>
      <c r="G167" s="133" t="str">
        <f>IFERROR(__xludf.DUMMYFUNCTION("""COMPUTED_VALUE"""),"2020-21")</f>
        <v>2020-21</v>
      </c>
      <c r="H167" s="133" t="str">
        <f>IFERROR(__xludf.DUMMYFUNCTION("""COMPUTED_VALUE"""),"DAL")</f>
        <v>DAL</v>
      </c>
      <c r="I167" s="145" t="str">
        <f>IFERROR(__xludf.DUMMYFUNCTION("""COMPUTED_VALUE"""),"Stationary Shooter")</f>
        <v>Stationary Shooter</v>
      </c>
      <c r="J167" s="145">
        <f>IFERROR(__xludf.DUMMYFUNCTION("""COMPUTED_VALUE"""),825.055)</f>
        <v>825.055</v>
      </c>
      <c r="K167" s="133">
        <f>IFERROR(__xludf.DUMMYFUNCTION("""COMPUTED_VALUE"""),27.0)</f>
        <v>27</v>
      </c>
      <c r="L167" s="133" t="str">
        <f>IFERROR(__xludf.DUMMYFUNCTION("""COMPUTED_VALUE"""),"SG")</f>
        <v>SG</v>
      </c>
      <c r="M167" s="133">
        <f>IFERROR(__xludf.DUMMYFUNCTION("""COMPUTED_VALUE"""),28.0)</f>
        <v>28</v>
      </c>
      <c r="N167" s="134">
        <f>IFERROR(__xludf.DUMMYFUNCTION("""COMPUTED_VALUE"""),-1.43315412887814)</f>
        <v>-1.433154129</v>
      </c>
      <c r="O167" s="134">
        <f>IFERROR(__xludf.DUMMYFUNCTION("""COMPUTED_VALUE"""),0.731441243654733)</f>
        <v>0.7314412437</v>
      </c>
      <c r="P167" s="134">
        <f>IFERROR(__xludf.DUMMYFUNCTION("""COMPUTED_VALUE"""),-2.16459537253287)</f>
        <v>-2.164595373</v>
      </c>
      <c r="Q167" s="146">
        <f>IFERROR(__xludf.DUMMYFUNCTION("""COMPUTED_VALUE"""),0.47704370878438723)</f>
        <v>0.4770437088</v>
      </c>
      <c r="R167" s="17"/>
      <c r="S167" s="17"/>
      <c r="T167" s="75"/>
      <c r="U167" s="75"/>
      <c r="V167" s="75"/>
      <c r="W167" s="75"/>
      <c r="X167" s="75"/>
    </row>
    <row r="168">
      <c r="A168" s="17"/>
      <c r="B168" s="17"/>
      <c r="C168" s="133"/>
      <c r="D168" s="133"/>
      <c r="E168" s="17"/>
      <c r="F168" s="133" t="str">
        <f>IFERROR(__xludf.DUMMYFUNCTION("""COMPUTED_VALUE"""),"Rui Hachimura")</f>
        <v>Rui Hachimura</v>
      </c>
      <c r="G168" s="133" t="str">
        <f>IFERROR(__xludf.DUMMYFUNCTION("""COMPUTED_VALUE"""),"2020-21")</f>
        <v>2020-21</v>
      </c>
      <c r="H168" s="133" t="str">
        <f>IFERROR(__xludf.DUMMYFUNCTION("""COMPUTED_VALUE"""),"WAS")</f>
        <v>WAS</v>
      </c>
      <c r="I168" s="145" t="str">
        <f>IFERROR(__xludf.DUMMYFUNCTION("""COMPUTED_VALUE"""),"Post Scorer")</f>
        <v>Post Scorer</v>
      </c>
      <c r="J168" s="145">
        <f>IFERROR(__xludf.DUMMYFUNCTION("""COMPUTED_VALUE"""),592.363333333333)</f>
        <v>592.3633333</v>
      </c>
      <c r="K168" s="133">
        <f>IFERROR(__xludf.DUMMYFUNCTION("""COMPUTED_VALUE"""),20.0)</f>
        <v>20</v>
      </c>
      <c r="L168" s="133" t="str">
        <f>IFERROR(__xludf.DUMMYFUNCTION("""COMPUTED_VALUE"""),"PF")</f>
        <v>PF</v>
      </c>
      <c r="M168" s="133">
        <f>IFERROR(__xludf.DUMMYFUNCTION("""COMPUTED_VALUE"""),22.0)</f>
        <v>22</v>
      </c>
      <c r="N168" s="134">
        <f>IFERROR(__xludf.DUMMYFUNCTION("""COMPUTED_VALUE"""),-1.10231634494931)</f>
        <v>-1.102316345</v>
      </c>
      <c r="O168" s="134">
        <f>IFERROR(__xludf.DUMMYFUNCTION("""COMPUTED_VALUE"""),-1.1423314972179)</f>
        <v>-1.142331497</v>
      </c>
      <c r="P168" s="134">
        <f>IFERROR(__xludf.DUMMYFUNCTION("""COMPUTED_VALUE"""),0.0400151522685948)</f>
        <v>0.04001515227</v>
      </c>
      <c r="Q168" s="146">
        <f>IFERROR(__xludf.DUMMYFUNCTION("""COMPUTED_VALUE"""),0.47374148010274536)</f>
        <v>0.4737414801</v>
      </c>
      <c r="R168" s="17"/>
      <c r="S168" s="17"/>
      <c r="T168" s="75"/>
      <c r="U168" s="75"/>
      <c r="V168" s="75"/>
      <c r="W168" s="75"/>
      <c r="X168" s="75"/>
    </row>
    <row r="169">
      <c r="A169" s="17"/>
      <c r="B169" s="17"/>
      <c r="C169" s="133"/>
      <c r="D169" s="133"/>
      <c r="E169" s="17"/>
      <c r="F169" s="133" t="str">
        <f>IFERROR(__xludf.DUMMYFUNCTION("""COMPUTED_VALUE"""),"Nerlens Noel")</f>
        <v>Nerlens Noel</v>
      </c>
      <c r="G169" s="133" t="str">
        <f>IFERROR(__xludf.DUMMYFUNCTION("""COMPUTED_VALUE"""),"2020-21")</f>
        <v>2020-21</v>
      </c>
      <c r="H169" s="133" t="str">
        <f>IFERROR(__xludf.DUMMYFUNCTION("""COMPUTED_VALUE"""),"NYK")</f>
        <v>NYK</v>
      </c>
      <c r="I169" s="145" t="str">
        <f>IFERROR(__xludf.DUMMYFUNCTION("""COMPUTED_VALUE"""),"Roll + Cut Big")</f>
        <v>Roll + Cut Big</v>
      </c>
      <c r="J169" s="145">
        <f>IFERROR(__xludf.DUMMYFUNCTION("""COMPUTED_VALUE"""),503.393333333333)</f>
        <v>503.3933333</v>
      </c>
      <c r="K169" s="133">
        <f>IFERROR(__xludf.DUMMYFUNCTION("""COMPUTED_VALUE"""),26.0)</f>
        <v>26</v>
      </c>
      <c r="L169" s="133" t="str">
        <f>IFERROR(__xludf.DUMMYFUNCTION("""COMPUTED_VALUE"""),"C")</f>
        <v>C</v>
      </c>
      <c r="M169" s="133">
        <f>IFERROR(__xludf.DUMMYFUNCTION("""COMPUTED_VALUE"""),26.0)</f>
        <v>26</v>
      </c>
      <c r="N169" s="134">
        <f>IFERROR(__xludf.DUMMYFUNCTION("""COMPUTED_VALUE"""),-0.948980530466545)</f>
        <v>-0.9489805305</v>
      </c>
      <c r="O169" s="134">
        <f>IFERROR(__xludf.DUMMYFUNCTION("""COMPUTED_VALUE"""),-3.5732737505657)</f>
        <v>-3.573273751</v>
      </c>
      <c r="P169" s="134">
        <f>IFERROR(__xludf.DUMMYFUNCTION("""COMPUTED_VALUE"""),2.62429322009916)</f>
        <v>2.62429322</v>
      </c>
      <c r="Q169" s="146">
        <f>IFERROR(__xludf.DUMMYFUNCTION("""COMPUTED_VALUE"""),0.45439950525811684)</f>
        <v>0.4543995053</v>
      </c>
      <c r="R169" s="17"/>
      <c r="S169" s="17"/>
      <c r="T169" s="75"/>
      <c r="U169" s="75"/>
      <c r="V169" s="75"/>
      <c r="W169" s="75"/>
      <c r="X169" s="75"/>
    </row>
    <row r="170">
      <c r="A170" s="17"/>
      <c r="B170" s="17"/>
      <c r="C170" s="133"/>
      <c r="D170" s="133"/>
      <c r="E170" s="17"/>
      <c r="F170" s="133" t="str">
        <f>IFERROR(__xludf.DUMMYFUNCTION("""COMPUTED_VALUE"""),"Shake Milton")</f>
        <v>Shake Milton</v>
      </c>
      <c r="G170" s="133" t="str">
        <f>IFERROR(__xludf.DUMMYFUNCTION("""COMPUTED_VALUE"""),"2020-21")</f>
        <v>2020-21</v>
      </c>
      <c r="H170" s="133" t="str">
        <f>IFERROR(__xludf.DUMMYFUNCTION("""COMPUTED_VALUE"""),"PHI")</f>
        <v>PHI</v>
      </c>
      <c r="I170" s="145" t="str">
        <f>IFERROR(__xludf.DUMMYFUNCTION("""COMPUTED_VALUE"""),"Secondary Ball Handler")</f>
        <v>Secondary Ball Handler</v>
      </c>
      <c r="J170" s="145">
        <f>IFERROR(__xludf.DUMMYFUNCTION("""COMPUTED_VALUE"""),564.12)</f>
        <v>564.12</v>
      </c>
      <c r="K170" s="133">
        <f>IFERROR(__xludf.DUMMYFUNCTION("""COMPUTED_VALUE"""),23.0)</f>
        <v>23</v>
      </c>
      <c r="L170" s="133" t="str">
        <f>IFERROR(__xludf.DUMMYFUNCTION("""COMPUTED_VALUE"""),"SG")</f>
        <v>SG</v>
      </c>
      <c r="M170" s="133">
        <f>IFERROR(__xludf.DUMMYFUNCTION("""COMPUTED_VALUE"""),24.0)</f>
        <v>24</v>
      </c>
      <c r="N170" s="134">
        <f>IFERROR(__xludf.DUMMYFUNCTION("""COMPUTED_VALUE"""),-1.10766147551119)</f>
        <v>-1.107661476</v>
      </c>
      <c r="O170" s="134">
        <f>IFERROR(__xludf.DUMMYFUNCTION("""COMPUTED_VALUE"""),-0.0963409011645974)</f>
        <v>-0.09634090116</v>
      </c>
      <c r="P170" s="134">
        <f>IFERROR(__xludf.DUMMYFUNCTION("""COMPUTED_VALUE"""),-1.01132057434659)</f>
        <v>-1.011320574</v>
      </c>
      <c r="Q170" s="146">
        <f>IFERROR(__xludf.DUMMYFUNCTION("""COMPUTED_VALUE"""),0.4491313548545535)</f>
        <v>0.4491313549</v>
      </c>
      <c r="R170" s="17"/>
      <c r="S170" s="17"/>
      <c r="T170" s="75"/>
      <c r="U170" s="75"/>
      <c r="V170" s="75"/>
      <c r="W170" s="75"/>
      <c r="X170" s="75"/>
    </row>
    <row r="171">
      <c r="A171" s="17"/>
      <c r="B171" s="17"/>
      <c r="C171" s="133"/>
      <c r="D171" s="133"/>
      <c r="E171" s="17"/>
      <c r="F171" s="133" t="str">
        <f>IFERROR(__xludf.DUMMYFUNCTION("""COMPUTED_VALUE"""),"Davis Bertans")</f>
        <v>Davis Bertans</v>
      </c>
      <c r="G171" s="133" t="str">
        <f>IFERROR(__xludf.DUMMYFUNCTION("""COMPUTED_VALUE"""),"2020-21")</f>
        <v>2020-21</v>
      </c>
      <c r="H171" s="133" t="str">
        <f>IFERROR(__xludf.DUMMYFUNCTION("""COMPUTED_VALUE"""),"WAS")</f>
        <v>WAS</v>
      </c>
      <c r="I171" s="145" t="str">
        <f>IFERROR(__xludf.DUMMYFUNCTION("""COMPUTED_VALUE"""),"Off Screen Shooter")</f>
        <v>Off Screen Shooter</v>
      </c>
      <c r="J171" s="145">
        <f>IFERROR(__xludf.DUMMYFUNCTION("""COMPUTED_VALUE"""),626.798333333333)</f>
        <v>626.7983333</v>
      </c>
      <c r="K171" s="133">
        <f>IFERROR(__xludf.DUMMYFUNCTION("""COMPUTED_VALUE"""),24.0)</f>
        <v>24</v>
      </c>
      <c r="L171" s="133" t="str">
        <f>IFERROR(__xludf.DUMMYFUNCTION("""COMPUTED_VALUE"""),"PF")</f>
        <v>PF</v>
      </c>
      <c r="M171" s="133">
        <f>IFERROR(__xludf.DUMMYFUNCTION("""COMPUTED_VALUE"""),28.0)</f>
        <v>28</v>
      </c>
      <c r="N171" s="134">
        <f>IFERROR(__xludf.DUMMYFUNCTION("""COMPUTED_VALUE"""),-1.32001666983622)</f>
        <v>-1.32001667</v>
      </c>
      <c r="O171" s="134">
        <f>IFERROR(__xludf.DUMMYFUNCTION("""COMPUTED_VALUE"""),-0.22540837809614)</f>
        <v>-0.2254083781</v>
      </c>
      <c r="P171" s="134">
        <f>IFERROR(__xludf.DUMMYFUNCTION("""COMPUTED_VALUE"""),-1.09460829174008)</f>
        <v>-1.094608292</v>
      </c>
      <c r="Q171" s="146">
        <f>IFERROR(__xludf.DUMMYFUNCTION("""COMPUTED_VALUE"""),0.4098463880078127)</f>
        <v>0.409846388</v>
      </c>
      <c r="R171" s="17"/>
      <c r="S171" s="17"/>
      <c r="T171" s="75"/>
      <c r="U171" s="75"/>
      <c r="V171" s="75"/>
      <c r="W171" s="75"/>
      <c r="X171" s="75"/>
    </row>
    <row r="172">
      <c r="A172" s="17"/>
      <c r="B172" s="17"/>
      <c r="C172" s="133"/>
      <c r="D172" s="133"/>
      <c r="E172" s="17"/>
      <c r="F172" s="133" t="str">
        <f>IFERROR(__xludf.DUMMYFUNCTION("""COMPUTED_VALUE"""),"Bruce Brown")</f>
        <v>Bruce Brown</v>
      </c>
      <c r="G172" s="133" t="str">
        <f>IFERROR(__xludf.DUMMYFUNCTION("""COMPUTED_VALUE"""),"2020-21")</f>
        <v>2020-21</v>
      </c>
      <c r="H172" s="133" t="str">
        <f>IFERROR(__xludf.DUMMYFUNCTION("""COMPUTED_VALUE"""),"BRK")</f>
        <v>BRK</v>
      </c>
      <c r="I172" s="145" t="str">
        <f>IFERROR(__xludf.DUMMYFUNCTION("""COMPUTED_VALUE"""),"Roll + Cut Big")</f>
        <v>Roll + Cut Big</v>
      </c>
      <c r="J172" s="145">
        <f>IFERROR(__xludf.DUMMYFUNCTION("""COMPUTED_VALUE"""),551.991666666667)</f>
        <v>551.9916667</v>
      </c>
      <c r="K172" s="133">
        <f>IFERROR(__xludf.DUMMYFUNCTION("""COMPUTED_VALUE"""),28.0)</f>
        <v>28</v>
      </c>
      <c r="L172" s="133" t="str">
        <f>IFERROR(__xludf.DUMMYFUNCTION("""COMPUTED_VALUE"""),"PG")</f>
        <v>PG</v>
      </c>
      <c r="M172" s="133">
        <f>IFERROR(__xludf.DUMMYFUNCTION("""COMPUTED_VALUE"""),24.0)</f>
        <v>24</v>
      </c>
      <c r="N172" s="134">
        <f>IFERROR(__xludf.DUMMYFUNCTION("""COMPUTED_VALUE"""),-1.20902701181368)</f>
        <v>-1.209027012</v>
      </c>
      <c r="O172" s="134">
        <f>IFERROR(__xludf.DUMMYFUNCTION("""COMPUTED_VALUE"""),-0.703230828240303)</f>
        <v>-0.7032308282</v>
      </c>
      <c r="P172" s="134">
        <f>IFERROR(__xludf.DUMMYFUNCTION("""COMPUTED_VALUE"""),-0.505796183573381)</f>
        <v>-0.5057961836</v>
      </c>
      <c r="Q172" s="146">
        <f>IFERROR(__xludf.DUMMYFUNCTION("""COMPUTED_VALUE"""),0.4019626206510802)</f>
        <v>0.4019626207</v>
      </c>
      <c r="R172" s="17"/>
      <c r="S172" s="17"/>
      <c r="T172" s="75"/>
      <c r="U172" s="75"/>
      <c r="V172" s="75"/>
      <c r="W172" s="75"/>
      <c r="X172" s="75"/>
    </row>
    <row r="173">
      <c r="A173" s="17"/>
      <c r="B173" s="17"/>
      <c r="C173" s="133"/>
      <c r="D173" s="133"/>
      <c r="E173" s="17"/>
      <c r="F173" s="133" t="str">
        <f>IFERROR(__xludf.DUMMYFUNCTION("""COMPUTED_VALUE"""),"Josh Richardson")</f>
        <v>Josh Richardson</v>
      </c>
      <c r="G173" s="133" t="str">
        <f>IFERROR(__xludf.DUMMYFUNCTION("""COMPUTED_VALUE"""),"2020-21")</f>
        <v>2020-21</v>
      </c>
      <c r="H173" s="133" t="str">
        <f>IFERROR(__xludf.DUMMYFUNCTION("""COMPUTED_VALUE"""),"DAL")</f>
        <v>DAL</v>
      </c>
      <c r="I173" s="145" t="str">
        <f>IFERROR(__xludf.DUMMYFUNCTION("""COMPUTED_VALUE"""),"Movement Shooter")</f>
        <v>Movement Shooter</v>
      </c>
      <c r="J173" s="145">
        <f>IFERROR(__xludf.DUMMYFUNCTION("""COMPUTED_VALUE"""),601.176666666667)</f>
        <v>601.1766667</v>
      </c>
      <c r="K173" s="133">
        <f>IFERROR(__xludf.DUMMYFUNCTION("""COMPUTED_VALUE"""),19.0)</f>
        <v>19</v>
      </c>
      <c r="L173" s="133" t="str">
        <f>IFERROR(__xludf.DUMMYFUNCTION("""COMPUTED_VALUE"""),"SG")</f>
        <v>SG</v>
      </c>
      <c r="M173" s="133">
        <f>IFERROR(__xludf.DUMMYFUNCTION("""COMPUTED_VALUE"""),27.0)</f>
        <v>27</v>
      </c>
      <c r="N173" s="134">
        <f>IFERROR(__xludf.DUMMYFUNCTION("""COMPUTED_VALUE"""),-1.31155478905942)</f>
        <v>-1.311554789</v>
      </c>
      <c r="O173" s="134">
        <f>IFERROR(__xludf.DUMMYFUNCTION("""COMPUTED_VALUE"""),0.191432127034771)</f>
        <v>0.191432127</v>
      </c>
      <c r="P173" s="134">
        <f>IFERROR(__xludf.DUMMYFUNCTION("""COMPUTED_VALUE"""),-1.50298691609419)</f>
        <v>-1.502986916</v>
      </c>
      <c r="Q173" s="146">
        <f>IFERROR(__xludf.DUMMYFUNCTION("""COMPUTED_VALUE"""),0.39649811030342086)</f>
        <v>0.3964981103</v>
      </c>
      <c r="R173" s="17"/>
      <c r="S173" s="17"/>
      <c r="T173" s="75"/>
      <c r="U173" s="75"/>
      <c r="V173" s="75"/>
      <c r="W173" s="75"/>
      <c r="X173" s="75"/>
    </row>
    <row r="174">
      <c r="A174" s="17"/>
      <c r="B174" s="17"/>
      <c r="C174" s="133"/>
      <c r="D174" s="133"/>
      <c r="E174" s="17"/>
      <c r="F174" s="133" t="str">
        <f>IFERROR(__xludf.DUMMYFUNCTION("""COMPUTED_VALUE"""),"Aaron Holiday")</f>
        <v>Aaron Holiday</v>
      </c>
      <c r="G174" s="133" t="str">
        <f>IFERROR(__xludf.DUMMYFUNCTION("""COMPUTED_VALUE"""),"2020-21")</f>
        <v>2020-21</v>
      </c>
      <c r="H174" s="133" t="str">
        <f>IFERROR(__xludf.DUMMYFUNCTION("""COMPUTED_VALUE"""),"IND")</f>
        <v>IND</v>
      </c>
      <c r="I174" s="145" t="str">
        <f>IFERROR(__xludf.DUMMYFUNCTION("""COMPUTED_VALUE"""),"Stationary Shooter")</f>
        <v>Stationary Shooter</v>
      </c>
      <c r="J174" s="145">
        <f>IFERROR(__xludf.DUMMYFUNCTION("""COMPUTED_VALUE"""),576.413333333333)</f>
        <v>576.4133333</v>
      </c>
      <c r="K174" s="133">
        <f>IFERROR(__xludf.DUMMYFUNCTION("""COMPUTED_VALUE"""),29.0)</f>
        <v>29</v>
      </c>
      <c r="L174" s="133" t="str">
        <f>IFERROR(__xludf.DUMMYFUNCTION("""COMPUTED_VALUE"""),"PG")</f>
        <v>PG</v>
      </c>
      <c r="M174" s="133">
        <f>IFERROR(__xludf.DUMMYFUNCTION("""COMPUTED_VALUE"""),24.0)</f>
        <v>24</v>
      </c>
      <c r="N174" s="134">
        <f>IFERROR(__xludf.DUMMYFUNCTION("""COMPUTED_VALUE"""),-1.28046751361288)</f>
        <v>-1.280467514</v>
      </c>
      <c r="O174" s="134">
        <f>IFERROR(__xludf.DUMMYFUNCTION("""COMPUTED_VALUE"""),-0.0212209458733099)</f>
        <v>-0.02122094587</v>
      </c>
      <c r="P174" s="134">
        <f>IFERROR(__xludf.DUMMYFUNCTION("""COMPUTED_VALUE"""),-1.25924656773957)</f>
        <v>-1.259246568</v>
      </c>
      <c r="Q174" s="146">
        <f>IFERROR(__xludf.DUMMYFUNCTION("""COMPUTED_VALUE"""),0.39216249215061666)</f>
        <v>0.3921624922</v>
      </c>
      <c r="R174" s="17"/>
      <c r="S174" s="17"/>
      <c r="T174" s="75"/>
      <c r="U174" s="75"/>
      <c r="V174" s="75"/>
      <c r="W174" s="75"/>
      <c r="X174" s="75"/>
    </row>
    <row r="175">
      <c r="A175" s="17"/>
      <c r="B175" s="17"/>
      <c r="C175" s="133"/>
      <c r="D175" s="133"/>
      <c r="E175" s="17"/>
      <c r="F175" s="133" t="str">
        <f>IFERROR(__xludf.DUMMYFUNCTION("""COMPUTED_VALUE"""),"Isaiah Stewart")</f>
        <v>Isaiah Stewart</v>
      </c>
      <c r="G175" s="133" t="str">
        <f>IFERROR(__xludf.DUMMYFUNCTION("""COMPUTED_VALUE"""),"2020-21")</f>
        <v>2020-21</v>
      </c>
      <c r="H175" s="133" t="str">
        <f>IFERROR(__xludf.DUMMYFUNCTION("""COMPUTED_VALUE"""),"DET")</f>
        <v>DET</v>
      </c>
      <c r="I175" s="145" t="str">
        <f>IFERROR(__xludf.DUMMYFUNCTION("""COMPUTED_VALUE"""),"Roll + Cut Big")</f>
        <v>Roll + Cut Big</v>
      </c>
      <c r="J175" s="145">
        <f>IFERROR(__xludf.DUMMYFUNCTION("""COMPUTED_VALUE"""),500.023333333333)</f>
        <v>500.0233333</v>
      </c>
      <c r="K175" s="133">
        <f>IFERROR(__xludf.DUMMYFUNCTION("""COMPUTED_VALUE"""),28.0)</f>
        <v>28</v>
      </c>
      <c r="L175" s="133" t="str">
        <f>IFERROR(__xludf.DUMMYFUNCTION("""COMPUTED_VALUE"""),"C")</f>
        <v>C</v>
      </c>
      <c r="M175" s="133">
        <f>IFERROR(__xludf.DUMMYFUNCTION("""COMPUTED_VALUE"""),19.0)</f>
        <v>19</v>
      </c>
      <c r="N175" s="134">
        <f>IFERROR(__xludf.DUMMYFUNCTION("""COMPUTED_VALUE"""),-1.14117946977993)</f>
        <v>-1.14117947</v>
      </c>
      <c r="O175" s="134">
        <f>IFERROR(__xludf.DUMMYFUNCTION("""COMPUTED_VALUE"""),-2.49494893915921)</f>
        <v>-2.494948939</v>
      </c>
      <c r="P175" s="134">
        <f>IFERROR(__xludf.DUMMYFUNCTION("""COMPUTED_VALUE"""),1.35376946937928)</f>
        <v>1.353769469</v>
      </c>
      <c r="Q175" s="146">
        <f>IFERROR(__xludf.DUMMYFUNCTION("""COMPUTED_VALUE"""),0.38686003458174606)</f>
        <v>0.3868600346</v>
      </c>
      <c r="R175" s="17"/>
      <c r="S175" s="17"/>
      <c r="T175" s="75"/>
      <c r="U175" s="75"/>
      <c r="V175" s="75"/>
      <c r="W175" s="75"/>
      <c r="X175" s="75"/>
    </row>
    <row r="176">
      <c r="A176" s="17"/>
      <c r="B176" s="17"/>
      <c r="C176" s="133"/>
      <c r="D176" s="133"/>
      <c r="E176" s="17"/>
      <c r="F176" s="133" t="str">
        <f>IFERROR(__xludf.DUMMYFUNCTION("""COMPUTED_VALUE"""),"Coby White")</f>
        <v>Coby White</v>
      </c>
      <c r="G176" s="133" t="str">
        <f>IFERROR(__xludf.DUMMYFUNCTION("""COMPUTED_VALUE"""),"2020-21")</f>
        <v>2020-21</v>
      </c>
      <c r="H176" s="133" t="str">
        <f>IFERROR(__xludf.DUMMYFUNCTION("""COMPUTED_VALUE"""),"CHI")</f>
        <v>CHI</v>
      </c>
      <c r="I176" s="145" t="str">
        <f>IFERROR(__xludf.DUMMYFUNCTION("""COMPUTED_VALUE"""),"Primary Ball Handler")</f>
        <v>Primary Ball Handler</v>
      </c>
      <c r="J176" s="145">
        <f>IFERROR(__xludf.DUMMYFUNCTION("""COMPUTED_VALUE"""),966.008333333333)</f>
        <v>966.0083333</v>
      </c>
      <c r="K176" s="133">
        <f>IFERROR(__xludf.DUMMYFUNCTION("""COMPUTED_VALUE"""),29.0)</f>
        <v>29</v>
      </c>
      <c r="L176" s="133" t="str">
        <f>IFERROR(__xludf.DUMMYFUNCTION("""COMPUTED_VALUE"""),"PG")</f>
        <v>PG</v>
      </c>
      <c r="M176" s="133">
        <f>IFERROR(__xludf.DUMMYFUNCTION("""COMPUTED_VALUE"""),20.0)</f>
        <v>20</v>
      </c>
      <c r="N176" s="134">
        <f>IFERROR(__xludf.DUMMYFUNCTION("""COMPUTED_VALUE"""),-1.7184948393218)</f>
        <v>-1.718494839</v>
      </c>
      <c r="O176" s="134">
        <f>IFERROR(__xludf.DUMMYFUNCTION("""COMPUTED_VALUE"""),-0.661633063688562)</f>
        <v>-0.6616330637</v>
      </c>
      <c r="P176" s="134">
        <f>IFERROR(__xludf.DUMMYFUNCTION("""COMPUTED_VALUE"""),-1.05686177563324)</f>
        <v>-1.056861776</v>
      </c>
      <c r="Q176" s="146">
        <f>IFERROR(__xludf.DUMMYFUNCTION("""COMPUTED_VALUE"""),0.37462277334639893)</f>
        <v>0.3746227733</v>
      </c>
      <c r="R176" s="17"/>
      <c r="S176" s="17"/>
      <c r="T176" s="75"/>
      <c r="U176" s="75"/>
      <c r="V176" s="75"/>
      <c r="W176" s="75"/>
      <c r="X176" s="75"/>
    </row>
    <row r="177">
      <c r="A177" s="17"/>
      <c r="B177" s="17"/>
      <c r="C177" s="133"/>
      <c r="D177" s="133"/>
      <c r="E177" s="17"/>
      <c r="F177" s="133" t="str">
        <f>IFERROR(__xludf.DUMMYFUNCTION("""COMPUTED_VALUE"""),"Sterling Brown")</f>
        <v>Sterling Brown</v>
      </c>
      <c r="G177" s="133" t="str">
        <f>IFERROR(__xludf.DUMMYFUNCTION("""COMPUTED_VALUE"""),"2020-21")</f>
        <v>2020-21</v>
      </c>
      <c r="H177" s="133" t="str">
        <f>IFERROR(__xludf.DUMMYFUNCTION("""COMPUTED_VALUE"""),"HOU")</f>
        <v>HOU</v>
      </c>
      <c r="I177" s="145" t="str">
        <f>IFERROR(__xludf.DUMMYFUNCTION("""COMPUTED_VALUE"""),"Stationary Shooter")</f>
        <v>Stationary Shooter</v>
      </c>
      <c r="J177" s="145">
        <f>IFERROR(__xludf.DUMMYFUNCTION("""COMPUTED_VALUE"""),555.796666666667)</f>
        <v>555.7966667</v>
      </c>
      <c r="K177" s="133">
        <f>IFERROR(__xludf.DUMMYFUNCTION("""COMPUTED_VALUE"""),26.0)</f>
        <v>26</v>
      </c>
      <c r="L177" s="133" t="str">
        <f>IFERROR(__xludf.DUMMYFUNCTION("""COMPUTED_VALUE"""),"SG")</f>
        <v>SG</v>
      </c>
      <c r="M177" s="133">
        <f>IFERROR(__xludf.DUMMYFUNCTION("""COMPUTED_VALUE"""),25.0)</f>
        <v>25</v>
      </c>
      <c r="N177" s="134">
        <f>IFERROR(__xludf.DUMMYFUNCTION("""COMPUTED_VALUE"""),-1.30290935379505)</f>
        <v>-1.302909354</v>
      </c>
      <c r="O177" s="134">
        <f>IFERROR(__xludf.DUMMYFUNCTION("""COMPUTED_VALUE"""),-2.04014468641949)</f>
        <v>-2.040144686</v>
      </c>
      <c r="P177" s="134">
        <f>IFERROR(__xludf.DUMMYFUNCTION("""COMPUTED_VALUE"""),0.737235332624442)</f>
        <v>0.7372353326</v>
      </c>
      <c r="Q177" s="146">
        <f>IFERROR(__xludf.DUMMYFUNCTION("""COMPUTED_VALUE"""),0.3697849220046223)</f>
        <v>0.369784922</v>
      </c>
      <c r="R177" s="17"/>
      <c r="S177" s="17"/>
      <c r="T177" s="75"/>
      <c r="U177" s="75"/>
      <c r="V177" s="75"/>
      <c r="W177" s="75"/>
      <c r="X177" s="75"/>
    </row>
    <row r="178">
      <c r="A178" s="17"/>
      <c r="B178" s="17"/>
      <c r="C178" s="133"/>
      <c r="D178" s="133"/>
      <c r="E178" s="17"/>
      <c r="F178" s="133" t="str">
        <f>IFERROR(__xludf.DUMMYFUNCTION("""COMPUTED_VALUE"""),"Payton Pritchard")</f>
        <v>Payton Pritchard</v>
      </c>
      <c r="G178" s="133" t="str">
        <f>IFERROR(__xludf.DUMMYFUNCTION("""COMPUTED_VALUE"""),"2020-21")</f>
        <v>2020-21</v>
      </c>
      <c r="H178" s="133" t="str">
        <f>IFERROR(__xludf.DUMMYFUNCTION("""COMPUTED_VALUE"""),"BOS")</f>
        <v>BOS</v>
      </c>
      <c r="I178" s="145" t="str">
        <f>IFERROR(__xludf.DUMMYFUNCTION("""COMPUTED_VALUE"""),"Secondary Ball Handler")</f>
        <v>Secondary Ball Handler</v>
      </c>
      <c r="J178" s="145">
        <f>IFERROR(__xludf.DUMMYFUNCTION("""COMPUTED_VALUE"""),506.088333333333)</f>
        <v>506.0883333</v>
      </c>
      <c r="K178" s="133">
        <f>IFERROR(__xludf.DUMMYFUNCTION("""COMPUTED_VALUE"""),24.0)</f>
        <v>24</v>
      </c>
      <c r="L178" s="133" t="str">
        <f>IFERROR(__xludf.DUMMYFUNCTION("""COMPUTED_VALUE"""),"SG")</f>
        <v>SG</v>
      </c>
      <c r="M178" s="133">
        <f>IFERROR(__xludf.DUMMYFUNCTION("""COMPUTED_VALUE"""),23.0)</f>
        <v>23</v>
      </c>
      <c r="N178" s="134">
        <f>IFERROR(__xludf.DUMMYFUNCTION("""COMPUTED_VALUE"""),-1.20578282274251)</f>
        <v>-1.205782823</v>
      </c>
      <c r="O178" s="134">
        <f>IFERROR(__xludf.DUMMYFUNCTION("""COMPUTED_VALUE"""),-0.879729981425701)</f>
        <v>-0.8797299814</v>
      </c>
      <c r="P178" s="134">
        <f>IFERROR(__xludf.DUMMYFUNCTION("""COMPUTED_VALUE"""),-0.326052841316811)</f>
        <v>-0.3260528413</v>
      </c>
      <c r="Q178" s="146">
        <f>IFERROR(__xludf.DUMMYFUNCTION("""COMPUTED_VALUE"""),0.3696358409392288)</f>
        <v>0.3696358409</v>
      </c>
      <c r="R178" s="17"/>
      <c r="S178" s="17"/>
      <c r="T178" s="75"/>
      <c r="U178" s="75"/>
      <c r="V178" s="75"/>
      <c r="W178" s="75"/>
      <c r="X178" s="75"/>
    </row>
    <row r="179">
      <c r="A179" s="17"/>
      <c r="B179" s="17"/>
      <c r="C179" s="133"/>
      <c r="D179" s="133"/>
      <c r="E179" s="17"/>
      <c r="F179" s="133" t="str">
        <f>IFERROR(__xludf.DUMMYFUNCTION("""COMPUTED_VALUE"""),"Cam Reddish")</f>
        <v>Cam Reddish</v>
      </c>
      <c r="G179" s="133" t="str">
        <f>IFERROR(__xludf.DUMMYFUNCTION("""COMPUTED_VALUE"""),"2020-21")</f>
        <v>2020-21</v>
      </c>
      <c r="H179" s="133" t="str">
        <f>IFERROR(__xludf.DUMMYFUNCTION("""COMPUTED_VALUE"""),"ATL")</f>
        <v>ATL</v>
      </c>
      <c r="I179" s="145" t="str">
        <f>IFERROR(__xludf.DUMMYFUNCTION("""COMPUTED_VALUE"""),"Movement Shooter")</f>
        <v>Movement Shooter</v>
      </c>
      <c r="J179" s="145">
        <f>IFERROR(__xludf.DUMMYFUNCTION("""COMPUTED_VALUE"""),750.338333333333)</f>
        <v>750.3383333</v>
      </c>
      <c r="K179" s="133">
        <f>IFERROR(__xludf.DUMMYFUNCTION("""COMPUTED_VALUE"""),26.0)</f>
        <v>26</v>
      </c>
      <c r="L179" s="133" t="str">
        <f>IFERROR(__xludf.DUMMYFUNCTION("""COMPUTED_VALUE"""),"SF")</f>
        <v>SF</v>
      </c>
      <c r="M179" s="133">
        <f>IFERROR(__xludf.DUMMYFUNCTION("""COMPUTED_VALUE"""),21.0)</f>
        <v>21</v>
      </c>
      <c r="N179" s="134">
        <f>IFERROR(__xludf.DUMMYFUNCTION("""COMPUTED_VALUE"""),-1.56440506900733)</f>
        <v>-1.564405069</v>
      </c>
      <c r="O179" s="134">
        <f>IFERROR(__xludf.DUMMYFUNCTION("""COMPUTED_VALUE"""),-0.662634394757427)</f>
        <v>-0.6626343948</v>
      </c>
      <c r="P179" s="134">
        <f>IFERROR(__xludf.DUMMYFUNCTION("""COMPUTED_VALUE"""),-0.901770674249903)</f>
        <v>-0.9017706742</v>
      </c>
      <c r="Q179" s="146">
        <f>IFERROR(__xludf.DUMMYFUNCTION("""COMPUTED_VALUE"""),0.3680649509399552)</f>
        <v>0.3680649509</v>
      </c>
      <c r="R179" s="17"/>
      <c r="S179" s="17"/>
      <c r="T179" s="75"/>
      <c r="U179" s="75"/>
      <c r="V179" s="75"/>
      <c r="W179" s="75"/>
      <c r="X179" s="75"/>
    </row>
    <row r="180">
      <c r="A180" s="17"/>
      <c r="B180" s="17"/>
      <c r="C180" s="133"/>
      <c r="D180" s="133"/>
      <c r="E180" s="17"/>
      <c r="F180" s="133" t="str">
        <f>IFERROR(__xludf.DUMMYFUNCTION("""COMPUTED_VALUE"""),"Kenrich Williams")</f>
        <v>Kenrich Williams</v>
      </c>
      <c r="G180" s="133" t="str">
        <f>IFERROR(__xludf.DUMMYFUNCTION("""COMPUTED_VALUE"""),"2020-21")</f>
        <v>2020-21</v>
      </c>
      <c r="H180" s="133" t="str">
        <f>IFERROR(__xludf.DUMMYFUNCTION("""COMPUTED_VALUE"""),"OKC")</f>
        <v>OKC</v>
      </c>
      <c r="I180" s="145" t="str">
        <f>IFERROR(__xludf.DUMMYFUNCTION("""COMPUTED_VALUE"""),"Stretch Big")</f>
        <v>Stretch Big</v>
      </c>
      <c r="J180" s="145">
        <f>IFERROR(__xludf.DUMMYFUNCTION("""COMPUTED_VALUE"""),549.736666666666)</f>
        <v>549.7366667</v>
      </c>
      <c r="K180" s="133">
        <f>IFERROR(__xludf.DUMMYFUNCTION("""COMPUTED_VALUE"""),30.0)</f>
        <v>30</v>
      </c>
      <c r="L180" s="133" t="str">
        <f>IFERROR(__xludf.DUMMYFUNCTION("""COMPUTED_VALUE"""),"PF")</f>
        <v>PF</v>
      </c>
      <c r="M180" s="133">
        <f>IFERROR(__xludf.DUMMYFUNCTION("""COMPUTED_VALUE"""),26.0)</f>
        <v>26</v>
      </c>
      <c r="N180" s="134">
        <f>IFERROR(__xludf.DUMMYFUNCTION("""COMPUTED_VALUE"""),-1.31072095331383)</f>
        <v>-1.310720953</v>
      </c>
      <c r="O180" s="134">
        <f>IFERROR(__xludf.DUMMYFUNCTION("""COMPUTED_VALUE"""),-2.28023966708252)</f>
        <v>-2.280239667</v>
      </c>
      <c r="P180" s="134">
        <f>IFERROR(__xludf.DUMMYFUNCTION("""COMPUTED_VALUE"""),0.969518713768685)</f>
        <v>0.9695187138</v>
      </c>
      <c r="Q180" s="146">
        <f>IFERROR(__xludf.DUMMYFUNCTION("""COMPUTED_VALUE"""),0.36287837777331333)</f>
        <v>0.3628783778</v>
      </c>
      <c r="R180" s="17"/>
      <c r="S180" s="17"/>
      <c r="T180" s="75"/>
      <c r="U180" s="75"/>
      <c r="V180" s="75"/>
      <c r="W180" s="75"/>
      <c r="X180" s="75"/>
    </row>
    <row r="181">
      <c r="A181" s="17"/>
      <c r="B181" s="17"/>
      <c r="C181" s="133"/>
      <c r="D181" s="133"/>
      <c r="E181" s="17"/>
      <c r="F181" s="133" t="str">
        <f>IFERROR(__xludf.DUMMYFUNCTION("""COMPUTED_VALUE"""),"Jeff Green")</f>
        <v>Jeff Green</v>
      </c>
      <c r="G181" s="133" t="str">
        <f>IFERROR(__xludf.DUMMYFUNCTION("""COMPUTED_VALUE"""),"2020-21")</f>
        <v>2020-21</v>
      </c>
      <c r="H181" s="133" t="str">
        <f>IFERROR(__xludf.DUMMYFUNCTION("""COMPUTED_VALUE"""),"BRK")</f>
        <v>BRK</v>
      </c>
      <c r="I181" s="145" t="str">
        <f>IFERROR(__xludf.DUMMYFUNCTION("""COMPUTED_VALUE"""),"Stretch Big")</f>
        <v>Stretch Big</v>
      </c>
      <c r="J181" s="145">
        <f>IFERROR(__xludf.DUMMYFUNCTION("""COMPUTED_VALUE"""),847.858333333333)</f>
        <v>847.8583333</v>
      </c>
      <c r="K181" s="133">
        <f>IFERROR(__xludf.DUMMYFUNCTION("""COMPUTED_VALUE"""),32.0)</f>
        <v>32</v>
      </c>
      <c r="L181" s="133" t="str">
        <f>IFERROR(__xludf.DUMMYFUNCTION("""COMPUTED_VALUE"""),"PF")</f>
        <v>PF</v>
      </c>
      <c r="M181" s="133">
        <f>IFERROR(__xludf.DUMMYFUNCTION("""COMPUTED_VALUE"""),34.0)</f>
        <v>34</v>
      </c>
      <c r="N181" s="134">
        <f>IFERROR(__xludf.DUMMYFUNCTION("""COMPUTED_VALUE"""),-1.74435476425401)</f>
        <v>-1.744354764</v>
      </c>
      <c r="O181" s="134">
        <f>IFERROR(__xludf.DUMMYFUNCTION("""COMPUTED_VALUE"""),-0.176676124263832)</f>
        <v>-0.1766761243</v>
      </c>
      <c r="P181" s="134">
        <f>IFERROR(__xludf.DUMMYFUNCTION("""COMPUTED_VALUE"""),-1.56767863999018)</f>
        <v>-1.56767864</v>
      </c>
      <c r="Q181" s="146">
        <f>IFERROR(__xludf.DUMMYFUNCTION("""COMPUTED_VALUE"""),0.31420479839677046)</f>
        <v>0.3142047984</v>
      </c>
      <c r="R181" s="17"/>
      <c r="S181" s="17"/>
      <c r="T181" s="75"/>
      <c r="U181" s="75"/>
      <c r="V181" s="75"/>
      <c r="W181" s="75"/>
      <c r="X181" s="75"/>
    </row>
    <row r="182">
      <c r="A182" s="17"/>
      <c r="B182" s="17"/>
      <c r="C182" s="133"/>
      <c r="D182" s="133"/>
      <c r="E182" s="17"/>
      <c r="F182" s="133" t="str">
        <f>IFERROR(__xludf.DUMMYFUNCTION("""COMPUTED_VALUE"""),"Miles Bridges")</f>
        <v>Miles Bridges</v>
      </c>
      <c r="G182" s="133" t="str">
        <f>IFERROR(__xludf.DUMMYFUNCTION("""COMPUTED_VALUE"""),"2020-21")</f>
        <v>2020-21</v>
      </c>
      <c r="H182" s="133" t="str">
        <f>IFERROR(__xludf.DUMMYFUNCTION("""COMPUTED_VALUE"""),"CHO")</f>
        <v>CHO</v>
      </c>
      <c r="I182" s="145" t="str">
        <f>IFERROR(__xludf.DUMMYFUNCTION("""COMPUTED_VALUE"""),"Stretch Big")</f>
        <v>Stretch Big</v>
      </c>
      <c r="J182" s="145">
        <f>IFERROR(__xludf.DUMMYFUNCTION("""COMPUTED_VALUE"""),769.66)</f>
        <v>769.66</v>
      </c>
      <c r="K182" s="133">
        <f>IFERROR(__xludf.DUMMYFUNCTION("""COMPUTED_VALUE"""),29.0)</f>
        <v>29</v>
      </c>
      <c r="L182" s="133" t="str">
        <f>IFERROR(__xludf.DUMMYFUNCTION("""COMPUTED_VALUE"""),"PF")</f>
        <v>PF</v>
      </c>
      <c r="M182" s="133">
        <f>IFERROR(__xludf.DUMMYFUNCTION("""COMPUTED_VALUE"""),22.0)</f>
        <v>22</v>
      </c>
      <c r="N182" s="134">
        <f>IFERROR(__xludf.DUMMYFUNCTION("""COMPUTED_VALUE"""),-1.70441188219739)</f>
        <v>-1.704411882</v>
      </c>
      <c r="O182" s="134">
        <f>IFERROR(__xludf.DUMMYFUNCTION("""COMPUTED_VALUE"""),-1.54217086430575)</f>
        <v>-1.542170864</v>
      </c>
      <c r="P182" s="134">
        <f>IFERROR(__xludf.DUMMYFUNCTION("""COMPUTED_VALUE"""),-0.162241017891632)</f>
        <v>-0.1622410179</v>
      </c>
      <c r="Q182" s="146">
        <f>IFERROR(__xludf.DUMMYFUNCTION("""COMPUTED_VALUE"""),0.30569704383745216)</f>
        <v>0.3056970438</v>
      </c>
      <c r="R182" s="17"/>
      <c r="S182" s="17"/>
      <c r="T182" s="75"/>
      <c r="U182" s="75"/>
      <c r="V182" s="75"/>
      <c r="W182" s="75"/>
      <c r="X182" s="75"/>
    </row>
    <row r="183">
      <c r="A183" s="17"/>
      <c r="B183" s="17"/>
      <c r="C183" s="133"/>
      <c r="D183" s="133"/>
      <c r="E183" s="17"/>
      <c r="F183" s="133" t="str">
        <f>IFERROR(__xludf.DUMMYFUNCTION("""COMPUTED_VALUE"""),"Gary Trent Jr.")</f>
        <v>Gary Trent Jr.</v>
      </c>
      <c r="G183" s="133" t="str">
        <f>IFERROR(__xludf.DUMMYFUNCTION("""COMPUTED_VALUE"""),"2020-21")</f>
        <v>2020-21</v>
      </c>
      <c r="H183" s="133" t="str">
        <f>IFERROR(__xludf.DUMMYFUNCTION("""COMPUTED_VALUE"""),"POR")</f>
        <v>POR</v>
      </c>
      <c r="I183" s="145" t="str">
        <f>IFERROR(__xludf.DUMMYFUNCTION("""COMPUTED_VALUE"""),"Movement Shooter")</f>
        <v>Movement Shooter</v>
      </c>
      <c r="J183" s="145">
        <f>IFERROR(__xludf.DUMMYFUNCTION("""COMPUTED_VALUE"""),823.855)</f>
        <v>823.855</v>
      </c>
      <c r="K183" s="133">
        <f>IFERROR(__xludf.DUMMYFUNCTION("""COMPUTED_VALUE"""),27.0)</f>
        <v>27</v>
      </c>
      <c r="L183" s="133" t="str">
        <f>IFERROR(__xludf.DUMMYFUNCTION("""COMPUTED_VALUE"""),"SG")</f>
        <v>SG</v>
      </c>
      <c r="M183" s="133">
        <f>IFERROR(__xludf.DUMMYFUNCTION("""COMPUTED_VALUE"""),22.0)</f>
        <v>22</v>
      </c>
      <c r="N183" s="134">
        <f>IFERROR(__xludf.DUMMYFUNCTION("""COMPUTED_VALUE"""),-1.74809810142736)</f>
        <v>-1.748098101</v>
      </c>
      <c r="O183" s="134">
        <f>IFERROR(__xludf.DUMMYFUNCTION("""COMPUTED_VALUE"""),0.183164412027979)</f>
        <v>0.183164412</v>
      </c>
      <c r="P183" s="134">
        <f>IFERROR(__xludf.DUMMYFUNCTION("""COMPUTED_VALUE"""),-1.93126251345534)</f>
        <v>-1.931262513</v>
      </c>
      <c r="Q183" s="146">
        <f>IFERROR(__xludf.DUMMYFUNCTION("""COMPUTED_VALUE"""),0.30325651017236094)</f>
        <v>0.3032565102</v>
      </c>
      <c r="R183" s="17"/>
      <c r="S183" s="17"/>
      <c r="T183" s="75"/>
      <c r="U183" s="75"/>
      <c r="V183" s="75"/>
      <c r="W183" s="75"/>
      <c r="X183" s="75"/>
    </row>
    <row r="184">
      <c r="A184" s="17"/>
      <c r="B184" s="17"/>
      <c r="C184" s="133"/>
      <c r="D184" s="133"/>
      <c r="E184" s="17"/>
      <c r="F184" s="133" t="str">
        <f>IFERROR(__xludf.DUMMYFUNCTION("""COMPUTED_VALUE"""),"Eric Paschall")</f>
        <v>Eric Paschall</v>
      </c>
      <c r="G184" s="133" t="str">
        <f>IFERROR(__xludf.DUMMYFUNCTION("""COMPUTED_VALUE"""),"2020-21")</f>
        <v>2020-21</v>
      </c>
      <c r="H184" s="133" t="str">
        <f>IFERROR(__xludf.DUMMYFUNCTION("""COMPUTED_VALUE"""),"GSW")</f>
        <v>GSW</v>
      </c>
      <c r="I184" s="145" t="str">
        <f>IFERROR(__xludf.DUMMYFUNCTION("""COMPUTED_VALUE"""),"Roll + Cut Big")</f>
        <v>Roll + Cut Big</v>
      </c>
      <c r="J184" s="145">
        <f>IFERROR(__xludf.DUMMYFUNCTION("""COMPUTED_VALUE"""),501.581666666667)</f>
        <v>501.5816667</v>
      </c>
      <c r="K184" s="133">
        <f>IFERROR(__xludf.DUMMYFUNCTION("""COMPUTED_VALUE"""),28.0)</f>
        <v>28</v>
      </c>
      <c r="L184" s="133" t="str">
        <f>IFERROR(__xludf.DUMMYFUNCTION("""COMPUTED_VALUE"""),"PF")</f>
        <v>PF</v>
      </c>
      <c r="M184" s="133">
        <f>IFERROR(__xludf.DUMMYFUNCTION("""COMPUTED_VALUE"""),24.0)</f>
        <v>24</v>
      </c>
      <c r="N184" s="134">
        <f>IFERROR(__xludf.DUMMYFUNCTION("""COMPUTED_VALUE"""),-1.45755083881458)</f>
        <v>-1.457550839</v>
      </c>
      <c r="O184" s="134">
        <f>IFERROR(__xludf.DUMMYFUNCTION("""COMPUTED_VALUE"""),-0.0710028494651332)</f>
        <v>-0.07100284947</v>
      </c>
      <c r="P184" s="134">
        <f>IFERROR(__xludf.DUMMYFUNCTION("""COMPUTED_VALUE"""),-1.38654798934944)</f>
        <v>-1.386547989</v>
      </c>
      <c r="Q184" s="146">
        <f>IFERROR(__xludf.DUMMYFUNCTION("""COMPUTED_VALUE"""),0.281834031706489)</f>
        <v>0.2818340317</v>
      </c>
      <c r="R184" s="17"/>
      <c r="S184" s="17"/>
      <c r="T184" s="75"/>
      <c r="U184" s="75"/>
      <c r="V184" s="75"/>
      <c r="W184" s="75"/>
      <c r="X184" s="75"/>
    </row>
    <row r="185">
      <c r="A185" s="17"/>
      <c r="B185" s="17"/>
      <c r="C185" s="133"/>
      <c r="D185" s="133"/>
      <c r="E185" s="17"/>
      <c r="F185" s="133" t="str">
        <f>IFERROR(__xludf.DUMMYFUNCTION("""COMPUTED_VALUE"""),"Marcus Morris Sr.")</f>
        <v>Marcus Morris Sr.</v>
      </c>
      <c r="G185" s="133" t="str">
        <f>IFERROR(__xludf.DUMMYFUNCTION("""COMPUTED_VALUE"""),"2020-21")</f>
        <v>2020-21</v>
      </c>
      <c r="H185" s="133" t="str">
        <f>IFERROR(__xludf.DUMMYFUNCTION("""COMPUTED_VALUE"""),"LAC")</f>
        <v>LAC</v>
      </c>
      <c r="I185" s="145" t="str">
        <f>IFERROR(__xludf.DUMMYFUNCTION("""COMPUTED_VALUE"""),"Shot Creator")</f>
        <v>Shot Creator</v>
      </c>
      <c r="J185" s="145">
        <f>IFERROR(__xludf.DUMMYFUNCTION("""COMPUTED_VALUE"""),575.176666666667)</f>
        <v>575.1766667</v>
      </c>
      <c r="K185" s="133">
        <f>IFERROR(__xludf.DUMMYFUNCTION("""COMPUTED_VALUE"""),23.0)</f>
        <v>23</v>
      </c>
      <c r="L185" s="133" t="str">
        <f>IFERROR(__xludf.DUMMYFUNCTION("""COMPUTED_VALUE"""),"PF")</f>
        <v>PF</v>
      </c>
      <c r="M185" s="133">
        <f>IFERROR(__xludf.DUMMYFUNCTION("""COMPUTED_VALUE"""),31.0)</f>
        <v>31</v>
      </c>
      <c r="N185" s="134">
        <f>IFERROR(__xludf.DUMMYFUNCTION("""COMPUTED_VALUE"""),-1.60286853418744)</f>
        <v>-1.602868534</v>
      </c>
      <c r="O185" s="134">
        <f>IFERROR(__xludf.DUMMYFUNCTION("""COMPUTED_VALUE"""),0.389550056055564)</f>
        <v>0.3895500561</v>
      </c>
      <c r="P185" s="134">
        <f>IFERROR(__xludf.DUMMYFUNCTION("""COMPUTED_VALUE"""),-1.992418590243)</f>
        <v>-1.99241859</v>
      </c>
      <c r="Q185" s="146">
        <f>IFERROR(__xludf.DUMMYFUNCTION("""COMPUTED_VALUE"""),0.26738207755668925)</f>
        <v>0.2673820776</v>
      </c>
      <c r="R185" s="17"/>
      <c r="S185" s="17"/>
      <c r="T185" s="75"/>
      <c r="U185" s="75"/>
      <c r="V185" s="75"/>
      <c r="W185" s="75"/>
      <c r="X185" s="75"/>
    </row>
    <row r="186">
      <c r="A186" s="17"/>
      <c r="B186" s="17"/>
      <c r="C186" s="133"/>
      <c r="D186" s="133"/>
      <c r="E186" s="17"/>
      <c r="F186" s="133" t="str">
        <f>IFERROR(__xludf.DUMMYFUNCTION("""COMPUTED_VALUE"""),"D'Angelo Russell")</f>
        <v>D'Angelo Russell</v>
      </c>
      <c r="G186" s="133" t="str">
        <f>IFERROR(__xludf.DUMMYFUNCTION("""COMPUTED_VALUE"""),"2020-21")</f>
        <v>2020-21</v>
      </c>
      <c r="H186" s="133" t="str">
        <f>IFERROR(__xludf.DUMMYFUNCTION("""COMPUTED_VALUE"""),"MIN")</f>
        <v>MIN</v>
      </c>
      <c r="I186" s="145" t="str">
        <f>IFERROR(__xludf.DUMMYFUNCTION("""COMPUTED_VALUE"""),"Primary Ball Handler")</f>
        <v>Primary Ball Handler</v>
      </c>
      <c r="J186" s="145">
        <f>IFERROR(__xludf.DUMMYFUNCTION("""COMPUTED_VALUE"""),583.108333333333)</f>
        <v>583.1083333</v>
      </c>
      <c r="K186" s="133">
        <f>IFERROR(__xludf.DUMMYFUNCTION("""COMPUTED_VALUE"""),20.0)</f>
        <v>20</v>
      </c>
      <c r="L186" s="133" t="str">
        <f>IFERROR(__xludf.DUMMYFUNCTION("""COMPUTED_VALUE"""),"PG")</f>
        <v>PG</v>
      </c>
      <c r="M186" s="133">
        <f>IFERROR(__xludf.DUMMYFUNCTION("""COMPUTED_VALUE"""),24.0)</f>
        <v>24</v>
      </c>
      <c r="N186" s="134">
        <f>IFERROR(__xludf.DUMMYFUNCTION("""COMPUTED_VALUE"""),-1.61571160209146)</f>
        <v>-1.615711602</v>
      </c>
      <c r="O186" s="134">
        <f>IFERROR(__xludf.DUMMYFUNCTION("""COMPUTED_VALUE"""),0.672366991526669)</f>
        <v>0.6723669915</v>
      </c>
      <c r="P186" s="134">
        <f>IFERROR(__xludf.DUMMYFUNCTION("""COMPUTED_VALUE"""),-2.28807859361813)</f>
        <v>-2.288078594</v>
      </c>
      <c r="Q186" s="146">
        <f>IFERROR(__xludf.DUMMYFUNCTION("""COMPUTED_VALUE"""),0.2660744327080434)</f>
        <v>0.2660744327</v>
      </c>
      <c r="R186" s="17"/>
      <c r="S186" s="17"/>
      <c r="T186" s="75"/>
      <c r="U186" s="75"/>
      <c r="V186" s="75"/>
      <c r="W186" s="75"/>
      <c r="X186" s="75"/>
    </row>
    <row r="187">
      <c r="A187" s="17"/>
      <c r="B187" s="17"/>
      <c r="C187" s="133"/>
      <c r="D187" s="133"/>
      <c r="E187" s="17"/>
      <c r="F187" s="133" t="str">
        <f>IFERROR(__xludf.DUMMYFUNCTION("""COMPUTED_VALUE"""),"Desmond Bane")</f>
        <v>Desmond Bane</v>
      </c>
      <c r="G187" s="133" t="str">
        <f>IFERROR(__xludf.DUMMYFUNCTION("""COMPUTED_VALUE"""),"2020-21")</f>
        <v>2020-21</v>
      </c>
      <c r="H187" s="133" t="str">
        <f>IFERROR(__xludf.DUMMYFUNCTION("""COMPUTED_VALUE"""),"MEM")</f>
        <v>MEM</v>
      </c>
      <c r="I187" s="145" t="str">
        <f>IFERROR(__xludf.DUMMYFUNCTION("""COMPUTED_VALUE"""),"Movement Shooter")</f>
        <v>Movement Shooter</v>
      </c>
      <c r="J187" s="145">
        <f>IFERROR(__xludf.DUMMYFUNCTION("""COMPUTED_VALUE"""),505.581666666667)</f>
        <v>505.5816667</v>
      </c>
      <c r="K187" s="133">
        <f>IFERROR(__xludf.DUMMYFUNCTION("""COMPUTED_VALUE"""),22.0)</f>
        <v>22</v>
      </c>
      <c r="L187" s="133" t="str">
        <f>IFERROR(__xludf.DUMMYFUNCTION("""COMPUTED_VALUE"""),"SG")</f>
        <v>SG</v>
      </c>
      <c r="M187" s="133">
        <f>IFERROR(__xludf.DUMMYFUNCTION("""COMPUTED_VALUE"""),22.0)</f>
        <v>22</v>
      </c>
      <c r="N187" s="134">
        <f>IFERROR(__xludf.DUMMYFUNCTION("""COMPUTED_VALUE"""),-1.52402943044908)</f>
        <v>-1.52402943</v>
      </c>
      <c r="O187" s="134">
        <f>IFERROR(__xludf.DUMMYFUNCTION("""COMPUTED_VALUE"""),-0.777232293143589)</f>
        <v>-0.7772322931</v>
      </c>
      <c r="P187" s="134">
        <f>IFERROR(__xludf.DUMMYFUNCTION("""COMPUTED_VALUE"""),-0.746797137305488)</f>
        <v>-0.7467971373</v>
      </c>
      <c r="Q187" s="146">
        <f>IFERROR(__xludf.DUMMYFUNCTION("""COMPUTED_VALUE"""),0.26163045953132874)</f>
        <v>0.2616304595</v>
      </c>
      <c r="R187" s="17"/>
      <c r="S187" s="17"/>
      <c r="T187" s="75"/>
      <c r="U187" s="75"/>
      <c r="V187" s="75"/>
      <c r="W187" s="75"/>
      <c r="X187" s="75"/>
    </row>
    <row r="188">
      <c r="A188" s="17"/>
      <c r="B188" s="17"/>
      <c r="C188" s="133"/>
      <c r="D188" s="133"/>
      <c r="E188" s="17"/>
      <c r="F188" s="133" t="str">
        <f>IFERROR(__xludf.DUMMYFUNCTION("""COMPUTED_VALUE"""),"Wayne Ellington")</f>
        <v>Wayne Ellington</v>
      </c>
      <c r="G188" s="133" t="str">
        <f>IFERROR(__xludf.DUMMYFUNCTION("""COMPUTED_VALUE"""),"2020-21")</f>
        <v>2020-21</v>
      </c>
      <c r="H188" s="133" t="str">
        <f>IFERROR(__xludf.DUMMYFUNCTION("""COMPUTED_VALUE"""),"DET")</f>
        <v>DET</v>
      </c>
      <c r="I188" s="145" t="str">
        <f>IFERROR(__xludf.DUMMYFUNCTION("""COMPUTED_VALUE"""),"Movement Shooter")</f>
        <v>Movement Shooter</v>
      </c>
      <c r="J188" s="145">
        <f>IFERROR(__xludf.DUMMYFUNCTION("""COMPUTED_VALUE"""),524.858333333333)</f>
        <v>524.8583333</v>
      </c>
      <c r="K188" s="133">
        <f>IFERROR(__xludf.DUMMYFUNCTION("""COMPUTED_VALUE"""),23.0)</f>
        <v>23</v>
      </c>
      <c r="L188" s="133" t="str">
        <f>IFERROR(__xludf.DUMMYFUNCTION("""COMPUTED_VALUE"""),"SG")</f>
        <v>SG</v>
      </c>
      <c r="M188" s="133">
        <f>IFERROR(__xludf.DUMMYFUNCTION("""COMPUTED_VALUE"""),33.0)</f>
        <v>33</v>
      </c>
      <c r="N188" s="134">
        <f>IFERROR(__xludf.DUMMYFUNCTION("""COMPUTED_VALUE"""),-1.5752528613076)</f>
        <v>-1.575252861</v>
      </c>
      <c r="O188" s="134">
        <f>IFERROR(__xludf.DUMMYFUNCTION("""COMPUTED_VALUE"""),-0.241836989929809)</f>
        <v>-0.2418369899</v>
      </c>
      <c r="P188" s="134">
        <f>IFERROR(__xludf.DUMMYFUNCTION("""COMPUTED_VALUE"""),-1.33341587137779)</f>
        <v>-1.333415871</v>
      </c>
      <c r="Q188" s="146">
        <f>IFERROR(__xludf.DUMMYFUNCTION("""COMPUTED_VALUE"""),0.2536604185020082)</f>
        <v>0.2536604185</v>
      </c>
      <c r="R188" s="17"/>
      <c r="S188" s="17"/>
      <c r="T188" s="75"/>
      <c r="U188" s="75"/>
      <c r="V188" s="75"/>
      <c r="W188" s="75"/>
      <c r="X188" s="75"/>
    </row>
    <row r="189">
      <c r="A189" s="17"/>
      <c r="B189" s="17"/>
      <c r="C189" s="133"/>
      <c r="D189" s="133"/>
      <c r="E189" s="17"/>
      <c r="F189" s="133" t="str">
        <f>IFERROR(__xludf.DUMMYFUNCTION("""COMPUTED_VALUE"""),"Kendrick Nunn")</f>
        <v>Kendrick Nunn</v>
      </c>
      <c r="G189" s="133" t="str">
        <f>IFERROR(__xludf.DUMMYFUNCTION("""COMPUTED_VALUE"""),"2020-21")</f>
        <v>2020-21</v>
      </c>
      <c r="H189" s="133" t="str">
        <f>IFERROR(__xludf.DUMMYFUNCTION("""COMPUTED_VALUE"""),"MIA")</f>
        <v>MIA</v>
      </c>
      <c r="I189" s="145" t="str">
        <f>IFERROR(__xludf.DUMMYFUNCTION("""COMPUTED_VALUE"""),"Secondary Ball Handler")</f>
        <v>Secondary Ball Handler</v>
      </c>
      <c r="J189" s="145">
        <f>IFERROR(__xludf.DUMMYFUNCTION("""COMPUTED_VALUE"""),638.328333333333)</f>
        <v>638.3283333</v>
      </c>
      <c r="K189" s="133">
        <f>IFERROR(__xludf.DUMMYFUNCTION("""COMPUTED_VALUE"""),22.0)</f>
        <v>22</v>
      </c>
      <c r="L189" s="133" t="str">
        <f>IFERROR(__xludf.DUMMYFUNCTION("""COMPUTED_VALUE"""),"PG")</f>
        <v>PG</v>
      </c>
      <c r="M189" s="133">
        <f>IFERROR(__xludf.DUMMYFUNCTION("""COMPUTED_VALUE"""),25.0)</f>
        <v>25</v>
      </c>
      <c r="N189" s="134">
        <f>IFERROR(__xludf.DUMMYFUNCTION("""COMPUTED_VALUE"""),-1.70815047789657)</f>
        <v>-1.708150478</v>
      </c>
      <c r="O189" s="134">
        <f>IFERROR(__xludf.DUMMYFUNCTION("""COMPUTED_VALUE"""),-1.64888989558561)</f>
        <v>-1.648889896</v>
      </c>
      <c r="P189" s="134">
        <f>IFERROR(__xludf.DUMMYFUNCTION("""COMPUTED_VALUE"""),-0.059260582310959)</f>
        <v>-0.05926058231</v>
      </c>
      <c r="Q189" s="146">
        <f>IFERROR(__xludf.DUMMYFUNCTION("""COMPUTED_VALUE"""),0.2519445816222427)</f>
        <v>0.2519445816</v>
      </c>
      <c r="R189" s="17"/>
      <c r="S189" s="17"/>
      <c r="T189" s="75"/>
      <c r="U189" s="75"/>
      <c r="V189" s="75"/>
      <c r="W189" s="75"/>
      <c r="X189" s="75"/>
    </row>
    <row r="190">
      <c r="A190" s="17"/>
      <c r="B190" s="17"/>
      <c r="C190" s="133"/>
      <c r="D190" s="133"/>
      <c r="E190" s="17"/>
      <c r="F190" s="133" t="str">
        <f>IFERROR(__xludf.DUMMYFUNCTION("""COMPUTED_VALUE"""),"Semi Ojeleye")</f>
        <v>Semi Ojeleye</v>
      </c>
      <c r="G190" s="133" t="str">
        <f>IFERROR(__xludf.DUMMYFUNCTION("""COMPUTED_VALUE"""),"2020-21")</f>
        <v>2020-21</v>
      </c>
      <c r="H190" s="133" t="str">
        <f>IFERROR(__xludf.DUMMYFUNCTION("""COMPUTED_VALUE"""),"BOS")</f>
        <v>BOS</v>
      </c>
      <c r="I190" s="145" t="str">
        <f>IFERROR(__xludf.DUMMYFUNCTION("""COMPUTED_VALUE"""),"Stationary Shooter")</f>
        <v>Stationary Shooter</v>
      </c>
      <c r="J190" s="145">
        <f>IFERROR(__xludf.DUMMYFUNCTION("""COMPUTED_VALUE"""),562.05)</f>
        <v>562.05</v>
      </c>
      <c r="K190" s="133">
        <f>IFERROR(__xludf.DUMMYFUNCTION("""COMPUTED_VALUE"""),29.0)</f>
        <v>29</v>
      </c>
      <c r="L190" s="133" t="str">
        <f>IFERROR(__xludf.DUMMYFUNCTION("""COMPUTED_VALUE"""),"PF")</f>
        <v>PF</v>
      </c>
      <c r="M190" s="133">
        <f>IFERROR(__xludf.DUMMYFUNCTION("""COMPUTED_VALUE"""),26.0)</f>
        <v>26</v>
      </c>
      <c r="N190" s="134">
        <f>IFERROR(__xludf.DUMMYFUNCTION("""COMPUTED_VALUE"""),-1.65852921455697)</f>
        <v>-1.658529215</v>
      </c>
      <c r="O190" s="134">
        <f>IFERROR(__xludf.DUMMYFUNCTION("""COMPUTED_VALUE"""),-1.3419470029302)</f>
        <v>-1.341947003</v>
      </c>
      <c r="P190" s="134">
        <f>IFERROR(__xludf.DUMMYFUNCTION("""COMPUTED_VALUE"""),-0.316582211626771)</f>
        <v>-0.3165822116</v>
      </c>
      <c r="Q190" s="146">
        <f>IFERROR(__xludf.DUMMYFUNCTION("""COMPUTED_VALUE"""),0.2404205286264944)</f>
        <v>0.2404205286</v>
      </c>
      <c r="R190" s="17"/>
      <c r="S190" s="17"/>
      <c r="T190" s="75"/>
      <c r="U190" s="75"/>
      <c r="V190" s="75"/>
      <c r="W190" s="75"/>
      <c r="X190" s="75"/>
    </row>
    <row r="191">
      <c r="A191" s="17"/>
      <c r="B191" s="17"/>
      <c r="C191" s="133"/>
      <c r="D191" s="133"/>
      <c r="E191" s="17"/>
      <c r="F191" s="133" t="str">
        <f>IFERROR(__xludf.DUMMYFUNCTION("""COMPUTED_VALUE"""),"Saddiq Bey")</f>
        <v>Saddiq Bey</v>
      </c>
      <c r="G191" s="133" t="str">
        <f>IFERROR(__xludf.DUMMYFUNCTION("""COMPUTED_VALUE"""),"2020-21")</f>
        <v>2020-21</v>
      </c>
      <c r="H191" s="133" t="str">
        <f>IFERROR(__xludf.DUMMYFUNCTION("""COMPUTED_VALUE"""),"DET")</f>
        <v>DET</v>
      </c>
      <c r="I191" s="145" t="str">
        <f>IFERROR(__xludf.DUMMYFUNCTION("""COMPUTED_VALUE"""),"Movement Shooter")</f>
        <v>Movement Shooter</v>
      </c>
      <c r="J191" s="145">
        <f>IFERROR(__xludf.DUMMYFUNCTION("""COMPUTED_VALUE"""),590.788333333333)</f>
        <v>590.7883333</v>
      </c>
      <c r="K191" s="133">
        <f>IFERROR(__xludf.DUMMYFUNCTION("""COMPUTED_VALUE"""),28.0)</f>
        <v>28</v>
      </c>
      <c r="L191" s="133" t="str">
        <f>IFERROR(__xludf.DUMMYFUNCTION("""COMPUTED_VALUE"""),"SF")</f>
        <v>SF</v>
      </c>
      <c r="M191" s="133">
        <f>IFERROR(__xludf.DUMMYFUNCTION("""COMPUTED_VALUE"""),21.0)</f>
        <v>21</v>
      </c>
      <c r="N191" s="134">
        <f>IFERROR(__xludf.DUMMYFUNCTION("""COMPUTED_VALUE"""),-1.69259402769296)</f>
        <v>-1.692594028</v>
      </c>
      <c r="O191" s="134">
        <f>IFERROR(__xludf.DUMMYFUNCTION("""COMPUTED_VALUE"""),-1.14279761579294)</f>
        <v>-1.142797616</v>
      </c>
      <c r="P191" s="134">
        <f>IFERROR(__xludf.DUMMYFUNCTION("""COMPUTED_VALUE"""),-0.549796411900025)</f>
        <v>-0.5497964119</v>
      </c>
      <c r="Q191" s="146">
        <f>IFERROR(__xludf.DUMMYFUNCTION("""COMPUTED_VALUE"""),0.23930293383743928)</f>
        <v>0.2393029338</v>
      </c>
      <c r="R191" s="17"/>
      <c r="S191" s="17"/>
      <c r="T191" s="75"/>
      <c r="U191" s="75"/>
      <c r="V191" s="75"/>
      <c r="W191" s="75"/>
      <c r="X191" s="75"/>
    </row>
    <row r="192">
      <c r="A192" s="17"/>
      <c r="B192" s="17"/>
      <c r="C192" s="133"/>
      <c r="D192" s="133"/>
      <c r="E192" s="17"/>
      <c r="F192" s="133" t="str">
        <f>IFERROR(__xludf.DUMMYFUNCTION("""COMPUTED_VALUE"""),"Kevin Huerter")</f>
        <v>Kevin Huerter</v>
      </c>
      <c r="G192" s="133" t="str">
        <f>IFERROR(__xludf.DUMMYFUNCTION("""COMPUTED_VALUE"""),"2020-21")</f>
        <v>2020-21</v>
      </c>
      <c r="H192" s="133" t="str">
        <f>IFERROR(__xludf.DUMMYFUNCTION("""COMPUTED_VALUE"""),"ATL")</f>
        <v>ATL</v>
      </c>
      <c r="I192" s="145" t="str">
        <f>IFERROR(__xludf.DUMMYFUNCTION("""COMPUTED_VALUE"""),"Movement Shooter")</f>
        <v>Movement Shooter</v>
      </c>
      <c r="J192" s="145">
        <f>IFERROR(__xludf.DUMMYFUNCTION("""COMPUTED_VALUE"""),951.088333333333)</f>
        <v>951.0883333</v>
      </c>
      <c r="K192" s="133">
        <f>IFERROR(__xludf.DUMMYFUNCTION("""COMPUTED_VALUE"""),30.0)</f>
        <v>30</v>
      </c>
      <c r="L192" s="133" t="str">
        <f>IFERROR(__xludf.DUMMYFUNCTION("""COMPUTED_VALUE"""),"SG")</f>
        <v>SG</v>
      </c>
      <c r="M192" s="133">
        <f>IFERROR(__xludf.DUMMYFUNCTION("""COMPUTED_VALUE"""),22.0)</f>
        <v>22</v>
      </c>
      <c r="N192" s="134">
        <f>IFERROR(__xludf.DUMMYFUNCTION("""COMPUTED_VALUE"""),-1.95285033754137)</f>
        <v>-1.952850338</v>
      </c>
      <c r="O192" s="134">
        <f>IFERROR(__xludf.DUMMYFUNCTION("""COMPUTED_VALUE"""),-0.417208359774983)</f>
        <v>-0.4172083598</v>
      </c>
      <c r="P192" s="134">
        <f>IFERROR(__xludf.DUMMYFUNCTION("""COMPUTED_VALUE"""),-1.53564197776638)</f>
        <v>-1.535641978</v>
      </c>
      <c r="Q192" s="146">
        <f>IFERROR(__xludf.DUMMYFUNCTION("""COMPUTED_VALUE"""),0.22065815620244109)</f>
        <v>0.2206581562</v>
      </c>
      <c r="R192" s="17"/>
      <c r="S192" s="17"/>
      <c r="T192" s="75"/>
      <c r="U192" s="75"/>
      <c r="V192" s="75"/>
      <c r="W192" s="75"/>
      <c r="X192" s="75"/>
    </row>
    <row r="193">
      <c r="A193" s="17"/>
      <c r="B193" s="17"/>
      <c r="C193" s="133"/>
      <c r="D193" s="133"/>
      <c r="E193" s="17"/>
      <c r="F193" s="133" t="str">
        <f>IFERROR(__xludf.DUMMYFUNCTION("""COMPUTED_VALUE"""),"Carmelo Anthony")</f>
        <v>Carmelo Anthony</v>
      </c>
      <c r="G193" s="133" t="str">
        <f>IFERROR(__xludf.DUMMYFUNCTION("""COMPUTED_VALUE"""),"2020-21")</f>
        <v>2020-21</v>
      </c>
      <c r="H193" s="133" t="str">
        <f>IFERROR(__xludf.DUMMYFUNCTION("""COMPUTED_VALUE"""),"POR")</f>
        <v>POR</v>
      </c>
      <c r="I193" s="145" t="str">
        <f>IFERROR(__xludf.DUMMYFUNCTION("""COMPUTED_VALUE"""),"Versatile Big")</f>
        <v>Versatile Big</v>
      </c>
      <c r="J193" s="145">
        <f>IFERROR(__xludf.DUMMYFUNCTION("""COMPUTED_VALUE"""),708.066666666666)</f>
        <v>708.0666667</v>
      </c>
      <c r="K193" s="133">
        <f>IFERROR(__xludf.DUMMYFUNCTION("""COMPUTED_VALUE"""),28.0)</f>
        <v>28</v>
      </c>
      <c r="L193" s="133" t="str">
        <f>IFERROR(__xludf.DUMMYFUNCTION("""COMPUTED_VALUE"""),"PF")</f>
        <v>PF</v>
      </c>
      <c r="M193" s="133">
        <f>IFERROR(__xludf.DUMMYFUNCTION("""COMPUTED_VALUE"""),36.0)</f>
        <v>36</v>
      </c>
      <c r="N193" s="134">
        <f>IFERROR(__xludf.DUMMYFUNCTION("""COMPUTED_VALUE"""),-1.87150495770606)</f>
        <v>-1.871504958</v>
      </c>
      <c r="O193" s="134">
        <f>IFERROR(__xludf.DUMMYFUNCTION("""COMPUTED_VALUE"""),-0.753699395408478)</f>
        <v>-0.7536993954</v>
      </c>
      <c r="P193" s="134">
        <f>IFERROR(__xludf.DUMMYFUNCTION("""COMPUTED_VALUE"""),-1.11780556229759)</f>
        <v>-1.117805562</v>
      </c>
      <c r="Q193" s="146">
        <f>IFERROR(__xludf.DUMMYFUNCTION("""COMPUTED_VALUE"""),0.20252176431278565)</f>
        <v>0.2025217643</v>
      </c>
      <c r="R193" s="17"/>
      <c r="S193" s="17"/>
      <c r="T193" s="75"/>
      <c r="U193" s="75"/>
      <c r="V193" s="75"/>
      <c r="W193" s="75"/>
      <c r="X193" s="75"/>
    </row>
    <row r="194">
      <c r="A194" s="17"/>
      <c r="B194" s="17"/>
      <c r="C194" s="133"/>
      <c r="D194" s="133"/>
      <c r="E194" s="17"/>
      <c r="F194" s="133" t="str">
        <f>IFERROR(__xludf.DUMMYFUNCTION("""COMPUTED_VALUE"""),"Bryn Forbes")</f>
        <v>Bryn Forbes</v>
      </c>
      <c r="G194" s="133" t="str">
        <f>IFERROR(__xludf.DUMMYFUNCTION("""COMPUTED_VALUE"""),"2020-21")</f>
        <v>2020-21</v>
      </c>
      <c r="H194" s="133" t="str">
        <f>IFERROR(__xludf.DUMMYFUNCTION("""COMPUTED_VALUE"""),"MIL")</f>
        <v>MIL</v>
      </c>
      <c r="I194" s="145" t="str">
        <f>IFERROR(__xludf.DUMMYFUNCTION("""COMPUTED_VALUE"""),"Movement Shooter")</f>
        <v>Movement Shooter</v>
      </c>
      <c r="J194" s="145">
        <f>IFERROR(__xludf.DUMMYFUNCTION("""COMPUTED_VALUE"""),587.013333333333)</f>
        <v>587.0133333</v>
      </c>
      <c r="K194" s="133">
        <f>IFERROR(__xludf.DUMMYFUNCTION("""COMPUTED_VALUE"""),31.0)</f>
        <v>31</v>
      </c>
      <c r="L194" s="133" t="str">
        <f>IFERROR(__xludf.DUMMYFUNCTION("""COMPUTED_VALUE"""),"SG")</f>
        <v>SG</v>
      </c>
      <c r="M194" s="133">
        <f>IFERROR(__xludf.DUMMYFUNCTION("""COMPUTED_VALUE"""),27.0)</f>
        <v>27</v>
      </c>
      <c r="N194" s="134">
        <f>IFERROR(__xludf.DUMMYFUNCTION("""COMPUTED_VALUE"""),-1.78704816855825)</f>
        <v>-1.787048169</v>
      </c>
      <c r="O194" s="134">
        <f>IFERROR(__xludf.DUMMYFUNCTION("""COMPUTED_VALUE"""),-0.231787169433687)</f>
        <v>-0.2317871694</v>
      </c>
      <c r="P194" s="134">
        <f>IFERROR(__xludf.DUMMYFUNCTION("""COMPUTED_VALUE"""),-1.55526099912456)</f>
        <v>-1.555260999</v>
      </c>
      <c r="Q194" s="146">
        <f>IFERROR(__xludf.DUMMYFUNCTION("""COMPUTED_VALUE"""),0.2008605681493079)</f>
        <v>0.2008605681</v>
      </c>
      <c r="R194" s="17"/>
      <c r="S194" s="17"/>
      <c r="T194" s="75"/>
      <c r="U194" s="75"/>
      <c r="V194" s="75"/>
      <c r="W194" s="75"/>
      <c r="X194" s="75"/>
    </row>
    <row r="195">
      <c r="A195" s="17"/>
      <c r="B195" s="17"/>
      <c r="C195" s="133"/>
      <c r="D195" s="133"/>
      <c r="E195" s="17"/>
      <c r="F195" s="133" t="str">
        <f>IFERROR(__xludf.DUMMYFUNCTION("""COMPUTED_VALUE"""),"Terrence Ross")</f>
        <v>Terrence Ross</v>
      </c>
      <c r="G195" s="133" t="str">
        <f>IFERROR(__xludf.DUMMYFUNCTION("""COMPUTED_VALUE"""),"2020-21")</f>
        <v>2020-21</v>
      </c>
      <c r="H195" s="133" t="str">
        <f>IFERROR(__xludf.DUMMYFUNCTION("""COMPUTED_VALUE"""),"ORL")</f>
        <v>ORL</v>
      </c>
      <c r="I195" s="145" t="str">
        <f>IFERROR(__xludf.DUMMYFUNCTION("""COMPUTED_VALUE"""),"Off Screen Shooter")</f>
        <v>Off Screen Shooter</v>
      </c>
      <c r="J195" s="145">
        <f>IFERROR(__xludf.DUMMYFUNCTION("""COMPUTED_VALUE"""),870.003333333334)</f>
        <v>870.0033333</v>
      </c>
      <c r="K195" s="133">
        <f>IFERROR(__xludf.DUMMYFUNCTION("""COMPUTED_VALUE"""),30.0)</f>
        <v>30</v>
      </c>
      <c r="L195" s="133" t="str">
        <f>IFERROR(__xludf.DUMMYFUNCTION("""COMPUTED_VALUE"""),"SG")</f>
        <v>SG</v>
      </c>
      <c r="M195" s="133">
        <f>IFERROR(__xludf.DUMMYFUNCTION("""COMPUTED_VALUE"""),29.0)</f>
        <v>29</v>
      </c>
      <c r="N195" s="134">
        <f>IFERROR(__xludf.DUMMYFUNCTION("""COMPUTED_VALUE"""),-2.07577815692103)</f>
        <v>-2.075778157</v>
      </c>
      <c r="O195" s="134">
        <f>IFERROR(__xludf.DUMMYFUNCTION("""COMPUTED_VALUE"""),-1.37743931346477)</f>
        <v>-1.377439313</v>
      </c>
      <c r="P195" s="134">
        <f>IFERROR(__xludf.DUMMYFUNCTION("""COMPUTED_VALUE"""),-0.698338843456257)</f>
        <v>-0.6983388435</v>
      </c>
      <c r="Q195" s="146">
        <f>IFERROR(__xludf.DUMMYFUNCTION("""COMPUTED_VALUE"""),0.13094896945801068)</f>
        <v>0.1309489695</v>
      </c>
      <c r="R195" s="17"/>
      <c r="S195" s="17"/>
      <c r="T195" s="75"/>
      <c r="U195" s="75"/>
      <c r="V195" s="75"/>
      <c r="W195" s="75"/>
      <c r="X195" s="75"/>
    </row>
    <row r="196">
      <c r="A196" s="17"/>
      <c r="B196" s="17"/>
      <c r="C196" s="133"/>
      <c r="D196" s="133"/>
      <c r="E196" s="17"/>
      <c r="F196" s="133" t="str">
        <f>IFERROR(__xludf.DUMMYFUNCTION("""COMPUTED_VALUE"""),"Timothe Luwawu-Cabarrot")</f>
        <v>Timothe Luwawu-Cabarrot</v>
      </c>
      <c r="G196" s="133" t="str">
        <f>IFERROR(__xludf.DUMMYFUNCTION("""COMPUTED_VALUE"""),"2020-21")</f>
        <v>2020-21</v>
      </c>
      <c r="H196" s="133" t="str">
        <f>IFERROR(__xludf.DUMMYFUNCTION("""COMPUTED_VALUE"""),"BRK")</f>
        <v>BRK</v>
      </c>
      <c r="I196" s="145" t="str">
        <f>IFERROR(__xludf.DUMMYFUNCTION("""COMPUTED_VALUE"""),"Stationary Shooter")</f>
        <v>Stationary Shooter</v>
      </c>
      <c r="J196" s="145">
        <f>IFERROR(__xludf.DUMMYFUNCTION("""COMPUTED_VALUE"""),622.341666666667)</f>
        <v>622.3416667</v>
      </c>
      <c r="K196" s="133">
        <f>IFERROR(__xludf.DUMMYFUNCTION("""COMPUTED_VALUE"""),32.0)</f>
        <v>32</v>
      </c>
      <c r="L196" s="133" t="str">
        <f>IFERROR(__xludf.DUMMYFUNCTION("""COMPUTED_VALUE"""),"SF")</f>
        <v>SF</v>
      </c>
      <c r="M196" s="133">
        <f>IFERROR(__xludf.DUMMYFUNCTION("""COMPUTED_VALUE"""),25.0)</f>
        <v>25</v>
      </c>
      <c r="N196" s="134">
        <f>IFERROR(__xludf.DUMMYFUNCTION("""COMPUTED_VALUE"""),-2.00476107192831)</f>
        <v>-2.004761072</v>
      </c>
      <c r="O196" s="134">
        <f>IFERROR(__xludf.DUMMYFUNCTION("""COMPUTED_VALUE"""),-0.367315122986214)</f>
        <v>-0.367315123</v>
      </c>
      <c r="P196" s="134">
        <f>IFERROR(__xludf.DUMMYFUNCTION("""COMPUTED_VALUE"""),-1.6374459489421)</f>
        <v>-1.637445949</v>
      </c>
      <c r="Q196" s="146">
        <f>IFERROR(__xludf.DUMMYFUNCTION("""COMPUTED_VALUE"""),0.12295807950121163)</f>
        <v>0.1229580795</v>
      </c>
      <c r="R196" s="17"/>
      <c r="S196" s="17"/>
      <c r="T196" s="75"/>
      <c r="U196" s="75"/>
      <c r="V196" s="75"/>
      <c r="W196" s="75"/>
      <c r="X196" s="75"/>
    </row>
    <row r="197">
      <c r="A197" s="17"/>
      <c r="B197" s="17"/>
      <c r="C197" s="133"/>
      <c r="D197" s="133"/>
      <c r="E197" s="17"/>
      <c r="F197" s="133" t="str">
        <f>IFERROR(__xludf.DUMMYFUNCTION("""COMPUTED_VALUE"""),"Aron Baynes")</f>
        <v>Aron Baynes</v>
      </c>
      <c r="G197" s="133" t="str">
        <f>IFERROR(__xludf.DUMMYFUNCTION("""COMPUTED_VALUE"""),"2020-21")</f>
        <v>2020-21</v>
      </c>
      <c r="H197" s="133" t="str">
        <f>IFERROR(__xludf.DUMMYFUNCTION("""COMPUTED_VALUE"""),"TOR")</f>
        <v>TOR</v>
      </c>
      <c r="I197" s="145" t="str">
        <f>IFERROR(__xludf.DUMMYFUNCTION("""COMPUTED_VALUE"""),"Stretch Big")</f>
        <v>Stretch Big</v>
      </c>
      <c r="J197" s="145">
        <f>IFERROR(__xludf.DUMMYFUNCTION("""COMPUTED_VALUE"""),533.525)</f>
        <v>533.525</v>
      </c>
      <c r="K197" s="133">
        <f>IFERROR(__xludf.DUMMYFUNCTION("""COMPUTED_VALUE"""),28.0)</f>
        <v>28</v>
      </c>
      <c r="L197" s="133" t="str">
        <f>IFERROR(__xludf.DUMMYFUNCTION("""COMPUTED_VALUE"""),"C")</f>
        <v>C</v>
      </c>
      <c r="M197" s="133">
        <f>IFERROR(__xludf.DUMMYFUNCTION("""COMPUTED_VALUE"""),34.0)</f>
        <v>34</v>
      </c>
      <c r="N197" s="134">
        <f>IFERROR(__xludf.DUMMYFUNCTION("""COMPUTED_VALUE"""),-1.96528525967838)</f>
        <v>-1.96528526</v>
      </c>
      <c r="O197" s="134">
        <f>IFERROR(__xludf.DUMMYFUNCTION("""COMPUTED_VALUE"""),-2.24800574115193)</f>
        <v>-2.248005741</v>
      </c>
      <c r="P197" s="134">
        <f>IFERROR(__xludf.DUMMYFUNCTION("""COMPUTED_VALUE"""),0.282720481473557)</f>
        <v>0.2827204815</v>
      </c>
      <c r="Q197" s="146">
        <f>IFERROR(__xludf.DUMMYFUNCTION("""COMPUTED_VALUE"""),0.11937895859904939)</f>
        <v>0.1193789586</v>
      </c>
      <c r="R197" s="17"/>
      <c r="S197" s="17"/>
      <c r="T197" s="75"/>
      <c r="U197" s="75"/>
      <c r="V197" s="75"/>
      <c r="W197" s="75"/>
      <c r="X197" s="75"/>
    </row>
    <row r="198">
      <c r="A198" s="17"/>
      <c r="B198" s="17"/>
      <c r="C198" s="133"/>
      <c r="D198" s="133"/>
      <c r="E198" s="17"/>
      <c r="F198" s="133" t="str">
        <f>IFERROR(__xludf.DUMMYFUNCTION("""COMPUTED_VALUE"""),"Landry Shamet")</f>
        <v>Landry Shamet</v>
      </c>
      <c r="G198" s="133" t="str">
        <f>IFERROR(__xludf.DUMMYFUNCTION("""COMPUTED_VALUE"""),"2020-21")</f>
        <v>2020-21</v>
      </c>
      <c r="H198" s="133" t="str">
        <f>IFERROR(__xludf.DUMMYFUNCTION("""COMPUTED_VALUE"""),"BRK")</f>
        <v>BRK</v>
      </c>
      <c r="I198" s="145" t="str">
        <f>IFERROR(__xludf.DUMMYFUNCTION("""COMPUTED_VALUE"""),"Movement Shooter")</f>
        <v>Movement Shooter</v>
      </c>
      <c r="J198" s="145">
        <f>IFERROR(__xludf.DUMMYFUNCTION("""COMPUTED_VALUE"""),531.218333333334)</f>
        <v>531.2183333</v>
      </c>
      <c r="K198" s="133">
        <f>IFERROR(__xludf.DUMMYFUNCTION("""COMPUTED_VALUE"""),28.0)</f>
        <v>28</v>
      </c>
      <c r="L198" s="133" t="str">
        <f>IFERROR(__xludf.DUMMYFUNCTION("""COMPUTED_VALUE"""),"SG")</f>
        <v>SG</v>
      </c>
      <c r="M198" s="133">
        <f>IFERROR(__xludf.DUMMYFUNCTION("""COMPUTED_VALUE"""),23.0)</f>
        <v>23</v>
      </c>
      <c r="N198" s="134">
        <f>IFERROR(__xludf.DUMMYFUNCTION("""COMPUTED_VALUE"""),-1.97046206367521)</f>
        <v>-1.970462064</v>
      </c>
      <c r="O198" s="134">
        <f>IFERROR(__xludf.DUMMYFUNCTION("""COMPUTED_VALUE"""),-0.253195785916167)</f>
        <v>-0.2531957859</v>
      </c>
      <c r="P198" s="134">
        <f>IFERROR(__xludf.DUMMYFUNCTION("""COMPUTED_VALUE"""),-1.71726627775905)</f>
        <v>-1.717266278</v>
      </c>
      <c r="Q198" s="146">
        <f>IFERROR(__xludf.DUMMYFUNCTION("""COMPUTED_VALUE"""),0.11703840299602465)</f>
        <v>0.117038403</v>
      </c>
      <c r="R198" s="17"/>
      <c r="S198" s="17"/>
      <c r="T198" s="75"/>
      <c r="U198" s="75"/>
      <c r="V198" s="75"/>
      <c r="W198" s="75"/>
      <c r="X198" s="75"/>
    </row>
    <row r="199">
      <c r="A199" s="17"/>
      <c r="B199" s="17"/>
      <c r="C199" s="133"/>
      <c r="D199" s="133"/>
      <c r="E199" s="17"/>
      <c r="F199" s="133" t="str">
        <f>IFERROR(__xludf.DUMMYFUNCTION("""COMPUTED_VALUE"""),"Reggie Bullock")</f>
        <v>Reggie Bullock</v>
      </c>
      <c r="G199" s="133" t="str">
        <f>IFERROR(__xludf.DUMMYFUNCTION("""COMPUTED_VALUE"""),"2020-21")</f>
        <v>2020-21</v>
      </c>
      <c r="H199" s="133" t="str">
        <f>IFERROR(__xludf.DUMMYFUNCTION("""COMPUTED_VALUE"""),"NYK")</f>
        <v>NYK</v>
      </c>
      <c r="I199" s="145" t="str">
        <f>IFERROR(__xludf.DUMMYFUNCTION("""COMPUTED_VALUE"""),"Stationary Shooter")</f>
        <v>Stationary Shooter</v>
      </c>
      <c r="J199" s="145">
        <f>IFERROR(__xludf.DUMMYFUNCTION("""COMPUTED_VALUE"""),700.001666666667)</f>
        <v>700.0016667</v>
      </c>
      <c r="K199" s="133">
        <f>IFERROR(__xludf.DUMMYFUNCTION("""COMPUTED_VALUE"""),26.0)</f>
        <v>26</v>
      </c>
      <c r="L199" s="133" t="str">
        <f>IFERROR(__xludf.DUMMYFUNCTION("""COMPUTED_VALUE"""),"SF")</f>
        <v>SF</v>
      </c>
      <c r="M199" s="133">
        <f>IFERROR(__xludf.DUMMYFUNCTION("""COMPUTED_VALUE"""),29.0)</f>
        <v>29</v>
      </c>
      <c r="N199" s="134">
        <f>IFERROR(__xludf.DUMMYFUNCTION("""COMPUTED_VALUE"""),-2.05354168535147)</f>
        <v>-2.053541685</v>
      </c>
      <c r="O199" s="134">
        <f>IFERROR(__xludf.DUMMYFUNCTION("""COMPUTED_VALUE"""),-1.80152806956799)</f>
        <v>-1.80152807</v>
      </c>
      <c r="P199" s="134">
        <f>IFERROR(__xludf.DUMMYFUNCTION("""COMPUTED_VALUE"""),-0.252013615783482)</f>
        <v>-0.2520136158</v>
      </c>
      <c r="Q199" s="146">
        <f>IFERROR(__xludf.DUMMYFUNCTION("""COMPUTED_VALUE"""),0.1156709794284872)</f>
        <v>0.1156709794</v>
      </c>
      <c r="R199" s="17"/>
      <c r="S199" s="17"/>
      <c r="T199" s="75"/>
      <c r="U199" s="75"/>
      <c r="V199" s="75"/>
      <c r="W199" s="75"/>
      <c r="X199" s="75"/>
    </row>
    <row r="200">
      <c r="A200" s="17"/>
      <c r="B200" s="17"/>
      <c r="C200" s="133"/>
      <c r="D200" s="133"/>
      <c r="E200" s="17"/>
      <c r="F200" s="133" t="str">
        <f>IFERROR(__xludf.DUMMYFUNCTION("""COMPUTED_VALUE"""),"Andre Iguodala")</f>
        <v>Andre Iguodala</v>
      </c>
      <c r="G200" s="133" t="str">
        <f>IFERROR(__xludf.DUMMYFUNCTION("""COMPUTED_VALUE"""),"2020-21")</f>
        <v>2020-21</v>
      </c>
      <c r="H200" s="133" t="str">
        <f>IFERROR(__xludf.DUMMYFUNCTION("""COMPUTED_VALUE"""),"MIA")</f>
        <v>MIA</v>
      </c>
      <c r="I200" s="145" t="str">
        <f>IFERROR(__xludf.DUMMYFUNCTION("""COMPUTED_VALUE"""),"Stationary Shooter")</f>
        <v>Stationary Shooter</v>
      </c>
      <c r="J200" s="145">
        <f>IFERROR(__xludf.DUMMYFUNCTION("""COMPUTED_VALUE"""),599.593333333333)</f>
        <v>599.5933333</v>
      </c>
      <c r="K200" s="133">
        <f>IFERROR(__xludf.DUMMYFUNCTION("""COMPUTED_VALUE"""),28.0)</f>
        <v>28</v>
      </c>
      <c r="L200" s="133" t="str">
        <f>IFERROR(__xludf.DUMMYFUNCTION("""COMPUTED_VALUE"""),"SF")</f>
        <v>SF</v>
      </c>
      <c r="M200" s="133">
        <f>IFERROR(__xludf.DUMMYFUNCTION("""COMPUTED_VALUE"""),37.0)</f>
        <v>37</v>
      </c>
      <c r="N200" s="134">
        <f>IFERROR(__xludf.DUMMYFUNCTION("""COMPUTED_VALUE"""),-2.01672810338791)</f>
        <v>-2.016728103</v>
      </c>
      <c r="O200" s="134">
        <f>IFERROR(__xludf.DUMMYFUNCTION("""COMPUTED_VALUE"""),-2.71758633110536)</f>
        <v>-2.717586331</v>
      </c>
      <c r="P200" s="134">
        <f>IFERROR(__xludf.DUMMYFUNCTION("""COMPUTED_VALUE"""),0.700858227717441)</f>
        <v>0.7008582277</v>
      </c>
      <c r="Q200" s="146">
        <f>IFERROR(__xludf.DUMMYFUNCTION("""COMPUTED_VALUE"""),0.11370667436577094)</f>
        <v>0.1137066744</v>
      </c>
      <c r="R200" s="17"/>
      <c r="S200" s="17"/>
      <c r="T200" s="75"/>
      <c r="U200" s="75"/>
      <c r="V200" s="75"/>
      <c r="W200" s="75"/>
      <c r="X200" s="75"/>
    </row>
    <row r="201">
      <c r="A201" s="17"/>
      <c r="B201" s="17"/>
      <c r="C201" s="133"/>
      <c r="D201" s="133"/>
      <c r="E201" s="17"/>
      <c r="F201" s="133" t="str">
        <f>IFERROR(__xludf.DUMMYFUNCTION("""COMPUTED_VALUE"""),"Cole Anthony")</f>
        <v>Cole Anthony</v>
      </c>
      <c r="G201" s="133" t="str">
        <f>IFERROR(__xludf.DUMMYFUNCTION("""COMPUTED_VALUE"""),"2020-21")</f>
        <v>2020-21</v>
      </c>
      <c r="H201" s="133" t="str">
        <f>IFERROR(__xludf.DUMMYFUNCTION("""COMPUTED_VALUE"""),"ORL")</f>
        <v>ORL</v>
      </c>
      <c r="I201" s="145" t="str">
        <f>IFERROR(__xludf.DUMMYFUNCTION("""COMPUTED_VALUE"""),"Primary Ball Handler")</f>
        <v>Primary Ball Handler</v>
      </c>
      <c r="J201" s="145">
        <f>IFERROR(__xludf.DUMMYFUNCTION("""COMPUTED_VALUE"""),667.016666666667)</f>
        <v>667.0166667</v>
      </c>
      <c r="K201" s="133">
        <f>IFERROR(__xludf.DUMMYFUNCTION("""COMPUTED_VALUE"""),25.0)</f>
        <v>25</v>
      </c>
      <c r="L201" s="133" t="str">
        <f>IFERROR(__xludf.DUMMYFUNCTION("""COMPUTED_VALUE"""),"PG")</f>
        <v>PG</v>
      </c>
      <c r="M201" s="133">
        <f>IFERROR(__xludf.DUMMYFUNCTION("""COMPUTED_VALUE"""),20.0)</f>
        <v>20</v>
      </c>
      <c r="N201" s="134">
        <f>IFERROR(__xludf.DUMMYFUNCTION("""COMPUTED_VALUE"""),-2.06323136317911)</f>
        <v>-2.063231363</v>
      </c>
      <c r="O201" s="134">
        <f>IFERROR(__xludf.DUMMYFUNCTION("""COMPUTED_VALUE"""),-1.52212836652471)</f>
        <v>-1.522128367</v>
      </c>
      <c r="P201" s="134">
        <f>IFERROR(__xludf.DUMMYFUNCTION("""COMPUTED_VALUE"""),-0.541102996654402)</f>
        <v>-0.5411029967</v>
      </c>
      <c r="Q201" s="146">
        <f>IFERROR(__xludf.DUMMYFUNCTION("""COMPUTED_VALUE"""),0.10593904999968555)</f>
        <v>0.10593905</v>
      </c>
      <c r="R201" s="17"/>
      <c r="S201" s="17"/>
      <c r="T201" s="75"/>
      <c r="U201" s="75"/>
      <c r="V201" s="75"/>
      <c r="W201" s="75"/>
      <c r="X201" s="75"/>
    </row>
    <row r="202">
      <c r="A202" s="17"/>
      <c r="B202" s="17"/>
      <c r="C202" s="133"/>
      <c r="D202" s="133"/>
      <c r="E202" s="17"/>
      <c r="F202" s="133" t="str">
        <f>IFERROR(__xludf.DUMMYFUNCTION("""COMPUTED_VALUE"""),"Cedi Osman")</f>
        <v>Cedi Osman</v>
      </c>
      <c r="G202" s="133" t="str">
        <f>IFERROR(__xludf.DUMMYFUNCTION("""COMPUTED_VALUE"""),"2020-21")</f>
        <v>2020-21</v>
      </c>
      <c r="H202" s="133" t="str">
        <f>IFERROR(__xludf.DUMMYFUNCTION("""COMPUTED_VALUE"""),"CLE")</f>
        <v>CLE</v>
      </c>
      <c r="I202" s="145" t="str">
        <f>IFERROR(__xludf.DUMMYFUNCTION("""COMPUTED_VALUE"""),"Movement Shooter")</f>
        <v>Movement Shooter</v>
      </c>
      <c r="J202" s="145">
        <f>IFERROR(__xludf.DUMMYFUNCTION("""COMPUTED_VALUE"""),826.298333333334)</f>
        <v>826.2983333</v>
      </c>
      <c r="K202" s="133">
        <f>IFERROR(__xludf.DUMMYFUNCTION("""COMPUTED_VALUE"""),31.0)</f>
        <v>31</v>
      </c>
      <c r="L202" s="133" t="str">
        <f>IFERROR(__xludf.DUMMYFUNCTION("""COMPUTED_VALUE"""),"SF")</f>
        <v>SF</v>
      </c>
      <c r="M202" s="133">
        <f>IFERROR(__xludf.DUMMYFUNCTION("""COMPUTED_VALUE"""),25.0)</f>
        <v>25</v>
      </c>
      <c r="N202" s="134">
        <f>IFERROR(__xludf.DUMMYFUNCTION("""COMPUTED_VALUE"""),-2.13447828500617)</f>
        <v>-2.134478285</v>
      </c>
      <c r="O202" s="134">
        <f>IFERROR(__xludf.DUMMYFUNCTION("""COMPUTED_VALUE"""),-0.767475053832095)</f>
        <v>-0.7674750538</v>
      </c>
      <c r="P202" s="134">
        <f>IFERROR(__xludf.DUMMYFUNCTION("""COMPUTED_VALUE"""),-1.36700323117407)</f>
        <v>-1.367003231</v>
      </c>
      <c r="Q202" s="146">
        <f>IFERROR(__xludf.DUMMYFUNCTION("""COMPUTED_VALUE"""),0.09226654700585746)</f>
        <v>0.09226654701</v>
      </c>
      <c r="R202" s="17"/>
      <c r="S202" s="17"/>
      <c r="T202" s="75"/>
      <c r="U202" s="75"/>
      <c r="V202" s="75"/>
      <c r="W202" s="75"/>
      <c r="X202" s="75"/>
    </row>
    <row r="203">
      <c r="A203" s="17"/>
      <c r="B203" s="17"/>
      <c r="C203" s="133"/>
      <c r="D203" s="133"/>
      <c r="E203" s="17"/>
      <c r="F203" s="133" t="str">
        <f>IFERROR(__xludf.DUMMYFUNCTION("""COMPUTED_VALUE"""),"Bismack Biyombo")</f>
        <v>Bismack Biyombo</v>
      </c>
      <c r="G203" s="133" t="str">
        <f>IFERROR(__xludf.DUMMYFUNCTION("""COMPUTED_VALUE"""),"2020-21")</f>
        <v>2020-21</v>
      </c>
      <c r="H203" s="133" t="str">
        <f>IFERROR(__xludf.DUMMYFUNCTION("""COMPUTED_VALUE"""),"CHO")</f>
        <v>CHO</v>
      </c>
      <c r="I203" s="145" t="str">
        <f>IFERROR(__xludf.DUMMYFUNCTION("""COMPUTED_VALUE"""),"Roll + Cut Big")</f>
        <v>Roll + Cut Big</v>
      </c>
      <c r="J203" s="145">
        <f>IFERROR(__xludf.DUMMYFUNCTION("""COMPUTED_VALUE"""),605.836666666667)</f>
        <v>605.8366667</v>
      </c>
      <c r="K203" s="133">
        <f>IFERROR(__xludf.DUMMYFUNCTION("""COMPUTED_VALUE"""),27.0)</f>
        <v>27</v>
      </c>
      <c r="L203" s="133" t="str">
        <f>IFERROR(__xludf.DUMMYFUNCTION("""COMPUTED_VALUE"""),"C")</f>
        <v>C</v>
      </c>
      <c r="M203" s="133">
        <f>IFERROR(__xludf.DUMMYFUNCTION("""COMPUTED_VALUE"""),28.0)</f>
        <v>28</v>
      </c>
      <c r="N203" s="134">
        <f>IFERROR(__xludf.DUMMYFUNCTION("""COMPUTED_VALUE"""),-2.07385862408258)</f>
        <v>-2.073858624</v>
      </c>
      <c r="O203" s="134">
        <f>IFERROR(__xludf.DUMMYFUNCTION("""COMPUTED_VALUE"""),-2.99983196708487)</f>
        <v>-2.999831967</v>
      </c>
      <c r="P203" s="134">
        <f>IFERROR(__xludf.DUMMYFUNCTION("""COMPUTED_VALUE"""),0.92597334300229)</f>
        <v>0.925973343</v>
      </c>
      <c r="Q203" s="146">
        <f>IFERROR(__xludf.DUMMYFUNCTION("""COMPUTED_VALUE"""),0.09195792793607933)</f>
        <v>0.09195792794</v>
      </c>
      <c r="R203" s="17"/>
      <c r="S203" s="17"/>
      <c r="T203" s="75"/>
      <c r="U203" s="75"/>
      <c r="V203" s="75"/>
      <c r="W203" s="75"/>
      <c r="X203" s="75"/>
    </row>
    <row r="204">
      <c r="A204" s="17"/>
      <c r="B204" s="17"/>
      <c r="C204" s="133"/>
      <c r="D204" s="133"/>
      <c r="E204" s="17"/>
      <c r="F204" s="133" t="str">
        <f>IFERROR(__xludf.DUMMYFUNCTION("""COMPUTED_VALUE"""),"Wesley Matthews")</f>
        <v>Wesley Matthews</v>
      </c>
      <c r="G204" s="133" t="str">
        <f>IFERROR(__xludf.DUMMYFUNCTION("""COMPUTED_VALUE"""),"2020-21")</f>
        <v>2020-21</v>
      </c>
      <c r="H204" s="133" t="str">
        <f>IFERROR(__xludf.DUMMYFUNCTION("""COMPUTED_VALUE"""),"LAL")</f>
        <v>LAL</v>
      </c>
      <c r="I204" s="145" t="str">
        <f>IFERROR(__xludf.DUMMYFUNCTION("""COMPUTED_VALUE"""),"Movement Shooter")</f>
        <v>Movement Shooter</v>
      </c>
      <c r="J204" s="145">
        <f>IFERROR(__xludf.DUMMYFUNCTION("""COMPUTED_VALUE"""),503.431666666667)</f>
        <v>503.4316667</v>
      </c>
      <c r="K204" s="133">
        <f>IFERROR(__xludf.DUMMYFUNCTION("""COMPUTED_VALUE"""),24.0)</f>
        <v>24</v>
      </c>
      <c r="L204" s="133" t="str">
        <f>IFERROR(__xludf.DUMMYFUNCTION("""COMPUTED_VALUE"""),"SG")</f>
        <v>SG</v>
      </c>
      <c r="M204" s="133">
        <f>IFERROR(__xludf.DUMMYFUNCTION("""COMPUTED_VALUE"""),34.0)</f>
        <v>34</v>
      </c>
      <c r="N204" s="134">
        <f>IFERROR(__xludf.DUMMYFUNCTION("""COMPUTED_VALUE"""),-2.11798392295828)</f>
        <v>-2.117983923</v>
      </c>
      <c r="O204" s="134">
        <f>IFERROR(__xludf.DUMMYFUNCTION("""COMPUTED_VALUE"""),-1.69079275905539)</f>
        <v>-1.690792759</v>
      </c>
      <c r="P204" s="134">
        <f>IFERROR(__xludf.DUMMYFUNCTION("""COMPUTED_VALUE"""),-0.427191163902882)</f>
        <v>-0.4271911639</v>
      </c>
      <c r="Q204" s="146">
        <f>IFERROR(__xludf.DUMMYFUNCTION("""COMPUTED_VALUE"""),0.0617086008248268)</f>
        <v>0.06170860082</v>
      </c>
      <c r="R204" s="17"/>
      <c r="S204" s="17"/>
      <c r="T204" s="75"/>
      <c r="U204" s="75"/>
      <c r="V204" s="75"/>
      <c r="W204" s="75"/>
      <c r="X204" s="75"/>
    </row>
    <row r="205">
      <c r="A205" s="17"/>
      <c r="B205" s="17"/>
      <c r="C205" s="133"/>
      <c r="D205" s="133"/>
      <c r="E205" s="17"/>
      <c r="F205" s="133" t="str">
        <f>IFERROR(__xludf.DUMMYFUNCTION("""COMPUTED_VALUE"""),"Luguentz Dort")</f>
        <v>Luguentz Dort</v>
      </c>
      <c r="G205" s="133" t="str">
        <f>IFERROR(__xludf.DUMMYFUNCTION("""COMPUTED_VALUE"""),"2020-21")</f>
        <v>2020-21</v>
      </c>
      <c r="H205" s="133" t="str">
        <f>IFERROR(__xludf.DUMMYFUNCTION("""COMPUTED_VALUE"""),"OKC")</f>
        <v>OKC</v>
      </c>
      <c r="I205" s="145" t="str">
        <f>IFERROR(__xludf.DUMMYFUNCTION("""COMPUTED_VALUE"""),"Stationary Shooter")</f>
        <v>Stationary Shooter</v>
      </c>
      <c r="J205" s="145">
        <f>IFERROR(__xludf.DUMMYFUNCTION("""COMPUTED_VALUE"""),863.335)</f>
        <v>863.335</v>
      </c>
      <c r="K205" s="133">
        <f>IFERROR(__xludf.DUMMYFUNCTION("""COMPUTED_VALUE"""),29.0)</f>
        <v>29</v>
      </c>
      <c r="L205" s="133" t="str">
        <f>IFERROR(__xludf.DUMMYFUNCTION("""COMPUTED_VALUE"""),"SG")</f>
        <v>SG</v>
      </c>
      <c r="M205" s="133">
        <f>IFERROR(__xludf.DUMMYFUNCTION("""COMPUTED_VALUE"""),21.0)</f>
        <v>21</v>
      </c>
      <c r="N205" s="134">
        <f>IFERROR(__xludf.DUMMYFUNCTION("""COMPUTED_VALUE"""),-2.23151893892938)</f>
        <v>-2.231518939</v>
      </c>
      <c r="O205" s="134">
        <f>IFERROR(__xludf.DUMMYFUNCTION("""COMPUTED_VALUE"""),-1.19800587780363)</f>
        <v>-1.198005878</v>
      </c>
      <c r="P205" s="134">
        <f>IFERROR(__xludf.DUMMYFUNCTION("""COMPUTED_VALUE"""),-1.03351306112574)</f>
        <v>-1.033513061</v>
      </c>
      <c r="Q205" s="146">
        <f>IFERROR(__xludf.DUMMYFUNCTION("""COMPUTED_VALUE"""),0.041026764107984205)</f>
        <v>0.04102676411</v>
      </c>
      <c r="R205" s="17"/>
      <c r="S205" s="17"/>
      <c r="T205" s="75"/>
      <c r="U205" s="75"/>
      <c r="V205" s="75"/>
      <c r="W205" s="75"/>
      <c r="X205" s="75"/>
    </row>
    <row r="206">
      <c r="A206" s="17"/>
      <c r="B206" s="17"/>
      <c r="C206" s="133"/>
      <c r="D206" s="133"/>
      <c r="E206" s="17"/>
      <c r="F206" s="133" t="str">
        <f>IFERROR(__xludf.DUMMYFUNCTION("""COMPUTED_VALUE"""),"Robin Lopez")</f>
        <v>Robin Lopez</v>
      </c>
      <c r="G206" s="133" t="str">
        <f>IFERROR(__xludf.DUMMYFUNCTION("""COMPUTED_VALUE"""),"2020-21")</f>
        <v>2020-21</v>
      </c>
      <c r="H206" s="133" t="str">
        <f>IFERROR(__xludf.DUMMYFUNCTION("""COMPUTED_VALUE"""),"WAS")</f>
        <v>WAS</v>
      </c>
      <c r="I206" s="145" t="str">
        <f>IFERROR(__xludf.DUMMYFUNCTION("""COMPUTED_VALUE"""),"Post Scorer")</f>
        <v>Post Scorer</v>
      </c>
      <c r="J206" s="145">
        <f>IFERROR(__xludf.DUMMYFUNCTION("""COMPUTED_VALUE"""),532.596666666667)</f>
        <v>532.5966667</v>
      </c>
      <c r="K206" s="133">
        <f>IFERROR(__xludf.DUMMYFUNCTION("""COMPUTED_VALUE"""),27.0)</f>
        <v>27</v>
      </c>
      <c r="L206" s="133" t="str">
        <f>IFERROR(__xludf.DUMMYFUNCTION("""COMPUTED_VALUE"""),"C")</f>
        <v>C</v>
      </c>
      <c r="M206" s="133">
        <f>IFERROR(__xludf.DUMMYFUNCTION("""COMPUTED_VALUE"""),32.0)</f>
        <v>32</v>
      </c>
      <c r="N206" s="134">
        <f>IFERROR(__xludf.DUMMYFUNCTION("""COMPUTED_VALUE"""),-2.23228693351299)</f>
        <v>-2.232286934</v>
      </c>
      <c r="O206" s="134">
        <f>IFERROR(__xludf.DUMMYFUNCTION("""COMPUTED_VALUE"""),-1.87280615865412)</f>
        <v>-1.872806159</v>
      </c>
      <c r="P206" s="134">
        <f>IFERROR(__xludf.DUMMYFUNCTION("""COMPUTED_VALUE"""),-0.359480774858865)</f>
        <v>-0.3594807749</v>
      </c>
      <c r="Q206" s="146">
        <f>IFERROR(__xludf.DUMMYFUNCTION("""COMPUTED_VALUE"""),0.025039544906813774)</f>
        <v>0.02503954491</v>
      </c>
      <c r="R206" s="17"/>
      <c r="S206" s="17"/>
      <c r="T206" s="75"/>
      <c r="U206" s="75"/>
      <c r="V206" s="75"/>
      <c r="W206" s="75"/>
      <c r="X206" s="75"/>
    </row>
    <row r="207">
      <c r="A207" s="17"/>
      <c r="B207" s="17"/>
      <c r="C207" s="133"/>
      <c r="D207" s="133"/>
      <c r="E207" s="17"/>
      <c r="F207" s="133" t="str">
        <f>IFERROR(__xludf.DUMMYFUNCTION("""COMPUTED_VALUE"""),"Gary Clark")</f>
        <v>Gary Clark</v>
      </c>
      <c r="G207" s="133" t="str">
        <f>IFERROR(__xludf.DUMMYFUNCTION("""COMPUTED_VALUE"""),"2020-21")</f>
        <v>2020-21</v>
      </c>
      <c r="H207" s="133" t="str">
        <f>IFERROR(__xludf.DUMMYFUNCTION("""COMPUTED_VALUE"""),"ORL")</f>
        <v>ORL</v>
      </c>
      <c r="I207" s="145" t="str">
        <f>IFERROR(__xludf.DUMMYFUNCTION("""COMPUTED_VALUE"""),"Stationary Shooter")</f>
        <v>Stationary Shooter</v>
      </c>
      <c r="J207" s="145">
        <f>IFERROR(__xludf.DUMMYFUNCTION("""COMPUTED_VALUE"""),545.08)</f>
        <v>545.08</v>
      </c>
      <c r="K207" s="133">
        <f>IFERROR(__xludf.DUMMYFUNCTION("""COMPUTED_VALUE"""),26.0)</f>
        <v>26</v>
      </c>
      <c r="L207" s="133" t="str">
        <f>IFERROR(__xludf.DUMMYFUNCTION("""COMPUTED_VALUE"""),"SF")</f>
        <v>SF</v>
      </c>
      <c r="M207" s="133">
        <f>IFERROR(__xludf.DUMMYFUNCTION("""COMPUTED_VALUE"""),26.0)</f>
        <v>26</v>
      </c>
      <c r="N207" s="134">
        <f>IFERROR(__xludf.DUMMYFUNCTION("""COMPUTED_VALUE"""),-2.26709286343393)</f>
        <v>-2.267092863</v>
      </c>
      <c r="O207" s="134">
        <f>IFERROR(__xludf.DUMMYFUNCTION("""COMPUTED_VALUE"""),-1.81165126432498)</f>
        <v>-1.811651264</v>
      </c>
      <c r="P207" s="134">
        <f>IFERROR(__xludf.DUMMYFUNCTION("""COMPUTED_VALUE"""),-0.455441599108948)</f>
        <v>-0.4554415991</v>
      </c>
      <c r="Q207" s="146">
        <f>IFERROR(__xludf.DUMMYFUNCTION("""COMPUTED_VALUE"""),0.01310174929874752)</f>
        <v>0.0131017493</v>
      </c>
      <c r="R207" s="17"/>
      <c r="S207" s="17"/>
      <c r="T207" s="75"/>
      <c r="U207" s="75"/>
      <c r="V207" s="75"/>
      <c r="W207" s="75"/>
      <c r="X207" s="75"/>
    </row>
    <row r="208">
      <c r="A208" s="17"/>
      <c r="B208" s="17"/>
      <c r="C208" s="133"/>
      <c r="D208" s="133"/>
      <c r="E208" s="17"/>
      <c r="F208" s="133" t="str">
        <f>IFERROR(__xludf.DUMMYFUNCTION("""COMPUTED_VALUE"""),"Darius Bazley")</f>
        <v>Darius Bazley</v>
      </c>
      <c r="G208" s="133" t="str">
        <f>IFERROR(__xludf.DUMMYFUNCTION("""COMPUTED_VALUE"""),"2020-21")</f>
        <v>2020-21</v>
      </c>
      <c r="H208" s="133" t="str">
        <f>IFERROR(__xludf.DUMMYFUNCTION("""COMPUTED_VALUE"""),"OKC")</f>
        <v>OKC</v>
      </c>
      <c r="I208" s="145" t="str">
        <f>IFERROR(__xludf.DUMMYFUNCTION("""COMPUTED_VALUE"""),"Stationary Shooter")</f>
        <v>Stationary Shooter</v>
      </c>
      <c r="J208" s="145">
        <f>IFERROR(__xludf.DUMMYFUNCTION("""COMPUTED_VALUE"""),922.953333333333)</f>
        <v>922.9533333</v>
      </c>
      <c r="K208" s="133">
        <f>IFERROR(__xludf.DUMMYFUNCTION("""COMPUTED_VALUE"""),30.0)</f>
        <v>30</v>
      </c>
      <c r="L208" s="133" t="str">
        <f>IFERROR(__xludf.DUMMYFUNCTION("""COMPUTED_VALUE"""),"PF")</f>
        <v>PF</v>
      </c>
      <c r="M208" s="133">
        <f>IFERROR(__xludf.DUMMYFUNCTION("""COMPUTED_VALUE"""),20.0)</f>
        <v>20</v>
      </c>
      <c r="N208" s="134">
        <f>IFERROR(__xludf.DUMMYFUNCTION("""COMPUTED_VALUE"""),-2.29245724252744)</f>
        <v>-2.292457243</v>
      </c>
      <c r="O208" s="134">
        <f>IFERROR(__xludf.DUMMYFUNCTION("""COMPUTED_VALUE"""),-2.64629512036754)</f>
        <v>-2.64629512</v>
      </c>
      <c r="P208" s="134">
        <f>IFERROR(__xludf.DUMMYFUNCTION("""COMPUTED_VALUE"""),0.353837877840099)</f>
        <v>0.3538378778</v>
      </c>
      <c r="Q208" s="146">
        <f>IFERROR(__xludf.DUMMYFUNCTION("""COMPUTED_VALUE"""),0.006738578744594485)</f>
        <v>0.006738578745</v>
      </c>
      <c r="R208" s="17"/>
      <c r="S208" s="17"/>
      <c r="T208" s="75"/>
      <c r="U208" s="75"/>
      <c r="V208" s="75"/>
      <c r="W208" s="75"/>
      <c r="X208" s="75"/>
    </row>
    <row r="209">
      <c r="A209" s="17"/>
      <c r="B209" s="17"/>
      <c r="C209" s="133"/>
      <c r="D209" s="133"/>
      <c r="E209" s="17"/>
      <c r="F209" s="133" t="str">
        <f>IFERROR(__xludf.DUMMYFUNCTION("""COMPUTED_VALUE"""),"Solomon Hill")</f>
        <v>Solomon Hill</v>
      </c>
      <c r="G209" s="133" t="str">
        <f>IFERROR(__xludf.DUMMYFUNCTION("""COMPUTED_VALUE"""),"2020-21")</f>
        <v>2020-21</v>
      </c>
      <c r="H209" s="133" t="str">
        <f>IFERROR(__xludf.DUMMYFUNCTION("""COMPUTED_VALUE"""),"ATL")</f>
        <v>ATL</v>
      </c>
      <c r="I209" s="145" t="str">
        <f>IFERROR(__xludf.DUMMYFUNCTION("""COMPUTED_VALUE"""),"Stationary Shooter")</f>
        <v>Stationary Shooter</v>
      </c>
      <c r="J209" s="145">
        <f>IFERROR(__xludf.DUMMYFUNCTION("""COMPUTED_VALUE"""),564.743333333333)</f>
        <v>564.7433333</v>
      </c>
      <c r="K209" s="133">
        <f>IFERROR(__xludf.DUMMYFUNCTION("""COMPUTED_VALUE"""),30.0)</f>
        <v>30</v>
      </c>
      <c r="L209" s="133" t="str">
        <f>IFERROR(__xludf.DUMMYFUNCTION("""COMPUTED_VALUE"""),"PF")</f>
        <v>PF</v>
      </c>
      <c r="M209" s="133">
        <f>IFERROR(__xludf.DUMMYFUNCTION("""COMPUTED_VALUE"""),29.0)</f>
        <v>29</v>
      </c>
      <c r="N209" s="134">
        <f>IFERROR(__xludf.DUMMYFUNCTION("""COMPUTED_VALUE"""),-2.34515410454349)</f>
        <v>-2.345154105</v>
      </c>
      <c r="O209" s="134">
        <f>IFERROR(__xludf.DUMMYFUNCTION("""COMPUTED_VALUE"""),-1.56661149575794)</f>
        <v>-1.566611496</v>
      </c>
      <c r="P209" s="134">
        <f>IFERROR(__xludf.DUMMYFUNCTION("""COMPUTED_VALUE"""),-0.778542608785548)</f>
        <v>-0.7785426088</v>
      </c>
      <c r="Q209" s="146">
        <f>IFERROR(__xludf.DUMMYFUNCTION("""COMPUTED_VALUE"""),-0.015497772923652389)</f>
        <v>-0.01549777292</v>
      </c>
      <c r="R209" s="17"/>
      <c r="S209" s="17"/>
      <c r="T209" s="75"/>
      <c r="U209" s="75"/>
      <c r="V209" s="75"/>
      <c r="W209" s="75"/>
      <c r="X209" s="75"/>
    </row>
    <row r="210">
      <c r="A210" s="17"/>
      <c r="B210" s="17"/>
      <c r="C210" s="133"/>
      <c r="D210" s="133"/>
      <c r="E210" s="17"/>
      <c r="F210" s="133" t="str">
        <f>IFERROR(__xludf.DUMMYFUNCTION("""COMPUTED_VALUE"""),"Damyean Dotson")</f>
        <v>Damyean Dotson</v>
      </c>
      <c r="G210" s="133" t="str">
        <f>IFERROR(__xludf.DUMMYFUNCTION("""COMPUTED_VALUE"""),"2020-21")</f>
        <v>2020-21</v>
      </c>
      <c r="H210" s="133" t="str">
        <f>IFERROR(__xludf.DUMMYFUNCTION("""COMPUTED_VALUE"""),"CLE")</f>
        <v>CLE</v>
      </c>
      <c r="I210" s="145" t="str">
        <f>IFERROR(__xludf.DUMMYFUNCTION("""COMPUTED_VALUE"""),"Secondary Ball Handler")</f>
        <v>Secondary Ball Handler</v>
      </c>
      <c r="J210" s="145">
        <f>IFERROR(__xludf.DUMMYFUNCTION("""COMPUTED_VALUE"""),524.191666666667)</f>
        <v>524.1916667</v>
      </c>
      <c r="K210" s="133">
        <f>IFERROR(__xludf.DUMMYFUNCTION("""COMPUTED_VALUE"""),26.0)</f>
        <v>26</v>
      </c>
      <c r="L210" s="133" t="str">
        <f>IFERROR(__xludf.DUMMYFUNCTION("""COMPUTED_VALUE"""),"SG")</f>
        <v>SG</v>
      </c>
      <c r="M210" s="133">
        <f>IFERROR(__xludf.DUMMYFUNCTION("""COMPUTED_VALUE"""),26.0)</f>
        <v>26</v>
      </c>
      <c r="N210" s="134">
        <f>IFERROR(__xludf.DUMMYFUNCTION("""COMPUTED_VALUE"""),-2.37637868424255)</f>
        <v>-2.376378684</v>
      </c>
      <c r="O210" s="134">
        <f>IFERROR(__xludf.DUMMYFUNCTION("""COMPUTED_VALUE"""),-0.877125427068417)</f>
        <v>-0.8771254271</v>
      </c>
      <c r="P210" s="134">
        <f>IFERROR(__xludf.DUMMYFUNCTION("""COMPUTED_VALUE"""),-1.49925325717413)</f>
        <v>-1.499253257</v>
      </c>
      <c r="Q210" s="146">
        <f>IFERROR(__xludf.DUMMYFUNCTION("""COMPUTED_VALUE"""),-0.02516746119375211)</f>
        <v>-0.02516746119</v>
      </c>
      <c r="R210" s="17"/>
      <c r="S210" s="17"/>
      <c r="T210" s="75"/>
      <c r="U210" s="75"/>
      <c r="V210" s="75"/>
      <c r="W210" s="75"/>
      <c r="X210" s="75"/>
    </row>
    <row r="211">
      <c r="A211" s="17"/>
      <c r="B211" s="17"/>
      <c r="C211" s="133"/>
      <c r="D211" s="133"/>
      <c r="E211" s="17"/>
      <c r="F211" s="133" t="str">
        <f>IFERROR(__xludf.DUMMYFUNCTION("""COMPUTED_VALUE"""),"Cory Joseph")</f>
        <v>Cory Joseph</v>
      </c>
      <c r="G211" s="133" t="str">
        <f>IFERROR(__xludf.DUMMYFUNCTION("""COMPUTED_VALUE"""),"2020-21")</f>
        <v>2020-21</v>
      </c>
      <c r="H211" s="133" t="str">
        <f>IFERROR(__xludf.DUMMYFUNCTION("""COMPUTED_VALUE"""),"SAC")</f>
        <v>SAC</v>
      </c>
      <c r="I211" s="145" t="str">
        <f>IFERROR(__xludf.DUMMYFUNCTION("""COMPUTED_VALUE"""),"Secondary Ball Handler")</f>
        <v>Secondary Ball Handler</v>
      </c>
      <c r="J211" s="145">
        <f>IFERROR(__xludf.DUMMYFUNCTION("""COMPUTED_VALUE"""),610.078333333333)</f>
        <v>610.0783333</v>
      </c>
      <c r="K211" s="133">
        <f>IFERROR(__xludf.DUMMYFUNCTION("""COMPUTED_VALUE"""),30.0)</f>
        <v>30</v>
      </c>
      <c r="L211" s="133" t="str">
        <f>IFERROR(__xludf.DUMMYFUNCTION("""COMPUTED_VALUE"""),"PG")</f>
        <v>PG</v>
      </c>
      <c r="M211" s="133">
        <f>IFERROR(__xludf.DUMMYFUNCTION("""COMPUTED_VALUE"""),29.0)</f>
        <v>29</v>
      </c>
      <c r="N211" s="134">
        <f>IFERROR(__xludf.DUMMYFUNCTION("""COMPUTED_VALUE"""),-2.65228353115261)</f>
        <v>-2.652283531</v>
      </c>
      <c r="O211" s="134">
        <f>IFERROR(__xludf.DUMMYFUNCTION("""COMPUTED_VALUE"""),-1.35020740568881)</f>
        <v>-1.350207406</v>
      </c>
      <c r="P211" s="134">
        <f>IFERROR(__xludf.DUMMYFUNCTION("""COMPUTED_VALUE"""),-1.3020761254638)</f>
        <v>-1.302076125</v>
      </c>
      <c r="Q211" s="146">
        <f>IFERROR(__xludf.DUMMYFUNCTION("""COMPUTED_VALUE"""),-0.1398321364022506)</f>
        <v>-0.1398321364</v>
      </c>
      <c r="R211" s="17"/>
      <c r="S211" s="17"/>
      <c r="T211" s="75"/>
      <c r="U211" s="75"/>
      <c r="V211" s="75"/>
      <c r="W211" s="75"/>
      <c r="X211" s="75"/>
    </row>
    <row r="212">
      <c r="A212" s="17"/>
      <c r="B212" s="17"/>
      <c r="C212" s="133"/>
      <c r="D212" s="133"/>
      <c r="E212" s="17"/>
      <c r="F212" s="133" t="str">
        <f>IFERROR(__xludf.DUMMYFUNCTION("""COMPUTED_VALUE"""),"Elfrid Payton")</f>
        <v>Elfrid Payton</v>
      </c>
      <c r="G212" s="133" t="str">
        <f>IFERROR(__xludf.DUMMYFUNCTION("""COMPUTED_VALUE"""),"2020-21")</f>
        <v>2020-21</v>
      </c>
      <c r="H212" s="133" t="str">
        <f>IFERROR(__xludf.DUMMYFUNCTION("""COMPUTED_VALUE"""),"NYK")</f>
        <v>NYK</v>
      </c>
      <c r="I212" s="145" t="str">
        <f>IFERROR(__xludf.DUMMYFUNCTION("""COMPUTED_VALUE"""),"Slasher")</f>
        <v>Slasher</v>
      </c>
      <c r="J212" s="145">
        <f>IFERROR(__xludf.DUMMYFUNCTION("""COMPUTED_VALUE"""),862.578333333333)</f>
        <v>862.5783333</v>
      </c>
      <c r="K212" s="133">
        <f>IFERROR(__xludf.DUMMYFUNCTION("""COMPUTED_VALUE"""),31.0)</f>
        <v>31</v>
      </c>
      <c r="L212" s="133" t="str">
        <f>IFERROR(__xludf.DUMMYFUNCTION("""COMPUTED_VALUE"""),"PG")</f>
        <v>PG</v>
      </c>
      <c r="M212" s="133">
        <f>IFERROR(__xludf.DUMMYFUNCTION("""COMPUTED_VALUE"""),26.0)</f>
        <v>26</v>
      </c>
      <c r="N212" s="134">
        <f>IFERROR(__xludf.DUMMYFUNCTION("""COMPUTED_VALUE"""),-2.61145913053249)</f>
        <v>-2.611459131</v>
      </c>
      <c r="O212" s="134">
        <f>IFERROR(__xludf.DUMMYFUNCTION("""COMPUTED_VALUE"""),-0.873342125796353)</f>
        <v>-0.8733421258</v>
      </c>
      <c r="P212" s="134">
        <f>IFERROR(__xludf.DUMMYFUNCTION("""COMPUTED_VALUE"""),-1.73811700473614)</f>
        <v>-1.738117005</v>
      </c>
      <c r="Q212" s="146">
        <f>IFERROR(__xludf.DUMMYFUNCTION("""COMPUTED_VALUE"""),-0.17463736783530567)</f>
        <v>-0.1746373678</v>
      </c>
      <c r="R212" s="17"/>
      <c r="S212" s="17"/>
      <c r="T212" s="75"/>
      <c r="U212" s="75"/>
      <c r="V212" s="75"/>
      <c r="W212" s="75"/>
      <c r="X212" s="75"/>
    </row>
    <row r="213">
      <c r="A213" s="17"/>
      <c r="B213" s="17"/>
      <c r="C213" s="133"/>
      <c r="D213" s="133"/>
      <c r="E213" s="17"/>
      <c r="F213" s="133" t="str">
        <f>IFERROR(__xludf.DUMMYFUNCTION("""COMPUTED_VALUE"""),"Dwayne Bacon")</f>
        <v>Dwayne Bacon</v>
      </c>
      <c r="G213" s="133" t="str">
        <f>IFERROR(__xludf.DUMMYFUNCTION("""COMPUTED_VALUE"""),"2020-21")</f>
        <v>2020-21</v>
      </c>
      <c r="H213" s="133" t="str">
        <f>IFERROR(__xludf.DUMMYFUNCTION("""COMPUTED_VALUE"""),"ORL")</f>
        <v>ORL</v>
      </c>
      <c r="I213" s="145" t="str">
        <f>IFERROR(__xludf.DUMMYFUNCTION("""COMPUTED_VALUE"""),"Secondary Ball Handler")</f>
        <v>Secondary Ball Handler</v>
      </c>
      <c r="J213" s="145">
        <f>IFERROR(__xludf.DUMMYFUNCTION("""COMPUTED_VALUE"""),753.883333333333)</f>
        <v>753.8833333</v>
      </c>
      <c r="K213" s="133">
        <f>IFERROR(__xludf.DUMMYFUNCTION("""COMPUTED_VALUE"""),31.0)</f>
        <v>31</v>
      </c>
      <c r="L213" s="133" t="str">
        <f>IFERROR(__xludf.DUMMYFUNCTION("""COMPUTED_VALUE"""),"SG")</f>
        <v>SG</v>
      </c>
      <c r="M213" s="133">
        <f>IFERROR(__xludf.DUMMYFUNCTION("""COMPUTED_VALUE"""),25.0)</f>
        <v>25</v>
      </c>
      <c r="N213" s="134">
        <f>IFERROR(__xludf.DUMMYFUNCTION("""COMPUTED_VALUE"""),-2.7372652445807)</f>
        <v>-2.737265245</v>
      </c>
      <c r="O213" s="134">
        <f>IFERROR(__xludf.DUMMYFUNCTION("""COMPUTED_VALUE"""),-2.12654448729677)</f>
        <v>-2.126544487</v>
      </c>
      <c r="P213" s="134">
        <f>IFERROR(__xludf.DUMMYFUNCTION("""COMPUTED_VALUE"""),-0.610720757283937)</f>
        <v>-0.6107207573</v>
      </c>
      <c r="Q213" s="146">
        <f>IFERROR(__xludf.DUMMYFUNCTION("""COMPUTED_VALUE"""),-0.21470418844578562)</f>
        <v>-0.2147041884</v>
      </c>
      <c r="R213" s="17"/>
      <c r="S213" s="17"/>
      <c r="T213" s="75"/>
      <c r="U213" s="75"/>
      <c r="V213" s="75"/>
      <c r="W213" s="75"/>
      <c r="X213" s="75"/>
    </row>
    <row r="214">
      <c r="A214" s="17"/>
      <c r="B214" s="17"/>
      <c r="C214" s="133"/>
      <c r="D214" s="133"/>
      <c r="E214" s="17"/>
      <c r="F214" s="133" t="str">
        <f>IFERROR(__xludf.DUMMYFUNCTION("""COMPUTED_VALUE"""),"Patrick Williams")</f>
        <v>Patrick Williams</v>
      </c>
      <c r="G214" s="133" t="str">
        <f>IFERROR(__xludf.DUMMYFUNCTION("""COMPUTED_VALUE"""),"2020-21")</f>
        <v>2020-21</v>
      </c>
      <c r="H214" s="133" t="str">
        <f>IFERROR(__xludf.DUMMYFUNCTION("""COMPUTED_VALUE"""),"CHI")</f>
        <v>CHI</v>
      </c>
      <c r="I214" s="145" t="str">
        <f>IFERROR(__xludf.DUMMYFUNCTION("""COMPUTED_VALUE"""),"Stationary Shooter")</f>
        <v>Stationary Shooter</v>
      </c>
      <c r="J214" s="145">
        <f>IFERROR(__xludf.DUMMYFUNCTION("""COMPUTED_VALUE"""),786.251666666667)</f>
        <v>786.2516667</v>
      </c>
      <c r="K214" s="133">
        <f>IFERROR(__xludf.DUMMYFUNCTION("""COMPUTED_VALUE"""),28.0)</f>
        <v>28</v>
      </c>
      <c r="L214" s="133" t="str">
        <f>IFERROR(__xludf.DUMMYFUNCTION("""COMPUTED_VALUE"""),"PF")</f>
        <v>PF</v>
      </c>
      <c r="M214" s="133">
        <f>IFERROR(__xludf.DUMMYFUNCTION("""COMPUTED_VALUE"""),19.0)</f>
        <v>19</v>
      </c>
      <c r="N214" s="134">
        <f>IFERROR(__xludf.DUMMYFUNCTION("""COMPUTED_VALUE"""),-2.7253426838346)</f>
        <v>-2.725342684</v>
      </c>
      <c r="O214" s="134">
        <f>IFERROR(__xludf.DUMMYFUNCTION("""COMPUTED_VALUE"""),-2.82188127725229)</f>
        <v>-2.821881277</v>
      </c>
      <c r="P214" s="134">
        <f>IFERROR(__xludf.DUMMYFUNCTION("""COMPUTED_VALUE"""),0.0965385934176924)</f>
        <v>0.09653859342</v>
      </c>
      <c r="Q214" s="146">
        <f>IFERROR(__xludf.DUMMYFUNCTION("""COMPUTED_VALUE"""),-0.21779516278607572)</f>
        <v>-0.2177951628</v>
      </c>
      <c r="R214" s="17"/>
      <c r="S214" s="17"/>
      <c r="T214" s="75"/>
      <c r="U214" s="75"/>
      <c r="V214" s="75"/>
      <c r="W214" s="75"/>
      <c r="X214" s="75"/>
    </row>
    <row r="215">
      <c r="A215" s="17"/>
      <c r="B215" s="17"/>
      <c r="C215" s="133"/>
      <c r="D215" s="133"/>
      <c r="E215" s="17"/>
      <c r="F215" s="133" t="str">
        <f>IFERROR(__xludf.DUMMYFUNCTION("""COMPUTED_VALUE"""),"P.J. Tucker")</f>
        <v>P.J. Tucker</v>
      </c>
      <c r="G215" s="133" t="str">
        <f>IFERROR(__xludf.DUMMYFUNCTION("""COMPUTED_VALUE"""),"2020-21")</f>
        <v>2020-21</v>
      </c>
      <c r="H215" s="133" t="str">
        <f>IFERROR(__xludf.DUMMYFUNCTION("""COMPUTED_VALUE"""),"HOU")</f>
        <v>HOU</v>
      </c>
      <c r="I215" s="145" t="str">
        <f>IFERROR(__xludf.DUMMYFUNCTION("""COMPUTED_VALUE"""),"Stationary Shooter")</f>
        <v>Stationary Shooter</v>
      </c>
      <c r="J215" s="145">
        <f>IFERROR(__xludf.DUMMYFUNCTION("""COMPUTED_VALUE"""),779.813333333333)</f>
        <v>779.8133333</v>
      </c>
      <c r="K215" s="133">
        <f>IFERROR(__xludf.DUMMYFUNCTION("""COMPUTED_VALUE"""),26.0)</f>
        <v>26</v>
      </c>
      <c r="L215" s="133" t="str">
        <f>IFERROR(__xludf.DUMMYFUNCTION("""COMPUTED_VALUE"""),"PF")</f>
        <v>PF</v>
      </c>
      <c r="M215" s="133">
        <f>IFERROR(__xludf.DUMMYFUNCTION("""COMPUTED_VALUE"""),35.0)</f>
        <v>35</v>
      </c>
      <c r="N215" s="134">
        <f>IFERROR(__xludf.DUMMYFUNCTION("""COMPUTED_VALUE"""),-2.89323671543433)</f>
        <v>-2.893236715</v>
      </c>
      <c r="O215" s="134">
        <f>IFERROR(__xludf.DUMMYFUNCTION("""COMPUTED_VALUE"""),-3.69726762058258)</f>
        <v>-3.697267621</v>
      </c>
      <c r="P215" s="134">
        <f>IFERROR(__xludf.DUMMYFUNCTION("""COMPUTED_VALUE"""),0.80403090514825)</f>
        <v>0.8040309051</v>
      </c>
      <c r="Q215" s="146">
        <f>IFERROR(__xludf.DUMMYFUNCTION("""COMPUTED_VALUE"""),-0.30143905324967873)</f>
        <v>-0.3014390532</v>
      </c>
      <c r="R215" s="17"/>
      <c r="S215" s="17"/>
      <c r="T215" s="75"/>
      <c r="U215" s="75"/>
      <c r="V215" s="75"/>
      <c r="W215" s="75"/>
      <c r="X215" s="75"/>
    </row>
    <row r="216">
      <c r="A216" s="17"/>
      <c r="B216" s="17"/>
      <c r="C216" s="133"/>
      <c r="D216" s="133"/>
      <c r="E216" s="17"/>
      <c r="F216" s="133" t="str">
        <f>IFERROR(__xludf.DUMMYFUNCTION("""COMPUTED_VALUE"""),"Lonnie Walker IV")</f>
        <v>Lonnie Walker IV</v>
      </c>
      <c r="G216" s="133" t="str">
        <f>IFERROR(__xludf.DUMMYFUNCTION("""COMPUTED_VALUE"""),"2020-21")</f>
        <v>2020-21</v>
      </c>
      <c r="H216" s="133" t="str">
        <f>IFERROR(__xludf.DUMMYFUNCTION("""COMPUTED_VALUE"""),"SAS")</f>
        <v>SAS</v>
      </c>
      <c r="I216" s="145" t="str">
        <f>IFERROR(__xludf.DUMMYFUNCTION("""COMPUTED_VALUE"""),"Stationary Shooter")</f>
        <v>Stationary Shooter</v>
      </c>
      <c r="J216" s="145">
        <f>IFERROR(__xludf.DUMMYFUNCTION("""COMPUTED_VALUE"""),666.318333333333)</f>
        <v>666.3183333</v>
      </c>
      <c r="K216" s="133">
        <f>IFERROR(__xludf.DUMMYFUNCTION("""COMPUTED_VALUE"""),25.0)</f>
        <v>25</v>
      </c>
      <c r="L216" s="133" t="str">
        <f>IFERROR(__xludf.DUMMYFUNCTION("""COMPUTED_VALUE"""),"SG")</f>
        <v>SG</v>
      </c>
      <c r="M216" s="133">
        <f>IFERROR(__xludf.DUMMYFUNCTION("""COMPUTED_VALUE"""),22.0)</f>
        <v>22</v>
      </c>
      <c r="N216" s="134">
        <f>IFERROR(__xludf.DUMMYFUNCTION("""COMPUTED_VALUE"""),-3.10997816406423)</f>
        <v>-3.109978164</v>
      </c>
      <c r="O216" s="134">
        <f>IFERROR(__xludf.DUMMYFUNCTION("""COMPUTED_VALUE"""),-1.41890379568719)</f>
        <v>-1.418903796</v>
      </c>
      <c r="P216" s="134">
        <f>IFERROR(__xludf.DUMMYFUNCTION("""COMPUTED_VALUE"""),-1.69107436837704)</f>
        <v>-1.691074368</v>
      </c>
      <c r="Q216" s="146">
        <f>IFERROR(__xludf.DUMMYFUNCTION("""COMPUTED_VALUE"""),-0.3513650546774763)</f>
        <v>-0.3513650547</v>
      </c>
      <c r="R216" s="17"/>
      <c r="S216" s="17"/>
      <c r="T216" s="75"/>
      <c r="U216" s="75"/>
      <c r="V216" s="75"/>
      <c r="W216" s="75"/>
      <c r="X216" s="75"/>
    </row>
    <row r="217">
      <c r="A217" s="17"/>
      <c r="B217" s="17"/>
      <c r="C217" s="133"/>
      <c r="D217" s="133"/>
      <c r="E217" s="17"/>
      <c r="F217" s="133" t="str">
        <f>IFERROR(__xludf.DUMMYFUNCTION("""COMPUTED_VALUE"""),"Theo Maledon")</f>
        <v>Theo Maledon</v>
      </c>
      <c r="G217" s="133" t="str">
        <f>IFERROR(__xludf.DUMMYFUNCTION("""COMPUTED_VALUE"""),"2020-21")</f>
        <v>2020-21</v>
      </c>
      <c r="H217" s="133" t="str">
        <f>IFERROR(__xludf.DUMMYFUNCTION("""COMPUTED_VALUE"""),"OKC")</f>
        <v>OKC</v>
      </c>
      <c r="I217" s="145" t="str">
        <f>IFERROR(__xludf.DUMMYFUNCTION("""COMPUTED_VALUE"""),"Primary Ball Handler")</f>
        <v>Primary Ball Handler</v>
      </c>
      <c r="J217" s="145">
        <f>IFERROR(__xludf.DUMMYFUNCTION("""COMPUTED_VALUE"""),601.448333333333)</f>
        <v>601.4483333</v>
      </c>
      <c r="K217" s="133">
        <f>IFERROR(__xludf.DUMMYFUNCTION("""COMPUTED_VALUE"""),25.0)</f>
        <v>25</v>
      </c>
      <c r="L217" s="133" t="str">
        <f>IFERROR(__xludf.DUMMYFUNCTION("""COMPUTED_VALUE"""),"PG")</f>
        <v>PG</v>
      </c>
      <c r="M217" s="133">
        <f>IFERROR(__xludf.DUMMYFUNCTION("""COMPUTED_VALUE"""),19.0)</f>
        <v>19</v>
      </c>
      <c r="N217" s="134">
        <f>IFERROR(__xludf.DUMMYFUNCTION("""COMPUTED_VALUE"""),-3.3709257804377)</f>
        <v>-3.37092578</v>
      </c>
      <c r="O217" s="134">
        <f>IFERROR(__xludf.DUMMYFUNCTION("""COMPUTED_VALUE"""),-2.88908617309162)</f>
        <v>-2.889086173</v>
      </c>
      <c r="P217" s="134">
        <f>IFERROR(__xludf.DUMMYFUNCTION("""COMPUTED_VALUE"""),-0.481839607346079)</f>
        <v>-0.4818396073</v>
      </c>
      <c r="Q217" s="146">
        <f>IFERROR(__xludf.DUMMYFUNCTION("""COMPUTED_VALUE"""),-0.4184682782215345)</f>
        <v>-0.4184682782</v>
      </c>
      <c r="R217" s="17"/>
      <c r="S217" s="17"/>
      <c r="T217" s="75"/>
      <c r="U217" s="75"/>
      <c r="V217" s="75"/>
      <c r="W217" s="75"/>
      <c r="X217" s="75"/>
    </row>
    <row r="218">
      <c r="A218" s="17"/>
      <c r="B218" s="17"/>
      <c r="C218" s="133"/>
      <c r="D218" s="133"/>
      <c r="E218" s="17"/>
      <c r="F218" s="133" t="str">
        <f>IFERROR(__xludf.DUMMYFUNCTION("""COMPUTED_VALUE"""),"Darius Garland")</f>
        <v>Darius Garland</v>
      </c>
      <c r="G218" s="133" t="str">
        <f>IFERROR(__xludf.DUMMYFUNCTION("""COMPUTED_VALUE"""),"2020-21")</f>
        <v>2020-21</v>
      </c>
      <c r="H218" s="133" t="str">
        <f>IFERROR(__xludf.DUMMYFUNCTION("""COMPUTED_VALUE"""),"CLE")</f>
        <v>CLE</v>
      </c>
      <c r="I218" s="145" t="str">
        <f>IFERROR(__xludf.DUMMYFUNCTION("""COMPUTED_VALUE"""),"Slasher")</f>
        <v>Slasher</v>
      </c>
      <c r="J218" s="145">
        <f>IFERROR(__xludf.DUMMYFUNCTION("""COMPUTED_VALUE"""),752.836666666667)</f>
        <v>752.8366667</v>
      </c>
      <c r="K218" s="133">
        <f>IFERROR(__xludf.DUMMYFUNCTION("""COMPUTED_VALUE"""),23.0)</f>
        <v>23</v>
      </c>
      <c r="L218" s="133" t="str">
        <f>IFERROR(__xludf.DUMMYFUNCTION("""COMPUTED_VALUE"""),"PG")</f>
        <v>PG</v>
      </c>
      <c r="M218" s="133">
        <f>IFERROR(__xludf.DUMMYFUNCTION("""COMPUTED_VALUE"""),21.0)</f>
        <v>21</v>
      </c>
      <c r="N218" s="134">
        <f>IFERROR(__xludf.DUMMYFUNCTION("""COMPUTED_VALUE"""),-3.22897271615945)</f>
        <v>-3.228972716</v>
      </c>
      <c r="O218" s="134">
        <f>IFERROR(__xludf.DUMMYFUNCTION("""COMPUTED_VALUE"""),-1.76443752460341)</f>
        <v>-1.764437525</v>
      </c>
      <c r="P218" s="134">
        <f>IFERROR(__xludf.DUMMYFUNCTION("""COMPUTED_VALUE"""),-1.46453519155604)</f>
        <v>-1.464535192</v>
      </c>
      <c r="Q218" s="146">
        <f>IFERROR(__xludf.DUMMYFUNCTION("""COMPUTED_VALUE"""),-0.454924433959278)</f>
        <v>-0.454924434</v>
      </c>
      <c r="R218" s="17"/>
      <c r="S218" s="17"/>
      <c r="T218" s="75"/>
      <c r="U218" s="75"/>
      <c r="V218" s="75"/>
      <c r="W218" s="75"/>
      <c r="X218" s="75"/>
    </row>
    <row r="219">
      <c r="A219" s="17"/>
      <c r="B219" s="17"/>
      <c r="C219" s="133"/>
      <c r="D219" s="133"/>
      <c r="E219" s="17"/>
      <c r="F219" s="133" t="str">
        <f>IFERROR(__xludf.DUMMYFUNCTION("""COMPUTED_VALUE"""),"Luke Kennard")</f>
        <v>Luke Kennard</v>
      </c>
      <c r="G219" s="133" t="str">
        <f>IFERROR(__xludf.DUMMYFUNCTION("""COMPUTED_VALUE"""),"2020-21")</f>
        <v>2020-21</v>
      </c>
      <c r="H219" s="133" t="str">
        <f>IFERROR(__xludf.DUMMYFUNCTION("""COMPUTED_VALUE"""),"LAC")</f>
        <v>LAC</v>
      </c>
      <c r="I219" s="145" t="str">
        <f>IFERROR(__xludf.DUMMYFUNCTION("""COMPUTED_VALUE"""),"Movement Shooter")</f>
        <v>Movement Shooter</v>
      </c>
      <c r="J219" s="145">
        <f>IFERROR(__xludf.DUMMYFUNCTION("""COMPUTED_VALUE"""),638.551666666667)</f>
        <v>638.5516667</v>
      </c>
      <c r="K219" s="133">
        <f>IFERROR(__xludf.DUMMYFUNCTION("""COMPUTED_VALUE"""),29.0)</f>
        <v>29</v>
      </c>
      <c r="L219" s="133" t="str">
        <f>IFERROR(__xludf.DUMMYFUNCTION("""COMPUTED_VALUE"""),"SG")</f>
        <v>SG</v>
      </c>
      <c r="M219" s="133">
        <f>IFERROR(__xludf.DUMMYFUNCTION("""COMPUTED_VALUE"""),24.0)</f>
        <v>24</v>
      </c>
      <c r="N219" s="134">
        <f>IFERROR(__xludf.DUMMYFUNCTION("""COMPUTED_VALUE"""),-3.53411862413443)</f>
        <v>-3.534118624</v>
      </c>
      <c r="O219" s="134">
        <f>IFERROR(__xludf.DUMMYFUNCTION("""COMPUTED_VALUE"""),-1.22792072875595)</f>
        <v>-1.227920729</v>
      </c>
      <c r="P219" s="134">
        <f>IFERROR(__xludf.DUMMYFUNCTION("""COMPUTED_VALUE"""),-2.30619789537848)</f>
        <v>-2.306197895</v>
      </c>
      <c r="Q219" s="146">
        <f>IFERROR(__xludf.DUMMYFUNCTION("""COMPUTED_VALUE"""),-0.5111604712400637)</f>
        <v>-0.5111604712</v>
      </c>
      <c r="R219" s="17"/>
      <c r="S219" s="17"/>
      <c r="T219" s="75"/>
      <c r="U219" s="75"/>
      <c r="V219" s="75"/>
      <c r="W219" s="75"/>
      <c r="X219" s="75"/>
    </row>
    <row r="220">
      <c r="A220" s="17"/>
      <c r="B220" s="17"/>
      <c r="C220" s="133"/>
      <c r="D220" s="133"/>
      <c r="E220" s="17"/>
      <c r="F220" s="133" t="str">
        <f>IFERROR(__xludf.DUMMYFUNCTION("""COMPUTED_VALUE"""),"Anthony Edwards")</f>
        <v>Anthony Edwards</v>
      </c>
      <c r="G220" s="133" t="str">
        <f>IFERROR(__xludf.DUMMYFUNCTION("""COMPUTED_VALUE"""),"2020-21")</f>
        <v>2020-21</v>
      </c>
      <c r="H220" s="133" t="str">
        <f>IFERROR(__xludf.DUMMYFUNCTION("""COMPUTED_VALUE"""),"MIN")</f>
        <v>MIN</v>
      </c>
      <c r="I220" s="145" t="str">
        <f>IFERROR(__xludf.DUMMYFUNCTION("""COMPUTED_VALUE"""),"Secondary Ball Handler")</f>
        <v>Secondary Ball Handler</v>
      </c>
      <c r="J220" s="145">
        <f>IFERROR(__xludf.DUMMYFUNCTION("""COMPUTED_VALUE"""),882.515)</f>
        <v>882.515</v>
      </c>
      <c r="K220" s="133">
        <f>IFERROR(__xludf.DUMMYFUNCTION("""COMPUTED_VALUE"""),31.0)</f>
        <v>31</v>
      </c>
      <c r="L220" s="133" t="str">
        <f>IFERROR(__xludf.DUMMYFUNCTION("""COMPUTED_VALUE"""),"SG")</f>
        <v>SG</v>
      </c>
      <c r="M220" s="133">
        <f>IFERROR(__xludf.DUMMYFUNCTION("""COMPUTED_VALUE"""),19.0)</f>
        <v>19</v>
      </c>
      <c r="N220" s="134">
        <f>IFERROR(__xludf.DUMMYFUNCTION("""COMPUTED_VALUE"""),-3.38270050236012)</f>
        <v>-3.382700502</v>
      </c>
      <c r="O220" s="134">
        <f>IFERROR(__xludf.DUMMYFUNCTION("""COMPUTED_VALUE"""),-1.15746620657944)</f>
        <v>-1.157466207</v>
      </c>
      <c r="P220" s="134">
        <f>IFERROR(__xludf.DUMMYFUNCTION("""COMPUTED_VALUE"""),-2.22523429578068)</f>
        <v>-2.225234296</v>
      </c>
      <c r="Q220" s="146">
        <f>IFERROR(__xludf.DUMMYFUNCTION("""COMPUTED_VALUE"""),-0.620708438489101)</f>
        <v>-0.6207084385</v>
      </c>
      <c r="R220" s="17"/>
      <c r="S220" s="17"/>
      <c r="T220" s="75"/>
      <c r="U220" s="75"/>
      <c r="V220" s="75"/>
      <c r="W220" s="75"/>
      <c r="X220" s="75"/>
    </row>
    <row r="221">
      <c r="A221" s="17"/>
      <c r="B221" s="17"/>
      <c r="C221" s="133"/>
      <c r="D221" s="133"/>
      <c r="E221" s="17"/>
      <c r="F221" s="133" t="str">
        <f>IFERROR(__xludf.DUMMYFUNCTION("""COMPUTED_VALUE"""),"Isaac Okoro")</f>
        <v>Isaac Okoro</v>
      </c>
      <c r="G221" s="133" t="str">
        <f>IFERROR(__xludf.DUMMYFUNCTION("""COMPUTED_VALUE"""),"2020-21")</f>
        <v>2020-21</v>
      </c>
      <c r="H221" s="133" t="str">
        <f>IFERROR(__xludf.DUMMYFUNCTION("""COMPUTED_VALUE"""),"CLE")</f>
        <v>CLE</v>
      </c>
      <c r="I221" s="145" t="str">
        <f>IFERROR(__xludf.DUMMYFUNCTION("""COMPUTED_VALUE"""),"Stationary Shooter")</f>
        <v>Stationary Shooter</v>
      </c>
      <c r="J221" s="145">
        <f>IFERROR(__xludf.DUMMYFUNCTION("""COMPUTED_VALUE"""),865.633333333333)</f>
        <v>865.6333333</v>
      </c>
      <c r="K221" s="133">
        <f>IFERROR(__xludf.DUMMYFUNCTION("""COMPUTED_VALUE"""),26.0)</f>
        <v>26</v>
      </c>
      <c r="L221" s="133" t="str">
        <f>IFERROR(__xludf.DUMMYFUNCTION("""COMPUTED_VALUE"""),"SG")</f>
        <v>SG</v>
      </c>
      <c r="M221" s="133">
        <f>IFERROR(__xludf.DUMMYFUNCTION("""COMPUTED_VALUE"""),20.0)</f>
        <v>20</v>
      </c>
      <c r="N221" s="134">
        <f>IFERROR(__xludf.DUMMYFUNCTION("""COMPUTED_VALUE"""),-4.33028211593658)</f>
        <v>-4.330282116</v>
      </c>
      <c r="O221" s="134">
        <f>IFERROR(__xludf.DUMMYFUNCTION("""COMPUTED_VALUE"""),-3.44644091431162)</f>
        <v>-3.446440914</v>
      </c>
      <c r="P221" s="134">
        <f>IFERROR(__xludf.DUMMYFUNCTION("""COMPUTED_VALUE"""),-0.883841201624956)</f>
        <v>-0.8838412016</v>
      </c>
      <c r="Q221" s="146">
        <f>IFERROR(__xludf.DUMMYFUNCTION("""COMPUTED_VALUE"""),-1.1287996200922839)</f>
        <v>-1.12879962</v>
      </c>
      <c r="R221" s="17"/>
      <c r="S221" s="17"/>
      <c r="T221" s="75"/>
      <c r="U221" s="75"/>
      <c r="V221" s="75"/>
      <c r="W221" s="75"/>
      <c r="X221" s="75"/>
    </row>
    <row r="222">
      <c r="A222" s="17"/>
      <c r="B222" s="17"/>
      <c r="C222" s="133"/>
      <c r="D222" s="133"/>
      <c r="E222" s="17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4"/>
      <c r="Q222" s="146"/>
      <c r="R222" s="17"/>
      <c r="S222" s="17"/>
      <c r="T222" s="75"/>
      <c r="U222" s="75"/>
      <c r="V222" s="75"/>
      <c r="W222" s="75"/>
      <c r="X222" s="75"/>
    </row>
    <row r="223">
      <c r="A223" s="17"/>
      <c r="B223" s="17"/>
      <c r="C223" s="133"/>
      <c r="D223" s="133"/>
      <c r="E223" s="17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4"/>
      <c r="Q223" s="146"/>
      <c r="R223" s="17"/>
      <c r="S223" s="17"/>
      <c r="T223" s="75"/>
      <c r="U223" s="75"/>
      <c r="V223" s="75"/>
      <c r="W223" s="75"/>
      <c r="X223" s="75"/>
    </row>
    <row r="224">
      <c r="A224" s="17"/>
      <c r="B224" s="17"/>
      <c r="C224" s="133"/>
      <c r="D224" s="133"/>
      <c r="E224" s="17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4"/>
      <c r="Q224" s="146"/>
      <c r="R224" s="17"/>
      <c r="S224" s="17"/>
      <c r="T224" s="75"/>
      <c r="U224" s="75"/>
      <c r="V224" s="75"/>
      <c r="W224" s="75"/>
      <c r="X224" s="75"/>
    </row>
    <row r="225">
      <c r="A225" s="17"/>
      <c r="B225" s="17"/>
      <c r="C225" s="133"/>
      <c r="D225" s="133"/>
      <c r="E225" s="17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4"/>
      <c r="Q225" s="146"/>
      <c r="R225" s="17"/>
      <c r="S225" s="17"/>
      <c r="T225" s="75"/>
      <c r="U225" s="75"/>
      <c r="V225" s="75"/>
      <c r="W225" s="75"/>
      <c r="X225" s="75"/>
    </row>
    <row r="226">
      <c r="A226" s="17"/>
      <c r="B226" s="17"/>
      <c r="C226" s="133"/>
      <c r="D226" s="133"/>
      <c r="E226" s="17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4"/>
      <c r="Q226" s="146"/>
      <c r="R226" s="17"/>
      <c r="S226" s="17"/>
      <c r="T226" s="75"/>
      <c r="U226" s="75"/>
      <c r="V226" s="75"/>
      <c r="W226" s="75"/>
      <c r="X226" s="75"/>
    </row>
    <row r="227">
      <c r="A227" s="17"/>
      <c r="B227" s="17"/>
      <c r="C227" s="133"/>
      <c r="D227" s="133"/>
      <c r="E227" s="17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4"/>
      <c r="Q227" s="146"/>
      <c r="R227" s="17"/>
      <c r="S227" s="17"/>
      <c r="T227" s="75"/>
      <c r="U227" s="75"/>
      <c r="V227" s="75"/>
      <c r="W227" s="75"/>
      <c r="X227" s="75"/>
    </row>
    <row r="228">
      <c r="A228" s="17"/>
      <c r="B228" s="17"/>
      <c r="C228" s="133"/>
      <c r="D228" s="133"/>
      <c r="E228" s="17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4"/>
      <c r="Q228" s="146"/>
      <c r="R228" s="17"/>
      <c r="S228" s="17"/>
      <c r="T228" s="75"/>
      <c r="U228" s="75"/>
      <c r="V228" s="75"/>
      <c r="W228" s="75"/>
      <c r="X228" s="75"/>
    </row>
    <row r="229">
      <c r="A229" s="17"/>
      <c r="B229" s="17"/>
      <c r="C229" s="133"/>
      <c r="D229" s="133"/>
      <c r="E229" s="17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4"/>
      <c r="Q229" s="146"/>
      <c r="R229" s="17"/>
      <c r="S229" s="17"/>
      <c r="T229" s="75"/>
      <c r="U229" s="75"/>
      <c r="V229" s="75"/>
      <c r="W229" s="75"/>
      <c r="X229" s="75"/>
    </row>
    <row r="230">
      <c r="A230" s="17"/>
      <c r="B230" s="17"/>
      <c r="C230" s="133"/>
      <c r="D230" s="133"/>
      <c r="E230" s="17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4"/>
      <c r="Q230" s="146"/>
      <c r="R230" s="17"/>
      <c r="S230" s="17"/>
      <c r="T230" s="75"/>
      <c r="U230" s="75"/>
      <c r="V230" s="75"/>
      <c r="W230" s="75"/>
      <c r="X230" s="75"/>
    </row>
    <row r="231">
      <c r="A231" s="17"/>
      <c r="B231" s="17"/>
      <c r="C231" s="133"/>
      <c r="D231" s="133"/>
      <c r="E231" s="17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4"/>
      <c r="Q231" s="146"/>
      <c r="R231" s="17"/>
      <c r="S231" s="17"/>
      <c r="T231" s="75"/>
      <c r="U231" s="75"/>
      <c r="V231" s="75"/>
      <c r="W231" s="75"/>
      <c r="X231" s="75"/>
    </row>
    <row r="232">
      <c r="A232" s="17"/>
      <c r="B232" s="17"/>
      <c r="C232" s="133"/>
      <c r="D232" s="133"/>
      <c r="E232" s="17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4"/>
      <c r="Q232" s="146"/>
      <c r="R232" s="17"/>
      <c r="S232" s="17"/>
      <c r="T232" s="75"/>
      <c r="U232" s="75"/>
      <c r="V232" s="75"/>
      <c r="W232" s="75"/>
      <c r="X232" s="75"/>
    </row>
    <row r="233">
      <c r="A233" s="17"/>
      <c r="B233" s="17"/>
      <c r="C233" s="133"/>
      <c r="D233" s="133"/>
      <c r="E233" s="17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4"/>
      <c r="Q233" s="146"/>
      <c r="R233" s="17"/>
      <c r="S233" s="17"/>
      <c r="T233" s="75"/>
      <c r="U233" s="75"/>
      <c r="V233" s="75"/>
      <c r="W233" s="75"/>
      <c r="X233" s="75"/>
    </row>
    <row r="234">
      <c r="A234" s="17"/>
      <c r="B234" s="17"/>
      <c r="C234" s="133"/>
      <c r="D234" s="133"/>
      <c r="E234" s="17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4"/>
      <c r="Q234" s="146"/>
      <c r="R234" s="17"/>
      <c r="S234" s="17"/>
      <c r="T234" s="75"/>
      <c r="U234" s="75"/>
      <c r="V234" s="75"/>
      <c r="W234" s="75"/>
      <c r="X234" s="75"/>
    </row>
    <row r="235">
      <c r="A235" s="17"/>
      <c r="B235" s="17"/>
      <c r="C235" s="133"/>
      <c r="D235" s="133"/>
      <c r="E235" s="17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4"/>
      <c r="Q235" s="146"/>
      <c r="R235" s="17"/>
      <c r="S235" s="17"/>
      <c r="T235" s="75"/>
      <c r="U235" s="75"/>
      <c r="V235" s="75"/>
      <c r="W235" s="75"/>
      <c r="X235" s="75"/>
    </row>
    <row r="236">
      <c r="A236" s="17"/>
      <c r="B236" s="17"/>
      <c r="C236" s="133"/>
      <c r="D236" s="133"/>
      <c r="E236" s="17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4"/>
      <c r="Q236" s="146"/>
      <c r="R236" s="17"/>
      <c r="S236" s="17"/>
      <c r="T236" s="75"/>
      <c r="U236" s="75"/>
      <c r="V236" s="75"/>
      <c r="W236" s="75"/>
      <c r="X236" s="75"/>
    </row>
    <row r="237">
      <c r="A237" s="17"/>
      <c r="B237" s="17"/>
      <c r="C237" s="133"/>
      <c r="D237" s="133"/>
      <c r="E237" s="17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4"/>
      <c r="Q237" s="146"/>
      <c r="R237" s="17"/>
      <c r="S237" s="17"/>
      <c r="T237" s="75"/>
      <c r="U237" s="75"/>
      <c r="V237" s="75"/>
      <c r="W237" s="75"/>
      <c r="X237" s="75"/>
    </row>
    <row r="238">
      <c r="A238" s="17"/>
      <c r="B238" s="17"/>
      <c r="C238" s="133"/>
      <c r="D238" s="133"/>
      <c r="E238" s="17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4"/>
      <c r="Q238" s="146"/>
      <c r="R238" s="17"/>
      <c r="S238" s="17"/>
      <c r="T238" s="75"/>
      <c r="U238" s="75"/>
      <c r="V238" s="75"/>
      <c r="W238" s="75"/>
      <c r="X238" s="75"/>
    </row>
    <row r="239">
      <c r="A239" s="17"/>
      <c r="B239" s="17"/>
      <c r="C239" s="133"/>
      <c r="D239" s="133"/>
      <c r="E239" s="17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4"/>
      <c r="Q239" s="146"/>
      <c r="R239" s="17"/>
      <c r="S239" s="17"/>
      <c r="T239" s="75"/>
      <c r="U239" s="75"/>
      <c r="V239" s="75"/>
      <c r="W239" s="75"/>
      <c r="X239" s="75"/>
    </row>
    <row r="240">
      <c r="A240" s="17"/>
      <c r="B240" s="17"/>
      <c r="C240" s="133"/>
      <c r="D240" s="133"/>
      <c r="E240" s="17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4"/>
      <c r="Q240" s="146"/>
      <c r="R240" s="17"/>
      <c r="S240" s="17"/>
      <c r="T240" s="75"/>
      <c r="U240" s="75"/>
      <c r="V240" s="75"/>
      <c r="W240" s="75"/>
      <c r="X240" s="75"/>
    </row>
    <row r="241">
      <c r="A241" s="17"/>
      <c r="B241" s="17"/>
      <c r="C241" s="133"/>
      <c r="D241" s="133"/>
      <c r="E241" s="17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4"/>
      <c r="Q241" s="146"/>
      <c r="R241" s="17"/>
      <c r="S241" s="17"/>
      <c r="T241" s="75"/>
      <c r="U241" s="75"/>
      <c r="V241" s="75"/>
      <c r="W241" s="75"/>
      <c r="X241" s="75"/>
    </row>
    <row r="242">
      <c r="A242" s="17"/>
      <c r="B242" s="17"/>
      <c r="C242" s="133"/>
      <c r="D242" s="133"/>
      <c r="E242" s="17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4"/>
      <c r="Q242" s="146"/>
      <c r="R242" s="17"/>
      <c r="S242" s="17"/>
      <c r="T242" s="75"/>
      <c r="U242" s="75"/>
      <c r="V242" s="75"/>
      <c r="W242" s="75"/>
      <c r="X242" s="75"/>
    </row>
    <row r="243">
      <c r="A243" s="17"/>
      <c r="B243" s="17"/>
      <c r="C243" s="133"/>
      <c r="D243" s="133"/>
      <c r="E243" s="17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4"/>
      <c r="Q243" s="146"/>
      <c r="R243" s="17"/>
      <c r="S243" s="17"/>
      <c r="T243" s="75"/>
      <c r="U243" s="75"/>
      <c r="V243" s="75"/>
      <c r="W243" s="75"/>
      <c r="X243" s="75"/>
    </row>
    <row r="244">
      <c r="A244" s="17"/>
      <c r="B244" s="17"/>
      <c r="C244" s="133"/>
      <c r="D244" s="133"/>
      <c r="E244" s="17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4"/>
      <c r="Q244" s="146"/>
      <c r="R244" s="17"/>
      <c r="S244" s="17"/>
      <c r="T244" s="75"/>
      <c r="U244" s="75"/>
      <c r="V244" s="75"/>
      <c r="W244" s="75"/>
      <c r="X244" s="75"/>
    </row>
    <row r="245">
      <c r="A245" s="17"/>
      <c r="B245" s="17"/>
      <c r="C245" s="133"/>
      <c r="D245" s="133"/>
      <c r="E245" s="17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4"/>
      <c r="Q245" s="146"/>
      <c r="R245" s="17"/>
      <c r="S245" s="17"/>
      <c r="T245" s="75"/>
      <c r="U245" s="75"/>
      <c r="V245" s="75"/>
      <c r="W245" s="75"/>
      <c r="X245" s="75"/>
    </row>
    <row r="246">
      <c r="A246" s="17"/>
      <c r="B246" s="17"/>
      <c r="C246" s="133"/>
      <c r="D246" s="133"/>
      <c r="E246" s="17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4"/>
      <c r="Q246" s="146"/>
      <c r="R246" s="17"/>
      <c r="S246" s="17"/>
      <c r="T246" s="75"/>
      <c r="U246" s="75"/>
      <c r="V246" s="75"/>
      <c r="W246" s="75"/>
      <c r="X246" s="75"/>
    </row>
    <row r="247">
      <c r="A247" s="17"/>
      <c r="B247" s="17"/>
      <c r="C247" s="133"/>
      <c r="D247" s="133"/>
      <c r="E247" s="17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4"/>
      <c r="Q247" s="146"/>
      <c r="R247" s="17"/>
      <c r="S247" s="17"/>
      <c r="T247" s="75"/>
      <c r="U247" s="75"/>
      <c r="V247" s="75"/>
      <c r="W247" s="75"/>
      <c r="X247" s="75"/>
    </row>
    <row r="248">
      <c r="A248" s="17"/>
      <c r="B248" s="17"/>
      <c r="C248" s="133"/>
      <c r="D248" s="133"/>
      <c r="E248" s="17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4"/>
      <c r="Q248" s="146"/>
      <c r="R248" s="17"/>
      <c r="S248" s="17"/>
      <c r="T248" s="75"/>
      <c r="U248" s="75"/>
      <c r="V248" s="75"/>
      <c r="W248" s="75"/>
      <c r="X248" s="75"/>
    </row>
    <row r="249">
      <c r="A249" s="17"/>
      <c r="B249" s="17"/>
      <c r="C249" s="133"/>
      <c r="D249" s="133"/>
      <c r="E249" s="17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4"/>
      <c r="Q249" s="146"/>
      <c r="R249" s="17"/>
      <c r="S249" s="17"/>
      <c r="T249" s="75"/>
      <c r="U249" s="75"/>
      <c r="V249" s="75"/>
      <c r="W249" s="75"/>
      <c r="X249" s="75"/>
    </row>
    <row r="250">
      <c r="A250" s="17"/>
      <c r="B250" s="17"/>
      <c r="C250" s="133"/>
      <c r="D250" s="133"/>
      <c r="E250" s="17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4"/>
      <c r="Q250" s="146"/>
      <c r="R250" s="17"/>
      <c r="S250" s="17"/>
      <c r="T250" s="75"/>
      <c r="U250" s="75"/>
      <c r="V250" s="75"/>
      <c r="W250" s="75"/>
      <c r="X250" s="75"/>
    </row>
    <row r="251">
      <c r="A251" s="17"/>
      <c r="B251" s="17"/>
      <c r="C251" s="133"/>
      <c r="D251" s="133"/>
      <c r="E251" s="17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4"/>
      <c r="Q251" s="146"/>
      <c r="R251" s="17"/>
      <c r="S251" s="17"/>
      <c r="T251" s="75"/>
      <c r="U251" s="75"/>
      <c r="V251" s="75"/>
      <c r="W251" s="75"/>
      <c r="X251" s="75"/>
    </row>
    <row r="252">
      <c r="A252" s="17"/>
      <c r="B252" s="17"/>
      <c r="C252" s="133"/>
      <c r="D252" s="133"/>
      <c r="E252" s="17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4"/>
      <c r="Q252" s="146"/>
      <c r="R252" s="17"/>
      <c r="S252" s="17"/>
      <c r="T252" s="75"/>
      <c r="U252" s="75"/>
      <c r="V252" s="75"/>
      <c r="W252" s="75"/>
      <c r="X252" s="75"/>
    </row>
    <row r="253">
      <c r="A253" s="17"/>
      <c r="B253" s="17"/>
      <c r="C253" s="133"/>
      <c r="D253" s="133"/>
      <c r="E253" s="17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4"/>
      <c r="Q253" s="146"/>
      <c r="R253" s="17"/>
      <c r="S253" s="17"/>
      <c r="T253" s="75"/>
      <c r="U253" s="75"/>
      <c r="V253" s="75"/>
      <c r="W253" s="75"/>
      <c r="X253" s="75"/>
    </row>
    <row r="254">
      <c r="A254" s="17"/>
      <c r="B254" s="17"/>
      <c r="C254" s="133"/>
      <c r="D254" s="133"/>
      <c r="E254" s="17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4"/>
      <c r="Q254" s="146"/>
      <c r="R254" s="17"/>
      <c r="S254" s="17"/>
      <c r="T254" s="75"/>
      <c r="U254" s="75"/>
      <c r="V254" s="75"/>
      <c r="W254" s="75"/>
      <c r="X254" s="75"/>
    </row>
    <row r="255">
      <c r="A255" s="17"/>
      <c r="B255" s="17"/>
      <c r="C255" s="133"/>
      <c r="D255" s="133"/>
      <c r="E255" s="17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4"/>
      <c r="Q255" s="146"/>
      <c r="R255" s="17"/>
      <c r="S255" s="17"/>
      <c r="T255" s="75"/>
      <c r="U255" s="75"/>
      <c r="V255" s="75"/>
      <c r="W255" s="75"/>
      <c r="X255" s="75"/>
    </row>
    <row r="256">
      <c r="A256" s="17"/>
      <c r="B256" s="17"/>
      <c r="C256" s="133"/>
      <c r="D256" s="133"/>
      <c r="E256" s="17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4"/>
      <c r="Q256" s="146"/>
      <c r="R256" s="17"/>
      <c r="S256" s="17"/>
      <c r="T256" s="75"/>
      <c r="U256" s="75"/>
      <c r="V256" s="75"/>
      <c r="W256" s="75"/>
      <c r="X256" s="75"/>
    </row>
    <row r="257">
      <c r="A257" s="17"/>
      <c r="B257" s="17"/>
      <c r="C257" s="133"/>
      <c r="D257" s="133"/>
      <c r="E257" s="17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4"/>
      <c r="Q257" s="146"/>
      <c r="R257" s="17"/>
      <c r="S257" s="17"/>
      <c r="T257" s="75"/>
      <c r="U257" s="75"/>
      <c r="V257" s="75"/>
      <c r="W257" s="75"/>
      <c r="X257" s="75"/>
    </row>
    <row r="258">
      <c r="A258" s="17"/>
      <c r="B258" s="17"/>
      <c r="C258" s="133"/>
      <c r="D258" s="133"/>
      <c r="E258" s="17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4"/>
      <c r="Q258" s="146"/>
      <c r="R258" s="17"/>
      <c r="S258" s="17"/>
      <c r="T258" s="75"/>
      <c r="U258" s="75"/>
      <c r="V258" s="75"/>
      <c r="W258" s="75"/>
      <c r="X258" s="75"/>
    </row>
    <row r="259">
      <c r="A259" s="17"/>
      <c r="B259" s="17"/>
      <c r="C259" s="133"/>
      <c r="D259" s="133"/>
      <c r="E259" s="17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4"/>
      <c r="Q259" s="146"/>
      <c r="R259" s="17"/>
      <c r="S259" s="17"/>
      <c r="T259" s="75"/>
      <c r="U259" s="75"/>
      <c r="V259" s="75"/>
      <c r="W259" s="75"/>
      <c r="X259" s="75"/>
    </row>
    <row r="260">
      <c r="A260" s="17"/>
      <c r="B260" s="17"/>
      <c r="C260" s="133"/>
      <c r="D260" s="133"/>
      <c r="E260" s="17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4"/>
      <c r="Q260" s="146"/>
      <c r="R260" s="17"/>
      <c r="S260" s="17"/>
      <c r="T260" s="75"/>
      <c r="U260" s="75"/>
      <c r="V260" s="75"/>
      <c r="W260" s="75"/>
      <c r="X260" s="75"/>
    </row>
    <row r="261">
      <c r="A261" s="17"/>
      <c r="B261" s="17"/>
      <c r="C261" s="133"/>
      <c r="D261" s="133"/>
      <c r="E261" s="17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4"/>
      <c r="Q261" s="146"/>
      <c r="R261" s="17"/>
      <c r="S261" s="17"/>
      <c r="T261" s="75"/>
      <c r="U261" s="75"/>
      <c r="V261" s="75"/>
      <c r="W261" s="75"/>
      <c r="X261" s="75"/>
    </row>
    <row r="262">
      <c r="A262" s="17"/>
      <c r="B262" s="17"/>
      <c r="C262" s="133"/>
      <c r="D262" s="133"/>
      <c r="E262" s="17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4"/>
      <c r="Q262" s="146"/>
      <c r="R262" s="17"/>
      <c r="S262" s="17"/>
      <c r="T262" s="75"/>
      <c r="U262" s="75"/>
      <c r="V262" s="75"/>
      <c r="W262" s="75"/>
      <c r="X262" s="75"/>
    </row>
    <row r="263">
      <c r="A263" s="17"/>
      <c r="B263" s="17"/>
      <c r="C263" s="133"/>
      <c r="D263" s="133"/>
      <c r="E263" s="17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4"/>
      <c r="Q263" s="146"/>
      <c r="R263" s="17"/>
      <c r="S263" s="17"/>
      <c r="T263" s="75"/>
      <c r="U263" s="75"/>
      <c r="V263" s="75"/>
      <c r="W263" s="75"/>
      <c r="X263" s="75"/>
    </row>
    <row r="264">
      <c r="A264" s="17"/>
      <c r="B264" s="17"/>
      <c r="C264" s="133"/>
      <c r="D264" s="133"/>
      <c r="E264" s="17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4"/>
      <c r="Q264" s="146"/>
      <c r="R264" s="17"/>
      <c r="S264" s="17"/>
      <c r="T264" s="75"/>
      <c r="U264" s="75"/>
      <c r="V264" s="75"/>
      <c r="W264" s="75"/>
      <c r="X264" s="75"/>
    </row>
    <row r="265">
      <c r="A265" s="17"/>
      <c r="B265" s="17"/>
      <c r="C265" s="133"/>
      <c r="D265" s="133"/>
      <c r="E265" s="17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4"/>
      <c r="Q265" s="146"/>
      <c r="R265" s="17"/>
      <c r="S265" s="17"/>
      <c r="T265" s="75"/>
      <c r="U265" s="75"/>
      <c r="V265" s="75"/>
      <c r="W265" s="75"/>
      <c r="X265" s="75"/>
    </row>
    <row r="266">
      <c r="A266" s="17"/>
      <c r="B266" s="17"/>
      <c r="C266" s="133"/>
      <c r="D266" s="133"/>
      <c r="E266" s="17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4"/>
      <c r="Q266" s="146"/>
      <c r="R266" s="17"/>
      <c r="S266" s="17"/>
      <c r="T266" s="75"/>
      <c r="U266" s="75"/>
      <c r="V266" s="75"/>
      <c r="W266" s="75"/>
      <c r="X266" s="75"/>
    </row>
    <row r="267">
      <c r="A267" s="17"/>
      <c r="B267" s="17"/>
      <c r="C267" s="133"/>
      <c r="D267" s="133"/>
      <c r="E267" s="17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4"/>
      <c r="Q267" s="146"/>
      <c r="R267" s="17"/>
      <c r="S267" s="17"/>
      <c r="T267" s="75"/>
      <c r="U267" s="75"/>
      <c r="V267" s="75"/>
      <c r="W267" s="75"/>
      <c r="X267" s="75"/>
    </row>
    <row r="268">
      <c r="A268" s="17"/>
      <c r="B268" s="17"/>
      <c r="C268" s="133"/>
      <c r="D268" s="133"/>
      <c r="E268" s="17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4"/>
      <c r="Q268" s="146"/>
      <c r="R268" s="17"/>
      <c r="S268" s="17"/>
      <c r="T268" s="75"/>
      <c r="U268" s="75"/>
      <c r="V268" s="75"/>
      <c r="W268" s="75"/>
      <c r="X268" s="75"/>
    </row>
    <row r="269">
      <c r="A269" s="17"/>
      <c r="B269" s="17"/>
      <c r="C269" s="133"/>
      <c r="D269" s="133"/>
      <c r="E269" s="17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4"/>
      <c r="Q269" s="146"/>
      <c r="R269" s="17"/>
      <c r="S269" s="17"/>
      <c r="T269" s="75"/>
      <c r="U269" s="75"/>
      <c r="V269" s="75"/>
      <c r="W269" s="75"/>
      <c r="X269" s="75"/>
    </row>
    <row r="270">
      <c r="A270" s="17"/>
      <c r="B270" s="17"/>
      <c r="C270" s="133"/>
      <c r="D270" s="133"/>
      <c r="E270" s="17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4"/>
      <c r="Q270" s="146"/>
      <c r="R270" s="17"/>
      <c r="S270" s="17"/>
      <c r="T270" s="75"/>
      <c r="U270" s="75"/>
      <c r="V270" s="75"/>
      <c r="W270" s="75"/>
      <c r="X270" s="75"/>
    </row>
    <row r="271">
      <c r="A271" s="17"/>
      <c r="B271" s="17"/>
      <c r="C271" s="133"/>
      <c r="D271" s="133"/>
      <c r="E271" s="17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4"/>
      <c r="Q271" s="146"/>
      <c r="R271" s="17"/>
      <c r="S271" s="17"/>
      <c r="T271" s="75"/>
      <c r="U271" s="75"/>
      <c r="V271" s="75"/>
      <c r="W271" s="75"/>
      <c r="X271" s="75"/>
    </row>
    <row r="272">
      <c r="A272" s="17"/>
      <c r="B272" s="17"/>
      <c r="C272" s="133"/>
      <c r="D272" s="133"/>
      <c r="E272" s="17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4"/>
      <c r="Q272" s="146"/>
      <c r="R272" s="17"/>
      <c r="S272" s="17"/>
      <c r="T272" s="75"/>
      <c r="U272" s="75"/>
      <c r="V272" s="75"/>
      <c r="W272" s="75"/>
      <c r="X272" s="75"/>
    </row>
    <row r="273">
      <c r="A273" s="17"/>
      <c r="B273" s="17"/>
      <c r="C273" s="133"/>
      <c r="D273" s="133"/>
      <c r="E273" s="17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4"/>
      <c r="Q273" s="146"/>
      <c r="R273" s="17"/>
      <c r="S273" s="17"/>
      <c r="T273" s="75"/>
      <c r="U273" s="75"/>
      <c r="V273" s="75"/>
      <c r="W273" s="75"/>
      <c r="X273" s="75"/>
    </row>
    <row r="274">
      <c r="A274" s="17"/>
      <c r="B274" s="17"/>
      <c r="C274" s="133"/>
      <c r="D274" s="133"/>
      <c r="E274" s="17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4"/>
      <c r="Q274" s="146"/>
      <c r="R274" s="17"/>
      <c r="S274" s="17"/>
      <c r="T274" s="75"/>
      <c r="U274" s="75"/>
      <c r="V274" s="75"/>
      <c r="W274" s="75"/>
      <c r="X274" s="75"/>
    </row>
    <row r="275">
      <c r="A275" s="17"/>
      <c r="B275" s="17"/>
      <c r="C275" s="133"/>
      <c r="D275" s="133"/>
      <c r="E275" s="17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4"/>
      <c r="Q275" s="146"/>
      <c r="R275" s="17"/>
      <c r="S275" s="17"/>
      <c r="T275" s="75"/>
      <c r="U275" s="75"/>
      <c r="V275" s="75"/>
      <c r="W275" s="75"/>
      <c r="X275" s="75"/>
    </row>
    <row r="276">
      <c r="A276" s="17"/>
      <c r="B276" s="17"/>
      <c r="C276" s="133"/>
      <c r="D276" s="133"/>
      <c r="E276" s="17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4"/>
      <c r="Q276" s="146"/>
      <c r="R276" s="17"/>
      <c r="S276" s="17"/>
      <c r="T276" s="75"/>
      <c r="U276" s="75"/>
      <c r="V276" s="75"/>
      <c r="W276" s="75"/>
      <c r="X276" s="75"/>
    </row>
    <row r="277">
      <c r="A277" s="17"/>
      <c r="B277" s="17"/>
      <c r="C277" s="133"/>
      <c r="D277" s="133"/>
      <c r="E277" s="17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4"/>
      <c r="Q277" s="146"/>
      <c r="R277" s="17"/>
      <c r="S277" s="17"/>
      <c r="T277" s="75"/>
      <c r="U277" s="75"/>
      <c r="V277" s="75"/>
      <c r="W277" s="75"/>
      <c r="X277" s="75"/>
    </row>
    <row r="278">
      <c r="A278" s="17"/>
      <c r="B278" s="17"/>
      <c r="C278" s="133"/>
      <c r="D278" s="133"/>
      <c r="E278" s="17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4"/>
      <c r="Q278" s="146"/>
      <c r="R278" s="17"/>
      <c r="S278" s="17"/>
      <c r="T278" s="75"/>
      <c r="U278" s="75"/>
      <c r="V278" s="75"/>
      <c r="W278" s="75"/>
      <c r="X278" s="75"/>
    </row>
    <row r="279">
      <c r="A279" s="17"/>
      <c r="B279" s="17"/>
      <c r="C279" s="133"/>
      <c r="D279" s="133"/>
      <c r="E279" s="17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4"/>
      <c r="Q279" s="146"/>
      <c r="R279" s="17"/>
      <c r="S279" s="17"/>
      <c r="T279" s="75"/>
      <c r="U279" s="75"/>
      <c r="V279" s="75"/>
      <c r="W279" s="75"/>
      <c r="X279" s="75"/>
    </row>
    <row r="280">
      <c r="A280" s="17"/>
      <c r="B280" s="17"/>
      <c r="C280" s="133"/>
      <c r="D280" s="133"/>
      <c r="E280" s="17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4"/>
      <c r="Q280" s="146"/>
      <c r="R280" s="17"/>
      <c r="S280" s="17"/>
      <c r="T280" s="75"/>
      <c r="U280" s="75"/>
      <c r="V280" s="75"/>
      <c r="W280" s="75"/>
      <c r="X280" s="75"/>
    </row>
    <row r="281">
      <c r="A281" s="17"/>
      <c r="B281" s="17"/>
      <c r="C281" s="133"/>
      <c r="D281" s="133"/>
      <c r="E281" s="17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4"/>
      <c r="Q281" s="146"/>
      <c r="R281" s="17"/>
      <c r="S281" s="17"/>
      <c r="T281" s="75"/>
      <c r="U281" s="75"/>
      <c r="V281" s="75"/>
      <c r="W281" s="75"/>
      <c r="X281" s="75"/>
    </row>
    <row r="282">
      <c r="A282" s="17"/>
      <c r="B282" s="17"/>
      <c r="C282" s="133"/>
      <c r="D282" s="133"/>
      <c r="E282" s="17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4"/>
      <c r="Q282" s="146"/>
      <c r="R282" s="17"/>
      <c r="S282" s="17"/>
      <c r="T282" s="75"/>
      <c r="U282" s="75"/>
      <c r="V282" s="75"/>
      <c r="W282" s="75"/>
      <c r="X282" s="75"/>
    </row>
    <row r="283">
      <c r="A283" s="17"/>
      <c r="B283" s="17"/>
      <c r="C283" s="133"/>
      <c r="D283" s="133"/>
      <c r="E283" s="17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4"/>
      <c r="Q283" s="146"/>
      <c r="R283" s="17"/>
      <c r="S283" s="17"/>
      <c r="T283" s="75"/>
      <c r="U283" s="75"/>
      <c r="V283" s="75"/>
      <c r="W283" s="75"/>
      <c r="X283" s="75"/>
    </row>
    <row r="284">
      <c r="A284" s="17"/>
      <c r="B284" s="17"/>
      <c r="C284" s="133"/>
      <c r="D284" s="133"/>
      <c r="E284" s="17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4"/>
      <c r="Q284" s="146"/>
      <c r="R284" s="17"/>
      <c r="S284" s="17"/>
      <c r="T284" s="75"/>
      <c r="U284" s="75"/>
      <c r="V284" s="75"/>
      <c r="W284" s="75"/>
      <c r="X284" s="75"/>
    </row>
    <row r="285">
      <c r="A285" s="17"/>
      <c r="B285" s="17"/>
      <c r="C285" s="133"/>
      <c r="D285" s="133"/>
      <c r="E285" s="17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4"/>
      <c r="Q285" s="146"/>
      <c r="R285" s="17"/>
      <c r="S285" s="17"/>
      <c r="T285" s="75"/>
      <c r="U285" s="75"/>
      <c r="V285" s="75"/>
      <c r="W285" s="75"/>
      <c r="X285" s="75"/>
    </row>
    <row r="286">
      <c r="A286" s="17"/>
      <c r="B286" s="17"/>
      <c r="C286" s="133"/>
      <c r="D286" s="133"/>
      <c r="E286" s="17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4"/>
      <c r="Q286" s="146"/>
      <c r="R286" s="17"/>
      <c r="S286" s="17"/>
      <c r="T286" s="75"/>
      <c r="U286" s="75"/>
      <c r="V286" s="75"/>
      <c r="W286" s="75"/>
      <c r="X286" s="75"/>
    </row>
    <row r="287">
      <c r="A287" s="17"/>
      <c r="B287" s="17"/>
      <c r="C287" s="133"/>
      <c r="D287" s="133"/>
      <c r="E287" s="17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4"/>
      <c r="Q287" s="146"/>
      <c r="R287" s="17"/>
      <c r="S287" s="17"/>
      <c r="T287" s="75"/>
      <c r="U287" s="75"/>
      <c r="V287" s="75"/>
      <c r="W287" s="75"/>
      <c r="X287" s="75"/>
    </row>
    <row r="288">
      <c r="A288" s="17"/>
      <c r="B288" s="17"/>
      <c r="C288" s="133"/>
      <c r="D288" s="133"/>
      <c r="E288" s="17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4"/>
      <c r="Q288" s="146"/>
      <c r="R288" s="17"/>
      <c r="S288" s="17"/>
      <c r="T288" s="75"/>
      <c r="U288" s="75"/>
      <c r="V288" s="75"/>
      <c r="W288" s="75"/>
      <c r="X288" s="75"/>
    </row>
    <row r="289">
      <c r="A289" s="17"/>
      <c r="B289" s="17"/>
      <c r="C289" s="133"/>
      <c r="D289" s="133"/>
      <c r="E289" s="17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4"/>
      <c r="Q289" s="146"/>
      <c r="R289" s="17"/>
      <c r="S289" s="17"/>
      <c r="T289" s="75"/>
      <c r="U289" s="75"/>
      <c r="V289" s="75"/>
      <c r="W289" s="75"/>
      <c r="X289" s="75"/>
    </row>
    <row r="290">
      <c r="A290" s="17"/>
      <c r="B290" s="17"/>
      <c r="C290" s="133"/>
      <c r="D290" s="133"/>
      <c r="E290" s="17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4"/>
      <c r="Q290" s="146"/>
      <c r="R290" s="17"/>
      <c r="S290" s="17"/>
      <c r="T290" s="75"/>
      <c r="U290" s="75"/>
      <c r="V290" s="75"/>
      <c r="W290" s="75"/>
      <c r="X290" s="75"/>
    </row>
    <row r="291">
      <c r="A291" s="17"/>
      <c r="B291" s="17"/>
      <c r="C291" s="133"/>
      <c r="D291" s="133"/>
      <c r="E291" s="17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4"/>
      <c r="Q291" s="146"/>
      <c r="R291" s="17"/>
      <c r="S291" s="17"/>
      <c r="T291" s="75"/>
      <c r="U291" s="75"/>
      <c r="V291" s="75"/>
      <c r="W291" s="75"/>
      <c r="X291" s="75"/>
    </row>
    <row r="292">
      <c r="A292" s="17"/>
      <c r="B292" s="17"/>
      <c r="C292" s="133"/>
      <c r="D292" s="133"/>
      <c r="E292" s="17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4"/>
      <c r="Q292" s="146"/>
      <c r="R292" s="17"/>
      <c r="S292" s="17"/>
      <c r="T292" s="75"/>
      <c r="U292" s="75"/>
      <c r="V292" s="75"/>
      <c r="W292" s="75"/>
      <c r="X292" s="75"/>
    </row>
    <row r="293">
      <c r="A293" s="17"/>
      <c r="B293" s="17"/>
      <c r="C293" s="133"/>
      <c r="D293" s="133"/>
      <c r="E293" s="17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4"/>
      <c r="Q293" s="146"/>
      <c r="R293" s="17"/>
      <c r="S293" s="17"/>
      <c r="T293" s="75"/>
      <c r="U293" s="75"/>
      <c r="V293" s="75"/>
      <c r="W293" s="75"/>
      <c r="X293" s="75"/>
    </row>
    <row r="294">
      <c r="A294" s="17"/>
      <c r="B294" s="17"/>
      <c r="C294" s="133"/>
      <c r="D294" s="133"/>
      <c r="E294" s="17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4"/>
      <c r="Q294" s="146"/>
      <c r="R294" s="17"/>
      <c r="S294" s="17"/>
      <c r="T294" s="75"/>
      <c r="U294" s="75"/>
      <c r="V294" s="75"/>
      <c r="W294" s="75"/>
      <c r="X294" s="75"/>
    </row>
    <row r="295">
      <c r="A295" s="17"/>
      <c r="B295" s="17"/>
      <c r="C295" s="133"/>
      <c r="D295" s="133"/>
      <c r="E295" s="17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4"/>
      <c r="Q295" s="146"/>
      <c r="R295" s="17"/>
      <c r="S295" s="17"/>
      <c r="T295" s="75"/>
      <c r="U295" s="75"/>
      <c r="V295" s="75"/>
      <c r="W295" s="75"/>
      <c r="X295" s="75"/>
    </row>
    <row r="296">
      <c r="A296" s="17"/>
      <c r="B296" s="17"/>
      <c r="C296" s="133"/>
      <c r="D296" s="133"/>
      <c r="E296" s="17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4"/>
      <c r="Q296" s="146"/>
      <c r="R296" s="17"/>
      <c r="S296" s="17"/>
      <c r="T296" s="75"/>
      <c r="U296" s="75"/>
      <c r="V296" s="75"/>
      <c r="W296" s="75"/>
      <c r="X296" s="75"/>
    </row>
    <row r="297">
      <c r="A297" s="17"/>
      <c r="B297" s="17"/>
      <c r="C297" s="133"/>
      <c r="D297" s="133"/>
      <c r="E297" s="17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4"/>
      <c r="Q297" s="146"/>
      <c r="R297" s="17"/>
      <c r="S297" s="17"/>
      <c r="T297" s="75"/>
      <c r="U297" s="75"/>
      <c r="V297" s="75"/>
      <c r="W297" s="75"/>
      <c r="X297" s="75"/>
    </row>
    <row r="298">
      <c r="A298" s="17"/>
      <c r="B298" s="17"/>
      <c r="C298" s="133"/>
      <c r="D298" s="133"/>
      <c r="E298" s="17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4"/>
      <c r="Q298" s="146"/>
      <c r="R298" s="17"/>
      <c r="S298" s="17"/>
      <c r="T298" s="75"/>
      <c r="U298" s="75"/>
      <c r="V298" s="75"/>
      <c r="W298" s="75"/>
      <c r="X298" s="75"/>
    </row>
    <row r="299">
      <c r="A299" s="17"/>
      <c r="B299" s="17"/>
      <c r="C299" s="133"/>
      <c r="D299" s="133"/>
      <c r="E299" s="17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4"/>
      <c r="Q299" s="146"/>
      <c r="R299" s="17"/>
      <c r="S299" s="17"/>
      <c r="T299" s="75"/>
      <c r="U299" s="75"/>
      <c r="V299" s="75"/>
      <c r="W299" s="75"/>
      <c r="X299" s="75"/>
    </row>
    <row r="300">
      <c r="A300" s="17"/>
      <c r="B300" s="17"/>
      <c r="C300" s="133"/>
      <c r="D300" s="133"/>
      <c r="E300" s="17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4"/>
      <c r="Q300" s="146"/>
      <c r="R300" s="17"/>
      <c r="S300" s="17"/>
      <c r="T300" s="75"/>
      <c r="U300" s="75"/>
      <c r="V300" s="75"/>
      <c r="W300" s="75"/>
      <c r="X300" s="75"/>
    </row>
    <row r="301">
      <c r="A301" s="17"/>
      <c r="B301" s="17"/>
      <c r="C301" s="133"/>
      <c r="D301" s="133"/>
      <c r="E301" s="17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4"/>
      <c r="Q301" s="146"/>
      <c r="R301" s="17"/>
      <c r="S301" s="17"/>
      <c r="T301" s="75"/>
      <c r="U301" s="75"/>
      <c r="V301" s="75"/>
      <c r="W301" s="75"/>
      <c r="X301" s="75"/>
    </row>
    <row r="302">
      <c r="A302" s="17"/>
      <c r="B302" s="17"/>
      <c r="C302" s="133"/>
      <c r="D302" s="133"/>
      <c r="E302" s="17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4"/>
      <c r="Q302" s="146"/>
      <c r="R302" s="17"/>
      <c r="S302" s="17"/>
      <c r="T302" s="75"/>
      <c r="U302" s="75"/>
      <c r="V302" s="75"/>
      <c r="W302" s="75"/>
      <c r="X302" s="75"/>
    </row>
    <row r="303">
      <c r="A303" s="17"/>
      <c r="B303" s="17"/>
      <c r="C303" s="133"/>
      <c r="D303" s="133"/>
      <c r="E303" s="17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4"/>
      <c r="Q303" s="146"/>
      <c r="R303" s="17"/>
      <c r="S303" s="17"/>
      <c r="T303" s="75"/>
      <c r="U303" s="75"/>
      <c r="V303" s="75"/>
      <c r="W303" s="75"/>
      <c r="X303" s="75"/>
    </row>
    <row r="304">
      <c r="A304" s="17"/>
      <c r="B304" s="17"/>
      <c r="C304" s="133"/>
      <c r="D304" s="133"/>
      <c r="E304" s="17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4"/>
      <c r="Q304" s="146"/>
      <c r="R304" s="17"/>
      <c r="S304" s="17"/>
      <c r="T304" s="75"/>
      <c r="U304" s="75"/>
      <c r="V304" s="75"/>
      <c r="W304" s="75"/>
      <c r="X304" s="75"/>
    </row>
    <row r="305">
      <c r="A305" s="17"/>
      <c r="B305" s="17"/>
      <c r="C305" s="133"/>
      <c r="D305" s="133"/>
      <c r="E305" s="17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4"/>
      <c r="Q305" s="146"/>
      <c r="R305" s="17"/>
      <c r="S305" s="17"/>
      <c r="T305" s="75"/>
      <c r="U305" s="75"/>
      <c r="V305" s="75"/>
      <c r="W305" s="75"/>
      <c r="X305" s="75"/>
    </row>
    <row r="306">
      <c r="A306" s="17"/>
      <c r="B306" s="17"/>
      <c r="C306" s="133"/>
      <c r="D306" s="133"/>
      <c r="E306" s="17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4"/>
      <c r="Q306" s="146"/>
      <c r="R306" s="17"/>
      <c r="S306" s="17"/>
      <c r="T306" s="75"/>
      <c r="U306" s="75"/>
      <c r="V306" s="75"/>
      <c r="W306" s="75"/>
      <c r="X306" s="75"/>
    </row>
    <row r="307">
      <c r="A307" s="17"/>
      <c r="B307" s="17"/>
      <c r="C307" s="133"/>
      <c r="D307" s="133"/>
      <c r="E307" s="17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4"/>
      <c r="Q307" s="146"/>
      <c r="R307" s="17"/>
      <c r="S307" s="17"/>
      <c r="T307" s="75"/>
      <c r="U307" s="75"/>
      <c r="V307" s="75"/>
      <c r="W307" s="75"/>
      <c r="X307" s="75"/>
    </row>
    <row r="308">
      <c r="A308" s="17"/>
      <c r="B308" s="17"/>
      <c r="C308" s="133"/>
      <c r="D308" s="133"/>
      <c r="E308" s="17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4"/>
      <c r="Q308" s="146"/>
      <c r="R308" s="17"/>
      <c r="S308" s="17"/>
      <c r="T308" s="75"/>
      <c r="U308" s="75"/>
      <c r="V308" s="75"/>
      <c r="W308" s="75"/>
      <c r="X308" s="75"/>
    </row>
    <row r="309">
      <c r="A309" s="17"/>
      <c r="B309" s="17"/>
      <c r="C309" s="133"/>
      <c r="D309" s="133"/>
      <c r="E309" s="17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4"/>
      <c r="Q309" s="146"/>
      <c r="R309" s="17"/>
      <c r="S309" s="17"/>
      <c r="T309" s="75"/>
      <c r="U309" s="75"/>
      <c r="V309" s="75"/>
      <c r="W309" s="75"/>
      <c r="X309" s="75"/>
    </row>
    <row r="310">
      <c r="A310" s="17"/>
      <c r="B310" s="17"/>
      <c r="C310" s="133"/>
      <c r="D310" s="133"/>
      <c r="E310" s="17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4"/>
      <c r="Q310" s="146"/>
      <c r="R310" s="17"/>
      <c r="S310" s="17"/>
      <c r="T310" s="75"/>
      <c r="U310" s="75"/>
      <c r="V310" s="75"/>
      <c r="W310" s="75"/>
      <c r="X310" s="75"/>
    </row>
    <row r="311">
      <c r="A311" s="17"/>
      <c r="B311" s="17"/>
      <c r="C311" s="133"/>
      <c r="D311" s="133"/>
      <c r="E311" s="17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4"/>
      <c r="Q311" s="146"/>
      <c r="R311" s="17"/>
      <c r="S311" s="17"/>
      <c r="T311" s="75"/>
      <c r="U311" s="75"/>
      <c r="V311" s="75"/>
      <c r="W311" s="75"/>
      <c r="X311" s="75"/>
    </row>
    <row r="312">
      <c r="A312" s="17"/>
      <c r="B312" s="17"/>
      <c r="C312" s="133"/>
      <c r="D312" s="133"/>
      <c r="E312" s="17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4"/>
      <c r="Q312" s="146"/>
      <c r="R312" s="17"/>
      <c r="S312" s="17"/>
      <c r="T312" s="75"/>
      <c r="U312" s="75"/>
      <c r="V312" s="75"/>
      <c r="W312" s="75"/>
      <c r="X312" s="75"/>
    </row>
    <row r="313">
      <c r="A313" s="17"/>
      <c r="B313" s="17"/>
      <c r="C313" s="133"/>
      <c r="D313" s="133"/>
      <c r="E313" s="17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4"/>
      <c r="Q313" s="146"/>
      <c r="R313" s="17"/>
      <c r="S313" s="17"/>
      <c r="T313" s="75"/>
      <c r="U313" s="75"/>
      <c r="V313" s="75"/>
      <c r="W313" s="75"/>
      <c r="X313" s="75"/>
    </row>
    <row r="314">
      <c r="A314" s="17"/>
      <c r="B314" s="17"/>
      <c r="C314" s="133"/>
      <c r="D314" s="133"/>
      <c r="E314" s="17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4"/>
      <c r="Q314" s="146"/>
      <c r="R314" s="17"/>
      <c r="S314" s="17"/>
      <c r="T314" s="75"/>
      <c r="U314" s="75"/>
      <c r="V314" s="75"/>
      <c r="W314" s="75"/>
      <c r="X314" s="75"/>
    </row>
    <row r="315">
      <c r="A315" s="17"/>
      <c r="B315" s="17"/>
      <c r="C315" s="133"/>
      <c r="D315" s="133"/>
      <c r="E315" s="17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4"/>
      <c r="Q315" s="146"/>
      <c r="R315" s="17"/>
      <c r="S315" s="17"/>
      <c r="T315" s="75"/>
      <c r="U315" s="75"/>
      <c r="V315" s="75"/>
      <c r="W315" s="75"/>
      <c r="X315" s="75"/>
    </row>
    <row r="316">
      <c r="A316" s="17"/>
      <c r="B316" s="17"/>
      <c r="C316" s="133"/>
      <c r="D316" s="133"/>
      <c r="E316" s="17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4"/>
      <c r="Q316" s="146"/>
      <c r="R316" s="17"/>
      <c r="S316" s="17"/>
      <c r="T316" s="75"/>
      <c r="U316" s="75"/>
      <c r="V316" s="75"/>
      <c r="W316" s="75"/>
      <c r="X316" s="75"/>
    </row>
    <row r="317">
      <c r="A317" s="17"/>
      <c r="B317" s="17"/>
      <c r="C317" s="133"/>
      <c r="D317" s="133"/>
      <c r="E317" s="17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4"/>
      <c r="Q317" s="146"/>
      <c r="R317" s="17"/>
      <c r="S317" s="17"/>
      <c r="T317" s="75"/>
      <c r="U317" s="75"/>
      <c r="V317" s="75"/>
      <c r="W317" s="75"/>
      <c r="X317" s="75"/>
    </row>
    <row r="318">
      <c r="A318" s="17"/>
      <c r="B318" s="17"/>
      <c r="C318" s="133"/>
      <c r="D318" s="133"/>
      <c r="E318" s="17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4"/>
      <c r="Q318" s="146"/>
      <c r="R318" s="17"/>
      <c r="S318" s="17"/>
      <c r="T318" s="75"/>
      <c r="U318" s="75"/>
      <c r="V318" s="75"/>
      <c r="W318" s="75"/>
      <c r="X318" s="75"/>
    </row>
    <row r="319">
      <c r="A319" s="17"/>
      <c r="B319" s="17"/>
      <c r="C319" s="133"/>
      <c r="D319" s="133"/>
      <c r="E319" s="17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4"/>
      <c r="Q319" s="146"/>
      <c r="R319" s="17"/>
      <c r="S319" s="17"/>
      <c r="T319" s="75"/>
      <c r="U319" s="75"/>
      <c r="V319" s="75"/>
      <c r="W319" s="75"/>
      <c r="X319" s="75"/>
    </row>
    <row r="320">
      <c r="A320" s="17"/>
      <c r="B320" s="17"/>
      <c r="C320" s="133"/>
      <c r="D320" s="133"/>
      <c r="E320" s="17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4"/>
      <c r="Q320" s="146"/>
      <c r="R320" s="17"/>
      <c r="S320" s="17"/>
      <c r="T320" s="75"/>
      <c r="U320" s="75"/>
      <c r="V320" s="75"/>
      <c r="W320" s="75"/>
      <c r="X320" s="75"/>
    </row>
    <row r="321">
      <c r="A321" s="17"/>
      <c r="B321" s="17"/>
      <c r="C321" s="133"/>
      <c r="D321" s="133"/>
      <c r="E321" s="17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4"/>
      <c r="Q321" s="146"/>
      <c r="R321" s="17"/>
      <c r="S321" s="17"/>
      <c r="T321" s="75"/>
      <c r="U321" s="75"/>
      <c r="V321" s="75"/>
      <c r="W321" s="75"/>
      <c r="X321" s="75"/>
    </row>
    <row r="322">
      <c r="A322" s="17"/>
      <c r="B322" s="17"/>
      <c r="C322" s="133"/>
      <c r="D322" s="133"/>
      <c r="E322" s="17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4"/>
      <c r="Q322" s="146"/>
      <c r="R322" s="17"/>
      <c r="S322" s="17"/>
      <c r="T322" s="75"/>
      <c r="U322" s="75"/>
      <c r="V322" s="75"/>
      <c r="W322" s="75"/>
      <c r="X322" s="75"/>
    </row>
    <row r="323">
      <c r="A323" s="17"/>
      <c r="B323" s="17"/>
      <c r="C323" s="133"/>
      <c r="D323" s="133"/>
      <c r="E323" s="17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4"/>
      <c r="Q323" s="146"/>
      <c r="R323" s="17"/>
      <c r="S323" s="17"/>
      <c r="T323" s="75"/>
      <c r="U323" s="75"/>
      <c r="V323" s="75"/>
      <c r="W323" s="75"/>
      <c r="X323" s="75"/>
    </row>
    <row r="324">
      <c r="A324" s="17"/>
      <c r="B324" s="17"/>
      <c r="C324" s="133"/>
      <c r="D324" s="133"/>
      <c r="E324" s="17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4"/>
      <c r="Q324" s="146"/>
      <c r="R324" s="17"/>
      <c r="S324" s="17"/>
      <c r="T324" s="75"/>
      <c r="U324" s="75"/>
      <c r="V324" s="75"/>
      <c r="W324" s="75"/>
      <c r="X324" s="75"/>
    </row>
    <row r="325">
      <c r="A325" s="17"/>
      <c r="B325" s="17"/>
      <c r="C325" s="133"/>
      <c r="D325" s="133"/>
      <c r="E325" s="17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4"/>
      <c r="Q325" s="146"/>
      <c r="R325" s="17"/>
      <c r="S325" s="17"/>
      <c r="T325" s="75"/>
      <c r="U325" s="75"/>
      <c r="V325" s="75"/>
      <c r="W325" s="75"/>
      <c r="X325" s="75"/>
    </row>
    <row r="326">
      <c r="A326" s="17"/>
      <c r="B326" s="17"/>
      <c r="C326" s="133"/>
      <c r="D326" s="133"/>
      <c r="E326" s="17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4"/>
      <c r="Q326" s="146"/>
      <c r="R326" s="17"/>
      <c r="S326" s="17"/>
      <c r="T326" s="75"/>
      <c r="U326" s="75"/>
      <c r="V326" s="75"/>
      <c r="W326" s="75"/>
      <c r="X326" s="75"/>
    </row>
    <row r="327">
      <c r="A327" s="17"/>
      <c r="B327" s="17"/>
      <c r="C327" s="133"/>
      <c r="D327" s="133"/>
      <c r="E327" s="17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4"/>
      <c r="Q327" s="146"/>
      <c r="R327" s="17"/>
      <c r="S327" s="17"/>
      <c r="T327" s="75"/>
      <c r="U327" s="75"/>
      <c r="V327" s="75"/>
      <c r="W327" s="75"/>
      <c r="X327" s="75"/>
    </row>
    <row r="328">
      <c r="A328" s="17"/>
      <c r="B328" s="17"/>
      <c r="C328" s="133"/>
      <c r="D328" s="133"/>
      <c r="E328" s="17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4"/>
      <c r="Q328" s="146"/>
      <c r="R328" s="17"/>
      <c r="S328" s="17"/>
      <c r="T328" s="75"/>
      <c r="U328" s="75"/>
      <c r="V328" s="75"/>
      <c r="W328" s="75"/>
      <c r="X328" s="75"/>
    </row>
    <row r="329">
      <c r="A329" s="17"/>
      <c r="B329" s="17"/>
      <c r="C329" s="133"/>
      <c r="D329" s="133"/>
      <c r="E329" s="17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4"/>
      <c r="Q329" s="146"/>
      <c r="R329" s="17"/>
      <c r="S329" s="17"/>
      <c r="T329" s="75"/>
      <c r="U329" s="75"/>
      <c r="V329" s="75"/>
      <c r="W329" s="75"/>
      <c r="X329" s="75"/>
    </row>
    <row r="330">
      <c r="A330" s="17"/>
      <c r="B330" s="17"/>
      <c r="C330" s="133"/>
      <c r="D330" s="133"/>
      <c r="E330" s="17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4"/>
      <c r="Q330" s="146"/>
      <c r="R330" s="17"/>
      <c r="S330" s="17"/>
      <c r="T330" s="75"/>
      <c r="U330" s="75"/>
      <c r="V330" s="75"/>
      <c r="W330" s="75"/>
      <c r="X330" s="75"/>
    </row>
    <row r="331">
      <c r="A331" s="17"/>
      <c r="B331" s="17"/>
      <c r="C331" s="133"/>
      <c r="D331" s="133"/>
      <c r="E331" s="17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4"/>
      <c r="Q331" s="146"/>
      <c r="R331" s="17"/>
      <c r="S331" s="17"/>
      <c r="T331" s="75"/>
      <c r="U331" s="75"/>
      <c r="V331" s="75"/>
      <c r="W331" s="75"/>
      <c r="X331" s="75"/>
    </row>
    <row r="332">
      <c r="A332" s="17"/>
      <c r="B332" s="17"/>
      <c r="C332" s="133"/>
      <c r="D332" s="133"/>
      <c r="E332" s="17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4"/>
      <c r="Q332" s="146"/>
      <c r="R332" s="17"/>
      <c r="S332" s="17"/>
      <c r="T332" s="75"/>
      <c r="U332" s="75"/>
      <c r="V332" s="75"/>
      <c r="W332" s="75"/>
      <c r="X332" s="75"/>
    </row>
    <row r="333">
      <c r="A333" s="17"/>
      <c r="B333" s="17"/>
      <c r="C333" s="133"/>
      <c r="D333" s="133"/>
      <c r="E333" s="17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4"/>
      <c r="Q333" s="146"/>
      <c r="R333" s="17"/>
      <c r="S333" s="17"/>
      <c r="T333" s="75"/>
      <c r="U333" s="75"/>
      <c r="V333" s="75"/>
      <c r="W333" s="75"/>
      <c r="X333" s="75"/>
    </row>
    <row r="334">
      <c r="A334" s="17"/>
      <c r="B334" s="17"/>
      <c r="C334" s="133"/>
      <c r="D334" s="133"/>
      <c r="E334" s="17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4"/>
      <c r="Q334" s="146"/>
      <c r="R334" s="17"/>
      <c r="S334" s="17"/>
      <c r="T334" s="75"/>
      <c r="U334" s="75"/>
      <c r="V334" s="75"/>
      <c r="W334" s="75"/>
      <c r="X334" s="75"/>
    </row>
    <row r="335">
      <c r="A335" s="17"/>
      <c r="B335" s="17"/>
      <c r="C335" s="133"/>
      <c r="D335" s="133"/>
      <c r="E335" s="17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4"/>
      <c r="Q335" s="146"/>
      <c r="R335" s="17"/>
      <c r="S335" s="17"/>
      <c r="T335" s="75"/>
      <c r="U335" s="75"/>
      <c r="V335" s="75"/>
      <c r="W335" s="75"/>
      <c r="X335" s="75"/>
    </row>
    <row r="336">
      <c r="A336" s="17"/>
      <c r="B336" s="17"/>
      <c r="C336" s="133"/>
      <c r="D336" s="133"/>
      <c r="E336" s="17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4"/>
      <c r="Q336" s="146"/>
      <c r="R336" s="17"/>
      <c r="S336" s="17"/>
      <c r="T336" s="75"/>
      <c r="U336" s="75"/>
      <c r="V336" s="75"/>
      <c r="W336" s="75"/>
      <c r="X336" s="75"/>
    </row>
    <row r="337">
      <c r="A337" s="17"/>
      <c r="B337" s="17"/>
      <c r="C337" s="133"/>
      <c r="D337" s="133"/>
      <c r="E337" s="17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4"/>
      <c r="Q337" s="146"/>
      <c r="R337" s="17"/>
      <c r="S337" s="17"/>
      <c r="T337" s="75"/>
      <c r="U337" s="75"/>
      <c r="V337" s="75"/>
      <c r="W337" s="75"/>
      <c r="X337" s="75"/>
    </row>
    <row r="338">
      <c r="A338" s="17"/>
      <c r="B338" s="17"/>
      <c r="C338" s="133"/>
      <c r="D338" s="133"/>
      <c r="E338" s="17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4"/>
      <c r="Q338" s="146"/>
      <c r="R338" s="17"/>
      <c r="S338" s="17"/>
      <c r="T338" s="75"/>
      <c r="U338" s="75"/>
      <c r="V338" s="75"/>
      <c r="W338" s="75"/>
      <c r="X338" s="75"/>
    </row>
    <row r="339">
      <c r="A339" s="17"/>
      <c r="B339" s="17"/>
      <c r="C339" s="133"/>
      <c r="D339" s="133"/>
      <c r="E339" s="17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4"/>
      <c r="Q339" s="146"/>
      <c r="R339" s="17"/>
      <c r="S339" s="17"/>
      <c r="T339" s="75"/>
      <c r="U339" s="75"/>
      <c r="V339" s="75"/>
      <c r="W339" s="75"/>
      <c r="X339" s="75"/>
    </row>
    <row r="340">
      <c r="A340" s="17"/>
      <c r="B340" s="17"/>
      <c r="C340" s="133"/>
      <c r="D340" s="133"/>
      <c r="E340" s="17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4"/>
      <c r="Q340" s="146"/>
      <c r="R340" s="17"/>
      <c r="S340" s="17"/>
      <c r="T340" s="75"/>
      <c r="U340" s="75"/>
      <c r="V340" s="75"/>
      <c r="W340" s="75"/>
      <c r="X340" s="75"/>
    </row>
    <row r="341">
      <c r="A341" s="17"/>
      <c r="B341" s="17"/>
      <c r="C341" s="133"/>
      <c r="D341" s="133"/>
      <c r="E341" s="17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4"/>
      <c r="Q341" s="146"/>
      <c r="R341" s="17"/>
      <c r="S341" s="17"/>
      <c r="T341" s="75"/>
      <c r="U341" s="75"/>
      <c r="V341" s="75"/>
      <c r="W341" s="75"/>
      <c r="X341" s="75"/>
    </row>
    <row r="342">
      <c r="A342" s="17"/>
      <c r="B342" s="17"/>
      <c r="C342" s="133"/>
      <c r="D342" s="133"/>
      <c r="E342" s="17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4"/>
      <c r="Q342" s="146"/>
      <c r="R342" s="17"/>
      <c r="S342" s="17"/>
      <c r="T342" s="75"/>
      <c r="U342" s="75"/>
      <c r="V342" s="75"/>
      <c r="W342" s="75"/>
      <c r="X342" s="75"/>
    </row>
    <row r="343">
      <c r="A343" s="17"/>
      <c r="B343" s="17"/>
      <c r="C343" s="133"/>
      <c r="D343" s="133"/>
      <c r="E343" s="17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4"/>
      <c r="Q343" s="146"/>
      <c r="R343" s="17"/>
      <c r="S343" s="17"/>
      <c r="T343" s="75"/>
      <c r="U343" s="75"/>
      <c r="V343" s="75"/>
      <c r="W343" s="75"/>
      <c r="X343" s="75"/>
    </row>
    <row r="344">
      <c r="A344" s="17"/>
      <c r="B344" s="17"/>
      <c r="C344" s="133"/>
      <c r="D344" s="133"/>
      <c r="E344" s="17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4"/>
      <c r="Q344" s="146"/>
      <c r="R344" s="17"/>
      <c r="S344" s="17"/>
      <c r="T344" s="75"/>
      <c r="U344" s="75"/>
      <c r="V344" s="75"/>
      <c r="W344" s="75"/>
      <c r="X344" s="75"/>
    </row>
    <row r="345">
      <c r="A345" s="17"/>
      <c r="B345" s="17"/>
      <c r="C345" s="133"/>
      <c r="D345" s="133"/>
      <c r="E345" s="17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4"/>
      <c r="Q345" s="146"/>
      <c r="R345" s="17"/>
      <c r="S345" s="17"/>
      <c r="T345" s="75"/>
      <c r="U345" s="75"/>
      <c r="V345" s="75"/>
      <c r="W345" s="75"/>
      <c r="X345" s="75"/>
    </row>
    <row r="346">
      <c r="A346" s="17"/>
      <c r="B346" s="17"/>
      <c r="C346" s="133"/>
      <c r="D346" s="133"/>
      <c r="E346" s="17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4"/>
      <c r="Q346" s="146"/>
      <c r="R346" s="17"/>
      <c r="S346" s="17"/>
      <c r="T346" s="75"/>
      <c r="U346" s="75"/>
      <c r="V346" s="75"/>
      <c r="W346" s="75"/>
      <c r="X346" s="75"/>
    </row>
    <row r="347">
      <c r="A347" s="17"/>
      <c r="B347" s="17"/>
      <c r="C347" s="133"/>
      <c r="D347" s="133"/>
      <c r="E347" s="17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4"/>
      <c r="Q347" s="146"/>
      <c r="R347" s="17"/>
      <c r="S347" s="17"/>
      <c r="T347" s="75"/>
      <c r="U347" s="75"/>
      <c r="V347" s="75"/>
      <c r="W347" s="75"/>
      <c r="X347" s="75"/>
    </row>
    <row r="348">
      <c r="A348" s="17"/>
      <c r="B348" s="17"/>
      <c r="C348" s="133"/>
      <c r="D348" s="133"/>
      <c r="E348" s="17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4"/>
      <c r="Q348" s="146"/>
      <c r="R348" s="17"/>
      <c r="S348" s="17"/>
      <c r="T348" s="75"/>
      <c r="U348" s="75"/>
      <c r="V348" s="75"/>
      <c r="W348" s="75"/>
      <c r="X348" s="75"/>
    </row>
    <row r="349">
      <c r="A349" s="17"/>
      <c r="B349" s="17"/>
      <c r="C349" s="133"/>
      <c r="D349" s="133"/>
      <c r="E349" s="17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4"/>
      <c r="Q349" s="146"/>
      <c r="R349" s="17"/>
      <c r="S349" s="17"/>
      <c r="T349" s="75"/>
      <c r="U349" s="75"/>
      <c r="V349" s="75"/>
      <c r="W349" s="75"/>
      <c r="X349" s="75"/>
    </row>
    <row r="350">
      <c r="A350" s="17"/>
      <c r="B350" s="17"/>
      <c r="C350" s="133"/>
      <c r="D350" s="133"/>
      <c r="E350" s="17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4"/>
      <c r="Q350" s="146"/>
      <c r="R350" s="17"/>
      <c r="S350" s="17"/>
      <c r="T350" s="75"/>
      <c r="U350" s="75"/>
      <c r="V350" s="75"/>
      <c r="W350" s="75"/>
      <c r="X350" s="75"/>
    </row>
    <row r="351">
      <c r="A351" s="17"/>
      <c r="B351" s="17"/>
      <c r="C351" s="133"/>
      <c r="D351" s="133"/>
      <c r="E351" s="17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4"/>
      <c r="Q351" s="146"/>
      <c r="R351" s="17"/>
      <c r="S351" s="17"/>
      <c r="T351" s="75"/>
      <c r="U351" s="75"/>
      <c r="V351" s="75"/>
      <c r="W351" s="75"/>
      <c r="X351" s="75"/>
    </row>
    <row r="352">
      <c r="A352" s="17"/>
      <c r="B352" s="17"/>
      <c r="C352" s="133"/>
      <c r="D352" s="133"/>
      <c r="E352" s="17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4"/>
      <c r="Q352" s="146"/>
      <c r="R352" s="17"/>
      <c r="S352" s="17"/>
      <c r="T352" s="75"/>
      <c r="U352" s="75"/>
      <c r="V352" s="75"/>
      <c r="W352" s="75"/>
      <c r="X352" s="75"/>
    </row>
    <row r="353">
      <c r="A353" s="17"/>
      <c r="B353" s="17"/>
      <c r="C353" s="133"/>
      <c r="D353" s="133"/>
      <c r="E353" s="17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4"/>
      <c r="Q353" s="146"/>
      <c r="R353" s="17"/>
      <c r="S353" s="17"/>
      <c r="T353" s="75"/>
      <c r="U353" s="75"/>
      <c r="V353" s="75"/>
      <c r="W353" s="75"/>
      <c r="X353" s="75"/>
    </row>
    <row r="354">
      <c r="A354" s="17"/>
      <c r="B354" s="17"/>
      <c r="C354" s="133"/>
      <c r="D354" s="133"/>
      <c r="E354" s="17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4"/>
      <c r="Q354" s="146"/>
      <c r="R354" s="17"/>
      <c r="S354" s="17"/>
      <c r="T354" s="75"/>
      <c r="U354" s="75"/>
      <c r="V354" s="75"/>
      <c r="W354" s="75"/>
      <c r="X354" s="75"/>
    </row>
    <row r="355">
      <c r="A355" s="17"/>
      <c r="B355" s="17"/>
      <c r="C355" s="133"/>
      <c r="D355" s="133"/>
      <c r="E355" s="17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4"/>
      <c r="Q355" s="146"/>
      <c r="R355" s="17"/>
      <c r="S355" s="17"/>
      <c r="T355" s="75"/>
      <c r="U355" s="75"/>
      <c r="V355" s="75"/>
      <c r="W355" s="75"/>
      <c r="X355" s="75"/>
    </row>
    <row r="356">
      <c r="A356" s="17"/>
      <c r="B356" s="17"/>
      <c r="C356" s="133"/>
      <c r="D356" s="133"/>
      <c r="E356" s="17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4"/>
      <c r="Q356" s="146"/>
      <c r="R356" s="17"/>
      <c r="S356" s="17"/>
      <c r="T356" s="75"/>
      <c r="U356" s="75"/>
      <c r="V356" s="75"/>
      <c r="W356" s="75"/>
      <c r="X356" s="75"/>
    </row>
    <row r="357">
      <c r="A357" s="17"/>
      <c r="B357" s="17"/>
      <c r="C357" s="133"/>
      <c r="D357" s="133"/>
      <c r="E357" s="17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4"/>
      <c r="Q357" s="146"/>
      <c r="R357" s="17"/>
      <c r="S357" s="17"/>
      <c r="T357" s="75"/>
      <c r="U357" s="75"/>
      <c r="V357" s="75"/>
      <c r="W357" s="75"/>
      <c r="X357" s="75"/>
    </row>
    <row r="358">
      <c r="A358" s="17"/>
      <c r="B358" s="17"/>
      <c r="C358" s="133"/>
      <c r="D358" s="133"/>
      <c r="E358" s="17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4"/>
      <c r="Q358" s="146"/>
      <c r="R358" s="17"/>
      <c r="S358" s="17"/>
      <c r="T358" s="75"/>
      <c r="U358" s="75"/>
      <c r="V358" s="75"/>
      <c r="W358" s="75"/>
      <c r="X358" s="75"/>
    </row>
    <row r="359">
      <c r="A359" s="17"/>
      <c r="B359" s="17"/>
      <c r="C359" s="133"/>
      <c r="D359" s="133"/>
      <c r="E359" s="17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4"/>
      <c r="Q359" s="146"/>
      <c r="R359" s="17"/>
      <c r="S359" s="17"/>
      <c r="T359" s="75"/>
      <c r="U359" s="75"/>
      <c r="V359" s="75"/>
      <c r="W359" s="75"/>
      <c r="X359" s="75"/>
    </row>
    <row r="360">
      <c r="A360" s="17"/>
      <c r="B360" s="17"/>
      <c r="C360" s="133"/>
      <c r="D360" s="133"/>
      <c r="E360" s="17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4"/>
      <c r="Q360" s="146"/>
      <c r="R360" s="17"/>
      <c r="S360" s="17"/>
      <c r="T360" s="75"/>
      <c r="U360" s="75"/>
      <c r="V360" s="75"/>
      <c r="W360" s="75"/>
      <c r="X360" s="75"/>
    </row>
    <row r="361">
      <c r="A361" s="17"/>
      <c r="B361" s="17"/>
      <c r="C361" s="133"/>
      <c r="D361" s="133"/>
      <c r="E361" s="17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4"/>
      <c r="Q361" s="146"/>
      <c r="R361" s="17"/>
      <c r="S361" s="17"/>
      <c r="T361" s="75"/>
      <c r="U361" s="75"/>
      <c r="V361" s="75"/>
      <c r="W361" s="75"/>
      <c r="X361" s="75"/>
    </row>
    <row r="362">
      <c r="A362" s="17"/>
      <c r="B362" s="17"/>
      <c r="C362" s="133"/>
      <c r="D362" s="133"/>
      <c r="E362" s="17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4"/>
      <c r="Q362" s="146"/>
      <c r="R362" s="17"/>
      <c r="S362" s="17"/>
      <c r="T362" s="75"/>
      <c r="U362" s="75"/>
      <c r="V362" s="75"/>
      <c r="W362" s="75"/>
      <c r="X362" s="75"/>
    </row>
    <row r="363">
      <c r="A363" s="17"/>
      <c r="B363" s="17"/>
      <c r="C363" s="133"/>
      <c r="D363" s="133"/>
      <c r="E363" s="17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4"/>
      <c r="Q363" s="146"/>
      <c r="R363" s="17"/>
      <c r="S363" s="17"/>
      <c r="T363" s="75"/>
      <c r="U363" s="75"/>
      <c r="V363" s="75"/>
      <c r="W363" s="75"/>
      <c r="X363" s="75"/>
    </row>
    <row r="364">
      <c r="A364" s="17"/>
      <c r="B364" s="17"/>
      <c r="C364" s="133"/>
      <c r="D364" s="133"/>
      <c r="E364" s="17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4"/>
      <c r="Q364" s="146"/>
      <c r="R364" s="17"/>
      <c r="S364" s="17"/>
      <c r="T364" s="75"/>
      <c r="U364" s="75"/>
      <c r="V364" s="75"/>
      <c r="W364" s="75"/>
      <c r="X364" s="75"/>
    </row>
    <row r="365">
      <c r="A365" s="17"/>
      <c r="B365" s="17"/>
      <c r="C365" s="133"/>
      <c r="D365" s="133"/>
      <c r="E365" s="17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4"/>
      <c r="Q365" s="146"/>
      <c r="R365" s="17"/>
      <c r="S365" s="17"/>
      <c r="T365" s="75"/>
      <c r="U365" s="75"/>
      <c r="V365" s="75"/>
      <c r="W365" s="75"/>
      <c r="X365" s="75"/>
    </row>
    <row r="366">
      <c r="A366" s="17"/>
      <c r="B366" s="17"/>
      <c r="C366" s="133"/>
      <c r="D366" s="133"/>
      <c r="E366" s="17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4"/>
      <c r="Q366" s="146"/>
      <c r="R366" s="17"/>
      <c r="S366" s="17"/>
      <c r="T366" s="75"/>
      <c r="U366" s="75"/>
      <c r="V366" s="75"/>
      <c r="W366" s="75"/>
      <c r="X366" s="75"/>
    </row>
    <row r="367">
      <c r="A367" s="17"/>
      <c r="B367" s="17"/>
      <c r="C367" s="133"/>
      <c r="D367" s="133"/>
      <c r="E367" s="17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4"/>
      <c r="Q367" s="146"/>
      <c r="R367" s="17"/>
      <c r="S367" s="17"/>
      <c r="T367" s="75"/>
      <c r="U367" s="75"/>
      <c r="V367" s="75"/>
      <c r="W367" s="75"/>
      <c r="X367" s="75"/>
    </row>
    <row r="368">
      <c r="A368" s="17"/>
      <c r="B368" s="17"/>
      <c r="C368" s="133"/>
      <c r="D368" s="133"/>
      <c r="E368" s="17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4"/>
      <c r="Q368" s="146"/>
      <c r="R368" s="17"/>
      <c r="S368" s="17"/>
      <c r="T368" s="75"/>
      <c r="U368" s="75"/>
      <c r="V368" s="75"/>
      <c r="W368" s="75"/>
      <c r="X368" s="75"/>
    </row>
    <row r="369">
      <c r="A369" s="17"/>
      <c r="B369" s="17"/>
      <c r="C369" s="133"/>
      <c r="D369" s="133"/>
      <c r="E369" s="17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4"/>
      <c r="Q369" s="146"/>
      <c r="R369" s="17"/>
      <c r="S369" s="17"/>
      <c r="T369" s="75"/>
      <c r="U369" s="75"/>
      <c r="V369" s="75"/>
      <c r="W369" s="75"/>
      <c r="X369" s="75"/>
    </row>
    <row r="370">
      <c r="A370" s="17"/>
      <c r="B370" s="17"/>
      <c r="C370" s="133"/>
      <c r="D370" s="133"/>
      <c r="E370" s="17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4"/>
      <c r="Q370" s="146"/>
      <c r="R370" s="17"/>
      <c r="S370" s="17"/>
      <c r="T370" s="75"/>
      <c r="U370" s="75"/>
      <c r="V370" s="75"/>
      <c r="W370" s="75"/>
      <c r="X370" s="75"/>
    </row>
    <row r="371">
      <c r="A371" s="17"/>
      <c r="B371" s="17"/>
      <c r="C371" s="133"/>
      <c r="D371" s="133"/>
      <c r="E371" s="17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4"/>
      <c r="Q371" s="146"/>
      <c r="R371" s="17"/>
      <c r="S371" s="17"/>
      <c r="T371" s="75"/>
      <c r="U371" s="75"/>
      <c r="V371" s="75"/>
      <c r="W371" s="75"/>
      <c r="X371" s="75"/>
    </row>
    <row r="372">
      <c r="A372" s="17"/>
      <c r="B372" s="17"/>
      <c r="C372" s="133"/>
      <c r="D372" s="133"/>
      <c r="E372" s="17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4"/>
      <c r="Q372" s="146"/>
      <c r="R372" s="17"/>
      <c r="S372" s="17"/>
      <c r="T372" s="75"/>
      <c r="U372" s="75"/>
      <c r="V372" s="75"/>
      <c r="W372" s="75"/>
      <c r="X372" s="75"/>
    </row>
    <row r="373">
      <c r="A373" s="17"/>
      <c r="B373" s="17"/>
      <c r="C373" s="133"/>
      <c r="D373" s="133"/>
      <c r="E373" s="17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4"/>
      <c r="Q373" s="146"/>
      <c r="R373" s="17"/>
      <c r="S373" s="17"/>
      <c r="T373" s="75"/>
      <c r="U373" s="75"/>
      <c r="V373" s="75"/>
      <c r="W373" s="75"/>
      <c r="X373" s="75"/>
    </row>
    <row r="374">
      <c r="A374" s="17"/>
      <c r="B374" s="17"/>
      <c r="C374" s="133"/>
      <c r="D374" s="133"/>
      <c r="E374" s="17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4"/>
      <c r="Q374" s="146"/>
      <c r="R374" s="17"/>
      <c r="S374" s="17"/>
      <c r="T374" s="75"/>
      <c r="U374" s="75"/>
      <c r="V374" s="75"/>
      <c r="W374" s="75"/>
      <c r="X374" s="75"/>
    </row>
    <row r="375">
      <c r="A375" s="17"/>
      <c r="B375" s="17"/>
      <c r="C375" s="133"/>
      <c r="D375" s="133"/>
      <c r="E375" s="17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4"/>
      <c r="Q375" s="146"/>
      <c r="R375" s="17"/>
      <c r="S375" s="17"/>
      <c r="T375" s="75"/>
      <c r="U375" s="75"/>
      <c r="V375" s="75"/>
      <c r="W375" s="75"/>
      <c r="X375" s="75"/>
    </row>
    <row r="376">
      <c r="A376" s="17"/>
      <c r="B376" s="17"/>
      <c r="C376" s="133"/>
      <c r="D376" s="133"/>
      <c r="E376" s="17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4"/>
      <c r="Q376" s="146"/>
      <c r="R376" s="17"/>
      <c r="S376" s="17"/>
      <c r="T376" s="75"/>
      <c r="U376" s="75"/>
      <c r="V376" s="75"/>
      <c r="W376" s="75"/>
      <c r="X376" s="75"/>
    </row>
    <row r="377">
      <c r="A377" s="17"/>
      <c r="B377" s="17"/>
      <c r="C377" s="133"/>
      <c r="D377" s="133"/>
      <c r="E377" s="17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4"/>
      <c r="Q377" s="146"/>
      <c r="R377" s="17"/>
      <c r="S377" s="17"/>
      <c r="T377" s="75"/>
      <c r="U377" s="75"/>
      <c r="V377" s="75"/>
      <c r="W377" s="75"/>
      <c r="X377" s="75"/>
    </row>
    <row r="378">
      <c r="A378" s="17"/>
      <c r="B378" s="17"/>
      <c r="C378" s="133"/>
      <c r="D378" s="133"/>
      <c r="E378" s="17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4"/>
      <c r="Q378" s="146"/>
      <c r="R378" s="17"/>
      <c r="S378" s="17"/>
      <c r="T378" s="75"/>
      <c r="U378" s="75"/>
      <c r="V378" s="75"/>
      <c r="W378" s="75"/>
      <c r="X378" s="75"/>
    </row>
    <row r="379">
      <c r="A379" s="17"/>
      <c r="B379" s="17"/>
      <c r="C379" s="133"/>
      <c r="D379" s="133"/>
      <c r="E379" s="17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4"/>
      <c r="Q379" s="146"/>
      <c r="R379" s="17"/>
      <c r="S379" s="17"/>
      <c r="T379" s="75"/>
      <c r="U379" s="75"/>
      <c r="V379" s="75"/>
      <c r="W379" s="75"/>
      <c r="X379" s="75"/>
    </row>
    <row r="380">
      <c r="A380" s="17"/>
      <c r="B380" s="17"/>
      <c r="C380" s="133"/>
      <c r="D380" s="133"/>
      <c r="E380" s="17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4"/>
      <c r="Q380" s="146"/>
      <c r="R380" s="17"/>
      <c r="S380" s="17"/>
      <c r="T380" s="75"/>
      <c r="U380" s="75"/>
      <c r="V380" s="75"/>
      <c r="W380" s="75"/>
      <c r="X380" s="75"/>
    </row>
    <row r="381">
      <c r="A381" s="17"/>
      <c r="B381" s="17"/>
      <c r="C381" s="133"/>
      <c r="D381" s="133"/>
      <c r="E381" s="17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4"/>
      <c r="Q381" s="146"/>
      <c r="R381" s="17"/>
      <c r="S381" s="17"/>
      <c r="T381" s="75"/>
      <c r="U381" s="75"/>
      <c r="V381" s="75"/>
      <c r="W381" s="75"/>
      <c r="X381" s="75"/>
    </row>
    <row r="382">
      <c r="A382" s="17"/>
      <c r="B382" s="17"/>
      <c r="C382" s="133"/>
      <c r="D382" s="133"/>
      <c r="E382" s="17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4"/>
      <c r="Q382" s="146"/>
      <c r="R382" s="17"/>
      <c r="S382" s="17"/>
      <c r="T382" s="75"/>
      <c r="U382" s="75"/>
      <c r="V382" s="75"/>
      <c r="W382" s="75"/>
      <c r="X382" s="75"/>
    </row>
    <row r="383">
      <c r="A383" s="17"/>
      <c r="B383" s="17"/>
      <c r="C383" s="133"/>
      <c r="D383" s="133"/>
      <c r="E383" s="17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4"/>
      <c r="Q383" s="146"/>
      <c r="R383" s="17"/>
      <c r="S383" s="17"/>
      <c r="T383" s="75"/>
      <c r="U383" s="75"/>
      <c r="V383" s="75"/>
      <c r="W383" s="75"/>
      <c r="X383" s="75"/>
    </row>
    <row r="384">
      <c r="A384" s="17"/>
      <c r="B384" s="17"/>
      <c r="C384" s="133"/>
      <c r="D384" s="133"/>
      <c r="E384" s="17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4"/>
      <c r="Q384" s="146"/>
      <c r="R384" s="17"/>
      <c r="S384" s="17"/>
      <c r="T384" s="75"/>
      <c r="U384" s="75"/>
      <c r="V384" s="75"/>
      <c r="W384" s="75"/>
      <c r="X384" s="75"/>
    </row>
    <row r="385">
      <c r="A385" s="17"/>
      <c r="B385" s="17"/>
      <c r="C385" s="133"/>
      <c r="D385" s="133"/>
      <c r="E385" s="17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4"/>
      <c r="Q385" s="146"/>
      <c r="R385" s="17"/>
      <c r="S385" s="17"/>
      <c r="T385" s="75"/>
      <c r="U385" s="75"/>
      <c r="V385" s="75"/>
      <c r="W385" s="75"/>
      <c r="X385" s="75"/>
    </row>
    <row r="386">
      <c r="A386" s="17"/>
      <c r="B386" s="17"/>
      <c r="C386" s="133"/>
      <c r="D386" s="133"/>
      <c r="E386" s="17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4"/>
      <c r="Q386" s="146"/>
      <c r="R386" s="17"/>
      <c r="S386" s="17"/>
      <c r="T386" s="75"/>
      <c r="U386" s="75"/>
      <c r="V386" s="75"/>
      <c r="W386" s="75"/>
      <c r="X386" s="75"/>
    </row>
    <row r="387">
      <c r="A387" s="17"/>
      <c r="B387" s="17"/>
      <c r="C387" s="133"/>
      <c r="D387" s="133"/>
      <c r="E387" s="17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4"/>
      <c r="Q387" s="146"/>
      <c r="R387" s="17"/>
      <c r="S387" s="17"/>
      <c r="T387" s="75"/>
      <c r="U387" s="75"/>
      <c r="V387" s="75"/>
      <c r="W387" s="75"/>
      <c r="X387" s="75"/>
    </row>
    <row r="388">
      <c r="A388" s="17"/>
      <c r="B388" s="17"/>
      <c r="C388" s="133"/>
      <c r="D388" s="133"/>
      <c r="E388" s="17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4"/>
      <c r="Q388" s="146"/>
      <c r="R388" s="17"/>
      <c r="S388" s="17"/>
      <c r="T388" s="75"/>
      <c r="U388" s="75"/>
      <c r="V388" s="75"/>
      <c r="W388" s="75"/>
      <c r="X388" s="75"/>
    </row>
    <row r="389">
      <c r="A389" s="17"/>
      <c r="B389" s="17"/>
      <c r="C389" s="133"/>
      <c r="D389" s="133"/>
      <c r="E389" s="17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4"/>
      <c r="Q389" s="146"/>
      <c r="R389" s="17"/>
      <c r="S389" s="17"/>
      <c r="T389" s="75"/>
      <c r="U389" s="75"/>
      <c r="V389" s="75"/>
      <c r="W389" s="75"/>
      <c r="X389" s="75"/>
    </row>
    <row r="390">
      <c r="A390" s="17"/>
      <c r="B390" s="17"/>
      <c r="C390" s="133"/>
      <c r="D390" s="133"/>
      <c r="E390" s="17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4"/>
      <c r="Q390" s="146"/>
      <c r="R390" s="17"/>
      <c r="S390" s="17"/>
      <c r="T390" s="75"/>
      <c r="U390" s="75"/>
      <c r="V390" s="75"/>
      <c r="W390" s="75"/>
      <c r="X390" s="75"/>
    </row>
    <row r="391">
      <c r="A391" s="17"/>
      <c r="B391" s="17"/>
      <c r="C391" s="133"/>
      <c r="D391" s="133"/>
      <c r="E391" s="17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4"/>
      <c r="Q391" s="146"/>
      <c r="R391" s="17"/>
      <c r="S391" s="17"/>
      <c r="T391" s="75"/>
      <c r="U391" s="75"/>
      <c r="V391" s="75"/>
      <c r="W391" s="75"/>
      <c r="X391" s="75"/>
    </row>
    <row r="392">
      <c r="A392" s="17"/>
      <c r="B392" s="17"/>
      <c r="C392" s="133"/>
      <c r="D392" s="133"/>
      <c r="E392" s="17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4"/>
      <c r="Q392" s="146"/>
      <c r="R392" s="17"/>
      <c r="S392" s="17"/>
      <c r="T392" s="75"/>
      <c r="U392" s="75"/>
      <c r="V392" s="75"/>
      <c r="W392" s="75"/>
      <c r="X392" s="75"/>
    </row>
    <row r="393">
      <c r="A393" s="17"/>
      <c r="B393" s="17"/>
      <c r="C393" s="133"/>
      <c r="D393" s="133"/>
      <c r="E393" s="17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4"/>
      <c r="Q393" s="146"/>
      <c r="R393" s="17"/>
      <c r="S393" s="17"/>
      <c r="T393" s="75"/>
      <c r="U393" s="75"/>
      <c r="V393" s="75"/>
      <c r="W393" s="75"/>
      <c r="X393" s="75"/>
    </row>
    <row r="394">
      <c r="A394" s="17"/>
      <c r="B394" s="17"/>
      <c r="C394" s="133"/>
      <c r="D394" s="133"/>
      <c r="E394" s="17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4"/>
      <c r="Q394" s="146"/>
      <c r="R394" s="17"/>
      <c r="S394" s="17"/>
      <c r="T394" s="75"/>
      <c r="U394" s="75"/>
      <c r="V394" s="75"/>
      <c r="W394" s="75"/>
      <c r="X394" s="75"/>
    </row>
    <row r="395">
      <c r="A395" s="17"/>
      <c r="B395" s="17"/>
      <c r="C395" s="133"/>
      <c r="D395" s="133"/>
      <c r="E395" s="17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4"/>
      <c r="Q395" s="146"/>
      <c r="R395" s="17"/>
      <c r="S395" s="17"/>
      <c r="T395" s="75"/>
      <c r="U395" s="75"/>
      <c r="V395" s="75"/>
      <c r="W395" s="75"/>
      <c r="X395" s="75"/>
    </row>
    <row r="396">
      <c r="A396" s="17"/>
      <c r="B396" s="17"/>
      <c r="C396" s="133"/>
      <c r="D396" s="133"/>
      <c r="E396" s="17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4"/>
      <c r="Q396" s="146"/>
      <c r="R396" s="17"/>
      <c r="S396" s="17"/>
      <c r="T396" s="75"/>
      <c r="U396" s="75"/>
      <c r="V396" s="75"/>
      <c r="W396" s="75"/>
      <c r="X396" s="75"/>
    </row>
    <row r="397">
      <c r="A397" s="17"/>
      <c r="B397" s="17"/>
      <c r="C397" s="133"/>
      <c r="D397" s="133"/>
      <c r="E397" s="17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4"/>
      <c r="Q397" s="146"/>
      <c r="R397" s="17"/>
      <c r="S397" s="17"/>
      <c r="T397" s="75"/>
      <c r="U397" s="75"/>
      <c r="V397" s="75"/>
      <c r="W397" s="75"/>
      <c r="X397" s="75"/>
    </row>
    <row r="398">
      <c r="A398" s="17"/>
      <c r="B398" s="17"/>
      <c r="C398" s="133"/>
      <c r="D398" s="133"/>
      <c r="E398" s="17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4"/>
      <c r="Q398" s="146"/>
      <c r="R398" s="17"/>
      <c r="S398" s="17"/>
      <c r="T398" s="75"/>
      <c r="U398" s="75"/>
      <c r="V398" s="75"/>
      <c r="W398" s="75"/>
      <c r="X398" s="75"/>
    </row>
    <row r="399">
      <c r="A399" s="17"/>
      <c r="B399" s="17"/>
      <c r="C399" s="133"/>
      <c r="D399" s="133"/>
      <c r="E399" s="17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4"/>
      <c r="Q399" s="146"/>
      <c r="R399" s="17"/>
      <c r="S399" s="17"/>
      <c r="T399" s="75"/>
      <c r="U399" s="75"/>
      <c r="V399" s="75"/>
      <c r="W399" s="75"/>
      <c r="X399" s="75"/>
    </row>
    <row r="400">
      <c r="A400" s="17"/>
      <c r="B400" s="17"/>
      <c r="C400" s="133"/>
      <c r="D400" s="133"/>
      <c r="E400" s="17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4"/>
      <c r="Q400" s="146"/>
      <c r="R400" s="17"/>
      <c r="S400" s="17"/>
      <c r="T400" s="75"/>
      <c r="U400" s="75"/>
      <c r="V400" s="75"/>
      <c r="W400" s="75"/>
      <c r="X400" s="75"/>
    </row>
    <row r="401">
      <c r="A401" s="17"/>
      <c r="B401" s="17"/>
      <c r="C401" s="133"/>
      <c r="D401" s="133"/>
      <c r="E401" s="17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4"/>
      <c r="Q401" s="146"/>
      <c r="R401" s="17"/>
      <c r="S401" s="17"/>
      <c r="T401" s="75"/>
      <c r="U401" s="75"/>
      <c r="V401" s="75"/>
      <c r="W401" s="75"/>
      <c r="X401" s="75"/>
    </row>
    <row r="402">
      <c r="A402" s="17"/>
      <c r="B402" s="17"/>
      <c r="C402" s="133"/>
      <c r="D402" s="133"/>
      <c r="E402" s="17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4"/>
      <c r="Q402" s="146"/>
      <c r="R402" s="17"/>
      <c r="S402" s="17"/>
      <c r="T402" s="75"/>
      <c r="U402" s="75"/>
      <c r="V402" s="75"/>
      <c r="W402" s="75"/>
      <c r="X402" s="75"/>
    </row>
    <row r="403">
      <c r="A403" s="17"/>
      <c r="B403" s="17"/>
      <c r="C403" s="133"/>
      <c r="D403" s="133"/>
      <c r="E403" s="17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4"/>
      <c r="Q403" s="146"/>
      <c r="R403" s="17"/>
      <c r="S403" s="17"/>
      <c r="T403" s="75"/>
      <c r="U403" s="75"/>
      <c r="V403" s="75"/>
      <c r="W403" s="75"/>
      <c r="X403" s="75"/>
    </row>
    <row r="404">
      <c r="A404" s="17"/>
      <c r="B404" s="17"/>
      <c r="C404" s="133"/>
      <c r="D404" s="133"/>
      <c r="E404" s="17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4"/>
      <c r="Q404" s="146"/>
      <c r="R404" s="17"/>
      <c r="S404" s="17"/>
      <c r="T404" s="75"/>
      <c r="U404" s="75"/>
      <c r="V404" s="75"/>
      <c r="W404" s="75"/>
      <c r="X404" s="75"/>
    </row>
    <row r="405">
      <c r="A405" s="17"/>
      <c r="B405" s="17"/>
      <c r="C405" s="133"/>
      <c r="D405" s="133"/>
      <c r="E405" s="17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4"/>
      <c r="Q405" s="146"/>
      <c r="R405" s="17"/>
      <c r="S405" s="17"/>
      <c r="T405" s="75"/>
      <c r="U405" s="75"/>
      <c r="V405" s="75"/>
      <c r="W405" s="75"/>
      <c r="X405" s="75"/>
    </row>
    <row r="406">
      <c r="A406" s="17"/>
      <c r="B406" s="17"/>
      <c r="C406" s="133"/>
      <c r="D406" s="133"/>
      <c r="E406" s="17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4"/>
      <c r="Q406" s="146"/>
      <c r="R406" s="17"/>
      <c r="S406" s="17"/>
      <c r="T406" s="75"/>
      <c r="U406" s="75"/>
      <c r="V406" s="75"/>
      <c r="W406" s="75"/>
      <c r="X406" s="75"/>
    </row>
    <row r="407">
      <c r="A407" s="17"/>
      <c r="B407" s="17"/>
      <c r="C407" s="133"/>
      <c r="D407" s="133"/>
      <c r="E407" s="17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4"/>
      <c r="Q407" s="146"/>
      <c r="R407" s="17"/>
      <c r="S407" s="17"/>
      <c r="T407" s="75"/>
      <c r="U407" s="75"/>
      <c r="V407" s="75"/>
      <c r="W407" s="75"/>
      <c r="X407" s="75"/>
    </row>
    <row r="408">
      <c r="A408" s="17"/>
      <c r="B408" s="17"/>
      <c r="C408" s="133"/>
      <c r="D408" s="133"/>
      <c r="E408" s="17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4"/>
      <c r="Q408" s="146"/>
      <c r="R408" s="17"/>
      <c r="S408" s="17"/>
      <c r="T408" s="75"/>
      <c r="U408" s="75"/>
      <c r="V408" s="75"/>
      <c r="W408" s="75"/>
      <c r="X408" s="75"/>
    </row>
    <row r="409">
      <c r="A409" s="17"/>
      <c r="B409" s="17"/>
      <c r="C409" s="133"/>
      <c r="D409" s="133"/>
      <c r="E409" s="17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4"/>
      <c r="Q409" s="146"/>
      <c r="R409" s="17"/>
      <c r="S409" s="17"/>
      <c r="T409" s="75"/>
      <c r="U409" s="75"/>
      <c r="V409" s="75"/>
      <c r="W409" s="75"/>
      <c r="X409" s="75"/>
    </row>
    <row r="410">
      <c r="A410" s="17"/>
      <c r="B410" s="17"/>
      <c r="C410" s="133"/>
      <c r="D410" s="133"/>
      <c r="E410" s="17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4"/>
      <c r="Q410" s="146"/>
      <c r="R410" s="17"/>
      <c r="S410" s="17"/>
      <c r="T410" s="75"/>
      <c r="U410" s="75"/>
      <c r="V410" s="75"/>
      <c r="W410" s="75"/>
      <c r="X410" s="75"/>
    </row>
    <row r="411">
      <c r="A411" s="17"/>
      <c r="B411" s="17"/>
      <c r="C411" s="133"/>
      <c r="D411" s="133"/>
      <c r="E411" s="17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4"/>
      <c r="Q411" s="146"/>
      <c r="R411" s="17"/>
      <c r="S411" s="17"/>
      <c r="T411" s="75"/>
      <c r="U411" s="75"/>
      <c r="V411" s="75"/>
      <c r="W411" s="75"/>
      <c r="X411" s="75"/>
    </row>
    <row r="412">
      <c r="A412" s="17"/>
      <c r="B412" s="17"/>
      <c r="C412" s="133"/>
      <c r="D412" s="133"/>
      <c r="E412" s="17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4"/>
      <c r="Q412" s="146"/>
      <c r="R412" s="17"/>
      <c r="S412" s="17"/>
      <c r="T412" s="75"/>
      <c r="U412" s="75"/>
      <c r="V412" s="75"/>
      <c r="W412" s="75"/>
      <c r="X412" s="75"/>
    </row>
    <row r="413">
      <c r="A413" s="17"/>
      <c r="B413" s="17"/>
      <c r="C413" s="133"/>
      <c r="D413" s="133"/>
      <c r="E413" s="17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4"/>
      <c r="Q413" s="146"/>
      <c r="R413" s="17"/>
      <c r="S413" s="17"/>
      <c r="T413" s="75"/>
      <c r="U413" s="75"/>
      <c r="V413" s="75"/>
      <c r="W413" s="75"/>
      <c r="X413" s="75"/>
    </row>
    <row r="414">
      <c r="A414" s="17"/>
      <c r="B414" s="17"/>
      <c r="C414" s="133"/>
      <c r="D414" s="133"/>
      <c r="E414" s="17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4"/>
      <c r="Q414" s="146"/>
      <c r="R414" s="17"/>
      <c r="S414" s="17"/>
      <c r="T414" s="75"/>
      <c r="U414" s="75"/>
      <c r="V414" s="75"/>
      <c r="W414" s="75"/>
      <c r="X414" s="75"/>
    </row>
    <row r="415">
      <c r="A415" s="17"/>
      <c r="B415" s="17"/>
      <c r="C415" s="133"/>
      <c r="D415" s="133"/>
      <c r="E415" s="17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4"/>
      <c r="Q415" s="146"/>
      <c r="R415" s="17"/>
      <c r="S415" s="17"/>
      <c r="T415" s="75"/>
      <c r="U415" s="75"/>
      <c r="V415" s="75"/>
      <c r="W415" s="75"/>
      <c r="X415" s="75"/>
    </row>
    <row r="416">
      <c r="A416" s="17"/>
      <c r="B416" s="17"/>
      <c r="C416" s="133"/>
      <c r="D416" s="133"/>
      <c r="E416" s="17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4"/>
      <c r="Q416" s="146"/>
      <c r="R416" s="17"/>
      <c r="S416" s="17"/>
      <c r="T416" s="75"/>
      <c r="U416" s="75"/>
      <c r="V416" s="75"/>
      <c r="W416" s="75"/>
      <c r="X416" s="75"/>
    </row>
    <row r="417">
      <c r="A417" s="17"/>
      <c r="B417" s="17"/>
      <c r="C417" s="133"/>
      <c r="D417" s="133"/>
      <c r="E417" s="17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4"/>
      <c r="Q417" s="146"/>
      <c r="R417" s="17"/>
      <c r="S417" s="17"/>
      <c r="T417" s="75"/>
      <c r="U417" s="75"/>
      <c r="V417" s="75"/>
      <c r="W417" s="75"/>
      <c r="X417" s="75"/>
    </row>
    <row r="418">
      <c r="A418" s="17"/>
      <c r="B418" s="17"/>
      <c r="C418" s="133"/>
      <c r="D418" s="133"/>
      <c r="E418" s="17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4"/>
      <c r="Q418" s="146"/>
      <c r="R418" s="17"/>
      <c r="S418" s="17"/>
      <c r="T418" s="75"/>
      <c r="U418" s="75"/>
      <c r="V418" s="75"/>
      <c r="W418" s="75"/>
      <c r="X418" s="75"/>
    </row>
    <row r="419">
      <c r="A419" s="17"/>
      <c r="B419" s="17"/>
      <c r="C419" s="133"/>
      <c r="D419" s="133"/>
      <c r="E419" s="17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4"/>
      <c r="Q419" s="146"/>
      <c r="R419" s="17"/>
      <c r="S419" s="17"/>
      <c r="T419" s="75"/>
      <c r="U419" s="75"/>
      <c r="V419" s="75"/>
      <c r="W419" s="75"/>
      <c r="X419" s="75"/>
    </row>
    <row r="420">
      <c r="A420" s="17"/>
      <c r="B420" s="17"/>
      <c r="C420" s="133"/>
      <c r="D420" s="133"/>
      <c r="E420" s="17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4"/>
      <c r="Q420" s="146"/>
      <c r="R420" s="17"/>
      <c r="S420" s="17"/>
      <c r="T420" s="75"/>
      <c r="U420" s="75"/>
      <c r="V420" s="75"/>
      <c r="W420" s="75"/>
      <c r="X420" s="75"/>
    </row>
    <row r="421">
      <c r="A421" s="17"/>
      <c r="B421" s="17"/>
      <c r="C421" s="133"/>
      <c r="D421" s="133"/>
      <c r="E421" s="17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4"/>
      <c r="Q421" s="146"/>
      <c r="R421" s="17"/>
      <c r="S421" s="17"/>
      <c r="T421" s="75"/>
      <c r="U421" s="75"/>
      <c r="V421" s="75"/>
      <c r="W421" s="75"/>
      <c r="X421" s="75"/>
    </row>
    <row r="422">
      <c r="A422" s="17"/>
      <c r="B422" s="17"/>
      <c r="C422" s="133"/>
      <c r="D422" s="133"/>
      <c r="E422" s="17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4"/>
      <c r="Q422" s="146"/>
      <c r="R422" s="17"/>
      <c r="S422" s="17"/>
      <c r="T422" s="75"/>
      <c r="U422" s="75"/>
      <c r="V422" s="75"/>
      <c r="W422" s="75"/>
      <c r="X422" s="75"/>
    </row>
    <row r="423">
      <c r="A423" s="17"/>
      <c r="B423" s="17"/>
      <c r="C423" s="133"/>
      <c r="D423" s="133"/>
      <c r="E423" s="17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4"/>
      <c r="Q423" s="146"/>
      <c r="R423" s="17"/>
      <c r="S423" s="17"/>
      <c r="T423" s="75"/>
      <c r="U423" s="75"/>
      <c r="V423" s="75"/>
      <c r="W423" s="75"/>
      <c r="X423" s="75"/>
    </row>
    <row r="424">
      <c r="A424" s="17"/>
      <c r="B424" s="17"/>
      <c r="C424" s="133"/>
      <c r="D424" s="133"/>
      <c r="E424" s="17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4"/>
      <c r="Q424" s="146"/>
      <c r="R424" s="17"/>
      <c r="S424" s="17"/>
      <c r="T424" s="75"/>
      <c r="U424" s="75"/>
      <c r="V424" s="75"/>
      <c r="W424" s="75"/>
      <c r="X424" s="75"/>
    </row>
    <row r="425">
      <c r="A425" s="17"/>
      <c r="B425" s="17"/>
      <c r="C425" s="133"/>
      <c r="D425" s="133"/>
      <c r="E425" s="17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4"/>
      <c r="Q425" s="146"/>
      <c r="R425" s="17"/>
      <c r="S425" s="17"/>
      <c r="T425" s="75"/>
      <c r="U425" s="75"/>
      <c r="V425" s="75"/>
      <c r="W425" s="75"/>
      <c r="X425" s="75"/>
    </row>
    <row r="426">
      <c r="A426" s="17"/>
      <c r="B426" s="17"/>
      <c r="C426" s="133"/>
      <c r="D426" s="133"/>
      <c r="E426" s="17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4"/>
      <c r="Q426" s="146"/>
      <c r="R426" s="17"/>
      <c r="S426" s="17"/>
      <c r="T426" s="75"/>
      <c r="U426" s="75"/>
      <c r="V426" s="75"/>
      <c r="W426" s="75"/>
      <c r="X426" s="75"/>
    </row>
    <row r="427">
      <c r="A427" s="17"/>
      <c r="B427" s="17"/>
      <c r="C427" s="133"/>
      <c r="D427" s="133"/>
      <c r="E427" s="17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4"/>
      <c r="Q427" s="146"/>
      <c r="R427" s="17"/>
      <c r="S427" s="17"/>
      <c r="T427" s="75"/>
      <c r="U427" s="75"/>
      <c r="V427" s="75"/>
      <c r="W427" s="75"/>
      <c r="X427" s="75"/>
    </row>
    <row r="428">
      <c r="A428" s="17"/>
      <c r="B428" s="17"/>
      <c r="C428" s="133"/>
      <c r="D428" s="133"/>
      <c r="E428" s="17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4"/>
      <c r="Q428" s="146"/>
      <c r="R428" s="17"/>
      <c r="S428" s="17"/>
      <c r="T428" s="75"/>
      <c r="U428" s="75"/>
      <c r="V428" s="75"/>
      <c r="W428" s="75"/>
      <c r="X428" s="75"/>
    </row>
    <row r="429">
      <c r="A429" s="17"/>
      <c r="B429" s="17"/>
      <c r="C429" s="133"/>
      <c r="D429" s="133"/>
      <c r="E429" s="17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4"/>
      <c r="Q429" s="146"/>
      <c r="R429" s="17"/>
      <c r="S429" s="17"/>
      <c r="T429" s="75"/>
      <c r="U429" s="75"/>
      <c r="V429" s="75"/>
      <c r="W429" s="75"/>
      <c r="X429" s="75"/>
    </row>
    <row r="430">
      <c r="A430" s="17"/>
      <c r="B430" s="17"/>
      <c r="C430" s="133"/>
      <c r="D430" s="133"/>
      <c r="E430" s="17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4"/>
      <c r="Q430" s="146"/>
      <c r="R430" s="17"/>
      <c r="S430" s="17"/>
      <c r="T430" s="75"/>
      <c r="U430" s="75"/>
      <c r="V430" s="75"/>
      <c r="W430" s="75"/>
      <c r="X430" s="75"/>
    </row>
    <row r="431">
      <c r="A431" s="17"/>
      <c r="B431" s="17"/>
      <c r="C431" s="133"/>
      <c r="D431" s="133"/>
      <c r="E431" s="17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4"/>
      <c r="Q431" s="146"/>
      <c r="R431" s="17"/>
      <c r="S431" s="17"/>
      <c r="T431" s="75"/>
      <c r="U431" s="75"/>
      <c r="V431" s="75"/>
      <c r="W431" s="75"/>
      <c r="X431" s="75"/>
    </row>
    <row r="432">
      <c r="A432" s="17"/>
      <c r="B432" s="17"/>
      <c r="C432" s="133"/>
      <c r="D432" s="133"/>
      <c r="E432" s="17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4"/>
      <c r="Q432" s="146"/>
      <c r="R432" s="17"/>
      <c r="S432" s="17"/>
      <c r="T432" s="75"/>
      <c r="U432" s="75"/>
      <c r="V432" s="75"/>
      <c r="W432" s="75"/>
      <c r="X432" s="75"/>
    </row>
    <row r="433">
      <c r="A433" s="17"/>
      <c r="B433" s="17"/>
      <c r="C433" s="133"/>
      <c r="D433" s="133"/>
      <c r="E433" s="17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4"/>
      <c r="Q433" s="146"/>
      <c r="R433" s="17"/>
      <c r="S433" s="17"/>
      <c r="T433" s="75"/>
      <c r="U433" s="75"/>
      <c r="V433" s="75"/>
      <c r="W433" s="75"/>
      <c r="X433" s="75"/>
    </row>
    <row r="434">
      <c r="A434" s="17"/>
      <c r="B434" s="17"/>
      <c r="C434" s="133"/>
      <c r="D434" s="133"/>
      <c r="E434" s="17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4"/>
      <c r="Q434" s="146"/>
      <c r="R434" s="17"/>
      <c r="S434" s="17"/>
      <c r="T434" s="75"/>
      <c r="U434" s="75"/>
      <c r="V434" s="75"/>
      <c r="W434" s="75"/>
      <c r="X434" s="75"/>
    </row>
    <row r="435">
      <c r="A435" s="17"/>
      <c r="B435" s="17"/>
      <c r="C435" s="133"/>
      <c r="D435" s="133"/>
      <c r="E435" s="17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4"/>
      <c r="Q435" s="146"/>
      <c r="R435" s="17"/>
      <c r="S435" s="17"/>
      <c r="T435" s="75"/>
      <c r="U435" s="75"/>
      <c r="V435" s="75"/>
      <c r="W435" s="75"/>
      <c r="X435" s="75"/>
    </row>
    <row r="436">
      <c r="A436" s="17"/>
      <c r="B436" s="17"/>
      <c r="C436" s="133"/>
      <c r="D436" s="133"/>
      <c r="E436" s="17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4"/>
      <c r="Q436" s="146"/>
      <c r="R436" s="17"/>
      <c r="S436" s="17"/>
      <c r="T436" s="75"/>
      <c r="U436" s="75"/>
      <c r="V436" s="75"/>
      <c r="W436" s="75"/>
      <c r="X436" s="75"/>
    </row>
    <row r="437">
      <c r="A437" s="17"/>
      <c r="B437" s="17"/>
      <c r="C437" s="133"/>
      <c r="D437" s="133"/>
      <c r="E437" s="17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4"/>
      <c r="Q437" s="146"/>
      <c r="R437" s="17"/>
      <c r="S437" s="17"/>
      <c r="T437" s="75"/>
      <c r="U437" s="75"/>
      <c r="V437" s="75"/>
      <c r="W437" s="75"/>
      <c r="X437" s="75"/>
    </row>
    <row r="438">
      <c r="A438" s="17"/>
      <c r="B438" s="17"/>
      <c r="C438" s="133"/>
      <c r="D438" s="133"/>
      <c r="E438" s="17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4"/>
      <c r="Q438" s="146"/>
      <c r="R438" s="17"/>
      <c r="S438" s="17"/>
      <c r="T438" s="75"/>
      <c r="U438" s="75"/>
      <c r="V438" s="75"/>
      <c r="W438" s="75"/>
      <c r="X438" s="75"/>
    </row>
    <row r="439">
      <c r="A439" s="17"/>
      <c r="B439" s="17"/>
      <c r="C439" s="133"/>
      <c r="D439" s="133"/>
      <c r="E439" s="17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4"/>
      <c r="Q439" s="146"/>
      <c r="R439" s="17"/>
      <c r="S439" s="17"/>
      <c r="T439" s="75"/>
      <c r="U439" s="75"/>
      <c r="V439" s="75"/>
      <c r="W439" s="75"/>
      <c r="X439" s="75"/>
    </row>
    <row r="440">
      <c r="A440" s="17"/>
      <c r="B440" s="17"/>
      <c r="C440" s="133"/>
      <c r="D440" s="133"/>
      <c r="E440" s="17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4"/>
      <c r="Q440" s="146"/>
      <c r="R440" s="17"/>
      <c r="S440" s="17"/>
      <c r="T440" s="75"/>
      <c r="U440" s="75"/>
      <c r="V440" s="75"/>
      <c r="W440" s="75"/>
      <c r="X440" s="75"/>
    </row>
    <row r="441">
      <c r="A441" s="17"/>
      <c r="B441" s="17"/>
      <c r="C441" s="133"/>
      <c r="D441" s="133"/>
      <c r="E441" s="17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4"/>
      <c r="Q441" s="146"/>
      <c r="R441" s="17"/>
      <c r="S441" s="17"/>
      <c r="T441" s="75"/>
      <c r="U441" s="75"/>
      <c r="V441" s="75"/>
      <c r="W441" s="75"/>
      <c r="X441" s="75"/>
    </row>
    <row r="442">
      <c r="A442" s="17"/>
      <c r="B442" s="17"/>
      <c r="C442" s="133"/>
      <c r="D442" s="133"/>
      <c r="E442" s="17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4"/>
      <c r="Q442" s="146"/>
      <c r="R442" s="17"/>
      <c r="S442" s="17"/>
      <c r="T442" s="75"/>
      <c r="U442" s="75"/>
      <c r="V442" s="75"/>
      <c r="W442" s="75"/>
      <c r="X442" s="75"/>
    </row>
    <row r="443">
      <c r="A443" s="17"/>
      <c r="B443" s="17"/>
      <c r="C443" s="133"/>
      <c r="D443" s="133"/>
      <c r="E443" s="17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4"/>
      <c r="Q443" s="146"/>
      <c r="R443" s="17"/>
      <c r="S443" s="17"/>
      <c r="T443" s="75"/>
      <c r="U443" s="75"/>
      <c r="V443" s="75"/>
      <c r="W443" s="75"/>
      <c r="X443" s="75"/>
    </row>
    <row r="444">
      <c r="A444" s="17"/>
      <c r="B444" s="17"/>
      <c r="C444" s="133"/>
      <c r="D444" s="133"/>
      <c r="E444" s="17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4"/>
      <c r="Q444" s="146"/>
      <c r="R444" s="17"/>
      <c r="S444" s="17"/>
      <c r="T444" s="75"/>
      <c r="U444" s="75"/>
      <c r="V444" s="75"/>
      <c r="W444" s="75"/>
      <c r="X444" s="75"/>
    </row>
    <row r="445">
      <c r="A445" s="17"/>
      <c r="B445" s="17"/>
      <c r="C445" s="133"/>
      <c r="D445" s="133"/>
      <c r="E445" s="17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4"/>
      <c r="Q445" s="146"/>
      <c r="R445" s="17"/>
      <c r="S445" s="17"/>
      <c r="T445" s="75"/>
      <c r="U445" s="75"/>
      <c r="V445" s="75"/>
      <c r="W445" s="75"/>
      <c r="X445" s="75"/>
    </row>
    <row r="446">
      <c r="A446" s="17"/>
      <c r="B446" s="17"/>
      <c r="C446" s="133"/>
      <c r="D446" s="133"/>
      <c r="E446" s="17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4"/>
      <c r="Q446" s="146"/>
      <c r="R446" s="17"/>
      <c r="S446" s="17"/>
      <c r="T446" s="75"/>
      <c r="U446" s="75"/>
      <c r="V446" s="75"/>
      <c r="W446" s="75"/>
      <c r="X446" s="75"/>
    </row>
    <row r="447">
      <c r="A447" s="17"/>
      <c r="B447" s="17"/>
      <c r="C447" s="133"/>
      <c r="D447" s="133"/>
      <c r="E447" s="17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4"/>
      <c r="Q447" s="146"/>
      <c r="R447" s="17"/>
      <c r="S447" s="17"/>
      <c r="T447" s="75"/>
      <c r="U447" s="75"/>
      <c r="V447" s="75"/>
      <c r="W447" s="75"/>
      <c r="X447" s="75"/>
    </row>
    <row r="448">
      <c r="A448" s="17"/>
      <c r="B448" s="17"/>
      <c r="C448" s="133"/>
      <c r="D448" s="133"/>
      <c r="E448" s="17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4"/>
      <c r="Q448" s="146"/>
      <c r="R448" s="17"/>
      <c r="S448" s="17"/>
      <c r="T448" s="75"/>
      <c r="U448" s="75"/>
      <c r="V448" s="75"/>
      <c r="W448" s="75"/>
      <c r="X448" s="75"/>
    </row>
    <row r="449">
      <c r="A449" s="17"/>
      <c r="B449" s="17"/>
      <c r="C449" s="133"/>
      <c r="D449" s="133"/>
      <c r="E449" s="17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4"/>
      <c r="Q449" s="146"/>
      <c r="R449" s="17"/>
      <c r="S449" s="17"/>
      <c r="T449" s="75"/>
      <c r="U449" s="75"/>
      <c r="V449" s="75"/>
      <c r="W449" s="75"/>
      <c r="X449" s="75"/>
    </row>
    <row r="450">
      <c r="A450" s="17"/>
      <c r="B450" s="17"/>
      <c r="C450" s="133"/>
      <c r="D450" s="133"/>
      <c r="E450" s="17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4"/>
      <c r="Q450" s="146"/>
      <c r="R450" s="17"/>
      <c r="S450" s="17"/>
      <c r="T450" s="75"/>
      <c r="U450" s="75"/>
      <c r="V450" s="75"/>
      <c r="W450" s="75"/>
      <c r="X450" s="75"/>
    </row>
    <row r="451">
      <c r="A451" s="17"/>
      <c r="B451" s="17"/>
      <c r="C451" s="133"/>
      <c r="D451" s="133"/>
      <c r="E451" s="17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4"/>
      <c r="Q451" s="146"/>
      <c r="R451" s="17"/>
      <c r="S451" s="17"/>
      <c r="T451" s="75"/>
      <c r="U451" s="75"/>
      <c r="V451" s="75"/>
      <c r="W451" s="75"/>
      <c r="X451" s="75"/>
    </row>
    <row r="452">
      <c r="A452" s="17"/>
      <c r="B452" s="17"/>
      <c r="C452" s="133"/>
      <c r="D452" s="133"/>
      <c r="E452" s="17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4"/>
      <c r="Q452" s="146"/>
      <c r="R452" s="17"/>
      <c r="S452" s="17"/>
      <c r="T452" s="75"/>
      <c r="U452" s="75"/>
      <c r="V452" s="75"/>
      <c r="W452" s="75"/>
      <c r="X452" s="75"/>
    </row>
    <row r="453">
      <c r="A453" s="17"/>
      <c r="B453" s="17"/>
      <c r="C453" s="133"/>
      <c r="D453" s="133"/>
      <c r="E453" s="17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4"/>
      <c r="Q453" s="146"/>
      <c r="R453" s="17"/>
      <c r="S453" s="17"/>
      <c r="T453" s="75"/>
      <c r="U453" s="75"/>
      <c r="V453" s="75"/>
      <c r="W453" s="75"/>
      <c r="X453" s="75"/>
    </row>
    <row r="454">
      <c r="A454" s="17"/>
      <c r="B454" s="17"/>
      <c r="C454" s="133"/>
      <c r="D454" s="133"/>
      <c r="E454" s="17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4"/>
      <c r="Q454" s="146"/>
      <c r="R454" s="17"/>
      <c r="S454" s="17"/>
      <c r="T454" s="75"/>
      <c r="U454" s="75"/>
      <c r="V454" s="75"/>
      <c r="W454" s="75"/>
      <c r="X454" s="75"/>
    </row>
    <row r="455">
      <c r="A455" s="17"/>
      <c r="B455" s="17"/>
      <c r="C455" s="133"/>
      <c r="D455" s="133"/>
      <c r="E455" s="17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4"/>
      <c r="Q455" s="146"/>
      <c r="R455" s="17"/>
      <c r="S455" s="17"/>
      <c r="T455" s="75"/>
      <c r="U455" s="75"/>
      <c r="V455" s="75"/>
      <c r="W455" s="75"/>
      <c r="X455" s="75"/>
    </row>
    <row r="456">
      <c r="A456" s="17"/>
      <c r="B456" s="17"/>
      <c r="C456" s="133"/>
      <c r="D456" s="133"/>
      <c r="E456" s="17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4"/>
      <c r="Q456" s="146"/>
      <c r="R456" s="17"/>
      <c r="S456" s="17"/>
      <c r="T456" s="75"/>
      <c r="U456" s="75"/>
      <c r="V456" s="75"/>
      <c r="W456" s="75"/>
      <c r="X456" s="75"/>
    </row>
    <row r="457">
      <c r="A457" s="17"/>
      <c r="B457" s="17"/>
      <c r="C457" s="133"/>
      <c r="D457" s="133"/>
      <c r="E457" s="17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4"/>
      <c r="Q457" s="146"/>
      <c r="R457" s="17"/>
      <c r="S457" s="17"/>
      <c r="T457" s="75"/>
      <c r="U457" s="75"/>
      <c r="V457" s="75"/>
      <c r="W457" s="75"/>
      <c r="X457" s="75"/>
    </row>
    <row r="458">
      <c r="A458" s="17"/>
      <c r="B458" s="17"/>
      <c r="C458" s="133"/>
      <c r="D458" s="133"/>
      <c r="E458" s="17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4"/>
      <c r="Q458" s="146"/>
      <c r="R458" s="17"/>
      <c r="S458" s="17"/>
      <c r="T458" s="75"/>
      <c r="U458" s="75"/>
      <c r="V458" s="75"/>
      <c r="W458" s="75"/>
      <c r="X458" s="75"/>
    </row>
    <row r="459">
      <c r="A459" s="17"/>
      <c r="B459" s="17"/>
      <c r="C459" s="133"/>
      <c r="D459" s="133"/>
      <c r="E459" s="17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4"/>
      <c r="Q459" s="146"/>
      <c r="R459" s="17"/>
      <c r="S459" s="17"/>
      <c r="T459" s="75"/>
      <c r="U459" s="75"/>
      <c r="V459" s="75"/>
      <c r="W459" s="75"/>
      <c r="X459" s="75"/>
    </row>
    <row r="460">
      <c r="A460" s="17"/>
      <c r="B460" s="17"/>
      <c r="C460" s="133"/>
      <c r="D460" s="133"/>
      <c r="E460" s="17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4"/>
      <c r="Q460" s="146"/>
      <c r="R460" s="17"/>
      <c r="S460" s="17"/>
      <c r="T460" s="75"/>
      <c r="U460" s="75"/>
      <c r="V460" s="75"/>
      <c r="W460" s="75"/>
      <c r="X460" s="75"/>
    </row>
    <row r="461">
      <c r="A461" s="17"/>
      <c r="B461" s="17"/>
      <c r="C461" s="133"/>
      <c r="D461" s="133"/>
      <c r="E461" s="17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4"/>
      <c r="Q461" s="146"/>
      <c r="R461" s="17"/>
      <c r="S461" s="17"/>
      <c r="T461" s="75"/>
      <c r="U461" s="75"/>
      <c r="V461" s="75"/>
      <c r="W461" s="75"/>
      <c r="X461" s="75"/>
    </row>
    <row r="462">
      <c r="A462" s="17"/>
      <c r="B462" s="17"/>
      <c r="C462" s="133"/>
      <c r="D462" s="133"/>
      <c r="E462" s="17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4"/>
      <c r="Q462" s="146"/>
      <c r="R462" s="17"/>
      <c r="S462" s="17"/>
      <c r="T462" s="75"/>
      <c r="U462" s="75"/>
      <c r="V462" s="75"/>
      <c r="W462" s="75"/>
      <c r="X462" s="75"/>
    </row>
    <row r="463">
      <c r="A463" s="17"/>
      <c r="B463" s="17"/>
      <c r="C463" s="133"/>
      <c r="D463" s="133"/>
      <c r="E463" s="17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4"/>
      <c r="Q463" s="146"/>
      <c r="R463" s="17"/>
      <c r="S463" s="17"/>
      <c r="T463" s="75"/>
      <c r="U463" s="75"/>
      <c r="V463" s="75"/>
      <c r="W463" s="75"/>
      <c r="X463" s="75"/>
    </row>
    <row r="464">
      <c r="A464" s="17"/>
      <c r="B464" s="17"/>
      <c r="C464" s="133"/>
      <c r="D464" s="133"/>
      <c r="E464" s="17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4"/>
      <c r="Q464" s="146"/>
      <c r="R464" s="17"/>
      <c r="S464" s="17"/>
      <c r="T464" s="75"/>
      <c r="U464" s="75"/>
      <c r="V464" s="75"/>
      <c r="W464" s="75"/>
      <c r="X464" s="75"/>
    </row>
    <row r="465">
      <c r="A465" s="17"/>
      <c r="B465" s="17"/>
      <c r="C465" s="133"/>
      <c r="D465" s="133"/>
      <c r="E465" s="17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4"/>
      <c r="Q465" s="146"/>
      <c r="R465" s="17"/>
      <c r="S465" s="17"/>
      <c r="T465" s="75"/>
      <c r="U465" s="75"/>
      <c r="V465" s="75"/>
      <c r="W465" s="75"/>
      <c r="X465" s="75"/>
    </row>
    <row r="466">
      <c r="A466" s="17"/>
      <c r="B466" s="17"/>
      <c r="C466" s="133"/>
      <c r="D466" s="133"/>
      <c r="E466" s="17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4"/>
      <c r="Q466" s="146"/>
      <c r="R466" s="17"/>
      <c r="S466" s="17"/>
      <c r="T466" s="75"/>
      <c r="U466" s="75"/>
      <c r="V466" s="75"/>
      <c r="W466" s="75"/>
      <c r="X466" s="75"/>
    </row>
    <row r="467">
      <c r="A467" s="17"/>
      <c r="B467" s="17"/>
      <c r="C467" s="133"/>
      <c r="D467" s="133"/>
      <c r="E467" s="17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4"/>
      <c r="Q467" s="146"/>
      <c r="R467" s="17"/>
      <c r="S467" s="17"/>
      <c r="T467" s="75"/>
      <c r="U467" s="75"/>
      <c r="V467" s="75"/>
      <c r="W467" s="75"/>
      <c r="X467" s="75"/>
    </row>
    <row r="468">
      <c r="A468" s="17"/>
      <c r="B468" s="17"/>
      <c r="C468" s="133"/>
      <c r="D468" s="133"/>
      <c r="E468" s="17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4"/>
      <c r="Q468" s="146"/>
      <c r="R468" s="17"/>
      <c r="S468" s="17"/>
      <c r="T468" s="75"/>
      <c r="U468" s="75"/>
      <c r="V468" s="75"/>
      <c r="W468" s="75"/>
      <c r="X468" s="75"/>
    </row>
    <row r="469">
      <c r="A469" s="17"/>
      <c r="B469" s="17"/>
      <c r="C469" s="133"/>
      <c r="D469" s="133"/>
      <c r="E469" s="17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4"/>
      <c r="Q469" s="146"/>
      <c r="R469" s="17"/>
      <c r="S469" s="17"/>
      <c r="T469" s="75"/>
      <c r="U469" s="75"/>
      <c r="V469" s="75"/>
      <c r="W469" s="75"/>
      <c r="X469" s="75"/>
    </row>
    <row r="470">
      <c r="A470" s="17"/>
      <c r="B470" s="17"/>
      <c r="C470" s="133"/>
      <c r="D470" s="133"/>
      <c r="E470" s="17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4"/>
      <c r="Q470" s="146"/>
      <c r="R470" s="17"/>
      <c r="S470" s="17"/>
      <c r="T470" s="75"/>
      <c r="U470" s="75"/>
      <c r="V470" s="75"/>
      <c r="W470" s="75"/>
      <c r="X470" s="75"/>
    </row>
    <row r="471">
      <c r="A471" s="17"/>
      <c r="B471" s="17"/>
      <c r="C471" s="133"/>
      <c r="D471" s="133"/>
      <c r="E471" s="17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4"/>
      <c r="Q471" s="146"/>
      <c r="R471" s="17"/>
      <c r="S471" s="17"/>
      <c r="T471" s="75"/>
      <c r="U471" s="75"/>
      <c r="V471" s="75"/>
      <c r="W471" s="75"/>
      <c r="X471" s="75"/>
    </row>
    <row r="472">
      <c r="A472" s="17"/>
      <c r="B472" s="17"/>
      <c r="C472" s="133"/>
      <c r="D472" s="133"/>
      <c r="E472" s="17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4"/>
      <c r="Q472" s="146"/>
      <c r="R472" s="17"/>
      <c r="S472" s="17"/>
      <c r="T472" s="75"/>
      <c r="U472" s="75"/>
      <c r="V472" s="75"/>
      <c r="W472" s="75"/>
      <c r="X472" s="75"/>
    </row>
    <row r="473">
      <c r="A473" s="17"/>
      <c r="B473" s="17"/>
      <c r="C473" s="133"/>
      <c r="D473" s="133"/>
      <c r="E473" s="17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4"/>
      <c r="Q473" s="146"/>
      <c r="R473" s="17"/>
      <c r="S473" s="17"/>
      <c r="T473" s="75"/>
      <c r="U473" s="75"/>
      <c r="V473" s="75"/>
      <c r="W473" s="75"/>
      <c r="X473" s="75"/>
    </row>
    <row r="474">
      <c r="A474" s="17"/>
      <c r="B474" s="17"/>
      <c r="C474" s="133"/>
      <c r="D474" s="133"/>
      <c r="E474" s="17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4"/>
      <c r="Q474" s="146"/>
      <c r="R474" s="17"/>
      <c r="S474" s="17"/>
      <c r="T474" s="75"/>
      <c r="U474" s="75"/>
      <c r="V474" s="75"/>
      <c r="W474" s="75"/>
      <c r="X474" s="75"/>
    </row>
    <row r="475">
      <c r="A475" s="17"/>
      <c r="B475" s="17"/>
      <c r="C475" s="133"/>
      <c r="D475" s="133"/>
      <c r="E475" s="17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4"/>
      <c r="Q475" s="146"/>
      <c r="R475" s="17"/>
      <c r="S475" s="17"/>
      <c r="T475" s="75"/>
      <c r="U475" s="75"/>
      <c r="V475" s="75"/>
      <c r="W475" s="75"/>
      <c r="X475" s="75"/>
    </row>
    <row r="476">
      <c r="A476" s="17"/>
      <c r="B476" s="17"/>
      <c r="C476" s="133"/>
      <c r="D476" s="133"/>
      <c r="E476" s="17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4"/>
      <c r="Q476" s="146"/>
      <c r="R476" s="17"/>
      <c r="S476" s="17"/>
      <c r="T476" s="75"/>
      <c r="U476" s="75"/>
      <c r="V476" s="75"/>
      <c r="W476" s="75"/>
      <c r="X476" s="75"/>
    </row>
    <row r="477">
      <c r="A477" s="17"/>
      <c r="B477" s="17"/>
      <c r="C477" s="133"/>
      <c r="D477" s="133"/>
      <c r="E477" s="17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4"/>
      <c r="Q477" s="146"/>
      <c r="R477" s="17"/>
      <c r="S477" s="17"/>
      <c r="T477" s="75"/>
      <c r="U477" s="75"/>
      <c r="V477" s="75"/>
      <c r="W477" s="75"/>
      <c r="X477" s="75"/>
    </row>
    <row r="478">
      <c r="A478" s="17"/>
      <c r="B478" s="17"/>
      <c r="C478" s="133"/>
      <c r="D478" s="133"/>
      <c r="E478" s="17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4"/>
      <c r="Q478" s="146"/>
      <c r="R478" s="17"/>
      <c r="S478" s="17"/>
      <c r="T478" s="75"/>
      <c r="U478" s="75"/>
      <c r="V478" s="75"/>
      <c r="W478" s="75"/>
      <c r="X478" s="75"/>
    </row>
    <row r="479">
      <c r="A479" s="17"/>
      <c r="B479" s="17"/>
      <c r="C479" s="133"/>
      <c r="D479" s="133"/>
      <c r="E479" s="17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4"/>
      <c r="Q479" s="146"/>
      <c r="R479" s="17"/>
      <c r="S479" s="17"/>
      <c r="T479" s="75"/>
      <c r="U479" s="75"/>
      <c r="V479" s="75"/>
      <c r="W479" s="75"/>
      <c r="X479" s="75"/>
    </row>
    <row r="480">
      <c r="A480" s="17"/>
      <c r="B480" s="17"/>
      <c r="C480" s="133"/>
      <c r="D480" s="133"/>
      <c r="E480" s="17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4"/>
      <c r="Q480" s="146"/>
      <c r="R480" s="17"/>
      <c r="S480" s="17"/>
      <c r="T480" s="75"/>
      <c r="U480" s="75"/>
      <c r="V480" s="75"/>
      <c r="W480" s="75"/>
      <c r="X480" s="75"/>
    </row>
    <row r="481">
      <c r="A481" s="17"/>
      <c r="B481" s="17"/>
      <c r="C481" s="133"/>
      <c r="D481" s="133"/>
      <c r="E481" s="17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4"/>
      <c r="Q481" s="146"/>
      <c r="R481" s="17"/>
      <c r="S481" s="17"/>
      <c r="T481" s="75"/>
      <c r="U481" s="75"/>
      <c r="V481" s="75"/>
      <c r="W481" s="75"/>
      <c r="X481" s="75"/>
    </row>
    <row r="482">
      <c r="A482" s="17"/>
      <c r="B482" s="17"/>
      <c r="C482" s="133"/>
      <c r="D482" s="133"/>
      <c r="E482" s="17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4"/>
      <c r="Q482" s="146"/>
      <c r="R482" s="17"/>
      <c r="S482" s="17"/>
      <c r="T482" s="75"/>
      <c r="U482" s="75"/>
      <c r="V482" s="75"/>
      <c r="W482" s="75"/>
      <c r="X482" s="75"/>
    </row>
    <row r="483">
      <c r="A483" s="17"/>
      <c r="B483" s="17"/>
      <c r="C483" s="133"/>
      <c r="D483" s="133"/>
      <c r="E483" s="17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4"/>
      <c r="Q483" s="146"/>
      <c r="R483" s="17"/>
      <c r="S483" s="17"/>
      <c r="T483" s="75"/>
      <c r="U483" s="75"/>
      <c r="V483" s="75"/>
      <c r="W483" s="75"/>
      <c r="X483" s="75"/>
    </row>
    <row r="484">
      <c r="A484" s="17"/>
      <c r="B484" s="17"/>
      <c r="C484" s="133"/>
      <c r="D484" s="133"/>
      <c r="E484" s="17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4"/>
      <c r="Q484" s="146"/>
      <c r="R484" s="17"/>
      <c r="S484" s="17"/>
      <c r="T484" s="75"/>
      <c r="U484" s="75"/>
      <c r="V484" s="75"/>
      <c r="W484" s="75"/>
      <c r="X484" s="75"/>
    </row>
    <row r="485">
      <c r="A485" s="17"/>
      <c r="B485" s="17"/>
      <c r="C485" s="133"/>
      <c r="D485" s="133"/>
      <c r="E485" s="17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4"/>
      <c r="Q485" s="146"/>
      <c r="R485" s="17"/>
      <c r="S485" s="17"/>
      <c r="T485" s="75"/>
      <c r="U485" s="75"/>
      <c r="V485" s="75"/>
      <c r="W485" s="75"/>
      <c r="X485" s="75"/>
    </row>
    <row r="486">
      <c r="A486" s="17"/>
      <c r="B486" s="17"/>
      <c r="C486" s="133"/>
      <c r="D486" s="133"/>
      <c r="E486" s="17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4"/>
      <c r="Q486" s="146"/>
      <c r="R486" s="17"/>
      <c r="S486" s="17"/>
      <c r="T486" s="75"/>
      <c r="U486" s="75"/>
      <c r="V486" s="75"/>
      <c r="W486" s="75"/>
      <c r="X486" s="75"/>
    </row>
    <row r="487">
      <c r="A487" s="17"/>
      <c r="B487" s="17"/>
      <c r="C487" s="133"/>
      <c r="D487" s="133"/>
      <c r="E487" s="17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4"/>
      <c r="Q487" s="146"/>
      <c r="R487" s="17"/>
      <c r="S487" s="17"/>
      <c r="T487" s="75"/>
      <c r="U487" s="75"/>
      <c r="V487" s="75"/>
      <c r="W487" s="75"/>
      <c r="X487" s="75"/>
    </row>
    <row r="488">
      <c r="A488" s="17"/>
      <c r="B488" s="17"/>
      <c r="C488" s="133"/>
      <c r="D488" s="133"/>
      <c r="E488" s="17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4"/>
      <c r="Q488" s="146"/>
      <c r="R488" s="17"/>
      <c r="S488" s="17"/>
      <c r="T488" s="75"/>
      <c r="U488" s="75"/>
      <c r="V488" s="75"/>
      <c r="W488" s="75"/>
      <c r="X488" s="75"/>
    </row>
    <row r="489">
      <c r="A489" s="17"/>
      <c r="B489" s="17"/>
      <c r="C489" s="133"/>
      <c r="D489" s="133"/>
      <c r="E489" s="17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4"/>
      <c r="Q489" s="146"/>
      <c r="R489" s="17"/>
      <c r="S489" s="17"/>
      <c r="T489" s="75"/>
      <c r="U489" s="75"/>
      <c r="V489" s="75"/>
      <c r="W489" s="75"/>
      <c r="X489" s="75"/>
    </row>
    <row r="490">
      <c r="A490" s="17"/>
      <c r="B490" s="17"/>
      <c r="C490" s="133"/>
      <c r="D490" s="133"/>
      <c r="E490" s="17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4"/>
      <c r="Q490" s="146"/>
      <c r="R490" s="17"/>
      <c r="S490" s="17"/>
      <c r="T490" s="75"/>
      <c r="U490" s="75"/>
      <c r="V490" s="75"/>
      <c r="W490" s="75"/>
      <c r="X490" s="75"/>
    </row>
    <row r="491">
      <c r="A491" s="17"/>
      <c r="B491" s="17"/>
      <c r="C491" s="133"/>
      <c r="D491" s="133"/>
      <c r="E491" s="17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4"/>
      <c r="Q491" s="146"/>
      <c r="R491" s="17"/>
      <c r="S491" s="17"/>
      <c r="T491" s="75"/>
      <c r="U491" s="75"/>
      <c r="V491" s="75"/>
      <c r="W491" s="75"/>
      <c r="X491" s="75"/>
    </row>
    <row r="492">
      <c r="A492" s="17"/>
      <c r="B492" s="17"/>
      <c r="C492" s="133"/>
      <c r="D492" s="133"/>
      <c r="E492" s="17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4"/>
      <c r="Q492" s="146"/>
      <c r="R492" s="17"/>
      <c r="S492" s="17"/>
      <c r="T492" s="75"/>
      <c r="U492" s="75"/>
      <c r="V492" s="75"/>
      <c r="W492" s="75"/>
      <c r="X492" s="75"/>
    </row>
    <row r="493">
      <c r="A493" s="17"/>
      <c r="B493" s="17"/>
      <c r="C493" s="133"/>
      <c r="D493" s="133"/>
      <c r="E493" s="17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4"/>
      <c r="Q493" s="146"/>
      <c r="R493" s="17"/>
      <c r="S493" s="17"/>
      <c r="T493" s="75"/>
      <c r="U493" s="75"/>
      <c r="V493" s="75"/>
      <c r="W493" s="75"/>
      <c r="X493" s="75"/>
    </row>
    <row r="494">
      <c r="A494" s="17"/>
      <c r="B494" s="17"/>
      <c r="C494" s="133"/>
      <c r="D494" s="133"/>
      <c r="E494" s="17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4"/>
      <c r="Q494" s="146"/>
      <c r="R494" s="17"/>
      <c r="S494" s="17"/>
      <c r="T494" s="75"/>
      <c r="U494" s="75"/>
      <c r="V494" s="75"/>
      <c r="W494" s="75"/>
      <c r="X494" s="75"/>
    </row>
    <row r="495">
      <c r="A495" s="17"/>
      <c r="B495" s="17"/>
      <c r="C495" s="133"/>
      <c r="D495" s="133"/>
      <c r="E495" s="17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4"/>
      <c r="Q495" s="146"/>
      <c r="R495" s="17"/>
      <c r="S495" s="17"/>
      <c r="T495" s="75"/>
      <c r="U495" s="75"/>
      <c r="V495" s="75"/>
      <c r="W495" s="75"/>
      <c r="X495" s="75"/>
    </row>
    <row r="496">
      <c r="A496" s="17"/>
      <c r="B496" s="17"/>
      <c r="C496" s="133"/>
      <c r="D496" s="133"/>
      <c r="E496" s="17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4"/>
      <c r="Q496" s="146"/>
      <c r="R496" s="17"/>
      <c r="S496" s="17"/>
      <c r="T496" s="75"/>
      <c r="U496" s="75"/>
      <c r="V496" s="75"/>
      <c r="W496" s="75"/>
      <c r="X496" s="75"/>
    </row>
    <row r="497">
      <c r="A497" s="17"/>
      <c r="B497" s="17"/>
      <c r="C497" s="133"/>
      <c r="D497" s="133"/>
      <c r="E497" s="17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4"/>
      <c r="Q497" s="146"/>
      <c r="R497" s="17"/>
      <c r="S497" s="17"/>
      <c r="T497" s="75"/>
      <c r="U497" s="75"/>
      <c r="V497" s="75"/>
      <c r="W497" s="75"/>
      <c r="X497" s="75"/>
    </row>
    <row r="498">
      <c r="A498" s="17"/>
      <c r="B498" s="17"/>
      <c r="C498" s="133"/>
      <c r="D498" s="133"/>
      <c r="E498" s="17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4"/>
      <c r="Q498" s="146"/>
      <c r="R498" s="17"/>
      <c r="S498" s="17"/>
      <c r="T498" s="75"/>
      <c r="U498" s="75"/>
      <c r="V498" s="75"/>
      <c r="W498" s="75"/>
      <c r="X498" s="75"/>
    </row>
    <row r="499">
      <c r="A499" s="17"/>
      <c r="B499" s="17"/>
      <c r="C499" s="133"/>
      <c r="D499" s="133"/>
      <c r="E499" s="17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4"/>
      <c r="Q499" s="146"/>
      <c r="R499" s="17"/>
      <c r="S499" s="17"/>
      <c r="T499" s="75"/>
      <c r="U499" s="75"/>
      <c r="V499" s="75"/>
      <c r="W499" s="75"/>
      <c r="X499" s="75"/>
    </row>
    <row r="500">
      <c r="A500" s="17"/>
      <c r="B500" s="17"/>
      <c r="C500" s="133"/>
      <c r="D500" s="133"/>
      <c r="E500" s="17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4"/>
      <c r="Q500" s="146"/>
      <c r="R500" s="17"/>
      <c r="S500" s="17"/>
      <c r="T500" s="75"/>
      <c r="U500" s="75"/>
      <c r="V500" s="75"/>
      <c r="W500" s="75"/>
      <c r="X500" s="75"/>
    </row>
    <row r="501">
      <c r="A501" s="17"/>
      <c r="B501" s="17"/>
      <c r="C501" s="133"/>
      <c r="D501" s="133"/>
      <c r="E501" s="17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4"/>
      <c r="Q501" s="146"/>
      <c r="R501" s="17"/>
      <c r="S501" s="17"/>
      <c r="T501" s="75"/>
      <c r="U501" s="75"/>
      <c r="V501" s="75"/>
      <c r="W501" s="75"/>
      <c r="X501" s="75"/>
    </row>
    <row r="502">
      <c r="A502" s="17"/>
      <c r="B502" s="17"/>
      <c r="C502" s="133"/>
      <c r="D502" s="133"/>
      <c r="E502" s="17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4"/>
      <c r="Q502" s="146"/>
      <c r="R502" s="17"/>
      <c r="S502" s="17"/>
      <c r="T502" s="75"/>
      <c r="U502" s="75"/>
      <c r="V502" s="75"/>
      <c r="W502" s="75"/>
      <c r="X502" s="75"/>
    </row>
    <row r="503">
      <c r="A503" s="17"/>
      <c r="B503" s="17"/>
      <c r="C503" s="133"/>
      <c r="D503" s="133"/>
      <c r="E503" s="17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4"/>
      <c r="Q503" s="146"/>
      <c r="R503" s="17"/>
      <c r="S503" s="17"/>
      <c r="T503" s="75"/>
      <c r="U503" s="75"/>
      <c r="V503" s="75"/>
      <c r="W503" s="75"/>
      <c r="X503" s="75"/>
    </row>
    <row r="504">
      <c r="A504" s="17"/>
      <c r="B504" s="17"/>
      <c r="C504" s="133"/>
      <c r="D504" s="133"/>
      <c r="E504" s="17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4"/>
      <c r="Q504" s="146"/>
      <c r="R504" s="17"/>
      <c r="S504" s="17"/>
      <c r="T504" s="75"/>
      <c r="U504" s="75"/>
      <c r="V504" s="75"/>
      <c r="W504" s="75"/>
      <c r="X504" s="75"/>
    </row>
    <row r="505">
      <c r="A505" s="17"/>
      <c r="B505" s="17"/>
      <c r="C505" s="133"/>
      <c r="D505" s="133"/>
      <c r="E505" s="17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4"/>
      <c r="Q505" s="146"/>
      <c r="R505" s="17"/>
      <c r="S505" s="17"/>
      <c r="T505" s="75"/>
      <c r="U505" s="75"/>
      <c r="V505" s="75"/>
      <c r="W505" s="75"/>
      <c r="X505" s="75"/>
    </row>
    <row r="506">
      <c r="A506" s="17"/>
      <c r="B506" s="17"/>
      <c r="C506" s="133"/>
      <c r="D506" s="133"/>
      <c r="E506" s="17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4"/>
      <c r="Q506" s="146"/>
      <c r="R506" s="17"/>
      <c r="S506" s="17"/>
      <c r="T506" s="75"/>
      <c r="U506" s="75"/>
      <c r="V506" s="75"/>
      <c r="W506" s="75"/>
      <c r="X506" s="75"/>
    </row>
    <row r="507">
      <c r="A507" s="17"/>
      <c r="B507" s="17"/>
      <c r="C507" s="133"/>
      <c r="D507" s="133"/>
      <c r="E507" s="17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4"/>
      <c r="Q507" s="146"/>
      <c r="R507" s="17"/>
      <c r="S507" s="17"/>
      <c r="T507" s="75"/>
      <c r="U507" s="75"/>
      <c r="V507" s="75"/>
      <c r="W507" s="75"/>
      <c r="X507" s="75"/>
    </row>
    <row r="508">
      <c r="A508" s="17"/>
      <c r="B508" s="17"/>
      <c r="C508" s="133"/>
      <c r="D508" s="133"/>
      <c r="E508" s="17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4"/>
      <c r="Q508" s="146"/>
      <c r="R508" s="17"/>
      <c r="S508" s="17"/>
      <c r="T508" s="75"/>
      <c r="U508" s="75"/>
      <c r="V508" s="75"/>
      <c r="W508" s="75"/>
      <c r="X508" s="75"/>
    </row>
    <row r="509">
      <c r="A509" s="17"/>
      <c r="B509" s="17"/>
      <c r="C509" s="133"/>
      <c r="D509" s="133"/>
      <c r="E509" s="17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4"/>
      <c r="Q509" s="146"/>
      <c r="R509" s="17"/>
      <c r="S509" s="17"/>
      <c r="T509" s="75"/>
      <c r="U509" s="75"/>
      <c r="V509" s="75"/>
      <c r="W509" s="75"/>
      <c r="X509" s="75"/>
    </row>
    <row r="510">
      <c r="A510" s="17"/>
      <c r="B510" s="17"/>
      <c r="C510" s="133"/>
      <c r="D510" s="133"/>
      <c r="E510" s="17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4"/>
      <c r="Q510" s="146"/>
      <c r="R510" s="17"/>
      <c r="S510" s="17"/>
      <c r="T510" s="75"/>
      <c r="U510" s="75"/>
      <c r="V510" s="75"/>
      <c r="W510" s="75"/>
      <c r="X510" s="75"/>
    </row>
    <row r="511">
      <c r="A511" s="17"/>
      <c r="B511" s="17"/>
      <c r="C511" s="133"/>
      <c r="D511" s="133"/>
      <c r="E511" s="17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4"/>
      <c r="Q511" s="146"/>
      <c r="R511" s="17"/>
      <c r="S511" s="17"/>
      <c r="T511" s="75"/>
      <c r="U511" s="75"/>
      <c r="V511" s="75"/>
      <c r="W511" s="75"/>
      <c r="X511" s="75"/>
    </row>
    <row r="512">
      <c r="A512" s="17"/>
      <c r="B512" s="17"/>
      <c r="C512" s="133"/>
      <c r="D512" s="133"/>
      <c r="E512" s="17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4"/>
      <c r="Q512" s="146"/>
      <c r="R512" s="17"/>
      <c r="S512" s="17"/>
      <c r="T512" s="75"/>
      <c r="U512" s="75"/>
      <c r="V512" s="75"/>
      <c r="W512" s="75"/>
      <c r="X512" s="75"/>
    </row>
    <row r="513">
      <c r="A513" s="17"/>
      <c r="B513" s="17"/>
      <c r="C513" s="133"/>
      <c r="D513" s="133"/>
      <c r="E513" s="17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4"/>
      <c r="Q513" s="146"/>
      <c r="R513" s="17"/>
      <c r="S513" s="17"/>
      <c r="T513" s="75"/>
      <c r="U513" s="75"/>
      <c r="V513" s="75"/>
      <c r="W513" s="75"/>
      <c r="X513" s="75"/>
    </row>
    <row r="514">
      <c r="A514" s="17"/>
      <c r="B514" s="17"/>
      <c r="C514" s="133"/>
      <c r="D514" s="133"/>
      <c r="E514" s="17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4"/>
      <c r="Q514" s="146"/>
      <c r="R514" s="17"/>
      <c r="S514" s="17"/>
      <c r="T514" s="75"/>
      <c r="U514" s="75"/>
      <c r="V514" s="75"/>
      <c r="W514" s="75"/>
      <c r="X514" s="75"/>
    </row>
    <row r="515">
      <c r="A515" s="17"/>
      <c r="B515" s="17"/>
      <c r="C515" s="133"/>
      <c r="D515" s="133"/>
      <c r="E515" s="17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4"/>
      <c r="Q515" s="146"/>
      <c r="R515" s="17"/>
      <c r="S515" s="17"/>
      <c r="T515" s="75"/>
      <c r="U515" s="75"/>
      <c r="V515" s="75"/>
      <c r="W515" s="75"/>
      <c r="X515" s="75"/>
    </row>
    <row r="516">
      <c r="A516" s="17"/>
      <c r="B516" s="17"/>
      <c r="C516" s="133"/>
      <c r="D516" s="133"/>
      <c r="E516" s="17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4"/>
      <c r="Q516" s="146"/>
      <c r="R516" s="17"/>
      <c r="S516" s="17"/>
      <c r="T516" s="75"/>
      <c r="U516" s="75"/>
      <c r="V516" s="75"/>
      <c r="W516" s="75"/>
      <c r="X516" s="75"/>
    </row>
    <row r="517">
      <c r="A517" s="17"/>
      <c r="B517" s="17"/>
      <c r="C517" s="133"/>
      <c r="D517" s="133"/>
      <c r="E517" s="17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4"/>
      <c r="Q517" s="146"/>
      <c r="R517" s="17"/>
      <c r="S517" s="17"/>
      <c r="T517" s="75"/>
      <c r="U517" s="75"/>
      <c r="V517" s="75"/>
      <c r="W517" s="75"/>
      <c r="X517" s="75"/>
    </row>
    <row r="518">
      <c r="A518" s="17"/>
      <c r="B518" s="17"/>
      <c r="C518" s="133"/>
      <c r="D518" s="133"/>
      <c r="E518" s="17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4"/>
      <c r="Q518" s="146"/>
      <c r="R518" s="17"/>
      <c r="S518" s="17"/>
      <c r="T518" s="75"/>
      <c r="U518" s="75"/>
      <c r="V518" s="75"/>
      <c r="W518" s="75"/>
      <c r="X518" s="75"/>
    </row>
    <row r="519">
      <c r="A519" s="17"/>
      <c r="B519" s="17"/>
      <c r="C519" s="133"/>
      <c r="D519" s="133"/>
      <c r="E519" s="17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4"/>
      <c r="Q519" s="146"/>
      <c r="R519" s="17"/>
      <c r="S519" s="17"/>
      <c r="T519" s="75"/>
      <c r="U519" s="75"/>
      <c r="V519" s="75"/>
      <c r="W519" s="75"/>
      <c r="X519" s="75"/>
    </row>
    <row r="520">
      <c r="A520" s="17"/>
      <c r="B520" s="17"/>
      <c r="C520" s="133"/>
      <c r="D520" s="133"/>
      <c r="E520" s="17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4"/>
      <c r="Q520" s="146"/>
      <c r="R520" s="17"/>
      <c r="S520" s="17"/>
      <c r="T520" s="75"/>
      <c r="U520" s="75"/>
      <c r="V520" s="75"/>
      <c r="W520" s="75"/>
      <c r="X520" s="75"/>
    </row>
    <row r="521">
      <c r="A521" s="17"/>
      <c r="B521" s="17"/>
      <c r="C521" s="133"/>
      <c r="D521" s="133"/>
      <c r="E521" s="17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4"/>
      <c r="Q521" s="146"/>
      <c r="R521" s="17"/>
      <c r="S521" s="17"/>
      <c r="T521" s="75"/>
      <c r="U521" s="75"/>
      <c r="V521" s="75"/>
      <c r="W521" s="75"/>
      <c r="X521" s="75"/>
    </row>
    <row r="522">
      <c r="A522" s="17"/>
      <c r="B522" s="17"/>
      <c r="C522" s="133"/>
      <c r="D522" s="133"/>
      <c r="E522" s="17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4"/>
      <c r="Q522" s="146"/>
      <c r="R522" s="17"/>
      <c r="S522" s="17"/>
      <c r="T522" s="75"/>
      <c r="U522" s="75"/>
      <c r="V522" s="75"/>
      <c r="W522" s="75"/>
      <c r="X522" s="75"/>
    </row>
    <row r="523">
      <c r="A523" s="17"/>
      <c r="B523" s="17"/>
      <c r="C523" s="133"/>
      <c r="D523" s="133"/>
      <c r="E523" s="17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4"/>
      <c r="Q523" s="146"/>
      <c r="R523" s="17"/>
      <c r="S523" s="17"/>
      <c r="T523" s="75"/>
      <c r="U523" s="75"/>
      <c r="V523" s="75"/>
      <c r="W523" s="75"/>
      <c r="X523" s="75"/>
    </row>
    <row r="524">
      <c r="A524" s="17"/>
      <c r="B524" s="17"/>
      <c r="C524" s="133"/>
      <c r="D524" s="133"/>
      <c r="E524" s="17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4"/>
      <c r="Q524" s="146"/>
      <c r="R524" s="17"/>
      <c r="S524" s="17"/>
      <c r="T524" s="75"/>
      <c r="U524" s="75"/>
      <c r="V524" s="75"/>
      <c r="W524" s="75"/>
      <c r="X524" s="75"/>
    </row>
    <row r="525">
      <c r="A525" s="17"/>
      <c r="B525" s="17"/>
      <c r="C525" s="133"/>
      <c r="D525" s="133"/>
      <c r="E525" s="17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4"/>
      <c r="Q525" s="146"/>
      <c r="R525" s="17"/>
      <c r="S525" s="17"/>
      <c r="T525" s="75"/>
      <c r="U525" s="75"/>
      <c r="V525" s="75"/>
      <c r="W525" s="75"/>
      <c r="X525" s="75"/>
    </row>
    <row r="526">
      <c r="A526" s="17"/>
      <c r="B526" s="17"/>
      <c r="C526" s="133"/>
      <c r="D526" s="133"/>
      <c r="E526" s="17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4"/>
      <c r="Q526" s="146"/>
      <c r="R526" s="17"/>
      <c r="S526" s="17"/>
      <c r="T526" s="75"/>
      <c r="U526" s="75"/>
      <c r="V526" s="75"/>
      <c r="W526" s="75"/>
      <c r="X526" s="75"/>
    </row>
    <row r="527">
      <c r="A527" s="17"/>
      <c r="B527" s="17"/>
      <c r="C527" s="133"/>
      <c r="D527" s="133"/>
      <c r="E527" s="17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4"/>
      <c r="Q527" s="146"/>
      <c r="R527" s="17"/>
      <c r="S527" s="17"/>
      <c r="T527" s="75"/>
      <c r="U527" s="75"/>
      <c r="V527" s="75"/>
      <c r="W527" s="75"/>
      <c r="X527" s="75"/>
    </row>
    <row r="528">
      <c r="A528" s="17"/>
      <c r="B528" s="17"/>
      <c r="C528" s="133"/>
      <c r="D528" s="133"/>
      <c r="E528" s="17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4"/>
      <c r="Q528" s="146"/>
      <c r="R528" s="17"/>
      <c r="S528" s="17"/>
      <c r="T528" s="75"/>
      <c r="U528" s="75"/>
      <c r="V528" s="75"/>
      <c r="W528" s="75"/>
      <c r="X528" s="75"/>
    </row>
    <row r="529">
      <c r="A529" s="17"/>
      <c r="B529" s="17"/>
      <c r="C529" s="133"/>
      <c r="D529" s="133"/>
      <c r="E529" s="17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4"/>
      <c r="Q529" s="146"/>
      <c r="R529" s="17"/>
      <c r="S529" s="17"/>
      <c r="T529" s="75"/>
      <c r="U529" s="75"/>
      <c r="V529" s="75"/>
      <c r="W529" s="75"/>
      <c r="X529" s="75"/>
    </row>
    <row r="530">
      <c r="A530" s="17"/>
      <c r="B530" s="17"/>
      <c r="C530" s="133"/>
      <c r="D530" s="133"/>
      <c r="E530" s="17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4"/>
      <c r="Q530" s="146"/>
      <c r="R530" s="17"/>
      <c r="S530" s="17"/>
      <c r="T530" s="75"/>
      <c r="U530" s="75"/>
      <c r="V530" s="75"/>
      <c r="W530" s="75"/>
      <c r="X530" s="75"/>
    </row>
    <row r="531">
      <c r="A531" s="17"/>
      <c r="B531" s="17"/>
      <c r="C531" s="133"/>
      <c r="D531" s="133"/>
      <c r="E531" s="17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4"/>
      <c r="Q531" s="146"/>
      <c r="R531" s="17"/>
      <c r="S531" s="17"/>
      <c r="T531" s="75"/>
      <c r="U531" s="75"/>
      <c r="V531" s="75"/>
      <c r="W531" s="75"/>
      <c r="X531" s="75"/>
    </row>
    <row r="532">
      <c r="A532" s="17"/>
      <c r="B532" s="17"/>
      <c r="C532" s="133"/>
      <c r="D532" s="133"/>
      <c r="E532" s="17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4"/>
      <c r="Q532" s="146"/>
      <c r="R532" s="17"/>
      <c r="S532" s="17"/>
      <c r="T532" s="75"/>
      <c r="U532" s="75"/>
      <c r="V532" s="75"/>
      <c r="W532" s="75"/>
      <c r="X532" s="75"/>
    </row>
    <row r="533">
      <c r="A533" s="17"/>
      <c r="B533" s="17"/>
      <c r="C533" s="133"/>
      <c r="D533" s="133"/>
      <c r="E533" s="17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4"/>
      <c r="Q533" s="146"/>
      <c r="R533" s="17"/>
      <c r="S533" s="17"/>
      <c r="T533" s="75"/>
      <c r="U533" s="75"/>
      <c r="V533" s="75"/>
      <c r="W533" s="75"/>
      <c r="X533" s="75"/>
    </row>
    <row r="534">
      <c r="A534" s="17"/>
      <c r="B534" s="17"/>
      <c r="C534" s="133"/>
      <c r="D534" s="133"/>
      <c r="E534" s="17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4"/>
      <c r="Q534" s="146"/>
      <c r="R534" s="17"/>
      <c r="S534" s="17"/>
      <c r="T534" s="75"/>
      <c r="U534" s="75"/>
      <c r="V534" s="75"/>
      <c r="W534" s="75"/>
      <c r="X534" s="75"/>
    </row>
    <row r="535">
      <c r="A535" s="17"/>
      <c r="B535" s="17"/>
      <c r="C535" s="133"/>
      <c r="D535" s="133"/>
      <c r="E535" s="17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4"/>
      <c r="Q535" s="146"/>
      <c r="R535" s="17"/>
      <c r="S535" s="17"/>
      <c r="T535" s="75"/>
      <c r="U535" s="75"/>
      <c r="V535" s="75"/>
      <c r="W535" s="75"/>
      <c r="X535" s="75"/>
    </row>
    <row r="536">
      <c r="A536" s="17"/>
      <c r="B536" s="17"/>
      <c r="C536" s="133"/>
      <c r="D536" s="133"/>
      <c r="E536" s="17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4"/>
      <c r="Q536" s="146"/>
      <c r="R536" s="17"/>
      <c r="S536" s="17"/>
      <c r="T536" s="75"/>
      <c r="U536" s="75"/>
      <c r="V536" s="75"/>
      <c r="W536" s="75"/>
      <c r="X536" s="75"/>
    </row>
    <row r="537">
      <c r="A537" s="17"/>
      <c r="B537" s="17"/>
      <c r="C537" s="133"/>
      <c r="D537" s="133"/>
      <c r="E537" s="17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4"/>
      <c r="Q537" s="146"/>
      <c r="R537" s="17"/>
      <c r="S537" s="17"/>
      <c r="T537" s="75"/>
      <c r="U537" s="75"/>
      <c r="V537" s="75"/>
      <c r="W537" s="75"/>
      <c r="X537" s="75"/>
    </row>
    <row r="538">
      <c r="A538" s="17"/>
      <c r="B538" s="17"/>
      <c r="C538" s="133"/>
      <c r="D538" s="133"/>
      <c r="E538" s="17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4"/>
      <c r="Q538" s="146"/>
      <c r="R538" s="17"/>
      <c r="S538" s="17"/>
      <c r="T538" s="75"/>
      <c r="U538" s="75"/>
      <c r="V538" s="75"/>
      <c r="W538" s="75"/>
      <c r="X538" s="75"/>
    </row>
    <row r="539">
      <c r="A539" s="17"/>
      <c r="B539" s="17"/>
      <c r="C539" s="133"/>
      <c r="D539" s="133"/>
      <c r="E539" s="17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4"/>
      <c r="Q539" s="146"/>
      <c r="R539" s="17"/>
      <c r="S539" s="17"/>
      <c r="T539" s="75"/>
      <c r="U539" s="75"/>
      <c r="V539" s="75"/>
      <c r="W539" s="75"/>
      <c r="X539" s="75"/>
    </row>
    <row r="540">
      <c r="A540" s="17"/>
      <c r="B540" s="17"/>
      <c r="C540" s="133"/>
      <c r="D540" s="133"/>
      <c r="E540" s="17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4"/>
      <c r="Q540" s="146"/>
      <c r="R540" s="17"/>
      <c r="S540" s="17"/>
      <c r="T540" s="75"/>
      <c r="U540" s="75"/>
      <c r="V540" s="75"/>
      <c r="W540" s="75"/>
      <c r="X540" s="75"/>
    </row>
    <row r="541">
      <c r="A541" s="17"/>
      <c r="B541" s="17"/>
      <c r="C541" s="133"/>
      <c r="D541" s="133"/>
      <c r="E541" s="17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4"/>
      <c r="Q541" s="146"/>
      <c r="R541" s="17"/>
      <c r="S541" s="17"/>
      <c r="T541" s="75"/>
      <c r="U541" s="75"/>
      <c r="V541" s="75"/>
      <c r="W541" s="75"/>
      <c r="X541" s="75"/>
    </row>
    <row r="542">
      <c r="A542" s="17"/>
      <c r="B542" s="17"/>
      <c r="C542" s="133"/>
      <c r="D542" s="133"/>
      <c r="E542" s="17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4"/>
      <c r="Q542" s="146"/>
      <c r="R542" s="17"/>
      <c r="S542" s="17"/>
      <c r="T542" s="75"/>
      <c r="U542" s="75"/>
      <c r="V542" s="75"/>
      <c r="W542" s="75"/>
      <c r="X542" s="75"/>
    </row>
    <row r="543">
      <c r="A543" s="17"/>
      <c r="B543" s="17"/>
      <c r="C543" s="133"/>
      <c r="D543" s="133"/>
      <c r="E543" s="17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4"/>
      <c r="Q543" s="146"/>
      <c r="R543" s="17"/>
      <c r="S543" s="17"/>
      <c r="T543" s="75"/>
      <c r="U543" s="75"/>
      <c r="V543" s="75"/>
      <c r="W543" s="75"/>
      <c r="X543" s="75"/>
    </row>
    <row r="544">
      <c r="A544" s="17"/>
      <c r="B544" s="17"/>
      <c r="C544" s="133"/>
      <c r="D544" s="133"/>
      <c r="E544" s="17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4"/>
      <c r="Q544" s="146"/>
      <c r="R544" s="17"/>
      <c r="S544" s="17"/>
      <c r="T544" s="75"/>
      <c r="U544" s="75"/>
      <c r="V544" s="75"/>
      <c r="W544" s="75"/>
      <c r="X544" s="75"/>
    </row>
    <row r="545">
      <c r="A545" s="17"/>
      <c r="B545" s="17"/>
      <c r="C545" s="133"/>
      <c r="D545" s="133"/>
      <c r="E545" s="17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4"/>
      <c r="Q545" s="146"/>
      <c r="R545" s="17"/>
      <c r="S545" s="17"/>
      <c r="T545" s="75"/>
      <c r="U545" s="75"/>
      <c r="V545" s="75"/>
      <c r="W545" s="75"/>
      <c r="X545" s="75"/>
    </row>
    <row r="546">
      <c r="A546" s="17"/>
      <c r="B546" s="17"/>
      <c r="C546" s="133"/>
      <c r="D546" s="133"/>
      <c r="E546" s="17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4"/>
      <c r="Q546" s="146"/>
      <c r="R546" s="17"/>
      <c r="S546" s="17"/>
      <c r="T546" s="75"/>
      <c r="U546" s="75"/>
      <c r="V546" s="75"/>
      <c r="W546" s="75"/>
      <c r="X546" s="75"/>
    </row>
    <row r="547">
      <c r="A547" s="17"/>
      <c r="B547" s="17"/>
      <c r="C547" s="133"/>
      <c r="D547" s="133"/>
      <c r="E547" s="17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4"/>
      <c r="Q547" s="146"/>
      <c r="R547" s="17"/>
      <c r="S547" s="17"/>
      <c r="T547" s="75"/>
      <c r="U547" s="75"/>
      <c r="V547" s="75"/>
      <c r="W547" s="75"/>
      <c r="X547" s="75"/>
    </row>
    <row r="548">
      <c r="A548" s="17"/>
      <c r="B548" s="17"/>
      <c r="C548" s="133"/>
      <c r="D548" s="133"/>
      <c r="E548" s="17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4"/>
      <c r="Q548" s="146"/>
      <c r="R548" s="17"/>
      <c r="S548" s="17"/>
      <c r="T548" s="75"/>
      <c r="U548" s="75"/>
      <c r="V548" s="75"/>
      <c r="W548" s="75"/>
      <c r="X548" s="75"/>
    </row>
    <row r="549">
      <c r="A549" s="17"/>
      <c r="B549" s="17"/>
      <c r="C549" s="133"/>
      <c r="D549" s="133"/>
      <c r="E549" s="17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4"/>
      <c r="Q549" s="146"/>
      <c r="R549" s="17"/>
      <c r="S549" s="17"/>
      <c r="T549" s="75"/>
      <c r="U549" s="75"/>
      <c r="V549" s="75"/>
      <c r="W549" s="75"/>
      <c r="X549" s="75"/>
    </row>
    <row r="550">
      <c r="A550" s="17"/>
      <c r="B550" s="17"/>
      <c r="C550" s="133"/>
      <c r="D550" s="133"/>
      <c r="E550" s="17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4"/>
      <c r="Q550" s="146"/>
      <c r="R550" s="17"/>
      <c r="S550" s="17"/>
      <c r="T550" s="75"/>
      <c r="U550" s="75"/>
      <c r="V550" s="75"/>
      <c r="W550" s="75"/>
      <c r="X550" s="75"/>
    </row>
    <row r="551">
      <c r="A551" s="17"/>
      <c r="B551" s="17"/>
      <c r="C551" s="133"/>
      <c r="D551" s="133"/>
      <c r="E551" s="17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4"/>
      <c r="Q551" s="146"/>
      <c r="R551" s="17"/>
      <c r="S551" s="17"/>
      <c r="T551" s="75"/>
      <c r="U551" s="75"/>
      <c r="V551" s="75"/>
      <c r="W551" s="75"/>
      <c r="X551" s="75"/>
    </row>
    <row r="552">
      <c r="A552" s="17"/>
      <c r="B552" s="17"/>
      <c r="C552" s="133"/>
      <c r="D552" s="133"/>
      <c r="E552" s="17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4"/>
      <c r="Q552" s="146"/>
      <c r="R552" s="17"/>
      <c r="S552" s="17"/>
      <c r="T552" s="75"/>
      <c r="U552" s="75"/>
      <c r="V552" s="75"/>
      <c r="W552" s="75"/>
      <c r="X552" s="75"/>
    </row>
    <row r="553">
      <c r="A553" s="17"/>
      <c r="B553" s="17"/>
      <c r="C553" s="133"/>
      <c r="D553" s="133"/>
      <c r="E553" s="17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4"/>
      <c r="Q553" s="146"/>
      <c r="R553" s="17"/>
      <c r="S553" s="17"/>
      <c r="T553" s="75"/>
      <c r="U553" s="75"/>
      <c r="V553" s="75"/>
      <c r="W553" s="75"/>
      <c r="X553" s="75"/>
    </row>
    <row r="554">
      <c r="A554" s="17"/>
      <c r="B554" s="17"/>
      <c r="C554" s="133"/>
      <c r="D554" s="133"/>
      <c r="E554" s="17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4"/>
      <c r="Q554" s="146"/>
      <c r="R554" s="17"/>
      <c r="S554" s="17"/>
      <c r="T554" s="75"/>
      <c r="U554" s="75"/>
      <c r="V554" s="75"/>
      <c r="W554" s="75"/>
      <c r="X554" s="75"/>
    </row>
    <row r="555">
      <c r="A555" s="17"/>
      <c r="B555" s="17"/>
      <c r="C555" s="133"/>
      <c r="D555" s="133"/>
      <c r="E555" s="17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4"/>
      <c r="Q555" s="146"/>
      <c r="R555" s="17"/>
      <c r="S555" s="17"/>
      <c r="T555" s="75"/>
      <c r="U555" s="75"/>
      <c r="V555" s="75"/>
      <c r="W555" s="75"/>
      <c r="X555" s="75"/>
    </row>
    <row r="556">
      <c r="A556" s="17"/>
      <c r="B556" s="17"/>
      <c r="C556" s="133"/>
      <c r="D556" s="133"/>
      <c r="E556" s="17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4"/>
      <c r="Q556" s="146"/>
      <c r="R556" s="17"/>
      <c r="S556" s="17"/>
      <c r="T556" s="75"/>
      <c r="U556" s="75"/>
      <c r="V556" s="75"/>
      <c r="W556" s="75"/>
      <c r="X556" s="75"/>
    </row>
    <row r="557">
      <c r="A557" s="17"/>
      <c r="B557" s="17"/>
      <c r="C557" s="133"/>
      <c r="D557" s="133"/>
      <c r="E557" s="17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4"/>
      <c r="Q557" s="146"/>
      <c r="R557" s="17"/>
      <c r="S557" s="17"/>
      <c r="T557" s="75"/>
      <c r="U557" s="75"/>
      <c r="V557" s="75"/>
      <c r="W557" s="75"/>
      <c r="X557" s="75"/>
    </row>
    <row r="558">
      <c r="A558" s="17"/>
      <c r="B558" s="17"/>
      <c r="C558" s="133"/>
      <c r="D558" s="133"/>
      <c r="E558" s="17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4"/>
      <c r="Q558" s="146"/>
      <c r="R558" s="17"/>
      <c r="S558" s="17"/>
      <c r="T558" s="75"/>
      <c r="U558" s="75"/>
      <c r="V558" s="75"/>
      <c r="W558" s="75"/>
      <c r="X558" s="75"/>
    </row>
    <row r="559">
      <c r="A559" s="17"/>
      <c r="B559" s="17"/>
      <c r="C559" s="133"/>
      <c r="D559" s="133"/>
      <c r="E559" s="17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4"/>
      <c r="Q559" s="146"/>
      <c r="R559" s="17"/>
      <c r="S559" s="17"/>
      <c r="T559" s="75"/>
      <c r="U559" s="75"/>
      <c r="V559" s="75"/>
      <c r="W559" s="75"/>
      <c r="X559" s="75"/>
    </row>
    <row r="560">
      <c r="A560" s="17"/>
      <c r="B560" s="17"/>
      <c r="C560" s="133"/>
      <c r="D560" s="133"/>
      <c r="E560" s="17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4"/>
      <c r="Q560" s="146"/>
      <c r="R560" s="17"/>
      <c r="S560" s="17"/>
      <c r="T560" s="75"/>
      <c r="U560" s="75"/>
      <c r="V560" s="75"/>
      <c r="W560" s="75"/>
      <c r="X560" s="75"/>
    </row>
    <row r="561">
      <c r="A561" s="17"/>
      <c r="B561" s="17"/>
      <c r="C561" s="133"/>
      <c r="D561" s="133"/>
      <c r="E561" s="17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4"/>
      <c r="Q561" s="146"/>
      <c r="R561" s="17"/>
      <c r="S561" s="17"/>
      <c r="T561" s="75"/>
      <c r="U561" s="75"/>
      <c r="V561" s="75"/>
      <c r="W561" s="75"/>
      <c r="X561" s="75"/>
    </row>
    <row r="562">
      <c r="A562" s="17"/>
      <c r="B562" s="17"/>
      <c r="C562" s="133"/>
      <c r="D562" s="133"/>
      <c r="E562" s="17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4"/>
      <c r="Q562" s="146"/>
      <c r="R562" s="17"/>
      <c r="S562" s="17"/>
      <c r="T562" s="75"/>
      <c r="U562" s="75"/>
      <c r="V562" s="75"/>
      <c r="W562" s="75"/>
      <c r="X562" s="75"/>
    </row>
    <row r="563">
      <c r="A563" s="17"/>
      <c r="B563" s="17"/>
      <c r="C563" s="133"/>
      <c r="D563" s="133"/>
      <c r="E563" s="17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4"/>
      <c r="Q563" s="146"/>
      <c r="R563" s="17"/>
      <c r="S563" s="17"/>
      <c r="T563" s="75"/>
      <c r="U563" s="75"/>
      <c r="V563" s="75"/>
      <c r="W563" s="75"/>
      <c r="X563" s="75"/>
    </row>
    <row r="564">
      <c r="A564" s="17"/>
      <c r="B564" s="17"/>
      <c r="C564" s="133"/>
      <c r="D564" s="133"/>
      <c r="E564" s="17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4"/>
      <c r="Q564" s="146"/>
      <c r="R564" s="17"/>
      <c r="S564" s="17"/>
      <c r="T564" s="75"/>
      <c r="U564" s="75"/>
      <c r="V564" s="75"/>
      <c r="W564" s="75"/>
      <c r="X564" s="75"/>
    </row>
    <row r="565">
      <c r="A565" s="17"/>
      <c r="B565" s="17"/>
      <c r="C565" s="133"/>
      <c r="D565" s="133"/>
      <c r="E565" s="17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4"/>
      <c r="Q565" s="146"/>
      <c r="R565" s="17"/>
      <c r="S565" s="17"/>
      <c r="T565" s="75"/>
      <c r="U565" s="75"/>
      <c r="V565" s="75"/>
      <c r="W565" s="75"/>
      <c r="X565" s="75"/>
    </row>
    <row r="566">
      <c r="A566" s="17"/>
      <c r="B566" s="17"/>
      <c r="C566" s="133"/>
      <c r="D566" s="133"/>
      <c r="E566" s="17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4"/>
      <c r="Q566" s="146"/>
      <c r="R566" s="17"/>
      <c r="S566" s="17"/>
      <c r="T566" s="75"/>
      <c r="U566" s="75"/>
      <c r="V566" s="75"/>
      <c r="W566" s="75"/>
      <c r="X566" s="75"/>
    </row>
    <row r="567">
      <c r="A567" s="17"/>
      <c r="B567" s="17"/>
      <c r="C567" s="133"/>
      <c r="D567" s="133"/>
      <c r="E567" s="17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4"/>
      <c r="Q567" s="146"/>
      <c r="R567" s="17"/>
      <c r="S567" s="17"/>
      <c r="T567" s="75"/>
      <c r="U567" s="75"/>
      <c r="V567" s="75"/>
      <c r="W567" s="75"/>
      <c r="X567" s="75"/>
    </row>
    <row r="568">
      <c r="A568" s="17"/>
      <c r="B568" s="17"/>
      <c r="C568" s="133"/>
      <c r="D568" s="133"/>
      <c r="E568" s="17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4"/>
      <c r="Q568" s="146"/>
      <c r="R568" s="17"/>
      <c r="S568" s="17"/>
      <c r="T568" s="75"/>
      <c r="U568" s="75"/>
      <c r="V568" s="75"/>
      <c r="W568" s="75"/>
      <c r="X568" s="75"/>
    </row>
    <row r="569">
      <c r="A569" s="17"/>
      <c r="B569" s="17"/>
      <c r="C569" s="133"/>
      <c r="D569" s="133"/>
      <c r="E569" s="17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4"/>
      <c r="Q569" s="146"/>
      <c r="R569" s="17"/>
      <c r="S569" s="17"/>
      <c r="T569" s="75"/>
      <c r="U569" s="75"/>
      <c r="V569" s="75"/>
      <c r="W569" s="75"/>
      <c r="X569" s="75"/>
    </row>
    <row r="570">
      <c r="A570" s="17"/>
      <c r="B570" s="17"/>
      <c r="C570" s="133"/>
      <c r="D570" s="133"/>
      <c r="E570" s="17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4"/>
      <c r="Q570" s="146"/>
      <c r="R570" s="17"/>
      <c r="S570" s="17"/>
      <c r="T570" s="75"/>
      <c r="U570" s="75"/>
      <c r="V570" s="75"/>
      <c r="W570" s="75"/>
      <c r="X570" s="75"/>
    </row>
    <row r="571">
      <c r="A571" s="17"/>
      <c r="B571" s="17"/>
      <c r="C571" s="133"/>
      <c r="D571" s="133"/>
      <c r="E571" s="17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4"/>
      <c r="Q571" s="146"/>
      <c r="R571" s="17"/>
      <c r="S571" s="17"/>
      <c r="T571" s="75"/>
      <c r="U571" s="75"/>
      <c r="V571" s="75"/>
      <c r="W571" s="75"/>
      <c r="X571" s="75"/>
    </row>
    <row r="572">
      <c r="A572" s="17"/>
      <c r="B572" s="17"/>
      <c r="C572" s="133"/>
      <c r="D572" s="133"/>
      <c r="E572" s="17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4"/>
      <c r="Q572" s="146"/>
      <c r="R572" s="17"/>
      <c r="S572" s="17"/>
      <c r="T572" s="75"/>
      <c r="U572" s="75"/>
      <c r="V572" s="75"/>
      <c r="W572" s="75"/>
      <c r="X572" s="75"/>
    </row>
    <row r="573">
      <c r="A573" s="17"/>
      <c r="B573" s="17"/>
      <c r="C573" s="133"/>
      <c r="D573" s="133"/>
      <c r="E573" s="17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4"/>
      <c r="Q573" s="146"/>
      <c r="R573" s="17"/>
      <c r="S573" s="17"/>
      <c r="T573" s="75"/>
      <c r="U573" s="75"/>
      <c r="V573" s="75"/>
      <c r="W573" s="75"/>
      <c r="X573" s="75"/>
    </row>
    <row r="574">
      <c r="A574" s="17"/>
      <c r="B574" s="17"/>
      <c r="C574" s="133"/>
      <c r="D574" s="133"/>
      <c r="E574" s="17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4"/>
      <c r="Q574" s="146"/>
      <c r="R574" s="17"/>
      <c r="S574" s="17"/>
      <c r="T574" s="75"/>
      <c r="U574" s="75"/>
      <c r="V574" s="75"/>
      <c r="W574" s="75"/>
      <c r="X574" s="75"/>
    </row>
    <row r="575">
      <c r="A575" s="17"/>
      <c r="B575" s="17"/>
      <c r="C575" s="133"/>
      <c r="D575" s="133"/>
      <c r="E575" s="17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4"/>
      <c r="Q575" s="146"/>
      <c r="R575" s="17"/>
      <c r="S575" s="17"/>
      <c r="T575" s="75"/>
      <c r="U575" s="75"/>
      <c r="V575" s="75"/>
      <c r="W575" s="75"/>
      <c r="X575" s="75"/>
    </row>
    <row r="576">
      <c r="A576" s="17"/>
      <c r="B576" s="17"/>
      <c r="C576" s="133"/>
      <c r="D576" s="133"/>
      <c r="E576" s="17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4"/>
      <c r="Q576" s="146"/>
      <c r="R576" s="17"/>
      <c r="S576" s="17"/>
      <c r="T576" s="75"/>
      <c r="U576" s="75"/>
      <c r="V576" s="75"/>
      <c r="W576" s="75"/>
      <c r="X576" s="75"/>
    </row>
    <row r="577">
      <c r="A577" s="17"/>
      <c r="B577" s="17"/>
      <c r="C577" s="133"/>
      <c r="D577" s="133"/>
      <c r="E577" s="17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4"/>
      <c r="Q577" s="146"/>
      <c r="R577" s="17"/>
      <c r="S577" s="17"/>
      <c r="T577" s="75"/>
      <c r="U577" s="75"/>
      <c r="V577" s="75"/>
      <c r="W577" s="75"/>
      <c r="X577" s="75"/>
    </row>
    <row r="578">
      <c r="A578" s="17"/>
      <c r="B578" s="17"/>
      <c r="C578" s="133"/>
      <c r="D578" s="133"/>
      <c r="E578" s="17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4"/>
      <c r="Q578" s="146"/>
      <c r="R578" s="17"/>
      <c r="S578" s="17"/>
      <c r="T578" s="75"/>
      <c r="U578" s="75"/>
      <c r="V578" s="75"/>
      <c r="W578" s="75"/>
      <c r="X578" s="75"/>
    </row>
    <row r="579">
      <c r="A579" s="17"/>
      <c r="B579" s="17"/>
      <c r="C579" s="133"/>
      <c r="D579" s="133"/>
      <c r="E579" s="17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4"/>
      <c r="Q579" s="146"/>
      <c r="R579" s="17"/>
      <c r="S579" s="17"/>
      <c r="T579" s="75"/>
      <c r="U579" s="75"/>
      <c r="V579" s="75"/>
      <c r="W579" s="75"/>
      <c r="X579" s="75"/>
    </row>
    <row r="580">
      <c r="A580" s="17"/>
      <c r="B580" s="17"/>
      <c r="C580" s="133"/>
      <c r="D580" s="133"/>
      <c r="E580" s="17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4"/>
      <c r="Q580" s="146"/>
      <c r="R580" s="17"/>
      <c r="S580" s="17"/>
      <c r="T580" s="75"/>
      <c r="U580" s="75"/>
      <c r="V580" s="75"/>
      <c r="W580" s="75"/>
      <c r="X580" s="75"/>
    </row>
    <row r="581">
      <c r="A581" s="17"/>
      <c r="B581" s="17"/>
      <c r="C581" s="133"/>
      <c r="D581" s="133"/>
      <c r="E581" s="17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4"/>
      <c r="Q581" s="146"/>
      <c r="R581" s="17"/>
      <c r="S581" s="17"/>
      <c r="T581" s="75"/>
      <c r="U581" s="75"/>
      <c r="V581" s="75"/>
      <c r="W581" s="75"/>
      <c r="X581" s="75"/>
    </row>
    <row r="582">
      <c r="A582" s="17"/>
      <c r="B582" s="17"/>
      <c r="C582" s="133"/>
      <c r="D582" s="133"/>
      <c r="E582" s="17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4"/>
      <c r="Q582" s="146"/>
      <c r="R582" s="17"/>
      <c r="S582" s="17"/>
      <c r="T582" s="75"/>
      <c r="U582" s="75"/>
      <c r="V582" s="75"/>
      <c r="W582" s="75"/>
      <c r="X582" s="75"/>
    </row>
    <row r="583">
      <c r="A583" s="17"/>
      <c r="B583" s="17"/>
      <c r="C583" s="133"/>
      <c r="D583" s="133"/>
      <c r="E583" s="17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4"/>
      <c r="Q583" s="146"/>
      <c r="R583" s="17"/>
      <c r="S583" s="17"/>
      <c r="T583" s="75"/>
      <c r="U583" s="75"/>
      <c r="V583" s="75"/>
      <c r="W583" s="75"/>
      <c r="X583" s="75"/>
    </row>
    <row r="584">
      <c r="A584" s="17"/>
      <c r="B584" s="17"/>
      <c r="C584" s="133"/>
      <c r="D584" s="133"/>
      <c r="E584" s="17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4"/>
      <c r="Q584" s="146"/>
      <c r="R584" s="17"/>
      <c r="S584" s="17"/>
      <c r="T584" s="75"/>
      <c r="U584" s="75"/>
      <c r="V584" s="75"/>
      <c r="W584" s="75"/>
      <c r="X584" s="75"/>
    </row>
    <row r="585">
      <c r="A585" s="17"/>
      <c r="B585" s="17"/>
      <c r="C585" s="133"/>
      <c r="D585" s="133"/>
      <c r="E585" s="17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4"/>
      <c r="Q585" s="146"/>
      <c r="R585" s="17"/>
      <c r="S585" s="17"/>
      <c r="T585" s="75"/>
      <c r="U585" s="75"/>
      <c r="V585" s="75"/>
      <c r="W585" s="75"/>
      <c r="X585" s="75"/>
    </row>
    <row r="586">
      <c r="A586" s="17"/>
      <c r="B586" s="17"/>
      <c r="C586" s="133"/>
      <c r="D586" s="133"/>
      <c r="E586" s="17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4"/>
      <c r="Q586" s="146"/>
      <c r="R586" s="17"/>
      <c r="S586" s="17"/>
      <c r="T586" s="75"/>
      <c r="U586" s="75"/>
      <c r="V586" s="75"/>
      <c r="W586" s="75"/>
      <c r="X586" s="75"/>
    </row>
    <row r="587">
      <c r="A587" s="17"/>
      <c r="B587" s="17"/>
      <c r="C587" s="133"/>
      <c r="D587" s="133"/>
      <c r="E587" s="17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4"/>
      <c r="Q587" s="146"/>
      <c r="R587" s="17"/>
      <c r="S587" s="17"/>
      <c r="T587" s="75"/>
      <c r="U587" s="75"/>
      <c r="V587" s="75"/>
      <c r="W587" s="75"/>
      <c r="X587" s="75"/>
    </row>
    <row r="588">
      <c r="A588" s="17"/>
      <c r="B588" s="17"/>
      <c r="C588" s="133"/>
      <c r="D588" s="133"/>
      <c r="E588" s="17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4"/>
      <c r="Q588" s="146"/>
      <c r="R588" s="17"/>
      <c r="S588" s="17"/>
      <c r="T588" s="75"/>
      <c r="U588" s="75"/>
      <c r="V588" s="75"/>
      <c r="W588" s="75"/>
      <c r="X588" s="75"/>
    </row>
    <row r="589">
      <c r="A589" s="17"/>
      <c r="B589" s="17"/>
      <c r="C589" s="133"/>
      <c r="D589" s="133"/>
      <c r="E589" s="17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4"/>
      <c r="Q589" s="146"/>
      <c r="R589" s="17"/>
      <c r="S589" s="17"/>
      <c r="T589" s="75"/>
      <c r="U589" s="75"/>
      <c r="V589" s="75"/>
      <c r="W589" s="75"/>
      <c r="X589" s="75"/>
    </row>
    <row r="590">
      <c r="A590" s="17"/>
      <c r="B590" s="17"/>
      <c r="C590" s="133"/>
      <c r="D590" s="133"/>
      <c r="E590" s="17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4"/>
      <c r="Q590" s="146"/>
      <c r="R590" s="17"/>
      <c r="S590" s="17"/>
      <c r="T590" s="75"/>
      <c r="U590" s="75"/>
      <c r="V590" s="75"/>
      <c r="W590" s="75"/>
      <c r="X590" s="75"/>
    </row>
    <row r="591">
      <c r="A591" s="17"/>
      <c r="B591" s="17"/>
      <c r="C591" s="133"/>
      <c r="D591" s="133"/>
      <c r="E591" s="17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4"/>
      <c r="Q591" s="146"/>
      <c r="R591" s="17"/>
      <c r="S591" s="17"/>
      <c r="T591" s="75"/>
      <c r="U591" s="75"/>
      <c r="V591" s="75"/>
      <c r="W591" s="75"/>
      <c r="X591" s="75"/>
    </row>
    <row r="592">
      <c r="A592" s="17"/>
      <c r="B592" s="17"/>
      <c r="C592" s="133"/>
      <c r="D592" s="133"/>
      <c r="E592" s="17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4"/>
      <c r="Q592" s="146"/>
      <c r="R592" s="17"/>
      <c r="S592" s="17"/>
      <c r="T592" s="75"/>
      <c r="U592" s="75"/>
      <c r="V592" s="75"/>
      <c r="W592" s="75"/>
      <c r="X592" s="75"/>
    </row>
    <row r="593">
      <c r="A593" s="17"/>
      <c r="B593" s="17"/>
      <c r="C593" s="133"/>
      <c r="D593" s="133"/>
      <c r="E593" s="17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4"/>
      <c r="Q593" s="146"/>
      <c r="R593" s="17"/>
      <c r="S593" s="17"/>
      <c r="T593" s="75"/>
      <c r="U593" s="75"/>
      <c r="V593" s="75"/>
      <c r="W593" s="75"/>
      <c r="X593" s="75"/>
    </row>
    <row r="594">
      <c r="A594" s="17"/>
      <c r="B594" s="17"/>
      <c r="C594" s="133"/>
      <c r="D594" s="133"/>
      <c r="E594" s="17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4"/>
      <c r="Q594" s="146"/>
      <c r="R594" s="17"/>
      <c r="S594" s="17"/>
      <c r="T594" s="75"/>
      <c r="U594" s="75"/>
      <c r="V594" s="75"/>
      <c r="W594" s="75"/>
      <c r="X594" s="75"/>
    </row>
    <row r="595">
      <c r="A595" s="17"/>
      <c r="B595" s="17"/>
      <c r="C595" s="133"/>
      <c r="D595" s="133"/>
      <c r="E595" s="17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4"/>
      <c r="Q595" s="146"/>
      <c r="R595" s="17"/>
      <c r="S595" s="17"/>
      <c r="T595" s="75"/>
      <c r="U595" s="75"/>
      <c r="V595" s="75"/>
      <c r="W595" s="75"/>
      <c r="X595" s="75"/>
    </row>
    <row r="596">
      <c r="A596" s="17"/>
      <c r="B596" s="17"/>
      <c r="C596" s="133"/>
      <c r="D596" s="133"/>
      <c r="E596" s="17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4"/>
      <c r="Q596" s="146"/>
      <c r="R596" s="17"/>
      <c r="S596" s="17"/>
      <c r="T596" s="75"/>
      <c r="U596" s="75"/>
      <c r="V596" s="75"/>
      <c r="W596" s="75"/>
      <c r="X596" s="75"/>
    </row>
    <row r="597">
      <c r="A597" s="17"/>
      <c r="B597" s="17"/>
      <c r="C597" s="133"/>
      <c r="D597" s="133"/>
      <c r="E597" s="17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4"/>
      <c r="Q597" s="146"/>
      <c r="R597" s="17"/>
      <c r="S597" s="17"/>
      <c r="T597" s="75"/>
      <c r="U597" s="75"/>
      <c r="V597" s="75"/>
      <c r="W597" s="75"/>
      <c r="X597" s="75"/>
    </row>
    <row r="598">
      <c r="A598" s="17"/>
      <c r="B598" s="17"/>
      <c r="C598" s="133"/>
      <c r="D598" s="133"/>
      <c r="E598" s="17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4"/>
      <c r="Q598" s="146"/>
      <c r="R598" s="17"/>
      <c r="S598" s="17"/>
      <c r="T598" s="75"/>
      <c r="U598" s="75"/>
      <c r="V598" s="75"/>
      <c r="W598" s="75"/>
      <c r="X598" s="75"/>
    </row>
    <row r="599">
      <c r="A599" s="17"/>
      <c r="B599" s="17"/>
      <c r="C599" s="133"/>
      <c r="D599" s="133"/>
      <c r="E599" s="17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4"/>
      <c r="Q599" s="146"/>
      <c r="R599" s="17"/>
      <c r="S599" s="17"/>
      <c r="T599" s="75"/>
      <c r="U599" s="75"/>
      <c r="V599" s="75"/>
      <c r="W599" s="75"/>
      <c r="X599" s="75"/>
    </row>
    <row r="600">
      <c r="A600" s="17"/>
      <c r="B600" s="17"/>
      <c r="C600" s="133"/>
      <c r="D600" s="133"/>
      <c r="E600" s="17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4"/>
      <c r="Q600" s="146"/>
      <c r="R600" s="17"/>
      <c r="S600" s="17"/>
      <c r="T600" s="75"/>
      <c r="U600" s="75"/>
      <c r="V600" s="75"/>
      <c r="W600" s="75"/>
      <c r="X600" s="75"/>
    </row>
    <row r="601">
      <c r="A601" s="17"/>
      <c r="B601" s="17"/>
      <c r="C601" s="133"/>
      <c r="D601" s="133"/>
      <c r="E601" s="17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4"/>
      <c r="Q601" s="146"/>
      <c r="R601" s="17"/>
      <c r="S601" s="17"/>
      <c r="T601" s="75"/>
      <c r="U601" s="75"/>
      <c r="V601" s="75"/>
      <c r="W601" s="75"/>
      <c r="X601" s="75"/>
    </row>
    <row r="602">
      <c r="A602" s="17"/>
      <c r="B602" s="17"/>
      <c r="C602" s="133"/>
      <c r="D602" s="133"/>
      <c r="E602" s="17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4"/>
      <c r="Q602" s="146"/>
      <c r="R602" s="17"/>
      <c r="S602" s="17"/>
      <c r="T602" s="75"/>
      <c r="U602" s="75"/>
      <c r="V602" s="75"/>
      <c r="W602" s="75"/>
      <c r="X602" s="75"/>
    </row>
    <row r="603">
      <c r="A603" s="17"/>
      <c r="B603" s="17"/>
      <c r="C603" s="133"/>
      <c r="D603" s="133"/>
      <c r="E603" s="17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4"/>
      <c r="Q603" s="146"/>
      <c r="R603" s="17"/>
      <c r="S603" s="17"/>
      <c r="T603" s="75"/>
      <c r="U603" s="75"/>
      <c r="V603" s="75"/>
      <c r="W603" s="75"/>
      <c r="X603" s="75"/>
    </row>
    <row r="604">
      <c r="A604" s="17"/>
      <c r="B604" s="17"/>
      <c r="C604" s="133"/>
      <c r="D604" s="133"/>
      <c r="E604" s="17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4"/>
      <c r="Q604" s="146"/>
      <c r="R604" s="17"/>
      <c r="S604" s="17"/>
      <c r="T604" s="75"/>
      <c r="U604" s="75"/>
      <c r="V604" s="75"/>
      <c r="W604" s="75"/>
      <c r="X604" s="75"/>
    </row>
    <row r="605">
      <c r="A605" s="17"/>
      <c r="B605" s="17"/>
      <c r="C605" s="133"/>
      <c r="D605" s="133"/>
      <c r="E605" s="17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4"/>
      <c r="Q605" s="146"/>
      <c r="R605" s="17"/>
      <c r="S605" s="17"/>
      <c r="T605" s="75"/>
      <c r="U605" s="75"/>
      <c r="V605" s="75"/>
      <c r="W605" s="75"/>
      <c r="X605" s="75"/>
    </row>
    <row r="606">
      <c r="A606" s="17"/>
      <c r="B606" s="17"/>
      <c r="C606" s="133"/>
      <c r="D606" s="133"/>
      <c r="E606" s="17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4"/>
      <c r="Q606" s="146"/>
      <c r="R606" s="17"/>
      <c r="S606" s="17"/>
      <c r="T606" s="75"/>
      <c r="U606" s="75"/>
      <c r="V606" s="75"/>
      <c r="W606" s="75"/>
      <c r="X606" s="75"/>
    </row>
    <row r="607">
      <c r="A607" s="17"/>
      <c r="B607" s="17"/>
      <c r="C607" s="133"/>
      <c r="D607" s="133"/>
      <c r="E607" s="17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4"/>
      <c r="Q607" s="146"/>
      <c r="R607" s="17"/>
      <c r="S607" s="17"/>
      <c r="T607" s="75"/>
      <c r="U607" s="75"/>
      <c r="V607" s="75"/>
      <c r="W607" s="75"/>
      <c r="X607" s="75"/>
    </row>
    <row r="608">
      <c r="A608" s="17"/>
      <c r="B608" s="17"/>
      <c r="C608" s="133"/>
      <c r="D608" s="133"/>
      <c r="E608" s="17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4"/>
      <c r="Q608" s="146"/>
      <c r="R608" s="17"/>
      <c r="S608" s="17"/>
      <c r="T608" s="75"/>
      <c r="U608" s="75"/>
      <c r="V608" s="75"/>
      <c r="W608" s="75"/>
      <c r="X608" s="75"/>
    </row>
    <row r="609">
      <c r="A609" s="17"/>
      <c r="B609" s="17"/>
      <c r="C609" s="133"/>
      <c r="D609" s="133"/>
      <c r="E609" s="17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4"/>
      <c r="Q609" s="146"/>
      <c r="R609" s="17"/>
      <c r="S609" s="17"/>
      <c r="T609" s="75"/>
      <c r="U609" s="75"/>
      <c r="V609" s="75"/>
      <c r="W609" s="75"/>
      <c r="X609" s="75"/>
    </row>
    <row r="610">
      <c r="A610" s="17"/>
      <c r="B610" s="17"/>
      <c r="C610" s="133"/>
      <c r="D610" s="133"/>
      <c r="E610" s="17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4"/>
      <c r="Q610" s="146"/>
      <c r="R610" s="17"/>
      <c r="S610" s="17"/>
      <c r="T610" s="75"/>
      <c r="U610" s="75"/>
      <c r="V610" s="75"/>
      <c r="W610" s="75"/>
      <c r="X610" s="75"/>
    </row>
    <row r="611">
      <c r="A611" s="17"/>
      <c r="B611" s="17"/>
      <c r="C611" s="133"/>
      <c r="D611" s="133"/>
      <c r="E611" s="17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4"/>
      <c r="Q611" s="146"/>
      <c r="R611" s="17"/>
      <c r="S611" s="17"/>
      <c r="T611" s="75"/>
      <c r="U611" s="75"/>
      <c r="V611" s="75"/>
      <c r="W611" s="75"/>
      <c r="X611" s="75"/>
    </row>
    <row r="612">
      <c r="A612" s="17"/>
      <c r="B612" s="17"/>
      <c r="C612" s="133"/>
      <c r="D612" s="133"/>
      <c r="E612" s="17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4"/>
      <c r="Q612" s="146"/>
      <c r="R612" s="17"/>
      <c r="S612" s="17"/>
      <c r="T612" s="75"/>
      <c r="U612" s="75"/>
      <c r="V612" s="75"/>
      <c r="W612" s="75"/>
      <c r="X612" s="75"/>
    </row>
    <row r="613">
      <c r="A613" s="17"/>
      <c r="B613" s="17"/>
      <c r="C613" s="133"/>
      <c r="D613" s="133"/>
      <c r="E613" s="17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4"/>
      <c r="Q613" s="146"/>
      <c r="R613" s="17"/>
      <c r="S613" s="17"/>
      <c r="T613" s="75"/>
      <c r="U613" s="75"/>
      <c r="V613" s="75"/>
      <c r="W613" s="75"/>
      <c r="X613" s="75"/>
    </row>
    <row r="614">
      <c r="A614" s="17"/>
      <c r="B614" s="17"/>
      <c r="C614" s="133"/>
      <c r="D614" s="133"/>
      <c r="E614" s="17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4"/>
      <c r="Q614" s="146"/>
      <c r="R614" s="17"/>
      <c r="S614" s="17"/>
      <c r="T614" s="75"/>
      <c r="U614" s="75"/>
      <c r="V614" s="75"/>
      <c r="W614" s="75"/>
      <c r="X614" s="75"/>
    </row>
    <row r="615">
      <c r="A615" s="17"/>
      <c r="B615" s="17"/>
      <c r="C615" s="133"/>
      <c r="D615" s="133"/>
      <c r="E615" s="17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4"/>
      <c r="Q615" s="146"/>
      <c r="R615" s="17"/>
      <c r="S615" s="17"/>
      <c r="T615" s="75"/>
      <c r="U615" s="75"/>
      <c r="V615" s="75"/>
      <c r="W615" s="75"/>
      <c r="X615" s="75"/>
    </row>
    <row r="616">
      <c r="A616" s="17"/>
      <c r="B616" s="17"/>
      <c r="C616" s="133"/>
      <c r="D616" s="133"/>
      <c r="E616" s="17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4"/>
      <c r="Q616" s="146"/>
      <c r="R616" s="17"/>
      <c r="S616" s="17"/>
      <c r="T616" s="75"/>
      <c r="U616" s="75"/>
      <c r="V616" s="75"/>
      <c r="W616" s="75"/>
      <c r="X616" s="75"/>
    </row>
    <row r="617">
      <c r="A617" s="17"/>
      <c r="B617" s="17"/>
      <c r="C617" s="133"/>
      <c r="D617" s="133"/>
      <c r="E617" s="17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4"/>
      <c r="Q617" s="146"/>
      <c r="R617" s="17"/>
      <c r="S617" s="17"/>
      <c r="T617" s="75"/>
      <c r="U617" s="75"/>
      <c r="V617" s="75"/>
      <c r="W617" s="75"/>
      <c r="X617" s="75"/>
    </row>
    <row r="618">
      <c r="A618" s="17"/>
      <c r="B618" s="17"/>
      <c r="C618" s="133"/>
      <c r="D618" s="133"/>
      <c r="E618" s="17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4"/>
      <c r="Q618" s="146"/>
      <c r="R618" s="17"/>
      <c r="S618" s="17"/>
      <c r="T618" s="75"/>
      <c r="U618" s="75"/>
      <c r="V618" s="75"/>
      <c r="W618" s="75"/>
      <c r="X618" s="75"/>
    </row>
    <row r="619">
      <c r="A619" s="17"/>
      <c r="B619" s="17"/>
      <c r="C619" s="133"/>
      <c r="D619" s="133"/>
      <c r="E619" s="17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4"/>
      <c r="Q619" s="146"/>
      <c r="R619" s="17"/>
      <c r="S619" s="17"/>
      <c r="T619" s="75"/>
      <c r="U619" s="75"/>
      <c r="V619" s="75"/>
      <c r="W619" s="75"/>
      <c r="X619" s="75"/>
    </row>
    <row r="620">
      <c r="A620" s="17"/>
      <c r="B620" s="17"/>
      <c r="C620" s="133"/>
      <c r="D620" s="133"/>
      <c r="E620" s="17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4"/>
      <c r="Q620" s="146"/>
      <c r="R620" s="17"/>
      <c r="S620" s="17"/>
      <c r="T620" s="75"/>
      <c r="U620" s="75"/>
      <c r="V620" s="75"/>
      <c r="W620" s="75"/>
      <c r="X620" s="75"/>
    </row>
    <row r="621">
      <c r="A621" s="17"/>
      <c r="B621" s="17"/>
      <c r="C621" s="133"/>
      <c r="D621" s="133"/>
      <c r="E621" s="17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4"/>
      <c r="Q621" s="146"/>
      <c r="R621" s="17"/>
      <c r="S621" s="17"/>
      <c r="T621" s="75"/>
      <c r="U621" s="75"/>
      <c r="V621" s="75"/>
      <c r="W621" s="75"/>
      <c r="X621" s="75"/>
    </row>
    <row r="622">
      <c r="A622" s="17"/>
      <c r="B622" s="17"/>
      <c r="C622" s="133"/>
      <c r="D622" s="133"/>
      <c r="E622" s="17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4"/>
      <c r="Q622" s="146"/>
      <c r="R622" s="17"/>
      <c r="S622" s="17"/>
      <c r="T622" s="75"/>
      <c r="U622" s="75"/>
      <c r="V622" s="75"/>
      <c r="W622" s="75"/>
      <c r="X622" s="75"/>
    </row>
    <row r="623">
      <c r="A623" s="17"/>
      <c r="B623" s="17"/>
      <c r="C623" s="133"/>
      <c r="D623" s="133"/>
      <c r="E623" s="17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4"/>
      <c r="Q623" s="146"/>
      <c r="R623" s="17"/>
      <c r="S623" s="17"/>
      <c r="T623" s="75"/>
      <c r="U623" s="75"/>
      <c r="V623" s="75"/>
      <c r="W623" s="75"/>
      <c r="X623" s="75"/>
    </row>
    <row r="624">
      <c r="A624" s="17"/>
      <c r="B624" s="17"/>
      <c r="C624" s="133"/>
      <c r="D624" s="133"/>
      <c r="E624" s="17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4"/>
      <c r="Q624" s="146"/>
      <c r="R624" s="17"/>
      <c r="S624" s="17"/>
      <c r="T624" s="75"/>
      <c r="U624" s="75"/>
      <c r="V624" s="75"/>
      <c r="W624" s="75"/>
      <c r="X624" s="75"/>
    </row>
    <row r="625">
      <c r="A625" s="17"/>
      <c r="B625" s="17"/>
      <c r="C625" s="133"/>
      <c r="D625" s="133"/>
      <c r="E625" s="17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4"/>
      <c r="Q625" s="146"/>
      <c r="R625" s="17"/>
      <c r="S625" s="17"/>
      <c r="T625" s="75"/>
      <c r="U625" s="75"/>
      <c r="V625" s="75"/>
      <c r="W625" s="75"/>
      <c r="X625" s="75"/>
    </row>
    <row r="626">
      <c r="A626" s="17"/>
      <c r="B626" s="17"/>
      <c r="C626" s="133"/>
      <c r="D626" s="133"/>
      <c r="E626" s="17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4"/>
      <c r="Q626" s="146"/>
      <c r="R626" s="17"/>
      <c r="S626" s="17"/>
      <c r="T626" s="75"/>
      <c r="U626" s="75"/>
      <c r="V626" s="75"/>
      <c r="W626" s="75"/>
      <c r="X626" s="75"/>
    </row>
    <row r="627">
      <c r="A627" s="17"/>
      <c r="B627" s="17"/>
      <c r="C627" s="133"/>
      <c r="D627" s="133"/>
      <c r="E627" s="17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4"/>
      <c r="Q627" s="146"/>
      <c r="R627" s="17"/>
      <c r="S627" s="17"/>
      <c r="T627" s="75"/>
      <c r="U627" s="75"/>
      <c r="V627" s="75"/>
      <c r="W627" s="75"/>
      <c r="X627" s="75"/>
    </row>
    <row r="628">
      <c r="A628" s="17"/>
      <c r="B628" s="17"/>
      <c r="C628" s="133"/>
      <c r="D628" s="133"/>
      <c r="E628" s="17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4"/>
      <c r="Q628" s="146"/>
      <c r="R628" s="17"/>
      <c r="S628" s="17"/>
      <c r="T628" s="75"/>
      <c r="U628" s="75"/>
      <c r="V628" s="75"/>
      <c r="W628" s="75"/>
      <c r="X628" s="75"/>
    </row>
    <row r="629">
      <c r="A629" s="17"/>
      <c r="B629" s="17"/>
      <c r="C629" s="133"/>
      <c r="D629" s="133"/>
      <c r="E629" s="17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4"/>
      <c r="Q629" s="146"/>
      <c r="R629" s="17"/>
      <c r="S629" s="17"/>
      <c r="T629" s="75"/>
      <c r="U629" s="75"/>
      <c r="V629" s="75"/>
      <c r="W629" s="75"/>
      <c r="X629" s="75"/>
    </row>
    <row r="630">
      <c r="A630" s="17"/>
      <c r="B630" s="17"/>
      <c r="C630" s="133"/>
      <c r="D630" s="133"/>
      <c r="E630" s="17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4"/>
      <c r="Q630" s="146"/>
      <c r="R630" s="17"/>
      <c r="S630" s="17"/>
      <c r="T630" s="75"/>
      <c r="U630" s="75"/>
      <c r="V630" s="75"/>
      <c r="W630" s="75"/>
      <c r="X630" s="75"/>
    </row>
    <row r="631">
      <c r="A631" s="17"/>
      <c r="B631" s="17"/>
      <c r="C631" s="133"/>
      <c r="D631" s="133"/>
      <c r="E631" s="17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4"/>
      <c r="Q631" s="146"/>
      <c r="R631" s="17"/>
      <c r="S631" s="17"/>
      <c r="T631" s="75"/>
      <c r="U631" s="75"/>
      <c r="V631" s="75"/>
      <c r="W631" s="75"/>
      <c r="X631" s="75"/>
    </row>
    <row r="632">
      <c r="A632" s="17"/>
      <c r="B632" s="17"/>
      <c r="C632" s="133"/>
      <c r="D632" s="133"/>
      <c r="E632" s="17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4"/>
      <c r="Q632" s="146"/>
      <c r="R632" s="17"/>
      <c r="S632" s="17"/>
      <c r="T632" s="75"/>
      <c r="U632" s="75"/>
      <c r="V632" s="75"/>
      <c r="W632" s="75"/>
      <c r="X632" s="75"/>
    </row>
    <row r="633">
      <c r="A633" s="17"/>
      <c r="B633" s="17"/>
      <c r="C633" s="133"/>
      <c r="D633" s="133"/>
      <c r="E633" s="17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4"/>
      <c r="Q633" s="146"/>
      <c r="R633" s="17"/>
      <c r="S633" s="17"/>
      <c r="T633" s="75"/>
      <c r="U633" s="75"/>
      <c r="V633" s="75"/>
      <c r="W633" s="75"/>
      <c r="X633" s="75"/>
    </row>
    <row r="634">
      <c r="A634" s="17"/>
      <c r="B634" s="17"/>
      <c r="C634" s="133"/>
      <c r="D634" s="133"/>
      <c r="E634" s="17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4"/>
      <c r="Q634" s="146"/>
      <c r="R634" s="17"/>
      <c r="S634" s="17"/>
      <c r="T634" s="75"/>
      <c r="U634" s="75"/>
      <c r="V634" s="75"/>
      <c r="W634" s="75"/>
      <c r="X634" s="75"/>
    </row>
    <row r="635">
      <c r="A635" s="17"/>
      <c r="B635" s="17"/>
      <c r="C635" s="133"/>
      <c r="D635" s="133"/>
      <c r="E635" s="17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4"/>
      <c r="Q635" s="146"/>
      <c r="R635" s="17"/>
      <c r="S635" s="17"/>
      <c r="T635" s="75"/>
      <c r="U635" s="75"/>
      <c r="V635" s="75"/>
      <c r="W635" s="75"/>
      <c r="X635" s="75"/>
    </row>
    <row r="636">
      <c r="A636" s="17"/>
      <c r="B636" s="17"/>
      <c r="C636" s="133"/>
      <c r="D636" s="133"/>
      <c r="E636" s="17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4"/>
      <c r="Q636" s="146"/>
      <c r="R636" s="17"/>
      <c r="S636" s="17"/>
      <c r="T636" s="75"/>
      <c r="U636" s="75"/>
      <c r="V636" s="75"/>
      <c r="W636" s="75"/>
      <c r="X636" s="75"/>
    </row>
    <row r="637">
      <c r="A637" s="17"/>
      <c r="B637" s="17"/>
      <c r="C637" s="133"/>
      <c r="D637" s="133"/>
      <c r="E637" s="17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4"/>
      <c r="Q637" s="146"/>
      <c r="R637" s="17"/>
      <c r="S637" s="17"/>
      <c r="T637" s="75"/>
      <c r="U637" s="75"/>
      <c r="V637" s="75"/>
      <c r="W637" s="75"/>
      <c r="X637" s="75"/>
    </row>
    <row r="638">
      <c r="A638" s="17"/>
      <c r="B638" s="17"/>
      <c r="C638" s="133"/>
      <c r="D638" s="133"/>
      <c r="E638" s="17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4"/>
      <c r="Q638" s="146"/>
      <c r="R638" s="17"/>
      <c r="S638" s="17"/>
      <c r="T638" s="75"/>
      <c r="U638" s="75"/>
      <c r="V638" s="75"/>
      <c r="W638" s="75"/>
      <c r="X638" s="75"/>
    </row>
    <row r="639">
      <c r="A639" s="17"/>
      <c r="B639" s="17"/>
      <c r="C639" s="133"/>
      <c r="D639" s="133"/>
      <c r="E639" s="17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4"/>
      <c r="Q639" s="146"/>
      <c r="R639" s="17"/>
      <c r="S639" s="17"/>
      <c r="T639" s="75"/>
      <c r="U639" s="75"/>
      <c r="V639" s="75"/>
      <c r="W639" s="75"/>
      <c r="X639" s="75"/>
    </row>
    <row r="640">
      <c r="A640" s="17"/>
      <c r="B640" s="17"/>
      <c r="C640" s="133"/>
      <c r="D640" s="133"/>
      <c r="E640" s="17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4"/>
      <c r="Q640" s="146"/>
      <c r="R640" s="17"/>
      <c r="S640" s="17"/>
      <c r="T640" s="75"/>
      <c r="U640" s="75"/>
      <c r="V640" s="75"/>
      <c r="W640" s="75"/>
      <c r="X640" s="75"/>
    </row>
    <row r="641">
      <c r="A641" s="17"/>
      <c r="B641" s="17"/>
      <c r="C641" s="133"/>
      <c r="D641" s="133"/>
      <c r="E641" s="17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4"/>
      <c r="Q641" s="146"/>
      <c r="R641" s="17"/>
      <c r="S641" s="17"/>
      <c r="T641" s="75"/>
      <c r="U641" s="75"/>
      <c r="V641" s="75"/>
      <c r="W641" s="75"/>
      <c r="X641" s="75"/>
    </row>
    <row r="642">
      <c r="A642" s="17"/>
      <c r="B642" s="17"/>
      <c r="C642" s="133"/>
      <c r="D642" s="133"/>
      <c r="E642" s="17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4"/>
      <c r="Q642" s="146"/>
      <c r="R642" s="17"/>
      <c r="S642" s="17"/>
      <c r="T642" s="75"/>
      <c r="U642" s="75"/>
      <c r="V642" s="75"/>
      <c r="W642" s="75"/>
      <c r="X642" s="75"/>
    </row>
    <row r="643">
      <c r="A643" s="17"/>
      <c r="B643" s="17"/>
      <c r="C643" s="133"/>
      <c r="D643" s="133"/>
      <c r="E643" s="17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4"/>
      <c r="Q643" s="146"/>
      <c r="R643" s="17"/>
      <c r="S643" s="17"/>
      <c r="T643" s="75"/>
      <c r="U643" s="75"/>
      <c r="V643" s="75"/>
      <c r="W643" s="75"/>
      <c r="X643" s="75"/>
    </row>
    <row r="644">
      <c r="A644" s="17"/>
      <c r="B644" s="17"/>
      <c r="C644" s="133"/>
      <c r="D644" s="133"/>
      <c r="E644" s="17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4"/>
      <c r="Q644" s="146"/>
      <c r="R644" s="17"/>
      <c r="S644" s="17"/>
      <c r="T644" s="75"/>
      <c r="U644" s="75"/>
      <c r="V644" s="75"/>
      <c r="W644" s="75"/>
      <c r="X644" s="75"/>
    </row>
    <row r="645">
      <c r="A645" s="17"/>
      <c r="B645" s="17"/>
      <c r="C645" s="133"/>
      <c r="D645" s="133"/>
      <c r="E645" s="17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4"/>
      <c r="Q645" s="146"/>
      <c r="R645" s="17"/>
      <c r="S645" s="17"/>
      <c r="T645" s="75"/>
      <c r="U645" s="75"/>
      <c r="V645" s="75"/>
      <c r="W645" s="75"/>
      <c r="X645" s="75"/>
    </row>
    <row r="646">
      <c r="A646" s="17"/>
      <c r="B646" s="17"/>
      <c r="C646" s="133"/>
      <c r="D646" s="133"/>
      <c r="E646" s="17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4"/>
      <c r="Q646" s="146"/>
      <c r="R646" s="17"/>
      <c r="S646" s="17"/>
      <c r="T646" s="75"/>
      <c r="U646" s="75"/>
      <c r="V646" s="75"/>
      <c r="W646" s="75"/>
      <c r="X646" s="75"/>
    </row>
    <row r="647">
      <c r="A647" s="17"/>
      <c r="B647" s="17"/>
      <c r="C647" s="133"/>
      <c r="D647" s="133"/>
      <c r="E647" s="17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4"/>
      <c r="Q647" s="146"/>
      <c r="R647" s="17"/>
      <c r="S647" s="17"/>
      <c r="T647" s="75"/>
      <c r="U647" s="75"/>
      <c r="V647" s="75"/>
      <c r="W647" s="75"/>
      <c r="X647" s="75"/>
    </row>
    <row r="648">
      <c r="A648" s="17"/>
      <c r="B648" s="17"/>
      <c r="C648" s="133"/>
      <c r="D648" s="133"/>
      <c r="E648" s="17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4"/>
      <c r="Q648" s="146"/>
      <c r="R648" s="17"/>
      <c r="S648" s="17"/>
      <c r="T648" s="75"/>
      <c r="U648" s="75"/>
      <c r="V648" s="75"/>
      <c r="W648" s="75"/>
      <c r="X648" s="75"/>
    </row>
    <row r="649">
      <c r="A649" s="17"/>
      <c r="B649" s="17"/>
      <c r="C649" s="133"/>
      <c r="D649" s="133"/>
      <c r="E649" s="17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4"/>
      <c r="Q649" s="146"/>
      <c r="R649" s="17"/>
      <c r="S649" s="17"/>
      <c r="T649" s="75"/>
      <c r="U649" s="75"/>
      <c r="V649" s="75"/>
      <c r="W649" s="75"/>
      <c r="X649" s="75"/>
    </row>
    <row r="650">
      <c r="A650" s="17"/>
      <c r="B650" s="17"/>
      <c r="C650" s="133"/>
      <c r="D650" s="133"/>
      <c r="E650" s="17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4"/>
      <c r="Q650" s="146"/>
      <c r="R650" s="17"/>
      <c r="S650" s="17"/>
      <c r="T650" s="75"/>
      <c r="U650" s="75"/>
      <c r="V650" s="75"/>
      <c r="W650" s="75"/>
      <c r="X650" s="75"/>
    </row>
    <row r="651">
      <c r="A651" s="17"/>
      <c r="B651" s="17"/>
      <c r="C651" s="133"/>
      <c r="D651" s="133"/>
      <c r="E651" s="17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4"/>
      <c r="Q651" s="146"/>
      <c r="R651" s="17"/>
      <c r="S651" s="17"/>
      <c r="T651" s="75"/>
      <c r="U651" s="75"/>
      <c r="V651" s="75"/>
      <c r="W651" s="75"/>
      <c r="X651" s="75"/>
    </row>
    <row r="652">
      <c r="A652" s="17"/>
      <c r="B652" s="17"/>
      <c r="C652" s="133"/>
      <c r="D652" s="133"/>
      <c r="E652" s="17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4"/>
      <c r="Q652" s="146"/>
      <c r="R652" s="17"/>
      <c r="S652" s="17"/>
      <c r="T652" s="75"/>
      <c r="U652" s="75"/>
      <c r="V652" s="75"/>
      <c r="W652" s="75"/>
      <c r="X652" s="75"/>
    </row>
    <row r="653">
      <c r="A653" s="17"/>
      <c r="B653" s="17"/>
      <c r="C653" s="133"/>
      <c r="D653" s="133"/>
      <c r="E653" s="17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4"/>
      <c r="Q653" s="146"/>
      <c r="R653" s="17"/>
      <c r="S653" s="17"/>
      <c r="T653" s="75"/>
      <c r="U653" s="75"/>
      <c r="V653" s="75"/>
      <c r="W653" s="75"/>
      <c r="X653" s="75"/>
    </row>
    <row r="654">
      <c r="A654" s="17"/>
      <c r="B654" s="17"/>
      <c r="C654" s="133"/>
      <c r="D654" s="133"/>
      <c r="E654" s="17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4"/>
      <c r="Q654" s="146"/>
      <c r="R654" s="17"/>
      <c r="S654" s="17"/>
      <c r="T654" s="75"/>
      <c r="U654" s="75"/>
      <c r="V654" s="75"/>
      <c r="W654" s="75"/>
      <c r="X654" s="75"/>
    </row>
    <row r="655">
      <c r="A655" s="17"/>
      <c r="B655" s="17"/>
      <c r="C655" s="133"/>
      <c r="D655" s="133"/>
      <c r="E655" s="17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4"/>
      <c r="Q655" s="146"/>
      <c r="R655" s="17"/>
      <c r="S655" s="17"/>
      <c r="T655" s="75"/>
      <c r="U655" s="75"/>
      <c r="V655" s="75"/>
      <c r="W655" s="75"/>
      <c r="X655" s="75"/>
    </row>
    <row r="656">
      <c r="A656" s="17"/>
      <c r="B656" s="17"/>
      <c r="C656" s="133"/>
      <c r="D656" s="133"/>
      <c r="E656" s="17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4"/>
      <c r="Q656" s="146"/>
      <c r="R656" s="17"/>
      <c r="S656" s="17"/>
      <c r="T656" s="75"/>
      <c r="U656" s="75"/>
      <c r="V656" s="75"/>
      <c r="W656" s="75"/>
      <c r="X656" s="75"/>
    </row>
    <row r="657">
      <c r="A657" s="17"/>
      <c r="B657" s="17"/>
      <c r="C657" s="133"/>
      <c r="D657" s="133"/>
      <c r="E657" s="17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4"/>
      <c r="Q657" s="146"/>
      <c r="R657" s="17"/>
      <c r="S657" s="17"/>
      <c r="T657" s="75"/>
      <c r="U657" s="75"/>
      <c r="V657" s="75"/>
      <c r="W657" s="75"/>
      <c r="X657" s="75"/>
    </row>
    <row r="658">
      <c r="A658" s="17"/>
      <c r="B658" s="17"/>
      <c r="C658" s="133"/>
      <c r="D658" s="133"/>
      <c r="E658" s="17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4"/>
      <c r="Q658" s="146"/>
      <c r="R658" s="17"/>
      <c r="S658" s="17"/>
      <c r="T658" s="75"/>
      <c r="U658" s="75"/>
      <c r="V658" s="75"/>
      <c r="W658" s="75"/>
      <c r="X658" s="75"/>
    </row>
    <row r="659">
      <c r="A659" s="17"/>
      <c r="B659" s="17"/>
      <c r="C659" s="133"/>
      <c r="D659" s="133"/>
      <c r="E659" s="17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4"/>
      <c r="Q659" s="146"/>
      <c r="R659" s="17"/>
      <c r="S659" s="17"/>
      <c r="T659" s="75"/>
      <c r="U659" s="75"/>
      <c r="V659" s="75"/>
      <c r="W659" s="75"/>
      <c r="X659" s="75"/>
    </row>
    <row r="660">
      <c r="A660" s="17"/>
      <c r="B660" s="17"/>
      <c r="C660" s="133"/>
      <c r="D660" s="133"/>
      <c r="E660" s="17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4"/>
      <c r="Q660" s="146"/>
      <c r="R660" s="17"/>
      <c r="S660" s="17"/>
      <c r="T660" s="75"/>
      <c r="U660" s="75"/>
      <c r="V660" s="75"/>
      <c r="W660" s="75"/>
      <c r="X660" s="75"/>
    </row>
    <row r="661">
      <c r="A661" s="17"/>
      <c r="B661" s="17"/>
      <c r="C661" s="133"/>
      <c r="D661" s="133"/>
      <c r="E661" s="17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4"/>
      <c r="Q661" s="146"/>
      <c r="R661" s="17"/>
      <c r="S661" s="17"/>
      <c r="T661" s="75"/>
      <c r="U661" s="75"/>
      <c r="V661" s="75"/>
      <c r="W661" s="75"/>
      <c r="X661" s="75"/>
    </row>
    <row r="662">
      <c r="A662" s="17"/>
      <c r="B662" s="17"/>
      <c r="C662" s="133"/>
      <c r="D662" s="133"/>
      <c r="E662" s="17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4"/>
      <c r="Q662" s="146"/>
      <c r="R662" s="17"/>
      <c r="S662" s="17"/>
      <c r="T662" s="75"/>
      <c r="U662" s="75"/>
      <c r="V662" s="75"/>
      <c r="W662" s="75"/>
      <c r="X662" s="75"/>
    </row>
    <row r="663">
      <c r="A663" s="17"/>
      <c r="B663" s="17"/>
      <c r="C663" s="133"/>
      <c r="D663" s="133"/>
      <c r="E663" s="17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4"/>
      <c r="Q663" s="146"/>
      <c r="R663" s="17"/>
      <c r="S663" s="17"/>
      <c r="T663" s="75"/>
      <c r="U663" s="75"/>
      <c r="V663" s="75"/>
      <c r="W663" s="75"/>
      <c r="X663" s="75"/>
    </row>
    <row r="664">
      <c r="A664" s="17"/>
      <c r="B664" s="17"/>
      <c r="C664" s="133"/>
      <c r="D664" s="133"/>
      <c r="E664" s="17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4"/>
      <c r="Q664" s="146"/>
      <c r="R664" s="17"/>
      <c r="S664" s="17"/>
      <c r="T664" s="75"/>
      <c r="U664" s="75"/>
      <c r="V664" s="75"/>
      <c r="W664" s="75"/>
      <c r="X664" s="75"/>
    </row>
    <row r="665">
      <c r="A665" s="17"/>
      <c r="B665" s="17"/>
      <c r="C665" s="133"/>
      <c r="D665" s="133"/>
      <c r="E665" s="17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4"/>
      <c r="Q665" s="146"/>
      <c r="R665" s="17"/>
      <c r="S665" s="17"/>
      <c r="T665" s="75"/>
      <c r="U665" s="75"/>
      <c r="V665" s="75"/>
      <c r="W665" s="75"/>
      <c r="X665" s="75"/>
    </row>
    <row r="666">
      <c r="A666" s="17"/>
      <c r="B666" s="17"/>
      <c r="C666" s="133"/>
      <c r="D666" s="133"/>
      <c r="E666" s="17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4"/>
      <c r="Q666" s="146"/>
      <c r="R666" s="17"/>
      <c r="S666" s="17"/>
      <c r="T666" s="75"/>
      <c r="U666" s="75"/>
      <c r="V666" s="75"/>
      <c r="W666" s="75"/>
      <c r="X666" s="75"/>
    </row>
    <row r="667">
      <c r="A667" s="17"/>
      <c r="B667" s="17"/>
      <c r="C667" s="133"/>
      <c r="D667" s="133"/>
      <c r="E667" s="17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4"/>
      <c r="Q667" s="146"/>
      <c r="R667" s="17"/>
      <c r="S667" s="17"/>
      <c r="T667" s="75"/>
      <c r="U667" s="75"/>
      <c r="V667" s="75"/>
      <c r="W667" s="75"/>
      <c r="X667" s="75"/>
    </row>
    <row r="668">
      <c r="A668" s="17"/>
      <c r="B668" s="17"/>
      <c r="C668" s="133"/>
      <c r="D668" s="133"/>
      <c r="E668" s="17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4"/>
      <c r="Q668" s="146"/>
      <c r="R668" s="17"/>
      <c r="S668" s="17"/>
      <c r="T668" s="75"/>
      <c r="U668" s="75"/>
      <c r="V668" s="75"/>
      <c r="W668" s="75"/>
      <c r="X668" s="75"/>
    </row>
    <row r="669">
      <c r="A669" s="17"/>
      <c r="B669" s="17"/>
      <c r="C669" s="133"/>
      <c r="D669" s="133"/>
      <c r="E669" s="17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4"/>
      <c r="Q669" s="146"/>
      <c r="R669" s="17"/>
      <c r="S669" s="17"/>
      <c r="T669" s="75"/>
      <c r="U669" s="75"/>
      <c r="V669" s="75"/>
      <c r="W669" s="75"/>
      <c r="X669" s="75"/>
    </row>
    <row r="670">
      <c r="A670" s="17"/>
      <c r="B670" s="17"/>
      <c r="C670" s="133"/>
      <c r="D670" s="133"/>
      <c r="E670" s="17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4"/>
      <c r="Q670" s="146"/>
      <c r="R670" s="17"/>
      <c r="S670" s="17"/>
      <c r="T670" s="75"/>
      <c r="U670" s="75"/>
      <c r="V670" s="75"/>
      <c r="W670" s="75"/>
      <c r="X670" s="75"/>
    </row>
    <row r="671">
      <c r="A671" s="17"/>
      <c r="B671" s="17"/>
      <c r="C671" s="133"/>
      <c r="D671" s="133"/>
      <c r="E671" s="17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4"/>
      <c r="Q671" s="146"/>
      <c r="R671" s="17"/>
      <c r="S671" s="17"/>
      <c r="T671" s="75"/>
      <c r="U671" s="75"/>
      <c r="V671" s="75"/>
      <c r="W671" s="75"/>
      <c r="X671" s="75"/>
    </row>
    <row r="672">
      <c r="A672" s="17"/>
      <c r="B672" s="17"/>
      <c r="C672" s="133"/>
      <c r="D672" s="133"/>
      <c r="E672" s="17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4"/>
      <c r="Q672" s="146"/>
      <c r="R672" s="17"/>
      <c r="S672" s="17"/>
      <c r="T672" s="75"/>
      <c r="U672" s="75"/>
      <c r="V672" s="75"/>
      <c r="W672" s="75"/>
      <c r="X672" s="75"/>
    </row>
    <row r="673">
      <c r="A673" s="17"/>
      <c r="B673" s="17"/>
      <c r="C673" s="133"/>
      <c r="D673" s="133"/>
      <c r="E673" s="17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4"/>
      <c r="Q673" s="146"/>
      <c r="R673" s="17"/>
      <c r="S673" s="17"/>
      <c r="T673" s="75"/>
      <c r="U673" s="75"/>
      <c r="V673" s="75"/>
      <c r="W673" s="75"/>
      <c r="X673" s="75"/>
    </row>
    <row r="674">
      <c r="A674" s="17"/>
      <c r="B674" s="17"/>
      <c r="C674" s="133"/>
      <c r="D674" s="133"/>
      <c r="E674" s="17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4"/>
      <c r="Q674" s="146"/>
      <c r="R674" s="17"/>
      <c r="S674" s="17"/>
      <c r="T674" s="75"/>
      <c r="U674" s="75"/>
      <c r="V674" s="75"/>
      <c r="W674" s="75"/>
      <c r="X674" s="75"/>
    </row>
    <row r="675">
      <c r="A675" s="17"/>
      <c r="B675" s="17"/>
      <c r="C675" s="133"/>
      <c r="D675" s="133"/>
      <c r="E675" s="17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4"/>
      <c r="Q675" s="146"/>
      <c r="R675" s="17"/>
      <c r="S675" s="17"/>
      <c r="T675" s="75"/>
      <c r="U675" s="75"/>
      <c r="V675" s="75"/>
      <c r="W675" s="75"/>
      <c r="X675" s="75"/>
    </row>
    <row r="676">
      <c r="A676" s="17"/>
      <c r="B676" s="17"/>
      <c r="C676" s="133"/>
      <c r="D676" s="133"/>
      <c r="E676" s="17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4"/>
      <c r="Q676" s="146"/>
      <c r="R676" s="17"/>
      <c r="S676" s="17"/>
      <c r="T676" s="75"/>
      <c r="U676" s="75"/>
      <c r="V676" s="75"/>
      <c r="W676" s="75"/>
      <c r="X676" s="75"/>
    </row>
    <row r="677">
      <c r="A677" s="17"/>
      <c r="B677" s="17"/>
      <c r="C677" s="133"/>
      <c r="D677" s="133"/>
      <c r="E677" s="17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4"/>
      <c r="Q677" s="146"/>
      <c r="R677" s="17"/>
      <c r="S677" s="17"/>
      <c r="T677" s="75"/>
      <c r="U677" s="75"/>
      <c r="V677" s="75"/>
      <c r="W677" s="75"/>
      <c r="X677" s="75"/>
    </row>
    <row r="678">
      <c r="A678" s="17"/>
      <c r="B678" s="17"/>
      <c r="C678" s="133"/>
      <c r="D678" s="133"/>
      <c r="E678" s="17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4"/>
      <c r="Q678" s="146"/>
      <c r="R678" s="17"/>
      <c r="S678" s="17"/>
      <c r="T678" s="75"/>
      <c r="U678" s="75"/>
      <c r="V678" s="75"/>
      <c r="W678" s="75"/>
      <c r="X678" s="75"/>
    </row>
    <row r="679">
      <c r="A679" s="17"/>
      <c r="B679" s="17"/>
      <c r="C679" s="133"/>
      <c r="D679" s="133"/>
      <c r="E679" s="17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4"/>
      <c r="Q679" s="146"/>
      <c r="R679" s="17"/>
      <c r="S679" s="17"/>
      <c r="T679" s="75"/>
      <c r="U679" s="75"/>
      <c r="V679" s="75"/>
      <c r="W679" s="75"/>
      <c r="X679" s="75"/>
    </row>
    <row r="680">
      <c r="A680" s="17"/>
      <c r="B680" s="17"/>
      <c r="C680" s="133"/>
      <c r="D680" s="133"/>
      <c r="E680" s="17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4"/>
      <c r="Q680" s="146"/>
      <c r="R680" s="17"/>
      <c r="S680" s="17"/>
      <c r="T680" s="75"/>
      <c r="U680" s="75"/>
      <c r="V680" s="75"/>
      <c r="W680" s="75"/>
      <c r="X680" s="75"/>
    </row>
    <row r="681">
      <c r="A681" s="17"/>
      <c r="B681" s="17"/>
      <c r="C681" s="133"/>
      <c r="D681" s="133"/>
      <c r="E681" s="17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4"/>
      <c r="Q681" s="146"/>
      <c r="R681" s="17"/>
      <c r="S681" s="17"/>
      <c r="T681" s="75"/>
      <c r="U681" s="75"/>
      <c r="V681" s="75"/>
      <c r="W681" s="75"/>
      <c r="X681" s="75"/>
    </row>
    <row r="682">
      <c r="A682" s="17"/>
      <c r="B682" s="17"/>
      <c r="C682" s="133"/>
      <c r="D682" s="133"/>
      <c r="E682" s="17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4"/>
      <c r="Q682" s="146"/>
      <c r="R682" s="17"/>
      <c r="S682" s="17"/>
      <c r="T682" s="75"/>
      <c r="U682" s="75"/>
      <c r="V682" s="75"/>
      <c r="W682" s="75"/>
      <c r="X682" s="75"/>
    </row>
    <row r="683">
      <c r="A683" s="17"/>
      <c r="B683" s="17"/>
      <c r="C683" s="133"/>
      <c r="D683" s="133"/>
      <c r="E683" s="17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4"/>
      <c r="Q683" s="146"/>
      <c r="R683" s="17"/>
      <c r="S683" s="17"/>
      <c r="T683" s="75"/>
      <c r="U683" s="75"/>
      <c r="V683" s="75"/>
      <c r="W683" s="75"/>
      <c r="X683" s="75"/>
    </row>
    <row r="684">
      <c r="A684" s="17"/>
      <c r="B684" s="17"/>
      <c r="C684" s="133"/>
      <c r="D684" s="133"/>
      <c r="E684" s="17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4"/>
      <c r="Q684" s="146"/>
      <c r="R684" s="17"/>
      <c r="S684" s="17"/>
      <c r="T684" s="75"/>
      <c r="U684" s="75"/>
      <c r="V684" s="75"/>
      <c r="W684" s="75"/>
      <c r="X684" s="75"/>
    </row>
    <row r="685">
      <c r="A685" s="17"/>
      <c r="B685" s="17"/>
      <c r="C685" s="133"/>
      <c r="D685" s="133"/>
      <c r="E685" s="17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4"/>
      <c r="Q685" s="146"/>
      <c r="R685" s="17"/>
      <c r="S685" s="17"/>
      <c r="T685" s="75"/>
      <c r="U685" s="75"/>
      <c r="V685" s="75"/>
      <c r="W685" s="75"/>
      <c r="X685" s="75"/>
    </row>
    <row r="686">
      <c r="A686" s="17"/>
      <c r="B686" s="17"/>
      <c r="C686" s="133"/>
      <c r="D686" s="133"/>
      <c r="E686" s="17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4"/>
      <c r="Q686" s="146"/>
      <c r="R686" s="17"/>
      <c r="S686" s="17"/>
      <c r="T686" s="75"/>
      <c r="U686" s="75"/>
      <c r="V686" s="75"/>
      <c r="W686" s="75"/>
      <c r="X686" s="75"/>
    </row>
    <row r="687">
      <c r="A687" s="17"/>
      <c r="B687" s="17"/>
      <c r="C687" s="133"/>
      <c r="D687" s="133"/>
      <c r="E687" s="17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4"/>
      <c r="Q687" s="146"/>
      <c r="R687" s="17"/>
      <c r="S687" s="17"/>
      <c r="T687" s="75"/>
      <c r="U687" s="75"/>
      <c r="V687" s="75"/>
      <c r="W687" s="75"/>
      <c r="X687" s="75"/>
    </row>
    <row r="688">
      <c r="A688" s="17"/>
      <c r="B688" s="17"/>
      <c r="C688" s="133"/>
      <c r="D688" s="133"/>
      <c r="E688" s="17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4"/>
      <c r="Q688" s="146"/>
      <c r="R688" s="17"/>
      <c r="S688" s="17"/>
      <c r="T688" s="75"/>
      <c r="U688" s="75"/>
      <c r="V688" s="75"/>
      <c r="W688" s="75"/>
      <c r="X688" s="75"/>
    </row>
    <row r="689">
      <c r="A689" s="17"/>
      <c r="B689" s="17"/>
      <c r="C689" s="133"/>
      <c r="D689" s="133"/>
      <c r="E689" s="17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4"/>
      <c r="Q689" s="146"/>
      <c r="R689" s="17"/>
      <c r="S689" s="17"/>
      <c r="T689" s="75"/>
      <c r="U689" s="75"/>
      <c r="V689" s="75"/>
      <c r="W689" s="75"/>
      <c r="X689" s="75"/>
    </row>
    <row r="690">
      <c r="A690" s="17"/>
      <c r="B690" s="17"/>
      <c r="C690" s="133"/>
      <c r="D690" s="133"/>
      <c r="E690" s="17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4"/>
      <c r="Q690" s="146"/>
      <c r="R690" s="17"/>
      <c r="S690" s="17"/>
      <c r="T690" s="75"/>
      <c r="U690" s="75"/>
      <c r="V690" s="75"/>
      <c r="W690" s="75"/>
      <c r="X690" s="75"/>
    </row>
    <row r="691">
      <c r="A691" s="17"/>
      <c r="B691" s="17"/>
      <c r="C691" s="133"/>
      <c r="D691" s="133"/>
      <c r="E691" s="17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4"/>
      <c r="Q691" s="146"/>
      <c r="R691" s="17"/>
      <c r="S691" s="17"/>
      <c r="T691" s="75"/>
      <c r="U691" s="75"/>
      <c r="V691" s="75"/>
      <c r="W691" s="75"/>
      <c r="X691" s="75"/>
    </row>
    <row r="692">
      <c r="A692" s="17"/>
      <c r="B692" s="17"/>
      <c r="C692" s="133"/>
      <c r="D692" s="133"/>
      <c r="E692" s="17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4"/>
      <c r="Q692" s="146"/>
      <c r="R692" s="17"/>
      <c r="S692" s="17"/>
      <c r="T692" s="75"/>
      <c r="U692" s="75"/>
      <c r="V692" s="75"/>
      <c r="W692" s="75"/>
      <c r="X692" s="75"/>
    </row>
    <row r="693">
      <c r="A693" s="17"/>
      <c r="B693" s="17"/>
      <c r="C693" s="133"/>
      <c r="D693" s="133"/>
      <c r="E693" s="17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4"/>
      <c r="Q693" s="146"/>
      <c r="R693" s="17"/>
      <c r="S693" s="17"/>
      <c r="T693" s="75"/>
      <c r="U693" s="75"/>
      <c r="V693" s="75"/>
      <c r="W693" s="75"/>
      <c r="X693" s="75"/>
    </row>
    <row r="694">
      <c r="A694" s="17"/>
      <c r="B694" s="17"/>
      <c r="C694" s="133"/>
      <c r="D694" s="133"/>
      <c r="E694" s="17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4"/>
      <c r="Q694" s="146"/>
      <c r="R694" s="17"/>
      <c r="S694" s="17"/>
      <c r="T694" s="75"/>
      <c r="U694" s="75"/>
      <c r="V694" s="75"/>
      <c r="W694" s="75"/>
      <c r="X694" s="75"/>
    </row>
    <row r="695">
      <c r="A695" s="17"/>
      <c r="B695" s="17"/>
      <c r="C695" s="133"/>
      <c r="D695" s="133"/>
      <c r="E695" s="17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4"/>
      <c r="Q695" s="146"/>
      <c r="R695" s="17"/>
      <c r="S695" s="17"/>
      <c r="T695" s="75"/>
      <c r="U695" s="75"/>
      <c r="V695" s="75"/>
      <c r="W695" s="75"/>
      <c r="X695" s="75"/>
    </row>
    <row r="696">
      <c r="A696" s="17"/>
      <c r="B696" s="17"/>
      <c r="C696" s="133"/>
      <c r="D696" s="133"/>
      <c r="E696" s="17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4"/>
      <c r="Q696" s="146"/>
      <c r="R696" s="17"/>
      <c r="S696" s="17"/>
      <c r="T696" s="75"/>
      <c r="U696" s="75"/>
      <c r="V696" s="75"/>
      <c r="W696" s="75"/>
      <c r="X696" s="75"/>
    </row>
    <row r="697">
      <c r="A697" s="17"/>
      <c r="B697" s="17"/>
      <c r="C697" s="133"/>
      <c r="D697" s="133"/>
      <c r="E697" s="17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4"/>
      <c r="Q697" s="146"/>
      <c r="R697" s="17"/>
      <c r="S697" s="17"/>
      <c r="T697" s="75"/>
      <c r="U697" s="75"/>
      <c r="V697" s="75"/>
      <c r="W697" s="75"/>
      <c r="X697" s="75"/>
    </row>
    <row r="698">
      <c r="A698" s="17"/>
      <c r="B698" s="17"/>
      <c r="C698" s="133"/>
      <c r="D698" s="133"/>
      <c r="E698" s="17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4"/>
      <c r="Q698" s="146"/>
      <c r="R698" s="17"/>
      <c r="S698" s="17"/>
      <c r="T698" s="75"/>
      <c r="U698" s="75"/>
      <c r="V698" s="75"/>
      <c r="W698" s="75"/>
      <c r="X698" s="75"/>
    </row>
    <row r="699">
      <c r="A699" s="17"/>
      <c r="B699" s="17"/>
      <c r="C699" s="133"/>
      <c r="D699" s="133"/>
      <c r="E699" s="17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4"/>
      <c r="Q699" s="146"/>
      <c r="R699" s="17"/>
      <c r="S699" s="17"/>
      <c r="T699" s="75"/>
      <c r="U699" s="75"/>
      <c r="V699" s="75"/>
      <c r="W699" s="75"/>
      <c r="X699" s="75"/>
    </row>
    <row r="700">
      <c r="A700" s="17"/>
      <c r="B700" s="17"/>
      <c r="C700" s="133"/>
      <c r="D700" s="133"/>
      <c r="E700" s="17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4"/>
      <c r="Q700" s="146"/>
      <c r="R700" s="17"/>
      <c r="S700" s="17"/>
      <c r="T700" s="75"/>
      <c r="U700" s="75"/>
      <c r="V700" s="75"/>
      <c r="W700" s="75"/>
      <c r="X700" s="75"/>
    </row>
    <row r="701">
      <c r="A701" s="17"/>
      <c r="B701" s="17"/>
      <c r="C701" s="133"/>
      <c r="D701" s="133"/>
      <c r="E701" s="17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4"/>
      <c r="Q701" s="146"/>
      <c r="R701" s="17"/>
      <c r="S701" s="17"/>
      <c r="T701" s="75"/>
      <c r="U701" s="75"/>
      <c r="V701" s="75"/>
      <c r="W701" s="75"/>
      <c r="X701" s="75"/>
    </row>
    <row r="702">
      <c r="A702" s="17"/>
      <c r="B702" s="17"/>
      <c r="C702" s="133"/>
      <c r="D702" s="133"/>
      <c r="E702" s="17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4"/>
      <c r="Q702" s="146"/>
      <c r="R702" s="17"/>
      <c r="S702" s="17"/>
      <c r="T702" s="75"/>
      <c r="U702" s="75"/>
      <c r="V702" s="75"/>
      <c r="W702" s="75"/>
      <c r="X702" s="75"/>
    </row>
    <row r="703">
      <c r="A703" s="17"/>
      <c r="B703" s="17"/>
      <c r="C703" s="133"/>
      <c r="D703" s="133"/>
      <c r="E703" s="17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4"/>
      <c r="Q703" s="146"/>
      <c r="R703" s="17"/>
      <c r="S703" s="17"/>
      <c r="T703" s="75"/>
      <c r="U703" s="75"/>
      <c r="V703" s="75"/>
      <c r="W703" s="75"/>
      <c r="X703" s="75"/>
    </row>
    <row r="704">
      <c r="A704" s="17"/>
      <c r="B704" s="17"/>
      <c r="C704" s="133"/>
      <c r="D704" s="133"/>
      <c r="E704" s="17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4"/>
      <c r="Q704" s="146"/>
      <c r="R704" s="17"/>
      <c r="S704" s="17"/>
      <c r="T704" s="75"/>
      <c r="U704" s="75"/>
      <c r="V704" s="75"/>
      <c r="W704" s="75"/>
      <c r="X704" s="75"/>
    </row>
    <row r="705">
      <c r="A705" s="17"/>
      <c r="B705" s="17"/>
      <c r="C705" s="133"/>
      <c r="D705" s="133"/>
      <c r="E705" s="17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4"/>
      <c r="Q705" s="146"/>
      <c r="R705" s="17"/>
      <c r="S705" s="17"/>
      <c r="T705" s="75"/>
      <c r="U705" s="75"/>
      <c r="V705" s="75"/>
      <c r="W705" s="75"/>
      <c r="X705" s="75"/>
    </row>
    <row r="706">
      <c r="A706" s="17"/>
      <c r="B706" s="17"/>
      <c r="C706" s="133"/>
      <c r="D706" s="133"/>
      <c r="E706" s="17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4"/>
      <c r="Q706" s="146"/>
      <c r="R706" s="17"/>
      <c r="S706" s="17"/>
      <c r="T706" s="75"/>
      <c r="U706" s="75"/>
      <c r="V706" s="75"/>
      <c r="W706" s="75"/>
      <c r="X706" s="75"/>
    </row>
    <row r="707">
      <c r="A707" s="17"/>
      <c r="B707" s="17"/>
      <c r="C707" s="133"/>
      <c r="D707" s="133"/>
      <c r="E707" s="17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4"/>
      <c r="Q707" s="146"/>
      <c r="R707" s="17"/>
      <c r="S707" s="17"/>
      <c r="T707" s="75"/>
      <c r="U707" s="75"/>
      <c r="V707" s="75"/>
      <c r="W707" s="75"/>
      <c r="X707" s="75"/>
    </row>
    <row r="708">
      <c r="A708" s="17"/>
      <c r="B708" s="17"/>
      <c r="C708" s="133"/>
      <c r="D708" s="133"/>
      <c r="E708" s="17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4"/>
      <c r="Q708" s="146"/>
      <c r="R708" s="17"/>
      <c r="S708" s="17"/>
      <c r="T708" s="75"/>
      <c r="U708" s="75"/>
      <c r="V708" s="75"/>
      <c r="W708" s="75"/>
      <c r="X708" s="75"/>
    </row>
    <row r="709">
      <c r="A709" s="17"/>
      <c r="B709" s="17"/>
      <c r="C709" s="133"/>
      <c r="D709" s="133"/>
      <c r="E709" s="17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4"/>
      <c r="Q709" s="146"/>
      <c r="R709" s="17"/>
      <c r="S709" s="17"/>
      <c r="T709" s="75"/>
      <c r="U709" s="75"/>
      <c r="V709" s="75"/>
      <c r="W709" s="75"/>
      <c r="X709" s="75"/>
    </row>
    <row r="710">
      <c r="A710" s="17"/>
      <c r="B710" s="17"/>
      <c r="C710" s="133"/>
      <c r="D710" s="133"/>
      <c r="E710" s="17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4"/>
      <c r="Q710" s="146"/>
      <c r="R710" s="17"/>
      <c r="S710" s="17"/>
      <c r="T710" s="75"/>
      <c r="U710" s="75"/>
      <c r="V710" s="75"/>
      <c r="W710" s="75"/>
      <c r="X710" s="75"/>
    </row>
    <row r="711">
      <c r="A711" s="17"/>
      <c r="B711" s="17"/>
      <c r="C711" s="133"/>
      <c r="D711" s="133"/>
      <c r="E711" s="17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4"/>
      <c r="Q711" s="146"/>
      <c r="R711" s="17"/>
      <c r="S711" s="17"/>
      <c r="T711" s="75"/>
      <c r="U711" s="75"/>
      <c r="V711" s="75"/>
      <c r="W711" s="75"/>
      <c r="X711" s="75"/>
    </row>
    <row r="712">
      <c r="A712" s="17"/>
      <c r="B712" s="17"/>
      <c r="C712" s="133"/>
      <c r="D712" s="133"/>
      <c r="E712" s="17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4"/>
      <c r="Q712" s="146"/>
      <c r="R712" s="17"/>
      <c r="S712" s="17"/>
      <c r="T712" s="75"/>
      <c r="U712" s="75"/>
      <c r="V712" s="75"/>
      <c r="W712" s="75"/>
      <c r="X712" s="75"/>
    </row>
    <row r="713">
      <c r="A713" s="17"/>
      <c r="B713" s="17"/>
      <c r="C713" s="133"/>
      <c r="D713" s="133"/>
      <c r="E713" s="17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4"/>
      <c r="Q713" s="146"/>
      <c r="R713" s="17"/>
      <c r="S713" s="17"/>
      <c r="T713" s="75"/>
      <c r="U713" s="75"/>
      <c r="V713" s="75"/>
      <c r="W713" s="75"/>
      <c r="X713" s="75"/>
    </row>
    <row r="714">
      <c r="A714" s="17"/>
      <c r="B714" s="17"/>
      <c r="C714" s="133"/>
      <c r="D714" s="133"/>
      <c r="E714" s="17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4"/>
      <c r="Q714" s="146"/>
      <c r="R714" s="17"/>
      <c r="S714" s="17"/>
      <c r="T714" s="75"/>
      <c r="U714" s="75"/>
      <c r="V714" s="75"/>
      <c r="W714" s="75"/>
      <c r="X714" s="75"/>
    </row>
    <row r="715">
      <c r="A715" s="17"/>
      <c r="B715" s="17"/>
      <c r="C715" s="133"/>
      <c r="D715" s="133"/>
      <c r="E715" s="17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4"/>
      <c r="Q715" s="146"/>
      <c r="R715" s="17"/>
      <c r="S715" s="17"/>
      <c r="T715" s="75"/>
      <c r="U715" s="75"/>
      <c r="V715" s="75"/>
      <c r="W715" s="75"/>
      <c r="X715" s="75"/>
    </row>
    <row r="716">
      <c r="A716" s="17"/>
      <c r="B716" s="17"/>
      <c r="C716" s="133"/>
      <c r="D716" s="133"/>
      <c r="E716" s="17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4"/>
      <c r="Q716" s="146"/>
      <c r="R716" s="17"/>
      <c r="S716" s="17"/>
      <c r="T716" s="75"/>
      <c r="U716" s="75"/>
      <c r="V716" s="75"/>
      <c r="W716" s="75"/>
      <c r="X716" s="75"/>
    </row>
    <row r="717">
      <c r="A717" s="17"/>
      <c r="B717" s="17"/>
      <c r="C717" s="133"/>
      <c r="D717" s="133"/>
      <c r="E717" s="17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4"/>
      <c r="Q717" s="146"/>
      <c r="R717" s="17"/>
      <c r="S717" s="17"/>
      <c r="T717" s="75"/>
      <c r="U717" s="75"/>
      <c r="V717" s="75"/>
      <c r="W717" s="75"/>
      <c r="X717" s="75"/>
    </row>
    <row r="718">
      <c r="A718" s="17"/>
      <c r="B718" s="17"/>
      <c r="C718" s="133"/>
      <c r="D718" s="133"/>
      <c r="E718" s="17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4"/>
      <c r="Q718" s="146"/>
      <c r="R718" s="17"/>
      <c r="S718" s="17"/>
      <c r="T718" s="75"/>
      <c r="U718" s="75"/>
      <c r="V718" s="75"/>
      <c r="W718" s="75"/>
      <c r="X718" s="75"/>
    </row>
    <row r="719">
      <c r="A719" s="17"/>
      <c r="B719" s="17"/>
      <c r="C719" s="133"/>
      <c r="D719" s="133"/>
      <c r="E719" s="17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4"/>
      <c r="Q719" s="146"/>
      <c r="R719" s="17"/>
      <c r="S719" s="17"/>
      <c r="T719" s="75"/>
      <c r="U719" s="75"/>
      <c r="V719" s="75"/>
      <c r="W719" s="75"/>
      <c r="X719" s="75"/>
    </row>
    <row r="720">
      <c r="A720" s="17"/>
      <c r="B720" s="17"/>
      <c r="C720" s="133"/>
      <c r="D720" s="133"/>
      <c r="E720" s="17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4"/>
      <c r="Q720" s="146"/>
      <c r="R720" s="17"/>
      <c r="S720" s="17"/>
      <c r="T720" s="75"/>
      <c r="U720" s="75"/>
      <c r="V720" s="75"/>
      <c r="W720" s="75"/>
      <c r="X720" s="75"/>
    </row>
    <row r="721">
      <c r="A721" s="17"/>
      <c r="B721" s="17"/>
      <c r="C721" s="133"/>
      <c r="D721" s="133"/>
      <c r="E721" s="17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4"/>
      <c r="Q721" s="146"/>
      <c r="R721" s="17"/>
      <c r="S721" s="17"/>
      <c r="T721" s="75"/>
      <c r="U721" s="75"/>
      <c r="V721" s="75"/>
      <c r="W721" s="75"/>
      <c r="X721" s="75"/>
    </row>
    <row r="722">
      <c r="A722" s="17"/>
      <c r="B722" s="17"/>
      <c r="C722" s="133"/>
      <c r="D722" s="133"/>
      <c r="E722" s="17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4"/>
      <c r="Q722" s="146"/>
      <c r="R722" s="17"/>
      <c r="S722" s="17"/>
      <c r="T722" s="75"/>
      <c r="U722" s="75"/>
      <c r="V722" s="75"/>
      <c r="W722" s="75"/>
      <c r="X722" s="75"/>
    </row>
    <row r="723">
      <c r="A723" s="17"/>
      <c r="B723" s="17"/>
      <c r="C723" s="133"/>
      <c r="D723" s="133"/>
      <c r="E723" s="17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4"/>
      <c r="Q723" s="146"/>
      <c r="R723" s="17"/>
      <c r="S723" s="17"/>
      <c r="T723" s="75"/>
      <c r="U723" s="75"/>
      <c r="V723" s="75"/>
      <c r="W723" s="75"/>
      <c r="X723" s="75"/>
    </row>
    <row r="724">
      <c r="A724" s="17"/>
      <c r="B724" s="17"/>
      <c r="C724" s="133"/>
      <c r="D724" s="133"/>
      <c r="E724" s="17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4"/>
      <c r="Q724" s="146"/>
      <c r="R724" s="17"/>
      <c r="S724" s="17"/>
      <c r="T724" s="75"/>
      <c r="U724" s="75"/>
      <c r="V724" s="75"/>
      <c r="W724" s="75"/>
      <c r="X724" s="75"/>
    </row>
    <row r="725">
      <c r="A725" s="17"/>
      <c r="B725" s="17"/>
      <c r="C725" s="133"/>
      <c r="D725" s="133"/>
      <c r="E725" s="17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4"/>
      <c r="Q725" s="146"/>
      <c r="R725" s="17"/>
      <c r="S725" s="17"/>
      <c r="T725" s="75"/>
      <c r="U725" s="75"/>
      <c r="V725" s="75"/>
      <c r="W725" s="75"/>
      <c r="X725" s="75"/>
    </row>
    <row r="726">
      <c r="A726" s="17"/>
      <c r="B726" s="17"/>
      <c r="C726" s="133"/>
      <c r="D726" s="133"/>
      <c r="E726" s="17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4"/>
      <c r="Q726" s="146"/>
      <c r="R726" s="17"/>
      <c r="S726" s="17"/>
      <c r="T726" s="75"/>
      <c r="U726" s="75"/>
      <c r="V726" s="75"/>
      <c r="W726" s="75"/>
      <c r="X726" s="75"/>
    </row>
    <row r="727">
      <c r="A727" s="17"/>
      <c r="B727" s="17"/>
      <c r="C727" s="133"/>
      <c r="D727" s="133"/>
      <c r="E727" s="17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4"/>
      <c r="Q727" s="146"/>
      <c r="R727" s="17"/>
      <c r="S727" s="17"/>
      <c r="T727" s="75"/>
      <c r="U727" s="75"/>
      <c r="V727" s="75"/>
      <c r="W727" s="75"/>
      <c r="X727" s="75"/>
    </row>
    <row r="728">
      <c r="A728" s="17"/>
      <c r="B728" s="17"/>
      <c r="C728" s="133"/>
      <c r="D728" s="133"/>
      <c r="E728" s="17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4"/>
      <c r="Q728" s="146"/>
      <c r="R728" s="17"/>
      <c r="S728" s="17"/>
      <c r="T728" s="75"/>
      <c r="U728" s="75"/>
      <c r="V728" s="75"/>
      <c r="W728" s="75"/>
      <c r="X728" s="75"/>
    </row>
    <row r="729">
      <c r="A729" s="17"/>
      <c r="B729" s="17"/>
      <c r="C729" s="133"/>
      <c r="D729" s="133"/>
      <c r="E729" s="17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4"/>
      <c r="Q729" s="146"/>
      <c r="R729" s="17"/>
      <c r="S729" s="17"/>
      <c r="T729" s="75"/>
      <c r="U729" s="75"/>
      <c r="V729" s="75"/>
      <c r="W729" s="75"/>
      <c r="X729" s="75"/>
    </row>
    <row r="730">
      <c r="A730" s="17"/>
      <c r="B730" s="17"/>
      <c r="C730" s="133"/>
      <c r="D730" s="133"/>
      <c r="E730" s="17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4"/>
      <c r="Q730" s="146"/>
      <c r="R730" s="17"/>
      <c r="S730" s="17"/>
      <c r="T730" s="75"/>
      <c r="U730" s="75"/>
      <c r="V730" s="75"/>
      <c r="W730" s="75"/>
      <c r="X730" s="75"/>
    </row>
    <row r="731">
      <c r="A731" s="17"/>
      <c r="B731" s="17"/>
      <c r="C731" s="133"/>
      <c r="D731" s="133"/>
      <c r="E731" s="17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4"/>
      <c r="Q731" s="146"/>
      <c r="R731" s="17"/>
      <c r="S731" s="17"/>
      <c r="T731" s="75"/>
      <c r="U731" s="75"/>
      <c r="V731" s="75"/>
      <c r="W731" s="75"/>
      <c r="X731" s="75"/>
    </row>
    <row r="732">
      <c r="A732" s="17"/>
      <c r="B732" s="17"/>
      <c r="C732" s="133"/>
      <c r="D732" s="133"/>
      <c r="E732" s="17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4"/>
      <c r="Q732" s="146"/>
      <c r="R732" s="17"/>
      <c r="S732" s="17"/>
      <c r="T732" s="75"/>
      <c r="U732" s="75"/>
      <c r="V732" s="75"/>
      <c r="W732" s="75"/>
      <c r="X732" s="75"/>
    </row>
    <row r="733">
      <c r="A733" s="17"/>
      <c r="B733" s="17"/>
      <c r="C733" s="133"/>
      <c r="D733" s="133"/>
      <c r="E733" s="17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4"/>
      <c r="Q733" s="146"/>
      <c r="R733" s="17"/>
      <c r="S733" s="17"/>
      <c r="T733" s="75"/>
      <c r="U733" s="75"/>
      <c r="V733" s="75"/>
      <c r="W733" s="75"/>
      <c r="X733" s="75"/>
    </row>
    <row r="734">
      <c r="A734" s="17"/>
      <c r="B734" s="17"/>
      <c r="C734" s="133"/>
      <c r="D734" s="133"/>
      <c r="E734" s="17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4"/>
      <c r="Q734" s="146"/>
      <c r="R734" s="17"/>
      <c r="S734" s="17"/>
      <c r="T734" s="75"/>
      <c r="U734" s="75"/>
      <c r="V734" s="75"/>
      <c r="W734" s="75"/>
      <c r="X734" s="75"/>
    </row>
    <row r="735">
      <c r="A735" s="17"/>
      <c r="B735" s="17"/>
      <c r="C735" s="133"/>
      <c r="D735" s="133"/>
      <c r="E735" s="17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4"/>
      <c r="Q735" s="146"/>
      <c r="R735" s="17"/>
      <c r="S735" s="17"/>
      <c r="T735" s="75"/>
      <c r="U735" s="75"/>
      <c r="V735" s="75"/>
      <c r="W735" s="75"/>
      <c r="X735" s="75"/>
    </row>
    <row r="736">
      <c r="A736" s="17"/>
      <c r="B736" s="17"/>
      <c r="C736" s="133"/>
      <c r="D736" s="133"/>
      <c r="E736" s="17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4"/>
      <c r="Q736" s="146"/>
      <c r="R736" s="17"/>
      <c r="S736" s="17"/>
      <c r="T736" s="75"/>
      <c r="U736" s="75"/>
      <c r="V736" s="75"/>
      <c r="W736" s="75"/>
      <c r="X736" s="75"/>
    </row>
    <row r="737">
      <c r="A737" s="17"/>
      <c r="B737" s="17"/>
      <c r="C737" s="133"/>
      <c r="D737" s="133"/>
      <c r="E737" s="17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4"/>
      <c r="Q737" s="146"/>
      <c r="R737" s="17"/>
      <c r="S737" s="17"/>
      <c r="T737" s="75"/>
      <c r="U737" s="75"/>
      <c r="V737" s="75"/>
      <c r="W737" s="75"/>
      <c r="X737" s="75"/>
    </row>
    <row r="738">
      <c r="A738" s="17"/>
      <c r="B738" s="17"/>
      <c r="C738" s="133"/>
      <c r="D738" s="133"/>
      <c r="E738" s="17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4"/>
      <c r="Q738" s="146"/>
      <c r="R738" s="17"/>
      <c r="S738" s="17"/>
      <c r="T738" s="75"/>
      <c r="U738" s="75"/>
      <c r="V738" s="75"/>
      <c r="W738" s="75"/>
      <c r="X738" s="75"/>
    </row>
    <row r="739">
      <c r="A739" s="17"/>
      <c r="B739" s="17"/>
      <c r="C739" s="133"/>
      <c r="D739" s="133"/>
      <c r="E739" s="17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4"/>
      <c r="Q739" s="146"/>
      <c r="R739" s="17"/>
      <c r="S739" s="17"/>
      <c r="T739" s="75"/>
      <c r="U739" s="75"/>
      <c r="V739" s="75"/>
      <c r="W739" s="75"/>
      <c r="X739" s="75"/>
    </row>
    <row r="740">
      <c r="A740" s="17"/>
      <c r="B740" s="17"/>
      <c r="C740" s="133"/>
      <c r="D740" s="133"/>
      <c r="E740" s="17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4"/>
      <c r="Q740" s="146"/>
      <c r="R740" s="17"/>
      <c r="S740" s="17"/>
      <c r="T740" s="75"/>
      <c r="U740" s="75"/>
      <c r="V740" s="75"/>
      <c r="W740" s="75"/>
      <c r="X740" s="75"/>
    </row>
    <row r="741">
      <c r="A741" s="17"/>
      <c r="B741" s="17"/>
      <c r="C741" s="133"/>
      <c r="D741" s="133"/>
      <c r="E741" s="17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4"/>
      <c r="Q741" s="146"/>
      <c r="R741" s="17"/>
      <c r="S741" s="17"/>
      <c r="T741" s="75"/>
      <c r="U741" s="75"/>
      <c r="V741" s="75"/>
      <c r="W741" s="75"/>
      <c r="X741" s="75"/>
    </row>
    <row r="742">
      <c r="A742" s="17"/>
      <c r="B742" s="17"/>
      <c r="C742" s="133"/>
      <c r="D742" s="133"/>
      <c r="E742" s="17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4"/>
      <c r="Q742" s="146"/>
      <c r="R742" s="17"/>
      <c r="S742" s="17"/>
      <c r="T742" s="75"/>
      <c r="U742" s="75"/>
      <c r="V742" s="75"/>
      <c r="W742" s="75"/>
      <c r="X742" s="75"/>
    </row>
    <row r="743">
      <c r="A743" s="17"/>
      <c r="B743" s="17"/>
      <c r="C743" s="133"/>
      <c r="D743" s="133"/>
      <c r="E743" s="17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4"/>
      <c r="Q743" s="146"/>
      <c r="R743" s="17"/>
      <c r="S743" s="17"/>
      <c r="T743" s="75"/>
      <c r="U743" s="75"/>
      <c r="V743" s="75"/>
      <c r="W743" s="75"/>
      <c r="X743" s="75"/>
    </row>
    <row r="744">
      <c r="A744" s="17"/>
      <c r="B744" s="17"/>
      <c r="C744" s="133"/>
      <c r="D744" s="133"/>
      <c r="E744" s="17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4"/>
      <c r="Q744" s="146"/>
      <c r="R744" s="17"/>
      <c r="S744" s="17"/>
      <c r="T744" s="75"/>
      <c r="U744" s="75"/>
      <c r="V744" s="75"/>
      <c r="W744" s="75"/>
      <c r="X744" s="75"/>
    </row>
    <row r="745">
      <c r="A745" s="17"/>
      <c r="B745" s="17"/>
      <c r="C745" s="133"/>
      <c r="D745" s="133"/>
      <c r="E745" s="17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4"/>
      <c r="Q745" s="146"/>
      <c r="R745" s="17"/>
      <c r="S745" s="17"/>
      <c r="T745" s="75"/>
      <c r="U745" s="75"/>
      <c r="V745" s="75"/>
      <c r="W745" s="75"/>
      <c r="X745" s="75"/>
    </row>
    <row r="746">
      <c r="A746" s="17"/>
      <c r="B746" s="17"/>
      <c r="C746" s="133"/>
      <c r="D746" s="133"/>
      <c r="E746" s="17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4"/>
      <c r="Q746" s="146"/>
      <c r="R746" s="17"/>
      <c r="S746" s="17"/>
      <c r="T746" s="75"/>
      <c r="U746" s="75"/>
      <c r="V746" s="75"/>
      <c r="W746" s="75"/>
      <c r="X746" s="75"/>
    </row>
    <row r="747">
      <c r="A747" s="17"/>
      <c r="B747" s="17"/>
      <c r="C747" s="133"/>
      <c r="D747" s="133"/>
      <c r="E747" s="17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4"/>
      <c r="Q747" s="146"/>
      <c r="R747" s="17"/>
      <c r="S747" s="17"/>
      <c r="T747" s="75"/>
      <c r="U747" s="75"/>
      <c r="V747" s="75"/>
      <c r="W747" s="75"/>
      <c r="X747" s="75"/>
    </row>
    <row r="748">
      <c r="A748" s="17"/>
      <c r="B748" s="17"/>
      <c r="C748" s="133"/>
      <c r="D748" s="133"/>
      <c r="E748" s="17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4"/>
      <c r="Q748" s="146"/>
      <c r="R748" s="17"/>
      <c r="S748" s="17"/>
      <c r="T748" s="75"/>
      <c r="U748" s="75"/>
      <c r="V748" s="75"/>
      <c r="W748" s="75"/>
      <c r="X748" s="75"/>
    </row>
    <row r="749">
      <c r="A749" s="17"/>
      <c r="B749" s="17"/>
      <c r="C749" s="133"/>
      <c r="D749" s="133"/>
      <c r="E749" s="17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4"/>
      <c r="Q749" s="146"/>
      <c r="R749" s="17"/>
      <c r="S749" s="17"/>
      <c r="T749" s="75"/>
      <c r="U749" s="75"/>
      <c r="V749" s="75"/>
      <c r="W749" s="75"/>
      <c r="X749" s="75"/>
    </row>
    <row r="750">
      <c r="A750" s="17"/>
      <c r="B750" s="17"/>
      <c r="C750" s="133"/>
      <c r="D750" s="133"/>
      <c r="E750" s="17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4"/>
      <c r="Q750" s="146"/>
      <c r="R750" s="17"/>
      <c r="S750" s="17"/>
      <c r="T750" s="75"/>
      <c r="U750" s="75"/>
      <c r="V750" s="75"/>
      <c r="W750" s="75"/>
      <c r="X750" s="75"/>
    </row>
    <row r="751">
      <c r="A751" s="17"/>
      <c r="B751" s="17"/>
      <c r="C751" s="133"/>
      <c r="D751" s="133"/>
      <c r="E751" s="17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4"/>
      <c r="Q751" s="146"/>
      <c r="R751" s="17"/>
      <c r="S751" s="17"/>
      <c r="T751" s="75"/>
      <c r="U751" s="75"/>
      <c r="V751" s="75"/>
      <c r="W751" s="75"/>
      <c r="X751" s="75"/>
    </row>
    <row r="752">
      <c r="A752" s="17"/>
      <c r="B752" s="17"/>
      <c r="C752" s="133"/>
      <c r="D752" s="133"/>
      <c r="E752" s="17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4"/>
      <c r="Q752" s="146"/>
      <c r="R752" s="17"/>
      <c r="S752" s="17"/>
      <c r="T752" s="75"/>
      <c r="U752" s="75"/>
      <c r="V752" s="75"/>
      <c r="W752" s="75"/>
      <c r="X752" s="75"/>
    </row>
    <row r="753">
      <c r="A753" s="17"/>
      <c r="B753" s="17"/>
      <c r="C753" s="133"/>
      <c r="D753" s="133"/>
      <c r="E753" s="17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4"/>
      <c r="Q753" s="146"/>
      <c r="R753" s="17"/>
      <c r="S753" s="17"/>
      <c r="T753" s="75"/>
      <c r="U753" s="75"/>
      <c r="V753" s="75"/>
      <c r="W753" s="75"/>
      <c r="X753" s="75"/>
    </row>
    <row r="754">
      <c r="A754" s="17"/>
      <c r="B754" s="17"/>
      <c r="C754" s="133"/>
      <c r="D754" s="133"/>
      <c r="E754" s="17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4"/>
      <c r="Q754" s="146"/>
      <c r="R754" s="17"/>
      <c r="S754" s="17"/>
      <c r="T754" s="75"/>
      <c r="U754" s="75"/>
      <c r="V754" s="75"/>
      <c r="W754" s="75"/>
      <c r="X754" s="75"/>
    </row>
    <row r="755">
      <c r="A755" s="17"/>
      <c r="B755" s="17"/>
      <c r="C755" s="133"/>
      <c r="D755" s="133"/>
      <c r="E755" s="17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4"/>
      <c r="Q755" s="146"/>
      <c r="R755" s="17"/>
      <c r="S755" s="17"/>
      <c r="T755" s="75"/>
      <c r="U755" s="75"/>
      <c r="V755" s="75"/>
      <c r="W755" s="75"/>
      <c r="X755" s="75"/>
    </row>
    <row r="756">
      <c r="A756" s="17"/>
      <c r="B756" s="17"/>
      <c r="C756" s="133"/>
      <c r="D756" s="133"/>
      <c r="E756" s="17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4"/>
      <c r="Q756" s="146"/>
      <c r="R756" s="17"/>
      <c r="S756" s="17"/>
      <c r="T756" s="75"/>
      <c r="U756" s="75"/>
      <c r="V756" s="75"/>
      <c r="W756" s="75"/>
      <c r="X756" s="75"/>
    </row>
    <row r="757">
      <c r="A757" s="17"/>
      <c r="B757" s="17"/>
      <c r="C757" s="133"/>
      <c r="D757" s="133"/>
      <c r="E757" s="17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4"/>
      <c r="Q757" s="146"/>
      <c r="R757" s="17"/>
      <c r="S757" s="17"/>
      <c r="T757" s="75"/>
      <c r="U757" s="75"/>
      <c r="V757" s="75"/>
      <c r="W757" s="75"/>
      <c r="X757" s="75"/>
    </row>
    <row r="758">
      <c r="A758" s="17"/>
      <c r="B758" s="17"/>
      <c r="C758" s="133"/>
      <c r="D758" s="133"/>
      <c r="E758" s="17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4"/>
      <c r="Q758" s="146"/>
      <c r="R758" s="17"/>
      <c r="S758" s="17"/>
      <c r="T758" s="75"/>
      <c r="U758" s="75"/>
      <c r="V758" s="75"/>
      <c r="W758" s="75"/>
      <c r="X758" s="75"/>
    </row>
    <row r="759">
      <c r="A759" s="17"/>
      <c r="B759" s="17"/>
      <c r="C759" s="133"/>
      <c r="D759" s="133"/>
      <c r="E759" s="17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4"/>
      <c r="Q759" s="146"/>
      <c r="R759" s="17"/>
      <c r="S759" s="17"/>
      <c r="T759" s="75"/>
      <c r="U759" s="75"/>
      <c r="V759" s="75"/>
      <c r="W759" s="75"/>
      <c r="X759" s="75"/>
    </row>
    <row r="760">
      <c r="A760" s="17"/>
      <c r="B760" s="17"/>
      <c r="C760" s="133"/>
      <c r="D760" s="133"/>
      <c r="E760" s="17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4"/>
      <c r="Q760" s="146"/>
      <c r="R760" s="17"/>
      <c r="S760" s="17"/>
      <c r="T760" s="75"/>
      <c r="U760" s="75"/>
      <c r="V760" s="75"/>
      <c r="W760" s="75"/>
      <c r="X760" s="75"/>
    </row>
    <row r="761">
      <c r="A761" s="17"/>
      <c r="B761" s="17"/>
      <c r="C761" s="133"/>
      <c r="D761" s="133"/>
      <c r="E761" s="17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4"/>
      <c r="Q761" s="146"/>
      <c r="R761" s="17"/>
      <c r="S761" s="17"/>
      <c r="T761" s="75"/>
      <c r="U761" s="75"/>
      <c r="V761" s="75"/>
      <c r="W761" s="75"/>
      <c r="X761" s="75"/>
    </row>
    <row r="762">
      <c r="A762" s="17"/>
      <c r="B762" s="17"/>
      <c r="C762" s="133"/>
      <c r="D762" s="133"/>
      <c r="E762" s="17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4"/>
      <c r="Q762" s="146"/>
      <c r="R762" s="17"/>
      <c r="S762" s="17"/>
      <c r="T762" s="75"/>
      <c r="U762" s="75"/>
      <c r="V762" s="75"/>
      <c r="W762" s="75"/>
      <c r="X762" s="75"/>
    </row>
    <row r="763">
      <c r="A763" s="17"/>
      <c r="B763" s="17"/>
      <c r="C763" s="133"/>
      <c r="D763" s="133"/>
      <c r="E763" s="17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4"/>
      <c r="Q763" s="146"/>
      <c r="R763" s="17"/>
      <c r="S763" s="17"/>
      <c r="T763" s="75"/>
      <c r="U763" s="75"/>
      <c r="V763" s="75"/>
      <c r="W763" s="75"/>
      <c r="X763" s="75"/>
    </row>
    <row r="764">
      <c r="A764" s="17"/>
      <c r="B764" s="17"/>
      <c r="C764" s="133"/>
      <c r="D764" s="133"/>
      <c r="E764" s="17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4"/>
      <c r="Q764" s="146"/>
      <c r="R764" s="17"/>
      <c r="S764" s="17"/>
      <c r="T764" s="75"/>
      <c r="U764" s="75"/>
      <c r="V764" s="75"/>
      <c r="W764" s="75"/>
      <c r="X764" s="75"/>
    </row>
    <row r="765">
      <c r="A765" s="17"/>
      <c r="B765" s="17"/>
      <c r="C765" s="133"/>
      <c r="D765" s="133"/>
      <c r="E765" s="17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4"/>
      <c r="Q765" s="146"/>
      <c r="R765" s="17"/>
      <c r="S765" s="17"/>
      <c r="T765" s="75"/>
      <c r="U765" s="75"/>
      <c r="V765" s="75"/>
      <c r="W765" s="75"/>
      <c r="X765" s="75"/>
    </row>
    <row r="766">
      <c r="A766" s="17"/>
      <c r="B766" s="17"/>
      <c r="C766" s="133"/>
      <c r="D766" s="133"/>
      <c r="E766" s="17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4"/>
      <c r="Q766" s="146"/>
      <c r="R766" s="17"/>
      <c r="S766" s="17"/>
      <c r="T766" s="75"/>
      <c r="U766" s="75"/>
      <c r="V766" s="75"/>
      <c r="W766" s="75"/>
      <c r="X766" s="75"/>
    </row>
    <row r="767">
      <c r="A767" s="17"/>
      <c r="B767" s="17"/>
      <c r="C767" s="133"/>
      <c r="D767" s="133"/>
      <c r="E767" s="17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4"/>
      <c r="Q767" s="146"/>
      <c r="R767" s="17"/>
      <c r="S767" s="17"/>
      <c r="T767" s="75"/>
      <c r="U767" s="75"/>
      <c r="V767" s="75"/>
      <c r="W767" s="75"/>
      <c r="X767" s="75"/>
    </row>
    <row r="768">
      <c r="A768" s="17"/>
      <c r="B768" s="17"/>
      <c r="C768" s="133"/>
      <c r="D768" s="133"/>
      <c r="E768" s="17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4"/>
      <c r="Q768" s="146"/>
      <c r="R768" s="17"/>
      <c r="S768" s="17"/>
      <c r="T768" s="75"/>
      <c r="U768" s="75"/>
      <c r="V768" s="75"/>
      <c r="W768" s="75"/>
      <c r="X768" s="75"/>
    </row>
    <row r="769">
      <c r="A769" s="17"/>
      <c r="B769" s="17"/>
      <c r="C769" s="133"/>
      <c r="D769" s="133"/>
      <c r="E769" s="17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4"/>
      <c r="Q769" s="146"/>
      <c r="R769" s="17"/>
      <c r="S769" s="17"/>
      <c r="T769" s="75"/>
      <c r="U769" s="75"/>
      <c r="V769" s="75"/>
      <c r="W769" s="75"/>
      <c r="X769" s="75"/>
    </row>
    <row r="770">
      <c r="A770" s="17"/>
      <c r="B770" s="17"/>
      <c r="C770" s="133"/>
      <c r="D770" s="133"/>
      <c r="E770" s="17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4"/>
      <c r="Q770" s="146"/>
      <c r="R770" s="17"/>
      <c r="S770" s="17"/>
      <c r="T770" s="75"/>
      <c r="U770" s="75"/>
      <c r="V770" s="75"/>
      <c r="W770" s="75"/>
      <c r="X770" s="75"/>
    </row>
    <row r="771">
      <c r="A771" s="17"/>
      <c r="B771" s="17"/>
      <c r="C771" s="133"/>
      <c r="D771" s="133"/>
      <c r="E771" s="17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4"/>
      <c r="Q771" s="146"/>
      <c r="R771" s="17"/>
      <c r="S771" s="17"/>
      <c r="T771" s="75"/>
      <c r="U771" s="75"/>
      <c r="V771" s="75"/>
      <c r="W771" s="75"/>
      <c r="X771" s="75"/>
    </row>
    <row r="772">
      <c r="A772" s="17"/>
      <c r="B772" s="17"/>
      <c r="C772" s="133"/>
      <c r="D772" s="133"/>
      <c r="E772" s="17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4"/>
      <c r="Q772" s="146"/>
      <c r="R772" s="17"/>
      <c r="S772" s="17"/>
      <c r="T772" s="75"/>
      <c r="U772" s="75"/>
      <c r="V772" s="75"/>
      <c r="W772" s="75"/>
      <c r="X772" s="75"/>
    </row>
    <row r="773">
      <c r="A773" s="17"/>
      <c r="B773" s="17"/>
      <c r="C773" s="133"/>
      <c r="D773" s="133"/>
      <c r="E773" s="17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4"/>
      <c r="Q773" s="146"/>
      <c r="R773" s="17"/>
      <c r="S773" s="17"/>
      <c r="T773" s="75"/>
      <c r="U773" s="75"/>
      <c r="V773" s="75"/>
      <c r="W773" s="75"/>
      <c r="X773" s="75"/>
    </row>
    <row r="774">
      <c r="A774" s="17"/>
      <c r="B774" s="17"/>
      <c r="C774" s="133"/>
      <c r="D774" s="133"/>
      <c r="E774" s="17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4"/>
      <c r="Q774" s="146"/>
      <c r="R774" s="17"/>
      <c r="S774" s="17"/>
      <c r="T774" s="75"/>
      <c r="U774" s="75"/>
      <c r="V774" s="75"/>
      <c r="W774" s="75"/>
      <c r="X774" s="75"/>
    </row>
    <row r="775">
      <c r="A775" s="17"/>
      <c r="B775" s="17"/>
      <c r="C775" s="133"/>
      <c r="D775" s="133"/>
      <c r="E775" s="17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4"/>
      <c r="Q775" s="146"/>
      <c r="R775" s="17"/>
      <c r="S775" s="17"/>
      <c r="T775" s="75"/>
      <c r="U775" s="75"/>
      <c r="V775" s="75"/>
      <c r="W775" s="75"/>
      <c r="X775" s="75"/>
    </row>
    <row r="776">
      <c r="A776" s="17"/>
      <c r="B776" s="17"/>
      <c r="C776" s="133"/>
      <c r="D776" s="133"/>
      <c r="E776" s="17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4"/>
      <c r="Q776" s="146"/>
      <c r="R776" s="17"/>
      <c r="S776" s="17"/>
      <c r="T776" s="75"/>
      <c r="U776" s="75"/>
      <c r="V776" s="75"/>
      <c r="W776" s="75"/>
      <c r="X776" s="75"/>
    </row>
    <row r="777">
      <c r="A777" s="17"/>
      <c r="B777" s="17"/>
      <c r="C777" s="133"/>
      <c r="D777" s="133"/>
      <c r="E777" s="17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4"/>
      <c r="Q777" s="146"/>
      <c r="R777" s="17"/>
      <c r="S777" s="17"/>
      <c r="T777" s="75"/>
      <c r="U777" s="75"/>
      <c r="V777" s="75"/>
      <c r="W777" s="75"/>
      <c r="X777" s="75"/>
    </row>
    <row r="778">
      <c r="A778" s="17"/>
      <c r="B778" s="17"/>
      <c r="C778" s="133"/>
      <c r="D778" s="133"/>
      <c r="E778" s="17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4"/>
      <c r="Q778" s="146"/>
      <c r="R778" s="17"/>
      <c r="S778" s="17"/>
      <c r="T778" s="75"/>
      <c r="U778" s="75"/>
      <c r="V778" s="75"/>
      <c r="W778" s="75"/>
      <c r="X778" s="75"/>
    </row>
    <row r="779">
      <c r="A779" s="17"/>
      <c r="B779" s="17"/>
      <c r="C779" s="133"/>
      <c r="D779" s="133"/>
      <c r="E779" s="17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4"/>
      <c r="Q779" s="146"/>
      <c r="R779" s="17"/>
      <c r="S779" s="17"/>
      <c r="T779" s="75"/>
      <c r="U779" s="75"/>
      <c r="V779" s="75"/>
      <c r="W779" s="75"/>
      <c r="X779" s="75"/>
    </row>
    <row r="780">
      <c r="A780" s="17"/>
      <c r="B780" s="17"/>
      <c r="C780" s="133"/>
      <c r="D780" s="133"/>
      <c r="E780" s="17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4"/>
      <c r="Q780" s="146"/>
      <c r="R780" s="17"/>
      <c r="S780" s="17"/>
      <c r="T780" s="75"/>
      <c r="U780" s="75"/>
      <c r="V780" s="75"/>
      <c r="W780" s="75"/>
      <c r="X780" s="75"/>
    </row>
    <row r="781">
      <c r="A781" s="17"/>
      <c r="B781" s="17"/>
      <c r="C781" s="133"/>
      <c r="D781" s="133"/>
      <c r="E781" s="17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4"/>
      <c r="Q781" s="146"/>
      <c r="R781" s="17"/>
      <c r="S781" s="17"/>
      <c r="T781" s="75"/>
      <c r="U781" s="75"/>
      <c r="V781" s="75"/>
      <c r="W781" s="75"/>
      <c r="X781" s="75"/>
    </row>
    <row r="782">
      <c r="A782" s="17"/>
      <c r="B782" s="17"/>
      <c r="C782" s="133"/>
      <c r="D782" s="133"/>
      <c r="E782" s="17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4"/>
      <c r="Q782" s="146"/>
      <c r="R782" s="17"/>
      <c r="S782" s="17"/>
      <c r="T782" s="75"/>
      <c r="U782" s="75"/>
      <c r="V782" s="75"/>
      <c r="W782" s="75"/>
      <c r="X782" s="75"/>
    </row>
    <row r="783">
      <c r="A783" s="17"/>
      <c r="B783" s="17"/>
      <c r="C783" s="133"/>
      <c r="D783" s="133"/>
      <c r="E783" s="17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4"/>
      <c r="Q783" s="146"/>
      <c r="R783" s="17"/>
      <c r="S783" s="17"/>
      <c r="T783" s="75"/>
      <c r="U783" s="75"/>
      <c r="V783" s="75"/>
      <c r="W783" s="75"/>
      <c r="X783" s="75"/>
    </row>
    <row r="784">
      <c r="A784" s="17"/>
      <c r="B784" s="17"/>
      <c r="C784" s="133"/>
      <c r="D784" s="133"/>
      <c r="E784" s="17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4"/>
      <c r="Q784" s="146"/>
      <c r="R784" s="17"/>
      <c r="S784" s="17"/>
      <c r="T784" s="75"/>
      <c r="U784" s="75"/>
      <c r="V784" s="75"/>
      <c r="W784" s="75"/>
      <c r="X784" s="75"/>
    </row>
    <row r="785">
      <c r="A785" s="17"/>
      <c r="B785" s="17"/>
      <c r="C785" s="133"/>
      <c r="D785" s="133"/>
      <c r="E785" s="17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4"/>
      <c r="Q785" s="146"/>
      <c r="R785" s="17"/>
      <c r="S785" s="17"/>
      <c r="T785" s="75"/>
      <c r="U785" s="75"/>
      <c r="V785" s="75"/>
      <c r="W785" s="75"/>
      <c r="X785" s="75"/>
    </row>
    <row r="786">
      <c r="A786" s="17"/>
      <c r="B786" s="17"/>
      <c r="C786" s="133"/>
      <c r="D786" s="133"/>
      <c r="E786" s="17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4"/>
      <c r="Q786" s="146"/>
      <c r="R786" s="17"/>
      <c r="S786" s="17"/>
      <c r="T786" s="75"/>
      <c r="U786" s="75"/>
      <c r="V786" s="75"/>
      <c r="W786" s="75"/>
      <c r="X786" s="75"/>
    </row>
    <row r="787">
      <c r="A787" s="17"/>
      <c r="B787" s="17"/>
      <c r="C787" s="133"/>
      <c r="D787" s="133"/>
      <c r="E787" s="17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4"/>
      <c r="Q787" s="146"/>
      <c r="R787" s="17"/>
      <c r="S787" s="17"/>
      <c r="T787" s="75"/>
      <c r="U787" s="75"/>
      <c r="V787" s="75"/>
      <c r="W787" s="75"/>
      <c r="X787" s="75"/>
    </row>
    <row r="788">
      <c r="A788" s="17"/>
      <c r="B788" s="17"/>
      <c r="C788" s="133"/>
      <c r="D788" s="133"/>
      <c r="E788" s="17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4"/>
      <c r="Q788" s="146"/>
      <c r="R788" s="17"/>
      <c r="S788" s="17"/>
      <c r="T788" s="75"/>
      <c r="U788" s="75"/>
      <c r="V788" s="75"/>
      <c r="W788" s="75"/>
      <c r="X788" s="75"/>
    </row>
    <row r="789">
      <c r="A789" s="17"/>
      <c r="B789" s="17"/>
      <c r="C789" s="133"/>
      <c r="D789" s="133"/>
      <c r="E789" s="17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4"/>
      <c r="Q789" s="146"/>
      <c r="R789" s="17"/>
      <c r="S789" s="17"/>
      <c r="T789" s="75"/>
      <c r="U789" s="75"/>
      <c r="V789" s="75"/>
      <c r="W789" s="75"/>
      <c r="X789" s="75"/>
    </row>
    <row r="790">
      <c r="A790" s="17"/>
      <c r="B790" s="17"/>
      <c r="C790" s="133"/>
      <c r="D790" s="133"/>
      <c r="E790" s="17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4"/>
      <c r="Q790" s="146"/>
      <c r="R790" s="17"/>
      <c r="S790" s="17"/>
      <c r="T790" s="75"/>
      <c r="U790" s="75"/>
      <c r="V790" s="75"/>
      <c r="W790" s="75"/>
      <c r="X790" s="75"/>
    </row>
    <row r="791">
      <c r="A791" s="17"/>
      <c r="B791" s="17"/>
      <c r="C791" s="133"/>
      <c r="D791" s="133"/>
      <c r="E791" s="17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4"/>
      <c r="Q791" s="146"/>
      <c r="R791" s="17"/>
      <c r="S791" s="17"/>
      <c r="T791" s="75"/>
      <c r="U791" s="75"/>
      <c r="V791" s="75"/>
      <c r="W791" s="75"/>
      <c r="X791" s="75"/>
    </row>
    <row r="792">
      <c r="A792" s="17"/>
      <c r="B792" s="17"/>
      <c r="C792" s="133"/>
      <c r="D792" s="133"/>
      <c r="E792" s="17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4"/>
      <c r="Q792" s="146"/>
      <c r="R792" s="17"/>
      <c r="S792" s="17"/>
      <c r="T792" s="75"/>
      <c r="U792" s="75"/>
      <c r="V792" s="75"/>
      <c r="W792" s="75"/>
      <c r="X792" s="75"/>
    </row>
    <row r="793">
      <c r="A793" s="17"/>
      <c r="B793" s="17"/>
      <c r="C793" s="133"/>
      <c r="D793" s="133"/>
      <c r="E793" s="17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4"/>
      <c r="Q793" s="146"/>
      <c r="R793" s="17"/>
      <c r="S793" s="17"/>
      <c r="T793" s="75"/>
      <c r="U793" s="75"/>
      <c r="V793" s="75"/>
      <c r="W793" s="75"/>
      <c r="X793" s="75"/>
    </row>
    <row r="794">
      <c r="A794" s="17"/>
      <c r="B794" s="17"/>
      <c r="C794" s="133"/>
      <c r="D794" s="133"/>
      <c r="E794" s="17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4"/>
      <c r="Q794" s="146"/>
      <c r="R794" s="17"/>
      <c r="S794" s="17"/>
      <c r="T794" s="75"/>
      <c r="U794" s="75"/>
      <c r="V794" s="75"/>
      <c r="W794" s="75"/>
      <c r="X794" s="75"/>
    </row>
    <row r="795">
      <c r="A795" s="17"/>
      <c r="B795" s="17"/>
      <c r="C795" s="133"/>
      <c r="D795" s="133"/>
      <c r="E795" s="17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4"/>
      <c r="Q795" s="146"/>
      <c r="R795" s="17"/>
      <c r="S795" s="17"/>
      <c r="T795" s="75"/>
      <c r="U795" s="75"/>
      <c r="V795" s="75"/>
      <c r="W795" s="75"/>
      <c r="X795" s="75"/>
    </row>
    <row r="796">
      <c r="A796" s="17"/>
      <c r="B796" s="17"/>
      <c r="C796" s="133"/>
      <c r="D796" s="133"/>
      <c r="E796" s="17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4"/>
      <c r="Q796" s="146"/>
      <c r="R796" s="17"/>
      <c r="S796" s="17"/>
      <c r="T796" s="75"/>
      <c r="U796" s="75"/>
      <c r="V796" s="75"/>
      <c r="W796" s="75"/>
      <c r="X796" s="75"/>
    </row>
    <row r="797">
      <c r="A797" s="17"/>
      <c r="B797" s="17"/>
      <c r="C797" s="133"/>
      <c r="D797" s="133"/>
      <c r="E797" s="17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4"/>
      <c r="Q797" s="146"/>
      <c r="R797" s="17"/>
      <c r="S797" s="17"/>
      <c r="T797" s="75"/>
      <c r="U797" s="75"/>
      <c r="V797" s="75"/>
      <c r="W797" s="75"/>
      <c r="X797" s="75"/>
    </row>
    <row r="798">
      <c r="A798" s="17"/>
      <c r="B798" s="17"/>
      <c r="C798" s="133"/>
      <c r="D798" s="133"/>
      <c r="E798" s="17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4"/>
      <c r="Q798" s="146"/>
      <c r="R798" s="17"/>
      <c r="S798" s="17"/>
      <c r="T798" s="75"/>
      <c r="U798" s="75"/>
      <c r="V798" s="75"/>
      <c r="W798" s="75"/>
      <c r="X798" s="75"/>
    </row>
    <row r="799">
      <c r="A799" s="17"/>
      <c r="B799" s="17"/>
      <c r="C799" s="133"/>
      <c r="D799" s="133"/>
      <c r="E799" s="17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4"/>
      <c r="Q799" s="146"/>
      <c r="R799" s="17"/>
      <c r="S799" s="17"/>
      <c r="T799" s="75"/>
      <c r="U799" s="75"/>
      <c r="V799" s="75"/>
      <c r="W799" s="75"/>
      <c r="X799" s="75"/>
    </row>
    <row r="800">
      <c r="A800" s="17"/>
      <c r="B800" s="17"/>
      <c r="C800" s="133"/>
      <c r="D800" s="133"/>
      <c r="E800" s="17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4"/>
      <c r="Q800" s="146"/>
      <c r="R800" s="17"/>
      <c r="S800" s="17"/>
      <c r="T800" s="75"/>
      <c r="U800" s="75"/>
      <c r="V800" s="75"/>
      <c r="W800" s="75"/>
      <c r="X800" s="75"/>
    </row>
    <row r="801">
      <c r="A801" s="17"/>
      <c r="B801" s="17"/>
      <c r="C801" s="133"/>
      <c r="D801" s="133"/>
      <c r="E801" s="17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4"/>
      <c r="Q801" s="146"/>
      <c r="R801" s="17"/>
      <c r="S801" s="17"/>
      <c r="T801" s="75"/>
      <c r="U801" s="75"/>
      <c r="V801" s="75"/>
      <c r="W801" s="75"/>
      <c r="X801" s="75"/>
    </row>
    <row r="802">
      <c r="A802" s="17"/>
      <c r="B802" s="17"/>
      <c r="C802" s="133"/>
      <c r="D802" s="133"/>
      <c r="E802" s="17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4"/>
      <c r="Q802" s="146"/>
      <c r="R802" s="17"/>
      <c r="S802" s="17"/>
      <c r="T802" s="75"/>
      <c r="U802" s="75"/>
      <c r="V802" s="75"/>
      <c r="W802" s="75"/>
      <c r="X802" s="75"/>
    </row>
    <row r="803">
      <c r="A803" s="17"/>
      <c r="B803" s="17"/>
      <c r="C803" s="133"/>
      <c r="D803" s="133"/>
      <c r="E803" s="17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4"/>
      <c r="Q803" s="146"/>
      <c r="R803" s="17"/>
      <c r="S803" s="17"/>
      <c r="T803" s="75"/>
      <c r="U803" s="75"/>
      <c r="V803" s="75"/>
      <c r="W803" s="75"/>
      <c r="X803" s="75"/>
    </row>
    <row r="804">
      <c r="A804" s="17"/>
      <c r="B804" s="17"/>
      <c r="C804" s="133"/>
      <c r="D804" s="133"/>
      <c r="E804" s="17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4"/>
      <c r="Q804" s="146"/>
      <c r="R804" s="17"/>
      <c r="S804" s="17"/>
      <c r="T804" s="75"/>
      <c r="U804" s="75"/>
      <c r="V804" s="75"/>
      <c r="W804" s="75"/>
      <c r="X804" s="75"/>
    </row>
    <row r="805">
      <c r="A805" s="17"/>
      <c r="B805" s="17"/>
      <c r="C805" s="133"/>
      <c r="D805" s="133"/>
      <c r="E805" s="17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4"/>
      <c r="Q805" s="146"/>
      <c r="R805" s="17"/>
      <c r="S805" s="17"/>
      <c r="T805" s="75"/>
      <c r="U805" s="75"/>
      <c r="V805" s="75"/>
      <c r="W805" s="75"/>
      <c r="X805" s="75"/>
    </row>
    <row r="806">
      <c r="A806" s="17"/>
      <c r="B806" s="17"/>
      <c r="C806" s="133"/>
      <c r="D806" s="133"/>
      <c r="E806" s="17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4"/>
      <c r="Q806" s="146"/>
      <c r="R806" s="17"/>
      <c r="S806" s="17"/>
      <c r="T806" s="75"/>
      <c r="U806" s="75"/>
      <c r="V806" s="75"/>
      <c r="W806" s="75"/>
      <c r="X806" s="75"/>
    </row>
    <row r="807">
      <c r="A807" s="17"/>
      <c r="B807" s="17"/>
      <c r="C807" s="133"/>
      <c r="D807" s="133"/>
      <c r="E807" s="17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4"/>
      <c r="Q807" s="146"/>
      <c r="R807" s="17"/>
      <c r="S807" s="17"/>
      <c r="T807" s="75"/>
      <c r="U807" s="75"/>
      <c r="V807" s="75"/>
      <c r="W807" s="75"/>
      <c r="X807" s="75"/>
    </row>
    <row r="808">
      <c r="A808" s="17"/>
      <c r="B808" s="17"/>
      <c r="C808" s="133"/>
      <c r="D808" s="133"/>
      <c r="E808" s="17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4"/>
      <c r="Q808" s="146"/>
      <c r="R808" s="17"/>
      <c r="S808" s="17"/>
      <c r="T808" s="75"/>
      <c r="U808" s="75"/>
      <c r="V808" s="75"/>
      <c r="W808" s="75"/>
      <c r="X808" s="75"/>
    </row>
    <row r="809">
      <c r="A809" s="17"/>
      <c r="B809" s="17"/>
      <c r="C809" s="133"/>
      <c r="D809" s="133"/>
      <c r="E809" s="17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4"/>
      <c r="Q809" s="146"/>
      <c r="R809" s="17"/>
      <c r="S809" s="17"/>
      <c r="T809" s="75"/>
      <c r="U809" s="75"/>
      <c r="V809" s="75"/>
      <c r="W809" s="75"/>
      <c r="X809" s="75"/>
    </row>
    <row r="810">
      <c r="A810" s="17"/>
      <c r="B810" s="17"/>
      <c r="C810" s="133"/>
      <c r="D810" s="133"/>
      <c r="E810" s="17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4"/>
      <c r="Q810" s="146"/>
      <c r="R810" s="17"/>
      <c r="S810" s="17"/>
      <c r="T810" s="75"/>
      <c r="U810" s="75"/>
      <c r="V810" s="75"/>
      <c r="W810" s="75"/>
      <c r="X810" s="75"/>
    </row>
    <row r="811">
      <c r="A811" s="17"/>
      <c r="B811" s="17"/>
      <c r="C811" s="133"/>
      <c r="D811" s="133"/>
      <c r="E811" s="17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4"/>
      <c r="Q811" s="146"/>
      <c r="R811" s="17"/>
      <c r="S811" s="17"/>
      <c r="T811" s="75"/>
      <c r="U811" s="75"/>
      <c r="V811" s="75"/>
      <c r="W811" s="75"/>
      <c r="X811" s="75"/>
    </row>
    <row r="812">
      <c r="A812" s="17"/>
      <c r="B812" s="17"/>
      <c r="C812" s="133"/>
      <c r="D812" s="133"/>
      <c r="E812" s="17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4"/>
      <c r="Q812" s="146"/>
      <c r="R812" s="17"/>
      <c r="S812" s="17"/>
      <c r="T812" s="75"/>
      <c r="U812" s="75"/>
      <c r="V812" s="75"/>
      <c r="W812" s="75"/>
      <c r="X812" s="75"/>
    </row>
    <row r="813">
      <c r="A813" s="17"/>
      <c r="B813" s="17"/>
      <c r="C813" s="133"/>
      <c r="D813" s="133"/>
      <c r="E813" s="17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4"/>
      <c r="Q813" s="146"/>
      <c r="R813" s="17"/>
      <c r="S813" s="17"/>
      <c r="T813" s="75"/>
      <c r="U813" s="75"/>
      <c r="V813" s="75"/>
      <c r="W813" s="75"/>
      <c r="X813" s="75"/>
    </row>
    <row r="814">
      <c r="A814" s="17"/>
      <c r="B814" s="17"/>
      <c r="C814" s="133"/>
      <c r="D814" s="133"/>
      <c r="E814" s="17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4"/>
      <c r="Q814" s="146"/>
      <c r="R814" s="17"/>
      <c r="S814" s="17"/>
      <c r="T814" s="75"/>
      <c r="U814" s="75"/>
      <c r="V814" s="75"/>
      <c r="W814" s="75"/>
      <c r="X814" s="75"/>
    </row>
    <row r="815">
      <c r="A815" s="17"/>
      <c r="B815" s="17"/>
      <c r="C815" s="133"/>
      <c r="D815" s="133"/>
      <c r="E815" s="17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4"/>
      <c r="Q815" s="146"/>
      <c r="R815" s="17"/>
      <c r="S815" s="17"/>
      <c r="T815" s="75"/>
      <c r="U815" s="75"/>
      <c r="V815" s="75"/>
      <c r="W815" s="75"/>
      <c r="X815" s="75"/>
    </row>
    <row r="816">
      <c r="A816" s="17"/>
      <c r="B816" s="17"/>
      <c r="C816" s="133"/>
      <c r="D816" s="133"/>
      <c r="E816" s="17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4"/>
      <c r="Q816" s="146"/>
      <c r="R816" s="17"/>
      <c r="S816" s="17"/>
      <c r="T816" s="75"/>
      <c r="U816" s="75"/>
      <c r="V816" s="75"/>
      <c r="W816" s="75"/>
      <c r="X816" s="75"/>
    </row>
    <row r="817">
      <c r="A817" s="17"/>
      <c r="B817" s="17"/>
      <c r="C817" s="133"/>
      <c r="D817" s="133"/>
      <c r="E817" s="17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4"/>
      <c r="Q817" s="146"/>
      <c r="R817" s="17"/>
      <c r="S817" s="17"/>
      <c r="T817" s="75"/>
      <c r="U817" s="75"/>
      <c r="V817" s="75"/>
      <c r="W817" s="75"/>
      <c r="X817" s="75"/>
    </row>
    <row r="818">
      <c r="A818" s="17"/>
      <c r="B818" s="17"/>
      <c r="C818" s="133"/>
      <c r="D818" s="133"/>
      <c r="E818" s="17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4"/>
      <c r="Q818" s="146"/>
      <c r="R818" s="17"/>
      <c r="S818" s="17"/>
      <c r="T818" s="75"/>
      <c r="U818" s="75"/>
      <c r="V818" s="75"/>
      <c r="W818" s="75"/>
      <c r="X818" s="75"/>
    </row>
    <row r="819">
      <c r="A819" s="17"/>
      <c r="B819" s="17"/>
      <c r="C819" s="133"/>
      <c r="D819" s="133"/>
      <c r="E819" s="17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4"/>
      <c r="Q819" s="146"/>
      <c r="R819" s="17"/>
      <c r="S819" s="17"/>
      <c r="T819" s="75"/>
      <c r="U819" s="75"/>
      <c r="V819" s="75"/>
      <c r="W819" s="75"/>
      <c r="X819" s="75"/>
    </row>
    <row r="820">
      <c r="A820" s="17"/>
      <c r="B820" s="17"/>
      <c r="C820" s="133"/>
      <c r="D820" s="133"/>
      <c r="E820" s="17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4"/>
      <c r="Q820" s="146"/>
      <c r="R820" s="17"/>
      <c r="S820" s="17"/>
      <c r="T820" s="75"/>
      <c r="U820" s="75"/>
      <c r="V820" s="75"/>
      <c r="W820" s="75"/>
      <c r="X820" s="75"/>
    </row>
    <row r="821">
      <c r="A821" s="17"/>
      <c r="B821" s="17"/>
      <c r="C821" s="133"/>
      <c r="D821" s="133"/>
      <c r="E821" s="17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4"/>
      <c r="Q821" s="146"/>
      <c r="R821" s="17"/>
      <c r="S821" s="17"/>
      <c r="T821" s="75"/>
      <c r="U821" s="75"/>
      <c r="V821" s="75"/>
      <c r="W821" s="75"/>
      <c r="X821" s="75"/>
    </row>
    <row r="822">
      <c r="A822" s="17"/>
      <c r="B822" s="17"/>
      <c r="C822" s="133"/>
      <c r="D822" s="133"/>
      <c r="E822" s="17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4"/>
      <c r="Q822" s="146"/>
      <c r="R822" s="17"/>
      <c r="S822" s="17"/>
      <c r="T822" s="75"/>
      <c r="U822" s="75"/>
      <c r="V822" s="75"/>
      <c r="W822" s="75"/>
      <c r="X822" s="75"/>
    </row>
    <row r="823">
      <c r="A823" s="17"/>
      <c r="B823" s="17"/>
      <c r="C823" s="133"/>
      <c r="D823" s="133"/>
      <c r="E823" s="17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4"/>
      <c r="Q823" s="146"/>
      <c r="R823" s="17"/>
      <c r="S823" s="17"/>
      <c r="T823" s="75"/>
      <c r="U823" s="75"/>
      <c r="V823" s="75"/>
      <c r="W823" s="75"/>
      <c r="X823" s="75"/>
    </row>
    <row r="824">
      <c r="A824" s="17"/>
      <c r="B824" s="17"/>
      <c r="C824" s="133"/>
      <c r="D824" s="133"/>
      <c r="E824" s="17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4"/>
      <c r="Q824" s="146"/>
      <c r="R824" s="17"/>
      <c r="S824" s="17"/>
      <c r="T824" s="75"/>
      <c r="U824" s="75"/>
      <c r="V824" s="75"/>
      <c r="W824" s="75"/>
      <c r="X824" s="75"/>
    </row>
    <row r="825">
      <c r="A825" s="17"/>
      <c r="B825" s="17"/>
      <c r="C825" s="133"/>
      <c r="D825" s="133"/>
      <c r="E825" s="17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4"/>
      <c r="Q825" s="146"/>
      <c r="R825" s="17"/>
      <c r="S825" s="17"/>
      <c r="T825" s="75"/>
      <c r="U825" s="75"/>
      <c r="V825" s="75"/>
      <c r="W825" s="75"/>
      <c r="X825" s="75"/>
    </row>
    <row r="826">
      <c r="A826" s="17"/>
      <c r="B826" s="17"/>
      <c r="C826" s="133"/>
      <c r="D826" s="133"/>
      <c r="E826" s="17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4"/>
      <c r="Q826" s="146"/>
      <c r="R826" s="17"/>
      <c r="S826" s="17"/>
      <c r="T826" s="75"/>
      <c r="U826" s="75"/>
      <c r="V826" s="75"/>
      <c r="W826" s="75"/>
      <c r="X826" s="75"/>
    </row>
    <row r="827">
      <c r="A827" s="17"/>
      <c r="B827" s="17"/>
      <c r="C827" s="133"/>
      <c r="D827" s="133"/>
      <c r="E827" s="17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4"/>
      <c r="Q827" s="146"/>
      <c r="R827" s="17"/>
      <c r="S827" s="17"/>
      <c r="T827" s="75"/>
      <c r="U827" s="75"/>
      <c r="V827" s="75"/>
      <c r="W827" s="75"/>
      <c r="X827" s="75"/>
    </row>
    <row r="828">
      <c r="A828" s="17"/>
      <c r="B828" s="17"/>
      <c r="C828" s="133"/>
      <c r="D828" s="133"/>
      <c r="E828" s="17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4"/>
      <c r="Q828" s="146"/>
      <c r="R828" s="17"/>
      <c r="S828" s="17"/>
      <c r="T828" s="75"/>
      <c r="U828" s="75"/>
      <c r="V828" s="75"/>
      <c r="W828" s="75"/>
      <c r="X828" s="75"/>
    </row>
    <row r="829">
      <c r="A829" s="17"/>
      <c r="B829" s="17"/>
      <c r="C829" s="133"/>
      <c r="D829" s="133"/>
      <c r="E829" s="17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4"/>
      <c r="Q829" s="146"/>
      <c r="R829" s="17"/>
      <c r="S829" s="17"/>
      <c r="T829" s="75"/>
      <c r="U829" s="75"/>
      <c r="V829" s="75"/>
      <c r="W829" s="75"/>
      <c r="X829" s="75"/>
    </row>
    <row r="830">
      <c r="A830" s="17"/>
      <c r="B830" s="17"/>
      <c r="C830" s="133"/>
      <c r="D830" s="133"/>
      <c r="E830" s="17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4"/>
      <c r="Q830" s="146"/>
      <c r="R830" s="17"/>
      <c r="S830" s="17"/>
      <c r="T830" s="75"/>
      <c r="U830" s="75"/>
      <c r="V830" s="75"/>
      <c r="W830" s="75"/>
      <c r="X830" s="75"/>
    </row>
    <row r="831">
      <c r="A831" s="17"/>
      <c r="B831" s="17"/>
      <c r="C831" s="133"/>
      <c r="D831" s="133"/>
      <c r="E831" s="17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4"/>
      <c r="Q831" s="146"/>
      <c r="R831" s="17"/>
      <c r="S831" s="17"/>
      <c r="T831" s="75"/>
      <c r="U831" s="75"/>
      <c r="V831" s="75"/>
      <c r="W831" s="75"/>
      <c r="X831" s="75"/>
    </row>
    <row r="832">
      <c r="A832" s="17"/>
      <c r="B832" s="17"/>
      <c r="C832" s="133"/>
      <c r="D832" s="133"/>
      <c r="E832" s="17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4"/>
      <c r="Q832" s="146"/>
      <c r="R832" s="17"/>
      <c r="S832" s="17"/>
      <c r="T832" s="75"/>
      <c r="U832" s="75"/>
      <c r="V832" s="75"/>
      <c r="W832" s="75"/>
      <c r="X832" s="75"/>
    </row>
    <row r="833">
      <c r="A833" s="17"/>
      <c r="B833" s="17"/>
      <c r="C833" s="133"/>
      <c r="D833" s="133"/>
      <c r="E833" s="17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4"/>
      <c r="Q833" s="146"/>
      <c r="R833" s="17"/>
      <c r="S833" s="17"/>
      <c r="T833" s="75"/>
      <c r="U833" s="75"/>
      <c r="V833" s="75"/>
      <c r="W833" s="75"/>
      <c r="X833" s="75"/>
    </row>
    <row r="834">
      <c r="A834" s="17"/>
      <c r="B834" s="17"/>
      <c r="C834" s="133"/>
      <c r="D834" s="133"/>
      <c r="E834" s="17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4"/>
      <c r="Q834" s="146"/>
      <c r="R834" s="17"/>
      <c r="S834" s="17"/>
      <c r="T834" s="75"/>
      <c r="U834" s="75"/>
      <c r="V834" s="75"/>
      <c r="W834" s="75"/>
      <c r="X834" s="75"/>
    </row>
    <row r="835">
      <c r="A835" s="17"/>
      <c r="B835" s="17"/>
      <c r="C835" s="133"/>
      <c r="D835" s="133"/>
      <c r="E835" s="17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4"/>
      <c r="Q835" s="146"/>
      <c r="R835" s="17"/>
      <c r="S835" s="17"/>
      <c r="T835" s="75"/>
      <c r="U835" s="75"/>
      <c r="V835" s="75"/>
      <c r="W835" s="75"/>
      <c r="X835" s="75"/>
    </row>
    <row r="836">
      <c r="A836" s="17"/>
      <c r="B836" s="17"/>
      <c r="C836" s="133"/>
      <c r="D836" s="133"/>
      <c r="E836" s="17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4"/>
      <c r="Q836" s="146"/>
      <c r="R836" s="17"/>
      <c r="S836" s="17"/>
      <c r="T836" s="75"/>
      <c r="U836" s="75"/>
      <c r="V836" s="75"/>
      <c r="W836" s="75"/>
      <c r="X836" s="75"/>
    </row>
    <row r="837">
      <c r="A837" s="17"/>
      <c r="B837" s="17"/>
      <c r="C837" s="133"/>
      <c r="D837" s="133"/>
      <c r="E837" s="17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4"/>
      <c r="Q837" s="146"/>
      <c r="R837" s="17"/>
      <c r="S837" s="17"/>
      <c r="T837" s="75"/>
      <c r="U837" s="75"/>
      <c r="V837" s="75"/>
      <c r="W837" s="75"/>
      <c r="X837" s="75"/>
    </row>
    <row r="838">
      <c r="A838" s="17"/>
      <c r="B838" s="17"/>
      <c r="C838" s="133"/>
      <c r="D838" s="133"/>
      <c r="E838" s="17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4"/>
      <c r="Q838" s="146"/>
      <c r="R838" s="17"/>
      <c r="S838" s="17"/>
      <c r="T838" s="75"/>
      <c r="U838" s="75"/>
      <c r="V838" s="75"/>
      <c r="W838" s="75"/>
      <c r="X838" s="75"/>
    </row>
    <row r="839">
      <c r="A839" s="17"/>
      <c r="B839" s="17"/>
      <c r="C839" s="133"/>
      <c r="D839" s="133"/>
      <c r="E839" s="17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4"/>
      <c r="Q839" s="146"/>
      <c r="R839" s="17"/>
      <c r="S839" s="17"/>
      <c r="T839" s="75"/>
      <c r="U839" s="75"/>
      <c r="V839" s="75"/>
      <c r="W839" s="75"/>
      <c r="X839" s="75"/>
    </row>
    <row r="840">
      <c r="A840" s="17"/>
      <c r="B840" s="17"/>
      <c r="C840" s="133"/>
      <c r="D840" s="133"/>
      <c r="E840" s="17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4"/>
      <c r="Q840" s="146"/>
      <c r="R840" s="17"/>
      <c r="S840" s="17"/>
      <c r="T840" s="75"/>
      <c r="U840" s="75"/>
      <c r="V840" s="75"/>
      <c r="W840" s="75"/>
      <c r="X840" s="75"/>
    </row>
    <row r="841">
      <c r="A841" s="17"/>
      <c r="B841" s="17"/>
      <c r="C841" s="133"/>
      <c r="D841" s="133"/>
      <c r="E841" s="17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4"/>
      <c r="Q841" s="146"/>
      <c r="R841" s="17"/>
      <c r="S841" s="17"/>
      <c r="T841" s="75"/>
      <c r="U841" s="75"/>
      <c r="V841" s="75"/>
      <c r="W841" s="75"/>
      <c r="X841" s="75"/>
    </row>
    <row r="842">
      <c r="A842" s="17"/>
      <c r="B842" s="17"/>
      <c r="C842" s="133"/>
      <c r="D842" s="133"/>
      <c r="E842" s="17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4"/>
      <c r="Q842" s="146"/>
      <c r="R842" s="17"/>
      <c r="S842" s="17"/>
      <c r="T842" s="75"/>
      <c r="U842" s="75"/>
      <c r="V842" s="75"/>
      <c r="W842" s="75"/>
      <c r="X842" s="75"/>
    </row>
    <row r="843">
      <c r="A843" s="17"/>
      <c r="B843" s="17"/>
      <c r="C843" s="133"/>
      <c r="D843" s="133"/>
      <c r="E843" s="17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4"/>
      <c r="Q843" s="146"/>
      <c r="R843" s="17"/>
      <c r="S843" s="17"/>
      <c r="T843" s="75"/>
      <c r="U843" s="75"/>
      <c r="V843" s="75"/>
      <c r="W843" s="75"/>
      <c r="X843" s="75"/>
    </row>
    <row r="844">
      <c r="A844" s="17"/>
      <c r="B844" s="17"/>
      <c r="C844" s="133"/>
      <c r="D844" s="133"/>
      <c r="E844" s="17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4"/>
      <c r="Q844" s="146"/>
      <c r="R844" s="17"/>
      <c r="S844" s="17"/>
      <c r="T844" s="75"/>
      <c r="U844" s="75"/>
      <c r="V844" s="75"/>
      <c r="W844" s="75"/>
      <c r="X844" s="75"/>
    </row>
    <row r="845">
      <c r="A845" s="17"/>
      <c r="B845" s="17"/>
      <c r="C845" s="133"/>
      <c r="D845" s="133"/>
      <c r="E845" s="17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4"/>
      <c r="Q845" s="146"/>
      <c r="R845" s="17"/>
      <c r="S845" s="17"/>
      <c r="T845" s="75"/>
      <c r="U845" s="75"/>
      <c r="V845" s="75"/>
      <c r="W845" s="75"/>
      <c r="X845" s="75"/>
    </row>
    <row r="846">
      <c r="A846" s="17"/>
      <c r="B846" s="17"/>
      <c r="C846" s="133"/>
      <c r="D846" s="133"/>
      <c r="E846" s="17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4"/>
      <c r="Q846" s="146"/>
      <c r="R846" s="17"/>
      <c r="S846" s="17"/>
      <c r="T846" s="75"/>
      <c r="U846" s="75"/>
      <c r="V846" s="75"/>
      <c r="W846" s="75"/>
      <c r="X846" s="75"/>
    </row>
    <row r="847">
      <c r="A847" s="17"/>
      <c r="B847" s="17"/>
      <c r="C847" s="133"/>
      <c r="D847" s="133"/>
      <c r="E847" s="17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4"/>
      <c r="Q847" s="146"/>
      <c r="R847" s="17"/>
      <c r="S847" s="17"/>
      <c r="T847" s="75"/>
      <c r="U847" s="75"/>
      <c r="V847" s="75"/>
      <c r="W847" s="75"/>
      <c r="X847" s="75"/>
    </row>
    <row r="848">
      <c r="A848" s="17"/>
      <c r="B848" s="17"/>
      <c r="C848" s="133"/>
      <c r="D848" s="133"/>
      <c r="E848" s="17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4"/>
      <c r="Q848" s="146"/>
      <c r="R848" s="17"/>
      <c r="S848" s="17"/>
      <c r="T848" s="75"/>
      <c r="U848" s="75"/>
      <c r="V848" s="75"/>
      <c r="W848" s="75"/>
      <c r="X848" s="75"/>
    </row>
    <row r="849">
      <c r="A849" s="17"/>
      <c r="B849" s="17"/>
      <c r="C849" s="133"/>
      <c r="D849" s="133"/>
      <c r="E849" s="17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4"/>
      <c r="Q849" s="146"/>
      <c r="R849" s="17"/>
      <c r="S849" s="17"/>
      <c r="T849" s="75"/>
      <c r="U849" s="75"/>
      <c r="V849" s="75"/>
      <c r="W849" s="75"/>
      <c r="X849" s="75"/>
    </row>
    <row r="850">
      <c r="A850" s="17"/>
      <c r="B850" s="17"/>
      <c r="C850" s="133"/>
      <c r="D850" s="133"/>
      <c r="E850" s="17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4"/>
      <c r="Q850" s="146"/>
      <c r="R850" s="17"/>
      <c r="S850" s="17"/>
      <c r="T850" s="75"/>
      <c r="U850" s="75"/>
      <c r="V850" s="75"/>
      <c r="W850" s="75"/>
      <c r="X850" s="75"/>
    </row>
    <row r="851">
      <c r="A851" s="17"/>
      <c r="B851" s="17"/>
      <c r="C851" s="133"/>
      <c r="D851" s="133"/>
      <c r="E851" s="17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4"/>
      <c r="Q851" s="146"/>
      <c r="R851" s="17"/>
      <c r="S851" s="17"/>
      <c r="T851" s="75"/>
      <c r="U851" s="75"/>
      <c r="V851" s="75"/>
      <c r="W851" s="75"/>
      <c r="X851" s="75"/>
    </row>
    <row r="852">
      <c r="A852" s="17"/>
      <c r="B852" s="17"/>
      <c r="C852" s="133"/>
      <c r="D852" s="133"/>
      <c r="E852" s="17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4"/>
      <c r="Q852" s="146"/>
      <c r="R852" s="17"/>
      <c r="S852" s="17"/>
      <c r="T852" s="75"/>
      <c r="U852" s="75"/>
      <c r="V852" s="75"/>
      <c r="W852" s="75"/>
      <c r="X852" s="75"/>
    </row>
    <row r="853">
      <c r="A853" s="17"/>
      <c r="B853" s="17"/>
      <c r="C853" s="133"/>
      <c r="D853" s="133"/>
      <c r="E853" s="17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4"/>
      <c r="Q853" s="146"/>
      <c r="R853" s="17"/>
      <c r="S853" s="17"/>
      <c r="T853" s="75"/>
      <c r="U853" s="75"/>
      <c r="V853" s="75"/>
      <c r="W853" s="75"/>
      <c r="X853" s="75"/>
    </row>
    <row r="854">
      <c r="A854" s="17"/>
      <c r="B854" s="17"/>
      <c r="C854" s="133"/>
      <c r="D854" s="133"/>
      <c r="E854" s="17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4"/>
      <c r="Q854" s="146"/>
      <c r="R854" s="17"/>
      <c r="S854" s="17"/>
      <c r="T854" s="75"/>
      <c r="U854" s="75"/>
      <c r="V854" s="75"/>
      <c r="W854" s="75"/>
      <c r="X854" s="75"/>
    </row>
    <row r="855">
      <c r="A855" s="17"/>
      <c r="B855" s="17"/>
      <c r="C855" s="133"/>
      <c r="D855" s="133"/>
      <c r="E855" s="17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4"/>
      <c r="Q855" s="146"/>
      <c r="R855" s="17"/>
      <c r="S855" s="17"/>
      <c r="T855" s="75"/>
      <c r="U855" s="75"/>
      <c r="V855" s="75"/>
      <c r="W855" s="75"/>
      <c r="X855" s="75"/>
    </row>
    <row r="856">
      <c r="A856" s="17"/>
      <c r="B856" s="17"/>
      <c r="C856" s="133"/>
      <c r="D856" s="133"/>
      <c r="E856" s="17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4"/>
      <c r="Q856" s="146"/>
      <c r="R856" s="17"/>
      <c r="S856" s="17"/>
      <c r="T856" s="75"/>
      <c r="U856" s="75"/>
      <c r="V856" s="75"/>
      <c r="W856" s="75"/>
      <c r="X856" s="75"/>
    </row>
    <row r="857">
      <c r="A857" s="17"/>
      <c r="B857" s="17"/>
      <c r="C857" s="133"/>
      <c r="D857" s="133"/>
      <c r="E857" s="17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4"/>
      <c r="Q857" s="146"/>
      <c r="R857" s="17"/>
      <c r="S857" s="17"/>
      <c r="T857" s="75"/>
      <c r="U857" s="75"/>
      <c r="V857" s="75"/>
      <c r="W857" s="75"/>
      <c r="X857" s="75"/>
    </row>
    <row r="858">
      <c r="A858" s="17"/>
      <c r="B858" s="17"/>
      <c r="C858" s="133"/>
      <c r="D858" s="133"/>
      <c r="E858" s="17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4"/>
      <c r="Q858" s="146"/>
      <c r="R858" s="17"/>
      <c r="S858" s="17"/>
      <c r="T858" s="75"/>
      <c r="U858" s="75"/>
      <c r="V858" s="75"/>
      <c r="W858" s="75"/>
      <c r="X858" s="75"/>
    </row>
    <row r="859">
      <c r="A859" s="17"/>
      <c r="B859" s="17"/>
      <c r="C859" s="133"/>
      <c r="D859" s="133"/>
      <c r="E859" s="17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4"/>
      <c r="Q859" s="146"/>
      <c r="R859" s="17"/>
      <c r="S859" s="17"/>
      <c r="T859" s="75"/>
      <c r="U859" s="75"/>
      <c r="V859" s="75"/>
      <c r="W859" s="75"/>
      <c r="X859" s="75"/>
    </row>
    <row r="860">
      <c r="A860" s="17"/>
      <c r="B860" s="17"/>
      <c r="C860" s="133"/>
      <c r="D860" s="133"/>
      <c r="E860" s="17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4"/>
      <c r="Q860" s="146"/>
      <c r="R860" s="17"/>
      <c r="S860" s="17"/>
      <c r="T860" s="75"/>
      <c r="U860" s="75"/>
      <c r="V860" s="75"/>
      <c r="W860" s="75"/>
      <c r="X860" s="75"/>
    </row>
    <row r="861">
      <c r="A861" s="17"/>
      <c r="B861" s="17"/>
      <c r="C861" s="133"/>
      <c r="D861" s="133"/>
      <c r="E861" s="17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4"/>
      <c r="Q861" s="146"/>
      <c r="R861" s="17"/>
      <c r="S861" s="17"/>
      <c r="T861" s="75"/>
      <c r="U861" s="75"/>
      <c r="V861" s="75"/>
      <c r="W861" s="75"/>
      <c r="X861" s="75"/>
    </row>
    <row r="862">
      <c r="A862" s="17"/>
      <c r="B862" s="17"/>
      <c r="C862" s="133"/>
      <c r="D862" s="133"/>
      <c r="E862" s="17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4"/>
      <c r="Q862" s="146"/>
      <c r="R862" s="17"/>
      <c r="S862" s="17"/>
      <c r="T862" s="75"/>
      <c r="U862" s="75"/>
      <c r="V862" s="75"/>
      <c r="W862" s="75"/>
      <c r="X862" s="75"/>
    </row>
    <row r="863">
      <c r="A863" s="17"/>
      <c r="B863" s="17"/>
      <c r="C863" s="133"/>
      <c r="D863" s="133"/>
      <c r="E863" s="17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4"/>
      <c r="Q863" s="146"/>
      <c r="R863" s="17"/>
      <c r="S863" s="17"/>
      <c r="T863" s="75"/>
      <c r="U863" s="75"/>
      <c r="V863" s="75"/>
      <c r="W863" s="75"/>
      <c r="X863" s="75"/>
    </row>
    <row r="864">
      <c r="A864" s="17"/>
      <c r="B864" s="17"/>
      <c r="C864" s="133"/>
      <c r="D864" s="133"/>
      <c r="E864" s="17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4"/>
      <c r="Q864" s="146"/>
      <c r="R864" s="17"/>
      <c r="S864" s="17"/>
      <c r="T864" s="75"/>
      <c r="U864" s="75"/>
      <c r="V864" s="75"/>
      <c r="W864" s="75"/>
      <c r="X864" s="75"/>
    </row>
    <row r="865">
      <c r="A865" s="17"/>
      <c r="B865" s="17"/>
      <c r="C865" s="133"/>
      <c r="D865" s="133"/>
      <c r="E865" s="17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4"/>
      <c r="Q865" s="146"/>
      <c r="R865" s="17"/>
      <c r="S865" s="17"/>
      <c r="T865" s="75"/>
      <c r="U865" s="75"/>
      <c r="V865" s="75"/>
      <c r="W865" s="75"/>
      <c r="X865" s="75"/>
    </row>
    <row r="866">
      <c r="A866" s="17"/>
      <c r="B866" s="17"/>
      <c r="C866" s="133"/>
      <c r="D866" s="133"/>
      <c r="E866" s="17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4"/>
      <c r="Q866" s="146"/>
      <c r="R866" s="17"/>
      <c r="S866" s="17"/>
      <c r="T866" s="75"/>
      <c r="U866" s="75"/>
      <c r="V866" s="75"/>
      <c r="W866" s="75"/>
      <c r="X866" s="75"/>
    </row>
    <row r="867">
      <c r="A867" s="17"/>
      <c r="B867" s="17"/>
      <c r="C867" s="133"/>
      <c r="D867" s="133"/>
      <c r="E867" s="17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4"/>
      <c r="Q867" s="146"/>
      <c r="R867" s="17"/>
      <c r="S867" s="17"/>
      <c r="T867" s="75"/>
      <c r="U867" s="75"/>
      <c r="V867" s="75"/>
      <c r="W867" s="75"/>
      <c r="X867" s="75"/>
    </row>
    <row r="868">
      <c r="A868" s="17"/>
      <c r="B868" s="17"/>
      <c r="C868" s="133"/>
      <c r="D868" s="133"/>
      <c r="E868" s="17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4"/>
      <c r="Q868" s="146"/>
      <c r="R868" s="17"/>
      <c r="S868" s="17"/>
      <c r="T868" s="75"/>
      <c r="U868" s="75"/>
      <c r="V868" s="75"/>
      <c r="W868" s="75"/>
      <c r="X868" s="75"/>
    </row>
    <row r="869">
      <c r="A869" s="17"/>
      <c r="B869" s="17"/>
      <c r="C869" s="133"/>
      <c r="D869" s="133"/>
      <c r="E869" s="17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4"/>
      <c r="Q869" s="146"/>
      <c r="R869" s="17"/>
      <c r="S869" s="17"/>
      <c r="T869" s="75"/>
      <c r="U869" s="75"/>
      <c r="V869" s="75"/>
      <c r="W869" s="75"/>
      <c r="X869" s="75"/>
    </row>
    <row r="870">
      <c r="A870" s="17"/>
      <c r="B870" s="17"/>
      <c r="C870" s="133"/>
      <c r="D870" s="133"/>
      <c r="E870" s="17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4"/>
      <c r="Q870" s="146"/>
      <c r="R870" s="17"/>
      <c r="S870" s="17"/>
      <c r="T870" s="75"/>
      <c r="U870" s="75"/>
      <c r="V870" s="75"/>
      <c r="W870" s="75"/>
      <c r="X870" s="75"/>
    </row>
    <row r="871">
      <c r="A871" s="17"/>
      <c r="B871" s="17"/>
      <c r="C871" s="133"/>
      <c r="D871" s="133"/>
      <c r="E871" s="17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4"/>
      <c r="Q871" s="146"/>
      <c r="R871" s="17"/>
      <c r="S871" s="17"/>
      <c r="T871" s="75"/>
      <c r="U871" s="75"/>
      <c r="V871" s="75"/>
      <c r="W871" s="75"/>
      <c r="X871" s="75"/>
    </row>
    <row r="872">
      <c r="A872" s="17"/>
      <c r="B872" s="17"/>
      <c r="C872" s="133"/>
      <c r="D872" s="133"/>
      <c r="E872" s="17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4"/>
      <c r="Q872" s="146"/>
      <c r="R872" s="17"/>
      <c r="S872" s="17"/>
      <c r="T872" s="75"/>
      <c r="U872" s="75"/>
      <c r="V872" s="75"/>
      <c r="W872" s="75"/>
      <c r="X872" s="75"/>
    </row>
    <row r="873">
      <c r="A873" s="17"/>
      <c r="B873" s="17"/>
      <c r="C873" s="133"/>
      <c r="D873" s="133"/>
      <c r="E873" s="17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4"/>
      <c r="Q873" s="146"/>
      <c r="R873" s="17"/>
      <c r="S873" s="17"/>
      <c r="T873" s="75"/>
      <c r="U873" s="75"/>
      <c r="V873" s="75"/>
      <c r="W873" s="75"/>
      <c r="X873" s="75"/>
    </row>
    <row r="874">
      <c r="A874" s="17"/>
      <c r="B874" s="17"/>
      <c r="C874" s="133"/>
      <c r="D874" s="133"/>
      <c r="E874" s="17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4"/>
      <c r="Q874" s="146"/>
      <c r="R874" s="17"/>
      <c r="S874" s="17"/>
      <c r="T874" s="75"/>
      <c r="U874" s="75"/>
      <c r="V874" s="75"/>
      <c r="W874" s="75"/>
      <c r="X874" s="75"/>
    </row>
    <row r="875">
      <c r="A875" s="17"/>
      <c r="B875" s="17"/>
      <c r="C875" s="133"/>
      <c r="D875" s="133"/>
      <c r="E875" s="17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4"/>
      <c r="Q875" s="146"/>
      <c r="R875" s="17"/>
      <c r="S875" s="17"/>
      <c r="T875" s="75"/>
      <c r="U875" s="75"/>
      <c r="V875" s="75"/>
      <c r="W875" s="75"/>
      <c r="X875" s="75"/>
    </row>
    <row r="876">
      <c r="A876" s="17"/>
      <c r="B876" s="17"/>
      <c r="C876" s="133"/>
      <c r="D876" s="133"/>
      <c r="E876" s="17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4"/>
      <c r="Q876" s="146"/>
      <c r="R876" s="17"/>
      <c r="S876" s="17"/>
      <c r="T876" s="75"/>
      <c r="U876" s="75"/>
      <c r="V876" s="75"/>
      <c r="W876" s="75"/>
      <c r="X876" s="75"/>
    </row>
    <row r="877">
      <c r="A877" s="17"/>
      <c r="B877" s="17"/>
      <c r="C877" s="133"/>
      <c r="D877" s="133"/>
      <c r="E877" s="17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4"/>
      <c r="Q877" s="146"/>
      <c r="R877" s="17"/>
      <c r="S877" s="17"/>
      <c r="T877" s="75"/>
      <c r="U877" s="75"/>
      <c r="V877" s="75"/>
      <c r="W877" s="75"/>
      <c r="X877" s="75"/>
    </row>
    <row r="878">
      <c r="A878" s="17"/>
      <c r="B878" s="17"/>
      <c r="C878" s="133"/>
      <c r="D878" s="133"/>
      <c r="E878" s="17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4"/>
      <c r="Q878" s="146"/>
      <c r="R878" s="17"/>
      <c r="S878" s="17"/>
      <c r="T878" s="75"/>
      <c r="U878" s="75"/>
      <c r="V878" s="75"/>
      <c r="W878" s="75"/>
      <c r="X878" s="75"/>
    </row>
    <row r="879">
      <c r="A879" s="17"/>
      <c r="B879" s="17"/>
      <c r="C879" s="133"/>
      <c r="D879" s="133"/>
      <c r="E879" s="17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4"/>
      <c r="Q879" s="146"/>
      <c r="R879" s="17"/>
      <c r="S879" s="17"/>
      <c r="T879" s="75"/>
      <c r="U879" s="75"/>
      <c r="V879" s="75"/>
      <c r="W879" s="75"/>
      <c r="X879" s="75"/>
    </row>
    <row r="880">
      <c r="A880" s="17"/>
      <c r="B880" s="17"/>
      <c r="C880" s="133"/>
      <c r="D880" s="133"/>
      <c r="E880" s="17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4"/>
      <c r="Q880" s="146"/>
      <c r="R880" s="17"/>
      <c r="S880" s="17"/>
      <c r="T880" s="75"/>
      <c r="U880" s="75"/>
      <c r="V880" s="75"/>
      <c r="W880" s="75"/>
      <c r="X880" s="75"/>
    </row>
    <row r="881">
      <c r="A881" s="17"/>
      <c r="B881" s="17"/>
      <c r="C881" s="133"/>
      <c r="D881" s="133"/>
      <c r="E881" s="17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4"/>
      <c r="Q881" s="146"/>
      <c r="R881" s="17"/>
      <c r="S881" s="17"/>
      <c r="T881" s="75"/>
      <c r="U881" s="75"/>
      <c r="V881" s="75"/>
      <c r="W881" s="75"/>
      <c r="X881" s="75"/>
    </row>
    <row r="882">
      <c r="A882" s="17"/>
      <c r="B882" s="17"/>
      <c r="C882" s="133"/>
      <c r="D882" s="133"/>
      <c r="E882" s="17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4"/>
      <c r="Q882" s="146"/>
      <c r="R882" s="17"/>
      <c r="S882" s="17"/>
      <c r="T882" s="75"/>
      <c r="U882" s="75"/>
      <c r="V882" s="75"/>
      <c r="W882" s="75"/>
      <c r="X882" s="75"/>
    </row>
    <row r="883">
      <c r="A883" s="17"/>
      <c r="B883" s="17"/>
      <c r="C883" s="133"/>
      <c r="D883" s="133"/>
      <c r="E883" s="17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4"/>
      <c r="Q883" s="146"/>
      <c r="R883" s="17"/>
      <c r="S883" s="17"/>
      <c r="T883" s="75"/>
      <c r="U883" s="75"/>
      <c r="V883" s="75"/>
      <c r="W883" s="75"/>
      <c r="X883" s="75"/>
    </row>
    <row r="884">
      <c r="A884" s="17"/>
      <c r="B884" s="17"/>
      <c r="C884" s="133"/>
      <c r="D884" s="133"/>
      <c r="E884" s="17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4"/>
      <c r="Q884" s="146"/>
      <c r="R884" s="17"/>
      <c r="S884" s="17"/>
      <c r="T884" s="75"/>
      <c r="U884" s="75"/>
      <c r="V884" s="75"/>
      <c r="W884" s="75"/>
      <c r="X884" s="75"/>
    </row>
    <row r="885">
      <c r="A885" s="17"/>
      <c r="B885" s="17"/>
      <c r="C885" s="133"/>
      <c r="D885" s="133"/>
      <c r="E885" s="17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4"/>
      <c r="Q885" s="146"/>
      <c r="R885" s="17"/>
      <c r="S885" s="17"/>
      <c r="T885" s="75"/>
      <c r="U885" s="75"/>
      <c r="V885" s="75"/>
      <c r="W885" s="75"/>
      <c r="X885" s="75"/>
    </row>
    <row r="886">
      <c r="A886" s="17"/>
      <c r="B886" s="17"/>
      <c r="C886" s="133"/>
      <c r="D886" s="133"/>
      <c r="E886" s="17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4"/>
      <c r="Q886" s="146"/>
      <c r="R886" s="17"/>
      <c r="S886" s="17"/>
      <c r="T886" s="75"/>
      <c r="U886" s="75"/>
      <c r="V886" s="75"/>
      <c r="W886" s="75"/>
      <c r="X886" s="75"/>
    </row>
    <row r="887">
      <c r="A887" s="17"/>
      <c r="B887" s="17"/>
      <c r="C887" s="133"/>
      <c r="D887" s="133"/>
      <c r="E887" s="17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4"/>
      <c r="Q887" s="146"/>
      <c r="R887" s="17"/>
      <c r="S887" s="17"/>
      <c r="T887" s="75"/>
      <c r="U887" s="75"/>
      <c r="V887" s="75"/>
      <c r="W887" s="75"/>
      <c r="X887" s="75"/>
    </row>
    <row r="888">
      <c r="A888" s="17"/>
      <c r="B888" s="17"/>
      <c r="C888" s="133"/>
      <c r="D888" s="133"/>
      <c r="E888" s="17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4"/>
      <c r="Q888" s="146"/>
      <c r="R888" s="17"/>
      <c r="S888" s="17"/>
      <c r="T888" s="75"/>
      <c r="U888" s="75"/>
      <c r="V888" s="75"/>
      <c r="W888" s="75"/>
      <c r="X888" s="75"/>
    </row>
    <row r="889">
      <c r="A889" s="17"/>
      <c r="B889" s="17"/>
      <c r="C889" s="133"/>
      <c r="D889" s="133"/>
      <c r="E889" s="17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4"/>
      <c r="Q889" s="146"/>
      <c r="R889" s="17"/>
      <c r="S889" s="17"/>
      <c r="T889" s="75"/>
      <c r="U889" s="75"/>
      <c r="V889" s="75"/>
      <c r="W889" s="75"/>
      <c r="X889" s="75"/>
    </row>
    <row r="890">
      <c r="A890" s="17"/>
      <c r="B890" s="17"/>
      <c r="C890" s="133"/>
      <c r="D890" s="133"/>
      <c r="E890" s="17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4"/>
      <c r="Q890" s="146"/>
      <c r="R890" s="17"/>
      <c r="S890" s="17"/>
      <c r="T890" s="75"/>
      <c r="U890" s="75"/>
      <c r="V890" s="75"/>
      <c r="W890" s="75"/>
      <c r="X890" s="75"/>
    </row>
    <row r="891">
      <c r="A891" s="17"/>
      <c r="B891" s="17"/>
      <c r="C891" s="133"/>
      <c r="D891" s="133"/>
      <c r="E891" s="17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4"/>
      <c r="Q891" s="146"/>
      <c r="R891" s="17"/>
      <c r="S891" s="17"/>
      <c r="T891" s="75"/>
      <c r="U891" s="75"/>
      <c r="V891" s="75"/>
      <c r="W891" s="75"/>
      <c r="X891" s="75"/>
    </row>
    <row r="892">
      <c r="A892" s="17"/>
      <c r="B892" s="17"/>
      <c r="C892" s="133"/>
      <c r="D892" s="133"/>
      <c r="E892" s="17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4"/>
      <c r="Q892" s="146"/>
      <c r="R892" s="17"/>
      <c r="S892" s="17"/>
      <c r="T892" s="75"/>
      <c r="U892" s="75"/>
      <c r="V892" s="75"/>
      <c r="W892" s="75"/>
      <c r="X892" s="75"/>
    </row>
    <row r="893">
      <c r="A893" s="17"/>
      <c r="B893" s="17"/>
      <c r="C893" s="133"/>
      <c r="D893" s="133"/>
      <c r="E893" s="17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4"/>
      <c r="Q893" s="146"/>
      <c r="R893" s="17"/>
      <c r="S893" s="17"/>
      <c r="T893" s="75"/>
      <c r="U893" s="75"/>
      <c r="V893" s="75"/>
      <c r="W893" s="75"/>
      <c r="X893" s="75"/>
    </row>
    <row r="894">
      <c r="A894" s="17"/>
      <c r="B894" s="17"/>
      <c r="C894" s="133"/>
      <c r="D894" s="133"/>
      <c r="E894" s="17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4"/>
      <c r="Q894" s="146"/>
      <c r="R894" s="17"/>
      <c r="S894" s="17"/>
      <c r="T894" s="75"/>
      <c r="U894" s="75"/>
      <c r="V894" s="75"/>
      <c r="W894" s="75"/>
      <c r="X894" s="75"/>
    </row>
    <row r="895">
      <c r="A895" s="17"/>
      <c r="B895" s="17"/>
      <c r="C895" s="133"/>
      <c r="D895" s="133"/>
      <c r="E895" s="17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4"/>
      <c r="Q895" s="146"/>
      <c r="R895" s="17"/>
      <c r="S895" s="17"/>
      <c r="T895" s="75"/>
      <c r="U895" s="75"/>
      <c r="V895" s="75"/>
      <c r="W895" s="75"/>
      <c r="X895" s="75"/>
    </row>
    <row r="896">
      <c r="A896" s="17"/>
      <c r="B896" s="17"/>
      <c r="C896" s="133"/>
      <c r="D896" s="133"/>
      <c r="E896" s="17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4"/>
      <c r="Q896" s="146"/>
      <c r="R896" s="17"/>
      <c r="S896" s="17"/>
      <c r="T896" s="75"/>
      <c r="U896" s="75"/>
      <c r="V896" s="75"/>
      <c r="W896" s="75"/>
      <c r="X896" s="75"/>
    </row>
    <row r="897">
      <c r="A897" s="17"/>
      <c r="B897" s="17"/>
      <c r="C897" s="133"/>
      <c r="D897" s="133"/>
      <c r="E897" s="17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4"/>
      <c r="Q897" s="146"/>
      <c r="R897" s="17"/>
      <c r="S897" s="17"/>
      <c r="T897" s="75"/>
      <c r="U897" s="75"/>
      <c r="V897" s="75"/>
      <c r="W897" s="75"/>
      <c r="X897" s="75"/>
    </row>
    <row r="898">
      <c r="A898" s="17"/>
      <c r="B898" s="17"/>
      <c r="C898" s="133"/>
      <c r="D898" s="133"/>
      <c r="E898" s="17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4"/>
      <c r="Q898" s="146"/>
      <c r="R898" s="17"/>
      <c r="S898" s="17"/>
      <c r="T898" s="75"/>
      <c r="U898" s="75"/>
      <c r="V898" s="75"/>
      <c r="W898" s="75"/>
      <c r="X898" s="75"/>
    </row>
    <row r="899">
      <c r="A899" s="17"/>
      <c r="B899" s="17"/>
      <c r="C899" s="133"/>
      <c r="D899" s="133"/>
      <c r="E899" s="17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4"/>
      <c r="Q899" s="146"/>
      <c r="R899" s="17"/>
      <c r="S899" s="17"/>
      <c r="T899" s="75"/>
      <c r="U899" s="75"/>
      <c r="V899" s="75"/>
      <c r="W899" s="75"/>
      <c r="X899" s="75"/>
    </row>
    <row r="900">
      <c r="A900" s="17"/>
      <c r="B900" s="17"/>
      <c r="C900" s="133"/>
      <c r="D900" s="133"/>
      <c r="E900" s="17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4"/>
      <c r="Q900" s="146"/>
      <c r="R900" s="17"/>
      <c r="S900" s="17"/>
      <c r="T900" s="75"/>
      <c r="U900" s="75"/>
      <c r="V900" s="75"/>
      <c r="W900" s="75"/>
      <c r="X900" s="75"/>
    </row>
    <row r="901">
      <c r="A901" s="17"/>
      <c r="B901" s="17"/>
      <c r="C901" s="133"/>
      <c r="D901" s="133"/>
      <c r="E901" s="17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4"/>
      <c r="Q901" s="146"/>
      <c r="R901" s="17"/>
      <c r="S901" s="17"/>
      <c r="T901" s="75"/>
      <c r="U901" s="75"/>
      <c r="V901" s="75"/>
      <c r="W901" s="75"/>
      <c r="X901" s="75"/>
    </row>
    <row r="902">
      <c r="A902" s="17"/>
      <c r="B902" s="17"/>
      <c r="C902" s="133"/>
      <c r="D902" s="133"/>
      <c r="E902" s="17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4"/>
      <c r="Q902" s="146"/>
      <c r="R902" s="17"/>
      <c r="S902" s="17"/>
      <c r="T902" s="75"/>
      <c r="U902" s="75"/>
      <c r="V902" s="75"/>
      <c r="W902" s="75"/>
      <c r="X902" s="75"/>
    </row>
    <row r="903">
      <c r="A903" s="17"/>
      <c r="B903" s="17"/>
      <c r="C903" s="133"/>
      <c r="D903" s="133"/>
      <c r="E903" s="17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4"/>
      <c r="Q903" s="146"/>
      <c r="R903" s="17"/>
      <c r="S903" s="17"/>
      <c r="T903" s="75"/>
      <c r="U903" s="75"/>
      <c r="V903" s="75"/>
      <c r="W903" s="75"/>
      <c r="X903" s="75"/>
    </row>
    <row r="904">
      <c r="A904" s="17"/>
      <c r="B904" s="17"/>
      <c r="C904" s="133"/>
      <c r="D904" s="133"/>
      <c r="E904" s="17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4"/>
      <c r="Q904" s="146"/>
      <c r="R904" s="17"/>
      <c r="S904" s="17"/>
      <c r="T904" s="75"/>
      <c r="U904" s="75"/>
      <c r="V904" s="75"/>
      <c r="W904" s="75"/>
      <c r="X904" s="75"/>
    </row>
    <row r="905">
      <c r="A905" s="17"/>
      <c r="B905" s="17"/>
      <c r="C905" s="133"/>
      <c r="D905" s="133"/>
      <c r="E905" s="17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4"/>
      <c r="Q905" s="146"/>
      <c r="R905" s="17"/>
      <c r="S905" s="17"/>
      <c r="T905" s="75"/>
      <c r="U905" s="75"/>
      <c r="V905" s="75"/>
      <c r="W905" s="75"/>
      <c r="X905" s="75"/>
    </row>
    <row r="906">
      <c r="A906" s="17"/>
      <c r="B906" s="17"/>
      <c r="C906" s="133"/>
      <c r="D906" s="133"/>
      <c r="E906" s="17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4"/>
      <c r="Q906" s="146"/>
      <c r="R906" s="17"/>
      <c r="S906" s="17"/>
      <c r="T906" s="75"/>
      <c r="U906" s="75"/>
      <c r="V906" s="75"/>
      <c r="W906" s="75"/>
      <c r="X906" s="75"/>
    </row>
    <row r="907">
      <c r="A907" s="17"/>
      <c r="B907" s="17"/>
      <c r="C907" s="133"/>
      <c r="D907" s="133"/>
      <c r="E907" s="17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4"/>
      <c r="Q907" s="146"/>
      <c r="R907" s="17"/>
      <c r="S907" s="17"/>
      <c r="T907" s="75"/>
      <c r="U907" s="75"/>
      <c r="V907" s="75"/>
      <c r="W907" s="75"/>
      <c r="X907" s="75"/>
    </row>
    <row r="908">
      <c r="A908" s="17"/>
      <c r="B908" s="17"/>
      <c r="C908" s="133"/>
      <c r="D908" s="133"/>
      <c r="E908" s="17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4"/>
      <c r="Q908" s="146"/>
      <c r="R908" s="17"/>
      <c r="S908" s="17"/>
      <c r="T908" s="75"/>
      <c r="U908" s="75"/>
      <c r="V908" s="75"/>
      <c r="W908" s="75"/>
      <c r="X908" s="75"/>
    </row>
    <row r="909">
      <c r="A909" s="17"/>
      <c r="B909" s="17"/>
      <c r="C909" s="133"/>
      <c r="D909" s="133"/>
      <c r="E909" s="17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4"/>
      <c r="Q909" s="146"/>
      <c r="R909" s="17"/>
      <c r="S909" s="17"/>
      <c r="T909" s="75"/>
      <c r="U909" s="75"/>
      <c r="V909" s="75"/>
      <c r="W909" s="75"/>
      <c r="X909" s="75"/>
    </row>
    <row r="910">
      <c r="A910" s="17"/>
      <c r="B910" s="17"/>
      <c r="C910" s="133"/>
      <c r="D910" s="133"/>
      <c r="E910" s="17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4"/>
      <c r="Q910" s="146"/>
      <c r="R910" s="17"/>
      <c r="S910" s="17"/>
      <c r="T910" s="75"/>
      <c r="U910" s="75"/>
      <c r="V910" s="75"/>
      <c r="W910" s="75"/>
      <c r="X910" s="75"/>
    </row>
    <row r="911">
      <c r="A911" s="17"/>
      <c r="B911" s="17"/>
      <c r="C911" s="133"/>
      <c r="D911" s="133"/>
      <c r="E911" s="17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4"/>
      <c r="Q911" s="146"/>
      <c r="R911" s="17"/>
      <c r="S911" s="17"/>
      <c r="T911" s="75"/>
      <c r="U911" s="75"/>
      <c r="V911" s="75"/>
      <c r="W911" s="75"/>
      <c r="X911" s="75"/>
    </row>
    <row r="912">
      <c r="A912" s="17"/>
      <c r="B912" s="17"/>
      <c r="C912" s="133"/>
      <c r="D912" s="133"/>
      <c r="E912" s="17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4"/>
      <c r="Q912" s="146"/>
      <c r="R912" s="17"/>
      <c r="S912" s="17"/>
      <c r="T912" s="75"/>
      <c r="U912" s="75"/>
      <c r="V912" s="75"/>
      <c r="W912" s="75"/>
      <c r="X912" s="75"/>
    </row>
    <row r="913">
      <c r="A913" s="17"/>
      <c r="B913" s="17"/>
      <c r="C913" s="133"/>
      <c r="D913" s="133"/>
      <c r="E913" s="17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4"/>
      <c r="Q913" s="146"/>
      <c r="R913" s="17"/>
      <c r="S913" s="17"/>
      <c r="T913" s="75"/>
      <c r="U913" s="75"/>
      <c r="V913" s="75"/>
      <c r="W913" s="75"/>
      <c r="X913" s="75"/>
    </row>
    <row r="914">
      <c r="A914" s="17"/>
      <c r="B914" s="17"/>
      <c r="C914" s="133"/>
      <c r="D914" s="133"/>
      <c r="E914" s="17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4"/>
      <c r="Q914" s="146"/>
      <c r="R914" s="17"/>
      <c r="S914" s="17"/>
      <c r="T914" s="75"/>
      <c r="U914" s="75"/>
      <c r="V914" s="75"/>
      <c r="W914" s="75"/>
      <c r="X914" s="75"/>
    </row>
    <row r="915">
      <c r="A915" s="17"/>
      <c r="B915" s="17"/>
      <c r="C915" s="133"/>
      <c r="D915" s="133"/>
      <c r="E915" s="17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4"/>
      <c r="Q915" s="146"/>
      <c r="R915" s="17"/>
      <c r="S915" s="17"/>
      <c r="T915" s="75"/>
      <c r="U915" s="75"/>
      <c r="V915" s="75"/>
      <c r="W915" s="75"/>
      <c r="X915" s="75"/>
    </row>
    <row r="916">
      <c r="A916" s="17"/>
      <c r="B916" s="17"/>
      <c r="C916" s="133"/>
      <c r="D916" s="133"/>
      <c r="E916" s="17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4"/>
      <c r="Q916" s="146"/>
      <c r="R916" s="17"/>
      <c r="S916" s="17"/>
      <c r="T916" s="75"/>
      <c r="U916" s="75"/>
      <c r="V916" s="75"/>
      <c r="W916" s="75"/>
      <c r="X916" s="75"/>
    </row>
    <row r="917">
      <c r="A917" s="17"/>
      <c r="B917" s="17"/>
      <c r="C917" s="133"/>
      <c r="D917" s="133"/>
      <c r="E917" s="17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4"/>
      <c r="Q917" s="146"/>
      <c r="R917" s="17"/>
      <c r="S917" s="17"/>
      <c r="T917" s="75"/>
      <c r="U917" s="75"/>
      <c r="V917" s="75"/>
      <c r="W917" s="75"/>
      <c r="X917" s="75"/>
    </row>
    <row r="918">
      <c r="A918" s="17"/>
      <c r="B918" s="17"/>
      <c r="C918" s="133"/>
      <c r="D918" s="133"/>
      <c r="E918" s="17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4"/>
      <c r="Q918" s="146"/>
      <c r="R918" s="17"/>
      <c r="S918" s="17"/>
      <c r="T918" s="75"/>
      <c r="U918" s="75"/>
      <c r="V918" s="75"/>
      <c r="W918" s="75"/>
      <c r="X918" s="75"/>
    </row>
    <row r="919">
      <c r="A919" s="17"/>
      <c r="B919" s="17"/>
      <c r="C919" s="133"/>
      <c r="D919" s="133"/>
      <c r="E919" s="17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4"/>
      <c r="Q919" s="146"/>
      <c r="R919" s="17"/>
      <c r="S919" s="17"/>
      <c r="T919" s="75"/>
      <c r="U919" s="75"/>
      <c r="V919" s="75"/>
      <c r="W919" s="75"/>
      <c r="X919" s="75"/>
    </row>
    <row r="920">
      <c r="A920" s="17"/>
      <c r="B920" s="17"/>
      <c r="C920" s="133"/>
      <c r="D920" s="133"/>
      <c r="E920" s="17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4"/>
      <c r="Q920" s="146"/>
      <c r="R920" s="17"/>
      <c r="S920" s="17"/>
      <c r="T920" s="75"/>
      <c r="U920" s="75"/>
      <c r="V920" s="75"/>
      <c r="W920" s="75"/>
      <c r="X920" s="75"/>
    </row>
    <row r="921">
      <c r="A921" s="17"/>
      <c r="B921" s="17"/>
      <c r="C921" s="133"/>
      <c r="D921" s="133"/>
      <c r="E921" s="17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4"/>
      <c r="Q921" s="146"/>
      <c r="R921" s="17"/>
      <c r="S921" s="17"/>
      <c r="T921" s="75"/>
      <c r="U921" s="75"/>
      <c r="V921" s="75"/>
      <c r="W921" s="75"/>
      <c r="X921" s="75"/>
    </row>
    <row r="922">
      <c r="A922" s="17"/>
      <c r="B922" s="17"/>
      <c r="C922" s="133"/>
      <c r="D922" s="133"/>
      <c r="E922" s="17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4"/>
      <c r="Q922" s="146"/>
      <c r="R922" s="17"/>
      <c r="S922" s="17"/>
      <c r="T922" s="75"/>
      <c r="U922" s="75"/>
      <c r="V922" s="75"/>
      <c r="W922" s="75"/>
      <c r="X922" s="75"/>
    </row>
    <row r="923">
      <c r="A923" s="17"/>
      <c r="B923" s="17"/>
      <c r="C923" s="133"/>
      <c r="D923" s="133"/>
      <c r="E923" s="17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4"/>
      <c r="Q923" s="146"/>
      <c r="R923" s="17"/>
      <c r="S923" s="17"/>
      <c r="T923" s="75"/>
      <c r="U923" s="75"/>
      <c r="V923" s="75"/>
      <c r="W923" s="75"/>
      <c r="X923" s="75"/>
    </row>
    <row r="924">
      <c r="A924" s="17"/>
      <c r="B924" s="17"/>
      <c r="C924" s="133"/>
      <c r="D924" s="133"/>
      <c r="E924" s="17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4"/>
      <c r="Q924" s="146"/>
      <c r="R924" s="17"/>
      <c r="S924" s="17"/>
      <c r="T924" s="75"/>
      <c r="U924" s="75"/>
      <c r="V924" s="75"/>
      <c r="W924" s="75"/>
      <c r="X924" s="75"/>
    </row>
    <row r="925">
      <c r="A925" s="17"/>
      <c r="B925" s="17"/>
      <c r="C925" s="133"/>
      <c r="D925" s="133"/>
      <c r="E925" s="17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4"/>
      <c r="Q925" s="146"/>
      <c r="R925" s="17"/>
      <c r="S925" s="17"/>
      <c r="T925" s="75"/>
      <c r="U925" s="75"/>
      <c r="V925" s="75"/>
      <c r="W925" s="75"/>
      <c r="X925" s="75"/>
    </row>
    <row r="926">
      <c r="A926" s="17"/>
      <c r="B926" s="17"/>
      <c r="C926" s="133"/>
      <c r="D926" s="133"/>
      <c r="E926" s="17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4"/>
      <c r="Q926" s="146"/>
      <c r="R926" s="17"/>
      <c r="S926" s="17"/>
      <c r="T926" s="75"/>
      <c r="U926" s="75"/>
      <c r="V926" s="75"/>
      <c r="W926" s="75"/>
      <c r="X926" s="75"/>
    </row>
    <row r="927">
      <c r="A927" s="17"/>
      <c r="B927" s="17"/>
      <c r="C927" s="133"/>
      <c r="D927" s="133"/>
      <c r="E927" s="17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4"/>
      <c r="Q927" s="146"/>
      <c r="R927" s="17"/>
      <c r="S927" s="17"/>
      <c r="T927" s="75"/>
      <c r="U927" s="75"/>
      <c r="V927" s="75"/>
      <c r="W927" s="75"/>
      <c r="X927" s="75"/>
    </row>
    <row r="928">
      <c r="A928" s="17"/>
      <c r="B928" s="17"/>
      <c r="C928" s="133"/>
      <c r="D928" s="133"/>
      <c r="E928" s="17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4"/>
      <c r="Q928" s="146"/>
      <c r="R928" s="17"/>
      <c r="S928" s="17"/>
      <c r="T928" s="75"/>
      <c r="U928" s="75"/>
      <c r="V928" s="75"/>
      <c r="W928" s="75"/>
      <c r="X928" s="75"/>
    </row>
    <row r="929">
      <c r="A929" s="17"/>
      <c r="B929" s="17"/>
      <c r="C929" s="133"/>
      <c r="D929" s="133"/>
      <c r="E929" s="17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4"/>
      <c r="Q929" s="146"/>
      <c r="R929" s="17"/>
      <c r="S929" s="17"/>
      <c r="T929" s="75"/>
      <c r="U929" s="75"/>
      <c r="V929" s="75"/>
      <c r="W929" s="75"/>
      <c r="X929" s="75"/>
    </row>
    <row r="930">
      <c r="A930" s="17"/>
      <c r="B930" s="17"/>
      <c r="C930" s="133"/>
      <c r="D930" s="133"/>
      <c r="E930" s="17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4"/>
      <c r="Q930" s="146"/>
      <c r="R930" s="17"/>
      <c r="S930" s="17"/>
      <c r="T930" s="75"/>
      <c r="U930" s="75"/>
      <c r="V930" s="75"/>
      <c r="W930" s="75"/>
      <c r="X930" s="75"/>
    </row>
    <row r="931">
      <c r="A931" s="17"/>
      <c r="B931" s="17"/>
      <c r="C931" s="133"/>
      <c r="D931" s="133"/>
      <c r="E931" s="17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4"/>
      <c r="Q931" s="146"/>
      <c r="R931" s="17"/>
      <c r="S931" s="17"/>
      <c r="T931" s="75"/>
      <c r="U931" s="75"/>
      <c r="V931" s="75"/>
      <c r="W931" s="75"/>
      <c r="X931" s="75"/>
    </row>
    <row r="932">
      <c r="A932" s="17"/>
      <c r="B932" s="17"/>
      <c r="C932" s="133"/>
      <c r="D932" s="133"/>
      <c r="E932" s="17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4"/>
      <c r="Q932" s="146"/>
      <c r="R932" s="17"/>
      <c r="S932" s="17"/>
      <c r="T932" s="75"/>
      <c r="U932" s="75"/>
      <c r="V932" s="75"/>
      <c r="W932" s="75"/>
      <c r="X932" s="75"/>
    </row>
    <row r="933">
      <c r="A933" s="17"/>
      <c r="B933" s="17"/>
      <c r="C933" s="133"/>
      <c r="D933" s="133"/>
      <c r="E933" s="17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4"/>
      <c r="Q933" s="146"/>
      <c r="R933" s="17"/>
      <c r="S933" s="17"/>
      <c r="T933" s="75"/>
      <c r="U933" s="75"/>
      <c r="V933" s="75"/>
      <c r="W933" s="75"/>
      <c r="X933" s="75"/>
    </row>
    <row r="934">
      <c r="A934" s="17"/>
      <c r="B934" s="17"/>
      <c r="C934" s="133"/>
      <c r="D934" s="133"/>
      <c r="E934" s="17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4"/>
      <c r="Q934" s="146"/>
      <c r="R934" s="17"/>
      <c r="S934" s="17"/>
      <c r="T934" s="75"/>
      <c r="U934" s="75"/>
      <c r="V934" s="75"/>
      <c r="W934" s="75"/>
      <c r="X934" s="75"/>
    </row>
    <row r="935">
      <c r="A935" s="17"/>
      <c r="B935" s="17"/>
      <c r="C935" s="133"/>
      <c r="D935" s="133"/>
      <c r="E935" s="17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4"/>
      <c r="Q935" s="146"/>
      <c r="R935" s="17"/>
      <c r="S935" s="17"/>
      <c r="T935" s="75"/>
      <c r="U935" s="75"/>
      <c r="V935" s="75"/>
      <c r="W935" s="75"/>
      <c r="X935" s="75"/>
    </row>
    <row r="936">
      <c r="A936" s="17"/>
      <c r="B936" s="17"/>
      <c r="C936" s="133"/>
      <c r="D936" s="133"/>
      <c r="E936" s="17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4"/>
      <c r="Q936" s="146"/>
      <c r="R936" s="17"/>
      <c r="S936" s="17"/>
      <c r="T936" s="75"/>
      <c r="U936" s="75"/>
      <c r="V936" s="75"/>
      <c r="W936" s="75"/>
      <c r="X936" s="75"/>
    </row>
    <row r="937">
      <c r="A937" s="17"/>
      <c r="B937" s="17"/>
      <c r="C937" s="133"/>
      <c r="D937" s="133"/>
      <c r="E937" s="17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4"/>
      <c r="Q937" s="146"/>
      <c r="R937" s="17"/>
      <c r="S937" s="17"/>
      <c r="T937" s="75"/>
      <c r="U937" s="75"/>
      <c r="V937" s="75"/>
      <c r="W937" s="75"/>
      <c r="X937" s="75"/>
    </row>
    <row r="938">
      <c r="A938" s="17"/>
      <c r="B938" s="17"/>
      <c r="C938" s="133"/>
      <c r="D938" s="133"/>
      <c r="E938" s="17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4"/>
      <c r="Q938" s="146"/>
      <c r="R938" s="17"/>
      <c r="S938" s="17"/>
      <c r="T938" s="75"/>
      <c r="U938" s="75"/>
      <c r="V938" s="75"/>
      <c r="W938" s="75"/>
      <c r="X938" s="75"/>
    </row>
    <row r="939">
      <c r="A939" s="17"/>
      <c r="B939" s="17"/>
      <c r="C939" s="133"/>
      <c r="D939" s="133"/>
      <c r="E939" s="17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4"/>
      <c r="Q939" s="146"/>
      <c r="R939" s="17"/>
      <c r="S939" s="17"/>
      <c r="T939" s="75"/>
      <c r="U939" s="75"/>
      <c r="V939" s="75"/>
      <c r="W939" s="75"/>
      <c r="X939" s="75"/>
    </row>
    <row r="940">
      <c r="A940" s="17"/>
      <c r="B940" s="17"/>
      <c r="C940" s="133"/>
      <c r="D940" s="133"/>
      <c r="E940" s="17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4"/>
      <c r="Q940" s="146"/>
      <c r="R940" s="17"/>
      <c r="S940" s="17"/>
      <c r="T940" s="75"/>
      <c r="U940" s="75"/>
      <c r="V940" s="75"/>
      <c r="W940" s="75"/>
      <c r="X940" s="75"/>
    </row>
    <row r="941">
      <c r="A941" s="17"/>
      <c r="B941" s="17"/>
      <c r="C941" s="133"/>
      <c r="D941" s="133"/>
      <c r="E941" s="17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4"/>
      <c r="Q941" s="146"/>
      <c r="R941" s="17"/>
      <c r="S941" s="17"/>
      <c r="T941" s="75"/>
      <c r="U941" s="75"/>
      <c r="V941" s="75"/>
      <c r="W941" s="75"/>
      <c r="X941" s="75"/>
    </row>
    <row r="942">
      <c r="A942" s="17"/>
      <c r="B942" s="17"/>
      <c r="C942" s="133"/>
      <c r="D942" s="133"/>
      <c r="E942" s="17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4"/>
      <c r="Q942" s="146"/>
      <c r="R942" s="17"/>
      <c r="S942" s="17"/>
      <c r="T942" s="75"/>
      <c r="U942" s="75"/>
      <c r="V942" s="75"/>
      <c r="W942" s="75"/>
      <c r="X942" s="75"/>
    </row>
    <row r="943">
      <c r="A943" s="17"/>
      <c r="B943" s="17"/>
      <c r="C943" s="133"/>
      <c r="D943" s="133"/>
      <c r="E943" s="17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4"/>
      <c r="Q943" s="146"/>
      <c r="R943" s="17"/>
      <c r="S943" s="17"/>
      <c r="T943" s="75"/>
      <c r="U943" s="75"/>
      <c r="V943" s="75"/>
      <c r="W943" s="75"/>
      <c r="X943" s="75"/>
    </row>
    <row r="944">
      <c r="A944" s="17"/>
      <c r="B944" s="17"/>
      <c r="C944" s="133"/>
      <c r="D944" s="133"/>
      <c r="E944" s="17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4"/>
      <c r="Q944" s="146"/>
      <c r="R944" s="17"/>
      <c r="S944" s="17"/>
      <c r="T944" s="75"/>
      <c r="U944" s="75"/>
      <c r="V944" s="75"/>
      <c r="W944" s="75"/>
      <c r="X944" s="75"/>
    </row>
    <row r="945">
      <c r="A945" s="17"/>
      <c r="B945" s="17"/>
      <c r="C945" s="133"/>
      <c r="D945" s="133"/>
      <c r="E945" s="17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4"/>
      <c r="Q945" s="146"/>
      <c r="R945" s="17"/>
      <c r="S945" s="17"/>
      <c r="T945" s="75"/>
      <c r="U945" s="75"/>
      <c r="V945" s="75"/>
      <c r="W945" s="75"/>
      <c r="X945" s="75"/>
    </row>
    <row r="946">
      <c r="A946" s="17"/>
      <c r="B946" s="17"/>
      <c r="C946" s="133"/>
      <c r="D946" s="133"/>
      <c r="E946" s="17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4"/>
      <c r="Q946" s="146"/>
      <c r="R946" s="17"/>
      <c r="S946" s="17"/>
      <c r="T946" s="75"/>
      <c r="U946" s="75"/>
      <c r="V946" s="75"/>
      <c r="W946" s="75"/>
      <c r="X946" s="75"/>
    </row>
    <row r="947">
      <c r="A947" s="17"/>
      <c r="B947" s="17"/>
      <c r="C947" s="133"/>
      <c r="D947" s="133"/>
      <c r="E947" s="17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4"/>
      <c r="Q947" s="146"/>
      <c r="R947" s="17"/>
      <c r="S947" s="17"/>
      <c r="T947" s="75"/>
      <c r="U947" s="75"/>
      <c r="V947" s="75"/>
      <c r="W947" s="75"/>
      <c r="X947" s="75"/>
    </row>
    <row r="948">
      <c r="A948" s="17"/>
      <c r="B948" s="17"/>
      <c r="C948" s="133"/>
      <c r="D948" s="133"/>
      <c r="E948" s="17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4"/>
      <c r="Q948" s="146"/>
      <c r="R948" s="17"/>
      <c r="S948" s="17"/>
      <c r="T948" s="75"/>
      <c r="U948" s="75"/>
      <c r="V948" s="75"/>
      <c r="W948" s="75"/>
      <c r="X948" s="75"/>
    </row>
    <row r="949">
      <c r="A949" s="17"/>
      <c r="B949" s="17"/>
      <c r="C949" s="133"/>
      <c r="D949" s="133"/>
      <c r="E949" s="17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4"/>
      <c r="Q949" s="146"/>
      <c r="R949" s="17"/>
      <c r="S949" s="17"/>
      <c r="T949" s="75"/>
      <c r="U949" s="75"/>
      <c r="V949" s="75"/>
      <c r="W949" s="75"/>
      <c r="X949" s="75"/>
    </row>
    <row r="950">
      <c r="A950" s="17"/>
      <c r="B950" s="17"/>
      <c r="C950" s="133"/>
      <c r="D950" s="133"/>
      <c r="E950" s="17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4"/>
      <c r="Q950" s="146"/>
      <c r="R950" s="17"/>
      <c r="S950" s="17"/>
      <c r="T950" s="75"/>
      <c r="U950" s="75"/>
      <c r="V950" s="75"/>
      <c r="W950" s="75"/>
      <c r="X950" s="75"/>
    </row>
    <row r="951">
      <c r="A951" s="17"/>
      <c r="B951" s="17"/>
      <c r="C951" s="133"/>
      <c r="D951" s="133"/>
      <c r="E951" s="17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4"/>
      <c r="Q951" s="146"/>
      <c r="R951" s="17"/>
      <c r="S951" s="17"/>
      <c r="T951" s="75"/>
      <c r="U951" s="75"/>
      <c r="V951" s="75"/>
      <c r="W951" s="75"/>
      <c r="X951" s="75"/>
    </row>
    <row r="952">
      <c r="A952" s="17"/>
      <c r="B952" s="17"/>
      <c r="C952" s="133"/>
      <c r="D952" s="133"/>
      <c r="E952" s="17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4"/>
      <c r="Q952" s="146"/>
      <c r="R952" s="17"/>
      <c r="S952" s="17"/>
      <c r="T952" s="75"/>
      <c r="U952" s="75"/>
      <c r="V952" s="75"/>
      <c r="W952" s="75"/>
      <c r="X952" s="75"/>
    </row>
    <row r="953">
      <c r="A953" s="17"/>
      <c r="B953" s="17"/>
      <c r="C953" s="133"/>
      <c r="D953" s="133"/>
      <c r="E953" s="17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4"/>
      <c r="Q953" s="146"/>
      <c r="R953" s="17"/>
      <c r="S953" s="17"/>
      <c r="T953" s="75"/>
      <c r="U953" s="75"/>
      <c r="V953" s="75"/>
      <c r="W953" s="75"/>
      <c r="X953" s="75"/>
    </row>
    <row r="954">
      <c r="A954" s="17"/>
      <c r="B954" s="17"/>
      <c r="C954" s="133"/>
      <c r="D954" s="133"/>
      <c r="E954" s="17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4"/>
      <c r="Q954" s="146"/>
      <c r="R954" s="17"/>
      <c r="S954" s="17"/>
      <c r="T954" s="75"/>
      <c r="U954" s="75"/>
      <c r="V954" s="75"/>
      <c r="W954" s="75"/>
      <c r="X954" s="75"/>
    </row>
    <row r="955">
      <c r="A955" s="17"/>
      <c r="B955" s="17"/>
      <c r="C955" s="133"/>
      <c r="D955" s="133"/>
      <c r="E955" s="17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4"/>
      <c r="Q955" s="146"/>
      <c r="R955" s="17"/>
      <c r="S955" s="17"/>
      <c r="T955" s="75"/>
      <c r="U955" s="75"/>
      <c r="V955" s="75"/>
      <c r="W955" s="75"/>
      <c r="X955" s="75"/>
    </row>
    <row r="956">
      <c r="A956" s="17"/>
      <c r="B956" s="17"/>
      <c r="C956" s="133"/>
      <c r="D956" s="133"/>
      <c r="E956" s="17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4"/>
      <c r="Q956" s="146"/>
      <c r="R956" s="17"/>
      <c r="S956" s="17"/>
      <c r="T956" s="75"/>
      <c r="U956" s="75"/>
      <c r="V956" s="75"/>
      <c r="W956" s="75"/>
      <c r="X956" s="75"/>
    </row>
    <row r="957">
      <c r="A957" s="17"/>
      <c r="B957" s="17"/>
      <c r="C957" s="133"/>
      <c r="D957" s="133"/>
      <c r="E957" s="17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4"/>
      <c r="Q957" s="146"/>
      <c r="R957" s="17"/>
      <c r="S957" s="17"/>
      <c r="T957" s="75"/>
      <c r="U957" s="75"/>
      <c r="V957" s="75"/>
      <c r="W957" s="75"/>
      <c r="X957" s="75"/>
    </row>
    <row r="958">
      <c r="A958" s="17"/>
      <c r="B958" s="17"/>
      <c r="C958" s="133"/>
      <c r="D958" s="133"/>
      <c r="E958" s="17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4"/>
      <c r="Q958" s="146"/>
      <c r="R958" s="17"/>
      <c r="S958" s="17"/>
      <c r="T958" s="75"/>
      <c r="U958" s="75"/>
      <c r="V958" s="75"/>
      <c r="W958" s="75"/>
      <c r="X958" s="75"/>
    </row>
    <row r="959">
      <c r="A959" s="17"/>
      <c r="B959" s="17"/>
      <c r="C959" s="133"/>
      <c r="D959" s="133"/>
      <c r="E959" s="17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4"/>
      <c r="Q959" s="146"/>
      <c r="R959" s="17"/>
      <c r="S959" s="17"/>
      <c r="T959" s="75"/>
      <c r="U959" s="75"/>
      <c r="V959" s="75"/>
      <c r="W959" s="75"/>
      <c r="X959" s="75"/>
    </row>
    <row r="960">
      <c r="A960" s="17"/>
      <c r="B960" s="17"/>
      <c r="C960" s="133"/>
      <c r="D960" s="133"/>
      <c r="E960" s="17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4"/>
      <c r="Q960" s="146"/>
      <c r="R960" s="17"/>
      <c r="S960" s="17"/>
      <c r="T960" s="75"/>
      <c r="U960" s="75"/>
      <c r="V960" s="75"/>
      <c r="W960" s="75"/>
      <c r="X960" s="75"/>
    </row>
    <row r="961">
      <c r="A961" s="17"/>
      <c r="B961" s="17"/>
      <c r="C961" s="133"/>
      <c r="D961" s="133"/>
      <c r="E961" s="17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4"/>
      <c r="Q961" s="146"/>
      <c r="R961" s="17"/>
      <c r="S961" s="17"/>
      <c r="T961" s="75"/>
      <c r="U961" s="75"/>
      <c r="V961" s="75"/>
      <c r="W961" s="75"/>
      <c r="X961" s="75"/>
    </row>
    <row r="962">
      <c r="A962" s="17"/>
      <c r="B962" s="17"/>
      <c r="C962" s="133"/>
      <c r="D962" s="133"/>
      <c r="E962" s="17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4"/>
      <c r="Q962" s="146"/>
      <c r="R962" s="17"/>
      <c r="S962" s="17"/>
      <c r="T962" s="75"/>
      <c r="U962" s="75"/>
      <c r="V962" s="75"/>
      <c r="W962" s="75"/>
      <c r="X962" s="75"/>
    </row>
    <row r="963">
      <c r="A963" s="17"/>
      <c r="B963" s="17"/>
      <c r="C963" s="133"/>
      <c r="D963" s="133"/>
      <c r="E963" s="17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4"/>
      <c r="Q963" s="146"/>
      <c r="R963" s="17"/>
      <c r="S963" s="17"/>
      <c r="T963" s="75"/>
      <c r="U963" s="75"/>
      <c r="V963" s="75"/>
      <c r="W963" s="75"/>
      <c r="X963" s="75"/>
    </row>
    <row r="964">
      <c r="A964" s="17"/>
      <c r="B964" s="17"/>
      <c r="C964" s="133"/>
      <c r="D964" s="133"/>
      <c r="E964" s="17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4"/>
      <c r="Q964" s="146"/>
      <c r="R964" s="17"/>
      <c r="S964" s="17"/>
      <c r="T964" s="75"/>
      <c r="U964" s="75"/>
      <c r="V964" s="75"/>
      <c r="W964" s="75"/>
      <c r="X964" s="75"/>
    </row>
    <row r="965">
      <c r="A965" s="17"/>
      <c r="B965" s="17"/>
      <c r="C965" s="133"/>
      <c r="D965" s="133"/>
      <c r="E965" s="17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4"/>
      <c r="Q965" s="146"/>
      <c r="R965" s="17"/>
      <c r="S965" s="17"/>
      <c r="T965" s="75"/>
      <c r="U965" s="75"/>
      <c r="V965" s="75"/>
      <c r="W965" s="75"/>
      <c r="X965" s="75"/>
    </row>
    <row r="966">
      <c r="A966" s="17"/>
      <c r="B966" s="17"/>
      <c r="C966" s="133"/>
      <c r="D966" s="133"/>
      <c r="E966" s="17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4"/>
      <c r="Q966" s="146"/>
      <c r="R966" s="17"/>
      <c r="S966" s="17"/>
      <c r="T966" s="75"/>
      <c r="U966" s="75"/>
      <c r="V966" s="75"/>
      <c r="W966" s="75"/>
      <c r="X966" s="75"/>
    </row>
    <row r="967">
      <c r="A967" s="17"/>
      <c r="B967" s="17"/>
      <c r="C967" s="133"/>
      <c r="D967" s="133"/>
      <c r="E967" s="17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4"/>
      <c r="Q967" s="146"/>
      <c r="R967" s="17"/>
      <c r="S967" s="17"/>
      <c r="T967" s="75"/>
      <c r="U967" s="75"/>
      <c r="V967" s="75"/>
      <c r="W967" s="75"/>
      <c r="X967" s="75"/>
    </row>
    <row r="968">
      <c r="A968" s="17"/>
      <c r="B968" s="17"/>
      <c r="C968" s="133"/>
      <c r="D968" s="133"/>
      <c r="E968" s="17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4"/>
      <c r="Q968" s="146"/>
      <c r="R968" s="17"/>
      <c r="S968" s="17"/>
      <c r="T968" s="75"/>
      <c r="U968" s="75"/>
      <c r="V968" s="75"/>
      <c r="W968" s="75"/>
      <c r="X968" s="75"/>
    </row>
    <row r="969">
      <c r="A969" s="17"/>
      <c r="B969" s="17"/>
      <c r="C969" s="133"/>
      <c r="D969" s="133"/>
      <c r="E969" s="17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4"/>
      <c r="Q969" s="146"/>
      <c r="R969" s="17"/>
      <c r="S969" s="17"/>
      <c r="T969" s="75"/>
      <c r="U969" s="75"/>
      <c r="V969" s="75"/>
      <c r="W969" s="75"/>
      <c r="X969" s="75"/>
    </row>
    <row r="970">
      <c r="A970" s="17"/>
      <c r="B970" s="17"/>
      <c r="C970" s="133"/>
      <c r="D970" s="133"/>
      <c r="E970" s="17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4"/>
      <c r="Q970" s="146"/>
      <c r="R970" s="17"/>
      <c r="S970" s="17"/>
      <c r="T970" s="75"/>
      <c r="U970" s="75"/>
      <c r="V970" s="75"/>
      <c r="W970" s="75"/>
      <c r="X970" s="75"/>
    </row>
    <row r="971">
      <c r="A971" s="17"/>
      <c r="B971" s="17"/>
      <c r="C971" s="133"/>
      <c r="D971" s="133"/>
      <c r="E971" s="17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4"/>
      <c r="Q971" s="146"/>
      <c r="R971" s="17"/>
      <c r="S971" s="17"/>
      <c r="T971" s="75"/>
      <c r="U971" s="75"/>
      <c r="V971" s="75"/>
      <c r="W971" s="75"/>
      <c r="X971" s="75"/>
    </row>
    <row r="972">
      <c r="A972" s="17"/>
      <c r="B972" s="17"/>
      <c r="C972" s="133"/>
      <c r="D972" s="133"/>
      <c r="E972" s="17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4"/>
      <c r="Q972" s="146"/>
      <c r="R972" s="17"/>
      <c r="S972" s="17"/>
      <c r="T972" s="75"/>
      <c r="U972" s="75"/>
      <c r="V972" s="75"/>
      <c r="W972" s="75"/>
      <c r="X972" s="75"/>
    </row>
    <row r="973">
      <c r="A973" s="17"/>
      <c r="B973" s="17"/>
      <c r="C973" s="133"/>
      <c r="D973" s="133"/>
      <c r="E973" s="17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4"/>
      <c r="Q973" s="146"/>
      <c r="R973" s="17"/>
      <c r="S973" s="17"/>
      <c r="T973" s="75"/>
      <c r="U973" s="75"/>
      <c r="V973" s="75"/>
      <c r="W973" s="75"/>
      <c r="X973" s="75"/>
    </row>
    <row r="974">
      <c r="A974" s="17"/>
      <c r="B974" s="17"/>
      <c r="C974" s="133"/>
      <c r="D974" s="133"/>
      <c r="E974" s="17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4"/>
      <c r="Q974" s="146"/>
      <c r="R974" s="17"/>
      <c r="S974" s="17"/>
      <c r="T974" s="75"/>
      <c r="U974" s="75"/>
      <c r="V974" s="75"/>
      <c r="W974" s="75"/>
      <c r="X974" s="75"/>
    </row>
    <row r="975">
      <c r="A975" s="17"/>
      <c r="B975" s="17"/>
      <c r="C975" s="133"/>
      <c r="D975" s="133"/>
      <c r="E975" s="17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4"/>
      <c r="Q975" s="146"/>
      <c r="R975" s="17"/>
      <c r="S975" s="17"/>
      <c r="T975" s="75"/>
      <c r="U975" s="75"/>
      <c r="V975" s="75"/>
      <c r="W975" s="75"/>
      <c r="X975" s="75"/>
    </row>
    <row r="976">
      <c r="A976" s="17"/>
      <c r="B976" s="17"/>
      <c r="C976" s="133"/>
      <c r="D976" s="133"/>
      <c r="E976" s="17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4"/>
      <c r="Q976" s="146"/>
      <c r="R976" s="17"/>
      <c r="S976" s="17"/>
      <c r="T976" s="75"/>
      <c r="U976" s="75"/>
      <c r="V976" s="75"/>
      <c r="W976" s="75"/>
      <c r="X976" s="75"/>
    </row>
    <row r="977">
      <c r="A977" s="17"/>
      <c r="B977" s="17"/>
      <c r="C977" s="133"/>
      <c r="D977" s="133"/>
      <c r="E977" s="17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4"/>
      <c r="Q977" s="146"/>
      <c r="R977" s="17"/>
      <c r="S977" s="17"/>
      <c r="T977" s="75"/>
      <c r="U977" s="75"/>
      <c r="V977" s="75"/>
      <c r="W977" s="75"/>
      <c r="X977" s="75"/>
    </row>
    <row r="978">
      <c r="A978" s="17"/>
      <c r="B978" s="17"/>
      <c r="C978" s="133"/>
      <c r="D978" s="133"/>
      <c r="E978" s="17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4"/>
      <c r="Q978" s="146"/>
      <c r="R978" s="17"/>
      <c r="S978" s="17"/>
      <c r="T978" s="75"/>
      <c r="U978" s="75"/>
      <c r="V978" s="75"/>
      <c r="W978" s="75"/>
      <c r="X978" s="75"/>
    </row>
    <row r="979">
      <c r="A979" s="17"/>
      <c r="B979" s="17"/>
      <c r="C979" s="133"/>
      <c r="D979" s="133"/>
      <c r="E979" s="17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4"/>
      <c r="Q979" s="146"/>
      <c r="R979" s="17"/>
      <c r="S979" s="17"/>
      <c r="T979" s="75"/>
      <c r="U979" s="75"/>
      <c r="V979" s="75"/>
      <c r="W979" s="75"/>
      <c r="X979" s="75"/>
    </row>
    <row r="980">
      <c r="A980" s="17"/>
      <c r="B980" s="17"/>
      <c r="C980" s="133"/>
      <c r="D980" s="133"/>
      <c r="E980" s="17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4"/>
      <c r="Q980" s="146"/>
      <c r="R980" s="17"/>
      <c r="S980" s="17"/>
      <c r="T980" s="75"/>
      <c r="U980" s="75"/>
      <c r="V980" s="75"/>
      <c r="W980" s="75"/>
      <c r="X980" s="75"/>
    </row>
    <row r="981">
      <c r="A981" s="17"/>
      <c r="B981" s="17"/>
      <c r="C981" s="133"/>
      <c r="D981" s="133"/>
      <c r="E981" s="17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4"/>
      <c r="Q981" s="146"/>
      <c r="R981" s="17"/>
      <c r="S981" s="17"/>
      <c r="T981" s="75"/>
      <c r="U981" s="75"/>
      <c r="V981" s="75"/>
      <c r="W981" s="75"/>
      <c r="X981" s="75"/>
    </row>
    <row r="982">
      <c r="A982" s="17"/>
      <c r="B982" s="17"/>
      <c r="C982" s="133"/>
      <c r="D982" s="133"/>
      <c r="E982" s="17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4"/>
      <c r="Q982" s="146"/>
      <c r="R982" s="17"/>
      <c r="S982" s="17"/>
      <c r="T982" s="75"/>
      <c r="U982" s="75"/>
      <c r="V982" s="75"/>
      <c r="W982" s="75"/>
      <c r="X982" s="75"/>
    </row>
    <row r="983">
      <c r="A983" s="17"/>
      <c r="B983" s="17"/>
      <c r="C983" s="133"/>
      <c r="D983" s="133"/>
      <c r="E983" s="17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4"/>
      <c r="Q983" s="146"/>
      <c r="R983" s="17"/>
      <c r="S983" s="17"/>
      <c r="T983" s="75"/>
      <c r="U983" s="75"/>
      <c r="V983" s="75"/>
      <c r="W983" s="75"/>
      <c r="X983" s="75"/>
    </row>
    <row r="984">
      <c r="A984" s="17"/>
      <c r="B984" s="17"/>
      <c r="C984" s="133"/>
      <c r="D984" s="133"/>
      <c r="E984" s="17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4"/>
      <c r="Q984" s="146"/>
      <c r="R984" s="17"/>
      <c r="S984" s="17"/>
      <c r="T984" s="75"/>
      <c r="U984" s="75"/>
      <c r="V984" s="75"/>
      <c r="W984" s="75"/>
      <c r="X984" s="75"/>
    </row>
    <row r="985">
      <c r="A985" s="17"/>
      <c r="B985" s="17"/>
      <c r="C985" s="133"/>
      <c r="D985" s="133"/>
      <c r="E985" s="17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4"/>
      <c r="Q985" s="146"/>
      <c r="R985" s="17"/>
      <c r="S985" s="17"/>
      <c r="T985" s="75"/>
      <c r="U985" s="75"/>
      <c r="V985" s="75"/>
      <c r="W985" s="75"/>
      <c r="X985" s="75"/>
    </row>
    <row r="986">
      <c r="A986" s="17"/>
      <c r="B986" s="17"/>
      <c r="C986" s="133"/>
      <c r="D986" s="133"/>
      <c r="E986" s="17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4"/>
      <c r="Q986" s="146"/>
      <c r="R986" s="17"/>
      <c r="S986" s="17"/>
      <c r="T986" s="75"/>
      <c r="U986" s="75"/>
      <c r="V986" s="75"/>
      <c r="W986" s="75"/>
      <c r="X986" s="75"/>
    </row>
    <row r="987">
      <c r="A987" s="17"/>
      <c r="B987" s="17"/>
      <c r="C987" s="133"/>
      <c r="D987" s="133"/>
      <c r="E987" s="17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4"/>
      <c r="Q987" s="146"/>
      <c r="R987" s="17"/>
      <c r="S987" s="17"/>
      <c r="T987" s="75"/>
      <c r="U987" s="75"/>
      <c r="V987" s="75"/>
      <c r="W987" s="75"/>
      <c r="X987" s="75"/>
    </row>
    <row r="988">
      <c r="A988" s="17"/>
      <c r="B988" s="17"/>
      <c r="C988" s="133"/>
      <c r="D988" s="133"/>
      <c r="E988" s="17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4"/>
      <c r="Q988" s="146"/>
      <c r="R988" s="17"/>
      <c r="S988" s="17"/>
      <c r="T988" s="75"/>
      <c r="U988" s="75"/>
      <c r="V988" s="75"/>
      <c r="W988" s="75"/>
      <c r="X988" s="75"/>
    </row>
    <row r="989">
      <c r="A989" s="17"/>
      <c r="B989" s="17"/>
      <c r="C989" s="133"/>
      <c r="D989" s="133"/>
      <c r="E989" s="17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4"/>
      <c r="Q989" s="146"/>
      <c r="R989" s="17"/>
      <c r="S989" s="17"/>
      <c r="T989" s="75"/>
      <c r="U989" s="75"/>
      <c r="V989" s="75"/>
      <c r="W989" s="75"/>
      <c r="X989" s="75"/>
    </row>
    <row r="990">
      <c r="A990" s="17"/>
      <c r="B990" s="17"/>
      <c r="C990" s="133"/>
      <c r="D990" s="133"/>
      <c r="E990" s="17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4"/>
      <c r="Q990" s="146"/>
      <c r="R990" s="17"/>
      <c r="S990" s="17"/>
      <c r="T990" s="75"/>
      <c r="U990" s="75"/>
      <c r="V990" s="75"/>
      <c r="W990" s="75"/>
      <c r="X990" s="75"/>
    </row>
    <row r="991">
      <c r="A991" s="17"/>
      <c r="B991" s="17"/>
      <c r="C991" s="133"/>
      <c r="D991" s="133"/>
      <c r="E991" s="17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4"/>
      <c r="Q991" s="146"/>
      <c r="R991" s="17"/>
      <c r="S991" s="17"/>
      <c r="T991" s="75"/>
      <c r="U991" s="75"/>
      <c r="V991" s="75"/>
      <c r="W991" s="75"/>
      <c r="X991" s="75"/>
    </row>
    <row r="992">
      <c r="A992" s="17"/>
      <c r="B992" s="17"/>
      <c r="C992" s="133"/>
      <c r="D992" s="133"/>
      <c r="E992" s="17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4"/>
      <c r="Q992" s="146"/>
      <c r="R992" s="17"/>
      <c r="S992" s="17"/>
      <c r="T992" s="75"/>
      <c r="U992" s="75"/>
      <c r="V992" s="75"/>
      <c r="W992" s="75"/>
      <c r="X992" s="75"/>
    </row>
    <row r="993">
      <c r="A993" s="17"/>
      <c r="B993" s="17"/>
      <c r="C993" s="133"/>
      <c r="D993" s="133"/>
      <c r="E993" s="17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4"/>
      <c r="Q993" s="146"/>
      <c r="R993" s="17"/>
      <c r="S993" s="17"/>
      <c r="T993" s="75"/>
      <c r="U993" s="75"/>
      <c r="V993" s="75"/>
      <c r="W993" s="75"/>
      <c r="X993" s="75"/>
    </row>
    <row r="994">
      <c r="A994" s="17"/>
      <c r="B994" s="17"/>
      <c r="C994" s="133"/>
      <c r="D994" s="133"/>
      <c r="E994" s="17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4"/>
      <c r="Q994" s="146"/>
      <c r="R994" s="17"/>
      <c r="S994" s="17"/>
      <c r="T994" s="75"/>
      <c r="U994" s="75"/>
      <c r="V994" s="75"/>
      <c r="W994" s="75"/>
      <c r="X994" s="75"/>
    </row>
    <row r="995">
      <c r="A995" s="17"/>
      <c r="B995" s="17"/>
      <c r="C995" s="133"/>
      <c r="D995" s="133"/>
      <c r="E995" s="17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4"/>
      <c r="Q995" s="146"/>
      <c r="R995" s="17"/>
      <c r="S995" s="17"/>
      <c r="T995" s="75"/>
      <c r="U995" s="75"/>
      <c r="V995" s="75"/>
      <c r="W995" s="75"/>
      <c r="X995" s="75"/>
    </row>
    <row r="996">
      <c r="A996" s="17"/>
      <c r="B996" s="17"/>
      <c r="C996" s="133"/>
      <c r="D996" s="133"/>
      <c r="E996" s="17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4"/>
      <c r="Q996" s="146"/>
      <c r="R996" s="17"/>
      <c r="S996" s="17"/>
      <c r="T996" s="75"/>
      <c r="U996" s="75"/>
      <c r="V996" s="75"/>
      <c r="W996" s="75"/>
      <c r="X996" s="75"/>
    </row>
    <row r="997">
      <c r="A997" s="17"/>
      <c r="B997" s="17"/>
      <c r="C997" s="133"/>
      <c r="D997" s="133"/>
      <c r="E997" s="17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4"/>
      <c r="Q997" s="146"/>
      <c r="R997" s="17"/>
      <c r="S997" s="17"/>
      <c r="T997" s="75"/>
      <c r="U997" s="75"/>
      <c r="V997" s="75"/>
      <c r="W997" s="75"/>
      <c r="X997" s="75"/>
    </row>
    <row r="998">
      <c r="A998" s="17"/>
      <c r="B998" s="17"/>
      <c r="C998" s="133"/>
      <c r="D998" s="133"/>
      <c r="E998" s="17"/>
      <c r="F998" s="133"/>
      <c r="G998" s="133"/>
      <c r="H998" s="133"/>
      <c r="I998" s="133"/>
      <c r="J998" s="133"/>
      <c r="K998" s="133"/>
      <c r="L998" s="133"/>
      <c r="M998" s="133"/>
      <c r="N998" s="133"/>
      <c r="O998" s="133"/>
      <c r="P998" s="134"/>
      <c r="Q998" s="146"/>
      <c r="R998" s="17"/>
      <c r="S998" s="17"/>
      <c r="T998" s="75"/>
      <c r="U998" s="75"/>
      <c r="V998" s="75"/>
      <c r="W998" s="75"/>
      <c r="X998" s="75"/>
    </row>
    <row r="999">
      <c r="A999" s="17"/>
      <c r="B999" s="17"/>
      <c r="C999" s="133"/>
      <c r="D999" s="133"/>
      <c r="E999" s="17"/>
      <c r="F999" s="133"/>
      <c r="G999" s="133"/>
      <c r="H999" s="133"/>
      <c r="I999" s="133"/>
      <c r="J999" s="133"/>
      <c r="K999" s="133"/>
      <c r="L999" s="133"/>
      <c r="M999" s="133"/>
      <c r="N999" s="133"/>
      <c r="O999" s="133"/>
      <c r="P999" s="134"/>
      <c r="Q999" s="146"/>
      <c r="R999" s="17"/>
      <c r="S999" s="17"/>
      <c r="T999" s="75"/>
      <c r="U999" s="75"/>
      <c r="V999" s="75"/>
      <c r="W999" s="75"/>
      <c r="X999" s="75"/>
    </row>
    <row r="1000">
      <c r="A1000" s="17"/>
      <c r="B1000" s="17"/>
      <c r="C1000" s="133"/>
      <c r="D1000" s="133"/>
      <c r="E1000" s="17"/>
      <c r="F1000" s="133"/>
      <c r="G1000" s="133"/>
      <c r="H1000" s="133"/>
      <c r="I1000" s="133"/>
      <c r="J1000" s="133"/>
      <c r="K1000" s="133"/>
      <c r="L1000" s="133"/>
      <c r="M1000" s="133"/>
      <c r="N1000" s="133"/>
      <c r="O1000" s="133"/>
      <c r="P1000" s="134"/>
      <c r="Q1000" s="146"/>
      <c r="R1000" s="17"/>
      <c r="S1000" s="17"/>
      <c r="T1000" s="75"/>
      <c r="U1000" s="75"/>
      <c r="V1000" s="75"/>
      <c r="W1000" s="75"/>
      <c r="X1000" s="75"/>
    </row>
    <row r="1001">
      <c r="A1001" s="17"/>
      <c r="B1001" s="17"/>
      <c r="C1001" s="133"/>
      <c r="D1001" s="133"/>
      <c r="E1001" s="17"/>
      <c r="F1001" s="133"/>
      <c r="G1001" s="133"/>
      <c r="H1001" s="133"/>
      <c r="I1001" s="133"/>
      <c r="J1001" s="133"/>
      <c r="K1001" s="133"/>
      <c r="L1001" s="133"/>
      <c r="M1001" s="133"/>
      <c r="N1001" s="133"/>
      <c r="O1001" s="133"/>
      <c r="P1001" s="134"/>
      <c r="Q1001" s="146"/>
      <c r="R1001" s="17"/>
      <c r="S1001" s="17"/>
      <c r="T1001" s="75"/>
      <c r="U1001" s="75"/>
      <c r="V1001" s="75"/>
      <c r="W1001" s="75"/>
      <c r="X1001" s="75"/>
    </row>
    <row r="1002">
      <c r="A1002" s="17"/>
      <c r="B1002" s="17"/>
      <c r="C1002" s="133"/>
      <c r="D1002" s="133"/>
      <c r="E1002" s="17"/>
      <c r="F1002" s="133"/>
      <c r="G1002" s="133"/>
      <c r="H1002" s="133"/>
      <c r="I1002" s="133"/>
      <c r="J1002" s="133"/>
      <c r="K1002" s="133"/>
      <c r="L1002" s="133"/>
      <c r="M1002" s="133"/>
      <c r="N1002" s="133"/>
      <c r="O1002" s="133"/>
      <c r="P1002" s="134"/>
      <c r="Q1002" s="146"/>
      <c r="R1002" s="17"/>
      <c r="S1002" s="17"/>
      <c r="T1002" s="75"/>
      <c r="U1002" s="75"/>
      <c r="V1002" s="75"/>
      <c r="W1002" s="75"/>
      <c r="X1002" s="75"/>
    </row>
    <row r="1003">
      <c r="A1003" s="17"/>
      <c r="B1003" s="17"/>
      <c r="C1003" s="133"/>
      <c r="D1003" s="133"/>
      <c r="E1003" s="17"/>
      <c r="F1003" s="133"/>
      <c r="G1003" s="133"/>
      <c r="H1003" s="133"/>
      <c r="I1003" s="133"/>
      <c r="J1003" s="133"/>
      <c r="K1003" s="133"/>
      <c r="L1003" s="133"/>
      <c r="M1003" s="133"/>
      <c r="N1003" s="133"/>
      <c r="O1003" s="133"/>
      <c r="P1003" s="134"/>
      <c r="Q1003" s="146"/>
      <c r="R1003" s="17"/>
      <c r="S1003" s="17"/>
      <c r="T1003" s="75"/>
      <c r="U1003" s="75"/>
      <c r="V1003" s="75"/>
      <c r="W1003" s="75"/>
      <c r="X1003" s="75"/>
    </row>
    <row r="1004">
      <c r="A1004" s="17"/>
      <c r="B1004" s="17"/>
      <c r="C1004" s="133"/>
      <c r="D1004" s="133"/>
      <c r="E1004" s="17"/>
      <c r="F1004" s="133"/>
      <c r="G1004" s="133"/>
      <c r="H1004" s="133"/>
      <c r="I1004" s="133"/>
      <c r="J1004" s="133"/>
      <c r="K1004" s="133"/>
      <c r="L1004" s="133"/>
      <c r="M1004" s="133"/>
      <c r="N1004" s="133"/>
      <c r="O1004" s="133"/>
      <c r="P1004" s="134"/>
      <c r="Q1004" s="146"/>
      <c r="R1004" s="17"/>
      <c r="S1004" s="17"/>
      <c r="T1004" s="75"/>
      <c r="U1004" s="75"/>
      <c r="V1004" s="75"/>
      <c r="W1004" s="75"/>
      <c r="X1004" s="75"/>
    </row>
    <row r="1005">
      <c r="A1005" s="17"/>
      <c r="B1005" s="17"/>
      <c r="C1005" s="133"/>
      <c r="D1005" s="133"/>
      <c r="E1005" s="17"/>
      <c r="F1005" s="133"/>
      <c r="G1005" s="133"/>
      <c r="H1005" s="133"/>
      <c r="I1005" s="133"/>
      <c r="J1005" s="133"/>
      <c r="K1005" s="133"/>
      <c r="L1005" s="133"/>
      <c r="M1005" s="133"/>
      <c r="N1005" s="133"/>
      <c r="O1005" s="133"/>
      <c r="P1005" s="134"/>
      <c r="Q1005" s="146"/>
      <c r="R1005" s="17"/>
      <c r="S1005" s="17"/>
      <c r="T1005" s="75"/>
      <c r="U1005" s="75"/>
      <c r="V1005" s="75"/>
      <c r="W1005" s="75"/>
      <c r="X1005" s="75"/>
    </row>
    <row r="1006">
      <c r="A1006" s="17"/>
      <c r="B1006" s="17"/>
      <c r="C1006" s="133"/>
      <c r="D1006" s="133"/>
      <c r="E1006" s="17"/>
      <c r="F1006" s="133"/>
      <c r="G1006" s="133"/>
      <c r="H1006" s="133"/>
      <c r="I1006" s="133"/>
      <c r="J1006" s="133"/>
      <c r="K1006" s="133"/>
      <c r="L1006" s="133"/>
      <c r="M1006" s="133"/>
      <c r="N1006" s="133"/>
      <c r="O1006" s="133"/>
      <c r="P1006" s="134"/>
      <c r="Q1006" s="146"/>
      <c r="R1006" s="17"/>
      <c r="S1006" s="17"/>
      <c r="T1006" s="75"/>
      <c r="U1006" s="75"/>
      <c r="V1006" s="75"/>
      <c r="W1006" s="75"/>
      <c r="X1006" s="75"/>
    </row>
    <row r="1007">
      <c r="A1007" s="17"/>
      <c r="B1007" s="17"/>
      <c r="C1007" s="133"/>
      <c r="D1007" s="133"/>
      <c r="E1007" s="17"/>
      <c r="F1007" s="133"/>
      <c r="G1007" s="133"/>
      <c r="H1007" s="133"/>
      <c r="I1007" s="133"/>
      <c r="J1007" s="133"/>
      <c r="K1007" s="133"/>
      <c r="L1007" s="133"/>
      <c r="M1007" s="133"/>
      <c r="N1007" s="133"/>
      <c r="O1007" s="133"/>
      <c r="P1007" s="134"/>
      <c r="Q1007" s="146"/>
      <c r="R1007" s="17"/>
      <c r="S1007" s="17"/>
      <c r="T1007" s="75"/>
      <c r="U1007" s="75"/>
      <c r="V1007" s="75"/>
      <c r="W1007" s="75"/>
      <c r="X1007" s="75"/>
    </row>
    <row r="1008">
      <c r="A1008" s="17"/>
      <c r="B1008" s="17"/>
      <c r="C1008" s="133"/>
      <c r="D1008" s="133"/>
      <c r="E1008" s="17"/>
      <c r="F1008" s="133"/>
      <c r="G1008" s="133"/>
      <c r="H1008" s="133"/>
      <c r="I1008" s="133"/>
      <c r="J1008" s="133"/>
      <c r="K1008" s="133"/>
      <c r="L1008" s="133"/>
      <c r="M1008" s="133"/>
      <c r="N1008" s="133"/>
      <c r="O1008" s="133"/>
      <c r="P1008" s="134"/>
      <c r="Q1008" s="146"/>
      <c r="R1008" s="17"/>
      <c r="S1008" s="17"/>
      <c r="T1008" s="75"/>
      <c r="U1008" s="75"/>
      <c r="V1008" s="75"/>
      <c r="W1008" s="75"/>
      <c r="X1008" s="75"/>
    </row>
    <row r="1009">
      <c r="A1009" s="17"/>
      <c r="B1009" s="17"/>
      <c r="C1009" s="133"/>
      <c r="D1009" s="133"/>
      <c r="E1009" s="17"/>
      <c r="F1009" s="133"/>
      <c r="G1009" s="133"/>
      <c r="H1009" s="133"/>
      <c r="I1009" s="133"/>
      <c r="J1009" s="133"/>
      <c r="K1009" s="133"/>
      <c r="L1009" s="133"/>
      <c r="M1009" s="133"/>
      <c r="N1009" s="133"/>
      <c r="O1009" s="133"/>
      <c r="P1009" s="134"/>
      <c r="Q1009" s="146"/>
      <c r="R1009" s="17"/>
      <c r="S1009" s="17"/>
      <c r="T1009" s="75"/>
      <c r="U1009" s="75"/>
      <c r="V1009" s="75"/>
      <c r="W1009" s="75"/>
      <c r="X1009" s="75"/>
    </row>
    <row r="1010">
      <c r="A1010" s="17"/>
      <c r="B1010" s="17"/>
      <c r="C1010" s="133"/>
      <c r="D1010" s="133"/>
      <c r="E1010" s="17"/>
      <c r="F1010" s="133"/>
      <c r="G1010" s="133"/>
      <c r="H1010" s="133"/>
      <c r="I1010" s="133"/>
      <c r="J1010" s="133"/>
      <c r="K1010" s="133"/>
      <c r="L1010" s="133"/>
      <c r="M1010" s="133"/>
      <c r="N1010" s="133"/>
      <c r="O1010" s="133"/>
      <c r="P1010" s="134"/>
      <c r="Q1010" s="146"/>
      <c r="R1010" s="17"/>
      <c r="S1010" s="17"/>
      <c r="T1010" s="75"/>
      <c r="U1010" s="75"/>
      <c r="V1010" s="75"/>
      <c r="W1010" s="75"/>
      <c r="X1010" s="75"/>
    </row>
    <row r="1011">
      <c r="A1011" s="17"/>
      <c r="B1011" s="17"/>
      <c r="C1011" s="133"/>
      <c r="D1011" s="133"/>
      <c r="E1011" s="17"/>
      <c r="F1011" s="133"/>
      <c r="G1011" s="133"/>
      <c r="H1011" s="133"/>
      <c r="I1011" s="133"/>
      <c r="J1011" s="133"/>
      <c r="K1011" s="133"/>
      <c r="L1011" s="133"/>
      <c r="M1011" s="133"/>
      <c r="N1011" s="133"/>
      <c r="O1011" s="133"/>
      <c r="P1011" s="134"/>
      <c r="Q1011" s="146"/>
      <c r="R1011" s="17"/>
      <c r="S1011" s="17"/>
      <c r="T1011" s="75"/>
      <c r="U1011" s="75"/>
      <c r="V1011" s="75"/>
      <c r="W1011" s="75"/>
      <c r="X1011" s="75"/>
    </row>
    <row r="1012">
      <c r="A1012" s="17"/>
      <c r="B1012" s="17"/>
      <c r="C1012" s="133"/>
      <c r="D1012" s="133"/>
      <c r="E1012" s="17"/>
      <c r="F1012" s="133"/>
      <c r="G1012" s="133"/>
      <c r="H1012" s="133"/>
      <c r="I1012" s="133"/>
      <c r="J1012" s="133"/>
      <c r="K1012" s="133"/>
      <c r="L1012" s="133"/>
      <c r="M1012" s="133"/>
      <c r="N1012" s="133"/>
      <c r="O1012" s="133"/>
      <c r="P1012" s="134"/>
      <c r="Q1012" s="146"/>
      <c r="R1012" s="17"/>
      <c r="S1012" s="17"/>
      <c r="T1012" s="75"/>
      <c r="U1012" s="75"/>
      <c r="V1012" s="75"/>
      <c r="W1012" s="75"/>
      <c r="X1012" s="75"/>
    </row>
    <row r="1013">
      <c r="A1013" s="17"/>
      <c r="B1013" s="17"/>
      <c r="C1013" s="133"/>
      <c r="D1013" s="133"/>
      <c r="E1013" s="17"/>
      <c r="F1013" s="133"/>
      <c r="G1013" s="133"/>
      <c r="H1013" s="133"/>
      <c r="I1013" s="133"/>
      <c r="J1013" s="133"/>
      <c r="K1013" s="133"/>
      <c r="L1013" s="133"/>
      <c r="M1013" s="133"/>
      <c r="N1013" s="133"/>
      <c r="O1013" s="133"/>
      <c r="P1013" s="134"/>
      <c r="Q1013" s="146"/>
      <c r="R1013" s="17"/>
      <c r="S1013" s="17"/>
      <c r="T1013" s="75"/>
      <c r="U1013" s="75"/>
      <c r="V1013" s="75"/>
      <c r="W1013" s="75"/>
      <c r="X1013" s="75"/>
    </row>
    <row r="1014">
      <c r="A1014" s="17"/>
      <c r="B1014" s="17"/>
      <c r="C1014" s="133"/>
      <c r="D1014" s="133"/>
      <c r="E1014" s="17"/>
      <c r="F1014" s="133"/>
      <c r="G1014" s="133"/>
      <c r="H1014" s="133"/>
      <c r="I1014" s="133"/>
      <c r="J1014" s="133"/>
      <c r="K1014" s="133"/>
      <c r="L1014" s="133"/>
      <c r="M1014" s="133"/>
      <c r="N1014" s="133"/>
      <c r="O1014" s="133"/>
      <c r="P1014" s="134"/>
      <c r="Q1014" s="146"/>
      <c r="R1014" s="17"/>
      <c r="S1014" s="17"/>
      <c r="T1014" s="75"/>
      <c r="U1014" s="75"/>
      <c r="V1014" s="75"/>
      <c r="W1014" s="75"/>
      <c r="X1014" s="75"/>
    </row>
    <row r="1015">
      <c r="A1015" s="17"/>
      <c r="B1015" s="17"/>
      <c r="C1015" s="133"/>
      <c r="D1015" s="133"/>
      <c r="E1015" s="17"/>
      <c r="F1015" s="133"/>
      <c r="G1015" s="133"/>
      <c r="H1015" s="133"/>
      <c r="I1015" s="133"/>
      <c r="J1015" s="133"/>
      <c r="K1015" s="133"/>
      <c r="L1015" s="133"/>
      <c r="M1015" s="133"/>
      <c r="N1015" s="133"/>
      <c r="O1015" s="133"/>
      <c r="P1015" s="134"/>
      <c r="Q1015" s="146"/>
      <c r="R1015" s="17"/>
      <c r="S1015" s="17"/>
      <c r="T1015" s="75"/>
      <c r="U1015" s="75"/>
      <c r="V1015" s="75"/>
      <c r="W1015" s="75"/>
      <c r="X1015" s="75"/>
    </row>
    <row r="1016">
      <c r="A1016" s="17"/>
      <c r="B1016" s="17"/>
      <c r="C1016" s="133"/>
      <c r="D1016" s="133"/>
      <c r="E1016" s="17"/>
      <c r="F1016" s="133"/>
      <c r="G1016" s="133"/>
      <c r="H1016" s="133"/>
      <c r="I1016" s="133"/>
      <c r="J1016" s="133"/>
      <c r="K1016" s="133"/>
      <c r="L1016" s="133"/>
      <c r="M1016" s="133"/>
      <c r="N1016" s="133"/>
      <c r="O1016" s="133"/>
      <c r="P1016" s="134"/>
      <c r="Q1016" s="146"/>
      <c r="R1016" s="17"/>
      <c r="S1016" s="17"/>
      <c r="T1016" s="75"/>
      <c r="U1016" s="75"/>
      <c r="V1016" s="75"/>
      <c r="W1016" s="75"/>
      <c r="X1016" s="75"/>
    </row>
    <row r="1017">
      <c r="A1017" s="17"/>
      <c r="B1017" s="17"/>
      <c r="C1017" s="133"/>
      <c r="D1017" s="133"/>
      <c r="E1017" s="17"/>
      <c r="F1017" s="133"/>
      <c r="G1017" s="133"/>
      <c r="H1017" s="133"/>
      <c r="I1017" s="133"/>
      <c r="J1017" s="133"/>
      <c r="K1017" s="133"/>
      <c r="L1017" s="133"/>
      <c r="M1017" s="133"/>
      <c r="N1017" s="133"/>
      <c r="O1017" s="133"/>
      <c r="P1017" s="134"/>
      <c r="Q1017" s="146"/>
      <c r="R1017" s="17"/>
      <c r="S1017" s="17"/>
      <c r="T1017" s="75"/>
      <c r="U1017" s="75"/>
      <c r="V1017" s="75"/>
      <c r="W1017" s="75"/>
      <c r="X1017" s="75"/>
    </row>
    <row r="1018">
      <c r="A1018" s="17"/>
      <c r="B1018" s="17"/>
      <c r="C1018" s="133"/>
      <c r="D1018" s="133"/>
      <c r="E1018" s="17"/>
      <c r="F1018" s="133"/>
      <c r="G1018" s="133"/>
      <c r="H1018" s="133"/>
      <c r="I1018" s="133"/>
      <c r="J1018" s="133"/>
      <c r="K1018" s="133"/>
      <c r="L1018" s="133"/>
      <c r="M1018" s="133"/>
      <c r="N1018" s="133"/>
      <c r="O1018" s="133"/>
      <c r="P1018" s="134"/>
      <c r="Q1018" s="146"/>
      <c r="R1018" s="17"/>
      <c r="S1018" s="17"/>
      <c r="T1018" s="75"/>
      <c r="U1018" s="75"/>
      <c r="V1018" s="75"/>
      <c r="W1018" s="75"/>
      <c r="X1018" s="75"/>
    </row>
    <row r="1019">
      <c r="A1019" s="17"/>
      <c r="B1019" s="17"/>
      <c r="C1019" s="133"/>
      <c r="D1019" s="133"/>
      <c r="E1019" s="17"/>
      <c r="F1019" s="133"/>
      <c r="G1019" s="133"/>
      <c r="H1019" s="133"/>
      <c r="I1019" s="133"/>
      <c r="J1019" s="133"/>
      <c r="K1019" s="133"/>
      <c r="L1019" s="133"/>
      <c r="M1019" s="133"/>
      <c r="N1019" s="133"/>
      <c r="O1019" s="133"/>
      <c r="P1019" s="134"/>
      <c r="Q1019" s="146"/>
      <c r="R1019" s="17"/>
      <c r="S1019" s="17"/>
      <c r="T1019" s="75"/>
      <c r="U1019" s="75"/>
      <c r="V1019" s="75"/>
      <c r="W1019" s="75"/>
      <c r="X1019" s="75"/>
    </row>
    <row r="1020">
      <c r="A1020" s="17"/>
      <c r="B1020" s="17"/>
      <c r="C1020" s="133"/>
      <c r="D1020" s="133"/>
      <c r="E1020" s="17"/>
      <c r="F1020" s="133"/>
      <c r="G1020" s="133"/>
      <c r="H1020" s="133"/>
      <c r="I1020" s="133"/>
      <c r="J1020" s="133"/>
      <c r="K1020" s="133"/>
      <c r="L1020" s="133"/>
      <c r="M1020" s="133"/>
      <c r="N1020" s="133"/>
      <c r="O1020" s="133"/>
      <c r="P1020" s="134"/>
      <c r="Q1020" s="146"/>
      <c r="R1020" s="17"/>
      <c r="S1020" s="17"/>
      <c r="T1020" s="75"/>
      <c r="U1020" s="75"/>
      <c r="V1020" s="75"/>
      <c r="W1020" s="75"/>
      <c r="X1020" s="75"/>
    </row>
    <row r="1021">
      <c r="A1021" s="17"/>
      <c r="B1021" s="17"/>
      <c r="C1021" s="133"/>
      <c r="D1021" s="133"/>
      <c r="E1021" s="17"/>
      <c r="F1021" s="133"/>
      <c r="G1021" s="133"/>
      <c r="H1021" s="133"/>
      <c r="I1021" s="133"/>
      <c r="J1021" s="133"/>
      <c r="K1021" s="133"/>
      <c r="L1021" s="133"/>
      <c r="M1021" s="133"/>
      <c r="N1021" s="133"/>
      <c r="O1021" s="133"/>
      <c r="P1021" s="134"/>
      <c r="Q1021" s="146"/>
      <c r="R1021" s="17"/>
      <c r="S1021" s="17"/>
      <c r="T1021" s="75"/>
      <c r="U1021" s="75"/>
      <c r="V1021" s="75"/>
      <c r="W1021" s="75"/>
      <c r="X1021" s="75"/>
    </row>
    <row r="1022">
      <c r="A1022" s="17"/>
      <c r="B1022" s="17"/>
      <c r="C1022" s="133"/>
      <c r="D1022" s="133"/>
      <c r="E1022" s="17"/>
      <c r="F1022" s="133"/>
      <c r="G1022" s="133"/>
      <c r="H1022" s="133"/>
      <c r="I1022" s="133"/>
      <c r="J1022" s="133"/>
      <c r="K1022" s="133"/>
      <c r="L1022" s="133"/>
      <c r="M1022" s="133"/>
      <c r="N1022" s="133"/>
      <c r="O1022" s="133"/>
      <c r="P1022" s="134"/>
      <c r="Q1022" s="146"/>
      <c r="R1022" s="17"/>
      <c r="S1022" s="17"/>
      <c r="T1022" s="75"/>
      <c r="U1022" s="75"/>
      <c r="V1022" s="75"/>
      <c r="W1022" s="75"/>
      <c r="X1022" s="75"/>
    </row>
    <row r="1023">
      <c r="A1023" s="17"/>
      <c r="B1023" s="17"/>
      <c r="C1023" s="133"/>
      <c r="D1023" s="133"/>
      <c r="E1023" s="17"/>
      <c r="F1023" s="133"/>
      <c r="G1023" s="133"/>
      <c r="H1023" s="133"/>
      <c r="I1023" s="133"/>
      <c r="J1023" s="133"/>
      <c r="K1023" s="133"/>
      <c r="L1023" s="133"/>
      <c r="M1023" s="133"/>
      <c r="N1023" s="133"/>
      <c r="O1023" s="133"/>
      <c r="P1023" s="134"/>
      <c r="Q1023" s="146"/>
      <c r="R1023" s="17"/>
      <c r="S1023" s="17"/>
      <c r="T1023" s="75"/>
      <c r="U1023" s="75"/>
      <c r="V1023" s="75"/>
      <c r="W1023" s="75"/>
      <c r="X1023" s="75"/>
    </row>
    <row r="1024">
      <c r="A1024" s="17"/>
      <c r="B1024" s="17"/>
      <c r="C1024" s="133"/>
      <c r="D1024" s="133"/>
      <c r="E1024" s="17"/>
      <c r="F1024" s="133"/>
      <c r="G1024" s="133"/>
      <c r="H1024" s="133"/>
      <c r="I1024" s="133"/>
      <c r="J1024" s="133"/>
      <c r="K1024" s="133"/>
      <c r="L1024" s="133"/>
      <c r="M1024" s="133"/>
      <c r="N1024" s="133"/>
      <c r="O1024" s="133"/>
      <c r="P1024" s="134"/>
      <c r="Q1024" s="146"/>
      <c r="R1024" s="17"/>
      <c r="S1024" s="17"/>
      <c r="T1024" s="75"/>
      <c r="U1024" s="75"/>
      <c r="V1024" s="75"/>
      <c r="W1024" s="75"/>
      <c r="X1024" s="75"/>
    </row>
    <row r="1025">
      <c r="A1025" s="17"/>
      <c r="B1025" s="17"/>
      <c r="C1025" s="133"/>
      <c r="D1025" s="133"/>
      <c r="E1025" s="17"/>
      <c r="F1025" s="133"/>
      <c r="G1025" s="133"/>
      <c r="H1025" s="133"/>
      <c r="I1025" s="133"/>
      <c r="J1025" s="133"/>
      <c r="K1025" s="133"/>
      <c r="L1025" s="133"/>
      <c r="M1025" s="133"/>
      <c r="N1025" s="133"/>
      <c r="O1025" s="133"/>
      <c r="P1025" s="134"/>
      <c r="Q1025" s="146"/>
      <c r="R1025" s="17"/>
      <c r="S1025" s="17"/>
      <c r="T1025" s="75"/>
      <c r="U1025" s="75"/>
      <c r="V1025" s="75"/>
      <c r="W1025" s="75"/>
      <c r="X1025" s="75"/>
    </row>
    <row r="1026">
      <c r="A1026" s="17"/>
      <c r="B1026" s="17"/>
      <c r="C1026" s="133"/>
      <c r="D1026" s="133"/>
      <c r="E1026" s="17"/>
      <c r="F1026" s="133"/>
      <c r="G1026" s="133"/>
      <c r="H1026" s="133"/>
      <c r="I1026" s="133"/>
      <c r="J1026" s="133"/>
      <c r="K1026" s="133"/>
      <c r="L1026" s="133"/>
      <c r="M1026" s="133"/>
      <c r="N1026" s="133"/>
      <c r="O1026" s="133"/>
      <c r="P1026" s="134"/>
      <c r="Q1026" s="146"/>
      <c r="R1026" s="17"/>
      <c r="S1026" s="17"/>
      <c r="T1026" s="75"/>
      <c r="U1026" s="75"/>
      <c r="V1026" s="75"/>
      <c r="W1026" s="75"/>
      <c r="X1026" s="75"/>
    </row>
    <row r="1027">
      <c r="A1027" s="17"/>
      <c r="B1027" s="17"/>
      <c r="C1027" s="133"/>
      <c r="D1027" s="133"/>
      <c r="E1027" s="17"/>
      <c r="F1027" s="133"/>
      <c r="G1027" s="133"/>
      <c r="H1027" s="133"/>
      <c r="I1027" s="133"/>
      <c r="J1027" s="133"/>
      <c r="K1027" s="133"/>
      <c r="L1027" s="133"/>
      <c r="M1027" s="133"/>
      <c r="N1027" s="133"/>
      <c r="O1027" s="133"/>
      <c r="P1027" s="134"/>
      <c r="Q1027" s="146"/>
      <c r="R1027" s="17"/>
      <c r="S1027" s="17"/>
      <c r="T1027" s="75"/>
      <c r="U1027" s="75"/>
      <c r="V1027" s="75"/>
      <c r="W1027" s="75"/>
      <c r="X1027" s="75"/>
    </row>
    <row r="1028">
      <c r="A1028" s="17"/>
      <c r="B1028" s="17"/>
      <c r="C1028" s="133"/>
      <c r="D1028" s="133"/>
      <c r="E1028" s="17"/>
      <c r="F1028" s="133"/>
      <c r="G1028" s="133"/>
      <c r="H1028" s="133"/>
      <c r="I1028" s="133"/>
      <c r="J1028" s="133"/>
      <c r="K1028" s="133"/>
      <c r="L1028" s="133"/>
      <c r="M1028" s="133"/>
      <c r="N1028" s="133"/>
      <c r="O1028" s="133"/>
      <c r="P1028" s="134"/>
      <c r="Q1028" s="146"/>
      <c r="R1028" s="17"/>
      <c r="S1028" s="17"/>
      <c r="T1028" s="75"/>
      <c r="U1028" s="75"/>
      <c r="V1028" s="75"/>
      <c r="W1028" s="75"/>
      <c r="X1028" s="75"/>
    </row>
    <row r="1029">
      <c r="A1029" s="17"/>
      <c r="B1029" s="17"/>
      <c r="C1029" s="133"/>
      <c r="D1029" s="133"/>
      <c r="E1029" s="17"/>
      <c r="F1029" s="133"/>
      <c r="G1029" s="133"/>
      <c r="H1029" s="133"/>
      <c r="I1029" s="133"/>
      <c r="J1029" s="133"/>
      <c r="K1029" s="133"/>
      <c r="L1029" s="133"/>
      <c r="M1029" s="133"/>
      <c r="N1029" s="133"/>
      <c r="O1029" s="133"/>
      <c r="P1029" s="134"/>
      <c r="Q1029" s="146"/>
      <c r="R1029" s="17"/>
      <c r="S1029" s="17"/>
      <c r="T1029" s="75"/>
      <c r="U1029" s="75"/>
      <c r="V1029" s="75"/>
      <c r="W1029" s="75"/>
      <c r="X1029" s="75"/>
    </row>
    <row r="1030">
      <c r="A1030" s="17"/>
      <c r="B1030" s="17"/>
      <c r="C1030" s="133"/>
      <c r="D1030" s="133"/>
      <c r="E1030" s="17"/>
      <c r="F1030" s="133"/>
      <c r="G1030" s="133"/>
      <c r="H1030" s="133"/>
      <c r="I1030" s="133"/>
      <c r="J1030" s="133"/>
      <c r="K1030" s="133"/>
      <c r="L1030" s="133"/>
      <c r="M1030" s="133"/>
      <c r="N1030" s="133"/>
      <c r="O1030" s="133"/>
      <c r="P1030" s="134"/>
      <c r="Q1030" s="146"/>
      <c r="R1030" s="17"/>
      <c r="S1030" s="17"/>
      <c r="T1030" s="75"/>
      <c r="U1030" s="75"/>
      <c r="V1030" s="75"/>
      <c r="W1030" s="75"/>
      <c r="X1030" s="75"/>
    </row>
    <row r="1031">
      <c r="A1031" s="17"/>
      <c r="B1031" s="17"/>
      <c r="C1031" s="133"/>
      <c r="D1031" s="133"/>
      <c r="E1031" s="17"/>
      <c r="F1031" s="133"/>
      <c r="G1031" s="133"/>
      <c r="H1031" s="133"/>
      <c r="I1031" s="133"/>
      <c r="J1031" s="133"/>
      <c r="K1031" s="133"/>
      <c r="L1031" s="133"/>
      <c r="M1031" s="133"/>
      <c r="N1031" s="133"/>
      <c r="O1031" s="133"/>
      <c r="P1031" s="134"/>
      <c r="Q1031" s="146"/>
      <c r="R1031" s="17"/>
      <c r="S1031" s="17"/>
      <c r="T1031" s="75"/>
      <c r="U1031" s="75"/>
      <c r="V1031" s="75"/>
      <c r="W1031" s="75"/>
      <c r="X1031" s="75"/>
    </row>
    <row r="1032">
      <c r="A1032" s="17"/>
      <c r="B1032" s="17"/>
      <c r="C1032" s="133"/>
      <c r="D1032" s="133"/>
      <c r="E1032" s="17"/>
      <c r="F1032" s="133"/>
      <c r="G1032" s="133"/>
      <c r="H1032" s="133"/>
      <c r="I1032" s="133"/>
      <c r="J1032" s="133"/>
      <c r="K1032" s="133"/>
      <c r="L1032" s="133"/>
      <c r="M1032" s="133"/>
      <c r="N1032" s="133"/>
      <c r="O1032" s="133"/>
      <c r="P1032" s="134"/>
      <c r="Q1032" s="146"/>
      <c r="R1032" s="17"/>
      <c r="S1032" s="17"/>
      <c r="T1032" s="75"/>
      <c r="U1032" s="75"/>
      <c r="V1032" s="75"/>
      <c r="W1032" s="75"/>
      <c r="X1032" s="75"/>
    </row>
    <row r="1033">
      <c r="A1033" s="17"/>
      <c r="B1033" s="17"/>
      <c r="C1033" s="133"/>
      <c r="D1033" s="133"/>
      <c r="E1033" s="17"/>
      <c r="F1033" s="133"/>
      <c r="G1033" s="133"/>
      <c r="H1033" s="133"/>
      <c r="I1033" s="133"/>
      <c r="J1033" s="133"/>
      <c r="K1033" s="133"/>
      <c r="L1033" s="133"/>
      <c r="M1033" s="133"/>
      <c r="N1033" s="133"/>
      <c r="O1033" s="133"/>
      <c r="P1033" s="134"/>
      <c r="Q1033" s="146"/>
      <c r="R1033" s="17"/>
      <c r="S1033" s="17"/>
      <c r="T1033" s="75"/>
      <c r="U1033" s="75"/>
      <c r="V1033" s="75"/>
      <c r="W1033" s="75"/>
      <c r="X1033" s="75"/>
    </row>
    <row r="1034">
      <c r="A1034" s="17"/>
      <c r="B1034" s="17"/>
      <c r="C1034" s="133"/>
      <c r="D1034" s="133"/>
      <c r="E1034" s="17"/>
      <c r="F1034" s="133"/>
      <c r="G1034" s="133"/>
      <c r="H1034" s="133"/>
      <c r="I1034" s="133"/>
      <c r="J1034" s="133"/>
      <c r="K1034" s="133"/>
      <c r="L1034" s="133"/>
      <c r="M1034" s="133"/>
      <c r="N1034" s="133"/>
      <c r="O1034" s="133"/>
      <c r="P1034" s="134"/>
      <c r="Q1034" s="146"/>
      <c r="R1034" s="17"/>
      <c r="S1034" s="17"/>
      <c r="T1034" s="75"/>
      <c r="U1034" s="75"/>
      <c r="V1034" s="75"/>
      <c r="W1034" s="75"/>
      <c r="X1034" s="75"/>
    </row>
    <row r="1035">
      <c r="A1035" s="17"/>
      <c r="B1035" s="17"/>
      <c r="C1035" s="133"/>
      <c r="D1035" s="133"/>
      <c r="E1035" s="17"/>
      <c r="F1035" s="133"/>
      <c r="G1035" s="133"/>
      <c r="H1035" s="133"/>
      <c r="I1035" s="133"/>
      <c r="J1035" s="133"/>
      <c r="K1035" s="133"/>
      <c r="L1035" s="133"/>
      <c r="M1035" s="133"/>
      <c r="N1035" s="133"/>
      <c r="O1035" s="133"/>
      <c r="P1035" s="134"/>
      <c r="Q1035" s="146"/>
      <c r="R1035" s="17"/>
      <c r="S1035" s="17"/>
      <c r="T1035" s="75"/>
      <c r="U1035" s="75"/>
      <c r="V1035" s="75"/>
      <c r="W1035" s="75"/>
      <c r="X1035" s="75"/>
    </row>
    <row r="1036">
      <c r="A1036" s="17"/>
      <c r="B1036" s="17"/>
      <c r="C1036" s="133"/>
      <c r="D1036" s="133"/>
      <c r="E1036" s="17"/>
      <c r="F1036" s="133"/>
      <c r="G1036" s="133"/>
      <c r="H1036" s="133"/>
      <c r="I1036" s="133"/>
      <c r="J1036" s="133"/>
      <c r="K1036" s="133"/>
      <c r="L1036" s="133"/>
      <c r="M1036" s="133"/>
      <c r="N1036" s="133"/>
      <c r="O1036" s="133"/>
      <c r="P1036" s="134"/>
      <c r="Q1036" s="146"/>
      <c r="R1036" s="17"/>
      <c r="S1036" s="17"/>
      <c r="T1036" s="75"/>
      <c r="U1036" s="75"/>
      <c r="V1036" s="75"/>
      <c r="W1036" s="75"/>
      <c r="X1036" s="75"/>
    </row>
    <row r="1037">
      <c r="A1037" s="17"/>
      <c r="B1037" s="17"/>
      <c r="C1037" s="133"/>
      <c r="D1037" s="133"/>
      <c r="E1037" s="17"/>
      <c r="F1037" s="133"/>
      <c r="G1037" s="133"/>
      <c r="H1037" s="133"/>
      <c r="I1037" s="133"/>
      <c r="J1037" s="133"/>
      <c r="K1037" s="133"/>
      <c r="L1037" s="133"/>
      <c r="M1037" s="133"/>
      <c r="N1037" s="133"/>
      <c r="O1037" s="133"/>
      <c r="P1037" s="134"/>
      <c r="Q1037" s="146"/>
      <c r="R1037" s="17"/>
      <c r="S1037" s="17"/>
      <c r="T1037" s="75"/>
      <c r="U1037" s="75"/>
      <c r="V1037" s="75"/>
      <c r="W1037" s="75"/>
      <c r="X1037" s="75"/>
    </row>
    <row r="1038">
      <c r="A1038" s="17"/>
      <c r="B1038" s="17"/>
      <c r="C1038" s="133"/>
      <c r="D1038" s="133"/>
      <c r="E1038" s="17"/>
      <c r="F1038" s="133"/>
      <c r="G1038" s="133"/>
      <c r="H1038" s="133"/>
      <c r="I1038" s="133"/>
      <c r="J1038" s="133"/>
      <c r="K1038" s="133"/>
      <c r="L1038" s="133"/>
      <c r="M1038" s="133"/>
      <c r="N1038" s="133"/>
      <c r="O1038" s="133"/>
      <c r="P1038" s="134"/>
      <c r="Q1038" s="146"/>
      <c r="R1038" s="17"/>
      <c r="S1038" s="17"/>
      <c r="T1038" s="75"/>
      <c r="U1038" s="75"/>
      <c r="V1038" s="75"/>
      <c r="W1038" s="75"/>
      <c r="X1038" s="75"/>
    </row>
    <row r="1039">
      <c r="A1039" s="17"/>
      <c r="B1039" s="17"/>
      <c r="C1039" s="133"/>
      <c r="D1039" s="133"/>
      <c r="E1039" s="17"/>
      <c r="F1039" s="133"/>
      <c r="G1039" s="133"/>
      <c r="H1039" s="133"/>
      <c r="I1039" s="133"/>
      <c r="J1039" s="133"/>
      <c r="K1039" s="133"/>
      <c r="L1039" s="133"/>
      <c r="M1039" s="133"/>
      <c r="N1039" s="133"/>
      <c r="O1039" s="133"/>
      <c r="P1039" s="134"/>
      <c r="Q1039" s="146"/>
      <c r="R1039" s="17"/>
      <c r="S1039" s="17"/>
      <c r="T1039" s="75"/>
      <c r="U1039" s="75"/>
      <c r="V1039" s="75"/>
      <c r="W1039" s="75"/>
      <c r="X1039" s="75"/>
    </row>
    <row r="1040">
      <c r="A1040" s="17"/>
      <c r="B1040" s="17"/>
      <c r="C1040" s="133"/>
      <c r="D1040" s="133"/>
      <c r="E1040" s="17"/>
      <c r="F1040" s="133"/>
      <c r="G1040" s="133"/>
      <c r="H1040" s="133"/>
      <c r="I1040" s="133"/>
      <c r="J1040" s="133"/>
      <c r="K1040" s="133"/>
      <c r="L1040" s="133"/>
      <c r="M1040" s="133"/>
      <c r="N1040" s="133"/>
      <c r="O1040" s="133"/>
      <c r="P1040" s="134"/>
      <c r="Q1040" s="146"/>
      <c r="R1040" s="17"/>
      <c r="S1040" s="17"/>
      <c r="T1040" s="75"/>
      <c r="U1040" s="75"/>
      <c r="V1040" s="75"/>
      <c r="W1040" s="75"/>
      <c r="X1040" s="75"/>
    </row>
    <row r="1041">
      <c r="A1041" s="17"/>
      <c r="B1041" s="17"/>
      <c r="C1041" s="133"/>
      <c r="D1041" s="133"/>
      <c r="E1041" s="17"/>
      <c r="F1041" s="133"/>
      <c r="G1041" s="133"/>
      <c r="H1041" s="133"/>
      <c r="I1041" s="133"/>
      <c r="J1041" s="133"/>
      <c r="K1041" s="133"/>
      <c r="L1041" s="133"/>
      <c r="M1041" s="133"/>
      <c r="N1041" s="133"/>
      <c r="O1041" s="133"/>
      <c r="P1041" s="134"/>
      <c r="Q1041" s="146"/>
      <c r="R1041" s="17"/>
      <c r="S1041" s="17"/>
      <c r="T1041" s="75"/>
      <c r="U1041" s="75"/>
      <c r="V1041" s="75"/>
      <c r="W1041" s="75"/>
      <c r="X1041" s="75"/>
    </row>
    <row r="1042">
      <c r="A1042" s="17"/>
      <c r="B1042" s="17"/>
      <c r="C1042" s="133"/>
      <c r="D1042" s="133"/>
      <c r="E1042" s="17"/>
      <c r="F1042" s="133"/>
      <c r="G1042" s="133"/>
      <c r="H1042" s="133"/>
      <c r="I1042" s="133"/>
      <c r="J1042" s="133"/>
      <c r="K1042" s="133"/>
      <c r="L1042" s="133"/>
      <c r="M1042" s="133"/>
      <c r="N1042" s="133"/>
      <c r="O1042" s="133"/>
      <c r="P1042" s="134"/>
      <c r="Q1042" s="146"/>
      <c r="R1042" s="17"/>
      <c r="S1042" s="17"/>
      <c r="T1042" s="75"/>
      <c r="U1042" s="75"/>
      <c r="V1042" s="75"/>
      <c r="W1042" s="75"/>
      <c r="X1042" s="75"/>
    </row>
    <row r="1043">
      <c r="A1043" s="17"/>
      <c r="B1043" s="17"/>
      <c r="C1043" s="133"/>
      <c r="D1043" s="133"/>
      <c r="E1043" s="17"/>
      <c r="F1043" s="133"/>
      <c r="G1043" s="133"/>
      <c r="H1043" s="133"/>
      <c r="I1043" s="133"/>
      <c r="J1043" s="133"/>
      <c r="K1043" s="133"/>
      <c r="L1043" s="133"/>
      <c r="M1043" s="133"/>
      <c r="N1043" s="133"/>
      <c r="O1043" s="133"/>
      <c r="P1043" s="134"/>
      <c r="Q1043" s="146"/>
      <c r="R1043" s="17"/>
      <c r="S1043" s="17"/>
      <c r="T1043" s="75"/>
      <c r="U1043" s="75"/>
      <c r="V1043" s="75"/>
      <c r="W1043" s="75"/>
      <c r="X1043" s="75"/>
    </row>
    <row r="1044">
      <c r="A1044" s="17"/>
      <c r="B1044" s="17"/>
      <c r="C1044" s="133"/>
      <c r="D1044" s="133"/>
      <c r="E1044" s="17"/>
      <c r="F1044" s="133"/>
      <c r="G1044" s="133"/>
      <c r="H1044" s="133"/>
      <c r="I1044" s="133"/>
      <c r="J1044" s="133"/>
      <c r="K1044" s="133"/>
      <c r="L1044" s="133"/>
      <c r="M1044" s="133"/>
      <c r="N1044" s="133"/>
      <c r="O1044" s="133"/>
      <c r="P1044" s="134"/>
      <c r="Q1044" s="146"/>
      <c r="R1044" s="17"/>
      <c r="S1044" s="17"/>
      <c r="T1044" s="75"/>
      <c r="U1044" s="75"/>
      <c r="V1044" s="75"/>
      <c r="W1044" s="75"/>
      <c r="X1044" s="75"/>
    </row>
    <row r="1045">
      <c r="A1045" s="17"/>
      <c r="B1045" s="17"/>
      <c r="C1045" s="133"/>
      <c r="D1045" s="133"/>
      <c r="E1045" s="17"/>
      <c r="F1045" s="133"/>
      <c r="G1045" s="133"/>
      <c r="H1045" s="133"/>
      <c r="I1045" s="133"/>
      <c r="J1045" s="133"/>
      <c r="K1045" s="133"/>
      <c r="L1045" s="133"/>
      <c r="M1045" s="133"/>
      <c r="N1045" s="133"/>
      <c r="O1045" s="133"/>
      <c r="P1045" s="134"/>
      <c r="Q1045" s="146"/>
      <c r="R1045" s="17"/>
      <c r="S1045" s="17"/>
      <c r="T1045" s="75"/>
      <c r="U1045" s="75"/>
      <c r="V1045" s="75"/>
      <c r="W1045" s="75"/>
      <c r="X1045" s="75"/>
    </row>
    <row r="1046">
      <c r="A1046" s="17"/>
      <c r="B1046" s="17"/>
      <c r="C1046" s="133"/>
      <c r="D1046" s="133"/>
      <c r="E1046" s="17"/>
      <c r="F1046" s="133"/>
      <c r="G1046" s="133"/>
      <c r="H1046" s="133"/>
      <c r="I1046" s="133"/>
      <c r="J1046" s="133"/>
      <c r="K1046" s="133"/>
      <c r="L1046" s="133"/>
      <c r="M1046" s="133"/>
      <c r="N1046" s="133"/>
      <c r="O1046" s="133"/>
      <c r="P1046" s="134"/>
      <c r="Q1046" s="146"/>
      <c r="R1046" s="17"/>
      <c r="S1046" s="17"/>
      <c r="T1046" s="75"/>
      <c r="U1046" s="75"/>
      <c r="V1046" s="75"/>
      <c r="W1046" s="75"/>
      <c r="X1046" s="75"/>
    </row>
    <row r="1047">
      <c r="A1047" s="17"/>
      <c r="B1047" s="17"/>
      <c r="C1047" s="133"/>
      <c r="D1047" s="133"/>
      <c r="E1047" s="17"/>
      <c r="F1047" s="133"/>
      <c r="G1047" s="133"/>
      <c r="H1047" s="133"/>
      <c r="I1047" s="133"/>
      <c r="J1047" s="133"/>
      <c r="K1047" s="133"/>
      <c r="L1047" s="133"/>
      <c r="M1047" s="133"/>
      <c r="N1047" s="133"/>
      <c r="O1047" s="133"/>
      <c r="P1047" s="134"/>
      <c r="Q1047" s="146"/>
      <c r="R1047" s="17"/>
      <c r="S1047" s="17"/>
      <c r="T1047" s="75"/>
      <c r="U1047" s="75"/>
      <c r="V1047" s="75"/>
      <c r="W1047" s="75"/>
      <c r="X1047" s="75"/>
    </row>
    <row r="1048">
      <c r="A1048" s="17"/>
      <c r="B1048" s="17"/>
      <c r="C1048" s="133"/>
      <c r="D1048" s="133"/>
      <c r="E1048" s="17"/>
      <c r="F1048" s="133"/>
      <c r="G1048" s="133"/>
      <c r="H1048" s="133"/>
      <c r="I1048" s="133"/>
      <c r="J1048" s="133"/>
      <c r="K1048" s="133"/>
      <c r="L1048" s="133"/>
      <c r="M1048" s="133"/>
      <c r="N1048" s="133"/>
      <c r="O1048" s="133"/>
      <c r="P1048" s="134"/>
      <c r="Q1048" s="146"/>
      <c r="R1048" s="17"/>
      <c r="S1048" s="17"/>
      <c r="T1048" s="75"/>
      <c r="U1048" s="75"/>
      <c r="V1048" s="75"/>
      <c r="W1048" s="75"/>
      <c r="X1048" s="75"/>
    </row>
    <row r="1049">
      <c r="A1049" s="17"/>
      <c r="B1049" s="17"/>
      <c r="C1049" s="133"/>
      <c r="D1049" s="133"/>
      <c r="E1049" s="17"/>
      <c r="F1049" s="133"/>
      <c r="G1049" s="133"/>
      <c r="H1049" s="133"/>
      <c r="I1049" s="133"/>
      <c r="J1049" s="133"/>
      <c r="K1049" s="133"/>
      <c r="L1049" s="133"/>
      <c r="M1049" s="133"/>
      <c r="N1049" s="133"/>
      <c r="O1049" s="133"/>
      <c r="P1049" s="134"/>
      <c r="Q1049" s="146"/>
      <c r="R1049" s="17"/>
      <c r="S1049" s="17"/>
      <c r="T1049" s="75"/>
      <c r="U1049" s="75"/>
      <c r="V1049" s="75"/>
      <c r="W1049" s="75"/>
      <c r="X1049" s="75"/>
    </row>
    <row r="1050">
      <c r="A1050" s="17"/>
      <c r="B1050" s="17"/>
      <c r="C1050" s="133"/>
      <c r="D1050" s="133"/>
      <c r="E1050" s="17"/>
      <c r="F1050" s="133"/>
      <c r="G1050" s="133"/>
      <c r="H1050" s="133"/>
      <c r="I1050" s="133"/>
      <c r="J1050" s="133"/>
      <c r="K1050" s="133"/>
      <c r="L1050" s="133"/>
      <c r="M1050" s="133"/>
      <c r="N1050" s="133"/>
      <c r="O1050" s="133"/>
      <c r="P1050" s="134"/>
      <c r="Q1050" s="146"/>
      <c r="R1050" s="17"/>
      <c r="S1050" s="17"/>
      <c r="T1050" s="75"/>
      <c r="U1050" s="75"/>
      <c r="V1050" s="75"/>
      <c r="W1050" s="75"/>
      <c r="X1050" s="75"/>
    </row>
    <row r="1051">
      <c r="A1051" s="17"/>
      <c r="B1051" s="17"/>
      <c r="C1051" s="133"/>
      <c r="D1051" s="133"/>
      <c r="E1051" s="17"/>
      <c r="F1051" s="133"/>
      <c r="G1051" s="133"/>
      <c r="H1051" s="133"/>
      <c r="I1051" s="133"/>
      <c r="J1051" s="133"/>
      <c r="K1051" s="133"/>
      <c r="L1051" s="133"/>
      <c r="M1051" s="133"/>
      <c r="N1051" s="133"/>
      <c r="O1051" s="133"/>
      <c r="P1051" s="134"/>
      <c r="Q1051" s="146"/>
      <c r="R1051" s="17"/>
      <c r="S1051" s="17"/>
      <c r="T1051" s="75"/>
      <c r="U1051" s="75"/>
      <c r="V1051" s="75"/>
      <c r="W1051" s="75"/>
      <c r="X1051" s="75"/>
    </row>
    <row r="1052">
      <c r="A1052" s="17"/>
      <c r="B1052" s="17"/>
      <c r="C1052" s="133"/>
      <c r="D1052" s="133"/>
      <c r="E1052" s="17"/>
      <c r="F1052" s="133"/>
      <c r="G1052" s="133"/>
      <c r="H1052" s="133"/>
      <c r="I1052" s="133"/>
      <c r="J1052" s="133"/>
      <c r="K1052" s="133"/>
      <c r="L1052" s="133"/>
      <c r="M1052" s="133"/>
      <c r="N1052" s="133"/>
      <c r="O1052" s="133"/>
      <c r="P1052" s="134"/>
      <c r="Q1052" s="146"/>
      <c r="R1052" s="17"/>
      <c r="S1052" s="17"/>
      <c r="T1052" s="75"/>
      <c r="U1052" s="75"/>
      <c r="V1052" s="75"/>
      <c r="W1052" s="75"/>
      <c r="X1052" s="75"/>
    </row>
    <row r="1053">
      <c r="A1053" s="17"/>
      <c r="B1053" s="17"/>
      <c r="C1053" s="133"/>
      <c r="D1053" s="133"/>
      <c r="E1053" s="17"/>
      <c r="F1053" s="133"/>
      <c r="G1053" s="133"/>
      <c r="H1053" s="133"/>
      <c r="I1053" s="133"/>
      <c r="J1053" s="133"/>
      <c r="K1053" s="133"/>
      <c r="L1053" s="133"/>
      <c r="M1053" s="133"/>
      <c r="N1053" s="133"/>
      <c r="O1053" s="133"/>
      <c r="P1053" s="134"/>
      <c r="Q1053" s="146"/>
      <c r="R1053" s="17"/>
      <c r="S1053" s="17"/>
      <c r="T1053" s="75"/>
      <c r="U1053" s="75"/>
      <c r="V1053" s="75"/>
      <c r="W1053" s="75"/>
      <c r="X1053" s="75"/>
    </row>
    <row r="1054">
      <c r="A1054" s="17"/>
      <c r="B1054" s="17"/>
      <c r="C1054" s="133"/>
      <c r="D1054" s="133"/>
      <c r="E1054" s="17"/>
      <c r="F1054" s="133"/>
      <c r="G1054" s="133"/>
      <c r="H1054" s="133"/>
      <c r="I1054" s="133"/>
      <c r="J1054" s="133"/>
      <c r="K1054" s="133"/>
      <c r="L1054" s="133"/>
      <c r="M1054" s="133"/>
      <c r="N1054" s="133"/>
      <c r="O1054" s="133"/>
      <c r="P1054" s="134"/>
      <c r="Q1054" s="146"/>
      <c r="R1054" s="17"/>
      <c r="S1054" s="17"/>
      <c r="T1054" s="75"/>
      <c r="U1054" s="75"/>
      <c r="V1054" s="75"/>
      <c r="W1054" s="75"/>
      <c r="X1054" s="75"/>
    </row>
    <row r="1055">
      <c r="A1055" s="17"/>
      <c r="B1055" s="17"/>
      <c r="C1055" s="133"/>
      <c r="D1055" s="133"/>
      <c r="E1055" s="17"/>
      <c r="F1055" s="133"/>
      <c r="G1055" s="133"/>
      <c r="H1055" s="133"/>
      <c r="I1055" s="133"/>
      <c r="J1055" s="133"/>
      <c r="K1055" s="133"/>
      <c r="L1055" s="133"/>
      <c r="M1055" s="133"/>
      <c r="N1055" s="133"/>
      <c r="O1055" s="133"/>
      <c r="P1055" s="134"/>
      <c r="Q1055" s="146"/>
      <c r="R1055" s="17"/>
      <c r="S1055" s="17"/>
      <c r="T1055" s="75"/>
      <c r="U1055" s="75"/>
      <c r="V1055" s="75"/>
      <c r="W1055" s="75"/>
      <c r="X1055" s="75"/>
    </row>
    <row r="1056">
      <c r="A1056" s="17"/>
      <c r="B1056" s="17"/>
      <c r="C1056" s="133"/>
      <c r="D1056" s="133"/>
      <c r="E1056" s="17"/>
      <c r="F1056" s="133"/>
      <c r="G1056" s="133"/>
      <c r="H1056" s="133"/>
      <c r="I1056" s="133"/>
      <c r="J1056" s="133"/>
      <c r="K1056" s="133"/>
      <c r="L1056" s="133"/>
      <c r="M1056" s="133"/>
      <c r="N1056" s="133"/>
      <c r="O1056" s="133"/>
      <c r="P1056" s="134"/>
      <c r="Q1056" s="146"/>
      <c r="R1056" s="17"/>
      <c r="S1056" s="17"/>
      <c r="T1056" s="75"/>
      <c r="U1056" s="75"/>
      <c r="V1056" s="75"/>
      <c r="W1056" s="75"/>
      <c r="X1056" s="75"/>
    </row>
    <row r="1057">
      <c r="A1057" s="17"/>
      <c r="B1057" s="17"/>
      <c r="C1057" s="133"/>
      <c r="D1057" s="133"/>
      <c r="E1057" s="17"/>
      <c r="F1057" s="133"/>
      <c r="G1057" s="133"/>
      <c r="H1057" s="133"/>
      <c r="I1057" s="133"/>
      <c r="J1057" s="133"/>
      <c r="K1057" s="133"/>
      <c r="L1057" s="133"/>
      <c r="M1057" s="133"/>
      <c r="N1057" s="133"/>
      <c r="O1057" s="133"/>
      <c r="P1057" s="134"/>
      <c r="Q1057" s="146"/>
      <c r="R1057" s="17"/>
      <c r="S1057" s="17"/>
      <c r="T1057" s="75"/>
      <c r="U1057" s="75"/>
      <c r="V1057" s="75"/>
      <c r="W1057" s="75"/>
      <c r="X1057" s="75"/>
    </row>
    <row r="1058">
      <c r="A1058" s="17"/>
      <c r="B1058" s="17"/>
      <c r="C1058" s="133"/>
      <c r="D1058" s="133"/>
      <c r="E1058" s="17"/>
      <c r="F1058" s="133"/>
      <c r="G1058" s="133"/>
      <c r="H1058" s="133"/>
      <c r="I1058" s="133"/>
      <c r="J1058" s="133"/>
      <c r="K1058" s="133"/>
      <c r="L1058" s="133"/>
      <c r="M1058" s="133"/>
      <c r="N1058" s="133"/>
      <c r="O1058" s="133"/>
      <c r="P1058" s="134"/>
      <c r="Q1058" s="146"/>
      <c r="R1058" s="17"/>
      <c r="S1058" s="17"/>
      <c r="T1058" s="75"/>
      <c r="U1058" s="75"/>
      <c r="V1058" s="75"/>
      <c r="W1058" s="75"/>
      <c r="X1058" s="75"/>
    </row>
    <row r="1059">
      <c r="A1059" s="17"/>
      <c r="B1059" s="17"/>
      <c r="C1059" s="133"/>
      <c r="D1059" s="133"/>
      <c r="E1059" s="17"/>
      <c r="F1059" s="133"/>
      <c r="G1059" s="133"/>
      <c r="H1059" s="133"/>
      <c r="I1059" s="133"/>
      <c r="J1059" s="133"/>
      <c r="K1059" s="133"/>
      <c r="L1059" s="133"/>
      <c r="M1059" s="133"/>
      <c r="N1059" s="133"/>
      <c r="O1059" s="133"/>
      <c r="P1059" s="134"/>
      <c r="Q1059" s="146"/>
      <c r="R1059" s="17"/>
      <c r="S1059" s="17"/>
      <c r="T1059" s="75"/>
      <c r="U1059" s="75"/>
      <c r="V1059" s="75"/>
      <c r="W1059" s="75"/>
      <c r="X1059" s="75"/>
    </row>
    <row r="1060">
      <c r="A1060" s="17"/>
      <c r="B1060" s="17"/>
      <c r="C1060" s="133"/>
      <c r="D1060" s="133"/>
      <c r="E1060" s="17"/>
      <c r="F1060" s="133"/>
      <c r="G1060" s="133"/>
      <c r="H1060" s="133"/>
      <c r="I1060" s="133"/>
      <c r="J1060" s="133"/>
      <c r="K1060" s="133"/>
      <c r="L1060" s="133"/>
      <c r="M1060" s="133"/>
      <c r="N1060" s="133"/>
      <c r="O1060" s="133"/>
      <c r="P1060" s="134"/>
      <c r="Q1060" s="146"/>
      <c r="R1060" s="17"/>
      <c r="S1060" s="17"/>
      <c r="T1060" s="75"/>
      <c r="U1060" s="75"/>
      <c r="V1060" s="75"/>
      <c r="W1060" s="75"/>
      <c r="X1060" s="75"/>
    </row>
    <row r="1061">
      <c r="A1061" s="17"/>
      <c r="B1061" s="17"/>
      <c r="C1061" s="133"/>
      <c r="D1061" s="133"/>
      <c r="E1061" s="17"/>
      <c r="F1061" s="133"/>
      <c r="G1061" s="133"/>
      <c r="H1061" s="133"/>
      <c r="I1061" s="133"/>
      <c r="J1061" s="133"/>
      <c r="K1061" s="133"/>
      <c r="L1061" s="133"/>
      <c r="M1061" s="133"/>
      <c r="N1061" s="133"/>
      <c r="O1061" s="133"/>
      <c r="P1061" s="134"/>
      <c r="Q1061" s="146"/>
      <c r="R1061" s="17"/>
      <c r="S1061" s="17"/>
      <c r="T1061" s="75"/>
      <c r="U1061" s="75"/>
      <c r="V1061" s="75"/>
      <c r="W1061" s="75"/>
      <c r="X1061" s="75"/>
    </row>
    <row r="1062">
      <c r="A1062" s="17"/>
      <c r="B1062" s="17"/>
      <c r="C1062" s="133"/>
      <c r="D1062" s="133"/>
      <c r="E1062" s="17"/>
      <c r="F1062" s="133"/>
      <c r="G1062" s="133"/>
      <c r="H1062" s="133"/>
      <c r="I1062" s="133"/>
      <c r="J1062" s="133"/>
      <c r="K1062" s="133"/>
      <c r="L1062" s="133"/>
      <c r="M1062" s="133"/>
      <c r="N1062" s="133"/>
      <c r="O1062" s="133"/>
      <c r="P1062" s="134"/>
      <c r="Q1062" s="146"/>
      <c r="R1062" s="17"/>
      <c r="S1062" s="17"/>
      <c r="T1062" s="75"/>
      <c r="U1062" s="75"/>
      <c r="V1062" s="75"/>
      <c r="W1062" s="75"/>
      <c r="X1062" s="75"/>
    </row>
    <row r="1063">
      <c r="A1063" s="17"/>
      <c r="B1063" s="17"/>
      <c r="C1063" s="133"/>
      <c r="D1063" s="133"/>
      <c r="E1063" s="17"/>
      <c r="F1063" s="133"/>
      <c r="G1063" s="133"/>
      <c r="H1063" s="133"/>
      <c r="I1063" s="133"/>
      <c r="J1063" s="133"/>
      <c r="K1063" s="133"/>
      <c r="L1063" s="133"/>
      <c r="M1063" s="133"/>
      <c r="N1063" s="133"/>
      <c r="O1063" s="133"/>
      <c r="P1063" s="134"/>
      <c r="Q1063" s="146"/>
      <c r="R1063" s="17"/>
      <c r="S1063" s="17"/>
      <c r="T1063" s="75"/>
      <c r="U1063" s="75"/>
      <c r="V1063" s="75"/>
      <c r="W1063" s="75"/>
      <c r="X1063" s="75"/>
    </row>
    <row r="1064">
      <c r="A1064" s="17"/>
      <c r="B1064" s="17"/>
      <c r="C1064" s="133"/>
      <c r="D1064" s="133"/>
      <c r="E1064" s="17"/>
      <c r="F1064" s="133"/>
      <c r="G1064" s="133"/>
      <c r="H1064" s="133"/>
      <c r="I1064" s="133"/>
      <c r="J1064" s="133"/>
      <c r="K1064" s="133"/>
      <c r="L1064" s="133"/>
      <c r="M1064" s="133"/>
      <c r="N1064" s="133"/>
      <c r="O1064" s="133"/>
      <c r="P1064" s="134"/>
      <c r="Q1064" s="146"/>
      <c r="R1064" s="17"/>
      <c r="S1064" s="17"/>
      <c r="T1064" s="75"/>
      <c r="U1064" s="75"/>
      <c r="V1064" s="75"/>
      <c r="W1064" s="75"/>
      <c r="X1064" s="75"/>
    </row>
    <row r="1065">
      <c r="A1065" s="17"/>
      <c r="B1065" s="17"/>
      <c r="C1065" s="133"/>
      <c r="D1065" s="133"/>
      <c r="E1065" s="17"/>
      <c r="F1065" s="133"/>
      <c r="G1065" s="133"/>
      <c r="H1065" s="133"/>
      <c r="I1065" s="133"/>
      <c r="J1065" s="133"/>
      <c r="K1065" s="133"/>
      <c r="L1065" s="133"/>
      <c r="M1065" s="133"/>
      <c r="N1065" s="133"/>
      <c r="O1065" s="133"/>
      <c r="P1065" s="134"/>
      <c r="Q1065" s="146"/>
      <c r="R1065" s="17"/>
      <c r="S1065" s="17"/>
      <c r="T1065" s="75"/>
      <c r="U1065" s="75"/>
      <c r="V1065" s="75"/>
      <c r="W1065" s="75"/>
      <c r="X1065" s="75"/>
    </row>
    <row r="1066">
      <c r="A1066" s="17"/>
      <c r="B1066" s="17"/>
      <c r="C1066" s="133"/>
      <c r="D1066" s="133"/>
      <c r="E1066" s="17"/>
      <c r="F1066" s="133"/>
      <c r="G1066" s="133"/>
      <c r="H1066" s="133"/>
      <c r="I1066" s="133"/>
      <c r="J1066" s="133"/>
      <c r="K1066" s="133"/>
      <c r="L1066" s="133"/>
      <c r="M1066" s="133"/>
      <c r="N1066" s="133"/>
      <c r="O1066" s="133"/>
      <c r="P1066" s="134"/>
      <c r="Q1066" s="146"/>
      <c r="R1066" s="17"/>
      <c r="S1066" s="17"/>
      <c r="T1066" s="75"/>
      <c r="U1066" s="75"/>
      <c r="V1066" s="75"/>
      <c r="W1066" s="75"/>
      <c r="X1066" s="75"/>
    </row>
    <row r="1067">
      <c r="A1067" s="17"/>
      <c r="B1067" s="17"/>
      <c r="C1067" s="133"/>
      <c r="D1067" s="133"/>
      <c r="E1067" s="17"/>
      <c r="F1067" s="133"/>
      <c r="G1067" s="133"/>
      <c r="H1067" s="133"/>
      <c r="I1067" s="133"/>
      <c r="J1067" s="133"/>
      <c r="K1067" s="133"/>
      <c r="L1067" s="133"/>
      <c r="M1067" s="133"/>
      <c r="N1067" s="133"/>
      <c r="O1067" s="133"/>
      <c r="P1067" s="134"/>
      <c r="Q1067" s="146"/>
      <c r="R1067" s="17"/>
      <c r="S1067" s="17"/>
      <c r="T1067" s="75"/>
      <c r="U1067" s="75"/>
      <c r="V1067" s="75"/>
      <c r="W1067" s="75"/>
      <c r="X1067" s="75"/>
    </row>
    <row r="1068">
      <c r="A1068" s="17"/>
      <c r="B1068" s="17"/>
      <c r="C1068" s="133"/>
      <c r="D1068" s="133"/>
      <c r="E1068" s="17"/>
      <c r="F1068" s="133"/>
      <c r="G1068" s="133"/>
      <c r="H1068" s="133"/>
      <c r="I1068" s="133"/>
      <c r="J1068" s="133"/>
      <c r="K1068" s="133"/>
      <c r="L1068" s="133"/>
      <c r="M1068" s="133"/>
      <c r="N1068" s="133"/>
      <c r="O1068" s="133"/>
      <c r="P1068" s="134"/>
      <c r="Q1068" s="146"/>
      <c r="R1068" s="17"/>
      <c r="S1068" s="17"/>
      <c r="T1068" s="75"/>
      <c r="U1068" s="75"/>
      <c r="V1068" s="75"/>
      <c r="W1068" s="75"/>
      <c r="X1068" s="75"/>
    </row>
    <row r="1069">
      <c r="A1069" s="17"/>
      <c r="B1069" s="17"/>
      <c r="C1069" s="133"/>
      <c r="D1069" s="133"/>
      <c r="E1069" s="17"/>
      <c r="F1069" s="133"/>
      <c r="G1069" s="133"/>
      <c r="H1069" s="133"/>
      <c r="I1069" s="133"/>
      <c r="J1069" s="133"/>
      <c r="K1069" s="133"/>
      <c r="L1069" s="133"/>
      <c r="M1069" s="133"/>
      <c r="N1069" s="133"/>
      <c r="O1069" s="133"/>
      <c r="P1069" s="134"/>
      <c r="Q1069" s="146"/>
      <c r="R1069" s="17"/>
      <c r="S1069" s="17"/>
      <c r="T1069" s="75"/>
      <c r="U1069" s="75"/>
      <c r="V1069" s="75"/>
      <c r="W1069" s="75"/>
      <c r="X1069" s="75"/>
    </row>
    <row r="1070">
      <c r="A1070" s="17"/>
      <c r="B1070" s="17"/>
      <c r="C1070" s="133"/>
      <c r="D1070" s="133"/>
      <c r="E1070" s="17"/>
      <c r="F1070" s="133"/>
      <c r="G1070" s="133"/>
      <c r="H1070" s="133"/>
      <c r="I1070" s="133"/>
      <c r="J1070" s="133"/>
      <c r="K1070" s="133"/>
      <c r="L1070" s="133"/>
      <c r="M1070" s="133"/>
      <c r="N1070" s="133"/>
      <c r="O1070" s="133"/>
      <c r="P1070" s="134"/>
      <c r="Q1070" s="146"/>
      <c r="R1070" s="17"/>
      <c r="S1070" s="17"/>
      <c r="T1070" s="75"/>
      <c r="U1070" s="75"/>
      <c r="V1070" s="75"/>
      <c r="W1070" s="75"/>
      <c r="X1070" s="75"/>
    </row>
    <row r="1071">
      <c r="A1071" s="17"/>
      <c r="B1071" s="17"/>
      <c r="C1071" s="133"/>
      <c r="D1071" s="133"/>
      <c r="E1071" s="17"/>
      <c r="F1071" s="133"/>
      <c r="G1071" s="133"/>
      <c r="H1071" s="133"/>
      <c r="I1071" s="133"/>
      <c r="J1071" s="133"/>
      <c r="K1071" s="133"/>
      <c r="L1071" s="133"/>
      <c r="M1071" s="133"/>
      <c r="N1071" s="133"/>
      <c r="O1071" s="133"/>
      <c r="P1071" s="134"/>
      <c r="Q1071" s="146"/>
      <c r="R1071" s="17"/>
      <c r="S1071" s="17"/>
      <c r="T1071" s="75"/>
      <c r="U1071" s="75"/>
      <c r="V1071" s="75"/>
      <c r="W1071" s="75"/>
      <c r="X1071" s="75"/>
    </row>
    <row r="1072">
      <c r="A1072" s="17"/>
      <c r="B1072" s="17"/>
      <c r="C1072" s="133"/>
      <c r="D1072" s="133"/>
      <c r="E1072" s="17"/>
      <c r="F1072" s="133"/>
      <c r="G1072" s="133"/>
      <c r="H1072" s="133"/>
      <c r="I1072" s="133"/>
      <c r="J1072" s="133"/>
      <c r="K1072" s="133"/>
      <c r="L1072" s="133"/>
      <c r="M1072" s="133"/>
      <c r="N1072" s="133"/>
      <c r="O1072" s="133"/>
      <c r="P1072" s="134"/>
      <c r="Q1072" s="146"/>
      <c r="R1072" s="17"/>
      <c r="S1072" s="17"/>
      <c r="T1072" s="75"/>
      <c r="U1072" s="75"/>
      <c r="V1072" s="75"/>
      <c r="W1072" s="75"/>
      <c r="X1072" s="75"/>
    </row>
    <row r="1073">
      <c r="A1073" s="17"/>
      <c r="B1073" s="17"/>
      <c r="C1073" s="133"/>
      <c r="D1073" s="133"/>
      <c r="E1073" s="17"/>
      <c r="F1073" s="133"/>
      <c r="G1073" s="133"/>
      <c r="H1073" s="133"/>
      <c r="I1073" s="133"/>
      <c r="J1073" s="133"/>
      <c r="K1073" s="133"/>
      <c r="L1073" s="133"/>
      <c r="M1073" s="133"/>
      <c r="N1073" s="133"/>
      <c r="O1073" s="133"/>
      <c r="P1073" s="134"/>
      <c r="Q1073" s="146"/>
      <c r="R1073" s="17"/>
      <c r="S1073" s="17"/>
      <c r="T1073" s="75"/>
      <c r="U1073" s="75"/>
      <c r="V1073" s="75"/>
      <c r="W1073" s="75"/>
      <c r="X1073" s="75"/>
    </row>
    <row r="1074">
      <c r="A1074" s="17"/>
      <c r="B1074" s="17"/>
      <c r="C1074" s="133"/>
      <c r="D1074" s="133"/>
      <c r="E1074" s="17"/>
      <c r="F1074" s="133"/>
      <c r="G1074" s="133"/>
      <c r="H1074" s="133"/>
      <c r="I1074" s="133"/>
      <c r="J1074" s="133"/>
      <c r="K1074" s="133"/>
      <c r="L1074" s="133"/>
      <c r="M1074" s="133"/>
      <c r="N1074" s="133"/>
      <c r="O1074" s="133"/>
      <c r="P1074" s="134"/>
      <c r="Q1074" s="146"/>
      <c r="R1074" s="17"/>
      <c r="S1074" s="17"/>
      <c r="T1074" s="75"/>
      <c r="U1074" s="75"/>
      <c r="V1074" s="75"/>
      <c r="W1074" s="75"/>
      <c r="X1074" s="75"/>
    </row>
    <row r="1075">
      <c r="A1075" s="17"/>
      <c r="B1075" s="17"/>
      <c r="C1075" s="133"/>
      <c r="D1075" s="133"/>
      <c r="E1075" s="17"/>
      <c r="F1075" s="133"/>
      <c r="G1075" s="133"/>
      <c r="H1075" s="133"/>
      <c r="I1075" s="133"/>
      <c r="J1075" s="133"/>
      <c r="K1075" s="133"/>
      <c r="L1075" s="133"/>
      <c r="M1075" s="133"/>
      <c r="N1075" s="133"/>
      <c r="O1075" s="133"/>
      <c r="P1075" s="134"/>
      <c r="Q1075" s="146"/>
      <c r="R1075" s="17"/>
      <c r="S1075" s="17"/>
      <c r="T1075" s="75"/>
      <c r="U1075" s="75"/>
      <c r="V1075" s="75"/>
      <c r="W1075" s="75"/>
      <c r="X1075" s="75"/>
    </row>
    <row r="1076">
      <c r="A1076" s="17"/>
      <c r="B1076" s="17"/>
      <c r="C1076" s="133"/>
      <c r="D1076" s="133"/>
      <c r="E1076" s="17"/>
      <c r="F1076" s="133"/>
      <c r="G1076" s="133"/>
      <c r="H1076" s="133"/>
      <c r="I1076" s="133"/>
      <c r="J1076" s="133"/>
      <c r="K1076" s="133"/>
      <c r="L1076" s="133"/>
      <c r="M1076" s="133"/>
      <c r="N1076" s="133"/>
      <c r="O1076" s="133"/>
      <c r="P1076" s="134"/>
      <c r="Q1076" s="146"/>
      <c r="R1076" s="17"/>
      <c r="S1076" s="17"/>
      <c r="T1076" s="75"/>
      <c r="U1076" s="75"/>
      <c r="V1076" s="75"/>
      <c r="W1076" s="75"/>
      <c r="X1076" s="75"/>
    </row>
    <row r="1077">
      <c r="A1077" s="17"/>
      <c r="B1077" s="17"/>
      <c r="C1077" s="133"/>
      <c r="D1077" s="133"/>
      <c r="E1077" s="17"/>
      <c r="F1077" s="133"/>
      <c r="G1077" s="133"/>
      <c r="H1077" s="133"/>
      <c r="I1077" s="133"/>
      <c r="J1077" s="133"/>
      <c r="K1077" s="133"/>
      <c r="L1077" s="133"/>
      <c r="M1077" s="133"/>
      <c r="N1077" s="133"/>
      <c r="O1077" s="133"/>
      <c r="P1077" s="134"/>
      <c r="Q1077" s="146"/>
      <c r="R1077" s="17"/>
      <c r="S1077" s="17"/>
      <c r="T1077" s="75"/>
      <c r="U1077" s="75"/>
      <c r="V1077" s="75"/>
      <c r="W1077" s="75"/>
      <c r="X1077" s="75"/>
    </row>
    <row r="1078">
      <c r="A1078" s="17"/>
      <c r="B1078" s="17"/>
      <c r="C1078" s="133"/>
      <c r="D1078" s="133"/>
      <c r="E1078" s="17"/>
      <c r="F1078" s="133"/>
      <c r="G1078" s="133"/>
      <c r="H1078" s="133"/>
      <c r="I1078" s="133"/>
      <c r="J1078" s="133"/>
      <c r="K1078" s="133"/>
      <c r="L1078" s="133"/>
      <c r="M1078" s="133"/>
      <c r="N1078" s="133"/>
      <c r="O1078" s="133"/>
      <c r="P1078" s="134"/>
      <c r="Q1078" s="146"/>
      <c r="R1078" s="17"/>
      <c r="S1078" s="17"/>
      <c r="T1078" s="75"/>
      <c r="U1078" s="75"/>
      <c r="V1078" s="75"/>
      <c r="W1078" s="75"/>
      <c r="X1078" s="75"/>
    </row>
    <row r="1079">
      <c r="A1079" s="17"/>
      <c r="B1079" s="17"/>
      <c r="C1079" s="133"/>
      <c r="D1079" s="133"/>
      <c r="E1079" s="17"/>
      <c r="F1079" s="133"/>
      <c r="G1079" s="133"/>
      <c r="H1079" s="133"/>
      <c r="I1079" s="133"/>
      <c r="J1079" s="133"/>
      <c r="K1079" s="133"/>
      <c r="L1079" s="133"/>
      <c r="M1079" s="133"/>
      <c r="N1079" s="133"/>
      <c r="O1079" s="133"/>
      <c r="P1079" s="134"/>
      <c r="Q1079" s="146"/>
      <c r="R1079" s="17"/>
      <c r="S1079" s="17"/>
      <c r="T1079" s="75"/>
      <c r="U1079" s="75"/>
      <c r="V1079" s="75"/>
      <c r="W1079" s="75"/>
      <c r="X1079" s="75"/>
    </row>
    <row r="1080">
      <c r="A1080" s="17"/>
      <c r="B1080" s="17"/>
      <c r="C1080" s="133"/>
      <c r="D1080" s="133"/>
      <c r="E1080" s="17"/>
      <c r="F1080" s="133"/>
      <c r="G1080" s="133"/>
      <c r="H1080" s="133"/>
      <c r="I1080" s="133"/>
      <c r="J1080" s="133"/>
      <c r="K1080" s="133"/>
      <c r="L1080" s="133"/>
      <c r="M1080" s="133"/>
      <c r="N1080" s="133"/>
      <c r="O1080" s="133"/>
      <c r="P1080" s="134"/>
      <c r="Q1080" s="146"/>
      <c r="R1080" s="17"/>
      <c r="S1080" s="17"/>
      <c r="T1080" s="75"/>
      <c r="U1080" s="75"/>
      <c r="V1080" s="75"/>
      <c r="W1080" s="75"/>
      <c r="X1080" s="75"/>
    </row>
    <row r="1081">
      <c r="A1081" s="17"/>
      <c r="B1081" s="17"/>
      <c r="C1081" s="133"/>
      <c r="D1081" s="133"/>
      <c r="E1081" s="17"/>
      <c r="F1081" s="133"/>
      <c r="G1081" s="133"/>
      <c r="H1081" s="133"/>
      <c r="I1081" s="133"/>
      <c r="J1081" s="133"/>
      <c r="K1081" s="133"/>
      <c r="L1081" s="133"/>
      <c r="M1081" s="133"/>
      <c r="N1081" s="133"/>
      <c r="O1081" s="133"/>
      <c r="P1081" s="134"/>
      <c r="Q1081" s="146"/>
      <c r="R1081" s="17"/>
      <c r="S1081" s="17"/>
      <c r="T1081" s="75"/>
      <c r="U1081" s="75"/>
      <c r="V1081" s="75"/>
      <c r="W1081" s="75"/>
      <c r="X1081" s="75"/>
    </row>
    <row r="1082">
      <c r="A1082" s="17"/>
      <c r="B1082" s="17"/>
      <c r="C1082" s="133"/>
      <c r="D1082" s="133"/>
      <c r="E1082" s="17"/>
      <c r="F1082" s="133"/>
      <c r="G1082" s="133"/>
      <c r="H1082" s="133"/>
      <c r="I1082" s="133"/>
      <c r="J1082" s="133"/>
      <c r="K1082" s="133"/>
      <c r="L1082" s="133"/>
      <c r="M1082" s="133"/>
      <c r="N1082" s="133"/>
      <c r="O1082" s="133"/>
      <c r="P1082" s="134"/>
      <c r="Q1082" s="146"/>
      <c r="R1082" s="17"/>
      <c r="S1082" s="17"/>
      <c r="T1082" s="75"/>
      <c r="U1082" s="75"/>
      <c r="V1082" s="75"/>
      <c r="W1082" s="75"/>
      <c r="X1082" s="75"/>
    </row>
    <row r="1083">
      <c r="A1083" s="17"/>
      <c r="B1083" s="17"/>
      <c r="C1083" s="133"/>
      <c r="D1083" s="133"/>
      <c r="E1083" s="17"/>
      <c r="F1083" s="133"/>
      <c r="G1083" s="133"/>
      <c r="H1083" s="133"/>
      <c r="I1083" s="133"/>
      <c r="J1083" s="133"/>
      <c r="K1083" s="133"/>
      <c r="L1083" s="133"/>
      <c r="M1083" s="133"/>
      <c r="N1083" s="133"/>
      <c r="O1083" s="133"/>
      <c r="P1083" s="134"/>
      <c r="Q1083" s="146"/>
      <c r="R1083" s="17"/>
      <c r="S1083" s="17"/>
      <c r="T1083" s="75"/>
      <c r="U1083" s="75"/>
      <c r="V1083" s="75"/>
      <c r="W1083" s="75"/>
      <c r="X1083" s="75"/>
    </row>
    <row r="1084">
      <c r="A1084" s="17"/>
      <c r="B1084" s="17"/>
      <c r="C1084" s="133"/>
      <c r="D1084" s="133"/>
      <c r="E1084" s="17"/>
      <c r="F1084" s="133"/>
      <c r="G1084" s="133"/>
      <c r="H1084" s="133"/>
      <c r="I1084" s="133"/>
      <c r="J1084" s="133"/>
      <c r="K1084" s="133"/>
      <c r="L1084" s="133"/>
      <c r="M1084" s="133"/>
      <c r="N1084" s="133"/>
      <c r="O1084" s="133"/>
      <c r="P1084" s="134"/>
      <c r="Q1084" s="146"/>
      <c r="R1084" s="17"/>
      <c r="S1084" s="17"/>
      <c r="T1084" s="75"/>
      <c r="U1084" s="75"/>
      <c r="V1084" s="75"/>
      <c r="W1084" s="75"/>
      <c r="X1084" s="75"/>
    </row>
    <row r="1085">
      <c r="A1085" s="17"/>
      <c r="B1085" s="17"/>
      <c r="C1085" s="133"/>
      <c r="D1085" s="133"/>
      <c r="E1085" s="17"/>
      <c r="F1085" s="133"/>
      <c r="G1085" s="133"/>
      <c r="H1085" s="133"/>
      <c r="I1085" s="133"/>
      <c r="J1085" s="133"/>
      <c r="K1085" s="133"/>
      <c r="L1085" s="133"/>
      <c r="M1085" s="133"/>
      <c r="N1085" s="133"/>
      <c r="O1085" s="133"/>
      <c r="P1085" s="134"/>
      <c r="Q1085" s="146"/>
      <c r="R1085" s="17"/>
      <c r="S1085" s="17"/>
      <c r="T1085" s="75"/>
      <c r="U1085" s="75"/>
      <c r="V1085" s="75"/>
      <c r="W1085" s="75"/>
      <c r="X1085" s="75"/>
    </row>
    <row r="1086">
      <c r="A1086" s="17"/>
      <c r="B1086" s="17"/>
      <c r="C1086" s="133"/>
      <c r="D1086" s="133"/>
      <c r="E1086" s="17"/>
      <c r="F1086" s="133"/>
      <c r="G1086" s="133"/>
      <c r="H1086" s="133"/>
      <c r="I1086" s="133"/>
      <c r="J1086" s="133"/>
      <c r="K1086" s="133"/>
      <c r="L1086" s="133"/>
      <c r="M1086" s="133"/>
      <c r="N1086" s="133"/>
      <c r="O1086" s="133"/>
      <c r="P1086" s="134"/>
      <c r="Q1086" s="146"/>
      <c r="R1086" s="17"/>
      <c r="S1086" s="17"/>
      <c r="T1086" s="75"/>
      <c r="U1086" s="75"/>
      <c r="V1086" s="75"/>
      <c r="W1086" s="75"/>
      <c r="X1086" s="75"/>
    </row>
    <row r="1087">
      <c r="A1087" s="17"/>
      <c r="B1087" s="17"/>
      <c r="C1087" s="133"/>
      <c r="D1087" s="133"/>
      <c r="E1087" s="17"/>
      <c r="F1087" s="133"/>
      <c r="G1087" s="133"/>
      <c r="H1087" s="133"/>
      <c r="I1087" s="133"/>
      <c r="J1087" s="133"/>
      <c r="K1087" s="133"/>
      <c r="L1087" s="133"/>
      <c r="M1087" s="133"/>
      <c r="N1087" s="133"/>
      <c r="O1087" s="133"/>
      <c r="P1087" s="134"/>
      <c r="Q1087" s="146"/>
      <c r="R1087" s="17"/>
      <c r="S1087" s="17"/>
      <c r="T1087" s="75"/>
      <c r="U1087" s="75"/>
      <c r="V1087" s="75"/>
      <c r="W1087" s="75"/>
      <c r="X1087" s="75"/>
    </row>
    <row r="1088">
      <c r="A1088" s="17"/>
      <c r="B1088" s="17"/>
      <c r="C1088" s="133"/>
      <c r="D1088" s="133"/>
      <c r="E1088" s="17"/>
      <c r="F1088" s="133"/>
      <c r="G1088" s="133"/>
      <c r="H1088" s="133"/>
      <c r="I1088" s="133"/>
      <c r="J1088" s="133"/>
      <c r="K1088" s="133"/>
      <c r="L1088" s="133"/>
      <c r="M1088" s="133"/>
      <c r="N1088" s="133"/>
      <c r="O1088" s="133"/>
      <c r="P1088" s="134"/>
      <c r="Q1088" s="146"/>
      <c r="R1088" s="17"/>
      <c r="S1088" s="17"/>
      <c r="T1088" s="75"/>
      <c r="U1088" s="75"/>
      <c r="V1088" s="75"/>
      <c r="W1088" s="75"/>
      <c r="X1088" s="75"/>
    </row>
    <row r="1089">
      <c r="A1089" s="17"/>
      <c r="B1089" s="17"/>
      <c r="C1089" s="133"/>
      <c r="D1089" s="133"/>
      <c r="E1089" s="17"/>
      <c r="F1089" s="133"/>
      <c r="G1089" s="133"/>
      <c r="H1089" s="133"/>
      <c r="I1089" s="133"/>
      <c r="J1089" s="133"/>
      <c r="K1089" s="133"/>
      <c r="L1089" s="133"/>
      <c r="M1089" s="133"/>
      <c r="N1089" s="133"/>
      <c r="O1089" s="133"/>
      <c r="P1089" s="134"/>
      <c r="Q1089" s="146"/>
      <c r="R1089" s="17"/>
      <c r="S1089" s="17"/>
      <c r="T1089" s="75"/>
      <c r="U1089" s="75"/>
      <c r="V1089" s="75"/>
      <c r="W1089" s="75"/>
      <c r="X1089" s="75"/>
    </row>
    <row r="1090">
      <c r="A1090" s="17"/>
      <c r="B1090" s="17"/>
      <c r="C1090" s="133"/>
      <c r="D1090" s="133"/>
      <c r="E1090" s="17"/>
      <c r="F1090" s="133"/>
      <c r="G1090" s="133"/>
      <c r="H1090" s="133"/>
      <c r="I1090" s="133"/>
      <c r="J1090" s="133"/>
      <c r="K1090" s="133"/>
      <c r="L1090" s="133"/>
      <c r="M1090" s="133"/>
      <c r="N1090" s="133"/>
      <c r="O1090" s="133"/>
      <c r="P1090" s="134"/>
      <c r="Q1090" s="146"/>
      <c r="R1090" s="17"/>
      <c r="S1090" s="17"/>
      <c r="T1090" s="75"/>
      <c r="U1090" s="75"/>
      <c r="V1090" s="75"/>
      <c r="W1090" s="75"/>
      <c r="X1090" s="75"/>
    </row>
    <row r="1091">
      <c r="A1091" s="17"/>
      <c r="B1091" s="17"/>
      <c r="C1091" s="133"/>
      <c r="D1091" s="133"/>
      <c r="E1091" s="17"/>
      <c r="F1091" s="133"/>
      <c r="G1091" s="133"/>
      <c r="H1091" s="133"/>
      <c r="I1091" s="133"/>
      <c r="J1091" s="133"/>
      <c r="K1091" s="133"/>
      <c r="L1091" s="133"/>
      <c r="M1091" s="133"/>
      <c r="N1091" s="133"/>
      <c r="O1091" s="133"/>
      <c r="P1091" s="134"/>
      <c r="Q1091" s="146"/>
      <c r="R1091" s="17"/>
      <c r="S1091" s="17"/>
      <c r="T1091" s="75"/>
      <c r="U1091" s="75"/>
      <c r="V1091" s="75"/>
      <c r="W1091" s="75"/>
      <c r="X1091" s="75"/>
    </row>
    <row r="1092">
      <c r="A1092" s="17"/>
      <c r="B1092" s="17"/>
      <c r="C1092" s="133"/>
      <c r="D1092" s="133"/>
      <c r="E1092" s="17"/>
      <c r="F1092" s="133"/>
      <c r="G1092" s="133"/>
      <c r="H1092" s="133"/>
      <c r="I1092" s="133"/>
      <c r="J1092" s="133"/>
      <c r="K1092" s="133"/>
      <c r="L1092" s="133"/>
      <c r="M1092" s="133"/>
      <c r="N1092" s="133"/>
      <c r="O1092" s="133"/>
      <c r="P1092" s="134"/>
      <c r="Q1092" s="146"/>
      <c r="R1092" s="17"/>
      <c r="S1092" s="17"/>
      <c r="T1092" s="75"/>
      <c r="U1092" s="75"/>
      <c r="V1092" s="75"/>
      <c r="W1092" s="75"/>
      <c r="X1092" s="75"/>
    </row>
    <row r="1093">
      <c r="A1093" s="17"/>
      <c r="B1093" s="17"/>
      <c r="C1093" s="133"/>
      <c r="D1093" s="133"/>
      <c r="E1093" s="17"/>
      <c r="F1093" s="133"/>
      <c r="G1093" s="133"/>
      <c r="H1093" s="133"/>
      <c r="I1093" s="133"/>
      <c r="J1093" s="133"/>
      <c r="K1093" s="133"/>
      <c r="L1093" s="133"/>
      <c r="M1093" s="133"/>
      <c r="N1093" s="133"/>
      <c r="O1093" s="133"/>
      <c r="P1093" s="134"/>
      <c r="Q1093" s="146"/>
      <c r="R1093" s="17"/>
      <c r="S1093" s="17"/>
      <c r="T1093" s="75"/>
      <c r="U1093" s="75"/>
      <c r="V1093" s="75"/>
      <c r="W1093" s="75"/>
      <c r="X1093" s="75"/>
    </row>
    <row r="1094">
      <c r="A1094" s="17"/>
      <c r="B1094" s="17"/>
      <c r="C1094" s="133"/>
      <c r="D1094" s="133"/>
      <c r="E1094" s="17"/>
      <c r="F1094" s="133"/>
      <c r="G1094" s="133"/>
      <c r="H1094" s="133"/>
      <c r="I1094" s="133"/>
      <c r="J1094" s="133"/>
      <c r="K1094" s="133"/>
      <c r="L1094" s="133"/>
      <c r="M1094" s="133"/>
      <c r="N1094" s="133"/>
      <c r="O1094" s="133"/>
      <c r="P1094" s="134"/>
      <c r="Q1094" s="146"/>
      <c r="R1094" s="17"/>
      <c r="S1094" s="17"/>
      <c r="T1094" s="75"/>
      <c r="U1094" s="75"/>
      <c r="V1094" s="75"/>
      <c r="W1094" s="75"/>
      <c r="X1094" s="75"/>
    </row>
    <row r="1095">
      <c r="A1095" s="17"/>
      <c r="B1095" s="17"/>
      <c r="C1095" s="133"/>
      <c r="D1095" s="133"/>
      <c r="E1095" s="17"/>
      <c r="F1095" s="133"/>
      <c r="G1095" s="133"/>
      <c r="H1095" s="133"/>
      <c r="I1095" s="133"/>
      <c r="J1095" s="133"/>
      <c r="K1095" s="133"/>
      <c r="L1095" s="133"/>
      <c r="M1095" s="133"/>
      <c r="N1095" s="133"/>
      <c r="O1095" s="133"/>
      <c r="P1095" s="134"/>
      <c r="Q1095" s="146"/>
      <c r="R1095" s="17"/>
      <c r="S1095" s="17"/>
      <c r="T1095" s="75"/>
      <c r="U1095" s="75"/>
      <c r="V1095" s="75"/>
      <c r="W1095" s="75"/>
      <c r="X1095" s="75"/>
    </row>
    <row r="1096">
      <c r="A1096" s="17"/>
      <c r="B1096" s="17"/>
      <c r="C1096" s="133"/>
      <c r="D1096" s="133"/>
      <c r="E1096" s="17"/>
      <c r="F1096" s="133"/>
      <c r="G1096" s="133"/>
      <c r="H1096" s="133"/>
      <c r="I1096" s="133"/>
      <c r="J1096" s="133"/>
      <c r="K1096" s="133"/>
      <c r="L1096" s="133"/>
      <c r="M1096" s="133"/>
      <c r="N1096" s="133"/>
      <c r="O1096" s="133"/>
      <c r="P1096" s="134"/>
      <c r="Q1096" s="146"/>
      <c r="R1096" s="17"/>
      <c r="S1096" s="17"/>
      <c r="T1096" s="75"/>
      <c r="U1096" s="75"/>
      <c r="V1096" s="75"/>
      <c r="W1096" s="75"/>
      <c r="X1096" s="75"/>
    </row>
    <row r="1097">
      <c r="A1097" s="17"/>
      <c r="B1097" s="17"/>
      <c r="C1097" s="133"/>
      <c r="D1097" s="133"/>
      <c r="E1097" s="17"/>
      <c r="F1097" s="133"/>
      <c r="G1097" s="133"/>
      <c r="H1097" s="133"/>
      <c r="I1097" s="133"/>
      <c r="J1097" s="133"/>
      <c r="K1097" s="133"/>
      <c r="L1097" s="133"/>
      <c r="M1097" s="133"/>
      <c r="N1097" s="133"/>
      <c r="O1097" s="133"/>
      <c r="P1097" s="134"/>
      <c r="Q1097" s="146"/>
      <c r="R1097" s="17"/>
      <c r="S1097" s="17"/>
      <c r="T1097" s="75"/>
      <c r="U1097" s="75"/>
      <c r="V1097" s="75"/>
      <c r="W1097" s="75"/>
      <c r="X1097" s="75"/>
    </row>
    <row r="1098">
      <c r="A1098" s="17"/>
      <c r="B1098" s="17"/>
      <c r="C1098" s="133"/>
      <c r="D1098" s="133"/>
      <c r="E1098" s="17"/>
      <c r="F1098" s="133"/>
      <c r="G1098" s="133"/>
      <c r="H1098" s="133"/>
      <c r="I1098" s="133"/>
      <c r="J1098" s="133"/>
      <c r="K1098" s="133"/>
      <c r="L1098" s="133"/>
      <c r="M1098" s="133"/>
      <c r="N1098" s="133"/>
      <c r="O1098" s="133"/>
      <c r="P1098" s="134"/>
      <c r="Q1098" s="146"/>
      <c r="R1098" s="17"/>
      <c r="S1098" s="17"/>
      <c r="T1098" s="75"/>
      <c r="U1098" s="75"/>
      <c r="V1098" s="75"/>
      <c r="W1098" s="75"/>
      <c r="X1098" s="75"/>
    </row>
    <row r="1099">
      <c r="A1099" s="17"/>
      <c r="B1099" s="17"/>
      <c r="C1099" s="133"/>
      <c r="D1099" s="133"/>
      <c r="E1099" s="17"/>
      <c r="F1099" s="133"/>
      <c r="G1099" s="133"/>
      <c r="H1099" s="133"/>
      <c r="I1099" s="133"/>
      <c r="J1099" s="133"/>
      <c r="K1099" s="133"/>
      <c r="L1099" s="133"/>
      <c r="M1099" s="133"/>
      <c r="N1099" s="133"/>
      <c r="O1099" s="133"/>
      <c r="P1099" s="134"/>
      <c r="Q1099" s="146"/>
      <c r="R1099" s="17"/>
      <c r="S1099" s="17"/>
      <c r="T1099" s="75"/>
      <c r="U1099" s="75"/>
      <c r="V1099" s="75"/>
      <c r="W1099" s="75"/>
      <c r="X1099" s="75"/>
    </row>
    <row r="1100">
      <c r="A1100" s="17"/>
      <c r="B1100" s="17"/>
      <c r="C1100" s="133"/>
      <c r="D1100" s="133"/>
      <c r="E1100" s="17"/>
      <c r="F1100" s="133"/>
      <c r="G1100" s="133"/>
      <c r="H1100" s="133"/>
      <c r="I1100" s="133"/>
      <c r="J1100" s="133"/>
      <c r="K1100" s="133"/>
      <c r="L1100" s="133"/>
      <c r="M1100" s="133"/>
      <c r="N1100" s="133"/>
      <c r="O1100" s="133"/>
      <c r="P1100" s="134"/>
      <c r="Q1100" s="146"/>
      <c r="R1100" s="17"/>
      <c r="S1100" s="17"/>
      <c r="T1100" s="75"/>
      <c r="U1100" s="75"/>
      <c r="V1100" s="75"/>
      <c r="W1100" s="75"/>
      <c r="X1100" s="75"/>
    </row>
    <row r="1101">
      <c r="A1101" s="17"/>
      <c r="B1101" s="17"/>
      <c r="C1101" s="133"/>
      <c r="D1101" s="133"/>
      <c r="E1101" s="17"/>
      <c r="F1101" s="133"/>
      <c r="G1101" s="133"/>
      <c r="H1101" s="133"/>
      <c r="I1101" s="133"/>
      <c r="J1101" s="133"/>
      <c r="K1101" s="133"/>
      <c r="L1101" s="133"/>
      <c r="M1101" s="133"/>
      <c r="N1101" s="133"/>
      <c r="O1101" s="133"/>
      <c r="P1101" s="134"/>
      <c r="Q1101" s="146"/>
      <c r="R1101" s="17"/>
      <c r="S1101" s="17"/>
      <c r="T1101" s="75"/>
      <c r="U1101" s="75"/>
      <c r="V1101" s="75"/>
      <c r="W1101" s="75"/>
      <c r="X1101" s="75"/>
    </row>
    <row r="1102">
      <c r="A1102" s="17"/>
      <c r="B1102" s="17"/>
      <c r="C1102" s="133"/>
      <c r="D1102" s="133"/>
      <c r="E1102" s="17"/>
      <c r="F1102" s="133"/>
      <c r="G1102" s="133"/>
      <c r="H1102" s="133"/>
      <c r="I1102" s="133"/>
      <c r="J1102" s="133"/>
      <c r="K1102" s="133"/>
      <c r="L1102" s="133"/>
      <c r="M1102" s="133"/>
      <c r="N1102" s="133"/>
      <c r="O1102" s="133"/>
      <c r="P1102" s="134"/>
      <c r="Q1102" s="146"/>
      <c r="R1102" s="17"/>
      <c r="S1102" s="17"/>
      <c r="T1102" s="75"/>
      <c r="U1102" s="75"/>
      <c r="V1102" s="75"/>
      <c r="W1102" s="75"/>
      <c r="X1102" s="75"/>
    </row>
    <row r="1103">
      <c r="A1103" s="17"/>
      <c r="B1103" s="17"/>
      <c r="C1103" s="133"/>
      <c r="D1103" s="133"/>
      <c r="E1103" s="17"/>
      <c r="F1103" s="133"/>
      <c r="G1103" s="133"/>
      <c r="H1103" s="133"/>
      <c r="I1103" s="133"/>
      <c r="J1103" s="133"/>
      <c r="K1103" s="133"/>
      <c r="L1103" s="133"/>
      <c r="M1103" s="133"/>
      <c r="N1103" s="133"/>
      <c r="O1103" s="133"/>
      <c r="P1103" s="134"/>
      <c r="Q1103" s="146"/>
      <c r="R1103" s="17"/>
      <c r="S1103" s="17"/>
      <c r="T1103" s="75"/>
      <c r="U1103" s="75"/>
      <c r="V1103" s="75"/>
      <c r="W1103" s="75"/>
      <c r="X1103" s="75"/>
    </row>
    <row r="1104">
      <c r="A1104" s="17"/>
      <c r="B1104" s="17"/>
      <c r="C1104" s="133"/>
      <c r="D1104" s="133"/>
      <c r="E1104" s="17"/>
      <c r="F1104" s="133"/>
      <c r="G1104" s="133"/>
      <c r="H1104" s="133"/>
      <c r="I1104" s="133"/>
      <c r="J1104" s="133"/>
      <c r="K1104" s="133"/>
      <c r="L1104" s="133"/>
      <c r="M1104" s="133"/>
      <c r="N1104" s="133"/>
      <c r="O1104" s="133"/>
      <c r="P1104" s="134"/>
      <c r="Q1104" s="146"/>
      <c r="R1104" s="17"/>
      <c r="S1104" s="17"/>
      <c r="T1104" s="75"/>
      <c r="U1104" s="75"/>
      <c r="V1104" s="75"/>
      <c r="W1104" s="75"/>
      <c r="X1104" s="75"/>
    </row>
    <row r="1105">
      <c r="A1105" s="17"/>
      <c r="B1105" s="17"/>
      <c r="C1105" s="133"/>
      <c r="D1105" s="133"/>
      <c r="E1105" s="17"/>
      <c r="F1105" s="133"/>
      <c r="G1105" s="133"/>
      <c r="H1105" s="133"/>
      <c r="I1105" s="133"/>
      <c r="J1105" s="133"/>
      <c r="K1105" s="133"/>
      <c r="L1105" s="133"/>
      <c r="M1105" s="133"/>
      <c r="N1105" s="133"/>
      <c r="O1105" s="133"/>
      <c r="P1105" s="134"/>
      <c r="Q1105" s="146"/>
      <c r="R1105" s="17"/>
      <c r="S1105" s="17"/>
      <c r="T1105" s="75"/>
      <c r="U1105" s="75"/>
      <c r="V1105" s="75"/>
      <c r="W1105" s="75"/>
      <c r="X1105" s="75"/>
    </row>
    <row r="1106">
      <c r="A1106" s="17"/>
      <c r="B1106" s="17"/>
      <c r="C1106" s="133"/>
      <c r="D1106" s="133"/>
      <c r="E1106" s="17"/>
      <c r="F1106" s="133"/>
      <c r="G1106" s="133"/>
      <c r="H1106" s="133"/>
      <c r="I1106" s="133"/>
      <c r="J1106" s="133"/>
      <c r="K1106" s="133"/>
      <c r="L1106" s="133"/>
      <c r="M1106" s="133"/>
      <c r="N1106" s="133"/>
      <c r="O1106" s="133"/>
      <c r="P1106" s="134"/>
      <c r="Q1106" s="146"/>
      <c r="R1106" s="17"/>
      <c r="S1106" s="17"/>
      <c r="T1106" s="75"/>
      <c r="U1106" s="75"/>
      <c r="V1106" s="75"/>
      <c r="W1106" s="75"/>
      <c r="X1106" s="75"/>
    </row>
    <row r="1107">
      <c r="A1107" s="17"/>
      <c r="B1107" s="17"/>
      <c r="C1107" s="133"/>
      <c r="D1107" s="133"/>
      <c r="E1107" s="17"/>
      <c r="F1107" s="133"/>
      <c r="G1107" s="133"/>
      <c r="H1107" s="133"/>
      <c r="I1107" s="133"/>
      <c r="J1107" s="133"/>
      <c r="K1107" s="133"/>
      <c r="L1107" s="133"/>
      <c r="M1107" s="133"/>
      <c r="N1107" s="133"/>
      <c r="O1107" s="133"/>
      <c r="P1107" s="134"/>
      <c r="Q1107" s="146"/>
      <c r="R1107" s="17"/>
      <c r="S1107" s="17"/>
      <c r="T1107" s="75"/>
      <c r="U1107" s="75"/>
      <c r="V1107" s="75"/>
      <c r="W1107" s="75"/>
      <c r="X1107" s="75"/>
    </row>
    <row r="1108">
      <c r="A1108" s="17"/>
      <c r="B1108" s="17"/>
      <c r="C1108" s="133"/>
      <c r="D1108" s="133"/>
      <c r="E1108" s="17"/>
      <c r="F1108" s="133"/>
      <c r="G1108" s="133"/>
      <c r="H1108" s="133"/>
      <c r="I1108" s="133"/>
      <c r="J1108" s="133"/>
      <c r="K1108" s="133"/>
      <c r="L1108" s="133"/>
      <c r="M1108" s="133"/>
      <c r="N1108" s="133"/>
      <c r="O1108" s="133"/>
      <c r="P1108" s="134"/>
      <c r="Q1108" s="146"/>
      <c r="R1108" s="17"/>
      <c r="S1108" s="17"/>
      <c r="T1108" s="75"/>
      <c r="U1108" s="75"/>
      <c r="V1108" s="75"/>
      <c r="W1108" s="75"/>
      <c r="X1108" s="75"/>
    </row>
    <row r="1109">
      <c r="A1109" s="17"/>
      <c r="B1109" s="17"/>
      <c r="C1109" s="133"/>
      <c r="D1109" s="133"/>
      <c r="E1109" s="17"/>
      <c r="F1109" s="133"/>
      <c r="G1109" s="133"/>
      <c r="H1109" s="133"/>
      <c r="I1109" s="133"/>
      <c r="J1109" s="133"/>
      <c r="K1109" s="133"/>
      <c r="L1109" s="133"/>
      <c r="M1109" s="133"/>
      <c r="N1109" s="133"/>
      <c r="O1109" s="133"/>
      <c r="P1109" s="134"/>
      <c r="Q1109" s="146"/>
      <c r="R1109" s="17"/>
      <c r="S1109" s="17"/>
      <c r="T1109" s="75"/>
      <c r="U1109" s="75"/>
      <c r="V1109" s="75"/>
      <c r="W1109" s="75"/>
      <c r="X1109" s="75"/>
    </row>
    <row r="1110">
      <c r="A1110" s="17"/>
      <c r="B1110" s="17"/>
      <c r="C1110" s="133"/>
      <c r="D1110" s="133"/>
      <c r="E1110" s="17"/>
      <c r="F1110" s="133"/>
      <c r="G1110" s="133"/>
      <c r="H1110" s="133"/>
      <c r="I1110" s="133"/>
      <c r="J1110" s="133"/>
      <c r="K1110" s="133"/>
      <c r="L1110" s="133"/>
      <c r="M1110" s="133"/>
      <c r="N1110" s="133"/>
      <c r="O1110" s="133"/>
      <c r="P1110" s="134"/>
      <c r="Q1110" s="146"/>
      <c r="R1110" s="17"/>
      <c r="S1110" s="17"/>
      <c r="T1110" s="75"/>
      <c r="U1110" s="75"/>
      <c r="V1110" s="75"/>
      <c r="W1110" s="75"/>
      <c r="X1110" s="75"/>
    </row>
    <row r="1111">
      <c r="A1111" s="17"/>
      <c r="B1111" s="17"/>
      <c r="C1111" s="133"/>
      <c r="D1111" s="133"/>
      <c r="E1111" s="17"/>
      <c r="F1111" s="133"/>
      <c r="G1111" s="133"/>
      <c r="H1111" s="133"/>
      <c r="I1111" s="133"/>
      <c r="J1111" s="133"/>
      <c r="K1111" s="133"/>
      <c r="L1111" s="133"/>
      <c r="M1111" s="133"/>
      <c r="N1111" s="133"/>
      <c r="O1111" s="133"/>
      <c r="P1111" s="134"/>
      <c r="Q1111" s="146"/>
      <c r="R1111" s="17"/>
      <c r="S1111" s="17"/>
      <c r="T1111" s="75"/>
      <c r="U1111" s="75"/>
      <c r="V1111" s="75"/>
      <c r="W1111" s="75"/>
      <c r="X1111" s="75"/>
    </row>
    <row r="1112">
      <c r="A1112" s="17"/>
      <c r="B1112" s="17"/>
      <c r="C1112" s="133"/>
      <c r="D1112" s="133"/>
      <c r="E1112" s="17"/>
      <c r="F1112" s="133"/>
      <c r="G1112" s="133"/>
      <c r="H1112" s="133"/>
      <c r="I1112" s="133"/>
      <c r="J1112" s="133"/>
      <c r="K1112" s="133"/>
      <c r="L1112" s="133"/>
      <c r="M1112" s="133"/>
      <c r="N1112" s="133"/>
      <c r="O1112" s="133"/>
      <c r="P1112" s="134"/>
      <c r="Q1112" s="146"/>
      <c r="R1112" s="17"/>
      <c r="S1112" s="17"/>
      <c r="T1112" s="75"/>
      <c r="U1112" s="75"/>
      <c r="V1112" s="75"/>
      <c r="W1112" s="75"/>
      <c r="X1112" s="75"/>
    </row>
    <row r="1113">
      <c r="A1113" s="17"/>
      <c r="B1113" s="17"/>
      <c r="C1113" s="133"/>
      <c r="D1113" s="133"/>
      <c r="E1113" s="17"/>
      <c r="F1113" s="133"/>
      <c r="G1113" s="133"/>
      <c r="H1113" s="133"/>
      <c r="I1113" s="133"/>
      <c r="J1113" s="133"/>
      <c r="K1113" s="133"/>
      <c r="L1113" s="133"/>
      <c r="M1113" s="133"/>
      <c r="N1113" s="133"/>
      <c r="O1113" s="133"/>
      <c r="P1113" s="134"/>
      <c r="Q1113" s="146"/>
      <c r="R1113" s="17"/>
      <c r="S1113" s="17"/>
      <c r="T1113" s="75"/>
      <c r="U1113" s="75"/>
      <c r="V1113" s="75"/>
      <c r="W1113" s="75"/>
      <c r="X1113" s="75"/>
    </row>
    <row r="1114">
      <c r="A1114" s="17"/>
      <c r="B1114" s="17"/>
      <c r="C1114" s="133"/>
      <c r="D1114" s="133"/>
      <c r="E1114" s="17"/>
      <c r="F1114" s="133"/>
      <c r="G1114" s="133"/>
      <c r="H1114" s="133"/>
      <c r="I1114" s="133"/>
      <c r="J1114" s="133"/>
      <c r="K1114" s="133"/>
      <c r="L1114" s="133"/>
      <c r="M1114" s="133"/>
      <c r="N1114" s="133"/>
      <c r="O1114" s="133"/>
      <c r="P1114" s="134"/>
      <c r="Q1114" s="146"/>
      <c r="R1114" s="17"/>
      <c r="S1114" s="17"/>
      <c r="T1114" s="75"/>
      <c r="U1114" s="75"/>
      <c r="V1114" s="75"/>
      <c r="W1114" s="75"/>
      <c r="X1114" s="75"/>
    </row>
    <row r="1115">
      <c r="A1115" s="17"/>
      <c r="B1115" s="17"/>
      <c r="C1115" s="133"/>
      <c r="D1115" s="133"/>
      <c r="E1115" s="17"/>
      <c r="F1115" s="133"/>
      <c r="G1115" s="133"/>
      <c r="H1115" s="133"/>
      <c r="I1115" s="133"/>
      <c r="J1115" s="133"/>
      <c r="K1115" s="133"/>
      <c r="L1115" s="133"/>
      <c r="M1115" s="133"/>
      <c r="N1115" s="133"/>
      <c r="O1115" s="133"/>
      <c r="P1115" s="134"/>
      <c r="Q1115" s="146"/>
      <c r="R1115" s="17"/>
      <c r="S1115" s="17"/>
      <c r="T1115" s="75"/>
      <c r="U1115" s="75"/>
      <c r="V1115" s="75"/>
      <c r="W1115" s="75"/>
      <c r="X1115" s="75"/>
    </row>
    <row r="1116">
      <c r="A1116" s="17"/>
      <c r="B1116" s="17"/>
      <c r="C1116" s="133"/>
      <c r="D1116" s="133"/>
      <c r="E1116" s="17"/>
      <c r="F1116" s="133"/>
      <c r="G1116" s="133"/>
      <c r="H1116" s="133"/>
      <c r="I1116" s="133"/>
      <c r="J1116" s="133"/>
      <c r="K1116" s="133"/>
      <c r="L1116" s="133"/>
      <c r="M1116" s="133"/>
      <c r="N1116" s="133"/>
      <c r="O1116" s="133"/>
      <c r="P1116" s="134"/>
      <c r="Q1116" s="146"/>
      <c r="R1116" s="17"/>
      <c r="S1116" s="17"/>
      <c r="T1116" s="75"/>
      <c r="U1116" s="75"/>
      <c r="V1116" s="75"/>
      <c r="W1116" s="75"/>
      <c r="X1116" s="75"/>
    </row>
    <row r="1117">
      <c r="A1117" s="17"/>
      <c r="B1117" s="17"/>
      <c r="C1117" s="133"/>
      <c r="D1117" s="133"/>
      <c r="E1117" s="17"/>
      <c r="F1117" s="133"/>
      <c r="G1117" s="133"/>
      <c r="H1117" s="133"/>
      <c r="I1117" s="133"/>
      <c r="J1117" s="133"/>
      <c r="K1117" s="133"/>
      <c r="L1117" s="133"/>
      <c r="M1117" s="133"/>
      <c r="N1117" s="133"/>
      <c r="O1117" s="133"/>
      <c r="P1117" s="134"/>
      <c r="Q1117" s="146"/>
      <c r="R1117" s="17"/>
      <c r="S1117" s="17"/>
      <c r="T1117" s="75"/>
      <c r="U1117" s="75"/>
      <c r="V1117" s="75"/>
      <c r="W1117" s="75"/>
      <c r="X1117" s="75"/>
    </row>
    <row r="1118">
      <c r="A1118" s="17"/>
      <c r="B1118" s="17"/>
      <c r="C1118" s="133"/>
      <c r="D1118" s="133"/>
      <c r="E1118" s="17"/>
      <c r="F1118" s="133"/>
      <c r="G1118" s="133"/>
      <c r="H1118" s="133"/>
      <c r="I1118" s="133"/>
      <c r="J1118" s="133"/>
      <c r="K1118" s="133"/>
      <c r="L1118" s="133"/>
      <c r="M1118" s="133"/>
      <c r="N1118" s="133"/>
      <c r="O1118" s="133"/>
      <c r="P1118" s="134"/>
      <c r="Q1118" s="146"/>
      <c r="R1118" s="17"/>
      <c r="S1118" s="17"/>
      <c r="T1118" s="75"/>
      <c r="U1118" s="75"/>
      <c r="V1118" s="75"/>
      <c r="W1118" s="75"/>
      <c r="X1118" s="75"/>
    </row>
    <row r="1119">
      <c r="A1119" s="17"/>
      <c r="B1119" s="17"/>
      <c r="C1119" s="133"/>
      <c r="D1119" s="133"/>
      <c r="E1119" s="17"/>
      <c r="F1119" s="133"/>
      <c r="G1119" s="133"/>
      <c r="H1119" s="133"/>
      <c r="I1119" s="133"/>
      <c r="J1119" s="133"/>
      <c r="K1119" s="133"/>
      <c r="L1119" s="133"/>
      <c r="M1119" s="133"/>
      <c r="N1119" s="133"/>
      <c r="O1119" s="133"/>
      <c r="P1119" s="134"/>
      <c r="Q1119" s="146"/>
      <c r="R1119" s="17"/>
      <c r="S1119" s="17"/>
      <c r="T1119" s="75"/>
      <c r="U1119" s="75"/>
      <c r="V1119" s="75"/>
      <c r="W1119" s="75"/>
      <c r="X1119" s="75"/>
    </row>
    <row r="1120">
      <c r="A1120" s="17"/>
      <c r="B1120" s="17"/>
      <c r="C1120" s="133"/>
      <c r="D1120" s="133"/>
      <c r="E1120" s="17"/>
      <c r="F1120" s="133"/>
      <c r="G1120" s="133"/>
      <c r="H1120" s="133"/>
      <c r="I1120" s="133"/>
      <c r="J1120" s="133"/>
      <c r="K1120" s="133"/>
      <c r="L1120" s="133"/>
      <c r="M1120" s="133"/>
      <c r="N1120" s="133"/>
      <c r="O1120" s="133"/>
      <c r="P1120" s="134"/>
      <c r="Q1120" s="146"/>
      <c r="R1120" s="17"/>
      <c r="S1120" s="17"/>
      <c r="T1120" s="75"/>
      <c r="U1120" s="75"/>
      <c r="V1120" s="75"/>
      <c r="W1120" s="75"/>
      <c r="X1120" s="75"/>
    </row>
    <row r="1121">
      <c r="A1121" s="17"/>
      <c r="B1121" s="17"/>
      <c r="C1121" s="133"/>
      <c r="D1121" s="133"/>
      <c r="E1121" s="17"/>
      <c r="F1121" s="133"/>
      <c r="G1121" s="133"/>
      <c r="H1121" s="133"/>
      <c r="I1121" s="133"/>
      <c r="J1121" s="133"/>
      <c r="K1121" s="133"/>
      <c r="L1121" s="133"/>
      <c r="M1121" s="133"/>
      <c r="N1121" s="133"/>
      <c r="O1121" s="133"/>
      <c r="P1121" s="134"/>
      <c r="Q1121" s="146"/>
      <c r="R1121" s="17"/>
      <c r="S1121" s="17"/>
      <c r="T1121" s="75"/>
      <c r="U1121" s="75"/>
      <c r="V1121" s="75"/>
      <c r="W1121" s="75"/>
      <c r="X1121" s="75"/>
    </row>
    <row r="1122">
      <c r="A1122" s="17"/>
      <c r="B1122" s="17"/>
      <c r="C1122" s="133"/>
      <c r="D1122" s="133"/>
      <c r="E1122" s="17"/>
      <c r="F1122" s="133"/>
      <c r="G1122" s="133"/>
      <c r="H1122" s="133"/>
      <c r="I1122" s="133"/>
      <c r="J1122" s="133"/>
      <c r="K1122" s="133"/>
      <c r="L1122" s="133"/>
      <c r="M1122" s="133"/>
      <c r="N1122" s="133"/>
      <c r="O1122" s="133"/>
      <c r="P1122" s="134"/>
      <c r="Q1122" s="146"/>
      <c r="R1122" s="17"/>
      <c r="S1122" s="17"/>
      <c r="T1122" s="75"/>
      <c r="U1122" s="75"/>
      <c r="V1122" s="75"/>
      <c r="W1122" s="75"/>
      <c r="X1122" s="75"/>
    </row>
    <row r="1123">
      <c r="A1123" s="17"/>
      <c r="B1123" s="17"/>
      <c r="C1123" s="133"/>
      <c r="D1123" s="133"/>
      <c r="E1123" s="17"/>
      <c r="F1123" s="133"/>
      <c r="G1123" s="133"/>
      <c r="H1123" s="133"/>
      <c r="I1123" s="133"/>
      <c r="J1123" s="133"/>
      <c r="K1123" s="133"/>
      <c r="L1123" s="133"/>
      <c r="M1123" s="133"/>
      <c r="N1123" s="133"/>
      <c r="O1123" s="133"/>
      <c r="P1123" s="134"/>
      <c r="Q1123" s="146"/>
      <c r="R1123" s="17"/>
      <c r="S1123" s="17"/>
      <c r="T1123" s="75"/>
      <c r="U1123" s="75"/>
      <c r="V1123" s="75"/>
      <c r="W1123" s="75"/>
      <c r="X1123" s="75"/>
    </row>
    <row r="1124">
      <c r="A1124" s="17"/>
      <c r="B1124" s="17"/>
      <c r="C1124" s="133"/>
      <c r="D1124" s="133"/>
      <c r="E1124" s="17"/>
      <c r="F1124" s="133"/>
      <c r="G1124" s="133"/>
      <c r="H1124" s="133"/>
      <c r="I1124" s="133"/>
      <c r="J1124" s="133"/>
      <c r="K1124" s="133"/>
      <c r="L1124" s="133"/>
      <c r="M1124" s="133"/>
      <c r="N1124" s="133"/>
      <c r="O1124" s="133"/>
      <c r="P1124" s="134"/>
      <c r="Q1124" s="146"/>
      <c r="R1124" s="17"/>
      <c r="S1124" s="17"/>
      <c r="T1124" s="75"/>
      <c r="U1124" s="75"/>
      <c r="V1124" s="75"/>
      <c r="W1124" s="75"/>
      <c r="X1124" s="75"/>
    </row>
    <row r="1125">
      <c r="A1125" s="17"/>
      <c r="B1125" s="17"/>
      <c r="C1125" s="133"/>
      <c r="D1125" s="133"/>
      <c r="E1125" s="17"/>
      <c r="F1125" s="133"/>
      <c r="G1125" s="133"/>
      <c r="H1125" s="133"/>
      <c r="I1125" s="133"/>
      <c r="J1125" s="133"/>
      <c r="K1125" s="133"/>
      <c r="L1125" s="133"/>
      <c r="M1125" s="133"/>
      <c r="N1125" s="133"/>
      <c r="O1125" s="133"/>
      <c r="P1125" s="134"/>
      <c r="Q1125" s="146"/>
      <c r="R1125" s="17"/>
      <c r="S1125" s="17"/>
      <c r="T1125" s="75"/>
      <c r="U1125" s="75"/>
      <c r="V1125" s="75"/>
      <c r="W1125" s="75"/>
      <c r="X1125" s="75"/>
    </row>
    <row r="1126">
      <c r="A1126" s="17"/>
      <c r="B1126" s="17"/>
      <c r="C1126" s="133"/>
      <c r="D1126" s="133"/>
      <c r="E1126" s="17"/>
      <c r="F1126" s="133"/>
      <c r="G1126" s="133"/>
      <c r="H1126" s="133"/>
      <c r="I1126" s="133"/>
      <c r="J1126" s="133"/>
      <c r="K1126" s="133"/>
      <c r="L1126" s="133"/>
      <c r="M1126" s="133"/>
      <c r="N1126" s="133"/>
      <c r="O1126" s="133"/>
      <c r="P1126" s="134"/>
      <c r="Q1126" s="146"/>
      <c r="R1126" s="17"/>
      <c r="S1126" s="17"/>
      <c r="T1126" s="75"/>
      <c r="U1126" s="75"/>
      <c r="V1126" s="75"/>
      <c r="W1126" s="75"/>
      <c r="X1126" s="75"/>
    </row>
    <row r="1127">
      <c r="A1127" s="17"/>
      <c r="B1127" s="17"/>
      <c r="C1127" s="133"/>
      <c r="D1127" s="133"/>
      <c r="E1127" s="17"/>
      <c r="F1127" s="133"/>
      <c r="G1127" s="133"/>
      <c r="H1127" s="133"/>
      <c r="I1127" s="133"/>
      <c r="J1127" s="133"/>
      <c r="K1127" s="133"/>
      <c r="L1127" s="133"/>
      <c r="M1127" s="133"/>
      <c r="N1127" s="133"/>
      <c r="O1127" s="133"/>
      <c r="P1127" s="134"/>
      <c r="Q1127" s="146"/>
      <c r="R1127" s="17"/>
      <c r="S1127" s="17"/>
      <c r="T1127" s="75"/>
      <c r="U1127" s="75"/>
      <c r="V1127" s="75"/>
      <c r="W1127" s="75"/>
      <c r="X1127" s="75"/>
    </row>
    <row r="1128">
      <c r="A1128" s="17"/>
      <c r="B1128" s="17"/>
      <c r="C1128" s="133"/>
      <c r="D1128" s="133"/>
      <c r="E1128" s="17"/>
      <c r="F1128" s="133"/>
      <c r="G1128" s="133"/>
      <c r="H1128" s="133"/>
      <c r="I1128" s="133"/>
      <c r="J1128" s="133"/>
      <c r="K1128" s="133"/>
      <c r="L1128" s="133"/>
      <c r="M1128" s="133"/>
      <c r="N1128" s="133"/>
      <c r="O1128" s="133"/>
      <c r="P1128" s="134"/>
      <c r="Q1128" s="146"/>
      <c r="R1128" s="17"/>
      <c r="S1128" s="17"/>
      <c r="T1128" s="75"/>
      <c r="U1128" s="75"/>
      <c r="V1128" s="75"/>
      <c r="W1128" s="75"/>
      <c r="X1128" s="75"/>
    </row>
    <row r="1129">
      <c r="A1129" s="17"/>
      <c r="B1129" s="17"/>
      <c r="C1129" s="133"/>
      <c r="D1129" s="133"/>
      <c r="E1129" s="17"/>
      <c r="F1129" s="133"/>
      <c r="G1129" s="133"/>
      <c r="H1129" s="133"/>
      <c r="I1129" s="133"/>
      <c r="J1129" s="133"/>
      <c r="K1129" s="133"/>
      <c r="L1129" s="133"/>
      <c r="M1129" s="133"/>
      <c r="N1129" s="133"/>
      <c r="O1129" s="133"/>
      <c r="P1129" s="134"/>
      <c r="Q1129" s="146"/>
      <c r="R1129" s="17"/>
      <c r="S1129" s="17"/>
      <c r="T1129" s="75"/>
      <c r="U1129" s="75"/>
      <c r="V1129" s="75"/>
      <c r="W1129" s="75"/>
      <c r="X1129" s="75"/>
    </row>
    <row r="1130">
      <c r="A1130" s="17"/>
      <c r="B1130" s="17"/>
      <c r="C1130" s="133"/>
      <c r="D1130" s="133"/>
      <c r="E1130" s="17"/>
      <c r="F1130" s="133"/>
      <c r="G1130" s="133"/>
      <c r="H1130" s="133"/>
      <c r="I1130" s="133"/>
      <c r="J1130" s="133"/>
      <c r="K1130" s="133"/>
      <c r="L1130" s="133"/>
      <c r="M1130" s="133"/>
      <c r="N1130" s="133"/>
      <c r="O1130" s="133"/>
      <c r="P1130" s="134"/>
      <c r="Q1130" s="146"/>
      <c r="R1130" s="17"/>
      <c r="S1130" s="17"/>
      <c r="T1130" s="75"/>
      <c r="U1130" s="75"/>
      <c r="V1130" s="75"/>
      <c r="W1130" s="75"/>
      <c r="X1130" s="75"/>
    </row>
    <row r="1131">
      <c r="A1131" s="17"/>
      <c r="B1131" s="17"/>
      <c r="C1131" s="133"/>
      <c r="D1131" s="133"/>
      <c r="E1131" s="17"/>
      <c r="F1131" s="133"/>
      <c r="G1131" s="133"/>
      <c r="H1131" s="133"/>
      <c r="I1131" s="133"/>
      <c r="J1131" s="133"/>
      <c r="K1131" s="133"/>
      <c r="L1131" s="133"/>
      <c r="M1131" s="133"/>
      <c r="N1131" s="133"/>
      <c r="O1131" s="133"/>
      <c r="P1131" s="134"/>
      <c r="Q1131" s="146"/>
      <c r="R1131" s="17"/>
      <c r="S1131" s="17"/>
      <c r="T1131" s="75"/>
      <c r="U1131" s="75"/>
      <c r="V1131" s="75"/>
      <c r="W1131" s="75"/>
      <c r="X1131" s="75"/>
    </row>
    <row r="1132">
      <c r="A1132" s="17"/>
      <c r="B1132" s="17"/>
      <c r="C1132" s="133"/>
      <c r="D1132" s="133"/>
      <c r="E1132" s="17"/>
      <c r="F1132" s="133"/>
      <c r="G1132" s="133"/>
      <c r="H1132" s="133"/>
      <c r="I1132" s="133"/>
      <c r="J1132" s="133"/>
      <c r="K1132" s="133"/>
      <c r="L1132" s="133"/>
      <c r="M1132" s="133"/>
      <c r="N1132" s="133"/>
      <c r="O1132" s="133"/>
      <c r="P1132" s="134"/>
      <c r="Q1132" s="146"/>
      <c r="R1132" s="17"/>
      <c r="S1132" s="17"/>
      <c r="T1132" s="75"/>
      <c r="U1132" s="75"/>
      <c r="V1132" s="75"/>
      <c r="W1132" s="75"/>
      <c r="X1132" s="75"/>
    </row>
    <row r="1133">
      <c r="A1133" s="17"/>
      <c r="B1133" s="17"/>
      <c r="C1133" s="133"/>
      <c r="D1133" s="133"/>
      <c r="E1133" s="17"/>
      <c r="F1133" s="133"/>
      <c r="G1133" s="133"/>
      <c r="H1133" s="133"/>
      <c r="I1133" s="133"/>
      <c r="J1133" s="133"/>
      <c r="K1133" s="133"/>
      <c r="L1133" s="133"/>
      <c r="M1133" s="133"/>
      <c r="N1133" s="133"/>
      <c r="O1133" s="133"/>
      <c r="P1133" s="134"/>
      <c r="Q1133" s="146"/>
      <c r="R1133" s="17"/>
      <c r="S1133" s="17"/>
      <c r="T1133" s="75"/>
      <c r="U1133" s="75"/>
      <c r="V1133" s="75"/>
      <c r="W1133" s="75"/>
      <c r="X1133" s="75"/>
    </row>
    <row r="1134">
      <c r="A1134" s="17"/>
      <c r="B1134" s="17"/>
      <c r="C1134" s="133"/>
      <c r="D1134" s="133"/>
      <c r="E1134" s="17"/>
      <c r="F1134" s="133"/>
      <c r="G1134" s="133"/>
      <c r="H1134" s="133"/>
      <c r="I1134" s="133"/>
      <c r="J1134" s="133"/>
      <c r="K1134" s="133"/>
      <c r="L1134" s="133"/>
      <c r="M1134" s="133"/>
      <c r="N1134" s="133"/>
      <c r="O1134" s="133"/>
      <c r="P1134" s="134"/>
      <c r="Q1134" s="146"/>
      <c r="R1134" s="17"/>
      <c r="S1134" s="17"/>
      <c r="T1134" s="75"/>
      <c r="U1134" s="75"/>
      <c r="V1134" s="75"/>
      <c r="W1134" s="75"/>
      <c r="X1134" s="75"/>
    </row>
    <row r="1135">
      <c r="A1135" s="17"/>
      <c r="B1135" s="17"/>
      <c r="C1135" s="133"/>
      <c r="D1135" s="133"/>
      <c r="E1135" s="17"/>
      <c r="F1135" s="133"/>
      <c r="G1135" s="133"/>
      <c r="H1135" s="133"/>
      <c r="I1135" s="133"/>
      <c r="J1135" s="133"/>
      <c r="K1135" s="133"/>
      <c r="L1135" s="133"/>
      <c r="M1135" s="133"/>
      <c r="N1135" s="133"/>
      <c r="O1135" s="133"/>
      <c r="P1135" s="134"/>
      <c r="Q1135" s="146"/>
      <c r="R1135" s="17"/>
      <c r="S1135" s="17"/>
      <c r="T1135" s="75"/>
      <c r="U1135" s="75"/>
      <c r="V1135" s="75"/>
      <c r="W1135" s="75"/>
      <c r="X1135" s="75"/>
    </row>
    <row r="1136">
      <c r="A1136" s="17"/>
      <c r="B1136" s="17"/>
      <c r="C1136" s="133"/>
      <c r="D1136" s="133"/>
      <c r="E1136" s="17"/>
      <c r="F1136" s="133"/>
      <c r="G1136" s="133"/>
      <c r="H1136" s="133"/>
      <c r="I1136" s="133"/>
      <c r="J1136" s="133"/>
      <c r="K1136" s="133"/>
      <c r="L1136" s="133"/>
      <c r="M1136" s="133"/>
      <c r="N1136" s="133"/>
      <c r="O1136" s="133"/>
      <c r="P1136" s="134"/>
      <c r="Q1136" s="146"/>
      <c r="R1136" s="17"/>
      <c r="S1136" s="17"/>
      <c r="T1136" s="75"/>
      <c r="U1136" s="75"/>
      <c r="V1136" s="75"/>
      <c r="W1136" s="75"/>
      <c r="X1136" s="75"/>
    </row>
    <row r="1137">
      <c r="A1137" s="17"/>
      <c r="B1137" s="17"/>
      <c r="C1137" s="133"/>
      <c r="D1137" s="133"/>
      <c r="E1137" s="17"/>
      <c r="F1137" s="133"/>
      <c r="G1137" s="133"/>
      <c r="H1137" s="133"/>
      <c r="I1137" s="133"/>
      <c r="J1137" s="133"/>
      <c r="K1137" s="133"/>
      <c r="L1137" s="133"/>
      <c r="M1137" s="133"/>
      <c r="N1137" s="133"/>
      <c r="O1137" s="133"/>
      <c r="P1137" s="134"/>
      <c r="Q1137" s="146"/>
      <c r="R1137" s="17"/>
      <c r="S1137" s="17"/>
      <c r="T1137" s="75"/>
      <c r="U1137" s="75"/>
      <c r="V1137" s="75"/>
      <c r="W1137" s="75"/>
      <c r="X1137" s="75"/>
    </row>
    <row r="1138">
      <c r="A1138" s="17"/>
      <c r="B1138" s="17"/>
      <c r="C1138" s="133"/>
      <c r="D1138" s="133"/>
      <c r="E1138" s="17"/>
      <c r="F1138" s="133"/>
      <c r="G1138" s="133"/>
      <c r="H1138" s="133"/>
      <c r="I1138" s="133"/>
      <c r="J1138" s="133"/>
      <c r="K1138" s="133"/>
      <c r="L1138" s="133"/>
      <c r="M1138" s="133"/>
      <c r="N1138" s="133"/>
      <c r="O1138" s="133"/>
      <c r="P1138" s="134"/>
      <c r="Q1138" s="146"/>
      <c r="R1138" s="17"/>
      <c r="S1138" s="17"/>
      <c r="T1138" s="75"/>
      <c r="U1138" s="75"/>
      <c r="V1138" s="75"/>
      <c r="W1138" s="75"/>
      <c r="X1138" s="75"/>
    </row>
    <row r="1139">
      <c r="A1139" s="17"/>
      <c r="B1139" s="17"/>
      <c r="C1139" s="133"/>
      <c r="D1139" s="133"/>
      <c r="E1139" s="17"/>
      <c r="F1139" s="133"/>
      <c r="G1139" s="133"/>
      <c r="H1139" s="133"/>
      <c r="I1139" s="133"/>
      <c r="J1139" s="133"/>
      <c r="K1139" s="133"/>
      <c r="L1139" s="133"/>
      <c r="M1139" s="133"/>
      <c r="N1139" s="133"/>
      <c r="O1139" s="133"/>
      <c r="P1139" s="134"/>
      <c r="Q1139" s="146"/>
      <c r="R1139" s="17"/>
      <c r="S1139" s="17"/>
      <c r="T1139" s="75"/>
      <c r="U1139" s="75"/>
      <c r="V1139" s="75"/>
      <c r="W1139" s="75"/>
      <c r="X1139" s="75"/>
    </row>
    <row r="1140">
      <c r="A1140" s="17"/>
      <c r="B1140" s="17"/>
      <c r="C1140" s="133"/>
      <c r="D1140" s="133"/>
      <c r="E1140" s="17"/>
      <c r="F1140" s="133"/>
      <c r="G1140" s="133"/>
      <c r="H1140" s="133"/>
      <c r="I1140" s="133"/>
      <c r="J1140" s="133"/>
      <c r="K1140" s="133"/>
      <c r="L1140" s="133"/>
      <c r="M1140" s="133"/>
      <c r="N1140" s="133"/>
      <c r="O1140" s="133"/>
      <c r="P1140" s="134"/>
      <c r="Q1140" s="146"/>
      <c r="R1140" s="17"/>
      <c r="S1140" s="17"/>
      <c r="T1140" s="75"/>
      <c r="U1140" s="75"/>
      <c r="V1140" s="75"/>
      <c r="W1140" s="75"/>
      <c r="X1140" s="75"/>
    </row>
    <row r="1141">
      <c r="A1141" s="17"/>
      <c r="B1141" s="17"/>
      <c r="C1141" s="133"/>
      <c r="D1141" s="133"/>
      <c r="E1141" s="17"/>
      <c r="F1141" s="133"/>
      <c r="G1141" s="133"/>
      <c r="H1141" s="133"/>
      <c r="I1141" s="133"/>
      <c r="J1141" s="133"/>
      <c r="K1141" s="133"/>
      <c r="L1141" s="133"/>
      <c r="M1141" s="133"/>
      <c r="N1141" s="133"/>
      <c r="O1141" s="133"/>
      <c r="P1141" s="134"/>
      <c r="Q1141" s="146"/>
      <c r="R1141" s="17"/>
      <c r="S1141" s="17"/>
      <c r="T1141" s="75"/>
      <c r="U1141" s="75"/>
      <c r="V1141" s="75"/>
      <c r="W1141" s="75"/>
      <c r="X1141" s="75"/>
    </row>
    <row r="1142">
      <c r="A1142" s="17"/>
      <c r="B1142" s="17"/>
      <c r="C1142" s="133"/>
      <c r="D1142" s="133"/>
      <c r="E1142" s="17"/>
      <c r="F1142" s="133"/>
      <c r="G1142" s="133"/>
      <c r="H1142" s="133"/>
      <c r="I1142" s="133"/>
      <c r="J1142" s="133"/>
      <c r="K1142" s="133"/>
      <c r="L1142" s="133"/>
      <c r="M1142" s="133"/>
      <c r="N1142" s="133"/>
      <c r="O1142" s="133"/>
      <c r="P1142" s="134"/>
      <c r="Q1142" s="146"/>
      <c r="R1142" s="17"/>
      <c r="S1142" s="17"/>
      <c r="T1142" s="75"/>
      <c r="U1142" s="75"/>
      <c r="V1142" s="75"/>
      <c r="W1142" s="75"/>
      <c r="X1142" s="75"/>
    </row>
    <row r="1143">
      <c r="A1143" s="17"/>
      <c r="B1143" s="17"/>
      <c r="C1143" s="133"/>
      <c r="D1143" s="133"/>
      <c r="E1143" s="17"/>
      <c r="F1143" s="133"/>
      <c r="G1143" s="133"/>
      <c r="H1143" s="133"/>
      <c r="I1143" s="133"/>
      <c r="J1143" s="133"/>
      <c r="K1143" s="133"/>
      <c r="L1143" s="133"/>
      <c r="M1143" s="133"/>
      <c r="N1143" s="133"/>
      <c r="O1143" s="133"/>
      <c r="P1143" s="134"/>
      <c r="Q1143" s="146"/>
      <c r="R1143" s="17"/>
      <c r="S1143" s="17"/>
      <c r="T1143" s="75"/>
      <c r="U1143" s="75"/>
      <c r="V1143" s="75"/>
      <c r="W1143" s="75"/>
      <c r="X1143" s="75"/>
    </row>
    <row r="1144">
      <c r="A1144" s="17"/>
      <c r="B1144" s="17"/>
      <c r="C1144" s="133"/>
      <c r="D1144" s="133"/>
      <c r="E1144" s="17"/>
      <c r="F1144" s="133"/>
      <c r="G1144" s="133"/>
      <c r="H1144" s="133"/>
      <c r="I1144" s="133"/>
      <c r="J1144" s="133"/>
      <c r="K1144" s="133"/>
      <c r="L1144" s="133"/>
      <c r="M1144" s="133"/>
      <c r="N1144" s="133"/>
      <c r="O1144" s="133"/>
      <c r="P1144" s="134"/>
      <c r="Q1144" s="146"/>
      <c r="R1144" s="17"/>
      <c r="S1144" s="17"/>
      <c r="T1144" s="75"/>
      <c r="U1144" s="75"/>
      <c r="V1144" s="75"/>
      <c r="W1144" s="75"/>
      <c r="X1144" s="75"/>
    </row>
    <row r="1145">
      <c r="A1145" s="17"/>
      <c r="B1145" s="17"/>
      <c r="C1145" s="133"/>
      <c r="D1145" s="133"/>
      <c r="E1145" s="17"/>
      <c r="F1145" s="133"/>
      <c r="G1145" s="133"/>
      <c r="H1145" s="133"/>
      <c r="I1145" s="133"/>
      <c r="J1145" s="133"/>
      <c r="K1145" s="133"/>
      <c r="L1145" s="133"/>
      <c r="M1145" s="133"/>
      <c r="N1145" s="133"/>
      <c r="O1145" s="133"/>
      <c r="P1145" s="134"/>
      <c r="Q1145" s="146"/>
      <c r="R1145" s="17"/>
      <c r="S1145" s="17"/>
      <c r="T1145" s="75"/>
      <c r="U1145" s="75"/>
      <c r="V1145" s="75"/>
      <c r="W1145" s="75"/>
      <c r="X1145" s="75"/>
    </row>
    <row r="1146">
      <c r="A1146" s="17"/>
      <c r="B1146" s="17"/>
      <c r="C1146" s="133"/>
      <c r="D1146" s="133"/>
      <c r="E1146" s="17"/>
      <c r="F1146" s="133"/>
      <c r="G1146" s="133"/>
      <c r="H1146" s="133"/>
      <c r="I1146" s="133"/>
      <c r="J1146" s="133"/>
      <c r="K1146" s="133"/>
      <c r="L1146" s="133"/>
      <c r="M1146" s="133"/>
      <c r="N1146" s="133"/>
      <c r="O1146" s="133"/>
      <c r="P1146" s="134"/>
      <c r="Q1146" s="146"/>
      <c r="R1146" s="17"/>
      <c r="S1146" s="17"/>
      <c r="T1146" s="75"/>
      <c r="U1146" s="75"/>
      <c r="V1146" s="75"/>
      <c r="W1146" s="75"/>
      <c r="X1146" s="75"/>
    </row>
    <row r="1147">
      <c r="A1147" s="17"/>
      <c r="B1147" s="17"/>
      <c r="C1147" s="133"/>
      <c r="D1147" s="133"/>
      <c r="E1147" s="17"/>
      <c r="F1147" s="133"/>
      <c r="G1147" s="133"/>
      <c r="H1147" s="133"/>
      <c r="I1147" s="133"/>
      <c r="J1147" s="133"/>
      <c r="K1147" s="133"/>
      <c r="L1147" s="133"/>
      <c r="M1147" s="133"/>
      <c r="N1147" s="133"/>
      <c r="O1147" s="133"/>
      <c r="P1147" s="134"/>
      <c r="Q1147" s="146"/>
      <c r="R1147" s="17"/>
      <c r="S1147" s="17"/>
      <c r="T1147" s="75"/>
      <c r="U1147" s="75"/>
      <c r="V1147" s="75"/>
      <c r="W1147" s="75"/>
      <c r="X1147" s="75"/>
    </row>
    <row r="1148">
      <c r="A1148" s="17"/>
      <c r="B1148" s="17"/>
      <c r="C1148" s="133"/>
      <c r="D1148" s="133"/>
      <c r="E1148" s="17"/>
      <c r="F1148" s="133"/>
      <c r="G1148" s="133"/>
      <c r="H1148" s="133"/>
      <c r="I1148" s="133"/>
      <c r="J1148" s="133"/>
      <c r="K1148" s="133"/>
      <c r="L1148" s="133"/>
      <c r="M1148" s="133"/>
      <c r="N1148" s="133"/>
      <c r="O1148" s="133"/>
      <c r="P1148" s="134"/>
      <c r="Q1148" s="146"/>
      <c r="R1148" s="17"/>
      <c r="S1148" s="17"/>
      <c r="T1148" s="75"/>
      <c r="U1148" s="75"/>
      <c r="V1148" s="75"/>
      <c r="W1148" s="75"/>
      <c r="X1148" s="75"/>
    </row>
    <row r="1149">
      <c r="A1149" s="17"/>
      <c r="B1149" s="17"/>
      <c r="C1149" s="133"/>
      <c r="D1149" s="133"/>
      <c r="E1149" s="17"/>
      <c r="F1149" s="133"/>
      <c r="G1149" s="133"/>
      <c r="H1149" s="133"/>
      <c r="I1149" s="133"/>
      <c r="J1149" s="133"/>
      <c r="K1149" s="133"/>
      <c r="L1149" s="133"/>
      <c r="M1149" s="133"/>
      <c r="N1149" s="133"/>
      <c r="O1149" s="133"/>
      <c r="P1149" s="134"/>
      <c r="Q1149" s="146"/>
      <c r="R1149" s="17"/>
      <c r="S1149" s="17"/>
      <c r="T1149" s="75"/>
      <c r="U1149" s="75"/>
      <c r="V1149" s="75"/>
      <c r="W1149" s="75"/>
      <c r="X1149" s="75"/>
    </row>
    <row r="1150">
      <c r="A1150" s="17"/>
      <c r="B1150" s="17"/>
      <c r="C1150" s="133"/>
      <c r="D1150" s="133"/>
      <c r="E1150" s="17"/>
      <c r="F1150" s="133"/>
      <c r="G1150" s="133"/>
      <c r="H1150" s="133"/>
      <c r="I1150" s="133"/>
      <c r="J1150" s="133"/>
      <c r="K1150" s="133"/>
      <c r="L1150" s="133"/>
      <c r="M1150" s="133"/>
      <c r="N1150" s="133"/>
      <c r="O1150" s="133"/>
      <c r="P1150" s="134"/>
      <c r="Q1150" s="146"/>
      <c r="R1150" s="17"/>
      <c r="S1150" s="17"/>
      <c r="T1150" s="75"/>
      <c r="U1150" s="75"/>
      <c r="V1150" s="75"/>
      <c r="W1150" s="75"/>
      <c r="X1150" s="75"/>
    </row>
    <row r="1151">
      <c r="A1151" s="17"/>
      <c r="B1151" s="17"/>
      <c r="C1151" s="133"/>
      <c r="D1151" s="133"/>
      <c r="E1151" s="17"/>
      <c r="F1151" s="133"/>
      <c r="G1151" s="133"/>
      <c r="H1151" s="133"/>
      <c r="I1151" s="133"/>
      <c r="J1151" s="133"/>
      <c r="K1151" s="133"/>
      <c r="L1151" s="133"/>
      <c r="M1151" s="133"/>
      <c r="N1151" s="133"/>
      <c r="O1151" s="133"/>
      <c r="P1151" s="134"/>
      <c r="Q1151" s="146"/>
      <c r="R1151" s="17"/>
      <c r="S1151" s="17"/>
      <c r="T1151" s="75"/>
      <c r="U1151" s="75"/>
      <c r="V1151" s="75"/>
      <c r="W1151" s="75"/>
      <c r="X1151" s="75"/>
    </row>
    <row r="1152">
      <c r="A1152" s="17"/>
      <c r="B1152" s="17"/>
      <c r="C1152" s="133"/>
      <c r="D1152" s="133"/>
      <c r="E1152" s="17"/>
      <c r="F1152" s="133"/>
      <c r="G1152" s="133"/>
      <c r="H1152" s="133"/>
      <c r="I1152" s="133"/>
      <c r="J1152" s="133"/>
      <c r="K1152" s="133"/>
      <c r="L1152" s="133"/>
      <c r="M1152" s="133"/>
      <c r="N1152" s="133"/>
      <c r="O1152" s="133"/>
      <c r="P1152" s="134"/>
      <c r="Q1152" s="146"/>
      <c r="R1152" s="17"/>
      <c r="S1152" s="17"/>
      <c r="T1152" s="75"/>
      <c r="U1152" s="75"/>
      <c r="V1152" s="75"/>
      <c r="W1152" s="75"/>
      <c r="X1152" s="75"/>
    </row>
    <row r="1153">
      <c r="A1153" s="17"/>
      <c r="B1153" s="17"/>
      <c r="C1153" s="133"/>
      <c r="D1153" s="133"/>
      <c r="E1153" s="17"/>
      <c r="F1153" s="133"/>
      <c r="G1153" s="133"/>
      <c r="H1153" s="133"/>
      <c r="I1153" s="133"/>
      <c r="J1153" s="133"/>
      <c r="K1153" s="133"/>
      <c r="L1153" s="133"/>
      <c r="M1153" s="133"/>
      <c r="N1153" s="133"/>
      <c r="O1153" s="133"/>
      <c r="P1153" s="134"/>
      <c r="Q1153" s="146"/>
      <c r="R1153" s="17"/>
      <c r="S1153" s="17"/>
      <c r="T1153" s="75"/>
      <c r="U1153" s="75"/>
      <c r="V1153" s="75"/>
      <c r="W1153" s="75"/>
      <c r="X1153" s="75"/>
    </row>
    <row r="1154">
      <c r="A1154" s="17"/>
      <c r="B1154" s="17"/>
      <c r="C1154" s="133"/>
      <c r="D1154" s="133"/>
      <c r="E1154" s="17"/>
      <c r="F1154" s="133"/>
      <c r="G1154" s="133"/>
      <c r="H1154" s="133"/>
      <c r="I1154" s="133"/>
      <c r="J1154" s="133"/>
      <c r="K1154" s="133"/>
      <c r="L1154" s="133"/>
      <c r="M1154" s="133"/>
      <c r="N1154" s="133"/>
      <c r="O1154" s="133"/>
      <c r="P1154" s="134"/>
      <c r="Q1154" s="146"/>
      <c r="R1154" s="17"/>
      <c r="S1154" s="17"/>
      <c r="T1154" s="75"/>
      <c r="U1154" s="75"/>
      <c r="V1154" s="75"/>
      <c r="W1154" s="75"/>
      <c r="X1154" s="75"/>
    </row>
    <row r="1155">
      <c r="A1155" s="17"/>
      <c r="B1155" s="17"/>
      <c r="C1155" s="133"/>
      <c r="D1155" s="133"/>
      <c r="E1155" s="17"/>
      <c r="F1155" s="133"/>
      <c r="G1155" s="133"/>
      <c r="H1155" s="133"/>
      <c r="I1155" s="133"/>
      <c r="J1155" s="133"/>
      <c r="K1155" s="133"/>
      <c r="L1155" s="133"/>
      <c r="M1155" s="133"/>
      <c r="N1155" s="133"/>
      <c r="O1155" s="133"/>
      <c r="P1155" s="134"/>
      <c r="Q1155" s="146"/>
      <c r="R1155" s="17"/>
      <c r="S1155" s="17"/>
      <c r="T1155" s="75"/>
      <c r="U1155" s="75"/>
      <c r="V1155" s="75"/>
      <c r="W1155" s="75"/>
      <c r="X1155" s="75"/>
    </row>
    <row r="1156">
      <c r="A1156" s="17"/>
      <c r="B1156" s="17"/>
      <c r="C1156" s="133"/>
      <c r="D1156" s="133"/>
      <c r="E1156" s="17"/>
      <c r="F1156" s="133"/>
      <c r="G1156" s="133"/>
      <c r="H1156" s="133"/>
      <c r="I1156" s="133"/>
      <c r="J1156" s="133"/>
      <c r="K1156" s="133"/>
      <c r="L1156" s="133"/>
      <c r="M1156" s="133"/>
      <c r="N1156" s="133"/>
      <c r="O1156" s="133"/>
      <c r="P1156" s="134"/>
      <c r="Q1156" s="146"/>
      <c r="R1156" s="17"/>
      <c r="S1156" s="17"/>
      <c r="T1156" s="75"/>
      <c r="U1156" s="75"/>
      <c r="V1156" s="75"/>
      <c r="W1156" s="75"/>
      <c r="X1156" s="75"/>
    </row>
    <row r="1157">
      <c r="A1157" s="17"/>
      <c r="B1157" s="17"/>
      <c r="C1157" s="133"/>
      <c r="D1157" s="133"/>
      <c r="E1157" s="17"/>
      <c r="F1157" s="133"/>
      <c r="G1157" s="133"/>
      <c r="H1157" s="133"/>
      <c r="I1157" s="133"/>
      <c r="J1157" s="133"/>
      <c r="K1157" s="133"/>
      <c r="L1157" s="133"/>
      <c r="M1157" s="133"/>
      <c r="N1157" s="133"/>
      <c r="O1157" s="133"/>
      <c r="P1157" s="134"/>
      <c r="Q1157" s="146"/>
      <c r="R1157" s="17"/>
      <c r="S1157" s="17"/>
      <c r="T1157" s="75"/>
      <c r="U1157" s="75"/>
      <c r="V1157" s="75"/>
      <c r="W1157" s="75"/>
      <c r="X1157" s="75"/>
    </row>
    <row r="1158">
      <c r="A1158" s="17"/>
      <c r="B1158" s="17"/>
      <c r="C1158" s="133"/>
      <c r="D1158" s="133"/>
      <c r="E1158" s="17"/>
      <c r="F1158" s="133"/>
      <c r="G1158" s="133"/>
      <c r="H1158" s="133"/>
      <c r="I1158" s="133"/>
      <c r="J1158" s="133"/>
      <c r="K1158" s="133"/>
      <c r="L1158" s="133"/>
      <c r="M1158" s="133"/>
      <c r="N1158" s="133"/>
      <c r="O1158" s="133"/>
      <c r="P1158" s="134"/>
      <c r="Q1158" s="146"/>
      <c r="R1158" s="17"/>
      <c r="S1158" s="17"/>
      <c r="T1158" s="75"/>
      <c r="U1158" s="75"/>
      <c r="V1158" s="75"/>
      <c r="W1158" s="75"/>
      <c r="X1158" s="75"/>
    </row>
    <row r="1159">
      <c r="A1159" s="17"/>
      <c r="B1159" s="17"/>
      <c r="C1159" s="133"/>
      <c r="D1159" s="133"/>
      <c r="E1159" s="17"/>
      <c r="F1159" s="133"/>
      <c r="G1159" s="133"/>
      <c r="H1159" s="133"/>
      <c r="I1159" s="133"/>
      <c r="J1159" s="133"/>
      <c r="K1159" s="133"/>
      <c r="L1159" s="133"/>
      <c r="M1159" s="133"/>
      <c r="N1159" s="133"/>
      <c r="O1159" s="133"/>
      <c r="P1159" s="134"/>
      <c r="Q1159" s="146"/>
      <c r="R1159" s="17"/>
      <c r="S1159" s="17"/>
      <c r="T1159" s="75"/>
      <c r="U1159" s="75"/>
      <c r="V1159" s="75"/>
      <c r="W1159" s="75"/>
      <c r="X1159" s="75"/>
    </row>
    <row r="1160">
      <c r="A1160" s="17"/>
      <c r="B1160" s="17"/>
      <c r="C1160" s="133"/>
      <c r="D1160" s="133"/>
      <c r="E1160" s="17"/>
      <c r="F1160" s="133"/>
      <c r="G1160" s="133"/>
      <c r="H1160" s="133"/>
      <c r="I1160" s="133"/>
      <c r="J1160" s="133"/>
      <c r="K1160" s="133"/>
      <c r="L1160" s="133"/>
      <c r="M1160" s="133"/>
      <c r="N1160" s="133"/>
      <c r="O1160" s="133"/>
      <c r="P1160" s="134"/>
      <c r="Q1160" s="146"/>
      <c r="R1160" s="17"/>
      <c r="S1160" s="17"/>
      <c r="T1160" s="75"/>
      <c r="U1160" s="75"/>
      <c r="V1160" s="75"/>
      <c r="W1160" s="75"/>
      <c r="X1160" s="75"/>
    </row>
    <row r="1161">
      <c r="A1161" s="17"/>
      <c r="B1161" s="17"/>
      <c r="C1161" s="133"/>
      <c r="D1161" s="133"/>
      <c r="E1161" s="17"/>
      <c r="F1161" s="133"/>
      <c r="G1161" s="133"/>
      <c r="H1161" s="133"/>
      <c r="I1161" s="133"/>
      <c r="J1161" s="133"/>
      <c r="K1161" s="133"/>
      <c r="L1161" s="133"/>
      <c r="M1161" s="133"/>
      <c r="N1161" s="133"/>
      <c r="O1161" s="133"/>
      <c r="P1161" s="134"/>
      <c r="Q1161" s="146"/>
      <c r="R1161" s="17"/>
      <c r="S1161" s="17"/>
      <c r="T1161" s="75"/>
      <c r="U1161" s="75"/>
      <c r="V1161" s="75"/>
      <c r="W1161" s="75"/>
      <c r="X1161" s="75"/>
    </row>
    <row r="1162">
      <c r="A1162" s="17"/>
      <c r="B1162" s="17"/>
      <c r="C1162" s="133"/>
      <c r="D1162" s="133"/>
      <c r="E1162" s="17"/>
      <c r="F1162" s="133"/>
      <c r="G1162" s="133"/>
      <c r="H1162" s="133"/>
      <c r="I1162" s="133"/>
      <c r="J1162" s="133"/>
      <c r="K1162" s="133"/>
      <c r="L1162" s="133"/>
      <c r="M1162" s="133"/>
      <c r="N1162" s="133"/>
      <c r="O1162" s="133"/>
      <c r="P1162" s="134"/>
      <c r="Q1162" s="146"/>
      <c r="R1162" s="17"/>
      <c r="S1162" s="17"/>
      <c r="T1162" s="75"/>
      <c r="U1162" s="75"/>
      <c r="V1162" s="75"/>
      <c r="W1162" s="75"/>
      <c r="X1162" s="75"/>
    </row>
    <row r="1163">
      <c r="A1163" s="17"/>
      <c r="B1163" s="17"/>
      <c r="C1163" s="133"/>
      <c r="D1163" s="133"/>
      <c r="E1163" s="17"/>
      <c r="F1163" s="133"/>
      <c r="G1163" s="133"/>
      <c r="H1163" s="133"/>
      <c r="I1163" s="133"/>
      <c r="J1163" s="133"/>
      <c r="K1163" s="133"/>
      <c r="L1163" s="133"/>
      <c r="M1163" s="133"/>
      <c r="N1163" s="133"/>
      <c r="O1163" s="133"/>
      <c r="P1163" s="134"/>
      <c r="Q1163" s="146"/>
      <c r="R1163" s="17"/>
      <c r="S1163" s="17"/>
      <c r="T1163" s="75"/>
      <c r="U1163" s="75"/>
      <c r="V1163" s="75"/>
      <c r="W1163" s="75"/>
      <c r="X1163" s="75"/>
    </row>
    <row r="1164">
      <c r="A1164" s="17"/>
      <c r="B1164" s="17"/>
      <c r="C1164" s="133"/>
      <c r="D1164" s="133"/>
      <c r="E1164" s="17"/>
      <c r="F1164" s="133"/>
      <c r="G1164" s="133"/>
      <c r="H1164" s="133"/>
      <c r="I1164" s="133"/>
      <c r="J1164" s="133"/>
      <c r="K1164" s="133"/>
      <c r="L1164" s="133"/>
      <c r="M1164" s="133"/>
      <c r="N1164" s="133"/>
      <c r="O1164" s="133"/>
      <c r="P1164" s="134"/>
      <c r="Q1164" s="146"/>
      <c r="R1164" s="17"/>
      <c r="S1164" s="17"/>
      <c r="T1164" s="75"/>
      <c r="U1164" s="75"/>
      <c r="V1164" s="75"/>
      <c r="W1164" s="75"/>
      <c r="X1164" s="75"/>
    </row>
    <row r="1165">
      <c r="A1165" s="17"/>
      <c r="B1165" s="17"/>
      <c r="C1165" s="133"/>
      <c r="D1165" s="133"/>
      <c r="E1165" s="17"/>
      <c r="F1165" s="133"/>
      <c r="G1165" s="133"/>
      <c r="H1165" s="133"/>
      <c r="I1165" s="133"/>
      <c r="J1165" s="133"/>
      <c r="K1165" s="133"/>
      <c r="L1165" s="133"/>
      <c r="M1165" s="133"/>
      <c r="N1165" s="133"/>
      <c r="O1165" s="133"/>
      <c r="P1165" s="134"/>
      <c r="Q1165" s="146"/>
      <c r="R1165" s="17"/>
      <c r="S1165" s="17"/>
      <c r="T1165" s="75"/>
      <c r="U1165" s="75"/>
      <c r="V1165" s="75"/>
      <c r="W1165" s="75"/>
      <c r="X1165" s="75"/>
    </row>
    <row r="1166">
      <c r="A1166" s="17"/>
      <c r="B1166" s="17"/>
      <c r="C1166" s="133"/>
      <c r="D1166" s="133"/>
      <c r="E1166" s="17"/>
      <c r="F1166" s="133"/>
      <c r="G1166" s="133"/>
      <c r="H1166" s="133"/>
      <c r="I1166" s="133"/>
      <c r="J1166" s="133"/>
      <c r="K1166" s="133"/>
      <c r="L1166" s="133"/>
      <c r="M1166" s="133"/>
      <c r="N1166" s="133"/>
      <c r="O1166" s="133"/>
      <c r="P1166" s="134"/>
      <c r="Q1166" s="146"/>
      <c r="R1166" s="17"/>
      <c r="S1166" s="17"/>
      <c r="T1166" s="75"/>
      <c r="U1166" s="75"/>
      <c r="V1166" s="75"/>
      <c r="W1166" s="75"/>
      <c r="X1166" s="75"/>
    </row>
    <row r="1167">
      <c r="A1167" s="17"/>
      <c r="B1167" s="17"/>
      <c r="C1167" s="133"/>
      <c r="D1167" s="133"/>
      <c r="E1167" s="17"/>
      <c r="F1167" s="133"/>
      <c r="G1167" s="133"/>
      <c r="H1167" s="133"/>
      <c r="I1167" s="133"/>
      <c r="J1167" s="133"/>
      <c r="K1167" s="133"/>
      <c r="L1167" s="133"/>
      <c r="M1167" s="133"/>
      <c r="N1167" s="133"/>
      <c r="O1167" s="133"/>
      <c r="P1167" s="134"/>
      <c r="Q1167" s="146"/>
      <c r="R1167" s="17"/>
      <c r="S1167" s="17"/>
      <c r="T1167" s="75"/>
      <c r="U1167" s="75"/>
      <c r="V1167" s="75"/>
      <c r="W1167" s="75"/>
      <c r="X1167" s="75"/>
    </row>
    <row r="1168">
      <c r="A1168" s="17"/>
      <c r="B1168" s="17"/>
      <c r="C1168" s="133"/>
      <c r="D1168" s="133"/>
      <c r="E1168" s="17"/>
      <c r="F1168" s="133"/>
      <c r="G1168" s="133"/>
      <c r="H1168" s="133"/>
      <c r="I1168" s="133"/>
      <c r="J1168" s="133"/>
      <c r="K1168" s="133"/>
      <c r="L1168" s="133"/>
      <c r="M1168" s="133"/>
      <c r="N1168" s="133"/>
      <c r="O1168" s="133"/>
      <c r="P1168" s="134"/>
      <c r="Q1168" s="146"/>
      <c r="R1168" s="17"/>
      <c r="S1168" s="17"/>
      <c r="T1168" s="75"/>
      <c r="U1168" s="75"/>
      <c r="V1168" s="75"/>
      <c r="W1168" s="75"/>
      <c r="X1168" s="75"/>
    </row>
    <row r="1169">
      <c r="A1169" s="17"/>
      <c r="B1169" s="17"/>
      <c r="C1169" s="133"/>
      <c r="D1169" s="133"/>
      <c r="E1169" s="17"/>
      <c r="F1169" s="133"/>
      <c r="G1169" s="133"/>
      <c r="H1169" s="133"/>
      <c r="I1169" s="133"/>
      <c r="J1169" s="133"/>
      <c r="K1169" s="133"/>
      <c r="L1169" s="133"/>
      <c r="M1169" s="133"/>
      <c r="N1169" s="133"/>
      <c r="O1169" s="133"/>
      <c r="P1169" s="134"/>
      <c r="Q1169" s="146"/>
      <c r="R1169" s="17"/>
      <c r="S1169" s="17"/>
      <c r="T1169" s="75"/>
      <c r="U1169" s="75"/>
      <c r="V1169" s="75"/>
      <c r="W1169" s="75"/>
      <c r="X1169" s="75"/>
    </row>
    <row r="1170">
      <c r="A1170" s="17"/>
      <c r="B1170" s="17"/>
      <c r="C1170" s="133"/>
      <c r="D1170" s="133"/>
      <c r="E1170" s="17"/>
      <c r="F1170" s="133"/>
      <c r="G1170" s="133"/>
      <c r="H1170" s="133"/>
      <c r="I1170" s="133"/>
      <c r="J1170" s="133"/>
      <c r="K1170" s="133"/>
      <c r="L1170" s="133"/>
      <c r="M1170" s="133"/>
      <c r="N1170" s="133"/>
      <c r="O1170" s="133"/>
      <c r="P1170" s="134"/>
      <c r="Q1170" s="146"/>
      <c r="R1170" s="17"/>
      <c r="S1170" s="17"/>
      <c r="T1170" s="75"/>
      <c r="U1170" s="75"/>
      <c r="V1170" s="75"/>
      <c r="W1170" s="75"/>
      <c r="X1170" s="75"/>
    </row>
    <row r="1171">
      <c r="A1171" s="17"/>
      <c r="B1171" s="17"/>
      <c r="C1171" s="133"/>
      <c r="D1171" s="133"/>
      <c r="E1171" s="17"/>
      <c r="F1171" s="133"/>
      <c r="G1171" s="133"/>
      <c r="H1171" s="133"/>
      <c r="I1171" s="133"/>
      <c r="J1171" s="133"/>
      <c r="K1171" s="133"/>
      <c r="L1171" s="133"/>
      <c r="M1171" s="133"/>
      <c r="N1171" s="133"/>
      <c r="O1171" s="133"/>
      <c r="P1171" s="134"/>
      <c r="Q1171" s="146"/>
      <c r="R1171" s="17"/>
      <c r="S1171" s="17"/>
      <c r="T1171" s="75"/>
      <c r="U1171" s="75"/>
      <c r="V1171" s="75"/>
      <c r="W1171" s="75"/>
      <c r="X1171" s="75"/>
    </row>
    <row r="1172">
      <c r="A1172" s="17"/>
      <c r="B1172" s="17"/>
      <c r="C1172" s="133"/>
      <c r="D1172" s="133"/>
      <c r="E1172" s="17"/>
      <c r="F1172" s="133"/>
      <c r="G1172" s="133"/>
      <c r="H1172" s="133"/>
      <c r="I1172" s="133"/>
      <c r="J1172" s="133"/>
      <c r="K1172" s="133"/>
      <c r="L1172" s="133"/>
      <c r="M1172" s="133"/>
      <c r="N1172" s="133"/>
      <c r="O1172" s="133"/>
      <c r="P1172" s="134"/>
      <c r="Q1172" s="146"/>
      <c r="R1172" s="17"/>
      <c r="S1172" s="17"/>
      <c r="T1172" s="75"/>
      <c r="U1172" s="75"/>
      <c r="V1172" s="75"/>
      <c r="W1172" s="75"/>
      <c r="X1172" s="75"/>
    </row>
    <row r="1173">
      <c r="A1173" s="17"/>
      <c r="B1173" s="17"/>
      <c r="C1173" s="133"/>
      <c r="D1173" s="133"/>
      <c r="E1173" s="17"/>
      <c r="F1173" s="133"/>
      <c r="G1173" s="133"/>
      <c r="H1173" s="133"/>
      <c r="I1173" s="133"/>
      <c r="J1173" s="133"/>
      <c r="K1173" s="133"/>
      <c r="L1173" s="133"/>
      <c r="M1173" s="133"/>
      <c r="N1173" s="133"/>
      <c r="O1173" s="133"/>
      <c r="P1173" s="134"/>
      <c r="Q1173" s="146"/>
      <c r="R1173" s="17"/>
      <c r="S1173" s="17"/>
      <c r="T1173" s="75"/>
      <c r="U1173" s="75"/>
      <c r="V1173" s="75"/>
      <c r="W1173" s="75"/>
      <c r="X1173" s="75"/>
    </row>
    <row r="1174">
      <c r="A1174" s="17"/>
      <c r="B1174" s="17"/>
      <c r="C1174" s="133"/>
      <c r="D1174" s="133"/>
      <c r="E1174" s="17"/>
      <c r="F1174" s="133"/>
      <c r="G1174" s="133"/>
      <c r="H1174" s="133"/>
      <c r="I1174" s="133"/>
      <c r="J1174" s="133"/>
      <c r="K1174" s="133"/>
      <c r="L1174" s="133"/>
      <c r="M1174" s="133"/>
      <c r="N1174" s="133"/>
      <c r="O1174" s="133"/>
      <c r="P1174" s="134"/>
      <c r="Q1174" s="146"/>
      <c r="R1174" s="17"/>
      <c r="S1174" s="17"/>
      <c r="T1174" s="75"/>
      <c r="U1174" s="75"/>
      <c r="V1174" s="75"/>
      <c r="W1174" s="75"/>
      <c r="X1174" s="75"/>
    </row>
    <row r="1175">
      <c r="A1175" s="17"/>
      <c r="B1175" s="17"/>
      <c r="C1175" s="133"/>
      <c r="D1175" s="133"/>
      <c r="E1175" s="17"/>
      <c r="F1175" s="133"/>
      <c r="G1175" s="133"/>
      <c r="H1175" s="133"/>
      <c r="I1175" s="133"/>
      <c r="J1175" s="133"/>
      <c r="K1175" s="133"/>
      <c r="L1175" s="133"/>
      <c r="M1175" s="133"/>
      <c r="N1175" s="133"/>
      <c r="O1175" s="133"/>
      <c r="P1175" s="134"/>
      <c r="Q1175" s="146"/>
      <c r="R1175" s="17"/>
      <c r="S1175" s="17"/>
      <c r="T1175" s="75"/>
      <c r="U1175" s="75"/>
      <c r="V1175" s="75"/>
      <c r="W1175" s="75"/>
      <c r="X1175" s="75"/>
    </row>
    <row r="1176">
      <c r="A1176" s="17"/>
      <c r="B1176" s="17"/>
      <c r="C1176" s="133"/>
      <c r="D1176" s="133"/>
      <c r="E1176" s="17"/>
      <c r="F1176" s="133"/>
      <c r="G1176" s="133"/>
      <c r="H1176" s="133"/>
      <c r="I1176" s="133"/>
      <c r="J1176" s="133"/>
      <c r="K1176" s="133"/>
      <c r="L1176" s="133"/>
      <c r="M1176" s="133"/>
      <c r="N1176" s="133"/>
      <c r="O1176" s="133"/>
      <c r="P1176" s="134"/>
      <c r="Q1176" s="146"/>
      <c r="R1176" s="17"/>
      <c r="S1176" s="17"/>
      <c r="T1176" s="75"/>
      <c r="U1176" s="75"/>
      <c r="V1176" s="75"/>
      <c r="W1176" s="75"/>
      <c r="X1176" s="75"/>
    </row>
    <row r="1177">
      <c r="A1177" s="17"/>
      <c r="B1177" s="17"/>
      <c r="C1177" s="133"/>
      <c r="D1177" s="133"/>
      <c r="E1177" s="17"/>
      <c r="F1177" s="133"/>
      <c r="G1177" s="133"/>
      <c r="H1177" s="133"/>
      <c r="I1177" s="133"/>
      <c r="J1177" s="133"/>
      <c r="K1177" s="133"/>
      <c r="L1177" s="133"/>
      <c r="M1177" s="133"/>
      <c r="N1177" s="133"/>
      <c r="O1177" s="133"/>
      <c r="P1177" s="134"/>
      <c r="Q1177" s="146"/>
      <c r="R1177" s="17"/>
      <c r="S1177" s="17"/>
      <c r="T1177" s="75"/>
      <c r="U1177" s="75"/>
      <c r="V1177" s="75"/>
      <c r="W1177" s="75"/>
      <c r="X1177" s="75"/>
    </row>
    <row r="1178">
      <c r="A1178" s="17"/>
      <c r="B1178" s="17"/>
      <c r="C1178" s="133"/>
      <c r="D1178" s="133"/>
      <c r="E1178" s="17"/>
      <c r="F1178" s="133"/>
      <c r="G1178" s="133"/>
      <c r="H1178" s="133"/>
      <c r="I1178" s="133"/>
      <c r="J1178" s="133"/>
      <c r="K1178" s="133"/>
      <c r="L1178" s="133"/>
      <c r="M1178" s="133"/>
      <c r="N1178" s="133"/>
      <c r="O1178" s="133"/>
      <c r="P1178" s="134"/>
      <c r="Q1178" s="146"/>
      <c r="R1178" s="17"/>
      <c r="S1178" s="17"/>
      <c r="T1178" s="75"/>
      <c r="U1178" s="75"/>
      <c r="V1178" s="75"/>
      <c r="W1178" s="75"/>
      <c r="X1178" s="75"/>
    </row>
    <row r="1179">
      <c r="A1179" s="17"/>
      <c r="B1179" s="17"/>
      <c r="C1179" s="133"/>
      <c r="D1179" s="133"/>
      <c r="E1179" s="17"/>
      <c r="F1179" s="133"/>
      <c r="G1179" s="133"/>
      <c r="H1179" s="133"/>
      <c r="I1179" s="133"/>
      <c r="J1179" s="133"/>
      <c r="K1179" s="133"/>
      <c r="L1179" s="133"/>
      <c r="M1179" s="133"/>
      <c r="N1179" s="133"/>
      <c r="O1179" s="133"/>
      <c r="P1179" s="134"/>
      <c r="Q1179" s="146"/>
      <c r="R1179" s="17"/>
      <c r="S1179" s="17"/>
      <c r="T1179" s="75"/>
      <c r="U1179" s="75"/>
      <c r="V1179" s="75"/>
      <c r="W1179" s="75"/>
      <c r="X1179" s="75"/>
    </row>
    <row r="1180">
      <c r="A1180" s="17"/>
      <c r="B1180" s="17"/>
      <c r="C1180" s="133"/>
      <c r="D1180" s="133"/>
      <c r="E1180" s="17"/>
      <c r="F1180" s="133"/>
      <c r="G1180" s="133"/>
      <c r="H1180" s="133"/>
      <c r="I1180" s="133"/>
      <c r="J1180" s="133"/>
      <c r="K1180" s="133"/>
      <c r="L1180" s="133"/>
      <c r="M1180" s="133"/>
      <c r="N1180" s="133"/>
      <c r="O1180" s="133"/>
      <c r="P1180" s="134"/>
      <c r="Q1180" s="146"/>
      <c r="R1180" s="17"/>
      <c r="S1180" s="17"/>
      <c r="T1180" s="75"/>
      <c r="U1180" s="75"/>
      <c r="V1180" s="75"/>
      <c r="W1180" s="75"/>
      <c r="X1180" s="75"/>
    </row>
    <row r="1181">
      <c r="A1181" s="17"/>
      <c r="B1181" s="17"/>
      <c r="C1181" s="133"/>
      <c r="D1181" s="133"/>
      <c r="E1181" s="17"/>
      <c r="F1181" s="133"/>
      <c r="G1181" s="133"/>
      <c r="H1181" s="133"/>
      <c r="I1181" s="133"/>
      <c r="J1181" s="133"/>
      <c r="K1181" s="133"/>
      <c r="L1181" s="133"/>
      <c r="M1181" s="133"/>
      <c r="N1181" s="133"/>
      <c r="O1181" s="133"/>
      <c r="P1181" s="134"/>
      <c r="Q1181" s="146"/>
      <c r="R1181" s="17"/>
      <c r="S1181" s="17"/>
      <c r="T1181" s="75"/>
      <c r="U1181" s="75"/>
      <c r="V1181" s="75"/>
      <c r="W1181" s="75"/>
      <c r="X1181" s="75"/>
    </row>
    <row r="1182">
      <c r="A1182" s="17"/>
      <c r="B1182" s="17"/>
      <c r="C1182" s="133"/>
      <c r="D1182" s="133"/>
      <c r="E1182" s="17"/>
      <c r="F1182" s="133"/>
      <c r="G1182" s="133"/>
      <c r="H1182" s="133"/>
      <c r="I1182" s="133"/>
      <c r="J1182" s="133"/>
      <c r="K1182" s="133"/>
      <c r="L1182" s="133"/>
      <c r="M1182" s="133"/>
      <c r="N1182" s="133"/>
      <c r="O1182" s="133"/>
      <c r="P1182" s="134"/>
      <c r="Q1182" s="146"/>
      <c r="R1182" s="17"/>
      <c r="S1182" s="17"/>
      <c r="T1182" s="75"/>
      <c r="U1182" s="75"/>
      <c r="V1182" s="75"/>
      <c r="W1182" s="75"/>
      <c r="X1182" s="75"/>
    </row>
    <row r="1183">
      <c r="A1183" s="17"/>
      <c r="B1183" s="17"/>
      <c r="C1183" s="133"/>
      <c r="D1183" s="133"/>
      <c r="E1183" s="17"/>
      <c r="F1183" s="133"/>
      <c r="G1183" s="133"/>
      <c r="H1183" s="133"/>
      <c r="I1183" s="133"/>
      <c r="J1183" s="133"/>
      <c r="K1183" s="133"/>
      <c r="L1183" s="133"/>
      <c r="M1183" s="133"/>
      <c r="N1183" s="133"/>
      <c r="O1183" s="133"/>
      <c r="P1183" s="134"/>
      <c r="Q1183" s="146"/>
      <c r="R1183" s="17"/>
      <c r="S1183" s="17"/>
      <c r="T1183" s="75"/>
      <c r="U1183" s="75"/>
      <c r="V1183" s="75"/>
      <c r="W1183" s="75"/>
      <c r="X1183" s="75"/>
    </row>
    <row r="1184">
      <c r="A1184" s="17"/>
      <c r="B1184" s="17"/>
      <c r="C1184" s="133"/>
      <c r="D1184" s="133"/>
      <c r="E1184" s="17"/>
      <c r="F1184" s="133"/>
      <c r="G1184" s="133"/>
      <c r="H1184" s="133"/>
      <c r="I1184" s="133"/>
      <c r="J1184" s="133"/>
      <c r="K1184" s="133"/>
      <c r="L1184" s="133"/>
      <c r="M1184" s="133"/>
      <c r="N1184" s="133"/>
      <c r="O1184" s="133"/>
      <c r="P1184" s="134"/>
      <c r="Q1184" s="146"/>
      <c r="R1184" s="17"/>
      <c r="S1184" s="17"/>
      <c r="T1184" s="75"/>
      <c r="U1184" s="75"/>
      <c r="V1184" s="75"/>
      <c r="W1184" s="75"/>
      <c r="X1184" s="75"/>
    </row>
    <row r="1185">
      <c r="A1185" s="17"/>
      <c r="B1185" s="17"/>
      <c r="C1185" s="133"/>
      <c r="D1185" s="133"/>
      <c r="E1185" s="17"/>
      <c r="F1185" s="133"/>
      <c r="G1185" s="133"/>
      <c r="H1185" s="133"/>
      <c r="I1185" s="133"/>
      <c r="J1185" s="133"/>
      <c r="K1185" s="133"/>
      <c r="L1185" s="133"/>
      <c r="M1185" s="133"/>
      <c r="N1185" s="133"/>
      <c r="O1185" s="133"/>
      <c r="P1185" s="134"/>
      <c r="Q1185" s="146"/>
      <c r="R1185" s="17"/>
      <c r="S1185" s="17"/>
      <c r="T1185" s="75"/>
      <c r="U1185" s="75"/>
      <c r="V1185" s="75"/>
      <c r="W1185" s="75"/>
      <c r="X1185" s="75"/>
    </row>
    <row r="1186">
      <c r="A1186" s="17"/>
      <c r="B1186" s="17"/>
      <c r="C1186" s="133"/>
      <c r="D1186" s="133"/>
      <c r="E1186" s="17"/>
      <c r="F1186" s="133"/>
      <c r="G1186" s="133"/>
      <c r="H1186" s="133"/>
      <c r="I1186" s="133"/>
      <c r="J1186" s="133"/>
      <c r="K1186" s="133"/>
      <c r="L1186" s="133"/>
      <c r="M1186" s="133"/>
      <c r="N1186" s="133"/>
      <c r="O1186" s="133"/>
      <c r="P1186" s="134"/>
      <c r="Q1186" s="146"/>
      <c r="R1186" s="17"/>
      <c r="S1186" s="17"/>
      <c r="T1186" s="75"/>
      <c r="U1186" s="75"/>
      <c r="V1186" s="75"/>
      <c r="W1186" s="75"/>
      <c r="X1186" s="75"/>
    </row>
    <row r="1187">
      <c r="A1187" s="17"/>
      <c r="B1187" s="17"/>
      <c r="C1187" s="133"/>
      <c r="D1187" s="133"/>
      <c r="E1187" s="17"/>
      <c r="F1187" s="133"/>
      <c r="G1187" s="133"/>
      <c r="H1187" s="133"/>
      <c r="I1187" s="133"/>
      <c r="J1187" s="133"/>
      <c r="K1187" s="133"/>
      <c r="L1187" s="133"/>
      <c r="M1187" s="133"/>
      <c r="N1187" s="133"/>
      <c r="O1187" s="133"/>
      <c r="P1187" s="134"/>
      <c r="Q1187" s="146"/>
      <c r="R1187" s="17"/>
      <c r="S1187" s="17"/>
      <c r="T1187" s="75"/>
      <c r="U1187" s="75"/>
      <c r="V1187" s="75"/>
      <c r="W1187" s="75"/>
      <c r="X1187" s="75"/>
    </row>
    <row r="1188">
      <c r="A1188" s="17"/>
      <c r="B1188" s="17"/>
      <c r="C1188" s="133"/>
      <c r="D1188" s="133"/>
      <c r="E1188" s="17"/>
      <c r="F1188" s="133"/>
      <c r="G1188" s="133"/>
      <c r="H1188" s="133"/>
      <c r="I1188" s="133"/>
      <c r="J1188" s="133"/>
      <c r="K1188" s="133"/>
      <c r="L1188" s="133"/>
      <c r="M1188" s="133"/>
      <c r="N1188" s="133"/>
      <c r="O1188" s="133"/>
      <c r="P1188" s="134"/>
      <c r="Q1188" s="146"/>
      <c r="R1188" s="17"/>
      <c r="S1188" s="17"/>
      <c r="T1188" s="75"/>
      <c r="U1188" s="75"/>
      <c r="V1188" s="75"/>
      <c r="W1188" s="75"/>
      <c r="X1188" s="75"/>
    </row>
    <row r="1189">
      <c r="A1189" s="17"/>
      <c r="B1189" s="17"/>
      <c r="C1189" s="133"/>
      <c r="D1189" s="133"/>
      <c r="E1189" s="17"/>
      <c r="F1189" s="133"/>
      <c r="G1189" s="133"/>
      <c r="H1189" s="133"/>
      <c r="I1189" s="133"/>
      <c r="J1189" s="133"/>
      <c r="K1189" s="133"/>
      <c r="L1189" s="133"/>
      <c r="M1189" s="133"/>
      <c r="N1189" s="133"/>
      <c r="O1189" s="133"/>
      <c r="P1189" s="134"/>
      <c r="Q1189" s="146"/>
      <c r="R1189" s="17"/>
      <c r="S1189" s="17"/>
      <c r="T1189" s="75"/>
      <c r="U1189" s="75"/>
      <c r="V1189" s="75"/>
      <c r="W1189" s="75"/>
      <c r="X1189" s="75"/>
    </row>
    <row r="1190">
      <c r="A1190" s="17"/>
      <c r="B1190" s="17"/>
      <c r="C1190" s="133"/>
      <c r="D1190" s="133"/>
      <c r="E1190" s="17"/>
      <c r="F1190" s="133"/>
      <c r="G1190" s="133"/>
      <c r="H1190" s="133"/>
      <c r="I1190" s="133"/>
      <c r="J1190" s="133"/>
      <c r="K1190" s="133"/>
      <c r="L1190" s="133"/>
      <c r="M1190" s="133"/>
      <c r="N1190" s="133"/>
      <c r="O1190" s="133"/>
      <c r="P1190" s="134"/>
      <c r="Q1190" s="146"/>
      <c r="R1190" s="17"/>
      <c r="S1190" s="17"/>
      <c r="T1190" s="75"/>
      <c r="U1190" s="75"/>
      <c r="V1190" s="75"/>
      <c r="W1190" s="75"/>
      <c r="X1190" s="75"/>
    </row>
    <row r="1191">
      <c r="A1191" s="17"/>
      <c r="B1191" s="17"/>
      <c r="C1191" s="133"/>
      <c r="D1191" s="133"/>
      <c r="E1191" s="17"/>
      <c r="F1191" s="133"/>
      <c r="G1191" s="133"/>
      <c r="H1191" s="133"/>
      <c r="I1191" s="133"/>
      <c r="J1191" s="133"/>
      <c r="K1191" s="133"/>
      <c r="L1191" s="133"/>
      <c r="M1191" s="133"/>
      <c r="N1191" s="133"/>
      <c r="O1191" s="133"/>
      <c r="P1191" s="134"/>
      <c r="Q1191" s="146"/>
      <c r="R1191" s="17"/>
      <c r="S1191" s="17"/>
      <c r="T1191" s="75"/>
      <c r="U1191" s="75"/>
      <c r="V1191" s="75"/>
      <c r="W1191" s="75"/>
      <c r="X1191" s="75"/>
    </row>
    <row r="1192">
      <c r="A1192" s="17"/>
      <c r="B1192" s="17"/>
      <c r="C1192" s="133"/>
      <c r="D1192" s="133"/>
      <c r="E1192" s="17"/>
      <c r="F1192" s="133"/>
      <c r="G1192" s="133"/>
      <c r="H1192" s="133"/>
      <c r="I1192" s="133"/>
      <c r="J1192" s="133"/>
      <c r="K1192" s="133"/>
      <c r="L1192" s="133"/>
      <c r="M1192" s="133"/>
      <c r="N1192" s="133"/>
      <c r="O1192" s="133"/>
      <c r="P1192" s="134"/>
      <c r="Q1192" s="146"/>
      <c r="R1192" s="17"/>
      <c r="S1192" s="17"/>
      <c r="T1192" s="75"/>
      <c r="U1192" s="75"/>
      <c r="V1192" s="75"/>
      <c r="W1192" s="75"/>
      <c r="X1192" s="75"/>
    </row>
    <row r="1193">
      <c r="A1193" s="17"/>
      <c r="B1193" s="17"/>
      <c r="C1193" s="133"/>
      <c r="D1193" s="133"/>
      <c r="E1193" s="17"/>
      <c r="F1193" s="133"/>
      <c r="G1193" s="133"/>
      <c r="H1193" s="133"/>
      <c r="I1193" s="133"/>
      <c r="J1193" s="133"/>
      <c r="K1193" s="133"/>
      <c r="L1193" s="133"/>
      <c r="M1193" s="133"/>
      <c r="N1193" s="133"/>
      <c r="O1193" s="133"/>
      <c r="P1193" s="134"/>
      <c r="Q1193" s="146"/>
      <c r="R1193" s="17"/>
      <c r="S1193" s="17"/>
      <c r="T1193" s="75"/>
      <c r="U1193" s="75"/>
      <c r="V1193" s="75"/>
      <c r="W1193" s="75"/>
      <c r="X1193" s="75"/>
    </row>
    <row r="1194">
      <c r="A1194" s="17"/>
      <c r="B1194" s="17"/>
      <c r="C1194" s="133"/>
      <c r="D1194" s="133"/>
      <c r="E1194" s="17"/>
      <c r="F1194" s="133"/>
      <c r="G1194" s="133"/>
      <c r="H1194" s="133"/>
      <c r="I1194" s="133"/>
      <c r="J1194" s="133"/>
      <c r="K1194" s="133"/>
      <c r="L1194" s="133"/>
      <c r="M1194" s="133"/>
      <c r="N1194" s="133"/>
      <c r="O1194" s="133"/>
      <c r="P1194" s="134"/>
      <c r="Q1194" s="146"/>
      <c r="R1194" s="17"/>
      <c r="S1194" s="17"/>
      <c r="T1194" s="75"/>
      <c r="U1194" s="75"/>
      <c r="V1194" s="75"/>
      <c r="W1194" s="75"/>
      <c r="X1194" s="75"/>
    </row>
    <row r="1195">
      <c r="A1195" s="17"/>
      <c r="B1195" s="17"/>
      <c r="C1195" s="133"/>
      <c r="D1195" s="133"/>
      <c r="E1195" s="17"/>
      <c r="F1195" s="133"/>
      <c r="G1195" s="133"/>
      <c r="H1195" s="133"/>
      <c r="I1195" s="133"/>
      <c r="J1195" s="133"/>
      <c r="K1195" s="133"/>
      <c r="L1195" s="133"/>
      <c r="M1195" s="133"/>
      <c r="N1195" s="133"/>
      <c r="O1195" s="133"/>
      <c r="P1195" s="134"/>
      <c r="Q1195" s="146"/>
      <c r="R1195" s="17"/>
      <c r="S1195" s="17"/>
      <c r="T1195" s="75"/>
      <c r="U1195" s="75"/>
      <c r="V1195" s="75"/>
      <c r="W1195" s="75"/>
      <c r="X1195" s="75"/>
    </row>
    <row r="1196">
      <c r="A1196" s="17"/>
      <c r="B1196" s="17"/>
      <c r="C1196" s="133"/>
      <c r="D1196" s="133"/>
      <c r="E1196" s="17"/>
      <c r="F1196" s="133"/>
      <c r="G1196" s="133"/>
      <c r="H1196" s="133"/>
      <c r="I1196" s="133"/>
      <c r="J1196" s="133"/>
      <c r="K1196" s="133"/>
      <c r="L1196" s="133"/>
      <c r="M1196" s="133"/>
      <c r="N1196" s="133"/>
      <c r="O1196" s="133"/>
      <c r="P1196" s="134"/>
      <c r="Q1196" s="146"/>
      <c r="R1196" s="17"/>
      <c r="S1196" s="17"/>
      <c r="T1196" s="75"/>
      <c r="U1196" s="75"/>
      <c r="V1196" s="75"/>
      <c r="W1196" s="75"/>
      <c r="X1196" s="75"/>
    </row>
    <row r="1197">
      <c r="A1197" s="17"/>
      <c r="B1197" s="17"/>
      <c r="C1197" s="133"/>
      <c r="D1197" s="133"/>
      <c r="E1197" s="17"/>
      <c r="F1197" s="133"/>
      <c r="G1197" s="133"/>
      <c r="H1197" s="133"/>
      <c r="I1197" s="133"/>
      <c r="J1197" s="133"/>
      <c r="K1197" s="133"/>
      <c r="L1197" s="133"/>
      <c r="M1197" s="133"/>
      <c r="N1197" s="133"/>
      <c r="O1197" s="133"/>
      <c r="P1197" s="134"/>
      <c r="Q1197" s="146"/>
      <c r="R1197" s="17"/>
      <c r="S1197" s="17"/>
      <c r="T1197" s="75"/>
      <c r="U1197" s="75"/>
      <c r="V1197" s="75"/>
      <c r="W1197" s="75"/>
      <c r="X1197" s="75"/>
    </row>
    <row r="1198">
      <c r="A1198" s="17"/>
      <c r="B1198" s="17"/>
      <c r="C1198" s="133"/>
      <c r="D1198" s="133"/>
      <c r="E1198" s="17"/>
      <c r="F1198" s="133"/>
      <c r="G1198" s="133"/>
      <c r="H1198" s="133"/>
      <c r="I1198" s="133"/>
      <c r="J1198" s="133"/>
      <c r="K1198" s="133"/>
      <c r="L1198" s="133"/>
      <c r="M1198" s="133"/>
      <c r="N1198" s="133"/>
      <c r="O1198" s="133"/>
      <c r="P1198" s="134"/>
      <c r="Q1198" s="146"/>
      <c r="R1198" s="17"/>
      <c r="S1198" s="17"/>
      <c r="T1198" s="75"/>
      <c r="U1198" s="75"/>
      <c r="V1198" s="75"/>
      <c r="W1198" s="75"/>
      <c r="X1198" s="75"/>
    </row>
    <row r="1199">
      <c r="A1199" s="17"/>
      <c r="B1199" s="17"/>
      <c r="C1199" s="133"/>
      <c r="D1199" s="133"/>
      <c r="E1199" s="17"/>
      <c r="F1199" s="133"/>
      <c r="G1199" s="133"/>
      <c r="H1199" s="133"/>
      <c r="I1199" s="133"/>
      <c r="J1199" s="133"/>
      <c r="K1199" s="133"/>
      <c r="L1199" s="133"/>
      <c r="M1199" s="133"/>
      <c r="N1199" s="133"/>
      <c r="O1199" s="133"/>
      <c r="P1199" s="134"/>
      <c r="Q1199" s="146"/>
      <c r="R1199" s="17"/>
      <c r="S1199" s="17"/>
      <c r="T1199" s="75"/>
      <c r="U1199" s="75"/>
      <c r="V1199" s="75"/>
      <c r="W1199" s="75"/>
      <c r="X1199" s="75"/>
    </row>
    <row r="1200">
      <c r="A1200" s="17"/>
      <c r="B1200" s="17"/>
      <c r="C1200" s="133"/>
      <c r="D1200" s="133"/>
      <c r="E1200" s="17"/>
      <c r="F1200" s="133"/>
      <c r="G1200" s="133"/>
      <c r="H1200" s="133"/>
      <c r="I1200" s="133"/>
      <c r="J1200" s="133"/>
      <c r="K1200" s="133"/>
      <c r="L1200" s="133"/>
      <c r="M1200" s="133"/>
      <c r="N1200" s="133"/>
      <c r="O1200" s="133"/>
      <c r="P1200" s="134"/>
      <c r="Q1200" s="146"/>
      <c r="R1200" s="17"/>
      <c r="S1200" s="17"/>
      <c r="T1200" s="75"/>
      <c r="U1200" s="75"/>
      <c r="V1200" s="75"/>
      <c r="W1200" s="75"/>
      <c r="X1200" s="75"/>
    </row>
    <row r="1201">
      <c r="A1201" s="17"/>
      <c r="B1201" s="17"/>
      <c r="C1201" s="133"/>
      <c r="D1201" s="133"/>
      <c r="E1201" s="17"/>
      <c r="F1201" s="133"/>
      <c r="G1201" s="133"/>
      <c r="H1201" s="133"/>
      <c r="I1201" s="133"/>
      <c r="J1201" s="133"/>
      <c r="K1201" s="133"/>
      <c r="L1201" s="133"/>
      <c r="M1201" s="133"/>
      <c r="N1201" s="133"/>
      <c r="O1201" s="133"/>
      <c r="P1201" s="134"/>
      <c r="Q1201" s="146"/>
      <c r="R1201" s="17"/>
      <c r="S1201" s="17"/>
      <c r="T1201" s="75"/>
      <c r="U1201" s="75"/>
      <c r="V1201" s="75"/>
      <c r="W1201" s="75"/>
      <c r="X1201" s="75"/>
    </row>
    <row r="1202">
      <c r="A1202" s="17"/>
      <c r="B1202" s="17"/>
      <c r="C1202" s="133"/>
      <c r="D1202" s="133"/>
      <c r="E1202" s="17"/>
      <c r="F1202" s="133"/>
      <c r="G1202" s="133"/>
      <c r="H1202" s="133"/>
      <c r="I1202" s="133"/>
      <c r="J1202" s="133"/>
      <c r="K1202" s="133"/>
      <c r="L1202" s="133"/>
      <c r="M1202" s="133"/>
      <c r="N1202" s="133"/>
      <c r="O1202" s="133"/>
      <c r="P1202" s="134"/>
      <c r="Q1202" s="146"/>
      <c r="R1202" s="17"/>
      <c r="S1202" s="17"/>
      <c r="T1202" s="75"/>
      <c r="U1202" s="75"/>
      <c r="V1202" s="75"/>
      <c r="W1202" s="75"/>
      <c r="X1202" s="75"/>
    </row>
    <row r="1203">
      <c r="A1203" s="17"/>
      <c r="B1203" s="17"/>
      <c r="C1203" s="133"/>
      <c r="D1203" s="133"/>
      <c r="E1203" s="17"/>
      <c r="F1203" s="133"/>
      <c r="G1203" s="133"/>
      <c r="H1203" s="133"/>
      <c r="I1203" s="133"/>
      <c r="J1203" s="133"/>
      <c r="K1203" s="133"/>
      <c r="L1203" s="133"/>
      <c r="M1203" s="133"/>
      <c r="N1203" s="133"/>
      <c r="O1203" s="133"/>
      <c r="P1203" s="134"/>
      <c r="Q1203" s="146"/>
      <c r="R1203" s="17"/>
      <c r="S1203" s="17"/>
      <c r="T1203" s="75"/>
      <c r="U1203" s="75"/>
      <c r="V1203" s="75"/>
      <c r="W1203" s="75"/>
      <c r="X1203" s="75"/>
    </row>
    <row r="1204">
      <c r="A1204" s="17"/>
      <c r="B1204" s="17"/>
      <c r="C1204" s="133"/>
      <c r="D1204" s="133"/>
      <c r="E1204" s="17"/>
      <c r="F1204" s="133"/>
      <c r="G1204" s="133"/>
      <c r="H1204" s="133"/>
      <c r="I1204" s="133"/>
      <c r="J1204" s="133"/>
      <c r="K1204" s="133"/>
      <c r="L1204" s="133"/>
      <c r="M1204" s="133"/>
      <c r="N1204" s="133"/>
      <c r="O1204" s="133"/>
      <c r="P1204" s="134"/>
      <c r="Q1204" s="146"/>
      <c r="R1204" s="17"/>
      <c r="S1204" s="17"/>
      <c r="T1204" s="75"/>
      <c r="U1204" s="75"/>
      <c r="V1204" s="75"/>
      <c r="W1204" s="75"/>
      <c r="X1204" s="75"/>
    </row>
    <row r="1205">
      <c r="A1205" s="17"/>
      <c r="B1205" s="17"/>
      <c r="C1205" s="133"/>
      <c r="D1205" s="133"/>
      <c r="E1205" s="17"/>
      <c r="F1205" s="133"/>
      <c r="G1205" s="133"/>
      <c r="H1205" s="133"/>
      <c r="I1205" s="133"/>
      <c r="J1205" s="133"/>
      <c r="K1205" s="133"/>
      <c r="L1205" s="133"/>
      <c r="M1205" s="133"/>
      <c r="N1205" s="133"/>
      <c r="O1205" s="133"/>
      <c r="P1205" s="134"/>
      <c r="Q1205" s="146"/>
      <c r="R1205" s="17"/>
      <c r="S1205" s="17"/>
      <c r="T1205" s="75"/>
      <c r="U1205" s="75"/>
      <c r="V1205" s="75"/>
      <c r="W1205" s="75"/>
      <c r="X1205" s="75"/>
    </row>
    <row r="1206">
      <c r="A1206" s="17"/>
      <c r="B1206" s="17"/>
      <c r="C1206" s="133"/>
      <c r="D1206" s="133"/>
      <c r="E1206" s="17"/>
      <c r="F1206" s="133"/>
      <c r="G1206" s="133"/>
      <c r="H1206" s="133"/>
      <c r="I1206" s="133"/>
      <c r="J1206" s="133"/>
      <c r="K1206" s="133"/>
      <c r="L1206" s="133"/>
      <c r="M1206" s="133"/>
      <c r="N1206" s="133"/>
      <c r="O1206" s="133"/>
      <c r="P1206" s="134"/>
      <c r="Q1206" s="146"/>
      <c r="R1206" s="17"/>
      <c r="S1206" s="17"/>
      <c r="T1206" s="75"/>
      <c r="U1206" s="75"/>
      <c r="V1206" s="75"/>
      <c r="W1206" s="75"/>
      <c r="X1206" s="75"/>
    </row>
    <row r="1207">
      <c r="A1207" s="17"/>
      <c r="B1207" s="17"/>
      <c r="C1207" s="133"/>
      <c r="D1207" s="133"/>
      <c r="E1207" s="17"/>
      <c r="F1207" s="133"/>
      <c r="G1207" s="133"/>
      <c r="H1207" s="133"/>
      <c r="I1207" s="133"/>
      <c r="J1207" s="133"/>
      <c r="K1207" s="133"/>
      <c r="L1207" s="133"/>
      <c r="M1207" s="133"/>
      <c r="N1207" s="133"/>
      <c r="O1207" s="133"/>
      <c r="P1207" s="134"/>
      <c r="Q1207" s="146"/>
      <c r="R1207" s="17"/>
      <c r="S1207" s="17"/>
      <c r="T1207" s="75"/>
      <c r="U1207" s="75"/>
      <c r="V1207" s="75"/>
      <c r="W1207" s="75"/>
      <c r="X1207" s="75"/>
    </row>
    <row r="1208">
      <c r="A1208" s="17"/>
      <c r="B1208" s="17"/>
      <c r="C1208" s="133"/>
      <c r="D1208" s="133"/>
      <c r="E1208" s="17"/>
      <c r="F1208" s="133"/>
      <c r="G1208" s="133"/>
      <c r="H1208" s="133"/>
      <c r="I1208" s="133"/>
      <c r="J1208" s="133"/>
      <c r="K1208" s="133"/>
      <c r="L1208" s="133"/>
      <c r="M1208" s="133"/>
      <c r="N1208" s="133"/>
      <c r="O1208" s="133"/>
      <c r="P1208" s="134"/>
      <c r="Q1208" s="146"/>
      <c r="R1208" s="17"/>
      <c r="S1208" s="17"/>
      <c r="T1208" s="75"/>
      <c r="U1208" s="75"/>
      <c r="V1208" s="75"/>
      <c r="W1208" s="75"/>
      <c r="X1208" s="75"/>
    </row>
    <row r="1209">
      <c r="A1209" s="17"/>
      <c r="B1209" s="17"/>
      <c r="C1209" s="133"/>
      <c r="D1209" s="133"/>
      <c r="E1209" s="17"/>
      <c r="F1209" s="133"/>
      <c r="G1209" s="133"/>
      <c r="H1209" s="133"/>
      <c r="I1209" s="133"/>
      <c r="J1209" s="133"/>
      <c r="K1209" s="133"/>
      <c r="L1209" s="133"/>
      <c r="M1209" s="133"/>
      <c r="N1209" s="133"/>
      <c r="O1209" s="133"/>
      <c r="P1209" s="134"/>
      <c r="Q1209" s="146"/>
      <c r="R1209" s="17"/>
      <c r="S1209" s="17"/>
      <c r="T1209" s="75"/>
      <c r="U1209" s="75"/>
      <c r="V1209" s="75"/>
      <c r="W1209" s="75"/>
      <c r="X1209" s="75"/>
    </row>
    <row r="1210">
      <c r="A1210" s="17"/>
      <c r="B1210" s="17"/>
      <c r="C1210" s="133"/>
      <c r="D1210" s="133"/>
      <c r="E1210" s="17"/>
      <c r="F1210" s="133"/>
      <c r="G1210" s="133"/>
      <c r="H1210" s="133"/>
      <c r="I1210" s="133"/>
      <c r="J1210" s="133"/>
      <c r="K1210" s="133"/>
      <c r="L1210" s="133"/>
      <c r="M1210" s="133"/>
      <c r="N1210" s="133"/>
      <c r="O1210" s="133"/>
      <c r="P1210" s="134"/>
      <c r="Q1210" s="146"/>
      <c r="R1210" s="17"/>
      <c r="S1210" s="17"/>
      <c r="T1210" s="75"/>
      <c r="U1210" s="75"/>
      <c r="V1210" s="75"/>
      <c r="W1210" s="75"/>
      <c r="X1210" s="75"/>
    </row>
    <row r="1211">
      <c r="A1211" s="17"/>
      <c r="B1211" s="17"/>
      <c r="C1211" s="133"/>
      <c r="D1211" s="133"/>
      <c r="E1211" s="17"/>
      <c r="F1211" s="133"/>
      <c r="G1211" s="133"/>
      <c r="H1211" s="133"/>
      <c r="I1211" s="133"/>
      <c r="J1211" s="133"/>
      <c r="K1211" s="133"/>
      <c r="L1211" s="133"/>
      <c r="M1211" s="133"/>
      <c r="N1211" s="133"/>
      <c r="O1211" s="133"/>
      <c r="P1211" s="134"/>
      <c r="Q1211" s="146"/>
      <c r="R1211" s="17"/>
      <c r="S1211" s="17"/>
      <c r="T1211" s="75"/>
      <c r="U1211" s="75"/>
      <c r="V1211" s="75"/>
      <c r="W1211" s="75"/>
      <c r="X1211" s="75"/>
    </row>
    <row r="1212">
      <c r="A1212" s="17"/>
      <c r="B1212" s="17"/>
      <c r="C1212" s="133"/>
      <c r="D1212" s="133"/>
      <c r="E1212" s="17"/>
      <c r="F1212" s="133"/>
      <c r="G1212" s="133"/>
      <c r="H1212" s="133"/>
      <c r="I1212" s="133"/>
      <c r="J1212" s="133"/>
      <c r="K1212" s="133"/>
      <c r="L1212" s="133"/>
      <c r="M1212" s="133"/>
      <c r="N1212" s="133"/>
      <c r="O1212" s="133"/>
      <c r="P1212" s="134"/>
      <c r="Q1212" s="146"/>
      <c r="R1212" s="17"/>
      <c r="S1212" s="17"/>
      <c r="T1212" s="75"/>
      <c r="U1212" s="75"/>
      <c r="V1212" s="75"/>
      <c r="W1212" s="75"/>
      <c r="X1212" s="75"/>
    </row>
    <row r="1213">
      <c r="A1213" s="17"/>
      <c r="B1213" s="17"/>
      <c r="C1213" s="133"/>
      <c r="D1213" s="133"/>
      <c r="E1213" s="17"/>
      <c r="F1213" s="133"/>
      <c r="G1213" s="133"/>
      <c r="H1213" s="133"/>
      <c r="I1213" s="133"/>
      <c r="J1213" s="133"/>
      <c r="K1213" s="133"/>
      <c r="L1213" s="133"/>
      <c r="M1213" s="133"/>
      <c r="N1213" s="133"/>
      <c r="O1213" s="133"/>
      <c r="P1213" s="134"/>
      <c r="Q1213" s="146"/>
      <c r="R1213" s="17"/>
      <c r="S1213" s="17"/>
      <c r="T1213" s="75"/>
      <c r="U1213" s="75"/>
      <c r="V1213" s="75"/>
      <c r="W1213" s="75"/>
      <c r="X1213" s="75"/>
    </row>
    <row r="1214">
      <c r="A1214" s="17"/>
      <c r="B1214" s="17"/>
      <c r="C1214" s="133"/>
      <c r="D1214" s="133"/>
      <c r="E1214" s="17"/>
      <c r="F1214" s="133"/>
      <c r="G1214" s="133"/>
      <c r="H1214" s="133"/>
      <c r="I1214" s="133"/>
      <c r="J1214" s="133"/>
      <c r="K1214" s="133"/>
      <c r="L1214" s="133"/>
      <c r="M1214" s="133"/>
      <c r="N1214" s="133"/>
      <c r="O1214" s="133"/>
      <c r="P1214" s="134"/>
      <c r="Q1214" s="146"/>
      <c r="R1214" s="17"/>
      <c r="S1214" s="17"/>
      <c r="T1214" s="75"/>
      <c r="U1214" s="75"/>
      <c r="V1214" s="75"/>
      <c r="W1214" s="75"/>
      <c r="X1214" s="75"/>
    </row>
    <row r="1215">
      <c r="A1215" s="17"/>
      <c r="B1215" s="17"/>
      <c r="C1215" s="133"/>
      <c r="D1215" s="133"/>
      <c r="E1215" s="17"/>
      <c r="F1215" s="133"/>
      <c r="G1215" s="133"/>
      <c r="H1215" s="133"/>
      <c r="I1215" s="133"/>
      <c r="J1215" s="133"/>
      <c r="K1215" s="133"/>
      <c r="L1215" s="133"/>
      <c r="M1215" s="133"/>
      <c r="N1215" s="133"/>
      <c r="O1215" s="133"/>
      <c r="P1215" s="134"/>
      <c r="Q1215" s="146"/>
      <c r="R1215" s="17"/>
      <c r="S1215" s="17"/>
      <c r="T1215" s="75"/>
      <c r="U1215" s="75"/>
      <c r="V1215" s="75"/>
      <c r="W1215" s="75"/>
      <c r="X1215" s="75"/>
    </row>
    <row r="1216">
      <c r="A1216" s="17"/>
      <c r="B1216" s="17"/>
      <c r="C1216" s="133"/>
      <c r="D1216" s="133"/>
      <c r="E1216" s="17"/>
      <c r="F1216" s="133"/>
      <c r="G1216" s="133"/>
      <c r="H1216" s="133"/>
      <c r="I1216" s="133"/>
      <c r="J1216" s="133"/>
      <c r="K1216" s="133"/>
      <c r="L1216" s="133"/>
      <c r="M1216" s="133"/>
      <c r="N1216" s="133"/>
      <c r="O1216" s="133"/>
      <c r="P1216" s="134"/>
      <c r="Q1216" s="146"/>
      <c r="R1216" s="17"/>
      <c r="S1216" s="17"/>
      <c r="T1216" s="75"/>
      <c r="U1216" s="75"/>
      <c r="V1216" s="75"/>
      <c r="W1216" s="75"/>
      <c r="X1216" s="75"/>
    </row>
    <row r="1217">
      <c r="A1217" s="17"/>
      <c r="B1217" s="17"/>
      <c r="C1217" s="133"/>
      <c r="D1217" s="133"/>
      <c r="E1217" s="17"/>
      <c r="F1217" s="133"/>
      <c r="G1217" s="133"/>
      <c r="H1217" s="133"/>
      <c r="I1217" s="133"/>
      <c r="J1217" s="133"/>
      <c r="K1217" s="133"/>
      <c r="L1217" s="133"/>
      <c r="M1217" s="133"/>
      <c r="N1217" s="133"/>
      <c r="O1217" s="133"/>
      <c r="P1217" s="134"/>
      <c r="Q1217" s="146"/>
      <c r="R1217" s="17"/>
      <c r="S1217" s="17"/>
      <c r="T1217" s="75"/>
      <c r="U1217" s="75"/>
      <c r="V1217" s="75"/>
      <c r="W1217" s="75"/>
      <c r="X1217" s="75"/>
    </row>
    <row r="1218">
      <c r="A1218" s="17"/>
      <c r="B1218" s="17"/>
      <c r="C1218" s="133"/>
      <c r="D1218" s="133"/>
      <c r="E1218" s="17"/>
      <c r="F1218" s="133"/>
      <c r="G1218" s="133"/>
      <c r="H1218" s="133"/>
      <c r="I1218" s="133"/>
      <c r="J1218" s="133"/>
      <c r="K1218" s="133"/>
      <c r="L1218" s="133"/>
      <c r="M1218" s="133"/>
      <c r="N1218" s="133"/>
      <c r="O1218" s="133"/>
      <c r="P1218" s="134"/>
      <c r="Q1218" s="146"/>
      <c r="R1218" s="17"/>
      <c r="S1218" s="17"/>
      <c r="T1218" s="75"/>
      <c r="U1218" s="75"/>
      <c r="V1218" s="75"/>
      <c r="W1218" s="75"/>
      <c r="X1218" s="75"/>
    </row>
    <row r="1219">
      <c r="A1219" s="17"/>
      <c r="B1219" s="17"/>
      <c r="C1219" s="133"/>
      <c r="D1219" s="133"/>
      <c r="E1219" s="17"/>
      <c r="F1219" s="133"/>
      <c r="G1219" s="133"/>
      <c r="H1219" s="133"/>
      <c r="I1219" s="133"/>
      <c r="J1219" s="133"/>
      <c r="K1219" s="133"/>
      <c r="L1219" s="133"/>
      <c r="M1219" s="133"/>
      <c r="N1219" s="133"/>
      <c r="O1219" s="133"/>
      <c r="P1219" s="134"/>
      <c r="Q1219" s="146"/>
      <c r="R1219" s="17"/>
      <c r="S1219" s="17"/>
      <c r="T1219" s="75"/>
      <c r="U1219" s="75"/>
      <c r="V1219" s="75"/>
      <c r="W1219" s="75"/>
      <c r="X1219" s="75"/>
    </row>
    <row r="1220">
      <c r="A1220" s="17"/>
      <c r="B1220" s="17"/>
      <c r="C1220" s="133"/>
      <c r="D1220" s="133"/>
      <c r="E1220" s="17"/>
      <c r="F1220" s="133"/>
      <c r="G1220" s="133"/>
      <c r="H1220" s="133"/>
      <c r="I1220" s="133"/>
      <c r="J1220" s="133"/>
      <c r="K1220" s="133"/>
      <c r="L1220" s="133"/>
      <c r="M1220" s="133"/>
      <c r="N1220" s="133"/>
      <c r="O1220" s="133"/>
      <c r="P1220" s="134"/>
      <c r="Q1220" s="146"/>
      <c r="R1220" s="17"/>
      <c r="S1220" s="17"/>
      <c r="T1220" s="75"/>
      <c r="U1220" s="75"/>
      <c r="V1220" s="75"/>
      <c r="W1220" s="75"/>
      <c r="X1220" s="75"/>
    </row>
    <row r="1221">
      <c r="A1221" s="17"/>
      <c r="B1221" s="17"/>
      <c r="C1221" s="133"/>
      <c r="D1221" s="133"/>
      <c r="E1221" s="17"/>
      <c r="F1221" s="133"/>
      <c r="G1221" s="133"/>
      <c r="H1221" s="133"/>
      <c r="I1221" s="133"/>
      <c r="J1221" s="133"/>
      <c r="K1221" s="133"/>
      <c r="L1221" s="133"/>
      <c r="M1221" s="133"/>
      <c r="N1221" s="133"/>
      <c r="O1221" s="133"/>
      <c r="P1221" s="134"/>
      <c r="Q1221" s="146"/>
      <c r="R1221" s="17"/>
      <c r="S1221" s="17"/>
      <c r="T1221" s="75"/>
      <c r="U1221" s="75"/>
      <c r="V1221" s="75"/>
      <c r="W1221" s="75"/>
      <c r="X1221" s="75"/>
    </row>
    <row r="1222">
      <c r="A1222" s="17"/>
      <c r="B1222" s="17"/>
      <c r="C1222" s="133"/>
      <c r="D1222" s="133"/>
      <c r="E1222" s="17"/>
      <c r="F1222" s="133"/>
      <c r="G1222" s="133"/>
      <c r="H1222" s="133"/>
      <c r="I1222" s="133"/>
      <c r="J1222" s="133"/>
      <c r="K1222" s="133"/>
      <c r="L1222" s="133"/>
      <c r="M1222" s="133"/>
      <c r="N1222" s="133"/>
      <c r="O1222" s="133"/>
      <c r="P1222" s="134"/>
      <c r="Q1222" s="146"/>
      <c r="R1222" s="17"/>
      <c r="S1222" s="17"/>
      <c r="T1222" s="75"/>
      <c r="U1222" s="75"/>
      <c r="V1222" s="75"/>
      <c r="W1222" s="75"/>
      <c r="X1222" s="75"/>
    </row>
    <row r="1223">
      <c r="A1223" s="17"/>
      <c r="B1223" s="17"/>
      <c r="C1223" s="133"/>
      <c r="D1223" s="133"/>
      <c r="E1223" s="17"/>
      <c r="F1223" s="133"/>
      <c r="G1223" s="133"/>
      <c r="H1223" s="133"/>
      <c r="I1223" s="133"/>
      <c r="J1223" s="133"/>
      <c r="K1223" s="133"/>
      <c r="L1223" s="133"/>
      <c r="M1223" s="133"/>
      <c r="N1223" s="133"/>
      <c r="O1223" s="133"/>
      <c r="P1223" s="134"/>
      <c r="Q1223" s="146"/>
      <c r="R1223" s="17"/>
      <c r="S1223" s="17"/>
      <c r="T1223" s="75"/>
      <c r="U1223" s="75"/>
      <c r="V1223" s="75"/>
      <c r="W1223" s="75"/>
      <c r="X1223" s="75"/>
    </row>
    <row r="1224">
      <c r="A1224" s="17"/>
      <c r="B1224" s="17"/>
      <c r="C1224" s="133"/>
      <c r="D1224" s="133"/>
      <c r="E1224" s="17"/>
      <c r="F1224" s="133"/>
      <c r="G1224" s="133"/>
      <c r="H1224" s="133"/>
      <c r="I1224" s="133"/>
      <c r="J1224" s="133"/>
      <c r="K1224" s="133"/>
      <c r="L1224" s="133"/>
      <c r="M1224" s="133"/>
      <c r="N1224" s="133"/>
      <c r="O1224" s="133"/>
      <c r="P1224" s="134"/>
      <c r="Q1224" s="146"/>
      <c r="R1224" s="17"/>
      <c r="S1224" s="17"/>
      <c r="T1224" s="75"/>
      <c r="U1224" s="75"/>
      <c r="V1224" s="75"/>
      <c r="W1224" s="75"/>
      <c r="X1224" s="75"/>
    </row>
    <row r="1225">
      <c r="A1225" s="17"/>
      <c r="B1225" s="17"/>
      <c r="C1225" s="133"/>
      <c r="D1225" s="133"/>
      <c r="E1225" s="17"/>
      <c r="F1225" s="133"/>
      <c r="G1225" s="133"/>
      <c r="H1225" s="133"/>
      <c r="I1225" s="133"/>
      <c r="J1225" s="133"/>
      <c r="K1225" s="133"/>
      <c r="L1225" s="133"/>
      <c r="M1225" s="133"/>
      <c r="N1225" s="133"/>
      <c r="O1225" s="133"/>
      <c r="P1225" s="134"/>
      <c r="Q1225" s="146"/>
      <c r="R1225" s="17"/>
      <c r="S1225" s="17"/>
      <c r="T1225" s="75"/>
      <c r="U1225" s="75"/>
      <c r="V1225" s="75"/>
      <c r="W1225" s="75"/>
      <c r="X1225" s="75"/>
    </row>
    <row r="1226">
      <c r="A1226" s="17"/>
      <c r="B1226" s="17"/>
      <c r="C1226" s="133"/>
      <c r="D1226" s="133"/>
      <c r="E1226" s="17"/>
      <c r="F1226" s="133"/>
      <c r="G1226" s="133"/>
      <c r="H1226" s="133"/>
      <c r="I1226" s="133"/>
      <c r="J1226" s="133"/>
      <c r="K1226" s="133"/>
      <c r="L1226" s="133"/>
      <c r="M1226" s="133"/>
      <c r="N1226" s="133"/>
      <c r="O1226" s="133"/>
      <c r="P1226" s="134"/>
      <c r="Q1226" s="146"/>
      <c r="R1226" s="17"/>
      <c r="S1226" s="17"/>
      <c r="T1226" s="75"/>
      <c r="U1226" s="75"/>
      <c r="V1226" s="75"/>
      <c r="W1226" s="75"/>
      <c r="X1226" s="75"/>
    </row>
    <row r="1227">
      <c r="A1227" s="17"/>
      <c r="B1227" s="17"/>
      <c r="C1227" s="133"/>
      <c r="D1227" s="133"/>
      <c r="E1227" s="17"/>
      <c r="F1227" s="133"/>
      <c r="G1227" s="133"/>
      <c r="H1227" s="133"/>
      <c r="I1227" s="133"/>
      <c r="J1227" s="133"/>
      <c r="K1227" s="133"/>
      <c r="L1227" s="133"/>
      <c r="M1227" s="133"/>
      <c r="N1227" s="133"/>
      <c r="O1227" s="133"/>
      <c r="P1227" s="134"/>
      <c r="Q1227" s="146"/>
      <c r="R1227" s="17"/>
      <c r="S1227" s="17"/>
      <c r="T1227" s="75"/>
      <c r="U1227" s="75"/>
      <c r="V1227" s="75"/>
      <c r="W1227" s="75"/>
      <c r="X1227" s="75"/>
    </row>
    <row r="1228">
      <c r="A1228" s="17"/>
      <c r="B1228" s="17"/>
      <c r="C1228" s="133"/>
      <c r="D1228" s="133"/>
      <c r="E1228" s="17"/>
      <c r="F1228" s="133"/>
      <c r="G1228" s="133"/>
      <c r="H1228" s="133"/>
      <c r="I1228" s="133"/>
      <c r="J1228" s="133"/>
      <c r="K1228" s="133"/>
      <c r="L1228" s="133"/>
      <c r="M1228" s="133"/>
      <c r="N1228" s="133"/>
      <c r="O1228" s="133"/>
      <c r="P1228" s="134"/>
      <c r="Q1228" s="146"/>
      <c r="R1228" s="17"/>
      <c r="S1228" s="17"/>
      <c r="T1228" s="75"/>
      <c r="U1228" s="75"/>
      <c r="V1228" s="75"/>
      <c r="W1228" s="75"/>
      <c r="X1228" s="75"/>
    </row>
    <row r="1229">
      <c r="A1229" s="17"/>
      <c r="B1229" s="17"/>
      <c r="C1229" s="133"/>
      <c r="D1229" s="133"/>
      <c r="E1229" s="17"/>
      <c r="F1229" s="133"/>
      <c r="G1229" s="133"/>
      <c r="H1229" s="133"/>
      <c r="I1229" s="133"/>
      <c r="J1229" s="133"/>
      <c r="K1229" s="133"/>
      <c r="L1229" s="133"/>
      <c r="M1229" s="133"/>
      <c r="N1229" s="133"/>
      <c r="O1229" s="133"/>
      <c r="P1229" s="134"/>
      <c r="Q1229" s="146"/>
      <c r="R1229" s="17"/>
      <c r="S1229" s="17"/>
      <c r="T1229" s="75"/>
      <c r="U1229" s="75"/>
      <c r="V1229" s="75"/>
      <c r="W1229" s="75"/>
      <c r="X1229" s="75"/>
    </row>
    <row r="1230">
      <c r="A1230" s="17"/>
      <c r="B1230" s="17"/>
      <c r="C1230" s="133"/>
      <c r="D1230" s="133"/>
      <c r="E1230" s="17"/>
      <c r="F1230" s="133"/>
      <c r="G1230" s="133"/>
      <c r="H1230" s="133"/>
      <c r="I1230" s="133"/>
      <c r="J1230" s="133"/>
      <c r="K1230" s="133"/>
      <c r="L1230" s="133"/>
      <c r="M1230" s="133"/>
      <c r="N1230" s="133"/>
      <c r="O1230" s="133"/>
      <c r="P1230" s="134"/>
      <c r="Q1230" s="146"/>
      <c r="R1230" s="17"/>
      <c r="S1230" s="17"/>
      <c r="T1230" s="75"/>
      <c r="U1230" s="75"/>
      <c r="V1230" s="75"/>
      <c r="W1230" s="75"/>
      <c r="X1230" s="75"/>
    </row>
    <row r="1231">
      <c r="A1231" s="17"/>
      <c r="B1231" s="17"/>
      <c r="C1231" s="133"/>
      <c r="D1231" s="133"/>
      <c r="E1231" s="17"/>
      <c r="F1231" s="133"/>
      <c r="G1231" s="133"/>
      <c r="H1231" s="133"/>
      <c r="I1231" s="133"/>
      <c r="J1231" s="133"/>
      <c r="K1231" s="133"/>
      <c r="L1231" s="133"/>
      <c r="M1231" s="133"/>
      <c r="N1231" s="133"/>
      <c r="O1231" s="133"/>
      <c r="P1231" s="134"/>
      <c r="Q1231" s="146"/>
      <c r="R1231" s="17"/>
      <c r="S1231" s="17"/>
      <c r="T1231" s="75"/>
      <c r="U1231" s="75"/>
      <c r="V1231" s="75"/>
      <c r="W1231" s="75"/>
      <c r="X1231" s="75"/>
    </row>
    <row r="1232">
      <c r="A1232" s="17"/>
      <c r="B1232" s="17"/>
      <c r="C1232" s="133"/>
      <c r="D1232" s="133"/>
      <c r="E1232" s="17"/>
      <c r="F1232" s="133"/>
      <c r="G1232" s="133"/>
      <c r="H1232" s="133"/>
      <c r="I1232" s="133"/>
      <c r="J1232" s="133"/>
      <c r="K1232" s="133"/>
      <c r="L1232" s="133"/>
      <c r="M1232" s="133"/>
      <c r="N1232" s="133"/>
      <c r="O1232" s="133"/>
      <c r="P1232" s="134"/>
      <c r="Q1232" s="146"/>
      <c r="R1232" s="17"/>
      <c r="S1232" s="17"/>
      <c r="T1232" s="75"/>
      <c r="U1232" s="75"/>
      <c r="V1232" s="75"/>
      <c r="W1232" s="75"/>
      <c r="X1232" s="75"/>
    </row>
    <row r="1233">
      <c r="A1233" s="17"/>
      <c r="B1233" s="17"/>
      <c r="C1233" s="133"/>
      <c r="D1233" s="133"/>
      <c r="E1233" s="17"/>
      <c r="F1233" s="133"/>
      <c r="G1233" s="133"/>
      <c r="H1233" s="133"/>
      <c r="I1233" s="133"/>
      <c r="J1233" s="133"/>
      <c r="K1233" s="133"/>
      <c r="L1233" s="133"/>
      <c r="M1233" s="133"/>
      <c r="N1233" s="133"/>
      <c r="O1233" s="133"/>
      <c r="P1233" s="134"/>
      <c r="Q1233" s="146"/>
      <c r="R1233" s="17"/>
      <c r="S1233" s="17"/>
      <c r="T1233" s="75"/>
      <c r="U1233" s="75"/>
      <c r="V1233" s="75"/>
      <c r="W1233" s="75"/>
      <c r="X1233" s="75"/>
    </row>
    <row r="1234">
      <c r="A1234" s="17"/>
      <c r="B1234" s="17"/>
      <c r="C1234" s="133"/>
      <c r="D1234" s="133"/>
      <c r="E1234" s="17"/>
      <c r="F1234" s="133"/>
      <c r="G1234" s="133"/>
      <c r="H1234" s="133"/>
      <c r="I1234" s="133"/>
      <c r="J1234" s="133"/>
      <c r="K1234" s="133"/>
      <c r="L1234" s="133"/>
      <c r="M1234" s="133"/>
      <c r="N1234" s="133"/>
      <c r="O1234" s="133"/>
      <c r="P1234" s="134"/>
      <c r="Q1234" s="146"/>
      <c r="R1234" s="17"/>
      <c r="S1234" s="17"/>
      <c r="T1234" s="75"/>
      <c r="U1234" s="75"/>
      <c r="V1234" s="75"/>
      <c r="W1234" s="75"/>
      <c r="X1234" s="75"/>
    </row>
    <row r="1235">
      <c r="A1235" s="17"/>
      <c r="B1235" s="17"/>
      <c r="C1235" s="133"/>
      <c r="D1235" s="133"/>
      <c r="E1235" s="17"/>
      <c r="F1235" s="133"/>
      <c r="G1235" s="133"/>
      <c r="H1235" s="133"/>
      <c r="I1235" s="133"/>
      <c r="J1235" s="133"/>
      <c r="K1235" s="133"/>
      <c r="L1235" s="133"/>
      <c r="M1235" s="133"/>
      <c r="N1235" s="133"/>
      <c r="O1235" s="133"/>
      <c r="P1235" s="134"/>
      <c r="Q1235" s="146"/>
      <c r="R1235" s="17"/>
      <c r="S1235" s="17"/>
      <c r="T1235" s="75"/>
      <c r="U1235" s="75"/>
      <c r="V1235" s="75"/>
      <c r="W1235" s="75"/>
      <c r="X1235" s="75"/>
    </row>
    <row r="1236">
      <c r="A1236" s="17"/>
      <c r="B1236" s="17"/>
      <c r="C1236" s="133"/>
      <c r="D1236" s="133"/>
      <c r="E1236" s="17"/>
      <c r="F1236" s="133"/>
      <c r="G1236" s="133"/>
      <c r="H1236" s="133"/>
      <c r="I1236" s="133"/>
      <c r="J1236" s="133"/>
      <c r="K1236" s="133"/>
      <c r="L1236" s="133"/>
      <c r="M1236" s="133"/>
      <c r="N1236" s="133"/>
      <c r="O1236" s="133"/>
      <c r="P1236" s="134"/>
      <c r="Q1236" s="146"/>
      <c r="R1236" s="17"/>
      <c r="S1236" s="17"/>
      <c r="T1236" s="75"/>
      <c r="U1236" s="75"/>
      <c r="V1236" s="75"/>
      <c r="W1236" s="75"/>
      <c r="X1236" s="75"/>
    </row>
    <row r="1237">
      <c r="A1237" s="17"/>
      <c r="B1237" s="17"/>
      <c r="C1237" s="133"/>
      <c r="D1237" s="133"/>
      <c r="E1237" s="17"/>
      <c r="F1237" s="133"/>
      <c r="G1237" s="133"/>
      <c r="H1237" s="133"/>
      <c r="I1237" s="133"/>
      <c r="J1237" s="133"/>
      <c r="K1237" s="133"/>
      <c r="L1237" s="133"/>
      <c r="M1237" s="133"/>
      <c r="N1237" s="133"/>
      <c r="O1237" s="133"/>
      <c r="P1237" s="134"/>
      <c r="Q1237" s="146"/>
      <c r="R1237" s="17"/>
      <c r="S1237" s="17"/>
      <c r="T1237" s="75"/>
      <c r="U1237" s="75"/>
      <c r="V1237" s="75"/>
      <c r="W1237" s="75"/>
      <c r="X1237" s="75"/>
    </row>
    <row r="1238">
      <c r="A1238" s="17"/>
      <c r="B1238" s="17"/>
      <c r="C1238" s="133"/>
      <c r="D1238" s="133"/>
      <c r="E1238" s="17"/>
      <c r="F1238" s="133"/>
      <c r="G1238" s="133"/>
      <c r="H1238" s="133"/>
      <c r="I1238" s="133"/>
      <c r="J1238" s="133"/>
      <c r="K1238" s="133"/>
      <c r="L1238" s="133"/>
      <c r="M1238" s="133"/>
      <c r="N1238" s="133"/>
      <c r="O1238" s="133"/>
      <c r="P1238" s="134"/>
      <c r="Q1238" s="146"/>
      <c r="R1238" s="17"/>
      <c r="S1238" s="17"/>
      <c r="T1238" s="75"/>
      <c r="U1238" s="75"/>
      <c r="V1238" s="75"/>
      <c r="W1238" s="75"/>
      <c r="X1238" s="75"/>
    </row>
    <row r="1239">
      <c r="A1239" s="17"/>
      <c r="B1239" s="17"/>
      <c r="C1239" s="133"/>
      <c r="D1239" s="133"/>
      <c r="E1239" s="17"/>
      <c r="F1239" s="133"/>
      <c r="G1239" s="133"/>
      <c r="H1239" s="133"/>
      <c r="I1239" s="133"/>
      <c r="J1239" s="133"/>
      <c r="K1239" s="133"/>
      <c r="L1239" s="133"/>
      <c r="M1239" s="133"/>
      <c r="N1239" s="133"/>
      <c r="O1239" s="133"/>
      <c r="P1239" s="134"/>
      <c r="Q1239" s="146"/>
      <c r="R1239" s="17"/>
      <c r="S1239" s="17"/>
      <c r="T1239" s="75"/>
      <c r="U1239" s="75"/>
      <c r="V1239" s="75"/>
      <c r="W1239" s="75"/>
      <c r="X1239" s="75"/>
    </row>
    <row r="1240">
      <c r="A1240" s="17"/>
      <c r="B1240" s="17"/>
      <c r="C1240" s="133"/>
      <c r="D1240" s="133"/>
      <c r="E1240" s="17"/>
      <c r="F1240" s="133"/>
      <c r="G1240" s="133"/>
      <c r="H1240" s="133"/>
      <c r="I1240" s="133"/>
      <c r="J1240" s="133"/>
      <c r="K1240" s="133"/>
      <c r="L1240" s="133"/>
      <c r="M1240" s="133"/>
      <c r="N1240" s="133"/>
      <c r="O1240" s="133"/>
      <c r="P1240" s="134"/>
      <c r="Q1240" s="146"/>
      <c r="R1240" s="17"/>
      <c r="S1240" s="17"/>
      <c r="T1240" s="75"/>
      <c r="U1240" s="75"/>
      <c r="V1240" s="75"/>
      <c r="W1240" s="75"/>
      <c r="X1240" s="75"/>
    </row>
    <row r="1241">
      <c r="A1241" s="17"/>
      <c r="B1241" s="17"/>
      <c r="C1241" s="133"/>
      <c r="D1241" s="133"/>
      <c r="E1241" s="17"/>
      <c r="F1241" s="133"/>
      <c r="G1241" s="133"/>
      <c r="H1241" s="133"/>
      <c r="I1241" s="133"/>
      <c r="J1241" s="133"/>
      <c r="K1241" s="133"/>
      <c r="L1241" s="133"/>
      <c r="M1241" s="133"/>
      <c r="N1241" s="133"/>
      <c r="O1241" s="133"/>
      <c r="P1241" s="134"/>
      <c r="Q1241" s="146"/>
      <c r="R1241" s="17"/>
      <c r="S1241" s="17"/>
      <c r="T1241" s="75"/>
      <c r="U1241" s="75"/>
      <c r="V1241" s="75"/>
      <c r="W1241" s="75"/>
      <c r="X1241" s="75"/>
    </row>
    <row r="1242">
      <c r="A1242" s="17"/>
      <c r="B1242" s="17"/>
      <c r="C1242" s="133"/>
      <c r="D1242" s="133"/>
      <c r="E1242" s="17"/>
      <c r="F1242" s="133"/>
      <c r="G1242" s="133"/>
      <c r="H1242" s="133"/>
      <c r="I1242" s="133"/>
      <c r="J1242" s="133"/>
      <c r="K1242" s="133"/>
      <c r="L1242" s="133"/>
      <c r="M1242" s="133"/>
      <c r="N1242" s="133"/>
      <c r="O1242" s="133"/>
      <c r="P1242" s="134"/>
      <c r="Q1242" s="146"/>
      <c r="R1242" s="17"/>
      <c r="S1242" s="17"/>
      <c r="T1242" s="75"/>
      <c r="U1242" s="75"/>
      <c r="V1242" s="75"/>
      <c r="W1242" s="75"/>
      <c r="X1242" s="75"/>
    </row>
    <row r="1243">
      <c r="A1243" s="17"/>
      <c r="B1243" s="17"/>
      <c r="C1243" s="133"/>
      <c r="D1243" s="133"/>
      <c r="E1243" s="17"/>
      <c r="F1243" s="133"/>
      <c r="G1243" s="133"/>
      <c r="H1243" s="133"/>
      <c r="I1243" s="133"/>
      <c r="J1243" s="133"/>
      <c r="K1243" s="133"/>
      <c r="L1243" s="133"/>
      <c r="M1243" s="133"/>
      <c r="N1243" s="133"/>
      <c r="O1243" s="133"/>
      <c r="P1243" s="134"/>
      <c r="Q1243" s="146"/>
      <c r="R1243" s="17"/>
      <c r="S1243" s="17"/>
      <c r="T1243" s="75"/>
      <c r="U1243" s="75"/>
      <c r="V1243" s="75"/>
      <c r="W1243" s="75"/>
      <c r="X1243" s="75"/>
    </row>
    <row r="1244">
      <c r="A1244" s="17"/>
      <c r="B1244" s="17"/>
      <c r="C1244" s="133"/>
      <c r="D1244" s="133"/>
      <c r="E1244" s="17"/>
      <c r="F1244" s="133"/>
      <c r="G1244" s="133"/>
      <c r="H1244" s="133"/>
      <c r="I1244" s="133"/>
      <c r="J1244" s="133"/>
      <c r="K1244" s="133"/>
      <c r="L1244" s="133"/>
      <c r="M1244" s="133"/>
      <c r="N1244" s="133"/>
      <c r="O1244" s="133"/>
      <c r="P1244" s="134"/>
      <c r="Q1244" s="146"/>
      <c r="R1244" s="17"/>
      <c r="S1244" s="17"/>
      <c r="T1244" s="75"/>
      <c r="U1244" s="75"/>
      <c r="V1244" s="75"/>
      <c r="W1244" s="75"/>
      <c r="X1244" s="75"/>
    </row>
    <row r="1245">
      <c r="A1245" s="17"/>
      <c r="B1245" s="17"/>
      <c r="C1245" s="133"/>
      <c r="D1245" s="133"/>
      <c r="E1245" s="17"/>
      <c r="F1245" s="133"/>
      <c r="G1245" s="133"/>
      <c r="H1245" s="133"/>
      <c r="I1245" s="133"/>
      <c r="J1245" s="133"/>
      <c r="K1245" s="133"/>
      <c r="L1245" s="133"/>
      <c r="M1245" s="133"/>
      <c r="N1245" s="133"/>
      <c r="O1245" s="133"/>
      <c r="P1245" s="134"/>
      <c r="Q1245" s="146"/>
      <c r="R1245" s="17"/>
      <c r="S1245" s="17"/>
      <c r="T1245" s="75"/>
      <c r="U1245" s="75"/>
      <c r="V1245" s="75"/>
      <c r="W1245" s="75"/>
      <c r="X1245" s="75"/>
    </row>
    <row r="1246">
      <c r="A1246" s="17"/>
      <c r="B1246" s="17"/>
      <c r="C1246" s="133"/>
      <c r="D1246" s="133"/>
      <c r="E1246" s="17"/>
      <c r="F1246" s="133"/>
      <c r="G1246" s="133"/>
      <c r="H1246" s="133"/>
      <c r="I1246" s="133"/>
      <c r="J1246" s="133"/>
      <c r="K1246" s="133"/>
      <c r="L1246" s="133"/>
      <c r="M1246" s="133"/>
      <c r="N1246" s="133"/>
      <c r="O1246" s="133"/>
      <c r="P1246" s="134"/>
      <c r="Q1246" s="146"/>
      <c r="R1246" s="17"/>
      <c r="S1246" s="17"/>
      <c r="T1246" s="75"/>
      <c r="U1246" s="75"/>
      <c r="V1246" s="75"/>
      <c r="W1246" s="75"/>
      <c r="X1246" s="75"/>
    </row>
    <row r="1247">
      <c r="A1247" s="17"/>
      <c r="B1247" s="17"/>
      <c r="C1247" s="133"/>
      <c r="D1247" s="133"/>
      <c r="E1247" s="17"/>
      <c r="F1247" s="133"/>
      <c r="G1247" s="133"/>
      <c r="H1247" s="133"/>
      <c r="I1247" s="133"/>
      <c r="J1247" s="133"/>
      <c r="K1247" s="133"/>
      <c r="L1247" s="133"/>
      <c r="M1247" s="133"/>
      <c r="N1247" s="133"/>
      <c r="O1247" s="133"/>
      <c r="P1247" s="134"/>
      <c r="Q1247" s="146"/>
      <c r="R1247" s="17"/>
      <c r="S1247" s="17"/>
      <c r="T1247" s="75"/>
      <c r="U1247" s="75"/>
      <c r="V1247" s="75"/>
      <c r="W1247" s="75"/>
      <c r="X1247" s="75"/>
    </row>
    <row r="1248">
      <c r="A1248" s="17"/>
      <c r="B1248" s="17"/>
      <c r="C1248" s="133"/>
      <c r="D1248" s="133"/>
      <c r="E1248" s="17"/>
      <c r="F1248" s="133"/>
      <c r="G1248" s="133"/>
      <c r="H1248" s="133"/>
      <c r="I1248" s="133"/>
      <c r="J1248" s="133"/>
      <c r="K1248" s="133"/>
      <c r="L1248" s="133"/>
      <c r="M1248" s="133"/>
      <c r="N1248" s="133"/>
      <c r="O1248" s="133"/>
      <c r="P1248" s="134"/>
      <c r="Q1248" s="146"/>
      <c r="R1248" s="17"/>
      <c r="S1248" s="17"/>
      <c r="T1248" s="75"/>
      <c r="U1248" s="75"/>
      <c r="V1248" s="75"/>
      <c r="W1248" s="75"/>
      <c r="X1248" s="75"/>
    </row>
    <row r="1249">
      <c r="A1249" s="17"/>
      <c r="B1249" s="17"/>
      <c r="C1249" s="133"/>
      <c r="D1249" s="133"/>
      <c r="E1249" s="17"/>
      <c r="F1249" s="133"/>
      <c r="G1249" s="133"/>
      <c r="H1249" s="133"/>
      <c r="I1249" s="133"/>
      <c r="J1249" s="133"/>
      <c r="K1249" s="133"/>
      <c r="L1249" s="133"/>
      <c r="M1249" s="133"/>
      <c r="N1249" s="133"/>
      <c r="O1249" s="133"/>
      <c r="P1249" s="134"/>
      <c r="Q1249" s="146"/>
      <c r="R1249" s="17"/>
      <c r="S1249" s="17"/>
      <c r="T1249" s="75"/>
      <c r="U1249" s="75"/>
      <c r="V1249" s="75"/>
      <c r="W1249" s="75"/>
      <c r="X1249" s="75"/>
    </row>
    <row r="1250">
      <c r="A1250" s="17"/>
      <c r="B1250" s="17"/>
      <c r="C1250" s="133"/>
      <c r="D1250" s="133"/>
      <c r="E1250" s="17"/>
      <c r="F1250" s="133"/>
      <c r="G1250" s="133"/>
      <c r="H1250" s="133"/>
      <c r="I1250" s="133"/>
      <c r="J1250" s="133"/>
      <c r="K1250" s="133"/>
      <c r="L1250" s="133"/>
      <c r="M1250" s="133"/>
      <c r="N1250" s="133"/>
      <c r="O1250" s="133"/>
      <c r="P1250" s="134"/>
      <c r="Q1250" s="146"/>
      <c r="R1250" s="17"/>
      <c r="S1250" s="17"/>
      <c r="T1250" s="75"/>
      <c r="U1250" s="75"/>
      <c r="V1250" s="75"/>
      <c r="W1250" s="75"/>
      <c r="X1250" s="75"/>
    </row>
    <row r="1251">
      <c r="A1251" s="17"/>
      <c r="B1251" s="17"/>
      <c r="C1251" s="133"/>
      <c r="D1251" s="133"/>
      <c r="E1251" s="17"/>
      <c r="F1251" s="133"/>
      <c r="G1251" s="133"/>
      <c r="H1251" s="133"/>
      <c r="I1251" s="133"/>
      <c r="J1251" s="133"/>
      <c r="K1251" s="133"/>
      <c r="L1251" s="133"/>
      <c r="M1251" s="133"/>
      <c r="N1251" s="133"/>
      <c r="O1251" s="133"/>
      <c r="P1251" s="134"/>
      <c r="Q1251" s="146"/>
      <c r="R1251" s="17"/>
      <c r="S1251" s="17"/>
      <c r="T1251" s="75"/>
      <c r="U1251" s="75"/>
      <c r="V1251" s="75"/>
      <c r="W1251" s="75"/>
      <c r="X1251" s="75"/>
    </row>
    <row r="1252">
      <c r="A1252" s="17"/>
      <c r="B1252" s="17"/>
      <c r="C1252" s="133"/>
      <c r="D1252" s="133"/>
      <c r="E1252" s="17"/>
      <c r="F1252" s="133"/>
      <c r="G1252" s="133"/>
      <c r="H1252" s="133"/>
      <c r="I1252" s="133"/>
      <c r="J1252" s="133"/>
      <c r="K1252" s="133"/>
      <c r="L1252" s="133"/>
      <c r="M1252" s="133"/>
      <c r="N1252" s="133"/>
      <c r="O1252" s="133"/>
      <c r="P1252" s="134"/>
      <c r="Q1252" s="146"/>
      <c r="R1252" s="17"/>
      <c r="S1252" s="17"/>
      <c r="T1252" s="75"/>
      <c r="U1252" s="75"/>
      <c r="V1252" s="75"/>
      <c r="W1252" s="75"/>
      <c r="X1252" s="75"/>
    </row>
    <row r="1253">
      <c r="A1253" s="17"/>
      <c r="B1253" s="17"/>
      <c r="C1253" s="133"/>
      <c r="D1253" s="133"/>
      <c r="E1253" s="17"/>
      <c r="F1253" s="133"/>
      <c r="G1253" s="133"/>
      <c r="H1253" s="133"/>
      <c r="I1253" s="133"/>
      <c r="J1253" s="133"/>
      <c r="K1253" s="133"/>
      <c r="L1253" s="133"/>
      <c r="M1253" s="133"/>
      <c r="N1253" s="133"/>
      <c r="O1253" s="133"/>
      <c r="P1253" s="134"/>
      <c r="Q1253" s="146"/>
      <c r="R1253" s="17"/>
      <c r="S1253" s="17"/>
      <c r="T1253" s="75"/>
      <c r="U1253" s="75"/>
      <c r="V1253" s="75"/>
      <c r="W1253" s="75"/>
      <c r="X1253" s="75"/>
    </row>
    <row r="1254">
      <c r="A1254" s="17"/>
      <c r="B1254" s="17"/>
      <c r="C1254" s="133"/>
      <c r="D1254" s="133"/>
      <c r="E1254" s="17"/>
      <c r="F1254" s="133"/>
      <c r="G1254" s="133"/>
      <c r="H1254" s="133"/>
      <c r="I1254" s="133"/>
      <c r="J1254" s="133"/>
      <c r="K1254" s="133"/>
      <c r="L1254" s="133"/>
      <c r="M1254" s="133"/>
      <c r="N1254" s="133"/>
      <c r="O1254" s="133"/>
      <c r="P1254" s="134"/>
      <c r="Q1254" s="146"/>
      <c r="R1254" s="17"/>
      <c r="S1254" s="17"/>
      <c r="T1254" s="75"/>
      <c r="U1254" s="75"/>
      <c r="V1254" s="75"/>
      <c r="W1254" s="75"/>
      <c r="X1254" s="75"/>
    </row>
    <row r="1255">
      <c r="A1255" s="17"/>
      <c r="B1255" s="17"/>
      <c r="C1255" s="133"/>
      <c r="D1255" s="133"/>
      <c r="E1255" s="17"/>
      <c r="F1255" s="133"/>
      <c r="G1255" s="133"/>
      <c r="H1255" s="133"/>
      <c r="I1255" s="133"/>
      <c r="J1255" s="133"/>
      <c r="K1255" s="133"/>
      <c r="L1255" s="133"/>
      <c r="M1255" s="133"/>
      <c r="N1255" s="133"/>
      <c r="O1255" s="133"/>
      <c r="P1255" s="134"/>
      <c r="Q1255" s="146"/>
      <c r="R1255" s="17"/>
      <c r="S1255" s="17"/>
      <c r="T1255" s="75"/>
      <c r="U1255" s="75"/>
      <c r="V1255" s="75"/>
      <c r="W1255" s="75"/>
      <c r="X1255" s="75"/>
    </row>
    <row r="1256">
      <c r="A1256" s="17"/>
      <c r="B1256" s="17"/>
      <c r="C1256" s="133"/>
      <c r="D1256" s="133"/>
      <c r="E1256" s="17"/>
      <c r="F1256" s="133"/>
      <c r="G1256" s="133"/>
      <c r="H1256" s="133"/>
      <c r="I1256" s="133"/>
      <c r="J1256" s="133"/>
      <c r="K1256" s="133"/>
      <c r="L1256" s="133"/>
      <c r="M1256" s="133"/>
      <c r="N1256" s="133"/>
      <c r="O1256" s="133"/>
      <c r="P1256" s="134"/>
      <c r="Q1256" s="146"/>
      <c r="R1256" s="17"/>
      <c r="S1256" s="17"/>
      <c r="T1256" s="75"/>
      <c r="U1256" s="75"/>
      <c r="V1256" s="75"/>
      <c r="W1256" s="75"/>
      <c r="X1256" s="75"/>
    </row>
    <row r="1257">
      <c r="A1257" s="17"/>
      <c r="B1257" s="17"/>
      <c r="C1257" s="133"/>
      <c r="D1257" s="133"/>
      <c r="E1257" s="17"/>
      <c r="F1257" s="133"/>
      <c r="G1257" s="133"/>
      <c r="H1257" s="133"/>
      <c r="I1257" s="133"/>
      <c r="J1257" s="133"/>
      <c r="K1257" s="133"/>
      <c r="L1257" s="133"/>
      <c r="M1257" s="133"/>
      <c r="N1257" s="133"/>
      <c r="O1257" s="133"/>
      <c r="P1257" s="134"/>
      <c r="Q1257" s="146"/>
      <c r="R1257" s="17"/>
      <c r="S1257" s="17"/>
      <c r="T1257" s="75"/>
      <c r="U1257" s="75"/>
      <c r="V1257" s="75"/>
      <c r="W1257" s="75"/>
      <c r="X1257" s="75"/>
    </row>
    <row r="1258">
      <c r="A1258" s="17"/>
      <c r="B1258" s="17"/>
      <c r="C1258" s="133"/>
      <c r="D1258" s="133"/>
      <c r="E1258" s="17"/>
      <c r="F1258" s="133"/>
      <c r="G1258" s="133"/>
      <c r="H1258" s="133"/>
      <c r="I1258" s="133"/>
      <c r="J1258" s="133"/>
      <c r="K1258" s="133"/>
      <c r="L1258" s="133"/>
      <c r="M1258" s="133"/>
      <c r="N1258" s="133"/>
      <c r="O1258" s="133"/>
      <c r="P1258" s="134"/>
      <c r="Q1258" s="146"/>
      <c r="R1258" s="17"/>
      <c r="S1258" s="17"/>
      <c r="T1258" s="75"/>
      <c r="U1258" s="75"/>
      <c r="V1258" s="75"/>
      <c r="W1258" s="75"/>
      <c r="X1258" s="75"/>
    </row>
    <row r="1259">
      <c r="A1259" s="17"/>
      <c r="B1259" s="17"/>
      <c r="C1259" s="133"/>
      <c r="D1259" s="133"/>
      <c r="E1259" s="17"/>
      <c r="F1259" s="133"/>
      <c r="G1259" s="133"/>
      <c r="H1259" s="133"/>
      <c r="I1259" s="133"/>
      <c r="J1259" s="133"/>
      <c r="K1259" s="133"/>
      <c r="L1259" s="133"/>
      <c r="M1259" s="133"/>
      <c r="N1259" s="133"/>
      <c r="O1259" s="133"/>
      <c r="P1259" s="134"/>
      <c r="Q1259" s="146"/>
      <c r="R1259" s="17"/>
      <c r="S1259" s="17"/>
      <c r="T1259" s="75"/>
      <c r="U1259" s="75"/>
      <c r="V1259" s="75"/>
      <c r="W1259" s="75"/>
      <c r="X1259" s="75"/>
    </row>
    <row r="1260">
      <c r="A1260" s="17"/>
      <c r="B1260" s="17"/>
      <c r="C1260" s="133"/>
      <c r="D1260" s="133"/>
      <c r="E1260" s="17"/>
      <c r="F1260" s="133"/>
      <c r="G1260" s="133"/>
      <c r="H1260" s="133"/>
      <c r="I1260" s="133"/>
      <c r="J1260" s="133"/>
      <c r="K1260" s="133"/>
      <c r="L1260" s="133"/>
      <c r="M1260" s="133"/>
      <c r="N1260" s="133"/>
      <c r="O1260" s="133"/>
      <c r="P1260" s="134"/>
      <c r="Q1260" s="146"/>
      <c r="R1260" s="17"/>
      <c r="S1260" s="17"/>
      <c r="T1260" s="75"/>
      <c r="U1260" s="75"/>
      <c r="V1260" s="75"/>
      <c r="W1260" s="75"/>
      <c r="X1260" s="75"/>
    </row>
    <row r="1261">
      <c r="A1261" s="17"/>
      <c r="B1261" s="17"/>
      <c r="C1261" s="133"/>
      <c r="D1261" s="133"/>
      <c r="E1261" s="17"/>
      <c r="F1261" s="133"/>
      <c r="G1261" s="133"/>
      <c r="H1261" s="133"/>
      <c r="I1261" s="133"/>
      <c r="J1261" s="133"/>
      <c r="K1261" s="133"/>
      <c r="L1261" s="133"/>
      <c r="M1261" s="133"/>
      <c r="N1261" s="133"/>
      <c r="O1261" s="133"/>
      <c r="P1261" s="134"/>
      <c r="Q1261" s="146"/>
      <c r="R1261" s="17"/>
      <c r="S1261" s="17"/>
      <c r="T1261" s="75"/>
      <c r="U1261" s="75"/>
      <c r="V1261" s="75"/>
      <c r="W1261" s="75"/>
      <c r="X1261" s="75"/>
    </row>
    <row r="1262">
      <c r="A1262" s="17"/>
      <c r="B1262" s="17"/>
      <c r="C1262" s="133"/>
      <c r="D1262" s="133"/>
      <c r="E1262" s="17"/>
      <c r="F1262" s="133"/>
      <c r="G1262" s="133"/>
      <c r="H1262" s="133"/>
      <c r="I1262" s="133"/>
      <c r="J1262" s="133"/>
      <c r="K1262" s="133"/>
      <c r="L1262" s="133"/>
      <c r="M1262" s="133"/>
      <c r="N1262" s="133"/>
      <c r="O1262" s="133"/>
      <c r="P1262" s="134"/>
      <c r="Q1262" s="146"/>
      <c r="R1262" s="17"/>
      <c r="S1262" s="17"/>
      <c r="T1262" s="75"/>
      <c r="U1262" s="75"/>
      <c r="V1262" s="75"/>
      <c r="W1262" s="75"/>
      <c r="X1262" s="75"/>
    </row>
    <row r="1263">
      <c r="A1263" s="17"/>
      <c r="B1263" s="17"/>
      <c r="C1263" s="133"/>
      <c r="D1263" s="133"/>
      <c r="E1263" s="17"/>
      <c r="F1263" s="133"/>
      <c r="G1263" s="133"/>
      <c r="H1263" s="133"/>
      <c r="I1263" s="133"/>
      <c r="J1263" s="133"/>
      <c r="K1263" s="133"/>
      <c r="L1263" s="133"/>
      <c r="M1263" s="133"/>
      <c r="N1263" s="133"/>
      <c r="O1263" s="133"/>
      <c r="P1263" s="134"/>
      <c r="Q1263" s="146"/>
      <c r="R1263" s="17"/>
      <c r="S1263" s="17"/>
      <c r="T1263" s="75"/>
      <c r="U1263" s="75"/>
      <c r="V1263" s="75"/>
      <c r="W1263" s="75"/>
      <c r="X1263" s="75"/>
    </row>
    <row r="1264">
      <c r="A1264" s="17"/>
      <c r="B1264" s="17"/>
      <c r="C1264" s="133"/>
      <c r="D1264" s="133"/>
      <c r="E1264" s="17"/>
      <c r="F1264" s="133"/>
      <c r="G1264" s="133"/>
      <c r="H1264" s="133"/>
      <c r="I1264" s="133"/>
      <c r="J1264" s="133"/>
      <c r="K1264" s="133"/>
      <c r="L1264" s="133"/>
      <c r="M1264" s="133"/>
      <c r="N1264" s="133"/>
      <c r="O1264" s="133"/>
      <c r="P1264" s="134"/>
      <c r="Q1264" s="146"/>
      <c r="R1264" s="17"/>
      <c r="S1264" s="17"/>
      <c r="T1264" s="75"/>
      <c r="U1264" s="75"/>
      <c r="V1264" s="75"/>
      <c r="W1264" s="75"/>
      <c r="X1264" s="75"/>
    </row>
    <row r="1265">
      <c r="A1265" s="17"/>
      <c r="B1265" s="17"/>
      <c r="C1265" s="133"/>
      <c r="D1265" s="133"/>
      <c r="E1265" s="17"/>
      <c r="F1265" s="133"/>
      <c r="G1265" s="133"/>
      <c r="H1265" s="133"/>
      <c r="I1265" s="133"/>
      <c r="J1265" s="133"/>
      <c r="K1265" s="133"/>
      <c r="L1265" s="133"/>
      <c r="M1265" s="133"/>
      <c r="N1265" s="133"/>
      <c r="O1265" s="133"/>
      <c r="P1265" s="134"/>
      <c r="Q1265" s="146"/>
      <c r="R1265" s="17"/>
      <c r="S1265" s="17"/>
      <c r="T1265" s="75"/>
      <c r="U1265" s="75"/>
      <c r="V1265" s="75"/>
      <c r="W1265" s="75"/>
      <c r="X1265" s="75"/>
    </row>
    <row r="1266">
      <c r="A1266" s="17"/>
      <c r="B1266" s="17"/>
      <c r="C1266" s="133"/>
      <c r="D1266" s="133"/>
      <c r="E1266" s="17"/>
      <c r="F1266" s="133"/>
      <c r="G1266" s="133"/>
      <c r="H1266" s="133"/>
      <c r="I1266" s="133"/>
      <c r="J1266" s="133"/>
      <c r="K1266" s="133"/>
      <c r="L1266" s="133"/>
      <c r="M1266" s="133"/>
      <c r="N1266" s="133"/>
      <c r="O1266" s="133"/>
      <c r="P1266" s="134"/>
      <c r="Q1266" s="146"/>
      <c r="R1266" s="17"/>
      <c r="S1266" s="17"/>
      <c r="T1266" s="75"/>
      <c r="U1266" s="75"/>
      <c r="V1266" s="75"/>
      <c r="W1266" s="75"/>
      <c r="X1266" s="75"/>
    </row>
    <row r="1267">
      <c r="A1267" s="17"/>
      <c r="B1267" s="17"/>
      <c r="C1267" s="133"/>
      <c r="D1267" s="133"/>
      <c r="E1267" s="17"/>
      <c r="F1267" s="133"/>
      <c r="G1267" s="133"/>
      <c r="H1267" s="133"/>
      <c r="I1267" s="133"/>
      <c r="J1267" s="133"/>
      <c r="K1267" s="133"/>
      <c r="L1267" s="133"/>
      <c r="M1267" s="133"/>
      <c r="N1267" s="133"/>
      <c r="O1267" s="133"/>
      <c r="P1267" s="134"/>
      <c r="Q1267" s="146"/>
      <c r="R1267" s="17"/>
      <c r="S1267" s="17"/>
      <c r="T1267" s="75"/>
      <c r="U1267" s="75"/>
      <c r="V1267" s="75"/>
      <c r="W1267" s="75"/>
      <c r="X1267" s="75"/>
    </row>
    <row r="1268">
      <c r="A1268" s="17"/>
      <c r="B1268" s="17"/>
      <c r="C1268" s="133"/>
      <c r="D1268" s="133"/>
      <c r="E1268" s="17"/>
      <c r="F1268" s="133"/>
      <c r="G1268" s="133"/>
      <c r="H1268" s="133"/>
      <c r="I1268" s="133"/>
      <c r="J1268" s="133"/>
      <c r="K1268" s="133"/>
      <c r="L1268" s="133"/>
      <c r="M1268" s="133"/>
      <c r="N1268" s="133"/>
      <c r="O1268" s="133"/>
      <c r="P1268" s="134"/>
      <c r="Q1268" s="146"/>
      <c r="R1268" s="17"/>
      <c r="S1268" s="17"/>
      <c r="T1268" s="75"/>
      <c r="U1268" s="75"/>
      <c r="V1268" s="75"/>
      <c r="W1268" s="75"/>
      <c r="X1268" s="75"/>
    </row>
    <row r="1269">
      <c r="A1269" s="17"/>
      <c r="B1269" s="17"/>
      <c r="C1269" s="133"/>
      <c r="D1269" s="133"/>
      <c r="E1269" s="17"/>
      <c r="F1269" s="133"/>
      <c r="G1269" s="133"/>
      <c r="H1269" s="133"/>
      <c r="I1269" s="133"/>
      <c r="J1269" s="133"/>
      <c r="K1269" s="133"/>
      <c r="L1269" s="133"/>
      <c r="M1269" s="133"/>
      <c r="N1269" s="133"/>
      <c r="O1269" s="133"/>
      <c r="P1269" s="134"/>
      <c r="Q1269" s="146"/>
      <c r="R1269" s="17"/>
      <c r="S1269" s="17"/>
      <c r="T1269" s="75"/>
      <c r="U1269" s="75"/>
      <c r="V1269" s="75"/>
      <c r="W1269" s="75"/>
      <c r="X1269" s="75"/>
    </row>
    <row r="1270">
      <c r="A1270" s="17"/>
      <c r="B1270" s="17"/>
      <c r="C1270" s="133"/>
      <c r="D1270" s="133"/>
      <c r="E1270" s="17"/>
      <c r="F1270" s="133"/>
      <c r="G1270" s="133"/>
      <c r="H1270" s="133"/>
      <c r="I1270" s="133"/>
      <c r="J1270" s="133"/>
      <c r="K1270" s="133"/>
      <c r="L1270" s="133"/>
      <c r="M1270" s="133"/>
      <c r="N1270" s="133"/>
      <c r="O1270" s="133"/>
      <c r="P1270" s="134"/>
      <c r="Q1270" s="146"/>
      <c r="R1270" s="17"/>
      <c r="S1270" s="17"/>
      <c r="T1270" s="75"/>
      <c r="U1270" s="75"/>
      <c r="V1270" s="75"/>
      <c r="W1270" s="75"/>
      <c r="X1270" s="75"/>
    </row>
    <row r="1271">
      <c r="A1271" s="17"/>
      <c r="B1271" s="17"/>
      <c r="C1271" s="133"/>
      <c r="D1271" s="133"/>
      <c r="E1271" s="17"/>
      <c r="F1271" s="133"/>
      <c r="G1271" s="133"/>
      <c r="H1271" s="133"/>
      <c r="I1271" s="133"/>
      <c r="J1271" s="133"/>
      <c r="K1271" s="133"/>
      <c r="L1271" s="133"/>
      <c r="M1271" s="133"/>
      <c r="N1271" s="133"/>
      <c r="O1271" s="133"/>
      <c r="P1271" s="134"/>
      <c r="Q1271" s="146"/>
      <c r="R1271" s="17"/>
      <c r="S1271" s="17"/>
      <c r="T1271" s="75"/>
      <c r="U1271" s="75"/>
      <c r="V1271" s="75"/>
      <c r="W1271" s="75"/>
      <c r="X1271" s="75"/>
    </row>
    <row r="1272">
      <c r="A1272" s="17"/>
      <c r="B1272" s="17"/>
      <c r="C1272" s="133"/>
      <c r="D1272" s="133"/>
      <c r="E1272" s="17"/>
      <c r="F1272" s="133"/>
      <c r="G1272" s="133"/>
      <c r="H1272" s="133"/>
      <c r="I1272" s="133"/>
      <c r="J1272" s="133"/>
      <c r="K1272" s="133"/>
      <c r="L1272" s="133"/>
      <c r="M1272" s="133"/>
      <c r="N1272" s="133"/>
      <c r="O1272" s="133"/>
      <c r="P1272" s="134"/>
      <c r="Q1272" s="146"/>
      <c r="R1272" s="17"/>
      <c r="S1272" s="17"/>
      <c r="T1272" s="75"/>
      <c r="U1272" s="75"/>
      <c r="V1272" s="75"/>
      <c r="W1272" s="75"/>
      <c r="X1272" s="75"/>
    </row>
    <row r="1273">
      <c r="A1273" s="17"/>
      <c r="B1273" s="17"/>
      <c r="C1273" s="133"/>
      <c r="D1273" s="133"/>
      <c r="E1273" s="17"/>
      <c r="F1273" s="133"/>
      <c r="G1273" s="133"/>
      <c r="H1273" s="133"/>
      <c r="I1273" s="133"/>
      <c r="J1273" s="133"/>
      <c r="K1273" s="133"/>
      <c r="L1273" s="133"/>
      <c r="M1273" s="133"/>
      <c r="N1273" s="133"/>
      <c r="O1273" s="133"/>
      <c r="P1273" s="134"/>
      <c r="Q1273" s="146"/>
      <c r="R1273" s="17"/>
      <c r="S1273" s="17"/>
      <c r="T1273" s="75"/>
      <c r="U1273" s="75"/>
      <c r="V1273" s="75"/>
      <c r="W1273" s="75"/>
      <c r="X1273" s="75"/>
    </row>
    <row r="1274">
      <c r="A1274" s="17"/>
      <c r="B1274" s="17"/>
      <c r="C1274" s="133"/>
      <c r="D1274" s="133"/>
      <c r="E1274" s="17"/>
      <c r="F1274" s="133"/>
      <c r="G1274" s="133"/>
      <c r="H1274" s="133"/>
      <c r="I1274" s="133"/>
      <c r="J1274" s="133"/>
      <c r="K1274" s="133"/>
      <c r="L1274" s="133"/>
      <c r="M1274" s="133"/>
      <c r="N1274" s="133"/>
      <c r="O1274" s="133"/>
      <c r="P1274" s="134"/>
      <c r="Q1274" s="146"/>
      <c r="R1274" s="17"/>
      <c r="S1274" s="17"/>
      <c r="T1274" s="75"/>
      <c r="U1274" s="75"/>
      <c r="V1274" s="75"/>
      <c r="W1274" s="75"/>
      <c r="X1274" s="75"/>
    </row>
    <row r="1275">
      <c r="A1275" s="17"/>
      <c r="B1275" s="17"/>
      <c r="C1275" s="133"/>
      <c r="D1275" s="133"/>
      <c r="E1275" s="17"/>
      <c r="F1275" s="133"/>
      <c r="G1275" s="133"/>
      <c r="H1275" s="133"/>
      <c r="I1275" s="133"/>
      <c r="J1275" s="133"/>
      <c r="K1275" s="133"/>
      <c r="L1275" s="133"/>
      <c r="M1275" s="133"/>
      <c r="N1275" s="133"/>
      <c r="O1275" s="133"/>
      <c r="P1275" s="134"/>
      <c r="Q1275" s="146"/>
      <c r="R1275" s="17"/>
      <c r="S1275" s="17"/>
      <c r="T1275" s="75"/>
      <c r="U1275" s="75"/>
      <c r="V1275" s="75"/>
      <c r="W1275" s="75"/>
      <c r="X1275" s="75"/>
    </row>
    <row r="1276">
      <c r="A1276" s="17"/>
      <c r="B1276" s="17"/>
      <c r="C1276" s="133"/>
      <c r="D1276" s="133"/>
      <c r="E1276" s="17"/>
      <c r="F1276" s="133"/>
      <c r="G1276" s="133"/>
      <c r="H1276" s="133"/>
      <c r="I1276" s="133"/>
      <c r="J1276" s="133"/>
      <c r="K1276" s="133"/>
      <c r="L1276" s="133"/>
      <c r="M1276" s="133"/>
      <c r="N1276" s="133"/>
      <c r="O1276" s="133"/>
      <c r="P1276" s="134"/>
      <c r="Q1276" s="146"/>
      <c r="R1276" s="17"/>
      <c r="S1276" s="17"/>
      <c r="T1276" s="75"/>
      <c r="U1276" s="75"/>
      <c r="V1276" s="75"/>
      <c r="W1276" s="75"/>
      <c r="X1276" s="75"/>
    </row>
    <row r="1277">
      <c r="A1277" s="17"/>
      <c r="B1277" s="17"/>
      <c r="C1277" s="133"/>
      <c r="D1277" s="133"/>
      <c r="E1277" s="17"/>
      <c r="F1277" s="133"/>
      <c r="G1277" s="133"/>
      <c r="H1277" s="133"/>
      <c r="I1277" s="133"/>
      <c r="J1277" s="133"/>
      <c r="K1277" s="133"/>
      <c r="L1277" s="133"/>
      <c r="M1277" s="133"/>
      <c r="N1277" s="133"/>
      <c r="O1277" s="133"/>
      <c r="P1277" s="134"/>
      <c r="Q1277" s="146"/>
      <c r="R1277" s="17"/>
      <c r="S1277" s="17"/>
      <c r="T1277" s="75"/>
      <c r="U1277" s="75"/>
      <c r="V1277" s="75"/>
      <c r="W1277" s="75"/>
      <c r="X1277" s="75"/>
    </row>
    <row r="1278">
      <c r="A1278" s="17"/>
      <c r="B1278" s="17"/>
      <c r="C1278" s="133"/>
      <c r="D1278" s="133"/>
      <c r="E1278" s="17"/>
      <c r="F1278" s="133"/>
      <c r="G1278" s="133"/>
      <c r="H1278" s="133"/>
      <c r="I1278" s="133"/>
      <c r="J1278" s="133"/>
      <c r="K1278" s="133"/>
      <c r="L1278" s="133"/>
      <c r="M1278" s="133"/>
      <c r="N1278" s="133"/>
      <c r="O1278" s="133"/>
      <c r="P1278" s="134"/>
      <c r="Q1278" s="146"/>
      <c r="R1278" s="17"/>
      <c r="S1278" s="17"/>
      <c r="T1278" s="75"/>
      <c r="U1278" s="75"/>
      <c r="V1278" s="75"/>
      <c r="W1278" s="75"/>
      <c r="X1278" s="75"/>
    </row>
    <row r="1279">
      <c r="A1279" s="17"/>
      <c r="B1279" s="17"/>
      <c r="C1279" s="133"/>
      <c r="D1279" s="133"/>
      <c r="E1279" s="17"/>
      <c r="F1279" s="133"/>
      <c r="G1279" s="133"/>
      <c r="H1279" s="133"/>
      <c r="I1279" s="133"/>
      <c r="J1279" s="133"/>
      <c r="K1279" s="133"/>
      <c r="L1279" s="133"/>
      <c r="M1279" s="133"/>
      <c r="N1279" s="133"/>
      <c r="O1279" s="133"/>
      <c r="P1279" s="134"/>
      <c r="Q1279" s="146"/>
      <c r="R1279" s="17"/>
      <c r="S1279" s="17"/>
      <c r="T1279" s="75"/>
      <c r="U1279" s="75"/>
      <c r="V1279" s="75"/>
      <c r="W1279" s="75"/>
      <c r="X1279" s="75"/>
    </row>
    <row r="1280">
      <c r="A1280" s="17"/>
      <c r="B1280" s="17"/>
      <c r="C1280" s="133"/>
      <c r="D1280" s="133"/>
      <c r="E1280" s="17"/>
      <c r="F1280" s="133"/>
      <c r="G1280" s="133"/>
      <c r="H1280" s="133"/>
      <c r="I1280" s="133"/>
      <c r="J1280" s="133"/>
      <c r="K1280" s="133"/>
      <c r="L1280" s="133"/>
      <c r="M1280" s="133"/>
      <c r="N1280" s="133"/>
      <c r="O1280" s="133"/>
      <c r="P1280" s="134"/>
      <c r="Q1280" s="146"/>
      <c r="R1280" s="17"/>
      <c r="S1280" s="17"/>
      <c r="T1280" s="75"/>
      <c r="U1280" s="75"/>
      <c r="V1280" s="75"/>
      <c r="W1280" s="75"/>
      <c r="X1280" s="75"/>
    </row>
    <row r="1281">
      <c r="A1281" s="17"/>
      <c r="B1281" s="17"/>
      <c r="C1281" s="133"/>
      <c r="D1281" s="133"/>
      <c r="E1281" s="17"/>
      <c r="F1281" s="133"/>
      <c r="G1281" s="133"/>
      <c r="H1281" s="133"/>
      <c r="I1281" s="133"/>
      <c r="J1281" s="133"/>
      <c r="K1281" s="133"/>
      <c r="L1281" s="133"/>
      <c r="M1281" s="133"/>
      <c r="N1281" s="133"/>
      <c r="O1281" s="133"/>
      <c r="P1281" s="134"/>
      <c r="Q1281" s="146"/>
      <c r="R1281" s="17"/>
      <c r="S1281" s="17"/>
      <c r="T1281" s="75"/>
      <c r="U1281" s="75"/>
      <c r="V1281" s="75"/>
      <c r="W1281" s="75"/>
      <c r="X1281" s="75"/>
    </row>
    <row r="1282">
      <c r="A1282" s="17"/>
      <c r="B1282" s="17"/>
      <c r="C1282" s="133"/>
      <c r="D1282" s="133"/>
      <c r="E1282" s="17"/>
      <c r="F1282" s="133"/>
      <c r="G1282" s="133"/>
      <c r="H1282" s="133"/>
      <c r="I1282" s="133"/>
      <c r="J1282" s="133"/>
      <c r="K1282" s="133"/>
      <c r="L1282" s="133"/>
      <c r="M1282" s="133"/>
      <c r="N1282" s="133"/>
      <c r="O1282" s="133"/>
      <c r="P1282" s="134"/>
      <c r="Q1282" s="146"/>
      <c r="R1282" s="17"/>
      <c r="S1282" s="17"/>
      <c r="T1282" s="75"/>
      <c r="U1282" s="75"/>
      <c r="V1282" s="75"/>
      <c r="W1282" s="75"/>
      <c r="X1282" s="75"/>
    </row>
    <row r="1283">
      <c r="A1283" s="17"/>
      <c r="B1283" s="17"/>
      <c r="C1283" s="133"/>
      <c r="D1283" s="133"/>
      <c r="E1283" s="17"/>
      <c r="F1283" s="133"/>
      <c r="G1283" s="133"/>
      <c r="H1283" s="133"/>
      <c r="I1283" s="133"/>
      <c r="J1283" s="133"/>
      <c r="K1283" s="133"/>
      <c r="L1283" s="133"/>
      <c r="M1283" s="133"/>
      <c r="N1283" s="133"/>
      <c r="O1283" s="133"/>
      <c r="P1283" s="134"/>
      <c r="Q1283" s="146"/>
      <c r="R1283" s="17"/>
      <c r="S1283" s="17"/>
      <c r="T1283" s="75"/>
      <c r="U1283" s="75"/>
      <c r="V1283" s="75"/>
      <c r="W1283" s="75"/>
      <c r="X1283" s="75"/>
    </row>
    <row r="1284">
      <c r="A1284" s="17"/>
      <c r="B1284" s="17"/>
      <c r="C1284" s="133"/>
      <c r="D1284" s="133"/>
      <c r="E1284" s="17"/>
      <c r="F1284" s="133"/>
      <c r="G1284" s="133"/>
      <c r="H1284" s="133"/>
      <c r="I1284" s="133"/>
      <c r="J1284" s="133"/>
      <c r="K1284" s="133"/>
      <c r="L1284" s="133"/>
      <c r="M1284" s="133"/>
      <c r="N1284" s="133"/>
      <c r="O1284" s="133"/>
      <c r="P1284" s="134"/>
      <c r="Q1284" s="146"/>
      <c r="R1284" s="17"/>
      <c r="S1284" s="17"/>
      <c r="T1284" s="75"/>
      <c r="U1284" s="75"/>
      <c r="V1284" s="75"/>
      <c r="W1284" s="75"/>
      <c r="X1284" s="75"/>
    </row>
    <row r="1285">
      <c r="A1285" s="17"/>
      <c r="B1285" s="17"/>
      <c r="C1285" s="133"/>
      <c r="D1285" s="133"/>
      <c r="E1285" s="17"/>
      <c r="F1285" s="133"/>
      <c r="G1285" s="133"/>
      <c r="H1285" s="133"/>
      <c r="I1285" s="133"/>
      <c r="J1285" s="133"/>
      <c r="K1285" s="133"/>
      <c r="L1285" s="133"/>
      <c r="M1285" s="133"/>
      <c r="N1285" s="133"/>
      <c r="O1285" s="133"/>
      <c r="P1285" s="134"/>
      <c r="Q1285" s="146"/>
      <c r="R1285" s="17"/>
      <c r="S1285" s="17"/>
      <c r="T1285" s="75"/>
      <c r="U1285" s="75"/>
      <c r="V1285" s="75"/>
      <c r="W1285" s="75"/>
      <c r="X1285" s="75"/>
    </row>
    <row r="1286">
      <c r="A1286" s="17"/>
      <c r="B1286" s="17"/>
      <c r="C1286" s="133"/>
      <c r="D1286" s="133"/>
      <c r="E1286" s="17"/>
      <c r="F1286" s="133"/>
      <c r="G1286" s="133"/>
      <c r="H1286" s="133"/>
      <c r="I1286" s="133"/>
      <c r="J1286" s="133"/>
      <c r="K1286" s="133"/>
      <c r="L1286" s="133"/>
      <c r="M1286" s="133"/>
      <c r="N1286" s="133"/>
      <c r="O1286" s="133"/>
      <c r="P1286" s="134"/>
      <c r="Q1286" s="146"/>
      <c r="R1286" s="17"/>
      <c r="S1286" s="17"/>
      <c r="T1286" s="75"/>
      <c r="U1286" s="75"/>
      <c r="V1286" s="75"/>
      <c r="W1286" s="75"/>
      <c r="X1286" s="75"/>
    </row>
    <row r="1287">
      <c r="A1287" s="17"/>
      <c r="B1287" s="17"/>
      <c r="C1287" s="133"/>
      <c r="D1287" s="133"/>
      <c r="E1287" s="17"/>
      <c r="F1287" s="133"/>
      <c r="G1287" s="133"/>
      <c r="H1287" s="133"/>
      <c r="I1287" s="133"/>
      <c r="J1287" s="133"/>
      <c r="K1287" s="133"/>
      <c r="L1287" s="133"/>
      <c r="M1287" s="133"/>
      <c r="N1287" s="133"/>
      <c r="O1287" s="133"/>
      <c r="P1287" s="134"/>
      <c r="Q1287" s="146"/>
      <c r="R1287" s="17"/>
      <c r="S1287" s="17"/>
      <c r="T1287" s="75"/>
      <c r="U1287" s="75"/>
      <c r="V1287" s="75"/>
      <c r="W1287" s="75"/>
      <c r="X1287" s="75"/>
    </row>
    <row r="1288">
      <c r="A1288" s="17"/>
      <c r="B1288" s="17"/>
      <c r="C1288" s="133"/>
      <c r="D1288" s="133"/>
      <c r="E1288" s="17"/>
      <c r="F1288" s="133"/>
      <c r="G1288" s="133"/>
      <c r="H1288" s="133"/>
      <c r="I1288" s="133"/>
      <c r="J1288" s="133"/>
      <c r="K1288" s="133"/>
      <c r="L1288" s="133"/>
      <c r="M1288" s="133"/>
      <c r="N1288" s="133"/>
      <c r="O1288" s="133"/>
      <c r="P1288" s="134"/>
      <c r="Q1288" s="146"/>
      <c r="R1288" s="17"/>
      <c r="S1288" s="17"/>
      <c r="T1288" s="75"/>
      <c r="U1288" s="75"/>
      <c r="V1288" s="75"/>
      <c r="W1288" s="75"/>
      <c r="X1288" s="75"/>
    </row>
    <row r="1289">
      <c r="A1289" s="17"/>
      <c r="B1289" s="17"/>
      <c r="C1289" s="133"/>
      <c r="D1289" s="133"/>
      <c r="E1289" s="17"/>
      <c r="F1289" s="133"/>
      <c r="G1289" s="133"/>
      <c r="H1289" s="133"/>
      <c r="I1289" s="133"/>
      <c r="J1289" s="133"/>
      <c r="K1289" s="133"/>
      <c r="L1289" s="133"/>
      <c r="M1289" s="133"/>
      <c r="N1289" s="133"/>
      <c r="O1289" s="133"/>
      <c r="P1289" s="134"/>
      <c r="Q1289" s="146"/>
      <c r="R1289" s="17"/>
      <c r="S1289" s="17"/>
      <c r="T1289" s="75"/>
      <c r="U1289" s="75"/>
      <c r="V1289" s="75"/>
      <c r="W1289" s="75"/>
      <c r="X1289" s="75"/>
    </row>
    <row r="1290">
      <c r="A1290" s="17"/>
      <c r="B1290" s="17"/>
      <c r="C1290" s="133"/>
      <c r="D1290" s="133"/>
      <c r="E1290" s="17"/>
      <c r="F1290" s="133"/>
      <c r="G1290" s="133"/>
      <c r="H1290" s="133"/>
      <c r="I1290" s="133"/>
      <c r="J1290" s="133"/>
      <c r="K1290" s="133"/>
      <c r="L1290" s="133"/>
      <c r="M1290" s="133"/>
      <c r="N1290" s="133"/>
      <c r="O1290" s="133"/>
      <c r="P1290" s="134"/>
      <c r="Q1290" s="146"/>
      <c r="R1290" s="17"/>
      <c r="S1290" s="17"/>
      <c r="T1290" s="75"/>
      <c r="U1290" s="75"/>
      <c r="V1290" s="75"/>
      <c r="W1290" s="75"/>
      <c r="X1290" s="75"/>
    </row>
    <row r="1291">
      <c r="A1291" s="17"/>
      <c r="B1291" s="17"/>
      <c r="C1291" s="133"/>
      <c r="D1291" s="133"/>
      <c r="E1291" s="17"/>
      <c r="F1291" s="133"/>
      <c r="G1291" s="133"/>
      <c r="H1291" s="133"/>
      <c r="I1291" s="133"/>
      <c r="J1291" s="133"/>
      <c r="K1291" s="133"/>
      <c r="L1291" s="133"/>
      <c r="M1291" s="133"/>
      <c r="N1291" s="133"/>
      <c r="O1291" s="133"/>
      <c r="P1291" s="134"/>
      <c r="Q1291" s="146"/>
      <c r="R1291" s="17"/>
      <c r="S1291" s="17"/>
      <c r="T1291" s="75"/>
      <c r="U1291" s="75"/>
      <c r="V1291" s="75"/>
      <c r="W1291" s="75"/>
      <c r="X1291" s="75"/>
    </row>
    <row r="1292">
      <c r="A1292" s="17"/>
      <c r="B1292" s="17"/>
      <c r="C1292" s="133"/>
      <c r="D1292" s="133"/>
      <c r="E1292" s="17"/>
      <c r="F1292" s="133"/>
      <c r="G1292" s="133"/>
      <c r="H1292" s="133"/>
      <c r="I1292" s="133"/>
      <c r="J1292" s="133"/>
      <c r="K1292" s="133"/>
      <c r="L1292" s="133"/>
      <c r="M1292" s="133"/>
      <c r="N1292" s="133"/>
      <c r="O1292" s="133"/>
      <c r="P1292" s="134"/>
      <c r="Q1292" s="146"/>
      <c r="R1292" s="17"/>
      <c r="S1292" s="17"/>
      <c r="T1292" s="75"/>
      <c r="U1292" s="75"/>
      <c r="V1292" s="75"/>
      <c r="W1292" s="75"/>
      <c r="X1292" s="75"/>
    </row>
    <row r="1293">
      <c r="A1293" s="17"/>
      <c r="B1293" s="17"/>
      <c r="C1293" s="133"/>
      <c r="D1293" s="133"/>
      <c r="E1293" s="17"/>
      <c r="F1293" s="133"/>
      <c r="G1293" s="133"/>
      <c r="H1293" s="133"/>
      <c r="I1293" s="133"/>
      <c r="J1293" s="133"/>
      <c r="K1293" s="133"/>
      <c r="L1293" s="133"/>
      <c r="M1293" s="133"/>
      <c r="N1293" s="133"/>
      <c r="O1293" s="133"/>
      <c r="P1293" s="134"/>
      <c r="Q1293" s="146"/>
      <c r="R1293" s="17"/>
      <c r="S1293" s="17"/>
      <c r="T1293" s="75"/>
      <c r="U1293" s="75"/>
      <c r="V1293" s="75"/>
      <c r="W1293" s="75"/>
      <c r="X1293" s="75"/>
    </row>
    <row r="1294">
      <c r="A1294" s="17"/>
      <c r="B1294" s="17"/>
      <c r="C1294" s="133"/>
      <c r="D1294" s="133"/>
      <c r="E1294" s="17"/>
      <c r="F1294" s="133"/>
      <c r="G1294" s="133"/>
      <c r="H1294" s="133"/>
      <c r="I1294" s="133"/>
      <c r="J1294" s="133"/>
      <c r="K1294" s="133"/>
      <c r="L1294" s="133"/>
      <c r="M1294" s="133"/>
      <c r="N1294" s="133"/>
      <c r="O1294" s="133"/>
      <c r="P1294" s="134"/>
      <c r="Q1294" s="146"/>
      <c r="R1294" s="17"/>
      <c r="S1294" s="17"/>
      <c r="T1294" s="75"/>
      <c r="U1294" s="75"/>
      <c r="V1294" s="75"/>
      <c r="W1294" s="75"/>
      <c r="X1294" s="75"/>
    </row>
    <row r="1295">
      <c r="A1295" s="17"/>
      <c r="B1295" s="17"/>
      <c r="C1295" s="133"/>
      <c r="D1295" s="133"/>
      <c r="E1295" s="17"/>
      <c r="F1295" s="133"/>
      <c r="G1295" s="133"/>
      <c r="H1295" s="133"/>
      <c r="I1295" s="133"/>
      <c r="J1295" s="133"/>
      <c r="K1295" s="133"/>
      <c r="L1295" s="133"/>
      <c r="M1295" s="133"/>
      <c r="N1295" s="133"/>
      <c r="O1295" s="133"/>
      <c r="P1295" s="134"/>
      <c r="Q1295" s="146"/>
      <c r="R1295" s="17"/>
      <c r="S1295" s="17"/>
      <c r="T1295" s="75"/>
      <c r="U1295" s="75"/>
      <c r="V1295" s="75"/>
      <c r="W1295" s="75"/>
      <c r="X1295" s="75"/>
    </row>
    <row r="1296">
      <c r="A1296" s="17"/>
      <c r="B1296" s="17"/>
      <c r="C1296" s="133"/>
      <c r="D1296" s="133"/>
      <c r="E1296" s="17"/>
      <c r="F1296" s="133"/>
      <c r="G1296" s="133"/>
      <c r="H1296" s="133"/>
      <c r="I1296" s="133"/>
      <c r="J1296" s="133"/>
      <c r="K1296" s="133"/>
      <c r="L1296" s="133"/>
      <c r="M1296" s="133"/>
      <c r="N1296" s="133"/>
      <c r="O1296" s="133"/>
      <c r="P1296" s="134"/>
      <c r="Q1296" s="146"/>
      <c r="R1296" s="17"/>
      <c r="S1296" s="17"/>
      <c r="T1296" s="75"/>
      <c r="U1296" s="75"/>
      <c r="V1296" s="75"/>
      <c r="W1296" s="75"/>
      <c r="X1296" s="75"/>
    </row>
    <row r="1297">
      <c r="A1297" s="17"/>
      <c r="B1297" s="17"/>
      <c r="C1297" s="133"/>
      <c r="D1297" s="133"/>
      <c r="E1297" s="17"/>
      <c r="F1297" s="133"/>
      <c r="G1297" s="133"/>
      <c r="H1297" s="133"/>
      <c r="I1297" s="133"/>
      <c r="J1297" s="133"/>
      <c r="K1297" s="133"/>
      <c r="L1297" s="133"/>
      <c r="M1297" s="133"/>
      <c r="N1297" s="133"/>
      <c r="O1297" s="133"/>
      <c r="P1297" s="134"/>
      <c r="Q1297" s="146"/>
      <c r="R1297" s="17"/>
      <c r="S1297" s="17"/>
      <c r="T1297" s="75"/>
      <c r="U1297" s="75"/>
      <c r="V1297" s="75"/>
      <c r="W1297" s="75"/>
      <c r="X1297" s="75"/>
    </row>
    <row r="1298">
      <c r="A1298" s="17"/>
      <c r="B1298" s="17"/>
      <c r="C1298" s="133"/>
      <c r="D1298" s="133"/>
      <c r="E1298" s="17"/>
      <c r="F1298" s="133"/>
      <c r="G1298" s="133"/>
      <c r="H1298" s="133"/>
      <c r="I1298" s="133"/>
      <c r="J1298" s="133"/>
      <c r="K1298" s="133"/>
      <c r="L1298" s="133"/>
      <c r="M1298" s="133"/>
      <c r="N1298" s="133"/>
      <c r="O1298" s="133"/>
      <c r="P1298" s="134"/>
      <c r="Q1298" s="146"/>
      <c r="R1298" s="17"/>
      <c r="S1298" s="17"/>
      <c r="T1298" s="75"/>
      <c r="U1298" s="75"/>
      <c r="V1298" s="75"/>
      <c r="W1298" s="75"/>
      <c r="X1298" s="75"/>
    </row>
    <row r="1299">
      <c r="A1299" s="17"/>
      <c r="B1299" s="17"/>
      <c r="C1299" s="133"/>
      <c r="D1299" s="133"/>
      <c r="E1299" s="17"/>
      <c r="F1299" s="133"/>
      <c r="G1299" s="133"/>
      <c r="H1299" s="133"/>
      <c r="I1299" s="133"/>
      <c r="J1299" s="133"/>
      <c r="K1299" s="133"/>
      <c r="L1299" s="133"/>
      <c r="M1299" s="133"/>
      <c r="N1299" s="133"/>
      <c r="O1299" s="133"/>
      <c r="P1299" s="134"/>
      <c r="Q1299" s="146"/>
      <c r="R1299" s="17"/>
      <c r="S1299" s="17"/>
      <c r="T1299" s="75"/>
      <c r="U1299" s="75"/>
      <c r="V1299" s="75"/>
      <c r="W1299" s="75"/>
      <c r="X1299" s="75"/>
    </row>
    <row r="1300">
      <c r="A1300" s="17"/>
      <c r="B1300" s="17"/>
      <c r="C1300" s="133"/>
      <c r="D1300" s="133"/>
      <c r="E1300" s="17"/>
      <c r="F1300" s="133"/>
      <c r="G1300" s="133"/>
      <c r="H1300" s="133"/>
      <c r="I1300" s="133"/>
      <c r="J1300" s="133"/>
      <c r="K1300" s="133"/>
      <c r="L1300" s="133"/>
      <c r="M1300" s="133"/>
      <c r="N1300" s="133"/>
      <c r="O1300" s="133"/>
      <c r="P1300" s="134"/>
      <c r="Q1300" s="146"/>
      <c r="R1300" s="17"/>
      <c r="S1300" s="17"/>
      <c r="T1300" s="75"/>
      <c r="U1300" s="75"/>
      <c r="V1300" s="75"/>
      <c r="W1300" s="75"/>
      <c r="X1300" s="75"/>
    </row>
    <row r="1301">
      <c r="A1301" s="17"/>
      <c r="B1301" s="17"/>
      <c r="C1301" s="133"/>
      <c r="D1301" s="133"/>
      <c r="E1301" s="17"/>
      <c r="F1301" s="133"/>
      <c r="G1301" s="133"/>
      <c r="H1301" s="133"/>
      <c r="I1301" s="133"/>
      <c r="J1301" s="133"/>
      <c r="K1301" s="133"/>
      <c r="L1301" s="133"/>
      <c r="M1301" s="133"/>
      <c r="N1301" s="133"/>
      <c r="O1301" s="133"/>
      <c r="P1301" s="134"/>
      <c r="Q1301" s="146"/>
      <c r="R1301" s="17"/>
      <c r="S1301" s="17"/>
      <c r="T1301" s="75"/>
      <c r="U1301" s="75"/>
      <c r="V1301" s="75"/>
      <c r="W1301" s="75"/>
      <c r="X1301" s="75"/>
    </row>
    <row r="1302">
      <c r="A1302" s="17"/>
      <c r="B1302" s="17"/>
      <c r="C1302" s="133"/>
      <c r="D1302" s="133"/>
      <c r="E1302" s="17"/>
      <c r="F1302" s="133"/>
      <c r="G1302" s="133"/>
      <c r="H1302" s="133"/>
      <c r="I1302" s="133"/>
      <c r="J1302" s="133"/>
      <c r="K1302" s="133"/>
      <c r="L1302" s="133"/>
      <c r="M1302" s="133"/>
      <c r="N1302" s="133"/>
      <c r="O1302" s="133"/>
      <c r="P1302" s="134"/>
      <c r="Q1302" s="146"/>
      <c r="R1302" s="17"/>
      <c r="S1302" s="17"/>
      <c r="T1302" s="75"/>
      <c r="U1302" s="75"/>
      <c r="V1302" s="75"/>
      <c r="W1302" s="75"/>
      <c r="X1302" s="75"/>
    </row>
    <row r="1303">
      <c r="A1303" s="17"/>
      <c r="B1303" s="17"/>
      <c r="C1303" s="133"/>
      <c r="D1303" s="133"/>
      <c r="E1303" s="17"/>
      <c r="F1303" s="133"/>
      <c r="G1303" s="133"/>
      <c r="H1303" s="133"/>
      <c r="I1303" s="133"/>
      <c r="J1303" s="133"/>
      <c r="K1303" s="133"/>
      <c r="L1303" s="133"/>
      <c r="M1303" s="133"/>
      <c r="N1303" s="133"/>
      <c r="O1303" s="133"/>
      <c r="P1303" s="134"/>
      <c r="Q1303" s="146"/>
      <c r="R1303" s="17"/>
      <c r="S1303" s="17"/>
      <c r="T1303" s="75"/>
      <c r="U1303" s="75"/>
      <c r="V1303" s="75"/>
      <c r="W1303" s="75"/>
      <c r="X1303" s="75"/>
    </row>
    <row r="1304">
      <c r="A1304" s="17"/>
      <c r="B1304" s="17"/>
      <c r="C1304" s="133"/>
      <c r="D1304" s="133"/>
      <c r="E1304" s="17"/>
      <c r="F1304" s="133"/>
      <c r="G1304" s="133"/>
      <c r="H1304" s="133"/>
      <c r="I1304" s="133"/>
      <c r="J1304" s="133"/>
      <c r="K1304" s="133"/>
      <c r="L1304" s="133"/>
      <c r="M1304" s="133"/>
      <c r="N1304" s="133"/>
      <c r="O1304" s="133"/>
      <c r="P1304" s="134"/>
      <c r="Q1304" s="146"/>
      <c r="R1304" s="17"/>
      <c r="S1304" s="17"/>
      <c r="T1304" s="75"/>
      <c r="U1304" s="75"/>
      <c r="V1304" s="75"/>
      <c r="W1304" s="75"/>
      <c r="X1304" s="75"/>
    </row>
    <row r="1305">
      <c r="A1305" s="17"/>
      <c r="B1305" s="17"/>
      <c r="C1305" s="133"/>
      <c r="D1305" s="133"/>
      <c r="E1305" s="17"/>
      <c r="F1305" s="133"/>
      <c r="G1305" s="133"/>
      <c r="H1305" s="133"/>
      <c r="I1305" s="133"/>
      <c r="J1305" s="133"/>
      <c r="K1305" s="133"/>
      <c r="L1305" s="133"/>
      <c r="M1305" s="133"/>
      <c r="N1305" s="133"/>
      <c r="O1305" s="133"/>
      <c r="P1305" s="134"/>
      <c r="Q1305" s="146"/>
      <c r="R1305" s="17"/>
      <c r="S1305" s="17"/>
      <c r="T1305" s="75"/>
      <c r="U1305" s="75"/>
      <c r="V1305" s="75"/>
      <c r="W1305" s="75"/>
      <c r="X1305" s="75"/>
    </row>
    <row r="1306">
      <c r="A1306" s="17"/>
      <c r="B1306" s="17"/>
      <c r="C1306" s="133"/>
      <c r="D1306" s="133"/>
      <c r="E1306" s="17"/>
      <c r="F1306" s="133"/>
      <c r="G1306" s="133"/>
      <c r="H1306" s="133"/>
      <c r="I1306" s="133"/>
      <c r="J1306" s="133"/>
      <c r="K1306" s="133"/>
      <c r="L1306" s="133"/>
      <c r="M1306" s="133"/>
      <c r="N1306" s="133"/>
      <c r="O1306" s="133"/>
      <c r="P1306" s="134"/>
      <c r="Q1306" s="146"/>
      <c r="R1306" s="17"/>
      <c r="S1306" s="17"/>
      <c r="T1306" s="75"/>
      <c r="U1306" s="75"/>
      <c r="V1306" s="75"/>
      <c r="W1306" s="75"/>
      <c r="X1306" s="75"/>
    </row>
    <row r="1307">
      <c r="A1307" s="17"/>
      <c r="B1307" s="17"/>
      <c r="C1307" s="133"/>
      <c r="D1307" s="133"/>
      <c r="E1307" s="17"/>
      <c r="F1307" s="133"/>
      <c r="G1307" s="133"/>
      <c r="H1307" s="133"/>
      <c r="I1307" s="133"/>
      <c r="J1307" s="133"/>
      <c r="K1307" s="133"/>
      <c r="L1307" s="133"/>
      <c r="M1307" s="133"/>
      <c r="N1307" s="133"/>
      <c r="O1307" s="133"/>
      <c r="P1307" s="134"/>
      <c r="Q1307" s="146"/>
      <c r="R1307" s="17"/>
      <c r="S1307" s="17"/>
      <c r="T1307" s="75"/>
      <c r="U1307" s="75"/>
      <c r="V1307" s="75"/>
      <c r="W1307" s="75"/>
      <c r="X1307" s="75"/>
    </row>
    <row r="1308">
      <c r="A1308" s="17"/>
      <c r="B1308" s="17"/>
      <c r="C1308" s="133"/>
      <c r="D1308" s="133"/>
      <c r="E1308" s="17"/>
      <c r="F1308" s="133"/>
      <c r="G1308" s="133"/>
      <c r="H1308" s="133"/>
      <c r="I1308" s="133"/>
      <c r="J1308" s="133"/>
      <c r="K1308" s="133"/>
      <c r="L1308" s="133"/>
      <c r="M1308" s="133"/>
      <c r="N1308" s="133"/>
      <c r="O1308" s="133"/>
      <c r="P1308" s="134"/>
      <c r="Q1308" s="146"/>
      <c r="R1308" s="17"/>
      <c r="S1308" s="17"/>
      <c r="T1308" s="75"/>
      <c r="U1308" s="75"/>
      <c r="V1308" s="75"/>
      <c r="W1308" s="75"/>
      <c r="X1308" s="75"/>
    </row>
    <row r="1309">
      <c r="A1309" s="17"/>
      <c r="B1309" s="17"/>
      <c r="C1309" s="133"/>
      <c r="D1309" s="133"/>
      <c r="E1309" s="17"/>
      <c r="F1309" s="133"/>
      <c r="G1309" s="133"/>
      <c r="H1309" s="133"/>
      <c r="I1309" s="133"/>
      <c r="J1309" s="133"/>
      <c r="K1309" s="133"/>
      <c r="L1309" s="133"/>
      <c r="M1309" s="133"/>
      <c r="N1309" s="133"/>
      <c r="O1309" s="133"/>
      <c r="P1309" s="134"/>
      <c r="Q1309" s="146"/>
      <c r="R1309" s="17"/>
      <c r="S1309" s="17"/>
      <c r="T1309" s="75"/>
      <c r="U1309" s="75"/>
      <c r="V1309" s="75"/>
      <c r="W1309" s="75"/>
      <c r="X1309" s="75"/>
    </row>
    <row r="1310">
      <c r="A1310" s="17"/>
      <c r="B1310" s="17"/>
      <c r="C1310" s="133"/>
      <c r="D1310" s="133"/>
      <c r="E1310" s="17"/>
      <c r="F1310" s="133"/>
      <c r="G1310" s="133"/>
      <c r="H1310" s="133"/>
      <c r="I1310" s="133"/>
      <c r="J1310" s="133"/>
      <c r="K1310" s="133"/>
      <c r="L1310" s="133"/>
      <c r="M1310" s="133"/>
      <c r="N1310" s="133"/>
      <c r="O1310" s="133"/>
      <c r="P1310" s="134"/>
      <c r="Q1310" s="146"/>
      <c r="R1310" s="17"/>
      <c r="S1310" s="17"/>
      <c r="T1310" s="75"/>
      <c r="U1310" s="75"/>
      <c r="V1310" s="75"/>
      <c r="W1310" s="75"/>
      <c r="X1310" s="75"/>
    </row>
    <row r="1311">
      <c r="A1311" s="17"/>
      <c r="B1311" s="17"/>
      <c r="C1311" s="133"/>
      <c r="D1311" s="133"/>
      <c r="E1311" s="17"/>
      <c r="F1311" s="133"/>
      <c r="G1311" s="133"/>
      <c r="H1311" s="133"/>
      <c r="I1311" s="133"/>
      <c r="J1311" s="133"/>
      <c r="K1311" s="133"/>
      <c r="L1311" s="133"/>
      <c r="M1311" s="133"/>
      <c r="N1311" s="133"/>
      <c r="O1311" s="133"/>
      <c r="P1311" s="134"/>
      <c r="Q1311" s="146"/>
      <c r="R1311" s="17"/>
      <c r="S1311" s="17"/>
      <c r="T1311" s="75"/>
      <c r="U1311" s="75"/>
      <c r="V1311" s="75"/>
      <c r="W1311" s="75"/>
      <c r="X1311" s="75"/>
    </row>
    <row r="1312">
      <c r="A1312" s="17"/>
      <c r="B1312" s="17"/>
      <c r="C1312" s="133"/>
      <c r="D1312" s="133"/>
      <c r="E1312" s="17"/>
      <c r="F1312" s="133"/>
      <c r="G1312" s="133"/>
      <c r="H1312" s="133"/>
      <c r="I1312" s="133"/>
      <c r="J1312" s="133"/>
      <c r="K1312" s="133"/>
      <c r="L1312" s="133"/>
      <c r="M1312" s="133"/>
      <c r="N1312" s="133"/>
      <c r="O1312" s="133"/>
      <c r="P1312" s="134"/>
      <c r="Q1312" s="146"/>
      <c r="R1312" s="17"/>
      <c r="S1312" s="17"/>
      <c r="T1312" s="75"/>
      <c r="U1312" s="75"/>
      <c r="V1312" s="75"/>
      <c r="W1312" s="75"/>
      <c r="X1312" s="75"/>
    </row>
    <row r="1313">
      <c r="A1313" s="17"/>
      <c r="B1313" s="17"/>
      <c r="C1313" s="133"/>
      <c r="D1313" s="133"/>
      <c r="E1313" s="17"/>
      <c r="F1313" s="133"/>
      <c r="G1313" s="133"/>
      <c r="H1313" s="133"/>
      <c r="I1313" s="133"/>
      <c r="J1313" s="133"/>
      <c r="K1313" s="133"/>
      <c r="L1313" s="133"/>
      <c r="M1313" s="133"/>
      <c r="N1313" s="133"/>
      <c r="O1313" s="133"/>
      <c r="P1313" s="134"/>
      <c r="Q1313" s="146"/>
      <c r="R1313" s="17"/>
      <c r="S1313" s="17"/>
      <c r="T1313" s="75"/>
      <c r="U1313" s="75"/>
      <c r="V1313" s="75"/>
      <c r="W1313" s="75"/>
      <c r="X1313" s="75"/>
    </row>
    <row r="1314">
      <c r="A1314" s="17"/>
      <c r="B1314" s="17"/>
      <c r="C1314" s="133"/>
      <c r="D1314" s="133"/>
      <c r="E1314" s="17"/>
      <c r="F1314" s="133"/>
      <c r="G1314" s="133"/>
      <c r="H1314" s="133"/>
      <c r="I1314" s="133"/>
      <c r="J1314" s="133"/>
      <c r="K1314" s="133"/>
      <c r="L1314" s="133"/>
      <c r="M1314" s="133"/>
      <c r="N1314" s="133"/>
      <c r="O1314" s="133"/>
      <c r="P1314" s="134"/>
      <c r="Q1314" s="146"/>
      <c r="R1314" s="17"/>
      <c r="S1314" s="17"/>
      <c r="T1314" s="75"/>
      <c r="U1314" s="75"/>
      <c r="V1314" s="75"/>
      <c r="W1314" s="75"/>
      <c r="X1314" s="75"/>
    </row>
    <row r="1315">
      <c r="A1315" s="17"/>
      <c r="B1315" s="17"/>
      <c r="C1315" s="133"/>
      <c r="D1315" s="133"/>
      <c r="E1315" s="17"/>
      <c r="F1315" s="133"/>
      <c r="G1315" s="133"/>
      <c r="H1315" s="133"/>
      <c r="I1315" s="133"/>
      <c r="J1315" s="133"/>
      <c r="K1315" s="133"/>
      <c r="L1315" s="133"/>
      <c r="M1315" s="133"/>
      <c r="N1315" s="133"/>
      <c r="O1315" s="133"/>
      <c r="P1315" s="134"/>
      <c r="Q1315" s="146"/>
      <c r="R1315" s="17"/>
      <c r="S1315" s="17"/>
      <c r="T1315" s="75"/>
      <c r="U1315" s="75"/>
      <c r="V1315" s="75"/>
      <c r="W1315" s="75"/>
      <c r="X1315" s="75"/>
    </row>
    <row r="1316">
      <c r="A1316" s="17"/>
      <c r="B1316" s="17"/>
      <c r="C1316" s="133"/>
      <c r="D1316" s="133"/>
      <c r="E1316" s="17"/>
      <c r="F1316" s="133"/>
      <c r="G1316" s="133"/>
      <c r="H1316" s="133"/>
      <c r="I1316" s="133"/>
      <c r="J1316" s="133"/>
      <c r="K1316" s="133"/>
      <c r="L1316" s="133"/>
      <c r="M1316" s="133"/>
      <c r="N1316" s="133"/>
      <c r="O1316" s="133"/>
      <c r="P1316" s="134"/>
      <c r="Q1316" s="146"/>
      <c r="R1316" s="17"/>
      <c r="S1316" s="17"/>
      <c r="T1316" s="75"/>
      <c r="U1316" s="75"/>
      <c r="V1316" s="75"/>
      <c r="W1316" s="75"/>
      <c r="X1316" s="75"/>
    </row>
    <row r="1317">
      <c r="A1317" s="17"/>
      <c r="B1317" s="17"/>
      <c r="C1317" s="133"/>
      <c r="D1317" s="133"/>
      <c r="E1317" s="17"/>
      <c r="F1317" s="133"/>
      <c r="G1317" s="133"/>
      <c r="H1317" s="133"/>
      <c r="I1317" s="133"/>
      <c r="J1317" s="133"/>
      <c r="K1317" s="133"/>
      <c r="L1317" s="133"/>
      <c r="M1317" s="133"/>
      <c r="N1317" s="133"/>
      <c r="O1317" s="133"/>
      <c r="P1317" s="134"/>
      <c r="Q1317" s="146"/>
      <c r="R1317" s="17"/>
      <c r="S1317" s="17"/>
      <c r="T1317" s="75"/>
      <c r="U1317" s="75"/>
      <c r="V1317" s="75"/>
      <c r="W1317" s="75"/>
      <c r="X1317" s="75"/>
    </row>
    <row r="1318">
      <c r="A1318" s="17"/>
      <c r="B1318" s="17"/>
      <c r="C1318" s="133"/>
      <c r="D1318" s="133"/>
      <c r="E1318" s="17"/>
      <c r="F1318" s="133"/>
      <c r="G1318" s="133"/>
      <c r="H1318" s="133"/>
      <c r="I1318" s="133"/>
      <c r="J1318" s="133"/>
      <c r="K1318" s="133"/>
      <c r="L1318" s="133"/>
      <c r="M1318" s="133"/>
      <c r="N1318" s="133"/>
      <c r="O1318" s="133"/>
      <c r="P1318" s="134"/>
      <c r="Q1318" s="146"/>
      <c r="R1318" s="17"/>
      <c r="S1318" s="17"/>
      <c r="T1318" s="75"/>
      <c r="U1318" s="75"/>
      <c r="V1318" s="75"/>
      <c r="W1318" s="75"/>
      <c r="X1318" s="75"/>
    </row>
    <row r="1319">
      <c r="A1319" s="17"/>
      <c r="B1319" s="17"/>
      <c r="C1319" s="133"/>
      <c r="D1319" s="133"/>
      <c r="E1319" s="17"/>
      <c r="F1319" s="133"/>
      <c r="G1319" s="133"/>
      <c r="H1319" s="133"/>
      <c r="I1319" s="133"/>
      <c r="J1319" s="133"/>
      <c r="K1319" s="133"/>
      <c r="L1319" s="133"/>
      <c r="M1319" s="133"/>
      <c r="N1319" s="133"/>
      <c r="O1319" s="133"/>
      <c r="P1319" s="134"/>
      <c r="Q1319" s="146"/>
      <c r="R1319" s="17"/>
      <c r="S1319" s="17"/>
      <c r="T1319" s="75"/>
      <c r="U1319" s="75"/>
      <c r="V1319" s="75"/>
      <c r="W1319" s="75"/>
      <c r="X1319" s="75"/>
    </row>
    <row r="1320">
      <c r="A1320" s="17"/>
      <c r="B1320" s="17"/>
      <c r="C1320" s="133"/>
      <c r="D1320" s="133"/>
      <c r="E1320" s="17"/>
      <c r="F1320" s="133"/>
      <c r="G1320" s="133"/>
      <c r="H1320" s="133"/>
      <c r="I1320" s="133"/>
      <c r="J1320" s="133"/>
      <c r="K1320" s="133"/>
      <c r="L1320" s="133"/>
      <c r="M1320" s="133"/>
      <c r="N1320" s="133"/>
      <c r="O1320" s="133"/>
      <c r="P1320" s="134"/>
      <c r="Q1320" s="146"/>
      <c r="R1320" s="17"/>
      <c r="S1320" s="17"/>
      <c r="T1320" s="75"/>
      <c r="U1320" s="75"/>
      <c r="V1320" s="75"/>
      <c r="W1320" s="75"/>
      <c r="X1320" s="75"/>
    </row>
    <row r="1321">
      <c r="A1321" s="17"/>
      <c r="B1321" s="17"/>
      <c r="C1321" s="133"/>
      <c r="D1321" s="133"/>
      <c r="E1321" s="17"/>
      <c r="F1321" s="133"/>
      <c r="G1321" s="133"/>
      <c r="H1321" s="133"/>
      <c r="I1321" s="133"/>
      <c r="J1321" s="133"/>
      <c r="K1321" s="133"/>
      <c r="L1321" s="133"/>
      <c r="M1321" s="133"/>
      <c r="N1321" s="133"/>
      <c r="O1321" s="133"/>
      <c r="P1321" s="134"/>
      <c r="Q1321" s="146"/>
      <c r="R1321" s="17"/>
      <c r="S1321" s="17"/>
      <c r="T1321" s="75"/>
      <c r="U1321" s="75"/>
      <c r="V1321" s="75"/>
      <c r="W1321" s="75"/>
      <c r="X1321" s="75"/>
    </row>
    <row r="1322">
      <c r="A1322" s="17"/>
      <c r="B1322" s="17"/>
      <c r="C1322" s="133"/>
      <c r="D1322" s="133"/>
      <c r="E1322" s="17"/>
      <c r="F1322" s="133"/>
      <c r="G1322" s="133"/>
      <c r="H1322" s="133"/>
      <c r="I1322" s="133"/>
      <c r="J1322" s="133"/>
      <c r="K1322" s="133"/>
      <c r="L1322" s="133"/>
      <c r="M1322" s="133"/>
      <c r="N1322" s="133"/>
      <c r="O1322" s="133"/>
      <c r="P1322" s="134"/>
      <c r="Q1322" s="146"/>
      <c r="R1322" s="17"/>
      <c r="S1322" s="17"/>
      <c r="T1322" s="75"/>
      <c r="U1322" s="75"/>
      <c r="V1322" s="75"/>
      <c r="W1322" s="75"/>
      <c r="X1322" s="75"/>
    </row>
    <row r="1323">
      <c r="A1323" s="17"/>
      <c r="B1323" s="17"/>
      <c r="C1323" s="133"/>
      <c r="D1323" s="133"/>
      <c r="E1323" s="17"/>
      <c r="F1323" s="133"/>
      <c r="G1323" s="133"/>
      <c r="H1323" s="133"/>
      <c r="I1323" s="133"/>
      <c r="J1323" s="133"/>
      <c r="K1323" s="133"/>
      <c r="L1323" s="133"/>
      <c r="M1323" s="133"/>
      <c r="N1323" s="133"/>
      <c r="O1323" s="133"/>
      <c r="P1323" s="134"/>
      <c r="Q1323" s="146"/>
      <c r="R1323" s="17"/>
      <c r="S1323" s="17"/>
      <c r="T1323" s="75"/>
      <c r="U1323" s="75"/>
      <c r="V1323" s="75"/>
      <c r="W1323" s="75"/>
      <c r="X1323" s="75"/>
    </row>
    <row r="1324">
      <c r="A1324" s="17"/>
      <c r="B1324" s="17"/>
      <c r="C1324" s="133"/>
      <c r="D1324" s="133"/>
      <c r="E1324" s="17"/>
      <c r="F1324" s="133"/>
      <c r="G1324" s="133"/>
      <c r="H1324" s="133"/>
      <c r="I1324" s="133"/>
      <c r="J1324" s="133"/>
      <c r="K1324" s="133"/>
      <c r="L1324" s="133"/>
      <c r="M1324" s="133"/>
      <c r="N1324" s="133"/>
      <c r="O1324" s="133"/>
      <c r="P1324" s="134"/>
      <c r="Q1324" s="146"/>
      <c r="R1324" s="17"/>
      <c r="S1324" s="17"/>
      <c r="T1324" s="75"/>
      <c r="U1324" s="75"/>
      <c r="V1324" s="75"/>
      <c r="W1324" s="75"/>
      <c r="X1324" s="75"/>
    </row>
    <row r="1325">
      <c r="A1325" s="17"/>
      <c r="B1325" s="17"/>
      <c r="C1325" s="133"/>
      <c r="D1325" s="133"/>
      <c r="E1325" s="17"/>
      <c r="F1325" s="133"/>
      <c r="G1325" s="133"/>
      <c r="H1325" s="133"/>
      <c r="I1325" s="133"/>
      <c r="J1325" s="133"/>
      <c r="K1325" s="133"/>
      <c r="L1325" s="133"/>
      <c r="M1325" s="133"/>
      <c r="N1325" s="133"/>
      <c r="O1325" s="133"/>
      <c r="P1325" s="134"/>
      <c r="Q1325" s="146"/>
      <c r="R1325" s="17"/>
      <c r="S1325" s="17"/>
      <c r="T1325" s="75"/>
      <c r="U1325" s="75"/>
      <c r="V1325" s="75"/>
      <c r="W1325" s="75"/>
      <c r="X1325" s="75"/>
    </row>
    <row r="1326">
      <c r="A1326" s="17"/>
      <c r="B1326" s="17"/>
      <c r="C1326" s="133"/>
      <c r="D1326" s="133"/>
      <c r="E1326" s="17"/>
      <c r="F1326" s="133"/>
      <c r="G1326" s="133"/>
      <c r="H1326" s="133"/>
      <c r="I1326" s="133"/>
      <c r="J1326" s="133"/>
      <c r="K1326" s="133"/>
      <c r="L1326" s="133"/>
      <c r="M1326" s="133"/>
      <c r="N1326" s="133"/>
      <c r="O1326" s="133"/>
      <c r="P1326" s="134"/>
      <c r="Q1326" s="146"/>
      <c r="R1326" s="17"/>
      <c r="S1326" s="17"/>
      <c r="T1326" s="75"/>
      <c r="U1326" s="75"/>
      <c r="V1326" s="75"/>
      <c r="W1326" s="75"/>
      <c r="X1326" s="75"/>
    </row>
    <row r="1327">
      <c r="A1327" s="17"/>
      <c r="B1327" s="17"/>
      <c r="C1327" s="133"/>
      <c r="D1327" s="133"/>
      <c r="E1327" s="17"/>
      <c r="F1327" s="133"/>
      <c r="G1327" s="133"/>
      <c r="H1327" s="133"/>
      <c r="I1327" s="133"/>
      <c r="J1327" s="133"/>
      <c r="K1327" s="133"/>
      <c r="L1327" s="133"/>
      <c r="M1327" s="133"/>
      <c r="N1327" s="133"/>
      <c r="O1327" s="133"/>
      <c r="P1327" s="134"/>
      <c r="Q1327" s="146"/>
      <c r="R1327" s="17"/>
      <c r="S1327" s="17"/>
      <c r="T1327" s="75"/>
      <c r="U1327" s="75"/>
      <c r="V1327" s="75"/>
      <c r="W1327" s="75"/>
      <c r="X1327" s="75"/>
    </row>
    <row r="1328">
      <c r="A1328" s="17"/>
      <c r="B1328" s="17"/>
      <c r="C1328" s="133"/>
      <c r="D1328" s="133"/>
      <c r="E1328" s="17"/>
      <c r="F1328" s="133"/>
      <c r="G1328" s="133"/>
      <c r="H1328" s="133"/>
      <c r="I1328" s="133"/>
      <c r="J1328" s="133"/>
      <c r="K1328" s="133"/>
      <c r="L1328" s="133"/>
      <c r="M1328" s="133"/>
      <c r="N1328" s="133"/>
      <c r="O1328" s="133"/>
      <c r="P1328" s="134"/>
      <c r="Q1328" s="146"/>
      <c r="R1328" s="17"/>
      <c r="S1328" s="17"/>
      <c r="T1328" s="75"/>
      <c r="U1328" s="75"/>
      <c r="V1328" s="75"/>
      <c r="W1328" s="75"/>
      <c r="X1328" s="75"/>
    </row>
    <row r="1329">
      <c r="A1329" s="17"/>
      <c r="B1329" s="17"/>
      <c r="C1329" s="133"/>
      <c r="D1329" s="133"/>
      <c r="E1329" s="17"/>
      <c r="F1329" s="133"/>
      <c r="G1329" s="133"/>
      <c r="H1329" s="133"/>
      <c r="I1329" s="133"/>
      <c r="J1329" s="133"/>
      <c r="K1329" s="133"/>
      <c r="L1329" s="133"/>
      <c r="M1329" s="133"/>
      <c r="N1329" s="133"/>
      <c r="O1329" s="133"/>
      <c r="P1329" s="134"/>
      <c r="Q1329" s="146"/>
      <c r="R1329" s="17"/>
      <c r="S1329" s="17"/>
      <c r="T1329" s="75"/>
      <c r="U1329" s="75"/>
      <c r="V1329" s="75"/>
      <c r="W1329" s="75"/>
      <c r="X1329" s="75"/>
    </row>
    <row r="1330">
      <c r="A1330" s="17"/>
      <c r="B1330" s="17"/>
      <c r="C1330" s="133"/>
      <c r="D1330" s="133"/>
      <c r="E1330" s="17"/>
      <c r="F1330" s="133"/>
      <c r="G1330" s="133"/>
      <c r="H1330" s="133"/>
      <c r="I1330" s="133"/>
      <c r="J1330" s="133"/>
      <c r="K1330" s="133"/>
      <c r="L1330" s="133"/>
      <c r="M1330" s="133"/>
      <c r="N1330" s="133"/>
      <c r="O1330" s="133"/>
      <c r="P1330" s="134"/>
      <c r="Q1330" s="146"/>
      <c r="R1330" s="17"/>
      <c r="S1330" s="17"/>
      <c r="T1330" s="75"/>
      <c r="U1330" s="75"/>
      <c r="V1330" s="75"/>
      <c r="W1330" s="75"/>
      <c r="X1330" s="75"/>
    </row>
    <row r="1331">
      <c r="A1331" s="17"/>
      <c r="B1331" s="17"/>
      <c r="C1331" s="133"/>
      <c r="D1331" s="133"/>
      <c r="E1331" s="17"/>
      <c r="F1331" s="133"/>
      <c r="G1331" s="133"/>
      <c r="H1331" s="133"/>
      <c r="I1331" s="133"/>
      <c r="J1331" s="133"/>
      <c r="K1331" s="133"/>
      <c r="L1331" s="133"/>
      <c r="M1331" s="133"/>
      <c r="N1331" s="133"/>
      <c r="O1331" s="133"/>
      <c r="P1331" s="134"/>
      <c r="Q1331" s="146"/>
      <c r="R1331" s="17"/>
      <c r="S1331" s="17"/>
      <c r="T1331" s="75"/>
      <c r="U1331" s="75"/>
      <c r="V1331" s="75"/>
      <c r="W1331" s="75"/>
      <c r="X1331" s="75"/>
    </row>
    <row r="1332">
      <c r="A1332" s="17"/>
      <c r="B1332" s="17"/>
      <c r="C1332" s="133"/>
      <c r="D1332" s="133"/>
      <c r="E1332" s="17"/>
      <c r="F1332" s="133"/>
      <c r="G1332" s="133"/>
      <c r="H1332" s="133"/>
      <c r="I1332" s="133"/>
      <c r="J1332" s="133"/>
      <c r="K1332" s="133"/>
      <c r="L1332" s="133"/>
      <c r="M1332" s="133"/>
      <c r="N1332" s="133"/>
      <c r="O1332" s="133"/>
      <c r="P1332" s="134"/>
      <c r="Q1332" s="146"/>
      <c r="R1332" s="17"/>
      <c r="S1332" s="17"/>
      <c r="T1332" s="75"/>
      <c r="U1332" s="75"/>
      <c r="V1332" s="75"/>
      <c r="W1332" s="75"/>
      <c r="X1332" s="75"/>
    </row>
    <row r="1333">
      <c r="A1333" s="17"/>
      <c r="B1333" s="17"/>
      <c r="C1333" s="133"/>
      <c r="D1333" s="133"/>
      <c r="E1333" s="17"/>
      <c r="F1333" s="133"/>
      <c r="G1333" s="133"/>
      <c r="H1333" s="133"/>
      <c r="I1333" s="133"/>
      <c r="J1333" s="133"/>
      <c r="K1333" s="133"/>
      <c r="L1333" s="133"/>
      <c r="M1333" s="133"/>
      <c r="N1333" s="133"/>
      <c r="O1333" s="133"/>
      <c r="P1333" s="134"/>
      <c r="Q1333" s="146"/>
      <c r="R1333" s="17"/>
      <c r="S1333" s="17"/>
      <c r="T1333" s="75"/>
      <c r="U1333" s="75"/>
      <c r="V1333" s="75"/>
      <c r="W1333" s="75"/>
      <c r="X1333" s="75"/>
    </row>
    <row r="1334">
      <c r="A1334" s="17"/>
      <c r="B1334" s="17"/>
      <c r="C1334" s="133"/>
      <c r="D1334" s="133"/>
      <c r="E1334" s="17"/>
      <c r="F1334" s="133"/>
      <c r="G1334" s="133"/>
      <c r="H1334" s="133"/>
      <c r="I1334" s="133"/>
      <c r="J1334" s="133"/>
      <c r="K1334" s="133"/>
      <c r="L1334" s="133"/>
      <c r="M1334" s="133"/>
      <c r="N1334" s="133"/>
      <c r="O1334" s="133"/>
      <c r="P1334" s="134"/>
      <c r="Q1334" s="146"/>
      <c r="R1334" s="17"/>
      <c r="S1334" s="17"/>
      <c r="T1334" s="75"/>
      <c r="U1334" s="75"/>
      <c r="V1334" s="75"/>
      <c r="W1334" s="75"/>
      <c r="X1334" s="75"/>
    </row>
    <row r="1335">
      <c r="A1335" s="17"/>
      <c r="B1335" s="17"/>
      <c r="C1335" s="133"/>
      <c r="D1335" s="133"/>
      <c r="E1335" s="17"/>
      <c r="F1335" s="133"/>
      <c r="G1335" s="133"/>
      <c r="H1335" s="133"/>
      <c r="I1335" s="133"/>
      <c r="J1335" s="133"/>
      <c r="K1335" s="133"/>
      <c r="L1335" s="133"/>
      <c r="M1335" s="133"/>
      <c r="N1335" s="133"/>
      <c r="O1335" s="133"/>
      <c r="P1335" s="134"/>
      <c r="Q1335" s="146"/>
      <c r="R1335" s="17"/>
      <c r="S1335" s="17"/>
      <c r="T1335" s="75"/>
      <c r="U1335" s="75"/>
      <c r="V1335" s="75"/>
      <c r="W1335" s="75"/>
      <c r="X1335" s="75"/>
    </row>
    <row r="1336">
      <c r="A1336" s="17"/>
      <c r="B1336" s="17"/>
      <c r="C1336" s="133"/>
      <c r="D1336" s="133"/>
      <c r="E1336" s="17"/>
      <c r="F1336" s="133"/>
      <c r="G1336" s="133"/>
      <c r="H1336" s="133"/>
      <c r="I1336" s="133"/>
      <c r="J1336" s="133"/>
      <c r="K1336" s="133"/>
      <c r="L1336" s="133"/>
      <c r="M1336" s="133"/>
      <c r="N1336" s="133"/>
      <c r="O1336" s="133"/>
      <c r="P1336" s="134"/>
      <c r="Q1336" s="146"/>
      <c r="R1336" s="17"/>
      <c r="S1336" s="17"/>
      <c r="T1336" s="75"/>
      <c r="U1336" s="75"/>
      <c r="V1336" s="75"/>
      <c r="W1336" s="75"/>
      <c r="X1336" s="75"/>
    </row>
    <row r="1337">
      <c r="A1337" s="17"/>
      <c r="B1337" s="17"/>
      <c r="C1337" s="133"/>
      <c r="D1337" s="133"/>
      <c r="E1337" s="17"/>
      <c r="F1337" s="133"/>
      <c r="G1337" s="133"/>
      <c r="H1337" s="133"/>
      <c r="I1337" s="133"/>
      <c r="J1337" s="133"/>
      <c r="K1337" s="133"/>
      <c r="L1337" s="133"/>
      <c r="M1337" s="133"/>
      <c r="N1337" s="133"/>
      <c r="O1337" s="133"/>
      <c r="P1337" s="134"/>
      <c r="Q1337" s="146"/>
      <c r="R1337" s="17"/>
      <c r="S1337" s="17"/>
      <c r="T1337" s="75"/>
      <c r="U1337" s="75"/>
      <c r="V1337" s="75"/>
      <c r="W1337" s="75"/>
      <c r="X1337" s="75"/>
    </row>
    <row r="1338">
      <c r="A1338" s="17"/>
      <c r="B1338" s="17"/>
      <c r="C1338" s="133"/>
      <c r="D1338" s="133"/>
      <c r="E1338" s="17"/>
      <c r="F1338" s="133"/>
      <c r="G1338" s="133"/>
      <c r="H1338" s="133"/>
      <c r="I1338" s="133"/>
      <c r="J1338" s="133"/>
      <c r="K1338" s="133"/>
      <c r="L1338" s="133"/>
      <c r="M1338" s="133"/>
      <c r="N1338" s="133"/>
      <c r="O1338" s="133"/>
      <c r="P1338" s="134"/>
      <c r="Q1338" s="146"/>
      <c r="R1338" s="17"/>
      <c r="S1338" s="17"/>
      <c r="T1338" s="75"/>
      <c r="U1338" s="75"/>
      <c r="V1338" s="75"/>
      <c r="W1338" s="75"/>
      <c r="X1338" s="75"/>
    </row>
    <row r="1339">
      <c r="A1339" s="17"/>
      <c r="B1339" s="17"/>
      <c r="C1339" s="133"/>
      <c r="D1339" s="133"/>
      <c r="E1339" s="17"/>
      <c r="F1339" s="133"/>
      <c r="G1339" s="133"/>
      <c r="H1339" s="133"/>
      <c r="I1339" s="133"/>
      <c r="J1339" s="133"/>
      <c r="K1339" s="133"/>
      <c r="L1339" s="133"/>
      <c r="M1339" s="133"/>
      <c r="N1339" s="133"/>
      <c r="O1339" s="133"/>
      <c r="P1339" s="134"/>
      <c r="Q1339" s="146"/>
      <c r="R1339" s="17"/>
      <c r="S1339" s="17"/>
      <c r="T1339" s="75"/>
      <c r="U1339" s="75"/>
      <c r="V1339" s="75"/>
      <c r="W1339" s="75"/>
      <c r="X1339" s="75"/>
    </row>
    <row r="1340">
      <c r="A1340" s="17"/>
      <c r="B1340" s="17"/>
      <c r="C1340" s="133"/>
      <c r="D1340" s="133"/>
      <c r="E1340" s="17"/>
      <c r="F1340" s="133"/>
      <c r="G1340" s="133"/>
      <c r="H1340" s="133"/>
      <c r="I1340" s="133"/>
      <c r="J1340" s="133"/>
      <c r="K1340" s="133"/>
      <c r="L1340" s="133"/>
      <c r="M1340" s="133"/>
      <c r="N1340" s="133"/>
      <c r="O1340" s="133"/>
      <c r="P1340" s="134"/>
      <c r="Q1340" s="146"/>
      <c r="R1340" s="17"/>
      <c r="S1340" s="17"/>
      <c r="T1340" s="75"/>
      <c r="U1340" s="75"/>
      <c r="V1340" s="75"/>
      <c r="W1340" s="75"/>
      <c r="X1340" s="75"/>
    </row>
    <row r="1341">
      <c r="A1341" s="17"/>
      <c r="B1341" s="17"/>
      <c r="C1341" s="133"/>
      <c r="D1341" s="133"/>
      <c r="E1341" s="17"/>
      <c r="F1341" s="133"/>
      <c r="G1341" s="133"/>
      <c r="H1341" s="133"/>
      <c r="I1341" s="133"/>
      <c r="J1341" s="133"/>
      <c r="K1341" s="133"/>
      <c r="L1341" s="133"/>
      <c r="M1341" s="133"/>
      <c r="N1341" s="133"/>
      <c r="O1341" s="133"/>
      <c r="P1341" s="134"/>
      <c r="Q1341" s="146"/>
      <c r="R1341" s="17"/>
      <c r="S1341" s="17"/>
      <c r="T1341" s="75"/>
      <c r="U1341" s="75"/>
      <c r="V1341" s="75"/>
      <c r="W1341" s="75"/>
      <c r="X1341" s="75"/>
    </row>
    <row r="1342">
      <c r="A1342" s="17"/>
      <c r="B1342" s="17"/>
      <c r="C1342" s="133"/>
      <c r="D1342" s="133"/>
      <c r="E1342" s="17"/>
      <c r="F1342" s="133"/>
      <c r="G1342" s="133"/>
      <c r="H1342" s="133"/>
      <c r="I1342" s="133"/>
      <c r="J1342" s="133"/>
      <c r="K1342" s="133"/>
      <c r="L1342" s="133"/>
      <c r="M1342" s="133"/>
      <c r="N1342" s="133"/>
      <c r="O1342" s="133"/>
      <c r="P1342" s="134"/>
      <c r="Q1342" s="146"/>
      <c r="R1342" s="17"/>
      <c r="S1342" s="17"/>
      <c r="T1342" s="75"/>
      <c r="U1342" s="75"/>
      <c r="V1342" s="75"/>
      <c r="W1342" s="75"/>
      <c r="X1342" s="75"/>
    </row>
    <row r="1343">
      <c r="A1343" s="17"/>
      <c r="B1343" s="17"/>
      <c r="C1343" s="133"/>
      <c r="D1343" s="133"/>
      <c r="E1343" s="17"/>
      <c r="F1343" s="133"/>
      <c r="G1343" s="133"/>
      <c r="H1343" s="133"/>
      <c r="I1343" s="133"/>
      <c r="J1343" s="133"/>
      <c r="K1343" s="133"/>
      <c r="L1343" s="133"/>
      <c r="M1343" s="133"/>
      <c r="N1343" s="133"/>
      <c r="O1343" s="133"/>
      <c r="P1343" s="134"/>
      <c r="Q1343" s="146"/>
      <c r="R1343" s="17"/>
      <c r="S1343" s="17"/>
      <c r="T1343" s="75"/>
      <c r="U1343" s="75"/>
      <c r="V1343" s="75"/>
      <c r="W1343" s="75"/>
      <c r="X1343" s="75"/>
    </row>
    <row r="1344">
      <c r="A1344" s="17"/>
      <c r="B1344" s="17"/>
      <c r="C1344" s="133"/>
      <c r="D1344" s="133"/>
      <c r="E1344" s="17"/>
      <c r="F1344" s="133"/>
      <c r="G1344" s="133"/>
      <c r="H1344" s="133"/>
      <c r="I1344" s="133"/>
      <c r="J1344" s="133"/>
      <c r="K1344" s="133"/>
      <c r="L1344" s="133"/>
      <c r="M1344" s="133"/>
      <c r="N1344" s="133"/>
      <c r="O1344" s="133"/>
      <c r="P1344" s="134"/>
      <c r="Q1344" s="146"/>
      <c r="R1344" s="17"/>
      <c r="S1344" s="17"/>
      <c r="T1344" s="75"/>
      <c r="U1344" s="75"/>
      <c r="V1344" s="75"/>
      <c r="W1344" s="75"/>
      <c r="X1344" s="75"/>
    </row>
    <row r="1345">
      <c r="A1345" s="17"/>
      <c r="B1345" s="17"/>
      <c r="C1345" s="133"/>
      <c r="D1345" s="133"/>
      <c r="E1345" s="17"/>
      <c r="F1345" s="133"/>
      <c r="G1345" s="133"/>
      <c r="H1345" s="133"/>
      <c r="I1345" s="133"/>
      <c r="J1345" s="133"/>
      <c r="K1345" s="133"/>
      <c r="L1345" s="133"/>
      <c r="M1345" s="133"/>
      <c r="N1345" s="133"/>
      <c r="O1345" s="133"/>
      <c r="P1345" s="134"/>
      <c r="Q1345" s="146"/>
      <c r="R1345" s="17"/>
      <c r="S1345" s="17"/>
      <c r="T1345" s="75"/>
      <c r="U1345" s="75"/>
      <c r="V1345" s="75"/>
      <c r="W1345" s="75"/>
      <c r="X1345" s="75"/>
    </row>
    <row r="1346">
      <c r="A1346" s="17"/>
      <c r="B1346" s="17"/>
      <c r="C1346" s="133"/>
      <c r="D1346" s="133"/>
      <c r="E1346" s="17"/>
      <c r="F1346" s="133"/>
      <c r="G1346" s="133"/>
      <c r="H1346" s="133"/>
      <c r="I1346" s="133"/>
      <c r="J1346" s="133"/>
      <c r="K1346" s="133"/>
      <c r="L1346" s="133"/>
      <c r="M1346" s="133"/>
      <c r="N1346" s="133"/>
      <c r="O1346" s="133"/>
      <c r="P1346" s="134"/>
      <c r="Q1346" s="146"/>
      <c r="R1346" s="17"/>
      <c r="S1346" s="17"/>
      <c r="T1346" s="75"/>
      <c r="U1346" s="75"/>
      <c r="V1346" s="75"/>
      <c r="W1346" s="75"/>
      <c r="X1346" s="75"/>
    </row>
    <row r="1347">
      <c r="A1347" s="17"/>
      <c r="B1347" s="17"/>
      <c r="C1347" s="133"/>
      <c r="D1347" s="133"/>
      <c r="E1347" s="17"/>
      <c r="F1347" s="133"/>
      <c r="G1347" s="133"/>
      <c r="H1347" s="133"/>
      <c r="I1347" s="133"/>
      <c r="J1347" s="133"/>
      <c r="K1347" s="133"/>
      <c r="L1347" s="133"/>
      <c r="M1347" s="133"/>
      <c r="N1347" s="133"/>
      <c r="O1347" s="133"/>
      <c r="P1347" s="134"/>
      <c r="Q1347" s="146"/>
      <c r="R1347" s="17"/>
      <c r="S1347" s="17"/>
      <c r="T1347" s="75"/>
      <c r="U1347" s="75"/>
      <c r="V1347" s="75"/>
      <c r="W1347" s="75"/>
      <c r="X1347" s="75"/>
    </row>
    <row r="1348">
      <c r="A1348" s="17"/>
      <c r="B1348" s="17"/>
      <c r="C1348" s="133"/>
      <c r="D1348" s="133"/>
      <c r="E1348" s="17"/>
      <c r="F1348" s="133"/>
      <c r="G1348" s="133"/>
      <c r="H1348" s="133"/>
      <c r="I1348" s="133"/>
      <c r="J1348" s="133"/>
      <c r="K1348" s="133"/>
      <c r="L1348" s="133"/>
      <c r="M1348" s="133"/>
      <c r="N1348" s="133"/>
      <c r="O1348" s="133"/>
      <c r="P1348" s="134"/>
      <c r="Q1348" s="146"/>
      <c r="R1348" s="17"/>
      <c r="S1348" s="17"/>
      <c r="T1348" s="75"/>
      <c r="U1348" s="75"/>
      <c r="V1348" s="75"/>
      <c r="W1348" s="75"/>
      <c r="X1348" s="75"/>
    </row>
    <row r="1349">
      <c r="A1349" s="17"/>
      <c r="B1349" s="17"/>
      <c r="C1349" s="133"/>
      <c r="D1349" s="133"/>
      <c r="E1349" s="17"/>
      <c r="F1349" s="133"/>
      <c r="G1349" s="133"/>
      <c r="H1349" s="133"/>
      <c r="I1349" s="133"/>
      <c r="J1349" s="133"/>
      <c r="K1349" s="133"/>
      <c r="L1349" s="133"/>
      <c r="M1349" s="133"/>
      <c r="N1349" s="133"/>
      <c r="O1349" s="133"/>
      <c r="P1349" s="134"/>
      <c r="Q1349" s="146"/>
      <c r="R1349" s="17"/>
      <c r="S1349" s="17"/>
      <c r="T1349" s="75"/>
      <c r="U1349" s="75"/>
      <c r="V1349" s="75"/>
      <c r="W1349" s="75"/>
      <c r="X1349" s="75"/>
    </row>
    <row r="1350">
      <c r="A1350" s="17"/>
      <c r="B1350" s="17"/>
      <c r="C1350" s="133"/>
      <c r="D1350" s="133"/>
      <c r="E1350" s="17"/>
      <c r="F1350" s="133"/>
      <c r="G1350" s="133"/>
      <c r="H1350" s="133"/>
      <c r="I1350" s="133"/>
      <c r="J1350" s="133"/>
      <c r="K1350" s="133"/>
      <c r="L1350" s="133"/>
      <c r="M1350" s="133"/>
      <c r="N1350" s="133"/>
      <c r="O1350" s="133"/>
      <c r="P1350" s="134"/>
      <c r="Q1350" s="146"/>
      <c r="R1350" s="17"/>
      <c r="S1350" s="17"/>
      <c r="T1350" s="75"/>
      <c r="U1350" s="75"/>
      <c r="V1350" s="75"/>
      <c r="W1350" s="75"/>
      <c r="X1350" s="75"/>
    </row>
    <row r="1351">
      <c r="A1351" s="17"/>
      <c r="B1351" s="17"/>
      <c r="C1351" s="133"/>
      <c r="D1351" s="133"/>
      <c r="E1351" s="17"/>
      <c r="F1351" s="133"/>
      <c r="G1351" s="133"/>
      <c r="H1351" s="133"/>
      <c r="I1351" s="133"/>
      <c r="J1351" s="133"/>
      <c r="K1351" s="133"/>
      <c r="L1351" s="133"/>
      <c r="M1351" s="133"/>
      <c r="N1351" s="133"/>
      <c r="O1351" s="133"/>
      <c r="P1351" s="134"/>
      <c r="Q1351" s="146"/>
      <c r="R1351" s="17"/>
      <c r="S1351" s="17"/>
      <c r="T1351" s="75"/>
      <c r="U1351" s="75"/>
      <c r="V1351" s="75"/>
      <c r="W1351" s="75"/>
      <c r="X1351" s="75"/>
    </row>
    <row r="1352">
      <c r="A1352" s="17"/>
      <c r="B1352" s="17"/>
      <c r="C1352" s="133"/>
      <c r="D1352" s="133"/>
      <c r="E1352" s="17"/>
      <c r="F1352" s="133"/>
      <c r="G1352" s="133"/>
      <c r="H1352" s="133"/>
      <c r="I1352" s="133"/>
      <c r="J1352" s="133"/>
      <c r="K1352" s="133"/>
      <c r="L1352" s="133"/>
      <c r="M1352" s="133"/>
      <c r="N1352" s="133"/>
      <c r="O1352" s="133"/>
      <c r="P1352" s="134"/>
      <c r="Q1352" s="146"/>
      <c r="R1352" s="17"/>
      <c r="S1352" s="17"/>
      <c r="T1352" s="75"/>
      <c r="U1352" s="75"/>
      <c r="V1352" s="75"/>
      <c r="W1352" s="75"/>
      <c r="X1352" s="75"/>
    </row>
    <row r="1353">
      <c r="A1353" s="17"/>
      <c r="B1353" s="17"/>
      <c r="C1353" s="133"/>
      <c r="D1353" s="133"/>
      <c r="E1353" s="17"/>
      <c r="F1353" s="133"/>
      <c r="G1353" s="133"/>
      <c r="H1353" s="133"/>
      <c r="I1353" s="133"/>
      <c r="J1353" s="133"/>
      <c r="K1353" s="133"/>
      <c r="L1353" s="133"/>
      <c r="M1353" s="133"/>
      <c r="N1353" s="133"/>
      <c r="O1353" s="133"/>
      <c r="P1353" s="134"/>
      <c r="Q1353" s="146"/>
      <c r="R1353" s="17"/>
      <c r="S1353" s="17"/>
      <c r="T1353" s="75"/>
      <c r="U1353" s="75"/>
      <c r="V1353" s="75"/>
      <c r="W1353" s="75"/>
      <c r="X1353" s="75"/>
    </row>
    <row r="1354">
      <c r="A1354" s="17"/>
      <c r="B1354" s="17"/>
      <c r="C1354" s="133"/>
      <c r="D1354" s="133"/>
      <c r="E1354" s="17"/>
      <c r="F1354" s="133"/>
      <c r="G1354" s="133"/>
      <c r="H1354" s="133"/>
      <c r="I1354" s="133"/>
      <c r="J1354" s="133"/>
      <c r="K1354" s="133"/>
      <c r="L1354" s="133"/>
      <c r="M1354" s="133"/>
      <c r="N1354" s="133"/>
      <c r="O1354" s="133"/>
      <c r="P1354" s="134"/>
      <c r="Q1354" s="146"/>
      <c r="R1354" s="17"/>
      <c r="S1354" s="17"/>
      <c r="T1354" s="75"/>
      <c r="U1354" s="75"/>
      <c r="V1354" s="75"/>
      <c r="W1354" s="75"/>
      <c r="X1354" s="75"/>
    </row>
    <row r="1355">
      <c r="A1355" s="17"/>
      <c r="B1355" s="17"/>
      <c r="C1355" s="133"/>
      <c r="D1355" s="133"/>
      <c r="E1355" s="17"/>
      <c r="F1355" s="133"/>
      <c r="G1355" s="133"/>
      <c r="H1355" s="133"/>
      <c r="I1355" s="133"/>
      <c r="J1355" s="133"/>
      <c r="K1355" s="133"/>
      <c r="L1355" s="133"/>
      <c r="M1355" s="133"/>
      <c r="N1355" s="133"/>
      <c r="O1355" s="133"/>
      <c r="P1355" s="134"/>
      <c r="Q1355" s="146"/>
      <c r="R1355" s="17"/>
      <c r="S1355" s="17"/>
      <c r="T1355" s="75"/>
      <c r="U1355" s="75"/>
      <c r="V1355" s="75"/>
      <c r="W1355" s="75"/>
      <c r="X1355" s="75"/>
    </row>
    <row r="1356">
      <c r="A1356" s="17"/>
      <c r="B1356" s="17"/>
      <c r="C1356" s="133"/>
      <c r="D1356" s="133"/>
      <c r="E1356" s="17"/>
      <c r="F1356" s="133"/>
      <c r="G1356" s="133"/>
      <c r="H1356" s="133"/>
      <c r="I1356" s="133"/>
      <c r="J1356" s="133"/>
      <c r="K1356" s="133"/>
      <c r="L1356" s="133"/>
      <c r="M1356" s="133"/>
      <c r="N1356" s="133"/>
      <c r="O1356" s="133"/>
      <c r="P1356" s="134"/>
      <c r="Q1356" s="146"/>
      <c r="R1356" s="17"/>
      <c r="S1356" s="17"/>
      <c r="T1356" s="75"/>
      <c r="U1356" s="75"/>
      <c r="V1356" s="75"/>
      <c r="W1356" s="75"/>
      <c r="X1356" s="75"/>
    </row>
    <row r="1357">
      <c r="A1357" s="17"/>
      <c r="B1357" s="17"/>
      <c r="C1357" s="133"/>
      <c r="D1357" s="133"/>
      <c r="E1357" s="17"/>
      <c r="F1357" s="133"/>
      <c r="G1357" s="133"/>
      <c r="H1357" s="133"/>
      <c r="I1357" s="133"/>
      <c r="J1357" s="133"/>
      <c r="K1357" s="133"/>
      <c r="L1357" s="133"/>
      <c r="M1357" s="133"/>
      <c r="N1357" s="133"/>
      <c r="O1357" s="133"/>
      <c r="P1357" s="134"/>
      <c r="Q1357" s="146"/>
      <c r="R1357" s="17"/>
      <c r="S1357" s="17"/>
      <c r="T1357" s="75"/>
      <c r="U1357" s="75"/>
      <c r="V1357" s="75"/>
      <c r="W1357" s="75"/>
      <c r="X1357" s="75"/>
    </row>
    <row r="1358">
      <c r="A1358" s="17"/>
      <c r="B1358" s="17"/>
      <c r="C1358" s="133"/>
      <c r="D1358" s="133"/>
      <c r="E1358" s="17"/>
      <c r="F1358" s="133"/>
      <c r="G1358" s="133"/>
      <c r="H1358" s="133"/>
      <c r="I1358" s="133"/>
      <c r="J1358" s="133"/>
      <c r="K1358" s="133"/>
      <c r="L1358" s="133"/>
      <c r="M1358" s="133"/>
      <c r="N1358" s="133"/>
      <c r="O1358" s="133"/>
      <c r="P1358" s="134"/>
      <c r="Q1358" s="146"/>
      <c r="R1358" s="17"/>
      <c r="S1358" s="17"/>
      <c r="T1358" s="75"/>
      <c r="U1358" s="75"/>
      <c r="V1358" s="75"/>
      <c r="W1358" s="75"/>
      <c r="X1358" s="75"/>
    </row>
    <row r="1359">
      <c r="A1359" s="17"/>
      <c r="B1359" s="17"/>
      <c r="C1359" s="133"/>
      <c r="D1359" s="133"/>
      <c r="E1359" s="17"/>
      <c r="F1359" s="133"/>
      <c r="G1359" s="133"/>
      <c r="H1359" s="133"/>
      <c r="I1359" s="133"/>
      <c r="J1359" s="133"/>
      <c r="K1359" s="133"/>
      <c r="L1359" s="133"/>
      <c r="M1359" s="133"/>
      <c r="N1359" s="133"/>
      <c r="O1359" s="133"/>
      <c r="P1359" s="134"/>
      <c r="Q1359" s="146"/>
      <c r="R1359" s="17"/>
      <c r="S1359" s="17"/>
      <c r="T1359" s="75"/>
      <c r="U1359" s="75"/>
      <c r="V1359" s="75"/>
      <c r="W1359" s="75"/>
      <c r="X1359" s="75"/>
    </row>
    <row r="1360">
      <c r="A1360" s="17"/>
      <c r="B1360" s="17"/>
      <c r="C1360" s="133"/>
      <c r="D1360" s="133"/>
      <c r="E1360" s="17"/>
      <c r="F1360" s="133"/>
      <c r="G1360" s="133"/>
      <c r="H1360" s="133"/>
      <c r="I1360" s="133"/>
      <c r="J1360" s="133"/>
      <c r="K1360" s="133"/>
      <c r="L1360" s="133"/>
      <c r="M1360" s="133"/>
      <c r="N1360" s="133"/>
      <c r="O1360" s="133"/>
      <c r="P1360" s="134"/>
      <c r="Q1360" s="146"/>
      <c r="R1360" s="17"/>
      <c r="S1360" s="17"/>
      <c r="T1360" s="75"/>
      <c r="U1360" s="75"/>
      <c r="V1360" s="75"/>
      <c r="W1360" s="75"/>
      <c r="X1360" s="75"/>
    </row>
    <row r="1361">
      <c r="A1361" s="17"/>
      <c r="B1361" s="17"/>
      <c r="C1361" s="133"/>
      <c r="D1361" s="133"/>
      <c r="E1361" s="17"/>
      <c r="F1361" s="133"/>
      <c r="G1361" s="133"/>
      <c r="H1361" s="133"/>
      <c r="I1361" s="133"/>
      <c r="J1361" s="133"/>
      <c r="K1361" s="133"/>
      <c r="L1361" s="133"/>
      <c r="M1361" s="133"/>
      <c r="N1361" s="133"/>
      <c r="O1361" s="133"/>
      <c r="P1361" s="134"/>
      <c r="Q1361" s="146"/>
      <c r="R1361" s="17"/>
      <c r="S1361" s="17"/>
      <c r="T1361" s="75"/>
      <c r="U1361" s="75"/>
      <c r="V1361" s="75"/>
      <c r="W1361" s="75"/>
      <c r="X1361" s="75"/>
    </row>
    <row r="1362">
      <c r="A1362" s="17"/>
      <c r="B1362" s="17"/>
      <c r="C1362" s="133"/>
      <c r="D1362" s="133"/>
      <c r="E1362" s="17"/>
      <c r="F1362" s="133"/>
      <c r="G1362" s="133"/>
      <c r="H1362" s="133"/>
      <c r="I1362" s="133"/>
      <c r="J1362" s="133"/>
      <c r="K1362" s="133"/>
      <c r="L1362" s="133"/>
      <c r="M1362" s="133"/>
      <c r="N1362" s="133"/>
      <c r="O1362" s="133"/>
      <c r="P1362" s="134"/>
      <c r="Q1362" s="146"/>
      <c r="R1362" s="17"/>
      <c r="S1362" s="17"/>
      <c r="T1362" s="75"/>
      <c r="U1362" s="75"/>
      <c r="V1362" s="75"/>
      <c r="W1362" s="75"/>
      <c r="X1362" s="75"/>
    </row>
    <row r="1363">
      <c r="A1363" s="17"/>
      <c r="B1363" s="17"/>
      <c r="C1363" s="133"/>
      <c r="D1363" s="133"/>
      <c r="E1363" s="17"/>
      <c r="F1363" s="133"/>
      <c r="G1363" s="133"/>
      <c r="H1363" s="133"/>
      <c r="I1363" s="133"/>
      <c r="J1363" s="133"/>
      <c r="K1363" s="133"/>
      <c r="L1363" s="133"/>
      <c r="M1363" s="133"/>
      <c r="N1363" s="133"/>
      <c r="O1363" s="133"/>
      <c r="P1363" s="134"/>
      <c r="Q1363" s="146"/>
      <c r="R1363" s="17"/>
      <c r="S1363" s="17"/>
      <c r="T1363" s="75"/>
      <c r="U1363" s="75"/>
      <c r="V1363" s="75"/>
      <c r="W1363" s="75"/>
      <c r="X1363" s="75"/>
    </row>
    <row r="1364">
      <c r="A1364" s="17"/>
      <c r="B1364" s="17"/>
      <c r="C1364" s="133"/>
      <c r="D1364" s="133"/>
      <c r="E1364" s="17"/>
      <c r="F1364" s="133"/>
      <c r="G1364" s="133"/>
      <c r="H1364" s="133"/>
      <c r="I1364" s="133"/>
      <c r="J1364" s="133"/>
      <c r="K1364" s="133"/>
      <c r="L1364" s="133"/>
      <c r="M1364" s="133"/>
      <c r="N1364" s="133"/>
      <c r="O1364" s="133"/>
      <c r="P1364" s="134"/>
      <c r="Q1364" s="146"/>
      <c r="R1364" s="17"/>
      <c r="S1364" s="17"/>
      <c r="T1364" s="75"/>
      <c r="U1364" s="75"/>
      <c r="V1364" s="75"/>
      <c r="W1364" s="75"/>
      <c r="X1364" s="75"/>
    </row>
    <row r="1365">
      <c r="A1365" s="17"/>
      <c r="B1365" s="17"/>
      <c r="C1365" s="133"/>
      <c r="D1365" s="133"/>
      <c r="E1365" s="17"/>
      <c r="F1365" s="133"/>
      <c r="G1365" s="133"/>
      <c r="H1365" s="133"/>
      <c r="I1365" s="133"/>
      <c r="J1365" s="133"/>
      <c r="K1365" s="133"/>
      <c r="L1365" s="133"/>
      <c r="M1365" s="133"/>
      <c r="N1365" s="133"/>
      <c r="O1365" s="133"/>
      <c r="P1365" s="134"/>
      <c r="Q1365" s="146"/>
      <c r="R1365" s="17"/>
      <c r="S1365" s="17"/>
      <c r="T1365" s="75"/>
      <c r="U1365" s="75"/>
      <c r="V1365" s="75"/>
      <c r="W1365" s="75"/>
      <c r="X1365" s="75"/>
    </row>
    <row r="1366">
      <c r="A1366" s="17"/>
      <c r="B1366" s="17"/>
      <c r="C1366" s="133"/>
      <c r="D1366" s="133"/>
      <c r="E1366" s="17"/>
      <c r="F1366" s="133"/>
      <c r="G1366" s="133"/>
      <c r="H1366" s="133"/>
      <c r="I1366" s="133"/>
      <c r="J1366" s="133"/>
      <c r="K1366" s="133"/>
      <c r="L1366" s="133"/>
      <c r="M1366" s="133"/>
      <c r="N1366" s="133"/>
      <c r="O1366" s="133"/>
      <c r="P1366" s="134"/>
      <c r="Q1366" s="146"/>
      <c r="R1366" s="17"/>
      <c r="S1366" s="17"/>
      <c r="T1366" s="75"/>
      <c r="U1366" s="75"/>
      <c r="V1366" s="75"/>
      <c r="W1366" s="75"/>
      <c r="X1366" s="75"/>
    </row>
    <row r="1367">
      <c r="A1367" s="17"/>
      <c r="B1367" s="17"/>
      <c r="C1367" s="133"/>
      <c r="D1367" s="133"/>
      <c r="E1367" s="17"/>
      <c r="F1367" s="133"/>
      <c r="G1367" s="133"/>
      <c r="H1367" s="133"/>
      <c r="I1367" s="133"/>
      <c r="J1367" s="133"/>
      <c r="K1367" s="133"/>
      <c r="L1367" s="133"/>
      <c r="M1367" s="133"/>
      <c r="N1367" s="133"/>
      <c r="O1367" s="133"/>
      <c r="P1367" s="134"/>
      <c r="Q1367" s="146"/>
      <c r="R1367" s="17"/>
      <c r="S1367" s="17"/>
      <c r="T1367" s="75"/>
      <c r="U1367" s="75"/>
      <c r="V1367" s="75"/>
      <c r="W1367" s="75"/>
      <c r="X1367" s="75"/>
    </row>
    <row r="1368">
      <c r="A1368" s="17"/>
      <c r="B1368" s="17"/>
      <c r="C1368" s="133"/>
      <c r="D1368" s="133"/>
      <c r="E1368" s="17"/>
      <c r="F1368" s="133"/>
      <c r="G1368" s="133"/>
      <c r="H1368" s="133"/>
      <c r="I1368" s="133"/>
      <c r="J1368" s="133"/>
      <c r="K1368" s="133"/>
      <c r="L1368" s="133"/>
      <c r="M1368" s="133"/>
      <c r="N1368" s="133"/>
      <c r="O1368" s="133"/>
      <c r="P1368" s="134"/>
      <c r="Q1368" s="146"/>
      <c r="R1368" s="17"/>
      <c r="S1368" s="17"/>
      <c r="T1368" s="75"/>
      <c r="U1368" s="75"/>
      <c r="V1368" s="75"/>
      <c r="W1368" s="75"/>
      <c r="X1368" s="75"/>
    </row>
    <row r="1369">
      <c r="A1369" s="17"/>
      <c r="B1369" s="17"/>
      <c r="C1369" s="133"/>
      <c r="D1369" s="133"/>
      <c r="E1369" s="17"/>
      <c r="F1369" s="133"/>
      <c r="G1369" s="133"/>
      <c r="H1369" s="133"/>
      <c r="I1369" s="133"/>
      <c r="J1369" s="133"/>
      <c r="K1369" s="133"/>
      <c r="L1369" s="133"/>
      <c r="M1369" s="133"/>
      <c r="N1369" s="133"/>
      <c r="O1369" s="133"/>
      <c r="P1369" s="134"/>
      <c r="Q1369" s="146"/>
      <c r="R1369" s="17"/>
      <c r="S1369" s="17"/>
      <c r="T1369" s="75"/>
      <c r="U1369" s="75"/>
      <c r="V1369" s="75"/>
      <c r="W1369" s="75"/>
      <c r="X1369" s="75"/>
    </row>
    <row r="1370">
      <c r="A1370" s="17"/>
      <c r="B1370" s="17"/>
      <c r="C1370" s="133"/>
      <c r="D1370" s="133"/>
      <c r="E1370" s="17"/>
      <c r="F1370" s="133"/>
      <c r="G1370" s="133"/>
      <c r="H1370" s="133"/>
      <c r="I1370" s="133"/>
      <c r="J1370" s="133"/>
      <c r="K1370" s="133"/>
      <c r="L1370" s="133"/>
      <c r="M1370" s="133"/>
      <c r="N1370" s="133"/>
      <c r="O1370" s="133"/>
      <c r="P1370" s="134"/>
      <c r="Q1370" s="146"/>
      <c r="R1370" s="17"/>
      <c r="S1370" s="17"/>
      <c r="T1370" s="75"/>
      <c r="U1370" s="75"/>
      <c r="V1370" s="75"/>
      <c r="W1370" s="75"/>
      <c r="X1370" s="75"/>
    </row>
    <row r="1371">
      <c r="A1371" s="17"/>
      <c r="B1371" s="17"/>
      <c r="C1371" s="133"/>
      <c r="D1371" s="133"/>
      <c r="E1371" s="17"/>
      <c r="F1371" s="133"/>
      <c r="G1371" s="133"/>
      <c r="H1371" s="133"/>
      <c r="I1371" s="133"/>
      <c r="J1371" s="133"/>
      <c r="K1371" s="133"/>
      <c r="L1371" s="133"/>
      <c r="M1371" s="133"/>
      <c r="N1371" s="133"/>
      <c r="O1371" s="133"/>
      <c r="P1371" s="134"/>
      <c r="Q1371" s="146"/>
      <c r="R1371" s="17"/>
      <c r="S1371" s="17"/>
      <c r="T1371" s="75"/>
      <c r="U1371" s="75"/>
      <c r="V1371" s="75"/>
      <c r="W1371" s="75"/>
      <c r="X1371" s="75"/>
    </row>
    <row r="1372">
      <c r="A1372" s="17"/>
      <c r="B1372" s="17"/>
      <c r="C1372" s="133"/>
      <c r="D1372" s="133"/>
      <c r="E1372" s="17"/>
      <c r="F1372" s="133"/>
      <c r="G1372" s="133"/>
      <c r="H1372" s="133"/>
      <c r="I1372" s="133"/>
      <c r="J1372" s="133"/>
      <c r="K1372" s="133"/>
      <c r="L1372" s="133"/>
      <c r="M1372" s="133"/>
      <c r="N1372" s="133"/>
      <c r="O1372" s="133"/>
      <c r="P1372" s="134"/>
      <c r="Q1372" s="146"/>
      <c r="R1372" s="17"/>
      <c r="S1372" s="17"/>
      <c r="T1372" s="75"/>
      <c r="U1372" s="75"/>
      <c r="V1372" s="75"/>
      <c r="W1372" s="75"/>
      <c r="X1372" s="75"/>
    </row>
    <row r="1373">
      <c r="A1373" s="17"/>
      <c r="B1373" s="17"/>
      <c r="C1373" s="133"/>
      <c r="D1373" s="133"/>
      <c r="E1373" s="17"/>
      <c r="F1373" s="133"/>
      <c r="G1373" s="133"/>
      <c r="H1373" s="133"/>
      <c r="I1373" s="133"/>
      <c r="J1373" s="133"/>
      <c r="K1373" s="133"/>
      <c r="L1373" s="133"/>
      <c r="M1373" s="133"/>
      <c r="N1373" s="133"/>
      <c r="O1373" s="133"/>
      <c r="P1373" s="134"/>
      <c r="Q1373" s="146"/>
      <c r="R1373" s="17"/>
      <c r="S1373" s="17"/>
      <c r="T1373" s="75"/>
      <c r="U1373" s="75"/>
      <c r="V1373" s="75"/>
      <c r="W1373" s="75"/>
      <c r="X1373" s="75"/>
    </row>
    <row r="1374">
      <c r="A1374" s="17"/>
      <c r="B1374" s="17"/>
      <c r="C1374" s="133"/>
      <c r="D1374" s="133"/>
      <c r="E1374" s="17"/>
      <c r="F1374" s="133"/>
      <c r="G1374" s="133"/>
      <c r="H1374" s="133"/>
      <c r="I1374" s="133"/>
      <c r="J1374" s="133"/>
      <c r="K1374" s="133"/>
      <c r="L1374" s="133"/>
      <c r="M1374" s="133"/>
      <c r="N1374" s="133"/>
      <c r="O1374" s="133"/>
      <c r="P1374" s="134"/>
      <c r="Q1374" s="146"/>
      <c r="R1374" s="17"/>
      <c r="S1374" s="17"/>
      <c r="T1374" s="75"/>
      <c r="U1374" s="75"/>
      <c r="V1374" s="75"/>
      <c r="W1374" s="75"/>
      <c r="X1374" s="75"/>
    </row>
    <row r="1375">
      <c r="A1375" s="17"/>
      <c r="B1375" s="17"/>
      <c r="C1375" s="133"/>
      <c r="D1375" s="133"/>
      <c r="E1375" s="17"/>
      <c r="F1375" s="133"/>
      <c r="G1375" s="133"/>
      <c r="H1375" s="133"/>
      <c r="I1375" s="133"/>
      <c r="J1375" s="133"/>
      <c r="K1375" s="133"/>
      <c r="L1375" s="133"/>
      <c r="M1375" s="133"/>
      <c r="N1375" s="133"/>
      <c r="O1375" s="133"/>
      <c r="P1375" s="134"/>
      <c r="Q1375" s="146"/>
      <c r="R1375" s="17"/>
      <c r="S1375" s="17"/>
      <c r="T1375" s="75"/>
      <c r="U1375" s="75"/>
      <c r="V1375" s="75"/>
      <c r="W1375" s="75"/>
      <c r="X1375" s="75"/>
    </row>
    <row r="1376">
      <c r="A1376" s="17"/>
      <c r="B1376" s="17"/>
      <c r="C1376" s="133"/>
      <c r="D1376" s="133"/>
      <c r="E1376" s="17"/>
      <c r="F1376" s="133"/>
      <c r="G1376" s="133"/>
      <c r="H1376" s="133"/>
      <c r="I1376" s="133"/>
      <c r="J1376" s="133"/>
      <c r="K1376" s="133"/>
      <c r="L1376" s="133"/>
      <c r="M1376" s="133"/>
      <c r="N1376" s="133"/>
      <c r="O1376" s="133"/>
      <c r="P1376" s="134"/>
      <c r="Q1376" s="146"/>
      <c r="R1376" s="17"/>
      <c r="S1376" s="17"/>
      <c r="T1376" s="75"/>
      <c r="U1376" s="75"/>
      <c r="V1376" s="75"/>
      <c r="W1376" s="75"/>
      <c r="X1376" s="75"/>
    </row>
    <row r="1377">
      <c r="A1377" s="17"/>
      <c r="B1377" s="17"/>
      <c r="C1377" s="133"/>
      <c r="D1377" s="133"/>
      <c r="E1377" s="17"/>
      <c r="F1377" s="133"/>
      <c r="G1377" s="133"/>
      <c r="H1377" s="133"/>
      <c r="I1377" s="133"/>
      <c r="J1377" s="133"/>
      <c r="K1377" s="133"/>
      <c r="L1377" s="133"/>
      <c r="M1377" s="133"/>
      <c r="N1377" s="133"/>
      <c r="O1377" s="133"/>
      <c r="P1377" s="134"/>
      <c r="Q1377" s="146"/>
      <c r="R1377" s="17"/>
      <c r="S1377" s="17"/>
      <c r="T1377" s="75"/>
      <c r="U1377" s="75"/>
      <c r="V1377" s="75"/>
      <c r="W1377" s="75"/>
      <c r="X1377" s="75"/>
    </row>
    <row r="1378">
      <c r="A1378" s="17"/>
      <c r="B1378" s="17"/>
      <c r="C1378" s="133"/>
      <c r="D1378" s="133"/>
      <c r="E1378" s="17"/>
      <c r="F1378" s="133"/>
      <c r="G1378" s="133"/>
      <c r="H1378" s="133"/>
      <c r="I1378" s="133"/>
      <c r="J1378" s="133"/>
      <c r="K1378" s="133"/>
      <c r="L1378" s="133"/>
      <c r="M1378" s="133"/>
      <c r="N1378" s="133"/>
      <c r="O1378" s="133"/>
      <c r="P1378" s="134"/>
      <c r="Q1378" s="146"/>
      <c r="R1378" s="17"/>
      <c r="S1378" s="17"/>
      <c r="T1378" s="75"/>
      <c r="U1378" s="75"/>
      <c r="V1378" s="75"/>
      <c r="W1378" s="75"/>
      <c r="X1378" s="75"/>
    </row>
    <row r="1379">
      <c r="A1379" s="17"/>
      <c r="B1379" s="17"/>
      <c r="C1379" s="133"/>
      <c r="D1379" s="133"/>
      <c r="E1379" s="17"/>
      <c r="F1379" s="133"/>
      <c r="G1379" s="133"/>
      <c r="H1379" s="133"/>
      <c r="I1379" s="133"/>
      <c r="J1379" s="133"/>
      <c r="K1379" s="133"/>
      <c r="L1379" s="133"/>
      <c r="M1379" s="133"/>
      <c r="N1379" s="133"/>
      <c r="O1379" s="133"/>
      <c r="P1379" s="134"/>
      <c r="Q1379" s="146"/>
      <c r="R1379" s="17"/>
      <c r="S1379" s="17"/>
      <c r="T1379" s="75"/>
      <c r="U1379" s="75"/>
      <c r="V1379" s="75"/>
      <c r="W1379" s="75"/>
      <c r="X1379" s="75"/>
    </row>
    <row r="1380">
      <c r="A1380" s="17"/>
      <c r="B1380" s="17"/>
      <c r="C1380" s="133"/>
      <c r="D1380" s="133"/>
      <c r="E1380" s="17"/>
      <c r="F1380" s="133"/>
      <c r="G1380" s="133"/>
      <c r="H1380" s="133"/>
      <c r="I1380" s="133"/>
      <c r="J1380" s="133"/>
      <c r="K1380" s="133"/>
      <c r="L1380" s="133"/>
      <c r="M1380" s="133"/>
      <c r="N1380" s="133"/>
      <c r="O1380" s="133"/>
      <c r="P1380" s="134"/>
      <c r="Q1380" s="146"/>
      <c r="R1380" s="17"/>
      <c r="S1380" s="17"/>
      <c r="T1380" s="75"/>
      <c r="U1380" s="75"/>
      <c r="V1380" s="75"/>
      <c r="W1380" s="75"/>
      <c r="X1380" s="75"/>
    </row>
    <row r="1381">
      <c r="A1381" s="17"/>
      <c r="B1381" s="17"/>
      <c r="C1381" s="133"/>
      <c r="D1381" s="133"/>
      <c r="E1381" s="17"/>
      <c r="F1381" s="133"/>
      <c r="G1381" s="133"/>
      <c r="H1381" s="133"/>
      <c r="I1381" s="133"/>
      <c r="J1381" s="133"/>
      <c r="K1381" s="133"/>
      <c r="L1381" s="133"/>
      <c r="M1381" s="133"/>
      <c r="N1381" s="133"/>
      <c r="O1381" s="133"/>
      <c r="P1381" s="134"/>
      <c r="Q1381" s="146"/>
      <c r="R1381" s="17"/>
      <c r="S1381" s="17"/>
      <c r="T1381" s="75"/>
      <c r="U1381" s="75"/>
      <c r="V1381" s="75"/>
      <c r="W1381" s="75"/>
      <c r="X1381" s="75"/>
    </row>
    <row r="1382">
      <c r="A1382" s="17"/>
      <c r="B1382" s="17"/>
      <c r="C1382" s="133"/>
      <c r="D1382" s="133"/>
      <c r="E1382" s="17"/>
      <c r="F1382" s="133"/>
      <c r="G1382" s="133"/>
      <c r="H1382" s="133"/>
      <c r="I1382" s="133"/>
      <c r="J1382" s="133"/>
      <c r="K1382" s="133"/>
      <c r="L1382" s="133"/>
      <c r="M1382" s="133"/>
      <c r="N1382" s="133"/>
      <c r="O1382" s="133"/>
      <c r="P1382" s="134"/>
      <c r="Q1382" s="146"/>
      <c r="R1382" s="17"/>
      <c r="S1382" s="17"/>
      <c r="T1382" s="75"/>
      <c r="U1382" s="75"/>
      <c r="V1382" s="75"/>
      <c r="W1382" s="75"/>
      <c r="X1382" s="75"/>
    </row>
    <row r="1383">
      <c r="A1383" s="17"/>
      <c r="B1383" s="17"/>
      <c r="C1383" s="133"/>
      <c r="D1383" s="133"/>
      <c r="E1383" s="17"/>
      <c r="F1383" s="133"/>
      <c r="G1383" s="133"/>
      <c r="H1383" s="133"/>
      <c r="I1383" s="133"/>
      <c r="J1383" s="133"/>
      <c r="K1383" s="133"/>
      <c r="L1383" s="133"/>
      <c r="M1383" s="133"/>
      <c r="N1383" s="133"/>
      <c r="O1383" s="133"/>
      <c r="P1383" s="134"/>
      <c r="Q1383" s="146"/>
      <c r="R1383" s="17"/>
      <c r="S1383" s="17"/>
      <c r="T1383" s="75"/>
      <c r="U1383" s="75"/>
      <c r="V1383" s="75"/>
      <c r="W1383" s="75"/>
      <c r="X1383" s="75"/>
    </row>
    <row r="1384">
      <c r="A1384" s="17"/>
      <c r="B1384" s="17"/>
      <c r="C1384" s="133"/>
      <c r="D1384" s="133"/>
      <c r="E1384" s="17"/>
      <c r="F1384" s="133"/>
      <c r="G1384" s="133"/>
      <c r="H1384" s="133"/>
      <c r="I1384" s="133"/>
      <c r="J1384" s="133"/>
      <c r="K1384" s="133"/>
      <c r="L1384" s="133"/>
      <c r="M1384" s="133"/>
      <c r="N1384" s="133"/>
      <c r="O1384" s="133"/>
      <c r="P1384" s="134"/>
      <c r="Q1384" s="146"/>
      <c r="R1384" s="17"/>
      <c r="S1384" s="17"/>
      <c r="T1384" s="75"/>
      <c r="U1384" s="75"/>
      <c r="V1384" s="75"/>
      <c r="W1384" s="75"/>
      <c r="X1384" s="75"/>
    </row>
    <row r="1385">
      <c r="A1385" s="17"/>
      <c r="B1385" s="17"/>
      <c r="C1385" s="133"/>
      <c r="D1385" s="133"/>
      <c r="E1385" s="17"/>
      <c r="F1385" s="133"/>
      <c r="G1385" s="133"/>
      <c r="H1385" s="133"/>
      <c r="I1385" s="133"/>
      <c r="J1385" s="133"/>
      <c r="K1385" s="133"/>
      <c r="L1385" s="133"/>
      <c r="M1385" s="133"/>
      <c r="N1385" s="133"/>
      <c r="O1385" s="133"/>
      <c r="P1385" s="134"/>
      <c r="Q1385" s="146"/>
      <c r="R1385" s="17"/>
      <c r="S1385" s="17"/>
      <c r="T1385" s="75"/>
      <c r="U1385" s="75"/>
      <c r="V1385" s="75"/>
      <c r="W1385" s="75"/>
      <c r="X1385" s="75"/>
    </row>
    <row r="1386">
      <c r="A1386" s="17"/>
      <c r="B1386" s="17"/>
      <c r="C1386" s="133"/>
      <c r="D1386" s="133"/>
      <c r="E1386" s="17"/>
      <c r="F1386" s="133"/>
      <c r="G1386" s="133"/>
      <c r="H1386" s="133"/>
      <c r="I1386" s="133"/>
      <c r="J1386" s="133"/>
      <c r="K1386" s="133"/>
      <c r="L1386" s="133"/>
      <c r="M1386" s="133"/>
      <c r="N1386" s="133"/>
      <c r="O1386" s="133"/>
      <c r="P1386" s="134"/>
      <c r="Q1386" s="146"/>
      <c r="R1386" s="17"/>
      <c r="S1386" s="17"/>
      <c r="T1386" s="75"/>
      <c r="U1386" s="75"/>
      <c r="V1386" s="75"/>
      <c r="W1386" s="75"/>
      <c r="X1386" s="75"/>
    </row>
    <row r="1387">
      <c r="A1387" s="17"/>
      <c r="B1387" s="17"/>
      <c r="C1387" s="133"/>
      <c r="D1387" s="133"/>
      <c r="E1387" s="17"/>
      <c r="F1387" s="133"/>
      <c r="G1387" s="133"/>
      <c r="H1387" s="133"/>
      <c r="I1387" s="133"/>
      <c r="J1387" s="133"/>
      <c r="K1387" s="133"/>
      <c r="L1387" s="133"/>
      <c r="M1387" s="133"/>
      <c r="N1387" s="133"/>
      <c r="O1387" s="133"/>
      <c r="P1387" s="134"/>
      <c r="Q1387" s="146"/>
      <c r="R1387" s="17"/>
      <c r="S1387" s="17"/>
      <c r="T1387" s="75"/>
      <c r="U1387" s="75"/>
      <c r="V1387" s="75"/>
      <c r="W1387" s="75"/>
      <c r="X1387" s="75"/>
    </row>
    <row r="1388">
      <c r="A1388" s="17"/>
      <c r="B1388" s="17"/>
      <c r="C1388" s="133"/>
      <c r="D1388" s="133"/>
      <c r="E1388" s="17"/>
      <c r="F1388" s="133"/>
      <c r="G1388" s="133"/>
      <c r="H1388" s="133"/>
      <c r="I1388" s="133"/>
      <c r="J1388" s="133"/>
      <c r="K1388" s="133"/>
      <c r="L1388" s="133"/>
      <c r="M1388" s="133"/>
      <c r="N1388" s="133"/>
      <c r="O1388" s="133"/>
      <c r="P1388" s="134"/>
      <c r="Q1388" s="146"/>
      <c r="R1388" s="17"/>
      <c r="S1388" s="17"/>
      <c r="T1388" s="75"/>
      <c r="U1388" s="75"/>
      <c r="V1388" s="75"/>
      <c r="W1388" s="75"/>
      <c r="X1388" s="75"/>
    </row>
    <row r="1389">
      <c r="A1389" s="17"/>
      <c r="B1389" s="17"/>
      <c r="C1389" s="133"/>
      <c r="D1389" s="133"/>
      <c r="E1389" s="17"/>
      <c r="F1389" s="133"/>
      <c r="G1389" s="133"/>
      <c r="H1389" s="133"/>
      <c r="I1389" s="133"/>
      <c r="J1389" s="133"/>
      <c r="K1389" s="133"/>
      <c r="L1389" s="133"/>
      <c r="M1389" s="133"/>
      <c r="N1389" s="133"/>
      <c r="O1389" s="133"/>
      <c r="P1389" s="134"/>
      <c r="Q1389" s="146"/>
      <c r="R1389" s="17"/>
      <c r="S1389" s="17"/>
      <c r="T1389" s="75"/>
      <c r="U1389" s="75"/>
      <c r="V1389" s="75"/>
      <c r="W1389" s="75"/>
      <c r="X1389" s="75"/>
    </row>
    <row r="1390">
      <c r="A1390" s="17"/>
      <c r="B1390" s="17"/>
      <c r="C1390" s="133"/>
      <c r="D1390" s="133"/>
      <c r="E1390" s="17"/>
      <c r="F1390" s="133"/>
      <c r="G1390" s="133"/>
      <c r="H1390" s="133"/>
      <c r="I1390" s="133"/>
      <c r="J1390" s="133"/>
      <c r="K1390" s="133"/>
      <c r="L1390" s="133"/>
      <c r="M1390" s="133"/>
      <c r="N1390" s="133"/>
      <c r="O1390" s="133"/>
      <c r="P1390" s="134"/>
      <c r="Q1390" s="146"/>
      <c r="R1390" s="17"/>
      <c r="S1390" s="17"/>
      <c r="T1390" s="75"/>
      <c r="U1390" s="75"/>
      <c r="V1390" s="75"/>
      <c r="W1390" s="75"/>
      <c r="X1390" s="75"/>
    </row>
    <row r="1391">
      <c r="A1391" s="17"/>
      <c r="B1391" s="17"/>
      <c r="C1391" s="133"/>
      <c r="D1391" s="133"/>
      <c r="E1391" s="17"/>
      <c r="F1391" s="133"/>
      <c r="G1391" s="133"/>
      <c r="H1391" s="133"/>
      <c r="I1391" s="133"/>
      <c r="J1391" s="133"/>
      <c r="K1391" s="133"/>
      <c r="L1391" s="133"/>
      <c r="M1391" s="133"/>
      <c r="N1391" s="133"/>
      <c r="O1391" s="133"/>
      <c r="P1391" s="134"/>
      <c r="Q1391" s="146"/>
      <c r="R1391" s="17"/>
      <c r="S1391" s="17"/>
      <c r="T1391" s="75"/>
      <c r="U1391" s="75"/>
      <c r="V1391" s="75"/>
      <c r="W1391" s="75"/>
      <c r="X1391" s="75"/>
    </row>
    <row r="1392">
      <c r="A1392" s="17"/>
      <c r="B1392" s="17"/>
      <c r="C1392" s="133"/>
      <c r="D1392" s="133"/>
      <c r="E1392" s="17"/>
      <c r="F1392" s="133"/>
      <c r="G1392" s="133"/>
      <c r="H1392" s="133"/>
      <c r="I1392" s="133"/>
      <c r="J1392" s="133"/>
      <c r="K1392" s="133"/>
      <c r="L1392" s="133"/>
      <c r="M1392" s="133"/>
      <c r="N1392" s="133"/>
      <c r="O1392" s="133"/>
      <c r="P1392" s="134"/>
      <c r="Q1392" s="146"/>
      <c r="R1392" s="17"/>
      <c r="S1392" s="17"/>
      <c r="T1392" s="75"/>
      <c r="U1392" s="75"/>
      <c r="V1392" s="75"/>
      <c r="W1392" s="75"/>
      <c r="X1392" s="75"/>
    </row>
    <row r="1393">
      <c r="A1393" s="17"/>
      <c r="B1393" s="17"/>
      <c r="C1393" s="133"/>
      <c r="D1393" s="133"/>
      <c r="E1393" s="17"/>
      <c r="F1393" s="133"/>
      <c r="G1393" s="133"/>
      <c r="H1393" s="133"/>
      <c r="I1393" s="133"/>
      <c r="J1393" s="133"/>
      <c r="K1393" s="133"/>
      <c r="L1393" s="133"/>
      <c r="M1393" s="133"/>
      <c r="N1393" s="133"/>
      <c r="O1393" s="133"/>
      <c r="P1393" s="134"/>
      <c r="Q1393" s="146"/>
      <c r="R1393" s="17"/>
      <c r="S1393" s="17"/>
      <c r="T1393" s="75"/>
      <c r="U1393" s="75"/>
      <c r="V1393" s="75"/>
      <c r="W1393" s="75"/>
      <c r="X1393" s="75"/>
    </row>
    <row r="1394">
      <c r="A1394" s="17"/>
      <c r="B1394" s="17"/>
      <c r="C1394" s="133"/>
      <c r="D1394" s="133"/>
      <c r="E1394" s="17"/>
      <c r="F1394" s="133"/>
      <c r="G1394" s="133"/>
      <c r="H1394" s="133"/>
      <c r="I1394" s="133"/>
      <c r="J1394" s="133"/>
      <c r="K1394" s="133"/>
      <c r="L1394" s="133"/>
      <c r="M1394" s="133"/>
      <c r="N1394" s="133"/>
      <c r="O1394" s="133"/>
      <c r="P1394" s="134"/>
      <c r="Q1394" s="146"/>
      <c r="R1394" s="17"/>
      <c r="S1394" s="17"/>
      <c r="T1394" s="75"/>
      <c r="U1394" s="75"/>
      <c r="V1394" s="75"/>
      <c r="W1394" s="75"/>
      <c r="X1394" s="75"/>
    </row>
    <row r="1395">
      <c r="A1395" s="17"/>
      <c r="B1395" s="17"/>
      <c r="C1395" s="133"/>
      <c r="D1395" s="133"/>
      <c r="E1395" s="17"/>
      <c r="F1395" s="133"/>
      <c r="G1395" s="133"/>
      <c r="H1395" s="133"/>
      <c r="I1395" s="133"/>
      <c r="J1395" s="133"/>
      <c r="K1395" s="133"/>
      <c r="L1395" s="133"/>
      <c r="M1395" s="133"/>
      <c r="N1395" s="133"/>
      <c r="O1395" s="133"/>
      <c r="P1395" s="134"/>
      <c r="Q1395" s="146"/>
      <c r="R1395" s="17"/>
      <c r="S1395" s="17"/>
      <c r="T1395" s="75"/>
      <c r="U1395" s="75"/>
      <c r="V1395" s="75"/>
      <c r="W1395" s="75"/>
      <c r="X1395" s="75"/>
    </row>
    <row r="1396">
      <c r="A1396" s="17"/>
      <c r="B1396" s="17"/>
      <c r="C1396" s="133"/>
      <c r="D1396" s="133"/>
      <c r="E1396" s="17"/>
      <c r="F1396" s="133"/>
      <c r="G1396" s="133"/>
      <c r="H1396" s="133"/>
      <c r="I1396" s="133"/>
      <c r="J1396" s="133"/>
      <c r="K1396" s="133"/>
      <c r="L1396" s="133"/>
      <c r="M1396" s="133"/>
      <c r="N1396" s="133"/>
      <c r="O1396" s="133"/>
      <c r="P1396" s="134"/>
      <c r="Q1396" s="146"/>
      <c r="R1396" s="17"/>
      <c r="S1396" s="17"/>
      <c r="T1396" s="75"/>
      <c r="U1396" s="75"/>
      <c r="V1396" s="75"/>
      <c r="W1396" s="75"/>
      <c r="X1396" s="75"/>
    </row>
    <row r="1397">
      <c r="A1397" s="17"/>
      <c r="B1397" s="17"/>
      <c r="C1397" s="133"/>
      <c r="D1397" s="133"/>
      <c r="E1397" s="17"/>
      <c r="F1397" s="133"/>
      <c r="G1397" s="133"/>
      <c r="H1397" s="133"/>
      <c r="I1397" s="133"/>
      <c r="J1397" s="133"/>
      <c r="K1397" s="133"/>
      <c r="L1397" s="133"/>
      <c r="M1397" s="133"/>
      <c r="N1397" s="133"/>
      <c r="O1397" s="133"/>
      <c r="P1397" s="134"/>
      <c r="Q1397" s="146"/>
      <c r="R1397" s="17"/>
      <c r="S1397" s="17"/>
      <c r="T1397" s="75"/>
      <c r="U1397" s="75"/>
      <c r="V1397" s="75"/>
      <c r="W1397" s="75"/>
      <c r="X1397" s="75"/>
    </row>
    <row r="1398">
      <c r="A1398" s="17"/>
      <c r="B1398" s="17"/>
      <c r="C1398" s="133"/>
      <c r="D1398" s="133"/>
      <c r="E1398" s="17"/>
      <c r="F1398" s="133"/>
      <c r="G1398" s="133"/>
      <c r="H1398" s="133"/>
      <c r="I1398" s="133"/>
      <c r="J1398" s="133"/>
      <c r="K1398" s="133"/>
      <c r="L1398" s="133"/>
      <c r="M1398" s="133"/>
      <c r="N1398" s="133"/>
      <c r="O1398" s="133"/>
      <c r="P1398" s="134"/>
      <c r="Q1398" s="146"/>
      <c r="R1398" s="17"/>
      <c r="S1398" s="17"/>
      <c r="T1398" s="75"/>
      <c r="U1398" s="75"/>
      <c r="V1398" s="75"/>
      <c r="W1398" s="75"/>
      <c r="X1398" s="75"/>
    </row>
    <row r="1399">
      <c r="A1399" s="17"/>
      <c r="B1399" s="17"/>
      <c r="C1399" s="133"/>
      <c r="D1399" s="133"/>
      <c r="E1399" s="17"/>
      <c r="F1399" s="133"/>
      <c r="G1399" s="133"/>
      <c r="H1399" s="133"/>
      <c r="I1399" s="133"/>
      <c r="J1399" s="133"/>
      <c r="K1399" s="133"/>
      <c r="L1399" s="133"/>
      <c r="M1399" s="133"/>
      <c r="N1399" s="133"/>
      <c r="O1399" s="133"/>
      <c r="P1399" s="134"/>
      <c r="Q1399" s="146"/>
      <c r="R1399" s="17"/>
      <c r="S1399" s="17"/>
      <c r="T1399" s="75"/>
      <c r="U1399" s="75"/>
      <c r="V1399" s="75"/>
      <c r="W1399" s="75"/>
      <c r="X1399" s="75"/>
    </row>
    <row r="1400">
      <c r="A1400" s="17"/>
      <c r="B1400" s="17"/>
      <c r="C1400" s="133"/>
      <c r="D1400" s="133"/>
      <c r="E1400" s="17"/>
      <c r="F1400" s="133"/>
      <c r="G1400" s="133"/>
      <c r="H1400" s="133"/>
      <c r="I1400" s="133"/>
      <c r="J1400" s="133"/>
      <c r="K1400" s="133"/>
      <c r="L1400" s="133"/>
      <c r="M1400" s="133"/>
      <c r="N1400" s="133"/>
      <c r="O1400" s="133"/>
      <c r="P1400" s="134"/>
      <c r="Q1400" s="146"/>
      <c r="R1400" s="17"/>
      <c r="S1400" s="17"/>
      <c r="T1400" s="75"/>
      <c r="U1400" s="75"/>
      <c r="V1400" s="75"/>
      <c r="W1400" s="75"/>
      <c r="X1400" s="75"/>
    </row>
    <row r="1401">
      <c r="A1401" s="17"/>
      <c r="B1401" s="17"/>
      <c r="C1401" s="133"/>
      <c r="D1401" s="133"/>
      <c r="E1401" s="17"/>
      <c r="F1401" s="133"/>
      <c r="G1401" s="133"/>
      <c r="H1401" s="133"/>
      <c r="I1401" s="133"/>
      <c r="J1401" s="133"/>
      <c r="K1401" s="133"/>
      <c r="L1401" s="133"/>
      <c r="M1401" s="133"/>
      <c r="N1401" s="133"/>
      <c r="O1401" s="133"/>
      <c r="P1401" s="134"/>
      <c r="Q1401" s="146"/>
      <c r="R1401" s="17"/>
      <c r="S1401" s="17"/>
      <c r="T1401" s="75"/>
      <c r="U1401" s="75"/>
      <c r="V1401" s="75"/>
      <c r="W1401" s="75"/>
      <c r="X1401" s="75"/>
    </row>
    <row r="1402">
      <c r="A1402" s="17"/>
      <c r="B1402" s="17"/>
      <c r="C1402" s="133"/>
      <c r="D1402" s="133"/>
      <c r="E1402" s="17"/>
      <c r="F1402" s="133"/>
      <c r="G1402" s="133"/>
      <c r="H1402" s="133"/>
      <c r="I1402" s="133"/>
      <c r="J1402" s="133"/>
      <c r="K1402" s="133"/>
      <c r="L1402" s="133"/>
      <c r="M1402" s="133"/>
      <c r="N1402" s="133"/>
      <c r="O1402" s="133"/>
      <c r="P1402" s="134"/>
      <c r="Q1402" s="146"/>
      <c r="R1402" s="17"/>
      <c r="S1402" s="17"/>
      <c r="T1402" s="75"/>
      <c r="U1402" s="75"/>
      <c r="V1402" s="75"/>
      <c r="W1402" s="75"/>
      <c r="X1402" s="75"/>
    </row>
    <row r="1403">
      <c r="A1403" s="17"/>
      <c r="B1403" s="17"/>
      <c r="C1403" s="133"/>
      <c r="D1403" s="133"/>
      <c r="E1403" s="17"/>
      <c r="F1403" s="133"/>
      <c r="G1403" s="133"/>
      <c r="H1403" s="133"/>
      <c r="I1403" s="133"/>
      <c r="J1403" s="133"/>
      <c r="K1403" s="133"/>
      <c r="L1403" s="133"/>
      <c r="M1403" s="133"/>
      <c r="N1403" s="133"/>
      <c r="O1403" s="133"/>
      <c r="P1403" s="134"/>
      <c r="Q1403" s="146"/>
      <c r="R1403" s="17"/>
      <c r="S1403" s="17"/>
      <c r="T1403" s="75"/>
      <c r="U1403" s="75"/>
      <c r="V1403" s="75"/>
      <c r="W1403" s="75"/>
      <c r="X1403" s="75"/>
    </row>
    <row r="1404">
      <c r="A1404" s="17"/>
      <c r="B1404" s="17"/>
      <c r="C1404" s="133"/>
      <c r="D1404" s="133"/>
      <c r="E1404" s="17"/>
      <c r="F1404" s="133"/>
      <c r="G1404" s="133"/>
      <c r="H1404" s="133"/>
      <c r="I1404" s="133"/>
      <c r="J1404" s="133"/>
      <c r="K1404" s="133"/>
      <c r="L1404" s="133"/>
      <c r="M1404" s="133"/>
      <c r="N1404" s="133"/>
      <c r="O1404" s="133"/>
      <c r="P1404" s="134"/>
      <c r="Q1404" s="146"/>
      <c r="R1404" s="17"/>
      <c r="S1404" s="17"/>
      <c r="T1404" s="75"/>
      <c r="U1404" s="75"/>
      <c r="V1404" s="75"/>
      <c r="W1404" s="75"/>
      <c r="X1404" s="75"/>
    </row>
    <row r="1405">
      <c r="A1405" s="17"/>
      <c r="B1405" s="17"/>
      <c r="C1405" s="133"/>
      <c r="D1405" s="133"/>
      <c r="E1405" s="17"/>
      <c r="F1405" s="133"/>
      <c r="G1405" s="133"/>
      <c r="H1405" s="133"/>
      <c r="I1405" s="133"/>
      <c r="J1405" s="133"/>
      <c r="K1405" s="133"/>
      <c r="L1405" s="133"/>
      <c r="M1405" s="133"/>
      <c r="N1405" s="133"/>
      <c r="O1405" s="133"/>
      <c r="P1405" s="134"/>
      <c r="Q1405" s="146"/>
      <c r="R1405" s="17"/>
      <c r="S1405" s="17"/>
      <c r="T1405" s="75"/>
      <c r="U1405" s="75"/>
      <c r="V1405" s="75"/>
      <c r="W1405" s="75"/>
      <c r="X1405" s="75"/>
    </row>
    <row r="1406">
      <c r="A1406" s="17"/>
      <c r="B1406" s="17"/>
      <c r="C1406" s="133"/>
      <c r="D1406" s="133"/>
      <c r="E1406" s="17"/>
      <c r="F1406" s="133"/>
      <c r="G1406" s="133"/>
      <c r="H1406" s="133"/>
      <c r="I1406" s="133"/>
      <c r="J1406" s="133"/>
      <c r="K1406" s="133"/>
      <c r="L1406" s="133"/>
      <c r="M1406" s="133"/>
      <c r="N1406" s="133"/>
      <c r="O1406" s="133"/>
      <c r="P1406" s="134"/>
      <c r="Q1406" s="146"/>
      <c r="R1406" s="17"/>
      <c r="S1406" s="17"/>
      <c r="T1406" s="75"/>
      <c r="U1406" s="75"/>
      <c r="V1406" s="75"/>
      <c r="W1406" s="75"/>
      <c r="X1406" s="75"/>
    </row>
    <row r="1407">
      <c r="A1407" s="17"/>
      <c r="B1407" s="17"/>
      <c r="C1407" s="133"/>
      <c r="D1407" s="133"/>
      <c r="E1407" s="17"/>
      <c r="F1407" s="133"/>
      <c r="G1407" s="133"/>
      <c r="H1407" s="133"/>
      <c r="I1407" s="133"/>
      <c r="J1407" s="133"/>
      <c r="K1407" s="133"/>
      <c r="L1407" s="133"/>
      <c r="M1407" s="133"/>
      <c r="N1407" s="133"/>
      <c r="O1407" s="133"/>
      <c r="P1407" s="134"/>
      <c r="Q1407" s="146"/>
      <c r="R1407" s="17"/>
      <c r="S1407" s="17"/>
      <c r="T1407" s="75"/>
      <c r="U1407" s="75"/>
      <c r="V1407" s="75"/>
      <c r="W1407" s="75"/>
      <c r="X1407" s="75"/>
    </row>
    <row r="1408">
      <c r="A1408" s="17"/>
      <c r="B1408" s="17"/>
      <c r="C1408" s="133"/>
      <c r="D1408" s="133"/>
      <c r="E1408" s="17"/>
      <c r="F1408" s="133"/>
      <c r="G1408" s="133"/>
      <c r="H1408" s="133"/>
      <c r="I1408" s="133"/>
      <c r="J1408" s="133"/>
      <c r="K1408" s="133"/>
      <c r="L1408" s="133"/>
      <c r="M1408" s="133"/>
      <c r="N1408" s="133"/>
      <c r="O1408" s="133"/>
      <c r="P1408" s="134"/>
      <c r="Q1408" s="146"/>
      <c r="R1408" s="17"/>
      <c r="S1408" s="17"/>
      <c r="T1408" s="75"/>
      <c r="U1408" s="75"/>
      <c r="V1408" s="75"/>
      <c r="W1408" s="75"/>
      <c r="X1408" s="75"/>
    </row>
    <row r="1409">
      <c r="A1409" s="17"/>
      <c r="B1409" s="17"/>
      <c r="C1409" s="133"/>
      <c r="D1409" s="133"/>
      <c r="E1409" s="17"/>
      <c r="F1409" s="133"/>
      <c r="G1409" s="133"/>
      <c r="H1409" s="133"/>
      <c r="I1409" s="133"/>
      <c r="J1409" s="133"/>
      <c r="K1409" s="133"/>
      <c r="L1409" s="133"/>
      <c r="M1409" s="133"/>
      <c r="N1409" s="133"/>
      <c r="O1409" s="133"/>
      <c r="P1409" s="134"/>
      <c r="Q1409" s="146"/>
      <c r="R1409" s="17"/>
      <c r="S1409" s="17"/>
      <c r="T1409" s="75"/>
      <c r="U1409" s="75"/>
      <c r="V1409" s="75"/>
      <c r="W1409" s="75"/>
      <c r="X1409" s="75"/>
    </row>
    <row r="1410">
      <c r="A1410" s="17"/>
      <c r="B1410" s="17"/>
      <c r="C1410" s="133"/>
      <c r="D1410" s="133"/>
      <c r="E1410" s="17"/>
      <c r="F1410" s="133"/>
      <c r="G1410" s="133"/>
      <c r="H1410" s="133"/>
      <c r="I1410" s="133"/>
      <c r="J1410" s="133"/>
      <c r="K1410" s="133"/>
      <c r="L1410" s="133"/>
      <c r="M1410" s="133"/>
      <c r="N1410" s="133"/>
      <c r="O1410" s="133"/>
      <c r="P1410" s="134"/>
      <c r="Q1410" s="146"/>
      <c r="R1410" s="17"/>
      <c r="S1410" s="17"/>
      <c r="T1410" s="75"/>
      <c r="U1410" s="75"/>
      <c r="V1410" s="75"/>
      <c r="W1410" s="75"/>
      <c r="X1410" s="75"/>
    </row>
    <row r="1411">
      <c r="A1411" s="17"/>
      <c r="B1411" s="17"/>
      <c r="C1411" s="133"/>
      <c r="D1411" s="133"/>
      <c r="E1411" s="17"/>
      <c r="F1411" s="133"/>
      <c r="G1411" s="133"/>
      <c r="H1411" s="133"/>
      <c r="I1411" s="133"/>
      <c r="J1411" s="133"/>
      <c r="K1411" s="133"/>
      <c r="L1411" s="133"/>
      <c r="M1411" s="133"/>
      <c r="N1411" s="133"/>
      <c r="O1411" s="133"/>
      <c r="P1411" s="134"/>
      <c r="Q1411" s="146"/>
      <c r="R1411" s="17"/>
      <c r="S1411" s="17"/>
      <c r="T1411" s="75"/>
      <c r="U1411" s="75"/>
      <c r="V1411" s="75"/>
      <c r="W1411" s="75"/>
      <c r="X1411" s="75"/>
    </row>
    <row r="1412">
      <c r="A1412" s="17"/>
      <c r="B1412" s="17"/>
      <c r="C1412" s="133"/>
      <c r="D1412" s="133"/>
      <c r="E1412" s="17"/>
      <c r="F1412" s="133"/>
      <c r="G1412" s="133"/>
      <c r="H1412" s="133"/>
      <c r="I1412" s="133"/>
      <c r="J1412" s="133"/>
      <c r="K1412" s="133"/>
      <c r="L1412" s="133"/>
      <c r="M1412" s="133"/>
      <c r="N1412" s="133"/>
      <c r="O1412" s="133"/>
      <c r="P1412" s="134"/>
      <c r="Q1412" s="146"/>
      <c r="R1412" s="17"/>
      <c r="S1412" s="17"/>
      <c r="T1412" s="75"/>
      <c r="U1412" s="75"/>
      <c r="V1412" s="75"/>
      <c r="W1412" s="75"/>
      <c r="X1412" s="75"/>
    </row>
    <row r="1413">
      <c r="A1413" s="17"/>
      <c r="B1413" s="17"/>
      <c r="C1413" s="133"/>
      <c r="D1413" s="133"/>
      <c r="E1413" s="17"/>
      <c r="F1413" s="133"/>
      <c r="G1413" s="133"/>
      <c r="H1413" s="133"/>
      <c r="I1413" s="133"/>
      <c r="J1413" s="133"/>
      <c r="K1413" s="133"/>
      <c r="L1413" s="133"/>
      <c r="M1413" s="133"/>
      <c r="N1413" s="133"/>
      <c r="O1413" s="133"/>
      <c r="P1413" s="134"/>
      <c r="Q1413" s="146"/>
      <c r="R1413" s="17"/>
      <c r="S1413" s="17"/>
      <c r="T1413" s="75"/>
      <c r="U1413" s="75"/>
      <c r="V1413" s="75"/>
      <c r="W1413" s="75"/>
      <c r="X1413" s="75"/>
    </row>
    <row r="1414">
      <c r="A1414" s="17"/>
      <c r="B1414" s="17"/>
      <c r="C1414" s="133"/>
      <c r="D1414" s="133"/>
      <c r="E1414" s="17"/>
      <c r="F1414" s="133"/>
      <c r="G1414" s="133"/>
      <c r="H1414" s="133"/>
      <c r="I1414" s="133"/>
      <c r="J1414" s="133"/>
      <c r="K1414" s="133"/>
      <c r="L1414" s="133"/>
      <c r="M1414" s="133"/>
      <c r="N1414" s="133"/>
      <c r="O1414" s="133"/>
      <c r="P1414" s="134"/>
      <c r="Q1414" s="146"/>
      <c r="R1414" s="17"/>
      <c r="S1414" s="17"/>
      <c r="T1414" s="75"/>
      <c r="U1414" s="75"/>
      <c r="V1414" s="75"/>
      <c r="W1414" s="75"/>
      <c r="X1414" s="75"/>
    </row>
    <row r="1415">
      <c r="A1415" s="17"/>
      <c r="B1415" s="17"/>
      <c r="C1415" s="133"/>
      <c r="D1415" s="133"/>
      <c r="E1415" s="17"/>
      <c r="F1415" s="133"/>
      <c r="G1415" s="133"/>
      <c r="H1415" s="133"/>
      <c r="I1415" s="133"/>
      <c r="J1415" s="133"/>
      <c r="K1415" s="133"/>
      <c r="L1415" s="133"/>
      <c r="M1415" s="133"/>
      <c r="N1415" s="133"/>
      <c r="O1415" s="133"/>
      <c r="P1415" s="134"/>
      <c r="Q1415" s="146"/>
      <c r="R1415" s="17"/>
      <c r="S1415" s="17"/>
      <c r="T1415" s="75"/>
      <c r="U1415" s="75"/>
      <c r="V1415" s="75"/>
      <c r="W1415" s="75"/>
      <c r="X1415" s="75"/>
    </row>
    <row r="1416">
      <c r="A1416" s="17"/>
      <c r="B1416" s="17"/>
      <c r="C1416" s="133"/>
      <c r="D1416" s="133"/>
      <c r="E1416" s="17"/>
      <c r="F1416" s="133"/>
      <c r="G1416" s="133"/>
      <c r="H1416" s="133"/>
      <c r="I1416" s="133"/>
      <c r="J1416" s="133"/>
      <c r="K1416" s="133"/>
      <c r="L1416" s="133"/>
      <c r="M1416" s="133"/>
      <c r="N1416" s="133"/>
      <c r="O1416" s="133"/>
      <c r="P1416" s="134"/>
      <c r="Q1416" s="146"/>
      <c r="R1416" s="17"/>
      <c r="S1416" s="17"/>
      <c r="T1416" s="75"/>
      <c r="U1416" s="75"/>
      <c r="V1416" s="75"/>
      <c r="W1416" s="75"/>
      <c r="X1416" s="75"/>
    </row>
    <row r="1417">
      <c r="A1417" s="17"/>
      <c r="B1417" s="17"/>
      <c r="C1417" s="133"/>
      <c r="D1417" s="133"/>
      <c r="E1417" s="17"/>
      <c r="F1417" s="133"/>
      <c r="G1417" s="133"/>
      <c r="H1417" s="133"/>
      <c r="I1417" s="133"/>
      <c r="J1417" s="133"/>
      <c r="K1417" s="133"/>
      <c r="L1417" s="133"/>
      <c r="M1417" s="133"/>
      <c r="N1417" s="133"/>
      <c r="O1417" s="133"/>
      <c r="P1417" s="134"/>
      <c r="Q1417" s="146"/>
      <c r="R1417" s="17"/>
      <c r="S1417" s="17"/>
      <c r="T1417" s="75"/>
      <c r="U1417" s="75"/>
      <c r="V1417" s="75"/>
      <c r="W1417" s="75"/>
      <c r="X1417" s="75"/>
    </row>
    <row r="1418">
      <c r="A1418" s="17"/>
      <c r="B1418" s="17"/>
      <c r="C1418" s="133"/>
      <c r="D1418" s="133"/>
      <c r="E1418" s="17"/>
      <c r="F1418" s="133"/>
      <c r="G1418" s="133"/>
      <c r="H1418" s="133"/>
      <c r="I1418" s="133"/>
      <c r="J1418" s="133"/>
      <c r="K1418" s="133"/>
      <c r="L1418" s="133"/>
      <c r="M1418" s="133"/>
      <c r="N1418" s="133"/>
      <c r="O1418" s="133"/>
      <c r="P1418" s="134"/>
      <c r="Q1418" s="146"/>
      <c r="R1418" s="17"/>
      <c r="S1418" s="17"/>
      <c r="T1418" s="75"/>
      <c r="U1418" s="75"/>
      <c r="V1418" s="75"/>
      <c r="W1418" s="75"/>
      <c r="X1418" s="75"/>
    </row>
    <row r="1419">
      <c r="A1419" s="17"/>
      <c r="B1419" s="17"/>
      <c r="C1419" s="133"/>
      <c r="D1419" s="133"/>
      <c r="E1419" s="17"/>
      <c r="F1419" s="133"/>
      <c r="G1419" s="133"/>
      <c r="H1419" s="133"/>
      <c r="I1419" s="133"/>
      <c r="J1419" s="133"/>
      <c r="K1419" s="133"/>
      <c r="L1419" s="133"/>
      <c r="M1419" s="133"/>
      <c r="N1419" s="133"/>
      <c r="O1419" s="133"/>
      <c r="P1419" s="134"/>
      <c r="Q1419" s="146"/>
      <c r="R1419" s="17"/>
      <c r="S1419" s="17"/>
      <c r="T1419" s="75"/>
      <c r="U1419" s="75"/>
      <c r="V1419" s="75"/>
      <c r="W1419" s="75"/>
      <c r="X1419" s="75"/>
    </row>
    <row r="1420">
      <c r="A1420" s="17"/>
      <c r="B1420" s="17"/>
      <c r="C1420" s="133"/>
      <c r="D1420" s="133"/>
      <c r="E1420" s="17"/>
      <c r="F1420" s="133"/>
      <c r="G1420" s="133"/>
      <c r="H1420" s="133"/>
      <c r="I1420" s="133"/>
      <c r="J1420" s="133"/>
      <c r="K1420" s="133"/>
      <c r="L1420" s="133"/>
      <c r="M1420" s="133"/>
      <c r="N1420" s="133"/>
      <c r="O1420" s="133"/>
      <c r="P1420" s="134"/>
      <c r="Q1420" s="146"/>
      <c r="R1420" s="17"/>
      <c r="S1420" s="17"/>
      <c r="T1420" s="75"/>
      <c r="U1420" s="75"/>
      <c r="V1420" s="75"/>
      <c r="W1420" s="75"/>
      <c r="X1420" s="75"/>
    </row>
    <row r="1421">
      <c r="A1421" s="17"/>
      <c r="B1421" s="17"/>
      <c r="C1421" s="133"/>
      <c r="D1421" s="133"/>
      <c r="E1421" s="17"/>
      <c r="F1421" s="133"/>
      <c r="G1421" s="133"/>
      <c r="H1421" s="133"/>
      <c r="I1421" s="133"/>
      <c r="J1421" s="133"/>
      <c r="K1421" s="133"/>
      <c r="L1421" s="133"/>
      <c r="M1421" s="133"/>
      <c r="N1421" s="133"/>
      <c r="O1421" s="133"/>
      <c r="P1421" s="134"/>
      <c r="Q1421" s="146"/>
      <c r="R1421" s="17"/>
      <c r="S1421" s="17"/>
      <c r="T1421" s="75"/>
      <c r="U1421" s="75"/>
      <c r="V1421" s="75"/>
      <c r="W1421" s="75"/>
      <c r="X1421" s="75"/>
    </row>
    <row r="1422">
      <c r="A1422" s="17"/>
      <c r="B1422" s="17"/>
      <c r="C1422" s="133"/>
      <c r="D1422" s="133"/>
      <c r="E1422" s="17"/>
      <c r="F1422" s="133"/>
      <c r="G1422" s="133"/>
      <c r="H1422" s="133"/>
      <c r="I1422" s="133"/>
      <c r="J1422" s="133"/>
      <c r="K1422" s="133"/>
      <c r="L1422" s="133"/>
      <c r="M1422" s="133"/>
      <c r="N1422" s="133"/>
      <c r="O1422" s="133"/>
      <c r="P1422" s="134"/>
      <c r="Q1422" s="146"/>
      <c r="R1422" s="17"/>
      <c r="S1422" s="17"/>
      <c r="T1422" s="75"/>
      <c r="U1422" s="75"/>
      <c r="V1422" s="75"/>
      <c r="W1422" s="75"/>
      <c r="X1422" s="75"/>
    </row>
    <row r="1423">
      <c r="A1423" s="17"/>
      <c r="B1423" s="17"/>
      <c r="C1423" s="133"/>
      <c r="D1423" s="133"/>
      <c r="E1423" s="17"/>
      <c r="F1423" s="133"/>
      <c r="G1423" s="133"/>
      <c r="H1423" s="133"/>
      <c r="I1423" s="133"/>
      <c r="J1423" s="133"/>
      <c r="K1423" s="133"/>
      <c r="L1423" s="133"/>
      <c r="M1423" s="133"/>
      <c r="N1423" s="133"/>
      <c r="O1423" s="133"/>
      <c r="P1423" s="134"/>
      <c r="Q1423" s="146"/>
      <c r="R1423" s="17"/>
      <c r="S1423" s="17"/>
      <c r="T1423" s="75"/>
      <c r="U1423" s="75"/>
      <c r="V1423" s="75"/>
      <c r="W1423" s="75"/>
      <c r="X1423" s="75"/>
    </row>
    <row r="1424">
      <c r="A1424" s="17"/>
      <c r="B1424" s="17"/>
      <c r="C1424" s="133"/>
      <c r="D1424" s="133"/>
      <c r="E1424" s="17"/>
      <c r="F1424" s="133"/>
      <c r="G1424" s="133"/>
      <c r="H1424" s="133"/>
      <c r="I1424" s="133"/>
      <c r="J1424" s="133"/>
      <c r="K1424" s="133"/>
      <c r="L1424" s="133"/>
      <c r="M1424" s="133"/>
      <c r="N1424" s="133"/>
      <c r="O1424" s="133"/>
      <c r="P1424" s="134"/>
      <c r="Q1424" s="146"/>
      <c r="R1424" s="17"/>
      <c r="S1424" s="17"/>
      <c r="T1424" s="75"/>
      <c r="U1424" s="75"/>
      <c r="V1424" s="75"/>
      <c r="W1424" s="75"/>
      <c r="X1424" s="75"/>
    </row>
    <row r="1425">
      <c r="A1425" s="17"/>
      <c r="B1425" s="17"/>
      <c r="C1425" s="133"/>
      <c r="D1425" s="133"/>
      <c r="E1425" s="17"/>
      <c r="F1425" s="133"/>
      <c r="G1425" s="133"/>
      <c r="H1425" s="133"/>
      <c r="I1425" s="133"/>
      <c r="J1425" s="133"/>
      <c r="K1425" s="133"/>
      <c r="L1425" s="133"/>
      <c r="M1425" s="133"/>
      <c r="N1425" s="133"/>
      <c r="O1425" s="133"/>
      <c r="P1425" s="134"/>
      <c r="Q1425" s="146"/>
      <c r="R1425" s="17"/>
      <c r="S1425" s="17"/>
      <c r="T1425" s="75"/>
      <c r="U1425" s="75"/>
      <c r="V1425" s="75"/>
      <c r="W1425" s="75"/>
      <c r="X1425" s="75"/>
    </row>
    <row r="1426">
      <c r="A1426" s="17"/>
      <c r="B1426" s="17"/>
      <c r="C1426" s="133"/>
      <c r="D1426" s="133"/>
      <c r="E1426" s="17"/>
      <c r="F1426" s="133"/>
      <c r="G1426" s="133"/>
      <c r="H1426" s="133"/>
      <c r="I1426" s="133"/>
      <c r="J1426" s="133"/>
      <c r="K1426" s="133"/>
      <c r="L1426" s="133"/>
      <c r="M1426" s="133"/>
      <c r="N1426" s="133"/>
      <c r="O1426" s="133"/>
      <c r="P1426" s="134"/>
      <c r="Q1426" s="146"/>
      <c r="R1426" s="17"/>
      <c r="S1426" s="17"/>
      <c r="T1426" s="75"/>
      <c r="U1426" s="75"/>
      <c r="V1426" s="75"/>
      <c r="W1426" s="75"/>
      <c r="X1426" s="75"/>
    </row>
    <row r="1427">
      <c r="A1427" s="17"/>
      <c r="B1427" s="17"/>
      <c r="C1427" s="133"/>
      <c r="D1427" s="133"/>
      <c r="E1427" s="17"/>
      <c r="F1427" s="133"/>
      <c r="G1427" s="133"/>
      <c r="H1427" s="133"/>
      <c r="I1427" s="133"/>
      <c r="J1427" s="133"/>
      <c r="K1427" s="133"/>
      <c r="L1427" s="133"/>
      <c r="M1427" s="133"/>
      <c r="N1427" s="133"/>
      <c r="O1427" s="133"/>
      <c r="P1427" s="134"/>
      <c r="Q1427" s="146"/>
      <c r="R1427" s="17"/>
      <c r="S1427" s="17"/>
      <c r="T1427" s="75"/>
      <c r="U1427" s="75"/>
      <c r="V1427" s="75"/>
      <c r="W1427" s="75"/>
      <c r="X1427" s="75"/>
    </row>
    <row r="1428">
      <c r="A1428" s="17"/>
      <c r="B1428" s="17"/>
      <c r="C1428" s="133"/>
      <c r="D1428" s="133"/>
      <c r="E1428" s="17"/>
      <c r="F1428" s="133"/>
      <c r="G1428" s="133"/>
      <c r="H1428" s="133"/>
      <c r="I1428" s="133"/>
      <c r="J1428" s="133"/>
      <c r="K1428" s="133"/>
      <c r="L1428" s="133"/>
      <c r="M1428" s="133"/>
      <c r="N1428" s="133"/>
      <c r="O1428" s="133"/>
      <c r="P1428" s="134"/>
      <c r="Q1428" s="146"/>
      <c r="R1428" s="17"/>
      <c r="S1428" s="17"/>
      <c r="T1428" s="75"/>
      <c r="U1428" s="75"/>
      <c r="V1428" s="75"/>
      <c r="W1428" s="75"/>
      <c r="X1428" s="75"/>
    </row>
    <row r="1429">
      <c r="A1429" s="17"/>
      <c r="B1429" s="17"/>
      <c r="C1429" s="133"/>
      <c r="D1429" s="133"/>
      <c r="E1429" s="17"/>
      <c r="F1429" s="133"/>
      <c r="G1429" s="133"/>
      <c r="H1429" s="133"/>
      <c r="I1429" s="133"/>
      <c r="J1429" s="133"/>
      <c r="K1429" s="133"/>
      <c r="L1429" s="133"/>
      <c r="M1429" s="133"/>
      <c r="N1429" s="133"/>
      <c r="O1429" s="133"/>
      <c r="P1429" s="134"/>
      <c r="Q1429" s="146"/>
      <c r="R1429" s="17"/>
      <c r="S1429" s="17"/>
      <c r="T1429" s="75"/>
      <c r="U1429" s="75"/>
      <c r="V1429" s="75"/>
      <c r="W1429" s="75"/>
      <c r="X1429" s="75"/>
    </row>
    <row r="1430">
      <c r="A1430" s="17"/>
      <c r="B1430" s="17"/>
      <c r="C1430" s="133"/>
      <c r="D1430" s="133"/>
      <c r="E1430" s="17"/>
      <c r="F1430" s="133"/>
      <c r="G1430" s="133"/>
      <c r="H1430" s="133"/>
      <c r="I1430" s="133"/>
      <c r="J1430" s="133"/>
      <c r="K1430" s="133"/>
      <c r="L1430" s="133"/>
      <c r="M1430" s="133"/>
      <c r="N1430" s="133"/>
      <c r="O1430" s="133"/>
      <c r="P1430" s="134"/>
      <c r="Q1430" s="146"/>
      <c r="R1430" s="17"/>
      <c r="S1430" s="17"/>
      <c r="T1430" s="75"/>
      <c r="U1430" s="75"/>
      <c r="V1430" s="75"/>
      <c r="W1430" s="75"/>
      <c r="X1430" s="75"/>
    </row>
    <row r="1431">
      <c r="A1431" s="17"/>
      <c r="B1431" s="17"/>
      <c r="C1431" s="133"/>
      <c r="D1431" s="133"/>
      <c r="E1431" s="17"/>
      <c r="F1431" s="133"/>
      <c r="G1431" s="133"/>
      <c r="H1431" s="133"/>
      <c r="I1431" s="133"/>
      <c r="J1431" s="133"/>
      <c r="K1431" s="133"/>
      <c r="L1431" s="133"/>
      <c r="M1431" s="133"/>
      <c r="N1431" s="133"/>
      <c r="O1431" s="133"/>
      <c r="P1431" s="134"/>
      <c r="Q1431" s="146"/>
      <c r="R1431" s="17"/>
      <c r="S1431" s="17"/>
      <c r="T1431" s="75"/>
      <c r="U1431" s="75"/>
      <c r="V1431" s="75"/>
      <c r="W1431" s="75"/>
      <c r="X1431" s="75"/>
    </row>
    <row r="1432">
      <c r="A1432" s="17"/>
      <c r="B1432" s="17"/>
      <c r="C1432" s="133"/>
      <c r="D1432" s="133"/>
      <c r="E1432" s="17"/>
      <c r="F1432" s="133"/>
      <c r="G1432" s="133"/>
      <c r="H1432" s="133"/>
      <c r="I1432" s="133"/>
      <c r="J1432" s="133"/>
      <c r="K1432" s="133"/>
      <c r="L1432" s="133"/>
      <c r="M1432" s="133"/>
      <c r="N1432" s="133"/>
      <c r="O1432" s="133"/>
      <c r="P1432" s="134"/>
      <c r="Q1432" s="146"/>
      <c r="R1432" s="17"/>
      <c r="S1432" s="17"/>
      <c r="T1432" s="75"/>
      <c r="U1432" s="75"/>
      <c r="V1432" s="75"/>
      <c r="W1432" s="75"/>
      <c r="X1432" s="75"/>
    </row>
    <row r="1433">
      <c r="A1433" s="17"/>
      <c r="B1433" s="17"/>
      <c r="C1433" s="133"/>
      <c r="D1433" s="133"/>
      <c r="E1433" s="17"/>
      <c r="F1433" s="133"/>
      <c r="G1433" s="133"/>
      <c r="H1433" s="133"/>
      <c r="I1433" s="133"/>
      <c r="J1433" s="133"/>
      <c r="K1433" s="133"/>
      <c r="L1433" s="133"/>
      <c r="M1433" s="133"/>
      <c r="N1433" s="133"/>
      <c r="O1433" s="133"/>
      <c r="P1433" s="134"/>
      <c r="Q1433" s="146"/>
      <c r="R1433" s="17"/>
      <c r="S1433" s="17"/>
      <c r="T1433" s="75"/>
      <c r="U1433" s="75"/>
      <c r="V1433" s="75"/>
      <c r="W1433" s="75"/>
      <c r="X1433" s="75"/>
    </row>
    <row r="1434">
      <c r="A1434" s="17"/>
      <c r="B1434" s="17"/>
      <c r="C1434" s="133"/>
      <c r="D1434" s="133"/>
      <c r="E1434" s="17"/>
      <c r="F1434" s="133"/>
      <c r="G1434" s="133"/>
      <c r="H1434" s="133"/>
      <c r="I1434" s="133"/>
      <c r="J1434" s="133"/>
      <c r="K1434" s="133"/>
      <c r="L1434" s="133"/>
      <c r="M1434" s="133"/>
      <c r="N1434" s="133"/>
      <c r="O1434" s="133"/>
      <c r="P1434" s="134"/>
      <c r="Q1434" s="146"/>
      <c r="R1434" s="17"/>
      <c r="S1434" s="17"/>
      <c r="T1434" s="75"/>
      <c r="U1434" s="75"/>
      <c r="V1434" s="75"/>
      <c r="W1434" s="75"/>
      <c r="X1434" s="75"/>
    </row>
    <row r="1435">
      <c r="A1435" s="17"/>
      <c r="B1435" s="17"/>
      <c r="C1435" s="133"/>
      <c r="D1435" s="133"/>
      <c r="E1435" s="17"/>
      <c r="F1435" s="133"/>
      <c r="G1435" s="133"/>
      <c r="H1435" s="133"/>
      <c r="I1435" s="133"/>
      <c r="J1435" s="133"/>
      <c r="K1435" s="133"/>
      <c r="L1435" s="133"/>
      <c r="M1435" s="133"/>
      <c r="N1435" s="133"/>
      <c r="O1435" s="133"/>
      <c r="P1435" s="134"/>
      <c r="Q1435" s="146"/>
      <c r="R1435" s="17"/>
      <c r="S1435" s="17"/>
      <c r="T1435" s="75"/>
      <c r="U1435" s="75"/>
      <c r="V1435" s="75"/>
      <c r="W1435" s="75"/>
      <c r="X1435" s="75"/>
    </row>
    <row r="1436">
      <c r="A1436" s="17"/>
      <c r="B1436" s="17"/>
      <c r="C1436" s="133"/>
      <c r="D1436" s="133"/>
      <c r="E1436" s="17"/>
      <c r="F1436" s="133"/>
      <c r="G1436" s="133"/>
      <c r="H1436" s="133"/>
      <c r="I1436" s="133"/>
      <c r="J1436" s="133"/>
      <c r="K1436" s="133"/>
      <c r="L1436" s="133"/>
      <c r="M1436" s="133"/>
      <c r="N1436" s="133"/>
      <c r="O1436" s="133"/>
      <c r="P1436" s="134"/>
      <c r="Q1436" s="146"/>
      <c r="R1436" s="17"/>
      <c r="S1436" s="17"/>
      <c r="T1436" s="75"/>
      <c r="U1436" s="75"/>
      <c r="V1436" s="75"/>
      <c r="W1436" s="75"/>
      <c r="X1436" s="75"/>
    </row>
    <row r="1437">
      <c r="A1437" s="17"/>
      <c r="B1437" s="17"/>
      <c r="C1437" s="133"/>
      <c r="D1437" s="133"/>
      <c r="E1437" s="17"/>
      <c r="F1437" s="133"/>
      <c r="G1437" s="133"/>
      <c r="H1437" s="133"/>
      <c r="I1437" s="133"/>
      <c r="J1437" s="133"/>
      <c r="K1437" s="133"/>
      <c r="L1437" s="133"/>
      <c r="M1437" s="133"/>
      <c r="N1437" s="133"/>
      <c r="O1437" s="133"/>
      <c r="P1437" s="134"/>
      <c r="Q1437" s="146"/>
      <c r="R1437" s="17"/>
      <c r="S1437" s="17"/>
      <c r="T1437" s="75"/>
      <c r="U1437" s="75"/>
      <c r="V1437" s="75"/>
      <c r="W1437" s="75"/>
      <c r="X1437" s="75"/>
    </row>
    <row r="1438">
      <c r="A1438" s="17"/>
      <c r="B1438" s="17"/>
      <c r="C1438" s="133"/>
      <c r="D1438" s="133"/>
      <c r="E1438" s="17"/>
      <c r="F1438" s="133"/>
      <c r="G1438" s="133"/>
      <c r="H1438" s="133"/>
      <c r="I1438" s="133"/>
      <c r="J1438" s="133"/>
      <c r="K1438" s="133"/>
      <c r="L1438" s="133"/>
      <c r="M1438" s="133"/>
      <c r="N1438" s="133"/>
      <c r="O1438" s="133"/>
      <c r="P1438" s="134"/>
      <c r="Q1438" s="146"/>
      <c r="R1438" s="17"/>
      <c r="S1438" s="17"/>
      <c r="T1438" s="75"/>
      <c r="U1438" s="75"/>
      <c r="V1438" s="75"/>
      <c r="W1438" s="75"/>
      <c r="X1438" s="75"/>
    </row>
    <row r="1439">
      <c r="A1439" s="17"/>
      <c r="B1439" s="17"/>
      <c r="C1439" s="133"/>
      <c r="D1439" s="133"/>
      <c r="E1439" s="17"/>
      <c r="F1439" s="133"/>
      <c r="G1439" s="133"/>
      <c r="H1439" s="133"/>
      <c r="I1439" s="133"/>
      <c r="J1439" s="133"/>
      <c r="K1439" s="133"/>
      <c r="L1439" s="133"/>
      <c r="M1439" s="133"/>
      <c r="N1439" s="133"/>
      <c r="O1439" s="133"/>
      <c r="P1439" s="134"/>
      <c r="Q1439" s="146"/>
      <c r="R1439" s="17"/>
      <c r="S1439" s="17"/>
      <c r="T1439" s="75"/>
      <c r="U1439" s="75"/>
      <c r="V1439" s="75"/>
      <c r="W1439" s="75"/>
      <c r="X1439" s="75"/>
    </row>
    <row r="1440">
      <c r="A1440" s="17"/>
      <c r="B1440" s="17"/>
      <c r="C1440" s="133"/>
      <c r="D1440" s="133"/>
      <c r="E1440" s="17"/>
      <c r="F1440" s="133"/>
      <c r="G1440" s="133"/>
      <c r="H1440" s="133"/>
      <c r="I1440" s="133"/>
      <c r="J1440" s="133"/>
      <c r="K1440" s="133"/>
      <c r="L1440" s="133"/>
      <c r="M1440" s="133"/>
      <c r="N1440" s="133"/>
      <c r="O1440" s="133"/>
      <c r="P1440" s="134"/>
      <c r="Q1440" s="146"/>
      <c r="R1440" s="17"/>
      <c r="S1440" s="17"/>
      <c r="T1440" s="75"/>
      <c r="U1440" s="75"/>
      <c r="V1440" s="75"/>
      <c r="W1440" s="75"/>
      <c r="X1440" s="75"/>
    </row>
    <row r="1441">
      <c r="A1441" s="17"/>
      <c r="B1441" s="17"/>
      <c r="C1441" s="133"/>
      <c r="D1441" s="133"/>
      <c r="E1441" s="17"/>
      <c r="F1441" s="133"/>
      <c r="G1441" s="133"/>
      <c r="H1441" s="133"/>
      <c r="I1441" s="133"/>
      <c r="J1441" s="133"/>
      <c r="K1441" s="133"/>
      <c r="L1441" s="133"/>
      <c r="M1441" s="133"/>
      <c r="N1441" s="133"/>
      <c r="O1441" s="133"/>
      <c r="P1441" s="134"/>
      <c r="Q1441" s="146"/>
      <c r="R1441" s="17"/>
      <c r="S1441" s="17"/>
      <c r="T1441" s="75"/>
      <c r="U1441" s="75"/>
      <c r="V1441" s="75"/>
      <c r="W1441" s="75"/>
      <c r="X1441" s="75"/>
    </row>
    <row r="1442">
      <c r="A1442" s="17"/>
      <c r="B1442" s="17"/>
      <c r="C1442" s="133"/>
      <c r="D1442" s="133"/>
      <c r="E1442" s="17"/>
      <c r="F1442" s="133"/>
      <c r="G1442" s="133"/>
      <c r="H1442" s="133"/>
      <c r="I1442" s="133"/>
      <c r="J1442" s="133"/>
      <c r="K1442" s="133"/>
      <c r="L1442" s="133"/>
      <c r="M1442" s="133"/>
      <c r="N1442" s="133"/>
      <c r="O1442" s="133"/>
      <c r="P1442" s="134"/>
      <c r="Q1442" s="146"/>
      <c r="R1442" s="17"/>
      <c r="S1442" s="17"/>
      <c r="T1442" s="75"/>
      <c r="U1442" s="75"/>
      <c r="V1442" s="75"/>
      <c r="W1442" s="75"/>
      <c r="X1442" s="75"/>
    </row>
    <row r="1443">
      <c r="A1443" s="17"/>
      <c r="B1443" s="17"/>
      <c r="C1443" s="133"/>
      <c r="D1443" s="133"/>
      <c r="E1443" s="17"/>
      <c r="F1443" s="133"/>
      <c r="G1443" s="133"/>
      <c r="H1443" s="133"/>
      <c r="I1443" s="133"/>
      <c r="J1443" s="133"/>
      <c r="K1443" s="133"/>
      <c r="L1443" s="133"/>
      <c r="M1443" s="133"/>
      <c r="N1443" s="133"/>
      <c r="O1443" s="133"/>
      <c r="P1443" s="134"/>
      <c r="Q1443" s="146"/>
      <c r="R1443" s="17"/>
      <c r="S1443" s="17"/>
      <c r="T1443" s="75"/>
      <c r="U1443" s="75"/>
      <c r="V1443" s="75"/>
      <c r="W1443" s="75"/>
      <c r="X1443" s="75"/>
    </row>
    <row r="1444">
      <c r="A1444" s="17"/>
      <c r="B1444" s="17"/>
      <c r="C1444" s="133"/>
      <c r="D1444" s="133"/>
      <c r="E1444" s="17"/>
      <c r="F1444" s="133"/>
      <c r="G1444" s="133"/>
      <c r="H1444" s="133"/>
      <c r="I1444" s="133"/>
      <c r="J1444" s="133"/>
      <c r="K1444" s="133"/>
      <c r="L1444" s="133"/>
      <c r="M1444" s="133"/>
      <c r="N1444" s="133"/>
      <c r="O1444" s="133"/>
      <c r="P1444" s="134"/>
      <c r="Q1444" s="146"/>
      <c r="R1444" s="17"/>
      <c r="S1444" s="17"/>
      <c r="T1444" s="75"/>
      <c r="U1444" s="75"/>
      <c r="V1444" s="75"/>
      <c r="W1444" s="75"/>
      <c r="X1444" s="75"/>
    </row>
    <row r="1445">
      <c r="A1445" s="17"/>
      <c r="B1445" s="17"/>
      <c r="C1445" s="133"/>
      <c r="D1445" s="133"/>
      <c r="E1445" s="17"/>
      <c r="F1445" s="133"/>
      <c r="G1445" s="133"/>
      <c r="H1445" s="133"/>
      <c r="I1445" s="133"/>
      <c r="J1445" s="133"/>
      <c r="K1445" s="133"/>
      <c r="L1445" s="133"/>
      <c r="M1445" s="133"/>
      <c r="N1445" s="133"/>
      <c r="O1445" s="133"/>
      <c r="P1445" s="134"/>
      <c r="Q1445" s="146"/>
      <c r="R1445" s="17"/>
      <c r="S1445" s="17"/>
      <c r="T1445" s="75"/>
      <c r="U1445" s="75"/>
      <c r="V1445" s="75"/>
      <c r="W1445" s="75"/>
      <c r="X1445" s="75"/>
    </row>
    <row r="1446">
      <c r="A1446" s="17"/>
      <c r="B1446" s="17"/>
      <c r="C1446" s="133"/>
      <c r="D1446" s="133"/>
      <c r="E1446" s="17"/>
      <c r="F1446" s="133"/>
      <c r="G1446" s="133"/>
      <c r="H1446" s="133"/>
      <c r="I1446" s="133"/>
      <c r="J1446" s="133"/>
      <c r="K1446" s="133"/>
      <c r="L1446" s="133"/>
      <c r="M1446" s="133"/>
      <c r="N1446" s="133"/>
      <c r="O1446" s="133"/>
      <c r="P1446" s="134"/>
      <c r="Q1446" s="146"/>
      <c r="R1446" s="17"/>
      <c r="S1446" s="17"/>
      <c r="T1446" s="75"/>
      <c r="U1446" s="75"/>
      <c r="V1446" s="75"/>
      <c r="W1446" s="75"/>
      <c r="X1446" s="75"/>
    </row>
    <row r="1447">
      <c r="A1447" s="17"/>
      <c r="B1447" s="17"/>
      <c r="C1447" s="133"/>
      <c r="D1447" s="133"/>
      <c r="E1447" s="17"/>
      <c r="F1447" s="133"/>
      <c r="G1447" s="133"/>
      <c r="H1447" s="133"/>
      <c r="I1447" s="133"/>
      <c r="J1447" s="133"/>
      <c r="K1447" s="133"/>
      <c r="L1447" s="133"/>
      <c r="M1447" s="133"/>
      <c r="N1447" s="133"/>
      <c r="O1447" s="133"/>
      <c r="P1447" s="134"/>
      <c r="Q1447" s="146"/>
      <c r="R1447" s="17"/>
      <c r="S1447" s="17"/>
      <c r="T1447" s="75"/>
      <c r="U1447" s="75"/>
      <c r="V1447" s="75"/>
      <c r="W1447" s="75"/>
      <c r="X1447" s="75"/>
    </row>
    <row r="1448">
      <c r="A1448" s="17"/>
      <c r="B1448" s="17"/>
      <c r="C1448" s="133"/>
      <c r="D1448" s="133"/>
      <c r="E1448" s="17"/>
      <c r="F1448" s="133"/>
      <c r="G1448" s="133"/>
      <c r="H1448" s="133"/>
      <c r="I1448" s="133"/>
      <c r="J1448" s="133"/>
      <c r="K1448" s="133"/>
      <c r="L1448" s="133"/>
      <c r="M1448" s="133"/>
      <c r="N1448" s="133"/>
      <c r="O1448" s="133"/>
      <c r="P1448" s="134"/>
      <c r="Q1448" s="146"/>
      <c r="R1448" s="17"/>
      <c r="S1448" s="17"/>
      <c r="T1448" s="75"/>
      <c r="U1448" s="75"/>
      <c r="V1448" s="75"/>
      <c r="W1448" s="75"/>
      <c r="X1448" s="75"/>
    </row>
    <row r="1449">
      <c r="A1449" s="17"/>
      <c r="B1449" s="17"/>
      <c r="C1449" s="133"/>
      <c r="D1449" s="133"/>
      <c r="E1449" s="17"/>
      <c r="F1449" s="133"/>
      <c r="G1449" s="133"/>
      <c r="H1449" s="133"/>
      <c r="I1449" s="133"/>
      <c r="J1449" s="133"/>
      <c r="K1449" s="133"/>
      <c r="L1449" s="133"/>
      <c r="M1449" s="133"/>
      <c r="N1449" s="133"/>
      <c r="O1449" s="133"/>
      <c r="P1449" s="134"/>
      <c r="Q1449" s="146"/>
      <c r="R1449" s="17"/>
      <c r="S1449" s="17"/>
      <c r="T1449" s="75"/>
      <c r="U1449" s="75"/>
      <c r="V1449" s="75"/>
      <c r="W1449" s="75"/>
      <c r="X1449" s="75"/>
    </row>
    <row r="1450">
      <c r="A1450" s="17"/>
      <c r="B1450" s="17"/>
      <c r="C1450" s="133"/>
      <c r="D1450" s="133"/>
      <c r="E1450" s="17"/>
      <c r="F1450" s="133"/>
      <c r="G1450" s="133"/>
      <c r="H1450" s="133"/>
      <c r="I1450" s="133"/>
      <c r="J1450" s="133"/>
      <c r="K1450" s="133"/>
      <c r="L1450" s="133"/>
      <c r="M1450" s="133"/>
      <c r="N1450" s="133"/>
      <c r="O1450" s="133"/>
      <c r="P1450" s="134"/>
      <c r="Q1450" s="146"/>
      <c r="R1450" s="17"/>
      <c r="S1450" s="17"/>
      <c r="T1450" s="75"/>
      <c r="U1450" s="75"/>
      <c r="V1450" s="75"/>
      <c r="W1450" s="75"/>
      <c r="X1450" s="75"/>
    </row>
    <row r="1451">
      <c r="A1451" s="17"/>
      <c r="B1451" s="17"/>
      <c r="C1451" s="133"/>
      <c r="D1451" s="133"/>
      <c r="E1451" s="17"/>
      <c r="F1451" s="133"/>
      <c r="G1451" s="133"/>
      <c r="H1451" s="133"/>
      <c r="I1451" s="133"/>
      <c r="J1451" s="133"/>
      <c r="K1451" s="133"/>
      <c r="L1451" s="133"/>
      <c r="M1451" s="133"/>
      <c r="N1451" s="133"/>
      <c r="O1451" s="133"/>
      <c r="P1451" s="134"/>
      <c r="Q1451" s="146"/>
      <c r="R1451" s="17"/>
      <c r="S1451" s="17"/>
      <c r="T1451" s="75"/>
      <c r="U1451" s="75"/>
      <c r="V1451" s="75"/>
      <c r="W1451" s="75"/>
      <c r="X1451" s="75"/>
    </row>
    <row r="1452">
      <c r="A1452" s="17"/>
      <c r="B1452" s="17"/>
      <c r="C1452" s="133"/>
      <c r="D1452" s="133"/>
      <c r="E1452" s="17"/>
      <c r="F1452" s="133"/>
      <c r="G1452" s="133"/>
      <c r="H1452" s="133"/>
      <c r="I1452" s="133"/>
      <c r="J1452" s="133"/>
      <c r="K1452" s="133"/>
      <c r="L1452" s="133"/>
      <c r="M1452" s="133"/>
      <c r="N1452" s="133"/>
      <c r="O1452" s="133"/>
      <c r="P1452" s="134"/>
      <c r="Q1452" s="146"/>
      <c r="R1452" s="17"/>
      <c r="S1452" s="17"/>
      <c r="T1452" s="75"/>
      <c r="U1452" s="75"/>
      <c r="V1452" s="75"/>
      <c r="W1452" s="75"/>
      <c r="X1452" s="75"/>
    </row>
    <row r="1453">
      <c r="A1453" s="17"/>
      <c r="B1453" s="17"/>
      <c r="C1453" s="133"/>
      <c r="D1453" s="133"/>
      <c r="E1453" s="17"/>
      <c r="F1453" s="133"/>
      <c r="G1453" s="133"/>
      <c r="H1453" s="133"/>
      <c r="I1453" s="133"/>
      <c r="J1453" s="133"/>
      <c r="K1453" s="133"/>
      <c r="L1453" s="133"/>
      <c r="M1453" s="133"/>
      <c r="N1453" s="133"/>
      <c r="O1453" s="133"/>
      <c r="P1453" s="134"/>
      <c r="Q1453" s="146"/>
      <c r="R1453" s="17"/>
      <c r="S1453" s="17"/>
      <c r="T1453" s="75"/>
      <c r="U1453" s="75"/>
      <c r="V1453" s="75"/>
      <c r="W1453" s="75"/>
      <c r="X1453" s="75"/>
    </row>
    <row r="1454">
      <c r="A1454" s="17"/>
      <c r="B1454" s="17"/>
      <c r="C1454" s="133"/>
      <c r="D1454" s="133"/>
      <c r="E1454" s="17"/>
      <c r="F1454" s="133"/>
      <c r="G1454" s="133"/>
      <c r="H1454" s="133"/>
      <c r="I1454" s="133"/>
      <c r="J1454" s="133"/>
      <c r="K1454" s="133"/>
      <c r="L1454" s="133"/>
      <c r="M1454" s="133"/>
      <c r="N1454" s="133"/>
      <c r="O1454" s="133"/>
      <c r="P1454" s="134"/>
      <c r="Q1454" s="146"/>
      <c r="R1454" s="17"/>
      <c r="S1454" s="17"/>
      <c r="T1454" s="75"/>
      <c r="U1454" s="75"/>
      <c r="V1454" s="75"/>
      <c r="W1454" s="75"/>
      <c r="X1454" s="75"/>
    </row>
    <row r="1455">
      <c r="A1455" s="17"/>
      <c r="B1455" s="17"/>
      <c r="C1455" s="133"/>
      <c r="D1455" s="133"/>
      <c r="E1455" s="17"/>
      <c r="F1455" s="133"/>
      <c r="G1455" s="133"/>
      <c r="H1455" s="133"/>
      <c r="I1455" s="133"/>
      <c r="J1455" s="133"/>
      <c r="K1455" s="133"/>
      <c r="L1455" s="133"/>
      <c r="M1455" s="133"/>
      <c r="N1455" s="133"/>
      <c r="O1455" s="133"/>
      <c r="P1455" s="134"/>
      <c r="Q1455" s="146"/>
      <c r="R1455" s="17"/>
      <c r="S1455" s="17"/>
      <c r="T1455" s="75"/>
      <c r="U1455" s="75"/>
      <c r="V1455" s="75"/>
      <c r="W1455" s="75"/>
      <c r="X1455" s="75"/>
    </row>
    <row r="1456">
      <c r="A1456" s="17"/>
      <c r="B1456" s="17"/>
      <c r="C1456" s="133"/>
      <c r="D1456" s="133"/>
      <c r="E1456" s="17"/>
      <c r="F1456" s="133"/>
      <c r="G1456" s="133"/>
      <c r="H1456" s="133"/>
      <c r="I1456" s="133"/>
      <c r="J1456" s="133"/>
      <c r="K1456" s="133"/>
      <c r="L1456" s="133"/>
      <c r="M1456" s="133"/>
      <c r="N1456" s="133"/>
      <c r="O1456" s="133"/>
      <c r="P1456" s="134"/>
      <c r="Q1456" s="146"/>
      <c r="R1456" s="17"/>
      <c r="S1456" s="17"/>
      <c r="T1456" s="75"/>
      <c r="U1456" s="75"/>
      <c r="V1456" s="75"/>
      <c r="W1456" s="75"/>
      <c r="X1456" s="75"/>
    </row>
    <row r="1457">
      <c r="A1457" s="17"/>
      <c r="B1457" s="17"/>
      <c r="C1457" s="133"/>
      <c r="D1457" s="133"/>
      <c r="E1457" s="17"/>
      <c r="F1457" s="133"/>
      <c r="G1457" s="133"/>
      <c r="H1457" s="133"/>
      <c r="I1457" s="133"/>
      <c r="J1457" s="133"/>
      <c r="K1457" s="133"/>
      <c r="L1457" s="133"/>
      <c r="M1457" s="133"/>
      <c r="N1457" s="133"/>
      <c r="O1457" s="133"/>
      <c r="P1457" s="134"/>
      <c r="Q1457" s="146"/>
      <c r="R1457" s="17"/>
      <c r="S1457" s="17"/>
      <c r="T1457" s="75"/>
      <c r="U1457" s="75"/>
      <c r="V1457" s="75"/>
      <c r="W1457" s="75"/>
      <c r="X1457" s="75"/>
    </row>
    <row r="1458">
      <c r="A1458" s="17"/>
      <c r="B1458" s="17"/>
      <c r="C1458" s="133"/>
      <c r="D1458" s="133"/>
      <c r="E1458" s="17"/>
      <c r="F1458" s="133"/>
      <c r="G1458" s="133"/>
      <c r="H1458" s="133"/>
      <c r="I1458" s="133"/>
      <c r="J1458" s="133"/>
      <c r="K1458" s="133"/>
      <c r="L1458" s="133"/>
      <c r="M1458" s="133"/>
      <c r="N1458" s="133"/>
      <c r="O1458" s="133"/>
      <c r="P1458" s="134"/>
      <c r="Q1458" s="146"/>
      <c r="R1458" s="17"/>
      <c r="S1458" s="17"/>
      <c r="T1458" s="75"/>
      <c r="U1458" s="75"/>
      <c r="V1458" s="75"/>
      <c r="W1458" s="75"/>
      <c r="X1458" s="75"/>
    </row>
    <row r="1459">
      <c r="A1459" s="17"/>
      <c r="B1459" s="17"/>
      <c r="C1459" s="133"/>
      <c r="D1459" s="133"/>
      <c r="E1459" s="17"/>
      <c r="F1459" s="133"/>
      <c r="G1459" s="133"/>
      <c r="H1459" s="133"/>
      <c r="I1459" s="133"/>
      <c r="J1459" s="133"/>
      <c r="K1459" s="133"/>
      <c r="L1459" s="133"/>
      <c r="M1459" s="133"/>
      <c r="N1459" s="133"/>
      <c r="O1459" s="133"/>
      <c r="P1459" s="134"/>
      <c r="Q1459" s="146"/>
      <c r="R1459" s="17"/>
      <c r="S1459" s="17"/>
      <c r="T1459" s="75"/>
      <c r="U1459" s="75"/>
      <c r="V1459" s="75"/>
      <c r="W1459" s="75"/>
      <c r="X1459" s="75"/>
    </row>
    <row r="1460">
      <c r="A1460" s="17"/>
      <c r="B1460" s="17"/>
      <c r="C1460" s="133"/>
      <c r="D1460" s="133"/>
      <c r="E1460" s="17"/>
      <c r="F1460" s="133"/>
      <c r="G1460" s="133"/>
      <c r="H1460" s="133"/>
      <c r="I1460" s="133"/>
      <c r="J1460" s="133"/>
      <c r="K1460" s="133"/>
      <c r="L1460" s="133"/>
      <c r="M1460" s="133"/>
      <c r="N1460" s="133"/>
      <c r="O1460" s="133"/>
      <c r="P1460" s="134"/>
      <c r="Q1460" s="146"/>
      <c r="R1460" s="17"/>
      <c r="S1460" s="17"/>
      <c r="T1460" s="75"/>
      <c r="U1460" s="75"/>
      <c r="V1460" s="75"/>
      <c r="W1460" s="75"/>
      <c r="X1460" s="75"/>
    </row>
    <row r="1461">
      <c r="A1461" s="17"/>
      <c r="B1461" s="17"/>
      <c r="C1461" s="133"/>
      <c r="D1461" s="133"/>
      <c r="E1461" s="17"/>
      <c r="F1461" s="133"/>
      <c r="G1461" s="133"/>
      <c r="H1461" s="133"/>
      <c r="I1461" s="133"/>
      <c r="J1461" s="133"/>
      <c r="K1461" s="133"/>
      <c r="L1461" s="133"/>
      <c r="M1461" s="133"/>
      <c r="N1461" s="133"/>
      <c r="O1461" s="133"/>
      <c r="P1461" s="134"/>
      <c r="Q1461" s="146"/>
      <c r="R1461" s="17"/>
      <c r="S1461" s="17"/>
      <c r="T1461" s="75"/>
      <c r="U1461" s="75"/>
      <c r="V1461" s="75"/>
      <c r="W1461" s="75"/>
      <c r="X1461" s="75"/>
    </row>
    <row r="1462">
      <c r="A1462" s="17"/>
      <c r="B1462" s="17"/>
      <c r="C1462" s="133"/>
      <c r="D1462" s="133"/>
      <c r="E1462" s="17"/>
      <c r="F1462" s="133"/>
      <c r="G1462" s="133"/>
      <c r="H1462" s="133"/>
      <c r="I1462" s="133"/>
      <c r="J1462" s="133"/>
      <c r="K1462" s="133"/>
      <c r="L1462" s="133"/>
      <c r="M1462" s="133"/>
      <c r="N1462" s="133"/>
      <c r="O1462" s="133"/>
      <c r="P1462" s="134"/>
      <c r="Q1462" s="146"/>
      <c r="R1462" s="17"/>
      <c r="S1462" s="17"/>
      <c r="T1462" s="75"/>
      <c r="U1462" s="75"/>
      <c r="V1462" s="75"/>
      <c r="W1462" s="75"/>
      <c r="X1462" s="75"/>
    </row>
    <row r="1463">
      <c r="A1463" s="17"/>
      <c r="B1463" s="17"/>
      <c r="C1463" s="133"/>
      <c r="D1463" s="133"/>
      <c r="E1463" s="17"/>
      <c r="F1463" s="133"/>
      <c r="G1463" s="133"/>
      <c r="H1463" s="133"/>
      <c r="I1463" s="133"/>
      <c r="J1463" s="133"/>
      <c r="K1463" s="133"/>
      <c r="L1463" s="133"/>
      <c r="M1463" s="133"/>
      <c r="N1463" s="133"/>
      <c r="O1463" s="133"/>
      <c r="P1463" s="134"/>
      <c r="Q1463" s="146"/>
      <c r="R1463" s="17"/>
      <c r="S1463" s="17"/>
      <c r="T1463" s="75"/>
      <c r="U1463" s="75"/>
      <c r="V1463" s="75"/>
      <c r="W1463" s="75"/>
      <c r="X1463" s="75"/>
    </row>
    <row r="1464">
      <c r="A1464" s="17"/>
      <c r="B1464" s="17"/>
      <c r="C1464" s="133"/>
      <c r="D1464" s="133"/>
      <c r="E1464" s="17"/>
      <c r="F1464" s="133"/>
      <c r="G1464" s="133"/>
      <c r="H1464" s="133"/>
      <c r="I1464" s="133"/>
      <c r="J1464" s="133"/>
      <c r="K1464" s="133"/>
      <c r="L1464" s="133"/>
      <c r="M1464" s="133"/>
      <c r="N1464" s="133"/>
      <c r="O1464" s="133"/>
      <c r="P1464" s="134"/>
      <c r="Q1464" s="146"/>
      <c r="R1464" s="17"/>
      <c r="S1464" s="17"/>
      <c r="T1464" s="75"/>
      <c r="U1464" s="75"/>
      <c r="V1464" s="75"/>
      <c r="W1464" s="75"/>
      <c r="X1464" s="75"/>
    </row>
    <row r="1465">
      <c r="A1465" s="17"/>
      <c r="B1465" s="17"/>
      <c r="C1465" s="133"/>
      <c r="D1465" s="133"/>
      <c r="E1465" s="17"/>
      <c r="F1465" s="133"/>
      <c r="G1465" s="133"/>
      <c r="H1465" s="133"/>
      <c r="I1465" s="133"/>
      <c r="J1465" s="133"/>
      <c r="K1465" s="133"/>
      <c r="L1465" s="133"/>
      <c r="M1465" s="133"/>
      <c r="N1465" s="133"/>
      <c r="O1465" s="133"/>
      <c r="P1465" s="134"/>
      <c r="Q1465" s="146"/>
      <c r="R1465" s="17"/>
      <c r="S1465" s="17"/>
      <c r="T1465" s="75"/>
      <c r="U1465" s="75"/>
      <c r="V1465" s="75"/>
      <c r="W1465" s="75"/>
      <c r="X1465" s="75"/>
    </row>
    <row r="1466">
      <c r="A1466" s="17"/>
      <c r="B1466" s="17"/>
      <c r="C1466" s="133"/>
      <c r="D1466" s="133"/>
      <c r="E1466" s="17"/>
      <c r="F1466" s="133"/>
      <c r="G1466" s="133"/>
      <c r="H1466" s="133"/>
      <c r="I1466" s="133"/>
      <c r="J1466" s="133"/>
      <c r="K1466" s="133"/>
      <c r="L1466" s="133"/>
      <c r="M1466" s="133"/>
      <c r="N1466" s="133"/>
      <c r="O1466" s="133"/>
      <c r="P1466" s="134"/>
      <c r="Q1466" s="146"/>
      <c r="R1466" s="17"/>
      <c r="S1466" s="17"/>
      <c r="T1466" s="75"/>
      <c r="U1466" s="75"/>
      <c r="V1466" s="75"/>
      <c r="W1466" s="75"/>
      <c r="X1466" s="75"/>
    </row>
    <row r="1467">
      <c r="A1467" s="17"/>
      <c r="B1467" s="17"/>
      <c r="C1467" s="133"/>
      <c r="D1467" s="133"/>
      <c r="E1467" s="17"/>
      <c r="F1467" s="133"/>
      <c r="G1467" s="133"/>
      <c r="H1467" s="133"/>
      <c r="I1467" s="133"/>
      <c r="J1467" s="133"/>
      <c r="K1467" s="133"/>
      <c r="L1467" s="133"/>
      <c r="M1467" s="133"/>
      <c r="N1467" s="133"/>
      <c r="O1467" s="133"/>
      <c r="P1467" s="134"/>
      <c r="Q1467" s="146"/>
      <c r="R1467" s="17"/>
      <c r="S1467" s="17"/>
      <c r="T1467" s="75"/>
      <c r="U1467" s="75"/>
      <c r="V1467" s="75"/>
      <c r="W1467" s="75"/>
      <c r="X1467" s="75"/>
    </row>
    <row r="1468">
      <c r="A1468" s="17"/>
      <c r="B1468" s="17"/>
      <c r="C1468" s="133"/>
      <c r="D1468" s="133"/>
      <c r="E1468" s="17"/>
      <c r="F1468" s="133"/>
      <c r="G1468" s="133"/>
      <c r="H1468" s="133"/>
      <c r="I1468" s="133"/>
      <c r="J1468" s="133"/>
      <c r="K1468" s="133"/>
      <c r="L1468" s="133"/>
      <c r="M1468" s="133"/>
      <c r="N1468" s="133"/>
      <c r="O1468" s="133"/>
      <c r="P1468" s="134"/>
      <c r="Q1468" s="146"/>
      <c r="R1468" s="17"/>
      <c r="S1468" s="17"/>
      <c r="T1468" s="75"/>
      <c r="U1468" s="75"/>
      <c r="V1468" s="75"/>
      <c r="W1468" s="75"/>
      <c r="X1468" s="75"/>
    </row>
    <row r="1469">
      <c r="A1469" s="17"/>
      <c r="B1469" s="17"/>
      <c r="C1469" s="133"/>
      <c r="D1469" s="133"/>
      <c r="E1469" s="17"/>
      <c r="F1469" s="133"/>
      <c r="G1469" s="133"/>
      <c r="H1469" s="133"/>
      <c r="I1469" s="133"/>
      <c r="J1469" s="133"/>
      <c r="K1469" s="133"/>
      <c r="L1469" s="133"/>
      <c r="M1469" s="133"/>
      <c r="N1469" s="133"/>
      <c r="O1469" s="133"/>
      <c r="P1469" s="134"/>
      <c r="Q1469" s="146"/>
      <c r="R1469" s="17"/>
      <c r="S1469" s="17"/>
      <c r="T1469" s="75"/>
      <c r="U1469" s="75"/>
      <c r="V1469" s="75"/>
      <c r="W1469" s="75"/>
      <c r="X1469" s="75"/>
    </row>
    <row r="1470">
      <c r="A1470" s="17"/>
      <c r="B1470" s="17"/>
      <c r="C1470" s="133"/>
      <c r="D1470" s="133"/>
      <c r="E1470" s="17"/>
      <c r="F1470" s="133"/>
      <c r="G1470" s="133"/>
      <c r="H1470" s="133"/>
      <c r="I1470" s="133"/>
      <c r="J1470" s="133"/>
      <c r="K1470" s="133"/>
      <c r="L1470" s="133"/>
      <c r="M1470" s="133"/>
      <c r="N1470" s="133"/>
      <c r="O1470" s="133"/>
      <c r="P1470" s="134"/>
      <c r="Q1470" s="146"/>
      <c r="R1470" s="17"/>
      <c r="S1470" s="17"/>
      <c r="T1470" s="75"/>
      <c r="U1470" s="75"/>
      <c r="V1470" s="75"/>
      <c r="W1470" s="75"/>
      <c r="X1470" s="75"/>
    </row>
    <row r="1471">
      <c r="A1471" s="17"/>
      <c r="B1471" s="17"/>
      <c r="C1471" s="133"/>
      <c r="D1471" s="133"/>
      <c r="E1471" s="17"/>
      <c r="F1471" s="133"/>
      <c r="G1471" s="133"/>
      <c r="H1471" s="133"/>
      <c r="I1471" s="133"/>
      <c r="J1471" s="133"/>
      <c r="K1471" s="133"/>
      <c r="L1471" s="133"/>
      <c r="M1471" s="133"/>
      <c r="N1471" s="133"/>
      <c r="O1471" s="133"/>
      <c r="P1471" s="134"/>
      <c r="Q1471" s="146"/>
      <c r="R1471" s="17"/>
      <c r="S1471" s="17"/>
      <c r="T1471" s="75"/>
      <c r="U1471" s="75"/>
      <c r="V1471" s="75"/>
      <c r="W1471" s="75"/>
      <c r="X1471" s="75"/>
    </row>
    <row r="1472">
      <c r="A1472" s="17"/>
      <c r="B1472" s="17"/>
      <c r="C1472" s="133"/>
      <c r="D1472" s="133"/>
      <c r="E1472" s="17"/>
      <c r="F1472" s="133"/>
      <c r="G1472" s="133"/>
      <c r="H1472" s="133"/>
      <c r="I1472" s="133"/>
      <c r="J1472" s="133"/>
      <c r="K1472" s="133"/>
      <c r="L1472" s="133"/>
      <c r="M1472" s="133"/>
      <c r="N1472" s="133"/>
      <c r="O1472" s="133"/>
      <c r="P1472" s="134"/>
      <c r="Q1472" s="146"/>
      <c r="R1472" s="17"/>
      <c r="S1472" s="17"/>
      <c r="T1472" s="75"/>
      <c r="U1472" s="75"/>
      <c r="V1472" s="75"/>
      <c r="W1472" s="75"/>
      <c r="X1472" s="75"/>
    </row>
    <row r="1473">
      <c r="A1473" s="17"/>
      <c r="B1473" s="17"/>
      <c r="C1473" s="133"/>
      <c r="D1473" s="133"/>
      <c r="E1473" s="17"/>
      <c r="F1473" s="133"/>
      <c r="G1473" s="133"/>
      <c r="H1473" s="133"/>
      <c r="I1473" s="133"/>
      <c r="J1473" s="133"/>
      <c r="K1473" s="133"/>
      <c r="L1473" s="133"/>
      <c r="M1473" s="133"/>
      <c r="N1473" s="133"/>
      <c r="O1473" s="133"/>
      <c r="P1473" s="134"/>
      <c r="Q1473" s="146"/>
      <c r="R1473" s="17"/>
      <c r="S1473" s="17"/>
      <c r="T1473" s="75"/>
      <c r="U1473" s="75"/>
      <c r="V1473" s="75"/>
      <c r="W1473" s="75"/>
      <c r="X1473" s="75"/>
    </row>
    <row r="1474">
      <c r="A1474" s="17"/>
      <c r="B1474" s="17"/>
      <c r="C1474" s="133"/>
      <c r="D1474" s="133"/>
      <c r="E1474" s="17"/>
      <c r="F1474" s="133"/>
      <c r="G1474" s="133"/>
      <c r="H1474" s="133"/>
      <c r="I1474" s="133"/>
      <c r="J1474" s="133"/>
      <c r="K1474" s="133"/>
      <c r="L1474" s="133"/>
      <c r="M1474" s="133"/>
      <c r="N1474" s="133"/>
      <c r="O1474" s="133"/>
      <c r="P1474" s="134"/>
      <c r="Q1474" s="146"/>
      <c r="R1474" s="17"/>
      <c r="S1474" s="17"/>
      <c r="T1474" s="75"/>
      <c r="U1474" s="75"/>
      <c r="V1474" s="75"/>
      <c r="W1474" s="75"/>
      <c r="X1474" s="75"/>
    </row>
    <row r="1475">
      <c r="A1475" s="17"/>
      <c r="B1475" s="17"/>
      <c r="C1475" s="133"/>
      <c r="D1475" s="133"/>
      <c r="E1475" s="17"/>
      <c r="F1475" s="133"/>
      <c r="G1475" s="133"/>
      <c r="H1475" s="133"/>
      <c r="I1475" s="133"/>
      <c r="J1475" s="133"/>
      <c r="K1475" s="133"/>
      <c r="L1475" s="133"/>
      <c r="M1475" s="133"/>
      <c r="N1475" s="133"/>
      <c r="O1475" s="133"/>
      <c r="P1475" s="134"/>
      <c r="Q1475" s="146"/>
      <c r="R1475" s="17"/>
      <c r="S1475" s="17"/>
      <c r="T1475" s="75"/>
      <c r="U1475" s="75"/>
      <c r="V1475" s="75"/>
      <c r="W1475" s="75"/>
      <c r="X1475" s="75"/>
    </row>
    <row r="1476">
      <c r="A1476" s="17"/>
      <c r="B1476" s="17"/>
      <c r="C1476" s="133"/>
      <c r="D1476" s="133"/>
      <c r="E1476" s="17"/>
      <c r="F1476" s="133"/>
      <c r="G1476" s="133"/>
      <c r="H1476" s="133"/>
      <c r="I1476" s="133"/>
      <c r="J1476" s="133"/>
      <c r="K1476" s="133"/>
      <c r="L1476" s="133"/>
      <c r="M1476" s="133"/>
      <c r="N1476" s="133"/>
      <c r="O1476" s="133"/>
      <c r="P1476" s="134"/>
      <c r="Q1476" s="146"/>
      <c r="R1476" s="17"/>
      <c r="S1476" s="17"/>
      <c r="T1476" s="75"/>
      <c r="U1476" s="75"/>
      <c r="V1476" s="75"/>
      <c r="W1476" s="75"/>
      <c r="X1476" s="75"/>
    </row>
    <row r="1477">
      <c r="A1477" s="17"/>
      <c r="B1477" s="17"/>
      <c r="C1477" s="133"/>
      <c r="D1477" s="133"/>
      <c r="E1477" s="17"/>
      <c r="F1477" s="133"/>
      <c r="G1477" s="133"/>
      <c r="H1477" s="133"/>
      <c r="I1477" s="133"/>
      <c r="J1477" s="133"/>
      <c r="K1477" s="133"/>
      <c r="L1477" s="133"/>
      <c r="M1477" s="133"/>
      <c r="N1477" s="133"/>
      <c r="O1477" s="133"/>
      <c r="P1477" s="134"/>
      <c r="Q1477" s="146"/>
      <c r="R1477" s="17"/>
      <c r="S1477" s="17"/>
      <c r="T1477" s="75"/>
      <c r="U1477" s="75"/>
      <c r="V1477" s="75"/>
      <c r="W1477" s="75"/>
      <c r="X1477" s="75"/>
    </row>
    <row r="1478">
      <c r="A1478" s="17"/>
      <c r="B1478" s="17"/>
      <c r="C1478" s="133"/>
      <c r="D1478" s="133"/>
      <c r="E1478" s="17"/>
      <c r="F1478" s="133"/>
      <c r="G1478" s="133"/>
      <c r="H1478" s="133"/>
      <c r="I1478" s="133"/>
      <c r="J1478" s="133"/>
      <c r="K1478" s="133"/>
      <c r="L1478" s="133"/>
      <c r="M1478" s="133"/>
      <c r="N1478" s="133"/>
      <c r="O1478" s="133"/>
      <c r="P1478" s="134"/>
      <c r="Q1478" s="146"/>
      <c r="R1478" s="17"/>
      <c r="S1478" s="17"/>
      <c r="T1478" s="75"/>
      <c r="U1478" s="75"/>
      <c r="V1478" s="75"/>
      <c r="W1478" s="75"/>
      <c r="X1478" s="75"/>
    </row>
    <row r="1479">
      <c r="A1479" s="17"/>
      <c r="B1479" s="17"/>
      <c r="C1479" s="133"/>
      <c r="D1479" s="133"/>
      <c r="E1479" s="17"/>
      <c r="F1479" s="133"/>
      <c r="G1479" s="133"/>
      <c r="H1479" s="133"/>
      <c r="I1479" s="133"/>
      <c r="J1479" s="133"/>
      <c r="K1479" s="133"/>
      <c r="L1479" s="133"/>
      <c r="M1479" s="133"/>
      <c r="N1479" s="133"/>
      <c r="O1479" s="133"/>
      <c r="P1479" s="134"/>
      <c r="Q1479" s="146"/>
      <c r="R1479" s="17"/>
      <c r="S1479" s="17"/>
      <c r="T1479" s="75"/>
      <c r="U1479" s="75"/>
      <c r="V1479" s="75"/>
      <c r="W1479" s="75"/>
      <c r="X1479" s="75"/>
    </row>
    <row r="1480">
      <c r="A1480" s="17"/>
      <c r="B1480" s="17"/>
      <c r="C1480" s="133"/>
      <c r="D1480" s="133"/>
      <c r="E1480" s="17"/>
      <c r="F1480" s="133"/>
      <c r="G1480" s="133"/>
      <c r="H1480" s="133"/>
      <c r="I1480" s="133"/>
      <c r="J1480" s="133"/>
      <c r="K1480" s="133"/>
      <c r="L1480" s="133"/>
      <c r="M1480" s="133"/>
      <c r="N1480" s="133"/>
      <c r="O1480" s="133"/>
      <c r="P1480" s="134"/>
      <c r="Q1480" s="146"/>
      <c r="R1480" s="17"/>
      <c r="S1480" s="17"/>
      <c r="T1480" s="75"/>
      <c r="U1480" s="75"/>
      <c r="V1480" s="75"/>
      <c r="W1480" s="75"/>
      <c r="X1480" s="75"/>
    </row>
    <row r="1481">
      <c r="A1481" s="17"/>
      <c r="B1481" s="17"/>
      <c r="C1481" s="133"/>
      <c r="D1481" s="133"/>
      <c r="E1481" s="17"/>
      <c r="F1481" s="133"/>
      <c r="G1481" s="133"/>
      <c r="H1481" s="133"/>
      <c r="I1481" s="133"/>
      <c r="J1481" s="133"/>
      <c r="K1481" s="133"/>
      <c r="L1481" s="133"/>
      <c r="M1481" s="133"/>
      <c r="N1481" s="133"/>
      <c r="O1481" s="133"/>
      <c r="P1481" s="134"/>
      <c r="Q1481" s="146"/>
      <c r="R1481" s="17"/>
      <c r="S1481" s="17"/>
      <c r="T1481" s="75"/>
      <c r="U1481" s="75"/>
      <c r="V1481" s="75"/>
      <c r="W1481" s="75"/>
      <c r="X1481" s="75"/>
    </row>
    <row r="1482">
      <c r="A1482" s="17"/>
      <c r="B1482" s="17"/>
      <c r="C1482" s="133"/>
      <c r="D1482" s="133"/>
      <c r="E1482" s="17"/>
      <c r="F1482" s="133"/>
      <c r="G1482" s="133"/>
      <c r="H1482" s="133"/>
      <c r="I1482" s="133"/>
      <c r="J1482" s="133"/>
      <c r="K1482" s="133"/>
      <c r="L1482" s="133"/>
      <c r="M1482" s="133"/>
      <c r="N1482" s="133"/>
      <c r="O1482" s="133"/>
      <c r="P1482" s="134"/>
      <c r="Q1482" s="146"/>
      <c r="R1482" s="17"/>
      <c r="S1482" s="17"/>
      <c r="T1482" s="75"/>
      <c r="U1482" s="75"/>
      <c r="V1482" s="75"/>
      <c r="W1482" s="75"/>
      <c r="X1482" s="75"/>
    </row>
    <row r="1483">
      <c r="A1483" s="17"/>
      <c r="B1483" s="17"/>
      <c r="C1483" s="133"/>
      <c r="D1483" s="133"/>
      <c r="E1483" s="17"/>
      <c r="F1483" s="133"/>
      <c r="G1483" s="133"/>
      <c r="H1483" s="133"/>
      <c r="I1483" s="133"/>
      <c r="J1483" s="133"/>
      <c r="K1483" s="133"/>
      <c r="L1483" s="133"/>
      <c r="M1483" s="133"/>
      <c r="N1483" s="133"/>
      <c r="O1483" s="133"/>
      <c r="P1483" s="134"/>
      <c r="Q1483" s="146"/>
      <c r="R1483" s="17"/>
      <c r="S1483" s="17"/>
      <c r="T1483" s="75"/>
      <c r="U1483" s="75"/>
      <c r="V1483" s="75"/>
      <c r="W1483" s="75"/>
      <c r="X1483" s="75"/>
    </row>
    <row r="1484">
      <c r="A1484" s="17"/>
      <c r="B1484" s="17"/>
      <c r="C1484" s="133"/>
      <c r="D1484" s="133"/>
      <c r="E1484" s="17"/>
      <c r="F1484" s="133"/>
      <c r="G1484" s="133"/>
      <c r="H1484" s="133"/>
      <c r="I1484" s="133"/>
      <c r="J1484" s="133"/>
      <c r="K1484" s="133"/>
      <c r="L1484" s="133"/>
      <c r="M1484" s="133"/>
      <c r="N1484" s="133"/>
      <c r="O1484" s="133"/>
      <c r="P1484" s="134"/>
      <c r="Q1484" s="146"/>
      <c r="R1484" s="17"/>
      <c r="S1484" s="17"/>
      <c r="T1484" s="75"/>
      <c r="U1484" s="75"/>
      <c r="V1484" s="75"/>
      <c r="W1484" s="75"/>
      <c r="X1484" s="75"/>
    </row>
    <row r="1485">
      <c r="A1485" s="17"/>
      <c r="B1485" s="17"/>
      <c r="C1485" s="133"/>
      <c r="D1485" s="133"/>
      <c r="E1485" s="17"/>
      <c r="F1485" s="133"/>
      <c r="G1485" s="133"/>
      <c r="H1485" s="133"/>
      <c r="I1485" s="133"/>
      <c r="J1485" s="133"/>
      <c r="K1485" s="133"/>
      <c r="L1485" s="133"/>
      <c r="M1485" s="133"/>
      <c r="N1485" s="133"/>
      <c r="O1485" s="133"/>
      <c r="P1485" s="134"/>
      <c r="Q1485" s="146"/>
      <c r="R1485" s="17"/>
      <c r="S1485" s="17"/>
      <c r="T1485" s="75"/>
      <c r="U1485" s="75"/>
      <c r="V1485" s="75"/>
      <c r="W1485" s="75"/>
      <c r="X1485" s="75"/>
    </row>
    <row r="1486">
      <c r="A1486" s="17"/>
      <c r="B1486" s="17"/>
      <c r="C1486" s="133"/>
      <c r="D1486" s="133"/>
      <c r="E1486" s="17"/>
      <c r="F1486" s="133"/>
      <c r="G1486" s="133"/>
      <c r="H1486" s="133"/>
      <c r="I1486" s="133"/>
      <c r="J1486" s="133"/>
      <c r="K1486" s="133"/>
      <c r="L1486" s="133"/>
      <c r="M1486" s="133"/>
      <c r="N1486" s="133"/>
      <c r="O1486" s="133"/>
      <c r="P1486" s="134"/>
      <c r="Q1486" s="146"/>
      <c r="R1486" s="17"/>
      <c r="S1486" s="17"/>
      <c r="T1486" s="75"/>
      <c r="U1486" s="75"/>
      <c r="V1486" s="75"/>
      <c r="W1486" s="75"/>
      <c r="X1486" s="75"/>
    </row>
    <row r="1487">
      <c r="A1487" s="17"/>
      <c r="B1487" s="17"/>
      <c r="C1487" s="133"/>
      <c r="D1487" s="133"/>
      <c r="E1487" s="17"/>
      <c r="F1487" s="133"/>
      <c r="G1487" s="133"/>
      <c r="H1487" s="133"/>
      <c r="I1487" s="133"/>
      <c r="J1487" s="133"/>
      <c r="K1487" s="133"/>
      <c r="L1487" s="133"/>
      <c r="M1487" s="133"/>
      <c r="N1487" s="133"/>
      <c r="O1487" s="133"/>
      <c r="P1487" s="134"/>
      <c r="Q1487" s="146"/>
      <c r="R1487" s="17"/>
      <c r="S1487" s="17"/>
      <c r="T1487" s="75"/>
      <c r="U1487" s="75"/>
      <c r="V1487" s="75"/>
      <c r="W1487" s="75"/>
      <c r="X1487" s="75"/>
    </row>
    <row r="1488">
      <c r="A1488" s="17"/>
      <c r="B1488" s="17"/>
      <c r="C1488" s="133"/>
      <c r="D1488" s="133"/>
      <c r="E1488" s="17"/>
      <c r="F1488" s="133"/>
      <c r="G1488" s="133"/>
      <c r="H1488" s="133"/>
      <c r="I1488" s="133"/>
      <c r="J1488" s="133"/>
      <c r="K1488" s="133"/>
      <c r="L1488" s="133"/>
      <c r="M1488" s="133"/>
      <c r="N1488" s="133"/>
      <c r="O1488" s="133"/>
      <c r="P1488" s="134"/>
      <c r="Q1488" s="146"/>
      <c r="R1488" s="17"/>
      <c r="S1488" s="17"/>
      <c r="T1488" s="75"/>
      <c r="U1488" s="75"/>
      <c r="V1488" s="75"/>
      <c r="W1488" s="75"/>
      <c r="X1488" s="75"/>
    </row>
    <row r="1489">
      <c r="A1489" s="17"/>
      <c r="B1489" s="17"/>
      <c r="C1489" s="133"/>
      <c r="D1489" s="133"/>
      <c r="E1489" s="17"/>
      <c r="F1489" s="133"/>
      <c r="G1489" s="133"/>
      <c r="H1489" s="133"/>
      <c r="I1489" s="133"/>
      <c r="J1489" s="133"/>
      <c r="K1489" s="133"/>
      <c r="L1489" s="133"/>
      <c r="M1489" s="133"/>
      <c r="N1489" s="133"/>
      <c r="O1489" s="133"/>
      <c r="P1489" s="134"/>
      <c r="Q1489" s="146"/>
      <c r="R1489" s="17"/>
      <c r="S1489" s="17"/>
      <c r="T1489" s="75"/>
      <c r="U1489" s="75"/>
      <c r="V1489" s="75"/>
      <c r="W1489" s="75"/>
      <c r="X1489" s="75"/>
    </row>
    <row r="1490">
      <c r="A1490" s="17"/>
      <c r="B1490" s="17"/>
      <c r="C1490" s="133"/>
      <c r="D1490" s="133"/>
      <c r="E1490" s="17"/>
      <c r="F1490" s="133"/>
      <c r="G1490" s="133"/>
      <c r="H1490" s="133"/>
      <c r="I1490" s="133"/>
      <c r="J1490" s="133"/>
      <c r="K1490" s="133"/>
      <c r="L1490" s="133"/>
      <c r="M1490" s="133"/>
      <c r="N1490" s="133"/>
      <c r="O1490" s="133"/>
      <c r="P1490" s="134"/>
      <c r="Q1490" s="146"/>
      <c r="R1490" s="17"/>
      <c r="S1490" s="17"/>
      <c r="T1490" s="75"/>
      <c r="U1490" s="75"/>
      <c r="V1490" s="75"/>
      <c r="W1490" s="75"/>
      <c r="X1490" s="75"/>
    </row>
    <row r="1491">
      <c r="A1491" s="17"/>
      <c r="B1491" s="17"/>
      <c r="C1491" s="133"/>
      <c r="D1491" s="133"/>
      <c r="E1491" s="17"/>
      <c r="F1491" s="133"/>
      <c r="G1491" s="133"/>
      <c r="H1491" s="133"/>
      <c r="I1491" s="133"/>
      <c r="J1491" s="133"/>
      <c r="K1491" s="133"/>
      <c r="L1491" s="133"/>
      <c r="M1491" s="133"/>
      <c r="N1491" s="133"/>
      <c r="O1491" s="133"/>
      <c r="P1491" s="134"/>
      <c r="Q1491" s="146"/>
      <c r="R1491" s="17"/>
      <c r="S1491" s="17"/>
      <c r="T1491" s="75"/>
      <c r="U1491" s="75"/>
      <c r="V1491" s="75"/>
      <c r="W1491" s="75"/>
      <c r="X1491" s="75"/>
    </row>
    <row r="1492">
      <c r="A1492" s="17"/>
      <c r="B1492" s="17"/>
      <c r="C1492" s="133"/>
      <c r="D1492" s="133"/>
      <c r="E1492" s="17"/>
      <c r="F1492" s="133"/>
      <c r="G1492" s="133"/>
      <c r="H1492" s="133"/>
      <c r="I1492" s="133"/>
      <c r="J1492" s="133"/>
      <c r="K1492" s="133"/>
      <c r="L1492" s="133"/>
      <c r="M1492" s="133"/>
      <c r="N1492" s="133"/>
      <c r="O1492" s="133"/>
      <c r="P1492" s="134"/>
      <c r="Q1492" s="146"/>
      <c r="R1492" s="17"/>
      <c r="S1492" s="17"/>
      <c r="T1492" s="75"/>
      <c r="U1492" s="75"/>
      <c r="V1492" s="75"/>
      <c r="W1492" s="75"/>
      <c r="X1492" s="75"/>
    </row>
    <row r="1493">
      <c r="A1493" s="17"/>
      <c r="B1493" s="17"/>
      <c r="C1493" s="133"/>
      <c r="D1493" s="133"/>
      <c r="E1493" s="17"/>
      <c r="F1493" s="133"/>
      <c r="G1493" s="133"/>
      <c r="H1493" s="133"/>
      <c r="I1493" s="133"/>
      <c r="J1493" s="133"/>
      <c r="K1493" s="133"/>
      <c r="L1493" s="133"/>
      <c r="M1493" s="133"/>
      <c r="N1493" s="133"/>
      <c r="O1493" s="133"/>
      <c r="P1493" s="134"/>
      <c r="Q1493" s="146"/>
      <c r="R1493" s="17"/>
      <c r="S1493" s="17"/>
      <c r="T1493" s="75"/>
      <c r="U1493" s="75"/>
      <c r="V1493" s="75"/>
      <c r="W1493" s="75"/>
      <c r="X1493" s="75"/>
    </row>
    <row r="1494">
      <c r="A1494" s="17"/>
      <c r="B1494" s="17"/>
      <c r="C1494" s="133"/>
      <c r="D1494" s="133"/>
      <c r="E1494" s="17"/>
      <c r="F1494" s="133"/>
      <c r="G1494" s="133"/>
      <c r="H1494" s="133"/>
      <c r="I1494" s="133"/>
      <c r="J1494" s="133"/>
      <c r="K1494" s="133"/>
      <c r="L1494" s="133"/>
      <c r="M1494" s="133"/>
      <c r="N1494" s="133"/>
      <c r="O1494" s="133"/>
      <c r="P1494" s="134"/>
      <c r="Q1494" s="146"/>
      <c r="R1494" s="17"/>
      <c r="S1494" s="17"/>
      <c r="T1494" s="75"/>
      <c r="U1494" s="75"/>
      <c r="V1494" s="75"/>
      <c r="W1494" s="75"/>
      <c r="X1494" s="75"/>
    </row>
    <row r="1495">
      <c r="A1495" s="17"/>
      <c r="B1495" s="17"/>
      <c r="C1495" s="133"/>
      <c r="D1495" s="133"/>
      <c r="E1495" s="17"/>
      <c r="F1495" s="133"/>
      <c r="G1495" s="133"/>
      <c r="H1495" s="133"/>
      <c r="I1495" s="133"/>
      <c r="J1495" s="133"/>
      <c r="K1495" s="133"/>
      <c r="L1495" s="133"/>
      <c r="M1495" s="133"/>
      <c r="N1495" s="133"/>
      <c r="O1495" s="133"/>
      <c r="P1495" s="134"/>
      <c r="Q1495" s="146"/>
      <c r="R1495" s="17"/>
      <c r="S1495" s="17"/>
      <c r="T1495" s="75"/>
      <c r="U1495" s="75"/>
      <c r="V1495" s="75"/>
      <c r="W1495" s="75"/>
      <c r="X1495" s="75"/>
    </row>
    <row r="1496">
      <c r="A1496" s="17"/>
      <c r="B1496" s="17"/>
      <c r="C1496" s="133"/>
      <c r="D1496" s="133"/>
      <c r="E1496" s="17"/>
      <c r="F1496" s="133"/>
      <c r="G1496" s="133"/>
      <c r="H1496" s="133"/>
      <c r="I1496" s="133"/>
      <c r="J1496" s="133"/>
      <c r="K1496" s="133"/>
      <c r="L1496" s="133"/>
      <c r="M1496" s="133"/>
      <c r="N1496" s="133"/>
      <c r="O1496" s="133"/>
      <c r="P1496" s="134"/>
      <c r="Q1496" s="146"/>
      <c r="R1496" s="17"/>
      <c r="S1496" s="17"/>
      <c r="T1496" s="75"/>
      <c r="U1496" s="75"/>
      <c r="V1496" s="75"/>
      <c r="W1496" s="75"/>
      <c r="X1496" s="75"/>
    </row>
    <row r="1497">
      <c r="A1497" s="17"/>
      <c r="B1497" s="17"/>
      <c r="C1497" s="133"/>
      <c r="D1497" s="133"/>
      <c r="E1497" s="17"/>
      <c r="F1497" s="133"/>
      <c r="G1497" s="133"/>
      <c r="H1497" s="133"/>
      <c r="I1497" s="133"/>
      <c r="J1497" s="133"/>
      <c r="K1497" s="133"/>
      <c r="L1497" s="133"/>
      <c r="M1497" s="133"/>
      <c r="N1497" s="133"/>
      <c r="O1497" s="133"/>
      <c r="P1497" s="134"/>
      <c r="Q1497" s="146"/>
      <c r="R1497" s="17"/>
      <c r="S1497" s="17"/>
      <c r="T1497" s="75"/>
      <c r="U1497" s="75"/>
      <c r="V1497" s="75"/>
      <c r="W1497" s="75"/>
      <c r="X1497" s="75"/>
    </row>
    <row r="1498">
      <c r="A1498" s="17"/>
      <c r="B1498" s="17"/>
      <c r="C1498" s="133"/>
      <c r="D1498" s="133"/>
      <c r="E1498" s="17"/>
      <c r="F1498" s="133"/>
      <c r="G1498" s="133"/>
      <c r="H1498" s="133"/>
      <c r="I1498" s="133"/>
      <c r="J1498" s="133"/>
      <c r="K1498" s="133"/>
      <c r="L1498" s="133"/>
      <c r="M1498" s="133"/>
      <c r="N1498" s="133"/>
      <c r="O1498" s="133"/>
      <c r="P1498" s="134"/>
      <c r="Q1498" s="146"/>
      <c r="R1498" s="17"/>
      <c r="S1498" s="17"/>
      <c r="T1498" s="75"/>
      <c r="U1498" s="75"/>
      <c r="V1498" s="75"/>
      <c r="W1498" s="75"/>
      <c r="X1498" s="75"/>
    </row>
    <row r="1499">
      <c r="A1499" s="17"/>
      <c r="B1499" s="17"/>
      <c r="C1499" s="133"/>
      <c r="D1499" s="133"/>
      <c r="E1499" s="17"/>
      <c r="F1499" s="133"/>
      <c r="G1499" s="133"/>
      <c r="H1499" s="133"/>
      <c r="I1499" s="133"/>
      <c r="J1499" s="133"/>
      <c r="K1499" s="133"/>
      <c r="L1499" s="133"/>
      <c r="M1499" s="133"/>
      <c r="N1499" s="133"/>
      <c r="O1499" s="133"/>
      <c r="P1499" s="134"/>
      <c r="Q1499" s="146"/>
      <c r="R1499" s="17"/>
      <c r="S1499" s="17"/>
      <c r="T1499" s="75"/>
      <c r="U1499" s="75"/>
      <c r="V1499" s="75"/>
      <c r="W1499" s="75"/>
      <c r="X1499" s="75"/>
    </row>
    <row r="1500">
      <c r="A1500" s="17"/>
      <c r="B1500" s="17"/>
      <c r="C1500" s="133"/>
      <c r="D1500" s="133"/>
      <c r="E1500" s="17"/>
      <c r="F1500" s="133"/>
      <c r="G1500" s="133"/>
      <c r="H1500" s="133"/>
      <c r="I1500" s="133"/>
      <c r="J1500" s="133"/>
      <c r="K1500" s="133"/>
      <c r="L1500" s="133"/>
      <c r="M1500" s="133"/>
      <c r="N1500" s="133"/>
      <c r="O1500" s="133"/>
      <c r="P1500" s="134"/>
      <c r="Q1500" s="146"/>
      <c r="R1500" s="17"/>
      <c r="S1500" s="17"/>
      <c r="T1500" s="75"/>
      <c r="U1500" s="75"/>
      <c r="V1500" s="75"/>
      <c r="W1500" s="75"/>
      <c r="X1500" s="75"/>
    </row>
    <row r="1501">
      <c r="A1501" s="17"/>
      <c r="B1501" s="17"/>
      <c r="C1501" s="133"/>
      <c r="D1501" s="133"/>
      <c r="E1501" s="17"/>
      <c r="F1501" s="133"/>
      <c r="G1501" s="133"/>
      <c r="H1501" s="133"/>
      <c r="I1501" s="133"/>
      <c r="J1501" s="133"/>
      <c r="K1501" s="133"/>
      <c r="L1501" s="133"/>
      <c r="M1501" s="133"/>
      <c r="N1501" s="133"/>
      <c r="O1501" s="133"/>
      <c r="P1501" s="134"/>
      <c r="Q1501" s="146"/>
      <c r="R1501" s="17"/>
      <c r="S1501" s="17"/>
      <c r="T1501" s="75"/>
      <c r="U1501" s="75"/>
      <c r="V1501" s="75"/>
      <c r="W1501" s="75"/>
      <c r="X1501" s="75"/>
    </row>
    <row r="1502">
      <c r="A1502" s="17"/>
      <c r="B1502" s="17"/>
      <c r="C1502" s="133"/>
      <c r="D1502" s="133"/>
      <c r="E1502" s="17"/>
      <c r="F1502" s="133"/>
      <c r="G1502" s="133"/>
      <c r="H1502" s="133"/>
      <c r="I1502" s="133"/>
      <c r="J1502" s="133"/>
      <c r="K1502" s="133"/>
      <c r="L1502" s="133"/>
      <c r="M1502" s="133"/>
      <c r="N1502" s="133"/>
      <c r="O1502" s="133"/>
      <c r="P1502" s="134"/>
      <c r="Q1502" s="146"/>
      <c r="R1502" s="17"/>
      <c r="S1502" s="17"/>
      <c r="T1502" s="75"/>
      <c r="U1502" s="75"/>
      <c r="V1502" s="75"/>
      <c r="W1502" s="75"/>
      <c r="X1502" s="75"/>
    </row>
    <row r="1503">
      <c r="A1503" s="17"/>
      <c r="B1503" s="17"/>
      <c r="C1503" s="133"/>
      <c r="D1503" s="133"/>
      <c r="E1503" s="17"/>
      <c r="F1503" s="133"/>
      <c r="G1503" s="133"/>
      <c r="H1503" s="133"/>
      <c r="I1503" s="133"/>
      <c r="J1503" s="133"/>
      <c r="K1503" s="133"/>
      <c r="L1503" s="133"/>
      <c r="M1503" s="133"/>
      <c r="N1503" s="133"/>
      <c r="O1503" s="133"/>
      <c r="P1503" s="134"/>
      <c r="Q1503" s="146"/>
      <c r="R1503" s="17"/>
      <c r="S1503" s="17"/>
      <c r="T1503" s="75"/>
      <c r="U1503" s="75"/>
      <c r="V1503" s="75"/>
      <c r="W1503" s="75"/>
      <c r="X1503" s="75"/>
    </row>
    <row r="1504">
      <c r="A1504" s="17"/>
      <c r="B1504" s="17"/>
      <c r="C1504" s="133"/>
      <c r="D1504" s="133"/>
      <c r="E1504" s="17"/>
      <c r="F1504" s="133"/>
      <c r="G1504" s="133"/>
      <c r="H1504" s="133"/>
      <c r="I1504" s="133"/>
      <c r="J1504" s="133"/>
      <c r="K1504" s="133"/>
      <c r="L1504" s="133"/>
      <c r="M1504" s="133"/>
      <c r="N1504" s="133"/>
      <c r="O1504" s="133"/>
      <c r="P1504" s="134"/>
      <c r="Q1504" s="146"/>
      <c r="R1504" s="17"/>
      <c r="S1504" s="17"/>
      <c r="T1504" s="75"/>
      <c r="U1504" s="75"/>
      <c r="V1504" s="75"/>
      <c r="W1504" s="75"/>
      <c r="X1504" s="75"/>
    </row>
    <row r="1505">
      <c r="A1505" s="17"/>
      <c r="B1505" s="17"/>
      <c r="C1505" s="133"/>
      <c r="D1505" s="133"/>
      <c r="E1505" s="17"/>
      <c r="F1505" s="133"/>
      <c r="G1505" s="133"/>
      <c r="H1505" s="133"/>
      <c r="I1505" s="133"/>
      <c r="J1505" s="133"/>
      <c r="K1505" s="133"/>
      <c r="L1505" s="133"/>
      <c r="M1505" s="133"/>
      <c r="N1505" s="133"/>
      <c r="O1505" s="133"/>
      <c r="P1505" s="134"/>
      <c r="Q1505" s="146"/>
      <c r="R1505" s="17"/>
      <c r="S1505" s="17"/>
      <c r="T1505" s="75"/>
      <c r="U1505" s="75"/>
      <c r="V1505" s="75"/>
      <c r="W1505" s="75"/>
      <c r="X1505" s="75"/>
    </row>
    <row r="1506">
      <c r="A1506" s="17"/>
      <c r="B1506" s="17"/>
      <c r="C1506" s="133"/>
      <c r="D1506" s="133"/>
      <c r="E1506" s="17"/>
      <c r="F1506" s="133"/>
      <c r="G1506" s="133"/>
      <c r="H1506" s="133"/>
      <c r="I1506" s="133"/>
      <c r="J1506" s="133"/>
      <c r="K1506" s="133"/>
      <c r="L1506" s="133"/>
      <c r="M1506" s="133"/>
      <c r="N1506" s="133"/>
      <c r="O1506" s="133"/>
      <c r="P1506" s="134"/>
      <c r="Q1506" s="146"/>
      <c r="R1506" s="17"/>
      <c r="S1506" s="17"/>
      <c r="T1506" s="75"/>
      <c r="U1506" s="75"/>
      <c r="V1506" s="75"/>
      <c r="W1506" s="75"/>
      <c r="X1506" s="75"/>
    </row>
    <row r="1507">
      <c r="A1507" s="17"/>
      <c r="B1507" s="17"/>
      <c r="C1507" s="133"/>
      <c r="D1507" s="133"/>
      <c r="E1507" s="17"/>
      <c r="F1507" s="133"/>
      <c r="G1507" s="133"/>
      <c r="H1507" s="133"/>
      <c r="I1507" s="133"/>
      <c r="J1507" s="133"/>
      <c r="K1507" s="133"/>
      <c r="L1507" s="133"/>
      <c r="M1507" s="133"/>
      <c r="N1507" s="133"/>
      <c r="O1507" s="133"/>
      <c r="P1507" s="134"/>
      <c r="Q1507" s="146"/>
      <c r="R1507" s="17"/>
      <c r="S1507" s="17"/>
      <c r="T1507" s="75"/>
      <c r="U1507" s="75"/>
      <c r="V1507" s="75"/>
      <c r="W1507" s="75"/>
      <c r="X1507" s="75"/>
    </row>
    <row r="1508">
      <c r="A1508" s="17"/>
      <c r="B1508" s="17"/>
      <c r="C1508" s="133"/>
      <c r="D1508" s="133"/>
      <c r="E1508" s="17"/>
      <c r="F1508" s="133"/>
      <c r="G1508" s="133"/>
      <c r="H1508" s="133"/>
      <c r="I1508" s="133"/>
      <c r="J1508" s="133"/>
      <c r="K1508" s="133"/>
      <c r="L1508" s="133"/>
      <c r="M1508" s="133"/>
      <c r="N1508" s="133"/>
      <c r="O1508" s="133"/>
      <c r="P1508" s="134"/>
      <c r="Q1508" s="146"/>
      <c r="R1508" s="17"/>
      <c r="S1508" s="17"/>
      <c r="T1508" s="75"/>
      <c r="U1508" s="75"/>
      <c r="V1508" s="75"/>
      <c r="W1508" s="75"/>
      <c r="X1508" s="75"/>
    </row>
    <row r="1509">
      <c r="A1509" s="17"/>
      <c r="B1509" s="17"/>
      <c r="C1509" s="133"/>
      <c r="D1509" s="133"/>
      <c r="E1509" s="17"/>
      <c r="F1509" s="133"/>
      <c r="G1509" s="133"/>
      <c r="H1509" s="133"/>
      <c r="I1509" s="133"/>
      <c r="J1509" s="133"/>
      <c r="K1509" s="133"/>
      <c r="L1509" s="133"/>
      <c r="M1509" s="133"/>
      <c r="N1509" s="133"/>
      <c r="O1509" s="133"/>
      <c r="P1509" s="134"/>
      <c r="Q1509" s="146"/>
      <c r="R1509" s="17"/>
      <c r="S1509" s="17"/>
      <c r="T1509" s="75"/>
      <c r="U1509" s="75"/>
      <c r="V1509" s="75"/>
      <c r="W1509" s="75"/>
      <c r="X1509" s="75"/>
    </row>
    <row r="1510">
      <c r="A1510" s="17"/>
      <c r="B1510" s="17"/>
      <c r="C1510" s="133"/>
      <c r="D1510" s="133"/>
      <c r="E1510" s="17"/>
      <c r="F1510" s="133"/>
      <c r="G1510" s="133"/>
      <c r="H1510" s="133"/>
      <c r="I1510" s="133"/>
      <c r="J1510" s="133"/>
      <c r="K1510" s="133"/>
      <c r="L1510" s="133"/>
      <c r="M1510" s="133"/>
      <c r="N1510" s="133"/>
      <c r="O1510" s="133"/>
      <c r="P1510" s="134"/>
      <c r="Q1510" s="146"/>
      <c r="R1510" s="17"/>
      <c r="S1510" s="17"/>
      <c r="T1510" s="75"/>
      <c r="U1510" s="75"/>
      <c r="V1510" s="75"/>
      <c r="W1510" s="75"/>
      <c r="X1510" s="75"/>
    </row>
    <row r="1511">
      <c r="A1511" s="17"/>
      <c r="B1511" s="17"/>
      <c r="C1511" s="133"/>
      <c r="D1511" s="133"/>
      <c r="E1511" s="17"/>
      <c r="F1511" s="133"/>
      <c r="G1511" s="133"/>
      <c r="H1511" s="133"/>
      <c r="I1511" s="133"/>
      <c r="J1511" s="133"/>
      <c r="K1511" s="133"/>
      <c r="L1511" s="133"/>
      <c r="M1511" s="133"/>
      <c r="N1511" s="133"/>
      <c r="O1511" s="133"/>
      <c r="P1511" s="134"/>
      <c r="Q1511" s="146"/>
      <c r="R1511" s="17"/>
      <c r="S1511" s="17"/>
      <c r="T1511" s="75"/>
      <c r="U1511" s="75"/>
      <c r="V1511" s="75"/>
      <c r="W1511" s="75"/>
      <c r="X1511" s="75"/>
    </row>
    <row r="1512">
      <c r="A1512" s="17"/>
      <c r="B1512" s="17"/>
      <c r="C1512" s="133"/>
      <c r="D1512" s="133"/>
      <c r="E1512" s="17"/>
      <c r="F1512" s="133"/>
      <c r="G1512" s="133"/>
      <c r="H1512" s="133"/>
      <c r="I1512" s="133"/>
      <c r="J1512" s="133"/>
      <c r="K1512" s="133"/>
      <c r="L1512" s="133"/>
      <c r="M1512" s="133"/>
      <c r="N1512" s="133"/>
      <c r="O1512" s="133"/>
      <c r="P1512" s="134"/>
      <c r="Q1512" s="146"/>
      <c r="R1512" s="17"/>
      <c r="S1512" s="17"/>
      <c r="T1512" s="75"/>
      <c r="U1512" s="75"/>
      <c r="V1512" s="75"/>
      <c r="W1512" s="75"/>
      <c r="X1512" s="75"/>
    </row>
    <row r="1513">
      <c r="A1513" s="17"/>
      <c r="B1513" s="17"/>
      <c r="C1513" s="133"/>
      <c r="D1513" s="133"/>
      <c r="E1513" s="17"/>
      <c r="F1513" s="133"/>
      <c r="G1513" s="133"/>
      <c r="H1513" s="133"/>
      <c r="I1513" s="133"/>
      <c r="J1513" s="133"/>
      <c r="K1513" s="133"/>
      <c r="L1513" s="133"/>
      <c r="M1513" s="133"/>
      <c r="N1513" s="133"/>
      <c r="O1513" s="133"/>
      <c r="P1513" s="134"/>
      <c r="Q1513" s="146"/>
      <c r="R1513" s="17"/>
      <c r="S1513" s="17"/>
      <c r="T1513" s="75"/>
      <c r="U1513" s="75"/>
      <c r="V1513" s="75"/>
      <c r="W1513" s="75"/>
      <c r="X1513" s="75"/>
    </row>
    <row r="1514">
      <c r="A1514" s="17"/>
      <c r="B1514" s="17"/>
      <c r="C1514" s="133"/>
      <c r="D1514" s="133"/>
      <c r="E1514" s="17"/>
      <c r="F1514" s="133"/>
      <c r="G1514" s="133"/>
      <c r="H1514" s="133"/>
      <c r="I1514" s="133"/>
      <c r="J1514" s="133"/>
      <c r="K1514" s="133"/>
      <c r="L1514" s="133"/>
      <c r="M1514" s="133"/>
      <c r="N1514" s="133"/>
      <c r="O1514" s="133"/>
      <c r="P1514" s="134"/>
      <c r="Q1514" s="146"/>
      <c r="R1514" s="17"/>
      <c r="S1514" s="17"/>
      <c r="T1514" s="75"/>
      <c r="U1514" s="75"/>
      <c r="V1514" s="75"/>
      <c r="W1514" s="75"/>
      <c r="X1514" s="75"/>
    </row>
    <row r="1515">
      <c r="A1515" s="17"/>
      <c r="B1515" s="17"/>
      <c r="C1515" s="133"/>
      <c r="D1515" s="133"/>
      <c r="E1515" s="17"/>
      <c r="F1515" s="133"/>
      <c r="G1515" s="133"/>
      <c r="H1515" s="133"/>
      <c r="I1515" s="133"/>
      <c r="J1515" s="133"/>
      <c r="K1515" s="133"/>
      <c r="L1515" s="133"/>
      <c r="M1515" s="133"/>
      <c r="N1515" s="133"/>
      <c r="O1515" s="133"/>
      <c r="P1515" s="134"/>
      <c r="Q1515" s="146"/>
      <c r="R1515" s="17"/>
      <c r="S1515" s="17"/>
      <c r="T1515" s="75"/>
      <c r="U1515" s="75"/>
      <c r="V1515" s="75"/>
      <c r="W1515" s="75"/>
      <c r="X1515" s="75"/>
    </row>
    <row r="1516">
      <c r="A1516" s="17"/>
      <c r="B1516" s="17"/>
      <c r="C1516" s="133"/>
      <c r="D1516" s="133"/>
      <c r="E1516" s="17"/>
      <c r="F1516" s="133"/>
      <c r="G1516" s="133"/>
      <c r="H1516" s="133"/>
      <c r="I1516" s="133"/>
      <c r="J1516" s="133"/>
      <c r="K1516" s="133"/>
      <c r="L1516" s="133"/>
      <c r="M1516" s="133"/>
      <c r="N1516" s="133"/>
      <c r="O1516" s="133"/>
      <c r="P1516" s="134"/>
      <c r="Q1516" s="146"/>
      <c r="R1516" s="17"/>
      <c r="S1516" s="17"/>
      <c r="T1516" s="75"/>
      <c r="U1516" s="75"/>
      <c r="V1516" s="75"/>
      <c r="W1516" s="75"/>
      <c r="X1516" s="75"/>
    </row>
    <row r="1517">
      <c r="A1517" s="17"/>
      <c r="B1517" s="17"/>
      <c r="C1517" s="133"/>
      <c r="D1517" s="133"/>
      <c r="E1517" s="17"/>
      <c r="F1517" s="133"/>
      <c r="G1517" s="133"/>
      <c r="H1517" s="133"/>
      <c r="I1517" s="133"/>
      <c r="J1517" s="133"/>
      <c r="K1517" s="133"/>
      <c r="L1517" s="133"/>
      <c r="M1517" s="133"/>
      <c r="N1517" s="133"/>
      <c r="O1517" s="133"/>
      <c r="P1517" s="134"/>
      <c r="Q1517" s="146"/>
      <c r="R1517" s="17"/>
      <c r="S1517" s="17"/>
      <c r="T1517" s="75"/>
      <c r="U1517" s="75"/>
      <c r="V1517" s="75"/>
      <c r="W1517" s="75"/>
      <c r="X1517" s="75"/>
    </row>
    <row r="1518">
      <c r="A1518" s="17"/>
      <c r="B1518" s="17"/>
      <c r="C1518" s="133"/>
      <c r="D1518" s="133"/>
      <c r="E1518" s="17"/>
      <c r="F1518" s="133"/>
      <c r="G1518" s="133"/>
      <c r="H1518" s="133"/>
      <c r="I1518" s="133"/>
      <c r="J1518" s="133"/>
      <c r="K1518" s="133"/>
      <c r="L1518" s="133"/>
      <c r="M1518" s="133"/>
      <c r="N1518" s="133"/>
      <c r="O1518" s="133"/>
      <c r="P1518" s="134"/>
      <c r="Q1518" s="146"/>
      <c r="R1518" s="17"/>
      <c r="S1518" s="17"/>
      <c r="T1518" s="75"/>
      <c r="U1518" s="75"/>
      <c r="V1518" s="75"/>
      <c r="W1518" s="75"/>
      <c r="X1518" s="75"/>
    </row>
    <row r="1519">
      <c r="A1519" s="17"/>
      <c r="B1519" s="17"/>
      <c r="C1519" s="133"/>
      <c r="D1519" s="133"/>
      <c r="E1519" s="17"/>
      <c r="F1519" s="133"/>
      <c r="G1519" s="133"/>
      <c r="H1519" s="133"/>
      <c r="I1519" s="133"/>
      <c r="J1519" s="133"/>
      <c r="K1519" s="133"/>
      <c r="L1519" s="133"/>
      <c r="M1519" s="133"/>
      <c r="N1519" s="133"/>
      <c r="O1519" s="133"/>
      <c r="P1519" s="134"/>
      <c r="Q1519" s="146"/>
      <c r="R1519" s="17"/>
      <c r="S1519" s="17"/>
      <c r="T1519" s="75"/>
      <c r="U1519" s="75"/>
      <c r="V1519" s="75"/>
      <c r="W1519" s="75"/>
      <c r="X1519" s="75"/>
    </row>
    <row r="1520">
      <c r="A1520" s="17"/>
      <c r="B1520" s="17"/>
      <c r="C1520" s="133"/>
      <c r="D1520" s="133"/>
      <c r="E1520" s="17"/>
      <c r="F1520" s="133"/>
      <c r="G1520" s="133"/>
      <c r="H1520" s="133"/>
      <c r="I1520" s="133"/>
      <c r="J1520" s="133"/>
      <c r="K1520" s="133"/>
      <c r="L1520" s="133"/>
      <c r="M1520" s="133"/>
      <c r="N1520" s="133"/>
      <c r="O1520" s="133"/>
      <c r="P1520" s="134"/>
      <c r="Q1520" s="146"/>
      <c r="R1520" s="17"/>
      <c r="S1520" s="17"/>
      <c r="T1520" s="75"/>
      <c r="U1520" s="75"/>
      <c r="V1520" s="75"/>
      <c r="W1520" s="75"/>
      <c r="X1520" s="75"/>
    </row>
    <row r="1521">
      <c r="A1521" s="17"/>
      <c r="B1521" s="17"/>
      <c r="C1521" s="133"/>
      <c r="D1521" s="133"/>
      <c r="E1521" s="17"/>
      <c r="F1521" s="133"/>
      <c r="G1521" s="133"/>
      <c r="H1521" s="133"/>
      <c r="I1521" s="133"/>
      <c r="J1521" s="133"/>
      <c r="K1521" s="133"/>
      <c r="L1521" s="133"/>
      <c r="M1521" s="133"/>
      <c r="N1521" s="133"/>
      <c r="O1521" s="133"/>
      <c r="P1521" s="134"/>
      <c r="Q1521" s="146"/>
      <c r="R1521" s="17"/>
      <c r="S1521" s="17"/>
      <c r="T1521" s="75"/>
      <c r="U1521" s="75"/>
      <c r="V1521" s="75"/>
      <c r="W1521" s="75"/>
      <c r="X1521" s="75"/>
    </row>
    <row r="1522">
      <c r="A1522" s="17"/>
      <c r="B1522" s="17"/>
      <c r="C1522" s="133"/>
      <c r="D1522" s="133"/>
      <c r="E1522" s="17"/>
      <c r="F1522" s="133"/>
      <c r="G1522" s="133"/>
      <c r="H1522" s="133"/>
      <c r="I1522" s="133"/>
      <c r="J1522" s="133"/>
      <c r="K1522" s="133"/>
      <c r="L1522" s="133"/>
      <c r="M1522" s="133"/>
      <c r="N1522" s="133"/>
      <c r="O1522" s="133"/>
      <c r="P1522" s="134"/>
      <c r="Q1522" s="146"/>
      <c r="R1522" s="17"/>
      <c r="S1522" s="17"/>
      <c r="T1522" s="75"/>
      <c r="U1522" s="75"/>
      <c r="V1522" s="75"/>
      <c r="W1522" s="75"/>
      <c r="X1522" s="75"/>
    </row>
    <row r="1523">
      <c r="A1523" s="17"/>
      <c r="B1523" s="17"/>
      <c r="C1523" s="133"/>
      <c r="D1523" s="133"/>
      <c r="E1523" s="17"/>
      <c r="F1523" s="133"/>
      <c r="G1523" s="133"/>
      <c r="H1523" s="133"/>
      <c r="I1523" s="133"/>
      <c r="J1523" s="133"/>
      <c r="K1523" s="133"/>
      <c r="L1523" s="133"/>
      <c r="M1523" s="133"/>
      <c r="N1523" s="133"/>
      <c r="O1523" s="133"/>
      <c r="P1523" s="134"/>
      <c r="Q1523" s="146"/>
      <c r="R1523" s="17"/>
      <c r="S1523" s="17"/>
      <c r="T1523" s="75"/>
      <c r="U1523" s="75"/>
      <c r="V1523" s="75"/>
      <c r="W1523" s="75"/>
      <c r="X1523" s="75"/>
    </row>
    <row r="1524">
      <c r="A1524" s="17"/>
      <c r="B1524" s="17"/>
      <c r="C1524" s="133"/>
      <c r="D1524" s="133"/>
      <c r="E1524" s="17"/>
      <c r="F1524" s="133"/>
      <c r="G1524" s="133"/>
      <c r="H1524" s="133"/>
      <c r="I1524" s="133"/>
      <c r="J1524" s="133"/>
      <c r="K1524" s="133"/>
      <c r="L1524" s="133"/>
      <c r="M1524" s="133"/>
      <c r="N1524" s="133"/>
      <c r="O1524" s="133"/>
      <c r="P1524" s="134"/>
      <c r="Q1524" s="146"/>
      <c r="R1524" s="17"/>
      <c r="S1524" s="17"/>
      <c r="T1524" s="75"/>
      <c r="U1524" s="75"/>
      <c r="V1524" s="75"/>
      <c r="W1524" s="75"/>
      <c r="X1524" s="75"/>
    </row>
    <row r="1525">
      <c r="A1525" s="17"/>
      <c r="B1525" s="17"/>
      <c r="C1525" s="133"/>
      <c r="D1525" s="133"/>
      <c r="E1525" s="17"/>
      <c r="F1525" s="133"/>
      <c r="G1525" s="133"/>
      <c r="H1525" s="133"/>
      <c r="I1525" s="133"/>
      <c r="J1525" s="133"/>
      <c r="K1525" s="133"/>
      <c r="L1525" s="133"/>
      <c r="M1525" s="133"/>
      <c r="N1525" s="133"/>
      <c r="O1525" s="133"/>
      <c r="P1525" s="134"/>
      <c r="Q1525" s="146"/>
      <c r="R1525" s="17"/>
      <c r="S1525" s="17"/>
      <c r="T1525" s="75"/>
      <c r="U1525" s="75"/>
      <c r="V1525" s="75"/>
      <c r="W1525" s="75"/>
      <c r="X1525" s="75"/>
    </row>
    <row r="1526">
      <c r="A1526" s="17"/>
      <c r="B1526" s="17"/>
      <c r="C1526" s="133"/>
      <c r="D1526" s="133"/>
      <c r="E1526" s="17"/>
      <c r="F1526" s="133"/>
      <c r="G1526" s="133"/>
      <c r="H1526" s="133"/>
      <c r="I1526" s="133"/>
      <c r="J1526" s="133"/>
      <c r="K1526" s="133"/>
      <c r="L1526" s="133"/>
      <c r="M1526" s="133"/>
      <c r="N1526" s="133"/>
      <c r="O1526" s="133"/>
      <c r="P1526" s="134"/>
      <c r="Q1526" s="146"/>
      <c r="R1526" s="17"/>
      <c r="S1526" s="17"/>
      <c r="T1526" s="75"/>
      <c r="U1526" s="75"/>
      <c r="V1526" s="75"/>
      <c r="W1526" s="75"/>
      <c r="X1526" s="75"/>
    </row>
    <row r="1527">
      <c r="A1527" s="17"/>
      <c r="B1527" s="17"/>
      <c r="C1527" s="133"/>
      <c r="D1527" s="133"/>
      <c r="E1527" s="17"/>
      <c r="F1527" s="133"/>
      <c r="G1527" s="133"/>
      <c r="H1527" s="133"/>
      <c r="I1527" s="133"/>
      <c r="J1527" s="133"/>
      <c r="K1527" s="133"/>
      <c r="L1527" s="133"/>
      <c r="M1527" s="133"/>
      <c r="N1527" s="133"/>
      <c r="O1527" s="133"/>
      <c r="P1527" s="134"/>
      <c r="Q1527" s="146"/>
      <c r="R1527" s="17"/>
      <c r="S1527" s="17"/>
      <c r="T1527" s="75"/>
      <c r="U1527" s="75"/>
      <c r="V1527" s="75"/>
      <c r="W1527" s="75"/>
      <c r="X1527" s="75"/>
    </row>
    <row r="1528">
      <c r="A1528" s="17"/>
      <c r="B1528" s="17"/>
      <c r="C1528" s="133"/>
      <c r="D1528" s="133"/>
      <c r="E1528" s="17"/>
      <c r="F1528" s="133"/>
      <c r="G1528" s="133"/>
      <c r="H1528" s="133"/>
      <c r="I1528" s="133"/>
      <c r="J1528" s="133"/>
      <c r="K1528" s="133"/>
      <c r="L1528" s="133"/>
      <c r="M1528" s="133"/>
      <c r="N1528" s="133"/>
      <c r="O1528" s="133"/>
      <c r="P1528" s="134"/>
      <c r="Q1528" s="146"/>
      <c r="R1528" s="17"/>
      <c r="S1528" s="17"/>
      <c r="T1528" s="75"/>
      <c r="U1528" s="75"/>
      <c r="V1528" s="75"/>
      <c r="W1528" s="75"/>
      <c r="X1528" s="75"/>
    </row>
    <row r="1529">
      <c r="A1529" s="17"/>
      <c r="B1529" s="17"/>
      <c r="C1529" s="133"/>
      <c r="D1529" s="133"/>
      <c r="E1529" s="17"/>
      <c r="F1529" s="133"/>
      <c r="G1529" s="133"/>
      <c r="H1529" s="133"/>
      <c r="I1529" s="133"/>
      <c r="J1529" s="133"/>
      <c r="K1529" s="133"/>
      <c r="L1529" s="133"/>
      <c r="M1529" s="133"/>
      <c r="N1529" s="133"/>
      <c r="O1529" s="133"/>
      <c r="P1529" s="134"/>
      <c r="Q1529" s="146"/>
      <c r="R1529" s="17"/>
      <c r="S1529" s="17"/>
      <c r="T1529" s="75"/>
      <c r="U1529" s="75"/>
      <c r="V1529" s="75"/>
      <c r="W1529" s="75"/>
      <c r="X1529" s="75"/>
    </row>
    <row r="1530">
      <c r="A1530" s="17"/>
      <c r="B1530" s="17"/>
      <c r="C1530" s="133"/>
      <c r="D1530" s="133"/>
      <c r="E1530" s="17"/>
      <c r="F1530" s="133"/>
      <c r="G1530" s="133"/>
      <c r="H1530" s="133"/>
      <c r="I1530" s="133"/>
      <c r="J1530" s="133"/>
      <c r="K1530" s="133"/>
      <c r="L1530" s="133"/>
      <c r="M1530" s="133"/>
      <c r="N1530" s="133"/>
      <c r="O1530" s="133"/>
      <c r="P1530" s="134"/>
      <c r="Q1530" s="146"/>
      <c r="R1530" s="17"/>
      <c r="S1530" s="17"/>
      <c r="T1530" s="75"/>
      <c r="U1530" s="75"/>
      <c r="V1530" s="75"/>
      <c r="W1530" s="75"/>
      <c r="X1530" s="75"/>
    </row>
    <row r="1531">
      <c r="A1531" s="17"/>
      <c r="B1531" s="17"/>
      <c r="C1531" s="133"/>
      <c r="D1531" s="133"/>
      <c r="E1531" s="17"/>
      <c r="F1531" s="133"/>
      <c r="G1531" s="133"/>
      <c r="H1531" s="133"/>
      <c r="I1531" s="133"/>
      <c r="J1531" s="133"/>
      <c r="K1531" s="133"/>
      <c r="L1531" s="133"/>
      <c r="M1531" s="133"/>
      <c r="N1531" s="133"/>
      <c r="O1531" s="133"/>
      <c r="P1531" s="134"/>
      <c r="Q1531" s="146"/>
      <c r="R1531" s="17"/>
      <c r="S1531" s="17"/>
      <c r="T1531" s="75"/>
      <c r="U1531" s="75"/>
      <c r="V1531" s="75"/>
      <c r="W1531" s="75"/>
      <c r="X1531" s="75"/>
    </row>
    <row r="1532">
      <c r="A1532" s="17"/>
      <c r="B1532" s="17"/>
      <c r="C1532" s="133"/>
      <c r="D1532" s="133"/>
      <c r="E1532" s="17"/>
      <c r="F1532" s="133"/>
      <c r="G1532" s="133"/>
      <c r="H1532" s="133"/>
      <c r="I1532" s="133"/>
      <c r="J1532" s="133"/>
      <c r="K1532" s="133"/>
      <c r="L1532" s="133"/>
      <c r="M1532" s="133"/>
      <c r="N1532" s="133"/>
      <c r="O1532" s="133"/>
      <c r="P1532" s="134"/>
      <c r="Q1532" s="146"/>
      <c r="R1532" s="17"/>
      <c r="S1532" s="17"/>
      <c r="T1532" s="75"/>
      <c r="U1532" s="75"/>
      <c r="V1532" s="75"/>
      <c r="W1532" s="75"/>
      <c r="X1532" s="75"/>
    </row>
    <row r="1533">
      <c r="A1533" s="17"/>
      <c r="B1533" s="17"/>
      <c r="C1533" s="133"/>
      <c r="D1533" s="133"/>
      <c r="E1533" s="17"/>
      <c r="F1533" s="133"/>
      <c r="G1533" s="133"/>
      <c r="H1533" s="133"/>
      <c r="I1533" s="133"/>
      <c r="J1533" s="133"/>
      <c r="K1533" s="133"/>
      <c r="L1533" s="133"/>
      <c r="M1533" s="133"/>
      <c r="N1533" s="133"/>
      <c r="O1533" s="133"/>
      <c r="P1533" s="134"/>
      <c r="Q1533" s="146"/>
      <c r="R1533" s="17"/>
      <c r="S1533" s="17"/>
      <c r="T1533" s="75"/>
      <c r="U1533" s="75"/>
      <c r="V1533" s="75"/>
      <c r="W1533" s="75"/>
      <c r="X1533" s="75"/>
    </row>
    <row r="1534">
      <c r="A1534" s="17"/>
      <c r="B1534" s="17"/>
      <c r="C1534" s="133"/>
      <c r="D1534" s="133"/>
      <c r="E1534" s="17"/>
      <c r="F1534" s="133"/>
      <c r="G1534" s="133"/>
      <c r="H1534" s="133"/>
      <c r="I1534" s="133"/>
      <c r="J1534" s="133"/>
      <c r="K1534" s="133"/>
      <c r="L1534" s="133"/>
      <c r="M1534" s="133"/>
      <c r="N1534" s="133"/>
      <c r="O1534" s="133"/>
      <c r="P1534" s="134"/>
      <c r="Q1534" s="146"/>
      <c r="R1534" s="17"/>
      <c r="S1534" s="17"/>
      <c r="T1534" s="75"/>
      <c r="U1534" s="75"/>
      <c r="V1534" s="75"/>
      <c r="W1534" s="75"/>
      <c r="X1534" s="75"/>
    </row>
    <row r="1535">
      <c r="A1535" s="17"/>
      <c r="B1535" s="17"/>
      <c r="C1535" s="133"/>
      <c r="D1535" s="133"/>
      <c r="E1535" s="17"/>
      <c r="F1535" s="133"/>
      <c r="G1535" s="133"/>
      <c r="H1535" s="133"/>
      <c r="I1535" s="133"/>
      <c r="J1535" s="133"/>
      <c r="K1535" s="133"/>
      <c r="L1535" s="133"/>
      <c r="M1535" s="133"/>
      <c r="N1535" s="133"/>
      <c r="O1535" s="133"/>
      <c r="P1535" s="134"/>
      <c r="Q1535" s="146"/>
      <c r="R1535" s="17"/>
      <c r="S1535" s="17"/>
      <c r="T1535" s="75"/>
      <c r="U1535" s="75"/>
      <c r="V1535" s="75"/>
      <c r="W1535" s="75"/>
      <c r="X1535" s="75"/>
    </row>
    <row r="1536">
      <c r="A1536" s="17"/>
      <c r="B1536" s="17"/>
      <c r="C1536" s="133"/>
      <c r="D1536" s="133"/>
      <c r="E1536" s="17"/>
      <c r="F1536" s="133"/>
      <c r="G1536" s="133"/>
      <c r="H1536" s="133"/>
      <c r="I1536" s="133"/>
      <c r="J1536" s="133"/>
      <c r="K1536" s="133"/>
      <c r="L1536" s="133"/>
      <c r="M1536" s="133"/>
      <c r="N1536" s="133"/>
      <c r="O1536" s="133"/>
      <c r="P1536" s="134"/>
      <c r="Q1536" s="146"/>
      <c r="R1536" s="17"/>
      <c r="S1536" s="17"/>
      <c r="T1536" s="75"/>
      <c r="U1536" s="75"/>
      <c r="V1536" s="75"/>
      <c r="W1536" s="75"/>
      <c r="X1536" s="75"/>
    </row>
    <row r="1537">
      <c r="A1537" s="17"/>
      <c r="B1537" s="17"/>
      <c r="C1537" s="133"/>
      <c r="D1537" s="133"/>
      <c r="E1537" s="17"/>
      <c r="F1537" s="133"/>
      <c r="G1537" s="133"/>
      <c r="H1537" s="133"/>
      <c r="I1537" s="133"/>
      <c r="J1537" s="133"/>
      <c r="K1537" s="133"/>
      <c r="L1537" s="133"/>
      <c r="M1537" s="133"/>
      <c r="N1537" s="133"/>
      <c r="O1537" s="133"/>
      <c r="P1537" s="134"/>
      <c r="Q1537" s="146"/>
      <c r="R1537" s="17"/>
      <c r="S1537" s="17"/>
      <c r="T1537" s="75"/>
      <c r="U1537" s="75"/>
      <c r="V1537" s="75"/>
      <c r="W1537" s="75"/>
      <c r="X1537" s="75"/>
    </row>
    <row r="1538">
      <c r="A1538" s="17"/>
      <c r="B1538" s="17"/>
      <c r="C1538" s="133"/>
      <c r="D1538" s="133"/>
      <c r="E1538" s="17"/>
      <c r="F1538" s="133"/>
      <c r="G1538" s="133"/>
      <c r="H1538" s="133"/>
      <c r="I1538" s="133"/>
      <c r="J1538" s="133"/>
      <c r="K1538" s="133"/>
      <c r="L1538" s="133"/>
      <c r="M1538" s="133"/>
      <c r="N1538" s="133"/>
      <c r="O1538" s="133"/>
      <c r="P1538" s="134"/>
      <c r="Q1538" s="146"/>
      <c r="R1538" s="17"/>
      <c r="S1538" s="17"/>
      <c r="T1538" s="75"/>
      <c r="U1538" s="75"/>
      <c r="V1538" s="75"/>
      <c r="W1538" s="75"/>
      <c r="X1538" s="75"/>
    </row>
    <row r="1539">
      <c r="A1539" s="17"/>
      <c r="B1539" s="17"/>
      <c r="C1539" s="133"/>
      <c r="D1539" s="133"/>
      <c r="E1539" s="17"/>
      <c r="F1539" s="133"/>
      <c r="G1539" s="133"/>
      <c r="H1539" s="133"/>
      <c r="I1539" s="133"/>
      <c r="J1539" s="133"/>
      <c r="K1539" s="133"/>
      <c r="L1539" s="133"/>
      <c r="M1539" s="133"/>
      <c r="N1539" s="133"/>
      <c r="O1539" s="133"/>
      <c r="P1539" s="134"/>
      <c r="Q1539" s="146"/>
      <c r="R1539" s="17"/>
      <c r="S1539" s="17"/>
      <c r="T1539" s="75"/>
      <c r="U1539" s="75"/>
      <c r="V1539" s="75"/>
      <c r="W1539" s="75"/>
      <c r="X1539" s="75"/>
    </row>
    <row r="1540">
      <c r="A1540" s="17"/>
      <c r="B1540" s="17"/>
      <c r="C1540" s="133"/>
      <c r="D1540" s="133"/>
      <c r="E1540" s="17"/>
      <c r="F1540" s="133"/>
      <c r="G1540" s="133"/>
      <c r="H1540" s="133"/>
      <c r="I1540" s="133"/>
      <c r="J1540" s="133"/>
      <c r="K1540" s="133"/>
      <c r="L1540" s="133"/>
      <c r="M1540" s="133"/>
      <c r="N1540" s="133"/>
      <c r="O1540" s="133"/>
      <c r="P1540" s="134"/>
      <c r="Q1540" s="146"/>
      <c r="R1540" s="17"/>
      <c r="S1540" s="17"/>
      <c r="T1540" s="75"/>
      <c r="U1540" s="75"/>
      <c r="V1540" s="75"/>
      <c r="W1540" s="75"/>
      <c r="X1540" s="75"/>
    </row>
    <row r="1541">
      <c r="A1541" s="17"/>
      <c r="B1541" s="17"/>
      <c r="C1541" s="133"/>
      <c r="D1541" s="133"/>
      <c r="E1541" s="17"/>
      <c r="F1541" s="133"/>
      <c r="G1541" s="133"/>
      <c r="H1541" s="133"/>
      <c r="I1541" s="133"/>
      <c r="J1541" s="133"/>
      <c r="K1541" s="133"/>
      <c r="L1541" s="133"/>
      <c r="M1541" s="133"/>
      <c r="N1541" s="133"/>
      <c r="O1541" s="133"/>
      <c r="P1541" s="134"/>
      <c r="Q1541" s="146"/>
      <c r="R1541" s="17"/>
      <c r="S1541" s="17"/>
      <c r="T1541" s="75"/>
      <c r="U1541" s="75"/>
      <c r="V1541" s="75"/>
      <c r="W1541" s="75"/>
      <c r="X1541" s="75"/>
    </row>
    <row r="1542">
      <c r="A1542" s="17"/>
      <c r="B1542" s="17"/>
      <c r="C1542" s="133"/>
      <c r="D1542" s="133"/>
      <c r="E1542" s="17"/>
      <c r="F1542" s="133"/>
      <c r="G1542" s="133"/>
      <c r="H1542" s="133"/>
      <c r="I1542" s="133"/>
      <c r="J1542" s="133"/>
      <c r="K1542" s="133"/>
      <c r="L1542" s="133"/>
      <c r="M1542" s="133"/>
      <c r="N1542" s="133"/>
      <c r="O1542" s="133"/>
      <c r="P1542" s="134"/>
      <c r="Q1542" s="146"/>
      <c r="R1542" s="17"/>
      <c r="S1542" s="17"/>
      <c r="T1542" s="75"/>
      <c r="U1542" s="75"/>
      <c r="V1542" s="75"/>
      <c r="W1542" s="75"/>
      <c r="X1542" s="75"/>
    </row>
    <row r="1543">
      <c r="A1543" s="17"/>
      <c r="B1543" s="17"/>
      <c r="C1543" s="133"/>
      <c r="D1543" s="133"/>
      <c r="E1543" s="17"/>
      <c r="F1543" s="133"/>
      <c r="G1543" s="133"/>
      <c r="H1543" s="133"/>
      <c r="I1543" s="133"/>
      <c r="J1543" s="133"/>
      <c r="K1543" s="133"/>
      <c r="L1543" s="133"/>
      <c r="M1543" s="133"/>
      <c r="N1543" s="133"/>
      <c r="O1543" s="133"/>
      <c r="P1543" s="134"/>
      <c r="Q1543" s="146"/>
      <c r="R1543" s="17"/>
      <c r="S1543" s="17"/>
      <c r="T1543" s="75"/>
      <c r="U1543" s="75"/>
      <c r="V1543" s="75"/>
      <c r="W1543" s="75"/>
      <c r="X1543" s="75"/>
    </row>
    <row r="1544">
      <c r="A1544" s="17"/>
      <c r="B1544" s="17"/>
      <c r="C1544" s="133"/>
      <c r="D1544" s="133"/>
      <c r="E1544" s="17"/>
      <c r="F1544" s="133"/>
      <c r="G1544" s="133"/>
      <c r="H1544" s="133"/>
      <c r="I1544" s="133"/>
      <c r="J1544" s="133"/>
      <c r="K1544" s="133"/>
      <c r="L1544" s="133"/>
      <c r="M1544" s="133"/>
      <c r="N1544" s="133"/>
      <c r="O1544" s="133"/>
      <c r="P1544" s="134"/>
      <c r="Q1544" s="146"/>
      <c r="R1544" s="17"/>
      <c r="S1544" s="17"/>
      <c r="T1544" s="75"/>
      <c r="U1544" s="75"/>
      <c r="V1544" s="75"/>
      <c r="W1544" s="75"/>
      <c r="X1544" s="75"/>
    </row>
    <row r="1545">
      <c r="A1545" s="17"/>
      <c r="B1545" s="17"/>
      <c r="C1545" s="133"/>
      <c r="D1545" s="133"/>
      <c r="E1545" s="17"/>
      <c r="F1545" s="133"/>
      <c r="G1545" s="133"/>
      <c r="H1545" s="133"/>
      <c r="I1545" s="133"/>
      <c r="J1545" s="133"/>
      <c r="K1545" s="133"/>
      <c r="L1545" s="133"/>
      <c r="M1545" s="133"/>
      <c r="N1545" s="133"/>
      <c r="O1545" s="133"/>
      <c r="P1545" s="134"/>
      <c r="Q1545" s="146"/>
      <c r="R1545" s="17"/>
      <c r="S1545" s="17"/>
      <c r="T1545" s="75"/>
      <c r="U1545" s="75"/>
      <c r="V1545" s="75"/>
      <c r="W1545" s="75"/>
      <c r="X1545" s="75"/>
    </row>
    <row r="1546">
      <c r="A1546" s="17"/>
      <c r="B1546" s="17"/>
      <c r="C1546" s="133"/>
      <c r="D1546" s="133"/>
      <c r="E1546" s="17"/>
      <c r="F1546" s="133"/>
      <c r="G1546" s="133"/>
      <c r="H1546" s="133"/>
      <c r="I1546" s="133"/>
      <c r="J1546" s="133"/>
      <c r="K1546" s="133"/>
      <c r="L1546" s="133"/>
      <c r="M1546" s="133"/>
      <c r="N1546" s="133"/>
      <c r="O1546" s="133"/>
      <c r="P1546" s="134"/>
      <c r="Q1546" s="146"/>
      <c r="R1546" s="17"/>
      <c r="S1546" s="17"/>
      <c r="T1546" s="75"/>
      <c r="U1546" s="75"/>
      <c r="V1546" s="75"/>
      <c r="W1546" s="75"/>
      <c r="X1546" s="75"/>
    </row>
    <row r="1547">
      <c r="A1547" s="17"/>
      <c r="B1547" s="17"/>
      <c r="C1547" s="133"/>
      <c r="D1547" s="133"/>
      <c r="E1547" s="17"/>
      <c r="F1547" s="133"/>
      <c r="G1547" s="133"/>
      <c r="H1547" s="133"/>
      <c r="I1547" s="133"/>
      <c r="J1547" s="133"/>
      <c r="K1547" s="133"/>
      <c r="L1547" s="133"/>
      <c r="M1547" s="133"/>
      <c r="N1547" s="133"/>
      <c r="O1547" s="133"/>
      <c r="P1547" s="134"/>
      <c r="Q1547" s="146"/>
      <c r="R1547" s="17"/>
      <c r="S1547" s="17"/>
      <c r="T1547" s="75"/>
      <c r="U1547" s="75"/>
      <c r="V1547" s="75"/>
      <c r="W1547" s="75"/>
      <c r="X1547" s="75"/>
    </row>
    <row r="1548">
      <c r="A1548" s="17"/>
      <c r="B1548" s="17"/>
      <c r="C1548" s="133"/>
      <c r="D1548" s="133"/>
      <c r="E1548" s="17"/>
      <c r="F1548" s="133"/>
      <c r="G1548" s="133"/>
      <c r="H1548" s="133"/>
      <c r="I1548" s="133"/>
      <c r="J1548" s="133"/>
      <c r="K1548" s="133"/>
      <c r="L1548" s="133"/>
      <c r="M1548" s="133"/>
      <c r="N1548" s="133"/>
      <c r="O1548" s="133"/>
      <c r="P1548" s="134"/>
      <c r="Q1548" s="146"/>
      <c r="R1548" s="17"/>
      <c r="S1548" s="17"/>
      <c r="T1548" s="75"/>
      <c r="U1548" s="75"/>
      <c r="V1548" s="75"/>
      <c r="W1548" s="75"/>
      <c r="X1548" s="75"/>
    </row>
    <row r="1549">
      <c r="A1549" s="17"/>
      <c r="B1549" s="17"/>
      <c r="C1549" s="133"/>
      <c r="D1549" s="133"/>
      <c r="E1549" s="17"/>
      <c r="F1549" s="133"/>
      <c r="G1549" s="133"/>
      <c r="H1549" s="133"/>
      <c r="I1549" s="133"/>
      <c r="J1549" s="133"/>
      <c r="K1549" s="133"/>
      <c r="L1549" s="133"/>
      <c r="M1549" s="133"/>
      <c r="N1549" s="133"/>
      <c r="O1549" s="133"/>
      <c r="P1549" s="134"/>
      <c r="Q1549" s="146"/>
      <c r="R1549" s="17"/>
      <c r="S1549" s="17"/>
      <c r="T1549" s="75"/>
      <c r="U1549" s="75"/>
      <c r="V1549" s="75"/>
      <c r="W1549" s="75"/>
      <c r="X1549" s="75"/>
    </row>
    <row r="1550">
      <c r="A1550" s="17"/>
      <c r="B1550" s="17"/>
      <c r="C1550" s="133"/>
      <c r="D1550" s="133"/>
      <c r="E1550" s="17"/>
      <c r="F1550" s="133"/>
      <c r="G1550" s="133"/>
      <c r="H1550" s="133"/>
      <c r="I1550" s="133"/>
      <c r="J1550" s="133"/>
      <c r="K1550" s="133"/>
      <c r="L1550" s="133"/>
      <c r="M1550" s="133"/>
      <c r="N1550" s="133"/>
      <c r="O1550" s="133"/>
      <c r="P1550" s="134"/>
      <c r="Q1550" s="146"/>
      <c r="R1550" s="17"/>
      <c r="S1550" s="17"/>
      <c r="T1550" s="75"/>
      <c r="U1550" s="75"/>
      <c r="V1550" s="75"/>
      <c r="W1550" s="75"/>
      <c r="X1550" s="75"/>
    </row>
    <row r="1551">
      <c r="A1551" s="17"/>
      <c r="B1551" s="17"/>
      <c r="C1551" s="133"/>
      <c r="D1551" s="133"/>
      <c r="E1551" s="17"/>
      <c r="F1551" s="133"/>
      <c r="G1551" s="133"/>
      <c r="H1551" s="133"/>
      <c r="I1551" s="133"/>
      <c r="J1551" s="133"/>
      <c r="K1551" s="133"/>
      <c r="L1551" s="133"/>
      <c r="M1551" s="133"/>
      <c r="N1551" s="133"/>
      <c r="O1551" s="133"/>
      <c r="P1551" s="134"/>
      <c r="Q1551" s="146"/>
      <c r="R1551" s="17"/>
      <c r="S1551" s="17"/>
      <c r="T1551" s="75"/>
      <c r="U1551" s="75"/>
      <c r="V1551" s="75"/>
      <c r="W1551" s="75"/>
      <c r="X1551" s="75"/>
    </row>
    <row r="1552">
      <c r="A1552" s="17"/>
      <c r="B1552" s="17"/>
      <c r="C1552" s="133"/>
      <c r="D1552" s="133"/>
      <c r="E1552" s="17"/>
      <c r="F1552" s="133"/>
      <c r="G1552" s="133"/>
      <c r="H1552" s="133"/>
      <c r="I1552" s="133"/>
      <c r="J1552" s="133"/>
      <c r="K1552" s="133"/>
      <c r="L1552" s="133"/>
      <c r="M1552" s="133"/>
      <c r="N1552" s="133"/>
      <c r="O1552" s="133"/>
      <c r="P1552" s="134"/>
      <c r="Q1552" s="146"/>
      <c r="R1552" s="17"/>
      <c r="S1552" s="17"/>
      <c r="T1552" s="75"/>
      <c r="U1552" s="75"/>
      <c r="V1552" s="75"/>
      <c r="W1552" s="75"/>
      <c r="X1552" s="75"/>
    </row>
    <row r="1553">
      <c r="A1553" s="17"/>
      <c r="B1553" s="17"/>
      <c r="C1553" s="133"/>
      <c r="D1553" s="133"/>
      <c r="E1553" s="17"/>
      <c r="F1553" s="133"/>
      <c r="G1553" s="133"/>
      <c r="H1553" s="133"/>
      <c r="I1553" s="133"/>
      <c r="J1553" s="133"/>
      <c r="K1553" s="133"/>
      <c r="L1553" s="133"/>
      <c r="M1553" s="133"/>
      <c r="N1553" s="133"/>
      <c r="O1553" s="133"/>
      <c r="P1553" s="134"/>
      <c r="Q1553" s="146"/>
      <c r="R1553" s="17"/>
      <c r="S1553" s="17"/>
      <c r="T1553" s="75"/>
      <c r="U1553" s="75"/>
      <c r="V1553" s="75"/>
      <c r="W1553" s="75"/>
      <c r="X1553" s="75"/>
    </row>
    <row r="1554">
      <c r="A1554" s="17"/>
      <c r="B1554" s="17"/>
      <c r="C1554" s="133"/>
      <c r="D1554" s="133"/>
      <c r="E1554" s="17"/>
      <c r="F1554" s="133"/>
      <c r="G1554" s="133"/>
      <c r="H1554" s="133"/>
      <c r="I1554" s="133"/>
      <c r="J1554" s="133"/>
      <c r="K1554" s="133"/>
      <c r="L1554" s="133"/>
      <c r="M1554" s="133"/>
      <c r="N1554" s="133"/>
      <c r="O1554" s="133"/>
      <c r="P1554" s="134"/>
      <c r="Q1554" s="146"/>
      <c r="R1554" s="17"/>
      <c r="S1554" s="17"/>
      <c r="T1554" s="75"/>
      <c r="U1554" s="75"/>
      <c r="V1554" s="75"/>
      <c r="W1554" s="75"/>
      <c r="X1554" s="75"/>
    </row>
    <row r="1555">
      <c r="A1555" s="17"/>
      <c r="B1555" s="17"/>
      <c r="C1555" s="133"/>
      <c r="D1555" s="133"/>
      <c r="E1555" s="17"/>
      <c r="F1555" s="133"/>
      <c r="G1555" s="133"/>
      <c r="H1555" s="133"/>
      <c r="I1555" s="133"/>
      <c r="J1555" s="133"/>
      <c r="K1555" s="133"/>
      <c r="L1555" s="133"/>
      <c r="M1555" s="133"/>
      <c r="N1555" s="133"/>
      <c r="O1555" s="133"/>
      <c r="P1555" s="134"/>
      <c r="Q1555" s="146"/>
      <c r="R1555" s="17"/>
      <c r="S1555" s="17"/>
      <c r="T1555" s="75"/>
      <c r="U1555" s="75"/>
      <c r="V1555" s="75"/>
      <c r="W1555" s="75"/>
      <c r="X1555" s="75"/>
    </row>
    <row r="1556">
      <c r="A1556" s="17"/>
      <c r="B1556" s="17"/>
      <c r="C1556" s="133"/>
      <c r="D1556" s="133"/>
      <c r="E1556" s="17"/>
      <c r="F1556" s="133"/>
      <c r="G1556" s="133"/>
      <c r="H1556" s="133"/>
      <c r="I1556" s="133"/>
      <c r="J1556" s="133"/>
      <c r="K1556" s="133"/>
      <c r="L1556" s="133"/>
      <c r="M1556" s="133"/>
      <c r="N1556" s="133"/>
      <c r="O1556" s="133"/>
      <c r="P1556" s="134"/>
      <c r="Q1556" s="146"/>
      <c r="R1556" s="17"/>
      <c r="S1556" s="17"/>
      <c r="T1556" s="75"/>
      <c r="U1556" s="75"/>
      <c r="V1556" s="75"/>
      <c r="W1556" s="75"/>
      <c r="X1556" s="75"/>
    </row>
    <row r="1557">
      <c r="A1557" s="17"/>
      <c r="B1557" s="17"/>
      <c r="C1557" s="133"/>
      <c r="D1557" s="133"/>
      <c r="E1557" s="17"/>
      <c r="F1557" s="133"/>
      <c r="G1557" s="133"/>
      <c r="H1557" s="133"/>
      <c r="I1557" s="133"/>
      <c r="J1557" s="133"/>
      <c r="K1557" s="133"/>
      <c r="L1557" s="133"/>
      <c r="M1557" s="133"/>
      <c r="N1557" s="133"/>
      <c r="O1557" s="133"/>
      <c r="P1557" s="134"/>
      <c r="Q1557" s="146"/>
      <c r="R1557" s="17"/>
      <c r="S1557" s="17"/>
      <c r="T1557" s="75"/>
      <c r="U1557" s="75"/>
      <c r="V1557" s="75"/>
      <c r="W1557" s="75"/>
      <c r="X1557" s="75"/>
    </row>
    <row r="1558">
      <c r="A1558" s="17"/>
      <c r="B1558" s="17"/>
      <c r="C1558" s="133"/>
      <c r="D1558" s="133"/>
      <c r="E1558" s="17"/>
      <c r="F1558" s="133"/>
      <c r="G1558" s="133"/>
      <c r="H1558" s="133"/>
      <c r="I1558" s="133"/>
      <c r="J1558" s="133"/>
      <c r="K1558" s="133"/>
      <c r="L1558" s="133"/>
      <c r="M1558" s="133"/>
      <c r="N1558" s="133"/>
      <c r="O1558" s="133"/>
      <c r="P1558" s="134"/>
      <c r="Q1558" s="146"/>
      <c r="R1558" s="17"/>
      <c r="S1558" s="17"/>
      <c r="T1558" s="75"/>
      <c r="U1558" s="75"/>
      <c r="V1558" s="75"/>
      <c r="W1558" s="75"/>
      <c r="X1558" s="75"/>
    </row>
    <row r="1559">
      <c r="A1559" s="17"/>
      <c r="B1559" s="17"/>
      <c r="C1559" s="133"/>
      <c r="D1559" s="133"/>
      <c r="E1559" s="17"/>
      <c r="F1559" s="133"/>
      <c r="G1559" s="133"/>
      <c r="H1559" s="133"/>
      <c r="I1559" s="133"/>
      <c r="J1559" s="133"/>
      <c r="K1559" s="133"/>
      <c r="L1559" s="133"/>
      <c r="M1559" s="133"/>
      <c r="N1559" s="133"/>
      <c r="O1559" s="133"/>
      <c r="P1559" s="134"/>
      <c r="Q1559" s="146"/>
      <c r="R1559" s="17"/>
      <c r="S1559" s="17"/>
      <c r="T1559" s="75"/>
      <c r="U1559" s="75"/>
      <c r="V1559" s="75"/>
      <c r="W1559" s="75"/>
      <c r="X1559" s="75"/>
    </row>
    <row r="1560">
      <c r="A1560" s="17"/>
      <c r="B1560" s="17"/>
      <c r="C1560" s="133"/>
      <c r="D1560" s="133"/>
      <c r="E1560" s="17"/>
      <c r="F1560" s="133"/>
      <c r="G1560" s="133"/>
      <c r="H1560" s="133"/>
      <c r="I1560" s="133"/>
      <c r="J1560" s="133"/>
      <c r="K1560" s="133"/>
      <c r="L1560" s="133"/>
      <c r="M1560" s="133"/>
      <c r="N1560" s="133"/>
      <c r="O1560" s="133"/>
      <c r="P1560" s="134"/>
      <c r="Q1560" s="146"/>
      <c r="R1560" s="17"/>
      <c r="S1560" s="17"/>
      <c r="T1560" s="75"/>
      <c r="U1560" s="75"/>
      <c r="V1560" s="75"/>
      <c r="W1560" s="75"/>
      <c r="X1560" s="75"/>
    </row>
    <row r="1561">
      <c r="A1561" s="17"/>
      <c r="B1561" s="17"/>
      <c r="C1561" s="133"/>
      <c r="D1561" s="133"/>
      <c r="E1561" s="17"/>
      <c r="F1561" s="133"/>
      <c r="G1561" s="133"/>
      <c r="H1561" s="133"/>
      <c r="I1561" s="133"/>
      <c r="J1561" s="133"/>
      <c r="K1561" s="133"/>
      <c r="L1561" s="133"/>
      <c r="M1561" s="133"/>
      <c r="N1561" s="133"/>
      <c r="O1561" s="133"/>
      <c r="P1561" s="134"/>
      <c r="Q1561" s="146"/>
      <c r="R1561" s="17"/>
      <c r="S1561" s="17"/>
      <c r="T1561" s="75"/>
      <c r="U1561" s="75"/>
      <c r="V1561" s="75"/>
      <c r="W1561" s="75"/>
      <c r="X1561" s="75"/>
    </row>
    <row r="1562">
      <c r="A1562" s="17"/>
      <c r="B1562" s="17"/>
      <c r="C1562" s="133"/>
      <c r="D1562" s="133"/>
      <c r="E1562" s="17"/>
      <c r="F1562" s="133"/>
      <c r="G1562" s="133"/>
      <c r="H1562" s="133"/>
      <c r="I1562" s="133"/>
      <c r="J1562" s="133"/>
      <c r="K1562" s="133"/>
      <c r="L1562" s="133"/>
      <c r="M1562" s="133"/>
      <c r="N1562" s="133"/>
      <c r="O1562" s="133"/>
      <c r="P1562" s="134"/>
      <c r="Q1562" s="146"/>
      <c r="R1562" s="17"/>
      <c r="S1562" s="17"/>
      <c r="T1562" s="75"/>
      <c r="U1562" s="75"/>
      <c r="V1562" s="75"/>
      <c r="W1562" s="75"/>
      <c r="X1562" s="75"/>
    </row>
    <row r="1563">
      <c r="A1563" s="17"/>
      <c r="B1563" s="17"/>
      <c r="C1563" s="133"/>
      <c r="D1563" s="133"/>
      <c r="E1563" s="17"/>
      <c r="F1563" s="133"/>
      <c r="G1563" s="133"/>
      <c r="H1563" s="133"/>
      <c r="I1563" s="133"/>
      <c r="J1563" s="133"/>
      <c r="K1563" s="133"/>
      <c r="L1563" s="133"/>
      <c r="M1563" s="133"/>
      <c r="N1563" s="133"/>
      <c r="O1563" s="133"/>
      <c r="P1563" s="134"/>
      <c r="Q1563" s="146"/>
      <c r="R1563" s="17"/>
      <c r="S1563" s="17"/>
      <c r="T1563" s="75"/>
      <c r="U1563" s="75"/>
      <c r="V1563" s="75"/>
      <c r="W1563" s="75"/>
      <c r="X1563" s="75"/>
    </row>
    <row r="1564">
      <c r="A1564" s="17"/>
      <c r="B1564" s="17"/>
      <c r="C1564" s="133"/>
      <c r="D1564" s="133"/>
      <c r="E1564" s="17"/>
      <c r="F1564" s="133"/>
      <c r="G1564" s="133"/>
      <c r="H1564" s="133"/>
      <c r="I1564" s="133"/>
      <c r="J1564" s="133"/>
      <c r="K1564" s="133"/>
      <c r="L1564" s="133"/>
      <c r="M1564" s="133"/>
      <c r="N1564" s="133"/>
      <c r="O1564" s="133"/>
      <c r="P1564" s="134"/>
      <c r="Q1564" s="146"/>
      <c r="R1564" s="17"/>
      <c r="S1564" s="17"/>
      <c r="T1564" s="75"/>
      <c r="U1564" s="75"/>
      <c r="V1564" s="75"/>
      <c r="W1564" s="75"/>
      <c r="X1564" s="75"/>
    </row>
    <row r="1565">
      <c r="A1565" s="17"/>
      <c r="B1565" s="17"/>
      <c r="C1565" s="133"/>
      <c r="D1565" s="133"/>
      <c r="E1565" s="17"/>
      <c r="F1565" s="133"/>
      <c r="G1565" s="133"/>
      <c r="H1565" s="133"/>
      <c r="I1565" s="133"/>
      <c r="J1565" s="133"/>
      <c r="K1565" s="133"/>
      <c r="L1565" s="133"/>
      <c r="M1565" s="133"/>
      <c r="N1565" s="133"/>
      <c r="O1565" s="133"/>
      <c r="P1565" s="134"/>
      <c r="Q1565" s="146"/>
      <c r="R1565" s="17"/>
      <c r="S1565" s="17"/>
      <c r="T1565" s="75"/>
      <c r="U1565" s="75"/>
      <c r="V1565" s="75"/>
      <c r="W1565" s="75"/>
      <c r="X1565" s="75"/>
    </row>
    <row r="1566">
      <c r="A1566" s="17"/>
      <c r="B1566" s="17"/>
      <c r="C1566" s="133"/>
      <c r="D1566" s="133"/>
      <c r="E1566" s="17"/>
      <c r="F1566" s="133"/>
      <c r="G1566" s="133"/>
      <c r="H1566" s="133"/>
      <c r="I1566" s="133"/>
      <c r="J1566" s="133"/>
      <c r="K1566" s="133"/>
      <c r="L1566" s="133"/>
      <c r="M1566" s="133"/>
      <c r="N1566" s="133"/>
      <c r="O1566" s="133"/>
      <c r="P1566" s="134"/>
      <c r="Q1566" s="146"/>
      <c r="R1566" s="17"/>
      <c r="S1566" s="17"/>
      <c r="T1566" s="75"/>
      <c r="U1566" s="75"/>
      <c r="V1566" s="75"/>
      <c r="W1566" s="75"/>
      <c r="X1566" s="75"/>
    </row>
    <row r="1567">
      <c r="A1567" s="17"/>
      <c r="B1567" s="17"/>
      <c r="C1567" s="133"/>
      <c r="D1567" s="133"/>
      <c r="E1567" s="17"/>
      <c r="F1567" s="133"/>
      <c r="G1567" s="133"/>
      <c r="H1567" s="133"/>
      <c r="I1567" s="133"/>
      <c r="J1567" s="133"/>
      <c r="K1567" s="133"/>
      <c r="L1567" s="133"/>
      <c r="M1567" s="133"/>
      <c r="N1567" s="133"/>
      <c r="O1567" s="133"/>
      <c r="P1567" s="134"/>
      <c r="Q1567" s="146"/>
      <c r="R1567" s="17"/>
      <c r="S1567" s="17"/>
      <c r="T1567" s="75"/>
      <c r="U1567" s="75"/>
      <c r="V1567" s="75"/>
      <c r="W1567" s="75"/>
      <c r="X1567" s="75"/>
    </row>
    <row r="1568">
      <c r="A1568" s="17"/>
      <c r="B1568" s="17"/>
      <c r="C1568" s="133"/>
      <c r="D1568" s="133"/>
      <c r="E1568" s="17"/>
      <c r="F1568" s="133"/>
      <c r="G1568" s="133"/>
      <c r="H1568" s="133"/>
      <c r="I1568" s="133"/>
      <c r="J1568" s="133"/>
      <c r="K1568" s="133"/>
      <c r="L1568" s="133"/>
      <c r="M1568" s="133"/>
      <c r="N1568" s="133"/>
      <c r="O1568" s="133"/>
      <c r="P1568" s="134"/>
      <c r="Q1568" s="146"/>
      <c r="R1568" s="17"/>
      <c r="S1568" s="17"/>
      <c r="T1568" s="75"/>
      <c r="U1568" s="75"/>
      <c r="V1568" s="75"/>
      <c r="W1568" s="75"/>
      <c r="X1568" s="75"/>
    </row>
    <row r="1569">
      <c r="A1569" s="17"/>
      <c r="B1569" s="17"/>
      <c r="C1569" s="133"/>
      <c r="D1569" s="133"/>
      <c r="E1569" s="17"/>
      <c r="F1569" s="133"/>
      <c r="G1569" s="133"/>
      <c r="H1569" s="133"/>
      <c r="I1569" s="133"/>
      <c r="J1569" s="133"/>
      <c r="K1569" s="133"/>
      <c r="L1569" s="133"/>
      <c r="M1569" s="133"/>
      <c r="N1569" s="133"/>
      <c r="O1569" s="133"/>
      <c r="P1569" s="134"/>
      <c r="Q1569" s="146"/>
      <c r="R1569" s="17"/>
      <c r="S1569" s="17"/>
      <c r="T1569" s="75"/>
      <c r="U1569" s="75"/>
      <c r="V1569" s="75"/>
      <c r="W1569" s="75"/>
      <c r="X1569" s="75"/>
    </row>
    <row r="1570">
      <c r="A1570" s="17"/>
      <c r="B1570" s="17"/>
      <c r="C1570" s="133"/>
      <c r="D1570" s="133"/>
      <c r="E1570" s="17"/>
      <c r="F1570" s="133"/>
      <c r="G1570" s="133"/>
      <c r="H1570" s="133"/>
      <c r="I1570" s="133"/>
      <c r="J1570" s="133"/>
      <c r="K1570" s="133"/>
      <c r="L1570" s="133"/>
      <c r="M1570" s="133"/>
      <c r="N1570" s="133"/>
      <c r="O1570" s="133"/>
      <c r="P1570" s="134"/>
      <c r="Q1570" s="146"/>
      <c r="R1570" s="17"/>
      <c r="S1570" s="17"/>
      <c r="T1570" s="75"/>
      <c r="U1570" s="75"/>
      <c r="V1570" s="75"/>
      <c r="W1570" s="75"/>
      <c r="X1570" s="75"/>
    </row>
    <row r="1571">
      <c r="A1571" s="17"/>
      <c r="B1571" s="17"/>
      <c r="C1571" s="133"/>
      <c r="D1571" s="133"/>
      <c r="E1571" s="17"/>
      <c r="F1571" s="133"/>
      <c r="G1571" s="133"/>
      <c r="H1571" s="133"/>
      <c r="I1571" s="133"/>
      <c r="J1571" s="133"/>
      <c r="K1571" s="133"/>
      <c r="L1571" s="133"/>
      <c r="M1571" s="133"/>
      <c r="N1571" s="133"/>
      <c r="O1571" s="133"/>
      <c r="P1571" s="134"/>
      <c r="Q1571" s="146"/>
      <c r="R1571" s="17"/>
      <c r="S1571" s="17"/>
      <c r="T1571" s="75"/>
      <c r="U1571" s="75"/>
      <c r="V1571" s="75"/>
      <c r="W1571" s="75"/>
      <c r="X1571" s="75"/>
    </row>
    <row r="1572">
      <c r="A1572" s="17"/>
      <c r="B1572" s="17"/>
      <c r="C1572" s="133"/>
      <c r="D1572" s="133"/>
      <c r="E1572" s="17"/>
      <c r="F1572" s="133"/>
      <c r="G1572" s="133"/>
      <c r="H1572" s="133"/>
      <c r="I1572" s="133"/>
      <c r="J1572" s="133"/>
      <c r="K1572" s="133"/>
      <c r="L1572" s="133"/>
      <c r="M1572" s="133"/>
      <c r="N1572" s="133"/>
      <c r="O1572" s="133"/>
      <c r="P1572" s="134"/>
      <c r="Q1572" s="146"/>
      <c r="R1572" s="17"/>
      <c r="S1572" s="17"/>
      <c r="T1572" s="75"/>
      <c r="U1572" s="75"/>
      <c r="V1572" s="75"/>
      <c r="W1572" s="75"/>
      <c r="X1572" s="75"/>
    </row>
    <row r="1573">
      <c r="A1573" s="17"/>
      <c r="B1573" s="17"/>
      <c r="C1573" s="133"/>
      <c r="D1573" s="133"/>
      <c r="E1573" s="17"/>
      <c r="F1573" s="133"/>
      <c r="G1573" s="133"/>
      <c r="H1573" s="133"/>
      <c r="I1573" s="133"/>
      <c r="J1573" s="133"/>
      <c r="K1573" s="133"/>
      <c r="L1573" s="133"/>
      <c r="M1573" s="133"/>
      <c r="N1573" s="133"/>
      <c r="O1573" s="133"/>
      <c r="P1573" s="134"/>
      <c r="Q1573" s="146"/>
      <c r="R1573" s="17"/>
      <c r="S1573" s="17"/>
      <c r="T1573" s="75"/>
      <c r="U1573" s="75"/>
      <c r="V1573" s="75"/>
      <c r="W1573" s="75"/>
      <c r="X1573" s="75"/>
    </row>
    <row r="1574">
      <c r="A1574" s="17"/>
      <c r="B1574" s="17"/>
      <c r="C1574" s="133"/>
      <c r="D1574" s="133"/>
      <c r="E1574" s="17"/>
      <c r="F1574" s="133"/>
      <c r="G1574" s="133"/>
      <c r="H1574" s="133"/>
      <c r="I1574" s="133"/>
      <c r="J1574" s="133"/>
      <c r="K1574" s="133"/>
      <c r="L1574" s="133"/>
      <c r="M1574" s="133"/>
      <c r="N1574" s="133"/>
      <c r="O1574" s="133"/>
      <c r="P1574" s="134"/>
      <c r="Q1574" s="146"/>
      <c r="R1574" s="17"/>
      <c r="S1574" s="17"/>
      <c r="T1574" s="75"/>
      <c r="U1574" s="75"/>
      <c r="V1574" s="75"/>
      <c r="W1574" s="75"/>
      <c r="X1574" s="75"/>
    </row>
    <row r="1575">
      <c r="A1575" s="17"/>
      <c r="B1575" s="17"/>
      <c r="C1575" s="133"/>
      <c r="D1575" s="133"/>
      <c r="E1575" s="17"/>
      <c r="F1575" s="133"/>
      <c r="G1575" s="133"/>
      <c r="H1575" s="133"/>
      <c r="I1575" s="133"/>
      <c r="J1575" s="133"/>
      <c r="K1575" s="133"/>
      <c r="L1575" s="133"/>
      <c r="M1575" s="133"/>
      <c r="N1575" s="133"/>
      <c r="O1575" s="133"/>
      <c r="P1575" s="134"/>
      <c r="Q1575" s="146"/>
      <c r="R1575" s="17"/>
      <c r="S1575" s="17"/>
      <c r="T1575" s="75"/>
      <c r="U1575" s="75"/>
      <c r="V1575" s="75"/>
      <c r="W1575" s="75"/>
      <c r="X1575" s="75"/>
    </row>
    <row r="1576">
      <c r="A1576" s="17"/>
      <c r="B1576" s="17"/>
      <c r="C1576" s="133"/>
      <c r="D1576" s="133"/>
      <c r="E1576" s="17"/>
      <c r="F1576" s="133"/>
      <c r="G1576" s="133"/>
      <c r="H1576" s="133"/>
      <c r="I1576" s="133"/>
      <c r="J1576" s="133"/>
      <c r="K1576" s="133"/>
      <c r="L1576" s="133"/>
      <c r="M1576" s="133"/>
      <c r="N1576" s="133"/>
      <c r="O1576" s="133"/>
      <c r="P1576" s="134"/>
      <c r="Q1576" s="146"/>
      <c r="R1576" s="17"/>
      <c r="S1576" s="17"/>
      <c r="T1576" s="75"/>
      <c r="U1576" s="75"/>
      <c r="V1576" s="75"/>
      <c r="W1576" s="75"/>
      <c r="X1576" s="75"/>
    </row>
    <row r="1577">
      <c r="A1577" s="17"/>
      <c r="B1577" s="17"/>
      <c r="C1577" s="133"/>
      <c r="D1577" s="133"/>
      <c r="E1577" s="17"/>
      <c r="F1577" s="133"/>
      <c r="G1577" s="133"/>
      <c r="H1577" s="133"/>
      <c r="I1577" s="133"/>
      <c r="J1577" s="133"/>
      <c r="K1577" s="133"/>
      <c r="L1577" s="133"/>
      <c r="M1577" s="133"/>
      <c r="N1577" s="133"/>
      <c r="O1577" s="133"/>
      <c r="P1577" s="134"/>
      <c r="Q1577" s="146"/>
      <c r="R1577" s="17"/>
      <c r="S1577" s="17"/>
      <c r="T1577" s="75"/>
      <c r="U1577" s="75"/>
      <c r="V1577" s="75"/>
      <c r="W1577" s="75"/>
      <c r="X1577" s="75"/>
    </row>
    <row r="1578">
      <c r="A1578" s="17"/>
      <c r="B1578" s="17"/>
      <c r="C1578" s="133"/>
      <c r="D1578" s="133"/>
      <c r="E1578" s="17"/>
      <c r="F1578" s="133"/>
      <c r="G1578" s="133"/>
      <c r="H1578" s="133"/>
      <c r="I1578" s="133"/>
      <c r="J1578" s="133"/>
      <c r="K1578" s="133"/>
      <c r="L1578" s="133"/>
      <c r="M1578" s="133"/>
      <c r="N1578" s="133"/>
      <c r="O1578" s="133"/>
      <c r="P1578" s="134"/>
      <c r="Q1578" s="146"/>
      <c r="R1578" s="17"/>
      <c r="S1578" s="17"/>
      <c r="T1578" s="75"/>
      <c r="U1578" s="75"/>
      <c r="V1578" s="75"/>
      <c r="W1578" s="75"/>
      <c r="X1578" s="75"/>
    </row>
    <row r="1579">
      <c r="A1579" s="17"/>
      <c r="B1579" s="17"/>
      <c r="C1579" s="133"/>
      <c r="D1579" s="133"/>
      <c r="E1579" s="17"/>
      <c r="F1579" s="133"/>
      <c r="G1579" s="133"/>
      <c r="H1579" s="133"/>
      <c r="I1579" s="133"/>
      <c r="J1579" s="133"/>
      <c r="K1579" s="133"/>
      <c r="L1579" s="133"/>
      <c r="M1579" s="133"/>
      <c r="N1579" s="133"/>
      <c r="O1579" s="133"/>
      <c r="P1579" s="134"/>
      <c r="Q1579" s="146"/>
      <c r="R1579" s="17"/>
      <c r="S1579" s="17"/>
      <c r="T1579" s="75"/>
      <c r="U1579" s="75"/>
      <c r="V1579" s="75"/>
      <c r="W1579" s="75"/>
      <c r="X1579" s="75"/>
    </row>
    <row r="1580">
      <c r="A1580" s="17"/>
      <c r="B1580" s="17"/>
      <c r="C1580" s="133"/>
      <c r="D1580" s="133"/>
      <c r="E1580" s="17"/>
      <c r="F1580" s="133"/>
      <c r="G1580" s="133"/>
      <c r="H1580" s="133"/>
      <c r="I1580" s="133"/>
      <c r="J1580" s="133"/>
      <c r="K1580" s="133"/>
      <c r="L1580" s="133"/>
      <c r="M1580" s="133"/>
      <c r="N1580" s="133"/>
      <c r="O1580" s="133"/>
      <c r="P1580" s="134"/>
      <c r="Q1580" s="146"/>
      <c r="R1580" s="17"/>
      <c r="S1580" s="17"/>
      <c r="T1580" s="75"/>
      <c r="U1580" s="75"/>
      <c r="V1580" s="75"/>
      <c r="W1580" s="75"/>
      <c r="X1580" s="75"/>
    </row>
    <row r="1581">
      <c r="A1581" s="17"/>
      <c r="B1581" s="17"/>
      <c r="C1581" s="133"/>
      <c r="D1581" s="133"/>
      <c r="E1581" s="17"/>
      <c r="F1581" s="133"/>
      <c r="G1581" s="133"/>
      <c r="H1581" s="133"/>
      <c r="I1581" s="133"/>
      <c r="J1581" s="133"/>
      <c r="K1581" s="133"/>
      <c r="L1581" s="133"/>
      <c r="M1581" s="133"/>
      <c r="N1581" s="133"/>
      <c r="O1581" s="133"/>
      <c r="P1581" s="134"/>
      <c r="Q1581" s="146"/>
      <c r="R1581" s="17"/>
      <c r="S1581" s="17"/>
      <c r="T1581" s="75"/>
      <c r="U1581" s="75"/>
      <c r="V1581" s="75"/>
      <c r="W1581" s="75"/>
      <c r="X1581" s="75"/>
    </row>
    <row r="1582">
      <c r="A1582" s="17"/>
      <c r="B1582" s="17"/>
      <c r="C1582" s="133"/>
      <c r="D1582" s="133"/>
      <c r="E1582" s="17"/>
      <c r="F1582" s="133"/>
      <c r="G1582" s="133"/>
      <c r="H1582" s="133"/>
      <c r="I1582" s="133"/>
      <c r="J1582" s="133"/>
      <c r="K1582" s="133"/>
      <c r="L1582" s="133"/>
      <c r="M1582" s="133"/>
      <c r="N1582" s="133"/>
      <c r="O1582" s="133"/>
      <c r="P1582" s="134"/>
      <c r="Q1582" s="146"/>
      <c r="R1582" s="17"/>
      <c r="S1582" s="17"/>
      <c r="T1582" s="75"/>
      <c r="U1582" s="75"/>
      <c r="V1582" s="75"/>
      <c r="W1582" s="75"/>
      <c r="X1582" s="75"/>
    </row>
    <row r="1583">
      <c r="A1583" s="17"/>
      <c r="B1583" s="17"/>
      <c r="C1583" s="133"/>
      <c r="D1583" s="133"/>
      <c r="E1583" s="17"/>
      <c r="F1583" s="133"/>
      <c r="G1583" s="133"/>
      <c r="H1583" s="133"/>
      <c r="I1583" s="133"/>
      <c r="J1583" s="133"/>
      <c r="K1583" s="133"/>
      <c r="L1583" s="133"/>
      <c r="M1583" s="133"/>
      <c r="N1583" s="133"/>
      <c r="O1583" s="133"/>
      <c r="P1583" s="134"/>
      <c r="Q1583" s="146"/>
      <c r="R1583" s="17"/>
      <c r="S1583" s="17"/>
      <c r="T1583" s="75"/>
      <c r="U1583" s="75"/>
      <c r="V1583" s="75"/>
      <c r="W1583" s="75"/>
      <c r="X1583" s="75"/>
    </row>
    <row r="1584">
      <c r="A1584" s="17"/>
      <c r="B1584" s="17"/>
      <c r="C1584" s="133"/>
      <c r="D1584" s="133"/>
      <c r="E1584" s="17"/>
      <c r="F1584" s="133"/>
      <c r="G1584" s="133"/>
      <c r="H1584" s="133"/>
      <c r="I1584" s="133"/>
      <c r="J1584" s="133"/>
      <c r="K1584" s="133"/>
      <c r="L1584" s="133"/>
      <c r="M1584" s="133"/>
      <c r="N1584" s="133"/>
      <c r="O1584" s="133"/>
      <c r="P1584" s="134"/>
      <c r="Q1584" s="146"/>
      <c r="R1584" s="17"/>
      <c r="S1584" s="17"/>
      <c r="T1584" s="75"/>
      <c r="U1584" s="75"/>
      <c r="V1584" s="75"/>
      <c r="W1584" s="75"/>
      <c r="X1584" s="75"/>
    </row>
    <row r="1585">
      <c r="A1585" s="17"/>
      <c r="B1585" s="17"/>
      <c r="C1585" s="133"/>
      <c r="D1585" s="133"/>
      <c r="E1585" s="17"/>
      <c r="F1585" s="133"/>
      <c r="G1585" s="133"/>
      <c r="H1585" s="133"/>
      <c r="I1585" s="133"/>
      <c r="J1585" s="133"/>
      <c r="K1585" s="133"/>
      <c r="L1585" s="133"/>
      <c r="M1585" s="133"/>
      <c r="N1585" s="133"/>
      <c r="O1585" s="133"/>
      <c r="P1585" s="134"/>
      <c r="Q1585" s="146"/>
      <c r="R1585" s="17"/>
      <c r="S1585" s="17"/>
      <c r="T1585" s="75"/>
      <c r="U1585" s="75"/>
      <c r="V1585" s="75"/>
      <c r="W1585" s="75"/>
      <c r="X1585" s="75"/>
    </row>
    <row r="1586">
      <c r="A1586" s="17"/>
      <c r="B1586" s="17"/>
      <c r="C1586" s="133"/>
      <c r="D1586" s="133"/>
      <c r="E1586" s="17"/>
      <c r="F1586" s="133"/>
      <c r="G1586" s="133"/>
      <c r="H1586" s="133"/>
      <c r="I1586" s="133"/>
      <c r="J1586" s="133"/>
      <c r="K1586" s="133"/>
      <c r="L1586" s="133"/>
      <c r="M1586" s="133"/>
      <c r="N1586" s="133"/>
      <c r="O1586" s="133"/>
      <c r="P1586" s="134"/>
      <c r="Q1586" s="146"/>
      <c r="R1586" s="17"/>
      <c r="S1586" s="17"/>
      <c r="T1586" s="75"/>
      <c r="U1586" s="75"/>
      <c r="V1586" s="75"/>
      <c r="W1586" s="75"/>
      <c r="X1586" s="75"/>
    </row>
    <row r="1587">
      <c r="A1587" s="17"/>
      <c r="B1587" s="17"/>
      <c r="C1587" s="133"/>
      <c r="D1587" s="133"/>
      <c r="E1587" s="17"/>
      <c r="F1587" s="133"/>
      <c r="G1587" s="133"/>
      <c r="H1587" s="133"/>
      <c r="I1587" s="133"/>
      <c r="J1587" s="133"/>
      <c r="K1587" s="133"/>
      <c r="L1587" s="133"/>
      <c r="M1587" s="133"/>
      <c r="N1587" s="133"/>
      <c r="O1587" s="133"/>
      <c r="P1587" s="134"/>
      <c r="Q1587" s="146"/>
      <c r="R1587" s="17"/>
      <c r="S1587" s="17"/>
      <c r="T1587" s="75"/>
      <c r="U1587" s="75"/>
      <c r="V1587" s="75"/>
      <c r="W1587" s="75"/>
      <c r="X1587" s="75"/>
    </row>
    <row r="1588">
      <c r="A1588" s="17"/>
      <c r="B1588" s="17"/>
      <c r="C1588" s="133"/>
      <c r="D1588" s="133"/>
      <c r="E1588" s="17"/>
      <c r="F1588" s="133"/>
      <c r="G1588" s="133"/>
      <c r="H1588" s="133"/>
      <c r="I1588" s="133"/>
      <c r="J1588" s="133"/>
      <c r="K1588" s="133"/>
      <c r="L1588" s="133"/>
      <c r="M1588" s="133"/>
      <c r="N1588" s="133"/>
      <c r="O1588" s="133"/>
      <c r="P1588" s="134"/>
      <c r="Q1588" s="146"/>
      <c r="R1588" s="17"/>
      <c r="S1588" s="17"/>
      <c r="T1588" s="75"/>
      <c r="U1588" s="75"/>
      <c r="V1588" s="75"/>
      <c r="W1588" s="75"/>
      <c r="X1588" s="75"/>
    </row>
    <row r="1589">
      <c r="A1589" s="17"/>
      <c r="B1589" s="17"/>
      <c r="C1589" s="133"/>
      <c r="D1589" s="133"/>
      <c r="E1589" s="17"/>
      <c r="F1589" s="133"/>
      <c r="G1589" s="133"/>
      <c r="H1589" s="133"/>
      <c r="I1589" s="133"/>
      <c r="J1589" s="133"/>
      <c r="K1589" s="133"/>
      <c r="L1589" s="133"/>
      <c r="M1589" s="133"/>
      <c r="N1589" s="133"/>
      <c r="O1589" s="133"/>
      <c r="P1589" s="134"/>
      <c r="Q1589" s="146"/>
      <c r="R1589" s="17"/>
      <c r="S1589" s="17"/>
      <c r="T1589" s="75"/>
      <c r="U1589" s="75"/>
      <c r="V1589" s="75"/>
      <c r="W1589" s="75"/>
      <c r="X1589" s="75"/>
    </row>
    <row r="1590">
      <c r="A1590" s="17"/>
      <c r="B1590" s="17"/>
      <c r="C1590" s="133"/>
      <c r="D1590" s="133"/>
      <c r="E1590" s="17"/>
      <c r="F1590" s="133"/>
      <c r="G1590" s="133"/>
      <c r="H1590" s="133"/>
      <c r="I1590" s="133"/>
      <c r="J1590" s="133"/>
      <c r="K1590" s="133"/>
      <c r="L1590" s="133"/>
      <c r="M1590" s="133"/>
      <c r="N1590" s="133"/>
      <c r="O1590" s="133"/>
      <c r="P1590" s="134"/>
      <c r="Q1590" s="146"/>
      <c r="R1590" s="17"/>
      <c r="S1590" s="17"/>
      <c r="T1590" s="75"/>
      <c r="U1590" s="75"/>
      <c r="V1590" s="75"/>
      <c r="W1590" s="75"/>
      <c r="X1590" s="75"/>
    </row>
    <row r="1591">
      <c r="A1591" s="17"/>
      <c r="B1591" s="17"/>
      <c r="C1591" s="133"/>
      <c r="D1591" s="133"/>
      <c r="E1591" s="17"/>
      <c r="F1591" s="133"/>
      <c r="G1591" s="133"/>
      <c r="H1591" s="133"/>
      <c r="I1591" s="133"/>
      <c r="J1591" s="133"/>
      <c r="K1591" s="133"/>
      <c r="L1591" s="133"/>
      <c r="M1591" s="133"/>
      <c r="N1591" s="133"/>
      <c r="O1591" s="133"/>
      <c r="P1591" s="134"/>
      <c r="Q1591" s="146"/>
      <c r="R1591" s="17"/>
      <c r="S1591" s="17"/>
      <c r="T1591" s="75"/>
      <c r="U1591" s="75"/>
      <c r="V1591" s="75"/>
      <c r="W1591" s="75"/>
      <c r="X1591" s="75"/>
    </row>
    <row r="1592">
      <c r="A1592" s="17"/>
      <c r="B1592" s="17"/>
      <c r="C1592" s="133"/>
      <c r="D1592" s="133"/>
      <c r="E1592" s="17"/>
      <c r="F1592" s="133"/>
      <c r="G1592" s="133"/>
      <c r="H1592" s="133"/>
      <c r="I1592" s="133"/>
      <c r="J1592" s="133"/>
      <c r="K1592" s="133"/>
      <c r="L1592" s="133"/>
      <c r="M1592" s="133"/>
      <c r="N1592" s="133"/>
      <c r="O1592" s="133"/>
      <c r="P1592" s="134"/>
      <c r="Q1592" s="146"/>
      <c r="R1592" s="17"/>
      <c r="S1592" s="17"/>
      <c r="T1592" s="75"/>
      <c r="U1592" s="75"/>
      <c r="V1592" s="75"/>
      <c r="W1592" s="75"/>
      <c r="X1592" s="75"/>
    </row>
    <row r="1593">
      <c r="A1593" s="17"/>
      <c r="B1593" s="17"/>
      <c r="C1593" s="133"/>
      <c r="D1593" s="133"/>
      <c r="E1593" s="17"/>
      <c r="F1593" s="133"/>
      <c r="G1593" s="133"/>
      <c r="H1593" s="133"/>
      <c r="I1593" s="133"/>
      <c r="J1593" s="133"/>
      <c r="K1593" s="133"/>
      <c r="L1593" s="133"/>
      <c r="M1593" s="133"/>
      <c r="N1593" s="133"/>
      <c r="O1593" s="133"/>
      <c r="P1593" s="134"/>
      <c r="Q1593" s="146"/>
      <c r="R1593" s="17"/>
      <c r="S1593" s="17"/>
      <c r="T1593" s="75"/>
      <c r="U1593" s="75"/>
      <c r="V1593" s="75"/>
      <c r="W1593" s="75"/>
      <c r="X1593" s="75"/>
    </row>
    <row r="1594">
      <c r="A1594" s="17"/>
      <c r="B1594" s="17"/>
      <c r="C1594" s="133"/>
      <c r="D1594" s="133"/>
      <c r="E1594" s="17"/>
      <c r="F1594" s="133"/>
      <c r="G1594" s="133"/>
      <c r="H1594" s="133"/>
      <c r="I1594" s="133"/>
      <c r="J1594" s="133"/>
      <c r="K1594" s="133"/>
      <c r="L1594" s="133"/>
      <c r="M1594" s="133"/>
      <c r="N1594" s="133"/>
      <c r="O1594" s="133"/>
      <c r="P1594" s="134"/>
      <c r="Q1594" s="146"/>
      <c r="R1594" s="17"/>
      <c r="S1594" s="17"/>
      <c r="T1594" s="75"/>
      <c r="U1594" s="75"/>
      <c r="V1594" s="75"/>
      <c r="W1594" s="75"/>
      <c r="X1594" s="75"/>
    </row>
    <row r="1595">
      <c r="A1595" s="17"/>
      <c r="B1595" s="17"/>
      <c r="C1595" s="133"/>
      <c r="D1595" s="133"/>
      <c r="E1595" s="17"/>
      <c r="F1595" s="133"/>
      <c r="G1595" s="133"/>
      <c r="H1595" s="133"/>
      <c r="I1595" s="133"/>
      <c r="J1595" s="133"/>
      <c r="K1595" s="133"/>
      <c r="L1595" s="133"/>
      <c r="M1595" s="133"/>
      <c r="N1595" s="133"/>
      <c r="O1595" s="133"/>
      <c r="P1595" s="134"/>
      <c r="Q1595" s="146"/>
      <c r="R1595" s="17"/>
      <c r="S1595" s="17"/>
      <c r="T1595" s="75"/>
      <c r="U1595" s="75"/>
      <c r="V1595" s="75"/>
      <c r="W1595" s="75"/>
      <c r="X1595" s="75"/>
    </row>
    <row r="1596">
      <c r="A1596" s="17"/>
      <c r="B1596" s="17"/>
      <c r="C1596" s="133"/>
      <c r="D1596" s="133"/>
      <c r="E1596" s="17"/>
      <c r="F1596" s="133"/>
      <c r="G1596" s="133"/>
      <c r="H1596" s="133"/>
      <c r="I1596" s="133"/>
      <c r="J1596" s="133"/>
      <c r="K1596" s="133"/>
      <c r="L1596" s="133"/>
      <c r="M1596" s="133"/>
      <c r="N1596" s="133"/>
      <c r="O1596" s="133"/>
      <c r="P1596" s="134"/>
      <c r="Q1596" s="146"/>
      <c r="R1596" s="17"/>
      <c r="S1596" s="17"/>
      <c r="T1596" s="75"/>
      <c r="U1596" s="75"/>
      <c r="V1596" s="75"/>
      <c r="W1596" s="75"/>
      <c r="X1596" s="75"/>
    </row>
    <row r="1597">
      <c r="A1597" s="17"/>
      <c r="B1597" s="17"/>
      <c r="C1597" s="133"/>
      <c r="D1597" s="133"/>
      <c r="E1597" s="17"/>
      <c r="F1597" s="133"/>
      <c r="G1597" s="133"/>
      <c r="H1597" s="133"/>
      <c r="I1597" s="133"/>
      <c r="J1597" s="133"/>
      <c r="K1597" s="133"/>
      <c r="L1597" s="133"/>
      <c r="M1597" s="133"/>
      <c r="N1597" s="133"/>
      <c r="O1597" s="133"/>
      <c r="P1597" s="134"/>
      <c r="Q1597" s="146"/>
      <c r="R1597" s="17"/>
      <c r="S1597" s="17"/>
      <c r="T1597" s="75"/>
      <c r="U1597" s="75"/>
      <c r="V1597" s="75"/>
      <c r="W1597" s="75"/>
      <c r="X1597" s="75"/>
    </row>
    <row r="1598">
      <c r="A1598" s="17"/>
      <c r="B1598" s="17"/>
      <c r="C1598" s="133"/>
      <c r="D1598" s="133"/>
      <c r="E1598" s="17"/>
      <c r="F1598" s="133"/>
      <c r="G1598" s="133"/>
      <c r="H1598" s="133"/>
      <c r="I1598" s="133"/>
      <c r="J1598" s="133"/>
      <c r="K1598" s="133"/>
      <c r="L1598" s="133"/>
      <c r="M1598" s="133"/>
      <c r="N1598" s="133"/>
      <c r="O1598" s="133"/>
      <c r="P1598" s="134"/>
      <c r="Q1598" s="146"/>
      <c r="R1598" s="17"/>
      <c r="S1598" s="17"/>
      <c r="T1598" s="75"/>
      <c r="U1598" s="75"/>
      <c r="V1598" s="75"/>
      <c r="W1598" s="75"/>
      <c r="X1598" s="75"/>
    </row>
    <row r="1599">
      <c r="A1599" s="17"/>
      <c r="B1599" s="17"/>
      <c r="C1599" s="133"/>
      <c r="D1599" s="133"/>
      <c r="E1599" s="17"/>
      <c r="F1599" s="133"/>
      <c r="G1599" s="133"/>
      <c r="H1599" s="133"/>
      <c r="I1599" s="133"/>
      <c r="J1599" s="133"/>
      <c r="K1599" s="133"/>
      <c r="L1599" s="133"/>
      <c r="M1599" s="133"/>
      <c r="N1599" s="133"/>
      <c r="O1599" s="133"/>
      <c r="P1599" s="134"/>
      <c r="Q1599" s="146"/>
      <c r="R1599" s="17"/>
      <c r="S1599" s="17"/>
      <c r="T1599" s="75"/>
      <c r="U1599" s="75"/>
      <c r="V1599" s="75"/>
      <c r="W1599" s="75"/>
      <c r="X1599" s="75"/>
    </row>
    <row r="1600">
      <c r="A1600" s="17"/>
      <c r="B1600" s="17"/>
      <c r="C1600" s="133"/>
      <c r="D1600" s="133"/>
      <c r="E1600" s="17"/>
      <c r="F1600" s="133"/>
      <c r="G1600" s="133"/>
      <c r="H1600" s="133"/>
      <c r="I1600" s="133"/>
      <c r="J1600" s="133"/>
      <c r="K1600" s="133"/>
      <c r="L1600" s="133"/>
      <c r="M1600" s="133"/>
      <c r="N1600" s="133"/>
      <c r="O1600" s="133"/>
      <c r="P1600" s="134"/>
      <c r="Q1600" s="146"/>
      <c r="R1600" s="17"/>
      <c r="S1600" s="17"/>
      <c r="T1600" s="75"/>
      <c r="U1600" s="75"/>
      <c r="V1600" s="75"/>
      <c r="W1600" s="75"/>
      <c r="X1600" s="75"/>
    </row>
    <row r="1601">
      <c r="A1601" s="17"/>
      <c r="B1601" s="17"/>
      <c r="C1601" s="133"/>
      <c r="D1601" s="133"/>
      <c r="E1601" s="17"/>
      <c r="F1601" s="133"/>
      <c r="G1601" s="133"/>
      <c r="H1601" s="133"/>
      <c r="I1601" s="133"/>
      <c r="J1601" s="133"/>
      <c r="K1601" s="133"/>
      <c r="L1601" s="133"/>
      <c r="M1601" s="133"/>
      <c r="N1601" s="133"/>
      <c r="O1601" s="133"/>
      <c r="P1601" s="134"/>
      <c r="Q1601" s="146"/>
      <c r="R1601" s="17"/>
      <c r="S1601" s="17"/>
      <c r="T1601" s="75"/>
      <c r="U1601" s="75"/>
      <c r="V1601" s="75"/>
      <c r="W1601" s="75"/>
      <c r="X1601" s="75"/>
    </row>
    <row r="1602">
      <c r="A1602" s="17"/>
      <c r="B1602" s="17"/>
      <c r="C1602" s="133"/>
      <c r="D1602" s="133"/>
      <c r="E1602" s="17"/>
      <c r="F1602" s="133"/>
      <c r="G1602" s="133"/>
      <c r="H1602" s="133"/>
      <c r="I1602" s="133"/>
      <c r="J1602" s="133"/>
      <c r="K1602" s="133"/>
      <c r="L1602" s="133"/>
      <c r="M1602" s="133"/>
      <c r="N1602" s="133"/>
      <c r="O1602" s="133"/>
      <c r="P1602" s="134"/>
      <c r="Q1602" s="146"/>
      <c r="R1602" s="17"/>
      <c r="S1602" s="17"/>
      <c r="T1602" s="75"/>
      <c r="U1602" s="75"/>
      <c r="V1602" s="75"/>
      <c r="W1602" s="75"/>
      <c r="X1602" s="75"/>
    </row>
    <row r="1603">
      <c r="A1603" s="17"/>
      <c r="B1603" s="17"/>
      <c r="C1603" s="133"/>
      <c r="D1603" s="133"/>
      <c r="E1603" s="17"/>
      <c r="F1603" s="133"/>
      <c r="G1603" s="133"/>
      <c r="H1603" s="133"/>
      <c r="I1603" s="133"/>
      <c r="J1603" s="133"/>
      <c r="K1603" s="133"/>
      <c r="L1603" s="133"/>
      <c r="M1603" s="133"/>
      <c r="N1603" s="133"/>
      <c r="O1603" s="133"/>
      <c r="P1603" s="134"/>
      <c r="Q1603" s="146"/>
      <c r="R1603" s="17"/>
      <c r="S1603" s="17"/>
      <c r="T1603" s="75"/>
      <c r="U1603" s="75"/>
      <c r="V1603" s="75"/>
      <c r="W1603" s="75"/>
      <c r="X1603" s="75"/>
    </row>
    <row r="1604">
      <c r="A1604" s="17"/>
      <c r="B1604" s="17"/>
      <c r="C1604" s="133"/>
      <c r="D1604" s="133"/>
      <c r="E1604" s="17"/>
      <c r="F1604" s="133"/>
      <c r="G1604" s="133"/>
      <c r="H1604" s="133"/>
      <c r="I1604" s="133"/>
      <c r="J1604" s="133"/>
      <c r="K1604" s="133"/>
      <c r="L1604" s="133"/>
      <c r="M1604" s="133"/>
      <c r="N1604" s="133"/>
      <c r="O1604" s="133"/>
      <c r="P1604" s="134"/>
      <c r="Q1604" s="146"/>
      <c r="R1604" s="17"/>
      <c r="S1604" s="17"/>
      <c r="T1604" s="75"/>
      <c r="U1604" s="75"/>
      <c r="V1604" s="75"/>
      <c r="W1604" s="75"/>
      <c r="X1604" s="75"/>
    </row>
    <row r="1605">
      <c r="A1605" s="17"/>
      <c r="B1605" s="17"/>
      <c r="C1605" s="133"/>
      <c r="D1605" s="133"/>
      <c r="E1605" s="17"/>
      <c r="F1605" s="133"/>
      <c r="G1605" s="133"/>
      <c r="H1605" s="133"/>
      <c r="I1605" s="133"/>
      <c r="J1605" s="133"/>
      <c r="K1605" s="133"/>
      <c r="L1605" s="133"/>
      <c r="M1605" s="133"/>
      <c r="N1605" s="133"/>
      <c r="O1605" s="133"/>
      <c r="P1605" s="134"/>
      <c r="Q1605" s="146"/>
      <c r="R1605" s="17"/>
      <c r="S1605" s="17"/>
      <c r="T1605" s="75"/>
      <c r="U1605" s="75"/>
      <c r="V1605" s="75"/>
      <c r="W1605" s="75"/>
      <c r="X1605" s="75"/>
    </row>
    <row r="1606">
      <c r="A1606" s="17"/>
      <c r="B1606" s="17"/>
      <c r="C1606" s="133"/>
      <c r="D1606" s="133"/>
      <c r="E1606" s="17"/>
      <c r="F1606" s="133"/>
      <c r="G1606" s="133"/>
      <c r="H1606" s="133"/>
      <c r="I1606" s="133"/>
      <c r="J1606" s="133"/>
      <c r="K1606" s="133"/>
      <c r="L1606" s="133"/>
      <c r="M1606" s="133"/>
      <c r="N1606" s="133"/>
      <c r="O1606" s="133"/>
      <c r="P1606" s="134"/>
      <c r="Q1606" s="146"/>
      <c r="R1606" s="17"/>
      <c r="S1606" s="17"/>
      <c r="T1606" s="75"/>
      <c r="U1606" s="75"/>
      <c r="V1606" s="75"/>
      <c r="W1606" s="75"/>
      <c r="X1606" s="75"/>
    </row>
    <row r="1607">
      <c r="A1607" s="17"/>
      <c r="B1607" s="17"/>
      <c r="C1607" s="133"/>
      <c r="D1607" s="133"/>
      <c r="E1607" s="17"/>
      <c r="F1607" s="133"/>
      <c r="G1607" s="133"/>
      <c r="H1607" s="133"/>
      <c r="I1607" s="133"/>
      <c r="J1607" s="133"/>
      <c r="K1607" s="133"/>
      <c r="L1607" s="133"/>
      <c r="M1607" s="133"/>
      <c r="N1607" s="133"/>
      <c r="O1607" s="133"/>
      <c r="P1607" s="134"/>
      <c r="Q1607" s="146"/>
      <c r="R1607" s="17"/>
      <c r="S1607" s="17"/>
      <c r="T1607" s="75"/>
      <c r="U1607" s="75"/>
      <c r="V1607" s="75"/>
      <c r="W1607" s="75"/>
      <c r="X1607" s="75"/>
    </row>
    <row r="1608">
      <c r="A1608" s="17"/>
      <c r="B1608" s="17"/>
      <c r="C1608" s="133"/>
      <c r="D1608" s="133"/>
      <c r="E1608" s="17"/>
      <c r="F1608" s="133"/>
      <c r="G1608" s="133"/>
      <c r="H1608" s="133"/>
      <c r="I1608" s="133"/>
      <c r="J1608" s="133"/>
      <c r="K1608" s="133"/>
      <c r="L1608" s="133"/>
      <c r="M1608" s="133"/>
      <c r="N1608" s="133"/>
      <c r="O1608" s="133"/>
      <c r="P1608" s="134"/>
      <c r="Q1608" s="146"/>
      <c r="R1608" s="17"/>
      <c r="S1608" s="17"/>
      <c r="T1608" s="75"/>
      <c r="U1608" s="75"/>
      <c r="V1608" s="75"/>
      <c r="W1608" s="75"/>
      <c r="X1608" s="75"/>
    </row>
    <row r="1609">
      <c r="A1609" s="17"/>
      <c r="B1609" s="17"/>
      <c r="C1609" s="133"/>
      <c r="D1609" s="133"/>
      <c r="E1609" s="17"/>
      <c r="F1609" s="133"/>
      <c r="G1609" s="133"/>
      <c r="H1609" s="133"/>
      <c r="I1609" s="133"/>
      <c r="J1609" s="133"/>
      <c r="K1609" s="133"/>
      <c r="L1609" s="133"/>
      <c r="M1609" s="133"/>
      <c r="N1609" s="133"/>
      <c r="O1609" s="133"/>
      <c r="P1609" s="134"/>
      <c r="Q1609" s="146"/>
      <c r="R1609" s="17"/>
      <c r="S1609" s="17"/>
      <c r="T1609" s="75"/>
      <c r="U1609" s="75"/>
      <c r="V1609" s="75"/>
      <c r="W1609" s="75"/>
      <c r="X1609" s="75"/>
    </row>
    <row r="1610">
      <c r="A1610" s="17"/>
      <c r="B1610" s="17"/>
      <c r="C1610" s="133"/>
      <c r="D1610" s="133"/>
      <c r="E1610" s="17"/>
      <c r="F1610" s="133"/>
      <c r="G1610" s="133"/>
      <c r="H1610" s="133"/>
      <c r="I1610" s="133"/>
      <c r="J1610" s="133"/>
      <c r="K1610" s="133"/>
      <c r="L1610" s="133"/>
      <c r="M1610" s="133"/>
      <c r="N1610" s="133"/>
      <c r="O1610" s="133"/>
      <c r="P1610" s="134"/>
      <c r="Q1610" s="146"/>
      <c r="R1610" s="17"/>
      <c r="S1610" s="17"/>
      <c r="T1610" s="75"/>
      <c r="U1610" s="75"/>
      <c r="V1610" s="75"/>
      <c r="W1610" s="75"/>
      <c r="X1610" s="75"/>
    </row>
    <row r="1611">
      <c r="A1611" s="17"/>
      <c r="B1611" s="17"/>
      <c r="C1611" s="133"/>
      <c r="D1611" s="133"/>
      <c r="E1611" s="17"/>
      <c r="F1611" s="133"/>
      <c r="G1611" s="133"/>
      <c r="H1611" s="133"/>
      <c r="I1611" s="133"/>
      <c r="J1611" s="133"/>
      <c r="K1611" s="133"/>
      <c r="L1611" s="133"/>
      <c r="M1611" s="133"/>
      <c r="N1611" s="133"/>
      <c r="O1611" s="133"/>
      <c r="P1611" s="134"/>
      <c r="Q1611" s="146"/>
      <c r="R1611" s="17"/>
      <c r="S1611" s="17"/>
      <c r="T1611" s="75"/>
      <c r="U1611" s="75"/>
      <c r="V1611" s="75"/>
      <c r="W1611" s="75"/>
      <c r="X1611" s="75"/>
    </row>
    <row r="1612">
      <c r="A1612" s="17"/>
      <c r="B1612" s="17"/>
      <c r="C1612" s="133"/>
      <c r="D1612" s="133"/>
      <c r="E1612" s="17"/>
      <c r="F1612" s="133"/>
      <c r="G1612" s="133"/>
      <c r="H1612" s="133"/>
      <c r="I1612" s="133"/>
      <c r="J1612" s="133"/>
      <c r="K1612" s="133"/>
      <c r="L1612" s="133"/>
      <c r="M1612" s="133"/>
      <c r="N1612" s="133"/>
      <c r="O1612" s="133"/>
      <c r="P1612" s="134"/>
      <c r="Q1612" s="146"/>
      <c r="R1612" s="17"/>
      <c r="S1612" s="17"/>
      <c r="T1612" s="75"/>
      <c r="U1612" s="75"/>
      <c r="V1612" s="75"/>
      <c r="W1612" s="75"/>
      <c r="X1612" s="75"/>
    </row>
    <row r="1613">
      <c r="A1613" s="17"/>
      <c r="B1613" s="17"/>
      <c r="C1613" s="133"/>
      <c r="D1613" s="133"/>
      <c r="E1613" s="17"/>
      <c r="F1613" s="133"/>
      <c r="G1613" s="133"/>
      <c r="H1613" s="133"/>
      <c r="I1613" s="133"/>
      <c r="J1613" s="133"/>
      <c r="K1613" s="133"/>
      <c r="L1613" s="133"/>
      <c r="M1613" s="133"/>
      <c r="N1613" s="133"/>
      <c r="O1613" s="133"/>
      <c r="P1613" s="134"/>
      <c r="Q1613" s="146"/>
      <c r="R1613" s="17"/>
      <c r="S1613" s="17"/>
      <c r="T1613" s="75"/>
      <c r="U1613" s="75"/>
      <c r="V1613" s="75"/>
      <c r="W1613" s="75"/>
      <c r="X1613" s="75"/>
    </row>
    <row r="1614">
      <c r="A1614" s="17"/>
      <c r="B1614" s="17"/>
      <c r="C1614" s="133"/>
      <c r="D1614" s="133"/>
      <c r="E1614" s="17"/>
      <c r="F1614" s="133"/>
      <c r="G1614" s="133"/>
      <c r="H1614" s="133"/>
      <c r="I1614" s="133"/>
      <c r="J1614" s="133"/>
      <c r="K1614" s="133"/>
      <c r="L1614" s="133"/>
      <c r="M1614" s="133"/>
      <c r="N1614" s="133"/>
      <c r="O1614" s="133"/>
      <c r="P1614" s="134"/>
      <c r="Q1614" s="146"/>
      <c r="R1614" s="17"/>
      <c r="S1614" s="17"/>
      <c r="T1614" s="75"/>
      <c r="U1614" s="75"/>
      <c r="V1614" s="75"/>
      <c r="W1614" s="75"/>
      <c r="X1614" s="75"/>
    </row>
    <row r="1615">
      <c r="A1615" s="17"/>
      <c r="B1615" s="17"/>
      <c r="C1615" s="133"/>
      <c r="D1615" s="133"/>
      <c r="E1615" s="17"/>
      <c r="F1615" s="133"/>
      <c r="G1615" s="133"/>
      <c r="H1615" s="133"/>
      <c r="I1615" s="133"/>
      <c r="J1615" s="133"/>
      <c r="K1615" s="133"/>
      <c r="L1615" s="133"/>
      <c r="M1615" s="133"/>
      <c r="N1615" s="133"/>
      <c r="O1615" s="133"/>
      <c r="P1615" s="134"/>
      <c r="Q1615" s="146"/>
      <c r="R1615" s="17"/>
      <c r="S1615" s="17"/>
      <c r="T1615" s="75"/>
      <c r="U1615" s="75"/>
      <c r="V1615" s="75"/>
      <c r="W1615" s="75"/>
      <c r="X1615" s="75"/>
    </row>
    <row r="1616">
      <c r="A1616" s="17"/>
      <c r="B1616" s="17"/>
      <c r="C1616" s="133"/>
      <c r="D1616" s="133"/>
      <c r="E1616" s="17"/>
      <c r="F1616" s="133"/>
      <c r="G1616" s="133"/>
      <c r="H1616" s="133"/>
      <c r="I1616" s="133"/>
      <c r="J1616" s="133"/>
      <c r="K1616" s="133"/>
      <c r="L1616" s="133"/>
      <c r="M1616" s="133"/>
      <c r="N1616" s="133"/>
      <c r="O1616" s="133"/>
      <c r="P1616" s="134"/>
      <c r="Q1616" s="146"/>
      <c r="R1616" s="17"/>
      <c r="S1616" s="17"/>
      <c r="T1616" s="75"/>
      <c r="U1616" s="75"/>
      <c r="V1616" s="75"/>
      <c r="W1616" s="75"/>
      <c r="X1616" s="75"/>
    </row>
    <row r="1617">
      <c r="A1617" s="17"/>
      <c r="B1617" s="17"/>
      <c r="C1617" s="133"/>
      <c r="D1617" s="133"/>
      <c r="E1617" s="17"/>
      <c r="F1617" s="133"/>
      <c r="G1617" s="133"/>
      <c r="H1617" s="133"/>
      <c r="I1617" s="133"/>
      <c r="J1617" s="133"/>
      <c r="K1617" s="133"/>
      <c r="L1617" s="133"/>
      <c r="M1617" s="133"/>
      <c r="N1617" s="133"/>
      <c r="O1617" s="133"/>
      <c r="P1617" s="134"/>
      <c r="Q1617" s="146"/>
      <c r="R1617" s="17"/>
      <c r="S1617" s="17"/>
      <c r="T1617" s="75"/>
      <c r="U1617" s="75"/>
      <c r="V1617" s="75"/>
      <c r="W1617" s="75"/>
      <c r="X1617" s="75"/>
    </row>
    <row r="1618">
      <c r="A1618" s="17"/>
      <c r="B1618" s="17"/>
      <c r="C1618" s="133"/>
      <c r="D1618" s="133"/>
      <c r="E1618" s="17"/>
      <c r="F1618" s="133"/>
      <c r="G1618" s="133"/>
      <c r="H1618" s="133"/>
      <c r="I1618" s="133"/>
      <c r="J1618" s="133"/>
      <c r="K1618" s="133"/>
      <c r="L1618" s="133"/>
      <c r="M1618" s="133"/>
      <c r="N1618" s="133"/>
      <c r="O1618" s="133"/>
      <c r="P1618" s="134"/>
      <c r="Q1618" s="146"/>
      <c r="R1618" s="17"/>
      <c r="S1618" s="17"/>
      <c r="T1618" s="75"/>
      <c r="U1618" s="75"/>
      <c r="V1618" s="75"/>
      <c r="W1618" s="75"/>
      <c r="X1618" s="75"/>
    </row>
    <row r="1619">
      <c r="A1619" s="17"/>
      <c r="B1619" s="17"/>
      <c r="C1619" s="133"/>
      <c r="D1619" s="133"/>
      <c r="E1619" s="17"/>
      <c r="F1619" s="133"/>
      <c r="G1619" s="133"/>
      <c r="H1619" s="133"/>
      <c r="I1619" s="133"/>
      <c r="J1619" s="133"/>
      <c r="K1619" s="133"/>
      <c r="L1619" s="133"/>
      <c r="M1619" s="133"/>
      <c r="N1619" s="133"/>
      <c r="O1619" s="133"/>
      <c r="P1619" s="134"/>
      <c r="Q1619" s="146"/>
      <c r="R1619" s="17"/>
      <c r="S1619" s="17"/>
      <c r="T1619" s="75"/>
      <c r="U1619" s="75"/>
      <c r="V1619" s="75"/>
      <c r="W1619" s="75"/>
      <c r="X1619" s="75"/>
    </row>
    <row r="1620">
      <c r="A1620" s="17"/>
      <c r="B1620" s="17"/>
      <c r="C1620" s="133"/>
      <c r="D1620" s="133"/>
      <c r="E1620" s="17"/>
      <c r="F1620" s="133"/>
      <c r="G1620" s="133"/>
      <c r="H1620" s="133"/>
      <c r="I1620" s="133"/>
      <c r="J1620" s="133"/>
      <c r="K1620" s="133"/>
      <c r="L1620" s="133"/>
      <c r="M1620" s="133"/>
      <c r="N1620" s="133"/>
      <c r="O1620" s="133"/>
      <c r="P1620" s="134"/>
      <c r="Q1620" s="146"/>
      <c r="R1620" s="17"/>
      <c r="S1620" s="17"/>
      <c r="T1620" s="75"/>
      <c r="U1620" s="75"/>
      <c r="V1620" s="75"/>
      <c r="W1620" s="75"/>
      <c r="X1620" s="75"/>
    </row>
    <row r="1621">
      <c r="A1621" s="17"/>
      <c r="B1621" s="17"/>
      <c r="C1621" s="133"/>
      <c r="D1621" s="133"/>
      <c r="E1621" s="17"/>
      <c r="F1621" s="133"/>
      <c r="G1621" s="133"/>
      <c r="H1621" s="133"/>
      <c r="I1621" s="133"/>
      <c r="J1621" s="133"/>
      <c r="K1621" s="133"/>
      <c r="L1621" s="133"/>
      <c r="M1621" s="133"/>
      <c r="N1621" s="133"/>
      <c r="O1621" s="133"/>
      <c r="P1621" s="134"/>
      <c r="Q1621" s="146"/>
      <c r="R1621" s="17"/>
      <c r="S1621" s="17"/>
      <c r="T1621" s="75"/>
      <c r="U1621" s="75"/>
      <c r="V1621" s="75"/>
      <c r="W1621" s="75"/>
      <c r="X1621" s="75"/>
    </row>
    <row r="1622">
      <c r="A1622" s="17"/>
      <c r="B1622" s="17"/>
      <c r="C1622" s="133"/>
      <c r="D1622" s="133"/>
      <c r="E1622" s="17"/>
      <c r="F1622" s="133"/>
      <c r="G1622" s="133"/>
      <c r="H1622" s="133"/>
      <c r="I1622" s="133"/>
      <c r="J1622" s="133"/>
      <c r="K1622" s="133"/>
      <c r="L1622" s="133"/>
      <c r="M1622" s="133"/>
      <c r="N1622" s="133"/>
      <c r="O1622" s="133"/>
      <c r="P1622" s="134"/>
      <c r="Q1622" s="146"/>
      <c r="R1622" s="17"/>
      <c r="S1622" s="17"/>
      <c r="T1622" s="75"/>
      <c r="U1622" s="75"/>
      <c r="V1622" s="75"/>
      <c r="W1622" s="75"/>
      <c r="X1622" s="75"/>
    </row>
    <row r="1623">
      <c r="A1623" s="17"/>
      <c r="B1623" s="17"/>
      <c r="C1623" s="133"/>
      <c r="D1623" s="133"/>
      <c r="E1623" s="17"/>
      <c r="F1623" s="133"/>
      <c r="G1623" s="133"/>
      <c r="H1623" s="133"/>
      <c r="I1623" s="133"/>
      <c r="J1623" s="133"/>
      <c r="K1623" s="133"/>
      <c r="L1623" s="133"/>
      <c r="M1623" s="133"/>
      <c r="N1623" s="133"/>
      <c r="O1623" s="133"/>
      <c r="P1623" s="134"/>
      <c r="Q1623" s="146"/>
      <c r="R1623" s="17"/>
      <c r="S1623" s="17"/>
      <c r="T1623" s="75"/>
      <c r="U1623" s="75"/>
      <c r="V1623" s="75"/>
      <c r="W1623" s="75"/>
      <c r="X1623" s="75"/>
    </row>
    <row r="1624">
      <c r="A1624" s="17"/>
      <c r="B1624" s="17"/>
      <c r="C1624" s="133"/>
      <c r="D1624" s="133"/>
      <c r="E1624" s="17"/>
      <c r="F1624" s="133"/>
      <c r="G1624" s="133"/>
      <c r="H1624" s="133"/>
      <c r="I1624" s="133"/>
      <c r="J1624" s="133"/>
      <c r="K1624" s="133"/>
      <c r="L1624" s="133"/>
      <c r="M1624" s="133"/>
      <c r="N1624" s="133"/>
      <c r="O1624" s="133"/>
      <c r="P1624" s="134"/>
      <c r="Q1624" s="146"/>
      <c r="R1624" s="17"/>
      <c r="S1624" s="17"/>
      <c r="T1624" s="75"/>
      <c r="U1624" s="75"/>
      <c r="V1624" s="75"/>
      <c r="W1624" s="75"/>
      <c r="X1624" s="75"/>
    </row>
    <row r="1625">
      <c r="A1625" s="17"/>
      <c r="B1625" s="17"/>
      <c r="C1625" s="133"/>
      <c r="D1625" s="133"/>
      <c r="E1625" s="17"/>
      <c r="F1625" s="133"/>
      <c r="G1625" s="133"/>
      <c r="H1625" s="133"/>
      <c r="I1625" s="133"/>
      <c r="J1625" s="133"/>
      <c r="K1625" s="133"/>
      <c r="L1625" s="133"/>
      <c r="M1625" s="133"/>
      <c r="N1625" s="133"/>
      <c r="O1625" s="133"/>
      <c r="P1625" s="134"/>
      <c r="Q1625" s="146"/>
      <c r="R1625" s="17"/>
      <c r="S1625" s="17"/>
      <c r="T1625" s="75"/>
      <c r="U1625" s="75"/>
      <c r="V1625" s="75"/>
      <c r="W1625" s="75"/>
      <c r="X1625" s="75"/>
    </row>
    <row r="1626">
      <c r="A1626" s="17"/>
      <c r="B1626" s="17"/>
      <c r="C1626" s="133"/>
      <c r="D1626" s="133"/>
      <c r="E1626" s="17"/>
      <c r="F1626" s="133"/>
      <c r="G1626" s="133"/>
      <c r="H1626" s="133"/>
      <c r="I1626" s="133"/>
      <c r="J1626" s="133"/>
      <c r="K1626" s="133"/>
      <c r="L1626" s="133"/>
      <c r="M1626" s="133"/>
      <c r="N1626" s="133"/>
      <c r="O1626" s="133"/>
      <c r="P1626" s="134"/>
      <c r="Q1626" s="146"/>
      <c r="R1626" s="17"/>
      <c r="S1626" s="17"/>
      <c r="T1626" s="75"/>
      <c r="U1626" s="75"/>
      <c r="V1626" s="75"/>
      <c r="W1626" s="75"/>
      <c r="X1626" s="75"/>
    </row>
    <row r="1627">
      <c r="A1627" s="17"/>
      <c r="B1627" s="17"/>
      <c r="C1627" s="133"/>
      <c r="D1627" s="133"/>
      <c r="E1627" s="17"/>
      <c r="F1627" s="133"/>
      <c r="G1627" s="133"/>
      <c r="H1627" s="133"/>
      <c r="I1627" s="133"/>
      <c r="J1627" s="133"/>
      <c r="K1627" s="133"/>
      <c r="L1627" s="133"/>
      <c r="M1627" s="133"/>
      <c r="N1627" s="133"/>
      <c r="O1627" s="133"/>
      <c r="P1627" s="134"/>
      <c r="Q1627" s="146"/>
      <c r="R1627" s="17"/>
      <c r="S1627" s="17"/>
      <c r="T1627" s="75"/>
      <c r="U1627" s="75"/>
      <c r="V1627" s="75"/>
      <c r="W1627" s="75"/>
      <c r="X1627" s="75"/>
    </row>
    <row r="1628">
      <c r="A1628" s="17"/>
      <c r="B1628" s="17"/>
      <c r="C1628" s="133"/>
      <c r="D1628" s="133"/>
      <c r="E1628" s="17"/>
      <c r="F1628" s="133"/>
      <c r="G1628" s="133"/>
      <c r="H1628" s="133"/>
      <c r="I1628" s="133"/>
      <c r="J1628" s="133"/>
      <c r="K1628" s="133"/>
      <c r="L1628" s="133"/>
      <c r="M1628" s="133"/>
      <c r="N1628" s="133"/>
      <c r="O1628" s="133"/>
      <c r="P1628" s="134"/>
      <c r="Q1628" s="146"/>
      <c r="R1628" s="17"/>
      <c r="S1628" s="17"/>
      <c r="T1628" s="75"/>
      <c r="U1628" s="75"/>
      <c r="V1628" s="75"/>
      <c r="W1628" s="75"/>
      <c r="X1628" s="75"/>
    </row>
    <row r="1629">
      <c r="A1629" s="17"/>
      <c r="B1629" s="17"/>
      <c r="C1629" s="133"/>
      <c r="D1629" s="133"/>
      <c r="E1629" s="17"/>
      <c r="F1629" s="133"/>
      <c r="G1629" s="133"/>
      <c r="H1629" s="133"/>
      <c r="I1629" s="133"/>
      <c r="J1629" s="133"/>
      <c r="K1629" s="133"/>
      <c r="L1629" s="133"/>
      <c r="M1629" s="133"/>
      <c r="N1629" s="133"/>
      <c r="O1629" s="133"/>
      <c r="P1629" s="134"/>
      <c r="Q1629" s="146"/>
      <c r="R1629" s="17"/>
      <c r="S1629" s="17"/>
      <c r="T1629" s="75"/>
      <c r="U1629" s="75"/>
      <c r="V1629" s="75"/>
      <c r="W1629" s="75"/>
      <c r="X1629" s="75"/>
    </row>
    <row r="1630">
      <c r="A1630" s="17"/>
      <c r="B1630" s="17"/>
      <c r="C1630" s="133"/>
      <c r="D1630" s="133"/>
      <c r="E1630" s="17"/>
      <c r="F1630" s="133"/>
      <c r="G1630" s="133"/>
      <c r="H1630" s="133"/>
      <c r="I1630" s="133"/>
      <c r="J1630" s="133"/>
      <c r="K1630" s="133"/>
      <c r="L1630" s="133"/>
      <c r="M1630" s="133"/>
      <c r="N1630" s="133"/>
      <c r="O1630" s="133"/>
      <c r="P1630" s="134"/>
      <c r="Q1630" s="146"/>
      <c r="R1630" s="17"/>
      <c r="S1630" s="17"/>
      <c r="T1630" s="75"/>
      <c r="U1630" s="75"/>
      <c r="V1630" s="75"/>
      <c r="W1630" s="75"/>
      <c r="X1630" s="75"/>
    </row>
    <row r="1631">
      <c r="A1631" s="17"/>
      <c r="B1631" s="17"/>
      <c r="C1631" s="133"/>
      <c r="D1631" s="133"/>
      <c r="E1631" s="17"/>
      <c r="F1631" s="133"/>
      <c r="G1631" s="133"/>
      <c r="H1631" s="133"/>
      <c r="I1631" s="133"/>
      <c r="J1631" s="133"/>
      <c r="K1631" s="133"/>
      <c r="L1631" s="133"/>
      <c r="M1631" s="133"/>
      <c r="N1631" s="133"/>
      <c r="O1631" s="133"/>
      <c r="P1631" s="134"/>
      <c r="Q1631" s="146"/>
      <c r="R1631" s="17"/>
      <c r="S1631" s="17"/>
      <c r="T1631" s="75"/>
      <c r="U1631" s="75"/>
      <c r="V1631" s="75"/>
      <c r="W1631" s="75"/>
      <c r="X1631" s="75"/>
    </row>
    <row r="1632">
      <c r="A1632" s="17"/>
      <c r="B1632" s="17"/>
      <c r="C1632" s="133"/>
      <c r="D1632" s="133"/>
      <c r="E1632" s="17"/>
      <c r="F1632" s="133"/>
      <c r="G1632" s="133"/>
      <c r="H1632" s="133"/>
      <c r="I1632" s="133"/>
      <c r="J1632" s="133"/>
      <c r="K1632" s="133"/>
      <c r="L1632" s="133"/>
      <c r="M1632" s="133"/>
      <c r="N1632" s="133"/>
      <c r="O1632" s="133"/>
      <c r="P1632" s="134"/>
      <c r="Q1632" s="146"/>
      <c r="R1632" s="17"/>
      <c r="S1632" s="17"/>
      <c r="T1632" s="75"/>
      <c r="U1632" s="75"/>
      <c r="V1632" s="75"/>
      <c r="W1632" s="75"/>
      <c r="X1632" s="75"/>
    </row>
    <row r="1633">
      <c r="A1633" s="17"/>
      <c r="B1633" s="17"/>
      <c r="C1633" s="133"/>
      <c r="D1633" s="133"/>
      <c r="E1633" s="17"/>
      <c r="F1633" s="133"/>
      <c r="G1633" s="133"/>
      <c r="H1633" s="133"/>
      <c r="I1633" s="133"/>
      <c r="J1633" s="133"/>
      <c r="K1633" s="133"/>
      <c r="L1633" s="133"/>
      <c r="M1633" s="133"/>
      <c r="N1633" s="133"/>
      <c r="O1633" s="133"/>
      <c r="P1633" s="134"/>
      <c r="Q1633" s="146"/>
      <c r="R1633" s="17"/>
      <c r="S1633" s="17"/>
      <c r="T1633" s="75"/>
      <c r="U1633" s="75"/>
      <c r="V1633" s="75"/>
      <c r="W1633" s="75"/>
      <c r="X1633" s="75"/>
    </row>
    <row r="1634">
      <c r="A1634" s="17"/>
      <c r="B1634" s="17"/>
      <c r="C1634" s="133"/>
      <c r="D1634" s="133"/>
      <c r="E1634" s="17"/>
      <c r="F1634" s="133"/>
      <c r="G1634" s="133"/>
      <c r="H1634" s="133"/>
      <c r="I1634" s="133"/>
      <c r="J1634" s="133"/>
      <c r="K1634" s="133"/>
      <c r="L1634" s="133"/>
      <c r="M1634" s="133"/>
      <c r="N1634" s="133"/>
      <c r="O1634" s="133"/>
      <c r="P1634" s="134"/>
      <c r="Q1634" s="146"/>
      <c r="R1634" s="17"/>
      <c r="S1634" s="17"/>
      <c r="T1634" s="75"/>
      <c r="U1634" s="75"/>
      <c r="V1634" s="75"/>
      <c r="W1634" s="75"/>
      <c r="X1634" s="75"/>
    </row>
    <row r="1635">
      <c r="A1635" s="17"/>
      <c r="B1635" s="17"/>
      <c r="C1635" s="133"/>
      <c r="D1635" s="133"/>
      <c r="E1635" s="17"/>
      <c r="F1635" s="133"/>
      <c r="G1635" s="133"/>
      <c r="H1635" s="133"/>
      <c r="I1635" s="133"/>
      <c r="J1635" s="133"/>
      <c r="K1635" s="133"/>
      <c r="L1635" s="133"/>
      <c r="M1635" s="133"/>
      <c r="N1635" s="133"/>
      <c r="O1635" s="133"/>
      <c r="P1635" s="134"/>
      <c r="Q1635" s="146"/>
      <c r="R1635" s="17"/>
      <c r="S1635" s="17"/>
      <c r="T1635" s="75"/>
      <c r="U1635" s="75"/>
      <c r="V1635" s="75"/>
      <c r="W1635" s="75"/>
      <c r="X1635" s="75"/>
    </row>
    <row r="1636">
      <c r="A1636" s="17"/>
      <c r="B1636" s="17"/>
      <c r="C1636" s="133"/>
      <c r="D1636" s="133"/>
      <c r="E1636" s="17"/>
      <c r="F1636" s="133"/>
      <c r="G1636" s="133"/>
      <c r="H1636" s="133"/>
      <c r="I1636" s="133"/>
      <c r="J1636" s="133"/>
      <c r="K1636" s="133"/>
      <c r="L1636" s="133"/>
      <c r="M1636" s="133"/>
      <c r="N1636" s="133"/>
      <c r="O1636" s="133"/>
      <c r="P1636" s="134"/>
      <c r="Q1636" s="146"/>
      <c r="R1636" s="17"/>
      <c r="S1636" s="17"/>
      <c r="T1636" s="75"/>
      <c r="U1636" s="75"/>
      <c r="V1636" s="75"/>
      <c r="W1636" s="75"/>
      <c r="X1636" s="75"/>
    </row>
    <row r="1637">
      <c r="A1637" s="17"/>
      <c r="B1637" s="17"/>
      <c r="C1637" s="133"/>
      <c r="D1637" s="133"/>
      <c r="E1637" s="17"/>
      <c r="F1637" s="133"/>
      <c r="G1637" s="133"/>
      <c r="H1637" s="133"/>
      <c r="I1637" s="133"/>
      <c r="J1637" s="133"/>
      <c r="K1637" s="133"/>
      <c r="L1637" s="133"/>
      <c r="M1637" s="133"/>
      <c r="N1637" s="133"/>
      <c r="O1637" s="133"/>
      <c r="P1637" s="134"/>
      <c r="Q1637" s="146"/>
      <c r="R1637" s="17"/>
      <c r="S1637" s="17"/>
      <c r="T1637" s="75"/>
      <c r="U1637" s="75"/>
      <c r="V1637" s="75"/>
      <c r="W1637" s="75"/>
      <c r="X1637" s="75"/>
    </row>
    <row r="1638">
      <c r="A1638" s="17"/>
      <c r="B1638" s="17"/>
      <c r="C1638" s="133"/>
      <c r="D1638" s="133"/>
      <c r="E1638" s="17"/>
      <c r="F1638" s="133"/>
      <c r="G1638" s="133"/>
      <c r="H1638" s="133"/>
      <c r="I1638" s="133"/>
      <c r="J1638" s="133"/>
      <c r="K1638" s="133"/>
      <c r="L1638" s="133"/>
      <c r="M1638" s="133"/>
      <c r="N1638" s="133"/>
      <c r="O1638" s="133"/>
      <c r="P1638" s="134"/>
      <c r="Q1638" s="146"/>
      <c r="R1638" s="17"/>
      <c r="S1638" s="17"/>
      <c r="T1638" s="75"/>
      <c r="U1638" s="75"/>
      <c r="V1638" s="75"/>
      <c r="W1638" s="75"/>
      <c r="X1638" s="75"/>
    </row>
    <row r="1639">
      <c r="A1639" s="17"/>
      <c r="B1639" s="17"/>
      <c r="C1639" s="133"/>
      <c r="D1639" s="133"/>
      <c r="E1639" s="17"/>
      <c r="F1639" s="133"/>
      <c r="G1639" s="133"/>
      <c r="H1639" s="133"/>
      <c r="I1639" s="133"/>
      <c r="J1639" s="133"/>
      <c r="K1639" s="133"/>
      <c r="L1639" s="133"/>
      <c r="M1639" s="133"/>
      <c r="N1639" s="133"/>
      <c r="O1639" s="133"/>
      <c r="P1639" s="134"/>
      <c r="Q1639" s="146"/>
      <c r="R1639" s="17"/>
      <c r="S1639" s="17"/>
      <c r="T1639" s="75"/>
      <c r="U1639" s="75"/>
      <c r="V1639" s="75"/>
      <c r="W1639" s="75"/>
      <c r="X1639" s="75"/>
    </row>
    <row r="1640">
      <c r="A1640" s="17"/>
      <c r="B1640" s="17"/>
      <c r="C1640" s="133"/>
      <c r="D1640" s="133"/>
      <c r="E1640" s="17"/>
      <c r="F1640" s="133"/>
      <c r="G1640" s="133"/>
      <c r="H1640" s="133"/>
      <c r="I1640" s="133"/>
      <c r="J1640" s="133"/>
      <c r="K1640" s="133"/>
      <c r="L1640" s="133"/>
      <c r="M1640" s="133"/>
      <c r="N1640" s="133"/>
      <c r="O1640" s="133"/>
      <c r="P1640" s="134"/>
      <c r="Q1640" s="146"/>
      <c r="R1640" s="17"/>
      <c r="S1640" s="17"/>
      <c r="T1640" s="75"/>
      <c r="U1640" s="75"/>
      <c r="V1640" s="75"/>
      <c r="W1640" s="75"/>
      <c r="X1640" s="75"/>
    </row>
    <row r="1641">
      <c r="A1641" s="17"/>
      <c r="B1641" s="17"/>
      <c r="C1641" s="133"/>
      <c r="D1641" s="133"/>
      <c r="E1641" s="17"/>
      <c r="F1641" s="133"/>
      <c r="G1641" s="133"/>
      <c r="H1641" s="133"/>
      <c r="I1641" s="133"/>
      <c r="J1641" s="133"/>
      <c r="K1641" s="133"/>
      <c r="L1641" s="133"/>
      <c r="M1641" s="133"/>
      <c r="N1641" s="133"/>
      <c r="O1641" s="133"/>
      <c r="P1641" s="134"/>
      <c r="Q1641" s="146"/>
      <c r="R1641" s="17"/>
      <c r="S1641" s="17"/>
      <c r="T1641" s="75"/>
      <c r="U1641" s="75"/>
      <c r="V1641" s="75"/>
      <c r="W1641" s="75"/>
      <c r="X1641" s="75"/>
    </row>
    <row r="1642">
      <c r="A1642" s="17"/>
      <c r="B1642" s="17"/>
      <c r="C1642" s="133"/>
      <c r="D1642" s="133"/>
      <c r="E1642" s="17"/>
      <c r="F1642" s="133"/>
      <c r="G1642" s="133"/>
      <c r="H1642" s="133"/>
      <c r="I1642" s="133"/>
      <c r="J1642" s="133"/>
      <c r="K1642" s="133"/>
      <c r="L1642" s="133"/>
      <c r="M1642" s="133"/>
      <c r="N1642" s="133"/>
      <c r="O1642" s="133"/>
      <c r="P1642" s="134"/>
      <c r="Q1642" s="146"/>
      <c r="R1642" s="17"/>
      <c r="S1642" s="17"/>
      <c r="T1642" s="75"/>
      <c r="U1642" s="75"/>
      <c r="V1642" s="75"/>
      <c r="W1642" s="75"/>
      <c r="X1642" s="75"/>
    </row>
    <row r="1643">
      <c r="A1643" s="17"/>
      <c r="B1643" s="17"/>
      <c r="C1643" s="133"/>
      <c r="D1643" s="133"/>
      <c r="E1643" s="17"/>
      <c r="F1643" s="133"/>
      <c r="G1643" s="133"/>
      <c r="H1643" s="133"/>
      <c r="I1643" s="133"/>
      <c r="J1643" s="133"/>
      <c r="K1643" s="133"/>
      <c r="L1643" s="133"/>
      <c r="M1643" s="133"/>
      <c r="N1643" s="133"/>
      <c r="O1643" s="133"/>
      <c r="P1643" s="134"/>
      <c r="Q1643" s="146"/>
      <c r="R1643" s="17"/>
      <c r="S1643" s="17"/>
      <c r="T1643" s="75"/>
      <c r="U1643" s="75"/>
      <c r="V1643" s="75"/>
      <c r="W1643" s="75"/>
      <c r="X1643" s="75"/>
    </row>
    <row r="1644">
      <c r="A1644" s="17"/>
      <c r="B1644" s="17"/>
      <c r="C1644" s="133"/>
      <c r="D1644" s="133"/>
      <c r="E1644" s="17"/>
      <c r="F1644" s="133"/>
      <c r="G1644" s="133"/>
      <c r="H1644" s="133"/>
      <c r="I1644" s="133"/>
      <c r="J1644" s="133"/>
      <c r="K1644" s="133"/>
      <c r="L1644" s="133"/>
      <c r="M1644" s="133"/>
      <c r="N1644" s="133"/>
      <c r="O1644" s="133"/>
      <c r="P1644" s="134"/>
      <c r="Q1644" s="146"/>
      <c r="R1644" s="17"/>
      <c r="S1644" s="17"/>
      <c r="T1644" s="75"/>
      <c r="U1644" s="75"/>
      <c r="V1644" s="75"/>
      <c r="W1644" s="75"/>
      <c r="X1644" s="75"/>
    </row>
    <row r="1645">
      <c r="A1645" s="17"/>
      <c r="B1645" s="17"/>
      <c r="C1645" s="133"/>
      <c r="D1645" s="133"/>
      <c r="E1645" s="17"/>
      <c r="F1645" s="133"/>
      <c r="G1645" s="133"/>
      <c r="H1645" s="133"/>
      <c r="I1645" s="133"/>
      <c r="J1645" s="133"/>
      <c r="K1645" s="133"/>
      <c r="L1645" s="133"/>
      <c r="M1645" s="133"/>
      <c r="N1645" s="133"/>
      <c r="O1645" s="133"/>
      <c r="P1645" s="134"/>
      <c r="Q1645" s="146"/>
      <c r="R1645" s="17"/>
      <c r="S1645" s="17"/>
      <c r="T1645" s="75"/>
      <c r="U1645" s="75"/>
      <c r="V1645" s="75"/>
      <c r="W1645" s="75"/>
      <c r="X1645" s="75"/>
    </row>
    <row r="1646">
      <c r="A1646" s="17"/>
      <c r="B1646" s="17"/>
      <c r="C1646" s="133"/>
      <c r="D1646" s="133"/>
      <c r="E1646" s="17"/>
      <c r="F1646" s="133"/>
      <c r="G1646" s="133"/>
      <c r="H1646" s="133"/>
      <c r="I1646" s="133"/>
      <c r="J1646" s="133"/>
      <c r="K1646" s="133"/>
      <c r="L1646" s="133"/>
      <c r="M1646" s="133"/>
      <c r="N1646" s="133"/>
      <c r="O1646" s="133"/>
      <c r="P1646" s="134"/>
      <c r="Q1646" s="146"/>
      <c r="R1646" s="17"/>
      <c r="S1646" s="17"/>
      <c r="T1646" s="75"/>
      <c r="U1646" s="75"/>
      <c r="V1646" s="75"/>
      <c r="W1646" s="75"/>
      <c r="X1646" s="75"/>
    </row>
    <row r="1647">
      <c r="A1647" s="17"/>
      <c r="B1647" s="17"/>
      <c r="C1647" s="133"/>
      <c r="D1647" s="133"/>
      <c r="E1647" s="17"/>
      <c r="F1647" s="133"/>
      <c r="G1647" s="133"/>
      <c r="H1647" s="133"/>
      <c r="I1647" s="133"/>
      <c r="J1647" s="133"/>
      <c r="K1647" s="133"/>
      <c r="L1647" s="133"/>
      <c r="M1647" s="133"/>
      <c r="N1647" s="133"/>
      <c r="O1647" s="133"/>
      <c r="P1647" s="134"/>
      <c r="Q1647" s="146"/>
      <c r="R1647" s="17"/>
      <c r="S1647" s="17"/>
      <c r="T1647" s="75"/>
      <c r="U1647" s="75"/>
      <c r="V1647" s="75"/>
      <c r="W1647" s="75"/>
      <c r="X1647" s="75"/>
    </row>
    <row r="1648">
      <c r="A1648" s="17"/>
      <c r="B1648" s="17"/>
      <c r="C1648" s="133"/>
      <c r="D1648" s="133"/>
      <c r="E1648" s="17"/>
      <c r="F1648" s="133"/>
      <c r="G1648" s="133"/>
      <c r="H1648" s="133"/>
      <c r="I1648" s="133"/>
      <c r="J1648" s="133"/>
      <c r="K1648" s="133"/>
      <c r="L1648" s="133"/>
      <c r="M1648" s="133"/>
      <c r="N1648" s="133"/>
      <c r="O1648" s="133"/>
      <c r="P1648" s="134"/>
      <c r="Q1648" s="146"/>
      <c r="R1648" s="17"/>
      <c r="S1648" s="17"/>
      <c r="T1648" s="75"/>
      <c r="U1648" s="75"/>
      <c r="V1648" s="75"/>
      <c r="W1648" s="75"/>
      <c r="X1648" s="75"/>
    </row>
    <row r="1649">
      <c r="A1649" s="17"/>
      <c r="B1649" s="17"/>
      <c r="C1649" s="133"/>
      <c r="D1649" s="133"/>
      <c r="E1649" s="17"/>
      <c r="F1649" s="133"/>
      <c r="G1649" s="133"/>
      <c r="H1649" s="133"/>
      <c r="I1649" s="133"/>
      <c r="J1649" s="133"/>
      <c r="K1649" s="133"/>
      <c r="L1649" s="133"/>
      <c r="M1649" s="133"/>
      <c r="N1649" s="133"/>
      <c r="O1649" s="133"/>
      <c r="P1649" s="134"/>
      <c r="Q1649" s="146"/>
      <c r="R1649" s="17"/>
      <c r="S1649" s="17"/>
      <c r="T1649" s="75"/>
      <c r="U1649" s="75"/>
      <c r="V1649" s="75"/>
      <c r="W1649" s="75"/>
      <c r="X1649" s="75"/>
    </row>
    <row r="1650">
      <c r="A1650" s="17"/>
      <c r="B1650" s="17"/>
      <c r="C1650" s="133"/>
      <c r="D1650" s="133"/>
      <c r="E1650" s="17"/>
      <c r="F1650" s="133"/>
      <c r="G1650" s="133"/>
      <c r="H1650" s="133"/>
      <c r="I1650" s="133"/>
      <c r="J1650" s="133"/>
      <c r="K1650" s="133"/>
      <c r="L1650" s="133"/>
      <c r="M1650" s="133"/>
      <c r="N1650" s="133"/>
      <c r="O1650" s="133"/>
      <c r="P1650" s="134"/>
      <c r="Q1650" s="146"/>
      <c r="R1650" s="17"/>
      <c r="S1650" s="17"/>
      <c r="T1650" s="75"/>
      <c r="U1650" s="75"/>
      <c r="V1650" s="75"/>
      <c r="W1650" s="75"/>
      <c r="X1650" s="75"/>
    </row>
    <row r="1651">
      <c r="A1651" s="17"/>
      <c r="B1651" s="17"/>
      <c r="C1651" s="133"/>
      <c r="D1651" s="133"/>
      <c r="E1651" s="17"/>
      <c r="F1651" s="133"/>
      <c r="G1651" s="133"/>
      <c r="H1651" s="133"/>
      <c r="I1651" s="133"/>
      <c r="J1651" s="133"/>
      <c r="K1651" s="133"/>
      <c r="L1651" s="133"/>
      <c r="M1651" s="133"/>
      <c r="N1651" s="133"/>
      <c r="O1651" s="133"/>
      <c r="P1651" s="134"/>
      <c r="Q1651" s="146"/>
      <c r="R1651" s="17"/>
      <c r="S1651" s="17"/>
      <c r="T1651" s="75"/>
      <c r="U1651" s="75"/>
      <c r="V1651" s="75"/>
      <c r="W1651" s="75"/>
      <c r="X1651" s="75"/>
    </row>
    <row r="1652">
      <c r="A1652" s="17"/>
      <c r="B1652" s="17"/>
      <c r="C1652" s="133"/>
      <c r="D1652" s="133"/>
      <c r="E1652" s="17"/>
      <c r="F1652" s="133"/>
      <c r="G1652" s="133"/>
      <c r="H1652" s="133"/>
      <c r="I1652" s="133"/>
      <c r="J1652" s="133"/>
      <c r="K1652" s="133"/>
      <c r="L1652" s="133"/>
      <c r="M1652" s="133"/>
      <c r="N1652" s="133"/>
      <c r="O1652" s="133"/>
      <c r="P1652" s="134"/>
      <c r="Q1652" s="146"/>
      <c r="R1652" s="17"/>
      <c r="S1652" s="17"/>
      <c r="T1652" s="75"/>
      <c r="U1652" s="75"/>
      <c r="V1652" s="75"/>
      <c r="W1652" s="75"/>
      <c r="X1652" s="75"/>
    </row>
    <row r="1653">
      <c r="A1653" s="17"/>
      <c r="B1653" s="17"/>
      <c r="C1653" s="133"/>
      <c r="D1653" s="133"/>
      <c r="E1653" s="17"/>
      <c r="F1653" s="133"/>
      <c r="G1653" s="133"/>
      <c r="H1653" s="133"/>
      <c r="I1653" s="133"/>
      <c r="J1653" s="133"/>
      <c r="K1653" s="133"/>
      <c r="L1653" s="133"/>
      <c r="M1653" s="133"/>
      <c r="N1653" s="133"/>
      <c r="O1653" s="133"/>
      <c r="P1653" s="134"/>
      <c r="Q1653" s="146"/>
      <c r="R1653" s="17"/>
      <c r="S1653" s="17"/>
      <c r="T1653" s="75"/>
      <c r="U1653" s="75"/>
      <c r="V1653" s="75"/>
      <c r="W1653" s="75"/>
      <c r="X1653" s="75"/>
    </row>
    <row r="1654">
      <c r="A1654" s="17"/>
      <c r="B1654" s="17"/>
      <c r="C1654" s="133"/>
      <c r="D1654" s="133"/>
      <c r="E1654" s="17"/>
      <c r="F1654" s="133"/>
      <c r="G1654" s="133"/>
      <c r="H1654" s="133"/>
      <c r="I1654" s="133"/>
      <c r="J1654" s="133"/>
      <c r="K1654" s="133"/>
      <c r="L1654" s="133"/>
      <c r="M1654" s="133"/>
      <c r="N1654" s="133"/>
      <c r="O1654" s="133"/>
      <c r="P1654" s="134"/>
      <c r="Q1654" s="146"/>
      <c r="R1654" s="17"/>
      <c r="S1654" s="17"/>
      <c r="T1654" s="75"/>
      <c r="U1654" s="75"/>
      <c r="V1654" s="75"/>
      <c r="W1654" s="75"/>
      <c r="X1654" s="75"/>
    </row>
    <row r="1655">
      <c r="A1655" s="17"/>
      <c r="B1655" s="17"/>
      <c r="C1655" s="133"/>
      <c r="D1655" s="133"/>
      <c r="E1655" s="17"/>
      <c r="F1655" s="133"/>
      <c r="G1655" s="133"/>
      <c r="H1655" s="133"/>
      <c r="I1655" s="133"/>
      <c r="J1655" s="133"/>
      <c r="K1655" s="133"/>
      <c r="L1655" s="133"/>
      <c r="M1655" s="133"/>
      <c r="N1655" s="133"/>
      <c r="O1655" s="133"/>
      <c r="P1655" s="134"/>
      <c r="Q1655" s="146"/>
      <c r="R1655" s="17"/>
      <c r="S1655" s="17"/>
      <c r="T1655" s="75"/>
      <c r="U1655" s="75"/>
      <c r="V1655" s="75"/>
      <c r="W1655" s="75"/>
      <c r="X1655" s="75"/>
    </row>
    <row r="1656">
      <c r="A1656" s="17"/>
      <c r="B1656" s="17"/>
      <c r="C1656" s="133"/>
      <c r="D1656" s="133"/>
      <c r="E1656" s="17"/>
      <c r="F1656" s="133"/>
      <c r="G1656" s="133"/>
      <c r="H1656" s="133"/>
      <c r="I1656" s="133"/>
      <c r="J1656" s="133"/>
      <c r="K1656" s="133"/>
      <c r="L1656" s="133"/>
      <c r="M1656" s="133"/>
      <c r="N1656" s="133"/>
      <c r="O1656" s="133"/>
      <c r="P1656" s="134"/>
      <c r="Q1656" s="146"/>
      <c r="R1656" s="17"/>
      <c r="S1656" s="17"/>
      <c r="T1656" s="75"/>
      <c r="U1656" s="75"/>
      <c r="V1656" s="75"/>
      <c r="W1656" s="75"/>
      <c r="X1656" s="75"/>
    </row>
    <row r="1657">
      <c r="A1657" s="17"/>
      <c r="B1657" s="17"/>
      <c r="C1657" s="133"/>
      <c r="D1657" s="133"/>
      <c r="E1657" s="17"/>
      <c r="F1657" s="133"/>
      <c r="G1657" s="133"/>
      <c r="H1657" s="133"/>
      <c r="I1657" s="133"/>
      <c r="J1657" s="133"/>
      <c r="K1657" s="133"/>
      <c r="L1657" s="133"/>
      <c r="M1657" s="133"/>
      <c r="N1657" s="133"/>
      <c r="O1657" s="133"/>
      <c r="P1657" s="134"/>
      <c r="Q1657" s="146"/>
      <c r="R1657" s="17"/>
      <c r="S1657" s="17"/>
      <c r="T1657" s="75"/>
      <c r="U1657" s="75"/>
      <c r="V1657" s="75"/>
      <c r="W1657" s="75"/>
      <c r="X1657" s="75"/>
    </row>
    <row r="1658">
      <c r="A1658" s="17"/>
      <c r="B1658" s="17"/>
      <c r="C1658" s="133"/>
      <c r="D1658" s="133"/>
      <c r="E1658" s="17"/>
      <c r="F1658" s="133"/>
      <c r="G1658" s="133"/>
      <c r="H1658" s="133"/>
      <c r="I1658" s="133"/>
      <c r="J1658" s="133"/>
      <c r="K1658" s="133"/>
      <c r="L1658" s="133"/>
      <c r="M1658" s="133"/>
      <c r="N1658" s="133"/>
      <c r="O1658" s="133"/>
      <c r="P1658" s="134"/>
      <c r="Q1658" s="146"/>
      <c r="R1658" s="17"/>
      <c r="S1658" s="17"/>
      <c r="T1658" s="75"/>
      <c r="U1658" s="75"/>
      <c r="V1658" s="75"/>
      <c r="W1658" s="75"/>
      <c r="X1658" s="75"/>
    </row>
    <row r="1659">
      <c r="A1659" s="17"/>
      <c r="B1659" s="17"/>
      <c r="C1659" s="133"/>
      <c r="D1659" s="133"/>
      <c r="E1659" s="17"/>
      <c r="F1659" s="133"/>
      <c r="G1659" s="133"/>
      <c r="H1659" s="133"/>
      <c r="I1659" s="133"/>
      <c r="J1659" s="133"/>
      <c r="K1659" s="133"/>
      <c r="L1659" s="133"/>
      <c r="M1659" s="133"/>
      <c r="N1659" s="133"/>
      <c r="O1659" s="133"/>
      <c r="P1659" s="134"/>
      <c r="Q1659" s="146"/>
      <c r="R1659" s="17"/>
      <c r="S1659" s="17"/>
      <c r="T1659" s="75"/>
      <c r="U1659" s="75"/>
      <c r="V1659" s="75"/>
      <c r="W1659" s="75"/>
      <c r="X1659" s="75"/>
    </row>
    <row r="1660">
      <c r="A1660" s="17"/>
      <c r="B1660" s="17"/>
      <c r="C1660" s="133"/>
      <c r="D1660" s="133"/>
      <c r="E1660" s="17"/>
      <c r="F1660" s="133"/>
      <c r="G1660" s="133"/>
      <c r="H1660" s="133"/>
      <c r="I1660" s="133"/>
      <c r="J1660" s="133"/>
      <c r="K1660" s="133"/>
      <c r="L1660" s="133"/>
      <c r="M1660" s="133"/>
      <c r="N1660" s="133"/>
      <c r="O1660" s="133"/>
      <c r="P1660" s="134"/>
      <c r="Q1660" s="146"/>
      <c r="R1660" s="17"/>
      <c r="S1660" s="17"/>
      <c r="T1660" s="75"/>
      <c r="U1660" s="75"/>
      <c r="V1660" s="75"/>
      <c r="W1660" s="75"/>
      <c r="X1660" s="75"/>
    </row>
    <row r="1661">
      <c r="A1661" s="17"/>
      <c r="B1661" s="17"/>
      <c r="C1661" s="133"/>
      <c r="D1661" s="133"/>
      <c r="E1661" s="17"/>
      <c r="F1661" s="133"/>
      <c r="G1661" s="133"/>
      <c r="H1661" s="133"/>
      <c r="I1661" s="133"/>
      <c r="J1661" s="133"/>
      <c r="K1661" s="133"/>
      <c r="L1661" s="133"/>
      <c r="M1661" s="133"/>
      <c r="N1661" s="133"/>
      <c r="O1661" s="133"/>
      <c r="P1661" s="134"/>
      <c r="Q1661" s="146"/>
      <c r="R1661" s="17"/>
      <c r="S1661" s="17"/>
      <c r="T1661" s="75"/>
      <c r="U1661" s="75"/>
      <c r="V1661" s="75"/>
      <c r="W1661" s="75"/>
      <c r="X1661" s="75"/>
    </row>
    <row r="1662">
      <c r="A1662" s="17"/>
      <c r="B1662" s="17"/>
      <c r="C1662" s="133"/>
      <c r="D1662" s="133"/>
      <c r="E1662" s="17"/>
      <c r="F1662" s="133"/>
      <c r="G1662" s="133"/>
      <c r="H1662" s="133"/>
      <c r="I1662" s="133"/>
      <c r="J1662" s="133"/>
      <c r="K1662" s="133"/>
      <c r="L1662" s="133"/>
      <c r="M1662" s="133"/>
      <c r="N1662" s="133"/>
      <c r="O1662" s="133"/>
      <c r="P1662" s="134"/>
      <c r="Q1662" s="146"/>
      <c r="R1662" s="17"/>
      <c r="S1662" s="17"/>
      <c r="T1662" s="75"/>
      <c r="U1662" s="75"/>
      <c r="V1662" s="75"/>
      <c r="W1662" s="75"/>
      <c r="X1662" s="75"/>
    </row>
    <row r="1663">
      <c r="A1663" s="17"/>
      <c r="B1663" s="17"/>
      <c r="C1663" s="133"/>
      <c r="D1663" s="133"/>
      <c r="E1663" s="17"/>
      <c r="F1663" s="133"/>
      <c r="G1663" s="133"/>
      <c r="H1663" s="133"/>
      <c r="I1663" s="133"/>
      <c r="J1663" s="133"/>
      <c r="K1663" s="133"/>
      <c r="L1663" s="133"/>
      <c r="M1663" s="133"/>
      <c r="N1663" s="133"/>
      <c r="O1663" s="133"/>
      <c r="P1663" s="134"/>
      <c r="Q1663" s="146"/>
      <c r="R1663" s="17"/>
      <c r="S1663" s="17"/>
      <c r="T1663" s="75"/>
      <c r="U1663" s="75"/>
      <c r="V1663" s="75"/>
      <c r="W1663" s="75"/>
      <c r="X1663" s="75"/>
    </row>
    <row r="1664">
      <c r="A1664" s="17"/>
      <c r="B1664" s="17"/>
      <c r="C1664" s="133"/>
      <c r="D1664" s="133"/>
      <c r="E1664" s="17"/>
      <c r="F1664" s="133"/>
      <c r="G1664" s="133"/>
      <c r="H1664" s="133"/>
      <c r="I1664" s="133"/>
      <c r="J1664" s="133"/>
      <c r="K1664" s="133"/>
      <c r="L1664" s="133"/>
      <c r="M1664" s="133"/>
      <c r="N1664" s="133"/>
      <c r="O1664" s="133"/>
      <c r="P1664" s="134"/>
      <c r="Q1664" s="146"/>
      <c r="R1664" s="17"/>
      <c r="S1664" s="17"/>
      <c r="T1664" s="75"/>
      <c r="U1664" s="75"/>
      <c r="V1664" s="75"/>
      <c r="W1664" s="75"/>
      <c r="X1664" s="75"/>
    </row>
    <row r="1665">
      <c r="A1665" s="17"/>
      <c r="B1665" s="17"/>
      <c r="C1665" s="133"/>
      <c r="D1665" s="133"/>
      <c r="E1665" s="17"/>
      <c r="F1665" s="133"/>
      <c r="G1665" s="133"/>
      <c r="H1665" s="133"/>
      <c r="I1665" s="133"/>
      <c r="J1665" s="133"/>
      <c r="K1665" s="133"/>
      <c r="L1665" s="133"/>
      <c r="M1665" s="133"/>
      <c r="N1665" s="133"/>
      <c r="O1665" s="133"/>
      <c r="P1665" s="134"/>
      <c r="Q1665" s="146"/>
      <c r="R1665" s="17"/>
      <c r="S1665" s="17"/>
      <c r="T1665" s="75"/>
      <c r="U1665" s="75"/>
      <c r="V1665" s="75"/>
      <c r="W1665" s="75"/>
      <c r="X1665" s="75"/>
    </row>
    <row r="1666">
      <c r="A1666" s="17"/>
      <c r="B1666" s="17"/>
      <c r="C1666" s="133"/>
      <c r="D1666" s="133"/>
      <c r="E1666" s="17"/>
      <c r="F1666" s="133"/>
      <c r="G1666" s="133"/>
      <c r="H1666" s="133"/>
      <c r="I1666" s="133"/>
      <c r="J1666" s="133"/>
      <c r="K1666" s="133"/>
      <c r="L1666" s="133"/>
      <c r="M1666" s="133"/>
      <c r="N1666" s="133"/>
      <c r="O1666" s="133"/>
      <c r="P1666" s="134"/>
      <c r="Q1666" s="146"/>
      <c r="R1666" s="17"/>
      <c r="S1666" s="17"/>
      <c r="T1666" s="75"/>
      <c r="U1666" s="75"/>
      <c r="V1666" s="75"/>
      <c r="W1666" s="75"/>
      <c r="X1666" s="75"/>
    </row>
    <row r="1667">
      <c r="A1667" s="17"/>
      <c r="B1667" s="17"/>
      <c r="C1667" s="133"/>
      <c r="D1667" s="133"/>
      <c r="E1667" s="17"/>
      <c r="F1667" s="133"/>
      <c r="G1667" s="133"/>
      <c r="H1667" s="133"/>
      <c r="I1667" s="133"/>
      <c r="J1667" s="133"/>
      <c r="K1667" s="133"/>
      <c r="L1667" s="133"/>
      <c r="M1667" s="133"/>
      <c r="N1667" s="133"/>
      <c r="O1667" s="133"/>
      <c r="P1667" s="134"/>
      <c r="Q1667" s="146"/>
      <c r="R1667" s="17"/>
      <c r="S1667" s="17"/>
      <c r="T1667" s="75"/>
      <c r="U1667" s="75"/>
      <c r="V1667" s="75"/>
      <c r="W1667" s="75"/>
      <c r="X1667" s="75"/>
    </row>
    <row r="1668">
      <c r="A1668" s="17"/>
      <c r="B1668" s="17"/>
      <c r="C1668" s="133"/>
      <c r="D1668" s="133"/>
      <c r="E1668" s="17"/>
      <c r="F1668" s="133"/>
      <c r="G1668" s="133"/>
      <c r="H1668" s="133"/>
      <c r="I1668" s="133"/>
      <c r="J1668" s="133"/>
      <c r="K1668" s="133"/>
      <c r="L1668" s="133"/>
      <c r="M1668" s="133"/>
      <c r="N1668" s="133"/>
      <c r="O1668" s="133"/>
      <c r="P1668" s="134"/>
      <c r="Q1668" s="146"/>
      <c r="R1668" s="17"/>
      <c r="S1668" s="17"/>
      <c r="T1668" s="75"/>
      <c r="U1668" s="75"/>
      <c r="V1668" s="75"/>
      <c r="W1668" s="75"/>
      <c r="X1668" s="75"/>
    </row>
    <row r="1669">
      <c r="A1669" s="17"/>
      <c r="B1669" s="17"/>
      <c r="C1669" s="133"/>
      <c r="D1669" s="133"/>
      <c r="E1669" s="17"/>
      <c r="F1669" s="133"/>
      <c r="G1669" s="133"/>
      <c r="H1669" s="133"/>
      <c r="I1669" s="133"/>
      <c r="J1669" s="133"/>
      <c r="K1669" s="133"/>
      <c r="L1669" s="133"/>
      <c r="M1669" s="133"/>
      <c r="N1669" s="133"/>
      <c r="O1669" s="133"/>
      <c r="P1669" s="134"/>
      <c r="Q1669" s="146"/>
      <c r="R1669" s="17"/>
      <c r="S1669" s="17"/>
      <c r="T1669" s="75"/>
      <c r="U1669" s="75"/>
      <c r="V1669" s="75"/>
      <c r="W1669" s="75"/>
      <c r="X1669" s="75"/>
    </row>
    <row r="1670">
      <c r="A1670" s="17"/>
      <c r="B1670" s="17"/>
      <c r="C1670" s="133"/>
      <c r="D1670" s="133"/>
      <c r="E1670" s="17"/>
      <c r="F1670" s="133"/>
      <c r="G1670" s="133"/>
      <c r="H1670" s="133"/>
      <c r="I1670" s="133"/>
      <c r="J1670" s="133"/>
      <c r="K1670" s="133"/>
      <c r="L1670" s="133"/>
      <c r="M1670" s="133"/>
      <c r="N1670" s="133"/>
      <c r="O1670" s="133"/>
      <c r="P1670" s="134"/>
      <c r="Q1670" s="146"/>
      <c r="R1670" s="17"/>
      <c r="S1670" s="17"/>
      <c r="T1670" s="75"/>
      <c r="U1670" s="75"/>
      <c r="V1670" s="75"/>
      <c r="W1670" s="75"/>
      <c r="X1670" s="75"/>
    </row>
    <row r="1671">
      <c r="A1671" s="17"/>
      <c r="B1671" s="17"/>
      <c r="C1671" s="133"/>
      <c r="D1671" s="133"/>
      <c r="E1671" s="17"/>
      <c r="F1671" s="133"/>
      <c r="G1671" s="133"/>
      <c r="H1671" s="133"/>
      <c r="I1671" s="133"/>
      <c r="J1671" s="133"/>
      <c r="K1671" s="133"/>
      <c r="L1671" s="133"/>
      <c r="M1671" s="133"/>
      <c r="N1671" s="133"/>
      <c r="O1671" s="133"/>
      <c r="P1671" s="134"/>
      <c r="Q1671" s="146"/>
      <c r="R1671" s="17"/>
      <c r="S1671" s="17"/>
      <c r="T1671" s="75"/>
      <c r="U1671" s="75"/>
      <c r="V1671" s="75"/>
      <c r="W1671" s="75"/>
      <c r="X1671" s="75"/>
    </row>
    <row r="1672">
      <c r="A1672" s="17"/>
      <c r="B1672" s="17"/>
      <c r="C1672" s="133"/>
      <c r="D1672" s="133"/>
      <c r="E1672" s="17"/>
      <c r="F1672" s="133"/>
      <c r="G1672" s="133"/>
      <c r="H1672" s="133"/>
      <c r="I1672" s="133"/>
      <c r="J1672" s="133"/>
      <c r="K1672" s="133"/>
      <c r="L1672" s="133"/>
      <c r="M1672" s="133"/>
      <c r="N1672" s="133"/>
      <c r="O1672" s="133"/>
      <c r="P1672" s="134"/>
      <c r="Q1672" s="146"/>
      <c r="R1672" s="17"/>
      <c r="S1672" s="17"/>
      <c r="T1672" s="75"/>
      <c r="U1672" s="75"/>
      <c r="V1672" s="75"/>
      <c r="W1672" s="75"/>
      <c r="X1672" s="75"/>
    </row>
    <row r="1673">
      <c r="A1673" s="17"/>
      <c r="B1673" s="17"/>
      <c r="C1673" s="133"/>
      <c r="D1673" s="133"/>
      <c r="E1673" s="17"/>
      <c r="F1673" s="133"/>
      <c r="G1673" s="133"/>
      <c r="H1673" s="133"/>
      <c r="I1673" s="133"/>
      <c r="J1673" s="133"/>
      <c r="K1673" s="133"/>
      <c r="L1673" s="133"/>
      <c r="M1673" s="133"/>
      <c r="N1673" s="133"/>
      <c r="O1673" s="133"/>
      <c r="P1673" s="134"/>
      <c r="Q1673" s="146"/>
      <c r="R1673" s="17"/>
      <c r="S1673" s="17"/>
      <c r="T1673" s="75"/>
      <c r="U1673" s="75"/>
      <c r="V1673" s="75"/>
      <c r="W1673" s="75"/>
      <c r="X1673" s="75"/>
    </row>
    <row r="1674">
      <c r="A1674" s="17"/>
      <c r="B1674" s="17"/>
      <c r="C1674" s="133"/>
      <c r="D1674" s="133"/>
      <c r="E1674" s="17"/>
      <c r="F1674" s="133"/>
      <c r="G1674" s="133"/>
      <c r="H1674" s="133"/>
      <c r="I1674" s="133"/>
      <c r="J1674" s="133"/>
      <c r="K1674" s="133"/>
      <c r="L1674" s="133"/>
      <c r="M1674" s="133"/>
      <c r="N1674" s="133"/>
      <c r="O1674" s="133"/>
      <c r="P1674" s="134"/>
      <c r="Q1674" s="146"/>
      <c r="R1674" s="17"/>
      <c r="S1674" s="17"/>
      <c r="T1674" s="75"/>
      <c r="U1674" s="75"/>
      <c r="V1674" s="75"/>
      <c r="W1674" s="75"/>
      <c r="X1674" s="75"/>
    </row>
    <row r="1675">
      <c r="A1675" s="17"/>
      <c r="B1675" s="17"/>
      <c r="C1675" s="133"/>
      <c r="D1675" s="133"/>
      <c r="E1675" s="17"/>
      <c r="F1675" s="133"/>
      <c r="G1675" s="133"/>
      <c r="H1675" s="133"/>
      <c r="I1675" s="133"/>
      <c r="J1675" s="133"/>
      <c r="K1675" s="133"/>
      <c r="L1675" s="133"/>
      <c r="M1675" s="133"/>
      <c r="N1675" s="133"/>
      <c r="O1675" s="133"/>
      <c r="P1675" s="134"/>
      <c r="Q1675" s="146"/>
      <c r="R1675" s="17"/>
      <c r="S1675" s="17"/>
      <c r="T1675" s="75"/>
      <c r="U1675" s="75"/>
      <c r="V1675" s="75"/>
      <c r="W1675" s="75"/>
      <c r="X1675" s="75"/>
    </row>
    <row r="1676">
      <c r="A1676" s="17"/>
      <c r="B1676" s="17"/>
      <c r="C1676" s="133"/>
      <c r="D1676" s="133"/>
      <c r="E1676" s="17"/>
      <c r="F1676" s="133"/>
      <c r="G1676" s="133"/>
      <c r="H1676" s="133"/>
      <c r="I1676" s="133"/>
      <c r="J1676" s="133"/>
      <c r="K1676" s="133"/>
      <c r="L1676" s="133"/>
      <c r="M1676" s="133"/>
      <c r="N1676" s="133"/>
      <c r="O1676" s="133"/>
      <c r="P1676" s="134"/>
      <c r="Q1676" s="146"/>
      <c r="R1676" s="17"/>
      <c r="S1676" s="17"/>
      <c r="T1676" s="75"/>
      <c r="U1676" s="75"/>
      <c r="V1676" s="75"/>
      <c r="W1676" s="75"/>
      <c r="X1676" s="75"/>
    </row>
    <row r="1677">
      <c r="A1677" s="17"/>
      <c r="B1677" s="17"/>
      <c r="C1677" s="133"/>
      <c r="D1677" s="133"/>
      <c r="E1677" s="17"/>
      <c r="F1677" s="133"/>
      <c r="G1677" s="133"/>
      <c r="H1677" s="133"/>
      <c r="I1677" s="133"/>
      <c r="J1677" s="133"/>
      <c r="K1677" s="133"/>
      <c r="L1677" s="133"/>
      <c r="M1677" s="133"/>
      <c r="N1677" s="133"/>
      <c r="O1677" s="133"/>
      <c r="P1677" s="134"/>
      <c r="Q1677" s="146"/>
      <c r="R1677" s="17"/>
      <c r="S1677" s="17"/>
      <c r="T1677" s="75"/>
      <c r="U1677" s="75"/>
      <c r="V1677" s="75"/>
      <c r="W1677" s="75"/>
      <c r="X1677" s="75"/>
    </row>
    <row r="1678">
      <c r="A1678" s="17"/>
      <c r="B1678" s="17"/>
      <c r="C1678" s="133"/>
      <c r="D1678" s="133"/>
      <c r="E1678" s="17"/>
      <c r="F1678" s="133"/>
      <c r="G1678" s="133"/>
      <c r="H1678" s="133"/>
      <c r="I1678" s="133"/>
      <c r="J1678" s="133"/>
      <c r="K1678" s="133"/>
      <c r="L1678" s="133"/>
      <c r="M1678" s="133"/>
      <c r="N1678" s="133"/>
      <c r="O1678" s="133"/>
      <c r="P1678" s="134"/>
      <c r="Q1678" s="146"/>
      <c r="R1678" s="17"/>
      <c r="S1678" s="17"/>
      <c r="T1678" s="75"/>
      <c r="U1678" s="75"/>
      <c r="V1678" s="75"/>
      <c r="W1678" s="75"/>
      <c r="X1678" s="75"/>
    </row>
    <row r="1679">
      <c r="A1679" s="17"/>
      <c r="B1679" s="17"/>
      <c r="C1679" s="133"/>
      <c r="D1679" s="133"/>
      <c r="E1679" s="17"/>
      <c r="F1679" s="133"/>
      <c r="G1679" s="133"/>
      <c r="H1679" s="133"/>
      <c r="I1679" s="133"/>
      <c r="J1679" s="133"/>
      <c r="K1679" s="133"/>
      <c r="L1679" s="133"/>
      <c r="M1679" s="133"/>
      <c r="N1679" s="133"/>
      <c r="O1679" s="133"/>
      <c r="P1679" s="134"/>
      <c r="Q1679" s="146"/>
      <c r="R1679" s="17"/>
      <c r="S1679" s="17"/>
      <c r="T1679" s="75"/>
      <c r="U1679" s="75"/>
      <c r="V1679" s="75"/>
      <c r="W1679" s="75"/>
      <c r="X1679" s="75"/>
    </row>
    <row r="1680">
      <c r="A1680" s="17"/>
      <c r="B1680" s="17"/>
      <c r="C1680" s="133"/>
      <c r="D1680" s="133"/>
      <c r="E1680" s="17"/>
      <c r="F1680" s="133"/>
      <c r="G1680" s="133"/>
      <c r="H1680" s="133"/>
      <c r="I1680" s="133"/>
      <c r="J1680" s="133"/>
      <c r="K1680" s="133"/>
      <c r="L1680" s="133"/>
      <c r="M1680" s="133"/>
      <c r="N1680" s="133"/>
      <c r="O1680" s="133"/>
      <c r="P1680" s="134"/>
      <c r="Q1680" s="146"/>
      <c r="R1680" s="17"/>
      <c r="S1680" s="17"/>
      <c r="T1680" s="75"/>
      <c r="U1680" s="75"/>
      <c r="V1680" s="75"/>
      <c r="W1680" s="75"/>
      <c r="X1680" s="75"/>
    </row>
    <row r="1681">
      <c r="A1681" s="17"/>
      <c r="B1681" s="17"/>
      <c r="C1681" s="133"/>
      <c r="D1681" s="133"/>
      <c r="E1681" s="17"/>
      <c r="F1681" s="133"/>
      <c r="G1681" s="133"/>
      <c r="H1681" s="133"/>
      <c r="I1681" s="133"/>
      <c r="J1681" s="133"/>
      <c r="K1681" s="133"/>
      <c r="L1681" s="133"/>
      <c r="M1681" s="133"/>
      <c r="N1681" s="133"/>
      <c r="O1681" s="133"/>
      <c r="P1681" s="134"/>
      <c r="Q1681" s="146"/>
      <c r="R1681" s="17"/>
      <c r="S1681" s="17"/>
      <c r="T1681" s="75"/>
      <c r="U1681" s="75"/>
      <c r="V1681" s="75"/>
      <c r="W1681" s="75"/>
      <c r="X1681" s="75"/>
    </row>
    <row r="1682">
      <c r="A1682" s="17"/>
      <c r="B1682" s="17"/>
      <c r="C1682" s="133"/>
      <c r="D1682" s="133"/>
      <c r="E1682" s="17"/>
      <c r="F1682" s="133"/>
      <c r="G1682" s="133"/>
      <c r="H1682" s="133"/>
      <c r="I1682" s="133"/>
      <c r="J1682" s="133"/>
      <c r="K1682" s="133"/>
      <c r="L1682" s="133"/>
      <c r="M1682" s="133"/>
      <c r="N1682" s="133"/>
      <c r="O1682" s="133"/>
      <c r="P1682" s="134"/>
      <c r="Q1682" s="146"/>
      <c r="R1682" s="17"/>
      <c r="S1682" s="17"/>
      <c r="T1682" s="75"/>
      <c r="U1682" s="75"/>
      <c r="V1682" s="75"/>
      <c r="W1682" s="75"/>
      <c r="X1682" s="75"/>
    </row>
    <row r="1683">
      <c r="A1683" s="17"/>
      <c r="B1683" s="17"/>
      <c r="C1683" s="133"/>
      <c r="D1683" s="133"/>
      <c r="E1683" s="17"/>
      <c r="F1683" s="133"/>
      <c r="G1683" s="133"/>
      <c r="H1683" s="133"/>
      <c r="I1683" s="133"/>
      <c r="J1683" s="133"/>
      <c r="K1683" s="133"/>
      <c r="L1683" s="133"/>
      <c r="M1683" s="133"/>
      <c r="N1683" s="133"/>
      <c r="O1683" s="133"/>
      <c r="P1683" s="134"/>
      <c r="Q1683" s="146"/>
      <c r="R1683" s="17"/>
      <c r="S1683" s="17"/>
      <c r="T1683" s="75"/>
      <c r="U1683" s="75"/>
      <c r="V1683" s="75"/>
      <c r="W1683" s="75"/>
      <c r="X1683" s="75"/>
    </row>
    <row r="1684">
      <c r="A1684" s="17"/>
      <c r="B1684" s="17"/>
      <c r="C1684" s="133"/>
      <c r="D1684" s="133"/>
      <c r="E1684" s="17"/>
      <c r="F1684" s="133"/>
      <c r="G1684" s="133"/>
      <c r="H1684" s="133"/>
      <c r="I1684" s="133"/>
      <c r="J1684" s="133"/>
      <c r="K1684" s="133"/>
      <c r="L1684" s="133"/>
      <c r="M1684" s="133"/>
      <c r="N1684" s="133"/>
      <c r="O1684" s="133"/>
      <c r="P1684" s="134"/>
      <c r="Q1684" s="146"/>
      <c r="R1684" s="17"/>
      <c r="S1684" s="17"/>
      <c r="T1684" s="75"/>
      <c r="U1684" s="75"/>
      <c r="V1684" s="75"/>
      <c r="W1684" s="75"/>
      <c r="X1684" s="75"/>
    </row>
    <row r="1685">
      <c r="A1685" s="17"/>
      <c r="B1685" s="17"/>
      <c r="C1685" s="133"/>
      <c r="D1685" s="133"/>
      <c r="E1685" s="17"/>
      <c r="F1685" s="133"/>
      <c r="G1685" s="133"/>
      <c r="H1685" s="133"/>
      <c r="I1685" s="133"/>
      <c r="J1685" s="133"/>
      <c r="K1685" s="133"/>
      <c r="L1685" s="133"/>
      <c r="M1685" s="133"/>
      <c r="N1685" s="133"/>
      <c r="O1685" s="133"/>
      <c r="P1685" s="134"/>
      <c r="Q1685" s="146"/>
      <c r="R1685" s="17"/>
      <c r="S1685" s="17"/>
      <c r="T1685" s="75"/>
      <c r="U1685" s="75"/>
      <c r="V1685" s="75"/>
      <c r="W1685" s="75"/>
      <c r="X1685" s="75"/>
    </row>
    <row r="1686">
      <c r="A1686" s="17"/>
      <c r="B1686" s="17"/>
      <c r="C1686" s="133"/>
      <c r="D1686" s="133"/>
      <c r="E1686" s="17"/>
      <c r="F1686" s="133"/>
      <c r="G1686" s="133"/>
      <c r="H1686" s="133"/>
      <c r="I1686" s="133"/>
      <c r="J1686" s="133"/>
      <c r="K1686" s="133"/>
      <c r="L1686" s="133"/>
      <c r="M1686" s="133"/>
      <c r="N1686" s="133"/>
      <c r="O1686" s="133"/>
      <c r="P1686" s="134"/>
      <c r="Q1686" s="146"/>
      <c r="R1686" s="17"/>
      <c r="S1686" s="17"/>
      <c r="T1686" s="75"/>
      <c r="U1686" s="75"/>
      <c r="V1686" s="75"/>
      <c r="W1686" s="75"/>
      <c r="X1686" s="75"/>
    </row>
    <row r="1687">
      <c r="A1687" s="17"/>
      <c r="B1687" s="17"/>
      <c r="C1687" s="133"/>
      <c r="D1687" s="133"/>
      <c r="E1687" s="17"/>
      <c r="F1687" s="133"/>
      <c r="G1687" s="133"/>
      <c r="H1687" s="133"/>
      <c r="I1687" s="133"/>
      <c r="J1687" s="133"/>
      <c r="K1687" s="133"/>
      <c r="L1687" s="133"/>
      <c r="M1687" s="133"/>
      <c r="N1687" s="133"/>
      <c r="O1687" s="133"/>
      <c r="P1687" s="134"/>
      <c r="Q1687" s="146"/>
      <c r="R1687" s="17"/>
      <c r="S1687" s="17"/>
      <c r="T1687" s="75"/>
      <c r="U1687" s="75"/>
      <c r="V1687" s="75"/>
      <c r="W1687" s="75"/>
      <c r="X1687" s="75"/>
    </row>
    <row r="1688">
      <c r="A1688" s="17"/>
      <c r="B1688" s="17"/>
      <c r="C1688" s="133"/>
      <c r="D1688" s="133"/>
      <c r="E1688" s="17"/>
      <c r="F1688" s="133"/>
      <c r="G1688" s="133"/>
      <c r="H1688" s="133"/>
      <c r="I1688" s="133"/>
      <c r="J1688" s="133"/>
      <c r="K1688" s="133"/>
      <c r="L1688" s="133"/>
      <c r="M1688" s="133"/>
      <c r="N1688" s="133"/>
      <c r="O1688" s="133"/>
      <c r="P1688" s="134"/>
      <c r="Q1688" s="146"/>
      <c r="R1688" s="17"/>
      <c r="S1688" s="17"/>
      <c r="T1688" s="75"/>
      <c r="U1688" s="75"/>
      <c r="V1688" s="75"/>
      <c r="W1688" s="75"/>
      <c r="X1688" s="75"/>
    </row>
    <row r="1689">
      <c r="A1689" s="17"/>
      <c r="B1689" s="17"/>
      <c r="C1689" s="133"/>
      <c r="D1689" s="133"/>
      <c r="E1689" s="17"/>
      <c r="F1689" s="133"/>
      <c r="G1689" s="133"/>
      <c r="H1689" s="133"/>
      <c r="I1689" s="133"/>
      <c r="J1689" s="133"/>
      <c r="K1689" s="133"/>
      <c r="L1689" s="133"/>
      <c r="M1689" s="133"/>
      <c r="N1689" s="133"/>
      <c r="O1689" s="133"/>
      <c r="P1689" s="134"/>
      <c r="Q1689" s="146"/>
      <c r="R1689" s="17"/>
      <c r="S1689" s="17"/>
      <c r="T1689" s="75"/>
      <c r="U1689" s="75"/>
      <c r="V1689" s="75"/>
      <c r="W1689" s="75"/>
      <c r="X1689" s="75"/>
    </row>
    <row r="1690">
      <c r="A1690" s="17"/>
      <c r="B1690" s="17"/>
      <c r="C1690" s="133"/>
      <c r="D1690" s="133"/>
      <c r="E1690" s="17"/>
      <c r="F1690" s="133"/>
      <c r="G1690" s="133"/>
      <c r="H1690" s="133"/>
      <c r="I1690" s="133"/>
      <c r="J1690" s="133"/>
      <c r="K1690" s="133"/>
      <c r="L1690" s="133"/>
      <c r="M1690" s="133"/>
      <c r="N1690" s="133"/>
      <c r="O1690" s="133"/>
      <c r="P1690" s="134"/>
      <c r="Q1690" s="146"/>
      <c r="R1690" s="17"/>
      <c r="S1690" s="17"/>
      <c r="T1690" s="75"/>
      <c r="U1690" s="75"/>
      <c r="V1690" s="75"/>
      <c r="W1690" s="75"/>
      <c r="X1690" s="75"/>
    </row>
    <row r="1691">
      <c r="A1691" s="17"/>
      <c r="B1691" s="17"/>
      <c r="C1691" s="133"/>
      <c r="D1691" s="133"/>
      <c r="E1691" s="17"/>
      <c r="F1691" s="133"/>
      <c r="G1691" s="133"/>
      <c r="H1691" s="133"/>
      <c r="I1691" s="133"/>
      <c r="J1691" s="133"/>
      <c r="K1691" s="133"/>
      <c r="L1691" s="133"/>
      <c r="M1691" s="133"/>
      <c r="N1691" s="133"/>
      <c r="O1691" s="133"/>
      <c r="P1691" s="134"/>
      <c r="Q1691" s="146"/>
      <c r="R1691" s="17"/>
      <c r="S1691" s="17"/>
      <c r="T1691" s="75"/>
      <c r="U1691" s="75"/>
      <c r="V1691" s="75"/>
      <c r="W1691" s="75"/>
      <c r="X1691" s="75"/>
    </row>
    <row r="1692">
      <c r="A1692" s="17"/>
      <c r="B1692" s="17"/>
      <c r="C1692" s="133"/>
      <c r="D1692" s="133"/>
      <c r="E1692" s="17"/>
      <c r="F1692" s="133"/>
      <c r="G1692" s="133"/>
      <c r="H1692" s="133"/>
      <c r="I1692" s="133"/>
      <c r="J1692" s="133"/>
      <c r="K1692" s="133"/>
      <c r="L1692" s="133"/>
      <c r="M1692" s="133"/>
      <c r="N1692" s="133"/>
      <c r="O1692" s="133"/>
      <c r="P1692" s="134"/>
      <c r="Q1692" s="146"/>
      <c r="R1692" s="17"/>
      <c r="S1692" s="17"/>
      <c r="T1692" s="75"/>
      <c r="U1692" s="75"/>
      <c r="V1692" s="75"/>
      <c r="W1692" s="75"/>
      <c r="X1692" s="75"/>
    </row>
    <row r="1693">
      <c r="A1693" s="17"/>
      <c r="B1693" s="17"/>
      <c r="C1693" s="133"/>
      <c r="D1693" s="133"/>
      <c r="E1693" s="17"/>
      <c r="F1693" s="133"/>
      <c r="G1693" s="133"/>
      <c r="H1693" s="133"/>
      <c r="I1693" s="133"/>
      <c r="J1693" s="133"/>
      <c r="K1693" s="133"/>
      <c r="L1693" s="133"/>
      <c r="M1693" s="133"/>
      <c r="N1693" s="133"/>
      <c r="O1693" s="133"/>
      <c r="P1693" s="134"/>
      <c r="Q1693" s="146"/>
      <c r="R1693" s="17"/>
      <c r="S1693" s="17"/>
      <c r="T1693" s="75"/>
      <c r="U1693" s="75"/>
      <c r="V1693" s="75"/>
      <c r="W1693" s="75"/>
      <c r="X1693" s="75"/>
    </row>
    <row r="1694">
      <c r="A1694" s="17"/>
      <c r="B1694" s="17"/>
      <c r="C1694" s="133"/>
      <c r="D1694" s="133"/>
      <c r="E1694" s="17"/>
      <c r="F1694" s="133"/>
      <c r="G1694" s="133"/>
      <c r="H1694" s="133"/>
      <c r="I1694" s="133"/>
      <c r="J1694" s="133"/>
      <c r="K1694" s="133"/>
      <c r="L1694" s="133"/>
      <c r="M1694" s="133"/>
      <c r="N1694" s="133"/>
      <c r="O1694" s="133"/>
      <c r="P1694" s="134"/>
      <c r="Q1694" s="146"/>
      <c r="R1694" s="17"/>
      <c r="S1694" s="17"/>
      <c r="T1694" s="75"/>
      <c r="U1694" s="75"/>
      <c r="V1694" s="75"/>
      <c r="W1694" s="75"/>
      <c r="X1694" s="75"/>
    </row>
    <row r="1695">
      <c r="A1695" s="17"/>
      <c r="B1695" s="17"/>
      <c r="C1695" s="133"/>
      <c r="D1695" s="133"/>
      <c r="E1695" s="17"/>
      <c r="F1695" s="133"/>
      <c r="G1695" s="133"/>
      <c r="H1695" s="133"/>
      <c r="I1695" s="133"/>
      <c r="J1695" s="133"/>
      <c r="K1695" s="133"/>
      <c r="L1695" s="133"/>
      <c r="M1695" s="133"/>
      <c r="N1695" s="133"/>
      <c r="O1695" s="133"/>
      <c r="P1695" s="134"/>
      <c r="Q1695" s="146"/>
      <c r="R1695" s="17"/>
      <c r="S1695" s="17"/>
      <c r="T1695" s="75"/>
      <c r="U1695" s="75"/>
      <c r="V1695" s="75"/>
      <c r="W1695" s="75"/>
      <c r="X1695" s="75"/>
    </row>
    <row r="1696">
      <c r="A1696" s="17"/>
      <c r="B1696" s="17"/>
      <c r="C1696" s="133"/>
      <c r="D1696" s="133"/>
      <c r="E1696" s="17"/>
      <c r="F1696" s="133"/>
      <c r="G1696" s="133"/>
      <c r="H1696" s="133"/>
      <c r="I1696" s="133"/>
      <c r="J1696" s="133"/>
      <c r="K1696" s="133"/>
      <c r="L1696" s="133"/>
      <c r="M1696" s="133"/>
      <c r="N1696" s="133"/>
      <c r="O1696" s="133"/>
      <c r="P1696" s="134"/>
      <c r="Q1696" s="146"/>
      <c r="R1696" s="17"/>
      <c r="S1696" s="17"/>
      <c r="T1696" s="75"/>
      <c r="U1696" s="75"/>
      <c r="V1696" s="75"/>
      <c r="W1696" s="75"/>
      <c r="X1696" s="75"/>
    </row>
    <row r="1697">
      <c r="A1697" s="17"/>
      <c r="B1697" s="17"/>
      <c r="C1697" s="133"/>
      <c r="D1697" s="133"/>
      <c r="E1697" s="17"/>
      <c r="F1697" s="133"/>
      <c r="G1697" s="133"/>
      <c r="H1697" s="133"/>
      <c r="I1697" s="133"/>
      <c r="J1697" s="133"/>
      <c r="K1697" s="133"/>
      <c r="L1697" s="133"/>
      <c r="M1697" s="133"/>
      <c r="N1697" s="133"/>
      <c r="O1697" s="133"/>
      <c r="P1697" s="134"/>
      <c r="Q1697" s="146"/>
      <c r="R1697" s="17"/>
      <c r="S1697" s="17"/>
      <c r="T1697" s="75"/>
      <c r="U1697" s="75"/>
      <c r="V1697" s="75"/>
      <c r="W1697" s="75"/>
      <c r="X1697" s="75"/>
    </row>
    <row r="1698">
      <c r="A1698" s="17"/>
      <c r="B1698" s="17"/>
      <c r="C1698" s="133"/>
      <c r="D1698" s="133"/>
      <c r="E1698" s="17"/>
      <c r="F1698" s="133"/>
      <c r="G1698" s="133"/>
      <c r="H1698" s="133"/>
      <c r="I1698" s="133"/>
      <c r="J1698" s="133"/>
      <c r="K1698" s="133"/>
      <c r="L1698" s="133"/>
      <c r="M1698" s="133"/>
      <c r="N1698" s="133"/>
      <c r="O1698" s="133"/>
      <c r="P1698" s="134"/>
      <c r="Q1698" s="146"/>
      <c r="R1698" s="17"/>
      <c r="S1698" s="17"/>
      <c r="T1698" s="75"/>
      <c r="U1698" s="75"/>
      <c r="V1698" s="75"/>
      <c r="W1698" s="75"/>
      <c r="X1698" s="75"/>
    </row>
    <row r="1699">
      <c r="A1699" s="17"/>
      <c r="B1699" s="17"/>
      <c r="C1699" s="133"/>
      <c r="D1699" s="133"/>
      <c r="E1699" s="17"/>
      <c r="F1699" s="133"/>
      <c r="G1699" s="133"/>
      <c r="H1699" s="133"/>
      <c r="I1699" s="133"/>
      <c r="J1699" s="133"/>
      <c r="K1699" s="133"/>
      <c r="L1699" s="133"/>
      <c r="M1699" s="133"/>
      <c r="N1699" s="133"/>
      <c r="O1699" s="133"/>
      <c r="P1699" s="134"/>
      <c r="Q1699" s="146"/>
      <c r="R1699" s="17"/>
      <c r="S1699" s="17"/>
      <c r="T1699" s="75"/>
      <c r="U1699" s="75"/>
      <c r="V1699" s="75"/>
      <c r="W1699" s="75"/>
      <c r="X1699" s="75"/>
    </row>
    <row r="1700">
      <c r="A1700" s="17"/>
      <c r="B1700" s="17"/>
      <c r="C1700" s="133"/>
      <c r="D1700" s="133"/>
      <c r="E1700" s="17"/>
      <c r="F1700" s="133"/>
      <c r="G1700" s="133"/>
      <c r="H1700" s="133"/>
      <c r="I1700" s="133"/>
      <c r="J1700" s="133"/>
      <c r="K1700" s="133"/>
      <c r="L1700" s="133"/>
      <c r="M1700" s="133"/>
      <c r="N1700" s="133"/>
      <c r="O1700" s="133"/>
      <c r="P1700" s="134"/>
      <c r="Q1700" s="146"/>
      <c r="R1700" s="17"/>
      <c r="S1700" s="17"/>
      <c r="T1700" s="75"/>
      <c r="U1700" s="75"/>
      <c r="V1700" s="75"/>
      <c r="W1700" s="75"/>
      <c r="X1700" s="75"/>
    </row>
    <row r="1701">
      <c r="A1701" s="17"/>
      <c r="B1701" s="17"/>
      <c r="C1701" s="133"/>
      <c r="D1701" s="133"/>
      <c r="E1701" s="17"/>
      <c r="F1701" s="133"/>
      <c r="G1701" s="133"/>
      <c r="H1701" s="133"/>
      <c r="I1701" s="133"/>
      <c r="J1701" s="133"/>
      <c r="K1701" s="133"/>
      <c r="L1701" s="133"/>
      <c r="M1701" s="133"/>
      <c r="N1701" s="133"/>
      <c r="O1701" s="133"/>
      <c r="P1701" s="134"/>
      <c r="Q1701" s="146"/>
      <c r="R1701" s="17"/>
      <c r="S1701" s="17"/>
      <c r="T1701" s="75"/>
      <c r="U1701" s="75"/>
      <c r="V1701" s="75"/>
      <c r="W1701" s="75"/>
      <c r="X1701" s="75"/>
    </row>
    <row r="1702">
      <c r="A1702" s="17"/>
      <c r="B1702" s="17"/>
      <c r="C1702" s="133"/>
      <c r="D1702" s="133"/>
      <c r="E1702" s="17"/>
      <c r="F1702" s="133"/>
      <c r="G1702" s="133"/>
      <c r="H1702" s="133"/>
      <c r="I1702" s="133"/>
      <c r="J1702" s="133"/>
      <c r="K1702" s="133"/>
      <c r="L1702" s="133"/>
      <c r="M1702" s="133"/>
      <c r="N1702" s="133"/>
      <c r="O1702" s="133"/>
      <c r="P1702" s="134"/>
      <c r="Q1702" s="146"/>
      <c r="R1702" s="17"/>
      <c r="S1702" s="17"/>
      <c r="T1702" s="75"/>
      <c r="U1702" s="75"/>
      <c r="V1702" s="75"/>
      <c r="W1702" s="75"/>
      <c r="X1702" s="75"/>
    </row>
    <row r="1703">
      <c r="A1703" s="17"/>
      <c r="B1703" s="17"/>
      <c r="C1703" s="133"/>
      <c r="D1703" s="133"/>
      <c r="E1703" s="17"/>
      <c r="F1703" s="133"/>
      <c r="G1703" s="133"/>
      <c r="H1703" s="133"/>
      <c r="I1703" s="133"/>
      <c r="J1703" s="133"/>
      <c r="K1703" s="133"/>
      <c r="L1703" s="133"/>
      <c r="M1703" s="133"/>
      <c r="N1703" s="133"/>
      <c r="O1703" s="133"/>
      <c r="P1703" s="134"/>
      <c r="Q1703" s="146"/>
      <c r="R1703" s="17"/>
      <c r="S1703" s="17"/>
      <c r="T1703" s="75"/>
      <c r="U1703" s="75"/>
      <c r="V1703" s="75"/>
      <c r="W1703" s="75"/>
      <c r="X1703" s="75"/>
    </row>
    <row r="1704">
      <c r="A1704" s="17"/>
      <c r="B1704" s="17"/>
      <c r="C1704" s="133"/>
      <c r="D1704" s="133"/>
      <c r="E1704" s="17"/>
      <c r="F1704" s="133"/>
      <c r="G1704" s="133"/>
      <c r="H1704" s="133"/>
      <c r="I1704" s="133"/>
      <c r="J1704" s="133"/>
      <c r="K1704" s="133"/>
      <c r="L1704" s="133"/>
      <c r="M1704" s="133"/>
      <c r="N1704" s="133"/>
      <c r="O1704" s="133"/>
      <c r="P1704" s="134"/>
      <c r="Q1704" s="146"/>
      <c r="R1704" s="17"/>
      <c r="S1704" s="17"/>
      <c r="T1704" s="75"/>
      <c r="U1704" s="75"/>
      <c r="V1704" s="75"/>
      <c r="W1704" s="75"/>
      <c r="X1704" s="75"/>
    </row>
    <row r="1705">
      <c r="A1705" s="17"/>
      <c r="B1705" s="17"/>
      <c r="C1705" s="133"/>
      <c r="D1705" s="133"/>
      <c r="E1705" s="17"/>
      <c r="F1705" s="133"/>
      <c r="G1705" s="133"/>
      <c r="H1705" s="133"/>
      <c r="I1705" s="133"/>
      <c r="J1705" s="133"/>
      <c r="K1705" s="133"/>
      <c r="L1705" s="133"/>
      <c r="M1705" s="133"/>
      <c r="N1705" s="133"/>
      <c r="O1705" s="133"/>
      <c r="P1705" s="134"/>
      <c r="Q1705" s="146"/>
      <c r="R1705" s="17"/>
      <c r="S1705" s="17"/>
      <c r="T1705" s="75"/>
      <c r="U1705" s="75"/>
      <c r="V1705" s="75"/>
      <c r="W1705" s="75"/>
      <c r="X1705" s="75"/>
    </row>
    <row r="1706">
      <c r="A1706" s="17"/>
      <c r="B1706" s="17"/>
      <c r="C1706" s="133"/>
      <c r="D1706" s="133"/>
      <c r="E1706" s="17"/>
      <c r="F1706" s="133"/>
      <c r="G1706" s="133"/>
      <c r="H1706" s="133"/>
      <c r="I1706" s="133"/>
      <c r="J1706" s="133"/>
      <c r="K1706" s="133"/>
      <c r="L1706" s="133"/>
      <c r="M1706" s="133"/>
      <c r="N1706" s="133"/>
      <c r="O1706" s="133"/>
      <c r="P1706" s="134"/>
      <c r="Q1706" s="146"/>
      <c r="R1706" s="17"/>
      <c r="S1706" s="17"/>
      <c r="T1706" s="75"/>
      <c r="U1706" s="75"/>
      <c r="V1706" s="75"/>
      <c r="W1706" s="75"/>
      <c r="X1706" s="75"/>
    </row>
    <row r="1707">
      <c r="A1707" s="17"/>
      <c r="B1707" s="17"/>
      <c r="C1707" s="133"/>
      <c r="D1707" s="133"/>
      <c r="E1707" s="17"/>
      <c r="F1707" s="133"/>
      <c r="G1707" s="133"/>
      <c r="H1707" s="133"/>
      <c r="I1707" s="133"/>
      <c r="J1707" s="133"/>
      <c r="K1707" s="133"/>
      <c r="L1707" s="133"/>
      <c r="M1707" s="133"/>
      <c r="N1707" s="133"/>
      <c r="O1707" s="133"/>
      <c r="P1707" s="134"/>
      <c r="Q1707" s="146"/>
      <c r="R1707" s="17"/>
      <c r="S1707" s="17"/>
      <c r="T1707" s="75"/>
      <c r="U1707" s="75"/>
      <c r="V1707" s="75"/>
      <c r="W1707" s="75"/>
      <c r="X1707" s="75"/>
    </row>
    <row r="1708">
      <c r="A1708" s="17"/>
      <c r="B1708" s="17"/>
      <c r="C1708" s="133"/>
      <c r="D1708" s="133"/>
      <c r="E1708" s="17"/>
      <c r="F1708" s="133"/>
      <c r="G1708" s="133"/>
      <c r="H1708" s="133"/>
      <c r="I1708" s="133"/>
      <c r="J1708" s="133"/>
      <c r="K1708" s="133"/>
      <c r="L1708" s="133"/>
      <c r="M1708" s="133"/>
      <c r="N1708" s="133"/>
      <c r="O1708" s="133"/>
      <c r="P1708" s="134"/>
      <c r="Q1708" s="146"/>
      <c r="R1708" s="17"/>
      <c r="S1708" s="17"/>
      <c r="T1708" s="75"/>
      <c r="U1708" s="75"/>
      <c r="V1708" s="75"/>
      <c r="W1708" s="75"/>
      <c r="X1708" s="75"/>
    </row>
    <row r="1709">
      <c r="A1709" s="17"/>
      <c r="B1709" s="17"/>
      <c r="C1709" s="133"/>
      <c r="D1709" s="133"/>
      <c r="E1709" s="17"/>
      <c r="F1709" s="133"/>
      <c r="G1709" s="133"/>
      <c r="H1709" s="133"/>
      <c r="I1709" s="133"/>
      <c r="J1709" s="133"/>
      <c r="K1709" s="133"/>
      <c r="L1709" s="133"/>
      <c r="M1709" s="133"/>
      <c r="N1709" s="133"/>
      <c r="O1709" s="133"/>
      <c r="P1709" s="134"/>
      <c r="Q1709" s="146"/>
      <c r="R1709" s="17"/>
      <c r="S1709" s="17"/>
      <c r="T1709" s="75"/>
      <c r="U1709" s="75"/>
      <c r="V1709" s="75"/>
      <c r="W1709" s="75"/>
      <c r="X1709" s="75"/>
    </row>
    <row r="1710">
      <c r="A1710" s="17"/>
      <c r="B1710" s="17"/>
      <c r="C1710" s="133"/>
      <c r="D1710" s="133"/>
      <c r="E1710" s="17"/>
      <c r="F1710" s="133"/>
      <c r="G1710" s="133"/>
      <c r="H1710" s="133"/>
      <c r="I1710" s="133"/>
      <c r="J1710" s="133"/>
      <c r="K1710" s="133"/>
      <c r="L1710" s="133"/>
      <c r="M1710" s="133"/>
      <c r="N1710" s="133"/>
      <c r="O1710" s="133"/>
      <c r="P1710" s="134"/>
      <c r="Q1710" s="146"/>
      <c r="R1710" s="17"/>
      <c r="S1710" s="17"/>
      <c r="T1710" s="75"/>
      <c r="U1710" s="75"/>
      <c r="V1710" s="75"/>
      <c r="W1710" s="75"/>
      <c r="X1710" s="75"/>
    </row>
    <row r="1711">
      <c r="A1711" s="17"/>
      <c r="B1711" s="17"/>
      <c r="C1711" s="133"/>
      <c r="D1711" s="133"/>
      <c r="E1711" s="17"/>
      <c r="F1711" s="133"/>
      <c r="G1711" s="133"/>
      <c r="H1711" s="133"/>
      <c r="I1711" s="133"/>
      <c r="J1711" s="133"/>
      <c r="K1711" s="133"/>
      <c r="L1711" s="133"/>
      <c r="M1711" s="133"/>
      <c r="N1711" s="133"/>
      <c r="O1711" s="133"/>
      <c r="P1711" s="134"/>
      <c r="Q1711" s="146"/>
      <c r="R1711" s="17"/>
      <c r="S1711" s="17"/>
      <c r="T1711" s="75"/>
      <c r="U1711" s="75"/>
      <c r="V1711" s="75"/>
      <c r="W1711" s="75"/>
      <c r="X1711" s="75"/>
    </row>
    <row r="1712">
      <c r="A1712" s="17"/>
      <c r="B1712" s="17"/>
      <c r="C1712" s="133"/>
      <c r="D1712" s="133"/>
      <c r="E1712" s="17"/>
      <c r="F1712" s="133"/>
      <c r="G1712" s="133"/>
      <c r="H1712" s="133"/>
      <c r="I1712" s="133"/>
      <c r="J1712" s="133"/>
      <c r="K1712" s="133"/>
      <c r="L1712" s="133"/>
      <c r="M1712" s="133"/>
      <c r="N1712" s="133"/>
      <c r="O1712" s="133"/>
      <c r="P1712" s="134"/>
      <c r="Q1712" s="146"/>
      <c r="R1712" s="17"/>
      <c r="S1712" s="17"/>
      <c r="T1712" s="75"/>
      <c r="U1712" s="75"/>
      <c r="V1712" s="75"/>
      <c r="W1712" s="75"/>
      <c r="X1712" s="75"/>
    </row>
    <row r="1713">
      <c r="A1713" s="17"/>
      <c r="B1713" s="17"/>
      <c r="C1713" s="133"/>
      <c r="D1713" s="133"/>
      <c r="E1713" s="17"/>
      <c r="F1713" s="133"/>
      <c r="G1713" s="133"/>
      <c r="H1713" s="133"/>
      <c r="I1713" s="133"/>
      <c r="J1713" s="133"/>
      <c r="K1713" s="133"/>
      <c r="L1713" s="133"/>
      <c r="M1713" s="133"/>
      <c r="N1713" s="133"/>
      <c r="O1713" s="133"/>
      <c r="P1713" s="134"/>
      <c r="Q1713" s="146"/>
      <c r="R1713" s="17"/>
      <c r="S1713" s="17"/>
      <c r="T1713" s="75"/>
      <c r="U1713" s="75"/>
      <c r="V1713" s="75"/>
      <c r="W1713" s="75"/>
      <c r="X1713" s="75"/>
    </row>
    <row r="1714">
      <c r="A1714" s="17"/>
      <c r="B1714" s="17"/>
      <c r="C1714" s="133"/>
      <c r="D1714" s="133"/>
      <c r="E1714" s="17"/>
      <c r="F1714" s="133"/>
      <c r="G1714" s="133"/>
      <c r="H1714" s="133"/>
      <c r="I1714" s="133"/>
      <c r="J1714" s="133"/>
      <c r="K1714" s="133"/>
      <c r="L1714" s="133"/>
      <c r="M1714" s="133"/>
      <c r="N1714" s="133"/>
      <c r="O1714" s="133"/>
      <c r="P1714" s="134"/>
      <c r="Q1714" s="146"/>
      <c r="R1714" s="17"/>
      <c r="S1714" s="17"/>
      <c r="T1714" s="75"/>
      <c r="U1714" s="75"/>
      <c r="V1714" s="75"/>
      <c r="W1714" s="75"/>
      <c r="X1714" s="75"/>
    </row>
    <row r="1715">
      <c r="A1715" s="17"/>
      <c r="B1715" s="17"/>
      <c r="C1715" s="133"/>
      <c r="D1715" s="133"/>
      <c r="E1715" s="17"/>
      <c r="F1715" s="133"/>
      <c r="G1715" s="133"/>
      <c r="H1715" s="133"/>
      <c r="I1715" s="133"/>
      <c r="J1715" s="133"/>
      <c r="K1715" s="133"/>
      <c r="L1715" s="133"/>
      <c r="M1715" s="133"/>
      <c r="N1715" s="133"/>
      <c r="O1715" s="133"/>
      <c r="P1715" s="134"/>
      <c r="Q1715" s="146"/>
      <c r="R1715" s="17"/>
      <c r="S1715" s="17"/>
      <c r="T1715" s="75"/>
      <c r="U1715" s="75"/>
      <c r="V1715" s="75"/>
      <c r="W1715" s="75"/>
      <c r="X1715" s="75"/>
    </row>
    <row r="1716">
      <c r="A1716" s="17"/>
      <c r="B1716" s="17"/>
      <c r="C1716" s="133"/>
      <c r="D1716" s="133"/>
      <c r="E1716" s="17"/>
      <c r="F1716" s="133"/>
      <c r="G1716" s="133"/>
      <c r="H1716" s="133"/>
      <c r="I1716" s="133"/>
      <c r="J1716" s="133"/>
      <c r="K1716" s="133"/>
      <c r="L1716" s="133"/>
      <c r="M1716" s="133"/>
      <c r="N1716" s="133"/>
      <c r="O1716" s="133"/>
      <c r="P1716" s="134"/>
      <c r="Q1716" s="146"/>
      <c r="R1716" s="17"/>
      <c r="S1716" s="17"/>
      <c r="T1716" s="75"/>
      <c r="U1716" s="75"/>
      <c r="V1716" s="75"/>
      <c r="W1716" s="75"/>
      <c r="X1716" s="75"/>
    </row>
    <row r="1717">
      <c r="A1717" s="17"/>
      <c r="B1717" s="17"/>
      <c r="C1717" s="133"/>
      <c r="D1717" s="133"/>
      <c r="E1717" s="17"/>
      <c r="F1717" s="133"/>
      <c r="G1717" s="133"/>
      <c r="H1717" s="133"/>
      <c r="I1717" s="133"/>
      <c r="J1717" s="133"/>
      <c r="K1717" s="133"/>
      <c r="L1717" s="133"/>
      <c r="M1717" s="133"/>
      <c r="N1717" s="133"/>
      <c r="O1717" s="133"/>
      <c r="P1717" s="134"/>
      <c r="Q1717" s="146"/>
      <c r="R1717" s="17"/>
      <c r="S1717" s="17"/>
      <c r="T1717" s="75"/>
      <c r="U1717" s="75"/>
      <c r="V1717" s="75"/>
      <c r="W1717" s="75"/>
      <c r="X1717" s="75"/>
    </row>
    <row r="1718">
      <c r="A1718" s="17"/>
      <c r="B1718" s="17"/>
      <c r="C1718" s="133"/>
      <c r="D1718" s="133"/>
      <c r="E1718" s="17"/>
      <c r="F1718" s="133"/>
      <c r="G1718" s="133"/>
      <c r="H1718" s="133"/>
      <c r="I1718" s="133"/>
      <c r="J1718" s="133"/>
      <c r="K1718" s="133"/>
      <c r="L1718" s="133"/>
      <c r="M1718" s="133"/>
      <c r="N1718" s="133"/>
      <c r="O1718" s="133"/>
      <c r="P1718" s="134"/>
      <c r="Q1718" s="146"/>
      <c r="R1718" s="17"/>
      <c r="S1718" s="17"/>
      <c r="T1718" s="75"/>
      <c r="U1718" s="75"/>
      <c r="V1718" s="75"/>
      <c r="W1718" s="75"/>
      <c r="X1718" s="75"/>
    </row>
    <row r="1719">
      <c r="A1719" s="17"/>
      <c r="B1719" s="17"/>
      <c r="C1719" s="133"/>
      <c r="D1719" s="133"/>
      <c r="E1719" s="17"/>
      <c r="F1719" s="133"/>
      <c r="G1719" s="133"/>
      <c r="H1719" s="133"/>
      <c r="I1719" s="133"/>
      <c r="J1719" s="133"/>
      <c r="K1719" s="133"/>
      <c r="L1719" s="133"/>
      <c r="M1719" s="133"/>
      <c r="N1719" s="133"/>
      <c r="O1719" s="133"/>
      <c r="P1719" s="134"/>
      <c r="Q1719" s="146"/>
      <c r="R1719" s="17"/>
      <c r="S1719" s="17"/>
      <c r="T1719" s="75"/>
      <c r="U1719" s="75"/>
      <c r="V1719" s="75"/>
      <c r="W1719" s="75"/>
      <c r="X1719" s="75"/>
    </row>
    <row r="1720">
      <c r="A1720" s="17"/>
      <c r="B1720" s="17"/>
      <c r="C1720" s="133"/>
      <c r="D1720" s="133"/>
      <c r="E1720" s="17"/>
      <c r="F1720" s="133"/>
      <c r="G1720" s="133"/>
      <c r="H1720" s="133"/>
      <c r="I1720" s="133"/>
      <c r="J1720" s="133"/>
      <c r="K1720" s="133"/>
      <c r="L1720" s="133"/>
      <c r="M1720" s="133"/>
      <c r="N1720" s="133"/>
      <c r="O1720" s="133"/>
      <c r="P1720" s="134"/>
      <c r="Q1720" s="146"/>
      <c r="R1720" s="17"/>
      <c r="S1720" s="17"/>
      <c r="T1720" s="75"/>
      <c r="U1720" s="75"/>
      <c r="V1720" s="75"/>
      <c r="W1720" s="75"/>
      <c r="X1720" s="75"/>
    </row>
    <row r="1721">
      <c r="A1721" s="17"/>
      <c r="B1721" s="17"/>
      <c r="C1721" s="133"/>
      <c r="D1721" s="133"/>
      <c r="E1721" s="17"/>
      <c r="F1721" s="133"/>
      <c r="G1721" s="133"/>
      <c r="H1721" s="133"/>
      <c r="I1721" s="133"/>
      <c r="J1721" s="133"/>
      <c r="K1721" s="133"/>
      <c r="L1721" s="133"/>
      <c r="M1721" s="133"/>
      <c r="N1721" s="133"/>
      <c r="O1721" s="133"/>
      <c r="P1721" s="134"/>
      <c r="Q1721" s="146"/>
      <c r="R1721" s="17"/>
      <c r="S1721" s="17"/>
      <c r="T1721" s="75"/>
      <c r="U1721" s="75"/>
      <c r="V1721" s="75"/>
      <c r="W1721" s="75"/>
      <c r="X1721" s="75"/>
    </row>
    <row r="1722">
      <c r="A1722" s="17"/>
      <c r="B1722" s="17"/>
      <c r="C1722" s="133"/>
      <c r="D1722" s="133"/>
      <c r="E1722" s="17"/>
      <c r="F1722" s="133"/>
      <c r="G1722" s="133"/>
      <c r="H1722" s="133"/>
      <c r="I1722" s="133"/>
      <c r="J1722" s="133"/>
      <c r="K1722" s="133"/>
      <c r="L1722" s="133"/>
      <c r="M1722" s="133"/>
      <c r="N1722" s="133"/>
      <c r="O1722" s="133"/>
      <c r="P1722" s="134"/>
      <c r="Q1722" s="146"/>
      <c r="R1722" s="17"/>
      <c r="S1722" s="17"/>
      <c r="T1722" s="75"/>
      <c r="U1722" s="75"/>
      <c r="V1722" s="75"/>
      <c r="W1722" s="75"/>
      <c r="X1722" s="75"/>
    </row>
    <row r="1723">
      <c r="A1723" s="17"/>
      <c r="B1723" s="17"/>
      <c r="C1723" s="133"/>
      <c r="D1723" s="133"/>
      <c r="E1723" s="17"/>
      <c r="F1723" s="133"/>
      <c r="G1723" s="133"/>
      <c r="H1723" s="133"/>
      <c r="I1723" s="133"/>
      <c r="J1723" s="133"/>
      <c r="K1723" s="133"/>
      <c r="L1723" s="133"/>
      <c r="M1723" s="133"/>
      <c r="N1723" s="133"/>
      <c r="O1723" s="133"/>
      <c r="P1723" s="134"/>
      <c r="Q1723" s="146"/>
      <c r="R1723" s="17"/>
      <c r="S1723" s="17"/>
      <c r="T1723" s="75"/>
      <c r="U1723" s="75"/>
      <c r="V1723" s="75"/>
      <c r="W1723" s="75"/>
      <c r="X1723" s="75"/>
    </row>
    <row r="1724">
      <c r="A1724" s="17"/>
      <c r="B1724" s="17"/>
      <c r="C1724" s="133"/>
      <c r="D1724" s="133"/>
      <c r="E1724" s="17"/>
      <c r="F1724" s="133"/>
      <c r="G1724" s="133"/>
      <c r="H1724" s="133"/>
      <c r="I1724" s="133"/>
      <c r="J1724" s="133"/>
      <c r="K1724" s="133"/>
      <c r="L1724" s="133"/>
      <c r="M1724" s="133"/>
      <c r="N1724" s="133"/>
      <c r="O1724" s="133"/>
      <c r="P1724" s="134"/>
      <c r="Q1724" s="146"/>
      <c r="R1724" s="17"/>
      <c r="S1724" s="17"/>
      <c r="T1724" s="75"/>
      <c r="U1724" s="75"/>
      <c r="V1724" s="75"/>
      <c r="W1724" s="75"/>
      <c r="X1724" s="75"/>
    </row>
    <row r="1725">
      <c r="A1725" s="17"/>
      <c r="B1725" s="17"/>
      <c r="C1725" s="133"/>
      <c r="D1725" s="133"/>
      <c r="E1725" s="17"/>
      <c r="F1725" s="133"/>
      <c r="G1725" s="133"/>
      <c r="H1725" s="133"/>
      <c r="I1725" s="133"/>
      <c r="J1725" s="133"/>
      <c r="K1725" s="133"/>
      <c r="L1725" s="133"/>
      <c r="M1725" s="133"/>
      <c r="N1725" s="133"/>
      <c r="O1725" s="133"/>
      <c r="P1725" s="134"/>
      <c r="Q1725" s="146"/>
      <c r="R1725" s="17"/>
      <c r="S1725" s="17"/>
      <c r="T1725" s="75"/>
      <c r="U1725" s="75"/>
      <c r="V1725" s="75"/>
      <c r="W1725" s="75"/>
      <c r="X1725" s="75"/>
    </row>
    <row r="1726">
      <c r="A1726" s="17"/>
      <c r="B1726" s="17"/>
      <c r="C1726" s="133"/>
      <c r="D1726" s="133"/>
      <c r="E1726" s="17"/>
      <c r="F1726" s="133"/>
      <c r="G1726" s="133"/>
      <c r="H1726" s="133"/>
      <c r="I1726" s="133"/>
      <c r="J1726" s="133"/>
      <c r="K1726" s="133"/>
      <c r="L1726" s="133"/>
      <c r="M1726" s="133"/>
      <c r="N1726" s="133"/>
      <c r="O1726" s="133"/>
      <c r="P1726" s="134"/>
      <c r="Q1726" s="146"/>
      <c r="R1726" s="17"/>
      <c r="S1726" s="17"/>
      <c r="T1726" s="75"/>
      <c r="U1726" s="75"/>
      <c r="V1726" s="75"/>
      <c r="W1726" s="75"/>
      <c r="X1726" s="75"/>
    </row>
    <row r="1727">
      <c r="A1727" s="17"/>
      <c r="B1727" s="17"/>
      <c r="C1727" s="133"/>
      <c r="D1727" s="133"/>
      <c r="E1727" s="17"/>
      <c r="F1727" s="133"/>
      <c r="G1727" s="133"/>
      <c r="H1727" s="133"/>
      <c r="I1727" s="133"/>
      <c r="J1727" s="133"/>
      <c r="K1727" s="133"/>
      <c r="L1727" s="133"/>
      <c r="M1727" s="133"/>
      <c r="N1727" s="133"/>
      <c r="O1727" s="133"/>
      <c r="P1727" s="134"/>
      <c r="Q1727" s="146"/>
      <c r="R1727" s="17"/>
      <c r="S1727" s="17"/>
      <c r="T1727" s="75"/>
      <c r="U1727" s="75"/>
      <c r="V1727" s="75"/>
      <c r="W1727" s="75"/>
      <c r="X1727" s="75"/>
    </row>
    <row r="1728">
      <c r="A1728" s="17"/>
      <c r="B1728" s="17"/>
      <c r="C1728" s="133"/>
      <c r="D1728" s="133"/>
      <c r="E1728" s="17"/>
      <c r="F1728" s="133"/>
      <c r="G1728" s="133"/>
      <c r="H1728" s="133"/>
      <c r="I1728" s="133"/>
      <c r="J1728" s="133"/>
      <c r="K1728" s="133"/>
      <c r="L1728" s="133"/>
      <c r="M1728" s="133"/>
      <c r="N1728" s="133"/>
      <c r="O1728" s="133"/>
      <c r="P1728" s="134"/>
      <c r="Q1728" s="146"/>
      <c r="R1728" s="17"/>
      <c r="S1728" s="17"/>
      <c r="T1728" s="75"/>
      <c r="U1728" s="75"/>
      <c r="V1728" s="75"/>
      <c r="W1728" s="75"/>
      <c r="X1728" s="75"/>
    </row>
    <row r="1729">
      <c r="A1729" s="17"/>
      <c r="B1729" s="17"/>
      <c r="C1729" s="133"/>
      <c r="D1729" s="133"/>
      <c r="E1729" s="17"/>
      <c r="F1729" s="133"/>
      <c r="G1729" s="133"/>
      <c r="H1729" s="133"/>
      <c r="I1729" s="133"/>
      <c r="J1729" s="133"/>
      <c r="K1729" s="133"/>
      <c r="L1729" s="133"/>
      <c r="M1729" s="133"/>
      <c r="N1729" s="133"/>
      <c r="O1729" s="133"/>
      <c r="P1729" s="134"/>
      <c r="Q1729" s="146"/>
      <c r="R1729" s="17"/>
      <c r="S1729" s="17"/>
      <c r="T1729" s="75"/>
      <c r="U1729" s="75"/>
      <c r="V1729" s="75"/>
      <c r="W1729" s="75"/>
      <c r="X1729" s="75"/>
    </row>
    <row r="1730">
      <c r="A1730" s="17"/>
      <c r="B1730" s="17"/>
      <c r="C1730" s="133"/>
      <c r="D1730" s="133"/>
      <c r="E1730" s="17"/>
      <c r="F1730" s="133"/>
      <c r="G1730" s="133"/>
      <c r="H1730" s="133"/>
      <c r="I1730" s="133"/>
      <c r="J1730" s="133"/>
      <c r="K1730" s="133"/>
      <c r="L1730" s="133"/>
      <c r="M1730" s="133"/>
      <c r="N1730" s="133"/>
      <c r="O1730" s="133"/>
      <c r="P1730" s="134"/>
      <c r="Q1730" s="146"/>
      <c r="R1730" s="17"/>
      <c r="S1730" s="17"/>
      <c r="T1730" s="75"/>
      <c r="U1730" s="75"/>
      <c r="V1730" s="75"/>
      <c r="W1730" s="75"/>
      <c r="X1730" s="75"/>
    </row>
    <row r="1731">
      <c r="A1731" s="17"/>
      <c r="B1731" s="17"/>
      <c r="C1731" s="133"/>
      <c r="D1731" s="133"/>
      <c r="E1731" s="17"/>
      <c r="F1731" s="133"/>
      <c r="G1731" s="133"/>
      <c r="H1731" s="133"/>
      <c r="I1731" s="133"/>
      <c r="J1731" s="133"/>
      <c r="K1731" s="133"/>
      <c r="L1731" s="133"/>
      <c r="M1731" s="133"/>
      <c r="N1731" s="133"/>
      <c r="O1731" s="133"/>
      <c r="P1731" s="134"/>
      <c r="Q1731" s="146"/>
      <c r="R1731" s="17"/>
      <c r="S1731" s="17"/>
      <c r="T1731" s="75"/>
      <c r="U1731" s="75"/>
      <c r="V1731" s="75"/>
      <c r="W1731" s="75"/>
      <c r="X1731" s="75"/>
    </row>
    <row r="1732">
      <c r="A1732" s="17"/>
      <c r="B1732" s="17"/>
      <c r="C1732" s="133"/>
      <c r="D1732" s="133"/>
      <c r="E1732" s="17"/>
      <c r="F1732" s="133"/>
      <c r="G1732" s="133"/>
      <c r="H1732" s="133"/>
      <c r="I1732" s="133"/>
      <c r="J1732" s="133"/>
      <c r="K1732" s="133"/>
      <c r="L1732" s="133"/>
      <c r="M1732" s="133"/>
      <c r="N1732" s="133"/>
      <c r="O1732" s="133"/>
      <c r="P1732" s="134"/>
      <c r="Q1732" s="146"/>
      <c r="R1732" s="17"/>
      <c r="S1732" s="17"/>
      <c r="T1732" s="75"/>
      <c r="U1732" s="75"/>
      <c r="V1732" s="75"/>
      <c r="W1732" s="75"/>
      <c r="X1732" s="75"/>
    </row>
    <row r="1733">
      <c r="A1733" s="17"/>
      <c r="B1733" s="17"/>
      <c r="C1733" s="133"/>
      <c r="D1733" s="133"/>
      <c r="E1733" s="17"/>
      <c r="F1733" s="133"/>
      <c r="G1733" s="133"/>
      <c r="H1733" s="133"/>
      <c r="I1733" s="133"/>
      <c r="J1733" s="133"/>
      <c r="K1733" s="133"/>
      <c r="L1733" s="133"/>
      <c r="M1733" s="133"/>
      <c r="N1733" s="133"/>
      <c r="O1733" s="133"/>
      <c r="P1733" s="134"/>
      <c r="Q1733" s="146"/>
      <c r="R1733" s="17"/>
      <c r="S1733" s="17"/>
      <c r="T1733" s="75"/>
      <c r="U1733" s="75"/>
      <c r="V1733" s="75"/>
      <c r="W1733" s="75"/>
      <c r="X1733" s="75"/>
    </row>
    <row r="1734">
      <c r="A1734" s="17"/>
      <c r="B1734" s="17"/>
      <c r="C1734" s="133"/>
      <c r="D1734" s="133"/>
      <c r="E1734" s="17"/>
      <c r="F1734" s="133"/>
      <c r="G1734" s="133"/>
      <c r="H1734" s="133"/>
      <c r="I1734" s="133"/>
      <c r="J1734" s="133"/>
      <c r="K1734" s="133"/>
      <c r="L1734" s="133"/>
      <c r="M1734" s="133"/>
      <c r="N1734" s="133"/>
      <c r="O1734" s="133"/>
      <c r="P1734" s="134"/>
      <c r="Q1734" s="146"/>
      <c r="R1734" s="17"/>
      <c r="S1734" s="17"/>
      <c r="T1734" s="75"/>
      <c r="U1734" s="75"/>
      <c r="V1734" s="75"/>
      <c r="W1734" s="75"/>
      <c r="X1734" s="75"/>
    </row>
    <row r="1735">
      <c r="A1735" s="17"/>
      <c r="B1735" s="17"/>
      <c r="C1735" s="133"/>
      <c r="D1735" s="133"/>
      <c r="E1735" s="17"/>
      <c r="F1735" s="133"/>
      <c r="G1735" s="133"/>
      <c r="H1735" s="133"/>
      <c r="I1735" s="133"/>
      <c r="J1735" s="133"/>
      <c r="K1735" s="133"/>
      <c r="L1735" s="133"/>
      <c r="M1735" s="133"/>
      <c r="N1735" s="133"/>
      <c r="O1735" s="133"/>
      <c r="P1735" s="134"/>
      <c r="Q1735" s="146"/>
      <c r="R1735" s="17"/>
      <c r="S1735" s="17"/>
      <c r="T1735" s="75"/>
      <c r="U1735" s="75"/>
      <c r="V1735" s="75"/>
      <c r="W1735" s="75"/>
      <c r="X1735" s="75"/>
    </row>
    <row r="1736">
      <c r="A1736" s="17"/>
      <c r="B1736" s="17"/>
      <c r="C1736" s="133"/>
      <c r="D1736" s="133"/>
      <c r="E1736" s="17"/>
      <c r="F1736" s="133"/>
      <c r="G1736" s="133"/>
      <c r="H1736" s="133"/>
      <c r="I1736" s="133"/>
      <c r="J1736" s="133"/>
      <c r="K1736" s="133"/>
      <c r="L1736" s="133"/>
      <c r="M1736" s="133"/>
      <c r="N1736" s="133"/>
      <c r="O1736" s="133"/>
      <c r="P1736" s="134"/>
      <c r="Q1736" s="146"/>
      <c r="R1736" s="17"/>
      <c r="S1736" s="17"/>
      <c r="T1736" s="75"/>
      <c r="U1736" s="75"/>
      <c r="V1736" s="75"/>
      <c r="W1736" s="75"/>
      <c r="X1736" s="75"/>
    </row>
    <row r="1737">
      <c r="A1737" s="17"/>
      <c r="B1737" s="17"/>
      <c r="C1737" s="133"/>
      <c r="D1737" s="133"/>
      <c r="E1737" s="17"/>
      <c r="F1737" s="133"/>
      <c r="G1737" s="133"/>
      <c r="H1737" s="133"/>
      <c r="I1737" s="133"/>
      <c r="J1737" s="133"/>
      <c r="K1737" s="133"/>
      <c r="L1737" s="133"/>
      <c r="M1737" s="133"/>
      <c r="N1737" s="133"/>
      <c r="O1737" s="133"/>
      <c r="P1737" s="134"/>
      <c r="Q1737" s="146"/>
      <c r="R1737" s="17"/>
      <c r="S1737" s="17"/>
      <c r="T1737" s="75"/>
      <c r="U1737" s="75"/>
      <c r="V1737" s="75"/>
      <c r="W1737" s="75"/>
      <c r="X1737" s="75"/>
    </row>
    <row r="1738">
      <c r="A1738" s="17"/>
      <c r="B1738" s="17"/>
      <c r="C1738" s="133"/>
      <c r="D1738" s="133"/>
      <c r="E1738" s="17"/>
      <c r="F1738" s="133"/>
      <c r="G1738" s="133"/>
      <c r="H1738" s="133"/>
      <c r="I1738" s="133"/>
      <c r="J1738" s="133"/>
      <c r="K1738" s="133"/>
      <c r="L1738" s="133"/>
      <c r="M1738" s="133"/>
      <c r="N1738" s="133"/>
      <c r="O1738" s="133"/>
      <c r="P1738" s="134"/>
      <c r="Q1738" s="146"/>
      <c r="R1738" s="17"/>
      <c r="S1738" s="17"/>
      <c r="T1738" s="75"/>
      <c r="U1738" s="75"/>
      <c r="V1738" s="75"/>
      <c r="W1738" s="75"/>
      <c r="X1738" s="75"/>
    </row>
    <row r="1739">
      <c r="A1739" s="17"/>
      <c r="B1739" s="17"/>
      <c r="C1739" s="133"/>
      <c r="D1739" s="133"/>
      <c r="E1739" s="17"/>
      <c r="F1739" s="133"/>
      <c r="G1739" s="133"/>
      <c r="H1739" s="133"/>
      <c r="I1739" s="133"/>
      <c r="J1739" s="133"/>
      <c r="K1739" s="133"/>
      <c r="L1739" s="133"/>
      <c r="M1739" s="133"/>
      <c r="N1739" s="133"/>
      <c r="O1739" s="133"/>
      <c r="P1739" s="134"/>
      <c r="Q1739" s="146"/>
      <c r="R1739" s="17"/>
      <c r="S1739" s="17"/>
      <c r="T1739" s="75"/>
      <c r="U1739" s="75"/>
      <c r="V1739" s="75"/>
      <c r="W1739" s="75"/>
      <c r="X1739" s="75"/>
    </row>
    <row r="1740">
      <c r="A1740" s="17"/>
      <c r="B1740" s="17"/>
      <c r="C1740" s="133"/>
      <c r="D1740" s="133"/>
      <c r="E1740" s="17"/>
      <c r="F1740" s="133"/>
      <c r="G1740" s="133"/>
      <c r="H1740" s="133"/>
      <c r="I1740" s="133"/>
      <c r="J1740" s="133"/>
      <c r="K1740" s="133"/>
      <c r="L1740" s="133"/>
      <c r="M1740" s="133"/>
      <c r="N1740" s="133"/>
      <c r="O1740" s="133"/>
      <c r="P1740" s="134"/>
      <c r="Q1740" s="146"/>
      <c r="R1740" s="17"/>
      <c r="S1740" s="17"/>
      <c r="T1740" s="75"/>
      <c r="U1740" s="75"/>
      <c r="V1740" s="75"/>
      <c r="W1740" s="75"/>
      <c r="X1740" s="75"/>
    </row>
    <row r="1741">
      <c r="A1741" s="17"/>
      <c r="B1741" s="17"/>
      <c r="C1741" s="133"/>
      <c r="D1741" s="133"/>
      <c r="E1741" s="17"/>
      <c r="F1741" s="133"/>
      <c r="G1741" s="133"/>
      <c r="H1741" s="133"/>
      <c r="I1741" s="133"/>
      <c r="J1741" s="133"/>
      <c r="K1741" s="133"/>
      <c r="L1741" s="133"/>
      <c r="M1741" s="133"/>
      <c r="N1741" s="133"/>
      <c r="O1741" s="133"/>
      <c r="P1741" s="134"/>
      <c r="Q1741" s="146"/>
      <c r="R1741" s="17"/>
      <c r="S1741" s="17"/>
      <c r="T1741" s="75"/>
      <c r="U1741" s="75"/>
      <c r="V1741" s="75"/>
      <c r="W1741" s="75"/>
      <c r="X1741" s="75"/>
    </row>
    <row r="1742">
      <c r="A1742" s="17"/>
      <c r="B1742" s="17"/>
      <c r="C1742" s="133"/>
      <c r="D1742" s="133"/>
      <c r="E1742" s="17"/>
      <c r="F1742" s="133"/>
      <c r="G1742" s="133"/>
      <c r="H1742" s="133"/>
      <c r="I1742" s="133"/>
      <c r="J1742" s="133"/>
      <c r="K1742" s="133"/>
      <c r="L1742" s="133"/>
      <c r="M1742" s="133"/>
      <c r="N1742" s="133"/>
      <c r="O1742" s="133"/>
      <c r="P1742" s="134"/>
      <c r="Q1742" s="146"/>
      <c r="R1742" s="17"/>
      <c r="S1742" s="17"/>
      <c r="T1742" s="75"/>
      <c r="U1742" s="75"/>
      <c r="V1742" s="75"/>
      <c r="W1742" s="75"/>
      <c r="X1742" s="75"/>
    </row>
    <row r="1743">
      <c r="A1743" s="17"/>
      <c r="B1743" s="17"/>
      <c r="C1743" s="133"/>
      <c r="D1743" s="133"/>
      <c r="E1743" s="17"/>
      <c r="F1743" s="133"/>
      <c r="G1743" s="133"/>
      <c r="H1743" s="133"/>
      <c r="I1743" s="133"/>
      <c r="J1743" s="133"/>
      <c r="K1743" s="133"/>
      <c r="L1743" s="133"/>
      <c r="M1743" s="133"/>
      <c r="N1743" s="133"/>
      <c r="O1743" s="133"/>
      <c r="P1743" s="134"/>
      <c r="Q1743" s="146"/>
      <c r="R1743" s="17"/>
      <c r="S1743" s="17"/>
      <c r="T1743" s="75"/>
      <c r="U1743" s="75"/>
      <c r="V1743" s="75"/>
      <c r="W1743" s="75"/>
      <c r="X1743" s="75"/>
    </row>
    <row r="1744">
      <c r="A1744" s="17"/>
      <c r="B1744" s="17"/>
      <c r="C1744" s="133"/>
      <c r="D1744" s="133"/>
      <c r="E1744" s="17"/>
      <c r="F1744" s="133"/>
      <c r="G1744" s="133"/>
      <c r="H1744" s="133"/>
      <c r="I1744" s="133"/>
      <c r="J1744" s="133"/>
      <c r="K1744" s="133"/>
      <c r="L1744" s="133"/>
      <c r="M1744" s="133"/>
      <c r="N1744" s="133"/>
      <c r="O1744" s="133"/>
      <c r="P1744" s="134"/>
      <c r="Q1744" s="146"/>
      <c r="R1744" s="17"/>
      <c r="S1744" s="17"/>
      <c r="T1744" s="75"/>
      <c r="U1744" s="75"/>
      <c r="V1744" s="75"/>
      <c r="W1744" s="75"/>
      <c r="X1744" s="75"/>
    </row>
    <row r="1745">
      <c r="A1745" s="17"/>
      <c r="B1745" s="17"/>
      <c r="C1745" s="133"/>
      <c r="D1745" s="133"/>
      <c r="E1745" s="17"/>
      <c r="F1745" s="133"/>
      <c r="G1745" s="133"/>
      <c r="H1745" s="133"/>
      <c r="I1745" s="133"/>
      <c r="J1745" s="133"/>
      <c r="K1745" s="133"/>
      <c r="L1745" s="133"/>
      <c r="M1745" s="133"/>
      <c r="N1745" s="133"/>
      <c r="O1745" s="133"/>
      <c r="P1745" s="134"/>
      <c r="Q1745" s="146"/>
      <c r="R1745" s="17"/>
      <c r="S1745" s="17"/>
      <c r="T1745" s="75"/>
      <c r="U1745" s="75"/>
      <c r="V1745" s="75"/>
      <c r="W1745" s="75"/>
      <c r="X1745" s="75"/>
    </row>
    <row r="1746">
      <c r="A1746" s="17"/>
      <c r="B1746" s="17"/>
      <c r="C1746" s="133"/>
      <c r="D1746" s="133"/>
      <c r="E1746" s="17"/>
      <c r="F1746" s="133"/>
      <c r="G1746" s="133"/>
      <c r="H1746" s="133"/>
      <c r="I1746" s="133"/>
      <c r="J1746" s="133"/>
      <c r="K1746" s="133"/>
      <c r="L1746" s="133"/>
      <c r="M1746" s="133"/>
      <c r="N1746" s="133"/>
      <c r="O1746" s="133"/>
      <c r="P1746" s="134"/>
      <c r="Q1746" s="146"/>
      <c r="R1746" s="17"/>
      <c r="S1746" s="17"/>
      <c r="T1746" s="75"/>
      <c r="U1746" s="75"/>
      <c r="V1746" s="75"/>
      <c r="W1746" s="75"/>
      <c r="X1746" s="75"/>
    </row>
    <row r="1747">
      <c r="A1747" s="17"/>
      <c r="B1747" s="17"/>
      <c r="C1747" s="133"/>
      <c r="D1747" s="133"/>
      <c r="E1747" s="17"/>
      <c r="F1747" s="133"/>
      <c r="G1747" s="133"/>
      <c r="H1747" s="133"/>
      <c r="I1747" s="133"/>
      <c r="J1747" s="133"/>
      <c r="K1747" s="133"/>
      <c r="L1747" s="133"/>
      <c r="M1747" s="133"/>
      <c r="N1747" s="133"/>
      <c r="O1747" s="133"/>
      <c r="P1747" s="134"/>
      <c r="Q1747" s="146"/>
      <c r="R1747" s="17"/>
      <c r="S1747" s="17"/>
      <c r="T1747" s="75"/>
      <c r="U1747" s="75"/>
      <c r="V1747" s="75"/>
      <c r="W1747" s="75"/>
      <c r="X1747" s="75"/>
    </row>
    <row r="1748">
      <c r="A1748" s="17"/>
      <c r="B1748" s="17"/>
      <c r="C1748" s="133"/>
      <c r="D1748" s="133"/>
      <c r="E1748" s="17"/>
      <c r="F1748" s="133"/>
      <c r="G1748" s="133"/>
      <c r="H1748" s="133"/>
      <c r="I1748" s="133"/>
      <c r="J1748" s="133"/>
      <c r="K1748" s="133"/>
      <c r="L1748" s="133"/>
      <c r="M1748" s="133"/>
      <c r="N1748" s="133"/>
      <c r="O1748" s="133"/>
      <c r="P1748" s="134"/>
      <c r="Q1748" s="146"/>
      <c r="R1748" s="17"/>
      <c r="S1748" s="17"/>
      <c r="T1748" s="75"/>
      <c r="U1748" s="75"/>
      <c r="V1748" s="75"/>
      <c r="W1748" s="75"/>
      <c r="X1748" s="75"/>
    </row>
    <row r="1749">
      <c r="A1749" s="17"/>
      <c r="B1749" s="17"/>
      <c r="C1749" s="133"/>
      <c r="D1749" s="133"/>
      <c r="E1749" s="17"/>
      <c r="F1749" s="133"/>
      <c r="G1749" s="133"/>
      <c r="H1749" s="133"/>
      <c r="I1749" s="133"/>
      <c r="J1749" s="133"/>
      <c r="K1749" s="133"/>
      <c r="L1749" s="133"/>
      <c r="M1749" s="133"/>
      <c r="N1749" s="133"/>
      <c r="O1749" s="133"/>
      <c r="P1749" s="134"/>
      <c r="Q1749" s="146"/>
      <c r="R1749" s="17"/>
      <c r="S1749" s="17"/>
      <c r="T1749" s="75"/>
      <c r="U1749" s="75"/>
      <c r="V1749" s="75"/>
      <c r="W1749" s="75"/>
      <c r="X1749" s="75"/>
    </row>
    <row r="1750">
      <c r="A1750" s="17"/>
      <c r="B1750" s="17"/>
      <c r="C1750" s="133"/>
      <c r="D1750" s="133"/>
      <c r="E1750" s="17"/>
      <c r="F1750" s="133"/>
      <c r="G1750" s="133"/>
      <c r="H1750" s="133"/>
      <c r="I1750" s="133"/>
      <c r="J1750" s="133"/>
      <c r="K1750" s="133"/>
      <c r="L1750" s="133"/>
      <c r="M1750" s="133"/>
      <c r="N1750" s="133"/>
      <c r="O1750" s="133"/>
      <c r="P1750" s="134"/>
      <c r="Q1750" s="146"/>
      <c r="R1750" s="17"/>
      <c r="S1750" s="17"/>
      <c r="T1750" s="75"/>
      <c r="U1750" s="75"/>
      <c r="V1750" s="75"/>
      <c r="W1750" s="75"/>
      <c r="X1750" s="75"/>
    </row>
    <row r="1751">
      <c r="A1751" s="17"/>
      <c r="B1751" s="17"/>
      <c r="C1751" s="133"/>
      <c r="D1751" s="133"/>
      <c r="E1751" s="17"/>
      <c r="F1751" s="133"/>
      <c r="G1751" s="133"/>
      <c r="H1751" s="133"/>
      <c r="I1751" s="133"/>
      <c r="J1751" s="133"/>
      <c r="K1751" s="133"/>
      <c r="L1751" s="133"/>
      <c r="M1751" s="133"/>
      <c r="N1751" s="133"/>
      <c r="O1751" s="133"/>
      <c r="P1751" s="134"/>
      <c r="Q1751" s="146"/>
      <c r="R1751" s="17"/>
      <c r="S1751" s="17"/>
      <c r="T1751" s="75"/>
      <c r="U1751" s="75"/>
      <c r="V1751" s="75"/>
      <c r="W1751" s="75"/>
      <c r="X1751" s="75"/>
    </row>
    <row r="1752">
      <c r="A1752" s="17"/>
      <c r="B1752" s="17"/>
      <c r="C1752" s="133"/>
      <c r="D1752" s="133"/>
      <c r="E1752" s="17"/>
      <c r="F1752" s="133"/>
      <c r="G1752" s="133"/>
      <c r="H1752" s="133"/>
      <c r="I1752" s="133"/>
      <c r="J1752" s="133"/>
      <c r="K1752" s="133"/>
      <c r="L1752" s="133"/>
      <c r="M1752" s="133"/>
      <c r="N1752" s="133"/>
      <c r="O1752" s="133"/>
      <c r="P1752" s="134"/>
      <c r="Q1752" s="146"/>
      <c r="R1752" s="17"/>
      <c r="S1752" s="17"/>
      <c r="T1752" s="75"/>
      <c r="U1752" s="75"/>
      <c r="V1752" s="75"/>
      <c r="W1752" s="75"/>
      <c r="X1752" s="75"/>
    </row>
    <row r="1753">
      <c r="A1753" s="17"/>
      <c r="B1753" s="17"/>
      <c r="C1753" s="133"/>
      <c r="D1753" s="133"/>
      <c r="E1753" s="17"/>
      <c r="F1753" s="133"/>
      <c r="G1753" s="133"/>
      <c r="H1753" s="133"/>
      <c r="I1753" s="133"/>
      <c r="J1753" s="133"/>
      <c r="K1753" s="133"/>
      <c r="L1753" s="133"/>
      <c r="M1753" s="133"/>
      <c r="N1753" s="133"/>
      <c r="O1753" s="133"/>
      <c r="P1753" s="134"/>
      <c r="Q1753" s="146"/>
      <c r="R1753" s="17"/>
      <c r="S1753" s="17"/>
      <c r="T1753" s="75"/>
      <c r="U1753" s="75"/>
      <c r="V1753" s="75"/>
      <c r="W1753" s="75"/>
      <c r="X1753" s="75"/>
    </row>
    <row r="1754">
      <c r="A1754" s="17"/>
      <c r="B1754" s="17"/>
      <c r="C1754" s="133"/>
      <c r="D1754" s="133"/>
      <c r="E1754" s="17"/>
      <c r="F1754" s="133"/>
      <c r="G1754" s="133"/>
      <c r="H1754" s="133"/>
      <c r="I1754" s="133"/>
      <c r="J1754" s="133"/>
      <c r="K1754" s="133"/>
      <c r="L1754" s="133"/>
      <c r="M1754" s="133"/>
      <c r="N1754" s="133"/>
      <c r="O1754" s="133"/>
      <c r="P1754" s="134"/>
      <c r="Q1754" s="146"/>
      <c r="R1754" s="17"/>
      <c r="S1754" s="17"/>
      <c r="T1754" s="75"/>
      <c r="U1754" s="75"/>
      <c r="V1754" s="75"/>
      <c r="W1754" s="75"/>
      <c r="X1754" s="75"/>
    </row>
    <row r="1755">
      <c r="A1755" s="17"/>
      <c r="B1755" s="17"/>
      <c r="C1755" s="133"/>
      <c r="D1755" s="133"/>
      <c r="E1755" s="17"/>
      <c r="F1755" s="133"/>
      <c r="G1755" s="133"/>
      <c r="H1755" s="133"/>
      <c r="I1755" s="133"/>
      <c r="J1755" s="133"/>
      <c r="K1755" s="133"/>
      <c r="L1755" s="133"/>
      <c r="M1755" s="133"/>
      <c r="N1755" s="133"/>
      <c r="O1755" s="133"/>
      <c r="P1755" s="134"/>
      <c r="Q1755" s="146"/>
      <c r="R1755" s="17"/>
      <c r="S1755" s="17"/>
      <c r="T1755" s="75"/>
      <c r="U1755" s="75"/>
      <c r="V1755" s="75"/>
      <c r="W1755" s="75"/>
      <c r="X1755" s="75"/>
    </row>
    <row r="1756">
      <c r="A1756" s="17"/>
      <c r="B1756" s="17"/>
      <c r="C1756" s="133"/>
      <c r="D1756" s="133"/>
      <c r="E1756" s="17"/>
      <c r="F1756" s="133"/>
      <c r="G1756" s="133"/>
      <c r="H1756" s="133"/>
      <c r="I1756" s="133"/>
      <c r="J1756" s="133"/>
      <c r="K1756" s="133"/>
      <c r="L1756" s="133"/>
      <c r="M1756" s="133"/>
      <c r="N1756" s="133"/>
      <c r="O1756" s="133"/>
      <c r="P1756" s="134"/>
      <c r="Q1756" s="146"/>
      <c r="R1756" s="17"/>
      <c r="S1756" s="17"/>
      <c r="T1756" s="75"/>
      <c r="U1756" s="75"/>
      <c r="V1756" s="75"/>
      <c r="W1756" s="75"/>
      <c r="X1756" s="75"/>
    </row>
    <row r="1757">
      <c r="A1757" s="17"/>
      <c r="B1757" s="17"/>
      <c r="C1757" s="133"/>
      <c r="D1757" s="133"/>
      <c r="E1757" s="17"/>
      <c r="F1757" s="133"/>
      <c r="G1757" s="133"/>
      <c r="H1757" s="133"/>
      <c r="I1757" s="133"/>
      <c r="J1757" s="133"/>
      <c r="K1757" s="133"/>
      <c r="L1757" s="133"/>
      <c r="M1757" s="133"/>
      <c r="N1757" s="133"/>
      <c r="O1757" s="133"/>
      <c r="P1757" s="134"/>
      <c r="Q1757" s="146"/>
      <c r="R1757" s="17"/>
      <c r="S1757" s="17"/>
      <c r="T1757" s="75"/>
      <c r="U1757" s="75"/>
      <c r="V1757" s="75"/>
      <c r="W1757" s="75"/>
      <c r="X1757" s="75"/>
    </row>
    <row r="1758">
      <c r="A1758" s="17"/>
      <c r="B1758" s="17"/>
      <c r="C1758" s="133"/>
      <c r="D1758" s="133"/>
      <c r="E1758" s="17"/>
      <c r="F1758" s="133"/>
      <c r="G1758" s="133"/>
      <c r="H1758" s="133"/>
      <c r="I1758" s="133"/>
      <c r="J1758" s="133"/>
      <c r="K1758" s="133"/>
      <c r="L1758" s="133"/>
      <c r="M1758" s="133"/>
      <c r="N1758" s="133"/>
      <c r="O1758" s="133"/>
      <c r="P1758" s="134"/>
      <c r="Q1758" s="146"/>
      <c r="R1758" s="17"/>
      <c r="S1758" s="17"/>
      <c r="T1758" s="75"/>
      <c r="U1758" s="75"/>
      <c r="V1758" s="75"/>
      <c r="W1758" s="75"/>
      <c r="X1758" s="75"/>
    </row>
    <row r="1759">
      <c r="A1759" s="17"/>
      <c r="B1759" s="17"/>
      <c r="C1759" s="133"/>
      <c r="D1759" s="133"/>
      <c r="E1759" s="17"/>
      <c r="F1759" s="133"/>
      <c r="G1759" s="133"/>
      <c r="H1759" s="133"/>
      <c r="I1759" s="133"/>
      <c r="J1759" s="133"/>
      <c r="K1759" s="133"/>
      <c r="L1759" s="133"/>
      <c r="M1759" s="133"/>
      <c r="N1759" s="133"/>
      <c r="O1759" s="133"/>
      <c r="P1759" s="134"/>
      <c r="Q1759" s="146"/>
      <c r="R1759" s="17"/>
      <c r="S1759" s="17"/>
      <c r="T1759" s="75"/>
      <c r="U1759" s="75"/>
      <c r="V1759" s="75"/>
      <c r="W1759" s="75"/>
      <c r="X1759" s="75"/>
    </row>
    <row r="1760">
      <c r="A1760" s="17"/>
      <c r="B1760" s="17"/>
      <c r="C1760" s="133"/>
      <c r="D1760" s="133"/>
      <c r="E1760" s="17"/>
      <c r="F1760" s="133"/>
      <c r="G1760" s="133"/>
      <c r="H1760" s="133"/>
      <c r="I1760" s="133"/>
      <c r="J1760" s="133"/>
      <c r="K1760" s="133"/>
      <c r="L1760" s="133"/>
      <c r="M1760" s="133"/>
      <c r="N1760" s="133"/>
      <c r="O1760" s="133"/>
      <c r="P1760" s="134"/>
      <c r="Q1760" s="146"/>
      <c r="R1760" s="17"/>
      <c r="S1760" s="17"/>
      <c r="T1760" s="75"/>
      <c r="U1760" s="75"/>
      <c r="V1760" s="75"/>
      <c r="W1760" s="75"/>
      <c r="X1760" s="75"/>
    </row>
    <row r="1761">
      <c r="A1761" s="17"/>
      <c r="B1761" s="17"/>
      <c r="C1761" s="133"/>
      <c r="D1761" s="133"/>
      <c r="E1761" s="17"/>
      <c r="F1761" s="133"/>
      <c r="G1761" s="133"/>
      <c r="H1761" s="133"/>
      <c r="I1761" s="133"/>
      <c r="J1761" s="133"/>
      <c r="K1761" s="133"/>
      <c r="L1761" s="133"/>
      <c r="M1761" s="133"/>
      <c r="N1761" s="133"/>
      <c r="O1761" s="133"/>
      <c r="P1761" s="134"/>
      <c r="Q1761" s="146"/>
      <c r="R1761" s="17"/>
      <c r="S1761" s="17"/>
      <c r="T1761" s="75"/>
      <c r="U1761" s="75"/>
      <c r="V1761" s="75"/>
      <c r="W1761" s="75"/>
      <c r="X1761" s="75"/>
    </row>
    <row r="1762">
      <c r="A1762" s="17"/>
      <c r="B1762" s="17"/>
      <c r="C1762" s="133"/>
      <c r="D1762" s="133"/>
      <c r="E1762" s="17"/>
      <c r="F1762" s="133"/>
      <c r="G1762" s="133"/>
      <c r="H1762" s="133"/>
      <c r="I1762" s="133"/>
      <c r="J1762" s="133"/>
      <c r="K1762" s="133"/>
      <c r="L1762" s="133"/>
      <c r="M1762" s="133"/>
      <c r="N1762" s="133"/>
      <c r="O1762" s="133"/>
      <c r="P1762" s="134"/>
      <c r="Q1762" s="146"/>
      <c r="R1762" s="17"/>
      <c r="S1762" s="17"/>
      <c r="T1762" s="75"/>
      <c r="U1762" s="75"/>
      <c r="V1762" s="75"/>
      <c r="W1762" s="75"/>
      <c r="X1762" s="75"/>
    </row>
    <row r="1763">
      <c r="A1763" s="17"/>
      <c r="B1763" s="17"/>
      <c r="C1763" s="133"/>
      <c r="D1763" s="133"/>
      <c r="E1763" s="17"/>
      <c r="F1763" s="133"/>
      <c r="G1763" s="133"/>
      <c r="H1763" s="133"/>
      <c r="I1763" s="133"/>
      <c r="J1763" s="133"/>
      <c r="K1763" s="133"/>
      <c r="L1763" s="133"/>
      <c r="M1763" s="133"/>
      <c r="N1763" s="133"/>
      <c r="O1763" s="133"/>
      <c r="P1763" s="134"/>
      <c r="Q1763" s="146"/>
      <c r="R1763" s="17"/>
      <c r="S1763" s="17"/>
      <c r="T1763" s="75"/>
      <c r="U1763" s="75"/>
      <c r="V1763" s="75"/>
      <c r="W1763" s="75"/>
      <c r="X1763" s="75"/>
    </row>
    <row r="1764">
      <c r="A1764" s="17"/>
      <c r="B1764" s="17"/>
      <c r="C1764" s="133"/>
      <c r="D1764" s="133"/>
      <c r="E1764" s="17"/>
      <c r="F1764" s="133"/>
      <c r="G1764" s="133"/>
      <c r="H1764" s="133"/>
      <c r="I1764" s="133"/>
      <c r="J1764" s="133"/>
      <c r="K1764" s="133"/>
      <c r="L1764" s="133"/>
      <c r="M1764" s="133"/>
      <c r="N1764" s="133"/>
      <c r="O1764" s="133"/>
      <c r="P1764" s="134"/>
      <c r="Q1764" s="146"/>
      <c r="R1764" s="17"/>
      <c r="S1764" s="17"/>
      <c r="T1764" s="75"/>
      <c r="U1764" s="75"/>
      <c r="V1764" s="75"/>
      <c r="W1764" s="75"/>
      <c r="X1764" s="75"/>
    </row>
    <row r="1765">
      <c r="A1765" s="17"/>
      <c r="B1765" s="17"/>
      <c r="C1765" s="133"/>
      <c r="D1765" s="133"/>
      <c r="E1765" s="17"/>
      <c r="F1765" s="133"/>
      <c r="G1765" s="133"/>
      <c r="H1765" s="133"/>
      <c r="I1765" s="133"/>
      <c r="J1765" s="133"/>
      <c r="K1765" s="133"/>
      <c r="L1765" s="133"/>
      <c r="M1765" s="133"/>
      <c r="N1765" s="133"/>
      <c r="O1765" s="133"/>
      <c r="P1765" s="134"/>
      <c r="Q1765" s="146"/>
      <c r="R1765" s="17"/>
      <c r="S1765" s="17"/>
      <c r="T1765" s="75"/>
      <c r="U1765" s="75"/>
      <c r="V1765" s="75"/>
      <c r="W1765" s="75"/>
      <c r="X1765" s="75"/>
    </row>
    <row r="1766">
      <c r="A1766" s="17"/>
      <c r="B1766" s="17"/>
      <c r="C1766" s="133"/>
      <c r="D1766" s="133"/>
      <c r="E1766" s="17"/>
      <c r="F1766" s="133"/>
      <c r="G1766" s="133"/>
      <c r="H1766" s="133"/>
      <c r="I1766" s="133"/>
      <c r="J1766" s="133"/>
      <c r="K1766" s="133"/>
      <c r="L1766" s="133"/>
      <c r="M1766" s="133"/>
      <c r="N1766" s="133"/>
      <c r="O1766" s="133"/>
      <c r="P1766" s="134"/>
      <c r="Q1766" s="146"/>
      <c r="R1766" s="17"/>
      <c r="S1766" s="17"/>
      <c r="T1766" s="75"/>
      <c r="U1766" s="75"/>
      <c r="V1766" s="75"/>
      <c r="W1766" s="75"/>
      <c r="X1766" s="75"/>
    </row>
    <row r="1767">
      <c r="A1767" s="17"/>
      <c r="B1767" s="17"/>
      <c r="C1767" s="133"/>
      <c r="D1767" s="133"/>
      <c r="E1767" s="17"/>
      <c r="F1767" s="133"/>
      <c r="G1767" s="133"/>
      <c r="H1767" s="133"/>
      <c r="I1767" s="133"/>
      <c r="J1767" s="133"/>
      <c r="K1767" s="133"/>
      <c r="L1767" s="133"/>
      <c r="M1767" s="133"/>
      <c r="N1767" s="133"/>
      <c r="O1767" s="133"/>
      <c r="P1767" s="134"/>
      <c r="Q1767" s="146"/>
      <c r="R1767" s="17"/>
      <c r="S1767" s="17"/>
      <c r="T1767" s="75"/>
      <c r="U1767" s="75"/>
      <c r="V1767" s="75"/>
      <c r="W1767" s="75"/>
      <c r="X1767" s="75"/>
    </row>
    <row r="1768">
      <c r="A1768" s="17"/>
      <c r="B1768" s="17"/>
      <c r="C1768" s="133"/>
      <c r="D1768" s="133"/>
      <c r="E1768" s="17"/>
      <c r="F1768" s="133"/>
      <c r="G1768" s="133"/>
      <c r="H1768" s="133"/>
      <c r="I1768" s="133"/>
      <c r="J1768" s="133"/>
      <c r="K1768" s="133"/>
      <c r="L1768" s="133"/>
      <c r="M1768" s="133"/>
      <c r="N1768" s="133"/>
      <c r="O1768" s="133"/>
      <c r="P1768" s="134"/>
      <c r="Q1768" s="146"/>
      <c r="R1768" s="17"/>
      <c r="S1768" s="17"/>
      <c r="T1768" s="75"/>
      <c r="U1768" s="75"/>
      <c r="V1768" s="75"/>
      <c r="W1768" s="75"/>
      <c r="X1768" s="75"/>
    </row>
    <row r="1769">
      <c r="A1769" s="17"/>
      <c r="B1769" s="17"/>
      <c r="C1769" s="133"/>
      <c r="D1769" s="133"/>
      <c r="E1769" s="17"/>
      <c r="F1769" s="133"/>
      <c r="G1769" s="133"/>
      <c r="H1769" s="133"/>
      <c r="I1769" s="133"/>
      <c r="J1769" s="133"/>
      <c r="K1769" s="133"/>
      <c r="L1769" s="133"/>
      <c r="M1769" s="133"/>
      <c r="N1769" s="133"/>
      <c r="O1769" s="133"/>
      <c r="P1769" s="134"/>
      <c r="Q1769" s="146"/>
      <c r="R1769" s="17"/>
      <c r="S1769" s="17"/>
      <c r="T1769" s="75"/>
      <c r="U1769" s="75"/>
      <c r="V1769" s="75"/>
      <c r="W1769" s="75"/>
      <c r="X1769" s="75"/>
    </row>
    <row r="1770">
      <c r="A1770" s="17"/>
      <c r="B1770" s="17"/>
      <c r="C1770" s="133"/>
      <c r="D1770" s="133"/>
      <c r="E1770" s="17"/>
      <c r="F1770" s="133"/>
      <c r="G1770" s="133"/>
      <c r="H1770" s="133"/>
      <c r="I1770" s="133"/>
      <c r="J1770" s="133"/>
      <c r="K1770" s="133"/>
      <c r="L1770" s="133"/>
      <c r="M1770" s="133"/>
      <c r="N1770" s="133"/>
      <c r="O1770" s="133"/>
      <c r="P1770" s="134"/>
      <c r="Q1770" s="146"/>
      <c r="R1770" s="17"/>
      <c r="S1770" s="17"/>
      <c r="T1770" s="75"/>
      <c r="U1770" s="75"/>
      <c r="V1770" s="75"/>
      <c r="W1770" s="75"/>
      <c r="X1770" s="75"/>
    </row>
    <row r="1771">
      <c r="A1771" s="17"/>
      <c r="B1771" s="17"/>
      <c r="C1771" s="133"/>
      <c r="D1771" s="133"/>
      <c r="E1771" s="17"/>
      <c r="F1771" s="133"/>
      <c r="G1771" s="133"/>
      <c r="H1771" s="133"/>
      <c r="I1771" s="133"/>
      <c r="J1771" s="133"/>
      <c r="K1771" s="133"/>
      <c r="L1771" s="133"/>
      <c r="M1771" s="133"/>
      <c r="N1771" s="133"/>
      <c r="O1771" s="133"/>
      <c r="P1771" s="134"/>
      <c r="Q1771" s="146"/>
      <c r="R1771" s="17"/>
      <c r="S1771" s="17"/>
      <c r="T1771" s="75"/>
      <c r="U1771" s="75"/>
      <c r="V1771" s="75"/>
      <c r="W1771" s="75"/>
      <c r="X1771" s="75"/>
    </row>
    <row r="1772">
      <c r="A1772" s="17"/>
      <c r="B1772" s="17"/>
      <c r="C1772" s="133"/>
      <c r="D1772" s="133"/>
      <c r="E1772" s="17"/>
      <c r="F1772" s="133"/>
      <c r="G1772" s="133"/>
      <c r="H1772" s="133"/>
      <c r="I1772" s="133"/>
      <c r="J1772" s="133"/>
      <c r="K1772" s="133"/>
      <c r="L1772" s="133"/>
      <c r="M1772" s="133"/>
      <c r="N1772" s="133"/>
      <c r="O1772" s="133"/>
      <c r="P1772" s="134"/>
      <c r="Q1772" s="146"/>
      <c r="R1772" s="17"/>
      <c r="S1772" s="17"/>
      <c r="T1772" s="75"/>
      <c r="U1772" s="75"/>
      <c r="V1772" s="75"/>
      <c r="W1772" s="75"/>
      <c r="X1772" s="75"/>
    </row>
    <row r="1773">
      <c r="A1773" s="17"/>
      <c r="B1773" s="17"/>
      <c r="C1773" s="133"/>
      <c r="D1773" s="133"/>
      <c r="E1773" s="17"/>
      <c r="F1773" s="133"/>
      <c r="G1773" s="133"/>
      <c r="H1773" s="133"/>
      <c r="I1773" s="133"/>
      <c r="J1773" s="133"/>
      <c r="K1773" s="133"/>
      <c r="L1773" s="133"/>
      <c r="M1773" s="133"/>
      <c r="N1773" s="133"/>
      <c r="O1773" s="133"/>
      <c r="P1773" s="134"/>
      <c r="Q1773" s="146"/>
      <c r="R1773" s="17"/>
      <c r="S1773" s="17"/>
      <c r="T1773" s="75"/>
      <c r="U1773" s="75"/>
      <c r="V1773" s="75"/>
      <c r="W1773" s="75"/>
      <c r="X1773" s="75"/>
    </row>
    <row r="1774">
      <c r="A1774" s="17"/>
      <c r="B1774" s="17"/>
      <c r="C1774" s="133"/>
      <c r="D1774" s="133"/>
      <c r="E1774" s="17"/>
      <c r="F1774" s="133"/>
      <c r="G1774" s="133"/>
      <c r="H1774" s="133"/>
      <c r="I1774" s="133"/>
      <c r="J1774" s="133"/>
      <c r="K1774" s="133"/>
      <c r="L1774" s="133"/>
      <c r="M1774" s="133"/>
      <c r="N1774" s="133"/>
      <c r="O1774" s="133"/>
      <c r="P1774" s="134"/>
      <c r="Q1774" s="146"/>
      <c r="R1774" s="17"/>
      <c r="S1774" s="17"/>
      <c r="T1774" s="75"/>
      <c r="U1774" s="75"/>
      <c r="V1774" s="75"/>
      <c r="W1774" s="75"/>
      <c r="X1774" s="75"/>
    </row>
    <row r="1775">
      <c r="A1775" s="17"/>
      <c r="B1775" s="17"/>
      <c r="C1775" s="133"/>
      <c r="D1775" s="133"/>
      <c r="E1775" s="17"/>
      <c r="F1775" s="133"/>
      <c r="G1775" s="133"/>
      <c r="H1775" s="133"/>
      <c r="I1775" s="133"/>
      <c r="J1775" s="133"/>
      <c r="K1775" s="133"/>
      <c r="L1775" s="133"/>
      <c r="M1775" s="133"/>
      <c r="N1775" s="133"/>
      <c r="O1775" s="133"/>
      <c r="P1775" s="134"/>
      <c r="Q1775" s="146"/>
      <c r="R1775" s="17"/>
      <c r="S1775" s="17"/>
      <c r="T1775" s="75"/>
      <c r="U1775" s="75"/>
      <c r="V1775" s="75"/>
      <c r="W1775" s="75"/>
      <c r="X1775" s="75"/>
    </row>
    <row r="1776">
      <c r="A1776" s="17"/>
      <c r="B1776" s="17"/>
      <c r="C1776" s="133"/>
      <c r="D1776" s="133"/>
      <c r="E1776" s="17"/>
      <c r="F1776" s="133"/>
      <c r="G1776" s="133"/>
      <c r="H1776" s="133"/>
      <c r="I1776" s="133"/>
      <c r="J1776" s="133"/>
      <c r="K1776" s="133"/>
      <c r="L1776" s="133"/>
      <c r="M1776" s="133"/>
      <c r="N1776" s="133"/>
      <c r="O1776" s="133"/>
      <c r="P1776" s="134"/>
      <c r="Q1776" s="146"/>
      <c r="R1776" s="17"/>
      <c r="S1776" s="17"/>
      <c r="T1776" s="75"/>
      <c r="U1776" s="75"/>
      <c r="V1776" s="75"/>
      <c r="W1776" s="75"/>
      <c r="X1776" s="75"/>
    </row>
    <row r="1777">
      <c r="A1777" s="17"/>
      <c r="B1777" s="17"/>
      <c r="C1777" s="133"/>
      <c r="D1777" s="133"/>
      <c r="E1777" s="17"/>
      <c r="F1777" s="133"/>
      <c r="G1777" s="133"/>
      <c r="H1777" s="133"/>
      <c r="I1777" s="133"/>
      <c r="J1777" s="133"/>
      <c r="K1777" s="133"/>
      <c r="L1777" s="133"/>
      <c r="M1777" s="133"/>
      <c r="N1777" s="133"/>
      <c r="O1777" s="133"/>
      <c r="P1777" s="134"/>
      <c r="Q1777" s="146"/>
      <c r="R1777" s="17"/>
      <c r="S1777" s="17"/>
      <c r="T1777" s="75"/>
      <c r="U1777" s="75"/>
      <c r="V1777" s="75"/>
      <c r="W1777" s="75"/>
      <c r="X1777" s="75"/>
    </row>
    <row r="1778">
      <c r="A1778" s="17"/>
      <c r="B1778" s="17"/>
      <c r="C1778" s="133"/>
      <c r="D1778" s="133"/>
      <c r="E1778" s="17"/>
      <c r="F1778" s="133"/>
      <c r="G1778" s="133"/>
      <c r="H1778" s="133"/>
      <c r="I1778" s="133"/>
      <c r="J1778" s="133"/>
      <c r="K1778" s="133"/>
      <c r="L1778" s="133"/>
      <c r="M1778" s="133"/>
      <c r="N1778" s="133"/>
      <c r="O1778" s="133"/>
      <c r="P1778" s="134"/>
      <c r="Q1778" s="146"/>
      <c r="R1778" s="17"/>
      <c r="S1778" s="17"/>
      <c r="T1778" s="75"/>
      <c r="U1778" s="75"/>
      <c r="V1778" s="75"/>
      <c r="W1778" s="75"/>
      <c r="X1778" s="75"/>
    </row>
    <row r="1779">
      <c r="A1779" s="17"/>
      <c r="B1779" s="17"/>
      <c r="C1779" s="133"/>
      <c r="D1779" s="133"/>
      <c r="E1779" s="17"/>
      <c r="F1779" s="133"/>
      <c r="G1779" s="133"/>
      <c r="H1779" s="133"/>
      <c r="I1779" s="133"/>
      <c r="J1779" s="133"/>
      <c r="K1779" s="133"/>
      <c r="L1779" s="133"/>
      <c r="M1779" s="133"/>
      <c r="N1779" s="133"/>
      <c r="O1779" s="133"/>
      <c r="P1779" s="134"/>
      <c r="Q1779" s="146"/>
      <c r="R1779" s="17"/>
      <c r="S1779" s="17"/>
      <c r="T1779" s="75"/>
      <c r="U1779" s="75"/>
      <c r="V1779" s="75"/>
      <c r="W1779" s="75"/>
      <c r="X1779" s="75"/>
    </row>
    <row r="1780">
      <c r="A1780" s="17"/>
      <c r="B1780" s="17"/>
      <c r="C1780" s="133"/>
      <c r="D1780" s="133"/>
      <c r="E1780" s="17"/>
      <c r="F1780" s="133"/>
      <c r="G1780" s="133"/>
      <c r="H1780" s="133"/>
      <c r="I1780" s="133"/>
      <c r="J1780" s="133"/>
      <c r="K1780" s="133"/>
      <c r="L1780" s="133"/>
      <c r="M1780" s="133"/>
      <c r="N1780" s="133"/>
      <c r="O1780" s="133"/>
      <c r="P1780" s="134"/>
      <c r="Q1780" s="146"/>
      <c r="R1780" s="17"/>
      <c r="S1780" s="17"/>
      <c r="T1780" s="75"/>
      <c r="U1780" s="75"/>
      <c r="V1780" s="75"/>
      <c r="W1780" s="75"/>
      <c r="X1780" s="75"/>
    </row>
    <row r="1781">
      <c r="A1781" s="17"/>
      <c r="B1781" s="17"/>
      <c r="C1781" s="133"/>
      <c r="D1781" s="133"/>
      <c r="E1781" s="17"/>
      <c r="F1781" s="133"/>
      <c r="G1781" s="133"/>
      <c r="H1781" s="133"/>
      <c r="I1781" s="133"/>
      <c r="J1781" s="133"/>
      <c r="K1781" s="133"/>
      <c r="L1781" s="133"/>
      <c r="M1781" s="133"/>
      <c r="N1781" s="133"/>
      <c r="O1781" s="133"/>
      <c r="P1781" s="134"/>
      <c r="Q1781" s="146"/>
      <c r="R1781" s="17"/>
      <c r="S1781" s="17"/>
      <c r="T1781" s="75"/>
      <c r="U1781" s="75"/>
      <c r="V1781" s="75"/>
      <c r="W1781" s="75"/>
      <c r="X1781" s="75"/>
    </row>
    <row r="1782">
      <c r="A1782" s="17"/>
      <c r="B1782" s="17"/>
      <c r="C1782" s="133"/>
      <c r="D1782" s="133"/>
      <c r="E1782" s="17"/>
      <c r="F1782" s="133"/>
      <c r="G1782" s="133"/>
      <c r="H1782" s="133"/>
      <c r="I1782" s="133"/>
      <c r="J1782" s="133"/>
      <c r="K1782" s="133"/>
      <c r="L1782" s="133"/>
      <c r="M1782" s="133"/>
      <c r="N1782" s="133"/>
      <c r="O1782" s="133"/>
      <c r="P1782" s="134"/>
      <c r="Q1782" s="146"/>
      <c r="R1782" s="17"/>
      <c r="S1782" s="17"/>
      <c r="T1782" s="75"/>
      <c r="U1782" s="75"/>
      <c r="V1782" s="75"/>
      <c r="W1782" s="75"/>
      <c r="X1782" s="75"/>
    </row>
    <row r="1783">
      <c r="A1783" s="17"/>
      <c r="B1783" s="17"/>
      <c r="C1783" s="133"/>
      <c r="D1783" s="133"/>
      <c r="E1783" s="17"/>
      <c r="F1783" s="133"/>
      <c r="G1783" s="133"/>
      <c r="H1783" s="133"/>
      <c r="I1783" s="133"/>
      <c r="J1783" s="133"/>
      <c r="K1783" s="133"/>
      <c r="L1783" s="133"/>
      <c r="M1783" s="133"/>
      <c r="N1783" s="133"/>
      <c r="O1783" s="133"/>
      <c r="P1783" s="134"/>
      <c r="Q1783" s="146"/>
      <c r="R1783" s="17"/>
      <c r="S1783" s="17"/>
      <c r="T1783" s="75"/>
      <c r="U1783" s="75"/>
      <c r="V1783" s="75"/>
      <c r="W1783" s="75"/>
      <c r="X1783" s="75"/>
    </row>
    <row r="1784">
      <c r="A1784" s="17"/>
      <c r="B1784" s="17"/>
      <c r="C1784" s="133"/>
      <c r="D1784" s="133"/>
      <c r="E1784" s="17"/>
      <c r="F1784" s="133"/>
      <c r="G1784" s="133"/>
      <c r="H1784" s="133"/>
      <c r="I1784" s="133"/>
      <c r="J1784" s="133"/>
      <c r="K1784" s="133"/>
      <c r="L1784" s="133"/>
      <c r="M1784" s="133"/>
      <c r="N1784" s="133"/>
      <c r="O1784" s="133"/>
      <c r="P1784" s="134"/>
      <c r="Q1784" s="146"/>
      <c r="R1784" s="17"/>
      <c r="S1784" s="17"/>
      <c r="T1784" s="75"/>
      <c r="U1784" s="75"/>
      <c r="V1784" s="75"/>
      <c r="W1784" s="75"/>
      <c r="X1784" s="75"/>
    </row>
    <row r="1785">
      <c r="A1785" s="17"/>
      <c r="B1785" s="17"/>
      <c r="C1785" s="133"/>
      <c r="D1785" s="133"/>
      <c r="E1785" s="17"/>
      <c r="F1785" s="133"/>
      <c r="G1785" s="133"/>
      <c r="H1785" s="133"/>
      <c r="I1785" s="133"/>
      <c r="J1785" s="133"/>
      <c r="K1785" s="133"/>
      <c r="L1785" s="133"/>
      <c r="M1785" s="133"/>
      <c r="N1785" s="133"/>
      <c r="O1785" s="133"/>
      <c r="P1785" s="134"/>
      <c r="Q1785" s="146"/>
      <c r="R1785" s="17"/>
      <c r="S1785" s="17"/>
      <c r="T1785" s="75"/>
      <c r="U1785" s="75"/>
      <c r="V1785" s="75"/>
      <c r="W1785" s="75"/>
      <c r="X1785" s="75"/>
    </row>
    <row r="1786">
      <c r="A1786" s="17"/>
      <c r="B1786" s="17"/>
      <c r="C1786" s="133"/>
      <c r="D1786" s="133"/>
      <c r="E1786" s="17"/>
      <c r="F1786" s="133"/>
      <c r="G1786" s="133"/>
      <c r="H1786" s="133"/>
      <c r="I1786" s="133"/>
      <c r="J1786" s="133"/>
      <c r="K1786" s="133"/>
      <c r="L1786" s="133"/>
      <c r="M1786" s="133"/>
      <c r="N1786" s="133"/>
      <c r="O1786" s="133"/>
      <c r="P1786" s="134"/>
      <c r="Q1786" s="146"/>
      <c r="R1786" s="17"/>
      <c r="S1786" s="17"/>
      <c r="T1786" s="75"/>
      <c r="U1786" s="75"/>
      <c r="V1786" s="75"/>
      <c r="W1786" s="75"/>
      <c r="X1786" s="75"/>
    </row>
    <row r="1787">
      <c r="A1787" s="17"/>
      <c r="B1787" s="17"/>
      <c r="C1787" s="133"/>
      <c r="D1787" s="133"/>
      <c r="E1787" s="17"/>
      <c r="F1787" s="133"/>
      <c r="G1787" s="133"/>
      <c r="H1787" s="133"/>
      <c r="I1787" s="133"/>
      <c r="J1787" s="133"/>
      <c r="K1787" s="133"/>
      <c r="L1787" s="133"/>
      <c r="M1787" s="133"/>
      <c r="N1787" s="133"/>
      <c r="O1787" s="133"/>
      <c r="P1787" s="134"/>
      <c r="Q1787" s="146"/>
      <c r="R1787" s="17"/>
      <c r="S1787" s="17"/>
      <c r="T1787" s="75"/>
      <c r="U1787" s="75"/>
      <c r="V1787" s="75"/>
      <c r="W1787" s="75"/>
      <c r="X1787" s="75"/>
    </row>
    <row r="1788">
      <c r="A1788" s="17"/>
      <c r="B1788" s="17"/>
      <c r="C1788" s="133"/>
      <c r="D1788" s="133"/>
      <c r="E1788" s="17"/>
      <c r="F1788" s="133"/>
      <c r="G1788" s="133"/>
      <c r="H1788" s="133"/>
      <c r="I1788" s="133"/>
      <c r="J1788" s="133"/>
      <c r="K1788" s="133"/>
      <c r="L1788" s="133"/>
      <c r="M1788" s="133"/>
      <c r="N1788" s="133"/>
      <c r="O1788" s="133"/>
      <c r="P1788" s="134"/>
      <c r="Q1788" s="146"/>
      <c r="R1788" s="17"/>
      <c r="S1788" s="17"/>
      <c r="T1788" s="75"/>
      <c r="U1788" s="75"/>
      <c r="V1788" s="75"/>
      <c r="W1788" s="75"/>
      <c r="X1788" s="75"/>
    </row>
    <row r="1789">
      <c r="A1789" s="17"/>
      <c r="B1789" s="17"/>
      <c r="C1789" s="133"/>
      <c r="D1789" s="133"/>
      <c r="E1789" s="17"/>
      <c r="F1789" s="133"/>
      <c r="G1789" s="133"/>
      <c r="H1789" s="133"/>
      <c r="I1789" s="133"/>
      <c r="J1789" s="133"/>
      <c r="K1789" s="133"/>
      <c r="L1789" s="133"/>
      <c r="M1789" s="133"/>
      <c r="N1789" s="133"/>
      <c r="O1789" s="133"/>
      <c r="P1789" s="134"/>
      <c r="Q1789" s="146"/>
      <c r="R1789" s="17"/>
      <c r="S1789" s="17"/>
      <c r="T1789" s="75"/>
      <c r="U1789" s="75"/>
      <c r="V1789" s="75"/>
      <c r="W1789" s="75"/>
      <c r="X1789" s="75"/>
    </row>
    <row r="1790">
      <c r="A1790" s="17"/>
      <c r="B1790" s="17"/>
      <c r="C1790" s="133"/>
      <c r="D1790" s="133"/>
      <c r="E1790" s="17"/>
      <c r="F1790" s="133"/>
      <c r="G1790" s="133"/>
      <c r="H1790" s="133"/>
      <c r="I1790" s="133"/>
      <c r="J1790" s="133"/>
      <c r="K1790" s="133"/>
      <c r="L1790" s="133"/>
      <c r="M1790" s="133"/>
      <c r="N1790" s="133"/>
      <c r="O1790" s="133"/>
      <c r="P1790" s="134"/>
      <c r="Q1790" s="146"/>
      <c r="R1790" s="17"/>
      <c r="S1790" s="17"/>
      <c r="T1790" s="75"/>
      <c r="U1790" s="75"/>
      <c r="V1790" s="75"/>
      <c r="W1790" s="75"/>
      <c r="X1790" s="75"/>
    </row>
    <row r="1791">
      <c r="A1791" s="17"/>
      <c r="B1791" s="17"/>
      <c r="C1791" s="133"/>
      <c r="D1791" s="133"/>
      <c r="E1791" s="17"/>
      <c r="F1791" s="133"/>
      <c r="G1791" s="133"/>
      <c r="H1791" s="133"/>
      <c r="I1791" s="133"/>
      <c r="J1791" s="133"/>
      <c r="K1791" s="133"/>
      <c r="L1791" s="133"/>
      <c r="M1791" s="133"/>
      <c r="N1791" s="133"/>
      <c r="O1791" s="133"/>
      <c r="P1791" s="134"/>
      <c r="Q1791" s="146"/>
      <c r="R1791" s="17"/>
      <c r="S1791" s="17"/>
      <c r="T1791" s="75"/>
      <c r="U1791" s="75"/>
      <c r="V1791" s="75"/>
      <c r="W1791" s="75"/>
      <c r="X1791" s="75"/>
    </row>
    <row r="1792">
      <c r="A1792" s="17"/>
      <c r="B1792" s="17"/>
      <c r="C1792" s="133"/>
      <c r="D1792" s="133"/>
      <c r="E1792" s="17"/>
      <c r="F1792" s="133"/>
      <c r="G1792" s="133"/>
      <c r="H1792" s="133"/>
      <c r="I1792" s="133"/>
      <c r="J1792" s="133"/>
      <c r="K1792" s="133"/>
      <c r="L1792" s="133"/>
      <c r="M1792" s="133"/>
      <c r="N1792" s="133"/>
      <c r="O1792" s="133"/>
      <c r="P1792" s="134"/>
      <c r="Q1792" s="146"/>
      <c r="R1792" s="17"/>
      <c r="S1792" s="17"/>
      <c r="T1792" s="75"/>
      <c r="U1792" s="75"/>
      <c r="V1792" s="75"/>
      <c r="W1792" s="75"/>
      <c r="X1792" s="75"/>
    </row>
    <row r="1793">
      <c r="A1793" s="17"/>
      <c r="B1793" s="17"/>
      <c r="C1793" s="133"/>
      <c r="D1793" s="133"/>
      <c r="E1793" s="17"/>
      <c r="F1793" s="133"/>
      <c r="G1793" s="133"/>
      <c r="H1793" s="133"/>
      <c r="I1793" s="133"/>
      <c r="J1793" s="133"/>
      <c r="K1793" s="133"/>
      <c r="L1793" s="133"/>
      <c r="M1793" s="133"/>
      <c r="N1793" s="133"/>
      <c r="O1793" s="133"/>
      <c r="P1793" s="134"/>
      <c r="Q1793" s="146"/>
      <c r="R1793" s="17"/>
      <c r="S1793" s="17"/>
      <c r="T1793" s="75"/>
      <c r="U1793" s="75"/>
      <c r="V1793" s="75"/>
      <c r="W1793" s="75"/>
      <c r="X1793" s="75"/>
    </row>
    <row r="1794">
      <c r="A1794" s="17"/>
      <c r="B1794" s="17"/>
      <c r="C1794" s="133"/>
      <c r="D1794" s="133"/>
      <c r="E1794" s="17"/>
      <c r="F1794" s="133"/>
      <c r="G1794" s="133"/>
      <c r="H1794" s="133"/>
      <c r="I1794" s="133"/>
      <c r="J1794" s="133"/>
      <c r="K1794" s="133"/>
      <c r="L1794" s="133"/>
      <c r="M1794" s="133"/>
      <c r="N1794" s="133"/>
      <c r="O1794" s="133"/>
      <c r="P1794" s="134"/>
      <c r="Q1794" s="146"/>
      <c r="R1794" s="17"/>
      <c r="S1794" s="17"/>
      <c r="T1794" s="75"/>
      <c r="U1794" s="75"/>
      <c r="V1794" s="75"/>
      <c r="W1794" s="75"/>
      <c r="X1794" s="75"/>
    </row>
    <row r="1795">
      <c r="A1795" s="17"/>
      <c r="B1795" s="17"/>
      <c r="C1795" s="133"/>
      <c r="D1795" s="133"/>
      <c r="E1795" s="17"/>
      <c r="F1795" s="133"/>
      <c r="G1795" s="133"/>
      <c r="H1795" s="133"/>
      <c r="I1795" s="133"/>
      <c r="J1795" s="133"/>
      <c r="K1795" s="133"/>
      <c r="L1795" s="133"/>
      <c r="M1795" s="133"/>
      <c r="N1795" s="133"/>
      <c r="O1795" s="133"/>
      <c r="P1795" s="134"/>
      <c r="Q1795" s="146"/>
      <c r="R1795" s="17"/>
      <c r="S1795" s="17"/>
      <c r="T1795" s="75"/>
      <c r="U1795" s="75"/>
      <c r="V1795" s="75"/>
      <c r="W1795" s="75"/>
      <c r="X1795" s="75"/>
    </row>
    <row r="1796">
      <c r="A1796" s="17"/>
      <c r="B1796" s="17"/>
      <c r="C1796" s="133"/>
      <c r="D1796" s="133"/>
      <c r="E1796" s="17"/>
      <c r="F1796" s="133"/>
      <c r="G1796" s="133"/>
      <c r="H1796" s="133"/>
      <c r="I1796" s="133"/>
      <c r="J1796" s="133"/>
      <c r="K1796" s="133"/>
      <c r="L1796" s="133"/>
      <c r="M1796" s="133"/>
      <c r="N1796" s="133"/>
      <c r="O1796" s="133"/>
      <c r="P1796" s="134"/>
      <c r="Q1796" s="146"/>
      <c r="R1796" s="17"/>
      <c r="S1796" s="17"/>
      <c r="T1796" s="75"/>
      <c r="U1796" s="75"/>
      <c r="V1796" s="75"/>
      <c r="W1796" s="75"/>
      <c r="X1796" s="75"/>
    </row>
    <row r="1797">
      <c r="A1797" s="17"/>
      <c r="B1797" s="17"/>
      <c r="C1797" s="133"/>
      <c r="D1797" s="133"/>
      <c r="E1797" s="17"/>
      <c r="F1797" s="133"/>
      <c r="G1797" s="133"/>
      <c r="H1797" s="133"/>
      <c r="I1797" s="133"/>
      <c r="J1797" s="133"/>
      <c r="K1797" s="133"/>
      <c r="L1797" s="133"/>
      <c r="M1797" s="133"/>
      <c r="N1797" s="133"/>
      <c r="O1797" s="133"/>
      <c r="P1797" s="134"/>
      <c r="Q1797" s="146"/>
      <c r="R1797" s="17"/>
      <c r="S1797" s="17"/>
      <c r="T1797" s="75"/>
      <c r="U1797" s="75"/>
      <c r="V1797" s="75"/>
      <c r="W1797" s="75"/>
      <c r="X1797" s="75"/>
    </row>
    <row r="1798">
      <c r="A1798" s="17"/>
      <c r="B1798" s="17"/>
      <c r="C1798" s="133"/>
      <c r="D1798" s="133"/>
      <c r="E1798" s="17"/>
      <c r="F1798" s="133"/>
      <c r="G1798" s="133"/>
      <c r="H1798" s="133"/>
      <c r="I1798" s="133"/>
      <c r="J1798" s="133"/>
      <c r="K1798" s="133"/>
      <c r="L1798" s="133"/>
      <c r="M1798" s="133"/>
      <c r="N1798" s="133"/>
      <c r="O1798" s="133"/>
      <c r="P1798" s="134"/>
      <c r="Q1798" s="146"/>
      <c r="R1798" s="17"/>
      <c r="S1798" s="17"/>
      <c r="T1798" s="75"/>
      <c r="U1798" s="75"/>
      <c r="V1798" s="75"/>
      <c r="W1798" s="75"/>
      <c r="X1798" s="75"/>
    </row>
    <row r="1799">
      <c r="A1799" s="17"/>
      <c r="B1799" s="17"/>
      <c r="C1799" s="133"/>
      <c r="D1799" s="133"/>
      <c r="E1799" s="17"/>
      <c r="F1799" s="133"/>
      <c r="G1799" s="133"/>
      <c r="H1799" s="133"/>
      <c r="I1799" s="133"/>
      <c r="J1799" s="133"/>
      <c r="K1799" s="133"/>
      <c r="L1799" s="133"/>
      <c r="M1799" s="133"/>
      <c r="N1799" s="133"/>
      <c r="O1799" s="133"/>
      <c r="P1799" s="134"/>
      <c r="Q1799" s="146"/>
      <c r="R1799" s="17"/>
      <c r="S1799" s="17"/>
      <c r="T1799" s="75"/>
      <c r="U1799" s="75"/>
      <c r="V1799" s="75"/>
      <c r="W1799" s="75"/>
      <c r="X1799" s="75"/>
    </row>
    <row r="1800">
      <c r="A1800" s="17"/>
      <c r="B1800" s="17"/>
      <c r="C1800" s="133"/>
      <c r="D1800" s="133"/>
      <c r="E1800" s="17"/>
      <c r="F1800" s="133"/>
      <c r="G1800" s="133"/>
      <c r="H1800" s="133"/>
      <c r="I1800" s="133"/>
      <c r="J1800" s="133"/>
      <c r="K1800" s="133"/>
      <c r="L1800" s="133"/>
      <c r="M1800" s="133"/>
      <c r="N1800" s="133"/>
      <c r="O1800" s="133"/>
      <c r="P1800" s="134"/>
      <c r="Q1800" s="146"/>
      <c r="R1800" s="17"/>
      <c r="S1800" s="17"/>
      <c r="T1800" s="75"/>
      <c r="U1800" s="75"/>
      <c r="V1800" s="75"/>
      <c r="W1800" s="75"/>
      <c r="X1800" s="75"/>
    </row>
    <row r="1801">
      <c r="A1801" s="17"/>
      <c r="B1801" s="17"/>
      <c r="C1801" s="133"/>
      <c r="D1801" s="133"/>
      <c r="E1801" s="17"/>
      <c r="F1801" s="133"/>
      <c r="G1801" s="133"/>
      <c r="H1801" s="133"/>
      <c r="I1801" s="133"/>
      <c r="J1801" s="133"/>
      <c r="K1801" s="133"/>
      <c r="L1801" s="133"/>
      <c r="M1801" s="133"/>
      <c r="N1801" s="133"/>
      <c r="O1801" s="133"/>
      <c r="P1801" s="134"/>
      <c r="Q1801" s="146"/>
      <c r="R1801" s="17"/>
      <c r="S1801" s="17"/>
      <c r="T1801" s="75"/>
      <c r="U1801" s="75"/>
      <c r="V1801" s="75"/>
      <c r="W1801" s="75"/>
      <c r="X1801" s="75"/>
    </row>
    <row r="1802">
      <c r="A1802" s="17"/>
      <c r="B1802" s="17"/>
      <c r="C1802" s="133"/>
      <c r="D1802" s="133"/>
      <c r="E1802" s="17"/>
      <c r="F1802" s="133"/>
      <c r="G1802" s="133"/>
      <c r="H1802" s="133"/>
      <c r="I1802" s="133"/>
      <c r="J1802" s="133"/>
      <c r="K1802" s="133"/>
      <c r="L1802" s="133"/>
      <c r="M1802" s="133"/>
      <c r="N1802" s="133"/>
      <c r="O1802" s="133"/>
      <c r="P1802" s="134"/>
      <c r="Q1802" s="146"/>
      <c r="R1802" s="17"/>
      <c r="S1802" s="17"/>
      <c r="T1802" s="75"/>
      <c r="U1802" s="75"/>
      <c r="V1802" s="75"/>
      <c r="W1802" s="75"/>
      <c r="X1802" s="75"/>
    </row>
    <row r="1803">
      <c r="A1803" s="17"/>
      <c r="B1803" s="17"/>
      <c r="C1803" s="133"/>
      <c r="D1803" s="133"/>
      <c r="E1803" s="17"/>
      <c r="F1803" s="133"/>
      <c r="G1803" s="133"/>
      <c r="H1803" s="133"/>
      <c r="I1803" s="133"/>
      <c r="J1803" s="133"/>
      <c r="K1803" s="133"/>
      <c r="L1803" s="133"/>
      <c r="M1803" s="133"/>
      <c r="N1803" s="133"/>
      <c r="O1803" s="133"/>
      <c r="P1803" s="134"/>
      <c r="Q1803" s="146"/>
      <c r="R1803" s="17"/>
      <c r="S1803" s="17"/>
      <c r="T1803" s="75"/>
      <c r="U1803" s="75"/>
      <c r="V1803" s="75"/>
      <c r="W1803" s="75"/>
      <c r="X1803" s="75"/>
    </row>
    <row r="1804">
      <c r="A1804" s="17"/>
      <c r="B1804" s="17"/>
      <c r="C1804" s="133"/>
      <c r="D1804" s="133"/>
      <c r="E1804" s="17"/>
      <c r="F1804" s="133"/>
      <c r="G1804" s="133"/>
      <c r="H1804" s="133"/>
      <c r="I1804" s="133"/>
      <c r="J1804" s="133"/>
      <c r="K1804" s="133"/>
      <c r="L1804" s="133"/>
      <c r="M1804" s="133"/>
      <c r="N1804" s="133"/>
      <c r="O1804" s="133"/>
      <c r="P1804" s="134"/>
      <c r="Q1804" s="146"/>
      <c r="R1804" s="17"/>
      <c r="S1804" s="17"/>
      <c r="T1804" s="75"/>
      <c r="U1804" s="75"/>
      <c r="V1804" s="75"/>
      <c r="W1804" s="75"/>
      <c r="X1804" s="75"/>
    </row>
    <row r="1805">
      <c r="A1805" s="17"/>
      <c r="B1805" s="17"/>
      <c r="C1805" s="133"/>
      <c r="D1805" s="133"/>
      <c r="E1805" s="17"/>
      <c r="F1805" s="133"/>
      <c r="G1805" s="133"/>
      <c r="H1805" s="133"/>
      <c r="I1805" s="133"/>
      <c r="J1805" s="133"/>
      <c r="K1805" s="133"/>
      <c r="L1805" s="133"/>
      <c r="M1805" s="133"/>
      <c r="N1805" s="133"/>
      <c r="O1805" s="133"/>
      <c r="P1805" s="134"/>
      <c r="Q1805" s="146"/>
      <c r="R1805" s="17"/>
      <c r="S1805" s="17"/>
      <c r="T1805" s="75"/>
      <c r="U1805" s="75"/>
      <c r="V1805" s="75"/>
      <c r="W1805" s="75"/>
      <c r="X1805" s="75"/>
    </row>
    <row r="1806">
      <c r="A1806" s="17"/>
      <c r="B1806" s="17"/>
      <c r="C1806" s="133"/>
      <c r="D1806" s="133"/>
      <c r="E1806" s="17"/>
      <c r="F1806" s="133"/>
      <c r="G1806" s="133"/>
      <c r="H1806" s="133"/>
      <c r="I1806" s="133"/>
      <c r="J1806" s="133"/>
      <c r="K1806" s="133"/>
      <c r="L1806" s="133"/>
      <c r="M1806" s="133"/>
      <c r="N1806" s="133"/>
      <c r="O1806" s="133"/>
      <c r="P1806" s="134"/>
      <c r="Q1806" s="146"/>
      <c r="R1806" s="17"/>
      <c r="S1806" s="17"/>
      <c r="T1806" s="75"/>
      <c r="U1806" s="75"/>
      <c r="V1806" s="75"/>
      <c r="W1806" s="75"/>
      <c r="X1806" s="75"/>
    </row>
    <row r="1807">
      <c r="A1807" s="17"/>
      <c r="B1807" s="17"/>
      <c r="C1807" s="133"/>
      <c r="D1807" s="133"/>
      <c r="E1807" s="17"/>
      <c r="F1807" s="133"/>
      <c r="G1807" s="133"/>
      <c r="H1807" s="133"/>
      <c r="I1807" s="133"/>
      <c r="J1807" s="133"/>
      <c r="K1807" s="133"/>
      <c r="L1807" s="133"/>
      <c r="M1807" s="133"/>
      <c r="N1807" s="133"/>
      <c r="O1807" s="133"/>
      <c r="P1807" s="134"/>
      <c r="Q1807" s="146"/>
      <c r="R1807" s="17"/>
      <c r="S1807" s="17"/>
      <c r="T1807" s="75"/>
      <c r="U1807" s="75"/>
      <c r="V1807" s="75"/>
      <c r="W1807" s="75"/>
      <c r="X1807" s="75"/>
    </row>
    <row r="1808">
      <c r="A1808" s="17"/>
      <c r="B1808" s="17"/>
      <c r="C1808" s="133"/>
      <c r="D1808" s="133"/>
      <c r="E1808" s="17"/>
      <c r="F1808" s="133"/>
      <c r="G1808" s="133"/>
      <c r="H1808" s="133"/>
      <c r="I1808" s="133"/>
      <c r="J1808" s="133"/>
      <c r="K1808" s="133"/>
      <c r="L1808" s="133"/>
      <c r="M1808" s="133"/>
      <c r="N1808" s="133"/>
      <c r="O1808" s="133"/>
      <c r="P1808" s="134"/>
      <c r="Q1808" s="146"/>
      <c r="R1808" s="17"/>
      <c r="S1808" s="17"/>
      <c r="T1808" s="75"/>
      <c r="U1808" s="75"/>
      <c r="V1808" s="75"/>
      <c r="W1808" s="75"/>
      <c r="X1808" s="75"/>
    </row>
    <row r="1809">
      <c r="A1809" s="17"/>
      <c r="B1809" s="17"/>
      <c r="C1809" s="133"/>
      <c r="D1809" s="133"/>
      <c r="E1809" s="17"/>
      <c r="F1809" s="133"/>
      <c r="G1809" s="133"/>
      <c r="H1809" s="133"/>
      <c r="I1809" s="133"/>
      <c r="J1809" s="133"/>
      <c r="K1809" s="133"/>
      <c r="L1809" s="133"/>
      <c r="M1809" s="133"/>
      <c r="N1809" s="133"/>
      <c r="O1809" s="133"/>
      <c r="P1809" s="134"/>
      <c r="Q1809" s="146"/>
      <c r="R1809" s="17"/>
      <c r="S1809" s="17"/>
      <c r="T1809" s="75"/>
      <c r="U1809" s="75"/>
      <c r="V1809" s="75"/>
      <c r="W1809" s="75"/>
      <c r="X1809" s="75"/>
    </row>
    <row r="1810">
      <c r="A1810" s="17"/>
      <c r="B1810" s="17"/>
      <c r="C1810" s="133"/>
      <c r="D1810" s="133"/>
      <c r="E1810" s="17"/>
      <c r="F1810" s="133"/>
      <c r="G1810" s="133"/>
      <c r="H1810" s="133"/>
      <c r="I1810" s="133"/>
      <c r="J1810" s="133"/>
      <c r="K1810" s="133"/>
      <c r="L1810" s="133"/>
      <c r="M1810" s="133"/>
      <c r="N1810" s="133"/>
      <c r="O1810" s="133"/>
      <c r="P1810" s="134"/>
      <c r="Q1810" s="146"/>
      <c r="R1810" s="17"/>
      <c r="S1810" s="17"/>
      <c r="T1810" s="75"/>
      <c r="U1810" s="75"/>
      <c r="V1810" s="75"/>
      <c r="W1810" s="75"/>
      <c r="X1810" s="75"/>
    </row>
    <row r="1811">
      <c r="A1811" s="17"/>
      <c r="B1811" s="17"/>
      <c r="C1811" s="133"/>
      <c r="D1811" s="133"/>
      <c r="E1811" s="17"/>
      <c r="F1811" s="133"/>
      <c r="G1811" s="133"/>
      <c r="H1811" s="133"/>
      <c r="I1811" s="133"/>
      <c r="J1811" s="133"/>
      <c r="K1811" s="133"/>
      <c r="L1811" s="133"/>
      <c r="M1811" s="133"/>
      <c r="N1811" s="133"/>
      <c r="O1811" s="133"/>
      <c r="P1811" s="134"/>
      <c r="Q1811" s="146"/>
      <c r="R1811" s="17"/>
      <c r="S1811" s="17"/>
      <c r="T1811" s="75"/>
      <c r="U1811" s="75"/>
      <c r="V1811" s="75"/>
      <c r="W1811" s="75"/>
      <c r="X1811" s="75"/>
    </row>
    <row r="1812">
      <c r="A1812" s="17"/>
      <c r="B1812" s="17"/>
      <c r="C1812" s="133"/>
      <c r="D1812" s="133"/>
      <c r="E1812" s="17"/>
      <c r="F1812" s="133"/>
      <c r="G1812" s="133"/>
      <c r="H1812" s="133"/>
      <c r="I1812" s="133"/>
      <c r="J1812" s="133"/>
      <c r="K1812" s="133"/>
      <c r="L1812" s="133"/>
      <c r="M1812" s="133"/>
      <c r="N1812" s="133"/>
      <c r="O1812" s="133"/>
      <c r="P1812" s="134"/>
      <c r="Q1812" s="146"/>
      <c r="R1812" s="17"/>
      <c r="S1812" s="17"/>
      <c r="T1812" s="75"/>
      <c r="U1812" s="75"/>
      <c r="V1812" s="75"/>
      <c r="W1812" s="75"/>
      <c r="X1812" s="75"/>
    </row>
    <row r="1813">
      <c r="A1813" s="17"/>
      <c r="B1813" s="17"/>
      <c r="C1813" s="133"/>
      <c r="D1813" s="133"/>
      <c r="E1813" s="17"/>
      <c r="F1813" s="133"/>
      <c r="G1813" s="133"/>
      <c r="H1813" s="133"/>
      <c r="I1813" s="133"/>
      <c r="J1813" s="133"/>
      <c r="K1813" s="133"/>
      <c r="L1813" s="133"/>
      <c r="M1813" s="133"/>
      <c r="N1813" s="133"/>
      <c r="O1813" s="133"/>
      <c r="P1813" s="134"/>
      <c r="Q1813" s="146"/>
      <c r="R1813" s="17"/>
      <c r="S1813" s="17"/>
      <c r="T1813" s="75"/>
      <c r="U1813" s="75"/>
      <c r="V1813" s="75"/>
      <c r="W1813" s="75"/>
      <c r="X1813" s="75"/>
    </row>
    <row r="1814">
      <c r="A1814" s="17"/>
      <c r="B1814" s="17"/>
      <c r="C1814" s="133"/>
      <c r="D1814" s="133"/>
      <c r="E1814" s="17"/>
      <c r="F1814" s="133"/>
      <c r="G1814" s="133"/>
      <c r="H1814" s="133"/>
      <c r="I1814" s="133"/>
      <c r="J1814" s="133"/>
      <c r="K1814" s="133"/>
      <c r="L1814" s="133"/>
      <c r="M1814" s="133"/>
      <c r="N1814" s="133"/>
      <c r="O1814" s="133"/>
      <c r="P1814" s="134"/>
      <c r="Q1814" s="146"/>
      <c r="R1814" s="17"/>
      <c r="S1814" s="17"/>
      <c r="T1814" s="75"/>
      <c r="U1814" s="75"/>
      <c r="V1814" s="75"/>
      <c r="W1814" s="75"/>
      <c r="X1814" s="75"/>
    </row>
    <row r="1815">
      <c r="A1815" s="17"/>
      <c r="B1815" s="17"/>
      <c r="C1815" s="133"/>
      <c r="D1815" s="133"/>
      <c r="E1815" s="17"/>
      <c r="F1815" s="133"/>
      <c r="G1815" s="133"/>
      <c r="H1815" s="133"/>
      <c r="I1815" s="133"/>
      <c r="J1815" s="133"/>
      <c r="K1815" s="133"/>
      <c r="L1815" s="133"/>
      <c r="M1815" s="133"/>
      <c r="N1815" s="133"/>
      <c r="O1815" s="133"/>
      <c r="P1815" s="134"/>
      <c r="Q1815" s="146"/>
      <c r="R1815" s="17"/>
      <c r="S1815" s="17"/>
      <c r="T1815" s="75"/>
      <c r="U1815" s="75"/>
      <c r="V1815" s="75"/>
      <c r="W1815" s="75"/>
      <c r="X1815" s="75"/>
    </row>
    <row r="1816">
      <c r="A1816" s="17"/>
      <c r="B1816" s="17"/>
      <c r="C1816" s="133"/>
      <c r="D1816" s="133"/>
      <c r="E1816" s="17"/>
      <c r="F1816" s="133"/>
      <c r="G1816" s="133"/>
      <c r="H1816" s="133"/>
      <c r="I1816" s="133"/>
      <c r="J1816" s="133"/>
      <c r="K1816" s="133"/>
      <c r="L1816" s="133"/>
      <c r="M1816" s="133"/>
      <c r="N1816" s="133"/>
      <c r="O1816" s="133"/>
      <c r="P1816" s="134"/>
      <c r="Q1816" s="146"/>
      <c r="R1816" s="17"/>
      <c r="S1816" s="17"/>
      <c r="T1816" s="75"/>
      <c r="U1816" s="75"/>
      <c r="V1816" s="75"/>
      <c r="W1816" s="75"/>
      <c r="X1816" s="75"/>
    </row>
    <row r="1817">
      <c r="A1817" s="17"/>
      <c r="B1817" s="17"/>
      <c r="C1817" s="133"/>
      <c r="D1817" s="133"/>
      <c r="E1817" s="17"/>
      <c r="F1817" s="133"/>
      <c r="G1817" s="133"/>
      <c r="H1817" s="133"/>
      <c r="I1817" s="133"/>
      <c r="J1817" s="133"/>
      <c r="K1817" s="133"/>
      <c r="L1817" s="133"/>
      <c r="M1817" s="133"/>
      <c r="N1817" s="133"/>
      <c r="O1817" s="133"/>
      <c r="P1817" s="134"/>
      <c r="Q1817" s="146"/>
      <c r="R1817" s="17"/>
      <c r="S1817" s="17"/>
      <c r="T1817" s="75"/>
      <c r="U1817" s="75"/>
      <c r="V1817" s="75"/>
      <c r="W1817" s="75"/>
      <c r="X1817" s="75"/>
    </row>
    <row r="1818">
      <c r="A1818" s="17"/>
      <c r="B1818" s="17"/>
      <c r="C1818" s="133"/>
      <c r="D1818" s="133"/>
      <c r="E1818" s="17"/>
      <c r="F1818" s="133"/>
      <c r="G1818" s="133"/>
      <c r="H1818" s="133"/>
      <c r="I1818" s="133"/>
      <c r="J1818" s="133"/>
      <c r="K1818" s="133"/>
      <c r="L1818" s="133"/>
      <c r="M1818" s="133"/>
      <c r="N1818" s="133"/>
      <c r="O1818" s="133"/>
      <c r="P1818" s="134"/>
      <c r="Q1818" s="146"/>
      <c r="R1818" s="17"/>
      <c r="S1818" s="17"/>
      <c r="T1818" s="75"/>
      <c r="U1818" s="75"/>
      <c r="V1818" s="75"/>
      <c r="W1818" s="75"/>
      <c r="X1818" s="75"/>
    </row>
    <row r="1819">
      <c r="A1819" s="17"/>
      <c r="B1819" s="17"/>
      <c r="C1819" s="133"/>
      <c r="D1819" s="133"/>
      <c r="E1819" s="17"/>
      <c r="F1819" s="133"/>
      <c r="G1819" s="133"/>
      <c r="H1819" s="133"/>
      <c r="I1819" s="133"/>
      <c r="J1819" s="133"/>
      <c r="K1819" s="133"/>
      <c r="L1819" s="133"/>
      <c r="M1819" s="133"/>
      <c r="N1819" s="133"/>
      <c r="O1819" s="133"/>
      <c r="P1819" s="134"/>
      <c r="Q1819" s="146"/>
      <c r="R1819" s="17"/>
      <c r="S1819" s="17"/>
      <c r="T1819" s="75"/>
      <c r="U1819" s="75"/>
      <c r="V1819" s="75"/>
      <c r="W1819" s="75"/>
      <c r="X1819" s="75"/>
    </row>
    <row r="1820">
      <c r="A1820" s="17"/>
      <c r="B1820" s="17"/>
      <c r="C1820" s="133"/>
      <c r="D1820" s="133"/>
      <c r="E1820" s="17"/>
      <c r="F1820" s="133"/>
      <c r="G1820" s="133"/>
      <c r="H1820" s="133"/>
      <c r="I1820" s="133"/>
      <c r="J1820" s="133"/>
      <c r="K1820" s="133"/>
      <c r="L1820" s="133"/>
      <c r="M1820" s="133"/>
      <c r="N1820" s="133"/>
      <c r="O1820" s="133"/>
      <c r="P1820" s="134"/>
      <c r="Q1820" s="146"/>
      <c r="R1820" s="17"/>
      <c r="S1820" s="17"/>
      <c r="T1820" s="75"/>
      <c r="U1820" s="75"/>
      <c r="V1820" s="75"/>
      <c r="W1820" s="75"/>
      <c r="X1820" s="75"/>
    </row>
    <row r="1821">
      <c r="A1821" s="17"/>
      <c r="B1821" s="17"/>
      <c r="C1821" s="133"/>
      <c r="D1821" s="133"/>
      <c r="E1821" s="17"/>
      <c r="F1821" s="133"/>
      <c r="G1821" s="133"/>
      <c r="H1821" s="133"/>
      <c r="I1821" s="133"/>
      <c r="J1821" s="133"/>
      <c r="K1821" s="133"/>
      <c r="L1821" s="133"/>
      <c r="M1821" s="133"/>
      <c r="N1821" s="133"/>
      <c r="O1821" s="133"/>
      <c r="P1821" s="134"/>
      <c r="Q1821" s="146"/>
      <c r="R1821" s="17"/>
      <c r="S1821" s="17"/>
      <c r="T1821" s="75"/>
      <c r="U1821" s="75"/>
      <c r="V1821" s="75"/>
      <c r="W1821" s="75"/>
      <c r="X1821" s="75"/>
    </row>
    <row r="1822">
      <c r="A1822" s="17"/>
      <c r="B1822" s="17"/>
      <c r="C1822" s="133"/>
      <c r="D1822" s="133"/>
      <c r="E1822" s="17"/>
      <c r="F1822" s="133"/>
      <c r="G1822" s="133"/>
      <c r="H1822" s="133"/>
      <c r="I1822" s="133"/>
      <c r="J1822" s="133"/>
      <c r="K1822" s="133"/>
      <c r="L1822" s="133"/>
      <c r="M1822" s="133"/>
      <c r="N1822" s="133"/>
      <c r="O1822" s="133"/>
      <c r="P1822" s="134"/>
      <c r="Q1822" s="146"/>
      <c r="R1822" s="17"/>
      <c r="S1822" s="17"/>
      <c r="T1822" s="75"/>
      <c r="U1822" s="75"/>
      <c r="V1822" s="75"/>
      <c r="W1822" s="75"/>
      <c r="X1822" s="75"/>
    </row>
    <row r="1823">
      <c r="A1823" s="17"/>
      <c r="B1823" s="17"/>
      <c r="C1823" s="133"/>
      <c r="D1823" s="133"/>
      <c r="E1823" s="17"/>
      <c r="F1823" s="133"/>
      <c r="G1823" s="133"/>
      <c r="H1823" s="133"/>
      <c r="I1823" s="133"/>
      <c r="J1823" s="133"/>
      <c r="K1823" s="133"/>
      <c r="L1823" s="133"/>
      <c r="M1823" s="133"/>
      <c r="N1823" s="133"/>
      <c r="O1823" s="133"/>
      <c r="P1823" s="134"/>
      <c r="Q1823" s="146"/>
      <c r="R1823" s="17"/>
      <c r="S1823" s="17"/>
      <c r="T1823" s="75"/>
      <c r="U1823" s="75"/>
      <c r="V1823" s="75"/>
      <c r="W1823" s="75"/>
      <c r="X1823" s="75"/>
    </row>
    <row r="1824">
      <c r="A1824" s="17"/>
      <c r="B1824" s="17"/>
      <c r="C1824" s="133"/>
      <c r="D1824" s="133"/>
      <c r="E1824" s="17"/>
      <c r="F1824" s="133"/>
      <c r="G1824" s="133"/>
      <c r="H1824" s="133"/>
      <c r="I1824" s="133"/>
      <c r="J1824" s="133"/>
      <c r="K1824" s="133"/>
      <c r="L1824" s="133"/>
      <c r="M1824" s="133"/>
      <c r="N1824" s="133"/>
      <c r="O1824" s="133"/>
      <c r="P1824" s="134"/>
      <c r="Q1824" s="146"/>
      <c r="R1824" s="17"/>
      <c r="S1824" s="17"/>
      <c r="T1824" s="75"/>
      <c r="U1824" s="75"/>
      <c r="V1824" s="75"/>
      <c r="W1824" s="75"/>
      <c r="X1824" s="75"/>
    </row>
    <row r="1825">
      <c r="A1825" s="17"/>
      <c r="B1825" s="17"/>
      <c r="C1825" s="133"/>
      <c r="D1825" s="133"/>
      <c r="E1825" s="17"/>
      <c r="F1825" s="133"/>
      <c r="G1825" s="133"/>
      <c r="H1825" s="133"/>
      <c r="I1825" s="133"/>
      <c r="J1825" s="133"/>
      <c r="K1825" s="133"/>
      <c r="L1825" s="133"/>
      <c r="M1825" s="133"/>
      <c r="N1825" s="133"/>
      <c r="O1825" s="133"/>
      <c r="P1825" s="134"/>
      <c r="Q1825" s="146"/>
      <c r="R1825" s="17"/>
      <c r="S1825" s="17"/>
      <c r="T1825" s="75"/>
      <c r="U1825" s="75"/>
      <c r="V1825" s="75"/>
      <c r="W1825" s="75"/>
      <c r="X1825" s="75"/>
    </row>
    <row r="1826">
      <c r="A1826" s="17"/>
      <c r="B1826" s="17"/>
      <c r="C1826" s="133"/>
      <c r="D1826" s="133"/>
      <c r="E1826" s="17"/>
      <c r="F1826" s="133"/>
      <c r="G1826" s="133"/>
      <c r="H1826" s="133"/>
      <c r="I1826" s="133"/>
      <c r="J1826" s="133"/>
      <c r="K1826" s="133"/>
      <c r="L1826" s="133"/>
      <c r="M1826" s="133"/>
      <c r="N1826" s="133"/>
      <c r="O1826" s="133"/>
      <c r="P1826" s="134"/>
      <c r="Q1826" s="146"/>
      <c r="R1826" s="17"/>
      <c r="S1826" s="17"/>
      <c r="T1826" s="75"/>
      <c r="U1826" s="75"/>
      <c r="V1826" s="75"/>
      <c r="W1826" s="75"/>
      <c r="X1826" s="75"/>
    </row>
    <row r="1827">
      <c r="A1827" s="17"/>
      <c r="B1827" s="17"/>
      <c r="C1827" s="133"/>
      <c r="D1827" s="133"/>
      <c r="E1827" s="17"/>
      <c r="F1827" s="133"/>
      <c r="G1827" s="133"/>
      <c r="H1827" s="133"/>
      <c r="I1827" s="133"/>
      <c r="J1827" s="133"/>
      <c r="K1827" s="133"/>
      <c r="L1827" s="133"/>
      <c r="M1827" s="133"/>
      <c r="N1827" s="133"/>
      <c r="O1827" s="133"/>
      <c r="P1827" s="134"/>
      <c r="Q1827" s="146"/>
      <c r="R1827" s="17"/>
      <c r="S1827" s="17"/>
      <c r="T1827" s="75"/>
      <c r="U1827" s="75"/>
      <c r="V1827" s="75"/>
      <c r="W1827" s="75"/>
      <c r="X1827" s="75"/>
    </row>
    <row r="1828">
      <c r="A1828" s="17"/>
      <c r="B1828" s="17"/>
      <c r="C1828" s="133"/>
      <c r="D1828" s="133"/>
      <c r="E1828" s="17"/>
      <c r="F1828" s="133"/>
      <c r="G1828" s="133"/>
      <c r="H1828" s="133"/>
      <c r="I1828" s="133"/>
      <c r="J1828" s="133"/>
      <c r="K1828" s="133"/>
      <c r="L1828" s="133"/>
      <c r="M1828" s="133"/>
      <c r="N1828" s="133"/>
      <c r="O1828" s="133"/>
      <c r="P1828" s="134"/>
      <c r="Q1828" s="146"/>
      <c r="R1828" s="17"/>
      <c r="S1828" s="17"/>
      <c r="T1828" s="75"/>
      <c r="U1828" s="75"/>
      <c r="V1828" s="75"/>
      <c r="W1828" s="75"/>
      <c r="X1828" s="75"/>
    </row>
    <row r="1829">
      <c r="A1829" s="17"/>
      <c r="B1829" s="17"/>
      <c r="C1829" s="133"/>
      <c r="D1829" s="133"/>
      <c r="E1829" s="17"/>
      <c r="F1829" s="133"/>
      <c r="G1829" s="133"/>
      <c r="H1829" s="133"/>
      <c r="I1829" s="133"/>
      <c r="J1829" s="133"/>
      <c r="K1829" s="133"/>
      <c r="L1829" s="133"/>
      <c r="M1829" s="133"/>
      <c r="N1829" s="133"/>
      <c r="O1829" s="133"/>
      <c r="P1829" s="134"/>
      <c r="Q1829" s="146"/>
      <c r="R1829" s="17"/>
      <c r="S1829" s="17"/>
      <c r="T1829" s="75"/>
      <c r="U1829" s="75"/>
      <c r="V1829" s="75"/>
      <c r="W1829" s="75"/>
      <c r="X1829" s="75"/>
    </row>
    <row r="1830">
      <c r="A1830" s="17"/>
      <c r="B1830" s="17"/>
      <c r="C1830" s="133"/>
      <c r="D1830" s="133"/>
      <c r="E1830" s="17"/>
      <c r="F1830" s="133"/>
      <c r="G1830" s="133"/>
      <c r="H1830" s="133"/>
      <c r="I1830" s="133"/>
      <c r="J1830" s="133"/>
      <c r="K1830" s="133"/>
      <c r="L1830" s="133"/>
      <c r="M1830" s="133"/>
      <c r="N1830" s="133"/>
      <c r="O1830" s="133"/>
      <c r="P1830" s="134"/>
      <c r="Q1830" s="146"/>
      <c r="R1830" s="17"/>
      <c r="S1830" s="17"/>
      <c r="T1830" s="75"/>
      <c r="U1830" s="75"/>
      <c r="V1830" s="75"/>
      <c r="W1830" s="75"/>
      <c r="X1830" s="75"/>
    </row>
    <row r="1831">
      <c r="A1831" s="17"/>
      <c r="B1831" s="17"/>
      <c r="C1831" s="133"/>
      <c r="D1831" s="133"/>
      <c r="E1831" s="17"/>
      <c r="F1831" s="133"/>
      <c r="G1831" s="133"/>
      <c r="H1831" s="133"/>
      <c r="I1831" s="133"/>
      <c r="J1831" s="133"/>
      <c r="K1831" s="133"/>
      <c r="L1831" s="133"/>
      <c r="M1831" s="133"/>
      <c r="N1831" s="133"/>
      <c r="O1831" s="133"/>
      <c r="P1831" s="134"/>
      <c r="Q1831" s="146"/>
      <c r="R1831" s="17"/>
      <c r="S1831" s="17"/>
      <c r="T1831" s="75"/>
      <c r="U1831" s="75"/>
      <c r="V1831" s="75"/>
      <c r="W1831" s="75"/>
      <c r="X1831" s="75"/>
    </row>
    <row r="1832">
      <c r="A1832" s="17"/>
      <c r="B1832" s="17"/>
      <c r="C1832" s="133"/>
      <c r="D1832" s="133"/>
      <c r="E1832" s="17"/>
      <c r="F1832" s="133"/>
      <c r="G1832" s="133"/>
      <c r="H1832" s="133"/>
      <c r="I1832" s="133"/>
      <c r="J1832" s="133"/>
      <c r="K1832" s="133"/>
      <c r="L1832" s="133"/>
      <c r="M1832" s="133"/>
      <c r="N1832" s="133"/>
      <c r="O1832" s="133"/>
      <c r="P1832" s="134"/>
      <c r="Q1832" s="146"/>
      <c r="R1832" s="17"/>
      <c r="S1832" s="17"/>
      <c r="T1832" s="75"/>
      <c r="U1832" s="75"/>
      <c r="V1832" s="75"/>
      <c r="W1832" s="75"/>
      <c r="X1832" s="75"/>
    </row>
    <row r="1833">
      <c r="A1833" s="17"/>
      <c r="B1833" s="17"/>
      <c r="C1833" s="133"/>
      <c r="D1833" s="133"/>
      <c r="E1833" s="17"/>
      <c r="F1833" s="133"/>
      <c r="G1833" s="133"/>
      <c r="H1833" s="133"/>
      <c r="I1833" s="133"/>
      <c r="J1833" s="133"/>
      <c r="K1833" s="133"/>
      <c r="L1833" s="133"/>
      <c r="M1833" s="133"/>
      <c r="N1833" s="133"/>
      <c r="O1833" s="133"/>
      <c r="P1833" s="134"/>
      <c r="Q1833" s="146"/>
      <c r="R1833" s="17"/>
      <c r="S1833" s="17"/>
      <c r="T1833" s="75"/>
      <c r="U1833" s="75"/>
      <c r="V1833" s="75"/>
      <c r="W1833" s="75"/>
      <c r="X1833" s="75"/>
    </row>
    <row r="1834">
      <c r="A1834" s="17"/>
      <c r="B1834" s="17"/>
      <c r="C1834" s="133"/>
      <c r="D1834" s="133"/>
      <c r="E1834" s="17"/>
      <c r="F1834" s="133"/>
      <c r="G1834" s="133"/>
      <c r="H1834" s="133"/>
      <c r="I1834" s="133"/>
      <c r="J1834" s="133"/>
      <c r="K1834" s="133"/>
      <c r="L1834" s="133"/>
      <c r="M1834" s="133"/>
      <c r="N1834" s="133"/>
      <c r="O1834" s="133"/>
      <c r="P1834" s="134"/>
      <c r="Q1834" s="146"/>
      <c r="R1834" s="17"/>
      <c r="S1834" s="17"/>
      <c r="T1834" s="75"/>
      <c r="U1834" s="75"/>
      <c r="V1834" s="75"/>
      <c r="W1834" s="75"/>
      <c r="X1834" s="75"/>
    </row>
    <row r="1835">
      <c r="A1835" s="17"/>
      <c r="B1835" s="17"/>
      <c r="C1835" s="133"/>
      <c r="D1835" s="133"/>
      <c r="E1835" s="17"/>
      <c r="F1835" s="133"/>
      <c r="G1835" s="133"/>
      <c r="H1835" s="133"/>
      <c r="I1835" s="133"/>
      <c r="J1835" s="133"/>
      <c r="K1835" s="133"/>
      <c r="L1835" s="133"/>
      <c r="M1835" s="133"/>
      <c r="N1835" s="133"/>
      <c r="O1835" s="133"/>
      <c r="P1835" s="134"/>
      <c r="Q1835" s="146"/>
      <c r="R1835" s="17"/>
      <c r="S1835" s="17"/>
      <c r="T1835" s="75"/>
      <c r="U1835" s="75"/>
      <c r="V1835" s="75"/>
      <c r="W1835" s="75"/>
      <c r="X1835" s="75"/>
    </row>
    <row r="1836">
      <c r="A1836" s="17"/>
      <c r="B1836" s="17"/>
      <c r="C1836" s="133"/>
      <c r="D1836" s="133"/>
      <c r="E1836" s="17"/>
      <c r="F1836" s="133"/>
      <c r="G1836" s="133"/>
      <c r="H1836" s="133"/>
      <c r="I1836" s="133"/>
      <c r="J1836" s="133"/>
      <c r="K1836" s="133"/>
      <c r="L1836" s="133"/>
      <c r="M1836" s="133"/>
      <c r="N1836" s="133"/>
      <c r="O1836" s="133"/>
      <c r="P1836" s="134"/>
      <c r="Q1836" s="146"/>
      <c r="R1836" s="17"/>
      <c r="S1836" s="17"/>
      <c r="T1836" s="75"/>
      <c r="U1836" s="75"/>
      <c r="V1836" s="75"/>
      <c r="W1836" s="75"/>
      <c r="X1836" s="75"/>
    </row>
    <row r="1837">
      <c r="A1837" s="17"/>
      <c r="B1837" s="17"/>
      <c r="C1837" s="133"/>
      <c r="D1837" s="133"/>
      <c r="E1837" s="17"/>
      <c r="F1837" s="133"/>
      <c r="G1837" s="133"/>
      <c r="H1837" s="133"/>
      <c r="I1837" s="133"/>
      <c r="J1837" s="133"/>
      <c r="K1837" s="133"/>
      <c r="L1837" s="133"/>
      <c r="M1837" s="133"/>
      <c r="N1837" s="133"/>
      <c r="O1837" s="133"/>
      <c r="P1837" s="134"/>
      <c r="Q1837" s="146"/>
      <c r="R1837" s="17"/>
      <c r="S1837" s="17"/>
      <c r="T1837" s="75"/>
      <c r="U1837" s="75"/>
      <c r="V1837" s="75"/>
      <c r="W1837" s="75"/>
      <c r="X1837" s="75"/>
    </row>
    <row r="1838">
      <c r="A1838" s="17"/>
      <c r="B1838" s="17"/>
      <c r="C1838" s="133"/>
      <c r="D1838" s="133"/>
      <c r="E1838" s="17"/>
      <c r="F1838" s="133"/>
      <c r="G1838" s="133"/>
      <c r="H1838" s="133"/>
      <c r="I1838" s="133"/>
      <c r="J1838" s="133"/>
      <c r="K1838" s="133"/>
      <c r="L1838" s="133"/>
      <c r="M1838" s="133"/>
      <c r="N1838" s="133"/>
      <c r="O1838" s="133"/>
      <c r="P1838" s="134"/>
      <c r="Q1838" s="146"/>
      <c r="R1838" s="17"/>
      <c r="S1838" s="17"/>
      <c r="T1838" s="75"/>
      <c r="U1838" s="75"/>
      <c r="V1838" s="75"/>
      <c r="W1838" s="75"/>
      <c r="X1838" s="75"/>
    </row>
    <row r="1839">
      <c r="A1839" s="17"/>
      <c r="B1839" s="17"/>
      <c r="C1839" s="133"/>
      <c r="D1839" s="133"/>
      <c r="E1839" s="17"/>
      <c r="F1839" s="133"/>
      <c r="G1839" s="133"/>
      <c r="H1839" s="133"/>
      <c r="I1839" s="133"/>
      <c r="J1839" s="133"/>
      <c r="K1839" s="133"/>
      <c r="L1839" s="133"/>
      <c r="M1839" s="133"/>
      <c r="N1839" s="133"/>
      <c r="O1839" s="133"/>
      <c r="P1839" s="134"/>
      <c r="Q1839" s="146"/>
      <c r="R1839" s="17"/>
      <c r="S1839" s="17"/>
      <c r="T1839" s="75"/>
      <c r="U1839" s="75"/>
      <c r="V1839" s="75"/>
      <c r="W1839" s="75"/>
      <c r="X1839" s="75"/>
    </row>
    <row r="1840">
      <c r="A1840" s="17"/>
      <c r="B1840" s="17"/>
      <c r="C1840" s="133"/>
      <c r="D1840" s="133"/>
      <c r="E1840" s="17"/>
      <c r="F1840" s="133"/>
      <c r="G1840" s="133"/>
      <c r="H1840" s="133"/>
      <c r="I1840" s="133"/>
      <c r="J1840" s="133"/>
      <c r="K1840" s="133"/>
      <c r="L1840" s="133"/>
      <c r="M1840" s="133"/>
      <c r="N1840" s="133"/>
      <c r="O1840" s="133"/>
      <c r="P1840" s="134"/>
      <c r="Q1840" s="146"/>
      <c r="R1840" s="17"/>
      <c r="S1840" s="17"/>
      <c r="T1840" s="75"/>
      <c r="U1840" s="75"/>
      <c r="V1840" s="75"/>
      <c r="W1840" s="75"/>
      <c r="X1840" s="75"/>
    </row>
    <row r="1841">
      <c r="A1841" s="17"/>
      <c r="B1841" s="17"/>
      <c r="C1841" s="133"/>
      <c r="D1841" s="133"/>
      <c r="E1841" s="17"/>
      <c r="F1841" s="133"/>
      <c r="G1841" s="133"/>
      <c r="H1841" s="133"/>
      <c r="I1841" s="133"/>
      <c r="J1841" s="133"/>
      <c r="K1841" s="133"/>
      <c r="L1841" s="133"/>
      <c r="M1841" s="133"/>
      <c r="N1841" s="133"/>
      <c r="O1841" s="133"/>
      <c r="P1841" s="134"/>
      <c r="Q1841" s="146"/>
      <c r="R1841" s="17"/>
      <c r="S1841" s="17"/>
      <c r="T1841" s="75"/>
      <c r="U1841" s="75"/>
      <c r="V1841" s="75"/>
      <c r="W1841" s="75"/>
      <c r="X1841" s="75"/>
    </row>
    <row r="1842">
      <c r="A1842" s="17"/>
      <c r="B1842" s="17"/>
      <c r="C1842" s="133"/>
      <c r="D1842" s="133"/>
      <c r="E1842" s="17"/>
      <c r="F1842" s="133"/>
      <c r="G1842" s="133"/>
      <c r="H1842" s="133"/>
      <c r="I1842" s="133"/>
      <c r="J1842" s="133"/>
      <c r="K1842" s="133"/>
      <c r="L1842" s="133"/>
      <c r="M1842" s="133"/>
      <c r="N1842" s="133"/>
      <c r="O1842" s="133"/>
      <c r="P1842" s="134"/>
      <c r="Q1842" s="146"/>
      <c r="R1842" s="17"/>
      <c r="S1842" s="17"/>
      <c r="T1842" s="75"/>
      <c r="U1842" s="75"/>
      <c r="V1842" s="75"/>
      <c r="W1842" s="75"/>
      <c r="X1842" s="75"/>
    </row>
    <row r="1843">
      <c r="A1843" s="17"/>
      <c r="B1843" s="17"/>
      <c r="C1843" s="133"/>
      <c r="D1843" s="133"/>
      <c r="E1843" s="17"/>
      <c r="F1843" s="133"/>
      <c r="G1843" s="133"/>
      <c r="H1843" s="133"/>
      <c r="I1843" s="133"/>
      <c r="J1843" s="133"/>
      <c r="K1843" s="133"/>
      <c r="L1843" s="133"/>
      <c r="M1843" s="133"/>
      <c r="N1843" s="133"/>
      <c r="O1843" s="133"/>
      <c r="P1843" s="134"/>
      <c r="Q1843" s="146"/>
      <c r="R1843" s="17"/>
      <c r="S1843" s="17"/>
      <c r="T1843" s="75"/>
      <c r="U1843" s="75"/>
      <c r="V1843" s="75"/>
      <c r="W1843" s="75"/>
      <c r="X1843" s="75"/>
    </row>
    <row r="1844">
      <c r="A1844" s="17"/>
      <c r="B1844" s="17"/>
      <c r="C1844" s="133"/>
      <c r="D1844" s="133"/>
      <c r="E1844" s="17"/>
      <c r="F1844" s="133"/>
      <c r="G1844" s="133"/>
      <c r="H1844" s="133"/>
      <c r="I1844" s="133"/>
      <c r="J1844" s="133"/>
      <c r="K1844" s="133"/>
      <c r="L1844" s="133"/>
      <c r="M1844" s="133"/>
      <c r="N1844" s="133"/>
      <c r="O1844" s="133"/>
      <c r="P1844" s="134"/>
      <c r="Q1844" s="146"/>
      <c r="R1844" s="17"/>
      <c r="S1844" s="17"/>
      <c r="T1844" s="75"/>
      <c r="U1844" s="75"/>
      <c r="V1844" s="75"/>
      <c r="W1844" s="75"/>
      <c r="X1844" s="75"/>
    </row>
    <row r="1845">
      <c r="A1845" s="17"/>
      <c r="B1845" s="17"/>
      <c r="C1845" s="133"/>
      <c r="D1845" s="133"/>
      <c r="E1845" s="17"/>
      <c r="F1845" s="133"/>
      <c r="G1845" s="133"/>
      <c r="H1845" s="133"/>
      <c r="I1845" s="133"/>
      <c r="J1845" s="133"/>
      <c r="K1845" s="133"/>
      <c r="L1845" s="133"/>
      <c r="M1845" s="133"/>
      <c r="N1845" s="133"/>
      <c r="O1845" s="133"/>
      <c r="P1845" s="134"/>
      <c r="Q1845" s="146"/>
      <c r="R1845" s="17"/>
      <c r="S1845" s="17"/>
      <c r="T1845" s="75"/>
      <c r="U1845" s="75"/>
      <c r="V1845" s="75"/>
      <c r="W1845" s="75"/>
      <c r="X1845" s="75"/>
    </row>
    <row r="1846">
      <c r="A1846" s="17"/>
      <c r="B1846" s="17"/>
      <c r="C1846" s="133"/>
      <c r="D1846" s="133"/>
      <c r="E1846" s="17"/>
      <c r="F1846" s="133"/>
      <c r="G1846" s="133"/>
      <c r="H1846" s="133"/>
      <c r="I1846" s="133"/>
      <c r="J1846" s="133"/>
      <c r="K1846" s="133"/>
      <c r="L1846" s="133"/>
      <c r="M1846" s="133"/>
      <c r="N1846" s="133"/>
      <c r="O1846" s="133"/>
      <c r="P1846" s="134"/>
      <c r="Q1846" s="146"/>
      <c r="R1846" s="17"/>
      <c r="S1846" s="17"/>
      <c r="T1846" s="75"/>
      <c r="U1846" s="75"/>
      <c r="V1846" s="75"/>
      <c r="W1846" s="75"/>
      <c r="X1846" s="75"/>
    </row>
    <row r="1847">
      <c r="A1847" s="17"/>
      <c r="B1847" s="17"/>
      <c r="C1847" s="133"/>
      <c r="D1847" s="133"/>
      <c r="E1847" s="17"/>
      <c r="F1847" s="133"/>
      <c r="G1847" s="133"/>
      <c r="H1847" s="133"/>
      <c r="I1847" s="133"/>
      <c r="J1847" s="133"/>
      <c r="K1847" s="133"/>
      <c r="L1847" s="133"/>
      <c r="M1847" s="133"/>
      <c r="N1847" s="133"/>
      <c r="O1847" s="133"/>
      <c r="P1847" s="134"/>
      <c r="Q1847" s="146"/>
      <c r="R1847" s="17"/>
      <c r="S1847" s="17"/>
      <c r="T1847" s="75"/>
      <c r="U1847" s="75"/>
      <c r="V1847" s="75"/>
      <c r="W1847" s="75"/>
      <c r="X1847" s="75"/>
    </row>
    <row r="1848">
      <c r="A1848" s="17"/>
      <c r="B1848" s="17"/>
      <c r="C1848" s="133"/>
      <c r="D1848" s="133"/>
      <c r="E1848" s="17"/>
      <c r="F1848" s="133"/>
      <c r="G1848" s="133"/>
      <c r="H1848" s="133"/>
      <c r="I1848" s="133"/>
      <c r="J1848" s="133"/>
      <c r="K1848" s="133"/>
      <c r="L1848" s="133"/>
      <c r="M1848" s="133"/>
      <c r="N1848" s="133"/>
      <c r="O1848" s="133"/>
      <c r="P1848" s="134"/>
      <c r="Q1848" s="146"/>
      <c r="R1848" s="17"/>
      <c r="S1848" s="17"/>
      <c r="T1848" s="75"/>
      <c r="U1848" s="75"/>
      <c r="V1848" s="75"/>
      <c r="W1848" s="75"/>
      <c r="X1848" s="75"/>
    </row>
    <row r="1849">
      <c r="A1849" s="17"/>
      <c r="B1849" s="17"/>
      <c r="C1849" s="133"/>
      <c r="D1849" s="133"/>
      <c r="E1849" s="17"/>
      <c r="F1849" s="133"/>
      <c r="G1849" s="133"/>
      <c r="H1849" s="133"/>
      <c r="I1849" s="133"/>
      <c r="J1849" s="133"/>
      <c r="K1849" s="133"/>
      <c r="L1849" s="133"/>
      <c r="M1849" s="133"/>
      <c r="N1849" s="133"/>
      <c r="O1849" s="133"/>
      <c r="P1849" s="134"/>
      <c r="Q1849" s="146"/>
      <c r="R1849" s="17"/>
      <c r="S1849" s="17"/>
      <c r="T1849" s="75"/>
      <c r="U1849" s="75"/>
      <c r="V1849" s="75"/>
      <c r="W1849" s="75"/>
      <c r="X1849" s="75"/>
    </row>
    <row r="1850">
      <c r="A1850" s="17"/>
      <c r="B1850" s="17"/>
      <c r="C1850" s="133"/>
      <c r="D1850" s="133"/>
      <c r="E1850" s="17"/>
      <c r="F1850" s="133"/>
      <c r="G1850" s="133"/>
      <c r="H1850" s="133"/>
      <c r="I1850" s="133"/>
      <c r="J1850" s="133"/>
      <c r="K1850" s="133"/>
      <c r="L1850" s="133"/>
      <c r="M1850" s="133"/>
      <c r="N1850" s="133"/>
      <c r="O1850" s="133"/>
      <c r="P1850" s="134"/>
      <c r="Q1850" s="146"/>
      <c r="R1850" s="17"/>
      <c r="S1850" s="17"/>
      <c r="T1850" s="75"/>
      <c r="U1850" s="75"/>
      <c r="V1850" s="75"/>
      <c r="W1850" s="75"/>
      <c r="X1850" s="75"/>
    </row>
    <row r="1851">
      <c r="A1851" s="17"/>
      <c r="B1851" s="17"/>
      <c r="C1851" s="133"/>
      <c r="D1851" s="133"/>
      <c r="E1851" s="17"/>
      <c r="F1851" s="133"/>
      <c r="G1851" s="133"/>
      <c r="H1851" s="133"/>
      <c r="I1851" s="133"/>
      <c r="J1851" s="133"/>
      <c r="K1851" s="133"/>
      <c r="L1851" s="133"/>
      <c r="M1851" s="133"/>
      <c r="N1851" s="133"/>
      <c r="O1851" s="133"/>
      <c r="P1851" s="134"/>
      <c r="Q1851" s="146"/>
      <c r="R1851" s="17"/>
      <c r="S1851" s="17"/>
      <c r="T1851" s="75"/>
      <c r="U1851" s="75"/>
      <c r="V1851" s="75"/>
      <c r="W1851" s="75"/>
      <c r="X1851" s="75"/>
    </row>
    <row r="1852">
      <c r="A1852" s="17"/>
      <c r="B1852" s="17"/>
      <c r="C1852" s="133"/>
      <c r="D1852" s="133"/>
      <c r="E1852" s="17"/>
      <c r="F1852" s="133"/>
      <c r="G1852" s="133"/>
      <c r="H1852" s="133"/>
      <c r="I1852" s="133"/>
      <c r="J1852" s="133"/>
      <c r="K1852" s="133"/>
      <c r="L1852" s="133"/>
      <c r="M1852" s="133"/>
      <c r="N1852" s="133"/>
      <c r="O1852" s="133"/>
      <c r="P1852" s="134"/>
      <c r="Q1852" s="146"/>
      <c r="R1852" s="17"/>
      <c r="S1852" s="17"/>
      <c r="T1852" s="75"/>
      <c r="U1852" s="75"/>
      <c r="V1852" s="75"/>
      <c r="W1852" s="75"/>
      <c r="X1852" s="75"/>
    </row>
    <row r="1853">
      <c r="A1853" s="17"/>
      <c r="B1853" s="17"/>
      <c r="C1853" s="133"/>
      <c r="D1853" s="133"/>
      <c r="E1853" s="17"/>
      <c r="F1853" s="133"/>
      <c r="G1853" s="133"/>
      <c r="H1853" s="133"/>
      <c r="I1853" s="133"/>
      <c r="J1853" s="133"/>
      <c r="K1853" s="133"/>
      <c r="L1853" s="133"/>
      <c r="M1853" s="133"/>
      <c r="N1853" s="133"/>
      <c r="O1853" s="133"/>
      <c r="P1853" s="134"/>
      <c r="Q1853" s="146"/>
      <c r="R1853" s="17"/>
      <c r="S1853" s="17"/>
      <c r="T1853" s="75"/>
      <c r="U1853" s="75"/>
      <c r="V1853" s="75"/>
      <c r="W1853" s="75"/>
      <c r="X1853" s="75"/>
    </row>
    <row r="1854">
      <c r="A1854" s="17"/>
      <c r="B1854" s="17"/>
      <c r="C1854" s="133"/>
      <c r="D1854" s="133"/>
      <c r="E1854" s="17"/>
      <c r="F1854" s="133"/>
      <c r="G1854" s="133"/>
      <c r="H1854" s="133"/>
      <c r="I1854" s="133"/>
      <c r="J1854" s="133"/>
      <c r="K1854" s="133"/>
      <c r="L1854" s="133"/>
      <c r="M1854" s="133"/>
      <c r="N1854" s="133"/>
      <c r="O1854" s="133"/>
      <c r="P1854" s="134"/>
      <c r="Q1854" s="146"/>
      <c r="R1854" s="17"/>
      <c r="S1854" s="17"/>
      <c r="T1854" s="75"/>
      <c r="U1854" s="75"/>
      <c r="V1854" s="75"/>
      <c r="W1854" s="75"/>
      <c r="X1854" s="75"/>
    </row>
    <row r="1855">
      <c r="A1855" s="17"/>
      <c r="B1855" s="17"/>
      <c r="C1855" s="133"/>
      <c r="D1855" s="133"/>
      <c r="E1855" s="17"/>
      <c r="F1855" s="133"/>
      <c r="G1855" s="133"/>
      <c r="H1855" s="133"/>
      <c r="I1855" s="133"/>
      <c r="J1855" s="133"/>
      <c r="K1855" s="133"/>
      <c r="L1855" s="133"/>
      <c r="M1855" s="133"/>
      <c r="N1855" s="133"/>
      <c r="O1855" s="133"/>
      <c r="P1855" s="134"/>
      <c r="Q1855" s="146"/>
      <c r="R1855" s="17"/>
      <c r="S1855" s="17"/>
      <c r="T1855" s="75"/>
      <c r="U1855" s="75"/>
      <c r="V1855" s="75"/>
      <c r="W1855" s="75"/>
      <c r="X1855" s="75"/>
    </row>
    <row r="1856">
      <c r="A1856" s="17"/>
      <c r="B1856" s="17"/>
      <c r="C1856" s="133"/>
      <c r="D1856" s="133"/>
      <c r="E1856" s="17"/>
      <c r="F1856" s="133"/>
      <c r="G1856" s="133"/>
      <c r="H1856" s="133"/>
      <c r="I1856" s="133"/>
      <c r="J1856" s="133"/>
      <c r="K1856" s="133"/>
      <c r="L1856" s="133"/>
      <c r="M1856" s="133"/>
      <c r="N1856" s="133"/>
      <c r="O1856" s="133"/>
      <c r="P1856" s="134"/>
      <c r="Q1856" s="146"/>
      <c r="R1856" s="17"/>
      <c r="S1856" s="17"/>
      <c r="T1856" s="75"/>
      <c r="U1856" s="75"/>
      <c r="V1856" s="75"/>
      <c r="W1856" s="75"/>
      <c r="X1856" s="75"/>
    </row>
    <row r="1857">
      <c r="A1857" s="17"/>
      <c r="B1857" s="17"/>
      <c r="C1857" s="133"/>
      <c r="D1857" s="133"/>
      <c r="E1857" s="17"/>
      <c r="F1857" s="133"/>
      <c r="G1857" s="133"/>
      <c r="H1857" s="133"/>
      <c r="I1857" s="133"/>
      <c r="J1857" s="133"/>
      <c r="K1857" s="133"/>
      <c r="L1857" s="133"/>
      <c r="M1857" s="133"/>
      <c r="N1857" s="133"/>
      <c r="O1857" s="133"/>
      <c r="P1857" s="134"/>
      <c r="Q1857" s="146"/>
      <c r="R1857" s="17"/>
      <c r="S1857" s="17"/>
      <c r="T1857" s="75"/>
      <c r="U1857" s="75"/>
      <c r="V1857" s="75"/>
      <c r="W1857" s="75"/>
      <c r="X1857" s="75"/>
    </row>
    <row r="1858">
      <c r="A1858" s="17"/>
      <c r="B1858" s="17"/>
      <c r="C1858" s="133"/>
      <c r="D1858" s="133"/>
      <c r="E1858" s="17"/>
      <c r="F1858" s="133"/>
      <c r="G1858" s="133"/>
      <c r="H1858" s="133"/>
      <c r="I1858" s="133"/>
      <c r="J1858" s="133"/>
      <c r="K1858" s="133"/>
      <c r="L1858" s="133"/>
      <c r="M1858" s="133"/>
      <c r="N1858" s="133"/>
      <c r="O1858" s="133"/>
      <c r="P1858" s="134"/>
      <c r="Q1858" s="146"/>
      <c r="R1858" s="17"/>
      <c r="S1858" s="17"/>
      <c r="T1858" s="75"/>
      <c r="U1858" s="75"/>
      <c r="V1858" s="75"/>
      <c r="W1858" s="75"/>
      <c r="X1858" s="75"/>
    </row>
    <row r="1859">
      <c r="A1859" s="17"/>
      <c r="B1859" s="17"/>
      <c r="C1859" s="133"/>
      <c r="D1859" s="133"/>
      <c r="E1859" s="17"/>
      <c r="F1859" s="133"/>
      <c r="G1859" s="133"/>
      <c r="H1859" s="133"/>
      <c r="I1859" s="133"/>
      <c r="J1859" s="133"/>
      <c r="K1859" s="133"/>
      <c r="L1859" s="133"/>
      <c r="M1859" s="133"/>
      <c r="N1859" s="133"/>
      <c r="O1859" s="133"/>
      <c r="P1859" s="134"/>
      <c r="Q1859" s="146"/>
      <c r="R1859" s="17"/>
      <c r="S1859" s="17"/>
      <c r="T1859" s="75"/>
      <c r="U1859" s="75"/>
      <c r="V1859" s="75"/>
      <c r="W1859" s="75"/>
      <c r="X1859" s="75"/>
    </row>
    <row r="1860">
      <c r="A1860" s="17"/>
      <c r="B1860" s="17"/>
      <c r="C1860" s="133"/>
      <c r="D1860" s="133"/>
      <c r="E1860" s="17"/>
      <c r="F1860" s="133"/>
      <c r="G1860" s="133"/>
      <c r="H1860" s="133"/>
      <c r="I1860" s="133"/>
      <c r="J1860" s="133"/>
      <c r="K1860" s="133"/>
      <c r="L1860" s="133"/>
      <c r="M1860" s="133"/>
      <c r="N1860" s="133"/>
      <c r="O1860" s="133"/>
      <c r="P1860" s="134"/>
      <c r="Q1860" s="146"/>
      <c r="R1860" s="17"/>
      <c r="S1860" s="17"/>
      <c r="T1860" s="75"/>
      <c r="U1860" s="75"/>
      <c r="V1860" s="75"/>
      <c r="W1860" s="75"/>
      <c r="X1860" s="75"/>
    </row>
    <row r="1861">
      <c r="A1861" s="17"/>
      <c r="B1861" s="17"/>
      <c r="C1861" s="133"/>
      <c r="D1861" s="133"/>
      <c r="E1861" s="17"/>
      <c r="F1861" s="133"/>
      <c r="G1861" s="133"/>
      <c r="H1861" s="133"/>
      <c r="I1861" s="133"/>
      <c r="J1861" s="133"/>
      <c r="K1861" s="133"/>
      <c r="L1861" s="133"/>
      <c r="M1861" s="133"/>
      <c r="N1861" s="133"/>
      <c r="O1861" s="133"/>
      <c r="P1861" s="134"/>
      <c r="Q1861" s="146"/>
      <c r="R1861" s="17"/>
      <c r="S1861" s="17"/>
      <c r="T1861" s="75"/>
      <c r="U1861" s="75"/>
      <c r="V1861" s="75"/>
      <c r="W1861" s="75"/>
      <c r="X1861" s="75"/>
    </row>
    <row r="1862">
      <c r="A1862" s="17"/>
      <c r="B1862" s="17"/>
      <c r="C1862" s="133"/>
      <c r="D1862" s="133"/>
      <c r="E1862" s="17"/>
      <c r="F1862" s="133"/>
      <c r="G1862" s="133"/>
      <c r="H1862" s="133"/>
      <c r="I1862" s="133"/>
      <c r="J1862" s="133"/>
      <c r="K1862" s="133"/>
      <c r="L1862" s="133"/>
      <c r="M1862" s="133"/>
      <c r="N1862" s="133"/>
      <c r="O1862" s="133"/>
      <c r="P1862" s="134"/>
      <c r="Q1862" s="146"/>
      <c r="R1862" s="17"/>
      <c r="S1862" s="17"/>
      <c r="T1862" s="75"/>
      <c r="U1862" s="75"/>
      <c r="V1862" s="75"/>
      <c r="W1862" s="75"/>
      <c r="X1862" s="75"/>
    </row>
    <row r="1863">
      <c r="A1863" s="17"/>
      <c r="B1863" s="17"/>
      <c r="C1863" s="133"/>
      <c r="D1863" s="133"/>
      <c r="E1863" s="17"/>
      <c r="F1863" s="133"/>
      <c r="G1863" s="133"/>
      <c r="H1863" s="133"/>
      <c r="I1863" s="133"/>
      <c r="J1863" s="133"/>
      <c r="K1863" s="133"/>
      <c r="L1863" s="133"/>
      <c r="M1863" s="133"/>
      <c r="N1863" s="133"/>
      <c r="O1863" s="133"/>
      <c r="P1863" s="134"/>
      <c r="Q1863" s="146"/>
      <c r="R1863" s="17"/>
      <c r="S1863" s="17"/>
      <c r="T1863" s="75"/>
      <c r="U1863" s="75"/>
      <c r="V1863" s="75"/>
      <c r="W1863" s="75"/>
      <c r="X1863" s="75"/>
    </row>
    <row r="1864">
      <c r="A1864" s="17"/>
      <c r="B1864" s="17"/>
      <c r="C1864" s="133"/>
      <c r="D1864" s="133"/>
      <c r="E1864" s="17"/>
      <c r="F1864" s="133"/>
      <c r="G1864" s="133"/>
      <c r="H1864" s="133"/>
      <c r="I1864" s="133"/>
      <c r="J1864" s="133"/>
      <c r="K1864" s="133"/>
      <c r="L1864" s="133"/>
      <c r="M1864" s="133"/>
      <c r="N1864" s="133"/>
      <c r="O1864" s="133"/>
      <c r="P1864" s="134"/>
      <c r="Q1864" s="146"/>
      <c r="R1864" s="17"/>
      <c r="S1864" s="17"/>
      <c r="T1864" s="75"/>
      <c r="U1864" s="75"/>
      <c r="V1864" s="75"/>
      <c r="W1864" s="75"/>
      <c r="X1864" s="75"/>
    </row>
    <row r="1865">
      <c r="A1865" s="17"/>
      <c r="B1865" s="17"/>
      <c r="C1865" s="133"/>
      <c r="D1865" s="133"/>
      <c r="E1865" s="17"/>
      <c r="F1865" s="133"/>
      <c r="G1865" s="133"/>
      <c r="H1865" s="133"/>
      <c r="I1865" s="133"/>
      <c r="J1865" s="133"/>
      <c r="K1865" s="133"/>
      <c r="L1865" s="133"/>
      <c r="M1865" s="133"/>
      <c r="N1865" s="133"/>
      <c r="O1865" s="133"/>
      <c r="P1865" s="134"/>
      <c r="Q1865" s="146"/>
      <c r="R1865" s="17"/>
      <c r="S1865" s="17"/>
      <c r="T1865" s="75"/>
      <c r="U1865" s="75"/>
      <c r="V1865" s="75"/>
      <c r="W1865" s="75"/>
      <c r="X1865" s="75"/>
    </row>
    <row r="1866">
      <c r="A1866" s="17"/>
      <c r="B1866" s="17"/>
      <c r="C1866" s="133"/>
      <c r="D1866" s="133"/>
      <c r="E1866" s="17"/>
      <c r="F1866" s="133"/>
      <c r="G1866" s="133"/>
      <c r="H1866" s="133"/>
      <c r="I1866" s="133"/>
      <c r="J1866" s="133"/>
      <c r="K1866" s="133"/>
      <c r="L1866" s="133"/>
      <c r="M1866" s="133"/>
      <c r="N1866" s="133"/>
      <c r="O1866" s="133"/>
      <c r="P1866" s="134"/>
      <c r="Q1866" s="146"/>
      <c r="R1866" s="17"/>
      <c r="S1866" s="17"/>
      <c r="T1866" s="75"/>
      <c r="U1866" s="75"/>
      <c r="V1866" s="75"/>
      <c r="W1866" s="75"/>
      <c r="X1866" s="75"/>
    </row>
    <row r="1867">
      <c r="A1867" s="17"/>
      <c r="B1867" s="17"/>
      <c r="C1867" s="133"/>
      <c r="D1867" s="133"/>
      <c r="E1867" s="17"/>
      <c r="F1867" s="133"/>
      <c r="G1867" s="133"/>
      <c r="H1867" s="133"/>
      <c r="I1867" s="133"/>
      <c r="J1867" s="133"/>
      <c r="K1867" s="133"/>
      <c r="L1867" s="133"/>
      <c r="M1867" s="133"/>
      <c r="N1867" s="133"/>
      <c r="O1867" s="133"/>
      <c r="P1867" s="134"/>
      <c r="Q1867" s="146"/>
      <c r="R1867" s="17"/>
      <c r="S1867" s="17"/>
      <c r="T1867" s="75"/>
      <c r="U1867" s="75"/>
      <c r="V1867" s="75"/>
      <c r="W1867" s="75"/>
      <c r="X1867" s="75"/>
    </row>
    <row r="1868">
      <c r="A1868" s="17"/>
      <c r="B1868" s="17"/>
      <c r="C1868" s="133"/>
      <c r="D1868" s="133"/>
      <c r="E1868" s="17"/>
      <c r="F1868" s="133"/>
      <c r="G1868" s="133"/>
      <c r="H1868" s="133"/>
      <c r="I1868" s="133"/>
      <c r="J1868" s="133"/>
      <c r="K1868" s="133"/>
      <c r="L1868" s="133"/>
      <c r="M1868" s="133"/>
      <c r="N1868" s="133"/>
      <c r="O1868" s="133"/>
      <c r="P1868" s="134"/>
      <c r="Q1868" s="146"/>
      <c r="R1868" s="17"/>
      <c r="S1868" s="17"/>
      <c r="T1868" s="75"/>
      <c r="U1868" s="75"/>
      <c r="V1868" s="75"/>
      <c r="W1868" s="75"/>
      <c r="X1868" s="75"/>
    </row>
    <row r="1869">
      <c r="A1869" s="17"/>
      <c r="B1869" s="17"/>
      <c r="C1869" s="133"/>
      <c r="D1869" s="133"/>
      <c r="E1869" s="17"/>
      <c r="F1869" s="133"/>
      <c r="G1869" s="133"/>
      <c r="H1869" s="133"/>
      <c r="I1869" s="133"/>
      <c r="J1869" s="133"/>
      <c r="K1869" s="133"/>
      <c r="L1869" s="133"/>
      <c r="M1869" s="133"/>
      <c r="N1869" s="133"/>
      <c r="O1869" s="133"/>
      <c r="P1869" s="134"/>
      <c r="Q1869" s="146"/>
      <c r="R1869" s="17"/>
      <c r="S1869" s="17"/>
      <c r="T1869" s="75"/>
      <c r="U1869" s="75"/>
      <c r="V1869" s="75"/>
      <c r="W1869" s="75"/>
      <c r="X1869" s="75"/>
    </row>
    <row r="1870">
      <c r="A1870" s="17"/>
      <c r="B1870" s="17"/>
      <c r="C1870" s="133"/>
      <c r="D1870" s="133"/>
      <c r="E1870" s="17"/>
      <c r="F1870" s="133"/>
      <c r="G1870" s="133"/>
      <c r="H1870" s="133"/>
      <c r="I1870" s="133"/>
      <c r="J1870" s="133"/>
      <c r="K1870" s="133"/>
      <c r="L1870" s="133"/>
      <c r="M1870" s="133"/>
      <c r="N1870" s="133"/>
      <c r="O1870" s="133"/>
      <c r="P1870" s="134"/>
      <c r="Q1870" s="146"/>
      <c r="R1870" s="17"/>
      <c r="S1870" s="17"/>
      <c r="T1870" s="75"/>
      <c r="U1870" s="75"/>
      <c r="V1870" s="75"/>
      <c r="W1870" s="75"/>
      <c r="X1870" s="75"/>
    </row>
    <row r="1871">
      <c r="A1871" s="17"/>
      <c r="B1871" s="17"/>
      <c r="C1871" s="133"/>
      <c r="D1871" s="133"/>
      <c r="E1871" s="17"/>
      <c r="F1871" s="133"/>
      <c r="G1871" s="133"/>
      <c r="H1871" s="133"/>
      <c r="I1871" s="133"/>
      <c r="J1871" s="133"/>
      <c r="K1871" s="133"/>
      <c r="L1871" s="133"/>
      <c r="M1871" s="133"/>
      <c r="N1871" s="133"/>
      <c r="O1871" s="133"/>
      <c r="P1871" s="134"/>
      <c r="Q1871" s="146"/>
      <c r="R1871" s="17"/>
      <c r="S1871" s="17"/>
      <c r="T1871" s="75"/>
      <c r="U1871" s="75"/>
      <c r="V1871" s="75"/>
      <c r="W1871" s="75"/>
      <c r="X1871" s="75"/>
    </row>
    <row r="1872">
      <c r="A1872" s="17"/>
      <c r="B1872" s="17"/>
      <c r="C1872" s="133"/>
      <c r="D1872" s="133"/>
      <c r="E1872" s="17"/>
      <c r="F1872" s="133"/>
      <c r="G1872" s="133"/>
      <c r="H1872" s="133"/>
      <c r="I1872" s="133"/>
      <c r="J1872" s="133"/>
      <c r="K1872" s="133"/>
      <c r="L1872" s="133"/>
      <c r="M1872" s="133"/>
      <c r="N1872" s="133"/>
      <c r="O1872" s="133"/>
      <c r="P1872" s="134"/>
      <c r="Q1872" s="146"/>
      <c r="R1872" s="17"/>
      <c r="S1872" s="17"/>
      <c r="T1872" s="75"/>
      <c r="U1872" s="75"/>
      <c r="V1872" s="75"/>
      <c r="W1872" s="75"/>
      <c r="X1872" s="75"/>
    </row>
    <row r="1873">
      <c r="A1873" s="17"/>
      <c r="B1873" s="17"/>
      <c r="C1873" s="133"/>
      <c r="D1873" s="133"/>
      <c r="E1873" s="17"/>
      <c r="F1873" s="133"/>
      <c r="G1873" s="133"/>
      <c r="H1873" s="133"/>
      <c r="I1873" s="133"/>
      <c r="J1873" s="133"/>
      <c r="K1873" s="133"/>
      <c r="L1873" s="133"/>
      <c r="M1873" s="133"/>
      <c r="N1873" s="133"/>
      <c r="O1873" s="133"/>
      <c r="P1873" s="134"/>
      <c r="Q1873" s="146"/>
      <c r="R1873" s="17"/>
      <c r="S1873" s="17"/>
      <c r="T1873" s="75"/>
      <c r="U1873" s="75"/>
      <c r="V1873" s="75"/>
      <c r="W1873" s="75"/>
      <c r="X1873" s="75"/>
    </row>
    <row r="1874">
      <c r="A1874" s="17"/>
      <c r="B1874" s="17"/>
      <c r="C1874" s="133"/>
      <c r="D1874" s="133"/>
      <c r="E1874" s="17"/>
      <c r="F1874" s="133"/>
      <c r="G1874" s="133"/>
      <c r="H1874" s="133"/>
      <c r="I1874" s="133"/>
      <c r="J1874" s="133"/>
      <c r="K1874" s="133"/>
      <c r="L1874" s="133"/>
      <c r="M1874" s="133"/>
      <c r="N1874" s="133"/>
      <c r="O1874" s="133"/>
      <c r="P1874" s="134"/>
      <c r="Q1874" s="146"/>
      <c r="R1874" s="17"/>
      <c r="S1874" s="17"/>
      <c r="T1874" s="75"/>
      <c r="U1874" s="75"/>
      <c r="V1874" s="75"/>
      <c r="W1874" s="75"/>
      <c r="X1874" s="75"/>
    </row>
    <row r="1875">
      <c r="A1875" s="17"/>
      <c r="B1875" s="17"/>
      <c r="C1875" s="133"/>
      <c r="D1875" s="133"/>
      <c r="E1875" s="17"/>
      <c r="F1875" s="133"/>
      <c r="G1875" s="133"/>
      <c r="H1875" s="133"/>
      <c r="I1875" s="133"/>
      <c r="J1875" s="133"/>
      <c r="K1875" s="133"/>
      <c r="L1875" s="133"/>
      <c r="M1875" s="133"/>
      <c r="N1875" s="133"/>
      <c r="O1875" s="133"/>
      <c r="P1875" s="134"/>
      <c r="Q1875" s="146"/>
      <c r="R1875" s="17"/>
      <c r="S1875" s="17"/>
      <c r="T1875" s="75"/>
      <c r="U1875" s="75"/>
      <c r="V1875" s="75"/>
      <c r="W1875" s="75"/>
      <c r="X1875" s="75"/>
    </row>
    <row r="1876">
      <c r="A1876" s="17"/>
      <c r="B1876" s="17"/>
      <c r="C1876" s="133"/>
      <c r="D1876" s="133"/>
      <c r="E1876" s="17"/>
      <c r="F1876" s="133"/>
      <c r="G1876" s="133"/>
      <c r="H1876" s="133"/>
      <c r="I1876" s="133"/>
      <c r="J1876" s="133"/>
      <c r="K1876" s="133"/>
      <c r="L1876" s="133"/>
      <c r="M1876" s="133"/>
      <c r="N1876" s="133"/>
      <c r="O1876" s="133"/>
      <c r="P1876" s="134"/>
      <c r="Q1876" s="146"/>
      <c r="R1876" s="17"/>
      <c r="S1876" s="17"/>
      <c r="T1876" s="75"/>
      <c r="U1876" s="75"/>
      <c r="V1876" s="75"/>
      <c r="W1876" s="75"/>
      <c r="X1876" s="75"/>
    </row>
    <row r="1877">
      <c r="A1877" s="17"/>
      <c r="B1877" s="17"/>
      <c r="C1877" s="133"/>
      <c r="D1877" s="133"/>
      <c r="E1877" s="17"/>
      <c r="F1877" s="133"/>
      <c r="G1877" s="133"/>
      <c r="H1877" s="133"/>
      <c r="I1877" s="133"/>
      <c r="J1877" s="133"/>
      <c r="K1877" s="133"/>
      <c r="L1877" s="133"/>
      <c r="M1877" s="133"/>
      <c r="N1877" s="133"/>
      <c r="O1877" s="133"/>
      <c r="P1877" s="134"/>
      <c r="Q1877" s="146"/>
      <c r="R1877" s="17"/>
      <c r="S1877" s="17"/>
      <c r="T1877" s="75"/>
      <c r="U1877" s="75"/>
      <c r="V1877" s="75"/>
      <c r="W1877" s="75"/>
      <c r="X1877" s="75"/>
    </row>
    <row r="1878">
      <c r="A1878" s="17"/>
      <c r="B1878" s="17"/>
      <c r="C1878" s="133"/>
      <c r="D1878" s="133"/>
      <c r="E1878" s="17"/>
      <c r="F1878" s="133"/>
      <c r="G1878" s="133"/>
      <c r="H1878" s="133"/>
      <c r="I1878" s="133"/>
      <c r="J1878" s="133"/>
      <c r="K1878" s="133"/>
      <c r="L1878" s="133"/>
      <c r="M1878" s="133"/>
      <c r="N1878" s="133"/>
      <c r="O1878" s="133"/>
      <c r="P1878" s="134"/>
      <c r="Q1878" s="146"/>
      <c r="R1878" s="17"/>
      <c r="S1878" s="17"/>
      <c r="T1878" s="75"/>
      <c r="U1878" s="75"/>
      <c r="V1878" s="75"/>
      <c r="W1878" s="75"/>
      <c r="X1878" s="75"/>
    </row>
    <row r="1879">
      <c r="A1879" s="17"/>
      <c r="B1879" s="17"/>
      <c r="C1879" s="133"/>
      <c r="D1879" s="133"/>
      <c r="E1879" s="17"/>
      <c r="F1879" s="133"/>
      <c r="G1879" s="133"/>
      <c r="H1879" s="133"/>
      <c r="I1879" s="133"/>
      <c r="J1879" s="133"/>
      <c r="K1879" s="133"/>
      <c r="L1879" s="133"/>
      <c r="M1879" s="133"/>
      <c r="N1879" s="133"/>
      <c r="O1879" s="133"/>
      <c r="P1879" s="134"/>
      <c r="Q1879" s="146"/>
      <c r="R1879" s="17"/>
      <c r="S1879" s="17"/>
      <c r="T1879" s="75"/>
      <c r="U1879" s="75"/>
      <c r="V1879" s="75"/>
      <c r="W1879" s="75"/>
      <c r="X1879" s="75"/>
    </row>
    <row r="1880">
      <c r="A1880" s="17"/>
      <c r="B1880" s="17"/>
      <c r="C1880" s="133"/>
      <c r="D1880" s="133"/>
      <c r="E1880" s="17"/>
      <c r="F1880" s="133"/>
      <c r="G1880" s="133"/>
      <c r="H1880" s="133"/>
      <c r="I1880" s="133"/>
      <c r="J1880" s="133"/>
      <c r="K1880" s="133"/>
      <c r="L1880" s="133"/>
      <c r="M1880" s="133"/>
      <c r="N1880" s="133"/>
      <c r="O1880" s="133"/>
      <c r="P1880" s="134"/>
      <c r="Q1880" s="146"/>
      <c r="R1880" s="17"/>
      <c r="S1880" s="17"/>
      <c r="T1880" s="75"/>
      <c r="U1880" s="75"/>
      <c r="V1880" s="75"/>
      <c r="W1880" s="75"/>
      <c r="X1880" s="75"/>
    </row>
    <row r="1881">
      <c r="A1881" s="17"/>
      <c r="B1881" s="17"/>
      <c r="C1881" s="133"/>
      <c r="D1881" s="133"/>
      <c r="E1881" s="17"/>
      <c r="F1881" s="133"/>
      <c r="G1881" s="133"/>
      <c r="H1881" s="133"/>
      <c r="I1881" s="133"/>
      <c r="J1881" s="133"/>
      <c r="K1881" s="133"/>
      <c r="L1881" s="133"/>
      <c r="M1881" s="133"/>
      <c r="N1881" s="133"/>
      <c r="O1881" s="133"/>
      <c r="P1881" s="134"/>
      <c r="Q1881" s="146"/>
      <c r="R1881" s="17"/>
      <c r="S1881" s="17"/>
      <c r="T1881" s="75"/>
      <c r="U1881" s="75"/>
      <c r="V1881" s="75"/>
      <c r="W1881" s="75"/>
      <c r="X1881" s="75"/>
    </row>
    <row r="1882">
      <c r="A1882" s="17"/>
      <c r="B1882" s="17"/>
      <c r="C1882" s="133"/>
      <c r="D1882" s="133"/>
      <c r="E1882" s="17"/>
      <c r="F1882" s="133"/>
      <c r="G1882" s="133"/>
      <c r="H1882" s="133"/>
      <c r="I1882" s="133"/>
      <c r="J1882" s="133"/>
      <c r="K1882" s="133"/>
      <c r="L1882" s="133"/>
      <c r="M1882" s="133"/>
      <c r="N1882" s="133"/>
      <c r="O1882" s="133"/>
      <c r="P1882" s="134"/>
      <c r="Q1882" s="146"/>
      <c r="R1882" s="17"/>
      <c r="S1882" s="17"/>
      <c r="T1882" s="75"/>
      <c r="U1882" s="75"/>
      <c r="V1882" s="75"/>
      <c r="W1882" s="75"/>
      <c r="X1882" s="75"/>
    </row>
    <row r="1883">
      <c r="A1883" s="17"/>
      <c r="B1883" s="17"/>
      <c r="C1883" s="133"/>
      <c r="D1883" s="133"/>
      <c r="E1883" s="17"/>
      <c r="F1883" s="133"/>
      <c r="G1883" s="133"/>
      <c r="H1883" s="133"/>
      <c r="I1883" s="133"/>
      <c r="J1883" s="133"/>
      <c r="K1883" s="133"/>
      <c r="L1883" s="133"/>
      <c r="M1883" s="133"/>
      <c r="N1883" s="133"/>
      <c r="O1883" s="133"/>
      <c r="P1883" s="134"/>
      <c r="Q1883" s="146"/>
      <c r="R1883" s="17"/>
      <c r="S1883" s="17"/>
      <c r="T1883" s="75"/>
      <c r="U1883" s="75"/>
      <c r="V1883" s="75"/>
      <c r="W1883" s="75"/>
      <c r="X1883" s="75"/>
    </row>
    <row r="1884">
      <c r="A1884" s="17"/>
      <c r="B1884" s="17"/>
      <c r="C1884" s="133"/>
      <c r="D1884" s="133"/>
      <c r="E1884" s="17"/>
      <c r="F1884" s="133"/>
      <c r="G1884" s="133"/>
      <c r="H1884" s="133"/>
      <c r="I1884" s="133"/>
      <c r="J1884" s="133"/>
      <c r="K1884" s="133"/>
      <c r="L1884" s="133"/>
      <c r="M1884" s="133"/>
      <c r="N1884" s="133"/>
      <c r="O1884" s="133"/>
      <c r="P1884" s="134"/>
      <c r="Q1884" s="146"/>
      <c r="R1884" s="17"/>
      <c r="S1884" s="17"/>
      <c r="T1884" s="75"/>
      <c r="U1884" s="75"/>
      <c r="V1884" s="75"/>
      <c r="W1884" s="75"/>
      <c r="X1884" s="75"/>
    </row>
    <row r="1885">
      <c r="A1885" s="17"/>
      <c r="B1885" s="17"/>
      <c r="C1885" s="133"/>
      <c r="D1885" s="133"/>
      <c r="E1885" s="17"/>
      <c r="F1885" s="133"/>
      <c r="G1885" s="133"/>
      <c r="H1885" s="133"/>
      <c r="I1885" s="133"/>
      <c r="J1885" s="133"/>
      <c r="K1885" s="133"/>
      <c r="L1885" s="133"/>
      <c r="M1885" s="133"/>
      <c r="N1885" s="133"/>
      <c r="O1885" s="133"/>
      <c r="P1885" s="134"/>
      <c r="Q1885" s="146"/>
      <c r="R1885" s="17"/>
      <c r="S1885" s="17"/>
      <c r="T1885" s="75"/>
      <c r="U1885" s="75"/>
      <c r="V1885" s="75"/>
      <c r="W1885" s="75"/>
      <c r="X1885" s="75"/>
    </row>
    <row r="1886">
      <c r="A1886" s="17"/>
      <c r="B1886" s="17"/>
      <c r="C1886" s="133"/>
      <c r="D1886" s="133"/>
      <c r="E1886" s="17"/>
      <c r="F1886" s="133"/>
      <c r="G1886" s="133"/>
      <c r="H1886" s="133"/>
      <c r="I1886" s="133"/>
      <c r="J1886" s="133"/>
      <c r="K1886" s="133"/>
      <c r="L1886" s="133"/>
      <c r="M1886" s="133"/>
      <c r="N1886" s="133"/>
      <c r="O1886" s="133"/>
      <c r="P1886" s="134"/>
      <c r="Q1886" s="146"/>
      <c r="R1886" s="17"/>
      <c r="S1886" s="17"/>
      <c r="T1886" s="75"/>
      <c r="U1886" s="75"/>
      <c r="V1886" s="75"/>
      <c r="W1886" s="75"/>
      <c r="X1886" s="75"/>
    </row>
    <row r="1887">
      <c r="A1887" s="17"/>
      <c r="B1887" s="17"/>
      <c r="C1887" s="133"/>
      <c r="D1887" s="133"/>
      <c r="E1887" s="17"/>
      <c r="F1887" s="133"/>
      <c r="G1887" s="133"/>
      <c r="H1887" s="133"/>
      <c r="I1887" s="133"/>
      <c r="J1887" s="133"/>
      <c r="K1887" s="133"/>
      <c r="L1887" s="133"/>
      <c r="M1887" s="133"/>
      <c r="N1887" s="133"/>
      <c r="O1887" s="133"/>
      <c r="P1887" s="134"/>
      <c r="Q1887" s="146"/>
      <c r="R1887" s="17"/>
      <c r="S1887" s="17"/>
      <c r="T1887" s="75"/>
      <c r="U1887" s="75"/>
      <c r="V1887" s="75"/>
      <c r="W1887" s="75"/>
      <c r="X1887" s="75"/>
    </row>
    <row r="1888">
      <c r="A1888" s="17"/>
      <c r="B1888" s="17"/>
      <c r="C1888" s="133"/>
      <c r="D1888" s="133"/>
      <c r="E1888" s="17"/>
      <c r="F1888" s="133"/>
      <c r="G1888" s="133"/>
      <c r="H1888" s="133"/>
      <c r="I1888" s="133"/>
      <c r="J1888" s="133"/>
      <c r="K1888" s="133"/>
      <c r="L1888" s="133"/>
      <c r="M1888" s="133"/>
      <c r="N1888" s="133"/>
      <c r="O1888" s="133"/>
      <c r="P1888" s="134"/>
      <c r="Q1888" s="146"/>
      <c r="R1888" s="17"/>
      <c r="S1888" s="17"/>
      <c r="T1888" s="75"/>
      <c r="U1888" s="75"/>
      <c r="V1888" s="75"/>
      <c r="W1888" s="75"/>
      <c r="X1888" s="75"/>
    </row>
    <row r="1889">
      <c r="A1889" s="17"/>
      <c r="B1889" s="17"/>
      <c r="C1889" s="133"/>
      <c r="D1889" s="133"/>
      <c r="E1889" s="17"/>
      <c r="F1889" s="133"/>
      <c r="G1889" s="133"/>
      <c r="H1889" s="133"/>
      <c r="I1889" s="133"/>
      <c r="J1889" s="133"/>
      <c r="K1889" s="133"/>
      <c r="L1889" s="133"/>
      <c r="M1889" s="133"/>
      <c r="N1889" s="133"/>
      <c r="O1889" s="133"/>
      <c r="P1889" s="134"/>
      <c r="Q1889" s="146"/>
      <c r="R1889" s="17"/>
      <c r="S1889" s="17"/>
      <c r="T1889" s="75"/>
      <c r="U1889" s="75"/>
      <c r="V1889" s="75"/>
      <c r="W1889" s="75"/>
      <c r="X1889" s="75"/>
    </row>
    <row r="1890">
      <c r="A1890" s="17"/>
      <c r="B1890" s="17"/>
      <c r="C1890" s="133"/>
      <c r="D1890" s="133"/>
      <c r="E1890" s="17"/>
      <c r="F1890" s="133"/>
      <c r="G1890" s="133"/>
      <c r="H1890" s="133"/>
      <c r="I1890" s="133"/>
      <c r="J1890" s="133"/>
      <c r="K1890" s="133"/>
      <c r="L1890" s="133"/>
      <c r="M1890" s="133"/>
      <c r="N1890" s="133"/>
      <c r="O1890" s="133"/>
      <c r="P1890" s="134"/>
      <c r="Q1890" s="146"/>
      <c r="R1890" s="17"/>
      <c r="S1890" s="17"/>
      <c r="T1890" s="75"/>
      <c r="U1890" s="75"/>
      <c r="V1890" s="75"/>
      <c r="W1890" s="75"/>
      <c r="X1890" s="75"/>
    </row>
    <row r="1891">
      <c r="A1891" s="17"/>
      <c r="B1891" s="17"/>
      <c r="C1891" s="133"/>
      <c r="D1891" s="133"/>
      <c r="E1891" s="17"/>
      <c r="F1891" s="133"/>
      <c r="G1891" s="133"/>
      <c r="H1891" s="133"/>
      <c r="I1891" s="133"/>
      <c r="J1891" s="133"/>
      <c r="K1891" s="133"/>
      <c r="L1891" s="133"/>
      <c r="M1891" s="133"/>
      <c r="N1891" s="133"/>
      <c r="O1891" s="133"/>
      <c r="P1891" s="134"/>
      <c r="Q1891" s="146"/>
      <c r="R1891" s="17"/>
      <c r="S1891" s="17"/>
      <c r="T1891" s="75"/>
      <c r="U1891" s="75"/>
      <c r="V1891" s="75"/>
      <c r="W1891" s="75"/>
      <c r="X1891" s="75"/>
    </row>
    <row r="1892">
      <c r="A1892" s="17"/>
      <c r="B1892" s="17"/>
      <c r="C1892" s="133"/>
      <c r="D1892" s="133"/>
      <c r="E1892" s="17"/>
      <c r="F1892" s="133"/>
      <c r="G1892" s="133"/>
      <c r="H1892" s="133"/>
      <c r="I1892" s="133"/>
      <c r="J1892" s="133"/>
      <c r="K1892" s="133"/>
      <c r="L1892" s="133"/>
      <c r="M1892" s="133"/>
      <c r="N1892" s="133"/>
      <c r="O1892" s="133"/>
      <c r="P1892" s="134"/>
      <c r="Q1892" s="146"/>
      <c r="R1892" s="17"/>
      <c r="S1892" s="17"/>
      <c r="T1892" s="75"/>
      <c r="U1892" s="75"/>
      <c r="V1892" s="75"/>
      <c r="W1892" s="75"/>
      <c r="X1892" s="75"/>
    </row>
    <row r="1893">
      <c r="A1893" s="17"/>
      <c r="B1893" s="17"/>
      <c r="C1893" s="133"/>
      <c r="D1893" s="133"/>
      <c r="E1893" s="17"/>
      <c r="F1893" s="133"/>
      <c r="G1893" s="133"/>
      <c r="H1893" s="133"/>
      <c r="I1893" s="133"/>
      <c r="J1893" s="133"/>
      <c r="K1893" s="133"/>
      <c r="L1893" s="133"/>
      <c r="M1893" s="133"/>
      <c r="N1893" s="133"/>
      <c r="O1893" s="133"/>
      <c r="P1893" s="134"/>
      <c r="Q1893" s="146"/>
      <c r="R1893" s="17"/>
      <c r="S1893" s="17"/>
      <c r="T1893" s="75"/>
      <c r="U1893" s="75"/>
      <c r="V1893" s="75"/>
      <c r="W1893" s="75"/>
      <c r="X1893" s="75"/>
    </row>
    <row r="1894">
      <c r="A1894" s="17"/>
      <c r="B1894" s="17"/>
      <c r="C1894" s="133"/>
      <c r="D1894" s="133"/>
      <c r="E1894" s="17"/>
      <c r="F1894" s="133"/>
      <c r="G1894" s="133"/>
      <c r="H1894" s="133"/>
      <c r="I1894" s="133"/>
      <c r="J1894" s="133"/>
      <c r="K1894" s="133"/>
      <c r="L1894" s="133"/>
      <c r="M1894" s="133"/>
      <c r="N1894" s="133"/>
      <c r="O1894" s="133"/>
      <c r="P1894" s="134"/>
      <c r="Q1894" s="146"/>
      <c r="R1894" s="17"/>
      <c r="S1894" s="17"/>
      <c r="T1894" s="75"/>
      <c r="U1894" s="75"/>
      <c r="V1894" s="75"/>
      <c r="W1894" s="75"/>
      <c r="X1894" s="75"/>
    </row>
    <row r="1895">
      <c r="A1895" s="17"/>
      <c r="B1895" s="17"/>
      <c r="C1895" s="133"/>
      <c r="D1895" s="133"/>
      <c r="E1895" s="17"/>
      <c r="F1895" s="133"/>
      <c r="G1895" s="133"/>
      <c r="H1895" s="133"/>
      <c r="I1895" s="133"/>
      <c r="J1895" s="133"/>
      <c r="K1895" s="133"/>
      <c r="L1895" s="133"/>
      <c r="M1895" s="133"/>
      <c r="N1895" s="133"/>
      <c r="O1895" s="133"/>
      <c r="P1895" s="134"/>
      <c r="Q1895" s="146"/>
      <c r="R1895" s="17"/>
      <c r="S1895" s="17"/>
      <c r="T1895" s="75"/>
      <c r="U1895" s="75"/>
      <c r="V1895" s="75"/>
      <c r="W1895" s="75"/>
      <c r="X1895" s="75"/>
    </row>
    <row r="1896">
      <c r="A1896" s="17"/>
      <c r="B1896" s="17"/>
      <c r="C1896" s="133"/>
      <c r="D1896" s="133"/>
      <c r="E1896" s="17"/>
      <c r="F1896" s="133"/>
      <c r="G1896" s="133"/>
      <c r="H1896" s="133"/>
      <c r="I1896" s="133"/>
      <c r="J1896" s="133"/>
      <c r="K1896" s="133"/>
      <c r="L1896" s="133"/>
      <c r="M1896" s="133"/>
      <c r="N1896" s="133"/>
      <c r="O1896" s="133"/>
      <c r="P1896" s="134"/>
      <c r="Q1896" s="146"/>
      <c r="R1896" s="17"/>
      <c r="S1896" s="17"/>
      <c r="T1896" s="75"/>
      <c r="U1896" s="75"/>
      <c r="V1896" s="75"/>
      <c r="W1896" s="75"/>
      <c r="X1896" s="75"/>
    </row>
    <row r="1897">
      <c r="A1897" s="17"/>
      <c r="B1897" s="17"/>
      <c r="C1897" s="133"/>
      <c r="D1897" s="133"/>
      <c r="E1897" s="17"/>
      <c r="F1897" s="133"/>
      <c r="G1897" s="133"/>
      <c r="H1897" s="133"/>
      <c r="I1897" s="133"/>
      <c r="J1897" s="133"/>
      <c r="K1897" s="133"/>
      <c r="L1897" s="133"/>
      <c r="M1897" s="133"/>
      <c r="N1897" s="133"/>
      <c r="O1897" s="133"/>
      <c r="P1897" s="134"/>
      <c r="Q1897" s="146"/>
      <c r="R1897" s="17"/>
      <c r="S1897" s="17"/>
      <c r="T1897" s="75"/>
      <c r="U1897" s="75"/>
      <c r="V1897" s="75"/>
      <c r="W1897" s="75"/>
      <c r="X1897" s="75"/>
    </row>
    <row r="1898">
      <c r="A1898" s="17"/>
      <c r="B1898" s="17"/>
      <c r="C1898" s="133"/>
      <c r="D1898" s="133"/>
      <c r="E1898" s="17"/>
      <c r="F1898" s="133"/>
      <c r="G1898" s="133"/>
      <c r="H1898" s="133"/>
      <c r="I1898" s="133"/>
      <c r="J1898" s="133"/>
      <c r="K1898" s="133"/>
      <c r="L1898" s="133"/>
      <c r="M1898" s="133"/>
      <c r="N1898" s="133"/>
      <c r="O1898" s="133"/>
      <c r="P1898" s="134"/>
      <c r="Q1898" s="146"/>
      <c r="R1898" s="17"/>
      <c r="S1898" s="17"/>
      <c r="T1898" s="75"/>
      <c r="U1898" s="75"/>
      <c r="V1898" s="75"/>
      <c r="W1898" s="75"/>
      <c r="X1898" s="75"/>
    </row>
    <row r="1899">
      <c r="A1899" s="17"/>
      <c r="B1899" s="17"/>
      <c r="C1899" s="133"/>
      <c r="D1899" s="133"/>
      <c r="E1899" s="17"/>
      <c r="F1899" s="133"/>
      <c r="G1899" s="133"/>
      <c r="H1899" s="133"/>
      <c r="I1899" s="133"/>
      <c r="J1899" s="133"/>
      <c r="K1899" s="133"/>
      <c r="L1899" s="133"/>
      <c r="M1899" s="133"/>
      <c r="N1899" s="133"/>
      <c r="O1899" s="133"/>
      <c r="P1899" s="134"/>
      <c r="Q1899" s="146"/>
      <c r="R1899" s="17"/>
      <c r="S1899" s="17"/>
      <c r="T1899" s="75"/>
      <c r="U1899" s="75"/>
      <c r="V1899" s="75"/>
      <c r="W1899" s="75"/>
      <c r="X1899" s="75"/>
    </row>
    <row r="1900">
      <c r="A1900" s="17"/>
      <c r="B1900" s="17"/>
      <c r="C1900" s="133"/>
      <c r="D1900" s="133"/>
      <c r="E1900" s="17"/>
      <c r="F1900" s="133"/>
      <c r="G1900" s="133"/>
      <c r="H1900" s="133"/>
      <c r="I1900" s="133"/>
      <c r="J1900" s="133"/>
      <c r="K1900" s="133"/>
      <c r="L1900" s="133"/>
      <c r="M1900" s="133"/>
      <c r="N1900" s="133"/>
      <c r="O1900" s="133"/>
      <c r="P1900" s="134"/>
      <c r="Q1900" s="146"/>
      <c r="R1900" s="17"/>
      <c r="S1900" s="17"/>
      <c r="T1900" s="75"/>
      <c r="U1900" s="75"/>
      <c r="V1900" s="75"/>
      <c r="W1900" s="75"/>
      <c r="X1900" s="75"/>
    </row>
    <row r="1901">
      <c r="A1901" s="17"/>
      <c r="B1901" s="17"/>
      <c r="C1901" s="133"/>
      <c r="D1901" s="133"/>
      <c r="E1901" s="17"/>
      <c r="F1901" s="133"/>
      <c r="G1901" s="133"/>
      <c r="H1901" s="133"/>
      <c r="I1901" s="133"/>
      <c r="J1901" s="133"/>
      <c r="K1901" s="133"/>
      <c r="L1901" s="133"/>
      <c r="M1901" s="133"/>
      <c r="N1901" s="133"/>
      <c r="O1901" s="133"/>
      <c r="P1901" s="134"/>
      <c r="Q1901" s="146"/>
      <c r="R1901" s="17"/>
      <c r="S1901" s="17"/>
      <c r="T1901" s="75"/>
      <c r="U1901" s="75"/>
      <c r="V1901" s="75"/>
      <c r="W1901" s="75"/>
      <c r="X1901" s="75"/>
    </row>
    <row r="1902">
      <c r="A1902" s="17"/>
      <c r="B1902" s="17"/>
      <c r="C1902" s="133"/>
      <c r="D1902" s="133"/>
      <c r="E1902" s="17"/>
      <c r="F1902" s="133"/>
      <c r="G1902" s="133"/>
      <c r="H1902" s="133"/>
      <c r="I1902" s="133"/>
      <c r="J1902" s="133"/>
      <c r="K1902" s="133"/>
      <c r="L1902" s="133"/>
      <c r="M1902" s="133"/>
      <c r="N1902" s="133"/>
      <c r="O1902" s="133"/>
      <c r="P1902" s="134"/>
      <c r="Q1902" s="146"/>
      <c r="R1902" s="17"/>
      <c r="S1902" s="17"/>
      <c r="T1902" s="75"/>
      <c r="U1902" s="75"/>
      <c r="V1902" s="75"/>
      <c r="W1902" s="75"/>
      <c r="X1902" s="75"/>
    </row>
    <row r="1903">
      <c r="A1903" s="17"/>
      <c r="B1903" s="17"/>
      <c r="C1903" s="133"/>
      <c r="D1903" s="133"/>
      <c r="E1903" s="17"/>
      <c r="F1903" s="133"/>
      <c r="G1903" s="133"/>
      <c r="H1903" s="133"/>
      <c r="I1903" s="133"/>
      <c r="J1903" s="133"/>
      <c r="K1903" s="133"/>
      <c r="L1903" s="133"/>
      <c r="M1903" s="133"/>
      <c r="N1903" s="133"/>
      <c r="O1903" s="133"/>
      <c r="P1903" s="134"/>
      <c r="Q1903" s="146"/>
      <c r="R1903" s="17"/>
      <c r="S1903" s="17"/>
      <c r="T1903" s="75"/>
      <c r="U1903" s="75"/>
      <c r="V1903" s="75"/>
      <c r="W1903" s="75"/>
      <c r="X1903" s="75"/>
    </row>
    <row r="1904">
      <c r="A1904" s="17"/>
      <c r="B1904" s="17"/>
      <c r="C1904" s="133"/>
      <c r="D1904" s="133"/>
      <c r="E1904" s="17"/>
      <c r="F1904" s="133"/>
      <c r="G1904" s="133"/>
      <c r="H1904" s="133"/>
      <c r="I1904" s="133"/>
      <c r="J1904" s="133"/>
      <c r="K1904" s="133"/>
      <c r="L1904" s="133"/>
      <c r="M1904" s="133"/>
      <c r="N1904" s="133"/>
      <c r="O1904" s="133"/>
      <c r="P1904" s="134"/>
      <c r="Q1904" s="146"/>
      <c r="R1904" s="17"/>
      <c r="S1904" s="17"/>
      <c r="T1904" s="75"/>
      <c r="U1904" s="75"/>
      <c r="V1904" s="75"/>
      <c r="W1904" s="75"/>
      <c r="X1904" s="75"/>
    </row>
    <row r="1905">
      <c r="A1905" s="17"/>
      <c r="B1905" s="17"/>
      <c r="C1905" s="133"/>
      <c r="D1905" s="133"/>
      <c r="E1905" s="17"/>
      <c r="F1905" s="133"/>
      <c r="G1905" s="133"/>
      <c r="H1905" s="133"/>
      <c r="I1905" s="133"/>
      <c r="J1905" s="133"/>
      <c r="K1905" s="133"/>
      <c r="L1905" s="133"/>
      <c r="M1905" s="133"/>
      <c r="N1905" s="133"/>
      <c r="O1905" s="133"/>
      <c r="P1905" s="134"/>
      <c r="Q1905" s="146"/>
      <c r="R1905" s="17"/>
      <c r="S1905" s="17"/>
      <c r="T1905" s="75"/>
      <c r="U1905" s="75"/>
      <c r="V1905" s="75"/>
      <c r="W1905" s="75"/>
      <c r="X1905" s="75"/>
    </row>
    <row r="1906">
      <c r="A1906" s="17"/>
      <c r="B1906" s="17"/>
      <c r="C1906" s="133"/>
      <c r="D1906" s="133"/>
      <c r="E1906" s="17"/>
      <c r="F1906" s="133"/>
      <c r="G1906" s="133"/>
      <c r="H1906" s="133"/>
      <c r="I1906" s="133"/>
      <c r="J1906" s="133"/>
      <c r="K1906" s="133"/>
      <c r="L1906" s="133"/>
      <c r="M1906" s="133"/>
      <c r="N1906" s="133"/>
      <c r="O1906" s="133"/>
      <c r="P1906" s="134"/>
      <c r="Q1906" s="146"/>
      <c r="R1906" s="17"/>
      <c r="S1906" s="17"/>
      <c r="T1906" s="75"/>
      <c r="U1906" s="75"/>
      <c r="V1906" s="75"/>
      <c r="W1906" s="75"/>
      <c r="X1906" s="75"/>
    </row>
    <row r="1907">
      <c r="A1907" s="17"/>
      <c r="B1907" s="17"/>
      <c r="C1907" s="133"/>
      <c r="D1907" s="133"/>
      <c r="E1907" s="17"/>
      <c r="F1907" s="133"/>
      <c r="G1907" s="133"/>
      <c r="H1907" s="133"/>
      <c r="I1907" s="133"/>
      <c r="J1907" s="133"/>
      <c r="K1907" s="133"/>
      <c r="L1907" s="133"/>
      <c r="M1907" s="133"/>
      <c r="N1907" s="133"/>
      <c r="O1907" s="133"/>
      <c r="P1907" s="134"/>
      <c r="Q1907" s="146"/>
      <c r="R1907" s="17"/>
      <c r="S1907" s="17"/>
      <c r="T1907" s="75"/>
      <c r="U1907" s="75"/>
      <c r="V1907" s="75"/>
      <c r="W1907" s="75"/>
      <c r="X1907" s="75"/>
    </row>
    <row r="1908">
      <c r="A1908" s="17"/>
      <c r="B1908" s="17"/>
      <c r="C1908" s="133"/>
      <c r="D1908" s="133"/>
      <c r="E1908" s="17"/>
      <c r="F1908" s="133"/>
      <c r="G1908" s="133"/>
      <c r="H1908" s="133"/>
      <c r="I1908" s="133"/>
      <c r="J1908" s="133"/>
      <c r="K1908" s="133"/>
      <c r="L1908" s="133"/>
      <c r="M1908" s="133"/>
      <c r="N1908" s="133"/>
      <c r="O1908" s="133"/>
      <c r="P1908" s="134"/>
      <c r="Q1908" s="146"/>
      <c r="R1908" s="17"/>
      <c r="S1908" s="17"/>
      <c r="T1908" s="75"/>
      <c r="U1908" s="75"/>
      <c r="V1908" s="75"/>
      <c r="W1908" s="75"/>
      <c r="X1908" s="75"/>
    </row>
    <row r="1909">
      <c r="A1909" s="17"/>
      <c r="B1909" s="17"/>
      <c r="C1909" s="133"/>
      <c r="D1909" s="133"/>
      <c r="E1909" s="17"/>
      <c r="F1909" s="133"/>
      <c r="G1909" s="133"/>
      <c r="H1909" s="133"/>
      <c r="I1909" s="133"/>
      <c r="J1909" s="133"/>
      <c r="K1909" s="133"/>
      <c r="L1909" s="133"/>
      <c r="M1909" s="133"/>
      <c r="N1909" s="133"/>
      <c r="O1909" s="133"/>
      <c r="P1909" s="134"/>
      <c r="Q1909" s="146"/>
      <c r="R1909" s="17"/>
      <c r="S1909" s="17"/>
      <c r="T1909" s="75"/>
      <c r="U1909" s="75"/>
      <c r="V1909" s="75"/>
      <c r="W1909" s="75"/>
      <c r="X1909" s="75"/>
    </row>
    <row r="1910">
      <c r="A1910" s="17"/>
      <c r="B1910" s="17"/>
      <c r="C1910" s="133"/>
      <c r="D1910" s="133"/>
      <c r="E1910" s="17"/>
      <c r="F1910" s="133"/>
      <c r="G1910" s="133"/>
      <c r="H1910" s="133"/>
      <c r="I1910" s="133"/>
      <c r="J1910" s="133"/>
      <c r="K1910" s="133"/>
      <c r="L1910" s="133"/>
      <c r="M1910" s="133"/>
      <c r="N1910" s="133"/>
      <c r="O1910" s="133"/>
      <c r="P1910" s="134"/>
      <c r="Q1910" s="146"/>
      <c r="R1910" s="17"/>
      <c r="S1910" s="17"/>
      <c r="T1910" s="75"/>
      <c r="U1910" s="75"/>
      <c r="V1910" s="75"/>
      <c r="W1910" s="75"/>
      <c r="X1910" s="75"/>
    </row>
    <row r="1911">
      <c r="A1911" s="17"/>
      <c r="B1911" s="17"/>
      <c r="C1911" s="133"/>
      <c r="D1911" s="133"/>
      <c r="E1911" s="17"/>
      <c r="F1911" s="133"/>
      <c r="G1911" s="133"/>
      <c r="H1911" s="133"/>
      <c r="I1911" s="133"/>
      <c r="J1911" s="133"/>
      <c r="K1911" s="133"/>
      <c r="L1911" s="133"/>
      <c r="M1911" s="133"/>
      <c r="N1911" s="133"/>
      <c r="O1911" s="133"/>
      <c r="P1911" s="134"/>
      <c r="Q1911" s="146"/>
      <c r="R1911" s="17"/>
      <c r="S1911" s="17"/>
      <c r="T1911" s="75"/>
      <c r="U1911" s="75"/>
      <c r="V1911" s="75"/>
      <c r="W1911" s="75"/>
      <c r="X1911" s="75"/>
    </row>
    <row r="1912">
      <c r="A1912" s="17"/>
      <c r="B1912" s="17"/>
      <c r="C1912" s="133"/>
      <c r="D1912" s="133"/>
      <c r="E1912" s="17"/>
      <c r="F1912" s="133"/>
      <c r="G1912" s="133"/>
      <c r="H1912" s="133"/>
      <c r="I1912" s="133"/>
      <c r="J1912" s="133"/>
      <c r="K1912" s="133"/>
      <c r="L1912" s="133"/>
      <c r="M1912" s="133"/>
      <c r="N1912" s="133"/>
      <c r="O1912" s="133"/>
      <c r="P1912" s="134"/>
      <c r="Q1912" s="146"/>
      <c r="R1912" s="17"/>
      <c r="S1912" s="17"/>
      <c r="T1912" s="75"/>
      <c r="U1912" s="75"/>
      <c r="V1912" s="75"/>
      <c r="W1912" s="75"/>
      <c r="X1912" s="75"/>
    </row>
    <row r="1913">
      <c r="A1913" s="17"/>
      <c r="B1913" s="17"/>
      <c r="C1913" s="133"/>
      <c r="D1913" s="133"/>
      <c r="E1913" s="17"/>
      <c r="F1913" s="133"/>
      <c r="G1913" s="133"/>
      <c r="H1913" s="133"/>
      <c r="I1913" s="133"/>
      <c r="J1913" s="133"/>
      <c r="K1913" s="133"/>
      <c r="L1913" s="133"/>
      <c r="M1913" s="133"/>
      <c r="N1913" s="133"/>
      <c r="O1913" s="133"/>
      <c r="P1913" s="134"/>
      <c r="Q1913" s="146"/>
      <c r="R1913" s="17"/>
      <c r="S1913" s="17"/>
      <c r="T1913" s="75"/>
      <c r="U1913" s="75"/>
      <c r="V1913" s="75"/>
      <c r="W1913" s="75"/>
      <c r="X1913" s="75"/>
    </row>
    <row r="1914">
      <c r="A1914" s="17"/>
      <c r="B1914" s="17"/>
      <c r="C1914" s="133"/>
      <c r="D1914" s="133"/>
      <c r="E1914" s="17"/>
      <c r="F1914" s="133"/>
      <c r="G1914" s="133"/>
      <c r="H1914" s="133"/>
      <c r="I1914" s="133"/>
      <c r="J1914" s="133"/>
      <c r="K1914" s="133"/>
      <c r="L1914" s="133"/>
      <c r="M1914" s="133"/>
      <c r="N1914" s="133"/>
      <c r="O1914" s="133"/>
      <c r="P1914" s="134"/>
      <c r="Q1914" s="146"/>
      <c r="R1914" s="17"/>
      <c r="S1914" s="17"/>
      <c r="T1914" s="75"/>
      <c r="U1914" s="75"/>
      <c r="V1914" s="75"/>
      <c r="W1914" s="75"/>
      <c r="X1914" s="75"/>
    </row>
    <row r="1915">
      <c r="A1915" s="17"/>
      <c r="B1915" s="17"/>
      <c r="C1915" s="133"/>
      <c r="D1915" s="133"/>
      <c r="E1915" s="17"/>
      <c r="F1915" s="133"/>
      <c r="G1915" s="133"/>
      <c r="H1915" s="133"/>
      <c r="I1915" s="133"/>
      <c r="J1915" s="133"/>
      <c r="K1915" s="133"/>
      <c r="L1915" s="133"/>
      <c r="M1915" s="133"/>
      <c r="N1915" s="133"/>
      <c r="O1915" s="133"/>
      <c r="P1915" s="134"/>
      <c r="Q1915" s="146"/>
      <c r="R1915" s="17"/>
      <c r="S1915" s="17"/>
      <c r="T1915" s="75"/>
      <c r="U1915" s="75"/>
      <c r="V1915" s="75"/>
      <c r="W1915" s="75"/>
      <c r="X1915" s="75"/>
    </row>
    <row r="1916">
      <c r="A1916" s="17"/>
      <c r="B1916" s="17"/>
      <c r="C1916" s="133"/>
      <c r="D1916" s="133"/>
      <c r="E1916" s="17"/>
      <c r="F1916" s="133"/>
      <c r="G1916" s="133"/>
      <c r="H1916" s="133"/>
      <c r="I1916" s="133"/>
      <c r="J1916" s="133"/>
      <c r="K1916" s="133"/>
      <c r="L1916" s="133"/>
      <c r="M1916" s="133"/>
      <c r="N1916" s="133"/>
      <c r="O1916" s="133"/>
      <c r="P1916" s="134"/>
      <c r="Q1916" s="146"/>
      <c r="R1916" s="17"/>
      <c r="S1916" s="17"/>
      <c r="T1916" s="75"/>
      <c r="U1916" s="75"/>
      <c r="V1916" s="75"/>
      <c r="W1916" s="75"/>
      <c r="X1916" s="75"/>
    </row>
    <row r="1917">
      <c r="A1917" s="17"/>
      <c r="B1917" s="17"/>
      <c r="C1917" s="133"/>
      <c r="D1917" s="133"/>
      <c r="E1917" s="17"/>
      <c r="F1917" s="133"/>
      <c r="G1917" s="133"/>
      <c r="H1917" s="133"/>
      <c r="I1917" s="133"/>
      <c r="J1917" s="133"/>
      <c r="K1917" s="133"/>
      <c r="L1917" s="133"/>
      <c r="M1917" s="133"/>
      <c r="N1917" s="133"/>
      <c r="O1917" s="133"/>
      <c r="P1917" s="134"/>
      <c r="Q1917" s="146"/>
      <c r="R1917" s="17"/>
      <c r="S1917" s="17"/>
      <c r="T1917" s="75"/>
      <c r="U1917" s="75"/>
      <c r="V1917" s="75"/>
      <c r="W1917" s="75"/>
      <c r="X1917" s="75"/>
    </row>
    <row r="1918">
      <c r="A1918" s="17"/>
      <c r="B1918" s="17"/>
      <c r="C1918" s="133"/>
      <c r="D1918" s="133"/>
      <c r="E1918" s="17"/>
      <c r="F1918" s="133"/>
      <c r="G1918" s="133"/>
      <c r="H1918" s="133"/>
      <c r="I1918" s="133"/>
      <c r="J1918" s="133"/>
      <c r="K1918" s="133"/>
      <c r="L1918" s="133"/>
      <c r="M1918" s="133"/>
      <c r="N1918" s="133"/>
      <c r="O1918" s="133"/>
      <c r="P1918" s="134"/>
      <c r="Q1918" s="146"/>
      <c r="R1918" s="17"/>
      <c r="S1918" s="17"/>
      <c r="T1918" s="75"/>
      <c r="U1918" s="75"/>
      <c r="V1918" s="75"/>
      <c r="W1918" s="75"/>
      <c r="X1918" s="75"/>
    </row>
    <row r="1919">
      <c r="A1919" s="17"/>
      <c r="B1919" s="17"/>
      <c r="C1919" s="133"/>
      <c r="D1919" s="133"/>
      <c r="E1919" s="17"/>
      <c r="F1919" s="133"/>
      <c r="G1919" s="133"/>
      <c r="H1919" s="133"/>
      <c r="I1919" s="133"/>
      <c r="J1919" s="133"/>
      <c r="K1919" s="133"/>
      <c r="L1919" s="133"/>
      <c r="M1919" s="133"/>
      <c r="N1919" s="133"/>
      <c r="O1919" s="133"/>
      <c r="P1919" s="134"/>
      <c r="Q1919" s="146"/>
      <c r="R1919" s="17"/>
      <c r="S1919" s="17"/>
      <c r="T1919" s="75"/>
      <c r="U1919" s="75"/>
      <c r="V1919" s="75"/>
      <c r="W1919" s="75"/>
      <c r="X1919" s="75"/>
    </row>
    <row r="1920">
      <c r="A1920" s="17"/>
      <c r="B1920" s="17"/>
      <c r="C1920" s="133"/>
      <c r="D1920" s="133"/>
      <c r="E1920" s="17"/>
      <c r="F1920" s="133"/>
      <c r="G1920" s="133"/>
      <c r="H1920" s="133"/>
      <c r="I1920" s="133"/>
      <c r="J1920" s="133"/>
      <c r="K1920" s="133"/>
      <c r="L1920" s="133"/>
      <c r="M1920" s="133"/>
      <c r="N1920" s="133"/>
      <c r="O1920" s="133"/>
      <c r="P1920" s="134"/>
      <c r="Q1920" s="146"/>
      <c r="R1920" s="17"/>
      <c r="S1920" s="17"/>
      <c r="T1920" s="75"/>
      <c r="U1920" s="75"/>
      <c r="V1920" s="75"/>
      <c r="W1920" s="75"/>
      <c r="X1920" s="75"/>
    </row>
    <row r="1921">
      <c r="A1921" s="17"/>
      <c r="B1921" s="17"/>
      <c r="C1921" s="133"/>
      <c r="D1921" s="133"/>
      <c r="E1921" s="17"/>
      <c r="F1921" s="133"/>
      <c r="G1921" s="133"/>
      <c r="H1921" s="133"/>
      <c r="I1921" s="133"/>
      <c r="J1921" s="133"/>
      <c r="K1921" s="133"/>
      <c r="L1921" s="133"/>
      <c r="M1921" s="133"/>
      <c r="N1921" s="133"/>
      <c r="O1921" s="133"/>
      <c r="P1921" s="134"/>
      <c r="Q1921" s="146"/>
      <c r="R1921" s="17"/>
      <c r="S1921" s="17"/>
      <c r="T1921" s="75"/>
      <c r="U1921" s="75"/>
      <c r="V1921" s="75"/>
      <c r="W1921" s="75"/>
      <c r="X1921" s="75"/>
    </row>
    <row r="1922">
      <c r="A1922" s="17"/>
      <c r="B1922" s="17"/>
      <c r="C1922" s="133"/>
      <c r="D1922" s="133"/>
      <c r="E1922" s="17"/>
      <c r="F1922" s="133"/>
      <c r="G1922" s="133"/>
      <c r="H1922" s="133"/>
      <c r="I1922" s="133"/>
      <c r="J1922" s="133"/>
      <c r="K1922" s="133"/>
      <c r="L1922" s="133"/>
      <c r="M1922" s="133"/>
      <c r="N1922" s="133"/>
      <c r="O1922" s="133"/>
      <c r="P1922" s="134"/>
      <c r="Q1922" s="146"/>
      <c r="R1922" s="17"/>
      <c r="S1922" s="17"/>
      <c r="T1922" s="75"/>
      <c r="U1922" s="75"/>
      <c r="V1922" s="75"/>
      <c r="W1922" s="75"/>
      <c r="X1922" s="75"/>
    </row>
    <row r="1923">
      <c r="A1923" s="17"/>
      <c r="B1923" s="17"/>
      <c r="C1923" s="133"/>
      <c r="D1923" s="133"/>
      <c r="E1923" s="17"/>
      <c r="F1923" s="133"/>
      <c r="G1923" s="133"/>
      <c r="H1923" s="133"/>
      <c r="I1923" s="133"/>
      <c r="J1923" s="133"/>
      <c r="K1923" s="133"/>
      <c r="L1923" s="133"/>
      <c r="M1923" s="133"/>
      <c r="N1923" s="133"/>
      <c r="O1923" s="133"/>
      <c r="P1923" s="134"/>
      <c r="Q1923" s="146"/>
      <c r="R1923" s="17"/>
      <c r="S1923" s="17"/>
      <c r="T1923" s="75"/>
      <c r="U1923" s="75"/>
      <c r="V1923" s="75"/>
      <c r="W1923" s="75"/>
      <c r="X1923" s="75"/>
    </row>
    <row r="1924">
      <c r="A1924" s="17"/>
      <c r="B1924" s="17"/>
      <c r="C1924" s="133"/>
      <c r="D1924" s="133"/>
      <c r="E1924" s="17"/>
      <c r="F1924" s="133"/>
      <c r="G1924" s="133"/>
      <c r="H1924" s="133"/>
      <c r="I1924" s="133"/>
      <c r="J1924" s="133"/>
      <c r="K1924" s="133"/>
      <c r="L1924" s="133"/>
      <c r="M1924" s="133"/>
      <c r="N1924" s="133"/>
      <c r="O1924" s="133"/>
      <c r="P1924" s="134"/>
      <c r="Q1924" s="146"/>
      <c r="R1924" s="17"/>
      <c r="S1924" s="17"/>
      <c r="T1924" s="75"/>
      <c r="U1924" s="75"/>
      <c r="V1924" s="75"/>
      <c r="W1924" s="75"/>
      <c r="X1924" s="75"/>
    </row>
    <row r="1925">
      <c r="A1925" s="17"/>
      <c r="B1925" s="17"/>
      <c r="C1925" s="133"/>
      <c r="D1925" s="133"/>
      <c r="E1925" s="17"/>
      <c r="F1925" s="133"/>
      <c r="G1925" s="133"/>
      <c r="H1925" s="133"/>
      <c r="I1925" s="133"/>
      <c r="J1925" s="133"/>
      <c r="K1925" s="133"/>
      <c r="L1925" s="133"/>
      <c r="M1925" s="133"/>
      <c r="N1925" s="133"/>
      <c r="O1925" s="133"/>
      <c r="P1925" s="134"/>
      <c r="Q1925" s="146"/>
      <c r="R1925" s="17"/>
      <c r="S1925" s="17"/>
      <c r="T1925" s="75"/>
      <c r="U1925" s="75"/>
      <c r="V1925" s="75"/>
      <c r="W1925" s="75"/>
      <c r="X1925" s="75"/>
    </row>
    <row r="1926">
      <c r="A1926" s="17"/>
      <c r="B1926" s="17"/>
      <c r="C1926" s="133"/>
      <c r="D1926" s="133"/>
      <c r="E1926" s="17"/>
      <c r="F1926" s="133"/>
      <c r="G1926" s="133"/>
      <c r="H1926" s="133"/>
      <c r="I1926" s="133"/>
      <c r="J1926" s="133"/>
      <c r="K1926" s="133"/>
      <c r="L1926" s="133"/>
      <c r="M1926" s="133"/>
      <c r="N1926" s="133"/>
      <c r="O1926" s="133"/>
      <c r="P1926" s="134"/>
      <c r="Q1926" s="146"/>
      <c r="R1926" s="17"/>
      <c r="S1926" s="17"/>
      <c r="T1926" s="75"/>
      <c r="U1926" s="75"/>
      <c r="V1926" s="75"/>
      <c r="W1926" s="75"/>
      <c r="X1926" s="75"/>
    </row>
    <row r="1927">
      <c r="A1927" s="17"/>
      <c r="B1927" s="17"/>
      <c r="C1927" s="133"/>
      <c r="D1927" s="133"/>
      <c r="E1927" s="17"/>
      <c r="F1927" s="133"/>
      <c r="G1927" s="133"/>
      <c r="H1927" s="133"/>
      <c r="I1927" s="133"/>
      <c r="J1927" s="133"/>
      <c r="K1927" s="133"/>
      <c r="L1927" s="133"/>
      <c r="M1927" s="133"/>
      <c r="N1927" s="133"/>
      <c r="O1927" s="133"/>
      <c r="P1927" s="134"/>
      <c r="Q1927" s="146"/>
      <c r="R1927" s="17"/>
      <c r="S1927" s="17"/>
      <c r="T1927" s="75"/>
      <c r="U1927" s="75"/>
      <c r="V1927" s="75"/>
      <c r="W1927" s="75"/>
      <c r="X1927" s="75"/>
    </row>
    <row r="1928">
      <c r="A1928" s="17"/>
      <c r="B1928" s="17"/>
      <c r="C1928" s="133"/>
      <c r="D1928" s="133"/>
      <c r="E1928" s="17"/>
      <c r="F1928" s="133"/>
      <c r="G1928" s="133"/>
      <c r="H1928" s="133"/>
      <c r="I1928" s="133"/>
      <c r="J1928" s="133"/>
      <c r="K1928" s="133"/>
      <c r="L1928" s="133"/>
      <c r="M1928" s="133"/>
      <c r="N1928" s="133"/>
      <c r="O1928" s="133"/>
      <c r="P1928" s="134"/>
      <c r="Q1928" s="146"/>
      <c r="R1928" s="17"/>
      <c r="S1928" s="17"/>
      <c r="T1928" s="75"/>
      <c r="U1928" s="75"/>
      <c r="V1928" s="75"/>
      <c r="W1928" s="75"/>
      <c r="X1928" s="75"/>
    </row>
    <row r="1929">
      <c r="A1929" s="17"/>
      <c r="B1929" s="17"/>
      <c r="C1929" s="133"/>
      <c r="D1929" s="133"/>
      <c r="E1929" s="17"/>
      <c r="F1929" s="133"/>
      <c r="G1929" s="133"/>
      <c r="H1929" s="133"/>
      <c r="I1929" s="133"/>
      <c r="J1929" s="133"/>
      <c r="K1929" s="133"/>
      <c r="L1929" s="133"/>
      <c r="M1929" s="133"/>
      <c r="N1929" s="133"/>
      <c r="O1929" s="133"/>
      <c r="P1929" s="134"/>
      <c r="Q1929" s="146"/>
      <c r="R1929" s="17"/>
      <c r="S1929" s="17"/>
      <c r="T1929" s="75"/>
      <c r="U1929" s="75"/>
      <c r="V1929" s="75"/>
      <c r="W1929" s="75"/>
      <c r="X1929" s="75"/>
    </row>
    <row r="1930">
      <c r="A1930" s="17"/>
      <c r="B1930" s="17"/>
      <c r="C1930" s="133"/>
      <c r="D1930" s="133"/>
      <c r="E1930" s="17"/>
      <c r="F1930" s="133"/>
      <c r="G1930" s="133"/>
      <c r="H1930" s="133"/>
      <c r="I1930" s="133"/>
      <c r="J1930" s="133"/>
      <c r="K1930" s="133"/>
      <c r="L1930" s="133"/>
      <c r="M1930" s="133"/>
      <c r="N1930" s="133"/>
      <c r="O1930" s="133"/>
      <c r="P1930" s="134"/>
      <c r="Q1930" s="146"/>
      <c r="R1930" s="17"/>
      <c r="S1930" s="17"/>
      <c r="T1930" s="75"/>
      <c r="U1930" s="75"/>
      <c r="V1930" s="75"/>
      <c r="W1930" s="75"/>
      <c r="X1930" s="75"/>
    </row>
    <row r="1931">
      <c r="A1931" s="17"/>
      <c r="B1931" s="17"/>
      <c r="C1931" s="133"/>
      <c r="D1931" s="133"/>
      <c r="E1931" s="17"/>
      <c r="F1931" s="133"/>
      <c r="G1931" s="133"/>
      <c r="H1931" s="133"/>
      <c r="I1931" s="133"/>
      <c r="J1931" s="133"/>
      <c r="K1931" s="133"/>
      <c r="L1931" s="133"/>
      <c r="M1931" s="133"/>
      <c r="N1931" s="133"/>
      <c r="O1931" s="133"/>
      <c r="P1931" s="134"/>
      <c r="Q1931" s="146"/>
      <c r="R1931" s="17"/>
      <c r="S1931" s="17"/>
      <c r="T1931" s="75"/>
      <c r="U1931" s="75"/>
      <c r="V1931" s="75"/>
      <c r="W1931" s="75"/>
      <c r="X1931" s="75"/>
    </row>
    <row r="1932">
      <c r="A1932" s="17"/>
      <c r="B1932" s="17"/>
      <c r="C1932" s="133"/>
      <c r="D1932" s="133"/>
      <c r="E1932" s="17"/>
      <c r="F1932" s="133"/>
      <c r="G1932" s="133"/>
      <c r="H1932" s="133"/>
      <c r="I1932" s="133"/>
      <c r="J1932" s="133"/>
      <c r="K1932" s="133"/>
      <c r="L1932" s="133"/>
      <c r="M1932" s="133"/>
      <c r="N1932" s="133"/>
      <c r="O1932" s="133"/>
      <c r="P1932" s="134"/>
      <c r="Q1932" s="146"/>
      <c r="R1932" s="17"/>
      <c r="S1932" s="17"/>
      <c r="T1932" s="75"/>
      <c r="U1932" s="75"/>
      <c r="V1932" s="75"/>
      <c r="W1932" s="75"/>
      <c r="X1932" s="75"/>
    </row>
    <row r="1933">
      <c r="A1933" s="17"/>
      <c r="B1933" s="17"/>
      <c r="C1933" s="133"/>
      <c r="D1933" s="133"/>
      <c r="E1933" s="17"/>
      <c r="F1933" s="133"/>
      <c r="G1933" s="133"/>
      <c r="H1933" s="133"/>
      <c r="I1933" s="133"/>
      <c r="J1933" s="133"/>
      <c r="K1933" s="133"/>
      <c r="L1933" s="133"/>
      <c r="M1933" s="133"/>
      <c r="N1933" s="133"/>
      <c r="O1933" s="133"/>
      <c r="P1933" s="134"/>
      <c r="Q1933" s="146"/>
      <c r="R1933" s="17"/>
      <c r="S1933" s="17"/>
      <c r="T1933" s="75"/>
      <c r="U1933" s="75"/>
      <c r="V1933" s="75"/>
      <c r="W1933" s="75"/>
      <c r="X1933" s="75"/>
    </row>
    <row r="1934">
      <c r="A1934" s="17"/>
      <c r="B1934" s="17"/>
      <c r="C1934" s="133"/>
      <c r="D1934" s="133"/>
      <c r="E1934" s="17"/>
      <c r="F1934" s="133"/>
      <c r="G1934" s="133"/>
      <c r="H1934" s="133"/>
      <c r="I1934" s="133"/>
      <c r="J1934" s="133"/>
      <c r="K1934" s="133"/>
      <c r="L1934" s="133"/>
      <c r="M1934" s="133"/>
      <c r="N1934" s="133"/>
      <c r="O1934" s="133"/>
      <c r="P1934" s="134"/>
      <c r="Q1934" s="146"/>
      <c r="R1934" s="17"/>
      <c r="S1934" s="17"/>
      <c r="T1934" s="75"/>
      <c r="U1934" s="75"/>
      <c r="V1934" s="75"/>
      <c r="W1934" s="75"/>
      <c r="X1934" s="75"/>
    </row>
    <row r="1935">
      <c r="A1935" s="17"/>
      <c r="B1935" s="17"/>
      <c r="C1935" s="133"/>
      <c r="D1935" s="133"/>
      <c r="E1935" s="17"/>
      <c r="F1935" s="133"/>
      <c r="G1935" s="133"/>
      <c r="H1935" s="133"/>
      <c r="I1935" s="133"/>
      <c r="J1935" s="133"/>
      <c r="K1935" s="133"/>
      <c r="L1935" s="133"/>
      <c r="M1935" s="133"/>
      <c r="N1935" s="133"/>
      <c r="O1935" s="133"/>
      <c r="P1935" s="134"/>
      <c r="Q1935" s="146"/>
      <c r="R1935" s="17"/>
      <c r="S1935" s="17"/>
      <c r="T1935" s="75"/>
      <c r="U1935" s="75"/>
      <c r="V1935" s="75"/>
      <c r="W1935" s="75"/>
      <c r="X1935" s="75"/>
    </row>
    <row r="1936">
      <c r="A1936" s="17"/>
      <c r="B1936" s="17"/>
      <c r="C1936" s="133"/>
      <c r="D1936" s="133"/>
      <c r="E1936" s="17"/>
      <c r="F1936" s="133"/>
      <c r="G1936" s="133"/>
      <c r="H1936" s="133"/>
      <c r="I1936" s="133"/>
      <c r="J1936" s="133"/>
      <c r="K1936" s="133"/>
      <c r="L1936" s="133"/>
      <c r="M1936" s="133"/>
      <c r="N1936" s="133"/>
      <c r="O1936" s="133"/>
      <c r="P1936" s="134"/>
      <c r="Q1936" s="146"/>
      <c r="R1936" s="17"/>
      <c r="S1936" s="17"/>
      <c r="T1936" s="75"/>
      <c r="U1936" s="75"/>
      <c r="V1936" s="75"/>
      <c r="W1936" s="75"/>
      <c r="X1936" s="75"/>
    </row>
    <row r="1937">
      <c r="A1937" s="17"/>
      <c r="B1937" s="17"/>
      <c r="C1937" s="133"/>
      <c r="D1937" s="133"/>
      <c r="E1937" s="17"/>
      <c r="F1937" s="133"/>
      <c r="G1937" s="133"/>
      <c r="H1937" s="133"/>
      <c r="I1937" s="133"/>
      <c r="J1937" s="133"/>
      <c r="K1937" s="133"/>
      <c r="L1937" s="133"/>
      <c r="M1937" s="133"/>
      <c r="N1937" s="133"/>
      <c r="O1937" s="133"/>
      <c r="P1937" s="134"/>
      <c r="Q1937" s="146"/>
      <c r="R1937" s="17"/>
      <c r="S1937" s="17"/>
      <c r="T1937" s="75"/>
      <c r="U1937" s="75"/>
      <c r="V1937" s="75"/>
      <c r="W1937" s="75"/>
      <c r="X1937" s="75"/>
    </row>
    <row r="1938">
      <c r="A1938" s="17"/>
      <c r="B1938" s="17"/>
      <c r="C1938" s="133"/>
      <c r="D1938" s="133"/>
      <c r="E1938" s="17"/>
      <c r="F1938" s="133"/>
      <c r="G1938" s="133"/>
      <c r="H1938" s="133"/>
      <c r="I1938" s="133"/>
      <c r="J1938" s="133"/>
      <c r="K1938" s="133"/>
      <c r="L1938" s="133"/>
      <c r="M1938" s="133"/>
      <c r="N1938" s="133"/>
      <c r="O1938" s="133"/>
      <c r="P1938" s="134"/>
      <c r="Q1938" s="146"/>
      <c r="R1938" s="17"/>
      <c r="S1938" s="17"/>
      <c r="T1938" s="75"/>
      <c r="U1938" s="75"/>
      <c r="V1938" s="75"/>
      <c r="W1938" s="75"/>
      <c r="X1938" s="75"/>
    </row>
    <row r="1939">
      <c r="A1939" s="17"/>
      <c r="B1939" s="17"/>
      <c r="C1939" s="133"/>
      <c r="D1939" s="133"/>
      <c r="E1939" s="17"/>
      <c r="F1939" s="133"/>
      <c r="G1939" s="133"/>
      <c r="H1939" s="133"/>
      <c r="I1939" s="133"/>
      <c r="J1939" s="133"/>
      <c r="K1939" s="133"/>
      <c r="L1939" s="133"/>
      <c r="M1939" s="133"/>
      <c r="N1939" s="133"/>
      <c r="O1939" s="133"/>
      <c r="P1939" s="134"/>
      <c r="Q1939" s="146"/>
      <c r="R1939" s="17"/>
      <c r="S1939" s="17"/>
      <c r="T1939" s="75"/>
      <c r="U1939" s="75"/>
      <c r="V1939" s="75"/>
      <c r="W1939" s="75"/>
      <c r="X1939" s="75"/>
    </row>
    <row r="1940">
      <c r="A1940" s="17"/>
      <c r="B1940" s="17"/>
      <c r="C1940" s="133"/>
      <c r="D1940" s="133"/>
      <c r="E1940" s="17"/>
      <c r="F1940" s="133"/>
      <c r="G1940" s="133"/>
      <c r="H1940" s="133"/>
      <c r="I1940" s="133"/>
      <c r="J1940" s="133"/>
      <c r="K1940" s="133"/>
      <c r="L1940" s="133"/>
      <c r="M1940" s="133"/>
      <c r="N1940" s="133"/>
      <c r="O1940" s="133"/>
      <c r="P1940" s="134"/>
      <c r="Q1940" s="146"/>
      <c r="R1940" s="17"/>
      <c r="S1940" s="17"/>
      <c r="T1940" s="75"/>
      <c r="U1940" s="75"/>
      <c r="V1940" s="75"/>
      <c r="W1940" s="75"/>
      <c r="X1940" s="75"/>
    </row>
    <row r="1941">
      <c r="A1941" s="17"/>
      <c r="B1941" s="17"/>
      <c r="C1941" s="133"/>
      <c r="D1941" s="133"/>
      <c r="E1941" s="17"/>
      <c r="F1941" s="133"/>
      <c r="G1941" s="133"/>
      <c r="H1941" s="133"/>
      <c r="I1941" s="133"/>
      <c r="J1941" s="133"/>
      <c r="K1941" s="133"/>
      <c r="L1941" s="133"/>
      <c r="M1941" s="133"/>
      <c r="N1941" s="133"/>
      <c r="O1941" s="133"/>
      <c r="P1941" s="134"/>
      <c r="Q1941" s="146"/>
      <c r="R1941" s="17"/>
      <c r="S1941" s="17"/>
      <c r="T1941" s="75"/>
      <c r="U1941" s="75"/>
      <c r="V1941" s="75"/>
      <c r="W1941" s="75"/>
      <c r="X1941" s="75"/>
    </row>
    <row r="1942">
      <c r="A1942" s="17"/>
      <c r="B1942" s="17"/>
      <c r="C1942" s="133"/>
      <c r="D1942" s="133"/>
      <c r="E1942" s="17"/>
      <c r="F1942" s="133"/>
      <c r="G1942" s="133"/>
      <c r="H1942" s="133"/>
      <c r="I1942" s="133"/>
      <c r="J1942" s="133"/>
      <c r="K1942" s="133"/>
      <c r="L1942" s="133"/>
      <c r="M1942" s="133"/>
      <c r="N1942" s="133"/>
      <c r="O1942" s="133"/>
      <c r="P1942" s="134"/>
      <c r="Q1942" s="146"/>
      <c r="R1942" s="17"/>
      <c r="S1942" s="17"/>
      <c r="T1942" s="75"/>
      <c r="U1942" s="75"/>
      <c r="V1942" s="75"/>
      <c r="W1942" s="75"/>
      <c r="X1942" s="75"/>
    </row>
    <row r="1943">
      <c r="A1943" s="17"/>
      <c r="B1943" s="17"/>
      <c r="C1943" s="133"/>
      <c r="D1943" s="133"/>
      <c r="E1943" s="17"/>
      <c r="F1943" s="133"/>
      <c r="G1943" s="133"/>
      <c r="H1943" s="133"/>
      <c r="I1943" s="133"/>
      <c r="J1943" s="133"/>
      <c r="K1943" s="133"/>
      <c r="L1943" s="133"/>
      <c r="M1943" s="133"/>
      <c r="N1943" s="133"/>
      <c r="O1943" s="133"/>
      <c r="P1943" s="134"/>
      <c r="Q1943" s="146"/>
      <c r="R1943" s="17"/>
      <c r="S1943" s="17"/>
      <c r="T1943" s="75"/>
      <c r="U1943" s="75"/>
      <c r="V1943" s="75"/>
      <c r="W1943" s="75"/>
      <c r="X1943" s="75"/>
    </row>
    <row r="1944">
      <c r="A1944" s="17"/>
      <c r="B1944" s="17"/>
      <c r="C1944" s="133"/>
      <c r="D1944" s="133"/>
      <c r="E1944" s="17"/>
      <c r="F1944" s="133"/>
      <c r="G1944" s="133"/>
      <c r="H1944" s="133"/>
      <c r="I1944" s="133"/>
      <c r="J1944" s="133"/>
      <c r="K1944" s="133"/>
      <c r="L1944" s="133"/>
      <c r="M1944" s="133"/>
      <c r="N1944" s="133"/>
      <c r="O1944" s="133"/>
      <c r="P1944" s="134"/>
      <c r="Q1944" s="146"/>
      <c r="R1944" s="17"/>
      <c r="S1944" s="17"/>
      <c r="T1944" s="75"/>
      <c r="U1944" s="75"/>
      <c r="V1944" s="75"/>
      <c r="W1944" s="75"/>
      <c r="X1944" s="75"/>
    </row>
    <row r="1945">
      <c r="A1945" s="17"/>
      <c r="B1945" s="17"/>
      <c r="C1945" s="133"/>
      <c r="D1945" s="133"/>
      <c r="E1945" s="17"/>
      <c r="F1945" s="133"/>
      <c r="G1945" s="133"/>
      <c r="H1945" s="133"/>
      <c r="I1945" s="133"/>
      <c r="J1945" s="133"/>
      <c r="K1945" s="133"/>
      <c r="L1945" s="133"/>
      <c r="M1945" s="133"/>
      <c r="N1945" s="133"/>
      <c r="O1945" s="133"/>
      <c r="P1945" s="134"/>
      <c r="Q1945" s="146"/>
      <c r="R1945" s="17"/>
      <c r="S1945" s="17"/>
      <c r="T1945" s="75"/>
      <c r="U1945" s="75"/>
      <c r="V1945" s="75"/>
      <c r="W1945" s="75"/>
      <c r="X1945" s="75"/>
    </row>
    <row r="1946">
      <c r="A1946" s="17"/>
      <c r="B1946" s="17"/>
      <c r="C1946" s="133"/>
      <c r="D1946" s="133"/>
      <c r="E1946" s="17"/>
      <c r="F1946" s="133"/>
      <c r="G1946" s="133"/>
      <c r="H1946" s="133"/>
      <c r="I1946" s="133"/>
      <c r="J1946" s="133"/>
      <c r="K1946" s="133"/>
      <c r="L1946" s="133"/>
      <c r="M1946" s="133"/>
      <c r="N1946" s="133"/>
      <c r="O1946" s="133"/>
      <c r="P1946" s="134"/>
      <c r="Q1946" s="146"/>
      <c r="R1946" s="17"/>
      <c r="S1946" s="17"/>
      <c r="T1946" s="75"/>
      <c r="U1946" s="75"/>
      <c r="V1946" s="75"/>
      <c r="W1946" s="75"/>
      <c r="X1946" s="75"/>
    </row>
    <row r="1947">
      <c r="A1947" s="17"/>
      <c r="B1947" s="17"/>
      <c r="C1947" s="133"/>
      <c r="D1947" s="133"/>
      <c r="E1947" s="17"/>
      <c r="F1947" s="133"/>
      <c r="G1947" s="133"/>
      <c r="H1947" s="133"/>
      <c r="I1947" s="133"/>
      <c r="J1947" s="133"/>
      <c r="K1947" s="133"/>
      <c r="L1947" s="133"/>
      <c r="M1947" s="133"/>
      <c r="N1947" s="133"/>
      <c r="O1947" s="133"/>
      <c r="P1947" s="134"/>
      <c r="Q1947" s="146"/>
      <c r="R1947" s="17"/>
      <c r="S1947" s="17"/>
      <c r="T1947" s="75"/>
      <c r="U1947" s="75"/>
      <c r="V1947" s="75"/>
      <c r="W1947" s="75"/>
      <c r="X1947" s="75"/>
    </row>
    <row r="1948">
      <c r="A1948" s="17"/>
      <c r="B1948" s="17"/>
      <c r="C1948" s="133"/>
      <c r="D1948" s="133"/>
      <c r="E1948" s="17"/>
      <c r="F1948" s="133"/>
      <c r="G1948" s="133"/>
      <c r="H1948" s="133"/>
      <c r="I1948" s="133"/>
      <c r="J1948" s="133"/>
      <c r="K1948" s="133"/>
      <c r="L1948" s="133"/>
      <c r="M1948" s="133"/>
      <c r="N1948" s="133"/>
      <c r="O1948" s="133"/>
      <c r="P1948" s="134"/>
      <c r="Q1948" s="146"/>
      <c r="R1948" s="17"/>
      <c r="S1948" s="17"/>
      <c r="T1948" s="75"/>
      <c r="U1948" s="75"/>
      <c r="V1948" s="75"/>
      <c r="W1948" s="75"/>
      <c r="X1948" s="75"/>
    </row>
    <row r="1949">
      <c r="A1949" s="17"/>
      <c r="B1949" s="17"/>
      <c r="C1949" s="133"/>
      <c r="D1949" s="133"/>
      <c r="E1949" s="17"/>
      <c r="F1949" s="133"/>
      <c r="G1949" s="133"/>
      <c r="H1949" s="133"/>
      <c r="I1949" s="133"/>
      <c r="J1949" s="133"/>
      <c r="K1949" s="133"/>
      <c r="L1949" s="133"/>
      <c r="M1949" s="133"/>
      <c r="N1949" s="133"/>
      <c r="O1949" s="133"/>
      <c r="P1949" s="134"/>
      <c r="Q1949" s="146"/>
      <c r="R1949" s="17"/>
      <c r="S1949" s="17"/>
      <c r="T1949" s="75"/>
      <c r="U1949" s="75"/>
      <c r="V1949" s="75"/>
      <c r="W1949" s="75"/>
      <c r="X1949" s="75"/>
    </row>
    <row r="1950">
      <c r="A1950" s="17"/>
      <c r="B1950" s="17"/>
      <c r="C1950" s="133"/>
      <c r="D1950" s="133"/>
      <c r="E1950" s="17"/>
      <c r="F1950" s="133"/>
      <c r="G1950" s="133"/>
      <c r="H1950" s="133"/>
      <c r="I1950" s="133"/>
      <c r="J1950" s="133"/>
      <c r="K1950" s="133"/>
      <c r="L1950" s="133"/>
      <c r="M1950" s="133"/>
      <c r="N1950" s="133"/>
      <c r="O1950" s="133"/>
      <c r="P1950" s="134"/>
      <c r="Q1950" s="146"/>
      <c r="R1950" s="17"/>
      <c r="S1950" s="17"/>
      <c r="T1950" s="75"/>
      <c r="U1950" s="75"/>
      <c r="V1950" s="75"/>
      <c r="W1950" s="75"/>
      <c r="X1950" s="75"/>
    </row>
    <row r="1951">
      <c r="A1951" s="17"/>
      <c r="B1951" s="17"/>
      <c r="C1951" s="133"/>
      <c r="D1951" s="133"/>
      <c r="E1951" s="17"/>
      <c r="F1951" s="133"/>
      <c r="G1951" s="133"/>
      <c r="H1951" s="133"/>
      <c r="I1951" s="133"/>
      <c r="J1951" s="133"/>
      <c r="K1951" s="133"/>
      <c r="L1951" s="133"/>
      <c r="M1951" s="133"/>
      <c r="N1951" s="133"/>
      <c r="O1951" s="133"/>
      <c r="P1951" s="134"/>
      <c r="Q1951" s="146"/>
      <c r="R1951" s="17"/>
      <c r="S1951" s="17"/>
      <c r="T1951" s="75"/>
      <c r="U1951" s="75"/>
      <c r="V1951" s="75"/>
      <c r="W1951" s="75"/>
      <c r="X1951" s="75"/>
    </row>
    <row r="1952">
      <c r="A1952" s="17"/>
      <c r="B1952" s="17"/>
      <c r="C1952" s="133"/>
      <c r="D1952" s="133"/>
      <c r="E1952" s="17"/>
      <c r="F1952" s="133"/>
      <c r="G1952" s="133"/>
      <c r="H1952" s="133"/>
      <c r="I1952" s="133"/>
      <c r="J1952" s="133"/>
      <c r="K1952" s="133"/>
      <c r="L1952" s="133"/>
      <c r="M1952" s="133"/>
      <c r="N1952" s="133"/>
      <c r="O1952" s="133"/>
      <c r="P1952" s="134"/>
      <c r="Q1952" s="146"/>
      <c r="R1952" s="17"/>
      <c r="S1952" s="17"/>
      <c r="T1952" s="75"/>
      <c r="U1952" s="75"/>
      <c r="V1952" s="75"/>
      <c r="W1952" s="75"/>
      <c r="X1952" s="75"/>
    </row>
    <row r="1953">
      <c r="A1953" s="17"/>
      <c r="B1953" s="17"/>
      <c r="C1953" s="133"/>
      <c r="D1953" s="133"/>
      <c r="E1953" s="17"/>
      <c r="F1953" s="133"/>
      <c r="G1953" s="133"/>
      <c r="H1953" s="133"/>
      <c r="I1953" s="133"/>
      <c r="J1953" s="133"/>
      <c r="K1953" s="133"/>
      <c r="L1953" s="133"/>
      <c r="M1953" s="133"/>
      <c r="N1953" s="133"/>
      <c r="O1953" s="133"/>
      <c r="P1953" s="134"/>
      <c r="Q1953" s="146"/>
      <c r="R1953" s="17"/>
      <c r="S1953" s="17"/>
      <c r="T1953" s="75"/>
      <c r="U1953" s="75"/>
      <c r="V1953" s="75"/>
      <c r="W1953" s="75"/>
      <c r="X1953" s="75"/>
    </row>
    <row r="1954">
      <c r="A1954" s="17"/>
      <c r="B1954" s="17"/>
      <c r="C1954" s="133"/>
      <c r="D1954" s="133"/>
      <c r="E1954" s="17"/>
      <c r="F1954" s="133"/>
      <c r="G1954" s="133"/>
      <c r="H1954" s="133"/>
      <c r="I1954" s="133"/>
      <c r="J1954" s="133"/>
      <c r="K1954" s="133"/>
      <c r="L1954" s="133"/>
      <c r="M1954" s="133"/>
      <c r="N1954" s="133"/>
      <c r="O1954" s="133"/>
      <c r="P1954" s="134"/>
      <c r="Q1954" s="146"/>
      <c r="R1954" s="17"/>
      <c r="S1954" s="17"/>
      <c r="T1954" s="75"/>
      <c r="U1954" s="75"/>
      <c r="V1954" s="75"/>
      <c r="W1954" s="75"/>
      <c r="X1954" s="75"/>
    </row>
    <row r="1955">
      <c r="A1955" s="17"/>
      <c r="B1955" s="17"/>
      <c r="C1955" s="133"/>
      <c r="D1955" s="133"/>
      <c r="E1955" s="17"/>
      <c r="F1955" s="133"/>
      <c r="G1955" s="133"/>
      <c r="H1955" s="133"/>
      <c r="I1955" s="133"/>
      <c r="J1955" s="133"/>
      <c r="K1955" s="133"/>
      <c r="L1955" s="133"/>
      <c r="M1955" s="133"/>
      <c r="N1955" s="133"/>
      <c r="O1955" s="133"/>
      <c r="P1955" s="134"/>
      <c r="Q1955" s="146"/>
      <c r="R1955" s="17"/>
      <c r="S1955" s="17"/>
      <c r="T1955" s="75"/>
      <c r="U1955" s="75"/>
      <c r="V1955" s="75"/>
      <c r="W1955" s="75"/>
      <c r="X1955" s="75"/>
    </row>
    <row r="1956">
      <c r="A1956" s="17"/>
      <c r="B1956" s="17"/>
      <c r="C1956" s="133"/>
      <c r="D1956" s="133"/>
      <c r="E1956" s="17"/>
      <c r="F1956" s="133"/>
      <c r="G1956" s="133"/>
      <c r="H1956" s="133"/>
      <c r="I1956" s="133"/>
      <c r="J1956" s="133"/>
      <c r="K1956" s="133"/>
      <c r="L1956" s="133"/>
      <c r="M1956" s="133"/>
      <c r="N1956" s="133"/>
      <c r="O1956" s="133"/>
      <c r="P1956" s="134"/>
      <c r="Q1956" s="146"/>
      <c r="R1956" s="17"/>
      <c r="S1956" s="17"/>
      <c r="T1956" s="75"/>
      <c r="U1956" s="75"/>
      <c r="V1956" s="75"/>
      <c r="W1956" s="75"/>
      <c r="X1956" s="75"/>
    </row>
    <row r="1957">
      <c r="A1957" s="17"/>
      <c r="B1957" s="17"/>
      <c r="C1957" s="133"/>
      <c r="D1957" s="133"/>
      <c r="E1957" s="17"/>
      <c r="F1957" s="133"/>
      <c r="G1957" s="133"/>
      <c r="H1957" s="133"/>
      <c r="I1957" s="133"/>
      <c r="J1957" s="133"/>
      <c r="K1957" s="133"/>
      <c r="L1957" s="133"/>
      <c r="M1957" s="133"/>
      <c r="N1957" s="133"/>
      <c r="O1957" s="133"/>
      <c r="P1957" s="134"/>
      <c r="Q1957" s="146"/>
      <c r="R1957" s="17"/>
      <c r="S1957" s="17"/>
      <c r="T1957" s="75"/>
      <c r="U1957" s="75"/>
      <c r="V1957" s="75"/>
      <c r="W1957" s="75"/>
      <c r="X1957" s="75"/>
    </row>
    <row r="1958">
      <c r="A1958" s="17"/>
      <c r="B1958" s="17"/>
      <c r="C1958" s="133"/>
      <c r="D1958" s="133"/>
      <c r="E1958" s="17"/>
      <c r="F1958" s="133"/>
      <c r="G1958" s="133"/>
      <c r="H1958" s="133"/>
      <c r="I1958" s="133"/>
      <c r="J1958" s="133"/>
      <c r="K1958" s="133"/>
      <c r="L1958" s="133"/>
      <c r="M1958" s="133"/>
      <c r="N1958" s="133"/>
      <c r="O1958" s="133"/>
      <c r="P1958" s="134"/>
      <c r="Q1958" s="146"/>
      <c r="R1958" s="17"/>
      <c r="S1958" s="17"/>
      <c r="T1958" s="75"/>
      <c r="U1958" s="75"/>
      <c r="V1958" s="75"/>
      <c r="W1958" s="75"/>
      <c r="X1958" s="75"/>
    </row>
    <row r="1959">
      <c r="A1959" s="17"/>
      <c r="B1959" s="17"/>
      <c r="C1959" s="133"/>
      <c r="D1959" s="133"/>
      <c r="E1959" s="17"/>
      <c r="F1959" s="133"/>
      <c r="G1959" s="133"/>
      <c r="H1959" s="133"/>
      <c r="I1959" s="133"/>
      <c r="J1959" s="133"/>
      <c r="K1959" s="133"/>
      <c r="L1959" s="133"/>
      <c r="M1959" s="133"/>
      <c r="N1959" s="133"/>
      <c r="O1959" s="133"/>
      <c r="P1959" s="134"/>
      <c r="Q1959" s="146"/>
      <c r="R1959" s="17"/>
      <c r="S1959" s="17"/>
      <c r="T1959" s="75"/>
      <c r="U1959" s="75"/>
      <c r="V1959" s="75"/>
      <c r="W1959" s="75"/>
      <c r="X1959" s="75"/>
    </row>
    <row r="1960">
      <c r="A1960" s="17"/>
      <c r="B1960" s="17"/>
      <c r="C1960" s="133"/>
      <c r="D1960" s="133"/>
      <c r="E1960" s="17"/>
      <c r="F1960" s="133"/>
      <c r="G1960" s="133"/>
      <c r="H1960" s="133"/>
      <c r="I1960" s="133"/>
      <c r="J1960" s="133"/>
      <c r="K1960" s="133"/>
      <c r="L1960" s="133"/>
      <c r="M1960" s="133"/>
      <c r="N1960" s="133"/>
      <c r="O1960" s="133"/>
      <c r="P1960" s="134"/>
      <c r="Q1960" s="146"/>
      <c r="R1960" s="17"/>
      <c r="S1960" s="17"/>
      <c r="T1960" s="75"/>
      <c r="U1960" s="75"/>
      <c r="V1960" s="75"/>
      <c r="W1960" s="75"/>
      <c r="X1960" s="75"/>
    </row>
    <row r="1961">
      <c r="A1961" s="17"/>
      <c r="B1961" s="17"/>
      <c r="C1961" s="133"/>
      <c r="D1961" s="133"/>
      <c r="E1961" s="17"/>
      <c r="F1961" s="133"/>
      <c r="G1961" s="133"/>
      <c r="H1961" s="133"/>
      <c r="I1961" s="133"/>
      <c r="J1961" s="133"/>
      <c r="K1961" s="133"/>
      <c r="L1961" s="133"/>
      <c r="M1961" s="133"/>
      <c r="N1961" s="133"/>
      <c r="O1961" s="133"/>
      <c r="P1961" s="134"/>
      <c r="Q1961" s="146"/>
      <c r="R1961" s="17"/>
      <c r="S1961" s="17"/>
      <c r="T1961" s="75"/>
      <c r="U1961" s="75"/>
      <c r="V1961" s="75"/>
      <c r="W1961" s="75"/>
      <c r="X1961" s="75"/>
    </row>
    <row r="1962">
      <c r="A1962" s="17"/>
      <c r="B1962" s="17"/>
      <c r="C1962" s="133"/>
      <c r="D1962" s="133"/>
      <c r="E1962" s="17"/>
      <c r="F1962" s="133"/>
      <c r="G1962" s="133"/>
      <c r="H1962" s="133"/>
      <c r="I1962" s="133"/>
      <c r="J1962" s="133"/>
      <c r="K1962" s="133"/>
      <c r="L1962" s="133"/>
      <c r="M1962" s="133"/>
      <c r="N1962" s="133"/>
      <c r="O1962" s="133"/>
      <c r="P1962" s="134"/>
      <c r="Q1962" s="146"/>
      <c r="R1962" s="17"/>
      <c r="S1962" s="17"/>
      <c r="T1962" s="75"/>
      <c r="U1962" s="75"/>
      <c r="V1962" s="75"/>
      <c r="W1962" s="75"/>
      <c r="X1962" s="75"/>
    </row>
    <row r="1963">
      <c r="A1963" s="17"/>
      <c r="B1963" s="17"/>
      <c r="C1963" s="133"/>
      <c r="D1963" s="133"/>
      <c r="E1963" s="17"/>
      <c r="F1963" s="133"/>
      <c r="G1963" s="133"/>
      <c r="H1963" s="133"/>
      <c r="I1963" s="133"/>
      <c r="J1963" s="133"/>
      <c r="K1963" s="133"/>
      <c r="L1963" s="133"/>
      <c r="M1963" s="133"/>
      <c r="N1963" s="133"/>
      <c r="O1963" s="133"/>
      <c r="P1963" s="134"/>
      <c r="Q1963" s="146"/>
      <c r="R1963" s="17"/>
      <c r="S1963" s="17"/>
      <c r="T1963" s="75"/>
      <c r="U1963" s="75"/>
      <c r="V1963" s="75"/>
      <c r="W1963" s="75"/>
      <c r="X1963" s="75"/>
    </row>
    <row r="1964">
      <c r="A1964" s="17"/>
      <c r="B1964" s="17"/>
      <c r="C1964" s="133"/>
      <c r="D1964" s="133"/>
      <c r="E1964" s="17"/>
      <c r="F1964" s="133"/>
      <c r="G1964" s="133"/>
      <c r="H1964" s="133"/>
      <c r="I1964" s="133"/>
      <c r="J1964" s="133"/>
      <c r="K1964" s="133"/>
      <c r="L1964" s="133"/>
      <c r="M1964" s="133"/>
      <c r="N1964" s="133"/>
      <c r="O1964" s="133"/>
      <c r="P1964" s="134"/>
      <c r="Q1964" s="146"/>
      <c r="R1964" s="17"/>
      <c r="S1964" s="17"/>
      <c r="T1964" s="75"/>
      <c r="U1964" s="75"/>
      <c r="V1964" s="75"/>
      <c r="W1964" s="75"/>
      <c r="X1964" s="75"/>
    </row>
    <row r="1965">
      <c r="A1965" s="17"/>
      <c r="B1965" s="17"/>
      <c r="C1965" s="133"/>
      <c r="D1965" s="133"/>
      <c r="E1965" s="17"/>
      <c r="F1965" s="133"/>
      <c r="G1965" s="133"/>
      <c r="H1965" s="133"/>
      <c r="I1965" s="133"/>
      <c r="J1965" s="133"/>
      <c r="K1965" s="133"/>
      <c r="L1965" s="133"/>
      <c r="M1965" s="133"/>
      <c r="N1965" s="133"/>
      <c r="O1965" s="133"/>
      <c r="P1965" s="134"/>
      <c r="Q1965" s="146"/>
      <c r="R1965" s="17"/>
      <c r="S1965" s="17"/>
      <c r="T1965" s="75"/>
      <c r="U1965" s="75"/>
      <c r="V1965" s="75"/>
      <c r="W1965" s="75"/>
      <c r="X1965" s="75"/>
    </row>
    <row r="1966">
      <c r="A1966" s="17"/>
      <c r="B1966" s="17"/>
      <c r="C1966" s="133"/>
      <c r="D1966" s="133"/>
      <c r="E1966" s="17"/>
      <c r="F1966" s="133"/>
      <c r="G1966" s="133"/>
      <c r="H1966" s="133"/>
      <c r="I1966" s="133"/>
      <c r="J1966" s="133"/>
      <c r="K1966" s="133"/>
      <c r="L1966" s="133"/>
      <c r="M1966" s="133"/>
      <c r="N1966" s="133"/>
      <c r="O1966" s="133"/>
      <c r="P1966" s="134"/>
      <c r="Q1966" s="146"/>
      <c r="R1966" s="17"/>
      <c r="S1966" s="17"/>
      <c r="T1966" s="75"/>
      <c r="U1966" s="75"/>
      <c r="V1966" s="75"/>
      <c r="W1966" s="75"/>
      <c r="X1966" s="75"/>
    </row>
    <row r="1967">
      <c r="A1967" s="17"/>
      <c r="B1967" s="17"/>
      <c r="C1967" s="133"/>
      <c r="D1967" s="133"/>
      <c r="E1967" s="17"/>
      <c r="F1967" s="133"/>
      <c r="G1967" s="133"/>
      <c r="H1967" s="133"/>
      <c r="I1967" s="133"/>
      <c r="J1967" s="133"/>
      <c r="K1967" s="133"/>
      <c r="L1967" s="133"/>
      <c r="M1967" s="133"/>
      <c r="N1967" s="133"/>
      <c r="O1967" s="133"/>
      <c r="P1967" s="134"/>
      <c r="Q1967" s="146"/>
      <c r="R1967" s="17"/>
      <c r="S1967" s="17"/>
      <c r="T1967" s="75"/>
      <c r="U1967" s="75"/>
      <c r="V1967" s="75"/>
      <c r="W1967" s="75"/>
      <c r="X1967" s="75"/>
    </row>
    <row r="1968">
      <c r="A1968" s="17"/>
      <c r="B1968" s="17"/>
      <c r="C1968" s="133"/>
      <c r="D1968" s="133"/>
      <c r="E1968" s="17"/>
      <c r="F1968" s="133"/>
      <c r="G1968" s="133"/>
      <c r="H1968" s="133"/>
      <c r="I1968" s="133"/>
      <c r="J1968" s="133"/>
      <c r="K1968" s="133"/>
      <c r="L1968" s="133"/>
      <c r="M1968" s="133"/>
      <c r="N1968" s="133"/>
      <c r="O1968" s="133"/>
      <c r="P1968" s="134"/>
      <c r="Q1968" s="146"/>
      <c r="R1968" s="17"/>
      <c r="S1968" s="17"/>
      <c r="T1968" s="75"/>
      <c r="U1968" s="75"/>
      <c r="V1968" s="75"/>
      <c r="W1968" s="75"/>
      <c r="X1968" s="75"/>
    </row>
    <row r="1969">
      <c r="A1969" s="17"/>
      <c r="B1969" s="17"/>
      <c r="C1969" s="133"/>
      <c r="D1969" s="133"/>
      <c r="E1969" s="17"/>
      <c r="F1969" s="133"/>
      <c r="G1969" s="133"/>
      <c r="H1969" s="133"/>
      <c r="I1969" s="133"/>
      <c r="J1969" s="133"/>
      <c r="K1969" s="133"/>
      <c r="L1969" s="133"/>
      <c r="M1969" s="133"/>
      <c r="N1969" s="133"/>
      <c r="O1969" s="133"/>
      <c r="P1969" s="134"/>
      <c r="Q1969" s="146"/>
      <c r="R1969" s="17"/>
      <c r="S1969" s="17"/>
      <c r="T1969" s="75"/>
      <c r="U1969" s="75"/>
      <c r="V1969" s="75"/>
      <c r="W1969" s="75"/>
      <c r="X1969" s="75"/>
    </row>
    <row r="1970">
      <c r="A1970" s="17"/>
      <c r="B1970" s="17"/>
      <c r="C1970" s="133"/>
      <c r="D1970" s="133"/>
      <c r="E1970" s="17"/>
      <c r="F1970" s="133"/>
      <c r="G1970" s="133"/>
      <c r="H1970" s="133"/>
      <c r="I1970" s="133"/>
      <c r="J1970" s="133"/>
      <c r="K1970" s="133"/>
      <c r="L1970" s="133"/>
      <c r="M1970" s="133"/>
      <c r="N1970" s="133"/>
      <c r="O1970" s="133"/>
      <c r="P1970" s="134"/>
      <c r="Q1970" s="146"/>
      <c r="R1970" s="17"/>
      <c r="S1970" s="17"/>
      <c r="T1970" s="75"/>
      <c r="U1970" s="75"/>
      <c r="V1970" s="75"/>
      <c r="W1970" s="75"/>
      <c r="X1970" s="75"/>
    </row>
    <row r="1971">
      <c r="A1971" s="17"/>
      <c r="B1971" s="17"/>
      <c r="C1971" s="133"/>
      <c r="D1971" s="133"/>
      <c r="E1971" s="17"/>
      <c r="F1971" s="133"/>
      <c r="G1971" s="133"/>
      <c r="H1971" s="133"/>
      <c r="I1971" s="133"/>
      <c r="J1971" s="133"/>
      <c r="K1971" s="133"/>
      <c r="L1971" s="133"/>
      <c r="M1971" s="133"/>
      <c r="N1971" s="133"/>
      <c r="O1971" s="133"/>
      <c r="P1971" s="134"/>
      <c r="Q1971" s="146"/>
      <c r="R1971" s="17"/>
      <c r="S1971" s="17"/>
      <c r="T1971" s="75"/>
      <c r="U1971" s="75"/>
      <c r="V1971" s="75"/>
      <c r="W1971" s="75"/>
      <c r="X1971" s="75"/>
    </row>
    <row r="1972">
      <c r="A1972" s="17"/>
      <c r="B1972" s="17"/>
      <c r="C1972" s="133"/>
      <c r="D1972" s="133"/>
      <c r="E1972" s="17"/>
      <c r="F1972" s="133"/>
      <c r="G1972" s="133"/>
      <c r="H1972" s="133"/>
      <c r="I1972" s="133"/>
      <c r="J1972" s="133"/>
      <c r="K1972" s="133"/>
      <c r="L1972" s="133"/>
      <c r="M1972" s="133"/>
      <c r="N1972" s="133"/>
      <c r="O1972" s="133"/>
      <c r="P1972" s="134"/>
      <c r="Q1972" s="146"/>
      <c r="R1972" s="17"/>
      <c r="S1972" s="17"/>
      <c r="T1972" s="75"/>
      <c r="U1972" s="75"/>
      <c r="V1972" s="75"/>
      <c r="W1972" s="75"/>
      <c r="X1972" s="75"/>
    </row>
    <row r="1973">
      <c r="A1973" s="17"/>
      <c r="B1973" s="17"/>
      <c r="C1973" s="133"/>
      <c r="D1973" s="133"/>
      <c r="E1973" s="17"/>
      <c r="F1973" s="133"/>
      <c r="G1973" s="133"/>
      <c r="H1973" s="133"/>
      <c r="I1973" s="133"/>
      <c r="J1973" s="133"/>
      <c r="K1973" s="133"/>
      <c r="L1973" s="133"/>
      <c r="M1973" s="133"/>
      <c r="N1973" s="133"/>
      <c r="O1973" s="133"/>
      <c r="P1973" s="134"/>
      <c r="Q1973" s="146"/>
      <c r="R1973" s="17"/>
      <c r="S1973" s="17"/>
      <c r="T1973" s="75"/>
      <c r="U1973" s="75"/>
      <c r="V1973" s="75"/>
      <c r="W1973" s="75"/>
      <c r="X1973" s="75"/>
    </row>
    <row r="1974">
      <c r="A1974" s="17"/>
      <c r="B1974" s="17"/>
      <c r="C1974" s="133"/>
      <c r="D1974" s="133"/>
      <c r="E1974" s="17"/>
      <c r="F1974" s="133"/>
      <c r="G1974" s="133"/>
      <c r="H1974" s="133"/>
      <c r="I1974" s="133"/>
      <c r="J1974" s="133"/>
      <c r="K1974" s="133"/>
      <c r="L1974" s="133"/>
      <c r="M1974" s="133"/>
      <c r="N1974" s="133"/>
      <c r="O1974" s="133"/>
      <c r="P1974" s="134"/>
      <c r="Q1974" s="146"/>
      <c r="R1974" s="17"/>
      <c r="S1974" s="17"/>
      <c r="T1974" s="75"/>
      <c r="U1974" s="75"/>
      <c r="V1974" s="75"/>
      <c r="W1974" s="75"/>
      <c r="X1974" s="75"/>
    </row>
    <row r="1975">
      <c r="A1975" s="17"/>
      <c r="B1975" s="17"/>
      <c r="C1975" s="133"/>
      <c r="D1975" s="133"/>
      <c r="E1975" s="17"/>
      <c r="F1975" s="133"/>
      <c r="G1975" s="133"/>
      <c r="H1975" s="133"/>
      <c r="I1975" s="133"/>
      <c r="J1975" s="133"/>
      <c r="K1975" s="133"/>
      <c r="L1975" s="133"/>
      <c r="M1975" s="133"/>
      <c r="N1975" s="133"/>
      <c r="O1975" s="133"/>
      <c r="P1975" s="134"/>
      <c r="Q1975" s="146"/>
      <c r="R1975" s="17"/>
      <c r="S1975" s="17"/>
      <c r="T1975" s="75"/>
      <c r="U1975" s="75"/>
      <c r="V1975" s="75"/>
      <c r="W1975" s="75"/>
      <c r="X1975" s="75"/>
    </row>
    <row r="1976">
      <c r="A1976" s="17"/>
      <c r="B1976" s="17"/>
      <c r="C1976" s="133"/>
      <c r="D1976" s="133"/>
      <c r="E1976" s="17"/>
      <c r="F1976" s="133"/>
      <c r="G1976" s="133"/>
      <c r="H1976" s="133"/>
      <c r="I1976" s="133"/>
      <c r="J1976" s="133"/>
      <c r="K1976" s="133"/>
      <c r="L1976" s="133"/>
      <c r="M1976" s="133"/>
      <c r="N1976" s="133"/>
      <c r="O1976" s="133"/>
      <c r="P1976" s="134"/>
      <c r="Q1976" s="146"/>
      <c r="R1976" s="17"/>
      <c r="S1976" s="17"/>
      <c r="T1976" s="75"/>
      <c r="U1976" s="75"/>
      <c r="V1976" s="75"/>
      <c r="W1976" s="75"/>
      <c r="X1976" s="75"/>
    </row>
    <row r="1977">
      <c r="A1977" s="17"/>
      <c r="B1977" s="17"/>
      <c r="C1977" s="133"/>
      <c r="D1977" s="133"/>
      <c r="E1977" s="17"/>
      <c r="F1977" s="133"/>
      <c r="G1977" s="133"/>
      <c r="H1977" s="133"/>
      <c r="I1977" s="133"/>
      <c r="J1977" s="133"/>
      <c r="K1977" s="133"/>
      <c r="L1977" s="133"/>
      <c r="M1977" s="133"/>
      <c r="N1977" s="133"/>
      <c r="O1977" s="133"/>
      <c r="P1977" s="134"/>
      <c r="Q1977" s="146"/>
      <c r="R1977" s="17"/>
      <c r="S1977" s="17"/>
      <c r="T1977" s="75"/>
      <c r="U1977" s="75"/>
      <c r="V1977" s="75"/>
      <c r="W1977" s="75"/>
      <c r="X1977" s="75"/>
    </row>
    <row r="1978">
      <c r="A1978" s="17"/>
      <c r="B1978" s="17"/>
      <c r="C1978" s="133"/>
      <c r="D1978" s="133"/>
      <c r="E1978" s="17"/>
      <c r="F1978" s="133"/>
      <c r="G1978" s="133"/>
      <c r="H1978" s="133"/>
      <c r="I1978" s="133"/>
      <c r="J1978" s="133"/>
      <c r="K1978" s="133"/>
      <c r="L1978" s="133"/>
      <c r="M1978" s="133"/>
      <c r="N1978" s="133"/>
      <c r="O1978" s="133"/>
      <c r="P1978" s="134"/>
      <c r="Q1978" s="146"/>
      <c r="R1978" s="17"/>
      <c r="S1978" s="17"/>
      <c r="T1978" s="75"/>
      <c r="U1978" s="75"/>
      <c r="V1978" s="75"/>
      <c r="W1978" s="75"/>
      <c r="X1978" s="75"/>
    </row>
    <row r="1979">
      <c r="A1979" s="17"/>
      <c r="B1979" s="17"/>
      <c r="C1979" s="133"/>
      <c r="D1979" s="133"/>
      <c r="E1979" s="17"/>
      <c r="F1979" s="133"/>
      <c r="G1979" s="133"/>
      <c r="H1979" s="133"/>
      <c r="I1979" s="133"/>
      <c r="J1979" s="133"/>
      <c r="K1979" s="133"/>
      <c r="L1979" s="133"/>
      <c r="M1979" s="133"/>
      <c r="N1979" s="133"/>
      <c r="O1979" s="133"/>
      <c r="P1979" s="134"/>
      <c r="Q1979" s="146"/>
      <c r="R1979" s="17"/>
      <c r="S1979" s="17"/>
      <c r="T1979" s="75"/>
      <c r="U1979" s="75"/>
      <c r="V1979" s="75"/>
      <c r="W1979" s="75"/>
      <c r="X1979" s="75"/>
    </row>
    <row r="1980">
      <c r="A1980" s="17"/>
      <c r="B1980" s="17"/>
      <c r="C1980" s="133"/>
      <c r="D1980" s="133"/>
      <c r="E1980" s="17"/>
      <c r="F1980" s="133"/>
      <c r="G1980" s="133"/>
      <c r="H1980" s="133"/>
      <c r="I1980" s="133"/>
      <c r="J1980" s="133"/>
      <c r="K1980" s="133"/>
      <c r="L1980" s="133"/>
      <c r="M1980" s="133"/>
      <c r="N1980" s="133"/>
      <c r="O1980" s="133"/>
      <c r="P1980" s="134"/>
      <c r="Q1980" s="146"/>
      <c r="R1980" s="17"/>
      <c r="S1980" s="17"/>
      <c r="T1980" s="75"/>
      <c r="U1980" s="75"/>
      <c r="V1980" s="75"/>
      <c r="W1980" s="75"/>
      <c r="X1980" s="75"/>
    </row>
    <row r="1981">
      <c r="A1981" s="17"/>
      <c r="B1981" s="17"/>
      <c r="C1981" s="133"/>
      <c r="D1981" s="133"/>
      <c r="E1981" s="17"/>
      <c r="F1981" s="133"/>
      <c r="G1981" s="133"/>
      <c r="H1981" s="133"/>
      <c r="I1981" s="133"/>
      <c r="J1981" s="133"/>
      <c r="K1981" s="133"/>
      <c r="L1981" s="133"/>
      <c r="M1981" s="133"/>
      <c r="N1981" s="133"/>
      <c r="O1981" s="133"/>
      <c r="P1981" s="134"/>
      <c r="Q1981" s="146"/>
      <c r="R1981" s="17"/>
      <c r="S1981" s="17"/>
      <c r="T1981" s="75"/>
      <c r="U1981" s="75"/>
      <c r="V1981" s="75"/>
      <c r="W1981" s="75"/>
      <c r="X1981" s="75"/>
    </row>
    <row r="1982">
      <c r="A1982" s="17"/>
      <c r="B1982" s="17"/>
      <c r="C1982" s="133"/>
      <c r="D1982" s="133"/>
      <c r="E1982" s="17"/>
      <c r="F1982" s="133"/>
      <c r="G1982" s="133"/>
      <c r="H1982" s="133"/>
      <c r="I1982" s="133"/>
      <c r="J1982" s="133"/>
      <c r="K1982" s="133"/>
      <c r="L1982" s="133"/>
      <c r="M1982" s="133"/>
      <c r="N1982" s="133"/>
      <c r="O1982" s="133"/>
      <c r="P1982" s="134"/>
      <c r="Q1982" s="146"/>
      <c r="R1982" s="17"/>
      <c r="S1982" s="17"/>
      <c r="T1982" s="75"/>
      <c r="U1982" s="75"/>
      <c r="V1982" s="75"/>
      <c r="W1982" s="75"/>
      <c r="X1982" s="75"/>
    </row>
    <row r="1983">
      <c r="A1983" s="17"/>
      <c r="B1983" s="17"/>
      <c r="C1983" s="133"/>
      <c r="D1983" s="133"/>
      <c r="E1983" s="17"/>
      <c r="F1983" s="133"/>
      <c r="G1983" s="133"/>
      <c r="H1983" s="133"/>
      <c r="I1983" s="133"/>
      <c r="J1983" s="133"/>
      <c r="K1983" s="133"/>
      <c r="L1983" s="133"/>
      <c r="M1983" s="133"/>
      <c r="N1983" s="133"/>
      <c r="O1983" s="133"/>
      <c r="P1983" s="134"/>
      <c r="Q1983" s="146"/>
      <c r="R1983" s="17"/>
      <c r="S1983" s="17"/>
      <c r="T1983" s="75"/>
      <c r="U1983" s="75"/>
      <c r="V1983" s="75"/>
      <c r="W1983" s="75"/>
      <c r="X1983" s="75"/>
    </row>
    <row r="1984">
      <c r="A1984" s="17"/>
      <c r="B1984" s="17"/>
      <c r="C1984" s="133"/>
      <c r="D1984" s="133"/>
      <c r="E1984" s="17"/>
      <c r="F1984" s="133"/>
      <c r="G1984" s="133"/>
      <c r="H1984" s="133"/>
      <c r="I1984" s="133"/>
      <c r="J1984" s="133"/>
      <c r="K1984" s="133"/>
      <c r="L1984" s="133"/>
      <c r="M1984" s="133"/>
      <c r="N1984" s="133"/>
      <c r="O1984" s="133"/>
      <c r="P1984" s="134"/>
      <c r="Q1984" s="146"/>
      <c r="R1984" s="17"/>
      <c r="S1984" s="17"/>
      <c r="T1984" s="75"/>
      <c r="U1984" s="75"/>
      <c r="V1984" s="75"/>
      <c r="W1984" s="75"/>
      <c r="X1984" s="75"/>
    </row>
    <row r="1985">
      <c r="A1985" s="17"/>
      <c r="B1985" s="17"/>
      <c r="C1985" s="133"/>
      <c r="D1985" s="133"/>
      <c r="E1985" s="17"/>
      <c r="F1985" s="133"/>
      <c r="G1985" s="133"/>
      <c r="H1985" s="133"/>
      <c r="I1985" s="133"/>
      <c r="J1985" s="133"/>
      <c r="K1985" s="133"/>
      <c r="L1985" s="133"/>
      <c r="M1985" s="133"/>
      <c r="N1985" s="133"/>
      <c r="O1985" s="133"/>
      <c r="P1985" s="134"/>
      <c r="Q1985" s="146"/>
      <c r="R1985" s="17"/>
      <c r="S1985" s="17"/>
      <c r="T1985" s="75"/>
      <c r="U1985" s="75"/>
      <c r="V1985" s="75"/>
      <c r="W1985" s="75"/>
      <c r="X1985" s="75"/>
    </row>
    <row r="1986">
      <c r="A1986" s="17"/>
      <c r="B1986" s="17"/>
      <c r="C1986" s="133"/>
      <c r="D1986" s="133"/>
      <c r="E1986" s="17"/>
      <c r="F1986" s="133"/>
      <c r="G1986" s="133"/>
      <c r="H1986" s="133"/>
      <c r="I1986" s="133"/>
      <c r="J1986" s="133"/>
      <c r="K1986" s="133"/>
      <c r="L1986" s="133"/>
      <c r="M1986" s="133"/>
      <c r="N1986" s="133"/>
      <c r="O1986" s="133"/>
      <c r="P1986" s="134"/>
      <c r="Q1986" s="146"/>
      <c r="R1986" s="17"/>
      <c r="S1986" s="17"/>
      <c r="T1986" s="75"/>
      <c r="U1986" s="75"/>
      <c r="V1986" s="75"/>
      <c r="W1986" s="75"/>
      <c r="X1986" s="75"/>
    </row>
    <row r="1987">
      <c r="A1987" s="17"/>
      <c r="B1987" s="17"/>
      <c r="C1987" s="133"/>
      <c r="D1987" s="133"/>
      <c r="E1987" s="17"/>
      <c r="F1987" s="133"/>
      <c r="G1987" s="133"/>
      <c r="H1987" s="133"/>
      <c r="I1987" s="133"/>
      <c r="J1987" s="133"/>
      <c r="K1987" s="133"/>
      <c r="L1987" s="133"/>
      <c r="M1987" s="133"/>
      <c r="N1987" s="133"/>
      <c r="O1987" s="133"/>
      <c r="P1987" s="134"/>
      <c r="Q1987" s="146"/>
      <c r="R1987" s="17"/>
      <c r="S1987" s="17"/>
      <c r="T1987" s="75"/>
      <c r="U1987" s="75"/>
      <c r="V1987" s="75"/>
      <c r="W1987" s="75"/>
      <c r="X1987" s="75"/>
    </row>
    <row r="1988">
      <c r="A1988" s="17"/>
      <c r="B1988" s="17"/>
      <c r="C1988" s="133"/>
      <c r="D1988" s="133"/>
      <c r="E1988" s="17"/>
      <c r="F1988" s="133"/>
      <c r="G1988" s="133"/>
      <c r="H1988" s="133"/>
      <c r="I1988" s="133"/>
      <c r="J1988" s="133"/>
      <c r="K1988" s="133"/>
      <c r="L1988" s="133"/>
      <c r="M1988" s="133"/>
      <c r="N1988" s="133"/>
      <c r="O1988" s="133"/>
      <c r="P1988" s="134"/>
      <c r="Q1988" s="146"/>
      <c r="R1988" s="17"/>
      <c r="S1988" s="17"/>
      <c r="T1988" s="75"/>
      <c r="U1988" s="75"/>
      <c r="V1988" s="75"/>
      <c r="W1988" s="75"/>
      <c r="X1988" s="75"/>
    </row>
    <row r="1989">
      <c r="A1989" s="17"/>
      <c r="B1989" s="17"/>
      <c r="C1989" s="133"/>
      <c r="D1989" s="133"/>
      <c r="E1989" s="17"/>
      <c r="F1989" s="133"/>
      <c r="G1989" s="133"/>
      <c r="H1989" s="133"/>
      <c r="I1989" s="133"/>
      <c r="J1989" s="133"/>
      <c r="K1989" s="133"/>
      <c r="L1989" s="133"/>
      <c r="M1989" s="133"/>
      <c r="N1989" s="133"/>
      <c r="O1989" s="133"/>
      <c r="P1989" s="134"/>
      <c r="Q1989" s="146"/>
      <c r="R1989" s="17"/>
      <c r="S1989" s="17"/>
      <c r="T1989" s="75"/>
      <c r="U1989" s="75"/>
      <c r="V1989" s="75"/>
      <c r="W1989" s="75"/>
      <c r="X1989" s="75"/>
    </row>
    <row r="1990">
      <c r="A1990" s="17"/>
      <c r="B1990" s="17"/>
      <c r="C1990" s="133"/>
      <c r="D1990" s="133"/>
      <c r="E1990" s="17"/>
      <c r="F1990" s="133"/>
      <c r="G1990" s="133"/>
      <c r="H1990" s="133"/>
      <c r="I1990" s="133"/>
      <c r="J1990" s="133"/>
      <c r="K1990" s="133"/>
      <c r="L1990" s="133"/>
      <c r="M1990" s="133"/>
      <c r="N1990" s="133"/>
      <c r="O1990" s="133"/>
      <c r="P1990" s="134"/>
      <c r="Q1990" s="146"/>
      <c r="R1990" s="17"/>
      <c r="S1990" s="17"/>
      <c r="T1990" s="75"/>
      <c r="U1990" s="75"/>
      <c r="V1990" s="75"/>
      <c r="W1990" s="75"/>
      <c r="X1990" s="75"/>
    </row>
    <row r="1991">
      <c r="A1991" s="17"/>
      <c r="B1991" s="17"/>
      <c r="C1991" s="133"/>
      <c r="D1991" s="133"/>
      <c r="E1991" s="17"/>
      <c r="F1991" s="133"/>
      <c r="G1991" s="133"/>
      <c r="H1991" s="133"/>
      <c r="I1991" s="133"/>
      <c r="J1991" s="133"/>
      <c r="K1991" s="133"/>
      <c r="L1991" s="133"/>
      <c r="M1991" s="133"/>
      <c r="N1991" s="133"/>
      <c r="O1991" s="133"/>
      <c r="P1991" s="134"/>
      <c r="Q1991" s="146"/>
      <c r="R1991" s="17"/>
      <c r="S1991" s="17"/>
      <c r="T1991" s="75"/>
      <c r="U1991" s="75"/>
      <c r="V1991" s="75"/>
      <c r="W1991" s="75"/>
      <c r="X1991" s="75"/>
    </row>
    <row r="1992">
      <c r="A1992" s="17"/>
      <c r="B1992" s="17"/>
      <c r="C1992" s="133"/>
      <c r="D1992" s="133"/>
      <c r="E1992" s="17"/>
      <c r="F1992" s="133"/>
      <c r="G1992" s="133"/>
      <c r="H1992" s="133"/>
      <c r="I1992" s="133"/>
      <c r="J1992" s="133"/>
      <c r="K1992" s="133"/>
      <c r="L1992" s="133"/>
      <c r="M1992" s="133"/>
      <c r="N1992" s="133"/>
      <c r="O1992" s="133"/>
      <c r="P1992" s="134"/>
      <c r="Q1992" s="146"/>
      <c r="R1992" s="17"/>
      <c r="S1992" s="17"/>
      <c r="T1992" s="75"/>
      <c r="U1992" s="75"/>
      <c r="V1992" s="75"/>
      <c r="W1992" s="75"/>
      <c r="X1992" s="75"/>
    </row>
    <row r="1993">
      <c r="A1993" s="17"/>
      <c r="B1993" s="17"/>
      <c r="C1993" s="133"/>
      <c r="D1993" s="133"/>
      <c r="E1993" s="17"/>
      <c r="F1993" s="133"/>
      <c r="G1993" s="133"/>
      <c r="H1993" s="133"/>
      <c r="I1993" s="133"/>
      <c r="J1993" s="133"/>
      <c r="K1993" s="133"/>
      <c r="L1993" s="133"/>
      <c r="M1993" s="133"/>
      <c r="N1993" s="133"/>
      <c r="O1993" s="133"/>
      <c r="P1993" s="134"/>
      <c r="Q1993" s="146"/>
      <c r="R1993" s="17"/>
      <c r="S1993" s="17"/>
      <c r="T1993" s="75"/>
      <c r="U1993" s="75"/>
      <c r="V1993" s="75"/>
      <c r="W1993" s="75"/>
      <c r="X1993" s="75"/>
    </row>
    <row r="1994">
      <c r="A1994" s="17"/>
      <c r="B1994" s="17"/>
      <c r="C1994" s="133"/>
      <c r="D1994" s="133"/>
      <c r="E1994" s="17"/>
      <c r="F1994" s="133"/>
      <c r="G1994" s="133"/>
      <c r="H1994" s="133"/>
      <c r="I1994" s="133"/>
      <c r="J1994" s="133"/>
      <c r="K1994" s="133"/>
      <c r="L1994" s="133"/>
      <c r="M1994" s="133"/>
      <c r="N1994" s="133"/>
      <c r="O1994" s="133"/>
      <c r="P1994" s="134"/>
      <c r="Q1994" s="146"/>
      <c r="R1994" s="17"/>
      <c r="S1994" s="17"/>
      <c r="T1994" s="75"/>
      <c r="U1994" s="75"/>
      <c r="V1994" s="75"/>
      <c r="W1994" s="75"/>
      <c r="X1994" s="75"/>
    </row>
    <row r="1995">
      <c r="A1995" s="17"/>
      <c r="B1995" s="17"/>
      <c r="C1995" s="133"/>
      <c r="D1995" s="133"/>
      <c r="E1995" s="17"/>
      <c r="F1995" s="133"/>
      <c r="G1995" s="133"/>
      <c r="H1995" s="133"/>
      <c r="I1995" s="133"/>
      <c r="J1995" s="133"/>
      <c r="K1995" s="133"/>
      <c r="L1995" s="133"/>
      <c r="M1995" s="133"/>
      <c r="N1995" s="133"/>
      <c r="O1995" s="133"/>
      <c r="P1995" s="134"/>
      <c r="Q1995" s="146"/>
      <c r="R1995" s="17"/>
      <c r="S1995" s="17"/>
      <c r="T1995" s="75"/>
      <c r="U1995" s="75"/>
      <c r="V1995" s="75"/>
      <c r="W1995" s="75"/>
      <c r="X1995" s="75"/>
    </row>
    <row r="1996">
      <c r="A1996" s="17"/>
      <c r="B1996" s="17"/>
      <c r="C1996" s="133"/>
      <c r="D1996" s="133"/>
      <c r="E1996" s="17"/>
      <c r="F1996" s="133"/>
      <c r="G1996" s="133"/>
      <c r="H1996" s="133"/>
      <c r="I1996" s="133"/>
      <c r="J1996" s="133"/>
      <c r="K1996" s="133"/>
      <c r="L1996" s="133"/>
      <c r="M1996" s="133"/>
      <c r="N1996" s="133"/>
      <c r="O1996" s="133"/>
      <c r="P1996" s="134"/>
      <c r="Q1996" s="146"/>
      <c r="R1996" s="17"/>
      <c r="S1996" s="17"/>
      <c r="T1996" s="75"/>
      <c r="U1996" s="75"/>
      <c r="V1996" s="75"/>
      <c r="W1996" s="75"/>
      <c r="X1996" s="75"/>
    </row>
    <row r="1997">
      <c r="A1997" s="17"/>
      <c r="B1997" s="17"/>
      <c r="C1997" s="133"/>
      <c r="D1997" s="133"/>
      <c r="E1997" s="17"/>
      <c r="F1997" s="133"/>
      <c r="G1997" s="133"/>
      <c r="H1997" s="133"/>
      <c r="I1997" s="133"/>
      <c r="J1997" s="133"/>
      <c r="K1997" s="133"/>
      <c r="L1997" s="133"/>
      <c r="M1997" s="133"/>
      <c r="N1997" s="133"/>
      <c r="O1997" s="133"/>
      <c r="P1997" s="134"/>
      <c r="Q1997" s="146"/>
      <c r="R1997" s="17"/>
      <c r="S1997" s="17"/>
      <c r="T1997" s="75"/>
      <c r="U1997" s="75"/>
      <c r="V1997" s="75"/>
      <c r="W1997" s="75"/>
      <c r="X1997" s="75"/>
    </row>
    <row r="1998">
      <c r="A1998" s="17"/>
      <c r="B1998" s="17"/>
      <c r="C1998" s="133"/>
      <c r="D1998" s="133"/>
      <c r="E1998" s="17"/>
      <c r="F1998" s="133"/>
      <c r="G1998" s="133"/>
      <c r="H1998" s="133"/>
      <c r="I1998" s="133"/>
      <c r="J1998" s="133"/>
      <c r="K1998" s="133"/>
      <c r="L1998" s="133"/>
      <c r="M1998" s="133"/>
      <c r="N1998" s="133"/>
      <c r="O1998" s="133"/>
      <c r="P1998" s="134"/>
      <c r="Q1998" s="146"/>
      <c r="R1998" s="17"/>
      <c r="S1998" s="17"/>
      <c r="T1998" s="75"/>
      <c r="U1998" s="75"/>
      <c r="V1998" s="75"/>
      <c r="W1998" s="75"/>
      <c r="X1998" s="75"/>
    </row>
    <row r="1999">
      <c r="A1999" s="17"/>
      <c r="B1999" s="17"/>
      <c r="C1999" s="133"/>
      <c r="D1999" s="133"/>
      <c r="E1999" s="17"/>
      <c r="F1999" s="133"/>
      <c r="G1999" s="133"/>
      <c r="H1999" s="133"/>
      <c r="I1999" s="133"/>
      <c r="J1999" s="133"/>
      <c r="K1999" s="133"/>
      <c r="L1999" s="133"/>
      <c r="M1999" s="133"/>
      <c r="N1999" s="133"/>
      <c r="O1999" s="133"/>
      <c r="P1999" s="134"/>
      <c r="Q1999" s="146"/>
      <c r="R1999" s="17"/>
      <c r="S1999" s="17"/>
      <c r="T1999" s="75"/>
      <c r="U1999" s="75"/>
      <c r="V1999" s="75"/>
      <c r="W1999" s="75"/>
      <c r="X1999" s="75"/>
    </row>
    <row r="2000">
      <c r="A2000" s="17"/>
      <c r="B2000" s="17"/>
      <c r="C2000" s="133"/>
      <c r="D2000" s="133"/>
      <c r="E2000" s="17"/>
      <c r="F2000" s="133"/>
      <c r="G2000" s="133"/>
      <c r="H2000" s="133"/>
      <c r="I2000" s="133"/>
      <c r="J2000" s="133"/>
      <c r="K2000" s="133"/>
      <c r="L2000" s="133"/>
      <c r="M2000" s="133"/>
      <c r="N2000" s="133"/>
      <c r="O2000" s="133"/>
      <c r="P2000" s="134"/>
      <c r="Q2000" s="146"/>
      <c r="R2000" s="17"/>
      <c r="S2000" s="17"/>
      <c r="T2000" s="75"/>
      <c r="U2000" s="75"/>
      <c r="V2000" s="75"/>
      <c r="W2000" s="75"/>
      <c r="X2000" s="75"/>
    </row>
    <row r="2001">
      <c r="A2001" s="17"/>
      <c r="B2001" s="17"/>
      <c r="C2001" s="133"/>
      <c r="D2001" s="133"/>
      <c r="E2001" s="17"/>
      <c r="F2001" s="133"/>
      <c r="G2001" s="133"/>
      <c r="H2001" s="133"/>
      <c r="I2001" s="133"/>
      <c r="J2001" s="133"/>
      <c r="K2001" s="133"/>
      <c r="L2001" s="133"/>
      <c r="M2001" s="133"/>
      <c r="N2001" s="133"/>
      <c r="O2001" s="133"/>
      <c r="P2001" s="134"/>
      <c r="Q2001" s="146"/>
      <c r="R2001" s="17"/>
      <c r="S2001" s="17"/>
      <c r="T2001" s="75"/>
      <c r="U2001" s="75"/>
      <c r="V2001" s="75"/>
      <c r="W2001" s="75"/>
      <c r="X2001" s="75"/>
    </row>
    <row r="2002">
      <c r="A2002" s="17"/>
      <c r="B2002" s="17"/>
      <c r="C2002" s="133"/>
      <c r="D2002" s="133"/>
      <c r="E2002" s="17"/>
      <c r="F2002" s="133"/>
      <c r="G2002" s="133"/>
      <c r="H2002" s="133"/>
      <c r="I2002" s="133"/>
      <c r="J2002" s="133"/>
      <c r="K2002" s="133"/>
      <c r="L2002" s="133"/>
      <c r="M2002" s="133"/>
      <c r="N2002" s="133"/>
      <c r="O2002" s="133"/>
      <c r="P2002" s="134"/>
      <c r="Q2002" s="146"/>
      <c r="R2002" s="17"/>
      <c r="S2002" s="17"/>
      <c r="T2002" s="75"/>
      <c r="U2002" s="75"/>
      <c r="V2002" s="75"/>
      <c r="W2002" s="75"/>
      <c r="X2002" s="75"/>
    </row>
    <row r="2003">
      <c r="A2003" s="17"/>
      <c r="B2003" s="17"/>
      <c r="C2003" s="133"/>
      <c r="D2003" s="133"/>
      <c r="E2003" s="17"/>
      <c r="F2003" s="133"/>
      <c r="G2003" s="133"/>
      <c r="H2003" s="133"/>
      <c r="I2003" s="133"/>
      <c r="J2003" s="133"/>
      <c r="K2003" s="133"/>
      <c r="L2003" s="133"/>
      <c r="M2003" s="133"/>
      <c r="N2003" s="133"/>
      <c r="O2003" s="133"/>
      <c r="P2003" s="134"/>
      <c r="Q2003" s="146"/>
      <c r="R2003" s="17"/>
      <c r="S2003" s="17"/>
      <c r="T2003" s="75"/>
      <c r="U2003" s="75"/>
      <c r="V2003" s="75"/>
      <c r="W2003" s="75"/>
      <c r="X2003" s="75"/>
    </row>
    <row r="2004">
      <c r="A2004" s="17"/>
      <c r="B2004" s="17"/>
      <c r="C2004" s="133"/>
      <c r="D2004" s="133"/>
      <c r="E2004" s="17"/>
      <c r="F2004" s="133"/>
      <c r="G2004" s="133"/>
      <c r="H2004" s="133"/>
      <c r="I2004" s="133"/>
      <c r="J2004" s="133"/>
      <c r="K2004" s="133"/>
      <c r="L2004" s="133"/>
      <c r="M2004" s="133"/>
      <c r="N2004" s="133"/>
      <c r="O2004" s="133"/>
      <c r="P2004" s="134"/>
      <c r="Q2004" s="146"/>
      <c r="R2004" s="17"/>
      <c r="S2004" s="17"/>
      <c r="T2004" s="75"/>
      <c r="U2004" s="75"/>
      <c r="V2004" s="75"/>
      <c r="W2004" s="75"/>
      <c r="X2004" s="75"/>
    </row>
    <row r="2005">
      <c r="A2005" s="17"/>
      <c r="B2005" s="17"/>
      <c r="C2005" s="133"/>
      <c r="D2005" s="133"/>
      <c r="E2005" s="17"/>
      <c r="F2005" s="133"/>
      <c r="G2005" s="133"/>
      <c r="H2005" s="133"/>
      <c r="I2005" s="133"/>
      <c r="J2005" s="133"/>
      <c r="K2005" s="133"/>
      <c r="L2005" s="133"/>
      <c r="M2005" s="133"/>
      <c r="N2005" s="133"/>
      <c r="O2005" s="133"/>
      <c r="P2005" s="134"/>
      <c r="Q2005" s="146"/>
      <c r="R2005" s="17"/>
      <c r="S2005" s="17"/>
      <c r="T2005" s="75"/>
      <c r="U2005" s="75"/>
      <c r="V2005" s="75"/>
      <c r="W2005" s="75"/>
      <c r="X2005" s="75"/>
    </row>
    <row r="2006">
      <c r="A2006" s="17"/>
      <c r="B2006" s="17"/>
      <c r="C2006" s="133"/>
      <c r="D2006" s="133"/>
      <c r="E2006" s="17"/>
      <c r="F2006" s="133"/>
      <c r="G2006" s="133"/>
      <c r="H2006" s="133"/>
      <c r="I2006" s="133"/>
      <c r="J2006" s="133"/>
      <c r="K2006" s="133"/>
      <c r="L2006" s="133"/>
      <c r="M2006" s="133"/>
      <c r="N2006" s="133"/>
      <c r="O2006" s="133"/>
      <c r="P2006" s="134"/>
      <c r="Q2006" s="146"/>
      <c r="R2006" s="17"/>
      <c r="S2006" s="17"/>
      <c r="T2006" s="75"/>
      <c r="U2006" s="75"/>
      <c r="V2006" s="75"/>
      <c r="W2006" s="75"/>
      <c r="X2006" s="75"/>
    </row>
    <row r="2007">
      <c r="A2007" s="17"/>
      <c r="B2007" s="17"/>
      <c r="C2007" s="133"/>
      <c r="D2007" s="133"/>
      <c r="E2007" s="17"/>
      <c r="F2007" s="133"/>
      <c r="G2007" s="133"/>
      <c r="H2007" s="133"/>
      <c r="I2007" s="133"/>
      <c r="J2007" s="133"/>
      <c r="K2007" s="133"/>
      <c r="L2007" s="133"/>
      <c r="M2007" s="133"/>
      <c r="N2007" s="133"/>
      <c r="O2007" s="133"/>
      <c r="P2007" s="134"/>
      <c r="Q2007" s="146"/>
      <c r="R2007" s="17"/>
      <c r="S2007" s="17"/>
      <c r="T2007" s="75"/>
      <c r="U2007" s="75"/>
      <c r="V2007" s="75"/>
      <c r="W2007" s="75"/>
      <c r="X2007" s="75"/>
    </row>
    <row r="2008">
      <c r="A2008" s="17"/>
      <c r="B2008" s="17"/>
      <c r="C2008" s="133"/>
      <c r="D2008" s="133"/>
      <c r="E2008" s="17"/>
      <c r="F2008" s="133"/>
      <c r="G2008" s="133"/>
      <c r="H2008" s="133"/>
      <c r="I2008" s="133"/>
      <c r="J2008" s="133"/>
      <c r="K2008" s="133"/>
      <c r="L2008" s="133"/>
      <c r="M2008" s="133"/>
      <c r="N2008" s="133"/>
      <c r="O2008" s="133"/>
      <c r="P2008" s="134"/>
      <c r="Q2008" s="146"/>
      <c r="R2008" s="17"/>
      <c r="S2008" s="17"/>
      <c r="T2008" s="75"/>
      <c r="U2008" s="75"/>
      <c r="V2008" s="75"/>
      <c r="W2008" s="75"/>
      <c r="X2008" s="75"/>
    </row>
    <row r="2009">
      <c r="A2009" s="17"/>
      <c r="B2009" s="17"/>
      <c r="C2009" s="133"/>
      <c r="D2009" s="133"/>
      <c r="E2009" s="17"/>
      <c r="F2009" s="133"/>
      <c r="G2009" s="133"/>
      <c r="H2009" s="133"/>
      <c r="I2009" s="133"/>
      <c r="J2009" s="133"/>
      <c r="K2009" s="133"/>
      <c r="L2009" s="133"/>
      <c r="M2009" s="133"/>
      <c r="N2009" s="133"/>
      <c r="O2009" s="133"/>
      <c r="P2009" s="134"/>
      <c r="Q2009" s="146"/>
      <c r="R2009" s="17"/>
      <c r="S2009" s="17"/>
      <c r="T2009" s="75"/>
      <c r="U2009" s="75"/>
      <c r="V2009" s="75"/>
      <c r="W2009" s="75"/>
      <c r="X2009" s="75"/>
    </row>
    <row r="2010">
      <c r="A2010" s="17"/>
      <c r="B2010" s="17"/>
      <c r="C2010" s="133"/>
      <c r="D2010" s="133"/>
      <c r="E2010" s="17"/>
      <c r="F2010" s="133"/>
      <c r="G2010" s="133"/>
      <c r="H2010" s="133"/>
      <c r="I2010" s="133"/>
      <c r="J2010" s="133"/>
      <c r="K2010" s="133"/>
      <c r="L2010" s="133"/>
      <c r="M2010" s="133"/>
      <c r="N2010" s="133"/>
      <c r="O2010" s="133"/>
      <c r="P2010" s="134"/>
      <c r="Q2010" s="146"/>
      <c r="R2010" s="17"/>
      <c r="S2010" s="17"/>
      <c r="T2010" s="75"/>
      <c r="U2010" s="75"/>
      <c r="V2010" s="75"/>
      <c r="W2010" s="75"/>
      <c r="X2010" s="75"/>
    </row>
    <row r="2011">
      <c r="A2011" s="17"/>
      <c r="B2011" s="17"/>
      <c r="C2011" s="133"/>
      <c r="D2011" s="133"/>
      <c r="E2011" s="17"/>
      <c r="F2011" s="133"/>
      <c r="G2011" s="133"/>
      <c r="H2011" s="133"/>
      <c r="I2011" s="133"/>
      <c r="J2011" s="133"/>
      <c r="K2011" s="133"/>
      <c r="L2011" s="133"/>
      <c r="M2011" s="133"/>
      <c r="N2011" s="133"/>
      <c r="O2011" s="133"/>
      <c r="P2011" s="134"/>
      <c r="Q2011" s="146"/>
      <c r="R2011" s="17"/>
      <c r="S2011" s="17"/>
      <c r="T2011" s="75"/>
      <c r="U2011" s="75"/>
      <c r="V2011" s="75"/>
      <c r="W2011" s="75"/>
      <c r="X2011" s="75"/>
    </row>
    <row r="2012">
      <c r="A2012" s="17"/>
      <c r="B2012" s="17"/>
      <c r="C2012" s="133"/>
      <c r="D2012" s="133"/>
      <c r="E2012" s="17"/>
      <c r="F2012" s="133"/>
      <c r="G2012" s="133"/>
      <c r="H2012" s="133"/>
      <c r="I2012" s="133"/>
      <c r="J2012" s="133"/>
      <c r="K2012" s="133"/>
      <c r="L2012" s="133"/>
      <c r="M2012" s="133"/>
      <c r="N2012" s="133"/>
      <c r="O2012" s="133"/>
      <c r="P2012" s="134"/>
      <c r="Q2012" s="146"/>
      <c r="R2012" s="17"/>
      <c r="S2012" s="17"/>
      <c r="T2012" s="75"/>
      <c r="U2012" s="75"/>
      <c r="V2012" s="75"/>
      <c r="W2012" s="75"/>
      <c r="X2012" s="75"/>
    </row>
    <row r="2013">
      <c r="A2013" s="17"/>
      <c r="B2013" s="17"/>
      <c r="C2013" s="133"/>
      <c r="D2013" s="133"/>
      <c r="E2013" s="17"/>
      <c r="F2013" s="133"/>
      <c r="G2013" s="133"/>
      <c r="H2013" s="133"/>
      <c r="I2013" s="133"/>
      <c r="J2013" s="133"/>
      <c r="K2013" s="133"/>
      <c r="L2013" s="133"/>
      <c r="M2013" s="133"/>
      <c r="N2013" s="133"/>
      <c r="O2013" s="133"/>
      <c r="P2013" s="134"/>
      <c r="Q2013" s="146"/>
      <c r="R2013" s="17"/>
      <c r="S2013" s="17"/>
      <c r="T2013" s="75"/>
      <c r="U2013" s="75"/>
      <c r="V2013" s="75"/>
      <c r="W2013" s="75"/>
      <c r="X2013" s="75"/>
    </row>
    <row r="2014">
      <c r="A2014" s="17"/>
      <c r="B2014" s="17"/>
      <c r="C2014" s="133"/>
      <c r="D2014" s="133"/>
      <c r="E2014" s="17"/>
      <c r="F2014" s="133"/>
      <c r="G2014" s="133"/>
      <c r="H2014" s="133"/>
      <c r="I2014" s="133"/>
      <c r="J2014" s="133"/>
      <c r="K2014" s="133"/>
      <c r="L2014" s="133"/>
      <c r="M2014" s="133"/>
      <c r="N2014" s="133"/>
      <c r="O2014" s="133"/>
      <c r="P2014" s="134"/>
      <c r="Q2014" s="146"/>
      <c r="R2014" s="17"/>
      <c r="S2014" s="17"/>
      <c r="T2014" s="75"/>
      <c r="U2014" s="75"/>
      <c r="V2014" s="75"/>
      <c r="W2014" s="75"/>
      <c r="X2014" s="75"/>
    </row>
    <row r="2015">
      <c r="A2015" s="17"/>
      <c r="B2015" s="17"/>
      <c r="C2015" s="133"/>
      <c r="D2015" s="133"/>
      <c r="E2015" s="17"/>
      <c r="F2015" s="133"/>
      <c r="G2015" s="133"/>
      <c r="H2015" s="133"/>
      <c r="I2015" s="133"/>
      <c r="J2015" s="133"/>
      <c r="K2015" s="133"/>
      <c r="L2015" s="133"/>
      <c r="M2015" s="133"/>
      <c r="N2015" s="133"/>
      <c r="O2015" s="133"/>
      <c r="P2015" s="134"/>
      <c r="Q2015" s="146"/>
      <c r="R2015" s="17"/>
      <c r="S2015" s="17"/>
      <c r="T2015" s="75"/>
      <c r="U2015" s="75"/>
      <c r="V2015" s="75"/>
      <c r="W2015" s="75"/>
      <c r="X2015" s="75"/>
    </row>
    <row r="2016">
      <c r="A2016" s="17"/>
      <c r="B2016" s="17"/>
      <c r="C2016" s="133"/>
      <c r="D2016" s="133"/>
      <c r="E2016" s="17"/>
      <c r="F2016" s="133"/>
      <c r="G2016" s="133"/>
      <c r="H2016" s="133"/>
      <c r="I2016" s="133"/>
      <c r="J2016" s="133"/>
      <c r="K2016" s="133"/>
      <c r="L2016" s="133"/>
      <c r="M2016" s="133"/>
      <c r="N2016" s="133"/>
      <c r="O2016" s="133"/>
      <c r="P2016" s="134"/>
      <c r="Q2016" s="146"/>
      <c r="R2016" s="17"/>
      <c r="S2016" s="17"/>
      <c r="T2016" s="75"/>
      <c r="U2016" s="75"/>
      <c r="V2016" s="75"/>
      <c r="W2016" s="75"/>
      <c r="X2016" s="75"/>
    </row>
    <row r="2017">
      <c r="A2017" s="17"/>
      <c r="B2017" s="17"/>
      <c r="C2017" s="133"/>
      <c r="D2017" s="133"/>
      <c r="E2017" s="17"/>
      <c r="F2017" s="133"/>
      <c r="G2017" s="133"/>
      <c r="H2017" s="133"/>
      <c r="I2017" s="133"/>
      <c r="J2017" s="133"/>
      <c r="K2017" s="133"/>
      <c r="L2017" s="133"/>
      <c r="M2017" s="133"/>
      <c r="N2017" s="133"/>
      <c r="O2017" s="133"/>
      <c r="P2017" s="134"/>
      <c r="Q2017" s="146"/>
      <c r="R2017" s="17"/>
      <c r="S2017" s="17"/>
      <c r="T2017" s="75"/>
      <c r="U2017" s="75"/>
      <c r="V2017" s="75"/>
      <c r="W2017" s="75"/>
      <c r="X2017" s="75"/>
    </row>
    <row r="2018">
      <c r="A2018" s="17"/>
      <c r="B2018" s="17"/>
      <c r="C2018" s="133"/>
      <c r="D2018" s="133"/>
      <c r="E2018" s="17"/>
      <c r="F2018" s="133"/>
      <c r="G2018" s="133"/>
      <c r="H2018" s="133"/>
      <c r="I2018" s="133"/>
      <c r="J2018" s="133"/>
      <c r="K2018" s="133"/>
      <c r="L2018" s="133"/>
      <c r="M2018" s="133"/>
      <c r="N2018" s="133"/>
      <c r="O2018" s="133"/>
      <c r="P2018" s="134"/>
      <c r="Q2018" s="146"/>
      <c r="R2018" s="17"/>
      <c r="S2018" s="17"/>
      <c r="T2018" s="75"/>
      <c r="U2018" s="75"/>
      <c r="V2018" s="75"/>
      <c r="W2018" s="75"/>
      <c r="X2018" s="75"/>
    </row>
    <row r="2019">
      <c r="A2019" s="17"/>
      <c r="B2019" s="17"/>
      <c r="C2019" s="133"/>
      <c r="D2019" s="133"/>
      <c r="E2019" s="17"/>
      <c r="F2019" s="133"/>
      <c r="G2019" s="133"/>
      <c r="H2019" s="133"/>
      <c r="I2019" s="133"/>
      <c r="J2019" s="133"/>
      <c r="K2019" s="133"/>
      <c r="L2019" s="133"/>
      <c r="M2019" s="133"/>
      <c r="N2019" s="133"/>
      <c r="O2019" s="133"/>
      <c r="P2019" s="134"/>
      <c r="Q2019" s="146"/>
      <c r="R2019" s="17"/>
      <c r="S2019" s="17"/>
      <c r="T2019" s="75"/>
      <c r="U2019" s="75"/>
      <c r="V2019" s="75"/>
      <c r="W2019" s="75"/>
      <c r="X2019" s="75"/>
    </row>
    <row r="2020">
      <c r="A2020" s="17"/>
      <c r="B2020" s="17"/>
      <c r="C2020" s="133"/>
      <c r="D2020" s="133"/>
      <c r="E2020" s="17"/>
      <c r="F2020" s="133"/>
      <c r="G2020" s="133"/>
      <c r="H2020" s="133"/>
      <c r="I2020" s="133"/>
      <c r="J2020" s="133"/>
      <c r="K2020" s="133"/>
      <c r="L2020" s="133"/>
      <c r="M2020" s="133"/>
      <c r="N2020" s="133"/>
      <c r="O2020" s="133"/>
      <c r="P2020" s="134"/>
      <c r="Q2020" s="146"/>
      <c r="R2020" s="17"/>
      <c r="S2020" s="17"/>
      <c r="T2020" s="75"/>
      <c r="U2020" s="75"/>
      <c r="V2020" s="75"/>
      <c r="W2020" s="75"/>
      <c r="X2020" s="75"/>
    </row>
    <row r="2021">
      <c r="A2021" s="17"/>
      <c r="B2021" s="17"/>
      <c r="C2021" s="133"/>
      <c r="D2021" s="133"/>
      <c r="E2021" s="17"/>
      <c r="F2021" s="133"/>
      <c r="G2021" s="133"/>
      <c r="H2021" s="133"/>
      <c r="I2021" s="133"/>
      <c r="J2021" s="133"/>
      <c r="K2021" s="133"/>
      <c r="L2021" s="133"/>
      <c r="M2021" s="133"/>
      <c r="N2021" s="133"/>
      <c r="O2021" s="133"/>
      <c r="P2021" s="134"/>
      <c r="Q2021" s="146"/>
      <c r="R2021" s="17"/>
      <c r="S2021" s="17"/>
      <c r="T2021" s="75"/>
      <c r="U2021" s="75"/>
      <c r="V2021" s="75"/>
      <c r="W2021" s="75"/>
      <c r="X2021" s="75"/>
    </row>
    <row r="2022">
      <c r="A2022" s="17"/>
      <c r="B2022" s="17"/>
      <c r="C2022" s="133"/>
      <c r="D2022" s="133"/>
      <c r="E2022" s="17"/>
      <c r="F2022" s="133"/>
      <c r="G2022" s="133"/>
      <c r="H2022" s="133"/>
      <c r="I2022" s="133"/>
      <c r="J2022" s="133"/>
      <c r="K2022" s="133"/>
      <c r="L2022" s="133"/>
      <c r="M2022" s="133"/>
      <c r="N2022" s="133"/>
      <c r="O2022" s="133"/>
      <c r="P2022" s="134"/>
      <c r="Q2022" s="146"/>
      <c r="R2022" s="17"/>
      <c r="S2022" s="17"/>
      <c r="T2022" s="75"/>
      <c r="U2022" s="75"/>
      <c r="V2022" s="75"/>
      <c r="W2022" s="75"/>
      <c r="X2022" s="75"/>
    </row>
    <row r="2023">
      <c r="A2023" s="17"/>
      <c r="B2023" s="17"/>
      <c r="C2023" s="133"/>
      <c r="D2023" s="133"/>
      <c r="E2023" s="17"/>
      <c r="F2023" s="133"/>
      <c r="G2023" s="133"/>
      <c r="H2023" s="133"/>
      <c r="I2023" s="133"/>
      <c r="J2023" s="133"/>
      <c r="K2023" s="133"/>
      <c r="L2023" s="133"/>
      <c r="M2023" s="133"/>
      <c r="N2023" s="133"/>
      <c r="O2023" s="133"/>
      <c r="P2023" s="134"/>
      <c r="Q2023" s="146"/>
      <c r="R2023" s="17"/>
      <c r="S2023" s="17"/>
      <c r="T2023" s="75"/>
      <c r="U2023" s="75"/>
      <c r="V2023" s="75"/>
      <c r="W2023" s="75"/>
      <c r="X2023" s="75"/>
    </row>
    <row r="2024">
      <c r="A2024" s="17"/>
      <c r="B2024" s="17"/>
      <c r="C2024" s="133"/>
      <c r="D2024" s="133"/>
      <c r="E2024" s="17"/>
      <c r="F2024" s="133"/>
      <c r="G2024" s="133"/>
      <c r="H2024" s="133"/>
      <c r="I2024" s="133"/>
      <c r="J2024" s="133"/>
      <c r="K2024" s="133"/>
      <c r="L2024" s="133"/>
      <c r="M2024" s="133"/>
      <c r="N2024" s="133"/>
      <c r="O2024" s="133"/>
      <c r="P2024" s="134"/>
      <c r="Q2024" s="146"/>
      <c r="R2024" s="17"/>
      <c r="S2024" s="17"/>
      <c r="T2024" s="75"/>
      <c r="U2024" s="75"/>
      <c r="V2024" s="75"/>
      <c r="W2024" s="75"/>
      <c r="X2024" s="75"/>
    </row>
    <row r="2025">
      <c r="A2025" s="17"/>
      <c r="B2025" s="17"/>
      <c r="C2025" s="133"/>
      <c r="D2025" s="133"/>
      <c r="E2025" s="17"/>
      <c r="F2025" s="133"/>
      <c r="G2025" s="133"/>
      <c r="H2025" s="133"/>
      <c r="I2025" s="133"/>
      <c r="J2025" s="133"/>
      <c r="K2025" s="133"/>
      <c r="L2025" s="133"/>
      <c r="M2025" s="133"/>
      <c r="N2025" s="133"/>
      <c r="O2025" s="133"/>
      <c r="P2025" s="134"/>
      <c r="Q2025" s="146"/>
      <c r="R2025" s="17"/>
      <c r="S2025" s="17"/>
      <c r="T2025" s="75"/>
      <c r="U2025" s="75"/>
      <c r="V2025" s="75"/>
      <c r="W2025" s="75"/>
      <c r="X2025" s="75"/>
    </row>
    <row r="2026">
      <c r="A2026" s="17"/>
      <c r="B2026" s="17"/>
      <c r="C2026" s="133"/>
      <c r="D2026" s="133"/>
      <c r="E2026" s="17"/>
      <c r="F2026" s="133"/>
      <c r="G2026" s="133"/>
      <c r="H2026" s="133"/>
      <c r="I2026" s="133"/>
      <c r="J2026" s="133"/>
      <c r="K2026" s="133"/>
      <c r="L2026" s="133"/>
      <c r="M2026" s="133"/>
      <c r="N2026" s="133"/>
      <c r="O2026" s="133"/>
      <c r="P2026" s="134"/>
      <c r="Q2026" s="146"/>
      <c r="R2026" s="17"/>
      <c r="S2026" s="17"/>
      <c r="T2026" s="75"/>
      <c r="U2026" s="75"/>
      <c r="V2026" s="75"/>
      <c r="W2026" s="75"/>
      <c r="X2026" s="75"/>
    </row>
    <row r="2027">
      <c r="A2027" s="17"/>
      <c r="B2027" s="17"/>
      <c r="C2027" s="133"/>
      <c r="D2027" s="133"/>
      <c r="E2027" s="17"/>
      <c r="F2027" s="133"/>
      <c r="G2027" s="133"/>
      <c r="H2027" s="133"/>
      <c r="I2027" s="133"/>
      <c r="J2027" s="133"/>
      <c r="K2027" s="133"/>
      <c r="L2027" s="133"/>
      <c r="M2027" s="133"/>
      <c r="N2027" s="133"/>
      <c r="O2027" s="133"/>
      <c r="P2027" s="134"/>
      <c r="Q2027" s="146"/>
      <c r="R2027" s="17"/>
      <c r="S2027" s="17"/>
      <c r="T2027" s="75"/>
      <c r="U2027" s="75"/>
      <c r="V2027" s="75"/>
      <c r="W2027" s="75"/>
      <c r="X2027" s="75"/>
    </row>
    <row r="2028">
      <c r="A2028" s="17"/>
      <c r="B2028" s="17"/>
      <c r="C2028" s="133"/>
      <c r="D2028" s="133"/>
      <c r="E2028" s="17"/>
      <c r="F2028" s="133"/>
      <c r="G2028" s="133"/>
      <c r="H2028" s="133"/>
      <c r="I2028" s="133"/>
      <c r="J2028" s="133"/>
      <c r="K2028" s="133"/>
      <c r="L2028" s="133"/>
      <c r="M2028" s="133"/>
      <c r="N2028" s="133"/>
      <c r="O2028" s="133"/>
      <c r="P2028" s="134"/>
      <c r="Q2028" s="146"/>
      <c r="R2028" s="17"/>
      <c r="S2028" s="17"/>
      <c r="T2028" s="75"/>
      <c r="U2028" s="75"/>
      <c r="V2028" s="75"/>
      <c r="W2028" s="75"/>
      <c r="X2028" s="75"/>
    </row>
    <row r="2029">
      <c r="A2029" s="17"/>
      <c r="B2029" s="17"/>
      <c r="C2029" s="133"/>
      <c r="D2029" s="133"/>
      <c r="E2029" s="17"/>
      <c r="F2029" s="133"/>
      <c r="G2029" s="133"/>
      <c r="H2029" s="133"/>
      <c r="I2029" s="133"/>
      <c r="J2029" s="133"/>
      <c r="K2029" s="133"/>
      <c r="L2029" s="133"/>
      <c r="M2029" s="133"/>
      <c r="N2029" s="133"/>
      <c r="O2029" s="133"/>
      <c r="P2029" s="134"/>
      <c r="Q2029" s="146"/>
      <c r="R2029" s="17"/>
      <c r="S2029" s="17"/>
      <c r="T2029" s="75"/>
      <c r="U2029" s="75"/>
      <c r="V2029" s="75"/>
      <c r="W2029" s="75"/>
      <c r="X2029" s="75"/>
    </row>
    <row r="2030">
      <c r="A2030" s="17"/>
      <c r="B2030" s="17"/>
      <c r="C2030" s="133"/>
      <c r="D2030" s="133"/>
      <c r="E2030" s="17"/>
      <c r="F2030" s="133"/>
      <c r="G2030" s="133"/>
      <c r="H2030" s="133"/>
      <c r="I2030" s="133"/>
      <c r="J2030" s="133"/>
      <c r="K2030" s="133"/>
      <c r="L2030" s="133"/>
      <c r="M2030" s="133"/>
      <c r="N2030" s="133"/>
      <c r="O2030" s="133"/>
      <c r="P2030" s="134"/>
      <c r="Q2030" s="146"/>
      <c r="R2030" s="17"/>
      <c r="S2030" s="17"/>
      <c r="T2030" s="75"/>
      <c r="U2030" s="75"/>
      <c r="V2030" s="75"/>
      <c r="W2030" s="75"/>
      <c r="X2030" s="75"/>
    </row>
    <row r="2031">
      <c r="A2031" s="17"/>
      <c r="B2031" s="17"/>
      <c r="C2031" s="133"/>
      <c r="D2031" s="133"/>
      <c r="E2031" s="17"/>
      <c r="F2031" s="133"/>
      <c r="G2031" s="133"/>
      <c r="H2031" s="133"/>
      <c r="I2031" s="133"/>
      <c r="J2031" s="133"/>
      <c r="K2031" s="133"/>
      <c r="L2031" s="133"/>
      <c r="M2031" s="133"/>
      <c r="N2031" s="133"/>
      <c r="O2031" s="133"/>
      <c r="P2031" s="134"/>
      <c r="Q2031" s="146"/>
      <c r="R2031" s="17"/>
      <c r="S2031" s="17"/>
      <c r="T2031" s="75"/>
      <c r="U2031" s="75"/>
      <c r="V2031" s="75"/>
      <c r="W2031" s="75"/>
      <c r="X2031" s="75"/>
    </row>
    <row r="2032">
      <c r="A2032" s="17"/>
      <c r="B2032" s="17"/>
      <c r="C2032" s="133"/>
      <c r="D2032" s="133"/>
      <c r="E2032" s="17"/>
      <c r="F2032" s="133"/>
      <c r="G2032" s="133"/>
      <c r="H2032" s="133"/>
      <c r="I2032" s="133"/>
      <c r="J2032" s="133"/>
      <c r="K2032" s="133"/>
      <c r="L2032" s="133"/>
      <c r="M2032" s="133"/>
      <c r="N2032" s="133"/>
      <c r="O2032" s="133"/>
      <c r="P2032" s="134"/>
      <c r="Q2032" s="146"/>
      <c r="R2032" s="17"/>
      <c r="S2032" s="17"/>
      <c r="T2032" s="75"/>
      <c r="U2032" s="75"/>
      <c r="V2032" s="75"/>
      <c r="W2032" s="75"/>
      <c r="X2032" s="75"/>
    </row>
    <row r="2033">
      <c r="A2033" s="17"/>
      <c r="B2033" s="17"/>
      <c r="C2033" s="133"/>
      <c r="D2033" s="133"/>
      <c r="E2033" s="17"/>
      <c r="F2033" s="133"/>
      <c r="G2033" s="133"/>
      <c r="H2033" s="133"/>
      <c r="I2033" s="133"/>
      <c r="J2033" s="133"/>
      <c r="K2033" s="133"/>
      <c r="L2033" s="133"/>
      <c r="M2033" s="133"/>
      <c r="N2033" s="133"/>
      <c r="O2033" s="133"/>
      <c r="P2033" s="134"/>
      <c r="Q2033" s="146"/>
      <c r="R2033" s="17"/>
      <c r="S2033" s="17"/>
      <c r="T2033" s="75"/>
      <c r="U2033" s="75"/>
      <c r="V2033" s="75"/>
      <c r="W2033" s="75"/>
      <c r="X2033" s="75"/>
    </row>
    <row r="2034">
      <c r="A2034" s="17"/>
      <c r="B2034" s="17"/>
      <c r="C2034" s="133"/>
      <c r="D2034" s="133"/>
      <c r="E2034" s="17"/>
      <c r="F2034" s="133"/>
      <c r="G2034" s="133"/>
      <c r="H2034" s="133"/>
      <c r="I2034" s="133"/>
      <c r="J2034" s="133"/>
      <c r="K2034" s="133"/>
      <c r="L2034" s="133"/>
      <c r="M2034" s="133"/>
      <c r="N2034" s="133"/>
      <c r="O2034" s="133"/>
      <c r="P2034" s="134"/>
      <c r="Q2034" s="146"/>
      <c r="R2034" s="17"/>
      <c r="S2034" s="17"/>
      <c r="T2034" s="75"/>
      <c r="U2034" s="75"/>
      <c r="V2034" s="75"/>
      <c r="W2034" s="75"/>
      <c r="X2034" s="75"/>
    </row>
    <row r="2035">
      <c r="A2035" s="17"/>
      <c r="B2035" s="17"/>
      <c r="C2035" s="133"/>
      <c r="D2035" s="133"/>
      <c r="E2035" s="17"/>
      <c r="F2035" s="133"/>
      <c r="G2035" s="133"/>
      <c r="H2035" s="133"/>
      <c r="I2035" s="133"/>
      <c r="J2035" s="133"/>
      <c r="K2035" s="133"/>
      <c r="L2035" s="133"/>
      <c r="M2035" s="133"/>
      <c r="N2035" s="133"/>
      <c r="O2035" s="133"/>
      <c r="P2035" s="134"/>
      <c r="Q2035" s="146"/>
      <c r="R2035" s="17"/>
      <c r="S2035" s="17"/>
      <c r="T2035" s="75"/>
      <c r="U2035" s="75"/>
      <c r="V2035" s="75"/>
      <c r="W2035" s="75"/>
      <c r="X2035" s="75"/>
    </row>
    <row r="2036">
      <c r="A2036" s="17"/>
      <c r="B2036" s="17"/>
      <c r="C2036" s="133"/>
      <c r="D2036" s="133"/>
      <c r="E2036" s="17"/>
      <c r="F2036" s="133"/>
      <c r="G2036" s="133"/>
      <c r="H2036" s="133"/>
      <c r="I2036" s="133"/>
      <c r="J2036" s="133"/>
      <c r="K2036" s="133"/>
      <c r="L2036" s="133"/>
      <c r="M2036" s="133"/>
      <c r="N2036" s="133"/>
      <c r="O2036" s="133"/>
      <c r="P2036" s="134"/>
      <c r="Q2036" s="146"/>
      <c r="R2036" s="17"/>
      <c r="S2036" s="17"/>
      <c r="T2036" s="75"/>
      <c r="U2036" s="75"/>
      <c r="V2036" s="75"/>
      <c r="W2036" s="75"/>
      <c r="X2036" s="75"/>
    </row>
    <row r="2037">
      <c r="A2037" s="17"/>
      <c r="B2037" s="17"/>
      <c r="C2037" s="133"/>
      <c r="D2037" s="133"/>
      <c r="E2037" s="17"/>
      <c r="F2037" s="133"/>
      <c r="G2037" s="133"/>
      <c r="H2037" s="133"/>
      <c r="I2037" s="133"/>
      <c r="J2037" s="133"/>
      <c r="K2037" s="133"/>
      <c r="L2037" s="133"/>
      <c r="M2037" s="133"/>
      <c r="N2037" s="133"/>
      <c r="O2037" s="133"/>
      <c r="P2037" s="134"/>
      <c r="Q2037" s="146"/>
      <c r="R2037" s="17"/>
      <c r="S2037" s="17"/>
      <c r="T2037" s="75"/>
      <c r="U2037" s="75"/>
      <c r="V2037" s="75"/>
      <c r="W2037" s="75"/>
      <c r="X2037" s="75"/>
    </row>
    <row r="2038">
      <c r="A2038" s="17"/>
      <c r="B2038" s="17"/>
      <c r="C2038" s="133"/>
      <c r="D2038" s="133"/>
      <c r="E2038" s="17"/>
      <c r="F2038" s="133"/>
      <c r="G2038" s="133"/>
      <c r="H2038" s="133"/>
      <c r="I2038" s="133"/>
      <c r="J2038" s="133"/>
      <c r="K2038" s="133"/>
      <c r="L2038" s="133"/>
      <c r="M2038" s="133"/>
      <c r="N2038" s="133"/>
      <c r="O2038" s="133"/>
      <c r="P2038" s="134"/>
      <c r="Q2038" s="146"/>
      <c r="R2038" s="17"/>
      <c r="S2038" s="17"/>
      <c r="T2038" s="75"/>
      <c r="U2038" s="75"/>
      <c r="V2038" s="75"/>
      <c r="W2038" s="75"/>
      <c r="X2038" s="75"/>
    </row>
    <row r="2039">
      <c r="A2039" s="17"/>
      <c r="B2039" s="17"/>
      <c r="C2039" s="133"/>
      <c r="D2039" s="133"/>
      <c r="E2039" s="17"/>
      <c r="F2039" s="133"/>
      <c r="G2039" s="133"/>
      <c r="H2039" s="133"/>
      <c r="I2039" s="133"/>
      <c r="J2039" s="133"/>
      <c r="K2039" s="133"/>
      <c r="L2039" s="133"/>
      <c r="M2039" s="133"/>
      <c r="N2039" s="133"/>
      <c r="O2039" s="133"/>
      <c r="P2039" s="134"/>
      <c r="Q2039" s="146"/>
      <c r="R2039" s="17"/>
      <c r="S2039" s="17"/>
      <c r="T2039" s="75"/>
      <c r="U2039" s="75"/>
      <c r="V2039" s="75"/>
      <c r="W2039" s="75"/>
      <c r="X2039" s="75"/>
    </row>
    <row r="2040">
      <c r="A2040" s="17"/>
      <c r="B2040" s="17"/>
      <c r="C2040" s="133"/>
      <c r="D2040" s="133"/>
      <c r="E2040" s="17"/>
      <c r="F2040" s="133"/>
      <c r="G2040" s="133"/>
      <c r="H2040" s="133"/>
      <c r="I2040" s="133"/>
      <c r="J2040" s="133"/>
      <c r="K2040" s="133"/>
      <c r="L2040" s="133"/>
      <c r="M2040" s="133"/>
      <c r="N2040" s="133"/>
      <c r="O2040" s="133"/>
      <c r="P2040" s="134"/>
      <c r="Q2040" s="146"/>
      <c r="R2040" s="17"/>
      <c r="S2040" s="17"/>
      <c r="T2040" s="75"/>
      <c r="U2040" s="75"/>
      <c r="V2040" s="75"/>
      <c r="W2040" s="75"/>
      <c r="X2040" s="75"/>
    </row>
    <row r="2041">
      <c r="A2041" s="17"/>
      <c r="B2041" s="17"/>
      <c r="C2041" s="133"/>
      <c r="D2041" s="133"/>
      <c r="E2041" s="17"/>
      <c r="F2041" s="133"/>
      <c r="G2041" s="133"/>
      <c r="H2041" s="133"/>
      <c r="I2041" s="133"/>
      <c r="J2041" s="133"/>
      <c r="K2041" s="133"/>
      <c r="L2041" s="133"/>
      <c r="M2041" s="133"/>
      <c r="N2041" s="133"/>
      <c r="O2041" s="133"/>
      <c r="P2041" s="134"/>
      <c r="Q2041" s="146"/>
      <c r="R2041" s="17"/>
      <c r="S2041" s="17"/>
      <c r="T2041" s="75"/>
      <c r="U2041" s="75"/>
      <c r="V2041" s="75"/>
      <c r="W2041" s="75"/>
      <c r="X2041" s="75"/>
    </row>
    <row r="2042">
      <c r="A2042" s="17"/>
      <c r="B2042" s="17"/>
      <c r="C2042" s="133"/>
      <c r="D2042" s="133"/>
      <c r="E2042" s="17"/>
      <c r="F2042" s="133"/>
      <c r="G2042" s="133"/>
      <c r="H2042" s="133"/>
      <c r="I2042" s="133"/>
      <c r="J2042" s="133"/>
      <c r="K2042" s="133"/>
      <c r="L2042" s="133"/>
      <c r="M2042" s="133"/>
      <c r="N2042" s="133"/>
      <c r="O2042" s="133"/>
      <c r="P2042" s="134"/>
      <c r="Q2042" s="146"/>
      <c r="R2042" s="17"/>
      <c r="S2042" s="17"/>
      <c r="T2042" s="75"/>
      <c r="U2042" s="75"/>
      <c r="V2042" s="75"/>
      <c r="W2042" s="75"/>
      <c r="X2042" s="75"/>
    </row>
    <row r="2043">
      <c r="A2043" s="17"/>
      <c r="B2043" s="17"/>
      <c r="C2043" s="133"/>
      <c r="D2043" s="133"/>
      <c r="E2043" s="17"/>
      <c r="F2043" s="133"/>
      <c r="G2043" s="133"/>
      <c r="H2043" s="133"/>
      <c r="I2043" s="133"/>
      <c r="J2043" s="133"/>
      <c r="K2043" s="133"/>
      <c r="L2043" s="133"/>
      <c r="M2043" s="133"/>
      <c r="N2043" s="133"/>
      <c r="O2043" s="133"/>
      <c r="P2043" s="134"/>
      <c r="Q2043" s="146"/>
      <c r="R2043" s="17"/>
      <c r="S2043" s="17"/>
      <c r="T2043" s="75"/>
      <c r="U2043" s="75"/>
      <c r="V2043" s="75"/>
      <c r="W2043" s="75"/>
      <c r="X2043" s="75"/>
    </row>
    <row r="2044">
      <c r="A2044" s="17"/>
      <c r="B2044" s="17"/>
      <c r="C2044" s="133"/>
      <c r="D2044" s="133"/>
      <c r="E2044" s="17"/>
      <c r="F2044" s="133"/>
      <c r="G2044" s="133"/>
      <c r="H2044" s="133"/>
      <c r="I2044" s="133"/>
      <c r="J2044" s="133"/>
      <c r="K2044" s="133"/>
      <c r="L2044" s="133"/>
      <c r="M2044" s="133"/>
      <c r="N2044" s="133"/>
      <c r="O2044" s="133"/>
      <c r="P2044" s="134"/>
      <c r="Q2044" s="146"/>
      <c r="R2044" s="17"/>
      <c r="S2044" s="17"/>
      <c r="T2044" s="75"/>
      <c r="U2044" s="75"/>
      <c r="V2044" s="75"/>
      <c r="W2044" s="75"/>
      <c r="X2044" s="75"/>
    </row>
    <row r="2045">
      <c r="A2045" s="17"/>
      <c r="B2045" s="17"/>
      <c r="C2045" s="133"/>
      <c r="D2045" s="133"/>
      <c r="E2045" s="17"/>
      <c r="F2045" s="133"/>
      <c r="G2045" s="133"/>
      <c r="H2045" s="133"/>
      <c r="I2045" s="133"/>
      <c r="J2045" s="133"/>
      <c r="K2045" s="133"/>
      <c r="L2045" s="133"/>
      <c r="M2045" s="133"/>
      <c r="N2045" s="133"/>
      <c r="O2045" s="133"/>
      <c r="P2045" s="134"/>
      <c r="Q2045" s="146"/>
      <c r="R2045" s="17"/>
      <c r="S2045" s="17"/>
      <c r="T2045" s="75"/>
      <c r="U2045" s="75"/>
      <c r="V2045" s="75"/>
      <c r="W2045" s="75"/>
      <c r="X2045" s="75"/>
    </row>
    <row r="2046">
      <c r="A2046" s="17"/>
      <c r="B2046" s="17"/>
      <c r="C2046" s="133"/>
      <c r="D2046" s="133"/>
      <c r="E2046" s="17"/>
      <c r="F2046" s="133"/>
      <c r="G2046" s="133"/>
      <c r="H2046" s="133"/>
      <c r="I2046" s="133"/>
      <c r="J2046" s="133"/>
      <c r="K2046" s="133"/>
      <c r="L2046" s="133"/>
      <c r="M2046" s="133"/>
      <c r="N2046" s="133"/>
      <c r="O2046" s="133"/>
      <c r="P2046" s="134"/>
      <c r="Q2046" s="146"/>
      <c r="R2046" s="17"/>
      <c r="S2046" s="17"/>
      <c r="T2046" s="75"/>
      <c r="U2046" s="75"/>
      <c r="V2046" s="75"/>
      <c r="W2046" s="75"/>
      <c r="X2046" s="75"/>
    </row>
    <row r="2047">
      <c r="A2047" s="17"/>
      <c r="B2047" s="17"/>
      <c r="C2047" s="133"/>
      <c r="D2047" s="133"/>
      <c r="E2047" s="17"/>
      <c r="F2047" s="133"/>
      <c r="G2047" s="133"/>
      <c r="H2047" s="133"/>
      <c r="I2047" s="133"/>
      <c r="J2047" s="133"/>
      <c r="K2047" s="133"/>
      <c r="L2047" s="133"/>
      <c r="M2047" s="133"/>
      <c r="N2047" s="133"/>
      <c r="O2047" s="133"/>
      <c r="P2047" s="134"/>
      <c r="Q2047" s="146"/>
      <c r="R2047" s="17"/>
      <c r="S2047" s="17"/>
      <c r="T2047" s="75"/>
      <c r="U2047" s="75"/>
      <c r="V2047" s="75"/>
      <c r="W2047" s="75"/>
      <c r="X2047" s="75"/>
    </row>
    <row r="2048">
      <c r="A2048" s="17"/>
      <c r="B2048" s="17"/>
      <c r="C2048" s="133"/>
      <c r="D2048" s="133"/>
      <c r="E2048" s="17"/>
      <c r="F2048" s="133"/>
      <c r="G2048" s="133"/>
      <c r="H2048" s="133"/>
      <c r="I2048" s="133"/>
      <c r="J2048" s="133"/>
      <c r="K2048" s="133"/>
      <c r="L2048" s="133"/>
      <c r="M2048" s="133"/>
      <c r="N2048" s="133"/>
      <c r="O2048" s="133"/>
      <c r="P2048" s="134"/>
      <c r="Q2048" s="146"/>
      <c r="R2048" s="17"/>
      <c r="S2048" s="17"/>
      <c r="T2048" s="75"/>
      <c r="U2048" s="75"/>
      <c r="V2048" s="75"/>
      <c r="W2048" s="75"/>
      <c r="X2048" s="75"/>
    </row>
    <row r="2049">
      <c r="A2049" s="17"/>
      <c r="B2049" s="17"/>
      <c r="C2049" s="133"/>
      <c r="D2049" s="133"/>
      <c r="E2049" s="17"/>
      <c r="F2049" s="133"/>
      <c r="G2049" s="133"/>
      <c r="H2049" s="133"/>
      <c r="I2049" s="133"/>
      <c r="J2049" s="133"/>
      <c r="K2049" s="133"/>
      <c r="L2049" s="133"/>
      <c r="M2049" s="133"/>
      <c r="N2049" s="133"/>
      <c r="O2049" s="133"/>
      <c r="P2049" s="134"/>
      <c r="Q2049" s="146"/>
      <c r="R2049" s="17"/>
      <c r="S2049" s="17"/>
      <c r="T2049" s="75"/>
      <c r="U2049" s="75"/>
      <c r="V2049" s="75"/>
      <c r="W2049" s="75"/>
      <c r="X2049" s="75"/>
    </row>
    <row r="2050">
      <c r="A2050" s="17"/>
      <c r="B2050" s="17"/>
      <c r="C2050" s="133"/>
      <c r="D2050" s="133"/>
      <c r="E2050" s="17"/>
      <c r="F2050" s="133"/>
      <c r="G2050" s="133"/>
      <c r="H2050" s="133"/>
      <c r="I2050" s="133"/>
      <c r="J2050" s="133"/>
      <c r="K2050" s="133"/>
      <c r="L2050" s="133"/>
      <c r="M2050" s="133"/>
      <c r="N2050" s="133"/>
      <c r="O2050" s="133"/>
      <c r="P2050" s="134"/>
      <c r="Q2050" s="146"/>
      <c r="R2050" s="17"/>
      <c r="S2050" s="17"/>
      <c r="T2050" s="75"/>
      <c r="U2050" s="75"/>
      <c r="V2050" s="75"/>
      <c r="W2050" s="75"/>
      <c r="X2050" s="75"/>
    </row>
    <row r="2051">
      <c r="A2051" s="17"/>
      <c r="B2051" s="17"/>
      <c r="C2051" s="133"/>
      <c r="D2051" s="133"/>
      <c r="E2051" s="17"/>
      <c r="F2051" s="133"/>
      <c r="G2051" s="133"/>
      <c r="H2051" s="133"/>
      <c r="I2051" s="133"/>
      <c r="J2051" s="133"/>
      <c r="K2051" s="133"/>
      <c r="L2051" s="133"/>
      <c r="M2051" s="133"/>
      <c r="N2051" s="133"/>
      <c r="O2051" s="133"/>
      <c r="P2051" s="134"/>
      <c r="Q2051" s="146"/>
      <c r="R2051" s="17"/>
      <c r="S2051" s="17"/>
      <c r="T2051" s="75"/>
      <c r="U2051" s="75"/>
      <c r="V2051" s="75"/>
      <c r="W2051" s="75"/>
      <c r="X2051" s="75"/>
    </row>
    <row r="2052">
      <c r="A2052" s="17"/>
      <c r="B2052" s="17"/>
      <c r="C2052" s="133"/>
      <c r="D2052" s="133"/>
      <c r="E2052" s="17"/>
      <c r="F2052" s="133"/>
      <c r="G2052" s="133"/>
      <c r="H2052" s="133"/>
      <c r="I2052" s="133"/>
      <c r="J2052" s="133"/>
      <c r="K2052" s="133"/>
      <c r="L2052" s="133"/>
      <c r="M2052" s="133"/>
      <c r="N2052" s="133"/>
      <c r="O2052" s="133"/>
      <c r="P2052" s="134"/>
      <c r="Q2052" s="146"/>
      <c r="R2052" s="17"/>
      <c r="S2052" s="17"/>
      <c r="T2052" s="75"/>
      <c r="U2052" s="75"/>
      <c r="V2052" s="75"/>
      <c r="W2052" s="75"/>
      <c r="X2052" s="75"/>
    </row>
    <row r="2053">
      <c r="A2053" s="17"/>
      <c r="B2053" s="17"/>
      <c r="C2053" s="133"/>
      <c r="D2053" s="133"/>
      <c r="E2053" s="17"/>
      <c r="F2053" s="133"/>
      <c r="G2053" s="133"/>
      <c r="H2053" s="133"/>
      <c r="I2053" s="133"/>
      <c r="J2053" s="133"/>
      <c r="K2053" s="133"/>
      <c r="L2053" s="133"/>
      <c r="M2053" s="133"/>
      <c r="N2053" s="133"/>
      <c r="O2053" s="133"/>
      <c r="P2053" s="134"/>
      <c r="Q2053" s="146"/>
      <c r="R2053" s="17"/>
      <c r="S2053" s="17"/>
      <c r="T2053" s="75"/>
      <c r="U2053" s="75"/>
      <c r="V2053" s="75"/>
      <c r="W2053" s="75"/>
      <c r="X2053" s="75"/>
    </row>
    <row r="2054">
      <c r="A2054" s="17"/>
      <c r="B2054" s="17"/>
      <c r="C2054" s="133"/>
      <c r="D2054" s="133"/>
      <c r="E2054" s="17"/>
      <c r="F2054" s="133"/>
      <c r="G2054" s="133"/>
      <c r="H2054" s="133"/>
      <c r="I2054" s="133"/>
      <c r="J2054" s="133"/>
      <c r="K2054" s="133"/>
      <c r="L2054" s="133"/>
      <c r="M2054" s="133"/>
      <c r="N2054" s="133"/>
      <c r="O2054" s="133"/>
      <c r="P2054" s="134"/>
      <c r="Q2054" s="146"/>
      <c r="R2054" s="17"/>
      <c r="S2054" s="17"/>
      <c r="T2054" s="75"/>
      <c r="U2054" s="75"/>
      <c r="V2054" s="75"/>
      <c r="W2054" s="75"/>
      <c r="X2054" s="75"/>
    </row>
    <row r="2055">
      <c r="A2055" s="17"/>
      <c r="B2055" s="17"/>
      <c r="C2055" s="133"/>
      <c r="D2055" s="133"/>
      <c r="E2055" s="17"/>
      <c r="F2055" s="133"/>
      <c r="G2055" s="133"/>
      <c r="H2055" s="133"/>
      <c r="I2055" s="133"/>
      <c r="J2055" s="133"/>
      <c r="K2055" s="133"/>
      <c r="L2055" s="133"/>
      <c r="M2055" s="133"/>
      <c r="N2055" s="133"/>
      <c r="O2055" s="133"/>
      <c r="P2055" s="134"/>
      <c r="Q2055" s="146"/>
      <c r="R2055" s="17"/>
      <c r="S2055" s="17"/>
      <c r="T2055" s="75"/>
      <c r="U2055" s="75"/>
      <c r="V2055" s="75"/>
      <c r="W2055" s="75"/>
      <c r="X2055" s="75"/>
    </row>
    <row r="2056">
      <c r="A2056" s="17"/>
      <c r="B2056" s="17"/>
      <c r="C2056" s="133"/>
      <c r="D2056" s="133"/>
      <c r="E2056" s="17"/>
      <c r="F2056" s="133"/>
      <c r="G2056" s="133"/>
      <c r="H2056" s="133"/>
      <c r="I2056" s="133"/>
      <c r="J2056" s="133"/>
      <c r="K2056" s="133"/>
      <c r="L2056" s="133"/>
      <c r="M2056" s="133"/>
      <c r="N2056" s="133"/>
      <c r="O2056" s="133"/>
      <c r="P2056" s="134"/>
      <c r="Q2056" s="146"/>
      <c r="R2056" s="17"/>
      <c r="S2056" s="17"/>
      <c r="T2056" s="75"/>
      <c r="U2056" s="75"/>
      <c r="V2056" s="75"/>
      <c r="W2056" s="75"/>
      <c r="X2056" s="75"/>
    </row>
    <row r="2057">
      <c r="A2057" s="17"/>
      <c r="B2057" s="17"/>
      <c r="C2057" s="133"/>
      <c r="D2057" s="133"/>
      <c r="E2057" s="17"/>
      <c r="F2057" s="133"/>
      <c r="G2057" s="133"/>
      <c r="H2057" s="133"/>
      <c r="I2057" s="133"/>
      <c r="J2057" s="133"/>
      <c r="K2057" s="133"/>
      <c r="L2057" s="133"/>
      <c r="M2057" s="133"/>
      <c r="N2057" s="133"/>
      <c r="O2057" s="133"/>
      <c r="P2057" s="134"/>
      <c r="Q2057" s="146"/>
      <c r="R2057" s="17"/>
      <c r="S2057" s="17"/>
      <c r="T2057" s="75"/>
      <c r="U2057" s="75"/>
      <c r="V2057" s="75"/>
      <c r="W2057" s="75"/>
      <c r="X2057" s="75"/>
    </row>
    <row r="2058">
      <c r="A2058" s="17"/>
      <c r="B2058" s="17"/>
      <c r="C2058" s="133"/>
      <c r="D2058" s="133"/>
      <c r="E2058" s="17"/>
      <c r="F2058" s="133"/>
      <c r="G2058" s="133"/>
      <c r="H2058" s="133"/>
      <c r="I2058" s="133"/>
      <c r="J2058" s="133"/>
      <c r="K2058" s="133"/>
      <c r="L2058" s="133"/>
      <c r="M2058" s="133"/>
      <c r="N2058" s="133"/>
      <c r="O2058" s="133"/>
      <c r="P2058" s="134"/>
      <c r="Q2058" s="146"/>
      <c r="R2058" s="17"/>
      <c r="S2058" s="17"/>
      <c r="T2058" s="75"/>
      <c r="U2058" s="75"/>
      <c r="V2058" s="75"/>
      <c r="W2058" s="75"/>
      <c r="X2058" s="75"/>
    </row>
    <row r="2059">
      <c r="A2059" s="17"/>
      <c r="B2059" s="17"/>
      <c r="C2059" s="133"/>
      <c r="D2059" s="133"/>
      <c r="E2059" s="17"/>
      <c r="F2059" s="133"/>
      <c r="G2059" s="133"/>
      <c r="H2059" s="133"/>
      <c r="I2059" s="133"/>
      <c r="J2059" s="133"/>
      <c r="K2059" s="133"/>
      <c r="L2059" s="133"/>
      <c r="M2059" s="133"/>
      <c r="N2059" s="133"/>
      <c r="O2059" s="133"/>
      <c r="P2059" s="134"/>
      <c r="Q2059" s="146"/>
      <c r="R2059" s="17"/>
      <c r="S2059" s="17"/>
      <c r="T2059" s="75"/>
      <c r="U2059" s="75"/>
      <c r="V2059" s="75"/>
      <c r="W2059" s="75"/>
      <c r="X2059" s="75"/>
    </row>
    <row r="2060">
      <c r="A2060" s="17"/>
      <c r="B2060" s="17"/>
      <c r="C2060" s="133"/>
      <c r="D2060" s="133"/>
      <c r="E2060" s="17"/>
      <c r="F2060" s="133"/>
      <c r="G2060" s="133"/>
      <c r="H2060" s="133"/>
      <c r="I2060" s="133"/>
      <c r="J2060" s="133"/>
      <c r="K2060" s="133"/>
      <c r="L2060" s="133"/>
      <c r="M2060" s="133"/>
      <c r="N2060" s="133"/>
      <c r="O2060" s="133"/>
      <c r="P2060" s="134"/>
      <c r="Q2060" s="146"/>
      <c r="R2060" s="17"/>
      <c r="S2060" s="17"/>
      <c r="T2060" s="75"/>
      <c r="U2060" s="75"/>
      <c r="V2060" s="75"/>
      <c r="W2060" s="75"/>
      <c r="X2060" s="75"/>
    </row>
    <row r="2061">
      <c r="A2061" s="17"/>
      <c r="B2061" s="17"/>
      <c r="C2061" s="133"/>
      <c r="D2061" s="133"/>
      <c r="E2061" s="17"/>
      <c r="F2061" s="133"/>
      <c r="G2061" s="133"/>
      <c r="H2061" s="133"/>
      <c r="I2061" s="133"/>
      <c r="J2061" s="133"/>
      <c r="K2061" s="133"/>
      <c r="L2061" s="133"/>
      <c r="M2061" s="133"/>
      <c r="N2061" s="133"/>
      <c r="O2061" s="133"/>
      <c r="P2061" s="134"/>
      <c r="Q2061" s="146"/>
      <c r="R2061" s="17"/>
      <c r="S2061" s="17"/>
      <c r="T2061" s="75"/>
      <c r="U2061" s="75"/>
      <c r="V2061" s="75"/>
      <c r="W2061" s="75"/>
      <c r="X2061" s="75"/>
    </row>
    <row r="2062">
      <c r="A2062" s="17"/>
      <c r="B2062" s="17"/>
      <c r="C2062" s="133"/>
      <c r="D2062" s="133"/>
      <c r="E2062" s="17"/>
      <c r="F2062" s="133"/>
      <c r="G2062" s="133"/>
      <c r="H2062" s="133"/>
      <c r="I2062" s="133"/>
      <c r="J2062" s="133"/>
      <c r="K2062" s="133"/>
      <c r="L2062" s="133"/>
      <c r="M2062" s="133"/>
      <c r="N2062" s="133"/>
      <c r="O2062" s="133"/>
      <c r="P2062" s="134"/>
      <c r="Q2062" s="146"/>
      <c r="R2062" s="17"/>
      <c r="S2062" s="17"/>
      <c r="T2062" s="75"/>
      <c r="U2062" s="75"/>
      <c r="V2062" s="75"/>
      <c r="W2062" s="75"/>
      <c r="X2062" s="75"/>
    </row>
    <row r="2063">
      <c r="A2063" s="17"/>
      <c r="B2063" s="17"/>
      <c r="C2063" s="133"/>
      <c r="D2063" s="133"/>
      <c r="E2063" s="17"/>
      <c r="F2063" s="133"/>
      <c r="G2063" s="133"/>
      <c r="H2063" s="133"/>
      <c r="I2063" s="133"/>
      <c r="J2063" s="133"/>
      <c r="K2063" s="133"/>
      <c r="L2063" s="133"/>
      <c r="M2063" s="133"/>
      <c r="N2063" s="133"/>
      <c r="O2063" s="133"/>
      <c r="P2063" s="134"/>
      <c r="Q2063" s="146"/>
      <c r="R2063" s="17"/>
      <c r="S2063" s="17"/>
      <c r="T2063" s="75"/>
      <c r="U2063" s="75"/>
      <c r="V2063" s="75"/>
      <c r="W2063" s="75"/>
      <c r="X2063" s="75"/>
    </row>
    <row r="2064">
      <c r="A2064" s="17"/>
      <c r="B2064" s="17"/>
      <c r="C2064" s="133"/>
      <c r="D2064" s="133"/>
      <c r="E2064" s="17"/>
      <c r="F2064" s="133"/>
      <c r="G2064" s="133"/>
      <c r="H2064" s="133"/>
      <c r="I2064" s="133"/>
      <c r="J2064" s="133"/>
      <c r="K2064" s="133"/>
      <c r="L2064" s="133"/>
      <c r="M2064" s="133"/>
      <c r="N2064" s="133"/>
      <c r="O2064" s="133"/>
      <c r="P2064" s="134"/>
      <c r="Q2064" s="146"/>
      <c r="R2064" s="17"/>
      <c r="S2064" s="17"/>
      <c r="T2064" s="75"/>
      <c r="U2064" s="75"/>
      <c r="V2064" s="75"/>
      <c r="W2064" s="75"/>
      <c r="X2064" s="75"/>
    </row>
    <row r="2065">
      <c r="A2065" s="17"/>
      <c r="B2065" s="17"/>
      <c r="C2065" s="133"/>
      <c r="D2065" s="133"/>
      <c r="E2065" s="17"/>
      <c r="F2065" s="133"/>
      <c r="G2065" s="133"/>
      <c r="H2065" s="133"/>
      <c r="I2065" s="133"/>
      <c r="J2065" s="133"/>
      <c r="K2065" s="133"/>
      <c r="L2065" s="133"/>
      <c r="M2065" s="133"/>
      <c r="N2065" s="133"/>
      <c r="O2065" s="133"/>
      <c r="P2065" s="134"/>
      <c r="Q2065" s="146"/>
      <c r="R2065" s="17"/>
      <c r="S2065" s="17"/>
      <c r="T2065" s="75"/>
      <c r="U2065" s="75"/>
      <c r="V2065" s="75"/>
      <c r="W2065" s="75"/>
      <c r="X2065" s="75"/>
    </row>
    <row r="2066">
      <c r="A2066" s="17"/>
      <c r="B2066" s="17"/>
      <c r="C2066" s="133"/>
      <c r="D2066" s="133"/>
      <c r="E2066" s="17"/>
      <c r="F2066" s="133"/>
      <c r="G2066" s="133"/>
      <c r="H2066" s="133"/>
      <c r="I2066" s="133"/>
      <c r="J2066" s="133"/>
      <c r="K2066" s="133"/>
      <c r="L2066" s="133"/>
      <c r="M2066" s="133"/>
      <c r="N2066" s="133"/>
      <c r="O2066" s="133"/>
      <c r="P2066" s="134"/>
      <c r="Q2066" s="146"/>
      <c r="R2066" s="17"/>
      <c r="S2066" s="17"/>
      <c r="T2066" s="75"/>
      <c r="U2066" s="75"/>
      <c r="V2066" s="75"/>
      <c r="W2066" s="75"/>
      <c r="X2066" s="75"/>
    </row>
    <row r="2067">
      <c r="A2067" s="17"/>
      <c r="B2067" s="17"/>
      <c r="C2067" s="133"/>
      <c r="D2067" s="133"/>
      <c r="E2067" s="17"/>
      <c r="F2067" s="133"/>
      <c r="G2067" s="133"/>
      <c r="H2067" s="133"/>
      <c r="I2067" s="133"/>
      <c r="J2067" s="133"/>
      <c r="K2067" s="133"/>
      <c r="L2067" s="133"/>
      <c r="M2067" s="133"/>
      <c r="N2067" s="133"/>
      <c r="O2067" s="133"/>
      <c r="P2067" s="134"/>
      <c r="Q2067" s="146"/>
      <c r="R2067" s="17"/>
      <c r="S2067" s="17"/>
      <c r="T2067" s="75"/>
      <c r="U2067" s="75"/>
      <c r="V2067" s="75"/>
      <c r="W2067" s="75"/>
      <c r="X2067" s="75"/>
    </row>
    <row r="2068">
      <c r="A2068" s="17"/>
      <c r="B2068" s="17"/>
      <c r="C2068" s="133"/>
      <c r="D2068" s="133"/>
      <c r="E2068" s="17"/>
      <c r="F2068" s="133"/>
      <c r="G2068" s="133"/>
      <c r="H2068" s="133"/>
      <c r="I2068" s="133"/>
      <c r="J2068" s="133"/>
      <c r="K2068" s="133"/>
      <c r="L2068" s="133"/>
      <c r="M2068" s="133"/>
      <c r="N2068" s="133"/>
      <c r="O2068" s="133"/>
      <c r="P2068" s="134"/>
      <c r="Q2068" s="146"/>
      <c r="R2068" s="17"/>
      <c r="S2068" s="17"/>
      <c r="T2068" s="75"/>
      <c r="U2068" s="75"/>
      <c r="V2068" s="75"/>
      <c r="W2068" s="75"/>
      <c r="X2068" s="75"/>
    </row>
    <row r="2069">
      <c r="A2069" s="17"/>
      <c r="B2069" s="17"/>
      <c r="C2069" s="133"/>
      <c r="D2069" s="133"/>
      <c r="E2069" s="17"/>
      <c r="F2069" s="133"/>
      <c r="G2069" s="133"/>
      <c r="H2069" s="133"/>
      <c r="I2069" s="133"/>
      <c r="J2069" s="133"/>
      <c r="K2069" s="133"/>
      <c r="L2069" s="133"/>
      <c r="M2069" s="133"/>
      <c r="N2069" s="133"/>
      <c r="O2069" s="133"/>
      <c r="P2069" s="134"/>
      <c r="Q2069" s="146"/>
      <c r="R2069" s="17"/>
      <c r="S2069" s="17"/>
      <c r="T2069" s="75"/>
      <c r="U2069" s="75"/>
      <c r="V2069" s="75"/>
      <c r="W2069" s="75"/>
      <c r="X2069" s="75"/>
    </row>
    <row r="2070">
      <c r="A2070" s="17"/>
      <c r="B2070" s="17"/>
      <c r="C2070" s="133"/>
      <c r="D2070" s="133"/>
      <c r="E2070" s="17"/>
      <c r="F2070" s="133"/>
      <c r="G2070" s="133"/>
      <c r="H2070" s="133"/>
      <c r="I2070" s="133"/>
      <c r="J2070" s="133"/>
      <c r="K2070" s="133"/>
      <c r="L2070" s="133"/>
      <c r="M2070" s="133"/>
      <c r="N2070" s="133"/>
      <c r="O2070" s="133"/>
      <c r="P2070" s="134"/>
      <c r="Q2070" s="146"/>
      <c r="R2070" s="17"/>
      <c r="S2070" s="17"/>
      <c r="T2070" s="75"/>
      <c r="U2070" s="75"/>
      <c r="V2070" s="75"/>
      <c r="W2070" s="75"/>
      <c r="X2070" s="75"/>
    </row>
    <row r="2071">
      <c r="A2071" s="17"/>
      <c r="B2071" s="17"/>
      <c r="C2071" s="133"/>
      <c r="D2071" s="133"/>
      <c r="E2071" s="17"/>
      <c r="F2071" s="133"/>
      <c r="G2071" s="133"/>
      <c r="H2071" s="133"/>
      <c r="I2071" s="133"/>
      <c r="J2071" s="133"/>
      <c r="K2071" s="133"/>
      <c r="L2071" s="133"/>
      <c r="M2071" s="133"/>
      <c r="N2071" s="133"/>
      <c r="O2071" s="133"/>
      <c r="P2071" s="134"/>
      <c r="Q2071" s="146"/>
      <c r="R2071" s="17"/>
      <c r="S2071" s="17"/>
      <c r="T2071" s="75"/>
      <c r="U2071" s="75"/>
      <c r="V2071" s="75"/>
      <c r="W2071" s="75"/>
      <c r="X2071" s="75"/>
    </row>
    <row r="2072">
      <c r="A2072" s="17"/>
      <c r="B2072" s="17"/>
      <c r="C2072" s="133"/>
      <c r="D2072" s="133"/>
      <c r="E2072" s="17"/>
      <c r="F2072" s="133"/>
      <c r="G2072" s="133"/>
      <c r="H2072" s="133"/>
      <c r="I2072" s="133"/>
      <c r="J2072" s="133"/>
      <c r="K2072" s="133"/>
      <c r="L2072" s="133"/>
      <c r="M2072" s="133"/>
      <c r="N2072" s="133"/>
      <c r="O2072" s="133"/>
      <c r="P2072" s="134"/>
      <c r="Q2072" s="146"/>
      <c r="R2072" s="17"/>
      <c r="S2072" s="17"/>
      <c r="T2072" s="75"/>
      <c r="U2072" s="75"/>
      <c r="V2072" s="75"/>
      <c r="W2072" s="75"/>
      <c r="X2072" s="75"/>
    </row>
    <row r="2073">
      <c r="A2073" s="17"/>
      <c r="B2073" s="17"/>
      <c r="C2073" s="133"/>
      <c r="D2073" s="133"/>
      <c r="E2073" s="17"/>
      <c r="F2073" s="133"/>
      <c r="G2073" s="133"/>
      <c r="H2073" s="133"/>
      <c r="I2073" s="133"/>
      <c r="J2073" s="133"/>
      <c r="K2073" s="133"/>
      <c r="L2073" s="133"/>
      <c r="M2073" s="133"/>
      <c r="N2073" s="133"/>
      <c r="O2073" s="133"/>
      <c r="P2073" s="134"/>
      <c r="Q2073" s="146"/>
      <c r="R2073" s="17"/>
      <c r="S2073" s="17"/>
      <c r="T2073" s="75"/>
      <c r="U2073" s="75"/>
      <c r="V2073" s="75"/>
      <c r="W2073" s="75"/>
      <c r="X2073" s="75"/>
    </row>
    <row r="2074">
      <c r="A2074" s="17"/>
      <c r="B2074" s="17"/>
      <c r="C2074" s="133"/>
      <c r="D2074" s="133"/>
      <c r="E2074" s="17"/>
      <c r="F2074" s="133"/>
      <c r="G2074" s="133"/>
      <c r="H2074" s="133"/>
      <c r="I2074" s="133"/>
      <c r="J2074" s="133"/>
      <c r="K2074" s="133"/>
      <c r="L2074" s="133"/>
      <c r="M2074" s="133"/>
      <c r="N2074" s="133"/>
      <c r="O2074" s="133"/>
      <c r="P2074" s="134"/>
      <c r="Q2074" s="146"/>
      <c r="R2074" s="17"/>
      <c r="S2074" s="17"/>
      <c r="T2074" s="75"/>
      <c r="U2074" s="75"/>
      <c r="V2074" s="75"/>
      <c r="W2074" s="75"/>
      <c r="X2074" s="75"/>
    </row>
    <row r="2075">
      <c r="A2075" s="17"/>
      <c r="B2075" s="17"/>
      <c r="C2075" s="133"/>
      <c r="D2075" s="133"/>
      <c r="E2075" s="17"/>
      <c r="F2075" s="133"/>
      <c r="G2075" s="133"/>
      <c r="H2075" s="133"/>
      <c r="I2075" s="133"/>
      <c r="J2075" s="133"/>
      <c r="K2075" s="133"/>
      <c r="L2075" s="133"/>
      <c r="M2075" s="133"/>
      <c r="N2075" s="133"/>
      <c r="O2075" s="133"/>
      <c r="P2075" s="134"/>
      <c r="Q2075" s="146"/>
      <c r="R2075" s="17"/>
      <c r="S2075" s="17"/>
      <c r="T2075" s="75"/>
      <c r="U2075" s="75"/>
      <c r="V2075" s="75"/>
      <c r="W2075" s="75"/>
      <c r="X2075" s="75"/>
    </row>
    <row r="2076">
      <c r="A2076" s="17"/>
      <c r="B2076" s="17"/>
      <c r="C2076" s="133"/>
      <c r="D2076" s="133"/>
      <c r="E2076" s="17"/>
      <c r="F2076" s="133"/>
      <c r="G2076" s="133"/>
      <c r="H2076" s="133"/>
      <c r="I2076" s="133"/>
      <c r="J2076" s="133"/>
      <c r="K2076" s="133"/>
      <c r="L2076" s="133"/>
      <c r="M2076" s="133"/>
      <c r="N2076" s="133"/>
      <c r="O2076" s="133"/>
      <c r="P2076" s="134"/>
      <c r="Q2076" s="146"/>
      <c r="R2076" s="17"/>
      <c r="S2076" s="17"/>
      <c r="T2076" s="75"/>
      <c r="U2076" s="75"/>
      <c r="V2076" s="75"/>
      <c r="W2076" s="75"/>
      <c r="X2076" s="75"/>
    </row>
    <row r="2077">
      <c r="A2077" s="17"/>
      <c r="B2077" s="17"/>
      <c r="C2077" s="133"/>
      <c r="D2077" s="133"/>
      <c r="E2077" s="17"/>
      <c r="F2077" s="133"/>
      <c r="G2077" s="133"/>
      <c r="H2077" s="133"/>
      <c r="I2077" s="133"/>
      <c r="J2077" s="133"/>
      <c r="K2077" s="133"/>
      <c r="L2077" s="133"/>
      <c r="M2077" s="133"/>
      <c r="N2077" s="133"/>
      <c r="O2077" s="133"/>
      <c r="P2077" s="134"/>
      <c r="Q2077" s="146"/>
      <c r="R2077" s="17"/>
      <c r="S2077" s="17"/>
      <c r="T2077" s="75"/>
      <c r="U2077" s="75"/>
      <c r="V2077" s="75"/>
      <c r="W2077" s="75"/>
      <c r="X2077" s="75"/>
    </row>
    <row r="2078">
      <c r="A2078" s="17"/>
      <c r="B2078" s="17"/>
      <c r="C2078" s="133"/>
      <c r="D2078" s="133"/>
      <c r="E2078" s="17"/>
      <c r="F2078" s="133"/>
      <c r="G2078" s="133"/>
      <c r="H2078" s="133"/>
      <c r="I2078" s="133"/>
      <c r="J2078" s="133"/>
      <c r="K2078" s="133"/>
      <c r="L2078" s="133"/>
      <c r="M2078" s="133"/>
      <c r="N2078" s="133"/>
      <c r="O2078" s="133"/>
      <c r="P2078" s="134"/>
      <c r="Q2078" s="146"/>
      <c r="R2078" s="17"/>
      <c r="S2078" s="17"/>
      <c r="T2078" s="75"/>
      <c r="U2078" s="75"/>
      <c r="V2078" s="75"/>
      <c r="W2078" s="75"/>
      <c r="X2078" s="75"/>
    </row>
    <row r="2079">
      <c r="A2079" s="17"/>
      <c r="B2079" s="17"/>
      <c r="C2079" s="133"/>
      <c r="D2079" s="133"/>
      <c r="E2079" s="17"/>
      <c r="F2079" s="133"/>
      <c r="G2079" s="133"/>
      <c r="H2079" s="133"/>
      <c r="I2079" s="133"/>
      <c r="J2079" s="133"/>
      <c r="K2079" s="133"/>
      <c r="L2079" s="133"/>
      <c r="M2079" s="133"/>
      <c r="N2079" s="133"/>
      <c r="O2079" s="133"/>
      <c r="P2079" s="134"/>
      <c r="Q2079" s="146"/>
      <c r="R2079" s="17"/>
      <c r="S2079" s="17"/>
      <c r="T2079" s="75"/>
      <c r="U2079" s="75"/>
      <c r="V2079" s="75"/>
      <c r="W2079" s="75"/>
      <c r="X2079" s="75"/>
    </row>
    <row r="2080">
      <c r="A2080" s="17"/>
      <c r="B2080" s="17"/>
      <c r="C2080" s="133"/>
      <c r="D2080" s="133"/>
      <c r="E2080" s="17"/>
      <c r="F2080" s="133"/>
      <c r="G2080" s="133"/>
      <c r="H2080" s="133"/>
      <c r="I2080" s="133"/>
      <c r="J2080" s="133"/>
      <c r="K2080" s="133"/>
      <c r="L2080" s="133"/>
      <c r="M2080" s="133"/>
      <c r="N2080" s="133"/>
      <c r="O2080" s="133"/>
      <c r="P2080" s="134"/>
      <c r="Q2080" s="146"/>
      <c r="R2080" s="17"/>
      <c r="S2080" s="17"/>
      <c r="T2080" s="75"/>
      <c r="U2080" s="75"/>
      <c r="V2080" s="75"/>
      <c r="W2080" s="75"/>
      <c r="X2080" s="75"/>
    </row>
    <row r="2081">
      <c r="A2081" s="17"/>
      <c r="B2081" s="17"/>
      <c r="C2081" s="133"/>
      <c r="D2081" s="133"/>
      <c r="E2081" s="17"/>
      <c r="F2081" s="133"/>
      <c r="G2081" s="133"/>
      <c r="H2081" s="133"/>
      <c r="I2081" s="133"/>
      <c r="J2081" s="133"/>
      <c r="K2081" s="133"/>
      <c r="L2081" s="133"/>
      <c r="M2081" s="133"/>
      <c r="N2081" s="133"/>
      <c r="O2081" s="133"/>
      <c r="P2081" s="134"/>
      <c r="Q2081" s="146"/>
      <c r="R2081" s="17"/>
      <c r="S2081" s="17"/>
      <c r="T2081" s="75"/>
      <c r="U2081" s="75"/>
      <c r="V2081" s="75"/>
      <c r="W2081" s="75"/>
      <c r="X2081" s="75"/>
    </row>
    <row r="2082">
      <c r="A2082" s="17"/>
      <c r="B2082" s="17"/>
      <c r="C2082" s="133"/>
      <c r="D2082" s="133"/>
      <c r="E2082" s="17"/>
      <c r="F2082" s="133"/>
      <c r="G2082" s="133"/>
      <c r="H2082" s="133"/>
      <c r="I2082" s="133"/>
      <c r="J2082" s="133"/>
      <c r="K2082" s="133"/>
      <c r="L2082" s="133"/>
      <c r="M2082" s="133"/>
      <c r="N2082" s="133"/>
      <c r="O2082" s="133"/>
      <c r="P2082" s="134"/>
      <c r="Q2082" s="146"/>
      <c r="R2082" s="17"/>
      <c r="S2082" s="17"/>
      <c r="T2082" s="75"/>
      <c r="U2082" s="75"/>
      <c r="V2082" s="75"/>
      <c r="W2082" s="75"/>
      <c r="X2082" s="75"/>
    </row>
    <row r="2083">
      <c r="A2083" s="17"/>
      <c r="B2083" s="17"/>
      <c r="C2083" s="133"/>
      <c r="D2083" s="133"/>
      <c r="E2083" s="17"/>
      <c r="F2083" s="133"/>
      <c r="G2083" s="133"/>
      <c r="H2083" s="133"/>
      <c r="I2083" s="133"/>
      <c r="J2083" s="133"/>
      <c r="K2083" s="133"/>
      <c r="L2083" s="133"/>
      <c r="M2083" s="133"/>
      <c r="N2083" s="133"/>
      <c r="O2083" s="133"/>
      <c r="P2083" s="134"/>
      <c r="Q2083" s="146"/>
      <c r="R2083" s="17"/>
      <c r="S2083" s="17"/>
      <c r="T2083" s="75"/>
      <c r="U2083" s="75"/>
      <c r="V2083" s="75"/>
      <c r="W2083" s="75"/>
      <c r="X2083" s="75"/>
    </row>
    <row r="2084">
      <c r="A2084" s="17"/>
      <c r="B2084" s="17"/>
      <c r="C2084" s="133"/>
      <c r="D2084" s="133"/>
      <c r="E2084" s="17"/>
      <c r="F2084" s="133"/>
      <c r="G2084" s="133"/>
      <c r="H2084" s="133"/>
      <c r="I2084" s="133"/>
      <c r="J2084" s="133"/>
      <c r="K2084" s="133"/>
      <c r="L2084" s="133"/>
      <c r="M2084" s="133"/>
      <c r="N2084" s="133"/>
      <c r="O2084" s="133"/>
      <c r="P2084" s="134"/>
      <c r="Q2084" s="146"/>
      <c r="R2084" s="17"/>
      <c r="S2084" s="17"/>
      <c r="T2084" s="75"/>
      <c r="U2084" s="75"/>
      <c r="V2084" s="75"/>
      <c r="W2084" s="75"/>
      <c r="X2084" s="75"/>
    </row>
    <row r="2085">
      <c r="A2085" s="17"/>
      <c r="B2085" s="17"/>
      <c r="C2085" s="133"/>
      <c r="D2085" s="133"/>
      <c r="E2085" s="17"/>
      <c r="F2085" s="133"/>
      <c r="G2085" s="133"/>
      <c r="H2085" s="133"/>
      <c r="I2085" s="133"/>
      <c r="J2085" s="133"/>
      <c r="K2085" s="133"/>
      <c r="L2085" s="133"/>
      <c r="M2085" s="133"/>
      <c r="N2085" s="133"/>
      <c r="O2085" s="133"/>
      <c r="P2085" s="134"/>
      <c r="Q2085" s="146"/>
      <c r="R2085" s="17"/>
      <c r="S2085" s="17"/>
      <c r="T2085" s="75"/>
      <c r="U2085" s="75"/>
      <c r="V2085" s="75"/>
      <c r="W2085" s="75"/>
      <c r="X2085" s="75"/>
    </row>
    <row r="2086">
      <c r="A2086" s="17"/>
      <c r="B2086" s="17"/>
      <c r="C2086" s="133"/>
      <c r="D2086" s="133"/>
      <c r="E2086" s="17"/>
      <c r="F2086" s="133"/>
      <c r="G2086" s="133"/>
      <c r="H2086" s="133"/>
      <c r="I2086" s="133"/>
      <c r="J2086" s="133"/>
      <c r="K2086" s="133"/>
      <c r="L2086" s="133"/>
      <c r="M2086" s="133"/>
      <c r="N2086" s="133"/>
      <c r="O2086" s="133"/>
      <c r="P2086" s="134"/>
      <c r="Q2086" s="146"/>
      <c r="R2086" s="17"/>
      <c r="S2086" s="17"/>
      <c r="T2086" s="75"/>
      <c r="U2086" s="75"/>
      <c r="V2086" s="75"/>
      <c r="W2086" s="75"/>
      <c r="X2086" s="75"/>
    </row>
    <row r="2087">
      <c r="A2087" s="17"/>
      <c r="B2087" s="17"/>
      <c r="C2087" s="133"/>
      <c r="D2087" s="133"/>
      <c r="E2087" s="17"/>
      <c r="F2087" s="133"/>
      <c r="G2087" s="133"/>
      <c r="H2087" s="133"/>
      <c r="I2087" s="133"/>
      <c r="J2087" s="133"/>
      <c r="K2087" s="133"/>
      <c r="L2087" s="133"/>
      <c r="M2087" s="133"/>
      <c r="N2087" s="133"/>
      <c r="O2087" s="133"/>
      <c r="P2087" s="134"/>
      <c r="Q2087" s="146"/>
      <c r="R2087" s="17"/>
      <c r="S2087" s="17"/>
      <c r="T2087" s="75"/>
      <c r="U2087" s="75"/>
      <c r="V2087" s="75"/>
      <c r="W2087" s="75"/>
      <c r="X2087" s="75"/>
    </row>
    <row r="2088">
      <c r="A2088" s="17"/>
      <c r="B2088" s="17"/>
      <c r="C2088" s="133"/>
      <c r="D2088" s="133"/>
      <c r="E2088" s="17"/>
      <c r="F2088" s="133"/>
      <c r="G2088" s="133"/>
      <c r="H2088" s="133"/>
      <c r="I2088" s="133"/>
      <c r="J2088" s="133"/>
      <c r="K2088" s="133"/>
      <c r="L2088" s="133"/>
      <c r="M2088" s="133"/>
      <c r="N2088" s="133"/>
      <c r="O2088" s="133"/>
      <c r="P2088" s="134"/>
      <c r="Q2088" s="146"/>
      <c r="R2088" s="17"/>
      <c r="S2088" s="17"/>
      <c r="T2088" s="75"/>
      <c r="U2088" s="75"/>
      <c r="V2088" s="75"/>
      <c r="W2088" s="75"/>
      <c r="X2088" s="75"/>
    </row>
    <row r="2089">
      <c r="A2089" s="17"/>
      <c r="B2089" s="17"/>
      <c r="C2089" s="133"/>
      <c r="D2089" s="133"/>
      <c r="E2089" s="17"/>
      <c r="F2089" s="133"/>
      <c r="G2089" s="133"/>
      <c r="H2089" s="133"/>
      <c r="I2089" s="133"/>
      <c r="J2089" s="133"/>
      <c r="K2089" s="133"/>
      <c r="L2089" s="133"/>
      <c r="M2089" s="133"/>
      <c r="N2089" s="133"/>
      <c r="O2089" s="133"/>
      <c r="P2089" s="134"/>
      <c r="Q2089" s="146"/>
      <c r="R2089" s="17"/>
      <c r="S2089" s="17"/>
      <c r="T2089" s="75"/>
      <c r="U2089" s="75"/>
      <c r="V2089" s="75"/>
      <c r="W2089" s="75"/>
      <c r="X2089" s="75"/>
    </row>
    <row r="2090">
      <c r="A2090" s="17"/>
      <c r="B2090" s="17"/>
      <c r="C2090" s="133"/>
      <c r="D2090" s="133"/>
      <c r="E2090" s="17"/>
      <c r="F2090" s="133"/>
      <c r="G2090" s="133"/>
      <c r="H2090" s="133"/>
      <c r="I2090" s="133"/>
      <c r="J2090" s="133"/>
      <c r="K2090" s="133"/>
      <c r="L2090" s="133"/>
      <c r="M2090" s="133"/>
      <c r="N2090" s="133"/>
      <c r="O2090" s="133"/>
      <c r="P2090" s="134"/>
      <c r="Q2090" s="146"/>
      <c r="R2090" s="17"/>
      <c r="S2090" s="17"/>
      <c r="T2090" s="75"/>
      <c r="U2090" s="75"/>
      <c r="V2090" s="75"/>
      <c r="W2090" s="75"/>
      <c r="X2090" s="75"/>
    </row>
    <row r="2091">
      <c r="A2091" s="17"/>
      <c r="B2091" s="17"/>
      <c r="C2091" s="133"/>
      <c r="D2091" s="133"/>
      <c r="E2091" s="17"/>
      <c r="F2091" s="133"/>
      <c r="G2091" s="133"/>
      <c r="H2091" s="133"/>
      <c r="I2091" s="133"/>
      <c r="J2091" s="133"/>
      <c r="K2091" s="133"/>
      <c r="L2091" s="133"/>
      <c r="M2091" s="133"/>
      <c r="N2091" s="133"/>
      <c r="O2091" s="133"/>
      <c r="P2091" s="134"/>
      <c r="Q2091" s="146"/>
      <c r="R2091" s="17"/>
      <c r="S2091" s="17"/>
      <c r="T2091" s="75"/>
      <c r="U2091" s="75"/>
      <c r="V2091" s="75"/>
      <c r="W2091" s="75"/>
      <c r="X2091" s="75"/>
    </row>
    <row r="2092">
      <c r="A2092" s="17"/>
      <c r="B2092" s="17"/>
      <c r="C2092" s="133"/>
      <c r="D2092" s="133"/>
      <c r="E2092" s="17"/>
      <c r="F2092" s="133"/>
      <c r="G2092" s="133"/>
      <c r="H2092" s="133"/>
      <c r="I2092" s="133"/>
      <c r="J2092" s="133"/>
      <c r="K2092" s="133"/>
      <c r="L2092" s="133"/>
      <c r="M2092" s="133"/>
      <c r="N2092" s="133"/>
      <c r="O2092" s="133"/>
      <c r="P2092" s="134"/>
      <c r="Q2092" s="146"/>
      <c r="R2092" s="17"/>
      <c r="S2092" s="17"/>
      <c r="T2092" s="75"/>
      <c r="U2092" s="75"/>
      <c r="V2092" s="75"/>
      <c r="W2092" s="75"/>
      <c r="X2092" s="75"/>
    </row>
    <row r="2093">
      <c r="A2093" s="17"/>
      <c r="B2093" s="17"/>
      <c r="C2093" s="133"/>
      <c r="D2093" s="133"/>
      <c r="E2093" s="17"/>
      <c r="F2093" s="133"/>
      <c r="G2093" s="133"/>
      <c r="H2093" s="133"/>
      <c r="I2093" s="133"/>
      <c r="J2093" s="133"/>
      <c r="K2093" s="133"/>
      <c r="L2093" s="133"/>
      <c r="M2093" s="133"/>
      <c r="N2093" s="133"/>
      <c r="O2093" s="133"/>
      <c r="P2093" s="134"/>
      <c r="Q2093" s="146"/>
      <c r="R2093" s="17"/>
      <c r="S2093" s="17"/>
      <c r="T2093" s="75"/>
      <c r="U2093" s="75"/>
      <c r="V2093" s="75"/>
      <c r="W2093" s="75"/>
      <c r="X2093" s="75"/>
    </row>
    <row r="2094">
      <c r="A2094" s="17"/>
      <c r="B2094" s="17"/>
      <c r="C2094" s="133"/>
      <c r="D2094" s="133"/>
      <c r="E2094" s="17"/>
      <c r="F2094" s="133"/>
      <c r="G2094" s="133"/>
      <c r="H2094" s="133"/>
      <c r="I2094" s="133"/>
      <c r="J2094" s="133"/>
      <c r="K2094" s="133"/>
      <c r="L2094" s="133"/>
      <c r="M2094" s="133"/>
      <c r="N2094" s="133"/>
      <c r="O2094" s="133"/>
      <c r="P2094" s="134"/>
      <c r="Q2094" s="146"/>
      <c r="R2094" s="17"/>
      <c r="S2094" s="17"/>
      <c r="T2094" s="75"/>
      <c r="U2094" s="75"/>
      <c r="V2094" s="75"/>
      <c r="W2094" s="75"/>
      <c r="X2094" s="75"/>
    </row>
    <row r="2095">
      <c r="A2095" s="17"/>
      <c r="B2095" s="17"/>
      <c r="C2095" s="133"/>
      <c r="D2095" s="133"/>
      <c r="E2095" s="17"/>
      <c r="F2095" s="133"/>
      <c r="G2095" s="133"/>
      <c r="H2095" s="133"/>
      <c r="I2095" s="133"/>
      <c r="J2095" s="133"/>
      <c r="K2095" s="133"/>
      <c r="L2095" s="133"/>
      <c r="M2095" s="133"/>
      <c r="N2095" s="133"/>
      <c r="O2095" s="133"/>
      <c r="P2095" s="134"/>
      <c r="Q2095" s="146"/>
      <c r="R2095" s="17"/>
      <c r="S2095" s="17"/>
      <c r="T2095" s="75"/>
      <c r="U2095" s="75"/>
      <c r="V2095" s="75"/>
      <c r="W2095" s="75"/>
      <c r="X2095" s="75"/>
    </row>
    <row r="2096">
      <c r="A2096" s="17"/>
      <c r="B2096" s="17"/>
      <c r="C2096" s="133"/>
      <c r="D2096" s="133"/>
      <c r="E2096" s="17"/>
      <c r="F2096" s="133"/>
      <c r="G2096" s="133"/>
      <c r="H2096" s="133"/>
      <c r="I2096" s="133"/>
      <c r="J2096" s="133"/>
      <c r="K2096" s="133"/>
      <c r="L2096" s="133"/>
      <c r="M2096" s="133"/>
      <c r="N2096" s="133"/>
      <c r="O2096" s="133"/>
      <c r="P2096" s="134"/>
      <c r="Q2096" s="146"/>
      <c r="R2096" s="17"/>
      <c r="S2096" s="17"/>
      <c r="T2096" s="75"/>
      <c r="U2096" s="75"/>
      <c r="V2096" s="75"/>
      <c r="W2096" s="75"/>
      <c r="X2096" s="75"/>
    </row>
    <row r="2097">
      <c r="A2097" s="17"/>
      <c r="B2097" s="17"/>
      <c r="C2097" s="133"/>
      <c r="D2097" s="133"/>
      <c r="E2097" s="17"/>
      <c r="F2097" s="133"/>
      <c r="G2097" s="133"/>
      <c r="H2097" s="133"/>
      <c r="I2097" s="133"/>
      <c r="J2097" s="133"/>
      <c r="K2097" s="133"/>
      <c r="L2097" s="133"/>
      <c r="M2097" s="133"/>
      <c r="N2097" s="133"/>
      <c r="O2097" s="133"/>
      <c r="P2097" s="134"/>
      <c r="Q2097" s="146"/>
      <c r="R2097" s="17"/>
      <c r="S2097" s="17"/>
      <c r="T2097" s="75"/>
      <c r="U2097" s="75"/>
      <c r="V2097" s="75"/>
      <c r="W2097" s="75"/>
      <c r="X2097" s="75"/>
    </row>
    <row r="2098">
      <c r="A2098" s="17"/>
      <c r="B2098" s="17"/>
      <c r="C2098" s="133"/>
      <c r="D2098" s="133"/>
      <c r="E2098" s="17"/>
      <c r="F2098" s="133"/>
      <c r="G2098" s="133"/>
      <c r="H2098" s="133"/>
      <c r="I2098" s="133"/>
      <c r="J2098" s="133"/>
      <c r="K2098" s="133"/>
      <c r="L2098" s="133"/>
      <c r="M2098" s="133"/>
      <c r="N2098" s="133"/>
      <c r="O2098" s="133"/>
      <c r="P2098" s="134"/>
      <c r="Q2098" s="146"/>
      <c r="R2098" s="17"/>
      <c r="S2098" s="17"/>
      <c r="T2098" s="75"/>
      <c r="U2098" s="75"/>
      <c r="V2098" s="75"/>
      <c r="W2098" s="75"/>
      <c r="X2098" s="75"/>
    </row>
    <row r="2099">
      <c r="A2099" s="17"/>
      <c r="B2099" s="17"/>
      <c r="C2099" s="133"/>
      <c r="D2099" s="133"/>
      <c r="E2099" s="17"/>
      <c r="F2099" s="133"/>
      <c r="G2099" s="133"/>
      <c r="H2099" s="133"/>
      <c r="I2099" s="133"/>
      <c r="J2099" s="133"/>
      <c r="K2099" s="133"/>
      <c r="L2099" s="133"/>
      <c r="M2099" s="133"/>
      <c r="N2099" s="133"/>
      <c r="O2099" s="133"/>
      <c r="P2099" s="134"/>
      <c r="Q2099" s="146"/>
      <c r="R2099" s="17"/>
      <c r="S2099" s="17"/>
      <c r="T2099" s="75"/>
      <c r="U2099" s="75"/>
      <c r="V2099" s="75"/>
      <c r="W2099" s="75"/>
      <c r="X2099" s="75"/>
    </row>
    <row r="2100">
      <c r="A2100" s="17"/>
      <c r="B2100" s="17"/>
      <c r="C2100" s="133"/>
      <c r="D2100" s="133"/>
      <c r="E2100" s="17"/>
      <c r="F2100" s="133"/>
      <c r="G2100" s="133"/>
      <c r="H2100" s="133"/>
      <c r="I2100" s="133"/>
      <c r="J2100" s="133"/>
      <c r="K2100" s="133"/>
      <c r="L2100" s="133"/>
      <c r="M2100" s="133"/>
      <c r="N2100" s="133"/>
      <c r="O2100" s="133"/>
      <c r="P2100" s="134"/>
      <c r="Q2100" s="146"/>
      <c r="R2100" s="17"/>
      <c r="S2100" s="17"/>
      <c r="T2100" s="75"/>
      <c r="U2100" s="75"/>
      <c r="V2100" s="75"/>
      <c r="W2100" s="75"/>
      <c r="X2100" s="75"/>
    </row>
    <row r="2101">
      <c r="A2101" s="17"/>
      <c r="B2101" s="17"/>
      <c r="C2101" s="133"/>
      <c r="D2101" s="133"/>
      <c r="E2101" s="17"/>
      <c r="F2101" s="133"/>
      <c r="G2101" s="133"/>
      <c r="H2101" s="133"/>
      <c r="I2101" s="133"/>
      <c r="J2101" s="133"/>
      <c r="K2101" s="133"/>
      <c r="L2101" s="133"/>
      <c r="M2101" s="133"/>
      <c r="N2101" s="133"/>
      <c r="O2101" s="133"/>
      <c r="P2101" s="134"/>
      <c r="Q2101" s="146"/>
      <c r="R2101" s="17"/>
      <c r="S2101" s="17"/>
      <c r="T2101" s="75"/>
      <c r="U2101" s="75"/>
      <c r="V2101" s="75"/>
      <c r="W2101" s="75"/>
      <c r="X2101" s="75"/>
    </row>
    <row r="2102">
      <c r="A2102" s="17"/>
      <c r="B2102" s="17"/>
      <c r="C2102" s="133"/>
      <c r="D2102" s="133"/>
      <c r="E2102" s="17"/>
      <c r="F2102" s="133"/>
      <c r="G2102" s="133"/>
      <c r="H2102" s="133"/>
      <c r="I2102" s="133"/>
      <c r="J2102" s="133"/>
      <c r="K2102" s="133"/>
      <c r="L2102" s="133"/>
      <c r="M2102" s="133"/>
      <c r="N2102" s="133"/>
      <c r="O2102" s="133"/>
      <c r="P2102" s="134"/>
      <c r="Q2102" s="146"/>
      <c r="R2102" s="17"/>
      <c r="S2102" s="17"/>
      <c r="T2102" s="75"/>
      <c r="U2102" s="75"/>
      <c r="V2102" s="75"/>
      <c r="W2102" s="75"/>
      <c r="X2102" s="75"/>
    </row>
    <row r="2103">
      <c r="A2103" s="17"/>
      <c r="B2103" s="17"/>
      <c r="C2103" s="133"/>
      <c r="D2103" s="133"/>
      <c r="E2103" s="17"/>
      <c r="F2103" s="133"/>
      <c r="G2103" s="133"/>
      <c r="H2103" s="133"/>
      <c r="I2103" s="133"/>
      <c r="J2103" s="133"/>
      <c r="K2103" s="133"/>
      <c r="L2103" s="133"/>
      <c r="M2103" s="133"/>
      <c r="N2103" s="133"/>
      <c r="O2103" s="133"/>
      <c r="P2103" s="134"/>
      <c r="Q2103" s="146"/>
      <c r="R2103" s="17"/>
      <c r="S2103" s="17"/>
      <c r="T2103" s="75"/>
      <c r="U2103" s="75"/>
      <c r="V2103" s="75"/>
      <c r="W2103" s="75"/>
      <c r="X2103" s="75"/>
    </row>
    <row r="2104">
      <c r="A2104" s="17"/>
      <c r="B2104" s="17"/>
      <c r="C2104" s="133"/>
      <c r="D2104" s="133"/>
      <c r="E2104" s="17"/>
      <c r="F2104" s="133"/>
      <c r="G2104" s="133"/>
      <c r="H2104" s="133"/>
      <c r="I2104" s="133"/>
      <c r="J2104" s="133"/>
      <c r="K2104" s="133"/>
      <c r="L2104" s="133"/>
      <c r="M2104" s="133"/>
      <c r="N2104" s="133"/>
      <c r="O2104" s="133"/>
      <c r="P2104" s="134"/>
      <c r="Q2104" s="146"/>
      <c r="R2104" s="17"/>
      <c r="S2104" s="17"/>
      <c r="T2104" s="75"/>
      <c r="U2104" s="75"/>
      <c r="V2104" s="75"/>
      <c r="W2104" s="75"/>
      <c r="X2104" s="75"/>
    </row>
    <row r="2105">
      <c r="A2105" s="17"/>
      <c r="B2105" s="17"/>
      <c r="C2105" s="133"/>
      <c r="D2105" s="133"/>
      <c r="E2105" s="17"/>
      <c r="F2105" s="133"/>
      <c r="G2105" s="133"/>
      <c r="H2105" s="133"/>
      <c r="I2105" s="133"/>
      <c r="J2105" s="133"/>
      <c r="K2105" s="133"/>
      <c r="L2105" s="133"/>
      <c r="M2105" s="133"/>
      <c r="N2105" s="133"/>
      <c r="O2105" s="133"/>
      <c r="P2105" s="134"/>
      <c r="Q2105" s="146"/>
      <c r="R2105" s="17"/>
      <c r="S2105" s="17"/>
      <c r="T2105" s="75"/>
      <c r="U2105" s="75"/>
      <c r="V2105" s="75"/>
      <c r="W2105" s="75"/>
      <c r="X2105" s="75"/>
    </row>
    <row r="2106">
      <c r="A2106" s="17"/>
      <c r="B2106" s="17"/>
      <c r="C2106" s="133"/>
      <c r="D2106" s="133"/>
      <c r="E2106" s="17"/>
      <c r="F2106" s="133"/>
      <c r="G2106" s="133"/>
      <c r="H2106" s="133"/>
      <c r="I2106" s="133"/>
      <c r="J2106" s="133"/>
      <c r="K2106" s="133"/>
      <c r="L2106" s="133"/>
      <c r="M2106" s="133"/>
      <c r="N2106" s="133"/>
      <c r="O2106" s="133"/>
      <c r="P2106" s="134"/>
      <c r="Q2106" s="146"/>
      <c r="R2106" s="17"/>
      <c r="S2106" s="17"/>
      <c r="T2106" s="75"/>
      <c r="U2106" s="75"/>
      <c r="V2106" s="75"/>
      <c r="W2106" s="75"/>
      <c r="X2106" s="75"/>
    </row>
    <row r="2107">
      <c r="A2107" s="17"/>
      <c r="B2107" s="17"/>
      <c r="C2107" s="133"/>
      <c r="D2107" s="133"/>
      <c r="E2107" s="17"/>
      <c r="F2107" s="133"/>
      <c r="G2107" s="133"/>
      <c r="H2107" s="133"/>
      <c r="I2107" s="133"/>
      <c r="J2107" s="133"/>
      <c r="K2107" s="133"/>
      <c r="L2107" s="133"/>
      <c r="M2107" s="133"/>
      <c r="N2107" s="133"/>
      <c r="O2107" s="133"/>
      <c r="P2107" s="134"/>
      <c r="Q2107" s="146"/>
      <c r="R2107" s="17"/>
      <c r="S2107" s="17"/>
      <c r="T2107" s="75"/>
      <c r="U2107" s="75"/>
      <c r="V2107" s="75"/>
      <c r="W2107" s="75"/>
      <c r="X2107" s="75"/>
    </row>
    <row r="2108">
      <c r="A2108" s="17"/>
      <c r="B2108" s="17"/>
      <c r="C2108" s="133"/>
      <c r="D2108" s="133"/>
      <c r="E2108" s="17"/>
      <c r="F2108" s="133"/>
      <c r="G2108" s="133"/>
      <c r="H2108" s="133"/>
      <c r="I2108" s="133"/>
      <c r="J2108" s="133"/>
      <c r="K2108" s="133"/>
      <c r="L2108" s="133"/>
      <c r="M2108" s="133"/>
      <c r="N2108" s="133"/>
      <c r="O2108" s="133"/>
      <c r="P2108" s="134"/>
      <c r="Q2108" s="146"/>
      <c r="R2108" s="17"/>
      <c r="S2108" s="17"/>
      <c r="T2108" s="75"/>
      <c r="U2108" s="75"/>
      <c r="V2108" s="75"/>
      <c r="W2108" s="75"/>
      <c r="X2108" s="75"/>
    </row>
    <row r="2109">
      <c r="A2109" s="17"/>
      <c r="B2109" s="17"/>
      <c r="C2109" s="133"/>
      <c r="D2109" s="133"/>
      <c r="E2109" s="17"/>
      <c r="F2109" s="133"/>
      <c r="G2109" s="133"/>
      <c r="H2109" s="133"/>
      <c r="I2109" s="133"/>
      <c r="J2109" s="133"/>
      <c r="K2109" s="133"/>
      <c r="L2109" s="133"/>
      <c r="M2109" s="133"/>
      <c r="N2109" s="133"/>
      <c r="O2109" s="133"/>
      <c r="P2109" s="134"/>
      <c r="Q2109" s="146"/>
      <c r="R2109" s="17"/>
      <c r="S2109" s="17"/>
      <c r="T2109" s="75"/>
      <c r="U2109" s="75"/>
      <c r="V2109" s="75"/>
      <c r="W2109" s="75"/>
      <c r="X2109" s="75"/>
    </row>
    <row r="2110">
      <c r="A2110" s="17"/>
      <c r="B2110" s="17"/>
      <c r="C2110" s="133"/>
      <c r="D2110" s="133"/>
      <c r="E2110" s="17"/>
      <c r="F2110" s="133"/>
      <c r="G2110" s="133"/>
      <c r="H2110" s="133"/>
      <c r="I2110" s="133"/>
      <c r="J2110" s="133"/>
      <c r="K2110" s="133"/>
      <c r="L2110" s="133"/>
      <c r="M2110" s="133"/>
      <c r="N2110" s="133"/>
      <c r="O2110" s="133"/>
      <c r="P2110" s="134"/>
      <c r="Q2110" s="146"/>
      <c r="R2110" s="17"/>
      <c r="S2110" s="17"/>
      <c r="T2110" s="75"/>
      <c r="U2110" s="75"/>
      <c r="V2110" s="75"/>
      <c r="W2110" s="75"/>
      <c r="X2110" s="75"/>
    </row>
    <row r="2111">
      <c r="A2111" s="17"/>
      <c r="B2111" s="17"/>
      <c r="C2111" s="133"/>
      <c r="D2111" s="133"/>
      <c r="E2111" s="17"/>
      <c r="F2111" s="133"/>
      <c r="G2111" s="133"/>
      <c r="H2111" s="133"/>
      <c r="I2111" s="133"/>
      <c r="J2111" s="133"/>
      <c r="K2111" s="133"/>
      <c r="L2111" s="133"/>
      <c r="M2111" s="133"/>
      <c r="N2111" s="133"/>
      <c r="O2111" s="133"/>
      <c r="P2111" s="134"/>
      <c r="Q2111" s="146"/>
      <c r="R2111" s="17"/>
      <c r="S2111" s="17"/>
      <c r="T2111" s="75"/>
      <c r="U2111" s="75"/>
      <c r="V2111" s="75"/>
      <c r="W2111" s="75"/>
      <c r="X2111" s="75"/>
    </row>
    <row r="2112">
      <c r="A2112" s="17"/>
      <c r="B2112" s="17"/>
      <c r="C2112" s="133"/>
      <c r="D2112" s="133"/>
      <c r="E2112" s="17"/>
      <c r="F2112" s="133"/>
      <c r="G2112" s="133"/>
      <c r="H2112" s="133"/>
      <c r="I2112" s="133"/>
      <c r="J2112" s="133"/>
      <c r="K2112" s="133"/>
      <c r="L2112" s="133"/>
      <c r="M2112" s="133"/>
      <c r="N2112" s="133"/>
      <c r="O2112" s="133"/>
      <c r="P2112" s="134"/>
      <c r="Q2112" s="146"/>
      <c r="R2112" s="17"/>
      <c r="S2112" s="17"/>
      <c r="T2112" s="75"/>
      <c r="U2112" s="75"/>
      <c r="V2112" s="75"/>
      <c r="W2112" s="75"/>
      <c r="X2112" s="75"/>
    </row>
    <row r="2113">
      <c r="A2113" s="17"/>
      <c r="B2113" s="17"/>
      <c r="C2113" s="133"/>
      <c r="D2113" s="133"/>
      <c r="E2113" s="17"/>
      <c r="F2113" s="133"/>
      <c r="G2113" s="133"/>
      <c r="H2113" s="133"/>
      <c r="I2113" s="133"/>
      <c r="J2113" s="133"/>
      <c r="K2113" s="133"/>
      <c r="L2113" s="133"/>
      <c r="M2113" s="133"/>
      <c r="N2113" s="133"/>
      <c r="O2113" s="133"/>
      <c r="P2113" s="134"/>
      <c r="Q2113" s="146"/>
      <c r="R2113" s="17"/>
      <c r="S2113" s="17"/>
      <c r="T2113" s="75"/>
      <c r="U2113" s="75"/>
      <c r="V2113" s="75"/>
      <c r="W2113" s="75"/>
      <c r="X2113" s="75"/>
    </row>
    <row r="2114">
      <c r="A2114" s="17"/>
      <c r="B2114" s="17"/>
      <c r="C2114" s="133"/>
      <c r="D2114" s="133"/>
      <c r="E2114" s="17"/>
      <c r="F2114" s="133"/>
      <c r="G2114" s="133"/>
      <c r="H2114" s="133"/>
      <c r="I2114" s="133"/>
      <c r="J2114" s="133"/>
      <c r="K2114" s="133"/>
      <c r="L2114" s="133"/>
      <c r="M2114" s="133"/>
      <c r="N2114" s="133"/>
      <c r="O2114" s="133"/>
      <c r="P2114" s="134"/>
      <c r="Q2114" s="146"/>
      <c r="R2114" s="17"/>
      <c r="S2114" s="17"/>
      <c r="T2114" s="75"/>
      <c r="U2114" s="75"/>
      <c r="V2114" s="75"/>
      <c r="W2114" s="75"/>
      <c r="X2114" s="75"/>
    </row>
    <row r="2115">
      <c r="A2115" s="17"/>
      <c r="B2115" s="17"/>
      <c r="C2115" s="133"/>
      <c r="D2115" s="133"/>
      <c r="E2115" s="17"/>
      <c r="F2115" s="133"/>
      <c r="G2115" s="133"/>
      <c r="H2115" s="133"/>
      <c r="I2115" s="133"/>
      <c r="J2115" s="133"/>
      <c r="K2115" s="133"/>
      <c r="L2115" s="133"/>
      <c r="M2115" s="133"/>
      <c r="N2115" s="133"/>
      <c r="O2115" s="133"/>
      <c r="P2115" s="134"/>
      <c r="Q2115" s="146"/>
      <c r="R2115" s="17"/>
      <c r="S2115" s="17"/>
      <c r="T2115" s="75"/>
      <c r="U2115" s="75"/>
      <c r="V2115" s="75"/>
      <c r="W2115" s="75"/>
      <c r="X2115" s="75"/>
    </row>
    <row r="2116">
      <c r="A2116" s="17"/>
      <c r="B2116" s="17"/>
      <c r="C2116" s="133"/>
      <c r="D2116" s="133"/>
      <c r="E2116" s="17"/>
      <c r="F2116" s="133"/>
      <c r="G2116" s="133"/>
      <c r="H2116" s="133"/>
      <c r="I2116" s="133"/>
      <c r="J2116" s="133"/>
      <c r="K2116" s="133"/>
      <c r="L2116" s="133"/>
      <c r="M2116" s="133"/>
      <c r="N2116" s="133"/>
      <c r="O2116" s="133"/>
      <c r="P2116" s="134"/>
      <c r="Q2116" s="146"/>
      <c r="R2116" s="17"/>
      <c r="S2116" s="17"/>
      <c r="T2116" s="75"/>
      <c r="U2116" s="75"/>
      <c r="V2116" s="75"/>
      <c r="W2116" s="75"/>
      <c r="X2116" s="75"/>
    </row>
    <row r="2117">
      <c r="A2117" s="17"/>
      <c r="B2117" s="17"/>
      <c r="C2117" s="133"/>
      <c r="D2117" s="133"/>
      <c r="E2117" s="17"/>
      <c r="F2117" s="133"/>
      <c r="G2117" s="133"/>
      <c r="H2117" s="133"/>
      <c r="I2117" s="133"/>
      <c r="J2117" s="133"/>
      <c r="K2117" s="133"/>
      <c r="L2117" s="133"/>
      <c r="M2117" s="133"/>
      <c r="N2117" s="133"/>
      <c r="O2117" s="133"/>
      <c r="P2117" s="134"/>
      <c r="Q2117" s="146"/>
      <c r="R2117" s="17"/>
      <c r="S2117" s="17"/>
      <c r="T2117" s="75"/>
      <c r="U2117" s="75"/>
      <c r="V2117" s="75"/>
      <c r="W2117" s="75"/>
      <c r="X2117" s="75"/>
    </row>
    <row r="2118">
      <c r="A2118" s="17"/>
      <c r="B2118" s="17"/>
      <c r="C2118" s="133"/>
      <c r="D2118" s="133"/>
      <c r="E2118" s="17"/>
      <c r="F2118" s="133"/>
      <c r="G2118" s="133"/>
      <c r="H2118" s="133"/>
      <c r="I2118" s="133"/>
      <c r="J2118" s="133"/>
      <c r="K2118" s="133"/>
      <c r="L2118" s="133"/>
      <c r="M2118" s="133"/>
      <c r="N2118" s="133"/>
      <c r="O2118" s="133"/>
      <c r="P2118" s="134"/>
      <c r="Q2118" s="146"/>
      <c r="R2118" s="17"/>
      <c r="S2118" s="17"/>
      <c r="T2118" s="75"/>
      <c r="U2118" s="75"/>
      <c r="V2118" s="75"/>
      <c r="W2118" s="75"/>
      <c r="X2118" s="75"/>
    </row>
    <row r="2119">
      <c r="A2119" s="17"/>
      <c r="B2119" s="17"/>
      <c r="C2119" s="133"/>
      <c r="D2119" s="133"/>
      <c r="E2119" s="17"/>
      <c r="F2119" s="133"/>
      <c r="G2119" s="133"/>
      <c r="H2119" s="133"/>
      <c r="I2119" s="133"/>
      <c r="J2119" s="133"/>
      <c r="K2119" s="133"/>
      <c r="L2119" s="133"/>
      <c r="M2119" s="133"/>
      <c r="N2119" s="133"/>
      <c r="O2119" s="133"/>
      <c r="P2119" s="134"/>
      <c r="Q2119" s="146"/>
      <c r="R2119" s="17"/>
      <c r="S2119" s="17"/>
      <c r="T2119" s="75"/>
      <c r="U2119" s="75"/>
      <c r="V2119" s="75"/>
      <c r="W2119" s="75"/>
      <c r="X2119" s="75"/>
    </row>
    <row r="2120">
      <c r="A2120" s="17"/>
      <c r="B2120" s="17"/>
      <c r="C2120" s="133"/>
      <c r="D2120" s="133"/>
      <c r="E2120" s="17"/>
      <c r="F2120" s="133"/>
      <c r="G2120" s="133"/>
      <c r="H2120" s="133"/>
      <c r="I2120" s="133"/>
      <c r="J2120" s="133"/>
      <c r="K2120" s="133"/>
      <c r="L2120" s="133"/>
      <c r="M2120" s="133"/>
      <c r="N2120" s="133"/>
      <c r="O2120" s="133"/>
      <c r="P2120" s="134"/>
      <c r="Q2120" s="146"/>
      <c r="R2120" s="17"/>
      <c r="S2120" s="17"/>
      <c r="T2120" s="75"/>
      <c r="U2120" s="75"/>
      <c r="V2120" s="75"/>
      <c r="W2120" s="75"/>
      <c r="X2120" s="75"/>
    </row>
    <row r="2121">
      <c r="A2121" s="17"/>
      <c r="B2121" s="17"/>
      <c r="C2121" s="133"/>
      <c r="D2121" s="133"/>
      <c r="E2121" s="17"/>
      <c r="F2121" s="133"/>
      <c r="G2121" s="133"/>
      <c r="H2121" s="133"/>
      <c r="I2121" s="133"/>
      <c r="J2121" s="133"/>
      <c r="K2121" s="133"/>
      <c r="L2121" s="133"/>
      <c r="M2121" s="133"/>
      <c r="N2121" s="133"/>
      <c r="O2121" s="133"/>
      <c r="P2121" s="134"/>
      <c r="Q2121" s="146"/>
      <c r="R2121" s="17"/>
      <c r="S2121" s="17"/>
      <c r="T2121" s="75"/>
      <c r="U2121" s="75"/>
      <c r="V2121" s="75"/>
      <c r="W2121" s="75"/>
      <c r="X2121" s="75"/>
    </row>
    <row r="2122">
      <c r="A2122" s="17"/>
      <c r="B2122" s="17"/>
      <c r="C2122" s="133"/>
      <c r="D2122" s="133"/>
      <c r="E2122" s="17"/>
      <c r="F2122" s="133"/>
      <c r="G2122" s="133"/>
      <c r="H2122" s="133"/>
      <c r="I2122" s="133"/>
      <c r="J2122" s="133"/>
      <c r="K2122" s="133"/>
      <c r="L2122" s="133"/>
      <c r="M2122" s="133"/>
      <c r="N2122" s="133"/>
      <c r="O2122" s="133"/>
      <c r="P2122" s="134"/>
      <c r="Q2122" s="146"/>
      <c r="R2122" s="17"/>
      <c r="S2122" s="17"/>
      <c r="T2122" s="75"/>
      <c r="U2122" s="75"/>
      <c r="V2122" s="75"/>
      <c r="W2122" s="75"/>
      <c r="X2122" s="75"/>
    </row>
    <row r="2123">
      <c r="A2123" s="17"/>
      <c r="B2123" s="17"/>
      <c r="C2123" s="133"/>
      <c r="D2123" s="133"/>
      <c r="E2123" s="17"/>
      <c r="F2123" s="133"/>
      <c r="G2123" s="133"/>
      <c r="H2123" s="133"/>
      <c r="I2123" s="133"/>
      <c r="J2123" s="133"/>
      <c r="K2123" s="133"/>
      <c r="L2123" s="133"/>
      <c r="M2123" s="133"/>
      <c r="N2123" s="133"/>
      <c r="O2123" s="133"/>
      <c r="P2123" s="134"/>
      <c r="Q2123" s="146"/>
      <c r="R2123" s="17"/>
      <c r="S2123" s="17"/>
      <c r="T2123" s="75"/>
      <c r="U2123" s="75"/>
      <c r="V2123" s="75"/>
      <c r="W2123" s="75"/>
      <c r="X2123" s="75"/>
    </row>
    <row r="2124">
      <c r="A2124" s="17"/>
      <c r="B2124" s="17"/>
      <c r="C2124" s="133"/>
      <c r="D2124" s="133"/>
      <c r="E2124" s="17"/>
      <c r="F2124" s="133"/>
      <c r="G2124" s="133"/>
      <c r="H2124" s="133"/>
      <c r="I2124" s="133"/>
      <c r="J2124" s="133"/>
      <c r="K2124" s="133"/>
      <c r="L2124" s="133"/>
      <c r="M2124" s="133"/>
      <c r="N2124" s="133"/>
      <c r="O2124" s="133"/>
      <c r="P2124" s="134"/>
      <c r="Q2124" s="146"/>
      <c r="R2124" s="17"/>
      <c r="S2124" s="17"/>
      <c r="T2124" s="75"/>
      <c r="U2124" s="75"/>
      <c r="V2124" s="75"/>
      <c r="W2124" s="75"/>
      <c r="X2124" s="75"/>
    </row>
    <row r="2125">
      <c r="A2125" s="17"/>
      <c r="B2125" s="17"/>
      <c r="C2125" s="133"/>
      <c r="D2125" s="133"/>
      <c r="E2125" s="17"/>
      <c r="F2125" s="133"/>
      <c r="G2125" s="133"/>
      <c r="H2125" s="133"/>
      <c r="I2125" s="133"/>
      <c r="J2125" s="133"/>
      <c r="K2125" s="133"/>
      <c r="L2125" s="133"/>
      <c r="M2125" s="133"/>
      <c r="N2125" s="133"/>
      <c r="O2125" s="133"/>
      <c r="P2125" s="134"/>
      <c r="Q2125" s="146"/>
      <c r="R2125" s="17"/>
      <c r="S2125" s="17"/>
      <c r="T2125" s="75"/>
      <c r="U2125" s="75"/>
      <c r="V2125" s="75"/>
      <c r="W2125" s="75"/>
      <c r="X2125" s="75"/>
    </row>
    <row r="2126">
      <c r="A2126" s="17"/>
      <c r="B2126" s="17"/>
      <c r="C2126" s="133"/>
      <c r="D2126" s="133"/>
      <c r="E2126" s="17"/>
      <c r="F2126" s="133"/>
      <c r="G2126" s="133"/>
      <c r="H2126" s="133"/>
      <c r="I2126" s="133"/>
      <c r="J2126" s="133"/>
      <c r="K2126" s="133"/>
      <c r="L2126" s="133"/>
      <c r="M2126" s="133"/>
      <c r="N2126" s="133"/>
      <c r="O2126" s="133"/>
      <c r="P2126" s="134"/>
      <c r="Q2126" s="146"/>
      <c r="R2126" s="17"/>
      <c r="S2126" s="17"/>
      <c r="T2126" s="75"/>
      <c r="U2126" s="75"/>
      <c r="V2126" s="75"/>
      <c r="W2126" s="75"/>
      <c r="X2126" s="75"/>
    </row>
    <row r="2127">
      <c r="A2127" s="17"/>
      <c r="B2127" s="17"/>
      <c r="C2127" s="133"/>
      <c r="D2127" s="133"/>
      <c r="E2127" s="17"/>
      <c r="F2127" s="133"/>
      <c r="G2127" s="133"/>
      <c r="H2127" s="133"/>
      <c r="I2127" s="133"/>
      <c r="J2127" s="133"/>
      <c r="K2127" s="133"/>
      <c r="L2127" s="133"/>
      <c r="M2127" s="133"/>
      <c r="N2127" s="133"/>
      <c r="O2127" s="133"/>
      <c r="P2127" s="134"/>
      <c r="Q2127" s="146"/>
      <c r="R2127" s="17"/>
      <c r="S2127" s="17"/>
      <c r="T2127" s="75"/>
      <c r="U2127" s="75"/>
      <c r="V2127" s="75"/>
      <c r="W2127" s="75"/>
      <c r="X2127" s="75"/>
    </row>
    <row r="2128">
      <c r="A2128" s="17"/>
      <c r="B2128" s="17"/>
      <c r="C2128" s="133"/>
      <c r="D2128" s="133"/>
      <c r="E2128" s="17"/>
      <c r="F2128" s="133"/>
      <c r="G2128" s="133"/>
      <c r="H2128" s="133"/>
      <c r="I2128" s="133"/>
      <c r="J2128" s="133"/>
      <c r="K2128" s="133"/>
      <c r="L2128" s="133"/>
      <c r="M2128" s="133"/>
      <c r="N2128" s="133"/>
      <c r="O2128" s="133"/>
      <c r="P2128" s="134"/>
      <c r="Q2128" s="146"/>
      <c r="R2128" s="17"/>
      <c r="S2128" s="17"/>
      <c r="T2128" s="75"/>
      <c r="U2128" s="75"/>
      <c r="V2128" s="75"/>
      <c r="W2128" s="75"/>
      <c r="X2128" s="75"/>
    </row>
    <row r="2129">
      <c r="A2129" s="17"/>
      <c r="B2129" s="17"/>
      <c r="C2129" s="133"/>
      <c r="D2129" s="133"/>
      <c r="E2129" s="17"/>
      <c r="F2129" s="133"/>
      <c r="G2129" s="133"/>
      <c r="H2129" s="133"/>
      <c r="I2129" s="133"/>
      <c r="J2129" s="133"/>
      <c r="K2129" s="133"/>
      <c r="L2129" s="133"/>
      <c r="M2129" s="133"/>
      <c r="N2129" s="133"/>
      <c r="O2129" s="133"/>
      <c r="P2129" s="134"/>
      <c r="Q2129" s="146"/>
      <c r="R2129" s="17"/>
      <c r="S2129" s="17"/>
      <c r="T2129" s="75"/>
      <c r="U2129" s="75"/>
      <c r="V2129" s="75"/>
      <c r="W2129" s="75"/>
      <c r="X2129" s="75"/>
    </row>
    <row r="2130">
      <c r="A2130" s="17"/>
      <c r="B2130" s="17"/>
      <c r="C2130" s="133"/>
      <c r="D2130" s="133"/>
      <c r="E2130" s="17"/>
      <c r="F2130" s="133"/>
      <c r="G2130" s="133"/>
      <c r="H2130" s="133"/>
      <c r="I2130" s="133"/>
      <c r="J2130" s="133"/>
      <c r="K2130" s="133"/>
      <c r="L2130" s="133"/>
      <c r="M2130" s="133"/>
      <c r="N2130" s="133"/>
      <c r="O2130" s="133"/>
      <c r="P2130" s="134"/>
      <c r="Q2130" s="146"/>
      <c r="R2130" s="17"/>
      <c r="S2130" s="17"/>
      <c r="T2130" s="75"/>
      <c r="U2130" s="75"/>
      <c r="V2130" s="75"/>
      <c r="W2130" s="75"/>
      <c r="X2130" s="75"/>
    </row>
    <row r="2131">
      <c r="A2131" s="17"/>
      <c r="B2131" s="17"/>
      <c r="C2131" s="133"/>
      <c r="D2131" s="133"/>
      <c r="E2131" s="17"/>
      <c r="F2131" s="133"/>
      <c r="G2131" s="133"/>
      <c r="H2131" s="133"/>
      <c r="I2131" s="133"/>
      <c r="J2131" s="133"/>
      <c r="K2131" s="133"/>
      <c r="L2131" s="133"/>
      <c r="M2131" s="133"/>
      <c r="N2131" s="133"/>
      <c r="O2131" s="133"/>
      <c r="P2131" s="134"/>
      <c r="Q2131" s="146"/>
      <c r="R2131" s="17"/>
      <c r="S2131" s="17"/>
      <c r="T2131" s="75"/>
      <c r="U2131" s="75"/>
      <c r="V2131" s="75"/>
      <c r="W2131" s="75"/>
      <c r="X2131" s="75"/>
    </row>
    <row r="2132">
      <c r="A2132" s="17"/>
      <c r="B2132" s="17"/>
      <c r="C2132" s="133"/>
      <c r="D2132" s="133"/>
      <c r="E2132" s="17"/>
      <c r="F2132" s="133"/>
      <c r="G2132" s="133"/>
      <c r="H2132" s="133"/>
      <c r="I2132" s="133"/>
      <c r="J2132" s="133"/>
      <c r="K2132" s="133"/>
      <c r="L2132" s="133"/>
      <c r="M2132" s="133"/>
      <c r="N2132" s="133"/>
      <c r="O2132" s="133"/>
      <c r="P2132" s="134"/>
      <c r="Q2132" s="146"/>
      <c r="R2132" s="17"/>
      <c r="S2132" s="17"/>
      <c r="T2132" s="75"/>
      <c r="U2132" s="75"/>
      <c r="V2132" s="75"/>
      <c r="W2132" s="75"/>
      <c r="X2132" s="75"/>
    </row>
    <row r="2133">
      <c r="A2133" s="17"/>
      <c r="B2133" s="17"/>
      <c r="C2133" s="133"/>
      <c r="D2133" s="133"/>
      <c r="E2133" s="17"/>
      <c r="F2133" s="133"/>
      <c r="G2133" s="133"/>
      <c r="H2133" s="133"/>
      <c r="I2133" s="133"/>
      <c r="J2133" s="133"/>
      <c r="K2133" s="133"/>
      <c r="L2133" s="133"/>
      <c r="M2133" s="133"/>
      <c r="N2133" s="133"/>
      <c r="O2133" s="133"/>
      <c r="P2133" s="134"/>
      <c r="Q2133" s="146"/>
      <c r="R2133" s="17"/>
      <c r="S2133" s="17"/>
      <c r="T2133" s="75"/>
      <c r="U2133" s="75"/>
      <c r="V2133" s="75"/>
      <c r="W2133" s="75"/>
      <c r="X2133" s="75"/>
    </row>
    <row r="2134">
      <c r="A2134" s="17"/>
      <c r="B2134" s="17"/>
      <c r="C2134" s="133"/>
      <c r="D2134" s="133"/>
      <c r="E2134" s="17"/>
      <c r="F2134" s="133"/>
      <c r="G2134" s="133"/>
      <c r="H2134" s="133"/>
      <c r="I2134" s="133"/>
      <c r="J2134" s="133"/>
      <c r="K2134" s="133"/>
      <c r="L2134" s="133"/>
      <c r="M2134" s="133"/>
      <c r="N2134" s="133"/>
      <c r="O2134" s="133"/>
      <c r="P2134" s="134"/>
      <c r="Q2134" s="146"/>
      <c r="R2134" s="17"/>
      <c r="S2134" s="17"/>
      <c r="T2134" s="75"/>
      <c r="U2134" s="75"/>
      <c r="V2134" s="75"/>
      <c r="W2134" s="75"/>
      <c r="X2134" s="75"/>
    </row>
    <row r="2135">
      <c r="A2135" s="17"/>
      <c r="B2135" s="17"/>
      <c r="C2135" s="133"/>
      <c r="D2135" s="133"/>
      <c r="E2135" s="17"/>
      <c r="F2135" s="133"/>
      <c r="G2135" s="133"/>
      <c r="H2135" s="133"/>
      <c r="I2135" s="133"/>
      <c r="J2135" s="133"/>
      <c r="K2135" s="133"/>
      <c r="L2135" s="133"/>
      <c r="M2135" s="133"/>
      <c r="N2135" s="133"/>
      <c r="O2135" s="133"/>
      <c r="P2135" s="134"/>
      <c r="Q2135" s="146"/>
      <c r="R2135" s="17"/>
      <c r="S2135" s="17"/>
      <c r="T2135" s="75"/>
      <c r="U2135" s="75"/>
      <c r="V2135" s="75"/>
      <c r="W2135" s="75"/>
      <c r="X2135" s="75"/>
    </row>
    <row r="2136">
      <c r="A2136" s="17"/>
      <c r="B2136" s="17"/>
      <c r="C2136" s="133"/>
      <c r="D2136" s="133"/>
      <c r="E2136" s="17"/>
      <c r="F2136" s="133"/>
      <c r="G2136" s="133"/>
      <c r="H2136" s="133"/>
      <c r="I2136" s="133"/>
      <c r="J2136" s="133"/>
      <c r="K2136" s="133"/>
      <c r="L2136" s="133"/>
      <c r="M2136" s="133"/>
      <c r="N2136" s="133"/>
      <c r="O2136" s="133"/>
      <c r="P2136" s="134"/>
      <c r="Q2136" s="146"/>
      <c r="R2136" s="17"/>
      <c r="S2136" s="17"/>
      <c r="T2136" s="75"/>
      <c r="U2136" s="75"/>
      <c r="V2136" s="75"/>
      <c r="W2136" s="75"/>
      <c r="X2136" s="75"/>
    </row>
    <row r="2137">
      <c r="A2137" s="17"/>
      <c r="B2137" s="17"/>
      <c r="C2137" s="133"/>
      <c r="D2137" s="133"/>
      <c r="E2137" s="17"/>
      <c r="F2137" s="133"/>
      <c r="G2137" s="133"/>
      <c r="H2137" s="133"/>
      <c r="I2137" s="133"/>
      <c r="J2137" s="133"/>
      <c r="K2137" s="133"/>
      <c r="L2137" s="133"/>
      <c r="M2137" s="133"/>
      <c r="N2137" s="133"/>
      <c r="O2137" s="133"/>
      <c r="P2137" s="134"/>
      <c r="Q2137" s="146"/>
      <c r="R2137" s="17"/>
      <c r="S2137" s="17"/>
      <c r="T2137" s="75"/>
      <c r="U2137" s="75"/>
      <c r="V2137" s="75"/>
      <c r="W2137" s="75"/>
      <c r="X2137" s="75"/>
    </row>
    <row r="2138">
      <c r="A2138" s="17"/>
      <c r="B2138" s="17"/>
      <c r="C2138" s="133"/>
      <c r="D2138" s="133"/>
      <c r="E2138" s="17"/>
      <c r="F2138" s="133"/>
      <c r="G2138" s="133"/>
      <c r="H2138" s="133"/>
      <c r="I2138" s="133"/>
      <c r="J2138" s="133"/>
      <c r="K2138" s="133"/>
      <c r="L2138" s="133"/>
      <c r="M2138" s="133"/>
      <c r="N2138" s="133"/>
      <c r="O2138" s="133"/>
      <c r="P2138" s="134"/>
      <c r="Q2138" s="146"/>
      <c r="R2138" s="17"/>
      <c r="S2138" s="17"/>
      <c r="T2138" s="75"/>
      <c r="U2138" s="75"/>
      <c r="V2138" s="75"/>
      <c r="W2138" s="75"/>
      <c r="X2138" s="75"/>
    </row>
    <row r="2139">
      <c r="A2139" s="17"/>
      <c r="B2139" s="17"/>
      <c r="C2139" s="133"/>
      <c r="D2139" s="133"/>
      <c r="E2139" s="17"/>
      <c r="F2139" s="133"/>
      <c r="G2139" s="133"/>
      <c r="H2139" s="133"/>
      <c r="I2139" s="133"/>
      <c r="J2139" s="133"/>
      <c r="K2139" s="133"/>
      <c r="L2139" s="133"/>
      <c r="M2139" s="133"/>
      <c r="N2139" s="133"/>
      <c r="O2139" s="133"/>
      <c r="P2139" s="134"/>
      <c r="Q2139" s="146"/>
      <c r="R2139" s="17"/>
      <c r="S2139" s="17"/>
      <c r="T2139" s="75"/>
      <c r="U2139" s="75"/>
      <c r="V2139" s="75"/>
      <c r="W2139" s="75"/>
      <c r="X2139" s="75"/>
    </row>
    <row r="2140">
      <c r="A2140" s="17"/>
      <c r="B2140" s="17"/>
      <c r="C2140" s="133"/>
      <c r="D2140" s="133"/>
      <c r="E2140" s="17"/>
      <c r="F2140" s="133"/>
      <c r="G2140" s="133"/>
      <c r="H2140" s="133"/>
      <c r="I2140" s="133"/>
      <c r="J2140" s="133"/>
      <c r="K2140" s="133"/>
      <c r="L2140" s="133"/>
      <c r="M2140" s="133"/>
      <c r="N2140" s="133"/>
      <c r="O2140" s="133"/>
      <c r="P2140" s="134"/>
      <c r="Q2140" s="146"/>
      <c r="R2140" s="17"/>
      <c r="S2140" s="17"/>
      <c r="T2140" s="75"/>
      <c r="U2140" s="75"/>
      <c r="V2140" s="75"/>
      <c r="W2140" s="75"/>
      <c r="X2140" s="75"/>
    </row>
    <row r="2141">
      <c r="A2141" s="17"/>
      <c r="B2141" s="17"/>
      <c r="C2141" s="133"/>
      <c r="D2141" s="133"/>
      <c r="E2141" s="17"/>
      <c r="F2141" s="133"/>
      <c r="G2141" s="133"/>
      <c r="H2141" s="133"/>
      <c r="I2141" s="133"/>
      <c r="J2141" s="133"/>
      <c r="K2141" s="133"/>
      <c r="L2141" s="133"/>
      <c r="M2141" s="133"/>
      <c r="N2141" s="133"/>
      <c r="O2141" s="133"/>
      <c r="P2141" s="134"/>
      <c r="Q2141" s="146"/>
      <c r="R2141" s="17"/>
      <c r="S2141" s="17"/>
      <c r="T2141" s="75"/>
      <c r="U2141" s="75"/>
      <c r="V2141" s="75"/>
      <c r="W2141" s="75"/>
      <c r="X2141" s="75"/>
    </row>
    <row r="2142">
      <c r="A2142" s="17"/>
      <c r="B2142" s="17"/>
      <c r="C2142" s="133"/>
      <c r="D2142" s="133"/>
      <c r="E2142" s="17"/>
      <c r="F2142" s="133"/>
      <c r="G2142" s="133"/>
      <c r="H2142" s="133"/>
      <c r="I2142" s="133"/>
      <c r="J2142" s="133"/>
      <c r="K2142" s="133"/>
      <c r="L2142" s="133"/>
      <c r="M2142" s="133"/>
      <c r="N2142" s="133"/>
      <c r="O2142" s="133"/>
      <c r="P2142" s="134"/>
      <c r="Q2142" s="146"/>
      <c r="R2142" s="17"/>
      <c r="S2142" s="17"/>
      <c r="T2142" s="75"/>
      <c r="U2142" s="75"/>
      <c r="V2142" s="75"/>
      <c r="W2142" s="75"/>
      <c r="X2142" s="75"/>
    </row>
    <row r="2143">
      <c r="A2143" s="17"/>
      <c r="B2143" s="17"/>
      <c r="C2143" s="133"/>
      <c r="D2143" s="133"/>
      <c r="E2143" s="17"/>
      <c r="F2143" s="133"/>
      <c r="G2143" s="133"/>
      <c r="H2143" s="133"/>
      <c r="I2143" s="133"/>
      <c r="J2143" s="133"/>
      <c r="K2143" s="133"/>
      <c r="L2143" s="133"/>
      <c r="M2143" s="133"/>
      <c r="N2143" s="133"/>
      <c r="O2143" s="133"/>
      <c r="P2143" s="134"/>
      <c r="Q2143" s="146"/>
      <c r="R2143" s="17"/>
      <c r="S2143" s="17"/>
      <c r="T2143" s="75"/>
      <c r="U2143" s="75"/>
      <c r="V2143" s="75"/>
      <c r="W2143" s="75"/>
      <c r="X2143" s="75"/>
    </row>
    <row r="2144">
      <c r="A2144" s="17"/>
      <c r="B2144" s="17"/>
      <c r="C2144" s="133"/>
      <c r="D2144" s="133"/>
      <c r="E2144" s="17"/>
      <c r="F2144" s="133"/>
      <c r="G2144" s="133"/>
      <c r="H2144" s="133"/>
      <c r="I2144" s="133"/>
      <c r="J2144" s="133"/>
      <c r="K2144" s="133"/>
      <c r="L2144" s="133"/>
      <c r="M2144" s="133"/>
      <c r="N2144" s="133"/>
      <c r="O2144" s="133"/>
      <c r="P2144" s="134"/>
      <c r="Q2144" s="146"/>
      <c r="R2144" s="17"/>
      <c r="S2144" s="17"/>
      <c r="T2144" s="75"/>
      <c r="U2144" s="75"/>
      <c r="V2144" s="75"/>
      <c r="W2144" s="75"/>
      <c r="X2144" s="75"/>
    </row>
    <row r="2145">
      <c r="A2145" s="17"/>
      <c r="B2145" s="17"/>
      <c r="C2145" s="133"/>
      <c r="D2145" s="133"/>
      <c r="E2145" s="17"/>
      <c r="F2145" s="133"/>
      <c r="G2145" s="133"/>
      <c r="H2145" s="133"/>
      <c r="I2145" s="133"/>
      <c r="J2145" s="133"/>
      <c r="K2145" s="133"/>
      <c r="L2145" s="133"/>
      <c r="M2145" s="133"/>
      <c r="N2145" s="133"/>
      <c r="O2145" s="133"/>
      <c r="P2145" s="134"/>
      <c r="Q2145" s="146"/>
      <c r="R2145" s="17"/>
      <c r="S2145" s="17"/>
      <c r="T2145" s="75"/>
      <c r="U2145" s="75"/>
      <c r="V2145" s="75"/>
      <c r="W2145" s="75"/>
      <c r="X2145" s="75"/>
    </row>
    <row r="2146">
      <c r="A2146" s="17"/>
      <c r="B2146" s="17"/>
      <c r="C2146" s="133"/>
      <c r="D2146" s="133"/>
      <c r="E2146" s="17"/>
      <c r="F2146" s="133"/>
      <c r="G2146" s="133"/>
      <c r="H2146" s="133"/>
      <c r="I2146" s="133"/>
      <c r="J2146" s="133"/>
      <c r="K2146" s="133"/>
      <c r="L2146" s="133"/>
      <c r="M2146" s="133"/>
      <c r="N2146" s="133"/>
      <c r="O2146" s="133"/>
      <c r="P2146" s="134"/>
      <c r="Q2146" s="146"/>
      <c r="R2146" s="17"/>
      <c r="S2146" s="17"/>
      <c r="T2146" s="75"/>
      <c r="U2146" s="75"/>
      <c r="V2146" s="75"/>
      <c r="W2146" s="75"/>
      <c r="X2146" s="75"/>
    </row>
    <row r="2147">
      <c r="A2147" s="17"/>
      <c r="B2147" s="17"/>
      <c r="C2147" s="133"/>
      <c r="D2147" s="133"/>
      <c r="E2147" s="17"/>
      <c r="F2147" s="133"/>
      <c r="G2147" s="133"/>
      <c r="H2147" s="133"/>
      <c r="I2147" s="133"/>
      <c r="J2147" s="133"/>
      <c r="K2147" s="133"/>
      <c r="L2147" s="133"/>
      <c r="M2147" s="133"/>
      <c r="N2147" s="133"/>
      <c r="O2147" s="133"/>
      <c r="P2147" s="134"/>
      <c r="Q2147" s="146"/>
      <c r="R2147" s="17"/>
      <c r="S2147" s="17"/>
      <c r="T2147" s="75"/>
      <c r="U2147" s="75"/>
      <c r="V2147" s="75"/>
      <c r="W2147" s="75"/>
      <c r="X2147" s="75"/>
    </row>
    <row r="2148">
      <c r="A2148" s="17"/>
      <c r="B2148" s="17"/>
      <c r="C2148" s="133"/>
      <c r="D2148" s="133"/>
      <c r="E2148" s="17"/>
      <c r="F2148" s="133"/>
      <c r="G2148" s="133"/>
      <c r="H2148" s="133"/>
      <c r="I2148" s="133"/>
      <c r="J2148" s="133"/>
      <c r="K2148" s="133"/>
      <c r="L2148" s="133"/>
      <c r="M2148" s="133"/>
      <c r="N2148" s="133"/>
      <c r="O2148" s="133"/>
      <c r="P2148" s="134"/>
      <c r="Q2148" s="146"/>
      <c r="R2148" s="17"/>
      <c r="S2148" s="17"/>
      <c r="T2148" s="75"/>
      <c r="U2148" s="75"/>
      <c r="V2148" s="75"/>
      <c r="W2148" s="75"/>
      <c r="X2148" s="75"/>
    </row>
    <row r="2149">
      <c r="A2149" s="17"/>
      <c r="B2149" s="17"/>
      <c r="C2149" s="133"/>
      <c r="D2149" s="133"/>
      <c r="E2149" s="17"/>
      <c r="F2149" s="133"/>
      <c r="G2149" s="133"/>
      <c r="H2149" s="133"/>
      <c r="I2149" s="133"/>
      <c r="J2149" s="133"/>
      <c r="K2149" s="133"/>
      <c r="L2149" s="133"/>
      <c r="M2149" s="133"/>
      <c r="N2149" s="133"/>
      <c r="O2149" s="133"/>
      <c r="P2149" s="134"/>
      <c r="Q2149" s="146"/>
      <c r="R2149" s="17"/>
      <c r="S2149" s="17"/>
      <c r="T2149" s="75"/>
      <c r="U2149" s="75"/>
      <c r="V2149" s="75"/>
      <c r="W2149" s="75"/>
      <c r="X2149" s="75"/>
    </row>
    <row r="2150">
      <c r="A2150" s="17"/>
      <c r="B2150" s="17"/>
      <c r="C2150" s="133"/>
      <c r="D2150" s="133"/>
      <c r="E2150" s="17"/>
      <c r="F2150" s="133"/>
      <c r="G2150" s="133"/>
      <c r="H2150" s="133"/>
      <c r="I2150" s="133"/>
      <c r="J2150" s="133"/>
      <c r="K2150" s="133"/>
      <c r="L2150" s="133"/>
      <c r="M2150" s="133"/>
      <c r="N2150" s="133"/>
      <c r="O2150" s="133"/>
      <c r="P2150" s="134"/>
      <c r="Q2150" s="146"/>
      <c r="R2150" s="17"/>
      <c r="S2150" s="17"/>
      <c r="T2150" s="75"/>
      <c r="U2150" s="75"/>
      <c r="V2150" s="75"/>
      <c r="W2150" s="75"/>
      <c r="X2150" s="75"/>
    </row>
    <row r="2151">
      <c r="A2151" s="17"/>
      <c r="B2151" s="17"/>
      <c r="C2151" s="133"/>
      <c r="D2151" s="133"/>
      <c r="E2151" s="17"/>
      <c r="F2151" s="133"/>
      <c r="G2151" s="133"/>
      <c r="H2151" s="133"/>
      <c r="I2151" s="133"/>
      <c r="J2151" s="133"/>
      <c r="K2151" s="133"/>
      <c r="L2151" s="133"/>
      <c r="M2151" s="133"/>
      <c r="N2151" s="133"/>
      <c r="O2151" s="133"/>
      <c r="P2151" s="134"/>
      <c r="Q2151" s="146"/>
      <c r="R2151" s="17"/>
      <c r="S2151" s="17"/>
      <c r="T2151" s="75"/>
      <c r="U2151" s="75"/>
      <c r="V2151" s="75"/>
      <c r="W2151" s="75"/>
      <c r="X2151" s="75"/>
    </row>
    <row r="2152">
      <c r="A2152" s="17"/>
      <c r="B2152" s="17"/>
      <c r="C2152" s="133"/>
      <c r="D2152" s="133"/>
      <c r="E2152" s="17"/>
      <c r="F2152" s="133"/>
      <c r="G2152" s="133"/>
      <c r="H2152" s="133"/>
      <c r="I2152" s="133"/>
      <c r="J2152" s="133"/>
      <c r="K2152" s="133"/>
      <c r="L2152" s="133"/>
      <c r="M2152" s="133"/>
      <c r="N2152" s="133"/>
      <c r="O2152" s="133"/>
      <c r="P2152" s="134"/>
      <c r="Q2152" s="146"/>
      <c r="R2152" s="17"/>
      <c r="S2152" s="17"/>
      <c r="T2152" s="75"/>
      <c r="U2152" s="75"/>
      <c r="V2152" s="75"/>
      <c r="W2152" s="75"/>
      <c r="X2152" s="75"/>
    </row>
    <row r="2153">
      <c r="A2153" s="17"/>
      <c r="B2153" s="17"/>
      <c r="C2153" s="133"/>
      <c r="D2153" s="133"/>
      <c r="E2153" s="17"/>
      <c r="F2153" s="133"/>
      <c r="G2153" s="133"/>
      <c r="H2153" s="133"/>
      <c r="I2153" s="133"/>
      <c r="J2153" s="133"/>
      <c r="K2153" s="133"/>
      <c r="L2153" s="133"/>
      <c r="M2153" s="133"/>
      <c r="N2153" s="133"/>
      <c r="O2153" s="133"/>
      <c r="P2153" s="134"/>
      <c r="Q2153" s="146"/>
      <c r="R2153" s="17"/>
      <c r="S2153" s="17"/>
      <c r="T2153" s="75"/>
      <c r="U2153" s="75"/>
      <c r="V2153" s="75"/>
      <c r="W2153" s="75"/>
      <c r="X2153" s="75"/>
    </row>
    <row r="2154">
      <c r="A2154" s="17"/>
      <c r="B2154" s="17"/>
      <c r="C2154" s="133"/>
      <c r="D2154" s="133"/>
      <c r="E2154" s="17"/>
      <c r="F2154" s="133"/>
      <c r="G2154" s="133"/>
      <c r="H2154" s="133"/>
      <c r="I2154" s="133"/>
      <c r="J2154" s="133"/>
      <c r="K2154" s="133"/>
      <c r="L2154" s="133"/>
      <c r="M2154" s="133"/>
      <c r="N2154" s="133"/>
      <c r="O2154" s="133"/>
      <c r="P2154" s="134"/>
      <c r="Q2154" s="146"/>
      <c r="R2154" s="17"/>
      <c r="S2154" s="17"/>
      <c r="T2154" s="75"/>
      <c r="U2154" s="75"/>
      <c r="V2154" s="75"/>
      <c r="W2154" s="75"/>
      <c r="X2154" s="75"/>
    </row>
    <row r="2155">
      <c r="A2155" s="17"/>
      <c r="B2155" s="17"/>
      <c r="C2155" s="133"/>
      <c r="D2155" s="133"/>
      <c r="E2155" s="17"/>
      <c r="F2155" s="133"/>
      <c r="G2155" s="133"/>
      <c r="H2155" s="133"/>
      <c r="I2155" s="133"/>
      <c r="J2155" s="133"/>
      <c r="K2155" s="133"/>
      <c r="L2155" s="133"/>
      <c r="M2155" s="133"/>
      <c r="N2155" s="133"/>
      <c r="O2155" s="133"/>
      <c r="P2155" s="134"/>
      <c r="Q2155" s="146"/>
      <c r="R2155" s="17"/>
      <c r="S2155" s="17"/>
      <c r="T2155" s="75"/>
      <c r="U2155" s="75"/>
      <c r="V2155" s="75"/>
      <c r="W2155" s="75"/>
      <c r="X2155" s="75"/>
    </row>
    <row r="2156">
      <c r="A2156" s="17"/>
      <c r="B2156" s="17"/>
      <c r="C2156" s="133"/>
      <c r="D2156" s="133"/>
      <c r="E2156" s="17"/>
      <c r="F2156" s="133"/>
      <c r="G2156" s="133"/>
      <c r="H2156" s="133"/>
      <c r="I2156" s="133"/>
      <c r="J2156" s="133"/>
      <c r="K2156" s="133"/>
      <c r="L2156" s="133"/>
      <c r="M2156" s="133"/>
      <c r="N2156" s="133"/>
      <c r="O2156" s="133"/>
      <c r="P2156" s="134"/>
      <c r="Q2156" s="146"/>
      <c r="R2156" s="17"/>
      <c r="S2156" s="17"/>
      <c r="T2156" s="75"/>
      <c r="U2156" s="75"/>
      <c r="V2156" s="75"/>
      <c r="W2156" s="75"/>
      <c r="X2156" s="75"/>
    </row>
    <row r="2157">
      <c r="A2157" s="17"/>
      <c r="B2157" s="17"/>
      <c r="C2157" s="133"/>
      <c r="D2157" s="133"/>
      <c r="E2157" s="17"/>
      <c r="F2157" s="133"/>
      <c r="G2157" s="133"/>
      <c r="H2157" s="133"/>
      <c r="I2157" s="133"/>
      <c r="J2157" s="133"/>
      <c r="K2157" s="133"/>
      <c r="L2157" s="133"/>
      <c r="M2157" s="133"/>
      <c r="N2157" s="133"/>
      <c r="O2157" s="133"/>
      <c r="P2157" s="134"/>
      <c r="Q2157" s="146"/>
      <c r="R2157" s="17"/>
      <c r="S2157" s="17"/>
      <c r="T2157" s="75"/>
      <c r="U2157" s="75"/>
      <c r="V2157" s="75"/>
      <c r="W2157" s="75"/>
      <c r="X2157" s="75"/>
    </row>
    <row r="2158">
      <c r="A2158" s="17"/>
      <c r="B2158" s="17"/>
      <c r="C2158" s="133"/>
      <c r="D2158" s="133"/>
      <c r="E2158" s="17"/>
      <c r="F2158" s="133"/>
      <c r="G2158" s="133"/>
      <c r="H2158" s="133"/>
      <c r="I2158" s="133"/>
      <c r="J2158" s="133"/>
      <c r="K2158" s="133"/>
      <c r="L2158" s="133"/>
      <c r="M2158" s="133"/>
      <c r="N2158" s="133"/>
      <c r="O2158" s="133"/>
      <c r="P2158" s="134"/>
      <c r="Q2158" s="146"/>
      <c r="R2158" s="17"/>
      <c r="S2158" s="17"/>
      <c r="T2158" s="75"/>
      <c r="U2158" s="75"/>
      <c r="V2158" s="75"/>
      <c r="W2158" s="75"/>
      <c r="X2158" s="75"/>
    </row>
    <row r="2159">
      <c r="A2159" s="17"/>
      <c r="B2159" s="17"/>
      <c r="C2159" s="133"/>
      <c r="D2159" s="133"/>
      <c r="E2159" s="17"/>
      <c r="F2159" s="133"/>
      <c r="G2159" s="133"/>
      <c r="H2159" s="133"/>
      <c r="I2159" s="133"/>
      <c r="J2159" s="133"/>
      <c r="K2159" s="133"/>
      <c r="L2159" s="133"/>
      <c r="M2159" s="133"/>
      <c r="N2159" s="133"/>
      <c r="O2159" s="133"/>
      <c r="P2159" s="134"/>
      <c r="Q2159" s="146"/>
      <c r="R2159" s="17"/>
      <c r="S2159" s="17"/>
      <c r="T2159" s="75"/>
      <c r="U2159" s="75"/>
      <c r="V2159" s="75"/>
      <c r="W2159" s="75"/>
      <c r="X2159" s="75"/>
    </row>
    <row r="2160">
      <c r="A2160" s="17"/>
      <c r="B2160" s="17"/>
      <c r="C2160" s="133"/>
      <c r="D2160" s="133"/>
      <c r="E2160" s="17"/>
      <c r="F2160" s="133"/>
      <c r="G2160" s="133"/>
      <c r="H2160" s="133"/>
      <c r="I2160" s="133"/>
      <c r="J2160" s="133"/>
      <c r="K2160" s="133"/>
      <c r="L2160" s="133"/>
      <c r="M2160" s="133"/>
      <c r="N2160" s="133"/>
      <c r="O2160" s="133"/>
      <c r="P2160" s="134"/>
      <c r="Q2160" s="146"/>
      <c r="R2160" s="17"/>
      <c r="S2160" s="17"/>
      <c r="T2160" s="75"/>
      <c r="U2160" s="75"/>
      <c r="V2160" s="75"/>
      <c r="W2160" s="75"/>
      <c r="X2160" s="75"/>
    </row>
    <row r="2161">
      <c r="A2161" s="17"/>
      <c r="B2161" s="17"/>
      <c r="C2161" s="133"/>
      <c r="D2161" s="133"/>
      <c r="E2161" s="17"/>
      <c r="F2161" s="133"/>
      <c r="G2161" s="133"/>
      <c r="H2161" s="133"/>
      <c r="I2161" s="133"/>
      <c r="J2161" s="133"/>
      <c r="K2161" s="133"/>
      <c r="L2161" s="133"/>
      <c r="M2161" s="133"/>
      <c r="N2161" s="133"/>
      <c r="O2161" s="133"/>
      <c r="P2161" s="134"/>
      <c r="Q2161" s="146"/>
      <c r="R2161" s="17"/>
      <c r="S2161" s="17"/>
      <c r="T2161" s="75"/>
      <c r="U2161" s="75"/>
      <c r="V2161" s="75"/>
      <c r="W2161" s="75"/>
      <c r="X2161" s="75"/>
    </row>
    <row r="2162">
      <c r="A2162" s="17"/>
      <c r="B2162" s="17"/>
      <c r="C2162" s="133"/>
      <c r="D2162" s="133"/>
      <c r="E2162" s="17"/>
      <c r="F2162" s="133"/>
      <c r="G2162" s="133"/>
      <c r="H2162" s="133"/>
      <c r="I2162" s="133"/>
      <c r="J2162" s="133"/>
      <c r="K2162" s="133"/>
      <c r="L2162" s="133"/>
      <c r="M2162" s="133"/>
      <c r="N2162" s="133"/>
      <c r="O2162" s="133"/>
      <c r="P2162" s="134"/>
      <c r="Q2162" s="146"/>
      <c r="R2162" s="17"/>
      <c r="S2162" s="17"/>
      <c r="T2162" s="75"/>
      <c r="U2162" s="75"/>
      <c r="V2162" s="75"/>
      <c r="W2162" s="75"/>
      <c r="X2162" s="75"/>
    </row>
    <row r="2163">
      <c r="A2163" s="17"/>
      <c r="B2163" s="17"/>
      <c r="C2163" s="133"/>
      <c r="D2163" s="133"/>
      <c r="E2163" s="17"/>
      <c r="F2163" s="133"/>
      <c r="G2163" s="133"/>
      <c r="H2163" s="133"/>
      <c r="I2163" s="133"/>
      <c r="J2163" s="133"/>
      <c r="K2163" s="133"/>
      <c r="L2163" s="133"/>
      <c r="M2163" s="133"/>
      <c r="N2163" s="133"/>
      <c r="O2163" s="133"/>
      <c r="P2163" s="134"/>
      <c r="Q2163" s="146"/>
      <c r="R2163" s="17"/>
      <c r="S2163" s="17"/>
      <c r="T2163" s="75"/>
      <c r="U2163" s="75"/>
      <c r="V2163" s="75"/>
      <c r="W2163" s="75"/>
      <c r="X2163" s="75"/>
    </row>
    <row r="2164">
      <c r="A2164" s="17"/>
      <c r="B2164" s="17"/>
      <c r="C2164" s="133"/>
      <c r="D2164" s="133"/>
      <c r="E2164" s="17"/>
      <c r="F2164" s="133"/>
      <c r="G2164" s="133"/>
      <c r="H2164" s="133"/>
      <c r="I2164" s="133"/>
      <c r="J2164" s="133"/>
      <c r="K2164" s="133"/>
      <c r="L2164" s="133"/>
      <c r="M2164" s="133"/>
      <c r="N2164" s="133"/>
      <c r="O2164" s="133"/>
      <c r="P2164" s="134"/>
      <c r="Q2164" s="146"/>
      <c r="R2164" s="17"/>
      <c r="S2164" s="17"/>
      <c r="T2164" s="75"/>
      <c r="U2164" s="75"/>
      <c r="V2164" s="75"/>
      <c r="W2164" s="75"/>
      <c r="X2164" s="75"/>
    </row>
    <row r="2165">
      <c r="A2165" s="17"/>
      <c r="B2165" s="17"/>
      <c r="C2165" s="133"/>
      <c r="D2165" s="133"/>
      <c r="E2165" s="17"/>
      <c r="F2165" s="133"/>
      <c r="G2165" s="133"/>
      <c r="H2165" s="133"/>
      <c r="I2165" s="133"/>
      <c r="J2165" s="133"/>
      <c r="K2165" s="133"/>
      <c r="L2165" s="133"/>
      <c r="M2165" s="133"/>
      <c r="N2165" s="133"/>
      <c r="O2165" s="133"/>
      <c r="P2165" s="134"/>
      <c r="Q2165" s="146"/>
      <c r="R2165" s="17"/>
      <c r="S2165" s="17"/>
      <c r="T2165" s="75"/>
      <c r="U2165" s="75"/>
      <c r="V2165" s="75"/>
      <c r="W2165" s="75"/>
      <c r="X2165" s="75"/>
    </row>
    <row r="2166">
      <c r="A2166" s="17"/>
      <c r="B2166" s="17"/>
      <c r="C2166" s="133"/>
      <c r="D2166" s="133"/>
      <c r="E2166" s="17"/>
      <c r="F2166" s="133"/>
      <c r="G2166" s="133"/>
      <c r="H2166" s="133"/>
      <c r="I2166" s="133"/>
      <c r="J2166" s="133"/>
      <c r="K2166" s="133"/>
      <c r="L2166" s="133"/>
      <c r="M2166" s="133"/>
      <c r="N2166" s="133"/>
      <c r="O2166" s="133"/>
      <c r="P2166" s="134"/>
      <c r="Q2166" s="146"/>
      <c r="R2166" s="17"/>
      <c r="S2166" s="17"/>
      <c r="T2166" s="75"/>
      <c r="U2166" s="75"/>
      <c r="V2166" s="75"/>
      <c r="W2166" s="75"/>
      <c r="X2166" s="75"/>
    </row>
    <row r="2167">
      <c r="A2167" s="17"/>
      <c r="B2167" s="17"/>
      <c r="C2167" s="133"/>
      <c r="D2167" s="133"/>
      <c r="E2167" s="17"/>
      <c r="F2167" s="133"/>
      <c r="G2167" s="133"/>
      <c r="H2167" s="133"/>
      <c r="I2167" s="133"/>
      <c r="J2167" s="133"/>
      <c r="K2167" s="133"/>
      <c r="L2167" s="133"/>
      <c r="M2167" s="133"/>
      <c r="N2167" s="133"/>
      <c r="O2167" s="133"/>
      <c r="P2167" s="134"/>
      <c r="Q2167" s="146"/>
      <c r="R2167" s="17"/>
      <c r="S2167" s="17"/>
      <c r="T2167" s="75"/>
      <c r="U2167" s="75"/>
      <c r="V2167" s="75"/>
      <c r="W2167" s="75"/>
      <c r="X2167" s="75"/>
    </row>
    <row r="2168">
      <c r="A2168" s="17"/>
      <c r="B2168" s="17"/>
      <c r="C2168" s="133"/>
      <c r="D2168" s="133"/>
      <c r="E2168" s="17"/>
      <c r="F2168" s="133"/>
      <c r="G2168" s="133"/>
      <c r="H2168" s="133"/>
      <c r="I2168" s="133"/>
      <c r="J2168" s="133"/>
      <c r="K2168" s="133"/>
      <c r="L2168" s="133"/>
      <c r="M2168" s="133"/>
      <c r="N2168" s="133"/>
      <c r="O2168" s="133"/>
      <c r="P2168" s="134"/>
      <c r="Q2168" s="146"/>
      <c r="R2168" s="17"/>
      <c r="S2168" s="17"/>
      <c r="T2168" s="75"/>
      <c r="U2168" s="75"/>
      <c r="V2168" s="75"/>
      <c r="W2168" s="75"/>
      <c r="X2168" s="75"/>
    </row>
    <row r="2169">
      <c r="A2169" s="17"/>
      <c r="B2169" s="17"/>
      <c r="C2169" s="133"/>
      <c r="D2169" s="133"/>
      <c r="E2169" s="17"/>
      <c r="F2169" s="133"/>
      <c r="G2169" s="133"/>
      <c r="H2169" s="133"/>
      <c r="I2169" s="133"/>
      <c r="J2169" s="133"/>
      <c r="K2169" s="133"/>
      <c r="L2169" s="133"/>
      <c r="M2169" s="133"/>
      <c r="N2169" s="133"/>
      <c r="O2169" s="133"/>
      <c r="P2169" s="134"/>
      <c r="Q2169" s="146"/>
      <c r="R2169" s="17"/>
      <c r="S2169" s="17"/>
      <c r="T2169" s="75"/>
      <c r="U2169" s="75"/>
      <c r="V2169" s="75"/>
      <c r="W2169" s="75"/>
      <c r="X2169" s="75"/>
    </row>
    <row r="2170">
      <c r="A2170" s="17"/>
      <c r="B2170" s="17"/>
      <c r="C2170" s="133"/>
      <c r="D2170" s="133"/>
      <c r="E2170" s="17"/>
      <c r="F2170" s="133"/>
      <c r="G2170" s="133"/>
      <c r="H2170" s="133"/>
      <c r="I2170" s="133"/>
      <c r="J2170" s="133"/>
      <c r="K2170" s="133"/>
      <c r="L2170" s="133"/>
      <c r="M2170" s="133"/>
      <c r="N2170" s="133"/>
      <c r="O2170" s="133"/>
      <c r="P2170" s="134"/>
      <c r="Q2170" s="146"/>
      <c r="R2170" s="17"/>
      <c r="S2170" s="17"/>
      <c r="T2170" s="75"/>
      <c r="U2170" s="75"/>
      <c r="V2170" s="75"/>
      <c r="W2170" s="75"/>
      <c r="X2170" s="75"/>
    </row>
    <row r="2171">
      <c r="A2171" s="17"/>
      <c r="B2171" s="17"/>
      <c r="C2171" s="133"/>
      <c r="D2171" s="133"/>
      <c r="E2171" s="17"/>
      <c r="F2171" s="133"/>
      <c r="G2171" s="133"/>
      <c r="H2171" s="133"/>
      <c r="I2171" s="133"/>
      <c r="J2171" s="133"/>
      <c r="K2171" s="133"/>
      <c r="L2171" s="133"/>
      <c r="M2171" s="133"/>
      <c r="N2171" s="133"/>
      <c r="O2171" s="133"/>
      <c r="P2171" s="134"/>
      <c r="Q2171" s="146"/>
      <c r="R2171" s="17"/>
      <c r="S2171" s="17"/>
      <c r="T2171" s="75"/>
      <c r="U2171" s="75"/>
      <c r="V2171" s="75"/>
      <c r="W2171" s="75"/>
      <c r="X2171" s="75"/>
    </row>
    <row r="2172">
      <c r="A2172" s="17"/>
      <c r="B2172" s="17"/>
      <c r="C2172" s="133"/>
      <c r="D2172" s="133"/>
      <c r="E2172" s="17"/>
      <c r="F2172" s="133"/>
      <c r="G2172" s="133"/>
      <c r="H2172" s="133"/>
      <c r="I2172" s="133"/>
      <c r="J2172" s="133"/>
      <c r="K2172" s="133"/>
      <c r="L2172" s="133"/>
      <c r="M2172" s="133"/>
      <c r="N2172" s="133"/>
      <c r="O2172" s="133"/>
      <c r="P2172" s="134"/>
      <c r="Q2172" s="146"/>
      <c r="R2172" s="17"/>
      <c r="S2172" s="17"/>
      <c r="T2172" s="75"/>
      <c r="U2172" s="75"/>
      <c r="V2172" s="75"/>
      <c r="W2172" s="75"/>
      <c r="X2172" s="75"/>
    </row>
    <row r="2173">
      <c r="A2173" s="17"/>
      <c r="B2173" s="17"/>
      <c r="C2173" s="133"/>
      <c r="D2173" s="133"/>
      <c r="E2173" s="17"/>
      <c r="F2173" s="133"/>
      <c r="G2173" s="133"/>
      <c r="H2173" s="133"/>
      <c r="I2173" s="133"/>
      <c r="J2173" s="133"/>
      <c r="K2173" s="133"/>
      <c r="L2173" s="133"/>
      <c r="M2173" s="133"/>
      <c r="N2173" s="133"/>
      <c r="O2173" s="133"/>
      <c r="P2173" s="134"/>
      <c r="Q2173" s="146"/>
      <c r="R2173" s="17"/>
      <c r="S2173" s="17"/>
      <c r="T2173" s="75"/>
      <c r="U2173" s="75"/>
      <c r="V2173" s="75"/>
      <c r="W2173" s="75"/>
      <c r="X2173" s="75"/>
    </row>
    <row r="2174">
      <c r="A2174" s="17"/>
      <c r="B2174" s="17"/>
      <c r="C2174" s="133"/>
      <c r="D2174" s="133"/>
      <c r="E2174" s="17"/>
      <c r="F2174" s="133"/>
      <c r="G2174" s="133"/>
      <c r="H2174" s="133"/>
      <c r="I2174" s="133"/>
      <c r="J2174" s="133"/>
      <c r="K2174" s="133"/>
      <c r="L2174" s="133"/>
      <c r="M2174" s="133"/>
      <c r="N2174" s="133"/>
      <c r="O2174" s="133"/>
      <c r="P2174" s="134"/>
      <c r="Q2174" s="146"/>
      <c r="R2174" s="17"/>
      <c r="S2174" s="17"/>
      <c r="T2174" s="75"/>
      <c r="U2174" s="75"/>
      <c r="V2174" s="75"/>
      <c r="W2174" s="75"/>
      <c r="X2174" s="75"/>
    </row>
    <row r="2175">
      <c r="A2175" s="17"/>
      <c r="B2175" s="17"/>
      <c r="C2175" s="133"/>
      <c r="D2175" s="133"/>
      <c r="E2175" s="17"/>
      <c r="F2175" s="133"/>
      <c r="G2175" s="133"/>
      <c r="H2175" s="133"/>
      <c r="I2175" s="133"/>
      <c r="J2175" s="133"/>
      <c r="K2175" s="133"/>
      <c r="L2175" s="133"/>
      <c r="M2175" s="133"/>
      <c r="N2175" s="133"/>
      <c r="O2175" s="133"/>
      <c r="P2175" s="134"/>
      <c r="Q2175" s="146"/>
      <c r="R2175" s="17"/>
      <c r="S2175" s="17"/>
      <c r="T2175" s="75"/>
      <c r="U2175" s="75"/>
      <c r="V2175" s="75"/>
      <c r="W2175" s="75"/>
      <c r="X2175" s="75"/>
    </row>
    <row r="2176">
      <c r="A2176" s="17"/>
      <c r="B2176" s="17"/>
      <c r="C2176" s="133"/>
      <c r="D2176" s="133"/>
      <c r="E2176" s="17"/>
      <c r="F2176" s="133"/>
      <c r="G2176" s="133"/>
      <c r="H2176" s="133"/>
      <c r="I2176" s="133"/>
      <c r="J2176" s="133"/>
      <c r="K2176" s="133"/>
      <c r="L2176" s="133"/>
      <c r="M2176" s="133"/>
      <c r="N2176" s="133"/>
      <c r="O2176" s="133"/>
      <c r="P2176" s="134"/>
      <c r="Q2176" s="146"/>
      <c r="R2176" s="17"/>
      <c r="S2176" s="17"/>
      <c r="T2176" s="75"/>
      <c r="U2176" s="75"/>
      <c r="V2176" s="75"/>
      <c r="W2176" s="75"/>
      <c r="X2176" s="75"/>
    </row>
    <row r="2177">
      <c r="A2177" s="17"/>
      <c r="B2177" s="17"/>
      <c r="C2177" s="133"/>
      <c r="D2177" s="133"/>
      <c r="E2177" s="17"/>
      <c r="F2177" s="133"/>
      <c r="G2177" s="133"/>
      <c r="H2177" s="133"/>
      <c r="I2177" s="133"/>
      <c r="J2177" s="133"/>
      <c r="K2177" s="133"/>
      <c r="L2177" s="133"/>
      <c r="M2177" s="133"/>
      <c r="N2177" s="133"/>
      <c r="O2177" s="133"/>
      <c r="P2177" s="134"/>
      <c r="Q2177" s="146"/>
      <c r="R2177" s="17"/>
      <c r="S2177" s="17"/>
      <c r="T2177" s="75"/>
      <c r="U2177" s="75"/>
      <c r="V2177" s="75"/>
      <c r="W2177" s="75"/>
      <c r="X2177" s="75"/>
    </row>
    <row r="2178">
      <c r="A2178" s="17"/>
      <c r="B2178" s="17"/>
      <c r="C2178" s="133"/>
      <c r="D2178" s="133"/>
      <c r="E2178" s="17"/>
      <c r="F2178" s="133"/>
      <c r="G2178" s="133"/>
      <c r="H2178" s="133"/>
      <c r="I2178" s="133"/>
      <c r="J2178" s="133"/>
      <c r="K2178" s="133"/>
      <c r="L2178" s="133"/>
      <c r="M2178" s="133"/>
      <c r="N2178" s="133"/>
      <c r="O2178" s="133"/>
      <c r="P2178" s="134"/>
      <c r="Q2178" s="146"/>
      <c r="R2178" s="17"/>
      <c r="S2178" s="17"/>
      <c r="T2178" s="75"/>
      <c r="U2178" s="75"/>
      <c r="V2178" s="75"/>
      <c r="W2178" s="75"/>
      <c r="X2178" s="75"/>
    </row>
    <row r="2179">
      <c r="A2179" s="17"/>
      <c r="B2179" s="17"/>
      <c r="C2179" s="133"/>
      <c r="D2179" s="133"/>
      <c r="E2179" s="17"/>
      <c r="F2179" s="133"/>
      <c r="G2179" s="133"/>
      <c r="H2179" s="133"/>
      <c r="I2179" s="133"/>
      <c r="J2179" s="133"/>
      <c r="K2179" s="133"/>
      <c r="L2179" s="133"/>
      <c r="M2179" s="133"/>
      <c r="N2179" s="133"/>
      <c r="O2179" s="133"/>
      <c r="P2179" s="134"/>
      <c r="Q2179" s="146"/>
      <c r="R2179" s="17"/>
      <c r="S2179" s="17"/>
      <c r="T2179" s="75"/>
      <c r="U2179" s="75"/>
      <c r="V2179" s="75"/>
      <c r="W2179" s="75"/>
      <c r="X2179" s="75"/>
    </row>
    <row r="2180">
      <c r="A2180" s="17"/>
      <c r="B2180" s="17"/>
      <c r="C2180" s="133"/>
      <c r="D2180" s="133"/>
      <c r="E2180" s="17"/>
      <c r="F2180" s="133"/>
      <c r="G2180" s="133"/>
      <c r="H2180" s="133"/>
      <c r="I2180" s="133"/>
      <c r="J2180" s="133"/>
      <c r="K2180" s="133"/>
      <c r="L2180" s="133"/>
      <c r="M2180" s="133"/>
      <c r="N2180" s="133"/>
      <c r="O2180" s="133"/>
      <c r="P2180" s="134"/>
      <c r="Q2180" s="146"/>
      <c r="R2180" s="17"/>
      <c r="S2180" s="17"/>
      <c r="T2180" s="75"/>
      <c r="U2180" s="75"/>
      <c r="V2180" s="75"/>
      <c r="W2180" s="75"/>
      <c r="X2180" s="75"/>
    </row>
    <row r="2181">
      <c r="A2181" s="17"/>
      <c r="B2181" s="17"/>
      <c r="C2181" s="133"/>
      <c r="D2181" s="133"/>
      <c r="E2181" s="17"/>
      <c r="F2181" s="133"/>
      <c r="G2181" s="133"/>
      <c r="H2181" s="133"/>
      <c r="I2181" s="133"/>
      <c r="J2181" s="133"/>
      <c r="K2181" s="133"/>
      <c r="L2181" s="133"/>
      <c r="M2181" s="133"/>
      <c r="N2181" s="133"/>
      <c r="O2181" s="133"/>
      <c r="P2181" s="134"/>
      <c r="Q2181" s="146"/>
      <c r="R2181" s="17"/>
      <c r="S2181" s="17"/>
      <c r="T2181" s="75"/>
      <c r="U2181" s="75"/>
      <c r="V2181" s="75"/>
      <c r="W2181" s="75"/>
      <c r="X2181" s="75"/>
    </row>
    <row r="2182">
      <c r="A2182" s="17"/>
      <c r="B2182" s="17"/>
      <c r="C2182" s="133"/>
      <c r="D2182" s="133"/>
      <c r="E2182" s="17"/>
      <c r="F2182" s="133"/>
      <c r="G2182" s="133"/>
      <c r="H2182" s="133"/>
      <c r="I2182" s="133"/>
      <c r="J2182" s="133"/>
      <c r="K2182" s="133"/>
      <c r="L2182" s="133"/>
      <c r="M2182" s="133"/>
      <c r="N2182" s="133"/>
      <c r="O2182" s="133"/>
      <c r="P2182" s="134"/>
      <c r="Q2182" s="146"/>
      <c r="R2182" s="17"/>
      <c r="S2182" s="17"/>
      <c r="T2182" s="75"/>
      <c r="U2182" s="75"/>
      <c r="V2182" s="75"/>
      <c r="W2182" s="75"/>
      <c r="X2182" s="75"/>
    </row>
    <row r="2183">
      <c r="A2183" s="17"/>
      <c r="B2183" s="17"/>
      <c r="C2183" s="133"/>
      <c r="D2183" s="133"/>
      <c r="E2183" s="17"/>
      <c r="F2183" s="133"/>
      <c r="G2183" s="133"/>
      <c r="H2183" s="133"/>
      <c r="I2183" s="133"/>
      <c r="J2183" s="133"/>
      <c r="K2183" s="133"/>
      <c r="L2183" s="133"/>
      <c r="M2183" s="133"/>
      <c r="N2183" s="133"/>
      <c r="O2183" s="133"/>
      <c r="P2183" s="134"/>
      <c r="Q2183" s="146"/>
      <c r="R2183" s="17"/>
      <c r="S2183" s="17"/>
      <c r="T2183" s="75"/>
      <c r="U2183" s="75"/>
      <c r="V2183" s="75"/>
      <c r="W2183" s="75"/>
      <c r="X2183" s="75"/>
    </row>
    <row r="2184">
      <c r="A2184" s="17"/>
      <c r="B2184" s="17"/>
      <c r="C2184" s="133"/>
      <c r="D2184" s="133"/>
      <c r="E2184" s="17"/>
      <c r="F2184" s="133"/>
      <c r="G2184" s="133"/>
      <c r="H2184" s="133"/>
      <c r="I2184" s="133"/>
      <c r="J2184" s="133"/>
      <c r="K2184" s="133"/>
      <c r="L2184" s="133"/>
      <c r="M2184" s="133"/>
      <c r="N2184" s="133"/>
      <c r="O2184" s="133"/>
      <c r="P2184" s="134"/>
      <c r="Q2184" s="146"/>
      <c r="R2184" s="17"/>
      <c r="S2184" s="17"/>
      <c r="T2184" s="75"/>
      <c r="U2184" s="75"/>
      <c r="V2184" s="75"/>
      <c r="W2184" s="75"/>
      <c r="X2184" s="75"/>
    </row>
    <row r="2185">
      <c r="A2185" s="17"/>
      <c r="B2185" s="17"/>
      <c r="C2185" s="133"/>
      <c r="D2185" s="133"/>
      <c r="E2185" s="17"/>
      <c r="F2185" s="133"/>
      <c r="G2185" s="133"/>
      <c r="H2185" s="133"/>
      <c r="I2185" s="133"/>
      <c r="J2185" s="133"/>
      <c r="K2185" s="133"/>
      <c r="L2185" s="133"/>
      <c r="M2185" s="133"/>
      <c r="N2185" s="133"/>
      <c r="O2185" s="133"/>
      <c r="P2185" s="134"/>
      <c r="Q2185" s="146"/>
      <c r="R2185" s="17"/>
      <c r="S2185" s="17"/>
      <c r="T2185" s="75"/>
      <c r="U2185" s="75"/>
      <c r="V2185" s="75"/>
      <c r="W2185" s="75"/>
      <c r="X2185" s="75"/>
    </row>
    <row r="2186">
      <c r="A2186" s="17"/>
      <c r="B2186" s="17"/>
      <c r="C2186" s="133"/>
      <c r="D2186" s="133"/>
      <c r="E2186" s="17"/>
      <c r="F2186" s="133"/>
      <c r="G2186" s="133"/>
      <c r="H2186" s="133"/>
      <c r="I2186" s="133"/>
      <c r="J2186" s="133"/>
      <c r="K2186" s="133"/>
      <c r="L2186" s="133"/>
      <c r="M2186" s="133"/>
      <c r="N2186" s="133"/>
      <c r="O2186" s="133"/>
      <c r="P2186" s="134"/>
      <c r="Q2186" s="146"/>
      <c r="R2186" s="17"/>
      <c r="S2186" s="17"/>
      <c r="T2186" s="75"/>
      <c r="U2186" s="75"/>
      <c r="V2186" s="75"/>
      <c r="W2186" s="75"/>
      <c r="X2186" s="75"/>
    </row>
    <row r="2187">
      <c r="A2187" s="17"/>
      <c r="B2187" s="17"/>
      <c r="C2187" s="133"/>
      <c r="D2187" s="133"/>
      <c r="E2187" s="17"/>
      <c r="F2187" s="133"/>
      <c r="G2187" s="133"/>
      <c r="H2187" s="133"/>
      <c r="I2187" s="133"/>
      <c r="J2187" s="133"/>
      <c r="K2187" s="133"/>
      <c r="L2187" s="133"/>
      <c r="M2187" s="133"/>
      <c r="N2187" s="133"/>
      <c r="O2187" s="133"/>
      <c r="P2187" s="134"/>
      <c r="Q2187" s="146"/>
      <c r="R2187" s="17"/>
      <c r="S2187" s="17"/>
      <c r="T2187" s="75"/>
      <c r="U2187" s="75"/>
      <c r="V2187" s="75"/>
      <c r="W2187" s="75"/>
      <c r="X2187" s="75"/>
    </row>
    <row r="2188">
      <c r="A2188" s="17"/>
      <c r="B2188" s="17"/>
      <c r="C2188" s="133"/>
      <c r="D2188" s="133"/>
      <c r="E2188" s="17"/>
      <c r="F2188" s="133"/>
      <c r="G2188" s="133"/>
      <c r="H2188" s="133"/>
      <c r="I2188" s="133"/>
      <c r="J2188" s="133"/>
      <c r="K2188" s="133"/>
      <c r="L2188" s="133"/>
      <c r="M2188" s="133"/>
      <c r="N2188" s="133"/>
      <c r="O2188" s="133"/>
      <c r="P2188" s="134"/>
      <c r="Q2188" s="146"/>
      <c r="R2188" s="17"/>
      <c r="S2188" s="17"/>
      <c r="T2188" s="75"/>
      <c r="U2188" s="75"/>
      <c r="V2188" s="75"/>
      <c r="W2188" s="75"/>
      <c r="X2188" s="75"/>
    </row>
    <row r="2189">
      <c r="A2189" s="17"/>
      <c r="B2189" s="17"/>
      <c r="C2189" s="133"/>
      <c r="D2189" s="133"/>
      <c r="E2189" s="17"/>
      <c r="F2189" s="133"/>
      <c r="G2189" s="133"/>
      <c r="H2189" s="133"/>
      <c r="I2189" s="133"/>
      <c r="J2189" s="133"/>
      <c r="K2189" s="133"/>
      <c r="L2189" s="133"/>
      <c r="M2189" s="133"/>
      <c r="N2189" s="133"/>
      <c r="O2189" s="133"/>
      <c r="P2189" s="134"/>
      <c r="Q2189" s="146"/>
      <c r="R2189" s="17"/>
      <c r="S2189" s="17"/>
      <c r="T2189" s="75"/>
      <c r="U2189" s="75"/>
      <c r="V2189" s="75"/>
      <c r="W2189" s="75"/>
      <c r="X2189" s="75"/>
    </row>
    <row r="2190">
      <c r="A2190" s="17"/>
      <c r="B2190" s="17"/>
      <c r="C2190" s="133"/>
      <c r="D2190" s="133"/>
      <c r="E2190" s="17"/>
      <c r="F2190" s="133"/>
      <c r="G2190" s="133"/>
      <c r="H2190" s="133"/>
      <c r="I2190" s="133"/>
      <c r="J2190" s="133"/>
      <c r="K2190" s="133"/>
      <c r="L2190" s="133"/>
      <c r="M2190" s="133"/>
      <c r="N2190" s="133"/>
      <c r="O2190" s="133"/>
      <c r="P2190" s="134"/>
      <c r="Q2190" s="146"/>
      <c r="R2190" s="17"/>
      <c r="S2190" s="17"/>
      <c r="T2190" s="75"/>
      <c r="U2190" s="75"/>
      <c r="V2190" s="75"/>
      <c r="W2190" s="75"/>
      <c r="X2190" s="75"/>
    </row>
    <row r="2191">
      <c r="A2191" s="17"/>
      <c r="B2191" s="17"/>
      <c r="C2191" s="133"/>
      <c r="D2191" s="133"/>
      <c r="E2191" s="17"/>
      <c r="F2191" s="133"/>
      <c r="G2191" s="133"/>
      <c r="H2191" s="133"/>
      <c r="I2191" s="133"/>
      <c r="J2191" s="133"/>
      <c r="K2191" s="133"/>
      <c r="L2191" s="133"/>
      <c r="M2191" s="133"/>
      <c r="N2191" s="133"/>
      <c r="O2191" s="133"/>
      <c r="P2191" s="134"/>
      <c r="Q2191" s="146"/>
      <c r="R2191" s="17"/>
      <c r="S2191" s="17"/>
      <c r="T2191" s="75"/>
      <c r="U2191" s="75"/>
      <c r="V2191" s="75"/>
      <c r="W2191" s="75"/>
      <c r="X2191" s="75"/>
    </row>
    <row r="2192">
      <c r="A2192" s="17"/>
      <c r="B2192" s="17"/>
      <c r="C2192" s="133"/>
      <c r="D2192" s="133"/>
      <c r="E2192" s="17"/>
      <c r="F2192" s="133"/>
      <c r="G2192" s="133"/>
      <c r="H2192" s="133"/>
      <c r="I2192" s="133"/>
      <c r="J2192" s="133"/>
      <c r="K2192" s="133"/>
      <c r="L2192" s="133"/>
      <c r="M2192" s="133"/>
      <c r="N2192" s="133"/>
      <c r="O2192" s="133"/>
      <c r="P2192" s="134"/>
      <c r="Q2192" s="146"/>
      <c r="R2192" s="17"/>
      <c r="S2192" s="17"/>
      <c r="T2192" s="75"/>
      <c r="U2192" s="75"/>
      <c r="V2192" s="75"/>
      <c r="W2192" s="75"/>
      <c r="X2192" s="75"/>
    </row>
    <row r="2193">
      <c r="A2193" s="17"/>
      <c r="B2193" s="17"/>
      <c r="C2193" s="133"/>
      <c r="D2193" s="133"/>
      <c r="E2193" s="17"/>
      <c r="F2193" s="133"/>
      <c r="G2193" s="133"/>
      <c r="H2193" s="133"/>
      <c r="I2193" s="133"/>
      <c r="J2193" s="133"/>
      <c r="K2193" s="133"/>
      <c r="L2193" s="133"/>
      <c r="M2193" s="133"/>
      <c r="N2193" s="133"/>
      <c r="O2193" s="133"/>
      <c r="P2193" s="134"/>
      <c r="Q2193" s="146"/>
      <c r="R2193" s="17"/>
      <c r="S2193" s="17"/>
      <c r="T2193" s="75"/>
      <c r="U2193" s="75"/>
      <c r="V2193" s="75"/>
      <c r="W2193" s="75"/>
      <c r="X2193" s="75"/>
    </row>
    <row r="2194">
      <c r="A2194" s="17"/>
      <c r="B2194" s="17"/>
      <c r="C2194" s="133"/>
      <c r="D2194" s="133"/>
      <c r="E2194" s="17"/>
      <c r="F2194" s="133"/>
      <c r="G2194" s="133"/>
      <c r="H2194" s="133"/>
      <c r="I2194" s="133"/>
      <c r="J2194" s="133"/>
      <c r="K2194" s="133"/>
      <c r="L2194" s="133"/>
      <c r="M2194" s="133"/>
      <c r="N2194" s="133"/>
      <c r="O2194" s="133"/>
      <c r="P2194" s="134"/>
      <c r="Q2194" s="146"/>
      <c r="R2194" s="17"/>
      <c r="S2194" s="17"/>
      <c r="T2194" s="75"/>
      <c r="U2194" s="75"/>
      <c r="V2194" s="75"/>
      <c r="W2194" s="75"/>
      <c r="X2194" s="75"/>
    </row>
    <row r="2195">
      <c r="A2195" s="17"/>
      <c r="B2195" s="17"/>
      <c r="C2195" s="133"/>
      <c r="D2195" s="133"/>
      <c r="E2195" s="17"/>
      <c r="F2195" s="133"/>
      <c r="G2195" s="133"/>
      <c r="H2195" s="133"/>
      <c r="I2195" s="133"/>
      <c r="J2195" s="133"/>
      <c r="K2195" s="133"/>
      <c r="L2195" s="133"/>
      <c r="M2195" s="133"/>
      <c r="N2195" s="133"/>
      <c r="O2195" s="133"/>
      <c r="P2195" s="134"/>
      <c r="Q2195" s="146"/>
      <c r="R2195" s="17"/>
      <c r="S2195" s="17"/>
      <c r="T2195" s="75"/>
      <c r="U2195" s="75"/>
      <c r="V2195" s="75"/>
      <c r="W2195" s="75"/>
      <c r="X2195" s="75"/>
    </row>
    <row r="2196">
      <c r="A2196" s="17"/>
      <c r="B2196" s="17"/>
      <c r="C2196" s="133"/>
      <c r="D2196" s="133"/>
      <c r="E2196" s="17"/>
      <c r="F2196" s="133"/>
      <c r="G2196" s="133"/>
      <c r="H2196" s="133"/>
      <c r="I2196" s="133"/>
      <c r="J2196" s="133"/>
      <c r="K2196" s="133"/>
      <c r="L2196" s="133"/>
      <c r="M2196" s="133"/>
      <c r="N2196" s="133"/>
      <c r="O2196" s="133"/>
      <c r="P2196" s="134"/>
      <c r="Q2196" s="146"/>
      <c r="R2196" s="17"/>
      <c r="S2196" s="17"/>
      <c r="T2196" s="75"/>
      <c r="U2196" s="75"/>
      <c r="V2196" s="75"/>
      <c r="W2196" s="75"/>
      <c r="X2196" s="75"/>
    </row>
    <row r="2197">
      <c r="A2197" s="17"/>
      <c r="B2197" s="17"/>
      <c r="C2197" s="133"/>
      <c r="D2197" s="133"/>
      <c r="E2197" s="17"/>
      <c r="F2197" s="133"/>
      <c r="G2197" s="133"/>
      <c r="H2197" s="133"/>
      <c r="I2197" s="133"/>
      <c r="J2197" s="133"/>
      <c r="K2197" s="133"/>
      <c r="L2197" s="133"/>
      <c r="M2197" s="133"/>
      <c r="N2197" s="133"/>
      <c r="O2197" s="133"/>
      <c r="P2197" s="134"/>
      <c r="Q2197" s="146"/>
      <c r="R2197" s="17"/>
      <c r="S2197" s="17"/>
      <c r="T2197" s="75"/>
      <c r="U2197" s="75"/>
      <c r="V2197" s="75"/>
      <c r="W2197" s="75"/>
      <c r="X2197" s="75"/>
    </row>
    <row r="2198">
      <c r="A2198" s="17"/>
      <c r="B2198" s="17"/>
      <c r="C2198" s="133"/>
      <c r="D2198" s="133"/>
      <c r="E2198" s="17"/>
      <c r="F2198" s="133"/>
      <c r="G2198" s="133"/>
      <c r="H2198" s="133"/>
      <c r="I2198" s="133"/>
      <c r="J2198" s="133"/>
      <c r="K2198" s="133"/>
      <c r="L2198" s="133"/>
      <c r="M2198" s="133"/>
      <c r="N2198" s="133"/>
      <c r="O2198" s="133"/>
      <c r="P2198" s="134"/>
      <c r="Q2198" s="146"/>
      <c r="R2198" s="17"/>
      <c r="S2198" s="17"/>
      <c r="T2198" s="75"/>
      <c r="U2198" s="75"/>
      <c r="V2198" s="75"/>
      <c r="W2198" s="75"/>
      <c r="X2198" s="75"/>
    </row>
    <row r="2199">
      <c r="A2199" s="17"/>
      <c r="B2199" s="17"/>
      <c r="C2199" s="133"/>
      <c r="D2199" s="133"/>
      <c r="E2199" s="17"/>
      <c r="F2199" s="133"/>
      <c r="G2199" s="133"/>
      <c r="H2199" s="133"/>
      <c r="I2199" s="133"/>
      <c r="J2199" s="133"/>
      <c r="K2199" s="133"/>
      <c r="L2199" s="133"/>
      <c r="M2199" s="133"/>
      <c r="N2199" s="133"/>
      <c r="O2199" s="133"/>
      <c r="P2199" s="134"/>
      <c r="Q2199" s="146"/>
      <c r="R2199" s="17"/>
      <c r="S2199" s="17"/>
      <c r="T2199" s="75"/>
      <c r="U2199" s="75"/>
      <c r="V2199" s="75"/>
      <c r="W2199" s="75"/>
      <c r="X2199" s="75"/>
    </row>
    <row r="2200">
      <c r="A2200" s="17"/>
      <c r="B2200" s="17"/>
      <c r="C2200" s="133"/>
      <c r="D2200" s="133"/>
      <c r="E2200" s="17"/>
      <c r="F2200" s="133"/>
      <c r="G2200" s="133"/>
      <c r="H2200" s="133"/>
      <c r="I2200" s="133"/>
      <c r="J2200" s="133"/>
      <c r="K2200" s="133"/>
      <c r="L2200" s="133"/>
      <c r="M2200" s="133"/>
      <c r="N2200" s="133"/>
      <c r="O2200" s="133"/>
      <c r="P2200" s="134"/>
      <c r="Q2200" s="146"/>
      <c r="R2200" s="17"/>
      <c r="S2200" s="17"/>
      <c r="T2200" s="75"/>
      <c r="U2200" s="75"/>
      <c r="V2200" s="75"/>
      <c r="W2200" s="75"/>
      <c r="X2200" s="75"/>
    </row>
    <row r="2201">
      <c r="A2201" s="17"/>
      <c r="B2201" s="17"/>
      <c r="C2201" s="133"/>
      <c r="D2201" s="133"/>
      <c r="E2201" s="17"/>
      <c r="F2201" s="133"/>
      <c r="G2201" s="133"/>
      <c r="H2201" s="133"/>
      <c r="I2201" s="133"/>
      <c r="J2201" s="133"/>
      <c r="K2201" s="133"/>
      <c r="L2201" s="133"/>
      <c r="M2201" s="133"/>
      <c r="N2201" s="133"/>
      <c r="O2201" s="133"/>
      <c r="P2201" s="134"/>
      <c r="Q2201" s="146"/>
      <c r="R2201" s="17"/>
      <c r="S2201" s="17"/>
      <c r="T2201" s="75"/>
      <c r="U2201" s="75"/>
      <c r="V2201" s="75"/>
      <c r="W2201" s="75"/>
      <c r="X2201" s="75"/>
    </row>
    <row r="2202">
      <c r="A2202" s="17"/>
      <c r="B2202" s="17"/>
      <c r="C2202" s="133"/>
      <c r="D2202" s="133"/>
      <c r="E2202" s="17"/>
      <c r="F2202" s="133"/>
      <c r="G2202" s="133"/>
      <c r="H2202" s="133"/>
      <c r="I2202" s="133"/>
      <c r="J2202" s="133"/>
      <c r="K2202" s="133"/>
      <c r="L2202" s="133"/>
      <c r="M2202" s="133"/>
      <c r="N2202" s="133"/>
      <c r="O2202" s="133"/>
      <c r="P2202" s="134"/>
      <c r="Q2202" s="146"/>
      <c r="R2202" s="17"/>
      <c r="S2202" s="17"/>
      <c r="T2202" s="75"/>
      <c r="U2202" s="75"/>
      <c r="V2202" s="75"/>
      <c r="W2202" s="75"/>
      <c r="X2202" s="75"/>
    </row>
    <row r="2203">
      <c r="A2203" s="17"/>
      <c r="B2203" s="17"/>
      <c r="C2203" s="133"/>
      <c r="D2203" s="133"/>
      <c r="E2203" s="17"/>
      <c r="F2203" s="133"/>
      <c r="G2203" s="133"/>
      <c r="H2203" s="133"/>
      <c r="I2203" s="133"/>
      <c r="J2203" s="133"/>
      <c r="K2203" s="133"/>
      <c r="L2203" s="133"/>
      <c r="M2203" s="133"/>
      <c r="N2203" s="133"/>
      <c r="O2203" s="133"/>
      <c r="P2203" s="134"/>
      <c r="Q2203" s="146"/>
      <c r="R2203" s="17"/>
      <c r="S2203" s="17"/>
      <c r="T2203" s="75"/>
      <c r="U2203" s="75"/>
      <c r="V2203" s="75"/>
      <c r="W2203" s="75"/>
      <c r="X2203" s="75"/>
    </row>
    <row r="2204">
      <c r="A2204" s="17"/>
      <c r="B2204" s="17"/>
      <c r="C2204" s="133"/>
      <c r="D2204" s="133"/>
      <c r="E2204" s="17"/>
      <c r="F2204" s="133"/>
      <c r="G2204" s="133"/>
      <c r="H2204" s="133"/>
      <c r="I2204" s="133"/>
      <c r="J2204" s="133"/>
      <c r="K2204" s="133"/>
      <c r="L2204" s="133"/>
      <c r="M2204" s="133"/>
      <c r="N2204" s="133"/>
      <c r="O2204" s="133"/>
      <c r="P2204" s="134"/>
      <c r="Q2204" s="146"/>
      <c r="R2204" s="17"/>
      <c r="S2204" s="17"/>
      <c r="T2204" s="75"/>
      <c r="U2204" s="75"/>
      <c r="V2204" s="75"/>
      <c r="W2204" s="75"/>
      <c r="X2204" s="75"/>
    </row>
    <row r="2205">
      <c r="A2205" s="17"/>
      <c r="B2205" s="17"/>
      <c r="C2205" s="133"/>
      <c r="D2205" s="133"/>
      <c r="E2205" s="17"/>
      <c r="F2205" s="133"/>
      <c r="G2205" s="133"/>
      <c r="H2205" s="133"/>
      <c r="I2205" s="133"/>
      <c r="J2205" s="133"/>
      <c r="K2205" s="133"/>
      <c r="L2205" s="133"/>
      <c r="M2205" s="133"/>
      <c r="N2205" s="133"/>
      <c r="O2205" s="133"/>
      <c r="P2205" s="134"/>
      <c r="Q2205" s="146"/>
      <c r="R2205" s="17"/>
      <c r="S2205" s="17"/>
      <c r="T2205" s="75"/>
      <c r="U2205" s="75"/>
      <c r="V2205" s="75"/>
      <c r="W2205" s="75"/>
      <c r="X2205" s="75"/>
    </row>
    <row r="2206">
      <c r="A2206" s="17"/>
      <c r="B2206" s="17"/>
      <c r="C2206" s="133"/>
      <c r="D2206" s="133"/>
      <c r="E2206" s="17"/>
      <c r="F2206" s="133"/>
      <c r="G2206" s="133"/>
      <c r="H2206" s="133"/>
      <c r="I2206" s="133"/>
      <c r="J2206" s="133"/>
      <c r="K2206" s="133"/>
      <c r="L2206" s="133"/>
      <c r="M2206" s="133"/>
      <c r="N2206" s="133"/>
      <c r="O2206" s="133"/>
      <c r="P2206" s="134"/>
      <c r="Q2206" s="146"/>
      <c r="R2206" s="17"/>
      <c r="S2206" s="17"/>
      <c r="T2206" s="75"/>
      <c r="U2206" s="75"/>
      <c r="V2206" s="75"/>
      <c r="W2206" s="75"/>
      <c r="X2206" s="75"/>
    </row>
    <row r="2207">
      <c r="A2207" s="17"/>
      <c r="B2207" s="17"/>
      <c r="C2207" s="133"/>
      <c r="D2207" s="133"/>
      <c r="E2207" s="17"/>
      <c r="F2207" s="133"/>
      <c r="G2207" s="133"/>
      <c r="H2207" s="133"/>
      <c r="I2207" s="133"/>
      <c r="J2207" s="133"/>
      <c r="K2207" s="133"/>
      <c r="L2207" s="133"/>
      <c r="M2207" s="133"/>
      <c r="N2207" s="133"/>
      <c r="O2207" s="133"/>
      <c r="P2207" s="134"/>
      <c r="Q2207" s="146"/>
      <c r="R2207" s="17"/>
      <c r="S2207" s="17"/>
      <c r="T2207" s="75"/>
      <c r="U2207" s="75"/>
      <c r="V2207" s="75"/>
      <c r="W2207" s="75"/>
      <c r="X2207" s="75"/>
    </row>
    <row r="2208">
      <c r="A2208" s="17"/>
      <c r="B2208" s="17"/>
      <c r="C2208" s="133"/>
      <c r="D2208" s="133"/>
      <c r="E2208" s="17"/>
      <c r="F2208" s="133"/>
      <c r="G2208" s="133"/>
      <c r="H2208" s="133"/>
      <c r="I2208" s="133"/>
      <c r="J2208" s="133"/>
      <c r="K2208" s="133"/>
      <c r="L2208" s="133"/>
      <c r="M2208" s="133"/>
      <c r="N2208" s="133"/>
      <c r="O2208" s="133"/>
      <c r="P2208" s="134"/>
      <c r="Q2208" s="146"/>
      <c r="R2208" s="17"/>
      <c r="S2208" s="17"/>
      <c r="T2208" s="75"/>
      <c r="U2208" s="75"/>
      <c r="V2208" s="75"/>
      <c r="W2208" s="75"/>
      <c r="X2208" s="75"/>
    </row>
    <row r="2209">
      <c r="A2209" s="17"/>
      <c r="B2209" s="17"/>
      <c r="C2209" s="133"/>
      <c r="D2209" s="133"/>
      <c r="E2209" s="17"/>
      <c r="F2209" s="133"/>
      <c r="G2209" s="133"/>
      <c r="H2209" s="133"/>
      <c r="I2209" s="133"/>
      <c r="J2209" s="133"/>
      <c r="K2209" s="133"/>
      <c r="L2209" s="133"/>
      <c r="M2209" s="133"/>
      <c r="N2209" s="133"/>
      <c r="O2209" s="133"/>
      <c r="P2209" s="134"/>
      <c r="Q2209" s="146"/>
      <c r="R2209" s="17"/>
      <c r="S2209" s="17"/>
      <c r="T2209" s="75"/>
      <c r="U2209" s="75"/>
      <c r="V2209" s="75"/>
      <c r="W2209" s="75"/>
      <c r="X2209" s="75"/>
    </row>
    <row r="2210">
      <c r="A2210" s="17"/>
      <c r="B2210" s="17"/>
      <c r="C2210" s="133"/>
      <c r="D2210" s="133"/>
      <c r="E2210" s="17"/>
      <c r="F2210" s="133"/>
      <c r="G2210" s="133"/>
      <c r="H2210" s="133"/>
      <c r="I2210" s="133"/>
      <c r="J2210" s="133"/>
      <c r="K2210" s="133"/>
      <c r="L2210" s="133"/>
      <c r="M2210" s="133"/>
      <c r="N2210" s="133"/>
      <c r="O2210" s="133"/>
      <c r="P2210" s="134"/>
      <c r="Q2210" s="146"/>
      <c r="R2210" s="17"/>
      <c r="S2210" s="17"/>
      <c r="T2210" s="75"/>
      <c r="U2210" s="75"/>
      <c r="V2210" s="75"/>
      <c r="W2210" s="75"/>
      <c r="X2210" s="75"/>
    </row>
    <row r="2211">
      <c r="A2211" s="17"/>
      <c r="B2211" s="17"/>
      <c r="C2211" s="133"/>
      <c r="D2211" s="133"/>
      <c r="E2211" s="17"/>
      <c r="F2211" s="133"/>
      <c r="G2211" s="133"/>
      <c r="H2211" s="133"/>
      <c r="I2211" s="133"/>
      <c r="J2211" s="133"/>
      <c r="K2211" s="133"/>
      <c r="L2211" s="133"/>
      <c r="M2211" s="133"/>
      <c r="N2211" s="133"/>
      <c r="O2211" s="133"/>
      <c r="P2211" s="134"/>
      <c r="Q2211" s="146"/>
      <c r="R2211" s="17"/>
      <c r="S2211" s="17"/>
      <c r="T2211" s="75"/>
      <c r="U2211" s="75"/>
      <c r="V2211" s="75"/>
      <c r="W2211" s="75"/>
      <c r="X2211" s="75"/>
    </row>
    <row r="2212">
      <c r="A2212" s="17"/>
      <c r="B2212" s="17"/>
      <c r="C2212" s="133"/>
      <c r="D2212" s="133"/>
      <c r="E2212" s="17"/>
      <c r="F2212" s="133"/>
      <c r="G2212" s="133"/>
      <c r="H2212" s="133"/>
      <c r="I2212" s="133"/>
      <c r="J2212" s="133"/>
      <c r="K2212" s="133"/>
      <c r="L2212" s="133"/>
      <c r="M2212" s="133"/>
      <c r="N2212" s="133"/>
      <c r="O2212" s="133"/>
      <c r="P2212" s="134"/>
      <c r="Q2212" s="146"/>
      <c r="R2212" s="17"/>
      <c r="S2212" s="17"/>
      <c r="T2212" s="75"/>
      <c r="U2212" s="75"/>
      <c r="V2212" s="75"/>
      <c r="W2212" s="75"/>
      <c r="X2212" s="75"/>
    </row>
    <row r="2213">
      <c r="A2213" s="17"/>
      <c r="B2213" s="17"/>
      <c r="C2213" s="133"/>
      <c r="D2213" s="133"/>
      <c r="E2213" s="17"/>
      <c r="F2213" s="133"/>
      <c r="G2213" s="133"/>
      <c r="H2213" s="133"/>
      <c r="I2213" s="133"/>
      <c r="J2213" s="133"/>
      <c r="K2213" s="133"/>
      <c r="L2213" s="133"/>
      <c r="M2213" s="133"/>
      <c r="N2213" s="133"/>
      <c r="O2213" s="133"/>
      <c r="P2213" s="134"/>
      <c r="Q2213" s="146"/>
      <c r="R2213" s="17"/>
      <c r="S2213" s="17"/>
      <c r="T2213" s="75"/>
      <c r="U2213" s="75"/>
      <c r="V2213" s="75"/>
      <c r="W2213" s="75"/>
      <c r="X2213" s="75"/>
    </row>
    <row r="2214">
      <c r="A2214" s="17"/>
      <c r="B2214" s="17"/>
      <c r="C2214" s="133"/>
      <c r="D2214" s="133"/>
      <c r="E2214" s="17"/>
      <c r="F2214" s="133"/>
      <c r="G2214" s="133"/>
      <c r="H2214" s="133"/>
      <c r="I2214" s="133"/>
      <c r="J2214" s="133"/>
      <c r="K2214" s="133"/>
      <c r="L2214" s="133"/>
      <c r="M2214" s="133"/>
      <c r="N2214" s="133"/>
      <c r="O2214" s="133"/>
      <c r="P2214" s="134"/>
      <c r="Q2214" s="146"/>
      <c r="R2214" s="17"/>
      <c r="S2214" s="17"/>
      <c r="T2214" s="75"/>
      <c r="U2214" s="75"/>
      <c r="V2214" s="75"/>
      <c r="W2214" s="75"/>
      <c r="X2214" s="75"/>
    </row>
    <row r="2215">
      <c r="A2215" s="17"/>
      <c r="B2215" s="17"/>
      <c r="C2215" s="133"/>
      <c r="D2215" s="133"/>
      <c r="E2215" s="17"/>
      <c r="F2215" s="133"/>
      <c r="G2215" s="133"/>
      <c r="H2215" s="133"/>
      <c r="I2215" s="133"/>
      <c r="J2215" s="133"/>
      <c r="K2215" s="133"/>
      <c r="L2215" s="133"/>
      <c r="M2215" s="133"/>
      <c r="N2215" s="133"/>
      <c r="O2215" s="133"/>
      <c r="P2215" s="134"/>
      <c r="Q2215" s="146"/>
      <c r="R2215" s="17"/>
      <c r="S2215" s="17"/>
      <c r="T2215" s="75"/>
      <c r="U2215" s="75"/>
      <c r="V2215" s="75"/>
      <c r="W2215" s="75"/>
      <c r="X2215" s="75"/>
    </row>
    <row r="2216">
      <c r="A2216" s="17"/>
      <c r="B2216" s="17"/>
      <c r="C2216" s="133"/>
      <c r="D2216" s="133"/>
      <c r="E2216" s="17"/>
      <c r="F2216" s="133"/>
      <c r="G2216" s="133"/>
      <c r="H2216" s="133"/>
      <c r="I2216" s="133"/>
      <c r="J2216" s="133"/>
      <c r="K2216" s="133"/>
      <c r="L2216" s="133"/>
      <c r="M2216" s="133"/>
      <c r="N2216" s="133"/>
      <c r="O2216" s="133"/>
      <c r="P2216" s="134"/>
      <c r="Q2216" s="146"/>
      <c r="R2216" s="17"/>
      <c r="S2216" s="17"/>
      <c r="T2216" s="75"/>
      <c r="U2216" s="75"/>
      <c r="V2216" s="75"/>
      <c r="W2216" s="75"/>
      <c r="X2216" s="75"/>
    </row>
    <row r="2217">
      <c r="A2217" s="17"/>
      <c r="B2217" s="17"/>
      <c r="C2217" s="133"/>
      <c r="D2217" s="133"/>
      <c r="E2217" s="17"/>
      <c r="F2217" s="133"/>
      <c r="G2217" s="133"/>
      <c r="H2217" s="133"/>
      <c r="I2217" s="133"/>
      <c r="J2217" s="133"/>
      <c r="K2217" s="133"/>
      <c r="L2217" s="133"/>
      <c r="M2217" s="133"/>
      <c r="N2217" s="133"/>
      <c r="O2217" s="133"/>
      <c r="P2217" s="134"/>
      <c r="Q2217" s="146"/>
      <c r="R2217" s="17"/>
      <c r="S2217" s="17"/>
      <c r="T2217" s="75"/>
      <c r="U2217" s="75"/>
      <c r="V2217" s="75"/>
      <c r="W2217" s="75"/>
      <c r="X2217" s="75"/>
    </row>
    <row r="2218">
      <c r="A2218" s="17"/>
      <c r="B2218" s="17"/>
      <c r="C2218" s="133"/>
      <c r="D2218" s="133"/>
      <c r="E2218" s="17"/>
      <c r="F2218" s="133"/>
      <c r="G2218" s="133"/>
      <c r="H2218" s="133"/>
      <c r="I2218" s="133"/>
      <c r="J2218" s="133"/>
      <c r="K2218" s="133"/>
      <c r="L2218" s="133"/>
      <c r="M2218" s="133"/>
      <c r="N2218" s="133"/>
      <c r="O2218" s="133"/>
      <c r="P2218" s="134"/>
      <c r="Q2218" s="146"/>
      <c r="R2218" s="17"/>
      <c r="S2218" s="17"/>
      <c r="T2218" s="75"/>
      <c r="U2218" s="75"/>
      <c r="V2218" s="75"/>
      <c r="W2218" s="75"/>
      <c r="X2218" s="75"/>
    </row>
    <row r="2219">
      <c r="A2219" s="17"/>
      <c r="B2219" s="17"/>
      <c r="C2219" s="133"/>
      <c r="D2219" s="133"/>
      <c r="E2219" s="17"/>
      <c r="F2219" s="133"/>
      <c r="G2219" s="133"/>
      <c r="H2219" s="133"/>
      <c r="I2219" s="133"/>
      <c r="J2219" s="133"/>
      <c r="K2219" s="133"/>
      <c r="L2219" s="133"/>
      <c r="M2219" s="133"/>
      <c r="N2219" s="133"/>
      <c r="O2219" s="133"/>
      <c r="P2219" s="134"/>
      <c r="Q2219" s="146"/>
      <c r="R2219" s="17"/>
      <c r="S2219" s="17"/>
      <c r="T2219" s="75"/>
      <c r="U2219" s="75"/>
      <c r="V2219" s="75"/>
      <c r="W2219" s="75"/>
      <c r="X2219" s="75"/>
    </row>
    <row r="2220">
      <c r="A2220" s="17"/>
      <c r="B2220" s="17"/>
      <c r="C2220" s="133"/>
      <c r="D2220" s="133"/>
      <c r="E2220" s="17"/>
      <c r="F2220" s="133"/>
      <c r="G2220" s="133"/>
      <c r="H2220" s="133"/>
      <c r="I2220" s="133"/>
      <c r="J2220" s="133"/>
      <c r="K2220" s="133"/>
      <c r="L2220" s="133"/>
      <c r="M2220" s="133"/>
      <c r="N2220" s="133"/>
      <c r="O2220" s="133"/>
      <c r="P2220" s="134"/>
      <c r="Q2220" s="146"/>
      <c r="R2220" s="17"/>
      <c r="S2220" s="17"/>
      <c r="T2220" s="75"/>
      <c r="U2220" s="75"/>
      <c r="V2220" s="75"/>
      <c r="W2220" s="75"/>
      <c r="X2220" s="75"/>
    </row>
    <row r="2221">
      <c r="A2221" s="17"/>
      <c r="B2221" s="17"/>
      <c r="C2221" s="133"/>
      <c r="D2221" s="133"/>
      <c r="E2221" s="17"/>
      <c r="F2221" s="133"/>
      <c r="G2221" s="133"/>
      <c r="H2221" s="133"/>
      <c r="I2221" s="133"/>
      <c r="J2221" s="133"/>
      <c r="K2221" s="133"/>
      <c r="L2221" s="133"/>
      <c r="M2221" s="133"/>
      <c r="N2221" s="133"/>
      <c r="O2221" s="133"/>
      <c r="P2221" s="134"/>
      <c r="Q2221" s="146"/>
      <c r="R2221" s="17"/>
      <c r="S2221" s="17"/>
      <c r="T2221" s="75"/>
      <c r="U2221" s="75"/>
      <c r="V2221" s="75"/>
      <c r="W2221" s="75"/>
      <c r="X2221" s="75"/>
    </row>
    <row r="2222">
      <c r="A2222" s="17"/>
      <c r="B2222" s="17"/>
      <c r="C2222" s="133"/>
      <c r="D2222" s="133"/>
      <c r="E2222" s="17"/>
      <c r="F2222" s="133"/>
      <c r="G2222" s="133"/>
      <c r="H2222" s="133"/>
      <c r="I2222" s="133"/>
      <c r="J2222" s="133"/>
      <c r="K2222" s="133"/>
      <c r="L2222" s="133"/>
      <c r="M2222" s="133"/>
      <c r="N2222" s="133"/>
      <c r="O2222" s="133"/>
      <c r="P2222" s="134"/>
      <c r="Q2222" s="146"/>
      <c r="R2222" s="17"/>
      <c r="S2222" s="17"/>
      <c r="T2222" s="75"/>
      <c r="U2222" s="75"/>
      <c r="V2222" s="75"/>
      <c r="W2222" s="75"/>
      <c r="X2222" s="75"/>
    </row>
    <row r="2223">
      <c r="A2223" s="17"/>
      <c r="B2223" s="17"/>
      <c r="C2223" s="133"/>
      <c r="D2223" s="133"/>
      <c r="E2223" s="17"/>
      <c r="F2223" s="133"/>
      <c r="G2223" s="133"/>
      <c r="H2223" s="133"/>
      <c r="I2223" s="133"/>
      <c r="J2223" s="133"/>
      <c r="K2223" s="133"/>
      <c r="L2223" s="133"/>
      <c r="M2223" s="133"/>
      <c r="N2223" s="133"/>
      <c r="O2223" s="133"/>
      <c r="P2223" s="134"/>
      <c r="Q2223" s="146"/>
      <c r="R2223" s="17"/>
      <c r="S2223" s="17"/>
      <c r="T2223" s="75"/>
      <c r="U2223" s="75"/>
      <c r="V2223" s="75"/>
      <c r="W2223" s="75"/>
      <c r="X2223" s="75"/>
    </row>
    <row r="2224">
      <c r="A2224" s="17"/>
      <c r="B2224" s="17"/>
      <c r="C2224" s="133"/>
      <c r="D2224" s="133"/>
      <c r="E2224" s="17"/>
      <c r="F2224" s="133"/>
      <c r="G2224" s="133"/>
      <c r="H2224" s="133"/>
      <c r="I2224" s="133"/>
      <c r="J2224" s="133"/>
      <c r="K2224" s="133"/>
      <c r="L2224" s="133"/>
      <c r="M2224" s="133"/>
      <c r="N2224" s="133"/>
      <c r="O2224" s="133"/>
      <c r="P2224" s="134"/>
      <c r="Q2224" s="146"/>
      <c r="R2224" s="17"/>
      <c r="S2224" s="17"/>
      <c r="T2224" s="75"/>
      <c r="U2224" s="75"/>
      <c r="V2224" s="75"/>
      <c r="W2224" s="75"/>
      <c r="X2224" s="75"/>
    </row>
    <row r="2225">
      <c r="A2225" s="17"/>
      <c r="B2225" s="17"/>
      <c r="C2225" s="133"/>
      <c r="D2225" s="133"/>
      <c r="E2225" s="17"/>
      <c r="F2225" s="133"/>
      <c r="G2225" s="133"/>
      <c r="H2225" s="133"/>
      <c r="I2225" s="133"/>
      <c r="J2225" s="133"/>
      <c r="K2225" s="133"/>
      <c r="L2225" s="133"/>
      <c r="M2225" s="133"/>
      <c r="N2225" s="133"/>
      <c r="O2225" s="133"/>
      <c r="P2225" s="134"/>
      <c r="Q2225" s="146"/>
      <c r="R2225" s="17"/>
      <c r="S2225" s="17"/>
      <c r="T2225" s="75"/>
      <c r="U2225" s="75"/>
      <c r="V2225" s="75"/>
      <c r="W2225" s="75"/>
      <c r="X2225" s="75"/>
    </row>
    <row r="2226">
      <c r="A2226" s="17"/>
      <c r="B2226" s="17"/>
      <c r="C2226" s="133"/>
      <c r="D2226" s="133"/>
      <c r="E2226" s="17"/>
      <c r="F2226" s="133"/>
      <c r="G2226" s="133"/>
      <c r="H2226" s="133"/>
      <c r="I2226" s="133"/>
      <c r="J2226" s="133"/>
      <c r="K2226" s="133"/>
      <c r="L2226" s="133"/>
      <c r="M2226" s="133"/>
      <c r="N2226" s="133"/>
      <c r="O2226" s="133"/>
      <c r="P2226" s="134"/>
      <c r="Q2226" s="146"/>
      <c r="R2226" s="17"/>
      <c r="S2226" s="17"/>
      <c r="T2226" s="75"/>
      <c r="U2226" s="75"/>
      <c r="V2226" s="75"/>
      <c r="W2226" s="75"/>
      <c r="X2226" s="75"/>
    </row>
    <row r="2227">
      <c r="A2227" s="17"/>
      <c r="B2227" s="17"/>
      <c r="C2227" s="133"/>
      <c r="D2227" s="133"/>
      <c r="E2227" s="17"/>
      <c r="F2227" s="133"/>
      <c r="G2227" s="133"/>
      <c r="H2227" s="133"/>
      <c r="I2227" s="133"/>
      <c r="J2227" s="133"/>
      <c r="K2227" s="133"/>
      <c r="L2227" s="133"/>
      <c r="M2227" s="133"/>
      <c r="N2227" s="133"/>
      <c r="O2227" s="133"/>
      <c r="P2227" s="134"/>
      <c r="Q2227" s="146"/>
      <c r="R2227" s="17"/>
      <c r="S2227" s="17"/>
      <c r="T2227" s="75"/>
      <c r="U2227" s="75"/>
      <c r="V2227" s="75"/>
      <c r="W2227" s="75"/>
      <c r="X2227" s="75"/>
    </row>
    <row r="2228">
      <c r="A2228" s="17"/>
      <c r="B2228" s="17"/>
      <c r="C2228" s="133"/>
      <c r="D2228" s="133"/>
      <c r="E2228" s="17"/>
      <c r="F2228" s="133"/>
      <c r="G2228" s="133"/>
      <c r="H2228" s="133"/>
      <c r="I2228" s="133"/>
      <c r="J2228" s="133"/>
      <c r="K2228" s="133"/>
      <c r="L2228" s="133"/>
      <c r="M2228" s="133"/>
      <c r="N2228" s="133"/>
      <c r="O2228" s="133"/>
      <c r="P2228" s="134"/>
      <c r="Q2228" s="146"/>
      <c r="R2228" s="17"/>
      <c r="S2228" s="17"/>
      <c r="T2228" s="75"/>
      <c r="U2228" s="75"/>
      <c r="V2228" s="75"/>
      <c r="W2228" s="75"/>
      <c r="X2228" s="75"/>
    </row>
    <row r="2229">
      <c r="A2229" s="17"/>
      <c r="B2229" s="17"/>
      <c r="C2229" s="133"/>
      <c r="D2229" s="133"/>
      <c r="E2229" s="17"/>
      <c r="F2229" s="133"/>
      <c r="G2229" s="133"/>
      <c r="H2229" s="133"/>
      <c r="I2229" s="133"/>
      <c r="J2229" s="133"/>
      <c r="K2229" s="133"/>
      <c r="L2229" s="133"/>
      <c r="M2229" s="133"/>
      <c r="N2229" s="133"/>
      <c r="O2229" s="133"/>
      <c r="P2229" s="134"/>
      <c r="Q2229" s="146"/>
      <c r="R2229" s="17"/>
      <c r="S2229" s="17"/>
      <c r="T2229" s="75"/>
      <c r="U2229" s="75"/>
      <c r="V2229" s="75"/>
      <c r="W2229" s="75"/>
      <c r="X2229" s="75"/>
    </row>
    <row r="2230">
      <c r="A2230" s="17"/>
      <c r="B2230" s="17"/>
      <c r="C2230" s="133"/>
      <c r="D2230" s="133"/>
      <c r="E2230" s="17"/>
      <c r="F2230" s="133"/>
      <c r="G2230" s="133"/>
      <c r="H2230" s="133"/>
      <c r="I2230" s="133"/>
      <c r="J2230" s="133"/>
      <c r="K2230" s="133"/>
      <c r="L2230" s="133"/>
      <c r="M2230" s="133"/>
      <c r="N2230" s="133"/>
      <c r="O2230" s="133"/>
      <c r="P2230" s="134"/>
      <c r="Q2230" s="146"/>
      <c r="R2230" s="17"/>
      <c r="S2230" s="17"/>
      <c r="T2230" s="75"/>
      <c r="U2230" s="75"/>
      <c r="V2230" s="75"/>
      <c r="W2230" s="75"/>
      <c r="X2230" s="75"/>
    </row>
    <row r="2231">
      <c r="A2231" s="17"/>
      <c r="B2231" s="17"/>
      <c r="C2231" s="133"/>
      <c r="D2231" s="133"/>
      <c r="E2231" s="17"/>
      <c r="F2231" s="133"/>
      <c r="G2231" s="133"/>
      <c r="H2231" s="133"/>
      <c r="I2231" s="133"/>
      <c r="J2231" s="133"/>
      <c r="K2231" s="133"/>
      <c r="L2231" s="133"/>
      <c r="M2231" s="133"/>
      <c r="N2231" s="133"/>
      <c r="O2231" s="133"/>
      <c r="P2231" s="134"/>
      <c r="Q2231" s="146"/>
      <c r="R2231" s="17"/>
      <c r="S2231" s="17"/>
      <c r="T2231" s="75"/>
      <c r="U2231" s="75"/>
      <c r="V2231" s="75"/>
      <c r="W2231" s="75"/>
      <c r="X2231" s="75"/>
    </row>
    <row r="2232">
      <c r="A2232" s="17"/>
      <c r="B2232" s="17"/>
      <c r="C2232" s="133"/>
      <c r="D2232" s="133"/>
      <c r="E2232" s="17"/>
      <c r="F2232" s="133"/>
      <c r="G2232" s="133"/>
      <c r="H2232" s="133"/>
      <c r="I2232" s="133"/>
      <c r="J2232" s="133"/>
      <c r="K2232" s="133"/>
      <c r="L2232" s="133"/>
      <c r="M2232" s="133"/>
      <c r="N2232" s="133"/>
      <c r="O2232" s="133"/>
      <c r="P2232" s="134"/>
      <c r="Q2232" s="146"/>
      <c r="R2232" s="17"/>
      <c r="S2232" s="17"/>
      <c r="T2232" s="75"/>
      <c r="U2232" s="75"/>
      <c r="V2232" s="75"/>
      <c r="W2232" s="75"/>
      <c r="X2232" s="75"/>
    </row>
    <row r="2233">
      <c r="A2233" s="17"/>
      <c r="B2233" s="17"/>
      <c r="C2233" s="133"/>
      <c r="D2233" s="133"/>
      <c r="E2233" s="17"/>
      <c r="F2233" s="133"/>
      <c r="G2233" s="133"/>
      <c r="H2233" s="133"/>
      <c r="I2233" s="133"/>
      <c r="J2233" s="133"/>
      <c r="K2233" s="133"/>
      <c r="L2233" s="133"/>
      <c r="M2233" s="133"/>
      <c r="N2233" s="133"/>
      <c r="O2233" s="133"/>
      <c r="P2233" s="134"/>
      <c r="Q2233" s="146"/>
      <c r="R2233" s="17"/>
      <c r="S2233" s="17"/>
      <c r="T2233" s="75"/>
      <c r="U2233" s="75"/>
      <c r="V2233" s="75"/>
      <c r="W2233" s="75"/>
      <c r="X2233" s="75"/>
    </row>
    <row r="2234">
      <c r="A2234" s="17"/>
      <c r="B2234" s="17"/>
      <c r="C2234" s="133"/>
      <c r="D2234" s="133"/>
      <c r="E2234" s="17"/>
      <c r="F2234" s="133"/>
      <c r="G2234" s="133"/>
      <c r="H2234" s="133"/>
      <c r="I2234" s="133"/>
      <c r="J2234" s="133"/>
      <c r="K2234" s="133"/>
      <c r="L2234" s="133"/>
      <c r="M2234" s="133"/>
      <c r="N2234" s="133"/>
      <c r="O2234" s="133"/>
      <c r="P2234" s="134"/>
      <c r="Q2234" s="146"/>
      <c r="R2234" s="17"/>
      <c r="S2234" s="17"/>
      <c r="T2234" s="75"/>
      <c r="U2234" s="75"/>
      <c r="V2234" s="75"/>
      <c r="W2234" s="75"/>
      <c r="X2234" s="75"/>
    </row>
    <row r="2235">
      <c r="A2235" s="17"/>
      <c r="B2235" s="17"/>
      <c r="C2235" s="133"/>
      <c r="D2235" s="133"/>
      <c r="E2235" s="17"/>
      <c r="F2235" s="133"/>
      <c r="G2235" s="133"/>
      <c r="H2235" s="133"/>
      <c r="I2235" s="133"/>
      <c r="J2235" s="133"/>
      <c r="K2235" s="133"/>
      <c r="L2235" s="133"/>
      <c r="M2235" s="133"/>
      <c r="N2235" s="133"/>
      <c r="O2235" s="133"/>
      <c r="P2235" s="134"/>
      <c r="Q2235" s="146"/>
      <c r="R2235" s="17"/>
      <c r="S2235" s="17"/>
      <c r="T2235" s="75"/>
      <c r="U2235" s="75"/>
      <c r="V2235" s="75"/>
      <c r="W2235" s="75"/>
      <c r="X2235" s="75"/>
    </row>
    <row r="2236">
      <c r="A2236" s="17"/>
      <c r="B2236" s="17"/>
      <c r="C2236" s="133"/>
      <c r="D2236" s="133"/>
      <c r="E2236" s="17"/>
      <c r="F2236" s="133"/>
      <c r="G2236" s="133"/>
      <c r="H2236" s="133"/>
      <c r="I2236" s="133"/>
      <c r="J2236" s="133"/>
      <c r="K2236" s="133"/>
      <c r="L2236" s="133"/>
      <c r="M2236" s="133"/>
      <c r="N2236" s="133"/>
      <c r="O2236" s="133"/>
      <c r="P2236" s="134"/>
      <c r="Q2236" s="146"/>
      <c r="R2236" s="17"/>
      <c r="S2236" s="17"/>
      <c r="T2236" s="75"/>
      <c r="U2236" s="75"/>
      <c r="V2236" s="75"/>
      <c r="W2236" s="75"/>
      <c r="X2236" s="75"/>
    </row>
    <row r="2237">
      <c r="A2237" s="17"/>
      <c r="B2237" s="17"/>
      <c r="C2237" s="133"/>
      <c r="D2237" s="133"/>
      <c r="E2237" s="17"/>
      <c r="F2237" s="133"/>
      <c r="G2237" s="133"/>
      <c r="H2237" s="133"/>
      <c r="I2237" s="133"/>
      <c r="J2237" s="133"/>
      <c r="K2237" s="133"/>
      <c r="L2237" s="133"/>
      <c r="M2237" s="133"/>
      <c r="N2237" s="133"/>
      <c r="O2237" s="133"/>
      <c r="P2237" s="134"/>
      <c r="Q2237" s="146"/>
      <c r="R2237" s="17"/>
      <c r="S2237" s="17"/>
      <c r="T2237" s="75"/>
      <c r="U2237" s="75"/>
      <c r="V2237" s="75"/>
      <c r="W2237" s="75"/>
      <c r="X2237" s="75"/>
    </row>
    <row r="2238">
      <c r="A2238" s="17"/>
      <c r="B2238" s="17"/>
      <c r="C2238" s="133"/>
      <c r="D2238" s="133"/>
      <c r="E2238" s="17"/>
      <c r="F2238" s="133"/>
      <c r="G2238" s="133"/>
      <c r="H2238" s="133"/>
      <c r="I2238" s="133"/>
      <c r="J2238" s="133"/>
      <c r="K2238" s="133"/>
      <c r="L2238" s="133"/>
      <c r="M2238" s="133"/>
      <c r="N2238" s="133"/>
      <c r="O2238" s="133"/>
      <c r="P2238" s="134"/>
      <c r="Q2238" s="146"/>
      <c r="R2238" s="17"/>
      <c r="S2238" s="17"/>
      <c r="T2238" s="75"/>
      <c r="U2238" s="75"/>
      <c r="V2238" s="75"/>
      <c r="W2238" s="75"/>
      <c r="X2238" s="75"/>
    </row>
    <row r="2239">
      <c r="A2239" s="17"/>
      <c r="B2239" s="17"/>
      <c r="C2239" s="133"/>
      <c r="D2239" s="133"/>
      <c r="E2239" s="17"/>
      <c r="F2239" s="133"/>
      <c r="G2239" s="133"/>
      <c r="H2239" s="133"/>
      <c r="I2239" s="133"/>
      <c r="J2239" s="133"/>
      <c r="K2239" s="133"/>
      <c r="L2239" s="133"/>
      <c r="M2239" s="133"/>
      <c r="N2239" s="133"/>
      <c r="O2239" s="133"/>
      <c r="P2239" s="134"/>
      <c r="Q2239" s="146"/>
      <c r="R2239" s="17"/>
      <c r="S2239" s="17"/>
      <c r="T2239" s="75"/>
      <c r="U2239" s="75"/>
      <c r="V2239" s="75"/>
      <c r="W2239" s="75"/>
      <c r="X2239" s="75"/>
    </row>
    <row r="2240">
      <c r="A2240" s="17"/>
      <c r="B2240" s="17"/>
      <c r="C2240" s="133"/>
      <c r="D2240" s="133"/>
      <c r="E2240" s="17"/>
      <c r="F2240" s="133"/>
      <c r="G2240" s="133"/>
      <c r="H2240" s="133"/>
      <c r="I2240" s="133"/>
      <c r="J2240" s="133"/>
      <c r="K2240" s="133"/>
      <c r="L2240" s="133"/>
      <c r="M2240" s="133"/>
      <c r="N2240" s="133"/>
      <c r="O2240" s="133"/>
      <c r="P2240" s="134"/>
      <c r="Q2240" s="146"/>
      <c r="R2240" s="17"/>
      <c r="S2240" s="17"/>
      <c r="T2240" s="75"/>
      <c r="U2240" s="75"/>
      <c r="V2240" s="75"/>
      <c r="W2240" s="75"/>
      <c r="X2240" s="75"/>
    </row>
    <row r="2241">
      <c r="A2241" s="17"/>
      <c r="B2241" s="17"/>
      <c r="C2241" s="133"/>
      <c r="D2241" s="133"/>
      <c r="E2241" s="17"/>
      <c r="F2241" s="133"/>
      <c r="G2241" s="133"/>
      <c r="H2241" s="133"/>
      <c r="I2241" s="133"/>
      <c r="J2241" s="133"/>
      <c r="K2241" s="133"/>
      <c r="L2241" s="133"/>
      <c r="M2241" s="133"/>
      <c r="N2241" s="133"/>
      <c r="O2241" s="133"/>
      <c r="P2241" s="134"/>
      <c r="Q2241" s="146"/>
      <c r="R2241" s="17"/>
      <c r="S2241" s="17"/>
      <c r="T2241" s="75"/>
      <c r="U2241" s="75"/>
      <c r="V2241" s="75"/>
      <c r="W2241" s="75"/>
      <c r="X2241" s="75"/>
    </row>
    <row r="2242">
      <c r="A2242" s="17"/>
      <c r="B2242" s="17"/>
      <c r="C2242" s="133"/>
      <c r="D2242" s="133"/>
      <c r="E2242" s="17"/>
      <c r="F2242" s="133"/>
      <c r="G2242" s="133"/>
      <c r="H2242" s="133"/>
      <c r="I2242" s="133"/>
      <c r="J2242" s="133"/>
      <c r="K2242" s="133"/>
      <c r="L2242" s="133"/>
      <c r="M2242" s="133"/>
      <c r="N2242" s="133"/>
      <c r="O2242" s="133"/>
      <c r="P2242" s="134"/>
      <c r="Q2242" s="146"/>
      <c r="R2242" s="17"/>
      <c r="S2242" s="17"/>
      <c r="T2242" s="75"/>
      <c r="U2242" s="75"/>
      <c r="V2242" s="75"/>
      <c r="W2242" s="75"/>
      <c r="X2242" s="75"/>
    </row>
    <row r="2243">
      <c r="A2243" s="17"/>
      <c r="B2243" s="17"/>
      <c r="C2243" s="133"/>
      <c r="D2243" s="133"/>
      <c r="E2243" s="17"/>
      <c r="F2243" s="133"/>
      <c r="G2243" s="133"/>
      <c r="H2243" s="133"/>
      <c r="I2243" s="133"/>
      <c r="J2243" s="133"/>
      <c r="K2243" s="133"/>
      <c r="L2243" s="133"/>
      <c r="M2243" s="133"/>
      <c r="N2243" s="133"/>
      <c r="O2243" s="133"/>
      <c r="P2243" s="134"/>
      <c r="Q2243" s="146"/>
      <c r="R2243" s="17"/>
      <c r="S2243" s="17"/>
      <c r="T2243" s="75"/>
      <c r="U2243" s="75"/>
      <c r="V2243" s="75"/>
      <c r="W2243" s="75"/>
      <c r="X2243" s="75"/>
    </row>
    <row r="2244">
      <c r="A2244" s="17"/>
      <c r="B2244" s="17"/>
      <c r="C2244" s="133"/>
      <c r="D2244" s="133"/>
      <c r="E2244" s="17"/>
      <c r="F2244" s="133"/>
      <c r="G2244" s="133"/>
      <c r="H2244" s="133"/>
      <c r="I2244" s="133"/>
      <c r="J2244" s="133"/>
      <c r="K2244" s="133"/>
      <c r="L2244" s="133"/>
      <c r="M2244" s="133"/>
      <c r="N2244" s="133"/>
      <c r="O2244" s="133"/>
      <c r="P2244" s="134"/>
      <c r="Q2244" s="146"/>
      <c r="R2244" s="17"/>
      <c r="S2244" s="17"/>
      <c r="T2244" s="75"/>
      <c r="U2244" s="75"/>
      <c r="V2244" s="75"/>
      <c r="W2244" s="75"/>
      <c r="X2244" s="75"/>
    </row>
    <row r="2245">
      <c r="A2245" s="17"/>
      <c r="B2245" s="17"/>
      <c r="C2245" s="133"/>
      <c r="D2245" s="133"/>
      <c r="E2245" s="17"/>
      <c r="F2245" s="133"/>
      <c r="G2245" s="133"/>
      <c r="H2245" s="133"/>
      <c r="I2245" s="133"/>
      <c r="J2245" s="133"/>
      <c r="K2245" s="133"/>
      <c r="L2245" s="133"/>
      <c r="M2245" s="133"/>
      <c r="N2245" s="133"/>
      <c r="O2245" s="133"/>
      <c r="P2245" s="134"/>
      <c r="Q2245" s="146"/>
      <c r="R2245" s="17"/>
      <c r="S2245" s="17"/>
      <c r="T2245" s="75"/>
      <c r="U2245" s="75"/>
      <c r="V2245" s="75"/>
      <c r="W2245" s="75"/>
      <c r="X2245" s="75"/>
    </row>
    <row r="2246">
      <c r="A2246" s="17"/>
      <c r="B2246" s="17"/>
      <c r="C2246" s="133"/>
      <c r="D2246" s="133"/>
      <c r="E2246" s="17"/>
      <c r="F2246" s="133"/>
      <c r="G2246" s="133"/>
      <c r="H2246" s="133"/>
      <c r="I2246" s="133"/>
      <c r="J2246" s="133"/>
      <c r="K2246" s="133"/>
      <c r="L2246" s="133"/>
      <c r="M2246" s="133"/>
      <c r="N2246" s="133"/>
      <c r="O2246" s="133"/>
      <c r="P2246" s="134"/>
      <c r="Q2246" s="146"/>
      <c r="R2246" s="17"/>
      <c r="S2246" s="17"/>
      <c r="T2246" s="75"/>
      <c r="U2246" s="75"/>
      <c r="V2246" s="75"/>
      <c r="W2246" s="75"/>
      <c r="X2246" s="75"/>
    </row>
    <row r="2247">
      <c r="A2247" s="17"/>
      <c r="B2247" s="17"/>
      <c r="C2247" s="133"/>
      <c r="D2247" s="133"/>
      <c r="E2247" s="17"/>
      <c r="F2247" s="133"/>
      <c r="G2247" s="133"/>
      <c r="H2247" s="133"/>
      <c r="I2247" s="133"/>
      <c r="J2247" s="133"/>
      <c r="K2247" s="133"/>
      <c r="L2247" s="133"/>
      <c r="M2247" s="133"/>
      <c r="N2247" s="133"/>
      <c r="O2247" s="133"/>
      <c r="P2247" s="134"/>
      <c r="Q2247" s="146"/>
      <c r="R2247" s="17"/>
      <c r="S2247" s="17"/>
      <c r="T2247" s="75"/>
      <c r="U2247" s="75"/>
      <c r="V2247" s="75"/>
      <c r="W2247" s="75"/>
      <c r="X2247" s="75"/>
    </row>
    <row r="2248">
      <c r="A2248" s="17"/>
      <c r="B2248" s="17"/>
      <c r="C2248" s="133"/>
      <c r="D2248" s="133"/>
      <c r="E2248" s="17"/>
      <c r="F2248" s="133"/>
      <c r="G2248" s="133"/>
      <c r="H2248" s="133"/>
      <c r="I2248" s="133"/>
      <c r="J2248" s="133"/>
      <c r="K2248" s="133"/>
      <c r="L2248" s="133"/>
      <c r="M2248" s="133"/>
      <c r="N2248" s="133"/>
      <c r="O2248" s="133"/>
      <c r="P2248" s="134"/>
      <c r="Q2248" s="146"/>
      <c r="R2248" s="17"/>
      <c r="S2248" s="17"/>
      <c r="T2248" s="75"/>
      <c r="U2248" s="75"/>
      <c r="V2248" s="75"/>
      <c r="W2248" s="75"/>
      <c r="X2248" s="75"/>
    </row>
    <row r="2249">
      <c r="A2249" s="17"/>
      <c r="B2249" s="17"/>
      <c r="C2249" s="133"/>
      <c r="D2249" s="133"/>
      <c r="E2249" s="17"/>
      <c r="F2249" s="133"/>
      <c r="G2249" s="133"/>
      <c r="H2249" s="133"/>
      <c r="I2249" s="133"/>
      <c r="J2249" s="133"/>
      <c r="K2249" s="133"/>
      <c r="L2249" s="133"/>
      <c r="M2249" s="133"/>
      <c r="N2249" s="133"/>
      <c r="O2249" s="133"/>
      <c r="P2249" s="134"/>
      <c r="Q2249" s="146"/>
      <c r="R2249" s="17"/>
      <c r="S2249" s="17"/>
      <c r="T2249" s="75"/>
      <c r="U2249" s="75"/>
      <c r="V2249" s="75"/>
      <c r="W2249" s="75"/>
      <c r="X2249" s="75"/>
    </row>
    <row r="2250">
      <c r="A2250" s="17"/>
      <c r="B2250" s="17"/>
      <c r="C2250" s="133"/>
      <c r="D2250" s="133"/>
      <c r="E2250" s="17"/>
      <c r="F2250" s="133"/>
      <c r="G2250" s="133"/>
      <c r="H2250" s="133"/>
      <c r="I2250" s="133"/>
      <c r="J2250" s="133"/>
      <c r="K2250" s="133"/>
      <c r="L2250" s="133"/>
      <c r="M2250" s="133"/>
      <c r="N2250" s="133"/>
      <c r="O2250" s="133"/>
      <c r="P2250" s="134"/>
      <c r="Q2250" s="146"/>
      <c r="R2250" s="17"/>
      <c r="S2250" s="17"/>
      <c r="T2250" s="75"/>
      <c r="U2250" s="75"/>
      <c r="V2250" s="75"/>
      <c r="W2250" s="75"/>
      <c r="X2250" s="75"/>
    </row>
    <row r="2251">
      <c r="A2251" s="17"/>
      <c r="B2251" s="17"/>
      <c r="C2251" s="133"/>
      <c r="D2251" s="133"/>
      <c r="E2251" s="17"/>
      <c r="F2251" s="133"/>
      <c r="G2251" s="133"/>
      <c r="H2251" s="133"/>
      <c r="I2251" s="133"/>
      <c r="J2251" s="133"/>
      <c r="K2251" s="133"/>
      <c r="L2251" s="133"/>
      <c r="M2251" s="133"/>
      <c r="N2251" s="133"/>
      <c r="O2251" s="133"/>
      <c r="P2251" s="134"/>
      <c r="Q2251" s="146"/>
      <c r="R2251" s="17"/>
      <c r="S2251" s="17"/>
      <c r="T2251" s="75"/>
      <c r="U2251" s="75"/>
      <c r="V2251" s="75"/>
      <c r="W2251" s="75"/>
      <c r="X2251" s="75"/>
    </row>
    <row r="2252">
      <c r="A2252" s="17"/>
      <c r="B2252" s="17"/>
      <c r="C2252" s="133"/>
      <c r="D2252" s="133"/>
      <c r="E2252" s="17"/>
      <c r="F2252" s="133"/>
      <c r="G2252" s="133"/>
      <c r="H2252" s="133"/>
      <c r="I2252" s="133"/>
      <c r="J2252" s="133"/>
      <c r="K2252" s="133"/>
      <c r="L2252" s="133"/>
      <c r="M2252" s="133"/>
      <c r="N2252" s="133"/>
      <c r="O2252" s="133"/>
      <c r="P2252" s="134"/>
      <c r="Q2252" s="146"/>
      <c r="R2252" s="17"/>
      <c r="S2252" s="17"/>
      <c r="T2252" s="75"/>
      <c r="U2252" s="75"/>
      <c r="V2252" s="75"/>
      <c r="W2252" s="75"/>
      <c r="X2252" s="75"/>
    </row>
    <row r="2253">
      <c r="A2253" s="17"/>
      <c r="B2253" s="17"/>
      <c r="C2253" s="133"/>
      <c r="D2253" s="133"/>
      <c r="E2253" s="17"/>
      <c r="F2253" s="133"/>
      <c r="G2253" s="133"/>
      <c r="H2253" s="133"/>
      <c r="I2253" s="133"/>
      <c r="J2253" s="133"/>
      <c r="K2253" s="133"/>
      <c r="L2253" s="133"/>
      <c r="M2253" s="133"/>
      <c r="N2253" s="133"/>
      <c r="O2253" s="133"/>
      <c r="P2253" s="134"/>
      <c r="Q2253" s="146"/>
      <c r="R2253" s="17"/>
      <c r="S2253" s="17"/>
      <c r="T2253" s="75"/>
      <c r="U2253" s="75"/>
      <c r="V2253" s="75"/>
      <c r="W2253" s="75"/>
      <c r="X2253" s="75"/>
    </row>
    <row r="2254">
      <c r="A2254" s="17"/>
      <c r="B2254" s="17"/>
      <c r="C2254" s="133"/>
      <c r="D2254" s="133"/>
      <c r="E2254" s="17"/>
      <c r="F2254" s="133"/>
      <c r="G2254" s="133"/>
      <c r="H2254" s="133"/>
      <c r="I2254" s="133"/>
      <c r="J2254" s="133"/>
      <c r="K2254" s="133"/>
      <c r="L2254" s="133"/>
      <c r="M2254" s="133"/>
      <c r="N2254" s="133"/>
      <c r="O2254" s="133"/>
      <c r="P2254" s="134"/>
      <c r="Q2254" s="146"/>
      <c r="R2254" s="17"/>
      <c r="S2254" s="17"/>
      <c r="T2254" s="75"/>
      <c r="U2254" s="75"/>
      <c r="V2254" s="75"/>
      <c r="W2254" s="75"/>
      <c r="X2254" s="75"/>
    </row>
    <row r="2255">
      <c r="A2255" s="17"/>
      <c r="B2255" s="17"/>
      <c r="C2255" s="133"/>
      <c r="D2255" s="133"/>
      <c r="E2255" s="17"/>
      <c r="F2255" s="133"/>
      <c r="G2255" s="133"/>
      <c r="H2255" s="133"/>
      <c r="I2255" s="133"/>
      <c r="J2255" s="133"/>
      <c r="K2255" s="133"/>
      <c r="L2255" s="133"/>
      <c r="M2255" s="133"/>
      <c r="N2255" s="133"/>
      <c r="O2255" s="133"/>
      <c r="P2255" s="134"/>
      <c r="Q2255" s="146"/>
      <c r="R2255" s="17"/>
      <c r="S2255" s="17"/>
      <c r="T2255" s="75"/>
      <c r="U2255" s="75"/>
      <c r="V2255" s="75"/>
      <c r="W2255" s="75"/>
      <c r="X2255" s="75"/>
    </row>
    <row r="2256">
      <c r="A2256" s="17"/>
      <c r="B2256" s="17"/>
      <c r="C2256" s="133"/>
      <c r="D2256" s="133"/>
      <c r="E2256" s="17"/>
      <c r="F2256" s="133"/>
      <c r="G2256" s="133"/>
      <c r="H2256" s="133"/>
      <c r="I2256" s="133"/>
      <c r="J2256" s="133"/>
      <c r="K2256" s="133"/>
      <c r="L2256" s="133"/>
      <c r="M2256" s="133"/>
      <c r="N2256" s="133"/>
      <c r="O2256" s="133"/>
      <c r="P2256" s="134"/>
      <c r="Q2256" s="146"/>
      <c r="R2256" s="17"/>
      <c r="S2256" s="17"/>
      <c r="T2256" s="75"/>
      <c r="U2256" s="75"/>
      <c r="V2256" s="75"/>
      <c r="W2256" s="75"/>
      <c r="X2256" s="75"/>
    </row>
    <row r="2257">
      <c r="A2257" s="17"/>
      <c r="B2257" s="17"/>
      <c r="C2257" s="133"/>
      <c r="D2257" s="133"/>
      <c r="E2257" s="17"/>
      <c r="F2257" s="133"/>
      <c r="G2257" s="133"/>
      <c r="H2257" s="133"/>
      <c r="I2257" s="133"/>
      <c r="J2257" s="133"/>
      <c r="K2257" s="133"/>
      <c r="L2257" s="133"/>
      <c r="M2257" s="133"/>
      <c r="N2257" s="133"/>
      <c r="O2257" s="133"/>
      <c r="P2257" s="134"/>
      <c r="Q2257" s="146"/>
      <c r="R2257" s="17"/>
      <c r="S2257" s="17"/>
      <c r="T2257" s="75"/>
      <c r="U2257" s="75"/>
      <c r="V2257" s="75"/>
      <c r="W2257" s="75"/>
      <c r="X2257" s="75"/>
    </row>
    <row r="2258">
      <c r="A2258" s="17"/>
      <c r="B2258" s="17"/>
      <c r="C2258" s="133"/>
      <c r="D2258" s="133"/>
      <c r="E2258" s="17"/>
      <c r="F2258" s="133"/>
      <c r="G2258" s="133"/>
      <c r="H2258" s="133"/>
      <c r="I2258" s="133"/>
      <c r="J2258" s="133"/>
      <c r="K2258" s="133"/>
      <c r="L2258" s="133"/>
      <c r="M2258" s="133"/>
      <c r="N2258" s="133"/>
      <c r="O2258" s="133"/>
      <c r="P2258" s="134"/>
      <c r="Q2258" s="146"/>
      <c r="R2258" s="17"/>
      <c r="S2258" s="17"/>
      <c r="T2258" s="75"/>
      <c r="U2258" s="75"/>
      <c r="V2258" s="75"/>
      <c r="W2258" s="75"/>
      <c r="X2258" s="75"/>
    </row>
    <row r="2259">
      <c r="A2259" s="17"/>
      <c r="B2259" s="17"/>
      <c r="C2259" s="133"/>
      <c r="D2259" s="133"/>
      <c r="E2259" s="17"/>
      <c r="F2259" s="133"/>
      <c r="G2259" s="133"/>
      <c r="H2259" s="133"/>
      <c r="I2259" s="133"/>
      <c r="J2259" s="133"/>
      <c r="K2259" s="133"/>
      <c r="L2259" s="133"/>
      <c r="M2259" s="133"/>
      <c r="N2259" s="133"/>
      <c r="O2259" s="133"/>
      <c r="P2259" s="134"/>
      <c r="Q2259" s="146"/>
      <c r="R2259" s="17"/>
      <c r="S2259" s="17"/>
      <c r="T2259" s="75"/>
      <c r="U2259" s="75"/>
      <c r="V2259" s="75"/>
      <c r="W2259" s="75"/>
      <c r="X2259" s="75"/>
    </row>
    <row r="2260">
      <c r="A2260" s="17"/>
      <c r="B2260" s="17"/>
      <c r="C2260" s="133"/>
      <c r="D2260" s="133"/>
      <c r="E2260" s="17"/>
      <c r="F2260" s="133"/>
      <c r="G2260" s="133"/>
      <c r="H2260" s="133"/>
      <c r="I2260" s="133"/>
      <c r="J2260" s="133"/>
      <c r="K2260" s="133"/>
      <c r="L2260" s="133"/>
      <c r="M2260" s="133"/>
      <c r="N2260" s="133"/>
      <c r="O2260" s="133"/>
      <c r="P2260" s="134"/>
      <c r="Q2260" s="146"/>
      <c r="R2260" s="17"/>
      <c r="S2260" s="17"/>
      <c r="T2260" s="75"/>
      <c r="U2260" s="75"/>
      <c r="V2260" s="75"/>
      <c r="W2260" s="75"/>
      <c r="X2260" s="75"/>
    </row>
    <row r="2261">
      <c r="A2261" s="17"/>
      <c r="B2261" s="17"/>
      <c r="C2261" s="133"/>
      <c r="D2261" s="133"/>
      <c r="E2261" s="17"/>
      <c r="F2261" s="133"/>
      <c r="G2261" s="133"/>
      <c r="H2261" s="133"/>
      <c r="I2261" s="133"/>
      <c r="J2261" s="133"/>
      <c r="K2261" s="133"/>
      <c r="L2261" s="133"/>
      <c r="M2261" s="133"/>
      <c r="N2261" s="133"/>
      <c r="O2261" s="133"/>
      <c r="P2261" s="134"/>
      <c r="Q2261" s="146"/>
      <c r="R2261" s="17"/>
      <c r="S2261" s="17"/>
      <c r="T2261" s="75"/>
      <c r="U2261" s="75"/>
      <c r="V2261" s="75"/>
      <c r="W2261" s="75"/>
      <c r="X2261" s="75"/>
    </row>
    <row r="2262">
      <c r="A2262" s="17"/>
      <c r="B2262" s="17"/>
      <c r="C2262" s="133"/>
      <c r="D2262" s="133"/>
      <c r="E2262" s="17"/>
      <c r="F2262" s="133"/>
      <c r="G2262" s="133"/>
      <c r="H2262" s="133"/>
      <c r="I2262" s="133"/>
      <c r="J2262" s="133"/>
      <c r="K2262" s="133"/>
      <c r="L2262" s="133"/>
      <c r="M2262" s="133"/>
      <c r="N2262" s="133"/>
      <c r="O2262" s="133"/>
      <c r="P2262" s="134"/>
      <c r="Q2262" s="146"/>
      <c r="R2262" s="17"/>
      <c r="S2262" s="17"/>
      <c r="T2262" s="75"/>
      <c r="U2262" s="75"/>
      <c r="V2262" s="75"/>
      <c r="W2262" s="75"/>
      <c r="X2262" s="75"/>
    </row>
    <row r="2263">
      <c r="A2263" s="17"/>
      <c r="B2263" s="17"/>
      <c r="C2263" s="133"/>
      <c r="D2263" s="133"/>
      <c r="E2263" s="17"/>
      <c r="F2263" s="133"/>
      <c r="G2263" s="133"/>
      <c r="H2263" s="133"/>
      <c r="I2263" s="133"/>
      <c r="J2263" s="133"/>
      <c r="K2263" s="133"/>
      <c r="L2263" s="133"/>
      <c r="M2263" s="133"/>
      <c r="N2263" s="133"/>
      <c r="O2263" s="133"/>
      <c r="P2263" s="134"/>
      <c r="Q2263" s="146"/>
      <c r="R2263" s="17"/>
      <c r="S2263" s="17"/>
      <c r="T2263" s="75"/>
      <c r="U2263" s="75"/>
      <c r="V2263" s="75"/>
      <c r="W2263" s="75"/>
      <c r="X2263" s="75"/>
    </row>
    <row r="2264">
      <c r="A2264" s="17"/>
      <c r="B2264" s="17"/>
      <c r="C2264" s="133"/>
      <c r="D2264" s="133"/>
      <c r="E2264" s="17"/>
      <c r="F2264" s="133"/>
      <c r="G2264" s="133"/>
      <c r="H2264" s="133"/>
      <c r="I2264" s="133"/>
      <c r="J2264" s="133"/>
      <c r="K2264" s="133"/>
      <c r="L2264" s="133"/>
      <c r="M2264" s="133"/>
      <c r="N2264" s="133"/>
      <c r="O2264" s="133"/>
      <c r="P2264" s="134"/>
      <c r="Q2264" s="146"/>
      <c r="R2264" s="17"/>
      <c r="S2264" s="17"/>
      <c r="T2264" s="75"/>
      <c r="U2264" s="75"/>
      <c r="V2264" s="75"/>
      <c r="W2264" s="75"/>
      <c r="X2264" s="75"/>
    </row>
    <row r="2265">
      <c r="A2265" s="17"/>
      <c r="B2265" s="17"/>
      <c r="C2265" s="133"/>
      <c r="D2265" s="133"/>
      <c r="E2265" s="17"/>
      <c r="F2265" s="133"/>
      <c r="G2265" s="133"/>
      <c r="H2265" s="133"/>
      <c r="I2265" s="133"/>
      <c r="J2265" s="133"/>
      <c r="K2265" s="133"/>
      <c r="L2265" s="133"/>
      <c r="M2265" s="133"/>
      <c r="N2265" s="133"/>
      <c r="O2265" s="133"/>
      <c r="P2265" s="134"/>
      <c r="Q2265" s="146"/>
      <c r="R2265" s="17"/>
      <c r="S2265" s="17"/>
      <c r="T2265" s="75"/>
      <c r="U2265" s="75"/>
      <c r="V2265" s="75"/>
      <c r="W2265" s="75"/>
      <c r="X2265" s="75"/>
    </row>
    <row r="2266">
      <c r="A2266" s="17"/>
      <c r="B2266" s="17"/>
      <c r="C2266" s="133"/>
      <c r="D2266" s="133"/>
      <c r="E2266" s="17"/>
      <c r="F2266" s="133"/>
      <c r="G2266" s="133"/>
      <c r="H2266" s="133"/>
      <c r="I2266" s="133"/>
      <c r="J2266" s="133"/>
      <c r="K2266" s="133"/>
      <c r="L2266" s="133"/>
      <c r="M2266" s="133"/>
      <c r="N2266" s="133"/>
      <c r="O2266" s="133"/>
      <c r="P2266" s="134"/>
      <c r="Q2266" s="146"/>
      <c r="R2266" s="17"/>
      <c r="S2266" s="17"/>
      <c r="T2266" s="75"/>
      <c r="U2266" s="75"/>
      <c r="V2266" s="75"/>
      <c r="W2266" s="75"/>
      <c r="X2266" s="75"/>
    </row>
    <row r="2267">
      <c r="A2267" s="17"/>
      <c r="B2267" s="17"/>
      <c r="C2267" s="133"/>
      <c r="D2267" s="133"/>
      <c r="E2267" s="17"/>
      <c r="F2267" s="133"/>
      <c r="G2267" s="133"/>
      <c r="H2267" s="133"/>
      <c r="I2267" s="133"/>
      <c r="J2267" s="133"/>
      <c r="K2267" s="133"/>
      <c r="L2267" s="133"/>
      <c r="M2267" s="133"/>
      <c r="N2267" s="133"/>
      <c r="O2267" s="133"/>
      <c r="P2267" s="134"/>
      <c r="Q2267" s="146"/>
      <c r="R2267" s="17"/>
      <c r="S2267" s="17"/>
      <c r="T2267" s="75"/>
      <c r="U2267" s="75"/>
      <c r="V2267" s="75"/>
      <c r="W2267" s="75"/>
      <c r="X2267" s="75"/>
    </row>
    <row r="2268">
      <c r="A2268" s="17"/>
      <c r="B2268" s="17"/>
      <c r="C2268" s="133"/>
      <c r="D2268" s="133"/>
      <c r="E2268" s="17"/>
      <c r="F2268" s="133"/>
      <c r="G2268" s="133"/>
      <c r="H2268" s="133"/>
      <c r="I2268" s="133"/>
      <c r="J2268" s="133"/>
      <c r="K2268" s="133"/>
      <c r="L2268" s="133"/>
      <c r="M2268" s="133"/>
      <c r="N2268" s="133"/>
      <c r="O2268" s="133"/>
      <c r="P2268" s="134"/>
      <c r="Q2268" s="146"/>
      <c r="R2268" s="17"/>
      <c r="S2268" s="17"/>
      <c r="T2268" s="75"/>
      <c r="U2268" s="75"/>
      <c r="V2268" s="75"/>
      <c r="W2268" s="75"/>
      <c r="X2268" s="75"/>
    </row>
    <row r="2269">
      <c r="A2269" s="17"/>
      <c r="B2269" s="17"/>
      <c r="C2269" s="133"/>
      <c r="D2269" s="133"/>
      <c r="E2269" s="17"/>
      <c r="F2269" s="133"/>
      <c r="G2269" s="133"/>
      <c r="H2269" s="133"/>
      <c r="I2269" s="133"/>
      <c r="J2269" s="133"/>
      <c r="K2269" s="133"/>
      <c r="L2269" s="133"/>
      <c r="M2269" s="133"/>
      <c r="N2269" s="133"/>
      <c r="O2269" s="133"/>
      <c r="P2269" s="134"/>
      <c r="Q2269" s="146"/>
      <c r="R2269" s="17"/>
      <c r="S2269" s="17"/>
      <c r="T2269" s="75"/>
      <c r="U2269" s="75"/>
      <c r="V2269" s="75"/>
      <c r="W2269" s="75"/>
      <c r="X2269" s="75"/>
    </row>
    <row r="2270">
      <c r="A2270" s="17"/>
      <c r="B2270" s="17"/>
      <c r="C2270" s="133"/>
      <c r="D2270" s="133"/>
      <c r="E2270" s="17"/>
      <c r="F2270" s="133"/>
      <c r="G2270" s="133"/>
      <c r="H2270" s="133"/>
      <c r="I2270" s="133"/>
      <c r="J2270" s="133"/>
      <c r="K2270" s="133"/>
      <c r="L2270" s="133"/>
      <c r="M2270" s="133"/>
      <c r="N2270" s="133"/>
      <c r="O2270" s="133"/>
      <c r="P2270" s="134"/>
      <c r="Q2270" s="146"/>
      <c r="R2270" s="17"/>
      <c r="S2270" s="17"/>
      <c r="T2270" s="75"/>
      <c r="U2270" s="75"/>
      <c r="V2270" s="75"/>
      <c r="W2270" s="75"/>
      <c r="X2270" s="75"/>
    </row>
    <row r="2271">
      <c r="A2271" s="17"/>
      <c r="B2271" s="17"/>
      <c r="C2271" s="133"/>
      <c r="D2271" s="133"/>
      <c r="E2271" s="17"/>
      <c r="F2271" s="133"/>
      <c r="G2271" s="133"/>
      <c r="H2271" s="133"/>
      <c r="I2271" s="133"/>
      <c r="J2271" s="133"/>
      <c r="K2271" s="133"/>
      <c r="L2271" s="133"/>
      <c r="M2271" s="133"/>
      <c r="N2271" s="133"/>
      <c r="O2271" s="133"/>
      <c r="P2271" s="134"/>
      <c r="Q2271" s="146"/>
      <c r="R2271" s="17"/>
      <c r="S2271" s="17"/>
      <c r="T2271" s="75"/>
      <c r="U2271" s="75"/>
      <c r="V2271" s="75"/>
      <c r="W2271" s="75"/>
      <c r="X2271" s="75"/>
    </row>
    <row r="2272">
      <c r="A2272" s="17"/>
      <c r="B2272" s="17"/>
      <c r="C2272" s="133"/>
      <c r="D2272" s="133"/>
      <c r="E2272" s="17"/>
      <c r="F2272" s="133"/>
      <c r="G2272" s="133"/>
      <c r="H2272" s="133"/>
      <c r="I2272" s="133"/>
      <c r="J2272" s="133"/>
      <c r="K2272" s="133"/>
      <c r="L2272" s="133"/>
      <c r="M2272" s="133"/>
      <c r="N2272" s="133"/>
      <c r="O2272" s="133"/>
      <c r="P2272" s="134"/>
      <c r="Q2272" s="146"/>
      <c r="R2272" s="17"/>
      <c r="S2272" s="17"/>
      <c r="T2272" s="75"/>
      <c r="U2272" s="75"/>
      <c r="V2272" s="75"/>
      <c r="W2272" s="75"/>
      <c r="X2272" s="75"/>
    </row>
    <row r="2273">
      <c r="A2273" s="17"/>
      <c r="B2273" s="17"/>
      <c r="C2273" s="133"/>
      <c r="D2273" s="133"/>
      <c r="E2273" s="17"/>
      <c r="F2273" s="133"/>
      <c r="G2273" s="133"/>
      <c r="H2273" s="133"/>
      <c r="I2273" s="133"/>
      <c r="J2273" s="133"/>
      <c r="K2273" s="133"/>
      <c r="L2273" s="133"/>
      <c r="M2273" s="133"/>
      <c r="N2273" s="133"/>
      <c r="O2273" s="133"/>
      <c r="P2273" s="134"/>
      <c r="Q2273" s="146"/>
      <c r="R2273" s="17"/>
      <c r="S2273" s="17"/>
      <c r="T2273" s="75"/>
      <c r="U2273" s="75"/>
      <c r="V2273" s="75"/>
      <c r="W2273" s="75"/>
      <c r="X2273" s="75"/>
    </row>
    <row r="2274">
      <c r="A2274" s="17"/>
      <c r="B2274" s="17"/>
      <c r="C2274" s="133"/>
      <c r="D2274" s="133"/>
      <c r="E2274" s="17"/>
      <c r="F2274" s="133"/>
      <c r="G2274" s="133"/>
      <c r="H2274" s="133"/>
      <c r="I2274" s="133"/>
      <c r="J2274" s="133"/>
      <c r="K2274" s="133"/>
      <c r="L2274" s="133"/>
      <c r="M2274" s="133"/>
      <c r="N2274" s="133"/>
      <c r="O2274" s="133"/>
      <c r="P2274" s="134"/>
      <c r="Q2274" s="146"/>
      <c r="R2274" s="17"/>
      <c r="S2274" s="17"/>
      <c r="T2274" s="75"/>
      <c r="U2274" s="75"/>
      <c r="V2274" s="75"/>
      <c r="W2274" s="75"/>
      <c r="X2274" s="75"/>
    </row>
    <row r="2275">
      <c r="A2275" s="17"/>
      <c r="B2275" s="17"/>
      <c r="C2275" s="133"/>
      <c r="D2275" s="133"/>
      <c r="E2275" s="17"/>
      <c r="F2275" s="133"/>
      <c r="G2275" s="133"/>
      <c r="H2275" s="133"/>
      <c r="I2275" s="133"/>
      <c r="J2275" s="133"/>
      <c r="K2275" s="133"/>
      <c r="L2275" s="133"/>
      <c r="M2275" s="133"/>
      <c r="N2275" s="133"/>
      <c r="O2275" s="133"/>
      <c r="P2275" s="134"/>
      <c r="Q2275" s="146"/>
      <c r="R2275" s="17"/>
      <c r="S2275" s="17"/>
      <c r="T2275" s="75"/>
      <c r="U2275" s="75"/>
      <c r="V2275" s="75"/>
      <c r="W2275" s="75"/>
      <c r="X2275" s="75"/>
    </row>
    <row r="2276">
      <c r="A2276" s="17"/>
      <c r="B2276" s="17"/>
      <c r="C2276" s="133"/>
      <c r="D2276" s="133"/>
      <c r="E2276" s="17"/>
      <c r="F2276" s="133"/>
      <c r="G2276" s="133"/>
      <c r="H2276" s="133"/>
      <c r="I2276" s="133"/>
      <c r="J2276" s="133"/>
      <c r="K2276" s="133"/>
      <c r="L2276" s="133"/>
      <c r="M2276" s="133"/>
      <c r="N2276" s="133"/>
      <c r="O2276" s="133"/>
      <c r="P2276" s="134"/>
      <c r="Q2276" s="146"/>
      <c r="R2276" s="17"/>
      <c r="S2276" s="17"/>
      <c r="T2276" s="75"/>
      <c r="U2276" s="75"/>
      <c r="V2276" s="75"/>
      <c r="W2276" s="75"/>
      <c r="X2276" s="75"/>
    </row>
    <row r="2277">
      <c r="A2277" s="17"/>
      <c r="B2277" s="17"/>
      <c r="C2277" s="133"/>
      <c r="D2277" s="133"/>
      <c r="E2277" s="17"/>
      <c r="F2277" s="133"/>
      <c r="G2277" s="133"/>
      <c r="H2277" s="133"/>
      <c r="I2277" s="133"/>
      <c r="J2277" s="133"/>
      <c r="K2277" s="133"/>
      <c r="L2277" s="133"/>
      <c r="M2277" s="133"/>
      <c r="N2277" s="133"/>
      <c r="O2277" s="133"/>
      <c r="P2277" s="134"/>
      <c r="Q2277" s="146"/>
      <c r="R2277" s="17"/>
      <c r="S2277" s="17"/>
      <c r="T2277" s="75"/>
      <c r="U2277" s="75"/>
      <c r="V2277" s="75"/>
      <c r="W2277" s="75"/>
      <c r="X2277" s="75"/>
    </row>
    <row r="2278">
      <c r="A2278" s="17"/>
      <c r="B2278" s="17"/>
      <c r="C2278" s="133"/>
      <c r="D2278" s="133"/>
      <c r="E2278" s="17"/>
      <c r="F2278" s="133"/>
      <c r="G2278" s="133"/>
      <c r="H2278" s="133"/>
      <c r="I2278" s="133"/>
      <c r="J2278" s="133"/>
      <c r="K2278" s="133"/>
      <c r="L2278" s="133"/>
      <c r="M2278" s="133"/>
      <c r="N2278" s="133"/>
      <c r="O2278" s="133"/>
      <c r="P2278" s="134"/>
      <c r="Q2278" s="146"/>
      <c r="R2278" s="17"/>
      <c r="S2278" s="17"/>
      <c r="T2278" s="75"/>
      <c r="U2278" s="75"/>
      <c r="V2278" s="75"/>
      <c r="W2278" s="75"/>
      <c r="X2278" s="75"/>
    </row>
    <row r="2279">
      <c r="A2279" s="17"/>
      <c r="B2279" s="17"/>
      <c r="C2279" s="133"/>
      <c r="D2279" s="133"/>
      <c r="E2279" s="17"/>
      <c r="F2279" s="133"/>
      <c r="G2279" s="133"/>
      <c r="H2279" s="133"/>
      <c r="I2279" s="133"/>
      <c r="J2279" s="133"/>
      <c r="K2279" s="133"/>
      <c r="L2279" s="133"/>
      <c r="M2279" s="133"/>
      <c r="N2279" s="133"/>
      <c r="O2279" s="133"/>
      <c r="P2279" s="134"/>
      <c r="Q2279" s="146"/>
      <c r="R2279" s="17"/>
      <c r="S2279" s="17"/>
      <c r="T2279" s="75"/>
      <c r="U2279" s="75"/>
      <c r="V2279" s="75"/>
      <c r="W2279" s="75"/>
      <c r="X2279" s="75"/>
    </row>
    <row r="2280">
      <c r="A2280" s="17"/>
      <c r="B2280" s="17"/>
      <c r="C2280" s="133"/>
      <c r="D2280" s="133"/>
      <c r="E2280" s="17"/>
      <c r="F2280" s="133"/>
      <c r="G2280" s="133"/>
      <c r="H2280" s="133"/>
      <c r="I2280" s="133"/>
      <c r="J2280" s="133"/>
      <c r="K2280" s="133"/>
      <c r="L2280" s="133"/>
      <c r="M2280" s="133"/>
      <c r="N2280" s="133"/>
      <c r="O2280" s="133"/>
      <c r="P2280" s="134"/>
      <c r="Q2280" s="146"/>
      <c r="R2280" s="17"/>
      <c r="S2280" s="17"/>
      <c r="T2280" s="75"/>
      <c r="U2280" s="75"/>
      <c r="V2280" s="75"/>
      <c r="W2280" s="75"/>
      <c r="X2280" s="75"/>
    </row>
    <row r="2281">
      <c r="A2281" s="17"/>
      <c r="B2281" s="17"/>
      <c r="C2281" s="133"/>
      <c r="D2281" s="133"/>
      <c r="E2281" s="17"/>
      <c r="F2281" s="133"/>
      <c r="G2281" s="133"/>
      <c r="H2281" s="133"/>
      <c r="I2281" s="133"/>
      <c r="J2281" s="133"/>
      <c r="K2281" s="133"/>
      <c r="L2281" s="133"/>
      <c r="M2281" s="133"/>
      <c r="N2281" s="133"/>
      <c r="O2281" s="133"/>
      <c r="P2281" s="134"/>
      <c r="Q2281" s="146"/>
      <c r="R2281" s="17"/>
      <c r="S2281" s="17"/>
      <c r="T2281" s="75"/>
      <c r="U2281" s="75"/>
      <c r="V2281" s="75"/>
      <c r="W2281" s="75"/>
      <c r="X2281" s="75"/>
    </row>
    <row r="2282">
      <c r="A2282" s="17"/>
      <c r="B2282" s="17"/>
      <c r="C2282" s="133"/>
      <c r="D2282" s="133"/>
      <c r="E2282" s="17"/>
      <c r="F2282" s="133"/>
      <c r="G2282" s="133"/>
      <c r="H2282" s="133"/>
      <c r="I2282" s="133"/>
      <c r="J2282" s="133"/>
      <c r="K2282" s="133"/>
      <c r="L2282" s="133"/>
      <c r="M2282" s="133"/>
      <c r="N2282" s="133"/>
      <c r="O2282" s="133"/>
      <c r="P2282" s="134"/>
      <c r="Q2282" s="146"/>
      <c r="R2282" s="17"/>
      <c r="S2282" s="17"/>
      <c r="T2282" s="75"/>
      <c r="U2282" s="75"/>
      <c r="V2282" s="75"/>
      <c r="W2282" s="75"/>
      <c r="X2282" s="75"/>
    </row>
    <row r="2283">
      <c r="A2283" s="17"/>
      <c r="B2283" s="17"/>
      <c r="C2283" s="133"/>
      <c r="D2283" s="133"/>
      <c r="E2283" s="17"/>
      <c r="F2283" s="133"/>
      <c r="G2283" s="133"/>
      <c r="H2283" s="133"/>
      <c r="I2283" s="133"/>
      <c r="J2283" s="133"/>
      <c r="K2283" s="133"/>
      <c r="L2283" s="133"/>
      <c r="M2283" s="133"/>
      <c r="N2283" s="133"/>
      <c r="O2283" s="133"/>
      <c r="P2283" s="134"/>
      <c r="Q2283" s="146"/>
      <c r="R2283" s="17"/>
      <c r="S2283" s="17"/>
      <c r="T2283" s="75"/>
      <c r="U2283" s="75"/>
      <c r="V2283" s="75"/>
      <c r="W2283" s="75"/>
      <c r="X2283" s="75"/>
    </row>
    <row r="2284">
      <c r="A2284" s="17"/>
      <c r="B2284" s="17"/>
      <c r="C2284" s="133"/>
      <c r="D2284" s="133"/>
      <c r="E2284" s="17"/>
      <c r="F2284" s="133"/>
      <c r="G2284" s="133"/>
      <c r="H2284" s="133"/>
      <c r="I2284" s="133"/>
      <c r="J2284" s="133"/>
      <c r="K2284" s="133"/>
      <c r="L2284" s="133"/>
      <c r="M2284" s="133"/>
      <c r="N2284" s="133"/>
      <c r="O2284" s="133"/>
      <c r="P2284" s="134"/>
      <c r="Q2284" s="146"/>
      <c r="R2284" s="17"/>
      <c r="S2284" s="17"/>
      <c r="T2284" s="75"/>
      <c r="U2284" s="75"/>
      <c r="V2284" s="75"/>
      <c r="W2284" s="75"/>
      <c r="X2284" s="75"/>
    </row>
    <row r="2285">
      <c r="A2285" s="17"/>
      <c r="B2285" s="17"/>
      <c r="C2285" s="133"/>
      <c r="D2285" s="133"/>
      <c r="E2285" s="17"/>
      <c r="F2285" s="133"/>
      <c r="G2285" s="133"/>
      <c r="H2285" s="133"/>
      <c r="I2285" s="133"/>
      <c r="J2285" s="133"/>
      <c r="K2285" s="133"/>
      <c r="L2285" s="133"/>
      <c r="M2285" s="133"/>
      <c r="N2285" s="133"/>
      <c r="O2285" s="133"/>
      <c r="P2285" s="134"/>
      <c r="Q2285" s="146"/>
      <c r="R2285" s="17"/>
      <c r="S2285" s="17"/>
      <c r="T2285" s="75"/>
      <c r="U2285" s="75"/>
      <c r="V2285" s="75"/>
      <c r="W2285" s="75"/>
      <c r="X2285" s="75"/>
    </row>
    <row r="2286">
      <c r="A2286" s="17"/>
      <c r="B2286" s="17"/>
      <c r="C2286" s="133"/>
      <c r="D2286" s="133"/>
      <c r="E2286" s="17"/>
      <c r="F2286" s="133"/>
      <c r="G2286" s="133"/>
      <c r="H2286" s="133"/>
      <c r="I2286" s="133"/>
      <c r="J2286" s="133"/>
      <c r="K2286" s="133"/>
      <c r="L2286" s="133"/>
      <c r="M2286" s="133"/>
      <c r="N2286" s="133"/>
      <c r="O2286" s="133"/>
      <c r="P2286" s="134"/>
      <c r="Q2286" s="146"/>
      <c r="R2286" s="17"/>
      <c r="S2286" s="17"/>
      <c r="T2286" s="75"/>
      <c r="U2286" s="75"/>
      <c r="V2286" s="75"/>
      <c r="W2286" s="75"/>
      <c r="X2286" s="75"/>
    </row>
    <row r="2287">
      <c r="A2287" s="17"/>
      <c r="B2287" s="17"/>
      <c r="C2287" s="133"/>
      <c r="D2287" s="133"/>
      <c r="E2287" s="17"/>
      <c r="F2287" s="133"/>
      <c r="G2287" s="133"/>
      <c r="H2287" s="133"/>
      <c r="I2287" s="133"/>
      <c r="J2287" s="133"/>
      <c r="K2287" s="133"/>
      <c r="L2287" s="133"/>
      <c r="M2287" s="133"/>
      <c r="N2287" s="133"/>
      <c r="O2287" s="133"/>
      <c r="P2287" s="134"/>
      <c r="Q2287" s="146"/>
      <c r="R2287" s="17"/>
      <c r="S2287" s="17"/>
      <c r="T2287" s="75"/>
      <c r="U2287" s="75"/>
      <c r="V2287" s="75"/>
      <c r="W2287" s="75"/>
      <c r="X2287" s="75"/>
    </row>
    <row r="2288">
      <c r="A2288" s="17"/>
      <c r="B2288" s="17"/>
      <c r="C2288" s="133"/>
      <c r="D2288" s="133"/>
      <c r="E2288" s="17"/>
      <c r="F2288" s="133"/>
      <c r="G2288" s="133"/>
      <c r="H2288" s="133"/>
      <c r="I2288" s="133"/>
      <c r="J2288" s="133"/>
      <c r="K2288" s="133"/>
      <c r="L2288" s="133"/>
      <c r="M2288" s="133"/>
      <c r="N2288" s="133"/>
      <c r="O2288" s="133"/>
      <c r="P2288" s="134"/>
      <c r="Q2288" s="146"/>
      <c r="R2288" s="17"/>
      <c r="S2288" s="17"/>
      <c r="T2288" s="75"/>
      <c r="U2288" s="75"/>
      <c r="V2288" s="75"/>
      <c r="W2288" s="75"/>
      <c r="X2288" s="75"/>
    </row>
    <row r="2289">
      <c r="A2289" s="17"/>
      <c r="B2289" s="17"/>
      <c r="C2289" s="133"/>
      <c r="D2289" s="133"/>
      <c r="E2289" s="17"/>
      <c r="F2289" s="133"/>
      <c r="G2289" s="133"/>
      <c r="H2289" s="133"/>
      <c r="I2289" s="133"/>
      <c r="J2289" s="133"/>
      <c r="K2289" s="133"/>
      <c r="L2289" s="133"/>
      <c r="M2289" s="133"/>
      <c r="N2289" s="133"/>
      <c r="O2289" s="133"/>
      <c r="P2289" s="134"/>
      <c r="Q2289" s="146"/>
      <c r="R2289" s="17"/>
      <c r="S2289" s="17"/>
      <c r="T2289" s="75"/>
      <c r="U2289" s="75"/>
      <c r="V2289" s="75"/>
      <c r="W2289" s="75"/>
      <c r="X2289" s="75"/>
    </row>
    <row r="2290">
      <c r="A2290" s="17"/>
      <c r="B2290" s="17"/>
      <c r="C2290" s="133"/>
      <c r="D2290" s="133"/>
      <c r="E2290" s="17"/>
      <c r="F2290" s="133"/>
      <c r="G2290" s="133"/>
      <c r="H2290" s="133"/>
      <c r="I2290" s="133"/>
      <c r="J2290" s="133"/>
      <c r="K2290" s="133"/>
      <c r="L2290" s="133"/>
      <c r="M2290" s="133"/>
      <c r="N2290" s="133"/>
      <c r="O2290" s="133"/>
      <c r="P2290" s="134"/>
      <c r="Q2290" s="146"/>
      <c r="R2290" s="17"/>
      <c r="S2290" s="17"/>
      <c r="T2290" s="75"/>
      <c r="U2290" s="75"/>
      <c r="V2290" s="75"/>
      <c r="W2290" s="75"/>
      <c r="X2290" s="75"/>
    </row>
    <row r="2291">
      <c r="A2291" s="17"/>
      <c r="B2291" s="17"/>
      <c r="C2291" s="133"/>
      <c r="D2291" s="133"/>
      <c r="E2291" s="17"/>
      <c r="F2291" s="133"/>
      <c r="G2291" s="133"/>
      <c r="H2291" s="133"/>
      <c r="I2291" s="133"/>
      <c r="J2291" s="133"/>
      <c r="K2291" s="133"/>
      <c r="L2291" s="133"/>
      <c r="M2291" s="133"/>
      <c r="N2291" s="133"/>
      <c r="O2291" s="133"/>
      <c r="P2291" s="134"/>
      <c r="Q2291" s="146"/>
      <c r="R2291" s="17"/>
      <c r="S2291" s="17"/>
      <c r="T2291" s="75"/>
      <c r="U2291" s="75"/>
      <c r="V2291" s="75"/>
      <c r="W2291" s="75"/>
      <c r="X2291" s="75"/>
    </row>
    <row r="2292">
      <c r="A2292" s="17"/>
      <c r="B2292" s="17"/>
      <c r="C2292" s="133"/>
      <c r="D2292" s="133"/>
      <c r="E2292" s="17"/>
      <c r="F2292" s="133"/>
      <c r="G2292" s="133"/>
      <c r="H2292" s="133"/>
      <c r="I2292" s="133"/>
      <c r="J2292" s="133"/>
      <c r="K2292" s="133"/>
      <c r="L2292" s="133"/>
      <c r="M2292" s="133"/>
      <c r="N2292" s="133"/>
      <c r="O2292" s="133"/>
      <c r="P2292" s="134"/>
      <c r="Q2292" s="146"/>
      <c r="R2292" s="17"/>
      <c r="S2292" s="17"/>
      <c r="T2292" s="75"/>
      <c r="U2292" s="75"/>
      <c r="V2292" s="75"/>
      <c r="W2292" s="75"/>
      <c r="X2292" s="75"/>
    </row>
    <row r="2293">
      <c r="A2293" s="17"/>
      <c r="B2293" s="17"/>
      <c r="C2293" s="133"/>
      <c r="D2293" s="133"/>
      <c r="E2293" s="17"/>
      <c r="F2293" s="133"/>
      <c r="G2293" s="133"/>
      <c r="H2293" s="133"/>
      <c r="I2293" s="133"/>
      <c r="J2293" s="133"/>
      <c r="K2293" s="133"/>
      <c r="L2293" s="133"/>
      <c r="M2293" s="133"/>
      <c r="N2293" s="133"/>
      <c r="O2293" s="133"/>
      <c r="P2293" s="134"/>
      <c r="Q2293" s="146"/>
      <c r="R2293" s="17"/>
      <c r="S2293" s="17"/>
      <c r="T2293" s="75"/>
      <c r="U2293" s="75"/>
      <c r="V2293" s="75"/>
      <c r="W2293" s="75"/>
      <c r="X2293" s="75"/>
    </row>
    <row r="2294">
      <c r="A2294" s="17"/>
      <c r="B2294" s="17"/>
      <c r="C2294" s="133"/>
      <c r="D2294" s="133"/>
      <c r="E2294" s="17"/>
      <c r="F2294" s="133"/>
      <c r="G2294" s="133"/>
      <c r="H2294" s="133"/>
      <c r="I2294" s="133"/>
      <c r="J2294" s="133"/>
      <c r="K2294" s="133"/>
      <c r="L2294" s="133"/>
      <c r="M2294" s="133"/>
      <c r="N2294" s="133"/>
      <c r="O2294" s="133"/>
      <c r="P2294" s="134"/>
      <c r="Q2294" s="146"/>
      <c r="R2294" s="17"/>
      <c r="S2294" s="17"/>
      <c r="T2294" s="75"/>
      <c r="U2294" s="75"/>
      <c r="V2294" s="75"/>
      <c r="W2294" s="75"/>
      <c r="X2294" s="75"/>
    </row>
    <row r="2295">
      <c r="A2295" s="17"/>
      <c r="B2295" s="17"/>
      <c r="C2295" s="133"/>
      <c r="D2295" s="133"/>
      <c r="E2295" s="17"/>
      <c r="F2295" s="133"/>
      <c r="G2295" s="133"/>
      <c r="H2295" s="133"/>
      <c r="I2295" s="133"/>
      <c r="J2295" s="133"/>
      <c r="K2295" s="133"/>
      <c r="L2295" s="133"/>
      <c r="M2295" s="133"/>
      <c r="N2295" s="133"/>
      <c r="O2295" s="133"/>
      <c r="P2295" s="134"/>
      <c r="Q2295" s="146"/>
      <c r="R2295" s="17"/>
      <c r="S2295" s="17"/>
      <c r="T2295" s="75"/>
      <c r="U2295" s="75"/>
      <c r="V2295" s="75"/>
      <c r="W2295" s="75"/>
      <c r="X2295" s="75"/>
    </row>
    <row r="2296">
      <c r="A2296" s="17"/>
      <c r="B2296" s="17"/>
      <c r="C2296" s="133"/>
      <c r="D2296" s="133"/>
      <c r="E2296" s="17"/>
      <c r="F2296" s="133"/>
      <c r="G2296" s="133"/>
      <c r="H2296" s="133"/>
      <c r="I2296" s="133"/>
      <c r="J2296" s="133"/>
      <c r="K2296" s="133"/>
      <c r="L2296" s="133"/>
      <c r="M2296" s="133"/>
      <c r="N2296" s="133"/>
      <c r="O2296" s="133"/>
      <c r="P2296" s="134"/>
      <c r="Q2296" s="146"/>
      <c r="R2296" s="17"/>
      <c r="S2296" s="17"/>
      <c r="T2296" s="75"/>
      <c r="U2296" s="75"/>
      <c r="V2296" s="75"/>
      <c r="W2296" s="75"/>
      <c r="X2296" s="75"/>
    </row>
    <row r="2297">
      <c r="A2297" s="17"/>
      <c r="B2297" s="17"/>
      <c r="C2297" s="133"/>
      <c r="D2297" s="133"/>
      <c r="E2297" s="17"/>
      <c r="F2297" s="133"/>
      <c r="G2297" s="133"/>
      <c r="H2297" s="133"/>
      <c r="I2297" s="133"/>
      <c r="J2297" s="133"/>
      <c r="K2297" s="133"/>
      <c r="L2297" s="133"/>
      <c r="M2297" s="133"/>
      <c r="N2297" s="133"/>
      <c r="O2297" s="133"/>
      <c r="P2297" s="134"/>
      <c r="Q2297" s="146"/>
      <c r="R2297" s="17"/>
      <c r="S2297" s="17"/>
      <c r="T2297" s="75"/>
      <c r="U2297" s="75"/>
      <c r="V2297" s="75"/>
      <c r="W2297" s="75"/>
      <c r="X2297" s="75"/>
    </row>
    <row r="2298">
      <c r="A2298" s="17"/>
      <c r="B2298" s="17"/>
      <c r="C2298" s="133"/>
      <c r="D2298" s="133"/>
      <c r="E2298" s="17"/>
      <c r="F2298" s="133"/>
      <c r="G2298" s="133"/>
      <c r="H2298" s="133"/>
      <c r="I2298" s="133"/>
      <c r="J2298" s="133"/>
      <c r="K2298" s="133"/>
      <c r="L2298" s="133"/>
      <c r="M2298" s="133"/>
      <c r="N2298" s="133"/>
      <c r="O2298" s="133"/>
      <c r="P2298" s="134"/>
      <c r="Q2298" s="146"/>
      <c r="R2298" s="17"/>
      <c r="S2298" s="17"/>
      <c r="T2298" s="75"/>
      <c r="U2298" s="75"/>
      <c r="V2298" s="75"/>
      <c r="W2298" s="75"/>
      <c r="X2298" s="75"/>
    </row>
    <row r="2299">
      <c r="A2299" s="17"/>
      <c r="B2299" s="17"/>
      <c r="C2299" s="133"/>
      <c r="D2299" s="133"/>
      <c r="E2299" s="17"/>
      <c r="F2299" s="133"/>
      <c r="G2299" s="133"/>
      <c r="H2299" s="133"/>
      <c r="I2299" s="133"/>
      <c r="J2299" s="133"/>
      <c r="K2299" s="133"/>
      <c r="L2299" s="133"/>
      <c r="M2299" s="133"/>
      <c r="N2299" s="133"/>
      <c r="O2299" s="133"/>
      <c r="P2299" s="134"/>
      <c r="Q2299" s="146"/>
      <c r="R2299" s="17"/>
      <c r="S2299" s="17"/>
      <c r="T2299" s="75"/>
      <c r="U2299" s="75"/>
      <c r="V2299" s="75"/>
      <c r="W2299" s="75"/>
      <c r="X2299" s="75"/>
    </row>
    <row r="2300">
      <c r="A2300" s="17"/>
      <c r="B2300" s="17"/>
      <c r="C2300" s="133"/>
      <c r="D2300" s="133"/>
      <c r="E2300" s="17"/>
      <c r="F2300" s="133"/>
      <c r="G2300" s="133"/>
      <c r="H2300" s="133"/>
      <c r="I2300" s="133"/>
      <c r="J2300" s="133"/>
      <c r="K2300" s="133"/>
      <c r="L2300" s="133"/>
      <c r="M2300" s="133"/>
      <c r="N2300" s="133"/>
      <c r="O2300" s="133"/>
      <c r="P2300" s="134"/>
      <c r="Q2300" s="146"/>
      <c r="R2300" s="17"/>
      <c r="S2300" s="17"/>
      <c r="T2300" s="75"/>
      <c r="U2300" s="75"/>
      <c r="V2300" s="75"/>
      <c r="W2300" s="75"/>
      <c r="X2300" s="75"/>
    </row>
    <row r="2301">
      <c r="A2301" s="17"/>
      <c r="B2301" s="17"/>
      <c r="C2301" s="133"/>
      <c r="D2301" s="133"/>
      <c r="E2301" s="17"/>
      <c r="F2301" s="133"/>
      <c r="G2301" s="133"/>
      <c r="H2301" s="133"/>
      <c r="I2301" s="133"/>
      <c r="J2301" s="133"/>
      <c r="K2301" s="133"/>
      <c r="L2301" s="133"/>
      <c r="M2301" s="133"/>
      <c r="N2301" s="133"/>
      <c r="O2301" s="133"/>
      <c r="P2301" s="134"/>
      <c r="Q2301" s="146"/>
      <c r="R2301" s="17"/>
      <c r="S2301" s="17"/>
      <c r="T2301" s="75"/>
      <c r="U2301" s="75"/>
      <c r="V2301" s="75"/>
      <c r="W2301" s="75"/>
      <c r="X2301" s="75"/>
    </row>
    <row r="2302">
      <c r="A2302" s="17"/>
      <c r="B2302" s="17"/>
      <c r="C2302" s="133"/>
      <c r="D2302" s="133"/>
      <c r="E2302" s="17"/>
      <c r="F2302" s="133"/>
      <c r="G2302" s="133"/>
      <c r="H2302" s="133"/>
      <c r="I2302" s="133"/>
      <c r="J2302" s="133"/>
      <c r="K2302" s="133"/>
      <c r="L2302" s="133"/>
      <c r="M2302" s="133"/>
      <c r="N2302" s="133"/>
      <c r="O2302" s="133"/>
      <c r="P2302" s="134"/>
      <c r="Q2302" s="146"/>
      <c r="R2302" s="17"/>
      <c r="S2302" s="17"/>
      <c r="T2302" s="75"/>
      <c r="U2302" s="75"/>
      <c r="V2302" s="75"/>
      <c r="W2302" s="75"/>
      <c r="X2302" s="75"/>
    </row>
    <row r="2303">
      <c r="A2303" s="17"/>
      <c r="B2303" s="17"/>
      <c r="C2303" s="133"/>
      <c r="D2303" s="133"/>
      <c r="E2303" s="17"/>
      <c r="F2303" s="133"/>
      <c r="G2303" s="133"/>
      <c r="H2303" s="133"/>
      <c r="I2303" s="133"/>
      <c r="J2303" s="133"/>
      <c r="K2303" s="133"/>
      <c r="L2303" s="133"/>
      <c r="M2303" s="133"/>
      <c r="N2303" s="133"/>
      <c r="O2303" s="133"/>
      <c r="P2303" s="134"/>
      <c r="Q2303" s="146"/>
      <c r="R2303" s="17"/>
      <c r="S2303" s="17"/>
      <c r="T2303" s="75"/>
      <c r="U2303" s="75"/>
      <c r="V2303" s="75"/>
      <c r="W2303" s="75"/>
      <c r="X2303" s="75"/>
    </row>
    <row r="2304">
      <c r="A2304" s="17"/>
      <c r="B2304" s="17"/>
      <c r="C2304" s="133"/>
      <c r="D2304" s="133"/>
      <c r="E2304" s="17"/>
      <c r="F2304" s="133"/>
      <c r="G2304" s="133"/>
      <c r="H2304" s="133"/>
      <c r="I2304" s="133"/>
      <c r="J2304" s="133"/>
      <c r="K2304" s="133"/>
      <c r="L2304" s="133"/>
      <c r="M2304" s="133"/>
      <c r="N2304" s="133"/>
      <c r="O2304" s="133"/>
      <c r="P2304" s="134"/>
      <c r="Q2304" s="146"/>
      <c r="R2304" s="17"/>
      <c r="S2304" s="17"/>
      <c r="T2304" s="75"/>
      <c r="U2304" s="75"/>
      <c r="V2304" s="75"/>
      <c r="W2304" s="75"/>
      <c r="X2304" s="75"/>
    </row>
    <row r="2305">
      <c r="A2305" s="17"/>
      <c r="B2305" s="17"/>
      <c r="C2305" s="133"/>
      <c r="D2305" s="133"/>
      <c r="E2305" s="17"/>
      <c r="F2305" s="133"/>
      <c r="G2305" s="133"/>
      <c r="H2305" s="133"/>
      <c r="I2305" s="133"/>
      <c r="J2305" s="133"/>
      <c r="K2305" s="133"/>
      <c r="L2305" s="133"/>
      <c r="M2305" s="133"/>
      <c r="N2305" s="133"/>
      <c r="O2305" s="133"/>
      <c r="P2305" s="134"/>
      <c r="Q2305" s="146"/>
      <c r="R2305" s="17"/>
      <c r="S2305" s="17"/>
      <c r="T2305" s="75"/>
      <c r="U2305" s="75"/>
      <c r="V2305" s="75"/>
      <c r="W2305" s="75"/>
      <c r="X2305" s="75"/>
    </row>
    <row r="2306">
      <c r="A2306" s="17"/>
      <c r="B2306" s="17"/>
      <c r="C2306" s="133"/>
      <c r="D2306" s="133"/>
      <c r="E2306" s="17"/>
      <c r="F2306" s="133"/>
      <c r="G2306" s="133"/>
      <c r="H2306" s="133"/>
      <c r="I2306" s="133"/>
      <c r="J2306" s="133"/>
      <c r="K2306" s="133"/>
      <c r="L2306" s="133"/>
      <c r="M2306" s="133"/>
      <c r="N2306" s="133"/>
      <c r="O2306" s="133"/>
      <c r="P2306" s="134"/>
      <c r="Q2306" s="146"/>
      <c r="R2306" s="17"/>
      <c r="S2306" s="17"/>
      <c r="T2306" s="75"/>
      <c r="U2306" s="75"/>
      <c r="V2306" s="75"/>
      <c r="W2306" s="75"/>
      <c r="X2306" s="75"/>
    </row>
    <row r="2307">
      <c r="A2307" s="17"/>
      <c r="B2307" s="17"/>
      <c r="C2307" s="133"/>
      <c r="D2307" s="133"/>
      <c r="E2307" s="17"/>
      <c r="F2307" s="133"/>
      <c r="G2307" s="133"/>
      <c r="H2307" s="133"/>
      <c r="I2307" s="133"/>
      <c r="J2307" s="133"/>
      <c r="K2307" s="133"/>
      <c r="L2307" s="133"/>
      <c r="M2307" s="133"/>
      <c r="N2307" s="133"/>
      <c r="O2307" s="133"/>
      <c r="P2307" s="134"/>
      <c r="Q2307" s="146"/>
      <c r="R2307" s="17"/>
      <c r="S2307" s="17"/>
      <c r="T2307" s="75"/>
      <c r="U2307" s="75"/>
      <c r="V2307" s="75"/>
      <c r="W2307" s="75"/>
      <c r="X2307" s="75"/>
    </row>
    <row r="2308">
      <c r="A2308" s="17"/>
      <c r="B2308" s="17"/>
      <c r="C2308" s="133"/>
      <c r="D2308" s="133"/>
      <c r="E2308" s="17"/>
      <c r="F2308" s="133"/>
      <c r="G2308" s="133"/>
      <c r="H2308" s="133"/>
      <c r="I2308" s="133"/>
      <c r="J2308" s="133"/>
      <c r="K2308" s="133"/>
      <c r="L2308" s="133"/>
      <c r="M2308" s="133"/>
      <c r="N2308" s="133"/>
      <c r="O2308" s="133"/>
      <c r="P2308" s="134"/>
      <c r="Q2308" s="146"/>
      <c r="R2308" s="17"/>
      <c r="S2308" s="17"/>
      <c r="T2308" s="75"/>
      <c r="U2308" s="75"/>
      <c r="V2308" s="75"/>
      <c r="W2308" s="75"/>
      <c r="X2308" s="75"/>
    </row>
    <row r="2309">
      <c r="A2309" s="17"/>
      <c r="B2309" s="17"/>
      <c r="C2309" s="133"/>
      <c r="D2309" s="133"/>
      <c r="E2309" s="17"/>
      <c r="F2309" s="133"/>
      <c r="G2309" s="133"/>
      <c r="H2309" s="133"/>
      <c r="I2309" s="133"/>
      <c r="J2309" s="133"/>
      <c r="K2309" s="133"/>
      <c r="L2309" s="133"/>
      <c r="M2309" s="133"/>
      <c r="N2309" s="133"/>
      <c r="O2309" s="133"/>
      <c r="P2309" s="134"/>
      <c r="Q2309" s="146"/>
      <c r="R2309" s="17"/>
      <c r="S2309" s="17"/>
      <c r="T2309" s="75"/>
      <c r="U2309" s="75"/>
      <c r="V2309" s="75"/>
      <c r="W2309" s="75"/>
      <c r="X2309" s="75"/>
    </row>
    <row r="2310">
      <c r="A2310" s="17"/>
      <c r="B2310" s="17"/>
      <c r="C2310" s="133"/>
      <c r="D2310" s="133"/>
      <c r="E2310" s="17"/>
      <c r="F2310" s="133"/>
      <c r="G2310" s="133"/>
      <c r="H2310" s="133"/>
      <c r="I2310" s="133"/>
      <c r="J2310" s="133"/>
      <c r="K2310" s="133"/>
      <c r="L2310" s="133"/>
      <c r="M2310" s="133"/>
      <c r="N2310" s="133"/>
      <c r="O2310" s="133"/>
      <c r="P2310" s="134"/>
      <c r="Q2310" s="146"/>
      <c r="R2310" s="17"/>
      <c r="S2310" s="17"/>
      <c r="T2310" s="75"/>
      <c r="U2310" s="75"/>
      <c r="V2310" s="75"/>
      <c r="W2310" s="75"/>
      <c r="X2310" s="75"/>
    </row>
    <row r="2311">
      <c r="A2311" s="17"/>
      <c r="B2311" s="17"/>
      <c r="C2311" s="133"/>
      <c r="D2311" s="133"/>
      <c r="E2311" s="17"/>
      <c r="F2311" s="133"/>
      <c r="G2311" s="133"/>
      <c r="H2311" s="133"/>
      <c r="I2311" s="133"/>
      <c r="J2311" s="133"/>
      <c r="K2311" s="133"/>
      <c r="L2311" s="133"/>
      <c r="M2311" s="133"/>
      <c r="N2311" s="133"/>
      <c r="O2311" s="133"/>
      <c r="P2311" s="134"/>
      <c r="Q2311" s="146"/>
      <c r="R2311" s="17"/>
      <c r="S2311" s="17"/>
      <c r="T2311" s="75"/>
      <c r="U2311" s="75"/>
      <c r="V2311" s="75"/>
      <c r="W2311" s="75"/>
      <c r="X2311" s="75"/>
    </row>
    <row r="2312">
      <c r="A2312" s="17"/>
      <c r="B2312" s="17"/>
      <c r="C2312" s="133"/>
      <c r="D2312" s="133"/>
      <c r="E2312" s="17"/>
      <c r="F2312" s="133"/>
      <c r="G2312" s="133"/>
      <c r="H2312" s="133"/>
      <c r="I2312" s="133"/>
      <c r="J2312" s="133"/>
      <c r="K2312" s="133"/>
      <c r="L2312" s="133"/>
      <c r="M2312" s="133"/>
      <c r="N2312" s="133"/>
      <c r="O2312" s="133"/>
      <c r="P2312" s="134"/>
      <c r="Q2312" s="146"/>
      <c r="R2312" s="17"/>
      <c r="S2312" s="17"/>
      <c r="T2312" s="75"/>
      <c r="U2312" s="75"/>
      <c r="V2312" s="75"/>
      <c r="W2312" s="75"/>
      <c r="X2312" s="75"/>
    </row>
    <row r="2313">
      <c r="A2313" s="17"/>
      <c r="B2313" s="17"/>
      <c r="C2313" s="133"/>
      <c r="D2313" s="133"/>
      <c r="E2313" s="17"/>
      <c r="F2313" s="133"/>
      <c r="G2313" s="133"/>
      <c r="H2313" s="133"/>
      <c r="I2313" s="133"/>
      <c r="J2313" s="133"/>
      <c r="K2313" s="133"/>
      <c r="L2313" s="133"/>
      <c r="M2313" s="133"/>
      <c r="N2313" s="133"/>
      <c r="O2313" s="133"/>
      <c r="P2313" s="134"/>
      <c r="Q2313" s="146"/>
      <c r="R2313" s="17"/>
      <c r="S2313" s="17"/>
      <c r="T2313" s="75"/>
      <c r="U2313" s="75"/>
      <c r="V2313" s="75"/>
      <c r="W2313" s="75"/>
      <c r="X2313" s="75"/>
    </row>
    <row r="2314">
      <c r="A2314" s="17"/>
      <c r="B2314" s="17"/>
      <c r="C2314" s="133"/>
      <c r="D2314" s="133"/>
      <c r="E2314" s="17"/>
      <c r="F2314" s="133"/>
      <c r="G2314" s="133"/>
      <c r="H2314" s="133"/>
      <c r="I2314" s="133"/>
      <c r="J2314" s="133"/>
      <c r="K2314" s="133"/>
      <c r="L2314" s="133"/>
      <c r="M2314" s="133"/>
      <c r="N2314" s="133"/>
      <c r="O2314" s="133"/>
      <c r="P2314" s="134"/>
      <c r="Q2314" s="146"/>
      <c r="R2314" s="17"/>
      <c r="S2314" s="17"/>
      <c r="T2314" s="75"/>
      <c r="U2314" s="75"/>
      <c r="V2314" s="75"/>
      <c r="W2314" s="75"/>
      <c r="X2314" s="75"/>
    </row>
    <row r="2315">
      <c r="A2315" s="17"/>
      <c r="B2315" s="17"/>
      <c r="C2315" s="133"/>
      <c r="D2315" s="133"/>
      <c r="E2315" s="17"/>
      <c r="F2315" s="133"/>
      <c r="G2315" s="133"/>
      <c r="H2315" s="133"/>
      <c r="I2315" s="133"/>
      <c r="J2315" s="133"/>
      <c r="K2315" s="133"/>
      <c r="L2315" s="133"/>
      <c r="M2315" s="133"/>
      <c r="N2315" s="133"/>
      <c r="O2315" s="133"/>
      <c r="P2315" s="134"/>
      <c r="Q2315" s="146"/>
      <c r="R2315" s="17"/>
      <c r="S2315" s="17"/>
      <c r="T2315" s="75"/>
      <c r="U2315" s="75"/>
      <c r="V2315" s="75"/>
      <c r="W2315" s="75"/>
      <c r="X2315" s="75"/>
    </row>
    <row r="2316">
      <c r="A2316" s="17"/>
      <c r="B2316" s="17"/>
      <c r="C2316" s="133"/>
      <c r="D2316" s="133"/>
      <c r="E2316" s="17"/>
      <c r="F2316" s="133"/>
      <c r="G2316" s="133"/>
      <c r="H2316" s="133"/>
      <c r="I2316" s="133"/>
      <c r="J2316" s="133"/>
      <c r="K2316" s="133"/>
      <c r="L2316" s="133"/>
      <c r="M2316" s="133"/>
      <c r="N2316" s="133"/>
      <c r="O2316" s="133"/>
      <c r="P2316" s="134"/>
      <c r="Q2316" s="146"/>
      <c r="R2316" s="17"/>
      <c r="S2316" s="17"/>
      <c r="T2316" s="75"/>
      <c r="U2316" s="75"/>
      <c r="V2316" s="75"/>
      <c r="W2316" s="75"/>
      <c r="X2316" s="75"/>
    </row>
    <row r="2317">
      <c r="A2317" s="17"/>
      <c r="B2317" s="17"/>
      <c r="C2317" s="133"/>
      <c r="D2317" s="133"/>
      <c r="E2317" s="17"/>
      <c r="F2317" s="133"/>
      <c r="G2317" s="133"/>
      <c r="H2317" s="133"/>
      <c r="I2317" s="133"/>
      <c r="J2317" s="133"/>
      <c r="K2317" s="133"/>
      <c r="L2317" s="133"/>
      <c r="M2317" s="133"/>
      <c r="N2317" s="133"/>
      <c r="O2317" s="133"/>
      <c r="P2317" s="134"/>
      <c r="Q2317" s="146"/>
      <c r="R2317" s="17"/>
      <c r="S2317" s="17"/>
      <c r="T2317" s="75"/>
      <c r="U2317" s="75"/>
      <c r="V2317" s="75"/>
      <c r="W2317" s="75"/>
      <c r="X2317" s="75"/>
    </row>
    <row r="2318">
      <c r="A2318" s="17"/>
      <c r="B2318" s="17"/>
      <c r="C2318" s="133"/>
      <c r="D2318" s="133"/>
      <c r="E2318" s="17"/>
      <c r="F2318" s="133"/>
      <c r="G2318" s="133"/>
      <c r="H2318" s="133"/>
      <c r="I2318" s="133"/>
      <c r="J2318" s="133"/>
      <c r="K2318" s="133"/>
      <c r="L2318" s="133"/>
      <c r="M2318" s="133"/>
      <c r="N2318" s="133"/>
      <c r="O2318" s="133"/>
      <c r="P2318" s="134"/>
      <c r="Q2318" s="146"/>
      <c r="R2318" s="17"/>
      <c r="S2318" s="17"/>
      <c r="T2318" s="75"/>
      <c r="U2318" s="75"/>
      <c r="V2318" s="75"/>
      <c r="W2318" s="75"/>
      <c r="X2318" s="75"/>
    </row>
    <row r="2319">
      <c r="A2319" s="17"/>
      <c r="B2319" s="17"/>
      <c r="C2319" s="133"/>
      <c r="D2319" s="133"/>
      <c r="E2319" s="17"/>
      <c r="F2319" s="133"/>
      <c r="G2319" s="133"/>
      <c r="H2319" s="133"/>
      <c r="I2319" s="133"/>
      <c r="J2319" s="133"/>
      <c r="K2319" s="133"/>
      <c r="L2319" s="133"/>
      <c r="M2319" s="133"/>
      <c r="N2319" s="133"/>
      <c r="O2319" s="133"/>
      <c r="P2319" s="134"/>
      <c r="Q2319" s="146"/>
      <c r="R2319" s="17"/>
      <c r="S2319" s="17"/>
      <c r="T2319" s="75"/>
      <c r="U2319" s="75"/>
      <c r="V2319" s="75"/>
      <c r="W2319" s="75"/>
      <c r="X2319" s="75"/>
    </row>
    <row r="2320">
      <c r="A2320" s="17"/>
      <c r="B2320" s="17"/>
      <c r="C2320" s="133"/>
      <c r="D2320" s="133"/>
      <c r="E2320" s="17"/>
      <c r="F2320" s="133"/>
      <c r="G2320" s="133"/>
      <c r="H2320" s="133"/>
      <c r="I2320" s="133"/>
      <c r="J2320" s="133"/>
      <c r="K2320" s="133"/>
      <c r="L2320" s="133"/>
      <c r="M2320" s="133"/>
      <c r="N2320" s="133"/>
      <c r="O2320" s="133"/>
      <c r="P2320" s="134"/>
      <c r="Q2320" s="146"/>
      <c r="R2320" s="17"/>
      <c r="S2320" s="17"/>
      <c r="T2320" s="75"/>
      <c r="U2320" s="75"/>
      <c r="V2320" s="75"/>
      <c r="W2320" s="75"/>
      <c r="X2320" s="75"/>
    </row>
    <row r="2321">
      <c r="A2321" s="17"/>
      <c r="B2321" s="17"/>
      <c r="C2321" s="133"/>
      <c r="D2321" s="133"/>
      <c r="E2321" s="17"/>
      <c r="F2321" s="133"/>
      <c r="G2321" s="133"/>
      <c r="H2321" s="133"/>
      <c r="I2321" s="133"/>
      <c r="J2321" s="133"/>
      <c r="K2321" s="133"/>
      <c r="L2321" s="133"/>
      <c r="M2321" s="133"/>
      <c r="N2321" s="133"/>
      <c r="O2321" s="133"/>
      <c r="P2321" s="134"/>
      <c r="Q2321" s="146"/>
      <c r="R2321" s="17"/>
      <c r="S2321" s="17"/>
      <c r="T2321" s="75"/>
      <c r="U2321" s="75"/>
      <c r="V2321" s="75"/>
      <c r="W2321" s="75"/>
      <c r="X2321" s="75"/>
    </row>
    <row r="2322">
      <c r="A2322" s="17"/>
      <c r="B2322" s="17"/>
      <c r="C2322" s="133"/>
      <c r="D2322" s="133"/>
      <c r="E2322" s="17"/>
      <c r="F2322" s="133"/>
      <c r="G2322" s="133"/>
      <c r="H2322" s="133"/>
      <c r="I2322" s="133"/>
      <c r="J2322" s="133"/>
      <c r="K2322" s="133"/>
      <c r="L2322" s="133"/>
      <c r="M2322" s="133"/>
      <c r="N2322" s="133"/>
      <c r="O2322" s="133"/>
      <c r="P2322" s="134"/>
      <c r="Q2322" s="146"/>
      <c r="R2322" s="17"/>
      <c r="S2322" s="17"/>
      <c r="T2322" s="75"/>
      <c r="U2322" s="75"/>
      <c r="V2322" s="75"/>
      <c r="W2322" s="75"/>
      <c r="X2322" s="75"/>
    </row>
    <row r="2323">
      <c r="A2323" s="17"/>
      <c r="B2323" s="17"/>
      <c r="C2323" s="133"/>
      <c r="D2323" s="133"/>
      <c r="E2323" s="17"/>
      <c r="F2323" s="133"/>
      <c r="G2323" s="133"/>
      <c r="H2323" s="133"/>
      <c r="I2323" s="133"/>
      <c r="J2323" s="133"/>
      <c r="K2323" s="133"/>
      <c r="L2323" s="133"/>
      <c r="M2323" s="133"/>
      <c r="N2323" s="133"/>
      <c r="O2323" s="133"/>
      <c r="P2323" s="134"/>
      <c r="Q2323" s="146"/>
      <c r="R2323" s="17"/>
      <c r="S2323" s="17"/>
      <c r="T2323" s="75"/>
      <c r="U2323" s="75"/>
      <c r="V2323" s="75"/>
      <c r="W2323" s="75"/>
      <c r="X2323" s="75"/>
    </row>
    <row r="2324">
      <c r="A2324" s="17"/>
      <c r="B2324" s="17"/>
      <c r="C2324" s="133"/>
      <c r="D2324" s="133"/>
      <c r="E2324" s="17"/>
      <c r="F2324" s="133"/>
      <c r="G2324" s="133"/>
      <c r="H2324" s="133"/>
      <c r="I2324" s="133"/>
      <c r="J2324" s="133"/>
      <c r="K2324" s="133"/>
      <c r="L2324" s="133"/>
      <c r="M2324" s="133"/>
      <c r="N2324" s="133"/>
      <c r="O2324" s="133"/>
      <c r="P2324" s="134"/>
      <c r="Q2324" s="146"/>
      <c r="R2324" s="17"/>
      <c r="S2324" s="17"/>
      <c r="T2324" s="75"/>
      <c r="U2324" s="75"/>
      <c r="V2324" s="75"/>
      <c r="W2324" s="75"/>
      <c r="X2324" s="75"/>
    </row>
    <row r="2325">
      <c r="A2325" s="17"/>
      <c r="B2325" s="17"/>
      <c r="C2325" s="133"/>
      <c r="D2325" s="133"/>
      <c r="E2325" s="17"/>
      <c r="F2325" s="133"/>
      <c r="G2325" s="133"/>
      <c r="H2325" s="133"/>
      <c r="I2325" s="133"/>
      <c r="J2325" s="133"/>
      <c r="K2325" s="133"/>
      <c r="L2325" s="133"/>
      <c r="M2325" s="133"/>
      <c r="N2325" s="133"/>
      <c r="O2325" s="133"/>
      <c r="P2325" s="134"/>
      <c r="Q2325" s="146"/>
      <c r="R2325" s="17"/>
      <c r="S2325" s="17"/>
      <c r="T2325" s="75"/>
      <c r="U2325" s="75"/>
      <c r="V2325" s="75"/>
      <c r="W2325" s="75"/>
      <c r="X2325" s="75"/>
    </row>
    <row r="2326">
      <c r="A2326" s="17"/>
      <c r="B2326" s="17"/>
      <c r="C2326" s="133"/>
      <c r="D2326" s="133"/>
      <c r="E2326" s="17"/>
      <c r="F2326" s="133"/>
      <c r="G2326" s="133"/>
      <c r="H2326" s="133"/>
      <c r="I2326" s="133"/>
      <c r="J2326" s="133"/>
      <c r="K2326" s="133"/>
      <c r="L2326" s="133"/>
      <c r="M2326" s="133"/>
      <c r="N2326" s="133"/>
      <c r="O2326" s="133"/>
      <c r="P2326" s="134"/>
      <c r="Q2326" s="146"/>
      <c r="R2326" s="17"/>
      <c r="S2326" s="17"/>
      <c r="T2326" s="75"/>
      <c r="U2326" s="75"/>
      <c r="V2326" s="75"/>
      <c r="W2326" s="75"/>
      <c r="X2326" s="75"/>
    </row>
    <row r="2327">
      <c r="A2327" s="17"/>
      <c r="B2327" s="17"/>
      <c r="C2327" s="133"/>
      <c r="D2327" s="133"/>
      <c r="E2327" s="17"/>
      <c r="F2327" s="133"/>
      <c r="G2327" s="133"/>
      <c r="H2327" s="133"/>
      <c r="I2327" s="133"/>
      <c r="J2327" s="133"/>
      <c r="K2327" s="133"/>
      <c r="L2327" s="133"/>
      <c r="M2327" s="133"/>
      <c r="N2327" s="133"/>
      <c r="O2327" s="133"/>
      <c r="P2327" s="134"/>
      <c r="Q2327" s="146"/>
      <c r="R2327" s="17"/>
      <c r="S2327" s="17"/>
      <c r="T2327" s="75"/>
      <c r="U2327" s="75"/>
      <c r="V2327" s="75"/>
      <c r="W2327" s="75"/>
      <c r="X2327" s="75"/>
    </row>
    <row r="2328">
      <c r="A2328" s="17"/>
      <c r="B2328" s="17"/>
      <c r="C2328" s="133"/>
      <c r="D2328" s="133"/>
      <c r="E2328" s="17"/>
      <c r="F2328" s="133"/>
      <c r="G2328" s="133"/>
      <c r="H2328" s="133"/>
      <c r="I2328" s="133"/>
      <c r="J2328" s="133"/>
      <c r="K2328" s="133"/>
      <c r="L2328" s="133"/>
      <c r="M2328" s="133"/>
      <c r="N2328" s="133"/>
      <c r="O2328" s="133"/>
      <c r="P2328" s="134"/>
      <c r="Q2328" s="146"/>
      <c r="R2328" s="17"/>
      <c r="S2328" s="17"/>
      <c r="T2328" s="75"/>
      <c r="U2328" s="75"/>
      <c r="V2328" s="75"/>
      <c r="W2328" s="75"/>
      <c r="X2328" s="75"/>
    </row>
    <row r="2329">
      <c r="A2329" s="17"/>
      <c r="B2329" s="17"/>
      <c r="C2329" s="133"/>
      <c r="D2329" s="133"/>
      <c r="E2329" s="17"/>
      <c r="F2329" s="133"/>
      <c r="G2329" s="133"/>
      <c r="H2329" s="133"/>
      <c r="I2329" s="133"/>
      <c r="J2329" s="133"/>
      <c r="K2329" s="133"/>
      <c r="L2329" s="133"/>
      <c r="M2329" s="133"/>
      <c r="N2329" s="133"/>
      <c r="O2329" s="133"/>
      <c r="P2329" s="134"/>
      <c r="Q2329" s="146"/>
      <c r="R2329" s="17"/>
      <c r="S2329" s="17"/>
      <c r="T2329" s="75"/>
      <c r="U2329" s="75"/>
      <c r="V2329" s="75"/>
      <c r="W2329" s="75"/>
      <c r="X2329" s="75"/>
    </row>
    <row r="2330">
      <c r="A2330" s="17"/>
      <c r="B2330" s="17"/>
      <c r="C2330" s="133"/>
      <c r="D2330" s="133"/>
      <c r="E2330" s="17"/>
      <c r="F2330" s="133"/>
      <c r="G2330" s="133"/>
      <c r="H2330" s="133"/>
      <c r="I2330" s="133"/>
      <c r="J2330" s="133"/>
      <c r="K2330" s="133"/>
      <c r="L2330" s="133"/>
      <c r="M2330" s="133"/>
      <c r="N2330" s="133"/>
      <c r="O2330" s="133"/>
      <c r="P2330" s="134"/>
      <c r="Q2330" s="146"/>
      <c r="R2330" s="17"/>
      <c r="S2330" s="17"/>
      <c r="T2330" s="75"/>
      <c r="U2330" s="75"/>
      <c r="V2330" s="75"/>
      <c r="W2330" s="75"/>
      <c r="X2330" s="75"/>
    </row>
    <row r="2331">
      <c r="A2331" s="17"/>
      <c r="B2331" s="17"/>
      <c r="C2331" s="133"/>
      <c r="D2331" s="133"/>
      <c r="E2331" s="17"/>
      <c r="F2331" s="133"/>
      <c r="G2331" s="133"/>
      <c r="H2331" s="133"/>
      <c r="I2331" s="133"/>
      <c r="J2331" s="133"/>
      <c r="K2331" s="133"/>
      <c r="L2331" s="133"/>
      <c r="M2331" s="133"/>
      <c r="N2331" s="133"/>
      <c r="O2331" s="133"/>
      <c r="P2331" s="134"/>
      <c r="Q2331" s="146"/>
      <c r="R2331" s="17"/>
      <c r="S2331" s="17"/>
      <c r="T2331" s="75"/>
      <c r="U2331" s="75"/>
      <c r="V2331" s="75"/>
      <c r="W2331" s="75"/>
      <c r="X2331" s="75"/>
    </row>
    <row r="2332">
      <c r="A2332" s="17"/>
      <c r="B2332" s="17"/>
      <c r="C2332" s="133"/>
      <c r="D2332" s="133"/>
      <c r="E2332" s="17"/>
      <c r="F2332" s="133"/>
      <c r="G2332" s="133"/>
      <c r="H2332" s="133"/>
      <c r="I2332" s="133"/>
      <c r="J2332" s="133"/>
      <c r="K2332" s="133"/>
      <c r="L2332" s="133"/>
      <c r="M2332" s="133"/>
      <c r="N2332" s="133"/>
      <c r="O2332" s="133"/>
      <c r="P2332" s="134"/>
      <c r="Q2332" s="146"/>
      <c r="R2332" s="17"/>
      <c r="S2332" s="17"/>
      <c r="T2332" s="75"/>
      <c r="U2332" s="75"/>
      <c r="V2332" s="75"/>
      <c r="W2332" s="75"/>
      <c r="X2332" s="75"/>
    </row>
    <row r="2333">
      <c r="A2333" s="17"/>
      <c r="B2333" s="17"/>
      <c r="C2333" s="133"/>
      <c r="D2333" s="133"/>
      <c r="E2333" s="17"/>
      <c r="F2333" s="133"/>
      <c r="G2333" s="133"/>
      <c r="H2333" s="133"/>
      <c r="I2333" s="133"/>
      <c r="J2333" s="133"/>
      <c r="K2333" s="133"/>
      <c r="L2333" s="133"/>
      <c r="M2333" s="133"/>
      <c r="N2333" s="133"/>
      <c r="O2333" s="133"/>
      <c r="P2333" s="134"/>
      <c r="Q2333" s="146"/>
      <c r="R2333" s="17"/>
      <c r="S2333" s="17"/>
      <c r="T2333" s="75"/>
      <c r="U2333" s="75"/>
      <c r="V2333" s="75"/>
      <c r="W2333" s="75"/>
      <c r="X2333" s="75"/>
    </row>
    <row r="2334">
      <c r="A2334" s="17"/>
      <c r="B2334" s="17"/>
      <c r="C2334" s="133"/>
      <c r="D2334" s="133"/>
      <c r="E2334" s="17"/>
      <c r="F2334" s="133"/>
      <c r="G2334" s="133"/>
      <c r="H2334" s="133"/>
      <c r="I2334" s="133"/>
      <c r="J2334" s="133"/>
      <c r="K2334" s="133"/>
      <c r="L2334" s="133"/>
      <c r="M2334" s="133"/>
      <c r="N2334" s="133"/>
      <c r="O2334" s="133"/>
      <c r="P2334" s="134"/>
      <c r="Q2334" s="146"/>
      <c r="R2334" s="17"/>
      <c r="S2334" s="17"/>
      <c r="T2334" s="75"/>
      <c r="U2334" s="75"/>
      <c r="V2334" s="75"/>
      <c r="W2334" s="75"/>
      <c r="X2334" s="75"/>
    </row>
    <row r="2335">
      <c r="A2335" s="17"/>
      <c r="B2335" s="17"/>
      <c r="C2335" s="133"/>
      <c r="D2335" s="133"/>
      <c r="E2335" s="17"/>
      <c r="F2335" s="133"/>
      <c r="G2335" s="133"/>
      <c r="H2335" s="133"/>
      <c r="I2335" s="133"/>
      <c r="J2335" s="133"/>
      <c r="K2335" s="133"/>
      <c r="L2335" s="133"/>
      <c r="M2335" s="133"/>
      <c r="N2335" s="133"/>
      <c r="O2335" s="133"/>
      <c r="P2335" s="134"/>
      <c r="Q2335" s="146"/>
      <c r="R2335" s="17"/>
      <c r="S2335" s="17"/>
      <c r="T2335" s="75"/>
      <c r="U2335" s="75"/>
      <c r="V2335" s="75"/>
      <c r="W2335" s="75"/>
      <c r="X2335" s="75"/>
    </row>
    <row r="2336">
      <c r="A2336" s="17"/>
      <c r="B2336" s="17"/>
      <c r="C2336" s="133"/>
      <c r="D2336" s="133"/>
      <c r="E2336" s="17"/>
      <c r="F2336" s="133"/>
      <c r="G2336" s="133"/>
      <c r="H2336" s="133"/>
      <c r="I2336" s="133"/>
      <c r="J2336" s="133"/>
      <c r="K2336" s="133"/>
      <c r="L2336" s="133"/>
      <c r="M2336" s="133"/>
      <c r="N2336" s="133"/>
      <c r="O2336" s="133"/>
      <c r="P2336" s="134"/>
      <c r="Q2336" s="146"/>
      <c r="R2336" s="17"/>
      <c r="S2336" s="17"/>
      <c r="T2336" s="75"/>
      <c r="U2336" s="75"/>
      <c r="V2336" s="75"/>
      <c r="W2336" s="75"/>
      <c r="X2336" s="75"/>
    </row>
    <row r="2337">
      <c r="A2337" s="17"/>
      <c r="B2337" s="17"/>
      <c r="C2337" s="133"/>
      <c r="D2337" s="133"/>
      <c r="E2337" s="17"/>
      <c r="F2337" s="133"/>
      <c r="G2337" s="133"/>
      <c r="H2337" s="133"/>
      <c r="I2337" s="133"/>
      <c r="J2337" s="133"/>
      <c r="K2337" s="133"/>
      <c r="L2337" s="133"/>
      <c r="M2337" s="133"/>
      <c r="N2337" s="133"/>
      <c r="O2337" s="133"/>
      <c r="P2337" s="134"/>
      <c r="Q2337" s="146"/>
      <c r="R2337" s="17"/>
      <c r="S2337" s="17"/>
      <c r="T2337" s="75"/>
      <c r="U2337" s="75"/>
      <c r="V2337" s="75"/>
      <c r="W2337" s="75"/>
      <c r="X2337" s="75"/>
    </row>
    <row r="2338">
      <c r="A2338" s="17"/>
      <c r="B2338" s="17"/>
      <c r="C2338" s="133"/>
      <c r="D2338" s="133"/>
      <c r="E2338" s="17"/>
      <c r="F2338" s="133"/>
      <c r="G2338" s="133"/>
      <c r="H2338" s="133"/>
      <c r="I2338" s="133"/>
      <c r="J2338" s="133"/>
      <c r="K2338" s="133"/>
      <c r="L2338" s="133"/>
      <c r="M2338" s="133"/>
      <c r="N2338" s="133"/>
      <c r="O2338" s="133"/>
      <c r="P2338" s="134"/>
      <c r="Q2338" s="146"/>
      <c r="R2338" s="17"/>
      <c r="S2338" s="17"/>
      <c r="T2338" s="75"/>
      <c r="U2338" s="75"/>
      <c r="V2338" s="75"/>
      <c r="W2338" s="75"/>
      <c r="X2338" s="75"/>
    </row>
    <row r="2339">
      <c r="A2339" s="17"/>
      <c r="B2339" s="17"/>
      <c r="C2339" s="133"/>
      <c r="D2339" s="133"/>
      <c r="E2339" s="17"/>
      <c r="F2339" s="133"/>
      <c r="G2339" s="133"/>
      <c r="H2339" s="133"/>
      <c r="I2339" s="133"/>
      <c r="J2339" s="133"/>
      <c r="K2339" s="133"/>
      <c r="L2339" s="133"/>
      <c r="M2339" s="133"/>
      <c r="N2339" s="133"/>
      <c r="O2339" s="133"/>
      <c r="P2339" s="134"/>
      <c r="Q2339" s="146"/>
      <c r="R2339" s="17"/>
      <c r="S2339" s="17"/>
      <c r="T2339" s="75"/>
      <c r="U2339" s="75"/>
      <c r="V2339" s="75"/>
      <c r="W2339" s="75"/>
      <c r="X2339" s="75"/>
    </row>
    <row r="2340">
      <c r="A2340" s="17"/>
      <c r="B2340" s="17"/>
      <c r="C2340" s="133"/>
      <c r="D2340" s="133"/>
      <c r="E2340" s="17"/>
      <c r="F2340" s="133"/>
      <c r="G2340" s="133"/>
      <c r="H2340" s="133"/>
      <c r="I2340" s="133"/>
      <c r="J2340" s="133"/>
      <c r="K2340" s="133"/>
      <c r="L2340" s="133"/>
      <c r="M2340" s="133"/>
      <c r="N2340" s="133"/>
      <c r="O2340" s="133"/>
      <c r="P2340" s="134"/>
      <c r="Q2340" s="146"/>
      <c r="R2340" s="17"/>
      <c r="S2340" s="17"/>
      <c r="T2340" s="75"/>
      <c r="U2340" s="75"/>
      <c r="V2340" s="75"/>
      <c r="W2340" s="75"/>
      <c r="X2340" s="75"/>
    </row>
    <row r="2341">
      <c r="A2341" s="17"/>
      <c r="B2341" s="17"/>
      <c r="C2341" s="133"/>
      <c r="D2341" s="133"/>
      <c r="E2341" s="17"/>
      <c r="F2341" s="133"/>
      <c r="G2341" s="133"/>
      <c r="H2341" s="133"/>
      <c r="I2341" s="133"/>
      <c r="J2341" s="133"/>
      <c r="K2341" s="133"/>
      <c r="L2341" s="133"/>
      <c r="M2341" s="133"/>
      <c r="N2341" s="133"/>
      <c r="O2341" s="133"/>
      <c r="P2341" s="134"/>
      <c r="Q2341" s="146"/>
      <c r="R2341" s="17"/>
      <c r="S2341" s="17"/>
      <c r="T2341" s="75"/>
      <c r="U2341" s="75"/>
      <c r="V2341" s="75"/>
      <c r="W2341" s="75"/>
      <c r="X2341" s="75"/>
    </row>
    <row r="2342">
      <c r="A2342" s="17"/>
      <c r="B2342" s="17"/>
      <c r="C2342" s="133"/>
      <c r="D2342" s="133"/>
      <c r="E2342" s="17"/>
      <c r="F2342" s="133"/>
      <c r="G2342" s="133"/>
      <c r="H2342" s="133"/>
      <c r="I2342" s="133"/>
      <c r="J2342" s="133"/>
      <c r="K2342" s="133"/>
      <c r="L2342" s="133"/>
      <c r="M2342" s="133"/>
      <c r="N2342" s="133"/>
      <c r="O2342" s="133"/>
      <c r="P2342" s="134"/>
      <c r="Q2342" s="146"/>
      <c r="R2342" s="17"/>
      <c r="S2342" s="17"/>
      <c r="T2342" s="75"/>
      <c r="U2342" s="75"/>
      <c r="V2342" s="75"/>
      <c r="W2342" s="75"/>
      <c r="X2342" s="75"/>
    </row>
    <row r="2343">
      <c r="A2343" s="17"/>
      <c r="B2343" s="17"/>
      <c r="C2343" s="133"/>
      <c r="D2343" s="133"/>
      <c r="E2343" s="17"/>
      <c r="F2343" s="133"/>
      <c r="G2343" s="133"/>
      <c r="H2343" s="133"/>
      <c r="I2343" s="133"/>
      <c r="J2343" s="133"/>
      <c r="K2343" s="133"/>
      <c r="L2343" s="133"/>
      <c r="M2343" s="133"/>
      <c r="N2343" s="133"/>
      <c r="O2343" s="133"/>
      <c r="P2343" s="134"/>
      <c r="Q2343" s="146"/>
      <c r="R2343" s="17"/>
      <c r="S2343" s="17"/>
      <c r="T2343" s="75"/>
      <c r="U2343" s="75"/>
      <c r="V2343" s="75"/>
      <c r="W2343" s="75"/>
      <c r="X2343" s="75"/>
    </row>
    <row r="2344">
      <c r="A2344" s="17"/>
      <c r="B2344" s="17"/>
      <c r="C2344" s="133"/>
      <c r="D2344" s="133"/>
      <c r="E2344" s="17"/>
      <c r="F2344" s="133"/>
      <c r="G2344" s="133"/>
      <c r="H2344" s="133"/>
      <c r="I2344" s="133"/>
      <c r="J2344" s="133"/>
      <c r="K2344" s="133"/>
      <c r="L2344" s="133"/>
      <c r="M2344" s="133"/>
      <c r="N2344" s="133"/>
      <c r="O2344" s="133"/>
      <c r="P2344" s="134"/>
      <c r="Q2344" s="146"/>
      <c r="R2344" s="17"/>
      <c r="S2344" s="17"/>
      <c r="T2344" s="75"/>
      <c r="U2344" s="75"/>
      <c r="V2344" s="75"/>
      <c r="W2344" s="75"/>
      <c r="X2344" s="75"/>
    </row>
    <row r="2345">
      <c r="A2345" s="17"/>
      <c r="B2345" s="17"/>
      <c r="C2345" s="133"/>
      <c r="D2345" s="133"/>
      <c r="E2345" s="17"/>
      <c r="F2345" s="133"/>
      <c r="G2345" s="133"/>
      <c r="H2345" s="133"/>
      <c r="I2345" s="133"/>
      <c r="J2345" s="133"/>
      <c r="K2345" s="133"/>
      <c r="L2345" s="133"/>
      <c r="M2345" s="133"/>
      <c r="N2345" s="133"/>
      <c r="O2345" s="133"/>
      <c r="P2345" s="134"/>
      <c r="Q2345" s="146"/>
      <c r="R2345" s="17"/>
      <c r="S2345" s="17"/>
      <c r="T2345" s="75"/>
      <c r="U2345" s="75"/>
      <c r="V2345" s="75"/>
      <c r="W2345" s="75"/>
      <c r="X2345" s="75"/>
    </row>
    <row r="2346">
      <c r="A2346" s="17"/>
      <c r="B2346" s="17"/>
      <c r="C2346" s="133"/>
      <c r="D2346" s="133"/>
      <c r="E2346" s="17"/>
      <c r="F2346" s="133"/>
      <c r="G2346" s="133"/>
      <c r="H2346" s="133"/>
      <c r="I2346" s="133"/>
      <c r="J2346" s="133"/>
      <c r="K2346" s="133"/>
      <c r="L2346" s="133"/>
      <c r="M2346" s="133"/>
      <c r="N2346" s="133"/>
      <c r="O2346" s="133"/>
      <c r="P2346" s="134"/>
      <c r="Q2346" s="146"/>
      <c r="R2346" s="17"/>
      <c r="S2346" s="17"/>
      <c r="T2346" s="75"/>
      <c r="U2346" s="75"/>
      <c r="V2346" s="75"/>
      <c r="W2346" s="75"/>
      <c r="X2346" s="75"/>
    </row>
    <row r="2347">
      <c r="A2347" s="17"/>
      <c r="B2347" s="17"/>
      <c r="C2347" s="133"/>
      <c r="D2347" s="133"/>
      <c r="E2347" s="17"/>
      <c r="F2347" s="133"/>
      <c r="G2347" s="133"/>
      <c r="H2347" s="133"/>
      <c r="I2347" s="133"/>
      <c r="J2347" s="133"/>
      <c r="K2347" s="133"/>
      <c r="L2347" s="133"/>
      <c r="M2347" s="133"/>
      <c r="N2347" s="133"/>
      <c r="O2347" s="133"/>
      <c r="P2347" s="134"/>
      <c r="Q2347" s="146"/>
      <c r="R2347" s="17"/>
      <c r="S2347" s="17"/>
      <c r="T2347" s="75"/>
      <c r="U2347" s="75"/>
      <c r="V2347" s="75"/>
      <c r="W2347" s="75"/>
      <c r="X2347" s="75"/>
    </row>
    <row r="2348">
      <c r="A2348" s="17"/>
      <c r="B2348" s="17"/>
      <c r="C2348" s="133"/>
      <c r="D2348" s="133"/>
      <c r="E2348" s="17"/>
      <c r="F2348" s="133"/>
      <c r="G2348" s="133"/>
      <c r="H2348" s="133"/>
      <c r="I2348" s="133"/>
      <c r="J2348" s="133"/>
      <c r="K2348" s="133"/>
      <c r="L2348" s="133"/>
      <c r="M2348" s="133"/>
      <c r="N2348" s="133"/>
      <c r="O2348" s="133"/>
      <c r="P2348" s="134"/>
      <c r="Q2348" s="146"/>
      <c r="R2348" s="17"/>
      <c r="S2348" s="17"/>
      <c r="T2348" s="75"/>
      <c r="U2348" s="75"/>
      <c r="V2348" s="75"/>
      <c r="W2348" s="75"/>
      <c r="X2348" s="75"/>
    </row>
    <row r="2349">
      <c r="A2349" s="17"/>
      <c r="B2349" s="17"/>
      <c r="C2349" s="133"/>
      <c r="D2349" s="133"/>
      <c r="E2349" s="17"/>
      <c r="F2349" s="133"/>
      <c r="G2349" s="133"/>
      <c r="H2349" s="133"/>
      <c r="I2349" s="133"/>
      <c r="J2349" s="133"/>
      <c r="K2349" s="133"/>
      <c r="L2349" s="133"/>
      <c r="M2349" s="133"/>
      <c r="N2349" s="133"/>
      <c r="O2349" s="133"/>
      <c r="P2349" s="134"/>
      <c r="Q2349" s="146"/>
      <c r="R2349" s="17"/>
      <c r="S2349" s="17"/>
      <c r="T2349" s="75"/>
      <c r="U2349" s="75"/>
      <c r="V2349" s="75"/>
      <c r="W2349" s="75"/>
      <c r="X2349" s="75"/>
    </row>
    <row r="2350">
      <c r="A2350" s="17"/>
      <c r="B2350" s="17"/>
      <c r="C2350" s="133"/>
      <c r="D2350" s="133"/>
      <c r="E2350" s="17"/>
      <c r="F2350" s="133"/>
      <c r="G2350" s="133"/>
      <c r="H2350" s="133"/>
      <c r="I2350" s="133"/>
      <c r="J2350" s="133"/>
      <c r="K2350" s="133"/>
      <c r="L2350" s="133"/>
      <c r="M2350" s="133"/>
      <c r="N2350" s="133"/>
      <c r="O2350" s="133"/>
      <c r="P2350" s="134"/>
      <c r="Q2350" s="146"/>
      <c r="R2350" s="17"/>
      <c r="S2350" s="17"/>
      <c r="T2350" s="75"/>
      <c r="U2350" s="75"/>
      <c r="V2350" s="75"/>
      <c r="W2350" s="75"/>
      <c r="X2350" s="75"/>
    </row>
    <row r="2351">
      <c r="A2351" s="17"/>
      <c r="B2351" s="17"/>
      <c r="C2351" s="133"/>
      <c r="D2351" s="133"/>
      <c r="E2351" s="17"/>
      <c r="F2351" s="133"/>
      <c r="G2351" s="133"/>
      <c r="H2351" s="133"/>
      <c r="I2351" s="133"/>
      <c r="J2351" s="133"/>
      <c r="K2351" s="133"/>
      <c r="L2351" s="133"/>
      <c r="M2351" s="133"/>
      <c r="N2351" s="133"/>
      <c r="O2351" s="133"/>
      <c r="P2351" s="134"/>
      <c r="Q2351" s="146"/>
      <c r="R2351" s="17"/>
      <c r="S2351" s="17"/>
      <c r="T2351" s="75"/>
      <c r="U2351" s="75"/>
      <c r="V2351" s="75"/>
      <c r="W2351" s="75"/>
      <c r="X2351" s="75"/>
    </row>
    <row r="2352">
      <c r="A2352" s="17"/>
      <c r="B2352" s="17"/>
      <c r="C2352" s="133"/>
      <c r="D2352" s="133"/>
      <c r="E2352" s="17"/>
      <c r="F2352" s="133"/>
      <c r="G2352" s="133"/>
      <c r="H2352" s="133"/>
      <c r="I2352" s="133"/>
      <c r="J2352" s="133"/>
      <c r="K2352" s="133"/>
      <c r="L2352" s="133"/>
      <c r="M2352" s="133"/>
      <c r="N2352" s="133"/>
      <c r="O2352" s="133"/>
      <c r="P2352" s="134"/>
      <c r="Q2352" s="146"/>
      <c r="R2352" s="17"/>
      <c r="S2352" s="17"/>
      <c r="T2352" s="75"/>
      <c r="U2352" s="75"/>
      <c r="V2352" s="75"/>
      <c r="W2352" s="75"/>
      <c r="X2352" s="75"/>
    </row>
    <row r="2353">
      <c r="A2353" s="17"/>
      <c r="B2353" s="17"/>
      <c r="C2353" s="133"/>
      <c r="D2353" s="133"/>
      <c r="E2353" s="17"/>
      <c r="F2353" s="133"/>
      <c r="G2353" s="133"/>
      <c r="H2353" s="133"/>
      <c r="I2353" s="133"/>
      <c r="J2353" s="133"/>
      <c r="K2353" s="133"/>
      <c r="L2353" s="133"/>
      <c r="M2353" s="133"/>
      <c r="N2353" s="133"/>
      <c r="O2353" s="133"/>
      <c r="P2353" s="134"/>
      <c r="Q2353" s="146"/>
      <c r="R2353" s="17"/>
      <c r="S2353" s="17"/>
      <c r="T2353" s="75"/>
      <c r="U2353" s="75"/>
      <c r="V2353" s="75"/>
      <c r="W2353" s="75"/>
      <c r="X2353" s="75"/>
    </row>
    <row r="2354">
      <c r="A2354" s="17"/>
      <c r="B2354" s="17"/>
      <c r="C2354" s="133"/>
      <c r="D2354" s="133"/>
      <c r="E2354" s="17"/>
      <c r="F2354" s="133"/>
      <c r="G2354" s="133"/>
      <c r="H2354" s="133"/>
      <c r="I2354" s="133"/>
      <c r="J2354" s="133"/>
      <c r="K2354" s="133"/>
      <c r="L2354" s="133"/>
      <c r="M2354" s="133"/>
      <c r="N2354" s="133"/>
      <c r="O2354" s="133"/>
      <c r="P2354" s="134"/>
      <c r="Q2354" s="146"/>
      <c r="R2354" s="17"/>
      <c r="S2354" s="17"/>
      <c r="T2354" s="75"/>
      <c r="U2354" s="75"/>
      <c r="V2354" s="75"/>
      <c r="W2354" s="75"/>
      <c r="X2354" s="75"/>
    </row>
    <row r="2355">
      <c r="A2355" s="17"/>
      <c r="B2355" s="17"/>
      <c r="C2355" s="133"/>
      <c r="D2355" s="133"/>
      <c r="E2355" s="17"/>
      <c r="F2355" s="133"/>
      <c r="G2355" s="133"/>
      <c r="H2355" s="133"/>
      <c r="I2355" s="133"/>
      <c r="J2355" s="133"/>
      <c r="K2355" s="133"/>
      <c r="L2355" s="133"/>
      <c r="M2355" s="133"/>
      <c r="N2355" s="133"/>
      <c r="O2355" s="133"/>
      <c r="P2355" s="134"/>
      <c r="Q2355" s="146"/>
      <c r="R2355" s="17"/>
      <c r="S2355" s="17"/>
      <c r="T2355" s="75"/>
      <c r="U2355" s="75"/>
      <c r="V2355" s="75"/>
      <c r="W2355" s="75"/>
      <c r="X2355" s="75"/>
    </row>
    <row r="2356">
      <c r="A2356" s="17"/>
      <c r="B2356" s="17"/>
      <c r="C2356" s="133"/>
      <c r="D2356" s="133"/>
      <c r="E2356" s="17"/>
      <c r="F2356" s="133"/>
      <c r="G2356" s="133"/>
      <c r="H2356" s="133"/>
      <c r="I2356" s="133"/>
      <c r="J2356" s="133"/>
      <c r="K2356" s="133"/>
      <c r="L2356" s="133"/>
      <c r="M2356" s="133"/>
      <c r="N2356" s="133"/>
      <c r="O2356" s="133"/>
      <c r="P2356" s="134"/>
      <c r="Q2356" s="146"/>
      <c r="R2356" s="17"/>
      <c r="S2356" s="17"/>
      <c r="T2356" s="75"/>
      <c r="U2356" s="75"/>
      <c r="V2356" s="75"/>
      <c r="W2356" s="75"/>
      <c r="X2356" s="75"/>
    </row>
    <row r="2357">
      <c r="A2357" s="17"/>
      <c r="B2357" s="17"/>
      <c r="C2357" s="133"/>
      <c r="D2357" s="133"/>
      <c r="E2357" s="17"/>
      <c r="F2357" s="133"/>
      <c r="G2357" s="133"/>
      <c r="H2357" s="133"/>
      <c r="I2357" s="133"/>
      <c r="J2357" s="133"/>
      <c r="K2357" s="133"/>
      <c r="L2357" s="133"/>
      <c r="M2357" s="133"/>
      <c r="N2357" s="133"/>
      <c r="O2357" s="133"/>
      <c r="P2357" s="134"/>
      <c r="Q2357" s="146"/>
      <c r="R2357" s="17"/>
      <c r="S2357" s="17"/>
      <c r="T2357" s="75"/>
      <c r="U2357" s="75"/>
      <c r="V2357" s="75"/>
      <c r="W2357" s="75"/>
      <c r="X2357" s="75"/>
    </row>
    <row r="2358">
      <c r="A2358" s="17"/>
      <c r="B2358" s="17"/>
      <c r="C2358" s="133"/>
      <c r="D2358" s="133"/>
      <c r="E2358" s="17"/>
      <c r="F2358" s="133"/>
      <c r="G2358" s="133"/>
      <c r="H2358" s="133"/>
      <c r="I2358" s="133"/>
      <c r="J2358" s="133"/>
      <c r="K2358" s="133"/>
      <c r="L2358" s="133"/>
      <c r="M2358" s="133"/>
      <c r="N2358" s="133"/>
      <c r="O2358" s="133"/>
      <c r="P2358" s="134"/>
      <c r="Q2358" s="146"/>
      <c r="R2358" s="17"/>
      <c r="S2358" s="17"/>
      <c r="T2358" s="75"/>
      <c r="U2358" s="75"/>
      <c r="V2358" s="75"/>
      <c r="W2358" s="75"/>
      <c r="X2358" s="75"/>
    </row>
    <row r="2359">
      <c r="A2359" s="17"/>
      <c r="B2359" s="17"/>
      <c r="C2359" s="133"/>
      <c r="D2359" s="133"/>
      <c r="E2359" s="17"/>
      <c r="F2359" s="133"/>
      <c r="G2359" s="133"/>
      <c r="H2359" s="133"/>
      <c r="I2359" s="133"/>
      <c r="J2359" s="133"/>
      <c r="K2359" s="133"/>
      <c r="L2359" s="133"/>
      <c r="M2359" s="133"/>
      <c r="N2359" s="133"/>
      <c r="O2359" s="133"/>
      <c r="P2359" s="134"/>
      <c r="Q2359" s="146"/>
      <c r="R2359" s="17"/>
      <c r="S2359" s="17"/>
      <c r="T2359" s="75"/>
      <c r="U2359" s="75"/>
      <c r="V2359" s="75"/>
      <c r="W2359" s="75"/>
      <c r="X2359" s="75"/>
    </row>
    <row r="2360">
      <c r="A2360" s="17"/>
      <c r="B2360" s="17"/>
      <c r="C2360" s="133"/>
      <c r="D2360" s="133"/>
      <c r="E2360" s="17"/>
      <c r="F2360" s="133"/>
      <c r="G2360" s="133"/>
      <c r="H2360" s="133"/>
      <c r="I2360" s="133"/>
      <c r="J2360" s="133"/>
      <c r="K2360" s="133"/>
      <c r="L2360" s="133"/>
      <c r="M2360" s="133"/>
      <c r="N2360" s="133"/>
      <c r="O2360" s="133"/>
      <c r="P2360" s="134"/>
      <c r="Q2360" s="146"/>
      <c r="R2360" s="17"/>
      <c r="S2360" s="17"/>
      <c r="T2360" s="75"/>
      <c r="U2360" s="75"/>
      <c r="V2360" s="75"/>
      <c r="W2360" s="75"/>
      <c r="X2360" s="75"/>
    </row>
    <row r="2361">
      <c r="A2361" s="17"/>
      <c r="B2361" s="17"/>
      <c r="C2361" s="133"/>
      <c r="D2361" s="133"/>
      <c r="E2361" s="17"/>
      <c r="F2361" s="133"/>
      <c r="G2361" s="133"/>
      <c r="H2361" s="133"/>
      <c r="I2361" s="133"/>
      <c r="J2361" s="133"/>
      <c r="K2361" s="133"/>
      <c r="L2361" s="133"/>
      <c r="M2361" s="133"/>
      <c r="N2361" s="133"/>
      <c r="O2361" s="133"/>
      <c r="P2361" s="134"/>
      <c r="Q2361" s="146"/>
      <c r="R2361" s="17"/>
      <c r="S2361" s="17"/>
      <c r="T2361" s="75"/>
      <c r="U2361" s="75"/>
      <c r="V2361" s="75"/>
      <c r="W2361" s="75"/>
      <c r="X2361" s="75"/>
    </row>
    <row r="2362">
      <c r="A2362" s="17"/>
      <c r="B2362" s="17"/>
      <c r="C2362" s="133"/>
      <c r="D2362" s="133"/>
      <c r="E2362" s="17"/>
      <c r="F2362" s="133"/>
      <c r="G2362" s="133"/>
      <c r="H2362" s="133"/>
      <c r="I2362" s="133"/>
      <c r="J2362" s="133"/>
      <c r="K2362" s="133"/>
      <c r="L2362" s="133"/>
      <c r="M2362" s="133"/>
      <c r="N2362" s="133"/>
      <c r="O2362" s="133"/>
      <c r="P2362" s="134"/>
      <c r="Q2362" s="146"/>
      <c r="R2362" s="17"/>
      <c r="S2362" s="17"/>
      <c r="T2362" s="75"/>
      <c r="U2362" s="75"/>
      <c r="V2362" s="75"/>
      <c r="W2362" s="75"/>
      <c r="X2362" s="75"/>
    </row>
    <row r="2363">
      <c r="A2363" s="17"/>
      <c r="B2363" s="17"/>
      <c r="C2363" s="133"/>
      <c r="D2363" s="133"/>
      <c r="E2363" s="17"/>
      <c r="F2363" s="133"/>
      <c r="G2363" s="133"/>
      <c r="H2363" s="133"/>
      <c r="I2363" s="133"/>
      <c r="J2363" s="133"/>
      <c r="K2363" s="133"/>
      <c r="L2363" s="133"/>
      <c r="M2363" s="133"/>
      <c r="N2363" s="133"/>
      <c r="O2363" s="133"/>
      <c r="P2363" s="134"/>
      <c r="Q2363" s="146"/>
      <c r="R2363" s="17"/>
      <c r="S2363" s="17"/>
      <c r="T2363" s="75"/>
      <c r="U2363" s="75"/>
      <c r="V2363" s="75"/>
      <c r="W2363" s="75"/>
      <c r="X2363" s="75"/>
    </row>
    <row r="2364">
      <c r="A2364" s="17"/>
      <c r="B2364" s="17"/>
      <c r="C2364" s="133"/>
      <c r="D2364" s="133"/>
      <c r="E2364" s="17"/>
      <c r="F2364" s="133"/>
      <c r="G2364" s="133"/>
      <c r="H2364" s="133"/>
      <c r="I2364" s="133"/>
      <c r="J2364" s="133"/>
      <c r="K2364" s="133"/>
      <c r="L2364" s="133"/>
      <c r="M2364" s="133"/>
      <c r="N2364" s="133"/>
      <c r="O2364" s="133"/>
      <c r="P2364" s="134"/>
      <c r="Q2364" s="146"/>
      <c r="R2364" s="17"/>
      <c r="S2364" s="17"/>
      <c r="T2364" s="75"/>
      <c r="U2364" s="75"/>
      <c r="V2364" s="75"/>
      <c r="W2364" s="75"/>
      <c r="X2364" s="75"/>
    </row>
    <row r="2365">
      <c r="A2365" s="17"/>
      <c r="B2365" s="17"/>
      <c r="C2365" s="133"/>
      <c r="D2365" s="133"/>
      <c r="E2365" s="17"/>
      <c r="F2365" s="133"/>
      <c r="G2365" s="133"/>
      <c r="H2365" s="133"/>
      <c r="I2365" s="133"/>
      <c r="J2365" s="133"/>
      <c r="K2365" s="133"/>
      <c r="L2365" s="133"/>
      <c r="M2365" s="133"/>
      <c r="N2365" s="133"/>
      <c r="O2365" s="133"/>
      <c r="P2365" s="134"/>
      <c r="Q2365" s="146"/>
      <c r="R2365" s="17"/>
      <c r="S2365" s="17"/>
      <c r="T2365" s="75"/>
      <c r="U2365" s="75"/>
      <c r="V2365" s="75"/>
      <c r="W2365" s="75"/>
      <c r="X2365" s="75"/>
    </row>
    <row r="2366">
      <c r="A2366" s="17"/>
      <c r="B2366" s="17"/>
      <c r="C2366" s="133"/>
      <c r="D2366" s="133"/>
      <c r="E2366" s="17"/>
      <c r="F2366" s="133"/>
      <c r="G2366" s="133"/>
      <c r="H2366" s="133"/>
      <c r="I2366" s="133"/>
      <c r="J2366" s="133"/>
      <c r="K2366" s="133"/>
      <c r="L2366" s="133"/>
      <c r="M2366" s="133"/>
      <c r="N2366" s="133"/>
      <c r="O2366" s="133"/>
      <c r="P2366" s="134"/>
      <c r="Q2366" s="146"/>
      <c r="R2366" s="17"/>
      <c r="S2366" s="17"/>
      <c r="T2366" s="75"/>
      <c r="U2366" s="75"/>
      <c r="V2366" s="75"/>
      <c r="W2366" s="75"/>
      <c r="X2366" s="75"/>
    </row>
    <row r="2367">
      <c r="A2367" s="17"/>
      <c r="B2367" s="17"/>
      <c r="C2367" s="133"/>
      <c r="D2367" s="133"/>
      <c r="E2367" s="17"/>
      <c r="F2367" s="133"/>
      <c r="G2367" s="133"/>
      <c r="H2367" s="133"/>
      <c r="I2367" s="133"/>
      <c r="J2367" s="133"/>
      <c r="K2367" s="133"/>
      <c r="L2367" s="133"/>
      <c r="M2367" s="133"/>
      <c r="N2367" s="133"/>
      <c r="O2367" s="133"/>
      <c r="P2367" s="134"/>
      <c r="Q2367" s="146"/>
      <c r="R2367" s="17"/>
      <c r="S2367" s="17"/>
      <c r="T2367" s="75"/>
      <c r="U2367" s="75"/>
      <c r="V2367" s="75"/>
      <c r="W2367" s="75"/>
      <c r="X2367" s="75"/>
    </row>
    <row r="2368">
      <c r="A2368" s="17"/>
      <c r="B2368" s="17"/>
      <c r="C2368" s="133"/>
      <c r="D2368" s="133"/>
      <c r="E2368" s="17"/>
      <c r="F2368" s="133"/>
      <c r="G2368" s="133"/>
      <c r="H2368" s="133"/>
      <c r="I2368" s="133"/>
      <c r="J2368" s="133"/>
      <c r="K2368" s="133"/>
      <c r="L2368" s="133"/>
      <c r="M2368" s="133"/>
      <c r="N2368" s="133"/>
      <c r="O2368" s="133"/>
      <c r="P2368" s="134"/>
      <c r="Q2368" s="146"/>
      <c r="R2368" s="17"/>
      <c r="S2368" s="17"/>
      <c r="T2368" s="75"/>
      <c r="U2368" s="75"/>
      <c r="V2368" s="75"/>
      <c r="W2368" s="75"/>
      <c r="X2368" s="75"/>
    </row>
    <row r="2369">
      <c r="A2369" s="17"/>
      <c r="B2369" s="17"/>
      <c r="C2369" s="133"/>
      <c r="D2369" s="133"/>
      <c r="E2369" s="17"/>
      <c r="F2369" s="133"/>
      <c r="G2369" s="133"/>
      <c r="H2369" s="133"/>
      <c r="I2369" s="133"/>
      <c r="J2369" s="133"/>
      <c r="K2369" s="133"/>
      <c r="L2369" s="133"/>
      <c r="M2369" s="133"/>
      <c r="N2369" s="133"/>
      <c r="O2369" s="133"/>
      <c r="P2369" s="134"/>
      <c r="Q2369" s="146"/>
      <c r="R2369" s="17"/>
      <c r="S2369" s="17"/>
      <c r="T2369" s="75"/>
      <c r="U2369" s="75"/>
      <c r="V2369" s="75"/>
      <c r="W2369" s="75"/>
      <c r="X2369" s="75"/>
    </row>
    <row r="2370">
      <c r="A2370" s="17"/>
      <c r="B2370" s="17"/>
      <c r="C2370" s="133"/>
      <c r="D2370" s="133"/>
      <c r="E2370" s="17"/>
      <c r="F2370" s="133"/>
      <c r="G2370" s="133"/>
      <c r="H2370" s="133"/>
      <c r="I2370" s="133"/>
      <c r="J2370" s="133"/>
      <c r="K2370" s="133"/>
      <c r="L2370" s="133"/>
      <c r="M2370" s="133"/>
      <c r="N2370" s="133"/>
      <c r="O2370" s="133"/>
      <c r="P2370" s="134"/>
      <c r="Q2370" s="146"/>
      <c r="R2370" s="17"/>
      <c r="S2370" s="17"/>
      <c r="T2370" s="75"/>
      <c r="U2370" s="75"/>
      <c r="V2370" s="75"/>
      <c r="W2370" s="75"/>
      <c r="X2370" s="75"/>
    </row>
    <row r="2371">
      <c r="A2371" s="17"/>
      <c r="B2371" s="17"/>
      <c r="C2371" s="133"/>
      <c r="D2371" s="133"/>
      <c r="E2371" s="17"/>
      <c r="F2371" s="133"/>
      <c r="G2371" s="133"/>
      <c r="H2371" s="133"/>
      <c r="I2371" s="133"/>
      <c r="J2371" s="133"/>
      <c r="K2371" s="133"/>
      <c r="L2371" s="133"/>
      <c r="M2371" s="133"/>
      <c r="N2371" s="133"/>
      <c r="O2371" s="133"/>
      <c r="P2371" s="134"/>
      <c r="Q2371" s="146"/>
      <c r="R2371" s="17"/>
      <c r="S2371" s="17"/>
      <c r="T2371" s="75"/>
      <c r="U2371" s="75"/>
      <c r="V2371" s="75"/>
      <c r="W2371" s="75"/>
      <c r="X2371" s="75"/>
    </row>
    <row r="2372">
      <c r="A2372" s="17"/>
      <c r="B2372" s="17"/>
      <c r="C2372" s="133"/>
      <c r="D2372" s="133"/>
      <c r="E2372" s="17"/>
      <c r="F2372" s="133"/>
      <c r="G2372" s="133"/>
      <c r="H2372" s="133"/>
      <c r="I2372" s="133"/>
      <c r="J2372" s="133"/>
      <c r="K2372" s="133"/>
      <c r="L2372" s="133"/>
      <c r="M2372" s="133"/>
      <c r="N2372" s="133"/>
      <c r="O2372" s="133"/>
      <c r="P2372" s="134"/>
      <c r="Q2372" s="146"/>
      <c r="R2372" s="17"/>
      <c r="S2372" s="17"/>
      <c r="T2372" s="75"/>
      <c r="U2372" s="75"/>
      <c r="V2372" s="75"/>
      <c r="W2372" s="75"/>
      <c r="X2372" s="75"/>
    </row>
    <row r="2373">
      <c r="A2373" s="17"/>
      <c r="B2373" s="17"/>
      <c r="C2373" s="133"/>
      <c r="D2373" s="133"/>
      <c r="E2373" s="17"/>
      <c r="F2373" s="133"/>
      <c r="G2373" s="133"/>
      <c r="H2373" s="133"/>
      <c r="I2373" s="133"/>
      <c r="J2373" s="133"/>
      <c r="K2373" s="133"/>
      <c r="L2373" s="133"/>
      <c r="M2373" s="133"/>
      <c r="N2373" s="133"/>
      <c r="O2373" s="133"/>
      <c r="P2373" s="134"/>
      <c r="Q2373" s="146"/>
      <c r="R2373" s="17"/>
      <c r="S2373" s="17"/>
      <c r="T2373" s="75"/>
      <c r="U2373" s="75"/>
      <c r="V2373" s="75"/>
      <c r="W2373" s="75"/>
      <c r="X2373" s="75"/>
    </row>
    <row r="2374">
      <c r="A2374" s="17"/>
      <c r="B2374" s="17"/>
      <c r="C2374" s="133"/>
      <c r="D2374" s="133"/>
      <c r="E2374" s="17"/>
      <c r="F2374" s="133"/>
      <c r="G2374" s="133"/>
      <c r="H2374" s="133"/>
      <c r="I2374" s="133"/>
      <c r="J2374" s="133"/>
      <c r="K2374" s="133"/>
      <c r="L2374" s="133"/>
      <c r="M2374" s="133"/>
      <c r="N2374" s="133"/>
      <c r="O2374" s="133"/>
      <c r="P2374" s="134"/>
      <c r="Q2374" s="146"/>
      <c r="R2374" s="17"/>
      <c r="S2374" s="17"/>
      <c r="T2374" s="75"/>
      <c r="U2374" s="75"/>
      <c r="V2374" s="75"/>
      <c r="W2374" s="75"/>
      <c r="X2374" s="75"/>
    </row>
    <row r="2375">
      <c r="A2375" s="17"/>
      <c r="B2375" s="17"/>
      <c r="C2375" s="133"/>
      <c r="D2375" s="133"/>
      <c r="E2375" s="17"/>
      <c r="F2375" s="133"/>
      <c r="G2375" s="133"/>
      <c r="H2375" s="133"/>
      <c r="I2375" s="133"/>
      <c r="J2375" s="133"/>
      <c r="K2375" s="133"/>
      <c r="L2375" s="133"/>
      <c r="M2375" s="133"/>
      <c r="N2375" s="133"/>
      <c r="O2375" s="133"/>
      <c r="P2375" s="134"/>
      <c r="Q2375" s="146"/>
      <c r="R2375" s="17"/>
      <c r="S2375" s="17"/>
      <c r="T2375" s="75"/>
      <c r="U2375" s="75"/>
      <c r="V2375" s="75"/>
      <c r="W2375" s="75"/>
      <c r="X2375" s="75"/>
    </row>
    <row r="2376">
      <c r="A2376" s="17"/>
      <c r="B2376" s="17"/>
      <c r="C2376" s="133"/>
      <c r="D2376" s="133"/>
      <c r="E2376" s="17"/>
      <c r="F2376" s="133"/>
      <c r="G2376" s="133"/>
      <c r="H2376" s="133"/>
      <c r="I2376" s="133"/>
      <c r="J2376" s="133"/>
      <c r="K2376" s="133"/>
      <c r="L2376" s="133"/>
      <c r="M2376" s="133"/>
      <c r="N2376" s="133"/>
      <c r="O2376" s="133"/>
      <c r="P2376" s="134"/>
      <c r="Q2376" s="146"/>
      <c r="R2376" s="17"/>
      <c r="S2376" s="17"/>
      <c r="T2376" s="75"/>
      <c r="U2376" s="75"/>
      <c r="V2376" s="75"/>
      <c r="W2376" s="75"/>
      <c r="X2376" s="75"/>
    </row>
    <row r="2377">
      <c r="A2377" s="17"/>
      <c r="B2377" s="17"/>
      <c r="C2377" s="133"/>
      <c r="D2377" s="133"/>
      <c r="E2377" s="17"/>
      <c r="F2377" s="133"/>
      <c r="G2377" s="133"/>
      <c r="H2377" s="133"/>
      <c r="I2377" s="133"/>
      <c r="J2377" s="133"/>
      <c r="K2377" s="133"/>
      <c r="L2377" s="133"/>
      <c r="M2377" s="133"/>
      <c r="N2377" s="133"/>
      <c r="O2377" s="133"/>
      <c r="P2377" s="134"/>
      <c r="Q2377" s="146"/>
      <c r="R2377" s="17"/>
      <c r="S2377" s="17"/>
      <c r="T2377" s="75"/>
      <c r="U2377" s="75"/>
      <c r="V2377" s="75"/>
      <c r="W2377" s="75"/>
      <c r="X2377" s="75"/>
    </row>
    <row r="2378">
      <c r="A2378" s="17"/>
      <c r="B2378" s="17"/>
      <c r="C2378" s="133"/>
      <c r="D2378" s="133"/>
      <c r="E2378" s="17"/>
      <c r="F2378" s="133"/>
      <c r="G2378" s="133"/>
      <c r="H2378" s="133"/>
      <c r="I2378" s="133"/>
      <c r="J2378" s="133"/>
      <c r="K2378" s="133"/>
      <c r="L2378" s="133"/>
      <c r="M2378" s="133"/>
      <c r="N2378" s="133"/>
      <c r="O2378" s="133"/>
      <c r="P2378" s="134"/>
      <c r="Q2378" s="146"/>
      <c r="R2378" s="17"/>
      <c r="S2378" s="17"/>
      <c r="T2378" s="75"/>
      <c r="U2378" s="75"/>
      <c r="V2378" s="75"/>
      <c r="W2378" s="75"/>
      <c r="X2378" s="75"/>
    </row>
    <row r="2379">
      <c r="A2379" s="17"/>
      <c r="B2379" s="17"/>
      <c r="C2379" s="133"/>
      <c r="D2379" s="133"/>
      <c r="E2379" s="17"/>
      <c r="F2379" s="133"/>
      <c r="G2379" s="133"/>
      <c r="H2379" s="133"/>
      <c r="I2379" s="133"/>
      <c r="J2379" s="133"/>
      <c r="K2379" s="133"/>
      <c r="L2379" s="133"/>
      <c r="M2379" s="133"/>
      <c r="N2379" s="133"/>
      <c r="O2379" s="133"/>
      <c r="P2379" s="134"/>
      <c r="Q2379" s="146"/>
      <c r="R2379" s="17"/>
      <c r="S2379" s="17"/>
      <c r="T2379" s="75"/>
      <c r="U2379" s="75"/>
      <c r="V2379" s="75"/>
      <c r="W2379" s="75"/>
      <c r="X2379" s="75"/>
    </row>
    <row r="2380">
      <c r="A2380" s="17"/>
      <c r="B2380" s="17"/>
      <c r="C2380" s="133"/>
      <c r="D2380" s="133"/>
      <c r="E2380" s="17"/>
      <c r="F2380" s="133"/>
      <c r="G2380" s="133"/>
      <c r="H2380" s="133"/>
      <c r="I2380" s="133"/>
      <c r="J2380" s="133"/>
      <c r="K2380" s="133"/>
      <c r="L2380" s="133"/>
      <c r="M2380" s="133"/>
      <c r="N2380" s="133"/>
      <c r="O2380" s="133"/>
      <c r="P2380" s="134"/>
      <c r="Q2380" s="146"/>
      <c r="R2380" s="17"/>
      <c r="S2380" s="17"/>
      <c r="T2380" s="75"/>
      <c r="U2380" s="75"/>
      <c r="V2380" s="75"/>
      <c r="W2380" s="75"/>
      <c r="X2380" s="75"/>
    </row>
    <row r="2381">
      <c r="A2381" s="17"/>
      <c r="B2381" s="17"/>
      <c r="C2381" s="133"/>
      <c r="D2381" s="133"/>
      <c r="E2381" s="17"/>
      <c r="F2381" s="133"/>
      <c r="G2381" s="133"/>
      <c r="H2381" s="133"/>
      <c r="I2381" s="133"/>
      <c r="J2381" s="133"/>
      <c r="K2381" s="133"/>
      <c r="L2381" s="133"/>
      <c r="M2381" s="133"/>
      <c r="N2381" s="133"/>
      <c r="O2381" s="133"/>
      <c r="P2381" s="134"/>
      <c r="Q2381" s="146"/>
      <c r="R2381" s="17"/>
      <c r="S2381" s="17"/>
      <c r="T2381" s="75"/>
      <c r="U2381" s="75"/>
      <c r="V2381" s="75"/>
      <c r="W2381" s="75"/>
      <c r="X2381" s="75"/>
    </row>
    <row r="2382">
      <c r="A2382" s="17"/>
      <c r="B2382" s="17"/>
      <c r="C2382" s="133"/>
      <c r="D2382" s="133"/>
      <c r="E2382" s="17"/>
      <c r="F2382" s="133"/>
      <c r="G2382" s="133"/>
      <c r="H2382" s="133"/>
      <c r="I2382" s="133"/>
      <c r="J2382" s="133"/>
      <c r="K2382" s="133"/>
      <c r="L2382" s="133"/>
      <c r="M2382" s="133"/>
      <c r="N2382" s="133"/>
      <c r="O2382" s="133"/>
      <c r="P2382" s="134"/>
      <c r="Q2382" s="146"/>
      <c r="R2382" s="17"/>
      <c r="S2382" s="17"/>
      <c r="T2382" s="75"/>
      <c r="U2382" s="75"/>
      <c r="V2382" s="75"/>
      <c r="W2382" s="75"/>
      <c r="X2382" s="75"/>
    </row>
    <row r="2383">
      <c r="A2383" s="17"/>
      <c r="B2383" s="17"/>
      <c r="C2383" s="133"/>
      <c r="D2383" s="133"/>
      <c r="E2383" s="17"/>
      <c r="F2383" s="133"/>
      <c r="G2383" s="133"/>
      <c r="H2383" s="133"/>
      <c r="I2383" s="133"/>
      <c r="J2383" s="133"/>
      <c r="K2383" s="133"/>
      <c r="L2383" s="133"/>
      <c r="M2383" s="133"/>
      <c r="N2383" s="133"/>
      <c r="O2383" s="133"/>
      <c r="P2383" s="134"/>
      <c r="Q2383" s="146"/>
      <c r="R2383" s="17"/>
      <c r="S2383" s="17"/>
      <c r="T2383" s="75"/>
      <c r="U2383" s="75"/>
      <c r="V2383" s="75"/>
      <c r="W2383" s="75"/>
      <c r="X2383" s="75"/>
    </row>
    <row r="2384">
      <c r="A2384" s="17"/>
      <c r="B2384" s="17"/>
      <c r="C2384" s="133"/>
      <c r="D2384" s="133"/>
      <c r="E2384" s="17"/>
      <c r="F2384" s="133"/>
      <c r="G2384" s="133"/>
      <c r="H2384" s="133"/>
      <c r="I2384" s="133"/>
      <c r="J2384" s="133"/>
      <c r="K2384" s="133"/>
      <c r="L2384" s="133"/>
      <c r="M2384" s="133"/>
      <c r="N2384" s="133"/>
      <c r="O2384" s="133"/>
      <c r="P2384" s="134"/>
      <c r="Q2384" s="146"/>
      <c r="R2384" s="17"/>
      <c r="S2384" s="17"/>
      <c r="T2384" s="75"/>
      <c r="U2384" s="75"/>
      <c r="V2384" s="75"/>
      <c r="W2384" s="75"/>
      <c r="X2384" s="75"/>
    </row>
    <row r="2385">
      <c r="A2385" s="17"/>
      <c r="B2385" s="17"/>
      <c r="C2385" s="133"/>
      <c r="D2385" s="133"/>
      <c r="E2385" s="17"/>
      <c r="F2385" s="133"/>
      <c r="G2385" s="133"/>
      <c r="H2385" s="133"/>
      <c r="I2385" s="133"/>
      <c r="J2385" s="133"/>
      <c r="K2385" s="133"/>
      <c r="L2385" s="133"/>
      <c r="M2385" s="133"/>
      <c r="N2385" s="133"/>
      <c r="O2385" s="133"/>
      <c r="P2385" s="134"/>
      <c r="Q2385" s="146"/>
      <c r="R2385" s="17"/>
      <c r="S2385" s="17"/>
      <c r="T2385" s="75"/>
      <c r="U2385" s="75"/>
      <c r="V2385" s="75"/>
      <c r="W2385" s="75"/>
      <c r="X2385" s="75"/>
    </row>
    <row r="2386">
      <c r="A2386" s="17"/>
      <c r="B2386" s="17"/>
      <c r="C2386" s="133"/>
      <c r="D2386" s="133"/>
      <c r="E2386" s="17"/>
      <c r="F2386" s="133"/>
      <c r="G2386" s="133"/>
      <c r="H2386" s="133"/>
      <c r="I2386" s="133"/>
      <c r="J2386" s="133"/>
      <c r="K2386" s="133"/>
      <c r="L2386" s="133"/>
      <c r="M2386" s="133"/>
      <c r="N2386" s="133"/>
      <c r="O2386" s="133"/>
      <c r="P2386" s="134"/>
      <c r="Q2386" s="146"/>
      <c r="R2386" s="17"/>
      <c r="S2386" s="17"/>
      <c r="T2386" s="75"/>
      <c r="U2386" s="75"/>
      <c r="V2386" s="75"/>
      <c r="W2386" s="75"/>
      <c r="X2386" s="75"/>
    </row>
    <row r="2387">
      <c r="A2387" s="17"/>
      <c r="B2387" s="17"/>
      <c r="C2387" s="133"/>
      <c r="D2387" s="133"/>
      <c r="E2387" s="17"/>
      <c r="F2387" s="133"/>
      <c r="G2387" s="133"/>
      <c r="H2387" s="133"/>
      <c r="I2387" s="133"/>
      <c r="J2387" s="133"/>
      <c r="K2387" s="133"/>
      <c r="L2387" s="133"/>
      <c r="M2387" s="133"/>
      <c r="N2387" s="133"/>
      <c r="O2387" s="133"/>
      <c r="P2387" s="134"/>
      <c r="Q2387" s="146"/>
      <c r="R2387" s="17"/>
      <c r="S2387" s="17"/>
      <c r="T2387" s="75"/>
      <c r="U2387" s="75"/>
      <c r="V2387" s="75"/>
      <c r="W2387" s="75"/>
      <c r="X2387" s="75"/>
    </row>
    <row r="2388">
      <c r="A2388" s="17"/>
      <c r="B2388" s="17"/>
      <c r="C2388" s="133"/>
      <c r="D2388" s="133"/>
      <c r="E2388" s="17"/>
      <c r="F2388" s="133"/>
      <c r="G2388" s="133"/>
      <c r="H2388" s="133"/>
      <c r="I2388" s="133"/>
      <c r="J2388" s="133"/>
      <c r="K2388" s="133"/>
      <c r="L2388" s="133"/>
      <c r="M2388" s="133"/>
      <c r="N2388" s="133"/>
      <c r="O2388" s="133"/>
      <c r="P2388" s="134"/>
      <c r="Q2388" s="146"/>
      <c r="R2388" s="17"/>
      <c r="S2388" s="17"/>
      <c r="T2388" s="75"/>
      <c r="U2388" s="75"/>
      <c r="V2388" s="75"/>
      <c r="W2388" s="75"/>
      <c r="X2388" s="75"/>
    </row>
    <row r="2389">
      <c r="A2389" s="17"/>
      <c r="B2389" s="17"/>
      <c r="C2389" s="133"/>
      <c r="D2389" s="133"/>
      <c r="E2389" s="17"/>
      <c r="F2389" s="133"/>
      <c r="G2389" s="133"/>
      <c r="H2389" s="133"/>
      <c r="I2389" s="133"/>
      <c r="J2389" s="133"/>
      <c r="K2389" s="133"/>
      <c r="L2389" s="133"/>
      <c r="M2389" s="133"/>
      <c r="N2389" s="133"/>
      <c r="O2389" s="133"/>
      <c r="P2389" s="134"/>
      <c r="Q2389" s="146"/>
      <c r="R2389" s="17"/>
      <c r="S2389" s="17"/>
      <c r="T2389" s="75"/>
      <c r="U2389" s="75"/>
      <c r="V2389" s="75"/>
      <c r="W2389" s="75"/>
      <c r="X2389" s="75"/>
    </row>
    <row r="2390">
      <c r="A2390" s="17"/>
      <c r="B2390" s="17"/>
      <c r="C2390" s="133"/>
      <c r="D2390" s="133"/>
      <c r="E2390" s="17"/>
      <c r="F2390" s="133"/>
      <c r="G2390" s="133"/>
      <c r="H2390" s="133"/>
      <c r="I2390" s="133"/>
      <c r="J2390" s="133"/>
      <c r="K2390" s="133"/>
      <c r="L2390" s="133"/>
      <c r="M2390" s="133"/>
      <c r="N2390" s="133"/>
      <c r="O2390" s="133"/>
      <c r="P2390" s="134"/>
      <c r="Q2390" s="146"/>
      <c r="R2390" s="17"/>
      <c r="S2390" s="17"/>
      <c r="T2390" s="75"/>
      <c r="U2390" s="75"/>
      <c r="V2390" s="75"/>
      <c r="W2390" s="75"/>
      <c r="X2390" s="75"/>
    </row>
    <row r="2391">
      <c r="A2391" s="17"/>
      <c r="B2391" s="17"/>
      <c r="C2391" s="133"/>
      <c r="D2391" s="133"/>
      <c r="E2391" s="17"/>
      <c r="F2391" s="133"/>
      <c r="G2391" s="133"/>
      <c r="H2391" s="133"/>
      <c r="I2391" s="133"/>
      <c r="J2391" s="133"/>
      <c r="K2391" s="133"/>
      <c r="L2391" s="133"/>
      <c r="M2391" s="133"/>
      <c r="N2391" s="133"/>
      <c r="O2391" s="133"/>
      <c r="P2391" s="134"/>
      <c r="Q2391" s="146"/>
      <c r="R2391" s="17"/>
      <c r="S2391" s="17"/>
      <c r="T2391" s="75"/>
      <c r="U2391" s="75"/>
      <c r="V2391" s="75"/>
      <c r="W2391" s="75"/>
      <c r="X2391" s="75"/>
    </row>
    <row r="2392">
      <c r="A2392" s="17"/>
      <c r="B2392" s="17"/>
      <c r="C2392" s="133"/>
      <c r="D2392" s="133"/>
      <c r="E2392" s="17"/>
      <c r="F2392" s="133"/>
      <c r="G2392" s="133"/>
      <c r="H2392" s="133"/>
      <c r="I2392" s="133"/>
      <c r="J2392" s="133"/>
      <c r="K2392" s="133"/>
      <c r="L2392" s="133"/>
      <c r="M2392" s="133"/>
      <c r="N2392" s="133"/>
      <c r="O2392" s="133"/>
      <c r="P2392" s="134"/>
      <c r="Q2392" s="146"/>
      <c r="R2392" s="17"/>
      <c r="S2392" s="17"/>
      <c r="T2392" s="75"/>
      <c r="U2392" s="75"/>
      <c r="V2392" s="75"/>
      <c r="W2392" s="75"/>
      <c r="X2392" s="75"/>
    </row>
    <row r="2393">
      <c r="A2393" s="17"/>
      <c r="B2393" s="17"/>
      <c r="C2393" s="133"/>
      <c r="D2393" s="133"/>
      <c r="E2393" s="17"/>
      <c r="F2393" s="133"/>
      <c r="G2393" s="133"/>
      <c r="H2393" s="133"/>
      <c r="I2393" s="133"/>
      <c r="J2393" s="133"/>
      <c r="K2393" s="133"/>
      <c r="L2393" s="133"/>
      <c r="M2393" s="133"/>
      <c r="N2393" s="133"/>
      <c r="O2393" s="133"/>
      <c r="P2393" s="134"/>
      <c r="Q2393" s="146"/>
      <c r="R2393" s="17"/>
      <c r="S2393" s="17"/>
      <c r="T2393" s="75"/>
      <c r="U2393" s="75"/>
      <c r="V2393" s="75"/>
      <c r="W2393" s="75"/>
      <c r="X2393" s="75"/>
    </row>
    <row r="2394">
      <c r="A2394" s="17"/>
      <c r="B2394" s="17"/>
      <c r="C2394" s="133"/>
      <c r="D2394" s="133"/>
      <c r="E2394" s="17"/>
      <c r="F2394" s="133"/>
      <c r="G2394" s="133"/>
      <c r="H2394" s="133"/>
      <c r="I2394" s="133"/>
      <c r="J2394" s="133"/>
      <c r="K2394" s="133"/>
      <c r="L2394" s="133"/>
      <c r="M2394" s="133"/>
      <c r="N2394" s="133"/>
      <c r="O2394" s="133"/>
      <c r="P2394" s="134"/>
      <c r="Q2394" s="146"/>
      <c r="R2394" s="17"/>
      <c r="S2394" s="17"/>
      <c r="T2394" s="75"/>
      <c r="U2394" s="75"/>
      <c r="V2394" s="75"/>
      <c r="W2394" s="75"/>
      <c r="X2394" s="75"/>
    </row>
    <row r="2395">
      <c r="A2395" s="17"/>
      <c r="B2395" s="17"/>
      <c r="C2395" s="133"/>
      <c r="D2395" s="133"/>
      <c r="E2395" s="17"/>
      <c r="F2395" s="133"/>
      <c r="G2395" s="133"/>
      <c r="H2395" s="133"/>
      <c r="I2395" s="133"/>
      <c r="J2395" s="133"/>
      <c r="K2395" s="133"/>
      <c r="L2395" s="133"/>
      <c r="M2395" s="133"/>
      <c r="N2395" s="133"/>
      <c r="O2395" s="133"/>
      <c r="P2395" s="134"/>
      <c r="Q2395" s="146"/>
      <c r="R2395" s="17"/>
      <c r="S2395" s="17"/>
      <c r="T2395" s="75"/>
      <c r="U2395" s="75"/>
      <c r="V2395" s="75"/>
      <c r="W2395" s="75"/>
      <c r="X2395" s="75"/>
    </row>
    <row r="2396">
      <c r="A2396" s="17"/>
      <c r="B2396" s="17"/>
      <c r="C2396" s="133"/>
      <c r="D2396" s="133"/>
      <c r="E2396" s="17"/>
      <c r="F2396" s="133"/>
      <c r="G2396" s="133"/>
      <c r="H2396" s="133"/>
      <c r="I2396" s="133"/>
      <c r="J2396" s="133"/>
      <c r="K2396" s="133"/>
      <c r="L2396" s="133"/>
      <c r="M2396" s="133"/>
      <c r="N2396" s="133"/>
      <c r="O2396" s="133"/>
      <c r="P2396" s="134"/>
      <c r="Q2396" s="146"/>
      <c r="R2396" s="17"/>
      <c r="S2396" s="17"/>
      <c r="T2396" s="75"/>
      <c r="U2396" s="75"/>
      <c r="V2396" s="75"/>
      <c r="W2396" s="75"/>
      <c r="X2396" s="75"/>
    </row>
    <row r="2397">
      <c r="A2397" s="17"/>
      <c r="B2397" s="17"/>
      <c r="C2397" s="133"/>
      <c r="D2397" s="133"/>
      <c r="E2397" s="17"/>
      <c r="F2397" s="133"/>
      <c r="G2397" s="133"/>
      <c r="H2397" s="133"/>
      <c r="I2397" s="133"/>
      <c r="J2397" s="133"/>
      <c r="K2397" s="133"/>
      <c r="L2397" s="133"/>
      <c r="M2397" s="133"/>
      <c r="N2397" s="133"/>
      <c r="O2397" s="133"/>
      <c r="P2397" s="134"/>
      <c r="Q2397" s="146"/>
      <c r="R2397" s="17"/>
      <c r="S2397" s="17"/>
      <c r="T2397" s="75"/>
      <c r="U2397" s="75"/>
      <c r="V2397" s="75"/>
      <c r="W2397" s="75"/>
      <c r="X2397" s="75"/>
    </row>
    <row r="2398">
      <c r="A2398" s="17"/>
      <c r="B2398" s="17"/>
      <c r="C2398" s="133"/>
      <c r="D2398" s="133"/>
      <c r="E2398" s="17"/>
      <c r="F2398" s="133"/>
      <c r="G2398" s="133"/>
      <c r="H2398" s="133"/>
      <c r="I2398" s="133"/>
      <c r="J2398" s="133"/>
      <c r="K2398" s="133"/>
      <c r="L2398" s="133"/>
      <c r="M2398" s="133"/>
      <c r="N2398" s="133"/>
      <c r="O2398" s="133"/>
      <c r="P2398" s="134"/>
      <c r="Q2398" s="146"/>
      <c r="R2398" s="17"/>
      <c r="S2398" s="17"/>
      <c r="T2398" s="75"/>
      <c r="U2398" s="75"/>
      <c r="V2398" s="75"/>
      <c r="W2398" s="75"/>
      <c r="X2398" s="75"/>
    </row>
    <row r="2399">
      <c r="A2399" s="17"/>
      <c r="B2399" s="17"/>
      <c r="C2399" s="133"/>
      <c r="D2399" s="133"/>
      <c r="E2399" s="17"/>
      <c r="F2399" s="133"/>
      <c r="G2399" s="133"/>
      <c r="H2399" s="133"/>
      <c r="I2399" s="133"/>
      <c r="J2399" s="133"/>
      <c r="K2399" s="133"/>
      <c r="L2399" s="133"/>
      <c r="M2399" s="133"/>
      <c r="N2399" s="133"/>
      <c r="O2399" s="133"/>
      <c r="P2399" s="134"/>
      <c r="Q2399" s="146"/>
      <c r="R2399" s="17"/>
      <c r="S2399" s="17"/>
      <c r="T2399" s="75"/>
      <c r="U2399" s="75"/>
      <c r="V2399" s="75"/>
      <c r="W2399" s="75"/>
      <c r="X2399" s="75"/>
    </row>
    <row r="2400">
      <c r="A2400" s="17"/>
      <c r="B2400" s="17"/>
      <c r="C2400" s="133"/>
      <c r="D2400" s="133"/>
      <c r="E2400" s="17"/>
      <c r="F2400" s="133"/>
      <c r="G2400" s="133"/>
      <c r="H2400" s="133"/>
      <c r="I2400" s="133"/>
      <c r="J2400" s="133"/>
      <c r="K2400" s="133"/>
      <c r="L2400" s="133"/>
      <c r="M2400" s="133"/>
      <c r="N2400" s="133"/>
      <c r="O2400" s="133"/>
      <c r="P2400" s="134"/>
      <c r="Q2400" s="146"/>
      <c r="R2400" s="17"/>
      <c r="S2400" s="17"/>
      <c r="T2400" s="75"/>
      <c r="U2400" s="75"/>
      <c r="V2400" s="75"/>
      <c r="W2400" s="75"/>
      <c r="X2400" s="75"/>
    </row>
    <row r="2401">
      <c r="A2401" s="17"/>
      <c r="B2401" s="17"/>
      <c r="C2401" s="133"/>
      <c r="D2401" s="133"/>
      <c r="E2401" s="17"/>
      <c r="F2401" s="133"/>
      <c r="G2401" s="133"/>
      <c r="H2401" s="133"/>
      <c r="I2401" s="133"/>
      <c r="J2401" s="133"/>
      <c r="K2401" s="133"/>
      <c r="L2401" s="133"/>
      <c r="M2401" s="133"/>
      <c r="N2401" s="133"/>
      <c r="O2401" s="133"/>
      <c r="P2401" s="134"/>
      <c r="Q2401" s="146"/>
      <c r="R2401" s="17"/>
      <c r="S2401" s="17"/>
      <c r="T2401" s="75"/>
      <c r="U2401" s="75"/>
      <c r="V2401" s="75"/>
      <c r="W2401" s="75"/>
      <c r="X2401" s="75"/>
    </row>
    <row r="2402">
      <c r="A2402" s="17"/>
      <c r="B2402" s="17"/>
      <c r="C2402" s="133"/>
      <c r="D2402" s="133"/>
      <c r="E2402" s="17"/>
      <c r="F2402" s="133"/>
      <c r="G2402" s="133"/>
      <c r="H2402" s="133"/>
      <c r="I2402" s="133"/>
      <c r="J2402" s="133"/>
      <c r="K2402" s="133"/>
      <c r="L2402" s="133"/>
      <c r="M2402" s="133"/>
      <c r="N2402" s="133"/>
      <c r="O2402" s="133"/>
      <c r="P2402" s="134"/>
      <c r="Q2402" s="146"/>
      <c r="R2402" s="17"/>
      <c r="S2402" s="17"/>
      <c r="T2402" s="75"/>
      <c r="U2402" s="75"/>
      <c r="V2402" s="75"/>
      <c r="W2402" s="75"/>
      <c r="X2402" s="75"/>
    </row>
    <row r="2403">
      <c r="A2403" s="17"/>
      <c r="B2403" s="17"/>
      <c r="C2403" s="133"/>
      <c r="D2403" s="133"/>
      <c r="E2403" s="17"/>
      <c r="F2403" s="133"/>
      <c r="G2403" s="133"/>
      <c r="H2403" s="133"/>
      <c r="I2403" s="133"/>
      <c r="J2403" s="133"/>
      <c r="K2403" s="133"/>
      <c r="L2403" s="133"/>
      <c r="M2403" s="133"/>
      <c r="N2403" s="133"/>
      <c r="O2403" s="133"/>
      <c r="P2403" s="134"/>
      <c r="Q2403" s="146"/>
      <c r="R2403" s="17"/>
      <c r="S2403" s="17"/>
      <c r="T2403" s="75"/>
      <c r="U2403" s="75"/>
      <c r="V2403" s="75"/>
      <c r="W2403" s="75"/>
      <c r="X2403" s="75"/>
    </row>
    <row r="2404">
      <c r="A2404" s="17"/>
      <c r="B2404" s="17"/>
      <c r="C2404" s="133"/>
      <c r="D2404" s="133"/>
      <c r="E2404" s="17"/>
      <c r="F2404" s="133"/>
      <c r="G2404" s="133"/>
      <c r="H2404" s="133"/>
      <c r="I2404" s="133"/>
      <c r="J2404" s="133"/>
      <c r="K2404" s="133"/>
      <c r="L2404" s="133"/>
      <c r="M2404" s="133"/>
      <c r="N2404" s="133"/>
      <c r="O2404" s="133"/>
      <c r="P2404" s="134"/>
      <c r="Q2404" s="146"/>
      <c r="R2404" s="17"/>
      <c r="S2404" s="17"/>
      <c r="T2404" s="75"/>
      <c r="U2404" s="75"/>
      <c r="V2404" s="75"/>
      <c r="W2404" s="75"/>
      <c r="X2404" s="75"/>
    </row>
    <row r="2405">
      <c r="A2405" s="17"/>
      <c r="B2405" s="17"/>
      <c r="C2405" s="133"/>
      <c r="D2405" s="133"/>
      <c r="E2405" s="17"/>
      <c r="F2405" s="133"/>
      <c r="G2405" s="133"/>
      <c r="H2405" s="133"/>
      <c r="I2405" s="133"/>
      <c r="J2405" s="133"/>
      <c r="K2405" s="133"/>
      <c r="L2405" s="133"/>
      <c r="M2405" s="133"/>
      <c r="N2405" s="133"/>
      <c r="O2405" s="133"/>
      <c r="P2405" s="134"/>
      <c r="Q2405" s="146"/>
      <c r="R2405" s="17"/>
      <c r="S2405" s="17"/>
      <c r="T2405" s="75"/>
      <c r="U2405" s="75"/>
      <c r="V2405" s="75"/>
      <c r="W2405" s="75"/>
      <c r="X2405" s="75"/>
    </row>
    <row r="2406">
      <c r="A2406" s="17"/>
      <c r="B2406" s="17"/>
      <c r="C2406" s="133"/>
      <c r="D2406" s="133"/>
      <c r="E2406" s="17"/>
      <c r="F2406" s="133"/>
      <c r="G2406" s="133"/>
      <c r="H2406" s="133"/>
      <c r="I2406" s="133"/>
      <c r="J2406" s="133"/>
      <c r="K2406" s="133"/>
      <c r="L2406" s="133"/>
      <c r="M2406" s="133"/>
      <c r="N2406" s="133"/>
      <c r="O2406" s="133"/>
      <c r="P2406" s="134"/>
      <c r="Q2406" s="146"/>
      <c r="R2406" s="17"/>
      <c r="S2406" s="17"/>
      <c r="T2406" s="75"/>
      <c r="U2406" s="75"/>
      <c r="V2406" s="75"/>
      <c r="W2406" s="75"/>
      <c r="X2406" s="75"/>
    </row>
    <row r="2407">
      <c r="A2407" s="17"/>
      <c r="B2407" s="17"/>
      <c r="C2407" s="133"/>
      <c r="D2407" s="133"/>
      <c r="E2407" s="17"/>
      <c r="F2407" s="133"/>
      <c r="G2407" s="133"/>
      <c r="H2407" s="133"/>
      <c r="I2407" s="133"/>
      <c r="J2407" s="133"/>
      <c r="K2407" s="133"/>
      <c r="L2407" s="133"/>
      <c r="M2407" s="133"/>
      <c r="N2407" s="133"/>
      <c r="O2407" s="133"/>
      <c r="P2407" s="134"/>
      <c r="Q2407" s="146"/>
      <c r="R2407" s="17"/>
      <c r="S2407" s="17"/>
      <c r="T2407" s="75"/>
      <c r="U2407" s="75"/>
      <c r="V2407" s="75"/>
      <c r="W2407" s="75"/>
      <c r="X2407" s="75"/>
    </row>
    <row r="2408">
      <c r="A2408" s="17"/>
      <c r="B2408" s="17"/>
      <c r="C2408" s="133"/>
      <c r="D2408" s="133"/>
      <c r="E2408" s="17"/>
      <c r="F2408" s="133"/>
      <c r="G2408" s="133"/>
      <c r="H2408" s="133"/>
      <c r="I2408" s="133"/>
      <c r="J2408" s="133"/>
      <c r="K2408" s="133"/>
      <c r="L2408" s="133"/>
      <c r="M2408" s="133"/>
      <c r="N2408" s="133"/>
      <c r="O2408" s="133"/>
      <c r="P2408" s="134"/>
      <c r="Q2408" s="146"/>
      <c r="R2408" s="17"/>
      <c r="S2408" s="17"/>
      <c r="T2408" s="75"/>
      <c r="U2408" s="75"/>
      <c r="V2408" s="75"/>
      <c r="W2408" s="75"/>
      <c r="X2408" s="75"/>
    </row>
    <row r="2409">
      <c r="A2409" s="17"/>
      <c r="B2409" s="17"/>
      <c r="C2409" s="133"/>
      <c r="D2409" s="133"/>
      <c r="E2409" s="17"/>
      <c r="F2409" s="133"/>
      <c r="G2409" s="133"/>
      <c r="H2409" s="133"/>
      <c r="I2409" s="133"/>
      <c r="J2409" s="133"/>
      <c r="K2409" s="133"/>
      <c r="L2409" s="133"/>
      <c r="M2409" s="133"/>
      <c r="N2409" s="133"/>
      <c r="O2409" s="133"/>
      <c r="P2409" s="134"/>
      <c r="Q2409" s="146"/>
      <c r="R2409" s="17"/>
      <c r="S2409" s="17"/>
      <c r="T2409" s="75"/>
      <c r="U2409" s="75"/>
      <c r="V2409" s="75"/>
      <c r="W2409" s="75"/>
      <c r="X2409" s="75"/>
    </row>
    <row r="2410">
      <c r="A2410" s="17"/>
      <c r="B2410" s="17"/>
      <c r="C2410" s="133"/>
      <c r="D2410" s="133"/>
      <c r="E2410" s="17"/>
      <c r="F2410" s="133"/>
      <c r="G2410" s="133"/>
      <c r="H2410" s="133"/>
      <c r="I2410" s="133"/>
      <c r="J2410" s="133"/>
      <c r="K2410" s="133"/>
      <c r="L2410" s="133"/>
      <c r="M2410" s="133"/>
      <c r="N2410" s="133"/>
      <c r="O2410" s="133"/>
      <c r="P2410" s="134"/>
      <c r="Q2410" s="146"/>
      <c r="R2410" s="17"/>
      <c r="S2410" s="17"/>
      <c r="T2410" s="75"/>
      <c r="U2410" s="75"/>
      <c r="V2410" s="75"/>
      <c r="W2410" s="75"/>
      <c r="X2410" s="75"/>
    </row>
    <row r="2411">
      <c r="A2411" s="17"/>
      <c r="B2411" s="17"/>
      <c r="C2411" s="133"/>
      <c r="D2411" s="133"/>
      <c r="E2411" s="17"/>
      <c r="F2411" s="133"/>
      <c r="G2411" s="133"/>
      <c r="H2411" s="133"/>
      <c r="I2411" s="133"/>
      <c r="J2411" s="133"/>
      <c r="K2411" s="133"/>
      <c r="L2411" s="133"/>
      <c r="M2411" s="133"/>
      <c r="N2411" s="133"/>
      <c r="O2411" s="133"/>
      <c r="P2411" s="134"/>
      <c r="Q2411" s="146"/>
      <c r="R2411" s="17"/>
      <c r="S2411" s="17"/>
      <c r="T2411" s="75"/>
      <c r="U2411" s="75"/>
      <c r="V2411" s="75"/>
      <c r="W2411" s="75"/>
      <c r="X2411" s="75"/>
    </row>
    <row r="2412">
      <c r="A2412" s="17"/>
      <c r="B2412" s="17"/>
      <c r="C2412" s="133"/>
      <c r="D2412" s="133"/>
      <c r="E2412" s="17"/>
      <c r="F2412" s="133"/>
      <c r="G2412" s="133"/>
      <c r="H2412" s="133"/>
      <c r="I2412" s="133"/>
      <c r="J2412" s="133"/>
      <c r="K2412" s="133"/>
      <c r="L2412" s="133"/>
      <c r="M2412" s="133"/>
      <c r="N2412" s="133"/>
      <c r="O2412" s="133"/>
      <c r="P2412" s="134"/>
      <c r="Q2412" s="146"/>
      <c r="R2412" s="17"/>
      <c r="S2412" s="17"/>
      <c r="T2412" s="75"/>
      <c r="U2412" s="75"/>
      <c r="V2412" s="75"/>
      <c r="W2412" s="75"/>
      <c r="X2412" s="75"/>
    </row>
    <row r="2413">
      <c r="A2413" s="17"/>
      <c r="B2413" s="17"/>
      <c r="C2413" s="133"/>
      <c r="D2413" s="133"/>
      <c r="E2413" s="17"/>
      <c r="F2413" s="133"/>
      <c r="G2413" s="133"/>
      <c r="H2413" s="133"/>
      <c r="I2413" s="133"/>
      <c r="J2413" s="133"/>
      <c r="K2413" s="133"/>
      <c r="L2413" s="133"/>
      <c r="M2413" s="133"/>
      <c r="N2413" s="133"/>
      <c r="O2413" s="133"/>
      <c r="P2413" s="134"/>
      <c r="Q2413" s="146"/>
      <c r="R2413" s="17"/>
      <c r="S2413" s="17"/>
      <c r="T2413" s="75"/>
      <c r="U2413" s="75"/>
      <c r="V2413" s="75"/>
      <c r="W2413" s="75"/>
      <c r="X2413" s="75"/>
    </row>
    <row r="2414">
      <c r="A2414" s="17"/>
      <c r="B2414" s="17"/>
      <c r="C2414" s="133"/>
      <c r="D2414" s="133"/>
      <c r="E2414" s="17"/>
      <c r="F2414" s="133"/>
      <c r="G2414" s="133"/>
      <c r="H2414" s="133"/>
      <c r="I2414" s="133"/>
      <c r="J2414" s="133"/>
      <c r="K2414" s="133"/>
      <c r="L2414" s="133"/>
      <c r="M2414" s="133"/>
      <c r="N2414" s="133"/>
      <c r="O2414" s="133"/>
      <c r="P2414" s="134"/>
      <c r="Q2414" s="146"/>
      <c r="R2414" s="17"/>
      <c r="S2414" s="17"/>
      <c r="T2414" s="75"/>
      <c r="U2414" s="75"/>
      <c r="V2414" s="75"/>
      <c r="W2414" s="75"/>
      <c r="X2414" s="75"/>
    </row>
    <row r="2415">
      <c r="A2415" s="17"/>
      <c r="B2415" s="17"/>
      <c r="C2415" s="133"/>
      <c r="D2415" s="133"/>
      <c r="E2415" s="17"/>
      <c r="F2415" s="133"/>
      <c r="G2415" s="133"/>
      <c r="H2415" s="133"/>
      <c r="I2415" s="133"/>
      <c r="J2415" s="133"/>
      <c r="K2415" s="133"/>
      <c r="L2415" s="133"/>
      <c r="M2415" s="133"/>
      <c r="N2415" s="133"/>
      <c r="O2415" s="133"/>
      <c r="P2415" s="134"/>
      <c r="Q2415" s="146"/>
      <c r="R2415" s="17"/>
      <c r="S2415" s="17"/>
      <c r="T2415" s="75"/>
      <c r="U2415" s="75"/>
      <c r="V2415" s="75"/>
      <c r="W2415" s="75"/>
      <c r="X2415" s="75"/>
    </row>
    <row r="2416">
      <c r="A2416" s="17"/>
      <c r="B2416" s="17"/>
      <c r="C2416" s="133"/>
      <c r="D2416" s="133"/>
      <c r="E2416" s="17"/>
      <c r="F2416" s="133"/>
      <c r="G2416" s="133"/>
      <c r="H2416" s="133"/>
      <c r="I2416" s="133"/>
      <c r="J2416" s="133"/>
      <c r="K2416" s="133"/>
      <c r="L2416" s="133"/>
      <c r="M2416" s="133"/>
      <c r="N2416" s="133"/>
      <c r="O2416" s="133"/>
      <c r="P2416" s="134"/>
      <c r="Q2416" s="146"/>
      <c r="R2416" s="17"/>
      <c r="S2416" s="17"/>
      <c r="T2416" s="75"/>
      <c r="U2416" s="75"/>
      <c r="V2416" s="75"/>
      <c r="W2416" s="75"/>
      <c r="X2416" s="75"/>
    </row>
    <row r="2417">
      <c r="A2417" s="17"/>
      <c r="B2417" s="17"/>
      <c r="C2417" s="133"/>
      <c r="D2417" s="133"/>
      <c r="E2417" s="17"/>
      <c r="F2417" s="133"/>
      <c r="G2417" s="133"/>
      <c r="H2417" s="133"/>
      <c r="I2417" s="133"/>
      <c r="J2417" s="133"/>
      <c r="K2417" s="133"/>
      <c r="L2417" s="133"/>
      <c r="M2417" s="133"/>
      <c r="N2417" s="133"/>
      <c r="O2417" s="133"/>
      <c r="P2417" s="134"/>
      <c r="Q2417" s="146"/>
      <c r="R2417" s="17"/>
      <c r="S2417" s="17"/>
      <c r="T2417" s="75"/>
      <c r="U2417" s="75"/>
      <c r="V2417" s="75"/>
      <c r="W2417" s="75"/>
      <c r="X2417" s="75"/>
    </row>
    <row r="2418">
      <c r="A2418" s="17"/>
      <c r="B2418" s="17"/>
      <c r="C2418" s="133"/>
      <c r="D2418" s="133"/>
      <c r="E2418" s="17"/>
      <c r="F2418" s="133"/>
      <c r="G2418" s="133"/>
      <c r="H2418" s="133"/>
      <c r="I2418" s="133"/>
      <c r="J2418" s="133"/>
      <c r="K2418" s="133"/>
      <c r="L2418" s="133"/>
      <c r="M2418" s="133"/>
      <c r="N2418" s="133"/>
      <c r="O2418" s="133"/>
      <c r="P2418" s="134"/>
      <c r="Q2418" s="146"/>
      <c r="R2418" s="17"/>
      <c r="S2418" s="17"/>
      <c r="T2418" s="75"/>
      <c r="U2418" s="75"/>
      <c r="V2418" s="75"/>
      <c r="W2418" s="75"/>
      <c r="X2418" s="75"/>
    </row>
    <row r="2419">
      <c r="A2419" s="17"/>
      <c r="B2419" s="17"/>
      <c r="C2419" s="133"/>
      <c r="D2419" s="133"/>
      <c r="E2419" s="17"/>
      <c r="F2419" s="133"/>
      <c r="G2419" s="133"/>
      <c r="H2419" s="133"/>
      <c r="I2419" s="133"/>
      <c r="J2419" s="133"/>
      <c r="K2419" s="133"/>
      <c r="L2419" s="133"/>
      <c r="M2419" s="133"/>
      <c r="N2419" s="133"/>
      <c r="O2419" s="133"/>
      <c r="P2419" s="134"/>
      <c r="Q2419" s="146"/>
      <c r="R2419" s="17"/>
      <c r="S2419" s="17"/>
      <c r="T2419" s="75"/>
      <c r="U2419" s="75"/>
      <c r="V2419" s="75"/>
      <c r="W2419" s="75"/>
      <c r="X2419" s="75"/>
    </row>
    <row r="2420">
      <c r="A2420" s="17"/>
      <c r="B2420" s="17"/>
      <c r="C2420" s="133"/>
      <c r="D2420" s="133"/>
      <c r="E2420" s="17"/>
      <c r="F2420" s="133"/>
      <c r="G2420" s="133"/>
      <c r="H2420" s="133"/>
      <c r="I2420" s="133"/>
      <c r="J2420" s="133"/>
      <c r="K2420" s="133"/>
      <c r="L2420" s="133"/>
      <c r="M2420" s="133"/>
      <c r="N2420" s="133"/>
      <c r="O2420" s="133"/>
      <c r="P2420" s="134"/>
      <c r="Q2420" s="146"/>
      <c r="R2420" s="17"/>
      <c r="S2420" s="17"/>
      <c r="T2420" s="75"/>
      <c r="U2420" s="75"/>
      <c r="V2420" s="75"/>
      <c r="W2420" s="75"/>
      <c r="X2420" s="75"/>
    </row>
    <row r="2421">
      <c r="A2421" s="17"/>
      <c r="B2421" s="17"/>
      <c r="C2421" s="133"/>
      <c r="D2421" s="133"/>
      <c r="E2421" s="17"/>
      <c r="F2421" s="133"/>
      <c r="G2421" s="133"/>
      <c r="H2421" s="133"/>
      <c r="I2421" s="133"/>
      <c r="J2421" s="133"/>
      <c r="K2421" s="133"/>
      <c r="L2421" s="133"/>
      <c r="M2421" s="133"/>
      <c r="N2421" s="133"/>
      <c r="O2421" s="133"/>
      <c r="P2421" s="134"/>
      <c r="Q2421" s="146"/>
      <c r="R2421" s="17"/>
      <c r="S2421" s="17"/>
      <c r="T2421" s="75"/>
      <c r="U2421" s="75"/>
      <c r="V2421" s="75"/>
      <c r="W2421" s="75"/>
      <c r="X2421" s="75"/>
    </row>
    <row r="2422">
      <c r="A2422" s="17"/>
      <c r="B2422" s="17"/>
      <c r="C2422" s="133"/>
      <c r="D2422" s="133"/>
      <c r="E2422" s="17"/>
      <c r="F2422" s="133"/>
      <c r="G2422" s="133"/>
      <c r="H2422" s="133"/>
      <c r="I2422" s="133"/>
      <c r="J2422" s="133"/>
      <c r="K2422" s="133"/>
      <c r="L2422" s="133"/>
      <c r="M2422" s="133"/>
      <c r="N2422" s="133"/>
      <c r="O2422" s="133"/>
      <c r="P2422" s="134"/>
      <c r="Q2422" s="146"/>
      <c r="R2422" s="17"/>
      <c r="S2422" s="17"/>
      <c r="T2422" s="75"/>
      <c r="U2422" s="75"/>
      <c r="V2422" s="75"/>
      <c r="W2422" s="75"/>
      <c r="X2422" s="75"/>
    </row>
    <row r="2423">
      <c r="A2423" s="17"/>
      <c r="B2423" s="17"/>
      <c r="C2423" s="133"/>
      <c r="D2423" s="133"/>
      <c r="E2423" s="17"/>
      <c r="F2423" s="133"/>
      <c r="G2423" s="133"/>
      <c r="H2423" s="133"/>
      <c r="I2423" s="133"/>
      <c r="J2423" s="133"/>
      <c r="K2423" s="133"/>
      <c r="L2423" s="133"/>
      <c r="M2423" s="133"/>
      <c r="N2423" s="133"/>
      <c r="O2423" s="133"/>
      <c r="P2423" s="134"/>
      <c r="Q2423" s="146"/>
      <c r="R2423" s="17"/>
      <c r="S2423" s="17"/>
      <c r="T2423" s="75"/>
      <c r="U2423" s="75"/>
      <c r="V2423" s="75"/>
      <c r="W2423" s="75"/>
      <c r="X2423" s="75"/>
    </row>
    <row r="2424">
      <c r="A2424" s="17"/>
      <c r="B2424" s="17"/>
      <c r="C2424" s="133"/>
      <c r="D2424" s="133"/>
      <c r="E2424" s="17"/>
      <c r="F2424" s="133"/>
      <c r="G2424" s="133"/>
      <c r="H2424" s="133"/>
      <c r="I2424" s="133"/>
      <c r="J2424" s="133"/>
      <c r="K2424" s="133"/>
      <c r="L2424" s="133"/>
      <c r="M2424" s="133"/>
      <c r="N2424" s="133"/>
      <c r="O2424" s="133"/>
      <c r="P2424" s="134"/>
      <c r="Q2424" s="146"/>
      <c r="R2424" s="17"/>
      <c r="S2424" s="17"/>
      <c r="T2424" s="75"/>
      <c r="U2424" s="75"/>
      <c r="V2424" s="75"/>
      <c r="W2424" s="75"/>
      <c r="X2424" s="75"/>
    </row>
    <row r="2425">
      <c r="A2425" s="17"/>
      <c r="B2425" s="17"/>
      <c r="C2425" s="133"/>
      <c r="D2425" s="133"/>
      <c r="E2425" s="17"/>
      <c r="F2425" s="133"/>
      <c r="G2425" s="133"/>
      <c r="H2425" s="133"/>
      <c r="I2425" s="133"/>
      <c r="J2425" s="133"/>
      <c r="K2425" s="133"/>
      <c r="L2425" s="133"/>
      <c r="M2425" s="133"/>
      <c r="N2425" s="133"/>
      <c r="O2425" s="133"/>
      <c r="P2425" s="134"/>
      <c r="Q2425" s="146"/>
      <c r="R2425" s="17"/>
      <c r="S2425" s="17"/>
      <c r="T2425" s="75"/>
      <c r="U2425" s="75"/>
      <c r="V2425" s="75"/>
      <c r="W2425" s="75"/>
      <c r="X2425" s="75"/>
    </row>
    <row r="2426">
      <c r="A2426" s="17"/>
      <c r="B2426" s="17"/>
      <c r="C2426" s="133"/>
      <c r="D2426" s="133"/>
      <c r="E2426" s="17"/>
      <c r="F2426" s="133"/>
      <c r="G2426" s="133"/>
      <c r="H2426" s="133"/>
      <c r="I2426" s="133"/>
      <c r="J2426" s="133"/>
      <c r="K2426" s="133"/>
      <c r="L2426" s="133"/>
      <c r="M2426" s="133"/>
      <c r="N2426" s="133"/>
      <c r="O2426" s="133"/>
      <c r="P2426" s="134"/>
      <c r="Q2426" s="146"/>
      <c r="R2426" s="17"/>
      <c r="S2426" s="17"/>
      <c r="T2426" s="75"/>
      <c r="U2426" s="75"/>
      <c r="V2426" s="75"/>
      <c r="W2426" s="75"/>
      <c r="X2426" s="75"/>
    </row>
    <row r="2427">
      <c r="A2427" s="17"/>
      <c r="B2427" s="17"/>
      <c r="C2427" s="133"/>
      <c r="D2427" s="133"/>
      <c r="E2427" s="17"/>
      <c r="F2427" s="133"/>
      <c r="G2427" s="133"/>
      <c r="H2427" s="133"/>
      <c r="I2427" s="133"/>
      <c r="J2427" s="133"/>
      <c r="K2427" s="133"/>
      <c r="L2427" s="133"/>
      <c r="M2427" s="133"/>
      <c r="N2427" s="133"/>
      <c r="O2427" s="133"/>
      <c r="P2427" s="134"/>
      <c r="Q2427" s="146"/>
      <c r="R2427" s="17"/>
      <c r="S2427" s="17"/>
      <c r="T2427" s="75"/>
      <c r="U2427" s="75"/>
      <c r="V2427" s="75"/>
      <c r="W2427" s="75"/>
      <c r="X2427" s="75"/>
    </row>
    <row r="2428">
      <c r="A2428" s="17"/>
      <c r="B2428" s="17"/>
      <c r="C2428" s="133"/>
      <c r="D2428" s="133"/>
      <c r="E2428" s="17"/>
      <c r="F2428" s="133"/>
      <c r="G2428" s="133"/>
      <c r="H2428" s="133"/>
      <c r="I2428" s="133"/>
      <c r="J2428" s="133"/>
      <c r="K2428" s="133"/>
      <c r="L2428" s="133"/>
      <c r="M2428" s="133"/>
      <c r="N2428" s="133"/>
      <c r="O2428" s="133"/>
      <c r="P2428" s="134"/>
      <c r="Q2428" s="146"/>
      <c r="R2428" s="17"/>
      <c r="S2428" s="17"/>
      <c r="T2428" s="75"/>
      <c r="U2428" s="75"/>
      <c r="V2428" s="75"/>
      <c r="W2428" s="75"/>
      <c r="X2428" s="75"/>
    </row>
    <row r="2429">
      <c r="A2429" s="17"/>
      <c r="B2429" s="17"/>
      <c r="C2429" s="133"/>
      <c r="D2429" s="133"/>
      <c r="E2429" s="17"/>
      <c r="F2429" s="133"/>
      <c r="G2429" s="133"/>
      <c r="H2429" s="133"/>
      <c r="I2429" s="133"/>
      <c r="J2429" s="133"/>
      <c r="K2429" s="133"/>
      <c r="L2429" s="133"/>
      <c r="M2429" s="133"/>
      <c r="N2429" s="133"/>
      <c r="O2429" s="133"/>
      <c r="P2429" s="134"/>
      <c r="Q2429" s="146"/>
      <c r="R2429" s="17"/>
      <c r="S2429" s="17"/>
      <c r="T2429" s="75"/>
      <c r="U2429" s="75"/>
      <c r="V2429" s="75"/>
      <c r="W2429" s="75"/>
      <c r="X2429" s="75"/>
    </row>
    <row r="2430">
      <c r="A2430" s="17"/>
      <c r="B2430" s="17"/>
      <c r="C2430" s="133"/>
      <c r="D2430" s="133"/>
      <c r="E2430" s="17"/>
      <c r="F2430" s="133"/>
      <c r="G2430" s="133"/>
      <c r="H2430" s="133"/>
      <c r="I2430" s="133"/>
      <c r="J2430" s="133"/>
      <c r="K2430" s="133"/>
      <c r="L2430" s="133"/>
      <c r="M2430" s="133"/>
      <c r="N2430" s="133"/>
      <c r="O2430" s="133"/>
      <c r="P2430" s="134"/>
      <c r="Q2430" s="146"/>
      <c r="R2430" s="17"/>
      <c r="S2430" s="17"/>
      <c r="T2430" s="75"/>
      <c r="U2430" s="75"/>
      <c r="V2430" s="75"/>
      <c r="W2430" s="75"/>
      <c r="X2430" s="75"/>
    </row>
    <row r="2431">
      <c r="A2431" s="17"/>
      <c r="B2431" s="17"/>
      <c r="C2431" s="133"/>
      <c r="D2431" s="133"/>
      <c r="E2431" s="17"/>
      <c r="F2431" s="133"/>
      <c r="G2431" s="133"/>
      <c r="H2431" s="133"/>
      <c r="I2431" s="133"/>
      <c r="J2431" s="133"/>
      <c r="K2431" s="133"/>
      <c r="L2431" s="133"/>
      <c r="M2431" s="133"/>
      <c r="N2431" s="133"/>
      <c r="O2431" s="133"/>
      <c r="P2431" s="134"/>
      <c r="Q2431" s="146"/>
      <c r="R2431" s="17"/>
      <c r="S2431" s="17"/>
      <c r="T2431" s="75"/>
      <c r="U2431" s="75"/>
      <c r="V2431" s="75"/>
      <c r="W2431" s="75"/>
      <c r="X2431" s="75"/>
    </row>
    <row r="2432">
      <c r="A2432" s="17"/>
      <c r="B2432" s="17"/>
      <c r="C2432" s="133"/>
      <c r="D2432" s="133"/>
      <c r="E2432" s="17"/>
      <c r="F2432" s="133"/>
      <c r="G2432" s="133"/>
      <c r="H2432" s="133"/>
      <c r="I2432" s="133"/>
      <c r="J2432" s="133"/>
      <c r="K2432" s="133"/>
      <c r="L2432" s="133"/>
      <c r="M2432" s="133"/>
      <c r="N2432" s="133"/>
      <c r="O2432" s="133"/>
      <c r="P2432" s="134"/>
      <c r="Q2432" s="146"/>
      <c r="R2432" s="17"/>
      <c r="S2432" s="17"/>
      <c r="T2432" s="75"/>
      <c r="U2432" s="75"/>
      <c r="V2432" s="75"/>
      <c r="W2432" s="75"/>
      <c r="X2432" s="75"/>
    </row>
    <row r="2433">
      <c r="A2433" s="17"/>
      <c r="B2433" s="17"/>
      <c r="C2433" s="133"/>
      <c r="D2433" s="133"/>
      <c r="E2433" s="17"/>
      <c r="F2433" s="133"/>
      <c r="G2433" s="133"/>
      <c r="H2433" s="133"/>
      <c r="I2433" s="133"/>
      <c r="J2433" s="133"/>
      <c r="K2433" s="133"/>
      <c r="L2433" s="133"/>
      <c r="M2433" s="133"/>
      <c r="N2433" s="133"/>
      <c r="O2433" s="133"/>
      <c r="P2433" s="134"/>
      <c r="Q2433" s="146"/>
      <c r="R2433" s="17"/>
      <c r="S2433" s="17"/>
      <c r="T2433" s="75"/>
      <c r="U2433" s="75"/>
      <c r="V2433" s="75"/>
      <c r="W2433" s="75"/>
      <c r="X2433" s="75"/>
    </row>
    <row r="2434">
      <c r="A2434" s="17"/>
      <c r="B2434" s="17"/>
      <c r="C2434" s="133"/>
      <c r="D2434" s="133"/>
      <c r="E2434" s="17"/>
      <c r="F2434" s="133"/>
      <c r="G2434" s="133"/>
      <c r="H2434" s="133"/>
      <c r="I2434" s="133"/>
      <c r="J2434" s="133"/>
      <c r="K2434" s="133"/>
      <c r="L2434" s="133"/>
      <c r="M2434" s="133"/>
      <c r="N2434" s="133"/>
      <c r="O2434" s="133"/>
      <c r="P2434" s="134"/>
      <c r="Q2434" s="146"/>
      <c r="R2434" s="17"/>
      <c r="S2434" s="17"/>
      <c r="T2434" s="75"/>
      <c r="U2434" s="75"/>
      <c r="V2434" s="75"/>
      <c r="W2434" s="75"/>
      <c r="X2434" s="75"/>
    </row>
    <row r="2435">
      <c r="A2435" s="17"/>
      <c r="B2435" s="17"/>
      <c r="C2435" s="133"/>
      <c r="D2435" s="133"/>
      <c r="E2435" s="17"/>
      <c r="F2435" s="133"/>
      <c r="G2435" s="133"/>
      <c r="H2435" s="133"/>
      <c r="I2435" s="133"/>
      <c r="J2435" s="133"/>
      <c r="K2435" s="133"/>
      <c r="L2435" s="133"/>
      <c r="M2435" s="133"/>
      <c r="N2435" s="133"/>
      <c r="O2435" s="133"/>
      <c r="P2435" s="134"/>
      <c r="Q2435" s="146"/>
      <c r="R2435" s="17"/>
      <c r="S2435" s="17"/>
      <c r="T2435" s="75"/>
      <c r="U2435" s="75"/>
      <c r="V2435" s="75"/>
      <c r="W2435" s="75"/>
      <c r="X2435" s="75"/>
    </row>
    <row r="2436">
      <c r="A2436" s="17"/>
      <c r="B2436" s="17"/>
      <c r="C2436" s="133"/>
      <c r="D2436" s="133"/>
      <c r="E2436" s="17"/>
      <c r="F2436" s="133"/>
      <c r="G2436" s="133"/>
      <c r="H2436" s="133"/>
      <c r="I2436" s="133"/>
      <c r="J2436" s="133"/>
      <c r="K2436" s="133"/>
      <c r="L2436" s="133"/>
      <c r="M2436" s="133"/>
      <c r="N2436" s="133"/>
      <c r="O2436" s="133"/>
      <c r="P2436" s="134"/>
      <c r="Q2436" s="146"/>
      <c r="R2436" s="17"/>
      <c r="S2436" s="17"/>
      <c r="T2436" s="75"/>
      <c r="U2436" s="75"/>
      <c r="V2436" s="75"/>
      <c r="W2436" s="75"/>
      <c r="X2436" s="75"/>
    </row>
    <row r="2437">
      <c r="A2437" s="17"/>
      <c r="B2437" s="17"/>
      <c r="C2437" s="133"/>
      <c r="D2437" s="133"/>
      <c r="E2437" s="17"/>
      <c r="F2437" s="133"/>
      <c r="G2437" s="133"/>
      <c r="H2437" s="133"/>
      <c r="I2437" s="133"/>
      <c r="J2437" s="133"/>
      <c r="K2437" s="133"/>
      <c r="L2437" s="133"/>
      <c r="M2437" s="133"/>
      <c r="N2437" s="133"/>
      <c r="O2437" s="133"/>
      <c r="P2437" s="134"/>
      <c r="Q2437" s="146"/>
      <c r="R2437" s="17"/>
      <c r="S2437" s="17"/>
      <c r="T2437" s="75"/>
      <c r="U2437" s="75"/>
      <c r="V2437" s="75"/>
      <c r="W2437" s="75"/>
      <c r="X2437" s="75"/>
    </row>
    <row r="2438">
      <c r="A2438" s="17"/>
      <c r="B2438" s="17"/>
      <c r="C2438" s="133"/>
      <c r="D2438" s="133"/>
      <c r="E2438" s="17"/>
      <c r="F2438" s="133"/>
      <c r="G2438" s="133"/>
      <c r="H2438" s="133"/>
      <c r="I2438" s="133"/>
      <c r="J2438" s="133"/>
      <c r="K2438" s="133"/>
      <c r="L2438" s="133"/>
      <c r="M2438" s="133"/>
      <c r="N2438" s="133"/>
      <c r="O2438" s="133"/>
      <c r="P2438" s="134"/>
      <c r="Q2438" s="146"/>
      <c r="R2438" s="17"/>
      <c r="S2438" s="17"/>
      <c r="T2438" s="75"/>
      <c r="U2438" s="75"/>
      <c r="V2438" s="75"/>
      <c r="W2438" s="75"/>
      <c r="X2438" s="75"/>
    </row>
    <row r="2439">
      <c r="A2439" s="17"/>
      <c r="B2439" s="17"/>
      <c r="C2439" s="133"/>
      <c r="D2439" s="133"/>
      <c r="E2439" s="17"/>
      <c r="F2439" s="133"/>
      <c r="G2439" s="133"/>
      <c r="H2439" s="133"/>
      <c r="I2439" s="133"/>
      <c r="J2439" s="133"/>
      <c r="K2439" s="133"/>
      <c r="L2439" s="133"/>
      <c r="M2439" s="133"/>
      <c r="N2439" s="133"/>
      <c r="O2439" s="133"/>
      <c r="P2439" s="134"/>
      <c r="Q2439" s="146"/>
      <c r="R2439" s="17"/>
      <c r="S2439" s="17"/>
      <c r="T2439" s="75"/>
      <c r="U2439" s="75"/>
      <c r="V2439" s="75"/>
      <c r="W2439" s="75"/>
      <c r="X2439" s="75"/>
    </row>
    <row r="2440">
      <c r="A2440" s="17"/>
      <c r="B2440" s="17"/>
      <c r="C2440" s="133"/>
      <c r="D2440" s="133"/>
      <c r="E2440" s="17"/>
      <c r="F2440" s="133"/>
      <c r="G2440" s="133"/>
      <c r="H2440" s="133"/>
      <c r="I2440" s="133"/>
      <c r="J2440" s="133"/>
      <c r="K2440" s="133"/>
      <c r="L2440" s="133"/>
      <c r="M2440" s="133"/>
      <c r="N2440" s="133"/>
      <c r="O2440" s="133"/>
      <c r="P2440" s="134"/>
      <c r="Q2440" s="146"/>
      <c r="R2440" s="17"/>
      <c r="S2440" s="17"/>
      <c r="T2440" s="75"/>
      <c r="U2440" s="75"/>
      <c r="V2440" s="75"/>
      <c r="W2440" s="75"/>
      <c r="X2440" s="75"/>
    </row>
    <row r="2441">
      <c r="A2441" s="17"/>
      <c r="B2441" s="17"/>
      <c r="C2441" s="133"/>
      <c r="D2441" s="133"/>
      <c r="E2441" s="17"/>
      <c r="F2441" s="133"/>
      <c r="G2441" s="133"/>
      <c r="H2441" s="133"/>
      <c r="I2441" s="133"/>
      <c r="J2441" s="133"/>
      <c r="K2441" s="133"/>
      <c r="L2441" s="133"/>
      <c r="M2441" s="133"/>
      <c r="N2441" s="133"/>
      <c r="O2441" s="133"/>
      <c r="P2441" s="134"/>
      <c r="Q2441" s="146"/>
      <c r="R2441" s="17"/>
      <c r="S2441" s="17"/>
      <c r="T2441" s="75"/>
      <c r="U2441" s="75"/>
      <c r="V2441" s="75"/>
      <c r="W2441" s="75"/>
      <c r="X2441" s="75"/>
    </row>
    <row r="2442">
      <c r="A2442" s="17"/>
      <c r="B2442" s="17"/>
      <c r="C2442" s="133"/>
      <c r="D2442" s="133"/>
      <c r="E2442" s="17"/>
      <c r="F2442" s="133"/>
      <c r="G2442" s="133"/>
      <c r="H2442" s="133"/>
      <c r="I2442" s="133"/>
      <c r="J2442" s="133"/>
      <c r="K2442" s="133"/>
      <c r="L2442" s="133"/>
      <c r="M2442" s="133"/>
      <c r="N2442" s="133"/>
      <c r="O2442" s="133"/>
      <c r="P2442" s="134"/>
      <c r="Q2442" s="146"/>
      <c r="R2442" s="17"/>
      <c r="S2442" s="17"/>
      <c r="T2442" s="75"/>
      <c r="U2442" s="75"/>
      <c r="V2442" s="75"/>
      <c r="W2442" s="75"/>
      <c r="X2442" s="75"/>
    </row>
    <row r="2443">
      <c r="A2443" s="17"/>
      <c r="B2443" s="17"/>
      <c r="C2443" s="133"/>
      <c r="D2443" s="133"/>
      <c r="E2443" s="17"/>
      <c r="F2443" s="133"/>
      <c r="G2443" s="133"/>
      <c r="H2443" s="133"/>
      <c r="I2443" s="133"/>
      <c r="J2443" s="133"/>
      <c r="K2443" s="133"/>
      <c r="L2443" s="133"/>
      <c r="M2443" s="133"/>
      <c r="N2443" s="133"/>
      <c r="O2443" s="133"/>
      <c r="P2443" s="134"/>
      <c r="Q2443" s="146"/>
      <c r="R2443" s="17"/>
      <c r="S2443" s="17"/>
      <c r="T2443" s="75"/>
      <c r="U2443" s="75"/>
      <c r="V2443" s="75"/>
      <c r="W2443" s="75"/>
      <c r="X2443" s="75"/>
    </row>
    <row r="2444">
      <c r="A2444" s="17"/>
      <c r="B2444" s="17"/>
      <c r="C2444" s="133"/>
      <c r="D2444" s="133"/>
      <c r="E2444" s="17"/>
      <c r="F2444" s="133"/>
      <c r="G2444" s="133"/>
      <c r="H2444" s="133"/>
      <c r="I2444" s="133"/>
      <c r="J2444" s="133"/>
      <c r="K2444" s="133"/>
      <c r="L2444" s="133"/>
      <c r="M2444" s="133"/>
      <c r="N2444" s="133"/>
      <c r="O2444" s="133"/>
      <c r="P2444" s="134"/>
      <c r="Q2444" s="146"/>
      <c r="R2444" s="17"/>
      <c r="S2444" s="17"/>
      <c r="T2444" s="75"/>
      <c r="U2444" s="75"/>
      <c r="V2444" s="75"/>
      <c r="W2444" s="75"/>
      <c r="X2444" s="75"/>
    </row>
    <row r="2445">
      <c r="A2445" s="17"/>
      <c r="B2445" s="17"/>
      <c r="C2445" s="133"/>
      <c r="D2445" s="133"/>
      <c r="E2445" s="17"/>
      <c r="F2445" s="133"/>
      <c r="G2445" s="133"/>
      <c r="H2445" s="133"/>
      <c r="I2445" s="133"/>
      <c r="J2445" s="133"/>
      <c r="K2445" s="133"/>
      <c r="L2445" s="133"/>
      <c r="M2445" s="133"/>
      <c r="N2445" s="133"/>
      <c r="O2445" s="133"/>
      <c r="P2445" s="134"/>
      <c r="Q2445" s="146"/>
      <c r="R2445" s="17"/>
      <c r="S2445" s="17"/>
      <c r="T2445" s="75"/>
      <c r="U2445" s="75"/>
      <c r="V2445" s="75"/>
      <c r="W2445" s="75"/>
      <c r="X2445" s="75"/>
    </row>
    <row r="2446">
      <c r="A2446" s="17"/>
      <c r="B2446" s="17"/>
      <c r="C2446" s="133"/>
      <c r="D2446" s="133"/>
      <c r="E2446" s="17"/>
      <c r="F2446" s="133"/>
      <c r="G2446" s="133"/>
      <c r="H2446" s="133"/>
      <c r="I2446" s="133"/>
      <c r="J2446" s="133"/>
      <c r="K2446" s="133"/>
      <c r="L2446" s="133"/>
      <c r="M2446" s="133"/>
      <c r="N2446" s="133"/>
      <c r="O2446" s="133"/>
      <c r="P2446" s="134"/>
      <c r="Q2446" s="146"/>
      <c r="R2446" s="17"/>
      <c r="S2446" s="17"/>
      <c r="T2446" s="75"/>
      <c r="U2446" s="75"/>
      <c r="V2446" s="75"/>
      <c r="W2446" s="75"/>
      <c r="X2446" s="75"/>
    </row>
    <row r="2447">
      <c r="A2447" s="17"/>
      <c r="B2447" s="17"/>
      <c r="C2447" s="133"/>
      <c r="D2447" s="133"/>
      <c r="E2447" s="17"/>
      <c r="F2447" s="133"/>
      <c r="G2447" s="133"/>
      <c r="H2447" s="133"/>
      <c r="I2447" s="133"/>
      <c r="J2447" s="133"/>
      <c r="K2447" s="133"/>
      <c r="L2447" s="133"/>
      <c r="M2447" s="133"/>
      <c r="N2447" s="133"/>
      <c r="O2447" s="133"/>
      <c r="P2447" s="134"/>
      <c r="Q2447" s="146"/>
      <c r="R2447" s="17"/>
      <c r="S2447" s="17"/>
      <c r="T2447" s="75"/>
      <c r="U2447" s="75"/>
      <c r="V2447" s="75"/>
      <c r="W2447" s="75"/>
      <c r="X2447" s="75"/>
    </row>
    <row r="2448">
      <c r="A2448" s="17"/>
      <c r="B2448" s="17"/>
      <c r="C2448" s="133"/>
      <c r="D2448" s="133"/>
      <c r="E2448" s="17"/>
      <c r="F2448" s="133"/>
      <c r="G2448" s="133"/>
      <c r="H2448" s="133"/>
      <c r="I2448" s="133"/>
      <c r="J2448" s="133"/>
      <c r="K2448" s="133"/>
      <c r="L2448" s="133"/>
      <c r="M2448" s="133"/>
      <c r="N2448" s="133"/>
      <c r="O2448" s="133"/>
      <c r="P2448" s="134"/>
      <c r="Q2448" s="146"/>
      <c r="R2448" s="17"/>
      <c r="S2448" s="17"/>
      <c r="T2448" s="75"/>
      <c r="U2448" s="75"/>
      <c r="V2448" s="75"/>
      <c r="W2448" s="75"/>
      <c r="X2448" s="75"/>
    </row>
    <row r="2449">
      <c r="A2449" s="17"/>
      <c r="B2449" s="17"/>
      <c r="C2449" s="133"/>
      <c r="D2449" s="133"/>
      <c r="E2449" s="17"/>
      <c r="F2449" s="133"/>
      <c r="G2449" s="133"/>
      <c r="H2449" s="133"/>
      <c r="I2449" s="133"/>
      <c r="J2449" s="133"/>
      <c r="K2449" s="133"/>
      <c r="L2449" s="133"/>
      <c r="M2449" s="133"/>
      <c r="N2449" s="133"/>
      <c r="O2449" s="133"/>
      <c r="P2449" s="134"/>
      <c r="Q2449" s="146"/>
      <c r="R2449" s="17"/>
      <c r="S2449" s="17"/>
      <c r="T2449" s="75"/>
      <c r="U2449" s="75"/>
      <c r="V2449" s="75"/>
      <c r="W2449" s="75"/>
      <c r="X2449" s="75"/>
    </row>
    <row r="2450">
      <c r="A2450" s="17"/>
      <c r="B2450" s="17"/>
      <c r="C2450" s="133"/>
      <c r="D2450" s="133"/>
      <c r="E2450" s="17"/>
      <c r="F2450" s="133"/>
      <c r="G2450" s="133"/>
      <c r="H2450" s="133"/>
      <c r="I2450" s="133"/>
      <c r="J2450" s="133"/>
      <c r="K2450" s="133"/>
      <c r="L2450" s="133"/>
      <c r="M2450" s="133"/>
      <c r="N2450" s="133"/>
      <c r="O2450" s="133"/>
      <c r="P2450" s="134"/>
      <c r="Q2450" s="146"/>
      <c r="R2450" s="17"/>
      <c r="S2450" s="17"/>
      <c r="T2450" s="75"/>
      <c r="U2450" s="75"/>
      <c r="V2450" s="75"/>
      <c r="W2450" s="75"/>
      <c r="X2450" s="75"/>
    </row>
    <row r="2451">
      <c r="A2451" s="17"/>
      <c r="B2451" s="17"/>
      <c r="C2451" s="133"/>
      <c r="D2451" s="133"/>
      <c r="E2451" s="17"/>
      <c r="F2451" s="133"/>
      <c r="G2451" s="133"/>
      <c r="H2451" s="133"/>
      <c r="I2451" s="133"/>
      <c r="J2451" s="133"/>
      <c r="K2451" s="133"/>
      <c r="L2451" s="133"/>
      <c r="M2451" s="133"/>
      <c r="N2451" s="133"/>
      <c r="O2451" s="133"/>
      <c r="P2451" s="134"/>
      <c r="Q2451" s="146"/>
      <c r="R2451" s="17"/>
      <c r="S2451" s="17"/>
      <c r="T2451" s="75"/>
      <c r="U2451" s="75"/>
      <c r="V2451" s="75"/>
      <c r="W2451" s="75"/>
      <c r="X2451" s="75"/>
    </row>
    <row r="2452">
      <c r="A2452" s="17"/>
      <c r="B2452" s="17"/>
      <c r="C2452" s="133"/>
      <c r="D2452" s="133"/>
      <c r="E2452" s="17"/>
      <c r="F2452" s="133"/>
      <c r="G2452" s="133"/>
      <c r="H2452" s="133"/>
      <c r="I2452" s="133"/>
      <c r="J2452" s="133"/>
      <c r="K2452" s="133"/>
      <c r="L2452" s="133"/>
      <c r="M2452" s="133"/>
      <c r="N2452" s="133"/>
      <c r="O2452" s="133"/>
      <c r="P2452" s="134"/>
      <c r="Q2452" s="146"/>
      <c r="R2452" s="17"/>
      <c r="S2452" s="17"/>
      <c r="T2452" s="75"/>
      <c r="U2452" s="75"/>
      <c r="V2452" s="75"/>
      <c r="W2452" s="75"/>
      <c r="X2452" s="75"/>
    </row>
    <row r="2453">
      <c r="A2453" s="17"/>
      <c r="B2453" s="17"/>
      <c r="C2453" s="133"/>
      <c r="D2453" s="133"/>
      <c r="E2453" s="17"/>
      <c r="F2453" s="133"/>
      <c r="G2453" s="133"/>
      <c r="H2453" s="133"/>
      <c r="I2453" s="133"/>
      <c r="J2453" s="133"/>
      <c r="K2453" s="133"/>
      <c r="L2453" s="133"/>
      <c r="M2453" s="133"/>
      <c r="N2453" s="133"/>
      <c r="O2453" s="133"/>
      <c r="P2453" s="134"/>
      <c r="Q2453" s="146"/>
      <c r="R2453" s="17"/>
      <c r="S2453" s="17"/>
      <c r="T2453" s="75"/>
      <c r="U2453" s="75"/>
      <c r="V2453" s="75"/>
      <c r="W2453" s="75"/>
      <c r="X2453" s="75"/>
    </row>
    <row r="2454">
      <c r="A2454" s="17"/>
      <c r="B2454" s="17"/>
      <c r="C2454" s="133"/>
      <c r="D2454" s="133"/>
      <c r="E2454" s="17"/>
      <c r="F2454" s="133"/>
      <c r="G2454" s="133"/>
      <c r="H2454" s="133"/>
      <c r="I2454" s="133"/>
      <c r="J2454" s="133"/>
      <c r="K2454" s="133"/>
      <c r="L2454" s="133"/>
      <c r="M2454" s="133"/>
      <c r="N2454" s="133"/>
      <c r="O2454" s="133"/>
      <c r="P2454" s="134"/>
      <c r="Q2454" s="146"/>
      <c r="R2454" s="17"/>
      <c r="S2454" s="17"/>
      <c r="T2454" s="75"/>
      <c r="U2454" s="75"/>
      <c r="V2454" s="75"/>
      <c r="W2454" s="75"/>
      <c r="X2454" s="75"/>
    </row>
    <row r="2455">
      <c r="A2455" s="17"/>
      <c r="B2455" s="17"/>
      <c r="C2455" s="133"/>
      <c r="D2455" s="133"/>
      <c r="E2455" s="17"/>
      <c r="F2455" s="133"/>
      <c r="G2455" s="133"/>
      <c r="H2455" s="133"/>
      <c r="I2455" s="133"/>
      <c r="J2455" s="133"/>
      <c r="K2455" s="133"/>
      <c r="L2455" s="133"/>
      <c r="M2455" s="133"/>
      <c r="N2455" s="133"/>
      <c r="O2455" s="133"/>
      <c r="P2455" s="134"/>
      <c r="Q2455" s="146"/>
      <c r="R2455" s="17"/>
      <c r="S2455" s="17"/>
      <c r="T2455" s="75"/>
      <c r="U2455" s="75"/>
      <c r="V2455" s="75"/>
      <c r="W2455" s="75"/>
      <c r="X2455" s="75"/>
    </row>
    <row r="2456">
      <c r="A2456" s="17"/>
      <c r="B2456" s="17"/>
      <c r="C2456" s="133"/>
      <c r="D2456" s="133"/>
      <c r="E2456" s="17"/>
      <c r="F2456" s="133"/>
      <c r="G2456" s="133"/>
      <c r="H2456" s="133"/>
      <c r="I2456" s="133"/>
      <c r="J2456" s="133"/>
      <c r="K2456" s="133"/>
      <c r="L2456" s="133"/>
      <c r="M2456" s="133"/>
      <c r="N2456" s="133"/>
      <c r="O2456" s="133"/>
      <c r="P2456" s="134"/>
      <c r="Q2456" s="146"/>
      <c r="R2456" s="17"/>
      <c r="S2456" s="17"/>
      <c r="T2456" s="75"/>
      <c r="U2456" s="75"/>
      <c r="V2456" s="75"/>
      <c r="W2456" s="75"/>
      <c r="X2456" s="75"/>
    </row>
    <row r="2457">
      <c r="A2457" s="17"/>
      <c r="B2457" s="17"/>
      <c r="C2457" s="133"/>
      <c r="D2457" s="133"/>
      <c r="E2457" s="17"/>
      <c r="F2457" s="133"/>
      <c r="G2457" s="133"/>
      <c r="H2457" s="133"/>
      <c r="I2457" s="133"/>
      <c r="J2457" s="133"/>
      <c r="K2457" s="133"/>
      <c r="L2457" s="133"/>
      <c r="M2457" s="133"/>
      <c r="N2457" s="133"/>
      <c r="O2457" s="133"/>
      <c r="P2457" s="134"/>
      <c r="Q2457" s="146"/>
      <c r="R2457" s="17"/>
      <c r="S2457" s="17"/>
      <c r="T2457" s="75"/>
      <c r="U2457" s="75"/>
      <c r="V2457" s="75"/>
      <c r="W2457" s="75"/>
      <c r="X2457" s="75"/>
    </row>
    <row r="2458">
      <c r="A2458" s="17"/>
      <c r="B2458" s="17"/>
      <c r="C2458" s="133"/>
      <c r="D2458" s="133"/>
      <c r="E2458" s="17"/>
      <c r="F2458" s="133"/>
      <c r="G2458" s="133"/>
      <c r="H2458" s="133"/>
      <c r="I2458" s="133"/>
      <c r="J2458" s="133"/>
      <c r="K2458" s="133"/>
      <c r="L2458" s="133"/>
      <c r="M2458" s="133"/>
      <c r="N2458" s="133"/>
      <c r="O2458" s="133"/>
      <c r="P2458" s="134"/>
      <c r="Q2458" s="146"/>
      <c r="R2458" s="17"/>
      <c r="S2458" s="17"/>
      <c r="T2458" s="75"/>
      <c r="U2458" s="75"/>
      <c r="V2458" s="75"/>
      <c r="W2458" s="75"/>
      <c r="X2458" s="75"/>
    </row>
    <row r="2459">
      <c r="A2459" s="17"/>
      <c r="B2459" s="17"/>
      <c r="C2459" s="133"/>
      <c r="D2459" s="133"/>
      <c r="E2459" s="17"/>
      <c r="F2459" s="133"/>
      <c r="G2459" s="133"/>
      <c r="H2459" s="133"/>
      <c r="I2459" s="133"/>
      <c r="J2459" s="133"/>
      <c r="K2459" s="133"/>
      <c r="L2459" s="133"/>
      <c r="M2459" s="133"/>
      <c r="N2459" s="133"/>
      <c r="O2459" s="133"/>
      <c r="P2459" s="134"/>
      <c r="Q2459" s="146"/>
      <c r="R2459" s="17"/>
      <c r="S2459" s="17"/>
      <c r="T2459" s="75"/>
      <c r="U2459" s="75"/>
      <c r="V2459" s="75"/>
      <c r="W2459" s="75"/>
      <c r="X2459" s="75"/>
    </row>
    <row r="2460">
      <c r="A2460" s="17"/>
      <c r="B2460" s="17"/>
      <c r="C2460" s="133"/>
      <c r="D2460" s="133"/>
      <c r="E2460" s="17"/>
      <c r="F2460" s="133"/>
      <c r="G2460" s="133"/>
      <c r="H2460" s="133"/>
      <c r="I2460" s="133"/>
      <c r="J2460" s="133"/>
      <c r="K2460" s="133"/>
      <c r="L2460" s="133"/>
      <c r="M2460" s="133"/>
      <c r="N2460" s="133"/>
      <c r="O2460" s="133"/>
      <c r="P2460" s="134"/>
      <c r="Q2460" s="146"/>
      <c r="R2460" s="17"/>
      <c r="S2460" s="17"/>
      <c r="T2460" s="75"/>
      <c r="U2460" s="75"/>
      <c r="V2460" s="75"/>
      <c r="W2460" s="75"/>
      <c r="X2460" s="75"/>
    </row>
    <row r="2461">
      <c r="A2461" s="17"/>
      <c r="B2461" s="17"/>
      <c r="C2461" s="133"/>
      <c r="D2461" s="133"/>
      <c r="E2461" s="17"/>
      <c r="F2461" s="133"/>
      <c r="G2461" s="133"/>
      <c r="H2461" s="133"/>
      <c r="I2461" s="133"/>
      <c r="J2461" s="133"/>
      <c r="K2461" s="133"/>
      <c r="L2461" s="133"/>
      <c r="M2461" s="133"/>
      <c r="N2461" s="133"/>
      <c r="O2461" s="133"/>
      <c r="P2461" s="134"/>
      <c r="Q2461" s="146"/>
      <c r="R2461" s="17"/>
      <c r="S2461" s="17"/>
      <c r="T2461" s="75"/>
      <c r="U2461" s="75"/>
      <c r="V2461" s="75"/>
      <c r="W2461" s="75"/>
      <c r="X2461" s="75"/>
    </row>
    <row r="2462">
      <c r="A2462" s="17"/>
      <c r="B2462" s="17"/>
      <c r="C2462" s="133"/>
      <c r="D2462" s="133"/>
      <c r="E2462" s="17"/>
      <c r="F2462" s="133"/>
      <c r="G2462" s="133"/>
      <c r="H2462" s="133"/>
      <c r="I2462" s="133"/>
      <c r="J2462" s="133"/>
      <c r="K2462" s="133"/>
      <c r="L2462" s="133"/>
      <c r="M2462" s="133"/>
      <c r="N2462" s="133"/>
      <c r="O2462" s="133"/>
      <c r="P2462" s="134"/>
      <c r="Q2462" s="146"/>
      <c r="R2462" s="17"/>
      <c r="S2462" s="17"/>
      <c r="T2462" s="75"/>
      <c r="U2462" s="75"/>
      <c r="V2462" s="75"/>
      <c r="W2462" s="75"/>
      <c r="X2462" s="75"/>
    </row>
    <row r="2463">
      <c r="A2463" s="17"/>
      <c r="B2463" s="17"/>
      <c r="C2463" s="133"/>
      <c r="D2463" s="133"/>
      <c r="E2463" s="17"/>
      <c r="F2463" s="133"/>
      <c r="G2463" s="133"/>
      <c r="H2463" s="133"/>
      <c r="I2463" s="133"/>
      <c r="J2463" s="133"/>
      <c r="K2463" s="133"/>
      <c r="L2463" s="133"/>
      <c r="M2463" s="133"/>
      <c r="N2463" s="133"/>
      <c r="O2463" s="133"/>
      <c r="P2463" s="134"/>
      <c r="Q2463" s="146"/>
      <c r="R2463" s="17"/>
      <c r="S2463" s="17"/>
      <c r="T2463" s="75"/>
      <c r="U2463" s="75"/>
      <c r="V2463" s="75"/>
      <c r="W2463" s="75"/>
      <c r="X2463" s="75"/>
    </row>
    <row r="2464">
      <c r="A2464" s="17"/>
      <c r="B2464" s="17"/>
      <c r="C2464" s="133"/>
      <c r="D2464" s="133"/>
      <c r="E2464" s="17"/>
      <c r="F2464" s="133"/>
      <c r="G2464" s="133"/>
      <c r="H2464" s="133"/>
      <c r="I2464" s="133"/>
      <c r="J2464" s="133"/>
      <c r="K2464" s="133"/>
      <c r="L2464" s="133"/>
      <c r="M2464" s="133"/>
      <c r="N2464" s="133"/>
      <c r="O2464" s="133"/>
      <c r="P2464" s="134"/>
      <c r="Q2464" s="146"/>
      <c r="R2464" s="17"/>
      <c r="S2464" s="17"/>
      <c r="T2464" s="75"/>
      <c r="U2464" s="75"/>
      <c r="V2464" s="75"/>
      <c r="W2464" s="75"/>
      <c r="X2464" s="75"/>
    </row>
    <row r="2465">
      <c r="A2465" s="17"/>
      <c r="B2465" s="17"/>
      <c r="C2465" s="133"/>
      <c r="D2465" s="133"/>
      <c r="E2465" s="17"/>
      <c r="F2465" s="133"/>
      <c r="G2465" s="133"/>
      <c r="H2465" s="133"/>
      <c r="I2465" s="133"/>
      <c r="J2465" s="133"/>
      <c r="K2465" s="133"/>
      <c r="L2465" s="133"/>
      <c r="M2465" s="133"/>
      <c r="N2465" s="133"/>
      <c r="O2465" s="133"/>
      <c r="P2465" s="134"/>
      <c r="Q2465" s="146"/>
      <c r="R2465" s="17"/>
      <c r="S2465" s="17"/>
      <c r="T2465" s="75"/>
      <c r="U2465" s="75"/>
      <c r="V2465" s="75"/>
      <c r="W2465" s="75"/>
      <c r="X2465" s="75"/>
    </row>
    <row r="2466">
      <c r="A2466" s="17"/>
      <c r="B2466" s="17"/>
      <c r="C2466" s="133"/>
      <c r="D2466" s="133"/>
      <c r="E2466" s="17"/>
      <c r="F2466" s="133"/>
      <c r="G2466" s="133"/>
      <c r="H2466" s="133"/>
      <c r="I2466" s="133"/>
      <c r="J2466" s="133"/>
      <c r="K2466" s="133"/>
      <c r="L2466" s="133"/>
      <c r="M2466" s="133"/>
      <c r="N2466" s="133"/>
      <c r="O2466" s="133"/>
      <c r="P2466" s="134"/>
      <c r="Q2466" s="146"/>
      <c r="R2466" s="17"/>
      <c r="S2466" s="17"/>
      <c r="T2466" s="75"/>
      <c r="U2466" s="75"/>
      <c r="V2466" s="75"/>
      <c r="W2466" s="75"/>
      <c r="X2466" s="75"/>
    </row>
    <row r="2467">
      <c r="A2467" s="17"/>
      <c r="B2467" s="17"/>
      <c r="C2467" s="133"/>
      <c r="D2467" s="133"/>
      <c r="E2467" s="17"/>
      <c r="F2467" s="133"/>
      <c r="G2467" s="133"/>
      <c r="H2467" s="133"/>
      <c r="I2467" s="133"/>
      <c r="J2467" s="133"/>
      <c r="K2467" s="133"/>
      <c r="L2467" s="133"/>
      <c r="M2467" s="133"/>
      <c r="N2467" s="133"/>
      <c r="O2467" s="133"/>
      <c r="P2467" s="134"/>
      <c r="Q2467" s="146"/>
      <c r="R2467" s="17"/>
      <c r="S2467" s="17"/>
      <c r="T2467" s="75"/>
      <c r="U2467" s="75"/>
      <c r="V2467" s="75"/>
      <c r="W2467" s="75"/>
      <c r="X2467" s="75"/>
    </row>
    <row r="2468">
      <c r="A2468" s="17"/>
      <c r="B2468" s="17"/>
      <c r="C2468" s="133"/>
      <c r="D2468" s="133"/>
      <c r="E2468" s="17"/>
      <c r="F2468" s="133"/>
      <c r="G2468" s="133"/>
      <c r="H2468" s="133"/>
      <c r="I2468" s="133"/>
      <c r="J2468" s="133"/>
      <c r="K2468" s="133"/>
      <c r="L2468" s="133"/>
      <c r="M2468" s="133"/>
      <c r="N2468" s="133"/>
      <c r="O2468" s="133"/>
      <c r="P2468" s="134"/>
      <c r="Q2468" s="146"/>
      <c r="R2468" s="17"/>
      <c r="S2468" s="17"/>
      <c r="T2468" s="75"/>
      <c r="U2468" s="75"/>
      <c r="V2468" s="75"/>
      <c r="W2468" s="75"/>
      <c r="X2468" s="75"/>
    </row>
    <row r="2469">
      <c r="A2469" s="17"/>
      <c r="B2469" s="17"/>
      <c r="C2469" s="133"/>
      <c r="D2469" s="133"/>
      <c r="E2469" s="17"/>
      <c r="F2469" s="133"/>
      <c r="G2469" s="133"/>
      <c r="H2469" s="133"/>
      <c r="I2469" s="133"/>
      <c r="J2469" s="133"/>
      <c r="K2469" s="133"/>
      <c r="L2469" s="133"/>
      <c r="M2469" s="133"/>
      <c r="N2469" s="133"/>
      <c r="O2469" s="133"/>
      <c r="P2469" s="134"/>
      <c r="Q2469" s="146"/>
      <c r="R2469" s="17"/>
      <c r="S2469" s="17"/>
      <c r="T2469" s="75"/>
      <c r="U2469" s="75"/>
      <c r="V2469" s="75"/>
      <c r="W2469" s="75"/>
      <c r="X2469" s="75"/>
    </row>
    <row r="2470">
      <c r="A2470" s="17"/>
      <c r="B2470" s="17"/>
      <c r="C2470" s="133"/>
      <c r="D2470" s="133"/>
      <c r="E2470" s="17"/>
      <c r="F2470" s="133"/>
      <c r="G2470" s="133"/>
      <c r="H2470" s="133"/>
      <c r="I2470" s="133"/>
      <c r="J2470" s="133"/>
      <c r="K2470" s="133"/>
      <c r="L2470" s="133"/>
      <c r="M2470" s="133"/>
      <c r="N2470" s="133"/>
      <c r="O2470" s="133"/>
      <c r="P2470" s="134"/>
      <c r="Q2470" s="146"/>
      <c r="R2470" s="17"/>
      <c r="S2470" s="17"/>
      <c r="T2470" s="75"/>
      <c r="U2470" s="75"/>
      <c r="V2470" s="75"/>
      <c r="W2470" s="75"/>
      <c r="X2470" s="75"/>
    </row>
    <row r="2471">
      <c r="A2471" s="17"/>
      <c r="B2471" s="17"/>
      <c r="C2471" s="133"/>
      <c r="D2471" s="133"/>
      <c r="E2471" s="17"/>
      <c r="F2471" s="133"/>
      <c r="G2471" s="133"/>
      <c r="H2471" s="133"/>
      <c r="I2471" s="133"/>
      <c r="J2471" s="133"/>
      <c r="K2471" s="133"/>
      <c r="L2471" s="133"/>
      <c r="M2471" s="133"/>
      <c r="N2471" s="133"/>
      <c r="O2471" s="133"/>
      <c r="P2471" s="134"/>
      <c r="Q2471" s="146"/>
      <c r="R2471" s="17"/>
      <c r="S2471" s="17"/>
      <c r="T2471" s="75"/>
      <c r="U2471" s="75"/>
      <c r="V2471" s="75"/>
      <c r="W2471" s="75"/>
      <c r="X2471" s="75"/>
    </row>
    <row r="2472">
      <c r="A2472" s="17"/>
      <c r="B2472" s="17"/>
      <c r="C2472" s="133"/>
      <c r="D2472" s="133"/>
      <c r="E2472" s="17"/>
      <c r="F2472" s="133"/>
      <c r="G2472" s="133"/>
      <c r="H2472" s="133"/>
      <c r="I2472" s="133"/>
      <c r="J2472" s="133"/>
      <c r="K2472" s="133"/>
      <c r="L2472" s="133"/>
      <c r="M2472" s="133"/>
      <c r="N2472" s="133"/>
      <c r="O2472" s="133"/>
      <c r="P2472" s="134"/>
      <c r="Q2472" s="146"/>
      <c r="R2472" s="17"/>
      <c r="S2472" s="17"/>
      <c r="T2472" s="75"/>
      <c r="U2472" s="75"/>
      <c r="V2472" s="75"/>
      <c r="W2472" s="75"/>
      <c r="X2472" s="75"/>
    </row>
    <row r="2473">
      <c r="A2473" s="17"/>
      <c r="B2473" s="17"/>
      <c r="C2473" s="133"/>
      <c r="D2473" s="133"/>
      <c r="E2473" s="17"/>
      <c r="F2473" s="133"/>
      <c r="G2473" s="133"/>
      <c r="H2473" s="133"/>
      <c r="I2473" s="133"/>
      <c r="J2473" s="133"/>
      <c r="K2473" s="133"/>
      <c r="L2473" s="133"/>
      <c r="M2473" s="133"/>
      <c r="N2473" s="133"/>
      <c r="O2473" s="133"/>
      <c r="P2473" s="134"/>
      <c r="Q2473" s="146"/>
      <c r="R2473" s="17"/>
      <c r="S2473" s="17"/>
      <c r="T2473" s="75"/>
      <c r="U2473" s="75"/>
      <c r="V2473" s="75"/>
      <c r="W2473" s="75"/>
      <c r="X2473" s="75"/>
    </row>
    <row r="2474">
      <c r="A2474" s="17"/>
      <c r="B2474" s="17"/>
      <c r="C2474" s="133"/>
      <c r="D2474" s="133"/>
      <c r="E2474" s="17"/>
      <c r="F2474" s="133"/>
      <c r="G2474" s="133"/>
      <c r="H2474" s="133"/>
      <c r="I2474" s="133"/>
      <c r="J2474" s="133"/>
      <c r="K2474" s="133"/>
      <c r="L2474" s="133"/>
      <c r="M2474" s="133"/>
      <c r="N2474" s="133"/>
      <c r="O2474" s="133"/>
      <c r="P2474" s="134"/>
      <c r="Q2474" s="146"/>
      <c r="R2474" s="17"/>
      <c r="S2474" s="17"/>
      <c r="T2474" s="75"/>
      <c r="U2474" s="75"/>
      <c r="V2474" s="75"/>
      <c r="W2474" s="75"/>
      <c r="X2474" s="75"/>
    </row>
    <row r="2475">
      <c r="A2475" s="17"/>
      <c r="B2475" s="17"/>
      <c r="C2475" s="133"/>
      <c r="D2475" s="133"/>
      <c r="E2475" s="17"/>
      <c r="F2475" s="133"/>
      <c r="G2475" s="133"/>
      <c r="H2475" s="133"/>
      <c r="I2475" s="133"/>
      <c r="J2475" s="133"/>
      <c r="K2475" s="133"/>
      <c r="L2475" s="133"/>
      <c r="M2475" s="133"/>
      <c r="N2475" s="133"/>
      <c r="O2475" s="133"/>
      <c r="P2475" s="134"/>
      <c r="Q2475" s="146"/>
      <c r="R2475" s="17"/>
      <c r="S2475" s="17"/>
      <c r="T2475" s="75"/>
      <c r="U2475" s="75"/>
      <c r="V2475" s="75"/>
      <c r="W2475" s="75"/>
      <c r="X2475" s="75"/>
    </row>
    <row r="2476">
      <c r="A2476" s="17"/>
      <c r="B2476" s="17"/>
      <c r="C2476" s="133"/>
      <c r="D2476" s="133"/>
      <c r="E2476" s="17"/>
      <c r="F2476" s="133"/>
      <c r="G2476" s="133"/>
      <c r="H2476" s="133"/>
      <c r="I2476" s="133"/>
      <c r="J2476" s="133"/>
      <c r="K2476" s="133"/>
      <c r="L2476" s="133"/>
      <c r="M2476" s="133"/>
      <c r="N2476" s="133"/>
      <c r="O2476" s="133"/>
      <c r="P2476" s="134"/>
      <c r="Q2476" s="146"/>
      <c r="R2476" s="17"/>
      <c r="S2476" s="17"/>
      <c r="T2476" s="75"/>
      <c r="U2476" s="75"/>
      <c r="V2476" s="75"/>
      <c r="W2476" s="75"/>
      <c r="X2476" s="75"/>
    </row>
    <row r="2477">
      <c r="A2477" s="17"/>
      <c r="B2477" s="17"/>
      <c r="C2477" s="133"/>
      <c r="D2477" s="133"/>
      <c r="E2477" s="17"/>
      <c r="F2477" s="133"/>
      <c r="G2477" s="133"/>
      <c r="H2477" s="133"/>
      <c r="I2477" s="133"/>
      <c r="J2477" s="133"/>
      <c r="K2477" s="133"/>
      <c r="L2477" s="133"/>
      <c r="M2477" s="133"/>
      <c r="N2477" s="133"/>
      <c r="O2477" s="133"/>
      <c r="P2477" s="134"/>
      <c r="Q2477" s="146"/>
      <c r="R2477" s="17"/>
      <c r="S2477" s="17"/>
      <c r="T2477" s="75"/>
      <c r="U2477" s="75"/>
      <c r="V2477" s="75"/>
      <c r="W2477" s="75"/>
      <c r="X2477" s="75"/>
    </row>
    <row r="2478">
      <c r="A2478" s="17"/>
      <c r="B2478" s="17"/>
      <c r="C2478" s="133"/>
      <c r="D2478" s="133"/>
      <c r="E2478" s="17"/>
      <c r="F2478" s="133"/>
      <c r="G2478" s="133"/>
      <c r="H2478" s="133"/>
      <c r="I2478" s="133"/>
      <c r="J2478" s="133"/>
      <c r="K2478" s="133"/>
      <c r="L2478" s="133"/>
      <c r="M2478" s="133"/>
      <c r="N2478" s="133"/>
      <c r="O2478" s="133"/>
      <c r="P2478" s="134"/>
      <c r="Q2478" s="146"/>
      <c r="R2478" s="17"/>
      <c r="S2478" s="17"/>
      <c r="T2478" s="75"/>
      <c r="U2478" s="75"/>
      <c r="V2478" s="75"/>
      <c r="W2478" s="75"/>
      <c r="X2478" s="75"/>
    </row>
    <row r="2479">
      <c r="A2479" s="17"/>
      <c r="B2479" s="17"/>
      <c r="C2479" s="133"/>
      <c r="D2479" s="133"/>
      <c r="E2479" s="17"/>
      <c r="F2479" s="133"/>
      <c r="G2479" s="133"/>
      <c r="H2479" s="133"/>
      <c r="I2479" s="133"/>
      <c r="J2479" s="133"/>
      <c r="K2479" s="133"/>
      <c r="L2479" s="133"/>
      <c r="M2479" s="133"/>
      <c r="N2479" s="133"/>
      <c r="O2479" s="133"/>
      <c r="P2479" s="134"/>
      <c r="Q2479" s="146"/>
      <c r="R2479" s="17"/>
      <c r="S2479" s="17"/>
      <c r="T2479" s="75"/>
      <c r="U2479" s="75"/>
      <c r="V2479" s="75"/>
      <c r="W2479" s="75"/>
      <c r="X2479" s="75"/>
    </row>
    <row r="2480">
      <c r="A2480" s="17"/>
      <c r="B2480" s="17"/>
      <c r="C2480" s="133"/>
      <c r="D2480" s="133"/>
      <c r="E2480" s="17"/>
      <c r="F2480" s="133"/>
      <c r="G2480" s="133"/>
      <c r="H2480" s="133"/>
      <c r="I2480" s="133"/>
      <c r="J2480" s="133"/>
      <c r="K2480" s="133"/>
      <c r="L2480" s="133"/>
      <c r="M2480" s="133"/>
      <c r="N2480" s="133"/>
      <c r="O2480" s="133"/>
      <c r="P2480" s="134"/>
      <c r="Q2480" s="146"/>
      <c r="R2480" s="17"/>
      <c r="S2480" s="17"/>
      <c r="T2480" s="75"/>
      <c r="U2480" s="75"/>
      <c r="V2480" s="75"/>
      <c r="W2480" s="75"/>
      <c r="X2480" s="75"/>
    </row>
    <row r="2481">
      <c r="A2481" s="17"/>
      <c r="B2481" s="17"/>
      <c r="C2481" s="133"/>
      <c r="D2481" s="133"/>
      <c r="E2481" s="17"/>
      <c r="F2481" s="133"/>
      <c r="G2481" s="133"/>
      <c r="H2481" s="133"/>
      <c r="I2481" s="133"/>
      <c r="J2481" s="133"/>
      <c r="K2481" s="133"/>
      <c r="L2481" s="133"/>
      <c r="M2481" s="133"/>
      <c r="N2481" s="133"/>
      <c r="O2481" s="133"/>
      <c r="P2481" s="134"/>
      <c r="Q2481" s="146"/>
      <c r="R2481" s="17"/>
      <c r="S2481" s="17"/>
      <c r="T2481" s="75"/>
      <c r="U2481" s="75"/>
      <c r="V2481" s="75"/>
      <c r="W2481" s="75"/>
      <c r="X2481" s="75"/>
    </row>
    <row r="2482">
      <c r="A2482" s="17"/>
      <c r="B2482" s="17"/>
      <c r="C2482" s="133"/>
      <c r="D2482" s="133"/>
      <c r="E2482" s="17"/>
      <c r="F2482" s="133"/>
      <c r="G2482" s="133"/>
      <c r="H2482" s="133"/>
      <c r="I2482" s="133"/>
      <c r="J2482" s="133"/>
      <c r="K2482" s="133"/>
      <c r="L2482" s="133"/>
      <c r="M2482" s="133"/>
      <c r="N2482" s="133"/>
      <c r="O2482" s="133"/>
      <c r="P2482" s="134"/>
      <c r="Q2482" s="146"/>
      <c r="R2482" s="17"/>
      <c r="S2482" s="17"/>
      <c r="T2482" s="75"/>
      <c r="U2482" s="75"/>
      <c r="V2482" s="75"/>
      <c r="W2482" s="75"/>
      <c r="X2482" s="75"/>
    </row>
    <row r="2483">
      <c r="A2483" s="17"/>
      <c r="B2483" s="17"/>
      <c r="C2483" s="133"/>
      <c r="D2483" s="133"/>
      <c r="E2483" s="17"/>
      <c r="F2483" s="133"/>
      <c r="G2483" s="133"/>
      <c r="H2483" s="133"/>
      <c r="I2483" s="133"/>
      <c r="J2483" s="133"/>
      <c r="K2483" s="133"/>
      <c r="L2483" s="133"/>
      <c r="M2483" s="133"/>
      <c r="N2483" s="133"/>
      <c r="O2483" s="133"/>
      <c r="P2483" s="134"/>
      <c r="Q2483" s="146"/>
      <c r="R2483" s="17"/>
      <c r="S2483" s="17"/>
      <c r="T2483" s="75"/>
      <c r="U2483" s="75"/>
      <c r="V2483" s="75"/>
      <c r="W2483" s="75"/>
      <c r="X2483" s="75"/>
    </row>
    <row r="2484">
      <c r="A2484" s="17"/>
      <c r="B2484" s="17"/>
      <c r="C2484" s="133"/>
      <c r="D2484" s="133"/>
      <c r="E2484" s="17"/>
      <c r="F2484" s="133"/>
      <c r="G2484" s="133"/>
      <c r="H2484" s="133"/>
      <c r="I2484" s="133"/>
      <c r="J2484" s="133"/>
      <c r="K2484" s="133"/>
      <c r="L2484" s="133"/>
      <c r="M2484" s="133"/>
      <c r="N2484" s="133"/>
      <c r="O2484" s="133"/>
      <c r="P2484" s="134"/>
      <c r="Q2484" s="146"/>
      <c r="R2484" s="17"/>
      <c r="S2484" s="17"/>
      <c r="T2484" s="75"/>
      <c r="U2484" s="75"/>
      <c r="V2484" s="75"/>
      <c r="W2484" s="75"/>
      <c r="X2484" s="75"/>
    </row>
    <row r="2485">
      <c r="A2485" s="17"/>
      <c r="B2485" s="17"/>
      <c r="C2485" s="133"/>
      <c r="D2485" s="133"/>
      <c r="E2485" s="17"/>
      <c r="F2485" s="133"/>
      <c r="G2485" s="133"/>
      <c r="H2485" s="133"/>
      <c r="I2485" s="133"/>
      <c r="J2485" s="133"/>
      <c r="K2485" s="133"/>
      <c r="L2485" s="133"/>
      <c r="M2485" s="133"/>
      <c r="N2485" s="133"/>
      <c r="O2485" s="133"/>
      <c r="P2485" s="134"/>
      <c r="Q2485" s="146"/>
      <c r="R2485" s="17"/>
      <c r="S2485" s="17"/>
      <c r="T2485" s="75"/>
      <c r="U2485" s="75"/>
      <c r="V2485" s="75"/>
      <c r="W2485" s="75"/>
      <c r="X2485" s="75"/>
    </row>
    <row r="2486">
      <c r="A2486" s="17"/>
      <c r="B2486" s="17"/>
      <c r="C2486" s="133"/>
      <c r="D2486" s="133"/>
      <c r="E2486" s="17"/>
      <c r="F2486" s="133"/>
      <c r="G2486" s="133"/>
      <c r="H2486" s="133"/>
      <c r="I2486" s="133"/>
      <c r="J2486" s="133"/>
      <c r="K2486" s="133"/>
      <c r="L2486" s="133"/>
      <c r="M2486" s="133"/>
      <c r="N2486" s="133"/>
      <c r="O2486" s="133"/>
      <c r="P2486" s="134"/>
      <c r="Q2486" s="146"/>
      <c r="R2486" s="17"/>
      <c r="S2486" s="17"/>
      <c r="T2486" s="75"/>
      <c r="U2486" s="75"/>
      <c r="V2486" s="75"/>
      <c r="W2486" s="75"/>
      <c r="X2486" s="75"/>
    </row>
    <row r="2487">
      <c r="A2487" s="17"/>
      <c r="B2487" s="17"/>
      <c r="C2487" s="133"/>
      <c r="D2487" s="133"/>
      <c r="E2487" s="17"/>
      <c r="F2487" s="133"/>
      <c r="G2487" s="133"/>
      <c r="H2487" s="133"/>
      <c r="I2487" s="133"/>
      <c r="J2487" s="133"/>
      <c r="K2487" s="133"/>
      <c r="L2487" s="133"/>
      <c r="M2487" s="133"/>
      <c r="N2487" s="133"/>
      <c r="O2487" s="133"/>
      <c r="P2487" s="134"/>
      <c r="Q2487" s="146"/>
      <c r="R2487" s="17"/>
      <c r="S2487" s="17"/>
      <c r="T2487" s="75"/>
      <c r="U2487" s="75"/>
      <c r="V2487" s="75"/>
      <c r="W2487" s="75"/>
      <c r="X2487" s="75"/>
    </row>
    <row r="2488">
      <c r="A2488" s="17"/>
      <c r="B2488" s="17"/>
      <c r="C2488" s="133"/>
      <c r="D2488" s="133"/>
      <c r="E2488" s="17"/>
      <c r="F2488" s="133"/>
      <c r="G2488" s="133"/>
      <c r="H2488" s="133"/>
      <c r="I2488" s="133"/>
      <c r="J2488" s="133"/>
      <c r="K2488" s="133"/>
      <c r="L2488" s="133"/>
      <c r="M2488" s="133"/>
      <c r="N2488" s="133"/>
      <c r="O2488" s="133"/>
      <c r="P2488" s="134"/>
      <c r="Q2488" s="146"/>
      <c r="R2488" s="17"/>
      <c r="S2488" s="17"/>
      <c r="T2488" s="75"/>
      <c r="U2488" s="75"/>
      <c r="V2488" s="75"/>
      <c r="W2488" s="75"/>
      <c r="X2488" s="75"/>
    </row>
    <row r="2489">
      <c r="A2489" s="17"/>
      <c r="B2489" s="17"/>
      <c r="C2489" s="133"/>
      <c r="D2489" s="133"/>
      <c r="E2489" s="17"/>
      <c r="F2489" s="133"/>
      <c r="G2489" s="133"/>
      <c r="H2489" s="133"/>
      <c r="I2489" s="133"/>
      <c r="J2489" s="133"/>
      <c r="K2489" s="133"/>
      <c r="L2489" s="133"/>
      <c r="M2489" s="133"/>
      <c r="N2489" s="133"/>
      <c r="O2489" s="133"/>
      <c r="P2489" s="134"/>
      <c r="Q2489" s="146"/>
      <c r="R2489" s="17"/>
      <c r="S2489" s="17"/>
      <c r="T2489" s="75"/>
      <c r="U2489" s="75"/>
      <c r="V2489" s="75"/>
      <c r="W2489" s="75"/>
      <c r="X2489" s="75"/>
    </row>
    <row r="2490">
      <c r="A2490" s="17"/>
      <c r="B2490" s="17"/>
      <c r="C2490" s="133"/>
      <c r="D2490" s="133"/>
      <c r="E2490" s="17"/>
      <c r="F2490" s="133"/>
      <c r="G2490" s="133"/>
      <c r="H2490" s="133"/>
      <c r="I2490" s="133"/>
      <c r="J2490" s="133"/>
      <c r="K2490" s="133"/>
      <c r="L2490" s="133"/>
      <c r="M2490" s="133"/>
      <c r="N2490" s="133"/>
      <c r="O2490" s="133"/>
      <c r="P2490" s="134"/>
      <c r="Q2490" s="146"/>
      <c r="R2490" s="17"/>
      <c r="S2490" s="17"/>
      <c r="T2490" s="75"/>
      <c r="U2490" s="75"/>
      <c r="V2490" s="75"/>
      <c r="W2490" s="75"/>
      <c r="X2490" s="75"/>
    </row>
    <row r="2491">
      <c r="A2491" s="17"/>
      <c r="B2491" s="17"/>
      <c r="C2491" s="133"/>
      <c r="D2491" s="133"/>
      <c r="E2491" s="17"/>
      <c r="F2491" s="133"/>
      <c r="G2491" s="133"/>
      <c r="H2491" s="133"/>
      <c r="I2491" s="133"/>
      <c r="J2491" s="133"/>
      <c r="K2491" s="133"/>
      <c r="L2491" s="133"/>
      <c r="M2491" s="133"/>
      <c r="N2491" s="133"/>
      <c r="O2491" s="133"/>
      <c r="P2491" s="134"/>
      <c r="Q2491" s="146"/>
      <c r="R2491" s="17"/>
      <c r="S2491" s="17"/>
      <c r="T2491" s="75"/>
      <c r="U2491" s="75"/>
      <c r="V2491" s="75"/>
      <c r="W2491" s="75"/>
      <c r="X2491" s="75"/>
    </row>
    <row r="2492">
      <c r="A2492" s="17"/>
      <c r="B2492" s="17"/>
      <c r="C2492" s="133"/>
      <c r="D2492" s="133"/>
      <c r="E2492" s="17"/>
      <c r="F2492" s="133"/>
      <c r="G2492" s="133"/>
      <c r="H2492" s="133"/>
      <c r="I2492" s="133"/>
      <c r="J2492" s="133"/>
      <c r="K2492" s="133"/>
      <c r="L2492" s="133"/>
      <c r="M2492" s="133"/>
      <c r="N2492" s="133"/>
      <c r="O2492" s="133"/>
      <c r="P2492" s="134"/>
      <c r="Q2492" s="146"/>
      <c r="R2492" s="17"/>
      <c r="S2492" s="17"/>
      <c r="T2492" s="75"/>
      <c r="U2492" s="75"/>
      <c r="V2492" s="75"/>
      <c r="W2492" s="75"/>
      <c r="X2492" s="75"/>
    </row>
    <row r="2493">
      <c r="A2493" s="17"/>
      <c r="B2493" s="17"/>
      <c r="C2493" s="133"/>
      <c r="D2493" s="133"/>
      <c r="E2493" s="17"/>
      <c r="F2493" s="133"/>
      <c r="G2493" s="133"/>
      <c r="H2493" s="133"/>
      <c r="I2493" s="133"/>
      <c r="J2493" s="133"/>
      <c r="K2493" s="133"/>
      <c r="L2493" s="133"/>
      <c r="M2493" s="133"/>
      <c r="N2493" s="133"/>
      <c r="O2493" s="133"/>
      <c r="P2493" s="134"/>
      <c r="Q2493" s="146"/>
      <c r="R2493" s="17"/>
      <c r="S2493" s="17"/>
      <c r="T2493" s="75"/>
      <c r="U2493" s="75"/>
      <c r="V2493" s="75"/>
      <c r="W2493" s="75"/>
      <c r="X2493" s="75"/>
    </row>
    <row r="2494">
      <c r="A2494" s="17"/>
      <c r="B2494" s="17"/>
      <c r="C2494" s="133"/>
      <c r="D2494" s="133"/>
      <c r="E2494" s="17"/>
      <c r="F2494" s="133"/>
      <c r="G2494" s="133"/>
      <c r="H2494" s="133"/>
      <c r="I2494" s="133"/>
      <c r="J2494" s="133"/>
      <c r="K2494" s="133"/>
      <c r="L2494" s="133"/>
      <c r="M2494" s="133"/>
      <c r="N2494" s="133"/>
      <c r="O2494" s="133"/>
      <c r="P2494" s="134"/>
      <c r="Q2494" s="146"/>
      <c r="R2494" s="17"/>
      <c r="S2494" s="17"/>
      <c r="T2494" s="75"/>
      <c r="U2494" s="75"/>
      <c r="V2494" s="75"/>
      <c r="W2494" s="75"/>
      <c r="X2494" s="75"/>
    </row>
    <row r="2495">
      <c r="A2495" s="17"/>
      <c r="B2495" s="17"/>
      <c r="C2495" s="133"/>
      <c r="D2495" s="133"/>
      <c r="E2495" s="17"/>
      <c r="F2495" s="133"/>
      <c r="G2495" s="133"/>
      <c r="H2495" s="133"/>
      <c r="I2495" s="133"/>
      <c r="J2495" s="133"/>
      <c r="K2495" s="133"/>
      <c r="L2495" s="133"/>
      <c r="M2495" s="133"/>
      <c r="N2495" s="133"/>
      <c r="O2495" s="133"/>
      <c r="P2495" s="134"/>
      <c r="Q2495" s="146"/>
      <c r="R2495" s="17"/>
      <c r="S2495" s="17"/>
      <c r="T2495" s="75"/>
      <c r="U2495" s="75"/>
      <c r="V2495" s="75"/>
      <c r="W2495" s="75"/>
      <c r="X2495" s="75"/>
    </row>
    <row r="2496">
      <c r="A2496" s="17"/>
      <c r="B2496" s="17"/>
      <c r="C2496" s="133"/>
      <c r="D2496" s="133"/>
      <c r="E2496" s="17"/>
      <c r="F2496" s="133"/>
      <c r="G2496" s="133"/>
      <c r="H2496" s="133"/>
      <c r="I2496" s="133"/>
      <c r="J2496" s="133"/>
      <c r="K2496" s="133"/>
      <c r="L2496" s="133"/>
      <c r="M2496" s="133"/>
      <c r="N2496" s="133"/>
      <c r="O2496" s="133"/>
      <c r="P2496" s="134"/>
      <c r="Q2496" s="146"/>
      <c r="R2496" s="17"/>
      <c r="S2496" s="17"/>
      <c r="T2496" s="75"/>
      <c r="U2496" s="75"/>
      <c r="V2496" s="75"/>
      <c r="W2496" s="75"/>
      <c r="X2496" s="75"/>
    </row>
    <row r="2497">
      <c r="A2497" s="17"/>
      <c r="B2497" s="17"/>
      <c r="C2497" s="133"/>
      <c r="D2497" s="133"/>
      <c r="E2497" s="17"/>
      <c r="F2497" s="133"/>
      <c r="G2497" s="133"/>
      <c r="H2497" s="133"/>
      <c r="I2497" s="133"/>
      <c r="J2497" s="133"/>
      <c r="K2497" s="133"/>
      <c r="L2497" s="133"/>
      <c r="M2497" s="133"/>
      <c r="N2497" s="133"/>
      <c r="O2497" s="133"/>
      <c r="P2497" s="134"/>
      <c r="Q2497" s="146"/>
      <c r="R2497" s="17"/>
      <c r="S2497" s="17"/>
      <c r="T2497" s="75"/>
      <c r="U2497" s="75"/>
      <c r="V2497" s="75"/>
      <c r="W2497" s="75"/>
      <c r="X2497" s="75"/>
    </row>
    <row r="2498">
      <c r="A2498" s="17"/>
      <c r="B2498" s="17"/>
      <c r="C2498" s="133"/>
      <c r="D2498" s="133"/>
      <c r="E2498" s="17"/>
      <c r="F2498" s="133"/>
      <c r="G2498" s="133"/>
      <c r="H2498" s="133"/>
      <c r="I2498" s="133"/>
      <c r="J2498" s="133"/>
      <c r="K2498" s="133"/>
      <c r="L2498" s="133"/>
      <c r="M2498" s="133"/>
      <c r="N2498" s="133"/>
      <c r="O2498" s="133"/>
      <c r="P2498" s="134"/>
      <c r="Q2498" s="146"/>
      <c r="R2498" s="17"/>
      <c r="S2498" s="17"/>
      <c r="T2498" s="75"/>
      <c r="U2498" s="75"/>
      <c r="V2498" s="75"/>
      <c r="W2498" s="75"/>
      <c r="X2498" s="75"/>
    </row>
    <row r="2499">
      <c r="A2499" s="17"/>
      <c r="B2499" s="17"/>
      <c r="C2499" s="133"/>
      <c r="D2499" s="133"/>
      <c r="E2499" s="17"/>
      <c r="F2499" s="133"/>
      <c r="G2499" s="133"/>
      <c r="H2499" s="133"/>
      <c r="I2499" s="133"/>
      <c r="J2499" s="133"/>
      <c r="K2499" s="133"/>
      <c r="L2499" s="133"/>
      <c r="M2499" s="133"/>
      <c r="N2499" s="133"/>
      <c r="O2499" s="133"/>
      <c r="P2499" s="134"/>
      <c r="Q2499" s="146"/>
      <c r="R2499" s="17"/>
      <c r="S2499" s="17"/>
      <c r="T2499" s="75"/>
      <c r="U2499" s="75"/>
      <c r="V2499" s="75"/>
      <c r="W2499" s="75"/>
      <c r="X2499" s="75"/>
    </row>
    <row r="2500">
      <c r="A2500" s="17"/>
      <c r="B2500" s="17"/>
      <c r="C2500" s="133"/>
      <c r="D2500" s="133"/>
      <c r="E2500" s="17"/>
      <c r="F2500" s="133"/>
      <c r="G2500" s="133"/>
      <c r="H2500" s="133"/>
      <c r="I2500" s="133"/>
      <c r="J2500" s="133"/>
      <c r="K2500" s="133"/>
      <c r="L2500" s="133"/>
      <c r="M2500" s="133"/>
      <c r="N2500" s="133"/>
      <c r="O2500" s="133"/>
      <c r="P2500" s="134"/>
      <c r="Q2500" s="146"/>
      <c r="R2500" s="17"/>
      <c r="S2500" s="17"/>
      <c r="T2500" s="75"/>
      <c r="U2500" s="75"/>
      <c r="V2500" s="75"/>
      <c r="W2500" s="75"/>
      <c r="X2500" s="75"/>
    </row>
    <row r="2501">
      <c r="A2501" s="17"/>
      <c r="B2501" s="17"/>
      <c r="C2501" s="133"/>
      <c r="D2501" s="133"/>
      <c r="E2501" s="17"/>
      <c r="F2501" s="133"/>
      <c r="G2501" s="133"/>
      <c r="H2501" s="133"/>
      <c r="I2501" s="133"/>
      <c r="J2501" s="133"/>
      <c r="K2501" s="133"/>
      <c r="L2501" s="133"/>
      <c r="M2501" s="133"/>
      <c r="N2501" s="133"/>
      <c r="O2501" s="133"/>
      <c r="P2501" s="134"/>
      <c r="Q2501" s="146"/>
      <c r="R2501" s="17"/>
      <c r="S2501" s="17"/>
      <c r="T2501" s="75"/>
      <c r="U2501" s="75"/>
      <c r="V2501" s="75"/>
      <c r="W2501" s="75"/>
      <c r="X2501" s="75"/>
    </row>
    <row r="2502">
      <c r="A2502" s="17"/>
      <c r="B2502" s="17"/>
      <c r="C2502" s="133"/>
      <c r="D2502" s="133"/>
      <c r="E2502" s="17"/>
      <c r="F2502" s="133"/>
      <c r="G2502" s="133"/>
      <c r="H2502" s="133"/>
      <c r="I2502" s="133"/>
      <c r="J2502" s="133"/>
      <c r="K2502" s="133"/>
      <c r="L2502" s="133"/>
      <c r="M2502" s="133"/>
      <c r="N2502" s="133"/>
      <c r="O2502" s="133"/>
      <c r="P2502" s="134"/>
      <c r="Q2502" s="146"/>
      <c r="R2502" s="17"/>
      <c r="S2502" s="17"/>
      <c r="T2502" s="75"/>
      <c r="U2502" s="75"/>
      <c r="V2502" s="75"/>
      <c r="W2502" s="75"/>
      <c r="X2502" s="75"/>
    </row>
    <row r="2503">
      <c r="A2503" s="17"/>
      <c r="B2503" s="17"/>
      <c r="C2503" s="133"/>
      <c r="D2503" s="133"/>
      <c r="E2503" s="17"/>
      <c r="F2503" s="133"/>
      <c r="G2503" s="133"/>
      <c r="H2503" s="133"/>
      <c r="I2503" s="133"/>
      <c r="J2503" s="133"/>
      <c r="K2503" s="133"/>
      <c r="L2503" s="133"/>
      <c r="M2503" s="133"/>
      <c r="N2503" s="133"/>
      <c r="O2503" s="133"/>
      <c r="P2503" s="134"/>
      <c r="Q2503" s="146"/>
      <c r="R2503" s="17"/>
      <c r="S2503" s="17"/>
      <c r="T2503" s="75"/>
      <c r="U2503" s="75"/>
      <c r="V2503" s="75"/>
      <c r="W2503" s="75"/>
      <c r="X2503" s="75"/>
    </row>
    <row r="2504">
      <c r="A2504" s="17"/>
      <c r="B2504" s="17"/>
      <c r="C2504" s="133"/>
      <c r="D2504" s="133"/>
      <c r="E2504" s="17"/>
      <c r="F2504" s="133"/>
      <c r="G2504" s="133"/>
      <c r="H2504" s="133"/>
      <c r="I2504" s="133"/>
      <c r="J2504" s="133"/>
      <c r="K2504" s="133"/>
      <c r="L2504" s="133"/>
      <c r="M2504" s="133"/>
      <c r="N2504" s="133"/>
      <c r="O2504" s="133"/>
      <c r="P2504" s="134"/>
      <c r="Q2504" s="146"/>
      <c r="R2504" s="17"/>
      <c r="S2504" s="17"/>
      <c r="T2504" s="75"/>
      <c r="U2504" s="75"/>
      <c r="V2504" s="75"/>
      <c r="W2504" s="75"/>
      <c r="X2504" s="75"/>
    </row>
    <row r="2505">
      <c r="A2505" s="17"/>
      <c r="B2505" s="17"/>
      <c r="C2505" s="133"/>
      <c r="D2505" s="133"/>
      <c r="E2505" s="17"/>
      <c r="F2505" s="133"/>
      <c r="G2505" s="133"/>
      <c r="H2505" s="133"/>
      <c r="I2505" s="133"/>
      <c r="J2505" s="133"/>
      <c r="K2505" s="133"/>
      <c r="L2505" s="133"/>
      <c r="M2505" s="133"/>
      <c r="N2505" s="133"/>
      <c r="O2505" s="133"/>
      <c r="P2505" s="134"/>
      <c r="Q2505" s="146"/>
      <c r="R2505" s="17"/>
      <c r="S2505" s="17"/>
      <c r="T2505" s="75"/>
      <c r="U2505" s="75"/>
      <c r="V2505" s="75"/>
      <c r="W2505" s="75"/>
      <c r="X2505" s="75"/>
    </row>
    <row r="2506">
      <c r="A2506" s="17"/>
      <c r="B2506" s="17"/>
      <c r="C2506" s="133"/>
      <c r="D2506" s="133"/>
      <c r="E2506" s="17"/>
      <c r="F2506" s="133"/>
      <c r="G2506" s="133"/>
      <c r="H2506" s="133"/>
      <c r="I2506" s="133"/>
      <c r="J2506" s="133"/>
      <c r="K2506" s="133"/>
      <c r="L2506" s="133"/>
      <c r="M2506" s="133"/>
      <c r="N2506" s="133"/>
      <c r="O2506" s="133"/>
      <c r="P2506" s="134"/>
      <c r="Q2506" s="146"/>
      <c r="R2506" s="17"/>
      <c r="S2506" s="17"/>
      <c r="T2506" s="75"/>
      <c r="U2506" s="75"/>
      <c r="V2506" s="75"/>
      <c r="W2506" s="75"/>
      <c r="X2506" s="75"/>
    </row>
    <row r="2507">
      <c r="A2507" s="17"/>
      <c r="B2507" s="17"/>
      <c r="C2507" s="133"/>
      <c r="D2507" s="133"/>
      <c r="E2507" s="17"/>
      <c r="F2507" s="133"/>
      <c r="G2507" s="133"/>
      <c r="H2507" s="133"/>
      <c r="I2507" s="133"/>
      <c r="J2507" s="133"/>
      <c r="K2507" s="133"/>
      <c r="L2507" s="133"/>
      <c r="M2507" s="133"/>
      <c r="N2507" s="133"/>
      <c r="O2507" s="133"/>
      <c r="P2507" s="134"/>
      <c r="Q2507" s="146"/>
      <c r="R2507" s="17"/>
      <c r="S2507" s="17"/>
      <c r="T2507" s="75"/>
      <c r="U2507" s="75"/>
      <c r="V2507" s="75"/>
      <c r="W2507" s="75"/>
      <c r="X2507" s="75"/>
    </row>
    <row r="2508">
      <c r="A2508" s="17"/>
      <c r="B2508" s="17"/>
      <c r="C2508" s="133"/>
      <c r="D2508" s="133"/>
      <c r="E2508" s="17"/>
      <c r="F2508" s="133"/>
      <c r="G2508" s="133"/>
      <c r="H2508" s="133"/>
      <c r="I2508" s="133"/>
      <c r="J2508" s="133"/>
      <c r="K2508" s="133"/>
      <c r="L2508" s="133"/>
      <c r="M2508" s="133"/>
      <c r="N2508" s="133"/>
      <c r="O2508" s="133"/>
      <c r="P2508" s="134"/>
      <c r="Q2508" s="146"/>
      <c r="R2508" s="17"/>
      <c r="S2508" s="17"/>
      <c r="T2508" s="75"/>
      <c r="U2508" s="75"/>
      <c r="V2508" s="75"/>
      <c r="W2508" s="75"/>
      <c r="X2508" s="75"/>
    </row>
    <row r="2509">
      <c r="A2509" s="17"/>
      <c r="B2509" s="17"/>
      <c r="C2509" s="133"/>
      <c r="D2509" s="133"/>
      <c r="E2509" s="17"/>
      <c r="F2509" s="133"/>
      <c r="G2509" s="133"/>
      <c r="H2509" s="133"/>
      <c r="I2509" s="133"/>
      <c r="J2509" s="133"/>
      <c r="K2509" s="133"/>
      <c r="L2509" s="133"/>
      <c r="M2509" s="133"/>
      <c r="N2509" s="133"/>
      <c r="O2509" s="133"/>
      <c r="P2509" s="134"/>
      <c r="Q2509" s="146"/>
      <c r="R2509" s="17"/>
      <c r="S2509" s="17"/>
      <c r="T2509" s="75"/>
      <c r="U2509" s="75"/>
      <c r="V2509" s="75"/>
      <c r="W2509" s="75"/>
      <c r="X2509" s="75"/>
    </row>
    <row r="2510">
      <c r="A2510" s="17"/>
      <c r="B2510" s="17"/>
      <c r="C2510" s="133"/>
      <c r="D2510" s="133"/>
      <c r="E2510" s="17"/>
      <c r="F2510" s="133"/>
      <c r="G2510" s="133"/>
      <c r="H2510" s="133"/>
      <c r="I2510" s="133"/>
      <c r="J2510" s="133"/>
      <c r="K2510" s="133"/>
      <c r="L2510" s="133"/>
      <c r="M2510" s="133"/>
      <c r="N2510" s="133"/>
      <c r="O2510" s="133"/>
      <c r="P2510" s="134"/>
      <c r="Q2510" s="146"/>
      <c r="R2510" s="17"/>
      <c r="S2510" s="17"/>
      <c r="T2510" s="75"/>
      <c r="U2510" s="75"/>
      <c r="V2510" s="75"/>
      <c r="W2510" s="75"/>
      <c r="X2510" s="75"/>
    </row>
    <row r="2511">
      <c r="A2511" s="17"/>
      <c r="B2511" s="17"/>
      <c r="C2511" s="133"/>
      <c r="D2511" s="133"/>
      <c r="E2511" s="17"/>
      <c r="F2511" s="133"/>
      <c r="G2511" s="133"/>
      <c r="H2511" s="133"/>
      <c r="I2511" s="133"/>
      <c r="J2511" s="133"/>
      <c r="K2511" s="133"/>
      <c r="L2511" s="133"/>
      <c r="M2511" s="133"/>
      <c r="N2511" s="133"/>
      <c r="O2511" s="133"/>
      <c r="P2511" s="134"/>
      <c r="Q2511" s="146"/>
      <c r="R2511" s="17"/>
      <c r="S2511" s="17"/>
      <c r="T2511" s="75"/>
      <c r="U2511" s="75"/>
      <c r="V2511" s="75"/>
      <c r="W2511" s="75"/>
      <c r="X2511" s="75"/>
    </row>
    <row r="2512">
      <c r="A2512" s="17"/>
      <c r="B2512" s="17"/>
      <c r="C2512" s="133"/>
      <c r="D2512" s="133"/>
      <c r="E2512" s="17"/>
      <c r="F2512" s="133"/>
      <c r="G2512" s="133"/>
      <c r="H2512" s="133"/>
      <c r="I2512" s="133"/>
      <c r="J2512" s="133"/>
      <c r="K2512" s="133"/>
      <c r="L2512" s="133"/>
      <c r="M2512" s="133"/>
      <c r="N2512" s="133"/>
      <c r="O2512" s="133"/>
      <c r="P2512" s="134"/>
      <c r="Q2512" s="146"/>
      <c r="R2512" s="17"/>
      <c r="S2512" s="17"/>
      <c r="T2512" s="75"/>
      <c r="U2512" s="75"/>
      <c r="V2512" s="75"/>
      <c r="W2512" s="75"/>
      <c r="X2512" s="75"/>
    </row>
    <row r="2513">
      <c r="A2513" s="17"/>
      <c r="B2513" s="17"/>
      <c r="C2513" s="133"/>
      <c r="D2513" s="133"/>
      <c r="E2513" s="17"/>
      <c r="F2513" s="133"/>
      <c r="G2513" s="133"/>
      <c r="H2513" s="133"/>
      <c r="I2513" s="133"/>
      <c r="J2513" s="133"/>
      <c r="K2513" s="133"/>
      <c r="L2513" s="133"/>
      <c r="M2513" s="133"/>
      <c r="N2513" s="133"/>
      <c r="O2513" s="133"/>
      <c r="P2513" s="134"/>
      <c r="Q2513" s="146"/>
      <c r="R2513" s="17"/>
      <c r="S2513" s="17"/>
      <c r="T2513" s="75"/>
      <c r="U2513" s="75"/>
      <c r="V2513" s="75"/>
      <c r="W2513" s="75"/>
      <c r="X2513" s="75"/>
    </row>
    <row r="2514">
      <c r="A2514" s="17"/>
      <c r="B2514" s="17"/>
      <c r="C2514" s="133"/>
      <c r="D2514" s="133"/>
      <c r="E2514" s="17"/>
      <c r="F2514" s="133"/>
      <c r="G2514" s="133"/>
      <c r="H2514" s="133"/>
      <c r="I2514" s="133"/>
      <c r="J2514" s="133"/>
      <c r="K2514" s="133"/>
      <c r="L2514" s="133"/>
      <c r="M2514" s="133"/>
      <c r="N2514" s="133"/>
      <c r="O2514" s="133"/>
      <c r="P2514" s="134"/>
      <c r="Q2514" s="146"/>
      <c r="R2514" s="17"/>
      <c r="S2514" s="17"/>
      <c r="T2514" s="75"/>
      <c r="U2514" s="75"/>
      <c r="V2514" s="75"/>
      <c r="W2514" s="75"/>
      <c r="X2514" s="75"/>
    </row>
    <row r="2515">
      <c r="A2515" s="17"/>
      <c r="B2515" s="17"/>
      <c r="C2515" s="133"/>
      <c r="D2515" s="133"/>
      <c r="E2515" s="17"/>
      <c r="F2515" s="133"/>
      <c r="G2515" s="133"/>
      <c r="H2515" s="133"/>
      <c r="I2515" s="133"/>
      <c r="J2515" s="133"/>
      <c r="K2515" s="133"/>
      <c r="L2515" s="133"/>
      <c r="M2515" s="133"/>
      <c r="N2515" s="133"/>
      <c r="O2515" s="133"/>
      <c r="P2515" s="134"/>
      <c r="Q2515" s="146"/>
      <c r="R2515" s="17"/>
      <c r="S2515" s="17"/>
      <c r="T2515" s="75"/>
      <c r="U2515" s="75"/>
      <c r="V2515" s="75"/>
      <c r="W2515" s="75"/>
      <c r="X2515" s="75"/>
    </row>
    <row r="2516">
      <c r="A2516" s="17"/>
      <c r="B2516" s="17"/>
      <c r="C2516" s="133"/>
      <c r="D2516" s="133"/>
      <c r="E2516" s="17"/>
      <c r="F2516" s="133"/>
      <c r="G2516" s="133"/>
      <c r="H2516" s="133"/>
      <c r="I2516" s="133"/>
      <c r="J2516" s="133"/>
      <c r="K2516" s="133"/>
      <c r="L2516" s="133"/>
      <c r="M2516" s="133"/>
      <c r="N2516" s="133"/>
      <c r="O2516" s="133"/>
      <c r="P2516" s="134"/>
      <c r="Q2516" s="146"/>
      <c r="R2516" s="17"/>
      <c r="S2516" s="17"/>
      <c r="T2516" s="75"/>
      <c r="U2516" s="75"/>
      <c r="V2516" s="75"/>
      <c r="W2516" s="75"/>
      <c r="X2516" s="75"/>
    </row>
    <row r="2517">
      <c r="A2517" s="17"/>
      <c r="B2517" s="17"/>
      <c r="C2517" s="133"/>
      <c r="D2517" s="133"/>
      <c r="E2517" s="17"/>
      <c r="F2517" s="133"/>
      <c r="G2517" s="133"/>
      <c r="H2517" s="133"/>
      <c r="I2517" s="133"/>
      <c r="J2517" s="133"/>
      <c r="K2517" s="133"/>
      <c r="L2517" s="133"/>
      <c r="M2517" s="133"/>
      <c r="N2517" s="133"/>
      <c r="O2517" s="133"/>
      <c r="P2517" s="134"/>
      <c r="Q2517" s="146"/>
      <c r="R2517" s="17"/>
      <c r="S2517" s="17"/>
      <c r="T2517" s="75"/>
      <c r="U2517" s="75"/>
      <c r="V2517" s="75"/>
      <c r="W2517" s="75"/>
      <c r="X2517" s="75"/>
    </row>
    <row r="2518">
      <c r="A2518" s="17"/>
      <c r="B2518" s="17"/>
      <c r="C2518" s="133"/>
      <c r="D2518" s="133"/>
      <c r="E2518" s="17"/>
      <c r="F2518" s="133"/>
      <c r="G2518" s="133"/>
      <c r="H2518" s="133"/>
      <c r="I2518" s="133"/>
      <c r="J2518" s="133"/>
      <c r="K2518" s="133"/>
      <c r="L2518" s="133"/>
      <c r="M2518" s="133"/>
      <c r="N2518" s="133"/>
      <c r="O2518" s="133"/>
      <c r="P2518" s="134"/>
      <c r="Q2518" s="146"/>
      <c r="R2518" s="17"/>
      <c r="S2518" s="17"/>
      <c r="T2518" s="75"/>
      <c r="U2518" s="75"/>
      <c r="V2518" s="75"/>
      <c r="W2518" s="75"/>
      <c r="X2518" s="75"/>
    </row>
    <row r="2519">
      <c r="A2519" s="17"/>
      <c r="B2519" s="17"/>
      <c r="C2519" s="133"/>
      <c r="D2519" s="133"/>
      <c r="E2519" s="17"/>
      <c r="F2519" s="133"/>
      <c r="G2519" s="133"/>
      <c r="H2519" s="133"/>
      <c r="I2519" s="133"/>
      <c r="J2519" s="133"/>
      <c r="K2519" s="133"/>
      <c r="L2519" s="133"/>
      <c r="M2519" s="133"/>
      <c r="N2519" s="133"/>
      <c r="O2519" s="133"/>
      <c r="P2519" s="134"/>
      <c r="Q2519" s="146"/>
      <c r="R2519" s="17"/>
      <c r="S2519" s="17"/>
      <c r="T2519" s="75"/>
      <c r="U2519" s="75"/>
      <c r="V2519" s="75"/>
      <c r="W2519" s="75"/>
      <c r="X2519" s="75"/>
    </row>
    <row r="2520">
      <c r="A2520" s="17"/>
      <c r="B2520" s="17"/>
      <c r="C2520" s="133"/>
      <c r="D2520" s="133"/>
      <c r="E2520" s="17"/>
      <c r="F2520" s="133"/>
      <c r="G2520" s="133"/>
      <c r="H2520" s="133"/>
      <c r="I2520" s="133"/>
      <c r="J2520" s="133"/>
      <c r="K2520" s="133"/>
      <c r="L2520" s="133"/>
      <c r="M2520" s="133"/>
      <c r="N2520" s="133"/>
      <c r="O2520" s="133"/>
      <c r="P2520" s="134"/>
      <c r="Q2520" s="146"/>
      <c r="R2520" s="17"/>
      <c r="S2520" s="17"/>
      <c r="T2520" s="75"/>
      <c r="U2520" s="75"/>
      <c r="V2520" s="75"/>
      <c r="W2520" s="75"/>
      <c r="X2520" s="75"/>
    </row>
    <row r="2521">
      <c r="A2521" s="17"/>
      <c r="B2521" s="17"/>
      <c r="C2521" s="133"/>
      <c r="D2521" s="133"/>
      <c r="E2521" s="17"/>
      <c r="F2521" s="133"/>
      <c r="G2521" s="133"/>
      <c r="H2521" s="133"/>
      <c r="I2521" s="133"/>
      <c r="J2521" s="133"/>
      <c r="K2521" s="133"/>
      <c r="L2521" s="133"/>
      <c r="M2521" s="133"/>
      <c r="N2521" s="133"/>
      <c r="O2521" s="133"/>
      <c r="P2521" s="134"/>
      <c r="Q2521" s="146"/>
      <c r="R2521" s="17"/>
      <c r="S2521" s="17"/>
      <c r="T2521" s="75"/>
      <c r="U2521" s="75"/>
      <c r="V2521" s="75"/>
      <c r="W2521" s="75"/>
      <c r="X2521" s="75"/>
    </row>
    <row r="2522">
      <c r="A2522" s="17"/>
      <c r="B2522" s="17"/>
      <c r="C2522" s="133"/>
      <c r="D2522" s="133"/>
      <c r="E2522" s="17"/>
      <c r="F2522" s="133"/>
      <c r="G2522" s="133"/>
      <c r="H2522" s="133"/>
      <c r="I2522" s="133"/>
      <c r="J2522" s="133"/>
      <c r="K2522" s="133"/>
      <c r="L2522" s="133"/>
      <c r="M2522" s="133"/>
      <c r="N2522" s="133"/>
      <c r="O2522" s="133"/>
      <c r="P2522" s="134"/>
      <c r="Q2522" s="146"/>
      <c r="R2522" s="17"/>
      <c r="S2522" s="17"/>
      <c r="T2522" s="75"/>
      <c r="U2522" s="75"/>
      <c r="V2522" s="75"/>
      <c r="W2522" s="75"/>
      <c r="X2522" s="75"/>
    </row>
    <row r="2523">
      <c r="A2523" s="17"/>
      <c r="B2523" s="17"/>
      <c r="C2523" s="133"/>
      <c r="D2523" s="133"/>
      <c r="E2523" s="17"/>
      <c r="F2523" s="133"/>
      <c r="G2523" s="133"/>
      <c r="H2523" s="133"/>
      <c r="I2523" s="133"/>
      <c r="J2523" s="133"/>
      <c r="K2523" s="133"/>
      <c r="L2523" s="133"/>
      <c r="M2523" s="133"/>
      <c r="N2523" s="133"/>
      <c r="O2523" s="133"/>
      <c r="P2523" s="134"/>
      <c r="Q2523" s="146"/>
      <c r="R2523" s="17"/>
      <c r="S2523" s="17"/>
      <c r="T2523" s="75"/>
      <c r="U2523" s="75"/>
      <c r="V2523" s="75"/>
      <c r="W2523" s="75"/>
      <c r="X2523" s="75"/>
    </row>
    <row r="2524">
      <c r="A2524" s="17"/>
      <c r="B2524" s="17"/>
      <c r="C2524" s="133"/>
      <c r="D2524" s="133"/>
      <c r="E2524" s="17"/>
      <c r="F2524" s="133"/>
      <c r="G2524" s="133"/>
      <c r="H2524" s="133"/>
      <c r="I2524" s="133"/>
      <c r="J2524" s="133"/>
      <c r="K2524" s="133"/>
      <c r="L2524" s="133"/>
      <c r="M2524" s="133"/>
      <c r="N2524" s="133"/>
      <c r="O2524" s="133"/>
      <c r="P2524" s="134"/>
      <c r="Q2524" s="146"/>
      <c r="R2524" s="17"/>
      <c r="S2524" s="17"/>
      <c r="T2524" s="75"/>
      <c r="U2524" s="75"/>
      <c r="V2524" s="75"/>
      <c r="W2524" s="75"/>
      <c r="X2524" s="75"/>
    </row>
    <row r="2525">
      <c r="A2525" s="17"/>
      <c r="B2525" s="17"/>
      <c r="C2525" s="133"/>
      <c r="D2525" s="133"/>
      <c r="E2525" s="17"/>
      <c r="F2525" s="133"/>
      <c r="G2525" s="133"/>
      <c r="H2525" s="133"/>
      <c r="I2525" s="133"/>
      <c r="J2525" s="133"/>
      <c r="K2525" s="133"/>
      <c r="L2525" s="133"/>
      <c r="M2525" s="133"/>
      <c r="N2525" s="133"/>
      <c r="O2525" s="133"/>
      <c r="P2525" s="134"/>
      <c r="Q2525" s="146"/>
      <c r="R2525" s="17"/>
      <c r="S2525" s="17"/>
      <c r="T2525" s="75"/>
      <c r="U2525" s="75"/>
      <c r="V2525" s="75"/>
      <c r="W2525" s="75"/>
      <c r="X2525" s="75"/>
    </row>
    <row r="2526">
      <c r="A2526" s="17"/>
      <c r="B2526" s="17"/>
      <c r="C2526" s="133"/>
      <c r="D2526" s="133"/>
      <c r="E2526" s="17"/>
      <c r="F2526" s="133"/>
      <c r="G2526" s="133"/>
      <c r="H2526" s="133"/>
      <c r="I2526" s="133"/>
      <c r="J2526" s="133"/>
      <c r="K2526" s="133"/>
      <c r="L2526" s="133"/>
      <c r="M2526" s="133"/>
      <c r="N2526" s="133"/>
      <c r="O2526" s="133"/>
      <c r="P2526" s="134"/>
      <c r="Q2526" s="146"/>
      <c r="R2526" s="17"/>
      <c r="S2526" s="17"/>
      <c r="T2526" s="75"/>
      <c r="U2526" s="75"/>
      <c r="V2526" s="75"/>
      <c r="W2526" s="75"/>
      <c r="X2526" s="75"/>
    </row>
    <row r="2527">
      <c r="A2527" s="17"/>
      <c r="B2527" s="17"/>
      <c r="C2527" s="133"/>
      <c r="D2527" s="133"/>
      <c r="E2527" s="17"/>
      <c r="F2527" s="133"/>
      <c r="G2527" s="133"/>
      <c r="H2527" s="133"/>
      <c r="I2527" s="133"/>
      <c r="J2527" s="133"/>
      <c r="K2527" s="133"/>
      <c r="L2527" s="133"/>
      <c r="M2527" s="133"/>
      <c r="N2527" s="133"/>
      <c r="O2527" s="133"/>
      <c r="P2527" s="134"/>
      <c r="Q2527" s="146"/>
      <c r="R2527" s="17"/>
      <c r="S2527" s="17"/>
      <c r="T2527" s="75"/>
      <c r="U2527" s="75"/>
      <c r="V2527" s="75"/>
      <c r="W2527" s="75"/>
      <c r="X2527" s="75"/>
    </row>
    <row r="2528">
      <c r="A2528" s="17"/>
      <c r="B2528" s="17"/>
      <c r="C2528" s="133"/>
      <c r="D2528" s="133"/>
      <c r="E2528" s="17"/>
      <c r="F2528" s="133"/>
      <c r="G2528" s="133"/>
      <c r="H2528" s="133"/>
      <c r="I2528" s="133"/>
      <c r="J2528" s="133"/>
      <c r="K2528" s="133"/>
      <c r="L2528" s="133"/>
      <c r="M2528" s="133"/>
      <c r="N2528" s="133"/>
      <c r="O2528" s="133"/>
      <c r="P2528" s="134"/>
      <c r="Q2528" s="146"/>
      <c r="R2528" s="17"/>
      <c r="S2528" s="17"/>
      <c r="T2528" s="75"/>
      <c r="U2528" s="75"/>
      <c r="V2528" s="75"/>
      <c r="W2528" s="75"/>
      <c r="X2528" s="75"/>
    </row>
    <row r="2529">
      <c r="A2529" s="17"/>
      <c r="B2529" s="17"/>
      <c r="C2529" s="133"/>
      <c r="D2529" s="133"/>
      <c r="E2529" s="17"/>
      <c r="F2529" s="133"/>
      <c r="G2529" s="133"/>
      <c r="H2529" s="133"/>
      <c r="I2529" s="133"/>
      <c r="J2529" s="133"/>
      <c r="K2529" s="133"/>
      <c r="L2529" s="133"/>
      <c r="M2529" s="133"/>
      <c r="N2529" s="133"/>
      <c r="O2529" s="133"/>
      <c r="P2529" s="134"/>
      <c r="Q2529" s="146"/>
      <c r="R2529" s="17"/>
      <c r="S2529" s="17"/>
      <c r="T2529" s="75"/>
      <c r="U2529" s="75"/>
      <c r="V2529" s="75"/>
      <c r="W2529" s="75"/>
      <c r="X2529" s="75"/>
    </row>
    <row r="2530">
      <c r="A2530" s="17"/>
      <c r="B2530" s="17"/>
      <c r="C2530" s="133"/>
      <c r="D2530" s="133"/>
      <c r="E2530" s="17"/>
      <c r="F2530" s="133"/>
      <c r="G2530" s="133"/>
      <c r="H2530" s="133"/>
      <c r="I2530" s="133"/>
      <c r="J2530" s="133"/>
      <c r="K2530" s="133"/>
      <c r="L2530" s="133"/>
      <c r="M2530" s="133"/>
      <c r="N2530" s="133"/>
      <c r="O2530" s="133"/>
      <c r="P2530" s="134"/>
      <c r="Q2530" s="146"/>
      <c r="R2530" s="17"/>
      <c r="S2530" s="17"/>
      <c r="T2530" s="75"/>
      <c r="U2530" s="75"/>
      <c r="V2530" s="75"/>
      <c r="W2530" s="75"/>
      <c r="X2530" s="75"/>
    </row>
    <row r="2531">
      <c r="A2531" s="17"/>
      <c r="B2531" s="17"/>
      <c r="C2531" s="133"/>
      <c r="D2531" s="133"/>
      <c r="E2531" s="17"/>
      <c r="F2531" s="133"/>
      <c r="G2531" s="133"/>
      <c r="H2531" s="133"/>
      <c r="I2531" s="133"/>
      <c r="J2531" s="133"/>
      <c r="K2531" s="133"/>
      <c r="L2531" s="133"/>
      <c r="M2531" s="133"/>
      <c r="N2531" s="133"/>
      <c r="O2531" s="133"/>
      <c r="P2531" s="134"/>
      <c r="Q2531" s="146"/>
      <c r="R2531" s="17"/>
      <c r="S2531" s="17"/>
      <c r="T2531" s="75"/>
      <c r="U2531" s="75"/>
      <c r="V2531" s="75"/>
      <c r="W2531" s="75"/>
      <c r="X2531" s="75"/>
    </row>
    <row r="2532">
      <c r="A2532" s="17"/>
      <c r="B2532" s="17"/>
      <c r="C2532" s="133"/>
      <c r="D2532" s="133"/>
      <c r="E2532" s="17"/>
      <c r="F2532" s="133"/>
      <c r="G2532" s="133"/>
      <c r="H2532" s="133"/>
      <c r="I2532" s="133"/>
      <c r="J2532" s="133"/>
      <c r="K2532" s="133"/>
      <c r="L2532" s="133"/>
      <c r="M2532" s="133"/>
      <c r="N2532" s="133"/>
      <c r="O2532" s="133"/>
      <c r="P2532" s="134"/>
      <c r="Q2532" s="146"/>
      <c r="R2532" s="17"/>
      <c r="S2532" s="17"/>
      <c r="T2532" s="75"/>
      <c r="U2532" s="75"/>
      <c r="V2532" s="75"/>
      <c r="W2532" s="75"/>
      <c r="X2532" s="75"/>
    </row>
    <row r="2533">
      <c r="A2533" s="17"/>
      <c r="B2533" s="17"/>
      <c r="C2533" s="133"/>
      <c r="D2533" s="133"/>
      <c r="E2533" s="17"/>
      <c r="F2533" s="133"/>
      <c r="G2533" s="133"/>
      <c r="H2533" s="133"/>
      <c r="I2533" s="133"/>
      <c r="J2533" s="133"/>
      <c r="K2533" s="133"/>
      <c r="L2533" s="133"/>
      <c r="M2533" s="133"/>
      <c r="N2533" s="133"/>
      <c r="O2533" s="133"/>
      <c r="P2533" s="134"/>
      <c r="Q2533" s="146"/>
      <c r="R2533" s="17"/>
      <c r="S2533" s="17"/>
      <c r="T2533" s="75"/>
      <c r="U2533" s="75"/>
      <c r="V2533" s="75"/>
      <c r="W2533" s="75"/>
      <c r="X2533" s="75"/>
    </row>
    <row r="2534">
      <c r="A2534" s="17"/>
      <c r="B2534" s="17"/>
      <c r="C2534" s="133"/>
      <c r="D2534" s="133"/>
      <c r="E2534" s="17"/>
      <c r="F2534" s="133"/>
      <c r="G2534" s="133"/>
      <c r="H2534" s="133"/>
      <c r="I2534" s="133"/>
      <c r="J2534" s="133"/>
      <c r="K2534" s="133"/>
      <c r="L2534" s="133"/>
      <c r="M2534" s="133"/>
      <c r="N2534" s="133"/>
      <c r="O2534" s="133"/>
      <c r="P2534" s="134"/>
      <c r="Q2534" s="146"/>
      <c r="R2534" s="17"/>
      <c r="S2534" s="17"/>
      <c r="T2534" s="75"/>
      <c r="U2534" s="75"/>
      <c r="V2534" s="75"/>
      <c r="W2534" s="75"/>
      <c r="X2534" s="75"/>
    </row>
    <row r="2535">
      <c r="A2535" s="17"/>
      <c r="B2535" s="17"/>
      <c r="C2535" s="133"/>
      <c r="D2535" s="133"/>
      <c r="E2535" s="17"/>
      <c r="F2535" s="133"/>
      <c r="G2535" s="133"/>
      <c r="H2535" s="133"/>
      <c r="I2535" s="133"/>
      <c r="J2535" s="133"/>
      <c r="K2535" s="133"/>
      <c r="L2535" s="133"/>
      <c r="M2535" s="133"/>
      <c r="N2535" s="133"/>
      <c r="O2535" s="133"/>
      <c r="P2535" s="134"/>
      <c r="Q2535" s="146"/>
      <c r="R2535" s="17"/>
      <c r="S2535" s="17"/>
      <c r="T2535" s="75"/>
      <c r="U2535" s="75"/>
      <c r="V2535" s="75"/>
      <c r="W2535" s="75"/>
      <c r="X2535" s="75"/>
    </row>
    <row r="2536">
      <c r="A2536" s="17"/>
      <c r="B2536" s="17"/>
      <c r="C2536" s="133"/>
      <c r="D2536" s="133"/>
      <c r="E2536" s="17"/>
      <c r="F2536" s="133"/>
      <c r="G2536" s="133"/>
      <c r="H2536" s="133"/>
      <c r="I2536" s="133"/>
      <c r="J2536" s="133"/>
      <c r="K2536" s="133"/>
      <c r="L2536" s="133"/>
      <c r="M2536" s="133"/>
      <c r="N2536" s="133"/>
      <c r="O2536" s="133"/>
      <c r="P2536" s="134"/>
      <c r="Q2536" s="146"/>
      <c r="R2536" s="17"/>
      <c r="S2536" s="17"/>
      <c r="T2536" s="75"/>
      <c r="U2536" s="75"/>
      <c r="V2536" s="75"/>
      <c r="W2536" s="75"/>
      <c r="X2536" s="75"/>
    </row>
    <row r="2537">
      <c r="A2537" s="17"/>
      <c r="B2537" s="17"/>
      <c r="C2537" s="133"/>
      <c r="D2537" s="133"/>
      <c r="E2537" s="17"/>
      <c r="F2537" s="133"/>
      <c r="G2537" s="133"/>
      <c r="H2537" s="133"/>
      <c r="I2537" s="133"/>
      <c r="J2537" s="133"/>
      <c r="K2537" s="133"/>
      <c r="L2537" s="133"/>
      <c r="M2537" s="133"/>
      <c r="N2537" s="133"/>
      <c r="O2537" s="133"/>
      <c r="P2537" s="134"/>
      <c r="Q2537" s="146"/>
      <c r="R2537" s="17"/>
      <c r="S2537" s="17"/>
      <c r="T2537" s="75"/>
      <c r="U2537" s="75"/>
      <c r="V2537" s="75"/>
      <c r="W2537" s="75"/>
      <c r="X2537" s="75"/>
    </row>
    <row r="2538">
      <c r="A2538" s="17"/>
      <c r="B2538" s="17"/>
      <c r="C2538" s="133"/>
      <c r="D2538" s="133"/>
      <c r="E2538" s="17"/>
      <c r="F2538" s="133"/>
      <c r="G2538" s="133"/>
      <c r="H2538" s="133"/>
      <c r="I2538" s="133"/>
      <c r="J2538" s="133"/>
      <c r="K2538" s="133"/>
      <c r="L2538" s="133"/>
      <c r="M2538" s="133"/>
      <c r="N2538" s="133"/>
      <c r="O2538" s="133"/>
      <c r="P2538" s="134"/>
      <c r="Q2538" s="146"/>
      <c r="R2538" s="17"/>
      <c r="S2538" s="17"/>
      <c r="T2538" s="75"/>
      <c r="U2538" s="75"/>
      <c r="V2538" s="75"/>
      <c r="W2538" s="75"/>
      <c r="X2538" s="75"/>
    </row>
    <row r="2539">
      <c r="A2539" s="17"/>
      <c r="B2539" s="17"/>
      <c r="C2539" s="133"/>
      <c r="D2539" s="133"/>
      <c r="E2539" s="17"/>
      <c r="F2539" s="133"/>
      <c r="G2539" s="133"/>
      <c r="H2539" s="133"/>
      <c r="I2539" s="133"/>
      <c r="J2539" s="133"/>
      <c r="K2539" s="133"/>
      <c r="L2539" s="133"/>
      <c r="M2539" s="133"/>
      <c r="N2539" s="133"/>
      <c r="O2539" s="133"/>
      <c r="P2539" s="134"/>
      <c r="Q2539" s="146"/>
      <c r="R2539" s="17"/>
      <c r="S2539" s="17"/>
      <c r="T2539" s="75"/>
      <c r="U2539" s="75"/>
      <c r="V2539" s="75"/>
      <c r="W2539" s="75"/>
      <c r="X2539" s="75"/>
    </row>
    <row r="2540">
      <c r="A2540" s="17"/>
      <c r="B2540" s="17"/>
      <c r="C2540" s="133"/>
      <c r="D2540" s="133"/>
      <c r="E2540" s="17"/>
      <c r="F2540" s="133"/>
      <c r="G2540" s="133"/>
      <c r="H2540" s="133"/>
      <c r="I2540" s="133"/>
      <c r="J2540" s="133"/>
      <c r="K2540" s="133"/>
      <c r="L2540" s="133"/>
      <c r="M2540" s="133"/>
      <c r="N2540" s="133"/>
      <c r="O2540" s="133"/>
      <c r="P2540" s="134"/>
      <c r="Q2540" s="146"/>
      <c r="R2540" s="17"/>
      <c r="S2540" s="17"/>
      <c r="T2540" s="75"/>
      <c r="U2540" s="75"/>
      <c r="V2540" s="75"/>
      <c r="W2540" s="75"/>
      <c r="X2540" s="75"/>
    </row>
    <row r="2541">
      <c r="A2541" s="17"/>
      <c r="B2541" s="17"/>
      <c r="C2541" s="133"/>
      <c r="D2541" s="133"/>
      <c r="E2541" s="17"/>
      <c r="F2541" s="133"/>
      <c r="G2541" s="133"/>
      <c r="H2541" s="133"/>
      <c r="I2541" s="133"/>
      <c r="J2541" s="133"/>
      <c r="K2541" s="133"/>
      <c r="L2541" s="133"/>
      <c r="M2541" s="133"/>
      <c r="N2541" s="133"/>
      <c r="O2541" s="133"/>
      <c r="P2541" s="134"/>
      <c r="Q2541" s="146"/>
      <c r="R2541" s="17"/>
      <c r="S2541" s="17"/>
      <c r="T2541" s="75"/>
      <c r="U2541" s="75"/>
      <c r="V2541" s="75"/>
      <c r="W2541" s="75"/>
      <c r="X2541" s="75"/>
    </row>
    <row r="2542">
      <c r="A2542" s="17"/>
      <c r="B2542" s="17"/>
      <c r="C2542" s="133"/>
      <c r="D2542" s="133"/>
      <c r="E2542" s="17"/>
      <c r="F2542" s="133"/>
      <c r="G2542" s="133"/>
      <c r="H2542" s="133"/>
      <c r="I2542" s="133"/>
      <c r="J2542" s="133"/>
      <c r="K2542" s="133"/>
      <c r="L2542" s="133"/>
      <c r="M2542" s="133"/>
      <c r="N2542" s="133"/>
      <c r="O2542" s="133"/>
      <c r="P2542" s="134"/>
      <c r="Q2542" s="146"/>
      <c r="R2542" s="17"/>
      <c r="S2542" s="17"/>
      <c r="T2542" s="75"/>
      <c r="U2542" s="75"/>
      <c r="V2542" s="75"/>
      <c r="W2542" s="75"/>
      <c r="X2542" s="75"/>
    </row>
    <row r="2543">
      <c r="A2543" s="17"/>
      <c r="B2543" s="17"/>
      <c r="C2543" s="133"/>
      <c r="D2543" s="133"/>
      <c r="E2543" s="17"/>
      <c r="F2543" s="133"/>
      <c r="G2543" s="133"/>
      <c r="H2543" s="133"/>
      <c r="I2543" s="133"/>
      <c r="J2543" s="133"/>
      <c r="K2543" s="133"/>
      <c r="L2543" s="133"/>
      <c r="M2543" s="133"/>
      <c r="N2543" s="133"/>
      <c r="O2543" s="133"/>
      <c r="P2543" s="134"/>
      <c r="Q2543" s="146"/>
      <c r="R2543" s="17"/>
      <c r="S2543" s="17"/>
      <c r="T2543" s="75"/>
      <c r="U2543" s="75"/>
      <c r="V2543" s="75"/>
      <c r="W2543" s="75"/>
      <c r="X2543" s="75"/>
    </row>
    <row r="2544">
      <c r="A2544" s="17"/>
      <c r="B2544" s="17"/>
      <c r="C2544" s="133"/>
      <c r="D2544" s="133"/>
      <c r="E2544" s="17"/>
      <c r="F2544" s="133"/>
      <c r="G2544" s="133"/>
      <c r="H2544" s="133"/>
      <c r="I2544" s="133"/>
      <c r="J2544" s="133"/>
      <c r="K2544" s="133"/>
      <c r="L2544" s="133"/>
      <c r="M2544" s="133"/>
      <c r="N2544" s="133"/>
      <c r="O2544" s="133"/>
      <c r="P2544" s="134"/>
      <c r="Q2544" s="146"/>
      <c r="R2544" s="17"/>
      <c r="S2544" s="17"/>
      <c r="T2544" s="75"/>
      <c r="U2544" s="75"/>
      <c r="V2544" s="75"/>
      <c r="W2544" s="75"/>
      <c r="X2544" s="75"/>
    </row>
    <row r="2545">
      <c r="A2545" s="17"/>
      <c r="B2545" s="17"/>
      <c r="C2545" s="133"/>
      <c r="D2545" s="133"/>
      <c r="E2545" s="17"/>
      <c r="F2545" s="133"/>
      <c r="G2545" s="133"/>
      <c r="H2545" s="133"/>
      <c r="I2545" s="133"/>
      <c r="J2545" s="133"/>
      <c r="K2545" s="133"/>
      <c r="L2545" s="133"/>
      <c r="M2545" s="133"/>
      <c r="N2545" s="133"/>
      <c r="O2545" s="133"/>
      <c r="P2545" s="134"/>
      <c r="Q2545" s="146"/>
      <c r="R2545" s="17"/>
      <c r="S2545" s="17"/>
      <c r="T2545" s="75"/>
      <c r="U2545" s="75"/>
      <c r="V2545" s="75"/>
      <c r="W2545" s="75"/>
      <c r="X2545" s="75"/>
    </row>
    <row r="2546">
      <c r="A2546" s="17"/>
      <c r="B2546" s="17"/>
      <c r="C2546" s="133"/>
      <c r="D2546" s="133"/>
      <c r="E2546" s="17"/>
      <c r="F2546" s="133"/>
      <c r="G2546" s="133"/>
      <c r="H2546" s="133"/>
      <c r="I2546" s="133"/>
      <c r="J2546" s="133"/>
      <c r="K2546" s="133"/>
      <c r="L2546" s="133"/>
      <c r="M2546" s="133"/>
      <c r="N2546" s="133"/>
      <c r="O2546" s="133"/>
      <c r="P2546" s="134"/>
      <c r="Q2546" s="146"/>
      <c r="R2546" s="17"/>
      <c r="S2546" s="17"/>
      <c r="T2546" s="75"/>
      <c r="U2546" s="75"/>
      <c r="V2546" s="75"/>
      <c r="W2546" s="75"/>
      <c r="X2546" s="75"/>
    </row>
    <row r="2547">
      <c r="A2547" s="17"/>
      <c r="B2547" s="17"/>
      <c r="C2547" s="133"/>
      <c r="D2547" s="133"/>
      <c r="E2547" s="17"/>
      <c r="F2547" s="133"/>
      <c r="G2547" s="133"/>
      <c r="H2547" s="133"/>
      <c r="I2547" s="133"/>
      <c r="J2547" s="133"/>
      <c r="K2547" s="133"/>
      <c r="L2547" s="133"/>
      <c r="M2547" s="133"/>
      <c r="N2547" s="133"/>
      <c r="O2547" s="133"/>
      <c r="P2547" s="134"/>
      <c r="Q2547" s="146"/>
      <c r="R2547" s="17"/>
      <c r="S2547" s="17"/>
      <c r="T2547" s="75"/>
      <c r="U2547" s="75"/>
      <c r="V2547" s="75"/>
      <c r="W2547" s="75"/>
      <c r="X2547" s="75"/>
    </row>
    <row r="2548">
      <c r="A2548" s="17"/>
      <c r="B2548" s="17"/>
      <c r="C2548" s="133"/>
      <c r="D2548" s="133"/>
      <c r="E2548" s="17"/>
      <c r="F2548" s="133"/>
      <c r="G2548" s="133"/>
      <c r="H2548" s="133"/>
      <c r="I2548" s="133"/>
      <c r="J2548" s="133"/>
      <c r="K2548" s="133"/>
      <c r="L2548" s="133"/>
      <c r="M2548" s="133"/>
      <c r="N2548" s="133"/>
      <c r="O2548" s="133"/>
      <c r="P2548" s="134"/>
      <c r="Q2548" s="146"/>
      <c r="R2548" s="17"/>
      <c r="S2548" s="17"/>
      <c r="T2548" s="75"/>
      <c r="U2548" s="75"/>
      <c r="V2548" s="75"/>
      <c r="W2548" s="75"/>
      <c r="X2548" s="75"/>
    </row>
    <row r="2549">
      <c r="A2549" s="17"/>
      <c r="B2549" s="17"/>
      <c r="C2549" s="133"/>
      <c r="D2549" s="133"/>
      <c r="E2549" s="17"/>
      <c r="F2549" s="133"/>
      <c r="G2549" s="133"/>
      <c r="H2549" s="133"/>
      <c r="I2549" s="133"/>
      <c r="J2549" s="133"/>
      <c r="K2549" s="133"/>
      <c r="L2549" s="133"/>
      <c r="M2549" s="133"/>
      <c r="N2549" s="133"/>
      <c r="O2549" s="133"/>
      <c r="P2549" s="134"/>
      <c r="Q2549" s="146"/>
      <c r="R2549" s="17"/>
      <c r="S2549" s="17"/>
      <c r="T2549" s="75"/>
      <c r="U2549" s="75"/>
      <c r="V2549" s="75"/>
      <c r="W2549" s="75"/>
      <c r="X2549" s="75"/>
    </row>
    <row r="2550">
      <c r="A2550" s="17"/>
      <c r="B2550" s="17"/>
      <c r="C2550" s="133"/>
      <c r="D2550" s="133"/>
      <c r="E2550" s="17"/>
      <c r="F2550" s="133"/>
      <c r="G2550" s="133"/>
      <c r="H2550" s="133"/>
      <c r="I2550" s="133"/>
      <c r="J2550" s="133"/>
      <c r="K2550" s="133"/>
      <c r="L2550" s="133"/>
      <c r="M2550" s="133"/>
      <c r="N2550" s="133"/>
      <c r="O2550" s="133"/>
      <c r="P2550" s="134"/>
      <c r="Q2550" s="146"/>
      <c r="R2550" s="17"/>
      <c r="S2550" s="17"/>
      <c r="T2550" s="75"/>
      <c r="U2550" s="75"/>
      <c r="V2550" s="75"/>
      <c r="W2550" s="75"/>
      <c r="X2550" s="75"/>
    </row>
    <row r="2551">
      <c r="A2551" s="17"/>
      <c r="B2551" s="17"/>
      <c r="C2551" s="133"/>
      <c r="D2551" s="133"/>
      <c r="E2551" s="17"/>
      <c r="F2551" s="133"/>
      <c r="G2551" s="133"/>
      <c r="H2551" s="133"/>
      <c r="I2551" s="133"/>
      <c r="J2551" s="133"/>
      <c r="K2551" s="133"/>
      <c r="L2551" s="133"/>
      <c r="M2551" s="133"/>
      <c r="N2551" s="133"/>
      <c r="O2551" s="133"/>
      <c r="P2551" s="134"/>
      <c r="Q2551" s="146"/>
      <c r="R2551" s="17"/>
      <c r="S2551" s="17"/>
      <c r="T2551" s="75"/>
      <c r="U2551" s="75"/>
      <c r="V2551" s="75"/>
      <c r="W2551" s="75"/>
      <c r="X2551" s="75"/>
    </row>
    <row r="2552">
      <c r="A2552" s="17"/>
      <c r="B2552" s="17"/>
      <c r="C2552" s="133"/>
      <c r="D2552" s="133"/>
      <c r="E2552" s="17"/>
      <c r="F2552" s="133"/>
      <c r="G2552" s="133"/>
      <c r="H2552" s="133"/>
      <c r="I2552" s="133"/>
      <c r="J2552" s="133"/>
      <c r="K2552" s="133"/>
      <c r="L2552" s="133"/>
      <c r="M2552" s="133"/>
      <c r="N2552" s="133"/>
      <c r="O2552" s="133"/>
      <c r="P2552" s="134"/>
      <c r="Q2552" s="146"/>
      <c r="R2552" s="17"/>
      <c r="S2552" s="17"/>
      <c r="T2552" s="75"/>
      <c r="U2552" s="75"/>
      <c r="V2552" s="75"/>
      <c r="W2552" s="75"/>
      <c r="X2552" s="75"/>
    </row>
    <row r="2553">
      <c r="A2553" s="17"/>
      <c r="B2553" s="17"/>
      <c r="C2553" s="133"/>
      <c r="D2553" s="133"/>
      <c r="E2553" s="17"/>
      <c r="F2553" s="133"/>
      <c r="G2553" s="133"/>
      <c r="H2553" s="133"/>
      <c r="I2553" s="133"/>
      <c r="J2553" s="133"/>
      <c r="K2553" s="133"/>
      <c r="L2553" s="133"/>
      <c r="M2553" s="133"/>
      <c r="N2553" s="133"/>
      <c r="O2553" s="133"/>
      <c r="P2553" s="134"/>
      <c r="Q2553" s="146"/>
      <c r="R2553" s="17"/>
      <c r="S2553" s="17"/>
      <c r="T2553" s="75"/>
      <c r="U2553" s="75"/>
      <c r="V2553" s="75"/>
      <c r="W2553" s="75"/>
      <c r="X2553" s="75"/>
    </row>
    <row r="2554">
      <c r="A2554" s="17"/>
      <c r="B2554" s="17"/>
      <c r="C2554" s="133"/>
      <c r="D2554" s="133"/>
      <c r="E2554" s="17"/>
      <c r="F2554" s="133"/>
      <c r="G2554" s="133"/>
      <c r="H2554" s="133"/>
      <c r="I2554" s="133"/>
      <c r="J2554" s="133"/>
      <c r="K2554" s="133"/>
      <c r="L2554" s="133"/>
      <c r="M2554" s="133"/>
      <c r="N2554" s="133"/>
      <c r="O2554" s="133"/>
      <c r="P2554" s="134"/>
      <c r="Q2554" s="146"/>
      <c r="R2554" s="17"/>
      <c r="S2554" s="17"/>
      <c r="T2554" s="75"/>
      <c r="U2554" s="75"/>
      <c r="V2554" s="75"/>
      <c r="W2554" s="75"/>
      <c r="X2554" s="75"/>
    </row>
    <row r="2555">
      <c r="A2555" s="17"/>
      <c r="B2555" s="17"/>
      <c r="C2555" s="133"/>
      <c r="D2555" s="133"/>
      <c r="E2555" s="17"/>
      <c r="F2555" s="133"/>
      <c r="G2555" s="133"/>
      <c r="H2555" s="133"/>
      <c r="I2555" s="133"/>
      <c r="J2555" s="133"/>
      <c r="K2555" s="133"/>
      <c r="L2555" s="133"/>
      <c r="M2555" s="133"/>
      <c r="N2555" s="133"/>
      <c r="O2555" s="133"/>
      <c r="P2555" s="134"/>
      <c r="Q2555" s="146"/>
      <c r="R2555" s="17"/>
      <c r="S2555" s="17"/>
      <c r="T2555" s="75"/>
      <c r="U2555" s="75"/>
      <c r="V2555" s="75"/>
      <c r="W2555" s="75"/>
      <c r="X2555" s="75"/>
    </row>
    <row r="2556">
      <c r="A2556" s="17"/>
      <c r="B2556" s="17"/>
      <c r="C2556" s="133"/>
      <c r="D2556" s="133"/>
      <c r="E2556" s="17"/>
      <c r="F2556" s="133"/>
      <c r="G2556" s="133"/>
      <c r="H2556" s="133"/>
      <c r="I2556" s="133"/>
      <c r="J2556" s="133"/>
      <c r="K2556" s="133"/>
      <c r="L2556" s="133"/>
      <c r="M2556" s="133"/>
      <c r="N2556" s="133"/>
      <c r="O2556" s="133"/>
      <c r="P2556" s="134"/>
      <c r="Q2556" s="146"/>
      <c r="R2556" s="17"/>
      <c r="S2556" s="17"/>
      <c r="T2556" s="75"/>
      <c r="U2556" s="75"/>
      <c r="V2556" s="75"/>
      <c r="W2556" s="75"/>
      <c r="X2556" s="75"/>
    </row>
    <row r="2557">
      <c r="A2557" s="17"/>
      <c r="B2557" s="17"/>
      <c r="C2557" s="133"/>
      <c r="D2557" s="133"/>
      <c r="E2557" s="17"/>
      <c r="F2557" s="133"/>
      <c r="G2557" s="133"/>
      <c r="H2557" s="133"/>
      <c r="I2557" s="133"/>
      <c r="J2557" s="133"/>
      <c r="K2557" s="133"/>
      <c r="L2557" s="133"/>
      <c r="M2557" s="133"/>
      <c r="N2557" s="133"/>
      <c r="O2557" s="133"/>
      <c r="P2557" s="134"/>
      <c r="Q2557" s="146"/>
      <c r="R2557" s="17"/>
      <c r="S2557" s="17"/>
      <c r="T2557" s="75"/>
      <c r="U2557" s="75"/>
      <c r="V2557" s="75"/>
      <c r="W2557" s="75"/>
      <c r="X2557" s="75"/>
    </row>
    <row r="2558">
      <c r="A2558" s="17"/>
      <c r="B2558" s="17"/>
      <c r="C2558" s="133"/>
      <c r="D2558" s="133"/>
      <c r="E2558" s="17"/>
      <c r="F2558" s="133"/>
      <c r="G2558" s="133"/>
      <c r="H2558" s="133"/>
      <c r="I2558" s="133"/>
      <c r="J2558" s="133"/>
      <c r="K2558" s="133"/>
      <c r="L2558" s="133"/>
      <c r="M2558" s="133"/>
      <c r="N2558" s="133"/>
      <c r="O2558" s="133"/>
      <c r="P2558" s="134"/>
      <c r="Q2558" s="146"/>
      <c r="R2558" s="17"/>
      <c r="S2558" s="17"/>
      <c r="T2558" s="75"/>
      <c r="U2558" s="75"/>
      <c r="V2558" s="75"/>
      <c r="W2558" s="75"/>
      <c r="X2558" s="75"/>
    </row>
    <row r="2559">
      <c r="A2559" s="17"/>
      <c r="B2559" s="17"/>
      <c r="C2559" s="133"/>
      <c r="D2559" s="133"/>
      <c r="E2559" s="17"/>
      <c r="F2559" s="133"/>
      <c r="G2559" s="133"/>
      <c r="H2559" s="133"/>
      <c r="I2559" s="133"/>
      <c r="J2559" s="133"/>
      <c r="K2559" s="133"/>
      <c r="L2559" s="133"/>
      <c r="M2559" s="133"/>
      <c r="N2559" s="133"/>
      <c r="O2559" s="133"/>
      <c r="P2559" s="134"/>
      <c r="Q2559" s="146"/>
      <c r="R2559" s="17"/>
      <c r="S2559" s="17"/>
      <c r="T2559" s="75"/>
      <c r="U2559" s="75"/>
      <c r="V2559" s="75"/>
      <c r="W2559" s="75"/>
      <c r="X2559" s="75"/>
    </row>
    <row r="2560">
      <c r="A2560" s="17"/>
      <c r="B2560" s="17"/>
      <c r="C2560" s="133"/>
      <c r="D2560" s="133"/>
      <c r="E2560" s="17"/>
      <c r="F2560" s="133"/>
      <c r="G2560" s="133"/>
      <c r="H2560" s="133"/>
      <c r="I2560" s="133"/>
      <c r="J2560" s="133"/>
      <c r="K2560" s="133"/>
      <c r="L2560" s="133"/>
      <c r="M2560" s="133"/>
      <c r="N2560" s="133"/>
      <c r="O2560" s="133"/>
      <c r="P2560" s="134"/>
      <c r="Q2560" s="146"/>
      <c r="R2560" s="17"/>
      <c r="S2560" s="17"/>
      <c r="T2560" s="75"/>
      <c r="U2560" s="75"/>
      <c r="V2560" s="75"/>
      <c r="W2560" s="75"/>
      <c r="X2560" s="75"/>
    </row>
    <row r="2561">
      <c r="A2561" s="17"/>
      <c r="B2561" s="17"/>
      <c r="C2561" s="133"/>
      <c r="D2561" s="133"/>
      <c r="E2561" s="17"/>
      <c r="F2561" s="133"/>
      <c r="G2561" s="133"/>
      <c r="H2561" s="133"/>
      <c r="I2561" s="133"/>
      <c r="J2561" s="133"/>
      <c r="K2561" s="133"/>
      <c r="L2561" s="133"/>
      <c r="M2561" s="133"/>
      <c r="N2561" s="133"/>
      <c r="O2561" s="133"/>
      <c r="P2561" s="134"/>
      <c r="Q2561" s="146"/>
      <c r="R2561" s="17"/>
      <c r="S2561" s="17"/>
      <c r="T2561" s="75"/>
      <c r="U2561" s="75"/>
      <c r="V2561" s="75"/>
      <c r="W2561" s="75"/>
      <c r="X2561" s="75"/>
    </row>
    <row r="2562">
      <c r="A2562" s="17"/>
      <c r="B2562" s="17"/>
      <c r="C2562" s="133"/>
      <c r="D2562" s="133"/>
      <c r="E2562" s="17"/>
      <c r="F2562" s="133"/>
      <c r="G2562" s="133"/>
      <c r="H2562" s="133"/>
      <c r="I2562" s="133"/>
      <c r="J2562" s="133"/>
      <c r="K2562" s="133"/>
      <c r="L2562" s="133"/>
      <c r="M2562" s="133"/>
      <c r="N2562" s="133"/>
      <c r="O2562" s="133"/>
      <c r="P2562" s="134"/>
      <c r="Q2562" s="146"/>
      <c r="R2562" s="17"/>
      <c r="S2562" s="17"/>
      <c r="T2562" s="75"/>
      <c r="U2562" s="75"/>
      <c r="V2562" s="75"/>
      <c r="W2562" s="75"/>
      <c r="X2562" s="75"/>
    </row>
    <row r="2563">
      <c r="A2563" s="17"/>
      <c r="B2563" s="17"/>
      <c r="C2563" s="133"/>
      <c r="D2563" s="133"/>
      <c r="E2563" s="17"/>
      <c r="F2563" s="133"/>
      <c r="G2563" s="133"/>
      <c r="H2563" s="133"/>
      <c r="I2563" s="133"/>
      <c r="J2563" s="133"/>
      <c r="K2563" s="133"/>
      <c r="L2563" s="133"/>
      <c r="M2563" s="133"/>
      <c r="N2563" s="133"/>
      <c r="O2563" s="133"/>
      <c r="P2563" s="134"/>
      <c r="Q2563" s="146"/>
      <c r="R2563" s="17"/>
      <c r="S2563" s="17"/>
      <c r="T2563" s="75"/>
      <c r="U2563" s="75"/>
      <c r="V2563" s="75"/>
      <c r="W2563" s="75"/>
      <c r="X2563" s="75"/>
    </row>
    <row r="2564">
      <c r="A2564" s="17"/>
      <c r="B2564" s="17"/>
      <c r="C2564" s="133"/>
      <c r="D2564" s="133"/>
      <c r="E2564" s="17"/>
      <c r="F2564" s="133"/>
      <c r="G2564" s="133"/>
      <c r="H2564" s="133"/>
      <c r="I2564" s="133"/>
      <c r="J2564" s="133"/>
      <c r="K2564" s="133"/>
      <c r="L2564" s="133"/>
      <c r="M2564" s="133"/>
      <c r="N2564" s="133"/>
      <c r="O2564" s="133"/>
      <c r="P2564" s="134"/>
      <c r="Q2564" s="146"/>
      <c r="R2564" s="17"/>
      <c r="S2564" s="17"/>
      <c r="T2564" s="75"/>
      <c r="U2564" s="75"/>
      <c r="V2564" s="75"/>
      <c r="W2564" s="75"/>
      <c r="X2564" s="75"/>
    </row>
    <row r="2565">
      <c r="A2565" s="17"/>
      <c r="B2565" s="17"/>
      <c r="C2565" s="133"/>
      <c r="D2565" s="133"/>
      <c r="E2565" s="17"/>
      <c r="F2565" s="133"/>
      <c r="G2565" s="133"/>
      <c r="H2565" s="133"/>
      <c r="I2565" s="133"/>
      <c r="J2565" s="133"/>
      <c r="K2565" s="133"/>
      <c r="L2565" s="133"/>
      <c r="M2565" s="133"/>
      <c r="N2565" s="133"/>
      <c r="O2565" s="133"/>
      <c r="P2565" s="134"/>
      <c r="Q2565" s="146"/>
      <c r="R2565" s="17"/>
      <c r="S2565" s="17"/>
      <c r="T2565" s="75"/>
      <c r="U2565" s="75"/>
      <c r="V2565" s="75"/>
      <c r="W2565" s="75"/>
      <c r="X2565" s="75"/>
    </row>
    <row r="2566">
      <c r="A2566" s="17"/>
      <c r="B2566" s="17"/>
      <c r="C2566" s="133"/>
      <c r="D2566" s="133"/>
      <c r="E2566" s="17"/>
      <c r="F2566" s="133"/>
      <c r="G2566" s="133"/>
      <c r="H2566" s="133"/>
      <c r="I2566" s="133"/>
      <c r="J2566" s="133"/>
      <c r="K2566" s="133"/>
      <c r="L2566" s="133"/>
      <c r="M2566" s="133"/>
      <c r="N2566" s="133"/>
      <c r="O2566" s="133"/>
      <c r="P2566" s="134"/>
      <c r="Q2566" s="146"/>
      <c r="R2566" s="17"/>
      <c r="S2566" s="17"/>
      <c r="T2566" s="75"/>
      <c r="U2566" s="75"/>
      <c r="V2566" s="75"/>
      <c r="W2566" s="75"/>
      <c r="X2566" s="75"/>
    </row>
    <row r="2567">
      <c r="A2567" s="17"/>
      <c r="B2567" s="17"/>
      <c r="C2567" s="133"/>
      <c r="D2567" s="133"/>
      <c r="E2567" s="17"/>
      <c r="F2567" s="133"/>
      <c r="G2567" s="133"/>
      <c r="H2567" s="133"/>
      <c r="I2567" s="133"/>
      <c r="J2567" s="133"/>
      <c r="K2567" s="133"/>
      <c r="L2567" s="133"/>
      <c r="M2567" s="133"/>
      <c r="N2567" s="133"/>
      <c r="O2567" s="133"/>
      <c r="P2567" s="134"/>
      <c r="Q2567" s="146"/>
      <c r="R2567" s="17"/>
      <c r="S2567" s="17"/>
      <c r="T2567" s="75"/>
      <c r="U2567" s="75"/>
      <c r="V2567" s="75"/>
      <c r="W2567" s="75"/>
      <c r="X2567" s="75"/>
    </row>
    <row r="2568">
      <c r="A2568" s="17"/>
      <c r="B2568" s="17"/>
      <c r="C2568" s="133"/>
      <c r="D2568" s="133"/>
      <c r="E2568" s="17"/>
      <c r="F2568" s="133"/>
      <c r="G2568" s="133"/>
      <c r="H2568" s="133"/>
      <c r="I2568" s="133"/>
      <c r="J2568" s="133"/>
      <c r="K2568" s="133"/>
      <c r="L2568" s="133"/>
      <c r="M2568" s="133"/>
      <c r="N2568" s="133"/>
      <c r="O2568" s="133"/>
      <c r="P2568" s="134"/>
      <c r="Q2568" s="146"/>
      <c r="R2568" s="17"/>
      <c r="S2568" s="17"/>
      <c r="T2568" s="75"/>
      <c r="U2568" s="75"/>
      <c r="V2568" s="75"/>
      <c r="W2568" s="75"/>
      <c r="X2568" s="75"/>
    </row>
    <row r="2569">
      <c r="A2569" s="17"/>
      <c r="B2569" s="17"/>
      <c r="C2569" s="133"/>
      <c r="D2569" s="133"/>
      <c r="E2569" s="17"/>
      <c r="F2569" s="133"/>
      <c r="G2569" s="133"/>
      <c r="H2569" s="133"/>
      <c r="I2569" s="133"/>
      <c r="J2569" s="133"/>
      <c r="K2569" s="133"/>
      <c r="L2569" s="133"/>
      <c r="M2569" s="133"/>
      <c r="N2569" s="133"/>
      <c r="O2569" s="133"/>
      <c r="P2569" s="134"/>
      <c r="Q2569" s="146"/>
      <c r="R2569" s="17"/>
      <c r="S2569" s="17"/>
      <c r="T2569" s="75"/>
      <c r="U2569" s="75"/>
      <c r="V2569" s="75"/>
      <c r="W2569" s="75"/>
      <c r="X2569" s="75"/>
    </row>
    <row r="2570">
      <c r="A2570" s="17"/>
      <c r="B2570" s="17"/>
      <c r="C2570" s="133"/>
      <c r="D2570" s="133"/>
      <c r="E2570" s="17"/>
      <c r="F2570" s="133"/>
      <c r="G2570" s="133"/>
      <c r="H2570" s="133"/>
      <c r="I2570" s="133"/>
      <c r="J2570" s="133"/>
      <c r="K2570" s="133"/>
      <c r="L2570" s="133"/>
      <c r="M2570" s="133"/>
      <c r="N2570" s="133"/>
      <c r="O2570" s="133"/>
      <c r="P2570" s="134"/>
      <c r="Q2570" s="146"/>
      <c r="R2570" s="17"/>
      <c r="S2570" s="17"/>
      <c r="T2570" s="75"/>
      <c r="U2570" s="75"/>
      <c r="V2570" s="75"/>
      <c r="W2570" s="75"/>
      <c r="X2570" s="75"/>
    </row>
    <row r="2571">
      <c r="A2571" s="17"/>
      <c r="B2571" s="17"/>
      <c r="C2571" s="133"/>
      <c r="D2571" s="133"/>
      <c r="E2571" s="17"/>
      <c r="F2571" s="133"/>
      <c r="G2571" s="133"/>
      <c r="H2571" s="133"/>
      <c r="I2571" s="133"/>
      <c r="J2571" s="133"/>
      <c r="K2571" s="133"/>
      <c r="L2571" s="133"/>
      <c r="M2571" s="133"/>
      <c r="N2571" s="133"/>
      <c r="O2571" s="133"/>
      <c r="P2571" s="134"/>
      <c r="Q2571" s="146"/>
      <c r="R2571" s="17"/>
      <c r="S2571" s="17"/>
      <c r="T2571" s="75"/>
      <c r="U2571" s="75"/>
      <c r="V2571" s="75"/>
      <c r="W2571" s="75"/>
      <c r="X2571" s="75"/>
    </row>
    <row r="2572">
      <c r="A2572" s="17"/>
      <c r="B2572" s="17"/>
      <c r="C2572" s="133"/>
      <c r="D2572" s="133"/>
      <c r="E2572" s="17"/>
      <c r="F2572" s="133"/>
      <c r="G2572" s="133"/>
      <c r="H2572" s="133"/>
      <c r="I2572" s="133"/>
      <c r="J2572" s="133"/>
      <c r="K2572" s="133"/>
      <c r="L2572" s="133"/>
      <c r="M2572" s="133"/>
      <c r="N2572" s="133"/>
      <c r="O2572" s="133"/>
      <c r="P2572" s="134"/>
      <c r="Q2572" s="146"/>
      <c r="R2572" s="17"/>
      <c r="S2572" s="17"/>
      <c r="T2572" s="75"/>
      <c r="U2572" s="75"/>
      <c r="V2572" s="75"/>
      <c r="W2572" s="75"/>
      <c r="X2572" s="75"/>
    </row>
    <row r="2573">
      <c r="A2573" s="17"/>
      <c r="B2573" s="17"/>
      <c r="C2573" s="133"/>
      <c r="D2573" s="133"/>
      <c r="E2573" s="17"/>
      <c r="F2573" s="133"/>
      <c r="G2573" s="133"/>
      <c r="H2573" s="133"/>
      <c r="I2573" s="133"/>
      <c r="J2573" s="133"/>
      <c r="K2573" s="133"/>
      <c r="L2573" s="133"/>
      <c r="M2573" s="133"/>
      <c r="N2573" s="133"/>
      <c r="O2573" s="133"/>
      <c r="P2573" s="134"/>
      <c r="Q2573" s="146"/>
      <c r="R2573" s="17"/>
      <c r="S2573" s="17"/>
      <c r="T2573" s="75"/>
      <c r="U2573" s="75"/>
      <c r="V2573" s="75"/>
      <c r="W2573" s="75"/>
      <c r="X2573" s="75"/>
    </row>
    <row r="2574">
      <c r="A2574" s="17"/>
      <c r="B2574" s="17"/>
      <c r="C2574" s="133"/>
      <c r="D2574" s="133"/>
      <c r="E2574" s="17"/>
      <c r="F2574" s="133"/>
      <c r="G2574" s="133"/>
      <c r="H2574" s="133"/>
      <c r="I2574" s="133"/>
      <c r="J2574" s="133"/>
      <c r="K2574" s="133"/>
      <c r="L2574" s="133"/>
      <c r="M2574" s="133"/>
      <c r="N2574" s="133"/>
      <c r="O2574" s="133"/>
      <c r="P2574" s="134"/>
      <c r="Q2574" s="146"/>
      <c r="R2574" s="17"/>
      <c r="S2574" s="17"/>
      <c r="T2574" s="75"/>
      <c r="U2574" s="75"/>
      <c r="V2574" s="75"/>
      <c r="W2574" s="75"/>
      <c r="X2574" s="75"/>
    </row>
    <row r="2575">
      <c r="A2575" s="17"/>
      <c r="B2575" s="17"/>
      <c r="C2575" s="133"/>
      <c r="D2575" s="133"/>
      <c r="E2575" s="17"/>
      <c r="F2575" s="133"/>
      <c r="G2575" s="133"/>
      <c r="H2575" s="133"/>
      <c r="I2575" s="133"/>
      <c r="J2575" s="133"/>
      <c r="K2575" s="133"/>
      <c r="L2575" s="133"/>
      <c r="M2575" s="133"/>
      <c r="N2575" s="133"/>
      <c r="O2575" s="133"/>
      <c r="P2575" s="134"/>
      <c r="Q2575" s="146"/>
      <c r="R2575" s="17"/>
      <c r="S2575" s="17"/>
      <c r="T2575" s="75"/>
      <c r="U2575" s="75"/>
      <c r="V2575" s="75"/>
      <c r="W2575" s="75"/>
      <c r="X2575" s="75"/>
    </row>
    <row r="2576">
      <c r="A2576" s="17"/>
      <c r="B2576" s="17"/>
      <c r="C2576" s="133"/>
      <c r="D2576" s="133"/>
      <c r="E2576" s="17"/>
      <c r="F2576" s="133"/>
      <c r="G2576" s="133"/>
      <c r="H2576" s="133"/>
      <c r="I2576" s="133"/>
      <c r="J2576" s="133"/>
      <c r="K2576" s="133"/>
      <c r="L2576" s="133"/>
      <c r="M2576" s="133"/>
      <c r="N2576" s="133"/>
      <c r="O2576" s="133"/>
      <c r="P2576" s="134"/>
      <c r="Q2576" s="146"/>
      <c r="R2576" s="17"/>
      <c r="S2576" s="17"/>
      <c r="T2576" s="75"/>
      <c r="U2576" s="75"/>
      <c r="V2576" s="75"/>
      <c r="W2576" s="75"/>
      <c r="X2576" s="75"/>
    </row>
    <row r="2577">
      <c r="A2577" s="17"/>
      <c r="B2577" s="17"/>
      <c r="C2577" s="133"/>
      <c r="D2577" s="133"/>
      <c r="E2577" s="17"/>
      <c r="F2577" s="133"/>
      <c r="G2577" s="133"/>
      <c r="H2577" s="133"/>
      <c r="I2577" s="133"/>
      <c r="J2577" s="133"/>
      <c r="K2577" s="133"/>
      <c r="L2577" s="133"/>
      <c r="M2577" s="133"/>
      <c r="N2577" s="133"/>
      <c r="O2577" s="133"/>
      <c r="P2577" s="134"/>
      <c r="Q2577" s="146"/>
      <c r="R2577" s="17"/>
      <c r="S2577" s="17"/>
      <c r="T2577" s="75"/>
      <c r="U2577" s="75"/>
      <c r="V2577" s="75"/>
      <c r="W2577" s="75"/>
      <c r="X2577" s="75"/>
    </row>
    <row r="2578">
      <c r="A2578" s="17"/>
      <c r="B2578" s="17"/>
      <c r="C2578" s="133"/>
      <c r="D2578" s="133"/>
      <c r="E2578" s="17"/>
      <c r="F2578" s="133"/>
      <c r="G2578" s="133"/>
      <c r="H2578" s="133"/>
      <c r="I2578" s="133"/>
      <c r="J2578" s="133"/>
      <c r="K2578" s="133"/>
      <c r="L2578" s="133"/>
      <c r="M2578" s="133"/>
      <c r="N2578" s="133"/>
      <c r="O2578" s="133"/>
      <c r="P2578" s="134"/>
      <c r="Q2578" s="146"/>
      <c r="R2578" s="17"/>
      <c r="S2578" s="17"/>
      <c r="T2578" s="75"/>
      <c r="U2578" s="75"/>
      <c r="V2578" s="75"/>
      <c r="W2578" s="75"/>
      <c r="X2578" s="75"/>
    </row>
    <row r="2579">
      <c r="A2579" s="17"/>
      <c r="B2579" s="17"/>
      <c r="C2579" s="133"/>
      <c r="D2579" s="133"/>
      <c r="E2579" s="17"/>
      <c r="F2579" s="133"/>
      <c r="G2579" s="133"/>
      <c r="H2579" s="133"/>
      <c r="I2579" s="133"/>
      <c r="J2579" s="133"/>
      <c r="K2579" s="133"/>
      <c r="L2579" s="133"/>
      <c r="M2579" s="133"/>
      <c r="N2579" s="133"/>
      <c r="O2579" s="133"/>
      <c r="P2579" s="134"/>
      <c r="Q2579" s="146"/>
      <c r="R2579" s="17"/>
      <c r="S2579" s="17"/>
      <c r="T2579" s="75"/>
      <c r="U2579" s="75"/>
      <c r="V2579" s="75"/>
      <c r="W2579" s="75"/>
      <c r="X2579" s="75"/>
    </row>
    <row r="2580">
      <c r="A2580" s="17"/>
      <c r="B2580" s="17"/>
      <c r="C2580" s="133"/>
      <c r="D2580" s="133"/>
      <c r="E2580" s="17"/>
      <c r="F2580" s="133"/>
      <c r="G2580" s="133"/>
      <c r="H2580" s="133"/>
      <c r="I2580" s="133"/>
      <c r="J2580" s="133"/>
      <c r="K2580" s="133"/>
      <c r="L2580" s="133"/>
      <c r="M2580" s="133"/>
      <c r="N2580" s="133"/>
      <c r="O2580" s="133"/>
      <c r="P2580" s="134"/>
      <c r="Q2580" s="146"/>
      <c r="R2580" s="17"/>
      <c r="S2580" s="17"/>
      <c r="T2580" s="75"/>
      <c r="U2580" s="75"/>
      <c r="V2580" s="75"/>
      <c r="W2580" s="75"/>
      <c r="X2580" s="75"/>
    </row>
    <row r="2581">
      <c r="A2581" s="17"/>
      <c r="B2581" s="17"/>
      <c r="C2581" s="133"/>
      <c r="D2581" s="133"/>
      <c r="E2581" s="17"/>
      <c r="F2581" s="133"/>
      <c r="G2581" s="133"/>
      <c r="H2581" s="133"/>
      <c r="I2581" s="133"/>
      <c r="J2581" s="133"/>
      <c r="K2581" s="133"/>
      <c r="L2581" s="133"/>
      <c r="M2581" s="133"/>
      <c r="N2581" s="133"/>
      <c r="O2581" s="133"/>
      <c r="P2581" s="134"/>
      <c r="Q2581" s="146"/>
      <c r="R2581" s="17"/>
      <c r="S2581" s="17"/>
      <c r="T2581" s="75"/>
      <c r="U2581" s="75"/>
      <c r="V2581" s="75"/>
      <c r="W2581" s="75"/>
      <c r="X2581" s="75"/>
    </row>
    <row r="2582">
      <c r="A2582" s="17"/>
      <c r="B2582" s="17"/>
      <c r="C2582" s="133"/>
      <c r="D2582" s="133"/>
      <c r="E2582" s="17"/>
      <c r="F2582" s="133"/>
      <c r="G2582" s="133"/>
      <c r="H2582" s="133"/>
      <c r="I2582" s="133"/>
      <c r="J2582" s="133"/>
      <c r="K2582" s="133"/>
      <c r="L2582" s="133"/>
      <c r="M2582" s="133"/>
      <c r="N2582" s="133"/>
      <c r="O2582" s="133"/>
      <c r="P2582" s="134"/>
      <c r="Q2582" s="146"/>
      <c r="R2582" s="17"/>
      <c r="S2582" s="17"/>
      <c r="T2582" s="75"/>
      <c r="U2582" s="75"/>
      <c r="V2582" s="75"/>
      <c r="W2582" s="75"/>
      <c r="X2582" s="75"/>
    </row>
    <row r="2583">
      <c r="A2583" s="17"/>
      <c r="B2583" s="17"/>
      <c r="C2583" s="133"/>
      <c r="D2583" s="133"/>
      <c r="E2583" s="17"/>
      <c r="F2583" s="133"/>
      <c r="G2583" s="133"/>
      <c r="H2583" s="133"/>
      <c r="I2583" s="133"/>
      <c r="J2583" s="133"/>
      <c r="K2583" s="133"/>
      <c r="L2583" s="133"/>
      <c r="M2583" s="133"/>
      <c r="N2583" s="133"/>
      <c r="O2583" s="133"/>
      <c r="P2583" s="134"/>
      <c r="Q2583" s="146"/>
      <c r="R2583" s="17"/>
      <c r="S2583" s="17"/>
      <c r="T2583" s="75"/>
      <c r="U2583" s="75"/>
      <c r="V2583" s="75"/>
      <c r="W2583" s="75"/>
      <c r="X2583" s="75"/>
    </row>
    <row r="2584">
      <c r="A2584" s="17"/>
      <c r="B2584" s="17"/>
      <c r="C2584" s="133"/>
      <c r="D2584" s="133"/>
      <c r="E2584" s="17"/>
      <c r="F2584" s="133"/>
      <c r="G2584" s="133"/>
      <c r="H2584" s="133"/>
      <c r="I2584" s="133"/>
      <c r="J2584" s="133"/>
      <c r="K2584" s="133"/>
      <c r="L2584" s="133"/>
      <c r="M2584" s="133"/>
      <c r="N2584" s="133"/>
      <c r="O2584" s="133"/>
      <c r="P2584" s="134"/>
      <c r="Q2584" s="146"/>
      <c r="R2584" s="17"/>
      <c r="S2584" s="17"/>
      <c r="T2584" s="75"/>
      <c r="U2584" s="75"/>
      <c r="V2584" s="75"/>
      <c r="W2584" s="75"/>
      <c r="X2584" s="75"/>
    </row>
    <row r="2585">
      <c r="A2585" s="17"/>
      <c r="B2585" s="17"/>
      <c r="C2585" s="133"/>
      <c r="D2585" s="133"/>
      <c r="E2585" s="17"/>
      <c r="F2585" s="133"/>
      <c r="G2585" s="133"/>
      <c r="H2585" s="133"/>
      <c r="I2585" s="133"/>
      <c r="J2585" s="133"/>
      <c r="K2585" s="133"/>
      <c r="L2585" s="133"/>
      <c r="M2585" s="133"/>
      <c r="N2585" s="133"/>
      <c r="O2585" s="133"/>
      <c r="P2585" s="134"/>
      <c r="Q2585" s="146"/>
      <c r="R2585" s="17"/>
      <c r="S2585" s="17"/>
      <c r="T2585" s="75"/>
      <c r="U2585" s="75"/>
      <c r="V2585" s="75"/>
      <c r="W2585" s="75"/>
      <c r="X2585" s="75"/>
    </row>
    <row r="2586">
      <c r="A2586" s="17"/>
      <c r="B2586" s="17"/>
      <c r="C2586" s="133"/>
      <c r="D2586" s="133"/>
      <c r="E2586" s="17"/>
      <c r="F2586" s="133"/>
      <c r="G2586" s="133"/>
      <c r="H2586" s="133"/>
      <c r="I2586" s="133"/>
      <c r="J2586" s="133"/>
      <c r="K2586" s="133"/>
      <c r="L2586" s="133"/>
      <c r="M2586" s="133"/>
      <c r="N2586" s="133"/>
      <c r="O2586" s="133"/>
      <c r="P2586" s="134"/>
      <c r="Q2586" s="146"/>
      <c r="R2586" s="17"/>
      <c r="S2586" s="17"/>
      <c r="T2586" s="75"/>
      <c r="U2586" s="75"/>
      <c r="V2586" s="75"/>
      <c r="W2586" s="75"/>
      <c r="X2586" s="75"/>
    </row>
    <row r="2587">
      <c r="A2587" s="17"/>
      <c r="B2587" s="17"/>
      <c r="C2587" s="133"/>
      <c r="D2587" s="133"/>
      <c r="E2587" s="17"/>
      <c r="F2587" s="133"/>
      <c r="G2587" s="133"/>
      <c r="H2587" s="133"/>
      <c r="I2587" s="133"/>
      <c r="J2587" s="133"/>
      <c r="K2587" s="133"/>
      <c r="L2587" s="133"/>
      <c r="M2587" s="133"/>
      <c r="N2587" s="133"/>
      <c r="O2587" s="133"/>
      <c r="P2587" s="134"/>
      <c r="Q2587" s="146"/>
      <c r="R2587" s="17"/>
      <c r="S2587" s="17"/>
      <c r="T2587" s="75"/>
      <c r="U2587" s="75"/>
      <c r="V2587" s="75"/>
      <c r="W2587" s="75"/>
      <c r="X2587" s="75"/>
    </row>
    <row r="2588">
      <c r="A2588" s="17"/>
      <c r="B2588" s="17"/>
      <c r="C2588" s="133"/>
      <c r="D2588" s="133"/>
      <c r="E2588" s="17"/>
      <c r="F2588" s="133"/>
      <c r="G2588" s="133"/>
      <c r="H2588" s="133"/>
      <c r="I2588" s="133"/>
      <c r="J2588" s="133"/>
      <c r="K2588" s="133"/>
      <c r="L2588" s="133"/>
      <c r="M2588" s="133"/>
      <c r="N2588" s="133"/>
      <c r="O2588" s="133"/>
      <c r="P2588" s="134"/>
      <c r="Q2588" s="146"/>
      <c r="R2588" s="17"/>
      <c r="S2588" s="17"/>
      <c r="T2588" s="75"/>
      <c r="U2588" s="75"/>
      <c r="V2588" s="75"/>
      <c r="W2588" s="75"/>
      <c r="X2588" s="75"/>
    </row>
    <row r="2589">
      <c r="A2589" s="17"/>
      <c r="B2589" s="17"/>
      <c r="C2589" s="133"/>
      <c r="D2589" s="133"/>
      <c r="E2589" s="17"/>
      <c r="F2589" s="133"/>
      <c r="G2589" s="133"/>
      <c r="H2589" s="133"/>
      <c r="I2589" s="133"/>
      <c r="J2589" s="133"/>
      <c r="K2589" s="133"/>
      <c r="L2589" s="133"/>
      <c r="M2589" s="133"/>
      <c r="N2589" s="133"/>
      <c r="O2589" s="133"/>
      <c r="P2589" s="134"/>
      <c r="Q2589" s="146"/>
      <c r="R2589" s="17"/>
      <c r="S2589" s="17"/>
      <c r="T2589" s="75"/>
      <c r="U2589" s="75"/>
      <c r="V2589" s="75"/>
      <c r="W2589" s="75"/>
      <c r="X2589" s="75"/>
    </row>
    <row r="2590">
      <c r="A2590" s="17"/>
      <c r="B2590" s="17"/>
      <c r="C2590" s="133"/>
      <c r="D2590" s="133"/>
      <c r="E2590" s="17"/>
      <c r="F2590" s="133"/>
      <c r="G2590" s="133"/>
      <c r="H2590" s="133"/>
      <c r="I2590" s="133"/>
      <c r="J2590" s="133"/>
      <c r="K2590" s="133"/>
      <c r="L2590" s="133"/>
      <c r="M2590" s="133"/>
      <c r="N2590" s="133"/>
      <c r="O2590" s="133"/>
      <c r="P2590" s="134"/>
      <c r="Q2590" s="146"/>
      <c r="R2590" s="17"/>
      <c r="S2590" s="17"/>
      <c r="T2590" s="75"/>
      <c r="U2590" s="75"/>
      <c r="V2590" s="75"/>
      <c r="W2590" s="75"/>
      <c r="X2590" s="75"/>
    </row>
    <row r="2591">
      <c r="A2591" s="17"/>
      <c r="B2591" s="17"/>
      <c r="C2591" s="133"/>
      <c r="D2591" s="133"/>
      <c r="E2591" s="17"/>
      <c r="F2591" s="133"/>
      <c r="G2591" s="133"/>
      <c r="H2591" s="133"/>
      <c r="I2591" s="133"/>
      <c r="J2591" s="133"/>
      <c r="K2591" s="133"/>
      <c r="L2591" s="133"/>
      <c r="M2591" s="133"/>
      <c r="N2591" s="133"/>
      <c r="O2591" s="133"/>
      <c r="P2591" s="134"/>
      <c r="Q2591" s="146"/>
      <c r="R2591" s="17"/>
      <c r="S2591" s="17"/>
      <c r="T2591" s="75"/>
      <c r="U2591" s="75"/>
      <c r="V2591" s="75"/>
      <c r="W2591" s="75"/>
      <c r="X2591" s="75"/>
    </row>
    <row r="2592">
      <c r="A2592" s="17"/>
      <c r="B2592" s="17"/>
      <c r="C2592" s="133"/>
      <c r="D2592" s="133"/>
      <c r="E2592" s="17"/>
      <c r="F2592" s="133"/>
      <c r="G2592" s="133"/>
      <c r="H2592" s="133"/>
      <c r="I2592" s="133"/>
      <c r="J2592" s="133"/>
      <c r="K2592" s="133"/>
      <c r="L2592" s="133"/>
      <c r="M2592" s="133"/>
      <c r="N2592" s="133"/>
      <c r="O2592" s="133"/>
      <c r="P2592" s="134"/>
      <c r="Q2592" s="146"/>
      <c r="R2592" s="17"/>
      <c r="S2592" s="17"/>
      <c r="T2592" s="75"/>
      <c r="U2592" s="75"/>
      <c r="V2592" s="75"/>
      <c r="W2592" s="75"/>
      <c r="X2592" s="75"/>
    </row>
    <row r="2593">
      <c r="A2593" s="17"/>
      <c r="B2593" s="17"/>
      <c r="C2593" s="133"/>
      <c r="D2593" s="133"/>
      <c r="E2593" s="17"/>
      <c r="F2593" s="133"/>
      <c r="G2593" s="133"/>
      <c r="H2593" s="133"/>
      <c r="I2593" s="133"/>
      <c r="J2593" s="133"/>
      <c r="K2593" s="133"/>
      <c r="L2593" s="133"/>
      <c r="M2593" s="133"/>
      <c r="N2593" s="133"/>
      <c r="O2593" s="133"/>
      <c r="P2593" s="134"/>
      <c r="Q2593" s="146"/>
      <c r="R2593" s="17"/>
      <c r="S2593" s="17"/>
      <c r="T2593" s="75"/>
      <c r="U2593" s="75"/>
      <c r="V2593" s="75"/>
      <c r="W2593" s="75"/>
      <c r="X2593" s="75"/>
    </row>
    <row r="2594">
      <c r="A2594" s="17"/>
      <c r="B2594" s="17"/>
      <c r="C2594" s="133"/>
      <c r="D2594" s="133"/>
      <c r="E2594" s="17"/>
      <c r="F2594" s="133"/>
      <c r="G2594" s="133"/>
      <c r="H2594" s="133"/>
      <c r="I2594" s="133"/>
      <c r="J2594" s="133"/>
      <c r="K2594" s="133"/>
      <c r="L2594" s="133"/>
      <c r="M2594" s="133"/>
      <c r="N2594" s="133"/>
      <c r="O2594" s="133"/>
      <c r="P2594" s="134"/>
      <c r="Q2594" s="146"/>
      <c r="R2594" s="17"/>
      <c r="S2594" s="17"/>
      <c r="T2594" s="75"/>
      <c r="U2594" s="75"/>
      <c r="V2594" s="75"/>
      <c r="W2594" s="75"/>
      <c r="X2594" s="75"/>
    </row>
    <row r="2595">
      <c r="A2595" s="17"/>
      <c r="B2595" s="17"/>
      <c r="C2595" s="133"/>
      <c r="D2595" s="133"/>
      <c r="E2595" s="17"/>
      <c r="F2595" s="133"/>
      <c r="G2595" s="133"/>
      <c r="H2595" s="133"/>
      <c r="I2595" s="133"/>
      <c r="J2595" s="133"/>
      <c r="K2595" s="133"/>
      <c r="L2595" s="133"/>
      <c r="M2595" s="133"/>
      <c r="N2595" s="133"/>
      <c r="O2595" s="133"/>
      <c r="P2595" s="134"/>
      <c r="Q2595" s="146"/>
      <c r="R2595" s="17"/>
      <c r="S2595" s="17"/>
      <c r="T2595" s="75"/>
      <c r="U2595" s="75"/>
      <c r="V2595" s="75"/>
      <c r="W2595" s="75"/>
      <c r="X2595" s="75"/>
    </row>
    <row r="2596">
      <c r="A2596" s="17"/>
      <c r="B2596" s="17"/>
      <c r="C2596" s="133"/>
      <c r="D2596" s="133"/>
      <c r="E2596" s="17"/>
      <c r="F2596" s="133"/>
      <c r="G2596" s="133"/>
      <c r="H2596" s="133"/>
      <c r="I2596" s="133"/>
      <c r="J2596" s="133"/>
      <c r="K2596" s="133"/>
      <c r="L2596" s="133"/>
      <c r="M2596" s="133"/>
      <c r="N2596" s="133"/>
      <c r="O2596" s="133"/>
      <c r="P2596" s="134"/>
      <c r="Q2596" s="146"/>
      <c r="R2596" s="17"/>
      <c r="S2596" s="17"/>
      <c r="T2596" s="75"/>
      <c r="U2596" s="75"/>
      <c r="V2596" s="75"/>
      <c r="W2596" s="75"/>
      <c r="X2596" s="75"/>
    </row>
    <row r="2597">
      <c r="A2597" s="17"/>
      <c r="B2597" s="17"/>
      <c r="C2597" s="133"/>
      <c r="D2597" s="133"/>
      <c r="E2597" s="17"/>
      <c r="F2597" s="133"/>
      <c r="G2597" s="133"/>
      <c r="H2597" s="133"/>
      <c r="I2597" s="133"/>
      <c r="J2597" s="133"/>
      <c r="K2597" s="133"/>
      <c r="L2597" s="133"/>
      <c r="M2597" s="133"/>
      <c r="N2597" s="133"/>
      <c r="O2597" s="133"/>
      <c r="P2597" s="134"/>
      <c r="Q2597" s="146"/>
      <c r="R2597" s="17"/>
      <c r="S2597" s="17"/>
      <c r="T2597" s="75"/>
      <c r="U2597" s="75"/>
      <c r="V2597" s="75"/>
      <c r="W2597" s="75"/>
      <c r="X2597" s="75"/>
    </row>
    <row r="2598">
      <c r="A2598" s="17"/>
      <c r="B2598" s="17"/>
      <c r="C2598" s="133"/>
      <c r="D2598" s="133"/>
      <c r="E2598" s="17"/>
      <c r="F2598" s="133"/>
      <c r="G2598" s="133"/>
      <c r="H2598" s="133"/>
      <c r="I2598" s="133"/>
      <c r="J2598" s="133"/>
      <c r="K2598" s="133"/>
      <c r="L2598" s="133"/>
      <c r="M2598" s="133"/>
      <c r="N2598" s="133"/>
      <c r="O2598" s="133"/>
      <c r="P2598" s="134"/>
      <c r="Q2598" s="146"/>
      <c r="R2598" s="17"/>
      <c r="S2598" s="17"/>
      <c r="T2598" s="75"/>
      <c r="U2598" s="75"/>
      <c r="V2598" s="75"/>
      <c r="W2598" s="75"/>
      <c r="X2598" s="75"/>
    </row>
    <row r="2599">
      <c r="A2599" s="17"/>
      <c r="B2599" s="17"/>
      <c r="C2599" s="133"/>
      <c r="D2599" s="133"/>
      <c r="E2599" s="17"/>
      <c r="F2599" s="133"/>
      <c r="G2599" s="133"/>
      <c r="H2599" s="133"/>
      <c r="I2599" s="133"/>
      <c r="J2599" s="133"/>
      <c r="K2599" s="133"/>
      <c r="L2599" s="133"/>
      <c r="M2599" s="133"/>
      <c r="N2599" s="133"/>
      <c r="O2599" s="133"/>
      <c r="P2599" s="134"/>
      <c r="Q2599" s="146"/>
      <c r="R2599" s="17"/>
      <c r="S2599" s="17"/>
      <c r="T2599" s="75"/>
      <c r="U2599" s="75"/>
      <c r="V2599" s="75"/>
      <c r="W2599" s="75"/>
      <c r="X2599" s="75"/>
    </row>
    <row r="2600">
      <c r="A2600" s="17"/>
      <c r="B2600" s="17"/>
      <c r="C2600" s="133"/>
      <c r="D2600" s="133"/>
      <c r="E2600" s="17"/>
      <c r="F2600" s="133"/>
      <c r="G2600" s="133"/>
      <c r="H2600" s="133"/>
      <c r="I2600" s="133"/>
      <c r="J2600" s="133"/>
      <c r="K2600" s="133"/>
      <c r="L2600" s="133"/>
      <c r="M2600" s="133"/>
      <c r="N2600" s="133"/>
      <c r="O2600" s="133"/>
      <c r="P2600" s="134"/>
      <c r="Q2600" s="146"/>
      <c r="R2600" s="17"/>
      <c r="S2600" s="17"/>
      <c r="T2600" s="75"/>
      <c r="U2600" s="75"/>
      <c r="V2600" s="75"/>
      <c r="W2600" s="75"/>
      <c r="X2600" s="75"/>
    </row>
    <row r="2601">
      <c r="A2601" s="17"/>
      <c r="B2601" s="17"/>
      <c r="C2601" s="133"/>
      <c r="D2601" s="133"/>
      <c r="E2601" s="17"/>
      <c r="F2601" s="133"/>
      <c r="G2601" s="133"/>
      <c r="H2601" s="133"/>
      <c r="I2601" s="133"/>
      <c r="J2601" s="133"/>
      <c r="K2601" s="133"/>
      <c r="L2601" s="133"/>
      <c r="M2601" s="133"/>
      <c r="N2601" s="133"/>
      <c r="O2601" s="133"/>
      <c r="P2601" s="134"/>
      <c r="Q2601" s="146"/>
      <c r="R2601" s="17"/>
      <c r="S2601" s="17"/>
      <c r="T2601" s="75"/>
      <c r="U2601" s="75"/>
      <c r="V2601" s="75"/>
      <c r="W2601" s="75"/>
      <c r="X2601" s="75"/>
    </row>
    <row r="2602">
      <c r="A2602" s="17"/>
      <c r="B2602" s="17"/>
      <c r="C2602" s="133"/>
      <c r="D2602" s="133"/>
      <c r="E2602" s="17"/>
      <c r="F2602" s="133"/>
      <c r="G2602" s="133"/>
      <c r="H2602" s="133"/>
      <c r="I2602" s="133"/>
      <c r="J2602" s="133"/>
      <c r="K2602" s="133"/>
      <c r="L2602" s="133"/>
      <c r="M2602" s="133"/>
      <c r="N2602" s="133"/>
      <c r="O2602" s="133"/>
      <c r="P2602" s="134"/>
      <c r="Q2602" s="146"/>
      <c r="R2602" s="17"/>
      <c r="S2602" s="17"/>
      <c r="T2602" s="75"/>
      <c r="U2602" s="75"/>
      <c r="V2602" s="75"/>
      <c r="W2602" s="75"/>
      <c r="X2602" s="75"/>
    </row>
    <row r="2603">
      <c r="A2603" s="17"/>
      <c r="B2603" s="17"/>
      <c r="C2603" s="133"/>
      <c r="D2603" s="133"/>
      <c r="E2603" s="17"/>
      <c r="F2603" s="133"/>
      <c r="G2603" s="133"/>
      <c r="H2603" s="133"/>
      <c r="I2603" s="133"/>
      <c r="J2603" s="133"/>
      <c r="K2603" s="133"/>
      <c r="L2603" s="133"/>
      <c r="M2603" s="133"/>
      <c r="N2603" s="133"/>
      <c r="O2603" s="133"/>
      <c r="P2603" s="134"/>
      <c r="Q2603" s="146"/>
      <c r="R2603" s="17"/>
      <c r="S2603" s="17"/>
      <c r="T2603" s="75"/>
      <c r="U2603" s="75"/>
      <c r="V2603" s="75"/>
      <c r="W2603" s="75"/>
      <c r="X2603" s="75"/>
    </row>
    <row r="2604">
      <c r="A2604" s="17"/>
      <c r="B2604" s="17"/>
      <c r="C2604" s="133"/>
      <c r="D2604" s="133"/>
      <c r="E2604" s="17"/>
      <c r="F2604" s="133"/>
      <c r="G2604" s="133"/>
      <c r="H2604" s="133"/>
      <c r="I2604" s="133"/>
      <c r="J2604" s="133"/>
      <c r="K2604" s="133"/>
      <c r="L2604" s="133"/>
      <c r="M2604" s="133"/>
      <c r="N2604" s="133"/>
      <c r="O2604" s="133"/>
      <c r="P2604" s="134"/>
      <c r="Q2604" s="146"/>
      <c r="R2604" s="17"/>
      <c r="S2604" s="17"/>
      <c r="T2604" s="75"/>
      <c r="U2604" s="75"/>
      <c r="V2604" s="75"/>
      <c r="W2604" s="75"/>
      <c r="X2604" s="75"/>
    </row>
    <row r="2605">
      <c r="A2605" s="17"/>
      <c r="B2605" s="17"/>
      <c r="C2605" s="133"/>
      <c r="D2605" s="133"/>
      <c r="E2605" s="17"/>
      <c r="F2605" s="133"/>
      <c r="G2605" s="133"/>
      <c r="H2605" s="133"/>
      <c r="I2605" s="133"/>
      <c r="J2605" s="133"/>
      <c r="K2605" s="133"/>
      <c r="L2605" s="133"/>
      <c r="M2605" s="133"/>
      <c r="N2605" s="133"/>
      <c r="O2605" s="133"/>
      <c r="P2605" s="134"/>
      <c r="Q2605" s="146"/>
      <c r="R2605" s="17"/>
      <c r="S2605" s="17"/>
      <c r="T2605" s="75"/>
      <c r="U2605" s="75"/>
      <c r="V2605" s="75"/>
      <c r="W2605" s="75"/>
      <c r="X2605" s="75"/>
    </row>
    <row r="2606">
      <c r="A2606" s="17"/>
      <c r="B2606" s="17"/>
      <c r="C2606" s="133"/>
      <c r="D2606" s="133"/>
      <c r="E2606" s="17"/>
      <c r="F2606" s="133"/>
      <c r="G2606" s="133"/>
      <c r="H2606" s="133"/>
      <c r="I2606" s="133"/>
      <c r="J2606" s="133"/>
      <c r="K2606" s="133"/>
      <c r="L2606" s="133"/>
      <c r="M2606" s="133"/>
      <c r="N2606" s="133"/>
      <c r="O2606" s="133"/>
      <c r="P2606" s="134"/>
      <c r="Q2606" s="146"/>
      <c r="R2606" s="17"/>
      <c r="S2606" s="17"/>
      <c r="T2606" s="75"/>
      <c r="U2606" s="75"/>
      <c r="V2606" s="75"/>
      <c r="W2606" s="75"/>
      <c r="X2606" s="75"/>
    </row>
    <row r="2607">
      <c r="A2607" s="17"/>
      <c r="B2607" s="17"/>
      <c r="C2607" s="133"/>
      <c r="D2607" s="133"/>
      <c r="E2607" s="17"/>
      <c r="F2607" s="133"/>
      <c r="G2607" s="133"/>
      <c r="H2607" s="133"/>
      <c r="I2607" s="133"/>
      <c r="J2607" s="133"/>
      <c r="K2607" s="133"/>
      <c r="L2607" s="133"/>
      <c r="M2607" s="133"/>
      <c r="N2607" s="133"/>
      <c r="O2607" s="133"/>
      <c r="P2607" s="134"/>
      <c r="Q2607" s="146"/>
      <c r="R2607" s="17"/>
      <c r="S2607" s="17"/>
      <c r="T2607" s="75"/>
      <c r="U2607" s="75"/>
      <c r="V2607" s="75"/>
      <c r="W2607" s="75"/>
      <c r="X2607" s="75"/>
    </row>
    <row r="2608">
      <c r="A2608" s="17"/>
      <c r="B2608" s="17"/>
      <c r="C2608" s="133"/>
      <c r="D2608" s="133"/>
      <c r="E2608" s="17"/>
      <c r="F2608" s="133"/>
      <c r="G2608" s="133"/>
      <c r="H2608" s="133"/>
      <c r="I2608" s="133"/>
      <c r="J2608" s="133"/>
      <c r="K2608" s="133"/>
      <c r="L2608" s="133"/>
      <c r="M2608" s="133"/>
      <c r="N2608" s="133"/>
      <c r="O2608" s="133"/>
      <c r="P2608" s="134"/>
      <c r="Q2608" s="146"/>
      <c r="R2608" s="17"/>
      <c r="S2608" s="17"/>
      <c r="T2608" s="75"/>
      <c r="U2608" s="75"/>
      <c r="V2608" s="75"/>
      <c r="W2608" s="75"/>
      <c r="X2608" s="75"/>
    </row>
    <row r="2609">
      <c r="A2609" s="17"/>
      <c r="B2609" s="17"/>
      <c r="C2609" s="133"/>
      <c r="D2609" s="133"/>
      <c r="E2609" s="17"/>
      <c r="F2609" s="133"/>
      <c r="G2609" s="133"/>
      <c r="H2609" s="133"/>
      <c r="I2609" s="133"/>
      <c r="J2609" s="133"/>
      <c r="K2609" s="133"/>
      <c r="L2609" s="133"/>
      <c r="M2609" s="133"/>
      <c r="N2609" s="133"/>
      <c r="O2609" s="133"/>
      <c r="P2609" s="134"/>
      <c r="Q2609" s="146"/>
      <c r="R2609" s="17"/>
      <c r="S2609" s="17"/>
      <c r="T2609" s="75"/>
      <c r="U2609" s="75"/>
      <c r="V2609" s="75"/>
      <c r="W2609" s="75"/>
      <c r="X2609" s="75"/>
    </row>
    <row r="2610">
      <c r="A2610" s="17"/>
      <c r="B2610" s="17"/>
      <c r="C2610" s="133"/>
      <c r="D2610" s="133"/>
      <c r="E2610" s="17"/>
      <c r="F2610" s="133"/>
      <c r="G2610" s="133"/>
      <c r="H2610" s="133"/>
      <c r="I2610" s="133"/>
      <c r="J2610" s="133"/>
      <c r="K2610" s="133"/>
      <c r="L2610" s="133"/>
      <c r="M2610" s="133"/>
      <c r="N2610" s="133"/>
      <c r="O2610" s="133"/>
      <c r="P2610" s="134"/>
      <c r="Q2610" s="146"/>
      <c r="R2610" s="17"/>
      <c r="S2610" s="17"/>
      <c r="T2610" s="75"/>
      <c r="U2610" s="75"/>
      <c r="V2610" s="75"/>
      <c r="W2610" s="75"/>
      <c r="X2610" s="75"/>
    </row>
    <row r="2611">
      <c r="A2611" s="17"/>
      <c r="B2611" s="17"/>
      <c r="C2611" s="133"/>
      <c r="D2611" s="133"/>
      <c r="E2611" s="17"/>
      <c r="F2611" s="133"/>
      <c r="G2611" s="133"/>
      <c r="H2611" s="133"/>
      <c r="I2611" s="133"/>
      <c r="J2611" s="133"/>
      <c r="K2611" s="133"/>
      <c r="L2611" s="133"/>
      <c r="M2611" s="133"/>
      <c r="N2611" s="133"/>
      <c r="O2611" s="133"/>
      <c r="P2611" s="134"/>
      <c r="Q2611" s="146"/>
      <c r="R2611" s="17"/>
      <c r="S2611" s="17"/>
      <c r="T2611" s="75"/>
      <c r="U2611" s="75"/>
      <c r="V2611" s="75"/>
      <c r="W2611" s="75"/>
      <c r="X2611" s="75"/>
    </row>
    <row r="2612">
      <c r="A2612" s="17"/>
      <c r="B2612" s="17"/>
      <c r="C2612" s="133"/>
      <c r="D2612" s="133"/>
      <c r="E2612" s="17"/>
      <c r="F2612" s="133"/>
      <c r="G2612" s="133"/>
      <c r="H2612" s="133"/>
      <c r="I2612" s="133"/>
      <c r="J2612" s="133"/>
      <c r="K2612" s="133"/>
      <c r="L2612" s="133"/>
      <c r="M2612" s="133"/>
      <c r="N2612" s="133"/>
      <c r="O2612" s="133"/>
      <c r="P2612" s="134"/>
      <c r="Q2612" s="146"/>
      <c r="R2612" s="17"/>
      <c r="S2612" s="17"/>
      <c r="T2612" s="75"/>
      <c r="U2612" s="75"/>
      <c r="V2612" s="75"/>
      <c r="W2612" s="75"/>
      <c r="X2612" s="75"/>
    </row>
    <row r="2613">
      <c r="A2613" s="17"/>
      <c r="B2613" s="17"/>
      <c r="C2613" s="133"/>
      <c r="D2613" s="133"/>
      <c r="E2613" s="17"/>
      <c r="F2613" s="133"/>
      <c r="G2613" s="133"/>
      <c r="H2613" s="133"/>
      <c r="I2613" s="133"/>
      <c r="J2613" s="133"/>
      <c r="K2613" s="133"/>
      <c r="L2613" s="133"/>
      <c r="M2613" s="133"/>
      <c r="N2613" s="133"/>
      <c r="O2613" s="133"/>
      <c r="P2613" s="134"/>
      <c r="Q2613" s="146"/>
      <c r="R2613" s="17"/>
      <c r="S2613" s="17"/>
      <c r="T2613" s="75"/>
      <c r="U2613" s="75"/>
      <c r="V2613" s="75"/>
      <c r="W2613" s="75"/>
      <c r="X2613" s="75"/>
    </row>
    <row r="2614">
      <c r="A2614" s="17"/>
      <c r="B2614" s="17"/>
      <c r="C2614" s="133"/>
      <c r="D2614" s="133"/>
      <c r="E2614" s="17"/>
      <c r="F2614" s="133"/>
      <c r="G2614" s="133"/>
      <c r="H2614" s="133"/>
      <c r="I2614" s="133"/>
      <c r="J2614" s="133"/>
      <c r="K2614" s="133"/>
      <c r="L2614" s="133"/>
      <c r="M2614" s="133"/>
      <c r="N2614" s="133"/>
      <c r="O2614" s="133"/>
      <c r="P2614" s="134"/>
      <c r="Q2614" s="146"/>
      <c r="R2614" s="17"/>
      <c r="S2614" s="17"/>
      <c r="T2614" s="75"/>
      <c r="U2614" s="75"/>
      <c r="V2614" s="75"/>
      <c r="W2614" s="75"/>
      <c r="X2614" s="75"/>
    </row>
    <row r="2615">
      <c r="A2615" s="17"/>
      <c r="B2615" s="17"/>
      <c r="C2615" s="133"/>
      <c r="D2615" s="133"/>
      <c r="E2615" s="17"/>
      <c r="F2615" s="133"/>
      <c r="G2615" s="133"/>
      <c r="H2615" s="133"/>
      <c r="I2615" s="133"/>
      <c r="J2615" s="133"/>
      <c r="K2615" s="133"/>
      <c r="L2615" s="133"/>
      <c r="M2615" s="133"/>
      <c r="N2615" s="133"/>
      <c r="O2615" s="133"/>
      <c r="P2615" s="134"/>
      <c r="Q2615" s="146"/>
      <c r="R2615" s="17"/>
      <c r="S2615" s="17"/>
      <c r="T2615" s="75"/>
      <c r="U2615" s="75"/>
      <c r="V2615" s="75"/>
      <c r="W2615" s="75"/>
      <c r="X2615" s="75"/>
    </row>
    <row r="2616">
      <c r="A2616" s="17"/>
      <c r="B2616" s="17"/>
      <c r="C2616" s="133"/>
      <c r="D2616" s="133"/>
      <c r="E2616" s="17"/>
      <c r="F2616" s="133"/>
      <c r="G2616" s="133"/>
      <c r="H2616" s="133"/>
      <c r="I2616" s="133"/>
      <c r="J2616" s="133"/>
      <c r="K2616" s="133"/>
      <c r="L2616" s="133"/>
      <c r="M2616" s="133"/>
      <c r="N2616" s="133"/>
      <c r="O2616" s="133"/>
      <c r="P2616" s="134"/>
      <c r="Q2616" s="146"/>
      <c r="R2616" s="17"/>
      <c r="S2616" s="17"/>
      <c r="T2616" s="75"/>
      <c r="U2616" s="75"/>
      <c r="V2616" s="75"/>
      <c r="W2616" s="75"/>
      <c r="X2616" s="75"/>
    </row>
    <row r="2617">
      <c r="A2617" s="17"/>
      <c r="B2617" s="17"/>
      <c r="C2617" s="133"/>
      <c r="D2617" s="133"/>
      <c r="E2617" s="17"/>
      <c r="F2617" s="133"/>
      <c r="G2617" s="133"/>
      <c r="H2617" s="133"/>
      <c r="I2617" s="133"/>
      <c r="J2617" s="133"/>
      <c r="K2617" s="133"/>
      <c r="L2617" s="133"/>
      <c r="M2617" s="133"/>
      <c r="N2617" s="133"/>
      <c r="O2617" s="133"/>
      <c r="P2617" s="134"/>
      <c r="Q2617" s="146"/>
      <c r="R2617" s="17"/>
      <c r="S2617" s="17"/>
      <c r="T2617" s="75"/>
      <c r="U2617" s="75"/>
      <c r="V2617" s="75"/>
      <c r="W2617" s="75"/>
      <c r="X2617" s="75"/>
    </row>
    <row r="2618">
      <c r="A2618" s="17"/>
      <c r="B2618" s="17"/>
      <c r="C2618" s="133"/>
      <c r="D2618" s="133"/>
      <c r="E2618" s="17"/>
      <c r="F2618" s="133"/>
      <c r="G2618" s="133"/>
      <c r="H2618" s="133"/>
      <c r="I2618" s="133"/>
      <c r="J2618" s="133"/>
      <c r="K2618" s="133"/>
      <c r="L2618" s="133"/>
      <c r="M2618" s="133"/>
      <c r="N2618" s="133"/>
      <c r="O2618" s="133"/>
      <c r="P2618" s="134"/>
      <c r="Q2618" s="146"/>
      <c r="R2618" s="17"/>
      <c r="S2618" s="17"/>
      <c r="T2618" s="75"/>
      <c r="U2618" s="75"/>
      <c r="V2618" s="75"/>
      <c r="W2618" s="75"/>
      <c r="X2618" s="75"/>
    </row>
    <row r="2619">
      <c r="A2619" s="17"/>
      <c r="B2619" s="17"/>
      <c r="C2619" s="133"/>
      <c r="D2619" s="133"/>
      <c r="E2619" s="17"/>
      <c r="F2619" s="133"/>
      <c r="G2619" s="133"/>
      <c r="H2619" s="133"/>
      <c r="I2619" s="133"/>
      <c r="J2619" s="133"/>
      <c r="K2619" s="133"/>
      <c r="L2619" s="133"/>
      <c r="M2619" s="133"/>
      <c r="N2619" s="133"/>
      <c r="O2619" s="133"/>
      <c r="P2619" s="134"/>
      <c r="Q2619" s="146"/>
      <c r="R2619" s="17"/>
      <c r="S2619" s="17"/>
      <c r="T2619" s="75"/>
      <c r="U2619" s="75"/>
      <c r="V2619" s="75"/>
      <c r="W2619" s="75"/>
      <c r="X2619" s="75"/>
    </row>
    <row r="2620">
      <c r="A2620" s="17"/>
      <c r="B2620" s="17"/>
      <c r="C2620" s="133"/>
      <c r="D2620" s="133"/>
      <c r="E2620" s="17"/>
      <c r="F2620" s="133"/>
      <c r="G2620" s="133"/>
      <c r="H2620" s="133"/>
      <c r="I2620" s="133"/>
      <c r="J2620" s="133"/>
      <c r="K2620" s="133"/>
      <c r="L2620" s="133"/>
      <c r="M2620" s="133"/>
      <c r="N2620" s="133"/>
      <c r="O2620" s="133"/>
      <c r="P2620" s="134"/>
      <c r="Q2620" s="146"/>
      <c r="R2620" s="17"/>
      <c r="S2620" s="17"/>
      <c r="T2620" s="75"/>
      <c r="U2620" s="75"/>
      <c r="V2620" s="75"/>
      <c r="W2620" s="75"/>
      <c r="X2620" s="75"/>
    </row>
    <row r="2621">
      <c r="A2621" s="17"/>
      <c r="B2621" s="17"/>
      <c r="C2621" s="133"/>
      <c r="D2621" s="133"/>
      <c r="E2621" s="17"/>
      <c r="F2621" s="133"/>
      <c r="G2621" s="133"/>
      <c r="H2621" s="133"/>
      <c r="I2621" s="133"/>
      <c r="J2621" s="133"/>
      <c r="K2621" s="133"/>
      <c r="L2621" s="133"/>
      <c r="M2621" s="133"/>
      <c r="N2621" s="133"/>
      <c r="O2621" s="133"/>
      <c r="P2621" s="134"/>
      <c r="Q2621" s="146"/>
      <c r="R2621" s="17"/>
      <c r="S2621" s="17"/>
      <c r="T2621" s="75"/>
      <c r="U2621" s="75"/>
      <c r="V2621" s="75"/>
      <c r="W2621" s="75"/>
      <c r="X2621" s="75"/>
    </row>
    <row r="2622">
      <c r="A2622" s="17"/>
      <c r="B2622" s="17"/>
      <c r="C2622" s="133"/>
      <c r="D2622" s="133"/>
      <c r="E2622" s="17"/>
      <c r="F2622" s="133"/>
      <c r="G2622" s="133"/>
      <c r="H2622" s="133"/>
      <c r="I2622" s="133"/>
      <c r="J2622" s="133"/>
      <c r="K2622" s="133"/>
      <c r="L2622" s="133"/>
      <c r="M2622" s="133"/>
      <c r="N2622" s="133"/>
      <c r="O2622" s="133"/>
      <c r="P2622" s="134"/>
      <c r="Q2622" s="146"/>
      <c r="R2622" s="17"/>
      <c r="S2622" s="17"/>
      <c r="T2622" s="75"/>
      <c r="U2622" s="75"/>
      <c r="V2622" s="75"/>
      <c r="W2622" s="75"/>
      <c r="X2622" s="75"/>
    </row>
    <row r="2623">
      <c r="A2623" s="17"/>
      <c r="B2623" s="17"/>
      <c r="C2623" s="133"/>
      <c r="D2623" s="133"/>
      <c r="E2623" s="17"/>
      <c r="F2623" s="133"/>
      <c r="G2623" s="133"/>
      <c r="H2623" s="133"/>
      <c r="I2623" s="133"/>
      <c r="J2623" s="133"/>
      <c r="K2623" s="133"/>
      <c r="L2623" s="133"/>
      <c r="M2623" s="133"/>
      <c r="N2623" s="133"/>
      <c r="O2623" s="133"/>
      <c r="P2623" s="134"/>
      <c r="Q2623" s="146"/>
      <c r="R2623" s="17"/>
      <c r="S2623" s="17"/>
      <c r="T2623" s="75"/>
      <c r="U2623" s="75"/>
      <c r="V2623" s="75"/>
      <c r="W2623" s="75"/>
      <c r="X2623" s="75"/>
    </row>
    <row r="2624">
      <c r="A2624" s="17"/>
      <c r="B2624" s="17"/>
      <c r="C2624" s="133"/>
      <c r="D2624" s="133"/>
      <c r="E2624" s="17"/>
      <c r="F2624" s="133"/>
      <c r="G2624" s="133"/>
      <c r="H2624" s="133"/>
      <c r="I2624" s="133"/>
      <c r="J2624" s="133"/>
      <c r="K2624" s="133"/>
      <c r="L2624" s="133"/>
      <c r="M2624" s="133"/>
      <c r="N2624" s="133"/>
      <c r="O2624" s="133"/>
      <c r="P2624" s="134"/>
      <c r="Q2624" s="146"/>
      <c r="R2624" s="17"/>
      <c r="S2624" s="17"/>
      <c r="T2624" s="75"/>
      <c r="U2624" s="75"/>
      <c r="V2624" s="75"/>
      <c r="W2624" s="75"/>
      <c r="X2624" s="75"/>
    </row>
    <row r="2625">
      <c r="A2625" s="17"/>
      <c r="B2625" s="17"/>
      <c r="C2625" s="133"/>
      <c r="D2625" s="133"/>
      <c r="E2625" s="17"/>
      <c r="F2625" s="133"/>
      <c r="G2625" s="133"/>
      <c r="H2625" s="133"/>
      <c r="I2625" s="133"/>
      <c r="J2625" s="133"/>
      <c r="K2625" s="133"/>
      <c r="L2625" s="133"/>
      <c r="M2625" s="133"/>
      <c r="N2625" s="133"/>
      <c r="O2625" s="133"/>
      <c r="P2625" s="134"/>
      <c r="Q2625" s="146"/>
      <c r="R2625" s="17"/>
      <c r="S2625" s="17"/>
      <c r="T2625" s="75"/>
      <c r="U2625" s="75"/>
      <c r="V2625" s="75"/>
      <c r="W2625" s="75"/>
      <c r="X2625" s="75"/>
    </row>
    <row r="2626">
      <c r="A2626" s="17"/>
      <c r="B2626" s="17"/>
      <c r="C2626" s="133"/>
      <c r="D2626" s="133"/>
      <c r="E2626" s="17"/>
      <c r="F2626" s="133"/>
      <c r="G2626" s="133"/>
      <c r="H2626" s="133"/>
      <c r="I2626" s="133"/>
      <c r="J2626" s="133"/>
      <c r="K2626" s="133"/>
      <c r="L2626" s="133"/>
      <c r="M2626" s="133"/>
      <c r="N2626" s="133"/>
      <c r="O2626" s="133"/>
      <c r="P2626" s="134"/>
      <c r="Q2626" s="146"/>
      <c r="R2626" s="17"/>
      <c r="S2626" s="17"/>
      <c r="T2626" s="75"/>
      <c r="U2626" s="75"/>
      <c r="V2626" s="75"/>
      <c r="W2626" s="75"/>
      <c r="X2626" s="75"/>
    </row>
    <row r="2627">
      <c r="A2627" s="17"/>
      <c r="B2627" s="17"/>
      <c r="C2627" s="133"/>
      <c r="D2627" s="133"/>
      <c r="E2627" s="17"/>
      <c r="F2627" s="133"/>
      <c r="G2627" s="133"/>
      <c r="H2627" s="133"/>
      <c r="I2627" s="133"/>
      <c r="J2627" s="133"/>
      <c r="K2627" s="133"/>
      <c r="L2627" s="133"/>
      <c r="M2627" s="133"/>
      <c r="N2627" s="133"/>
      <c r="O2627" s="133"/>
      <c r="P2627" s="134"/>
      <c r="Q2627" s="146"/>
      <c r="R2627" s="17"/>
      <c r="S2627" s="17"/>
      <c r="T2627" s="75"/>
      <c r="U2627" s="75"/>
      <c r="V2627" s="75"/>
      <c r="W2627" s="75"/>
      <c r="X2627" s="75"/>
    </row>
    <row r="2628">
      <c r="A2628" s="17"/>
      <c r="B2628" s="17"/>
      <c r="C2628" s="133"/>
      <c r="D2628" s="133"/>
      <c r="E2628" s="17"/>
      <c r="F2628" s="133"/>
      <c r="G2628" s="133"/>
      <c r="H2628" s="133"/>
      <c r="I2628" s="133"/>
      <c r="J2628" s="133"/>
      <c r="K2628" s="133"/>
      <c r="L2628" s="133"/>
      <c r="M2628" s="133"/>
      <c r="N2628" s="133"/>
      <c r="O2628" s="133"/>
      <c r="P2628" s="134"/>
      <c r="Q2628" s="146"/>
      <c r="R2628" s="17"/>
      <c r="S2628" s="17"/>
      <c r="T2628" s="75"/>
      <c r="U2628" s="75"/>
      <c r="V2628" s="75"/>
      <c r="W2628" s="75"/>
      <c r="X2628" s="75"/>
    </row>
    <row r="2629">
      <c r="A2629" s="17"/>
      <c r="B2629" s="17"/>
      <c r="C2629" s="133"/>
      <c r="D2629" s="133"/>
      <c r="E2629" s="17"/>
      <c r="F2629" s="133"/>
      <c r="G2629" s="133"/>
      <c r="H2629" s="133"/>
      <c r="I2629" s="133"/>
      <c r="J2629" s="133"/>
      <c r="K2629" s="133"/>
      <c r="L2629" s="133"/>
      <c r="M2629" s="133"/>
      <c r="N2629" s="133"/>
      <c r="O2629" s="133"/>
      <c r="P2629" s="134"/>
      <c r="Q2629" s="146"/>
      <c r="R2629" s="17"/>
      <c r="S2629" s="17"/>
      <c r="T2629" s="75"/>
      <c r="U2629" s="75"/>
      <c r="V2629" s="75"/>
      <c r="W2629" s="75"/>
      <c r="X2629" s="75"/>
    </row>
    <row r="2630">
      <c r="A2630" s="17"/>
      <c r="B2630" s="17"/>
      <c r="C2630" s="133"/>
      <c r="D2630" s="133"/>
      <c r="E2630" s="17"/>
      <c r="F2630" s="133"/>
      <c r="G2630" s="133"/>
      <c r="H2630" s="133"/>
      <c r="I2630" s="133"/>
      <c r="J2630" s="133"/>
      <c r="K2630" s="133"/>
      <c r="L2630" s="133"/>
      <c r="M2630" s="133"/>
      <c r="N2630" s="133"/>
      <c r="O2630" s="133"/>
      <c r="P2630" s="134"/>
      <c r="Q2630" s="146"/>
      <c r="R2630" s="17"/>
      <c r="S2630" s="17"/>
      <c r="T2630" s="75"/>
      <c r="U2630" s="75"/>
      <c r="V2630" s="75"/>
      <c r="W2630" s="75"/>
      <c r="X2630" s="75"/>
    </row>
    <row r="2631">
      <c r="A2631" s="17"/>
      <c r="B2631" s="17"/>
      <c r="C2631" s="133"/>
      <c r="D2631" s="133"/>
      <c r="E2631" s="17"/>
      <c r="F2631" s="133"/>
      <c r="G2631" s="133"/>
      <c r="H2631" s="133"/>
      <c r="I2631" s="133"/>
      <c r="J2631" s="133"/>
      <c r="K2631" s="133"/>
      <c r="L2631" s="133"/>
      <c r="M2631" s="133"/>
      <c r="N2631" s="133"/>
      <c r="O2631" s="133"/>
      <c r="P2631" s="134"/>
      <c r="Q2631" s="146"/>
      <c r="R2631" s="17"/>
      <c r="S2631" s="17"/>
      <c r="T2631" s="75"/>
      <c r="U2631" s="75"/>
      <c r="V2631" s="75"/>
      <c r="W2631" s="75"/>
      <c r="X2631" s="75"/>
    </row>
    <row r="2632">
      <c r="A2632" s="17"/>
      <c r="B2632" s="17"/>
      <c r="C2632" s="133"/>
      <c r="D2632" s="133"/>
      <c r="E2632" s="17"/>
      <c r="F2632" s="133"/>
      <c r="G2632" s="133"/>
      <c r="H2632" s="133"/>
      <c r="I2632" s="133"/>
      <c r="J2632" s="133"/>
      <c r="K2632" s="133"/>
      <c r="L2632" s="133"/>
      <c r="M2632" s="133"/>
      <c r="N2632" s="133"/>
      <c r="O2632" s="133"/>
      <c r="P2632" s="134"/>
      <c r="Q2632" s="146"/>
      <c r="R2632" s="17"/>
      <c r="S2632" s="17"/>
      <c r="T2632" s="75"/>
      <c r="U2632" s="75"/>
      <c r="V2632" s="75"/>
      <c r="W2632" s="75"/>
      <c r="X2632" s="75"/>
    </row>
    <row r="2633">
      <c r="A2633" s="17"/>
      <c r="B2633" s="17"/>
      <c r="C2633" s="133"/>
      <c r="D2633" s="133"/>
      <c r="E2633" s="17"/>
      <c r="F2633" s="133"/>
      <c r="G2633" s="133"/>
      <c r="H2633" s="133"/>
      <c r="I2633" s="133"/>
      <c r="J2633" s="133"/>
      <c r="K2633" s="133"/>
      <c r="L2633" s="133"/>
      <c r="M2633" s="133"/>
      <c r="N2633" s="133"/>
      <c r="O2633" s="133"/>
      <c r="P2633" s="134"/>
      <c r="Q2633" s="146"/>
      <c r="R2633" s="17"/>
      <c r="S2633" s="17"/>
      <c r="T2633" s="75"/>
      <c r="U2633" s="75"/>
      <c r="V2633" s="75"/>
      <c r="W2633" s="75"/>
      <c r="X2633" s="75"/>
    </row>
    <row r="2634">
      <c r="A2634" s="17"/>
      <c r="B2634" s="17"/>
      <c r="C2634" s="133"/>
      <c r="D2634" s="133"/>
      <c r="E2634" s="17"/>
      <c r="F2634" s="133"/>
      <c r="G2634" s="133"/>
      <c r="H2634" s="133"/>
      <c r="I2634" s="133"/>
      <c r="J2634" s="133"/>
      <c r="K2634" s="133"/>
      <c r="L2634" s="133"/>
      <c r="M2634" s="133"/>
      <c r="N2634" s="133"/>
      <c r="O2634" s="133"/>
      <c r="P2634" s="134"/>
      <c r="Q2634" s="146"/>
      <c r="R2634" s="17"/>
      <c r="S2634" s="17"/>
      <c r="T2634" s="75"/>
      <c r="U2634" s="75"/>
      <c r="V2634" s="75"/>
      <c r="W2634" s="75"/>
      <c r="X2634" s="75"/>
    </row>
    <row r="2635">
      <c r="A2635" s="17"/>
      <c r="B2635" s="17"/>
      <c r="C2635" s="133"/>
      <c r="D2635" s="133"/>
      <c r="E2635" s="17"/>
      <c r="F2635" s="133"/>
      <c r="G2635" s="133"/>
      <c r="H2635" s="133"/>
      <c r="I2635" s="133"/>
      <c r="J2635" s="133"/>
      <c r="K2635" s="133"/>
      <c r="L2635" s="133"/>
      <c r="M2635" s="133"/>
      <c r="N2635" s="133"/>
      <c r="O2635" s="133"/>
      <c r="P2635" s="134"/>
      <c r="Q2635" s="146"/>
      <c r="R2635" s="17"/>
      <c r="S2635" s="17"/>
      <c r="T2635" s="75"/>
      <c r="U2635" s="75"/>
      <c r="V2635" s="75"/>
      <c r="W2635" s="75"/>
      <c r="X2635" s="75"/>
    </row>
    <row r="2636">
      <c r="A2636" s="17"/>
      <c r="B2636" s="17"/>
      <c r="C2636" s="133"/>
      <c r="D2636" s="133"/>
      <c r="E2636" s="17"/>
      <c r="F2636" s="133"/>
      <c r="G2636" s="133"/>
      <c r="H2636" s="133"/>
      <c r="I2636" s="133"/>
      <c r="J2636" s="133"/>
      <c r="K2636" s="133"/>
      <c r="L2636" s="133"/>
      <c r="M2636" s="133"/>
      <c r="N2636" s="133"/>
      <c r="O2636" s="133"/>
      <c r="P2636" s="134"/>
      <c r="Q2636" s="146"/>
      <c r="R2636" s="17"/>
      <c r="S2636" s="17"/>
      <c r="T2636" s="75"/>
      <c r="U2636" s="75"/>
      <c r="V2636" s="75"/>
      <c r="W2636" s="75"/>
      <c r="X2636" s="75"/>
    </row>
    <row r="2637">
      <c r="A2637" s="17"/>
      <c r="B2637" s="17"/>
      <c r="C2637" s="133"/>
      <c r="D2637" s="133"/>
      <c r="E2637" s="17"/>
      <c r="F2637" s="133"/>
      <c r="G2637" s="133"/>
      <c r="H2637" s="133"/>
      <c r="I2637" s="133"/>
      <c r="J2637" s="133"/>
      <c r="K2637" s="133"/>
      <c r="L2637" s="133"/>
      <c r="M2637" s="133"/>
      <c r="N2637" s="133"/>
      <c r="O2637" s="133"/>
      <c r="P2637" s="134"/>
      <c r="Q2637" s="146"/>
      <c r="R2637" s="17"/>
      <c r="S2637" s="17"/>
      <c r="T2637" s="75"/>
      <c r="U2637" s="75"/>
      <c r="V2637" s="75"/>
      <c r="W2637" s="75"/>
      <c r="X2637" s="75"/>
    </row>
    <row r="2638">
      <c r="A2638" s="17"/>
      <c r="B2638" s="17"/>
      <c r="C2638" s="133"/>
      <c r="D2638" s="133"/>
      <c r="E2638" s="17"/>
      <c r="F2638" s="133"/>
      <c r="G2638" s="133"/>
      <c r="H2638" s="133"/>
      <c r="I2638" s="133"/>
      <c r="J2638" s="133"/>
      <c r="K2638" s="133"/>
      <c r="L2638" s="133"/>
      <c r="M2638" s="133"/>
      <c r="N2638" s="133"/>
      <c r="O2638" s="133"/>
      <c r="P2638" s="134"/>
      <c r="Q2638" s="146"/>
      <c r="R2638" s="17"/>
      <c r="S2638" s="17"/>
      <c r="T2638" s="75"/>
      <c r="U2638" s="75"/>
      <c r="V2638" s="75"/>
      <c r="W2638" s="75"/>
      <c r="X2638" s="75"/>
    </row>
    <row r="2639">
      <c r="A2639" s="17"/>
      <c r="B2639" s="17"/>
      <c r="C2639" s="133"/>
      <c r="D2639" s="133"/>
      <c r="E2639" s="17"/>
      <c r="F2639" s="133"/>
      <c r="G2639" s="133"/>
      <c r="H2639" s="133"/>
      <c r="I2639" s="133"/>
      <c r="J2639" s="133"/>
      <c r="K2639" s="133"/>
      <c r="L2639" s="133"/>
      <c r="M2639" s="133"/>
      <c r="N2639" s="133"/>
      <c r="O2639" s="133"/>
      <c r="P2639" s="134"/>
      <c r="Q2639" s="146"/>
      <c r="R2639" s="17"/>
      <c r="S2639" s="17"/>
      <c r="T2639" s="75"/>
      <c r="U2639" s="75"/>
      <c r="V2639" s="75"/>
      <c r="W2639" s="75"/>
      <c r="X2639" s="75"/>
    </row>
    <row r="2640">
      <c r="A2640" s="17"/>
      <c r="B2640" s="17"/>
      <c r="C2640" s="133"/>
      <c r="D2640" s="133"/>
      <c r="E2640" s="17"/>
      <c r="F2640" s="133"/>
      <c r="G2640" s="133"/>
      <c r="H2640" s="133"/>
      <c r="I2640" s="133"/>
      <c r="J2640" s="133"/>
      <c r="K2640" s="133"/>
      <c r="L2640" s="133"/>
      <c r="M2640" s="133"/>
      <c r="N2640" s="133"/>
      <c r="O2640" s="133"/>
      <c r="P2640" s="134"/>
      <c r="Q2640" s="146"/>
      <c r="R2640" s="17"/>
      <c r="S2640" s="17"/>
      <c r="T2640" s="75"/>
      <c r="U2640" s="75"/>
      <c r="V2640" s="75"/>
      <c r="W2640" s="75"/>
      <c r="X2640" s="75"/>
    </row>
    <row r="2641">
      <c r="A2641" s="17"/>
      <c r="B2641" s="17"/>
      <c r="C2641" s="133"/>
      <c r="D2641" s="133"/>
      <c r="E2641" s="17"/>
      <c r="F2641" s="133"/>
      <c r="G2641" s="133"/>
      <c r="H2641" s="133"/>
      <c r="I2641" s="133"/>
      <c r="J2641" s="133"/>
      <c r="K2641" s="133"/>
      <c r="L2641" s="133"/>
      <c r="M2641" s="133"/>
      <c r="N2641" s="133"/>
      <c r="O2641" s="133"/>
      <c r="P2641" s="134"/>
      <c r="Q2641" s="146"/>
      <c r="R2641" s="17"/>
      <c r="S2641" s="17"/>
      <c r="T2641" s="75"/>
      <c r="U2641" s="75"/>
      <c r="V2641" s="75"/>
      <c r="W2641" s="75"/>
      <c r="X2641" s="75"/>
    </row>
    <row r="2642">
      <c r="A2642" s="17"/>
      <c r="B2642" s="17"/>
      <c r="C2642" s="133"/>
      <c r="D2642" s="133"/>
      <c r="E2642" s="17"/>
      <c r="F2642" s="133"/>
      <c r="G2642" s="133"/>
      <c r="H2642" s="133"/>
      <c r="I2642" s="133"/>
      <c r="J2642" s="133"/>
      <c r="K2642" s="133"/>
      <c r="L2642" s="133"/>
      <c r="M2642" s="133"/>
      <c r="N2642" s="133"/>
      <c r="O2642" s="133"/>
      <c r="P2642" s="134"/>
      <c r="Q2642" s="146"/>
      <c r="R2642" s="17"/>
      <c r="S2642" s="17"/>
      <c r="T2642" s="75"/>
      <c r="U2642" s="75"/>
      <c r="V2642" s="75"/>
      <c r="W2642" s="75"/>
      <c r="X2642" s="75"/>
    </row>
    <row r="2643">
      <c r="A2643" s="17"/>
      <c r="B2643" s="17"/>
      <c r="C2643" s="133"/>
      <c r="D2643" s="133"/>
      <c r="E2643" s="17"/>
      <c r="F2643" s="133"/>
      <c r="G2643" s="133"/>
      <c r="H2643" s="133"/>
      <c r="I2643" s="133"/>
      <c r="J2643" s="133"/>
      <c r="K2643" s="133"/>
      <c r="L2643" s="133"/>
      <c r="M2643" s="133"/>
      <c r="N2643" s="133"/>
      <c r="O2643" s="133"/>
      <c r="P2643" s="134"/>
      <c r="Q2643" s="146"/>
      <c r="R2643" s="17"/>
      <c r="S2643" s="17"/>
      <c r="T2643" s="75"/>
      <c r="U2643" s="75"/>
      <c r="V2643" s="75"/>
      <c r="W2643" s="75"/>
      <c r="X2643" s="75"/>
    </row>
    <row r="2644">
      <c r="A2644" s="17"/>
      <c r="B2644" s="17"/>
      <c r="C2644" s="133"/>
      <c r="D2644" s="133"/>
      <c r="E2644" s="17"/>
      <c r="F2644" s="133"/>
      <c r="G2644" s="133"/>
      <c r="H2644" s="133"/>
      <c r="I2644" s="133"/>
      <c r="J2644" s="133"/>
      <c r="K2644" s="133"/>
      <c r="L2644" s="133"/>
      <c r="M2644" s="133"/>
      <c r="N2644" s="133"/>
      <c r="O2644" s="133"/>
      <c r="P2644" s="134"/>
      <c r="Q2644" s="146"/>
      <c r="R2644" s="17"/>
      <c r="S2644" s="17"/>
      <c r="T2644" s="75"/>
      <c r="U2644" s="75"/>
      <c r="V2644" s="75"/>
      <c r="W2644" s="75"/>
      <c r="X2644" s="75"/>
    </row>
    <row r="2645">
      <c r="A2645" s="17"/>
      <c r="B2645" s="17"/>
      <c r="C2645" s="133"/>
      <c r="D2645" s="133"/>
      <c r="E2645" s="17"/>
      <c r="F2645" s="133"/>
      <c r="G2645" s="133"/>
      <c r="H2645" s="133"/>
      <c r="I2645" s="133"/>
      <c r="J2645" s="133"/>
      <c r="K2645" s="133"/>
      <c r="L2645" s="133"/>
      <c r="M2645" s="133"/>
      <c r="N2645" s="133"/>
      <c r="O2645" s="133"/>
      <c r="P2645" s="134"/>
      <c r="Q2645" s="146"/>
      <c r="R2645" s="17"/>
      <c r="S2645" s="17"/>
      <c r="T2645" s="75"/>
      <c r="U2645" s="75"/>
      <c r="V2645" s="75"/>
      <c r="W2645" s="75"/>
      <c r="X2645" s="75"/>
    </row>
    <row r="2646">
      <c r="A2646" s="17"/>
      <c r="B2646" s="17"/>
      <c r="C2646" s="133"/>
      <c r="D2646" s="133"/>
      <c r="E2646" s="17"/>
      <c r="F2646" s="133"/>
      <c r="G2646" s="133"/>
      <c r="H2646" s="133"/>
      <c r="I2646" s="133"/>
      <c r="J2646" s="133"/>
      <c r="K2646" s="133"/>
      <c r="L2646" s="133"/>
      <c r="M2646" s="133"/>
      <c r="N2646" s="133"/>
      <c r="O2646" s="133"/>
      <c r="P2646" s="134"/>
      <c r="Q2646" s="146"/>
      <c r="R2646" s="17"/>
      <c r="S2646" s="17"/>
      <c r="T2646" s="75"/>
      <c r="U2646" s="75"/>
      <c r="V2646" s="75"/>
      <c r="W2646" s="75"/>
      <c r="X2646" s="75"/>
    </row>
    <row r="2647">
      <c r="A2647" s="17"/>
      <c r="B2647" s="17"/>
      <c r="C2647" s="133"/>
      <c r="D2647" s="133"/>
      <c r="E2647" s="17"/>
      <c r="F2647" s="133"/>
      <c r="G2647" s="133"/>
      <c r="H2647" s="133"/>
      <c r="I2647" s="133"/>
      <c r="J2647" s="133"/>
      <c r="K2647" s="133"/>
      <c r="L2647" s="133"/>
      <c r="M2647" s="133"/>
      <c r="N2647" s="133"/>
      <c r="O2647" s="133"/>
      <c r="P2647" s="134"/>
      <c r="Q2647" s="146"/>
      <c r="R2647" s="17"/>
      <c r="S2647" s="17"/>
      <c r="T2647" s="75"/>
      <c r="U2647" s="75"/>
      <c r="V2647" s="75"/>
      <c r="W2647" s="75"/>
      <c r="X2647" s="75"/>
    </row>
    <row r="2648">
      <c r="A2648" s="17"/>
      <c r="B2648" s="17"/>
      <c r="C2648" s="133"/>
      <c r="D2648" s="133"/>
      <c r="E2648" s="17"/>
      <c r="F2648" s="133"/>
      <c r="G2648" s="133"/>
      <c r="H2648" s="133"/>
      <c r="I2648" s="133"/>
      <c r="J2648" s="133"/>
      <c r="K2648" s="133"/>
      <c r="L2648" s="133"/>
      <c r="M2648" s="133"/>
      <c r="N2648" s="133"/>
      <c r="O2648" s="133"/>
      <c r="P2648" s="134"/>
      <c r="Q2648" s="146"/>
      <c r="R2648" s="17"/>
      <c r="S2648" s="17"/>
      <c r="T2648" s="75"/>
      <c r="U2648" s="75"/>
      <c r="V2648" s="75"/>
      <c r="W2648" s="75"/>
      <c r="X2648" s="75"/>
    </row>
    <row r="2649">
      <c r="A2649" s="17"/>
      <c r="B2649" s="17"/>
      <c r="C2649" s="133"/>
      <c r="D2649" s="133"/>
      <c r="E2649" s="17"/>
      <c r="F2649" s="133"/>
      <c r="G2649" s="133"/>
      <c r="H2649" s="133"/>
      <c r="I2649" s="133"/>
      <c r="J2649" s="133"/>
      <c r="K2649" s="133"/>
      <c r="L2649" s="133"/>
      <c r="M2649" s="133"/>
      <c r="N2649" s="133"/>
      <c r="O2649" s="133"/>
      <c r="P2649" s="134"/>
      <c r="Q2649" s="146"/>
      <c r="R2649" s="17"/>
      <c r="S2649" s="17"/>
      <c r="T2649" s="75"/>
      <c r="U2649" s="75"/>
      <c r="V2649" s="75"/>
      <c r="W2649" s="75"/>
      <c r="X2649" s="75"/>
    </row>
    <row r="2650">
      <c r="A2650" s="17"/>
      <c r="B2650" s="17"/>
      <c r="C2650" s="133"/>
      <c r="D2650" s="133"/>
      <c r="E2650" s="17"/>
      <c r="F2650" s="133"/>
      <c r="G2650" s="133"/>
      <c r="H2650" s="133"/>
      <c r="I2650" s="133"/>
      <c r="J2650" s="133"/>
      <c r="K2650" s="133"/>
      <c r="L2650" s="133"/>
      <c r="M2650" s="133"/>
      <c r="N2650" s="133"/>
      <c r="O2650" s="133"/>
      <c r="P2650" s="134"/>
      <c r="Q2650" s="146"/>
      <c r="R2650" s="17"/>
      <c r="S2650" s="17"/>
      <c r="T2650" s="75"/>
      <c r="U2650" s="75"/>
      <c r="V2650" s="75"/>
      <c r="W2650" s="75"/>
      <c r="X2650" s="75"/>
    </row>
    <row r="2651">
      <c r="A2651" s="17"/>
      <c r="B2651" s="17"/>
      <c r="C2651" s="133"/>
      <c r="D2651" s="133"/>
      <c r="E2651" s="17"/>
      <c r="F2651" s="133"/>
      <c r="G2651" s="133"/>
      <c r="H2651" s="133"/>
      <c r="I2651" s="133"/>
      <c r="J2651" s="133"/>
      <c r="K2651" s="133"/>
      <c r="L2651" s="133"/>
      <c r="M2651" s="133"/>
      <c r="N2651" s="133"/>
      <c r="O2651" s="133"/>
      <c r="P2651" s="134"/>
      <c r="Q2651" s="146"/>
      <c r="R2651" s="17"/>
      <c r="S2651" s="17"/>
      <c r="T2651" s="75"/>
      <c r="U2651" s="75"/>
      <c r="V2651" s="75"/>
      <c r="W2651" s="75"/>
      <c r="X2651" s="75"/>
    </row>
    <row r="2652">
      <c r="A2652" s="17"/>
      <c r="B2652" s="17"/>
      <c r="C2652" s="133"/>
      <c r="D2652" s="133"/>
      <c r="E2652" s="17"/>
      <c r="F2652" s="133"/>
      <c r="G2652" s="133"/>
      <c r="H2652" s="133"/>
      <c r="I2652" s="133"/>
      <c r="J2652" s="133"/>
      <c r="K2652" s="133"/>
      <c r="L2652" s="133"/>
      <c r="M2652" s="133"/>
      <c r="N2652" s="133"/>
      <c r="O2652" s="133"/>
      <c r="P2652" s="134"/>
      <c r="Q2652" s="146"/>
      <c r="R2652" s="17"/>
      <c r="S2652" s="17"/>
      <c r="T2652" s="75"/>
      <c r="U2652" s="75"/>
      <c r="V2652" s="75"/>
      <c r="W2652" s="75"/>
      <c r="X2652" s="75"/>
    </row>
    <row r="2653">
      <c r="A2653" s="17"/>
      <c r="B2653" s="17"/>
      <c r="C2653" s="133"/>
      <c r="D2653" s="133"/>
      <c r="E2653" s="17"/>
      <c r="F2653" s="133"/>
      <c r="G2653" s="133"/>
      <c r="H2653" s="133"/>
      <c r="I2653" s="133"/>
      <c r="J2653" s="133"/>
      <c r="K2653" s="133"/>
      <c r="L2653" s="133"/>
      <c r="M2653" s="133"/>
      <c r="N2653" s="133"/>
      <c r="O2653" s="133"/>
      <c r="P2653" s="134"/>
      <c r="Q2653" s="146"/>
      <c r="R2653" s="17"/>
      <c r="S2653" s="17"/>
      <c r="T2653" s="75"/>
      <c r="U2653" s="75"/>
      <c r="V2653" s="75"/>
      <c r="W2653" s="75"/>
      <c r="X2653" s="75"/>
    </row>
    <row r="2654">
      <c r="A2654" s="17"/>
      <c r="B2654" s="17"/>
      <c r="C2654" s="133"/>
      <c r="D2654" s="133"/>
      <c r="E2654" s="17"/>
      <c r="F2654" s="133"/>
      <c r="G2654" s="133"/>
      <c r="H2654" s="133"/>
      <c r="I2654" s="133"/>
      <c r="J2654" s="133"/>
      <c r="K2654" s="133"/>
      <c r="L2654" s="133"/>
      <c r="M2654" s="133"/>
      <c r="N2654" s="133"/>
      <c r="O2654" s="133"/>
      <c r="P2654" s="134"/>
      <c r="Q2654" s="146"/>
      <c r="R2654" s="17"/>
      <c r="S2654" s="17"/>
      <c r="T2654" s="75"/>
      <c r="U2654" s="75"/>
      <c r="V2654" s="75"/>
      <c r="W2654" s="75"/>
      <c r="X2654" s="75"/>
    </row>
    <row r="2655">
      <c r="A2655" s="17"/>
      <c r="B2655" s="17"/>
      <c r="C2655" s="133"/>
      <c r="D2655" s="133"/>
      <c r="E2655" s="17"/>
      <c r="F2655" s="133"/>
      <c r="G2655" s="133"/>
      <c r="H2655" s="133"/>
      <c r="I2655" s="133"/>
      <c r="J2655" s="133"/>
      <c r="K2655" s="133"/>
      <c r="L2655" s="133"/>
      <c r="M2655" s="133"/>
      <c r="N2655" s="133"/>
      <c r="O2655" s="133"/>
      <c r="P2655" s="134"/>
      <c r="Q2655" s="146"/>
      <c r="R2655" s="17"/>
      <c r="S2655" s="17"/>
      <c r="T2655" s="75"/>
      <c r="U2655" s="75"/>
      <c r="V2655" s="75"/>
      <c r="W2655" s="75"/>
      <c r="X2655" s="75"/>
    </row>
    <row r="2656">
      <c r="A2656" s="17"/>
      <c r="B2656" s="17"/>
      <c r="C2656" s="133"/>
      <c r="D2656" s="133"/>
      <c r="E2656" s="17"/>
      <c r="F2656" s="133"/>
      <c r="G2656" s="133"/>
      <c r="H2656" s="133"/>
      <c r="I2656" s="133"/>
      <c r="J2656" s="133"/>
      <c r="K2656" s="133"/>
      <c r="L2656" s="133"/>
      <c r="M2656" s="133"/>
      <c r="N2656" s="133"/>
      <c r="O2656" s="133"/>
      <c r="P2656" s="134"/>
      <c r="Q2656" s="146"/>
      <c r="R2656" s="17"/>
      <c r="S2656" s="17"/>
      <c r="T2656" s="75"/>
      <c r="U2656" s="75"/>
      <c r="V2656" s="75"/>
      <c r="W2656" s="75"/>
      <c r="X2656" s="75"/>
    </row>
    <row r="2657">
      <c r="A2657" s="17"/>
      <c r="B2657" s="17"/>
      <c r="C2657" s="133"/>
      <c r="D2657" s="133"/>
      <c r="E2657" s="17"/>
      <c r="F2657" s="133"/>
      <c r="G2657" s="133"/>
      <c r="H2657" s="133"/>
      <c r="I2657" s="133"/>
      <c r="J2657" s="133"/>
      <c r="K2657" s="133"/>
      <c r="L2657" s="133"/>
      <c r="M2657" s="133"/>
      <c r="N2657" s="133"/>
      <c r="O2657" s="133"/>
      <c r="P2657" s="134"/>
      <c r="Q2657" s="146"/>
      <c r="R2657" s="17"/>
      <c r="S2657" s="17"/>
      <c r="T2657" s="75"/>
      <c r="U2657" s="75"/>
      <c r="V2657" s="75"/>
      <c r="W2657" s="75"/>
      <c r="X2657" s="75"/>
    </row>
    <row r="2658">
      <c r="A2658" s="17"/>
      <c r="B2658" s="17"/>
      <c r="C2658" s="133"/>
      <c r="D2658" s="133"/>
      <c r="E2658" s="17"/>
      <c r="F2658" s="133"/>
      <c r="G2658" s="133"/>
      <c r="H2658" s="133"/>
      <c r="I2658" s="133"/>
      <c r="J2658" s="133"/>
      <c r="K2658" s="133"/>
      <c r="L2658" s="133"/>
      <c r="M2658" s="133"/>
      <c r="N2658" s="133"/>
      <c r="O2658" s="133"/>
      <c r="P2658" s="134"/>
      <c r="Q2658" s="146"/>
      <c r="R2658" s="17"/>
      <c r="S2658" s="17"/>
      <c r="T2658" s="75"/>
      <c r="U2658" s="75"/>
      <c r="V2658" s="75"/>
      <c r="W2658" s="75"/>
      <c r="X2658" s="75"/>
    </row>
    <row r="2659">
      <c r="A2659" s="17"/>
      <c r="B2659" s="17"/>
      <c r="C2659" s="133"/>
      <c r="D2659" s="133"/>
      <c r="E2659" s="17"/>
      <c r="F2659" s="133"/>
      <c r="G2659" s="133"/>
      <c r="H2659" s="133"/>
      <c r="I2659" s="133"/>
      <c r="J2659" s="133"/>
      <c r="K2659" s="133"/>
      <c r="L2659" s="133"/>
      <c r="M2659" s="133"/>
      <c r="N2659" s="133"/>
      <c r="O2659" s="133"/>
      <c r="P2659" s="134"/>
      <c r="Q2659" s="146"/>
      <c r="R2659" s="17"/>
      <c r="S2659" s="17"/>
      <c r="T2659" s="75"/>
      <c r="U2659" s="75"/>
      <c r="V2659" s="75"/>
      <c r="W2659" s="75"/>
      <c r="X2659" s="75"/>
    </row>
    <row r="2660">
      <c r="A2660" s="17"/>
      <c r="B2660" s="17"/>
      <c r="C2660" s="133"/>
      <c r="D2660" s="133"/>
      <c r="E2660" s="17"/>
      <c r="F2660" s="133"/>
      <c r="G2660" s="133"/>
      <c r="H2660" s="133"/>
      <c r="I2660" s="133"/>
      <c r="J2660" s="133"/>
      <c r="K2660" s="133"/>
      <c r="L2660" s="133"/>
      <c r="M2660" s="133"/>
      <c r="N2660" s="133"/>
      <c r="O2660" s="133"/>
      <c r="P2660" s="134"/>
      <c r="Q2660" s="146"/>
      <c r="R2660" s="17"/>
      <c r="S2660" s="17"/>
      <c r="T2660" s="75"/>
      <c r="U2660" s="75"/>
      <c r="V2660" s="75"/>
      <c r="W2660" s="75"/>
      <c r="X2660" s="75"/>
    </row>
    <row r="2661">
      <c r="A2661" s="17"/>
      <c r="B2661" s="17"/>
      <c r="C2661" s="133"/>
      <c r="D2661" s="133"/>
      <c r="E2661" s="17"/>
      <c r="F2661" s="133"/>
      <c r="G2661" s="133"/>
      <c r="H2661" s="133"/>
      <c r="I2661" s="133"/>
      <c r="J2661" s="133"/>
      <c r="K2661" s="133"/>
      <c r="L2661" s="133"/>
      <c r="M2661" s="133"/>
      <c r="N2661" s="133"/>
      <c r="O2661" s="133"/>
      <c r="P2661" s="134"/>
      <c r="Q2661" s="146"/>
      <c r="R2661" s="17"/>
      <c r="S2661" s="17"/>
      <c r="T2661" s="75"/>
      <c r="U2661" s="75"/>
      <c r="V2661" s="75"/>
      <c r="W2661" s="75"/>
      <c r="X2661" s="75"/>
    </row>
    <row r="2662">
      <c r="A2662" s="17"/>
      <c r="B2662" s="17"/>
      <c r="C2662" s="133"/>
      <c r="D2662" s="133"/>
      <c r="E2662" s="17"/>
      <c r="F2662" s="133"/>
      <c r="G2662" s="133"/>
      <c r="H2662" s="133"/>
      <c r="I2662" s="133"/>
      <c r="J2662" s="133"/>
      <c r="K2662" s="133"/>
      <c r="L2662" s="133"/>
      <c r="M2662" s="133"/>
      <c r="N2662" s="133"/>
      <c r="O2662" s="133"/>
      <c r="P2662" s="134"/>
      <c r="Q2662" s="146"/>
      <c r="R2662" s="17"/>
      <c r="S2662" s="17"/>
      <c r="T2662" s="75"/>
      <c r="U2662" s="75"/>
      <c r="V2662" s="75"/>
      <c r="W2662" s="75"/>
      <c r="X2662" s="75"/>
    </row>
    <row r="2663">
      <c r="A2663" s="17"/>
      <c r="B2663" s="17"/>
      <c r="C2663" s="133"/>
      <c r="D2663" s="133"/>
      <c r="E2663" s="17"/>
      <c r="F2663" s="133"/>
      <c r="G2663" s="133"/>
      <c r="H2663" s="133"/>
      <c r="I2663" s="133"/>
      <c r="J2663" s="133"/>
      <c r="K2663" s="133"/>
      <c r="L2663" s="133"/>
      <c r="M2663" s="133"/>
      <c r="N2663" s="133"/>
      <c r="O2663" s="133"/>
      <c r="P2663" s="134"/>
      <c r="Q2663" s="146"/>
      <c r="R2663" s="17"/>
      <c r="S2663" s="17"/>
      <c r="T2663" s="75"/>
      <c r="U2663" s="75"/>
      <c r="V2663" s="75"/>
      <c r="W2663" s="75"/>
      <c r="X2663" s="75"/>
    </row>
    <row r="2664">
      <c r="A2664" s="17"/>
      <c r="B2664" s="17"/>
      <c r="C2664" s="133"/>
      <c r="D2664" s="133"/>
      <c r="E2664" s="17"/>
      <c r="F2664" s="133"/>
      <c r="G2664" s="133"/>
      <c r="H2664" s="133"/>
      <c r="I2664" s="133"/>
      <c r="J2664" s="133"/>
      <c r="K2664" s="133"/>
      <c r="L2664" s="133"/>
      <c r="M2664" s="133"/>
      <c r="N2664" s="133"/>
      <c r="O2664" s="133"/>
      <c r="P2664" s="134"/>
      <c r="Q2664" s="146"/>
      <c r="R2664" s="17"/>
      <c r="S2664" s="17"/>
      <c r="T2664" s="75"/>
      <c r="U2664" s="75"/>
      <c r="V2664" s="75"/>
      <c r="W2664" s="75"/>
      <c r="X2664" s="75"/>
    </row>
    <row r="2665">
      <c r="A2665" s="17"/>
      <c r="B2665" s="17"/>
      <c r="C2665" s="133"/>
      <c r="D2665" s="133"/>
      <c r="E2665" s="17"/>
      <c r="F2665" s="133"/>
      <c r="G2665" s="133"/>
      <c r="H2665" s="133"/>
      <c r="I2665" s="133"/>
      <c r="J2665" s="133"/>
      <c r="K2665" s="133"/>
      <c r="L2665" s="133"/>
      <c r="M2665" s="133"/>
      <c r="N2665" s="133"/>
      <c r="O2665" s="133"/>
      <c r="P2665" s="134"/>
      <c r="Q2665" s="146"/>
      <c r="R2665" s="17"/>
      <c r="S2665" s="17"/>
      <c r="T2665" s="75"/>
      <c r="U2665" s="75"/>
      <c r="V2665" s="75"/>
      <c r="W2665" s="75"/>
      <c r="X2665" s="75"/>
    </row>
    <row r="2666">
      <c r="A2666" s="17"/>
      <c r="B2666" s="17"/>
      <c r="C2666" s="133"/>
      <c r="D2666" s="133"/>
      <c r="E2666" s="17"/>
      <c r="F2666" s="133"/>
      <c r="G2666" s="133"/>
      <c r="H2666" s="133"/>
      <c r="I2666" s="133"/>
      <c r="J2666" s="133"/>
      <c r="K2666" s="133"/>
      <c r="L2666" s="133"/>
      <c r="M2666" s="133"/>
      <c r="N2666" s="133"/>
      <c r="O2666" s="133"/>
      <c r="P2666" s="134"/>
      <c r="Q2666" s="146"/>
      <c r="R2666" s="17"/>
      <c r="S2666" s="17"/>
      <c r="T2666" s="75"/>
      <c r="U2666" s="75"/>
      <c r="V2666" s="75"/>
      <c r="W2666" s="75"/>
      <c r="X2666" s="75"/>
    </row>
    <row r="2667">
      <c r="A2667" s="17"/>
      <c r="B2667" s="17"/>
      <c r="C2667" s="133"/>
      <c r="D2667" s="133"/>
      <c r="E2667" s="17"/>
      <c r="F2667" s="133"/>
      <c r="G2667" s="133"/>
      <c r="H2667" s="133"/>
      <c r="I2667" s="133"/>
      <c r="J2667" s="133"/>
      <c r="K2667" s="133"/>
      <c r="L2667" s="133"/>
      <c r="M2667" s="133"/>
      <c r="N2667" s="133"/>
      <c r="O2667" s="133"/>
      <c r="P2667" s="134"/>
      <c r="Q2667" s="146"/>
      <c r="R2667" s="17"/>
      <c r="S2667" s="17"/>
      <c r="T2667" s="75"/>
      <c r="U2667" s="75"/>
      <c r="V2667" s="75"/>
      <c r="W2667" s="75"/>
      <c r="X2667" s="75"/>
    </row>
    <row r="2668">
      <c r="A2668" s="17"/>
      <c r="B2668" s="17"/>
      <c r="C2668" s="133"/>
      <c r="D2668" s="133"/>
      <c r="E2668" s="17"/>
      <c r="F2668" s="133"/>
      <c r="G2668" s="133"/>
      <c r="H2668" s="133"/>
      <c r="I2668" s="133"/>
      <c r="J2668" s="133"/>
      <c r="K2668" s="133"/>
      <c r="L2668" s="133"/>
      <c r="M2668" s="133"/>
      <c r="N2668" s="133"/>
      <c r="O2668" s="133"/>
      <c r="P2668" s="134"/>
      <c r="Q2668" s="146"/>
      <c r="R2668" s="17"/>
      <c r="S2668" s="17"/>
      <c r="T2668" s="75"/>
      <c r="U2668" s="75"/>
      <c r="V2668" s="75"/>
      <c r="W2668" s="75"/>
      <c r="X2668" s="75"/>
    </row>
    <row r="2669">
      <c r="A2669" s="17"/>
      <c r="B2669" s="17"/>
      <c r="C2669" s="133"/>
      <c r="D2669" s="133"/>
      <c r="E2669" s="17"/>
      <c r="F2669" s="133"/>
      <c r="G2669" s="133"/>
      <c r="H2669" s="133"/>
      <c r="I2669" s="133"/>
      <c r="J2669" s="133"/>
      <c r="K2669" s="133"/>
      <c r="L2669" s="133"/>
      <c r="M2669" s="133"/>
      <c r="N2669" s="133"/>
      <c r="O2669" s="133"/>
      <c r="P2669" s="134"/>
      <c r="Q2669" s="146"/>
      <c r="R2669" s="17"/>
      <c r="S2669" s="17"/>
      <c r="T2669" s="75"/>
      <c r="U2669" s="75"/>
      <c r="V2669" s="75"/>
      <c r="W2669" s="75"/>
      <c r="X2669" s="75"/>
    </row>
    <row r="2670">
      <c r="A2670" s="17"/>
      <c r="B2670" s="17"/>
      <c r="C2670" s="133"/>
      <c r="D2670" s="133"/>
      <c r="E2670" s="17"/>
      <c r="F2670" s="133"/>
      <c r="G2670" s="133"/>
      <c r="H2670" s="133"/>
      <c r="I2670" s="133"/>
      <c r="J2670" s="133"/>
      <c r="K2670" s="133"/>
      <c r="L2670" s="133"/>
      <c r="M2670" s="133"/>
      <c r="N2670" s="133"/>
      <c r="O2670" s="133"/>
      <c r="P2670" s="134"/>
      <c r="Q2670" s="146"/>
      <c r="R2670" s="17"/>
      <c r="S2670" s="17"/>
      <c r="T2670" s="75"/>
      <c r="U2670" s="75"/>
      <c r="V2670" s="75"/>
      <c r="W2670" s="75"/>
      <c r="X2670" s="75"/>
    </row>
    <row r="2671">
      <c r="A2671" s="17"/>
      <c r="B2671" s="17"/>
      <c r="C2671" s="133"/>
      <c r="D2671" s="133"/>
      <c r="E2671" s="17"/>
      <c r="F2671" s="133"/>
      <c r="G2671" s="133"/>
      <c r="H2671" s="133"/>
      <c r="I2671" s="133"/>
      <c r="J2671" s="133"/>
      <c r="K2671" s="133"/>
      <c r="L2671" s="133"/>
      <c r="M2671" s="133"/>
      <c r="N2671" s="133"/>
      <c r="O2671" s="133"/>
      <c r="P2671" s="134"/>
      <c r="Q2671" s="146"/>
      <c r="R2671" s="17"/>
      <c r="S2671" s="17"/>
      <c r="T2671" s="75"/>
      <c r="U2671" s="75"/>
      <c r="V2671" s="75"/>
      <c r="W2671" s="75"/>
      <c r="X2671" s="75"/>
    </row>
    <row r="2672">
      <c r="A2672" s="17"/>
      <c r="B2672" s="17"/>
      <c r="C2672" s="133"/>
      <c r="D2672" s="133"/>
      <c r="E2672" s="17"/>
      <c r="F2672" s="133"/>
      <c r="G2672" s="133"/>
      <c r="H2672" s="133"/>
      <c r="I2672" s="133"/>
      <c r="J2672" s="133"/>
      <c r="K2672" s="133"/>
      <c r="L2672" s="133"/>
      <c r="M2672" s="133"/>
      <c r="N2672" s="133"/>
      <c r="O2672" s="133"/>
      <c r="P2672" s="134"/>
      <c r="Q2672" s="146"/>
      <c r="R2672" s="17"/>
      <c r="S2672" s="17"/>
      <c r="T2672" s="75"/>
      <c r="U2672" s="75"/>
      <c r="V2672" s="75"/>
      <c r="W2672" s="75"/>
      <c r="X2672" s="75"/>
    </row>
    <row r="2673">
      <c r="A2673" s="17"/>
      <c r="B2673" s="17"/>
      <c r="C2673" s="133"/>
      <c r="D2673" s="133"/>
      <c r="E2673" s="17"/>
      <c r="F2673" s="133"/>
      <c r="G2673" s="133"/>
      <c r="H2673" s="133"/>
      <c r="I2673" s="133"/>
      <c r="J2673" s="133"/>
      <c r="K2673" s="133"/>
      <c r="L2673" s="133"/>
      <c r="M2673" s="133"/>
      <c r="N2673" s="133"/>
      <c r="O2673" s="133"/>
      <c r="P2673" s="134"/>
      <c r="Q2673" s="146"/>
      <c r="R2673" s="17"/>
      <c r="S2673" s="17"/>
      <c r="T2673" s="75"/>
      <c r="U2673" s="75"/>
      <c r="V2673" s="75"/>
      <c r="W2673" s="75"/>
      <c r="X2673" s="75"/>
    </row>
    <row r="2674">
      <c r="A2674" s="17"/>
      <c r="B2674" s="17"/>
      <c r="C2674" s="133"/>
      <c r="D2674" s="133"/>
      <c r="E2674" s="17"/>
      <c r="F2674" s="133"/>
      <c r="G2674" s="133"/>
      <c r="H2674" s="133"/>
      <c r="I2674" s="133"/>
      <c r="J2674" s="133"/>
      <c r="K2674" s="133"/>
      <c r="L2674" s="133"/>
      <c r="M2674" s="133"/>
      <c r="N2674" s="133"/>
      <c r="O2674" s="133"/>
      <c r="P2674" s="134"/>
      <c r="Q2674" s="146"/>
      <c r="R2674" s="17"/>
      <c r="S2674" s="17"/>
      <c r="T2674" s="75"/>
      <c r="U2674" s="75"/>
      <c r="V2674" s="75"/>
      <c r="W2674" s="75"/>
      <c r="X2674" s="75"/>
    </row>
    <row r="2675">
      <c r="A2675" s="17"/>
      <c r="B2675" s="17"/>
      <c r="C2675" s="133"/>
      <c r="D2675" s="133"/>
      <c r="E2675" s="17"/>
      <c r="F2675" s="133"/>
      <c r="G2675" s="133"/>
      <c r="H2675" s="133"/>
      <c r="I2675" s="133"/>
      <c r="J2675" s="133"/>
      <c r="K2675" s="133"/>
      <c r="L2675" s="133"/>
      <c r="M2675" s="133"/>
      <c r="N2675" s="133"/>
      <c r="O2675" s="133"/>
      <c r="P2675" s="134"/>
      <c r="Q2675" s="146"/>
      <c r="R2675" s="17"/>
      <c r="S2675" s="17"/>
      <c r="T2675" s="75"/>
      <c r="U2675" s="75"/>
      <c r="V2675" s="75"/>
      <c r="W2675" s="75"/>
      <c r="X2675" s="75"/>
    </row>
    <row r="2676">
      <c r="A2676" s="17"/>
      <c r="B2676" s="17"/>
      <c r="C2676" s="133"/>
      <c r="D2676" s="133"/>
      <c r="E2676" s="17"/>
      <c r="F2676" s="133"/>
      <c r="G2676" s="133"/>
      <c r="H2676" s="133"/>
      <c r="I2676" s="133"/>
      <c r="J2676" s="133"/>
      <c r="K2676" s="133"/>
      <c r="L2676" s="133"/>
      <c r="M2676" s="133"/>
      <c r="N2676" s="133"/>
      <c r="O2676" s="133"/>
      <c r="P2676" s="134"/>
      <c r="Q2676" s="146"/>
      <c r="R2676" s="17"/>
      <c r="S2676" s="17"/>
      <c r="T2676" s="75"/>
      <c r="U2676" s="75"/>
      <c r="V2676" s="75"/>
      <c r="W2676" s="75"/>
      <c r="X2676" s="75"/>
    </row>
    <row r="2677">
      <c r="A2677" s="17"/>
      <c r="B2677" s="17"/>
      <c r="C2677" s="133"/>
      <c r="D2677" s="133"/>
      <c r="E2677" s="17"/>
      <c r="F2677" s="133"/>
      <c r="G2677" s="133"/>
      <c r="H2677" s="133"/>
      <c r="I2677" s="133"/>
      <c r="J2677" s="133"/>
      <c r="K2677" s="133"/>
      <c r="L2677" s="133"/>
      <c r="M2677" s="133"/>
      <c r="N2677" s="133"/>
      <c r="O2677" s="133"/>
      <c r="P2677" s="134"/>
      <c r="Q2677" s="146"/>
      <c r="R2677" s="17"/>
      <c r="S2677" s="17"/>
      <c r="T2677" s="75"/>
      <c r="U2677" s="75"/>
      <c r="V2677" s="75"/>
      <c r="W2677" s="75"/>
      <c r="X2677" s="75"/>
    </row>
    <row r="2678">
      <c r="A2678" s="17"/>
      <c r="B2678" s="17"/>
      <c r="C2678" s="133"/>
      <c r="D2678" s="133"/>
      <c r="E2678" s="17"/>
      <c r="F2678" s="133"/>
      <c r="G2678" s="133"/>
      <c r="H2678" s="133"/>
      <c r="I2678" s="133"/>
      <c r="J2678" s="133"/>
      <c r="K2678" s="133"/>
      <c r="L2678" s="133"/>
      <c r="M2678" s="133"/>
      <c r="N2678" s="133"/>
      <c r="O2678" s="133"/>
      <c r="P2678" s="134"/>
      <c r="Q2678" s="146"/>
      <c r="R2678" s="17"/>
      <c r="S2678" s="17"/>
      <c r="T2678" s="75"/>
      <c r="U2678" s="75"/>
      <c r="V2678" s="75"/>
      <c r="W2678" s="75"/>
      <c r="X2678" s="75"/>
    </row>
    <row r="2679">
      <c r="A2679" s="17"/>
      <c r="B2679" s="17"/>
      <c r="C2679" s="133"/>
      <c r="D2679" s="133"/>
      <c r="E2679" s="17"/>
      <c r="F2679" s="133"/>
      <c r="G2679" s="133"/>
      <c r="H2679" s="133"/>
      <c r="I2679" s="133"/>
      <c r="J2679" s="133"/>
      <c r="K2679" s="133"/>
      <c r="L2679" s="133"/>
      <c r="M2679" s="133"/>
      <c r="N2679" s="133"/>
      <c r="O2679" s="133"/>
      <c r="P2679" s="134"/>
      <c r="Q2679" s="146"/>
      <c r="R2679" s="17"/>
      <c r="S2679" s="17"/>
      <c r="T2679" s="75"/>
      <c r="U2679" s="75"/>
      <c r="V2679" s="75"/>
      <c r="W2679" s="75"/>
      <c r="X2679" s="75"/>
    </row>
    <row r="2680">
      <c r="A2680" s="17"/>
      <c r="B2680" s="17"/>
      <c r="C2680" s="133"/>
      <c r="D2680" s="133"/>
      <c r="E2680" s="17"/>
      <c r="F2680" s="133"/>
      <c r="G2680" s="133"/>
      <c r="H2680" s="133"/>
      <c r="I2680" s="133"/>
      <c r="J2680" s="133"/>
      <c r="K2680" s="133"/>
      <c r="L2680" s="133"/>
      <c r="M2680" s="133"/>
      <c r="N2680" s="133"/>
      <c r="O2680" s="133"/>
      <c r="P2680" s="134"/>
      <c r="Q2680" s="146"/>
      <c r="R2680" s="17"/>
      <c r="S2680" s="17"/>
      <c r="T2680" s="75"/>
      <c r="U2680" s="75"/>
      <c r="V2680" s="75"/>
      <c r="W2680" s="75"/>
      <c r="X2680" s="75"/>
    </row>
    <row r="2681">
      <c r="A2681" s="17"/>
      <c r="B2681" s="17"/>
      <c r="C2681" s="133"/>
      <c r="D2681" s="133"/>
      <c r="E2681" s="17"/>
      <c r="F2681" s="133"/>
      <c r="G2681" s="133"/>
      <c r="H2681" s="133"/>
      <c r="I2681" s="133"/>
      <c r="J2681" s="133"/>
      <c r="K2681" s="133"/>
      <c r="L2681" s="133"/>
      <c r="M2681" s="133"/>
      <c r="N2681" s="133"/>
      <c r="O2681" s="133"/>
      <c r="P2681" s="134"/>
      <c r="Q2681" s="146"/>
      <c r="R2681" s="17"/>
      <c r="S2681" s="17"/>
      <c r="T2681" s="75"/>
      <c r="U2681" s="75"/>
      <c r="V2681" s="75"/>
      <c r="W2681" s="75"/>
      <c r="X2681" s="75"/>
    </row>
    <row r="2682">
      <c r="A2682" s="17"/>
      <c r="B2682" s="17"/>
      <c r="C2682" s="133"/>
      <c r="D2682" s="133"/>
      <c r="E2682" s="17"/>
      <c r="F2682" s="133"/>
      <c r="G2682" s="133"/>
      <c r="H2682" s="133"/>
      <c r="I2682" s="133"/>
      <c r="J2682" s="133"/>
      <c r="K2682" s="133"/>
      <c r="L2682" s="133"/>
      <c r="M2682" s="133"/>
      <c r="N2682" s="133"/>
      <c r="O2682" s="133"/>
      <c r="P2682" s="134"/>
      <c r="Q2682" s="146"/>
      <c r="R2682" s="17"/>
      <c r="S2682" s="17"/>
      <c r="T2682" s="75"/>
      <c r="U2682" s="75"/>
      <c r="V2682" s="75"/>
      <c r="W2682" s="75"/>
      <c r="X2682" s="75"/>
    </row>
    <row r="2683">
      <c r="A2683" s="17"/>
      <c r="B2683" s="17"/>
      <c r="C2683" s="133"/>
      <c r="D2683" s="133"/>
      <c r="E2683" s="17"/>
      <c r="F2683" s="133"/>
      <c r="G2683" s="133"/>
      <c r="H2683" s="133"/>
      <c r="I2683" s="133"/>
      <c r="J2683" s="133"/>
      <c r="K2683" s="133"/>
      <c r="L2683" s="133"/>
      <c r="M2683" s="133"/>
      <c r="N2683" s="133"/>
      <c r="O2683" s="133"/>
      <c r="P2683" s="134"/>
      <c r="Q2683" s="146"/>
      <c r="R2683" s="17"/>
      <c r="S2683" s="17"/>
      <c r="T2683" s="75"/>
      <c r="U2683" s="75"/>
      <c r="V2683" s="75"/>
      <c r="W2683" s="75"/>
      <c r="X2683" s="75"/>
    </row>
    <row r="2684">
      <c r="A2684" s="17"/>
      <c r="B2684" s="17"/>
      <c r="C2684" s="133"/>
      <c r="D2684" s="133"/>
      <c r="E2684" s="17"/>
      <c r="F2684" s="133"/>
      <c r="G2684" s="133"/>
      <c r="H2684" s="133"/>
      <c r="I2684" s="133"/>
      <c r="J2684" s="133"/>
      <c r="K2684" s="133"/>
      <c r="L2684" s="133"/>
      <c r="M2684" s="133"/>
      <c r="N2684" s="133"/>
      <c r="O2684" s="133"/>
      <c r="P2684" s="134"/>
      <c r="Q2684" s="146"/>
      <c r="R2684" s="17"/>
      <c r="S2684" s="17"/>
      <c r="T2684" s="75"/>
      <c r="U2684" s="75"/>
      <c r="V2684" s="75"/>
      <c r="W2684" s="75"/>
      <c r="X2684" s="75"/>
    </row>
    <row r="2685">
      <c r="A2685" s="17"/>
      <c r="B2685" s="17"/>
      <c r="C2685" s="133"/>
      <c r="D2685" s="133"/>
      <c r="E2685" s="17"/>
      <c r="F2685" s="133"/>
      <c r="G2685" s="133"/>
      <c r="H2685" s="133"/>
      <c r="I2685" s="133"/>
      <c r="J2685" s="133"/>
      <c r="K2685" s="133"/>
      <c r="L2685" s="133"/>
      <c r="M2685" s="133"/>
      <c r="N2685" s="133"/>
      <c r="O2685" s="133"/>
      <c r="P2685" s="134"/>
      <c r="Q2685" s="146"/>
      <c r="R2685" s="17"/>
      <c r="S2685" s="17"/>
      <c r="T2685" s="75"/>
      <c r="U2685" s="75"/>
      <c r="V2685" s="75"/>
      <c r="W2685" s="75"/>
      <c r="X2685" s="75"/>
    </row>
    <row r="2686">
      <c r="A2686" s="17"/>
      <c r="B2686" s="17"/>
      <c r="C2686" s="133"/>
      <c r="D2686" s="133"/>
      <c r="E2686" s="17"/>
      <c r="F2686" s="133"/>
      <c r="G2686" s="133"/>
      <c r="H2686" s="133"/>
      <c r="I2686" s="133"/>
      <c r="J2686" s="133"/>
      <c r="K2686" s="133"/>
      <c r="L2686" s="133"/>
      <c r="M2686" s="133"/>
      <c r="N2686" s="133"/>
      <c r="O2686" s="133"/>
      <c r="P2686" s="134"/>
      <c r="Q2686" s="146"/>
      <c r="R2686" s="17"/>
      <c r="S2686" s="17"/>
      <c r="T2686" s="75"/>
      <c r="U2686" s="75"/>
      <c r="V2686" s="75"/>
      <c r="W2686" s="75"/>
      <c r="X2686" s="75"/>
    </row>
    <row r="2687">
      <c r="A2687" s="17"/>
      <c r="B2687" s="17"/>
      <c r="C2687" s="133"/>
      <c r="D2687" s="133"/>
      <c r="E2687" s="17"/>
      <c r="F2687" s="133"/>
      <c r="G2687" s="133"/>
      <c r="H2687" s="133"/>
      <c r="I2687" s="133"/>
      <c r="J2687" s="133"/>
      <c r="K2687" s="133"/>
      <c r="L2687" s="133"/>
      <c r="M2687" s="133"/>
      <c r="N2687" s="133"/>
      <c r="O2687" s="133"/>
      <c r="P2687" s="134"/>
      <c r="Q2687" s="146"/>
      <c r="R2687" s="17"/>
      <c r="S2687" s="17"/>
      <c r="T2687" s="75"/>
      <c r="U2687" s="75"/>
      <c r="V2687" s="75"/>
      <c r="W2687" s="75"/>
      <c r="X2687" s="75"/>
    </row>
    <row r="2688">
      <c r="A2688" s="17"/>
      <c r="B2688" s="17"/>
      <c r="C2688" s="133"/>
      <c r="D2688" s="133"/>
      <c r="E2688" s="17"/>
      <c r="F2688" s="133"/>
      <c r="G2688" s="133"/>
      <c r="H2688" s="133"/>
      <c r="I2688" s="133"/>
      <c r="J2688" s="133"/>
      <c r="K2688" s="133"/>
      <c r="L2688" s="133"/>
      <c r="M2688" s="133"/>
      <c r="N2688" s="133"/>
      <c r="O2688" s="133"/>
      <c r="P2688" s="134"/>
      <c r="Q2688" s="146"/>
      <c r="R2688" s="17"/>
      <c r="S2688" s="17"/>
      <c r="T2688" s="75"/>
      <c r="U2688" s="75"/>
      <c r="V2688" s="75"/>
      <c r="W2688" s="75"/>
      <c r="X2688" s="75"/>
    </row>
    <row r="2689">
      <c r="A2689" s="17"/>
      <c r="B2689" s="17"/>
      <c r="C2689" s="133"/>
      <c r="D2689" s="133"/>
      <c r="E2689" s="17"/>
      <c r="F2689" s="133"/>
      <c r="G2689" s="133"/>
      <c r="H2689" s="133"/>
      <c r="I2689" s="133"/>
      <c r="J2689" s="133"/>
      <c r="K2689" s="133"/>
      <c r="L2689" s="133"/>
      <c r="M2689" s="133"/>
      <c r="N2689" s="133"/>
      <c r="O2689" s="133"/>
      <c r="P2689" s="134"/>
      <c r="Q2689" s="146"/>
      <c r="R2689" s="17"/>
      <c r="S2689" s="17"/>
      <c r="T2689" s="75"/>
      <c r="U2689" s="75"/>
      <c r="V2689" s="75"/>
      <c r="W2689" s="75"/>
      <c r="X2689" s="75"/>
    </row>
    <row r="2690">
      <c r="A2690" s="17"/>
      <c r="B2690" s="17"/>
      <c r="C2690" s="133"/>
      <c r="D2690" s="133"/>
      <c r="E2690" s="17"/>
      <c r="F2690" s="133"/>
      <c r="G2690" s="133"/>
      <c r="H2690" s="133"/>
      <c r="I2690" s="133"/>
      <c r="J2690" s="133"/>
      <c r="K2690" s="133"/>
      <c r="L2690" s="133"/>
      <c r="M2690" s="133"/>
      <c r="N2690" s="133"/>
      <c r="O2690" s="133"/>
      <c r="P2690" s="134"/>
      <c r="Q2690" s="146"/>
      <c r="R2690" s="17"/>
      <c r="S2690" s="17"/>
      <c r="T2690" s="75"/>
      <c r="U2690" s="75"/>
      <c r="V2690" s="75"/>
      <c r="W2690" s="75"/>
      <c r="X2690" s="75"/>
    </row>
    <row r="2691">
      <c r="A2691" s="17"/>
      <c r="B2691" s="17"/>
      <c r="C2691" s="133"/>
      <c r="D2691" s="133"/>
      <c r="E2691" s="17"/>
      <c r="F2691" s="133"/>
      <c r="G2691" s="133"/>
      <c r="H2691" s="133"/>
      <c r="I2691" s="133"/>
      <c r="J2691" s="133"/>
      <c r="K2691" s="133"/>
      <c r="L2691" s="133"/>
      <c r="M2691" s="133"/>
      <c r="N2691" s="133"/>
      <c r="O2691" s="133"/>
      <c r="P2691" s="134"/>
      <c r="Q2691" s="146"/>
      <c r="R2691" s="17"/>
      <c r="S2691" s="17"/>
      <c r="T2691" s="75"/>
      <c r="U2691" s="75"/>
      <c r="V2691" s="75"/>
      <c r="W2691" s="75"/>
      <c r="X2691" s="75"/>
    </row>
    <row r="2692">
      <c r="A2692" s="17"/>
      <c r="B2692" s="17"/>
      <c r="C2692" s="133"/>
      <c r="D2692" s="133"/>
      <c r="E2692" s="17"/>
      <c r="F2692" s="133"/>
      <c r="G2692" s="133"/>
      <c r="H2692" s="133"/>
      <c r="I2692" s="133"/>
      <c r="J2692" s="133"/>
      <c r="K2692" s="133"/>
      <c r="L2692" s="133"/>
      <c r="M2692" s="133"/>
      <c r="N2692" s="133"/>
      <c r="O2692" s="133"/>
      <c r="P2692" s="134"/>
      <c r="Q2692" s="146"/>
      <c r="R2692" s="17"/>
      <c r="S2692" s="17"/>
      <c r="T2692" s="75"/>
      <c r="U2692" s="75"/>
      <c r="V2692" s="75"/>
      <c r="W2692" s="75"/>
      <c r="X2692" s="75"/>
    </row>
    <row r="2693">
      <c r="A2693" s="17"/>
      <c r="B2693" s="17"/>
      <c r="C2693" s="133"/>
      <c r="D2693" s="133"/>
      <c r="E2693" s="17"/>
      <c r="F2693" s="133"/>
      <c r="G2693" s="133"/>
      <c r="H2693" s="133"/>
      <c r="I2693" s="133"/>
      <c r="J2693" s="133"/>
      <c r="K2693" s="133"/>
      <c r="L2693" s="133"/>
      <c r="M2693" s="133"/>
      <c r="N2693" s="133"/>
      <c r="O2693" s="133"/>
      <c r="P2693" s="134"/>
      <c r="Q2693" s="146"/>
      <c r="R2693" s="17"/>
      <c r="S2693" s="17"/>
      <c r="T2693" s="75"/>
      <c r="U2693" s="75"/>
      <c r="V2693" s="75"/>
      <c r="W2693" s="75"/>
      <c r="X2693" s="75"/>
    </row>
    <row r="2694">
      <c r="A2694" s="17"/>
      <c r="B2694" s="17"/>
      <c r="C2694" s="133"/>
      <c r="D2694" s="133"/>
      <c r="E2694" s="17"/>
      <c r="F2694" s="133"/>
      <c r="G2694" s="133"/>
      <c r="H2694" s="133"/>
      <c r="I2694" s="133"/>
      <c r="J2694" s="133"/>
      <c r="K2694" s="133"/>
      <c r="L2694" s="133"/>
      <c r="M2694" s="133"/>
      <c r="N2694" s="133"/>
      <c r="O2694" s="133"/>
      <c r="P2694" s="134"/>
      <c r="Q2694" s="146"/>
      <c r="R2694" s="17"/>
      <c r="S2694" s="17"/>
      <c r="T2694" s="75"/>
      <c r="U2694" s="75"/>
      <c r="V2694" s="75"/>
      <c r="W2694" s="75"/>
      <c r="X2694" s="75"/>
    </row>
    <row r="2695">
      <c r="A2695" s="17"/>
      <c r="B2695" s="17"/>
      <c r="C2695" s="133"/>
      <c r="D2695" s="133"/>
      <c r="E2695" s="17"/>
      <c r="F2695" s="133"/>
      <c r="G2695" s="133"/>
      <c r="H2695" s="133"/>
      <c r="I2695" s="133"/>
      <c r="J2695" s="133"/>
      <c r="K2695" s="133"/>
      <c r="L2695" s="133"/>
      <c r="M2695" s="133"/>
      <c r="N2695" s="133"/>
      <c r="O2695" s="133"/>
      <c r="P2695" s="134"/>
      <c r="Q2695" s="146"/>
      <c r="R2695" s="17"/>
      <c r="S2695" s="17"/>
      <c r="T2695" s="75"/>
      <c r="U2695" s="75"/>
      <c r="V2695" s="75"/>
      <c r="W2695" s="75"/>
      <c r="X2695" s="75"/>
    </row>
    <row r="2696">
      <c r="A2696" s="17"/>
      <c r="B2696" s="17"/>
      <c r="C2696" s="133"/>
      <c r="D2696" s="133"/>
      <c r="E2696" s="17"/>
      <c r="F2696" s="133"/>
      <c r="G2696" s="133"/>
      <c r="H2696" s="133"/>
      <c r="I2696" s="133"/>
      <c r="J2696" s="133"/>
      <c r="K2696" s="133"/>
      <c r="L2696" s="133"/>
      <c r="M2696" s="133"/>
      <c r="N2696" s="133"/>
      <c r="O2696" s="133"/>
      <c r="P2696" s="134"/>
      <c r="Q2696" s="146"/>
      <c r="R2696" s="17"/>
      <c r="S2696" s="17"/>
      <c r="T2696" s="75"/>
      <c r="U2696" s="75"/>
      <c r="V2696" s="75"/>
      <c r="W2696" s="75"/>
      <c r="X2696" s="75"/>
    </row>
    <row r="2697">
      <c r="A2697" s="17"/>
      <c r="B2697" s="17"/>
      <c r="C2697" s="133"/>
      <c r="D2697" s="133"/>
      <c r="E2697" s="17"/>
      <c r="F2697" s="133"/>
      <c r="G2697" s="133"/>
      <c r="H2697" s="133"/>
      <c r="I2697" s="133"/>
      <c r="J2697" s="133"/>
      <c r="K2697" s="133"/>
      <c r="L2697" s="133"/>
      <c r="M2697" s="133"/>
      <c r="N2697" s="133"/>
      <c r="O2697" s="133"/>
      <c r="P2697" s="134"/>
      <c r="Q2697" s="146"/>
      <c r="R2697" s="17"/>
      <c r="S2697" s="17"/>
      <c r="T2697" s="75"/>
      <c r="U2697" s="75"/>
      <c r="V2697" s="75"/>
      <c r="W2697" s="75"/>
      <c r="X2697" s="75"/>
    </row>
    <row r="2698">
      <c r="A2698" s="17"/>
      <c r="B2698" s="17"/>
      <c r="C2698" s="133"/>
      <c r="D2698" s="133"/>
      <c r="E2698" s="17"/>
      <c r="F2698" s="133"/>
      <c r="G2698" s="133"/>
      <c r="H2698" s="133"/>
      <c r="I2698" s="133"/>
      <c r="J2698" s="133"/>
      <c r="K2698" s="133"/>
      <c r="L2698" s="133"/>
      <c r="M2698" s="133"/>
      <c r="N2698" s="133"/>
      <c r="O2698" s="133"/>
      <c r="P2698" s="134"/>
      <c r="Q2698" s="146"/>
      <c r="R2698" s="17"/>
      <c r="S2698" s="17"/>
      <c r="T2698" s="75"/>
      <c r="U2698" s="75"/>
      <c r="V2698" s="75"/>
      <c r="W2698" s="75"/>
      <c r="X2698" s="75"/>
    </row>
    <row r="2699">
      <c r="A2699" s="17"/>
      <c r="B2699" s="17"/>
      <c r="C2699" s="133"/>
      <c r="D2699" s="133"/>
      <c r="E2699" s="17"/>
      <c r="F2699" s="133"/>
      <c r="G2699" s="133"/>
      <c r="H2699" s="133"/>
      <c r="I2699" s="133"/>
      <c r="J2699" s="133"/>
      <c r="K2699" s="133"/>
      <c r="L2699" s="133"/>
      <c r="M2699" s="133"/>
      <c r="N2699" s="133"/>
      <c r="O2699" s="133"/>
      <c r="P2699" s="134"/>
      <c r="Q2699" s="146"/>
      <c r="R2699" s="17"/>
      <c r="S2699" s="17"/>
      <c r="T2699" s="75"/>
      <c r="U2699" s="75"/>
      <c r="V2699" s="75"/>
      <c r="W2699" s="75"/>
      <c r="X2699" s="75"/>
    </row>
    <row r="2700">
      <c r="A2700" s="17"/>
      <c r="B2700" s="17"/>
      <c r="C2700" s="133"/>
      <c r="D2700" s="133"/>
      <c r="E2700" s="17"/>
      <c r="F2700" s="133"/>
      <c r="G2700" s="133"/>
      <c r="H2700" s="133"/>
      <c r="I2700" s="133"/>
      <c r="J2700" s="133"/>
      <c r="K2700" s="133"/>
      <c r="L2700" s="133"/>
      <c r="M2700" s="133"/>
      <c r="N2700" s="133"/>
      <c r="O2700" s="133"/>
      <c r="P2700" s="134"/>
      <c r="Q2700" s="146"/>
      <c r="R2700" s="17"/>
      <c r="S2700" s="17"/>
      <c r="T2700" s="75"/>
      <c r="U2700" s="75"/>
      <c r="V2700" s="75"/>
      <c r="W2700" s="75"/>
      <c r="X2700" s="75"/>
    </row>
    <row r="2701">
      <c r="A2701" s="17"/>
      <c r="B2701" s="17"/>
      <c r="C2701" s="133"/>
      <c r="D2701" s="133"/>
      <c r="E2701" s="17"/>
      <c r="F2701" s="133"/>
      <c r="G2701" s="133"/>
      <c r="H2701" s="133"/>
      <c r="I2701" s="133"/>
      <c r="J2701" s="133"/>
      <c r="K2701" s="133"/>
      <c r="L2701" s="133"/>
      <c r="M2701" s="133"/>
      <c r="N2701" s="133"/>
      <c r="O2701" s="133"/>
      <c r="P2701" s="134"/>
      <c r="Q2701" s="146"/>
      <c r="R2701" s="17"/>
      <c r="S2701" s="17"/>
      <c r="T2701" s="75"/>
      <c r="U2701" s="75"/>
      <c r="V2701" s="75"/>
      <c r="W2701" s="75"/>
      <c r="X2701" s="75"/>
    </row>
    <row r="2702">
      <c r="A2702" s="17"/>
      <c r="B2702" s="17"/>
      <c r="C2702" s="133"/>
      <c r="D2702" s="133"/>
      <c r="E2702" s="17"/>
      <c r="F2702" s="133"/>
      <c r="G2702" s="133"/>
      <c r="H2702" s="133"/>
      <c r="I2702" s="133"/>
      <c r="J2702" s="133"/>
      <c r="K2702" s="133"/>
      <c r="L2702" s="133"/>
      <c r="M2702" s="133"/>
      <c r="N2702" s="133"/>
      <c r="O2702" s="133"/>
      <c r="P2702" s="134"/>
      <c r="Q2702" s="146"/>
      <c r="R2702" s="17"/>
      <c r="S2702" s="17"/>
      <c r="T2702" s="75"/>
      <c r="U2702" s="75"/>
      <c r="V2702" s="75"/>
      <c r="W2702" s="75"/>
      <c r="X2702" s="75"/>
    </row>
    <row r="2703">
      <c r="A2703" s="17"/>
      <c r="B2703" s="17"/>
      <c r="C2703" s="133"/>
      <c r="D2703" s="133"/>
      <c r="E2703" s="17"/>
      <c r="F2703" s="133"/>
      <c r="G2703" s="133"/>
      <c r="H2703" s="133"/>
      <c r="I2703" s="133"/>
      <c r="J2703" s="133"/>
      <c r="K2703" s="133"/>
      <c r="L2703" s="133"/>
      <c r="M2703" s="133"/>
      <c r="N2703" s="133"/>
      <c r="O2703" s="133"/>
      <c r="P2703" s="134"/>
      <c r="Q2703" s="146"/>
      <c r="R2703" s="17"/>
      <c r="S2703" s="17"/>
      <c r="T2703" s="75"/>
      <c r="U2703" s="75"/>
      <c r="V2703" s="75"/>
      <c r="W2703" s="75"/>
      <c r="X2703" s="75"/>
    </row>
    <row r="2704">
      <c r="A2704" s="17"/>
      <c r="B2704" s="17"/>
      <c r="C2704" s="133"/>
      <c r="D2704" s="133"/>
      <c r="E2704" s="17"/>
      <c r="F2704" s="133"/>
      <c r="G2704" s="133"/>
      <c r="H2704" s="133"/>
      <c r="I2704" s="133"/>
      <c r="J2704" s="133"/>
      <c r="K2704" s="133"/>
      <c r="L2704" s="133"/>
      <c r="M2704" s="133"/>
      <c r="N2704" s="133"/>
      <c r="O2704" s="133"/>
      <c r="P2704" s="134"/>
      <c r="Q2704" s="146"/>
      <c r="R2704" s="17"/>
      <c r="S2704" s="17"/>
      <c r="T2704" s="75"/>
      <c r="U2704" s="75"/>
      <c r="V2704" s="75"/>
      <c r="W2704" s="75"/>
      <c r="X2704" s="75"/>
    </row>
    <row r="2705">
      <c r="A2705" s="17"/>
      <c r="B2705" s="17"/>
      <c r="C2705" s="133"/>
      <c r="D2705" s="133"/>
      <c r="E2705" s="17"/>
      <c r="F2705" s="133"/>
      <c r="G2705" s="133"/>
      <c r="H2705" s="133"/>
      <c r="I2705" s="133"/>
      <c r="J2705" s="133"/>
      <c r="K2705" s="133"/>
      <c r="L2705" s="133"/>
      <c r="M2705" s="133"/>
      <c r="N2705" s="133"/>
      <c r="O2705" s="133"/>
      <c r="P2705" s="134"/>
      <c r="Q2705" s="146"/>
      <c r="R2705" s="17"/>
      <c r="S2705" s="17"/>
      <c r="T2705" s="75"/>
      <c r="U2705" s="75"/>
      <c r="V2705" s="75"/>
      <c r="W2705" s="75"/>
      <c r="X2705" s="75"/>
    </row>
    <row r="2706">
      <c r="A2706" s="17"/>
      <c r="B2706" s="17"/>
      <c r="C2706" s="133"/>
      <c r="D2706" s="133"/>
      <c r="E2706" s="17"/>
      <c r="F2706" s="133"/>
      <c r="G2706" s="133"/>
      <c r="H2706" s="133"/>
      <c r="I2706" s="133"/>
      <c r="J2706" s="133"/>
      <c r="K2706" s="133"/>
      <c r="L2706" s="133"/>
      <c r="M2706" s="133"/>
      <c r="N2706" s="133"/>
      <c r="O2706" s="133"/>
      <c r="P2706" s="134"/>
      <c r="Q2706" s="146"/>
      <c r="R2706" s="17"/>
      <c r="S2706" s="17"/>
      <c r="T2706" s="75"/>
      <c r="U2706" s="75"/>
      <c r="V2706" s="75"/>
      <c r="W2706" s="75"/>
      <c r="X2706" s="75"/>
    </row>
    <row r="2707">
      <c r="A2707" s="17"/>
      <c r="B2707" s="17"/>
      <c r="C2707" s="133"/>
      <c r="D2707" s="133"/>
      <c r="E2707" s="17"/>
      <c r="F2707" s="133"/>
      <c r="G2707" s="133"/>
      <c r="H2707" s="133"/>
      <c r="I2707" s="133"/>
      <c r="J2707" s="133"/>
      <c r="K2707" s="133"/>
      <c r="L2707" s="133"/>
      <c r="M2707" s="133"/>
      <c r="N2707" s="133"/>
      <c r="O2707" s="133"/>
      <c r="P2707" s="134"/>
      <c r="Q2707" s="146"/>
      <c r="R2707" s="17"/>
      <c r="S2707" s="17"/>
      <c r="T2707" s="75"/>
      <c r="U2707" s="75"/>
      <c r="V2707" s="75"/>
      <c r="W2707" s="75"/>
      <c r="X2707" s="75"/>
    </row>
    <row r="2708">
      <c r="A2708" s="17"/>
      <c r="B2708" s="17"/>
      <c r="C2708" s="133"/>
      <c r="D2708" s="133"/>
      <c r="E2708" s="17"/>
      <c r="F2708" s="133"/>
      <c r="G2708" s="133"/>
      <c r="H2708" s="133"/>
      <c r="I2708" s="133"/>
      <c r="J2708" s="133"/>
      <c r="K2708" s="133"/>
      <c r="L2708" s="133"/>
      <c r="M2708" s="133"/>
      <c r="N2708" s="133"/>
      <c r="O2708" s="133"/>
      <c r="P2708" s="134"/>
      <c r="Q2708" s="146"/>
      <c r="R2708" s="17"/>
      <c r="S2708" s="17"/>
      <c r="T2708" s="75"/>
      <c r="U2708" s="75"/>
      <c r="V2708" s="75"/>
      <c r="W2708" s="75"/>
      <c r="X2708" s="75"/>
    </row>
    <row r="2709">
      <c r="A2709" s="17"/>
      <c r="B2709" s="17"/>
      <c r="C2709" s="133"/>
      <c r="D2709" s="133"/>
      <c r="E2709" s="17"/>
      <c r="F2709" s="133"/>
      <c r="G2709" s="133"/>
      <c r="H2709" s="133"/>
      <c r="I2709" s="133"/>
      <c r="J2709" s="133"/>
      <c r="K2709" s="133"/>
      <c r="L2709" s="133"/>
      <c r="M2709" s="133"/>
      <c r="N2709" s="133"/>
      <c r="O2709" s="133"/>
      <c r="P2709" s="134"/>
      <c r="Q2709" s="146"/>
      <c r="R2709" s="17"/>
      <c r="S2709" s="17"/>
      <c r="T2709" s="75"/>
      <c r="U2709" s="75"/>
      <c r="V2709" s="75"/>
      <c r="W2709" s="75"/>
      <c r="X2709" s="75"/>
    </row>
    <row r="2710">
      <c r="A2710" s="17"/>
      <c r="B2710" s="17"/>
      <c r="C2710" s="133"/>
      <c r="D2710" s="133"/>
      <c r="E2710" s="17"/>
      <c r="F2710" s="133"/>
      <c r="G2710" s="133"/>
      <c r="H2710" s="133"/>
      <c r="I2710" s="133"/>
      <c r="J2710" s="133"/>
      <c r="K2710" s="133"/>
      <c r="L2710" s="133"/>
      <c r="M2710" s="133"/>
      <c r="N2710" s="133"/>
      <c r="O2710" s="133"/>
      <c r="P2710" s="134"/>
      <c r="Q2710" s="146"/>
      <c r="R2710" s="17"/>
      <c r="S2710" s="17"/>
      <c r="T2710" s="75"/>
      <c r="U2710" s="75"/>
      <c r="V2710" s="75"/>
      <c r="W2710" s="75"/>
      <c r="X2710" s="75"/>
    </row>
    <row r="2711">
      <c r="A2711" s="17"/>
      <c r="B2711" s="17"/>
      <c r="C2711" s="133"/>
      <c r="D2711" s="133"/>
      <c r="E2711" s="17"/>
      <c r="F2711" s="133"/>
      <c r="G2711" s="133"/>
      <c r="H2711" s="133"/>
      <c r="I2711" s="133"/>
      <c r="J2711" s="133"/>
      <c r="K2711" s="133"/>
      <c r="L2711" s="133"/>
      <c r="M2711" s="133"/>
      <c r="N2711" s="133"/>
      <c r="O2711" s="133"/>
      <c r="P2711" s="134"/>
      <c r="Q2711" s="146"/>
      <c r="R2711" s="17"/>
      <c r="S2711" s="17"/>
      <c r="T2711" s="75"/>
      <c r="U2711" s="75"/>
      <c r="V2711" s="75"/>
      <c r="W2711" s="75"/>
      <c r="X2711" s="75"/>
    </row>
    <row r="2712">
      <c r="A2712" s="17"/>
      <c r="B2712" s="17"/>
      <c r="C2712" s="133"/>
      <c r="D2712" s="133"/>
      <c r="E2712" s="17"/>
      <c r="F2712" s="133"/>
      <c r="G2712" s="133"/>
      <c r="H2712" s="133"/>
      <c r="I2712" s="133"/>
      <c r="J2712" s="133"/>
      <c r="K2712" s="133"/>
      <c r="L2712" s="133"/>
      <c r="M2712" s="133"/>
      <c r="N2712" s="133"/>
      <c r="O2712" s="133"/>
      <c r="P2712" s="134"/>
      <c r="Q2712" s="146"/>
      <c r="R2712" s="17"/>
      <c r="S2712" s="17"/>
      <c r="T2712" s="75"/>
      <c r="U2712" s="75"/>
      <c r="V2712" s="75"/>
      <c r="W2712" s="75"/>
      <c r="X2712" s="75"/>
    </row>
    <row r="2713">
      <c r="A2713" s="17"/>
      <c r="B2713" s="17"/>
      <c r="C2713" s="133"/>
      <c r="D2713" s="133"/>
      <c r="E2713" s="17"/>
      <c r="F2713" s="133"/>
      <c r="G2713" s="133"/>
      <c r="H2713" s="133"/>
      <c r="I2713" s="133"/>
      <c r="J2713" s="133"/>
      <c r="K2713" s="133"/>
      <c r="L2713" s="133"/>
      <c r="M2713" s="133"/>
      <c r="N2713" s="133"/>
      <c r="O2713" s="133"/>
      <c r="P2713" s="134"/>
      <c r="Q2713" s="146"/>
      <c r="R2713" s="17"/>
      <c r="S2713" s="17"/>
      <c r="T2713" s="75"/>
      <c r="U2713" s="75"/>
      <c r="V2713" s="75"/>
      <c r="W2713" s="75"/>
      <c r="X2713" s="75"/>
    </row>
    <row r="2714">
      <c r="A2714" s="17"/>
      <c r="B2714" s="17"/>
      <c r="C2714" s="133"/>
      <c r="D2714" s="133"/>
      <c r="E2714" s="17"/>
      <c r="F2714" s="133"/>
      <c r="G2714" s="133"/>
      <c r="H2714" s="133"/>
      <c r="I2714" s="133"/>
      <c r="J2714" s="133"/>
      <c r="K2714" s="133"/>
      <c r="L2714" s="133"/>
      <c r="M2714" s="133"/>
      <c r="N2714" s="133"/>
      <c r="O2714" s="133"/>
      <c r="P2714" s="134"/>
      <c r="Q2714" s="146"/>
      <c r="R2714" s="17"/>
      <c r="S2714" s="17"/>
      <c r="T2714" s="75"/>
      <c r="U2714" s="75"/>
      <c r="V2714" s="75"/>
      <c r="W2714" s="75"/>
      <c r="X2714" s="75"/>
    </row>
    <row r="2715">
      <c r="A2715" s="17"/>
      <c r="B2715" s="17"/>
      <c r="C2715" s="133"/>
      <c r="D2715" s="133"/>
      <c r="E2715" s="17"/>
      <c r="F2715" s="133"/>
      <c r="G2715" s="133"/>
      <c r="H2715" s="133"/>
      <c r="I2715" s="133"/>
      <c r="J2715" s="133"/>
      <c r="K2715" s="133"/>
      <c r="L2715" s="133"/>
      <c r="M2715" s="133"/>
      <c r="N2715" s="133"/>
      <c r="O2715" s="133"/>
      <c r="P2715" s="134"/>
      <c r="Q2715" s="146"/>
      <c r="R2715" s="17"/>
      <c r="S2715" s="17"/>
      <c r="T2715" s="75"/>
      <c r="U2715" s="75"/>
      <c r="V2715" s="75"/>
      <c r="W2715" s="75"/>
      <c r="X2715" s="75"/>
    </row>
    <row r="2716">
      <c r="A2716" s="17"/>
      <c r="B2716" s="17"/>
      <c r="C2716" s="133"/>
      <c r="D2716" s="133"/>
      <c r="E2716" s="17"/>
      <c r="F2716" s="133"/>
      <c r="G2716" s="133"/>
      <c r="H2716" s="133"/>
      <c r="I2716" s="133"/>
      <c r="J2716" s="133"/>
      <c r="K2716" s="133"/>
      <c r="L2716" s="133"/>
      <c r="M2716" s="133"/>
      <c r="N2716" s="133"/>
      <c r="O2716" s="133"/>
      <c r="P2716" s="134"/>
      <c r="Q2716" s="146"/>
      <c r="R2716" s="17"/>
      <c r="S2716" s="17"/>
      <c r="T2716" s="75"/>
      <c r="U2716" s="75"/>
      <c r="V2716" s="75"/>
      <c r="W2716" s="75"/>
      <c r="X2716" s="75"/>
    </row>
    <row r="2717">
      <c r="A2717" s="17"/>
      <c r="B2717" s="17"/>
      <c r="C2717" s="133"/>
      <c r="D2717" s="133"/>
      <c r="E2717" s="17"/>
      <c r="F2717" s="133"/>
      <c r="G2717" s="133"/>
      <c r="H2717" s="133"/>
      <c r="I2717" s="133"/>
      <c r="J2717" s="133"/>
      <c r="K2717" s="133"/>
      <c r="L2717" s="133"/>
      <c r="M2717" s="133"/>
      <c r="N2717" s="133"/>
      <c r="O2717" s="133"/>
      <c r="P2717" s="134"/>
      <c r="Q2717" s="146"/>
      <c r="R2717" s="17"/>
      <c r="S2717" s="17"/>
      <c r="T2717" s="75"/>
      <c r="U2717" s="75"/>
      <c r="V2717" s="75"/>
      <c r="W2717" s="75"/>
      <c r="X2717" s="75"/>
    </row>
    <row r="2718">
      <c r="A2718" s="17"/>
      <c r="B2718" s="17"/>
      <c r="C2718" s="133"/>
      <c r="D2718" s="133"/>
      <c r="E2718" s="17"/>
      <c r="F2718" s="133"/>
      <c r="G2718" s="133"/>
      <c r="H2718" s="133"/>
      <c r="I2718" s="133"/>
      <c r="J2718" s="133"/>
      <c r="K2718" s="133"/>
      <c r="L2718" s="133"/>
      <c r="M2718" s="133"/>
      <c r="N2718" s="133"/>
      <c r="O2718" s="133"/>
      <c r="P2718" s="134"/>
      <c r="Q2718" s="146"/>
      <c r="R2718" s="17"/>
      <c r="S2718" s="17"/>
      <c r="T2718" s="75"/>
      <c r="U2718" s="75"/>
      <c r="V2718" s="75"/>
      <c r="W2718" s="75"/>
      <c r="X2718" s="75"/>
    </row>
    <row r="2719">
      <c r="A2719" s="17"/>
      <c r="B2719" s="17"/>
      <c r="C2719" s="133"/>
      <c r="D2719" s="133"/>
      <c r="E2719" s="17"/>
      <c r="F2719" s="133"/>
      <c r="G2719" s="133"/>
      <c r="H2719" s="133"/>
      <c r="I2719" s="133"/>
      <c r="J2719" s="133"/>
      <c r="K2719" s="133"/>
      <c r="L2719" s="133"/>
      <c r="M2719" s="133"/>
      <c r="N2719" s="133"/>
      <c r="O2719" s="133"/>
      <c r="P2719" s="134"/>
      <c r="Q2719" s="146"/>
      <c r="R2719" s="17"/>
      <c r="S2719" s="17"/>
      <c r="T2719" s="75"/>
      <c r="U2719" s="75"/>
      <c r="V2719" s="75"/>
      <c r="W2719" s="75"/>
      <c r="X2719" s="75"/>
    </row>
    <row r="2720">
      <c r="A2720" s="17"/>
      <c r="B2720" s="17"/>
      <c r="C2720" s="133"/>
      <c r="D2720" s="133"/>
      <c r="E2720" s="17"/>
      <c r="F2720" s="133"/>
      <c r="G2720" s="133"/>
      <c r="H2720" s="133"/>
      <c r="I2720" s="133"/>
      <c r="J2720" s="133"/>
      <c r="K2720" s="133"/>
      <c r="L2720" s="133"/>
      <c r="M2720" s="133"/>
      <c r="N2720" s="133"/>
      <c r="O2720" s="133"/>
      <c r="P2720" s="134"/>
      <c r="Q2720" s="146"/>
      <c r="R2720" s="17"/>
      <c r="S2720" s="17"/>
      <c r="T2720" s="75"/>
      <c r="U2720" s="75"/>
      <c r="V2720" s="75"/>
      <c r="W2720" s="75"/>
      <c r="X2720" s="75"/>
    </row>
    <row r="2721">
      <c r="A2721" s="17"/>
      <c r="B2721" s="17"/>
      <c r="C2721" s="133"/>
      <c r="D2721" s="133"/>
      <c r="E2721" s="17"/>
      <c r="F2721" s="133"/>
      <c r="G2721" s="133"/>
      <c r="H2721" s="133"/>
      <c r="I2721" s="133"/>
      <c r="J2721" s="133"/>
      <c r="K2721" s="133"/>
      <c r="L2721" s="133"/>
      <c r="M2721" s="133"/>
      <c r="N2721" s="133"/>
      <c r="O2721" s="133"/>
      <c r="P2721" s="134"/>
      <c r="Q2721" s="146"/>
      <c r="R2721" s="17"/>
      <c r="S2721" s="17"/>
      <c r="T2721" s="75"/>
      <c r="U2721" s="75"/>
      <c r="V2721" s="75"/>
      <c r="W2721" s="75"/>
      <c r="X2721" s="75"/>
    </row>
    <row r="2722">
      <c r="A2722" s="17"/>
      <c r="B2722" s="17"/>
      <c r="C2722" s="133"/>
      <c r="D2722" s="133"/>
      <c r="E2722" s="17"/>
      <c r="F2722" s="133"/>
      <c r="G2722" s="133"/>
      <c r="H2722" s="133"/>
      <c r="I2722" s="133"/>
      <c r="J2722" s="133"/>
      <c r="K2722" s="133"/>
      <c r="L2722" s="133"/>
      <c r="M2722" s="133"/>
      <c r="N2722" s="133"/>
      <c r="O2722" s="133"/>
      <c r="P2722" s="134"/>
      <c r="Q2722" s="146"/>
      <c r="R2722" s="17"/>
      <c r="S2722" s="17"/>
      <c r="T2722" s="75"/>
      <c r="U2722" s="75"/>
      <c r="V2722" s="75"/>
      <c r="W2722" s="75"/>
      <c r="X2722" s="75"/>
    </row>
    <row r="2723">
      <c r="A2723" s="17"/>
      <c r="B2723" s="17"/>
      <c r="C2723" s="133"/>
      <c r="D2723" s="133"/>
      <c r="E2723" s="17"/>
      <c r="F2723" s="133"/>
      <c r="G2723" s="133"/>
      <c r="H2723" s="133"/>
      <c r="I2723" s="133"/>
      <c r="J2723" s="133"/>
      <c r="K2723" s="133"/>
      <c r="L2723" s="133"/>
      <c r="M2723" s="133"/>
      <c r="N2723" s="133"/>
      <c r="O2723" s="133"/>
      <c r="P2723" s="134"/>
      <c r="Q2723" s="146"/>
      <c r="R2723" s="17"/>
      <c r="S2723" s="17"/>
      <c r="T2723" s="75"/>
      <c r="U2723" s="75"/>
      <c r="V2723" s="75"/>
      <c r="W2723" s="75"/>
      <c r="X2723" s="75"/>
    </row>
    <row r="2724">
      <c r="A2724" s="17"/>
      <c r="B2724" s="17"/>
      <c r="C2724" s="133"/>
      <c r="D2724" s="133"/>
      <c r="E2724" s="17"/>
      <c r="F2724" s="133"/>
      <c r="G2724" s="133"/>
      <c r="H2724" s="133"/>
      <c r="I2724" s="133"/>
      <c r="J2724" s="133"/>
      <c r="K2724" s="133"/>
      <c r="L2724" s="133"/>
      <c r="M2724" s="133"/>
      <c r="N2724" s="133"/>
      <c r="O2724" s="133"/>
      <c r="P2724" s="134"/>
      <c r="Q2724" s="146"/>
      <c r="R2724" s="17"/>
      <c r="S2724" s="17"/>
      <c r="T2724" s="75"/>
      <c r="U2724" s="75"/>
      <c r="V2724" s="75"/>
      <c r="W2724" s="75"/>
      <c r="X2724" s="75"/>
    </row>
    <row r="2725">
      <c r="A2725" s="17"/>
      <c r="B2725" s="17"/>
      <c r="C2725" s="133"/>
      <c r="D2725" s="133"/>
      <c r="E2725" s="17"/>
      <c r="F2725" s="133"/>
      <c r="G2725" s="133"/>
      <c r="H2725" s="133"/>
      <c r="I2725" s="133"/>
      <c r="J2725" s="133"/>
      <c r="K2725" s="133"/>
      <c r="L2725" s="133"/>
      <c r="M2725" s="133"/>
      <c r="N2725" s="133"/>
      <c r="O2725" s="133"/>
      <c r="P2725" s="134"/>
      <c r="Q2725" s="146"/>
      <c r="R2725" s="17"/>
      <c r="S2725" s="17"/>
      <c r="T2725" s="75"/>
      <c r="U2725" s="75"/>
      <c r="V2725" s="75"/>
      <c r="W2725" s="75"/>
      <c r="X2725" s="75"/>
    </row>
    <row r="2726">
      <c r="A2726" s="17"/>
      <c r="B2726" s="17"/>
      <c r="C2726" s="133"/>
      <c r="D2726" s="133"/>
      <c r="E2726" s="17"/>
      <c r="F2726" s="133"/>
      <c r="G2726" s="133"/>
      <c r="H2726" s="133"/>
      <c r="I2726" s="133"/>
      <c r="J2726" s="133"/>
      <c r="K2726" s="133"/>
      <c r="L2726" s="133"/>
      <c r="M2726" s="133"/>
      <c r="N2726" s="133"/>
      <c r="O2726" s="133"/>
      <c r="P2726" s="134"/>
      <c r="Q2726" s="146"/>
      <c r="R2726" s="17"/>
      <c r="S2726" s="17"/>
      <c r="T2726" s="75"/>
      <c r="U2726" s="75"/>
      <c r="V2726" s="75"/>
      <c r="W2726" s="75"/>
      <c r="X2726" s="75"/>
    </row>
    <row r="2727">
      <c r="A2727" s="17"/>
      <c r="B2727" s="17"/>
      <c r="C2727" s="133"/>
      <c r="D2727" s="133"/>
      <c r="E2727" s="17"/>
      <c r="F2727" s="133"/>
      <c r="G2727" s="133"/>
      <c r="H2727" s="133"/>
      <c r="I2727" s="133"/>
      <c r="J2727" s="133"/>
      <c r="K2727" s="133"/>
      <c r="L2727" s="133"/>
      <c r="M2727" s="133"/>
      <c r="N2727" s="133"/>
      <c r="O2727" s="133"/>
      <c r="P2727" s="134"/>
      <c r="Q2727" s="146"/>
      <c r="R2727" s="17"/>
      <c r="S2727" s="17"/>
      <c r="T2727" s="75"/>
      <c r="U2727" s="75"/>
      <c r="V2727" s="75"/>
      <c r="W2727" s="75"/>
      <c r="X2727" s="75"/>
    </row>
    <row r="2728">
      <c r="A2728" s="17"/>
      <c r="B2728" s="17"/>
      <c r="C2728" s="133"/>
      <c r="D2728" s="133"/>
      <c r="E2728" s="17"/>
      <c r="F2728" s="133"/>
      <c r="G2728" s="133"/>
      <c r="H2728" s="133"/>
      <c r="I2728" s="133"/>
      <c r="J2728" s="133"/>
      <c r="K2728" s="133"/>
      <c r="L2728" s="133"/>
      <c r="M2728" s="133"/>
      <c r="N2728" s="133"/>
      <c r="O2728" s="133"/>
      <c r="P2728" s="134"/>
      <c r="Q2728" s="146"/>
      <c r="R2728" s="17"/>
      <c r="S2728" s="17"/>
      <c r="T2728" s="75"/>
      <c r="U2728" s="75"/>
      <c r="V2728" s="75"/>
      <c r="W2728" s="75"/>
      <c r="X2728" s="75"/>
    </row>
    <row r="2729">
      <c r="A2729" s="17"/>
      <c r="B2729" s="17"/>
      <c r="C2729" s="133"/>
      <c r="D2729" s="133"/>
      <c r="E2729" s="17"/>
      <c r="F2729" s="133"/>
      <c r="G2729" s="133"/>
      <c r="H2729" s="133"/>
      <c r="I2729" s="133"/>
      <c r="J2729" s="133"/>
      <c r="K2729" s="133"/>
      <c r="L2729" s="133"/>
      <c r="M2729" s="133"/>
      <c r="N2729" s="133"/>
      <c r="O2729" s="133"/>
      <c r="P2729" s="134"/>
      <c r="Q2729" s="146"/>
      <c r="R2729" s="17"/>
      <c r="S2729" s="17"/>
      <c r="T2729" s="75"/>
      <c r="U2729" s="75"/>
      <c r="V2729" s="75"/>
      <c r="W2729" s="75"/>
      <c r="X2729" s="75"/>
    </row>
    <row r="2730">
      <c r="A2730" s="17"/>
      <c r="B2730" s="17"/>
      <c r="C2730" s="133"/>
      <c r="D2730" s="133"/>
      <c r="E2730" s="17"/>
      <c r="F2730" s="133"/>
      <c r="G2730" s="133"/>
      <c r="H2730" s="133"/>
      <c r="I2730" s="133"/>
      <c r="J2730" s="133"/>
      <c r="K2730" s="133"/>
      <c r="L2730" s="133"/>
      <c r="M2730" s="133"/>
      <c r="N2730" s="133"/>
      <c r="O2730" s="133"/>
      <c r="P2730" s="134"/>
      <c r="Q2730" s="146"/>
      <c r="R2730" s="17"/>
      <c r="S2730" s="17"/>
      <c r="T2730" s="75"/>
      <c r="U2730" s="75"/>
      <c r="V2730" s="75"/>
      <c r="W2730" s="75"/>
      <c r="X2730" s="75"/>
    </row>
    <row r="2731">
      <c r="A2731" s="17"/>
      <c r="B2731" s="17"/>
      <c r="C2731" s="133"/>
      <c r="D2731" s="133"/>
      <c r="E2731" s="17"/>
      <c r="F2731" s="133"/>
      <c r="G2731" s="133"/>
      <c r="H2731" s="133"/>
      <c r="I2731" s="133"/>
      <c r="J2731" s="133"/>
      <c r="K2731" s="133"/>
      <c r="L2731" s="133"/>
      <c r="M2731" s="133"/>
      <c r="N2731" s="133"/>
      <c r="O2731" s="133"/>
      <c r="P2731" s="134"/>
      <c r="Q2731" s="146"/>
      <c r="R2731" s="17"/>
      <c r="S2731" s="17"/>
      <c r="T2731" s="75"/>
      <c r="U2731" s="75"/>
      <c r="V2731" s="75"/>
      <c r="W2731" s="75"/>
      <c r="X2731" s="75"/>
    </row>
    <row r="2732">
      <c r="A2732" s="17"/>
      <c r="B2732" s="17"/>
      <c r="C2732" s="133"/>
      <c r="D2732" s="133"/>
      <c r="E2732" s="17"/>
      <c r="F2732" s="133"/>
      <c r="G2732" s="133"/>
      <c r="H2732" s="133"/>
      <c r="I2732" s="133"/>
      <c r="J2732" s="133"/>
      <c r="K2732" s="133"/>
      <c r="L2732" s="133"/>
      <c r="M2732" s="133"/>
      <c r="N2732" s="133"/>
      <c r="O2732" s="133"/>
      <c r="P2732" s="134"/>
      <c r="Q2732" s="146"/>
      <c r="R2732" s="17"/>
      <c r="S2732" s="17"/>
      <c r="T2732" s="75"/>
      <c r="U2732" s="75"/>
      <c r="V2732" s="75"/>
      <c r="W2732" s="75"/>
      <c r="X2732" s="75"/>
    </row>
    <row r="2733">
      <c r="A2733" s="17"/>
      <c r="B2733" s="17"/>
      <c r="C2733" s="133"/>
      <c r="D2733" s="133"/>
      <c r="E2733" s="17"/>
      <c r="F2733" s="133"/>
      <c r="G2733" s="133"/>
      <c r="H2733" s="133"/>
      <c r="I2733" s="133"/>
      <c r="J2733" s="133"/>
      <c r="K2733" s="133"/>
      <c r="L2733" s="133"/>
      <c r="M2733" s="133"/>
      <c r="N2733" s="133"/>
      <c r="O2733" s="133"/>
      <c r="P2733" s="134"/>
      <c r="Q2733" s="146"/>
      <c r="R2733" s="17"/>
      <c r="S2733" s="17"/>
      <c r="T2733" s="75"/>
      <c r="U2733" s="75"/>
      <c r="V2733" s="75"/>
      <c r="W2733" s="75"/>
      <c r="X2733" s="75"/>
    </row>
    <row r="2734">
      <c r="A2734" s="17"/>
      <c r="B2734" s="17"/>
      <c r="C2734" s="133"/>
      <c r="D2734" s="133"/>
      <c r="E2734" s="17"/>
      <c r="F2734" s="133"/>
      <c r="G2734" s="133"/>
      <c r="H2734" s="133"/>
      <c r="I2734" s="133"/>
      <c r="J2734" s="133"/>
      <c r="K2734" s="133"/>
      <c r="L2734" s="133"/>
      <c r="M2734" s="133"/>
      <c r="N2734" s="133"/>
      <c r="O2734" s="133"/>
      <c r="P2734" s="134"/>
      <c r="Q2734" s="146"/>
      <c r="R2734" s="17"/>
      <c r="S2734" s="17"/>
      <c r="T2734" s="75"/>
      <c r="U2734" s="75"/>
      <c r="V2734" s="75"/>
      <c r="W2734" s="75"/>
      <c r="X2734" s="75"/>
    </row>
    <row r="2735">
      <c r="A2735" s="17"/>
      <c r="B2735" s="17"/>
      <c r="C2735" s="133"/>
      <c r="D2735" s="133"/>
      <c r="E2735" s="17"/>
      <c r="F2735" s="133"/>
      <c r="G2735" s="133"/>
      <c r="H2735" s="133"/>
      <c r="I2735" s="133"/>
      <c r="J2735" s="133"/>
      <c r="K2735" s="133"/>
      <c r="L2735" s="133"/>
      <c r="M2735" s="133"/>
      <c r="N2735" s="133"/>
      <c r="O2735" s="133"/>
      <c r="P2735" s="134"/>
      <c r="Q2735" s="146"/>
      <c r="R2735" s="17"/>
      <c r="S2735" s="17"/>
      <c r="T2735" s="75"/>
      <c r="U2735" s="75"/>
      <c r="V2735" s="75"/>
      <c r="W2735" s="75"/>
      <c r="X2735" s="75"/>
    </row>
    <row r="2736">
      <c r="A2736" s="17"/>
      <c r="B2736" s="17"/>
      <c r="C2736" s="133"/>
      <c r="D2736" s="133"/>
      <c r="E2736" s="17"/>
      <c r="F2736" s="133"/>
      <c r="G2736" s="133"/>
      <c r="H2736" s="133"/>
      <c r="I2736" s="133"/>
      <c r="J2736" s="133"/>
      <c r="K2736" s="133"/>
      <c r="L2736" s="133"/>
      <c r="M2736" s="133"/>
      <c r="N2736" s="133"/>
      <c r="O2736" s="133"/>
      <c r="P2736" s="134"/>
      <c r="Q2736" s="146"/>
      <c r="R2736" s="17"/>
      <c r="S2736" s="17"/>
      <c r="T2736" s="75"/>
      <c r="U2736" s="75"/>
      <c r="V2736" s="75"/>
      <c r="W2736" s="75"/>
      <c r="X2736" s="75"/>
    </row>
    <row r="2737">
      <c r="A2737" s="17"/>
      <c r="B2737" s="17"/>
      <c r="C2737" s="133"/>
      <c r="D2737" s="133"/>
      <c r="E2737" s="17"/>
      <c r="F2737" s="133"/>
      <c r="G2737" s="133"/>
      <c r="H2737" s="133"/>
      <c r="I2737" s="133"/>
      <c r="J2737" s="133"/>
      <c r="K2737" s="133"/>
      <c r="L2737" s="133"/>
      <c r="M2737" s="133"/>
      <c r="N2737" s="133"/>
      <c r="O2737" s="133"/>
      <c r="P2737" s="134"/>
      <c r="Q2737" s="146"/>
      <c r="R2737" s="17"/>
      <c r="S2737" s="17"/>
      <c r="T2737" s="75"/>
      <c r="U2737" s="75"/>
      <c r="V2737" s="75"/>
      <c r="W2737" s="75"/>
      <c r="X2737" s="75"/>
    </row>
    <row r="2738">
      <c r="A2738" s="17"/>
      <c r="B2738" s="17"/>
      <c r="C2738" s="133"/>
      <c r="D2738" s="133"/>
      <c r="E2738" s="17"/>
      <c r="F2738" s="133"/>
      <c r="G2738" s="133"/>
      <c r="H2738" s="133"/>
      <c r="I2738" s="133"/>
      <c r="J2738" s="133"/>
      <c r="K2738" s="133"/>
      <c r="L2738" s="133"/>
      <c r="M2738" s="133"/>
      <c r="N2738" s="133"/>
      <c r="O2738" s="133"/>
      <c r="P2738" s="134"/>
      <c r="Q2738" s="146"/>
      <c r="R2738" s="17"/>
      <c r="S2738" s="17"/>
      <c r="T2738" s="75"/>
      <c r="U2738" s="75"/>
      <c r="V2738" s="75"/>
      <c r="W2738" s="75"/>
      <c r="X2738" s="75"/>
    </row>
    <row r="2739">
      <c r="A2739" s="17"/>
      <c r="B2739" s="17"/>
      <c r="C2739" s="133"/>
      <c r="D2739" s="133"/>
      <c r="E2739" s="17"/>
      <c r="F2739" s="133"/>
      <c r="G2739" s="133"/>
      <c r="H2739" s="133"/>
      <c r="I2739" s="133"/>
      <c r="J2739" s="133"/>
      <c r="K2739" s="133"/>
      <c r="L2739" s="133"/>
      <c r="M2739" s="133"/>
      <c r="N2739" s="133"/>
      <c r="O2739" s="133"/>
      <c r="P2739" s="134"/>
      <c r="Q2739" s="146"/>
      <c r="R2739" s="17"/>
      <c r="S2739" s="17"/>
      <c r="T2739" s="75"/>
      <c r="U2739" s="75"/>
      <c r="V2739" s="75"/>
      <c r="W2739" s="75"/>
      <c r="X2739" s="75"/>
    </row>
    <row r="2740">
      <c r="A2740" s="17"/>
      <c r="B2740" s="17"/>
      <c r="C2740" s="133"/>
      <c r="D2740" s="133"/>
      <c r="E2740" s="17"/>
      <c r="F2740" s="133"/>
      <c r="G2740" s="133"/>
      <c r="H2740" s="133"/>
      <c r="I2740" s="133"/>
      <c r="J2740" s="133"/>
      <c r="K2740" s="133"/>
      <c r="L2740" s="133"/>
      <c r="M2740" s="133"/>
      <c r="N2740" s="133"/>
      <c r="O2740" s="133"/>
      <c r="P2740" s="134"/>
      <c r="Q2740" s="146"/>
      <c r="R2740" s="17"/>
      <c r="S2740" s="17"/>
      <c r="T2740" s="75"/>
      <c r="U2740" s="75"/>
      <c r="V2740" s="75"/>
      <c r="W2740" s="75"/>
      <c r="X2740" s="75"/>
    </row>
    <row r="2741">
      <c r="A2741" s="17"/>
      <c r="B2741" s="17"/>
      <c r="C2741" s="133"/>
      <c r="D2741" s="133"/>
      <c r="E2741" s="17"/>
      <c r="F2741" s="133"/>
      <c r="G2741" s="133"/>
      <c r="H2741" s="133"/>
      <c r="I2741" s="133"/>
      <c r="J2741" s="133"/>
      <c r="K2741" s="133"/>
      <c r="L2741" s="133"/>
      <c r="M2741" s="133"/>
      <c r="N2741" s="133"/>
      <c r="O2741" s="133"/>
      <c r="P2741" s="134"/>
      <c r="Q2741" s="146"/>
      <c r="R2741" s="17"/>
      <c r="S2741" s="17"/>
      <c r="T2741" s="75"/>
      <c r="U2741" s="75"/>
      <c r="V2741" s="75"/>
      <c r="W2741" s="75"/>
      <c r="X2741" s="75"/>
    </row>
    <row r="2742">
      <c r="A2742" s="17"/>
      <c r="B2742" s="17"/>
      <c r="C2742" s="133"/>
      <c r="D2742" s="133"/>
      <c r="E2742" s="17"/>
      <c r="F2742" s="133"/>
      <c r="G2742" s="133"/>
      <c r="H2742" s="133"/>
      <c r="I2742" s="133"/>
      <c r="J2742" s="133"/>
      <c r="K2742" s="133"/>
      <c r="L2742" s="133"/>
      <c r="M2742" s="133"/>
      <c r="N2742" s="133"/>
      <c r="O2742" s="133"/>
      <c r="P2742" s="134"/>
      <c r="Q2742" s="146"/>
      <c r="R2742" s="17"/>
      <c r="S2742" s="17"/>
      <c r="T2742" s="75"/>
      <c r="U2742" s="75"/>
      <c r="V2742" s="75"/>
      <c r="W2742" s="75"/>
      <c r="X2742" s="75"/>
    </row>
    <row r="2743">
      <c r="A2743" s="17"/>
      <c r="B2743" s="17"/>
      <c r="C2743" s="133"/>
      <c r="D2743" s="133"/>
      <c r="E2743" s="17"/>
      <c r="F2743" s="133"/>
      <c r="G2743" s="133"/>
      <c r="H2743" s="133"/>
      <c r="I2743" s="133"/>
      <c r="J2743" s="133"/>
      <c r="K2743" s="133"/>
      <c r="L2743" s="133"/>
      <c r="M2743" s="133"/>
      <c r="N2743" s="133"/>
      <c r="O2743" s="133"/>
      <c r="P2743" s="134"/>
      <c r="Q2743" s="146"/>
      <c r="R2743" s="17"/>
      <c r="S2743" s="17"/>
      <c r="T2743" s="75"/>
      <c r="U2743" s="75"/>
      <c r="V2743" s="75"/>
      <c r="W2743" s="75"/>
      <c r="X2743" s="75"/>
    </row>
    <row r="2744">
      <c r="A2744" s="17"/>
      <c r="B2744" s="17"/>
      <c r="C2744" s="133"/>
      <c r="D2744" s="133"/>
      <c r="E2744" s="17"/>
      <c r="F2744" s="133"/>
      <c r="G2744" s="133"/>
      <c r="H2744" s="133"/>
      <c r="I2744" s="133"/>
      <c r="J2744" s="133"/>
      <c r="K2744" s="133"/>
      <c r="L2744" s="133"/>
      <c r="M2744" s="133"/>
      <c r="N2744" s="133"/>
      <c r="O2744" s="133"/>
      <c r="P2744" s="134"/>
      <c r="Q2744" s="146"/>
      <c r="R2744" s="17"/>
      <c r="S2744" s="17"/>
      <c r="T2744" s="75"/>
      <c r="U2744" s="75"/>
      <c r="V2744" s="75"/>
      <c r="W2744" s="75"/>
      <c r="X2744" s="75"/>
    </row>
    <row r="2745">
      <c r="A2745" s="17"/>
      <c r="B2745" s="17"/>
      <c r="C2745" s="133"/>
      <c r="D2745" s="133"/>
      <c r="E2745" s="17"/>
      <c r="F2745" s="133"/>
      <c r="G2745" s="133"/>
      <c r="H2745" s="133"/>
      <c r="I2745" s="133"/>
      <c r="J2745" s="133"/>
      <c r="K2745" s="133"/>
      <c r="L2745" s="133"/>
      <c r="M2745" s="133"/>
      <c r="N2745" s="133"/>
      <c r="O2745" s="133"/>
      <c r="P2745" s="134"/>
      <c r="Q2745" s="146"/>
      <c r="R2745" s="17"/>
      <c r="S2745" s="17"/>
      <c r="T2745" s="75"/>
      <c r="U2745" s="75"/>
      <c r="V2745" s="75"/>
      <c r="W2745" s="75"/>
      <c r="X2745" s="75"/>
    </row>
    <row r="2746">
      <c r="A2746" s="17"/>
      <c r="B2746" s="17"/>
      <c r="C2746" s="133"/>
      <c r="D2746" s="133"/>
      <c r="E2746" s="17"/>
      <c r="F2746" s="133"/>
      <c r="G2746" s="133"/>
      <c r="H2746" s="133"/>
      <c r="I2746" s="133"/>
      <c r="J2746" s="133"/>
      <c r="K2746" s="133"/>
      <c r="L2746" s="133"/>
      <c r="M2746" s="133"/>
      <c r="N2746" s="133"/>
      <c r="O2746" s="133"/>
      <c r="P2746" s="134"/>
      <c r="Q2746" s="146"/>
      <c r="R2746" s="17"/>
      <c r="S2746" s="17"/>
      <c r="T2746" s="75"/>
      <c r="U2746" s="75"/>
      <c r="V2746" s="75"/>
      <c r="W2746" s="75"/>
      <c r="X2746" s="75"/>
    </row>
    <row r="2747">
      <c r="A2747" s="17"/>
      <c r="B2747" s="17"/>
      <c r="C2747" s="133"/>
      <c r="D2747" s="133"/>
      <c r="E2747" s="17"/>
      <c r="F2747" s="133"/>
      <c r="G2747" s="133"/>
      <c r="H2747" s="133"/>
      <c r="I2747" s="133"/>
      <c r="J2747" s="133"/>
      <c r="K2747" s="133"/>
      <c r="L2747" s="133"/>
      <c r="M2747" s="133"/>
      <c r="N2747" s="133"/>
      <c r="O2747" s="133"/>
      <c r="P2747" s="134"/>
      <c r="Q2747" s="146"/>
      <c r="R2747" s="17"/>
      <c r="S2747" s="17"/>
      <c r="T2747" s="75"/>
      <c r="U2747" s="75"/>
      <c r="V2747" s="75"/>
      <c r="W2747" s="75"/>
      <c r="X2747" s="75"/>
    </row>
    <row r="2748">
      <c r="A2748" s="17"/>
      <c r="B2748" s="17"/>
      <c r="C2748" s="133"/>
      <c r="D2748" s="133"/>
      <c r="E2748" s="17"/>
      <c r="F2748" s="133"/>
      <c r="G2748" s="133"/>
      <c r="H2748" s="133"/>
      <c r="I2748" s="133"/>
      <c r="J2748" s="133"/>
      <c r="K2748" s="133"/>
      <c r="L2748" s="133"/>
      <c r="M2748" s="133"/>
      <c r="N2748" s="133"/>
      <c r="O2748" s="133"/>
      <c r="P2748" s="134"/>
      <c r="Q2748" s="146"/>
      <c r="R2748" s="17"/>
      <c r="S2748" s="17"/>
      <c r="T2748" s="75"/>
      <c r="U2748" s="75"/>
      <c r="V2748" s="75"/>
      <c r="W2748" s="75"/>
      <c r="X2748" s="75"/>
    </row>
    <row r="2749">
      <c r="A2749" s="17"/>
      <c r="B2749" s="17"/>
      <c r="C2749" s="133"/>
      <c r="D2749" s="133"/>
      <c r="E2749" s="17"/>
      <c r="F2749" s="133"/>
      <c r="G2749" s="133"/>
      <c r="H2749" s="133"/>
      <c r="I2749" s="133"/>
      <c r="J2749" s="133"/>
      <c r="K2749" s="133"/>
      <c r="L2749" s="133"/>
      <c r="M2749" s="133"/>
      <c r="N2749" s="133"/>
      <c r="O2749" s="133"/>
      <c r="P2749" s="134"/>
      <c r="Q2749" s="146"/>
      <c r="R2749" s="17"/>
      <c r="S2749" s="17"/>
      <c r="T2749" s="75"/>
      <c r="U2749" s="75"/>
      <c r="V2749" s="75"/>
      <c r="W2749" s="75"/>
      <c r="X2749" s="75"/>
    </row>
    <row r="2750">
      <c r="A2750" s="17"/>
      <c r="B2750" s="17"/>
      <c r="C2750" s="133"/>
      <c r="D2750" s="133"/>
      <c r="E2750" s="17"/>
      <c r="F2750" s="133"/>
      <c r="G2750" s="133"/>
      <c r="H2750" s="133"/>
      <c r="I2750" s="133"/>
      <c r="J2750" s="133"/>
      <c r="K2750" s="133"/>
      <c r="L2750" s="133"/>
      <c r="M2750" s="133"/>
      <c r="N2750" s="133"/>
      <c r="O2750" s="133"/>
      <c r="P2750" s="134"/>
      <c r="Q2750" s="146"/>
      <c r="R2750" s="17"/>
      <c r="S2750" s="17"/>
      <c r="T2750" s="75"/>
      <c r="U2750" s="75"/>
      <c r="V2750" s="75"/>
      <c r="W2750" s="75"/>
      <c r="X2750" s="75"/>
    </row>
    <row r="2751">
      <c r="A2751" s="17"/>
      <c r="B2751" s="17"/>
      <c r="C2751" s="133"/>
      <c r="D2751" s="133"/>
      <c r="E2751" s="17"/>
      <c r="F2751" s="133"/>
      <c r="G2751" s="133"/>
      <c r="H2751" s="133"/>
      <c r="I2751" s="133"/>
      <c r="J2751" s="133"/>
      <c r="K2751" s="133"/>
      <c r="L2751" s="133"/>
      <c r="M2751" s="133"/>
      <c r="N2751" s="133"/>
      <c r="O2751" s="133"/>
      <c r="P2751" s="134"/>
      <c r="Q2751" s="146"/>
      <c r="R2751" s="17"/>
      <c r="S2751" s="17"/>
      <c r="T2751" s="75"/>
      <c r="U2751" s="75"/>
      <c r="V2751" s="75"/>
      <c r="W2751" s="75"/>
      <c r="X2751" s="75"/>
    </row>
    <row r="2752">
      <c r="A2752" s="17"/>
      <c r="B2752" s="17"/>
      <c r="C2752" s="133"/>
      <c r="D2752" s="133"/>
      <c r="E2752" s="17"/>
      <c r="F2752" s="133"/>
      <c r="G2752" s="133"/>
      <c r="H2752" s="133"/>
      <c r="I2752" s="133"/>
      <c r="J2752" s="133"/>
      <c r="K2752" s="133"/>
      <c r="L2752" s="133"/>
      <c r="M2752" s="133"/>
      <c r="N2752" s="133"/>
      <c r="O2752" s="133"/>
      <c r="P2752" s="134"/>
      <c r="Q2752" s="146"/>
      <c r="R2752" s="17"/>
      <c r="S2752" s="17"/>
      <c r="T2752" s="75"/>
      <c r="U2752" s="75"/>
      <c r="V2752" s="75"/>
      <c r="W2752" s="75"/>
      <c r="X2752" s="75"/>
    </row>
    <row r="2753">
      <c r="A2753" s="17"/>
      <c r="B2753" s="17"/>
      <c r="C2753" s="133"/>
      <c r="D2753" s="133"/>
      <c r="E2753" s="17"/>
      <c r="F2753" s="133"/>
      <c r="G2753" s="133"/>
      <c r="H2753" s="133"/>
      <c r="I2753" s="133"/>
      <c r="J2753" s="133"/>
      <c r="K2753" s="133"/>
      <c r="L2753" s="133"/>
      <c r="M2753" s="133"/>
      <c r="N2753" s="133"/>
      <c r="O2753" s="133"/>
      <c r="P2753" s="134"/>
      <c r="Q2753" s="146"/>
      <c r="R2753" s="17"/>
      <c r="S2753" s="17"/>
      <c r="T2753" s="75"/>
      <c r="U2753" s="75"/>
      <c r="V2753" s="75"/>
      <c r="W2753" s="75"/>
      <c r="X2753" s="75"/>
    </row>
    <row r="2754">
      <c r="A2754" s="17"/>
      <c r="B2754" s="17"/>
      <c r="C2754" s="133"/>
      <c r="D2754" s="133"/>
      <c r="E2754" s="17"/>
      <c r="F2754" s="133"/>
      <c r="G2754" s="133"/>
      <c r="H2754" s="133"/>
      <c r="I2754" s="133"/>
      <c r="J2754" s="133"/>
      <c r="K2754" s="133"/>
      <c r="L2754" s="133"/>
      <c r="M2754" s="133"/>
      <c r="N2754" s="133"/>
      <c r="O2754" s="133"/>
      <c r="P2754" s="134"/>
      <c r="Q2754" s="146"/>
      <c r="R2754" s="17"/>
      <c r="S2754" s="17"/>
      <c r="T2754" s="75"/>
      <c r="U2754" s="75"/>
      <c r="V2754" s="75"/>
      <c r="W2754" s="75"/>
      <c r="X2754" s="75"/>
    </row>
    <row r="2755">
      <c r="A2755" s="17"/>
      <c r="B2755" s="17"/>
      <c r="C2755" s="133"/>
      <c r="D2755" s="133"/>
      <c r="E2755" s="17"/>
      <c r="F2755" s="133"/>
      <c r="G2755" s="133"/>
      <c r="H2755" s="133"/>
      <c r="I2755" s="133"/>
      <c r="J2755" s="133"/>
      <c r="K2755" s="133"/>
      <c r="L2755" s="133"/>
      <c r="M2755" s="133"/>
      <c r="N2755" s="133"/>
      <c r="O2755" s="133"/>
      <c r="P2755" s="134"/>
      <c r="Q2755" s="146"/>
      <c r="R2755" s="17"/>
      <c r="S2755" s="17"/>
      <c r="T2755" s="75"/>
      <c r="U2755" s="75"/>
      <c r="V2755" s="75"/>
      <c r="W2755" s="75"/>
      <c r="X2755" s="75"/>
    </row>
    <row r="2756">
      <c r="A2756" s="17"/>
      <c r="B2756" s="17"/>
      <c r="C2756" s="133"/>
      <c r="D2756" s="133"/>
      <c r="E2756" s="17"/>
      <c r="F2756" s="133"/>
      <c r="G2756" s="133"/>
      <c r="H2756" s="133"/>
      <c r="I2756" s="133"/>
      <c r="J2756" s="133"/>
      <c r="K2756" s="133"/>
      <c r="L2756" s="133"/>
      <c r="M2756" s="133"/>
      <c r="N2756" s="133"/>
      <c r="O2756" s="133"/>
      <c r="P2756" s="134"/>
      <c r="Q2756" s="146"/>
      <c r="R2756" s="17"/>
      <c r="S2756" s="17"/>
      <c r="T2756" s="75"/>
      <c r="U2756" s="75"/>
      <c r="V2756" s="75"/>
      <c r="W2756" s="75"/>
      <c r="X2756" s="75"/>
    </row>
    <row r="2757">
      <c r="A2757" s="17"/>
      <c r="B2757" s="17"/>
      <c r="C2757" s="133"/>
      <c r="D2757" s="133"/>
      <c r="E2757" s="17"/>
      <c r="F2757" s="133"/>
      <c r="G2757" s="133"/>
      <c r="H2757" s="133"/>
      <c r="I2757" s="133"/>
      <c r="J2757" s="133"/>
      <c r="K2757" s="133"/>
      <c r="L2757" s="133"/>
      <c r="M2757" s="133"/>
      <c r="N2757" s="133"/>
      <c r="O2757" s="133"/>
      <c r="P2757" s="134"/>
      <c r="Q2757" s="146"/>
      <c r="R2757" s="17"/>
      <c r="S2757" s="17"/>
      <c r="T2757" s="75"/>
      <c r="U2757" s="75"/>
      <c r="V2757" s="75"/>
      <c r="W2757" s="75"/>
      <c r="X2757" s="75"/>
    </row>
    <row r="2758">
      <c r="A2758" s="17"/>
      <c r="B2758" s="17"/>
      <c r="C2758" s="133"/>
      <c r="D2758" s="133"/>
      <c r="E2758" s="17"/>
      <c r="F2758" s="133"/>
      <c r="G2758" s="133"/>
      <c r="H2758" s="133"/>
      <c r="I2758" s="133"/>
      <c r="J2758" s="133"/>
      <c r="K2758" s="133"/>
      <c r="L2758" s="133"/>
      <c r="M2758" s="133"/>
      <c r="N2758" s="133"/>
      <c r="O2758" s="133"/>
      <c r="P2758" s="134"/>
      <c r="Q2758" s="146"/>
      <c r="R2758" s="17"/>
      <c r="S2758" s="17"/>
      <c r="T2758" s="75"/>
      <c r="U2758" s="75"/>
      <c r="V2758" s="75"/>
      <c r="W2758" s="75"/>
      <c r="X2758" s="75"/>
    </row>
    <row r="2759">
      <c r="A2759" s="17"/>
      <c r="B2759" s="17"/>
      <c r="C2759" s="133"/>
      <c r="D2759" s="133"/>
      <c r="E2759" s="17"/>
      <c r="F2759" s="133"/>
      <c r="G2759" s="133"/>
      <c r="H2759" s="133"/>
      <c r="I2759" s="133"/>
      <c r="J2759" s="133"/>
      <c r="K2759" s="133"/>
      <c r="L2759" s="133"/>
      <c r="M2759" s="133"/>
      <c r="N2759" s="133"/>
      <c r="O2759" s="133"/>
      <c r="P2759" s="134"/>
      <c r="Q2759" s="146"/>
      <c r="R2759" s="17"/>
      <c r="S2759" s="17"/>
      <c r="T2759" s="75"/>
      <c r="U2759" s="75"/>
      <c r="V2759" s="75"/>
      <c r="W2759" s="75"/>
      <c r="X2759" s="75"/>
    </row>
    <row r="2760">
      <c r="A2760" s="17"/>
      <c r="B2760" s="17"/>
      <c r="C2760" s="133"/>
      <c r="D2760" s="133"/>
      <c r="E2760" s="17"/>
      <c r="F2760" s="133"/>
      <c r="G2760" s="133"/>
      <c r="H2760" s="133"/>
      <c r="I2760" s="133"/>
      <c r="J2760" s="133"/>
      <c r="K2760" s="133"/>
      <c r="L2760" s="133"/>
      <c r="M2760" s="133"/>
      <c r="N2760" s="133"/>
      <c r="O2760" s="133"/>
      <c r="P2760" s="134"/>
      <c r="Q2760" s="146"/>
      <c r="R2760" s="17"/>
      <c r="S2760" s="17"/>
      <c r="T2760" s="75"/>
      <c r="U2760" s="75"/>
      <c r="V2760" s="75"/>
      <c r="W2760" s="75"/>
      <c r="X2760" s="75"/>
    </row>
    <row r="2761">
      <c r="A2761" s="17"/>
      <c r="B2761" s="17"/>
      <c r="C2761" s="133"/>
      <c r="D2761" s="133"/>
      <c r="E2761" s="17"/>
      <c r="F2761" s="133"/>
      <c r="G2761" s="133"/>
      <c r="H2761" s="133"/>
      <c r="I2761" s="133"/>
      <c r="J2761" s="133"/>
      <c r="K2761" s="133"/>
      <c r="L2761" s="133"/>
      <c r="M2761" s="133"/>
      <c r="N2761" s="133"/>
      <c r="O2761" s="133"/>
      <c r="P2761" s="134"/>
      <c r="Q2761" s="146"/>
      <c r="R2761" s="17"/>
      <c r="S2761" s="17"/>
      <c r="T2761" s="75"/>
      <c r="U2761" s="75"/>
      <c r="V2761" s="75"/>
      <c r="W2761" s="75"/>
      <c r="X2761" s="75"/>
    </row>
    <row r="2762">
      <c r="A2762" s="17"/>
      <c r="B2762" s="17"/>
      <c r="C2762" s="133"/>
      <c r="D2762" s="133"/>
      <c r="E2762" s="17"/>
      <c r="F2762" s="133"/>
      <c r="G2762" s="133"/>
      <c r="H2762" s="133"/>
      <c r="I2762" s="133"/>
      <c r="J2762" s="133"/>
      <c r="K2762" s="133"/>
      <c r="L2762" s="133"/>
      <c r="M2762" s="133"/>
      <c r="N2762" s="133"/>
      <c r="O2762" s="133"/>
      <c r="P2762" s="134"/>
      <c r="Q2762" s="146"/>
      <c r="R2762" s="17"/>
      <c r="S2762" s="17"/>
      <c r="T2762" s="75"/>
      <c r="U2762" s="75"/>
      <c r="V2762" s="75"/>
      <c r="W2762" s="75"/>
      <c r="X2762" s="75"/>
    </row>
    <row r="2763">
      <c r="A2763" s="17"/>
      <c r="B2763" s="17"/>
      <c r="C2763" s="133"/>
      <c r="D2763" s="133"/>
      <c r="E2763" s="17"/>
      <c r="F2763" s="133"/>
      <c r="G2763" s="133"/>
      <c r="H2763" s="133"/>
      <c r="I2763" s="133"/>
      <c r="J2763" s="133"/>
      <c r="K2763" s="133"/>
      <c r="L2763" s="133"/>
      <c r="M2763" s="133"/>
      <c r="N2763" s="133"/>
      <c r="O2763" s="133"/>
      <c r="P2763" s="134"/>
      <c r="Q2763" s="146"/>
      <c r="R2763" s="17"/>
      <c r="S2763" s="17"/>
      <c r="T2763" s="75"/>
      <c r="U2763" s="75"/>
      <c r="V2763" s="75"/>
      <c r="W2763" s="75"/>
      <c r="X2763" s="75"/>
    </row>
    <row r="2764">
      <c r="A2764" s="17"/>
      <c r="B2764" s="17"/>
      <c r="C2764" s="133"/>
      <c r="D2764" s="133"/>
      <c r="E2764" s="17"/>
      <c r="F2764" s="133"/>
      <c r="G2764" s="133"/>
      <c r="H2764" s="133"/>
      <c r="I2764" s="133"/>
      <c r="J2764" s="133"/>
      <c r="K2764" s="133"/>
      <c r="L2764" s="133"/>
      <c r="M2764" s="133"/>
      <c r="N2764" s="133"/>
      <c r="O2764" s="133"/>
      <c r="P2764" s="134"/>
      <c r="Q2764" s="146"/>
      <c r="R2764" s="17"/>
      <c r="S2764" s="17"/>
      <c r="T2764" s="75"/>
      <c r="U2764" s="75"/>
      <c r="V2764" s="75"/>
      <c r="W2764" s="75"/>
      <c r="X2764" s="75"/>
    </row>
    <row r="2765">
      <c r="A2765" s="17"/>
      <c r="B2765" s="17"/>
      <c r="C2765" s="133"/>
      <c r="D2765" s="133"/>
      <c r="E2765" s="17"/>
      <c r="F2765" s="133"/>
      <c r="G2765" s="133"/>
      <c r="H2765" s="133"/>
      <c r="I2765" s="133"/>
      <c r="J2765" s="133"/>
      <c r="K2765" s="133"/>
      <c r="L2765" s="133"/>
      <c r="M2765" s="133"/>
      <c r="N2765" s="133"/>
      <c r="O2765" s="133"/>
      <c r="P2765" s="134"/>
      <c r="Q2765" s="146"/>
      <c r="R2765" s="17"/>
      <c r="S2765" s="17"/>
      <c r="T2765" s="75"/>
      <c r="U2765" s="75"/>
      <c r="V2765" s="75"/>
      <c r="W2765" s="75"/>
      <c r="X2765" s="75"/>
    </row>
    <row r="2766">
      <c r="A2766" s="17"/>
      <c r="B2766" s="17"/>
      <c r="C2766" s="133"/>
      <c r="D2766" s="133"/>
      <c r="E2766" s="17"/>
      <c r="F2766" s="133"/>
      <c r="G2766" s="133"/>
      <c r="H2766" s="133"/>
      <c r="I2766" s="133"/>
      <c r="J2766" s="133"/>
      <c r="K2766" s="133"/>
      <c r="L2766" s="133"/>
      <c r="M2766" s="133"/>
      <c r="N2766" s="133"/>
      <c r="O2766" s="133"/>
      <c r="P2766" s="134"/>
      <c r="Q2766" s="146"/>
      <c r="R2766" s="17"/>
      <c r="S2766" s="17"/>
      <c r="T2766" s="75"/>
      <c r="U2766" s="75"/>
      <c r="V2766" s="75"/>
      <c r="W2766" s="75"/>
      <c r="X2766" s="75"/>
    </row>
    <row r="2767">
      <c r="A2767" s="17"/>
      <c r="B2767" s="17"/>
      <c r="C2767" s="133"/>
      <c r="D2767" s="133"/>
      <c r="E2767" s="17"/>
      <c r="F2767" s="133"/>
      <c r="G2767" s="133"/>
      <c r="H2767" s="133"/>
      <c r="I2767" s="133"/>
      <c r="J2767" s="133"/>
      <c r="K2767" s="133"/>
      <c r="L2767" s="133"/>
      <c r="M2767" s="133"/>
      <c r="N2767" s="133"/>
      <c r="O2767" s="133"/>
      <c r="P2767" s="134"/>
      <c r="Q2767" s="146"/>
      <c r="R2767" s="17"/>
      <c r="S2767" s="17"/>
      <c r="T2767" s="75"/>
      <c r="U2767" s="75"/>
      <c r="V2767" s="75"/>
      <c r="W2767" s="75"/>
      <c r="X2767" s="75"/>
    </row>
    <row r="2768">
      <c r="A2768" s="17"/>
      <c r="B2768" s="17"/>
      <c r="C2768" s="133"/>
      <c r="D2768" s="133"/>
      <c r="E2768" s="17"/>
      <c r="F2768" s="133"/>
      <c r="G2768" s="133"/>
      <c r="H2768" s="133"/>
      <c r="I2768" s="133"/>
      <c r="J2768" s="133"/>
      <c r="K2768" s="133"/>
      <c r="L2768" s="133"/>
      <c r="M2768" s="133"/>
      <c r="N2768" s="133"/>
      <c r="O2768" s="133"/>
      <c r="P2768" s="134"/>
      <c r="Q2768" s="146"/>
      <c r="R2768" s="17"/>
      <c r="S2768" s="17"/>
      <c r="T2768" s="75"/>
      <c r="U2768" s="75"/>
      <c r="V2768" s="75"/>
      <c r="W2768" s="75"/>
      <c r="X2768" s="75"/>
    </row>
    <row r="2769">
      <c r="A2769" s="17"/>
      <c r="B2769" s="17"/>
      <c r="C2769" s="133"/>
      <c r="D2769" s="133"/>
      <c r="E2769" s="17"/>
      <c r="F2769" s="133"/>
      <c r="G2769" s="133"/>
      <c r="H2769" s="133"/>
      <c r="I2769" s="133"/>
      <c r="J2769" s="133"/>
      <c r="K2769" s="133"/>
      <c r="L2769" s="133"/>
      <c r="M2769" s="133"/>
      <c r="N2769" s="133"/>
      <c r="O2769" s="133"/>
      <c r="P2769" s="134"/>
      <c r="Q2769" s="146"/>
      <c r="R2769" s="17"/>
      <c r="S2769" s="17"/>
      <c r="T2769" s="75"/>
      <c r="U2769" s="75"/>
      <c r="V2769" s="75"/>
      <c r="W2769" s="75"/>
      <c r="X2769" s="75"/>
    </row>
    <row r="2770">
      <c r="A2770" s="17"/>
      <c r="B2770" s="17"/>
      <c r="C2770" s="133"/>
      <c r="D2770" s="133"/>
      <c r="E2770" s="17"/>
      <c r="F2770" s="133"/>
      <c r="G2770" s="133"/>
      <c r="H2770" s="133"/>
      <c r="I2770" s="133"/>
      <c r="J2770" s="133"/>
      <c r="K2770" s="133"/>
      <c r="L2770" s="133"/>
      <c r="M2770" s="133"/>
      <c r="N2770" s="133"/>
      <c r="O2770" s="133"/>
      <c r="P2770" s="134"/>
      <c r="Q2770" s="146"/>
      <c r="R2770" s="17"/>
      <c r="S2770" s="17"/>
      <c r="T2770" s="75"/>
      <c r="U2770" s="75"/>
      <c r="V2770" s="75"/>
      <c r="W2770" s="75"/>
      <c r="X2770" s="75"/>
    </row>
    <row r="2771">
      <c r="A2771" s="17"/>
      <c r="B2771" s="17"/>
      <c r="C2771" s="133"/>
      <c r="D2771" s="133"/>
      <c r="E2771" s="17"/>
      <c r="F2771" s="133"/>
      <c r="G2771" s="133"/>
      <c r="H2771" s="133"/>
      <c r="I2771" s="133"/>
      <c r="J2771" s="133"/>
      <c r="K2771" s="133"/>
      <c r="L2771" s="133"/>
      <c r="M2771" s="133"/>
      <c r="N2771" s="133"/>
      <c r="O2771" s="133"/>
      <c r="P2771" s="134"/>
      <c r="Q2771" s="146"/>
      <c r="R2771" s="17"/>
      <c r="S2771" s="17"/>
      <c r="T2771" s="75"/>
      <c r="U2771" s="75"/>
      <c r="V2771" s="75"/>
      <c r="W2771" s="75"/>
      <c r="X2771" s="75"/>
    </row>
    <row r="2772">
      <c r="A2772" s="17"/>
      <c r="B2772" s="17"/>
      <c r="C2772" s="133"/>
      <c r="D2772" s="133"/>
      <c r="E2772" s="17"/>
      <c r="F2772" s="133"/>
      <c r="G2772" s="133"/>
      <c r="H2772" s="133"/>
      <c r="I2772" s="133"/>
      <c r="J2772" s="133"/>
      <c r="K2772" s="133"/>
      <c r="L2772" s="133"/>
      <c r="M2772" s="133"/>
      <c r="N2772" s="133"/>
      <c r="O2772" s="133"/>
      <c r="P2772" s="134"/>
      <c r="Q2772" s="146"/>
      <c r="R2772" s="17"/>
      <c r="S2772" s="17"/>
      <c r="T2772" s="75"/>
      <c r="U2772" s="75"/>
      <c r="V2772" s="75"/>
      <c r="W2772" s="75"/>
      <c r="X2772" s="75"/>
    </row>
    <row r="2773">
      <c r="A2773" s="17"/>
      <c r="B2773" s="17"/>
      <c r="C2773" s="133"/>
      <c r="D2773" s="133"/>
      <c r="E2773" s="17"/>
      <c r="F2773" s="133"/>
      <c r="G2773" s="133"/>
      <c r="H2773" s="133"/>
      <c r="I2773" s="133"/>
      <c r="J2773" s="133"/>
      <c r="K2773" s="133"/>
      <c r="L2773" s="133"/>
      <c r="M2773" s="133"/>
      <c r="N2773" s="133"/>
      <c r="O2773" s="133"/>
      <c r="P2773" s="134"/>
      <c r="Q2773" s="146"/>
      <c r="R2773" s="17"/>
      <c r="S2773" s="17"/>
      <c r="T2773" s="75"/>
      <c r="U2773" s="75"/>
      <c r="V2773" s="75"/>
      <c r="W2773" s="75"/>
      <c r="X2773" s="75"/>
    </row>
    <row r="2774">
      <c r="A2774" s="17"/>
      <c r="B2774" s="17"/>
      <c r="C2774" s="133"/>
      <c r="D2774" s="133"/>
      <c r="E2774" s="17"/>
      <c r="F2774" s="133"/>
      <c r="G2774" s="133"/>
      <c r="H2774" s="133"/>
      <c r="I2774" s="133"/>
      <c r="J2774" s="133"/>
      <c r="K2774" s="133"/>
      <c r="L2774" s="133"/>
      <c r="M2774" s="133"/>
      <c r="N2774" s="133"/>
      <c r="O2774" s="133"/>
      <c r="P2774" s="134"/>
      <c r="Q2774" s="146"/>
      <c r="R2774" s="17"/>
      <c r="S2774" s="17"/>
      <c r="T2774" s="75"/>
      <c r="U2774" s="75"/>
      <c r="V2774" s="75"/>
      <c r="W2774" s="75"/>
      <c r="X2774" s="75"/>
    </row>
    <row r="2775">
      <c r="A2775" s="17"/>
      <c r="B2775" s="17"/>
      <c r="C2775" s="133"/>
      <c r="D2775" s="133"/>
      <c r="E2775" s="17"/>
      <c r="F2775" s="133"/>
      <c r="G2775" s="133"/>
      <c r="H2775" s="133"/>
      <c r="I2775" s="133"/>
      <c r="J2775" s="133"/>
      <c r="K2775" s="133"/>
      <c r="L2775" s="133"/>
      <c r="M2775" s="133"/>
      <c r="N2775" s="133"/>
      <c r="O2775" s="133"/>
      <c r="P2775" s="134"/>
      <c r="Q2775" s="146"/>
      <c r="R2775" s="17"/>
      <c r="S2775" s="17"/>
      <c r="T2775" s="75"/>
      <c r="U2775" s="75"/>
      <c r="V2775" s="75"/>
      <c r="W2775" s="75"/>
      <c r="X2775" s="75"/>
    </row>
    <row r="2776">
      <c r="A2776" s="17"/>
      <c r="B2776" s="17"/>
      <c r="C2776" s="133"/>
      <c r="D2776" s="133"/>
      <c r="E2776" s="17"/>
      <c r="F2776" s="133"/>
      <c r="G2776" s="133"/>
      <c r="H2776" s="133"/>
      <c r="I2776" s="133"/>
      <c r="J2776" s="133"/>
      <c r="K2776" s="133"/>
      <c r="L2776" s="133"/>
      <c r="M2776" s="133"/>
      <c r="N2776" s="133"/>
      <c r="O2776" s="133"/>
      <c r="P2776" s="134"/>
      <c r="Q2776" s="146"/>
      <c r="R2776" s="17"/>
      <c r="S2776" s="17"/>
      <c r="T2776" s="75"/>
      <c r="U2776" s="75"/>
      <c r="V2776" s="75"/>
      <c r="W2776" s="75"/>
      <c r="X2776" s="75"/>
    </row>
    <row r="2777">
      <c r="A2777" s="17"/>
      <c r="B2777" s="17"/>
      <c r="C2777" s="133"/>
      <c r="D2777" s="133"/>
      <c r="E2777" s="17"/>
      <c r="F2777" s="133"/>
      <c r="G2777" s="133"/>
      <c r="H2777" s="133"/>
      <c r="I2777" s="133"/>
      <c r="J2777" s="133"/>
      <c r="K2777" s="133"/>
      <c r="L2777" s="133"/>
      <c r="M2777" s="133"/>
      <c r="N2777" s="133"/>
      <c r="O2777" s="133"/>
      <c r="P2777" s="134"/>
      <c r="Q2777" s="146"/>
      <c r="R2777" s="17"/>
      <c r="S2777" s="17"/>
      <c r="T2777" s="75"/>
      <c r="U2777" s="75"/>
      <c r="V2777" s="75"/>
      <c r="W2777" s="75"/>
      <c r="X2777" s="75"/>
    </row>
    <row r="2778">
      <c r="A2778" s="17"/>
      <c r="B2778" s="17"/>
      <c r="C2778" s="133"/>
      <c r="D2778" s="133"/>
      <c r="E2778" s="17"/>
      <c r="F2778" s="133"/>
      <c r="G2778" s="133"/>
      <c r="H2778" s="133"/>
      <c r="I2778" s="133"/>
      <c r="J2778" s="133"/>
      <c r="K2778" s="133"/>
      <c r="L2778" s="133"/>
      <c r="M2778" s="133"/>
      <c r="N2778" s="133"/>
      <c r="O2778" s="133"/>
      <c r="P2778" s="134"/>
      <c r="Q2778" s="146"/>
      <c r="R2778" s="17"/>
      <c r="S2778" s="17"/>
      <c r="T2778" s="75"/>
      <c r="U2778" s="75"/>
      <c r="V2778" s="75"/>
      <c r="W2778" s="75"/>
      <c r="X2778" s="75"/>
    </row>
    <row r="2779">
      <c r="A2779" s="17"/>
      <c r="B2779" s="17"/>
      <c r="C2779" s="133"/>
      <c r="D2779" s="133"/>
      <c r="E2779" s="17"/>
      <c r="F2779" s="133"/>
      <c r="G2779" s="133"/>
      <c r="H2779" s="133"/>
      <c r="I2779" s="133"/>
      <c r="J2779" s="133"/>
      <c r="K2779" s="133"/>
      <c r="L2779" s="133"/>
      <c r="M2779" s="133"/>
      <c r="N2779" s="133"/>
      <c r="O2779" s="133"/>
      <c r="P2779" s="134"/>
      <c r="Q2779" s="146"/>
      <c r="R2779" s="17"/>
      <c r="S2779" s="17"/>
      <c r="T2779" s="75"/>
      <c r="U2779" s="75"/>
      <c r="V2779" s="75"/>
      <c r="W2779" s="75"/>
      <c r="X2779" s="75"/>
    </row>
    <row r="2780">
      <c r="A2780" s="17"/>
      <c r="B2780" s="17"/>
      <c r="C2780" s="133"/>
      <c r="D2780" s="133"/>
      <c r="E2780" s="17"/>
      <c r="F2780" s="133"/>
      <c r="G2780" s="133"/>
      <c r="H2780" s="133"/>
      <c r="I2780" s="133"/>
      <c r="J2780" s="133"/>
      <c r="K2780" s="133"/>
      <c r="L2780" s="133"/>
      <c r="M2780" s="133"/>
      <c r="N2780" s="133"/>
      <c r="O2780" s="133"/>
      <c r="P2780" s="134"/>
      <c r="Q2780" s="146"/>
      <c r="R2780" s="17"/>
      <c r="S2780" s="17"/>
      <c r="T2780" s="75"/>
      <c r="U2780" s="75"/>
      <c r="V2780" s="75"/>
      <c r="W2780" s="75"/>
      <c r="X2780" s="75"/>
    </row>
    <row r="2781">
      <c r="A2781" s="17"/>
      <c r="B2781" s="17"/>
      <c r="C2781" s="133"/>
      <c r="D2781" s="133"/>
      <c r="E2781" s="17"/>
      <c r="F2781" s="133"/>
      <c r="G2781" s="133"/>
      <c r="H2781" s="133"/>
      <c r="I2781" s="133"/>
      <c r="J2781" s="133"/>
      <c r="K2781" s="133"/>
      <c r="L2781" s="133"/>
      <c r="M2781" s="133"/>
      <c r="N2781" s="133"/>
      <c r="O2781" s="133"/>
      <c r="P2781" s="134"/>
      <c r="Q2781" s="146"/>
      <c r="R2781" s="17"/>
      <c r="S2781" s="17"/>
      <c r="T2781" s="75"/>
      <c r="U2781" s="75"/>
      <c r="V2781" s="75"/>
      <c r="W2781" s="75"/>
      <c r="X2781" s="75"/>
    </row>
    <row r="2782">
      <c r="A2782" s="17"/>
      <c r="B2782" s="17"/>
      <c r="C2782" s="133"/>
      <c r="D2782" s="133"/>
      <c r="E2782" s="17"/>
      <c r="F2782" s="133"/>
      <c r="G2782" s="133"/>
      <c r="H2782" s="133"/>
      <c r="I2782" s="133"/>
      <c r="J2782" s="133"/>
      <c r="K2782" s="133"/>
      <c r="L2782" s="133"/>
      <c r="M2782" s="133"/>
      <c r="N2782" s="133"/>
      <c r="O2782" s="133"/>
      <c r="P2782" s="134"/>
      <c r="Q2782" s="146"/>
      <c r="R2782" s="17"/>
      <c r="S2782" s="17"/>
      <c r="T2782" s="75"/>
      <c r="U2782" s="75"/>
      <c r="V2782" s="75"/>
      <c r="W2782" s="75"/>
      <c r="X2782" s="75"/>
    </row>
    <row r="2783">
      <c r="A2783" s="17"/>
      <c r="B2783" s="17"/>
      <c r="C2783" s="133"/>
      <c r="D2783" s="133"/>
      <c r="E2783" s="17"/>
      <c r="F2783" s="133"/>
      <c r="G2783" s="133"/>
      <c r="H2783" s="133"/>
      <c r="I2783" s="133"/>
      <c r="J2783" s="133"/>
      <c r="K2783" s="133"/>
      <c r="L2783" s="133"/>
      <c r="M2783" s="133"/>
      <c r="N2783" s="133"/>
      <c r="O2783" s="133"/>
      <c r="P2783" s="134"/>
      <c r="Q2783" s="146"/>
      <c r="R2783" s="17"/>
      <c r="S2783" s="17"/>
      <c r="T2783" s="75"/>
      <c r="U2783" s="75"/>
      <c r="V2783" s="75"/>
      <c r="W2783" s="75"/>
      <c r="X2783" s="75"/>
    </row>
    <row r="2784">
      <c r="A2784" s="17"/>
      <c r="B2784" s="17"/>
      <c r="C2784" s="133"/>
      <c r="D2784" s="133"/>
      <c r="E2784" s="17"/>
      <c r="F2784" s="133"/>
      <c r="G2784" s="133"/>
      <c r="H2784" s="133"/>
      <c r="I2784" s="133"/>
      <c r="J2784" s="133"/>
      <c r="K2784" s="133"/>
      <c r="L2784" s="133"/>
      <c r="M2784" s="133"/>
      <c r="N2784" s="133"/>
      <c r="O2784" s="133"/>
      <c r="P2784" s="134"/>
      <c r="Q2784" s="146"/>
      <c r="R2784" s="17"/>
      <c r="S2784" s="17"/>
      <c r="T2784" s="75"/>
      <c r="U2784" s="75"/>
      <c r="V2784" s="75"/>
      <c r="W2784" s="75"/>
      <c r="X2784" s="75"/>
    </row>
    <row r="2785">
      <c r="A2785" s="17"/>
      <c r="B2785" s="17"/>
      <c r="C2785" s="133"/>
      <c r="D2785" s="133"/>
      <c r="E2785" s="17"/>
      <c r="F2785" s="133"/>
      <c r="G2785" s="133"/>
      <c r="H2785" s="133"/>
      <c r="I2785" s="133"/>
      <c r="J2785" s="133"/>
      <c r="K2785" s="133"/>
      <c r="L2785" s="133"/>
      <c r="M2785" s="133"/>
      <c r="N2785" s="133"/>
      <c r="O2785" s="133"/>
      <c r="P2785" s="134"/>
      <c r="Q2785" s="146"/>
      <c r="R2785" s="17"/>
      <c r="S2785" s="17"/>
      <c r="T2785" s="75"/>
      <c r="U2785" s="75"/>
      <c r="V2785" s="75"/>
      <c r="W2785" s="75"/>
      <c r="X2785" s="75"/>
    </row>
    <row r="2786">
      <c r="A2786" s="17"/>
      <c r="B2786" s="17"/>
      <c r="C2786" s="133"/>
      <c r="D2786" s="133"/>
      <c r="E2786" s="17"/>
      <c r="F2786" s="133"/>
      <c r="G2786" s="133"/>
      <c r="H2786" s="133"/>
      <c r="I2786" s="133"/>
      <c r="J2786" s="133"/>
      <c r="K2786" s="133"/>
      <c r="L2786" s="133"/>
      <c r="M2786" s="133"/>
      <c r="N2786" s="133"/>
      <c r="O2786" s="133"/>
      <c r="P2786" s="134"/>
      <c r="Q2786" s="146"/>
      <c r="R2786" s="17"/>
      <c r="S2786" s="17"/>
      <c r="T2786" s="75"/>
      <c r="U2786" s="75"/>
      <c r="V2786" s="75"/>
      <c r="W2786" s="75"/>
      <c r="X2786" s="75"/>
    </row>
    <row r="2787">
      <c r="A2787" s="17"/>
      <c r="B2787" s="17"/>
      <c r="C2787" s="133"/>
      <c r="D2787" s="133"/>
      <c r="E2787" s="17"/>
      <c r="F2787" s="133"/>
      <c r="G2787" s="133"/>
      <c r="H2787" s="133"/>
      <c r="I2787" s="133"/>
      <c r="J2787" s="133"/>
      <c r="K2787" s="133"/>
      <c r="L2787" s="133"/>
      <c r="M2787" s="133"/>
      <c r="N2787" s="133"/>
      <c r="O2787" s="133"/>
      <c r="P2787" s="134"/>
      <c r="Q2787" s="146"/>
      <c r="R2787" s="17"/>
      <c r="S2787" s="17"/>
      <c r="T2787" s="75"/>
      <c r="U2787" s="75"/>
      <c r="V2787" s="75"/>
      <c r="W2787" s="75"/>
      <c r="X2787" s="75"/>
    </row>
    <row r="2788">
      <c r="A2788" s="17"/>
      <c r="B2788" s="17"/>
      <c r="C2788" s="133"/>
      <c r="D2788" s="133"/>
      <c r="E2788" s="17"/>
      <c r="F2788" s="133"/>
      <c r="G2788" s="133"/>
      <c r="H2788" s="133"/>
      <c r="I2788" s="133"/>
      <c r="J2788" s="133"/>
      <c r="K2788" s="133"/>
      <c r="L2788" s="133"/>
      <c r="M2788" s="133"/>
      <c r="N2788" s="133"/>
      <c r="O2788" s="133"/>
      <c r="P2788" s="134"/>
      <c r="Q2788" s="146"/>
      <c r="R2788" s="17"/>
      <c r="S2788" s="17"/>
      <c r="T2788" s="75"/>
      <c r="U2788" s="75"/>
      <c r="V2788" s="75"/>
      <c r="W2788" s="75"/>
      <c r="X2788" s="75"/>
    </row>
    <row r="2789">
      <c r="A2789" s="17"/>
      <c r="B2789" s="17"/>
      <c r="C2789" s="133"/>
      <c r="D2789" s="133"/>
      <c r="E2789" s="17"/>
      <c r="F2789" s="133"/>
      <c r="G2789" s="133"/>
      <c r="H2789" s="133"/>
      <c r="I2789" s="133"/>
      <c r="J2789" s="133"/>
      <c r="K2789" s="133"/>
      <c r="L2789" s="133"/>
      <c r="M2789" s="133"/>
      <c r="N2789" s="133"/>
      <c r="O2789" s="133"/>
      <c r="P2789" s="134"/>
      <c r="Q2789" s="146"/>
      <c r="R2789" s="17"/>
      <c r="S2789" s="17"/>
      <c r="T2789" s="75"/>
      <c r="U2789" s="75"/>
      <c r="V2789" s="75"/>
      <c r="W2789" s="75"/>
      <c r="X2789" s="75"/>
    </row>
    <row r="2790">
      <c r="A2790" s="17"/>
      <c r="B2790" s="17"/>
      <c r="C2790" s="133"/>
      <c r="D2790" s="133"/>
      <c r="E2790" s="17"/>
      <c r="F2790" s="133"/>
      <c r="G2790" s="133"/>
      <c r="H2790" s="133"/>
      <c r="I2790" s="133"/>
      <c r="J2790" s="133"/>
      <c r="K2790" s="133"/>
      <c r="L2790" s="133"/>
      <c r="M2790" s="133"/>
      <c r="N2790" s="133"/>
      <c r="O2790" s="133"/>
      <c r="P2790" s="134"/>
      <c r="Q2790" s="146"/>
      <c r="R2790" s="17"/>
      <c r="S2790" s="17"/>
      <c r="T2790" s="75"/>
      <c r="U2790" s="75"/>
      <c r="V2790" s="75"/>
      <c r="W2790" s="75"/>
      <c r="X2790" s="75"/>
    </row>
    <row r="2791">
      <c r="A2791" s="17"/>
      <c r="B2791" s="17"/>
      <c r="C2791" s="133"/>
      <c r="D2791" s="133"/>
      <c r="E2791" s="17"/>
      <c r="F2791" s="133"/>
      <c r="G2791" s="133"/>
      <c r="H2791" s="133"/>
      <c r="I2791" s="133"/>
      <c r="J2791" s="133"/>
      <c r="K2791" s="133"/>
      <c r="L2791" s="133"/>
      <c r="M2791" s="133"/>
      <c r="N2791" s="133"/>
      <c r="O2791" s="133"/>
      <c r="P2791" s="134"/>
      <c r="Q2791" s="146"/>
      <c r="R2791" s="17"/>
      <c r="S2791" s="17"/>
      <c r="T2791" s="75"/>
      <c r="U2791" s="75"/>
      <c r="V2791" s="75"/>
      <c r="W2791" s="75"/>
      <c r="X2791" s="75"/>
    </row>
    <row r="2792">
      <c r="A2792" s="17"/>
      <c r="B2792" s="17"/>
      <c r="C2792" s="133"/>
      <c r="D2792" s="133"/>
      <c r="E2792" s="17"/>
      <c r="F2792" s="133"/>
      <c r="G2792" s="133"/>
      <c r="H2792" s="133"/>
      <c r="I2792" s="133"/>
      <c r="J2792" s="133"/>
      <c r="K2792" s="133"/>
      <c r="L2792" s="133"/>
      <c r="M2792" s="133"/>
      <c r="N2792" s="133"/>
      <c r="O2792" s="133"/>
      <c r="P2792" s="134"/>
      <c r="Q2792" s="146"/>
      <c r="R2792" s="17"/>
      <c r="S2792" s="17"/>
      <c r="T2792" s="75"/>
      <c r="U2792" s="75"/>
      <c r="V2792" s="75"/>
      <c r="W2792" s="75"/>
      <c r="X2792" s="75"/>
    </row>
    <row r="2793">
      <c r="A2793" s="17"/>
      <c r="B2793" s="17"/>
      <c r="C2793" s="133"/>
      <c r="D2793" s="133"/>
      <c r="E2793" s="17"/>
      <c r="F2793" s="133"/>
      <c r="G2793" s="133"/>
      <c r="H2793" s="133"/>
      <c r="I2793" s="133"/>
      <c r="J2793" s="133"/>
      <c r="K2793" s="133"/>
      <c r="L2793" s="133"/>
      <c r="M2793" s="133"/>
      <c r="N2793" s="133"/>
      <c r="O2793" s="133"/>
      <c r="P2793" s="134"/>
      <c r="Q2793" s="146"/>
      <c r="R2793" s="17"/>
      <c r="S2793" s="17"/>
      <c r="T2793" s="75"/>
      <c r="U2793" s="75"/>
      <c r="V2793" s="75"/>
      <c r="W2793" s="75"/>
      <c r="X2793" s="75"/>
    </row>
    <row r="2794">
      <c r="A2794" s="17"/>
      <c r="B2794" s="17"/>
      <c r="C2794" s="133"/>
      <c r="D2794" s="133"/>
      <c r="E2794" s="17"/>
      <c r="F2794" s="133"/>
      <c r="G2794" s="133"/>
      <c r="H2794" s="133"/>
      <c r="I2794" s="133"/>
      <c r="J2794" s="133"/>
      <c r="K2794" s="133"/>
      <c r="L2794" s="133"/>
      <c r="M2794" s="133"/>
      <c r="N2794" s="133"/>
      <c r="O2794" s="133"/>
      <c r="P2794" s="134"/>
      <c r="Q2794" s="146"/>
      <c r="R2794" s="17"/>
      <c r="S2794" s="17"/>
      <c r="T2794" s="75"/>
      <c r="U2794" s="75"/>
      <c r="V2794" s="75"/>
      <c r="W2794" s="75"/>
      <c r="X2794" s="75"/>
    </row>
    <row r="2795">
      <c r="A2795" s="17"/>
      <c r="B2795" s="17"/>
      <c r="C2795" s="133"/>
      <c r="D2795" s="133"/>
      <c r="E2795" s="17"/>
      <c r="F2795" s="133"/>
      <c r="G2795" s="133"/>
      <c r="H2795" s="133"/>
      <c r="I2795" s="133"/>
      <c r="J2795" s="133"/>
      <c r="K2795" s="133"/>
      <c r="L2795" s="133"/>
      <c r="M2795" s="133"/>
      <c r="N2795" s="133"/>
      <c r="O2795" s="133"/>
      <c r="P2795" s="134"/>
      <c r="Q2795" s="146"/>
      <c r="R2795" s="17"/>
      <c r="S2795" s="17"/>
      <c r="T2795" s="75"/>
      <c r="U2795" s="75"/>
      <c r="V2795" s="75"/>
      <c r="W2795" s="75"/>
      <c r="X2795" s="75"/>
    </row>
    <row r="2796">
      <c r="A2796" s="17"/>
      <c r="B2796" s="17"/>
      <c r="C2796" s="133"/>
      <c r="D2796" s="133"/>
      <c r="E2796" s="17"/>
      <c r="F2796" s="133"/>
      <c r="G2796" s="133"/>
      <c r="H2796" s="133"/>
      <c r="I2796" s="133"/>
      <c r="J2796" s="133"/>
      <c r="K2796" s="133"/>
      <c r="L2796" s="133"/>
      <c r="M2796" s="133"/>
      <c r="N2796" s="133"/>
      <c r="O2796" s="133"/>
      <c r="P2796" s="134"/>
      <c r="Q2796" s="146"/>
      <c r="R2796" s="17"/>
      <c r="S2796" s="17"/>
      <c r="T2796" s="75"/>
      <c r="U2796" s="75"/>
      <c r="V2796" s="75"/>
      <c r="W2796" s="75"/>
      <c r="X2796" s="75"/>
    </row>
    <row r="2797">
      <c r="A2797" s="17"/>
      <c r="B2797" s="17"/>
      <c r="C2797" s="133"/>
      <c r="D2797" s="133"/>
      <c r="E2797" s="17"/>
      <c r="F2797" s="133"/>
      <c r="G2797" s="133"/>
      <c r="H2797" s="133"/>
      <c r="I2797" s="133"/>
      <c r="J2797" s="133"/>
      <c r="K2797" s="133"/>
      <c r="L2797" s="133"/>
      <c r="M2797" s="133"/>
      <c r="N2797" s="133"/>
      <c r="O2797" s="133"/>
      <c r="P2797" s="134"/>
      <c r="Q2797" s="146"/>
      <c r="R2797" s="17"/>
      <c r="S2797" s="17"/>
      <c r="T2797" s="75"/>
      <c r="U2797" s="75"/>
      <c r="V2797" s="75"/>
      <c r="W2797" s="75"/>
      <c r="X2797" s="75"/>
    </row>
    <row r="2798">
      <c r="A2798" s="17"/>
      <c r="B2798" s="17"/>
      <c r="C2798" s="133"/>
      <c r="D2798" s="133"/>
      <c r="E2798" s="17"/>
      <c r="F2798" s="133"/>
      <c r="G2798" s="133"/>
      <c r="H2798" s="133"/>
      <c r="I2798" s="133"/>
      <c r="J2798" s="133"/>
      <c r="K2798" s="133"/>
      <c r="L2798" s="133"/>
      <c r="M2798" s="133"/>
      <c r="N2798" s="133"/>
      <c r="O2798" s="133"/>
      <c r="P2798" s="134"/>
      <c r="Q2798" s="146"/>
      <c r="R2798" s="17"/>
      <c r="S2798" s="17"/>
      <c r="T2798" s="75"/>
      <c r="U2798" s="75"/>
      <c r="V2798" s="75"/>
      <c r="W2798" s="75"/>
      <c r="X2798" s="75"/>
    </row>
    <row r="2799">
      <c r="A2799" s="17"/>
      <c r="B2799" s="17"/>
      <c r="C2799" s="133"/>
      <c r="D2799" s="133"/>
      <c r="E2799" s="17"/>
      <c r="F2799" s="133"/>
      <c r="G2799" s="133"/>
      <c r="H2799" s="133"/>
      <c r="I2799" s="133"/>
      <c r="J2799" s="133"/>
      <c r="K2799" s="133"/>
      <c r="L2799" s="133"/>
      <c r="M2799" s="133"/>
      <c r="N2799" s="133"/>
      <c r="O2799" s="133"/>
      <c r="P2799" s="134"/>
      <c r="Q2799" s="146"/>
      <c r="R2799" s="17"/>
      <c r="S2799" s="17"/>
      <c r="T2799" s="75"/>
      <c r="U2799" s="75"/>
      <c r="V2799" s="75"/>
      <c r="W2799" s="75"/>
      <c r="X2799" s="75"/>
    </row>
    <row r="2800">
      <c r="A2800" s="17"/>
      <c r="B2800" s="17"/>
      <c r="C2800" s="133"/>
      <c r="D2800" s="133"/>
      <c r="E2800" s="17"/>
      <c r="F2800" s="133"/>
      <c r="G2800" s="133"/>
      <c r="H2800" s="133"/>
      <c r="I2800" s="133"/>
      <c r="J2800" s="133"/>
      <c r="K2800" s="133"/>
      <c r="L2800" s="133"/>
      <c r="M2800" s="133"/>
      <c r="N2800" s="133"/>
      <c r="O2800" s="133"/>
      <c r="P2800" s="134"/>
      <c r="Q2800" s="146"/>
      <c r="R2800" s="17"/>
      <c r="S2800" s="17"/>
      <c r="T2800" s="75"/>
      <c r="U2800" s="75"/>
      <c r="V2800" s="75"/>
      <c r="W2800" s="75"/>
      <c r="X2800" s="75"/>
    </row>
    <row r="2801">
      <c r="A2801" s="17"/>
      <c r="B2801" s="17"/>
      <c r="C2801" s="133"/>
      <c r="D2801" s="133"/>
      <c r="E2801" s="17"/>
      <c r="F2801" s="133"/>
      <c r="G2801" s="133"/>
      <c r="H2801" s="133"/>
      <c r="I2801" s="133"/>
      <c r="J2801" s="133"/>
      <c r="K2801" s="133"/>
      <c r="L2801" s="133"/>
      <c r="M2801" s="133"/>
      <c r="N2801" s="133"/>
      <c r="O2801" s="133"/>
      <c r="P2801" s="134"/>
      <c r="Q2801" s="146"/>
      <c r="R2801" s="17"/>
      <c r="S2801" s="17"/>
      <c r="T2801" s="75"/>
      <c r="U2801" s="75"/>
      <c r="V2801" s="75"/>
      <c r="W2801" s="75"/>
      <c r="X2801" s="75"/>
    </row>
    <row r="2802">
      <c r="A2802" s="17"/>
      <c r="B2802" s="17"/>
      <c r="C2802" s="133"/>
      <c r="D2802" s="133"/>
      <c r="E2802" s="17"/>
      <c r="F2802" s="133"/>
      <c r="G2802" s="133"/>
      <c r="H2802" s="133"/>
      <c r="I2802" s="133"/>
      <c r="J2802" s="133"/>
      <c r="K2802" s="133"/>
      <c r="L2802" s="133"/>
      <c r="M2802" s="133"/>
      <c r="N2802" s="133"/>
      <c r="O2802" s="133"/>
      <c r="P2802" s="134"/>
      <c r="Q2802" s="146"/>
      <c r="R2802" s="17"/>
      <c r="S2802" s="17"/>
      <c r="T2802" s="75"/>
      <c r="U2802" s="75"/>
      <c r="V2802" s="75"/>
      <c r="W2802" s="75"/>
      <c r="X2802" s="75"/>
    </row>
    <row r="2803">
      <c r="A2803" s="17"/>
      <c r="B2803" s="17"/>
      <c r="C2803" s="133"/>
      <c r="D2803" s="133"/>
      <c r="E2803" s="17"/>
      <c r="F2803" s="133"/>
      <c r="G2803" s="133"/>
      <c r="H2803" s="133"/>
      <c r="I2803" s="133"/>
      <c r="J2803" s="133"/>
      <c r="K2803" s="133"/>
      <c r="L2803" s="133"/>
      <c r="M2803" s="133"/>
      <c r="N2803" s="133"/>
      <c r="O2803" s="133"/>
      <c r="P2803" s="134"/>
      <c r="Q2803" s="146"/>
      <c r="R2803" s="17"/>
      <c r="S2803" s="17"/>
      <c r="T2803" s="75"/>
      <c r="U2803" s="75"/>
      <c r="V2803" s="75"/>
      <c r="W2803" s="75"/>
      <c r="X2803" s="75"/>
    </row>
    <row r="2804">
      <c r="A2804" s="17"/>
      <c r="B2804" s="17"/>
      <c r="C2804" s="133"/>
      <c r="D2804" s="133"/>
      <c r="E2804" s="17"/>
      <c r="F2804" s="133"/>
      <c r="G2804" s="133"/>
      <c r="H2804" s="133"/>
      <c r="I2804" s="133"/>
      <c r="J2804" s="133"/>
      <c r="K2804" s="133"/>
      <c r="L2804" s="133"/>
      <c r="M2804" s="133"/>
      <c r="N2804" s="133"/>
      <c r="O2804" s="133"/>
      <c r="P2804" s="134"/>
      <c r="Q2804" s="146"/>
      <c r="R2804" s="17"/>
      <c r="S2804" s="17"/>
      <c r="T2804" s="75"/>
      <c r="U2804" s="75"/>
      <c r="V2804" s="75"/>
      <c r="W2804" s="75"/>
      <c r="X2804" s="75"/>
    </row>
    <row r="2805">
      <c r="A2805" s="17"/>
      <c r="B2805" s="17"/>
      <c r="C2805" s="133"/>
      <c r="D2805" s="133"/>
      <c r="E2805" s="17"/>
      <c r="F2805" s="133"/>
      <c r="G2805" s="133"/>
      <c r="H2805" s="133"/>
      <c r="I2805" s="133"/>
      <c r="J2805" s="133"/>
      <c r="K2805" s="133"/>
      <c r="L2805" s="133"/>
      <c r="M2805" s="133"/>
      <c r="N2805" s="133"/>
      <c r="O2805" s="133"/>
      <c r="P2805" s="134"/>
      <c r="Q2805" s="146"/>
      <c r="R2805" s="17"/>
      <c r="S2805" s="17"/>
      <c r="T2805" s="75"/>
      <c r="U2805" s="75"/>
      <c r="V2805" s="75"/>
      <c r="W2805" s="75"/>
      <c r="X2805" s="75"/>
    </row>
    <row r="2806">
      <c r="A2806" s="17"/>
      <c r="B2806" s="17"/>
      <c r="C2806" s="133"/>
      <c r="D2806" s="133"/>
      <c r="E2806" s="17"/>
      <c r="F2806" s="133"/>
      <c r="G2806" s="133"/>
      <c r="H2806" s="133"/>
      <c r="I2806" s="133"/>
      <c r="J2806" s="133"/>
      <c r="K2806" s="133"/>
      <c r="L2806" s="133"/>
      <c r="M2806" s="133"/>
      <c r="N2806" s="133"/>
      <c r="O2806" s="133"/>
      <c r="P2806" s="134"/>
      <c r="Q2806" s="146"/>
      <c r="R2806" s="17"/>
      <c r="S2806" s="17"/>
      <c r="T2806" s="75"/>
      <c r="U2806" s="75"/>
      <c r="V2806" s="75"/>
      <c r="W2806" s="75"/>
      <c r="X2806" s="75"/>
    </row>
    <row r="2807">
      <c r="A2807" s="17"/>
      <c r="B2807" s="17"/>
      <c r="C2807" s="133"/>
      <c r="D2807" s="133"/>
      <c r="E2807" s="17"/>
      <c r="F2807" s="133"/>
      <c r="G2807" s="133"/>
      <c r="H2807" s="133"/>
      <c r="I2807" s="133"/>
      <c r="J2807" s="133"/>
      <c r="K2807" s="133"/>
      <c r="L2807" s="133"/>
      <c r="M2807" s="133"/>
      <c r="N2807" s="133"/>
      <c r="O2807" s="133"/>
      <c r="P2807" s="134"/>
      <c r="Q2807" s="146"/>
      <c r="R2807" s="17"/>
      <c r="S2807" s="17"/>
      <c r="T2807" s="75"/>
      <c r="U2807" s="75"/>
      <c r="V2807" s="75"/>
      <c r="W2807" s="75"/>
      <c r="X2807" s="75"/>
    </row>
    <row r="2808">
      <c r="A2808" s="17"/>
      <c r="B2808" s="17"/>
      <c r="C2808" s="133"/>
      <c r="D2808" s="133"/>
      <c r="E2808" s="17"/>
      <c r="F2808" s="133"/>
      <c r="G2808" s="133"/>
      <c r="H2808" s="133"/>
      <c r="I2808" s="133"/>
      <c r="J2808" s="133"/>
      <c r="K2808" s="133"/>
      <c r="L2808" s="133"/>
      <c r="M2808" s="133"/>
      <c r="N2808" s="133"/>
      <c r="O2808" s="133"/>
      <c r="P2808" s="134"/>
      <c r="Q2808" s="146"/>
      <c r="R2808" s="17"/>
      <c r="S2808" s="17"/>
      <c r="T2808" s="75"/>
      <c r="U2808" s="75"/>
      <c r="V2808" s="75"/>
      <c r="W2808" s="75"/>
      <c r="X2808" s="75"/>
    </row>
    <row r="2809">
      <c r="A2809" s="17"/>
      <c r="B2809" s="17"/>
      <c r="C2809" s="133"/>
      <c r="D2809" s="133"/>
      <c r="E2809" s="17"/>
      <c r="F2809" s="133"/>
      <c r="G2809" s="133"/>
      <c r="H2809" s="133"/>
      <c r="I2809" s="133"/>
      <c r="J2809" s="133"/>
      <c r="K2809" s="133"/>
      <c r="L2809" s="133"/>
      <c r="M2809" s="133"/>
      <c r="N2809" s="133"/>
      <c r="O2809" s="133"/>
      <c r="P2809" s="134"/>
      <c r="Q2809" s="146"/>
      <c r="R2809" s="17"/>
      <c r="S2809" s="17"/>
      <c r="T2809" s="75"/>
      <c r="U2809" s="75"/>
      <c r="V2809" s="75"/>
      <c r="W2809" s="75"/>
      <c r="X2809" s="75"/>
    </row>
    <row r="2810">
      <c r="A2810" s="17"/>
      <c r="B2810" s="17"/>
      <c r="C2810" s="133"/>
      <c r="D2810" s="133"/>
      <c r="E2810" s="17"/>
      <c r="F2810" s="133"/>
      <c r="G2810" s="133"/>
      <c r="H2810" s="133"/>
      <c r="I2810" s="133"/>
      <c r="J2810" s="133"/>
      <c r="K2810" s="133"/>
      <c r="L2810" s="133"/>
      <c r="M2810" s="133"/>
      <c r="N2810" s="133"/>
      <c r="O2810" s="133"/>
      <c r="P2810" s="134"/>
      <c r="Q2810" s="146"/>
      <c r="R2810" s="17"/>
      <c r="S2810" s="17"/>
      <c r="T2810" s="75"/>
      <c r="U2810" s="75"/>
      <c r="V2810" s="75"/>
      <c r="W2810" s="75"/>
      <c r="X2810" s="75"/>
    </row>
    <row r="2811">
      <c r="A2811" s="17"/>
      <c r="B2811" s="17"/>
      <c r="C2811" s="133"/>
      <c r="D2811" s="133"/>
      <c r="E2811" s="17"/>
      <c r="F2811" s="133"/>
      <c r="G2811" s="133"/>
      <c r="H2811" s="133"/>
      <c r="I2811" s="133"/>
      <c r="J2811" s="133"/>
      <c r="K2811" s="133"/>
      <c r="L2811" s="133"/>
      <c r="M2811" s="133"/>
      <c r="N2811" s="133"/>
      <c r="O2811" s="133"/>
      <c r="P2811" s="134"/>
      <c r="Q2811" s="146"/>
      <c r="R2811" s="17"/>
      <c r="S2811" s="17"/>
      <c r="T2811" s="75"/>
      <c r="U2811" s="75"/>
      <c r="V2811" s="75"/>
      <c r="W2811" s="75"/>
      <c r="X2811" s="75"/>
    </row>
    <row r="2812">
      <c r="A2812" s="17"/>
      <c r="B2812" s="17"/>
      <c r="C2812" s="133"/>
      <c r="D2812" s="133"/>
      <c r="E2812" s="17"/>
      <c r="F2812" s="133"/>
      <c r="G2812" s="133"/>
      <c r="H2812" s="133"/>
      <c r="I2812" s="133"/>
      <c r="J2812" s="133"/>
      <c r="K2812" s="133"/>
      <c r="L2812" s="133"/>
      <c r="M2812" s="133"/>
      <c r="N2812" s="133"/>
      <c r="O2812" s="133"/>
      <c r="P2812" s="134"/>
      <c r="Q2812" s="146"/>
      <c r="R2812" s="17"/>
      <c r="S2812" s="17"/>
      <c r="T2812" s="75"/>
      <c r="U2812" s="75"/>
      <c r="V2812" s="75"/>
      <c r="W2812" s="75"/>
      <c r="X2812" s="75"/>
    </row>
    <row r="2813">
      <c r="A2813" s="17"/>
      <c r="B2813" s="17"/>
      <c r="C2813" s="133"/>
      <c r="D2813" s="133"/>
      <c r="E2813" s="17"/>
      <c r="F2813" s="133"/>
      <c r="G2813" s="133"/>
      <c r="H2813" s="133"/>
      <c r="I2813" s="133"/>
      <c r="J2813" s="133"/>
      <c r="K2813" s="133"/>
      <c r="L2813" s="133"/>
      <c r="M2813" s="133"/>
      <c r="N2813" s="133"/>
      <c r="O2813" s="133"/>
      <c r="P2813" s="134"/>
      <c r="Q2813" s="146"/>
      <c r="R2813" s="17"/>
      <c r="S2813" s="17"/>
      <c r="T2813" s="75"/>
      <c r="U2813" s="75"/>
      <c r="V2813" s="75"/>
      <c r="W2813" s="75"/>
      <c r="X2813" s="75"/>
    </row>
    <row r="2814">
      <c r="A2814" s="17"/>
      <c r="B2814" s="17"/>
      <c r="C2814" s="133"/>
      <c r="D2814" s="133"/>
      <c r="E2814" s="17"/>
      <c r="F2814" s="133"/>
      <c r="G2814" s="133"/>
      <c r="H2814" s="133"/>
      <c r="I2814" s="133"/>
      <c r="J2814" s="133"/>
      <c r="K2814" s="133"/>
      <c r="L2814" s="133"/>
      <c r="M2814" s="133"/>
      <c r="N2814" s="133"/>
      <c r="O2814" s="133"/>
      <c r="P2814" s="134"/>
      <c r="Q2814" s="146"/>
      <c r="R2814" s="17"/>
      <c r="S2814" s="17"/>
      <c r="T2814" s="75"/>
      <c r="U2814" s="75"/>
      <c r="V2814" s="75"/>
      <c r="W2814" s="75"/>
      <c r="X2814" s="75"/>
    </row>
    <row r="2815">
      <c r="A2815" s="17"/>
      <c r="B2815" s="17"/>
      <c r="C2815" s="133"/>
      <c r="D2815" s="133"/>
      <c r="E2815" s="17"/>
      <c r="F2815" s="133"/>
      <c r="G2815" s="133"/>
      <c r="H2815" s="133"/>
      <c r="I2815" s="133"/>
      <c r="J2815" s="133"/>
      <c r="K2815" s="133"/>
      <c r="L2815" s="133"/>
      <c r="M2815" s="133"/>
      <c r="N2815" s="133"/>
      <c r="O2815" s="133"/>
      <c r="P2815" s="134"/>
      <c r="Q2815" s="146"/>
      <c r="R2815" s="17"/>
      <c r="S2815" s="17"/>
      <c r="T2815" s="75"/>
      <c r="U2815" s="75"/>
      <c r="V2815" s="75"/>
      <c r="W2815" s="75"/>
      <c r="X2815" s="75"/>
    </row>
    <row r="2816">
      <c r="A2816" s="17"/>
      <c r="B2816" s="17"/>
      <c r="C2816" s="133"/>
      <c r="D2816" s="133"/>
      <c r="E2816" s="17"/>
      <c r="F2816" s="133"/>
      <c r="G2816" s="133"/>
      <c r="H2816" s="133"/>
      <c r="I2816" s="133"/>
      <c r="J2816" s="133"/>
      <c r="K2816" s="133"/>
      <c r="L2816" s="133"/>
      <c r="M2816" s="133"/>
      <c r="N2816" s="133"/>
      <c r="O2816" s="133"/>
      <c r="P2816" s="134"/>
      <c r="Q2816" s="146"/>
      <c r="R2816" s="17"/>
      <c r="S2816" s="17"/>
      <c r="T2816" s="75"/>
      <c r="U2816" s="75"/>
      <c r="V2816" s="75"/>
      <c r="W2816" s="75"/>
      <c r="X2816" s="75"/>
    </row>
    <row r="2817">
      <c r="A2817" s="17"/>
      <c r="B2817" s="17"/>
      <c r="C2817" s="133"/>
      <c r="D2817" s="133"/>
      <c r="E2817" s="17"/>
      <c r="F2817" s="133"/>
      <c r="G2817" s="133"/>
      <c r="H2817" s="133"/>
      <c r="I2817" s="133"/>
      <c r="J2817" s="133"/>
      <c r="K2817" s="133"/>
      <c r="L2817" s="133"/>
      <c r="M2817" s="133"/>
      <c r="N2817" s="133"/>
      <c r="O2817" s="133"/>
      <c r="P2817" s="134"/>
      <c r="Q2817" s="146"/>
      <c r="R2817" s="17"/>
      <c r="S2817" s="17"/>
      <c r="T2817" s="75"/>
      <c r="U2817" s="75"/>
      <c r="V2817" s="75"/>
      <c r="W2817" s="75"/>
      <c r="X2817" s="75"/>
    </row>
    <row r="2818">
      <c r="A2818" s="17"/>
      <c r="B2818" s="17"/>
      <c r="C2818" s="133"/>
      <c r="D2818" s="133"/>
      <c r="E2818" s="17"/>
      <c r="F2818" s="133"/>
      <c r="G2818" s="133"/>
      <c r="H2818" s="133"/>
      <c r="I2818" s="133"/>
      <c r="J2818" s="133"/>
      <c r="K2818" s="133"/>
      <c r="L2818" s="133"/>
      <c r="M2818" s="133"/>
      <c r="N2818" s="133"/>
      <c r="O2818" s="133"/>
      <c r="P2818" s="134"/>
      <c r="Q2818" s="146"/>
      <c r="R2818" s="17"/>
      <c r="S2818" s="17"/>
      <c r="T2818" s="75"/>
      <c r="U2818" s="75"/>
      <c r="V2818" s="75"/>
      <c r="W2818" s="75"/>
      <c r="X2818" s="75"/>
    </row>
    <row r="2819">
      <c r="A2819" s="17"/>
      <c r="B2819" s="17"/>
      <c r="C2819" s="133"/>
      <c r="D2819" s="133"/>
      <c r="E2819" s="17"/>
      <c r="F2819" s="133"/>
      <c r="G2819" s="133"/>
      <c r="H2819" s="133"/>
      <c r="I2819" s="133"/>
      <c r="J2819" s="133"/>
      <c r="K2819" s="133"/>
      <c r="L2819" s="133"/>
      <c r="M2819" s="133"/>
      <c r="N2819" s="133"/>
      <c r="O2819" s="133"/>
      <c r="P2819" s="134"/>
      <c r="Q2819" s="146"/>
      <c r="R2819" s="17"/>
      <c r="S2819" s="17"/>
      <c r="T2819" s="75"/>
      <c r="U2819" s="75"/>
      <c r="V2819" s="75"/>
      <c r="W2819" s="75"/>
      <c r="X2819" s="75"/>
    </row>
    <row r="2820">
      <c r="A2820" s="17"/>
      <c r="B2820" s="17"/>
      <c r="C2820" s="133"/>
      <c r="D2820" s="133"/>
      <c r="E2820" s="17"/>
      <c r="F2820" s="133"/>
      <c r="G2820" s="133"/>
      <c r="H2820" s="133"/>
      <c r="I2820" s="133"/>
      <c r="J2820" s="133"/>
      <c r="K2820" s="133"/>
      <c r="L2820" s="133"/>
      <c r="M2820" s="133"/>
      <c r="N2820" s="133"/>
      <c r="O2820" s="133"/>
      <c r="P2820" s="134"/>
      <c r="Q2820" s="146"/>
      <c r="R2820" s="17"/>
      <c r="S2820" s="17"/>
      <c r="T2820" s="75"/>
      <c r="U2820" s="75"/>
      <c r="V2820" s="75"/>
      <c r="W2820" s="75"/>
      <c r="X2820" s="75"/>
    </row>
    <row r="2821">
      <c r="A2821" s="17"/>
      <c r="B2821" s="17"/>
      <c r="C2821" s="133"/>
      <c r="D2821" s="133"/>
      <c r="E2821" s="17"/>
      <c r="F2821" s="133"/>
      <c r="G2821" s="133"/>
      <c r="H2821" s="133"/>
      <c r="I2821" s="133"/>
      <c r="J2821" s="133"/>
      <c r="K2821" s="133"/>
      <c r="L2821" s="133"/>
      <c r="M2821" s="133"/>
      <c r="N2821" s="133"/>
      <c r="O2821" s="133"/>
      <c r="P2821" s="134"/>
      <c r="Q2821" s="146"/>
      <c r="R2821" s="17"/>
      <c r="S2821" s="17"/>
      <c r="T2821" s="75"/>
      <c r="U2821" s="75"/>
      <c r="V2821" s="75"/>
      <c r="W2821" s="75"/>
      <c r="X2821" s="75"/>
    </row>
    <row r="2822">
      <c r="A2822" s="17"/>
      <c r="B2822" s="17"/>
      <c r="C2822" s="133"/>
      <c r="D2822" s="133"/>
      <c r="E2822" s="17"/>
      <c r="F2822" s="133"/>
      <c r="G2822" s="133"/>
      <c r="H2822" s="133"/>
      <c r="I2822" s="133"/>
      <c r="J2822" s="133"/>
      <c r="K2822" s="133"/>
      <c r="L2822" s="133"/>
      <c r="M2822" s="133"/>
      <c r="N2822" s="133"/>
      <c r="O2822" s="133"/>
      <c r="P2822" s="134"/>
      <c r="Q2822" s="146"/>
      <c r="R2822" s="17"/>
      <c r="S2822" s="17"/>
      <c r="T2822" s="75"/>
      <c r="U2822" s="75"/>
      <c r="V2822" s="75"/>
      <c r="W2822" s="75"/>
      <c r="X2822" s="75"/>
    </row>
    <row r="2823">
      <c r="A2823" s="17"/>
      <c r="B2823" s="17"/>
      <c r="C2823" s="133"/>
      <c r="D2823" s="133"/>
      <c r="E2823" s="17"/>
      <c r="F2823" s="133"/>
      <c r="G2823" s="133"/>
      <c r="H2823" s="133"/>
      <c r="I2823" s="133"/>
      <c r="J2823" s="133"/>
      <c r="K2823" s="133"/>
      <c r="L2823" s="133"/>
      <c r="M2823" s="133"/>
      <c r="N2823" s="133"/>
      <c r="O2823" s="133"/>
      <c r="P2823" s="134"/>
      <c r="Q2823" s="146"/>
      <c r="R2823" s="17"/>
      <c r="S2823" s="17"/>
      <c r="T2823" s="75"/>
      <c r="U2823" s="75"/>
      <c r="V2823" s="75"/>
      <c r="W2823" s="75"/>
      <c r="X2823" s="75"/>
    </row>
    <row r="2824">
      <c r="A2824" s="17"/>
      <c r="B2824" s="17"/>
      <c r="C2824" s="133"/>
      <c r="D2824" s="133"/>
      <c r="E2824" s="17"/>
      <c r="F2824" s="133"/>
      <c r="G2824" s="133"/>
      <c r="H2824" s="133"/>
      <c r="I2824" s="133"/>
      <c r="J2824" s="133"/>
      <c r="K2824" s="133"/>
      <c r="L2824" s="133"/>
      <c r="M2824" s="133"/>
      <c r="N2824" s="133"/>
      <c r="O2824" s="133"/>
      <c r="P2824" s="134"/>
      <c r="Q2824" s="146"/>
      <c r="R2824" s="17"/>
      <c r="S2824" s="17"/>
      <c r="T2824" s="75"/>
      <c r="U2824" s="75"/>
      <c r="V2824" s="75"/>
      <c r="W2824" s="75"/>
      <c r="X2824" s="75"/>
    </row>
    <row r="2825">
      <c r="A2825" s="17"/>
      <c r="B2825" s="17"/>
      <c r="C2825" s="133"/>
      <c r="D2825" s="133"/>
      <c r="E2825" s="17"/>
      <c r="F2825" s="133"/>
      <c r="G2825" s="133"/>
      <c r="H2825" s="133"/>
      <c r="I2825" s="133"/>
      <c r="J2825" s="133"/>
      <c r="K2825" s="133"/>
      <c r="L2825" s="133"/>
      <c r="M2825" s="133"/>
      <c r="N2825" s="133"/>
      <c r="O2825" s="133"/>
      <c r="P2825" s="134"/>
      <c r="Q2825" s="146"/>
      <c r="R2825" s="17"/>
      <c r="S2825" s="17"/>
      <c r="T2825" s="75"/>
      <c r="U2825" s="75"/>
      <c r="V2825" s="75"/>
      <c r="W2825" s="75"/>
      <c r="X2825" s="75"/>
    </row>
    <row r="2826">
      <c r="A2826" s="17"/>
      <c r="B2826" s="17"/>
      <c r="C2826" s="133"/>
      <c r="D2826" s="133"/>
      <c r="E2826" s="17"/>
      <c r="F2826" s="133"/>
      <c r="G2826" s="133"/>
      <c r="H2826" s="133"/>
      <c r="I2826" s="133"/>
      <c r="J2826" s="133"/>
      <c r="K2826" s="133"/>
      <c r="L2826" s="133"/>
      <c r="M2826" s="133"/>
      <c r="N2826" s="133"/>
      <c r="O2826" s="133"/>
      <c r="P2826" s="134"/>
      <c r="Q2826" s="146"/>
      <c r="R2826" s="17"/>
      <c r="S2826" s="17"/>
      <c r="T2826" s="75"/>
      <c r="U2826" s="75"/>
      <c r="V2826" s="75"/>
      <c r="W2826" s="75"/>
      <c r="X2826" s="75"/>
    </row>
    <row r="2827">
      <c r="A2827" s="17"/>
      <c r="B2827" s="17"/>
      <c r="C2827" s="133"/>
      <c r="D2827" s="133"/>
      <c r="E2827" s="17"/>
      <c r="F2827" s="133"/>
      <c r="G2827" s="133"/>
      <c r="H2827" s="133"/>
      <c r="I2827" s="133"/>
      <c r="J2827" s="133"/>
      <c r="K2827" s="133"/>
      <c r="L2827" s="133"/>
      <c r="M2827" s="133"/>
      <c r="N2827" s="133"/>
      <c r="O2827" s="133"/>
      <c r="P2827" s="134"/>
      <c r="Q2827" s="146"/>
      <c r="R2827" s="17"/>
      <c r="S2827" s="17"/>
      <c r="T2827" s="75"/>
      <c r="U2827" s="75"/>
      <c r="V2827" s="75"/>
      <c r="W2827" s="75"/>
      <c r="X2827" s="75"/>
    </row>
    <row r="2828">
      <c r="A2828" s="17"/>
      <c r="B2828" s="17"/>
      <c r="C2828" s="133"/>
      <c r="D2828" s="133"/>
      <c r="E2828" s="17"/>
      <c r="F2828" s="133"/>
      <c r="G2828" s="133"/>
      <c r="H2828" s="133"/>
      <c r="I2828" s="133"/>
      <c r="J2828" s="133"/>
      <c r="K2828" s="133"/>
      <c r="L2828" s="133"/>
      <c r="M2828" s="133"/>
      <c r="N2828" s="133"/>
      <c r="O2828" s="133"/>
      <c r="P2828" s="134"/>
      <c r="Q2828" s="146"/>
      <c r="R2828" s="17"/>
      <c r="S2828" s="17"/>
      <c r="T2828" s="75"/>
      <c r="U2828" s="75"/>
      <c r="V2828" s="75"/>
      <c r="W2828" s="75"/>
      <c r="X2828" s="75"/>
    </row>
    <row r="2829">
      <c r="A2829" s="17"/>
      <c r="B2829" s="17"/>
      <c r="C2829" s="133"/>
      <c r="D2829" s="133"/>
      <c r="E2829" s="17"/>
      <c r="F2829" s="133"/>
      <c r="G2829" s="133"/>
      <c r="H2829" s="133"/>
      <c r="I2829" s="133"/>
      <c r="J2829" s="133"/>
      <c r="K2829" s="133"/>
      <c r="L2829" s="133"/>
      <c r="M2829" s="133"/>
      <c r="N2829" s="133"/>
      <c r="O2829" s="133"/>
      <c r="P2829" s="134"/>
      <c r="Q2829" s="146"/>
      <c r="R2829" s="17"/>
      <c r="S2829" s="17"/>
      <c r="T2829" s="75"/>
      <c r="U2829" s="75"/>
      <c r="V2829" s="75"/>
      <c r="W2829" s="75"/>
      <c r="X2829" s="75"/>
    </row>
    <row r="2830">
      <c r="A2830" s="17"/>
      <c r="B2830" s="17"/>
      <c r="C2830" s="133"/>
      <c r="D2830" s="133"/>
      <c r="E2830" s="17"/>
      <c r="F2830" s="133"/>
      <c r="G2830" s="133"/>
      <c r="H2830" s="133"/>
      <c r="I2830" s="133"/>
      <c r="J2830" s="133"/>
      <c r="K2830" s="133"/>
      <c r="L2830" s="133"/>
      <c r="M2830" s="133"/>
      <c r="N2830" s="133"/>
      <c r="O2830" s="133"/>
      <c r="P2830" s="134"/>
      <c r="Q2830" s="146"/>
      <c r="R2830" s="17"/>
      <c r="S2830" s="17"/>
      <c r="T2830" s="75"/>
      <c r="U2830" s="75"/>
      <c r="V2830" s="75"/>
      <c r="W2830" s="75"/>
      <c r="X2830" s="75"/>
    </row>
    <row r="2831">
      <c r="A2831" s="17"/>
      <c r="B2831" s="17"/>
      <c r="C2831" s="133"/>
      <c r="D2831" s="133"/>
      <c r="E2831" s="17"/>
      <c r="F2831" s="133"/>
      <c r="G2831" s="133"/>
      <c r="H2831" s="133"/>
      <c r="I2831" s="133"/>
      <c r="J2831" s="133"/>
      <c r="K2831" s="133"/>
      <c r="L2831" s="133"/>
      <c r="M2831" s="133"/>
      <c r="N2831" s="133"/>
      <c r="O2831" s="133"/>
      <c r="P2831" s="134"/>
      <c r="Q2831" s="146"/>
      <c r="R2831" s="17"/>
      <c r="S2831" s="17"/>
      <c r="T2831" s="75"/>
      <c r="U2831" s="75"/>
      <c r="V2831" s="75"/>
      <c r="W2831" s="75"/>
      <c r="X2831" s="75"/>
    </row>
    <row r="2832">
      <c r="A2832" s="17"/>
      <c r="B2832" s="17"/>
      <c r="C2832" s="133"/>
      <c r="D2832" s="133"/>
      <c r="E2832" s="17"/>
      <c r="F2832" s="133"/>
      <c r="G2832" s="133"/>
      <c r="H2832" s="133"/>
      <c r="I2832" s="133"/>
      <c r="J2832" s="133"/>
      <c r="K2832" s="133"/>
      <c r="L2832" s="133"/>
      <c r="M2832" s="133"/>
      <c r="N2832" s="133"/>
      <c r="O2832" s="133"/>
      <c r="P2832" s="134"/>
      <c r="Q2832" s="146"/>
      <c r="R2832" s="17"/>
      <c r="S2832" s="17"/>
      <c r="T2832" s="75"/>
      <c r="U2832" s="75"/>
      <c r="V2832" s="75"/>
      <c r="W2832" s="75"/>
      <c r="X2832" s="75"/>
    </row>
    <row r="2833">
      <c r="A2833" s="17"/>
      <c r="B2833" s="17"/>
      <c r="C2833" s="133"/>
      <c r="D2833" s="133"/>
      <c r="E2833" s="17"/>
      <c r="F2833" s="133"/>
      <c r="G2833" s="133"/>
      <c r="H2833" s="133"/>
      <c r="I2833" s="133"/>
      <c r="J2833" s="133"/>
      <c r="K2833" s="133"/>
      <c r="L2833" s="133"/>
      <c r="M2833" s="133"/>
      <c r="N2833" s="133"/>
      <c r="O2833" s="133"/>
      <c r="P2833" s="134"/>
      <c r="Q2833" s="146"/>
      <c r="R2833" s="17"/>
      <c r="S2833" s="17"/>
      <c r="T2833" s="75"/>
      <c r="U2833" s="75"/>
      <c r="V2833" s="75"/>
      <c r="W2833" s="75"/>
      <c r="X2833" s="75"/>
    </row>
    <row r="2834">
      <c r="A2834" s="17"/>
      <c r="B2834" s="17"/>
      <c r="C2834" s="133"/>
      <c r="D2834" s="133"/>
      <c r="E2834" s="17"/>
      <c r="F2834" s="133"/>
      <c r="G2834" s="133"/>
      <c r="H2834" s="133"/>
      <c r="I2834" s="133"/>
      <c r="J2834" s="133"/>
      <c r="K2834" s="133"/>
      <c r="L2834" s="133"/>
      <c r="M2834" s="133"/>
      <c r="N2834" s="133"/>
      <c r="O2834" s="133"/>
      <c r="P2834" s="134"/>
      <c r="Q2834" s="146"/>
      <c r="R2834" s="17"/>
      <c r="S2834" s="17"/>
      <c r="T2834" s="75"/>
      <c r="U2834" s="75"/>
      <c r="V2834" s="75"/>
      <c r="W2834" s="75"/>
      <c r="X2834" s="75"/>
    </row>
    <row r="2835">
      <c r="A2835" s="17"/>
      <c r="B2835" s="17"/>
      <c r="C2835" s="133"/>
      <c r="D2835" s="133"/>
      <c r="E2835" s="17"/>
      <c r="F2835" s="133"/>
      <c r="G2835" s="133"/>
      <c r="H2835" s="133"/>
      <c r="I2835" s="133"/>
      <c r="J2835" s="133"/>
      <c r="K2835" s="133"/>
      <c r="L2835" s="133"/>
      <c r="M2835" s="133"/>
      <c r="N2835" s="133"/>
      <c r="O2835" s="133"/>
      <c r="P2835" s="134"/>
      <c r="Q2835" s="146"/>
      <c r="R2835" s="17"/>
      <c r="S2835" s="17"/>
      <c r="T2835" s="75"/>
      <c r="U2835" s="75"/>
      <c r="V2835" s="75"/>
      <c r="W2835" s="75"/>
      <c r="X2835" s="75"/>
    </row>
    <row r="2836">
      <c r="A2836" s="17"/>
      <c r="B2836" s="17"/>
      <c r="C2836" s="133"/>
      <c r="D2836" s="133"/>
      <c r="E2836" s="17"/>
      <c r="F2836" s="133"/>
      <c r="G2836" s="133"/>
      <c r="H2836" s="133"/>
      <c r="I2836" s="133"/>
      <c r="J2836" s="133"/>
      <c r="K2836" s="133"/>
      <c r="L2836" s="133"/>
      <c r="M2836" s="133"/>
      <c r="N2836" s="133"/>
      <c r="O2836" s="133"/>
      <c r="P2836" s="134"/>
      <c r="Q2836" s="146"/>
      <c r="R2836" s="17"/>
      <c r="S2836" s="17"/>
      <c r="T2836" s="75"/>
      <c r="U2836" s="75"/>
      <c r="V2836" s="75"/>
      <c r="W2836" s="75"/>
      <c r="X2836" s="75"/>
    </row>
    <row r="2837">
      <c r="A2837" s="17"/>
      <c r="B2837" s="17"/>
      <c r="C2837" s="133"/>
      <c r="D2837" s="133"/>
      <c r="E2837" s="17"/>
      <c r="F2837" s="133"/>
      <c r="G2837" s="133"/>
      <c r="H2837" s="133"/>
      <c r="I2837" s="133"/>
      <c r="J2837" s="133"/>
      <c r="K2837" s="133"/>
      <c r="L2837" s="133"/>
      <c r="M2837" s="133"/>
      <c r="N2837" s="133"/>
      <c r="O2837" s="133"/>
      <c r="P2837" s="134"/>
      <c r="Q2837" s="146"/>
      <c r="R2837" s="17"/>
      <c r="S2837" s="17"/>
      <c r="T2837" s="75"/>
      <c r="U2837" s="75"/>
      <c r="V2837" s="75"/>
      <c r="W2837" s="75"/>
      <c r="X2837" s="75"/>
    </row>
    <row r="2838">
      <c r="A2838" s="17"/>
      <c r="B2838" s="17"/>
      <c r="C2838" s="133"/>
      <c r="D2838" s="133"/>
      <c r="E2838" s="17"/>
      <c r="F2838" s="133"/>
      <c r="G2838" s="133"/>
      <c r="H2838" s="133"/>
      <c r="I2838" s="133"/>
      <c r="J2838" s="133"/>
      <c r="K2838" s="133"/>
      <c r="L2838" s="133"/>
      <c r="M2838" s="133"/>
      <c r="N2838" s="133"/>
      <c r="O2838" s="133"/>
      <c r="P2838" s="134"/>
      <c r="Q2838" s="146"/>
      <c r="R2838" s="17"/>
      <c r="S2838" s="17"/>
      <c r="T2838" s="75"/>
      <c r="U2838" s="75"/>
      <c r="V2838" s="75"/>
      <c r="W2838" s="75"/>
      <c r="X2838" s="75"/>
    </row>
    <row r="2839">
      <c r="A2839" s="17"/>
      <c r="B2839" s="17"/>
      <c r="C2839" s="133"/>
      <c r="D2839" s="133"/>
      <c r="E2839" s="17"/>
      <c r="F2839" s="133"/>
      <c r="G2839" s="133"/>
      <c r="H2839" s="133"/>
      <c r="I2839" s="133"/>
      <c r="J2839" s="133"/>
      <c r="K2839" s="133"/>
      <c r="L2839" s="133"/>
      <c r="M2839" s="133"/>
      <c r="N2839" s="133"/>
      <c r="O2839" s="133"/>
      <c r="P2839" s="134"/>
      <c r="Q2839" s="146"/>
      <c r="R2839" s="17"/>
      <c r="S2839" s="17"/>
      <c r="T2839" s="75"/>
      <c r="U2839" s="75"/>
      <c r="V2839" s="75"/>
      <c r="W2839" s="75"/>
      <c r="X2839" s="75"/>
    </row>
    <row r="2840">
      <c r="A2840" s="17"/>
      <c r="B2840" s="17"/>
      <c r="C2840" s="133"/>
      <c r="D2840" s="133"/>
      <c r="E2840" s="17"/>
      <c r="F2840" s="133"/>
      <c r="G2840" s="133"/>
      <c r="H2840" s="133"/>
      <c r="I2840" s="133"/>
      <c r="J2840" s="133"/>
      <c r="K2840" s="133"/>
      <c r="L2840" s="133"/>
      <c r="M2840" s="133"/>
      <c r="N2840" s="133"/>
      <c r="O2840" s="133"/>
      <c r="P2840" s="134"/>
      <c r="Q2840" s="146"/>
      <c r="R2840" s="17"/>
      <c r="S2840" s="17"/>
      <c r="T2840" s="75"/>
      <c r="U2840" s="75"/>
      <c r="V2840" s="75"/>
      <c r="W2840" s="75"/>
      <c r="X2840" s="75"/>
    </row>
    <row r="2841">
      <c r="A2841" s="17"/>
      <c r="B2841" s="17"/>
      <c r="C2841" s="133"/>
      <c r="D2841" s="133"/>
      <c r="E2841" s="17"/>
      <c r="F2841" s="133"/>
      <c r="G2841" s="133"/>
      <c r="H2841" s="133"/>
      <c r="I2841" s="133"/>
      <c r="J2841" s="133"/>
      <c r="K2841" s="133"/>
      <c r="L2841" s="133"/>
      <c r="M2841" s="133"/>
      <c r="N2841" s="133"/>
      <c r="O2841" s="133"/>
      <c r="P2841" s="134"/>
      <c r="Q2841" s="146"/>
      <c r="R2841" s="17"/>
      <c r="S2841" s="17"/>
      <c r="T2841" s="75"/>
      <c r="U2841" s="75"/>
      <c r="V2841" s="75"/>
      <c r="W2841" s="75"/>
      <c r="X2841" s="75"/>
    </row>
    <row r="2842">
      <c r="A2842" s="17"/>
      <c r="B2842" s="17"/>
      <c r="C2842" s="133"/>
      <c r="D2842" s="133"/>
      <c r="E2842" s="17"/>
      <c r="F2842" s="133"/>
      <c r="G2842" s="133"/>
      <c r="H2842" s="133"/>
      <c r="I2842" s="133"/>
      <c r="J2842" s="133"/>
      <c r="K2842" s="133"/>
      <c r="L2842" s="133"/>
      <c r="M2842" s="133"/>
      <c r="N2842" s="133"/>
      <c r="O2842" s="133"/>
      <c r="P2842" s="134"/>
      <c r="Q2842" s="146"/>
      <c r="R2842" s="17"/>
      <c r="S2842" s="17"/>
      <c r="T2842" s="75"/>
      <c r="U2842" s="75"/>
      <c r="V2842" s="75"/>
      <c r="W2842" s="75"/>
      <c r="X2842" s="75"/>
    </row>
    <row r="2843">
      <c r="A2843" s="17"/>
      <c r="B2843" s="17"/>
      <c r="C2843" s="133"/>
      <c r="D2843" s="133"/>
      <c r="E2843" s="17"/>
      <c r="F2843" s="133"/>
      <c r="G2843" s="133"/>
      <c r="H2843" s="133"/>
      <c r="I2843" s="133"/>
      <c r="J2843" s="133"/>
      <c r="K2843" s="133"/>
      <c r="L2843" s="133"/>
      <c r="M2843" s="133"/>
      <c r="N2843" s="133"/>
      <c r="O2843" s="133"/>
      <c r="P2843" s="134"/>
      <c r="Q2843" s="146"/>
      <c r="R2843" s="17"/>
      <c r="S2843" s="17"/>
      <c r="T2843" s="75"/>
      <c r="U2843" s="75"/>
      <c r="V2843" s="75"/>
      <c r="W2843" s="75"/>
      <c r="X2843" s="75"/>
    </row>
    <row r="2844">
      <c r="A2844" s="17"/>
      <c r="B2844" s="17"/>
      <c r="C2844" s="133"/>
      <c r="D2844" s="133"/>
      <c r="E2844" s="17"/>
      <c r="F2844" s="133"/>
      <c r="G2844" s="133"/>
      <c r="H2844" s="133"/>
      <c r="I2844" s="133"/>
      <c r="J2844" s="133"/>
      <c r="K2844" s="133"/>
      <c r="L2844" s="133"/>
      <c r="M2844" s="133"/>
      <c r="N2844" s="133"/>
      <c r="O2844" s="133"/>
      <c r="P2844" s="134"/>
      <c r="Q2844" s="146"/>
      <c r="R2844" s="17"/>
      <c r="S2844" s="17"/>
      <c r="T2844" s="75"/>
      <c r="U2844" s="75"/>
      <c r="V2844" s="75"/>
      <c r="W2844" s="75"/>
      <c r="X2844" s="75"/>
    </row>
    <row r="2845">
      <c r="A2845" s="17"/>
      <c r="B2845" s="17"/>
      <c r="C2845" s="133"/>
      <c r="D2845" s="133"/>
      <c r="E2845" s="17"/>
      <c r="F2845" s="133"/>
      <c r="G2845" s="133"/>
      <c r="H2845" s="133"/>
      <c r="I2845" s="133"/>
      <c r="J2845" s="133"/>
      <c r="K2845" s="133"/>
      <c r="L2845" s="133"/>
      <c r="M2845" s="133"/>
      <c r="N2845" s="133"/>
      <c r="O2845" s="133"/>
      <c r="P2845" s="134"/>
      <c r="Q2845" s="146"/>
      <c r="R2845" s="17"/>
      <c r="S2845" s="17"/>
      <c r="T2845" s="75"/>
      <c r="U2845" s="75"/>
      <c r="V2845" s="75"/>
      <c r="W2845" s="75"/>
      <c r="X2845" s="75"/>
    </row>
    <row r="2846">
      <c r="A2846" s="17"/>
      <c r="B2846" s="17"/>
      <c r="C2846" s="133"/>
      <c r="D2846" s="133"/>
      <c r="E2846" s="17"/>
      <c r="F2846" s="133"/>
      <c r="G2846" s="133"/>
      <c r="H2846" s="133"/>
      <c r="I2846" s="133"/>
      <c r="J2846" s="133"/>
      <c r="K2846" s="133"/>
      <c r="L2846" s="133"/>
      <c r="M2846" s="133"/>
      <c r="N2846" s="133"/>
      <c r="O2846" s="133"/>
      <c r="P2846" s="134"/>
      <c r="Q2846" s="146"/>
      <c r="R2846" s="17"/>
      <c r="S2846" s="17"/>
      <c r="T2846" s="75"/>
      <c r="U2846" s="75"/>
      <c r="V2846" s="75"/>
      <c r="W2846" s="75"/>
      <c r="X2846" s="75"/>
    </row>
    <row r="2847">
      <c r="A2847" s="17"/>
      <c r="B2847" s="17"/>
      <c r="C2847" s="133"/>
      <c r="D2847" s="133"/>
      <c r="E2847" s="17"/>
      <c r="F2847" s="133"/>
      <c r="G2847" s="133"/>
      <c r="H2847" s="133"/>
      <c r="I2847" s="133"/>
      <c r="J2847" s="133"/>
      <c r="K2847" s="133"/>
      <c r="L2847" s="133"/>
      <c r="M2847" s="133"/>
      <c r="N2847" s="133"/>
      <c r="O2847" s="133"/>
      <c r="P2847" s="134"/>
      <c r="Q2847" s="146"/>
      <c r="R2847" s="17"/>
      <c r="S2847" s="17"/>
      <c r="T2847" s="75"/>
      <c r="U2847" s="75"/>
      <c r="V2847" s="75"/>
      <c r="W2847" s="75"/>
      <c r="X2847" s="75"/>
    </row>
    <row r="2848">
      <c r="A2848" s="17"/>
      <c r="B2848" s="17"/>
      <c r="C2848" s="133"/>
      <c r="D2848" s="133"/>
      <c r="E2848" s="17"/>
      <c r="F2848" s="133"/>
      <c r="G2848" s="133"/>
      <c r="H2848" s="133"/>
      <c r="I2848" s="133"/>
      <c r="J2848" s="133"/>
      <c r="K2848" s="133"/>
      <c r="L2848" s="133"/>
      <c r="M2848" s="133"/>
      <c r="N2848" s="133"/>
      <c r="O2848" s="133"/>
      <c r="P2848" s="134"/>
      <c r="Q2848" s="146"/>
      <c r="R2848" s="17"/>
      <c r="S2848" s="17"/>
      <c r="T2848" s="75"/>
      <c r="U2848" s="75"/>
      <c r="V2848" s="75"/>
      <c r="W2848" s="75"/>
      <c r="X2848" s="75"/>
    </row>
    <row r="2849">
      <c r="A2849" s="17"/>
      <c r="B2849" s="17"/>
      <c r="C2849" s="133"/>
      <c r="D2849" s="133"/>
      <c r="E2849" s="17"/>
      <c r="F2849" s="133"/>
      <c r="G2849" s="133"/>
      <c r="H2849" s="133"/>
      <c r="I2849" s="133"/>
      <c r="J2849" s="133"/>
      <c r="K2849" s="133"/>
      <c r="L2849" s="133"/>
      <c r="M2849" s="133"/>
      <c r="N2849" s="133"/>
      <c r="O2849" s="133"/>
      <c r="P2849" s="134"/>
      <c r="Q2849" s="146"/>
      <c r="R2849" s="17"/>
      <c r="S2849" s="17"/>
      <c r="T2849" s="75"/>
      <c r="U2849" s="75"/>
      <c r="V2849" s="75"/>
      <c r="W2849" s="75"/>
      <c r="X2849" s="75"/>
    </row>
    <row r="2850">
      <c r="A2850" s="17"/>
      <c r="B2850" s="17"/>
      <c r="C2850" s="133"/>
      <c r="D2850" s="133"/>
      <c r="E2850" s="17"/>
      <c r="F2850" s="133"/>
      <c r="G2850" s="133"/>
      <c r="H2850" s="133"/>
      <c r="I2850" s="133"/>
      <c r="J2850" s="133"/>
      <c r="K2850" s="133"/>
      <c r="L2850" s="133"/>
      <c r="M2850" s="133"/>
      <c r="N2850" s="133"/>
      <c r="O2850" s="133"/>
      <c r="P2850" s="134"/>
      <c r="Q2850" s="146"/>
      <c r="R2850" s="17"/>
      <c r="S2850" s="17"/>
      <c r="T2850" s="75"/>
      <c r="U2850" s="75"/>
      <c r="V2850" s="75"/>
      <c r="W2850" s="75"/>
      <c r="X2850" s="75"/>
    </row>
    <row r="2851">
      <c r="A2851" s="17"/>
      <c r="B2851" s="17"/>
      <c r="C2851" s="133"/>
      <c r="D2851" s="133"/>
      <c r="E2851" s="17"/>
      <c r="F2851" s="133"/>
      <c r="G2851" s="133"/>
      <c r="H2851" s="133"/>
      <c r="I2851" s="133"/>
      <c r="J2851" s="133"/>
      <c r="K2851" s="133"/>
      <c r="L2851" s="133"/>
      <c r="M2851" s="133"/>
      <c r="N2851" s="133"/>
      <c r="O2851" s="133"/>
      <c r="P2851" s="134"/>
      <c r="Q2851" s="146"/>
      <c r="R2851" s="17"/>
      <c r="S2851" s="17"/>
      <c r="T2851" s="75"/>
      <c r="U2851" s="75"/>
      <c r="V2851" s="75"/>
      <c r="W2851" s="75"/>
      <c r="X2851" s="75"/>
    </row>
    <row r="2852">
      <c r="A2852" s="17"/>
      <c r="B2852" s="17"/>
      <c r="C2852" s="133"/>
      <c r="D2852" s="133"/>
      <c r="E2852" s="17"/>
      <c r="F2852" s="133"/>
      <c r="G2852" s="133"/>
      <c r="H2852" s="133"/>
      <c r="I2852" s="133"/>
      <c r="J2852" s="133"/>
      <c r="K2852" s="133"/>
      <c r="L2852" s="133"/>
      <c r="M2852" s="133"/>
      <c r="N2852" s="133"/>
      <c r="O2852" s="133"/>
      <c r="P2852" s="134"/>
      <c r="Q2852" s="146"/>
      <c r="R2852" s="17"/>
      <c r="S2852" s="17"/>
      <c r="T2852" s="75"/>
      <c r="U2852" s="75"/>
      <c r="V2852" s="75"/>
      <c r="W2852" s="75"/>
      <c r="X2852" s="75"/>
    </row>
    <row r="2853">
      <c r="A2853" s="17"/>
      <c r="B2853" s="17"/>
      <c r="C2853" s="133"/>
      <c r="D2853" s="133"/>
      <c r="E2853" s="17"/>
      <c r="F2853" s="133"/>
      <c r="G2853" s="133"/>
      <c r="H2853" s="133"/>
      <c r="I2853" s="133"/>
      <c r="J2853" s="133"/>
      <c r="K2853" s="133"/>
      <c r="L2853" s="133"/>
      <c r="M2853" s="133"/>
      <c r="N2853" s="133"/>
      <c r="O2853" s="133"/>
      <c r="P2853" s="134"/>
      <c r="Q2853" s="146"/>
      <c r="R2853" s="17"/>
      <c r="S2853" s="17"/>
      <c r="T2853" s="75"/>
      <c r="U2853" s="75"/>
      <c r="V2853" s="75"/>
      <c r="W2853" s="75"/>
      <c r="X2853" s="75"/>
    </row>
    <row r="2854">
      <c r="A2854" s="17"/>
      <c r="B2854" s="17"/>
      <c r="C2854" s="133"/>
      <c r="D2854" s="133"/>
      <c r="E2854" s="17"/>
      <c r="F2854" s="133"/>
      <c r="G2854" s="133"/>
      <c r="H2854" s="133"/>
      <c r="I2854" s="133"/>
      <c r="J2854" s="133"/>
      <c r="K2854" s="133"/>
      <c r="L2854" s="133"/>
      <c r="M2854" s="133"/>
      <c r="N2854" s="133"/>
      <c r="O2854" s="133"/>
      <c r="P2854" s="134"/>
      <c r="Q2854" s="146"/>
      <c r="R2854" s="17"/>
      <c r="S2854" s="17"/>
      <c r="T2854" s="75"/>
      <c r="U2854" s="75"/>
      <c r="V2854" s="75"/>
      <c r="W2854" s="75"/>
      <c r="X2854" s="75"/>
    </row>
    <row r="2855">
      <c r="A2855" s="17"/>
      <c r="B2855" s="17"/>
      <c r="C2855" s="133"/>
      <c r="D2855" s="133"/>
      <c r="E2855" s="17"/>
      <c r="F2855" s="133"/>
      <c r="G2855" s="133"/>
      <c r="H2855" s="133"/>
      <c r="I2855" s="133"/>
      <c r="J2855" s="133"/>
      <c r="K2855" s="133"/>
      <c r="L2855" s="133"/>
      <c r="M2855" s="133"/>
      <c r="N2855" s="133"/>
      <c r="O2855" s="133"/>
      <c r="P2855" s="134"/>
      <c r="Q2855" s="146"/>
      <c r="R2855" s="17"/>
      <c r="S2855" s="17"/>
      <c r="T2855" s="75"/>
      <c r="U2855" s="75"/>
      <c r="V2855" s="75"/>
      <c r="W2855" s="75"/>
      <c r="X2855" s="75"/>
    </row>
    <row r="2856">
      <c r="A2856" s="17"/>
      <c r="B2856" s="17"/>
      <c r="C2856" s="133"/>
      <c r="D2856" s="133"/>
      <c r="E2856" s="17"/>
      <c r="F2856" s="133"/>
      <c r="G2856" s="133"/>
      <c r="H2856" s="133"/>
      <c r="I2856" s="133"/>
      <c r="J2856" s="133"/>
      <c r="K2856" s="133"/>
      <c r="L2856" s="133"/>
      <c r="M2856" s="133"/>
      <c r="N2856" s="133"/>
      <c r="O2856" s="133"/>
      <c r="P2856" s="134"/>
      <c r="Q2856" s="146"/>
      <c r="R2856" s="17"/>
      <c r="S2856" s="17"/>
      <c r="T2856" s="75"/>
      <c r="U2856" s="75"/>
      <c r="V2856" s="75"/>
      <c r="W2856" s="75"/>
      <c r="X2856" s="75"/>
    </row>
    <row r="2857">
      <c r="A2857" s="17"/>
      <c r="B2857" s="17"/>
      <c r="C2857" s="133"/>
      <c r="D2857" s="133"/>
      <c r="E2857" s="17"/>
      <c r="F2857" s="133"/>
      <c r="G2857" s="133"/>
      <c r="H2857" s="133"/>
      <c r="I2857" s="133"/>
      <c r="J2857" s="133"/>
      <c r="K2857" s="133"/>
      <c r="L2857" s="133"/>
      <c r="M2857" s="133"/>
      <c r="N2857" s="133"/>
      <c r="O2857" s="133"/>
      <c r="P2857" s="134"/>
      <c r="Q2857" s="146"/>
      <c r="R2857" s="17"/>
      <c r="S2857" s="17"/>
      <c r="T2857" s="75"/>
      <c r="U2857" s="75"/>
      <c r="V2857" s="75"/>
      <c r="W2857" s="75"/>
      <c r="X2857" s="75"/>
    </row>
    <row r="2858">
      <c r="A2858" s="17"/>
      <c r="B2858" s="17"/>
      <c r="C2858" s="133"/>
      <c r="D2858" s="133"/>
      <c r="E2858" s="17"/>
      <c r="F2858" s="133"/>
      <c r="G2858" s="133"/>
      <c r="H2858" s="133"/>
      <c r="I2858" s="133"/>
      <c r="J2858" s="133"/>
      <c r="K2858" s="133"/>
      <c r="L2858" s="133"/>
      <c r="M2858" s="133"/>
      <c r="N2858" s="133"/>
      <c r="O2858" s="133"/>
      <c r="P2858" s="134"/>
      <c r="Q2858" s="146"/>
      <c r="R2858" s="17"/>
      <c r="S2858" s="17"/>
      <c r="T2858" s="75"/>
      <c r="U2858" s="75"/>
      <c r="V2858" s="75"/>
      <c r="W2858" s="75"/>
      <c r="X2858" s="75"/>
    </row>
    <row r="2859">
      <c r="A2859" s="17"/>
      <c r="B2859" s="17"/>
      <c r="C2859" s="133"/>
      <c r="D2859" s="133"/>
      <c r="E2859" s="17"/>
      <c r="F2859" s="133"/>
      <c r="G2859" s="133"/>
      <c r="H2859" s="133"/>
      <c r="I2859" s="133"/>
      <c r="J2859" s="133"/>
      <c r="K2859" s="133"/>
      <c r="L2859" s="133"/>
      <c r="M2859" s="133"/>
      <c r="N2859" s="133"/>
      <c r="O2859" s="133"/>
      <c r="P2859" s="134"/>
      <c r="Q2859" s="146"/>
      <c r="R2859" s="17"/>
      <c r="S2859" s="17"/>
      <c r="T2859" s="75"/>
      <c r="U2859" s="75"/>
      <c r="V2859" s="75"/>
      <c r="W2859" s="75"/>
      <c r="X2859" s="75"/>
    </row>
    <row r="2860">
      <c r="A2860" s="17"/>
      <c r="B2860" s="17"/>
      <c r="C2860" s="133"/>
      <c r="D2860" s="133"/>
      <c r="E2860" s="17"/>
      <c r="F2860" s="133"/>
      <c r="G2860" s="133"/>
      <c r="H2860" s="133"/>
      <c r="I2860" s="133"/>
      <c r="J2860" s="133"/>
      <c r="K2860" s="133"/>
      <c r="L2860" s="133"/>
      <c r="M2860" s="133"/>
      <c r="N2860" s="133"/>
      <c r="O2860" s="133"/>
      <c r="P2860" s="134"/>
      <c r="Q2860" s="146"/>
      <c r="R2860" s="17"/>
      <c r="S2860" s="17"/>
      <c r="T2860" s="75"/>
      <c r="U2860" s="75"/>
      <c r="V2860" s="75"/>
      <c r="W2860" s="75"/>
      <c r="X2860" s="75"/>
    </row>
    <row r="2861">
      <c r="A2861" s="17"/>
      <c r="B2861" s="17"/>
      <c r="C2861" s="133"/>
      <c r="D2861" s="133"/>
      <c r="E2861" s="17"/>
      <c r="F2861" s="133"/>
      <c r="G2861" s="133"/>
      <c r="H2861" s="133"/>
      <c r="I2861" s="133"/>
      <c r="J2861" s="133"/>
      <c r="K2861" s="133"/>
      <c r="L2861" s="133"/>
      <c r="M2861" s="133"/>
      <c r="N2861" s="133"/>
      <c r="O2861" s="133"/>
      <c r="P2861" s="134"/>
      <c r="Q2861" s="146"/>
      <c r="R2861" s="17"/>
      <c r="S2861" s="17"/>
      <c r="T2861" s="75"/>
      <c r="U2861" s="75"/>
      <c r="V2861" s="75"/>
      <c r="W2861" s="75"/>
      <c r="X2861" s="75"/>
    </row>
    <row r="2862">
      <c r="A2862" s="17"/>
      <c r="B2862" s="17"/>
      <c r="C2862" s="133"/>
      <c r="D2862" s="133"/>
      <c r="E2862" s="17"/>
      <c r="F2862" s="133"/>
      <c r="G2862" s="133"/>
      <c r="H2862" s="133"/>
      <c r="I2862" s="133"/>
      <c r="J2862" s="133"/>
      <c r="K2862" s="133"/>
      <c r="L2862" s="133"/>
      <c r="M2862" s="133"/>
      <c r="N2862" s="133"/>
      <c r="O2862" s="133"/>
      <c r="P2862" s="134"/>
      <c r="Q2862" s="146"/>
      <c r="R2862" s="17"/>
      <c r="S2862" s="17"/>
      <c r="T2862" s="75"/>
      <c r="U2862" s="75"/>
      <c r="V2862" s="75"/>
      <c r="W2862" s="75"/>
      <c r="X2862" s="75"/>
    </row>
    <row r="2863">
      <c r="A2863" s="17"/>
      <c r="B2863" s="17"/>
      <c r="C2863" s="133"/>
      <c r="D2863" s="133"/>
      <c r="E2863" s="17"/>
      <c r="F2863" s="133"/>
      <c r="G2863" s="133"/>
      <c r="H2863" s="133"/>
      <c r="I2863" s="133"/>
      <c r="J2863" s="133"/>
      <c r="K2863" s="133"/>
      <c r="L2863" s="133"/>
      <c r="M2863" s="133"/>
      <c r="N2863" s="133"/>
      <c r="O2863" s="133"/>
      <c r="P2863" s="134"/>
      <c r="Q2863" s="146"/>
      <c r="R2863" s="17"/>
      <c r="S2863" s="17"/>
      <c r="T2863" s="75"/>
      <c r="U2863" s="75"/>
      <c r="V2863" s="75"/>
      <c r="W2863" s="75"/>
      <c r="X2863" s="75"/>
    </row>
    <row r="2864">
      <c r="A2864" s="17"/>
      <c r="B2864" s="17"/>
      <c r="C2864" s="133"/>
      <c r="D2864" s="133"/>
      <c r="E2864" s="17"/>
      <c r="F2864" s="133"/>
      <c r="G2864" s="133"/>
      <c r="H2864" s="133"/>
      <c r="I2864" s="133"/>
      <c r="J2864" s="133"/>
      <c r="K2864" s="133"/>
      <c r="L2864" s="133"/>
      <c r="M2864" s="133"/>
      <c r="N2864" s="133"/>
      <c r="O2864" s="133"/>
      <c r="P2864" s="134"/>
      <c r="Q2864" s="146"/>
      <c r="R2864" s="17"/>
      <c r="S2864" s="17"/>
      <c r="T2864" s="75"/>
      <c r="U2864" s="75"/>
      <c r="V2864" s="75"/>
      <c r="W2864" s="75"/>
      <c r="X2864" s="75"/>
    </row>
    <row r="2865">
      <c r="A2865" s="17"/>
      <c r="B2865" s="17"/>
      <c r="C2865" s="133"/>
      <c r="D2865" s="133"/>
      <c r="E2865" s="17"/>
      <c r="F2865" s="133"/>
      <c r="G2865" s="133"/>
      <c r="H2865" s="133"/>
      <c r="I2865" s="133"/>
      <c r="J2865" s="133"/>
      <c r="K2865" s="133"/>
      <c r="L2865" s="133"/>
      <c r="M2865" s="133"/>
      <c r="N2865" s="133"/>
      <c r="O2865" s="133"/>
      <c r="P2865" s="134"/>
      <c r="Q2865" s="146"/>
      <c r="R2865" s="17"/>
      <c r="S2865" s="17"/>
      <c r="T2865" s="75"/>
      <c r="U2865" s="75"/>
      <c r="V2865" s="75"/>
      <c r="W2865" s="75"/>
      <c r="X2865" s="75"/>
    </row>
    <row r="2866">
      <c r="A2866" s="17"/>
      <c r="B2866" s="17"/>
      <c r="C2866" s="133"/>
      <c r="D2866" s="133"/>
      <c r="E2866" s="17"/>
      <c r="F2866" s="133"/>
      <c r="G2866" s="133"/>
      <c r="H2866" s="133"/>
      <c r="I2866" s="133"/>
      <c r="J2866" s="133"/>
      <c r="K2866" s="133"/>
      <c r="L2866" s="133"/>
      <c r="M2866" s="133"/>
      <c r="N2866" s="133"/>
      <c r="O2866" s="133"/>
      <c r="P2866" s="134"/>
      <c r="Q2866" s="146"/>
      <c r="R2866" s="17"/>
      <c r="S2866" s="17"/>
      <c r="T2866" s="75"/>
      <c r="U2866" s="75"/>
      <c r="V2866" s="75"/>
      <c r="W2866" s="75"/>
      <c r="X2866" s="75"/>
    </row>
    <row r="2867">
      <c r="A2867" s="17"/>
      <c r="B2867" s="17"/>
      <c r="C2867" s="133"/>
      <c r="D2867" s="133"/>
      <c r="E2867" s="17"/>
      <c r="F2867" s="133"/>
      <c r="G2867" s="133"/>
      <c r="H2867" s="133"/>
      <c r="I2867" s="133"/>
      <c r="J2867" s="133"/>
      <c r="K2867" s="133"/>
      <c r="L2867" s="133"/>
      <c r="M2867" s="133"/>
      <c r="N2867" s="133"/>
      <c r="O2867" s="133"/>
      <c r="P2867" s="134"/>
      <c r="Q2867" s="146"/>
      <c r="R2867" s="17"/>
      <c r="S2867" s="17"/>
      <c r="T2867" s="75"/>
      <c r="U2867" s="75"/>
      <c r="V2867" s="75"/>
      <c r="W2867" s="75"/>
      <c r="X2867" s="75"/>
    </row>
    <row r="2868">
      <c r="A2868" s="17"/>
      <c r="B2868" s="17"/>
      <c r="C2868" s="133"/>
      <c r="D2868" s="133"/>
      <c r="E2868" s="17"/>
      <c r="F2868" s="133"/>
      <c r="G2868" s="133"/>
      <c r="H2868" s="133"/>
      <c r="I2868" s="133"/>
      <c r="J2868" s="133"/>
      <c r="K2868" s="133"/>
      <c r="L2868" s="133"/>
      <c r="M2868" s="133"/>
      <c r="N2868" s="133"/>
      <c r="O2868" s="133"/>
      <c r="P2868" s="134"/>
      <c r="Q2868" s="146"/>
      <c r="R2868" s="17"/>
      <c r="S2868" s="17"/>
      <c r="T2868" s="75"/>
      <c r="U2868" s="75"/>
      <c r="V2868" s="75"/>
      <c r="W2868" s="75"/>
      <c r="X2868" s="75"/>
    </row>
    <row r="2869">
      <c r="A2869" s="17"/>
      <c r="B2869" s="17"/>
      <c r="C2869" s="133"/>
      <c r="D2869" s="133"/>
      <c r="E2869" s="17"/>
      <c r="F2869" s="133"/>
      <c r="G2869" s="133"/>
      <c r="H2869" s="133"/>
      <c r="I2869" s="133"/>
      <c r="J2869" s="133"/>
      <c r="K2869" s="133"/>
      <c r="L2869" s="133"/>
      <c r="M2869" s="133"/>
      <c r="N2869" s="133"/>
      <c r="O2869" s="133"/>
      <c r="P2869" s="134"/>
      <c r="Q2869" s="146"/>
      <c r="R2869" s="17"/>
      <c r="S2869" s="17"/>
      <c r="T2869" s="75"/>
      <c r="U2869" s="75"/>
      <c r="V2869" s="75"/>
      <c r="W2869" s="75"/>
      <c r="X2869" s="75"/>
    </row>
    <row r="2870">
      <c r="A2870" s="17"/>
      <c r="B2870" s="17"/>
      <c r="C2870" s="133"/>
      <c r="D2870" s="133"/>
      <c r="E2870" s="17"/>
      <c r="F2870" s="133"/>
      <c r="G2870" s="133"/>
      <c r="H2870" s="133"/>
      <c r="I2870" s="133"/>
      <c r="J2870" s="133"/>
      <c r="K2870" s="133"/>
      <c r="L2870" s="133"/>
      <c r="M2870" s="133"/>
      <c r="N2870" s="133"/>
      <c r="O2870" s="133"/>
      <c r="P2870" s="134"/>
      <c r="Q2870" s="146"/>
      <c r="R2870" s="17"/>
      <c r="S2870" s="17"/>
      <c r="T2870" s="75"/>
      <c r="U2870" s="75"/>
      <c r="V2870" s="75"/>
      <c r="W2870" s="75"/>
      <c r="X2870" s="75"/>
    </row>
    <row r="2871">
      <c r="A2871" s="17"/>
      <c r="B2871" s="17"/>
      <c r="C2871" s="133"/>
      <c r="D2871" s="133"/>
      <c r="E2871" s="17"/>
      <c r="F2871" s="133"/>
      <c r="G2871" s="133"/>
      <c r="H2871" s="133"/>
      <c r="I2871" s="133"/>
      <c r="J2871" s="133"/>
      <c r="K2871" s="133"/>
      <c r="L2871" s="133"/>
      <c r="M2871" s="133"/>
      <c r="N2871" s="133"/>
      <c r="O2871" s="133"/>
      <c r="P2871" s="134"/>
      <c r="Q2871" s="146"/>
      <c r="R2871" s="17"/>
      <c r="S2871" s="17"/>
      <c r="T2871" s="75"/>
      <c r="U2871" s="75"/>
      <c r="V2871" s="75"/>
      <c r="W2871" s="75"/>
      <c r="X2871" s="75"/>
    </row>
    <row r="2872">
      <c r="A2872" s="17"/>
      <c r="B2872" s="17"/>
      <c r="C2872" s="133"/>
      <c r="D2872" s="133"/>
      <c r="E2872" s="17"/>
      <c r="F2872" s="133"/>
      <c r="G2872" s="133"/>
      <c r="H2872" s="133"/>
      <c r="I2872" s="133"/>
      <c r="J2872" s="133"/>
      <c r="K2872" s="133"/>
      <c r="L2872" s="133"/>
      <c r="M2872" s="133"/>
      <c r="N2872" s="133"/>
      <c r="O2872" s="133"/>
      <c r="P2872" s="134"/>
      <c r="Q2872" s="146"/>
      <c r="R2872" s="17"/>
      <c r="S2872" s="17"/>
      <c r="T2872" s="75"/>
      <c r="U2872" s="75"/>
      <c r="V2872" s="75"/>
      <c r="W2872" s="75"/>
      <c r="X2872" s="75"/>
    </row>
    <row r="2873">
      <c r="A2873" s="17"/>
      <c r="B2873" s="17"/>
      <c r="C2873" s="133"/>
      <c r="D2873" s="133"/>
      <c r="E2873" s="17"/>
      <c r="F2873" s="133"/>
      <c r="G2873" s="133"/>
      <c r="H2873" s="133"/>
      <c r="I2873" s="133"/>
      <c r="J2873" s="133"/>
      <c r="K2873" s="133"/>
      <c r="L2873" s="133"/>
      <c r="M2873" s="133"/>
      <c r="N2873" s="133"/>
      <c r="O2873" s="133"/>
      <c r="P2873" s="134"/>
      <c r="Q2873" s="146"/>
      <c r="R2873" s="17"/>
      <c r="S2873" s="17"/>
      <c r="T2873" s="75"/>
      <c r="U2873" s="75"/>
      <c r="V2873" s="75"/>
      <c r="W2873" s="75"/>
      <c r="X2873" s="75"/>
    </row>
    <row r="2874">
      <c r="A2874" s="17"/>
      <c r="B2874" s="17"/>
      <c r="C2874" s="133"/>
      <c r="D2874" s="133"/>
      <c r="E2874" s="17"/>
      <c r="F2874" s="133"/>
      <c r="G2874" s="133"/>
      <c r="H2874" s="133"/>
      <c r="I2874" s="133"/>
      <c r="J2874" s="133"/>
      <c r="K2874" s="133"/>
      <c r="L2874" s="133"/>
      <c r="M2874" s="133"/>
      <c r="N2874" s="133"/>
      <c r="O2874" s="133"/>
      <c r="P2874" s="134"/>
      <c r="Q2874" s="146"/>
      <c r="R2874" s="17"/>
      <c r="S2874" s="17"/>
      <c r="T2874" s="75"/>
      <c r="U2874" s="75"/>
      <c r="V2874" s="75"/>
      <c r="W2874" s="75"/>
      <c r="X2874" s="75"/>
    </row>
    <row r="2875">
      <c r="A2875" s="17"/>
      <c r="B2875" s="17"/>
      <c r="C2875" s="133"/>
      <c r="D2875" s="133"/>
      <c r="E2875" s="17"/>
      <c r="F2875" s="133"/>
      <c r="G2875" s="133"/>
      <c r="H2875" s="133"/>
      <c r="I2875" s="133"/>
      <c r="J2875" s="133"/>
      <c r="K2875" s="133"/>
      <c r="L2875" s="133"/>
      <c r="M2875" s="133"/>
      <c r="N2875" s="133"/>
      <c r="O2875" s="133"/>
      <c r="P2875" s="134"/>
      <c r="Q2875" s="146"/>
      <c r="R2875" s="17"/>
      <c r="S2875" s="17"/>
      <c r="T2875" s="75"/>
      <c r="U2875" s="75"/>
      <c r="V2875" s="75"/>
      <c r="W2875" s="75"/>
      <c r="X2875" s="75"/>
    </row>
    <row r="2876">
      <c r="A2876" s="17"/>
      <c r="B2876" s="17"/>
      <c r="C2876" s="133"/>
      <c r="D2876" s="133"/>
      <c r="E2876" s="17"/>
      <c r="F2876" s="133"/>
      <c r="G2876" s="133"/>
      <c r="H2876" s="133"/>
      <c r="I2876" s="133"/>
      <c r="J2876" s="133"/>
      <c r="K2876" s="133"/>
      <c r="L2876" s="133"/>
      <c r="M2876" s="133"/>
      <c r="N2876" s="133"/>
      <c r="O2876" s="133"/>
      <c r="P2876" s="134"/>
      <c r="Q2876" s="146"/>
      <c r="R2876" s="17"/>
      <c r="S2876" s="17"/>
      <c r="T2876" s="75"/>
      <c r="U2876" s="75"/>
      <c r="V2876" s="75"/>
      <c r="W2876" s="75"/>
      <c r="X2876" s="75"/>
    </row>
    <row r="2877">
      <c r="A2877" s="17"/>
      <c r="B2877" s="17"/>
      <c r="C2877" s="133"/>
      <c r="D2877" s="133"/>
      <c r="E2877" s="17"/>
      <c r="F2877" s="133"/>
      <c r="G2877" s="133"/>
      <c r="H2877" s="133"/>
      <c r="I2877" s="133"/>
      <c r="J2877" s="133"/>
      <c r="K2877" s="133"/>
      <c r="L2877" s="133"/>
      <c r="M2877" s="133"/>
      <c r="N2877" s="133"/>
      <c r="O2877" s="133"/>
      <c r="P2877" s="134"/>
      <c r="Q2877" s="146"/>
      <c r="R2877" s="17"/>
      <c r="S2877" s="17"/>
      <c r="T2877" s="75"/>
      <c r="U2877" s="75"/>
      <c r="V2877" s="75"/>
      <c r="W2877" s="75"/>
      <c r="X2877" s="75"/>
    </row>
    <row r="2878">
      <c r="A2878" s="17"/>
      <c r="B2878" s="17"/>
      <c r="C2878" s="133"/>
      <c r="D2878" s="133"/>
      <c r="E2878" s="17"/>
      <c r="F2878" s="133"/>
      <c r="G2878" s="133"/>
      <c r="H2878" s="133"/>
      <c r="I2878" s="133"/>
      <c r="J2878" s="133"/>
      <c r="K2878" s="133"/>
      <c r="L2878" s="133"/>
      <c r="M2878" s="133"/>
      <c r="N2878" s="133"/>
      <c r="O2878" s="133"/>
      <c r="P2878" s="134"/>
      <c r="Q2878" s="146"/>
      <c r="R2878" s="17"/>
      <c r="S2878" s="17"/>
      <c r="T2878" s="75"/>
      <c r="U2878" s="75"/>
      <c r="V2878" s="75"/>
      <c r="W2878" s="75"/>
      <c r="X2878" s="75"/>
    </row>
    <row r="2879">
      <c r="A2879" s="17"/>
      <c r="B2879" s="17"/>
      <c r="C2879" s="133"/>
      <c r="D2879" s="133"/>
      <c r="E2879" s="17"/>
      <c r="F2879" s="133"/>
      <c r="G2879" s="133"/>
      <c r="H2879" s="133"/>
      <c r="I2879" s="133"/>
      <c r="J2879" s="133"/>
      <c r="K2879" s="133"/>
      <c r="L2879" s="133"/>
      <c r="M2879" s="133"/>
      <c r="N2879" s="133"/>
      <c r="O2879" s="133"/>
      <c r="P2879" s="134"/>
      <c r="Q2879" s="146"/>
      <c r="R2879" s="17"/>
      <c r="S2879" s="17"/>
      <c r="T2879" s="75"/>
      <c r="U2879" s="75"/>
      <c r="V2879" s="75"/>
      <c r="W2879" s="75"/>
      <c r="X2879" s="75"/>
    </row>
    <row r="2880">
      <c r="A2880" s="17"/>
      <c r="B2880" s="17"/>
      <c r="C2880" s="133"/>
      <c r="D2880" s="133"/>
      <c r="E2880" s="17"/>
      <c r="F2880" s="133"/>
      <c r="G2880" s="133"/>
      <c r="H2880" s="133"/>
      <c r="I2880" s="133"/>
      <c r="J2880" s="133"/>
      <c r="K2880" s="133"/>
      <c r="L2880" s="133"/>
      <c r="M2880" s="133"/>
      <c r="N2880" s="133"/>
      <c r="O2880" s="133"/>
      <c r="P2880" s="134"/>
      <c r="Q2880" s="146"/>
      <c r="R2880" s="17"/>
      <c r="S2880" s="17"/>
      <c r="T2880" s="75"/>
      <c r="U2880" s="75"/>
      <c r="V2880" s="75"/>
      <c r="W2880" s="75"/>
      <c r="X2880" s="75"/>
    </row>
    <row r="2881">
      <c r="A2881" s="17"/>
      <c r="B2881" s="17"/>
      <c r="C2881" s="133"/>
      <c r="D2881" s="133"/>
      <c r="E2881" s="17"/>
      <c r="F2881" s="133"/>
      <c r="G2881" s="133"/>
      <c r="H2881" s="133"/>
      <c r="I2881" s="133"/>
      <c r="J2881" s="133"/>
      <c r="K2881" s="133"/>
      <c r="L2881" s="133"/>
      <c r="M2881" s="133"/>
      <c r="N2881" s="133"/>
      <c r="O2881" s="133"/>
      <c r="P2881" s="134"/>
      <c r="Q2881" s="146"/>
      <c r="R2881" s="17"/>
      <c r="S2881" s="17"/>
      <c r="T2881" s="75"/>
      <c r="U2881" s="75"/>
      <c r="V2881" s="75"/>
      <c r="W2881" s="75"/>
      <c r="X2881" s="75"/>
    </row>
    <row r="2882">
      <c r="A2882" s="17"/>
      <c r="B2882" s="17"/>
      <c r="C2882" s="133"/>
      <c r="D2882" s="133"/>
      <c r="E2882" s="17"/>
      <c r="F2882" s="133"/>
      <c r="G2882" s="133"/>
      <c r="H2882" s="133"/>
      <c r="I2882" s="133"/>
      <c r="J2882" s="133"/>
      <c r="K2882" s="133"/>
      <c r="L2882" s="133"/>
      <c r="M2882" s="133"/>
      <c r="N2882" s="133"/>
      <c r="O2882" s="133"/>
      <c r="P2882" s="134"/>
      <c r="Q2882" s="146"/>
      <c r="R2882" s="17"/>
      <c r="S2882" s="17"/>
      <c r="T2882" s="75"/>
      <c r="U2882" s="75"/>
      <c r="V2882" s="75"/>
      <c r="W2882" s="75"/>
      <c r="X2882" s="75"/>
    </row>
    <row r="2883">
      <c r="A2883" s="17"/>
      <c r="B2883" s="17"/>
      <c r="C2883" s="133"/>
      <c r="D2883" s="133"/>
      <c r="E2883" s="17"/>
      <c r="F2883" s="133"/>
      <c r="G2883" s="133"/>
      <c r="H2883" s="133"/>
      <c r="I2883" s="133"/>
      <c r="J2883" s="133"/>
      <c r="K2883" s="133"/>
      <c r="L2883" s="133"/>
      <c r="M2883" s="133"/>
      <c r="N2883" s="133"/>
      <c r="O2883" s="133"/>
      <c r="P2883" s="134"/>
      <c r="Q2883" s="146"/>
      <c r="R2883" s="17"/>
      <c r="S2883" s="17"/>
      <c r="T2883" s="75"/>
      <c r="U2883" s="75"/>
      <c r="V2883" s="75"/>
      <c r="W2883" s="75"/>
      <c r="X2883" s="75"/>
    </row>
    <row r="2884">
      <c r="A2884" s="17"/>
      <c r="B2884" s="17"/>
      <c r="C2884" s="133"/>
      <c r="D2884" s="133"/>
      <c r="E2884" s="17"/>
      <c r="F2884" s="133"/>
      <c r="G2884" s="133"/>
      <c r="H2884" s="133"/>
      <c r="I2884" s="133"/>
      <c r="J2884" s="133"/>
      <c r="K2884" s="133"/>
      <c r="L2884" s="133"/>
      <c r="M2884" s="133"/>
      <c r="N2884" s="133"/>
      <c r="O2884" s="133"/>
      <c r="P2884" s="134"/>
      <c r="Q2884" s="146"/>
      <c r="R2884" s="17"/>
      <c r="S2884" s="17"/>
      <c r="T2884" s="75"/>
      <c r="U2884" s="75"/>
      <c r="V2884" s="75"/>
      <c r="W2884" s="75"/>
      <c r="X2884" s="75"/>
    </row>
    <row r="2885">
      <c r="A2885" s="17"/>
      <c r="B2885" s="17"/>
      <c r="C2885" s="133"/>
      <c r="D2885" s="133"/>
      <c r="E2885" s="17"/>
      <c r="F2885" s="133"/>
      <c r="G2885" s="133"/>
      <c r="H2885" s="133"/>
      <c r="I2885" s="133"/>
      <c r="J2885" s="133"/>
      <c r="K2885" s="133"/>
      <c r="L2885" s="133"/>
      <c r="M2885" s="133"/>
      <c r="N2885" s="133"/>
      <c r="O2885" s="133"/>
      <c r="P2885" s="134"/>
      <c r="Q2885" s="146"/>
      <c r="R2885" s="17"/>
      <c r="S2885" s="17"/>
      <c r="T2885" s="75"/>
      <c r="U2885" s="75"/>
      <c r="V2885" s="75"/>
      <c r="W2885" s="75"/>
      <c r="X2885" s="75"/>
    </row>
    <row r="2886">
      <c r="A2886" s="17"/>
      <c r="B2886" s="17"/>
      <c r="C2886" s="133"/>
      <c r="D2886" s="133"/>
      <c r="E2886" s="17"/>
      <c r="F2886" s="133"/>
      <c r="G2886" s="133"/>
      <c r="H2886" s="133"/>
      <c r="I2886" s="133"/>
      <c r="J2886" s="133"/>
      <c r="K2886" s="133"/>
      <c r="L2886" s="133"/>
      <c r="M2886" s="133"/>
      <c r="N2886" s="133"/>
      <c r="O2886" s="133"/>
      <c r="P2886" s="134"/>
      <c r="Q2886" s="146"/>
      <c r="R2886" s="17"/>
      <c r="S2886" s="17"/>
      <c r="T2886" s="75"/>
      <c r="U2886" s="75"/>
      <c r="V2886" s="75"/>
      <c r="W2886" s="75"/>
      <c r="X2886" s="75"/>
    </row>
    <row r="2887">
      <c r="A2887" s="17"/>
      <c r="B2887" s="17"/>
      <c r="C2887" s="133"/>
      <c r="D2887" s="133"/>
      <c r="E2887" s="17"/>
      <c r="F2887" s="133"/>
      <c r="G2887" s="133"/>
      <c r="H2887" s="133"/>
      <c r="I2887" s="133"/>
      <c r="J2887" s="133"/>
      <c r="K2887" s="133"/>
      <c r="L2887" s="133"/>
      <c r="M2887" s="133"/>
      <c r="N2887" s="133"/>
      <c r="O2887" s="133"/>
      <c r="P2887" s="134"/>
      <c r="Q2887" s="146"/>
      <c r="R2887" s="17"/>
      <c r="S2887" s="17"/>
      <c r="T2887" s="75"/>
      <c r="U2887" s="75"/>
      <c r="V2887" s="75"/>
      <c r="W2887" s="75"/>
      <c r="X2887" s="75"/>
    </row>
    <row r="2888">
      <c r="A2888" s="17"/>
      <c r="B2888" s="17"/>
      <c r="C2888" s="133"/>
      <c r="D2888" s="133"/>
      <c r="E2888" s="17"/>
      <c r="F2888" s="133"/>
      <c r="G2888" s="133"/>
      <c r="H2888" s="133"/>
      <c r="I2888" s="133"/>
      <c r="J2888" s="133"/>
      <c r="K2888" s="133"/>
      <c r="L2888" s="133"/>
      <c r="M2888" s="133"/>
      <c r="N2888" s="133"/>
      <c r="O2888" s="133"/>
      <c r="P2888" s="134"/>
      <c r="Q2888" s="146"/>
      <c r="R2888" s="17"/>
      <c r="S2888" s="17"/>
      <c r="T2888" s="75"/>
      <c r="U2888" s="75"/>
      <c r="V2888" s="75"/>
      <c r="W2888" s="75"/>
      <c r="X2888" s="75"/>
    </row>
    <row r="2889">
      <c r="A2889" s="17"/>
      <c r="B2889" s="17"/>
      <c r="C2889" s="133"/>
      <c r="D2889" s="133"/>
      <c r="E2889" s="17"/>
      <c r="F2889" s="133"/>
      <c r="G2889" s="133"/>
      <c r="H2889" s="133"/>
      <c r="I2889" s="133"/>
      <c r="J2889" s="133"/>
      <c r="K2889" s="133"/>
      <c r="L2889" s="133"/>
      <c r="M2889" s="133"/>
      <c r="N2889" s="133"/>
      <c r="O2889" s="133"/>
      <c r="P2889" s="134"/>
      <c r="Q2889" s="146"/>
      <c r="R2889" s="17"/>
      <c r="S2889" s="17"/>
      <c r="T2889" s="75"/>
      <c r="U2889" s="75"/>
      <c r="V2889" s="75"/>
      <c r="W2889" s="75"/>
      <c r="X2889" s="75"/>
    </row>
    <row r="2890">
      <c r="A2890" s="17"/>
      <c r="B2890" s="17"/>
      <c r="C2890" s="133"/>
      <c r="D2890" s="133"/>
      <c r="E2890" s="17"/>
      <c r="F2890" s="133"/>
      <c r="G2890" s="133"/>
      <c r="H2890" s="133"/>
      <c r="I2890" s="133"/>
      <c r="J2890" s="133"/>
      <c r="K2890" s="133"/>
      <c r="L2890" s="133"/>
      <c r="M2890" s="133"/>
      <c r="N2890" s="133"/>
      <c r="O2890" s="133"/>
      <c r="P2890" s="134"/>
      <c r="Q2890" s="146"/>
      <c r="R2890" s="17"/>
      <c r="S2890" s="17"/>
      <c r="T2890" s="75"/>
      <c r="U2890" s="75"/>
      <c r="V2890" s="75"/>
      <c r="W2890" s="75"/>
      <c r="X2890" s="75"/>
    </row>
    <row r="2891">
      <c r="A2891" s="17"/>
      <c r="B2891" s="17"/>
      <c r="C2891" s="133"/>
      <c r="D2891" s="133"/>
      <c r="E2891" s="17"/>
      <c r="F2891" s="133"/>
      <c r="G2891" s="133"/>
      <c r="H2891" s="133"/>
      <c r="I2891" s="133"/>
      <c r="J2891" s="133"/>
      <c r="K2891" s="133"/>
      <c r="L2891" s="133"/>
      <c r="M2891" s="133"/>
      <c r="N2891" s="133"/>
      <c r="O2891" s="133"/>
      <c r="P2891" s="134"/>
      <c r="Q2891" s="146"/>
      <c r="R2891" s="17"/>
      <c r="S2891" s="17"/>
      <c r="T2891" s="75"/>
      <c r="U2891" s="75"/>
      <c r="V2891" s="75"/>
      <c r="W2891" s="75"/>
      <c r="X2891" s="75"/>
    </row>
    <row r="2892">
      <c r="A2892" s="17"/>
      <c r="B2892" s="17"/>
      <c r="C2892" s="133"/>
      <c r="D2892" s="133"/>
      <c r="E2892" s="17"/>
      <c r="F2892" s="133"/>
      <c r="G2892" s="133"/>
      <c r="H2892" s="133"/>
      <c r="I2892" s="133"/>
      <c r="J2892" s="133"/>
      <c r="K2892" s="133"/>
      <c r="L2892" s="133"/>
      <c r="M2892" s="133"/>
      <c r="N2892" s="133"/>
      <c r="O2892" s="133"/>
      <c r="P2892" s="134"/>
      <c r="Q2892" s="146"/>
      <c r="R2892" s="17"/>
      <c r="S2892" s="17"/>
      <c r="T2892" s="75"/>
      <c r="U2892" s="75"/>
      <c r="V2892" s="75"/>
      <c r="W2892" s="75"/>
      <c r="X2892" s="75"/>
    </row>
    <row r="2893">
      <c r="A2893" s="17"/>
      <c r="B2893" s="17"/>
      <c r="C2893" s="133"/>
      <c r="D2893" s="133"/>
      <c r="E2893" s="17"/>
      <c r="F2893" s="133"/>
      <c r="G2893" s="133"/>
      <c r="H2893" s="133"/>
      <c r="I2893" s="133"/>
      <c r="J2893" s="133"/>
      <c r="K2893" s="133"/>
      <c r="L2893" s="133"/>
      <c r="M2893" s="133"/>
      <c r="N2893" s="133"/>
      <c r="O2893" s="133"/>
      <c r="P2893" s="134"/>
      <c r="Q2893" s="146"/>
      <c r="R2893" s="17"/>
      <c r="S2893" s="17"/>
      <c r="T2893" s="75"/>
      <c r="U2893" s="75"/>
      <c r="V2893" s="75"/>
      <c r="W2893" s="75"/>
      <c r="X2893" s="75"/>
    </row>
    <row r="2894">
      <c r="A2894" s="17"/>
      <c r="B2894" s="17"/>
      <c r="C2894" s="133"/>
      <c r="D2894" s="133"/>
      <c r="E2894" s="17"/>
      <c r="F2894" s="133"/>
      <c r="G2894" s="133"/>
      <c r="H2894" s="133"/>
      <c r="I2894" s="133"/>
      <c r="J2894" s="133"/>
      <c r="K2894" s="133"/>
      <c r="L2894" s="133"/>
      <c r="M2894" s="133"/>
      <c r="N2894" s="133"/>
      <c r="O2894" s="133"/>
      <c r="P2894" s="134"/>
      <c r="Q2894" s="146"/>
      <c r="R2894" s="17"/>
      <c r="S2894" s="17"/>
      <c r="T2894" s="75"/>
      <c r="U2894" s="75"/>
      <c r="V2894" s="75"/>
      <c r="W2894" s="75"/>
      <c r="X2894" s="75"/>
    </row>
    <row r="2895">
      <c r="A2895" s="17"/>
      <c r="B2895" s="17"/>
      <c r="C2895" s="133"/>
      <c r="D2895" s="133"/>
      <c r="E2895" s="17"/>
      <c r="F2895" s="133"/>
      <c r="G2895" s="133"/>
      <c r="H2895" s="133"/>
      <c r="I2895" s="133"/>
      <c r="J2895" s="133"/>
      <c r="K2895" s="133"/>
      <c r="L2895" s="133"/>
      <c r="M2895" s="133"/>
      <c r="N2895" s="133"/>
      <c r="O2895" s="133"/>
      <c r="P2895" s="134"/>
      <c r="Q2895" s="146"/>
      <c r="R2895" s="17"/>
      <c r="S2895" s="17"/>
      <c r="T2895" s="75"/>
      <c r="U2895" s="75"/>
      <c r="V2895" s="75"/>
      <c r="W2895" s="75"/>
      <c r="X2895" s="75"/>
    </row>
    <row r="2896">
      <c r="A2896" s="17"/>
      <c r="B2896" s="17"/>
      <c r="C2896" s="133"/>
      <c r="D2896" s="133"/>
      <c r="E2896" s="17"/>
      <c r="F2896" s="133"/>
      <c r="G2896" s="133"/>
      <c r="H2896" s="133"/>
      <c r="I2896" s="133"/>
      <c r="J2896" s="133"/>
      <c r="K2896" s="133"/>
      <c r="L2896" s="133"/>
      <c r="M2896" s="133"/>
      <c r="N2896" s="133"/>
      <c r="O2896" s="133"/>
      <c r="P2896" s="134"/>
      <c r="Q2896" s="146"/>
      <c r="R2896" s="17"/>
      <c r="S2896" s="17"/>
      <c r="T2896" s="75"/>
      <c r="U2896" s="75"/>
      <c r="V2896" s="75"/>
      <c r="W2896" s="75"/>
      <c r="X2896" s="75"/>
    </row>
    <row r="2897">
      <c r="A2897" s="17"/>
      <c r="B2897" s="17"/>
      <c r="C2897" s="133"/>
      <c r="D2897" s="133"/>
      <c r="E2897" s="17"/>
      <c r="F2897" s="133"/>
      <c r="G2897" s="133"/>
      <c r="H2897" s="133"/>
      <c r="I2897" s="133"/>
      <c r="J2897" s="133"/>
      <c r="K2897" s="133"/>
      <c r="L2897" s="133"/>
      <c r="M2897" s="133"/>
      <c r="N2897" s="133"/>
      <c r="O2897" s="133"/>
      <c r="P2897" s="134"/>
      <c r="Q2897" s="146"/>
      <c r="R2897" s="17"/>
      <c r="S2897" s="17"/>
      <c r="T2897" s="75"/>
      <c r="U2897" s="75"/>
      <c r="V2897" s="75"/>
      <c r="W2897" s="75"/>
      <c r="X2897" s="75"/>
    </row>
    <row r="2898">
      <c r="A2898" s="17"/>
      <c r="B2898" s="17"/>
      <c r="C2898" s="133"/>
      <c r="D2898" s="133"/>
      <c r="E2898" s="17"/>
      <c r="F2898" s="133"/>
      <c r="G2898" s="133"/>
      <c r="H2898" s="133"/>
      <c r="I2898" s="133"/>
      <c r="J2898" s="133"/>
      <c r="K2898" s="133"/>
      <c r="L2898" s="133"/>
      <c r="M2898" s="133"/>
      <c r="N2898" s="133"/>
      <c r="O2898" s="133"/>
      <c r="P2898" s="134"/>
      <c r="Q2898" s="146"/>
      <c r="R2898" s="17"/>
      <c r="S2898" s="17"/>
      <c r="T2898" s="75"/>
      <c r="U2898" s="75"/>
      <c r="V2898" s="75"/>
      <c r="W2898" s="75"/>
      <c r="X2898" s="75"/>
    </row>
    <row r="2899">
      <c r="A2899" s="17"/>
      <c r="B2899" s="17"/>
      <c r="C2899" s="133"/>
      <c r="D2899" s="133"/>
      <c r="E2899" s="17"/>
      <c r="F2899" s="133"/>
      <c r="G2899" s="133"/>
      <c r="H2899" s="133"/>
      <c r="I2899" s="133"/>
      <c r="J2899" s="133"/>
      <c r="K2899" s="133"/>
      <c r="L2899" s="133"/>
      <c r="M2899" s="133"/>
      <c r="N2899" s="133"/>
      <c r="O2899" s="133"/>
      <c r="P2899" s="134"/>
      <c r="Q2899" s="146"/>
      <c r="R2899" s="17"/>
      <c r="S2899" s="17"/>
      <c r="T2899" s="75"/>
      <c r="U2899" s="75"/>
      <c r="V2899" s="75"/>
      <c r="W2899" s="75"/>
      <c r="X2899" s="75"/>
    </row>
    <row r="2900">
      <c r="A2900" s="17"/>
      <c r="B2900" s="17"/>
      <c r="C2900" s="133"/>
      <c r="D2900" s="133"/>
      <c r="E2900" s="17"/>
      <c r="F2900" s="133"/>
      <c r="G2900" s="133"/>
      <c r="H2900" s="133"/>
      <c r="I2900" s="133"/>
      <c r="J2900" s="133"/>
      <c r="K2900" s="133"/>
      <c r="L2900" s="133"/>
      <c r="M2900" s="133"/>
      <c r="N2900" s="133"/>
      <c r="O2900" s="133"/>
      <c r="P2900" s="134"/>
      <c r="Q2900" s="146"/>
      <c r="R2900" s="17"/>
      <c r="S2900" s="17"/>
      <c r="T2900" s="75"/>
      <c r="U2900" s="75"/>
      <c r="V2900" s="75"/>
      <c r="W2900" s="75"/>
      <c r="X2900" s="75"/>
    </row>
    <row r="2901">
      <c r="A2901" s="17"/>
      <c r="B2901" s="17"/>
      <c r="C2901" s="133"/>
      <c r="D2901" s="133"/>
      <c r="E2901" s="17"/>
      <c r="F2901" s="133"/>
      <c r="G2901" s="133"/>
      <c r="H2901" s="133"/>
      <c r="I2901" s="133"/>
      <c r="J2901" s="133"/>
      <c r="K2901" s="133"/>
      <c r="L2901" s="133"/>
      <c r="M2901" s="133"/>
      <c r="N2901" s="133"/>
      <c r="O2901" s="133"/>
      <c r="P2901" s="134"/>
      <c r="Q2901" s="146"/>
      <c r="R2901" s="17"/>
      <c r="S2901" s="17"/>
      <c r="T2901" s="75"/>
      <c r="U2901" s="75"/>
      <c r="V2901" s="75"/>
      <c r="W2901" s="75"/>
      <c r="X2901" s="75"/>
    </row>
    <row r="2902">
      <c r="A2902" s="17"/>
      <c r="B2902" s="17"/>
      <c r="C2902" s="133"/>
      <c r="D2902" s="133"/>
      <c r="E2902" s="17"/>
      <c r="F2902" s="133"/>
      <c r="G2902" s="133"/>
      <c r="H2902" s="133"/>
      <c r="I2902" s="133"/>
      <c r="J2902" s="133"/>
      <c r="K2902" s="133"/>
      <c r="L2902" s="133"/>
      <c r="M2902" s="133"/>
      <c r="N2902" s="133"/>
      <c r="O2902" s="133"/>
      <c r="P2902" s="134"/>
      <c r="Q2902" s="146"/>
      <c r="R2902" s="17"/>
      <c r="S2902" s="17"/>
      <c r="T2902" s="75"/>
      <c r="U2902" s="75"/>
      <c r="V2902" s="75"/>
      <c r="W2902" s="75"/>
      <c r="X2902" s="75"/>
    </row>
    <row r="2903">
      <c r="A2903" s="17"/>
      <c r="B2903" s="17"/>
      <c r="C2903" s="133"/>
      <c r="D2903" s="133"/>
      <c r="E2903" s="17"/>
      <c r="F2903" s="133"/>
      <c r="G2903" s="133"/>
      <c r="H2903" s="133"/>
      <c r="I2903" s="133"/>
      <c r="J2903" s="133"/>
      <c r="K2903" s="133"/>
      <c r="L2903" s="133"/>
      <c r="M2903" s="133"/>
      <c r="N2903" s="133"/>
      <c r="O2903" s="133"/>
      <c r="P2903" s="134"/>
      <c r="Q2903" s="146"/>
      <c r="R2903" s="17"/>
      <c r="S2903" s="17"/>
      <c r="T2903" s="75"/>
      <c r="U2903" s="75"/>
      <c r="V2903" s="75"/>
      <c r="W2903" s="75"/>
      <c r="X2903" s="75"/>
    </row>
    <row r="2904">
      <c r="A2904" s="17"/>
      <c r="B2904" s="17"/>
      <c r="C2904" s="133"/>
      <c r="D2904" s="133"/>
      <c r="E2904" s="17"/>
      <c r="F2904" s="133"/>
      <c r="G2904" s="133"/>
      <c r="H2904" s="133"/>
      <c r="I2904" s="133"/>
      <c r="J2904" s="133"/>
      <c r="K2904" s="133"/>
      <c r="L2904" s="133"/>
      <c r="M2904" s="133"/>
      <c r="N2904" s="133"/>
      <c r="O2904" s="133"/>
      <c r="P2904" s="134"/>
      <c r="Q2904" s="146"/>
      <c r="R2904" s="17"/>
      <c r="S2904" s="17"/>
      <c r="T2904" s="75"/>
      <c r="U2904" s="75"/>
      <c r="V2904" s="75"/>
      <c r="W2904" s="75"/>
      <c r="X2904" s="75"/>
    </row>
    <row r="2905">
      <c r="A2905" s="17"/>
      <c r="B2905" s="17"/>
      <c r="C2905" s="133"/>
      <c r="D2905" s="133"/>
      <c r="E2905" s="17"/>
      <c r="F2905" s="133"/>
      <c r="G2905" s="133"/>
      <c r="H2905" s="133"/>
      <c r="I2905" s="133"/>
      <c r="J2905" s="133"/>
      <c r="K2905" s="133"/>
      <c r="L2905" s="133"/>
      <c r="M2905" s="133"/>
      <c r="N2905" s="133"/>
      <c r="O2905" s="133"/>
      <c r="P2905" s="134"/>
      <c r="Q2905" s="146"/>
      <c r="R2905" s="17"/>
      <c r="S2905" s="17"/>
      <c r="T2905" s="75"/>
      <c r="U2905" s="75"/>
      <c r="V2905" s="75"/>
      <c r="W2905" s="75"/>
      <c r="X2905" s="75"/>
    </row>
    <row r="2906">
      <c r="A2906" s="17"/>
      <c r="B2906" s="17"/>
      <c r="C2906" s="133"/>
      <c r="D2906" s="133"/>
      <c r="E2906" s="17"/>
      <c r="F2906" s="133"/>
      <c r="G2906" s="133"/>
      <c r="H2906" s="133"/>
      <c r="I2906" s="133"/>
      <c r="J2906" s="133"/>
      <c r="K2906" s="133"/>
      <c r="L2906" s="133"/>
      <c r="M2906" s="133"/>
      <c r="N2906" s="133"/>
      <c r="O2906" s="133"/>
      <c r="P2906" s="134"/>
      <c r="Q2906" s="146"/>
      <c r="R2906" s="17"/>
      <c r="S2906" s="17"/>
      <c r="T2906" s="75"/>
      <c r="U2906" s="75"/>
      <c r="V2906" s="75"/>
      <c r="W2906" s="75"/>
      <c r="X2906" s="75"/>
    </row>
    <row r="2907">
      <c r="A2907" s="17"/>
      <c r="B2907" s="17"/>
      <c r="C2907" s="133"/>
      <c r="D2907" s="133"/>
      <c r="E2907" s="17"/>
      <c r="F2907" s="133"/>
      <c r="G2907" s="133"/>
      <c r="H2907" s="133"/>
      <c r="I2907" s="133"/>
      <c r="J2907" s="133"/>
      <c r="K2907" s="133"/>
      <c r="L2907" s="133"/>
      <c r="M2907" s="133"/>
      <c r="N2907" s="133"/>
      <c r="O2907" s="133"/>
      <c r="P2907" s="134"/>
      <c r="Q2907" s="146"/>
      <c r="R2907" s="17"/>
      <c r="S2907" s="17"/>
      <c r="T2907" s="75"/>
      <c r="U2907" s="75"/>
      <c r="V2907" s="75"/>
      <c r="W2907" s="75"/>
      <c r="X2907" s="75"/>
    </row>
    <row r="2908">
      <c r="A2908" s="17"/>
      <c r="B2908" s="17"/>
      <c r="C2908" s="133"/>
      <c r="D2908" s="133"/>
      <c r="E2908" s="17"/>
      <c r="F2908" s="133"/>
      <c r="G2908" s="133"/>
      <c r="H2908" s="133"/>
      <c r="I2908" s="133"/>
      <c r="J2908" s="133"/>
      <c r="K2908" s="133"/>
      <c r="L2908" s="133"/>
      <c r="M2908" s="133"/>
      <c r="N2908" s="133"/>
      <c r="O2908" s="133"/>
      <c r="P2908" s="134"/>
      <c r="Q2908" s="146"/>
      <c r="R2908" s="17"/>
      <c r="S2908" s="17"/>
      <c r="T2908" s="75"/>
      <c r="U2908" s="75"/>
      <c r="V2908" s="75"/>
      <c r="W2908" s="75"/>
      <c r="X2908" s="75"/>
    </row>
    <row r="2909">
      <c r="A2909" s="17"/>
      <c r="B2909" s="17"/>
      <c r="C2909" s="133"/>
      <c r="D2909" s="133"/>
      <c r="E2909" s="17"/>
      <c r="F2909" s="133"/>
      <c r="G2909" s="133"/>
      <c r="H2909" s="133"/>
      <c r="I2909" s="133"/>
      <c r="J2909" s="133"/>
      <c r="K2909" s="133"/>
      <c r="L2909" s="133"/>
      <c r="M2909" s="133"/>
      <c r="N2909" s="133"/>
      <c r="O2909" s="133"/>
      <c r="P2909" s="134"/>
      <c r="Q2909" s="146"/>
      <c r="R2909" s="17"/>
      <c r="S2909" s="17"/>
      <c r="T2909" s="75"/>
      <c r="U2909" s="75"/>
      <c r="V2909" s="75"/>
      <c r="W2909" s="75"/>
      <c r="X2909" s="75"/>
    </row>
    <row r="2910">
      <c r="A2910" s="17"/>
      <c r="B2910" s="17"/>
      <c r="C2910" s="133"/>
      <c r="D2910" s="133"/>
      <c r="E2910" s="17"/>
      <c r="F2910" s="133"/>
      <c r="G2910" s="133"/>
      <c r="H2910" s="133"/>
      <c r="I2910" s="133"/>
      <c r="J2910" s="133"/>
      <c r="K2910" s="133"/>
      <c r="L2910" s="133"/>
      <c r="M2910" s="133"/>
      <c r="N2910" s="133"/>
      <c r="O2910" s="133"/>
      <c r="P2910" s="134"/>
      <c r="Q2910" s="146"/>
      <c r="R2910" s="17"/>
      <c r="S2910" s="17"/>
      <c r="T2910" s="75"/>
      <c r="U2910" s="75"/>
      <c r="V2910" s="75"/>
      <c r="W2910" s="75"/>
      <c r="X2910" s="75"/>
    </row>
    <row r="2911">
      <c r="A2911" s="17"/>
      <c r="B2911" s="17"/>
      <c r="C2911" s="133"/>
      <c r="D2911" s="133"/>
      <c r="E2911" s="17"/>
      <c r="F2911" s="133"/>
      <c r="G2911" s="133"/>
      <c r="H2911" s="133"/>
      <c r="I2911" s="133"/>
      <c r="J2911" s="133"/>
      <c r="K2911" s="133"/>
      <c r="L2911" s="133"/>
      <c r="M2911" s="133"/>
      <c r="N2911" s="133"/>
      <c r="O2911" s="133"/>
      <c r="P2911" s="134"/>
      <c r="Q2911" s="146"/>
      <c r="R2911" s="17"/>
      <c r="S2911" s="17"/>
      <c r="T2911" s="75"/>
      <c r="U2911" s="75"/>
      <c r="V2911" s="75"/>
      <c r="W2911" s="75"/>
      <c r="X2911" s="75"/>
    </row>
    <row r="2912">
      <c r="A2912" s="17"/>
      <c r="B2912" s="17"/>
      <c r="C2912" s="133"/>
      <c r="D2912" s="133"/>
      <c r="E2912" s="17"/>
      <c r="F2912" s="133"/>
      <c r="G2912" s="133"/>
      <c r="H2912" s="133"/>
      <c r="I2912" s="133"/>
      <c r="J2912" s="133"/>
      <c r="K2912" s="133"/>
      <c r="L2912" s="133"/>
      <c r="M2912" s="133"/>
      <c r="N2912" s="133"/>
      <c r="O2912" s="133"/>
      <c r="P2912" s="134"/>
      <c r="Q2912" s="146"/>
      <c r="R2912" s="17"/>
      <c r="S2912" s="17"/>
      <c r="T2912" s="75"/>
      <c r="U2912" s="75"/>
      <c r="V2912" s="75"/>
      <c r="W2912" s="75"/>
      <c r="X2912" s="75"/>
    </row>
    <row r="2913">
      <c r="A2913" s="17"/>
      <c r="B2913" s="17"/>
      <c r="C2913" s="133"/>
      <c r="D2913" s="133"/>
      <c r="E2913" s="17"/>
      <c r="F2913" s="133"/>
      <c r="G2913" s="133"/>
      <c r="H2913" s="133"/>
      <c r="I2913" s="133"/>
      <c r="J2913" s="133"/>
      <c r="K2913" s="133"/>
      <c r="L2913" s="133"/>
      <c r="M2913" s="133"/>
      <c r="N2913" s="133"/>
      <c r="O2913" s="133"/>
      <c r="P2913" s="134"/>
      <c r="Q2913" s="146"/>
      <c r="R2913" s="17"/>
      <c r="S2913" s="17"/>
      <c r="T2913" s="75"/>
      <c r="U2913" s="75"/>
      <c r="V2913" s="75"/>
      <c r="W2913" s="75"/>
      <c r="X2913" s="75"/>
    </row>
    <row r="2914">
      <c r="A2914" s="17"/>
      <c r="B2914" s="17"/>
      <c r="C2914" s="133"/>
      <c r="D2914" s="133"/>
      <c r="E2914" s="17"/>
      <c r="F2914" s="133"/>
      <c r="G2914" s="133"/>
      <c r="H2914" s="133"/>
      <c r="I2914" s="133"/>
      <c r="J2914" s="133"/>
      <c r="K2914" s="133"/>
      <c r="L2914" s="133"/>
      <c r="M2914" s="133"/>
      <c r="N2914" s="133"/>
      <c r="O2914" s="133"/>
      <c r="P2914" s="134"/>
      <c r="Q2914" s="146"/>
      <c r="R2914" s="17"/>
      <c r="S2914" s="17"/>
      <c r="T2914" s="75"/>
      <c r="U2914" s="75"/>
      <c r="V2914" s="75"/>
      <c r="W2914" s="75"/>
      <c r="X2914" s="75"/>
    </row>
    <row r="2915">
      <c r="A2915" s="17"/>
      <c r="B2915" s="17"/>
      <c r="C2915" s="133"/>
      <c r="D2915" s="133"/>
      <c r="E2915" s="17"/>
      <c r="F2915" s="133"/>
      <c r="G2915" s="133"/>
      <c r="H2915" s="133"/>
      <c r="I2915" s="133"/>
      <c r="J2915" s="133"/>
      <c r="K2915" s="133"/>
      <c r="L2915" s="133"/>
      <c r="M2915" s="133"/>
      <c r="N2915" s="133"/>
      <c r="O2915" s="133"/>
      <c r="P2915" s="134"/>
      <c r="Q2915" s="146"/>
      <c r="R2915" s="17"/>
      <c r="S2915" s="17"/>
      <c r="T2915" s="75"/>
      <c r="U2915" s="75"/>
      <c r="V2915" s="75"/>
      <c r="W2915" s="75"/>
      <c r="X2915" s="75"/>
    </row>
    <row r="2916">
      <c r="A2916" s="17"/>
      <c r="B2916" s="17"/>
      <c r="C2916" s="133"/>
      <c r="D2916" s="133"/>
      <c r="E2916" s="17"/>
      <c r="F2916" s="133"/>
      <c r="G2916" s="133"/>
      <c r="H2916" s="133"/>
      <c r="I2916" s="133"/>
      <c r="J2916" s="133"/>
      <c r="K2916" s="133"/>
      <c r="L2916" s="133"/>
      <c r="M2916" s="133"/>
      <c r="N2916" s="133"/>
      <c r="O2916" s="133"/>
      <c r="P2916" s="134"/>
      <c r="Q2916" s="146"/>
      <c r="R2916" s="17"/>
      <c r="S2916" s="17"/>
      <c r="T2916" s="75"/>
      <c r="U2916" s="75"/>
      <c r="V2916" s="75"/>
      <c r="W2916" s="75"/>
      <c r="X2916" s="75"/>
    </row>
    <row r="2917">
      <c r="A2917" s="17"/>
      <c r="B2917" s="17"/>
      <c r="C2917" s="133"/>
      <c r="D2917" s="133"/>
      <c r="E2917" s="17"/>
      <c r="F2917" s="133"/>
      <c r="G2917" s="133"/>
      <c r="H2917" s="133"/>
      <c r="I2917" s="133"/>
      <c r="J2917" s="133"/>
      <c r="K2917" s="133"/>
      <c r="L2917" s="133"/>
      <c r="M2917" s="133"/>
      <c r="N2917" s="133"/>
      <c r="O2917" s="133"/>
      <c r="P2917" s="134"/>
      <c r="Q2917" s="146"/>
      <c r="R2917" s="17"/>
      <c r="S2917" s="17"/>
      <c r="T2917" s="75"/>
      <c r="U2917" s="75"/>
      <c r="V2917" s="75"/>
      <c r="W2917" s="75"/>
      <c r="X2917" s="75"/>
    </row>
    <row r="2918">
      <c r="A2918" s="17"/>
      <c r="B2918" s="17"/>
      <c r="C2918" s="133"/>
      <c r="D2918" s="133"/>
      <c r="E2918" s="17"/>
      <c r="F2918" s="133"/>
      <c r="G2918" s="133"/>
      <c r="H2918" s="133"/>
      <c r="I2918" s="133"/>
      <c r="J2918" s="133"/>
      <c r="K2918" s="133"/>
      <c r="L2918" s="133"/>
      <c r="M2918" s="133"/>
      <c r="N2918" s="133"/>
      <c r="O2918" s="133"/>
      <c r="P2918" s="134"/>
      <c r="Q2918" s="146"/>
      <c r="R2918" s="17"/>
      <c r="S2918" s="17"/>
      <c r="T2918" s="75"/>
      <c r="U2918" s="75"/>
      <c r="V2918" s="75"/>
      <c r="W2918" s="75"/>
      <c r="X2918" s="75"/>
    </row>
    <row r="2919">
      <c r="A2919" s="17"/>
      <c r="B2919" s="17"/>
      <c r="C2919" s="133"/>
      <c r="D2919" s="133"/>
      <c r="E2919" s="17"/>
      <c r="F2919" s="133"/>
      <c r="G2919" s="133"/>
      <c r="H2919" s="133"/>
      <c r="I2919" s="133"/>
      <c r="J2919" s="133"/>
      <c r="K2919" s="133"/>
      <c r="L2919" s="133"/>
      <c r="M2919" s="133"/>
      <c r="N2919" s="133"/>
      <c r="O2919" s="133"/>
      <c r="P2919" s="134"/>
      <c r="Q2919" s="146"/>
      <c r="R2919" s="17"/>
      <c r="S2919" s="17"/>
      <c r="T2919" s="75"/>
      <c r="U2919" s="75"/>
      <c r="V2919" s="75"/>
      <c r="W2919" s="75"/>
      <c r="X2919" s="75"/>
    </row>
    <row r="2920">
      <c r="A2920" s="17"/>
      <c r="B2920" s="17"/>
      <c r="C2920" s="133"/>
      <c r="D2920" s="133"/>
      <c r="E2920" s="17"/>
      <c r="F2920" s="133"/>
      <c r="G2920" s="133"/>
      <c r="H2920" s="133"/>
      <c r="I2920" s="133"/>
      <c r="J2920" s="133"/>
      <c r="K2920" s="133"/>
      <c r="L2920" s="133"/>
      <c r="M2920" s="133"/>
      <c r="N2920" s="133"/>
      <c r="O2920" s="133"/>
      <c r="P2920" s="134"/>
      <c r="Q2920" s="146"/>
      <c r="R2920" s="17"/>
      <c r="S2920" s="17"/>
      <c r="T2920" s="75"/>
      <c r="U2920" s="75"/>
      <c r="V2920" s="75"/>
      <c r="W2920" s="75"/>
      <c r="X2920" s="75"/>
    </row>
    <row r="2921">
      <c r="A2921" s="17"/>
      <c r="B2921" s="17"/>
      <c r="C2921" s="133"/>
      <c r="D2921" s="133"/>
      <c r="E2921" s="17"/>
      <c r="F2921" s="133"/>
      <c r="G2921" s="133"/>
      <c r="H2921" s="133"/>
      <c r="I2921" s="133"/>
      <c r="J2921" s="133"/>
      <c r="K2921" s="133"/>
      <c r="L2921" s="133"/>
      <c r="M2921" s="133"/>
      <c r="N2921" s="133"/>
      <c r="O2921" s="133"/>
      <c r="P2921" s="134"/>
      <c r="Q2921" s="146"/>
      <c r="R2921" s="17"/>
      <c r="S2921" s="17"/>
      <c r="T2921" s="75"/>
      <c r="U2921" s="75"/>
      <c r="V2921" s="75"/>
      <c r="W2921" s="75"/>
      <c r="X2921" s="75"/>
    </row>
    <row r="2922">
      <c r="A2922" s="17"/>
      <c r="B2922" s="17"/>
      <c r="C2922" s="133"/>
      <c r="D2922" s="133"/>
      <c r="E2922" s="17"/>
      <c r="F2922" s="133"/>
      <c r="G2922" s="133"/>
      <c r="H2922" s="133"/>
      <c r="I2922" s="133"/>
      <c r="J2922" s="133"/>
      <c r="K2922" s="133"/>
      <c r="L2922" s="133"/>
      <c r="M2922" s="133"/>
      <c r="N2922" s="133"/>
      <c r="O2922" s="133"/>
      <c r="P2922" s="134"/>
      <c r="Q2922" s="146"/>
      <c r="R2922" s="17"/>
      <c r="S2922" s="17"/>
      <c r="T2922" s="75"/>
      <c r="U2922" s="75"/>
      <c r="V2922" s="75"/>
      <c r="W2922" s="75"/>
      <c r="X2922" s="75"/>
    </row>
    <row r="2923">
      <c r="A2923" s="17"/>
      <c r="B2923" s="17"/>
      <c r="C2923" s="133"/>
      <c r="D2923" s="133"/>
      <c r="E2923" s="17"/>
      <c r="F2923" s="133"/>
      <c r="G2923" s="133"/>
      <c r="H2923" s="133"/>
      <c r="I2923" s="133"/>
      <c r="J2923" s="133"/>
      <c r="K2923" s="133"/>
      <c r="L2923" s="133"/>
      <c r="M2923" s="133"/>
      <c r="N2923" s="133"/>
      <c r="O2923" s="133"/>
      <c r="P2923" s="134"/>
      <c r="Q2923" s="146"/>
      <c r="R2923" s="17"/>
      <c r="S2923" s="17"/>
      <c r="T2923" s="75"/>
      <c r="U2923" s="75"/>
      <c r="V2923" s="75"/>
      <c r="W2923" s="75"/>
      <c r="X2923" s="75"/>
    </row>
    <row r="2924">
      <c r="A2924" s="17"/>
      <c r="B2924" s="17"/>
      <c r="C2924" s="133"/>
      <c r="D2924" s="133"/>
      <c r="E2924" s="17"/>
      <c r="F2924" s="133"/>
      <c r="G2924" s="133"/>
      <c r="H2924" s="133"/>
      <c r="I2924" s="133"/>
      <c r="J2924" s="133"/>
      <c r="K2924" s="133"/>
      <c r="L2924" s="133"/>
      <c r="M2924" s="133"/>
      <c r="N2924" s="133"/>
      <c r="O2924" s="133"/>
      <c r="P2924" s="134"/>
      <c r="Q2924" s="146"/>
      <c r="R2924" s="17"/>
      <c r="S2924" s="17"/>
      <c r="T2924" s="75"/>
      <c r="U2924" s="75"/>
      <c r="V2924" s="75"/>
      <c r="W2924" s="75"/>
      <c r="X2924" s="75"/>
    </row>
    <row r="2925">
      <c r="A2925" s="17"/>
      <c r="B2925" s="17"/>
      <c r="C2925" s="133"/>
      <c r="D2925" s="133"/>
      <c r="E2925" s="17"/>
      <c r="F2925" s="133"/>
      <c r="G2925" s="133"/>
      <c r="H2925" s="133"/>
      <c r="I2925" s="133"/>
      <c r="J2925" s="133"/>
      <c r="K2925" s="133"/>
      <c r="L2925" s="133"/>
      <c r="M2925" s="133"/>
      <c r="N2925" s="133"/>
      <c r="O2925" s="133"/>
      <c r="P2925" s="134"/>
      <c r="Q2925" s="146"/>
      <c r="R2925" s="17"/>
      <c r="S2925" s="17"/>
      <c r="T2925" s="75"/>
      <c r="U2925" s="75"/>
      <c r="V2925" s="75"/>
      <c r="W2925" s="75"/>
      <c r="X2925" s="75"/>
    </row>
    <row r="2926">
      <c r="A2926" s="17"/>
      <c r="B2926" s="17"/>
      <c r="C2926" s="133"/>
      <c r="D2926" s="133"/>
      <c r="E2926" s="17"/>
      <c r="F2926" s="133"/>
      <c r="G2926" s="133"/>
      <c r="H2926" s="133"/>
      <c r="I2926" s="133"/>
      <c r="J2926" s="133"/>
      <c r="K2926" s="133"/>
      <c r="L2926" s="133"/>
      <c r="M2926" s="133"/>
      <c r="N2926" s="133"/>
      <c r="O2926" s="133"/>
      <c r="P2926" s="134"/>
      <c r="Q2926" s="146"/>
      <c r="R2926" s="17"/>
      <c r="S2926" s="17"/>
      <c r="T2926" s="75"/>
      <c r="U2926" s="75"/>
      <c r="V2926" s="75"/>
      <c r="W2926" s="75"/>
      <c r="X2926" s="75"/>
    </row>
    <row r="2927">
      <c r="A2927" s="17"/>
      <c r="B2927" s="17"/>
      <c r="C2927" s="133"/>
      <c r="D2927" s="133"/>
      <c r="E2927" s="17"/>
      <c r="F2927" s="133"/>
      <c r="G2927" s="133"/>
      <c r="H2927" s="133"/>
      <c r="I2927" s="133"/>
      <c r="J2927" s="133"/>
      <c r="K2927" s="133"/>
      <c r="L2927" s="133"/>
      <c r="M2927" s="133"/>
      <c r="N2927" s="133"/>
      <c r="O2927" s="133"/>
      <c r="P2927" s="134"/>
      <c r="Q2927" s="146"/>
      <c r="R2927" s="17"/>
      <c r="S2927" s="17"/>
      <c r="T2927" s="75"/>
      <c r="U2927" s="75"/>
      <c r="V2927" s="75"/>
      <c r="W2927" s="75"/>
      <c r="X2927" s="75"/>
    </row>
    <row r="2928">
      <c r="A2928" s="17"/>
      <c r="B2928" s="17"/>
      <c r="C2928" s="133"/>
      <c r="D2928" s="133"/>
      <c r="E2928" s="17"/>
      <c r="F2928" s="133"/>
      <c r="G2928" s="133"/>
      <c r="H2928" s="133"/>
      <c r="I2928" s="133"/>
      <c r="J2928" s="133"/>
      <c r="K2928" s="133"/>
      <c r="L2928" s="133"/>
      <c r="M2928" s="133"/>
      <c r="N2928" s="133"/>
      <c r="O2928" s="133"/>
      <c r="P2928" s="134"/>
      <c r="Q2928" s="146"/>
      <c r="R2928" s="17"/>
      <c r="S2928" s="17"/>
      <c r="T2928" s="75"/>
      <c r="U2928" s="75"/>
      <c r="V2928" s="75"/>
      <c r="W2928" s="75"/>
      <c r="X2928" s="75"/>
    </row>
    <row r="2929">
      <c r="A2929" s="17"/>
      <c r="B2929" s="17"/>
      <c r="C2929" s="133"/>
      <c r="D2929" s="133"/>
      <c r="E2929" s="17"/>
      <c r="F2929" s="133"/>
      <c r="G2929" s="133"/>
      <c r="H2929" s="133"/>
      <c r="I2929" s="133"/>
      <c r="J2929" s="133"/>
      <c r="K2929" s="133"/>
      <c r="L2929" s="133"/>
      <c r="M2929" s="133"/>
      <c r="N2929" s="133"/>
      <c r="O2929" s="133"/>
      <c r="P2929" s="134"/>
      <c r="Q2929" s="146"/>
      <c r="R2929" s="17"/>
      <c r="S2929" s="17"/>
      <c r="T2929" s="75"/>
      <c r="U2929" s="75"/>
      <c r="V2929" s="75"/>
      <c r="W2929" s="75"/>
      <c r="X2929" s="75"/>
    </row>
    <row r="2930">
      <c r="A2930" s="17"/>
      <c r="B2930" s="17"/>
      <c r="C2930" s="133"/>
      <c r="D2930" s="133"/>
      <c r="E2930" s="17"/>
      <c r="F2930" s="133"/>
      <c r="G2930" s="133"/>
      <c r="H2930" s="133"/>
      <c r="I2930" s="133"/>
      <c r="J2930" s="133"/>
      <c r="K2930" s="133"/>
      <c r="L2930" s="133"/>
      <c r="M2930" s="133"/>
      <c r="N2930" s="133"/>
      <c r="O2930" s="133"/>
      <c r="P2930" s="134"/>
      <c r="Q2930" s="146"/>
      <c r="R2930" s="17"/>
      <c r="S2930" s="17"/>
      <c r="T2930" s="75"/>
      <c r="U2930" s="75"/>
      <c r="V2930" s="75"/>
      <c r="W2930" s="75"/>
      <c r="X2930" s="75"/>
    </row>
    <row r="2931">
      <c r="A2931" s="17"/>
      <c r="B2931" s="17"/>
      <c r="C2931" s="133"/>
      <c r="D2931" s="133"/>
      <c r="E2931" s="17"/>
      <c r="F2931" s="133"/>
      <c r="G2931" s="133"/>
      <c r="H2931" s="133"/>
      <c r="I2931" s="133"/>
      <c r="J2931" s="133"/>
      <c r="K2931" s="133"/>
      <c r="L2931" s="133"/>
      <c r="M2931" s="133"/>
      <c r="N2931" s="133"/>
      <c r="O2931" s="133"/>
      <c r="P2931" s="134"/>
      <c r="Q2931" s="146"/>
      <c r="R2931" s="17"/>
      <c r="S2931" s="17"/>
      <c r="T2931" s="75"/>
      <c r="U2931" s="75"/>
      <c r="V2931" s="75"/>
      <c r="W2931" s="75"/>
      <c r="X2931" s="75"/>
    </row>
    <row r="2932">
      <c r="A2932" s="17"/>
      <c r="B2932" s="17"/>
      <c r="C2932" s="133"/>
      <c r="D2932" s="133"/>
      <c r="E2932" s="17"/>
      <c r="F2932" s="133"/>
      <c r="G2932" s="133"/>
      <c r="H2932" s="133"/>
      <c r="I2932" s="133"/>
      <c r="J2932" s="133"/>
      <c r="K2932" s="133"/>
      <c r="L2932" s="133"/>
      <c r="M2932" s="133"/>
      <c r="N2932" s="133"/>
      <c r="O2932" s="133"/>
      <c r="P2932" s="134"/>
      <c r="Q2932" s="146"/>
      <c r="R2932" s="17"/>
      <c r="S2932" s="17"/>
      <c r="T2932" s="75"/>
      <c r="U2932" s="75"/>
      <c r="V2932" s="75"/>
      <c r="W2932" s="75"/>
      <c r="X2932" s="75"/>
    </row>
    <row r="2933">
      <c r="A2933" s="17"/>
      <c r="B2933" s="17"/>
      <c r="C2933" s="133"/>
      <c r="D2933" s="133"/>
      <c r="E2933" s="17"/>
      <c r="F2933" s="133"/>
      <c r="G2933" s="133"/>
      <c r="H2933" s="133"/>
      <c r="I2933" s="133"/>
      <c r="J2933" s="133"/>
      <c r="K2933" s="133"/>
      <c r="L2933" s="133"/>
      <c r="M2933" s="133"/>
      <c r="N2933" s="133"/>
      <c r="O2933" s="133"/>
      <c r="P2933" s="134"/>
      <c r="Q2933" s="146"/>
      <c r="R2933" s="17"/>
      <c r="S2933" s="17"/>
      <c r="T2933" s="75"/>
      <c r="U2933" s="75"/>
      <c r="V2933" s="75"/>
      <c r="W2933" s="75"/>
      <c r="X2933" s="75"/>
    </row>
    <row r="2934">
      <c r="A2934" s="17"/>
      <c r="B2934" s="17"/>
      <c r="C2934" s="133"/>
      <c r="D2934" s="133"/>
      <c r="E2934" s="17"/>
      <c r="F2934" s="133"/>
      <c r="G2934" s="133"/>
      <c r="H2934" s="133"/>
      <c r="I2934" s="133"/>
      <c r="J2934" s="133"/>
      <c r="K2934" s="133"/>
      <c r="L2934" s="133"/>
      <c r="M2934" s="133"/>
      <c r="N2934" s="133"/>
      <c r="O2934" s="133"/>
      <c r="P2934" s="134"/>
      <c r="Q2934" s="146"/>
      <c r="R2934" s="17"/>
      <c r="S2934" s="17"/>
      <c r="T2934" s="75"/>
      <c r="U2934" s="75"/>
      <c r="V2934" s="75"/>
      <c r="W2934" s="75"/>
      <c r="X2934" s="75"/>
    </row>
    <row r="2935">
      <c r="A2935" s="17"/>
      <c r="B2935" s="17"/>
      <c r="C2935" s="133"/>
      <c r="D2935" s="133"/>
      <c r="E2935" s="17"/>
      <c r="F2935" s="133"/>
      <c r="G2935" s="133"/>
      <c r="H2935" s="133"/>
      <c r="I2935" s="133"/>
      <c r="J2935" s="133"/>
      <c r="K2935" s="133"/>
      <c r="L2935" s="133"/>
      <c r="M2935" s="133"/>
      <c r="N2935" s="133"/>
      <c r="O2935" s="133"/>
      <c r="P2935" s="134"/>
      <c r="Q2935" s="146"/>
      <c r="R2935" s="17"/>
      <c r="S2935" s="17"/>
      <c r="T2935" s="75"/>
      <c r="U2935" s="75"/>
      <c r="V2935" s="75"/>
      <c r="W2935" s="75"/>
      <c r="X2935" s="75"/>
    </row>
    <row r="2936">
      <c r="A2936" s="17"/>
      <c r="B2936" s="17"/>
      <c r="C2936" s="133"/>
      <c r="D2936" s="133"/>
      <c r="E2936" s="17"/>
      <c r="F2936" s="133"/>
      <c r="G2936" s="133"/>
      <c r="H2936" s="133"/>
      <c r="I2936" s="133"/>
      <c r="J2936" s="133"/>
      <c r="K2936" s="133"/>
      <c r="L2936" s="133"/>
      <c r="M2936" s="133"/>
      <c r="N2936" s="133"/>
      <c r="O2936" s="133"/>
      <c r="P2936" s="134"/>
      <c r="Q2936" s="146"/>
      <c r="R2936" s="17"/>
      <c r="S2936" s="17"/>
      <c r="T2936" s="75"/>
      <c r="U2936" s="75"/>
      <c r="V2936" s="75"/>
      <c r="W2936" s="75"/>
      <c r="X2936" s="75"/>
    </row>
    <row r="2937">
      <c r="A2937" s="17"/>
      <c r="B2937" s="17"/>
      <c r="C2937" s="133"/>
      <c r="D2937" s="133"/>
      <c r="E2937" s="17"/>
      <c r="F2937" s="133"/>
      <c r="G2937" s="133"/>
      <c r="H2937" s="133"/>
      <c r="I2937" s="133"/>
      <c r="J2937" s="133"/>
      <c r="K2937" s="133"/>
      <c r="L2937" s="133"/>
      <c r="M2937" s="133"/>
      <c r="N2937" s="133"/>
      <c r="O2937" s="133"/>
      <c r="P2937" s="134"/>
      <c r="Q2937" s="146"/>
      <c r="R2937" s="17"/>
      <c r="S2937" s="17"/>
      <c r="T2937" s="75"/>
      <c r="U2937" s="75"/>
      <c r="V2937" s="75"/>
      <c r="W2937" s="75"/>
      <c r="X2937" s="75"/>
    </row>
    <row r="2938">
      <c r="A2938" s="17"/>
      <c r="B2938" s="17"/>
      <c r="C2938" s="133"/>
      <c r="D2938" s="133"/>
      <c r="E2938" s="17"/>
      <c r="F2938" s="133"/>
      <c r="G2938" s="133"/>
      <c r="H2938" s="133"/>
      <c r="I2938" s="133"/>
      <c r="J2938" s="133"/>
      <c r="K2938" s="133"/>
      <c r="L2938" s="133"/>
      <c r="M2938" s="133"/>
      <c r="N2938" s="133"/>
      <c r="O2938" s="133"/>
      <c r="P2938" s="134"/>
      <c r="Q2938" s="146"/>
      <c r="R2938" s="17"/>
      <c r="S2938" s="17"/>
      <c r="T2938" s="75"/>
      <c r="U2938" s="75"/>
      <c r="V2938" s="75"/>
      <c r="W2938" s="75"/>
      <c r="X2938" s="75"/>
    </row>
    <row r="2939">
      <c r="A2939" s="17"/>
      <c r="B2939" s="17"/>
      <c r="C2939" s="133"/>
      <c r="D2939" s="133"/>
      <c r="E2939" s="17"/>
      <c r="F2939" s="133"/>
      <c r="G2939" s="133"/>
      <c r="H2939" s="133"/>
      <c r="I2939" s="133"/>
      <c r="J2939" s="133"/>
      <c r="K2939" s="133"/>
      <c r="L2939" s="133"/>
      <c r="M2939" s="133"/>
      <c r="N2939" s="133"/>
      <c r="O2939" s="133"/>
      <c r="P2939" s="134"/>
      <c r="Q2939" s="146"/>
      <c r="R2939" s="17"/>
      <c r="S2939" s="17"/>
      <c r="T2939" s="75"/>
      <c r="U2939" s="75"/>
      <c r="V2939" s="75"/>
      <c r="W2939" s="75"/>
      <c r="X2939" s="75"/>
    </row>
    <row r="2940">
      <c r="A2940" s="17"/>
      <c r="B2940" s="17"/>
      <c r="C2940" s="133"/>
      <c r="D2940" s="133"/>
      <c r="E2940" s="17"/>
      <c r="F2940" s="133"/>
      <c r="G2940" s="133"/>
      <c r="H2940" s="133"/>
      <c r="I2940" s="133"/>
      <c r="J2940" s="133"/>
      <c r="K2940" s="133"/>
      <c r="L2940" s="133"/>
      <c r="M2940" s="133"/>
      <c r="N2940" s="133"/>
      <c r="O2940" s="133"/>
      <c r="P2940" s="134"/>
      <c r="Q2940" s="146"/>
      <c r="R2940" s="17"/>
      <c r="S2940" s="17"/>
      <c r="T2940" s="75"/>
      <c r="U2940" s="75"/>
      <c r="V2940" s="75"/>
      <c r="W2940" s="75"/>
      <c r="X2940" s="75"/>
    </row>
    <row r="2941">
      <c r="A2941" s="17"/>
      <c r="B2941" s="17"/>
      <c r="C2941" s="133"/>
      <c r="D2941" s="133"/>
      <c r="E2941" s="17"/>
      <c r="F2941" s="133"/>
      <c r="G2941" s="133"/>
      <c r="H2941" s="133"/>
      <c r="I2941" s="133"/>
      <c r="J2941" s="133"/>
      <c r="K2941" s="133"/>
      <c r="L2941" s="133"/>
      <c r="M2941" s="133"/>
      <c r="N2941" s="133"/>
      <c r="O2941" s="133"/>
      <c r="P2941" s="134"/>
      <c r="Q2941" s="146"/>
      <c r="R2941" s="17"/>
      <c r="S2941" s="17"/>
      <c r="T2941" s="75"/>
      <c r="U2941" s="75"/>
      <c r="V2941" s="75"/>
      <c r="W2941" s="75"/>
      <c r="X2941" s="75"/>
    </row>
    <row r="2942">
      <c r="A2942" s="17"/>
      <c r="B2942" s="17"/>
      <c r="C2942" s="133"/>
      <c r="D2942" s="133"/>
      <c r="E2942" s="17"/>
      <c r="F2942" s="133"/>
      <c r="G2942" s="133"/>
      <c r="H2942" s="133"/>
      <c r="I2942" s="133"/>
      <c r="J2942" s="133"/>
      <c r="K2942" s="133"/>
      <c r="L2942" s="133"/>
      <c r="M2942" s="133"/>
      <c r="N2942" s="133"/>
      <c r="O2942" s="133"/>
      <c r="P2942" s="134"/>
      <c r="Q2942" s="146"/>
      <c r="R2942" s="17"/>
      <c r="S2942" s="17"/>
      <c r="T2942" s="75"/>
      <c r="U2942" s="75"/>
      <c r="V2942" s="75"/>
      <c r="W2942" s="75"/>
      <c r="X2942" s="75"/>
    </row>
    <row r="2943">
      <c r="A2943" s="17"/>
      <c r="B2943" s="17"/>
      <c r="C2943" s="133"/>
      <c r="D2943" s="133"/>
      <c r="E2943" s="17"/>
      <c r="F2943" s="133"/>
      <c r="G2943" s="133"/>
      <c r="H2943" s="133"/>
      <c r="I2943" s="133"/>
      <c r="J2943" s="133"/>
      <c r="K2943" s="133"/>
      <c r="L2943" s="133"/>
      <c r="M2943" s="133"/>
      <c r="N2943" s="133"/>
      <c r="O2943" s="133"/>
      <c r="P2943" s="134"/>
      <c r="Q2943" s="146"/>
      <c r="R2943" s="17"/>
      <c r="S2943" s="17"/>
      <c r="T2943" s="75"/>
      <c r="U2943" s="75"/>
      <c r="V2943" s="75"/>
      <c r="W2943" s="75"/>
      <c r="X2943" s="75"/>
    </row>
    <row r="2944">
      <c r="A2944" s="17"/>
      <c r="B2944" s="17"/>
      <c r="C2944" s="133"/>
      <c r="D2944" s="133"/>
      <c r="E2944" s="17"/>
      <c r="F2944" s="133"/>
      <c r="G2944" s="133"/>
      <c r="H2944" s="133"/>
      <c r="I2944" s="133"/>
      <c r="J2944" s="133"/>
      <c r="K2944" s="133"/>
      <c r="L2944" s="133"/>
      <c r="M2944" s="133"/>
      <c r="N2944" s="133"/>
      <c r="O2944" s="133"/>
      <c r="P2944" s="134"/>
      <c r="Q2944" s="146"/>
      <c r="R2944" s="17"/>
      <c r="S2944" s="17"/>
      <c r="T2944" s="75"/>
      <c r="U2944" s="75"/>
      <c r="V2944" s="75"/>
      <c r="W2944" s="75"/>
      <c r="X2944" s="75"/>
    </row>
    <row r="2945">
      <c r="A2945" s="17"/>
      <c r="B2945" s="17"/>
      <c r="C2945" s="133"/>
      <c r="D2945" s="133"/>
      <c r="E2945" s="17"/>
      <c r="F2945" s="133"/>
      <c r="G2945" s="133"/>
      <c r="H2945" s="133"/>
      <c r="I2945" s="133"/>
      <c r="J2945" s="133"/>
      <c r="K2945" s="133"/>
      <c r="L2945" s="133"/>
      <c r="M2945" s="133"/>
      <c r="N2945" s="133"/>
      <c r="O2945" s="133"/>
      <c r="P2945" s="134"/>
      <c r="Q2945" s="146"/>
      <c r="R2945" s="17"/>
      <c r="S2945" s="17"/>
      <c r="T2945" s="75"/>
      <c r="U2945" s="75"/>
      <c r="V2945" s="75"/>
      <c r="W2945" s="75"/>
      <c r="X2945" s="75"/>
    </row>
    <row r="2946">
      <c r="A2946" s="17"/>
      <c r="B2946" s="17"/>
      <c r="C2946" s="133"/>
      <c r="D2946" s="133"/>
      <c r="E2946" s="17"/>
      <c r="F2946" s="133"/>
      <c r="G2946" s="133"/>
      <c r="H2946" s="133"/>
      <c r="I2946" s="133"/>
      <c r="J2946" s="133"/>
      <c r="K2946" s="133"/>
      <c r="L2946" s="133"/>
      <c r="M2946" s="133"/>
      <c r="N2946" s="133"/>
      <c r="O2946" s="133"/>
      <c r="P2946" s="134"/>
      <c r="Q2946" s="146"/>
      <c r="R2946" s="17"/>
      <c r="S2946" s="17"/>
      <c r="T2946" s="75"/>
      <c r="U2946" s="75"/>
      <c r="V2946" s="75"/>
      <c r="W2946" s="75"/>
      <c r="X2946" s="75"/>
    </row>
    <row r="2947">
      <c r="A2947" s="17"/>
      <c r="B2947" s="17"/>
      <c r="C2947" s="133"/>
      <c r="D2947" s="133"/>
      <c r="E2947" s="17"/>
      <c r="F2947" s="133"/>
      <c r="G2947" s="133"/>
      <c r="H2947" s="133"/>
      <c r="I2947" s="133"/>
      <c r="J2947" s="133"/>
      <c r="K2947" s="133"/>
      <c r="L2947" s="133"/>
      <c r="M2947" s="133"/>
      <c r="N2947" s="133"/>
      <c r="O2947" s="133"/>
      <c r="P2947" s="134"/>
      <c r="Q2947" s="146"/>
      <c r="R2947" s="17"/>
      <c r="S2947" s="17"/>
      <c r="T2947" s="75"/>
      <c r="U2947" s="75"/>
      <c r="V2947" s="75"/>
      <c r="W2947" s="75"/>
      <c r="X2947" s="75"/>
    </row>
    <row r="2948">
      <c r="A2948" s="17"/>
      <c r="B2948" s="17"/>
      <c r="C2948" s="133"/>
      <c r="D2948" s="133"/>
      <c r="E2948" s="17"/>
      <c r="F2948" s="133"/>
      <c r="G2948" s="133"/>
      <c r="H2948" s="133"/>
      <c r="I2948" s="133"/>
      <c r="J2948" s="133"/>
      <c r="K2948" s="133"/>
      <c r="L2948" s="133"/>
      <c r="M2948" s="133"/>
      <c r="N2948" s="133"/>
      <c r="O2948" s="133"/>
      <c r="P2948" s="134"/>
      <c r="Q2948" s="146"/>
      <c r="R2948" s="17"/>
      <c r="S2948" s="17"/>
      <c r="T2948" s="75"/>
      <c r="U2948" s="75"/>
      <c r="V2948" s="75"/>
      <c r="W2948" s="75"/>
      <c r="X2948" s="75"/>
    </row>
    <row r="2949">
      <c r="A2949" s="17"/>
      <c r="B2949" s="17"/>
      <c r="C2949" s="133"/>
      <c r="D2949" s="133"/>
      <c r="E2949" s="17"/>
      <c r="F2949" s="133"/>
      <c r="G2949" s="133"/>
      <c r="H2949" s="133"/>
      <c r="I2949" s="133"/>
      <c r="J2949" s="133"/>
      <c r="K2949" s="133"/>
      <c r="L2949" s="133"/>
      <c r="M2949" s="133"/>
      <c r="N2949" s="133"/>
      <c r="O2949" s="133"/>
      <c r="P2949" s="134"/>
      <c r="Q2949" s="146"/>
      <c r="R2949" s="17"/>
      <c r="S2949" s="17"/>
      <c r="T2949" s="75"/>
      <c r="U2949" s="75"/>
      <c r="V2949" s="75"/>
      <c r="W2949" s="75"/>
      <c r="X2949" s="75"/>
    </row>
    <row r="2950">
      <c r="A2950" s="17"/>
      <c r="B2950" s="17"/>
      <c r="C2950" s="133"/>
      <c r="D2950" s="133"/>
      <c r="E2950" s="17"/>
      <c r="F2950" s="133"/>
      <c r="G2950" s="133"/>
      <c r="H2950" s="133"/>
      <c r="I2950" s="133"/>
      <c r="J2950" s="133"/>
      <c r="K2950" s="133"/>
      <c r="L2950" s="133"/>
      <c r="M2950" s="133"/>
      <c r="N2950" s="133"/>
      <c r="O2950" s="133"/>
      <c r="P2950" s="134"/>
      <c r="Q2950" s="146"/>
      <c r="R2950" s="17"/>
      <c r="S2950" s="17"/>
      <c r="T2950" s="75"/>
      <c r="U2950" s="75"/>
      <c r="V2950" s="75"/>
      <c r="W2950" s="75"/>
      <c r="X2950" s="75"/>
    </row>
    <row r="2951">
      <c r="A2951" s="17"/>
      <c r="B2951" s="17"/>
      <c r="C2951" s="133"/>
      <c r="D2951" s="133"/>
      <c r="E2951" s="17"/>
      <c r="F2951" s="133"/>
      <c r="G2951" s="133"/>
      <c r="H2951" s="133"/>
      <c r="I2951" s="133"/>
      <c r="J2951" s="133"/>
      <c r="K2951" s="133"/>
      <c r="L2951" s="133"/>
      <c r="M2951" s="133"/>
      <c r="N2951" s="133"/>
      <c r="O2951" s="133"/>
      <c r="P2951" s="134"/>
      <c r="Q2951" s="146"/>
      <c r="R2951" s="17"/>
      <c r="S2951" s="17"/>
      <c r="T2951" s="75"/>
      <c r="U2951" s="75"/>
      <c r="V2951" s="75"/>
      <c r="W2951" s="75"/>
      <c r="X2951" s="75"/>
    </row>
    <row r="2952">
      <c r="A2952" s="17"/>
      <c r="B2952" s="17"/>
      <c r="C2952" s="133"/>
      <c r="D2952" s="133"/>
      <c r="E2952" s="17"/>
      <c r="F2952" s="133"/>
      <c r="G2952" s="133"/>
      <c r="H2952" s="133"/>
      <c r="I2952" s="133"/>
      <c r="J2952" s="133"/>
      <c r="K2952" s="133"/>
      <c r="L2952" s="133"/>
      <c r="M2952" s="133"/>
      <c r="N2952" s="133"/>
      <c r="O2952" s="133"/>
      <c r="P2952" s="134"/>
      <c r="Q2952" s="146"/>
      <c r="R2952" s="17"/>
      <c r="S2952" s="17"/>
      <c r="T2952" s="75"/>
      <c r="U2952" s="75"/>
      <c r="V2952" s="75"/>
      <c r="W2952" s="75"/>
      <c r="X2952" s="75"/>
    </row>
    <row r="2953">
      <c r="A2953" s="17"/>
      <c r="B2953" s="17"/>
      <c r="C2953" s="133"/>
      <c r="D2953" s="133"/>
      <c r="E2953" s="17"/>
      <c r="F2953" s="133"/>
      <c r="G2953" s="133"/>
      <c r="H2953" s="133"/>
      <c r="I2953" s="133"/>
      <c r="J2953" s="133"/>
      <c r="K2953" s="133"/>
      <c r="L2953" s="133"/>
      <c r="M2953" s="133"/>
      <c r="N2953" s="133"/>
      <c r="O2953" s="133"/>
      <c r="P2953" s="134"/>
      <c r="Q2953" s="146"/>
      <c r="R2953" s="17"/>
      <c r="S2953" s="17"/>
      <c r="T2953" s="75"/>
      <c r="U2953" s="75"/>
      <c r="V2953" s="75"/>
      <c r="W2953" s="75"/>
      <c r="X2953" s="75"/>
    </row>
    <row r="2954">
      <c r="A2954" s="17"/>
      <c r="B2954" s="17"/>
      <c r="C2954" s="133"/>
      <c r="D2954" s="133"/>
      <c r="E2954" s="17"/>
      <c r="F2954" s="133"/>
      <c r="G2954" s="133"/>
      <c r="H2954" s="133"/>
      <c r="I2954" s="133"/>
      <c r="J2954" s="133"/>
      <c r="K2954" s="133"/>
      <c r="L2954" s="133"/>
      <c r="M2954" s="133"/>
      <c r="N2954" s="133"/>
      <c r="O2954" s="133"/>
      <c r="P2954" s="134"/>
      <c r="Q2954" s="146"/>
      <c r="R2954" s="17"/>
      <c r="S2954" s="17"/>
      <c r="T2954" s="75"/>
      <c r="U2954" s="75"/>
      <c r="V2954" s="75"/>
      <c r="W2954" s="75"/>
      <c r="X2954" s="75"/>
    </row>
    <row r="2955">
      <c r="A2955" s="17"/>
      <c r="B2955" s="17"/>
      <c r="C2955" s="133"/>
      <c r="D2955" s="133"/>
      <c r="E2955" s="17"/>
      <c r="F2955" s="133"/>
      <c r="G2955" s="133"/>
      <c r="H2955" s="133"/>
      <c r="I2955" s="133"/>
      <c r="J2955" s="133"/>
      <c r="K2955" s="133"/>
      <c r="L2955" s="133"/>
      <c r="M2955" s="133"/>
      <c r="N2955" s="133"/>
      <c r="O2955" s="133"/>
      <c r="P2955" s="134"/>
      <c r="Q2955" s="146"/>
      <c r="R2955" s="17"/>
      <c r="S2955" s="17"/>
      <c r="T2955" s="75"/>
      <c r="U2955" s="75"/>
      <c r="V2955" s="75"/>
      <c r="W2955" s="75"/>
      <c r="X2955" s="75"/>
    </row>
    <row r="2956">
      <c r="A2956" s="17"/>
      <c r="B2956" s="17"/>
      <c r="C2956" s="133"/>
      <c r="D2956" s="133"/>
      <c r="E2956" s="17"/>
      <c r="F2956" s="133"/>
      <c r="G2956" s="133"/>
      <c r="H2956" s="133"/>
      <c r="I2956" s="133"/>
      <c r="J2956" s="133"/>
      <c r="K2956" s="133"/>
      <c r="L2956" s="133"/>
      <c r="M2956" s="133"/>
      <c r="N2956" s="133"/>
      <c r="O2956" s="133"/>
      <c r="P2956" s="134"/>
      <c r="Q2956" s="146"/>
      <c r="R2956" s="17"/>
      <c r="S2956" s="17"/>
      <c r="T2956" s="75"/>
      <c r="U2956" s="75"/>
      <c r="V2956" s="75"/>
      <c r="W2956" s="75"/>
      <c r="X2956" s="75"/>
    </row>
    <row r="2957">
      <c r="A2957" s="17"/>
      <c r="B2957" s="17"/>
      <c r="C2957" s="133"/>
      <c r="D2957" s="133"/>
      <c r="E2957" s="17"/>
      <c r="F2957" s="133"/>
      <c r="G2957" s="133"/>
      <c r="H2957" s="133"/>
      <c r="I2957" s="133"/>
      <c r="J2957" s="133"/>
      <c r="K2957" s="133"/>
      <c r="L2957" s="133"/>
      <c r="M2957" s="133"/>
      <c r="N2957" s="133"/>
      <c r="O2957" s="133"/>
      <c r="P2957" s="134"/>
      <c r="Q2957" s="146"/>
      <c r="R2957" s="17"/>
      <c r="S2957" s="17"/>
      <c r="T2957" s="75"/>
      <c r="U2957" s="75"/>
      <c r="V2957" s="75"/>
      <c r="W2957" s="75"/>
      <c r="X2957" s="75"/>
    </row>
    <row r="2958">
      <c r="A2958" s="17"/>
      <c r="B2958" s="17"/>
      <c r="C2958" s="133"/>
      <c r="D2958" s="133"/>
      <c r="E2958" s="17"/>
      <c r="F2958" s="133"/>
      <c r="G2958" s="133"/>
      <c r="H2958" s="133"/>
      <c r="I2958" s="133"/>
      <c r="J2958" s="133"/>
      <c r="K2958" s="133"/>
      <c r="L2958" s="133"/>
      <c r="M2958" s="133"/>
      <c r="N2958" s="133"/>
      <c r="O2958" s="133"/>
      <c r="P2958" s="134"/>
      <c r="Q2958" s="146"/>
      <c r="R2958" s="17"/>
      <c r="S2958" s="17"/>
      <c r="T2958" s="75"/>
      <c r="U2958" s="75"/>
      <c r="V2958" s="75"/>
      <c r="W2958" s="75"/>
      <c r="X2958" s="75"/>
    </row>
    <row r="2959">
      <c r="A2959" s="17"/>
      <c r="B2959" s="17"/>
      <c r="C2959" s="133"/>
      <c r="D2959" s="133"/>
      <c r="E2959" s="17"/>
      <c r="F2959" s="133"/>
      <c r="G2959" s="133"/>
      <c r="H2959" s="133"/>
      <c r="I2959" s="133"/>
      <c r="J2959" s="133"/>
      <c r="K2959" s="133"/>
      <c r="L2959" s="133"/>
      <c r="M2959" s="133"/>
      <c r="N2959" s="133"/>
      <c r="O2959" s="133"/>
      <c r="P2959" s="134"/>
      <c r="Q2959" s="146"/>
      <c r="R2959" s="17"/>
      <c r="S2959" s="17"/>
      <c r="T2959" s="75"/>
      <c r="U2959" s="75"/>
      <c r="V2959" s="75"/>
      <c r="W2959" s="75"/>
      <c r="X2959" s="75"/>
    </row>
    <row r="2960">
      <c r="A2960" s="17"/>
      <c r="B2960" s="17"/>
      <c r="C2960" s="133"/>
      <c r="D2960" s="133"/>
      <c r="E2960" s="17"/>
      <c r="F2960" s="133"/>
      <c r="G2960" s="133"/>
      <c r="H2960" s="133"/>
      <c r="I2960" s="133"/>
      <c r="J2960" s="133"/>
      <c r="K2960" s="133"/>
      <c r="L2960" s="133"/>
      <c r="M2960" s="133"/>
      <c r="N2960" s="133"/>
      <c r="O2960" s="133"/>
      <c r="P2960" s="134"/>
      <c r="Q2960" s="146"/>
      <c r="R2960" s="17"/>
      <c r="S2960" s="17"/>
      <c r="T2960" s="75"/>
      <c r="U2960" s="75"/>
      <c r="V2960" s="75"/>
      <c r="W2960" s="75"/>
      <c r="X2960" s="75"/>
    </row>
    <row r="2961">
      <c r="A2961" s="17"/>
      <c r="B2961" s="17"/>
      <c r="C2961" s="133"/>
      <c r="D2961" s="133"/>
      <c r="E2961" s="17"/>
      <c r="F2961" s="133"/>
      <c r="G2961" s="133"/>
      <c r="H2961" s="133"/>
      <c r="I2961" s="133"/>
      <c r="J2961" s="133"/>
      <c r="K2961" s="133"/>
      <c r="L2961" s="133"/>
      <c r="M2961" s="133"/>
      <c r="N2961" s="133"/>
      <c r="O2961" s="133"/>
      <c r="P2961" s="134"/>
      <c r="Q2961" s="146"/>
      <c r="R2961" s="17"/>
      <c r="S2961" s="17"/>
      <c r="T2961" s="75"/>
      <c r="U2961" s="75"/>
      <c r="V2961" s="75"/>
      <c r="W2961" s="75"/>
      <c r="X2961" s="75"/>
    </row>
    <row r="2962">
      <c r="A2962" s="17"/>
      <c r="B2962" s="17"/>
      <c r="C2962" s="133"/>
      <c r="D2962" s="133"/>
      <c r="E2962" s="17"/>
      <c r="F2962" s="133"/>
      <c r="G2962" s="133"/>
      <c r="H2962" s="133"/>
      <c r="I2962" s="133"/>
      <c r="J2962" s="133"/>
      <c r="K2962" s="133"/>
      <c r="L2962" s="133"/>
      <c r="M2962" s="133"/>
      <c r="N2962" s="133"/>
      <c r="O2962" s="133"/>
      <c r="P2962" s="134"/>
      <c r="Q2962" s="146"/>
      <c r="R2962" s="17"/>
      <c r="S2962" s="17"/>
      <c r="T2962" s="75"/>
      <c r="U2962" s="75"/>
      <c r="V2962" s="75"/>
      <c r="W2962" s="75"/>
      <c r="X2962" s="75"/>
    </row>
    <row r="2963">
      <c r="A2963" s="17"/>
      <c r="B2963" s="17"/>
      <c r="C2963" s="133"/>
      <c r="D2963" s="133"/>
      <c r="E2963" s="17"/>
      <c r="F2963" s="133"/>
      <c r="G2963" s="133"/>
      <c r="H2963" s="133"/>
      <c r="I2963" s="133"/>
      <c r="J2963" s="133"/>
      <c r="K2963" s="133"/>
      <c r="L2963" s="133"/>
      <c r="M2963" s="133"/>
      <c r="N2963" s="133"/>
      <c r="O2963" s="133"/>
      <c r="P2963" s="134"/>
      <c r="Q2963" s="146"/>
      <c r="R2963" s="17"/>
      <c r="S2963" s="17"/>
      <c r="T2963" s="75"/>
      <c r="U2963" s="75"/>
      <c r="V2963" s="75"/>
      <c r="W2963" s="75"/>
      <c r="X2963" s="75"/>
    </row>
    <row r="2964">
      <c r="A2964" s="17"/>
      <c r="B2964" s="17"/>
      <c r="C2964" s="133"/>
      <c r="D2964" s="133"/>
      <c r="E2964" s="17"/>
      <c r="F2964" s="133"/>
      <c r="G2964" s="133"/>
      <c r="H2964" s="133"/>
      <c r="I2964" s="133"/>
      <c r="J2964" s="133"/>
      <c r="K2964" s="133"/>
      <c r="L2964" s="133"/>
      <c r="M2964" s="133"/>
      <c r="N2964" s="133"/>
      <c r="O2964" s="133"/>
      <c r="P2964" s="134"/>
      <c r="Q2964" s="146"/>
      <c r="R2964" s="17"/>
      <c r="S2964" s="17"/>
      <c r="T2964" s="75"/>
      <c r="U2964" s="75"/>
      <c r="V2964" s="75"/>
      <c r="W2964" s="75"/>
      <c r="X2964" s="75"/>
    </row>
    <row r="2965">
      <c r="A2965" s="17"/>
      <c r="B2965" s="17"/>
      <c r="C2965" s="133"/>
      <c r="D2965" s="133"/>
      <c r="E2965" s="17"/>
      <c r="F2965" s="133"/>
      <c r="G2965" s="133"/>
      <c r="H2965" s="133"/>
      <c r="I2965" s="133"/>
      <c r="J2965" s="133"/>
      <c r="K2965" s="133"/>
      <c r="L2965" s="133"/>
      <c r="M2965" s="133"/>
      <c r="N2965" s="133"/>
      <c r="O2965" s="133"/>
      <c r="P2965" s="134"/>
      <c r="Q2965" s="146"/>
      <c r="R2965" s="17"/>
      <c r="S2965" s="17"/>
      <c r="T2965" s="75"/>
      <c r="U2965" s="75"/>
      <c r="V2965" s="75"/>
      <c r="W2965" s="75"/>
      <c r="X2965" s="75"/>
    </row>
    <row r="2966">
      <c r="A2966" s="17"/>
      <c r="B2966" s="17"/>
      <c r="C2966" s="133"/>
      <c r="D2966" s="133"/>
      <c r="E2966" s="17"/>
      <c r="F2966" s="133"/>
      <c r="G2966" s="133"/>
      <c r="H2966" s="133"/>
      <c r="I2966" s="133"/>
      <c r="J2966" s="133"/>
      <c r="K2966" s="133"/>
      <c r="L2966" s="133"/>
      <c r="M2966" s="133"/>
      <c r="N2966" s="133"/>
      <c r="O2966" s="133"/>
      <c r="P2966" s="134"/>
      <c r="Q2966" s="146"/>
      <c r="R2966" s="17"/>
      <c r="S2966" s="17"/>
      <c r="T2966" s="75"/>
      <c r="U2966" s="75"/>
      <c r="V2966" s="75"/>
      <c r="W2966" s="75"/>
      <c r="X2966" s="75"/>
    </row>
    <row r="2967">
      <c r="A2967" s="17"/>
      <c r="B2967" s="17"/>
      <c r="C2967" s="133"/>
      <c r="D2967" s="133"/>
      <c r="E2967" s="17"/>
      <c r="F2967" s="133"/>
      <c r="G2967" s="133"/>
      <c r="H2967" s="133"/>
      <c r="I2967" s="133"/>
      <c r="J2967" s="133"/>
      <c r="K2967" s="133"/>
      <c r="L2967" s="133"/>
      <c r="M2967" s="133"/>
      <c r="N2967" s="133"/>
      <c r="O2967" s="133"/>
      <c r="P2967" s="134"/>
      <c r="Q2967" s="146"/>
      <c r="R2967" s="17"/>
      <c r="S2967" s="17"/>
      <c r="T2967" s="75"/>
      <c r="U2967" s="75"/>
      <c r="V2967" s="75"/>
      <c r="W2967" s="75"/>
      <c r="X2967" s="75"/>
    </row>
    <row r="2968">
      <c r="A2968" s="17"/>
      <c r="B2968" s="17"/>
      <c r="C2968" s="133"/>
      <c r="D2968" s="133"/>
      <c r="E2968" s="17"/>
      <c r="F2968" s="133"/>
      <c r="G2968" s="133"/>
      <c r="H2968" s="133"/>
      <c r="I2968" s="133"/>
      <c r="J2968" s="133"/>
      <c r="K2968" s="133"/>
      <c r="L2968" s="133"/>
      <c r="M2968" s="133"/>
      <c r="N2968" s="133"/>
      <c r="O2968" s="133"/>
      <c r="P2968" s="134"/>
      <c r="Q2968" s="146"/>
      <c r="R2968" s="17"/>
      <c r="S2968" s="17"/>
      <c r="T2968" s="75"/>
      <c r="U2968" s="75"/>
      <c r="V2968" s="75"/>
      <c r="W2968" s="75"/>
      <c r="X2968" s="75"/>
    </row>
    <row r="2969">
      <c r="A2969" s="17"/>
      <c r="B2969" s="17"/>
      <c r="C2969" s="133"/>
      <c r="D2969" s="133"/>
      <c r="E2969" s="17"/>
      <c r="F2969" s="133"/>
      <c r="G2969" s="133"/>
      <c r="H2969" s="133"/>
      <c r="I2969" s="133"/>
      <c r="J2969" s="133"/>
      <c r="K2969" s="133"/>
      <c r="L2969" s="133"/>
      <c r="M2969" s="133"/>
      <c r="N2969" s="133"/>
      <c r="O2969" s="133"/>
      <c r="P2969" s="134"/>
      <c r="Q2969" s="146"/>
      <c r="R2969" s="17"/>
      <c r="S2969" s="17"/>
      <c r="T2969" s="75"/>
      <c r="U2969" s="75"/>
      <c r="V2969" s="75"/>
      <c r="W2969" s="75"/>
      <c r="X2969" s="75"/>
    </row>
    <row r="2970">
      <c r="A2970" s="17"/>
      <c r="B2970" s="17"/>
      <c r="C2970" s="133"/>
      <c r="D2970" s="133"/>
      <c r="E2970" s="17"/>
      <c r="F2970" s="133"/>
      <c r="G2970" s="133"/>
      <c r="H2970" s="133"/>
      <c r="I2970" s="133"/>
      <c r="J2970" s="133"/>
      <c r="K2970" s="133"/>
      <c r="L2970" s="133"/>
      <c r="M2970" s="133"/>
      <c r="N2970" s="133"/>
      <c r="O2970" s="133"/>
      <c r="P2970" s="134"/>
      <c r="Q2970" s="146"/>
      <c r="R2970" s="17"/>
      <c r="S2970" s="17"/>
      <c r="T2970" s="75"/>
      <c r="U2970" s="75"/>
      <c r="V2970" s="75"/>
      <c r="W2970" s="75"/>
      <c r="X2970" s="75"/>
    </row>
    <row r="2971">
      <c r="A2971" s="17"/>
      <c r="B2971" s="17"/>
      <c r="C2971" s="133"/>
      <c r="D2971" s="133"/>
      <c r="E2971" s="17"/>
      <c r="F2971" s="133"/>
      <c r="G2971" s="133"/>
      <c r="H2971" s="133"/>
      <c r="I2971" s="133"/>
      <c r="J2971" s="133"/>
      <c r="K2971" s="133"/>
      <c r="L2971" s="133"/>
      <c r="M2971" s="133"/>
      <c r="N2971" s="133"/>
      <c r="O2971" s="133"/>
      <c r="P2971" s="134"/>
      <c r="Q2971" s="146"/>
      <c r="R2971" s="17"/>
      <c r="S2971" s="17"/>
      <c r="T2971" s="75"/>
      <c r="U2971" s="75"/>
      <c r="V2971" s="75"/>
      <c r="W2971" s="75"/>
      <c r="X2971" s="75"/>
    </row>
    <row r="2972">
      <c r="A2972" s="17"/>
      <c r="B2972" s="17"/>
      <c r="C2972" s="133"/>
      <c r="D2972" s="133"/>
      <c r="E2972" s="17"/>
      <c r="F2972" s="133"/>
      <c r="G2972" s="133"/>
      <c r="H2972" s="133"/>
      <c r="I2972" s="133"/>
      <c r="J2972" s="133"/>
      <c r="K2972" s="133"/>
      <c r="L2972" s="133"/>
      <c r="M2972" s="133"/>
      <c r="N2972" s="133"/>
      <c r="O2972" s="133"/>
      <c r="P2972" s="134"/>
      <c r="Q2972" s="146"/>
      <c r="R2972" s="17"/>
      <c r="S2972" s="17"/>
      <c r="T2972" s="75"/>
      <c r="U2972" s="75"/>
      <c r="V2972" s="75"/>
      <c r="W2972" s="75"/>
      <c r="X2972" s="75"/>
    </row>
    <row r="2973">
      <c r="A2973" s="17"/>
      <c r="B2973" s="17"/>
      <c r="C2973" s="133"/>
      <c r="D2973" s="133"/>
      <c r="E2973" s="17"/>
      <c r="F2973" s="133"/>
      <c r="G2973" s="133"/>
      <c r="H2973" s="133"/>
      <c r="I2973" s="133"/>
      <c r="J2973" s="133"/>
      <c r="K2973" s="133"/>
      <c r="L2973" s="133"/>
      <c r="M2973" s="133"/>
      <c r="N2973" s="133"/>
      <c r="O2973" s="133"/>
      <c r="P2973" s="134"/>
      <c r="Q2973" s="146"/>
      <c r="R2973" s="17"/>
      <c r="S2973" s="17"/>
      <c r="T2973" s="75"/>
      <c r="U2973" s="75"/>
      <c r="V2973" s="75"/>
      <c r="W2973" s="75"/>
      <c r="X2973" s="75"/>
    </row>
    <row r="2974">
      <c r="A2974" s="17"/>
      <c r="B2974" s="17"/>
      <c r="C2974" s="133"/>
      <c r="D2974" s="133"/>
      <c r="E2974" s="17"/>
      <c r="F2974" s="133"/>
      <c r="G2974" s="133"/>
      <c r="H2974" s="133"/>
      <c r="I2974" s="133"/>
      <c r="J2974" s="133"/>
      <c r="K2974" s="133"/>
      <c r="L2974" s="133"/>
      <c r="M2974" s="133"/>
      <c r="N2974" s="133"/>
      <c r="O2974" s="133"/>
      <c r="P2974" s="134"/>
      <c r="Q2974" s="146"/>
      <c r="R2974" s="17"/>
      <c r="S2974" s="17"/>
      <c r="T2974" s="75"/>
      <c r="U2974" s="75"/>
      <c r="V2974" s="75"/>
      <c r="W2974" s="75"/>
      <c r="X2974" s="75"/>
    </row>
    <row r="2975">
      <c r="A2975" s="17"/>
      <c r="B2975" s="17"/>
      <c r="C2975" s="133"/>
      <c r="D2975" s="133"/>
      <c r="E2975" s="17"/>
      <c r="F2975" s="133"/>
      <c r="G2975" s="133"/>
      <c r="H2975" s="133"/>
      <c r="I2975" s="133"/>
      <c r="J2975" s="133"/>
      <c r="K2975" s="133"/>
      <c r="L2975" s="133"/>
      <c r="M2975" s="133"/>
      <c r="N2975" s="133"/>
      <c r="O2975" s="133"/>
      <c r="P2975" s="134"/>
      <c r="Q2975" s="146"/>
      <c r="R2975" s="17"/>
      <c r="S2975" s="17"/>
      <c r="T2975" s="75"/>
      <c r="U2975" s="75"/>
      <c r="V2975" s="75"/>
      <c r="W2975" s="75"/>
      <c r="X2975" s="75"/>
    </row>
    <row r="2976">
      <c r="A2976" s="17"/>
      <c r="B2976" s="17"/>
      <c r="C2976" s="133"/>
      <c r="D2976" s="133"/>
      <c r="E2976" s="17"/>
      <c r="F2976" s="133"/>
      <c r="G2976" s="133"/>
      <c r="H2976" s="133"/>
      <c r="I2976" s="133"/>
      <c r="J2976" s="133"/>
      <c r="K2976" s="133"/>
      <c r="L2976" s="133"/>
      <c r="M2976" s="133"/>
      <c r="N2976" s="133"/>
      <c r="O2976" s="133"/>
      <c r="P2976" s="134"/>
      <c r="Q2976" s="146"/>
      <c r="R2976" s="17"/>
      <c r="S2976" s="17"/>
      <c r="T2976" s="75"/>
      <c r="U2976" s="75"/>
      <c r="V2976" s="75"/>
      <c r="W2976" s="75"/>
      <c r="X2976" s="75"/>
    </row>
    <row r="2977">
      <c r="A2977" s="17"/>
      <c r="B2977" s="17"/>
      <c r="C2977" s="133"/>
      <c r="D2977" s="133"/>
      <c r="E2977" s="17"/>
      <c r="F2977" s="133"/>
      <c r="G2977" s="133"/>
      <c r="H2977" s="133"/>
      <c r="I2977" s="133"/>
      <c r="J2977" s="133"/>
      <c r="K2977" s="133"/>
      <c r="L2977" s="133"/>
      <c r="M2977" s="133"/>
      <c r="N2977" s="133"/>
      <c r="O2977" s="133"/>
      <c r="P2977" s="134"/>
      <c r="Q2977" s="146"/>
      <c r="R2977" s="17"/>
      <c r="S2977" s="17"/>
      <c r="T2977" s="75"/>
      <c r="U2977" s="75"/>
      <c r="V2977" s="75"/>
      <c r="W2977" s="75"/>
      <c r="X2977" s="75"/>
    </row>
    <row r="2978">
      <c r="A2978" s="17"/>
      <c r="B2978" s="17"/>
      <c r="C2978" s="133"/>
      <c r="D2978" s="133"/>
      <c r="E2978" s="17"/>
      <c r="F2978" s="133"/>
      <c r="G2978" s="133"/>
      <c r="H2978" s="133"/>
      <c r="I2978" s="133"/>
      <c r="J2978" s="133"/>
      <c r="K2978" s="133"/>
      <c r="L2978" s="133"/>
      <c r="M2978" s="133"/>
      <c r="N2978" s="133"/>
      <c r="O2978" s="133"/>
      <c r="P2978" s="134"/>
      <c r="Q2978" s="146"/>
      <c r="R2978" s="17"/>
      <c r="S2978" s="17"/>
      <c r="T2978" s="75"/>
      <c r="U2978" s="75"/>
      <c r="V2978" s="75"/>
      <c r="W2978" s="75"/>
      <c r="X2978" s="75"/>
    </row>
    <row r="2979">
      <c r="A2979" s="17"/>
      <c r="B2979" s="17"/>
      <c r="C2979" s="133"/>
      <c r="D2979" s="133"/>
      <c r="E2979" s="17"/>
      <c r="F2979" s="133"/>
      <c r="G2979" s="133"/>
      <c r="H2979" s="133"/>
      <c r="I2979" s="133"/>
      <c r="J2979" s="133"/>
      <c r="K2979" s="133"/>
      <c r="L2979" s="133"/>
      <c r="M2979" s="133"/>
      <c r="N2979" s="133"/>
      <c r="O2979" s="133"/>
      <c r="P2979" s="134"/>
      <c r="Q2979" s="146"/>
      <c r="R2979" s="17"/>
      <c r="S2979" s="17"/>
      <c r="T2979" s="75"/>
      <c r="U2979" s="75"/>
      <c r="V2979" s="75"/>
      <c r="W2979" s="75"/>
      <c r="X2979" s="75"/>
    </row>
    <row r="2980">
      <c r="A2980" s="17"/>
      <c r="B2980" s="17"/>
      <c r="C2980" s="133"/>
      <c r="D2980" s="133"/>
      <c r="E2980" s="17"/>
      <c r="F2980" s="133"/>
      <c r="G2980" s="133"/>
      <c r="H2980" s="133"/>
      <c r="I2980" s="133"/>
      <c r="J2980" s="133"/>
      <c r="K2980" s="133"/>
      <c r="L2980" s="133"/>
      <c r="M2980" s="133"/>
      <c r="N2980" s="133"/>
      <c r="O2980" s="133"/>
      <c r="P2980" s="134"/>
      <c r="Q2980" s="146"/>
      <c r="R2980" s="17"/>
      <c r="S2980" s="17"/>
      <c r="T2980" s="75"/>
      <c r="U2980" s="75"/>
      <c r="V2980" s="75"/>
      <c r="W2980" s="75"/>
      <c r="X2980" s="75"/>
    </row>
    <row r="2981">
      <c r="A2981" s="17"/>
      <c r="B2981" s="17"/>
      <c r="C2981" s="133"/>
      <c r="D2981" s="133"/>
      <c r="E2981" s="17"/>
      <c r="F2981" s="133"/>
      <c r="G2981" s="133"/>
      <c r="H2981" s="133"/>
      <c r="I2981" s="133"/>
      <c r="J2981" s="133"/>
      <c r="K2981" s="133"/>
      <c r="L2981" s="133"/>
      <c r="M2981" s="133"/>
      <c r="N2981" s="133"/>
      <c r="O2981" s="133"/>
      <c r="P2981" s="134"/>
      <c r="Q2981" s="146"/>
      <c r="R2981" s="17"/>
      <c r="S2981" s="17"/>
      <c r="T2981" s="75"/>
      <c r="U2981" s="75"/>
      <c r="V2981" s="75"/>
      <c r="W2981" s="75"/>
      <c r="X2981" s="75"/>
    </row>
    <row r="2982">
      <c r="A2982" s="17"/>
      <c r="B2982" s="17"/>
      <c r="C2982" s="133"/>
      <c r="D2982" s="133"/>
      <c r="E2982" s="17"/>
      <c r="F2982" s="133"/>
      <c r="G2982" s="133"/>
      <c r="H2982" s="133"/>
      <c r="I2982" s="133"/>
      <c r="J2982" s="133"/>
      <c r="K2982" s="133"/>
      <c r="L2982" s="133"/>
      <c r="M2982" s="133"/>
      <c r="N2982" s="133"/>
      <c r="O2982" s="133"/>
      <c r="P2982" s="134"/>
      <c r="Q2982" s="146"/>
      <c r="R2982" s="17"/>
      <c r="S2982" s="17"/>
      <c r="T2982" s="75"/>
      <c r="U2982" s="75"/>
      <c r="V2982" s="75"/>
      <c r="W2982" s="75"/>
      <c r="X2982" s="75"/>
    </row>
    <row r="2983">
      <c r="A2983" s="17"/>
      <c r="B2983" s="17"/>
      <c r="C2983" s="133"/>
      <c r="D2983" s="133"/>
      <c r="E2983" s="17"/>
      <c r="F2983" s="133"/>
      <c r="G2983" s="133"/>
      <c r="H2983" s="133"/>
      <c r="I2983" s="133"/>
      <c r="J2983" s="133"/>
      <c r="K2983" s="133"/>
      <c r="L2983" s="133"/>
      <c r="M2983" s="133"/>
      <c r="N2983" s="133"/>
      <c r="O2983" s="133"/>
      <c r="P2983" s="134"/>
      <c r="Q2983" s="146"/>
      <c r="R2983" s="17"/>
      <c r="S2983" s="17"/>
      <c r="T2983" s="75"/>
      <c r="U2983" s="75"/>
      <c r="V2983" s="75"/>
      <c r="W2983" s="75"/>
      <c r="X2983" s="75"/>
    </row>
    <row r="2984">
      <c r="A2984" s="17"/>
      <c r="B2984" s="17"/>
      <c r="C2984" s="133"/>
      <c r="D2984" s="133"/>
      <c r="E2984" s="17"/>
      <c r="F2984" s="133"/>
      <c r="G2984" s="133"/>
      <c r="H2984" s="133"/>
      <c r="I2984" s="133"/>
      <c r="J2984" s="133"/>
      <c r="K2984" s="133"/>
      <c r="L2984" s="133"/>
      <c r="M2984" s="133"/>
      <c r="N2984" s="133"/>
      <c r="O2984" s="133"/>
      <c r="P2984" s="134"/>
      <c r="Q2984" s="146"/>
      <c r="R2984" s="17"/>
      <c r="S2984" s="17"/>
      <c r="T2984" s="75"/>
      <c r="U2984" s="75"/>
      <c r="V2984" s="75"/>
      <c r="W2984" s="75"/>
      <c r="X2984" s="75"/>
    </row>
    <row r="2985">
      <c r="A2985" s="17"/>
      <c r="B2985" s="17"/>
      <c r="C2985" s="133"/>
      <c r="D2985" s="133"/>
      <c r="E2985" s="17"/>
      <c r="F2985" s="133"/>
      <c r="G2985" s="133"/>
      <c r="H2985" s="133"/>
      <c r="I2985" s="133"/>
      <c r="J2985" s="133"/>
      <c r="K2985" s="133"/>
      <c r="L2985" s="133"/>
      <c r="M2985" s="133"/>
      <c r="N2985" s="133"/>
      <c r="O2985" s="133"/>
      <c r="P2985" s="134"/>
      <c r="Q2985" s="146"/>
      <c r="R2985" s="17"/>
      <c r="S2985" s="17"/>
      <c r="T2985" s="75"/>
      <c r="U2985" s="75"/>
      <c r="V2985" s="75"/>
      <c r="W2985" s="75"/>
      <c r="X2985" s="75"/>
    </row>
    <row r="2986">
      <c r="A2986" s="17"/>
      <c r="B2986" s="17"/>
      <c r="C2986" s="133"/>
      <c r="D2986" s="133"/>
      <c r="E2986" s="17"/>
      <c r="F2986" s="133"/>
      <c r="G2986" s="133"/>
      <c r="H2986" s="133"/>
      <c r="I2986" s="133"/>
      <c r="J2986" s="133"/>
      <c r="K2986" s="133"/>
      <c r="L2986" s="133"/>
      <c r="M2986" s="133"/>
      <c r="N2986" s="133"/>
      <c r="O2986" s="133"/>
      <c r="P2986" s="134"/>
      <c r="Q2986" s="146"/>
      <c r="R2986" s="17"/>
      <c r="S2986" s="17"/>
      <c r="T2986" s="75"/>
      <c r="U2986" s="75"/>
      <c r="V2986" s="75"/>
      <c r="W2986" s="75"/>
      <c r="X2986" s="75"/>
    </row>
    <row r="2987">
      <c r="A2987" s="17"/>
      <c r="B2987" s="17"/>
      <c r="C2987" s="133"/>
      <c r="D2987" s="133"/>
      <c r="E2987" s="17"/>
      <c r="F2987" s="133"/>
      <c r="G2987" s="133"/>
      <c r="H2987" s="133"/>
      <c r="I2987" s="133"/>
      <c r="J2987" s="133"/>
      <c r="K2987" s="133"/>
      <c r="L2987" s="133"/>
      <c r="M2987" s="133"/>
      <c r="N2987" s="133"/>
      <c r="O2987" s="133"/>
      <c r="P2987" s="134"/>
      <c r="Q2987" s="146"/>
      <c r="R2987" s="17"/>
      <c r="S2987" s="17"/>
      <c r="T2987" s="75"/>
      <c r="U2987" s="75"/>
      <c r="V2987" s="75"/>
      <c r="W2987" s="75"/>
      <c r="X2987" s="75"/>
    </row>
    <row r="2988">
      <c r="A2988" s="17"/>
      <c r="B2988" s="17"/>
      <c r="C2988" s="133"/>
      <c r="D2988" s="133"/>
      <c r="E2988" s="17"/>
      <c r="F2988" s="133"/>
      <c r="G2988" s="133"/>
      <c r="H2988" s="133"/>
      <c r="I2988" s="133"/>
      <c r="J2988" s="133"/>
      <c r="K2988" s="133"/>
      <c r="L2988" s="133"/>
      <c r="M2988" s="133"/>
      <c r="N2988" s="133"/>
      <c r="O2988" s="133"/>
      <c r="P2988" s="134"/>
      <c r="Q2988" s="146"/>
      <c r="R2988" s="17"/>
      <c r="S2988" s="17"/>
      <c r="T2988" s="75"/>
      <c r="U2988" s="75"/>
      <c r="V2988" s="75"/>
      <c r="W2988" s="75"/>
      <c r="X2988" s="75"/>
    </row>
    <row r="2989">
      <c r="A2989" s="17"/>
      <c r="B2989" s="17"/>
      <c r="C2989" s="133"/>
      <c r="D2989" s="133"/>
      <c r="E2989" s="17"/>
      <c r="F2989" s="133"/>
      <c r="G2989" s="133"/>
      <c r="H2989" s="133"/>
      <c r="I2989" s="133"/>
      <c r="J2989" s="133"/>
      <c r="K2989" s="133"/>
      <c r="L2989" s="133"/>
      <c r="M2989" s="133"/>
      <c r="N2989" s="133"/>
      <c r="O2989" s="133"/>
      <c r="P2989" s="134"/>
      <c r="Q2989" s="146"/>
      <c r="R2989" s="17"/>
      <c r="S2989" s="17"/>
      <c r="T2989" s="75"/>
      <c r="U2989" s="75"/>
      <c r="V2989" s="75"/>
      <c r="W2989" s="75"/>
      <c r="X2989" s="75"/>
    </row>
    <row r="2990">
      <c r="A2990" s="17"/>
      <c r="B2990" s="17"/>
      <c r="C2990" s="133"/>
      <c r="D2990" s="133"/>
      <c r="E2990" s="17"/>
      <c r="F2990" s="133"/>
      <c r="G2990" s="133"/>
      <c r="H2990" s="133"/>
      <c r="I2990" s="133"/>
      <c r="J2990" s="133"/>
      <c r="K2990" s="133"/>
      <c r="L2990" s="133"/>
      <c r="M2990" s="133"/>
      <c r="N2990" s="133"/>
      <c r="O2990" s="133"/>
      <c r="P2990" s="134"/>
      <c r="Q2990" s="146"/>
      <c r="R2990" s="17"/>
      <c r="S2990" s="17"/>
      <c r="T2990" s="75"/>
      <c r="U2990" s="75"/>
      <c r="V2990" s="75"/>
      <c r="W2990" s="75"/>
      <c r="X2990" s="75"/>
    </row>
    <row r="2991">
      <c r="A2991" s="17"/>
      <c r="B2991" s="17"/>
      <c r="C2991" s="133"/>
      <c r="D2991" s="133"/>
      <c r="E2991" s="17"/>
      <c r="F2991" s="133"/>
      <c r="G2991" s="133"/>
      <c r="H2991" s="133"/>
      <c r="I2991" s="133"/>
      <c r="J2991" s="133"/>
      <c r="K2991" s="133"/>
      <c r="L2991" s="133"/>
      <c r="M2991" s="133"/>
      <c r="N2991" s="133"/>
      <c r="O2991" s="133"/>
      <c r="P2991" s="134"/>
      <c r="Q2991" s="146"/>
      <c r="R2991" s="17"/>
      <c r="S2991" s="17"/>
      <c r="T2991" s="75"/>
      <c r="U2991" s="75"/>
      <c r="V2991" s="75"/>
      <c r="W2991" s="75"/>
      <c r="X2991" s="75"/>
    </row>
    <row r="2992">
      <c r="A2992" s="17"/>
      <c r="B2992" s="17"/>
      <c r="C2992" s="133"/>
      <c r="D2992" s="133"/>
      <c r="E2992" s="17"/>
      <c r="F2992" s="133"/>
      <c r="G2992" s="133"/>
      <c r="H2992" s="133"/>
      <c r="I2992" s="133"/>
      <c r="J2992" s="133"/>
      <c r="K2992" s="133"/>
      <c r="L2992" s="133"/>
      <c r="M2992" s="133"/>
      <c r="N2992" s="133"/>
      <c r="O2992" s="133"/>
      <c r="P2992" s="134"/>
      <c r="Q2992" s="146"/>
      <c r="R2992" s="17"/>
      <c r="S2992" s="17"/>
      <c r="T2992" s="75"/>
      <c r="U2992" s="75"/>
      <c r="V2992" s="75"/>
      <c r="W2992" s="75"/>
      <c r="X2992" s="75"/>
    </row>
    <row r="2993">
      <c r="A2993" s="17"/>
      <c r="B2993" s="17"/>
      <c r="C2993" s="133"/>
      <c r="D2993" s="133"/>
      <c r="E2993" s="17"/>
      <c r="F2993" s="133"/>
      <c r="G2993" s="133"/>
      <c r="H2993" s="133"/>
      <c r="I2993" s="133"/>
      <c r="J2993" s="133"/>
      <c r="K2993" s="133"/>
      <c r="L2993" s="133"/>
      <c r="M2993" s="133"/>
      <c r="N2993" s="133"/>
      <c r="O2993" s="133"/>
      <c r="P2993" s="134"/>
      <c r="Q2993" s="146"/>
      <c r="R2993" s="17"/>
      <c r="S2993" s="17"/>
      <c r="T2993" s="75"/>
      <c r="U2993" s="75"/>
      <c r="V2993" s="75"/>
      <c r="W2993" s="75"/>
      <c r="X2993" s="75"/>
    </row>
    <row r="2994">
      <c r="A2994" s="17"/>
      <c r="B2994" s="17"/>
      <c r="C2994" s="133"/>
      <c r="D2994" s="133"/>
      <c r="E2994" s="17"/>
      <c r="F2994" s="133"/>
      <c r="G2994" s="133"/>
      <c r="H2994" s="133"/>
      <c r="I2994" s="133"/>
      <c r="J2994" s="133"/>
      <c r="K2994" s="133"/>
      <c r="L2994" s="133"/>
      <c r="M2994" s="133"/>
      <c r="N2994" s="133"/>
      <c r="O2994" s="133"/>
      <c r="P2994" s="134"/>
      <c r="Q2994" s="146"/>
      <c r="R2994" s="17"/>
      <c r="S2994" s="17"/>
      <c r="T2994" s="75"/>
      <c r="U2994" s="75"/>
      <c r="V2994" s="75"/>
      <c r="W2994" s="75"/>
      <c r="X2994" s="75"/>
    </row>
    <row r="2995">
      <c r="A2995" s="17"/>
      <c r="B2995" s="17"/>
      <c r="C2995" s="133"/>
      <c r="D2995" s="133"/>
      <c r="E2995" s="17"/>
      <c r="F2995" s="133"/>
      <c r="G2995" s="133"/>
      <c r="H2995" s="133"/>
      <c r="I2995" s="133"/>
      <c r="J2995" s="133"/>
      <c r="K2995" s="133"/>
      <c r="L2995" s="133"/>
      <c r="M2995" s="133"/>
      <c r="N2995" s="133"/>
      <c r="O2995" s="133"/>
      <c r="P2995" s="134"/>
      <c r="Q2995" s="146"/>
      <c r="R2995" s="17"/>
      <c r="S2995" s="17"/>
      <c r="T2995" s="75"/>
      <c r="U2995" s="75"/>
      <c r="V2995" s="75"/>
      <c r="W2995" s="75"/>
      <c r="X2995" s="75"/>
    </row>
    <row r="2996">
      <c r="A2996" s="17"/>
      <c r="B2996" s="17"/>
      <c r="C2996" s="133"/>
      <c r="D2996" s="133"/>
      <c r="E2996" s="17"/>
      <c r="F2996" s="133"/>
      <c r="G2996" s="133"/>
      <c r="H2996" s="133"/>
      <c r="I2996" s="133"/>
      <c r="J2996" s="133"/>
      <c r="K2996" s="133"/>
      <c r="L2996" s="133"/>
      <c r="M2996" s="133"/>
      <c r="N2996" s="133"/>
      <c r="O2996" s="133"/>
      <c r="P2996" s="134"/>
      <c r="Q2996" s="146"/>
      <c r="R2996" s="17"/>
      <c r="S2996" s="17"/>
      <c r="T2996" s="75"/>
      <c r="U2996" s="75"/>
      <c r="V2996" s="75"/>
      <c r="W2996" s="75"/>
      <c r="X2996" s="75"/>
    </row>
    <row r="2997">
      <c r="A2997" s="17"/>
      <c r="B2997" s="17"/>
      <c r="C2997" s="133"/>
      <c r="D2997" s="133"/>
      <c r="E2997" s="17"/>
      <c r="F2997" s="133"/>
      <c r="G2997" s="133"/>
      <c r="H2997" s="133"/>
      <c r="I2997" s="133"/>
      <c r="J2997" s="133"/>
      <c r="K2997" s="133"/>
      <c r="L2997" s="133"/>
      <c r="M2997" s="133"/>
      <c r="N2997" s="133"/>
      <c r="O2997" s="133"/>
      <c r="P2997" s="134"/>
      <c r="Q2997" s="146"/>
      <c r="R2997" s="17"/>
      <c r="S2997" s="17"/>
      <c r="T2997" s="75"/>
      <c r="U2997" s="75"/>
      <c r="V2997" s="75"/>
      <c r="W2997" s="75"/>
      <c r="X2997" s="75"/>
    </row>
    <row r="2998">
      <c r="A2998" s="17"/>
      <c r="B2998" s="17"/>
      <c r="C2998" s="133"/>
      <c r="D2998" s="133"/>
      <c r="E2998" s="17"/>
      <c r="F2998" s="133"/>
      <c r="G2998" s="133"/>
      <c r="H2998" s="133"/>
      <c r="I2998" s="133"/>
      <c r="J2998" s="133"/>
      <c r="K2998" s="133"/>
      <c r="L2998" s="133"/>
      <c r="M2998" s="133"/>
      <c r="N2998" s="133"/>
      <c r="O2998" s="133"/>
      <c r="P2998" s="134"/>
      <c r="Q2998" s="146"/>
      <c r="R2998" s="17"/>
      <c r="S2998" s="17"/>
      <c r="T2998" s="75"/>
      <c r="U2998" s="75"/>
      <c r="V2998" s="75"/>
      <c r="W2998" s="75"/>
      <c r="X2998" s="75"/>
    </row>
    <row r="2999">
      <c r="A2999" s="17"/>
      <c r="B2999" s="17"/>
      <c r="C2999" s="133"/>
      <c r="D2999" s="133"/>
      <c r="E2999" s="17"/>
      <c r="F2999" s="133"/>
      <c r="G2999" s="133"/>
      <c r="H2999" s="133"/>
      <c r="I2999" s="133"/>
      <c r="J2999" s="133"/>
      <c r="K2999" s="133"/>
      <c r="L2999" s="133"/>
      <c r="M2999" s="133"/>
      <c r="N2999" s="133"/>
      <c r="O2999" s="133"/>
      <c r="P2999" s="134"/>
      <c r="Q2999" s="146"/>
      <c r="R2999" s="17"/>
      <c r="S2999" s="17"/>
      <c r="T2999" s="75"/>
      <c r="U2999" s="75"/>
      <c r="V2999" s="75"/>
      <c r="W2999" s="75"/>
      <c r="X2999" s="75"/>
    </row>
    <row r="3000">
      <c r="A3000" s="17"/>
      <c r="B3000" s="17"/>
      <c r="C3000" s="133"/>
      <c r="D3000" s="133"/>
      <c r="E3000" s="17"/>
      <c r="F3000" s="133"/>
      <c r="G3000" s="133"/>
      <c r="H3000" s="133"/>
      <c r="I3000" s="133"/>
      <c r="J3000" s="133"/>
      <c r="K3000" s="133"/>
      <c r="L3000" s="133"/>
      <c r="M3000" s="133"/>
      <c r="N3000" s="133"/>
      <c r="O3000" s="133"/>
      <c r="P3000" s="134"/>
      <c r="Q3000" s="146"/>
      <c r="R3000" s="17"/>
      <c r="S3000" s="17"/>
      <c r="T3000" s="75"/>
      <c r="U3000" s="75"/>
      <c r="V3000" s="75"/>
      <c r="W3000" s="75"/>
      <c r="X3000" s="75"/>
    </row>
    <row r="3001">
      <c r="A3001" s="17"/>
      <c r="B3001" s="17"/>
      <c r="C3001" s="133"/>
      <c r="D3001" s="133"/>
      <c r="E3001" s="17"/>
      <c r="F3001" s="133"/>
      <c r="G3001" s="133"/>
      <c r="H3001" s="133"/>
      <c r="I3001" s="133"/>
      <c r="J3001" s="133"/>
      <c r="K3001" s="133"/>
      <c r="L3001" s="133"/>
      <c r="M3001" s="133"/>
      <c r="N3001" s="133"/>
      <c r="O3001" s="133"/>
      <c r="P3001" s="134"/>
      <c r="Q3001" s="146"/>
      <c r="R3001" s="17"/>
      <c r="S3001" s="17"/>
      <c r="T3001" s="75"/>
      <c r="U3001" s="75"/>
      <c r="V3001" s="75"/>
      <c r="W3001" s="75"/>
      <c r="X3001" s="75"/>
    </row>
    <row r="3002">
      <c r="A3002" s="17"/>
      <c r="B3002" s="17"/>
      <c r="C3002" s="133"/>
      <c r="D3002" s="133"/>
      <c r="E3002" s="17"/>
      <c r="F3002" s="133"/>
      <c r="G3002" s="133"/>
      <c r="H3002" s="133"/>
      <c r="I3002" s="133"/>
      <c r="J3002" s="133"/>
      <c r="K3002" s="133"/>
      <c r="L3002" s="133"/>
      <c r="M3002" s="133"/>
      <c r="N3002" s="133"/>
      <c r="O3002" s="133"/>
      <c r="P3002" s="134"/>
      <c r="Q3002" s="146"/>
      <c r="R3002" s="17"/>
      <c r="S3002" s="17"/>
      <c r="T3002" s="75"/>
      <c r="U3002" s="75"/>
      <c r="V3002" s="75"/>
      <c r="W3002" s="75"/>
      <c r="X3002" s="75"/>
    </row>
    <row r="3003">
      <c r="A3003" s="17"/>
      <c r="B3003" s="17"/>
      <c r="C3003" s="133"/>
      <c r="D3003" s="133"/>
      <c r="E3003" s="17"/>
      <c r="F3003" s="133"/>
      <c r="G3003" s="133"/>
      <c r="H3003" s="133"/>
      <c r="I3003" s="133"/>
      <c r="J3003" s="133"/>
      <c r="K3003" s="133"/>
      <c r="L3003" s="133"/>
      <c r="M3003" s="133"/>
      <c r="N3003" s="133"/>
      <c r="O3003" s="133"/>
      <c r="P3003" s="134"/>
      <c r="Q3003" s="146"/>
      <c r="R3003" s="17"/>
      <c r="S3003" s="17"/>
      <c r="T3003" s="75"/>
      <c r="U3003" s="75"/>
      <c r="V3003" s="75"/>
      <c r="W3003" s="75"/>
      <c r="X3003" s="75"/>
    </row>
    <row r="3004">
      <c r="A3004" s="17"/>
      <c r="B3004" s="17"/>
      <c r="C3004" s="133"/>
      <c r="D3004" s="133"/>
      <c r="E3004" s="17"/>
      <c r="F3004" s="133"/>
      <c r="G3004" s="133"/>
      <c r="H3004" s="133"/>
      <c r="I3004" s="133"/>
      <c r="J3004" s="133"/>
      <c r="K3004" s="133"/>
      <c r="L3004" s="133"/>
      <c r="M3004" s="133"/>
      <c r="N3004" s="133"/>
      <c r="O3004" s="133"/>
      <c r="P3004" s="134"/>
      <c r="Q3004" s="146"/>
      <c r="R3004" s="17"/>
      <c r="S3004" s="17"/>
      <c r="T3004" s="75"/>
      <c r="U3004" s="75"/>
      <c r="V3004" s="75"/>
      <c r="W3004" s="75"/>
      <c r="X3004" s="75"/>
    </row>
    <row r="3005">
      <c r="A3005" s="17"/>
      <c r="B3005" s="17"/>
      <c r="C3005" s="133"/>
      <c r="D3005" s="133"/>
      <c r="E3005" s="17"/>
      <c r="F3005" s="133"/>
      <c r="G3005" s="133"/>
      <c r="H3005" s="133"/>
      <c r="I3005" s="133"/>
      <c r="J3005" s="133"/>
      <c r="K3005" s="133"/>
      <c r="L3005" s="133"/>
      <c r="M3005" s="133"/>
      <c r="N3005" s="133"/>
      <c r="O3005" s="133"/>
      <c r="P3005" s="134"/>
      <c r="Q3005" s="146"/>
      <c r="R3005" s="17"/>
      <c r="S3005" s="17"/>
      <c r="T3005" s="75"/>
      <c r="U3005" s="75"/>
      <c r="V3005" s="75"/>
      <c r="W3005" s="75"/>
      <c r="X3005" s="75"/>
    </row>
    <row r="3006">
      <c r="A3006" s="17"/>
      <c r="B3006" s="17"/>
      <c r="C3006" s="133"/>
      <c r="D3006" s="133"/>
      <c r="E3006" s="17"/>
      <c r="F3006" s="133"/>
      <c r="G3006" s="133"/>
      <c r="H3006" s="133"/>
      <c r="I3006" s="133"/>
      <c r="J3006" s="133"/>
      <c r="K3006" s="133"/>
      <c r="L3006" s="133"/>
      <c r="M3006" s="133"/>
      <c r="N3006" s="133"/>
      <c r="O3006" s="133"/>
      <c r="P3006" s="134"/>
      <c r="Q3006" s="146"/>
      <c r="R3006" s="17"/>
      <c r="S3006" s="17"/>
      <c r="T3006" s="75"/>
      <c r="U3006" s="75"/>
      <c r="V3006" s="75"/>
      <c r="W3006" s="75"/>
      <c r="X3006" s="75"/>
    </row>
    <row r="3007">
      <c r="A3007" s="17"/>
      <c r="B3007" s="17"/>
      <c r="C3007" s="133"/>
      <c r="D3007" s="133"/>
      <c r="E3007" s="17"/>
      <c r="F3007" s="133"/>
      <c r="G3007" s="133"/>
      <c r="H3007" s="133"/>
      <c r="I3007" s="133"/>
      <c r="J3007" s="133"/>
      <c r="K3007" s="133"/>
      <c r="L3007" s="133"/>
      <c r="M3007" s="133"/>
      <c r="N3007" s="133"/>
      <c r="O3007" s="133"/>
      <c r="P3007" s="134"/>
      <c r="Q3007" s="146"/>
      <c r="R3007" s="17"/>
      <c r="S3007" s="17"/>
      <c r="T3007" s="75"/>
      <c r="U3007" s="75"/>
      <c r="V3007" s="75"/>
      <c r="W3007" s="75"/>
      <c r="X3007" s="75"/>
    </row>
    <row r="3008">
      <c r="A3008" s="17"/>
      <c r="B3008" s="17"/>
      <c r="C3008" s="133"/>
      <c r="D3008" s="133"/>
      <c r="E3008" s="17"/>
      <c r="F3008" s="133"/>
      <c r="G3008" s="133"/>
      <c r="H3008" s="133"/>
      <c r="I3008" s="133"/>
      <c r="J3008" s="133"/>
      <c r="K3008" s="133"/>
      <c r="L3008" s="133"/>
      <c r="M3008" s="133"/>
      <c r="N3008" s="133"/>
      <c r="O3008" s="133"/>
      <c r="P3008" s="134"/>
      <c r="Q3008" s="146"/>
      <c r="R3008" s="17"/>
      <c r="S3008" s="17"/>
      <c r="T3008" s="75"/>
      <c r="U3008" s="75"/>
      <c r="V3008" s="75"/>
      <c r="W3008" s="75"/>
      <c r="X3008" s="75"/>
    </row>
    <row r="3009">
      <c r="A3009" s="17"/>
      <c r="B3009" s="17"/>
      <c r="C3009" s="133"/>
      <c r="D3009" s="133"/>
      <c r="E3009" s="17"/>
      <c r="F3009" s="133"/>
      <c r="G3009" s="133"/>
      <c r="H3009" s="133"/>
      <c r="I3009" s="133"/>
      <c r="J3009" s="133"/>
      <c r="K3009" s="133"/>
      <c r="L3009" s="133"/>
      <c r="M3009" s="133"/>
      <c r="N3009" s="133"/>
      <c r="O3009" s="133"/>
      <c r="P3009" s="134"/>
      <c r="Q3009" s="146"/>
      <c r="R3009" s="17"/>
      <c r="S3009" s="17"/>
      <c r="T3009" s="75"/>
      <c r="U3009" s="75"/>
      <c r="V3009" s="75"/>
      <c r="W3009" s="75"/>
      <c r="X3009" s="75"/>
    </row>
    <row r="3010">
      <c r="A3010" s="17"/>
      <c r="B3010" s="17"/>
      <c r="C3010" s="133"/>
      <c r="D3010" s="133"/>
      <c r="E3010" s="17"/>
      <c r="F3010" s="133"/>
      <c r="G3010" s="133"/>
      <c r="H3010" s="133"/>
      <c r="I3010" s="133"/>
      <c r="J3010" s="133"/>
      <c r="K3010" s="133"/>
      <c r="L3010" s="133"/>
      <c r="M3010" s="133"/>
      <c r="N3010" s="133"/>
      <c r="O3010" s="133"/>
      <c r="P3010" s="134"/>
      <c r="Q3010" s="146"/>
      <c r="R3010" s="17"/>
      <c r="S3010" s="17"/>
      <c r="T3010" s="75"/>
      <c r="U3010" s="75"/>
      <c r="V3010" s="75"/>
      <c r="W3010" s="75"/>
      <c r="X3010" s="75"/>
    </row>
    <row r="3011">
      <c r="A3011" s="17"/>
      <c r="B3011" s="17"/>
      <c r="C3011" s="133"/>
      <c r="D3011" s="133"/>
      <c r="E3011" s="17"/>
      <c r="F3011" s="133"/>
      <c r="G3011" s="133"/>
      <c r="H3011" s="133"/>
      <c r="I3011" s="133"/>
      <c r="J3011" s="133"/>
      <c r="K3011" s="133"/>
      <c r="L3011" s="133"/>
      <c r="M3011" s="133"/>
      <c r="N3011" s="133"/>
      <c r="O3011" s="133"/>
      <c r="P3011" s="134"/>
      <c r="Q3011" s="146"/>
      <c r="R3011" s="17"/>
      <c r="S3011" s="17"/>
      <c r="T3011" s="75"/>
      <c r="U3011" s="75"/>
      <c r="V3011" s="75"/>
      <c r="W3011" s="75"/>
      <c r="X3011" s="75"/>
    </row>
    <row r="3012">
      <c r="A3012" s="17"/>
      <c r="B3012" s="17"/>
      <c r="C3012" s="133"/>
      <c r="D3012" s="133"/>
      <c r="E3012" s="17"/>
      <c r="F3012" s="133"/>
      <c r="G3012" s="133"/>
      <c r="H3012" s="133"/>
      <c r="I3012" s="133"/>
      <c r="J3012" s="133"/>
      <c r="K3012" s="133"/>
      <c r="L3012" s="133"/>
      <c r="M3012" s="133"/>
      <c r="N3012" s="133"/>
      <c r="O3012" s="133"/>
      <c r="P3012" s="134"/>
      <c r="Q3012" s="146"/>
      <c r="R3012" s="17"/>
      <c r="S3012" s="17"/>
      <c r="T3012" s="75"/>
      <c r="U3012" s="75"/>
      <c r="V3012" s="75"/>
      <c r="W3012" s="75"/>
      <c r="X3012" s="75"/>
    </row>
    <row r="3013">
      <c r="A3013" s="17"/>
      <c r="B3013" s="17"/>
      <c r="C3013" s="133"/>
      <c r="D3013" s="133"/>
      <c r="E3013" s="17"/>
      <c r="F3013" s="133"/>
      <c r="G3013" s="133"/>
      <c r="H3013" s="133"/>
      <c r="I3013" s="133"/>
      <c r="J3013" s="133"/>
      <c r="K3013" s="133"/>
      <c r="L3013" s="133"/>
      <c r="M3013" s="133"/>
      <c r="N3013" s="133"/>
      <c r="O3013" s="133"/>
      <c r="P3013" s="134"/>
      <c r="Q3013" s="146"/>
      <c r="R3013" s="17"/>
      <c r="S3013" s="17"/>
      <c r="T3013" s="75"/>
      <c r="U3013" s="75"/>
      <c r="V3013" s="75"/>
      <c r="W3013" s="75"/>
      <c r="X3013" s="75"/>
    </row>
    <row r="3014">
      <c r="A3014" s="17"/>
      <c r="B3014" s="17"/>
      <c r="C3014" s="133"/>
      <c r="D3014" s="133"/>
      <c r="E3014" s="17"/>
      <c r="F3014" s="133"/>
      <c r="G3014" s="133"/>
      <c r="H3014" s="133"/>
      <c r="I3014" s="133"/>
      <c r="J3014" s="133"/>
      <c r="K3014" s="133"/>
      <c r="L3014" s="133"/>
      <c r="M3014" s="133"/>
      <c r="N3014" s="133"/>
      <c r="O3014" s="133"/>
      <c r="P3014" s="134"/>
      <c r="Q3014" s="146"/>
      <c r="R3014" s="17"/>
      <c r="S3014" s="17"/>
      <c r="T3014" s="75"/>
      <c r="U3014" s="75"/>
      <c r="V3014" s="75"/>
      <c r="W3014" s="75"/>
      <c r="X3014" s="75"/>
    </row>
    <row r="3015">
      <c r="A3015" s="17"/>
      <c r="B3015" s="17"/>
      <c r="C3015" s="133"/>
      <c r="D3015" s="133"/>
      <c r="E3015" s="17"/>
      <c r="F3015" s="133"/>
      <c r="G3015" s="133"/>
      <c r="H3015" s="133"/>
      <c r="I3015" s="133"/>
      <c r="J3015" s="133"/>
      <c r="K3015" s="133"/>
      <c r="L3015" s="133"/>
      <c r="M3015" s="133"/>
      <c r="N3015" s="133"/>
      <c r="O3015" s="133"/>
      <c r="P3015" s="134"/>
      <c r="Q3015" s="146"/>
      <c r="R3015" s="17"/>
      <c r="S3015" s="17"/>
      <c r="T3015" s="75"/>
      <c r="U3015" s="75"/>
      <c r="V3015" s="75"/>
      <c r="W3015" s="75"/>
      <c r="X3015" s="75"/>
    </row>
    <row r="3016">
      <c r="A3016" s="17"/>
      <c r="B3016" s="17"/>
      <c r="C3016" s="133"/>
      <c r="D3016" s="133"/>
      <c r="E3016" s="17"/>
      <c r="F3016" s="133"/>
      <c r="G3016" s="133"/>
      <c r="H3016" s="133"/>
      <c r="I3016" s="133"/>
      <c r="J3016" s="133"/>
      <c r="K3016" s="133"/>
      <c r="L3016" s="133"/>
      <c r="M3016" s="133"/>
      <c r="N3016" s="133"/>
      <c r="O3016" s="133"/>
      <c r="P3016" s="134"/>
      <c r="Q3016" s="146"/>
      <c r="R3016" s="17"/>
      <c r="S3016" s="17"/>
      <c r="T3016" s="75"/>
      <c r="U3016" s="75"/>
      <c r="V3016" s="75"/>
      <c r="W3016" s="75"/>
      <c r="X3016" s="75"/>
    </row>
    <row r="3017">
      <c r="A3017" s="17"/>
      <c r="B3017" s="17"/>
      <c r="C3017" s="133"/>
      <c r="D3017" s="133"/>
      <c r="E3017" s="17"/>
      <c r="F3017" s="133"/>
      <c r="G3017" s="133"/>
      <c r="H3017" s="133"/>
      <c r="I3017" s="133"/>
      <c r="J3017" s="133"/>
      <c r="K3017" s="133"/>
      <c r="L3017" s="133"/>
      <c r="M3017" s="133"/>
      <c r="N3017" s="133"/>
      <c r="O3017" s="133"/>
      <c r="P3017" s="134"/>
      <c r="Q3017" s="146"/>
      <c r="R3017" s="17"/>
      <c r="S3017" s="17"/>
      <c r="T3017" s="75"/>
      <c r="U3017" s="75"/>
      <c r="V3017" s="75"/>
      <c r="W3017" s="75"/>
      <c r="X3017" s="75"/>
    </row>
    <row r="3018">
      <c r="A3018" s="17"/>
      <c r="B3018" s="17"/>
      <c r="C3018" s="133"/>
      <c r="D3018" s="133"/>
      <c r="E3018" s="17"/>
      <c r="F3018" s="133"/>
      <c r="G3018" s="133"/>
      <c r="H3018" s="133"/>
      <c r="I3018" s="133"/>
      <c r="J3018" s="133"/>
      <c r="K3018" s="133"/>
      <c r="L3018" s="133"/>
      <c r="M3018" s="133"/>
      <c r="N3018" s="133"/>
      <c r="O3018" s="133"/>
      <c r="P3018" s="134"/>
      <c r="Q3018" s="146"/>
      <c r="R3018" s="17"/>
      <c r="S3018" s="17"/>
      <c r="T3018" s="75"/>
      <c r="U3018" s="75"/>
      <c r="V3018" s="75"/>
      <c r="W3018" s="75"/>
      <c r="X3018" s="75"/>
    </row>
    <row r="3019">
      <c r="A3019" s="17"/>
      <c r="B3019" s="17"/>
      <c r="C3019" s="133"/>
      <c r="D3019" s="133"/>
      <c r="E3019" s="17"/>
      <c r="F3019" s="133"/>
      <c r="G3019" s="133"/>
      <c r="H3019" s="133"/>
      <c r="I3019" s="133"/>
      <c r="J3019" s="133"/>
      <c r="K3019" s="133"/>
      <c r="L3019" s="133"/>
      <c r="M3019" s="133"/>
      <c r="N3019" s="133"/>
      <c r="O3019" s="133"/>
      <c r="P3019" s="134"/>
      <c r="Q3019" s="146"/>
      <c r="R3019" s="17"/>
      <c r="S3019" s="17"/>
      <c r="T3019" s="75"/>
      <c r="U3019" s="75"/>
      <c r="V3019" s="75"/>
      <c r="W3019" s="75"/>
      <c r="X3019" s="75"/>
    </row>
    <row r="3020">
      <c r="A3020" s="17"/>
      <c r="B3020" s="17"/>
      <c r="C3020" s="133"/>
      <c r="D3020" s="133"/>
      <c r="E3020" s="17"/>
      <c r="F3020" s="133"/>
      <c r="G3020" s="133"/>
      <c r="H3020" s="133"/>
      <c r="I3020" s="133"/>
      <c r="J3020" s="133"/>
      <c r="K3020" s="133"/>
      <c r="L3020" s="133"/>
      <c r="M3020" s="133"/>
      <c r="N3020" s="133"/>
      <c r="O3020" s="133"/>
      <c r="P3020" s="134"/>
      <c r="Q3020" s="146"/>
      <c r="R3020" s="17"/>
      <c r="S3020" s="17"/>
      <c r="T3020" s="75"/>
      <c r="U3020" s="75"/>
      <c r="V3020" s="75"/>
      <c r="W3020" s="75"/>
      <c r="X3020" s="75"/>
    </row>
    <row r="3021">
      <c r="A3021" s="17"/>
      <c r="B3021" s="17"/>
      <c r="C3021" s="133"/>
      <c r="D3021" s="133"/>
      <c r="E3021" s="17"/>
      <c r="F3021" s="133"/>
      <c r="G3021" s="133"/>
      <c r="H3021" s="133"/>
      <c r="I3021" s="133"/>
      <c r="J3021" s="133"/>
      <c r="K3021" s="133"/>
      <c r="L3021" s="133"/>
      <c r="M3021" s="133"/>
      <c r="N3021" s="133"/>
      <c r="O3021" s="133"/>
      <c r="P3021" s="134"/>
      <c r="Q3021" s="146"/>
      <c r="R3021" s="17"/>
      <c r="S3021" s="17"/>
      <c r="T3021" s="75"/>
      <c r="U3021" s="75"/>
      <c r="V3021" s="75"/>
      <c r="W3021" s="75"/>
      <c r="X3021" s="75"/>
    </row>
    <row r="3022">
      <c r="A3022" s="17"/>
      <c r="B3022" s="17"/>
      <c r="C3022" s="133"/>
      <c r="D3022" s="133"/>
      <c r="E3022" s="17"/>
      <c r="F3022" s="133"/>
      <c r="G3022" s="133"/>
      <c r="H3022" s="133"/>
      <c r="I3022" s="133"/>
      <c r="J3022" s="133"/>
      <c r="K3022" s="133"/>
      <c r="L3022" s="133"/>
      <c r="M3022" s="133"/>
      <c r="N3022" s="133"/>
      <c r="O3022" s="133"/>
      <c r="P3022" s="134"/>
      <c r="Q3022" s="146"/>
      <c r="R3022" s="17"/>
      <c r="S3022" s="17"/>
      <c r="T3022" s="75"/>
      <c r="U3022" s="75"/>
      <c r="V3022" s="75"/>
      <c r="W3022" s="75"/>
      <c r="X3022" s="75"/>
    </row>
    <row r="3023">
      <c r="A3023" s="17"/>
      <c r="B3023" s="17"/>
      <c r="C3023" s="133"/>
      <c r="D3023" s="133"/>
      <c r="E3023" s="17"/>
      <c r="F3023" s="133"/>
      <c r="G3023" s="133"/>
      <c r="H3023" s="133"/>
      <c r="I3023" s="133"/>
      <c r="J3023" s="133"/>
      <c r="K3023" s="133"/>
      <c r="L3023" s="133"/>
      <c r="M3023" s="133"/>
      <c r="N3023" s="133"/>
      <c r="O3023" s="133"/>
      <c r="P3023" s="134"/>
      <c r="Q3023" s="146"/>
      <c r="R3023" s="17"/>
      <c r="S3023" s="17"/>
      <c r="T3023" s="75"/>
      <c r="U3023" s="75"/>
      <c r="V3023" s="75"/>
      <c r="W3023" s="75"/>
      <c r="X3023" s="75"/>
    </row>
    <row r="3024">
      <c r="A3024" s="17"/>
      <c r="B3024" s="17"/>
      <c r="C3024" s="133"/>
      <c r="D3024" s="133"/>
      <c r="E3024" s="17"/>
      <c r="F3024" s="133"/>
      <c r="G3024" s="133"/>
      <c r="H3024" s="133"/>
      <c r="I3024" s="133"/>
      <c r="J3024" s="133"/>
      <c r="K3024" s="133"/>
      <c r="L3024" s="133"/>
      <c r="M3024" s="133"/>
      <c r="N3024" s="133"/>
      <c r="O3024" s="133"/>
      <c r="P3024" s="134"/>
      <c r="Q3024" s="146"/>
      <c r="R3024" s="17"/>
      <c r="S3024" s="17"/>
      <c r="T3024" s="75"/>
      <c r="U3024" s="75"/>
      <c r="V3024" s="75"/>
      <c r="W3024" s="75"/>
      <c r="X3024" s="75"/>
    </row>
    <row r="3025">
      <c r="A3025" s="17"/>
      <c r="B3025" s="17"/>
      <c r="C3025" s="133"/>
      <c r="D3025" s="133"/>
      <c r="E3025" s="17"/>
      <c r="F3025" s="133"/>
      <c r="G3025" s="133"/>
      <c r="H3025" s="133"/>
      <c r="I3025" s="133"/>
      <c r="J3025" s="133"/>
      <c r="K3025" s="133"/>
      <c r="L3025" s="133"/>
      <c r="M3025" s="133"/>
      <c r="N3025" s="133"/>
      <c r="O3025" s="133"/>
      <c r="P3025" s="134"/>
      <c r="Q3025" s="146"/>
      <c r="R3025" s="17"/>
      <c r="S3025" s="17"/>
      <c r="T3025" s="75"/>
      <c r="U3025" s="75"/>
      <c r="V3025" s="75"/>
      <c r="W3025" s="75"/>
      <c r="X3025" s="75"/>
    </row>
    <row r="3026">
      <c r="A3026" s="17"/>
      <c r="B3026" s="17"/>
      <c r="C3026" s="133"/>
      <c r="D3026" s="133"/>
      <c r="E3026" s="17"/>
      <c r="F3026" s="133"/>
      <c r="G3026" s="133"/>
      <c r="H3026" s="133"/>
      <c r="I3026" s="133"/>
      <c r="J3026" s="133"/>
      <c r="K3026" s="133"/>
      <c r="L3026" s="133"/>
      <c r="M3026" s="133"/>
      <c r="N3026" s="133"/>
      <c r="O3026" s="133"/>
      <c r="P3026" s="134"/>
      <c r="Q3026" s="146"/>
      <c r="R3026" s="17"/>
      <c r="S3026" s="17"/>
      <c r="T3026" s="75"/>
      <c r="U3026" s="75"/>
      <c r="V3026" s="75"/>
      <c r="W3026" s="75"/>
      <c r="X3026" s="75"/>
    </row>
    <row r="3027">
      <c r="A3027" s="17"/>
      <c r="B3027" s="17"/>
      <c r="C3027" s="133"/>
      <c r="D3027" s="133"/>
      <c r="E3027" s="17"/>
      <c r="F3027" s="133"/>
      <c r="G3027" s="133"/>
      <c r="H3027" s="133"/>
      <c r="I3027" s="133"/>
      <c r="J3027" s="133"/>
      <c r="K3027" s="133"/>
      <c r="L3027" s="133"/>
      <c r="M3027" s="133"/>
      <c r="N3027" s="133"/>
      <c r="O3027" s="133"/>
      <c r="P3027" s="134"/>
      <c r="Q3027" s="146"/>
      <c r="R3027" s="17"/>
      <c r="S3027" s="17"/>
      <c r="T3027" s="75"/>
      <c r="U3027" s="75"/>
      <c r="V3027" s="75"/>
      <c r="W3027" s="75"/>
      <c r="X3027" s="75"/>
    </row>
    <row r="3028">
      <c r="A3028" s="17"/>
      <c r="B3028" s="17"/>
      <c r="C3028" s="133"/>
      <c r="D3028" s="133"/>
      <c r="E3028" s="17"/>
      <c r="F3028" s="133"/>
      <c r="G3028" s="133"/>
      <c r="H3028" s="133"/>
      <c r="I3028" s="133"/>
      <c r="J3028" s="133"/>
      <c r="K3028" s="133"/>
      <c r="L3028" s="133"/>
      <c r="M3028" s="133"/>
      <c r="N3028" s="133"/>
      <c r="O3028" s="133"/>
      <c r="P3028" s="134"/>
      <c r="Q3028" s="146"/>
      <c r="R3028" s="17"/>
      <c r="S3028" s="17"/>
      <c r="T3028" s="75"/>
      <c r="U3028" s="75"/>
      <c r="V3028" s="75"/>
      <c r="W3028" s="75"/>
      <c r="X3028" s="75"/>
    </row>
    <row r="3029">
      <c r="A3029" s="17"/>
      <c r="B3029" s="17"/>
      <c r="C3029" s="133"/>
      <c r="D3029" s="133"/>
      <c r="E3029" s="17"/>
      <c r="F3029" s="133"/>
      <c r="G3029" s="133"/>
      <c r="H3029" s="133"/>
      <c r="I3029" s="133"/>
      <c r="J3029" s="133"/>
      <c r="K3029" s="133"/>
      <c r="L3029" s="133"/>
      <c r="M3029" s="133"/>
      <c r="N3029" s="133"/>
      <c r="O3029" s="133"/>
      <c r="P3029" s="134"/>
      <c r="Q3029" s="146"/>
      <c r="R3029" s="17"/>
      <c r="S3029" s="17"/>
      <c r="T3029" s="75"/>
      <c r="U3029" s="75"/>
      <c r="V3029" s="75"/>
      <c r="W3029" s="75"/>
      <c r="X3029" s="75"/>
    </row>
    <row r="3030">
      <c r="A3030" s="17"/>
      <c r="B3030" s="17"/>
      <c r="C3030" s="133"/>
      <c r="D3030" s="133"/>
      <c r="E3030" s="17"/>
      <c r="F3030" s="133"/>
      <c r="G3030" s="133"/>
      <c r="H3030" s="133"/>
      <c r="I3030" s="133"/>
      <c r="J3030" s="133"/>
      <c r="K3030" s="133"/>
      <c r="L3030" s="133"/>
      <c r="M3030" s="133"/>
      <c r="N3030" s="133"/>
      <c r="O3030" s="133"/>
      <c r="P3030" s="134"/>
      <c r="Q3030" s="146"/>
      <c r="R3030" s="17"/>
      <c r="S3030" s="17"/>
      <c r="T3030" s="75"/>
      <c r="U3030" s="75"/>
      <c r="V3030" s="75"/>
      <c r="W3030" s="75"/>
      <c r="X3030" s="75"/>
    </row>
    <row r="3031">
      <c r="A3031" s="17"/>
      <c r="B3031" s="17"/>
      <c r="C3031" s="133"/>
      <c r="D3031" s="133"/>
      <c r="E3031" s="17"/>
      <c r="F3031" s="133"/>
      <c r="G3031" s="133"/>
      <c r="H3031" s="133"/>
      <c r="I3031" s="133"/>
      <c r="J3031" s="133"/>
      <c r="K3031" s="133"/>
      <c r="L3031" s="133"/>
      <c r="M3031" s="133"/>
      <c r="N3031" s="133"/>
      <c r="O3031" s="133"/>
      <c r="P3031" s="134"/>
      <c r="Q3031" s="146"/>
      <c r="R3031" s="17"/>
      <c r="S3031" s="17"/>
      <c r="T3031" s="75"/>
      <c r="U3031" s="75"/>
      <c r="V3031" s="75"/>
      <c r="W3031" s="75"/>
      <c r="X3031" s="75"/>
    </row>
    <row r="3032">
      <c r="A3032" s="17"/>
      <c r="B3032" s="17"/>
      <c r="C3032" s="133"/>
      <c r="D3032" s="133"/>
      <c r="E3032" s="17"/>
      <c r="F3032" s="133"/>
      <c r="G3032" s="133"/>
      <c r="H3032" s="133"/>
      <c r="I3032" s="133"/>
      <c r="J3032" s="133"/>
      <c r="K3032" s="133"/>
      <c r="L3032" s="133"/>
      <c r="M3032" s="133"/>
      <c r="N3032" s="133"/>
      <c r="O3032" s="133"/>
      <c r="P3032" s="134"/>
      <c r="Q3032" s="146"/>
      <c r="R3032" s="17"/>
      <c r="S3032" s="17"/>
      <c r="T3032" s="75"/>
      <c r="U3032" s="75"/>
      <c r="V3032" s="75"/>
      <c r="W3032" s="75"/>
      <c r="X3032" s="75"/>
    </row>
    <row r="3033">
      <c r="A3033" s="17"/>
      <c r="B3033" s="17"/>
      <c r="C3033" s="133"/>
      <c r="D3033" s="133"/>
      <c r="E3033" s="17"/>
      <c r="F3033" s="133"/>
      <c r="G3033" s="133"/>
      <c r="H3033" s="133"/>
      <c r="I3033" s="133"/>
      <c r="J3033" s="133"/>
      <c r="K3033" s="133"/>
      <c r="L3033" s="133"/>
      <c r="M3033" s="133"/>
      <c r="N3033" s="133"/>
      <c r="O3033" s="133"/>
      <c r="P3033" s="134"/>
      <c r="Q3033" s="146"/>
      <c r="R3033" s="17"/>
      <c r="S3033" s="17"/>
      <c r="T3033" s="75"/>
      <c r="U3033" s="75"/>
      <c r="V3033" s="75"/>
      <c r="W3033" s="75"/>
      <c r="X3033" s="75"/>
    </row>
    <row r="3034">
      <c r="A3034" s="17"/>
      <c r="B3034" s="17"/>
      <c r="C3034" s="133"/>
      <c r="D3034" s="133"/>
      <c r="E3034" s="17"/>
      <c r="F3034" s="133"/>
      <c r="G3034" s="133"/>
      <c r="H3034" s="133"/>
      <c r="I3034" s="133"/>
      <c r="J3034" s="133"/>
      <c r="K3034" s="133"/>
      <c r="L3034" s="133"/>
      <c r="M3034" s="133"/>
      <c r="N3034" s="133"/>
      <c r="O3034" s="133"/>
      <c r="P3034" s="134"/>
      <c r="Q3034" s="146"/>
      <c r="R3034" s="17"/>
      <c r="S3034" s="17"/>
      <c r="T3034" s="75"/>
      <c r="U3034" s="75"/>
      <c r="V3034" s="75"/>
      <c r="W3034" s="75"/>
      <c r="X3034" s="75"/>
    </row>
    <row r="3035">
      <c r="A3035" s="17"/>
      <c r="B3035" s="17"/>
      <c r="C3035" s="133"/>
      <c r="D3035" s="133"/>
      <c r="E3035" s="17"/>
      <c r="F3035" s="133"/>
      <c r="G3035" s="133"/>
      <c r="H3035" s="133"/>
      <c r="I3035" s="133"/>
      <c r="J3035" s="133"/>
      <c r="K3035" s="133"/>
      <c r="L3035" s="133"/>
      <c r="M3035" s="133"/>
      <c r="N3035" s="133"/>
      <c r="O3035" s="133"/>
      <c r="P3035" s="134"/>
      <c r="Q3035" s="146"/>
      <c r="R3035" s="17"/>
      <c r="S3035" s="17"/>
      <c r="T3035" s="75"/>
      <c r="U3035" s="75"/>
      <c r="V3035" s="75"/>
      <c r="W3035" s="75"/>
      <c r="X3035" s="75"/>
    </row>
    <row r="3036">
      <c r="A3036" s="17"/>
      <c r="B3036" s="17"/>
      <c r="C3036" s="133"/>
      <c r="D3036" s="133"/>
      <c r="E3036" s="17"/>
      <c r="F3036" s="133"/>
      <c r="G3036" s="133"/>
      <c r="H3036" s="133"/>
      <c r="I3036" s="133"/>
      <c r="J3036" s="133"/>
      <c r="K3036" s="133"/>
      <c r="L3036" s="133"/>
      <c r="M3036" s="133"/>
      <c r="N3036" s="133"/>
      <c r="O3036" s="133"/>
      <c r="P3036" s="134"/>
      <c r="Q3036" s="146"/>
      <c r="R3036" s="17"/>
      <c r="S3036" s="17"/>
      <c r="T3036" s="75"/>
      <c r="U3036" s="75"/>
      <c r="V3036" s="75"/>
      <c r="W3036" s="75"/>
      <c r="X3036" s="75"/>
    </row>
    <row r="3037">
      <c r="A3037" s="17"/>
      <c r="B3037" s="17"/>
      <c r="C3037" s="133"/>
      <c r="D3037" s="133"/>
      <c r="E3037" s="17"/>
      <c r="F3037" s="133"/>
      <c r="G3037" s="133"/>
      <c r="H3037" s="133"/>
      <c r="I3037" s="133"/>
      <c r="J3037" s="133"/>
      <c r="K3037" s="133"/>
      <c r="L3037" s="133"/>
      <c r="M3037" s="133"/>
      <c r="N3037" s="133"/>
      <c r="O3037" s="133"/>
      <c r="P3037" s="134"/>
      <c r="Q3037" s="146"/>
      <c r="R3037" s="17"/>
      <c r="S3037" s="17"/>
      <c r="T3037" s="75"/>
      <c r="U3037" s="75"/>
      <c r="V3037" s="75"/>
      <c r="W3037" s="75"/>
      <c r="X3037" s="75"/>
    </row>
    <row r="3038">
      <c r="A3038" s="17"/>
      <c r="B3038" s="17"/>
      <c r="C3038" s="133"/>
      <c r="D3038" s="133"/>
      <c r="E3038" s="17"/>
      <c r="F3038" s="133"/>
      <c r="G3038" s="133"/>
      <c r="H3038" s="133"/>
      <c r="I3038" s="133"/>
      <c r="J3038" s="133"/>
      <c r="K3038" s="133"/>
      <c r="L3038" s="133"/>
      <c r="M3038" s="133"/>
      <c r="N3038" s="133"/>
      <c r="O3038" s="133"/>
      <c r="P3038" s="134"/>
      <c r="Q3038" s="146"/>
      <c r="R3038" s="17"/>
      <c r="S3038" s="17"/>
      <c r="T3038" s="75"/>
      <c r="U3038" s="75"/>
      <c r="V3038" s="75"/>
      <c r="W3038" s="75"/>
      <c r="X3038" s="75"/>
    </row>
    <row r="3039">
      <c r="A3039" s="17"/>
      <c r="B3039" s="17"/>
      <c r="C3039" s="133"/>
      <c r="D3039" s="133"/>
      <c r="E3039" s="17"/>
      <c r="F3039" s="133"/>
      <c r="G3039" s="133"/>
      <c r="H3039" s="133"/>
      <c r="I3039" s="133"/>
      <c r="J3039" s="133"/>
      <c r="K3039" s="133"/>
      <c r="L3039" s="133"/>
      <c r="M3039" s="133"/>
      <c r="N3039" s="133"/>
      <c r="O3039" s="133"/>
      <c r="P3039" s="134"/>
      <c r="Q3039" s="146"/>
      <c r="R3039" s="17"/>
      <c r="S3039" s="17"/>
      <c r="T3039" s="75"/>
      <c r="U3039" s="75"/>
      <c r="V3039" s="75"/>
      <c r="W3039" s="75"/>
      <c r="X3039" s="75"/>
    </row>
    <row r="3040">
      <c r="A3040" s="17"/>
      <c r="B3040" s="17"/>
      <c r="C3040" s="133"/>
      <c r="D3040" s="133"/>
      <c r="E3040" s="17"/>
      <c r="F3040" s="133"/>
      <c r="G3040" s="133"/>
      <c r="H3040" s="133"/>
      <c r="I3040" s="133"/>
      <c r="J3040" s="133"/>
      <c r="K3040" s="133"/>
      <c r="L3040" s="133"/>
      <c r="M3040" s="133"/>
      <c r="N3040" s="133"/>
      <c r="O3040" s="133"/>
      <c r="P3040" s="134"/>
      <c r="Q3040" s="146"/>
      <c r="R3040" s="17"/>
      <c r="S3040" s="17"/>
      <c r="T3040" s="75"/>
      <c r="U3040" s="75"/>
      <c r="V3040" s="75"/>
      <c r="W3040" s="75"/>
      <c r="X3040" s="75"/>
    </row>
    <row r="3041">
      <c r="A3041" s="17"/>
      <c r="B3041" s="17"/>
      <c r="C3041" s="133"/>
      <c r="D3041" s="133"/>
      <c r="E3041" s="17"/>
      <c r="F3041" s="133"/>
      <c r="G3041" s="133"/>
      <c r="H3041" s="133"/>
      <c r="I3041" s="133"/>
      <c r="J3041" s="133"/>
      <c r="K3041" s="133"/>
      <c r="L3041" s="133"/>
      <c r="M3041" s="133"/>
      <c r="N3041" s="133"/>
      <c r="O3041" s="133"/>
      <c r="P3041" s="134"/>
      <c r="Q3041" s="146"/>
      <c r="R3041" s="17"/>
      <c r="S3041" s="17"/>
      <c r="T3041" s="75"/>
      <c r="U3041" s="75"/>
      <c r="V3041" s="75"/>
      <c r="W3041" s="75"/>
      <c r="X3041" s="75"/>
    </row>
    <row r="3042">
      <c r="A3042" s="17"/>
      <c r="B3042" s="17"/>
      <c r="C3042" s="133"/>
      <c r="D3042" s="133"/>
      <c r="E3042" s="17"/>
      <c r="F3042" s="133"/>
      <c r="G3042" s="133"/>
      <c r="H3042" s="133"/>
      <c r="I3042" s="133"/>
      <c r="J3042" s="133"/>
      <c r="K3042" s="133"/>
      <c r="L3042" s="133"/>
      <c r="M3042" s="133"/>
      <c r="N3042" s="133"/>
      <c r="O3042" s="133"/>
      <c r="P3042" s="134"/>
      <c r="Q3042" s="146"/>
      <c r="R3042" s="17"/>
      <c r="S3042" s="17"/>
      <c r="T3042" s="75"/>
      <c r="U3042" s="75"/>
      <c r="V3042" s="75"/>
      <c r="W3042" s="75"/>
      <c r="X3042" s="75"/>
    </row>
    <row r="3043">
      <c r="A3043" s="17"/>
      <c r="B3043" s="17"/>
      <c r="C3043" s="133"/>
      <c r="D3043" s="133"/>
      <c r="E3043" s="17"/>
      <c r="F3043" s="133"/>
      <c r="G3043" s="133"/>
      <c r="H3043" s="133"/>
      <c r="I3043" s="133"/>
      <c r="J3043" s="133"/>
      <c r="K3043" s="133"/>
      <c r="L3043" s="133"/>
      <c r="M3043" s="133"/>
      <c r="N3043" s="133"/>
      <c r="O3043" s="133"/>
      <c r="P3043" s="134"/>
      <c r="Q3043" s="146"/>
      <c r="R3043" s="17"/>
      <c r="S3043" s="17"/>
      <c r="T3043" s="75"/>
      <c r="U3043" s="75"/>
      <c r="V3043" s="75"/>
      <c r="W3043" s="75"/>
      <c r="X3043" s="75"/>
    </row>
    <row r="3044">
      <c r="A3044" s="17"/>
      <c r="B3044" s="17"/>
      <c r="C3044" s="133"/>
      <c r="D3044" s="133"/>
      <c r="E3044" s="17"/>
      <c r="F3044" s="133"/>
      <c r="G3044" s="133"/>
      <c r="H3044" s="133"/>
      <c r="I3044" s="133"/>
      <c r="J3044" s="133"/>
      <c r="K3044" s="133"/>
      <c r="L3044" s="133"/>
      <c r="M3044" s="133"/>
      <c r="N3044" s="133"/>
      <c r="O3044" s="133"/>
      <c r="P3044" s="134"/>
      <c r="Q3044" s="146"/>
      <c r="R3044" s="17"/>
      <c r="S3044" s="17"/>
      <c r="T3044" s="75"/>
      <c r="U3044" s="75"/>
      <c r="V3044" s="75"/>
      <c r="W3044" s="75"/>
      <c r="X3044" s="75"/>
    </row>
    <row r="3045">
      <c r="A3045" s="17"/>
      <c r="B3045" s="17"/>
      <c r="C3045" s="133"/>
      <c r="D3045" s="133"/>
      <c r="E3045" s="17"/>
      <c r="F3045" s="133"/>
      <c r="G3045" s="133"/>
      <c r="H3045" s="133"/>
      <c r="I3045" s="133"/>
      <c r="J3045" s="133"/>
      <c r="K3045" s="133"/>
      <c r="L3045" s="133"/>
      <c r="M3045" s="133"/>
      <c r="N3045" s="133"/>
      <c r="O3045" s="133"/>
      <c r="P3045" s="134"/>
      <c r="Q3045" s="146"/>
      <c r="R3045" s="17"/>
      <c r="S3045" s="17"/>
      <c r="T3045" s="75"/>
      <c r="U3045" s="75"/>
      <c r="V3045" s="75"/>
      <c r="W3045" s="75"/>
      <c r="X3045" s="75"/>
    </row>
    <row r="3046">
      <c r="A3046" s="17"/>
      <c r="B3046" s="17"/>
      <c r="C3046" s="133"/>
      <c r="D3046" s="133"/>
      <c r="E3046" s="17"/>
      <c r="F3046" s="133"/>
      <c r="G3046" s="133"/>
      <c r="H3046" s="133"/>
      <c r="I3046" s="133"/>
      <c r="J3046" s="133"/>
      <c r="K3046" s="133"/>
      <c r="L3046" s="133"/>
      <c r="M3046" s="133"/>
      <c r="N3046" s="133"/>
      <c r="O3046" s="133"/>
      <c r="P3046" s="134"/>
      <c r="Q3046" s="146"/>
      <c r="R3046" s="17"/>
      <c r="S3046" s="17"/>
      <c r="T3046" s="75"/>
      <c r="U3046" s="75"/>
      <c r="V3046" s="75"/>
      <c r="W3046" s="75"/>
      <c r="X3046" s="75"/>
    </row>
    <row r="3047">
      <c r="A3047" s="17"/>
      <c r="B3047" s="17"/>
      <c r="C3047" s="133"/>
      <c r="D3047" s="133"/>
      <c r="E3047" s="17"/>
      <c r="F3047" s="133"/>
      <c r="G3047" s="133"/>
      <c r="H3047" s="133"/>
      <c r="I3047" s="133"/>
      <c r="J3047" s="133"/>
      <c r="K3047" s="133"/>
      <c r="L3047" s="133"/>
      <c r="M3047" s="133"/>
      <c r="N3047" s="133"/>
      <c r="O3047" s="133"/>
      <c r="P3047" s="134"/>
      <c r="Q3047" s="146"/>
      <c r="R3047" s="17"/>
      <c r="S3047" s="17"/>
      <c r="T3047" s="75"/>
      <c r="U3047" s="75"/>
      <c r="V3047" s="75"/>
      <c r="W3047" s="75"/>
      <c r="X3047" s="75"/>
    </row>
    <row r="3048">
      <c r="A3048" s="17"/>
      <c r="B3048" s="17"/>
      <c r="C3048" s="133"/>
      <c r="D3048" s="133"/>
      <c r="E3048" s="17"/>
      <c r="F3048" s="133"/>
      <c r="G3048" s="133"/>
      <c r="H3048" s="133"/>
      <c r="I3048" s="133"/>
      <c r="J3048" s="133"/>
      <c r="K3048" s="133"/>
      <c r="L3048" s="133"/>
      <c r="M3048" s="133"/>
      <c r="N3048" s="133"/>
      <c r="O3048" s="133"/>
      <c r="P3048" s="134"/>
      <c r="Q3048" s="146"/>
      <c r="R3048" s="17"/>
      <c r="S3048" s="17"/>
      <c r="T3048" s="75"/>
      <c r="U3048" s="75"/>
      <c r="V3048" s="75"/>
      <c r="W3048" s="75"/>
      <c r="X3048" s="75"/>
    </row>
    <row r="3049">
      <c r="A3049" s="17"/>
      <c r="B3049" s="17"/>
      <c r="C3049" s="133"/>
      <c r="D3049" s="133"/>
      <c r="E3049" s="17"/>
      <c r="F3049" s="133"/>
      <c r="G3049" s="133"/>
      <c r="H3049" s="133"/>
      <c r="I3049" s="133"/>
      <c r="J3049" s="133"/>
      <c r="K3049" s="133"/>
      <c r="L3049" s="133"/>
      <c r="M3049" s="133"/>
      <c r="N3049" s="133"/>
      <c r="O3049" s="133"/>
      <c r="P3049" s="134"/>
      <c r="Q3049" s="146"/>
      <c r="R3049" s="17"/>
      <c r="S3049" s="17"/>
      <c r="T3049" s="75"/>
      <c r="U3049" s="75"/>
      <c r="V3049" s="75"/>
      <c r="W3049" s="75"/>
      <c r="X3049" s="75"/>
    </row>
    <row r="3050">
      <c r="A3050" s="17"/>
      <c r="B3050" s="17"/>
      <c r="C3050" s="133"/>
      <c r="D3050" s="133"/>
      <c r="E3050" s="17"/>
      <c r="F3050" s="133"/>
      <c r="G3050" s="133"/>
      <c r="H3050" s="133"/>
      <c r="I3050" s="133"/>
      <c r="J3050" s="133"/>
      <c r="K3050" s="133"/>
      <c r="L3050" s="133"/>
      <c r="M3050" s="133"/>
      <c r="N3050" s="133"/>
      <c r="O3050" s="133"/>
      <c r="P3050" s="134"/>
      <c r="Q3050" s="146"/>
      <c r="R3050" s="17"/>
      <c r="S3050" s="17"/>
      <c r="T3050" s="75"/>
      <c r="U3050" s="75"/>
      <c r="V3050" s="75"/>
      <c r="W3050" s="75"/>
      <c r="X3050" s="75"/>
    </row>
    <row r="3051">
      <c r="A3051" s="17"/>
      <c r="B3051" s="17"/>
      <c r="C3051" s="133"/>
      <c r="D3051" s="133"/>
      <c r="E3051" s="17"/>
      <c r="F3051" s="133"/>
      <c r="G3051" s="133"/>
      <c r="H3051" s="133"/>
      <c r="I3051" s="133"/>
      <c r="J3051" s="133"/>
      <c r="K3051" s="133"/>
      <c r="L3051" s="133"/>
      <c r="M3051" s="133"/>
      <c r="N3051" s="133"/>
      <c r="O3051" s="133"/>
      <c r="P3051" s="134"/>
      <c r="Q3051" s="146"/>
      <c r="R3051" s="17"/>
      <c r="S3051" s="17"/>
      <c r="T3051" s="75"/>
      <c r="U3051" s="75"/>
      <c r="V3051" s="75"/>
      <c r="W3051" s="75"/>
      <c r="X3051" s="75"/>
    </row>
    <row r="3052">
      <c r="A3052" s="17"/>
      <c r="B3052" s="17"/>
      <c r="C3052" s="133"/>
      <c r="D3052" s="133"/>
      <c r="E3052" s="17"/>
      <c r="F3052" s="133"/>
      <c r="G3052" s="133"/>
      <c r="H3052" s="133"/>
      <c r="I3052" s="133"/>
      <c r="J3052" s="133"/>
      <c r="K3052" s="133"/>
      <c r="L3052" s="133"/>
      <c r="M3052" s="133"/>
      <c r="N3052" s="133"/>
      <c r="O3052" s="133"/>
      <c r="P3052" s="134"/>
      <c r="Q3052" s="146"/>
      <c r="R3052" s="17"/>
      <c r="S3052" s="17"/>
      <c r="T3052" s="75"/>
      <c r="U3052" s="75"/>
      <c r="V3052" s="75"/>
      <c r="W3052" s="75"/>
      <c r="X3052" s="75"/>
    </row>
    <row r="3053">
      <c r="A3053" s="17"/>
      <c r="B3053" s="17"/>
      <c r="C3053" s="133"/>
      <c r="D3053" s="133"/>
      <c r="E3053" s="17"/>
      <c r="F3053" s="133"/>
      <c r="G3053" s="133"/>
      <c r="H3053" s="133"/>
      <c r="I3053" s="133"/>
      <c r="J3053" s="133"/>
      <c r="K3053" s="133"/>
      <c r="L3053" s="133"/>
      <c r="M3053" s="133"/>
      <c r="N3053" s="133"/>
      <c r="O3053" s="133"/>
      <c r="P3053" s="134"/>
      <c r="Q3053" s="146"/>
      <c r="R3053" s="17"/>
      <c r="S3053" s="17"/>
      <c r="T3053" s="75"/>
      <c r="U3053" s="75"/>
      <c r="V3053" s="75"/>
      <c r="W3053" s="75"/>
      <c r="X3053" s="75"/>
    </row>
    <row r="3054">
      <c r="A3054" s="17"/>
      <c r="B3054" s="17"/>
      <c r="C3054" s="133"/>
      <c r="D3054" s="133"/>
      <c r="E3054" s="17"/>
      <c r="F3054" s="133"/>
      <c r="G3054" s="133"/>
      <c r="H3054" s="133"/>
      <c r="I3054" s="133"/>
      <c r="J3054" s="133"/>
      <c r="K3054" s="133"/>
      <c r="L3054" s="133"/>
      <c r="M3054" s="133"/>
      <c r="N3054" s="133"/>
      <c r="O3054" s="133"/>
      <c r="P3054" s="134"/>
      <c r="Q3054" s="146"/>
      <c r="R3054" s="17"/>
      <c r="S3054" s="17"/>
      <c r="T3054" s="75"/>
      <c r="U3054" s="75"/>
      <c r="V3054" s="75"/>
      <c r="W3054" s="75"/>
      <c r="X3054" s="75"/>
    </row>
    <row r="3055">
      <c r="A3055" s="17"/>
      <c r="B3055" s="17"/>
      <c r="C3055" s="133"/>
      <c r="D3055" s="133"/>
      <c r="E3055" s="17"/>
      <c r="F3055" s="133"/>
      <c r="G3055" s="133"/>
      <c r="H3055" s="133"/>
      <c r="I3055" s="133"/>
      <c r="J3055" s="133"/>
      <c r="K3055" s="133"/>
      <c r="L3055" s="133"/>
      <c r="M3055" s="133"/>
      <c r="N3055" s="133"/>
      <c r="O3055" s="133"/>
      <c r="P3055" s="134"/>
      <c r="Q3055" s="146"/>
      <c r="R3055" s="17"/>
      <c r="S3055" s="17"/>
      <c r="T3055" s="75"/>
      <c r="U3055" s="75"/>
      <c r="V3055" s="75"/>
      <c r="W3055" s="75"/>
      <c r="X3055" s="75"/>
    </row>
    <row r="3056">
      <c r="A3056" s="17"/>
      <c r="B3056" s="17"/>
      <c r="C3056" s="133"/>
      <c r="D3056" s="133"/>
      <c r="E3056" s="17"/>
      <c r="F3056" s="133"/>
      <c r="G3056" s="133"/>
      <c r="H3056" s="133"/>
      <c r="I3056" s="133"/>
      <c r="J3056" s="133"/>
      <c r="K3056" s="133"/>
      <c r="L3056" s="133"/>
      <c r="M3056" s="133"/>
      <c r="N3056" s="133"/>
      <c r="O3056" s="133"/>
      <c r="P3056" s="134"/>
      <c r="Q3056" s="146"/>
      <c r="R3056" s="17"/>
      <c r="S3056" s="17"/>
      <c r="T3056" s="75"/>
      <c r="U3056" s="75"/>
      <c r="V3056" s="75"/>
      <c r="W3056" s="75"/>
      <c r="X3056" s="75"/>
    </row>
    <row r="3057">
      <c r="A3057" s="17"/>
      <c r="B3057" s="17"/>
      <c r="C3057" s="133"/>
      <c r="D3057" s="133"/>
      <c r="E3057" s="17"/>
      <c r="F3057" s="133"/>
      <c r="G3057" s="133"/>
      <c r="H3057" s="133"/>
      <c r="I3057" s="133"/>
      <c r="J3057" s="133"/>
      <c r="K3057" s="133"/>
      <c r="L3057" s="133"/>
      <c r="M3057" s="133"/>
      <c r="N3057" s="133"/>
      <c r="O3057" s="133"/>
      <c r="P3057" s="134"/>
      <c r="Q3057" s="146"/>
      <c r="R3057" s="17"/>
      <c r="S3057" s="17"/>
      <c r="T3057" s="75"/>
      <c r="U3057" s="75"/>
      <c r="V3057" s="75"/>
      <c r="W3057" s="75"/>
      <c r="X3057" s="75"/>
    </row>
    <row r="3058">
      <c r="A3058" s="17"/>
      <c r="B3058" s="17"/>
      <c r="C3058" s="133"/>
      <c r="D3058" s="133"/>
      <c r="E3058" s="17"/>
      <c r="F3058" s="133"/>
      <c r="G3058" s="133"/>
      <c r="H3058" s="133"/>
      <c r="I3058" s="133"/>
      <c r="J3058" s="133"/>
      <c r="K3058" s="133"/>
      <c r="L3058" s="133"/>
      <c r="M3058" s="133"/>
      <c r="N3058" s="133"/>
      <c r="O3058" s="133"/>
      <c r="P3058" s="134"/>
      <c r="Q3058" s="146"/>
      <c r="R3058" s="17"/>
      <c r="S3058" s="17"/>
      <c r="T3058" s="75"/>
      <c r="U3058" s="75"/>
      <c r="V3058" s="75"/>
      <c r="W3058" s="75"/>
      <c r="X3058" s="75"/>
    </row>
    <row r="3059">
      <c r="A3059" s="17"/>
      <c r="B3059" s="17"/>
      <c r="C3059" s="133"/>
      <c r="D3059" s="133"/>
      <c r="E3059" s="17"/>
      <c r="F3059" s="133"/>
      <c r="G3059" s="133"/>
      <c r="H3059" s="133"/>
      <c r="I3059" s="133"/>
      <c r="J3059" s="133"/>
      <c r="K3059" s="133"/>
      <c r="L3059" s="133"/>
      <c r="M3059" s="133"/>
      <c r="N3059" s="133"/>
      <c r="O3059" s="133"/>
      <c r="P3059" s="134"/>
      <c r="Q3059" s="146"/>
      <c r="R3059" s="17"/>
      <c r="S3059" s="17"/>
      <c r="T3059" s="75"/>
      <c r="U3059" s="75"/>
      <c r="V3059" s="75"/>
      <c r="W3059" s="75"/>
      <c r="X3059" s="75"/>
    </row>
    <row r="3060">
      <c r="A3060" s="17"/>
      <c r="B3060" s="17"/>
      <c r="C3060" s="133"/>
      <c r="D3060" s="133"/>
      <c r="E3060" s="17"/>
      <c r="F3060" s="133"/>
      <c r="G3060" s="133"/>
      <c r="H3060" s="133"/>
      <c r="I3060" s="133"/>
      <c r="J3060" s="133"/>
      <c r="K3060" s="133"/>
      <c r="L3060" s="133"/>
      <c r="M3060" s="133"/>
      <c r="N3060" s="133"/>
      <c r="O3060" s="133"/>
      <c r="P3060" s="134"/>
      <c r="Q3060" s="146"/>
      <c r="R3060" s="17"/>
      <c r="S3060" s="17"/>
      <c r="T3060" s="75"/>
      <c r="U3060" s="75"/>
      <c r="V3060" s="75"/>
      <c r="W3060" s="75"/>
      <c r="X3060" s="75"/>
    </row>
    <row r="3061">
      <c r="A3061" s="17"/>
      <c r="B3061" s="17"/>
      <c r="C3061" s="133"/>
      <c r="D3061" s="133"/>
      <c r="E3061" s="17"/>
      <c r="F3061" s="133"/>
      <c r="G3061" s="133"/>
      <c r="H3061" s="133"/>
      <c r="I3061" s="133"/>
      <c r="J3061" s="133"/>
      <c r="K3061" s="133"/>
      <c r="L3061" s="133"/>
      <c r="M3061" s="133"/>
      <c r="N3061" s="133"/>
      <c r="O3061" s="133"/>
      <c r="P3061" s="134"/>
      <c r="Q3061" s="146"/>
      <c r="R3061" s="17"/>
      <c r="S3061" s="17"/>
      <c r="T3061" s="75"/>
      <c r="U3061" s="75"/>
      <c r="V3061" s="75"/>
      <c r="W3061" s="75"/>
      <c r="X3061" s="75"/>
    </row>
    <row r="3062">
      <c r="A3062" s="17"/>
      <c r="B3062" s="17"/>
      <c r="C3062" s="133"/>
      <c r="D3062" s="133"/>
      <c r="E3062" s="17"/>
      <c r="F3062" s="133"/>
      <c r="G3062" s="133"/>
      <c r="H3062" s="133"/>
      <c r="I3062" s="133"/>
      <c r="J3062" s="133"/>
      <c r="K3062" s="133"/>
      <c r="L3062" s="133"/>
      <c r="M3062" s="133"/>
      <c r="N3062" s="133"/>
      <c r="O3062" s="133"/>
      <c r="P3062" s="134"/>
      <c r="Q3062" s="146"/>
      <c r="R3062" s="17"/>
      <c r="S3062" s="17"/>
      <c r="T3062" s="75"/>
      <c r="U3062" s="75"/>
      <c r="V3062" s="75"/>
      <c r="W3062" s="75"/>
      <c r="X3062" s="75"/>
    </row>
    <row r="3063">
      <c r="A3063" s="17"/>
      <c r="B3063" s="17"/>
      <c r="C3063" s="133"/>
      <c r="D3063" s="133"/>
      <c r="E3063" s="17"/>
      <c r="F3063" s="133"/>
      <c r="G3063" s="133"/>
      <c r="H3063" s="133"/>
      <c r="I3063" s="133"/>
      <c r="J3063" s="133"/>
      <c r="K3063" s="133"/>
      <c r="L3063" s="133"/>
      <c r="M3063" s="133"/>
      <c r="N3063" s="133"/>
      <c r="O3063" s="133"/>
      <c r="P3063" s="134"/>
      <c r="Q3063" s="146"/>
      <c r="R3063" s="17"/>
      <c r="S3063" s="17"/>
      <c r="T3063" s="75"/>
      <c r="U3063" s="75"/>
      <c r="V3063" s="75"/>
      <c r="W3063" s="75"/>
      <c r="X3063" s="75"/>
    </row>
    <row r="3064">
      <c r="A3064" s="17"/>
      <c r="B3064" s="17"/>
      <c r="C3064" s="133"/>
      <c r="D3064" s="133"/>
      <c r="E3064" s="17"/>
      <c r="F3064" s="133"/>
      <c r="G3064" s="133"/>
      <c r="H3064" s="133"/>
      <c r="I3064" s="133"/>
      <c r="J3064" s="133"/>
      <c r="K3064" s="133"/>
      <c r="L3064" s="133"/>
      <c r="M3064" s="133"/>
      <c r="N3064" s="133"/>
      <c r="O3064" s="133"/>
      <c r="P3064" s="134"/>
      <c r="Q3064" s="146"/>
      <c r="R3064" s="17"/>
      <c r="S3064" s="17"/>
      <c r="T3064" s="75"/>
      <c r="U3064" s="75"/>
      <c r="V3064" s="75"/>
      <c r="W3064" s="75"/>
      <c r="X3064" s="75"/>
    </row>
    <row r="3065">
      <c r="A3065" s="17"/>
      <c r="B3065" s="17"/>
      <c r="C3065" s="133"/>
      <c r="D3065" s="133"/>
      <c r="E3065" s="17"/>
      <c r="F3065" s="133"/>
      <c r="G3065" s="133"/>
      <c r="H3065" s="133"/>
      <c r="I3065" s="133"/>
      <c r="J3065" s="133"/>
      <c r="K3065" s="133"/>
      <c r="L3065" s="133"/>
      <c r="M3065" s="133"/>
      <c r="N3065" s="133"/>
      <c r="O3065" s="133"/>
      <c r="P3065" s="134"/>
      <c r="Q3065" s="146"/>
      <c r="R3065" s="17"/>
      <c r="S3065" s="17"/>
      <c r="T3065" s="75"/>
      <c r="U3065" s="75"/>
      <c r="V3065" s="75"/>
      <c r="W3065" s="75"/>
      <c r="X3065" s="75"/>
    </row>
    <row r="3066">
      <c r="A3066" s="17"/>
      <c r="B3066" s="17"/>
      <c r="C3066" s="133"/>
      <c r="D3066" s="133"/>
      <c r="E3066" s="17"/>
      <c r="F3066" s="133"/>
      <c r="G3066" s="133"/>
      <c r="H3066" s="133"/>
      <c r="I3066" s="133"/>
      <c r="J3066" s="133"/>
      <c r="K3066" s="133"/>
      <c r="L3066" s="133"/>
      <c r="M3066" s="133"/>
      <c r="N3066" s="133"/>
      <c r="O3066" s="133"/>
      <c r="P3066" s="134"/>
      <c r="Q3066" s="146"/>
      <c r="R3066" s="17"/>
      <c r="S3066" s="17"/>
      <c r="T3066" s="75"/>
      <c r="U3066" s="75"/>
      <c r="V3066" s="75"/>
      <c r="W3066" s="75"/>
      <c r="X3066" s="75"/>
    </row>
    <row r="3067">
      <c r="A3067" s="17"/>
      <c r="B3067" s="17"/>
      <c r="C3067" s="133"/>
      <c r="D3067" s="133"/>
      <c r="E3067" s="17"/>
      <c r="F3067" s="133"/>
      <c r="G3067" s="133"/>
      <c r="H3067" s="133"/>
      <c r="I3067" s="133"/>
      <c r="J3067" s="133"/>
      <c r="K3067" s="133"/>
      <c r="L3067" s="133"/>
      <c r="M3067" s="133"/>
      <c r="N3067" s="133"/>
      <c r="O3067" s="133"/>
      <c r="P3067" s="134"/>
      <c r="Q3067" s="146"/>
      <c r="R3067" s="17"/>
      <c r="S3067" s="17"/>
      <c r="T3067" s="75"/>
      <c r="U3067" s="75"/>
      <c r="V3067" s="75"/>
      <c r="W3067" s="75"/>
      <c r="X3067" s="75"/>
    </row>
    <row r="3068">
      <c r="A3068" s="17"/>
      <c r="B3068" s="17"/>
      <c r="C3068" s="133"/>
      <c r="D3068" s="133"/>
      <c r="E3068" s="17"/>
      <c r="F3068" s="133"/>
      <c r="G3068" s="133"/>
      <c r="H3068" s="133"/>
      <c r="I3068" s="133"/>
      <c r="J3068" s="133"/>
      <c r="K3068" s="133"/>
      <c r="L3068" s="133"/>
      <c r="M3068" s="133"/>
      <c r="N3068" s="133"/>
      <c r="O3068" s="133"/>
      <c r="P3068" s="134"/>
      <c r="Q3068" s="146"/>
      <c r="R3068" s="17"/>
      <c r="S3068" s="17"/>
      <c r="T3068" s="75"/>
      <c r="U3068" s="75"/>
      <c r="V3068" s="75"/>
      <c r="W3068" s="75"/>
      <c r="X3068" s="75"/>
    </row>
    <row r="3069">
      <c r="A3069" s="17"/>
      <c r="B3069" s="17"/>
      <c r="C3069" s="133"/>
      <c r="D3069" s="133"/>
      <c r="E3069" s="17"/>
      <c r="F3069" s="133"/>
      <c r="G3069" s="133"/>
      <c r="H3069" s="133"/>
      <c r="I3069" s="133"/>
      <c r="J3069" s="133"/>
      <c r="K3069" s="133"/>
      <c r="L3069" s="133"/>
      <c r="M3069" s="133"/>
      <c r="N3069" s="133"/>
      <c r="O3069" s="133"/>
      <c r="P3069" s="134"/>
      <c r="Q3069" s="146"/>
      <c r="R3069" s="17"/>
      <c r="S3069" s="17"/>
      <c r="T3069" s="75"/>
      <c r="U3069" s="75"/>
      <c r="V3069" s="75"/>
      <c r="W3069" s="75"/>
      <c r="X3069" s="75"/>
    </row>
    <row r="3070">
      <c r="A3070" s="17"/>
      <c r="B3070" s="17"/>
      <c r="C3070" s="133"/>
      <c r="D3070" s="133"/>
      <c r="E3070" s="17"/>
      <c r="F3070" s="133"/>
      <c r="G3070" s="133"/>
      <c r="H3070" s="133"/>
      <c r="I3070" s="133"/>
      <c r="J3070" s="133"/>
      <c r="K3070" s="133"/>
      <c r="L3070" s="133"/>
      <c r="M3070" s="133"/>
      <c r="N3070" s="133"/>
      <c r="O3070" s="133"/>
      <c r="P3070" s="134"/>
      <c r="Q3070" s="146"/>
      <c r="R3070" s="17"/>
      <c r="S3070" s="17"/>
      <c r="T3070" s="75"/>
      <c r="U3070" s="75"/>
      <c r="V3070" s="75"/>
      <c r="W3070" s="75"/>
      <c r="X3070" s="75"/>
    </row>
    <row r="3071">
      <c r="A3071" s="17"/>
      <c r="B3071" s="17"/>
      <c r="C3071" s="133"/>
      <c r="D3071" s="133"/>
      <c r="E3071" s="17"/>
      <c r="F3071" s="133"/>
      <c r="G3071" s="133"/>
      <c r="H3071" s="133"/>
      <c r="I3071" s="133"/>
      <c r="J3071" s="133"/>
      <c r="K3071" s="133"/>
      <c r="L3071" s="133"/>
      <c r="M3071" s="133"/>
      <c r="N3071" s="133"/>
      <c r="O3071" s="133"/>
      <c r="P3071" s="134"/>
      <c r="Q3071" s="146"/>
      <c r="R3071" s="17"/>
      <c r="S3071" s="17"/>
      <c r="T3071" s="75"/>
      <c r="U3071" s="75"/>
      <c r="V3071" s="75"/>
      <c r="W3071" s="75"/>
      <c r="X3071" s="75"/>
    </row>
    <row r="3072">
      <c r="A3072" s="17"/>
      <c r="B3072" s="17"/>
      <c r="C3072" s="133"/>
      <c r="D3072" s="133"/>
      <c r="E3072" s="17"/>
      <c r="F3072" s="133"/>
      <c r="G3072" s="133"/>
      <c r="H3072" s="133"/>
      <c r="I3072" s="133"/>
      <c r="J3072" s="133"/>
      <c r="K3072" s="133"/>
      <c r="L3072" s="133"/>
      <c r="M3072" s="133"/>
      <c r="N3072" s="133"/>
      <c r="O3072" s="133"/>
      <c r="P3072" s="134"/>
      <c r="Q3072" s="146"/>
      <c r="R3072" s="17"/>
      <c r="S3072" s="17"/>
      <c r="T3072" s="75"/>
      <c r="U3072" s="75"/>
      <c r="V3072" s="75"/>
      <c r="W3072" s="75"/>
      <c r="X3072" s="75"/>
    </row>
    <row r="3073">
      <c r="A3073" s="17"/>
      <c r="B3073" s="17"/>
      <c r="C3073" s="133"/>
      <c r="D3073" s="133"/>
      <c r="E3073" s="17"/>
      <c r="F3073" s="133"/>
      <c r="G3073" s="133"/>
      <c r="H3073" s="133"/>
      <c r="I3073" s="133"/>
      <c r="J3073" s="133"/>
      <c r="K3073" s="133"/>
      <c r="L3073" s="133"/>
      <c r="M3073" s="133"/>
      <c r="N3073" s="133"/>
      <c r="O3073" s="133"/>
      <c r="P3073" s="134"/>
      <c r="Q3073" s="146"/>
      <c r="R3073" s="17"/>
      <c r="S3073" s="17"/>
      <c r="T3073" s="75"/>
      <c r="U3073" s="75"/>
      <c r="V3073" s="75"/>
      <c r="W3073" s="75"/>
      <c r="X3073" s="75"/>
    </row>
    <row r="3074">
      <c r="A3074" s="17"/>
      <c r="B3074" s="17"/>
      <c r="C3074" s="133"/>
      <c r="D3074" s="133"/>
      <c r="E3074" s="17"/>
      <c r="F3074" s="133"/>
      <c r="G3074" s="133"/>
      <c r="H3074" s="133"/>
      <c r="I3074" s="133"/>
      <c r="J3074" s="133"/>
      <c r="K3074" s="133"/>
      <c r="L3074" s="133"/>
      <c r="M3074" s="133"/>
      <c r="N3074" s="133"/>
      <c r="O3074" s="133"/>
      <c r="P3074" s="134"/>
      <c r="Q3074" s="146"/>
      <c r="R3074" s="17"/>
      <c r="S3074" s="17"/>
      <c r="T3074" s="75"/>
      <c r="U3074" s="75"/>
      <c r="V3074" s="75"/>
      <c r="W3074" s="75"/>
      <c r="X3074" s="75"/>
    </row>
    <row r="3075">
      <c r="A3075" s="17"/>
      <c r="B3075" s="17"/>
      <c r="C3075" s="133"/>
      <c r="D3075" s="133"/>
      <c r="E3075" s="17"/>
      <c r="F3075" s="133"/>
      <c r="G3075" s="133"/>
      <c r="H3075" s="133"/>
      <c r="I3075" s="133"/>
      <c r="J3075" s="133"/>
      <c r="K3075" s="133"/>
      <c r="L3075" s="133"/>
      <c r="M3075" s="133"/>
      <c r="N3075" s="133"/>
      <c r="O3075" s="133"/>
      <c r="P3075" s="134"/>
      <c r="Q3075" s="146"/>
      <c r="R3075" s="17"/>
      <c r="S3075" s="17"/>
      <c r="T3075" s="75"/>
      <c r="U3075" s="75"/>
      <c r="V3075" s="75"/>
      <c r="W3075" s="75"/>
      <c r="X3075" s="75"/>
    </row>
    <row r="3076">
      <c r="A3076" s="17"/>
      <c r="B3076" s="17"/>
      <c r="C3076" s="133"/>
      <c r="D3076" s="133"/>
      <c r="E3076" s="17"/>
      <c r="F3076" s="133"/>
      <c r="G3076" s="133"/>
      <c r="H3076" s="133"/>
      <c r="I3076" s="133"/>
      <c r="J3076" s="133"/>
      <c r="K3076" s="133"/>
      <c r="L3076" s="133"/>
      <c r="M3076" s="133"/>
      <c r="N3076" s="133"/>
      <c r="O3076" s="133"/>
      <c r="P3076" s="134"/>
      <c r="Q3076" s="146"/>
      <c r="R3076" s="17"/>
      <c r="S3076" s="17"/>
      <c r="T3076" s="75"/>
      <c r="U3076" s="75"/>
      <c r="V3076" s="75"/>
      <c r="W3076" s="75"/>
      <c r="X3076" s="75"/>
    </row>
    <row r="3077">
      <c r="A3077" s="17"/>
      <c r="B3077" s="17"/>
      <c r="C3077" s="133"/>
      <c r="D3077" s="133"/>
      <c r="E3077" s="17"/>
      <c r="F3077" s="133"/>
      <c r="G3077" s="133"/>
      <c r="H3077" s="133"/>
      <c r="I3077" s="133"/>
      <c r="J3077" s="133"/>
      <c r="K3077" s="133"/>
      <c r="L3077" s="133"/>
      <c r="M3077" s="133"/>
      <c r="N3077" s="133"/>
      <c r="O3077" s="133"/>
      <c r="P3077" s="134"/>
      <c r="Q3077" s="146"/>
      <c r="R3077" s="17"/>
      <c r="S3077" s="17"/>
      <c r="T3077" s="75"/>
      <c r="U3077" s="75"/>
      <c r="V3077" s="75"/>
      <c r="W3077" s="75"/>
      <c r="X3077" s="75"/>
    </row>
    <row r="3078">
      <c r="A3078" s="17"/>
      <c r="B3078" s="17"/>
      <c r="C3078" s="133"/>
      <c r="D3078" s="133"/>
      <c r="E3078" s="17"/>
      <c r="F3078" s="133"/>
      <c r="G3078" s="133"/>
      <c r="H3078" s="133"/>
      <c r="I3078" s="133"/>
      <c r="J3078" s="133"/>
      <c r="K3078" s="133"/>
      <c r="L3078" s="133"/>
      <c r="M3078" s="133"/>
      <c r="N3078" s="133"/>
      <c r="O3078" s="133"/>
      <c r="P3078" s="134"/>
      <c r="Q3078" s="146"/>
      <c r="R3078" s="17"/>
      <c r="S3078" s="17"/>
      <c r="T3078" s="75"/>
      <c r="U3078" s="75"/>
      <c r="V3078" s="75"/>
      <c r="W3078" s="75"/>
      <c r="X3078" s="75"/>
    </row>
    <row r="3079">
      <c r="A3079" s="17"/>
      <c r="B3079" s="17"/>
      <c r="C3079" s="133"/>
      <c r="D3079" s="133"/>
      <c r="E3079" s="17"/>
      <c r="F3079" s="133"/>
      <c r="G3079" s="133"/>
      <c r="H3079" s="133"/>
      <c r="I3079" s="133"/>
      <c r="J3079" s="133"/>
      <c r="K3079" s="133"/>
      <c r="L3079" s="133"/>
      <c r="M3079" s="133"/>
      <c r="N3079" s="133"/>
      <c r="O3079" s="133"/>
      <c r="P3079" s="134"/>
      <c r="Q3079" s="146"/>
      <c r="R3079" s="17"/>
      <c r="S3079" s="17"/>
      <c r="T3079" s="75"/>
      <c r="U3079" s="75"/>
      <c r="V3079" s="75"/>
      <c r="W3079" s="75"/>
      <c r="X3079" s="75"/>
    </row>
    <row r="3080">
      <c r="A3080" s="17"/>
      <c r="B3080" s="17"/>
      <c r="C3080" s="133"/>
      <c r="D3080" s="133"/>
      <c r="E3080" s="17"/>
      <c r="F3080" s="133"/>
      <c r="G3080" s="133"/>
      <c r="H3080" s="133"/>
      <c r="I3080" s="133"/>
      <c r="J3080" s="133"/>
      <c r="K3080" s="133"/>
      <c r="L3080" s="133"/>
      <c r="M3080" s="133"/>
      <c r="N3080" s="133"/>
      <c r="O3080" s="133"/>
      <c r="P3080" s="134"/>
      <c r="Q3080" s="146"/>
      <c r="R3080" s="17"/>
      <c r="S3080" s="17"/>
      <c r="T3080" s="75"/>
      <c r="U3080" s="75"/>
      <c r="V3080" s="75"/>
      <c r="W3080" s="75"/>
      <c r="X3080" s="75"/>
    </row>
    <row r="3081">
      <c r="A3081" s="17"/>
      <c r="B3081" s="17"/>
      <c r="C3081" s="133"/>
      <c r="D3081" s="133"/>
      <c r="E3081" s="17"/>
      <c r="F3081" s="133"/>
      <c r="G3081" s="133"/>
      <c r="H3081" s="133"/>
      <c r="I3081" s="133"/>
      <c r="J3081" s="133"/>
      <c r="K3081" s="133"/>
      <c r="L3081" s="133"/>
      <c r="M3081" s="133"/>
      <c r="N3081" s="133"/>
      <c r="O3081" s="133"/>
      <c r="P3081" s="134"/>
      <c r="Q3081" s="146"/>
      <c r="R3081" s="17"/>
      <c r="S3081" s="17"/>
      <c r="T3081" s="75"/>
      <c r="U3081" s="75"/>
      <c r="V3081" s="75"/>
      <c r="W3081" s="75"/>
      <c r="X3081" s="75"/>
    </row>
    <row r="3082">
      <c r="A3082" s="17"/>
      <c r="B3082" s="17"/>
      <c r="C3082" s="133"/>
      <c r="D3082" s="133"/>
      <c r="E3082" s="17"/>
      <c r="F3082" s="133"/>
      <c r="G3082" s="133"/>
      <c r="H3082" s="133"/>
      <c r="I3082" s="133"/>
      <c r="J3082" s="133"/>
      <c r="K3082" s="133"/>
      <c r="L3082" s="133"/>
      <c r="M3082" s="133"/>
      <c r="N3082" s="133"/>
      <c r="O3082" s="133"/>
      <c r="P3082" s="134"/>
      <c r="Q3082" s="146"/>
      <c r="R3082" s="17"/>
      <c r="S3082" s="17"/>
      <c r="T3082" s="75"/>
      <c r="U3082" s="75"/>
      <c r="V3082" s="75"/>
      <c r="W3082" s="75"/>
      <c r="X3082" s="75"/>
    </row>
    <row r="3083">
      <c r="A3083" s="17"/>
      <c r="B3083" s="17"/>
      <c r="C3083" s="133"/>
      <c r="D3083" s="133"/>
      <c r="E3083" s="17"/>
      <c r="F3083" s="133"/>
      <c r="G3083" s="133"/>
      <c r="H3083" s="133"/>
      <c r="I3083" s="133"/>
      <c r="J3083" s="133"/>
      <c r="K3083" s="133"/>
      <c r="L3083" s="133"/>
      <c r="M3083" s="133"/>
      <c r="N3083" s="133"/>
      <c r="O3083" s="133"/>
      <c r="P3083" s="134"/>
      <c r="Q3083" s="146"/>
      <c r="R3083" s="17"/>
      <c r="S3083" s="17"/>
      <c r="T3083" s="75"/>
      <c r="U3083" s="75"/>
      <c r="V3083" s="75"/>
      <c r="W3083" s="75"/>
      <c r="X3083" s="75"/>
    </row>
    <row r="3084">
      <c r="A3084" s="17"/>
      <c r="B3084" s="17"/>
      <c r="C3084" s="133"/>
      <c r="D3084" s="133"/>
      <c r="E3084" s="17"/>
      <c r="F3084" s="133"/>
      <c r="G3084" s="133"/>
      <c r="H3084" s="133"/>
      <c r="I3084" s="133"/>
      <c r="J3084" s="133"/>
      <c r="K3084" s="133"/>
      <c r="L3084" s="133"/>
      <c r="M3084" s="133"/>
      <c r="N3084" s="133"/>
      <c r="O3084" s="133"/>
      <c r="P3084" s="134"/>
      <c r="Q3084" s="146"/>
      <c r="R3084" s="17"/>
      <c r="S3084" s="17"/>
      <c r="T3084" s="75"/>
      <c r="U3084" s="75"/>
      <c r="V3084" s="75"/>
      <c r="W3084" s="75"/>
      <c r="X3084" s="75"/>
    </row>
    <row r="3085">
      <c r="A3085" s="17"/>
      <c r="B3085" s="17"/>
      <c r="C3085" s="133"/>
      <c r="D3085" s="133"/>
      <c r="E3085" s="17"/>
      <c r="F3085" s="133"/>
      <c r="G3085" s="133"/>
      <c r="H3085" s="133"/>
      <c r="I3085" s="133"/>
      <c r="J3085" s="133"/>
      <c r="K3085" s="133"/>
      <c r="L3085" s="133"/>
      <c r="M3085" s="133"/>
      <c r="N3085" s="133"/>
      <c r="O3085" s="133"/>
      <c r="P3085" s="134"/>
      <c r="Q3085" s="146"/>
      <c r="R3085" s="17"/>
      <c r="S3085" s="17"/>
      <c r="T3085" s="75"/>
      <c r="U3085" s="75"/>
      <c r="V3085" s="75"/>
      <c r="W3085" s="75"/>
      <c r="X3085" s="75"/>
    </row>
    <row r="3086">
      <c r="A3086" s="17"/>
      <c r="B3086" s="17"/>
      <c r="C3086" s="133"/>
      <c r="D3086" s="133"/>
      <c r="E3086" s="17"/>
      <c r="F3086" s="133"/>
      <c r="G3086" s="133"/>
      <c r="H3086" s="133"/>
      <c r="I3086" s="133"/>
      <c r="J3086" s="133"/>
      <c r="K3086" s="133"/>
      <c r="L3086" s="133"/>
      <c r="M3086" s="133"/>
      <c r="N3086" s="133"/>
      <c r="O3086" s="133"/>
      <c r="P3086" s="134"/>
      <c r="Q3086" s="146"/>
      <c r="R3086" s="17"/>
      <c r="S3086" s="17"/>
      <c r="T3086" s="75"/>
      <c r="U3086" s="75"/>
      <c r="V3086" s="75"/>
      <c r="W3086" s="75"/>
      <c r="X3086" s="75"/>
    </row>
    <row r="3087">
      <c r="A3087" s="17"/>
      <c r="B3087" s="17"/>
      <c r="C3087" s="133"/>
      <c r="D3087" s="133"/>
      <c r="E3087" s="17"/>
      <c r="F3087" s="133"/>
      <c r="G3087" s="133"/>
      <c r="H3087" s="133"/>
      <c r="I3087" s="133"/>
      <c r="J3087" s="133"/>
      <c r="K3087" s="133"/>
      <c r="L3087" s="133"/>
      <c r="M3087" s="133"/>
      <c r="N3087" s="133"/>
      <c r="O3087" s="133"/>
      <c r="P3087" s="134"/>
      <c r="Q3087" s="146"/>
      <c r="R3087" s="17"/>
      <c r="S3087" s="17"/>
      <c r="T3087" s="75"/>
      <c r="U3087" s="75"/>
      <c r="V3087" s="75"/>
      <c r="W3087" s="75"/>
      <c r="X3087" s="75"/>
    </row>
    <row r="3088">
      <c r="A3088" s="17"/>
      <c r="B3088" s="17"/>
      <c r="C3088" s="133"/>
      <c r="D3088" s="133"/>
      <c r="E3088" s="17"/>
      <c r="F3088" s="133"/>
      <c r="G3088" s="133"/>
      <c r="H3088" s="133"/>
      <c r="I3088" s="133"/>
      <c r="J3088" s="133"/>
      <c r="K3088" s="133"/>
      <c r="L3088" s="133"/>
      <c r="M3088" s="133"/>
      <c r="N3088" s="133"/>
      <c r="O3088" s="133"/>
      <c r="P3088" s="134"/>
      <c r="Q3088" s="146"/>
      <c r="R3088" s="17"/>
      <c r="S3088" s="17"/>
      <c r="T3088" s="75"/>
      <c r="U3088" s="75"/>
      <c r="V3088" s="75"/>
      <c r="W3088" s="75"/>
      <c r="X3088" s="75"/>
    </row>
    <row r="3089">
      <c r="A3089" s="17"/>
      <c r="B3089" s="17"/>
      <c r="C3089" s="133"/>
      <c r="D3089" s="133"/>
      <c r="E3089" s="17"/>
      <c r="F3089" s="133"/>
      <c r="G3089" s="133"/>
      <c r="H3089" s="133"/>
      <c r="I3089" s="133"/>
      <c r="J3089" s="133"/>
      <c r="K3089" s="133"/>
      <c r="L3089" s="133"/>
      <c r="M3089" s="133"/>
      <c r="N3089" s="133"/>
      <c r="O3089" s="133"/>
      <c r="P3089" s="134"/>
      <c r="Q3089" s="146"/>
      <c r="R3089" s="17"/>
      <c r="S3089" s="17"/>
      <c r="T3089" s="75"/>
      <c r="U3089" s="75"/>
      <c r="V3089" s="75"/>
      <c r="W3089" s="75"/>
      <c r="X3089" s="75"/>
    </row>
    <row r="3090">
      <c r="A3090" s="17"/>
      <c r="B3090" s="17"/>
      <c r="C3090" s="133"/>
      <c r="D3090" s="133"/>
      <c r="E3090" s="17"/>
      <c r="F3090" s="133"/>
      <c r="G3090" s="133"/>
      <c r="H3090" s="133"/>
      <c r="I3090" s="133"/>
      <c r="J3090" s="133"/>
      <c r="K3090" s="133"/>
      <c r="L3090" s="133"/>
      <c r="M3090" s="133"/>
      <c r="N3090" s="133"/>
      <c r="O3090" s="133"/>
      <c r="P3090" s="134"/>
      <c r="Q3090" s="146"/>
      <c r="R3090" s="17"/>
      <c r="S3090" s="17"/>
      <c r="T3090" s="75"/>
      <c r="U3090" s="75"/>
      <c r="V3090" s="75"/>
      <c r="W3090" s="75"/>
      <c r="X3090" s="75"/>
    </row>
    <row r="3091">
      <c r="A3091" s="17"/>
      <c r="B3091" s="17"/>
      <c r="C3091" s="133"/>
      <c r="D3091" s="133"/>
      <c r="E3091" s="17"/>
      <c r="F3091" s="133"/>
      <c r="G3091" s="133"/>
      <c r="H3091" s="133"/>
      <c r="I3091" s="133"/>
      <c r="J3091" s="133"/>
      <c r="K3091" s="133"/>
      <c r="L3091" s="133"/>
      <c r="M3091" s="133"/>
      <c r="N3091" s="133"/>
      <c r="O3091" s="133"/>
      <c r="P3091" s="134"/>
      <c r="Q3091" s="146"/>
      <c r="R3091" s="17"/>
      <c r="S3091" s="17"/>
      <c r="T3091" s="75"/>
      <c r="U3091" s="75"/>
      <c r="V3091" s="75"/>
      <c r="W3091" s="75"/>
      <c r="X3091" s="75"/>
    </row>
    <row r="3092">
      <c r="A3092" s="17"/>
      <c r="B3092" s="17"/>
      <c r="C3092" s="133"/>
      <c r="D3092" s="133"/>
      <c r="E3092" s="17"/>
      <c r="F3092" s="133"/>
      <c r="G3092" s="133"/>
      <c r="H3092" s="133"/>
      <c r="I3092" s="133"/>
      <c r="J3092" s="133"/>
      <c r="K3092" s="133"/>
      <c r="L3092" s="133"/>
      <c r="M3092" s="133"/>
      <c r="N3092" s="133"/>
      <c r="O3092" s="133"/>
      <c r="P3092" s="134"/>
      <c r="Q3092" s="146"/>
      <c r="R3092" s="17"/>
      <c r="S3092" s="17"/>
      <c r="T3092" s="75"/>
      <c r="U3092" s="75"/>
      <c r="V3092" s="75"/>
      <c r="W3092" s="75"/>
      <c r="X3092" s="75"/>
    </row>
    <row r="3093">
      <c r="A3093" s="17"/>
      <c r="B3093" s="17"/>
      <c r="C3093" s="133"/>
      <c r="D3093" s="133"/>
      <c r="E3093" s="17"/>
      <c r="F3093" s="133"/>
      <c r="G3093" s="133"/>
      <c r="H3093" s="133"/>
      <c r="I3093" s="133"/>
      <c r="J3093" s="133"/>
      <c r="K3093" s="133"/>
      <c r="L3093" s="133"/>
      <c r="M3093" s="133"/>
      <c r="N3093" s="133"/>
      <c r="O3093" s="133"/>
      <c r="P3093" s="134"/>
      <c r="Q3093" s="146"/>
      <c r="R3093" s="17"/>
      <c r="S3093" s="17"/>
      <c r="T3093" s="75"/>
      <c r="U3093" s="75"/>
      <c r="V3093" s="75"/>
      <c r="W3093" s="75"/>
      <c r="X3093" s="75"/>
    </row>
    <row r="3094">
      <c r="A3094" s="17"/>
      <c r="B3094" s="17"/>
      <c r="C3094" s="133"/>
      <c r="D3094" s="133"/>
      <c r="E3094" s="17"/>
      <c r="F3094" s="133"/>
      <c r="G3094" s="133"/>
      <c r="H3094" s="133"/>
      <c r="I3094" s="133"/>
      <c r="J3094" s="133"/>
      <c r="K3094" s="133"/>
      <c r="L3094" s="133"/>
      <c r="M3094" s="133"/>
      <c r="N3094" s="133"/>
      <c r="O3094" s="133"/>
      <c r="P3094" s="134"/>
      <c r="Q3094" s="146"/>
      <c r="R3094" s="17"/>
      <c r="S3094" s="17"/>
      <c r="T3094" s="75"/>
      <c r="U3094" s="75"/>
      <c r="V3094" s="75"/>
      <c r="W3094" s="75"/>
      <c r="X3094" s="75"/>
    </row>
    <row r="3095">
      <c r="A3095" s="17"/>
      <c r="B3095" s="17"/>
      <c r="C3095" s="133"/>
      <c r="D3095" s="133"/>
      <c r="E3095" s="17"/>
      <c r="F3095" s="133"/>
      <c r="G3095" s="133"/>
      <c r="H3095" s="133"/>
      <c r="I3095" s="133"/>
      <c r="J3095" s="133"/>
      <c r="K3095" s="133"/>
      <c r="L3095" s="133"/>
      <c r="M3095" s="133"/>
      <c r="N3095" s="133"/>
      <c r="O3095" s="133"/>
      <c r="P3095" s="134"/>
      <c r="Q3095" s="146"/>
      <c r="R3095" s="17"/>
      <c r="S3095" s="17"/>
      <c r="T3095" s="75"/>
      <c r="U3095" s="75"/>
      <c r="V3095" s="75"/>
      <c r="W3095" s="75"/>
      <c r="X3095" s="75"/>
    </row>
    <row r="3096">
      <c r="A3096" s="17"/>
      <c r="B3096" s="17"/>
      <c r="C3096" s="133"/>
      <c r="D3096" s="133"/>
      <c r="E3096" s="17"/>
      <c r="F3096" s="133"/>
      <c r="G3096" s="133"/>
      <c r="H3096" s="133"/>
      <c r="I3096" s="133"/>
      <c r="J3096" s="133"/>
      <c r="K3096" s="133"/>
      <c r="L3096" s="133"/>
      <c r="M3096" s="133"/>
      <c r="N3096" s="133"/>
      <c r="O3096" s="133"/>
      <c r="P3096" s="134"/>
      <c r="Q3096" s="146"/>
      <c r="R3096" s="17"/>
      <c r="S3096" s="17"/>
      <c r="T3096" s="75"/>
      <c r="U3096" s="75"/>
      <c r="V3096" s="75"/>
      <c r="W3096" s="75"/>
      <c r="X3096" s="75"/>
    </row>
    <row r="3097">
      <c r="A3097" s="17"/>
      <c r="B3097" s="17"/>
      <c r="C3097" s="133"/>
      <c r="D3097" s="133"/>
      <c r="E3097" s="17"/>
      <c r="F3097" s="133"/>
      <c r="G3097" s="133"/>
      <c r="H3097" s="133"/>
      <c r="I3097" s="133"/>
      <c r="J3097" s="133"/>
      <c r="K3097" s="133"/>
      <c r="L3097" s="133"/>
      <c r="M3097" s="133"/>
      <c r="N3097" s="133"/>
      <c r="O3097" s="133"/>
      <c r="P3097" s="134"/>
      <c r="Q3097" s="146"/>
      <c r="R3097" s="17"/>
      <c r="S3097" s="17"/>
      <c r="T3097" s="75"/>
      <c r="U3097" s="75"/>
      <c r="V3097" s="75"/>
      <c r="W3097" s="75"/>
      <c r="X3097" s="75"/>
    </row>
    <row r="3098">
      <c r="A3098" s="17"/>
      <c r="B3098" s="17"/>
      <c r="C3098" s="133"/>
      <c r="D3098" s="133"/>
      <c r="E3098" s="17"/>
      <c r="F3098" s="133"/>
      <c r="G3098" s="133"/>
      <c r="H3098" s="133"/>
      <c r="I3098" s="133"/>
      <c r="J3098" s="133"/>
      <c r="K3098" s="133"/>
      <c r="L3098" s="133"/>
      <c r="M3098" s="133"/>
      <c r="N3098" s="133"/>
      <c r="O3098" s="133"/>
      <c r="P3098" s="134"/>
      <c r="Q3098" s="146"/>
      <c r="R3098" s="17"/>
      <c r="S3098" s="17"/>
      <c r="T3098" s="75"/>
      <c r="U3098" s="75"/>
      <c r="V3098" s="75"/>
      <c r="W3098" s="75"/>
      <c r="X3098" s="75"/>
    </row>
    <row r="3099">
      <c r="A3099" s="17"/>
      <c r="B3099" s="17"/>
      <c r="C3099" s="133"/>
      <c r="D3099" s="133"/>
      <c r="E3099" s="17"/>
      <c r="F3099" s="133"/>
      <c r="G3099" s="133"/>
      <c r="H3099" s="133"/>
      <c r="I3099" s="133"/>
      <c r="J3099" s="133"/>
      <c r="K3099" s="133"/>
      <c r="L3099" s="133"/>
      <c r="M3099" s="133"/>
      <c r="N3099" s="133"/>
      <c r="O3099" s="133"/>
      <c r="P3099" s="134"/>
      <c r="Q3099" s="146"/>
      <c r="R3099" s="17"/>
      <c r="S3099" s="17"/>
      <c r="T3099" s="75"/>
      <c r="U3099" s="75"/>
      <c r="V3099" s="75"/>
      <c r="W3099" s="75"/>
      <c r="X3099" s="75"/>
    </row>
    <row r="3100">
      <c r="A3100" s="17"/>
      <c r="B3100" s="17"/>
      <c r="C3100" s="133"/>
      <c r="D3100" s="133"/>
      <c r="E3100" s="17"/>
      <c r="F3100" s="133"/>
      <c r="G3100" s="133"/>
      <c r="H3100" s="133"/>
      <c r="I3100" s="133"/>
      <c r="J3100" s="133"/>
      <c r="K3100" s="133"/>
      <c r="L3100" s="133"/>
      <c r="M3100" s="133"/>
      <c r="N3100" s="133"/>
      <c r="O3100" s="133"/>
      <c r="P3100" s="134"/>
      <c r="Q3100" s="146"/>
      <c r="R3100" s="17"/>
      <c r="S3100" s="17"/>
      <c r="T3100" s="75"/>
      <c r="U3100" s="75"/>
      <c r="V3100" s="75"/>
      <c r="W3100" s="75"/>
      <c r="X3100" s="75"/>
    </row>
    <row r="3101">
      <c r="A3101" s="17"/>
      <c r="B3101" s="17"/>
      <c r="C3101" s="133"/>
      <c r="D3101" s="133"/>
      <c r="E3101" s="17"/>
      <c r="F3101" s="133"/>
      <c r="G3101" s="133"/>
      <c r="H3101" s="133"/>
      <c r="I3101" s="133"/>
      <c r="J3101" s="133"/>
      <c r="K3101" s="133"/>
      <c r="L3101" s="133"/>
      <c r="M3101" s="133"/>
      <c r="N3101" s="133"/>
      <c r="O3101" s="133"/>
      <c r="P3101" s="134"/>
      <c r="Q3101" s="146"/>
      <c r="R3101" s="17"/>
      <c r="S3101" s="17"/>
      <c r="T3101" s="75"/>
      <c r="U3101" s="75"/>
      <c r="V3101" s="75"/>
      <c r="W3101" s="75"/>
      <c r="X3101" s="75"/>
    </row>
    <row r="3102">
      <c r="A3102" s="17"/>
      <c r="B3102" s="17"/>
      <c r="C3102" s="133"/>
      <c r="D3102" s="133"/>
      <c r="E3102" s="17"/>
      <c r="F3102" s="133"/>
      <c r="G3102" s="133"/>
      <c r="H3102" s="133"/>
      <c r="I3102" s="133"/>
      <c r="J3102" s="133"/>
      <c r="K3102" s="133"/>
      <c r="L3102" s="133"/>
      <c r="M3102" s="133"/>
      <c r="N3102" s="133"/>
      <c r="O3102" s="133"/>
      <c r="P3102" s="134"/>
      <c r="Q3102" s="146"/>
      <c r="R3102" s="17"/>
      <c r="S3102" s="17"/>
      <c r="T3102" s="75"/>
      <c r="U3102" s="75"/>
      <c r="V3102" s="75"/>
      <c r="W3102" s="75"/>
      <c r="X3102" s="75"/>
    </row>
    <row r="3103">
      <c r="A3103" s="17"/>
      <c r="B3103" s="17"/>
      <c r="C3103" s="133"/>
      <c r="D3103" s="133"/>
      <c r="E3103" s="17"/>
      <c r="F3103" s="133"/>
      <c r="G3103" s="133"/>
      <c r="H3103" s="133"/>
      <c r="I3103" s="133"/>
      <c r="J3103" s="133"/>
      <c r="K3103" s="133"/>
      <c r="L3103" s="133"/>
      <c r="M3103" s="133"/>
      <c r="N3103" s="133"/>
      <c r="O3103" s="133"/>
      <c r="P3103" s="134"/>
      <c r="Q3103" s="146"/>
      <c r="R3103" s="17"/>
      <c r="S3103" s="17"/>
      <c r="T3103" s="75"/>
      <c r="U3103" s="75"/>
      <c r="V3103" s="75"/>
      <c r="W3103" s="75"/>
      <c r="X3103" s="75"/>
    </row>
    <row r="3104">
      <c r="A3104" s="17"/>
      <c r="B3104" s="17"/>
      <c r="C3104" s="133"/>
      <c r="D3104" s="133"/>
      <c r="E3104" s="17"/>
      <c r="F3104" s="133"/>
      <c r="G3104" s="133"/>
      <c r="H3104" s="133"/>
      <c r="I3104" s="133"/>
      <c r="J3104" s="133"/>
      <c r="K3104" s="133"/>
      <c r="L3104" s="133"/>
      <c r="M3104" s="133"/>
      <c r="N3104" s="133"/>
      <c r="O3104" s="133"/>
      <c r="P3104" s="134"/>
      <c r="Q3104" s="146"/>
      <c r="R3104" s="17"/>
      <c r="S3104" s="17"/>
      <c r="T3104" s="75"/>
      <c r="U3104" s="75"/>
      <c r="V3104" s="75"/>
      <c r="W3104" s="75"/>
      <c r="X3104" s="75"/>
    </row>
    <row r="3105">
      <c r="A3105" s="17"/>
      <c r="B3105" s="17"/>
      <c r="C3105" s="133"/>
      <c r="D3105" s="133"/>
      <c r="E3105" s="17"/>
      <c r="F3105" s="133"/>
      <c r="G3105" s="133"/>
      <c r="H3105" s="133"/>
      <c r="I3105" s="133"/>
      <c r="J3105" s="133"/>
      <c r="K3105" s="133"/>
      <c r="L3105" s="133"/>
      <c r="M3105" s="133"/>
      <c r="N3105" s="133"/>
      <c r="O3105" s="133"/>
      <c r="P3105" s="134"/>
      <c r="Q3105" s="146"/>
      <c r="R3105" s="17"/>
      <c r="S3105" s="17"/>
      <c r="T3105" s="75"/>
      <c r="U3105" s="75"/>
      <c r="V3105" s="75"/>
      <c r="W3105" s="75"/>
      <c r="X3105" s="75"/>
    </row>
    <row r="3106">
      <c r="A3106" s="17"/>
      <c r="B3106" s="17"/>
      <c r="C3106" s="133"/>
      <c r="D3106" s="133"/>
      <c r="E3106" s="17"/>
      <c r="F3106" s="133"/>
      <c r="G3106" s="133"/>
      <c r="H3106" s="133"/>
      <c r="I3106" s="133"/>
      <c r="J3106" s="133"/>
      <c r="K3106" s="133"/>
      <c r="L3106" s="133"/>
      <c r="M3106" s="133"/>
      <c r="N3106" s="133"/>
      <c r="O3106" s="133"/>
      <c r="P3106" s="134"/>
      <c r="Q3106" s="146"/>
      <c r="R3106" s="17"/>
      <c r="S3106" s="17"/>
      <c r="T3106" s="75"/>
      <c r="U3106" s="75"/>
      <c r="V3106" s="75"/>
      <c r="W3106" s="75"/>
      <c r="X3106" s="75"/>
    </row>
    <row r="3107">
      <c r="A3107" s="17"/>
      <c r="B3107" s="17"/>
      <c r="C3107" s="133"/>
      <c r="D3107" s="133"/>
      <c r="E3107" s="17"/>
      <c r="F3107" s="133"/>
      <c r="G3107" s="133"/>
      <c r="H3107" s="133"/>
      <c r="I3107" s="133"/>
      <c r="J3107" s="133"/>
      <c r="K3107" s="133"/>
      <c r="L3107" s="133"/>
      <c r="M3107" s="133"/>
      <c r="N3107" s="133"/>
      <c r="O3107" s="133"/>
      <c r="P3107" s="134"/>
      <c r="Q3107" s="146"/>
      <c r="R3107" s="17"/>
      <c r="S3107" s="17"/>
      <c r="T3107" s="75"/>
      <c r="U3107" s="75"/>
      <c r="V3107" s="75"/>
      <c r="W3107" s="75"/>
      <c r="X3107" s="75"/>
    </row>
    <row r="3108">
      <c r="A3108" s="17"/>
      <c r="B3108" s="17"/>
      <c r="C3108" s="133"/>
      <c r="D3108" s="133"/>
      <c r="E3108" s="17"/>
      <c r="F3108" s="133"/>
      <c r="G3108" s="133"/>
      <c r="H3108" s="133"/>
      <c r="I3108" s="133"/>
      <c r="J3108" s="133"/>
      <c r="K3108" s="133"/>
      <c r="L3108" s="133"/>
      <c r="M3108" s="133"/>
      <c r="N3108" s="133"/>
      <c r="O3108" s="133"/>
      <c r="P3108" s="134"/>
      <c r="Q3108" s="146"/>
      <c r="R3108" s="17"/>
      <c r="S3108" s="17"/>
      <c r="T3108" s="75"/>
      <c r="U3108" s="75"/>
      <c r="V3108" s="75"/>
      <c r="W3108" s="75"/>
      <c r="X3108" s="75"/>
    </row>
    <row r="3109">
      <c r="A3109" s="17"/>
      <c r="B3109" s="17"/>
      <c r="C3109" s="133"/>
      <c r="D3109" s="133"/>
      <c r="E3109" s="17"/>
      <c r="F3109" s="133"/>
      <c r="G3109" s="133"/>
      <c r="H3109" s="133"/>
      <c r="I3109" s="133"/>
      <c r="J3109" s="133"/>
      <c r="K3109" s="133"/>
      <c r="L3109" s="133"/>
      <c r="M3109" s="133"/>
      <c r="N3109" s="133"/>
      <c r="O3109" s="133"/>
      <c r="P3109" s="134"/>
      <c r="Q3109" s="146"/>
      <c r="R3109" s="17"/>
      <c r="S3109" s="17"/>
      <c r="T3109" s="75"/>
      <c r="U3109" s="75"/>
      <c r="V3109" s="75"/>
      <c r="W3109" s="75"/>
      <c r="X3109" s="75"/>
    </row>
    <row r="3110">
      <c r="A3110" s="17"/>
      <c r="B3110" s="17"/>
      <c r="C3110" s="133"/>
      <c r="D3110" s="133"/>
      <c r="E3110" s="17"/>
      <c r="F3110" s="133"/>
      <c r="G3110" s="133"/>
      <c r="H3110" s="133"/>
      <c r="I3110" s="133"/>
      <c r="J3110" s="133"/>
      <c r="K3110" s="133"/>
      <c r="L3110" s="133"/>
      <c r="M3110" s="133"/>
      <c r="N3110" s="133"/>
      <c r="O3110" s="133"/>
      <c r="P3110" s="134"/>
      <c r="Q3110" s="146"/>
      <c r="R3110" s="17"/>
      <c r="S3110" s="17"/>
      <c r="T3110" s="75"/>
      <c r="U3110" s="75"/>
      <c r="V3110" s="75"/>
      <c r="W3110" s="75"/>
      <c r="X3110" s="75"/>
    </row>
    <row r="3111">
      <c r="A3111" s="17"/>
      <c r="B3111" s="17"/>
      <c r="C3111" s="133"/>
      <c r="D3111" s="133"/>
      <c r="E3111" s="17"/>
      <c r="F3111" s="133"/>
      <c r="G3111" s="133"/>
      <c r="H3111" s="133"/>
      <c r="I3111" s="133"/>
      <c r="J3111" s="133"/>
      <c r="K3111" s="133"/>
      <c r="L3111" s="133"/>
      <c r="M3111" s="133"/>
      <c r="N3111" s="133"/>
      <c r="O3111" s="133"/>
      <c r="P3111" s="134"/>
      <c r="Q3111" s="146"/>
      <c r="R3111" s="17"/>
      <c r="S3111" s="17"/>
      <c r="T3111" s="75"/>
      <c r="U3111" s="75"/>
      <c r="V3111" s="75"/>
      <c r="W3111" s="75"/>
      <c r="X3111" s="75"/>
    </row>
    <row r="3112">
      <c r="A3112" s="17"/>
      <c r="B3112" s="17"/>
      <c r="C3112" s="133"/>
      <c r="D3112" s="133"/>
      <c r="E3112" s="17"/>
      <c r="F3112" s="133"/>
      <c r="G3112" s="133"/>
      <c r="H3112" s="133"/>
      <c r="I3112" s="133"/>
      <c r="J3112" s="133"/>
      <c r="K3112" s="133"/>
      <c r="L3112" s="133"/>
      <c r="M3112" s="133"/>
      <c r="N3112" s="133"/>
      <c r="O3112" s="133"/>
      <c r="P3112" s="134"/>
      <c r="Q3112" s="146"/>
      <c r="R3112" s="17"/>
      <c r="S3112" s="17"/>
      <c r="T3112" s="75"/>
      <c r="U3112" s="75"/>
      <c r="V3112" s="75"/>
      <c r="W3112" s="75"/>
      <c r="X3112" s="75"/>
    </row>
    <row r="3113">
      <c r="A3113" s="17"/>
      <c r="B3113" s="17"/>
      <c r="C3113" s="133"/>
      <c r="D3113" s="133"/>
      <c r="E3113" s="17"/>
      <c r="F3113" s="133"/>
      <c r="G3113" s="133"/>
      <c r="H3113" s="133"/>
      <c r="I3113" s="133"/>
      <c r="J3113" s="133"/>
      <c r="K3113" s="133"/>
      <c r="L3113" s="133"/>
      <c r="M3113" s="133"/>
      <c r="N3113" s="133"/>
      <c r="O3113" s="133"/>
      <c r="P3113" s="134"/>
      <c r="Q3113" s="146"/>
      <c r="R3113" s="17"/>
      <c r="S3113" s="17"/>
      <c r="T3113" s="75"/>
      <c r="U3113" s="75"/>
      <c r="V3113" s="75"/>
      <c r="W3113" s="75"/>
      <c r="X3113" s="75"/>
    </row>
    <row r="3114">
      <c r="A3114" s="17"/>
      <c r="B3114" s="17"/>
      <c r="C3114" s="133"/>
      <c r="D3114" s="133"/>
      <c r="E3114" s="17"/>
      <c r="F3114" s="133"/>
      <c r="G3114" s="133"/>
      <c r="H3114" s="133"/>
      <c r="I3114" s="133"/>
      <c r="J3114" s="133"/>
      <c r="K3114" s="133"/>
      <c r="L3114" s="133"/>
      <c r="M3114" s="133"/>
      <c r="N3114" s="133"/>
      <c r="O3114" s="133"/>
      <c r="P3114" s="134"/>
      <c r="Q3114" s="146"/>
      <c r="R3114" s="17"/>
      <c r="S3114" s="17"/>
      <c r="T3114" s="75"/>
      <c r="U3114" s="75"/>
      <c r="V3114" s="75"/>
      <c r="W3114" s="75"/>
      <c r="X3114" s="75"/>
    </row>
    <row r="3115">
      <c r="A3115" s="17"/>
      <c r="B3115" s="17"/>
      <c r="C3115" s="133"/>
      <c r="D3115" s="133"/>
      <c r="E3115" s="17"/>
      <c r="F3115" s="133"/>
      <c r="G3115" s="133"/>
      <c r="H3115" s="133"/>
      <c r="I3115" s="133"/>
      <c r="J3115" s="133"/>
      <c r="K3115" s="133"/>
      <c r="L3115" s="133"/>
      <c r="M3115" s="133"/>
      <c r="N3115" s="133"/>
      <c r="O3115" s="133"/>
      <c r="P3115" s="134"/>
      <c r="Q3115" s="146"/>
      <c r="R3115" s="17"/>
      <c r="S3115" s="17"/>
      <c r="T3115" s="75"/>
      <c r="U3115" s="75"/>
      <c r="V3115" s="75"/>
      <c r="W3115" s="75"/>
      <c r="X3115" s="75"/>
    </row>
    <row r="3116">
      <c r="A3116" s="17"/>
      <c r="B3116" s="17"/>
      <c r="C3116" s="133"/>
      <c r="D3116" s="133"/>
      <c r="E3116" s="17"/>
      <c r="F3116" s="133"/>
      <c r="G3116" s="133"/>
      <c r="H3116" s="133"/>
      <c r="I3116" s="133"/>
      <c r="J3116" s="133"/>
      <c r="K3116" s="133"/>
      <c r="L3116" s="133"/>
      <c r="M3116" s="133"/>
      <c r="N3116" s="133"/>
      <c r="O3116" s="133"/>
      <c r="P3116" s="134"/>
      <c r="Q3116" s="146"/>
      <c r="R3116" s="17"/>
      <c r="S3116" s="17"/>
      <c r="T3116" s="75"/>
      <c r="U3116" s="75"/>
      <c r="V3116" s="75"/>
      <c r="W3116" s="75"/>
      <c r="X3116" s="75"/>
    </row>
    <row r="3117">
      <c r="A3117" s="17"/>
      <c r="B3117" s="17"/>
      <c r="C3117" s="133"/>
      <c r="D3117" s="133"/>
      <c r="E3117" s="17"/>
      <c r="F3117" s="133"/>
      <c r="G3117" s="133"/>
      <c r="H3117" s="133"/>
      <c r="I3117" s="133"/>
      <c r="J3117" s="133"/>
      <c r="K3117" s="133"/>
      <c r="L3117" s="133"/>
      <c r="M3117" s="133"/>
      <c r="N3117" s="133"/>
      <c r="O3117" s="133"/>
      <c r="P3117" s="134"/>
      <c r="Q3117" s="146"/>
      <c r="R3117" s="17"/>
      <c r="S3117" s="17"/>
      <c r="T3117" s="75"/>
      <c r="U3117" s="75"/>
      <c r="V3117" s="75"/>
      <c r="W3117" s="75"/>
      <c r="X3117" s="75"/>
    </row>
    <row r="3118">
      <c r="A3118" s="17"/>
      <c r="B3118" s="17"/>
      <c r="C3118" s="133"/>
      <c r="D3118" s="133"/>
      <c r="E3118" s="17"/>
      <c r="F3118" s="133"/>
      <c r="G3118" s="133"/>
      <c r="H3118" s="133"/>
      <c r="I3118" s="133"/>
      <c r="J3118" s="133"/>
      <c r="K3118" s="133"/>
      <c r="L3118" s="133"/>
      <c r="M3118" s="133"/>
      <c r="N3118" s="133"/>
      <c r="O3118" s="133"/>
      <c r="P3118" s="134"/>
      <c r="Q3118" s="146"/>
      <c r="R3118" s="17"/>
      <c r="S3118" s="17"/>
      <c r="T3118" s="75"/>
      <c r="U3118" s="75"/>
      <c r="V3118" s="75"/>
      <c r="W3118" s="75"/>
      <c r="X3118" s="75"/>
    </row>
    <row r="3119">
      <c r="A3119" s="17"/>
      <c r="B3119" s="17"/>
      <c r="C3119" s="133"/>
      <c r="D3119" s="133"/>
      <c r="E3119" s="17"/>
      <c r="F3119" s="133"/>
      <c r="G3119" s="133"/>
      <c r="H3119" s="133"/>
      <c r="I3119" s="133"/>
      <c r="J3119" s="133"/>
      <c r="K3119" s="133"/>
      <c r="L3119" s="133"/>
      <c r="M3119" s="133"/>
      <c r="N3119" s="133"/>
      <c r="O3119" s="133"/>
      <c r="P3119" s="134"/>
      <c r="Q3119" s="146"/>
      <c r="R3119" s="17"/>
      <c r="S3119" s="17"/>
      <c r="T3119" s="75"/>
      <c r="U3119" s="75"/>
      <c r="V3119" s="75"/>
      <c r="W3119" s="75"/>
      <c r="X3119" s="75"/>
    </row>
    <row r="3120">
      <c r="A3120" s="17"/>
      <c r="B3120" s="17"/>
      <c r="C3120" s="133"/>
      <c r="D3120" s="133"/>
      <c r="E3120" s="17"/>
      <c r="F3120" s="133"/>
      <c r="G3120" s="133"/>
      <c r="H3120" s="133"/>
      <c r="I3120" s="133"/>
      <c r="J3120" s="133"/>
      <c r="K3120" s="133"/>
      <c r="L3120" s="133"/>
      <c r="M3120" s="133"/>
      <c r="N3120" s="133"/>
      <c r="O3120" s="133"/>
      <c r="P3120" s="134"/>
      <c r="Q3120" s="146"/>
      <c r="R3120" s="17"/>
      <c r="S3120" s="17"/>
      <c r="T3120" s="75"/>
      <c r="U3120" s="75"/>
      <c r="V3120" s="75"/>
      <c r="W3120" s="75"/>
      <c r="X3120" s="75"/>
    </row>
    <row r="3121">
      <c r="A3121" s="17"/>
      <c r="B3121" s="17"/>
      <c r="C3121" s="133"/>
      <c r="D3121" s="133"/>
      <c r="E3121" s="17"/>
      <c r="F3121" s="133"/>
      <c r="G3121" s="133"/>
      <c r="H3121" s="133"/>
      <c r="I3121" s="133"/>
      <c r="J3121" s="133"/>
      <c r="K3121" s="133"/>
      <c r="L3121" s="133"/>
      <c r="M3121" s="133"/>
      <c r="N3121" s="133"/>
      <c r="O3121" s="133"/>
      <c r="P3121" s="134"/>
      <c r="Q3121" s="146"/>
      <c r="R3121" s="17"/>
      <c r="S3121" s="17"/>
      <c r="T3121" s="75"/>
      <c r="U3121" s="75"/>
      <c r="V3121" s="75"/>
      <c r="W3121" s="75"/>
      <c r="X3121" s="75"/>
    </row>
    <row r="3122">
      <c r="A3122" s="17"/>
      <c r="B3122" s="17"/>
      <c r="C3122" s="133"/>
      <c r="D3122" s="133"/>
      <c r="E3122" s="17"/>
      <c r="F3122" s="133"/>
      <c r="G3122" s="133"/>
      <c r="H3122" s="133"/>
      <c r="I3122" s="133"/>
      <c r="J3122" s="133"/>
      <c r="K3122" s="133"/>
      <c r="L3122" s="133"/>
      <c r="M3122" s="133"/>
      <c r="N3122" s="133"/>
      <c r="O3122" s="133"/>
      <c r="P3122" s="134"/>
      <c r="Q3122" s="146"/>
      <c r="R3122" s="17"/>
      <c r="S3122" s="17"/>
      <c r="T3122" s="75"/>
      <c r="U3122" s="75"/>
      <c r="V3122" s="75"/>
      <c r="W3122" s="75"/>
      <c r="X3122" s="75"/>
    </row>
    <row r="3123">
      <c r="A3123" s="17"/>
      <c r="B3123" s="17"/>
      <c r="C3123" s="133"/>
      <c r="D3123" s="133"/>
      <c r="E3123" s="17"/>
      <c r="F3123" s="133"/>
      <c r="G3123" s="133"/>
      <c r="H3123" s="133"/>
      <c r="I3123" s="133"/>
      <c r="J3123" s="133"/>
      <c r="K3123" s="133"/>
      <c r="L3123" s="133"/>
      <c r="M3123" s="133"/>
      <c r="N3123" s="133"/>
      <c r="O3123" s="133"/>
      <c r="P3123" s="134"/>
      <c r="Q3123" s="146"/>
      <c r="R3123" s="17"/>
      <c r="S3123" s="17"/>
      <c r="T3123" s="75"/>
      <c r="U3123" s="75"/>
      <c r="V3123" s="75"/>
      <c r="W3123" s="75"/>
      <c r="X3123" s="75"/>
    </row>
    <row r="3124">
      <c r="A3124" s="17"/>
      <c r="B3124" s="17"/>
      <c r="C3124" s="133"/>
      <c r="D3124" s="133"/>
      <c r="E3124" s="17"/>
      <c r="F3124" s="133"/>
      <c r="G3124" s="133"/>
      <c r="H3124" s="133"/>
      <c r="I3124" s="133"/>
      <c r="J3124" s="133"/>
      <c r="K3124" s="133"/>
      <c r="L3124" s="133"/>
      <c r="M3124" s="133"/>
      <c r="N3124" s="133"/>
      <c r="O3124" s="133"/>
      <c r="P3124" s="134"/>
      <c r="Q3124" s="146"/>
      <c r="R3124" s="17"/>
      <c r="S3124" s="17"/>
      <c r="T3124" s="75"/>
      <c r="U3124" s="75"/>
      <c r="V3124" s="75"/>
      <c r="W3124" s="75"/>
      <c r="X3124" s="75"/>
    </row>
    <row r="3125">
      <c r="A3125" s="17"/>
      <c r="B3125" s="17"/>
      <c r="C3125" s="133"/>
      <c r="D3125" s="133"/>
      <c r="E3125" s="17"/>
      <c r="F3125" s="133"/>
      <c r="G3125" s="133"/>
      <c r="H3125" s="133"/>
      <c r="I3125" s="133"/>
      <c r="J3125" s="133"/>
      <c r="K3125" s="133"/>
      <c r="L3125" s="133"/>
      <c r="M3125" s="133"/>
      <c r="N3125" s="133"/>
      <c r="O3125" s="133"/>
      <c r="P3125" s="134"/>
      <c r="Q3125" s="146"/>
      <c r="R3125" s="17"/>
      <c r="S3125" s="17"/>
      <c r="T3125" s="75"/>
      <c r="U3125" s="75"/>
      <c r="V3125" s="75"/>
      <c r="W3125" s="75"/>
      <c r="X3125" s="75"/>
    </row>
    <row r="3126">
      <c r="A3126" s="17"/>
      <c r="B3126" s="17"/>
      <c r="C3126" s="133"/>
      <c r="D3126" s="133"/>
      <c r="E3126" s="17"/>
      <c r="F3126" s="133"/>
      <c r="G3126" s="133"/>
      <c r="H3126" s="133"/>
      <c r="I3126" s="133"/>
      <c r="J3126" s="133"/>
      <c r="K3126" s="133"/>
      <c r="L3126" s="133"/>
      <c r="M3126" s="133"/>
      <c r="N3126" s="133"/>
      <c r="O3126" s="133"/>
      <c r="P3126" s="134"/>
      <c r="Q3126" s="146"/>
      <c r="R3126" s="17"/>
      <c r="S3126" s="17"/>
      <c r="T3126" s="75"/>
      <c r="U3126" s="75"/>
      <c r="V3126" s="75"/>
      <c r="W3126" s="75"/>
      <c r="X3126" s="75"/>
    </row>
    <row r="3127">
      <c r="A3127" s="17"/>
      <c r="B3127" s="17"/>
      <c r="C3127" s="133"/>
      <c r="D3127" s="133"/>
      <c r="E3127" s="17"/>
      <c r="F3127" s="133"/>
      <c r="G3127" s="133"/>
      <c r="H3127" s="133"/>
      <c r="I3127" s="133"/>
      <c r="J3127" s="133"/>
      <c r="K3127" s="133"/>
      <c r="L3127" s="133"/>
      <c r="M3127" s="133"/>
      <c r="N3127" s="133"/>
      <c r="O3127" s="133"/>
      <c r="P3127" s="134"/>
      <c r="Q3127" s="146"/>
      <c r="R3127" s="17"/>
      <c r="S3127" s="17"/>
      <c r="T3127" s="75"/>
      <c r="U3127" s="75"/>
      <c r="V3127" s="75"/>
      <c r="W3127" s="75"/>
      <c r="X3127" s="75"/>
    </row>
    <row r="3128">
      <c r="A3128" s="17"/>
      <c r="B3128" s="17"/>
      <c r="C3128" s="133"/>
      <c r="D3128" s="133"/>
      <c r="E3128" s="17"/>
      <c r="F3128" s="133"/>
      <c r="G3128" s="133"/>
      <c r="H3128" s="133"/>
      <c r="I3128" s="133"/>
      <c r="J3128" s="133"/>
      <c r="K3128" s="133"/>
      <c r="L3128" s="133"/>
      <c r="M3128" s="133"/>
      <c r="N3128" s="133"/>
      <c r="O3128" s="133"/>
      <c r="P3128" s="134"/>
      <c r="Q3128" s="146"/>
      <c r="R3128" s="17"/>
      <c r="S3128" s="17"/>
      <c r="T3128" s="75"/>
      <c r="U3128" s="75"/>
      <c r="V3128" s="75"/>
      <c r="W3128" s="75"/>
      <c r="X3128" s="75"/>
    </row>
    <row r="3129">
      <c r="A3129" s="17"/>
      <c r="B3129" s="17"/>
      <c r="C3129" s="133"/>
      <c r="D3129" s="133"/>
      <c r="E3129" s="17"/>
      <c r="F3129" s="133"/>
      <c r="G3129" s="133"/>
      <c r="H3129" s="133"/>
      <c r="I3129" s="133"/>
      <c r="J3129" s="133"/>
      <c r="K3129" s="133"/>
      <c r="L3129" s="133"/>
      <c r="M3129" s="133"/>
      <c r="N3129" s="133"/>
      <c r="O3129" s="133"/>
      <c r="P3129" s="134"/>
      <c r="Q3129" s="146"/>
      <c r="R3129" s="17"/>
      <c r="S3129" s="17"/>
      <c r="T3129" s="75"/>
      <c r="U3129" s="75"/>
      <c r="V3129" s="75"/>
      <c r="W3129" s="75"/>
      <c r="X3129" s="75"/>
    </row>
    <row r="3130">
      <c r="A3130" s="17"/>
      <c r="B3130" s="17"/>
      <c r="C3130" s="133"/>
      <c r="D3130" s="133"/>
      <c r="E3130" s="17"/>
      <c r="F3130" s="133"/>
      <c r="G3130" s="133"/>
      <c r="H3130" s="133"/>
      <c r="I3130" s="133"/>
      <c r="J3130" s="133"/>
      <c r="K3130" s="133"/>
      <c r="L3130" s="133"/>
      <c r="M3130" s="133"/>
      <c r="N3130" s="133"/>
      <c r="O3130" s="133"/>
      <c r="P3130" s="134"/>
      <c r="Q3130" s="146"/>
      <c r="R3130" s="17"/>
      <c r="S3130" s="17"/>
      <c r="T3130" s="75"/>
      <c r="U3130" s="75"/>
      <c r="V3130" s="75"/>
      <c r="W3130" s="75"/>
      <c r="X3130" s="75"/>
    </row>
    <row r="3131">
      <c r="A3131" s="17"/>
      <c r="B3131" s="17"/>
      <c r="C3131" s="133"/>
      <c r="D3131" s="133"/>
      <c r="E3131" s="17"/>
      <c r="F3131" s="133"/>
      <c r="G3131" s="133"/>
      <c r="H3131" s="133"/>
      <c r="I3131" s="133"/>
      <c r="J3131" s="133"/>
      <c r="K3131" s="133"/>
      <c r="L3131" s="133"/>
      <c r="M3131" s="133"/>
      <c r="N3131" s="133"/>
      <c r="O3131" s="133"/>
      <c r="P3131" s="134"/>
      <c r="Q3131" s="146"/>
      <c r="R3131" s="17"/>
      <c r="S3131" s="17"/>
      <c r="T3131" s="75"/>
      <c r="U3131" s="75"/>
      <c r="V3131" s="75"/>
      <c r="W3131" s="75"/>
      <c r="X3131" s="75"/>
    </row>
    <row r="3132">
      <c r="A3132" s="17"/>
      <c r="B3132" s="17"/>
      <c r="C3132" s="133"/>
      <c r="D3132" s="133"/>
      <c r="E3132" s="17"/>
      <c r="F3132" s="133"/>
      <c r="G3132" s="133"/>
      <c r="H3132" s="133"/>
      <c r="I3132" s="133"/>
      <c r="J3132" s="133"/>
      <c r="K3132" s="133"/>
      <c r="L3132" s="133"/>
      <c r="M3132" s="133"/>
      <c r="N3132" s="133"/>
      <c r="O3132" s="133"/>
      <c r="P3132" s="134"/>
      <c r="Q3132" s="146"/>
      <c r="R3132" s="17"/>
      <c r="S3132" s="17"/>
      <c r="T3132" s="75"/>
      <c r="U3132" s="75"/>
      <c r="V3132" s="75"/>
      <c r="W3132" s="75"/>
      <c r="X3132" s="75"/>
    </row>
    <row r="3133">
      <c r="A3133" s="17"/>
      <c r="B3133" s="17"/>
      <c r="C3133" s="133"/>
      <c r="D3133" s="133"/>
      <c r="E3133" s="17"/>
      <c r="F3133" s="133"/>
      <c r="G3133" s="133"/>
      <c r="H3133" s="133"/>
      <c r="I3133" s="133"/>
      <c r="J3133" s="133"/>
      <c r="K3133" s="133"/>
      <c r="L3133" s="133"/>
      <c r="M3133" s="133"/>
      <c r="N3133" s="133"/>
      <c r="O3133" s="133"/>
      <c r="P3133" s="134"/>
      <c r="Q3133" s="146"/>
      <c r="R3133" s="17"/>
      <c r="S3133" s="17"/>
      <c r="T3133" s="75"/>
      <c r="U3133" s="75"/>
      <c r="V3133" s="75"/>
      <c r="W3133" s="75"/>
      <c r="X3133" s="75"/>
    </row>
    <row r="3134">
      <c r="A3134" s="17"/>
      <c r="B3134" s="17"/>
      <c r="C3134" s="133"/>
      <c r="D3134" s="133"/>
      <c r="E3134" s="17"/>
      <c r="F3134" s="133"/>
      <c r="G3134" s="133"/>
      <c r="H3134" s="133"/>
      <c r="I3134" s="133"/>
      <c r="J3134" s="133"/>
      <c r="K3134" s="133"/>
      <c r="L3134" s="133"/>
      <c r="M3134" s="133"/>
      <c r="N3134" s="133"/>
      <c r="O3134" s="133"/>
      <c r="P3134" s="134"/>
      <c r="Q3134" s="146"/>
      <c r="R3134" s="17"/>
      <c r="S3134" s="17"/>
      <c r="T3134" s="75"/>
      <c r="U3134" s="75"/>
      <c r="V3134" s="75"/>
      <c r="W3134" s="75"/>
      <c r="X3134" s="75"/>
    </row>
    <row r="3135">
      <c r="A3135" s="17"/>
      <c r="B3135" s="17"/>
      <c r="C3135" s="133"/>
      <c r="D3135" s="133"/>
      <c r="E3135" s="17"/>
      <c r="F3135" s="133"/>
      <c r="G3135" s="133"/>
      <c r="H3135" s="133"/>
      <c r="I3135" s="133"/>
      <c r="J3135" s="133"/>
      <c r="K3135" s="133"/>
      <c r="L3135" s="133"/>
      <c r="M3135" s="133"/>
      <c r="N3135" s="133"/>
      <c r="O3135" s="133"/>
      <c r="P3135" s="134"/>
      <c r="Q3135" s="146"/>
      <c r="R3135" s="17"/>
      <c r="S3135" s="17"/>
      <c r="T3135" s="75"/>
      <c r="U3135" s="75"/>
      <c r="V3135" s="75"/>
      <c r="W3135" s="75"/>
      <c r="X3135" s="75"/>
    </row>
    <row r="3136">
      <c r="A3136" s="17"/>
      <c r="B3136" s="17"/>
      <c r="C3136" s="133"/>
      <c r="D3136" s="133"/>
      <c r="E3136" s="17"/>
      <c r="F3136" s="133"/>
      <c r="G3136" s="133"/>
      <c r="H3136" s="133"/>
      <c r="I3136" s="133"/>
      <c r="J3136" s="133"/>
      <c r="K3136" s="133"/>
      <c r="L3136" s="133"/>
      <c r="M3136" s="133"/>
      <c r="N3136" s="133"/>
      <c r="O3136" s="133"/>
      <c r="P3136" s="134"/>
      <c r="Q3136" s="146"/>
      <c r="R3136" s="17"/>
      <c r="S3136" s="17"/>
      <c r="T3136" s="75"/>
      <c r="U3136" s="75"/>
      <c r="V3136" s="75"/>
      <c r="W3136" s="75"/>
      <c r="X3136" s="75"/>
    </row>
    <row r="3137">
      <c r="A3137" s="17"/>
      <c r="B3137" s="17"/>
      <c r="C3137" s="133"/>
      <c r="D3137" s="133"/>
      <c r="E3137" s="17"/>
      <c r="F3137" s="133"/>
      <c r="G3137" s="133"/>
      <c r="H3137" s="133"/>
      <c r="I3137" s="133"/>
      <c r="J3137" s="133"/>
      <c r="K3137" s="133"/>
      <c r="L3137" s="133"/>
      <c r="M3137" s="133"/>
      <c r="N3137" s="133"/>
      <c r="O3137" s="133"/>
      <c r="P3137" s="134"/>
      <c r="Q3137" s="146"/>
      <c r="R3137" s="17"/>
      <c r="S3137" s="17"/>
      <c r="T3137" s="75"/>
      <c r="U3137" s="75"/>
      <c r="V3137" s="75"/>
      <c r="W3137" s="75"/>
      <c r="X3137" s="75"/>
    </row>
    <row r="3138">
      <c r="A3138" s="17"/>
      <c r="B3138" s="17"/>
      <c r="C3138" s="133"/>
      <c r="D3138" s="133"/>
      <c r="E3138" s="17"/>
      <c r="F3138" s="133"/>
      <c r="G3138" s="133"/>
      <c r="H3138" s="133"/>
      <c r="I3138" s="133"/>
      <c r="J3138" s="133"/>
      <c r="K3138" s="133"/>
      <c r="L3138" s="133"/>
      <c r="M3138" s="133"/>
      <c r="N3138" s="133"/>
      <c r="O3138" s="133"/>
      <c r="P3138" s="134"/>
      <c r="Q3138" s="146"/>
      <c r="R3138" s="17"/>
      <c r="S3138" s="17"/>
      <c r="T3138" s="75"/>
      <c r="U3138" s="75"/>
      <c r="V3138" s="75"/>
      <c r="W3138" s="75"/>
      <c r="X3138" s="75"/>
    </row>
    <row r="3139">
      <c r="A3139" s="17"/>
      <c r="B3139" s="17"/>
      <c r="C3139" s="133"/>
      <c r="D3139" s="133"/>
      <c r="E3139" s="17"/>
      <c r="F3139" s="133"/>
      <c r="G3139" s="133"/>
      <c r="H3139" s="133"/>
      <c r="I3139" s="133"/>
      <c r="J3139" s="133"/>
      <c r="K3139" s="133"/>
      <c r="L3139" s="133"/>
      <c r="M3139" s="133"/>
      <c r="N3139" s="133"/>
      <c r="O3139" s="133"/>
      <c r="P3139" s="134"/>
      <c r="Q3139" s="146"/>
      <c r="R3139" s="17"/>
      <c r="S3139" s="17"/>
      <c r="T3139" s="75"/>
      <c r="U3139" s="75"/>
      <c r="V3139" s="75"/>
      <c r="W3139" s="75"/>
      <c r="X3139" s="75"/>
    </row>
    <row r="3140">
      <c r="A3140" s="17"/>
      <c r="B3140" s="17"/>
      <c r="C3140" s="133"/>
      <c r="D3140" s="133"/>
      <c r="E3140" s="17"/>
      <c r="F3140" s="133"/>
      <c r="G3140" s="133"/>
      <c r="H3140" s="133"/>
      <c r="I3140" s="133"/>
      <c r="J3140" s="133"/>
      <c r="K3140" s="133"/>
      <c r="L3140" s="133"/>
      <c r="M3140" s="133"/>
      <c r="N3140" s="133"/>
      <c r="O3140" s="133"/>
      <c r="P3140" s="134"/>
      <c r="Q3140" s="146"/>
      <c r="R3140" s="17"/>
      <c r="S3140" s="17"/>
      <c r="T3140" s="75"/>
      <c r="U3140" s="75"/>
      <c r="V3140" s="75"/>
      <c r="W3140" s="75"/>
      <c r="X3140" s="75"/>
    </row>
    <row r="3141">
      <c r="A3141" s="17"/>
      <c r="B3141" s="17"/>
      <c r="C3141" s="133"/>
      <c r="D3141" s="133"/>
      <c r="E3141" s="17"/>
      <c r="F3141" s="133"/>
      <c r="G3141" s="133"/>
      <c r="H3141" s="133"/>
      <c r="I3141" s="133"/>
      <c r="J3141" s="133"/>
      <c r="K3141" s="133"/>
      <c r="L3141" s="133"/>
      <c r="M3141" s="133"/>
      <c r="N3141" s="133"/>
      <c r="O3141" s="133"/>
      <c r="P3141" s="134"/>
      <c r="Q3141" s="146"/>
      <c r="R3141" s="17"/>
      <c r="S3141" s="17"/>
      <c r="T3141" s="75"/>
      <c r="U3141" s="75"/>
      <c r="V3141" s="75"/>
      <c r="W3141" s="75"/>
      <c r="X3141" s="75"/>
    </row>
    <row r="3142">
      <c r="A3142" s="17"/>
      <c r="B3142" s="17"/>
      <c r="C3142" s="133"/>
      <c r="D3142" s="133"/>
      <c r="E3142" s="17"/>
      <c r="F3142" s="133"/>
      <c r="G3142" s="133"/>
      <c r="H3142" s="133"/>
      <c r="I3142" s="133"/>
      <c r="J3142" s="133"/>
      <c r="K3142" s="133"/>
      <c r="L3142" s="133"/>
      <c r="M3142" s="133"/>
      <c r="N3142" s="133"/>
      <c r="O3142" s="133"/>
      <c r="P3142" s="134"/>
      <c r="Q3142" s="146"/>
      <c r="R3142" s="17"/>
      <c r="S3142" s="17"/>
      <c r="T3142" s="75"/>
      <c r="U3142" s="75"/>
      <c r="V3142" s="75"/>
      <c r="W3142" s="75"/>
      <c r="X3142" s="75"/>
    </row>
    <row r="3143">
      <c r="A3143" s="17"/>
      <c r="B3143" s="17"/>
      <c r="C3143" s="133"/>
      <c r="D3143" s="133"/>
      <c r="E3143" s="17"/>
      <c r="F3143" s="133"/>
      <c r="G3143" s="133"/>
      <c r="H3143" s="133"/>
      <c r="I3143" s="133"/>
      <c r="J3143" s="133"/>
      <c r="K3143" s="133"/>
      <c r="L3143" s="133"/>
      <c r="M3143" s="133"/>
      <c r="N3143" s="133"/>
      <c r="O3143" s="133"/>
      <c r="P3143" s="134"/>
      <c r="Q3143" s="146"/>
      <c r="R3143" s="17"/>
      <c r="S3143" s="17"/>
      <c r="T3143" s="75"/>
      <c r="U3143" s="75"/>
      <c r="V3143" s="75"/>
      <c r="W3143" s="75"/>
      <c r="X3143" s="75"/>
    </row>
    <row r="3144">
      <c r="A3144" s="17"/>
      <c r="B3144" s="17"/>
      <c r="C3144" s="133"/>
      <c r="D3144" s="133"/>
      <c r="E3144" s="17"/>
      <c r="F3144" s="133"/>
      <c r="G3144" s="133"/>
      <c r="H3144" s="133"/>
      <c r="I3144" s="133"/>
      <c r="J3144" s="133"/>
      <c r="K3144" s="133"/>
      <c r="L3144" s="133"/>
      <c r="M3144" s="133"/>
      <c r="N3144" s="133"/>
      <c r="O3144" s="133"/>
      <c r="P3144" s="134"/>
      <c r="Q3144" s="146"/>
      <c r="R3144" s="17"/>
      <c r="S3144" s="17"/>
      <c r="T3144" s="75"/>
      <c r="U3144" s="75"/>
      <c r="V3144" s="75"/>
      <c r="W3144" s="75"/>
      <c r="X3144" s="75"/>
    </row>
    <row r="3145">
      <c r="A3145" s="17"/>
      <c r="B3145" s="17"/>
      <c r="C3145" s="133"/>
      <c r="D3145" s="133"/>
      <c r="E3145" s="17"/>
      <c r="F3145" s="133"/>
      <c r="G3145" s="133"/>
      <c r="H3145" s="133"/>
      <c r="I3145" s="133"/>
      <c r="J3145" s="133"/>
      <c r="K3145" s="133"/>
      <c r="L3145" s="133"/>
      <c r="M3145" s="133"/>
      <c r="N3145" s="133"/>
      <c r="O3145" s="133"/>
      <c r="P3145" s="134"/>
      <c r="Q3145" s="146"/>
      <c r="R3145" s="17"/>
      <c r="S3145" s="17"/>
      <c r="T3145" s="75"/>
      <c r="U3145" s="75"/>
      <c r="V3145" s="75"/>
      <c r="W3145" s="75"/>
      <c r="X3145" s="75"/>
    </row>
    <row r="3146">
      <c r="A3146" s="17"/>
      <c r="B3146" s="17"/>
      <c r="C3146" s="133"/>
      <c r="D3146" s="133"/>
      <c r="E3146" s="17"/>
      <c r="F3146" s="133"/>
      <c r="G3146" s="133"/>
      <c r="H3146" s="133"/>
      <c r="I3146" s="133"/>
      <c r="J3146" s="133"/>
      <c r="K3146" s="133"/>
      <c r="L3146" s="133"/>
      <c r="M3146" s="133"/>
      <c r="N3146" s="133"/>
      <c r="O3146" s="133"/>
      <c r="P3146" s="134"/>
      <c r="Q3146" s="146"/>
      <c r="R3146" s="17"/>
      <c r="S3146" s="17"/>
      <c r="T3146" s="75"/>
      <c r="U3146" s="75"/>
      <c r="V3146" s="75"/>
      <c r="W3146" s="75"/>
      <c r="X3146" s="75"/>
    </row>
    <row r="3147">
      <c r="A3147" s="17"/>
      <c r="B3147" s="17"/>
      <c r="C3147" s="133"/>
      <c r="D3147" s="133"/>
      <c r="E3147" s="17"/>
      <c r="F3147" s="133"/>
      <c r="G3147" s="133"/>
      <c r="H3147" s="133"/>
      <c r="I3147" s="133"/>
      <c r="J3147" s="133"/>
      <c r="K3147" s="133"/>
      <c r="L3147" s="133"/>
      <c r="M3147" s="133"/>
      <c r="N3147" s="133"/>
      <c r="O3147" s="133"/>
      <c r="P3147" s="134"/>
      <c r="Q3147" s="146"/>
      <c r="R3147" s="17"/>
      <c r="S3147" s="17"/>
      <c r="T3147" s="75"/>
      <c r="U3147" s="75"/>
      <c r="V3147" s="75"/>
      <c r="W3147" s="75"/>
      <c r="X3147" s="75"/>
    </row>
    <row r="3148">
      <c r="A3148" s="17"/>
      <c r="B3148" s="17"/>
      <c r="C3148" s="133"/>
      <c r="D3148" s="133"/>
      <c r="E3148" s="17"/>
      <c r="F3148" s="133"/>
      <c r="G3148" s="133"/>
      <c r="H3148" s="133"/>
      <c r="I3148" s="133"/>
      <c r="J3148" s="133"/>
      <c r="K3148" s="133"/>
      <c r="L3148" s="133"/>
      <c r="M3148" s="133"/>
      <c r="N3148" s="133"/>
      <c r="O3148" s="133"/>
      <c r="P3148" s="134"/>
      <c r="Q3148" s="146"/>
      <c r="R3148" s="17"/>
      <c r="S3148" s="17"/>
      <c r="T3148" s="75"/>
      <c r="U3148" s="75"/>
      <c r="V3148" s="75"/>
      <c r="W3148" s="75"/>
      <c r="X3148" s="75"/>
    </row>
    <row r="3149">
      <c r="A3149" s="17"/>
      <c r="B3149" s="17"/>
      <c r="C3149" s="133"/>
      <c r="D3149" s="133"/>
      <c r="E3149" s="17"/>
      <c r="F3149" s="133"/>
      <c r="G3149" s="133"/>
      <c r="H3149" s="133"/>
      <c r="I3149" s="133"/>
      <c r="J3149" s="133"/>
      <c r="K3149" s="133"/>
      <c r="L3149" s="133"/>
      <c r="M3149" s="133"/>
      <c r="N3149" s="133"/>
      <c r="O3149" s="133"/>
      <c r="P3149" s="134"/>
      <c r="Q3149" s="146"/>
      <c r="R3149" s="17"/>
      <c r="S3149" s="17"/>
      <c r="T3149" s="75"/>
      <c r="U3149" s="75"/>
      <c r="V3149" s="75"/>
      <c r="W3149" s="75"/>
      <c r="X3149" s="75"/>
    </row>
    <row r="3150">
      <c r="A3150" s="17"/>
      <c r="B3150" s="17"/>
      <c r="C3150" s="133"/>
      <c r="D3150" s="133"/>
      <c r="E3150" s="17"/>
      <c r="F3150" s="133"/>
      <c r="G3150" s="133"/>
      <c r="H3150" s="133"/>
      <c r="I3150" s="133"/>
      <c r="J3150" s="133"/>
      <c r="K3150" s="133"/>
      <c r="L3150" s="133"/>
      <c r="M3150" s="133"/>
      <c r="N3150" s="133"/>
      <c r="O3150" s="133"/>
      <c r="P3150" s="134"/>
      <c r="Q3150" s="146"/>
      <c r="R3150" s="17"/>
      <c r="S3150" s="17"/>
      <c r="T3150" s="75"/>
      <c r="U3150" s="75"/>
      <c r="V3150" s="75"/>
      <c r="W3150" s="75"/>
      <c r="X3150" s="75"/>
    </row>
    <row r="3151">
      <c r="A3151" s="17"/>
      <c r="B3151" s="17"/>
      <c r="C3151" s="133"/>
      <c r="D3151" s="133"/>
      <c r="E3151" s="17"/>
      <c r="F3151" s="133"/>
      <c r="G3151" s="133"/>
      <c r="H3151" s="133"/>
      <c r="I3151" s="133"/>
      <c r="J3151" s="133"/>
      <c r="K3151" s="133"/>
      <c r="L3151" s="133"/>
      <c r="M3151" s="133"/>
      <c r="N3151" s="133"/>
      <c r="O3151" s="133"/>
      <c r="P3151" s="134"/>
      <c r="Q3151" s="146"/>
      <c r="R3151" s="17"/>
      <c r="S3151" s="17"/>
      <c r="T3151" s="75"/>
      <c r="U3151" s="75"/>
      <c r="V3151" s="75"/>
      <c r="W3151" s="75"/>
      <c r="X3151" s="75"/>
    </row>
    <row r="3152">
      <c r="A3152" s="17"/>
      <c r="B3152" s="17"/>
      <c r="C3152" s="133"/>
      <c r="D3152" s="133"/>
      <c r="E3152" s="17"/>
      <c r="F3152" s="133"/>
      <c r="G3152" s="133"/>
      <c r="H3152" s="133"/>
      <c r="I3152" s="133"/>
      <c r="J3152" s="133"/>
      <c r="K3152" s="133"/>
      <c r="L3152" s="133"/>
      <c r="M3152" s="133"/>
      <c r="N3152" s="133"/>
      <c r="O3152" s="133"/>
      <c r="P3152" s="134"/>
      <c r="Q3152" s="146"/>
      <c r="R3152" s="17"/>
      <c r="S3152" s="17"/>
      <c r="T3152" s="75"/>
      <c r="U3152" s="75"/>
      <c r="V3152" s="75"/>
      <c r="W3152" s="75"/>
      <c r="X3152" s="75"/>
    </row>
    <row r="3153">
      <c r="A3153" s="17"/>
      <c r="B3153" s="17"/>
      <c r="C3153" s="133"/>
      <c r="D3153" s="133"/>
      <c r="E3153" s="17"/>
      <c r="F3153" s="133"/>
      <c r="G3153" s="133"/>
      <c r="H3153" s="133"/>
      <c r="I3153" s="133"/>
      <c r="J3153" s="133"/>
      <c r="K3153" s="133"/>
      <c r="L3153" s="133"/>
      <c r="M3153" s="133"/>
      <c r="N3153" s="133"/>
      <c r="O3153" s="133"/>
      <c r="P3153" s="134"/>
      <c r="Q3153" s="146"/>
      <c r="R3153" s="17"/>
      <c r="S3153" s="17"/>
      <c r="T3153" s="75"/>
      <c r="U3153" s="75"/>
      <c r="V3153" s="75"/>
      <c r="W3153" s="75"/>
      <c r="X3153" s="75"/>
    </row>
    <row r="3154">
      <c r="A3154" s="17"/>
      <c r="B3154" s="17"/>
      <c r="C3154" s="133"/>
      <c r="D3154" s="133"/>
      <c r="E3154" s="17"/>
      <c r="F3154" s="133"/>
      <c r="G3154" s="133"/>
      <c r="H3154" s="133"/>
      <c r="I3154" s="133"/>
      <c r="J3154" s="133"/>
      <c r="K3154" s="133"/>
      <c r="L3154" s="133"/>
      <c r="M3154" s="133"/>
      <c r="N3154" s="133"/>
      <c r="O3154" s="133"/>
      <c r="P3154" s="134"/>
      <c r="Q3154" s="146"/>
      <c r="R3154" s="17"/>
      <c r="S3154" s="17"/>
      <c r="T3154" s="75"/>
      <c r="U3154" s="75"/>
      <c r="V3154" s="75"/>
      <c r="W3154" s="75"/>
      <c r="X3154" s="75"/>
    </row>
    <row r="3155">
      <c r="A3155" s="17"/>
      <c r="B3155" s="17"/>
      <c r="C3155" s="133"/>
      <c r="D3155" s="133"/>
      <c r="E3155" s="17"/>
      <c r="F3155" s="133"/>
      <c r="G3155" s="133"/>
      <c r="H3155" s="133"/>
      <c r="I3155" s="133"/>
      <c r="J3155" s="133"/>
      <c r="K3155" s="133"/>
      <c r="L3155" s="133"/>
      <c r="M3155" s="133"/>
      <c r="N3155" s="133"/>
      <c r="O3155" s="133"/>
      <c r="P3155" s="134"/>
      <c r="Q3155" s="146"/>
      <c r="R3155" s="17"/>
      <c r="S3155" s="17"/>
      <c r="T3155" s="75"/>
      <c r="U3155" s="75"/>
      <c r="V3155" s="75"/>
      <c r="W3155" s="75"/>
      <c r="X3155" s="75"/>
    </row>
    <row r="3156">
      <c r="A3156" s="17"/>
      <c r="B3156" s="17"/>
      <c r="C3156" s="133"/>
      <c r="D3156" s="133"/>
      <c r="E3156" s="17"/>
      <c r="F3156" s="133"/>
      <c r="G3156" s="133"/>
      <c r="H3156" s="133"/>
      <c r="I3156" s="133"/>
      <c r="J3156" s="133"/>
      <c r="K3156" s="133"/>
      <c r="L3156" s="133"/>
      <c r="M3156" s="133"/>
      <c r="N3156" s="133"/>
      <c r="O3156" s="133"/>
      <c r="P3156" s="134"/>
      <c r="Q3156" s="146"/>
      <c r="R3156" s="17"/>
      <c r="S3156" s="17"/>
      <c r="T3156" s="75"/>
      <c r="U3156" s="75"/>
      <c r="V3156" s="75"/>
      <c r="W3156" s="75"/>
      <c r="X3156" s="75"/>
    </row>
    <row r="3157">
      <c r="A3157" s="17"/>
      <c r="B3157" s="17"/>
      <c r="C3157" s="133"/>
      <c r="D3157" s="133"/>
      <c r="E3157" s="17"/>
      <c r="F3157" s="133"/>
      <c r="G3157" s="133"/>
      <c r="H3157" s="133"/>
      <c r="I3157" s="133"/>
      <c r="J3157" s="133"/>
      <c r="K3157" s="133"/>
      <c r="L3157" s="133"/>
      <c r="M3157" s="133"/>
      <c r="N3157" s="133"/>
      <c r="O3157" s="133"/>
      <c r="P3157" s="134"/>
      <c r="Q3157" s="146"/>
      <c r="R3157" s="17"/>
      <c r="S3157" s="17"/>
      <c r="T3157" s="75"/>
      <c r="U3157" s="75"/>
      <c r="V3157" s="75"/>
      <c r="W3157" s="75"/>
      <c r="X3157" s="75"/>
    </row>
    <row r="3158">
      <c r="A3158" s="17"/>
      <c r="B3158" s="17"/>
      <c r="C3158" s="133"/>
      <c r="D3158" s="133"/>
      <c r="E3158" s="17"/>
      <c r="F3158" s="133"/>
      <c r="G3158" s="133"/>
      <c r="H3158" s="133"/>
      <c r="I3158" s="133"/>
      <c r="J3158" s="133"/>
      <c r="K3158" s="133"/>
      <c r="L3158" s="133"/>
      <c r="M3158" s="133"/>
      <c r="N3158" s="133"/>
      <c r="O3158" s="133"/>
      <c r="P3158" s="134"/>
      <c r="Q3158" s="146"/>
      <c r="R3158" s="17"/>
      <c r="S3158" s="17"/>
      <c r="T3158" s="75"/>
      <c r="U3158" s="75"/>
      <c r="V3158" s="75"/>
      <c r="W3158" s="75"/>
      <c r="X3158" s="75"/>
    </row>
    <row r="3159">
      <c r="A3159" s="17"/>
      <c r="B3159" s="17"/>
      <c r="C3159" s="133"/>
      <c r="D3159" s="133"/>
      <c r="E3159" s="17"/>
      <c r="F3159" s="133"/>
      <c r="G3159" s="133"/>
      <c r="H3159" s="133"/>
      <c r="I3159" s="133"/>
      <c r="J3159" s="133"/>
      <c r="K3159" s="133"/>
      <c r="L3159" s="133"/>
      <c r="M3159" s="133"/>
      <c r="N3159" s="133"/>
      <c r="O3159" s="133"/>
      <c r="P3159" s="134"/>
      <c r="Q3159" s="146"/>
      <c r="R3159" s="17"/>
      <c r="S3159" s="17"/>
      <c r="T3159" s="75"/>
      <c r="U3159" s="75"/>
      <c r="V3159" s="75"/>
      <c r="W3159" s="75"/>
      <c r="X3159" s="75"/>
    </row>
    <row r="3160">
      <c r="A3160" s="17"/>
      <c r="B3160" s="17"/>
      <c r="C3160" s="133"/>
      <c r="D3160" s="133"/>
      <c r="E3160" s="17"/>
      <c r="F3160" s="133"/>
      <c r="G3160" s="133"/>
      <c r="H3160" s="133"/>
      <c r="I3160" s="133"/>
      <c r="J3160" s="133"/>
      <c r="K3160" s="133"/>
      <c r="L3160" s="133"/>
      <c r="M3160" s="133"/>
      <c r="N3160" s="133"/>
      <c r="O3160" s="133"/>
      <c r="P3160" s="134"/>
      <c r="Q3160" s="146"/>
      <c r="R3160" s="17"/>
      <c r="S3160" s="17"/>
      <c r="T3160" s="75"/>
      <c r="U3160" s="75"/>
      <c r="V3160" s="75"/>
      <c r="W3160" s="75"/>
      <c r="X3160" s="75"/>
    </row>
    <row r="3161">
      <c r="A3161" s="17"/>
      <c r="B3161" s="17"/>
      <c r="C3161" s="133"/>
      <c r="D3161" s="133"/>
      <c r="E3161" s="17"/>
      <c r="F3161" s="133"/>
      <c r="G3161" s="133"/>
      <c r="H3161" s="133"/>
      <c r="I3161" s="133"/>
      <c r="J3161" s="133"/>
      <c r="K3161" s="133"/>
      <c r="L3161" s="133"/>
      <c r="M3161" s="133"/>
      <c r="N3161" s="133"/>
      <c r="O3161" s="133"/>
      <c r="P3161" s="134"/>
      <c r="Q3161" s="146"/>
      <c r="R3161" s="17"/>
      <c r="S3161" s="17"/>
      <c r="T3161" s="75"/>
      <c r="U3161" s="75"/>
      <c r="V3161" s="75"/>
      <c r="W3161" s="75"/>
      <c r="X3161" s="75"/>
    </row>
    <row r="3162">
      <c r="A3162" s="17"/>
      <c r="B3162" s="17"/>
      <c r="C3162" s="133"/>
      <c r="D3162" s="133"/>
      <c r="E3162" s="17"/>
      <c r="F3162" s="133"/>
      <c r="G3162" s="133"/>
      <c r="H3162" s="133"/>
      <c r="I3162" s="133"/>
      <c r="J3162" s="133"/>
      <c r="K3162" s="133"/>
      <c r="L3162" s="133"/>
      <c r="M3162" s="133"/>
      <c r="N3162" s="133"/>
      <c r="O3162" s="133"/>
      <c r="P3162" s="134"/>
      <c r="Q3162" s="146"/>
      <c r="R3162" s="17"/>
      <c r="S3162" s="17"/>
      <c r="T3162" s="75"/>
      <c r="U3162" s="75"/>
      <c r="V3162" s="75"/>
      <c r="W3162" s="75"/>
      <c r="X3162" s="75"/>
    </row>
    <row r="3163">
      <c r="A3163" s="17"/>
      <c r="B3163" s="17"/>
      <c r="C3163" s="133"/>
      <c r="D3163" s="133"/>
      <c r="E3163" s="17"/>
      <c r="F3163" s="133"/>
      <c r="G3163" s="133"/>
      <c r="H3163" s="133"/>
      <c r="I3163" s="133"/>
      <c r="J3163" s="133"/>
      <c r="K3163" s="133"/>
      <c r="L3163" s="133"/>
      <c r="M3163" s="133"/>
      <c r="N3163" s="133"/>
      <c r="O3163" s="133"/>
      <c r="P3163" s="134"/>
      <c r="Q3163" s="146"/>
      <c r="R3163" s="17"/>
      <c r="S3163" s="17"/>
      <c r="T3163" s="75"/>
      <c r="U3163" s="75"/>
      <c r="V3163" s="75"/>
      <c r="W3163" s="75"/>
      <c r="X3163" s="75"/>
    </row>
    <row r="3164">
      <c r="A3164" s="17"/>
      <c r="B3164" s="17"/>
      <c r="C3164" s="133"/>
      <c r="D3164" s="133"/>
      <c r="E3164" s="17"/>
      <c r="F3164" s="133"/>
      <c r="G3164" s="133"/>
      <c r="H3164" s="133"/>
      <c r="I3164" s="133"/>
      <c r="J3164" s="133"/>
      <c r="K3164" s="133"/>
      <c r="L3164" s="133"/>
      <c r="M3164" s="133"/>
      <c r="N3164" s="133"/>
      <c r="O3164" s="133"/>
      <c r="P3164" s="134"/>
      <c r="Q3164" s="146"/>
      <c r="R3164" s="17"/>
      <c r="S3164" s="17"/>
      <c r="T3164" s="75"/>
      <c r="U3164" s="75"/>
      <c r="V3164" s="75"/>
      <c r="W3164" s="75"/>
      <c r="X3164" s="75"/>
    </row>
    <row r="3165">
      <c r="A3165" s="17"/>
      <c r="B3165" s="17"/>
      <c r="C3165" s="133"/>
      <c r="D3165" s="133"/>
      <c r="E3165" s="17"/>
      <c r="F3165" s="133"/>
      <c r="G3165" s="133"/>
      <c r="H3165" s="133"/>
      <c r="I3165" s="133"/>
      <c r="J3165" s="133"/>
      <c r="K3165" s="133"/>
      <c r="L3165" s="133"/>
      <c r="M3165" s="133"/>
      <c r="N3165" s="133"/>
      <c r="O3165" s="133"/>
      <c r="P3165" s="134"/>
      <c r="Q3165" s="146"/>
      <c r="R3165" s="17"/>
      <c r="S3165" s="17"/>
      <c r="T3165" s="75"/>
      <c r="U3165" s="75"/>
      <c r="V3165" s="75"/>
      <c r="W3165" s="75"/>
      <c r="X3165" s="75"/>
    </row>
    <row r="3166">
      <c r="A3166" s="17"/>
      <c r="B3166" s="17"/>
      <c r="C3166" s="133"/>
      <c r="D3166" s="133"/>
      <c r="E3166" s="17"/>
      <c r="F3166" s="133"/>
      <c r="G3166" s="133"/>
      <c r="H3166" s="133"/>
      <c r="I3166" s="133"/>
      <c r="J3166" s="133"/>
      <c r="K3166" s="133"/>
      <c r="L3166" s="133"/>
      <c r="M3166" s="133"/>
      <c r="N3166" s="133"/>
      <c r="O3166" s="133"/>
      <c r="P3166" s="134"/>
      <c r="Q3166" s="146"/>
      <c r="R3166" s="17"/>
      <c r="S3166" s="17"/>
      <c r="T3166" s="75"/>
      <c r="U3166" s="75"/>
      <c r="V3166" s="75"/>
      <c r="W3166" s="75"/>
      <c r="X3166" s="75"/>
    </row>
    <row r="3167">
      <c r="A3167" s="17"/>
      <c r="B3167" s="17"/>
      <c r="C3167" s="133"/>
      <c r="D3167" s="133"/>
      <c r="E3167" s="17"/>
      <c r="F3167" s="133"/>
      <c r="G3167" s="133"/>
      <c r="H3167" s="133"/>
      <c r="I3167" s="133"/>
      <c r="J3167" s="133"/>
      <c r="K3167" s="133"/>
      <c r="L3167" s="133"/>
      <c r="M3167" s="133"/>
      <c r="N3167" s="133"/>
      <c r="O3167" s="133"/>
      <c r="P3167" s="134"/>
      <c r="Q3167" s="146"/>
      <c r="R3167" s="17"/>
      <c r="S3167" s="17"/>
      <c r="T3167" s="75"/>
      <c r="U3167" s="75"/>
      <c r="V3167" s="75"/>
      <c r="W3167" s="75"/>
      <c r="X3167" s="75"/>
    </row>
    <row r="3168">
      <c r="A3168" s="17"/>
      <c r="B3168" s="17"/>
      <c r="C3168" s="133"/>
      <c r="D3168" s="133"/>
      <c r="E3168" s="17"/>
      <c r="F3168" s="133"/>
      <c r="G3168" s="133"/>
      <c r="H3168" s="133"/>
      <c r="I3168" s="133"/>
      <c r="J3168" s="133"/>
      <c r="K3168" s="133"/>
      <c r="L3168" s="133"/>
      <c r="M3168" s="133"/>
      <c r="N3168" s="133"/>
      <c r="O3168" s="133"/>
      <c r="P3168" s="134"/>
      <c r="Q3168" s="146"/>
      <c r="R3168" s="17"/>
      <c r="S3168" s="17"/>
      <c r="T3168" s="75"/>
      <c r="U3168" s="75"/>
      <c r="V3168" s="75"/>
      <c r="W3168" s="75"/>
      <c r="X3168" s="75"/>
    </row>
    <row r="3169">
      <c r="A3169" s="17"/>
      <c r="B3169" s="17"/>
      <c r="C3169" s="133"/>
      <c r="D3169" s="133"/>
      <c r="E3169" s="17"/>
      <c r="F3169" s="133"/>
      <c r="G3169" s="133"/>
      <c r="H3169" s="133"/>
      <c r="I3169" s="133"/>
      <c r="J3169" s="133"/>
      <c r="K3169" s="133"/>
      <c r="L3169" s="133"/>
      <c r="M3169" s="133"/>
      <c r="N3169" s="133"/>
      <c r="O3169" s="133"/>
      <c r="P3169" s="134"/>
      <c r="Q3169" s="146"/>
      <c r="R3169" s="17"/>
      <c r="S3169" s="17"/>
      <c r="T3169" s="75"/>
      <c r="U3169" s="75"/>
      <c r="V3169" s="75"/>
      <c r="W3169" s="75"/>
      <c r="X3169" s="75"/>
    </row>
    <row r="3170">
      <c r="A3170" s="17"/>
      <c r="B3170" s="17"/>
      <c r="C3170" s="133"/>
      <c r="D3170" s="133"/>
      <c r="E3170" s="17"/>
      <c r="F3170" s="133"/>
      <c r="G3170" s="133"/>
      <c r="H3170" s="133"/>
      <c r="I3170" s="133"/>
      <c r="J3170" s="133"/>
      <c r="K3170" s="133"/>
      <c r="L3170" s="133"/>
      <c r="M3170" s="133"/>
      <c r="N3170" s="133"/>
      <c r="O3170" s="133"/>
      <c r="P3170" s="134"/>
      <c r="Q3170" s="146"/>
      <c r="R3170" s="17"/>
      <c r="S3170" s="17"/>
      <c r="T3170" s="75"/>
      <c r="U3170" s="75"/>
      <c r="V3170" s="75"/>
      <c r="W3170" s="75"/>
      <c r="X3170" s="75"/>
    </row>
    <row r="3171">
      <c r="A3171" s="17"/>
      <c r="B3171" s="17"/>
      <c r="C3171" s="133"/>
      <c r="D3171" s="133"/>
      <c r="E3171" s="17"/>
      <c r="F3171" s="133"/>
      <c r="G3171" s="133"/>
      <c r="H3171" s="133"/>
      <c r="I3171" s="133"/>
      <c r="J3171" s="133"/>
      <c r="K3171" s="133"/>
      <c r="L3171" s="133"/>
      <c r="M3171" s="133"/>
      <c r="N3171" s="133"/>
      <c r="O3171" s="133"/>
      <c r="P3171" s="134"/>
      <c r="Q3171" s="146"/>
      <c r="R3171" s="17"/>
      <c r="S3171" s="17"/>
      <c r="T3171" s="75"/>
      <c r="U3171" s="75"/>
      <c r="V3171" s="75"/>
      <c r="W3171" s="75"/>
      <c r="X3171" s="75"/>
    </row>
    <row r="3172">
      <c r="A3172" s="17"/>
      <c r="B3172" s="17"/>
      <c r="C3172" s="133"/>
      <c r="D3172" s="133"/>
      <c r="E3172" s="17"/>
      <c r="F3172" s="133"/>
      <c r="G3172" s="133"/>
      <c r="H3172" s="133"/>
      <c r="I3172" s="133"/>
      <c r="J3172" s="133"/>
      <c r="K3172" s="133"/>
      <c r="L3172" s="133"/>
      <c r="M3172" s="133"/>
      <c r="N3172" s="133"/>
      <c r="O3172" s="133"/>
      <c r="P3172" s="134"/>
      <c r="Q3172" s="146"/>
      <c r="R3172" s="17"/>
      <c r="S3172" s="17"/>
      <c r="T3172" s="75"/>
      <c r="U3172" s="75"/>
      <c r="V3172" s="75"/>
      <c r="W3172" s="75"/>
      <c r="X3172" s="75"/>
    </row>
    <row r="3173">
      <c r="A3173" s="17"/>
      <c r="B3173" s="17"/>
      <c r="C3173" s="133"/>
      <c r="D3173" s="133"/>
      <c r="E3173" s="17"/>
      <c r="F3173" s="133"/>
      <c r="G3173" s="133"/>
      <c r="H3173" s="133"/>
      <c r="I3173" s="133"/>
      <c r="J3173" s="133"/>
      <c r="K3173" s="133"/>
      <c r="L3173" s="133"/>
      <c r="M3173" s="133"/>
      <c r="N3173" s="133"/>
      <c r="O3173" s="133"/>
      <c r="P3173" s="134"/>
      <c r="Q3173" s="146"/>
      <c r="R3173" s="17"/>
      <c r="S3173" s="17"/>
      <c r="T3173" s="75"/>
      <c r="U3173" s="75"/>
      <c r="V3173" s="75"/>
      <c r="W3173" s="75"/>
      <c r="X3173" s="75"/>
    </row>
    <row r="3174">
      <c r="A3174" s="17"/>
      <c r="B3174" s="17"/>
      <c r="C3174" s="133"/>
      <c r="D3174" s="133"/>
      <c r="E3174" s="17"/>
      <c r="F3174" s="133"/>
      <c r="G3174" s="133"/>
      <c r="H3174" s="133"/>
      <c r="I3174" s="133"/>
      <c r="J3174" s="133"/>
      <c r="K3174" s="133"/>
      <c r="L3174" s="133"/>
      <c r="M3174" s="133"/>
      <c r="N3174" s="133"/>
      <c r="O3174" s="133"/>
      <c r="P3174" s="134"/>
      <c r="Q3174" s="146"/>
      <c r="R3174" s="17"/>
      <c r="S3174" s="17"/>
      <c r="T3174" s="75"/>
      <c r="U3174" s="75"/>
      <c r="V3174" s="75"/>
      <c r="W3174" s="75"/>
      <c r="X3174" s="75"/>
    </row>
    <row r="3175">
      <c r="A3175" s="17"/>
      <c r="B3175" s="17"/>
      <c r="C3175" s="133"/>
      <c r="D3175" s="133"/>
      <c r="E3175" s="17"/>
      <c r="F3175" s="133"/>
      <c r="G3175" s="133"/>
      <c r="H3175" s="133"/>
      <c r="I3175" s="133"/>
      <c r="J3175" s="133"/>
      <c r="K3175" s="133"/>
      <c r="L3175" s="133"/>
      <c r="M3175" s="133"/>
      <c r="N3175" s="133"/>
      <c r="O3175" s="133"/>
      <c r="P3175" s="134"/>
      <c r="Q3175" s="146"/>
      <c r="R3175" s="17"/>
      <c r="S3175" s="17"/>
      <c r="T3175" s="75"/>
      <c r="U3175" s="75"/>
      <c r="V3175" s="75"/>
      <c r="W3175" s="75"/>
      <c r="X3175" s="75"/>
    </row>
    <row r="3176">
      <c r="A3176" s="17"/>
      <c r="B3176" s="17"/>
      <c r="C3176" s="133"/>
      <c r="D3176" s="133"/>
      <c r="E3176" s="17"/>
      <c r="F3176" s="133"/>
      <c r="G3176" s="133"/>
      <c r="H3176" s="133"/>
      <c r="I3176" s="133"/>
      <c r="J3176" s="133"/>
      <c r="K3176" s="133"/>
      <c r="L3176" s="133"/>
      <c r="M3176" s="133"/>
      <c r="N3176" s="133"/>
      <c r="O3176" s="133"/>
      <c r="P3176" s="134"/>
      <c r="Q3176" s="146"/>
      <c r="R3176" s="17"/>
      <c r="S3176" s="17"/>
      <c r="T3176" s="75"/>
      <c r="U3176" s="75"/>
      <c r="V3176" s="75"/>
      <c r="W3176" s="75"/>
      <c r="X3176" s="75"/>
    </row>
    <row r="3177">
      <c r="A3177" s="17"/>
      <c r="B3177" s="17"/>
      <c r="C3177" s="133"/>
      <c r="D3177" s="133"/>
      <c r="E3177" s="17"/>
      <c r="F3177" s="133"/>
      <c r="G3177" s="133"/>
      <c r="H3177" s="133"/>
      <c r="I3177" s="133"/>
      <c r="J3177" s="133"/>
      <c r="K3177" s="133"/>
      <c r="L3177" s="133"/>
      <c r="M3177" s="133"/>
      <c r="N3177" s="133"/>
      <c r="O3177" s="133"/>
      <c r="P3177" s="134"/>
      <c r="Q3177" s="146"/>
      <c r="R3177" s="17"/>
      <c r="S3177" s="17"/>
      <c r="T3177" s="75"/>
      <c r="U3177" s="75"/>
      <c r="V3177" s="75"/>
      <c r="W3177" s="75"/>
      <c r="X3177" s="75"/>
    </row>
    <row r="3178">
      <c r="A3178" s="17"/>
      <c r="B3178" s="17"/>
      <c r="C3178" s="133"/>
      <c r="D3178" s="133"/>
      <c r="E3178" s="17"/>
      <c r="F3178" s="133"/>
      <c r="G3178" s="133"/>
      <c r="H3178" s="133"/>
      <c r="I3178" s="133"/>
      <c r="J3178" s="133"/>
      <c r="K3178" s="133"/>
      <c r="L3178" s="133"/>
      <c r="M3178" s="133"/>
      <c r="N3178" s="133"/>
      <c r="O3178" s="133"/>
      <c r="P3178" s="134"/>
      <c r="Q3178" s="146"/>
      <c r="R3178" s="17"/>
      <c r="S3178" s="17"/>
      <c r="T3178" s="75"/>
      <c r="U3178" s="75"/>
      <c r="V3178" s="75"/>
      <c r="W3178" s="75"/>
      <c r="X3178" s="75"/>
    </row>
    <row r="3179">
      <c r="A3179" s="17"/>
      <c r="B3179" s="17"/>
      <c r="C3179" s="133"/>
      <c r="D3179" s="133"/>
      <c r="E3179" s="17"/>
      <c r="F3179" s="133"/>
      <c r="G3179" s="133"/>
      <c r="H3179" s="133"/>
      <c r="I3179" s="133"/>
      <c r="J3179" s="133"/>
      <c r="K3179" s="133"/>
      <c r="L3179" s="133"/>
      <c r="M3179" s="133"/>
      <c r="N3179" s="133"/>
      <c r="O3179" s="133"/>
      <c r="P3179" s="134"/>
      <c r="Q3179" s="146"/>
      <c r="R3179" s="17"/>
      <c r="S3179" s="17"/>
      <c r="T3179" s="75"/>
      <c r="U3179" s="75"/>
      <c r="V3179" s="75"/>
      <c r="W3179" s="75"/>
      <c r="X3179" s="75"/>
    </row>
    <row r="3180">
      <c r="A3180" s="17"/>
      <c r="B3180" s="17"/>
      <c r="C3180" s="133"/>
      <c r="D3180" s="133"/>
      <c r="E3180" s="17"/>
      <c r="F3180" s="133"/>
      <c r="G3180" s="133"/>
      <c r="H3180" s="133"/>
      <c r="I3180" s="133"/>
      <c r="J3180" s="133"/>
      <c r="K3180" s="133"/>
      <c r="L3180" s="133"/>
      <c r="M3180" s="133"/>
      <c r="N3180" s="133"/>
      <c r="O3180" s="133"/>
      <c r="P3180" s="134"/>
      <c r="Q3180" s="146"/>
      <c r="R3180" s="17"/>
      <c r="S3180" s="17"/>
      <c r="T3180" s="75"/>
      <c r="U3180" s="75"/>
      <c r="V3180" s="75"/>
      <c r="W3180" s="75"/>
      <c r="X3180" s="75"/>
    </row>
    <row r="3181">
      <c r="A3181" s="17"/>
      <c r="B3181" s="17"/>
      <c r="C3181" s="133"/>
      <c r="D3181" s="133"/>
      <c r="E3181" s="17"/>
      <c r="F3181" s="133"/>
      <c r="G3181" s="133"/>
      <c r="H3181" s="133"/>
      <c r="I3181" s="133"/>
      <c r="J3181" s="133"/>
      <c r="K3181" s="133"/>
      <c r="L3181" s="133"/>
      <c r="M3181" s="133"/>
      <c r="N3181" s="133"/>
      <c r="O3181" s="133"/>
      <c r="P3181" s="134"/>
      <c r="Q3181" s="146"/>
      <c r="R3181" s="17"/>
      <c r="S3181" s="17"/>
      <c r="T3181" s="75"/>
      <c r="U3181" s="75"/>
      <c r="V3181" s="75"/>
      <c r="W3181" s="75"/>
      <c r="X3181" s="75"/>
    </row>
    <row r="3182">
      <c r="A3182" s="17"/>
      <c r="B3182" s="17"/>
      <c r="C3182" s="133"/>
      <c r="D3182" s="133"/>
      <c r="E3182" s="17"/>
      <c r="F3182" s="133"/>
      <c r="G3182" s="133"/>
      <c r="H3182" s="133"/>
      <c r="I3182" s="133"/>
      <c r="J3182" s="133"/>
      <c r="K3182" s="133"/>
      <c r="L3182" s="133"/>
      <c r="M3182" s="133"/>
      <c r="N3182" s="133"/>
      <c r="O3182" s="133"/>
      <c r="P3182" s="134"/>
      <c r="Q3182" s="146"/>
      <c r="R3182" s="17"/>
      <c r="S3182" s="17"/>
      <c r="T3182" s="75"/>
      <c r="U3182" s="75"/>
      <c r="V3182" s="75"/>
      <c r="W3182" s="75"/>
      <c r="X3182" s="75"/>
    </row>
    <row r="3183">
      <c r="A3183" s="17"/>
      <c r="B3183" s="17"/>
      <c r="C3183" s="133"/>
      <c r="D3183" s="133"/>
      <c r="E3183" s="17"/>
      <c r="F3183" s="133"/>
      <c r="G3183" s="133"/>
      <c r="H3183" s="133"/>
      <c r="I3183" s="133"/>
      <c r="J3183" s="133"/>
      <c r="K3183" s="133"/>
      <c r="L3183" s="133"/>
      <c r="M3183" s="133"/>
      <c r="N3183" s="133"/>
      <c r="O3183" s="133"/>
      <c r="P3183" s="134"/>
      <c r="Q3183" s="146"/>
      <c r="R3183" s="17"/>
      <c r="S3183" s="17"/>
      <c r="T3183" s="75"/>
      <c r="U3183" s="75"/>
      <c r="V3183" s="75"/>
      <c r="W3183" s="75"/>
      <c r="X3183" s="75"/>
    </row>
    <row r="3184">
      <c r="A3184" s="17"/>
      <c r="B3184" s="17"/>
      <c r="C3184" s="133"/>
      <c r="D3184" s="133"/>
      <c r="E3184" s="17"/>
      <c r="F3184" s="133"/>
      <c r="G3184" s="133"/>
      <c r="H3184" s="133"/>
      <c r="I3184" s="133"/>
      <c r="J3184" s="133"/>
      <c r="K3184" s="133"/>
      <c r="L3184" s="133"/>
      <c r="M3184" s="133"/>
      <c r="N3184" s="133"/>
      <c r="O3184" s="133"/>
      <c r="P3184" s="134"/>
      <c r="Q3184" s="146"/>
      <c r="R3184" s="17"/>
      <c r="S3184" s="17"/>
      <c r="T3184" s="75"/>
      <c r="U3184" s="75"/>
      <c r="V3184" s="75"/>
      <c r="W3184" s="75"/>
      <c r="X3184" s="75"/>
    </row>
    <row r="3185">
      <c r="A3185" s="17"/>
      <c r="B3185" s="17"/>
      <c r="C3185" s="133"/>
      <c r="D3185" s="133"/>
      <c r="E3185" s="17"/>
      <c r="F3185" s="133"/>
      <c r="G3185" s="133"/>
      <c r="H3185" s="133"/>
      <c r="I3185" s="133"/>
      <c r="J3185" s="133"/>
      <c r="K3185" s="133"/>
      <c r="L3185" s="133"/>
      <c r="M3185" s="133"/>
      <c r="N3185" s="133"/>
      <c r="O3185" s="133"/>
      <c r="P3185" s="134"/>
      <c r="Q3185" s="146"/>
      <c r="R3185" s="17"/>
      <c r="S3185" s="17"/>
      <c r="T3185" s="75"/>
      <c r="U3185" s="75"/>
      <c r="V3185" s="75"/>
      <c r="W3185" s="75"/>
      <c r="X3185" s="75"/>
    </row>
    <row r="3186">
      <c r="A3186" s="17"/>
      <c r="B3186" s="17"/>
      <c r="C3186" s="133"/>
      <c r="D3186" s="133"/>
      <c r="E3186" s="17"/>
      <c r="F3186" s="133"/>
      <c r="G3186" s="133"/>
      <c r="H3186" s="133"/>
      <c r="I3186" s="133"/>
      <c r="J3186" s="133"/>
      <c r="K3186" s="133"/>
      <c r="L3186" s="133"/>
      <c r="M3186" s="133"/>
      <c r="N3186" s="133"/>
      <c r="O3186" s="133"/>
      <c r="P3186" s="134"/>
      <c r="Q3186" s="146"/>
      <c r="R3186" s="17"/>
      <c r="S3186" s="17"/>
      <c r="T3186" s="75"/>
      <c r="U3186" s="75"/>
      <c r="V3186" s="75"/>
      <c r="W3186" s="75"/>
      <c r="X3186" s="75"/>
    </row>
    <row r="3187">
      <c r="A3187" s="17"/>
      <c r="B3187" s="17"/>
      <c r="C3187" s="133"/>
      <c r="D3187" s="133"/>
      <c r="E3187" s="17"/>
      <c r="F3187" s="133"/>
      <c r="G3187" s="133"/>
      <c r="H3187" s="133"/>
      <c r="I3187" s="133"/>
      <c r="J3187" s="133"/>
      <c r="K3187" s="133"/>
      <c r="L3187" s="133"/>
      <c r="M3187" s="133"/>
      <c r="N3187" s="133"/>
      <c r="O3187" s="133"/>
      <c r="P3187" s="134"/>
      <c r="Q3187" s="146"/>
      <c r="R3187" s="17"/>
      <c r="S3187" s="17"/>
      <c r="T3187" s="75"/>
      <c r="U3187" s="75"/>
      <c r="V3187" s="75"/>
      <c r="W3187" s="75"/>
      <c r="X3187" s="75"/>
    </row>
    <row r="3188">
      <c r="A3188" s="17"/>
      <c r="B3188" s="17"/>
      <c r="C3188" s="133"/>
      <c r="D3188" s="133"/>
      <c r="E3188" s="17"/>
      <c r="F3188" s="133"/>
      <c r="G3188" s="133"/>
      <c r="H3188" s="133"/>
      <c r="I3188" s="133"/>
      <c r="J3188" s="133"/>
      <c r="K3188" s="133"/>
      <c r="L3188" s="133"/>
      <c r="M3188" s="133"/>
      <c r="N3188" s="133"/>
      <c r="O3188" s="133"/>
      <c r="P3188" s="134"/>
      <c r="Q3188" s="146"/>
      <c r="R3188" s="17"/>
      <c r="S3188" s="17"/>
      <c r="T3188" s="75"/>
      <c r="U3188" s="75"/>
      <c r="V3188" s="75"/>
      <c r="W3188" s="75"/>
      <c r="X3188" s="75"/>
    </row>
    <row r="3189">
      <c r="A3189" s="17"/>
      <c r="B3189" s="17"/>
      <c r="C3189" s="133"/>
      <c r="D3189" s="133"/>
      <c r="E3189" s="17"/>
      <c r="F3189" s="133"/>
      <c r="G3189" s="133"/>
      <c r="H3189" s="133"/>
      <c r="I3189" s="133"/>
      <c r="J3189" s="133"/>
      <c r="K3189" s="133"/>
      <c r="L3189" s="133"/>
      <c r="M3189" s="133"/>
      <c r="N3189" s="133"/>
      <c r="O3189" s="133"/>
      <c r="P3189" s="134"/>
      <c r="Q3189" s="146"/>
      <c r="R3189" s="17"/>
      <c r="S3189" s="17"/>
      <c r="T3189" s="75"/>
      <c r="U3189" s="75"/>
      <c r="V3189" s="75"/>
      <c r="W3189" s="75"/>
      <c r="X3189" s="75"/>
    </row>
    <row r="3190">
      <c r="A3190" s="17"/>
      <c r="B3190" s="17"/>
      <c r="C3190" s="133"/>
      <c r="D3190" s="133"/>
      <c r="E3190" s="17"/>
      <c r="F3190" s="133"/>
      <c r="G3190" s="133"/>
      <c r="H3190" s="133"/>
      <c r="I3190" s="133"/>
      <c r="J3190" s="133"/>
      <c r="K3190" s="133"/>
      <c r="L3190" s="133"/>
      <c r="M3190" s="133"/>
      <c r="N3190" s="133"/>
      <c r="O3190" s="133"/>
      <c r="P3190" s="134"/>
      <c r="Q3190" s="146"/>
      <c r="R3190" s="17"/>
      <c r="S3190" s="17"/>
      <c r="T3190" s="75"/>
      <c r="U3190" s="75"/>
      <c r="V3190" s="75"/>
      <c r="W3190" s="75"/>
      <c r="X3190" s="75"/>
    </row>
    <row r="3191">
      <c r="A3191" s="17"/>
      <c r="B3191" s="17"/>
      <c r="C3191" s="133"/>
      <c r="D3191" s="133"/>
      <c r="E3191" s="17"/>
      <c r="F3191" s="133"/>
      <c r="G3191" s="133"/>
      <c r="H3191" s="133"/>
      <c r="I3191" s="133"/>
      <c r="J3191" s="133"/>
      <c r="K3191" s="133"/>
      <c r="L3191" s="133"/>
      <c r="M3191" s="133"/>
      <c r="N3191" s="133"/>
      <c r="O3191" s="133"/>
      <c r="P3191" s="134"/>
      <c r="Q3191" s="146"/>
      <c r="R3191" s="17"/>
      <c r="S3191" s="17"/>
      <c r="T3191" s="75"/>
      <c r="U3191" s="75"/>
      <c r="V3191" s="75"/>
      <c r="W3191" s="75"/>
      <c r="X3191" s="75"/>
    </row>
    <row r="3192">
      <c r="A3192" s="17"/>
      <c r="B3192" s="17"/>
      <c r="C3192" s="133"/>
      <c r="D3192" s="133"/>
      <c r="E3192" s="17"/>
      <c r="F3192" s="133"/>
      <c r="G3192" s="133"/>
      <c r="H3192" s="133"/>
      <c r="I3192" s="133"/>
      <c r="J3192" s="133"/>
      <c r="K3192" s="133"/>
      <c r="L3192" s="133"/>
      <c r="M3192" s="133"/>
      <c r="N3192" s="133"/>
      <c r="O3192" s="133"/>
      <c r="P3192" s="134"/>
      <c r="Q3192" s="146"/>
      <c r="R3192" s="17"/>
      <c r="S3192" s="17"/>
      <c r="T3192" s="75"/>
      <c r="U3192" s="75"/>
      <c r="V3192" s="75"/>
      <c r="W3192" s="75"/>
      <c r="X3192" s="75"/>
    </row>
    <row r="3193">
      <c r="A3193" s="17"/>
      <c r="B3193" s="17"/>
      <c r="C3193" s="133"/>
      <c r="D3193" s="133"/>
      <c r="E3193" s="17"/>
      <c r="F3193" s="133"/>
      <c r="G3193" s="133"/>
      <c r="H3193" s="133"/>
      <c r="I3193" s="133"/>
      <c r="J3193" s="133"/>
      <c r="K3193" s="133"/>
      <c r="L3193" s="133"/>
      <c r="M3193" s="133"/>
      <c r="N3193" s="133"/>
      <c r="O3193" s="133"/>
      <c r="P3193" s="134"/>
      <c r="Q3193" s="146"/>
      <c r="R3193" s="17"/>
      <c r="S3193" s="17"/>
      <c r="T3193" s="75"/>
      <c r="U3193" s="75"/>
      <c r="V3193" s="75"/>
      <c r="W3193" s="75"/>
      <c r="X3193" s="75"/>
    </row>
    <row r="3194">
      <c r="A3194" s="17"/>
      <c r="B3194" s="17"/>
      <c r="C3194" s="133"/>
      <c r="D3194" s="133"/>
      <c r="E3194" s="17"/>
      <c r="F3194" s="133"/>
      <c r="G3194" s="133"/>
      <c r="H3194" s="133"/>
      <c r="I3194" s="133"/>
      <c r="J3194" s="133"/>
      <c r="K3194" s="133"/>
      <c r="L3194" s="133"/>
      <c r="M3194" s="133"/>
      <c r="N3194" s="133"/>
      <c r="O3194" s="133"/>
      <c r="P3194" s="134"/>
      <c r="Q3194" s="146"/>
      <c r="R3194" s="17"/>
      <c r="S3194" s="17"/>
      <c r="T3194" s="75"/>
      <c r="U3194" s="75"/>
      <c r="V3194" s="75"/>
      <c r="W3194" s="75"/>
      <c r="X3194" s="75"/>
    </row>
    <row r="3195">
      <c r="A3195" s="17"/>
      <c r="B3195" s="17"/>
      <c r="C3195" s="133"/>
      <c r="D3195" s="133"/>
      <c r="E3195" s="17"/>
      <c r="F3195" s="133"/>
      <c r="G3195" s="133"/>
      <c r="H3195" s="133"/>
      <c r="I3195" s="133"/>
      <c r="J3195" s="133"/>
      <c r="K3195" s="133"/>
      <c r="L3195" s="133"/>
      <c r="M3195" s="133"/>
      <c r="N3195" s="133"/>
      <c r="O3195" s="133"/>
      <c r="P3195" s="134"/>
      <c r="Q3195" s="146"/>
      <c r="R3195" s="17"/>
      <c r="S3195" s="17"/>
      <c r="T3195" s="75"/>
      <c r="U3195" s="75"/>
      <c r="V3195" s="75"/>
      <c r="W3195" s="75"/>
      <c r="X3195" s="75"/>
    </row>
    <row r="3196">
      <c r="A3196" s="17"/>
      <c r="B3196" s="17"/>
      <c r="C3196" s="133"/>
      <c r="D3196" s="133"/>
      <c r="E3196" s="17"/>
      <c r="F3196" s="133"/>
      <c r="G3196" s="133"/>
      <c r="H3196" s="133"/>
      <c r="I3196" s="133"/>
      <c r="J3196" s="133"/>
      <c r="K3196" s="133"/>
      <c r="L3196" s="133"/>
      <c r="M3196" s="133"/>
      <c r="N3196" s="133"/>
      <c r="O3196" s="133"/>
      <c r="P3196" s="134"/>
      <c r="Q3196" s="146"/>
      <c r="R3196" s="17"/>
      <c r="S3196" s="17"/>
      <c r="T3196" s="75"/>
      <c r="U3196" s="75"/>
      <c r="V3196" s="75"/>
      <c r="W3196" s="75"/>
      <c r="X3196" s="75"/>
    </row>
    <row r="3197">
      <c r="A3197" s="17"/>
      <c r="B3197" s="17"/>
      <c r="C3197" s="133"/>
      <c r="D3197" s="133"/>
      <c r="E3197" s="17"/>
      <c r="F3197" s="133"/>
      <c r="G3197" s="133"/>
      <c r="H3197" s="133"/>
      <c r="I3197" s="133"/>
      <c r="J3197" s="133"/>
      <c r="K3197" s="133"/>
      <c r="L3197" s="133"/>
      <c r="M3197" s="133"/>
      <c r="N3197" s="133"/>
      <c r="O3197" s="133"/>
      <c r="P3197" s="134"/>
      <c r="Q3197" s="146"/>
      <c r="R3197" s="17"/>
      <c r="S3197" s="17"/>
      <c r="T3197" s="75"/>
      <c r="U3197" s="75"/>
      <c r="V3197" s="75"/>
      <c r="W3197" s="75"/>
      <c r="X3197" s="75"/>
    </row>
    <row r="3198">
      <c r="A3198" s="17"/>
      <c r="B3198" s="17"/>
      <c r="C3198" s="133"/>
      <c r="D3198" s="133"/>
      <c r="E3198" s="17"/>
      <c r="F3198" s="133"/>
      <c r="G3198" s="133"/>
      <c r="H3198" s="133"/>
      <c r="I3198" s="133"/>
      <c r="J3198" s="133"/>
      <c r="K3198" s="133"/>
      <c r="L3198" s="133"/>
      <c r="M3198" s="133"/>
      <c r="N3198" s="133"/>
      <c r="O3198" s="133"/>
      <c r="P3198" s="134"/>
      <c r="Q3198" s="146"/>
      <c r="R3198" s="17"/>
      <c r="S3198" s="17"/>
      <c r="T3198" s="75"/>
      <c r="U3198" s="75"/>
      <c r="V3198" s="75"/>
      <c r="W3198" s="75"/>
      <c r="X3198" s="75"/>
    </row>
    <row r="3199">
      <c r="A3199" s="17"/>
      <c r="B3199" s="17"/>
      <c r="C3199" s="133"/>
      <c r="D3199" s="133"/>
      <c r="E3199" s="17"/>
      <c r="F3199" s="133"/>
      <c r="G3199" s="133"/>
      <c r="H3199" s="133"/>
      <c r="I3199" s="133"/>
      <c r="J3199" s="133"/>
      <c r="K3199" s="133"/>
      <c r="L3199" s="133"/>
      <c r="M3199" s="133"/>
      <c r="N3199" s="133"/>
      <c r="O3199" s="133"/>
      <c r="P3199" s="134"/>
      <c r="Q3199" s="146"/>
      <c r="R3199" s="17"/>
      <c r="S3199" s="17"/>
      <c r="T3199" s="75"/>
      <c r="U3199" s="75"/>
      <c r="V3199" s="75"/>
      <c r="W3199" s="75"/>
      <c r="X3199" s="75"/>
    </row>
    <row r="3200">
      <c r="A3200" s="17"/>
      <c r="B3200" s="17"/>
      <c r="C3200" s="133"/>
      <c r="D3200" s="133"/>
      <c r="E3200" s="17"/>
      <c r="F3200" s="133"/>
      <c r="G3200" s="133"/>
      <c r="H3200" s="133"/>
      <c r="I3200" s="133"/>
      <c r="J3200" s="133"/>
      <c r="K3200" s="133"/>
      <c r="L3200" s="133"/>
      <c r="M3200" s="133"/>
      <c r="N3200" s="133"/>
      <c r="O3200" s="133"/>
      <c r="P3200" s="134"/>
      <c r="Q3200" s="146"/>
      <c r="R3200" s="17"/>
      <c r="S3200" s="17"/>
      <c r="T3200" s="75"/>
      <c r="U3200" s="75"/>
      <c r="V3200" s="75"/>
      <c r="W3200" s="75"/>
      <c r="X3200" s="75"/>
    </row>
    <row r="3201">
      <c r="A3201" s="17"/>
      <c r="B3201" s="17"/>
      <c r="C3201" s="133"/>
      <c r="D3201" s="133"/>
      <c r="E3201" s="17"/>
      <c r="F3201" s="133"/>
      <c r="G3201" s="133"/>
      <c r="H3201" s="133"/>
      <c r="I3201" s="133"/>
      <c r="J3201" s="133"/>
      <c r="K3201" s="133"/>
      <c r="L3201" s="133"/>
      <c r="M3201" s="133"/>
      <c r="N3201" s="133"/>
      <c r="O3201" s="133"/>
      <c r="P3201" s="134"/>
      <c r="Q3201" s="146"/>
      <c r="R3201" s="17"/>
      <c r="S3201" s="17"/>
      <c r="T3201" s="75"/>
      <c r="U3201" s="75"/>
      <c r="V3201" s="75"/>
      <c r="W3201" s="75"/>
      <c r="X3201" s="75"/>
    </row>
    <row r="3202">
      <c r="A3202" s="17"/>
      <c r="B3202" s="17"/>
      <c r="C3202" s="133"/>
      <c r="D3202" s="133"/>
      <c r="E3202" s="17"/>
      <c r="F3202" s="133"/>
      <c r="G3202" s="133"/>
      <c r="H3202" s="133"/>
      <c r="I3202" s="133"/>
      <c r="J3202" s="133"/>
      <c r="K3202" s="133"/>
      <c r="L3202" s="133"/>
      <c r="M3202" s="133"/>
      <c r="N3202" s="133"/>
      <c r="O3202" s="133"/>
      <c r="P3202" s="134"/>
      <c r="Q3202" s="146"/>
      <c r="R3202" s="17"/>
      <c r="S3202" s="17"/>
      <c r="T3202" s="75"/>
      <c r="U3202" s="75"/>
      <c r="V3202" s="75"/>
      <c r="W3202" s="75"/>
      <c r="X3202" s="75"/>
    </row>
    <row r="3203">
      <c r="A3203" s="17"/>
      <c r="B3203" s="17"/>
      <c r="C3203" s="133"/>
      <c r="D3203" s="133"/>
      <c r="E3203" s="17"/>
      <c r="F3203" s="133"/>
      <c r="G3203" s="133"/>
      <c r="H3203" s="133"/>
      <c r="I3203" s="133"/>
      <c r="J3203" s="133"/>
      <c r="K3203" s="133"/>
      <c r="L3203" s="133"/>
      <c r="M3203" s="133"/>
      <c r="N3203" s="133"/>
      <c r="O3203" s="133"/>
      <c r="P3203" s="134"/>
      <c r="Q3203" s="146"/>
      <c r="R3203" s="17"/>
      <c r="S3203" s="17"/>
      <c r="T3203" s="75"/>
      <c r="U3203" s="75"/>
      <c r="V3203" s="75"/>
      <c r="W3203" s="75"/>
      <c r="X3203" s="75"/>
    </row>
    <row r="3204">
      <c r="A3204" s="17"/>
      <c r="B3204" s="17"/>
      <c r="C3204" s="133"/>
      <c r="D3204" s="133"/>
      <c r="E3204" s="17"/>
      <c r="F3204" s="133"/>
      <c r="G3204" s="133"/>
      <c r="H3204" s="133"/>
      <c r="I3204" s="133"/>
      <c r="J3204" s="133"/>
      <c r="K3204" s="133"/>
      <c r="L3204" s="133"/>
      <c r="M3204" s="133"/>
      <c r="N3204" s="133"/>
      <c r="O3204" s="133"/>
      <c r="P3204" s="134"/>
      <c r="Q3204" s="146"/>
      <c r="R3204" s="17"/>
      <c r="S3204" s="17"/>
      <c r="T3204" s="75"/>
      <c r="U3204" s="75"/>
      <c r="V3204" s="75"/>
      <c r="W3204" s="75"/>
      <c r="X3204" s="75"/>
    </row>
    <row r="3205">
      <c r="A3205" s="17"/>
      <c r="B3205" s="17"/>
      <c r="C3205" s="133"/>
      <c r="D3205" s="133"/>
      <c r="E3205" s="17"/>
      <c r="F3205" s="133"/>
      <c r="G3205" s="133"/>
      <c r="H3205" s="133"/>
      <c r="I3205" s="133"/>
      <c r="J3205" s="133"/>
      <c r="K3205" s="133"/>
      <c r="L3205" s="133"/>
      <c r="M3205" s="133"/>
      <c r="N3205" s="133"/>
      <c r="O3205" s="133"/>
      <c r="P3205" s="134"/>
      <c r="Q3205" s="146"/>
      <c r="R3205" s="17"/>
      <c r="S3205" s="17"/>
      <c r="T3205" s="75"/>
      <c r="U3205" s="75"/>
      <c r="V3205" s="75"/>
      <c r="W3205" s="75"/>
      <c r="X3205" s="75"/>
    </row>
    <row r="3206">
      <c r="A3206" s="17"/>
      <c r="B3206" s="17"/>
      <c r="C3206" s="133"/>
      <c r="D3206" s="133"/>
      <c r="E3206" s="17"/>
      <c r="F3206" s="133"/>
      <c r="G3206" s="133"/>
      <c r="H3206" s="133"/>
      <c r="I3206" s="133"/>
      <c r="J3206" s="133"/>
      <c r="K3206" s="133"/>
      <c r="L3206" s="133"/>
      <c r="M3206" s="133"/>
      <c r="N3206" s="133"/>
      <c r="O3206" s="133"/>
      <c r="P3206" s="134"/>
      <c r="Q3206" s="146"/>
      <c r="R3206" s="17"/>
      <c r="S3206" s="17"/>
      <c r="T3206" s="75"/>
      <c r="U3206" s="75"/>
      <c r="V3206" s="75"/>
      <c r="W3206" s="75"/>
      <c r="X3206" s="75"/>
    </row>
    <row r="3207">
      <c r="A3207" s="17"/>
      <c r="B3207" s="17"/>
      <c r="C3207" s="133"/>
      <c r="D3207" s="133"/>
      <c r="E3207" s="17"/>
      <c r="F3207" s="133"/>
      <c r="G3207" s="133"/>
      <c r="H3207" s="133"/>
      <c r="I3207" s="133"/>
      <c r="J3207" s="133"/>
      <c r="K3207" s="133"/>
      <c r="L3207" s="133"/>
      <c r="M3207" s="133"/>
      <c r="N3207" s="133"/>
      <c r="O3207" s="133"/>
      <c r="P3207" s="134"/>
      <c r="Q3207" s="146"/>
      <c r="R3207" s="17"/>
      <c r="S3207" s="17"/>
      <c r="T3207" s="75"/>
      <c r="U3207" s="75"/>
      <c r="V3207" s="75"/>
      <c r="W3207" s="75"/>
      <c r="X3207" s="75"/>
    </row>
    <row r="3208">
      <c r="A3208" s="17"/>
      <c r="B3208" s="17"/>
      <c r="C3208" s="133"/>
      <c r="D3208" s="133"/>
      <c r="E3208" s="17"/>
      <c r="F3208" s="133"/>
      <c r="G3208" s="133"/>
      <c r="H3208" s="133"/>
      <c r="I3208" s="133"/>
      <c r="J3208" s="133"/>
      <c r="K3208" s="133"/>
      <c r="L3208" s="133"/>
      <c r="M3208" s="133"/>
      <c r="N3208" s="133"/>
      <c r="O3208" s="133"/>
      <c r="P3208" s="134"/>
      <c r="Q3208" s="146"/>
      <c r="R3208" s="17"/>
      <c r="S3208" s="17"/>
      <c r="T3208" s="75"/>
      <c r="U3208" s="75"/>
      <c r="V3208" s="75"/>
      <c r="W3208" s="75"/>
      <c r="X3208" s="75"/>
    </row>
    <row r="3209">
      <c r="A3209" s="17"/>
      <c r="B3209" s="17"/>
      <c r="C3209" s="133"/>
      <c r="D3209" s="133"/>
      <c r="E3209" s="17"/>
      <c r="F3209" s="133"/>
      <c r="G3209" s="133"/>
      <c r="H3209" s="133"/>
      <c r="I3209" s="133"/>
      <c r="J3209" s="133"/>
      <c r="K3209" s="133"/>
      <c r="L3209" s="133"/>
      <c r="M3209" s="133"/>
      <c r="N3209" s="133"/>
      <c r="O3209" s="133"/>
      <c r="P3209" s="134"/>
      <c r="Q3209" s="146"/>
      <c r="R3209" s="17"/>
      <c r="S3209" s="17"/>
      <c r="T3209" s="75"/>
      <c r="U3209" s="75"/>
      <c r="V3209" s="75"/>
      <c r="W3209" s="75"/>
      <c r="X3209" s="75"/>
    </row>
    <row r="3210">
      <c r="A3210" s="17"/>
      <c r="B3210" s="17"/>
      <c r="C3210" s="133"/>
      <c r="D3210" s="133"/>
      <c r="E3210" s="17"/>
      <c r="F3210" s="133"/>
      <c r="G3210" s="133"/>
      <c r="H3210" s="133"/>
      <c r="I3210" s="133"/>
      <c r="J3210" s="133"/>
      <c r="K3210" s="133"/>
      <c r="L3210" s="133"/>
      <c r="M3210" s="133"/>
      <c r="N3210" s="133"/>
      <c r="O3210" s="133"/>
      <c r="P3210" s="134"/>
      <c r="Q3210" s="146"/>
      <c r="R3210" s="17"/>
      <c r="S3210" s="17"/>
      <c r="T3210" s="75"/>
      <c r="U3210" s="75"/>
      <c r="V3210" s="75"/>
      <c r="W3210" s="75"/>
      <c r="X3210" s="75"/>
    </row>
    <row r="3211">
      <c r="A3211" s="17"/>
      <c r="B3211" s="17"/>
      <c r="C3211" s="133"/>
      <c r="D3211" s="133"/>
      <c r="E3211" s="17"/>
      <c r="F3211" s="133"/>
      <c r="G3211" s="133"/>
      <c r="H3211" s="133"/>
      <c r="I3211" s="133"/>
      <c r="J3211" s="133"/>
      <c r="K3211" s="133"/>
      <c r="L3211" s="133"/>
      <c r="M3211" s="133"/>
      <c r="N3211" s="133"/>
      <c r="O3211" s="133"/>
      <c r="P3211" s="134"/>
      <c r="Q3211" s="146"/>
      <c r="R3211" s="17"/>
      <c r="S3211" s="17"/>
      <c r="T3211" s="75"/>
      <c r="U3211" s="75"/>
      <c r="V3211" s="75"/>
      <c r="W3211" s="75"/>
      <c r="X3211" s="75"/>
    </row>
    <row r="3212">
      <c r="A3212" s="17"/>
      <c r="B3212" s="17"/>
      <c r="C3212" s="133"/>
      <c r="D3212" s="133"/>
      <c r="E3212" s="17"/>
      <c r="F3212" s="133"/>
      <c r="G3212" s="133"/>
      <c r="H3212" s="133"/>
      <c r="I3212" s="133"/>
      <c r="J3212" s="133"/>
      <c r="K3212" s="133"/>
      <c r="L3212" s="133"/>
      <c r="M3212" s="133"/>
      <c r="N3212" s="133"/>
      <c r="O3212" s="133"/>
      <c r="P3212" s="134"/>
      <c r="Q3212" s="146"/>
      <c r="R3212" s="17"/>
      <c r="S3212" s="17"/>
      <c r="T3212" s="75"/>
      <c r="U3212" s="75"/>
      <c r="V3212" s="75"/>
      <c r="W3212" s="75"/>
      <c r="X3212" s="75"/>
    </row>
    <row r="3213">
      <c r="A3213" s="17"/>
      <c r="B3213" s="17"/>
      <c r="C3213" s="133"/>
      <c r="D3213" s="133"/>
      <c r="E3213" s="17"/>
      <c r="F3213" s="133"/>
      <c r="G3213" s="133"/>
      <c r="H3213" s="133"/>
      <c r="I3213" s="133"/>
      <c r="J3213" s="133"/>
      <c r="K3213" s="133"/>
      <c r="L3213" s="133"/>
      <c r="M3213" s="133"/>
      <c r="N3213" s="133"/>
      <c r="O3213" s="133"/>
      <c r="P3213" s="134"/>
      <c r="Q3213" s="146"/>
      <c r="R3213" s="17"/>
      <c r="S3213" s="17"/>
      <c r="T3213" s="75"/>
      <c r="U3213" s="75"/>
      <c r="V3213" s="75"/>
      <c r="W3213" s="75"/>
      <c r="X3213" s="75"/>
    </row>
    <row r="3214">
      <c r="A3214" s="17"/>
      <c r="B3214" s="17"/>
      <c r="C3214" s="133"/>
      <c r="D3214" s="133"/>
      <c r="E3214" s="17"/>
      <c r="F3214" s="133"/>
      <c r="G3214" s="133"/>
      <c r="H3214" s="133"/>
      <c r="I3214" s="133"/>
      <c r="J3214" s="133"/>
      <c r="K3214" s="133"/>
      <c r="L3214" s="133"/>
      <c r="M3214" s="133"/>
      <c r="N3214" s="133"/>
      <c r="O3214" s="133"/>
      <c r="P3214" s="134"/>
      <c r="Q3214" s="146"/>
      <c r="R3214" s="17"/>
      <c r="S3214" s="17"/>
      <c r="T3214" s="75"/>
      <c r="U3214" s="75"/>
      <c r="V3214" s="75"/>
      <c r="W3214" s="75"/>
      <c r="X3214" s="75"/>
    </row>
    <row r="3215">
      <c r="A3215" s="17"/>
      <c r="B3215" s="17"/>
      <c r="C3215" s="133"/>
      <c r="D3215" s="133"/>
      <c r="E3215" s="17"/>
      <c r="F3215" s="133"/>
      <c r="G3215" s="133"/>
      <c r="H3215" s="133"/>
      <c r="I3215" s="133"/>
      <c r="J3215" s="133"/>
      <c r="K3215" s="133"/>
      <c r="L3215" s="133"/>
      <c r="M3215" s="133"/>
      <c r="N3215" s="133"/>
      <c r="O3215" s="133"/>
      <c r="P3215" s="134"/>
      <c r="Q3215" s="146"/>
      <c r="R3215" s="17"/>
      <c r="S3215" s="17"/>
      <c r="T3215" s="75"/>
      <c r="U3215" s="75"/>
      <c r="V3215" s="75"/>
      <c r="W3215" s="75"/>
      <c r="X3215" s="75"/>
    </row>
    <row r="3216">
      <c r="A3216" s="17"/>
      <c r="B3216" s="17"/>
      <c r="C3216" s="133"/>
      <c r="D3216" s="133"/>
      <c r="E3216" s="17"/>
      <c r="F3216" s="133"/>
      <c r="G3216" s="133"/>
      <c r="H3216" s="133"/>
      <c r="I3216" s="133"/>
      <c r="J3216" s="133"/>
      <c r="K3216" s="133"/>
      <c r="L3216" s="133"/>
      <c r="M3216" s="133"/>
      <c r="N3216" s="133"/>
      <c r="O3216" s="133"/>
      <c r="P3216" s="134"/>
      <c r="Q3216" s="146"/>
      <c r="R3216" s="17"/>
      <c r="S3216" s="17"/>
      <c r="T3216" s="75"/>
      <c r="U3216" s="75"/>
      <c r="V3216" s="75"/>
      <c r="W3216" s="75"/>
      <c r="X3216" s="75"/>
    </row>
    <row r="3217">
      <c r="A3217" s="17"/>
      <c r="B3217" s="17"/>
      <c r="C3217" s="133"/>
      <c r="D3217" s="133"/>
      <c r="E3217" s="17"/>
      <c r="F3217" s="133"/>
      <c r="G3217" s="133"/>
      <c r="H3217" s="133"/>
      <c r="I3217" s="133"/>
      <c r="J3217" s="133"/>
      <c r="K3217" s="133"/>
      <c r="L3217" s="133"/>
      <c r="M3217" s="133"/>
      <c r="N3217" s="133"/>
      <c r="O3217" s="133"/>
      <c r="P3217" s="134"/>
      <c r="Q3217" s="146"/>
      <c r="R3217" s="17"/>
      <c r="S3217" s="17"/>
      <c r="T3217" s="75"/>
      <c r="U3217" s="75"/>
      <c r="V3217" s="75"/>
      <c r="W3217" s="75"/>
      <c r="X3217" s="75"/>
    </row>
    <row r="3218">
      <c r="A3218" s="17"/>
      <c r="B3218" s="17"/>
      <c r="C3218" s="133"/>
      <c r="D3218" s="133"/>
      <c r="E3218" s="17"/>
      <c r="F3218" s="133"/>
      <c r="G3218" s="133"/>
      <c r="H3218" s="133"/>
      <c r="I3218" s="133"/>
      <c r="J3218" s="133"/>
      <c r="K3218" s="133"/>
      <c r="L3218" s="133"/>
      <c r="M3218" s="133"/>
      <c r="N3218" s="133"/>
      <c r="O3218" s="133"/>
      <c r="P3218" s="134"/>
      <c r="Q3218" s="146"/>
      <c r="R3218" s="17"/>
      <c r="S3218" s="17"/>
      <c r="T3218" s="75"/>
      <c r="U3218" s="75"/>
      <c r="V3218" s="75"/>
      <c r="W3218" s="75"/>
      <c r="X3218" s="75"/>
    </row>
    <row r="3219">
      <c r="A3219" s="17"/>
      <c r="B3219" s="17"/>
      <c r="C3219" s="133"/>
      <c r="D3219" s="133"/>
      <c r="E3219" s="17"/>
      <c r="F3219" s="133"/>
      <c r="G3219" s="133"/>
      <c r="H3219" s="133"/>
      <c r="I3219" s="133"/>
      <c r="J3219" s="133"/>
      <c r="K3219" s="133"/>
      <c r="L3219" s="133"/>
      <c r="M3219" s="133"/>
      <c r="N3219" s="133"/>
      <c r="O3219" s="133"/>
      <c r="P3219" s="134"/>
      <c r="Q3219" s="146"/>
      <c r="R3219" s="17"/>
      <c r="S3219" s="17"/>
      <c r="T3219" s="75"/>
      <c r="U3219" s="75"/>
      <c r="V3219" s="75"/>
      <c r="W3219" s="75"/>
      <c r="X3219" s="75"/>
    </row>
    <row r="3220">
      <c r="A3220" s="17"/>
      <c r="B3220" s="17"/>
      <c r="C3220" s="133"/>
      <c r="D3220" s="133"/>
      <c r="E3220" s="17"/>
      <c r="F3220" s="133"/>
      <c r="G3220" s="133"/>
      <c r="H3220" s="133"/>
      <c r="I3220" s="133"/>
      <c r="J3220" s="133"/>
      <c r="K3220" s="133"/>
      <c r="L3220" s="133"/>
      <c r="M3220" s="133"/>
      <c r="N3220" s="133"/>
      <c r="O3220" s="133"/>
      <c r="P3220" s="134"/>
      <c r="Q3220" s="146"/>
      <c r="R3220" s="17"/>
      <c r="S3220" s="17"/>
      <c r="T3220" s="75"/>
      <c r="U3220" s="75"/>
      <c r="V3220" s="75"/>
      <c r="W3220" s="75"/>
      <c r="X3220" s="75"/>
    </row>
    <row r="3221">
      <c r="A3221" s="17"/>
      <c r="B3221" s="17"/>
      <c r="C3221" s="133"/>
      <c r="D3221" s="133"/>
      <c r="E3221" s="17"/>
      <c r="F3221" s="133"/>
      <c r="G3221" s="133"/>
      <c r="H3221" s="133"/>
      <c r="I3221" s="133"/>
      <c r="J3221" s="133"/>
      <c r="K3221" s="133"/>
      <c r="L3221" s="133"/>
      <c r="M3221" s="133"/>
      <c r="N3221" s="133"/>
      <c r="O3221" s="133"/>
      <c r="P3221" s="134"/>
      <c r="Q3221" s="146"/>
      <c r="R3221" s="17"/>
      <c r="S3221" s="17"/>
      <c r="T3221" s="75"/>
      <c r="U3221" s="75"/>
      <c r="V3221" s="75"/>
      <c r="W3221" s="75"/>
      <c r="X3221" s="75"/>
    </row>
    <row r="3222">
      <c r="A3222" s="17"/>
      <c r="B3222" s="17"/>
      <c r="C3222" s="133"/>
      <c r="D3222" s="133"/>
      <c r="E3222" s="17"/>
      <c r="F3222" s="133"/>
      <c r="G3222" s="133"/>
      <c r="H3222" s="133"/>
      <c r="I3222" s="133"/>
      <c r="J3222" s="133"/>
      <c r="K3222" s="133"/>
      <c r="L3222" s="133"/>
      <c r="M3222" s="133"/>
      <c r="N3222" s="133"/>
      <c r="O3222" s="133"/>
      <c r="P3222" s="134"/>
      <c r="Q3222" s="146"/>
      <c r="R3222" s="17"/>
      <c r="S3222" s="17"/>
      <c r="T3222" s="75"/>
      <c r="U3222" s="75"/>
      <c r="V3222" s="75"/>
      <c r="W3222" s="75"/>
      <c r="X3222" s="75"/>
    </row>
    <row r="3223">
      <c r="A3223" s="17"/>
      <c r="B3223" s="17"/>
      <c r="C3223" s="133"/>
      <c r="D3223" s="133"/>
      <c r="E3223" s="17"/>
      <c r="F3223" s="133"/>
      <c r="G3223" s="133"/>
      <c r="H3223" s="133"/>
      <c r="I3223" s="133"/>
      <c r="J3223" s="133"/>
      <c r="K3223" s="133"/>
      <c r="L3223" s="133"/>
      <c r="M3223" s="133"/>
      <c r="N3223" s="133"/>
      <c r="O3223" s="133"/>
      <c r="P3223" s="134"/>
      <c r="Q3223" s="146"/>
      <c r="R3223" s="17"/>
      <c r="S3223" s="17"/>
      <c r="T3223" s="75"/>
      <c r="U3223" s="75"/>
      <c r="V3223" s="75"/>
      <c r="W3223" s="75"/>
      <c r="X3223" s="75"/>
    </row>
    <row r="3224">
      <c r="A3224" s="17"/>
      <c r="B3224" s="17"/>
      <c r="C3224" s="133"/>
      <c r="D3224" s="133"/>
      <c r="E3224" s="17"/>
      <c r="F3224" s="133"/>
      <c r="G3224" s="133"/>
      <c r="H3224" s="133"/>
      <c r="I3224" s="133"/>
      <c r="J3224" s="133"/>
      <c r="K3224" s="133"/>
      <c r="L3224" s="133"/>
      <c r="M3224" s="133"/>
      <c r="N3224" s="133"/>
      <c r="O3224" s="133"/>
      <c r="P3224" s="134"/>
      <c r="Q3224" s="146"/>
      <c r="R3224" s="17"/>
      <c r="S3224" s="17"/>
      <c r="T3224" s="75"/>
      <c r="U3224" s="75"/>
      <c r="V3224" s="75"/>
      <c r="W3224" s="75"/>
      <c r="X3224" s="75"/>
    </row>
    <row r="3225">
      <c r="A3225" s="17"/>
      <c r="B3225" s="17"/>
      <c r="C3225" s="133"/>
      <c r="D3225" s="133"/>
      <c r="E3225" s="17"/>
      <c r="F3225" s="133"/>
      <c r="G3225" s="133"/>
      <c r="H3225" s="133"/>
      <c r="I3225" s="133"/>
      <c r="J3225" s="133"/>
      <c r="K3225" s="133"/>
      <c r="L3225" s="133"/>
      <c r="M3225" s="133"/>
      <c r="N3225" s="133"/>
      <c r="O3225" s="133"/>
      <c r="P3225" s="134"/>
      <c r="Q3225" s="146"/>
      <c r="R3225" s="17"/>
      <c r="S3225" s="17"/>
      <c r="T3225" s="75"/>
      <c r="U3225" s="75"/>
      <c r="V3225" s="75"/>
      <c r="W3225" s="75"/>
      <c r="X3225" s="75"/>
    </row>
    <row r="3226">
      <c r="A3226" s="17"/>
      <c r="B3226" s="17"/>
      <c r="C3226" s="133"/>
      <c r="D3226" s="133"/>
      <c r="E3226" s="17"/>
      <c r="F3226" s="133"/>
      <c r="G3226" s="133"/>
      <c r="H3226" s="133"/>
      <c r="I3226" s="133"/>
      <c r="J3226" s="133"/>
      <c r="K3226" s="133"/>
      <c r="L3226" s="133"/>
      <c r="M3226" s="133"/>
      <c r="N3226" s="133"/>
      <c r="O3226" s="133"/>
      <c r="P3226" s="134"/>
      <c r="Q3226" s="146"/>
      <c r="R3226" s="17"/>
      <c r="S3226" s="17"/>
      <c r="T3226" s="75"/>
      <c r="U3226" s="75"/>
      <c r="V3226" s="75"/>
      <c r="W3226" s="75"/>
      <c r="X3226" s="75"/>
    </row>
    <row r="3227">
      <c r="A3227" s="17"/>
      <c r="B3227" s="17"/>
      <c r="C3227" s="133"/>
      <c r="D3227" s="133"/>
      <c r="E3227" s="17"/>
      <c r="F3227" s="133"/>
      <c r="G3227" s="133"/>
      <c r="H3227" s="133"/>
      <c r="I3227" s="133"/>
      <c r="J3227" s="133"/>
      <c r="K3227" s="133"/>
      <c r="L3227" s="133"/>
      <c r="M3227" s="133"/>
      <c r="N3227" s="133"/>
      <c r="O3227" s="133"/>
      <c r="P3227" s="134"/>
      <c r="Q3227" s="146"/>
      <c r="R3227" s="17"/>
      <c r="S3227" s="17"/>
      <c r="T3227" s="75"/>
      <c r="U3227" s="75"/>
      <c r="V3227" s="75"/>
      <c r="W3227" s="75"/>
      <c r="X3227" s="75"/>
    </row>
    <row r="3228">
      <c r="A3228" s="17"/>
      <c r="B3228" s="17"/>
      <c r="C3228" s="133"/>
      <c r="D3228" s="133"/>
      <c r="E3228" s="17"/>
      <c r="F3228" s="133"/>
      <c r="G3228" s="133"/>
      <c r="H3228" s="133"/>
      <c r="I3228" s="133"/>
      <c r="J3228" s="133"/>
      <c r="K3228" s="133"/>
      <c r="L3228" s="133"/>
      <c r="M3228" s="133"/>
      <c r="N3228" s="133"/>
      <c r="O3228" s="133"/>
      <c r="P3228" s="134"/>
      <c r="Q3228" s="146"/>
      <c r="R3228" s="17"/>
      <c r="S3228" s="17"/>
      <c r="T3228" s="75"/>
      <c r="U3228" s="75"/>
      <c r="V3228" s="75"/>
      <c r="W3228" s="75"/>
      <c r="X3228" s="75"/>
    </row>
    <row r="3229">
      <c r="A3229" s="17"/>
      <c r="B3229" s="17"/>
      <c r="C3229" s="133"/>
      <c r="D3229" s="133"/>
      <c r="E3229" s="17"/>
      <c r="F3229" s="133"/>
      <c r="G3229" s="133"/>
      <c r="H3229" s="133"/>
      <c r="I3229" s="133"/>
      <c r="J3229" s="133"/>
      <c r="K3229" s="133"/>
      <c r="L3229" s="133"/>
      <c r="M3229" s="133"/>
      <c r="N3229" s="133"/>
      <c r="O3229" s="133"/>
      <c r="P3229" s="134"/>
      <c r="Q3229" s="146"/>
      <c r="R3229" s="17"/>
      <c r="S3229" s="17"/>
      <c r="T3229" s="75"/>
      <c r="U3229" s="75"/>
      <c r="V3229" s="75"/>
      <c r="W3229" s="75"/>
      <c r="X3229" s="75"/>
    </row>
    <row r="3230">
      <c r="A3230" s="17"/>
      <c r="B3230" s="17"/>
      <c r="C3230" s="133"/>
      <c r="D3230" s="133"/>
      <c r="E3230" s="17"/>
      <c r="F3230" s="133"/>
      <c r="G3230" s="133"/>
      <c r="H3230" s="133"/>
      <c r="I3230" s="133"/>
      <c r="J3230" s="133"/>
      <c r="K3230" s="133"/>
      <c r="L3230" s="133"/>
      <c r="M3230" s="133"/>
      <c r="N3230" s="133"/>
      <c r="O3230" s="133"/>
      <c r="P3230" s="134"/>
      <c r="Q3230" s="146"/>
      <c r="R3230" s="17"/>
      <c r="S3230" s="17"/>
      <c r="T3230" s="75"/>
      <c r="U3230" s="75"/>
      <c r="V3230" s="75"/>
      <c r="W3230" s="75"/>
      <c r="X3230" s="75"/>
    </row>
    <row r="3231">
      <c r="A3231" s="17"/>
      <c r="B3231" s="17"/>
      <c r="C3231" s="133"/>
      <c r="D3231" s="133"/>
      <c r="E3231" s="17"/>
      <c r="F3231" s="133"/>
      <c r="G3231" s="133"/>
      <c r="H3231" s="133"/>
      <c r="I3231" s="133"/>
      <c r="J3231" s="133"/>
      <c r="K3231" s="133"/>
      <c r="L3231" s="133"/>
      <c r="M3231" s="133"/>
      <c r="N3231" s="133"/>
      <c r="O3231" s="133"/>
      <c r="P3231" s="134"/>
      <c r="Q3231" s="146"/>
      <c r="R3231" s="17"/>
      <c r="S3231" s="17"/>
      <c r="T3231" s="75"/>
      <c r="U3231" s="75"/>
      <c r="V3231" s="75"/>
      <c r="W3231" s="75"/>
      <c r="X3231" s="75"/>
    </row>
    <row r="3232">
      <c r="A3232" s="17"/>
      <c r="B3232" s="17"/>
      <c r="C3232" s="133"/>
      <c r="D3232" s="133"/>
      <c r="E3232" s="17"/>
      <c r="F3232" s="133"/>
      <c r="G3232" s="133"/>
      <c r="H3232" s="133"/>
      <c r="I3232" s="133"/>
      <c r="J3232" s="133"/>
      <c r="K3232" s="133"/>
      <c r="L3232" s="133"/>
      <c r="M3232" s="133"/>
      <c r="N3232" s="133"/>
      <c r="O3232" s="133"/>
      <c r="P3232" s="134"/>
      <c r="Q3232" s="146"/>
      <c r="R3232" s="17"/>
      <c r="S3232" s="17"/>
      <c r="T3232" s="75"/>
      <c r="U3232" s="75"/>
      <c r="V3232" s="75"/>
      <c r="W3232" s="75"/>
      <c r="X3232" s="75"/>
    </row>
    <row r="3233">
      <c r="A3233" s="17"/>
      <c r="B3233" s="17"/>
      <c r="C3233" s="133"/>
      <c r="D3233" s="133"/>
      <c r="E3233" s="17"/>
      <c r="F3233" s="133"/>
      <c r="G3233" s="133"/>
      <c r="H3233" s="133"/>
      <c r="I3233" s="133"/>
      <c r="J3233" s="133"/>
      <c r="K3233" s="133"/>
      <c r="L3233" s="133"/>
      <c r="M3233" s="133"/>
      <c r="N3233" s="133"/>
      <c r="O3233" s="133"/>
      <c r="P3233" s="134"/>
      <c r="Q3233" s="146"/>
      <c r="R3233" s="17"/>
      <c r="S3233" s="17"/>
      <c r="T3233" s="75"/>
      <c r="U3233" s="75"/>
      <c r="V3233" s="75"/>
      <c r="W3233" s="75"/>
      <c r="X3233" s="75"/>
    </row>
    <row r="3234">
      <c r="A3234" s="17"/>
      <c r="B3234" s="17"/>
      <c r="C3234" s="133"/>
      <c r="D3234" s="133"/>
      <c r="E3234" s="17"/>
      <c r="F3234" s="133"/>
      <c r="G3234" s="133"/>
      <c r="H3234" s="133"/>
      <c r="I3234" s="133"/>
      <c r="J3234" s="133"/>
      <c r="K3234" s="133"/>
      <c r="L3234" s="133"/>
      <c r="M3234" s="133"/>
      <c r="N3234" s="133"/>
      <c r="O3234" s="133"/>
      <c r="P3234" s="134"/>
      <c r="Q3234" s="146"/>
      <c r="R3234" s="17"/>
      <c r="S3234" s="17"/>
      <c r="T3234" s="75"/>
      <c r="U3234" s="75"/>
      <c r="V3234" s="75"/>
      <c r="W3234" s="75"/>
      <c r="X3234" s="75"/>
    </row>
    <row r="3235">
      <c r="A3235" s="17"/>
      <c r="B3235" s="17"/>
      <c r="C3235" s="133"/>
      <c r="D3235" s="133"/>
      <c r="E3235" s="17"/>
      <c r="F3235" s="133"/>
      <c r="G3235" s="133"/>
      <c r="H3235" s="133"/>
      <c r="I3235" s="133"/>
      <c r="J3235" s="133"/>
      <c r="K3235" s="133"/>
      <c r="L3235" s="133"/>
      <c r="M3235" s="133"/>
      <c r="N3235" s="133"/>
      <c r="O3235" s="133"/>
      <c r="P3235" s="134"/>
      <c r="Q3235" s="146"/>
      <c r="R3235" s="17"/>
      <c r="S3235" s="17"/>
      <c r="T3235" s="75"/>
      <c r="U3235" s="75"/>
      <c r="V3235" s="75"/>
      <c r="W3235" s="75"/>
      <c r="X3235" s="75"/>
    </row>
    <row r="3236">
      <c r="A3236" s="17"/>
      <c r="B3236" s="17"/>
      <c r="C3236" s="133"/>
      <c r="D3236" s="133"/>
      <c r="E3236" s="17"/>
      <c r="F3236" s="133"/>
      <c r="G3236" s="133"/>
      <c r="H3236" s="133"/>
      <c r="I3236" s="133"/>
      <c r="J3236" s="133"/>
      <c r="K3236" s="133"/>
      <c r="L3236" s="133"/>
      <c r="M3236" s="133"/>
      <c r="N3236" s="133"/>
      <c r="O3236" s="133"/>
      <c r="P3236" s="134"/>
      <c r="Q3236" s="146"/>
      <c r="R3236" s="17"/>
      <c r="S3236" s="17"/>
      <c r="T3236" s="75"/>
      <c r="U3236" s="75"/>
      <c r="V3236" s="75"/>
      <c r="W3236" s="75"/>
      <c r="X3236" s="75"/>
    </row>
    <row r="3237">
      <c r="A3237" s="17"/>
      <c r="B3237" s="17"/>
      <c r="C3237" s="133"/>
      <c r="D3237" s="133"/>
      <c r="E3237" s="17"/>
      <c r="F3237" s="133"/>
      <c r="G3237" s="133"/>
      <c r="H3237" s="133"/>
      <c r="I3237" s="133"/>
      <c r="J3237" s="133"/>
      <c r="K3237" s="133"/>
      <c r="L3237" s="133"/>
      <c r="M3237" s="133"/>
      <c r="N3237" s="133"/>
      <c r="O3237" s="133"/>
      <c r="P3237" s="134"/>
      <c r="Q3237" s="146"/>
      <c r="R3237" s="17"/>
      <c r="S3237" s="17"/>
      <c r="T3237" s="75"/>
      <c r="U3237" s="75"/>
      <c r="V3237" s="75"/>
      <c r="W3237" s="75"/>
      <c r="X3237" s="75"/>
    </row>
    <row r="3238">
      <c r="A3238" s="17"/>
      <c r="B3238" s="17"/>
      <c r="C3238" s="133"/>
      <c r="D3238" s="133"/>
      <c r="E3238" s="17"/>
      <c r="F3238" s="133"/>
      <c r="G3238" s="133"/>
      <c r="H3238" s="133"/>
      <c r="I3238" s="133"/>
      <c r="J3238" s="133"/>
      <c r="K3238" s="133"/>
      <c r="L3238" s="133"/>
      <c r="M3238" s="133"/>
      <c r="N3238" s="133"/>
      <c r="O3238" s="133"/>
      <c r="P3238" s="134"/>
      <c r="Q3238" s="146"/>
      <c r="R3238" s="17"/>
      <c r="S3238" s="17"/>
      <c r="T3238" s="75"/>
      <c r="U3238" s="75"/>
      <c r="V3238" s="75"/>
      <c r="W3238" s="75"/>
      <c r="X3238" s="75"/>
    </row>
    <row r="3239">
      <c r="A3239" s="17"/>
      <c r="B3239" s="17"/>
      <c r="C3239" s="133"/>
      <c r="D3239" s="133"/>
      <c r="E3239" s="17"/>
      <c r="F3239" s="133"/>
      <c r="G3239" s="133"/>
      <c r="H3239" s="133"/>
      <c r="I3239" s="133"/>
      <c r="J3239" s="133"/>
      <c r="K3239" s="133"/>
      <c r="L3239" s="133"/>
      <c r="M3239" s="133"/>
      <c r="N3239" s="133"/>
      <c r="O3239" s="133"/>
      <c r="P3239" s="134"/>
      <c r="Q3239" s="146"/>
      <c r="R3239" s="17"/>
      <c r="S3239" s="17"/>
      <c r="T3239" s="75"/>
      <c r="U3239" s="75"/>
      <c r="V3239" s="75"/>
      <c r="W3239" s="75"/>
      <c r="X3239" s="75"/>
    </row>
    <row r="3240">
      <c r="A3240" s="17"/>
      <c r="B3240" s="17"/>
      <c r="C3240" s="133"/>
      <c r="D3240" s="133"/>
      <c r="E3240" s="17"/>
      <c r="F3240" s="133"/>
      <c r="G3240" s="133"/>
      <c r="H3240" s="133"/>
      <c r="I3240" s="133"/>
      <c r="J3240" s="133"/>
      <c r="K3240" s="133"/>
      <c r="L3240" s="133"/>
      <c r="M3240" s="133"/>
      <c r="N3240" s="133"/>
      <c r="O3240" s="133"/>
      <c r="P3240" s="134"/>
      <c r="Q3240" s="146"/>
      <c r="R3240" s="17"/>
      <c r="S3240" s="17"/>
      <c r="T3240" s="75"/>
      <c r="U3240" s="75"/>
      <c r="V3240" s="75"/>
      <c r="W3240" s="75"/>
      <c r="X3240" s="75"/>
    </row>
    <row r="3241">
      <c r="A3241" s="17"/>
      <c r="B3241" s="17"/>
      <c r="C3241" s="133"/>
      <c r="D3241" s="133"/>
      <c r="E3241" s="17"/>
      <c r="F3241" s="133"/>
      <c r="G3241" s="133"/>
      <c r="H3241" s="133"/>
      <c r="I3241" s="133"/>
      <c r="J3241" s="133"/>
      <c r="K3241" s="133"/>
      <c r="L3241" s="133"/>
      <c r="M3241" s="133"/>
      <c r="N3241" s="133"/>
      <c r="O3241" s="133"/>
      <c r="P3241" s="134"/>
      <c r="Q3241" s="146"/>
      <c r="R3241" s="17"/>
      <c r="S3241" s="17"/>
      <c r="T3241" s="75"/>
      <c r="U3241" s="75"/>
      <c r="V3241" s="75"/>
      <c r="W3241" s="75"/>
      <c r="X3241" s="75"/>
    </row>
    <row r="3242">
      <c r="A3242" s="17"/>
      <c r="B3242" s="17"/>
      <c r="C3242" s="133"/>
      <c r="D3242" s="133"/>
      <c r="E3242" s="17"/>
      <c r="F3242" s="133"/>
      <c r="G3242" s="133"/>
      <c r="H3242" s="133"/>
      <c r="I3242" s="133"/>
      <c r="J3242" s="133"/>
      <c r="K3242" s="133"/>
      <c r="L3242" s="133"/>
      <c r="M3242" s="133"/>
      <c r="N3242" s="133"/>
      <c r="O3242" s="133"/>
      <c r="P3242" s="134"/>
      <c r="Q3242" s="146"/>
      <c r="R3242" s="17"/>
      <c r="S3242" s="17"/>
      <c r="T3242" s="75"/>
      <c r="U3242" s="75"/>
      <c r="V3242" s="75"/>
      <c r="W3242" s="75"/>
      <c r="X3242" s="75"/>
    </row>
    <row r="3243">
      <c r="A3243" s="17"/>
      <c r="B3243" s="17"/>
      <c r="C3243" s="133"/>
      <c r="D3243" s="133"/>
      <c r="E3243" s="17"/>
      <c r="F3243" s="133"/>
      <c r="G3243" s="133"/>
      <c r="H3243" s="133"/>
      <c r="I3243" s="133"/>
      <c r="J3243" s="133"/>
      <c r="K3243" s="133"/>
      <c r="L3243" s="133"/>
      <c r="M3243" s="133"/>
      <c r="N3243" s="133"/>
      <c r="O3243" s="133"/>
      <c r="P3243" s="134"/>
      <c r="Q3243" s="146"/>
      <c r="R3243" s="17"/>
      <c r="S3243" s="17"/>
      <c r="T3243" s="75"/>
      <c r="U3243" s="75"/>
      <c r="V3243" s="75"/>
      <c r="W3243" s="75"/>
      <c r="X3243" s="75"/>
    </row>
    <row r="3244">
      <c r="A3244" s="17"/>
      <c r="B3244" s="17"/>
      <c r="C3244" s="133"/>
      <c r="D3244" s="133"/>
      <c r="E3244" s="17"/>
      <c r="F3244" s="133"/>
      <c r="G3244" s="133"/>
      <c r="H3244" s="133"/>
      <c r="I3244" s="133"/>
      <c r="J3244" s="133"/>
      <c r="K3244" s="133"/>
      <c r="L3244" s="133"/>
      <c r="M3244" s="133"/>
      <c r="N3244" s="133"/>
      <c r="O3244" s="133"/>
      <c r="P3244" s="134"/>
      <c r="Q3244" s="146"/>
      <c r="R3244" s="17"/>
      <c r="S3244" s="17"/>
      <c r="T3244" s="75"/>
      <c r="U3244" s="75"/>
      <c r="V3244" s="75"/>
      <c r="W3244" s="75"/>
      <c r="X3244" s="75"/>
    </row>
    <row r="3245">
      <c r="A3245" s="17"/>
      <c r="B3245" s="17"/>
      <c r="C3245" s="133"/>
      <c r="D3245" s="133"/>
      <c r="E3245" s="17"/>
      <c r="F3245" s="133"/>
      <c r="G3245" s="133"/>
      <c r="H3245" s="133"/>
      <c r="I3245" s="133"/>
      <c r="J3245" s="133"/>
      <c r="K3245" s="133"/>
      <c r="L3245" s="133"/>
      <c r="M3245" s="133"/>
      <c r="N3245" s="133"/>
      <c r="O3245" s="133"/>
      <c r="P3245" s="134"/>
      <c r="Q3245" s="146"/>
      <c r="R3245" s="17"/>
      <c r="S3245" s="17"/>
      <c r="T3245" s="75"/>
      <c r="U3245" s="75"/>
      <c r="V3245" s="75"/>
      <c r="W3245" s="75"/>
      <c r="X3245" s="75"/>
    </row>
    <row r="3246">
      <c r="A3246" s="17"/>
      <c r="B3246" s="17"/>
      <c r="C3246" s="133"/>
      <c r="D3246" s="133"/>
      <c r="E3246" s="17"/>
      <c r="F3246" s="133"/>
      <c r="G3246" s="133"/>
      <c r="H3246" s="133"/>
      <c r="I3246" s="133"/>
      <c r="J3246" s="133"/>
      <c r="K3246" s="133"/>
      <c r="L3246" s="133"/>
      <c r="M3246" s="133"/>
      <c r="N3246" s="133"/>
      <c r="O3246" s="133"/>
      <c r="P3246" s="134"/>
      <c r="Q3246" s="146"/>
      <c r="R3246" s="17"/>
      <c r="S3246" s="17"/>
      <c r="T3246" s="75"/>
      <c r="U3246" s="75"/>
      <c r="V3246" s="75"/>
      <c r="W3246" s="75"/>
      <c r="X3246" s="75"/>
    </row>
    <row r="3247">
      <c r="A3247" s="17"/>
      <c r="B3247" s="17"/>
      <c r="C3247" s="133"/>
      <c r="D3247" s="133"/>
      <c r="E3247" s="17"/>
      <c r="F3247" s="133"/>
      <c r="G3247" s="133"/>
      <c r="H3247" s="133"/>
      <c r="I3247" s="133"/>
      <c r="J3247" s="133"/>
      <c r="K3247" s="133"/>
      <c r="L3247" s="133"/>
      <c r="M3247" s="133"/>
      <c r="N3247" s="133"/>
      <c r="O3247" s="133"/>
      <c r="P3247" s="134"/>
      <c r="Q3247" s="146"/>
      <c r="R3247" s="17"/>
      <c r="S3247" s="17"/>
      <c r="T3247" s="75"/>
      <c r="U3247" s="75"/>
      <c r="V3247" s="75"/>
      <c r="W3247" s="75"/>
      <c r="X3247" s="75"/>
    </row>
    <row r="3248">
      <c r="A3248" s="17"/>
      <c r="B3248" s="17"/>
      <c r="C3248" s="133"/>
      <c r="D3248" s="133"/>
      <c r="E3248" s="17"/>
      <c r="F3248" s="133"/>
      <c r="G3248" s="133"/>
      <c r="H3248" s="133"/>
      <c r="I3248" s="133"/>
      <c r="J3248" s="133"/>
      <c r="K3248" s="133"/>
      <c r="L3248" s="133"/>
      <c r="M3248" s="133"/>
      <c r="N3248" s="133"/>
      <c r="O3248" s="133"/>
      <c r="P3248" s="134"/>
      <c r="Q3248" s="146"/>
      <c r="R3248" s="17"/>
      <c r="S3248" s="17"/>
      <c r="T3248" s="75"/>
      <c r="U3248" s="75"/>
      <c r="V3248" s="75"/>
      <c r="W3248" s="75"/>
      <c r="X3248" s="75"/>
    </row>
    <row r="3249">
      <c r="A3249" s="17"/>
      <c r="B3249" s="17"/>
      <c r="C3249" s="133"/>
      <c r="D3249" s="133"/>
      <c r="E3249" s="17"/>
      <c r="F3249" s="133"/>
      <c r="G3249" s="133"/>
      <c r="H3249" s="133"/>
      <c r="I3249" s="133"/>
      <c r="J3249" s="133"/>
      <c r="K3249" s="133"/>
      <c r="L3249" s="133"/>
      <c r="M3249" s="133"/>
      <c r="N3249" s="133"/>
      <c r="O3249" s="133"/>
      <c r="P3249" s="134"/>
      <c r="Q3249" s="146"/>
      <c r="R3249" s="17"/>
      <c r="S3249" s="17"/>
      <c r="T3249" s="75"/>
      <c r="U3249" s="75"/>
      <c r="V3249" s="75"/>
      <c r="W3249" s="75"/>
      <c r="X3249" s="75"/>
    </row>
    <row r="3250">
      <c r="A3250" s="17"/>
      <c r="B3250" s="17"/>
      <c r="C3250" s="133"/>
      <c r="D3250" s="133"/>
      <c r="E3250" s="17"/>
      <c r="F3250" s="133"/>
      <c r="G3250" s="133"/>
      <c r="H3250" s="133"/>
      <c r="I3250" s="133"/>
      <c r="J3250" s="133"/>
      <c r="K3250" s="133"/>
      <c r="L3250" s="133"/>
      <c r="M3250" s="133"/>
      <c r="N3250" s="133"/>
      <c r="O3250" s="133"/>
      <c r="P3250" s="134"/>
      <c r="Q3250" s="146"/>
      <c r="R3250" s="17"/>
      <c r="S3250" s="17"/>
      <c r="T3250" s="75"/>
      <c r="U3250" s="75"/>
      <c r="V3250" s="75"/>
      <c r="W3250" s="75"/>
      <c r="X3250" s="75"/>
    </row>
    <row r="3251">
      <c r="A3251" s="17"/>
      <c r="B3251" s="17"/>
      <c r="C3251" s="133"/>
      <c r="D3251" s="133"/>
      <c r="E3251" s="17"/>
      <c r="F3251" s="133"/>
      <c r="G3251" s="133"/>
      <c r="H3251" s="133"/>
      <c r="I3251" s="133"/>
      <c r="J3251" s="133"/>
      <c r="K3251" s="133"/>
      <c r="L3251" s="133"/>
      <c r="M3251" s="133"/>
      <c r="N3251" s="133"/>
      <c r="O3251" s="133"/>
      <c r="P3251" s="134"/>
      <c r="Q3251" s="146"/>
      <c r="R3251" s="17"/>
      <c r="S3251" s="17"/>
      <c r="T3251" s="75"/>
      <c r="U3251" s="75"/>
      <c r="V3251" s="75"/>
      <c r="W3251" s="75"/>
      <c r="X3251" s="75"/>
    </row>
    <row r="3252">
      <c r="A3252" s="17"/>
      <c r="B3252" s="17"/>
      <c r="C3252" s="133"/>
      <c r="D3252" s="133"/>
      <c r="E3252" s="17"/>
      <c r="F3252" s="133"/>
      <c r="G3252" s="133"/>
      <c r="H3252" s="133"/>
      <c r="I3252" s="133"/>
      <c r="J3252" s="133"/>
      <c r="K3252" s="133"/>
      <c r="L3252" s="133"/>
      <c r="M3252" s="133"/>
      <c r="N3252" s="133"/>
      <c r="O3252" s="133"/>
      <c r="P3252" s="134"/>
      <c r="Q3252" s="146"/>
      <c r="R3252" s="17"/>
      <c r="S3252" s="17"/>
      <c r="T3252" s="75"/>
      <c r="U3252" s="75"/>
      <c r="V3252" s="75"/>
      <c r="W3252" s="75"/>
      <c r="X3252" s="75"/>
    </row>
    <row r="3253">
      <c r="A3253" s="17"/>
      <c r="B3253" s="17"/>
      <c r="C3253" s="133"/>
      <c r="D3253" s="133"/>
      <c r="E3253" s="17"/>
      <c r="F3253" s="133"/>
      <c r="G3253" s="133"/>
      <c r="H3253" s="133"/>
      <c r="I3253" s="133"/>
      <c r="J3253" s="133"/>
      <c r="K3253" s="133"/>
      <c r="L3253" s="133"/>
      <c r="M3253" s="133"/>
      <c r="N3253" s="133"/>
      <c r="O3253" s="133"/>
      <c r="P3253" s="134"/>
      <c r="Q3253" s="146"/>
      <c r="R3253" s="17"/>
      <c r="S3253" s="17"/>
      <c r="T3253" s="75"/>
      <c r="U3253" s="75"/>
      <c r="V3253" s="75"/>
      <c r="W3253" s="75"/>
      <c r="X3253" s="75"/>
    </row>
    <row r="3254">
      <c r="A3254" s="17"/>
      <c r="B3254" s="17"/>
      <c r="C3254" s="133"/>
      <c r="D3254" s="133"/>
      <c r="E3254" s="17"/>
      <c r="F3254" s="133"/>
      <c r="G3254" s="133"/>
      <c r="H3254" s="133"/>
      <c r="I3254" s="133"/>
      <c r="J3254" s="133"/>
      <c r="K3254" s="133"/>
      <c r="L3254" s="133"/>
      <c r="M3254" s="133"/>
      <c r="N3254" s="133"/>
      <c r="O3254" s="133"/>
      <c r="P3254" s="134"/>
      <c r="Q3254" s="146"/>
      <c r="R3254" s="17"/>
      <c r="S3254" s="17"/>
      <c r="T3254" s="75"/>
      <c r="U3254" s="75"/>
      <c r="V3254" s="75"/>
      <c r="W3254" s="75"/>
      <c r="X3254" s="75"/>
    </row>
    <row r="3255">
      <c r="A3255" s="17"/>
      <c r="B3255" s="17"/>
      <c r="C3255" s="133"/>
      <c r="D3255" s="133"/>
      <c r="E3255" s="17"/>
      <c r="F3255" s="133"/>
      <c r="G3255" s="133"/>
      <c r="H3255" s="133"/>
      <c r="I3255" s="133"/>
      <c r="J3255" s="133"/>
      <c r="K3255" s="133"/>
      <c r="L3255" s="133"/>
      <c r="M3255" s="133"/>
      <c r="N3255" s="133"/>
      <c r="O3255" s="133"/>
      <c r="P3255" s="134"/>
      <c r="Q3255" s="146"/>
      <c r="R3255" s="17"/>
      <c r="S3255" s="17"/>
      <c r="T3255" s="75"/>
      <c r="U3255" s="75"/>
      <c r="V3255" s="75"/>
      <c r="W3255" s="75"/>
      <c r="X3255" s="75"/>
    </row>
    <row r="3256">
      <c r="A3256" s="17"/>
      <c r="B3256" s="17"/>
      <c r="C3256" s="133"/>
      <c r="D3256" s="133"/>
      <c r="E3256" s="17"/>
      <c r="F3256" s="133"/>
      <c r="G3256" s="133"/>
      <c r="H3256" s="133"/>
      <c r="I3256" s="133"/>
      <c r="J3256" s="133"/>
      <c r="K3256" s="133"/>
      <c r="L3256" s="133"/>
      <c r="M3256" s="133"/>
      <c r="N3256" s="133"/>
      <c r="O3256" s="133"/>
      <c r="P3256" s="134"/>
      <c r="Q3256" s="146"/>
      <c r="R3256" s="17"/>
      <c r="S3256" s="17"/>
      <c r="T3256" s="75"/>
      <c r="U3256" s="75"/>
      <c r="V3256" s="75"/>
      <c r="W3256" s="75"/>
      <c r="X3256" s="75"/>
    </row>
    <row r="3257">
      <c r="A3257" s="17"/>
      <c r="B3257" s="17"/>
      <c r="C3257" s="133"/>
      <c r="D3257" s="133"/>
      <c r="E3257" s="17"/>
      <c r="F3257" s="133"/>
      <c r="G3257" s="133"/>
      <c r="H3257" s="133"/>
      <c r="I3257" s="133"/>
      <c r="J3257" s="133"/>
      <c r="K3257" s="133"/>
      <c r="L3257" s="133"/>
      <c r="M3257" s="133"/>
      <c r="N3257" s="133"/>
      <c r="O3257" s="133"/>
      <c r="P3257" s="134"/>
      <c r="Q3257" s="146"/>
      <c r="R3257" s="17"/>
      <c r="S3257" s="17"/>
      <c r="T3257" s="75"/>
      <c r="U3257" s="75"/>
      <c r="V3257" s="75"/>
      <c r="W3257" s="75"/>
      <c r="X3257" s="75"/>
    </row>
    <row r="3258">
      <c r="A3258" s="17"/>
      <c r="B3258" s="17"/>
      <c r="C3258" s="133"/>
      <c r="D3258" s="133"/>
      <c r="E3258" s="17"/>
      <c r="F3258" s="133"/>
      <c r="G3258" s="133"/>
      <c r="H3258" s="133"/>
      <c r="I3258" s="133"/>
      <c r="J3258" s="133"/>
      <c r="K3258" s="133"/>
      <c r="L3258" s="133"/>
      <c r="M3258" s="133"/>
      <c r="N3258" s="133"/>
      <c r="O3258" s="133"/>
      <c r="P3258" s="134"/>
      <c r="Q3258" s="146"/>
      <c r="R3258" s="17"/>
      <c r="S3258" s="17"/>
      <c r="T3258" s="75"/>
      <c r="U3258" s="75"/>
      <c r="V3258" s="75"/>
      <c r="W3258" s="75"/>
      <c r="X3258" s="75"/>
    </row>
    <row r="3259">
      <c r="A3259" s="17"/>
      <c r="B3259" s="17"/>
      <c r="C3259" s="133"/>
      <c r="D3259" s="133"/>
      <c r="E3259" s="17"/>
      <c r="F3259" s="133"/>
      <c r="G3259" s="133"/>
      <c r="H3259" s="133"/>
      <c r="I3259" s="133"/>
      <c r="J3259" s="133"/>
      <c r="K3259" s="133"/>
      <c r="L3259" s="133"/>
      <c r="M3259" s="133"/>
      <c r="N3259" s="133"/>
      <c r="O3259" s="133"/>
      <c r="P3259" s="134"/>
      <c r="Q3259" s="146"/>
      <c r="R3259" s="17"/>
      <c r="S3259" s="17"/>
      <c r="T3259" s="75"/>
      <c r="U3259" s="75"/>
      <c r="V3259" s="75"/>
      <c r="W3259" s="75"/>
      <c r="X3259" s="75"/>
    </row>
    <row r="3260">
      <c r="A3260" s="17"/>
      <c r="B3260" s="17"/>
      <c r="C3260" s="133"/>
      <c r="D3260" s="133"/>
      <c r="E3260" s="17"/>
      <c r="F3260" s="133"/>
      <c r="G3260" s="133"/>
      <c r="H3260" s="133"/>
      <c r="I3260" s="133"/>
      <c r="J3260" s="133"/>
      <c r="K3260" s="133"/>
      <c r="L3260" s="133"/>
      <c r="M3260" s="133"/>
      <c r="N3260" s="133"/>
      <c r="O3260" s="133"/>
      <c r="P3260" s="134"/>
      <c r="Q3260" s="146"/>
      <c r="R3260" s="17"/>
      <c r="S3260" s="17"/>
      <c r="T3260" s="75"/>
      <c r="U3260" s="75"/>
      <c r="V3260" s="75"/>
      <c r="W3260" s="75"/>
      <c r="X3260" s="75"/>
    </row>
    <row r="3261">
      <c r="A3261" s="17"/>
      <c r="B3261" s="17"/>
      <c r="C3261" s="133"/>
      <c r="D3261" s="133"/>
      <c r="E3261" s="17"/>
      <c r="F3261" s="133"/>
      <c r="G3261" s="133"/>
      <c r="H3261" s="133"/>
      <c r="I3261" s="133"/>
      <c r="J3261" s="133"/>
      <c r="K3261" s="133"/>
      <c r="L3261" s="133"/>
      <c r="M3261" s="133"/>
      <c r="N3261" s="133"/>
      <c r="O3261" s="133"/>
      <c r="P3261" s="134"/>
      <c r="Q3261" s="146"/>
      <c r="R3261" s="17"/>
      <c r="S3261" s="17"/>
      <c r="T3261" s="75"/>
      <c r="U3261" s="75"/>
      <c r="V3261" s="75"/>
      <c r="W3261" s="75"/>
      <c r="X3261" s="75"/>
    </row>
    <row r="3262">
      <c r="A3262" s="17"/>
      <c r="B3262" s="17"/>
      <c r="C3262" s="133"/>
      <c r="D3262" s="133"/>
      <c r="E3262" s="17"/>
      <c r="F3262" s="133"/>
      <c r="G3262" s="133"/>
      <c r="H3262" s="133"/>
      <c r="I3262" s="133"/>
      <c r="J3262" s="133"/>
      <c r="K3262" s="133"/>
      <c r="L3262" s="133"/>
      <c r="M3262" s="133"/>
      <c r="N3262" s="133"/>
      <c r="O3262" s="133"/>
      <c r="P3262" s="134"/>
      <c r="Q3262" s="146"/>
      <c r="R3262" s="17"/>
      <c r="S3262" s="17"/>
      <c r="T3262" s="75"/>
      <c r="U3262" s="75"/>
      <c r="V3262" s="75"/>
      <c r="W3262" s="75"/>
      <c r="X3262" s="75"/>
    </row>
    <row r="3263">
      <c r="A3263" s="17"/>
      <c r="B3263" s="17"/>
      <c r="C3263" s="133"/>
      <c r="D3263" s="133"/>
      <c r="E3263" s="17"/>
      <c r="F3263" s="133"/>
      <c r="G3263" s="133"/>
      <c r="H3263" s="133"/>
      <c r="I3263" s="133"/>
      <c r="J3263" s="133"/>
      <c r="K3263" s="133"/>
      <c r="L3263" s="133"/>
      <c r="M3263" s="133"/>
      <c r="N3263" s="133"/>
      <c r="O3263" s="133"/>
      <c r="P3263" s="134"/>
      <c r="Q3263" s="146"/>
      <c r="R3263" s="17"/>
      <c r="S3263" s="17"/>
      <c r="T3263" s="75"/>
      <c r="U3263" s="75"/>
      <c r="V3263" s="75"/>
      <c r="W3263" s="75"/>
      <c r="X3263" s="75"/>
    </row>
    <row r="3264">
      <c r="A3264" s="17"/>
      <c r="B3264" s="17"/>
      <c r="C3264" s="133"/>
      <c r="D3264" s="133"/>
      <c r="E3264" s="17"/>
      <c r="F3264" s="133"/>
      <c r="G3264" s="133"/>
      <c r="H3264" s="133"/>
      <c r="I3264" s="133"/>
      <c r="J3264" s="133"/>
      <c r="K3264" s="133"/>
      <c r="L3264" s="133"/>
      <c r="M3264" s="133"/>
      <c r="N3264" s="133"/>
      <c r="O3264" s="133"/>
      <c r="P3264" s="134"/>
      <c r="Q3264" s="146"/>
      <c r="R3264" s="17"/>
      <c r="S3264" s="17"/>
      <c r="T3264" s="75"/>
      <c r="U3264" s="75"/>
      <c r="V3264" s="75"/>
      <c r="W3264" s="75"/>
      <c r="X3264" s="75"/>
    </row>
    <row r="3265">
      <c r="A3265" s="17"/>
      <c r="B3265" s="17"/>
      <c r="C3265" s="133"/>
      <c r="D3265" s="133"/>
      <c r="E3265" s="17"/>
      <c r="F3265" s="133"/>
      <c r="G3265" s="133"/>
      <c r="H3265" s="133"/>
      <c r="I3265" s="133"/>
      <c r="J3265" s="133"/>
      <c r="K3265" s="133"/>
      <c r="L3265" s="133"/>
      <c r="M3265" s="133"/>
      <c r="N3265" s="133"/>
      <c r="O3265" s="133"/>
      <c r="P3265" s="134"/>
      <c r="Q3265" s="146"/>
      <c r="R3265" s="17"/>
      <c r="S3265" s="17"/>
      <c r="T3265" s="75"/>
      <c r="U3265" s="75"/>
      <c r="V3265" s="75"/>
      <c r="W3265" s="75"/>
      <c r="X3265" s="75"/>
    </row>
    <row r="3266">
      <c r="A3266" s="17"/>
      <c r="B3266" s="17"/>
      <c r="C3266" s="133"/>
      <c r="D3266" s="133"/>
      <c r="E3266" s="17"/>
      <c r="F3266" s="133"/>
      <c r="G3266" s="133"/>
      <c r="H3266" s="133"/>
      <c r="I3266" s="133"/>
      <c r="J3266" s="133"/>
      <c r="K3266" s="133"/>
      <c r="L3266" s="133"/>
      <c r="M3266" s="133"/>
      <c r="N3266" s="133"/>
      <c r="O3266" s="133"/>
      <c r="P3266" s="134"/>
      <c r="Q3266" s="146"/>
      <c r="R3266" s="17"/>
      <c r="S3266" s="17"/>
      <c r="T3266" s="75"/>
      <c r="U3266" s="75"/>
      <c r="V3266" s="75"/>
      <c r="W3266" s="75"/>
      <c r="X3266" s="75"/>
    </row>
    <row r="3267">
      <c r="A3267" s="17"/>
      <c r="B3267" s="17"/>
      <c r="C3267" s="133"/>
      <c r="D3267" s="133"/>
      <c r="E3267" s="17"/>
      <c r="F3267" s="133"/>
      <c r="G3267" s="133"/>
      <c r="H3267" s="133"/>
      <c r="I3267" s="133"/>
      <c r="J3267" s="133"/>
      <c r="K3267" s="133"/>
      <c r="L3267" s="133"/>
      <c r="M3267" s="133"/>
      <c r="N3267" s="133"/>
      <c r="O3267" s="133"/>
      <c r="P3267" s="134"/>
      <c r="Q3267" s="146"/>
      <c r="R3267" s="17"/>
      <c r="S3267" s="17"/>
      <c r="T3267" s="75"/>
      <c r="U3267" s="75"/>
      <c r="V3267" s="75"/>
      <c r="W3267" s="75"/>
      <c r="X3267" s="75"/>
    </row>
    <row r="3268">
      <c r="A3268" s="17"/>
      <c r="B3268" s="17"/>
      <c r="C3268" s="133"/>
      <c r="D3268" s="133"/>
      <c r="E3268" s="17"/>
      <c r="F3268" s="133"/>
      <c r="G3268" s="133"/>
      <c r="H3268" s="133"/>
      <c r="I3268" s="133"/>
      <c r="J3268" s="133"/>
      <c r="K3268" s="133"/>
      <c r="L3268" s="133"/>
      <c r="M3268" s="133"/>
      <c r="N3268" s="133"/>
      <c r="O3268" s="133"/>
      <c r="P3268" s="134"/>
      <c r="Q3268" s="146"/>
      <c r="R3268" s="17"/>
      <c r="S3268" s="17"/>
      <c r="T3268" s="75"/>
      <c r="U3268" s="75"/>
      <c r="V3268" s="75"/>
      <c r="W3268" s="75"/>
      <c r="X3268" s="75"/>
    </row>
    <row r="3269">
      <c r="A3269" s="17"/>
      <c r="B3269" s="17"/>
      <c r="C3269" s="133"/>
      <c r="D3269" s="133"/>
      <c r="E3269" s="17"/>
      <c r="F3269" s="133"/>
      <c r="G3269" s="133"/>
      <c r="H3269" s="133"/>
      <c r="I3269" s="133"/>
      <c r="J3269" s="133"/>
      <c r="K3269" s="133"/>
      <c r="L3269" s="133"/>
      <c r="M3269" s="133"/>
      <c r="N3269" s="133"/>
      <c r="O3269" s="133"/>
      <c r="P3269" s="134"/>
      <c r="Q3269" s="146"/>
      <c r="R3269" s="17"/>
      <c r="S3269" s="17"/>
      <c r="T3269" s="75"/>
      <c r="U3269" s="75"/>
      <c r="V3269" s="75"/>
      <c r="W3269" s="75"/>
      <c r="X3269" s="75"/>
    </row>
    <row r="3270">
      <c r="A3270" s="17"/>
      <c r="B3270" s="17"/>
      <c r="C3270" s="133"/>
      <c r="D3270" s="133"/>
      <c r="E3270" s="17"/>
      <c r="F3270" s="133"/>
      <c r="G3270" s="133"/>
      <c r="H3270" s="133"/>
      <c r="I3270" s="133"/>
      <c r="J3270" s="133"/>
      <c r="K3270" s="133"/>
      <c r="L3270" s="133"/>
      <c r="M3270" s="133"/>
      <c r="N3270" s="133"/>
      <c r="O3270" s="133"/>
      <c r="P3270" s="134"/>
      <c r="Q3270" s="146"/>
      <c r="R3270" s="17"/>
      <c r="S3270" s="17"/>
      <c r="T3270" s="75"/>
      <c r="U3270" s="75"/>
      <c r="V3270" s="75"/>
      <c r="W3270" s="75"/>
      <c r="X3270" s="75"/>
    </row>
    <row r="3271">
      <c r="A3271" s="17"/>
      <c r="B3271" s="17"/>
      <c r="C3271" s="133"/>
      <c r="D3271" s="133"/>
      <c r="E3271" s="17"/>
      <c r="F3271" s="133"/>
      <c r="G3271" s="133"/>
      <c r="H3271" s="133"/>
      <c r="I3271" s="133"/>
      <c r="J3271" s="133"/>
      <c r="K3271" s="133"/>
      <c r="L3271" s="133"/>
      <c r="M3271" s="133"/>
      <c r="N3271" s="133"/>
      <c r="O3271" s="133"/>
      <c r="P3271" s="134"/>
      <c r="Q3271" s="146"/>
      <c r="R3271" s="17"/>
      <c r="S3271" s="17"/>
      <c r="T3271" s="75"/>
      <c r="U3271" s="75"/>
      <c r="V3271" s="75"/>
      <c r="W3271" s="75"/>
      <c r="X3271" s="75"/>
    </row>
    <row r="3272">
      <c r="A3272" s="17"/>
      <c r="B3272" s="17"/>
      <c r="C3272" s="133"/>
      <c r="D3272" s="133"/>
      <c r="E3272" s="17"/>
      <c r="F3272" s="133"/>
      <c r="G3272" s="133"/>
      <c r="H3272" s="133"/>
      <c r="I3272" s="133"/>
      <c r="J3272" s="133"/>
      <c r="K3272" s="133"/>
      <c r="L3272" s="133"/>
      <c r="M3272" s="133"/>
      <c r="N3272" s="133"/>
      <c r="O3272" s="133"/>
      <c r="P3272" s="134"/>
      <c r="Q3272" s="146"/>
      <c r="R3272" s="17"/>
      <c r="S3272" s="17"/>
      <c r="T3272" s="75"/>
      <c r="U3272" s="75"/>
      <c r="V3272" s="75"/>
      <c r="W3272" s="75"/>
      <c r="X3272" s="75"/>
    </row>
    <row r="3273">
      <c r="A3273" s="17"/>
      <c r="B3273" s="17"/>
      <c r="C3273" s="133"/>
      <c r="D3273" s="133"/>
      <c r="E3273" s="17"/>
      <c r="F3273" s="133"/>
      <c r="G3273" s="133"/>
      <c r="H3273" s="133"/>
      <c r="I3273" s="133"/>
      <c r="J3273" s="133"/>
      <c r="K3273" s="133"/>
      <c r="L3273" s="133"/>
      <c r="M3273" s="133"/>
      <c r="N3273" s="133"/>
      <c r="O3273" s="133"/>
      <c r="P3273" s="134"/>
      <c r="Q3273" s="146"/>
      <c r="R3273" s="17"/>
      <c r="S3273" s="17"/>
      <c r="T3273" s="75"/>
      <c r="U3273" s="75"/>
      <c r="V3273" s="75"/>
      <c r="W3273" s="75"/>
      <c r="X3273" s="75"/>
    </row>
    <row r="3274">
      <c r="A3274" s="17"/>
      <c r="B3274" s="17"/>
      <c r="C3274" s="133"/>
      <c r="D3274" s="133"/>
      <c r="E3274" s="17"/>
      <c r="F3274" s="133"/>
      <c r="G3274" s="133"/>
      <c r="H3274" s="133"/>
      <c r="I3274" s="133"/>
      <c r="J3274" s="133"/>
      <c r="K3274" s="133"/>
      <c r="L3274" s="133"/>
      <c r="M3274" s="133"/>
      <c r="N3274" s="133"/>
      <c r="O3274" s="133"/>
      <c r="P3274" s="134"/>
      <c r="Q3274" s="146"/>
      <c r="R3274" s="17"/>
      <c r="S3274" s="17"/>
      <c r="T3274" s="75"/>
      <c r="U3274" s="75"/>
      <c r="V3274" s="75"/>
      <c r="W3274" s="75"/>
      <c r="X3274" s="75"/>
    </row>
    <row r="3275">
      <c r="A3275" s="17"/>
      <c r="B3275" s="17"/>
      <c r="C3275" s="133"/>
      <c r="D3275" s="133"/>
      <c r="E3275" s="17"/>
      <c r="F3275" s="133"/>
      <c r="G3275" s="133"/>
      <c r="H3275" s="133"/>
      <c r="I3275" s="133"/>
      <c r="J3275" s="133"/>
      <c r="K3275" s="133"/>
      <c r="L3275" s="133"/>
      <c r="M3275" s="133"/>
      <c r="N3275" s="133"/>
      <c r="O3275" s="133"/>
      <c r="P3275" s="134"/>
      <c r="Q3275" s="146"/>
      <c r="R3275" s="17"/>
      <c r="S3275" s="17"/>
      <c r="T3275" s="75"/>
      <c r="U3275" s="75"/>
      <c r="V3275" s="75"/>
      <c r="W3275" s="75"/>
      <c r="X3275" s="75"/>
    </row>
    <row r="3276">
      <c r="A3276" s="17"/>
      <c r="B3276" s="17"/>
      <c r="C3276" s="133"/>
      <c r="D3276" s="133"/>
      <c r="E3276" s="17"/>
      <c r="F3276" s="133"/>
      <c r="G3276" s="133"/>
      <c r="H3276" s="133"/>
      <c r="I3276" s="133"/>
      <c r="J3276" s="133"/>
      <c r="K3276" s="133"/>
      <c r="L3276" s="133"/>
      <c r="M3276" s="133"/>
      <c r="N3276" s="133"/>
      <c r="O3276" s="133"/>
      <c r="P3276" s="134"/>
      <c r="Q3276" s="146"/>
      <c r="R3276" s="17"/>
      <c r="S3276" s="17"/>
      <c r="T3276" s="75"/>
      <c r="U3276" s="75"/>
      <c r="V3276" s="75"/>
      <c r="W3276" s="75"/>
      <c r="X3276" s="75"/>
    </row>
    <row r="3277">
      <c r="A3277" s="17"/>
      <c r="B3277" s="17"/>
      <c r="C3277" s="133"/>
      <c r="D3277" s="133"/>
      <c r="E3277" s="17"/>
      <c r="F3277" s="133"/>
      <c r="G3277" s="133"/>
      <c r="H3277" s="133"/>
      <c r="I3277" s="133"/>
      <c r="J3277" s="133"/>
      <c r="K3277" s="133"/>
      <c r="L3277" s="133"/>
      <c r="M3277" s="133"/>
      <c r="N3277" s="133"/>
      <c r="O3277" s="133"/>
      <c r="P3277" s="134"/>
      <c r="Q3277" s="146"/>
      <c r="R3277" s="17"/>
      <c r="S3277" s="17"/>
      <c r="T3277" s="75"/>
      <c r="U3277" s="75"/>
      <c r="V3277" s="75"/>
      <c r="W3277" s="75"/>
      <c r="X3277" s="75"/>
    </row>
    <row r="3278">
      <c r="A3278" s="17"/>
      <c r="B3278" s="17"/>
      <c r="C3278" s="133"/>
      <c r="D3278" s="133"/>
      <c r="E3278" s="17"/>
      <c r="F3278" s="133"/>
      <c r="G3278" s="133"/>
      <c r="H3278" s="133"/>
      <c r="I3278" s="133"/>
      <c r="J3278" s="133"/>
      <c r="K3278" s="133"/>
      <c r="L3278" s="133"/>
      <c r="M3278" s="133"/>
      <c r="N3278" s="133"/>
      <c r="O3278" s="133"/>
      <c r="P3278" s="134"/>
      <c r="Q3278" s="146"/>
      <c r="R3278" s="17"/>
      <c r="S3278" s="17"/>
      <c r="T3278" s="75"/>
      <c r="U3278" s="75"/>
      <c r="V3278" s="75"/>
      <c r="W3278" s="75"/>
      <c r="X3278" s="75"/>
    </row>
    <row r="3279">
      <c r="A3279" s="17"/>
      <c r="B3279" s="17"/>
      <c r="C3279" s="133"/>
      <c r="D3279" s="133"/>
      <c r="E3279" s="17"/>
      <c r="F3279" s="133"/>
      <c r="G3279" s="133"/>
      <c r="H3279" s="133"/>
      <c r="I3279" s="133"/>
      <c r="J3279" s="133"/>
      <c r="K3279" s="133"/>
      <c r="L3279" s="133"/>
      <c r="M3279" s="133"/>
      <c r="N3279" s="133"/>
      <c r="O3279" s="133"/>
      <c r="P3279" s="134"/>
      <c r="Q3279" s="146"/>
      <c r="R3279" s="17"/>
      <c r="S3279" s="17"/>
      <c r="T3279" s="75"/>
      <c r="U3279" s="75"/>
      <c r="V3279" s="75"/>
      <c r="W3279" s="75"/>
      <c r="X3279" s="75"/>
    </row>
    <row r="3280">
      <c r="A3280" s="17"/>
      <c r="B3280" s="17"/>
      <c r="C3280" s="133"/>
      <c r="D3280" s="133"/>
      <c r="E3280" s="17"/>
      <c r="F3280" s="133"/>
      <c r="G3280" s="133"/>
      <c r="H3280" s="133"/>
      <c r="I3280" s="133"/>
      <c r="J3280" s="133"/>
      <c r="K3280" s="133"/>
      <c r="L3280" s="133"/>
      <c r="M3280" s="133"/>
      <c r="N3280" s="133"/>
      <c r="O3280" s="133"/>
      <c r="P3280" s="134"/>
      <c r="Q3280" s="146"/>
      <c r="R3280" s="17"/>
      <c r="S3280" s="17"/>
      <c r="T3280" s="75"/>
      <c r="U3280" s="75"/>
      <c r="V3280" s="75"/>
      <c r="W3280" s="75"/>
      <c r="X3280" s="75"/>
    </row>
    <row r="3281">
      <c r="A3281" s="17"/>
      <c r="B3281" s="17"/>
      <c r="C3281" s="133"/>
      <c r="D3281" s="133"/>
      <c r="E3281" s="17"/>
      <c r="F3281" s="133"/>
      <c r="G3281" s="133"/>
      <c r="H3281" s="133"/>
      <c r="I3281" s="133"/>
      <c r="J3281" s="133"/>
      <c r="K3281" s="133"/>
      <c r="L3281" s="133"/>
      <c r="M3281" s="133"/>
      <c r="N3281" s="133"/>
      <c r="O3281" s="133"/>
      <c r="P3281" s="134"/>
      <c r="Q3281" s="146"/>
      <c r="R3281" s="17"/>
      <c r="S3281" s="17"/>
      <c r="T3281" s="75"/>
      <c r="U3281" s="75"/>
      <c r="V3281" s="75"/>
      <c r="W3281" s="75"/>
      <c r="X3281" s="75"/>
    </row>
    <row r="3282">
      <c r="A3282" s="17"/>
      <c r="B3282" s="17"/>
      <c r="C3282" s="133"/>
      <c r="D3282" s="133"/>
      <c r="E3282" s="17"/>
      <c r="F3282" s="133"/>
      <c r="G3282" s="133"/>
      <c r="H3282" s="133"/>
      <c r="I3282" s="133"/>
      <c r="J3282" s="133"/>
      <c r="K3282" s="133"/>
      <c r="L3282" s="133"/>
      <c r="M3282" s="133"/>
      <c r="N3282" s="133"/>
      <c r="O3282" s="133"/>
      <c r="P3282" s="134"/>
      <c r="Q3282" s="146"/>
      <c r="R3282" s="17"/>
      <c r="S3282" s="17"/>
      <c r="T3282" s="75"/>
      <c r="U3282" s="75"/>
      <c r="V3282" s="75"/>
      <c r="W3282" s="75"/>
      <c r="X3282" s="75"/>
    </row>
    <row r="3283">
      <c r="A3283" s="17"/>
      <c r="B3283" s="17"/>
      <c r="C3283" s="133"/>
      <c r="D3283" s="133"/>
      <c r="E3283" s="17"/>
      <c r="F3283" s="133"/>
      <c r="G3283" s="133"/>
      <c r="H3283" s="133"/>
      <c r="I3283" s="133"/>
      <c r="J3283" s="133"/>
      <c r="K3283" s="133"/>
      <c r="L3283" s="133"/>
      <c r="M3283" s="133"/>
      <c r="N3283" s="133"/>
      <c r="O3283" s="133"/>
      <c r="P3283" s="134"/>
      <c r="Q3283" s="146"/>
      <c r="R3283" s="17"/>
      <c r="S3283" s="17"/>
      <c r="T3283" s="75"/>
      <c r="U3283" s="75"/>
      <c r="V3283" s="75"/>
      <c r="W3283" s="75"/>
      <c r="X3283" s="75"/>
    </row>
    <row r="3284">
      <c r="A3284" s="17"/>
      <c r="B3284" s="17"/>
      <c r="C3284" s="133"/>
      <c r="D3284" s="133"/>
      <c r="E3284" s="17"/>
      <c r="F3284" s="133"/>
      <c r="G3284" s="133"/>
      <c r="H3284" s="133"/>
      <c r="I3284" s="133"/>
      <c r="J3284" s="133"/>
      <c r="K3284" s="133"/>
      <c r="L3284" s="133"/>
      <c r="M3284" s="133"/>
      <c r="N3284" s="133"/>
      <c r="O3284" s="133"/>
      <c r="P3284" s="134"/>
      <c r="Q3284" s="146"/>
      <c r="R3284" s="17"/>
      <c r="S3284" s="17"/>
      <c r="T3284" s="75"/>
      <c r="U3284" s="75"/>
      <c r="V3284" s="75"/>
      <c r="W3284" s="75"/>
      <c r="X3284" s="75"/>
    </row>
    <row r="3285">
      <c r="A3285" s="17"/>
      <c r="B3285" s="17"/>
      <c r="C3285" s="133"/>
      <c r="D3285" s="133"/>
      <c r="E3285" s="17"/>
      <c r="F3285" s="133"/>
      <c r="G3285" s="133"/>
      <c r="H3285" s="133"/>
      <c r="I3285" s="133"/>
      <c r="J3285" s="133"/>
      <c r="K3285" s="133"/>
      <c r="L3285" s="133"/>
      <c r="M3285" s="133"/>
      <c r="N3285" s="133"/>
      <c r="O3285" s="133"/>
      <c r="P3285" s="134"/>
      <c r="Q3285" s="146"/>
      <c r="R3285" s="17"/>
      <c r="S3285" s="17"/>
      <c r="T3285" s="75"/>
      <c r="U3285" s="75"/>
      <c r="V3285" s="75"/>
      <c r="W3285" s="75"/>
      <c r="X3285" s="75"/>
    </row>
    <row r="3286">
      <c r="A3286" s="17"/>
      <c r="B3286" s="17"/>
      <c r="C3286" s="133"/>
      <c r="D3286" s="133"/>
      <c r="E3286" s="17"/>
      <c r="F3286" s="133"/>
      <c r="G3286" s="133"/>
      <c r="H3286" s="133"/>
      <c r="I3286" s="133"/>
      <c r="J3286" s="133"/>
      <c r="K3286" s="133"/>
      <c r="L3286" s="133"/>
      <c r="M3286" s="133"/>
      <c r="N3286" s="133"/>
      <c r="O3286" s="133"/>
      <c r="P3286" s="134"/>
      <c r="Q3286" s="146"/>
      <c r="R3286" s="17"/>
      <c r="S3286" s="17"/>
      <c r="T3286" s="75"/>
      <c r="U3286" s="75"/>
      <c r="V3286" s="75"/>
      <c r="W3286" s="75"/>
      <c r="X3286" s="75"/>
    </row>
    <row r="3287">
      <c r="A3287" s="17"/>
      <c r="B3287" s="17"/>
      <c r="C3287" s="133"/>
      <c r="D3287" s="133"/>
      <c r="E3287" s="17"/>
      <c r="F3287" s="133"/>
      <c r="G3287" s="133"/>
      <c r="H3287" s="133"/>
      <c r="I3287" s="133"/>
      <c r="J3287" s="133"/>
      <c r="K3287" s="133"/>
      <c r="L3287" s="133"/>
      <c r="M3287" s="133"/>
      <c r="N3287" s="133"/>
      <c r="O3287" s="133"/>
      <c r="P3287" s="134"/>
      <c r="Q3287" s="146"/>
      <c r="R3287" s="17"/>
      <c r="S3287" s="17"/>
      <c r="T3287" s="75"/>
      <c r="U3287" s="75"/>
      <c r="V3287" s="75"/>
      <c r="W3287" s="75"/>
      <c r="X3287" s="75"/>
    </row>
    <row r="3288">
      <c r="A3288" s="17"/>
      <c r="B3288" s="17"/>
      <c r="C3288" s="133"/>
      <c r="D3288" s="133"/>
      <c r="E3288" s="17"/>
      <c r="F3288" s="133"/>
      <c r="G3288" s="133"/>
      <c r="H3288" s="133"/>
      <c r="I3288" s="133"/>
      <c r="J3288" s="133"/>
      <c r="K3288" s="133"/>
      <c r="L3288" s="133"/>
      <c r="M3288" s="133"/>
      <c r="N3288" s="133"/>
      <c r="O3288" s="133"/>
      <c r="P3288" s="134"/>
      <c r="Q3288" s="146"/>
      <c r="R3288" s="17"/>
      <c r="S3288" s="17"/>
      <c r="T3288" s="75"/>
      <c r="U3288" s="75"/>
      <c r="V3288" s="75"/>
      <c r="W3288" s="75"/>
      <c r="X3288" s="75"/>
    </row>
    <row r="3289">
      <c r="A3289" s="17"/>
      <c r="B3289" s="17"/>
      <c r="C3289" s="133"/>
      <c r="D3289" s="133"/>
      <c r="E3289" s="17"/>
      <c r="F3289" s="133"/>
      <c r="G3289" s="133"/>
      <c r="H3289" s="133"/>
      <c r="I3289" s="133"/>
      <c r="J3289" s="133"/>
      <c r="K3289" s="133"/>
      <c r="L3289" s="133"/>
      <c r="M3289" s="133"/>
      <c r="N3289" s="133"/>
      <c r="O3289" s="133"/>
      <c r="P3289" s="134"/>
      <c r="Q3289" s="146"/>
      <c r="R3289" s="17"/>
      <c r="S3289" s="17"/>
      <c r="T3289" s="75"/>
      <c r="U3289" s="75"/>
      <c r="V3289" s="75"/>
      <c r="W3289" s="75"/>
      <c r="X3289" s="75"/>
    </row>
    <row r="3290">
      <c r="A3290" s="17"/>
      <c r="B3290" s="17"/>
      <c r="C3290" s="133"/>
      <c r="D3290" s="133"/>
      <c r="E3290" s="17"/>
      <c r="F3290" s="133"/>
      <c r="G3290" s="133"/>
      <c r="H3290" s="133"/>
      <c r="I3290" s="133"/>
      <c r="J3290" s="133"/>
      <c r="K3290" s="133"/>
      <c r="L3290" s="133"/>
      <c r="M3290" s="133"/>
      <c r="N3290" s="133"/>
      <c r="O3290" s="133"/>
      <c r="P3290" s="134"/>
      <c r="Q3290" s="146"/>
      <c r="R3290" s="17"/>
      <c r="S3290" s="17"/>
      <c r="T3290" s="75"/>
      <c r="U3290" s="75"/>
      <c r="V3290" s="75"/>
      <c r="W3290" s="75"/>
      <c r="X3290" s="75"/>
    </row>
    <row r="3291">
      <c r="A3291" s="17"/>
      <c r="B3291" s="17"/>
      <c r="C3291" s="133"/>
      <c r="D3291" s="133"/>
      <c r="E3291" s="17"/>
      <c r="F3291" s="133"/>
      <c r="G3291" s="133"/>
      <c r="H3291" s="133"/>
      <c r="I3291" s="133"/>
      <c r="J3291" s="133"/>
      <c r="K3291" s="133"/>
      <c r="L3291" s="133"/>
      <c r="M3291" s="133"/>
      <c r="N3291" s="133"/>
      <c r="O3291" s="133"/>
      <c r="P3291" s="134"/>
      <c r="Q3291" s="146"/>
      <c r="R3291" s="17"/>
      <c r="S3291" s="17"/>
      <c r="T3291" s="75"/>
      <c r="U3291" s="75"/>
      <c r="V3291" s="75"/>
      <c r="W3291" s="75"/>
      <c r="X3291" s="75"/>
    </row>
    <row r="3292">
      <c r="A3292" s="17"/>
      <c r="B3292" s="17"/>
      <c r="C3292" s="133"/>
      <c r="D3292" s="133"/>
      <c r="E3292" s="17"/>
      <c r="F3292" s="133"/>
      <c r="G3292" s="133"/>
      <c r="H3292" s="133"/>
      <c r="I3292" s="133"/>
      <c r="J3292" s="133"/>
      <c r="K3292" s="133"/>
      <c r="L3292" s="133"/>
      <c r="M3292" s="133"/>
      <c r="N3292" s="133"/>
      <c r="O3292" s="133"/>
      <c r="P3292" s="134"/>
      <c r="Q3292" s="146"/>
      <c r="R3292" s="17"/>
      <c r="S3292" s="17"/>
      <c r="T3292" s="75"/>
      <c r="U3292" s="75"/>
      <c r="V3292" s="75"/>
      <c r="W3292" s="75"/>
      <c r="X3292" s="75"/>
    </row>
    <row r="3293">
      <c r="A3293" s="17"/>
      <c r="B3293" s="17"/>
      <c r="C3293" s="133"/>
      <c r="D3293" s="133"/>
      <c r="E3293" s="17"/>
      <c r="F3293" s="133"/>
      <c r="G3293" s="133"/>
      <c r="H3293" s="133"/>
      <c r="I3293" s="133"/>
      <c r="J3293" s="133"/>
      <c r="K3293" s="133"/>
      <c r="L3293" s="133"/>
      <c r="M3293" s="133"/>
      <c r="N3293" s="133"/>
      <c r="O3293" s="133"/>
      <c r="P3293" s="134"/>
      <c r="Q3293" s="146"/>
      <c r="R3293" s="17"/>
      <c r="S3293" s="17"/>
      <c r="T3293" s="75"/>
      <c r="U3293" s="75"/>
      <c r="V3293" s="75"/>
      <c r="W3293" s="75"/>
      <c r="X3293" s="75"/>
    </row>
    <row r="3294">
      <c r="A3294" s="17"/>
      <c r="B3294" s="17"/>
      <c r="C3294" s="133"/>
      <c r="D3294" s="133"/>
      <c r="E3294" s="17"/>
      <c r="F3294" s="133"/>
      <c r="G3294" s="133"/>
      <c r="H3294" s="133"/>
      <c r="I3294" s="133"/>
      <c r="J3294" s="133"/>
      <c r="K3294" s="133"/>
      <c r="L3294" s="133"/>
      <c r="M3294" s="133"/>
      <c r="N3294" s="133"/>
      <c r="O3294" s="133"/>
      <c r="P3294" s="134"/>
      <c r="Q3294" s="146"/>
      <c r="R3294" s="17"/>
      <c r="S3294" s="17"/>
      <c r="T3294" s="75"/>
      <c r="U3294" s="75"/>
      <c r="V3294" s="75"/>
      <c r="W3294" s="75"/>
      <c r="X3294" s="75"/>
    </row>
    <row r="3295">
      <c r="A3295" s="17"/>
      <c r="B3295" s="17"/>
      <c r="C3295" s="133"/>
      <c r="D3295" s="133"/>
      <c r="E3295" s="17"/>
      <c r="F3295" s="133"/>
      <c r="G3295" s="133"/>
      <c r="H3295" s="133"/>
      <c r="I3295" s="133"/>
      <c r="J3295" s="133"/>
      <c r="K3295" s="133"/>
      <c r="L3295" s="133"/>
      <c r="M3295" s="133"/>
      <c r="N3295" s="133"/>
      <c r="O3295" s="133"/>
      <c r="P3295" s="134"/>
      <c r="Q3295" s="146"/>
      <c r="R3295" s="17"/>
      <c r="S3295" s="17"/>
      <c r="T3295" s="75"/>
      <c r="U3295" s="75"/>
      <c r="V3295" s="75"/>
      <c r="W3295" s="75"/>
      <c r="X3295" s="75"/>
    </row>
    <row r="3296">
      <c r="A3296" s="17"/>
      <c r="B3296" s="17"/>
      <c r="C3296" s="133"/>
      <c r="D3296" s="133"/>
      <c r="E3296" s="17"/>
      <c r="F3296" s="133"/>
      <c r="G3296" s="133"/>
      <c r="H3296" s="133"/>
      <c r="I3296" s="133"/>
      <c r="J3296" s="133"/>
      <c r="K3296" s="133"/>
      <c r="L3296" s="133"/>
      <c r="M3296" s="133"/>
      <c r="N3296" s="133"/>
      <c r="O3296" s="133"/>
      <c r="P3296" s="134"/>
      <c r="Q3296" s="146"/>
      <c r="R3296" s="17"/>
      <c r="S3296" s="17"/>
      <c r="T3296" s="75"/>
      <c r="U3296" s="75"/>
      <c r="V3296" s="75"/>
      <c r="W3296" s="75"/>
      <c r="X3296" s="75"/>
    </row>
    <row r="3297">
      <c r="A3297" s="17"/>
      <c r="B3297" s="17"/>
      <c r="C3297" s="133"/>
      <c r="D3297" s="133"/>
      <c r="E3297" s="17"/>
      <c r="F3297" s="133"/>
      <c r="G3297" s="133"/>
      <c r="H3297" s="133"/>
      <c r="I3297" s="133"/>
      <c r="J3297" s="133"/>
      <c r="K3297" s="133"/>
      <c r="L3297" s="133"/>
      <c r="M3297" s="133"/>
      <c r="N3297" s="133"/>
      <c r="O3297" s="133"/>
      <c r="P3297" s="134"/>
      <c r="Q3297" s="146"/>
      <c r="R3297" s="17"/>
      <c r="S3297" s="17"/>
      <c r="T3297" s="75"/>
      <c r="U3297" s="75"/>
      <c r="V3297" s="75"/>
      <c r="W3297" s="75"/>
      <c r="X3297" s="75"/>
    </row>
    <row r="3298">
      <c r="A3298" s="17"/>
      <c r="B3298" s="17"/>
      <c r="C3298" s="133"/>
      <c r="D3298" s="133"/>
      <c r="E3298" s="17"/>
      <c r="F3298" s="133"/>
      <c r="G3298" s="133"/>
      <c r="H3298" s="133"/>
      <c r="I3298" s="133"/>
      <c r="J3298" s="133"/>
      <c r="K3298" s="133"/>
      <c r="L3298" s="133"/>
      <c r="M3298" s="133"/>
      <c r="N3298" s="133"/>
      <c r="O3298" s="133"/>
      <c r="P3298" s="134"/>
      <c r="Q3298" s="146"/>
      <c r="R3298" s="17"/>
      <c r="S3298" s="17"/>
      <c r="T3298" s="75"/>
      <c r="U3298" s="75"/>
      <c r="V3298" s="75"/>
      <c r="W3298" s="75"/>
      <c r="X3298" s="75"/>
    </row>
    <row r="3299">
      <c r="A3299" s="17"/>
      <c r="B3299" s="17"/>
      <c r="C3299" s="133"/>
      <c r="D3299" s="133"/>
      <c r="E3299" s="17"/>
      <c r="F3299" s="133"/>
      <c r="G3299" s="133"/>
      <c r="H3299" s="133"/>
      <c r="I3299" s="133"/>
      <c r="J3299" s="133"/>
      <c r="K3299" s="133"/>
      <c r="L3299" s="133"/>
      <c r="M3299" s="133"/>
      <c r="N3299" s="133"/>
      <c r="O3299" s="133"/>
      <c r="P3299" s="134"/>
      <c r="Q3299" s="146"/>
      <c r="R3299" s="17"/>
      <c r="S3299" s="17"/>
      <c r="T3299" s="75"/>
      <c r="U3299" s="75"/>
      <c r="V3299" s="75"/>
      <c r="W3299" s="75"/>
      <c r="X3299" s="75"/>
    </row>
    <row r="3300">
      <c r="A3300" s="17"/>
      <c r="B3300" s="17"/>
      <c r="C3300" s="133"/>
      <c r="D3300" s="133"/>
      <c r="E3300" s="17"/>
      <c r="F3300" s="133"/>
      <c r="G3300" s="133"/>
      <c r="H3300" s="133"/>
      <c r="I3300" s="133"/>
      <c r="J3300" s="133"/>
      <c r="K3300" s="133"/>
      <c r="L3300" s="133"/>
      <c r="M3300" s="133"/>
      <c r="N3300" s="133"/>
      <c r="O3300" s="133"/>
      <c r="P3300" s="134"/>
      <c r="Q3300" s="146"/>
      <c r="R3300" s="17"/>
      <c r="S3300" s="17"/>
      <c r="T3300" s="75"/>
      <c r="U3300" s="75"/>
      <c r="V3300" s="75"/>
      <c r="W3300" s="75"/>
      <c r="X3300" s="75"/>
    </row>
    <row r="3301">
      <c r="A3301" s="17"/>
      <c r="B3301" s="17"/>
      <c r="C3301" s="133"/>
      <c r="D3301" s="133"/>
      <c r="E3301" s="17"/>
      <c r="F3301" s="133"/>
      <c r="G3301" s="133"/>
      <c r="H3301" s="133"/>
      <c r="I3301" s="133"/>
      <c r="J3301" s="133"/>
      <c r="K3301" s="133"/>
      <c r="L3301" s="133"/>
      <c r="M3301" s="133"/>
      <c r="N3301" s="133"/>
      <c r="O3301" s="133"/>
      <c r="P3301" s="134"/>
      <c r="Q3301" s="146"/>
      <c r="R3301" s="17"/>
      <c r="S3301" s="17"/>
      <c r="T3301" s="75"/>
      <c r="U3301" s="75"/>
      <c r="V3301" s="75"/>
      <c r="W3301" s="75"/>
      <c r="X3301" s="75"/>
    </row>
    <row r="3302">
      <c r="A3302" s="17"/>
      <c r="B3302" s="17"/>
      <c r="C3302" s="133"/>
      <c r="D3302" s="133"/>
      <c r="E3302" s="17"/>
      <c r="F3302" s="133"/>
      <c r="G3302" s="133"/>
      <c r="H3302" s="133"/>
      <c r="I3302" s="133"/>
      <c r="J3302" s="133"/>
      <c r="K3302" s="133"/>
      <c r="L3302" s="133"/>
      <c r="M3302" s="133"/>
      <c r="N3302" s="133"/>
      <c r="O3302" s="133"/>
      <c r="P3302" s="134"/>
      <c r="Q3302" s="146"/>
      <c r="R3302" s="17"/>
      <c r="S3302" s="17"/>
      <c r="T3302" s="75"/>
      <c r="U3302" s="75"/>
      <c r="V3302" s="75"/>
      <c r="W3302" s="75"/>
      <c r="X3302" s="75"/>
    </row>
    <row r="3303">
      <c r="A3303" s="17"/>
      <c r="B3303" s="17"/>
      <c r="C3303" s="133"/>
      <c r="D3303" s="133"/>
      <c r="E3303" s="17"/>
      <c r="F3303" s="133"/>
      <c r="G3303" s="133"/>
      <c r="H3303" s="133"/>
      <c r="I3303" s="133"/>
      <c r="J3303" s="133"/>
      <c r="K3303" s="133"/>
      <c r="L3303" s="133"/>
      <c r="M3303" s="133"/>
      <c r="N3303" s="133"/>
      <c r="O3303" s="133"/>
      <c r="P3303" s="134"/>
      <c r="Q3303" s="146"/>
      <c r="R3303" s="17"/>
      <c r="S3303" s="17"/>
      <c r="T3303" s="75"/>
      <c r="U3303" s="75"/>
      <c r="V3303" s="75"/>
      <c r="W3303" s="75"/>
      <c r="X3303" s="75"/>
    </row>
    <row r="3304">
      <c r="A3304" s="17"/>
      <c r="B3304" s="17"/>
      <c r="C3304" s="133"/>
      <c r="D3304" s="133"/>
      <c r="E3304" s="17"/>
      <c r="F3304" s="133"/>
      <c r="G3304" s="133"/>
      <c r="H3304" s="133"/>
      <c r="I3304" s="133"/>
      <c r="J3304" s="133"/>
      <c r="K3304" s="133"/>
      <c r="L3304" s="133"/>
      <c r="M3304" s="133"/>
      <c r="N3304" s="133"/>
      <c r="O3304" s="133"/>
      <c r="P3304" s="134"/>
      <c r="Q3304" s="146"/>
      <c r="R3304" s="17"/>
      <c r="S3304" s="17"/>
      <c r="T3304" s="75"/>
      <c r="U3304" s="75"/>
      <c r="V3304" s="75"/>
      <c r="W3304" s="75"/>
      <c r="X3304" s="75"/>
    </row>
    <row r="3305">
      <c r="A3305" s="17"/>
      <c r="B3305" s="17"/>
      <c r="C3305" s="133"/>
      <c r="D3305" s="133"/>
      <c r="E3305" s="17"/>
      <c r="F3305" s="133"/>
      <c r="G3305" s="133"/>
      <c r="H3305" s="133"/>
      <c r="I3305" s="133"/>
      <c r="J3305" s="133"/>
      <c r="K3305" s="133"/>
      <c r="L3305" s="133"/>
      <c r="M3305" s="133"/>
      <c r="N3305" s="133"/>
      <c r="O3305" s="133"/>
      <c r="P3305" s="134"/>
      <c r="Q3305" s="146"/>
      <c r="R3305" s="17"/>
      <c r="S3305" s="17"/>
      <c r="T3305" s="75"/>
      <c r="U3305" s="75"/>
      <c r="V3305" s="75"/>
      <c r="W3305" s="75"/>
      <c r="X3305" s="75"/>
    </row>
    <row r="3306">
      <c r="A3306" s="17"/>
      <c r="B3306" s="17"/>
      <c r="C3306" s="133"/>
      <c r="D3306" s="133"/>
      <c r="E3306" s="17"/>
      <c r="F3306" s="133"/>
      <c r="G3306" s="133"/>
      <c r="H3306" s="133"/>
      <c r="I3306" s="133"/>
      <c r="J3306" s="133"/>
      <c r="K3306" s="133"/>
      <c r="L3306" s="133"/>
      <c r="M3306" s="133"/>
      <c r="N3306" s="133"/>
      <c r="O3306" s="133"/>
      <c r="P3306" s="134"/>
      <c r="Q3306" s="146"/>
      <c r="R3306" s="17"/>
      <c r="S3306" s="17"/>
      <c r="T3306" s="75"/>
      <c r="U3306" s="75"/>
      <c r="V3306" s="75"/>
      <c r="W3306" s="75"/>
      <c r="X3306" s="75"/>
    </row>
    <row r="3307">
      <c r="A3307" s="17"/>
      <c r="B3307" s="17"/>
      <c r="C3307" s="133"/>
      <c r="D3307" s="133"/>
      <c r="E3307" s="17"/>
      <c r="F3307" s="133"/>
      <c r="G3307" s="133"/>
      <c r="H3307" s="133"/>
      <c r="I3307" s="133"/>
      <c r="J3307" s="133"/>
      <c r="K3307" s="133"/>
      <c r="L3307" s="133"/>
      <c r="M3307" s="133"/>
      <c r="N3307" s="133"/>
      <c r="O3307" s="133"/>
      <c r="P3307" s="134"/>
      <c r="Q3307" s="146"/>
      <c r="R3307" s="17"/>
      <c r="S3307" s="17"/>
      <c r="T3307" s="75"/>
      <c r="U3307" s="75"/>
      <c r="V3307" s="75"/>
      <c r="W3307" s="75"/>
      <c r="X3307" s="75"/>
    </row>
    <row r="3308">
      <c r="A3308" s="17"/>
      <c r="B3308" s="17"/>
      <c r="C3308" s="133"/>
      <c r="D3308" s="133"/>
      <c r="E3308" s="17"/>
      <c r="F3308" s="133"/>
      <c r="G3308" s="133"/>
      <c r="H3308" s="133"/>
      <c r="I3308" s="133"/>
      <c r="J3308" s="133"/>
      <c r="K3308" s="133"/>
      <c r="L3308" s="133"/>
      <c r="M3308" s="133"/>
      <c r="N3308" s="133"/>
      <c r="O3308" s="133"/>
      <c r="P3308" s="134"/>
      <c r="Q3308" s="146"/>
      <c r="R3308" s="17"/>
      <c r="S3308" s="17"/>
      <c r="T3308" s="75"/>
      <c r="U3308" s="75"/>
      <c r="V3308" s="75"/>
      <c r="W3308" s="75"/>
      <c r="X3308" s="75"/>
    </row>
    <row r="3309">
      <c r="A3309" s="17"/>
      <c r="B3309" s="17"/>
      <c r="C3309" s="133"/>
      <c r="D3309" s="133"/>
      <c r="E3309" s="17"/>
      <c r="F3309" s="133"/>
      <c r="G3309" s="133"/>
      <c r="H3309" s="133"/>
      <c r="I3309" s="133"/>
      <c r="J3309" s="133"/>
      <c r="K3309" s="133"/>
      <c r="L3309" s="133"/>
      <c r="M3309" s="133"/>
      <c r="N3309" s="133"/>
      <c r="O3309" s="133"/>
      <c r="P3309" s="134"/>
      <c r="Q3309" s="146"/>
      <c r="R3309" s="17"/>
      <c r="S3309" s="17"/>
      <c r="T3309" s="75"/>
      <c r="U3309" s="75"/>
      <c r="V3309" s="75"/>
      <c r="W3309" s="75"/>
      <c r="X3309" s="75"/>
    </row>
    <row r="3310">
      <c r="A3310" s="17"/>
      <c r="B3310" s="17"/>
      <c r="C3310" s="133"/>
      <c r="D3310" s="133"/>
      <c r="E3310" s="17"/>
      <c r="F3310" s="133"/>
      <c r="G3310" s="133"/>
      <c r="H3310" s="133"/>
      <c r="I3310" s="133"/>
      <c r="J3310" s="133"/>
      <c r="K3310" s="133"/>
      <c r="L3310" s="133"/>
      <c r="M3310" s="133"/>
      <c r="N3310" s="133"/>
      <c r="O3310" s="133"/>
      <c r="P3310" s="134"/>
      <c r="Q3310" s="146"/>
      <c r="R3310" s="17"/>
      <c r="S3310" s="17"/>
      <c r="T3310" s="75"/>
      <c r="U3310" s="75"/>
      <c r="V3310" s="75"/>
      <c r="W3310" s="75"/>
      <c r="X3310" s="75"/>
    </row>
    <row r="3311">
      <c r="A3311" s="17"/>
      <c r="B3311" s="17"/>
      <c r="C3311" s="133"/>
      <c r="D3311" s="133"/>
      <c r="E3311" s="17"/>
      <c r="F3311" s="133"/>
      <c r="G3311" s="133"/>
      <c r="H3311" s="133"/>
      <c r="I3311" s="133"/>
      <c r="J3311" s="133"/>
      <c r="K3311" s="133"/>
      <c r="L3311" s="133"/>
      <c r="M3311" s="133"/>
      <c r="N3311" s="133"/>
      <c r="O3311" s="133"/>
      <c r="P3311" s="134"/>
      <c r="Q3311" s="146"/>
      <c r="R3311" s="17"/>
      <c r="S3311" s="17"/>
      <c r="T3311" s="75"/>
      <c r="U3311" s="75"/>
      <c r="V3311" s="75"/>
      <c r="W3311" s="75"/>
      <c r="X3311" s="75"/>
    </row>
    <row r="3312">
      <c r="A3312" s="17"/>
      <c r="B3312" s="17"/>
      <c r="C3312" s="133"/>
      <c r="D3312" s="133"/>
      <c r="E3312" s="17"/>
      <c r="F3312" s="133"/>
      <c r="G3312" s="133"/>
      <c r="H3312" s="133"/>
      <c r="I3312" s="133"/>
      <c r="J3312" s="133"/>
      <c r="K3312" s="133"/>
      <c r="L3312" s="133"/>
      <c r="M3312" s="133"/>
      <c r="N3312" s="133"/>
      <c r="O3312" s="133"/>
      <c r="P3312" s="134"/>
      <c r="Q3312" s="146"/>
      <c r="R3312" s="17"/>
      <c r="S3312" s="17"/>
      <c r="T3312" s="75"/>
      <c r="U3312" s="75"/>
      <c r="V3312" s="75"/>
      <c r="W3312" s="75"/>
      <c r="X3312" s="75"/>
    </row>
    <row r="3313">
      <c r="A3313" s="17"/>
      <c r="B3313" s="17"/>
      <c r="C3313" s="133"/>
      <c r="D3313" s="133"/>
      <c r="E3313" s="17"/>
      <c r="F3313" s="133"/>
      <c r="G3313" s="133"/>
      <c r="H3313" s="133"/>
      <c r="I3313" s="133"/>
      <c r="J3313" s="133"/>
      <c r="K3313" s="133"/>
      <c r="L3313" s="133"/>
      <c r="M3313" s="133"/>
      <c r="N3313" s="133"/>
      <c r="O3313" s="133"/>
      <c r="P3313" s="134"/>
      <c r="Q3313" s="146"/>
      <c r="R3313" s="17"/>
      <c r="S3313" s="17"/>
      <c r="T3313" s="75"/>
      <c r="U3313" s="75"/>
      <c r="V3313" s="75"/>
      <c r="W3313" s="75"/>
      <c r="X3313" s="75"/>
    </row>
    <row r="3314">
      <c r="A3314" s="17"/>
      <c r="B3314" s="17"/>
      <c r="C3314" s="133"/>
      <c r="D3314" s="133"/>
      <c r="E3314" s="17"/>
      <c r="F3314" s="133"/>
      <c r="G3314" s="133"/>
      <c r="H3314" s="133"/>
      <c r="I3314" s="133"/>
      <c r="J3314" s="133"/>
      <c r="K3314" s="133"/>
      <c r="L3314" s="133"/>
      <c r="M3314" s="133"/>
      <c r="N3314" s="133"/>
      <c r="O3314" s="133"/>
      <c r="P3314" s="134"/>
      <c r="Q3314" s="146"/>
      <c r="R3314" s="17"/>
      <c r="S3314" s="17"/>
      <c r="T3314" s="75"/>
      <c r="U3314" s="75"/>
      <c r="V3314" s="75"/>
      <c r="W3314" s="75"/>
      <c r="X3314" s="75"/>
    </row>
    <row r="3315">
      <c r="A3315" s="17"/>
      <c r="B3315" s="17"/>
      <c r="C3315" s="133"/>
      <c r="D3315" s="133"/>
      <c r="E3315" s="17"/>
      <c r="F3315" s="133"/>
      <c r="G3315" s="133"/>
      <c r="H3315" s="133"/>
      <c r="I3315" s="133"/>
      <c r="J3315" s="133"/>
      <c r="K3315" s="133"/>
      <c r="L3315" s="133"/>
      <c r="M3315" s="133"/>
      <c r="N3315" s="133"/>
      <c r="O3315" s="133"/>
      <c r="P3315" s="134"/>
      <c r="Q3315" s="146"/>
      <c r="R3315" s="17"/>
      <c r="S3315" s="17"/>
      <c r="T3315" s="75"/>
      <c r="U3315" s="75"/>
      <c r="V3315" s="75"/>
      <c r="W3315" s="75"/>
      <c r="X3315" s="75"/>
    </row>
    <row r="3316">
      <c r="A3316" s="17"/>
      <c r="B3316" s="17"/>
      <c r="C3316" s="133"/>
      <c r="D3316" s="133"/>
      <c r="E3316" s="17"/>
      <c r="F3316" s="133"/>
      <c r="G3316" s="133"/>
      <c r="H3316" s="133"/>
      <c r="I3316" s="133"/>
      <c r="J3316" s="133"/>
      <c r="K3316" s="133"/>
      <c r="L3316" s="133"/>
      <c r="M3316" s="133"/>
      <c r="N3316" s="133"/>
      <c r="O3316" s="133"/>
      <c r="P3316" s="134"/>
      <c r="Q3316" s="146"/>
      <c r="R3316" s="17"/>
      <c r="S3316" s="17"/>
      <c r="T3316" s="75"/>
      <c r="U3316" s="75"/>
      <c r="V3316" s="75"/>
      <c r="W3316" s="75"/>
      <c r="X3316" s="75"/>
    </row>
    <row r="3317">
      <c r="A3317" s="17"/>
      <c r="B3317" s="17"/>
      <c r="C3317" s="133"/>
      <c r="D3317" s="133"/>
      <c r="E3317" s="17"/>
      <c r="F3317" s="133"/>
      <c r="G3317" s="133"/>
      <c r="H3317" s="133"/>
      <c r="I3317" s="133"/>
      <c r="J3317" s="133"/>
      <c r="K3317" s="133"/>
      <c r="L3317" s="133"/>
      <c r="M3317" s="133"/>
      <c r="N3317" s="133"/>
      <c r="O3317" s="133"/>
      <c r="P3317" s="134"/>
      <c r="Q3317" s="146"/>
      <c r="R3317" s="17"/>
      <c r="S3317" s="17"/>
      <c r="T3317" s="75"/>
      <c r="U3317" s="75"/>
      <c r="V3317" s="75"/>
      <c r="W3317" s="75"/>
      <c r="X3317" s="75"/>
    </row>
    <row r="3318">
      <c r="A3318" s="17"/>
      <c r="B3318" s="17"/>
      <c r="C3318" s="133"/>
      <c r="D3318" s="133"/>
      <c r="E3318" s="17"/>
      <c r="F3318" s="133"/>
      <c r="G3318" s="133"/>
      <c r="H3318" s="133"/>
      <c r="I3318" s="133"/>
      <c r="J3318" s="133"/>
      <c r="K3318" s="133"/>
      <c r="L3318" s="133"/>
      <c r="M3318" s="133"/>
      <c r="N3318" s="133"/>
      <c r="O3318" s="133"/>
      <c r="P3318" s="134"/>
      <c r="Q3318" s="146"/>
      <c r="R3318" s="17"/>
      <c r="S3318" s="17"/>
      <c r="T3318" s="75"/>
      <c r="U3318" s="75"/>
      <c r="V3318" s="75"/>
      <c r="W3318" s="75"/>
      <c r="X3318" s="75"/>
    </row>
    <row r="3319">
      <c r="A3319" s="17"/>
      <c r="B3319" s="17"/>
      <c r="C3319" s="133"/>
      <c r="D3319" s="133"/>
      <c r="E3319" s="17"/>
      <c r="F3319" s="133"/>
      <c r="G3319" s="133"/>
      <c r="H3319" s="133"/>
      <c r="I3319" s="133"/>
      <c r="J3319" s="133"/>
      <c r="K3319" s="133"/>
      <c r="L3319" s="133"/>
      <c r="M3319" s="133"/>
      <c r="N3319" s="133"/>
      <c r="O3319" s="133"/>
      <c r="P3319" s="134"/>
      <c r="Q3319" s="146"/>
      <c r="R3319" s="17"/>
      <c r="S3319" s="17"/>
      <c r="T3319" s="75"/>
      <c r="U3319" s="75"/>
      <c r="V3319" s="75"/>
      <c r="W3319" s="75"/>
      <c r="X3319" s="75"/>
    </row>
    <row r="3320">
      <c r="A3320" s="17"/>
      <c r="B3320" s="17"/>
      <c r="C3320" s="133"/>
      <c r="D3320" s="133"/>
      <c r="E3320" s="17"/>
      <c r="F3320" s="133"/>
      <c r="G3320" s="133"/>
      <c r="H3320" s="133"/>
      <c r="I3320" s="133"/>
      <c r="J3320" s="133"/>
      <c r="K3320" s="133"/>
      <c r="L3320" s="133"/>
      <c r="M3320" s="133"/>
      <c r="N3320" s="133"/>
      <c r="O3320" s="133"/>
      <c r="P3320" s="134"/>
      <c r="Q3320" s="146"/>
      <c r="R3320" s="17"/>
      <c r="S3320" s="17"/>
      <c r="T3320" s="75"/>
      <c r="U3320" s="75"/>
      <c r="V3320" s="75"/>
      <c r="W3320" s="75"/>
      <c r="X3320" s="75"/>
    </row>
    <row r="3321">
      <c r="A3321" s="17"/>
      <c r="B3321" s="17"/>
      <c r="C3321" s="133"/>
      <c r="D3321" s="133"/>
      <c r="E3321" s="17"/>
      <c r="F3321" s="133"/>
      <c r="G3321" s="133"/>
      <c r="H3321" s="133"/>
      <c r="I3321" s="133"/>
      <c r="J3321" s="133"/>
      <c r="K3321" s="133"/>
      <c r="L3321" s="133"/>
      <c r="M3321" s="133"/>
      <c r="N3321" s="133"/>
      <c r="O3321" s="133"/>
      <c r="P3321" s="134"/>
      <c r="Q3321" s="146"/>
      <c r="R3321" s="17"/>
      <c r="S3321" s="17"/>
      <c r="T3321" s="75"/>
      <c r="U3321" s="75"/>
      <c r="V3321" s="75"/>
      <c r="W3321" s="75"/>
      <c r="X3321" s="75"/>
    </row>
    <row r="3322">
      <c r="A3322" s="17"/>
      <c r="B3322" s="17"/>
      <c r="C3322" s="133"/>
      <c r="D3322" s="133"/>
      <c r="E3322" s="17"/>
      <c r="F3322" s="133"/>
      <c r="G3322" s="133"/>
      <c r="H3322" s="133"/>
      <c r="I3322" s="133"/>
      <c r="J3322" s="133"/>
      <c r="K3322" s="133"/>
      <c r="L3322" s="133"/>
      <c r="M3322" s="133"/>
      <c r="N3322" s="133"/>
      <c r="O3322" s="133"/>
      <c r="P3322" s="134"/>
      <c r="Q3322" s="146"/>
      <c r="R3322" s="17"/>
      <c r="S3322" s="17"/>
      <c r="T3322" s="75"/>
      <c r="U3322" s="75"/>
      <c r="V3322" s="75"/>
      <c r="W3322" s="75"/>
      <c r="X3322" s="75"/>
    </row>
    <row r="3323">
      <c r="A3323" s="17"/>
      <c r="B3323" s="17"/>
      <c r="C3323" s="133"/>
      <c r="D3323" s="133"/>
      <c r="E3323" s="17"/>
      <c r="F3323" s="133"/>
      <c r="G3323" s="133"/>
      <c r="H3323" s="133"/>
      <c r="I3323" s="133"/>
      <c r="J3323" s="133"/>
      <c r="K3323" s="133"/>
      <c r="L3323" s="133"/>
      <c r="M3323" s="133"/>
      <c r="N3323" s="133"/>
      <c r="O3323" s="133"/>
      <c r="P3323" s="134"/>
      <c r="Q3323" s="146"/>
      <c r="R3323" s="17"/>
      <c r="S3323" s="17"/>
      <c r="T3323" s="75"/>
      <c r="U3323" s="75"/>
      <c r="V3323" s="75"/>
      <c r="W3323" s="75"/>
      <c r="X3323" s="75"/>
    </row>
    <row r="3324">
      <c r="A3324" s="17"/>
      <c r="B3324" s="17"/>
      <c r="C3324" s="133"/>
      <c r="D3324" s="133"/>
      <c r="E3324" s="17"/>
      <c r="F3324" s="133"/>
      <c r="G3324" s="133"/>
      <c r="H3324" s="133"/>
      <c r="I3324" s="133"/>
      <c r="J3324" s="133"/>
      <c r="K3324" s="133"/>
      <c r="L3324" s="133"/>
      <c r="M3324" s="133"/>
      <c r="N3324" s="133"/>
      <c r="O3324" s="133"/>
      <c r="P3324" s="134"/>
      <c r="Q3324" s="146"/>
      <c r="R3324" s="17"/>
      <c r="S3324" s="17"/>
      <c r="T3324" s="75"/>
      <c r="U3324" s="75"/>
      <c r="V3324" s="75"/>
      <c r="W3324" s="75"/>
      <c r="X3324" s="75"/>
    </row>
    <row r="3325">
      <c r="A3325" s="17"/>
      <c r="B3325" s="17"/>
      <c r="C3325" s="133"/>
      <c r="D3325" s="133"/>
      <c r="E3325" s="17"/>
      <c r="F3325" s="133"/>
      <c r="G3325" s="133"/>
      <c r="H3325" s="133"/>
      <c r="I3325" s="133"/>
      <c r="J3325" s="133"/>
      <c r="K3325" s="133"/>
      <c r="L3325" s="133"/>
      <c r="M3325" s="133"/>
      <c r="N3325" s="133"/>
      <c r="O3325" s="133"/>
      <c r="P3325" s="134"/>
      <c r="Q3325" s="146"/>
      <c r="R3325" s="17"/>
      <c r="S3325" s="17"/>
      <c r="T3325" s="75"/>
      <c r="U3325" s="75"/>
      <c r="V3325" s="75"/>
      <c r="W3325" s="75"/>
      <c r="X3325" s="75"/>
    </row>
    <row r="3326">
      <c r="A3326" s="17"/>
      <c r="B3326" s="17"/>
      <c r="C3326" s="133"/>
      <c r="D3326" s="133"/>
      <c r="E3326" s="17"/>
      <c r="F3326" s="133"/>
      <c r="G3326" s="133"/>
      <c r="H3326" s="133"/>
      <c r="I3326" s="133"/>
      <c r="J3326" s="133"/>
      <c r="K3326" s="133"/>
      <c r="L3326" s="133"/>
      <c r="M3326" s="133"/>
      <c r="N3326" s="133"/>
      <c r="O3326" s="133"/>
      <c r="P3326" s="134"/>
      <c r="Q3326" s="146"/>
      <c r="R3326" s="17"/>
      <c r="S3326" s="17"/>
      <c r="T3326" s="75"/>
      <c r="U3326" s="75"/>
      <c r="V3326" s="75"/>
      <c r="W3326" s="75"/>
      <c r="X3326" s="75"/>
    </row>
    <row r="3327">
      <c r="A3327" s="17"/>
      <c r="B3327" s="17"/>
      <c r="C3327" s="133"/>
      <c r="D3327" s="133"/>
      <c r="E3327" s="17"/>
      <c r="F3327" s="133"/>
      <c r="G3327" s="133"/>
      <c r="H3327" s="133"/>
      <c r="I3327" s="133"/>
      <c r="J3327" s="133"/>
      <c r="K3327" s="133"/>
      <c r="L3327" s="133"/>
      <c r="M3327" s="133"/>
      <c r="N3327" s="133"/>
      <c r="O3327" s="133"/>
      <c r="P3327" s="134"/>
      <c r="Q3327" s="146"/>
      <c r="R3327" s="17"/>
      <c r="S3327" s="17"/>
      <c r="T3327" s="75"/>
      <c r="U3327" s="75"/>
      <c r="V3327" s="75"/>
      <c r="W3327" s="75"/>
      <c r="X3327" s="75"/>
    </row>
    <row r="3328">
      <c r="A3328" s="17"/>
      <c r="B3328" s="17"/>
      <c r="C3328" s="133"/>
      <c r="D3328" s="133"/>
      <c r="E3328" s="17"/>
      <c r="F3328" s="133"/>
      <c r="G3328" s="133"/>
      <c r="H3328" s="133"/>
      <c r="I3328" s="133"/>
      <c r="J3328" s="133"/>
      <c r="K3328" s="133"/>
      <c r="L3328" s="133"/>
      <c r="M3328" s="133"/>
      <c r="N3328" s="133"/>
      <c r="O3328" s="133"/>
      <c r="P3328" s="134"/>
      <c r="Q3328" s="146"/>
      <c r="R3328" s="17"/>
      <c r="S3328" s="17"/>
      <c r="T3328" s="75"/>
      <c r="U3328" s="75"/>
      <c r="V3328" s="75"/>
      <c r="W3328" s="75"/>
      <c r="X3328" s="75"/>
    </row>
    <row r="3329">
      <c r="A3329" s="17"/>
      <c r="B3329" s="17"/>
      <c r="C3329" s="133"/>
      <c r="D3329" s="133"/>
      <c r="E3329" s="17"/>
      <c r="F3329" s="133"/>
      <c r="G3329" s="133"/>
      <c r="H3329" s="133"/>
      <c r="I3329" s="133"/>
      <c r="J3329" s="133"/>
      <c r="K3329" s="133"/>
      <c r="L3329" s="133"/>
      <c r="M3329" s="133"/>
      <c r="N3329" s="133"/>
      <c r="O3329" s="133"/>
      <c r="P3329" s="134"/>
      <c r="Q3329" s="146"/>
      <c r="R3329" s="17"/>
      <c r="S3329" s="17"/>
      <c r="T3329" s="75"/>
      <c r="U3329" s="75"/>
      <c r="V3329" s="75"/>
      <c r="W3329" s="75"/>
      <c r="X3329" s="75"/>
    </row>
    <row r="3330">
      <c r="A3330" s="17"/>
      <c r="B3330" s="17"/>
      <c r="C3330" s="133"/>
      <c r="D3330" s="133"/>
      <c r="E3330" s="17"/>
      <c r="F3330" s="133"/>
      <c r="G3330" s="133"/>
      <c r="H3330" s="133"/>
      <c r="I3330" s="133"/>
      <c r="J3330" s="133"/>
      <c r="K3330" s="133"/>
      <c r="L3330" s="133"/>
      <c r="M3330" s="133"/>
      <c r="N3330" s="133"/>
      <c r="O3330" s="133"/>
      <c r="P3330" s="134"/>
      <c r="Q3330" s="146"/>
      <c r="R3330" s="17"/>
      <c r="S3330" s="17"/>
      <c r="T3330" s="75"/>
      <c r="U3330" s="75"/>
      <c r="V3330" s="75"/>
      <c r="W3330" s="75"/>
      <c r="X3330" s="75"/>
    </row>
    <row r="3331">
      <c r="A3331" s="17"/>
      <c r="B3331" s="17"/>
      <c r="C3331" s="133"/>
      <c r="D3331" s="133"/>
      <c r="E3331" s="17"/>
      <c r="F3331" s="133"/>
      <c r="G3331" s="133"/>
      <c r="H3331" s="133"/>
      <c r="I3331" s="133"/>
      <c r="J3331" s="133"/>
      <c r="K3331" s="133"/>
      <c r="L3331" s="133"/>
      <c r="M3331" s="133"/>
      <c r="N3331" s="133"/>
      <c r="O3331" s="133"/>
      <c r="P3331" s="134"/>
      <c r="Q3331" s="146"/>
      <c r="R3331" s="17"/>
      <c r="S3331" s="17"/>
      <c r="T3331" s="75"/>
      <c r="U3331" s="75"/>
      <c r="V3331" s="75"/>
      <c r="W3331" s="75"/>
      <c r="X3331" s="75"/>
    </row>
    <row r="3332">
      <c r="A3332" s="17"/>
      <c r="B3332" s="17"/>
      <c r="C3332" s="133"/>
      <c r="D3332" s="133"/>
      <c r="E3332" s="17"/>
      <c r="F3332" s="133"/>
      <c r="G3332" s="133"/>
      <c r="H3332" s="133"/>
      <c r="I3332" s="133"/>
      <c r="J3332" s="133"/>
      <c r="K3332" s="133"/>
      <c r="L3332" s="133"/>
      <c r="M3332" s="133"/>
      <c r="N3332" s="133"/>
      <c r="O3332" s="133"/>
      <c r="P3332" s="134"/>
      <c r="Q3332" s="146"/>
      <c r="R3332" s="17"/>
      <c r="S3332" s="17"/>
      <c r="T3332" s="75"/>
      <c r="U3332" s="75"/>
      <c r="V3332" s="75"/>
      <c r="W3332" s="75"/>
      <c r="X3332" s="75"/>
    </row>
    <row r="3333">
      <c r="A3333" s="17"/>
      <c r="B3333" s="17"/>
      <c r="C3333" s="133"/>
      <c r="D3333" s="133"/>
      <c r="E3333" s="17"/>
      <c r="F3333" s="133"/>
      <c r="G3333" s="133"/>
      <c r="H3333" s="133"/>
      <c r="I3333" s="133"/>
      <c r="J3333" s="133"/>
      <c r="K3333" s="133"/>
      <c r="L3333" s="133"/>
      <c r="M3333" s="133"/>
      <c r="N3333" s="133"/>
      <c r="O3333" s="133"/>
      <c r="P3333" s="134"/>
      <c r="Q3333" s="146"/>
      <c r="R3333" s="17"/>
      <c r="S3333" s="17"/>
      <c r="T3333" s="75"/>
      <c r="U3333" s="75"/>
      <c r="V3333" s="75"/>
      <c r="W3333" s="75"/>
      <c r="X3333" s="75"/>
    </row>
    <row r="3334">
      <c r="A3334" s="17"/>
      <c r="B3334" s="17"/>
      <c r="C3334" s="133"/>
      <c r="D3334" s="133"/>
      <c r="E3334" s="17"/>
      <c r="F3334" s="133"/>
      <c r="G3334" s="133"/>
      <c r="H3334" s="133"/>
      <c r="I3334" s="133"/>
      <c r="J3334" s="133"/>
      <c r="K3334" s="133"/>
      <c r="L3334" s="133"/>
      <c r="M3334" s="133"/>
      <c r="N3334" s="133"/>
      <c r="O3334" s="133"/>
      <c r="P3334" s="134"/>
      <c r="Q3334" s="146"/>
      <c r="R3334" s="17"/>
      <c r="S3334" s="17"/>
      <c r="T3334" s="75"/>
      <c r="U3334" s="75"/>
      <c r="V3334" s="75"/>
      <c r="W3334" s="75"/>
      <c r="X3334" s="75"/>
    </row>
    <row r="3335">
      <c r="A3335" s="17"/>
      <c r="B3335" s="17"/>
      <c r="C3335" s="133"/>
      <c r="D3335" s="133"/>
      <c r="E3335" s="17"/>
      <c r="F3335" s="133"/>
      <c r="G3335" s="133"/>
      <c r="H3335" s="133"/>
      <c r="I3335" s="133"/>
      <c r="J3335" s="133"/>
      <c r="K3335" s="133"/>
      <c r="L3335" s="133"/>
      <c r="M3335" s="133"/>
      <c r="N3335" s="133"/>
      <c r="O3335" s="133"/>
      <c r="P3335" s="134"/>
      <c r="Q3335" s="146"/>
      <c r="R3335" s="17"/>
      <c r="S3335" s="17"/>
      <c r="T3335" s="75"/>
      <c r="U3335" s="75"/>
      <c r="V3335" s="75"/>
      <c r="W3335" s="75"/>
      <c r="X3335" s="75"/>
    </row>
    <row r="3336">
      <c r="A3336" s="17"/>
      <c r="B3336" s="17"/>
      <c r="C3336" s="133"/>
      <c r="D3336" s="133"/>
      <c r="E3336" s="17"/>
      <c r="F3336" s="133"/>
      <c r="G3336" s="133"/>
      <c r="H3336" s="133"/>
      <c r="I3336" s="133"/>
      <c r="J3336" s="133"/>
      <c r="K3336" s="133"/>
      <c r="L3336" s="133"/>
      <c r="M3336" s="133"/>
      <c r="N3336" s="133"/>
      <c r="O3336" s="133"/>
      <c r="P3336" s="134"/>
      <c r="Q3336" s="146"/>
      <c r="R3336" s="17"/>
      <c r="S3336" s="17"/>
      <c r="T3336" s="75"/>
      <c r="U3336" s="75"/>
      <c r="V3336" s="75"/>
      <c r="W3336" s="75"/>
      <c r="X3336" s="75"/>
    </row>
    <row r="3337">
      <c r="A3337" s="17"/>
      <c r="B3337" s="17"/>
      <c r="C3337" s="133"/>
      <c r="D3337" s="133"/>
      <c r="E3337" s="17"/>
      <c r="F3337" s="133"/>
      <c r="G3337" s="133"/>
      <c r="H3337" s="133"/>
      <c r="I3337" s="133"/>
      <c r="J3337" s="133"/>
      <c r="K3337" s="133"/>
      <c r="L3337" s="133"/>
      <c r="M3337" s="133"/>
      <c r="N3337" s="133"/>
      <c r="O3337" s="133"/>
      <c r="P3337" s="134"/>
      <c r="Q3337" s="146"/>
      <c r="R3337" s="17"/>
      <c r="S3337" s="17"/>
      <c r="T3337" s="75"/>
      <c r="U3337" s="75"/>
      <c r="V3337" s="75"/>
      <c r="W3337" s="75"/>
      <c r="X3337" s="75"/>
    </row>
    <row r="3338">
      <c r="A3338" s="17"/>
      <c r="B3338" s="17"/>
      <c r="C3338" s="133"/>
      <c r="D3338" s="133"/>
      <c r="E3338" s="17"/>
      <c r="F3338" s="133"/>
      <c r="G3338" s="133"/>
      <c r="H3338" s="133"/>
      <c r="I3338" s="133"/>
      <c r="J3338" s="133"/>
      <c r="K3338" s="133"/>
      <c r="L3338" s="133"/>
      <c r="M3338" s="133"/>
      <c r="N3338" s="133"/>
      <c r="O3338" s="133"/>
      <c r="P3338" s="134"/>
      <c r="Q3338" s="146"/>
      <c r="R3338" s="17"/>
      <c r="S3338" s="17"/>
      <c r="T3338" s="75"/>
      <c r="U3338" s="75"/>
      <c r="V3338" s="75"/>
      <c r="W3338" s="75"/>
      <c r="X3338" s="75"/>
    </row>
    <row r="3339">
      <c r="A3339" s="17"/>
      <c r="B3339" s="17"/>
      <c r="C3339" s="133"/>
      <c r="D3339" s="133"/>
      <c r="E3339" s="17"/>
      <c r="F3339" s="133"/>
      <c r="G3339" s="133"/>
      <c r="H3339" s="133"/>
      <c r="I3339" s="133"/>
      <c r="J3339" s="133"/>
      <c r="K3339" s="133"/>
      <c r="L3339" s="133"/>
      <c r="M3339" s="133"/>
      <c r="N3339" s="133"/>
      <c r="O3339" s="133"/>
      <c r="P3339" s="134"/>
      <c r="Q3339" s="146"/>
      <c r="R3339" s="17"/>
      <c r="S3339" s="17"/>
      <c r="T3339" s="75"/>
      <c r="U3339" s="75"/>
      <c r="V3339" s="75"/>
      <c r="W3339" s="75"/>
      <c r="X3339" s="75"/>
    </row>
    <row r="3340">
      <c r="A3340" s="17"/>
      <c r="B3340" s="17"/>
      <c r="C3340" s="133"/>
      <c r="D3340" s="133"/>
      <c r="E3340" s="17"/>
      <c r="F3340" s="133"/>
      <c r="G3340" s="133"/>
      <c r="H3340" s="133"/>
      <c r="I3340" s="133"/>
      <c r="J3340" s="133"/>
      <c r="K3340" s="133"/>
      <c r="L3340" s="133"/>
      <c r="M3340" s="133"/>
      <c r="N3340" s="133"/>
      <c r="O3340" s="133"/>
      <c r="P3340" s="134"/>
      <c r="Q3340" s="146"/>
      <c r="R3340" s="17"/>
      <c r="S3340" s="17"/>
      <c r="T3340" s="75"/>
      <c r="U3340" s="75"/>
      <c r="V3340" s="75"/>
      <c r="W3340" s="75"/>
      <c r="X3340" s="75"/>
    </row>
    <row r="3341">
      <c r="A3341" s="17"/>
      <c r="B3341" s="17"/>
      <c r="C3341" s="133"/>
      <c r="D3341" s="133"/>
      <c r="E3341" s="17"/>
      <c r="F3341" s="133"/>
      <c r="G3341" s="133"/>
      <c r="H3341" s="133"/>
      <c r="I3341" s="133"/>
      <c r="J3341" s="133"/>
      <c r="K3341" s="133"/>
      <c r="L3341" s="133"/>
      <c r="M3341" s="133"/>
      <c r="N3341" s="133"/>
      <c r="O3341" s="133"/>
      <c r="P3341" s="134"/>
      <c r="Q3341" s="146"/>
      <c r="R3341" s="17"/>
      <c r="S3341" s="17"/>
      <c r="T3341" s="75"/>
      <c r="U3341" s="75"/>
      <c r="V3341" s="75"/>
      <c r="W3341" s="75"/>
      <c r="X3341" s="75"/>
    </row>
    <row r="3342">
      <c r="A3342" s="17"/>
      <c r="B3342" s="17"/>
      <c r="C3342" s="133"/>
      <c r="D3342" s="133"/>
      <c r="E3342" s="17"/>
      <c r="F3342" s="133"/>
      <c r="G3342" s="133"/>
      <c r="H3342" s="133"/>
      <c r="I3342" s="133"/>
      <c r="J3342" s="133"/>
      <c r="K3342" s="133"/>
      <c r="L3342" s="133"/>
      <c r="M3342" s="133"/>
      <c r="N3342" s="133"/>
      <c r="O3342" s="133"/>
      <c r="P3342" s="134"/>
      <c r="Q3342" s="146"/>
      <c r="R3342" s="17"/>
      <c r="S3342" s="17"/>
      <c r="T3342" s="75"/>
      <c r="U3342" s="75"/>
      <c r="V3342" s="75"/>
      <c r="W3342" s="75"/>
      <c r="X3342" s="75"/>
    </row>
    <row r="3343">
      <c r="A3343" s="17"/>
      <c r="B3343" s="17"/>
      <c r="C3343" s="133"/>
      <c r="D3343" s="133"/>
      <c r="E3343" s="17"/>
      <c r="F3343" s="133"/>
      <c r="G3343" s="133"/>
      <c r="H3343" s="133"/>
      <c r="I3343" s="133"/>
      <c r="J3343" s="133"/>
      <c r="K3343" s="133"/>
      <c r="L3343" s="133"/>
      <c r="M3343" s="133"/>
      <c r="N3343" s="133"/>
      <c r="O3343" s="133"/>
      <c r="P3343" s="134"/>
      <c r="Q3343" s="146"/>
      <c r="R3343" s="17"/>
      <c r="S3343" s="17"/>
      <c r="T3343" s="75"/>
      <c r="U3343" s="75"/>
      <c r="V3343" s="75"/>
      <c r="W3343" s="75"/>
      <c r="X3343" s="75"/>
    </row>
    <row r="3344">
      <c r="A3344" s="17"/>
      <c r="B3344" s="17"/>
      <c r="C3344" s="133"/>
      <c r="D3344" s="133"/>
      <c r="E3344" s="17"/>
      <c r="F3344" s="133"/>
      <c r="G3344" s="133"/>
      <c r="H3344" s="133"/>
      <c r="I3344" s="133"/>
      <c r="J3344" s="133"/>
      <c r="K3344" s="133"/>
      <c r="L3344" s="133"/>
      <c r="M3344" s="133"/>
      <c r="N3344" s="133"/>
      <c r="O3344" s="133"/>
      <c r="P3344" s="134"/>
      <c r="Q3344" s="146"/>
      <c r="R3344" s="17"/>
      <c r="S3344" s="17"/>
      <c r="T3344" s="75"/>
      <c r="U3344" s="75"/>
      <c r="V3344" s="75"/>
      <c r="W3344" s="75"/>
      <c r="X3344" s="75"/>
    </row>
    <row r="3345">
      <c r="A3345" s="17"/>
      <c r="B3345" s="17"/>
      <c r="C3345" s="133"/>
      <c r="D3345" s="133"/>
      <c r="E3345" s="17"/>
      <c r="F3345" s="133"/>
      <c r="G3345" s="133"/>
      <c r="H3345" s="133"/>
      <c r="I3345" s="133"/>
      <c r="J3345" s="133"/>
      <c r="K3345" s="133"/>
      <c r="L3345" s="133"/>
      <c r="M3345" s="133"/>
      <c r="N3345" s="133"/>
      <c r="O3345" s="133"/>
      <c r="P3345" s="134"/>
      <c r="Q3345" s="146"/>
      <c r="R3345" s="17"/>
      <c r="S3345" s="17"/>
      <c r="T3345" s="75"/>
      <c r="U3345" s="75"/>
      <c r="V3345" s="75"/>
      <c r="W3345" s="75"/>
      <c r="X3345" s="75"/>
    </row>
    <row r="3346">
      <c r="A3346" s="17"/>
      <c r="B3346" s="17"/>
      <c r="C3346" s="133"/>
      <c r="D3346" s="133"/>
      <c r="E3346" s="17"/>
      <c r="F3346" s="133"/>
      <c r="G3346" s="133"/>
      <c r="H3346" s="133"/>
      <c r="I3346" s="133"/>
      <c r="J3346" s="133"/>
      <c r="K3346" s="133"/>
      <c r="L3346" s="133"/>
      <c r="M3346" s="133"/>
      <c r="N3346" s="133"/>
      <c r="O3346" s="133"/>
      <c r="P3346" s="134"/>
      <c r="Q3346" s="146"/>
      <c r="R3346" s="17"/>
      <c r="S3346" s="17"/>
      <c r="T3346" s="75"/>
      <c r="U3346" s="75"/>
      <c r="V3346" s="75"/>
      <c r="W3346" s="75"/>
      <c r="X3346" s="75"/>
    </row>
    <row r="3347">
      <c r="A3347" s="17"/>
      <c r="B3347" s="17"/>
      <c r="C3347" s="133"/>
      <c r="D3347" s="133"/>
      <c r="E3347" s="17"/>
      <c r="F3347" s="133"/>
      <c r="G3347" s="133"/>
      <c r="H3347" s="133"/>
      <c r="I3347" s="133"/>
      <c r="J3347" s="133"/>
      <c r="K3347" s="133"/>
      <c r="L3347" s="133"/>
      <c r="M3347" s="133"/>
      <c r="N3347" s="133"/>
      <c r="O3347" s="133"/>
      <c r="P3347" s="134"/>
      <c r="Q3347" s="146"/>
      <c r="R3347" s="17"/>
      <c r="S3347" s="17"/>
      <c r="T3347" s="75"/>
      <c r="U3347" s="75"/>
      <c r="V3347" s="75"/>
      <c r="W3347" s="75"/>
      <c r="X3347" s="75"/>
    </row>
    <row r="3348">
      <c r="A3348" s="17"/>
      <c r="B3348" s="17"/>
      <c r="C3348" s="133"/>
      <c r="D3348" s="133"/>
      <c r="E3348" s="17"/>
      <c r="F3348" s="133"/>
      <c r="G3348" s="133"/>
      <c r="H3348" s="133"/>
      <c r="I3348" s="133"/>
      <c r="J3348" s="133"/>
      <c r="K3348" s="133"/>
      <c r="L3348" s="133"/>
      <c r="M3348" s="133"/>
      <c r="N3348" s="133"/>
      <c r="O3348" s="133"/>
      <c r="P3348" s="134"/>
      <c r="Q3348" s="146"/>
      <c r="R3348" s="17"/>
      <c r="S3348" s="17"/>
      <c r="T3348" s="75"/>
      <c r="U3348" s="75"/>
      <c r="V3348" s="75"/>
      <c r="W3348" s="75"/>
      <c r="X3348" s="75"/>
    </row>
    <row r="3349">
      <c r="A3349" s="17"/>
      <c r="B3349" s="17"/>
      <c r="C3349" s="133"/>
      <c r="D3349" s="133"/>
      <c r="E3349" s="17"/>
      <c r="F3349" s="133"/>
      <c r="G3349" s="133"/>
      <c r="H3349" s="133"/>
      <c r="I3349" s="133"/>
      <c r="J3349" s="133"/>
      <c r="K3349" s="133"/>
      <c r="L3349" s="133"/>
      <c r="M3349" s="133"/>
      <c r="N3349" s="133"/>
      <c r="O3349" s="133"/>
      <c r="P3349" s="134"/>
      <c r="Q3349" s="146"/>
      <c r="R3349" s="17"/>
      <c r="S3349" s="17"/>
      <c r="T3349" s="75"/>
      <c r="U3349" s="75"/>
      <c r="V3349" s="75"/>
      <c r="W3349" s="75"/>
      <c r="X3349" s="75"/>
    </row>
    <row r="3350">
      <c r="A3350" s="17"/>
      <c r="B3350" s="17"/>
      <c r="C3350" s="133"/>
      <c r="D3350" s="133"/>
      <c r="E3350" s="17"/>
      <c r="F3350" s="133"/>
      <c r="G3350" s="133"/>
      <c r="H3350" s="133"/>
      <c r="I3350" s="133"/>
      <c r="J3350" s="133"/>
      <c r="K3350" s="133"/>
      <c r="L3350" s="133"/>
      <c r="M3350" s="133"/>
      <c r="N3350" s="133"/>
      <c r="O3350" s="133"/>
      <c r="P3350" s="134"/>
      <c r="Q3350" s="146"/>
      <c r="R3350" s="17"/>
      <c r="S3350" s="17"/>
      <c r="T3350" s="75"/>
      <c r="U3350" s="75"/>
      <c r="V3350" s="75"/>
      <c r="W3350" s="75"/>
      <c r="X3350" s="75"/>
    </row>
    <row r="3351">
      <c r="A3351" s="17"/>
      <c r="B3351" s="17"/>
      <c r="C3351" s="133"/>
      <c r="D3351" s="133"/>
      <c r="E3351" s="17"/>
      <c r="F3351" s="133"/>
      <c r="G3351" s="133"/>
      <c r="H3351" s="133"/>
      <c r="I3351" s="133"/>
      <c r="J3351" s="133"/>
      <c r="K3351" s="133"/>
      <c r="L3351" s="133"/>
      <c r="M3351" s="133"/>
      <c r="N3351" s="133"/>
      <c r="O3351" s="133"/>
      <c r="P3351" s="134"/>
      <c r="Q3351" s="146"/>
      <c r="R3351" s="17"/>
      <c r="S3351" s="17"/>
      <c r="T3351" s="75"/>
      <c r="U3351" s="75"/>
      <c r="V3351" s="75"/>
      <c r="W3351" s="75"/>
      <c r="X3351" s="75"/>
    </row>
    <row r="3352">
      <c r="A3352" s="17"/>
      <c r="B3352" s="17"/>
      <c r="C3352" s="133"/>
      <c r="D3352" s="133"/>
      <c r="E3352" s="17"/>
      <c r="F3352" s="133"/>
      <c r="G3352" s="133"/>
      <c r="H3352" s="133"/>
      <c r="I3352" s="133"/>
      <c r="J3352" s="133"/>
      <c r="K3352" s="133"/>
      <c r="L3352" s="133"/>
      <c r="M3352" s="133"/>
      <c r="N3352" s="133"/>
      <c r="O3352" s="133"/>
      <c r="P3352" s="134"/>
      <c r="Q3352" s="146"/>
      <c r="R3352" s="17"/>
      <c r="S3352" s="17"/>
      <c r="T3352" s="75"/>
      <c r="U3352" s="75"/>
      <c r="V3352" s="75"/>
      <c r="W3352" s="75"/>
      <c r="X3352" s="75"/>
    </row>
    <row r="3353">
      <c r="A3353" s="17"/>
      <c r="B3353" s="17"/>
      <c r="C3353" s="133"/>
      <c r="D3353" s="133"/>
      <c r="E3353" s="17"/>
      <c r="F3353" s="133"/>
      <c r="G3353" s="133"/>
      <c r="H3353" s="133"/>
      <c r="I3353" s="133"/>
      <c r="J3353" s="133"/>
      <c r="K3353" s="133"/>
      <c r="L3353" s="133"/>
      <c r="M3353" s="133"/>
      <c r="N3353" s="133"/>
      <c r="O3353" s="133"/>
      <c r="P3353" s="134"/>
      <c r="Q3353" s="146"/>
      <c r="R3353" s="17"/>
      <c r="S3353" s="17"/>
      <c r="T3353" s="75"/>
      <c r="U3353" s="75"/>
      <c r="V3353" s="75"/>
      <c r="W3353" s="75"/>
      <c r="X3353" s="75"/>
    </row>
    <row r="3354">
      <c r="A3354" s="17"/>
      <c r="B3354" s="17"/>
      <c r="C3354" s="133"/>
      <c r="D3354" s="133"/>
      <c r="E3354" s="17"/>
      <c r="F3354" s="133"/>
      <c r="G3354" s="133"/>
      <c r="H3354" s="133"/>
      <c r="I3354" s="133"/>
      <c r="J3354" s="133"/>
      <c r="K3354" s="133"/>
      <c r="L3354" s="133"/>
      <c r="M3354" s="133"/>
      <c r="N3354" s="133"/>
      <c r="O3354" s="133"/>
      <c r="P3354" s="134"/>
      <c r="Q3354" s="146"/>
      <c r="R3354" s="17"/>
      <c r="S3354" s="17"/>
      <c r="T3354" s="75"/>
      <c r="U3354" s="75"/>
      <c r="V3354" s="75"/>
      <c r="W3354" s="75"/>
      <c r="X3354" s="75"/>
    </row>
    <row r="3355">
      <c r="A3355" s="17"/>
      <c r="B3355" s="17"/>
      <c r="C3355" s="133"/>
      <c r="D3355" s="133"/>
      <c r="E3355" s="17"/>
      <c r="F3355" s="133"/>
      <c r="G3355" s="133"/>
      <c r="H3355" s="133"/>
      <c r="I3355" s="133"/>
      <c r="J3355" s="133"/>
      <c r="K3355" s="133"/>
      <c r="L3355" s="133"/>
      <c r="M3355" s="133"/>
      <c r="N3355" s="133"/>
      <c r="O3355" s="133"/>
      <c r="P3355" s="134"/>
      <c r="Q3355" s="146"/>
      <c r="R3355" s="17"/>
      <c r="S3355" s="17"/>
      <c r="T3355" s="75"/>
      <c r="U3355" s="75"/>
      <c r="V3355" s="75"/>
      <c r="W3355" s="75"/>
      <c r="X3355" s="75"/>
    </row>
    <row r="3356">
      <c r="A3356" s="17"/>
      <c r="B3356" s="17"/>
      <c r="C3356" s="133"/>
      <c r="D3356" s="133"/>
      <c r="E3356" s="17"/>
      <c r="F3356" s="133"/>
      <c r="G3356" s="133"/>
      <c r="H3356" s="133"/>
      <c r="I3356" s="133"/>
      <c r="J3356" s="133"/>
      <c r="K3356" s="133"/>
      <c r="L3356" s="133"/>
      <c r="M3356" s="133"/>
      <c r="N3356" s="133"/>
      <c r="O3356" s="133"/>
      <c r="P3356" s="134"/>
      <c r="Q3356" s="146"/>
      <c r="R3356" s="17"/>
      <c r="S3356" s="17"/>
      <c r="T3356" s="75"/>
      <c r="U3356" s="75"/>
      <c r="V3356" s="75"/>
      <c r="W3356" s="75"/>
      <c r="X3356" s="75"/>
    </row>
    <row r="3357">
      <c r="A3357" s="17"/>
      <c r="B3357" s="17"/>
      <c r="C3357" s="133"/>
      <c r="D3357" s="133"/>
      <c r="E3357" s="17"/>
      <c r="F3357" s="133"/>
      <c r="G3357" s="133"/>
      <c r="H3357" s="133"/>
      <c r="I3357" s="133"/>
      <c r="J3357" s="133"/>
      <c r="K3357" s="133"/>
      <c r="L3357" s="133"/>
      <c r="M3357" s="133"/>
      <c r="N3357" s="133"/>
      <c r="O3357" s="133"/>
      <c r="P3357" s="134"/>
      <c r="Q3357" s="146"/>
      <c r="R3357" s="17"/>
      <c r="S3357" s="17"/>
      <c r="T3357" s="75"/>
      <c r="U3357" s="75"/>
      <c r="V3357" s="75"/>
      <c r="W3357" s="75"/>
      <c r="X3357" s="75"/>
    </row>
    <row r="3358">
      <c r="A3358" s="17"/>
      <c r="B3358" s="17"/>
      <c r="C3358" s="133"/>
      <c r="D3358" s="133"/>
      <c r="E3358" s="17"/>
      <c r="F3358" s="133"/>
      <c r="G3358" s="133"/>
      <c r="H3358" s="133"/>
      <c r="I3358" s="133"/>
      <c r="J3358" s="133"/>
      <c r="K3358" s="133"/>
      <c r="L3358" s="133"/>
      <c r="M3358" s="133"/>
      <c r="N3358" s="133"/>
      <c r="O3358" s="133"/>
      <c r="P3358" s="134"/>
      <c r="Q3358" s="146"/>
      <c r="R3358" s="17"/>
      <c r="S3358" s="17"/>
      <c r="T3358" s="75"/>
      <c r="U3358" s="75"/>
      <c r="V3358" s="75"/>
      <c r="W3358" s="75"/>
      <c r="X3358" s="75"/>
    </row>
    <row r="3359">
      <c r="A3359" s="17"/>
      <c r="B3359" s="17"/>
      <c r="C3359" s="133"/>
      <c r="D3359" s="133"/>
      <c r="E3359" s="17"/>
      <c r="F3359" s="133"/>
      <c r="G3359" s="133"/>
      <c r="H3359" s="133"/>
      <c r="I3359" s="133"/>
      <c r="J3359" s="133"/>
      <c r="K3359" s="133"/>
      <c r="L3359" s="133"/>
      <c r="M3359" s="133"/>
      <c r="N3359" s="133"/>
      <c r="O3359" s="133"/>
      <c r="P3359" s="134"/>
      <c r="Q3359" s="146"/>
      <c r="R3359" s="17"/>
      <c r="S3359" s="17"/>
      <c r="T3359" s="75"/>
      <c r="U3359" s="75"/>
      <c r="V3359" s="75"/>
      <c r="W3359" s="75"/>
      <c r="X3359" s="75"/>
    </row>
    <row r="3360">
      <c r="A3360" s="17"/>
      <c r="B3360" s="17"/>
      <c r="C3360" s="133"/>
      <c r="D3360" s="133"/>
      <c r="E3360" s="17"/>
      <c r="F3360" s="133"/>
      <c r="G3360" s="133"/>
      <c r="H3360" s="133"/>
      <c r="I3360" s="133"/>
      <c r="J3360" s="133"/>
      <c r="K3360" s="133"/>
      <c r="L3360" s="133"/>
      <c r="M3360" s="133"/>
      <c r="N3360" s="133"/>
      <c r="O3360" s="133"/>
      <c r="P3360" s="134"/>
      <c r="Q3360" s="146"/>
      <c r="R3360" s="17"/>
      <c r="S3360" s="17"/>
      <c r="T3360" s="75"/>
      <c r="U3360" s="75"/>
      <c r="V3360" s="75"/>
      <c r="W3360" s="75"/>
      <c r="X3360" s="75"/>
    </row>
    <row r="3361">
      <c r="A3361" s="17"/>
      <c r="B3361" s="17"/>
      <c r="C3361" s="133"/>
      <c r="D3361" s="133"/>
      <c r="E3361" s="17"/>
      <c r="F3361" s="133"/>
      <c r="G3361" s="133"/>
      <c r="H3361" s="133"/>
      <c r="I3361" s="133"/>
      <c r="J3361" s="133"/>
      <c r="K3361" s="133"/>
      <c r="L3361" s="133"/>
      <c r="M3361" s="133"/>
      <c r="N3361" s="133"/>
      <c r="O3361" s="133"/>
      <c r="P3361" s="134"/>
      <c r="Q3361" s="146"/>
      <c r="R3361" s="17"/>
      <c r="S3361" s="17"/>
      <c r="T3361" s="75"/>
      <c r="U3361" s="75"/>
      <c r="V3361" s="75"/>
      <c r="W3361" s="75"/>
      <c r="X3361" s="75"/>
    </row>
    <row r="3362">
      <c r="A3362" s="17"/>
      <c r="B3362" s="17"/>
      <c r="C3362" s="133"/>
      <c r="D3362" s="133"/>
      <c r="E3362" s="17"/>
      <c r="F3362" s="133"/>
      <c r="G3362" s="133"/>
      <c r="H3362" s="133"/>
      <c r="I3362" s="133"/>
      <c r="J3362" s="133"/>
      <c r="K3362" s="133"/>
      <c r="L3362" s="133"/>
      <c r="M3362" s="133"/>
      <c r="N3362" s="133"/>
      <c r="O3362" s="133"/>
      <c r="P3362" s="134"/>
      <c r="Q3362" s="146"/>
      <c r="R3362" s="17"/>
      <c r="S3362" s="17"/>
      <c r="T3362" s="75"/>
      <c r="U3362" s="75"/>
      <c r="V3362" s="75"/>
      <c r="W3362" s="75"/>
      <c r="X3362" s="75"/>
    </row>
    <row r="3363">
      <c r="A3363" s="17"/>
      <c r="B3363" s="17"/>
      <c r="C3363" s="133"/>
      <c r="D3363" s="133"/>
      <c r="E3363" s="17"/>
      <c r="F3363" s="133"/>
      <c r="G3363" s="133"/>
      <c r="H3363" s="133"/>
      <c r="I3363" s="133"/>
      <c r="J3363" s="133"/>
      <c r="K3363" s="133"/>
      <c r="L3363" s="133"/>
      <c r="M3363" s="133"/>
      <c r="N3363" s="133"/>
      <c r="O3363" s="133"/>
      <c r="P3363" s="134"/>
      <c r="Q3363" s="146"/>
      <c r="R3363" s="17"/>
      <c r="S3363" s="17"/>
      <c r="T3363" s="75"/>
      <c r="U3363" s="75"/>
      <c r="V3363" s="75"/>
      <c r="W3363" s="75"/>
      <c r="X3363" s="75"/>
    </row>
    <row r="3364">
      <c r="A3364" s="17"/>
      <c r="B3364" s="17"/>
      <c r="C3364" s="133"/>
      <c r="D3364" s="133"/>
      <c r="E3364" s="17"/>
      <c r="F3364" s="133"/>
      <c r="G3364" s="133"/>
      <c r="H3364" s="133"/>
      <c r="I3364" s="133"/>
      <c r="J3364" s="133"/>
      <c r="K3364" s="133"/>
      <c r="L3364" s="133"/>
      <c r="M3364" s="133"/>
      <c r="N3364" s="133"/>
      <c r="O3364" s="133"/>
      <c r="P3364" s="134"/>
      <c r="Q3364" s="146"/>
      <c r="R3364" s="17"/>
      <c r="S3364" s="17"/>
      <c r="T3364" s="75"/>
      <c r="U3364" s="75"/>
      <c r="V3364" s="75"/>
      <c r="W3364" s="75"/>
      <c r="X3364" s="75"/>
    </row>
    <row r="3365">
      <c r="A3365" s="17"/>
      <c r="B3365" s="17"/>
      <c r="C3365" s="133"/>
      <c r="D3365" s="133"/>
      <c r="E3365" s="17"/>
      <c r="F3365" s="133"/>
      <c r="G3365" s="133"/>
      <c r="H3365" s="133"/>
      <c r="I3365" s="133"/>
      <c r="J3365" s="133"/>
      <c r="K3365" s="133"/>
      <c r="L3365" s="133"/>
      <c r="M3365" s="133"/>
      <c r="N3365" s="133"/>
      <c r="O3365" s="133"/>
      <c r="P3365" s="134"/>
      <c r="Q3365" s="146"/>
      <c r="R3365" s="17"/>
      <c r="S3365" s="17"/>
      <c r="T3365" s="75"/>
      <c r="U3365" s="75"/>
      <c r="V3365" s="75"/>
      <c r="W3365" s="75"/>
      <c r="X3365" s="75"/>
    </row>
    <row r="3366">
      <c r="A3366" s="17"/>
      <c r="B3366" s="17"/>
      <c r="C3366" s="133"/>
      <c r="D3366" s="133"/>
      <c r="E3366" s="17"/>
      <c r="F3366" s="133"/>
      <c r="G3366" s="133"/>
      <c r="H3366" s="133"/>
      <c r="I3366" s="133"/>
      <c r="J3366" s="133"/>
      <c r="K3366" s="133"/>
      <c r="L3366" s="133"/>
      <c r="M3366" s="133"/>
      <c r="N3366" s="133"/>
      <c r="O3366" s="133"/>
      <c r="P3366" s="134"/>
      <c r="Q3366" s="146"/>
      <c r="R3366" s="17"/>
      <c r="S3366" s="17"/>
      <c r="T3366" s="75"/>
      <c r="U3366" s="75"/>
      <c r="V3366" s="75"/>
      <c r="W3366" s="75"/>
      <c r="X3366" s="75"/>
    </row>
    <row r="3367">
      <c r="A3367" s="17"/>
      <c r="B3367" s="17"/>
      <c r="C3367" s="133"/>
      <c r="D3367" s="133"/>
      <c r="E3367" s="17"/>
      <c r="F3367" s="133"/>
      <c r="G3367" s="133"/>
      <c r="H3367" s="133"/>
      <c r="I3367" s="133"/>
      <c r="J3367" s="133"/>
      <c r="K3367" s="133"/>
      <c r="L3367" s="133"/>
      <c r="M3367" s="133"/>
      <c r="N3367" s="133"/>
      <c r="O3367" s="133"/>
      <c r="P3367" s="134"/>
      <c r="Q3367" s="146"/>
      <c r="R3367" s="17"/>
      <c r="S3367" s="17"/>
      <c r="T3367" s="75"/>
      <c r="U3367" s="75"/>
      <c r="V3367" s="75"/>
      <c r="W3367" s="75"/>
      <c r="X3367" s="75"/>
    </row>
    <row r="3368">
      <c r="A3368" s="17"/>
      <c r="B3368" s="17"/>
      <c r="C3368" s="133"/>
      <c r="D3368" s="133"/>
      <c r="E3368" s="17"/>
      <c r="F3368" s="133"/>
      <c r="G3368" s="133"/>
      <c r="H3368" s="133"/>
      <c r="I3368" s="133"/>
      <c r="J3368" s="133"/>
      <c r="K3368" s="133"/>
      <c r="L3368" s="133"/>
      <c r="M3368" s="133"/>
      <c r="N3368" s="133"/>
      <c r="O3368" s="133"/>
      <c r="P3368" s="134"/>
      <c r="Q3368" s="146"/>
      <c r="R3368" s="17"/>
      <c r="S3368" s="17"/>
      <c r="T3368" s="75"/>
      <c r="U3368" s="75"/>
      <c r="V3368" s="75"/>
      <c r="W3368" s="75"/>
      <c r="X3368" s="75"/>
    </row>
    <row r="3369">
      <c r="A3369" s="17"/>
      <c r="B3369" s="17"/>
      <c r="C3369" s="133"/>
      <c r="D3369" s="133"/>
      <c r="E3369" s="17"/>
      <c r="F3369" s="133"/>
      <c r="G3369" s="133"/>
      <c r="H3369" s="133"/>
      <c r="I3369" s="133"/>
      <c r="J3369" s="133"/>
      <c r="K3369" s="133"/>
      <c r="L3369" s="133"/>
      <c r="M3369" s="133"/>
      <c r="N3369" s="133"/>
      <c r="O3369" s="133"/>
      <c r="P3369" s="134"/>
      <c r="Q3369" s="146"/>
      <c r="R3369" s="17"/>
      <c r="S3369" s="17"/>
      <c r="T3369" s="75"/>
      <c r="U3369" s="75"/>
      <c r="V3369" s="75"/>
      <c r="W3369" s="75"/>
      <c r="X3369" s="75"/>
    </row>
    <row r="3370">
      <c r="A3370" s="17"/>
      <c r="B3370" s="17"/>
      <c r="C3370" s="133"/>
      <c r="D3370" s="133"/>
      <c r="E3370" s="17"/>
      <c r="F3370" s="133"/>
      <c r="G3370" s="133"/>
      <c r="H3370" s="133"/>
      <c r="I3370" s="133"/>
      <c r="J3370" s="133"/>
      <c r="K3370" s="133"/>
      <c r="L3370" s="133"/>
      <c r="M3370" s="133"/>
      <c r="N3370" s="133"/>
      <c r="O3370" s="133"/>
      <c r="P3370" s="134"/>
      <c r="Q3370" s="146"/>
      <c r="R3370" s="17"/>
      <c r="S3370" s="17"/>
      <c r="T3370" s="75"/>
      <c r="U3370" s="75"/>
      <c r="V3370" s="75"/>
      <c r="W3370" s="75"/>
      <c r="X3370" s="75"/>
    </row>
    <row r="3371">
      <c r="A3371" s="17"/>
      <c r="B3371" s="17"/>
      <c r="C3371" s="133"/>
      <c r="D3371" s="133"/>
      <c r="E3371" s="17"/>
      <c r="F3371" s="133"/>
      <c r="G3371" s="133"/>
      <c r="H3371" s="133"/>
      <c r="I3371" s="133"/>
      <c r="J3371" s="133"/>
      <c r="K3371" s="133"/>
      <c r="L3371" s="133"/>
      <c r="M3371" s="133"/>
      <c r="N3371" s="133"/>
      <c r="O3371" s="133"/>
      <c r="P3371" s="134"/>
      <c r="Q3371" s="146"/>
      <c r="R3371" s="17"/>
      <c r="S3371" s="17"/>
      <c r="T3371" s="75"/>
      <c r="U3371" s="75"/>
      <c r="V3371" s="75"/>
      <c r="W3371" s="75"/>
      <c r="X3371" s="75"/>
    </row>
    <row r="3372">
      <c r="A3372" s="17"/>
      <c r="B3372" s="17"/>
      <c r="C3372" s="133"/>
      <c r="D3372" s="133"/>
      <c r="E3372" s="17"/>
      <c r="F3372" s="133"/>
      <c r="G3372" s="133"/>
      <c r="H3372" s="133"/>
      <c r="I3372" s="133"/>
      <c r="J3372" s="133"/>
      <c r="K3372" s="133"/>
      <c r="L3372" s="133"/>
      <c r="M3372" s="133"/>
      <c r="N3372" s="133"/>
      <c r="O3372" s="133"/>
      <c r="P3372" s="134"/>
      <c r="Q3372" s="146"/>
      <c r="R3372" s="17"/>
      <c r="S3372" s="17"/>
      <c r="T3372" s="75"/>
      <c r="U3372" s="75"/>
      <c r="V3372" s="75"/>
      <c r="W3372" s="75"/>
      <c r="X3372" s="75"/>
    </row>
    <row r="3373">
      <c r="A3373" s="17"/>
      <c r="B3373" s="17"/>
      <c r="C3373" s="133"/>
      <c r="D3373" s="133"/>
      <c r="E3373" s="17"/>
      <c r="F3373" s="133"/>
      <c r="G3373" s="133"/>
      <c r="H3373" s="133"/>
      <c r="I3373" s="133"/>
      <c r="J3373" s="133"/>
      <c r="K3373" s="133"/>
      <c r="L3373" s="133"/>
      <c r="M3373" s="133"/>
      <c r="N3373" s="133"/>
      <c r="O3373" s="133"/>
      <c r="P3373" s="134"/>
      <c r="Q3373" s="146"/>
      <c r="R3373" s="17"/>
      <c r="S3373" s="17"/>
      <c r="T3373" s="75"/>
      <c r="U3373" s="75"/>
      <c r="V3373" s="75"/>
      <c r="W3373" s="75"/>
      <c r="X3373" s="75"/>
    </row>
    <row r="3374">
      <c r="A3374" s="17"/>
      <c r="B3374" s="17"/>
      <c r="C3374" s="133"/>
      <c r="D3374" s="133"/>
      <c r="E3374" s="17"/>
      <c r="F3374" s="133"/>
      <c r="G3374" s="133"/>
      <c r="H3374" s="133"/>
      <c r="I3374" s="133"/>
      <c r="J3374" s="133"/>
      <c r="K3374" s="133"/>
      <c r="L3374" s="133"/>
      <c r="M3374" s="133"/>
      <c r="N3374" s="133"/>
      <c r="O3374" s="133"/>
      <c r="P3374" s="134"/>
      <c r="Q3374" s="146"/>
      <c r="R3374" s="17"/>
      <c r="S3374" s="17"/>
      <c r="T3374" s="75"/>
      <c r="U3374" s="75"/>
      <c r="V3374" s="75"/>
      <c r="W3374" s="75"/>
      <c r="X3374" s="75"/>
    </row>
    <row r="3375">
      <c r="A3375" s="17"/>
      <c r="B3375" s="17"/>
      <c r="C3375" s="133"/>
      <c r="D3375" s="133"/>
      <c r="E3375" s="17"/>
      <c r="F3375" s="133"/>
      <c r="G3375" s="133"/>
      <c r="H3375" s="133"/>
      <c r="I3375" s="133"/>
      <c r="J3375" s="133"/>
      <c r="K3375" s="133"/>
      <c r="L3375" s="133"/>
      <c r="M3375" s="133"/>
      <c r="N3375" s="133"/>
      <c r="O3375" s="133"/>
      <c r="P3375" s="134"/>
      <c r="Q3375" s="146"/>
      <c r="R3375" s="17"/>
      <c r="S3375" s="17"/>
      <c r="T3375" s="75"/>
      <c r="U3375" s="75"/>
      <c r="V3375" s="75"/>
      <c r="W3375" s="75"/>
      <c r="X3375" s="75"/>
    </row>
    <row r="3376">
      <c r="A3376" s="17"/>
      <c r="B3376" s="17"/>
      <c r="C3376" s="133"/>
      <c r="D3376" s="133"/>
      <c r="E3376" s="17"/>
      <c r="F3376" s="133"/>
      <c r="G3376" s="133"/>
      <c r="H3376" s="133"/>
      <c r="I3376" s="133"/>
      <c r="J3376" s="133"/>
      <c r="K3376" s="133"/>
      <c r="L3376" s="133"/>
      <c r="M3376" s="133"/>
      <c r="N3376" s="133"/>
      <c r="O3376" s="133"/>
      <c r="P3376" s="134"/>
      <c r="Q3376" s="146"/>
      <c r="R3376" s="17"/>
      <c r="S3376" s="17"/>
      <c r="T3376" s="75"/>
      <c r="U3376" s="75"/>
      <c r="V3376" s="75"/>
      <c r="W3376" s="75"/>
      <c r="X3376" s="75"/>
    </row>
    <row r="3377">
      <c r="A3377" s="17"/>
      <c r="B3377" s="17"/>
      <c r="C3377" s="133"/>
      <c r="D3377" s="133"/>
      <c r="E3377" s="17"/>
      <c r="F3377" s="133"/>
      <c r="G3377" s="133"/>
      <c r="H3377" s="133"/>
      <c r="I3377" s="133"/>
      <c r="J3377" s="133"/>
      <c r="K3377" s="133"/>
      <c r="L3377" s="133"/>
      <c r="M3377" s="133"/>
      <c r="N3377" s="133"/>
      <c r="O3377" s="133"/>
      <c r="P3377" s="134"/>
      <c r="Q3377" s="146"/>
      <c r="R3377" s="17"/>
      <c r="S3377" s="17"/>
      <c r="T3377" s="75"/>
      <c r="U3377" s="75"/>
      <c r="V3377" s="75"/>
      <c r="W3377" s="75"/>
      <c r="X3377" s="75"/>
    </row>
    <row r="3378">
      <c r="A3378" s="17"/>
      <c r="B3378" s="17"/>
      <c r="C3378" s="133"/>
      <c r="D3378" s="133"/>
      <c r="E3378" s="17"/>
      <c r="F3378" s="133"/>
      <c r="G3378" s="133"/>
      <c r="H3378" s="133"/>
      <c r="I3378" s="133"/>
      <c r="J3378" s="133"/>
      <c r="K3378" s="133"/>
      <c r="L3378" s="133"/>
      <c r="M3378" s="133"/>
      <c r="N3378" s="133"/>
      <c r="O3378" s="133"/>
      <c r="P3378" s="134"/>
      <c r="Q3378" s="146"/>
      <c r="R3378" s="17"/>
      <c r="S3378" s="17"/>
      <c r="T3378" s="75"/>
      <c r="U3378" s="75"/>
      <c r="V3378" s="75"/>
      <c r="W3378" s="75"/>
      <c r="X3378" s="75"/>
    </row>
    <row r="3379">
      <c r="A3379" s="17"/>
      <c r="B3379" s="17"/>
      <c r="C3379" s="133"/>
      <c r="D3379" s="133"/>
      <c r="E3379" s="17"/>
      <c r="F3379" s="133"/>
      <c r="G3379" s="133"/>
      <c r="H3379" s="133"/>
      <c r="I3379" s="133"/>
      <c r="J3379" s="133"/>
      <c r="K3379" s="133"/>
      <c r="L3379" s="133"/>
      <c r="M3379" s="133"/>
      <c r="N3379" s="133"/>
      <c r="O3379" s="133"/>
      <c r="P3379" s="134"/>
      <c r="Q3379" s="146"/>
      <c r="R3379" s="17"/>
      <c r="S3379" s="17"/>
      <c r="T3379" s="75"/>
      <c r="U3379" s="75"/>
      <c r="V3379" s="75"/>
      <c r="W3379" s="75"/>
      <c r="X3379" s="75"/>
    </row>
    <row r="3380">
      <c r="A3380" s="17"/>
      <c r="B3380" s="17"/>
      <c r="C3380" s="133"/>
      <c r="D3380" s="133"/>
      <c r="E3380" s="17"/>
      <c r="F3380" s="133"/>
      <c r="G3380" s="133"/>
      <c r="H3380" s="133"/>
      <c r="I3380" s="133"/>
      <c r="J3380" s="133"/>
      <c r="K3380" s="133"/>
      <c r="L3380" s="133"/>
      <c r="M3380" s="133"/>
      <c r="N3380" s="133"/>
      <c r="O3380" s="133"/>
      <c r="P3380" s="134"/>
      <c r="Q3380" s="146"/>
      <c r="R3380" s="17"/>
      <c r="S3380" s="17"/>
      <c r="T3380" s="75"/>
      <c r="U3380" s="75"/>
      <c r="V3380" s="75"/>
      <c r="W3380" s="75"/>
      <c r="X3380" s="75"/>
    </row>
    <row r="3381">
      <c r="A3381" s="17"/>
      <c r="B3381" s="17"/>
      <c r="C3381" s="133"/>
      <c r="D3381" s="133"/>
      <c r="E3381" s="17"/>
      <c r="F3381" s="133"/>
      <c r="G3381" s="133"/>
      <c r="H3381" s="133"/>
      <c r="I3381" s="133"/>
      <c r="J3381" s="133"/>
      <c r="K3381" s="133"/>
      <c r="L3381" s="133"/>
      <c r="M3381" s="133"/>
      <c r="N3381" s="133"/>
      <c r="O3381" s="133"/>
      <c r="P3381" s="134"/>
      <c r="Q3381" s="146"/>
      <c r="R3381" s="17"/>
      <c r="S3381" s="17"/>
      <c r="T3381" s="75"/>
      <c r="U3381" s="75"/>
      <c r="V3381" s="75"/>
      <c r="W3381" s="75"/>
      <c r="X3381" s="75"/>
    </row>
    <row r="3382">
      <c r="A3382" s="17"/>
      <c r="B3382" s="17"/>
      <c r="C3382" s="133"/>
      <c r="D3382" s="133"/>
      <c r="E3382" s="17"/>
      <c r="F3382" s="133"/>
      <c r="G3382" s="133"/>
      <c r="H3382" s="133"/>
      <c r="I3382" s="133"/>
      <c r="J3382" s="133"/>
      <c r="K3382" s="133"/>
      <c r="L3382" s="133"/>
      <c r="M3382" s="133"/>
      <c r="N3382" s="133"/>
      <c r="O3382" s="133"/>
      <c r="P3382" s="134"/>
      <c r="Q3382" s="146"/>
      <c r="R3382" s="17"/>
      <c r="S3382" s="17"/>
      <c r="T3382" s="75"/>
      <c r="U3382" s="75"/>
      <c r="V3382" s="75"/>
      <c r="W3382" s="75"/>
      <c r="X3382" s="75"/>
    </row>
    <row r="3383">
      <c r="A3383" s="17"/>
      <c r="B3383" s="17"/>
      <c r="C3383" s="133"/>
      <c r="D3383" s="133"/>
      <c r="E3383" s="17"/>
      <c r="F3383" s="133"/>
      <c r="G3383" s="133"/>
      <c r="H3383" s="133"/>
      <c r="I3383" s="133"/>
      <c r="J3383" s="133"/>
      <c r="K3383" s="133"/>
      <c r="L3383" s="133"/>
      <c r="M3383" s="133"/>
      <c r="N3383" s="133"/>
      <c r="O3383" s="133"/>
      <c r="P3383" s="134"/>
      <c r="Q3383" s="146"/>
      <c r="R3383" s="17"/>
      <c r="S3383" s="17"/>
      <c r="T3383" s="75"/>
      <c r="U3383" s="75"/>
      <c r="V3383" s="75"/>
      <c r="W3383" s="75"/>
      <c r="X3383" s="75"/>
    </row>
    <row r="3384">
      <c r="A3384" s="17"/>
      <c r="B3384" s="17"/>
      <c r="C3384" s="133"/>
      <c r="D3384" s="133"/>
      <c r="E3384" s="17"/>
      <c r="F3384" s="133"/>
      <c r="G3384" s="133"/>
      <c r="H3384" s="133"/>
      <c r="I3384" s="133"/>
      <c r="J3384" s="133"/>
      <c r="K3384" s="133"/>
      <c r="L3384" s="133"/>
      <c r="M3384" s="133"/>
      <c r="N3384" s="133"/>
      <c r="O3384" s="133"/>
      <c r="P3384" s="134"/>
      <c r="Q3384" s="146"/>
      <c r="R3384" s="17"/>
      <c r="S3384" s="17"/>
      <c r="T3384" s="75"/>
      <c r="U3384" s="75"/>
      <c r="V3384" s="75"/>
      <c r="W3384" s="75"/>
      <c r="X3384" s="75"/>
    </row>
    <row r="3385">
      <c r="A3385" s="17"/>
      <c r="B3385" s="17"/>
      <c r="C3385" s="133"/>
      <c r="D3385" s="133"/>
      <c r="E3385" s="17"/>
      <c r="F3385" s="133"/>
      <c r="G3385" s="133"/>
      <c r="H3385" s="133"/>
      <c r="I3385" s="133"/>
      <c r="J3385" s="133"/>
      <c r="K3385" s="133"/>
      <c r="L3385" s="133"/>
      <c r="M3385" s="133"/>
      <c r="N3385" s="133"/>
      <c r="O3385" s="133"/>
      <c r="P3385" s="134"/>
      <c r="Q3385" s="146"/>
      <c r="R3385" s="17"/>
      <c r="S3385" s="17"/>
      <c r="T3385" s="75"/>
      <c r="U3385" s="75"/>
      <c r="V3385" s="75"/>
      <c r="W3385" s="75"/>
      <c r="X3385" s="75"/>
    </row>
    <row r="3386">
      <c r="A3386" s="17"/>
      <c r="B3386" s="17"/>
      <c r="C3386" s="133"/>
      <c r="D3386" s="133"/>
      <c r="E3386" s="17"/>
      <c r="F3386" s="133"/>
      <c r="G3386" s="133"/>
      <c r="H3386" s="133"/>
      <c r="I3386" s="133"/>
      <c r="J3386" s="133"/>
      <c r="K3386" s="133"/>
      <c r="L3386" s="133"/>
      <c r="M3386" s="133"/>
      <c r="N3386" s="133"/>
      <c r="O3386" s="133"/>
      <c r="P3386" s="134"/>
      <c r="Q3386" s="146"/>
      <c r="R3386" s="17"/>
      <c r="S3386" s="17"/>
      <c r="T3386" s="75"/>
      <c r="U3386" s="75"/>
      <c r="V3386" s="75"/>
      <c r="W3386" s="75"/>
      <c r="X3386" s="75"/>
    </row>
    <row r="3387">
      <c r="A3387" s="17"/>
      <c r="B3387" s="17"/>
      <c r="C3387" s="133"/>
      <c r="D3387" s="133"/>
      <c r="E3387" s="17"/>
      <c r="F3387" s="133"/>
      <c r="G3387" s="133"/>
      <c r="H3387" s="133"/>
      <c r="I3387" s="133"/>
      <c r="J3387" s="133"/>
      <c r="K3387" s="133"/>
      <c r="L3387" s="133"/>
      <c r="M3387" s="133"/>
      <c r="N3387" s="133"/>
      <c r="O3387" s="133"/>
      <c r="P3387" s="134"/>
      <c r="Q3387" s="146"/>
      <c r="R3387" s="17"/>
      <c r="S3387" s="17"/>
      <c r="T3387" s="75"/>
      <c r="U3387" s="75"/>
      <c r="V3387" s="75"/>
      <c r="W3387" s="75"/>
      <c r="X3387" s="75"/>
    </row>
    <row r="3388">
      <c r="A3388" s="17"/>
      <c r="B3388" s="17"/>
      <c r="C3388" s="133"/>
      <c r="D3388" s="133"/>
      <c r="E3388" s="17"/>
      <c r="F3388" s="133"/>
      <c r="G3388" s="133"/>
      <c r="H3388" s="133"/>
      <c r="I3388" s="133"/>
      <c r="J3388" s="133"/>
      <c r="K3388" s="133"/>
      <c r="L3388" s="133"/>
      <c r="M3388" s="133"/>
      <c r="N3388" s="133"/>
      <c r="O3388" s="133"/>
      <c r="P3388" s="134"/>
      <c r="Q3388" s="146"/>
      <c r="R3388" s="17"/>
      <c r="S3388" s="17"/>
      <c r="T3388" s="75"/>
      <c r="U3388" s="75"/>
      <c r="V3388" s="75"/>
      <c r="W3388" s="75"/>
      <c r="X3388" s="75"/>
    </row>
    <row r="3389">
      <c r="A3389" s="17"/>
      <c r="B3389" s="17"/>
      <c r="C3389" s="133"/>
      <c r="D3389" s="133"/>
      <c r="E3389" s="17"/>
      <c r="F3389" s="133"/>
      <c r="G3389" s="133"/>
      <c r="H3389" s="133"/>
      <c r="I3389" s="133"/>
      <c r="J3389" s="133"/>
      <c r="K3389" s="133"/>
      <c r="L3389" s="133"/>
      <c r="M3389" s="133"/>
      <c r="N3389" s="133"/>
      <c r="O3389" s="133"/>
      <c r="P3389" s="134"/>
      <c r="Q3389" s="146"/>
      <c r="R3389" s="17"/>
      <c r="S3389" s="17"/>
      <c r="T3389" s="75"/>
      <c r="U3389" s="75"/>
      <c r="V3389" s="75"/>
      <c r="W3389" s="75"/>
      <c r="X3389" s="75"/>
    </row>
    <row r="3390">
      <c r="A3390" s="17"/>
      <c r="B3390" s="17"/>
      <c r="C3390" s="133"/>
      <c r="D3390" s="133"/>
      <c r="E3390" s="17"/>
      <c r="F3390" s="133"/>
      <c r="G3390" s="133"/>
      <c r="H3390" s="133"/>
      <c r="I3390" s="133"/>
      <c r="J3390" s="133"/>
      <c r="K3390" s="133"/>
      <c r="L3390" s="133"/>
      <c r="M3390" s="133"/>
      <c r="N3390" s="133"/>
      <c r="O3390" s="133"/>
      <c r="P3390" s="134"/>
      <c r="Q3390" s="146"/>
      <c r="R3390" s="17"/>
      <c r="S3390" s="17"/>
      <c r="T3390" s="75"/>
      <c r="U3390" s="75"/>
      <c r="V3390" s="75"/>
      <c r="W3390" s="75"/>
      <c r="X3390" s="75"/>
    </row>
    <row r="3391">
      <c r="A3391" s="17"/>
      <c r="B3391" s="17"/>
      <c r="C3391" s="133"/>
      <c r="D3391" s="133"/>
      <c r="E3391" s="17"/>
      <c r="F3391" s="133"/>
      <c r="G3391" s="133"/>
      <c r="H3391" s="133"/>
      <c r="I3391" s="133"/>
      <c r="J3391" s="133"/>
      <c r="K3391" s="133"/>
      <c r="L3391" s="133"/>
      <c r="M3391" s="133"/>
      <c r="N3391" s="133"/>
      <c r="O3391" s="133"/>
      <c r="P3391" s="134"/>
      <c r="Q3391" s="146"/>
      <c r="R3391" s="17"/>
      <c r="S3391" s="17"/>
      <c r="T3391" s="75"/>
      <c r="U3391" s="75"/>
      <c r="V3391" s="75"/>
      <c r="W3391" s="75"/>
      <c r="X3391" s="75"/>
    </row>
    <row r="3392">
      <c r="A3392" s="17"/>
      <c r="B3392" s="17"/>
      <c r="C3392" s="133"/>
      <c r="D3392" s="133"/>
      <c r="E3392" s="17"/>
      <c r="F3392" s="133"/>
      <c r="G3392" s="133"/>
      <c r="H3392" s="133"/>
      <c r="I3392" s="133"/>
      <c r="J3392" s="133"/>
      <c r="K3392" s="133"/>
      <c r="L3392" s="133"/>
      <c r="M3392" s="133"/>
      <c r="N3392" s="133"/>
      <c r="O3392" s="133"/>
      <c r="P3392" s="134"/>
      <c r="Q3392" s="146"/>
      <c r="R3392" s="17"/>
      <c r="S3392" s="17"/>
      <c r="T3392" s="75"/>
      <c r="U3392" s="75"/>
      <c r="V3392" s="75"/>
      <c r="W3392" s="75"/>
      <c r="X3392" s="75"/>
    </row>
    <row r="3393">
      <c r="A3393" s="17"/>
      <c r="B3393" s="17"/>
      <c r="C3393" s="133"/>
      <c r="D3393" s="133"/>
      <c r="E3393" s="17"/>
      <c r="F3393" s="133"/>
      <c r="G3393" s="133"/>
      <c r="H3393" s="133"/>
      <c r="I3393" s="133"/>
      <c r="J3393" s="133"/>
      <c r="K3393" s="133"/>
      <c r="L3393" s="133"/>
      <c r="M3393" s="133"/>
      <c r="N3393" s="133"/>
      <c r="O3393" s="133"/>
      <c r="P3393" s="134"/>
      <c r="Q3393" s="146"/>
      <c r="R3393" s="17"/>
      <c r="S3393" s="17"/>
      <c r="T3393" s="75"/>
      <c r="U3393" s="75"/>
      <c r="V3393" s="75"/>
      <c r="W3393" s="75"/>
      <c r="X3393" s="75"/>
    </row>
    <row r="3394">
      <c r="A3394" s="17"/>
      <c r="B3394" s="17"/>
      <c r="C3394" s="133"/>
      <c r="D3394" s="133"/>
      <c r="E3394" s="17"/>
      <c r="F3394" s="133"/>
      <c r="G3394" s="133"/>
      <c r="H3394" s="133"/>
      <c r="I3394" s="133"/>
      <c r="J3394" s="133"/>
      <c r="K3394" s="133"/>
      <c r="L3394" s="133"/>
      <c r="M3394" s="133"/>
      <c r="N3394" s="133"/>
      <c r="O3394" s="133"/>
      <c r="P3394" s="134"/>
      <c r="Q3394" s="146"/>
      <c r="R3394" s="17"/>
      <c r="S3394" s="17"/>
      <c r="T3394" s="75"/>
      <c r="U3394" s="75"/>
      <c r="V3394" s="75"/>
      <c r="W3394" s="75"/>
      <c r="X3394" s="75"/>
    </row>
    <row r="3395">
      <c r="A3395" s="17"/>
      <c r="B3395" s="17"/>
      <c r="C3395" s="133"/>
      <c r="D3395" s="133"/>
      <c r="E3395" s="17"/>
      <c r="F3395" s="133"/>
      <c r="G3395" s="133"/>
      <c r="H3395" s="133"/>
      <c r="I3395" s="133"/>
      <c r="J3395" s="133"/>
      <c r="K3395" s="133"/>
      <c r="L3395" s="133"/>
      <c r="M3395" s="133"/>
      <c r="N3395" s="133"/>
      <c r="O3395" s="133"/>
      <c r="P3395" s="134"/>
      <c r="Q3395" s="146"/>
      <c r="R3395" s="17"/>
      <c r="S3395" s="17"/>
      <c r="T3395" s="75"/>
      <c r="U3395" s="75"/>
      <c r="V3395" s="75"/>
      <c r="W3395" s="75"/>
      <c r="X3395" s="75"/>
    </row>
    <row r="3396">
      <c r="A3396" s="17"/>
      <c r="B3396" s="17"/>
      <c r="C3396" s="133"/>
      <c r="D3396" s="133"/>
      <c r="E3396" s="17"/>
      <c r="F3396" s="133"/>
      <c r="G3396" s="133"/>
      <c r="H3396" s="133"/>
      <c r="I3396" s="133"/>
      <c r="J3396" s="133"/>
      <c r="K3396" s="133"/>
      <c r="L3396" s="133"/>
      <c r="M3396" s="133"/>
      <c r="N3396" s="133"/>
      <c r="O3396" s="133"/>
      <c r="P3396" s="134"/>
      <c r="Q3396" s="146"/>
      <c r="R3396" s="17"/>
      <c r="S3396" s="17"/>
      <c r="T3396" s="75"/>
      <c r="U3396" s="75"/>
      <c r="V3396" s="75"/>
      <c r="W3396" s="75"/>
      <c r="X3396" s="75"/>
    </row>
    <row r="3397">
      <c r="A3397" s="17"/>
      <c r="B3397" s="17"/>
      <c r="C3397" s="133"/>
      <c r="D3397" s="133"/>
      <c r="E3397" s="17"/>
      <c r="F3397" s="133"/>
      <c r="G3397" s="133"/>
      <c r="H3397" s="133"/>
      <c r="I3397" s="133"/>
      <c r="J3397" s="133"/>
      <c r="K3397" s="133"/>
      <c r="L3397" s="133"/>
      <c r="M3397" s="133"/>
      <c r="N3397" s="133"/>
      <c r="O3397" s="133"/>
      <c r="P3397" s="134"/>
      <c r="Q3397" s="146"/>
      <c r="R3397" s="17"/>
      <c r="S3397" s="17"/>
      <c r="T3397" s="75"/>
      <c r="U3397" s="75"/>
      <c r="V3397" s="75"/>
      <c r="W3397" s="75"/>
      <c r="X3397" s="75"/>
    </row>
    <row r="3398">
      <c r="A3398" s="17"/>
      <c r="B3398" s="17"/>
      <c r="C3398" s="133"/>
      <c r="D3398" s="133"/>
      <c r="E3398" s="17"/>
      <c r="F3398" s="133"/>
      <c r="G3398" s="133"/>
      <c r="H3398" s="133"/>
      <c r="I3398" s="133"/>
      <c r="J3398" s="133"/>
      <c r="K3398" s="133"/>
      <c r="L3398" s="133"/>
      <c r="M3398" s="133"/>
      <c r="N3398" s="133"/>
      <c r="O3398" s="133"/>
      <c r="P3398" s="134"/>
      <c r="Q3398" s="146"/>
      <c r="R3398" s="17"/>
      <c r="S3398" s="17"/>
      <c r="T3398" s="75"/>
      <c r="U3398" s="75"/>
      <c r="V3398" s="75"/>
      <c r="W3398" s="75"/>
      <c r="X3398" s="75"/>
    </row>
    <row r="3399">
      <c r="A3399" s="17"/>
      <c r="B3399" s="17"/>
      <c r="C3399" s="133"/>
      <c r="D3399" s="133"/>
      <c r="E3399" s="17"/>
      <c r="F3399" s="133"/>
      <c r="G3399" s="133"/>
      <c r="H3399" s="133"/>
      <c r="I3399" s="133"/>
      <c r="J3399" s="133"/>
      <c r="K3399" s="133"/>
      <c r="L3399" s="133"/>
      <c r="M3399" s="133"/>
      <c r="N3399" s="133"/>
      <c r="O3399" s="133"/>
      <c r="P3399" s="134"/>
      <c r="Q3399" s="146"/>
      <c r="R3399" s="17"/>
      <c r="S3399" s="17"/>
      <c r="T3399" s="75"/>
      <c r="U3399" s="75"/>
      <c r="V3399" s="75"/>
      <c r="W3399" s="75"/>
      <c r="X3399" s="75"/>
    </row>
    <row r="3400">
      <c r="A3400" s="17"/>
      <c r="B3400" s="17"/>
      <c r="C3400" s="133"/>
      <c r="D3400" s="133"/>
      <c r="E3400" s="17"/>
      <c r="F3400" s="133"/>
      <c r="G3400" s="133"/>
      <c r="H3400" s="133"/>
      <c r="I3400" s="133"/>
      <c r="J3400" s="133"/>
      <c r="K3400" s="133"/>
      <c r="L3400" s="133"/>
      <c r="M3400" s="133"/>
      <c r="N3400" s="133"/>
      <c r="O3400" s="133"/>
      <c r="P3400" s="134"/>
      <c r="Q3400" s="146"/>
      <c r="R3400" s="17"/>
      <c r="S3400" s="17"/>
      <c r="T3400" s="75"/>
      <c r="U3400" s="75"/>
      <c r="V3400" s="75"/>
      <c r="W3400" s="75"/>
      <c r="X3400" s="75"/>
    </row>
    <row r="3401">
      <c r="A3401" s="17"/>
      <c r="B3401" s="17"/>
      <c r="C3401" s="133"/>
      <c r="D3401" s="133"/>
      <c r="E3401" s="17"/>
      <c r="F3401" s="133"/>
      <c r="G3401" s="133"/>
      <c r="H3401" s="133"/>
      <c r="I3401" s="133"/>
      <c r="J3401" s="133"/>
      <c r="K3401" s="133"/>
      <c r="L3401" s="133"/>
      <c r="M3401" s="133"/>
      <c r="N3401" s="133"/>
      <c r="O3401" s="133"/>
      <c r="P3401" s="134"/>
      <c r="Q3401" s="146"/>
      <c r="R3401" s="17"/>
      <c r="S3401" s="17"/>
      <c r="T3401" s="75"/>
      <c r="U3401" s="75"/>
      <c r="V3401" s="75"/>
      <c r="W3401" s="75"/>
      <c r="X3401" s="75"/>
    </row>
    <row r="3402">
      <c r="A3402" s="17"/>
      <c r="B3402" s="17"/>
      <c r="C3402" s="133"/>
      <c r="D3402" s="133"/>
      <c r="E3402" s="17"/>
      <c r="F3402" s="133"/>
      <c r="G3402" s="133"/>
      <c r="H3402" s="133"/>
      <c r="I3402" s="133"/>
      <c r="J3402" s="133"/>
      <c r="K3402" s="133"/>
      <c r="L3402" s="133"/>
      <c r="M3402" s="133"/>
      <c r="N3402" s="133"/>
      <c r="O3402" s="133"/>
      <c r="P3402" s="134"/>
      <c r="Q3402" s="146"/>
      <c r="R3402" s="17"/>
      <c r="S3402" s="17"/>
      <c r="T3402" s="75"/>
      <c r="U3402" s="75"/>
      <c r="V3402" s="75"/>
      <c r="W3402" s="75"/>
      <c r="X3402" s="75"/>
    </row>
    <row r="3403">
      <c r="A3403" s="17"/>
      <c r="B3403" s="17"/>
      <c r="C3403" s="133"/>
      <c r="D3403" s="133"/>
      <c r="E3403" s="17"/>
      <c r="F3403" s="133"/>
      <c r="G3403" s="133"/>
      <c r="H3403" s="133"/>
      <c r="I3403" s="133"/>
      <c r="J3403" s="133"/>
      <c r="K3403" s="133"/>
      <c r="L3403" s="133"/>
      <c r="M3403" s="133"/>
      <c r="N3403" s="133"/>
      <c r="O3403" s="133"/>
      <c r="P3403" s="134"/>
      <c r="Q3403" s="146"/>
      <c r="R3403" s="17"/>
      <c r="S3403" s="17"/>
      <c r="T3403" s="75"/>
      <c r="U3403" s="75"/>
      <c r="V3403" s="75"/>
      <c r="W3403" s="75"/>
      <c r="X3403" s="75"/>
    </row>
    <row r="3404">
      <c r="A3404" s="17"/>
      <c r="B3404" s="17"/>
      <c r="C3404" s="133"/>
      <c r="D3404" s="133"/>
      <c r="E3404" s="17"/>
      <c r="F3404" s="133"/>
      <c r="G3404" s="133"/>
      <c r="H3404" s="133"/>
      <c r="I3404" s="133"/>
      <c r="J3404" s="133"/>
      <c r="K3404" s="133"/>
      <c r="L3404" s="133"/>
      <c r="M3404" s="133"/>
      <c r="N3404" s="133"/>
      <c r="O3404" s="133"/>
      <c r="P3404" s="134"/>
      <c r="Q3404" s="146"/>
      <c r="R3404" s="17"/>
      <c r="S3404" s="17"/>
      <c r="T3404" s="75"/>
      <c r="U3404" s="75"/>
      <c r="V3404" s="75"/>
      <c r="W3404" s="75"/>
      <c r="X3404" s="75"/>
    </row>
    <row r="3405">
      <c r="A3405" s="17"/>
      <c r="B3405" s="17"/>
      <c r="C3405" s="133"/>
      <c r="D3405" s="133"/>
      <c r="E3405" s="17"/>
      <c r="F3405" s="133"/>
      <c r="G3405" s="133"/>
      <c r="H3405" s="133"/>
      <c r="I3405" s="133"/>
      <c r="J3405" s="133"/>
      <c r="K3405" s="133"/>
      <c r="L3405" s="133"/>
      <c r="M3405" s="133"/>
      <c r="N3405" s="133"/>
      <c r="O3405" s="133"/>
      <c r="P3405" s="134"/>
      <c r="Q3405" s="146"/>
      <c r="R3405" s="17"/>
      <c r="S3405" s="17"/>
      <c r="T3405" s="75"/>
      <c r="U3405" s="75"/>
      <c r="V3405" s="75"/>
      <c r="W3405" s="75"/>
      <c r="X3405" s="75"/>
    </row>
    <row r="3406">
      <c r="A3406" s="17"/>
      <c r="B3406" s="17"/>
      <c r="C3406" s="133"/>
      <c r="D3406" s="133"/>
      <c r="E3406" s="17"/>
      <c r="F3406" s="133"/>
      <c r="G3406" s="133"/>
      <c r="H3406" s="133"/>
      <c r="I3406" s="133"/>
      <c r="J3406" s="133"/>
      <c r="K3406" s="133"/>
      <c r="L3406" s="133"/>
      <c r="M3406" s="133"/>
      <c r="N3406" s="133"/>
      <c r="O3406" s="133"/>
      <c r="P3406" s="134"/>
      <c r="Q3406" s="146"/>
      <c r="R3406" s="17"/>
      <c r="S3406" s="17"/>
      <c r="T3406" s="75"/>
      <c r="U3406" s="75"/>
      <c r="V3406" s="75"/>
      <c r="W3406" s="75"/>
      <c r="X3406" s="75"/>
    </row>
    <row r="3407">
      <c r="A3407" s="17"/>
      <c r="B3407" s="17"/>
      <c r="C3407" s="133"/>
      <c r="D3407" s="133"/>
      <c r="E3407" s="17"/>
      <c r="F3407" s="133"/>
      <c r="G3407" s="133"/>
      <c r="H3407" s="133"/>
      <c r="I3407" s="133"/>
      <c r="J3407" s="133"/>
      <c r="K3407" s="133"/>
      <c r="L3407" s="133"/>
      <c r="M3407" s="133"/>
      <c r="N3407" s="133"/>
      <c r="O3407" s="133"/>
      <c r="P3407" s="134"/>
      <c r="Q3407" s="146"/>
      <c r="R3407" s="17"/>
      <c r="S3407" s="17"/>
      <c r="T3407" s="75"/>
      <c r="U3407" s="75"/>
      <c r="V3407" s="75"/>
      <c r="W3407" s="75"/>
      <c r="X3407" s="75"/>
    </row>
    <row r="3408">
      <c r="A3408" s="17"/>
      <c r="B3408" s="17"/>
      <c r="C3408" s="133"/>
      <c r="D3408" s="133"/>
      <c r="E3408" s="17"/>
      <c r="F3408" s="133"/>
      <c r="G3408" s="133"/>
      <c r="H3408" s="133"/>
      <c r="I3408" s="133"/>
      <c r="J3408" s="133"/>
      <c r="K3408" s="133"/>
      <c r="L3408" s="133"/>
      <c r="M3408" s="133"/>
      <c r="N3408" s="133"/>
      <c r="O3408" s="133"/>
      <c r="P3408" s="134"/>
      <c r="Q3408" s="146"/>
      <c r="R3408" s="17"/>
      <c r="S3408" s="17"/>
      <c r="T3408" s="75"/>
      <c r="U3408" s="75"/>
      <c r="V3408" s="75"/>
      <c r="W3408" s="75"/>
      <c r="X3408" s="75"/>
    </row>
    <row r="3409">
      <c r="A3409" s="17"/>
      <c r="B3409" s="17"/>
      <c r="C3409" s="133"/>
      <c r="D3409" s="133"/>
      <c r="E3409" s="17"/>
      <c r="F3409" s="133"/>
      <c r="G3409" s="133"/>
      <c r="H3409" s="133"/>
      <c r="I3409" s="133"/>
      <c r="J3409" s="133"/>
      <c r="K3409" s="133"/>
      <c r="L3409" s="133"/>
      <c r="M3409" s="133"/>
      <c r="N3409" s="133"/>
      <c r="O3409" s="133"/>
      <c r="P3409" s="134"/>
      <c r="Q3409" s="146"/>
      <c r="R3409" s="17"/>
      <c r="S3409" s="17"/>
      <c r="T3409" s="75"/>
      <c r="U3409" s="75"/>
      <c r="V3409" s="75"/>
      <c r="W3409" s="75"/>
      <c r="X3409" s="75"/>
    </row>
    <row r="3410">
      <c r="A3410" s="17"/>
      <c r="B3410" s="17"/>
      <c r="C3410" s="133"/>
      <c r="D3410" s="133"/>
      <c r="E3410" s="17"/>
      <c r="F3410" s="133"/>
      <c r="G3410" s="133"/>
      <c r="H3410" s="133"/>
      <c r="I3410" s="133"/>
      <c r="J3410" s="133"/>
      <c r="K3410" s="133"/>
      <c r="L3410" s="133"/>
      <c r="M3410" s="133"/>
      <c r="N3410" s="133"/>
      <c r="O3410" s="133"/>
      <c r="P3410" s="134"/>
      <c r="Q3410" s="146"/>
      <c r="R3410" s="17"/>
      <c r="S3410" s="17"/>
      <c r="T3410" s="75"/>
      <c r="U3410" s="75"/>
      <c r="V3410" s="75"/>
      <c r="W3410" s="75"/>
      <c r="X3410" s="75"/>
    </row>
    <row r="3411">
      <c r="A3411" s="17"/>
      <c r="B3411" s="17"/>
      <c r="C3411" s="133"/>
      <c r="D3411" s="133"/>
      <c r="E3411" s="17"/>
      <c r="F3411" s="133"/>
      <c r="G3411" s="133"/>
      <c r="H3411" s="133"/>
      <c r="I3411" s="133"/>
      <c r="J3411" s="133"/>
      <c r="K3411" s="133"/>
      <c r="L3411" s="133"/>
      <c r="M3411" s="133"/>
      <c r="N3411" s="133"/>
      <c r="O3411" s="133"/>
      <c r="P3411" s="134"/>
      <c r="Q3411" s="146"/>
      <c r="R3411" s="17"/>
      <c r="S3411" s="17"/>
      <c r="T3411" s="75"/>
      <c r="U3411" s="75"/>
      <c r="V3411" s="75"/>
      <c r="W3411" s="75"/>
      <c r="X3411" s="75"/>
    </row>
    <row r="3412">
      <c r="A3412" s="17"/>
      <c r="B3412" s="17"/>
      <c r="C3412" s="133"/>
      <c r="D3412" s="133"/>
      <c r="E3412" s="17"/>
      <c r="F3412" s="133"/>
      <c r="G3412" s="133"/>
      <c r="H3412" s="133"/>
      <c r="I3412" s="133"/>
      <c r="J3412" s="133"/>
      <c r="K3412" s="133"/>
      <c r="L3412" s="133"/>
      <c r="M3412" s="133"/>
      <c r="N3412" s="133"/>
      <c r="O3412" s="133"/>
      <c r="P3412" s="134"/>
      <c r="Q3412" s="146"/>
      <c r="R3412" s="17"/>
      <c r="S3412" s="17"/>
      <c r="T3412" s="75"/>
      <c r="U3412" s="75"/>
      <c r="V3412" s="75"/>
      <c r="W3412" s="75"/>
      <c r="X3412" s="75"/>
    </row>
    <row r="3413">
      <c r="A3413" s="17"/>
      <c r="B3413" s="17"/>
      <c r="C3413" s="133"/>
      <c r="D3413" s="133"/>
      <c r="E3413" s="17"/>
      <c r="F3413" s="133"/>
      <c r="G3413" s="133"/>
      <c r="H3413" s="133"/>
      <c r="I3413" s="133"/>
      <c r="J3413" s="133"/>
      <c r="K3413" s="133"/>
      <c r="L3413" s="133"/>
      <c r="M3413" s="133"/>
      <c r="N3413" s="133"/>
      <c r="O3413" s="133"/>
      <c r="P3413" s="134"/>
      <c r="Q3413" s="146"/>
      <c r="R3413" s="17"/>
      <c r="S3413" s="17"/>
      <c r="T3413" s="75"/>
      <c r="U3413" s="75"/>
      <c r="V3413" s="75"/>
      <c r="W3413" s="75"/>
      <c r="X3413" s="75"/>
    </row>
    <row r="3414">
      <c r="A3414" s="17"/>
      <c r="B3414" s="17"/>
      <c r="C3414" s="133"/>
      <c r="D3414" s="133"/>
      <c r="E3414" s="17"/>
      <c r="F3414" s="133"/>
      <c r="G3414" s="133"/>
      <c r="H3414" s="133"/>
      <c r="I3414" s="133"/>
      <c r="J3414" s="133"/>
      <c r="K3414" s="133"/>
      <c r="L3414" s="133"/>
      <c r="M3414" s="133"/>
      <c r="N3414" s="133"/>
      <c r="O3414" s="133"/>
      <c r="P3414" s="134"/>
      <c r="Q3414" s="146"/>
      <c r="R3414" s="17"/>
      <c r="S3414" s="17"/>
      <c r="T3414" s="75"/>
      <c r="U3414" s="75"/>
      <c r="V3414" s="75"/>
      <c r="W3414" s="75"/>
      <c r="X3414" s="75"/>
    </row>
    <row r="3415">
      <c r="A3415" s="17"/>
      <c r="B3415" s="17"/>
      <c r="C3415" s="133"/>
      <c r="D3415" s="133"/>
      <c r="E3415" s="17"/>
      <c r="F3415" s="133"/>
      <c r="G3415" s="133"/>
      <c r="H3415" s="133"/>
      <c r="I3415" s="133"/>
      <c r="J3415" s="133"/>
      <c r="K3415" s="133"/>
      <c r="L3415" s="133"/>
      <c r="M3415" s="133"/>
      <c r="N3415" s="133"/>
      <c r="O3415" s="133"/>
      <c r="P3415" s="134"/>
      <c r="Q3415" s="146"/>
      <c r="R3415" s="17"/>
      <c r="S3415" s="17"/>
      <c r="T3415" s="75"/>
      <c r="U3415" s="75"/>
      <c r="V3415" s="75"/>
      <c r="W3415" s="75"/>
      <c r="X3415" s="75"/>
    </row>
    <row r="3416">
      <c r="A3416" s="17"/>
      <c r="B3416" s="17"/>
      <c r="C3416" s="133"/>
      <c r="D3416" s="133"/>
      <c r="E3416" s="17"/>
      <c r="F3416" s="133"/>
      <c r="G3416" s="133"/>
      <c r="H3416" s="133"/>
      <c r="I3416" s="133"/>
      <c r="J3416" s="133"/>
      <c r="K3416" s="133"/>
      <c r="L3416" s="133"/>
      <c r="M3416" s="133"/>
      <c r="N3416" s="133"/>
      <c r="O3416" s="133"/>
      <c r="P3416" s="134"/>
      <c r="Q3416" s="146"/>
      <c r="R3416" s="17"/>
      <c r="S3416" s="17"/>
      <c r="T3416" s="75"/>
      <c r="U3416" s="75"/>
      <c r="V3416" s="75"/>
      <c r="W3416" s="75"/>
      <c r="X3416" s="75"/>
    </row>
    <row r="3417">
      <c r="A3417" s="17"/>
      <c r="B3417" s="17"/>
      <c r="C3417" s="133"/>
      <c r="D3417" s="133"/>
      <c r="E3417" s="17"/>
      <c r="F3417" s="133"/>
      <c r="G3417" s="133"/>
      <c r="H3417" s="133"/>
      <c r="I3417" s="133"/>
      <c r="J3417" s="133"/>
      <c r="K3417" s="133"/>
      <c r="L3417" s="133"/>
      <c r="M3417" s="133"/>
      <c r="N3417" s="133"/>
      <c r="O3417" s="133"/>
      <c r="P3417" s="134"/>
      <c r="Q3417" s="146"/>
      <c r="R3417" s="17"/>
      <c r="S3417" s="17"/>
      <c r="T3417" s="75"/>
      <c r="U3417" s="75"/>
      <c r="V3417" s="75"/>
      <c r="W3417" s="75"/>
      <c r="X3417" s="75"/>
    </row>
    <row r="3418">
      <c r="A3418" s="17"/>
      <c r="B3418" s="17"/>
      <c r="C3418" s="133"/>
      <c r="D3418" s="133"/>
      <c r="E3418" s="17"/>
      <c r="F3418" s="133"/>
      <c r="G3418" s="133"/>
      <c r="H3418" s="133"/>
      <c r="I3418" s="133"/>
      <c r="J3418" s="133"/>
      <c r="K3418" s="133"/>
      <c r="L3418" s="133"/>
      <c r="M3418" s="133"/>
      <c r="N3418" s="133"/>
      <c r="O3418" s="133"/>
      <c r="P3418" s="134"/>
      <c r="Q3418" s="146"/>
      <c r="R3418" s="17"/>
      <c r="S3418" s="17"/>
      <c r="T3418" s="75"/>
      <c r="U3418" s="75"/>
      <c r="V3418" s="75"/>
      <c r="W3418" s="75"/>
      <c r="X3418" s="75"/>
    </row>
    <row r="3419">
      <c r="A3419" s="17"/>
      <c r="B3419" s="17"/>
      <c r="C3419" s="133"/>
      <c r="D3419" s="133"/>
      <c r="E3419" s="17"/>
      <c r="F3419" s="133"/>
      <c r="G3419" s="133"/>
      <c r="H3419" s="133"/>
      <c r="I3419" s="133"/>
      <c r="J3419" s="133"/>
      <c r="K3419" s="133"/>
      <c r="L3419" s="133"/>
      <c r="M3419" s="133"/>
      <c r="N3419" s="133"/>
      <c r="O3419" s="133"/>
      <c r="P3419" s="134"/>
      <c r="Q3419" s="146"/>
      <c r="R3419" s="17"/>
      <c r="S3419" s="17"/>
      <c r="T3419" s="75"/>
      <c r="U3419" s="75"/>
      <c r="V3419" s="75"/>
      <c r="W3419" s="75"/>
      <c r="X3419" s="75"/>
    </row>
    <row r="3420">
      <c r="A3420" s="17"/>
      <c r="B3420" s="17"/>
      <c r="C3420" s="133"/>
      <c r="D3420" s="133"/>
      <c r="E3420" s="17"/>
      <c r="F3420" s="133"/>
      <c r="G3420" s="133"/>
      <c r="H3420" s="133"/>
      <c r="I3420" s="133"/>
      <c r="J3420" s="133"/>
      <c r="K3420" s="133"/>
      <c r="L3420" s="133"/>
      <c r="M3420" s="133"/>
      <c r="N3420" s="133"/>
      <c r="O3420" s="133"/>
      <c r="P3420" s="134"/>
      <c r="Q3420" s="146"/>
      <c r="R3420" s="17"/>
      <c r="S3420" s="17"/>
      <c r="T3420" s="75"/>
      <c r="U3420" s="75"/>
      <c r="V3420" s="75"/>
      <c r="W3420" s="75"/>
      <c r="X3420" s="75"/>
    </row>
    <row r="3421">
      <c r="A3421" s="17"/>
      <c r="B3421" s="17"/>
      <c r="C3421" s="133"/>
      <c r="D3421" s="133"/>
      <c r="E3421" s="17"/>
      <c r="F3421" s="133"/>
      <c r="G3421" s="133"/>
      <c r="H3421" s="133"/>
      <c r="I3421" s="133"/>
      <c r="J3421" s="133"/>
      <c r="K3421" s="133"/>
      <c r="L3421" s="133"/>
      <c r="M3421" s="133"/>
      <c r="N3421" s="133"/>
      <c r="O3421" s="133"/>
      <c r="P3421" s="134"/>
      <c r="Q3421" s="146"/>
      <c r="R3421" s="17"/>
      <c r="S3421" s="17"/>
      <c r="T3421" s="75"/>
      <c r="U3421" s="75"/>
      <c r="V3421" s="75"/>
      <c r="W3421" s="75"/>
      <c r="X3421" s="75"/>
    </row>
    <row r="3422">
      <c r="A3422" s="17"/>
      <c r="B3422" s="17"/>
      <c r="C3422" s="133"/>
      <c r="D3422" s="133"/>
      <c r="E3422" s="17"/>
      <c r="F3422" s="133"/>
      <c r="G3422" s="133"/>
      <c r="H3422" s="133"/>
      <c r="I3422" s="133"/>
      <c r="J3422" s="133"/>
      <c r="K3422" s="133"/>
      <c r="L3422" s="133"/>
      <c r="M3422" s="133"/>
      <c r="N3422" s="133"/>
      <c r="O3422" s="133"/>
      <c r="P3422" s="134"/>
      <c r="Q3422" s="146"/>
      <c r="R3422" s="17"/>
      <c r="S3422" s="17"/>
      <c r="T3422" s="75"/>
      <c r="U3422" s="75"/>
      <c r="V3422" s="75"/>
      <c r="W3422" s="75"/>
      <c r="X3422" s="75"/>
    </row>
    <row r="3423">
      <c r="A3423" s="17"/>
      <c r="B3423" s="17"/>
      <c r="C3423" s="133"/>
      <c r="D3423" s="133"/>
      <c r="E3423" s="17"/>
      <c r="F3423" s="133"/>
      <c r="G3423" s="133"/>
      <c r="H3423" s="133"/>
      <c r="I3423" s="133"/>
      <c r="J3423" s="133"/>
      <c r="K3423" s="133"/>
      <c r="L3423" s="133"/>
      <c r="M3423" s="133"/>
      <c r="N3423" s="133"/>
      <c r="O3423" s="133"/>
      <c r="P3423" s="134"/>
      <c r="Q3423" s="146"/>
      <c r="R3423" s="17"/>
      <c r="S3423" s="17"/>
      <c r="T3423" s="75"/>
      <c r="U3423" s="75"/>
      <c r="V3423" s="75"/>
      <c r="W3423" s="75"/>
      <c r="X3423" s="75"/>
    </row>
    <row r="3424">
      <c r="A3424" s="17"/>
      <c r="B3424" s="17"/>
      <c r="C3424" s="133"/>
      <c r="D3424" s="133"/>
      <c r="E3424" s="17"/>
      <c r="F3424" s="133"/>
      <c r="G3424" s="133"/>
      <c r="H3424" s="133"/>
      <c r="I3424" s="133"/>
      <c r="J3424" s="133"/>
      <c r="K3424" s="133"/>
      <c r="L3424" s="133"/>
      <c r="M3424" s="133"/>
      <c r="N3424" s="133"/>
      <c r="O3424" s="133"/>
      <c r="P3424" s="134"/>
      <c r="Q3424" s="146"/>
      <c r="R3424" s="17"/>
      <c r="S3424" s="17"/>
      <c r="T3424" s="75"/>
      <c r="U3424" s="75"/>
      <c r="V3424" s="75"/>
      <c r="W3424" s="75"/>
      <c r="X3424" s="75"/>
    </row>
    <row r="3425">
      <c r="A3425" s="17"/>
      <c r="B3425" s="17"/>
      <c r="C3425" s="133"/>
      <c r="D3425" s="133"/>
      <c r="E3425" s="17"/>
      <c r="F3425" s="133"/>
      <c r="G3425" s="133"/>
      <c r="H3425" s="133"/>
      <c r="I3425" s="133"/>
      <c r="J3425" s="133"/>
      <c r="K3425" s="133"/>
      <c r="L3425" s="133"/>
      <c r="M3425" s="133"/>
      <c r="N3425" s="133"/>
      <c r="O3425" s="133"/>
      <c r="P3425" s="134"/>
      <c r="Q3425" s="146"/>
      <c r="R3425" s="17"/>
      <c r="S3425" s="17"/>
      <c r="T3425" s="75"/>
      <c r="U3425" s="75"/>
      <c r="V3425" s="75"/>
      <c r="W3425" s="75"/>
      <c r="X3425" s="75"/>
    </row>
    <row r="3426">
      <c r="A3426" s="17"/>
      <c r="B3426" s="17"/>
      <c r="C3426" s="133"/>
      <c r="D3426" s="133"/>
      <c r="E3426" s="17"/>
      <c r="F3426" s="133"/>
      <c r="G3426" s="133"/>
      <c r="H3426" s="133"/>
      <c r="I3426" s="133"/>
      <c r="J3426" s="133"/>
      <c r="K3426" s="133"/>
      <c r="L3426" s="133"/>
      <c r="M3426" s="133"/>
      <c r="N3426" s="133"/>
      <c r="O3426" s="133"/>
      <c r="P3426" s="134"/>
      <c r="Q3426" s="146"/>
      <c r="R3426" s="17"/>
      <c r="S3426" s="17"/>
      <c r="T3426" s="75"/>
      <c r="U3426" s="75"/>
      <c r="V3426" s="75"/>
      <c r="W3426" s="75"/>
      <c r="X3426" s="75"/>
    </row>
    <row r="3427">
      <c r="A3427" s="17"/>
      <c r="B3427" s="17"/>
      <c r="C3427" s="133"/>
      <c r="D3427" s="133"/>
      <c r="E3427" s="17"/>
      <c r="F3427" s="133"/>
      <c r="G3427" s="133"/>
      <c r="H3427" s="133"/>
      <c r="I3427" s="133"/>
      <c r="J3427" s="133"/>
      <c r="K3427" s="133"/>
      <c r="L3427" s="133"/>
      <c r="M3427" s="133"/>
      <c r="N3427" s="133"/>
      <c r="O3427" s="133"/>
      <c r="P3427" s="134"/>
      <c r="Q3427" s="146"/>
      <c r="R3427" s="17"/>
      <c r="S3427" s="17"/>
      <c r="T3427" s="75"/>
      <c r="U3427" s="75"/>
      <c r="V3427" s="75"/>
      <c r="W3427" s="75"/>
      <c r="X3427" s="75"/>
    </row>
    <row r="3428">
      <c r="A3428" s="17"/>
      <c r="B3428" s="17"/>
      <c r="C3428" s="133"/>
      <c r="D3428" s="133"/>
      <c r="E3428" s="17"/>
      <c r="F3428" s="133"/>
      <c r="G3428" s="133"/>
      <c r="H3428" s="133"/>
      <c r="I3428" s="133"/>
      <c r="J3428" s="133"/>
      <c r="K3428" s="133"/>
      <c r="L3428" s="133"/>
      <c r="M3428" s="133"/>
      <c r="N3428" s="133"/>
      <c r="O3428" s="133"/>
      <c r="P3428" s="134"/>
      <c r="Q3428" s="146"/>
      <c r="R3428" s="17"/>
      <c r="S3428" s="17"/>
      <c r="T3428" s="75"/>
      <c r="U3428" s="75"/>
      <c r="V3428" s="75"/>
      <c r="W3428" s="75"/>
      <c r="X3428" s="75"/>
    </row>
    <row r="3429">
      <c r="A3429" s="17"/>
      <c r="B3429" s="17"/>
      <c r="C3429" s="133"/>
      <c r="D3429" s="133"/>
      <c r="E3429" s="17"/>
      <c r="F3429" s="133"/>
      <c r="G3429" s="133"/>
      <c r="H3429" s="133"/>
      <c r="I3429" s="133"/>
      <c r="J3429" s="133"/>
      <c r="K3429" s="133"/>
      <c r="L3429" s="133"/>
      <c r="M3429" s="133"/>
      <c r="N3429" s="133"/>
      <c r="O3429" s="133"/>
      <c r="P3429" s="134"/>
      <c r="Q3429" s="146"/>
      <c r="R3429" s="17"/>
      <c r="S3429" s="17"/>
      <c r="T3429" s="75"/>
      <c r="U3429" s="75"/>
      <c r="V3429" s="75"/>
      <c r="W3429" s="75"/>
      <c r="X3429" s="75"/>
    </row>
    <row r="3430">
      <c r="A3430" s="17"/>
      <c r="B3430" s="17"/>
      <c r="C3430" s="133"/>
      <c r="D3430" s="133"/>
      <c r="E3430" s="17"/>
      <c r="F3430" s="133"/>
      <c r="G3430" s="133"/>
      <c r="H3430" s="133"/>
      <c r="I3430" s="133"/>
      <c r="J3430" s="133"/>
      <c r="K3430" s="133"/>
      <c r="L3430" s="133"/>
      <c r="M3430" s="133"/>
      <c r="N3430" s="133"/>
      <c r="O3430" s="133"/>
      <c r="P3430" s="134"/>
      <c r="Q3430" s="146"/>
      <c r="R3430" s="17"/>
      <c r="S3430" s="17"/>
      <c r="T3430" s="75"/>
      <c r="U3430" s="75"/>
      <c r="V3430" s="75"/>
      <c r="W3430" s="75"/>
      <c r="X3430" s="75"/>
    </row>
    <row r="3431">
      <c r="A3431" s="17"/>
      <c r="B3431" s="17"/>
      <c r="C3431" s="133"/>
      <c r="D3431" s="133"/>
      <c r="E3431" s="17"/>
      <c r="F3431" s="133"/>
      <c r="G3431" s="133"/>
      <c r="H3431" s="133"/>
      <c r="I3431" s="133"/>
      <c r="J3431" s="133"/>
      <c r="K3431" s="133"/>
      <c r="L3431" s="133"/>
      <c r="M3431" s="133"/>
      <c r="N3431" s="133"/>
      <c r="O3431" s="133"/>
      <c r="P3431" s="134"/>
      <c r="Q3431" s="146"/>
      <c r="R3431" s="17"/>
      <c r="S3431" s="17"/>
      <c r="T3431" s="75"/>
      <c r="U3431" s="75"/>
      <c r="V3431" s="75"/>
      <c r="W3431" s="75"/>
      <c r="X3431" s="75"/>
    </row>
    <row r="3432">
      <c r="A3432" s="17"/>
      <c r="B3432" s="17"/>
      <c r="C3432" s="133"/>
      <c r="D3432" s="133"/>
      <c r="E3432" s="17"/>
      <c r="F3432" s="133"/>
      <c r="G3432" s="133"/>
      <c r="H3432" s="133"/>
      <c r="I3432" s="133"/>
      <c r="J3432" s="133"/>
      <c r="K3432" s="133"/>
      <c r="L3432" s="133"/>
      <c r="M3432" s="133"/>
      <c r="N3432" s="133"/>
      <c r="O3432" s="133"/>
      <c r="P3432" s="134"/>
      <c r="Q3432" s="146"/>
      <c r="R3432" s="17"/>
      <c r="S3432" s="17"/>
      <c r="T3432" s="75"/>
      <c r="U3432" s="75"/>
      <c r="V3432" s="75"/>
      <c r="W3432" s="75"/>
      <c r="X3432" s="75"/>
    </row>
    <row r="3433">
      <c r="A3433" s="17"/>
      <c r="B3433" s="17"/>
      <c r="C3433" s="133"/>
      <c r="D3433" s="133"/>
      <c r="E3433" s="17"/>
      <c r="F3433" s="133"/>
      <c r="G3433" s="133"/>
      <c r="H3433" s="133"/>
      <c r="I3433" s="133"/>
      <c r="J3433" s="133"/>
      <c r="K3433" s="133"/>
      <c r="L3433" s="133"/>
      <c r="M3433" s="133"/>
      <c r="N3433" s="133"/>
      <c r="O3433" s="133"/>
      <c r="P3433" s="134"/>
      <c r="Q3433" s="146"/>
      <c r="R3433" s="17"/>
      <c r="S3433" s="17"/>
      <c r="T3433" s="75"/>
      <c r="U3433" s="75"/>
      <c r="V3433" s="75"/>
      <c r="W3433" s="75"/>
      <c r="X3433" s="75"/>
    </row>
    <row r="3434">
      <c r="A3434" s="17"/>
      <c r="B3434" s="17"/>
      <c r="C3434" s="133"/>
      <c r="D3434" s="133"/>
      <c r="E3434" s="17"/>
      <c r="F3434" s="133"/>
      <c r="G3434" s="133"/>
      <c r="H3434" s="133"/>
      <c r="I3434" s="133"/>
      <c r="J3434" s="133"/>
      <c r="K3434" s="133"/>
      <c r="L3434" s="133"/>
      <c r="M3434" s="133"/>
      <c r="N3434" s="133"/>
      <c r="O3434" s="133"/>
      <c r="P3434" s="134"/>
      <c r="Q3434" s="146"/>
      <c r="R3434" s="17"/>
      <c r="S3434" s="17"/>
      <c r="T3434" s="75"/>
      <c r="U3434" s="75"/>
      <c r="V3434" s="75"/>
      <c r="W3434" s="75"/>
      <c r="X3434" s="75"/>
    </row>
    <row r="3435">
      <c r="A3435" s="17"/>
      <c r="B3435" s="17"/>
      <c r="C3435" s="133"/>
      <c r="D3435" s="133"/>
      <c r="E3435" s="17"/>
      <c r="F3435" s="133"/>
      <c r="G3435" s="133"/>
      <c r="H3435" s="133"/>
      <c r="I3435" s="133"/>
      <c r="J3435" s="133"/>
      <c r="K3435" s="133"/>
      <c r="L3435" s="133"/>
      <c r="M3435" s="133"/>
      <c r="N3435" s="133"/>
      <c r="O3435" s="133"/>
      <c r="P3435" s="134"/>
      <c r="Q3435" s="146"/>
      <c r="R3435" s="17"/>
      <c r="S3435" s="17"/>
      <c r="T3435" s="75"/>
      <c r="U3435" s="75"/>
      <c r="V3435" s="75"/>
      <c r="W3435" s="75"/>
      <c r="X3435" s="75"/>
    </row>
    <row r="3436">
      <c r="A3436" s="17"/>
      <c r="B3436" s="17"/>
      <c r="C3436" s="133"/>
      <c r="D3436" s="133"/>
      <c r="E3436" s="17"/>
      <c r="F3436" s="133"/>
      <c r="G3436" s="133"/>
      <c r="H3436" s="133"/>
      <c r="I3436" s="133"/>
      <c r="J3436" s="133"/>
      <c r="K3436" s="133"/>
      <c r="L3436" s="133"/>
      <c r="M3436" s="133"/>
      <c r="N3436" s="133"/>
      <c r="O3436" s="133"/>
      <c r="P3436" s="134"/>
      <c r="Q3436" s="146"/>
      <c r="R3436" s="17"/>
      <c r="S3436" s="17"/>
      <c r="T3436" s="75"/>
      <c r="U3436" s="75"/>
      <c r="V3436" s="75"/>
      <c r="W3436" s="75"/>
      <c r="X3436" s="75"/>
    </row>
    <row r="3437">
      <c r="A3437" s="17"/>
      <c r="B3437" s="17"/>
      <c r="C3437" s="133"/>
      <c r="D3437" s="133"/>
      <c r="E3437" s="17"/>
      <c r="F3437" s="133"/>
      <c r="G3437" s="133"/>
      <c r="H3437" s="133"/>
      <c r="I3437" s="133"/>
      <c r="J3437" s="133"/>
      <c r="K3437" s="133"/>
      <c r="L3437" s="133"/>
      <c r="M3437" s="133"/>
      <c r="N3437" s="133"/>
      <c r="O3437" s="133"/>
      <c r="P3437" s="134"/>
      <c r="Q3437" s="146"/>
      <c r="R3437" s="17"/>
      <c r="S3437" s="17"/>
      <c r="T3437" s="75"/>
      <c r="U3437" s="75"/>
      <c r="V3437" s="75"/>
      <c r="W3437" s="75"/>
      <c r="X3437" s="75"/>
    </row>
    <row r="3438">
      <c r="A3438" s="17"/>
      <c r="B3438" s="17"/>
      <c r="C3438" s="133"/>
      <c r="D3438" s="133"/>
      <c r="E3438" s="17"/>
      <c r="F3438" s="133"/>
      <c r="G3438" s="133"/>
      <c r="H3438" s="133"/>
      <c r="I3438" s="133"/>
      <c r="J3438" s="133"/>
      <c r="K3438" s="133"/>
      <c r="L3438" s="133"/>
      <c r="M3438" s="133"/>
      <c r="N3438" s="133"/>
      <c r="O3438" s="133"/>
      <c r="P3438" s="134"/>
      <c r="Q3438" s="146"/>
      <c r="R3438" s="17"/>
      <c r="S3438" s="17"/>
      <c r="T3438" s="75"/>
      <c r="U3438" s="75"/>
      <c r="V3438" s="75"/>
      <c r="W3438" s="75"/>
      <c r="X3438" s="75"/>
    </row>
    <row r="3439">
      <c r="A3439" s="17"/>
      <c r="B3439" s="17"/>
      <c r="C3439" s="133"/>
      <c r="D3439" s="133"/>
      <c r="E3439" s="17"/>
      <c r="F3439" s="133"/>
      <c r="G3439" s="133"/>
      <c r="H3439" s="133"/>
      <c r="I3439" s="133"/>
      <c r="J3439" s="133"/>
      <c r="K3439" s="133"/>
      <c r="L3439" s="133"/>
      <c r="M3439" s="133"/>
      <c r="N3439" s="133"/>
      <c r="O3439" s="133"/>
      <c r="P3439" s="134"/>
      <c r="Q3439" s="146"/>
      <c r="R3439" s="17"/>
      <c r="S3439" s="17"/>
      <c r="T3439" s="75"/>
      <c r="U3439" s="75"/>
      <c r="V3439" s="75"/>
      <c r="W3439" s="75"/>
      <c r="X3439" s="75"/>
    </row>
    <row r="3440">
      <c r="A3440" s="17"/>
      <c r="B3440" s="17"/>
      <c r="C3440" s="133"/>
      <c r="D3440" s="133"/>
      <c r="E3440" s="17"/>
      <c r="F3440" s="133"/>
      <c r="G3440" s="133"/>
      <c r="H3440" s="133"/>
      <c r="I3440" s="133"/>
      <c r="J3440" s="133"/>
      <c r="K3440" s="133"/>
      <c r="L3440" s="133"/>
      <c r="M3440" s="133"/>
      <c r="N3440" s="133"/>
      <c r="O3440" s="133"/>
      <c r="P3440" s="134"/>
      <c r="Q3440" s="146"/>
      <c r="R3440" s="17"/>
      <c r="S3440" s="17"/>
      <c r="T3440" s="75"/>
      <c r="U3440" s="75"/>
      <c r="V3440" s="75"/>
      <c r="W3440" s="75"/>
      <c r="X3440" s="75"/>
    </row>
    <row r="3441">
      <c r="A3441" s="17"/>
      <c r="B3441" s="17"/>
      <c r="C3441" s="133"/>
      <c r="D3441" s="133"/>
      <c r="E3441" s="17"/>
      <c r="F3441" s="133"/>
      <c r="G3441" s="133"/>
      <c r="H3441" s="133"/>
      <c r="I3441" s="133"/>
      <c r="J3441" s="133"/>
      <c r="K3441" s="133"/>
      <c r="L3441" s="133"/>
      <c r="M3441" s="133"/>
      <c r="N3441" s="133"/>
      <c r="O3441" s="133"/>
      <c r="P3441" s="134"/>
      <c r="Q3441" s="146"/>
      <c r="R3441" s="17"/>
      <c r="S3441" s="17"/>
      <c r="T3441" s="75"/>
      <c r="U3441" s="75"/>
      <c r="V3441" s="75"/>
      <c r="W3441" s="75"/>
      <c r="X3441" s="75"/>
    </row>
    <row r="3442">
      <c r="A3442" s="17"/>
      <c r="B3442" s="17"/>
      <c r="C3442" s="133"/>
      <c r="D3442" s="133"/>
      <c r="E3442" s="17"/>
      <c r="F3442" s="133"/>
      <c r="G3442" s="133"/>
      <c r="H3442" s="133"/>
      <c r="I3442" s="133"/>
      <c r="J3442" s="133"/>
      <c r="K3442" s="133"/>
      <c r="L3442" s="133"/>
      <c r="M3442" s="133"/>
      <c r="N3442" s="133"/>
      <c r="O3442" s="133"/>
      <c r="P3442" s="134"/>
      <c r="Q3442" s="146"/>
      <c r="R3442" s="17"/>
      <c r="S3442" s="17"/>
      <c r="T3442" s="75"/>
      <c r="U3442" s="75"/>
      <c r="V3442" s="75"/>
      <c r="W3442" s="75"/>
      <c r="X3442" s="75"/>
    </row>
    <row r="3443">
      <c r="A3443" s="17"/>
      <c r="B3443" s="17"/>
      <c r="C3443" s="133"/>
      <c r="D3443" s="133"/>
      <c r="E3443" s="17"/>
      <c r="F3443" s="133"/>
      <c r="G3443" s="133"/>
      <c r="H3443" s="133"/>
      <c r="I3443" s="133"/>
      <c r="J3443" s="133"/>
      <c r="K3443" s="133"/>
      <c r="L3443" s="133"/>
      <c r="M3443" s="133"/>
      <c r="N3443" s="133"/>
      <c r="O3443" s="133"/>
      <c r="P3443" s="134"/>
      <c r="Q3443" s="146"/>
      <c r="R3443" s="17"/>
      <c r="S3443" s="17"/>
      <c r="T3443" s="75"/>
      <c r="U3443" s="75"/>
      <c r="V3443" s="75"/>
      <c r="W3443" s="75"/>
      <c r="X3443" s="75"/>
    </row>
    <row r="3444">
      <c r="A3444" s="17"/>
      <c r="B3444" s="17"/>
      <c r="C3444" s="133"/>
      <c r="D3444" s="133"/>
      <c r="E3444" s="17"/>
      <c r="F3444" s="133"/>
      <c r="G3444" s="133"/>
      <c r="H3444" s="133"/>
      <c r="I3444" s="133"/>
      <c r="J3444" s="133"/>
      <c r="K3444" s="133"/>
      <c r="L3444" s="133"/>
      <c r="M3444" s="133"/>
      <c r="N3444" s="133"/>
      <c r="O3444" s="133"/>
      <c r="P3444" s="134"/>
      <c r="Q3444" s="146"/>
      <c r="R3444" s="17"/>
      <c r="S3444" s="17"/>
      <c r="T3444" s="75"/>
      <c r="U3444" s="75"/>
      <c r="V3444" s="75"/>
      <c r="W3444" s="75"/>
      <c r="X3444" s="75"/>
    </row>
    <row r="3445">
      <c r="A3445" s="17"/>
      <c r="B3445" s="17"/>
      <c r="C3445" s="133"/>
      <c r="D3445" s="133"/>
      <c r="E3445" s="17"/>
      <c r="F3445" s="133"/>
      <c r="G3445" s="133"/>
      <c r="H3445" s="133"/>
      <c r="I3445" s="133"/>
      <c r="J3445" s="133"/>
      <c r="K3445" s="133"/>
      <c r="L3445" s="133"/>
      <c r="M3445" s="133"/>
      <c r="N3445" s="133"/>
      <c r="O3445" s="133"/>
      <c r="P3445" s="134"/>
      <c r="Q3445" s="146"/>
      <c r="R3445" s="17"/>
      <c r="S3445" s="17"/>
      <c r="T3445" s="75"/>
      <c r="U3445" s="75"/>
      <c r="V3445" s="75"/>
      <c r="W3445" s="75"/>
      <c r="X3445" s="75"/>
    </row>
    <row r="3446">
      <c r="A3446" s="17"/>
      <c r="B3446" s="17"/>
      <c r="C3446" s="133"/>
      <c r="D3446" s="133"/>
      <c r="E3446" s="17"/>
      <c r="F3446" s="133"/>
      <c r="G3446" s="133"/>
      <c r="H3446" s="133"/>
      <c r="I3446" s="133"/>
      <c r="J3446" s="133"/>
      <c r="K3446" s="133"/>
      <c r="L3446" s="133"/>
      <c r="M3446" s="133"/>
      <c r="N3446" s="133"/>
      <c r="O3446" s="133"/>
      <c r="P3446" s="134"/>
      <c r="Q3446" s="146"/>
      <c r="R3446" s="17"/>
      <c r="S3446" s="17"/>
      <c r="T3446" s="75"/>
      <c r="U3446" s="75"/>
      <c r="V3446" s="75"/>
      <c r="W3446" s="75"/>
      <c r="X3446" s="75"/>
    </row>
    <row r="3447">
      <c r="A3447" s="17"/>
      <c r="B3447" s="17"/>
      <c r="C3447" s="133"/>
      <c r="D3447" s="133"/>
      <c r="E3447" s="17"/>
      <c r="F3447" s="133"/>
      <c r="G3447" s="133"/>
      <c r="H3447" s="133"/>
      <c r="I3447" s="133"/>
      <c r="J3447" s="133"/>
      <c r="K3447" s="133"/>
      <c r="L3447" s="133"/>
      <c r="M3447" s="133"/>
      <c r="N3447" s="133"/>
      <c r="O3447" s="133"/>
      <c r="P3447" s="134"/>
      <c r="Q3447" s="146"/>
      <c r="R3447" s="17"/>
      <c r="S3447" s="17"/>
      <c r="T3447" s="75"/>
      <c r="U3447" s="75"/>
      <c r="V3447" s="75"/>
      <c r="W3447" s="75"/>
      <c r="X3447" s="75"/>
    </row>
    <row r="3448">
      <c r="A3448" s="17"/>
      <c r="B3448" s="17"/>
      <c r="C3448" s="133"/>
      <c r="D3448" s="133"/>
      <c r="E3448" s="17"/>
      <c r="F3448" s="133"/>
      <c r="G3448" s="133"/>
      <c r="H3448" s="133"/>
      <c r="I3448" s="133"/>
      <c r="J3448" s="133"/>
      <c r="K3448" s="133"/>
      <c r="L3448" s="133"/>
      <c r="M3448" s="133"/>
      <c r="N3448" s="133"/>
      <c r="O3448" s="133"/>
      <c r="P3448" s="134"/>
      <c r="Q3448" s="146"/>
      <c r="R3448" s="17"/>
      <c r="S3448" s="17"/>
      <c r="T3448" s="75"/>
      <c r="U3448" s="75"/>
      <c r="V3448" s="75"/>
      <c r="W3448" s="75"/>
      <c r="X3448" s="75"/>
    </row>
    <row r="3449">
      <c r="A3449" s="17"/>
      <c r="B3449" s="17"/>
      <c r="C3449" s="133"/>
      <c r="D3449" s="133"/>
      <c r="E3449" s="17"/>
      <c r="F3449" s="133"/>
      <c r="G3449" s="133"/>
      <c r="H3449" s="133"/>
      <c r="I3449" s="133"/>
      <c r="J3449" s="133"/>
      <c r="K3449" s="133"/>
      <c r="L3449" s="133"/>
      <c r="M3449" s="133"/>
      <c r="N3449" s="133"/>
      <c r="O3449" s="133"/>
      <c r="P3449" s="134"/>
      <c r="Q3449" s="146"/>
      <c r="R3449" s="17"/>
      <c r="S3449" s="17"/>
      <c r="T3449" s="75"/>
      <c r="U3449" s="75"/>
      <c r="V3449" s="75"/>
      <c r="W3449" s="75"/>
      <c r="X3449" s="75"/>
    </row>
    <row r="3450">
      <c r="A3450" s="17"/>
      <c r="B3450" s="17"/>
      <c r="C3450" s="133"/>
      <c r="D3450" s="133"/>
      <c r="E3450" s="17"/>
      <c r="F3450" s="133"/>
      <c r="G3450" s="133"/>
      <c r="H3450" s="133"/>
      <c r="I3450" s="133"/>
      <c r="J3450" s="133"/>
      <c r="K3450" s="133"/>
      <c r="L3450" s="133"/>
      <c r="M3450" s="133"/>
      <c r="N3450" s="133"/>
      <c r="O3450" s="133"/>
      <c r="P3450" s="134"/>
      <c r="Q3450" s="146"/>
      <c r="R3450" s="17"/>
      <c r="S3450" s="17"/>
      <c r="T3450" s="75"/>
      <c r="U3450" s="75"/>
      <c r="V3450" s="75"/>
      <c r="W3450" s="75"/>
      <c r="X3450" s="75"/>
    </row>
    <row r="3451">
      <c r="A3451" s="17"/>
      <c r="B3451" s="17"/>
      <c r="C3451" s="133"/>
      <c r="D3451" s="133"/>
      <c r="E3451" s="17"/>
      <c r="F3451" s="133"/>
      <c r="G3451" s="133"/>
      <c r="H3451" s="133"/>
      <c r="I3451" s="133"/>
      <c r="J3451" s="133"/>
      <c r="K3451" s="133"/>
      <c r="L3451" s="133"/>
      <c r="M3451" s="133"/>
      <c r="N3451" s="133"/>
      <c r="O3451" s="133"/>
      <c r="P3451" s="134"/>
      <c r="Q3451" s="146"/>
      <c r="R3451" s="17"/>
      <c r="S3451" s="17"/>
      <c r="T3451" s="75"/>
      <c r="U3451" s="75"/>
      <c r="V3451" s="75"/>
      <c r="W3451" s="75"/>
      <c r="X3451" s="75"/>
    </row>
    <row r="3452">
      <c r="A3452" s="17"/>
      <c r="B3452" s="17"/>
      <c r="C3452" s="133"/>
      <c r="D3452" s="133"/>
      <c r="E3452" s="17"/>
      <c r="F3452" s="133"/>
      <c r="G3452" s="133"/>
      <c r="H3452" s="133"/>
      <c r="I3452" s="133"/>
      <c r="J3452" s="133"/>
      <c r="K3452" s="133"/>
      <c r="L3452" s="133"/>
      <c r="M3452" s="133"/>
      <c r="N3452" s="133"/>
      <c r="O3452" s="133"/>
      <c r="P3452" s="134"/>
      <c r="Q3452" s="146"/>
      <c r="R3452" s="17"/>
      <c r="S3452" s="17"/>
      <c r="T3452" s="75"/>
      <c r="U3452" s="75"/>
      <c r="V3452" s="75"/>
      <c r="W3452" s="75"/>
      <c r="X3452" s="75"/>
    </row>
    <row r="3453">
      <c r="A3453" s="17"/>
      <c r="B3453" s="17"/>
      <c r="C3453" s="133"/>
      <c r="D3453" s="133"/>
      <c r="E3453" s="17"/>
      <c r="F3453" s="133"/>
      <c r="G3453" s="133"/>
      <c r="H3453" s="133"/>
      <c r="I3453" s="133"/>
      <c r="J3453" s="133"/>
      <c r="K3453" s="133"/>
      <c r="L3453" s="133"/>
      <c r="M3453" s="133"/>
      <c r="N3453" s="133"/>
      <c r="O3453" s="133"/>
      <c r="P3453" s="134"/>
      <c r="Q3453" s="146"/>
      <c r="R3453" s="17"/>
      <c r="S3453" s="17"/>
      <c r="T3453" s="75"/>
      <c r="U3453" s="75"/>
      <c r="V3453" s="75"/>
      <c r="W3453" s="75"/>
      <c r="X3453" s="75"/>
    </row>
    <row r="3454">
      <c r="A3454" s="17"/>
      <c r="B3454" s="17"/>
      <c r="C3454" s="133"/>
      <c r="D3454" s="133"/>
      <c r="E3454" s="17"/>
      <c r="F3454" s="133"/>
      <c r="G3454" s="133"/>
      <c r="H3454" s="133"/>
      <c r="I3454" s="133"/>
      <c r="J3454" s="133"/>
      <c r="K3454" s="133"/>
      <c r="L3454" s="133"/>
      <c r="M3454" s="133"/>
      <c r="N3454" s="133"/>
      <c r="O3454" s="133"/>
      <c r="P3454" s="134"/>
      <c r="Q3454" s="146"/>
      <c r="R3454" s="17"/>
      <c r="S3454" s="17"/>
      <c r="T3454" s="75"/>
      <c r="U3454" s="75"/>
      <c r="V3454" s="75"/>
      <c r="W3454" s="75"/>
      <c r="X3454" s="75"/>
    </row>
    <row r="3455">
      <c r="A3455" s="17"/>
      <c r="B3455" s="17"/>
      <c r="C3455" s="133"/>
      <c r="D3455" s="133"/>
      <c r="E3455" s="17"/>
      <c r="F3455" s="133"/>
      <c r="G3455" s="133"/>
      <c r="H3455" s="133"/>
      <c r="I3455" s="133"/>
      <c r="J3455" s="133"/>
      <c r="K3455" s="133"/>
      <c r="L3455" s="133"/>
      <c r="M3455" s="133"/>
      <c r="N3455" s="133"/>
      <c r="O3455" s="133"/>
      <c r="P3455" s="134"/>
      <c r="Q3455" s="146"/>
      <c r="R3455" s="17"/>
      <c r="S3455" s="17"/>
      <c r="T3455" s="75"/>
      <c r="U3455" s="75"/>
      <c r="V3455" s="75"/>
      <c r="W3455" s="75"/>
      <c r="X3455" s="75"/>
    </row>
    <row r="3456">
      <c r="A3456" s="17"/>
      <c r="B3456" s="17"/>
      <c r="C3456" s="133"/>
      <c r="D3456" s="133"/>
      <c r="E3456" s="17"/>
      <c r="F3456" s="133"/>
      <c r="G3456" s="133"/>
      <c r="H3456" s="133"/>
      <c r="I3456" s="133"/>
      <c r="J3456" s="133"/>
      <c r="K3456" s="133"/>
      <c r="L3456" s="133"/>
      <c r="M3456" s="133"/>
      <c r="N3456" s="133"/>
      <c r="O3456" s="133"/>
      <c r="P3456" s="134"/>
      <c r="Q3456" s="146"/>
      <c r="R3456" s="17"/>
      <c r="S3456" s="17"/>
      <c r="T3456" s="75"/>
      <c r="U3456" s="75"/>
      <c r="V3456" s="75"/>
      <c r="W3456" s="75"/>
      <c r="X3456" s="75"/>
    </row>
    <row r="3457">
      <c r="A3457" s="17"/>
      <c r="B3457" s="17"/>
      <c r="C3457" s="133"/>
      <c r="D3457" s="133"/>
      <c r="E3457" s="17"/>
      <c r="F3457" s="133"/>
      <c r="G3457" s="133"/>
      <c r="H3457" s="133"/>
      <c r="I3457" s="133"/>
      <c r="J3457" s="133"/>
      <c r="K3457" s="133"/>
      <c r="L3457" s="133"/>
      <c r="M3457" s="133"/>
      <c r="N3457" s="133"/>
      <c r="O3457" s="133"/>
      <c r="P3457" s="134"/>
      <c r="Q3457" s="146"/>
      <c r="R3457" s="17"/>
      <c r="S3457" s="17"/>
      <c r="T3457" s="75"/>
      <c r="U3457" s="75"/>
      <c r="V3457" s="75"/>
      <c r="W3457" s="75"/>
      <c r="X3457" s="75"/>
    </row>
    <row r="3458">
      <c r="A3458" s="17"/>
      <c r="B3458" s="17"/>
      <c r="C3458" s="133"/>
      <c r="D3458" s="133"/>
      <c r="E3458" s="17"/>
      <c r="F3458" s="133"/>
      <c r="G3458" s="133"/>
      <c r="H3458" s="133"/>
      <c r="I3458" s="133"/>
      <c r="J3458" s="133"/>
      <c r="K3458" s="133"/>
      <c r="L3458" s="133"/>
      <c r="M3458" s="133"/>
      <c r="N3458" s="133"/>
      <c r="O3458" s="133"/>
      <c r="P3458" s="134"/>
      <c r="Q3458" s="146"/>
      <c r="R3458" s="17"/>
      <c r="S3458" s="17"/>
      <c r="T3458" s="75"/>
      <c r="U3458" s="75"/>
      <c r="V3458" s="75"/>
      <c r="W3458" s="75"/>
      <c r="X3458" s="75"/>
    </row>
    <row r="3459">
      <c r="A3459" s="17"/>
      <c r="B3459" s="17"/>
      <c r="C3459" s="133"/>
      <c r="D3459" s="133"/>
      <c r="E3459" s="17"/>
      <c r="F3459" s="133"/>
      <c r="G3459" s="133"/>
      <c r="H3459" s="133"/>
      <c r="I3459" s="133"/>
      <c r="J3459" s="133"/>
      <c r="K3459" s="133"/>
      <c r="L3459" s="133"/>
      <c r="M3459" s="133"/>
      <c r="N3459" s="133"/>
      <c r="O3459" s="133"/>
      <c r="P3459" s="134"/>
      <c r="Q3459" s="146"/>
      <c r="R3459" s="17"/>
      <c r="S3459" s="17"/>
      <c r="T3459" s="75"/>
      <c r="U3459" s="75"/>
      <c r="V3459" s="75"/>
      <c r="W3459" s="75"/>
      <c r="X3459" s="75"/>
    </row>
    <row r="3460">
      <c r="A3460" s="17"/>
      <c r="B3460" s="17"/>
      <c r="C3460" s="133"/>
      <c r="D3460" s="133"/>
      <c r="E3460" s="17"/>
      <c r="F3460" s="133"/>
      <c r="G3460" s="133"/>
      <c r="H3460" s="133"/>
      <c r="I3460" s="133"/>
      <c r="J3460" s="133"/>
      <c r="K3460" s="133"/>
      <c r="L3460" s="133"/>
      <c r="M3460" s="133"/>
      <c r="N3460" s="133"/>
      <c r="O3460" s="133"/>
      <c r="P3460" s="134"/>
      <c r="Q3460" s="146"/>
      <c r="R3460" s="17"/>
      <c r="S3460" s="17"/>
      <c r="T3460" s="75"/>
      <c r="U3460" s="75"/>
      <c r="V3460" s="75"/>
      <c r="W3460" s="75"/>
      <c r="X3460" s="75"/>
    </row>
    <row r="3461">
      <c r="A3461" s="17"/>
      <c r="B3461" s="17"/>
      <c r="C3461" s="133"/>
      <c r="D3461" s="133"/>
      <c r="E3461" s="17"/>
      <c r="F3461" s="133"/>
      <c r="G3461" s="133"/>
      <c r="H3461" s="133"/>
      <c r="I3461" s="133"/>
      <c r="J3461" s="133"/>
      <c r="K3461" s="133"/>
      <c r="L3461" s="133"/>
      <c r="M3461" s="133"/>
      <c r="N3461" s="133"/>
      <c r="O3461" s="133"/>
      <c r="P3461" s="134"/>
      <c r="Q3461" s="146"/>
      <c r="R3461" s="17"/>
      <c r="S3461" s="17"/>
      <c r="T3461" s="75"/>
      <c r="U3461" s="75"/>
      <c r="V3461" s="75"/>
      <c r="W3461" s="75"/>
      <c r="X3461" s="75"/>
    </row>
    <row r="3462">
      <c r="A3462" s="17"/>
      <c r="B3462" s="17"/>
      <c r="C3462" s="133"/>
      <c r="D3462" s="133"/>
      <c r="E3462" s="17"/>
      <c r="F3462" s="133"/>
      <c r="G3462" s="133"/>
      <c r="H3462" s="133"/>
      <c r="I3462" s="133"/>
      <c r="J3462" s="133"/>
      <c r="K3462" s="133"/>
      <c r="L3462" s="133"/>
      <c r="M3462" s="133"/>
      <c r="N3462" s="133"/>
      <c r="O3462" s="133"/>
      <c r="P3462" s="134"/>
      <c r="Q3462" s="146"/>
      <c r="R3462" s="17"/>
      <c r="S3462" s="17"/>
      <c r="T3462" s="75"/>
      <c r="U3462" s="75"/>
      <c r="V3462" s="75"/>
      <c r="W3462" s="75"/>
      <c r="X3462" s="75"/>
    </row>
    <row r="3463">
      <c r="A3463" s="17"/>
      <c r="B3463" s="17"/>
      <c r="C3463" s="133"/>
      <c r="D3463" s="133"/>
      <c r="E3463" s="17"/>
      <c r="F3463" s="133"/>
      <c r="G3463" s="133"/>
      <c r="H3463" s="133"/>
      <c r="I3463" s="133"/>
      <c r="J3463" s="133"/>
      <c r="K3463" s="133"/>
      <c r="L3463" s="133"/>
      <c r="M3463" s="133"/>
      <c r="N3463" s="133"/>
      <c r="O3463" s="133"/>
      <c r="P3463" s="134"/>
      <c r="Q3463" s="146"/>
      <c r="R3463" s="17"/>
      <c r="S3463" s="17"/>
      <c r="T3463" s="75"/>
      <c r="U3463" s="75"/>
      <c r="V3463" s="75"/>
      <c r="W3463" s="75"/>
      <c r="X3463" s="75"/>
    </row>
    <row r="3464">
      <c r="A3464" s="17"/>
      <c r="B3464" s="17"/>
      <c r="C3464" s="133"/>
      <c r="D3464" s="133"/>
      <c r="E3464" s="17"/>
      <c r="F3464" s="133"/>
      <c r="G3464" s="133"/>
      <c r="H3464" s="133"/>
      <c r="I3464" s="133"/>
      <c r="J3464" s="133"/>
      <c r="K3464" s="133"/>
      <c r="L3464" s="133"/>
      <c r="M3464" s="133"/>
      <c r="N3464" s="133"/>
      <c r="O3464" s="133"/>
      <c r="P3464" s="134"/>
      <c r="Q3464" s="146"/>
      <c r="R3464" s="17"/>
      <c r="S3464" s="17"/>
      <c r="T3464" s="75"/>
      <c r="U3464" s="75"/>
      <c r="V3464" s="75"/>
      <c r="W3464" s="75"/>
      <c r="X3464" s="75"/>
    </row>
    <row r="3465">
      <c r="A3465" s="17"/>
      <c r="B3465" s="17"/>
      <c r="C3465" s="133"/>
      <c r="D3465" s="133"/>
      <c r="E3465" s="17"/>
      <c r="F3465" s="133"/>
      <c r="G3465" s="133"/>
      <c r="H3465" s="133"/>
      <c r="I3465" s="133"/>
      <c r="J3465" s="133"/>
      <c r="K3465" s="133"/>
      <c r="L3465" s="133"/>
      <c r="M3465" s="133"/>
      <c r="N3465" s="133"/>
      <c r="O3465" s="133"/>
      <c r="P3465" s="134"/>
      <c r="Q3465" s="146"/>
      <c r="R3465" s="17"/>
      <c r="S3465" s="17"/>
      <c r="T3465" s="75"/>
      <c r="U3465" s="75"/>
      <c r="V3465" s="75"/>
      <c r="W3465" s="75"/>
      <c r="X3465" s="75"/>
    </row>
    <row r="3466">
      <c r="A3466" s="17"/>
      <c r="B3466" s="17"/>
      <c r="C3466" s="133"/>
      <c r="D3466" s="133"/>
      <c r="E3466" s="17"/>
      <c r="F3466" s="133"/>
      <c r="G3466" s="133"/>
      <c r="H3466" s="133"/>
      <c r="I3466" s="133"/>
      <c r="J3466" s="133"/>
      <c r="K3466" s="133"/>
      <c r="L3466" s="133"/>
      <c r="M3466" s="133"/>
      <c r="N3466" s="133"/>
      <c r="O3466" s="133"/>
      <c r="P3466" s="134"/>
      <c r="Q3466" s="146"/>
      <c r="R3466" s="17"/>
      <c r="S3466" s="17"/>
      <c r="T3466" s="75"/>
      <c r="U3466" s="75"/>
      <c r="V3466" s="75"/>
      <c r="W3466" s="75"/>
      <c r="X3466" s="75"/>
    </row>
    <row r="3467">
      <c r="A3467" s="17"/>
      <c r="B3467" s="17"/>
      <c r="C3467" s="133"/>
      <c r="D3467" s="133"/>
      <c r="E3467" s="17"/>
      <c r="F3467" s="133"/>
      <c r="G3467" s="133"/>
      <c r="H3467" s="133"/>
      <c r="I3467" s="133"/>
      <c r="J3467" s="133"/>
      <c r="K3467" s="133"/>
      <c r="L3467" s="133"/>
      <c r="M3467" s="133"/>
      <c r="N3467" s="133"/>
      <c r="O3467" s="133"/>
      <c r="P3467" s="134"/>
      <c r="Q3467" s="146"/>
      <c r="R3467" s="17"/>
      <c r="S3467" s="17"/>
      <c r="T3467" s="75"/>
      <c r="U3467" s="75"/>
      <c r="V3467" s="75"/>
      <c r="W3467" s="75"/>
      <c r="X3467" s="75"/>
    </row>
    <row r="3468">
      <c r="A3468" s="17"/>
      <c r="B3468" s="17"/>
      <c r="C3468" s="133"/>
      <c r="D3468" s="133"/>
      <c r="E3468" s="17"/>
      <c r="F3468" s="133"/>
      <c r="G3468" s="133"/>
      <c r="H3468" s="133"/>
      <c r="I3468" s="133"/>
      <c r="J3468" s="133"/>
      <c r="K3468" s="133"/>
      <c r="L3468" s="133"/>
      <c r="M3468" s="133"/>
      <c r="N3468" s="133"/>
      <c r="O3468" s="133"/>
      <c r="P3468" s="134"/>
      <c r="Q3468" s="146"/>
      <c r="R3468" s="17"/>
      <c r="S3468" s="17"/>
      <c r="T3468" s="75"/>
      <c r="U3468" s="75"/>
      <c r="V3468" s="75"/>
      <c r="W3468" s="75"/>
      <c r="X3468" s="75"/>
    </row>
    <row r="3469">
      <c r="A3469" s="17"/>
      <c r="B3469" s="17"/>
      <c r="C3469" s="133"/>
      <c r="D3469" s="133"/>
      <c r="E3469" s="17"/>
      <c r="F3469" s="133"/>
      <c r="G3469" s="133"/>
      <c r="H3469" s="133"/>
      <c r="I3469" s="133"/>
      <c r="J3469" s="133"/>
      <c r="K3469" s="133"/>
      <c r="L3469" s="133"/>
      <c r="M3469" s="133"/>
      <c r="N3469" s="133"/>
      <c r="O3469" s="133"/>
      <c r="P3469" s="134"/>
      <c r="Q3469" s="146"/>
      <c r="R3469" s="17"/>
      <c r="S3469" s="17"/>
      <c r="T3469" s="75"/>
      <c r="U3469" s="75"/>
      <c r="V3469" s="75"/>
      <c r="W3469" s="75"/>
      <c r="X3469" s="75"/>
    </row>
    <row r="3470">
      <c r="A3470" s="17"/>
      <c r="B3470" s="17"/>
      <c r="C3470" s="133"/>
      <c r="D3470" s="133"/>
      <c r="E3470" s="17"/>
      <c r="F3470" s="133"/>
      <c r="G3470" s="133"/>
      <c r="H3470" s="133"/>
      <c r="I3470" s="133"/>
      <c r="J3470" s="133"/>
      <c r="K3470" s="133"/>
      <c r="L3470" s="133"/>
      <c r="M3470" s="133"/>
      <c r="N3470" s="133"/>
      <c r="O3470" s="133"/>
      <c r="P3470" s="134"/>
      <c r="Q3470" s="146"/>
      <c r="R3470" s="17"/>
      <c r="S3470" s="17"/>
      <c r="T3470" s="75"/>
      <c r="U3470" s="75"/>
      <c r="V3470" s="75"/>
      <c r="W3470" s="75"/>
      <c r="X3470" s="75"/>
    </row>
    <row r="3471">
      <c r="A3471" s="17"/>
      <c r="B3471" s="17"/>
      <c r="C3471" s="133"/>
      <c r="D3471" s="133"/>
      <c r="E3471" s="17"/>
      <c r="F3471" s="133"/>
      <c r="G3471" s="133"/>
      <c r="H3471" s="133"/>
      <c r="I3471" s="133"/>
      <c r="J3471" s="133"/>
      <c r="K3471" s="133"/>
      <c r="L3471" s="133"/>
      <c r="M3471" s="133"/>
      <c r="N3471" s="133"/>
      <c r="O3471" s="133"/>
      <c r="P3471" s="134"/>
      <c r="Q3471" s="146"/>
      <c r="R3471" s="17"/>
      <c r="S3471" s="17"/>
      <c r="T3471" s="75"/>
      <c r="U3471" s="75"/>
      <c r="V3471" s="75"/>
      <c r="W3471" s="75"/>
      <c r="X3471" s="75"/>
    </row>
    <row r="3472">
      <c r="A3472" s="17"/>
      <c r="B3472" s="17"/>
      <c r="C3472" s="133"/>
      <c r="D3472" s="133"/>
      <c r="E3472" s="17"/>
      <c r="F3472" s="133"/>
      <c r="G3472" s="133"/>
      <c r="H3472" s="133"/>
      <c r="I3472" s="133"/>
      <c r="J3472" s="133"/>
      <c r="K3472" s="133"/>
      <c r="L3472" s="133"/>
      <c r="M3472" s="133"/>
      <c r="N3472" s="133"/>
      <c r="O3472" s="133"/>
      <c r="P3472" s="134"/>
      <c r="Q3472" s="146"/>
      <c r="R3472" s="17"/>
      <c r="S3472" s="17"/>
      <c r="T3472" s="75"/>
      <c r="U3472" s="75"/>
      <c r="V3472" s="75"/>
      <c r="W3472" s="75"/>
      <c r="X3472" s="75"/>
    </row>
    <row r="3473">
      <c r="A3473" s="17"/>
      <c r="B3473" s="17"/>
      <c r="C3473" s="133"/>
      <c r="D3473" s="133"/>
      <c r="E3473" s="17"/>
      <c r="F3473" s="133"/>
      <c r="G3473" s="133"/>
      <c r="H3473" s="133"/>
      <c r="I3473" s="133"/>
      <c r="J3473" s="133"/>
      <c r="K3473" s="133"/>
      <c r="L3473" s="133"/>
      <c r="M3473" s="133"/>
      <c r="N3473" s="133"/>
      <c r="O3473" s="133"/>
      <c r="P3473" s="134"/>
      <c r="Q3473" s="146"/>
      <c r="R3473" s="17"/>
      <c r="S3473" s="17"/>
      <c r="T3473" s="75"/>
      <c r="U3473" s="75"/>
      <c r="V3473" s="75"/>
      <c r="W3473" s="75"/>
      <c r="X3473" s="75"/>
    </row>
    <row r="3474">
      <c r="A3474" s="17"/>
      <c r="B3474" s="17"/>
      <c r="C3474" s="133"/>
      <c r="D3474" s="133"/>
      <c r="E3474" s="17"/>
      <c r="F3474" s="133"/>
      <c r="G3474" s="133"/>
      <c r="H3474" s="133"/>
      <c r="I3474" s="133"/>
      <c r="J3474" s="133"/>
      <c r="K3474" s="133"/>
      <c r="L3474" s="133"/>
      <c r="M3474" s="133"/>
      <c r="N3474" s="133"/>
      <c r="O3474" s="133"/>
      <c r="P3474" s="134"/>
      <c r="Q3474" s="146"/>
      <c r="R3474" s="17"/>
      <c r="S3474" s="17"/>
      <c r="T3474" s="75"/>
      <c r="U3474" s="75"/>
      <c r="V3474" s="75"/>
      <c r="W3474" s="75"/>
      <c r="X3474" s="75"/>
    </row>
    <row r="3475">
      <c r="A3475" s="17"/>
      <c r="B3475" s="17"/>
      <c r="C3475" s="133"/>
      <c r="D3475" s="133"/>
      <c r="E3475" s="17"/>
      <c r="F3475" s="133"/>
      <c r="G3475" s="133"/>
      <c r="H3475" s="133"/>
      <c r="I3475" s="133"/>
      <c r="J3475" s="133"/>
      <c r="K3475" s="133"/>
      <c r="L3475" s="133"/>
      <c r="M3475" s="133"/>
      <c r="N3475" s="133"/>
      <c r="O3475" s="133"/>
      <c r="P3475" s="134"/>
      <c r="Q3475" s="146"/>
      <c r="R3475" s="17"/>
      <c r="S3475" s="17"/>
      <c r="T3475" s="75"/>
      <c r="U3475" s="75"/>
      <c r="V3475" s="75"/>
      <c r="W3475" s="75"/>
      <c r="X3475" s="75"/>
    </row>
    <row r="3476">
      <c r="A3476" s="17"/>
      <c r="B3476" s="17"/>
      <c r="C3476" s="133"/>
      <c r="D3476" s="133"/>
      <c r="E3476" s="17"/>
      <c r="F3476" s="133"/>
      <c r="G3476" s="133"/>
      <c r="H3476" s="133"/>
      <c r="I3476" s="133"/>
      <c r="J3476" s="133"/>
      <c r="K3476" s="133"/>
      <c r="L3476" s="133"/>
      <c r="M3476" s="133"/>
      <c r="N3476" s="133"/>
      <c r="O3476" s="133"/>
      <c r="P3476" s="134"/>
      <c r="Q3476" s="146"/>
      <c r="R3476" s="17"/>
      <c r="S3476" s="17"/>
      <c r="T3476" s="75"/>
      <c r="U3476" s="75"/>
      <c r="V3476" s="75"/>
      <c r="W3476" s="75"/>
      <c r="X3476" s="75"/>
    </row>
    <row r="3477">
      <c r="A3477" s="17"/>
      <c r="B3477" s="17"/>
      <c r="C3477" s="133"/>
      <c r="D3477" s="133"/>
      <c r="E3477" s="17"/>
      <c r="F3477" s="133"/>
      <c r="G3477" s="133"/>
      <c r="H3477" s="133"/>
      <c r="I3477" s="133"/>
      <c r="J3477" s="133"/>
      <c r="K3477" s="133"/>
      <c r="L3477" s="133"/>
      <c r="M3477" s="133"/>
      <c r="N3477" s="133"/>
      <c r="O3477" s="133"/>
      <c r="P3477" s="134"/>
      <c r="Q3477" s="146"/>
      <c r="R3477" s="17"/>
      <c r="S3477" s="17"/>
      <c r="T3477" s="75"/>
      <c r="U3477" s="75"/>
      <c r="V3477" s="75"/>
      <c r="W3477" s="75"/>
      <c r="X3477" s="75"/>
    </row>
    <row r="3478">
      <c r="A3478" s="17"/>
      <c r="B3478" s="17"/>
      <c r="C3478" s="133"/>
      <c r="D3478" s="133"/>
      <c r="E3478" s="17"/>
      <c r="F3478" s="133"/>
      <c r="G3478" s="133"/>
      <c r="H3478" s="133"/>
      <c r="I3478" s="133"/>
      <c r="J3478" s="133"/>
      <c r="K3478" s="133"/>
      <c r="L3478" s="133"/>
      <c r="M3478" s="133"/>
      <c r="N3478" s="133"/>
      <c r="O3478" s="133"/>
      <c r="P3478" s="134"/>
      <c r="Q3478" s="146"/>
      <c r="R3478" s="17"/>
      <c r="S3478" s="17"/>
      <c r="T3478" s="75"/>
      <c r="U3478" s="75"/>
      <c r="V3478" s="75"/>
      <c r="W3478" s="75"/>
      <c r="X3478" s="75"/>
    </row>
    <row r="3479">
      <c r="A3479" s="17"/>
      <c r="B3479" s="17"/>
      <c r="C3479" s="133"/>
      <c r="D3479" s="133"/>
      <c r="E3479" s="17"/>
      <c r="F3479" s="133"/>
      <c r="G3479" s="133"/>
      <c r="H3479" s="133"/>
      <c r="I3479" s="133"/>
      <c r="J3479" s="133"/>
      <c r="K3479" s="133"/>
      <c r="L3479" s="133"/>
      <c r="M3479" s="133"/>
      <c r="N3479" s="133"/>
      <c r="O3479" s="133"/>
      <c r="P3479" s="134"/>
      <c r="Q3479" s="146"/>
      <c r="R3479" s="17"/>
      <c r="S3479" s="17"/>
      <c r="T3479" s="75"/>
      <c r="U3479" s="75"/>
      <c r="V3479" s="75"/>
      <c r="W3479" s="75"/>
      <c r="X3479" s="75"/>
    </row>
    <row r="3480">
      <c r="A3480" s="17"/>
      <c r="B3480" s="17"/>
      <c r="C3480" s="133"/>
      <c r="D3480" s="133"/>
      <c r="E3480" s="17"/>
      <c r="F3480" s="133"/>
      <c r="G3480" s="133"/>
      <c r="H3480" s="133"/>
      <c r="I3480" s="133"/>
      <c r="J3480" s="133"/>
      <c r="K3480" s="133"/>
      <c r="L3480" s="133"/>
      <c r="M3480" s="133"/>
      <c r="N3480" s="133"/>
      <c r="O3480" s="133"/>
      <c r="P3480" s="134"/>
      <c r="Q3480" s="146"/>
      <c r="R3480" s="17"/>
      <c r="S3480" s="17"/>
      <c r="T3480" s="75"/>
      <c r="U3480" s="75"/>
      <c r="V3480" s="75"/>
      <c r="W3480" s="75"/>
      <c r="X3480" s="75"/>
    </row>
    <row r="3481">
      <c r="A3481" s="17"/>
      <c r="B3481" s="17"/>
      <c r="C3481" s="133"/>
      <c r="D3481" s="133"/>
      <c r="E3481" s="17"/>
      <c r="F3481" s="133"/>
      <c r="G3481" s="133"/>
      <c r="H3481" s="133"/>
      <c r="I3481" s="133"/>
      <c r="J3481" s="133"/>
      <c r="K3481" s="133"/>
      <c r="L3481" s="133"/>
      <c r="M3481" s="133"/>
      <c r="N3481" s="133"/>
      <c r="O3481" s="133"/>
      <c r="P3481" s="134"/>
      <c r="Q3481" s="146"/>
      <c r="R3481" s="17"/>
      <c r="S3481" s="17"/>
      <c r="T3481" s="75"/>
      <c r="U3481" s="75"/>
      <c r="V3481" s="75"/>
      <c r="W3481" s="75"/>
      <c r="X3481" s="75"/>
    </row>
    <row r="3482">
      <c r="A3482" s="17"/>
      <c r="B3482" s="17"/>
      <c r="C3482" s="133"/>
      <c r="D3482" s="133"/>
      <c r="E3482" s="17"/>
      <c r="F3482" s="133"/>
      <c r="G3482" s="133"/>
      <c r="H3482" s="133"/>
      <c r="I3482" s="133"/>
      <c r="J3482" s="133"/>
      <c r="K3482" s="133"/>
      <c r="L3482" s="133"/>
      <c r="M3482" s="133"/>
      <c r="N3482" s="133"/>
      <c r="O3482" s="133"/>
      <c r="P3482" s="134"/>
      <c r="Q3482" s="146"/>
      <c r="R3482" s="17"/>
      <c r="S3482" s="17"/>
      <c r="T3482" s="75"/>
      <c r="U3482" s="75"/>
      <c r="V3482" s="75"/>
      <c r="W3482" s="75"/>
      <c r="X3482" s="75"/>
    </row>
    <row r="3483">
      <c r="A3483" s="17"/>
      <c r="B3483" s="17"/>
      <c r="C3483" s="133"/>
      <c r="D3483" s="133"/>
      <c r="E3483" s="17"/>
      <c r="F3483" s="133"/>
      <c r="G3483" s="133"/>
      <c r="H3483" s="133"/>
      <c r="I3483" s="133"/>
      <c r="J3483" s="133"/>
      <c r="K3483" s="133"/>
      <c r="L3483" s="133"/>
      <c r="M3483" s="133"/>
      <c r="N3483" s="133"/>
      <c r="O3483" s="133"/>
      <c r="P3483" s="134"/>
      <c r="Q3483" s="146"/>
      <c r="R3483" s="17"/>
      <c r="S3483" s="17"/>
      <c r="T3483" s="75"/>
      <c r="U3483" s="75"/>
      <c r="V3483" s="75"/>
      <c r="W3483" s="75"/>
      <c r="X3483" s="75"/>
    </row>
    <row r="3484">
      <c r="A3484" s="17"/>
      <c r="B3484" s="17"/>
      <c r="C3484" s="133"/>
      <c r="D3484" s="133"/>
      <c r="E3484" s="17"/>
      <c r="F3484" s="133"/>
      <c r="G3484" s="133"/>
      <c r="H3484" s="133"/>
      <c r="I3484" s="133"/>
      <c r="J3484" s="133"/>
      <c r="K3484" s="133"/>
      <c r="L3484" s="133"/>
      <c r="M3484" s="133"/>
      <c r="N3484" s="133"/>
      <c r="O3484" s="133"/>
      <c r="P3484" s="134"/>
      <c r="Q3484" s="146"/>
      <c r="R3484" s="17"/>
      <c r="S3484" s="17"/>
      <c r="T3484" s="75"/>
      <c r="U3484" s="75"/>
      <c r="V3484" s="75"/>
      <c r="W3484" s="75"/>
      <c r="X3484" s="75"/>
    </row>
    <row r="3485">
      <c r="A3485" s="17"/>
      <c r="B3485" s="17"/>
      <c r="C3485" s="133"/>
      <c r="D3485" s="133"/>
      <c r="E3485" s="17"/>
      <c r="F3485" s="133"/>
      <c r="G3485" s="133"/>
      <c r="H3485" s="133"/>
      <c r="I3485" s="133"/>
      <c r="J3485" s="133"/>
      <c r="K3485" s="133"/>
      <c r="L3485" s="133"/>
      <c r="M3485" s="133"/>
      <c r="N3485" s="133"/>
      <c r="O3485" s="133"/>
      <c r="P3485" s="134"/>
      <c r="Q3485" s="146"/>
      <c r="R3485" s="17"/>
      <c r="S3485" s="17"/>
      <c r="T3485" s="75"/>
      <c r="U3485" s="75"/>
      <c r="V3485" s="75"/>
      <c r="W3485" s="75"/>
      <c r="X3485" s="75"/>
    </row>
    <row r="3486">
      <c r="A3486" s="17"/>
      <c r="B3486" s="17"/>
      <c r="C3486" s="133"/>
      <c r="D3486" s="133"/>
      <c r="E3486" s="17"/>
      <c r="F3486" s="133"/>
      <c r="G3486" s="133"/>
      <c r="H3486" s="133"/>
      <c r="I3486" s="133"/>
      <c r="J3486" s="133"/>
      <c r="K3486" s="133"/>
      <c r="L3486" s="133"/>
      <c r="M3486" s="133"/>
      <c r="N3486" s="133"/>
      <c r="O3486" s="133"/>
      <c r="P3486" s="134"/>
      <c r="Q3486" s="146"/>
      <c r="R3486" s="17"/>
      <c r="S3486" s="17"/>
      <c r="T3486" s="75"/>
      <c r="U3486" s="75"/>
      <c r="V3486" s="75"/>
      <c r="W3486" s="75"/>
      <c r="X3486" s="75"/>
    </row>
    <row r="3487">
      <c r="A3487" s="17"/>
      <c r="B3487" s="17"/>
      <c r="C3487" s="133"/>
      <c r="D3487" s="133"/>
      <c r="E3487" s="17"/>
      <c r="F3487" s="133"/>
      <c r="G3487" s="133"/>
      <c r="H3487" s="133"/>
      <c r="I3487" s="133"/>
      <c r="J3487" s="133"/>
      <c r="K3487" s="133"/>
      <c r="L3487" s="133"/>
      <c r="M3487" s="133"/>
      <c r="N3487" s="133"/>
      <c r="O3487" s="133"/>
      <c r="P3487" s="134"/>
      <c r="Q3487" s="146"/>
      <c r="R3487" s="17"/>
      <c r="S3487" s="17"/>
      <c r="T3487" s="75"/>
      <c r="U3487" s="75"/>
      <c r="V3487" s="75"/>
      <c r="W3487" s="75"/>
      <c r="X3487" s="75"/>
    </row>
    <row r="3488">
      <c r="A3488" s="17"/>
      <c r="B3488" s="17"/>
      <c r="C3488" s="133"/>
      <c r="D3488" s="133"/>
      <c r="E3488" s="17"/>
      <c r="F3488" s="133"/>
      <c r="G3488" s="133"/>
      <c r="H3488" s="133"/>
      <c r="I3488" s="133"/>
      <c r="J3488" s="133"/>
      <c r="K3488" s="133"/>
      <c r="L3488" s="133"/>
      <c r="M3488" s="133"/>
      <c r="N3488" s="133"/>
      <c r="O3488" s="133"/>
      <c r="P3488" s="134"/>
      <c r="Q3488" s="146"/>
      <c r="R3488" s="17"/>
      <c r="S3488" s="17"/>
      <c r="T3488" s="75"/>
      <c r="U3488" s="75"/>
      <c r="V3488" s="75"/>
      <c r="W3488" s="75"/>
      <c r="X3488" s="75"/>
    </row>
    <row r="3489">
      <c r="A3489" s="17"/>
      <c r="B3489" s="17"/>
      <c r="C3489" s="133"/>
      <c r="D3489" s="133"/>
      <c r="E3489" s="17"/>
      <c r="F3489" s="133"/>
      <c r="G3489" s="133"/>
      <c r="H3489" s="133"/>
      <c r="I3489" s="133"/>
      <c r="J3489" s="133"/>
      <c r="K3489" s="133"/>
      <c r="L3489" s="133"/>
      <c r="M3489" s="133"/>
      <c r="N3489" s="133"/>
      <c r="O3489" s="133"/>
      <c r="P3489" s="134"/>
      <c r="Q3489" s="146"/>
      <c r="R3489" s="17"/>
      <c r="S3489" s="17"/>
      <c r="T3489" s="75"/>
      <c r="U3489" s="75"/>
      <c r="V3489" s="75"/>
      <c r="W3489" s="75"/>
      <c r="X3489" s="75"/>
    </row>
    <row r="3490">
      <c r="A3490" s="17"/>
      <c r="B3490" s="17"/>
      <c r="C3490" s="133"/>
      <c r="D3490" s="133"/>
      <c r="E3490" s="17"/>
      <c r="F3490" s="133"/>
      <c r="G3490" s="133"/>
      <c r="H3490" s="133"/>
      <c r="I3490" s="133"/>
      <c r="J3490" s="133"/>
      <c r="K3490" s="133"/>
      <c r="L3490" s="133"/>
      <c r="M3490" s="133"/>
      <c r="N3490" s="133"/>
      <c r="O3490" s="133"/>
      <c r="P3490" s="134"/>
      <c r="Q3490" s="146"/>
      <c r="R3490" s="17"/>
      <c r="S3490" s="17"/>
      <c r="T3490" s="75"/>
      <c r="U3490" s="75"/>
      <c r="V3490" s="75"/>
      <c r="W3490" s="75"/>
      <c r="X3490" s="75"/>
    </row>
    <row r="3491">
      <c r="A3491" s="17"/>
      <c r="B3491" s="17"/>
      <c r="C3491" s="133"/>
      <c r="D3491" s="133"/>
      <c r="E3491" s="17"/>
      <c r="F3491" s="133"/>
      <c r="G3491" s="133"/>
      <c r="H3491" s="133"/>
      <c r="I3491" s="133"/>
      <c r="J3491" s="133"/>
      <c r="K3491" s="133"/>
      <c r="L3491" s="133"/>
      <c r="M3491" s="133"/>
      <c r="N3491" s="133"/>
      <c r="O3491" s="133"/>
      <c r="P3491" s="134"/>
      <c r="Q3491" s="146"/>
      <c r="R3491" s="17"/>
      <c r="S3491" s="17"/>
      <c r="T3491" s="75"/>
      <c r="U3491" s="75"/>
      <c r="V3491" s="75"/>
      <c r="W3491" s="75"/>
      <c r="X3491" s="75"/>
    </row>
    <row r="3492">
      <c r="A3492" s="17"/>
      <c r="B3492" s="17"/>
      <c r="C3492" s="133"/>
      <c r="D3492" s="133"/>
      <c r="E3492" s="17"/>
      <c r="F3492" s="133"/>
      <c r="G3492" s="133"/>
      <c r="H3492" s="133"/>
      <c r="I3492" s="133"/>
      <c r="J3492" s="133"/>
      <c r="K3492" s="133"/>
      <c r="L3492" s="133"/>
      <c r="M3492" s="133"/>
      <c r="N3492" s="133"/>
      <c r="O3492" s="133"/>
      <c r="P3492" s="134"/>
      <c r="Q3492" s="146"/>
      <c r="R3492" s="17"/>
      <c r="S3492" s="17"/>
      <c r="T3492" s="75"/>
      <c r="U3492" s="75"/>
      <c r="V3492" s="75"/>
      <c r="W3492" s="75"/>
      <c r="X3492" s="75"/>
    </row>
    <row r="3493">
      <c r="A3493" s="17"/>
      <c r="B3493" s="17"/>
      <c r="C3493" s="133"/>
      <c r="D3493" s="133"/>
      <c r="E3493" s="17"/>
      <c r="F3493" s="133"/>
      <c r="G3493" s="133"/>
      <c r="H3493" s="133"/>
      <c r="I3493" s="133"/>
      <c r="J3493" s="133"/>
      <c r="K3493" s="133"/>
      <c r="L3493" s="133"/>
      <c r="M3493" s="133"/>
      <c r="N3493" s="133"/>
      <c r="O3493" s="133"/>
      <c r="P3493" s="134"/>
      <c r="Q3493" s="146"/>
      <c r="R3493" s="17"/>
      <c r="S3493" s="17"/>
      <c r="T3493" s="75"/>
      <c r="U3493" s="75"/>
      <c r="V3493" s="75"/>
      <c r="W3493" s="75"/>
      <c r="X3493" s="75"/>
    </row>
    <row r="3494">
      <c r="A3494" s="17"/>
      <c r="B3494" s="17"/>
      <c r="C3494" s="133"/>
      <c r="D3494" s="133"/>
      <c r="E3494" s="17"/>
      <c r="F3494" s="133"/>
      <c r="G3494" s="133"/>
      <c r="H3494" s="133"/>
      <c r="I3494" s="133"/>
      <c r="J3494" s="133"/>
      <c r="K3494" s="133"/>
      <c r="L3494" s="133"/>
      <c r="M3494" s="133"/>
      <c r="N3494" s="133"/>
      <c r="O3494" s="133"/>
      <c r="P3494" s="134"/>
      <c r="Q3494" s="146"/>
      <c r="R3494" s="17"/>
      <c r="S3494" s="17"/>
      <c r="T3494" s="75"/>
      <c r="U3494" s="75"/>
      <c r="V3494" s="75"/>
      <c r="W3494" s="75"/>
      <c r="X3494" s="75"/>
    </row>
    <row r="3495">
      <c r="A3495" s="17"/>
      <c r="B3495" s="17"/>
      <c r="C3495" s="133"/>
      <c r="D3495" s="133"/>
      <c r="E3495" s="17"/>
      <c r="F3495" s="133"/>
      <c r="G3495" s="133"/>
      <c r="H3495" s="133"/>
      <c r="I3495" s="133"/>
      <c r="J3495" s="133"/>
      <c r="K3495" s="133"/>
      <c r="L3495" s="133"/>
      <c r="M3495" s="133"/>
      <c r="N3495" s="133"/>
      <c r="O3495" s="133"/>
      <c r="P3495" s="134"/>
      <c r="Q3495" s="146"/>
      <c r="R3495" s="17"/>
      <c r="S3495" s="17"/>
      <c r="T3495" s="75"/>
      <c r="U3495" s="75"/>
      <c r="V3495" s="75"/>
      <c r="W3495" s="75"/>
      <c r="X3495" s="75"/>
    </row>
    <row r="3496">
      <c r="A3496" s="17"/>
      <c r="B3496" s="17"/>
      <c r="C3496" s="133"/>
      <c r="D3496" s="133"/>
      <c r="E3496" s="17"/>
      <c r="F3496" s="133"/>
      <c r="G3496" s="133"/>
      <c r="H3496" s="133"/>
      <c r="I3496" s="133"/>
      <c r="J3496" s="133"/>
      <c r="K3496" s="133"/>
      <c r="L3496" s="133"/>
      <c r="M3496" s="133"/>
      <c r="N3496" s="133"/>
      <c r="O3496" s="133"/>
      <c r="P3496" s="134"/>
      <c r="Q3496" s="146"/>
      <c r="R3496" s="17"/>
      <c r="S3496" s="17"/>
      <c r="T3496" s="75"/>
      <c r="U3496" s="75"/>
      <c r="V3496" s="75"/>
      <c r="W3496" s="75"/>
      <c r="X3496" s="75"/>
    </row>
    <row r="3497">
      <c r="A3497" s="17"/>
      <c r="B3497" s="17"/>
      <c r="C3497" s="133"/>
      <c r="D3497" s="133"/>
      <c r="E3497" s="17"/>
      <c r="F3497" s="133"/>
      <c r="G3497" s="133"/>
      <c r="H3497" s="133"/>
      <c r="I3497" s="133"/>
      <c r="J3497" s="133"/>
      <c r="K3497" s="133"/>
      <c r="L3497" s="133"/>
      <c r="M3497" s="133"/>
      <c r="N3497" s="133"/>
      <c r="O3497" s="133"/>
      <c r="P3497" s="134"/>
      <c r="Q3497" s="146"/>
      <c r="R3497" s="17"/>
      <c r="S3497" s="17"/>
      <c r="T3497" s="75"/>
      <c r="U3497" s="75"/>
      <c r="V3497" s="75"/>
      <c r="W3497" s="75"/>
      <c r="X3497" s="75"/>
    </row>
    <row r="3498">
      <c r="A3498" s="17"/>
      <c r="B3498" s="17"/>
      <c r="C3498" s="133"/>
      <c r="D3498" s="133"/>
      <c r="E3498" s="17"/>
      <c r="F3498" s="133"/>
      <c r="G3498" s="133"/>
      <c r="H3498" s="133"/>
      <c r="I3498" s="133"/>
      <c r="J3498" s="133"/>
      <c r="K3498" s="133"/>
      <c r="L3498" s="133"/>
      <c r="M3498" s="133"/>
      <c r="N3498" s="133"/>
      <c r="O3498" s="133"/>
      <c r="P3498" s="134"/>
      <c r="Q3498" s="146"/>
      <c r="R3498" s="17"/>
      <c r="S3498" s="17"/>
      <c r="T3498" s="75"/>
      <c r="U3498" s="75"/>
      <c r="V3498" s="75"/>
      <c r="W3498" s="75"/>
      <c r="X3498" s="75"/>
    </row>
    <row r="3499">
      <c r="A3499" s="17"/>
      <c r="B3499" s="17"/>
      <c r="C3499" s="133"/>
      <c r="D3499" s="133"/>
      <c r="E3499" s="17"/>
      <c r="F3499" s="133"/>
      <c r="G3499" s="133"/>
      <c r="H3499" s="133"/>
      <c r="I3499" s="133"/>
      <c r="J3499" s="133"/>
      <c r="K3499" s="133"/>
      <c r="L3499" s="133"/>
      <c r="M3499" s="133"/>
      <c r="N3499" s="133"/>
      <c r="O3499" s="133"/>
      <c r="P3499" s="134"/>
      <c r="Q3499" s="146"/>
      <c r="R3499" s="17"/>
      <c r="S3499" s="17"/>
      <c r="T3499" s="75"/>
      <c r="U3499" s="75"/>
      <c r="V3499" s="75"/>
      <c r="W3499" s="75"/>
      <c r="X3499" s="75"/>
    </row>
    <row r="3500">
      <c r="A3500" s="17"/>
      <c r="B3500" s="17"/>
      <c r="C3500" s="133"/>
      <c r="D3500" s="133"/>
      <c r="E3500" s="17"/>
      <c r="F3500" s="133"/>
      <c r="G3500" s="133"/>
      <c r="H3500" s="133"/>
      <c r="I3500" s="133"/>
      <c r="J3500" s="133"/>
      <c r="K3500" s="133"/>
      <c r="L3500" s="133"/>
      <c r="M3500" s="133"/>
      <c r="N3500" s="133"/>
      <c r="O3500" s="133"/>
      <c r="P3500" s="134"/>
      <c r="Q3500" s="146"/>
      <c r="R3500" s="17"/>
      <c r="S3500" s="17"/>
      <c r="T3500" s="75"/>
      <c r="U3500" s="75"/>
      <c r="V3500" s="75"/>
      <c r="W3500" s="75"/>
      <c r="X3500" s="75"/>
    </row>
    <row r="3501">
      <c r="A3501" s="17"/>
      <c r="B3501" s="17"/>
      <c r="C3501" s="133"/>
      <c r="D3501" s="133"/>
      <c r="E3501" s="17"/>
      <c r="F3501" s="133"/>
      <c r="G3501" s="133"/>
      <c r="H3501" s="133"/>
      <c r="I3501" s="133"/>
      <c r="J3501" s="133"/>
      <c r="K3501" s="133"/>
      <c r="L3501" s="133"/>
      <c r="M3501" s="133"/>
      <c r="N3501" s="133"/>
      <c r="O3501" s="133"/>
      <c r="P3501" s="134"/>
      <c r="Q3501" s="146"/>
      <c r="R3501" s="17"/>
      <c r="S3501" s="17"/>
      <c r="T3501" s="75"/>
      <c r="U3501" s="75"/>
      <c r="V3501" s="75"/>
      <c r="W3501" s="75"/>
      <c r="X3501" s="75"/>
    </row>
    <row r="3502">
      <c r="A3502" s="17"/>
      <c r="B3502" s="17"/>
      <c r="C3502" s="133"/>
      <c r="D3502" s="133"/>
      <c r="E3502" s="17"/>
      <c r="F3502" s="133"/>
      <c r="G3502" s="133"/>
      <c r="H3502" s="133"/>
      <c r="I3502" s="133"/>
      <c r="J3502" s="133"/>
      <c r="K3502" s="133"/>
      <c r="L3502" s="133"/>
      <c r="M3502" s="133"/>
      <c r="N3502" s="133"/>
      <c r="O3502" s="133"/>
      <c r="P3502" s="134"/>
      <c r="Q3502" s="146"/>
      <c r="R3502" s="17"/>
      <c r="S3502" s="17"/>
      <c r="T3502" s="75"/>
      <c r="U3502" s="75"/>
      <c r="V3502" s="75"/>
      <c r="W3502" s="75"/>
      <c r="X3502" s="75"/>
    </row>
    <row r="3503">
      <c r="A3503" s="17"/>
      <c r="B3503" s="17"/>
      <c r="C3503" s="133"/>
      <c r="D3503" s="133"/>
      <c r="E3503" s="17"/>
      <c r="F3503" s="133"/>
      <c r="G3503" s="133"/>
      <c r="H3503" s="133"/>
      <c r="I3503" s="133"/>
      <c r="J3503" s="133"/>
      <c r="K3503" s="133"/>
      <c r="L3503" s="133"/>
      <c r="M3503" s="133"/>
      <c r="N3503" s="133"/>
      <c r="O3503" s="133"/>
      <c r="P3503" s="134"/>
      <c r="Q3503" s="146"/>
      <c r="R3503" s="17"/>
      <c r="S3503" s="17"/>
      <c r="T3503" s="75"/>
      <c r="U3503" s="75"/>
      <c r="V3503" s="75"/>
      <c r="W3503" s="75"/>
      <c r="X3503" s="75"/>
    </row>
    <row r="3504">
      <c r="A3504" s="17"/>
      <c r="B3504" s="17"/>
      <c r="C3504" s="133"/>
      <c r="D3504" s="133"/>
      <c r="E3504" s="17"/>
      <c r="F3504" s="133"/>
      <c r="G3504" s="133"/>
      <c r="H3504" s="133"/>
      <c r="I3504" s="133"/>
      <c r="J3504" s="133"/>
      <c r="K3504" s="133"/>
      <c r="L3504" s="133"/>
      <c r="M3504" s="133"/>
      <c r="N3504" s="133"/>
      <c r="O3504" s="133"/>
      <c r="P3504" s="134"/>
      <c r="Q3504" s="146"/>
      <c r="R3504" s="17"/>
      <c r="S3504" s="17"/>
      <c r="T3504" s="75"/>
      <c r="U3504" s="75"/>
      <c r="V3504" s="75"/>
      <c r="W3504" s="75"/>
      <c r="X3504" s="75"/>
    </row>
    <row r="3505">
      <c r="A3505" s="17"/>
      <c r="B3505" s="17"/>
      <c r="C3505" s="133"/>
      <c r="D3505" s="133"/>
      <c r="E3505" s="17"/>
      <c r="F3505" s="133"/>
      <c r="G3505" s="133"/>
      <c r="H3505" s="133"/>
      <c r="I3505" s="133"/>
      <c r="J3505" s="133"/>
      <c r="K3505" s="133"/>
      <c r="L3505" s="133"/>
      <c r="M3505" s="133"/>
      <c r="N3505" s="133"/>
      <c r="O3505" s="133"/>
      <c r="P3505" s="134"/>
      <c r="Q3505" s="146"/>
      <c r="R3505" s="17"/>
      <c r="S3505" s="17"/>
      <c r="T3505" s="75"/>
      <c r="U3505" s="75"/>
      <c r="V3505" s="75"/>
      <c r="W3505" s="75"/>
      <c r="X3505" s="75"/>
    </row>
    <row r="3506">
      <c r="A3506" s="17"/>
      <c r="B3506" s="17"/>
      <c r="C3506" s="133"/>
      <c r="D3506" s="133"/>
      <c r="E3506" s="17"/>
      <c r="F3506" s="133"/>
      <c r="G3506" s="133"/>
      <c r="H3506" s="133"/>
      <c r="I3506" s="133"/>
      <c r="J3506" s="133"/>
      <c r="K3506" s="133"/>
      <c r="L3506" s="133"/>
      <c r="M3506" s="133"/>
      <c r="N3506" s="133"/>
      <c r="O3506" s="133"/>
      <c r="P3506" s="134"/>
      <c r="Q3506" s="146"/>
      <c r="R3506" s="17"/>
      <c r="S3506" s="17"/>
      <c r="T3506" s="75"/>
      <c r="U3506" s="75"/>
      <c r="V3506" s="75"/>
      <c r="W3506" s="75"/>
      <c r="X3506" s="75"/>
    </row>
    <row r="3507">
      <c r="A3507" s="17"/>
      <c r="B3507" s="17"/>
      <c r="C3507" s="133"/>
      <c r="D3507" s="133"/>
      <c r="E3507" s="17"/>
      <c r="F3507" s="133"/>
      <c r="G3507" s="133"/>
      <c r="H3507" s="133"/>
      <c r="I3507" s="133"/>
      <c r="J3507" s="133"/>
      <c r="K3507" s="133"/>
      <c r="L3507" s="133"/>
      <c r="M3507" s="133"/>
      <c r="N3507" s="133"/>
      <c r="O3507" s="133"/>
      <c r="P3507" s="134"/>
      <c r="Q3507" s="146"/>
      <c r="R3507" s="17"/>
      <c r="S3507" s="17"/>
      <c r="T3507" s="75"/>
      <c r="U3507" s="75"/>
      <c r="V3507" s="75"/>
      <c r="W3507" s="75"/>
      <c r="X3507" s="75"/>
    </row>
    <row r="3508">
      <c r="A3508" s="17"/>
      <c r="B3508" s="17"/>
      <c r="C3508" s="133"/>
      <c r="D3508" s="133"/>
      <c r="E3508" s="17"/>
      <c r="F3508" s="133"/>
      <c r="G3508" s="133"/>
      <c r="H3508" s="133"/>
      <c r="I3508" s="133"/>
      <c r="J3508" s="133"/>
      <c r="K3508" s="133"/>
      <c r="L3508" s="133"/>
      <c r="M3508" s="133"/>
      <c r="N3508" s="133"/>
      <c r="O3508" s="133"/>
      <c r="P3508" s="134"/>
      <c r="Q3508" s="146"/>
      <c r="R3508" s="17"/>
      <c r="S3508" s="17"/>
      <c r="T3508" s="75"/>
      <c r="U3508" s="75"/>
      <c r="V3508" s="75"/>
      <c r="W3508" s="75"/>
      <c r="X3508" s="75"/>
    </row>
    <row r="3509">
      <c r="A3509" s="17"/>
      <c r="B3509" s="17"/>
      <c r="C3509" s="133"/>
      <c r="D3509" s="133"/>
      <c r="E3509" s="17"/>
      <c r="F3509" s="133"/>
      <c r="G3509" s="133"/>
      <c r="H3509" s="133"/>
      <c r="I3509" s="133"/>
      <c r="J3509" s="133"/>
      <c r="K3509" s="133"/>
      <c r="L3509" s="133"/>
      <c r="M3509" s="133"/>
      <c r="N3509" s="133"/>
      <c r="O3509" s="133"/>
      <c r="P3509" s="134"/>
      <c r="Q3509" s="146"/>
      <c r="R3509" s="17"/>
      <c r="S3509" s="17"/>
      <c r="T3509" s="75"/>
      <c r="U3509" s="75"/>
      <c r="V3509" s="75"/>
      <c r="W3509" s="75"/>
      <c r="X3509" s="75"/>
    </row>
    <row r="3510">
      <c r="A3510" s="17"/>
      <c r="B3510" s="17"/>
      <c r="C3510" s="133"/>
      <c r="D3510" s="133"/>
      <c r="E3510" s="17"/>
      <c r="F3510" s="133"/>
      <c r="G3510" s="133"/>
      <c r="H3510" s="133"/>
      <c r="I3510" s="133"/>
      <c r="J3510" s="133"/>
      <c r="K3510" s="133"/>
      <c r="L3510" s="133"/>
      <c r="M3510" s="133"/>
      <c r="N3510" s="133"/>
      <c r="O3510" s="133"/>
      <c r="P3510" s="134"/>
      <c r="Q3510" s="146"/>
      <c r="R3510" s="17"/>
      <c r="S3510" s="17"/>
      <c r="T3510" s="75"/>
      <c r="U3510" s="75"/>
      <c r="V3510" s="75"/>
      <c r="W3510" s="75"/>
      <c r="X3510" s="75"/>
    </row>
    <row r="3511">
      <c r="A3511" s="17"/>
      <c r="B3511" s="17"/>
      <c r="C3511" s="133"/>
      <c r="D3511" s="133"/>
      <c r="E3511" s="17"/>
      <c r="F3511" s="133"/>
      <c r="G3511" s="133"/>
      <c r="H3511" s="133"/>
      <c r="I3511" s="133"/>
      <c r="J3511" s="133"/>
      <c r="K3511" s="133"/>
      <c r="L3511" s="133"/>
      <c r="M3511" s="133"/>
      <c r="N3511" s="133"/>
      <c r="O3511" s="133"/>
      <c r="P3511" s="134"/>
      <c r="Q3511" s="146"/>
      <c r="R3511" s="17"/>
      <c r="S3511" s="17"/>
      <c r="T3511" s="75"/>
      <c r="U3511" s="75"/>
      <c r="V3511" s="75"/>
      <c r="W3511" s="75"/>
      <c r="X3511" s="75"/>
    </row>
    <row r="3512">
      <c r="A3512" s="17"/>
      <c r="B3512" s="17"/>
      <c r="C3512" s="133"/>
      <c r="D3512" s="133"/>
      <c r="E3512" s="17"/>
      <c r="F3512" s="133"/>
      <c r="G3512" s="133"/>
      <c r="H3512" s="133"/>
      <c r="I3512" s="133"/>
      <c r="J3512" s="133"/>
      <c r="K3512" s="133"/>
      <c r="L3512" s="133"/>
      <c r="M3512" s="133"/>
      <c r="N3512" s="133"/>
      <c r="O3512" s="133"/>
      <c r="P3512" s="134"/>
      <c r="Q3512" s="146"/>
      <c r="R3512" s="17"/>
      <c r="S3512" s="17"/>
      <c r="T3512" s="75"/>
      <c r="U3512" s="75"/>
      <c r="V3512" s="75"/>
      <c r="W3512" s="75"/>
      <c r="X3512" s="75"/>
    </row>
    <row r="3513">
      <c r="A3513" s="17"/>
      <c r="B3513" s="17"/>
      <c r="C3513" s="133"/>
      <c r="D3513" s="133"/>
      <c r="E3513" s="17"/>
      <c r="F3513" s="133"/>
      <c r="G3513" s="133"/>
      <c r="H3513" s="133"/>
      <c r="I3513" s="133"/>
      <c r="J3513" s="133"/>
      <c r="K3513" s="133"/>
      <c r="L3513" s="133"/>
      <c r="M3513" s="133"/>
      <c r="N3513" s="133"/>
      <c r="O3513" s="133"/>
      <c r="P3513" s="134"/>
      <c r="Q3513" s="146"/>
      <c r="R3513" s="17"/>
      <c r="S3513" s="17"/>
      <c r="T3513" s="75"/>
      <c r="U3513" s="75"/>
      <c r="V3513" s="75"/>
      <c r="W3513" s="75"/>
      <c r="X3513" s="75"/>
    </row>
    <row r="3514">
      <c r="A3514" s="17"/>
      <c r="B3514" s="17"/>
      <c r="C3514" s="133"/>
      <c r="D3514" s="133"/>
      <c r="E3514" s="17"/>
      <c r="F3514" s="133"/>
      <c r="G3514" s="133"/>
      <c r="H3514" s="133"/>
      <c r="I3514" s="133"/>
      <c r="J3514" s="133"/>
      <c r="K3514" s="133"/>
      <c r="L3514" s="133"/>
      <c r="M3514" s="133"/>
      <c r="N3514" s="133"/>
      <c r="O3514" s="133"/>
      <c r="P3514" s="134"/>
      <c r="Q3514" s="146"/>
      <c r="R3514" s="17"/>
      <c r="S3514" s="17"/>
      <c r="T3514" s="75"/>
      <c r="U3514" s="75"/>
      <c r="V3514" s="75"/>
      <c r="W3514" s="75"/>
      <c r="X3514" s="75"/>
    </row>
    <row r="3515">
      <c r="A3515" s="17"/>
      <c r="B3515" s="17"/>
      <c r="C3515" s="133"/>
      <c r="D3515" s="133"/>
      <c r="E3515" s="17"/>
      <c r="F3515" s="133"/>
      <c r="G3515" s="133"/>
      <c r="H3515" s="133"/>
      <c r="I3515" s="133"/>
      <c r="J3515" s="133"/>
      <c r="K3515" s="133"/>
      <c r="L3515" s="133"/>
      <c r="M3515" s="133"/>
      <c r="N3515" s="133"/>
      <c r="O3515" s="133"/>
      <c r="P3515" s="134"/>
      <c r="Q3515" s="146"/>
      <c r="R3515" s="17"/>
      <c r="S3515" s="17"/>
      <c r="T3515" s="75"/>
      <c r="U3515" s="75"/>
      <c r="V3515" s="75"/>
      <c r="W3515" s="75"/>
      <c r="X3515" s="75"/>
    </row>
    <row r="3516">
      <c r="A3516" s="17"/>
      <c r="B3516" s="17"/>
      <c r="C3516" s="133"/>
      <c r="D3516" s="133"/>
      <c r="E3516" s="17"/>
      <c r="F3516" s="133"/>
      <c r="G3516" s="133"/>
      <c r="H3516" s="133"/>
      <c r="I3516" s="133"/>
      <c r="J3516" s="133"/>
      <c r="K3516" s="133"/>
      <c r="L3516" s="133"/>
      <c r="M3516" s="133"/>
      <c r="N3516" s="133"/>
      <c r="O3516" s="133"/>
      <c r="P3516" s="134"/>
      <c r="Q3516" s="146"/>
      <c r="R3516" s="17"/>
      <c r="S3516" s="17"/>
      <c r="T3516" s="75"/>
      <c r="U3516" s="75"/>
      <c r="V3516" s="75"/>
      <c r="W3516" s="75"/>
      <c r="X3516" s="75"/>
    </row>
    <row r="3517">
      <c r="A3517" s="17"/>
      <c r="B3517" s="17"/>
      <c r="C3517" s="133"/>
      <c r="D3517" s="133"/>
      <c r="E3517" s="17"/>
      <c r="F3517" s="133"/>
      <c r="G3517" s="133"/>
      <c r="H3517" s="133"/>
      <c r="I3517" s="133"/>
      <c r="J3517" s="133"/>
      <c r="K3517" s="133"/>
      <c r="L3517" s="133"/>
      <c r="M3517" s="133"/>
      <c r="N3517" s="133"/>
      <c r="O3517" s="133"/>
      <c r="P3517" s="134"/>
      <c r="Q3517" s="146"/>
      <c r="R3517" s="17"/>
      <c r="S3517" s="17"/>
      <c r="T3517" s="75"/>
      <c r="U3517" s="75"/>
      <c r="V3517" s="75"/>
      <c r="W3517" s="75"/>
      <c r="X3517" s="75"/>
    </row>
    <row r="3518">
      <c r="A3518" s="17"/>
      <c r="B3518" s="17"/>
      <c r="C3518" s="133"/>
      <c r="D3518" s="133"/>
      <c r="E3518" s="17"/>
      <c r="F3518" s="133"/>
      <c r="G3518" s="133"/>
      <c r="H3518" s="133"/>
      <c r="I3518" s="133"/>
      <c r="J3518" s="133"/>
      <c r="K3518" s="133"/>
      <c r="L3518" s="133"/>
      <c r="M3518" s="133"/>
      <c r="N3518" s="133"/>
      <c r="O3518" s="133"/>
      <c r="P3518" s="134"/>
      <c r="Q3518" s="146"/>
      <c r="R3518" s="17"/>
      <c r="S3518" s="17"/>
      <c r="T3518" s="75"/>
      <c r="U3518" s="75"/>
      <c r="V3518" s="75"/>
      <c r="W3518" s="75"/>
      <c r="X3518" s="75"/>
    </row>
    <row r="3519">
      <c r="A3519" s="17"/>
      <c r="B3519" s="17"/>
      <c r="C3519" s="133"/>
      <c r="D3519" s="133"/>
      <c r="E3519" s="17"/>
      <c r="F3519" s="133"/>
      <c r="G3519" s="133"/>
      <c r="H3519" s="133"/>
      <c r="I3519" s="133"/>
      <c r="J3519" s="133"/>
      <c r="K3519" s="133"/>
      <c r="L3519" s="133"/>
      <c r="M3519" s="133"/>
      <c r="N3519" s="133"/>
      <c r="O3519" s="133"/>
      <c r="P3519" s="134"/>
      <c r="Q3519" s="146"/>
      <c r="R3519" s="17"/>
      <c r="S3519" s="17"/>
      <c r="T3519" s="75"/>
      <c r="U3519" s="75"/>
      <c r="V3519" s="75"/>
      <c r="W3519" s="75"/>
      <c r="X3519" s="75"/>
    </row>
    <row r="3520">
      <c r="A3520" s="17"/>
      <c r="B3520" s="17"/>
      <c r="C3520" s="133"/>
      <c r="D3520" s="133"/>
      <c r="E3520" s="17"/>
      <c r="F3520" s="133"/>
      <c r="G3520" s="133"/>
      <c r="H3520" s="133"/>
      <c r="I3520" s="133"/>
      <c r="J3520" s="133"/>
      <c r="K3520" s="133"/>
      <c r="L3520" s="133"/>
      <c r="M3520" s="133"/>
      <c r="N3520" s="133"/>
      <c r="O3520" s="133"/>
      <c r="P3520" s="134"/>
      <c r="Q3520" s="146"/>
      <c r="R3520" s="17"/>
      <c r="S3520" s="17"/>
      <c r="T3520" s="75"/>
      <c r="U3520" s="75"/>
      <c r="V3520" s="75"/>
      <c r="W3520" s="75"/>
      <c r="X3520" s="75"/>
    </row>
    <row r="3521">
      <c r="A3521" s="17"/>
      <c r="B3521" s="17"/>
      <c r="C3521" s="133"/>
      <c r="D3521" s="133"/>
      <c r="E3521" s="17"/>
      <c r="F3521" s="133"/>
      <c r="G3521" s="133"/>
      <c r="H3521" s="133"/>
      <c r="I3521" s="133"/>
      <c r="J3521" s="133"/>
      <c r="K3521" s="133"/>
      <c r="L3521" s="133"/>
      <c r="M3521" s="133"/>
      <c r="N3521" s="133"/>
      <c r="O3521" s="133"/>
      <c r="P3521" s="134"/>
      <c r="Q3521" s="146"/>
      <c r="R3521" s="17"/>
      <c r="S3521" s="17"/>
      <c r="T3521" s="75"/>
      <c r="U3521" s="75"/>
      <c r="V3521" s="75"/>
      <c r="W3521" s="75"/>
      <c r="X3521" s="75"/>
    </row>
    <row r="3522">
      <c r="A3522" s="17"/>
      <c r="B3522" s="17"/>
      <c r="C3522" s="133"/>
      <c r="D3522" s="133"/>
      <c r="E3522" s="17"/>
      <c r="F3522" s="133"/>
      <c r="G3522" s="133"/>
      <c r="H3522" s="133"/>
      <c r="I3522" s="133"/>
      <c r="J3522" s="133"/>
      <c r="K3522" s="133"/>
      <c r="L3522" s="133"/>
      <c r="M3522" s="133"/>
      <c r="N3522" s="133"/>
      <c r="O3522" s="133"/>
      <c r="P3522" s="134"/>
      <c r="Q3522" s="146"/>
      <c r="R3522" s="17"/>
      <c r="S3522" s="17"/>
      <c r="T3522" s="75"/>
      <c r="U3522" s="75"/>
      <c r="V3522" s="75"/>
      <c r="W3522" s="75"/>
      <c r="X3522" s="75"/>
    </row>
    <row r="3523">
      <c r="A3523" s="17"/>
      <c r="B3523" s="17"/>
      <c r="C3523" s="133"/>
      <c r="D3523" s="133"/>
      <c r="E3523" s="17"/>
      <c r="F3523" s="133"/>
      <c r="G3523" s="133"/>
      <c r="H3523" s="133"/>
      <c r="I3523" s="133"/>
      <c r="J3523" s="133"/>
      <c r="K3523" s="133"/>
      <c r="L3523" s="133"/>
      <c r="M3523" s="133"/>
      <c r="N3523" s="133"/>
      <c r="O3523" s="133"/>
      <c r="P3523" s="134"/>
      <c r="Q3523" s="146"/>
      <c r="R3523" s="17"/>
      <c r="S3523" s="17"/>
      <c r="T3523" s="75"/>
      <c r="U3523" s="75"/>
      <c r="V3523" s="75"/>
      <c r="W3523" s="75"/>
      <c r="X3523" s="75"/>
    </row>
    <row r="3524">
      <c r="A3524" s="17"/>
      <c r="B3524" s="17"/>
      <c r="C3524" s="133"/>
      <c r="D3524" s="133"/>
      <c r="E3524" s="17"/>
      <c r="F3524" s="133"/>
      <c r="G3524" s="133"/>
      <c r="H3524" s="133"/>
      <c r="I3524" s="133"/>
      <c r="J3524" s="133"/>
      <c r="K3524" s="133"/>
      <c r="L3524" s="133"/>
      <c r="M3524" s="133"/>
      <c r="N3524" s="133"/>
      <c r="O3524" s="133"/>
      <c r="P3524" s="134"/>
      <c r="Q3524" s="146"/>
      <c r="R3524" s="17"/>
      <c r="S3524" s="17"/>
      <c r="T3524" s="75"/>
      <c r="U3524" s="75"/>
      <c r="V3524" s="75"/>
      <c r="W3524" s="75"/>
      <c r="X3524" s="75"/>
    </row>
    <row r="3525">
      <c r="A3525" s="17"/>
      <c r="B3525" s="17"/>
      <c r="C3525" s="133"/>
      <c r="D3525" s="133"/>
      <c r="E3525" s="17"/>
      <c r="F3525" s="133"/>
      <c r="G3525" s="133"/>
      <c r="H3525" s="133"/>
      <c r="I3525" s="133"/>
      <c r="J3525" s="133"/>
      <c r="K3525" s="133"/>
      <c r="L3525" s="133"/>
      <c r="M3525" s="133"/>
      <c r="N3525" s="133"/>
      <c r="O3525" s="133"/>
      <c r="P3525" s="134"/>
      <c r="Q3525" s="146"/>
      <c r="R3525" s="17"/>
      <c r="S3525" s="17"/>
      <c r="T3525" s="75"/>
      <c r="U3525" s="75"/>
      <c r="V3525" s="75"/>
      <c r="W3525" s="75"/>
      <c r="X3525" s="75"/>
    </row>
    <row r="3526">
      <c r="A3526" s="17"/>
      <c r="B3526" s="17"/>
      <c r="C3526" s="133"/>
      <c r="D3526" s="133"/>
      <c r="E3526" s="17"/>
      <c r="F3526" s="133"/>
      <c r="G3526" s="133"/>
      <c r="H3526" s="133"/>
      <c r="I3526" s="133"/>
      <c r="J3526" s="133"/>
      <c r="K3526" s="133"/>
      <c r="L3526" s="133"/>
      <c r="M3526" s="133"/>
      <c r="N3526" s="133"/>
      <c r="O3526" s="133"/>
      <c r="P3526" s="134"/>
      <c r="Q3526" s="146"/>
      <c r="R3526" s="17"/>
      <c r="S3526" s="17"/>
      <c r="T3526" s="75"/>
      <c r="U3526" s="75"/>
      <c r="V3526" s="75"/>
      <c r="W3526" s="75"/>
      <c r="X3526" s="75"/>
    </row>
    <row r="3527">
      <c r="A3527" s="17"/>
      <c r="B3527" s="17"/>
      <c r="C3527" s="133"/>
      <c r="D3527" s="133"/>
      <c r="E3527" s="17"/>
      <c r="F3527" s="133"/>
      <c r="G3527" s="133"/>
      <c r="H3527" s="133"/>
      <c r="I3527" s="133"/>
      <c r="J3527" s="133"/>
      <c r="K3527" s="133"/>
      <c r="L3527" s="133"/>
      <c r="M3527" s="133"/>
      <c r="N3527" s="133"/>
      <c r="O3527" s="133"/>
      <c r="P3527" s="134"/>
      <c r="Q3527" s="146"/>
      <c r="R3527" s="17"/>
      <c r="S3527" s="17"/>
      <c r="T3527" s="75"/>
      <c r="U3527" s="75"/>
      <c r="V3527" s="75"/>
      <c r="W3527" s="75"/>
      <c r="X3527" s="75"/>
    </row>
    <row r="3528">
      <c r="A3528" s="17"/>
      <c r="B3528" s="17"/>
      <c r="C3528" s="133"/>
      <c r="D3528" s="133"/>
      <c r="E3528" s="17"/>
      <c r="F3528" s="133"/>
      <c r="G3528" s="133"/>
      <c r="H3528" s="133"/>
      <c r="I3528" s="133"/>
      <c r="J3528" s="133"/>
      <c r="K3528" s="133"/>
      <c r="L3528" s="133"/>
      <c r="M3528" s="133"/>
      <c r="N3528" s="133"/>
      <c r="O3528" s="133"/>
      <c r="P3528" s="134"/>
      <c r="Q3528" s="146"/>
      <c r="R3528" s="17"/>
      <c r="S3528" s="17"/>
      <c r="T3528" s="75"/>
      <c r="U3528" s="75"/>
      <c r="V3528" s="75"/>
      <c r="W3528" s="75"/>
      <c r="X3528" s="75"/>
    </row>
    <row r="3529">
      <c r="A3529" s="17"/>
      <c r="B3529" s="17"/>
      <c r="C3529" s="133"/>
      <c r="D3529" s="133"/>
      <c r="E3529" s="17"/>
      <c r="F3529" s="133"/>
      <c r="G3529" s="133"/>
      <c r="H3529" s="133"/>
      <c r="I3529" s="133"/>
      <c r="J3529" s="133"/>
      <c r="K3529" s="133"/>
      <c r="L3529" s="133"/>
      <c r="M3529" s="133"/>
      <c r="N3529" s="133"/>
      <c r="O3529" s="133"/>
      <c r="P3529" s="134"/>
      <c r="Q3529" s="146"/>
      <c r="R3529" s="17"/>
      <c r="S3529" s="17"/>
      <c r="T3529" s="75"/>
      <c r="U3529" s="75"/>
      <c r="V3529" s="75"/>
      <c r="W3529" s="75"/>
      <c r="X3529" s="75"/>
    </row>
    <row r="3530">
      <c r="A3530" s="17"/>
      <c r="B3530" s="17"/>
      <c r="C3530" s="133"/>
      <c r="D3530" s="133"/>
      <c r="E3530" s="17"/>
      <c r="F3530" s="133"/>
      <c r="G3530" s="133"/>
      <c r="H3530" s="133"/>
      <c r="I3530" s="133"/>
      <c r="J3530" s="133"/>
      <c r="K3530" s="133"/>
      <c r="L3530" s="133"/>
      <c r="M3530" s="133"/>
      <c r="N3530" s="133"/>
      <c r="O3530" s="133"/>
      <c r="P3530" s="134"/>
      <c r="Q3530" s="146"/>
      <c r="R3530" s="17"/>
      <c r="S3530" s="17"/>
      <c r="T3530" s="75"/>
      <c r="U3530" s="75"/>
      <c r="V3530" s="75"/>
      <c r="W3530" s="75"/>
      <c r="X3530" s="75"/>
    </row>
    <row r="3531">
      <c r="A3531" s="17"/>
      <c r="B3531" s="17"/>
      <c r="C3531" s="133"/>
      <c r="D3531" s="133"/>
      <c r="E3531" s="17"/>
      <c r="F3531" s="133"/>
      <c r="G3531" s="133"/>
      <c r="H3531" s="133"/>
      <c r="I3531" s="133"/>
      <c r="J3531" s="133"/>
      <c r="K3531" s="133"/>
      <c r="L3531" s="133"/>
      <c r="M3531" s="133"/>
      <c r="N3531" s="133"/>
      <c r="O3531" s="133"/>
      <c r="P3531" s="134"/>
      <c r="Q3531" s="146"/>
      <c r="R3531" s="17"/>
      <c r="S3531" s="17"/>
      <c r="T3531" s="75"/>
      <c r="U3531" s="75"/>
      <c r="V3531" s="75"/>
      <c r="W3531" s="75"/>
      <c r="X3531" s="75"/>
    </row>
    <row r="3532">
      <c r="A3532" s="17"/>
      <c r="B3532" s="17"/>
      <c r="C3532" s="133"/>
      <c r="D3532" s="133"/>
      <c r="E3532" s="17"/>
      <c r="F3532" s="133"/>
      <c r="G3532" s="133"/>
      <c r="H3532" s="133"/>
      <c r="I3532" s="133"/>
      <c r="J3532" s="133"/>
      <c r="K3532" s="133"/>
      <c r="L3532" s="133"/>
      <c r="M3532" s="133"/>
      <c r="N3532" s="133"/>
      <c r="O3532" s="133"/>
      <c r="P3532" s="134"/>
      <c r="Q3532" s="146"/>
      <c r="R3532" s="17"/>
      <c r="S3532" s="17"/>
      <c r="T3532" s="75"/>
      <c r="U3532" s="75"/>
      <c r="V3532" s="75"/>
      <c r="W3532" s="75"/>
      <c r="X3532" s="75"/>
    </row>
    <row r="3533">
      <c r="A3533" s="17"/>
      <c r="B3533" s="17"/>
      <c r="C3533" s="133"/>
      <c r="D3533" s="133"/>
      <c r="E3533" s="17"/>
      <c r="F3533" s="133"/>
      <c r="G3533" s="133"/>
      <c r="H3533" s="133"/>
      <c r="I3533" s="133"/>
      <c r="J3533" s="133"/>
      <c r="K3533" s="133"/>
      <c r="L3533" s="133"/>
      <c r="M3533" s="133"/>
      <c r="N3533" s="133"/>
      <c r="O3533" s="133"/>
      <c r="P3533" s="134"/>
      <c r="Q3533" s="146"/>
      <c r="R3533" s="17"/>
      <c r="S3533" s="17"/>
      <c r="T3533" s="75"/>
      <c r="U3533" s="75"/>
      <c r="V3533" s="75"/>
      <c r="W3533" s="75"/>
      <c r="X3533" s="75"/>
    </row>
    <row r="3534">
      <c r="A3534" s="17"/>
      <c r="B3534" s="17"/>
      <c r="C3534" s="133"/>
      <c r="D3534" s="133"/>
      <c r="E3534" s="17"/>
      <c r="F3534" s="133"/>
      <c r="G3534" s="133"/>
      <c r="H3534" s="133"/>
      <c r="I3534" s="133"/>
      <c r="J3534" s="133"/>
      <c r="K3534" s="133"/>
      <c r="L3534" s="133"/>
      <c r="M3534" s="133"/>
      <c r="N3534" s="133"/>
      <c r="O3534" s="133"/>
      <c r="P3534" s="134"/>
      <c r="Q3534" s="146"/>
      <c r="R3534" s="17"/>
      <c r="S3534" s="17"/>
      <c r="T3534" s="75"/>
      <c r="U3534" s="75"/>
      <c r="V3534" s="75"/>
      <c r="W3534" s="75"/>
      <c r="X3534" s="75"/>
    </row>
    <row r="3535">
      <c r="A3535" s="17"/>
      <c r="B3535" s="17"/>
      <c r="C3535" s="133"/>
      <c r="D3535" s="133"/>
      <c r="E3535" s="17"/>
      <c r="F3535" s="133"/>
      <c r="G3535" s="133"/>
      <c r="H3535" s="133"/>
      <c r="I3535" s="133"/>
      <c r="J3535" s="133"/>
      <c r="K3535" s="133"/>
      <c r="L3535" s="133"/>
      <c r="M3535" s="133"/>
      <c r="N3535" s="133"/>
      <c r="O3535" s="133"/>
      <c r="P3535" s="134"/>
      <c r="Q3535" s="146"/>
      <c r="R3535" s="17"/>
      <c r="S3535" s="17"/>
      <c r="T3535" s="75"/>
      <c r="U3535" s="75"/>
      <c r="V3535" s="75"/>
      <c r="W3535" s="75"/>
      <c r="X3535" s="75"/>
    </row>
    <row r="3536">
      <c r="A3536" s="17"/>
      <c r="B3536" s="17"/>
      <c r="C3536" s="133"/>
      <c r="D3536" s="133"/>
      <c r="E3536" s="17"/>
      <c r="F3536" s="133"/>
      <c r="G3536" s="133"/>
      <c r="H3536" s="133"/>
      <c r="I3536" s="133"/>
      <c r="J3536" s="133"/>
      <c r="K3536" s="133"/>
      <c r="L3536" s="133"/>
      <c r="M3536" s="133"/>
      <c r="N3536" s="133"/>
      <c r="O3536" s="133"/>
      <c r="P3536" s="134"/>
      <c r="Q3536" s="146"/>
      <c r="R3536" s="17"/>
      <c r="S3536" s="17"/>
      <c r="T3536" s="75"/>
      <c r="U3536" s="75"/>
      <c r="V3536" s="75"/>
      <c r="W3536" s="75"/>
      <c r="X3536" s="75"/>
    </row>
    <row r="3537">
      <c r="A3537" s="17"/>
      <c r="B3537" s="17"/>
      <c r="C3537" s="133"/>
      <c r="D3537" s="133"/>
      <c r="E3537" s="17"/>
      <c r="F3537" s="133"/>
      <c r="G3537" s="133"/>
      <c r="H3537" s="133"/>
      <c r="I3537" s="133"/>
      <c r="J3537" s="133"/>
      <c r="K3537" s="133"/>
      <c r="L3537" s="133"/>
      <c r="M3537" s="133"/>
      <c r="N3537" s="133"/>
      <c r="O3537" s="133"/>
      <c r="P3537" s="134"/>
      <c r="Q3537" s="146"/>
      <c r="R3537" s="17"/>
      <c r="S3537" s="17"/>
      <c r="T3537" s="75"/>
      <c r="U3537" s="75"/>
      <c r="V3537" s="75"/>
      <c r="W3537" s="75"/>
      <c r="X3537" s="75"/>
    </row>
    <row r="3538">
      <c r="A3538" s="17"/>
      <c r="B3538" s="17"/>
      <c r="C3538" s="133"/>
      <c r="D3538" s="133"/>
      <c r="E3538" s="17"/>
      <c r="F3538" s="133"/>
      <c r="G3538" s="133"/>
      <c r="H3538" s="133"/>
      <c r="I3538" s="133"/>
      <c r="J3538" s="133"/>
      <c r="K3538" s="133"/>
      <c r="L3538" s="133"/>
      <c r="M3538" s="133"/>
      <c r="N3538" s="133"/>
      <c r="O3538" s="133"/>
      <c r="P3538" s="134"/>
      <c r="Q3538" s="146"/>
      <c r="R3538" s="17"/>
      <c r="S3538" s="17"/>
      <c r="T3538" s="75"/>
      <c r="U3538" s="75"/>
      <c r="V3538" s="75"/>
      <c r="W3538" s="75"/>
      <c r="X3538" s="75"/>
    </row>
    <row r="3539">
      <c r="A3539" s="17"/>
      <c r="B3539" s="17"/>
      <c r="C3539" s="133"/>
      <c r="D3539" s="133"/>
      <c r="E3539" s="17"/>
      <c r="F3539" s="133"/>
      <c r="G3539" s="133"/>
      <c r="H3539" s="133"/>
      <c r="I3539" s="133"/>
      <c r="J3539" s="133"/>
      <c r="K3539" s="133"/>
      <c r="L3539" s="133"/>
      <c r="M3539" s="133"/>
      <c r="N3539" s="133"/>
      <c r="O3539" s="133"/>
      <c r="P3539" s="134"/>
      <c r="Q3539" s="146"/>
      <c r="R3539" s="17"/>
      <c r="S3539" s="17"/>
      <c r="T3539" s="75"/>
      <c r="U3539" s="75"/>
      <c r="V3539" s="75"/>
      <c r="W3539" s="75"/>
      <c r="X3539" s="75"/>
    </row>
    <row r="3540">
      <c r="A3540" s="17"/>
      <c r="B3540" s="17"/>
      <c r="C3540" s="133"/>
      <c r="D3540" s="133"/>
      <c r="E3540" s="17"/>
      <c r="F3540" s="133"/>
      <c r="G3540" s="133"/>
      <c r="H3540" s="133"/>
      <c r="I3540" s="133"/>
      <c r="J3540" s="133"/>
      <c r="K3540" s="133"/>
      <c r="L3540" s="133"/>
      <c r="M3540" s="133"/>
      <c r="N3540" s="133"/>
      <c r="O3540" s="133"/>
      <c r="P3540" s="134"/>
      <c r="Q3540" s="146"/>
      <c r="R3540" s="17"/>
      <c r="S3540" s="17"/>
      <c r="T3540" s="75"/>
      <c r="U3540" s="75"/>
      <c r="V3540" s="75"/>
      <c r="W3540" s="75"/>
      <c r="X3540" s="75"/>
    </row>
    <row r="3541">
      <c r="A3541" s="17"/>
      <c r="B3541" s="17"/>
      <c r="C3541" s="133"/>
      <c r="D3541" s="133"/>
      <c r="E3541" s="17"/>
      <c r="F3541" s="133"/>
      <c r="G3541" s="133"/>
      <c r="H3541" s="133"/>
      <c r="I3541" s="133"/>
      <c r="J3541" s="133"/>
      <c r="K3541" s="133"/>
      <c r="L3541" s="133"/>
      <c r="M3541" s="133"/>
      <c r="N3541" s="133"/>
      <c r="O3541" s="133"/>
      <c r="P3541" s="134"/>
      <c r="Q3541" s="146"/>
      <c r="R3541" s="17"/>
      <c r="S3541" s="17"/>
      <c r="T3541" s="75"/>
      <c r="U3541" s="75"/>
      <c r="V3541" s="75"/>
      <c r="W3541" s="75"/>
      <c r="X3541" s="75"/>
    </row>
    <row r="3542">
      <c r="A3542" s="17"/>
      <c r="B3542" s="17"/>
      <c r="C3542" s="133"/>
      <c r="D3542" s="133"/>
      <c r="E3542" s="17"/>
      <c r="F3542" s="133"/>
      <c r="G3542" s="133"/>
      <c r="H3542" s="133"/>
      <c r="I3542" s="133"/>
      <c r="J3542" s="133"/>
      <c r="K3542" s="133"/>
      <c r="L3542" s="133"/>
      <c r="M3542" s="133"/>
      <c r="N3542" s="133"/>
      <c r="O3542" s="133"/>
      <c r="P3542" s="134"/>
      <c r="Q3542" s="146"/>
      <c r="R3542" s="17"/>
      <c r="S3542" s="17"/>
      <c r="T3542" s="75"/>
      <c r="U3542" s="75"/>
      <c r="V3542" s="75"/>
      <c r="W3542" s="75"/>
      <c r="X3542" s="75"/>
    </row>
    <row r="3543">
      <c r="A3543" s="17"/>
      <c r="B3543" s="17"/>
      <c r="C3543" s="133"/>
      <c r="D3543" s="133"/>
      <c r="E3543" s="17"/>
      <c r="F3543" s="133"/>
      <c r="G3543" s="133"/>
      <c r="H3543" s="133"/>
      <c r="I3543" s="133"/>
      <c r="J3543" s="133"/>
      <c r="K3543" s="133"/>
      <c r="L3543" s="133"/>
      <c r="M3543" s="133"/>
      <c r="N3543" s="133"/>
      <c r="O3543" s="133"/>
      <c r="P3543" s="134"/>
      <c r="Q3543" s="146"/>
      <c r="R3543" s="17"/>
      <c r="S3543" s="17"/>
      <c r="T3543" s="75"/>
      <c r="U3543" s="75"/>
      <c r="V3543" s="75"/>
      <c r="W3543" s="75"/>
      <c r="X3543" s="75"/>
    </row>
    <row r="3544">
      <c r="A3544" s="17"/>
      <c r="B3544" s="17"/>
      <c r="C3544" s="133"/>
      <c r="D3544" s="133"/>
      <c r="E3544" s="17"/>
      <c r="F3544" s="133"/>
      <c r="G3544" s="133"/>
      <c r="H3544" s="133"/>
      <c r="I3544" s="133"/>
      <c r="J3544" s="133"/>
      <c r="K3544" s="133"/>
      <c r="L3544" s="133"/>
      <c r="M3544" s="133"/>
      <c r="N3544" s="133"/>
      <c r="O3544" s="133"/>
      <c r="P3544" s="134"/>
      <c r="Q3544" s="146"/>
      <c r="R3544" s="17"/>
      <c r="S3544" s="17"/>
      <c r="T3544" s="75"/>
      <c r="U3544" s="75"/>
      <c r="V3544" s="75"/>
      <c r="W3544" s="75"/>
      <c r="X3544" s="75"/>
    </row>
    <row r="3545">
      <c r="A3545" s="17"/>
      <c r="B3545" s="17"/>
      <c r="C3545" s="133"/>
      <c r="D3545" s="133"/>
      <c r="E3545" s="17"/>
      <c r="F3545" s="133"/>
      <c r="G3545" s="133"/>
      <c r="H3545" s="133"/>
      <c r="I3545" s="133"/>
      <c r="J3545" s="133"/>
      <c r="K3545" s="133"/>
      <c r="L3545" s="133"/>
      <c r="M3545" s="133"/>
      <c r="N3545" s="133"/>
      <c r="O3545" s="133"/>
      <c r="P3545" s="134"/>
      <c r="Q3545" s="146"/>
      <c r="R3545" s="17"/>
      <c r="S3545" s="17"/>
      <c r="T3545" s="75"/>
      <c r="U3545" s="75"/>
      <c r="V3545" s="75"/>
      <c r="W3545" s="75"/>
      <c r="X3545" s="75"/>
    </row>
    <row r="3546">
      <c r="A3546" s="17"/>
      <c r="B3546" s="17"/>
      <c r="C3546" s="133"/>
      <c r="D3546" s="133"/>
      <c r="E3546" s="17"/>
      <c r="F3546" s="133"/>
      <c r="G3546" s="133"/>
      <c r="H3546" s="133"/>
      <c r="I3546" s="133"/>
      <c r="J3546" s="133"/>
      <c r="K3546" s="133"/>
      <c r="L3546" s="133"/>
      <c r="M3546" s="133"/>
      <c r="N3546" s="133"/>
      <c r="O3546" s="133"/>
      <c r="P3546" s="134"/>
      <c r="Q3546" s="146"/>
      <c r="R3546" s="17"/>
      <c r="S3546" s="17"/>
      <c r="T3546" s="75"/>
      <c r="U3546" s="75"/>
      <c r="V3546" s="75"/>
      <c r="W3546" s="75"/>
      <c r="X3546" s="75"/>
    </row>
    <row r="3547">
      <c r="A3547" s="17"/>
      <c r="B3547" s="17"/>
      <c r="C3547" s="133"/>
      <c r="D3547" s="133"/>
      <c r="E3547" s="17"/>
      <c r="F3547" s="133"/>
      <c r="G3547" s="133"/>
      <c r="H3547" s="133"/>
      <c r="I3547" s="133"/>
      <c r="J3547" s="133"/>
      <c r="K3547" s="133"/>
      <c r="L3547" s="133"/>
      <c r="M3547" s="133"/>
      <c r="N3547" s="133"/>
      <c r="O3547" s="133"/>
      <c r="P3547" s="134"/>
      <c r="Q3547" s="146"/>
      <c r="R3547" s="17"/>
      <c r="S3547" s="17"/>
      <c r="T3547" s="75"/>
      <c r="U3547" s="75"/>
      <c r="V3547" s="75"/>
      <c r="W3547" s="75"/>
      <c r="X3547" s="75"/>
    </row>
    <row r="3548">
      <c r="A3548" s="17"/>
      <c r="B3548" s="17"/>
      <c r="C3548" s="133"/>
      <c r="D3548" s="133"/>
      <c r="E3548" s="17"/>
      <c r="F3548" s="133"/>
      <c r="G3548" s="133"/>
      <c r="H3548" s="133"/>
      <c r="I3548" s="133"/>
      <c r="J3548" s="133"/>
      <c r="K3548" s="133"/>
      <c r="L3548" s="133"/>
      <c r="M3548" s="133"/>
      <c r="N3548" s="133"/>
      <c r="O3548" s="133"/>
      <c r="P3548" s="134"/>
      <c r="Q3548" s="146"/>
      <c r="R3548" s="17"/>
      <c r="S3548" s="17"/>
      <c r="T3548" s="75"/>
      <c r="U3548" s="75"/>
      <c r="V3548" s="75"/>
      <c r="W3548" s="75"/>
      <c r="X3548" s="75"/>
    </row>
    <row r="3549">
      <c r="A3549" s="17"/>
      <c r="B3549" s="17"/>
      <c r="C3549" s="133"/>
      <c r="D3549" s="133"/>
      <c r="E3549" s="17"/>
      <c r="F3549" s="133"/>
      <c r="G3549" s="133"/>
      <c r="H3549" s="133"/>
      <c r="I3549" s="133"/>
      <c r="J3549" s="133"/>
      <c r="K3549" s="133"/>
      <c r="L3549" s="133"/>
      <c r="M3549" s="133"/>
      <c r="N3549" s="133"/>
      <c r="O3549" s="133"/>
      <c r="P3549" s="134"/>
      <c r="Q3549" s="146"/>
      <c r="R3549" s="17"/>
      <c r="S3549" s="17"/>
      <c r="T3549" s="75"/>
      <c r="U3549" s="75"/>
      <c r="V3549" s="75"/>
      <c r="W3549" s="75"/>
      <c r="X3549" s="75"/>
    </row>
    <row r="3550">
      <c r="A3550" s="17"/>
      <c r="B3550" s="17"/>
      <c r="C3550" s="133"/>
      <c r="D3550" s="133"/>
      <c r="E3550" s="17"/>
      <c r="F3550" s="133"/>
      <c r="G3550" s="133"/>
      <c r="H3550" s="133"/>
      <c r="I3550" s="133"/>
      <c r="J3550" s="133"/>
      <c r="K3550" s="133"/>
      <c r="L3550" s="133"/>
      <c r="M3550" s="133"/>
      <c r="N3550" s="133"/>
      <c r="O3550" s="133"/>
      <c r="P3550" s="134"/>
      <c r="Q3550" s="146"/>
      <c r="R3550" s="17"/>
      <c r="S3550" s="17"/>
      <c r="T3550" s="75"/>
      <c r="U3550" s="75"/>
      <c r="V3550" s="75"/>
      <c r="W3550" s="75"/>
      <c r="X3550" s="75"/>
    </row>
    <row r="3551">
      <c r="A3551" s="17"/>
      <c r="B3551" s="17"/>
      <c r="C3551" s="133"/>
      <c r="D3551" s="133"/>
      <c r="E3551" s="17"/>
      <c r="F3551" s="133"/>
      <c r="G3551" s="133"/>
      <c r="H3551" s="133"/>
      <c r="I3551" s="133"/>
      <c r="J3551" s="133"/>
      <c r="K3551" s="133"/>
      <c r="L3551" s="133"/>
      <c r="M3551" s="133"/>
      <c r="N3551" s="133"/>
      <c r="O3551" s="133"/>
      <c r="P3551" s="134"/>
      <c r="Q3551" s="146"/>
      <c r="R3551" s="17"/>
      <c r="S3551" s="17"/>
      <c r="T3551" s="75"/>
      <c r="U3551" s="75"/>
      <c r="V3551" s="75"/>
      <c r="W3551" s="75"/>
      <c r="X3551" s="75"/>
    </row>
    <row r="3552">
      <c r="A3552" s="17"/>
      <c r="B3552" s="17"/>
      <c r="C3552" s="133"/>
      <c r="D3552" s="133"/>
      <c r="E3552" s="17"/>
      <c r="F3552" s="133"/>
      <c r="G3552" s="133"/>
      <c r="H3552" s="133"/>
      <c r="I3552" s="133"/>
      <c r="J3552" s="133"/>
      <c r="K3552" s="133"/>
      <c r="L3552" s="133"/>
      <c r="M3552" s="133"/>
      <c r="N3552" s="133"/>
      <c r="O3552" s="133"/>
      <c r="P3552" s="134"/>
      <c r="Q3552" s="146"/>
      <c r="R3552" s="17"/>
      <c r="S3552" s="17"/>
      <c r="T3552" s="75"/>
      <c r="U3552" s="75"/>
      <c r="V3552" s="75"/>
      <c r="W3552" s="75"/>
      <c r="X3552" s="75"/>
    </row>
    <row r="3553">
      <c r="A3553" s="17"/>
      <c r="B3553" s="17"/>
      <c r="C3553" s="133"/>
      <c r="D3553" s="133"/>
      <c r="E3553" s="17"/>
      <c r="F3553" s="133"/>
      <c r="G3553" s="133"/>
      <c r="H3553" s="133"/>
      <c r="I3553" s="133"/>
      <c r="J3553" s="133"/>
      <c r="K3553" s="133"/>
      <c r="L3553" s="133"/>
      <c r="M3553" s="133"/>
      <c r="N3553" s="133"/>
      <c r="O3553" s="133"/>
      <c r="P3553" s="134"/>
      <c r="Q3553" s="146"/>
      <c r="R3553" s="17"/>
      <c r="S3553" s="17"/>
      <c r="T3553" s="75"/>
      <c r="U3553" s="75"/>
      <c r="V3553" s="75"/>
      <c r="W3553" s="75"/>
      <c r="X3553" s="75"/>
    </row>
    <row r="3554">
      <c r="A3554" s="17"/>
      <c r="B3554" s="17"/>
      <c r="C3554" s="133"/>
      <c r="D3554" s="133"/>
      <c r="E3554" s="17"/>
      <c r="F3554" s="133"/>
      <c r="G3554" s="133"/>
      <c r="H3554" s="133"/>
      <c r="I3554" s="133"/>
      <c r="J3554" s="133"/>
      <c r="K3554" s="133"/>
      <c r="L3554" s="133"/>
      <c r="M3554" s="133"/>
      <c r="N3554" s="133"/>
      <c r="O3554" s="133"/>
      <c r="P3554" s="134"/>
      <c r="Q3554" s="146"/>
      <c r="R3554" s="17"/>
      <c r="S3554" s="17"/>
      <c r="T3554" s="75"/>
      <c r="U3554" s="75"/>
      <c r="V3554" s="75"/>
      <c r="W3554" s="75"/>
      <c r="X3554" s="75"/>
    </row>
    <row r="3555">
      <c r="A3555" s="17"/>
      <c r="B3555" s="17"/>
      <c r="C3555" s="133"/>
      <c r="D3555" s="133"/>
      <c r="E3555" s="17"/>
      <c r="F3555" s="133"/>
      <c r="G3555" s="133"/>
      <c r="H3555" s="133"/>
      <c r="I3555" s="133"/>
      <c r="J3555" s="133"/>
      <c r="K3555" s="133"/>
      <c r="L3555" s="133"/>
      <c r="M3555" s="133"/>
      <c r="N3555" s="133"/>
      <c r="O3555" s="133"/>
      <c r="P3555" s="134"/>
      <c r="Q3555" s="146"/>
      <c r="R3555" s="17"/>
      <c r="S3555" s="17"/>
      <c r="T3555" s="75"/>
      <c r="U3555" s="75"/>
      <c r="V3555" s="75"/>
      <c r="W3555" s="75"/>
      <c r="X3555" s="75"/>
    </row>
    <row r="3556">
      <c r="A3556" s="17"/>
      <c r="B3556" s="17"/>
      <c r="C3556" s="133"/>
      <c r="D3556" s="133"/>
      <c r="E3556" s="17"/>
      <c r="F3556" s="133"/>
      <c r="G3556" s="133"/>
      <c r="H3556" s="133"/>
      <c r="I3556" s="133"/>
      <c r="J3556" s="133"/>
      <c r="K3556" s="133"/>
      <c r="L3556" s="133"/>
      <c r="M3556" s="133"/>
      <c r="N3556" s="133"/>
      <c r="O3556" s="133"/>
      <c r="P3556" s="134"/>
      <c r="Q3556" s="146"/>
      <c r="R3556" s="17"/>
      <c r="S3556" s="17"/>
      <c r="T3556" s="75"/>
      <c r="U3556" s="75"/>
      <c r="V3556" s="75"/>
      <c r="W3556" s="75"/>
      <c r="X3556" s="75"/>
    </row>
    <row r="3557">
      <c r="A3557" s="17"/>
      <c r="B3557" s="17"/>
      <c r="C3557" s="133"/>
      <c r="D3557" s="133"/>
      <c r="E3557" s="17"/>
      <c r="F3557" s="133"/>
      <c r="G3557" s="133"/>
      <c r="H3557" s="133"/>
      <c r="I3557" s="133"/>
      <c r="J3557" s="133"/>
      <c r="K3557" s="133"/>
      <c r="L3557" s="133"/>
      <c r="M3557" s="133"/>
      <c r="N3557" s="133"/>
      <c r="O3557" s="133"/>
      <c r="P3557" s="134"/>
      <c r="Q3557" s="146"/>
      <c r="R3557" s="17"/>
      <c r="S3557" s="17"/>
      <c r="T3557" s="75"/>
      <c r="U3557" s="75"/>
      <c r="V3557" s="75"/>
      <c r="W3557" s="75"/>
      <c r="X3557" s="75"/>
    </row>
    <row r="3558">
      <c r="A3558" s="17"/>
      <c r="B3558" s="17"/>
      <c r="C3558" s="133"/>
      <c r="D3558" s="133"/>
      <c r="E3558" s="17"/>
      <c r="F3558" s="133"/>
      <c r="G3558" s="133"/>
      <c r="H3558" s="133"/>
      <c r="I3558" s="133"/>
      <c r="J3558" s="133"/>
      <c r="K3558" s="133"/>
      <c r="L3558" s="133"/>
      <c r="M3558" s="133"/>
      <c r="N3558" s="133"/>
      <c r="O3558" s="133"/>
      <c r="P3558" s="134"/>
      <c r="Q3558" s="146"/>
      <c r="R3558" s="17"/>
      <c r="S3558" s="17"/>
      <c r="T3558" s="75"/>
      <c r="U3558" s="75"/>
      <c r="V3558" s="75"/>
      <c r="W3558" s="75"/>
      <c r="X3558" s="75"/>
    </row>
    <row r="3559">
      <c r="A3559" s="17"/>
      <c r="B3559" s="17"/>
      <c r="C3559" s="133"/>
      <c r="D3559" s="133"/>
      <c r="E3559" s="17"/>
      <c r="F3559" s="133"/>
      <c r="G3559" s="133"/>
      <c r="H3559" s="133"/>
      <c r="I3559" s="133"/>
      <c r="J3559" s="133"/>
      <c r="K3559" s="133"/>
      <c r="L3559" s="133"/>
      <c r="M3559" s="133"/>
      <c r="N3559" s="133"/>
      <c r="O3559" s="133"/>
      <c r="P3559" s="134"/>
      <c r="Q3559" s="146"/>
      <c r="R3559" s="17"/>
      <c r="S3559" s="17"/>
      <c r="T3559" s="75"/>
      <c r="U3559" s="75"/>
      <c r="V3559" s="75"/>
      <c r="W3559" s="75"/>
      <c r="X3559" s="75"/>
    </row>
    <row r="3560">
      <c r="A3560" s="17"/>
      <c r="B3560" s="17"/>
      <c r="C3560" s="133"/>
      <c r="D3560" s="133"/>
      <c r="E3560" s="17"/>
      <c r="F3560" s="133"/>
      <c r="G3560" s="133"/>
      <c r="H3560" s="133"/>
      <c r="I3560" s="133"/>
      <c r="J3560" s="133"/>
      <c r="K3560" s="133"/>
      <c r="L3560" s="133"/>
      <c r="M3560" s="133"/>
      <c r="N3560" s="133"/>
      <c r="O3560" s="133"/>
      <c r="P3560" s="134"/>
      <c r="Q3560" s="146"/>
      <c r="R3560" s="17"/>
      <c r="S3560" s="17"/>
      <c r="T3560" s="75"/>
      <c r="U3560" s="75"/>
      <c r="V3560" s="75"/>
      <c r="W3560" s="75"/>
      <c r="X3560" s="75"/>
    </row>
    <row r="3561">
      <c r="A3561" s="17"/>
      <c r="B3561" s="17"/>
      <c r="C3561" s="133"/>
      <c r="D3561" s="133"/>
      <c r="E3561" s="17"/>
      <c r="F3561" s="133"/>
      <c r="G3561" s="133"/>
      <c r="H3561" s="133"/>
      <c r="I3561" s="133"/>
      <c r="J3561" s="133"/>
      <c r="K3561" s="133"/>
      <c r="L3561" s="133"/>
      <c r="M3561" s="133"/>
      <c r="N3561" s="133"/>
      <c r="O3561" s="133"/>
      <c r="P3561" s="134"/>
      <c r="Q3561" s="146"/>
      <c r="R3561" s="17"/>
      <c r="S3561" s="17"/>
      <c r="T3561" s="75"/>
      <c r="U3561" s="75"/>
      <c r="V3561" s="75"/>
      <c r="W3561" s="75"/>
      <c r="X3561" s="75"/>
    </row>
    <row r="3562">
      <c r="A3562" s="17"/>
      <c r="B3562" s="17"/>
      <c r="C3562" s="133"/>
      <c r="D3562" s="133"/>
      <c r="E3562" s="17"/>
      <c r="F3562" s="133"/>
      <c r="G3562" s="133"/>
      <c r="H3562" s="133"/>
      <c r="I3562" s="133"/>
      <c r="J3562" s="133"/>
      <c r="K3562" s="133"/>
      <c r="L3562" s="133"/>
      <c r="M3562" s="133"/>
      <c r="N3562" s="133"/>
      <c r="O3562" s="133"/>
      <c r="P3562" s="134"/>
      <c r="Q3562" s="146"/>
      <c r="R3562" s="17"/>
      <c r="S3562" s="17"/>
      <c r="T3562" s="75"/>
      <c r="U3562" s="75"/>
      <c r="V3562" s="75"/>
      <c r="W3562" s="75"/>
      <c r="X3562" s="75"/>
    </row>
    <row r="3563">
      <c r="A3563" s="17"/>
      <c r="B3563" s="17"/>
      <c r="C3563" s="133"/>
      <c r="D3563" s="133"/>
      <c r="E3563" s="17"/>
      <c r="F3563" s="133"/>
      <c r="G3563" s="133"/>
      <c r="H3563" s="133"/>
      <c r="I3563" s="133"/>
      <c r="J3563" s="133"/>
      <c r="K3563" s="133"/>
      <c r="L3563" s="133"/>
      <c r="M3563" s="133"/>
      <c r="N3563" s="133"/>
      <c r="O3563" s="133"/>
      <c r="P3563" s="134"/>
      <c r="Q3563" s="146"/>
      <c r="R3563" s="17"/>
      <c r="S3563" s="17"/>
      <c r="T3563" s="75"/>
      <c r="U3563" s="75"/>
      <c r="V3563" s="75"/>
      <c r="W3563" s="75"/>
      <c r="X3563" s="75"/>
    </row>
    <row r="3564">
      <c r="A3564" s="17"/>
      <c r="B3564" s="17"/>
      <c r="C3564" s="133"/>
      <c r="D3564" s="133"/>
      <c r="E3564" s="17"/>
      <c r="F3564" s="133"/>
      <c r="G3564" s="133"/>
      <c r="H3564" s="133"/>
      <c r="I3564" s="133"/>
      <c r="J3564" s="133"/>
      <c r="K3564" s="133"/>
      <c r="L3564" s="133"/>
      <c r="M3564" s="133"/>
      <c r="N3564" s="133"/>
      <c r="O3564" s="133"/>
      <c r="P3564" s="134"/>
      <c r="Q3564" s="146"/>
      <c r="R3564" s="17"/>
      <c r="S3564" s="17"/>
      <c r="T3564" s="75"/>
      <c r="U3564" s="75"/>
      <c r="V3564" s="75"/>
      <c r="W3564" s="75"/>
      <c r="X3564" s="75"/>
    </row>
    <row r="3565">
      <c r="A3565" s="17"/>
      <c r="B3565" s="17"/>
      <c r="C3565" s="133"/>
      <c r="D3565" s="133"/>
      <c r="E3565" s="17"/>
      <c r="F3565" s="133"/>
      <c r="G3565" s="133"/>
      <c r="H3565" s="133"/>
      <c r="I3565" s="133"/>
      <c r="J3565" s="133"/>
      <c r="K3565" s="133"/>
      <c r="L3565" s="133"/>
      <c r="M3565" s="133"/>
      <c r="N3565" s="133"/>
      <c r="O3565" s="133"/>
      <c r="P3565" s="134"/>
      <c r="Q3565" s="146"/>
      <c r="R3565" s="17"/>
      <c r="S3565" s="17"/>
      <c r="T3565" s="75"/>
      <c r="U3565" s="75"/>
      <c r="V3565" s="75"/>
      <c r="W3565" s="75"/>
      <c r="X3565" s="75"/>
    </row>
    <row r="3566">
      <c r="A3566" s="17"/>
      <c r="B3566" s="17"/>
      <c r="C3566" s="133"/>
      <c r="D3566" s="133"/>
      <c r="E3566" s="17"/>
      <c r="F3566" s="133"/>
      <c r="G3566" s="133"/>
      <c r="H3566" s="133"/>
      <c r="I3566" s="133"/>
      <c r="J3566" s="133"/>
      <c r="K3566" s="133"/>
      <c r="L3566" s="133"/>
      <c r="M3566" s="133"/>
      <c r="N3566" s="133"/>
      <c r="O3566" s="133"/>
      <c r="P3566" s="134"/>
      <c r="Q3566" s="146"/>
      <c r="R3566" s="17"/>
      <c r="S3566" s="17"/>
      <c r="T3566" s="75"/>
      <c r="U3566" s="75"/>
      <c r="V3566" s="75"/>
      <c r="W3566" s="75"/>
      <c r="X3566" s="75"/>
    </row>
    <row r="3567">
      <c r="A3567" s="17"/>
      <c r="B3567" s="17"/>
      <c r="C3567" s="133"/>
      <c r="D3567" s="133"/>
      <c r="E3567" s="17"/>
      <c r="F3567" s="133"/>
      <c r="G3567" s="133"/>
      <c r="H3567" s="133"/>
      <c r="I3567" s="133"/>
      <c r="J3567" s="133"/>
      <c r="K3567" s="133"/>
      <c r="L3567" s="133"/>
      <c r="M3567" s="133"/>
      <c r="N3567" s="133"/>
      <c r="O3567" s="133"/>
      <c r="P3567" s="134"/>
      <c r="Q3567" s="146"/>
      <c r="R3567" s="17"/>
      <c r="S3567" s="17"/>
      <c r="T3567" s="75"/>
      <c r="U3567" s="75"/>
      <c r="V3567" s="75"/>
      <c r="W3567" s="75"/>
      <c r="X3567" s="75"/>
    </row>
    <row r="3568">
      <c r="A3568" s="17"/>
      <c r="B3568" s="17"/>
      <c r="C3568" s="133"/>
      <c r="D3568" s="133"/>
      <c r="E3568" s="17"/>
      <c r="F3568" s="133"/>
      <c r="G3568" s="133"/>
      <c r="H3568" s="133"/>
      <c r="I3568" s="133"/>
      <c r="J3568" s="133"/>
      <c r="K3568" s="133"/>
      <c r="L3568" s="133"/>
      <c r="M3568" s="133"/>
      <c r="N3568" s="133"/>
      <c r="O3568" s="133"/>
      <c r="P3568" s="134"/>
      <c r="Q3568" s="146"/>
      <c r="R3568" s="17"/>
      <c r="S3568" s="17"/>
      <c r="T3568" s="75"/>
      <c r="U3568" s="75"/>
      <c r="V3568" s="75"/>
      <c r="W3568" s="75"/>
      <c r="X3568" s="75"/>
    </row>
    <row r="3569">
      <c r="A3569" s="17"/>
      <c r="B3569" s="17"/>
      <c r="C3569" s="133"/>
      <c r="D3569" s="133"/>
      <c r="E3569" s="17"/>
      <c r="F3569" s="133"/>
      <c r="G3569" s="133"/>
      <c r="H3569" s="133"/>
      <c r="I3569" s="133"/>
      <c r="J3569" s="133"/>
      <c r="K3569" s="133"/>
      <c r="L3569" s="133"/>
      <c r="M3569" s="133"/>
      <c r="N3569" s="133"/>
      <c r="O3569" s="133"/>
      <c r="P3569" s="134"/>
      <c r="Q3569" s="146"/>
      <c r="R3569" s="17"/>
      <c r="S3569" s="17"/>
      <c r="T3569" s="75"/>
      <c r="U3569" s="75"/>
      <c r="V3569" s="75"/>
      <c r="W3569" s="75"/>
      <c r="X3569" s="75"/>
    </row>
    <row r="3570">
      <c r="A3570" s="17"/>
      <c r="B3570" s="17"/>
      <c r="C3570" s="133"/>
      <c r="D3570" s="133"/>
      <c r="E3570" s="17"/>
      <c r="F3570" s="133"/>
      <c r="G3570" s="133"/>
      <c r="H3570" s="133"/>
      <c r="I3570" s="133"/>
      <c r="J3570" s="133"/>
      <c r="K3570" s="133"/>
      <c r="L3570" s="133"/>
      <c r="M3570" s="133"/>
      <c r="N3570" s="133"/>
      <c r="O3570" s="133"/>
      <c r="P3570" s="134"/>
      <c r="Q3570" s="146"/>
      <c r="R3570" s="17"/>
      <c r="S3570" s="17"/>
      <c r="T3570" s="75"/>
      <c r="U3570" s="75"/>
      <c r="V3570" s="75"/>
      <c r="W3570" s="75"/>
      <c r="X3570" s="75"/>
    </row>
    <row r="3571">
      <c r="A3571" s="17"/>
      <c r="B3571" s="17"/>
      <c r="C3571" s="133"/>
      <c r="D3571" s="133"/>
      <c r="E3571" s="17"/>
      <c r="F3571" s="133"/>
      <c r="G3571" s="133"/>
      <c r="H3571" s="133"/>
      <c r="I3571" s="133"/>
      <c r="J3571" s="133"/>
      <c r="K3571" s="133"/>
      <c r="L3571" s="133"/>
      <c r="M3571" s="133"/>
      <c r="N3571" s="133"/>
      <c r="O3571" s="133"/>
      <c r="P3571" s="134"/>
      <c r="Q3571" s="146"/>
      <c r="R3571" s="17"/>
      <c r="S3571" s="17"/>
      <c r="T3571" s="75"/>
      <c r="U3571" s="75"/>
      <c r="V3571" s="75"/>
      <c r="W3571" s="75"/>
      <c r="X3571" s="75"/>
    </row>
    <row r="3572">
      <c r="A3572" s="17"/>
      <c r="B3572" s="17"/>
      <c r="C3572" s="133"/>
      <c r="D3572" s="133"/>
      <c r="E3572" s="17"/>
      <c r="F3572" s="133"/>
      <c r="G3572" s="133"/>
      <c r="H3572" s="133"/>
      <c r="I3572" s="133"/>
      <c r="J3572" s="133"/>
      <c r="K3572" s="133"/>
      <c r="L3572" s="133"/>
      <c r="M3572" s="133"/>
      <c r="N3572" s="133"/>
      <c r="O3572" s="133"/>
      <c r="P3572" s="134"/>
      <c r="Q3572" s="146"/>
      <c r="R3572" s="17"/>
      <c r="S3572" s="17"/>
      <c r="T3572" s="75"/>
      <c r="U3572" s="75"/>
      <c r="V3572" s="75"/>
      <c r="W3572" s="75"/>
      <c r="X3572" s="75"/>
    </row>
    <row r="3573">
      <c r="A3573" s="17"/>
      <c r="B3573" s="17"/>
      <c r="C3573" s="133"/>
      <c r="D3573" s="133"/>
      <c r="E3573" s="17"/>
      <c r="F3573" s="133"/>
      <c r="G3573" s="133"/>
      <c r="H3573" s="133"/>
      <c r="I3573" s="133"/>
      <c r="J3573" s="133"/>
      <c r="K3573" s="133"/>
      <c r="L3573" s="133"/>
      <c r="M3573" s="133"/>
      <c r="N3573" s="133"/>
      <c r="O3573" s="133"/>
      <c r="P3573" s="134"/>
      <c r="Q3573" s="146"/>
      <c r="R3573" s="17"/>
      <c r="S3573" s="17"/>
      <c r="T3573" s="75"/>
      <c r="U3573" s="75"/>
      <c r="V3573" s="75"/>
      <c r="W3573" s="75"/>
      <c r="X3573" s="75"/>
    </row>
    <row r="3574">
      <c r="A3574" s="17"/>
      <c r="B3574" s="17"/>
      <c r="C3574" s="133"/>
      <c r="D3574" s="133"/>
      <c r="E3574" s="17"/>
      <c r="F3574" s="133"/>
      <c r="G3574" s="133"/>
      <c r="H3574" s="133"/>
      <c r="I3574" s="133"/>
      <c r="J3574" s="133"/>
      <c r="K3574" s="133"/>
      <c r="L3574" s="133"/>
      <c r="M3574" s="133"/>
      <c r="N3574" s="133"/>
      <c r="O3574" s="133"/>
      <c r="P3574" s="134"/>
      <c r="Q3574" s="146"/>
      <c r="R3574" s="17"/>
      <c r="S3574" s="17"/>
      <c r="T3574" s="75"/>
      <c r="U3574" s="75"/>
      <c r="V3574" s="75"/>
      <c r="W3574" s="75"/>
      <c r="X3574" s="75"/>
    </row>
    <row r="3575">
      <c r="A3575" s="17"/>
      <c r="B3575" s="17"/>
      <c r="C3575" s="133"/>
      <c r="D3575" s="133"/>
      <c r="E3575" s="17"/>
      <c r="F3575" s="133"/>
      <c r="G3575" s="133"/>
      <c r="H3575" s="133"/>
      <c r="I3575" s="133"/>
      <c r="J3575" s="133"/>
      <c r="K3575" s="133"/>
      <c r="L3575" s="133"/>
      <c r="M3575" s="133"/>
      <c r="N3575" s="133"/>
      <c r="O3575" s="133"/>
      <c r="P3575" s="134"/>
      <c r="Q3575" s="146"/>
      <c r="R3575" s="17"/>
      <c r="S3575" s="17"/>
      <c r="T3575" s="75"/>
      <c r="U3575" s="75"/>
      <c r="V3575" s="75"/>
      <c r="W3575" s="75"/>
      <c r="X3575" s="75"/>
    </row>
    <row r="3576">
      <c r="A3576" s="17"/>
      <c r="B3576" s="17"/>
      <c r="C3576" s="133"/>
      <c r="D3576" s="133"/>
      <c r="E3576" s="17"/>
      <c r="F3576" s="133"/>
      <c r="G3576" s="133"/>
      <c r="H3576" s="133"/>
      <c r="I3576" s="133"/>
      <c r="J3576" s="133"/>
      <c r="K3576" s="133"/>
      <c r="L3576" s="133"/>
      <c r="M3576" s="133"/>
      <c r="N3576" s="133"/>
      <c r="O3576" s="133"/>
      <c r="P3576" s="134"/>
      <c r="Q3576" s="146"/>
      <c r="R3576" s="17"/>
      <c r="S3576" s="17"/>
      <c r="T3576" s="75"/>
      <c r="U3576" s="75"/>
      <c r="V3576" s="75"/>
      <c r="W3576" s="75"/>
      <c r="X3576" s="75"/>
    </row>
    <row r="3577">
      <c r="A3577" s="17"/>
      <c r="B3577" s="17"/>
      <c r="C3577" s="133"/>
      <c r="D3577" s="133"/>
      <c r="E3577" s="17"/>
      <c r="F3577" s="133"/>
      <c r="G3577" s="133"/>
      <c r="H3577" s="133"/>
      <c r="I3577" s="133"/>
      <c r="J3577" s="133"/>
      <c r="K3577" s="133"/>
      <c r="L3577" s="133"/>
      <c r="M3577" s="133"/>
      <c r="N3577" s="133"/>
      <c r="O3577" s="133"/>
      <c r="P3577" s="134"/>
      <c r="Q3577" s="146"/>
      <c r="R3577" s="17"/>
      <c r="S3577" s="17"/>
      <c r="T3577" s="75"/>
      <c r="U3577" s="75"/>
      <c r="V3577" s="75"/>
      <c r="W3577" s="75"/>
      <c r="X3577" s="75"/>
    </row>
    <row r="3578">
      <c r="A3578" s="17"/>
      <c r="B3578" s="17"/>
      <c r="C3578" s="133"/>
      <c r="D3578" s="133"/>
      <c r="E3578" s="17"/>
      <c r="F3578" s="133"/>
      <c r="G3578" s="133"/>
      <c r="H3578" s="133"/>
      <c r="I3578" s="133"/>
      <c r="J3578" s="133"/>
      <c r="K3578" s="133"/>
      <c r="L3578" s="133"/>
      <c r="M3578" s="133"/>
      <c r="N3578" s="133"/>
      <c r="O3578" s="133"/>
      <c r="P3578" s="134"/>
      <c r="Q3578" s="146"/>
      <c r="R3578" s="17"/>
      <c r="S3578" s="17"/>
      <c r="T3578" s="75"/>
      <c r="U3578" s="75"/>
      <c r="V3578" s="75"/>
      <c r="W3578" s="75"/>
      <c r="X3578" s="75"/>
    </row>
    <row r="3579">
      <c r="A3579" s="17"/>
      <c r="B3579" s="17"/>
      <c r="C3579" s="133"/>
      <c r="D3579" s="133"/>
      <c r="E3579" s="17"/>
      <c r="F3579" s="133"/>
      <c r="G3579" s="133"/>
      <c r="H3579" s="133"/>
      <c r="I3579" s="133"/>
      <c r="J3579" s="133"/>
      <c r="K3579" s="133"/>
      <c r="L3579" s="133"/>
      <c r="M3579" s="133"/>
      <c r="N3579" s="133"/>
      <c r="O3579" s="133"/>
      <c r="P3579" s="134"/>
      <c r="Q3579" s="146"/>
      <c r="R3579" s="17"/>
      <c r="S3579" s="17"/>
      <c r="T3579" s="75"/>
      <c r="U3579" s="75"/>
      <c r="V3579" s="75"/>
      <c r="W3579" s="75"/>
      <c r="X3579" s="75"/>
    </row>
    <row r="3580">
      <c r="A3580" s="17"/>
      <c r="B3580" s="17"/>
      <c r="C3580" s="133"/>
      <c r="D3580" s="133"/>
      <c r="E3580" s="17"/>
      <c r="F3580" s="133"/>
      <c r="G3580" s="133"/>
      <c r="H3580" s="133"/>
      <c r="I3580" s="133"/>
      <c r="J3580" s="133"/>
      <c r="K3580" s="133"/>
      <c r="L3580" s="133"/>
      <c r="M3580" s="133"/>
      <c r="N3580" s="133"/>
      <c r="O3580" s="133"/>
      <c r="P3580" s="134"/>
      <c r="Q3580" s="146"/>
      <c r="R3580" s="17"/>
      <c r="S3580" s="17"/>
      <c r="T3580" s="75"/>
      <c r="U3580" s="75"/>
      <c r="V3580" s="75"/>
      <c r="W3580" s="75"/>
      <c r="X3580" s="75"/>
    </row>
    <row r="3581">
      <c r="A3581" s="17"/>
      <c r="B3581" s="17"/>
      <c r="C3581" s="133"/>
      <c r="D3581" s="133"/>
      <c r="E3581" s="17"/>
      <c r="F3581" s="133"/>
      <c r="G3581" s="133"/>
      <c r="H3581" s="133"/>
      <c r="I3581" s="133"/>
      <c r="J3581" s="133"/>
      <c r="K3581" s="133"/>
      <c r="L3581" s="133"/>
      <c r="M3581" s="133"/>
      <c r="N3581" s="133"/>
      <c r="O3581" s="133"/>
      <c r="P3581" s="134"/>
      <c r="Q3581" s="146"/>
      <c r="R3581" s="17"/>
      <c r="S3581" s="17"/>
      <c r="T3581" s="75"/>
      <c r="U3581" s="75"/>
      <c r="V3581" s="75"/>
      <c r="W3581" s="75"/>
      <c r="X3581" s="75"/>
    </row>
    <row r="3582">
      <c r="A3582" s="17"/>
      <c r="B3582" s="17"/>
      <c r="C3582" s="133"/>
      <c r="D3582" s="133"/>
      <c r="E3582" s="17"/>
      <c r="F3582" s="133"/>
      <c r="G3582" s="133"/>
      <c r="H3582" s="133"/>
      <c r="I3582" s="133"/>
      <c r="J3582" s="133"/>
      <c r="K3582" s="133"/>
      <c r="L3582" s="133"/>
      <c r="M3582" s="133"/>
      <c r="N3582" s="133"/>
      <c r="O3582" s="133"/>
      <c r="P3582" s="134"/>
      <c r="Q3582" s="146"/>
      <c r="R3582" s="17"/>
      <c r="S3582" s="17"/>
      <c r="T3582" s="75"/>
      <c r="U3582" s="75"/>
      <c r="V3582" s="75"/>
      <c r="W3582" s="75"/>
      <c r="X3582" s="75"/>
    </row>
    <row r="3583">
      <c r="A3583" s="17"/>
      <c r="B3583" s="17"/>
      <c r="C3583" s="133"/>
      <c r="D3583" s="133"/>
      <c r="E3583" s="17"/>
      <c r="F3583" s="133"/>
      <c r="G3583" s="133"/>
      <c r="H3583" s="133"/>
      <c r="I3583" s="133"/>
      <c r="J3583" s="133"/>
      <c r="K3583" s="133"/>
      <c r="L3583" s="133"/>
      <c r="M3583" s="133"/>
      <c r="N3583" s="133"/>
      <c r="O3583" s="133"/>
      <c r="P3583" s="134"/>
      <c r="Q3583" s="146"/>
      <c r="R3583" s="17"/>
      <c r="S3583" s="17"/>
      <c r="T3583" s="75"/>
      <c r="U3583" s="75"/>
      <c r="V3583" s="75"/>
      <c r="W3583" s="75"/>
      <c r="X3583" s="75"/>
    </row>
    <row r="3584">
      <c r="A3584" s="17"/>
      <c r="B3584" s="17"/>
      <c r="C3584" s="133"/>
      <c r="D3584" s="133"/>
      <c r="E3584" s="17"/>
      <c r="F3584" s="133"/>
      <c r="G3584" s="133"/>
      <c r="H3584" s="133"/>
      <c r="I3584" s="133"/>
      <c r="J3584" s="133"/>
      <c r="K3584" s="133"/>
      <c r="L3584" s="133"/>
      <c r="M3584" s="133"/>
      <c r="N3584" s="133"/>
      <c r="O3584" s="133"/>
      <c r="P3584" s="134"/>
      <c r="Q3584" s="146"/>
      <c r="R3584" s="17"/>
      <c r="S3584" s="17"/>
      <c r="T3584" s="75"/>
      <c r="U3584" s="75"/>
      <c r="V3584" s="75"/>
      <c r="W3584" s="75"/>
      <c r="X3584" s="75"/>
    </row>
    <row r="3585">
      <c r="A3585" s="17"/>
      <c r="B3585" s="17"/>
      <c r="C3585" s="133"/>
      <c r="D3585" s="133"/>
      <c r="E3585" s="17"/>
      <c r="F3585" s="133"/>
      <c r="G3585" s="133"/>
      <c r="H3585" s="133"/>
      <c r="I3585" s="133"/>
      <c r="J3585" s="133"/>
      <c r="K3585" s="133"/>
      <c r="L3585" s="133"/>
      <c r="M3585" s="133"/>
      <c r="N3585" s="133"/>
      <c r="O3585" s="133"/>
      <c r="P3585" s="134"/>
      <c r="Q3585" s="146"/>
      <c r="R3585" s="17"/>
      <c r="S3585" s="17"/>
      <c r="T3585" s="75"/>
      <c r="U3585" s="75"/>
      <c r="V3585" s="75"/>
      <c r="W3585" s="75"/>
      <c r="X3585" s="75"/>
    </row>
    <row r="3586">
      <c r="A3586" s="17"/>
      <c r="B3586" s="17"/>
      <c r="C3586" s="133"/>
      <c r="D3586" s="133"/>
      <c r="E3586" s="17"/>
      <c r="F3586" s="133"/>
      <c r="G3586" s="133"/>
      <c r="H3586" s="133"/>
      <c r="I3586" s="133"/>
      <c r="J3586" s="133"/>
      <c r="K3586" s="133"/>
      <c r="L3586" s="133"/>
      <c r="M3586" s="133"/>
      <c r="N3586" s="133"/>
      <c r="O3586" s="133"/>
      <c r="P3586" s="134"/>
      <c r="Q3586" s="146"/>
      <c r="R3586" s="17"/>
      <c r="S3586" s="17"/>
      <c r="T3586" s="75"/>
      <c r="U3586" s="75"/>
      <c r="V3586" s="75"/>
      <c r="W3586" s="75"/>
      <c r="X3586" s="75"/>
    </row>
    <row r="3587">
      <c r="A3587" s="17"/>
      <c r="B3587" s="17"/>
      <c r="C3587" s="133"/>
      <c r="D3587" s="133"/>
      <c r="E3587" s="17"/>
      <c r="F3587" s="133"/>
      <c r="G3587" s="133"/>
      <c r="H3587" s="133"/>
      <c r="I3587" s="133"/>
      <c r="J3587" s="133"/>
      <c r="K3587" s="133"/>
      <c r="L3587" s="133"/>
      <c r="M3587" s="133"/>
      <c r="N3587" s="133"/>
      <c r="O3587" s="133"/>
      <c r="P3587" s="134"/>
      <c r="Q3587" s="146"/>
      <c r="R3587" s="17"/>
      <c r="S3587" s="17"/>
      <c r="T3587" s="75"/>
      <c r="U3587" s="75"/>
      <c r="V3587" s="75"/>
      <c r="W3587" s="75"/>
      <c r="X3587" s="75"/>
    </row>
    <row r="3588">
      <c r="A3588" s="17"/>
      <c r="B3588" s="17"/>
      <c r="C3588" s="133"/>
      <c r="D3588" s="133"/>
      <c r="E3588" s="17"/>
      <c r="F3588" s="133"/>
      <c r="G3588" s="133"/>
      <c r="H3588" s="133"/>
      <c r="I3588" s="133"/>
      <c r="J3588" s="133"/>
      <c r="K3588" s="133"/>
      <c r="L3588" s="133"/>
      <c r="M3588" s="133"/>
      <c r="N3588" s="133"/>
      <c r="O3588" s="133"/>
      <c r="P3588" s="134"/>
      <c r="Q3588" s="146"/>
      <c r="R3588" s="17"/>
      <c r="S3588" s="17"/>
      <c r="T3588" s="75"/>
      <c r="U3588" s="75"/>
      <c r="V3588" s="75"/>
      <c r="W3588" s="75"/>
      <c r="X3588" s="75"/>
    </row>
    <row r="3589">
      <c r="A3589" s="17"/>
      <c r="B3589" s="17"/>
      <c r="C3589" s="133"/>
      <c r="D3589" s="133"/>
      <c r="E3589" s="17"/>
      <c r="F3589" s="133"/>
      <c r="G3589" s="133"/>
      <c r="H3589" s="133"/>
      <c r="I3589" s="133"/>
      <c r="J3589" s="133"/>
      <c r="K3589" s="133"/>
      <c r="L3589" s="133"/>
      <c r="M3589" s="133"/>
      <c r="N3589" s="133"/>
      <c r="O3589" s="133"/>
      <c r="P3589" s="134"/>
      <c r="Q3589" s="146"/>
      <c r="R3589" s="17"/>
      <c r="S3589" s="17"/>
      <c r="T3589" s="75"/>
      <c r="U3589" s="75"/>
      <c r="V3589" s="75"/>
      <c r="W3589" s="75"/>
      <c r="X3589" s="75"/>
    </row>
    <row r="3590">
      <c r="A3590" s="17"/>
      <c r="B3590" s="17"/>
      <c r="C3590" s="133"/>
      <c r="D3590" s="133"/>
      <c r="E3590" s="17"/>
      <c r="F3590" s="133"/>
      <c r="G3590" s="133"/>
      <c r="H3590" s="133"/>
      <c r="I3590" s="133"/>
      <c r="J3590" s="133"/>
      <c r="K3590" s="133"/>
      <c r="L3590" s="133"/>
      <c r="M3590" s="133"/>
      <c r="N3590" s="133"/>
      <c r="O3590" s="133"/>
      <c r="P3590" s="134"/>
      <c r="Q3590" s="146"/>
      <c r="R3590" s="17"/>
      <c r="S3590" s="17"/>
      <c r="T3590" s="75"/>
      <c r="U3590" s="75"/>
      <c r="V3590" s="75"/>
      <c r="W3590" s="75"/>
      <c r="X3590" s="75"/>
    </row>
    <row r="3591">
      <c r="A3591" s="17"/>
      <c r="B3591" s="17"/>
      <c r="C3591" s="133"/>
      <c r="D3591" s="133"/>
      <c r="E3591" s="17"/>
      <c r="F3591" s="133"/>
      <c r="G3591" s="133"/>
      <c r="H3591" s="133"/>
      <c r="I3591" s="133"/>
      <c r="J3591" s="133"/>
      <c r="K3591" s="133"/>
      <c r="L3591" s="133"/>
      <c r="M3591" s="133"/>
      <c r="N3591" s="133"/>
      <c r="O3591" s="133"/>
      <c r="P3591" s="134"/>
      <c r="Q3591" s="146"/>
      <c r="R3591" s="17"/>
      <c r="S3591" s="17"/>
      <c r="T3591" s="75"/>
      <c r="U3591" s="75"/>
      <c r="V3591" s="75"/>
      <c r="W3591" s="75"/>
      <c r="X3591" s="75"/>
    </row>
    <row r="3592">
      <c r="A3592" s="17"/>
      <c r="B3592" s="17"/>
      <c r="C3592" s="133"/>
      <c r="D3592" s="133"/>
      <c r="E3592" s="17"/>
      <c r="F3592" s="133"/>
      <c r="G3592" s="133"/>
      <c r="H3592" s="133"/>
      <c r="I3592" s="133"/>
      <c r="J3592" s="133"/>
      <c r="K3592" s="133"/>
      <c r="L3592" s="133"/>
      <c r="M3592" s="133"/>
      <c r="N3592" s="133"/>
      <c r="O3592" s="133"/>
      <c r="P3592" s="134"/>
      <c r="Q3592" s="146"/>
      <c r="R3592" s="17"/>
      <c r="S3592" s="17"/>
      <c r="T3592" s="75"/>
      <c r="U3592" s="75"/>
      <c r="V3592" s="75"/>
      <c r="W3592" s="75"/>
      <c r="X3592" s="75"/>
    </row>
    <row r="3593">
      <c r="A3593" s="17"/>
      <c r="B3593" s="17"/>
      <c r="C3593" s="133"/>
      <c r="D3593" s="133"/>
      <c r="E3593" s="17"/>
      <c r="F3593" s="133"/>
      <c r="G3593" s="133"/>
      <c r="H3593" s="133"/>
      <c r="I3593" s="133"/>
      <c r="J3593" s="133"/>
      <c r="K3593" s="133"/>
      <c r="L3593" s="133"/>
      <c r="M3593" s="133"/>
      <c r="N3593" s="133"/>
      <c r="O3593" s="133"/>
      <c r="P3593" s="134"/>
      <c r="Q3593" s="146"/>
      <c r="R3593" s="17"/>
      <c r="S3593" s="17"/>
      <c r="T3593" s="75"/>
      <c r="U3593" s="75"/>
      <c r="V3593" s="75"/>
      <c r="W3593" s="75"/>
      <c r="X3593" s="75"/>
    </row>
    <row r="3594">
      <c r="A3594" s="17"/>
      <c r="B3594" s="17"/>
      <c r="C3594" s="133"/>
      <c r="D3594" s="133"/>
      <c r="E3594" s="17"/>
      <c r="F3594" s="133"/>
      <c r="G3594" s="133"/>
      <c r="H3594" s="133"/>
      <c r="I3594" s="133"/>
      <c r="J3594" s="133"/>
      <c r="K3594" s="133"/>
      <c r="L3594" s="133"/>
      <c r="M3594" s="133"/>
      <c r="N3594" s="133"/>
      <c r="O3594" s="133"/>
      <c r="P3594" s="134"/>
      <c r="Q3594" s="146"/>
      <c r="R3594" s="17"/>
      <c r="S3594" s="17"/>
      <c r="T3594" s="75"/>
      <c r="U3594" s="75"/>
      <c r="V3594" s="75"/>
      <c r="W3594" s="75"/>
      <c r="X3594" s="75"/>
    </row>
    <row r="3595">
      <c r="A3595" s="17"/>
      <c r="B3595" s="17"/>
      <c r="C3595" s="133"/>
      <c r="D3595" s="133"/>
      <c r="E3595" s="17"/>
      <c r="F3595" s="133"/>
      <c r="G3595" s="133"/>
      <c r="H3595" s="133"/>
      <c r="I3595" s="133"/>
      <c r="J3595" s="133"/>
      <c r="K3595" s="133"/>
      <c r="L3595" s="133"/>
      <c r="M3595" s="133"/>
      <c r="N3595" s="133"/>
      <c r="O3595" s="133"/>
      <c r="P3595" s="134"/>
      <c r="Q3595" s="146"/>
      <c r="R3595" s="17"/>
      <c r="S3595" s="17"/>
      <c r="T3595" s="75"/>
      <c r="U3595" s="75"/>
      <c r="V3595" s="75"/>
      <c r="W3595" s="75"/>
      <c r="X3595" s="75"/>
    </row>
    <row r="3596">
      <c r="A3596" s="17"/>
      <c r="B3596" s="17"/>
      <c r="C3596" s="133"/>
      <c r="D3596" s="133"/>
      <c r="E3596" s="17"/>
      <c r="F3596" s="133"/>
      <c r="G3596" s="133"/>
      <c r="H3596" s="133"/>
      <c r="I3596" s="133"/>
      <c r="J3596" s="133"/>
      <c r="K3596" s="133"/>
      <c r="L3596" s="133"/>
      <c r="M3596" s="133"/>
      <c r="N3596" s="133"/>
      <c r="O3596" s="133"/>
      <c r="P3596" s="134"/>
      <c r="Q3596" s="146"/>
      <c r="R3596" s="17"/>
      <c r="S3596" s="17"/>
      <c r="T3596" s="75"/>
      <c r="U3596" s="75"/>
      <c r="V3596" s="75"/>
      <c r="W3596" s="75"/>
      <c r="X3596" s="75"/>
    </row>
    <row r="3597">
      <c r="A3597" s="17"/>
      <c r="B3597" s="17"/>
      <c r="C3597" s="133"/>
      <c r="D3597" s="133"/>
      <c r="E3597" s="17"/>
      <c r="F3597" s="133"/>
      <c r="G3597" s="133"/>
      <c r="H3597" s="133"/>
      <c r="I3597" s="133"/>
      <c r="J3597" s="133"/>
      <c r="K3597" s="133"/>
      <c r="L3597" s="133"/>
      <c r="M3597" s="133"/>
      <c r="N3597" s="133"/>
      <c r="O3597" s="133"/>
      <c r="P3597" s="134"/>
      <c r="Q3597" s="146"/>
      <c r="R3597" s="17"/>
      <c r="S3597" s="17"/>
      <c r="T3597" s="75"/>
      <c r="U3597" s="75"/>
      <c r="V3597" s="75"/>
      <c r="W3597" s="75"/>
      <c r="X3597" s="75"/>
    </row>
    <row r="3598">
      <c r="A3598" s="17"/>
      <c r="B3598" s="17"/>
      <c r="C3598" s="133"/>
      <c r="D3598" s="133"/>
      <c r="E3598" s="17"/>
      <c r="F3598" s="133"/>
      <c r="G3598" s="133"/>
      <c r="H3598" s="133"/>
      <c r="I3598" s="133"/>
      <c r="J3598" s="133"/>
      <c r="K3598" s="133"/>
      <c r="L3598" s="133"/>
      <c r="M3598" s="133"/>
      <c r="N3598" s="133"/>
      <c r="O3598" s="133"/>
      <c r="P3598" s="134"/>
      <c r="Q3598" s="146"/>
      <c r="R3598" s="17"/>
      <c r="S3598" s="17"/>
      <c r="T3598" s="75"/>
      <c r="U3598" s="75"/>
      <c r="V3598" s="75"/>
      <c r="W3598" s="75"/>
      <c r="X3598" s="75"/>
    </row>
    <row r="3599">
      <c r="A3599" s="17"/>
      <c r="B3599" s="17"/>
      <c r="C3599" s="133"/>
      <c r="D3599" s="133"/>
      <c r="E3599" s="17"/>
      <c r="F3599" s="133"/>
      <c r="G3599" s="133"/>
      <c r="H3599" s="133"/>
      <c r="I3599" s="133"/>
      <c r="J3599" s="133"/>
      <c r="K3599" s="133"/>
      <c r="L3599" s="133"/>
      <c r="M3599" s="133"/>
      <c r="N3599" s="133"/>
      <c r="O3599" s="133"/>
      <c r="P3599" s="134"/>
      <c r="Q3599" s="146"/>
      <c r="R3599" s="17"/>
      <c r="S3599" s="17"/>
      <c r="T3599" s="75"/>
      <c r="U3599" s="75"/>
      <c r="V3599" s="75"/>
      <c r="W3599" s="75"/>
      <c r="X3599" s="75"/>
    </row>
    <row r="3600">
      <c r="A3600" s="17"/>
      <c r="B3600" s="17"/>
      <c r="C3600" s="133"/>
      <c r="D3600" s="133"/>
      <c r="E3600" s="17"/>
      <c r="F3600" s="133"/>
      <c r="G3600" s="133"/>
      <c r="H3600" s="133"/>
      <c r="I3600" s="133"/>
      <c r="J3600" s="133"/>
      <c r="K3600" s="133"/>
      <c r="L3600" s="133"/>
      <c r="M3600" s="133"/>
      <c r="N3600" s="133"/>
      <c r="O3600" s="133"/>
      <c r="P3600" s="134"/>
      <c r="Q3600" s="146"/>
      <c r="R3600" s="17"/>
      <c r="S3600" s="17"/>
      <c r="T3600" s="75"/>
      <c r="U3600" s="75"/>
      <c r="V3600" s="75"/>
      <c r="W3600" s="75"/>
      <c r="X3600" s="75"/>
    </row>
    <row r="3601">
      <c r="A3601" s="17"/>
      <c r="B3601" s="17"/>
      <c r="C3601" s="133"/>
      <c r="D3601" s="133"/>
      <c r="E3601" s="17"/>
      <c r="F3601" s="133"/>
      <c r="G3601" s="133"/>
      <c r="H3601" s="133"/>
      <c r="I3601" s="133"/>
      <c r="J3601" s="133"/>
      <c r="K3601" s="133"/>
      <c r="L3601" s="133"/>
      <c r="M3601" s="133"/>
      <c r="N3601" s="133"/>
      <c r="O3601" s="133"/>
      <c r="P3601" s="134"/>
      <c r="Q3601" s="146"/>
      <c r="R3601" s="17"/>
      <c r="S3601" s="17"/>
      <c r="T3601" s="75"/>
      <c r="U3601" s="75"/>
      <c r="V3601" s="75"/>
      <c r="W3601" s="75"/>
      <c r="X3601" s="75"/>
    </row>
    <row r="3602">
      <c r="A3602" s="17"/>
      <c r="B3602" s="17"/>
      <c r="C3602" s="133"/>
      <c r="D3602" s="133"/>
      <c r="E3602" s="17"/>
      <c r="F3602" s="133"/>
      <c r="G3602" s="133"/>
      <c r="H3602" s="133"/>
      <c r="I3602" s="133"/>
      <c r="J3602" s="133"/>
      <c r="K3602" s="133"/>
      <c r="L3602" s="133"/>
      <c r="M3602" s="133"/>
      <c r="N3602" s="133"/>
      <c r="O3602" s="133"/>
      <c r="P3602" s="134"/>
      <c r="Q3602" s="146"/>
      <c r="R3602" s="17"/>
      <c r="S3602" s="17"/>
      <c r="T3602" s="75"/>
      <c r="U3602" s="75"/>
      <c r="V3602" s="75"/>
      <c r="W3602" s="75"/>
      <c r="X3602" s="75"/>
    </row>
    <row r="3603">
      <c r="A3603" s="17"/>
      <c r="B3603" s="17"/>
      <c r="C3603" s="133"/>
      <c r="D3603" s="133"/>
      <c r="E3603" s="17"/>
      <c r="F3603" s="133"/>
      <c r="G3603" s="133"/>
      <c r="H3603" s="133"/>
      <c r="I3603" s="133"/>
      <c r="J3603" s="133"/>
      <c r="K3603" s="133"/>
      <c r="L3603" s="133"/>
      <c r="M3603" s="133"/>
      <c r="N3603" s="133"/>
      <c r="O3603" s="133"/>
      <c r="P3603" s="134"/>
      <c r="Q3603" s="146"/>
      <c r="R3603" s="17"/>
      <c r="S3603" s="17"/>
      <c r="T3603" s="75"/>
      <c r="U3603" s="75"/>
      <c r="V3603" s="75"/>
      <c r="W3603" s="75"/>
      <c r="X3603" s="75"/>
    </row>
    <row r="3604">
      <c r="A3604" s="17"/>
      <c r="B3604" s="17"/>
      <c r="C3604" s="133"/>
      <c r="D3604" s="133"/>
      <c r="E3604" s="17"/>
      <c r="F3604" s="133"/>
      <c r="G3604" s="133"/>
      <c r="H3604" s="133"/>
      <c r="I3604" s="133"/>
      <c r="J3604" s="133"/>
      <c r="K3604" s="133"/>
      <c r="L3604" s="133"/>
      <c r="M3604" s="133"/>
      <c r="N3604" s="133"/>
      <c r="O3604" s="133"/>
      <c r="P3604" s="134"/>
      <c r="Q3604" s="146"/>
      <c r="R3604" s="17"/>
      <c r="S3604" s="17"/>
      <c r="T3604" s="75"/>
      <c r="U3604" s="75"/>
      <c r="V3604" s="75"/>
      <c r="W3604" s="75"/>
      <c r="X3604" s="75"/>
    </row>
    <row r="3605">
      <c r="A3605" s="17"/>
      <c r="B3605" s="17"/>
      <c r="C3605" s="133"/>
      <c r="D3605" s="133"/>
      <c r="E3605" s="17"/>
      <c r="F3605" s="133"/>
      <c r="G3605" s="133"/>
      <c r="H3605" s="133"/>
      <c r="I3605" s="133"/>
      <c r="J3605" s="133"/>
      <c r="K3605" s="133"/>
      <c r="L3605" s="133"/>
      <c r="M3605" s="133"/>
      <c r="N3605" s="133"/>
      <c r="O3605" s="133"/>
      <c r="P3605" s="134"/>
      <c r="Q3605" s="146"/>
      <c r="R3605" s="17"/>
      <c r="S3605" s="17"/>
      <c r="T3605" s="75"/>
      <c r="U3605" s="75"/>
      <c r="V3605" s="75"/>
      <c r="W3605" s="75"/>
      <c r="X3605" s="75"/>
    </row>
    <row r="3606">
      <c r="A3606" s="17"/>
      <c r="B3606" s="17"/>
      <c r="C3606" s="133"/>
      <c r="D3606" s="133"/>
      <c r="E3606" s="17"/>
      <c r="F3606" s="133"/>
      <c r="G3606" s="133"/>
      <c r="H3606" s="133"/>
      <c r="I3606" s="133"/>
      <c r="J3606" s="133"/>
      <c r="K3606" s="133"/>
      <c r="L3606" s="133"/>
      <c r="M3606" s="133"/>
      <c r="N3606" s="133"/>
      <c r="O3606" s="133"/>
      <c r="P3606" s="134"/>
      <c r="Q3606" s="146"/>
      <c r="R3606" s="17"/>
      <c r="S3606" s="17"/>
      <c r="T3606" s="75"/>
      <c r="U3606" s="75"/>
      <c r="V3606" s="75"/>
      <c r="W3606" s="75"/>
      <c r="X3606" s="75"/>
    </row>
    <row r="3607">
      <c r="A3607" s="17"/>
      <c r="B3607" s="17"/>
      <c r="C3607" s="133"/>
      <c r="D3607" s="133"/>
      <c r="E3607" s="17"/>
      <c r="F3607" s="133"/>
      <c r="G3607" s="133"/>
      <c r="H3607" s="133"/>
      <c r="I3607" s="133"/>
      <c r="J3607" s="133"/>
      <c r="K3607" s="133"/>
      <c r="L3607" s="133"/>
      <c r="M3607" s="133"/>
      <c r="N3607" s="133"/>
      <c r="O3607" s="133"/>
      <c r="P3607" s="134"/>
      <c r="Q3607" s="146"/>
      <c r="R3607" s="17"/>
      <c r="S3607" s="17"/>
      <c r="T3607" s="75"/>
      <c r="U3607" s="75"/>
      <c r="V3607" s="75"/>
      <c r="W3607" s="75"/>
      <c r="X3607" s="75"/>
    </row>
    <row r="3608">
      <c r="A3608" s="17"/>
      <c r="B3608" s="17"/>
      <c r="C3608" s="133"/>
      <c r="D3608" s="133"/>
      <c r="E3608" s="17"/>
      <c r="F3608" s="133"/>
      <c r="G3608" s="133"/>
      <c r="H3608" s="133"/>
      <c r="I3608" s="133"/>
      <c r="J3608" s="133"/>
      <c r="K3608" s="133"/>
      <c r="L3608" s="133"/>
      <c r="M3608" s="133"/>
      <c r="N3608" s="133"/>
      <c r="O3608" s="133"/>
      <c r="P3608" s="134"/>
      <c r="Q3608" s="146"/>
      <c r="R3608" s="17"/>
      <c r="S3608" s="17"/>
      <c r="T3608" s="75"/>
      <c r="U3608" s="75"/>
      <c r="V3608" s="75"/>
      <c r="W3608" s="75"/>
      <c r="X3608" s="75"/>
    </row>
    <row r="3609">
      <c r="A3609" s="17"/>
      <c r="B3609" s="17"/>
      <c r="C3609" s="133"/>
      <c r="D3609" s="133"/>
      <c r="E3609" s="17"/>
      <c r="F3609" s="133"/>
      <c r="G3609" s="133"/>
      <c r="H3609" s="133"/>
      <c r="I3609" s="133"/>
      <c r="J3609" s="133"/>
      <c r="K3609" s="133"/>
      <c r="L3609" s="133"/>
      <c r="M3609" s="133"/>
      <c r="N3609" s="133"/>
      <c r="O3609" s="133"/>
      <c r="P3609" s="134"/>
      <c r="Q3609" s="146"/>
      <c r="R3609" s="17"/>
      <c r="S3609" s="17"/>
      <c r="T3609" s="75"/>
      <c r="U3609" s="75"/>
      <c r="V3609" s="75"/>
      <c r="W3609" s="75"/>
      <c r="X3609" s="75"/>
    </row>
    <row r="3610">
      <c r="A3610" s="17"/>
      <c r="B3610" s="17"/>
      <c r="C3610" s="133"/>
      <c r="D3610" s="133"/>
      <c r="E3610" s="17"/>
      <c r="F3610" s="133"/>
      <c r="G3610" s="133"/>
      <c r="H3610" s="133"/>
      <c r="I3610" s="133"/>
      <c r="J3610" s="133"/>
      <c r="K3610" s="133"/>
      <c r="L3610" s="133"/>
      <c r="M3610" s="133"/>
      <c r="N3610" s="133"/>
      <c r="O3610" s="133"/>
      <c r="P3610" s="134"/>
      <c r="Q3610" s="146"/>
      <c r="R3610" s="17"/>
      <c r="S3610" s="17"/>
      <c r="T3610" s="75"/>
      <c r="U3610" s="75"/>
      <c r="V3610" s="75"/>
      <c r="W3610" s="75"/>
      <c r="X3610" s="75"/>
    </row>
    <row r="3611">
      <c r="A3611" s="17"/>
      <c r="B3611" s="17"/>
      <c r="C3611" s="133"/>
      <c r="D3611" s="133"/>
      <c r="E3611" s="17"/>
      <c r="F3611" s="133"/>
      <c r="G3611" s="133"/>
      <c r="H3611" s="133"/>
      <c r="I3611" s="133"/>
      <c r="J3611" s="133"/>
      <c r="K3611" s="133"/>
      <c r="L3611" s="133"/>
      <c r="M3611" s="133"/>
      <c r="N3611" s="133"/>
      <c r="O3611" s="133"/>
      <c r="P3611" s="134"/>
      <c r="Q3611" s="146"/>
      <c r="R3611" s="17"/>
      <c r="S3611" s="17"/>
      <c r="T3611" s="75"/>
      <c r="U3611" s="75"/>
      <c r="V3611" s="75"/>
      <c r="W3611" s="75"/>
      <c r="X3611" s="75"/>
    </row>
    <row r="3612">
      <c r="A3612" s="17"/>
      <c r="B3612" s="17"/>
      <c r="C3612" s="133"/>
      <c r="D3612" s="133"/>
      <c r="E3612" s="17"/>
      <c r="F3612" s="133"/>
      <c r="G3612" s="133"/>
      <c r="H3612" s="133"/>
      <c r="I3612" s="133"/>
      <c r="J3612" s="133"/>
      <c r="K3612" s="133"/>
      <c r="L3612" s="133"/>
      <c r="M3612" s="133"/>
      <c r="N3612" s="133"/>
      <c r="O3612" s="133"/>
      <c r="P3612" s="134"/>
      <c r="Q3612" s="146"/>
      <c r="R3612" s="17"/>
      <c r="S3612" s="17"/>
      <c r="T3612" s="75"/>
      <c r="U3612" s="75"/>
      <c r="V3612" s="75"/>
      <c r="W3612" s="75"/>
      <c r="X3612" s="75"/>
    </row>
    <row r="3613">
      <c r="A3613" s="17"/>
      <c r="B3613" s="17"/>
      <c r="C3613" s="133"/>
      <c r="D3613" s="133"/>
      <c r="E3613" s="17"/>
      <c r="F3613" s="133"/>
      <c r="G3613" s="133"/>
      <c r="H3613" s="133"/>
      <c r="I3613" s="133"/>
      <c r="J3613" s="133"/>
      <c r="K3613" s="133"/>
      <c r="L3613" s="133"/>
      <c r="M3613" s="133"/>
      <c r="N3613" s="133"/>
      <c r="O3613" s="133"/>
      <c r="P3613" s="134"/>
      <c r="Q3613" s="146"/>
      <c r="R3613" s="17"/>
      <c r="S3613" s="17"/>
      <c r="T3613" s="75"/>
      <c r="U3613" s="75"/>
      <c r="V3613" s="75"/>
      <c r="W3613" s="75"/>
      <c r="X3613" s="75"/>
    </row>
    <row r="3614">
      <c r="A3614" s="17"/>
      <c r="B3614" s="17"/>
      <c r="C3614" s="133"/>
      <c r="D3614" s="133"/>
      <c r="E3614" s="17"/>
      <c r="F3614" s="133"/>
      <c r="G3614" s="133"/>
      <c r="H3614" s="133"/>
      <c r="I3614" s="133"/>
      <c r="J3614" s="133"/>
      <c r="K3614" s="133"/>
      <c r="L3614" s="133"/>
      <c r="M3614" s="133"/>
      <c r="N3614" s="133"/>
      <c r="O3614" s="133"/>
      <c r="P3614" s="134"/>
      <c r="Q3614" s="146"/>
      <c r="R3614" s="17"/>
      <c r="S3614" s="17"/>
      <c r="T3614" s="75"/>
      <c r="U3614" s="75"/>
      <c r="V3614" s="75"/>
      <c r="W3614" s="75"/>
      <c r="X3614" s="75"/>
    </row>
    <row r="3615">
      <c r="A3615" s="17"/>
      <c r="B3615" s="17"/>
      <c r="C3615" s="133"/>
      <c r="D3615" s="133"/>
      <c r="E3615" s="17"/>
      <c r="F3615" s="133"/>
      <c r="G3615" s="133"/>
      <c r="H3615" s="133"/>
      <c r="I3615" s="133"/>
      <c r="J3615" s="133"/>
      <c r="K3615" s="133"/>
      <c r="L3615" s="133"/>
      <c r="M3615" s="133"/>
      <c r="N3615" s="133"/>
      <c r="O3615" s="133"/>
      <c r="P3615" s="134"/>
      <c r="Q3615" s="146"/>
      <c r="R3615" s="17"/>
      <c r="S3615" s="17"/>
      <c r="T3615" s="75"/>
      <c r="U3615" s="75"/>
      <c r="V3615" s="75"/>
      <c r="W3615" s="75"/>
      <c r="X3615" s="75"/>
    </row>
    <row r="3616">
      <c r="A3616" s="17"/>
      <c r="B3616" s="17"/>
      <c r="C3616" s="133"/>
      <c r="D3616" s="133"/>
      <c r="E3616" s="17"/>
      <c r="F3616" s="133"/>
      <c r="G3616" s="133"/>
      <c r="H3616" s="133"/>
      <c r="I3616" s="133"/>
      <c r="J3616" s="133"/>
      <c r="K3616" s="133"/>
      <c r="L3616" s="133"/>
      <c r="M3616" s="133"/>
      <c r="N3616" s="133"/>
      <c r="O3616" s="133"/>
      <c r="P3616" s="134"/>
      <c r="Q3616" s="146"/>
      <c r="R3616" s="17"/>
      <c r="S3616" s="17"/>
      <c r="T3616" s="75"/>
      <c r="U3616" s="75"/>
      <c r="V3616" s="75"/>
      <c r="W3616" s="75"/>
      <c r="X3616" s="75"/>
    </row>
    <row r="3617">
      <c r="A3617" s="17"/>
      <c r="B3617" s="17"/>
      <c r="C3617" s="133"/>
      <c r="D3617" s="133"/>
      <c r="E3617" s="17"/>
      <c r="F3617" s="133"/>
      <c r="G3617" s="133"/>
      <c r="H3617" s="133"/>
      <c r="I3617" s="133"/>
      <c r="J3617" s="133"/>
      <c r="K3617" s="133"/>
      <c r="L3617" s="133"/>
      <c r="M3617" s="133"/>
      <c r="N3617" s="133"/>
      <c r="O3617" s="133"/>
      <c r="P3617" s="134"/>
      <c r="Q3617" s="146"/>
      <c r="R3617" s="17"/>
      <c r="S3617" s="17"/>
      <c r="T3617" s="75"/>
      <c r="U3617" s="75"/>
      <c r="V3617" s="75"/>
      <c r="W3617" s="75"/>
      <c r="X3617" s="75"/>
    </row>
    <row r="3618">
      <c r="A3618" s="17"/>
      <c r="B3618" s="17"/>
      <c r="C3618" s="133"/>
      <c r="D3618" s="133"/>
      <c r="E3618" s="17"/>
      <c r="F3618" s="133"/>
      <c r="G3618" s="133"/>
      <c r="H3618" s="133"/>
      <c r="I3618" s="133"/>
      <c r="J3618" s="133"/>
      <c r="K3618" s="133"/>
      <c r="L3618" s="133"/>
      <c r="M3618" s="133"/>
      <c r="N3618" s="133"/>
      <c r="O3618" s="133"/>
      <c r="P3618" s="134"/>
      <c r="Q3618" s="146"/>
      <c r="R3618" s="17"/>
      <c r="S3618" s="17"/>
      <c r="T3618" s="75"/>
      <c r="U3618" s="75"/>
      <c r="V3618" s="75"/>
      <c r="W3618" s="75"/>
      <c r="X3618" s="75"/>
    </row>
    <row r="3619">
      <c r="A3619" s="17"/>
      <c r="B3619" s="17"/>
      <c r="C3619" s="133"/>
      <c r="D3619" s="133"/>
      <c r="E3619" s="17"/>
      <c r="F3619" s="133"/>
      <c r="G3619" s="133"/>
      <c r="H3619" s="133"/>
      <c r="I3619" s="133"/>
      <c r="J3619" s="133"/>
      <c r="K3619" s="133"/>
      <c r="L3619" s="133"/>
      <c r="M3619" s="133"/>
      <c r="N3619" s="133"/>
      <c r="O3619" s="133"/>
      <c r="P3619" s="134"/>
      <c r="Q3619" s="146"/>
      <c r="R3619" s="17"/>
      <c r="S3619" s="17"/>
      <c r="T3619" s="75"/>
      <c r="U3619" s="75"/>
      <c r="V3619" s="75"/>
      <c r="W3619" s="75"/>
      <c r="X3619" s="75"/>
    </row>
    <row r="3620">
      <c r="A3620" s="17"/>
      <c r="B3620" s="17"/>
      <c r="C3620" s="133"/>
      <c r="D3620" s="133"/>
      <c r="E3620" s="17"/>
      <c r="F3620" s="133"/>
      <c r="G3620" s="133"/>
      <c r="H3620" s="133"/>
      <c r="I3620" s="133"/>
      <c r="J3620" s="133"/>
      <c r="K3620" s="133"/>
      <c r="L3620" s="133"/>
      <c r="M3620" s="133"/>
      <c r="N3620" s="133"/>
      <c r="O3620" s="133"/>
      <c r="P3620" s="134"/>
      <c r="Q3620" s="146"/>
      <c r="R3620" s="17"/>
      <c r="S3620" s="17"/>
      <c r="T3620" s="75"/>
      <c r="U3620" s="75"/>
      <c r="V3620" s="75"/>
      <c r="W3620" s="75"/>
      <c r="X3620" s="75"/>
    </row>
    <row r="3621">
      <c r="A3621" s="17"/>
      <c r="B3621" s="17"/>
      <c r="C3621" s="133"/>
      <c r="D3621" s="133"/>
      <c r="E3621" s="17"/>
      <c r="F3621" s="133"/>
      <c r="G3621" s="133"/>
      <c r="H3621" s="133"/>
      <c r="I3621" s="133"/>
      <c r="J3621" s="133"/>
      <c r="K3621" s="133"/>
      <c r="L3621" s="133"/>
      <c r="M3621" s="133"/>
      <c r="N3621" s="133"/>
      <c r="O3621" s="133"/>
      <c r="P3621" s="134"/>
      <c r="Q3621" s="146"/>
      <c r="R3621" s="17"/>
      <c r="S3621" s="17"/>
      <c r="T3621" s="75"/>
      <c r="U3621" s="75"/>
      <c r="V3621" s="75"/>
      <c r="W3621" s="75"/>
      <c r="X3621" s="75"/>
    </row>
    <row r="3622">
      <c r="A3622" s="17"/>
      <c r="B3622" s="17"/>
      <c r="C3622" s="133"/>
      <c r="D3622" s="133"/>
      <c r="E3622" s="17"/>
      <c r="F3622" s="133"/>
      <c r="G3622" s="133"/>
      <c r="H3622" s="133"/>
      <c r="I3622" s="133"/>
      <c r="J3622" s="133"/>
      <c r="K3622" s="133"/>
      <c r="L3622" s="133"/>
      <c r="M3622" s="133"/>
      <c r="N3622" s="133"/>
      <c r="O3622" s="133"/>
      <c r="P3622" s="134"/>
      <c r="Q3622" s="146"/>
      <c r="R3622" s="17"/>
      <c r="S3622" s="17"/>
      <c r="T3622" s="75"/>
      <c r="U3622" s="75"/>
      <c r="V3622" s="75"/>
      <c r="W3622" s="75"/>
      <c r="X3622" s="75"/>
    </row>
    <row r="3623">
      <c r="A3623" s="17"/>
      <c r="B3623" s="17"/>
      <c r="C3623" s="133"/>
      <c r="D3623" s="133"/>
      <c r="E3623" s="17"/>
      <c r="F3623" s="133"/>
      <c r="G3623" s="133"/>
      <c r="H3623" s="133"/>
      <c r="I3623" s="133"/>
      <c r="J3623" s="133"/>
      <c r="K3623" s="133"/>
      <c r="L3623" s="133"/>
      <c r="M3623" s="133"/>
      <c r="N3623" s="133"/>
      <c r="O3623" s="133"/>
      <c r="P3623" s="134"/>
      <c r="Q3623" s="146"/>
      <c r="R3623" s="17"/>
      <c r="S3623" s="17"/>
      <c r="T3623" s="75"/>
      <c r="U3623" s="75"/>
      <c r="V3623" s="75"/>
      <c r="W3623" s="75"/>
      <c r="X3623" s="75"/>
    </row>
    <row r="3624">
      <c r="A3624" s="17"/>
      <c r="B3624" s="17"/>
      <c r="C3624" s="133"/>
      <c r="D3624" s="133"/>
      <c r="E3624" s="17"/>
      <c r="F3624" s="133"/>
      <c r="G3624" s="133"/>
      <c r="H3624" s="133"/>
      <c r="I3624" s="133"/>
      <c r="J3624" s="133"/>
      <c r="K3624" s="133"/>
      <c r="L3624" s="133"/>
      <c r="M3624" s="133"/>
      <c r="N3624" s="133"/>
      <c r="O3624" s="133"/>
      <c r="P3624" s="134"/>
      <c r="Q3624" s="146"/>
      <c r="R3624" s="17"/>
      <c r="S3624" s="17"/>
      <c r="T3624" s="75"/>
      <c r="U3624" s="75"/>
      <c r="V3624" s="75"/>
      <c r="W3624" s="75"/>
      <c r="X3624" s="75"/>
    </row>
    <row r="3625">
      <c r="A3625" s="17"/>
      <c r="B3625" s="17"/>
      <c r="C3625" s="133"/>
      <c r="D3625" s="133"/>
      <c r="E3625" s="17"/>
      <c r="F3625" s="133"/>
      <c r="G3625" s="133"/>
      <c r="H3625" s="133"/>
      <c r="I3625" s="133"/>
      <c r="J3625" s="133"/>
      <c r="K3625" s="133"/>
      <c r="L3625" s="133"/>
      <c r="M3625" s="133"/>
      <c r="N3625" s="133"/>
      <c r="O3625" s="133"/>
      <c r="P3625" s="134"/>
      <c r="Q3625" s="146"/>
      <c r="R3625" s="17"/>
      <c r="S3625" s="17"/>
      <c r="T3625" s="75"/>
      <c r="U3625" s="75"/>
      <c r="V3625" s="75"/>
      <c r="W3625" s="75"/>
      <c r="X3625" s="75"/>
    </row>
    <row r="3626">
      <c r="A3626" s="17"/>
      <c r="B3626" s="17"/>
      <c r="C3626" s="133"/>
      <c r="D3626" s="133"/>
      <c r="E3626" s="17"/>
      <c r="F3626" s="133"/>
      <c r="G3626" s="133"/>
      <c r="H3626" s="133"/>
      <c r="I3626" s="133"/>
      <c r="J3626" s="133"/>
      <c r="K3626" s="133"/>
      <c r="L3626" s="133"/>
      <c r="M3626" s="133"/>
      <c r="N3626" s="133"/>
      <c r="O3626" s="133"/>
      <c r="P3626" s="134"/>
      <c r="Q3626" s="146"/>
      <c r="R3626" s="17"/>
      <c r="S3626" s="17"/>
      <c r="T3626" s="75"/>
      <c r="U3626" s="75"/>
      <c r="V3626" s="75"/>
      <c r="W3626" s="75"/>
      <c r="X3626" s="75"/>
    </row>
    <row r="3627">
      <c r="A3627" s="17"/>
      <c r="B3627" s="17"/>
      <c r="C3627" s="133"/>
      <c r="D3627" s="133"/>
      <c r="E3627" s="17"/>
      <c r="F3627" s="133"/>
      <c r="G3627" s="133"/>
      <c r="H3627" s="133"/>
      <c r="I3627" s="133"/>
      <c r="J3627" s="133"/>
      <c r="K3627" s="133"/>
      <c r="L3627" s="133"/>
      <c r="M3627" s="133"/>
      <c r="N3627" s="133"/>
      <c r="O3627" s="133"/>
      <c r="P3627" s="134"/>
      <c r="Q3627" s="146"/>
      <c r="R3627" s="17"/>
      <c r="S3627" s="17"/>
      <c r="T3627" s="75"/>
      <c r="U3627" s="75"/>
      <c r="V3627" s="75"/>
      <c r="W3627" s="75"/>
      <c r="X3627" s="75"/>
    </row>
    <row r="3628">
      <c r="A3628" s="17"/>
      <c r="B3628" s="17"/>
      <c r="C3628" s="133"/>
      <c r="D3628" s="133"/>
      <c r="E3628" s="17"/>
      <c r="F3628" s="133"/>
      <c r="G3628" s="133"/>
      <c r="H3628" s="133"/>
      <c r="I3628" s="133"/>
      <c r="J3628" s="133"/>
      <c r="K3628" s="133"/>
      <c r="L3628" s="133"/>
      <c r="M3628" s="133"/>
      <c r="N3628" s="133"/>
      <c r="O3628" s="133"/>
      <c r="P3628" s="134"/>
      <c r="Q3628" s="146"/>
      <c r="R3628" s="17"/>
      <c r="S3628" s="17"/>
      <c r="T3628" s="75"/>
      <c r="U3628" s="75"/>
      <c r="V3628" s="75"/>
      <c r="W3628" s="75"/>
      <c r="X3628" s="75"/>
    </row>
    <row r="3629">
      <c r="A3629" s="17"/>
      <c r="B3629" s="17"/>
      <c r="C3629" s="133"/>
      <c r="D3629" s="133"/>
      <c r="E3629" s="17"/>
      <c r="F3629" s="133"/>
      <c r="G3629" s="133"/>
      <c r="H3629" s="133"/>
      <c r="I3629" s="133"/>
      <c r="J3629" s="133"/>
      <c r="K3629" s="133"/>
      <c r="L3629" s="133"/>
      <c r="M3629" s="133"/>
      <c r="N3629" s="133"/>
      <c r="O3629" s="133"/>
      <c r="P3629" s="134"/>
      <c r="Q3629" s="146"/>
      <c r="R3629" s="17"/>
      <c r="S3629" s="17"/>
      <c r="T3629" s="75"/>
      <c r="U3629" s="75"/>
      <c r="V3629" s="75"/>
      <c r="W3629" s="75"/>
      <c r="X3629" s="75"/>
    </row>
    <row r="3630">
      <c r="A3630" s="17"/>
      <c r="B3630" s="17"/>
      <c r="C3630" s="133"/>
      <c r="D3630" s="133"/>
      <c r="E3630" s="17"/>
      <c r="F3630" s="133"/>
      <c r="G3630" s="133"/>
      <c r="H3630" s="133"/>
      <c r="I3630" s="133"/>
      <c r="J3630" s="133"/>
      <c r="K3630" s="133"/>
      <c r="L3630" s="133"/>
      <c r="M3630" s="133"/>
      <c r="N3630" s="133"/>
      <c r="O3630" s="133"/>
      <c r="P3630" s="134"/>
      <c r="Q3630" s="146"/>
      <c r="R3630" s="17"/>
      <c r="S3630" s="17"/>
      <c r="T3630" s="75"/>
      <c r="U3630" s="75"/>
      <c r="V3630" s="75"/>
      <c r="W3630" s="75"/>
      <c r="X3630" s="75"/>
    </row>
    <row r="3631">
      <c r="A3631" s="17"/>
      <c r="B3631" s="17"/>
      <c r="C3631" s="133"/>
      <c r="D3631" s="133"/>
      <c r="E3631" s="17"/>
      <c r="F3631" s="133"/>
      <c r="G3631" s="133"/>
      <c r="H3631" s="133"/>
      <c r="I3631" s="133"/>
      <c r="J3631" s="133"/>
      <c r="K3631" s="133"/>
      <c r="L3631" s="133"/>
      <c r="M3631" s="133"/>
      <c r="N3631" s="133"/>
      <c r="O3631" s="133"/>
      <c r="P3631" s="134"/>
      <c r="Q3631" s="146"/>
      <c r="R3631" s="17"/>
      <c r="S3631" s="17"/>
      <c r="T3631" s="75"/>
      <c r="U3631" s="75"/>
      <c r="V3631" s="75"/>
      <c r="W3631" s="75"/>
      <c r="X3631" s="75"/>
    </row>
    <row r="3632">
      <c r="A3632" s="17"/>
      <c r="B3632" s="17"/>
      <c r="C3632" s="133"/>
      <c r="D3632" s="133"/>
      <c r="E3632" s="17"/>
      <c r="F3632" s="133"/>
      <c r="G3632" s="133"/>
      <c r="H3632" s="133"/>
      <c r="I3632" s="133"/>
      <c r="J3632" s="133"/>
      <c r="K3632" s="133"/>
      <c r="L3632" s="133"/>
      <c r="M3632" s="133"/>
      <c r="N3632" s="133"/>
      <c r="O3632" s="133"/>
      <c r="P3632" s="134"/>
      <c r="Q3632" s="146"/>
      <c r="R3632" s="17"/>
      <c r="S3632" s="17"/>
      <c r="T3632" s="75"/>
      <c r="U3632" s="75"/>
      <c r="V3632" s="75"/>
      <c r="W3632" s="75"/>
      <c r="X3632" s="75"/>
    </row>
    <row r="3633">
      <c r="A3633" s="17"/>
      <c r="B3633" s="17"/>
      <c r="C3633" s="133"/>
      <c r="D3633" s="133"/>
      <c r="E3633" s="17"/>
      <c r="F3633" s="133"/>
      <c r="G3633" s="133"/>
      <c r="H3633" s="133"/>
      <c r="I3633" s="133"/>
      <c r="J3633" s="133"/>
      <c r="K3633" s="133"/>
      <c r="L3633" s="133"/>
      <c r="M3633" s="133"/>
      <c r="N3633" s="133"/>
      <c r="O3633" s="133"/>
      <c r="P3633" s="134"/>
      <c r="Q3633" s="146"/>
      <c r="R3633" s="17"/>
      <c r="S3633" s="17"/>
      <c r="T3633" s="75"/>
      <c r="U3633" s="75"/>
      <c r="V3633" s="75"/>
      <c r="W3633" s="75"/>
      <c r="X3633" s="75"/>
    </row>
    <row r="3634">
      <c r="A3634" s="17"/>
      <c r="B3634" s="17"/>
      <c r="C3634" s="133"/>
      <c r="D3634" s="133"/>
      <c r="E3634" s="17"/>
      <c r="F3634" s="133"/>
      <c r="G3634" s="133"/>
      <c r="H3634" s="133"/>
      <c r="I3634" s="133"/>
      <c r="J3634" s="133"/>
      <c r="K3634" s="133"/>
      <c r="L3634" s="133"/>
      <c r="M3634" s="133"/>
      <c r="N3634" s="133"/>
      <c r="O3634" s="133"/>
      <c r="P3634" s="134"/>
      <c r="Q3634" s="146"/>
      <c r="R3634" s="17"/>
      <c r="S3634" s="17"/>
      <c r="T3634" s="75"/>
      <c r="U3634" s="75"/>
      <c r="V3634" s="75"/>
      <c r="W3634" s="75"/>
      <c r="X3634" s="75"/>
    </row>
    <row r="3635">
      <c r="A3635" s="17"/>
      <c r="B3635" s="17"/>
      <c r="C3635" s="133"/>
      <c r="D3635" s="133"/>
      <c r="E3635" s="17"/>
      <c r="F3635" s="133"/>
      <c r="G3635" s="133"/>
      <c r="H3635" s="133"/>
      <c r="I3635" s="133"/>
      <c r="J3635" s="133"/>
      <c r="K3635" s="133"/>
      <c r="L3635" s="133"/>
      <c r="M3635" s="133"/>
      <c r="N3635" s="133"/>
      <c r="O3635" s="133"/>
      <c r="P3635" s="134"/>
      <c r="Q3635" s="146"/>
      <c r="R3635" s="17"/>
      <c r="S3635" s="17"/>
      <c r="T3635" s="75"/>
      <c r="U3635" s="75"/>
      <c r="V3635" s="75"/>
      <c r="W3635" s="75"/>
      <c r="X3635" s="75"/>
    </row>
    <row r="3636">
      <c r="A3636" s="17"/>
      <c r="B3636" s="17"/>
      <c r="C3636" s="133"/>
      <c r="D3636" s="133"/>
      <c r="E3636" s="17"/>
      <c r="F3636" s="133"/>
      <c r="G3636" s="133"/>
      <c r="H3636" s="133"/>
      <c r="I3636" s="133"/>
      <c r="J3636" s="133"/>
      <c r="K3636" s="133"/>
      <c r="L3636" s="133"/>
      <c r="M3636" s="133"/>
      <c r="N3636" s="133"/>
      <c r="O3636" s="133"/>
      <c r="P3636" s="134"/>
      <c r="Q3636" s="146"/>
      <c r="R3636" s="17"/>
      <c r="S3636" s="17"/>
      <c r="T3636" s="75"/>
      <c r="U3636" s="75"/>
      <c r="V3636" s="75"/>
      <c r="W3636" s="75"/>
      <c r="X3636" s="75"/>
    </row>
    <row r="3637">
      <c r="A3637" s="17"/>
      <c r="B3637" s="17"/>
      <c r="C3637" s="133"/>
      <c r="D3637" s="133"/>
      <c r="E3637" s="17"/>
      <c r="F3637" s="133"/>
      <c r="G3637" s="133"/>
      <c r="H3637" s="133"/>
      <c r="I3637" s="133"/>
      <c r="J3637" s="133"/>
      <c r="K3637" s="133"/>
      <c r="L3637" s="133"/>
      <c r="M3637" s="133"/>
      <c r="N3637" s="133"/>
      <c r="O3637" s="133"/>
      <c r="P3637" s="134"/>
      <c r="Q3637" s="146"/>
      <c r="R3637" s="17"/>
      <c r="S3637" s="17"/>
      <c r="T3637" s="75"/>
      <c r="U3637" s="75"/>
      <c r="V3637" s="75"/>
      <c r="W3637" s="75"/>
      <c r="X3637" s="75"/>
    </row>
    <row r="3638">
      <c r="A3638" s="17"/>
      <c r="B3638" s="17"/>
      <c r="C3638" s="133"/>
      <c r="D3638" s="133"/>
      <c r="E3638" s="17"/>
      <c r="F3638" s="133"/>
      <c r="G3638" s="133"/>
      <c r="H3638" s="133"/>
      <c r="I3638" s="133"/>
      <c r="J3638" s="133"/>
      <c r="K3638" s="133"/>
      <c r="L3638" s="133"/>
      <c r="M3638" s="133"/>
      <c r="N3638" s="133"/>
      <c r="O3638" s="133"/>
      <c r="P3638" s="134"/>
      <c r="Q3638" s="146"/>
      <c r="R3638" s="17"/>
      <c r="S3638" s="17"/>
      <c r="T3638" s="75"/>
      <c r="U3638" s="75"/>
      <c r="V3638" s="75"/>
      <c r="W3638" s="75"/>
      <c r="X3638" s="75"/>
    </row>
    <row r="3639">
      <c r="A3639" s="17"/>
      <c r="B3639" s="17"/>
      <c r="C3639" s="133"/>
      <c r="D3639" s="133"/>
      <c r="E3639" s="17"/>
      <c r="F3639" s="133"/>
      <c r="G3639" s="133"/>
      <c r="H3639" s="133"/>
      <c r="I3639" s="133"/>
      <c r="J3639" s="133"/>
      <c r="K3639" s="133"/>
      <c r="L3639" s="133"/>
      <c r="M3639" s="133"/>
      <c r="N3639" s="133"/>
      <c r="O3639" s="133"/>
      <c r="P3639" s="134"/>
      <c r="Q3639" s="146"/>
      <c r="R3639" s="17"/>
      <c r="S3639" s="17"/>
      <c r="T3639" s="75"/>
      <c r="U3639" s="75"/>
      <c r="V3639" s="75"/>
      <c r="W3639" s="75"/>
      <c r="X3639" s="75"/>
    </row>
    <row r="3640">
      <c r="A3640" s="17"/>
      <c r="B3640" s="17"/>
      <c r="C3640" s="133"/>
      <c r="D3640" s="133"/>
      <c r="E3640" s="17"/>
      <c r="F3640" s="133"/>
      <c r="G3640" s="133"/>
      <c r="H3640" s="133"/>
      <c r="I3640" s="133"/>
      <c r="J3640" s="133"/>
      <c r="K3640" s="133"/>
      <c r="L3640" s="133"/>
      <c r="M3640" s="133"/>
      <c r="N3640" s="133"/>
      <c r="O3640" s="133"/>
      <c r="P3640" s="134"/>
      <c r="Q3640" s="146"/>
      <c r="R3640" s="17"/>
      <c r="S3640" s="17"/>
      <c r="T3640" s="75"/>
      <c r="U3640" s="75"/>
      <c r="V3640" s="75"/>
      <c r="W3640" s="75"/>
      <c r="X3640" s="75"/>
    </row>
    <row r="3641">
      <c r="A3641" s="17"/>
      <c r="B3641" s="17"/>
      <c r="C3641" s="133"/>
      <c r="D3641" s="133"/>
      <c r="E3641" s="17"/>
      <c r="F3641" s="133"/>
      <c r="G3641" s="133"/>
      <c r="H3641" s="133"/>
      <c r="I3641" s="133"/>
      <c r="J3641" s="133"/>
      <c r="K3641" s="133"/>
      <c r="L3641" s="133"/>
      <c r="M3641" s="133"/>
      <c r="N3641" s="133"/>
      <c r="O3641" s="133"/>
      <c r="P3641" s="134"/>
      <c r="Q3641" s="146"/>
      <c r="R3641" s="17"/>
      <c r="S3641" s="17"/>
      <c r="T3641" s="75"/>
      <c r="U3641" s="75"/>
      <c r="V3641" s="75"/>
      <c r="W3641" s="75"/>
      <c r="X3641" s="75"/>
    </row>
    <row r="3642">
      <c r="A3642" s="17"/>
      <c r="B3642" s="17"/>
      <c r="C3642" s="133"/>
      <c r="D3642" s="133"/>
      <c r="E3642" s="17"/>
      <c r="F3642" s="133"/>
      <c r="G3642" s="133"/>
      <c r="H3642" s="133"/>
      <c r="I3642" s="133"/>
      <c r="J3642" s="133"/>
      <c r="K3642" s="133"/>
      <c r="L3642" s="133"/>
      <c r="M3642" s="133"/>
      <c r="N3642" s="133"/>
      <c r="O3642" s="133"/>
      <c r="P3642" s="134"/>
      <c r="Q3642" s="146"/>
      <c r="R3642" s="17"/>
      <c r="S3642" s="17"/>
      <c r="T3642" s="75"/>
      <c r="U3642" s="75"/>
      <c r="V3642" s="75"/>
      <c r="W3642" s="75"/>
      <c r="X3642" s="75"/>
    </row>
    <row r="3643">
      <c r="A3643" s="17"/>
      <c r="B3643" s="17"/>
      <c r="C3643" s="133"/>
      <c r="D3643" s="133"/>
      <c r="E3643" s="17"/>
      <c r="F3643" s="133"/>
      <c r="G3643" s="133"/>
      <c r="H3643" s="133"/>
      <c r="I3643" s="133"/>
      <c r="J3643" s="133"/>
      <c r="K3643" s="133"/>
      <c r="L3643" s="133"/>
      <c r="M3643" s="133"/>
      <c r="N3643" s="133"/>
      <c r="O3643" s="133"/>
      <c r="P3643" s="134"/>
      <c r="Q3643" s="146"/>
      <c r="R3643" s="17"/>
      <c r="S3643" s="17"/>
      <c r="T3643" s="75"/>
      <c r="U3643" s="75"/>
      <c r="V3643" s="75"/>
      <c r="W3643" s="75"/>
      <c r="X3643" s="75"/>
    </row>
    <row r="3644">
      <c r="A3644" s="17"/>
      <c r="B3644" s="17"/>
      <c r="C3644" s="133"/>
      <c r="D3644" s="133"/>
      <c r="E3644" s="17"/>
      <c r="F3644" s="133"/>
      <c r="G3644" s="133"/>
      <c r="H3644" s="133"/>
      <c r="I3644" s="133"/>
      <c r="J3644" s="133"/>
      <c r="K3644" s="133"/>
      <c r="L3644" s="133"/>
      <c r="M3644" s="133"/>
      <c r="N3644" s="133"/>
      <c r="O3644" s="133"/>
      <c r="P3644" s="134"/>
      <c r="Q3644" s="146"/>
      <c r="R3644" s="17"/>
      <c r="S3644" s="17"/>
      <c r="T3644" s="75"/>
      <c r="U3644" s="75"/>
      <c r="V3644" s="75"/>
      <c r="W3644" s="75"/>
      <c r="X3644" s="75"/>
    </row>
    <row r="3645">
      <c r="A3645" s="17"/>
      <c r="B3645" s="17"/>
      <c r="C3645" s="133"/>
      <c r="D3645" s="133"/>
      <c r="E3645" s="17"/>
      <c r="F3645" s="133"/>
      <c r="G3645" s="133"/>
      <c r="H3645" s="133"/>
      <c r="I3645" s="133"/>
      <c r="J3645" s="133"/>
      <c r="K3645" s="133"/>
      <c r="L3645" s="133"/>
      <c r="M3645" s="133"/>
      <c r="N3645" s="133"/>
      <c r="O3645" s="133"/>
      <c r="P3645" s="134"/>
      <c r="Q3645" s="146"/>
      <c r="R3645" s="17"/>
      <c r="S3645" s="17"/>
      <c r="T3645" s="75"/>
      <c r="U3645" s="75"/>
      <c r="V3645" s="75"/>
      <c r="W3645" s="75"/>
      <c r="X3645" s="75"/>
    </row>
    <row r="3646">
      <c r="A3646" s="17"/>
      <c r="B3646" s="17"/>
      <c r="C3646" s="133"/>
      <c r="D3646" s="133"/>
      <c r="E3646" s="17"/>
      <c r="F3646" s="133"/>
      <c r="G3646" s="133"/>
      <c r="H3646" s="133"/>
      <c r="I3646" s="133"/>
      <c r="J3646" s="133"/>
      <c r="K3646" s="133"/>
      <c r="L3646" s="133"/>
      <c r="M3646" s="133"/>
      <c r="N3646" s="133"/>
      <c r="O3646" s="133"/>
      <c r="P3646" s="134"/>
      <c r="Q3646" s="146"/>
      <c r="R3646" s="17"/>
      <c r="S3646" s="17"/>
      <c r="T3646" s="75"/>
      <c r="U3646" s="75"/>
      <c r="V3646" s="75"/>
      <c r="W3646" s="75"/>
      <c r="X3646" s="75"/>
    </row>
    <row r="3647">
      <c r="A3647" s="17"/>
      <c r="B3647" s="17"/>
      <c r="C3647" s="133"/>
      <c r="D3647" s="133"/>
      <c r="E3647" s="17"/>
      <c r="F3647" s="133"/>
      <c r="G3647" s="133"/>
      <c r="H3647" s="133"/>
      <c r="I3647" s="133"/>
      <c r="J3647" s="133"/>
      <c r="K3647" s="133"/>
      <c r="L3647" s="133"/>
      <c r="M3647" s="133"/>
      <c r="N3647" s="133"/>
      <c r="O3647" s="133"/>
      <c r="P3647" s="134"/>
      <c r="Q3647" s="146"/>
      <c r="R3647" s="17"/>
      <c r="S3647" s="17"/>
      <c r="T3647" s="75"/>
      <c r="U3647" s="75"/>
      <c r="V3647" s="75"/>
      <c r="W3647" s="75"/>
      <c r="X3647" s="75"/>
    </row>
    <row r="3648">
      <c r="A3648" s="17"/>
      <c r="B3648" s="17"/>
      <c r="C3648" s="133"/>
      <c r="D3648" s="133"/>
      <c r="E3648" s="17"/>
      <c r="F3648" s="133"/>
      <c r="G3648" s="133"/>
      <c r="H3648" s="133"/>
      <c r="I3648" s="133"/>
      <c r="J3648" s="133"/>
      <c r="K3648" s="133"/>
      <c r="L3648" s="133"/>
      <c r="M3648" s="133"/>
      <c r="N3648" s="133"/>
      <c r="O3648" s="133"/>
      <c r="P3648" s="134"/>
      <c r="Q3648" s="146"/>
      <c r="R3648" s="17"/>
      <c r="S3648" s="17"/>
      <c r="T3648" s="75"/>
      <c r="U3648" s="75"/>
      <c r="V3648" s="75"/>
      <c r="W3648" s="75"/>
      <c r="X3648" s="75"/>
    </row>
    <row r="3649">
      <c r="A3649" s="17"/>
      <c r="B3649" s="17"/>
      <c r="C3649" s="133"/>
      <c r="D3649" s="133"/>
      <c r="E3649" s="17"/>
      <c r="F3649" s="133"/>
      <c r="G3649" s="133"/>
      <c r="H3649" s="133"/>
      <c r="I3649" s="133"/>
      <c r="J3649" s="133"/>
      <c r="K3649" s="133"/>
      <c r="L3649" s="133"/>
      <c r="M3649" s="133"/>
      <c r="N3649" s="133"/>
      <c r="O3649" s="133"/>
      <c r="P3649" s="134"/>
      <c r="Q3649" s="146"/>
      <c r="R3649" s="17"/>
      <c r="S3649" s="17"/>
      <c r="T3649" s="75"/>
      <c r="U3649" s="75"/>
      <c r="V3649" s="75"/>
      <c r="W3649" s="75"/>
      <c r="X3649" s="75"/>
    </row>
    <row r="3650">
      <c r="A3650" s="17"/>
      <c r="B3650" s="17"/>
      <c r="C3650" s="133"/>
      <c r="D3650" s="133"/>
      <c r="E3650" s="17"/>
      <c r="F3650" s="133"/>
      <c r="G3650" s="133"/>
      <c r="H3650" s="133"/>
      <c r="I3650" s="133"/>
      <c r="J3650" s="133"/>
      <c r="K3650" s="133"/>
      <c r="L3650" s="133"/>
      <c r="M3650" s="133"/>
      <c r="N3650" s="133"/>
      <c r="O3650" s="133"/>
      <c r="P3650" s="134"/>
      <c r="Q3650" s="146"/>
      <c r="R3650" s="17"/>
      <c r="S3650" s="17"/>
      <c r="T3650" s="75"/>
      <c r="U3650" s="75"/>
      <c r="V3650" s="75"/>
      <c r="W3650" s="75"/>
      <c r="X3650" s="75"/>
    </row>
    <row r="3651">
      <c r="A3651" s="17"/>
      <c r="B3651" s="17"/>
      <c r="C3651" s="133"/>
      <c r="D3651" s="133"/>
      <c r="E3651" s="17"/>
      <c r="F3651" s="133"/>
      <c r="G3651" s="133"/>
      <c r="H3651" s="133"/>
      <c r="I3651" s="133"/>
      <c r="J3651" s="133"/>
      <c r="K3651" s="133"/>
      <c r="L3651" s="133"/>
      <c r="M3651" s="133"/>
      <c r="N3651" s="133"/>
      <c r="O3651" s="133"/>
      <c r="P3651" s="134"/>
      <c r="Q3651" s="146"/>
      <c r="R3651" s="17"/>
      <c r="S3651" s="17"/>
      <c r="T3651" s="75"/>
      <c r="U3651" s="75"/>
      <c r="V3651" s="75"/>
      <c r="W3651" s="75"/>
      <c r="X3651" s="75"/>
    </row>
    <row r="3652">
      <c r="A3652" s="17"/>
      <c r="B3652" s="17"/>
      <c r="C3652" s="133"/>
      <c r="D3652" s="133"/>
      <c r="E3652" s="17"/>
      <c r="F3652" s="133"/>
      <c r="G3652" s="133"/>
      <c r="H3652" s="133"/>
      <c r="I3652" s="133"/>
      <c r="J3652" s="133"/>
      <c r="K3652" s="133"/>
      <c r="L3652" s="133"/>
      <c r="M3652" s="133"/>
      <c r="N3652" s="133"/>
      <c r="O3652" s="133"/>
      <c r="P3652" s="134"/>
      <c r="Q3652" s="146"/>
      <c r="R3652" s="17"/>
      <c r="S3652" s="17"/>
      <c r="T3652" s="75"/>
      <c r="U3652" s="75"/>
      <c r="V3652" s="75"/>
      <c r="W3652" s="75"/>
      <c r="X3652" s="75"/>
    </row>
    <row r="3653">
      <c r="A3653" s="17"/>
      <c r="B3653" s="17"/>
      <c r="C3653" s="133"/>
      <c r="D3653" s="133"/>
      <c r="E3653" s="17"/>
      <c r="F3653" s="133"/>
      <c r="G3653" s="133"/>
      <c r="H3653" s="133"/>
      <c r="I3653" s="133"/>
      <c r="J3653" s="133"/>
      <c r="K3653" s="133"/>
      <c r="L3653" s="133"/>
      <c r="M3653" s="133"/>
      <c r="N3653" s="133"/>
      <c r="O3653" s="133"/>
      <c r="P3653" s="134"/>
      <c r="Q3653" s="146"/>
      <c r="R3653" s="17"/>
      <c r="S3653" s="17"/>
      <c r="T3653" s="75"/>
      <c r="U3653" s="75"/>
      <c r="V3653" s="75"/>
      <c r="W3653" s="75"/>
      <c r="X3653" s="75"/>
    </row>
    <row r="3654">
      <c r="A3654" s="17"/>
      <c r="B3654" s="17"/>
      <c r="C3654" s="133"/>
      <c r="D3654" s="133"/>
      <c r="E3654" s="17"/>
      <c r="F3654" s="133"/>
      <c r="G3654" s="133"/>
      <c r="H3654" s="133"/>
      <c r="I3654" s="133"/>
      <c r="J3654" s="133"/>
      <c r="K3654" s="133"/>
      <c r="L3654" s="133"/>
      <c r="M3654" s="133"/>
      <c r="N3654" s="133"/>
      <c r="O3654" s="133"/>
      <c r="P3654" s="134"/>
      <c r="Q3654" s="146"/>
      <c r="R3654" s="17"/>
      <c r="S3654" s="17"/>
      <c r="T3654" s="75"/>
      <c r="U3654" s="75"/>
      <c r="V3654" s="75"/>
      <c r="W3654" s="75"/>
      <c r="X3654" s="75"/>
    </row>
    <row r="3655">
      <c r="A3655" s="17"/>
      <c r="B3655" s="17"/>
      <c r="C3655" s="133"/>
      <c r="D3655" s="133"/>
      <c r="E3655" s="17"/>
      <c r="F3655" s="133"/>
      <c r="G3655" s="133"/>
      <c r="H3655" s="133"/>
      <c r="I3655" s="133"/>
      <c r="J3655" s="133"/>
      <c r="K3655" s="133"/>
      <c r="L3655" s="133"/>
      <c r="M3655" s="133"/>
      <c r="N3655" s="133"/>
      <c r="O3655" s="133"/>
      <c r="P3655" s="134"/>
      <c r="Q3655" s="146"/>
      <c r="R3655" s="17"/>
      <c r="S3655" s="17"/>
      <c r="T3655" s="75"/>
      <c r="U3655" s="75"/>
      <c r="V3655" s="75"/>
      <c r="W3655" s="75"/>
      <c r="X3655" s="75"/>
    </row>
    <row r="3656">
      <c r="A3656" s="17"/>
      <c r="B3656" s="17"/>
      <c r="C3656" s="133"/>
      <c r="D3656" s="133"/>
      <c r="E3656" s="17"/>
      <c r="F3656" s="133"/>
      <c r="G3656" s="133"/>
      <c r="H3656" s="133"/>
      <c r="I3656" s="133"/>
      <c r="J3656" s="133"/>
      <c r="K3656" s="133"/>
      <c r="L3656" s="133"/>
      <c r="M3656" s="133"/>
      <c r="N3656" s="133"/>
      <c r="O3656" s="133"/>
      <c r="P3656" s="134"/>
      <c r="Q3656" s="146"/>
      <c r="R3656" s="17"/>
      <c r="S3656" s="17"/>
      <c r="T3656" s="75"/>
      <c r="U3656" s="75"/>
      <c r="V3656" s="75"/>
      <c r="W3656" s="75"/>
      <c r="X3656" s="75"/>
    </row>
    <row r="3657">
      <c r="A3657" s="17"/>
      <c r="B3657" s="17"/>
      <c r="C3657" s="133"/>
      <c r="D3657" s="133"/>
      <c r="E3657" s="17"/>
      <c r="F3657" s="133"/>
      <c r="G3657" s="133"/>
      <c r="H3657" s="133"/>
      <c r="I3657" s="133"/>
      <c r="J3657" s="133"/>
      <c r="K3657" s="133"/>
      <c r="L3657" s="133"/>
      <c r="M3657" s="133"/>
      <c r="N3657" s="133"/>
      <c r="O3657" s="133"/>
      <c r="P3657" s="134"/>
      <c r="Q3657" s="146"/>
      <c r="R3657" s="17"/>
      <c r="S3657" s="17"/>
      <c r="T3657" s="75"/>
      <c r="U3657" s="75"/>
      <c r="V3657" s="75"/>
      <c r="W3657" s="75"/>
      <c r="X3657" s="75"/>
    </row>
    <row r="3658">
      <c r="A3658" s="17"/>
      <c r="B3658" s="17"/>
      <c r="C3658" s="133"/>
      <c r="D3658" s="133"/>
      <c r="E3658" s="17"/>
      <c r="F3658" s="133"/>
      <c r="G3658" s="133"/>
      <c r="H3658" s="133"/>
      <c r="I3658" s="133"/>
      <c r="J3658" s="133"/>
      <c r="K3658" s="133"/>
      <c r="L3658" s="133"/>
      <c r="M3658" s="133"/>
      <c r="N3658" s="133"/>
      <c r="O3658" s="133"/>
      <c r="P3658" s="134"/>
      <c r="Q3658" s="146"/>
      <c r="R3658" s="17"/>
      <c r="S3658" s="17"/>
      <c r="T3658" s="75"/>
      <c r="U3658" s="75"/>
      <c r="V3658" s="75"/>
      <c r="W3658" s="75"/>
      <c r="X3658" s="75"/>
    </row>
    <row r="3659">
      <c r="A3659" s="17"/>
      <c r="B3659" s="17"/>
      <c r="C3659" s="133"/>
      <c r="D3659" s="133"/>
      <c r="E3659" s="17"/>
      <c r="F3659" s="133"/>
      <c r="G3659" s="133"/>
      <c r="H3659" s="133"/>
      <c r="I3659" s="133"/>
      <c r="J3659" s="133"/>
      <c r="K3659" s="133"/>
      <c r="L3659" s="133"/>
      <c r="M3659" s="133"/>
      <c r="N3659" s="133"/>
      <c r="O3659" s="133"/>
      <c r="P3659" s="134"/>
      <c r="Q3659" s="146"/>
      <c r="R3659" s="17"/>
      <c r="S3659" s="17"/>
      <c r="T3659" s="75"/>
      <c r="U3659" s="75"/>
      <c r="V3659" s="75"/>
      <c r="W3659" s="75"/>
      <c r="X3659" s="75"/>
    </row>
    <row r="3660">
      <c r="A3660" s="17"/>
      <c r="B3660" s="17"/>
      <c r="C3660" s="133"/>
      <c r="D3660" s="133"/>
      <c r="E3660" s="17"/>
      <c r="F3660" s="133"/>
      <c r="G3660" s="133"/>
      <c r="H3660" s="133"/>
      <c r="I3660" s="133"/>
      <c r="J3660" s="133"/>
      <c r="K3660" s="133"/>
      <c r="L3660" s="133"/>
      <c r="M3660" s="133"/>
      <c r="N3660" s="133"/>
      <c r="O3660" s="133"/>
      <c r="P3660" s="134"/>
      <c r="Q3660" s="146"/>
      <c r="R3660" s="17"/>
      <c r="S3660" s="17"/>
      <c r="T3660" s="75"/>
      <c r="U3660" s="75"/>
      <c r="V3660" s="75"/>
      <c r="W3660" s="75"/>
      <c r="X3660" s="75"/>
    </row>
    <row r="3661">
      <c r="A3661" s="17"/>
      <c r="B3661" s="17"/>
      <c r="C3661" s="133"/>
      <c r="D3661" s="133"/>
      <c r="E3661" s="17"/>
      <c r="F3661" s="133"/>
      <c r="G3661" s="133"/>
      <c r="H3661" s="133"/>
      <c r="I3661" s="133"/>
      <c r="J3661" s="133"/>
      <c r="K3661" s="133"/>
      <c r="L3661" s="133"/>
      <c r="M3661" s="133"/>
      <c r="N3661" s="133"/>
      <c r="O3661" s="133"/>
      <c r="P3661" s="134"/>
      <c r="Q3661" s="146"/>
      <c r="R3661" s="17"/>
      <c r="S3661" s="17"/>
      <c r="T3661" s="75"/>
      <c r="U3661" s="75"/>
      <c r="V3661" s="75"/>
      <c r="W3661" s="75"/>
      <c r="X3661" s="75"/>
    </row>
    <row r="3662">
      <c r="A3662" s="17"/>
      <c r="B3662" s="17"/>
      <c r="C3662" s="133"/>
      <c r="D3662" s="133"/>
      <c r="E3662" s="17"/>
      <c r="F3662" s="133"/>
      <c r="G3662" s="133"/>
      <c r="H3662" s="133"/>
      <c r="I3662" s="133"/>
      <c r="J3662" s="133"/>
      <c r="K3662" s="133"/>
      <c r="L3662" s="133"/>
      <c r="M3662" s="133"/>
      <c r="N3662" s="133"/>
      <c r="O3662" s="133"/>
      <c r="P3662" s="134"/>
      <c r="Q3662" s="146"/>
      <c r="R3662" s="17"/>
      <c r="S3662" s="17"/>
      <c r="T3662" s="75"/>
      <c r="U3662" s="75"/>
      <c r="V3662" s="75"/>
      <c r="W3662" s="75"/>
      <c r="X3662" s="75"/>
    </row>
    <row r="3663">
      <c r="A3663" s="17"/>
      <c r="B3663" s="17"/>
      <c r="C3663" s="133"/>
      <c r="D3663" s="133"/>
      <c r="E3663" s="17"/>
      <c r="F3663" s="133"/>
      <c r="G3663" s="133"/>
      <c r="H3663" s="133"/>
      <c r="I3663" s="133"/>
      <c r="J3663" s="133"/>
      <c r="K3663" s="133"/>
      <c r="L3663" s="133"/>
      <c r="M3663" s="133"/>
      <c r="N3663" s="133"/>
      <c r="O3663" s="133"/>
      <c r="P3663" s="134"/>
      <c r="Q3663" s="146"/>
      <c r="R3663" s="17"/>
      <c r="S3663" s="17"/>
      <c r="T3663" s="75"/>
      <c r="U3663" s="75"/>
      <c r="V3663" s="75"/>
      <c r="W3663" s="75"/>
      <c r="X3663" s="75"/>
    </row>
    <row r="3664">
      <c r="A3664" s="17"/>
      <c r="B3664" s="17"/>
      <c r="C3664" s="133"/>
      <c r="D3664" s="133"/>
      <c r="E3664" s="17"/>
      <c r="F3664" s="133"/>
      <c r="G3664" s="133"/>
      <c r="H3664" s="133"/>
      <c r="I3664" s="133"/>
      <c r="J3664" s="133"/>
      <c r="K3664" s="133"/>
      <c r="L3664" s="133"/>
      <c r="M3664" s="133"/>
      <c r="N3664" s="133"/>
      <c r="O3664" s="133"/>
      <c r="P3664" s="134"/>
      <c r="Q3664" s="146"/>
      <c r="R3664" s="17"/>
      <c r="S3664" s="17"/>
      <c r="T3664" s="75"/>
      <c r="U3664" s="75"/>
      <c r="V3664" s="75"/>
      <c r="W3664" s="75"/>
      <c r="X3664" s="75"/>
    </row>
    <row r="3665">
      <c r="A3665" s="17"/>
      <c r="B3665" s="17"/>
      <c r="C3665" s="133"/>
      <c r="D3665" s="133"/>
      <c r="E3665" s="17"/>
      <c r="F3665" s="133"/>
      <c r="G3665" s="133"/>
      <c r="H3665" s="133"/>
      <c r="I3665" s="133"/>
      <c r="J3665" s="133"/>
      <c r="K3665" s="133"/>
      <c r="L3665" s="133"/>
      <c r="M3665" s="133"/>
      <c r="N3665" s="133"/>
      <c r="O3665" s="133"/>
      <c r="P3665" s="134"/>
      <c r="Q3665" s="146"/>
      <c r="R3665" s="17"/>
      <c r="S3665" s="17"/>
      <c r="T3665" s="75"/>
      <c r="U3665" s="75"/>
      <c r="V3665" s="75"/>
      <c r="W3665" s="75"/>
      <c r="X3665" s="75"/>
    </row>
    <row r="3666">
      <c r="A3666" s="17"/>
      <c r="B3666" s="17"/>
      <c r="C3666" s="133"/>
      <c r="D3666" s="133"/>
      <c r="E3666" s="17"/>
      <c r="F3666" s="133"/>
      <c r="G3666" s="133"/>
      <c r="H3666" s="133"/>
      <c r="I3666" s="133"/>
      <c r="J3666" s="133"/>
      <c r="K3666" s="133"/>
      <c r="L3666" s="133"/>
      <c r="M3666" s="133"/>
      <c r="N3666" s="133"/>
      <c r="O3666" s="133"/>
      <c r="P3666" s="134"/>
      <c r="Q3666" s="146"/>
      <c r="R3666" s="17"/>
      <c r="S3666" s="17"/>
      <c r="T3666" s="75"/>
      <c r="U3666" s="75"/>
      <c r="V3666" s="75"/>
      <c r="W3666" s="75"/>
      <c r="X3666" s="75"/>
    </row>
    <row r="3667">
      <c r="A3667" s="17"/>
      <c r="B3667" s="17"/>
      <c r="C3667" s="133"/>
      <c r="D3667" s="133"/>
      <c r="E3667" s="17"/>
      <c r="F3667" s="133"/>
      <c r="G3667" s="133"/>
      <c r="H3667" s="133"/>
      <c r="I3667" s="133"/>
      <c r="J3667" s="133"/>
      <c r="K3667" s="133"/>
      <c r="L3667" s="133"/>
      <c r="M3667" s="133"/>
      <c r="N3667" s="133"/>
      <c r="O3667" s="133"/>
      <c r="P3667" s="134"/>
      <c r="Q3667" s="146"/>
      <c r="R3667" s="17"/>
      <c r="S3667" s="17"/>
      <c r="T3667" s="75"/>
      <c r="U3667" s="75"/>
      <c r="V3667" s="75"/>
      <c r="W3667" s="75"/>
      <c r="X3667" s="75"/>
    </row>
    <row r="3668">
      <c r="A3668" s="17"/>
      <c r="B3668" s="17"/>
      <c r="C3668" s="133"/>
      <c r="D3668" s="133"/>
      <c r="E3668" s="17"/>
      <c r="F3668" s="133"/>
      <c r="G3668" s="133"/>
      <c r="H3668" s="133"/>
      <c r="I3668" s="133"/>
      <c r="J3668" s="133"/>
      <c r="K3668" s="133"/>
      <c r="L3668" s="133"/>
      <c r="M3668" s="133"/>
      <c r="N3668" s="133"/>
      <c r="O3668" s="133"/>
      <c r="P3668" s="134"/>
      <c r="Q3668" s="146"/>
      <c r="R3668" s="17"/>
      <c r="S3668" s="17"/>
      <c r="T3668" s="75"/>
      <c r="U3668" s="75"/>
      <c r="V3668" s="75"/>
      <c r="W3668" s="75"/>
      <c r="X3668" s="75"/>
    </row>
    <row r="3669">
      <c r="A3669" s="17"/>
      <c r="B3669" s="17"/>
      <c r="C3669" s="133"/>
      <c r="D3669" s="133"/>
      <c r="E3669" s="17"/>
      <c r="F3669" s="133"/>
      <c r="G3669" s="133"/>
      <c r="H3669" s="133"/>
      <c r="I3669" s="133"/>
      <c r="J3669" s="133"/>
      <c r="K3669" s="133"/>
      <c r="L3669" s="133"/>
      <c r="M3669" s="133"/>
      <c r="N3669" s="133"/>
      <c r="O3669" s="133"/>
      <c r="P3669" s="134"/>
      <c r="Q3669" s="146"/>
      <c r="R3669" s="17"/>
      <c r="S3669" s="17"/>
      <c r="T3669" s="75"/>
      <c r="U3669" s="75"/>
      <c r="V3669" s="75"/>
      <c r="W3669" s="75"/>
      <c r="X3669" s="75"/>
    </row>
    <row r="3670">
      <c r="A3670" s="17"/>
      <c r="B3670" s="17"/>
      <c r="C3670" s="133"/>
      <c r="D3670" s="133"/>
      <c r="E3670" s="17"/>
      <c r="F3670" s="133"/>
      <c r="G3670" s="133"/>
      <c r="H3670" s="133"/>
      <c r="I3670" s="133"/>
      <c r="J3670" s="133"/>
      <c r="K3670" s="133"/>
      <c r="L3670" s="133"/>
      <c r="M3670" s="133"/>
      <c r="N3670" s="133"/>
      <c r="O3670" s="133"/>
      <c r="P3670" s="134"/>
      <c r="Q3670" s="146"/>
      <c r="R3670" s="17"/>
      <c r="S3670" s="17"/>
      <c r="T3670" s="75"/>
      <c r="U3670" s="75"/>
      <c r="V3670" s="75"/>
      <c r="W3670" s="75"/>
      <c r="X3670" s="75"/>
    </row>
    <row r="3671">
      <c r="A3671" s="17"/>
      <c r="B3671" s="17"/>
      <c r="C3671" s="133"/>
      <c r="D3671" s="133"/>
      <c r="E3671" s="17"/>
      <c r="F3671" s="133"/>
      <c r="G3671" s="133"/>
      <c r="H3671" s="133"/>
      <c r="I3671" s="133"/>
      <c r="J3671" s="133"/>
      <c r="K3671" s="133"/>
      <c r="L3671" s="133"/>
      <c r="M3671" s="133"/>
      <c r="N3671" s="133"/>
      <c r="O3671" s="133"/>
      <c r="P3671" s="134"/>
      <c r="Q3671" s="146"/>
      <c r="R3671" s="17"/>
      <c r="S3671" s="17"/>
      <c r="T3671" s="75"/>
      <c r="U3671" s="75"/>
      <c r="V3671" s="75"/>
      <c r="W3671" s="75"/>
      <c r="X3671" s="75"/>
    </row>
    <row r="3672">
      <c r="A3672" s="17"/>
      <c r="B3672" s="17"/>
      <c r="C3672" s="133"/>
      <c r="D3672" s="133"/>
      <c r="E3672" s="17"/>
      <c r="F3672" s="133"/>
      <c r="G3672" s="133"/>
      <c r="H3672" s="133"/>
      <c r="I3672" s="133"/>
      <c r="J3672" s="133"/>
      <c r="K3672" s="133"/>
      <c r="L3672" s="133"/>
      <c r="M3672" s="133"/>
      <c r="N3672" s="133"/>
      <c r="O3672" s="133"/>
      <c r="P3672" s="134"/>
      <c r="Q3672" s="146"/>
      <c r="R3672" s="17"/>
      <c r="S3672" s="17"/>
      <c r="T3672" s="75"/>
      <c r="U3672" s="75"/>
      <c r="V3672" s="75"/>
      <c r="W3672" s="75"/>
      <c r="X3672" s="75"/>
    </row>
    <row r="3673">
      <c r="A3673" s="17"/>
      <c r="B3673" s="17"/>
      <c r="C3673" s="133"/>
      <c r="D3673" s="133"/>
      <c r="E3673" s="17"/>
      <c r="F3673" s="133"/>
      <c r="G3673" s="133"/>
      <c r="H3673" s="133"/>
      <c r="I3673" s="133"/>
      <c r="J3673" s="133"/>
      <c r="K3673" s="133"/>
      <c r="L3673" s="133"/>
      <c r="M3673" s="133"/>
      <c r="N3673" s="133"/>
      <c r="O3673" s="133"/>
      <c r="P3673" s="134"/>
      <c r="Q3673" s="146"/>
      <c r="R3673" s="17"/>
      <c r="S3673" s="17"/>
      <c r="T3673" s="75"/>
      <c r="U3673" s="75"/>
      <c r="V3673" s="75"/>
      <c r="W3673" s="75"/>
      <c r="X3673" s="75"/>
    </row>
    <row r="3674">
      <c r="A3674" s="17"/>
      <c r="B3674" s="17"/>
      <c r="C3674" s="133"/>
      <c r="D3674" s="133"/>
      <c r="E3674" s="17"/>
      <c r="F3674" s="133"/>
      <c r="G3674" s="133"/>
      <c r="H3674" s="133"/>
      <c r="I3674" s="133"/>
      <c r="J3674" s="133"/>
      <c r="K3674" s="133"/>
      <c r="L3674" s="133"/>
      <c r="M3674" s="133"/>
      <c r="N3674" s="133"/>
      <c r="O3674" s="133"/>
      <c r="P3674" s="134"/>
      <c r="Q3674" s="146"/>
      <c r="R3674" s="17"/>
      <c r="S3674" s="17"/>
      <c r="T3674" s="75"/>
      <c r="U3674" s="75"/>
      <c r="V3674" s="75"/>
      <c r="W3674" s="75"/>
      <c r="X3674" s="75"/>
    </row>
    <row r="3675">
      <c r="A3675" s="17"/>
      <c r="B3675" s="17"/>
      <c r="C3675" s="133"/>
      <c r="D3675" s="133"/>
      <c r="E3675" s="17"/>
      <c r="F3675" s="133"/>
      <c r="G3675" s="133"/>
      <c r="H3675" s="133"/>
      <c r="I3675" s="133"/>
      <c r="J3675" s="133"/>
      <c r="K3675" s="133"/>
      <c r="L3675" s="133"/>
      <c r="M3675" s="133"/>
      <c r="N3675" s="133"/>
      <c r="O3675" s="133"/>
      <c r="P3675" s="134"/>
      <c r="Q3675" s="146"/>
      <c r="R3675" s="17"/>
      <c r="S3675" s="17"/>
      <c r="T3675" s="75"/>
      <c r="U3675" s="75"/>
      <c r="V3675" s="75"/>
      <c r="W3675" s="75"/>
      <c r="X3675" s="75"/>
    </row>
    <row r="3676">
      <c r="A3676" s="17"/>
      <c r="B3676" s="17"/>
      <c r="C3676" s="133"/>
      <c r="D3676" s="133"/>
      <c r="E3676" s="17"/>
      <c r="F3676" s="133"/>
      <c r="G3676" s="133"/>
      <c r="H3676" s="133"/>
      <c r="I3676" s="133"/>
      <c r="J3676" s="133"/>
      <c r="K3676" s="133"/>
      <c r="L3676" s="133"/>
      <c r="M3676" s="133"/>
      <c r="N3676" s="133"/>
      <c r="O3676" s="133"/>
      <c r="P3676" s="134"/>
      <c r="Q3676" s="146"/>
      <c r="R3676" s="17"/>
      <c r="S3676" s="17"/>
      <c r="T3676" s="75"/>
      <c r="U3676" s="75"/>
      <c r="V3676" s="75"/>
      <c r="W3676" s="75"/>
      <c r="X3676" s="75"/>
    </row>
    <row r="3677">
      <c r="A3677" s="17"/>
      <c r="B3677" s="17"/>
      <c r="C3677" s="133"/>
      <c r="D3677" s="133"/>
      <c r="E3677" s="17"/>
      <c r="F3677" s="133"/>
      <c r="G3677" s="133"/>
      <c r="H3677" s="133"/>
      <c r="I3677" s="133"/>
      <c r="J3677" s="133"/>
      <c r="K3677" s="133"/>
      <c r="L3677" s="133"/>
      <c r="M3677" s="133"/>
      <c r="N3677" s="133"/>
      <c r="O3677" s="133"/>
      <c r="P3677" s="134"/>
      <c r="Q3677" s="146"/>
      <c r="R3677" s="17"/>
      <c r="S3677" s="17"/>
      <c r="T3677" s="75"/>
      <c r="U3677" s="75"/>
      <c r="V3677" s="75"/>
      <c r="W3677" s="75"/>
      <c r="X3677" s="75"/>
    </row>
    <row r="3678">
      <c r="A3678" s="17"/>
      <c r="B3678" s="17"/>
      <c r="C3678" s="133"/>
      <c r="D3678" s="133"/>
      <c r="E3678" s="17"/>
      <c r="F3678" s="133"/>
      <c r="G3678" s="133"/>
      <c r="H3678" s="133"/>
      <c r="I3678" s="133"/>
      <c r="J3678" s="133"/>
      <c r="K3678" s="133"/>
      <c r="L3678" s="133"/>
      <c r="M3678" s="133"/>
      <c r="N3678" s="133"/>
      <c r="O3678" s="133"/>
      <c r="P3678" s="134"/>
      <c r="Q3678" s="146"/>
      <c r="R3678" s="17"/>
      <c r="S3678" s="17"/>
      <c r="T3678" s="75"/>
      <c r="U3678" s="75"/>
      <c r="V3678" s="75"/>
      <c r="W3678" s="75"/>
      <c r="X3678" s="75"/>
    </row>
    <row r="3679">
      <c r="A3679" s="17"/>
      <c r="B3679" s="17"/>
      <c r="C3679" s="133"/>
      <c r="D3679" s="133"/>
      <c r="E3679" s="17"/>
      <c r="F3679" s="133"/>
      <c r="G3679" s="133"/>
      <c r="H3679" s="133"/>
      <c r="I3679" s="133"/>
      <c r="J3679" s="133"/>
      <c r="K3679" s="133"/>
      <c r="L3679" s="133"/>
      <c r="M3679" s="133"/>
      <c r="N3679" s="133"/>
      <c r="O3679" s="133"/>
      <c r="P3679" s="134"/>
      <c r="Q3679" s="146"/>
      <c r="R3679" s="17"/>
      <c r="S3679" s="17"/>
      <c r="T3679" s="75"/>
      <c r="U3679" s="75"/>
      <c r="V3679" s="75"/>
      <c r="W3679" s="75"/>
      <c r="X3679" s="75"/>
    </row>
    <row r="3680">
      <c r="A3680" s="17"/>
      <c r="B3680" s="17"/>
      <c r="C3680" s="133"/>
      <c r="D3680" s="133"/>
      <c r="E3680" s="17"/>
      <c r="F3680" s="133"/>
      <c r="G3680" s="133"/>
      <c r="H3680" s="133"/>
      <c r="I3680" s="133"/>
      <c r="J3680" s="133"/>
      <c r="K3680" s="133"/>
      <c r="L3680" s="133"/>
      <c r="M3680" s="133"/>
      <c r="N3680" s="133"/>
      <c r="O3680" s="133"/>
      <c r="P3680" s="134"/>
      <c r="Q3680" s="146"/>
      <c r="R3680" s="17"/>
      <c r="S3680" s="17"/>
      <c r="T3680" s="75"/>
      <c r="U3680" s="75"/>
      <c r="V3680" s="75"/>
      <c r="W3680" s="75"/>
      <c r="X3680" s="75"/>
    </row>
    <row r="3681">
      <c r="A3681" s="17"/>
      <c r="B3681" s="17"/>
      <c r="C3681" s="133"/>
      <c r="D3681" s="133"/>
      <c r="E3681" s="17"/>
      <c r="F3681" s="133"/>
      <c r="G3681" s="133"/>
      <c r="H3681" s="133"/>
      <c r="I3681" s="133"/>
      <c r="J3681" s="133"/>
      <c r="K3681" s="133"/>
      <c r="L3681" s="133"/>
      <c r="M3681" s="133"/>
      <c r="N3681" s="133"/>
      <c r="O3681" s="133"/>
      <c r="P3681" s="134"/>
      <c r="Q3681" s="146"/>
      <c r="R3681" s="17"/>
      <c r="S3681" s="17"/>
      <c r="T3681" s="75"/>
      <c r="U3681" s="75"/>
      <c r="V3681" s="75"/>
      <c r="W3681" s="75"/>
      <c r="X3681" s="75"/>
    </row>
    <row r="3682">
      <c r="A3682" s="17"/>
      <c r="B3682" s="17"/>
      <c r="C3682" s="133"/>
      <c r="D3682" s="133"/>
      <c r="E3682" s="17"/>
      <c r="F3682" s="133"/>
      <c r="G3682" s="133"/>
      <c r="H3682" s="133"/>
      <c r="I3682" s="133"/>
      <c r="J3682" s="133"/>
      <c r="K3682" s="133"/>
      <c r="L3682" s="133"/>
      <c r="M3682" s="133"/>
      <c r="N3682" s="133"/>
      <c r="O3682" s="133"/>
      <c r="P3682" s="134"/>
      <c r="Q3682" s="146"/>
      <c r="R3682" s="17"/>
      <c r="S3682" s="17"/>
      <c r="T3682" s="75"/>
      <c r="U3682" s="75"/>
      <c r="V3682" s="75"/>
      <c r="W3682" s="75"/>
      <c r="X3682" s="75"/>
    </row>
    <row r="3683">
      <c r="A3683" s="17"/>
      <c r="B3683" s="17"/>
      <c r="C3683" s="133"/>
      <c r="D3683" s="133"/>
      <c r="E3683" s="17"/>
      <c r="F3683" s="133"/>
      <c r="G3683" s="133"/>
      <c r="H3683" s="133"/>
      <c r="I3683" s="133"/>
      <c r="J3683" s="133"/>
      <c r="K3683" s="133"/>
      <c r="L3683" s="133"/>
      <c r="M3683" s="133"/>
      <c r="N3683" s="133"/>
      <c r="O3683" s="133"/>
      <c r="P3683" s="134"/>
      <c r="Q3683" s="146"/>
      <c r="R3683" s="17"/>
      <c r="S3683" s="17"/>
      <c r="T3683" s="75"/>
      <c r="U3683" s="75"/>
      <c r="V3683" s="75"/>
      <c r="W3683" s="75"/>
      <c r="X3683" s="75"/>
    </row>
    <row r="3684">
      <c r="A3684" s="17"/>
      <c r="B3684" s="17"/>
      <c r="C3684" s="133"/>
      <c r="D3684" s="133"/>
      <c r="E3684" s="17"/>
      <c r="F3684" s="133"/>
      <c r="G3684" s="133"/>
      <c r="H3684" s="133"/>
      <c r="I3684" s="133"/>
      <c r="J3684" s="133"/>
      <c r="K3684" s="133"/>
      <c r="L3684" s="133"/>
      <c r="M3684" s="133"/>
      <c r="N3684" s="133"/>
      <c r="O3684" s="133"/>
      <c r="P3684" s="134"/>
      <c r="Q3684" s="146"/>
      <c r="R3684" s="17"/>
      <c r="S3684" s="17"/>
      <c r="T3684" s="75"/>
      <c r="U3684" s="75"/>
      <c r="V3684" s="75"/>
      <c r="W3684" s="75"/>
      <c r="X3684" s="75"/>
    </row>
    <row r="3685">
      <c r="A3685" s="17"/>
      <c r="B3685" s="17"/>
      <c r="C3685" s="133"/>
      <c r="D3685" s="133"/>
      <c r="E3685" s="17"/>
      <c r="F3685" s="133"/>
      <c r="G3685" s="133"/>
      <c r="H3685" s="133"/>
      <c r="I3685" s="133"/>
      <c r="J3685" s="133"/>
      <c r="K3685" s="133"/>
      <c r="L3685" s="133"/>
      <c r="M3685" s="133"/>
      <c r="N3685" s="133"/>
      <c r="O3685" s="133"/>
      <c r="P3685" s="134"/>
      <c r="Q3685" s="146"/>
      <c r="R3685" s="17"/>
      <c r="S3685" s="17"/>
      <c r="T3685" s="75"/>
      <c r="U3685" s="75"/>
      <c r="V3685" s="75"/>
      <c r="W3685" s="75"/>
      <c r="X3685" s="75"/>
    </row>
    <row r="3686">
      <c r="A3686" s="17"/>
      <c r="B3686" s="17"/>
      <c r="C3686" s="133"/>
      <c r="D3686" s="133"/>
      <c r="E3686" s="17"/>
      <c r="F3686" s="133"/>
      <c r="G3686" s="133"/>
      <c r="H3686" s="133"/>
      <c r="I3686" s="133"/>
      <c r="J3686" s="133"/>
      <c r="K3686" s="133"/>
      <c r="L3686" s="133"/>
      <c r="M3686" s="133"/>
      <c r="N3686" s="133"/>
      <c r="O3686" s="133"/>
      <c r="P3686" s="134"/>
      <c r="Q3686" s="146"/>
      <c r="R3686" s="17"/>
      <c r="S3686" s="17"/>
      <c r="T3686" s="75"/>
      <c r="U3686" s="75"/>
      <c r="V3686" s="75"/>
      <c r="W3686" s="75"/>
      <c r="X3686" s="75"/>
    </row>
    <row r="3687">
      <c r="A3687" s="17"/>
      <c r="B3687" s="17"/>
      <c r="C3687" s="133"/>
      <c r="D3687" s="133"/>
      <c r="E3687" s="17"/>
      <c r="F3687" s="133"/>
      <c r="G3687" s="133"/>
      <c r="H3687" s="133"/>
      <c r="I3687" s="133"/>
      <c r="J3687" s="133"/>
      <c r="K3687" s="133"/>
      <c r="L3687" s="133"/>
      <c r="M3687" s="133"/>
      <c r="N3687" s="133"/>
      <c r="O3687" s="133"/>
      <c r="P3687" s="134"/>
      <c r="Q3687" s="146"/>
      <c r="R3687" s="17"/>
      <c r="S3687" s="17"/>
      <c r="T3687" s="75"/>
      <c r="U3687" s="75"/>
      <c r="V3687" s="75"/>
      <c r="W3687" s="75"/>
      <c r="X3687" s="75"/>
    </row>
    <row r="3688">
      <c r="A3688" s="17"/>
      <c r="B3688" s="17"/>
      <c r="C3688" s="133"/>
      <c r="D3688" s="133"/>
      <c r="E3688" s="17"/>
      <c r="F3688" s="133"/>
      <c r="G3688" s="133"/>
      <c r="H3688" s="133"/>
      <c r="I3688" s="133"/>
      <c r="J3688" s="133"/>
      <c r="K3688" s="133"/>
      <c r="L3688" s="133"/>
      <c r="M3688" s="133"/>
      <c r="N3688" s="133"/>
      <c r="O3688" s="133"/>
      <c r="P3688" s="134"/>
      <c r="Q3688" s="146"/>
      <c r="R3688" s="17"/>
      <c r="S3688" s="17"/>
      <c r="T3688" s="75"/>
      <c r="U3688" s="75"/>
      <c r="V3688" s="75"/>
      <c r="W3688" s="75"/>
      <c r="X3688" s="75"/>
    </row>
    <row r="3689">
      <c r="A3689" s="17"/>
      <c r="B3689" s="17"/>
      <c r="C3689" s="133"/>
      <c r="D3689" s="133"/>
      <c r="E3689" s="17"/>
      <c r="F3689" s="133"/>
      <c r="G3689" s="133"/>
      <c r="H3689" s="133"/>
      <c r="I3689" s="133"/>
      <c r="J3689" s="133"/>
      <c r="K3689" s="133"/>
      <c r="L3689" s="133"/>
      <c r="M3689" s="133"/>
      <c r="N3689" s="133"/>
      <c r="O3689" s="133"/>
      <c r="P3689" s="134"/>
      <c r="Q3689" s="146"/>
      <c r="R3689" s="17"/>
      <c r="S3689" s="17"/>
      <c r="T3689" s="75"/>
      <c r="U3689" s="75"/>
      <c r="V3689" s="75"/>
      <c r="W3689" s="75"/>
      <c r="X3689" s="75"/>
    </row>
    <row r="3690">
      <c r="A3690" s="17"/>
      <c r="B3690" s="17"/>
      <c r="C3690" s="133"/>
      <c r="D3690" s="133"/>
      <c r="E3690" s="17"/>
      <c r="F3690" s="133"/>
      <c r="G3690" s="133"/>
      <c r="H3690" s="133"/>
      <c r="I3690" s="133"/>
      <c r="J3690" s="133"/>
      <c r="K3690" s="133"/>
      <c r="L3690" s="133"/>
      <c r="M3690" s="133"/>
      <c r="N3690" s="133"/>
      <c r="O3690" s="133"/>
      <c r="P3690" s="134"/>
      <c r="Q3690" s="146"/>
      <c r="R3690" s="17"/>
      <c r="S3690" s="17"/>
      <c r="T3690" s="75"/>
      <c r="U3690" s="75"/>
      <c r="V3690" s="75"/>
      <c r="W3690" s="75"/>
      <c r="X3690" s="75"/>
    </row>
    <row r="3691">
      <c r="A3691" s="17"/>
      <c r="B3691" s="17"/>
      <c r="C3691" s="133"/>
      <c r="D3691" s="133"/>
      <c r="E3691" s="17"/>
      <c r="F3691" s="133"/>
      <c r="G3691" s="133"/>
      <c r="H3691" s="133"/>
      <c r="I3691" s="133"/>
      <c r="J3691" s="133"/>
      <c r="K3691" s="133"/>
      <c r="L3691" s="133"/>
      <c r="M3691" s="133"/>
      <c r="N3691" s="133"/>
      <c r="O3691" s="133"/>
      <c r="P3691" s="134"/>
      <c r="Q3691" s="146"/>
      <c r="R3691" s="17"/>
      <c r="S3691" s="17"/>
      <c r="T3691" s="75"/>
      <c r="U3691" s="75"/>
      <c r="V3691" s="75"/>
      <c r="W3691" s="75"/>
      <c r="X3691" s="75"/>
    </row>
    <row r="3692">
      <c r="A3692" s="17"/>
      <c r="B3692" s="17"/>
      <c r="C3692" s="133"/>
      <c r="D3692" s="133"/>
      <c r="E3692" s="17"/>
      <c r="F3692" s="133"/>
      <c r="G3692" s="133"/>
      <c r="H3692" s="133"/>
      <c r="I3692" s="133"/>
      <c r="J3692" s="133"/>
      <c r="K3692" s="133"/>
      <c r="L3692" s="133"/>
      <c r="M3692" s="133"/>
      <c r="N3692" s="133"/>
      <c r="O3692" s="133"/>
      <c r="P3692" s="134"/>
      <c r="Q3692" s="146"/>
      <c r="R3692" s="17"/>
      <c r="S3692" s="17"/>
      <c r="T3692" s="75"/>
      <c r="U3692" s="75"/>
      <c r="V3692" s="75"/>
      <c r="W3692" s="75"/>
      <c r="X3692" s="75"/>
    </row>
    <row r="3693">
      <c r="A3693" s="17"/>
      <c r="B3693" s="17"/>
      <c r="C3693" s="133"/>
      <c r="D3693" s="133"/>
      <c r="E3693" s="17"/>
      <c r="F3693" s="133"/>
      <c r="G3693" s="133"/>
      <c r="H3693" s="133"/>
      <c r="I3693" s="133"/>
      <c r="J3693" s="133"/>
      <c r="K3693" s="133"/>
      <c r="L3693" s="133"/>
      <c r="M3693" s="133"/>
      <c r="N3693" s="133"/>
      <c r="O3693" s="133"/>
      <c r="P3693" s="134"/>
      <c r="Q3693" s="146"/>
      <c r="R3693" s="17"/>
      <c r="S3693" s="17"/>
      <c r="T3693" s="75"/>
      <c r="U3693" s="75"/>
      <c r="V3693" s="75"/>
      <c r="W3693" s="75"/>
      <c r="X3693" s="75"/>
    </row>
    <row r="3694">
      <c r="A3694" s="17"/>
      <c r="B3694" s="17"/>
      <c r="C3694" s="133"/>
      <c r="D3694" s="133"/>
      <c r="E3694" s="17"/>
      <c r="F3694" s="133"/>
      <c r="G3694" s="133"/>
      <c r="H3694" s="133"/>
      <c r="I3694" s="133"/>
      <c r="J3694" s="133"/>
      <c r="K3694" s="133"/>
      <c r="L3694" s="133"/>
      <c r="M3694" s="133"/>
      <c r="N3694" s="133"/>
      <c r="O3694" s="133"/>
      <c r="P3694" s="134"/>
      <c r="Q3694" s="146"/>
      <c r="R3694" s="17"/>
      <c r="S3694" s="17"/>
      <c r="T3694" s="75"/>
      <c r="U3694" s="75"/>
      <c r="V3694" s="75"/>
      <c r="W3694" s="75"/>
      <c r="X3694" s="75"/>
    </row>
    <row r="3695">
      <c r="A3695" s="17"/>
      <c r="B3695" s="17"/>
      <c r="C3695" s="133"/>
      <c r="D3695" s="133"/>
      <c r="E3695" s="17"/>
      <c r="F3695" s="133"/>
      <c r="G3695" s="133"/>
      <c r="H3695" s="133"/>
      <c r="I3695" s="133"/>
      <c r="J3695" s="133"/>
      <c r="K3695" s="133"/>
      <c r="L3695" s="133"/>
      <c r="M3695" s="133"/>
      <c r="N3695" s="133"/>
      <c r="O3695" s="133"/>
      <c r="P3695" s="134"/>
      <c r="Q3695" s="146"/>
      <c r="R3695" s="17"/>
      <c r="S3695" s="17"/>
      <c r="T3695" s="75"/>
      <c r="U3695" s="75"/>
      <c r="V3695" s="75"/>
      <c r="W3695" s="75"/>
      <c r="X3695" s="75"/>
    </row>
    <row r="3696">
      <c r="A3696" s="17"/>
      <c r="B3696" s="17"/>
      <c r="C3696" s="133"/>
      <c r="D3696" s="133"/>
      <c r="E3696" s="17"/>
      <c r="F3696" s="133"/>
      <c r="G3696" s="133"/>
      <c r="H3696" s="133"/>
      <c r="I3696" s="133"/>
      <c r="J3696" s="133"/>
      <c r="K3696" s="133"/>
      <c r="L3696" s="133"/>
      <c r="M3696" s="133"/>
      <c r="N3696" s="133"/>
      <c r="O3696" s="133"/>
      <c r="P3696" s="134"/>
      <c r="Q3696" s="146"/>
      <c r="R3696" s="17"/>
      <c r="S3696" s="17"/>
      <c r="T3696" s="75"/>
      <c r="U3696" s="75"/>
      <c r="V3696" s="75"/>
      <c r="W3696" s="75"/>
      <c r="X3696" s="75"/>
    </row>
    <row r="3697">
      <c r="A3697" s="17"/>
      <c r="B3697" s="17"/>
      <c r="C3697" s="133"/>
      <c r="D3697" s="133"/>
      <c r="E3697" s="17"/>
      <c r="F3697" s="133"/>
      <c r="G3697" s="133"/>
      <c r="H3697" s="133"/>
      <c r="I3697" s="133"/>
      <c r="J3697" s="133"/>
      <c r="K3697" s="133"/>
      <c r="L3697" s="133"/>
      <c r="M3697" s="133"/>
      <c r="N3697" s="133"/>
      <c r="O3697" s="133"/>
      <c r="P3697" s="134"/>
      <c r="Q3697" s="146"/>
      <c r="R3697" s="17"/>
      <c r="S3697" s="17"/>
      <c r="T3697" s="75"/>
      <c r="U3697" s="75"/>
      <c r="V3697" s="75"/>
      <c r="W3697" s="75"/>
      <c r="X3697" s="75"/>
    </row>
    <row r="3698">
      <c r="A3698" s="17"/>
      <c r="B3698" s="17"/>
      <c r="C3698" s="133"/>
      <c r="D3698" s="133"/>
      <c r="E3698" s="17"/>
      <c r="F3698" s="133"/>
      <c r="G3698" s="133"/>
      <c r="H3698" s="133"/>
      <c r="I3698" s="133"/>
      <c r="J3698" s="133"/>
      <c r="K3698" s="133"/>
      <c r="L3698" s="133"/>
      <c r="M3698" s="133"/>
      <c r="N3698" s="133"/>
      <c r="O3698" s="133"/>
      <c r="P3698" s="134"/>
      <c r="Q3698" s="146"/>
      <c r="R3698" s="17"/>
      <c r="S3698" s="17"/>
      <c r="T3698" s="75"/>
      <c r="U3698" s="75"/>
      <c r="V3698" s="75"/>
      <c r="W3698" s="75"/>
      <c r="X3698" s="75"/>
    </row>
    <row r="3699">
      <c r="A3699" s="17"/>
      <c r="B3699" s="17"/>
      <c r="C3699" s="133"/>
      <c r="D3699" s="133"/>
      <c r="E3699" s="17"/>
      <c r="F3699" s="133"/>
      <c r="G3699" s="133"/>
      <c r="H3699" s="133"/>
      <c r="I3699" s="133"/>
      <c r="J3699" s="133"/>
      <c r="K3699" s="133"/>
      <c r="L3699" s="133"/>
      <c r="M3699" s="133"/>
      <c r="N3699" s="133"/>
      <c r="O3699" s="133"/>
      <c r="P3699" s="134"/>
      <c r="Q3699" s="146"/>
      <c r="R3699" s="17"/>
      <c r="S3699" s="17"/>
      <c r="T3699" s="75"/>
      <c r="U3699" s="75"/>
      <c r="V3699" s="75"/>
      <c r="W3699" s="75"/>
      <c r="X3699" s="75"/>
    </row>
    <row r="3700">
      <c r="A3700" s="17"/>
      <c r="B3700" s="17"/>
      <c r="C3700" s="133"/>
      <c r="D3700" s="133"/>
      <c r="E3700" s="17"/>
      <c r="F3700" s="133"/>
      <c r="G3700" s="133"/>
      <c r="H3700" s="133"/>
      <c r="I3700" s="133"/>
      <c r="J3700" s="133"/>
      <c r="K3700" s="133"/>
      <c r="L3700" s="133"/>
      <c r="M3700" s="133"/>
      <c r="N3700" s="133"/>
      <c r="O3700" s="133"/>
      <c r="P3700" s="134"/>
      <c r="Q3700" s="146"/>
      <c r="R3700" s="17"/>
      <c r="S3700" s="17"/>
      <c r="T3700" s="75"/>
      <c r="U3700" s="75"/>
      <c r="V3700" s="75"/>
      <c r="W3700" s="75"/>
      <c r="X3700" s="75"/>
    </row>
    <row r="3701">
      <c r="A3701" s="17"/>
      <c r="B3701" s="17"/>
      <c r="C3701" s="133"/>
      <c r="D3701" s="133"/>
      <c r="E3701" s="17"/>
      <c r="F3701" s="133"/>
      <c r="G3701" s="133"/>
      <c r="H3701" s="133"/>
      <c r="I3701" s="133"/>
      <c r="J3701" s="133"/>
      <c r="K3701" s="133"/>
      <c r="L3701" s="133"/>
      <c r="M3701" s="133"/>
      <c r="N3701" s="133"/>
      <c r="O3701" s="133"/>
      <c r="P3701" s="134"/>
      <c r="Q3701" s="146"/>
      <c r="R3701" s="17"/>
      <c r="S3701" s="17"/>
      <c r="T3701" s="75"/>
      <c r="U3701" s="75"/>
      <c r="V3701" s="75"/>
      <c r="W3701" s="75"/>
      <c r="X3701" s="75"/>
    </row>
    <row r="3702">
      <c r="A3702" s="17"/>
      <c r="B3702" s="17"/>
      <c r="C3702" s="133"/>
      <c r="D3702" s="133"/>
      <c r="E3702" s="17"/>
      <c r="F3702" s="133"/>
      <c r="G3702" s="133"/>
      <c r="H3702" s="133"/>
      <c r="I3702" s="133"/>
      <c r="J3702" s="133"/>
      <c r="K3702" s="133"/>
      <c r="L3702" s="133"/>
      <c r="M3702" s="133"/>
      <c r="N3702" s="133"/>
      <c r="O3702" s="133"/>
      <c r="P3702" s="134"/>
      <c r="Q3702" s="146"/>
      <c r="R3702" s="17"/>
      <c r="S3702" s="17"/>
      <c r="T3702" s="75"/>
      <c r="U3702" s="75"/>
      <c r="V3702" s="75"/>
      <c r="W3702" s="75"/>
      <c r="X3702" s="75"/>
    </row>
    <row r="3703">
      <c r="A3703" s="17"/>
      <c r="B3703" s="17"/>
      <c r="C3703" s="133"/>
      <c r="D3703" s="133"/>
      <c r="E3703" s="17"/>
      <c r="F3703" s="133"/>
      <c r="G3703" s="133"/>
      <c r="H3703" s="133"/>
      <c r="I3703" s="133"/>
      <c r="J3703" s="133"/>
      <c r="K3703" s="133"/>
      <c r="L3703" s="133"/>
      <c r="M3703" s="133"/>
      <c r="N3703" s="133"/>
      <c r="O3703" s="133"/>
      <c r="P3703" s="134"/>
      <c r="Q3703" s="146"/>
      <c r="R3703" s="17"/>
      <c r="S3703" s="17"/>
      <c r="T3703" s="75"/>
      <c r="U3703" s="75"/>
      <c r="V3703" s="75"/>
      <c r="W3703" s="75"/>
      <c r="X3703" s="75"/>
    </row>
    <row r="3704">
      <c r="A3704" s="17"/>
      <c r="B3704" s="17"/>
      <c r="C3704" s="133"/>
      <c r="D3704" s="133"/>
      <c r="E3704" s="17"/>
      <c r="F3704" s="133"/>
      <c r="G3704" s="133"/>
      <c r="H3704" s="133"/>
      <c r="I3704" s="133"/>
      <c r="J3704" s="133"/>
      <c r="K3704" s="133"/>
      <c r="L3704" s="133"/>
      <c r="M3704" s="133"/>
      <c r="N3704" s="133"/>
      <c r="O3704" s="133"/>
      <c r="P3704" s="134"/>
      <c r="Q3704" s="146"/>
      <c r="R3704" s="17"/>
      <c r="S3704" s="17"/>
      <c r="T3704" s="75"/>
      <c r="U3704" s="75"/>
      <c r="V3704" s="75"/>
      <c r="W3704" s="75"/>
      <c r="X3704" s="75"/>
    </row>
    <row r="3705">
      <c r="A3705" s="17"/>
      <c r="B3705" s="17"/>
      <c r="C3705" s="133"/>
      <c r="D3705" s="133"/>
      <c r="E3705" s="17"/>
      <c r="F3705" s="133"/>
      <c r="G3705" s="133"/>
      <c r="H3705" s="133"/>
      <c r="I3705" s="133"/>
      <c r="J3705" s="133"/>
      <c r="K3705" s="133"/>
      <c r="L3705" s="133"/>
      <c r="M3705" s="133"/>
      <c r="N3705" s="133"/>
      <c r="O3705" s="133"/>
      <c r="P3705" s="134"/>
      <c r="Q3705" s="146"/>
      <c r="R3705" s="17"/>
      <c r="S3705" s="17"/>
      <c r="T3705" s="75"/>
      <c r="U3705" s="75"/>
      <c r="V3705" s="75"/>
      <c r="W3705" s="75"/>
      <c r="X3705" s="75"/>
    </row>
    <row r="3706">
      <c r="A3706" s="17"/>
      <c r="B3706" s="17"/>
      <c r="C3706" s="133"/>
      <c r="D3706" s="133"/>
      <c r="E3706" s="17"/>
      <c r="F3706" s="133"/>
      <c r="G3706" s="133"/>
      <c r="H3706" s="133"/>
      <c r="I3706" s="133"/>
      <c r="J3706" s="133"/>
      <c r="K3706" s="133"/>
      <c r="L3706" s="133"/>
      <c r="M3706" s="133"/>
      <c r="N3706" s="133"/>
      <c r="O3706" s="133"/>
      <c r="P3706" s="134"/>
      <c r="Q3706" s="146"/>
      <c r="R3706" s="17"/>
      <c r="S3706" s="17"/>
      <c r="T3706" s="75"/>
      <c r="U3706" s="75"/>
      <c r="V3706" s="75"/>
      <c r="W3706" s="75"/>
      <c r="X3706" s="75"/>
    </row>
    <row r="3707">
      <c r="A3707" s="17"/>
      <c r="B3707" s="17"/>
      <c r="C3707" s="133"/>
      <c r="D3707" s="133"/>
      <c r="E3707" s="17"/>
      <c r="F3707" s="133"/>
      <c r="G3707" s="133"/>
      <c r="H3707" s="133"/>
      <c r="I3707" s="133"/>
      <c r="J3707" s="133"/>
      <c r="K3707" s="133"/>
      <c r="L3707" s="133"/>
      <c r="M3707" s="133"/>
      <c r="N3707" s="133"/>
      <c r="O3707" s="133"/>
      <c r="P3707" s="134"/>
      <c r="Q3707" s="146"/>
      <c r="R3707" s="17"/>
      <c r="S3707" s="17"/>
      <c r="T3707" s="75"/>
      <c r="U3707" s="75"/>
      <c r="V3707" s="75"/>
      <c r="W3707" s="75"/>
      <c r="X3707" s="75"/>
    </row>
    <row r="3708">
      <c r="A3708" s="17"/>
      <c r="B3708" s="17"/>
      <c r="C3708" s="133"/>
      <c r="D3708" s="133"/>
      <c r="E3708" s="17"/>
      <c r="F3708" s="133"/>
      <c r="G3708" s="133"/>
      <c r="H3708" s="133"/>
      <c r="I3708" s="133"/>
      <c r="J3708" s="133"/>
      <c r="K3708" s="133"/>
      <c r="L3708" s="133"/>
      <c r="M3708" s="133"/>
      <c r="N3708" s="133"/>
      <c r="O3708" s="133"/>
      <c r="P3708" s="134"/>
      <c r="Q3708" s="146"/>
      <c r="R3708" s="17"/>
      <c r="S3708" s="17"/>
      <c r="T3708" s="75"/>
      <c r="U3708" s="75"/>
      <c r="V3708" s="75"/>
      <c r="W3708" s="75"/>
      <c r="X3708" s="75"/>
    </row>
    <row r="3709">
      <c r="A3709" s="17"/>
      <c r="B3709" s="17"/>
      <c r="C3709" s="133"/>
      <c r="D3709" s="133"/>
      <c r="E3709" s="17"/>
      <c r="F3709" s="133"/>
      <c r="G3709" s="133"/>
      <c r="H3709" s="133"/>
      <c r="I3709" s="133"/>
      <c r="J3709" s="133"/>
      <c r="K3709" s="133"/>
      <c r="L3709" s="133"/>
      <c r="M3709" s="133"/>
      <c r="N3709" s="133"/>
      <c r="O3709" s="133"/>
      <c r="P3709" s="134"/>
      <c r="Q3709" s="146"/>
      <c r="R3709" s="17"/>
      <c r="S3709" s="17"/>
      <c r="T3709" s="75"/>
      <c r="U3709" s="75"/>
      <c r="V3709" s="75"/>
      <c r="W3709" s="75"/>
      <c r="X3709" s="75"/>
    </row>
    <row r="3710">
      <c r="A3710" s="17"/>
      <c r="B3710" s="17"/>
      <c r="C3710" s="133"/>
      <c r="D3710" s="133"/>
      <c r="E3710" s="17"/>
      <c r="F3710" s="133"/>
      <c r="G3710" s="133"/>
      <c r="H3710" s="133"/>
      <c r="I3710" s="133"/>
      <c r="J3710" s="133"/>
      <c r="K3710" s="133"/>
      <c r="L3710" s="133"/>
      <c r="M3710" s="133"/>
      <c r="N3710" s="133"/>
      <c r="O3710" s="133"/>
      <c r="P3710" s="134"/>
      <c r="Q3710" s="146"/>
      <c r="R3710" s="17"/>
      <c r="S3710" s="17"/>
      <c r="T3710" s="75"/>
      <c r="U3710" s="75"/>
      <c r="V3710" s="75"/>
      <c r="W3710" s="75"/>
      <c r="X3710" s="75"/>
    </row>
    <row r="3711">
      <c r="A3711" s="17"/>
      <c r="B3711" s="17"/>
      <c r="C3711" s="133"/>
      <c r="D3711" s="133"/>
      <c r="E3711" s="17"/>
      <c r="F3711" s="133"/>
      <c r="G3711" s="133"/>
      <c r="H3711" s="133"/>
      <c r="I3711" s="133"/>
      <c r="J3711" s="133"/>
      <c r="K3711" s="133"/>
      <c r="L3711" s="133"/>
      <c r="M3711" s="133"/>
      <c r="N3711" s="133"/>
      <c r="O3711" s="133"/>
      <c r="P3711" s="134"/>
      <c r="Q3711" s="146"/>
      <c r="R3711" s="17"/>
      <c r="S3711" s="17"/>
      <c r="T3711" s="75"/>
      <c r="U3711" s="75"/>
      <c r="V3711" s="75"/>
      <c r="W3711" s="75"/>
      <c r="X3711" s="75"/>
    </row>
    <row r="3712">
      <c r="A3712" s="17"/>
      <c r="B3712" s="17"/>
      <c r="C3712" s="133"/>
      <c r="D3712" s="133"/>
      <c r="E3712" s="17"/>
      <c r="F3712" s="133"/>
      <c r="G3712" s="133"/>
      <c r="H3712" s="133"/>
      <c r="I3712" s="133"/>
      <c r="J3712" s="133"/>
      <c r="K3712" s="133"/>
      <c r="L3712" s="133"/>
      <c r="M3712" s="133"/>
      <c r="N3712" s="133"/>
      <c r="O3712" s="133"/>
      <c r="P3712" s="134"/>
      <c r="Q3712" s="146"/>
      <c r="R3712" s="17"/>
      <c r="S3712" s="17"/>
      <c r="T3712" s="75"/>
      <c r="U3712" s="75"/>
      <c r="V3712" s="75"/>
      <c r="W3712" s="75"/>
      <c r="X3712" s="75"/>
    </row>
    <row r="3713">
      <c r="A3713" s="17"/>
      <c r="B3713" s="17"/>
      <c r="C3713" s="133"/>
      <c r="D3713" s="133"/>
      <c r="E3713" s="17"/>
      <c r="F3713" s="133"/>
      <c r="G3713" s="133"/>
      <c r="H3713" s="133"/>
      <c r="I3713" s="133"/>
      <c r="J3713" s="133"/>
      <c r="K3713" s="133"/>
      <c r="L3713" s="133"/>
      <c r="M3713" s="133"/>
      <c r="N3713" s="133"/>
      <c r="O3713" s="133"/>
      <c r="P3713" s="134"/>
      <c r="Q3713" s="146"/>
      <c r="R3713" s="17"/>
      <c r="S3713" s="17"/>
      <c r="T3713" s="75"/>
      <c r="U3713" s="75"/>
      <c r="V3713" s="75"/>
      <c r="W3713" s="75"/>
      <c r="X3713" s="75"/>
    </row>
    <row r="3714">
      <c r="A3714" s="17"/>
      <c r="B3714" s="17"/>
      <c r="C3714" s="133"/>
      <c r="D3714" s="133"/>
      <c r="E3714" s="17"/>
      <c r="F3714" s="133"/>
      <c r="G3714" s="133"/>
      <c r="H3714" s="133"/>
      <c r="I3714" s="133"/>
      <c r="J3714" s="133"/>
      <c r="K3714" s="133"/>
      <c r="L3714" s="133"/>
      <c r="M3714" s="133"/>
      <c r="N3714" s="133"/>
      <c r="O3714" s="133"/>
      <c r="P3714" s="134"/>
      <c r="Q3714" s="146"/>
      <c r="R3714" s="17"/>
      <c r="S3714" s="17"/>
      <c r="T3714" s="75"/>
      <c r="U3714" s="75"/>
      <c r="V3714" s="75"/>
      <c r="W3714" s="75"/>
      <c r="X3714" s="75"/>
    </row>
    <row r="3715">
      <c r="A3715" s="17"/>
      <c r="B3715" s="17"/>
      <c r="C3715" s="133"/>
      <c r="D3715" s="133"/>
      <c r="E3715" s="17"/>
      <c r="F3715" s="133"/>
      <c r="G3715" s="133"/>
      <c r="H3715" s="133"/>
      <c r="I3715" s="133"/>
      <c r="J3715" s="133"/>
      <c r="K3715" s="133"/>
      <c r="L3715" s="133"/>
      <c r="M3715" s="133"/>
      <c r="N3715" s="133"/>
      <c r="O3715" s="133"/>
      <c r="P3715" s="134"/>
      <c r="Q3715" s="146"/>
      <c r="R3715" s="17"/>
      <c r="S3715" s="17"/>
      <c r="T3715" s="75"/>
      <c r="U3715" s="75"/>
      <c r="V3715" s="75"/>
      <c r="W3715" s="75"/>
      <c r="X3715" s="75"/>
    </row>
    <row r="3716">
      <c r="A3716" s="17"/>
      <c r="B3716" s="17"/>
      <c r="C3716" s="133"/>
      <c r="D3716" s="133"/>
      <c r="E3716" s="17"/>
      <c r="F3716" s="133"/>
      <c r="G3716" s="133"/>
      <c r="H3716" s="133"/>
      <c r="I3716" s="133"/>
      <c r="J3716" s="133"/>
      <c r="K3716" s="133"/>
      <c r="L3716" s="133"/>
      <c r="M3716" s="133"/>
      <c r="N3716" s="133"/>
      <c r="O3716" s="133"/>
      <c r="P3716" s="134"/>
      <c r="Q3716" s="146"/>
      <c r="R3716" s="17"/>
      <c r="S3716" s="17"/>
      <c r="T3716" s="75"/>
      <c r="U3716" s="75"/>
      <c r="V3716" s="75"/>
      <c r="W3716" s="75"/>
      <c r="X3716" s="75"/>
    </row>
    <row r="3717">
      <c r="A3717" s="17"/>
      <c r="B3717" s="17"/>
      <c r="C3717" s="133"/>
      <c r="D3717" s="133"/>
      <c r="E3717" s="17"/>
      <c r="F3717" s="133"/>
      <c r="G3717" s="133"/>
      <c r="H3717" s="133"/>
      <c r="I3717" s="133"/>
      <c r="J3717" s="133"/>
      <c r="K3717" s="133"/>
      <c r="L3717" s="133"/>
      <c r="M3717" s="133"/>
      <c r="N3717" s="133"/>
      <c r="O3717" s="133"/>
      <c r="P3717" s="134"/>
      <c r="Q3717" s="146"/>
      <c r="R3717" s="17"/>
      <c r="S3717" s="17"/>
      <c r="T3717" s="75"/>
      <c r="U3717" s="75"/>
      <c r="V3717" s="75"/>
      <c r="W3717" s="75"/>
      <c r="X3717" s="75"/>
    </row>
    <row r="3718">
      <c r="A3718" s="17"/>
      <c r="B3718" s="17"/>
      <c r="C3718" s="133"/>
      <c r="D3718" s="133"/>
      <c r="E3718" s="17"/>
      <c r="F3718" s="133"/>
      <c r="G3718" s="133"/>
      <c r="H3718" s="133"/>
      <c r="I3718" s="133"/>
      <c r="J3718" s="133"/>
      <c r="K3718" s="133"/>
      <c r="L3718" s="133"/>
      <c r="M3718" s="133"/>
      <c r="N3718" s="133"/>
      <c r="O3718" s="133"/>
      <c r="P3718" s="134"/>
      <c r="Q3718" s="146"/>
      <c r="R3718" s="17"/>
      <c r="S3718" s="17"/>
      <c r="T3718" s="75"/>
      <c r="U3718" s="75"/>
      <c r="V3718" s="75"/>
      <c r="W3718" s="75"/>
      <c r="X3718" s="75"/>
    </row>
    <row r="3719">
      <c r="A3719" s="17"/>
      <c r="B3719" s="17"/>
      <c r="C3719" s="133"/>
      <c r="D3719" s="133"/>
      <c r="E3719" s="17"/>
      <c r="F3719" s="133"/>
      <c r="G3719" s="133"/>
      <c r="H3719" s="133"/>
      <c r="I3719" s="133"/>
      <c r="J3719" s="133"/>
      <c r="K3719" s="133"/>
      <c r="L3719" s="133"/>
      <c r="M3719" s="133"/>
      <c r="N3719" s="133"/>
      <c r="O3719" s="133"/>
      <c r="P3719" s="134"/>
      <c r="Q3719" s="146"/>
      <c r="R3719" s="17"/>
      <c r="S3719" s="17"/>
      <c r="T3719" s="75"/>
      <c r="U3719" s="75"/>
      <c r="V3719" s="75"/>
      <c r="W3719" s="75"/>
      <c r="X3719" s="75"/>
    </row>
    <row r="3720">
      <c r="A3720" s="17"/>
      <c r="B3720" s="17"/>
      <c r="C3720" s="133"/>
      <c r="D3720" s="133"/>
      <c r="E3720" s="17"/>
      <c r="F3720" s="133"/>
      <c r="G3720" s="133"/>
      <c r="H3720" s="133"/>
      <c r="I3720" s="133"/>
      <c r="J3720" s="133"/>
      <c r="K3720" s="133"/>
      <c r="L3720" s="133"/>
      <c r="M3720" s="133"/>
      <c r="N3720" s="133"/>
      <c r="O3720" s="133"/>
      <c r="P3720" s="134"/>
      <c r="Q3720" s="146"/>
      <c r="R3720" s="17"/>
      <c r="S3720" s="17"/>
      <c r="T3720" s="75"/>
      <c r="U3720" s="75"/>
      <c r="V3720" s="75"/>
      <c r="W3720" s="75"/>
      <c r="X3720" s="75"/>
    </row>
    <row r="3721">
      <c r="A3721" s="17"/>
      <c r="B3721" s="17"/>
      <c r="C3721" s="133"/>
      <c r="D3721" s="133"/>
      <c r="E3721" s="17"/>
      <c r="F3721" s="133"/>
      <c r="G3721" s="133"/>
      <c r="H3721" s="133"/>
      <c r="I3721" s="133"/>
      <c r="J3721" s="133"/>
      <c r="K3721" s="133"/>
      <c r="L3721" s="133"/>
      <c r="M3721" s="133"/>
      <c r="N3721" s="133"/>
      <c r="O3721" s="133"/>
      <c r="P3721" s="134"/>
      <c r="Q3721" s="146"/>
      <c r="R3721" s="17"/>
      <c r="S3721" s="17"/>
      <c r="T3721" s="75"/>
      <c r="U3721" s="75"/>
      <c r="V3721" s="75"/>
      <c r="W3721" s="75"/>
      <c r="X3721" s="75"/>
    </row>
    <row r="3722">
      <c r="A3722" s="17"/>
      <c r="B3722" s="17"/>
      <c r="C3722" s="133"/>
      <c r="D3722" s="133"/>
      <c r="E3722" s="17"/>
      <c r="F3722" s="133"/>
      <c r="G3722" s="133"/>
      <c r="H3722" s="133"/>
      <c r="I3722" s="133"/>
      <c r="J3722" s="133"/>
      <c r="K3722" s="133"/>
      <c r="L3722" s="133"/>
      <c r="M3722" s="133"/>
      <c r="N3722" s="133"/>
      <c r="O3722" s="133"/>
      <c r="P3722" s="134"/>
      <c r="Q3722" s="146"/>
      <c r="R3722" s="17"/>
      <c r="S3722" s="17"/>
      <c r="T3722" s="75"/>
      <c r="U3722" s="75"/>
      <c r="V3722" s="75"/>
      <c r="W3722" s="75"/>
      <c r="X3722" s="75"/>
    </row>
    <row r="3723">
      <c r="A3723" s="17"/>
      <c r="B3723" s="17"/>
      <c r="C3723" s="133"/>
      <c r="D3723" s="133"/>
      <c r="E3723" s="17"/>
      <c r="F3723" s="133"/>
      <c r="G3723" s="133"/>
      <c r="H3723" s="133"/>
      <c r="I3723" s="133"/>
      <c r="J3723" s="133"/>
      <c r="K3723" s="133"/>
      <c r="L3723" s="133"/>
      <c r="M3723" s="133"/>
      <c r="N3723" s="133"/>
      <c r="O3723" s="133"/>
      <c r="P3723" s="134"/>
      <c r="Q3723" s="146"/>
      <c r="R3723" s="17"/>
      <c r="S3723" s="17"/>
      <c r="T3723" s="75"/>
      <c r="U3723" s="75"/>
      <c r="V3723" s="75"/>
      <c r="W3723" s="75"/>
      <c r="X3723" s="75"/>
    </row>
    <row r="3724">
      <c r="A3724" s="17"/>
      <c r="B3724" s="17"/>
      <c r="C3724" s="133"/>
      <c r="D3724" s="133"/>
      <c r="E3724" s="17"/>
      <c r="F3724" s="133"/>
      <c r="G3724" s="133"/>
      <c r="H3724" s="133"/>
      <c r="I3724" s="133"/>
      <c r="J3724" s="133"/>
      <c r="K3724" s="133"/>
      <c r="L3724" s="133"/>
      <c r="M3724" s="133"/>
      <c r="N3724" s="133"/>
      <c r="O3724" s="133"/>
      <c r="P3724" s="134"/>
      <c r="Q3724" s="146"/>
      <c r="R3724" s="17"/>
      <c r="S3724" s="17"/>
      <c r="T3724" s="75"/>
      <c r="U3724" s="75"/>
      <c r="V3724" s="75"/>
      <c r="W3724" s="75"/>
      <c r="X3724" s="75"/>
    </row>
    <row r="3725">
      <c r="A3725" s="17"/>
      <c r="B3725" s="17"/>
      <c r="C3725" s="133"/>
      <c r="D3725" s="133"/>
      <c r="E3725" s="17"/>
      <c r="F3725" s="133"/>
      <c r="G3725" s="133"/>
      <c r="H3725" s="133"/>
      <c r="I3725" s="133"/>
      <c r="J3725" s="133"/>
      <c r="K3725" s="133"/>
      <c r="L3725" s="133"/>
      <c r="M3725" s="133"/>
      <c r="N3725" s="133"/>
      <c r="O3725" s="133"/>
      <c r="P3725" s="134"/>
      <c r="Q3725" s="146"/>
      <c r="R3725" s="17"/>
      <c r="S3725" s="17"/>
      <c r="T3725" s="75"/>
      <c r="U3725" s="75"/>
      <c r="V3725" s="75"/>
      <c r="W3725" s="75"/>
      <c r="X3725" s="75"/>
    </row>
    <row r="3726">
      <c r="A3726" s="17"/>
      <c r="B3726" s="17"/>
      <c r="C3726" s="133"/>
      <c r="D3726" s="133"/>
      <c r="E3726" s="17"/>
      <c r="F3726" s="133"/>
      <c r="G3726" s="133"/>
      <c r="H3726" s="133"/>
      <c r="I3726" s="133"/>
      <c r="J3726" s="133"/>
      <c r="K3726" s="133"/>
      <c r="L3726" s="133"/>
      <c r="M3726" s="133"/>
      <c r="N3726" s="133"/>
      <c r="O3726" s="133"/>
      <c r="P3726" s="134"/>
      <c r="Q3726" s="146"/>
      <c r="R3726" s="17"/>
      <c r="S3726" s="17"/>
      <c r="T3726" s="75"/>
      <c r="U3726" s="75"/>
      <c r="V3726" s="75"/>
      <c r="W3726" s="75"/>
      <c r="X3726" s="75"/>
    </row>
    <row r="3727">
      <c r="A3727" s="17"/>
      <c r="B3727" s="17"/>
      <c r="C3727" s="133"/>
      <c r="D3727" s="133"/>
      <c r="E3727" s="17"/>
      <c r="F3727" s="133"/>
      <c r="G3727" s="133"/>
      <c r="H3727" s="133"/>
      <c r="I3727" s="133"/>
      <c r="J3727" s="133"/>
      <c r="K3727" s="133"/>
      <c r="L3727" s="133"/>
      <c r="M3727" s="133"/>
      <c r="N3727" s="133"/>
      <c r="O3727" s="133"/>
      <c r="P3727" s="134"/>
      <c r="Q3727" s="146"/>
      <c r="R3727" s="17"/>
      <c r="S3727" s="17"/>
      <c r="T3727" s="75"/>
      <c r="U3727" s="75"/>
      <c r="V3727" s="75"/>
      <c r="W3727" s="75"/>
      <c r="X3727" s="75"/>
    </row>
    <row r="3728">
      <c r="A3728" s="17"/>
      <c r="B3728" s="17"/>
      <c r="C3728" s="133"/>
      <c r="D3728" s="133"/>
      <c r="E3728" s="17"/>
      <c r="F3728" s="133"/>
      <c r="G3728" s="133"/>
      <c r="H3728" s="133"/>
      <c r="I3728" s="133"/>
      <c r="J3728" s="133"/>
      <c r="K3728" s="133"/>
      <c r="L3728" s="133"/>
      <c r="M3728" s="133"/>
      <c r="N3728" s="133"/>
      <c r="O3728" s="133"/>
      <c r="P3728" s="134"/>
      <c r="Q3728" s="146"/>
      <c r="R3728" s="17"/>
      <c r="S3728" s="17"/>
      <c r="T3728" s="75"/>
      <c r="U3728" s="75"/>
      <c r="V3728" s="75"/>
      <c r="W3728" s="75"/>
      <c r="X3728" s="75"/>
    </row>
    <row r="3729">
      <c r="A3729" s="17"/>
      <c r="B3729" s="17"/>
      <c r="C3729" s="133"/>
      <c r="D3729" s="133"/>
      <c r="E3729" s="17"/>
      <c r="F3729" s="133"/>
      <c r="G3729" s="133"/>
      <c r="H3729" s="133"/>
      <c r="I3729" s="133"/>
      <c r="J3729" s="133"/>
      <c r="K3729" s="133"/>
      <c r="L3729" s="133"/>
      <c r="M3729" s="133"/>
      <c r="N3729" s="133"/>
      <c r="O3729" s="133"/>
      <c r="P3729" s="134"/>
      <c r="Q3729" s="146"/>
      <c r="R3729" s="17"/>
      <c r="S3729" s="17"/>
      <c r="T3729" s="75"/>
      <c r="U3729" s="75"/>
      <c r="V3729" s="75"/>
      <c r="W3729" s="75"/>
      <c r="X3729" s="75"/>
    </row>
    <row r="3730">
      <c r="A3730" s="17"/>
      <c r="B3730" s="17"/>
      <c r="C3730" s="133"/>
      <c r="D3730" s="133"/>
      <c r="E3730" s="17"/>
      <c r="F3730" s="133"/>
      <c r="G3730" s="133"/>
      <c r="H3730" s="133"/>
      <c r="I3730" s="133"/>
      <c r="J3730" s="133"/>
      <c r="K3730" s="133"/>
      <c r="L3730" s="133"/>
      <c r="M3730" s="133"/>
      <c r="N3730" s="133"/>
      <c r="O3730" s="133"/>
      <c r="P3730" s="134"/>
      <c r="Q3730" s="146"/>
      <c r="R3730" s="17"/>
      <c r="S3730" s="17"/>
      <c r="T3730" s="75"/>
      <c r="U3730" s="75"/>
      <c r="V3730" s="75"/>
      <c r="W3730" s="75"/>
      <c r="X3730" s="75"/>
    </row>
    <row r="3731">
      <c r="A3731" s="17"/>
      <c r="B3731" s="17"/>
      <c r="C3731" s="133"/>
      <c r="D3731" s="133"/>
      <c r="E3731" s="17"/>
      <c r="F3731" s="133"/>
      <c r="G3731" s="133"/>
      <c r="H3731" s="133"/>
      <c r="I3731" s="133"/>
      <c r="J3731" s="133"/>
      <c r="K3731" s="133"/>
      <c r="L3731" s="133"/>
      <c r="M3731" s="133"/>
      <c r="N3731" s="133"/>
      <c r="O3731" s="133"/>
      <c r="P3731" s="134"/>
      <c r="Q3731" s="146"/>
      <c r="R3731" s="17"/>
      <c r="S3731" s="17"/>
      <c r="T3731" s="75"/>
      <c r="U3731" s="75"/>
      <c r="V3731" s="75"/>
      <c r="W3731" s="75"/>
      <c r="X3731" s="75"/>
    </row>
    <row r="3732">
      <c r="A3732" s="17"/>
      <c r="B3732" s="17"/>
      <c r="C3732" s="133"/>
      <c r="D3732" s="133"/>
      <c r="E3732" s="17"/>
      <c r="F3732" s="133"/>
      <c r="G3732" s="133"/>
      <c r="H3732" s="133"/>
      <c r="I3732" s="133"/>
      <c r="J3732" s="133"/>
      <c r="K3732" s="133"/>
      <c r="L3732" s="133"/>
      <c r="M3732" s="133"/>
      <c r="N3732" s="133"/>
      <c r="O3732" s="133"/>
      <c r="P3732" s="134"/>
      <c r="Q3732" s="146"/>
      <c r="R3732" s="17"/>
      <c r="S3732" s="17"/>
      <c r="T3732" s="75"/>
      <c r="U3732" s="75"/>
      <c r="V3732" s="75"/>
      <c r="W3732" s="75"/>
      <c r="X3732" s="75"/>
    </row>
    <row r="3733">
      <c r="A3733" s="17"/>
      <c r="B3733" s="17"/>
      <c r="C3733" s="133"/>
      <c r="D3733" s="133"/>
      <c r="E3733" s="17"/>
      <c r="F3733" s="133"/>
      <c r="G3733" s="133"/>
      <c r="H3733" s="133"/>
      <c r="I3733" s="133"/>
      <c r="J3733" s="133"/>
      <c r="K3733" s="133"/>
      <c r="L3733" s="133"/>
      <c r="M3733" s="133"/>
      <c r="N3733" s="133"/>
      <c r="O3733" s="133"/>
      <c r="P3733" s="134"/>
      <c r="Q3733" s="146"/>
      <c r="R3733" s="17"/>
      <c r="S3733" s="17"/>
      <c r="T3733" s="75"/>
      <c r="U3733" s="75"/>
      <c r="V3733" s="75"/>
      <c r="W3733" s="75"/>
      <c r="X3733" s="75"/>
    </row>
    <row r="3734">
      <c r="A3734" s="17"/>
      <c r="B3734" s="17"/>
      <c r="C3734" s="133"/>
      <c r="D3734" s="133"/>
      <c r="E3734" s="17"/>
      <c r="F3734" s="133"/>
      <c r="G3734" s="133"/>
      <c r="H3734" s="133"/>
      <c r="I3734" s="133"/>
      <c r="J3734" s="133"/>
      <c r="K3734" s="133"/>
      <c r="L3734" s="133"/>
      <c r="M3734" s="133"/>
      <c r="N3734" s="133"/>
      <c r="O3734" s="133"/>
      <c r="P3734" s="134"/>
      <c r="Q3734" s="146"/>
      <c r="R3734" s="17"/>
      <c r="S3734" s="17"/>
      <c r="T3734" s="75"/>
      <c r="U3734" s="75"/>
      <c r="V3734" s="75"/>
      <c r="W3734" s="75"/>
      <c r="X3734" s="75"/>
    </row>
    <row r="3735">
      <c r="A3735" s="17"/>
      <c r="B3735" s="17"/>
      <c r="C3735" s="133"/>
      <c r="D3735" s="133"/>
      <c r="E3735" s="17"/>
      <c r="F3735" s="133"/>
      <c r="G3735" s="133"/>
      <c r="H3735" s="133"/>
      <c r="I3735" s="133"/>
      <c r="J3735" s="133"/>
      <c r="K3735" s="133"/>
      <c r="L3735" s="133"/>
      <c r="M3735" s="133"/>
      <c r="N3735" s="133"/>
      <c r="O3735" s="133"/>
      <c r="P3735" s="134"/>
      <c r="Q3735" s="146"/>
      <c r="R3735" s="17"/>
      <c r="S3735" s="17"/>
      <c r="T3735" s="75"/>
      <c r="U3735" s="75"/>
      <c r="V3735" s="75"/>
      <c r="W3735" s="75"/>
      <c r="X3735" s="75"/>
    </row>
    <row r="3736">
      <c r="A3736" s="17"/>
      <c r="B3736" s="17"/>
      <c r="C3736" s="133"/>
      <c r="D3736" s="133"/>
      <c r="E3736" s="17"/>
      <c r="F3736" s="133"/>
      <c r="G3736" s="133"/>
      <c r="H3736" s="133"/>
      <c r="I3736" s="133"/>
      <c r="J3736" s="133"/>
      <c r="K3736" s="133"/>
      <c r="L3736" s="133"/>
      <c r="M3736" s="133"/>
      <c r="N3736" s="133"/>
      <c r="O3736" s="133"/>
      <c r="P3736" s="134"/>
      <c r="Q3736" s="146"/>
      <c r="R3736" s="17"/>
      <c r="S3736" s="17"/>
      <c r="T3736" s="75"/>
      <c r="U3736" s="75"/>
      <c r="V3736" s="75"/>
      <c r="W3736" s="75"/>
      <c r="X3736" s="75"/>
    </row>
    <row r="3737">
      <c r="A3737" s="17"/>
      <c r="B3737" s="17"/>
      <c r="C3737" s="133"/>
      <c r="D3737" s="133"/>
      <c r="E3737" s="17"/>
      <c r="F3737" s="133"/>
      <c r="G3737" s="133"/>
      <c r="H3737" s="133"/>
      <c r="I3737" s="133"/>
      <c r="J3737" s="133"/>
      <c r="K3737" s="133"/>
      <c r="L3737" s="133"/>
      <c r="M3737" s="133"/>
      <c r="N3737" s="133"/>
      <c r="O3737" s="133"/>
      <c r="P3737" s="134"/>
      <c r="Q3737" s="146"/>
      <c r="R3737" s="17"/>
      <c r="S3737" s="17"/>
      <c r="T3737" s="75"/>
      <c r="U3737" s="75"/>
      <c r="V3737" s="75"/>
      <c r="W3737" s="75"/>
      <c r="X3737" s="75"/>
    </row>
    <row r="3738">
      <c r="A3738" s="17"/>
      <c r="B3738" s="17"/>
      <c r="C3738" s="133"/>
      <c r="D3738" s="133"/>
      <c r="E3738" s="17"/>
      <c r="F3738" s="133"/>
      <c r="G3738" s="133"/>
      <c r="H3738" s="133"/>
      <c r="I3738" s="133"/>
      <c r="J3738" s="133"/>
      <c r="K3738" s="133"/>
      <c r="L3738" s="133"/>
      <c r="M3738" s="133"/>
      <c r="N3738" s="133"/>
      <c r="O3738" s="133"/>
      <c r="P3738" s="134"/>
      <c r="Q3738" s="146"/>
      <c r="R3738" s="17"/>
      <c r="S3738" s="17"/>
      <c r="T3738" s="75"/>
      <c r="U3738" s="75"/>
      <c r="V3738" s="75"/>
      <c r="W3738" s="75"/>
      <c r="X3738" s="75"/>
    </row>
    <row r="3739">
      <c r="A3739" s="17"/>
      <c r="B3739" s="17"/>
      <c r="C3739" s="133"/>
      <c r="D3739" s="133"/>
      <c r="E3739" s="17"/>
      <c r="F3739" s="133"/>
      <c r="G3739" s="133"/>
      <c r="H3739" s="133"/>
      <c r="I3739" s="133"/>
      <c r="J3739" s="133"/>
      <c r="K3739" s="133"/>
      <c r="L3739" s="133"/>
      <c r="M3739" s="133"/>
      <c r="N3739" s="133"/>
      <c r="O3739" s="133"/>
      <c r="P3739" s="134"/>
      <c r="Q3739" s="146"/>
      <c r="R3739" s="17"/>
      <c r="S3739" s="17"/>
      <c r="T3739" s="75"/>
      <c r="U3739" s="75"/>
      <c r="V3739" s="75"/>
      <c r="W3739" s="75"/>
      <c r="X3739" s="75"/>
    </row>
    <row r="3740">
      <c r="A3740" s="17"/>
      <c r="B3740" s="17"/>
      <c r="C3740" s="133"/>
      <c r="D3740" s="133"/>
      <c r="E3740" s="17"/>
      <c r="F3740" s="133"/>
      <c r="G3740" s="133"/>
      <c r="H3740" s="133"/>
      <c r="I3740" s="133"/>
      <c r="J3740" s="133"/>
      <c r="K3740" s="133"/>
      <c r="L3740" s="133"/>
      <c r="M3740" s="133"/>
      <c r="N3740" s="133"/>
      <c r="O3740" s="133"/>
      <c r="P3740" s="134"/>
      <c r="Q3740" s="146"/>
      <c r="R3740" s="17"/>
      <c r="S3740" s="17"/>
      <c r="T3740" s="75"/>
      <c r="U3740" s="75"/>
      <c r="V3740" s="75"/>
      <c r="W3740" s="75"/>
      <c r="X3740" s="75"/>
    </row>
    <row r="3741">
      <c r="A3741" s="17"/>
      <c r="B3741" s="17"/>
      <c r="C3741" s="133"/>
      <c r="D3741" s="133"/>
      <c r="E3741" s="17"/>
      <c r="F3741" s="133"/>
      <c r="G3741" s="133"/>
      <c r="H3741" s="133"/>
      <c r="I3741" s="133"/>
      <c r="J3741" s="133"/>
      <c r="K3741" s="133"/>
      <c r="L3741" s="133"/>
      <c r="M3741" s="133"/>
      <c r="N3741" s="133"/>
      <c r="O3741" s="133"/>
      <c r="P3741" s="134"/>
      <c r="Q3741" s="146"/>
      <c r="R3741" s="17"/>
      <c r="S3741" s="17"/>
      <c r="T3741" s="75"/>
      <c r="U3741" s="75"/>
      <c r="V3741" s="75"/>
      <c r="W3741" s="75"/>
      <c r="X3741" s="75"/>
    </row>
    <row r="3742">
      <c r="A3742" s="17"/>
      <c r="B3742" s="17"/>
      <c r="C3742" s="133"/>
      <c r="D3742" s="133"/>
      <c r="E3742" s="17"/>
      <c r="F3742" s="133"/>
      <c r="G3742" s="133"/>
      <c r="H3742" s="133"/>
      <c r="I3742" s="133"/>
      <c r="J3742" s="133"/>
      <c r="K3742" s="133"/>
      <c r="L3742" s="133"/>
      <c r="M3742" s="133"/>
      <c r="N3742" s="133"/>
      <c r="O3742" s="133"/>
      <c r="P3742" s="134"/>
      <c r="Q3742" s="146"/>
      <c r="R3742" s="17"/>
      <c r="S3742" s="17"/>
      <c r="T3742" s="75"/>
      <c r="U3742" s="75"/>
      <c r="V3742" s="75"/>
      <c r="W3742" s="75"/>
      <c r="X3742" s="75"/>
    </row>
    <row r="3743">
      <c r="A3743" s="17"/>
      <c r="B3743" s="17"/>
      <c r="C3743" s="133"/>
      <c r="D3743" s="133"/>
      <c r="E3743" s="17"/>
      <c r="F3743" s="133"/>
      <c r="G3743" s="133"/>
      <c r="H3743" s="133"/>
      <c r="I3743" s="133"/>
      <c r="J3743" s="133"/>
      <c r="K3743" s="133"/>
      <c r="L3743" s="133"/>
      <c r="M3743" s="133"/>
      <c r="N3743" s="133"/>
      <c r="O3743" s="133"/>
      <c r="P3743" s="134"/>
      <c r="Q3743" s="146"/>
      <c r="R3743" s="17"/>
      <c r="S3743" s="17"/>
      <c r="T3743" s="75"/>
      <c r="U3743" s="75"/>
      <c r="V3743" s="75"/>
      <c r="W3743" s="75"/>
      <c r="X3743" s="75"/>
    </row>
    <row r="3744">
      <c r="A3744" s="17"/>
      <c r="B3744" s="17"/>
      <c r="C3744" s="133"/>
      <c r="D3744" s="133"/>
      <c r="E3744" s="17"/>
      <c r="F3744" s="133"/>
      <c r="G3744" s="133"/>
      <c r="H3744" s="133"/>
      <c r="I3744" s="133"/>
      <c r="J3744" s="133"/>
      <c r="K3744" s="133"/>
      <c r="L3744" s="133"/>
      <c r="M3744" s="133"/>
      <c r="N3744" s="133"/>
      <c r="O3744" s="133"/>
      <c r="P3744" s="134"/>
      <c r="Q3744" s="146"/>
      <c r="R3744" s="17"/>
      <c r="S3744" s="17"/>
      <c r="T3744" s="75"/>
      <c r="U3744" s="75"/>
      <c r="V3744" s="75"/>
      <c r="W3744" s="75"/>
      <c r="X3744" s="75"/>
    </row>
    <row r="3745">
      <c r="A3745" s="17"/>
      <c r="B3745" s="17"/>
      <c r="C3745" s="133"/>
      <c r="D3745" s="133"/>
      <c r="E3745" s="17"/>
      <c r="F3745" s="133"/>
      <c r="G3745" s="133"/>
      <c r="H3745" s="133"/>
      <c r="I3745" s="133"/>
      <c r="J3745" s="133"/>
      <c r="K3745" s="133"/>
      <c r="L3745" s="133"/>
      <c r="M3745" s="133"/>
      <c r="N3745" s="133"/>
      <c r="O3745" s="133"/>
      <c r="P3745" s="134"/>
      <c r="Q3745" s="146"/>
      <c r="R3745" s="17"/>
      <c r="S3745" s="17"/>
      <c r="T3745" s="75"/>
      <c r="U3745" s="75"/>
      <c r="V3745" s="75"/>
      <c r="W3745" s="75"/>
      <c r="X3745" s="75"/>
    </row>
    <row r="3746">
      <c r="A3746" s="17"/>
      <c r="B3746" s="17"/>
      <c r="C3746" s="133"/>
      <c r="D3746" s="133"/>
      <c r="E3746" s="17"/>
      <c r="F3746" s="133"/>
      <c r="G3746" s="133"/>
      <c r="H3746" s="133"/>
      <c r="I3746" s="133"/>
      <c r="J3746" s="133"/>
      <c r="K3746" s="133"/>
      <c r="L3746" s="133"/>
      <c r="M3746" s="133"/>
      <c r="N3746" s="133"/>
      <c r="O3746" s="133"/>
      <c r="P3746" s="134"/>
      <c r="Q3746" s="146"/>
      <c r="R3746" s="17"/>
      <c r="S3746" s="17"/>
      <c r="T3746" s="75"/>
      <c r="U3746" s="75"/>
      <c r="V3746" s="75"/>
      <c r="W3746" s="75"/>
      <c r="X3746" s="75"/>
    </row>
    <row r="3747">
      <c r="A3747" s="17"/>
      <c r="B3747" s="17"/>
      <c r="C3747" s="133"/>
      <c r="D3747" s="133"/>
      <c r="E3747" s="17"/>
      <c r="F3747" s="133"/>
      <c r="G3747" s="133"/>
      <c r="H3747" s="133"/>
      <c r="I3747" s="133"/>
      <c r="J3747" s="133"/>
      <c r="K3747" s="133"/>
      <c r="L3747" s="133"/>
      <c r="M3747" s="133"/>
      <c r="N3747" s="133"/>
      <c r="O3747" s="133"/>
      <c r="P3747" s="134"/>
      <c r="Q3747" s="146"/>
      <c r="R3747" s="17"/>
      <c r="S3747" s="17"/>
      <c r="T3747" s="75"/>
      <c r="U3747" s="75"/>
      <c r="V3747" s="75"/>
      <c r="W3747" s="75"/>
      <c r="X3747" s="75"/>
    </row>
    <row r="3748">
      <c r="A3748" s="17"/>
      <c r="B3748" s="17"/>
      <c r="C3748" s="133"/>
      <c r="D3748" s="133"/>
      <c r="E3748" s="17"/>
      <c r="F3748" s="133"/>
      <c r="G3748" s="133"/>
      <c r="H3748" s="133"/>
      <c r="I3748" s="133"/>
      <c r="J3748" s="133"/>
      <c r="K3748" s="133"/>
      <c r="L3748" s="133"/>
      <c r="M3748" s="133"/>
      <c r="N3748" s="133"/>
      <c r="O3748" s="133"/>
      <c r="P3748" s="134"/>
      <c r="Q3748" s="146"/>
      <c r="R3748" s="17"/>
      <c r="S3748" s="17"/>
      <c r="T3748" s="75"/>
      <c r="U3748" s="75"/>
      <c r="V3748" s="75"/>
      <c r="W3748" s="75"/>
      <c r="X3748" s="75"/>
    </row>
    <row r="3749">
      <c r="A3749" s="17"/>
      <c r="B3749" s="17"/>
      <c r="C3749" s="133"/>
      <c r="D3749" s="133"/>
      <c r="E3749" s="17"/>
      <c r="F3749" s="133"/>
      <c r="G3749" s="133"/>
      <c r="H3749" s="133"/>
      <c r="I3749" s="133"/>
      <c r="J3749" s="133"/>
      <c r="K3749" s="133"/>
      <c r="L3749" s="133"/>
      <c r="M3749" s="133"/>
      <c r="N3749" s="133"/>
      <c r="O3749" s="133"/>
      <c r="P3749" s="134"/>
      <c r="Q3749" s="146"/>
      <c r="R3749" s="17"/>
      <c r="S3749" s="17"/>
      <c r="T3749" s="75"/>
      <c r="U3749" s="75"/>
      <c r="V3749" s="75"/>
      <c r="W3749" s="75"/>
      <c r="X3749" s="75"/>
    </row>
    <row r="3750">
      <c r="A3750" s="17"/>
      <c r="B3750" s="17"/>
      <c r="C3750" s="133"/>
      <c r="D3750" s="133"/>
      <c r="E3750" s="17"/>
      <c r="F3750" s="133"/>
      <c r="G3750" s="133"/>
      <c r="H3750" s="133"/>
      <c r="I3750" s="133"/>
      <c r="J3750" s="133"/>
      <c r="K3750" s="133"/>
      <c r="L3750" s="133"/>
      <c r="M3750" s="133"/>
      <c r="N3750" s="133"/>
      <c r="O3750" s="133"/>
      <c r="P3750" s="134"/>
      <c r="Q3750" s="146"/>
      <c r="R3750" s="17"/>
      <c r="S3750" s="17"/>
      <c r="T3750" s="75"/>
      <c r="U3750" s="75"/>
      <c r="V3750" s="75"/>
      <c r="W3750" s="75"/>
      <c r="X3750" s="75"/>
    </row>
    <row r="3751">
      <c r="A3751" s="17"/>
      <c r="B3751" s="17"/>
      <c r="C3751" s="133"/>
      <c r="D3751" s="133"/>
      <c r="E3751" s="17"/>
      <c r="F3751" s="133"/>
      <c r="G3751" s="133"/>
      <c r="H3751" s="133"/>
      <c r="I3751" s="133"/>
      <c r="J3751" s="133"/>
      <c r="K3751" s="133"/>
      <c r="L3751" s="133"/>
      <c r="M3751" s="133"/>
      <c r="N3751" s="133"/>
      <c r="O3751" s="133"/>
      <c r="P3751" s="134"/>
      <c r="Q3751" s="146"/>
      <c r="R3751" s="17"/>
      <c r="S3751" s="17"/>
      <c r="T3751" s="75"/>
      <c r="U3751" s="75"/>
      <c r="V3751" s="75"/>
      <c r="W3751" s="75"/>
      <c r="X3751" s="75"/>
    </row>
    <row r="3752">
      <c r="A3752" s="17"/>
      <c r="B3752" s="17"/>
      <c r="C3752" s="133"/>
      <c r="D3752" s="133"/>
      <c r="E3752" s="17"/>
      <c r="F3752" s="133"/>
      <c r="G3752" s="133"/>
      <c r="H3752" s="133"/>
      <c r="I3752" s="133"/>
      <c r="J3752" s="133"/>
      <c r="K3752" s="133"/>
      <c r="L3752" s="133"/>
      <c r="M3752" s="133"/>
      <c r="N3752" s="133"/>
      <c r="O3752" s="133"/>
      <c r="P3752" s="134"/>
      <c r="Q3752" s="146"/>
      <c r="R3752" s="17"/>
      <c r="S3752" s="17"/>
      <c r="T3752" s="75"/>
      <c r="U3752" s="75"/>
      <c r="V3752" s="75"/>
      <c r="W3752" s="75"/>
      <c r="X3752" s="75"/>
    </row>
    <row r="3753">
      <c r="A3753" s="17"/>
      <c r="B3753" s="17"/>
      <c r="C3753" s="133"/>
      <c r="D3753" s="133"/>
      <c r="E3753" s="17"/>
      <c r="F3753" s="133"/>
      <c r="G3753" s="133"/>
      <c r="H3753" s="133"/>
      <c r="I3753" s="133"/>
      <c r="J3753" s="133"/>
      <c r="K3753" s="133"/>
      <c r="L3753" s="133"/>
      <c r="M3753" s="133"/>
      <c r="N3753" s="133"/>
      <c r="O3753" s="133"/>
      <c r="P3753" s="134"/>
      <c r="Q3753" s="146"/>
      <c r="R3753" s="17"/>
      <c r="S3753" s="17"/>
      <c r="T3753" s="75"/>
      <c r="U3753" s="75"/>
      <c r="V3753" s="75"/>
      <c r="W3753" s="75"/>
      <c r="X3753" s="75"/>
    </row>
    <row r="3754">
      <c r="A3754" s="17"/>
      <c r="B3754" s="17"/>
      <c r="C3754" s="133"/>
      <c r="D3754" s="133"/>
      <c r="E3754" s="17"/>
      <c r="F3754" s="133"/>
      <c r="G3754" s="133"/>
      <c r="H3754" s="133"/>
      <c r="I3754" s="133"/>
      <c r="J3754" s="133"/>
      <c r="K3754" s="133"/>
      <c r="L3754" s="133"/>
      <c r="M3754" s="133"/>
      <c r="N3754" s="133"/>
      <c r="O3754" s="133"/>
      <c r="P3754" s="134"/>
      <c r="Q3754" s="146"/>
      <c r="R3754" s="17"/>
      <c r="S3754" s="17"/>
      <c r="T3754" s="75"/>
      <c r="U3754" s="75"/>
      <c r="V3754" s="75"/>
      <c r="W3754" s="75"/>
      <c r="X3754" s="75"/>
    </row>
    <row r="3755">
      <c r="A3755" s="17"/>
      <c r="B3755" s="17"/>
      <c r="C3755" s="133"/>
      <c r="D3755" s="133"/>
      <c r="E3755" s="17"/>
      <c r="F3755" s="133"/>
      <c r="G3755" s="133"/>
      <c r="H3755" s="133"/>
      <c r="I3755" s="133"/>
      <c r="J3755" s="133"/>
      <c r="K3755" s="133"/>
      <c r="L3755" s="133"/>
      <c r="M3755" s="133"/>
      <c r="N3755" s="133"/>
      <c r="O3755" s="133"/>
      <c r="P3755" s="134"/>
      <c r="Q3755" s="146"/>
      <c r="R3755" s="17"/>
      <c r="S3755" s="17"/>
      <c r="T3755" s="75"/>
      <c r="U3755" s="75"/>
      <c r="V3755" s="75"/>
      <c r="W3755" s="75"/>
      <c r="X3755" s="75"/>
    </row>
    <row r="3756">
      <c r="A3756" s="17"/>
      <c r="B3756" s="17"/>
      <c r="C3756" s="133"/>
      <c r="D3756" s="133"/>
      <c r="E3756" s="17"/>
      <c r="F3756" s="133"/>
      <c r="G3756" s="133"/>
      <c r="H3756" s="133"/>
      <c r="I3756" s="133"/>
      <c r="J3756" s="133"/>
      <c r="K3756" s="133"/>
      <c r="L3756" s="133"/>
      <c r="M3756" s="133"/>
      <c r="N3756" s="133"/>
      <c r="O3756" s="133"/>
      <c r="P3756" s="134"/>
      <c r="Q3756" s="146"/>
      <c r="R3756" s="17"/>
      <c r="S3756" s="17"/>
      <c r="T3756" s="75"/>
      <c r="U3756" s="75"/>
      <c r="V3756" s="75"/>
      <c r="W3756" s="75"/>
      <c r="X3756" s="75"/>
    </row>
    <row r="3757">
      <c r="A3757" s="17"/>
      <c r="B3757" s="17"/>
      <c r="C3757" s="133"/>
      <c r="D3757" s="133"/>
      <c r="E3757" s="17"/>
      <c r="F3757" s="133"/>
      <c r="G3757" s="133"/>
      <c r="H3757" s="133"/>
      <c r="I3757" s="133"/>
      <c r="J3757" s="133"/>
      <c r="K3757" s="133"/>
      <c r="L3757" s="133"/>
      <c r="M3757" s="133"/>
      <c r="N3757" s="133"/>
      <c r="O3757" s="133"/>
      <c r="P3757" s="134"/>
      <c r="Q3757" s="146"/>
      <c r="R3757" s="17"/>
      <c r="S3757" s="17"/>
      <c r="T3757" s="75"/>
      <c r="U3757" s="75"/>
      <c r="V3757" s="75"/>
      <c r="W3757" s="75"/>
      <c r="X3757" s="75"/>
    </row>
    <row r="3758">
      <c r="A3758" s="17"/>
      <c r="B3758" s="17"/>
      <c r="C3758" s="133"/>
      <c r="D3758" s="133"/>
      <c r="E3758" s="17"/>
      <c r="F3758" s="133"/>
      <c r="G3758" s="133"/>
      <c r="H3758" s="133"/>
      <c r="I3758" s="133"/>
      <c r="J3758" s="133"/>
      <c r="K3758" s="133"/>
      <c r="L3758" s="133"/>
      <c r="M3758" s="133"/>
      <c r="N3758" s="133"/>
      <c r="O3758" s="133"/>
      <c r="P3758" s="134"/>
      <c r="Q3758" s="146"/>
      <c r="R3758" s="17"/>
      <c r="S3758" s="17"/>
      <c r="T3758" s="75"/>
      <c r="U3758" s="75"/>
      <c r="V3758" s="75"/>
      <c r="W3758" s="75"/>
      <c r="X3758" s="75"/>
    </row>
    <row r="3759">
      <c r="A3759" s="17"/>
      <c r="B3759" s="17"/>
      <c r="C3759" s="133"/>
      <c r="D3759" s="133"/>
      <c r="E3759" s="17"/>
      <c r="F3759" s="133"/>
      <c r="G3759" s="133"/>
      <c r="H3759" s="133"/>
      <c r="I3759" s="133"/>
      <c r="J3759" s="133"/>
      <c r="K3759" s="133"/>
      <c r="L3759" s="133"/>
      <c r="M3759" s="133"/>
      <c r="N3759" s="133"/>
      <c r="O3759" s="133"/>
      <c r="P3759" s="134"/>
      <c r="Q3759" s="146"/>
      <c r="R3759" s="17"/>
      <c r="S3759" s="17"/>
      <c r="T3759" s="75"/>
      <c r="U3759" s="75"/>
      <c r="V3759" s="75"/>
      <c r="W3759" s="75"/>
      <c r="X3759" s="75"/>
    </row>
    <row r="3760">
      <c r="A3760" s="17"/>
      <c r="B3760" s="17"/>
      <c r="C3760" s="133"/>
      <c r="D3760" s="133"/>
      <c r="E3760" s="17"/>
      <c r="F3760" s="133"/>
      <c r="G3760" s="133"/>
      <c r="H3760" s="133"/>
      <c r="I3760" s="133"/>
      <c r="J3760" s="133"/>
      <c r="K3760" s="133"/>
      <c r="L3760" s="133"/>
      <c r="M3760" s="133"/>
      <c r="N3760" s="133"/>
      <c r="O3760" s="133"/>
      <c r="P3760" s="134"/>
      <c r="Q3760" s="146"/>
      <c r="R3760" s="17"/>
      <c r="S3760" s="17"/>
      <c r="T3760" s="75"/>
      <c r="U3760" s="75"/>
      <c r="V3760" s="75"/>
      <c r="W3760" s="75"/>
      <c r="X3760" s="75"/>
    </row>
    <row r="3761">
      <c r="A3761" s="17"/>
      <c r="B3761" s="17"/>
      <c r="C3761" s="133"/>
      <c r="D3761" s="133"/>
      <c r="E3761" s="17"/>
      <c r="F3761" s="133"/>
      <c r="G3761" s="133"/>
      <c r="H3761" s="133"/>
      <c r="I3761" s="133"/>
      <c r="J3761" s="133"/>
      <c r="K3761" s="133"/>
      <c r="L3761" s="133"/>
      <c r="M3761" s="133"/>
      <c r="N3761" s="133"/>
      <c r="O3761" s="133"/>
      <c r="P3761" s="134"/>
      <c r="Q3761" s="146"/>
      <c r="R3761" s="17"/>
      <c r="S3761" s="17"/>
      <c r="T3761" s="75"/>
      <c r="U3761" s="75"/>
      <c r="V3761" s="75"/>
      <c r="W3761" s="75"/>
      <c r="X3761" s="75"/>
    </row>
    <row r="3762">
      <c r="A3762" s="17"/>
      <c r="B3762" s="17"/>
      <c r="C3762" s="133"/>
      <c r="D3762" s="133"/>
      <c r="E3762" s="17"/>
      <c r="F3762" s="133"/>
      <c r="G3762" s="133"/>
      <c r="H3762" s="133"/>
      <c r="I3762" s="133"/>
      <c r="J3762" s="133"/>
      <c r="K3762" s="133"/>
      <c r="L3762" s="133"/>
      <c r="M3762" s="133"/>
      <c r="N3762" s="133"/>
      <c r="O3762" s="133"/>
      <c r="P3762" s="134"/>
      <c r="Q3762" s="146"/>
      <c r="R3762" s="17"/>
      <c r="S3762" s="17"/>
      <c r="T3762" s="75"/>
      <c r="U3762" s="75"/>
      <c r="V3762" s="75"/>
      <c r="W3762" s="75"/>
      <c r="X3762" s="75"/>
    </row>
    <row r="3763">
      <c r="A3763" s="17"/>
      <c r="B3763" s="17"/>
      <c r="C3763" s="133"/>
      <c r="D3763" s="133"/>
      <c r="E3763" s="17"/>
      <c r="F3763" s="133"/>
      <c r="G3763" s="133"/>
      <c r="H3763" s="133"/>
      <c r="I3763" s="133"/>
      <c r="J3763" s="133"/>
      <c r="K3763" s="133"/>
      <c r="L3763" s="133"/>
      <c r="M3763" s="133"/>
      <c r="N3763" s="133"/>
      <c r="O3763" s="133"/>
      <c r="P3763" s="134"/>
      <c r="Q3763" s="146"/>
      <c r="R3763" s="17"/>
      <c r="S3763" s="17"/>
      <c r="T3763" s="75"/>
      <c r="U3763" s="75"/>
      <c r="V3763" s="75"/>
      <c r="W3763" s="75"/>
      <c r="X3763" s="75"/>
    </row>
    <row r="3764">
      <c r="A3764" s="17"/>
      <c r="B3764" s="17"/>
      <c r="C3764" s="133"/>
      <c r="D3764" s="133"/>
      <c r="E3764" s="17"/>
      <c r="F3764" s="133"/>
      <c r="G3764" s="133"/>
      <c r="H3764" s="133"/>
      <c r="I3764" s="133"/>
      <c r="J3764" s="133"/>
      <c r="K3764" s="133"/>
      <c r="L3764" s="133"/>
      <c r="M3764" s="133"/>
      <c r="N3764" s="133"/>
      <c r="O3764" s="133"/>
      <c r="P3764" s="134"/>
      <c r="Q3764" s="146"/>
      <c r="R3764" s="17"/>
      <c r="S3764" s="17"/>
      <c r="T3764" s="75"/>
      <c r="U3764" s="75"/>
      <c r="V3764" s="75"/>
      <c r="W3764" s="75"/>
      <c r="X3764" s="75"/>
    </row>
    <row r="3765">
      <c r="A3765" s="17"/>
      <c r="B3765" s="17"/>
      <c r="C3765" s="133"/>
      <c r="D3765" s="133"/>
      <c r="E3765" s="17"/>
      <c r="F3765" s="133"/>
      <c r="G3765" s="133"/>
      <c r="H3765" s="133"/>
      <c r="I3765" s="133"/>
      <c r="J3765" s="133"/>
      <c r="K3765" s="133"/>
      <c r="L3765" s="133"/>
      <c r="M3765" s="133"/>
      <c r="N3765" s="133"/>
      <c r="O3765" s="133"/>
      <c r="P3765" s="134"/>
      <c r="Q3765" s="146"/>
      <c r="R3765" s="17"/>
      <c r="S3765" s="17"/>
      <c r="T3765" s="75"/>
      <c r="U3765" s="75"/>
      <c r="V3765" s="75"/>
      <c r="W3765" s="75"/>
      <c r="X3765" s="75"/>
    </row>
    <row r="3766">
      <c r="A3766" s="17"/>
      <c r="B3766" s="17"/>
      <c r="C3766" s="133"/>
      <c r="D3766" s="133"/>
      <c r="E3766" s="17"/>
      <c r="F3766" s="133"/>
      <c r="G3766" s="133"/>
      <c r="H3766" s="133"/>
      <c r="I3766" s="133"/>
      <c r="J3766" s="133"/>
      <c r="K3766" s="133"/>
      <c r="L3766" s="133"/>
      <c r="M3766" s="133"/>
      <c r="N3766" s="133"/>
      <c r="O3766" s="133"/>
      <c r="P3766" s="134"/>
      <c r="Q3766" s="146"/>
      <c r="R3766" s="17"/>
      <c r="S3766" s="17"/>
      <c r="T3766" s="75"/>
      <c r="U3766" s="75"/>
      <c r="V3766" s="75"/>
      <c r="W3766" s="75"/>
      <c r="X3766" s="75"/>
    </row>
    <row r="3767">
      <c r="A3767" s="17"/>
      <c r="B3767" s="17"/>
      <c r="C3767" s="133"/>
      <c r="D3767" s="133"/>
      <c r="E3767" s="17"/>
      <c r="F3767" s="133"/>
      <c r="G3767" s="133"/>
      <c r="H3767" s="133"/>
      <c r="I3767" s="133"/>
      <c r="J3767" s="133"/>
      <c r="K3767" s="133"/>
      <c r="L3767" s="133"/>
      <c r="M3767" s="133"/>
      <c r="N3767" s="133"/>
      <c r="O3767" s="133"/>
      <c r="P3767" s="134"/>
      <c r="Q3767" s="146"/>
      <c r="R3767" s="17"/>
      <c r="S3767" s="17"/>
      <c r="T3767" s="75"/>
      <c r="U3767" s="75"/>
      <c r="V3767" s="75"/>
      <c r="W3767" s="75"/>
      <c r="X3767" s="75"/>
    </row>
    <row r="3768">
      <c r="A3768" s="17"/>
      <c r="B3768" s="17"/>
      <c r="C3768" s="133"/>
      <c r="D3768" s="133"/>
      <c r="E3768" s="17"/>
      <c r="F3768" s="133"/>
      <c r="G3768" s="133"/>
      <c r="H3768" s="133"/>
      <c r="I3768" s="133"/>
      <c r="J3768" s="133"/>
      <c r="K3768" s="133"/>
      <c r="L3768" s="133"/>
      <c r="M3768" s="133"/>
      <c r="N3768" s="133"/>
      <c r="O3768" s="133"/>
      <c r="P3768" s="134"/>
      <c r="Q3768" s="146"/>
      <c r="R3768" s="17"/>
      <c r="S3768" s="17"/>
      <c r="T3768" s="75"/>
      <c r="U3768" s="75"/>
      <c r="V3768" s="75"/>
      <c r="W3768" s="75"/>
      <c r="X3768" s="75"/>
    </row>
    <row r="3769">
      <c r="A3769" s="17"/>
      <c r="B3769" s="17"/>
      <c r="C3769" s="133"/>
      <c r="D3769" s="133"/>
      <c r="E3769" s="17"/>
      <c r="F3769" s="133"/>
      <c r="G3769" s="133"/>
      <c r="H3769" s="133"/>
      <c r="I3769" s="133"/>
      <c r="J3769" s="133"/>
      <c r="K3769" s="133"/>
      <c r="L3769" s="133"/>
      <c r="M3769" s="133"/>
      <c r="N3769" s="133"/>
      <c r="O3769" s="133"/>
      <c r="P3769" s="134"/>
      <c r="Q3769" s="146"/>
      <c r="R3769" s="17"/>
      <c r="S3769" s="17"/>
      <c r="T3769" s="75"/>
      <c r="U3769" s="75"/>
      <c r="V3769" s="75"/>
      <c r="W3769" s="75"/>
      <c r="X3769" s="75"/>
    </row>
    <row r="3770">
      <c r="A3770" s="17"/>
      <c r="B3770" s="17"/>
      <c r="C3770" s="133"/>
      <c r="D3770" s="133"/>
      <c r="E3770" s="17"/>
      <c r="F3770" s="133"/>
      <c r="G3770" s="133"/>
      <c r="H3770" s="133"/>
      <c r="I3770" s="133"/>
      <c r="J3770" s="133"/>
      <c r="K3770" s="133"/>
      <c r="L3770" s="133"/>
      <c r="M3770" s="133"/>
      <c r="N3770" s="133"/>
      <c r="O3770" s="133"/>
      <c r="P3770" s="134"/>
      <c r="Q3770" s="146"/>
      <c r="R3770" s="17"/>
      <c r="S3770" s="17"/>
      <c r="T3770" s="75"/>
      <c r="U3770" s="75"/>
      <c r="V3770" s="75"/>
      <c r="W3770" s="75"/>
      <c r="X3770" s="75"/>
    </row>
    <row r="3771">
      <c r="A3771" s="17"/>
      <c r="B3771" s="17"/>
      <c r="C3771" s="133"/>
      <c r="D3771" s="133"/>
      <c r="E3771" s="17"/>
      <c r="F3771" s="133"/>
      <c r="G3771" s="133"/>
      <c r="H3771" s="133"/>
      <c r="I3771" s="133"/>
      <c r="J3771" s="133"/>
      <c r="K3771" s="133"/>
      <c r="L3771" s="133"/>
      <c r="M3771" s="133"/>
      <c r="N3771" s="133"/>
      <c r="O3771" s="133"/>
      <c r="P3771" s="134"/>
      <c r="Q3771" s="146"/>
      <c r="R3771" s="17"/>
      <c r="S3771" s="17"/>
      <c r="T3771" s="75"/>
      <c r="U3771" s="75"/>
      <c r="V3771" s="75"/>
      <c r="W3771" s="75"/>
      <c r="X3771" s="75"/>
    </row>
    <row r="3772">
      <c r="A3772" s="17"/>
      <c r="B3772" s="17"/>
      <c r="C3772" s="133"/>
      <c r="D3772" s="133"/>
      <c r="E3772" s="17"/>
      <c r="F3772" s="133"/>
      <c r="G3772" s="133"/>
      <c r="H3772" s="133"/>
      <c r="I3772" s="133"/>
      <c r="J3772" s="133"/>
      <c r="K3772" s="133"/>
      <c r="L3772" s="133"/>
      <c r="M3772" s="133"/>
      <c r="N3772" s="133"/>
      <c r="O3772" s="133"/>
      <c r="P3772" s="134"/>
      <c r="Q3772" s="146"/>
      <c r="R3772" s="17"/>
      <c r="S3772" s="17"/>
      <c r="T3772" s="75"/>
      <c r="U3772" s="75"/>
      <c r="V3772" s="75"/>
      <c r="W3772" s="75"/>
      <c r="X3772" s="75"/>
    </row>
    <row r="3773">
      <c r="A3773" s="17"/>
      <c r="B3773" s="17"/>
      <c r="C3773" s="133"/>
      <c r="D3773" s="133"/>
      <c r="E3773" s="17"/>
      <c r="F3773" s="133"/>
      <c r="G3773" s="133"/>
      <c r="H3773" s="133"/>
      <c r="I3773" s="133"/>
      <c r="J3773" s="133"/>
      <c r="K3773" s="133"/>
      <c r="L3773" s="133"/>
      <c r="M3773" s="133"/>
      <c r="N3773" s="133"/>
      <c r="O3773" s="133"/>
      <c r="P3773" s="134"/>
      <c r="Q3773" s="146"/>
      <c r="R3773" s="17"/>
      <c r="S3773" s="17"/>
      <c r="T3773" s="75"/>
      <c r="U3773" s="75"/>
      <c r="V3773" s="75"/>
      <c r="W3773" s="75"/>
      <c r="X3773" s="75"/>
    </row>
    <row r="3774">
      <c r="A3774" s="17"/>
      <c r="B3774" s="17"/>
      <c r="C3774" s="133"/>
      <c r="D3774" s="133"/>
      <c r="E3774" s="17"/>
      <c r="F3774" s="133"/>
      <c r="G3774" s="133"/>
      <c r="H3774" s="133"/>
      <c r="I3774" s="133"/>
      <c r="J3774" s="133"/>
      <c r="K3774" s="133"/>
      <c r="L3774" s="133"/>
      <c r="M3774" s="133"/>
      <c r="N3774" s="133"/>
      <c r="O3774" s="133"/>
      <c r="P3774" s="134"/>
      <c r="Q3774" s="146"/>
      <c r="R3774" s="17"/>
      <c r="S3774" s="17"/>
      <c r="T3774" s="75"/>
      <c r="U3774" s="75"/>
      <c r="V3774" s="75"/>
      <c r="W3774" s="75"/>
      <c r="X3774" s="75"/>
    </row>
    <row r="3775">
      <c r="A3775" s="17"/>
      <c r="B3775" s="17"/>
      <c r="C3775" s="133"/>
      <c r="D3775" s="133"/>
      <c r="E3775" s="17"/>
      <c r="F3775" s="133"/>
      <c r="G3775" s="133"/>
      <c r="H3775" s="133"/>
      <c r="I3775" s="133"/>
      <c r="J3775" s="133"/>
      <c r="K3775" s="133"/>
      <c r="L3775" s="133"/>
      <c r="M3775" s="133"/>
      <c r="N3775" s="133"/>
      <c r="O3775" s="133"/>
      <c r="P3775" s="134"/>
      <c r="Q3775" s="146"/>
      <c r="R3775" s="17"/>
      <c r="S3775" s="17"/>
      <c r="T3775" s="75"/>
      <c r="U3775" s="75"/>
      <c r="V3775" s="75"/>
      <c r="W3775" s="75"/>
      <c r="X3775" s="75"/>
    </row>
    <row r="3776">
      <c r="A3776" s="17"/>
      <c r="B3776" s="17"/>
      <c r="C3776" s="133"/>
      <c r="D3776" s="133"/>
      <c r="E3776" s="17"/>
      <c r="F3776" s="133"/>
      <c r="G3776" s="133"/>
      <c r="H3776" s="133"/>
      <c r="I3776" s="133"/>
      <c r="J3776" s="133"/>
      <c r="K3776" s="133"/>
      <c r="L3776" s="133"/>
      <c r="M3776" s="133"/>
      <c r="N3776" s="133"/>
      <c r="O3776" s="133"/>
      <c r="P3776" s="134"/>
      <c r="Q3776" s="146"/>
      <c r="R3776" s="17"/>
      <c r="S3776" s="17"/>
      <c r="T3776" s="75"/>
      <c r="U3776" s="75"/>
      <c r="V3776" s="75"/>
      <c r="W3776" s="75"/>
      <c r="X3776" s="75"/>
    </row>
    <row r="3777">
      <c r="A3777" s="17"/>
      <c r="B3777" s="17"/>
      <c r="C3777" s="133"/>
      <c r="D3777" s="133"/>
      <c r="E3777" s="17"/>
      <c r="F3777" s="133"/>
      <c r="G3777" s="133"/>
      <c r="H3777" s="133"/>
      <c r="I3777" s="133"/>
      <c r="J3777" s="133"/>
      <c r="K3777" s="133"/>
      <c r="L3777" s="133"/>
      <c r="M3777" s="133"/>
      <c r="N3777" s="133"/>
      <c r="O3777" s="133"/>
      <c r="P3777" s="134"/>
      <c r="Q3777" s="146"/>
      <c r="R3777" s="17"/>
      <c r="S3777" s="17"/>
      <c r="T3777" s="75"/>
      <c r="U3777" s="75"/>
      <c r="V3777" s="75"/>
      <c r="W3777" s="75"/>
      <c r="X3777" s="75"/>
    </row>
    <row r="3778">
      <c r="A3778" s="17"/>
      <c r="B3778" s="17"/>
      <c r="C3778" s="133"/>
      <c r="D3778" s="133"/>
      <c r="E3778" s="17"/>
      <c r="F3778" s="133"/>
      <c r="G3778" s="133"/>
      <c r="H3778" s="133"/>
      <c r="I3778" s="133"/>
      <c r="J3778" s="133"/>
      <c r="K3778" s="133"/>
      <c r="L3778" s="133"/>
      <c r="M3778" s="133"/>
      <c r="N3778" s="133"/>
      <c r="O3778" s="133"/>
      <c r="P3778" s="134"/>
      <c r="Q3778" s="146"/>
      <c r="R3778" s="17"/>
      <c r="S3778" s="17"/>
      <c r="T3778" s="75"/>
      <c r="U3778" s="75"/>
      <c r="V3778" s="75"/>
      <c r="W3778" s="75"/>
      <c r="X3778" s="75"/>
    </row>
    <row r="3779">
      <c r="A3779" s="17"/>
      <c r="B3779" s="17"/>
      <c r="C3779" s="133"/>
      <c r="D3779" s="133"/>
      <c r="E3779" s="17"/>
      <c r="F3779" s="133"/>
      <c r="G3779" s="133"/>
      <c r="H3779" s="133"/>
      <c r="I3779" s="133"/>
      <c r="J3779" s="133"/>
      <c r="K3779" s="133"/>
      <c r="L3779" s="133"/>
      <c r="M3779" s="133"/>
      <c r="N3779" s="133"/>
      <c r="O3779" s="133"/>
      <c r="P3779" s="134"/>
      <c r="Q3779" s="146"/>
      <c r="R3779" s="17"/>
      <c r="S3779" s="17"/>
      <c r="T3779" s="75"/>
      <c r="U3779" s="75"/>
      <c r="V3779" s="75"/>
      <c r="W3779" s="75"/>
      <c r="X3779" s="75"/>
    </row>
    <row r="3780">
      <c r="A3780" s="17"/>
      <c r="B3780" s="17"/>
      <c r="C3780" s="133"/>
      <c r="D3780" s="133"/>
      <c r="E3780" s="17"/>
      <c r="F3780" s="133"/>
      <c r="G3780" s="133"/>
      <c r="H3780" s="133"/>
      <c r="I3780" s="133"/>
      <c r="J3780" s="133"/>
      <c r="K3780" s="133"/>
      <c r="L3780" s="133"/>
      <c r="M3780" s="133"/>
      <c r="N3780" s="133"/>
      <c r="O3780" s="133"/>
      <c r="P3780" s="134"/>
      <c r="Q3780" s="146"/>
      <c r="R3780" s="17"/>
      <c r="S3780" s="17"/>
      <c r="T3780" s="75"/>
      <c r="U3780" s="75"/>
      <c r="V3780" s="75"/>
      <c r="W3780" s="75"/>
      <c r="X3780" s="75"/>
    </row>
    <row r="3781">
      <c r="A3781" s="17"/>
      <c r="B3781" s="17"/>
      <c r="C3781" s="133"/>
      <c r="D3781" s="133"/>
      <c r="E3781" s="17"/>
      <c r="F3781" s="133"/>
      <c r="G3781" s="133"/>
      <c r="H3781" s="133"/>
      <c r="I3781" s="133"/>
      <c r="J3781" s="133"/>
      <c r="K3781" s="133"/>
      <c r="L3781" s="133"/>
      <c r="M3781" s="133"/>
      <c r="N3781" s="133"/>
      <c r="O3781" s="133"/>
      <c r="P3781" s="134"/>
      <c r="Q3781" s="146"/>
      <c r="R3781" s="17"/>
      <c r="S3781" s="17"/>
      <c r="T3781" s="75"/>
      <c r="U3781" s="75"/>
      <c r="V3781" s="75"/>
      <c r="W3781" s="75"/>
      <c r="X3781" s="75"/>
    </row>
    <row r="3782">
      <c r="A3782" s="17"/>
      <c r="B3782" s="17"/>
      <c r="C3782" s="133"/>
      <c r="D3782" s="133"/>
      <c r="E3782" s="17"/>
      <c r="F3782" s="133"/>
      <c r="G3782" s="133"/>
      <c r="H3782" s="133"/>
      <c r="I3782" s="133"/>
      <c r="J3782" s="133"/>
      <c r="K3782" s="133"/>
      <c r="L3782" s="133"/>
      <c r="M3782" s="133"/>
      <c r="N3782" s="133"/>
      <c r="O3782" s="133"/>
      <c r="P3782" s="134"/>
      <c r="Q3782" s="146"/>
      <c r="R3782" s="17"/>
      <c r="S3782" s="17"/>
      <c r="T3782" s="75"/>
      <c r="U3782" s="75"/>
      <c r="V3782" s="75"/>
      <c r="W3782" s="75"/>
      <c r="X3782" s="75"/>
    </row>
    <row r="3783">
      <c r="A3783" s="17"/>
      <c r="B3783" s="17"/>
      <c r="C3783" s="133"/>
      <c r="D3783" s="133"/>
      <c r="E3783" s="17"/>
      <c r="F3783" s="133"/>
      <c r="G3783" s="133"/>
      <c r="H3783" s="133"/>
      <c r="I3783" s="133"/>
      <c r="J3783" s="133"/>
      <c r="K3783" s="133"/>
      <c r="L3783" s="133"/>
      <c r="M3783" s="133"/>
      <c r="N3783" s="133"/>
      <c r="O3783" s="133"/>
      <c r="P3783" s="134"/>
      <c r="Q3783" s="146"/>
      <c r="R3783" s="17"/>
      <c r="S3783" s="17"/>
      <c r="T3783" s="75"/>
      <c r="U3783" s="75"/>
      <c r="V3783" s="75"/>
      <c r="W3783" s="75"/>
      <c r="X3783" s="75"/>
    </row>
    <row r="3784">
      <c r="A3784" s="17"/>
      <c r="B3784" s="17"/>
      <c r="C3784" s="133"/>
      <c r="D3784" s="133"/>
      <c r="E3784" s="17"/>
      <c r="F3784" s="133"/>
      <c r="G3784" s="133"/>
      <c r="H3784" s="133"/>
      <c r="I3784" s="133"/>
      <c r="J3784" s="133"/>
      <c r="K3784" s="133"/>
      <c r="L3784" s="133"/>
      <c r="M3784" s="133"/>
      <c r="N3784" s="133"/>
      <c r="O3784" s="133"/>
      <c r="P3784" s="134"/>
      <c r="Q3784" s="146"/>
      <c r="R3784" s="17"/>
      <c r="S3784" s="17"/>
      <c r="T3784" s="75"/>
      <c r="U3784" s="75"/>
      <c r="V3784" s="75"/>
      <c r="W3784" s="75"/>
      <c r="X3784" s="75"/>
    </row>
    <row r="3785">
      <c r="A3785" s="17"/>
      <c r="B3785" s="17"/>
      <c r="C3785" s="133"/>
      <c r="D3785" s="133"/>
      <c r="E3785" s="17"/>
      <c r="F3785" s="133"/>
      <c r="G3785" s="133"/>
      <c r="H3785" s="133"/>
      <c r="I3785" s="133"/>
      <c r="J3785" s="133"/>
      <c r="K3785" s="133"/>
      <c r="L3785" s="133"/>
      <c r="M3785" s="133"/>
      <c r="N3785" s="133"/>
      <c r="O3785" s="133"/>
      <c r="P3785" s="134"/>
      <c r="Q3785" s="146"/>
      <c r="R3785" s="17"/>
      <c r="S3785" s="17"/>
      <c r="T3785" s="75"/>
      <c r="U3785" s="75"/>
      <c r="V3785" s="75"/>
      <c r="W3785" s="75"/>
      <c r="X3785" s="75"/>
    </row>
    <row r="3786">
      <c r="A3786" s="17"/>
      <c r="B3786" s="17"/>
      <c r="C3786" s="133"/>
      <c r="D3786" s="133"/>
      <c r="E3786" s="17"/>
      <c r="F3786" s="133"/>
      <c r="G3786" s="133"/>
      <c r="H3786" s="133"/>
      <c r="I3786" s="133"/>
      <c r="J3786" s="133"/>
      <c r="K3786" s="133"/>
      <c r="L3786" s="133"/>
      <c r="M3786" s="133"/>
      <c r="N3786" s="133"/>
      <c r="O3786" s="133"/>
      <c r="P3786" s="134"/>
      <c r="Q3786" s="146"/>
      <c r="R3786" s="17"/>
      <c r="S3786" s="17"/>
      <c r="T3786" s="75"/>
      <c r="U3786" s="75"/>
      <c r="V3786" s="75"/>
      <c r="W3786" s="75"/>
      <c r="X3786" s="75"/>
    </row>
    <row r="3787">
      <c r="A3787" s="17"/>
      <c r="B3787" s="17"/>
      <c r="C3787" s="133"/>
      <c r="D3787" s="133"/>
      <c r="E3787" s="17"/>
      <c r="F3787" s="133"/>
      <c r="G3787" s="133"/>
      <c r="H3787" s="133"/>
      <c r="I3787" s="133"/>
      <c r="J3787" s="133"/>
      <c r="K3787" s="133"/>
      <c r="L3787" s="133"/>
      <c r="M3787" s="133"/>
      <c r="N3787" s="133"/>
      <c r="O3787" s="133"/>
      <c r="P3787" s="134"/>
      <c r="Q3787" s="146"/>
      <c r="R3787" s="17"/>
      <c r="S3787" s="17"/>
      <c r="T3787" s="75"/>
      <c r="U3787" s="75"/>
      <c r="V3787" s="75"/>
      <c r="W3787" s="75"/>
      <c r="X3787" s="75"/>
    </row>
    <row r="3788">
      <c r="A3788" s="17"/>
      <c r="B3788" s="17"/>
      <c r="C3788" s="133"/>
      <c r="D3788" s="133"/>
      <c r="E3788" s="17"/>
      <c r="F3788" s="133"/>
      <c r="G3788" s="133"/>
      <c r="H3788" s="133"/>
      <c r="I3788" s="133"/>
      <c r="J3788" s="133"/>
      <c r="K3788" s="133"/>
      <c r="L3788" s="133"/>
      <c r="M3788" s="133"/>
      <c r="N3788" s="133"/>
      <c r="O3788" s="133"/>
      <c r="P3788" s="134"/>
      <c r="Q3788" s="146"/>
      <c r="R3788" s="17"/>
      <c r="S3788" s="17"/>
      <c r="T3788" s="75"/>
      <c r="U3788" s="75"/>
      <c r="V3788" s="75"/>
      <c r="W3788" s="75"/>
      <c r="X3788" s="75"/>
    </row>
    <row r="3789">
      <c r="A3789" s="17"/>
      <c r="B3789" s="17"/>
      <c r="C3789" s="133"/>
      <c r="D3789" s="133"/>
      <c r="E3789" s="17"/>
      <c r="F3789" s="133"/>
      <c r="G3789" s="133"/>
      <c r="H3789" s="133"/>
      <c r="I3789" s="133"/>
      <c r="J3789" s="133"/>
      <c r="K3789" s="133"/>
      <c r="L3789" s="133"/>
      <c r="M3789" s="133"/>
      <c r="N3789" s="133"/>
      <c r="O3789" s="133"/>
      <c r="P3789" s="134"/>
      <c r="Q3789" s="146"/>
      <c r="R3789" s="17"/>
      <c r="S3789" s="17"/>
      <c r="T3789" s="75"/>
      <c r="U3789" s="75"/>
      <c r="V3789" s="75"/>
      <c r="W3789" s="75"/>
      <c r="X3789" s="75"/>
    </row>
    <row r="3790">
      <c r="A3790" s="17"/>
      <c r="B3790" s="17"/>
      <c r="C3790" s="133"/>
      <c r="D3790" s="133"/>
      <c r="E3790" s="17"/>
      <c r="F3790" s="133"/>
      <c r="G3790" s="133"/>
      <c r="H3790" s="133"/>
      <c r="I3790" s="133"/>
      <c r="J3790" s="133"/>
      <c r="K3790" s="133"/>
      <c r="L3790" s="133"/>
      <c r="M3790" s="133"/>
      <c r="N3790" s="133"/>
      <c r="O3790" s="133"/>
      <c r="P3790" s="134"/>
      <c r="Q3790" s="146"/>
      <c r="R3790" s="17"/>
      <c r="S3790" s="17"/>
      <c r="T3790" s="75"/>
      <c r="U3790" s="75"/>
      <c r="V3790" s="75"/>
      <c r="W3790" s="75"/>
      <c r="X3790" s="75"/>
    </row>
    <row r="3791">
      <c r="A3791" s="17"/>
      <c r="B3791" s="17"/>
      <c r="C3791" s="133"/>
      <c r="D3791" s="133"/>
      <c r="E3791" s="17"/>
      <c r="F3791" s="133"/>
      <c r="G3791" s="133"/>
      <c r="H3791" s="133"/>
      <c r="I3791" s="133"/>
      <c r="J3791" s="133"/>
      <c r="K3791" s="133"/>
      <c r="L3791" s="133"/>
      <c r="M3791" s="133"/>
      <c r="N3791" s="133"/>
      <c r="O3791" s="133"/>
      <c r="P3791" s="134"/>
      <c r="Q3791" s="146"/>
      <c r="R3791" s="17"/>
      <c r="S3791" s="17"/>
      <c r="T3791" s="75"/>
      <c r="U3791" s="75"/>
      <c r="V3791" s="75"/>
      <c r="W3791" s="75"/>
      <c r="X3791" s="75"/>
    </row>
    <row r="3792">
      <c r="A3792" s="17"/>
      <c r="B3792" s="17"/>
      <c r="C3792" s="133"/>
      <c r="D3792" s="133"/>
      <c r="E3792" s="17"/>
      <c r="F3792" s="133"/>
      <c r="G3792" s="133"/>
      <c r="H3792" s="133"/>
      <c r="I3792" s="133"/>
      <c r="J3792" s="133"/>
      <c r="K3792" s="133"/>
      <c r="L3792" s="133"/>
      <c r="M3792" s="133"/>
      <c r="N3792" s="133"/>
      <c r="O3792" s="133"/>
      <c r="P3792" s="134"/>
      <c r="Q3792" s="146"/>
      <c r="R3792" s="17"/>
      <c r="S3792" s="17"/>
      <c r="T3792" s="75"/>
      <c r="U3792" s="75"/>
      <c r="V3792" s="75"/>
      <c r="W3792" s="75"/>
      <c r="X3792" s="75"/>
    </row>
    <row r="3793">
      <c r="A3793" s="17"/>
      <c r="B3793" s="17"/>
      <c r="C3793" s="133"/>
      <c r="D3793" s="133"/>
      <c r="E3793" s="17"/>
      <c r="F3793" s="133"/>
      <c r="G3793" s="133"/>
      <c r="H3793" s="133"/>
      <c r="I3793" s="133"/>
      <c r="J3793" s="133"/>
      <c r="K3793" s="133"/>
      <c r="L3793" s="133"/>
      <c r="M3793" s="133"/>
      <c r="N3793" s="133"/>
      <c r="O3793" s="133"/>
      <c r="P3793" s="134"/>
      <c r="Q3793" s="146"/>
      <c r="R3793" s="17"/>
      <c r="S3793" s="17"/>
      <c r="T3793" s="75"/>
      <c r="U3793" s="75"/>
      <c r="V3793" s="75"/>
      <c r="W3793" s="75"/>
      <c r="X3793" s="75"/>
    </row>
    <row r="3794">
      <c r="A3794" s="17"/>
      <c r="B3794" s="17"/>
      <c r="C3794" s="133"/>
      <c r="D3794" s="133"/>
      <c r="E3794" s="17"/>
      <c r="F3794" s="133"/>
      <c r="G3794" s="133"/>
      <c r="H3794" s="133"/>
      <c r="I3794" s="133"/>
      <c r="J3794" s="133"/>
      <c r="K3794" s="133"/>
      <c r="L3794" s="133"/>
      <c r="M3794" s="133"/>
      <c r="N3794" s="133"/>
      <c r="O3794" s="133"/>
      <c r="P3794" s="134"/>
      <c r="Q3794" s="146"/>
      <c r="R3794" s="17"/>
      <c r="S3794" s="17"/>
      <c r="T3794" s="75"/>
      <c r="U3794" s="75"/>
      <c r="V3794" s="75"/>
      <c r="W3794" s="75"/>
      <c r="X3794" s="75"/>
    </row>
    <row r="3795">
      <c r="A3795" s="17"/>
      <c r="B3795" s="17"/>
      <c r="C3795" s="133"/>
      <c r="D3795" s="133"/>
      <c r="E3795" s="17"/>
      <c r="F3795" s="133"/>
      <c r="G3795" s="133"/>
      <c r="H3795" s="133"/>
      <c r="I3795" s="133"/>
      <c r="J3795" s="133"/>
      <c r="K3795" s="133"/>
      <c r="L3795" s="133"/>
      <c r="M3795" s="133"/>
      <c r="N3795" s="133"/>
      <c r="O3795" s="133"/>
      <c r="P3795" s="134"/>
      <c r="Q3795" s="146"/>
      <c r="R3795" s="17"/>
      <c r="S3795" s="17"/>
      <c r="T3795" s="75"/>
      <c r="U3795" s="75"/>
      <c r="V3795" s="75"/>
      <c r="W3795" s="75"/>
      <c r="X3795" s="75"/>
    </row>
    <row r="3796">
      <c r="A3796" s="17"/>
      <c r="B3796" s="17"/>
      <c r="C3796" s="133"/>
      <c r="D3796" s="133"/>
      <c r="E3796" s="17"/>
      <c r="F3796" s="133"/>
      <c r="G3796" s="133"/>
      <c r="H3796" s="133"/>
      <c r="I3796" s="133"/>
      <c r="J3796" s="133"/>
      <c r="K3796" s="133"/>
      <c r="L3796" s="133"/>
      <c r="M3796" s="133"/>
      <c r="N3796" s="133"/>
      <c r="O3796" s="133"/>
      <c r="P3796" s="134"/>
      <c r="Q3796" s="146"/>
      <c r="R3796" s="17"/>
      <c r="S3796" s="17"/>
      <c r="T3796" s="75"/>
      <c r="U3796" s="75"/>
      <c r="V3796" s="75"/>
      <c r="W3796" s="75"/>
      <c r="X3796" s="75"/>
    </row>
    <row r="3797">
      <c r="A3797" s="17"/>
      <c r="B3797" s="17"/>
      <c r="C3797" s="133"/>
      <c r="D3797" s="133"/>
      <c r="E3797" s="17"/>
      <c r="F3797" s="133"/>
      <c r="G3797" s="133"/>
      <c r="H3797" s="133"/>
      <c r="I3797" s="133"/>
      <c r="J3797" s="133"/>
      <c r="K3797" s="133"/>
      <c r="L3797" s="133"/>
      <c r="M3797" s="133"/>
      <c r="N3797" s="133"/>
      <c r="O3797" s="133"/>
      <c r="P3797" s="134"/>
      <c r="Q3797" s="146"/>
      <c r="R3797" s="17"/>
      <c r="S3797" s="17"/>
      <c r="T3797" s="75"/>
      <c r="U3797" s="75"/>
      <c r="V3797" s="75"/>
      <c r="W3797" s="75"/>
      <c r="X3797" s="75"/>
    </row>
    <row r="3798">
      <c r="A3798" s="17"/>
      <c r="B3798" s="17"/>
      <c r="C3798" s="133"/>
      <c r="D3798" s="133"/>
      <c r="E3798" s="17"/>
      <c r="F3798" s="133"/>
      <c r="G3798" s="133"/>
      <c r="H3798" s="133"/>
      <c r="I3798" s="133"/>
      <c r="J3798" s="133"/>
      <c r="K3798" s="133"/>
      <c r="L3798" s="133"/>
      <c r="M3798" s="133"/>
      <c r="N3798" s="133"/>
      <c r="O3798" s="133"/>
      <c r="P3798" s="134"/>
      <c r="Q3798" s="146"/>
      <c r="R3798" s="17"/>
      <c r="S3798" s="17"/>
      <c r="T3798" s="75"/>
      <c r="U3798" s="75"/>
      <c r="V3798" s="75"/>
      <c r="W3798" s="75"/>
      <c r="X3798" s="75"/>
    </row>
    <row r="3799">
      <c r="A3799" s="17"/>
      <c r="B3799" s="17"/>
      <c r="C3799" s="133"/>
      <c r="D3799" s="133"/>
      <c r="E3799" s="17"/>
      <c r="F3799" s="133"/>
      <c r="G3799" s="133"/>
      <c r="H3799" s="133"/>
      <c r="I3799" s="133"/>
      <c r="J3799" s="133"/>
      <c r="K3799" s="133"/>
      <c r="L3799" s="133"/>
      <c r="M3799" s="133"/>
      <c r="N3799" s="133"/>
      <c r="O3799" s="133"/>
      <c r="P3799" s="134"/>
      <c r="Q3799" s="146"/>
      <c r="R3799" s="17"/>
      <c r="S3799" s="17"/>
      <c r="T3799" s="75"/>
      <c r="U3799" s="75"/>
      <c r="V3799" s="75"/>
      <c r="W3799" s="75"/>
      <c r="X3799" s="75"/>
    </row>
    <row r="3800">
      <c r="A3800" s="17"/>
      <c r="B3800" s="17"/>
      <c r="C3800" s="133"/>
      <c r="D3800" s="133"/>
      <c r="E3800" s="17"/>
      <c r="F3800" s="133"/>
      <c r="G3800" s="133"/>
      <c r="H3800" s="133"/>
      <c r="I3800" s="133"/>
      <c r="J3800" s="133"/>
      <c r="K3800" s="133"/>
      <c r="L3800" s="133"/>
      <c r="M3800" s="133"/>
      <c r="N3800" s="133"/>
      <c r="O3800" s="133"/>
      <c r="P3800" s="134"/>
      <c r="Q3800" s="146"/>
      <c r="R3800" s="17"/>
      <c r="S3800" s="17"/>
      <c r="T3800" s="75"/>
      <c r="U3800" s="75"/>
      <c r="V3800" s="75"/>
      <c r="W3800" s="75"/>
      <c r="X3800" s="75"/>
    </row>
    <row r="3801">
      <c r="A3801" s="17"/>
      <c r="B3801" s="17"/>
      <c r="C3801" s="133"/>
      <c r="D3801" s="133"/>
      <c r="E3801" s="17"/>
      <c r="F3801" s="133"/>
      <c r="G3801" s="133"/>
      <c r="H3801" s="133"/>
      <c r="I3801" s="133"/>
      <c r="J3801" s="133"/>
      <c r="K3801" s="133"/>
      <c r="L3801" s="133"/>
      <c r="M3801" s="133"/>
      <c r="N3801" s="133"/>
      <c r="O3801" s="133"/>
      <c r="P3801" s="134"/>
      <c r="Q3801" s="146"/>
      <c r="R3801" s="17"/>
      <c r="S3801" s="17"/>
      <c r="T3801" s="75"/>
      <c r="U3801" s="75"/>
      <c r="V3801" s="75"/>
      <c r="W3801" s="75"/>
      <c r="X3801" s="75"/>
    </row>
    <row r="3802">
      <c r="A3802" s="17"/>
      <c r="B3802" s="17"/>
      <c r="C3802" s="133"/>
      <c r="D3802" s="133"/>
      <c r="E3802" s="17"/>
      <c r="F3802" s="133"/>
      <c r="G3802" s="133"/>
      <c r="H3802" s="133"/>
      <c r="I3802" s="133"/>
      <c r="J3802" s="133"/>
      <c r="K3802" s="133"/>
      <c r="L3802" s="133"/>
      <c r="M3802" s="133"/>
      <c r="N3802" s="133"/>
      <c r="O3802" s="133"/>
      <c r="P3802" s="134"/>
      <c r="Q3802" s="146"/>
      <c r="R3802" s="17"/>
      <c r="S3802" s="17"/>
      <c r="T3802" s="75"/>
      <c r="U3802" s="75"/>
      <c r="V3802" s="75"/>
      <c r="W3802" s="75"/>
      <c r="X3802" s="75"/>
    </row>
    <row r="3803">
      <c r="A3803" s="17"/>
      <c r="B3803" s="17"/>
      <c r="C3803" s="133"/>
      <c r="D3803" s="133"/>
      <c r="E3803" s="17"/>
      <c r="F3803" s="133"/>
      <c r="G3803" s="133"/>
      <c r="H3803" s="133"/>
      <c r="I3803" s="133"/>
      <c r="J3803" s="133"/>
      <c r="K3803" s="133"/>
      <c r="L3803" s="133"/>
      <c r="M3803" s="133"/>
      <c r="N3803" s="133"/>
      <c r="O3803" s="133"/>
      <c r="P3803" s="134"/>
      <c r="Q3803" s="146"/>
      <c r="R3803" s="17"/>
      <c r="S3803" s="17"/>
      <c r="T3803" s="75"/>
      <c r="U3803" s="75"/>
      <c r="V3803" s="75"/>
      <c r="W3803" s="75"/>
      <c r="X3803" s="75"/>
    </row>
    <row r="3804">
      <c r="A3804" s="17"/>
      <c r="B3804" s="17"/>
      <c r="C3804" s="133"/>
      <c r="D3804" s="133"/>
      <c r="E3804" s="17"/>
      <c r="F3804" s="133"/>
      <c r="G3804" s="133"/>
      <c r="H3804" s="133"/>
      <c r="I3804" s="133"/>
      <c r="J3804" s="133"/>
      <c r="K3804" s="133"/>
      <c r="L3804" s="133"/>
      <c r="M3804" s="133"/>
      <c r="N3804" s="133"/>
      <c r="O3804" s="133"/>
      <c r="P3804" s="134"/>
      <c r="Q3804" s="146"/>
      <c r="R3804" s="17"/>
      <c r="S3804" s="17"/>
      <c r="T3804" s="75"/>
      <c r="U3804" s="75"/>
      <c r="V3804" s="75"/>
      <c r="W3804" s="75"/>
      <c r="X3804" s="75"/>
    </row>
    <row r="3805">
      <c r="A3805" s="17"/>
      <c r="B3805" s="17"/>
      <c r="C3805" s="133"/>
      <c r="D3805" s="133"/>
      <c r="E3805" s="17"/>
      <c r="F3805" s="133"/>
      <c r="G3805" s="133"/>
      <c r="H3805" s="133"/>
      <c r="I3805" s="133"/>
      <c r="J3805" s="133"/>
      <c r="K3805" s="133"/>
      <c r="L3805" s="133"/>
      <c r="M3805" s="133"/>
      <c r="N3805" s="133"/>
      <c r="O3805" s="133"/>
      <c r="P3805" s="134"/>
      <c r="Q3805" s="146"/>
      <c r="R3805" s="17"/>
      <c r="S3805" s="17"/>
      <c r="T3805" s="75"/>
      <c r="U3805" s="75"/>
      <c r="V3805" s="75"/>
      <c r="W3805" s="75"/>
      <c r="X3805" s="75"/>
    </row>
    <row r="3806">
      <c r="A3806" s="17"/>
      <c r="B3806" s="17"/>
      <c r="C3806" s="133"/>
      <c r="D3806" s="133"/>
      <c r="E3806" s="17"/>
      <c r="F3806" s="133"/>
      <c r="G3806" s="133"/>
      <c r="H3806" s="133"/>
      <c r="I3806" s="133"/>
      <c r="J3806" s="133"/>
      <c r="K3806" s="133"/>
      <c r="L3806" s="133"/>
      <c r="M3806" s="133"/>
      <c r="N3806" s="133"/>
      <c r="O3806" s="133"/>
      <c r="P3806" s="134"/>
      <c r="Q3806" s="146"/>
      <c r="R3806" s="17"/>
      <c r="S3806" s="17"/>
      <c r="T3806" s="75"/>
      <c r="U3806" s="75"/>
      <c r="V3806" s="75"/>
      <c r="W3806" s="75"/>
      <c r="X3806" s="75"/>
    </row>
    <row r="3807">
      <c r="A3807" s="17"/>
      <c r="B3807" s="17"/>
      <c r="C3807" s="133"/>
      <c r="D3807" s="133"/>
      <c r="E3807" s="17"/>
      <c r="F3807" s="133"/>
      <c r="G3807" s="133"/>
      <c r="H3807" s="133"/>
      <c r="I3807" s="133"/>
      <c r="J3807" s="133"/>
      <c r="K3807" s="133"/>
      <c r="L3807" s="133"/>
      <c r="M3807" s="133"/>
      <c r="N3807" s="133"/>
      <c r="O3807" s="133"/>
      <c r="P3807" s="134"/>
      <c r="Q3807" s="146"/>
      <c r="R3807" s="17"/>
      <c r="S3807" s="17"/>
      <c r="T3807" s="75"/>
      <c r="U3807" s="75"/>
      <c r="V3807" s="75"/>
      <c r="W3807" s="75"/>
      <c r="X3807" s="75"/>
    </row>
    <row r="3808">
      <c r="A3808" s="17"/>
      <c r="B3808" s="17"/>
      <c r="C3808" s="133"/>
      <c r="D3808" s="133"/>
      <c r="E3808" s="17"/>
      <c r="F3808" s="133"/>
      <c r="G3808" s="133"/>
      <c r="H3808" s="133"/>
      <c r="I3808" s="133"/>
      <c r="J3808" s="133"/>
      <c r="K3808" s="133"/>
      <c r="L3808" s="133"/>
      <c r="M3808" s="133"/>
      <c r="N3808" s="133"/>
      <c r="O3808" s="133"/>
      <c r="P3808" s="134"/>
      <c r="Q3808" s="146"/>
      <c r="R3808" s="17"/>
      <c r="S3808" s="17"/>
      <c r="T3808" s="75"/>
      <c r="U3808" s="75"/>
      <c r="V3808" s="75"/>
      <c r="W3808" s="75"/>
      <c r="X3808" s="75"/>
    </row>
    <row r="3809">
      <c r="A3809" s="17"/>
      <c r="B3809" s="17"/>
      <c r="C3809" s="133"/>
      <c r="D3809" s="133"/>
      <c r="E3809" s="17"/>
      <c r="F3809" s="133"/>
      <c r="G3809" s="133"/>
      <c r="H3809" s="133"/>
      <c r="I3809" s="133"/>
      <c r="J3809" s="133"/>
      <c r="K3809" s="133"/>
      <c r="L3809" s="133"/>
      <c r="M3809" s="133"/>
      <c r="N3809" s="133"/>
      <c r="O3809" s="133"/>
      <c r="P3809" s="134"/>
      <c r="Q3809" s="146"/>
      <c r="R3809" s="17"/>
      <c r="S3809" s="17"/>
      <c r="T3809" s="75"/>
      <c r="U3809" s="75"/>
      <c r="V3809" s="75"/>
      <c r="W3809" s="75"/>
      <c r="X3809" s="75"/>
    </row>
    <row r="3810">
      <c r="A3810" s="17"/>
      <c r="B3810" s="17"/>
      <c r="C3810" s="133"/>
      <c r="D3810" s="133"/>
      <c r="E3810" s="17"/>
      <c r="F3810" s="133"/>
      <c r="G3810" s="133"/>
      <c r="H3810" s="133"/>
      <c r="I3810" s="133"/>
      <c r="J3810" s="133"/>
      <c r="K3810" s="133"/>
      <c r="L3810" s="133"/>
      <c r="M3810" s="133"/>
      <c r="N3810" s="133"/>
      <c r="O3810" s="133"/>
      <c r="P3810" s="134"/>
      <c r="Q3810" s="146"/>
      <c r="R3810" s="17"/>
      <c r="S3810" s="17"/>
      <c r="T3810" s="75"/>
      <c r="U3810" s="75"/>
      <c r="V3810" s="75"/>
      <c r="W3810" s="75"/>
      <c r="X3810" s="75"/>
    </row>
    <row r="3811">
      <c r="A3811" s="17"/>
      <c r="B3811" s="17"/>
      <c r="C3811" s="133"/>
      <c r="D3811" s="133"/>
      <c r="E3811" s="17"/>
      <c r="F3811" s="133"/>
      <c r="G3811" s="133"/>
      <c r="H3811" s="133"/>
      <c r="I3811" s="133"/>
      <c r="J3811" s="133"/>
      <c r="K3811" s="133"/>
      <c r="L3811" s="133"/>
      <c r="M3811" s="133"/>
      <c r="N3811" s="133"/>
      <c r="O3811" s="133"/>
      <c r="P3811" s="134"/>
      <c r="Q3811" s="146"/>
      <c r="R3811" s="17"/>
      <c r="S3811" s="17"/>
      <c r="T3811" s="75"/>
      <c r="U3811" s="75"/>
      <c r="V3811" s="75"/>
      <c r="W3811" s="75"/>
      <c r="X3811" s="75"/>
    </row>
    <row r="3812">
      <c r="A3812" s="17"/>
      <c r="B3812" s="17"/>
      <c r="C3812" s="133"/>
      <c r="D3812" s="133"/>
      <c r="E3812" s="17"/>
      <c r="F3812" s="133"/>
      <c r="G3812" s="133"/>
      <c r="H3812" s="133"/>
      <c r="I3812" s="133"/>
      <c r="J3812" s="133"/>
      <c r="K3812" s="133"/>
      <c r="L3812" s="133"/>
      <c r="M3812" s="133"/>
      <c r="N3812" s="133"/>
      <c r="O3812" s="133"/>
      <c r="P3812" s="134"/>
      <c r="Q3812" s="146"/>
      <c r="R3812" s="17"/>
      <c r="S3812" s="17"/>
      <c r="T3812" s="75"/>
      <c r="U3812" s="75"/>
      <c r="V3812" s="75"/>
      <c r="W3812" s="75"/>
      <c r="X3812" s="75"/>
    </row>
    <row r="3813">
      <c r="A3813" s="17"/>
      <c r="B3813" s="17"/>
      <c r="C3813" s="133"/>
      <c r="D3813" s="133"/>
      <c r="E3813" s="17"/>
      <c r="F3813" s="133"/>
      <c r="G3813" s="133"/>
      <c r="H3813" s="133"/>
      <c r="I3813" s="133"/>
      <c r="J3813" s="133"/>
      <c r="K3813" s="133"/>
      <c r="L3813" s="133"/>
      <c r="M3813" s="133"/>
      <c r="N3813" s="133"/>
      <c r="O3813" s="133"/>
      <c r="P3813" s="134"/>
      <c r="Q3813" s="146"/>
      <c r="R3813" s="17"/>
      <c r="S3813" s="17"/>
      <c r="T3813" s="75"/>
      <c r="U3813" s="75"/>
      <c r="V3813" s="75"/>
      <c r="W3813" s="75"/>
      <c r="X3813" s="75"/>
    </row>
    <row r="3814">
      <c r="A3814" s="17"/>
      <c r="B3814" s="17"/>
      <c r="C3814" s="133"/>
      <c r="D3814" s="133"/>
      <c r="E3814" s="17"/>
      <c r="F3814" s="133"/>
      <c r="G3814" s="133"/>
      <c r="H3814" s="133"/>
      <c r="I3814" s="133"/>
      <c r="J3814" s="133"/>
      <c r="K3814" s="133"/>
      <c r="L3814" s="133"/>
      <c r="M3814" s="133"/>
      <c r="N3814" s="133"/>
      <c r="O3814" s="133"/>
      <c r="P3814" s="134"/>
      <c r="Q3814" s="146"/>
      <c r="R3814" s="17"/>
      <c r="S3814" s="17"/>
      <c r="T3814" s="75"/>
      <c r="U3814" s="75"/>
      <c r="V3814" s="75"/>
      <c r="W3814" s="75"/>
      <c r="X3814" s="75"/>
    </row>
    <row r="3815">
      <c r="A3815" s="17"/>
      <c r="B3815" s="17"/>
      <c r="C3815" s="133"/>
      <c r="D3815" s="133"/>
      <c r="E3815" s="17"/>
      <c r="F3815" s="133"/>
      <c r="G3815" s="133"/>
      <c r="H3815" s="133"/>
      <c r="I3815" s="133"/>
      <c r="J3815" s="133"/>
      <c r="K3815" s="133"/>
      <c r="L3815" s="133"/>
      <c r="M3815" s="133"/>
      <c r="N3815" s="133"/>
      <c r="O3815" s="133"/>
      <c r="P3815" s="134"/>
      <c r="Q3815" s="146"/>
      <c r="R3815" s="17"/>
      <c r="S3815" s="17"/>
      <c r="T3815" s="75"/>
      <c r="U3815" s="75"/>
      <c r="V3815" s="75"/>
      <c r="W3815" s="75"/>
      <c r="X3815" s="75"/>
    </row>
    <row r="3816">
      <c r="A3816" s="17"/>
      <c r="B3816" s="17"/>
      <c r="C3816" s="133"/>
      <c r="D3816" s="133"/>
      <c r="E3816" s="17"/>
      <c r="F3816" s="133"/>
      <c r="G3816" s="133"/>
      <c r="H3816" s="133"/>
      <c r="I3816" s="133"/>
      <c r="J3816" s="133"/>
      <c r="K3816" s="133"/>
      <c r="L3816" s="133"/>
      <c r="M3816" s="133"/>
      <c r="N3816" s="133"/>
      <c r="O3816" s="133"/>
      <c r="P3816" s="134"/>
      <c r="Q3816" s="146"/>
      <c r="R3816" s="17"/>
      <c r="S3816" s="17"/>
      <c r="T3816" s="75"/>
      <c r="U3816" s="75"/>
      <c r="V3816" s="75"/>
      <c r="W3816" s="75"/>
      <c r="X3816" s="75"/>
    </row>
    <row r="3817">
      <c r="A3817" s="17"/>
      <c r="B3817" s="17"/>
      <c r="C3817" s="133"/>
      <c r="D3817" s="133"/>
      <c r="E3817" s="17"/>
      <c r="F3817" s="133"/>
      <c r="G3817" s="133"/>
      <c r="H3817" s="133"/>
      <c r="I3817" s="133"/>
      <c r="J3817" s="133"/>
      <c r="K3817" s="133"/>
      <c r="L3817" s="133"/>
      <c r="M3817" s="133"/>
      <c r="N3817" s="133"/>
      <c r="O3817" s="133"/>
      <c r="P3817" s="134"/>
      <c r="Q3817" s="146"/>
      <c r="R3817" s="17"/>
      <c r="S3817" s="17"/>
      <c r="T3817" s="75"/>
      <c r="U3817" s="75"/>
      <c r="V3817" s="75"/>
      <c r="W3817" s="75"/>
      <c r="X3817" s="75"/>
    </row>
    <row r="3818">
      <c r="A3818" s="17"/>
      <c r="B3818" s="17"/>
      <c r="C3818" s="133"/>
      <c r="D3818" s="133"/>
      <c r="E3818" s="17"/>
      <c r="F3818" s="133"/>
      <c r="G3818" s="133"/>
      <c r="H3818" s="133"/>
      <c r="I3818" s="133"/>
      <c r="J3818" s="133"/>
      <c r="K3818" s="133"/>
      <c r="L3818" s="133"/>
      <c r="M3818" s="133"/>
      <c r="N3818" s="133"/>
      <c r="O3818" s="133"/>
      <c r="P3818" s="134"/>
      <c r="Q3818" s="146"/>
      <c r="R3818" s="17"/>
      <c r="S3818" s="17"/>
      <c r="T3818" s="75"/>
      <c r="U3818" s="75"/>
      <c r="V3818" s="75"/>
      <c r="W3818" s="75"/>
      <c r="X3818" s="75"/>
    </row>
    <row r="3819">
      <c r="A3819" s="17"/>
      <c r="B3819" s="17"/>
      <c r="C3819" s="133"/>
      <c r="D3819" s="133"/>
      <c r="E3819" s="17"/>
      <c r="F3819" s="133"/>
      <c r="G3819" s="133"/>
      <c r="H3819" s="133"/>
      <c r="I3819" s="133"/>
      <c r="J3819" s="133"/>
      <c r="K3819" s="133"/>
      <c r="L3819" s="133"/>
      <c r="M3819" s="133"/>
      <c r="N3819" s="133"/>
      <c r="O3819" s="133"/>
      <c r="P3819" s="134"/>
      <c r="Q3819" s="146"/>
      <c r="R3819" s="17"/>
      <c r="S3819" s="17"/>
      <c r="T3819" s="75"/>
      <c r="U3819" s="75"/>
      <c r="V3819" s="75"/>
      <c r="W3819" s="75"/>
      <c r="X3819" s="75"/>
    </row>
    <row r="3820">
      <c r="A3820" s="17"/>
      <c r="B3820" s="17"/>
      <c r="C3820" s="133"/>
      <c r="D3820" s="133"/>
      <c r="E3820" s="17"/>
      <c r="F3820" s="133"/>
      <c r="G3820" s="133"/>
      <c r="H3820" s="133"/>
      <c r="I3820" s="133"/>
      <c r="J3820" s="133"/>
      <c r="K3820" s="133"/>
      <c r="L3820" s="133"/>
      <c r="M3820" s="133"/>
      <c r="N3820" s="133"/>
      <c r="O3820" s="133"/>
      <c r="P3820" s="134"/>
      <c r="Q3820" s="146"/>
      <c r="R3820" s="17"/>
      <c r="S3820" s="17"/>
      <c r="T3820" s="75"/>
      <c r="U3820" s="75"/>
      <c r="V3820" s="75"/>
      <c r="W3820" s="75"/>
      <c r="X3820" s="75"/>
    </row>
    <row r="3821">
      <c r="A3821" s="17"/>
      <c r="B3821" s="17"/>
      <c r="C3821" s="133"/>
      <c r="D3821" s="133"/>
      <c r="E3821" s="17"/>
      <c r="F3821" s="133"/>
      <c r="G3821" s="133"/>
      <c r="H3821" s="133"/>
      <c r="I3821" s="133"/>
      <c r="J3821" s="133"/>
      <c r="K3821" s="133"/>
      <c r="L3821" s="133"/>
      <c r="M3821" s="133"/>
      <c r="N3821" s="133"/>
      <c r="O3821" s="133"/>
      <c r="P3821" s="134"/>
      <c r="Q3821" s="146"/>
      <c r="R3821" s="17"/>
      <c r="S3821" s="17"/>
      <c r="T3821" s="75"/>
      <c r="U3821" s="75"/>
      <c r="V3821" s="75"/>
      <c r="W3821" s="75"/>
      <c r="X3821" s="75"/>
    </row>
    <row r="3822">
      <c r="A3822" s="17"/>
      <c r="B3822" s="17"/>
      <c r="C3822" s="133"/>
      <c r="D3822" s="133"/>
      <c r="E3822" s="17"/>
      <c r="F3822" s="133"/>
      <c r="G3822" s="133"/>
      <c r="H3822" s="133"/>
      <c r="I3822" s="133"/>
      <c r="J3822" s="133"/>
      <c r="K3822" s="133"/>
      <c r="L3822" s="133"/>
      <c r="M3822" s="133"/>
      <c r="N3822" s="133"/>
      <c r="O3822" s="133"/>
      <c r="P3822" s="134"/>
      <c r="Q3822" s="146"/>
      <c r="R3822" s="17"/>
      <c r="S3822" s="17"/>
      <c r="T3822" s="75"/>
      <c r="U3822" s="75"/>
      <c r="V3822" s="75"/>
      <c r="W3822" s="75"/>
      <c r="X3822" s="75"/>
    </row>
    <row r="3823">
      <c r="A3823" s="17"/>
      <c r="B3823" s="17"/>
      <c r="C3823" s="133"/>
      <c r="D3823" s="133"/>
      <c r="E3823" s="17"/>
      <c r="F3823" s="133"/>
      <c r="G3823" s="133"/>
      <c r="H3823" s="133"/>
      <c r="I3823" s="133"/>
      <c r="J3823" s="133"/>
      <c r="K3823" s="133"/>
      <c r="L3823" s="133"/>
      <c r="M3823" s="133"/>
      <c r="N3823" s="133"/>
      <c r="O3823" s="133"/>
      <c r="P3823" s="134"/>
      <c r="Q3823" s="146"/>
      <c r="R3823" s="17"/>
      <c r="S3823" s="17"/>
      <c r="T3823" s="75"/>
      <c r="U3823" s="75"/>
      <c r="V3823" s="75"/>
      <c r="W3823" s="75"/>
      <c r="X3823" s="75"/>
    </row>
    <row r="3824">
      <c r="A3824" s="17"/>
      <c r="B3824" s="17"/>
      <c r="C3824" s="133"/>
      <c r="D3824" s="133"/>
      <c r="E3824" s="17"/>
      <c r="F3824" s="133"/>
      <c r="G3824" s="133"/>
      <c r="H3824" s="133"/>
      <c r="I3824" s="133"/>
      <c r="J3824" s="133"/>
      <c r="K3824" s="133"/>
      <c r="L3824" s="133"/>
      <c r="M3824" s="133"/>
      <c r="N3824" s="133"/>
      <c r="O3824" s="133"/>
      <c r="P3824" s="134"/>
      <c r="Q3824" s="146"/>
      <c r="R3824" s="17"/>
      <c r="S3824" s="17"/>
      <c r="T3824" s="75"/>
      <c r="U3824" s="75"/>
      <c r="V3824" s="75"/>
      <c r="W3824" s="75"/>
      <c r="X3824" s="75"/>
    </row>
    <row r="3825">
      <c r="A3825" s="17"/>
      <c r="B3825" s="17"/>
      <c r="C3825" s="133"/>
      <c r="D3825" s="133"/>
      <c r="E3825" s="17"/>
      <c r="F3825" s="133"/>
      <c r="G3825" s="133"/>
      <c r="H3825" s="133"/>
      <c r="I3825" s="133"/>
      <c r="J3825" s="133"/>
      <c r="K3825" s="133"/>
      <c r="L3825" s="133"/>
      <c r="M3825" s="133"/>
      <c r="N3825" s="133"/>
      <c r="O3825" s="133"/>
      <c r="P3825" s="134"/>
      <c r="Q3825" s="146"/>
      <c r="R3825" s="17"/>
      <c r="S3825" s="17"/>
      <c r="T3825" s="75"/>
      <c r="U3825" s="75"/>
      <c r="V3825" s="75"/>
      <c r="W3825" s="75"/>
      <c r="X3825" s="75"/>
    </row>
    <row r="3826">
      <c r="A3826" s="17"/>
      <c r="B3826" s="17"/>
      <c r="C3826" s="133"/>
      <c r="D3826" s="133"/>
      <c r="E3826" s="17"/>
      <c r="F3826" s="133"/>
      <c r="G3826" s="133"/>
      <c r="H3826" s="133"/>
      <c r="I3826" s="133"/>
      <c r="J3826" s="133"/>
      <c r="K3826" s="133"/>
      <c r="L3826" s="133"/>
      <c r="M3826" s="133"/>
      <c r="N3826" s="133"/>
      <c r="O3826" s="133"/>
      <c r="P3826" s="134"/>
      <c r="Q3826" s="146"/>
      <c r="R3826" s="17"/>
      <c r="S3826" s="17"/>
      <c r="T3826" s="75"/>
      <c r="U3826" s="75"/>
      <c r="V3826" s="75"/>
      <c r="W3826" s="75"/>
      <c r="X3826" s="75"/>
    </row>
    <row r="3827">
      <c r="A3827" s="17"/>
      <c r="B3827" s="17"/>
      <c r="C3827" s="133"/>
      <c r="D3827" s="133"/>
      <c r="E3827" s="17"/>
      <c r="F3827" s="133"/>
      <c r="G3827" s="133"/>
      <c r="H3827" s="133"/>
      <c r="I3827" s="133"/>
      <c r="J3827" s="133"/>
      <c r="K3827" s="133"/>
      <c r="L3827" s="133"/>
      <c r="M3827" s="133"/>
      <c r="N3827" s="133"/>
      <c r="O3827" s="133"/>
      <c r="P3827" s="134"/>
      <c r="Q3827" s="146"/>
      <c r="R3827" s="17"/>
      <c r="S3827" s="17"/>
      <c r="T3827" s="75"/>
      <c r="U3827" s="75"/>
      <c r="V3827" s="75"/>
      <c r="W3827" s="75"/>
      <c r="X3827" s="75"/>
    </row>
    <row r="3828">
      <c r="A3828" s="17"/>
      <c r="B3828" s="17"/>
      <c r="C3828" s="133"/>
      <c r="D3828" s="133"/>
      <c r="E3828" s="17"/>
      <c r="F3828" s="133"/>
      <c r="G3828" s="133"/>
      <c r="H3828" s="133"/>
      <c r="I3828" s="133"/>
      <c r="J3828" s="133"/>
      <c r="K3828" s="133"/>
      <c r="L3828" s="133"/>
      <c r="M3828" s="133"/>
      <c r="N3828" s="133"/>
      <c r="O3828" s="133"/>
      <c r="P3828" s="134"/>
      <c r="Q3828" s="146"/>
      <c r="R3828" s="17"/>
      <c r="S3828" s="17"/>
      <c r="T3828" s="75"/>
      <c r="U3828" s="75"/>
      <c r="V3828" s="75"/>
      <c r="W3828" s="75"/>
      <c r="X3828" s="75"/>
    </row>
    <row r="3829">
      <c r="A3829" s="17"/>
      <c r="B3829" s="17"/>
      <c r="C3829" s="133"/>
      <c r="D3829" s="133"/>
      <c r="E3829" s="17"/>
      <c r="F3829" s="133"/>
      <c r="G3829" s="133"/>
      <c r="H3829" s="133"/>
      <c r="I3829" s="133"/>
      <c r="J3829" s="133"/>
      <c r="K3829" s="133"/>
      <c r="L3829" s="133"/>
      <c r="M3829" s="133"/>
      <c r="N3829" s="133"/>
      <c r="O3829" s="133"/>
      <c r="P3829" s="134"/>
      <c r="Q3829" s="146"/>
      <c r="R3829" s="17"/>
      <c r="S3829" s="17"/>
      <c r="T3829" s="75"/>
      <c r="U3829" s="75"/>
      <c r="V3829" s="75"/>
      <c r="W3829" s="75"/>
      <c r="X3829" s="75"/>
    </row>
    <row r="3830">
      <c r="A3830" s="17"/>
      <c r="B3830" s="17"/>
      <c r="C3830" s="133"/>
      <c r="D3830" s="133"/>
      <c r="E3830" s="17"/>
      <c r="F3830" s="133"/>
      <c r="G3830" s="133"/>
      <c r="H3830" s="133"/>
      <c r="I3830" s="133"/>
      <c r="J3830" s="133"/>
      <c r="K3830" s="133"/>
      <c r="L3830" s="133"/>
      <c r="M3830" s="133"/>
      <c r="N3830" s="133"/>
      <c r="O3830" s="133"/>
      <c r="P3830" s="134"/>
      <c r="Q3830" s="146"/>
      <c r="R3830" s="17"/>
      <c r="S3830" s="17"/>
      <c r="T3830" s="75"/>
      <c r="U3830" s="75"/>
      <c r="V3830" s="75"/>
      <c r="W3830" s="75"/>
      <c r="X3830" s="75"/>
    </row>
    <row r="3831">
      <c r="A3831" s="17"/>
      <c r="B3831" s="17"/>
      <c r="C3831" s="133"/>
      <c r="D3831" s="133"/>
      <c r="E3831" s="17"/>
      <c r="F3831" s="133"/>
      <c r="G3831" s="133"/>
      <c r="H3831" s="133"/>
      <c r="I3831" s="133"/>
      <c r="J3831" s="133"/>
      <c r="K3831" s="133"/>
      <c r="L3831" s="133"/>
      <c r="M3831" s="133"/>
      <c r="N3831" s="133"/>
      <c r="O3831" s="133"/>
      <c r="P3831" s="134"/>
      <c r="Q3831" s="146"/>
      <c r="R3831" s="17"/>
      <c r="S3831" s="17"/>
      <c r="T3831" s="75"/>
      <c r="U3831" s="75"/>
      <c r="V3831" s="75"/>
      <c r="W3831" s="75"/>
      <c r="X3831" s="75"/>
    </row>
    <row r="3832">
      <c r="A3832" s="17"/>
      <c r="B3832" s="17"/>
      <c r="C3832" s="133"/>
      <c r="D3832" s="133"/>
      <c r="E3832" s="17"/>
      <c r="F3832" s="133"/>
      <c r="G3832" s="133"/>
      <c r="H3832" s="133"/>
      <c r="I3832" s="133"/>
      <c r="J3832" s="133"/>
      <c r="K3832" s="133"/>
      <c r="L3832" s="133"/>
      <c r="M3832" s="133"/>
      <c r="N3832" s="133"/>
      <c r="O3832" s="133"/>
      <c r="P3832" s="134"/>
      <c r="Q3832" s="146"/>
      <c r="R3832" s="17"/>
      <c r="S3832" s="17"/>
      <c r="T3832" s="75"/>
      <c r="U3832" s="75"/>
      <c r="V3832" s="75"/>
      <c r="W3832" s="75"/>
      <c r="X3832" s="75"/>
    </row>
    <row r="3833">
      <c r="A3833" s="17"/>
      <c r="B3833" s="17"/>
      <c r="C3833" s="133"/>
      <c r="D3833" s="133"/>
      <c r="E3833" s="17"/>
      <c r="F3833" s="133"/>
      <c r="G3833" s="133"/>
      <c r="H3833" s="133"/>
      <c r="I3833" s="133"/>
      <c r="J3833" s="133"/>
      <c r="K3833" s="133"/>
      <c r="L3833" s="133"/>
      <c r="M3833" s="133"/>
      <c r="N3833" s="133"/>
      <c r="O3833" s="133"/>
      <c r="P3833" s="134"/>
      <c r="Q3833" s="146"/>
      <c r="R3833" s="17"/>
      <c r="S3833" s="17"/>
      <c r="T3833" s="75"/>
      <c r="U3833" s="75"/>
      <c r="V3833" s="75"/>
      <c r="W3833" s="75"/>
      <c r="X3833" s="75"/>
    </row>
    <row r="3834">
      <c r="A3834" s="17"/>
      <c r="B3834" s="17"/>
      <c r="C3834" s="133"/>
      <c r="D3834" s="133"/>
      <c r="E3834" s="17"/>
      <c r="F3834" s="133"/>
      <c r="G3834" s="133"/>
      <c r="H3834" s="133"/>
      <c r="I3834" s="133"/>
      <c r="J3834" s="133"/>
      <c r="K3834" s="133"/>
      <c r="L3834" s="133"/>
      <c r="M3834" s="133"/>
      <c r="N3834" s="133"/>
      <c r="O3834" s="133"/>
      <c r="P3834" s="134"/>
      <c r="Q3834" s="146"/>
      <c r="R3834" s="17"/>
      <c r="S3834" s="17"/>
      <c r="T3834" s="75"/>
      <c r="U3834" s="75"/>
      <c r="V3834" s="75"/>
      <c r="W3834" s="75"/>
      <c r="X3834" s="75"/>
    </row>
    <row r="3835">
      <c r="A3835" s="17"/>
      <c r="B3835" s="17"/>
      <c r="C3835" s="133"/>
      <c r="D3835" s="133"/>
      <c r="E3835" s="17"/>
      <c r="F3835" s="133"/>
      <c r="G3835" s="133"/>
      <c r="H3835" s="133"/>
      <c r="I3835" s="133"/>
      <c r="J3835" s="133"/>
      <c r="K3835" s="133"/>
      <c r="L3835" s="133"/>
      <c r="M3835" s="133"/>
      <c r="N3835" s="133"/>
      <c r="O3835" s="133"/>
      <c r="P3835" s="134"/>
      <c r="Q3835" s="146"/>
      <c r="R3835" s="17"/>
      <c r="S3835" s="17"/>
      <c r="T3835" s="75"/>
      <c r="U3835" s="75"/>
      <c r="V3835" s="75"/>
      <c r="W3835" s="75"/>
      <c r="X3835" s="75"/>
    </row>
    <row r="3836">
      <c r="A3836" s="17"/>
      <c r="B3836" s="17"/>
      <c r="C3836" s="133"/>
      <c r="D3836" s="133"/>
      <c r="E3836" s="17"/>
      <c r="F3836" s="133"/>
      <c r="G3836" s="133"/>
      <c r="H3836" s="133"/>
      <c r="I3836" s="133"/>
      <c r="J3836" s="133"/>
      <c r="K3836" s="133"/>
      <c r="L3836" s="133"/>
      <c r="M3836" s="133"/>
      <c r="N3836" s="133"/>
      <c r="O3836" s="133"/>
      <c r="P3836" s="134"/>
      <c r="Q3836" s="146"/>
      <c r="R3836" s="17"/>
      <c r="S3836" s="17"/>
      <c r="T3836" s="75"/>
      <c r="U3836" s="75"/>
      <c r="V3836" s="75"/>
      <c r="W3836" s="75"/>
      <c r="X3836" s="75"/>
    </row>
    <row r="3837">
      <c r="A3837" s="17"/>
      <c r="B3837" s="17"/>
      <c r="C3837" s="133"/>
      <c r="D3837" s="133"/>
      <c r="E3837" s="17"/>
      <c r="F3837" s="133"/>
      <c r="G3837" s="133"/>
      <c r="H3837" s="133"/>
      <c r="I3837" s="133"/>
      <c r="J3837" s="133"/>
      <c r="K3837" s="133"/>
      <c r="L3837" s="133"/>
      <c r="M3837" s="133"/>
      <c r="N3837" s="133"/>
      <c r="O3837" s="133"/>
      <c r="P3837" s="134"/>
      <c r="Q3837" s="146"/>
      <c r="R3837" s="17"/>
      <c r="S3837" s="17"/>
      <c r="T3837" s="75"/>
      <c r="U3837" s="75"/>
      <c r="V3837" s="75"/>
      <c r="W3837" s="75"/>
      <c r="X3837" s="75"/>
    </row>
    <row r="3838">
      <c r="A3838" s="17"/>
      <c r="B3838" s="17"/>
      <c r="C3838" s="133"/>
      <c r="D3838" s="133"/>
      <c r="E3838" s="17"/>
      <c r="F3838" s="133"/>
      <c r="G3838" s="133"/>
      <c r="H3838" s="133"/>
      <c r="I3838" s="133"/>
      <c r="J3838" s="133"/>
      <c r="K3838" s="133"/>
      <c r="L3838" s="133"/>
      <c r="M3838" s="133"/>
      <c r="N3838" s="133"/>
      <c r="O3838" s="133"/>
      <c r="P3838" s="134"/>
      <c r="Q3838" s="146"/>
      <c r="R3838" s="17"/>
      <c r="S3838" s="17"/>
      <c r="T3838" s="75"/>
      <c r="U3838" s="75"/>
      <c r="V3838" s="75"/>
      <c r="W3838" s="75"/>
      <c r="X3838" s="75"/>
    </row>
    <row r="3839">
      <c r="A3839" s="17"/>
      <c r="B3839" s="17"/>
      <c r="C3839" s="133"/>
      <c r="D3839" s="133"/>
      <c r="E3839" s="17"/>
      <c r="F3839" s="133"/>
      <c r="G3839" s="133"/>
      <c r="H3839" s="133"/>
      <c r="I3839" s="133"/>
      <c r="J3839" s="133"/>
      <c r="K3839" s="133"/>
      <c r="L3839" s="133"/>
      <c r="M3839" s="133"/>
      <c r="N3839" s="133"/>
      <c r="O3839" s="133"/>
      <c r="P3839" s="134"/>
      <c r="Q3839" s="146"/>
      <c r="R3839" s="17"/>
      <c r="S3839" s="17"/>
      <c r="T3839" s="75"/>
      <c r="U3839" s="75"/>
      <c r="V3839" s="75"/>
      <c r="W3839" s="75"/>
      <c r="X3839" s="75"/>
    </row>
    <row r="3840">
      <c r="A3840" s="17"/>
      <c r="B3840" s="17"/>
      <c r="C3840" s="133"/>
      <c r="D3840" s="133"/>
      <c r="E3840" s="17"/>
      <c r="F3840" s="133"/>
      <c r="G3840" s="133"/>
      <c r="H3840" s="133"/>
      <c r="I3840" s="133"/>
      <c r="J3840" s="133"/>
      <c r="K3840" s="133"/>
      <c r="L3840" s="133"/>
      <c r="M3840" s="133"/>
      <c r="N3840" s="133"/>
      <c r="O3840" s="133"/>
      <c r="P3840" s="134"/>
      <c r="Q3840" s="146"/>
      <c r="R3840" s="17"/>
      <c r="S3840" s="17"/>
      <c r="T3840" s="75"/>
      <c r="U3840" s="75"/>
      <c r="V3840" s="75"/>
      <c r="W3840" s="75"/>
      <c r="X3840" s="75"/>
    </row>
    <row r="3841">
      <c r="A3841" s="17"/>
      <c r="B3841" s="17"/>
      <c r="C3841" s="133"/>
      <c r="D3841" s="133"/>
      <c r="E3841" s="17"/>
      <c r="F3841" s="133"/>
      <c r="G3841" s="133"/>
      <c r="H3841" s="133"/>
      <c r="I3841" s="133"/>
      <c r="J3841" s="133"/>
      <c r="K3841" s="133"/>
      <c r="L3841" s="133"/>
      <c r="M3841" s="133"/>
      <c r="N3841" s="133"/>
      <c r="O3841" s="133"/>
      <c r="P3841" s="134"/>
      <c r="Q3841" s="146"/>
      <c r="R3841" s="17"/>
      <c r="S3841" s="17"/>
      <c r="T3841" s="75"/>
      <c r="U3841" s="75"/>
      <c r="V3841" s="75"/>
      <c r="W3841" s="75"/>
      <c r="X3841" s="75"/>
    </row>
    <row r="3842">
      <c r="A3842" s="17"/>
      <c r="B3842" s="17"/>
      <c r="C3842" s="133"/>
      <c r="D3842" s="133"/>
      <c r="E3842" s="17"/>
      <c r="F3842" s="133"/>
      <c r="G3842" s="133"/>
      <c r="H3842" s="133"/>
      <c r="I3842" s="133"/>
      <c r="J3842" s="133"/>
      <c r="K3842" s="133"/>
      <c r="L3842" s="133"/>
      <c r="M3842" s="133"/>
      <c r="N3842" s="133"/>
      <c r="O3842" s="133"/>
      <c r="P3842" s="134"/>
      <c r="Q3842" s="146"/>
      <c r="R3842" s="17"/>
      <c r="S3842" s="17"/>
      <c r="T3842" s="75"/>
      <c r="U3842" s="75"/>
      <c r="V3842" s="75"/>
      <c r="W3842" s="75"/>
      <c r="X3842" s="75"/>
    </row>
    <row r="3843">
      <c r="A3843" s="17"/>
      <c r="B3843" s="17"/>
      <c r="C3843" s="133"/>
      <c r="D3843" s="133"/>
      <c r="E3843" s="17"/>
      <c r="F3843" s="133"/>
      <c r="G3843" s="133"/>
      <c r="H3843" s="133"/>
      <c r="I3843" s="133"/>
      <c r="J3843" s="133"/>
      <c r="K3843" s="133"/>
      <c r="L3843" s="133"/>
      <c r="M3843" s="133"/>
      <c r="N3843" s="133"/>
      <c r="O3843" s="133"/>
      <c r="P3843" s="134"/>
      <c r="Q3843" s="146"/>
      <c r="R3843" s="17"/>
      <c r="S3843" s="17"/>
      <c r="T3843" s="75"/>
      <c r="U3843" s="75"/>
      <c r="V3843" s="75"/>
      <c r="W3843" s="75"/>
      <c r="X3843" s="75"/>
    </row>
    <row r="3844">
      <c r="A3844" s="17"/>
      <c r="B3844" s="17"/>
      <c r="C3844" s="133"/>
      <c r="D3844" s="133"/>
      <c r="E3844" s="17"/>
      <c r="F3844" s="133"/>
      <c r="G3844" s="133"/>
      <c r="H3844" s="133"/>
      <c r="I3844" s="133"/>
      <c r="J3844" s="133"/>
      <c r="K3844" s="133"/>
      <c r="L3844" s="133"/>
      <c r="M3844" s="133"/>
      <c r="N3844" s="133"/>
      <c r="O3844" s="133"/>
      <c r="P3844" s="134"/>
      <c r="Q3844" s="146"/>
      <c r="R3844" s="17"/>
      <c r="S3844" s="17"/>
      <c r="T3844" s="75"/>
      <c r="U3844" s="75"/>
      <c r="V3844" s="75"/>
      <c r="W3844" s="75"/>
      <c r="X3844" s="75"/>
    </row>
    <row r="3845">
      <c r="A3845" s="17"/>
      <c r="B3845" s="17"/>
      <c r="C3845" s="133"/>
      <c r="D3845" s="133"/>
      <c r="E3845" s="17"/>
      <c r="F3845" s="133"/>
      <c r="G3845" s="133"/>
      <c r="H3845" s="133"/>
      <c r="I3845" s="133"/>
      <c r="J3845" s="133"/>
      <c r="K3845" s="133"/>
      <c r="L3845" s="133"/>
      <c r="M3845" s="133"/>
      <c r="N3845" s="133"/>
      <c r="O3845" s="133"/>
      <c r="P3845" s="134"/>
      <c r="Q3845" s="146"/>
      <c r="R3845" s="17"/>
      <c r="S3845" s="17"/>
      <c r="T3845" s="75"/>
      <c r="U3845" s="75"/>
      <c r="V3845" s="75"/>
      <c r="W3845" s="75"/>
      <c r="X3845" s="75"/>
    </row>
    <row r="3846">
      <c r="A3846" s="17"/>
      <c r="B3846" s="17"/>
      <c r="C3846" s="133"/>
      <c r="D3846" s="133"/>
      <c r="E3846" s="17"/>
      <c r="F3846" s="133"/>
      <c r="G3846" s="133"/>
      <c r="H3846" s="133"/>
      <c r="I3846" s="133"/>
      <c r="J3846" s="133"/>
      <c r="K3846" s="133"/>
      <c r="L3846" s="133"/>
      <c r="M3846" s="133"/>
      <c r="N3846" s="133"/>
      <c r="O3846" s="133"/>
      <c r="P3846" s="134"/>
      <c r="Q3846" s="146"/>
      <c r="R3846" s="17"/>
      <c r="S3846" s="17"/>
      <c r="T3846" s="75"/>
      <c r="U3846" s="75"/>
      <c r="V3846" s="75"/>
      <c r="W3846" s="75"/>
      <c r="X3846" s="75"/>
    </row>
    <row r="3847">
      <c r="A3847" s="17"/>
      <c r="B3847" s="17"/>
      <c r="C3847" s="133"/>
      <c r="D3847" s="133"/>
      <c r="E3847" s="17"/>
      <c r="F3847" s="133"/>
      <c r="G3847" s="133"/>
      <c r="H3847" s="133"/>
      <c r="I3847" s="133"/>
      <c r="J3847" s="133"/>
      <c r="K3847" s="133"/>
      <c r="L3847" s="133"/>
      <c r="M3847" s="133"/>
      <c r="N3847" s="133"/>
      <c r="O3847" s="133"/>
      <c r="P3847" s="134"/>
      <c r="Q3847" s="146"/>
      <c r="R3847" s="17"/>
      <c r="S3847" s="17"/>
      <c r="T3847" s="75"/>
      <c r="U3847" s="75"/>
      <c r="V3847" s="75"/>
      <c r="W3847" s="75"/>
      <c r="X3847" s="75"/>
    </row>
    <row r="3848">
      <c r="A3848" s="17"/>
      <c r="B3848" s="17"/>
      <c r="C3848" s="133"/>
      <c r="D3848" s="133"/>
      <c r="E3848" s="17"/>
      <c r="F3848" s="133"/>
      <c r="G3848" s="133"/>
      <c r="H3848" s="133"/>
      <c r="I3848" s="133"/>
      <c r="J3848" s="133"/>
      <c r="K3848" s="133"/>
      <c r="L3848" s="133"/>
      <c r="M3848" s="133"/>
      <c r="N3848" s="133"/>
      <c r="O3848" s="133"/>
      <c r="P3848" s="134"/>
      <c r="Q3848" s="146"/>
      <c r="R3848" s="17"/>
      <c r="S3848" s="17"/>
      <c r="T3848" s="75"/>
      <c r="U3848" s="75"/>
      <c r="V3848" s="75"/>
      <c r="W3848" s="75"/>
      <c r="X3848" s="75"/>
    </row>
    <row r="3849">
      <c r="A3849" s="17"/>
      <c r="B3849" s="17"/>
      <c r="C3849" s="133"/>
      <c r="D3849" s="133"/>
      <c r="E3849" s="17"/>
      <c r="F3849" s="133"/>
      <c r="G3849" s="133"/>
      <c r="H3849" s="133"/>
      <c r="I3849" s="133"/>
      <c r="J3849" s="133"/>
      <c r="K3849" s="133"/>
      <c r="L3849" s="133"/>
      <c r="M3849" s="133"/>
      <c r="N3849" s="133"/>
      <c r="O3849" s="133"/>
      <c r="P3849" s="134"/>
      <c r="Q3849" s="146"/>
      <c r="R3849" s="17"/>
      <c r="S3849" s="17"/>
      <c r="T3849" s="75"/>
      <c r="U3849" s="75"/>
      <c r="V3849" s="75"/>
      <c r="W3849" s="75"/>
      <c r="X3849" s="75"/>
    </row>
    <row r="3850">
      <c r="A3850" s="17"/>
      <c r="B3850" s="17"/>
      <c r="C3850" s="133"/>
      <c r="D3850" s="133"/>
      <c r="E3850" s="17"/>
      <c r="F3850" s="133"/>
      <c r="G3850" s="133"/>
      <c r="H3850" s="133"/>
      <c r="I3850" s="133"/>
      <c r="J3850" s="133"/>
      <c r="K3850" s="133"/>
      <c r="L3850" s="133"/>
      <c r="M3850" s="133"/>
      <c r="N3850" s="133"/>
      <c r="O3850" s="133"/>
      <c r="P3850" s="134"/>
      <c r="Q3850" s="146"/>
      <c r="R3850" s="17"/>
      <c r="S3850" s="17"/>
      <c r="T3850" s="75"/>
      <c r="U3850" s="75"/>
      <c r="V3850" s="75"/>
      <c r="W3850" s="75"/>
      <c r="X3850" s="75"/>
    </row>
    <row r="3851">
      <c r="A3851" s="17"/>
      <c r="B3851" s="17"/>
      <c r="C3851" s="133"/>
      <c r="D3851" s="133"/>
      <c r="E3851" s="17"/>
      <c r="F3851" s="133"/>
      <c r="G3851" s="133"/>
      <c r="H3851" s="133"/>
      <c r="I3851" s="133"/>
      <c r="J3851" s="133"/>
      <c r="K3851" s="133"/>
      <c r="L3851" s="133"/>
      <c r="M3851" s="133"/>
      <c r="N3851" s="133"/>
      <c r="O3851" s="133"/>
      <c r="P3851" s="134"/>
      <c r="Q3851" s="146"/>
      <c r="R3851" s="17"/>
      <c r="S3851" s="17"/>
      <c r="T3851" s="75"/>
      <c r="U3851" s="75"/>
      <c r="V3851" s="75"/>
      <c r="W3851" s="75"/>
      <c r="X3851" s="75"/>
    </row>
    <row r="3852">
      <c r="A3852" s="17"/>
      <c r="B3852" s="17"/>
      <c r="C3852" s="133"/>
      <c r="D3852" s="133"/>
      <c r="E3852" s="17"/>
      <c r="F3852" s="133"/>
      <c r="G3852" s="133"/>
      <c r="H3852" s="133"/>
      <c r="I3852" s="133"/>
      <c r="J3852" s="133"/>
      <c r="K3852" s="133"/>
      <c r="L3852" s="133"/>
      <c r="M3852" s="133"/>
      <c r="N3852" s="133"/>
      <c r="O3852" s="133"/>
      <c r="P3852" s="134"/>
      <c r="Q3852" s="146"/>
      <c r="R3852" s="17"/>
      <c r="S3852" s="17"/>
      <c r="T3852" s="75"/>
      <c r="U3852" s="75"/>
      <c r="V3852" s="75"/>
      <c r="W3852" s="75"/>
      <c r="X3852" s="75"/>
    </row>
    <row r="3853">
      <c r="A3853" s="17"/>
      <c r="B3853" s="17"/>
      <c r="C3853" s="133"/>
      <c r="D3853" s="133"/>
      <c r="E3853" s="17"/>
      <c r="F3853" s="133"/>
      <c r="G3853" s="133"/>
      <c r="H3853" s="133"/>
      <c r="I3853" s="133"/>
      <c r="J3853" s="133"/>
      <c r="K3853" s="133"/>
      <c r="L3853" s="133"/>
      <c r="M3853" s="133"/>
      <c r="N3853" s="133"/>
      <c r="O3853" s="133"/>
      <c r="P3853" s="134"/>
      <c r="Q3853" s="146"/>
      <c r="R3853" s="17"/>
      <c r="S3853" s="17"/>
      <c r="T3853" s="75"/>
      <c r="U3853" s="75"/>
      <c r="V3853" s="75"/>
      <c r="W3853" s="75"/>
      <c r="X3853" s="75"/>
    </row>
    <row r="3854">
      <c r="A3854" s="17"/>
      <c r="B3854" s="17"/>
      <c r="C3854" s="133"/>
      <c r="D3854" s="133"/>
      <c r="E3854" s="17"/>
      <c r="F3854" s="133"/>
      <c r="G3854" s="133"/>
      <c r="H3854" s="133"/>
      <c r="I3854" s="133"/>
      <c r="J3854" s="133"/>
      <c r="K3854" s="133"/>
      <c r="L3854" s="133"/>
      <c r="M3854" s="133"/>
      <c r="N3854" s="133"/>
      <c r="O3854" s="133"/>
      <c r="P3854" s="134"/>
      <c r="Q3854" s="146"/>
      <c r="R3854" s="17"/>
      <c r="S3854" s="17"/>
      <c r="T3854" s="75"/>
      <c r="U3854" s="75"/>
      <c r="V3854" s="75"/>
      <c r="W3854" s="75"/>
      <c r="X3854" s="75"/>
    </row>
    <row r="3855">
      <c r="A3855" s="17"/>
      <c r="B3855" s="17"/>
      <c r="C3855" s="133"/>
      <c r="D3855" s="133"/>
      <c r="E3855" s="17"/>
      <c r="F3855" s="133"/>
      <c r="G3855" s="133"/>
      <c r="H3855" s="133"/>
      <c r="I3855" s="133"/>
      <c r="J3855" s="133"/>
      <c r="K3855" s="133"/>
      <c r="L3855" s="133"/>
      <c r="M3855" s="133"/>
      <c r="N3855" s="133"/>
      <c r="O3855" s="133"/>
      <c r="P3855" s="134"/>
      <c r="Q3855" s="146"/>
      <c r="R3855" s="17"/>
      <c r="S3855" s="17"/>
      <c r="T3855" s="75"/>
      <c r="U3855" s="75"/>
      <c r="V3855" s="75"/>
      <c r="W3855" s="75"/>
      <c r="X3855" s="75"/>
    </row>
    <row r="3856">
      <c r="A3856" s="17"/>
      <c r="B3856" s="17"/>
      <c r="C3856" s="133"/>
      <c r="D3856" s="133"/>
      <c r="E3856" s="17"/>
      <c r="F3856" s="133"/>
      <c r="G3856" s="133"/>
      <c r="H3856" s="133"/>
      <c r="I3856" s="133"/>
      <c r="J3856" s="133"/>
      <c r="K3856" s="133"/>
      <c r="L3856" s="133"/>
      <c r="M3856" s="133"/>
      <c r="N3856" s="133"/>
      <c r="O3856" s="133"/>
      <c r="P3856" s="134"/>
      <c r="Q3856" s="146"/>
      <c r="R3856" s="17"/>
      <c r="S3856" s="17"/>
      <c r="T3856" s="75"/>
      <c r="U3856" s="75"/>
      <c r="V3856" s="75"/>
      <c r="W3856" s="75"/>
      <c r="X3856" s="75"/>
    </row>
    <row r="3857">
      <c r="A3857" s="17"/>
      <c r="B3857" s="17"/>
      <c r="C3857" s="133"/>
      <c r="D3857" s="133"/>
      <c r="E3857" s="17"/>
      <c r="F3857" s="133"/>
      <c r="G3857" s="133"/>
      <c r="H3857" s="133"/>
      <c r="I3857" s="133"/>
      <c r="J3857" s="133"/>
      <c r="K3857" s="133"/>
      <c r="L3857" s="133"/>
      <c r="M3857" s="133"/>
      <c r="N3857" s="133"/>
      <c r="O3857" s="133"/>
      <c r="P3857" s="134"/>
      <c r="Q3857" s="146"/>
      <c r="R3857" s="17"/>
      <c r="S3857" s="17"/>
      <c r="T3857" s="75"/>
      <c r="U3857" s="75"/>
      <c r="V3857" s="75"/>
      <c r="W3857" s="75"/>
      <c r="X3857" s="75"/>
    </row>
    <row r="3858">
      <c r="A3858" s="17"/>
      <c r="B3858" s="17"/>
      <c r="C3858" s="133"/>
      <c r="D3858" s="133"/>
      <c r="E3858" s="17"/>
      <c r="F3858" s="133"/>
      <c r="G3858" s="133"/>
      <c r="H3858" s="133"/>
      <c r="I3858" s="133"/>
      <c r="J3858" s="133"/>
      <c r="K3858" s="133"/>
      <c r="L3858" s="133"/>
      <c r="M3858" s="133"/>
      <c r="N3858" s="133"/>
      <c r="O3858" s="133"/>
      <c r="P3858" s="134"/>
      <c r="Q3858" s="146"/>
      <c r="R3858" s="17"/>
      <c r="S3858" s="17"/>
      <c r="T3858" s="75"/>
      <c r="U3858" s="75"/>
      <c r="V3858" s="75"/>
      <c r="W3858" s="75"/>
      <c r="X3858" s="75"/>
    </row>
    <row r="3859">
      <c r="A3859" s="17"/>
      <c r="B3859" s="17"/>
      <c r="C3859" s="133"/>
      <c r="D3859" s="133"/>
      <c r="E3859" s="17"/>
      <c r="F3859" s="133"/>
      <c r="G3859" s="133"/>
      <c r="H3859" s="133"/>
      <c r="I3859" s="133"/>
      <c r="J3859" s="133"/>
      <c r="K3859" s="133"/>
      <c r="L3859" s="133"/>
      <c r="M3859" s="133"/>
      <c r="N3859" s="133"/>
      <c r="O3859" s="133"/>
      <c r="P3859" s="134"/>
      <c r="Q3859" s="146"/>
      <c r="R3859" s="17"/>
      <c r="S3859" s="17"/>
      <c r="T3859" s="75"/>
      <c r="U3859" s="75"/>
      <c r="V3859" s="75"/>
      <c r="W3859" s="75"/>
      <c r="X3859" s="75"/>
    </row>
    <row r="3860">
      <c r="A3860" s="17"/>
      <c r="B3860" s="17"/>
      <c r="C3860" s="133"/>
      <c r="D3860" s="133"/>
      <c r="E3860" s="17"/>
      <c r="F3860" s="133"/>
      <c r="G3860" s="133"/>
      <c r="H3860" s="133"/>
      <c r="I3860" s="133"/>
      <c r="J3860" s="133"/>
      <c r="K3860" s="133"/>
      <c r="L3860" s="133"/>
      <c r="M3860" s="133"/>
      <c r="N3860" s="133"/>
      <c r="O3860" s="133"/>
      <c r="P3860" s="134"/>
      <c r="Q3860" s="146"/>
      <c r="R3860" s="17"/>
      <c r="S3860" s="17"/>
      <c r="T3860" s="75"/>
      <c r="U3860" s="75"/>
      <c r="V3860" s="75"/>
      <c r="W3860" s="75"/>
      <c r="X3860" s="75"/>
    </row>
    <row r="3861">
      <c r="A3861" s="17"/>
      <c r="B3861" s="17"/>
      <c r="C3861" s="133"/>
      <c r="D3861" s="133"/>
      <c r="E3861" s="17"/>
      <c r="F3861" s="133"/>
      <c r="G3861" s="133"/>
      <c r="H3861" s="133"/>
      <c r="I3861" s="133"/>
      <c r="J3861" s="133"/>
      <c r="K3861" s="133"/>
      <c r="L3861" s="133"/>
      <c r="M3861" s="133"/>
      <c r="N3861" s="133"/>
      <c r="O3861" s="133"/>
      <c r="P3861" s="134"/>
      <c r="Q3861" s="146"/>
      <c r="R3861" s="17"/>
      <c r="S3861" s="17"/>
      <c r="T3861" s="75"/>
      <c r="U3861" s="75"/>
      <c r="V3861" s="75"/>
      <c r="W3861" s="75"/>
      <c r="X3861" s="75"/>
    </row>
    <row r="3862">
      <c r="A3862" s="17"/>
      <c r="B3862" s="17"/>
      <c r="C3862" s="133"/>
      <c r="D3862" s="133"/>
      <c r="E3862" s="17"/>
      <c r="F3862" s="133"/>
      <c r="G3862" s="133"/>
      <c r="H3862" s="133"/>
      <c r="I3862" s="133"/>
      <c r="J3862" s="133"/>
      <c r="K3862" s="133"/>
      <c r="L3862" s="133"/>
      <c r="M3862" s="133"/>
      <c r="N3862" s="133"/>
      <c r="O3862" s="133"/>
      <c r="P3862" s="134"/>
      <c r="Q3862" s="146"/>
      <c r="R3862" s="17"/>
      <c r="S3862" s="17"/>
      <c r="T3862" s="75"/>
      <c r="U3862" s="75"/>
      <c r="V3862" s="75"/>
      <c r="W3862" s="75"/>
      <c r="X3862" s="75"/>
    </row>
    <row r="3863">
      <c r="A3863" s="17"/>
      <c r="B3863" s="17"/>
      <c r="C3863" s="133"/>
      <c r="D3863" s="133"/>
      <c r="E3863" s="17"/>
      <c r="F3863" s="133"/>
      <c r="G3863" s="133"/>
      <c r="H3863" s="133"/>
      <c r="I3863" s="133"/>
      <c r="J3863" s="133"/>
      <c r="K3863" s="133"/>
      <c r="L3863" s="133"/>
      <c r="M3863" s="133"/>
      <c r="N3863" s="133"/>
      <c r="O3863" s="133"/>
      <c r="P3863" s="134"/>
      <c r="Q3863" s="146"/>
      <c r="R3863" s="17"/>
      <c r="S3863" s="17"/>
      <c r="T3863" s="75"/>
      <c r="U3863" s="75"/>
      <c r="V3863" s="75"/>
      <c r="W3863" s="75"/>
      <c r="X3863" s="75"/>
    </row>
    <row r="3864">
      <c r="A3864" s="17"/>
      <c r="B3864" s="17"/>
      <c r="C3864" s="133"/>
      <c r="D3864" s="133"/>
      <c r="E3864" s="17"/>
      <c r="F3864" s="133"/>
      <c r="G3864" s="133"/>
      <c r="H3864" s="133"/>
      <c r="I3864" s="133"/>
      <c r="J3864" s="133"/>
      <c r="K3864" s="133"/>
      <c r="L3864" s="133"/>
      <c r="M3864" s="133"/>
      <c r="N3864" s="133"/>
      <c r="O3864" s="133"/>
      <c r="P3864" s="134"/>
      <c r="Q3864" s="146"/>
      <c r="R3864" s="17"/>
      <c r="S3864" s="17"/>
      <c r="T3864" s="75"/>
      <c r="U3864" s="75"/>
      <c r="V3864" s="75"/>
      <c r="W3864" s="75"/>
      <c r="X3864" s="75"/>
    </row>
    <row r="3865">
      <c r="A3865" s="17"/>
      <c r="B3865" s="17"/>
      <c r="C3865" s="133"/>
      <c r="D3865" s="133"/>
      <c r="E3865" s="17"/>
      <c r="F3865" s="133"/>
      <c r="G3865" s="133"/>
      <c r="H3865" s="133"/>
      <c r="I3865" s="133"/>
      <c r="J3865" s="133"/>
      <c r="K3865" s="133"/>
      <c r="L3865" s="133"/>
      <c r="M3865" s="133"/>
      <c r="N3865" s="133"/>
      <c r="O3865" s="133"/>
      <c r="P3865" s="134"/>
      <c r="Q3865" s="146"/>
      <c r="R3865" s="17"/>
      <c r="S3865" s="17"/>
      <c r="T3865" s="75"/>
      <c r="U3865" s="75"/>
      <c r="V3865" s="75"/>
      <c r="W3865" s="75"/>
      <c r="X3865" s="75"/>
    </row>
    <row r="3866">
      <c r="A3866" s="17"/>
      <c r="B3866" s="17"/>
      <c r="C3866" s="133"/>
      <c r="D3866" s="133"/>
      <c r="E3866" s="17"/>
      <c r="F3866" s="133"/>
      <c r="G3866" s="133"/>
      <c r="H3866" s="133"/>
      <c r="I3866" s="133"/>
      <c r="J3866" s="133"/>
      <c r="K3866" s="133"/>
      <c r="L3866" s="133"/>
      <c r="M3866" s="133"/>
      <c r="N3866" s="133"/>
      <c r="O3866" s="133"/>
      <c r="P3866" s="134"/>
      <c r="Q3866" s="146"/>
      <c r="R3866" s="17"/>
      <c r="S3866" s="17"/>
      <c r="T3866" s="75"/>
      <c r="U3866" s="75"/>
      <c r="V3866" s="75"/>
      <c r="W3866" s="75"/>
      <c r="X3866" s="75"/>
    </row>
    <row r="3867">
      <c r="A3867" s="17"/>
      <c r="B3867" s="17"/>
      <c r="C3867" s="133"/>
      <c r="D3867" s="133"/>
      <c r="E3867" s="17"/>
      <c r="F3867" s="133"/>
      <c r="G3867" s="133"/>
      <c r="H3867" s="133"/>
      <c r="I3867" s="133"/>
      <c r="J3867" s="133"/>
      <c r="K3867" s="133"/>
      <c r="L3867" s="133"/>
      <c r="M3867" s="133"/>
      <c r="N3867" s="133"/>
      <c r="O3867" s="133"/>
      <c r="P3867" s="134"/>
      <c r="Q3867" s="146"/>
      <c r="R3867" s="17"/>
      <c r="S3867" s="17"/>
      <c r="T3867" s="75"/>
      <c r="U3867" s="75"/>
      <c r="V3867" s="75"/>
      <c r="W3867" s="75"/>
      <c r="X3867" s="75"/>
    </row>
    <row r="3868">
      <c r="A3868" s="17"/>
      <c r="B3868" s="17"/>
      <c r="C3868" s="133"/>
      <c r="D3868" s="133"/>
      <c r="E3868" s="17"/>
      <c r="F3868" s="133"/>
      <c r="G3868" s="133"/>
      <c r="H3868" s="133"/>
      <c r="I3868" s="133"/>
      <c r="J3868" s="133"/>
      <c r="K3868" s="133"/>
      <c r="L3868" s="133"/>
      <c r="M3868" s="133"/>
      <c r="N3868" s="133"/>
      <c r="O3868" s="133"/>
      <c r="P3868" s="134"/>
      <c r="Q3868" s="146"/>
      <c r="R3868" s="17"/>
      <c r="S3868" s="17"/>
      <c r="T3868" s="75"/>
      <c r="U3868" s="75"/>
      <c r="V3868" s="75"/>
      <c r="W3868" s="75"/>
      <c r="X3868" s="75"/>
    </row>
    <row r="3869">
      <c r="A3869" s="17"/>
      <c r="B3869" s="17"/>
      <c r="C3869" s="133"/>
      <c r="D3869" s="133"/>
      <c r="E3869" s="17"/>
      <c r="F3869" s="133"/>
      <c r="G3869" s="133"/>
      <c r="H3869" s="133"/>
      <c r="I3869" s="133"/>
      <c r="J3869" s="133"/>
      <c r="K3869" s="133"/>
      <c r="L3869" s="133"/>
      <c r="M3869" s="133"/>
      <c r="N3869" s="133"/>
      <c r="O3869" s="133"/>
      <c r="P3869" s="134"/>
      <c r="Q3869" s="146"/>
      <c r="R3869" s="17"/>
      <c r="S3869" s="17"/>
      <c r="T3869" s="75"/>
      <c r="U3869" s="75"/>
      <c r="V3869" s="75"/>
      <c r="W3869" s="75"/>
      <c r="X3869" s="75"/>
    </row>
    <row r="3870">
      <c r="A3870" s="17"/>
      <c r="B3870" s="17"/>
      <c r="C3870" s="133"/>
      <c r="D3870" s="133"/>
      <c r="E3870" s="17"/>
      <c r="F3870" s="133"/>
      <c r="G3870" s="133"/>
      <c r="H3870" s="133"/>
      <c r="I3870" s="133"/>
      <c r="J3870" s="133"/>
      <c r="K3870" s="133"/>
      <c r="L3870" s="133"/>
      <c r="M3870" s="133"/>
      <c r="N3870" s="133"/>
      <c r="O3870" s="133"/>
      <c r="P3870" s="134"/>
      <c r="Q3870" s="146"/>
      <c r="R3870" s="17"/>
      <c r="S3870" s="17"/>
      <c r="T3870" s="75"/>
      <c r="U3870" s="75"/>
      <c r="V3870" s="75"/>
      <c r="W3870" s="75"/>
      <c r="X3870" s="75"/>
    </row>
    <row r="3871">
      <c r="A3871" s="17"/>
      <c r="B3871" s="17"/>
      <c r="C3871" s="133"/>
      <c r="D3871" s="133"/>
      <c r="E3871" s="17"/>
      <c r="F3871" s="133"/>
      <c r="G3871" s="133"/>
      <c r="H3871" s="133"/>
      <c r="I3871" s="133"/>
      <c r="J3871" s="133"/>
      <c r="K3871" s="133"/>
      <c r="L3871" s="133"/>
      <c r="M3871" s="133"/>
      <c r="N3871" s="133"/>
      <c r="O3871" s="133"/>
      <c r="P3871" s="134"/>
      <c r="Q3871" s="146"/>
      <c r="R3871" s="17"/>
      <c r="S3871" s="17"/>
      <c r="T3871" s="75"/>
      <c r="U3871" s="75"/>
      <c r="V3871" s="75"/>
      <c r="W3871" s="75"/>
      <c r="X3871" s="75"/>
    </row>
    <row r="3872">
      <c r="A3872" s="17"/>
      <c r="B3872" s="17"/>
      <c r="C3872" s="133"/>
      <c r="D3872" s="133"/>
      <c r="E3872" s="17"/>
      <c r="F3872" s="133"/>
      <c r="G3872" s="133"/>
      <c r="H3872" s="133"/>
      <c r="I3872" s="133"/>
      <c r="J3872" s="133"/>
      <c r="K3872" s="133"/>
      <c r="L3872" s="133"/>
      <c r="M3872" s="133"/>
      <c r="N3872" s="133"/>
      <c r="O3872" s="133"/>
      <c r="P3872" s="134"/>
      <c r="Q3872" s="146"/>
      <c r="R3872" s="17"/>
      <c r="S3872" s="17"/>
      <c r="T3872" s="75"/>
      <c r="U3872" s="75"/>
      <c r="V3872" s="75"/>
      <c r="W3872" s="75"/>
      <c r="X3872" s="75"/>
    </row>
    <row r="3873">
      <c r="A3873" s="17"/>
      <c r="B3873" s="17"/>
      <c r="C3873" s="133"/>
      <c r="D3873" s="133"/>
      <c r="E3873" s="17"/>
      <c r="F3873" s="133"/>
      <c r="G3873" s="133"/>
      <c r="H3873" s="133"/>
      <c r="I3873" s="133"/>
      <c r="J3873" s="133"/>
      <c r="K3873" s="133"/>
      <c r="L3873" s="133"/>
      <c r="M3873" s="133"/>
      <c r="N3873" s="133"/>
      <c r="O3873" s="133"/>
      <c r="P3873" s="134"/>
      <c r="Q3873" s="146"/>
      <c r="R3873" s="17"/>
      <c r="S3873" s="17"/>
      <c r="T3873" s="75"/>
      <c r="U3873" s="75"/>
      <c r="V3873" s="75"/>
      <c r="W3873" s="75"/>
      <c r="X3873" s="75"/>
    </row>
    <row r="3874">
      <c r="A3874" s="17"/>
      <c r="B3874" s="17"/>
      <c r="C3874" s="133"/>
      <c r="D3874" s="133"/>
      <c r="E3874" s="17"/>
      <c r="F3874" s="133"/>
      <c r="G3874" s="133"/>
      <c r="H3874" s="133"/>
      <c r="I3874" s="133"/>
      <c r="J3874" s="133"/>
      <c r="K3874" s="133"/>
      <c r="L3874" s="133"/>
      <c r="M3874" s="133"/>
      <c r="N3874" s="133"/>
      <c r="O3874" s="133"/>
      <c r="P3874" s="134"/>
      <c r="Q3874" s="146"/>
      <c r="R3874" s="17"/>
      <c r="S3874" s="17"/>
      <c r="T3874" s="75"/>
      <c r="U3874" s="75"/>
      <c r="V3874" s="75"/>
      <c r="W3874" s="75"/>
      <c r="X3874" s="75"/>
    </row>
    <row r="3875">
      <c r="A3875" s="17"/>
      <c r="B3875" s="17"/>
      <c r="C3875" s="133"/>
      <c r="D3875" s="133"/>
      <c r="E3875" s="17"/>
      <c r="F3875" s="133"/>
      <c r="G3875" s="133"/>
      <c r="H3875" s="133"/>
      <c r="I3875" s="133"/>
      <c r="J3875" s="133"/>
      <c r="K3875" s="133"/>
      <c r="L3875" s="133"/>
      <c r="M3875" s="133"/>
      <c r="N3875" s="133"/>
      <c r="O3875" s="133"/>
      <c r="P3875" s="134"/>
      <c r="Q3875" s="146"/>
      <c r="R3875" s="17"/>
      <c r="S3875" s="17"/>
      <c r="T3875" s="75"/>
      <c r="U3875" s="75"/>
      <c r="V3875" s="75"/>
      <c r="W3875" s="75"/>
      <c r="X3875" s="75"/>
    </row>
    <row r="3876">
      <c r="A3876" s="17"/>
      <c r="B3876" s="17"/>
      <c r="C3876" s="133"/>
      <c r="D3876" s="133"/>
      <c r="E3876" s="17"/>
      <c r="F3876" s="133"/>
      <c r="G3876" s="133"/>
      <c r="H3876" s="133"/>
      <c r="I3876" s="133"/>
      <c r="J3876" s="133"/>
      <c r="K3876" s="133"/>
      <c r="L3876" s="133"/>
      <c r="M3876" s="133"/>
      <c r="N3876" s="133"/>
      <c r="O3876" s="133"/>
      <c r="P3876" s="134"/>
      <c r="Q3876" s="146"/>
      <c r="R3876" s="17"/>
      <c r="S3876" s="17"/>
      <c r="T3876" s="75"/>
      <c r="U3876" s="75"/>
      <c r="V3876" s="75"/>
      <c r="W3876" s="75"/>
      <c r="X3876" s="75"/>
    </row>
    <row r="3877">
      <c r="A3877" s="17"/>
      <c r="B3877" s="17"/>
      <c r="C3877" s="133"/>
      <c r="D3877" s="133"/>
      <c r="E3877" s="17"/>
      <c r="F3877" s="133"/>
      <c r="G3877" s="133"/>
      <c r="H3877" s="133"/>
      <c r="I3877" s="133"/>
      <c r="J3877" s="133"/>
      <c r="K3877" s="133"/>
      <c r="L3877" s="133"/>
      <c r="M3877" s="133"/>
      <c r="N3877" s="133"/>
      <c r="O3877" s="133"/>
      <c r="P3877" s="134"/>
      <c r="Q3877" s="146"/>
      <c r="R3877" s="17"/>
      <c r="S3877" s="17"/>
      <c r="T3877" s="75"/>
      <c r="U3877" s="75"/>
      <c r="V3877" s="75"/>
      <c r="W3877" s="75"/>
      <c r="X3877" s="75"/>
    </row>
    <row r="3878">
      <c r="A3878" s="17"/>
      <c r="B3878" s="17"/>
      <c r="C3878" s="133"/>
      <c r="D3878" s="133"/>
      <c r="E3878" s="17"/>
      <c r="F3878" s="133"/>
      <c r="G3878" s="133"/>
      <c r="H3878" s="133"/>
      <c r="I3878" s="133"/>
      <c r="J3878" s="133"/>
      <c r="K3878" s="133"/>
      <c r="L3878" s="133"/>
      <c r="M3878" s="133"/>
      <c r="N3878" s="133"/>
      <c r="O3878" s="133"/>
      <c r="P3878" s="134"/>
      <c r="Q3878" s="146"/>
      <c r="R3878" s="17"/>
      <c r="S3878" s="17"/>
      <c r="T3878" s="75"/>
      <c r="U3878" s="75"/>
      <c r="V3878" s="75"/>
      <c r="W3878" s="75"/>
      <c r="X3878" s="75"/>
    </row>
    <row r="3879">
      <c r="A3879" s="17"/>
      <c r="B3879" s="17"/>
      <c r="C3879" s="133"/>
      <c r="D3879" s="133"/>
      <c r="E3879" s="17"/>
      <c r="F3879" s="133"/>
      <c r="G3879" s="133"/>
      <c r="H3879" s="133"/>
      <c r="I3879" s="133"/>
      <c r="J3879" s="133"/>
      <c r="K3879" s="133"/>
      <c r="L3879" s="133"/>
      <c r="M3879" s="133"/>
      <c r="N3879" s="133"/>
      <c r="O3879" s="133"/>
      <c r="P3879" s="134"/>
      <c r="Q3879" s="146"/>
      <c r="R3879" s="17"/>
      <c r="S3879" s="17"/>
      <c r="T3879" s="75"/>
      <c r="U3879" s="75"/>
      <c r="V3879" s="75"/>
      <c r="W3879" s="75"/>
      <c r="X3879" s="75"/>
    </row>
    <row r="3880">
      <c r="A3880" s="17"/>
      <c r="B3880" s="17"/>
      <c r="C3880" s="133"/>
      <c r="D3880" s="133"/>
      <c r="E3880" s="17"/>
      <c r="F3880" s="133"/>
      <c r="G3880" s="133"/>
      <c r="H3880" s="133"/>
      <c r="I3880" s="133"/>
      <c r="J3880" s="133"/>
      <c r="K3880" s="133"/>
      <c r="L3880" s="133"/>
      <c r="M3880" s="133"/>
      <c r="N3880" s="133"/>
      <c r="O3880" s="133"/>
      <c r="P3880" s="134"/>
      <c r="Q3880" s="146"/>
      <c r="R3880" s="17"/>
      <c r="S3880" s="17"/>
      <c r="T3880" s="75"/>
      <c r="U3880" s="75"/>
      <c r="V3880" s="75"/>
      <c r="W3880" s="75"/>
      <c r="X3880" s="75"/>
    </row>
    <row r="3881">
      <c r="A3881" s="17"/>
      <c r="B3881" s="17"/>
      <c r="C3881" s="133"/>
      <c r="D3881" s="133"/>
      <c r="E3881" s="17"/>
      <c r="F3881" s="133"/>
      <c r="G3881" s="133"/>
      <c r="H3881" s="133"/>
      <c r="I3881" s="133"/>
      <c r="J3881" s="133"/>
      <c r="K3881" s="133"/>
      <c r="L3881" s="133"/>
      <c r="M3881" s="133"/>
      <c r="N3881" s="133"/>
      <c r="O3881" s="133"/>
      <c r="P3881" s="134"/>
      <c r="Q3881" s="146"/>
      <c r="R3881" s="17"/>
      <c r="S3881" s="17"/>
      <c r="T3881" s="75"/>
      <c r="U3881" s="75"/>
      <c r="V3881" s="75"/>
      <c r="W3881" s="75"/>
      <c r="X3881" s="75"/>
    </row>
    <row r="3882">
      <c r="A3882" s="17"/>
      <c r="B3882" s="17"/>
      <c r="C3882" s="133"/>
      <c r="D3882" s="133"/>
      <c r="E3882" s="17"/>
      <c r="F3882" s="133"/>
      <c r="G3882" s="133"/>
      <c r="H3882" s="133"/>
      <c r="I3882" s="133"/>
      <c r="J3882" s="133"/>
      <c r="K3882" s="133"/>
      <c r="L3882" s="133"/>
      <c r="M3882" s="133"/>
      <c r="N3882" s="133"/>
      <c r="O3882" s="133"/>
      <c r="P3882" s="134"/>
      <c r="Q3882" s="146"/>
      <c r="R3882" s="17"/>
      <c r="S3882" s="17"/>
      <c r="T3882" s="75"/>
      <c r="U3882" s="75"/>
      <c r="V3882" s="75"/>
      <c r="W3882" s="75"/>
      <c r="X3882" s="75"/>
    </row>
    <row r="3883">
      <c r="A3883" s="17"/>
      <c r="B3883" s="17"/>
      <c r="C3883" s="133"/>
      <c r="D3883" s="133"/>
      <c r="E3883" s="17"/>
      <c r="F3883" s="133"/>
      <c r="G3883" s="133"/>
      <c r="H3883" s="133"/>
      <c r="I3883" s="133"/>
      <c r="J3883" s="133"/>
      <c r="K3883" s="133"/>
      <c r="L3883" s="133"/>
      <c r="M3883" s="133"/>
      <c r="N3883" s="133"/>
      <c r="O3883" s="133"/>
      <c r="P3883" s="134"/>
      <c r="Q3883" s="146"/>
      <c r="R3883" s="17"/>
      <c r="S3883" s="17"/>
      <c r="T3883" s="75"/>
      <c r="U3883" s="75"/>
      <c r="V3883" s="75"/>
      <c r="W3883" s="75"/>
      <c r="X3883" s="75"/>
    </row>
    <row r="3884">
      <c r="A3884" s="17"/>
      <c r="B3884" s="17"/>
      <c r="C3884" s="133"/>
      <c r="D3884" s="133"/>
      <c r="E3884" s="17"/>
      <c r="F3884" s="133"/>
      <c r="G3884" s="133"/>
      <c r="H3884" s="133"/>
      <c r="I3884" s="133"/>
      <c r="J3884" s="133"/>
      <c r="K3884" s="133"/>
      <c r="L3884" s="133"/>
      <c r="M3884" s="133"/>
      <c r="N3884" s="133"/>
      <c r="O3884" s="133"/>
      <c r="P3884" s="134"/>
      <c r="Q3884" s="146"/>
      <c r="R3884" s="17"/>
      <c r="S3884" s="17"/>
      <c r="T3884" s="75"/>
      <c r="U3884" s="75"/>
      <c r="V3884" s="75"/>
      <c r="W3884" s="75"/>
      <c r="X3884" s="75"/>
    </row>
    <row r="3885">
      <c r="A3885" s="17"/>
      <c r="B3885" s="17"/>
      <c r="C3885" s="133"/>
      <c r="D3885" s="133"/>
      <c r="E3885" s="17"/>
      <c r="F3885" s="133"/>
      <c r="G3885" s="133"/>
      <c r="H3885" s="133"/>
      <c r="I3885" s="133"/>
      <c r="J3885" s="133"/>
      <c r="K3885" s="133"/>
      <c r="L3885" s="133"/>
      <c r="M3885" s="133"/>
      <c r="N3885" s="133"/>
      <c r="O3885" s="133"/>
      <c r="P3885" s="134"/>
      <c r="Q3885" s="146"/>
      <c r="R3885" s="17"/>
      <c r="S3885" s="17"/>
      <c r="T3885" s="75"/>
      <c r="U3885" s="75"/>
      <c r="V3885" s="75"/>
      <c r="W3885" s="75"/>
      <c r="X3885" s="75"/>
    </row>
    <row r="3886">
      <c r="A3886" s="17"/>
      <c r="B3886" s="17"/>
      <c r="C3886" s="133"/>
      <c r="D3886" s="133"/>
      <c r="E3886" s="17"/>
      <c r="F3886" s="133"/>
      <c r="G3886" s="133"/>
      <c r="H3886" s="133"/>
      <c r="I3886" s="133"/>
      <c r="J3886" s="133"/>
      <c r="K3886" s="133"/>
      <c r="L3886" s="133"/>
      <c r="M3886" s="133"/>
      <c r="N3886" s="133"/>
      <c r="O3886" s="133"/>
      <c r="P3886" s="134"/>
      <c r="Q3886" s="146"/>
      <c r="R3886" s="17"/>
      <c r="S3886" s="17"/>
      <c r="T3886" s="75"/>
      <c r="U3886" s="75"/>
      <c r="V3886" s="75"/>
      <c r="W3886" s="75"/>
      <c r="X3886" s="75"/>
    </row>
    <row r="3887">
      <c r="A3887" s="17"/>
      <c r="B3887" s="17"/>
      <c r="C3887" s="133"/>
      <c r="D3887" s="133"/>
      <c r="E3887" s="17"/>
      <c r="F3887" s="133"/>
      <c r="G3887" s="133"/>
      <c r="H3887" s="133"/>
      <c r="I3887" s="133"/>
      <c r="J3887" s="133"/>
      <c r="K3887" s="133"/>
      <c r="L3887" s="133"/>
      <c r="M3887" s="133"/>
      <c r="N3887" s="133"/>
      <c r="O3887" s="133"/>
      <c r="P3887" s="134"/>
      <c r="Q3887" s="146"/>
      <c r="R3887" s="17"/>
      <c r="S3887" s="17"/>
      <c r="T3887" s="75"/>
      <c r="U3887" s="75"/>
      <c r="V3887" s="75"/>
      <c r="W3887" s="75"/>
      <c r="X3887" s="75"/>
    </row>
    <row r="3888">
      <c r="A3888" s="17"/>
      <c r="B3888" s="17"/>
      <c r="C3888" s="133"/>
      <c r="D3888" s="133"/>
      <c r="E3888" s="17"/>
      <c r="F3888" s="133"/>
      <c r="G3888" s="133"/>
      <c r="H3888" s="133"/>
      <c r="I3888" s="133"/>
      <c r="J3888" s="133"/>
      <c r="K3888" s="133"/>
      <c r="L3888" s="133"/>
      <c r="M3888" s="133"/>
      <c r="N3888" s="133"/>
      <c r="O3888" s="133"/>
      <c r="P3888" s="134"/>
      <c r="Q3888" s="146"/>
      <c r="R3888" s="17"/>
      <c r="S3888" s="17"/>
      <c r="T3888" s="75"/>
      <c r="U3888" s="75"/>
      <c r="V3888" s="75"/>
      <c r="W3888" s="75"/>
      <c r="X3888" s="75"/>
    </row>
    <row r="3889">
      <c r="A3889" s="17"/>
      <c r="B3889" s="17"/>
      <c r="C3889" s="133"/>
      <c r="D3889" s="133"/>
      <c r="E3889" s="17"/>
      <c r="F3889" s="133"/>
      <c r="G3889" s="133"/>
      <c r="H3889" s="133"/>
      <c r="I3889" s="133"/>
      <c r="J3889" s="133"/>
      <c r="K3889" s="133"/>
      <c r="L3889" s="133"/>
      <c r="M3889" s="133"/>
      <c r="N3889" s="133"/>
      <c r="O3889" s="133"/>
      <c r="P3889" s="134"/>
      <c r="Q3889" s="146"/>
      <c r="R3889" s="17"/>
      <c r="S3889" s="17"/>
      <c r="T3889" s="75"/>
      <c r="U3889" s="75"/>
      <c r="V3889" s="75"/>
      <c r="W3889" s="75"/>
      <c r="X3889" s="75"/>
    </row>
    <row r="3890">
      <c r="A3890" s="17"/>
      <c r="B3890" s="17"/>
      <c r="C3890" s="133"/>
      <c r="D3890" s="133"/>
      <c r="E3890" s="17"/>
      <c r="F3890" s="133"/>
      <c r="G3890" s="133"/>
      <c r="H3890" s="133"/>
      <c r="I3890" s="133"/>
      <c r="J3890" s="133"/>
      <c r="K3890" s="133"/>
      <c r="L3890" s="133"/>
      <c r="M3890" s="133"/>
      <c r="N3890" s="133"/>
      <c r="O3890" s="133"/>
      <c r="P3890" s="134"/>
      <c r="Q3890" s="146"/>
      <c r="R3890" s="17"/>
      <c r="S3890" s="17"/>
      <c r="T3890" s="75"/>
      <c r="U3890" s="75"/>
      <c r="V3890" s="75"/>
      <c r="W3890" s="75"/>
      <c r="X3890" s="75"/>
    </row>
    <row r="3891">
      <c r="A3891" s="17"/>
      <c r="B3891" s="17"/>
      <c r="C3891" s="133"/>
      <c r="D3891" s="133"/>
      <c r="E3891" s="17"/>
      <c r="F3891" s="133"/>
      <c r="G3891" s="133"/>
      <c r="H3891" s="133"/>
      <c r="I3891" s="133"/>
      <c r="J3891" s="133"/>
      <c r="K3891" s="133"/>
      <c r="L3891" s="133"/>
      <c r="M3891" s="133"/>
      <c r="N3891" s="133"/>
      <c r="O3891" s="133"/>
      <c r="P3891" s="134"/>
      <c r="Q3891" s="146"/>
      <c r="R3891" s="17"/>
      <c r="S3891" s="17"/>
      <c r="T3891" s="75"/>
      <c r="U3891" s="75"/>
      <c r="V3891" s="75"/>
      <c r="W3891" s="75"/>
      <c r="X3891" s="75"/>
    </row>
    <row r="3892">
      <c r="A3892" s="17"/>
      <c r="B3892" s="17"/>
      <c r="C3892" s="133"/>
      <c r="D3892" s="133"/>
      <c r="E3892" s="17"/>
      <c r="F3892" s="133"/>
      <c r="G3892" s="133"/>
      <c r="H3892" s="133"/>
      <c r="I3892" s="133"/>
      <c r="J3892" s="133"/>
      <c r="K3892" s="133"/>
      <c r="L3892" s="133"/>
      <c r="M3892" s="133"/>
      <c r="N3892" s="133"/>
      <c r="O3892" s="133"/>
      <c r="P3892" s="134"/>
      <c r="Q3892" s="146"/>
      <c r="R3892" s="17"/>
      <c r="S3892" s="17"/>
      <c r="T3892" s="75"/>
      <c r="U3892" s="75"/>
      <c r="V3892" s="75"/>
      <c r="W3892" s="75"/>
      <c r="X3892" s="75"/>
    </row>
    <row r="3893">
      <c r="A3893" s="17"/>
      <c r="B3893" s="17"/>
      <c r="C3893" s="133"/>
      <c r="D3893" s="133"/>
      <c r="E3893" s="17"/>
      <c r="F3893" s="133"/>
      <c r="G3893" s="133"/>
      <c r="H3893" s="133"/>
      <c r="I3893" s="133"/>
      <c r="J3893" s="133"/>
      <c r="K3893" s="133"/>
      <c r="L3893" s="133"/>
      <c r="M3893" s="133"/>
      <c r="N3893" s="133"/>
      <c r="O3893" s="133"/>
      <c r="P3893" s="134"/>
      <c r="Q3893" s="146"/>
      <c r="R3893" s="17"/>
      <c r="S3893" s="17"/>
      <c r="T3893" s="75"/>
      <c r="U3893" s="75"/>
      <c r="V3893" s="75"/>
      <c r="W3893" s="75"/>
      <c r="X3893" s="75"/>
    </row>
    <row r="3894">
      <c r="A3894" s="17"/>
      <c r="B3894" s="17"/>
      <c r="C3894" s="133"/>
      <c r="D3894" s="133"/>
      <c r="E3894" s="17"/>
      <c r="F3894" s="133"/>
      <c r="G3894" s="133"/>
      <c r="H3894" s="133"/>
      <c r="I3894" s="133"/>
      <c r="J3894" s="133"/>
      <c r="K3894" s="133"/>
      <c r="L3894" s="133"/>
      <c r="M3894" s="133"/>
      <c r="N3894" s="133"/>
      <c r="O3894" s="133"/>
      <c r="P3894" s="134"/>
      <c r="Q3894" s="146"/>
      <c r="R3894" s="17"/>
      <c r="S3894" s="17"/>
      <c r="T3894" s="75"/>
      <c r="U3894" s="75"/>
      <c r="V3894" s="75"/>
      <c r="W3894" s="75"/>
      <c r="X3894" s="75"/>
    </row>
    <row r="3895">
      <c r="A3895" s="17"/>
      <c r="B3895" s="17"/>
      <c r="C3895" s="133"/>
      <c r="D3895" s="133"/>
      <c r="E3895" s="17"/>
      <c r="F3895" s="133"/>
      <c r="G3895" s="133"/>
      <c r="H3895" s="133"/>
      <c r="I3895" s="133"/>
      <c r="J3895" s="133"/>
      <c r="K3895" s="133"/>
      <c r="L3895" s="133"/>
      <c r="M3895" s="133"/>
      <c r="N3895" s="133"/>
      <c r="O3895" s="133"/>
      <c r="P3895" s="134"/>
      <c r="Q3895" s="146"/>
      <c r="R3895" s="17"/>
      <c r="S3895" s="17"/>
      <c r="T3895" s="75"/>
      <c r="U3895" s="75"/>
      <c r="V3895" s="75"/>
      <c r="W3895" s="75"/>
      <c r="X3895" s="75"/>
    </row>
    <row r="3896">
      <c r="A3896" s="17"/>
      <c r="B3896" s="17"/>
      <c r="C3896" s="133"/>
      <c r="D3896" s="133"/>
      <c r="E3896" s="17"/>
      <c r="F3896" s="133"/>
      <c r="G3896" s="133"/>
      <c r="H3896" s="133"/>
      <c r="I3896" s="133"/>
      <c r="J3896" s="133"/>
      <c r="K3896" s="133"/>
      <c r="L3896" s="133"/>
      <c r="M3896" s="133"/>
      <c r="N3896" s="133"/>
      <c r="O3896" s="133"/>
      <c r="P3896" s="134"/>
      <c r="Q3896" s="146"/>
      <c r="R3896" s="17"/>
      <c r="S3896" s="17"/>
      <c r="T3896" s="75"/>
      <c r="U3896" s="75"/>
      <c r="V3896" s="75"/>
      <c r="W3896" s="75"/>
      <c r="X3896" s="75"/>
    </row>
    <row r="3897">
      <c r="A3897" s="17"/>
      <c r="B3897" s="17"/>
      <c r="C3897" s="133"/>
      <c r="D3897" s="133"/>
      <c r="E3897" s="17"/>
      <c r="F3897" s="133"/>
      <c r="G3897" s="133"/>
      <c r="H3897" s="133"/>
      <c r="I3897" s="133"/>
      <c r="J3897" s="133"/>
      <c r="K3897" s="133"/>
      <c r="L3897" s="133"/>
      <c r="M3897" s="133"/>
      <c r="N3897" s="133"/>
      <c r="O3897" s="133"/>
      <c r="P3897" s="134"/>
      <c r="Q3897" s="146"/>
      <c r="R3897" s="17"/>
      <c r="S3897" s="17"/>
      <c r="T3897" s="75"/>
      <c r="U3897" s="75"/>
      <c r="V3897" s="75"/>
      <c r="W3897" s="75"/>
      <c r="X3897" s="75"/>
    </row>
    <row r="3898">
      <c r="A3898" s="17"/>
      <c r="B3898" s="17"/>
      <c r="C3898" s="133"/>
      <c r="D3898" s="133"/>
      <c r="E3898" s="17"/>
      <c r="F3898" s="133"/>
      <c r="G3898" s="133"/>
      <c r="H3898" s="133"/>
      <c r="I3898" s="133"/>
      <c r="J3898" s="133"/>
      <c r="K3898" s="133"/>
      <c r="L3898" s="133"/>
      <c r="M3898" s="133"/>
      <c r="N3898" s="133"/>
      <c r="O3898" s="133"/>
      <c r="P3898" s="134"/>
      <c r="Q3898" s="146"/>
      <c r="R3898" s="17"/>
      <c r="S3898" s="17"/>
      <c r="T3898" s="75"/>
      <c r="U3898" s="75"/>
      <c r="V3898" s="75"/>
      <c r="W3898" s="75"/>
      <c r="X3898" s="75"/>
    </row>
    <row r="3899">
      <c r="A3899" s="17"/>
      <c r="B3899" s="17"/>
      <c r="C3899" s="133"/>
      <c r="D3899" s="133"/>
      <c r="E3899" s="17"/>
      <c r="F3899" s="133"/>
      <c r="G3899" s="133"/>
      <c r="H3899" s="133"/>
      <c r="I3899" s="133"/>
      <c r="J3899" s="133"/>
      <c r="K3899" s="133"/>
      <c r="L3899" s="133"/>
      <c r="M3899" s="133"/>
      <c r="N3899" s="133"/>
      <c r="O3899" s="133"/>
      <c r="P3899" s="134"/>
      <c r="Q3899" s="146"/>
      <c r="R3899" s="17"/>
      <c r="S3899" s="17"/>
      <c r="T3899" s="75"/>
      <c r="U3899" s="75"/>
      <c r="V3899" s="75"/>
      <c r="W3899" s="75"/>
      <c r="X3899" s="75"/>
    </row>
    <row r="3900">
      <c r="A3900" s="17"/>
      <c r="B3900" s="17"/>
      <c r="C3900" s="133"/>
      <c r="D3900" s="133"/>
      <c r="E3900" s="17"/>
      <c r="F3900" s="133"/>
      <c r="G3900" s="133"/>
      <c r="H3900" s="133"/>
      <c r="I3900" s="133"/>
      <c r="J3900" s="133"/>
      <c r="K3900" s="133"/>
      <c r="L3900" s="133"/>
      <c r="M3900" s="133"/>
      <c r="N3900" s="133"/>
      <c r="O3900" s="133"/>
      <c r="P3900" s="134"/>
      <c r="Q3900" s="146"/>
      <c r="R3900" s="17"/>
      <c r="S3900" s="17"/>
      <c r="T3900" s="75"/>
      <c r="U3900" s="75"/>
      <c r="V3900" s="75"/>
      <c r="W3900" s="75"/>
      <c r="X3900" s="75"/>
    </row>
    <row r="3901">
      <c r="A3901" s="17"/>
      <c r="B3901" s="17"/>
      <c r="C3901" s="133"/>
      <c r="D3901" s="133"/>
      <c r="E3901" s="17"/>
      <c r="F3901" s="133"/>
      <c r="G3901" s="133"/>
      <c r="H3901" s="133"/>
      <c r="I3901" s="133"/>
      <c r="J3901" s="133"/>
      <c r="K3901" s="133"/>
      <c r="L3901" s="133"/>
      <c r="M3901" s="133"/>
      <c r="N3901" s="133"/>
      <c r="O3901" s="133"/>
      <c r="P3901" s="134"/>
      <c r="Q3901" s="146"/>
      <c r="R3901" s="17"/>
      <c r="S3901" s="17"/>
      <c r="T3901" s="75"/>
      <c r="U3901" s="75"/>
      <c r="V3901" s="75"/>
      <c r="W3901" s="75"/>
      <c r="X3901" s="75"/>
    </row>
    <row r="3902">
      <c r="A3902" s="17"/>
      <c r="B3902" s="17"/>
      <c r="C3902" s="133"/>
      <c r="D3902" s="133"/>
      <c r="E3902" s="17"/>
      <c r="F3902" s="133"/>
      <c r="G3902" s="133"/>
      <c r="H3902" s="133"/>
      <c r="I3902" s="133"/>
      <c r="J3902" s="133"/>
      <c r="K3902" s="133"/>
      <c r="L3902" s="133"/>
      <c r="M3902" s="133"/>
      <c r="N3902" s="133"/>
      <c r="O3902" s="133"/>
      <c r="P3902" s="134"/>
      <c r="Q3902" s="146"/>
      <c r="R3902" s="17"/>
      <c r="S3902" s="17"/>
      <c r="T3902" s="75"/>
      <c r="U3902" s="75"/>
      <c r="V3902" s="75"/>
      <c r="W3902" s="75"/>
      <c r="X3902" s="75"/>
    </row>
    <row r="3903">
      <c r="A3903" s="17"/>
      <c r="B3903" s="17"/>
      <c r="C3903" s="133"/>
      <c r="D3903" s="133"/>
      <c r="E3903" s="17"/>
      <c r="F3903" s="133"/>
      <c r="G3903" s="133"/>
      <c r="H3903" s="133"/>
      <c r="I3903" s="133"/>
      <c r="J3903" s="133"/>
      <c r="K3903" s="133"/>
      <c r="L3903" s="133"/>
      <c r="M3903" s="133"/>
      <c r="N3903" s="133"/>
      <c r="O3903" s="133"/>
      <c r="P3903" s="134"/>
      <c r="Q3903" s="146"/>
      <c r="R3903" s="17"/>
      <c r="S3903" s="17"/>
      <c r="T3903" s="75"/>
      <c r="U3903" s="75"/>
      <c r="V3903" s="75"/>
      <c r="W3903" s="75"/>
      <c r="X3903" s="75"/>
    </row>
    <row r="3904">
      <c r="A3904" s="17"/>
      <c r="B3904" s="17"/>
      <c r="C3904" s="133"/>
      <c r="D3904" s="133"/>
      <c r="E3904" s="17"/>
      <c r="F3904" s="133"/>
      <c r="G3904" s="133"/>
      <c r="H3904" s="133"/>
      <c r="I3904" s="133"/>
      <c r="J3904" s="133"/>
      <c r="K3904" s="133"/>
      <c r="L3904" s="133"/>
      <c r="M3904" s="133"/>
      <c r="N3904" s="133"/>
      <c r="O3904" s="133"/>
      <c r="P3904" s="134"/>
      <c r="Q3904" s="146"/>
      <c r="R3904" s="17"/>
      <c r="S3904" s="17"/>
      <c r="T3904" s="75"/>
      <c r="U3904" s="75"/>
      <c r="V3904" s="75"/>
      <c r="W3904" s="75"/>
      <c r="X3904" s="75"/>
    </row>
    <row r="3905">
      <c r="A3905" s="17"/>
      <c r="B3905" s="17"/>
      <c r="C3905" s="133"/>
      <c r="D3905" s="133"/>
      <c r="E3905" s="17"/>
      <c r="F3905" s="133"/>
      <c r="G3905" s="133"/>
      <c r="H3905" s="133"/>
      <c r="I3905" s="133"/>
      <c r="J3905" s="133"/>
      <c r="K3905" s="133"/>
      <c r="L3905" s="133"/>
      <c r="M3905" s="133"/>
      <c r="N3905" s="133"/>
      <c r="O3905" s="133"/>
      <c r="P3905" s="134"/>
      <c r="Q3905" s="146"/>
      <c r="R3905" s="17"/>
      <c r="S3905" s="17"/>
      <c r="T3905" s="75"/>
      <c r="U3905" s="75"/>
      <c r="V3905" s="75"/>
      <c r="W3905" s="75"/>
      <c r="X3905" s="75"/>
    </row>
    <row r="3906">
      <c r="A3906" s="17"/>
      <c r="B3906" s="17"/>
      <c r="C3906" s="133"/>
      <c r="D3906" s="133"/>
      <c r="E3906" s="17"/>
      <c r="F3906" s="133"/>
      <c r="G3906" s="133"/>
      <c r="H3906" s="133"/>
      <c r="I3906" s="133"/>
      <c r="J3906" s="133"/>
      <c r="K3906" s="133"/>
      <c r="L3906" s="133"/>
      <c r="M3906" s="133"/>
      <c r="N3906" s="133"/>
      <c r="O3906" s="133"/>
      <c r="P3906" s="134"/>
      <c r="Q3906" s="146"/>
      <c r="R3906" s="17"/>
      <c r="S3906" s="17"/>
      <c r="T3906" s="75"/>
      <c r="U3906" s="75"/>
      <c r="V3906" s="75"/>
      <c r="W3906" s="75"/>
      <c r="X3906" s="75"/>
    </row>
    <row r="3907">
      <c r="A3907" s="17"/>
      <c r="B3907" s="17"/>
      <c r="C3907" s="133"/>
      <c r="D3907" s="133"/>
      <c r="E3907" s="17"/>
      <c r="F3907" s="133"/>
      <c r="G3907" s="133"/>
      <c r="H3907" s="133"/>
      <c r="I3907" s="133"/>
      <c r="J3907" s="133"/>
      <c r="K3907" s="133"/>
      <c r="L3907" s="133"/>
      <c r="M3907" s="133"/>
      <c r="N3907" s="133"/>
      <c r="O3907" s="133"/>
      <c r="P3907" s="134"/>
      <c r="Q3907" s="146"/>
      <c r="R3907" s="17"/>
      <c r="S3907" s="17"/>
      <c r="T3907" s="75"/>
      <c r="U3907" s="75"/>
      <c r="V3907" s="75"/>
      <c r="W3907" s="75"/>
      <c r="X3907" s="75"/>
    </row>
    <row r="3908">
      <c r="A3908" s="17"/>
      <c r="B3908" s="17"/>
      <c r="C3908" s="133"/>
      <c r="D3908" s="133"/>
      <c r="E3908" s="17"/>
      <c r="F3908" s="133"/>
      <c r="G3908" s="133"/>
      <c r="H3908" s="133"/>
      <c r="I3908" s="133"/>
      <c r="J3908" s="133"/>
      <c r="K3908" s="133"/>
      <c r="L3908" s="133"/>
      <c r="M3908" s="133"/>
      <c r="N3908" s="133"/>
      <c r="O3908" s="133"/>
      <c r="P3908" s="134"/>
      <c r="Q3908" s="146"/>
      <c r="R3908" s="17"/>
      <c r="S3908" s="17"/>
      <c r="T3908" s="75"/>
      <c r="U3908" s="75"/>
      <c r="V3908" s="75"/>
      <c r="W3908" s="75"/>
      <c r="X3908" s="75"/>
    </row>
    <row r="3909">
      <c r="A3909" s="17"/>
      <c r="B3909" s="17"/>
      <c r="C3909" s="133"/>
      <c r="D3909" s="133"/>
      <c r="E3909" s="17"/>
      <c r="F3909" s="133"/>
      <c r="G3909" s="133"/>
      <c r="H3909" s="133"/>
      <c r="I3909" s="133"/>
      <c r="J3909" s="133"/>
      <c r="K3909" s="133"/>
      <c r="L3909" s="133"/>
      <c r="M3909" s="133"/>
      <c r="N3909" s="133"/>
      <c r="O3909" s="133"/>
      <c r="P3909" s="134"/>
      <c r="Q3909" s="146"/>
      <c r="R3909" s="17"/>
      <c r="S3909" s="17"/>
      <c r="T3909" s="75"/>
      <c r="U3909" s="75"/>
      <c r="V3909" s="75"/>
      <c r="W3909" s="75"/>
      <c r="X3909" s="75"/>
    </row>
    <row r="3910">
      <c r="A3910" s="17"/>
      <c r="B3910" s="17"/>
      <c r="C3910" s="133"/>
      <c r="D3910" s="133"/>
      <c r="E3910" s="17"/>
      <c r="F3910" s="133"/>
      <c r="G3910" s="133"/>
      <c r="H3910" s="133"/>
      <c r="I3910" s="133"/>
      <c r="J3910" s="133"/>
      <c r="K3910" s="133"/>
      <c r="L3910" s="133"/>
      <c r="M3910" s="133"/>
      <c r="N3910" s="133"/>
      <c r="O3910" s="133"/>
      <c r="P3910" s="134"/>
      <c r="Q3910" s="146"/>
      <c r="R3910" s="17"/>
      <c r="S3910" s="17"/>
      <c r="T3910" s="75"/>
      <c r="U3910" s="75"/>
      <c r="V3910" s="75"/>
      <c r="W3910" s="75"/>
      <c r="X3910" s="75"/>
    </row>
    <row r="3911">
      <c r="A3911" s="17"/>
      <c r="B3911" s="17"/>
      <c r="C3911" s="133"/>
      <c r="D3911" s="133"/>
      <c r="E3911" s="17"/>
      <c r="F3911" s="133"/>
      <c r="G3911" s="133"/>
      <c r="H3911" s="133"/>
      <c r="I3911" s="133"/>
      <c r="J3911" s="133"/>
      <c r="K3911" s="133"/>
      <c r="L3911" s="133"/>
      <c r="M3911" s="133"/>
      <c r="N3911" s="133"/>
      <c r="O3911" s="133"/>
      <c r="P3911" s="134"/>
      <c r="Q3911" s="146"/>
      <c r="R3911" s="17"/>
      <c r="S3911" s="17"/>
      <c r="T3911" s="75"/>
      <c r="U3911" s="75"/>
      <c r="V3911" s="75"/>
      <c r="W3911" s="75"/>
      <c r="X3911" s="75"/>
    </row>
    <row r="3912">
      <c r="A3912" s="17"/>
      <c r="B3912" s="17"/>
      <c r="C3912" s="133"/>
      <c r="D3912" s="133"/>
      <c r="E3912" s="17"/>
      <c r="F3912" s="133"/>
      <c r="G3912" s="133"/>
      <c r="H3912" s="133"/>
      <c r="I3912" s="133"/>
      <c r="J3912" s="133"/>
      <c r="K3912" s="133"/>
      <c r="L3912" s="133"/>
      <c r="M3912" s="133"/>
      <c r="N3912" s="133"/>
      <c r="O3912" s="133"/>
      <c r="P3912" s="134"/>
      <c r="Q3912" s="146"/>
      <c r="R3912" s="17"/>
      <c r="S3912" s="17"/>
      <c r="T3912" s="75"/>
      <c r="U3912" s="75"/>
      <c r="V3912" s="75"/>
      <c r="W3912" s="75"/>
      <c r="X3912" s="75"/>
    </row>
    <row r="3913">
      <c r="A3913" s="17"/>
      <c r="B3913" s="17"/>
      <c r="C3913" s="133"/>
      <c r="D3913" s="133"/>
      <c r="E3913" s="17"/>
      <c r="F3913" s="133"/>
      <c r="G3913" s="133"/>
      <c r="H3913" s="133"/>
      <c r="I3913" s="133"/>
      <c r="J3913" s="133"/>
      <c r="K3913" s="133"/>
      <c r="L3913" s="133"/>
      <c r="M3913" s="133"/>
      <c r="N3913" s="133"/>
      <c r="O3913" s="133"/>
      <c r="P3913" s="134"/>
      <c r="Q3913" s="146"/>
      <c r="R3913" s="17"/>
      <c r="S3913" s="17"/>
      <c r="T3913" s="75"/>
      <c r="U3913" s="75"/>
      <c r="V3913" s="75"/>
      <c r="W3913" s="75"/>
      <c r="X3913" s="75"/>
    </row>
    <row r="3914">
      <c r="A3914" s="17"/>
      <c r="B3914" s="17"/>
      <c r="C3914" s="133"/>
      <c r="D3914" s="133"/>
      <c r="E3914" s="17"/>
      <c r="F3914" s="133"/>
      <c r="G3914" s="133"/>
      <c r="H3914" s="133"/>
      <c r="I3914" s="133"/>
      <c r="J3914" s="133"/>
      <c r="K3914" s="133"/>
      <c r="L3914" s="133"/>
      <c r="M3914" s="133"/>
      <c r="N3914" s="133"/>
      <c r="O3914" s="133"/>
      <c r="P3914" s="134"/>
      <c r="Q3914" s="146"/>
      <c r="R3914" s="17"/>
      <c r="S3914" s="17"/>
      <c r="T3914" s="75"/>
      <c r="U3914" s="75"/>
      <c r="V3914" s="75"/>
      <c r="W3914" s="75"/>
      <c r="X3914" s="75"/>
    </row>
    <row r="3915">
      <c r="A3915" s="17"/>
      <c r="B3915" s="17"/>
      <c r="C3915" s="133"/>
      <c r="D3915" s="133"/>
      <c r="E3915" s="17"/>
      <c r="F3915" s="133"/>
      <c r="G3915" s="133"/>
      <c r="H3915" s="133"/>
      <c r="I3915" s="133"/>
      <c r="J3915" s="133"/>
      <c r="K3915" s="133"/>
      <c r="L3915" s="133"/>
      <c r="M3915" s="133"/>
      <c r="N3915" s="133"/>
      <c r="O3915" s="133"/>
      <c r="P3915" s="134"/>
      <c r="Q3915" s="146"/>
      <c r="R3915" s="17"/>
      <c r="S3915" s="17"/>
      <c r="T3915" s="75"/>
      <c r="U3915" s="75"/>
      <c r="V3915" s="75"/>
      <c r="W3915" s="75"/>
      <c r="X3915" s="75"/>
    </row>
    <row r="3916">
      <c r="A3916" s="17"/>
      <c r="B3916" s="17"/>
      <c r="C3916" s="133"/>
      <c r="D3916" s="133"/>
      <c r="E3916" s="17"/>
      <c r="F3916" s="133"/>
      <c r="G3916" s="133"/>
      <c r="H3916" s="133"/>
      <c r="I3916" s="133"/>
      <c r="J3916" s="133"/>
      <c r="K3916" s="133"/>
      <c r="L3916" s="133"/>
      <c r="M3916" s="133"/>
      <c r="N3916" s="133"/>
      <c r="O3916" s="133"/>
      <c r="P3916" s="134"/>
      <c r="Q3916" s="146"/>
      <c r="R3916" s="17"/>
      <c r="S3916" s="17"/>
      <c r="T3916" s="75"/>
      <c r="U3916" s="75"/>
      <c r="V3916" s="75"/>
      <c r="W3916" s="75"/>
      <c r="X3916" s="75"/>
    </row>
    <row r="3917">
      <c r="A3917" s="17"/>
      <c r="B3917" s="17"/>
      <c r="C3917" s="133"/>
      <c r="D3917" s="133"/>
      <c r="E3917" s="17"/>
      <c r="F3917" s="133"/>
      <c r="G3917" s="133"/>
      <c r="H3917" s="133"/>
      <c r="I3917" s="133"/>
      <c r="J3917" s="133"/>
      <c r="K3917" s="133"/>
      <c r="L3917" s="133"/>
      <c r="M3917" s="133"/>
      <c r="N3917" s="133"/>
      <c r="O3917" s="133"/>
      <c r="P3917" s="134"/>
      <c r="Q3917" s="146"/>
      <c r="R3917" s="17"/>
      <c r="S3917" s="17"/>
      <c r="T3917" s="75"/>
      <c r="U3917" s="75"/>
      <c r="V3917" s="75"/>
      <c r="W3917" s="75"/>
      <c r="X3917" s="75"/>
    </row>
    <row r="3918">
      <c r="A3918" s="17"/>
      <c r="B3918" s="17"/>
      <c r="C3918" s="133"/>
      <c r="D3918" s="133"/>
      <c r="E3918" s="17"/>
      <c r="F3918" s="133"/>
      <c r="G3918" s="133"/>
      <c r="H3918" s="133"/>
      <c r="I3918" s="133"/>
      <c r="J3918" s="133"/>
      <c r="K3918" s="133"/>
      <c r="L3918" s="133"/>
      <c r="M3918" s="133"/>
      <c r="N3918" s="133"/>
      <c r="O3918" s="133"/>
      <c r="P3918" s="134"/>
      <c r="Q3918" s="146"/>
      <c r="R3918" s="17"/>
      <c r="S3918" s="17"/>
      <c r="T3918" s="75"/>
      <c r="U3918" s="75"/>
      <c r="V3918" s="75"/>
      <c r="W3918" s="75"/>
      <c r="X3918" s="75"/>
    </row>
    <row r="3919">
      <c r="A3919" s="17"/>
      <c r="B3919" s="17"/>
      <c r="C3919" s="133"/>
      <c r="D3919" s="133"/>
      <c r="E3919" s="17"/>
      <c r="F3919" s="133"/>
      <c r="G3919" s="133"/>
      <c r="H3919" s="133"/>
      <c r="I3919" s="133"/>
      <c r="J3919" s="133"/>
      <c r="K3919" s="133"/>
      <c r="L3919" s="133"/>
      <c r="M3919" s="133"/>
      <c r="N3919" s="133"/>
      <c r="O3919" s="133"/>
      <c r="P3919" s="134"/>
      <c r="Q3919" s="146"/>
      <c r="R3919" s="17"/>
      <c r="S3919" s="17"/>
      <c r="T3919" s="75"/>
      <c r="U3919" s="75"/>
      <c r="V3919" s="75"/>
      <c r="W3919" s="75"/>
      <c r="X3919" s="75"/>
    </row>
    <row r="3920">
      <c r="A3920" s="17"/>
      <c r="B3920" s="17"/>
      <c r="C3920" s="133"/>
      <c r="D3920" s="133"/>
      <c r="E3920" s="17"/>
      <c r="F3920" s="133"/>
      <c r="G3920" s="133"/>
      <c r="H3920" s="133"/>
      <c r="I3920" s="133"/>
      <c r="J3920" s="133"/>
      <c r="K3920" s="133"/>
      <c r="L3920" s="133"/>
      <c r="M3920" s="133"/>
      <c r="N3920" s="133"/>
      <c r="O3920" s="133"/>
      <c r="P3920" s="134"/>
      <c r="Q3920" s="146"/>
      <c r="R3920" s="17"/>
      <c r="S3920" s="17"/>
      <c r="T3920" s="75"/>
      <c r="U3920" s="75"/>
      <c r="V3920" s="75"/>
      <c r="W3920" s="75"/>
      <c r="X3920" s="75"/>
    </row>
    <row r="3921">
      <c r="A3921" s="17"/>
      <c r="B3921" s="17"/>
      <c r="C3921" s="133"/>
      <c r="D3921" s="133"/>
      <c r="E3921" s="17"/>
      <c r="F3921" s="133"/>
      <c r="G3921" s="133"/>
      <c r="H3921" s="133"/>
      <c r="I3921" s="133"/>
      <c r="J3921" s="133"/>
      <c r="K3921" s="133"/>
      <c r="L3921" s="133"/>
      <c r="M3921" s="133"/>
      <c r="N3921" s="133"/>
      <c r="O3921" s="133"/>
      <c r="P3921" s="134"/>
      <c r="Q3921" s="146"/>
      <c r="R3921" s="17"/>
      <c r="S3921" s="17"/>
      <c r="T3921" s="75"/>
      <c r="U3921" s="75"/>
      <c r="V3921" s="75"/>
      <c r="W3921" s="75"/>
      <c r="X3921" s="75"/>
    </row>
    <row r="3922">
      <c r="A3922" s="17"/>
      <c r="B3922" s="17"/>
      <c r="C3922" s="133"/>
      <c r="D3922" s="133"/>
      <c r="E3922" s="17"/>
      <c r="F3922" s="133"/>
      <c r="G3922" s="133"/>
      <c r="H3922" s="133"/>
      <c r="I3922" s="133"/>
      <c r="J3922" s="133"/>
      <c r="K3922" s="133"/>
      <c r="L3922" s="133"/>
      <c r="M3922" s="133"/>
      <c r="N3922" s="133"/>
      <c r="O3922" s="133"/>
      <c r="P3922" s="134"/>
      <c r="Q3922" s="146"/>
      <c r="R3922" s="17"/>
      <c r="S3922" s="17"/>
      <c r="T3922" s="75"/>
      <c r="U3922" s="75"/>
      <c r="V3922" s="75"/>
      <c r="W3922" s="75"/>
      <c r="X3922" s="75"/>
    </row>
    <row r="3923">
      <c r="A3923" s="17"/>
      <c r="B3923" s="17"/>
      <c r="C3923" s="133"/>
      <c r="D3923" s="133"/>
      <c r="E3923" s="17"/>
      <c r="F3923" s="133"/>
      <c r="G3923" s="133"/>
      <c r="H3923" s="133"/>
      <c r="I3923" s="133"/>
      <c r="J3923" s="133"/>
      <c r="K3923" s="133"/>
      <c r="L3923" s="133"/>
      <c r="M3923" s="133"/>
      <c r="N3923" s="133"/>
      <c r="O3923" s="133"/>
      <c r="P3923" s="134"/>
      <c r="Q3923" s="146"/>
      <c r="R3923" s="17"/>
      <c r="S3923" s="17"/>
      <c r="T3923" s="75"/>
      <c r="U3923" s="75"/>
      <c r="V3923" s="75"/>
      <c r="W3923" s="75"/>
      <c r="X3923" s="75"/>
    </row>
    <row r="3924">
      <c r="A3924" s="17"/>
      <c r="B3924" s="17"/>
      <c r="C3924" s="133"/>
      <c r="D3924" s="133"/>
      <c r="E3924" s="17"/>
      <c r="F3924" s="133"/>
      <c r="G3924" s="133"/>
      <c r="H3924" s="133"/>
      <c r="I3924" s="133"/>
      <c r="J3924" s="133"/>
      <c r="K3924" s="133"/>
      <c r="L3924" s="133"/>
      <c r="M3924" s="133"/>
      <c r="N3924" s="133"/>
      <c r="O3924" s="133"/>
      <c r="P3924" s="134"/>
      <c r="Q3924" s="146"/>
      <c r="R3924" s="17"/>
      <c r="S3924" s="17"/>
      <c r="T3924" s="75"/>
      <c r="U3924" s="75"/>
      <c r="V3924" s="75"/>
      <c r="W3924" s="75"/>
      <c r="X3924" s="75"/>
    </row>
    <row r="3925">
      <c r="A3925" s="17"/>
      <c r="B3925" s="17"/>
      <c r="C3925" s="133"/>
      <c r="D3925" s="133"/>
      <c r="E3925" s="17"/>
      <c r="F3925" s="133"/>
      <c r="G3925" s="133"/>
      <c r="H3925" s="133"/>
      <c r="I3925" s="133"/>
      <c r="J3925" s="133"/>
      <c r="K3925" s="133"/>
      <c r="L3925" s="133"/>
      <c r="M3925" s="133"/>
      <c r="N3925" s="133"/>
      <c r="O3925" s="133"/>
      <c r="P3925" s="134"/>
      <c r="Q3925" s="146"/>
      <c r="R3925" s="17"/>
      <c r="S3925" s="17"/>
      <c r="T3925" s="75"/>
      <c r="U3925" s="75"/>
      <c r="V3925" s="75"/>
      <c r="W3925" s="75"/>
      <c r="X3925" s="75"/>
    </row>
    <row r="3926">
      <c r="A3926" s="17"/>
      <c r="B3926" s="17"/>
      <c r="C3926" s="133"/>
      <c r="D3926" s="133"/>
      <c r="E3926" s="17"/>
      <c r="F3926" s="133"/>
      <c r="G3926" s="133"/>
      <c r="H3926" s="133"/>
      <c r="I3926" s="133"/>
      <c r="J3926" s="133"/>
      <c r="K3926" s="133"/>
      <c r="L3926" s="133"/>
      <c r="M3926" s="133"/>
      <c r="N3926" s="133"/>
      <c r="O3926" s="133"/>
      <c r="P3926" s="134"/>
      <c r="Q3926" s="146"/>
      <c r="R3926" s="17"/>
      <c r="S3926" s="17"/>
      <c r="T3926" s="75"/>
      <c r="U3926" s="75"/>
      <c r="V3926" s="75"/>
      <c r="W3926" s="75"/>
      <c r="X3926" s="75"/>
    </row>
    <row r="3927">
      <c r="A3927" s="17"/>
      <c r="B3927" s="17"/>
      <c r="C3927" s="133"/>
      <c r="D3927" s="133"/>
      <c r="E3927" s="17"/>
      <c r="F3927" s="133"/>
      <c r="G3927" s="133"/>
      <c r="H3927" s="133"/>
      <c r="I3927" s="133"/>
      <c r="J3927" s="133"/>
      <c r="K3927" s="133"/>
      <c r="L3927" s="133"/>
      <c r="M3927" s="133"/>
      <c r="N3927" s="133"/>
      <c r="O3927" s="133"/>
      <c r="P3927" s="134"/>
      <c r="Q3927" s="146"/>
      <c r="R3927" s="17"/>
      <c r="S3927" s="17"/>
      <c r="T3927" s="75"/>
      <c r="U3927" s="75"/>
      <c r="V3927" s="75"/>
      <c r="W3927" s="75"/>
      <c r="X3927" s="75"/>
    </row>
    <row r="3928">
      <c r="A3928" s="17"/>
      <c r="B3928" s="17"/>
      <c r="C3928" s="133"/>
      <c r="D3928" s="133"/>
      <c r="E3928" s="17"/>
      <c r="F3928" s="133"/>
      <c r="G3928" s="133"/>
      <c r="H3928" s="133"/>
      <c r="I3928" s="133"/>
      <c r="J3928" s="133"/>
      <c r="K3928" s="133"/>
      <c r="L3928" s="133"/>
      <c r="M3928" s="133"/>
      <c r="N3928" s="133"/>
      <c r="O3928" s="133"/>
      <c r="P3928" s="134"/>
      <c r="Q3928" s="146"/>
      <c r="R3928" s="17"/>
      <c r="S3928" s="17"/>
      <c r="T3928" s="75"/>
      <c r="U3928" s="75"/>
      <c r="V3928" s="75"/>
      <c r="W3928" s="75"/>
      <c r="X3928" s="75"/>
    </row>
    <row r="3929">
      <c r="A3929" s="17"/>
      <c r="B3929" s="17"/>
      <c r="C3929" s="133"/>
      <c r="D3929" s="133"/>
      <c r="E3929" s="17"/>
      <c r="F3929" s="133"/>
      <c r="G3929" s="133"/>
      <c r="H3929" s="133"/>
      <c r="I3929" s="133"/>
      <c r="J3929" s="133"/>
      <c r="K3929" s="133"/>
      <c r="L3929" s="133"/>
      <c r="M3929" s="133"/>
      <c r="N3929" s="133"/>
      <c r="O3929" s="133"/>
      <c r="P3929" s="134"/>
      <c r="Q3929" s="146"/>
      <c r="R3929" s="17"/>
      <c r="S3929" s="17"/>
      <c r="T3929" s="75"/>
      <c r="U3929" s="75"/>
      <c r="V3929" s="75"/>
      <c r="W3929" s="75"/>
      <c r="X3929" s="75"/>
    </row>
    <row r="3930">
      <c r="A3930" s="17"/>
      <c r="B3930" s="17"/>
      <c r="C3930" s="133"/>
      <c r="D3930" s="133"/>
      <c r="E3930" s="17"/>
      <c r="F3930" s="133"/>
      <c r="G3930" s="133"/>
      <c r="H3930" s="133"/>
      <c r="I3930" s="133"/>
      <c r="J3930" s="133"/>
      <c r="K3930" s="133"/>
      <c r="L3930" s="133"/>
      <c r="M3930" s="133"/>
      <c r="N3930" s="133"/>
      <c r="O3930" s="133"/>
      <c r="P3930" s="134"/>
      <c r="Q3930" s="146"/>
      <c r="R3930" s="17"/>
      <c r="S3930" s="17"/>
      <c r="T3930" s="75"/>
      <c r="U3930" s="75"/>
      <c r="V3930" s="75"/>
      <c r="W3930" s="75"/>
      <c r="X3930" s="75"/>
    </row>
    <row r="3931">
      <c r="A3931" s="17"/>
      <c r="B3931" s="17"/>
      <c r="C3931" s="133"/>
      <c r="D3931" s="133"/>
      <c r="E3931" s="17"/>
      <c r="F3931" s="133"/>
      <c r="G3931" s="133"/>
      <c r="H3931" s="133"/>
      <c r="I3931" s="133"/>
      <c r="J3931" s="133"/>
      <c r="K3931" s="133"/>
      <c r="L3931" s="133"/>
      <c r="M3931" s="133"/>
      <c r="N3931" s="133"/>
      <c r="O3931" s="133"/>
      <c r="P3931" s="134"/>
      <c r="Q3931" s="146"/>
      <c r="R3931" s="17"/>
      <c r="S3931" s="17"/>
      <c r="T3931" s="75"/>
      <c r="U3931" s="75"/>
      <c r="V3931" s="75"/>
      <c r="W3931" s="75"/>
      <c r="X3931" s="75"/>
    </row>
    <row r="3932">
      <c r="A3932" s="17"/>
      <c r="B3932" s="17"/>
      <c r="C3932" s="133"/>
      <c r="D3932" s="133"/>
      <c r="E3932" s="17"/>
      <c r="F3932" s="133"/>
      <c r="G3932" s="133"/>
      <c r="H3932" s="133"/>
      <c r="I3932" s="133"/>
      <c r="J3932" s="133"/>
      <c r="K3932" s="133"/>
      <c r="L3932" s="133"/>
      <c r="M3932" s="133"/>
      <c r="N3932" s="133"/>
      <c r="O3932" s="133"/>
      <c r="P3932" s="134"/>
      <c r="Q3932" s="146"/>
      <c r="R3932" s="17"/>
      <c r="S3932" s="17"/>
      <c r="T3932" s="75"/>
      <c r="U3932" s="75"/>
      <c r="V3932" s="75"/>
      <c r="W3932" s="75"/>
      <c r="X3932" s="75"/>
    </row>
    <row r="3933">
      <c r="A3933" s="17"/>
      <c r="B3933" s="17"/>
      <c r="C3933" s="133"/>
      <c r="D3933" s="133"/>
      <c r="E3933" s="17"/>
      <c r="F3933" s="133"/>
      <c r="G3933" s="133"/>
      <c r="H3933" s="133"/>
      <c r="I3933" s="133"/>
      <c r="J3933" s="133"/>
      <c r="K3933" s="133"/>
      <c r="L3933" s="133"/>
      <c r="M3933" s="133"/>
      <c r="N3933" s="133"/>
      <c r="O3933" s="133"/>
      <c r="P3933" s="134"/>
      <c r="Q3933" s="146"/>
      <c r="R3933" s="17"/>
      <c r="S3933" s="17"/>
      <c r="T3933" s="75"/>
      <c r="U3933" s="75"/>
      <c r="V3933" s="75"/>
      <c r="W3933" s="75"/>
      <c r="X3933" s="75"/>
    </row>
    <row r="3934">
      <c r="A3934" s="17"/>
      <c r="B3934" s="17"/>
      <c r="C3934" s="133"/>
      <c r="D3934" s="133"/>
      <c r="E3934" s="17"/>
      <c r="F3934" s="133"/>
      <c r="G3934" s="133"/>
      <c r="H3934" s="133"/>
      <c r="I3934" s="133"/>
      <c r="J3934" s="133"/>
      <c r="K3934" s="133"/>
      <c r="L3934" s="133"/>
      <c r="M3934" s="133"/>
      <c r="N3934" s="133"/>
      <c r="O3934" s="133"/>
      <c r="P3934" s="134"/>
      <c r="Q3934" s="146"/>
      <c r="R3934" s="17"/>
      <c r="S3934" s="17"/>
      <c r="T3934" s="75"/>
      <c r="U3934" s="75"/>
      <c r="V3934" s="75"/>
      <c r="W3934" s="75"/>
      <c r="X3934" s="75"/>
    </row>
    <row r="3935">
      <c r="A3935" s="17"/>
      <c r="B3935" s="17"/>
      <c r="C3935" s="133"/>
      <c r="D3935" s="133"/>
      <c r="E3935" s="17"/>
      <c r="F3935" s="133"/>
      <c r="G3935" s="133"/>
      <c r="H3935" s="133"/>
      <c r="I3935" s="133"/>
      <c r="J3935" s="133"/>
      <c r="K3935" s="133"/>
      <c r="L3935" s="133"/>
      <c r="M3935" s="133"/>
      <c r="N3935" s="133"/>
      <c r="O3935" s="133"/>
      <c r="P3935" s="134"/>
      <c r="Q3935" s="146"/>
      <c r="R3935" s="17"/>
      <c r="S3935" s="17"/>
      <c r="T3935" s="75"/>
      <c r="U3935" s="75"/>
      <c r="V3935" s="75"/>
      <c r="W3935" s="75"/>
      <c r="X3935" s="75"/>
    </row>
    <row r="3936">
      <c r="A3936" s="17"/>
      <c r="B3936" s="17"/>
      <c r="C3936" s="133"/>
      <c r="D3936" s="133"/>
      <c r="E3936" s="17"/>
      <c r="F3936" s="133"/>
      <c r="G3936" s="133"/>
      <c r="H3936" s="133"/>
      <c r="I3936" s="133"/>
      <c r="J3936" s="133"/>
      <c r="K3936" s="133"/>
      <c r="L3936" s="133"/>
      <c r="M3936" s="133"/>
      <c r="N3936" s="133"/>
      <c r="O3936" s="133"/>
      <c r="P3936" s="134"/>
      <c r="Q3936" s="146"/>
      <c r="R3936" s="17"/>
      <c r="S3936" s="17"/>
      <c r="T3936" s="75"/>
      <c r="U3936" s="75"/>
      <c r="V3936" s="75"/>
      <c r="W3936" s="75"/>
      <c r="X3936" s="75"/>
    </row>
    <row r="3937">
      <c r="A3937" s="17"/>
      <c r="B3937" s="17"/>
      <c r="C3937" s="133"/>
      <c r="D3937" s="133"/>
      <c r="E3937" s="17"/>
      <c r="F3937" s="133"/>
      <c r="G3937" s="133"/>
      <c r="H3937" s="133"/>
      <c r="I3937" s="133"/>
      <c r="J3937" s="133"/>
      <c r="K3937" s="133"/>
      <c r="L3937" s="133"/>
      <c r="M3937" s="133"/>
      <c r="N3937" s="133"/>
      <c r="O3937" s="133"/>
      <c r="P3937" s="134"/>
      <c r="Q3937" s="146"/>
      <c r="R3937" s="17"/>
      <c r="S3937" s="17"/>
      <c r="T3937" s="75"/>
      <c r="U3937" s="75"/>
      <c r="V3937" s="75"/>
      <c r="W3937" s="75"/>
      <c r="X3937" s="75"/>
    </row>
    <row r="3938">
      <c r="A3938" s="17"/>
      <c r="B3938" s="17"/>
      <c r="C3938" s="133"/>
      <c r="D3938" s="133"/>
      <c r="E3938" s="17"/>
      <c r="F3938" s="133"/>
      <c r="G3938" s="133"/>
      <c r="H3938" s="133"/>
      <c r="I3938" s="133"/>
      <c r="J3938" s="133"/>
      <c r="K3938" s="133"/>
      <c r="L3938" s="133"/>
      <c r="M3938" s="133"/>
      <c r="N3938" s="133"/>
      <c r="O3938" s="133"/>
      <c r="P3938" s="134"/>
      <c r="Q3938" s="146"/>
      <c r="R3938" s="17"/>
      <c r="S3938" s="17"/>
      <c r="T3938" s="75"/>
      <c r="U3938" s="75"/>
      <c r="V3938" s="75"/>
      <c r="W3938" s="75"/>
      <c r="X3938" s="75"/>
    </row>
    <row r="3939">
      <c r="A3939" s="17"/>
      <c r="B3939" s="17"/>
      <c r="C3939" s="133"/>
      <c r="D3939" s="133"/>
      <c r="E3939" s="17"/>
      <c r="F3939" s="133"/>
      <c r="G3939" s="133"/>
      <c r="H3939" s="133"/>
      <c r="I3939" s="133"/>
      <c r="J3939" s="133"/>
      <c r="K3939" s="133"/>
      <c r="L3939" s="133"/>
      <c r="M3939" s="133"/>
      <c r="N3939" s="133"/>
      <c r="O3939" s="133"/>
      <c r="P3939" s="134"/>
      <c r="Q3939" s="146"/>
      <c r="R3939" s="17"/>
      <c r="S3939" s="17"/>
      <c r="T3939" s="75"/>
      <c r="U3939" s="75"/>
      <c r="V3939" s="75"/>
      <c r="W3939" s="75"/>
      <c r="X3939" s="75"/>
    </row>
    <row r="3940">
      <c r="A3940" s="17"/>
      <c r="B3940" s="17"/>
      <c r="C3940" s="133"/>
      <c r="D3940" s="133"/>
      <c r="E3940" s="17"/>
      <c r="F3940" s="133"/>
      <c r="G3940" s="133"/>
      <c r="H3940" s="133"/>
      <c r="I3940" s="133"/>
      <c r="J3940" s="133"/>
      <c r="K3940" s="133"/>
      <c r="L3940" s="133"/>
      <c r="M3940" s="133"/>
      <c r="N3940" s="133"/>
      <c r="O3940" s="133"/>
      <c r="P3940" s="134"/>
      <c r="Q3940" s="146"/>
      <c r="R3940" s="17"/>
      <c r="S3940" s="17"/>
      <c r="T3940" s="75"/>
      <c r="U3940" s="75"/>
      <c r="V3940" s="75"/>
      <c r="W3940" s="75"/>
      <c r="X3940" s="75"/>
    </row>
    <row r="3941">
      <c r="A3941" s="17"/>
      <c r="B3941" s="17"/>
      <c r="C3941" s="133"/>
      <c r="D3941" s="133"/>
      <c r="E3941" s="17"/>
      <c r="F3941" s="133"/>
      <c r="G3941" s="133"/>
      <c r="H3941" s="133"/>
      <c r="I3941" s="133"/>
      <c r="J3941" s="133"/>
      <c r="K3941" s="133"/>
      <c r="L3941" s="133"/>
      <c r="M3941" s="133"/>
      <c r="N3941" s="133"/>
      <c r="O3941" s="133"/>
      <c r="P3941" s="134"/>
      <c r="Q3941" s="146"/>
      <c r="R3941" s="17"/>
      <c r="S3941" s="17"/>
      <c r="T3941" s="75"/>
      <c r="U3941" s="75"/>
      <c r="V3941" s="75"/>
      <c r="W3941" s="75"/>
      <c r="X3941" s="75"/>
    </row>
    <row r="3942">
      <c r="A3942" s="17"/>
      <c r="B3942" s="17"/>
      <c r="C3942" s="133"/>
      <c r="D3942" s="133"/>
      <c r="E3942" s="17"/>
      <c r="F3942" s="133"/>
      <c r="G3942" s="133"/>
      <c r="H3942" s="133"/>
      <c r="I3942" s="133"/>
      <c r="J3942" s="133"/>
      <c r="K3942" s="133"/>
      <c r="L3942" s="133"/>
      <c r="M3942" s="133"/>
      <c r="N3942" s="133"/>
      <c r="O3942" s="133"/>
      <c r="P3942" s="134"/>
      <c r="Q3942" s="146"/>
      <c r="R3942" s="17"/>
      <c r="S3942" s="17"/>
      <c r="T3942" s="75"/>
      <c r="U3942" s="75"/>
      <c r="V3942" s="75"/>
      <c r="W3942" s="75"/>
      <c r="X3942" s="75"/>
    </row>
    <row r="3943">
      <c r="A3943" s="17"/>
      <c r="B3943" s="17"/>
      <c r="C3943" s="133"/>
      <c r="D3943" s="133"/>
      <c r="E3943" s="17"/>
      <c r="F3943" s="133"/>
      <c r="G3943" s="133"/>
      <c r="H3943" s="133"/>
      <c r="I3943" s="133"/>
      <c r="J3943" s="133"/>
      <c r="K3943" s="133"/>
      <c r="L3943" s="133"/>
      <c r="M3943" s="133"/>
      <c r="N3943" s="133"/>
      <c r="O3943" s="133"/>
      <c r="P3943" s="134"/>
      <c r="Q3943" s="146"/>
      <c r="R3943" s="17"/>
      <c r="S3943" s="17"/>
      <c r="T3943" s="75"/>
      <c r="U3943" s="75"/>
      <c r="V3943" s="75"/>
      <c r="W3943" s="75"/>
      <c r="X3943" s="75"/>
    </row>
    <row r="3944">
      <c r="A3944" s="17"/>
      <c r="B3944" s="17"/>
      <c r="C3944" s="133"/>
      <c r="D3944" s="133"/>
      <c r="E3944" s="17"/>
      <c r="F3944" s="133"/>
      <c r="G3944" s="133"/>
      <c r="H3944" s="133"/>
      <c r="I3944" s="133"/>
      <c r="J3944" s="133"/>
      <c r="K3944" s="133"/>
      <c r="L3944" s="133"/>
      <c r="M3944" s="133"/>
      <c r="N3944" s="133"/>
      <c r="O3944" s="133"/>
      <c r="P3944" s="134"/>
      <c r="Q3944" s="146"/>
      <c r="R3944" s="17"/>
      <c r="S3944" s="17"/>
      <c r="T3944" s="75"/>
      <c r="U3944" s="75"/>
      <c r="V3944" s="75"/>
      <c r="W3944" s="75"/>
      <c r="X3944" s="75"/>
    </row>
    <row r="3945">
      <c r="A3945" s="17"/>
      <c r="B3945" s="17"/>
      <c r="C3945" s="133"/>
      <c r="D3945" s="133"/>
      <c r="E3945" s="17"/>
      <c r="F3945" s="133"/>
      <c r="G3945" s="133"/>
      <c r="H3945" s="133"/>
      <c r="I3945" s="133"/>
      <c r="J3945" s="133"/>
      <c r="K3945" s="133"/>
      <c r="L3945" s="133"/>
      <c r="M3945" s="133"/>
      <c r="N3945" s="133"/>
      <c r="O3945" s="133"/>
      <c r="P3945" s="134"/>
      <c r="Q3945" s="146"/>
      <c r="R3945" s="17"/>
      <c r="S3945" s="17"/>
      <c r="T3945" s="75"/>
      <c r="U3945" s="75"/>
      <c r="V3945" s="75"/>
      <c r="W3945" s="75"/>
      <c r="X3945" s="75"/>
    </row>
    <row r="3946">
      <c r="A3946" s="17"/>
      <c r="B3946" s="17"/>
      <c r="C3946" s="133"/>
      <c r="D3946" s="133"/>
      <c r="E3946" s="17"/>
      <c r="F3946" s="133"/>
      <c r="G3946" s="133"/>
      <c r="H3946" s="133"/>
      <c r="I3946" s="133"/>
      <c r="J3946" s="133"/>
      <c r="K3946" s="133"/>
      <c r="L3946" s="133"/>
      <c r="M3946" s="133"/>
      <c r="N3946" s="133"/>
      <c r="O3946" s="133"/>
      <c r="P3946" s="134"/>
      <c r="Q3946" s="146"/>
      <c r="R3946" s="17"/>
      <c r="S3946" s="17"/>
      <c r="T3946" s="75"/>
      <c r="U3946" s="75"/>
      <c r="V3946" s="75"/>
      <c r="W3946" s="75"/>
      <c r="X3946" s="75"/>
    </row>
    <row r="3947">
      <c r="A3947" s="17"/>
      <c r="B3947" s="17"/>
      <c r="C3947" s="133"/>
      <c r="D3947" s="133"/>
      <c r="E3947" s="17"/>
      <c r="F3947" s="133"/>
      <c r="G3947" s="133"/>
      <c r="H3947" s="133"/>
      <c r="I3947" s="133"/>
      <c r="J3947" s="133"/>
      <c r="K3947" s="133"/>
      <c r="L3947" s="133"/>
      <c r="M3947" s="133"/>
      <c r="N3947" s="133"/>
      <c r="O3947" s="133"/>
      <c r="P3947" s="134"/>
      <c r="Q3947" s="146"/>
      <c r="R3947" s="17"/>
      <c r="S3947" s="17"/>
      <c r="T3947" s="75"/>
      <c r="U3947" s="75"/>
      <c r="V3947" s="75"/>
      <c r="W3947" s="75"/>
      <c r="X3947" s="75"/>
    </row>
    <row r="3948">
      <c r="A3948" s="17"/>
      <c r="B3948" s="17"/>
      <c r="C3948" s="133"/>
      <c r="D3948" s="133"/>
      <c r="E3948" s="17"/>
      <c r="F3948" s="133"/>
      <c r="G3948" s="133"/>
      <c r="H3948" s="133"/>
      <c r="I3948" s="133"/>
      <c r="J3948" s="133"/>
      <c r="K3948" s="133"/>
      <c r="L3948" s="133"/>
      <c r="M3948" s="133"/>
      <c r="N3948" s="133"/>
      <c r="O3948" s="133"/>
      <c r="P3948" s="134"/>
      <c r="Q3948" s="146"/>
      <c r="R3948" s="17"/>
      <c r="S3948" s="17"/>
      <c r="T3948" s="75"/>
      <c r="U3948" s="75"/>
      <c r="V3948" s="75"/>
      <c r="W3948" s="75"/>
      <c r="X3948" s="75"/>
    </row>
    <row r="3949">
      <c r="A3949" s="17"/>
      <c r="B3949" s="17"/>
      <c r="C3949" s="133"/>
      <c r="D3949" s="133"/>
      <c r="E3949" s="17"/>
      <c r="F3949" s="133"/>
      <c r="G3949" s="133"/>
      <c r="H3949" s="133"/>
      <c r="I3949" s="133"/>
      <c r="J3949" s="133"/>
      <c r="K3949" s="133"/>
      <c r="L3949" s="133"/>
      <c r="M3949" s="133"/>
      <c r="N3949" s="133"/>
      <c r="O3949" s="133"/>
      <c r="P3949" s="134"/>
      <c r="Q3949" s="146"/>
      <c r="R3949" s="17"/>
      <c r="S3949" s="17"/>
      <c r="T3949" s="75"/>
      <c r="U3949" s="75"/>
      <c r="V3949" s="75"/>
      <c r="W3949" s="75"/>
      <c r="X3949" s="75"/>
    </row>
    <row r="3950">
      <c r="A3950" s="17"/>
      <c r="B3950" s="17"/>
      <c r="C3950" s="133"/>
      <c r="D3950" s="133"/>
      <c r="E3950" s="17"/>
      <c r="F3950" s="133"/>
      <c r="G3950" s="133"/>
      <c r="H3950" s="133"/>
      <c r="I3950" s="133"/>
      <c r="J3950" s="133"/>
      <c r="K3950" s="133"/>
      <c r="L3950" s="133"/>
      <c r="M3950" s="133"/>
      <c r="N3950" s="133"/>
      <c r="O3950" s="133"/>
      <c r="P3950" s="134"/>
      <c r="Q3950" s="146"/>
      <c r="R3950" s="17"/>
      <c r="S3950" s="17"/>
      <c r="T3950" s="75"/>
      <c r="U3950" s="75"/>
      <c r="V3950" s="75"/>
      <c r="W3950" s="75"/>
      <c r="X3950" s="75"/>
    </row>
    <row r="3951">
      <c r="A3951" s="17"/>
      <c r="B3951" s="17"/>
      <c r="C3951" s="133"/>
      <c r="D3951" s="133"/>
      <c r="E3951" s="17"/>
      <c r="F3951" s="133"/>
      <c r="G3951" s="133"/>
      <c r="H3951" s="133"/>
      <c r="I3951" s="133"/>
      <c r="J3951" s="133"/>
      <c r="K3951" s="133"/>
      <c r="L3951" s="133"/>
      <c r="M3951" s="133"/>
      <c r="N3951" s="133"/>
      <c r="O3951" s="133"/>
      <c r="P3951" s="134"/>
      <c r="Q3951" s="146"/>
      <c r="R3951" s="17"/>
      <c r="S3951" s="17"/>
      <c r="T3951" s="75"/>
      <c r="U3951" s="75"/>
      <c r="V3951" s="75"/>
      <c r="W3951" s="75"/>
      <c r="X3951" s="75"/>
    </row>
    <row r="3952">
      <c r="A3952" s="17"/>
      <c r="B3952" s="17"/>
      <c r="C3952" s="133"/>
      <c r="D3952" s="133"/>
      <c r="E3952" s="17"/>
      <c r="F3952" s="133"/>
      <c r="G3952" s="133"/>
      <c r="H3952" s="133"/>
      <c r="I3952" s="133"/>
      <c r="J3952" s="133"/>
      <c r="K3952" s="133"/>
      <c r="L3952" s="133"/>
      <c r="M3952" s="133"/>
      <c r="N3952" s="133"/>
      <c r="O3952" s="133"/>
      <c r="P3952" s="134"/>
      <c r="Q3952" s="146"/>
      <c r="R3952" s="17"/>
      <c r="S3952" s="17"/>
      <c r="T3952" s="75"/>
      <c r="U3952" s="75"/>
      <c r="V3952" s="75"/>
      <c r="W3952" s="75"/>
      <c r="X3952" s="75"/>
    </row>
    <row r="3953">
      <c r="A3953" s="17"/>
      <c r="B3953" s="17"/>
      <c r="C3953" s="133"/>
      <c r="D3953" s="133"/>
      <c r="E3953" s="17"/>
      <c r="F3953" s="133"/>
      <c r="G3953" s="133"/>
      <c r="H3953" s="133"/>
      <c r="I3953" s="133"/>
      <c r="J3953" s="133"/>
      <c r="K3953" s="133"/>
      <c r="L3953" s="133"/>
      <c r="M3953" s="133"/>
      <c r="N3953" s="133"/>
      <c r="O3953" s="133"/>
      <c r="P3953" s="134"/>
      <c r="Q3953" s="146"/>
      <c r="R3953" s="17"/>
      <c r="S3953" s="17"/>
      <c r="T3953" s="75"/>
      <c r="U3953" s="75"/>
      <c r="V3953" s="75"/>
      <c r="W3953" s="75"/>
      <c r="X3953" s="75"/>
    </row>
    <row r="3954">
      <c r="A3954" s="17"/>
      <c r="B3954" s="17"/>
      <c r="C3954" s="133"/>
      <c r="D3954" s="133"/>
      <c r="E3954" s="17"/>
      <c r="F3954" s="133"/>
      <c r="G3954" s="133"/>
      <c r="H3954" s="133"/>
      <c r="I3954" s="133"/>
      <c r="J3954" s="133"/>
      <c r="K3954" s="133"/>
      <c r="L3954" s="133"/>
      <c r="M3954" s="133"/>
      <c r="N3954" s="133"/>
      <c r="O3954" s="133"/>
      <c r="P3954" s="134"/>
      <c r="Q3954" s="146"/>
      <c r="R3954" s="17"/>
      <c r="S3954" s="17"/>
      <c r="T3954" s="75"/>
      <c r="U3954" s="75"/>
      <c r="V3954" s="75"/>
      <c r="W3954" s="75"/>
      <c r="X3954" s="75"/>
    </row>
    <row r="3955">
      <c r="A3955" s="17"/>
      <c r="B3955" s="17"/>
      <c r="C3955" s="133"/>
      <c r="D3955" s="133"/>
      <c r="E3955" s="17"/>
      <c r="F3955" s="133"/>
      <c r="G3955" s="133"/>
      <c r="H3955" s="133"/>
      <c r="I3955" s="133"/>
      <c r="J3955" s="133"/>
      <c r="K3955" s="133"/>
      <c r="L3955" s="133"/>
      <c r="M3955" s="133"/>
      <c r="N3955" s="133"/>
      <c r="O3955" s="133"/>
      <c r="P3955" s="134"/>
      <c r="Q3955" s="146"/>
      <c r="R3955" s="17"/>
      <c r="S3955" s="17"/>
      <c r="T3955" s="75"/>
      <c r="U3955" s="75"/>
      <c r="V3955" s="75"/>
      <c r="W3955" s="75"/>
      <c r="X3955" s="75"/>
    </row>
    <row r="3956">
      <c r="A3956" s="17"/>
      <c r="B3956" s="17"/>
      <c r="C3956" s="133"/>
      <c r="D3956" s="133"/>
      <c r="E3956" s="17"/>
      <c r="F3956" s="133"/>
      <c r="G3956" s="133"/>
      <c r="H3956" s="133"/>
      <c r="I3956" s="133"/>
      <c r="J3956" s="133"/>
      <c r="K3956" s="133"/>
      <c r="L3956" s="133"/>
      <c r="M3956" s="133"/>
      <c r="N3956" s="133"/>
      <c r="O3956" s="133"/>
      <c r="P3956" s="134"/>
      <c r="Q3956" s="146"/>
      <c r="R3956" s="17"/>
      <c r="S3956" s="17"/>
      <c r="T3956" s="75"/>
      <c r="U3956" s="75"/>
      <c r="V3956" s="75"/>
      <c r="W3956" s="75"/>
      <c r="X3956" s="75"/>
    </row>
    <row r="3957">
      <c r="A3957" s="17"/>
      <c r="B3957" s="17"/>
      <c r="C3957" s="133"/>
      <c r="D3957" s="133"/>
      <c r="E3957" s="17"/>
      <c r="F3957" s="133"/>
      <c r="G3957" s="133"/>
      <c r="H3957" s="133"/>
      <c r="I3957" s="133"/>
      <c r="J3957" s="133"/>
      <c r="K3957" s="133"/>
      <c r="L3957" s="133"/>
      <c r="M3957" s="133"/>
      <c r="N3957" s="133"/>
      <c r="O3957" s="133"/>
      <c r="P3957" s="134"/>
      <c r="Q3957" s="146"/>
      <c r="R3957" s="17"/>
      <c r="S3957" s="17"/>
      <c r="T3957" s="75"/>
      <c r="U3957" s="75"/>
      <c r="V3957" s="75"/>
      <c r="W3957" s="75"/>
      <c r="X3957" s="75"/>
    </row>
    <row r="3958">
      <c r="A3958" s="17"/>
      <c r="B3958" s="17"/>
      <c r="C3958" s="133"/>
      <c r="D3958" s="133"/>
      <c r="E3958" s="17"/>
      <c r="F3958" s="133"/>
      <c r="G3958" s="133"/>
      <c r="H3958" s="133"/>
      <c r="I3958" s="133"/>
      <c r="J3958" s="133"/>
      <c r="K3958" s="133"/>
      <c r="L3958" s="133"/>
      <c r="M3958" s="133"/>
      <c r="N3958" s="133"/>
      <c r="O3958" s="133"/>
      <c r="P3958" s="134"/>
      <c r="Q3958" s="146"/>
      <c r="R3958" s="17"/>
      <c r="S3958" s="17"/>
      <c r="T3958" s="75"/>
      <c r="U3958" s="75"/>
      <c r="V3958" s="75"/>
      <c r="W3958" s="75"/>
      <c r="X3958" s="75"/>
    </row>
    <row r="3959">
      <c r="A3959" s="17"/>
      <c r="B3959" s="17"/>
      <c r="C3959" s="133"/>
      <c r="D3959" s="133"/>
      <c r="E3959" s="17"/>
      <c r="F3959" s="133"/>
      <c r="G3959" s="133"/>
      <c r="H3959" s="133"/>
      <c r="I3959" s="133"/>
      <c r="J3959" s="133"/>
      <c r="K3959" s="133"/>
      <c r="L3959" s="133"/>
      <c r="M3959" s="133"/>
      <c r="N3959" s="133"/>
      <c r="O3959" s="133"/>
      <c r="P3959" s="134"/>
      <c r="Q3959" s="146"/>
      <c r="R3959" s="17"/>
      <c r="S3959" s="17"/>
      <c r="T3959" s="75"/>
      <c r="U3959" s="75"/>
      <c r="V3959" s="75"/>
      <c r="W3959" s="75"/>
      <c r="X3959" s="75"/>
    </row>
    <row r="3960">
      <c r="A3960" s="17"/>
      <c r="B3960" s="17"/>
      <c r="C3960" s="133"/>
      <c r="D3960" s="133"/>
      <c r="E3960" s="17"/>
      <c r="F3960" s="133"/>
      <c r="G3960" s="133"/>
      <c r="H3960" s="133"/>
      <c r="I3960" s="133"/>
      <c r="J3960" s="133"/>
      <c r="K3960" s="133"/>
      <c r="L3960" s="133"/>
      <c r="M3960" s="133"/>
      <c r="N3960" s="133"/>
      <c r="O3960" s="133"/>
      <c r="P3960" s="134"/>
      <c r="Q3960" s="146"/>
      <c r="R3960" s="17"/>
      <c r="S3960" s="17"/>
      <c r="T3960" s="75"/>
      <c r="U3960" s="75"/>
      <c r="V3960" s="75"/>
      <c r="W3960" s="75"/>
      <c r="X3960" s="75"/>
    </row>
    <row r="3961">
      <c r="A3961" s="17"/>
      <c r="B3961" s="17"/>
      <c r="C3961" s="133"/>
      <c r="D3961" s="133"/>
      <c r="E3961" s="17"/>
      <c r="F3961" s="133"/>
      <c r="G3961" s="133"/>
      <c r="H3961" s="133"/>
      <c r="I3961" s="133"/>
      <c r="J3961" s="133"/>
      <c r="K3961" s="133"/>
      <c r="L3961" s="133"/>
      <c r="M3961" s="133"/>
      <c r="N3961" s="133"/>
      <c r="O3961" s="133"/>
      <c r="P3961" s="134"/>
      <c r="Q3961" s="146"/>
      <c r="R3961" s="17"/>
      <c r="S3961" s="17"/>
      <c r="T3961" s="75"/>
      <c r="U3961" s="75"/>
      <c r="V3961" s="75"/>
      <c r="W3961" s="75"/>
      <c r="X3961" s="75"/>
    </row>
    <row r="3962">
      <c r="A3962" s="17"/>
      <c r="B3962" s="17"/>
      <c r="C3962" s="133"/>
      <c r="D3962" s="133"/>
      <c r="E3962" s="17"/>
      <c r="F3962" s="133"/>
      <c r="G3962" s="133"/>
      <c r="H3962" s="133"/>
      <c r="I3962" s="133"/>
      <c r="J3962" s="133"/>
      <c r="K3962" s="133"/>
      <c r="L3962" s="133"/>
      <c r="M3962" s="133"/>
      <c r="N3962" s="133"/>
      <c r="O3962" s="133"/>
      <c r="P3962" s="134"/>
      <c r="Q3962" s="146"/>
      <c r="R3962" s="17"/>
      <c r="S3962" s="17"/>
      <c r="T3962" s="75"/>
      <c r="U3962" s="75"/>
      <c r="V3962" s="75"/>
      <c r="W3962" s="75"/>
      <c r="X3962" s="75"/>
    </row>
    <row r="3963">
      <c r="A3963" s="17"/>
      <c r="B3963" s="17"/>
      <c r="C3963" s="133"/>
      <c r="D3963" s="133"/>
      <c r="E3963" s="17"/>
      <c r="F3963" s="133"/>
      <c r="G3963" s="133"/>
      <c r="H3963" s="133"/>
      <c r="I3963" s="133"/>
      <c r="J3963" s="133"/>
      <c r="K3963" s="133"/>
      <c r="L3963" s="133"/>
      <c r="M3963" s="133"/>
      <c r="N3963" s="133"/>
      <c r="O3963" s="133"/>
      <c r="P3963" s="134"/>
      <c r="Q3963" s="146"/>
      <c r="R3963" s="17"/>
      <c r="S3963" s="17"/>
      <c r="T3963" s="75"/>
      <c r="U3963" s="75"/>
      <c r="V3963" s="75"/>
      <c r="W3963" s="75"/>
      <c r="X3963" s="75"/>
    </row>
    <row r="3964">
      <c r="A3964" s="17"/>
      <c r="B3964" s="17"/>
      <c r="C3964" s="133"/>
      <c r="D3964" s="133"/>
      <c r="E3964" s="17"/>
      <c r="F3964" s="133"/>
      <c r="G3964" s="133"/>
      <c r="H3964" s="133"/>
      <c r="I3964" s="133"/>
      <c r="J3964" s="133"/>
      <c r="K3964" s="133"/>
      <c r="L3964" s="133"/>
      <c r="M3964" s="133"/>
      <c r="N3964" s="133"/>
      <c r="O3964" s="133"/>
      <c r="P3964" s="134"/>
      <c r="Q3964" s="146"/>
      <c r="R3964" s="17"/>
      <c r="S3964" s="17"/>
      <c r="T3964" s="75"/>
      <c r="U3964" s="75"/>
      <c r="V3964" s="75"/>
      <c r="W3964" s="75"/>
      <c r="X3964" s="75"/>
    </row>
    <row r="3965">
      <c r="A3965" s="17"/>
      <c r="B3965" s="17"/>
      <c r="C3965" s="133"/>
      <c r="D3965" s="133"/>
      <c r="E3965" s="17"/>
      <c r="F3965" s="133"/>
      <c r="G3965" s="133"/>
      <c r="H3965" s="133"/>
      <c r="I3965" s="133"/>
      <c r="J3965" s="133"/>
      <c r="K3965" s="133"/>
      <c r="L3965" s="133"/>
      <c r="M3965" s="133"/>
      <c r="N3965" s="133"/>
      <c r="O3965" s="133"/>
      <c r="P3965" s="134"/>
      <c r="Q3965" s="146"/>
      <c r="R3965" s="17"/>
      <c r="S3965" s="17"/>
      <c r="T3965" s="75"/>
      <c r="U3965" s="75"/>
      <c r="V3965" s="75"/>
      <c r="W3965" s="75"/>
      <c r="X3965" s="75"/>
    </row>
    <row r="3966">
      <c r="A3966" s="17"/>
      <c r="B3966" s="17"/>
      <c r="C3966" s="133"/>
      <c r="D3966" s="133"/>
      <c r="E3966" s="17"/>
      <c r="F3966" s="133"/>
      <c r="G3966" s="133"/>
      <c r="H3966" s="133"/>
      <c r="I3966" s="133"/>
      <c r="J3966" s="133"/>
      <c r="K3966" s="133"/>
      <c r="L3966" s="133"/>
      <c r="M3966" s="133"/>
      <c r="N3966" s="133"/>
      <c r="O3966" s="133"/>
      <c r="P3966" s="134"/>
      <c r="Q3966" s="146"/>
      <c r="R3966" s="17"/>
      <c r="S3966" s="17"/>
      <c r="T3966" s="75"/>
      <c r="U3966" s="75"/>
      <c r="V3966" s="75"/>
      <c r="W3966" s="75"/>
      <c r="X3966" s="75"/>
    </row>
    <row r="3967">
      <c r="A3967" s="17"/>
      <c r="B3967" s="17"/>
      <c r="C3967" s="133"/>
      <c r="D3967" s="133"/>
      <c r="E3967" s="17"/>
      <c r="F3967" s="133"/>
      <c r="G3967" s="133"/>
      <c r="H3967" s="133"/>
      <c r="I3967" s="133"/>
      <c r="J3967" s="133"/>
      <c r="K3967" s="133"/>
      <c r="L3967" s="133"/>
      <c r="M3967" s="133"/>
      <c r="N3967" s="133"/>
      <c r="O3967" s="133"/>
      <c r="P3967" s="134"/>
      <c r="Q3967" s="146"/>
      <c r="R3967" s="17"/>
      <c r="S3967" s="17"/>
      <c r="T3967" s="75"/>
      <c r="U3967" s="75"/>
      <c r="V3967" s="75"/>
      <c r="W3967" s="75"/>
      <c r="X3967" s="75"/>
    </row>
    <row r="3968">
      <c r="A3968" s="17"/>
      <c r="B3968" s="17"/>
      <c r="C3968" s="133"/>
      <c r="D3968" s="133"/>
      <c r="E3968" s="17"/>
      <c r="F3968" s="133"/>
      <c r="G3968" s="133"/>
      <c r="H3968" s="133"/>
      <c r="I3968" s="133"/>
      <c r="J3968" s="133"/>
      <c r="K3968" s="133"/>
      <c r="L3968" s="133"/>
      <c r="M3968" s="133"/>
      <c r="N3968" s="133"/>
      <c r="O3968" s="133"/>
      <c r="P3968" s="134"/>
      <c r="Q3968" s="146"/>
      <c r="R3968" s="17"/>
      <c r="S3968" s="17"/>
      <c r="T3968" s="75"/>
      <c r="U3968" s="75"/>
      <c r="V3968" s="75"/>
      <c r="W3968" s="75"/>
      <c r="X3968" s="75"/>
    </row>
    <row r="3969">
      <c r="A3969" s="17"/>
      <c r="B3969" s="17"/>
      <c r="C3969" s="133"/>
      <c r="D3969" s="133"/>
      <c r="E3969" s="17"/>
      <c r="F3969" s="133"/>
      <c r="G3969" s="133"/>
      <c r="H3969" s="133"/>
      <c r="I3969" s="133"/>
      <c r="J3969" s="133"/>
      <c r="K3969" s="133"/>
      <c r="L3969" s="133"/>
      <c r="M3969" s="133"/>
      <c r="N3969" s="133"/>
      <c r="O3969" s="133"/>
      <c r="P3969" s="134"/>
      <c r="Q3969" s="146"/>
      <c r="R3969" s="17"/>
      <c r="S3969" s="17"/>
      <c r="T3969" s="75"/>
      <c r="U3969" s="75"/>
      <c r="V3969" s="75"/>
      <c r="W3969" s="75"/>
      <c r="X3969" s="75"/>
    </row>
    <row r="3970">
      <c r="A3970" s="17"/>
      <c r="B3970" s="17"/>
      <c r="C3970" s="133"/>
      <c r="D3970" s="133"/>
      <c r="E3970" s="17"/>
      <c r="F3970" s="133"/>
      <c r="G3970" s="133"/>
      <c r="H3970" s="133"/>
      <c r="I3970" s="133"/>
      <c r="J3970" s="133"/>
      <c r="K3970" s="133"/>
      <c r="L3970" s="133"/>
      <c r="M3970" s="133"/>
      <c r="N3970" s="133"/>
      <c r="O3970" s="133"/>
      <c r="P3970" s="134"/>
      <c r="Q3970" s="146"/>
      <c r="R3970" s="17"/>
      <c r="S3970" s="17"/>
      <c r="T3970" s="75"/>
      <c r="U3970" s="75"/>
      <c r="V3970" s="75"/>
      <c r="W3970" s="75"/>
      <c r="X3970" s="75"/>
    </row>
    <row r="3971">
      <c r="A3971" s="17"/>
      <c r="B3971" s="17"/>
      <c r="C3971" s="133"/>
      <c r="D3971" s="133"/>
      <c r="E3971" s="17"/>
      <c r="F3971" s="133"/>
      <c r="G3971" s="133"/>
      <c r="H3971" s="133"/>
      <c r="I3971" s="133"/>
      <c r="J3971" s="133"/>
      <c r="K3971" s="133"/>
      <c r="L3971" s="133"/>
      <c r="M3971" s="133"/>
      <c r="N3971" s="133"/>
      <c r="O3971" s="133"/>
      <c r="P3971" s="134"/>
      <c r="Q3971" s="146"/>
      <c r="R3971" s="17"/>
      <c r="S3971" s="17"/>
      <c r="T3971" s="75"/>
      <c r="U3971" s="75"/>
      <c r="V3971" s="75"/>
      <c r="W3971" s="75"/>
      <c r="X3971" s="75"/>
    </row>
    <row r="3972">
      <c r="A3972" s="17"/>
      <c r="B3972" s="17"/>
      <c r="C3972" s="133"/>
      <c r="D3972" s="133"/>
      <c r="E3972" s="17"/>
      <c r="F3972" s="133"/>
      <c r="G3972" s="133"/>
      <c r="H3972" s="133"/>
      <c r="I3972" s="133"/>
      <c r="J3972" s="133"/>
      <c r="K3972" s="133"/>
      <c r="L3972" s="133"/>
      <c r="M3972" s="133"/>
      <c r="N3972" s="133"/>
      <c r="O3972" s="133"/>
      <c r="P3972" s="134"/>
      <c r="Q3972" s="146"/>
      <c r="R3972" s="17"/>
      <c r="S3972" s="17"/>
      <c r="T3972" s="75"/>
      <c r="U3972" s="75"/>
      <c r="V3972" s="75"/>
      <c r="W3972" s="75"/>
      <c r="X3972" s="75"/>
    </row>
    <row r="3973">
      <c r="A3973" s="17"/>
      <c r="B3973" s="17"/>
      <c r="C3973" s="133"/>
      <c r="D3973" s="133"/>
      <c r="E3973" s="17"/>
      <c r="F3973" s="133"/>
      <c r="G3973" s="133"/>
      <c r="H3973" s="133"/>
      <c r="I3973" s="133"/>
      <c r="J3973" s="133"/>
      <c r="K3973" s="133"/>
      <c r="L3973" s="133"/>
      <c r="M3973" s="133"/>
      <c r="N3973" s="133"/>
      <c r="O3973" s="133"/>
      <c r="P3973" s="134"/>
      <c r="Q3973" s="146"/>
      <c r="R3973" s="17"/>
      <c r="S3973" s="17"/>
      <c r="T3973" s="75"/>
      <c r="U3973" s="75"/>
      <c r="V3973" s="75"/>
      <c r="W3973" s="75"/>
      <c r="X3973" s="75"/>
    </row>
    <row r="3974">
      <c r="A3974" s="17"/>
      <c r="B3974" s="17"/>
      <c r="C3974" s="133"/>
      <c r="D3974" s="133"/>
      <c r="E3974" s="17"/>
      <c r="F3974" s="133"/>
      <c r="G3974" s="133"/>
      <c r="H3974" s="133"/>
      <c r="I3974" s="133"/>
      <c r="J3974" s="133"/>
      <c r="K3974" s="133"/>
      <c r="L3974" s="133"/>
      <c r="M3974" s="133"/>
      <c r="N3974" s="133"/>
      <c r="O3974" s="133"/>
      <c r="P3974" s="134"/>
      <c r="Q3974" s="146"/>
      <c r="R3974" s="17"/>
      <c r="S3974" s="17"/>
      <c r="T3974" s="75"/>
      <c r="U3974" s="75"/>
      <c r="V3974" s="75"/>
      <c r="W3974" s="75"/>
      <c r="X3974" s="75"/>
    </row>
    <row r="3975">
      <c r="A3975" s="17"/>
      <c r="B3975" s="17"/>
      <c r="C3975" s="133"/>
      <c r="D3975" s="133"/>
      <c r="E3975" s="17"/>
      <c r="F3975" s="133"/>
      <c r="G3975" s="133"/>
      <c r="H3975" s="133"/>
      <c r="I3975" s="133"/>
      <c r="J3975" s="133"/>
      <c r="K3975" s="133"/>
      <c r="L3975" s="133"/>
      <c r="M3975" s="133"/>
      <c r="N3975" s="133"/>
      <c r="O3975" s="133"/>
      <c r="P3975" s="134"/>
      <c r="Q3975" s="146"/>
      <c r="R3975" s="17"/>
      <c r="S3975" s="17"/>
      <c r="T3975" s="75"/>
      <c r="U3975" s="75"/>
      <c r="V3975" s="75"/>
      <c r="W3975" s="75"/>
      <c r="X3975" s="75"/>
    </row>
    <row r="3976">
      <c r="A3976" s="17"/>
      <c r="B3976" s="17"/>
      <c r="C3976" s="133"/>
      <c r="D3976" s="133"/>
      <c r="E3976" s="17"/>
      <c r="F3976" s="133"/>
      <c r="G3976" s="133"/>
      <c r="H3976" s="133"/>
      <c r="I3976" s="133"/>
      <c r="J3976" s="133"/>
      <c r="K3976" s="133"/>
      <c r="L3976" s="133"/>
      <c r="M3976" s="133"/>
      <c r="N3976" s="133"/>
      <c r="O3976" s="133"/>
      <c r="P3976" s="134"/>
      <c r="Q3976" s="146"/>
      <c r="R3976" s="17"/>
      <c r="S3976" s="17"/>
      <c r="T3976" s="75"/>
      <c r="U3976" s="75"/>
      <c r="V3976" s="75"/>
      <c r="W3976" s="75"/>
      <c r="X3976" s="75"/>
    </row>
    <row r="3977">
      <c r="A3977" s="17"/>
      <c r="B3977" s="17"/>
      <c r="C3977" s="133"/>
      <c r="D3977" s="133"/>
      <c r="E3977" s="17"/>
      <c r="F3977" s="133"/>
      <c r="G3977" s="133"/>
      <c r="H3977" s="133"/>
      <c r="I3977" s="133"/>
      <c r="J3977" s="133"/>
      <c r="K3977" s="133"/>
      <c r="L3977" s="133"/>
      <c r="M3977" s="133"/>
      <c r="N3977" s="133"/>
      <c r="O3977" s="133"/>
      <c r="P3977" s="134"/>
      <c r="Q3977" s="146"/>
      <c r="R3977" s="17"/>
      <c r="S3977" s="17"/>
      <c r="T3977" s="75"/>
      <c r="U3977" s="75"/>
      <c r="V3977" s="75"/>
      <c r="W3977" s="75"/>
      <c r="X3977" s="75"/>
    </row>
    <row r="3978">
      <c r="A3978" s="17"/>
      <c r="B3978" s="17"/>
      <c r="C3978" s="133"/>
      <c r="D3978" s="133"/>
      <c r="E3978" s="17"/>
      <c r="F3978" s="133"/>
      <c r="G3978" s="133"/>
      <c r="H3978" s="133"/>
      <c r="I3978" s="133"/>
      <c r="J3978" s="133"/>
      <c r="K3978" s="133"/>
      <c r="L3978" s="133"/>
      <c r="M3978" s="133"/>
      <c r="N3978" s="133"/>
      <c r="O3978" s="133"/>
      <c r="P3978" s="134"/>
      <c r="Q3978" s="146"/>
      <c r="R3978" s="17"/>
      <c r="S3978" s="17"/>
      <c r="T3978" s="75"/>
      <c r="U3978" s="75"/>
      <c r="V3978" s="75"/>
      <c r="W3978" s="75"/>
      <c r="X3978" s="75"/>
    </row>
    <row r="3979">
      <c r="A3979" s="17"/>
      <c r="B3979" s="17"/>
      <c r="C3979" s="133"/>
      <c r="D3979" s="133"/>
      <c r="E3979" s="17"/>
      <c r="F3979" s="133"/>
      <c r="G3979" s="133"/>
      <c r="H3979" s="133"/>
      <c r="I3979" s="133"/>
      <c r="J3979" s="133"/>
      <c r="K3979" s="133"/>
      <c r="L3979" s="133"/>
      <c r="M3979" s="133"/>
      <c r="N3979" s="133"/>
      <c r="O3979" s="133"/>
      <c r="P3979" s="134"/>
      <c r="Q3979" s="146"/>
      <c r="R3979" s="17"/>
      <c r="S3979" s="17"/>
      <c r="T3979" s="75"/>
      <c r="U3979" s="75"/>
      <c r="V3979" s="75"/>
      <c r="W3979" s="75"/>
      <c r="X3979" s="75"/>
    </row>
    <row r="3980">
      <c r="A3980" s="17"/>
      <c r="B3980" s="17"/>
      <c r="C3980" s="133"/>
      <c r="D3980" s="133"/>
      <c r="E3980" s="17"/>
      <c r="F3980" s="133"/>
      <c r="G3980" s="133"/>
      <c r="H3980" s="133"/>
      <c r="I3980" s="133"/>
      <c r="J3980" s="133"/>
      <c r="K3980" s="133"/>
      <c r="L3980" s="133"/>
      <c r="M3980" s="133"/>
      <c r="N3980" s="133"/>
      <c r="O3980" s="133"/>
      <c r="P3980" s="134"/>
      <c r="Q3980" s="146"/>
      <c r="R3980" s="17"/>
      <c r="S3980" s="17"/>
      <c r="T3980" s="75"/>
      <c r="U3980" s="75"/>
      <c r="V3980" s="75"/>
      <c r="W3980" s="75"/>
      <c r="X3980" s="75"/>
    </row>
    <row r="3981">
      <c r="A3981" s="17"/>
      <c r="B3981" s="17"/>
      <c r="C3981" s="133"/>
      <c r="D3981" s="133"/>
      <c r="E3981" s="17"/>
      <c r="F3981" s="133"/>
      <c r="G3981" s="133"/>
      <c r="H3981" s="133"/>
      <c r="I3981" s="133"/>
      <c r="J3981" s="133"/>
      <c r="K3981" s="133"/>
      <c r="L3981" s="133"/>
      <c r="M3981" s="133"/>
      <c r="N3981" s="133"/>
      <c r="O3981" s="133"/>
      <c r="P3981" s="134"/>
      <c r="Q3981" s="146"/>
      <c r="R3981" s="17"/>
      <c r="S3981" s="17"/>
      <c r="T3981" s="75"/>
      <c r="U3981" s="75"/>
      <c r="V3981" s="75"/>
      <c r="W3981" s="75"/>
      <c r="X3981" s="75"/>
    </row>
    <row r="3982">
      <c r="A3982" s="17"/>
      <c r="B3982" s="17"/>
      <c r="C3982" s="133"/>
      <c r="D3982" s="133"/>
      <c r="E3982" s="17"/>
      <c r="F3982" s="133"/>
      <c r="G3982" s="133"/>
      <c r="H3982" s="133"/>
      <c r="I3982" s="133"/>
      <c r="J3982" s="133"/>
      <c r="K3982" s="133"/>
      <c r="L3982" s="133"/>
      <c r="M3982" s="133"/>
      <c r="N3982" s="133"/>
      <c r="O3982" s="133"/>
      <c r="P3982" s="134"/>
      <c r="Q3982" s="146"/>
      <c r="R3982" s="17"/>
      <c r="S3982" s="17"/>
      <c r="T3982" s="75"/>
      <c r="U3982" s="75"/>
      <c r="V3982" s="75"/>
      <c r="W3982" s="75"/>
      <c r="X3982" s="75"/>
    </row>
    <row r="3983">
      <c r="A3983" s="17"/>
      <c r="B3983" s="17"/>
      <c r="C3983" s="133"/>
      <c r="D3983" s="133"/>
      <c r="E3983" s="17"/>
      <c r="F3983" s="133"/>
      <c r="G3983" s="133"/>
      <c r="H3983" s="133"/>
      <c r="I3983" s="133"/>
      <c r="J3983" s="133"/>
      <c r="K3983" s="133"/>
      <c r="L3983" s="133"/>
      <c r="M3983" s="133"/>
      <c r="N3983" s="133"/>
      <c r="O3983" s="133"/>
      <c r="P3983" s="134"/>
      <c r="Q3983" s="146"/>
      <c r="R3983" s="17"/>
      <c r="S3983" s="17"/>
      <c r="T3983" s="75"/>
      <c r="U3983" s="75"/>
      <c r="V3983" s="75"/>
      <c r="W3983" s="75"/>
      <c r="X3983" s="75"/>
    </row>
    <row r="3984">
      <c r="A3984" s="17"/>
      <c r="B3984" s="17"/>
      <c r="C3984" s="133"/>
      <c r="D3984" s="133"/>
      <c r="E3984" s="17"/>
      <c r="F3984" s="133"/>
      <c r="G3984" s="133"/>
      <c r="H3984" s="133"/>
      <c r="I3984" s="133"/>
      <c r="J3984" s="133"/>
      <c r="K3984" s="133"/>
      <c r="L3984" s="133"/>
      <c r="M3984" s="133"/>
      <c r="N3984" s="133"/>
      <c r="O3984" s="133"/>
      <c r="P3984" s="134"/>
      <c r="Q3984" s="146"/>
      <c r="R3984" s="17"/>
      <c r="S3984" s="17"/>
      <c r="T3984" s="75"/>
      <c r="U3984" s="75"/>
      <c r="V3984" s="75"/>
      <c r="W3984" s="75"/>
      <c r="X3984" s="75"/>
    </row>
    <row r="3985">
      <c r="A3985" s="17"/>
      <c r="B3985" s="17"/>
      <c r="C3985" s="133"/>
      <c r="D3985" s="133"/>
      <c r="E3985" s="17"/>
      <c r="F3985" s="133"/>
      <c r="G3985" s="133"/>
      <c r="H3985" s="133"/>
      <c r="I3985" s="133"/>
      <c r="J3985" s="133"/>
      <c r="K3985" s="133"/>
      <c r="L3985" s="133"/>
      <c r="M3985" s="133"/>
      <c r="N3985" s="133"/>
      <c r="O3985" s="133"/>
      <c r="P3985" s="134"/>
      <c r="Q3985" s="146"/>
      <c r="R3985" s="17"/>
      <c r="S3985" s="17"/>
      <c r="T3985" s="75"/>
      <c r="U3985" s="75"/>
      <c r="V3985" s="75"/>
      <c r="W3985" s="75"/>
      <c r="X3985" s="75"/>
    </row>
    <row r="3986">
      <c r="A3986" s="17"/>
      <c r="B3986" s="17"/>
      <c r="C3986" s="133"/>
      <c r="D3986" s="133"/>
      <c r="E3986" s="17"/>
      <c r="F3986" s="133"/>
      <c r="G3986" s="133"/>
      <c r="H3986" s="133"/>
      <c r="I3986" s="133"/>
      <c r="J3986" s="133"/>
      <c r="K3986" s="133"/>
      <c r="L3986" s="133"/>
      <c r="M3986" s="133"/>
      <c r="N3986" s="133"/>
      <c r="O3986" s="133"/>
      <c r="P3986" s="134"/>
      <c r="Q3986" s="146"/>
      <c r="R3986" s="17"/>
      <c r="S3986" s="17"/>
      <c r="T3986" s="75"/>
      <c r="U3986" s="75"/>
      <c r="V3986" s="75"/>
      <c r="W3986" s="75"/>
      <c r="X3986" s="75"/>
    </row>
    <row r="3987">
      <c r="A3987" s="17"/>
      <c r="B3987" s="17"/>
      <c r="C3987" s="133"/>
      <c r="D3987" s="133"/>
      <c r="E3987" s="17"/>
      <c r="F3987" s="133"/>
      <c r="G3987" s="133"/>
      <c r="H3987" s="133"/>
      <c r="I3987" s="133"/>
      <c r="J3987" s="133"/>
      <c r="K3987" s="133"/>
      <c r="L3987" s="133"/>
      <c r="M3987" s="133"/>
      <c r="N3987" s="133"/>
      <c r="O3987" s="133"/>
      <c r="P3987" s="134"/>
      <c r="Q3987" s="146"/>
      <c r="R3987" s="17"/>
      <c r="S3987" s="17"/>
      <c r="T3987" s="75"/>
      <c r="U3987" s="75"/>
      <c r="V3987" s="75"/>
      <c r="W3987" s="75"/>
      <c r="X3987" s="75"/>
    </row>
    <row r="3988">
      <c r="A3988" s="17"/>
      <c r="B3988" s="17"/>
      <c r="C3988" s="133"/>
      <c r="D3988" s="133"/>
      <c r="E3988" s="17"/>
      <c r="F3988" s="133"/>
      <c r="G3988" s="133"/>
      <c r="H3988" s="133"/>
      <c r="I3988" s="133"/>
      <c r="J3988" s="133"/>
      <c r="K3988" s="133"/>
      <c r="L3988" s="133"/>
      <c r="M3988" s="133"/>
      <c r="N3988" s="133"/>
      <c r="O3988" s="133"/>
      <c r="P3988" s="134"/>
      <c r="Q3988" s="146"/>
      <c r="R3988" s="17"/>
      <c r="S3988" s="17"/>
      <c r="T3988" s="75"/>
      <c r="U3988" s="75"/>
      <c r="V3988" s="75"/>
      <c r="W3988" s="75"/>
      <c r="X3988" s="75"/>
    </row>
    <row r="3989">
      <c r="A3989" s="17"/>
      <c r="B3989" s="17"/>
      <c r="C3989" s="133"/>
      <c r="D3989" s="133"/>
      <c r="E3989" s="17"/>
      <c r="F3989" s="133"/>
      <c r="G3989" s="133"/>
      <c r="H3989" s="133"/>
      <c r="I3989" s="133"/>
      <c r="J3989" s="133"/>
      <c r="K3989" s="133"/>
      <c r="L3989" s="133"/>
      <c r="M3989" s="133"/>
      <c r="N3989" s="133"/>
      <c r="O3989" s="133"/>
      <c r="P3989" s="134"/>
      <c r="Q3989" s="146"/>
      <c r="R3989" s="17"/>
      <c r="S3989" s="17"/>
      <c r="T3989" s="75"/>
      <c r="U3989" s="75"/>
      <c r="V3989" s="75"/>
      <c r="W3989" s="75"/>
      <c r="X3989" s="75"/>
    </row>
    <row r="3990">
      <c r="A3990" s="17"/>
      <c r="B3990" s="17"/>
      <c r="C3990" s="133"/>
      <c r="D3990" s="133"/>
      <c r="E3990" s="17"/>
      <c r="F3990" s="133"/>
      <c r="G3990" s="133"/>
      <c r="H3990" s="133"/>
      <c r="I3990" s="133"/>
      <c r="J3990" s="133"/>
      <c r="K3990" s="133"/>
      <c r="L3990" s="133"/>
      <c r="M3990" s="133"/>
      <c r="N3990" s="133"/>
      <c r="O3990" s="133"/>
      <c r="P3990" s="134"/>
      <c r="Q3990" s="146"/>
      <c r="R3990" s="17"/>
      <c r="S3990" s="17"/>
      <c r="T3990" s="75"/>
      <c r="U3990" s="75"/>
      <c r="V3990" s="75"/>
      <c r="W3990" s="75"/>
      <c r="X3990" s="75"/>
    </row>
    <row r="3991">
      <c r="A3991" s="17"/>
      <c r="B3991" s="17"/>
      <c r="C3991" s="133"/>
      <c r="D3991" s="133"/>
      <c r="E3991" s="17"/>
      <c r="F3991" s="133"/>
      <c r="G3991" s="133"/>
      <c r="H3991" s="133"/>
      <c r="I3991" s="133"/>
      <c r="J3991" s="133"/>
      <c r="K3991" s="133"/>
      <c r="L3991" s="133"/>
      <c r="M3991" s="133"/>
      <c r="N3991" s="133"/>
      <c r="O3991" s="133"/>
      <c r="P3991" s="134"/>
      <c r="Q3991" s="146"/>
      <c r="R3991" s="17"/>
      <c r="S3991" s="17"/>
      <c r="T3991" s="75"/>
      <c r="U3991" s="75"/>
      <c r="V3991" s="75"/>
      <c r="W3991" s="75"/>
      <c r="X3991" s="75"/>
    </row>
    <row r="3992">
      <c r="A3992" s="17"/>
      <c r="B3992" s="17"/>
      <c r="C3992" s="133"/>
      <c r="D3992" s="133"/>
      <c r="E3992" s="17"/>
      <c r="F3992" s="133"/>
      <c r="G3992" s="133"/>
      <c r="H3992" s="133"/>
      <c r="I3992" s="133"/>
      <c r="J3992" s="133"/>
      <c r="K3992" s="133"/>
      <c r="L3992" s="133"/>
      <c r="M3992" s="133"/>
      <c r="N3992" s="133"/>
      <c r="O3992" s="133"/>
      <c r="P3992" s="134"/>
      <c r="Q3992" s="146"/>
      <c r="R3992" s="17"/>
      <c r="S3992" s="17"/>
      <c r="T3992" s="75"/>
      <c r="U3992" s="75"/>
      <c r="V3992" s="75"/>
      <c r="W3992" s="75"/>
      <c r="X3992" s="75"/>
    </row>
    <row r="3993">
      <c r="A3993" s="17"/>
      <c r="B3993" s="17"/>
      <c r="C3993" s="133"/>
      <c r="D3993" s="133"/>
      <c r="E3993" s="17"/>
      <c r="F3993" s="133"/>
      <c r="G3993" s="133"/>
      <c r="H3993" s="133"/>
      <c r="I3993" s="133"/>
      <c r="J3993" s="133"/>
      <c r="K3993" s="133"/>
      <c r="L3993" s="133"/>
      <c r="M3993" s="133"/>
      <c r="N3993" s="133"/>
      <c r="O3993" s="133"/>
      <c r="P3993" s="134"/>
      <c r="Q3993" s="146"/>
      <c r="R3993" s="17"/>
      <c r="S3993" s="17"/>
      <c r="T3993" s="75"/>
      <c r="U3993" s="75"/>
      <c r="V3993" s="75"/>
      <c r="W3993" s="75"/>
      <c r="X3993" s="75"/>
    </row>
    <row r="3994">
      <c r="A3994" s="17"/>
      <c r="B3994" s="17"/>
      <c r="C3994" s="133"/>
      <c r="D3994" s="133"/>
      <c r="E3994" s="17"/>
      <c r="F3994" s="133"/>
      <c r="G3994" s="133"/>
      <c r="H3994" s="133"/>
      <c r="I3994" s="133"/>
      <c r="J3994" s="133"/>
      <c r="K3994" s="133"/>
      <c r="L3994" s="133"/>
      <c r="M3994" s="133"/>
      <c r="N3994" s="133"/>
      <c r="O3994" s="133"/>
      <c r="P3994" s="134"/>
      <c r="Q3994" s="146"/>
      <c r="R3994" s="17"/>
      <c r="S3994" s="17"/>
      <c r="T3994" s="75"/>
      <c r="U3994" s="75"/>
      <c r="V3994" s="75"/>
      <c r="W3994" s="75"/>
      <c r="X3994" s="75"/>
    </row>
    <row r="3995">
      <c r="A3995" s="17"/>
      <c r="B3995" s="17"/>
      <c r="C3995" s="133"/>
      <c r="D3995" s="133"/>
      <c r="E3995" s="17"/>
      <c r="F3995" s="133"/>
      <c r="G3995" s="133"/>
      <c r="H3995" s="133"/>
      <c r="I3995" s="133"/>
      <c r="J3995" s="133"/>
      <c r="K3995" s="133"/>
      <c r="L3995" s="133"/>
      <c r="M3995" s="133"/>
      <c r="N3995" s="133"/>
      <c r="O3995" s="133"/>
      <c r="P3995" s="134"/>
      <c r="Q3995" s="146"/>
      <c r="R3995" s="17"/>
      <c r="S3995" s="17"/>
      <c r="T3995" s="75"/>
      <c r="U3995" s="75"/>
      <c r="V3995" s="75"/>
      <c r="W3995" s="75"/>
      <c r="X3995" s="75"/>
    </row>
    <row r="3996">
      <c r="A3996" s="17"/>
      <c r="B3996" s="17"/>
      <c r="C3996" s="133"/>
      <c r="D3996" s="133"/>
      <c r="E3996" s="17"/>
      <c r="F3996" s="133"/>
      <c r="G3996" s="133"/>
      <c r="H3996" s="133"/>
      <c r="I3996" s="133"/>
      <c r="J3996" s="133"/>
      <c r="K3996" s="133"/>
      <c r="L3996" s="133"/>
      <c r="M3996" s="133"/>
      <c r="N3996" s="133"/>
      <c r="O3996" s="133"/>
      <c r="P3996" s="134"/>
      <c r="Q3996" s="146"/>
      <c r="R3996" s="17"/>
      <c r="S3996" s="17"/>
      <c r="T3996" s="75"/>
      <c r="U3996" s="75"/>
      <c r="V3996" s="75"/>
      <c r="W3996" s="75"/>
      <c r="X3996" s="75"/>
    </row>
    <row r="3997">
      <c r="A3997" s="17"/>
      <c r="B3997" s="17"/>
      <c r="C3997" s="133"/>
      <c r="D3997" s="133"/>
      <c r="E3997" s="17"/>
      <c r="F3997" s="133"/>
      <c r="G3997" s="133"/>
      <c r="H3997" s="133"/>
      <c r="I3997" s="133"/>
      <c r="J3997" s="133"/>
      <c r="K3997" s="133"/>
      <c r="L3997" s="133"/>
      <c r="M3997" s="133"/>
      <c r="N3997" s="133"/>
      <c r="O3997" s="133"/>
      <c r="P3997" s="134"/>
      <c r="Q3997" s="146"/>
      <c r="R3997" s="17"/>
      <c r="S3997" s="17"/>
      <c r="T3997" s="75"/>
      <c r="U3997" s="75"/>
      <c r="V3997" s="75"/>
      <c r="W3997" s="75"/>
      <c r="X3997" s="75"/>
    </row>
    <row r="3998">
      <c r="A3998" s="17"/>
      <c r="B3998" s="17"/>
      <c r="C3998" s="133"/>
      <c r="D3998" s="133"/>
      <c r="E3998" s="17"/>
      <c r="F3998" s="133"/>
      <c r="G3998" s="133"/>
      <c r="H3998" s="133"/>
      <c r="I3998" s="133"/>
      <c r="J3998" s="133"/>
      <c r="K3998" s="133"/>
      <c r="L3998" s="133"/>
      <c r="M3998" s="133"/>
      <c r="N3998" s="133"/>
      <c r="O3998" s="133"/>
      <c r="P3998" s="134"/>
      <c r="Q3998" s="146"/>
      <c r="R3998" s="17"/>
      <c r="S3998" s="17"/>
      <c r="T3998" s="75"/>
      <c r="U3998" s="75"/>
      <c r="V3998" s="75"/>
      <c r="W3998" s="75"/>
      <c r="X3998" s="75"/>
    </row>
    <row r="3999">
      <c r="A3999" s="17"/>
      <c r="B3999" s="17"/>
      <c r="C3999" s="133"/>
      <c r="D3999" s="133"/>
      <c r="E3999" s="17"/>
      <c r="F3999" s="133"/>
      <c r="G3999" s="133"/>
      <c r="H3999" s="133"/>
      <c r="I3999" s="133"/>
      <c r="J3999" s="133"/>
      <c r="K3999" s="133"/>
      <c r="L3999" s="133"/>
      <c r="M3999" s="133"/>
      <c r="N3999" s="133"/>
      <c r="O3999" s="133"/>
      <c r="P3999" s="134"/>
      <c r="Q3999" s="146"/>
      <c r="R3999" s="17"/>
      <c r="S3999" s="17"/>
      <c r="T3999" s="75"/>
      <c r="U3999" s="75"/>
      <c r="V3999" s="75"/>
      <c r="W3999" s="75"/>
      <c r="X3999" s="75"/>
    </row>
    <row r="4000">
      <c r="A4000" s="17"/>
      <c r="B4000" s="17"/>
      <c r="C4000" s="133"/>
      <c r="D4000" s="133"/>
      <c r="E4000" s="17"/>
      <c r="F4000" s="133"/>
      <c r="G4000" s="133"/>
      <c r="H4000" s="133"/>
      <c r="I4000" s="133"/>
      <c r="J4000" s="133"/>
      <c r="K4000" s="133"/>
      <c r="L4000" s="133"/>
      <c r="M4000" s="133"/>
      <c r="N4000" s="133"/>
      <c r="O4000" s="133"/>
      <c r="P4000" s="134"/>
      <c r="Q4000" s="146"/>
      <c r="R4000" s="17"/>
      <c r="S4000" s="17"/>
      <c r="T4000" s="75"/>
      <c r="U4000" s="75"/>
      <c r="V4000" s="75"/>
      <c r="W4000" s="75"/>
      <c r="X4000" s="75"/>
    </row>
    <row r="4001">
      <c r="A4001" s="17"/>
      <c r="B4001" s="17"/>
      <c r="C4001" s="133"/>
      <c r="D4001" s="133"/>
      <c r="E4001" s="17"/>
      <c r="F4001" s="133"/>
      <c r="G4001" s="133"/>
      <c r="H4001" s="133"/>
      <c r="I4001" s="133"/>
      <c r="J4001" s="133"/>
      <c r="K4001" s="133"/>
      <c r="L4001" s="133"/>
      <c r="M4001" s="133"/>
      <c r="N4001" s="133"/>
      <c r="O4001" s="133"/>
      <c r="P4001" s="134"/>
      <c r="Q4001" s="146"/>
      <c r="R4001" s="17"/>
      <c r="S4001" s="17"/>
      <c r="T4001" s="75"/>
      <c r="U4001" s="75"/>
      <c r="V4001" s="75"/>
      <c r="W4001" s="75"/>
      <c r="X4001" s="75"/>
    </row>
    <row r="4002">
      <c r="A4002" s="17"/>
      <c r="B4002" s="17"/>
      <c r="C4002" s="133"/>
      <c r="D4002" s="133"/>
      <c r="E4002" s="17"/>
      <c r="F4002" s="133"/>
      <c r="G4002" s="133"/>
      <c r="H4002" s="133"/>
      <c r="I4002" s="133"/>
      <c r="J4002" s="133"/>
      <c r="K4002" s="133"/>
      <c r="L4002" s="133"/>
      <c r="M4002" s="133"/>
      <c r="N4002" s="133"/>
      <c r="O4002" s="133"/>
      <c r="P4002" s="134"/>
      <c r="Q4002" s="146"/>
      <c r="R4002" s="17"/>
      <c r="S4002" s="17"/>
      <c r="T4002" s="75"/>
      <c r="U4002" s="75"/>
      <c r="V4002" s="75"/>
      <c r="W4002" s="75"/>
      <c r="X4002" s="75"/>
    </row>
    <row r="4003">
      <c r="A4003" s="17"/>
      <c r="B4003" s="17"/>
      <c r="C4003" s="133"/>
      <c r="D4003" s="133"/>
      <c r="E4003" s="17"/>
      <c r="F4003" s="133"/>
      <c r="G4003" s="133"/>
      <c r="H4003" s="133"/>
      <c r="I4003" s="133"/>
      <c r="J4003" s="133"/>
      <c r="K4003" s="133"/>
      <c r="L4003" s="133"/>
      <c r="M4003" s="133"/>
      <c r="N4003" s="133"/>
      <c r="O4003" s="133"/>
      <c r="P4003" s="134"/>
      <c r="Q4003" s="146"/>
      <c r="R4003" s="17"/>
      <c r="S4003" s="17"/>
      <c r="T4003" s="75"/>
      <c r="U4003" s="75"/>
      <c r="V4003" s="75"/>
      <c r="W4003" s="75"/>
      <c r="X4003" s="75"/>
    </row>
    <row r="4004">
      <c r="A4004" s="17"/>
      <c r="B4004" s="17"/>
      <c r="C4004" s="133"/>
      <c r="D4004" s="133"/>
      <c r="E4004" s="17"/>
      <c r="F4004" s="133"/>
      <c r="G4004" s="133"/>
      <c r="H4004" s="133"/>
      <c r="I4004" s="133"/>
      <c r="J4004" s="133"/>
      <c r="K4004" s="133"/>
      <c r="L4004" s="133"/>
      <c r="M4004" s="133"/>
      <c r="N4004" s="133"/>
      <c r="O4004" s="133"/>
      <c r="P4004" s="134"/>
      <c r="Q4004" s="146"/>
      <c r="R4004" s="17"/>
      <c r="S4004" s="17"/>
      <c r="T4004" s="75"/>
      <c r="U4004" s="75"/>
      <c r="V4004" s="75"/>
      <c r="W4004" s="75"/>
      <c r="X4004" s="75"/>
    </row>
    <row r="4005">
      <c r="A4005" s="17"/>
      <c r="B4005" s="17"/>
      <c r="C4005" s="133"/>
      <c r="D4005" s="133"/>
      <c r="E4005" s="17"/>
      <c r="F4005" s="133"/>
      <c r="G4005" s="133"/>
      <c r="H4005" s="133"/>
      <c r="I4005" s="133"/>
      <c r="J4005" s="133"/>
      <c r="K4005" s="133"/>
      <c r="L4005" s="133"/>
      <c r="M4005" s="133"/>
      <c r="N4005" s="133"/>
      <c r="O4005" s="133"/>
      <c r="P4005" s="134"/>
      <c r="Q4005" s="146"/>
      <c r="R4005" s="17"/>
      <c r="S4005" s="17"/>
      <c r="T4005" s="75"/>
      <c r="U4005" s="75"/>
      <c r="V4005" s="75"/>
      <c r="W4005" s="75"/>
      <c r="X4005" s="75"/>
    </row>
    <row r="4006">
      <c r="A4006" s="17"/>
      <c r="B4006" s="17"/>
      <c r="C4006" s="133"/>
      <c r="D4006" s="133"/>
      <c r="E4006" s="17"/>
      <c r="F4006" s="133"/>
      <c r="G4006" s="133"/>
      <c r="H4006" s="133"/>
      <c r="I4006" s="133"/>
      <c r="J4006" s="133"/>
      <c r="K4006" s="133"/>
      <c r="L4006" s="133"/>
      <c r="M4006" s="133"/>
      <c r="N4006" s="133"/>
      <c r="O4006" s="133"/>
      <c r="P4006" s="134"/>
      <c r="Q4006" s="146"/>
      <c r="R4006" s="17"/>
      <c r="S4006" s="17"/>
      <c r="T4006" s="75"/>
      <c r="U4006" s="75"/>
      <c r="V4006" s="75"/>
      <c r="W4006" s="75"/>
      <c r="X4006" s="75"/>
    </row>
    <row r="4007">
      <c r="A4007" s="17"/>
      <c r="B4007" s="17"/>
      <c r="C4007" s="133"/>
      <c r="D4007" s="133"/>
      <c r="E4007" s="17"/>
      <c r="F4007" s="133"/>
      <c r="G4007" s="133"/>
      <c r="H4007" s="133"/>
      <c r="I4007" s="133"/>
      <c r="J4007" s="133"/>
      <c r="K4007" s="133"/>
      <c r="L4007" s="133"/>
      <c r="M4007" s="133"/>
      <c r="N4007" s="133"/>
      <c r="O4007" s="133"/>
      <c r="P4007" s="134"/>
      <c r="Q4007" s="146"/>
      <c r="R4007" s="17"/>
      <c r="S4007" s="17"/>
      <c r="T4007" s="75"/>
      <c r="U4007" s="75"/>
      <c r="V4007" s="75"/>
      <c r="W4007" s="75"/>
      <c r="X4007" s="75"/>
    </row>
    <row r="4008">
      <c r="A4008" s="17"/>
      <c r="B4008" s="17"/>
      <c r="C4008" s="133"/>
      <c r="D4008" s="133"/>
      <c r="E4008" s="17"/>
      <c r="F4008" s="133"/>
      <c r="G4008" s="133"/>
      <c r="H4008" s="133"/>
      <c r="I4008" s="133"/>
      <c r="J4008" s="133"/>
      <c r="K4008" s="133"/>
      <c r="L4008" s="133"/>
      <c r="M4008" s="133"/>
      <c r="N4008" s="133"/>
      <c r="O4008" s="133"/>
      <c r="P4008" s="134"/>
      <c r="Q4008" s="146"/>
      <c r="R4008" s="17"/>
      <c r="S4008" s="17"/>
      <c r="T4008" s="75"/>
      <c r="U4008" s="75"/>
      <c r="V4008" s="75"/>
      <c r="W4008" s="75"/>
      <c r="X4008" s="75"/>
    </row>
    <row r="4009">
      <c r="A4009" s="17"/>
      <c r="B4009" s="17"/>
      <c r="C4009" s="133"/>
      <c r="D4009" s="133"/>
      <c r="E4009" s="17"/>
      <c r="F4009" s="133"/>
      <c r="G4009" s="133"/>
      <c r="H4009" s="133"/>
      <c r="I4009" s="133"/>
      <c r="J4009" s="133"/>
      <c r="K4009" s="133"/>
      <c r="L4009" s="133"/>
      <c r="M4009" s="133"/>
      <c r="N4009" s="133"/>
      <c r="O4009" s="133"/>
      <c r="P4009" s="134"/>
      <c r="Q4009" s="146"/>
      <c r="R4009" s="17"/>
      <c r="S4009" s="17"/>
      <c r="T4009" s="75"/>
      <c r="U4009" s="75"/>
      <c r="V4009" s="75"/>
      <c r="W4009" s="75"/>
      <c r="X4009" s="75"/>
    </row>
    <row r="4010">
      <c r="A4010" s="17"/>
      <c r="B4010" s="17"/>
      <c r="C4010" s="133"/>
      <c r="D4010" s="133"/>
      <c r="E4010" s="17"/>
      <c r="F4010" s="133"/>
      <c r="G4010" s="133"/>
      <c r="H4010" s="133"/>
      <c r="I4010" s="133"/>
      <c r="J4010" s="133"/>
      <c r="K4010" s="133"/>
      <c r="L4010" s="133"/>
      <c r="M4010" s="133"/>
      <c r="N4010" s="133"/>
      <c r="O4010" s="133"/>
      <c r="P4010" s="134"/>
      <c r="Q4010" s="146"/>
      <c r="R4010" s="17"/>
      <c r="S4010" s="17"/>
      <c r="T4010" s="75"/>
      <c r="U4010" s="75"/>
      <c r="V4010" s="75"/>
      <c r="W4010" s="75"/>
      <c r="X4010" s="75"/>
    </row>
    <row r="4011">
      <c r="A4011" s="17"/>
      <c r="B4011" s="17"/>
      <c r="C4011" s="133"/>
      <c r="D4011" s="133"/>
      <c r="E4011" s="17"/>
      <c r="F4011" s="133"/>
      <c r="G4011" s="133"/>
      <c r="H4011" s="133"/>
      <c r="I4011" s="133"/>
      <c r="J4011" s="133"/>
      <c r="K4011" s="133"/>
      <c r="L4011" s="133"/>
      <c r="M4011" s="133"/>
      <c r="N4011" s="133"/>
      <c r="O4011" s="133"/>
      <c r="P4011" s="134"/>
      <c r="Q4011" s="146"/>
      <c r="R4011" s="17"/>
      <c r="S4011" s="17"/>
      <c r="T4011" s="75"/>
      <c r="U4011" s="75"/>
      <c r="V4011" s="75"/>
      <c r="W4011" s="75"/>
      <c r="X4011" s="75"/>
    </row>
    <row r="4012">
      <c r="A4012" s="17"/>
      <c r="B4012" s="17"/>
      <c r="C4012" s="133"/>
      <c r="D4012" s="133"/>
      <c r="E4012" s="17"/>
      <c r="F4012" s="133"/>
      <c r="G4012" s="133"/>
      <c r="H4012" s="133"/>
      <c r="I4012" s="133"/>
      <c r="J4012" s="133"/>
      <c r="K4012" s="133"/>
      <c r="L4012" s="133"/>
      <c r="M4012" s="133"/>
      <c r="N4012" s="133"/>
      <c r="O4012" s="133"/>
      <c r="P4012" s="134"/>
      <c r="Q4012" s="146"/>
      <c r="R4012" s="17"/>
      <c r="S4012" s="17"/>
      <c r="T4012" s="75"/>
      <c r="U4012" s="75"/>
      <c r="V4012" s="75"/>
      <c r="W4012" s="75"/>
      <c r="X4012" s="75"/>
    </row>
    <row r="4013">
      <c r="A4013" s="17"/>
      <c r="B4013" s="17"/>
      <c r="C4013" s="133"/>
      <c r="D4013" s="133"/>
      <c r="E4013" s="17"/>
      <c r="F4013" s="133"/>
      <c r="G4013" s="133"/>
      <c r="H4013" s="133"/>
      <c r="I4013" s="133"/>
      <c r="J4013" s="133"/>
      <c r="K4013" s="133"/>
      <c r="L4013" s="133"/>
      <c r="M4013" s="133"/>
      <c r="N4013" s="133"/>
      <c r="O4013" s="133"/>
      <c r="P4013" s="134"/>
      <c r="Q4013" s="146"/>
      <c r="R4013" s="17"/>
      <c r="S4013" s="17"/>
      <c r="T4013" s="75"/>
      <c r="U4013" s="75"/>
      <c r="V4013" s="75"/>
      <c r="W4013" s="75"/>
      <c r="X4013" s="75"/>
    </row>
    <row r="4014">
      <c r="A4014" s="17"/>
      <c r="B4014" s="17"/>
      <c r="C4014" s="133"/>
      <c r="D4014" s="133"/>
      <c r="E4014" s="17"/>
      <c r="F4014" s="133"/>
      <c r="G4014" s="133"/>
      <c r="H4014" s="133"/>
      <c r="I4014" s="133"/>
      <c r="J4014" s="133"/>
      <c r="K4014" s="133"/>
      <c r="L4014" s="133"/>
      <c r="M4014" s="133"/>
      <c r="N4014" s="133"/>
      <c r="O4014" s="133"/>
      <c r="P4014" s="134"/>
      <c r="Q4014" s="146"/>
      <c r="R4014" s="17"/>
      <c r="S4014" s="17"/>
      <c r="T4014" s="75"/>
      <c r="U4014" s="75"/>
      <c r="V4014" s="75"/>
      <c r="W4014" s="75"/>
      <c r="X4014" s="75"/>
    </row>
    <row r="4015">
      <c r="A4015" s="17"/>
      <c r="B4015" s="17"/>
      <c r="C4015" s="133"/>
      <c r="D4015" s="133"/>
      <c r="E4015" s="17"/>
      <c r="F4015" s="133"/>
      <c r="G4015" s="133"/>
      <c r="H4015" s="133"/>
      <c r="I4015" s="133"/>
      <c r="J4015" s="133"/>
      <c r="K4015" s="133"/>
      <c r="L4015" s="133"/>
      <c r="M4015" s="133"/>
      <c r="N4015" s="133"/>
      <c r="O4015" s="133"/>
      <c r="P4015" s="134"/>
      <c r="Q4015" s="146"/>
      <c r="R4015" s="17"/>
      <c r="S4015" s="17"/>
      <c r="T4015" s="75"/>
      <c r="U4015" s="75"/>
      <c r="V4015" s="75"/>
      <c r="W4015" s="75"/>
      <c r="X4015" s="75"/>
    </row>
    <row r="4016">
      <c r="A4016" s="17"/>
      <c r="B4016" s="17"/>
      <c r="C4016" s="133"/>
      <c r="D4016" s="133"/>
      <c r="E4016" s="17"/>
      <c r="F4016" s="133"/>
      <c r="G4016" s="133"/>
      <c r="H4016" s="133"/>
      <c r="I4016" s="133"/>
      <c r="J4016" s="133"/>
      <c r="K4016" s="133"/>
      <c r="L4016" s="133"/>
      <c r="M4016" s="133"/>
      <c r="N4016" s="133"/>
      <c r="O4016" s="133"/>
      <c r="P4016" s="134"/>
      <c r="Q4016" s="146"/>
      <c r="R4016" s="17"/>
      <c r="S4016" s="17"/>
      <c r="T4016" s="75"/>
      <c r="U4016" s="75"/>
      <c r="V4016" s="75"/>
      <c r="W4016" s="75"/>
      <c r="X4016" s="75"/>
    </row>
    <row r="4017">
      <c r="A4017" s="17"/>
      <c r="B4017" s="17"/>
      <c r="C4017" s="133"/>
      <c r="D4017" s="133"/>
      <c r="E4017" s="17"/>
      <c r="F4017" s="133"/>
      <c r="G4017" s="133"/>
      <c r="H4017" s="133"/>
      <c r="I4017" s="133"/>
      <c r="J4017" s="133"/>
      <c r="K4017" s="133"/>
      <c r="L4017" s="133"/>
      <c r="M4017" s="133"/>
      <c r="N4017" s="133"/>
      <c r="O4017" s="133"/>
      <c r="P4017" s="134"/>
      <c r="Q4017" s="146"/>
      <c r="R4017" s="17"/>
      <c r="S4017" s="17"/>
      <c r="T4017" s="75"/>
      <c r="U4017" s="75"/>
      <c r="V4017" s="75"/>
      <c r="W4017" s="75"/>
      <c r="X4017" s="75"/>
    </row>
    <row r="4018">
      <c r="A4018" s="17"/>
      <c r="B4018" s="17"/>
      <c r="C4018" s="133"/>
      <c r="D4018" s="133"/>
      <c r="E4018" s="17"/>
      <c r="F4018" s="133"/>
      <c r="G4018" s="133"/>
      <c r="H4018" s="133"/>
      <c r="I4018" s="133"/>
      <c r="J4018" s="133"/>
      <c r="K4018" s="133"/>
      <c r="L4018" s="133"/>
      <c r="M4018" s="133"/>
      <c r="N4018" s="133"/>
      <c r="O4018" s="133"/>
      <c r="P4018" s="134"/>
      <c r="Q4018" s="146"/>
      <c r="R4018" s="17"/>
      <c r="S4018" s="17"/>
      <c r="T4018" s="75"/>
      <c r="U4018" s="75"/>
      <c r="V4018" s="75"/>
      <c r="W4018" s="75"/>
      <c r="X4018" s="75"/>
    </row>
    <row r="4019">
      <c r="A4019" s="17"/>
      <c r="B4019" s="17"/>
      <c r="C4019" s="133"/>
      <c r="D4019" s="133"/>
      <c r="E4019" s="17"/>
      <c r="F4019" s="133"/>
      <c r="G4019" s="133"/>
      <c r="H4019" s="133"/>
      <c r="I4019" s="133"/>
      <c r="J4019" s="133"/>
      <c r="K4019" s="133"/>
      <c r="L4019" s="133"/>
      <c r="M4019" s="133"/>
      <c r="N4019" s="133"/>
      <c r="O4019" s="133"/>
      <c r="P4019" s="134"/>
      <c r="Q4019" s="146"/>
      <c r="R4019" s="17"/>
      <c r="S4019" s="17"/>
      <c r="T4019" s="75"/>
      <c r="U4019" s="75"/>
      <c r="V4019" s="75"/>
      <c r="W4019" s="75"/>
      <c r="X4019" s="75"/>
    </row>
    <row r="4020">
      <c r="A4020" s="17"/>
      <c r="B4020" s="17"/>
      <c r="C4020" s="133"/>
      <c r="D4020" s="133"/>
      <c r="E4020" s="17"/>
      <c r="F4020" s="133"/>
      <c r="G4020" s="133"/>
      <c r="H4020" s="133"/>
      <c r="I4020" s="133"/>
      <c r="J4020" s="133"/>
      <c r="K4020" s="133"/>
      <c r="L4020" s="133"/>
      <c r="M4020" s="133"/>
      <c r="N4020" s="133"/>
      <c r="O4020" s="133"/>
      <c r="P4020" s="134"/>
      <c r="Q4020" s="146"/>
      <c r="R4020" s="17"/>
      <c r="S4020" s="17"/>
      <c r="T4020" s="75"/>
      <c r="U4020" s="75"/>
      <c r="V4020" s="75"/>
      <c r="W4020" s="75"/>
      <c r="X4020" s="75"/>
    </row>
    <row r="4021">
      <c r="A4021" s="17"/>
      <c r="B4021" s="17"/>
      <c r="C4021" s="133"/>
      <c r="D4021" s="133"/>
      <c r="E4021" s="17"/>
      <c r="F4021" s="133"/>
      <c r="G4021" s="133"/>
      <c r="H4021" s="133"/>
      <c r="I4021" s="133"/>
      <c r="J4021" s="133"/>
      <c r="K4021" s="133"/>
      <c r="L4021" s="133"/>
      <c r="M4021" s="133"/>
      <c r="N4021" s="133"/>
      <c r="O4021" s="133"/>
      <c r="P4021" s="134"/>
      <c r="Q4021" s="146"/>
      <c r="R4021" s="17"/>
      <c r="S4021" s="17"/>
      <c r="T4021" s="75"/>
      <c r="U4021" s="75"/>
      <c r="V4021" s="75"/>
      <c r="W4021" s="75"/>
      <c r="X4021" s="75"/>
    </row>
    <row r="4022">
      <c r="A4022" s="17"/>
      <c r="B4022" s="17"/>
      <c r="C4022" s="133"/>
      <c r="D4022" s="133"/>
      <c r="E4022" s="17"/>
      <c r="F4022" s="133"/>
      <c r="G4022" s="133"/>
      <c r="H4022" s="133"/>
      <c r="I4022" s="133"/>
      <c r="J4022" s="133"/>
      <c r="K4022" s="133"/>
      <c r="L4022" s="133"/>
      <c r="M4022" s="133"/>
      <c r="N4022" s="133"/>
      <c r="O4022" s="133"/>
      <c r="P4022" s="134"/>
      <c r="Q4022" s="146"/>
      <c r="R4022" s="17"/>
      <c r="S4022" s="17"/>
      <c r="T4022" s="75"/>
      <c r="U4022" s="75"/>
      <c r="V4022" s="75"/>
      <c r="W4022" s="75"/>
      <c r="X4022" s="75"/>
    </row>
    <row r="4023">
      <c r="A4023" s="17"/>
      <c r="B4023" s="17"/>
      <c r="C4023" s="133"/>
      <c r="D4023" s="133"/>
      <c r="E4023" s="17"/>
      <c r="F4023" s="133"/>
      <c r="G4023" s="133"/>
      <c r="H4023" s="133"/>
      <c r="I4023" s="133"/>
      <c r="J4023" s="133"/>
      <c r="K4023" s="133"/>
      <c r="L4023" s="133"/>
      <c r="M4023" s="133"/>
      <c r="N4023" s="133"/>
      <c r="O4023" s="133"/>
      <c r="P4023" s="134"/>
      <c r="Q4023" s="146"/>
      <c r="R4023" s="17"/>
      <c r="S4023" s="17"/>
      <c r="T4023" s="75"/>
      <c r="U4023" s="75"/>
      <c r="V4023" s="75"/>
      <c r="W4023" s="75"/>
      <c r="X4023" s="75"/>
    </row>
    <row r="4024">
      <c r="A4024" s="17"/>
      <c r="B4024" s="17"/>
      <c r="C4024" s="133"/>
      <c r="D4024" s="133"/>
      <c r="E4024" s="17"/>
      <c r="F4024" s="133"/>
      <c r="G4024" s="133"/>
      <c r="H4024" s="133"/>
      <c r="I4024" s="133"/>
      <c r="J4024" s="133"/>
      <c r="K4024" s="133"/>
      <c r="L4024" s="133"/>
      <c r="M4024" s="133"/>
      <c r="N4024" s="133"/>
      <c r="O4024" s="133"/>
      <c r="P4024" s="134"/>
      <c r="Q4024" s="146"/>
      <c r="R4024" s="17"/>
      <c r="S4024" s="17"/>
      <c r="T4024" s="75"/>
      <c r="U4024" s="75"/>
      <c r="V4024" s="75"/>
      <c r="W4024" s="75"/>
      <c r="X4024" s="75"/>
    </row>
    <row r="4025">
      <c r="A4025" s="17"/>
      <c r="B4025" s="17"/>
      <c r="C4025" s="133"/>
      <c r="D4025" s="133"/>
      <c r="E4025" s="17"/>
      <c r="F4025" s="133"/>
      <c r="G4025" s="133"/>
      <c r="H4025" s="133"/>
      <c r="I4025" s="133"/>
      <c r="J4025" s="133"/>
      <c r="K4025" s="133"/>
      <c r="L4025" s="133"/>
      <c r="M4025" s="133"/>
      <c r="N4025" s="133"/>
      <c r="O4025" s="133"/>
      <c r="P4025" s="134"/>
      <c r="Q4025" s="146"/>
      <c r="R4025" s="17"/>
      <c r="S4025" s="17"/>
      <c r="T4025" s="75"/>
      <c r="U4025" s="75"/>
      <c r="V4025" s="75"/>
      <c r="W4025" s="75"/>
      <c r="X4025" s="75"/>
    </row>
    <row r="4026">
      <c r="A4026" s="17"/>
      <c r="B4026" s="17"/>
      <c r="C4026" s="133"/>
      <c r="D4026" s="133"/>
      <c r="E4026" s="17"/>
      <c r="F4026" s="133"/>
      <c r="G4026" s="133"/>
      <c r="H4026" s="133"/>
      <c r="I4026" s="133"/>
      <c r="J4026" s="133"/>
      <c r="K4026" s="133"/>
      <c r="L4026" s="133"/>
      <c r="M4026" s="133"/>
      <c r="N4026" s="133"/>
      <c r="O4026" s="133"/>
      <c r="P4026" s="134"/>
      <c r="Q4026" s="146"/>
      <c r="R4026" s="17"/>
      <c r="S4026" s="17"/>
      <c r="T4026" s="75"/>
      <c r="U4026" s="75"/>
      <c r="V4026" s="75"/>
      <c r="W4026" s="75"/>
      <c r="X4026" s="75"/>
    </row>
    <row r="4027">
      <c r="A4027" s="17"/>
      <c r="B4027" s="17"/>
      <c r="C4027" s="133"/>
      <c r="D4027" s="133"/>
      <c r="E4027" s="17"/>
      <c r="F4027" s="133"/>
      <c r="G4027" s="133"/>
      <c r="H4027" s="133"/>
      <c r="I4027" s="133"/>
      <c r="J4027" s="133"/>
      <c r="K4027" s="133"/>
      <c r="L4027" s="133"/>
      <c r="M4027" s="133"/>
      <c r="N4027" s="133"/>
      <c r="O4027" s="133"/>
      <c r="P4027" s="134"/>
      <c r="Q4027" s="146"/>
      <c r="R4027" s="17"/>
      <c r="S4027" s="17"/>
      <c r="T4027" s="75"/>
      <c r="U4027" s="75"/>
      <c r="V4027" s="75"/>
      <c r="W4027" s="75"/>
      <c r="X4027" s="75"/>
    </row>
    <row r="4028">
      <c r="A4028" s="17"/>
      <c r="B4028" s="17"/>
      <c r="C4028" s="133"/>
      <c r="D4028" s="133"/>
      <c r="E4028" s="17"/>
      <c r="F4028" s="133"/>
      <c r="G4028" s="133"/>
      <c r="H4028" s="133"/>
      <c r="I4028" s="133"/>
      <c r="J4028" s="133"/>
      <c r="K4028" s="133"/>
      <c r="L4028" s="133"/>
      <c r="M4028" s="133"/>
      <c r="N4028" s="133"/>
      <c r="O4028" s="133"/>
      <c r="P4028" s="134"/>
      <c r="Q4028" s="146"/>
      <c r="R4028" s="17"/>
      <c r="S4028" s="17"/>
      <c r="T4028" s="75"/>
      <c r="U4028" s="75"/>
      <c r="V4028" s="75"/>
      <c r="W4028" s="75"/>
      <c r="X4028" s="75"/>
    </row>
    <row r="4029">
      <c r="A4029" s="17"/>
      <c r="B4029" s="17"/>
      <c r="C4029" s="133"/>
      <c r="D4029" s="133"/>
      <c r="E4029" s="17"/>
      <c r="F4029" s="133"/>
      <c r="G4029" s="133"/>
      <c r="H4029" s="133"/>
      <c r="I4029" s="133"/>
      <c r="J4029" s="133"/>
      <c r="K4029" s="133"/>
      <c r="L4029" s="133"/>
      <c r="M4029" s="133"/>
      <c r="N4029" s="133"/>
      <c r="O4029" s="133"/>
      <c r="P4029" s="134"/>
      <c r="Q4029" s="146"/>
      <c r="R4029" s="17"/>
      <c r="S4029" s="17"/>
      <c r="T4029" s="75"/>
      <c r="U4029" s="75"/>
      <c r="V4029" s="75"/>
      <c r="W4029" s="75"/>
      <c r="X4029" s="75"/>
    </row>
    <row r="4030">
      <c r="A4030" s="17"/>
      <c r="B4030" s="17"/>
      <c r="C4030" s="133"/>
      <c r="D4030" s="133"/>
      <c r="E4030" s="17"/>
      <c r="F4030" s="133"/>
      <c r="G4030" s="133"/>
      <c r="H4030" s="133"/>
      <c r="I4030" s="133"/>
      <c r="J4030" s="133"/>
      <c r="K4030" s="133"/>
      <c r="L4030" s="133"/>
      <c r="M4030" s="133"/>
      <c r="N4030" s="133"/>
      <c r="O4030" s="133"/>
      <c r="P4030" s="134"/>
      <c r="Q4030" s="146"/>
      <c r="R4030" s="17"/>
      <c r="S4030" s="17"/>
      <c r="T4030" s="75"/>
      <c r="U4030" s="75"/>
      <c r="V4030" s="75"/>
      <c r="W4030" s="75"/>
      <c r="X4030" s="75"/>
    </row>
    <row r="4031">
      <c r="A4031" s="17"/>
      <c r="B4031" s="17"/>
      <c r="C4031" s="133"/>
      <c r="D4031" s="133"/>
      <c r="E4031" s="17"/>
      <c r="F4031" s="133"/>
      <c r="G4031" s="133"/>
      <c r="H4031" s="133"/>
      <c r="I4031" s="133"/>
      <c r="J4031" s="133"/>
      <c r="K4031" s="133"/>
      <c r="L4031" s="133"/>
      <c r="M4031" s="133"/>
      <c r="N4031" s="133"/>
      <c r="O4031" s="133"/>
      <c r="P4031" s="134"/>
      <c r="Q4031" s="146"/>
      <c r="R4031" s="17"/>
      <c r="S4031" s="17"/>
      <c r="T4031" s="75"/>
      <c r="U4031" s="75"/>
      <c r="V4031" s="75"/>
      <c r="W4031" s="75"/>
      <c r="X4031" s="75"/>
    </row>
    <row r="4032">
      <c r="A4032" s="17"/>
      <c r="B4032" s="17"/>
      <c r="C4032" s="133"/>
      <c r="D4032" s="133"/>
      <c r="E4032" s="17"/>
      <c r="F4032" s="133"/>
      <c r="G4032" s="133"/>
      <c r="H4032" s="133"/>
      <c r="I4032" s="133"/>
      <c r="J4032" s="133"/>
      <c r="K4032" s="133"/>
      <c r="L4032" s="133"/>
      <c r="M4032" s="133"/>
      <c r="N4032" s="133"/>
      <c r="O4032" s="133"/>
      <c r="P4032" s="134"/>
      <c r="Q4032" s="146"/>
      <c r="R4032" s="17"/>
      <c r="S4032" s="17"/>
      <c r="T4032" s="75"/>
      <c r="U4032" s="75"/>
      <c r="V4032" s="75"/>
      <c r="W4032" s="75"/>
      <c r="X4032" s="75"/>
    </row>
    <row r="4033">
      <c r="A4033" s="17"/>
      <c r="B4033" s="17"/>
      <c r="C4033" s="133"/>
      <c r="D4033" s="133"/>
      <c r="E4033" s="17"/>
      <c r="F4033" s="133"/>
      <c r="G4033" s="133"/>
      <c r="H4033" s="133"/>
      <c r="I4033" s="133"/>
      <c r="J4033" s="133"/>
      <c r="K4033" s="133"/>
      <c r="L4033" s="133"/>
      <c r="M4033" s="133"/>
      <c r="N4033" s="133"/>
      <c r="O4033" s="133"/>
      <c r="P4033" s="134"/>
      <c r="Q4033" s="146"/>
      <c r="R4033" s="17"/>
      <c r="S4033" s="17"/>
      <c r="T4033" s="75"/>
      <c r="U4033" s="75"/>
      <c r="V4033" s="75"/>
      <c r="W4033" s="75"/>
      <c r="X4033" s="75"/>
    </row>
    <row r="4034">
      <c r="A4034" s="17"/>
      <c r="B4034" s="17"/>
      <c r="C4034" s="133"/>
      <c r="D4034" s="133"/>
      <c r="E4034" s="17"/>
      <c r="F4034" s="133"/>
      <c r="G4034" s="133"/>
      <c r="H4034" s="133"/>
      <c r="I4034" s="133"/>
      <c r="J4034" s="133"/>
      <c r="K4034" s="133"/>
      <c r="L4034" s="133"/>
      <c r="M4034" s="133"/>
      <c r="N4034" s="133"/>
      <c r="O4034" s="133"/>
      <c r="P4034" s="134"/>
      <c r="Q4034" s="146"/>
      <c r="R4034" s="17"/>
      <c r="S4034" s="17"/>
      <c r="T4034" s="75"/>
      <c r="U4034" s="75"/>
      <c r="V4034" s="75"/>
      <c r="W4034" s="75"/>
      <c r="X4034" s="75"/>
    </row>
    <row r="4035">
      <c r="A4035" s="17"/>
      <c r="B4035" s="17"/>
      <c r="C4035" s="133"/>
      <c r="D4035" s="133"/>
      <c r="E4035" s="17"/>
      <c r="F4035" s="133"/>
      <c r="G4035" s="133"/>
      <c r="H4035" s="133"/>
      <c r="I4035" s="133"/>
      <c r="J4035" s="133"/>
      <c r="K4035" s="133"/>
      <c r="L4035" s="133"/>
      <c r="M4035" s="133"/>
      <c r="N4035" s="133"/>
      <c r="O4035" s="133"/>
      <c r="P4035" s="134"/>
      <c r="Q4035" s="146"/>
      <c r="R4035" s="17"/>
      <c r="S4035" s="17"/>
      <c r="T4035" s="75"/>
      <c r="U4035" s="75"/>
      <c r="V4035" s="75"/>
      <c r="W4035" s="75"/>
      <c r="X4035" s="75"/>
    </row>
    <row r="4036">
      <c r="A4036" s="17"/>
      <c r="B4036" s="17"/>
      <c r="C4036" s="133"/>
      <c r="D4036" s="133"/>
      <c r="E4036" s="17"/>
      <c r="F4036" s="133"/>
      <c r="G4036" s="133"/>
      <c r="H4036" s="133"/>
      <c r="I4036" s="133"/>
      <c r="J4036" s="133"/>
      <c r="K4036" s="133"/>
      <c r="L4036" s="133"/>
      <c r="M4036" s="133"/>
      <c r="N4036" s="133"/>
      <c r="O4036" s="133"/>
      <c r="P4036" s="134"/>
      <c r="Q4036" s="146"/>
      <c r="R4036" s="17"/>
      <c r="S4036" s="17"/>
      <c r="T4036" s="75"/>
      <c r="U4036" s="75"/>
      <c r="V4036" s="75"/>
      <c r="W4036" s="75"/>
      <c r="X4036" s="75"/>
    </row>
    <row r="4037">
      <c r="A4037" s="17"/>
      <c r="B4037" s="17"/>
      <c r="C4037" s="133"/>
      <c r="D4037" s="133"/>
      <c r="E4037" s="17"/>
      <c r="F4037" s="133"/>
      <c r="G4037" s="133"/>
      <c r="H4037" s="133"/>
      <c r="I4037" s="133"/>
      <c r="J4037" s="133"/>
      <c r="K4037" s="133"/>
      <c r="L4037" s="133"/>
      <c r="M4037" s="133"/>
      <c r="N4037" s="133"/>
      <c r="O4037" s="133"/>
      <c r="P4037" s="134"/>
      <c r="Q4037" s="146"/>
      <c r="R4037" s="17"/>
      <c r="S4037" s="17"/>
      <c r="T4037" s="75"/>
      <c r="U4037" s="75"/>
      <c r="V4037" s="75"/>
      <c r="W4037" s="75"/>
      <c r="X4037" s="75"/>
    </row>
    <row r="4038">
      <c r="A4038" s="17"/>
      <c r="B4038" s="17"/>
      <c r="C4038" s="133"/>
      <c r="D4038" s="133"/>
      <c r="E4038" s="17"/>
      <c r="F4038" s="133"/>
      <c r="G4038" s="133"/>
      <c r="H4038" s="133"/>
      <c r="I4038" s="133"/>
      <c r="J4038" s="133"/>
      <c r="K4038" s="133"/>
      <c r="L4038" s="133"/>
      <c r="M4038" s="133"/>
      <c r="N4038" s="133"/>
      <c r="O4038" s="133"/>
      <c r="P4038" s="134"/>
      <c r="Q4038" s="146"/>
      <c r="R4038" s="17"/>
      <c r="S4038" s="17"/>
      <c r="T4038" s="75"/>
      <c r="U4038" s="75"/>
      <c r="V4038" s="75"/>
      <c r="W4038" s="75"/>
      <c r="X4038" s="75"/>
    </row>
    <row r="4039">
      <c r="A4039" s="17"/>
      <c r="B4039" s="17"/>
      <c r="C4039" s="133"/>
      <c r="D4039" s="133"/>
      <c r="E4039" s="17"/>
      <c r="F4039" s="133"/>
      <c r="G4039" s="133"/>
      <c r="H4039" s="133"/>
      <c r="I4039" s="133"/>
      <c r="J4039" s="133"/>
      <c r="K4039" s="133"/>
      <c r="L4039" s="133"/>
      <c r="M4039" s="133"/>
      <c r="N4039" s="133"/>
      <c r="O4039" s="133"/>
      <c r="P4039" s="134"/>
      <c r="Q4039" s="146"/>
      <c r="R4039" s="17"/>
      <c r="S4039" s="17"/>
      <c r="T4039" s="75"/>
      <c r="U4039" s="75"/>
      <c r="V4039" s="75"/>
      <c r="W4039" s="75"/>
      <c r="X4039" s="75"/>
    </row>
    <row r="4040">
      <c r="A4040" s="17"/>
      <c r="B4040" s="17"/>
      <c r="C4040" s="133"/>
      <c r="D4040" s="133"/>
      <c r="E4040" s="17"/>
      <c r="F4040" s="133"/>
      <c r="G4040" s="133"/>
      <c r="H4040" s="133"/>
      <c r="I4040" s="133"/>
      <c r="J4040" s="133"/>
      <c r="K4040" s="133"/>
      <c r="L4040" s="133"/>
      <c r="M4040" s="133"/>
      <c r="N4040" s="133"/>
      <c r="O4040" s="133"/>
      <c r="P4040" s="134"/>
      <c r="Q4040" s="146"/>
      <c r="R4040" s="17"/>
      <c r="S4040" s="17"/>
      <c r="T4040" s="75"/>
      <c r="U4040" s="75"/>
      <c r="V4040" s="75"/>
      <c r="W4040" s="75"/>
      <c r="X4040" s="75"/>
    </row>
    <row r="4041">
      <c r="A4041" s="17"/>
      <c r="B4041" s="17"/>
      <c r="C4041" s="133"/>
      <c r="D4041" s="133"/>
      <c r="E4041" s="17"/>
      <c r="F4041" s="133"/>
      <c r="G4041" s="133"/>
      <c r="H4041" s="133"/>
      <c r="I4041" s="133"/>
      <c r="J4041" s="133"/>
      <c r="K4041" s="133"/>
      <c r="L4041" s="133"/>
      <c r="M4041" s="133"/>
      <c r="N4041" s="133"/>
      <c r="O4041" s="133"/>
      <c r="P4041" s="134"/>
      <c r="Q4041" s="146"/>
      <c r="R4041" s="17"/>
      <c r="S4041" s="17"/>
      <c r="T4041" s="75"/>
      <c r="U4041" s="75"/>
      <c r="V4041" s="75"/>
      <c r="W4041" s="75"/>
      <c r="X4041" s="75"/>
    </row>
    <row r="4042">
      <c r="A4042" s="17"/>
      <c r="B4042" s="17"/>
      <c r="C4042" s="133"/>
      <c r="D4042" s="133"/>
      <c r="E4042" s="17"/>
      <c r="F4042" s="133"/>
      <c r="G4042" s="133"/>
      <c r="H4042" s="133"/>
      <c r="I4042" s="133"/>
      <c r="J4042" s="133"/>
      <c r="K4042" s="133"/>
      <c r="L4042" s="133"/>
      <c r="M4042" s="133"/>
      <c r="N4042" s="133"/>
      <c r="O4042" s="133"/>
      <c r="P4042" s="134"/>
      <c r="Q4042" s="146"/>
      <c r="R4042" s="17"/>
      <c r="S4042" s="17"/>
      <c r="T4042" s="75"/>
      <c r="U4042" s="75"/>
      <c r="V4042" s="75"/>
      <c r="W4042" s="75"/>
      <c r="X4042" s="75"/>
    </row>
    <row r="4043">
      <c r="A4043" s="17"/>
      <c r="B4043" s="17"/>
      <c r="C4043" s="133"/>
      <c r="D4043" s="133"/>
      <c r="E4043" s="17"/>
      <c r="F4043" s="133"/>
      <c r="G4043" s="133"/>
      <c r="H4043" s="133"/>
      <c r="I4043" s="133"/>
      <c r="J4043" s="133"/>
      <c r="K4043" s="133"/>
      <c r="L4043" s="133"/>
      <c r="M4043" s="133"/>
      <c r="N4043" s="133"/>
      <c r="O4043" s="133"/>
      <c r="P4043" s="134"/>
      <c r="Q4043" s="146"/>
      <c r="R4043" s="17"/>
      <c r="S4043" s="17"/>
      <c r="T4043" s="75"/>
      <c r="U4043" s="75"/>
      <c r="V4043" s="75"/>
      <c r="W4043" s="75"/>
      <c r="X4043" s="75"/>
    </row>
    <row r="4044">
      <c r="A4044" s="17"/>
      <c r="B4044" s="17"/>
      <c r="C4044" s="133"/>
      <c r="D4044" s="133"/>
      <c r="E4044" s="17"/>
      <c r="F4044" s="133"/>
      <c r="G4044" s="133"/>
      <c r="H4044" s="133"/>
      <c r="I4044" s="133"/>
      <c r="J4044" s="133"/>
      <c r="K4044" s="133"/>
      <c r="L4044" s="133"/>
      <c r="M4044" s="133"/>
      <c r="N4044" s="133"/>
      <c r="O4044" s="133"/>
      <c r="P4044" s="134"/>
      <c r="Q4044" s="146"/>
      <c r="R4044" s="17"/>
      <c r="S4044" s="17"/>
      <c r="T4044" s="75"/>
      <c r="U4044" s="75"/>
      <c r="V4044" s="75"/>
      <c r="W4044" s="75"/>
      <c r="X4044" s="75"/>
    </row>
    <row r="4045">
      <c r="A4045" s="17"/>
      <c r="B4045" s="17"/>
      <c r="C4045" s="133"/>
      <c r="D4045" s="133"/>
      <c r="E4045" s="17"/>
      <c r="F4045" s="133"/>
      <c r="G4045" s="133"/>
      <c r="H4045" s="133"/>
      <c r="I4045" s="133"/>
      <c r="J4045" s="133"/>
      <c r="K4045" s="133"/>
      <c r="L4045" s="133"/>
      <c r="M4045" s="133"/>
      <c r="N4045" s="133"/>
      <c r="O4045" s="133"/>
      <c r="P4045" s="134"/>
      <c r="Q4045" s="146"/>
      <c r="R4045" s="17"/>
      <c r="S4045" s="17"/>
      <c r="T4045" s="75"/>
      <c r="U4045" s="75"/>
      <c r="V4045" s="75"/>
      <c r="W4045" s="75"/>
      <c r="X4045" s="75"/>
    </row>
    <row r="4046">
      <c r="A4046" s="17"/>
      <c r="B4046" s="17"/>
      <c r="C4046" s="133"/>
      <c r="D4046" s="133"/>
      <c r="E4046" s="17"/>
      <c r="F4046" s="133"/>
      <c r="G4046" s="133"/>
      <c r="H4046" s="133"/>
      <c r="I4046" s="133"/>
      <c r="J4046" s="133"/>
      <c r="K4046" s="133"/>
      <c r="L4046" s="133"/>
      <c r="M4046" s="133"/>
      <c r="N4046" s="133"/>
      <c r="O4046" s="133"/>
      <c r="P4046" s="134"/>
      <c r="Q4046" s="146"/>
      <c r="R4046" s="17"/>
      <c r="S4046" s="17"/>
      <c r="T4046" s="75"/>
      <c r="U4046" s="75"/>
      <c r="V4046" s="75"/>
      <c r="W4046" s="75"/>
      <c r="X4046" s="75"/>
    </row>
    <row r="4047">
      <c r="A4047" s="17"/>
      <c r="B4047" s="17"/>
      <c r="C4047" s="133"/>
      <c r="D4047" s="133"/>
      <c r="E4047" s="17"/>
      <c r="F4047" s="133"/>
      <c r="G4047" s="133"/>
      <c r="H4047" s="133"/>
      <c r="I4047" s="133"/>
      <c r="J4047" s="133"/>
      <c r="K4047" s="133"/>
      <c r="L4047" s="133"/>
      <c r="M4047" s="133"/>
      <c r="N4047" s="133"/>
      <c r="O4047" s="133"/>
      <c r="P4047" s="134"/>
      <c r="Q4047" s="146"/>
      <c r="R4047" s="17"/>
      <c r="S4047" s="17"/>
      <c r="T4047" s="75"/>
      <c r="U4047" s="75"/>
      <c r="V4047" s="75"/>
      <c r="W4047" s="75"/>
      <c r="X4047" s="75"/>
    </row>
    <row r="4048">
      <c r="A4048" s="17"/>
      <c r="B4048" s="17"/>
      <c r="C4048" s="133"/>
      <c r="D4048" s="133"/>
      <c r="E4048" s="17"/>
      <c r="F4048" s="133"/>
      <c r="G4048" s="133"/>
      <c r="H4048" s="133"/>
      <c r="I4048" s="133"/>
      <c r="J4048" s="133"/>
      <c r="K4048" s="133"/>
      <c r="L4048" s="133"/>
      <c r="M4048" s="133"/>
      <c r="N4048" s="133"/>
      <c r="O4048" s="133"/>
      <c r="P4048" s="134"/>
      <c r="Q4048" s="146"/>
      <c r="R4048" s="17"/>
      <c r="S4048" s="17"/>
      <c r="T4048" s="75"/>
      <c r="U4048" s="75"/>
      <c r="V4048" s="75"/>
      <c r="W4048" s="75"/>
      <c r="X4048" s="75"/>
    </row>
    <row r="4049">
      <c r="A4049" s="17"/>
      <c r="B4049" s="17"/>
      <c r="C4049" s="133"/>
      <c r="D4049" s="133"/>
      <c r="E4049" s="17"/>
      <c r="F4049" s="133"/>
      <c r="G4049" s="133"/>
      <c r="H4049" s="133"/>
      <c r="I4049" s="133"/>
      <c r="J4049" s="133"/>
      <c r="K4049" s="133"/>
      <c r="L4049" s="133"/>
      <c r="M4049" s="133"/>
      <c r="N4049" s="133"/>
      <c r="O4049" s="133"/>
      <c r="P4049" s="134"/>
      <c r="Q4049" s="146"/>
      <c r="R4049" s="17"/>
      <c r="S4049" s="17"/>
      <c r="T4049" s="75"/>
      <c r="U4049" s="75"/>
      <c r="V4049" s="75"/>
      <c r="W4049" s="75"/>
      <c r="X4049" s="75"/>
    </row>
    <row r="4050">
      <c r="A4050" s="17"/>
      <c r="B4050" s="17"/>
      <c r="C4050" s="133"/>
      <c r="D4050" s="133"/>
      <c r="E4050" s="17"/>
      <c r="F4050" s="133"/>
      <c r="G4050" s="133"/>
      <c r="H4050" s="133"/>
      <c r="I4050" s="133"/>
      <c r="J4050" s="133"/>
      <c r="K4050" s="133"/>
      <c r="L4050" s="133"/>
      <c r="M4050" s="133"/>
      <c r="N4050" s="133"/>
      <c r="O4050" s="133"/>
      <c r="P4050" s="134"/>
      <c r="Q4050" s="146"/>
      <c r="R4050" s="17"/>
      <c r="S4050" s="17"/>
      <c r="T4050" s="75"/>
      <c r="U4050" s="75"/>
      <c r="V4050" s="75"/>
      <c r="W4050" s="75"/>
      <c r="X4050" s="75"/>
    </row>
    <row r="4051">
      <c r="A4051" s="17"/>
      <c r="B4051" s="17"/>
      <c r="C4051" s="133"/>
      <c r="D4051" s="133"/>
      <c r="E4051" s="17"/>
      <c r="F4051" s="133"/>
      <c r="G4051" s="133"/>
      <c r="H4051" s="133"/>
      <c r="I4051" s="133"/>
      <c r="J4051" s="133"/>
      <c r="K4051" s="133"/>
      <c r="L4051" s="133"/>
      <c r="M4051" s="133"/>
      <c r="N4051" s="133"/>
      <c r="O4051" s="133"/>
      <c r="P4051" s="134"/>
      <c r="Q4051" s="146"/>
      <c r="R4051" s="17"/>
      <c r="S4051" s="17"/>
      <c r="T4051" s="75"/>
      <c r="U4051" s="75"/>
      <c r="V4051" s="75"/>
      <c r="W4051" s="75"/>
      <c r="X4051" s="75"/>
    </row>
    <row r="4052">
      <c r="A4052" s="17"/>
      <c r="B4052" s="17"/>
      <c r="C4052" s="133"/>
      <c r="D4052" s="133"/>
      <c r="E4052" s="17"/>
      <c r="F4052" s="133"/>
      <c r="G4052" s="133"/>
      <c r="H4052" s="133"/>
      <c r="I4052" s="133"/>
      <c r="J4052" s="133"/>
      <c r="K4052" s="133"/>
      <c r="L4052" s="133"/>
      <c r="M4052" s="133"/>
      <c r="N4052" s="133"/>
      <c r="O4052" s="133"/>
      <c r="P4052" s="134"/>
      <c r="Q4052" s="146"/>
      <c r="R4052" s="17"/>
      <c r="S4052" s="17"/>
      <c r="T4052" s="75"/>
      <c r="U4052" s="75"/>
      <c r="V4052" s="75"/>
      <c r="W4052" s="75"/>
      <c r="X4052" s="75"/>
    </row>
    <row r="4053">
      <c r="A4053" s="17"/>
      <c r="B4053" s="17"/>
      <c r="C4053" s="133"/>
      <c r="D4053" s="133"/>
      <c r="E4053" s="17"/>
      <c r="F4053" s="133"/>
      <c r="G4053" s="133"/>
      <c r="H4053" s="133"/>
      <c r="I4053" s="133"/>
      <c r="J4053" s="133"/>
      <c r="K4053" s="133"/>
      <c r="L4053" s="133"/>
      <c r="M4053" s="133"/>
      <c r="N4053" s="133"/>
      <c r="O4053" s="133"/>
      <c r="P4053" s="134"/>
      <c r="Q4053" s="146"/>
      <c r="R4053" s="17"/>
      <c r="S4053" s="17"/>
      <c r="T4053" s="75"/>
      <c r="U4053" s="75"/>
      <c r="V4053" s="75"/>
      <c r="W4053" s="75"/>
      <c r="X4053" s="75"/>
    </row>
    <row r="4054">
      <c r="A4054" s="17"/>
      <c r="B4054" s="17"/>
      <c r="C4054" s="133"/>
      <c r="D4054" s="133"/>
      <c r="E4054" s="17"/>
      <c r="F4054" s="133"/>
      <c r="G4054" s="133"/>
      <c r="H4054" s="133"/>
      <c r="I4054" s="133"/>
      <c r="J4054" s="133"/>
      <c r="K4054" s="133"/>
      <c r="L4054" s="133"/>
      <c r="M4054" s="133"/>
      <c r="N4054" s="133"/>
      <c r="O4054" s="133"/>
      <c r="P4054" s="134"/>
      <c r="Q4054" s="146"/>
      <c r="R4054" s="17"/>
      <c r="S4054" s="17"/>
      <c r="T4054" s="75"/>
      <c r="U4054" s="75"/>
      <c r="V4054" s="75"/>
      <c r="W4054" s="75"/>
      <c r="X4054" s="75"/>
    </row>
    <row r="4055">
      <c r="A4055" s="17"/>
      <c r="B4055" s="17"/>
      <c r="C4055" s="133"/>
      <c r="D4055" s="133"/>
      <c r="E4055" s="17"/>
      <c r="F4055" s="133"/>
      <c r="G4055" s="133"/>
      <c r="H4055" s="133"/>
      <c r="I4055" s="133"/>
      <c r="J4055" s="133"/>
      <c r="K4055" s="133"/>
      <c r="L4055" s="133"/>
      <c r="M4055" s="133"/>
      <c r="N4055" s="133"/>
      <c r="O4055" s="133"/>
      <c r="P4055" s="134"/>
      <c r="Q4055" s="146"/>
      <c r="R4055" s="17"/>
      <c r="S4055" s="17"/>
      <c r="T4055" s="75"/>
      <c r="U4055" s="75"/>
      <c r="V4055" s="75"/>
      <c r="W4055" s="75"/>
      <c r="X4055" s="75"/>
    </row>
    <row r="4056">
      <c r="A4056" s="17"/>
      <c r="B4056" s="17"/>
      <c r="C4056" s="133"/>
      <c r="D4056" s="133"/>
      <c r="E4056" s="17"/>
      <c r="F4056" s="133"/>
      <c r="G4056" s="133"/>
      <c r="H4056" s="133"/>
      <c r="I4056" s="133"/>
      <c r="J4056" s="133"/>
      <c r="K4056" s="133"/>
      <c r="L4056" s="133"/>
      <c r="M4056" s="133"/>
      <c r="N4056" s="133"/>
      <c r="O4056" s="133"/>
      <c r="P4056" s="134"/>
      <c r="Q4056" s="146"/>
      <c r="R4056" s="17"/>
      <c r="S4056" s="17"/>
      <c r="T4056" s="75"/>
      <c r="U4056" s="75"/>
      <c r="V4056" s="75"/>
      <c r="W4056" s="75"/>
      <c r="X4056" s="75"/>
    </row>
    <row r="4057">
      <c r="A4057" s="17"/>
      <c r="B4057" s="17"/>
      <c r="C4057" s="133"/>
      <c r="D4057" s="133"/>
      <c r="E4057" s="17"/>
      <c r="F4057" s="133"/>
      <c r="G4057" s="133"/>
      <c r="H4057" s="133"/>
      <c r="I4057" s="133"/>
      <c r="J4057" s="133"/>
      <c r="K4057" s="133"/>
      <c r="L4057" s="133"/>
      <c r="M4057" s="133"/>
      <c r="N4057" s="133"/>
      <c r="O4057" s="133"/>
      <c r="P4057" s="134"/>
      <c r="Q4057" s="146"/>
      <c r="R4057" s="17"/>
      <c r="S4057" s="17"/>
      <c r="T4057" s="75"/>
      <c r="U4057" s="75"/>
      <c r="V4057" s="75"/>
      <c r="W4057" s="75"/>
      <c r="X4057" s="75"/>
    </row>
    <row r="4058">
      <c r="A4058" s="17"/>
      <c r="B4058" s="17"/>
      <c r="C4058" s="133"/>
      <c r="D4058" s="133"/>
      <c r="E4058" s="17"/>
      <c r="F4058" s="133"/>
      <c r="G4058" s="133"/>
      <c r="H4058" s="133"/>
      <c r="I4058" s="133"/>
      <c r="J4058" s="133"/>
      <c r="K4058" s="133"/>
      <c r="L4058" s="133"/>
      <c r="M4058" s="133"/>
      <c r="N4058" s="133"/>
      <c r="O4058" s="133"/>
      <c r="P4058" s="134"/>
      <c r="Q4058" s="146"/>
      <c r="R4058" s="17"/>
      <c r="S4058" s="17"/>
      <c r="T4058" s="75"/>
      <c r="U4058" s="75"/>
      <c r="V4058" s="75"/>
      <c r="W4058" s="75"/>
      <c r="X4058" s="75"/>
    </row>
    <row r="4059">
      <c r="A4059" s="17"/>
      <c r="B4059" s="17"/>
      <c r="C4059" s="133"/>
      <c r="D4059" s="133"/>
      <c r="E4059" s="17"/>
      <c r="F4059" s="133"/>
      <c r="G4059" s="133"/>
      <c r="H4059" s="133"/>
      <c r="I4059" s="133"/>
      <c r="J4059" s="133"/>
      <c r="K4059" s="133"/>
      <c r="L4059" s="133"/>
      <c r="M4059" s="133"/>
      <c r="N4059" s="133"/>
      <c r="O4059" s="133"/>
      <c r="P4059" s="134"/>
      <c r="Q4059" s="146"/>
      <c r="R4059" s="17"/>
      <c r="S4059" s="17"/>
      <c r="T4059" s="75"/>
      <c r="U4059" s="75"/>
      <c r="V4059" s="75"/>
      <c r="W4059" s="75"/>
      <c r="X4059" s="75"/>
    </row>
    <row r="4060">
      <c r="A4060" s="17"/>
      <c r="B4060" s="17"/>
      <c r="C4060" s="133"/>
      <c r="D4060" s="133"/>
      <c r="E4060" s="17"/>
      <c r="F4060" s="133"/>
      <c r="G4060" s="133"/>
      <c r="H4060" s="133"/>
      <c r="I4060" s="133"/>
      <c r="J4060" s="133"/>
      <c r="K4060" s="133"/>
      <c r="L4060" s="133"/>
      <c r="M4060" s="133"/>
      <c r="N4060" s="133"/>
      <c r="O4060" s="133"/>
      <c r="P4060" s="134"/>
      <c r="Q4060" s="146"/>
      <c r="R4060" s="17"/>
      <c r="S4060" s="17"/>
      <c r="T4060" s="75"/>
      <c r="U4060" s="75"/>
      <c r="V4060" s="75"/>
      <c r="W4060" s="75"/>
      <c r="X4060" s="75"/>
    </row>
    <row r="4061">
      <c r="A4061" s="17"/>
      <c r="B4061" s="17"/>
      <c r="C4061" s="133"/>
      <c r="D4061" s="133"/>
      <c r="E4061" s="17"/>
      <c r="F4061" s="133"/>
      <c r="G4061" s="133"/>
      <c r="H4061" s="133"/>
      <c r="I4061" s="133"/>
      <c r="J4061" s="133"/>
      <c r="K4061" s="133"/>
      <c r="L4061" s="133"/>
      <c r="M4061" s="133"/>
      <c r="N4061" s="133"/>
      <c r="O4061" s="133"/>
      <c r="P4061" s="134"/>
      <c r="Q4061" s="146"/>
      <c r="R4061" s="17"/>
      <c r="S4061" s="17"/>
      <c r="T4061" s="75"/>
      <c r="U4061" s="75"/>
      <c r="V4061" s="75"/>
      <c r="W4061" s="75"/>
      <c r="X4061" s="75"/>
    </row>
    <row r="4062">
      <c r="A4062" s="17"/>
      <c r="B4062" s="17"/>
      <c r="C4062" s="133"/>
      <c r="D4062" s="133"/>
      <c r="E4062" s="17"/>
      <c r="F4062" s="133"/>
      <c r="G4062" s="133"/>
      <c r="H4062" s="133"/>
      <c r="I4062" s="133"/>
      <c r="J4062" s="133"/>
      <c r="K4062" s="133"/>
      <c r="L4062" s="133"/>
      <c r="M4062" s="133"/>
      <c r="N4062" s="133"/>
      <c r="O4062" s="133"/>
      <c r="P4062" s="134"/>
      <c r="Q4062" s="146"/>
      <c r="R4062" s="17"/>
      <c r="S4062" s="17"/>
      <c r="T4062" s="75"/>
      <c r="U4062" s="75"/>
      <c r="V4062" s="75"/>
      <c r="W4062" s="75"/>
      <c r="X4062" s="75"/>
    </row>
    <row r="4063">
      <c r="A4063" s="17"/>
      <c r="B4063" s="17"/>
      <c r="C4063" s="133"/>
      <c r="D4063" s="133"/>
      <c r="E4063" s="17"/>
      <c r="F4063" s="133"/>
      <c r="G4063" s="133"/>
      <c r="H4063" s="133"/>
      <c r="I4063" s="133"/>
      <c r="J4063" s="133"/>
      <c r="K4063" s="133"/>
      <c r="L4063" s="133"/>
      <c r="M4063" s="133"/>
      <c r="N4063" s="133"/>
      <c r="O4063" s="133"/>
      <c r="P4063" s="134"/>
      <c r="Q4063" s="146"/>
      <c r="R4063" s="17"/>
      <c r="S4063" s="17"/>
      <c r="T4063" s="75"/>
      <c r="U4063" s="75"/>
      <c r="V4063" s="75"/>
      <c r="W4063" s="75"/>
      <c r="X4063" s="75"/>
    </row>
    <row r="4064">
      <c r="A4064" s="17"/>
      <c r="B4064" s="17"/>
      <c r="C4064" s="133"/>
      <c r="D4064" s="133"/>
      <c r="E4064" s="17"/>
      <c r="F4064" s="133"/>
      <c r="G4064" s="133"/>
      <c r="H4064" s="133"/>
      <c r="I4064" s="133"/>
      <c r="J4064" s="133"/>
      <c r="K4064" s="133"/>
      <c r="L4064" s="133"/>
      <c r="M4064" s="133"/>
      <c r="N4064" s="133"/>
      <c r="O4064" s="133"/>
      <c r="P4064" s="134"/>
      <c r="Q4064" s="146"/>
      <c r="R4064" s="17"/>
      <c r="S4064" s="17"/>
      <c r="T4064" s="75"/>
      <c r="U4064" s="75"/>
      <c r="V4064" s="75"/>
      <c r="W4064" s="75"/>
      <c r="X4064" s="75"/>
    </row>
    <row r="4065">
      <c r="A4065" s="17"/>
      <c r="B4065" s="17"/>
      <c r="C4065" s="133"/>
      <c r="D4065" s="133"/>
      <c r="E4065" s="17"/>
      <c r="F4065" s="133"/>
      <c r="G4065" s="133"/>
      <c r="H4065" s="133"/>
      <c r="I4065" s="133"/>
      <c r="J4065" s="133"/>
      <c r="K4065" s="133"/>
      <c r="L4065" s="133"/>
      <c r="M4065" s="133"/>
      <c r="N4065" s="133"/>
      <c r="O4065" s="133"/>
      <c r="P4065" s="134"/>
      <c r="Q4065" s="146"/>
      <c r="R4065" s="17"/>
      <c r="S4065" s="17"/>
      <c r="T4065" s="75"/>
      <c r="U4065" s="75"/>
      <c r="V4065" s="75"/>
      <c r="W4065" s="75"/>
      <c r="X4065" s="75"/>
    </row>
    <row r="4066">
      <c r="A4066" s="17"/>
      <c r="B4066" s="17"/>
      <c r="C4066" s="133"/>
      <c r="D4066" s="133"/>
      <c r="E4066" s="17"/>
      <c r="F4066" s="133"/>
      <c r="G4066" s="133"/>
      <c r="H4066" s="133"/>
      <c r="I4066" s="133"/>
      <c r="J4066" s="133"/>
      <c r="K4066" s="133"/>
      <c r="L4066" s="133"/>
      <c r="M4066" s="133"/>
      <c r="N4066" s="133"/>
      <c r="O4066" s="133"/>
      <c r="P4066" s="134"/>
      <c r="Q4066" s="146"/>
      <c r="R4066" s="17"/>
      <c r="S4066" s="17"/>
      <c r="T4066" s="75"/>
      <c r="U4066" s="75"/>
      <c r="V4066" s="75"/>
      <c r="W4066" s="75"/>
      <c r="X4066" s="75"/>
    </row>
    <row r="4067">
      <c r="A4067" s="17"/>
      <c r="B4067" s="17"/>
      <c r="C4067" s="133"/>
      <c r="D4067" s="133"/>
      <c r="E4067" s="17"/>
      <c r="F4067" s="133"/>
      <c r="G4067" s="133"/>
      <c r="H4067" s="133"/>
      <c r="I4067" s="133"/>
      <c r="J4067" s="133"/>
      <c r="K4067" s="133"/>
      <c r="L4067" s="133"/>
      <c r="M4067" s="133"/>
      <c r="N4067" s="133"/>
      <c r="O4067" s="133"/>
      <c r="P4067" s="134"/>
      <c r="Q4067" s="146"/>
      <c r="R4067" s="17"/>
      <c r="S4067" s="17"/>
      <c r="T4067" s="75"/>
      <c r="U4067" s="75"/>
      <c r="V4067" s="75"/>
      <c r="W4067" s="75"/>
      <c r="X4067" s="75"/>
    </row>
    <row r="4068">
      <c r="A4068" s="17"/>
      <c r="B4068" s="17"/>
      <c r="C4068" s="133"/>
      <c r="D4068" s="133"/>
      <c r="E4068" s="17"/>
      <c r="F4068" s="133"/>
      <c r="G4068" s="133"/>
      <c r="H4068" s="133"/>
      <c r="I4068" s="133"/>
      <c r="J4068" s="133"/>
      <c r="K4068" s="133"/>
      <c r="L4068" s="133"/>
      <c r="M4068" s="133"/>
      <c r="N4068" s="133"/>
      <c r="O4068" s="133"/>
      <c r="P4068" s="134"/>
      <c r="Q4068" s="146"/>
      <c r="R4068" s="17"/>
      <c r="S4068" s="17"/>
      <c r="T4068" s="75"/>
      <c r="U4068" s="75"/>
      <c r="V4068" s="75"/>
      <c r="W4068" s="75"/>
      <c r="X4068" s="75"/>
    </row>
    <row r="4069">
      <c r="A4069" s="17"/>
      <c r="B4069" s="17"/>
      <c r="C4069" s="133"/>
      <c r="D4069" s="133"/>
      <c r="E4069" s="17"/>
      <c r="F4069" s="133"/>
      <c r="G4069" s="133"/>
      <c r="H4069" s="133"/>
      <c r="I4069" s="133"/>
      <c r="J4069" s="133"/>
      <c r="K4069" s="133"/>
      <c r="L4069" s="133"/>
      <c r="M4069" s="133"/>
      <c r="N4069" s="133"/>
      <c r="O4069" s="133"/>
      <c r="P4069" s="134"/>
      <c r="Q4069" s="146"/>
      <c r="R4069" s="17"/>
      <c r="S4069" s="17"/>
      <c r="T4069" s="75"/>
      <c r="U4069" s="75"/>
      <c r="V4069" s="75"/>
      <c r="W4069" s="75"/>
      <c r="X4069" s="75"/>
    </row>
    <row r="4070">
      <c r="A4070" s="17"/>
      <c r="B4070" s="17"/>
      <c r="C4070" s="133"/>
      <c r="D4070" s="133"/>
      <c r="E4070" s="17"/>
      <c r="F4070" s="133"/>
      <c r="G4070" s="133"/>
      <c r="H4070" s="133"/>
      <c r="I4070" s="133"/>
      <c r="J4070" s="133"/>
      <c r="K4070" s="133"/>
      <c r="L4070" s="133"/>
      <c r="M4070" s="133"/>
      <c r="N4070" s="133"/>
      <c r="O4070" s="133"/>
      <c r="P4070" s="134"/>
      <c r="Q4070" s="146"/>
      <c r="R4070" s="17"/>
      <c r="S4070" s="17"/>
      <c r="T4070" s="75"/>
      <c r="U4070" s="75"/>
      <c r="V4070" s="75"/>
      <c r="W4070" s="75"/>
      <c r="X4070" s="75"/>
    </row>
    <row r="4071">
      <c r="A4071" s="17"/>
      <c r="B4071" s="17"/>
      <c r="C4071" s="133"/>
      <c r="D4071" s="133"/>
      <c r="E4071" s="17"/>
      <c r="F4071" s="133"/>
      <c r="G4071" s="133"/>
      <c r="H4071" s="133"/>
      <c r="I4071" s="133"/>
      <c r="J4071" s="133"/>
      <c r="K4071" s="133"/>
      <c r="L4071" s="133"/>
      <c r="M4071" s="133"/>
      <c r="N4071" s="133"/>
      <c r="O4071" s="133"/>
      <c r="P4071" s="134"/>
      <c r="Q4071" s="146"/>
      <c r="R4071" s="17"/>
      <c r="S4071" s="17"/>
      <c r="T4071" s="75"/>
      <c r="U4071" s="75"/>
      <c r="V4071" s="75"/>
      <c r="W4071" s="75"/>
      <c r="X4071" s="75"/>
    </row>
    <row r="4072">
      <c r="A4072" s="17"/>
      <c r="B4072" s="17"/>
      <c r="C4072" s="133"/>
      <c r="D4072" s="133"/>
      <c r="E4072" s="17"/>
      <c r="F4072" s="133"/>
      <c r="G4072" s="133"/>
      <c r="H4072" s="133"/>
      <c r="I4072" s="133"/>
      <c r="J4072" s="133"/>
      <c r="K4072" s="133"/>
      <c r="L4072" s="133"/>
      <c r="M4072" s="133"/>
      <c r="N4072" s="133"/>
      <c r="O4072" s="133"/>
      <c r="P4072" s="134"/>
      <c r="Q4072" s="146"/>
      <c r="R4072" s="17"/>
      <c r="S4072" s="17"/>
      <c r="T4072" s="75"/>
      <c r="U4072" s="75"/>
      <c r="V4072" s="75"/>
      <c r="W4072" s="75"/>
      <c r="X4072" s="75"/>
    </row>
    <row r="4073">
      <c r="A4073" s="17"/>
      <c r="B4073" s="17"/>
      <c r="C4073" s="133"/>
      <c r="D4073" s="133"/>
      <c r="E4073" s="17"/>
      <c r="F4073" s="133"/>
      <c r="G4073" s="133"/>
      <c r="H4073" s="133"/>
      <c r="I4073" s="133"/>
      <c r="J4073" s="133"/>
      <c r="K4073" s="133"/>
      <c r="L4073" s="133"/>
      <c r="M4073" s="133"/>
      <c r="N4073" s="133"/>
      <c r="O4073" s="133"/>
      <c r="P4073" s="134"/>
      <c r="Q4073" s="146"/>
      <c r="R4073" s="17"/>
      <c r="S4073" s="17"/>
      <c r="T4073" s="75"/>
      <c r="U4073" s="75"/>
      <c r="V4073" s="75"/>
      <c r="W4073" s="75"/>
      <c r="X4073" s="75"/>
    </row>
    <row r="4074">
      <c r="A4074" s="17"/>
      <c r="B4074" s="17"/>
      <c r="C4074" s="133"/>
      <c r="D4074" s="133"/>
      <c r="E4074" s="17"/>
      <c r="F4074" s="133"/>
      <c r="G4074" s="133"/>
      <c r="H4074" s="133"/>
      <c r="I4074" s="133"/>
      <c r="J4074" s="133"/>
      <c r="K4074" s="133"/>
      <c r="L4074" s="133"/>
      <c r="M4074" s="133"/>
      <c r="N4074" s="133"/>
      <c r="O4074" s="133"/>
      <c r="P4074" s="134"/>
      <c r="Q4074" s="146"/>
      <c r="R4074" s="17"/>
      <c r="S4074" s="17"/>
      <c r="T4074" s="75"/>
      <c r="U4074" s="75"/>
      <c r="V4074" s="75"/>
      <c r="W4074" s="75"/>
      <c r="X4074" s="75"/>
    </row>
    <row r="4075">
      <c r="A4075" s="17"/>
      <c r="B4075" s="17"/>
      <c r="C4075" s="133"/>
      <c r="D4075" s="133"/>
      <c r="E4075" s="17"/>
      <c r="F4075" s="133"/>
      <c r="G4075" s="133"/>
      <c r="H4075" s="133"/>
      <c r="I4075" s="133"/>
      <c r="J4075" s="133"/>
      <c r="K4075" s="133"/>
      <c r="L4075" s="133"/>
      <c r="M4075" s="133"/>
      <c r="N4075" s="133"/>
      <c r="O4075" s="133"/>
      <c r="P4075" s="134"/>
      <c r="Q4075" s="146"/>
      <c r="R4075" s="17"/>
      <c r="S4075" s="17"/>
      <c r="T4075" s="75"/>
      <c r="U4075" s="75"/>
      <c r="V4075" s="75"/>
      <c r="W4075" s="75"/>
      <c r="X4075" s="75"/>
    </row>
    <row r="4076">
      <c r="A4076" s="17"/>
      <c r="B4076" s="17"/>
      <c r="C4076" s="133"/>
      <c r="D4076" s="133"/>
      <c r="E4076" s="17"/>
      <c r="F4076" s="133"/>
      <c r="G4076" s="133"/>
      <c r="H4076" s="133"/>
      <c r="I4076" s="133"/>
      <c r="J4076" s="133"/>
      <c r="K4076" s="133"/>
      <c r="L4076" s="133"/>
      <c r="M4076" s="133"/>
      <c r="N4076" s="133"/>
      <c r="O4076" s="133"/>
      <c r="P4076" s="134"/>
      <c r="Q4076" s="146"/>
      <c r="R4076" s="17"/>
      <c r="S4076" s="17"/>
      <c r="T4076" s="75"/>
      <c r="U4076" s="75"/>
      <c r="V4076" s="75"/>
      <c r="W4076" s="75"/>
      <c r="X4076" s="75"/>
    </row>
    <row r="4077">
      <c r="A4077" s="17"/>
      <c r="B4077" s="17"/>
      <c r="C4077" s="133"/>
      <c r="D4077" s="133"/>
      <c r="E4077" s="17"/>
      <c r="F4077" s="133"/>
      <c r="G4077" s="133"/>
      <c r="H4077" s="133"/>
      <c r="I4077" s="133"/>
      <c r="J4077" s="133"/>
      <c r="K4077" s="133"/>
      <c r="L4077" s="133"/>
      <c r="M4077" s="133"/>
      <c r="N4077" s="133"/>
      <c r="O4077" s="133"/>
      <c r="P4077" s="134"/>
      <c r="Q4077" s="146"/>
      <c r="R4077" s="17"/>
      <c r="S4077" s="17"/>
      <c r="T4077" s="75"/>
      <c r="U4077" s="75"/>
      <c r="V4077" s="75"/>
      <c r="W4077" s="75"/>
      <c r="X4077" s="75"/>
    </row>
    <row r="4078">
      <c r="A4078" s="17"/>
      <c r="B4078" s="17"/>
      <c r="C4078" s="133"/>
      <c r="D4078" s="133"/>
      <c r="E4078" s="17"/>
      <c r="F4078" s="133"/>
      <c r="G4078" s="133"/>
      <c r="H4078" s="133"/>
      <c r="I4078" s="133"/>
      <c r="J4078" s="133"/>
      <c r="K4078" s="133"/>
      <c r="L4078" s="133"/>
      <c r="M4078" s="133"/>
      <c r="N4078" s="133"/>
      <c r="O4078" s="133"/>
      <c r="P4078" s="134"/>
      <c r="Q4078" s="146"/>
      <c r="R4078" s="17"/>
      <c r="S4078" s="17"/>
      <c r="T4078" s="75"/>
      <c r="U4078" s="75"/>
      <c r="V4078" s="75"/>
      <c r="W4078" s="75"/>
      <c r="X4078" s="75"/>
    </row>
    <row r="4079">
      <c r="A4079" s="17"/>
      <c r="B4079" s="17"/>
      <c r="C4079" s="133"/>
      <c r="D4079" s="133"/>
      <c r="E4079" s="17"/>
      <c r="F4079" s="133"/>
      <c r="G4079" s="133"/>
      <c r="H4079" s="133"/>
      <c r="I4079" s="133"/>
      <c r="J4079" s="133"/>
      <c r="K4079" s="133"/>
      <c r="L4079" s="133"/>
      <c r="M4079" s="133"/>
      <c r="N4079" s="133"/>
      <c r="O4079" s="133"/>
      <c r="P4079" s="134"/>
      <c r="Q4079" s="146"/>
      <c r="R4079" s="17"/>
      <c r="S4079" s="17"/>
      <c r="T4079" s="75"/>
      <c r="U4079" s="75"/>
      <c r="V4079" s="75"/>
      <c r="W4079" s="75"/>
      <c r="X4079" s="75"/>
    </row>
    <row r="4080">
      <c r="A4080" s="17"/>
      <c r="B4080" s="17"/>
      <c r="C4080" s="133"/>
      <c r="D4080" s="133"/>
      <c r="E4080" s="17"/>
      <c r="F4080" s="133"/>
      <c r="G4080" s="133"/>
      <c r="H4080" s="133"/>
      <c r="I4080" s="133"/>
      <c r="J4080" s="133"/>
      <c r="K4080" s="133"/>
      <c r="L4080" s="133"/>
      <c r="M4080" s="133"/>
      <c r="N4080" s="133"/>
      <c r="O4080" s="133"/>
      <c r="P4080" s="134"/>
      <c r="Q4080" s="146"/>
      <c r="R4080" s="17"/>
      <c r="S4080" s="17"/>
      <c r="T4080" s="75"/>
      <c r="U4080" s="75"/>
      <c r="V4080" s="75"/>
      <c r="W4080" s="75"/>
      <c r="X4080" s="75"/>
    </row>
    <row r="4081">
      <c r="A4081" s="17"/>
      <c r="B4081" s="17"/>
      <c r="C4081" s="133"/>
      <c r="D4081" s="133"/>
      <c r="E4081" s="17"/>
      <c r="F4081" s="133"/>
      <c r="G4081" s="133"/>
      <c r="H4081" s="133"/>
      <c r="I4081" s="133"/>
      <c r="J4081" s="133"/>
      <c r="K4081" s="133"/>
      <c r="L4081" s="133"/>
      <c r="M4081" s="133"/>
      <c r="N4081" s="133"/>
      <c r="O4081" s="133"/>
      <c r="P4081" s="134"/>
      <c r="Q4081" s="146"/>
      <c r="R4081" s="17"/>
      <c r="S4081" s="17"/>
      <c r="T4081" s="75"/>
      <c r="U4081" s="75"/>
      <c r="V4081" s="75"/>
      <c r="W4081" s="75"/>
      <c r="X4081" s="75"/>
    </row>
    <row r="4082">
      <c r="A4082" s="17"/>
      <c r="B4082" s="17"/>
      <c r="C4082" s="133"/>
      <c r="D4082" s="133"/>
      <c r="E4082" s="17"/>
      <c r="F4082" s="133"/>
      <c r="G4082" s="133"/>
      <c r="H4082" s="133"/>
      <c r="I4082" s="133"/>
      <c r="J4082" s="133"/>
      <c r="K4082" s="133"/>
      <c r="L4082" s="133"/>
      <c r="M4082" s="133"/>
      <c r="N4082" s="133"/>
      <c r="O4082" s="133"/>
      <c r="P4082" s="134"/>
      <c r="Q4082" s="146"/>
      <c r="R4082" s="17"/>
      <c r="S4082" s="17"/>
      <c r="T4082" s="75"/>
      <c r="U4082" s="75"/>
      <c r="V4082" s="75"/>
      <c r="W4082" s="75"/>
      <c r="X4082" s="75"/>
    </row>
    <row r="4083">
      <c r="A4083" s="17"/>
      <c r="B4083" s="17"/>
      <c r="C4083" s="133"/>
      <c r="D4083" s="133"/>
      <c r="E4083" s="17"/>
      <c r="F4083" s="133"/>
      <c r="G4083" s="133"/>
      <c r="H4083" s="133"/>
      <c r="I4083" s="133"/>
      <c r="J4083" s="133"/>
      <c r="K4083" s="133"/>
      <c r="L4083" s="133"/>
      <c r="M4083" s="133"/>
      <c r="N4083" s="133"/>
      <c r="O4083" s="133"/>
      <c r="P4083" s="134"/>
      <c r="Q4083" s="146"/>
      <c r="R4083" s="17"/>
      <c r="S4083" s="17"/>
      <c r="T4083" s="75"/>
      <c r="U4083" s="75"/>
      <c r="V4083" s="75"/>
      <c r="W4083" s="75"/>
      <c r="X4083" s="75"/>
    </row>
    <row r="4084">
      <c r="A4084" s="17"/>
      <c r="B4084" s="17"/>
      <c r="C4084" s="133"/>
      <c r="D4084" s="133"/>
      <c r="E4084" s="17"/>
      <c r="F4084" s="133"/>
      <c r="G4084" s="133"/>
      <c r="H4084" s="133"/>
      <c r="I4084" s="133"/>
      <c r="J4084" s="133"/>
      <c r="K4084" s="133"/>
      <c r="L4084" s="133"/>
      <c r="M4084" s="133"/>
      <c r="N4084" s="133"/>
      <c r="O4084" s="133"/>
      <c r="P4084" s="134"/>
      <c r="Q4084" s="146"/>
      <c r="R4084" s="17"/>
      <c r="S4084" s="17"/>
      <c r="T4084" s="75"/>
      <c r="U4084" s="75"/>
      <c r="V4084" s="75"/>
      <c r="W4084" s="75"/>
      <c r="X4084" s="75"/>
    </row>
    <row r="4085">
      <c r="A4085" s="17"/>
      <c r="B4085" s="17"/>
      <c r="C4085" s="133"/>
      <c r="D4085" s="133"/>
      <c r="E4085" s="17"/>
      <c r="F4085" s="133"/>
      <c r="G4085" s="133"/>
      <c r="H4085" s="133"/>
      <c r="I4085" s="133"/>
      <c r="J4085" s="133"/>
      <c r="K4085" s="133"/>
      <c r="L4085" s="133"/>
      <c r="M4085" s="133"/>
      <c r="N4085" s="133"/>
      <c r="O4085" s="133"/>
      <c r="P4085" s="134"/>
      <c r="Q4085" s="146"/>
      <c r="R4085" s="17"/>
      <c r="S4085" s="17"/>
      <c r="T4085" s="75"/>
      <c r="U4085" s="75"/>
      <c r="V4085" s="75"/>
      <c r="W4085" s="75"/>
      <c r="X4085" s="75"/>
    </row>
    <row r="4086">
      <c r="A4086" s="17"/>
      <c r="B4086" s="17"/>
      <c r="C4086" s="133"/>
      <c r="D4086" s="133"/>
      <c r="E4086" s="17"/>
      <c r="F4086" s="133"/>
      <c r="G4086" s="133"/>
      <c r="H4086" s="133"/>
      <c r="I4086" s="133"/>
      <c r="J4086" s="133"/>
      <c r="K4086" s="133"/>
      <c r="L4086" s="133"/>
      <c r="M4086" s="133"/>
      <c r="N4086" s="133"/>
      <c r="O4086" s="133"/>
      <c r="P4086" s="134"/>
      <c r="Q4086" s="146"/>
      <c r="R4086" s="17"/>
      <c r="S4086" s="17"/>
      <c r="T4086" s="75"/>
      <c r="U4086" s="75"/>
      <c r="V4086" s="75"/>
      <c r="W4086" s="75"/>
      <c r="X4086" s="75"/>
    </row>
    <row r="4087">
      <c r="A4087" s="17"/>
      <c r="B4087" s="17"/>
      <c r="C4087" s="133"/>
      <c r="D4087" s="133"/>
      <c r="E4087" s="17"/>
      <c r="F4087" s="133"/>
      <c r="G4087" s="133"/>
      <c r="H4087" s="133"/>
      <c r="I4087" s="133"/>
      <c r="J4087" s="133"/>
      <c r="K4087" s="133"/>
      <c r="L4087" s="133"/>
      <c r="M4087" s="133"/>
      <c r="N4087" s="133"/>
      <c r="O4087" s="133"/>
      <c r="P4087" s="134"/>
      <c r="Q4087" s="146"/>
      <c r="R4087" s="17"/>
      <c r="S4087" s="17"/>
      <c r="T4087" s="75"/>
      <c r="U4087" s="75"/>
      <c r="V4087" s="75"/>
      <c r="W4087" s="75"/>
      <c r="X4087" s="75"/>
    </row>
    <row r="4088">
      <c r="A4088" s="17"/>
      <c r="B4088" s="17"/>
      <c r="C4088" s="133"/>
      <c r="D4088" s="133"/>
      <c r="E4088" s="17"/>
      <c r="F4088" s="133"/>
      <c r="G4088" s="133"/>
      <c r="H4088" s="133"/>
      <c r="I4088" s="133"/>
      <c r="J4088" s="133"/>
      <c r="K4088" s="133"/>
      <c r="L4088" s="133"/>
      <c r="M4088" s="133"/>
      <c r="N4088" s="133"/>
      <c r="O4088" s="133"/>
      <c r="P4088" s="134"/>
      <c r="Q4088" s="146"/>
      <c r="R4088" s="17"/>
      <c r="S4088" s="17"/>
      <c r="T4088" s="75"/>
      <c r="U4088" s="75"/>
      <c r="V4088" s="75"/>
      <c r="W4088" s="75"/>
      <c r="X4088" s="75"/>
    </row>
    <row r="4089">
      <c r="A4089" s="17"/>
      <c r="B4089" s="17"/>
      <c r="C4089" s="133"/>
      <c r="D4089" s="133"/>
      <c r="E4089" s="17"/>
      <c r="F4089" s="133"/>
      <c r="G4089" s="133"/>
      <c r="H4089" s="133"/>
      <c r="I4089" s="133"/>
      <c r="J4089" s="133"/>
      <c r="K4089" s="133"/>
      <c r="L4089" s="133"/>
      <c r="M4089" s="133"/>
      <c r="N4089" s="133"/>
      <c r="O4089" s="133"/>
      <c r="P4089" s="134"/>
      <c r="Q4089" s="146"/>
      <c r="R4089" s="17"/>
      <c r="S4089" s="17"/>
      <c r="T4089" s="75"/>
      <c r="U4089" s="75"/>
      <c r="V4089" s="75"/>
      <c r="W4089" s="75"/>
      <c r="X4089" s="75"/>
    </row>
    <row r="4090">
      <c r="A4090" s="17"/>
      <c r="B4090" s="17"/>
      <c r="C4090" s="133"/>
      <c r="D4090" s="133"/>
      <c r="E4090" s="17"/>
      <c r="F4090" s="133"/>
      <c r="G4090" s="133"/>
      <c r="H4090" s="133"/>
      <c r="I4090" s="133"/>
      <c r="J4090" s="133"/>
      <c r="K4090" s="133"/>
      <c r="L4090" s="133"/>
      <c r="M4090" s="133"/>
      <c r="N4090" s="133"/>
      <c r="O4090" s="133"/>
      <c r="P4090" s="134"/>
      <c r="Q4090" s="146"/>
      <c r="R4090" s="17"/>
      <c r="S4090" s="17"/>
      <c r="T4090" s="75"/>
      <c r="U4090" s="75"/>
      <c r="V4090" s="75"/>
      <c r="W4090" s="75"/>
      <c r="X4090" s="75"/>
    </row>
    <row r="4091">
      <c r="A4091" s="17"/>
      <c r="B4091" s="17"/>
      <c r="C4091" s="133"/>
      <c r="D4091" s="133"/>
      <c r="E4091" s="17"/>
      <c r="F4091" s="133"/>
      <c r="G4091" s="133"/>
      <c r="H4091" s="133"/>
      <c r="I4091" s="133"/>
      <c r="J4091" s="133"/>
      <c r="K4091" s="133"/>
      <c r="L4091" s="133"/>
      <c r="M4091" s="133"/>
      <c r="N4091" s="133"/>
      <c r="O4091" s="133"/>
      <c r="P4091" s="134"/>
      <c r="Q4091" s="146"/>
      <c r="R4091" s="17"/>
      <c r="S4091" s="17"/>
      <c r="T4091" s="75"/>
      <c r="U4091" s="75"/>
      <c r="V4091" s="75"/>
      <c r="W4091" s="75"/>
      <c r="X4091" s="75"/>
    </row>
    <row r="4092">
      <c r="A4092" s="17"/>
      <c r="B4092" s="17"/>
      <c r="C4092" s="133"/>
      <c r="D4092" s="133"/>
      <c r="E4092" s="17"/>
      <c r="F4092" s="133"/>
      <c r="G4092" s="133"/>
      <c r="H4092" s="133"/>
      <c r="I4092" s="133"/>
      <c r="J4092" s="133"/>
      <c r="K4092" s="133"/>
      <c r="L4092" s="133"/>
      <c r="M4092" s="133"/>
      <c r="N4092" s="133"/>
      <c r="O4092" s="133"/>
      <c r="P4092" s="134"/>
      <c r="Q4092" s="146"/>
      <c r="R4092" s="17"/>
      <c r="S4092" s="17"/>
      <c r="T4092" s="75"/>
      <c r="U4092" s="75"/>
      <c r="V4092" s="75"/>
      <c r="W4092" s="75"/>
      <c r="X4092" s="75"/>
    </row>
    <row r="4093">
      <c r="A4093" s="17"/>
      <c r="B4093" s="17"/>
      <c r="C4093" s="133"/>
      <c r="D4093" s="133"/>
      <c r="E4093" s="17"/>
      <c r="F4093" s="133"/>
      <c r="G4093" s="133"/>
      <c r="H4093" s="133"/>
      <c r="I4093" s="133"/>
      <c r="J4093" s="133"/>
      <c r="K4093" s="133"/>
      <c r="L4093" s="133"/>
      <c r="M4093" s="133"/>
      <c r="N4093" s="133"/>
      <c r="O4093" s="133"/>
      <c r="P4093" s="134"/>
      <c r="Q4093" s="146"/>
      <c r="R4093" s="17"/>
      <c r="S4093" s="17"/>
      <c r="T4093" s="75"/>
      <c r="U4093" s="75"/>
      <c r="V4093" s="75"/>
      <c r="W4093" s="75"/>
      <c r="X4093" s="75"/>
    </row>
    <row r="4094">
      <c r="A4094" s="17"/>
      <c r="B4094" s="17"/>
      <c r="C4094" s="133"/>
      <c r="D4094" s="133"/>
      <c r="E4094" s="17"/>
      <c r="F4094" s="133"/>
      <c r="G4094" s="133"/>
      <c r="H4094" s="133"/>
      <c r="I4094" s="133"/>
      <c r="J4094" s="133"/>
      <c r="K4094" s="133"/>
      <c r="L4094" s="133"/>
      <c r="M4094" s="133"/>
      <c r="N4094" s="133"/>
      <c r="O4094" s="133"/>
      <c r="P4094" s="134"/>
      <c r="Q4094" s="146"/>
      <c r="R4094" s="17"/>
      <c r="S4094" s="17"/>
      <c r="T4094" s="75"/>
      <c r="U4094" s="75"/>
      <c r="V4094" s="75"/>
      <c r="W4094" s="75"/>
      <c r="X4094" s="75"/>
    </row>
    <row r="4095">
      <c r="A4095" s="17"/>
      <c r="B4095" s="17"/>
      <c r="C4095" s="133"/>
      <c r="D4095" s="133"/>
      <c r="E4095" s="17"/>
      <c r="F4095" s="133"/>
      <c r="G4095" s="133"/>
      <c r="H4095" s="133"/>
      <c r="I4095" s="133"/>
      <c r="J4095" s="133"/>
      <c r="K4095" s="133"/>
      <c r="L4095" s="133"/>
      <c r="M4095" s="133"/>
      <c r="N4095" s="133"/>
      <c r="O4095" s="133"/>
      <c r="P4095" s="134"/>
      <c r="Q4095" s="146"/>
      <c r="R4095" s="17"/>
      <c r="S4095" s="17"/>
      <c r="T4095" s="75"/>
      <c r="U4095" s="75"/>
      <c r="V4095" s="75"/>
      <c r="W4095" s="75"/>
      <c r="X4095" s="75"/>
    </row>
    <row r="4096">
      <c r="A4096" s="17"/>
      <c r="B4096" s="17"/>
      <c r="C4096" s="133"/>
      <c r="D4096" s="133"/>
      <c r="E4096" s="17"/>
      <c r="F4096" s="133"/>
      <c r="G4096" s="133"/>
      <c r="H4096" s="133"/>
      <c r="I4096" s="133"/>
      <c r="J4096" s="133"/>
      <c r="K4096" s="133"/>
      <c r="L4096" s="133"/>
      <c r="M4096" s="133"/>
      <c r="N4096" s="133"/>
      <c r="O4096" s="133"/>
      <c r="P4096" s="134"/>
      <c r="Q4096" s="146"/>
      <c r="R4096" s="17"/>
      <c r="S4096" s="17"/>
      <c r="T4096" s="75"/>
      <c r="U4096" s="75"/>
      <c r="V4096" s="75"/>
      <c r="W4096" s="75"/>
      <c r="X4096" s="75"/>
    </row>
    <row r="4097">
      <c r="A4097" s="17"/>
      <c r="B4097" s="17"/>
      <c r="C4097" s="133"/>
      <c r="D4097" s="133"/>
      <c r="E4097" s="17"/>
      <c r="F4097" s="133"/>
      <c r="G4097" s="133"/>
      <c r="H4097" s="133"/>
      <c r="I4097" s="133"/>
      <c r="J4097" s="133"/>
      <c r="K4097" s="133"/>
      <c r="L4097" s="133"/>
      <c r="M4097" s="133"/>
      <c r="N4097" s="133"/>
      <c r="O4097" s="133"/>
      <c r="P4097" s="134"/>
      <c r="Q4097" s="146"/>
      <c r="R4097" s="17"/>
      <c r="S4097" s="17"/>
      <c r="T4097" s="75"/>
      <c r="U4097" s="75"/>
      <c r="V4097" s="75"/>
      <c r="W4097" s="75"/>
      <c r="X4097" s="75"/>
    </row>
    <row r="4098">
      <c r="A4098" s="17"/>
      <c r="B4098" s="17"/>
      <c r="C4098" s="133"/>
      <c r="D4098" s="133"/>
      <c r="E4098" s="17"/>
      <c r="F4098" s="133"/>
      <c r="G4098" s="133"/>
      <c r="H4098" s="133"/>
      <c r="I4098" s="133"/>
      <c r="J4098" s="133"/>
      <c r="K4098" s="133"/>
      <c r="L4098" s="133"/>
      <c r="M4098" s="133"/>
      <c r="N4098" s="133"/>
      <c r="O4098" s="133"/>
      <c r="P4098" s="134"/>
      <c r="Q4098" s="146"/>
      <c r="R4098" s="17"/>
      <c r="S4098" s="17"/>
      <c r="T4098" s="75"/>
      <c r="U4098" s="75"/>
      <c r="V4098" s="75"/>
      <c r="W4098" s="75"/>
      <c r="X4098" s="75"/>
    </row>
    <row r="4099">
      <c r="A4099" s="17"/>
      <c r="B4099" s="17"/>
      <c r="C4099" s="133"/>
      <c r="D4099" s="133"/>
      <c r="E4099" s="17"/>
      <c r="F4099" s="133"/>
      <c r="G4099" s="133"/>
      <c r="H4099" s="133"/>
      <c r="I4099" s="133"/>
      <c r="J4099" s="133"/>
      <c r="K4099" s="133"/>
      <c r="L4099" s="133"/>
      <c r="M4099" s="133"/>
      <c r="N4099" s="133"/>
      <c r="O4099" s="133"/>
      <c r="P4099" s="134"/>
      <c r="Q4099" s="146"/>
      <c r="R4099" s="17"/>
      <c r="S4099" s="17"/>
      <c r="T4099" s="75"/>
      <c r="U4099" s="75"/>
      <c r="V4099" s="75"/>
      <c r="W4099" s="75"/>
      <c r="X4099" s="75"/>
    </row>
    <row r="4100">
      <c r="A4100" s="17"/>
      <c r="B4100" s="17"/>
      <c r="C4100" s="133"/>
      <c r="D4100" s="133"/>
      <c r="E4100" s="17"/>
      <c r="F4100" s="133"/>
      <c r="G4100" s="133"/>
      <c r="H4100" s="133"/>
      <c r="I4100" s="133"/>
      <c r="J4100" s="133"/>
      <c r="K4100" s="133"/>
      <c r="L4100" s="133"/>
      <c r="M4100" s="133"/>
      <c r="N4100" s="133"/>
      <c r="O4100" s="133"/>
      <c r="P4100" s="134"/>
      <c r="Q4100" s="146"/>
      <c r="R4100" s="17"/>
      <c r="S4100" s="17"/>
      <c r="T4100" s="75"/>
      <c r="U4100" s="75"/>
      <c r="V4100" s="75"/>
      <c r="W4100" s="75"/>
      <c r="X4100" s="75"/>
    </row>
    <row r="4101">
      <c r="A4101" s="17"/>
      <c r="B4101" s="17"/>
      <c r="C4101" s="133"/>
      <c r="D4101" s="133"/>
      <c r="E4101" s="17"/>
      <c r="F4101" s="133"/>
      <c r="G4101" s="133"/>
      <c r="H4101" s="133"/>
      <c r="I4101" s="133"/>
      <c r="J4101" s="133"/>
      <c r="K4101" s="133"/>
      <c r="L4101" s="133"/>
      <c r="M4101" s="133"/>
      <c r="N4101" s="133"/>
      <c r="O4101" s="133"/>
      <c r="P4101" s="134"/>
      <c r="Q4101" s="146"/>
      <c r="R4101" s="17"/>
      <c r="S4101" s="17"/>
      <c r="T4101" s="75"/>
      <c r="U4101" s="75"/>
      <c r="V4101" s="75"/>
      <c r="W4101" s="75"/>
      <c r="X4101" s="75"/>
    </row>
    <row r="4102">
      <c r="A4102" s="17"/>
      <c r="B4102" s="17"/>
      <c r="C4102" s="133"/>
      <c r="D4102" s="133"/>
      <c r="E4102" s="17"/>
      <c r="F4102" s="133"/>
      <c r="G4102" s="133"/>
      <c r="H4102" s="133"/>
      <c r="I4102" s="133"/>
      <c r="J4102" s="133"/>
      <c r="K4102" s="133"/>
      <c r="L4102" s="133"/>
      <c r="M4102" s="133"/>
      <c r="N4102" s="133"/>
      <c r="O4102" s="133"/>
      <c r="P4102" s="134"/>
      <c r="Q4102" s="146"/>
      <c r="R4102" s="17"/>
      <c r="S4102" s="17"/>
      <c r="T4102" s="75"/>
      <c r="U4102" s="75"/>
      <c r="V4102" s="75"/>
      <c r="W4102" s="75"/>
      <c r="X4102" s="75"/>
    </row>
    <row r="4103">
      <c r="A4103" s="17"/>
      <c r="B4103" s="17"/>
      <c r="C4103" s="133"/>
      <c r="D4103" s="133"/>
      <c r="E4103" s="17"/>
      <c r="F4103" s="133"/>
      <c r="G4103" s="133"/>
      <c r="H4103" s="133"/>
      <c r="I4103" s="133"/>
      <c r="J4103" s="133"/>
      <c r="K4103" s="133"/>
      <c r="L4103" s="133"/>
      <c r="M4103" s="133"/>
      <c r="N4103" s="133"/>
      <c r="O4103" s="133"/>
      <c r="P4103" s="134"/>
      <c r="Q4103" s="146"/>
      <c r="R4103" s="17"/>
      <c r="S4103" s="17"/>
      <c r="T4103" s="75"/>
      <c r="U4103" s="75"/>
      <c r="V4103" s="75"/>
      <c r="W4103" s="75"/>
      <c r="X4103" s="75"/>
    </row>
    <row r="4104">
      <c r="A4104" s="17"/>
      <c r="B4104" s="17"/>
      <c r="C4104" s="133"/>
      <c r="D4104" s="133"/>
      <c r="E4104" s="17"/>
      <c r="F4104" s="133"/>
      <c r="G4104" s="133"/>
      <c r="H4104" s="133"/>
      <c r="I4104" s="133"/>
      <c r="J4104" s="133"/>
      <c r="K4104" s="133"/>
      <c r="L4104" s="133"/>
      <c r="M4104" s="133"/>
      <c r="N4104" s="133"/>
      <c r="O4104" s="133"/>
      <c r="P4104" s="134"/>
      <c r="Q4104" s="146"/>
      <c r="R4104" s="17"/>
      <c r="S4104" s="17"/>
      <c r="T4104" s="75"/>
      <c r="U4104" s="75"/>
      <c r="V4104" s="75"/>
      <c r="W4104" s="75"/>
      <c r="X4104" s="75"/>
    </row>
    <row r="4105">
      <c r="A4105" s="17"/>
      <c r="B4105" s="17"/>
      <c r="C4105" s="133"/>
      <c r="D4105" s="133"/>
      <c r="E4105" s="17"/>
      <c r="F4105" s="133"/>
      <c r="G4105" s="133"/>
      <c r="H4105" s="133"/>
      <c r="I4105" s="133"/>
      <c r="J4105" s="133"/>
      <c r="K4105" s="133"/>
      <c r="L4105" s="133"/>
      <c r="M4105" s="133"/>
      <c r="N4105" s="133"/>
      <c r="O4105" s="133"/>
      <c r="P4105" s="134"/>
      <c r="Q4105" s="146"/>
      <c r="R4105" s="17"/>
      <c r="S4105" s="17"/>
      <c r="T4105" s="75"/>
      <c r="U4105" s="75"/>
      <c r="V4105" s="75"/>
      <c r="W4105" s="75"/>
      <c r="X4105" s="75"/>
    </row>
    <row r="4106">
      <c r="A4106" s="17"/>
      <c r="B4106" s="17"/>
      <c r="C4106" s="133"/>
      <c r="D4106" s="133"/>
      <c r="E4106" s="17"/>
      <c r="F4106" s="133"/>
      <c r="G4106" s="133"/>
      <c r="H4106" s="133"/>
      <c r="I4106" s="133"/>
      <c r="J4106" s="133"/>
      <c r="K4106" s="133"/>
      <c r="L4106" s="133"/>
      <c r="M4106" s="133"/>
      <c r="N4106" s="133"/>
      <c r="O4106" s="133"/>
      <c r="P4106" s="134"/>
      <c r="Q4106" s="146"/>
      <c r="R4106" s="17"/>
      <c r="S4106" s="17"/>
      <c r="T4106" s="75"/>
      <c r="U4106" s="75"/>
      <c r="V4106" s="75"/>
      <c r="W4106" s="75"/>
      <c r="X4106" s="75"/>
    </row>
    <row r="4107">
      <c r="A4107" s="17"/>
      <c r="B4107" s="17"/>
      <c r="C4107" s="133"/>
      <c r="D4107" s="133"/>
      <c r="E4107" s="17"/>
      <c r="F4107" s="133"/>
      <c r="G4107" s="133"/>
      <c r="H4107" s="133"/>
      <c r="I4107" s="133"/>
      <c r="J4107" s="133"/>
      <c r="K4107" s="133"/>
      <c r="L4107" s="133"/>
      <c r="M4107" s="133"/>
      <c r="N4107" s="133"/>
      <c r="O4107" s="133"/>
      <c r="P4107" s="134"/>
      <c r="Q4107" s="146"/>
      <c r="R4107" s="17"/>
      <c r="S4107" s="17"/>
      <c r="T4107" s="75"/>
      <c r="U4107" s="75"/>
      <c r="V4107" s="75"/>
      <c r="W4107" s="75"/>
      <c r="X4107" s="75"/>
    </row>
    <row r="4108">
      <c r="A4108" s="17"/>
      <c r="B4108" s="17"/>
      <c r="C4108" s="133"/>
      <c r="D4108" s="133"/>
      <c r="E4108" s="17"/>
      <c r="F4108" s="133"/>
      <c r="G4108" s="133"/>
      <c r="H4108" s="133"/>
      <c r="I4108" s="133"/>
      <c r="J4108" s="133"/>
      <c r="K4108" s="133"/>
      <c r="L4108" s="133"/>
      <c r="M4108" s="133"/>
      <c r="N4108" s="133"/>
      <c r="O4108" s="133"/>
      <c r="P4108" s="134"/>
      <c r="Q4108" s="146"/>
      <c r="R4108" s="17"/>
      <c r="S4108" s="17"/>
      <c r="T4108" s="75"/>
      <c r="U4108" s="75"/>
      <c r="V4108" s="75"/>
      <c r="W4108" s="75"/>
      <c r="X4108" s="75"/>
    </row>
    <row r="4109">
      <c r="A4109" s="17"/>
      <c r="B4109" s="17"/>
      <c r="C4109" s="133"/>
      <c r="D4109" s="133"/>
      <c r="E4109" s="17"/>
      <c r="F4109" s="133"/>
      <c r="G4109" s="133"/>
      <c r="H4109" s="133"/>
      <c r="I4109" s="133"/>
      <c r="J4109" s="133"/>
      <c r="K4109" s="133"/>
      <c r="L4109" s="133"/>
      <c r="M4109" s="133"/>
      <c r="N4109" s="133"/>
      <c r="O4109" s="133"/>
      <c r="P4109" s="134"/>
      <c r="Q4109" s="146"/>
      <c r="R4109" s="17"/>
      <c r="S4109" s="17"/>
      <c r="T4109" s="75"/>
      <c r="U4109" s="75"/>
      <c r="V4109" s="75"/>
      <c r="W4109" s="75"/>
      <c r="X4109" s="75"/>
    </row>
    <row r="4110">
      <c r="A4110" s="17"/>
      <c r="B4110" s="17"/>
      <c r="C4110" s="133"/>
      <c r="D4110" s="133"/>
      <c r="E4110" s="17"/>
      <c r="F4110" s="133"/>
      <c r="G4110" s="133"/>
      <c r="H4110" s="133"/>
      <c r="I4110" s="133"/>
      <c r="J4110" s="133"/>
      <c r="K4110" s="133"/>
      <c r="L4110" s="133"/>
      <c r="M4110" s="133"/>
      <c r="N4110" s="133"/>
      <c r="O4110" s="133"/>
      <c r="P4110" s="134"/>
      <c r="Q4110" s="146"/>
      <c r="R4110" s="17"/>
      <c r="S4110" s="17"/>
      <c r="T4110" s="75"/>
      <c r="U4110" s="75"/>
      <c r="V4110" s="75"/>
      <c r="W4110" s="75"/>
      <c r="X4110" s="75"/>
    </row>
    <row r="4111">
      <c r="A4111" s="17"/>
      <c r="B4111" s="17"/>
      <c r="C4111" s="133"/>
      <c r="D4111" s="133"/>
      <c r="E4111" s="17"/>
      <c r="F4111" s="133"/>
      <c r="G4111" s="133"/>
      <c r="H4111" s="133"/>
      <c r="I4111" s="133"/>
      <c r="J4111" s="133"/>
      <c r="K4111" s="133"/>
      <c r="L4111" s="133"/>
      <c r="M4111" s="133"/>
      <c r="N4111" s="133"/>
      <c r="O4111" s="133"/>
      <c r="P4111" s="134"/>
      <c r="Q4111" s="146"/>
      <c r="R4111" s="17"/>
      <c r="S4111" s="17"/>
      <c r="T4111" s="75"/>
      <c r="U4111" s="75"/>
      <c r="V4111" s="75"/>
      <c r="W4111" s="75"/>
      <c r="X4111" s="75"/>
    </row>
    <row r="4112">
      <c r="A4112" s="17"/>
      <c r="B4112" s="17"/>
      <c r="C4112" s="133"/>
      <c r="D4112" s="133"/>
      <c r="E4112" s="17"/>
      <c r="F4112" s="133"/>
      <c r="G4112" s="133"/>
      <c r="H4112" s="133"/>
      <c r="I4112" s="133"/>
      <c r="J4112" s="133"/>
      <c r="K4112" s="133"/>
      <c r="L4112" s="133"/>
      <c r="M4112" s="133"/>
      <c r="N4112" s="133"/>
      <c r="O4112" s="133"/>
      <c r="P4112" s="134"/>
      <c r="Q4112" s="146"/>
      <c r="R4112" s="17"/>
      <c r="S4112" s="17"/>
      <c r="T4112" s="75"/>
      <c r="U4112" s="75"/>
      <c r="V4112" s="75"/>
      <c r="W4112" s="75"/>
      <c r="X4112" s="75"/>
    </row>
    <row r="4113">
      <c r="A4113" s="17"/>
      <c r="B4113" s="17"/>
      <c r="C4113" s="133"/>
      <c r="D4113" s="133"/>
      <c r="E4113" s="17"/>
      <c r="F4113" s="133"/>
      <c r="G4113" s="133"/>
      <c r="H4113" s="133"/>
      <c r="I4113" s="133"/>
      <c r="J4113" s="133"/>
      <c r="K4113" s="133"/>
      <c r="L4113" s="133"/>
      <c r="M4113" s="133"/>
      <c r="N4113" s="133"/>
      <c r="O4113" s="133"/>
      <c r="P4113" s="134"/>
      <c r="Q4113" s="146"/>
      <c r="R4113" s="17"/>
      <c r="S4113" s="17"/>
      <c r="T4113" s="75"/>
      <c r="U4113" s="75"/>
      <c r="V4113" s="75"/>
      <c r="W4113" s="75"/>
      <c r="X4113" s="75"/>
    </row>
    <row r="4114">
      <c r="A4114" s="17"/>
      <c r="B4114" s="17"/>
      <c r="C4114" s="133"/>
      <c r="D4114" s="133"/>
      <c r="E4114" s="17"/>
      <c r="F4114" s="133"/>
      <c r="G4114" s="133"/>
      <c r="H4114" s="133"/>
      <c r="I4114" s="133"/>
      <c r="J4114" s="133"/>
      <c r="K4114" s="133"/>
      <c r="L4114" s="133"/>
      <c r="M4114" s="133"/>
      <c r="N4114" s="133"/>
      <c r="O4114" s="133"/>
      <c r="P4114" s="134"/>
      <c r="Q4114" s="146"/>
      <c r="R4114" s="17"/>
      <c r="S4114" s="17"/>
      <c r="T4114" s="75"/>
      <c r="U4114" s="75"/>
      <c r="V4114" s="75"/>
      <c r="W4114" s="75"/>
      <c r="X4114" s="75"/>
    </row>
    <row r="4115">
      <c r="A4115" s="17"/>
      <c r="B4115" s="17"/>
      <c r="C4115" s="133"/>
      <c r="D4115" s="133"/>
      <c r="E4115" s="17"/>
      <c r="F4115" s="133"/>
      <c r="G4115" s="133"/>
      <c r="H4115" s="133"/>
      <c r="I4115" s="133"/>
      <c r="J4115" s="133"/>
      <c r="K4115" s="133"/>
      <c r="L4115" s="133"/>
      <c r="M4115" s="133"/>
      <c r="N4115" s="133"/>
      <c r="O4115" s="133"/>
      <c r="P4115" s="134"/>
      <c r="Q4115" s="146"/>
      <c r="R4115" s="17"/>
      <c r="S4115" s="17"/>
      <c r="T4115" s="75"/>
      <c r="U4115" s="75"/>
      <c r="V4115" s="75"/>
      <c r="W4115" s="75"/>
      <c r="X4115" s="75"/>
    </row>
    <row r="4116">
      <c r="A4116" s="17"/>
      <c r="B4116" s="17"/>
      <c r="C4116" s="133"/>
      <c r="D4116" s="133"/>
      <c r="E4116" s="17"/>
      <c r="F4116" s="133"/>
      <c r="G4116" s="133"/>
      <c r="H4116" s="133"/>
      <c r="I4116" s="133"/>
      <c r="J4116" s="133"/>
      <c r="K4116" s="133"/>
      <c r="L4116" s="133"/>
      <c r="M4116" s="133"/>
      <c r="N4116" s="133"/>
      <c r="O4116" s="133"/>
      <c r="P4116" s="134"/>
      <c r="Q4116" s="146"/>
      <c r="R4116" s="17"/>
      <c r="S4116" s="17"/>
      <c r="T4116" s="75"/>
      <c r="U4116" s="75"/>
      <c r="V4116" s="75"/>
      <c r="W4116" s="75"/>
      <c r="X4116" s="75"/>
    </row>
    <row r="4117">
      <c r="A4117" s="17"/>
      <c r="B4117" s="17"/>
      <c r="C4117" s="133"/>
      <c r="D4117" s="133"/>
      <c r="E4117" s="17"/>
      <c r="F4117" s="133"/>
      <c r="G4117" s="133"/>
      <c r="H4117" s="133"/>
      <c r="I4117" s="133"/>
      <c r="J4117" s="133"/>
      <c r="K4117" s="133"/>
      <c r="L4117" s="133"/>
      <c r="M4117" s="133"/>
      <c r="N4117" s="133"/>
      <c r="O4117" s="133"/>
      <c r="P4117" s="134"/>
      <c r="Q4117" s="146"/>
      <c r="R4117" s="17"/>
      <c r="S4117" s="17"/>
      <c r="T4117" s="75"/>
      <c r="U4117" s="75"/>
      <c r="V4117" s="75"/>
      <c r="W4117" s="75"/>
      <c r="X4117" s="75"/>
    </row>
    <row r="4118">
      <c r="A4118" s="17"/>
      <c r="B4118" s="17"/>
      <c r="C4118" s="133"/>
      <c r="D4118" s="133"/>
      <c r="E4118" s="17"/>
      <c r="F4118" s="133"/>
      <c r="G4118" s="133"/>
      <c r="H4118" s="133"/>
      <c r="I4118" s="133"/>
      <c r="J4118" s="133"/>
      <c r="K4118" s="133"/>
      <c r="L4118" s="133"/>
      <c r="M4118" s="133"/>
      <c r="N4118" s="133"/>
      <c r="O4118" s="133"/>
      <c r="P4118" s="134"/>
      <c r="Q4118" s="146"/>
      <c r="R4118" s="17"/>
      <c r="S4118" s="17"/>
      <c r="T4118" s="75"/>
      <c r="U4118" s="75"/>
      <c r="V4118" s="75"/>
      <c r="W4118" s="75"/>
      <c r="X4118" s="75"/>
    </row>
    <row r="4119">
      <c r="A4119" s="17"/>
      <c r="B4119" s="17"/>
      <c r="C4119" s="133"/>
      <c r="D4119" s="133"/>
      <c r="E4119" s="17"/>
      <c r="F4119" s="133"/>
      <c r="G4119" s="133"/>
      <c r="H4119" s="133"/>
      <c r="I4119" s="133"/>
      <c r="J4119" s="133"/>
      <c r="K4119" s="133"/>
      <c r="L4119" s="133"/>
      <c r="M4119" s="133"/>
      <c r="N4119" s="133"/>
      <c r="O4119" s="133"/>
      <c r="P4119" s="134"/>
      <c r="Q4119" s="146"/>
      <c r="R4119" s="17"/>
      <c r="S4119" s="17"/>
      <c r="T4119" s="75"/>
      <c r="U4119" s="75"/>
      <c r="V4119" s="75"/>
      <c r="W4119" s="75"/>
      <c r="X4119" s="75"/>
    </row>
    <row r="4120">
      <c r="A4120" s="17"/>
      <c r="B4120" s="17"/>
      <c r="C4120" s="133"/>
      <c r="D4120" s="133"/>
      <c r="E4120" s="17"/>
      <c r="F4120" s="133"/>
      <c r="G4120" s="133"/>
      <c r="H4120" s="133"/>
      <c r="I4120" s="133"/>
      <c r="J4120" s="133"/>
      <c r="K4120" s="133"/>
      <c r="L4120" s="133"/>
      <c r="M4120" s="133"/>
      <c r="N4120" s="133"/>
      <c r="O4120" s="133"/>
      <c r="P4120" s="134"/>
      <c r="Q4120" s="146"/>
      <c r="R4120" s="17"/>
      <c r="S4120" s="17"/>
      <c r="T4120" s="75"/>
      <c r="U4120" s="75"/>
      <c r="V4120" s="75"/>
      <c r="W4120" s="75"/>
      <c r="X4120" s="75"/>
    </row>
    <row r="4121">
      <c r="A4121" s="17"/>
      <c r="B4121" s="17"/>
      <c r="C4121" s="133"/>
      <c r="D4121" s="133"/>
      <c r="E4121" s="17"/>
      <c r="F4121" s="133"/>
      <c r="G4121" s="133"/>
      <c r="H4121" s="133"/>
      <c r="I4121" s="133"/>
      <c r="J4121" s="133"/>
      <c r="K4121" s="133"/>
      <c r="L4121" s="133"/>
      <c r="M4121" s="133"/>
      <c r="N4121" s="133"/>
      <c r="O4121" s="133"/>
      <c r="P4121" s="134"/>
      <c r="Q4121" s="146"/>
      <c r="R4121" s="17"/>
      <c r="S4121" s="17"/>
      <c r="T4121" s="75"/>
      <c r="U4121" s="75"/>
      <c r="V4121" s="75"/>
      <c r="W4121" s="75"/>
      <c r="X4121" s="75"/>
    </row>
    <row r="4122">
      <c r="A4122" s="17"/>
      <c r="B4122" s="17"/>
      <c r="C4122" s="133"/>
      <c r="D4122" s="133"/>
      <c r="E4122" s="17"/>
      <c r="F4122" s="133"/>
      <c r="G4122" s="133"/>
      <c r="H4122" s="133"/>
      <c r="I4122" s="133"/>
      <c r="J4122" s="133"/>
      <c r="K4122" s="133"/>
      <c r="L4122" s="133"/>
      <c r="M4122" s="133"/>
      <c r="N4122" s="133"/>
      <c r="O4122" s="133"/>
      <c r="P4122" s="134"/>
      <c r="Q4122" s="146"/>
      <c r="R4122" s="17"/>
      <c r="S4122" s="17"/>
      <c r="T4122" s="75"/>
      <c r="U4122" s="75"/>
      <c r="V4122" s="75"/>
      <c r="W4122" s="75"/>
      <c r="X4122" s="75"/>
    </row>
    <row r="4123">
      <c r="A4123" s="17"/>
      <c r="B4123" s="17"/>
      <c r="C4123" s="133"/>
      <c r="D4123" s="133"/>
      <c r="E4123" s="17"/>
      <c r="F4123" s="133"/>
      <c r="G4123" s="133"/>
      <c r="H4123" s="133"/>
      <c r="I4123" s="133"/>
      <c r="J4123" s="133"/>
      <c r="K4123" s="133"/>
      <c r="L4123" s="133"/>
      <c r="M4123" s="133"/>
      <c r="N4123" s="133"/>
      <c r="O4123" s="133"/>
      <c r="P4123" s="134"/>
      <c r="Q4123" s="146"/>
      <c r="R4123" s="17"/>
      <c r="S4123" s="17"/>
      <c r="T4123" s="75"/>
      <c r="U4123" s="75"/>
      <c r="V4123" s="75"/>
      <c r="W4123" s="75"/>
      <c r="X4123" s="75"/>
    </row>
    <row r="4124">
      <c r="A4124" s="17"/>
      <c r="B4124" s="17"/>
      <c r="C4124" s="133"/>
      <c r="D4124" s="133"/>
      <c r="E4124" s="17"/>
      <c r="F4124" s="133"/>
      <c r="G4124" s="133"/>
      <c r="H4124" s="133"/>
      <c r="I4124" s="133"/>
      <c r="J4124" s="133"/>
      <c r="K4124" s="133"/>
      <c r="L4124" s="133"/>
      <c r="M4124" s="133"/>
      <c r="N4124" s="133"/>
      <c r="O4124" s="133"/>
      <c r="P4124" s="134"/>
      <c r="Q4124" s="146"/>
      <c r="R4124" s="17"/>
      <c r="S4124" s="17"/>
      <c r="T4124" s="75"/>
      <c r="U4124" s="75"/>
      <c r="V4124" s="75"/>
      <c r="W4124" s="75"/>
      <c r="X4124" s="75"/>
    </row>
    <row r="4125">
      <c r="A4125" s="17"/>
      <c r="B4125" s="17"/>
      <c r="C4125" s="133"/>
      <c r="D4125" s="133"/>
      <c r="E4125" s="17"/>
      <c r="F4125" s="133"/>
      <c r="G4125" s="133"/>
      <c r="H4125" s="133"/>
      <c r="I4125" s="133"/>
      <c r="J4125" s="133"/>
      <c r="K4125" s="133"/>
      <c r="L4125" s="133"/>
      <c r="M4125" s="133"/>
      <c r="N4125" s="133"/>
      <c r="O4125" s="133"/>
      <c r="P4125" s="134"/>
      <c r="Q4125" s="146"/>
      <c r="R4125" s="17"/>
      <c r="S4125" s="17"/>
      <c r="T4125" s="75"/>
      <c r="U4125" s="75"/>
      <c r="V4125" s="75"/>
      <c r="W4125" s="75"/>
      <c r="X4125" s="75"/>
    </row>
    <row r="4126">
      <c r="A4126" s="17"/>
      <c r="B4126" s="17"/>
      <c r="C4126" s="133"/>
      <c r="D4126" s="133"/>
      <c r="E4126" s="17"/>
      <c r="F4126" s="133"/>
      <c r="G4126" s="133"/>
      <c r="H4126" s="133"/>
      <c r="I4126" s="133"/>
      <c r="J4126" s="133"/>
      <c r="K4126" s="133"/>
      <c r="L4126" s="133"/>
      <c r="M4126" s="133"/>
      <c r="N4126" s="133"/>
      <c r="O4126" s="133"/>
      <c r="P4126" s="134"/>
      <c r="Q4126" s="146"/>
      <c r="R4126" s="17"/>
      <c r="S4126" s="17"/>
      <c r="T4126" s="75"/>
      <c r="U4126" s="75"/>
      <c r="V4126" s="75"/>
      <c r="W4126" s="75"/>
      <c r="X4126" s="75"/>
    </row>
    <row r="4127">
      <c r="A4127" s="17"/>
      <c r="B4127" s="17"/>
      <c r="C4127" s="133"/>
      <c r="D4127" s="133"/>
      <c r="E4127" s="17"/>
      <c r="F4127" s="133"/>
      <c r="G4127" s="133"/>
      <c r="H4127" s="133"/>
      <c r="I4127" s="133"/>
      <c r="J4127" s="133"/>
      <c r="K4127" s="133"/>
      <c r="L4127" s="133"/>
      <c r="M4127" s="133"/>
      <c r="N4127" s="133"/>
      <c r="O4127" s="133"/>
      <c r="P4127" s="134"/>
      <c r="Q4127" s="146"/>
      <c r="R4127" s="17"/>
      <c r="S4127" s="17"/>
      <c r="T4127" s="75"/>
      <c r="U4127" s="75"/>
      <c r="V4127" s="75"/>
      <c r="W4127" s="75"/>
      <c r="X4127" s="75"/>
    </row>
    <row r="4128">
      <c r="A4128" s="17"/>
      <c r="B4128" s="17"/>
      <c r="C4128" s="133"/>
      <c r="D4128" s="133"/>
      <c r="E4128" s="17"/>
      <c r="F4128" s="133"/>
      <c r="G4128" s="133"/>
      <c r="H4128" s="133"/>
      <c r="I4128" s="133"/>
      <c r="J4128" s="133"/>
      <c r="K4128" s="133"/>
      <c r="L4128" s="133"/>
      <c r="M4128" s="133"/>
      <c r="N4128" s="133"/>
      <c r="O4128" s="133"/>
      <c r="P4128" s="134"/>
      <c r="Q4128" s="146"/>
      <c r="R4128" s="17"/>
      <c r="S4128" s="17"/>
      <c r="T4128" s="75"/>
      <c r="U4128" s="75"/>
      <c r="V4128" s="75"/>
      <c r="W4128" s="75"/>
      <c r="X4128" s="75"/>
    </row>
    <row r="4129">
      <c r="A4129" s="17"/>
      <c r="B4129" s="17"/>
      <c r="C4129" s="133"/>
      <c r="D4129" s="133"/>
      <c r="E4129" s="17"/>
      <c r="F4129" s="133"/>
      <c r="G4129" s="133"/>
      <c r="H4129" s="133"/>
      <c r="I4129" s="133"/>
      <c r="J4129" s="133"/>
      <c r="K4129" s="133"/>
      <c r="L4129" s="133"/>
      <c r="M4129" s="133"/>
      <c r="N4129" s="133"/>
      <c r="O4129" s="133"/>
      <c r="P4129" s="134"/>
      <c r="Q4129" s="146"/>
      <c r="R4129" s="17"/>
      <c r="S4129" s="17"/>
      <c r="T4129" s="75"/>
      <c r="U4129" s="75"/>
      <c r="V4129" s="75"/>
      <c r="W4129" s="75"/>
      <c r="X4129" s="75"/>
    </row>
    <row r="4130">
      <c r="A4130" s="17"/>
      <c r="B4130" s="17"/>
      <c r="C4130" s="133"/>
      <c r="D4130" s="133"/>
      <c r="E4130" s="17"/>
      <c r="F4130" s="133"/>
      <c r="G4130" s="133"/>
      <c r="H4130" s="133"/>
      <c r="I4130" s="133"/>
      <c r="J4130" s="133"/>
      <c r="K4130" s="133"/>
      <c r="L4130" s="133"/>
      <c r="M4130" s="133"/>
      <c r="N4130" s="133"/>
      <c r="O4130" s="133"/>
      <c r="P4130" s="134"/>
      <c r="Q4130" s="146"/>
      <c r="R4130" s="17"/>
      <c r="S4130" s="17"/>
      <c r="T4130" s="75"/>
      <c r="U4130" s="75"/>
      <c r="V4130" s="75"/>
      <c r="W4130" s="75"/>
      <c r="X4130" s="75"/>
    </row>
    <row r="4131">
      <c r="A4131" s="17"/>
      <c r="B4131" s="17"/>
      <c r="C4131" s="133"/>
      <c r="D4131" s="133"/>
      <c r="E4131" s="17"/>
      <c r="F4131" s="133"/>
      <c r="G4131" s="133"/>
      <c r="H4131" s="133"/>
      <c r="I4131" s="133"/>
      <c r="J4131" s="133"/>
      <c r="K4131" s="133"/>
      <c r="L4131" s="133"/>
      <c r="M4131" s="133"/>
      <c r="N4131" s="133"/>
      <c r="O4131" s="133"/>
      <c r="P4131" s="134"/>
      <c r="Q4131" s="146"/>
      <c r="R4131" s="17"/>
      <c r="S4131" s="17"/>
      <c r="T4131" s="75"/>
      <c r="U4131" s="75"/>
      <c r="V4131" s="75"/>
      <c r="W4131" s="75"/>
      <c r="X4131" s="75"/>
    </row>
    <row r="4132">
      <c r="A4132" s="17"/>
      <c r="B4132" s="17"/>
      <c r="C4132" s="133"/>
      <c r="D4132" s="133"/>
      <c r="E4132" s="17"/>
      <c r="F4132" s="133"/>
      <c r="G4132" s="133"/>
      <c r="H4132" s="133"/>
      <c r="I4132" s="133"/>
      <c r="J4132" s="133"/>
      <c r="K4132" s="133"/>
      <c r="L4132" s="133"/>
      <c r="M4132" s="133"/>
      <c r="N4132" s="133"/>
      <c r="O4132" s="133"/>
      <c r="P4132" s="134"/>
      <c r="Q4132" s="146"/>
      <c r="R4132" s="17"/>
      <c r="S4132" s="17"/>
      <c r="T4132" s="75"/>
      <c r="U4132" s="75"/>
      <c r="V4132" s="75"/>
      <c r="W4132" s="75"/>
      <c r="X4132" s="75"/>
    </row>
    <row r="4133">
      <c r="A4133" s="17"/>
      <c r="B4133" s="17"/>
      <c r="C4133" s="133"/>
      <c r="D4133" s="133"/>
      <c r="E4133" s="17"/>
      <c r="F4133" s="133"/>
      <c r="G4133" s="133"/>
      <c r="H4133" s="133"/>
      <c r="I4133" s="133"/>
      <c r="J4133" s="133"/>
      <c r="K4133" s="133"/>
      <c r="L4133" s="133"/>
      <c r="M4133" s="133"/>
      <c r="N4133" s="133"/>
      <c r="O4133" s="133"/>
      <c r="P4133" s="134"/>
      <c r="Q4133" s="146"/>
      <c r="R4133" s="17"/>
      <c r="S4133" s="17"/>
      <c r="T4133" s="75"/>
      <c r="U4133" s="75"/>
      <c r="V4133" s="75"/>
      <c r="W4133" s="75"/>
      <c r="X4133" s="75"/>
    </row>
    <row r="4134">
      <c r="A4134" s="17"/>
      <c r="B4134" s="17"/>
      <c r="C4134" s="133"/>
      <c r="D4134" s="133"/>
      <c r="E4134" s="17"/>
      <c r="F4134" s="133"/>
      <c r="G4134" s="133"/>
      <c r="H4134" s="133"/>
      <c r="I4134" s="133"/>
      <c r="J4134" s="133"/>
      <c r="K4134" s="133"/>
      <c r="L4134" s="133"/>
      <c r="M4134" s="133"/>
      <c r="N4134" s="133"/>
      <c r="O4134" s="133"/>
      <c r="P4134" s="134"/>
      <c r="Q4134" s="146"/>
      <c r="R4134" s="17"/>
      <c r="S4134" s="17"/>
      <c r="T4134" s="75"/>
      <c r="U4134" s="75"/>
      <c r="V4134" s="75"/>
      <c r="W4134" s="75"/>
      <c r="X4134" s="75"/>
    </row>
    <row r="4135">
      <c r="A4135" s="17"/>
      <c r="B4135" s="17"/>
      <c r="C4135" s="133"/>
      <c r="D4135" s="133"/>
      <c r="E4135" s="17"/>
      <c r="F4135" s="133"/>
      <c r="G4135" s="133"/>
      <c r="H4135" s="133"/>
      <c r="I4135" s="133"/>
      <c r="J4135" s="133"/>
      <c r="K4135" s="133"/>
      <c r="L4135" s="133"/>
      <c r="M4135" s="133"/>
      <c r="N4135" s="133"/>
      <c r="O4135" s="133"/>
      <c r="P4135" s="134"/>
      <c r="Q4135" s="146"/>
      <c r="R4135" s="17"/>
      <c r="S4135" s="17"/>
      <c r="T4135" s="75"/>
      <c r="U4135" s="75"/>
      <c r="V4135" s="75"/>
      <c r="W4135" s="75"/>
      <c r="X4135" s="75"/>
    </row>
    <row r="4136">
      <c r="A4136" s="17"/>
      <c r="B4136" s="17"/>
      <c r="C4136" s="133"/>
      <c r="D4136" s="133"/>
      <c r="E4136" s="17"/>
      <c r="F4136" s="133"/>
      <c r="G4136" s="133"/>
      <c r="H4136" s="133"/>
      <c r="I4136" s="133"/>
      <c r="J4136" s="133"/>
      <c r="K4136" s="133"/>
      <c r="L4136" s="133"/>
      <c r="M4136" s="133"/>
      <c r="N4136" s="133"/>
      <c r="O4136" s="133"/>
      <c r="P4136" s="134"/>
      <c r="Q4136" s="146"/>
      <c r="R4136" s="17"/>
      <c r="S4136" s="17"/>
      <c r="T4136" s="75"/>
      <c r="U4136" s="75"/>
      <c r="V4136" s="75"/>
      <c r="W4136" s="75"/>
      <c r="X4136" s="75"/>
    </row>
    <row r="4137">
      <c r="A4137" s="17"/>
      <c r="B4137" s="17"/>
      <c r="C4137" s="133"/>
      <c r="D4137" s="133"/>
      <c r="E4137" s="17"/>
      <c r="F4137" s="133"/>
      <c r="G4137" s="133"/>
      <c r="H4137" s="133"/>
      <c r="I4137" s="133"/>
      <c r="J4137" s="133"/>
      <c r="K4137" s="133"/>
      <c r="L4137" s="133"/>
      <c r="M4137" s="133"/>
      <c r="N4137" s="133"/>
      <c r="O4137" s="133"/>
      <c r="P4137" s="134"/>
      <c r="Q4137" s="146"/>
      <c r="R4137" s="17"/>
      <c r="S4137" s="17"/>
      <c r="T4137" s="75"/>
      <c r="U4137" s="75"/>
      <c r="V4137" s="75"/>
      <c r="W4137" s="75"/>
      <c r="X4137" s="75"/>
    </row>
    <row r="4138">
      <c r="A4138" s="17"/>
      <c r="B4138" s="17"/>
      <c r="C4138" s="133"/>
      <c r="D4138" s="133"/>
      <c r="E4138" s="17"/>
      <c r="F4138" s="133"/>
      <c r="G4138" s="133"/>
      <c r="H4138" s="133"/>
      <c r="I4138" s="133"/>
      <c r="J4138" s="133"/>
      <c r="K4138" s="133"/>
      <c r="L4138" s="133"/>
      <c r="M4138" s="133"/>
      <c r="N4138" s="133"/>
      <c r="O4138" s="133"/>
      <c r="P4138" s="134"/>
      <c r="Q4138" s="146"/>
      <c r="R4138" s="17"/>
      <c r="S4138" s="17"/>
      <c r="T4138" s="75"/>
      <c r="U4138" s="75"/>
      <c r="V4138" s="75"/>
      <c r="W4138" s="75"/>
      <c r="X4138" s="75"/>
    </row>
    <row r="4139">
      <c r="A4139" s="17"/>
      <c r="B4139" s="17"/>
      <c r="C4139" s="133"/>
      <c r="D4139" s="133"/>
      <c r="E4139" s="17"/>
      <c r="F4139" s="133"/>
      <c r="G4139" s="133"/>
      <c r="H4139" s="133"/>
      <c r="I4139" s="133"/>
      <c r="J4139" s="133"/>
      <c r="K4139" s="133"/>
      <c r="L4139" s="133"/>
      <c r="M4139" s="133"/>
      <c r="N4139" s="133"/>
      <c r="O4139" s="133"/>
      <c r="P4139" s="134"/>
      <c r="Q4139" s="146"/>
      <c r="R4139" s="17"/>
      <c r="S4139" s="17"/>
      <c r="T4139" s="75"/>
      <c r="U4139" s="75"/>
      <c r="V4139" s="75"/>
      <c r="W4139" s="75"/>
      <c r="X4139" s="75"/>
    </row>
    <row r="4140">
      <c r="A4140" s="17"/>
      <c r="B4140" s="17"/>
      <c r="C4140" s="133"/>
      <c r="D4140" s="133"/>
      <c r="E4140" s="17"/>
      <c r="F4140" s="133"/>
      <c r="G4140" s="133"/>
      <c r="H4140" s="133"/>
      <c r="I4140" s="133"/>
      <c r="J4140" s="133"/>
      <c r="K4140" s="133"/>
      <c r="L4140" s="133"/>
      <c r="M4140" s="133"/>
      <c r="N4140" s="133"/>
      <c r="O4140" s="133"/>
      <c r="P4140" s="134"/>
      <c r="Q4140" s="146"/>
      <c r="R4140" s="17"/>
      <c r="S4140" s="17"/>
      <c r="T4140" s="75"/>
      <c r="U4140" s="75"/>
      <c r="V4140" s="75"/>
      <c r="W4140" s="75"/>
      <c r="X4140" s="75"/>
    </row>
    <row r="4141">
      <c r="A4141" s="17"/>
      <c r="B4141" s="17"/>
      <c r="C4141" s="133"/>
      <c r="D4141" s="133"/>
      <c r="E4141" s="17"/>
      <c r="F4141" s="133"/>
      <c r="G4141" s="133"/>
      <c r="H4141" s="133"/>
      <c r="I4141" s="133"/>
      <c r="J4141" s="133"/>
      <c r="K4141" s="133"/>
      <c r="L4141" s="133"/>
      <c r="M4141" s="133"/>
      <c r="N4141" s="133"/>
      <c r="O4141" s="133"/>
      <c r="P4141" s="134"/>
      <c r="Q4141" s="146"/>
      <c r="R4141" s="17"/>
      <c r="S4141" s="17"/>
      <c r="T4141" s="75"/>
      <c r="U4141" s="75"/>
      <c r="V4141" s="75"/>
      <c r="W4141" s="75"/>
      <c r="X4141" s="75"/>
    </row>
    <row r="4142">
      <c r="A4142" s="17"/>
      <c r="B4142" s="17"/>
      <c r="C4142" s="133"/>
      <c r="D4142" s="133"/>
      <c r="E4142" s="17"/>
      <c r="F4142" s="133"/>
      <c r="G4142" s="133"/>
      <c r="H4142" s="133"/>
      <c r="I4142" s="133"/>
      <c r="J4142" s="133"/>
      <c r="K4142" s="133"/>
      <c r="L4142" s="133"/>
      <c r="M4142" s="133"/>
      <c r="N4142" s="133"/>
      <c r="O4142" s="133"/>
      <c r="P4142" s="134"/>
      <c r="Q4142" s="146"/>
      <c r="R4142" s="17"/>
      <c r="S4142" s="17"/>
      <c r="T4142" s="75"/>
      <c r="U4142" s="75"/>
      <c r="V4142" s="75"/>
      <c r="W4142" s="75"/>
      <c r="X4142" s="75"/>
    </row>
    <row r="4143">
      <c r="A4143" s="17"/>
      <c r="B4143" s="17"/>
      <c r="C4143" s="133"/>
      <c r="D4143" s="133"/>
      <c r="E4143" s="17"/>
      <c r="F4143" s="133"/>
      <c r="G4143" s="133"/>
      <c r="H4143" s="133"/>
      <c r="I4143" s="133"/>
      <c r="J4143" s="133"/>
      <c r="K4143" s="133"/>
      <c r="L4143" s="133"/>
      <c r="M4143" s="133"/>
      <c r="N4143" s="133"/>
      <c r="O4143" s="133"/>
      <c r="P4143" s="134"/>
      <c r="Q4143" s="146"/>
      <c r="R4143" s="17"/>
      <c r="S4143" s="17"/>
      <c r="T4143" s="75"/>
      <c r="U4143" s="75"/>
      <c r="V4143" s="75"/>
      <c r="W4143" s="75"/>
      <c r="X4143" s="75"/>
    </row>
    <row r="4144">
      <c r="A4144" s="17"/>
      <c r="B4144" s="17"/>
      <c r="C4144" s="133"/>
      <c r="D4144" s="133"/>
      <c r="E4144" s="17"/>
      <c r="F4144" s="133"/>
      <c r="G4144" s="133"/>
      <c r="H4144" s="133"/>
      <c r="I4144" s="133"/>
      <c r="J4144" s="133"/>
      <c r="K4144" s="133"/>
      <c r="L4144" s="133"/>
      <c r="M4144" s="133"/>
      <c r="N4144" s="133"/>
      <c r="O4144" s="133"/>
      <c r="P4144" s="134"/>
      <c r="Q4144" s="146"/>
      <c r="R4144" s="17"/>
      <c r="S4144" s="17"/>
      <c r="T4144" s="75"/>
      <c r="U4144" s="75"/>
      <c r="V4144" s="75"/>
      <c r="W4144" s="75"/>
      <c r="X4144" s="75"/>
    </row>
    <row r="4145">
      <c r="A4145" s="17"/>
      <c r="B4145" s="17"/>
      <c r="C4145" s="133"/>
      <c r="D4145" s="133"/>
      <c r="E4145" s="17"/>
      <c r="F4145" s="133"/>
      <c r="G4145" s="133"/>
      <c r="H4145" s="133"/>
      <c r="I4145" s="133"/>
      <c r="J4145" s="133"/>
      <c r="K4145" s="133"/>
      <c r="L4145" s="133"/>
      <c r="M4145" s="133"/>
      <c r="N4145" s="133"/>
      <c r="O4145" s="133"/>
      <c r="P4145" s="134"/>
      <c r="Q4145" s="146"/>
      <c r="R4145" s="17"/>
      <c r="S4145" s="17"/>
      <c r="T4145" s="75"/>
      <c r="U4145" s="75"/>
      <c r="V4145" s="75"/>
      <c r="W4145" s="75"/>
      <c r="X4145" s="75"/>
    </row>
    <row r="4146">
      <c r="A4146" s="17"/>
      <c r="B4146" s="17"/>
      <c r="C4146" s="133"/>
      <c r="D4146" s="133"/>
      <c r="E4146" s="17"/>
      <c r="F4146" s="133"/>
      <c r="G4146" s="133"/>
      <c r="H4146" s="133"/>
      <c r="I4146" s="133"/>
      <c r="J4146" s="133"/>
      <c r="K4146" s="133"/>
      <c r="L4146" s="133"/>
      <c r="M4146" s="133"/>
      <c r="N4146" s="133"/>
      <c r="O4146" s="133"/>
      <c r="P4146" s="134"/>
      <c r="Q4146" s="146"/>
      <c r="R4146" s="17"/>
      <c r="S4146" s="17"/>
      <c r="T4146" s="75"/>
      <c r="U4146" s="75"/>
      <c r="V4146" s="75"/>
      <c r="W4146" s="75"/>
      <c r="X4146" s="75"/>
    </row>
    <row r="4147">
      <c r="A4147" s="17"/>
      <c r="B4147" s="17"/>
      <c r="C4147" s="133"/>
      <c r="D4147" s="133"/>
      <c r="E4147" s="17"/>
      <c r="F4147" s="133"/>
      <c r="G4147" s="133"/>
      <c r="H4147" s="133"/>
      <c r="I4147" s="133"/>
      <c r="J4147" s="133"/>
      <c r="K4147" s="133"/>
      <c r="L4147" s="133"/>
      <c r="M4147" s="133"/>
      <c r="N4147" s="133"/>
      <c r="O4147" s="133"/>
      <c r="P4147" s="134"/>
      <c r="Q4147" s="146"/>
      <c r="R4147" s="17"/>
      <c r="S4147" s="17"/>
      <c r="T4147" s="75"/>
      <c r="U4147" s="75"/>
      <c r="V4147" s="75"/>
      <c r="W4147" s="75"/>
      <c r="X4147" s="75"/>
    </row>
    <row r="4148">
      <c r="A4148" s="17"/>
      <c r="B4148" s="17"/>
      <c r="C4148" s="133"/>
      <c r="D4148" s="133"/>
      <c r="E4148" s="17"/>
      <c r="F4148" s="133"/>
      <c r="G4148" s="133"/>
      <c r="H4148" s="133"/>
      <c r="I4148" s="133"/>
      <c r="J4148" s="133"/>
      <c r="K4148" s="133"/>
      <c r="L4148" s="133"/>
      <c r="M4148" s="133"/>
      <c r="N4148" s="133"/>
      <c r="O4148" s="133"/>
      <c r="P4148" s="134"/>
      <c r="Q4148" s="146"/>
      <c r="R4148" s="17"/>
      <c r="S4148" s="17"/>
      <c r="T4148" s="75"/>
      <c r="U4148" s="75"/>
      <c r="V4148" s="75"/>
      <c r="W4148" s="75"/>
      <c r="X4148" s="75"/>
    </row>
    <row r="4149">
      <c r="A4149" s="17"/>
      <c r="B4149" s="17"/>
      <c r="C4149" s="133"/>
      <c r="D4149" s="133"/>
      <c r="E4149" s="17"/>
      <c r="F4149" s="133"/>
      <c r="G4149" s="133"/>
      <c r="H4149" s="133"/>
      <c r="I4149" s="133"/>
      <c r="J4149" s="133"/>
      <c r="K4149" s="133"/>
      <c r="L4149" s="133"/>
      <c r="M4149" s="133"/>
      <c r="N4149" s="133"/>
      <c r="O4149" s="133"/>
      <c r="P4149" s="134"/>
      <c r="Q4149" s="146"/>
      <c r="R4149" s="17"/>
      <c r="S4149" s="17"/>
      <c r="T4149" s="75"/>
      <c r="U4149" s="75"/>
      <c r="V4149" s="75"/>
      <c r="W4149" s="75"/>
      <c r="X4149" s="75"/>
    </row>
    <row r="4150">
      <c r="A4150" s="17"/>
      <c r="B4150" s="17"/>
      <c r="C4150" s="133"/>
      <c r="D4150" s="133"/>
      <c r="E4150" s="17"/>
      <c r="F4150" s="133"/>
      <c r="G4150" s="133"/>
      <c r="H4150" s="133"/>
      <c r="I4150" s="133"/>
      <c r="J4150" s="133"/>
      <c r="K4150" s="133"/>
      <c r="L4150" s="133"/>
      <c r="M4150" s="133"/>
      <c r="N4150" s="133"/>
      <c r="O4150" s="133"/>
      <c r="P4150" s="134"/>
      <c r="Q4150" s="146"/>
      <c r="R4150" s="17"/>
      <c r="S4150" s="17"/>
      <c r="T4150" s="75"/>
      <c r="U4150" s="75"/>
      <c r="V4150" s="75"/>
      <c r="W4150" s="75"/>
      <c r="X4150" s="75"/>
    </row>
    <row r="4151">
      <c r="A4151" s="17"/>
      <c r="B4151" s="17"/>
      <c r="C4151" s="133"/>
      <c r="D4151" s="133"/>
      <c r="E4151" s="17"/>
      <c r="F4151" s="133"/>
      <c r="G4151" s="133"/>
      <c r="H4151" s="133"/>
      <c r="I4151" s="133"/>
      <c r="J4151" s="133"/>
      <c r="K4151" s="133"/>
      <c r="L4151" s="133"/>
      <c r="M4151" s="133"/>
      <c r="N4151" s="133"/>
      <c r="O4151" s="133"/>
      <c r="P4151" s="134"/>
      <c r="Q4151" s="146"/>
      <c r="R4151" s="17"/>
      <c r="S4151" s="17"/>
      <c r="T4151" s="75"/>
      <c r="U4151" s="75"/>
      <c r="V4151" s="75"/>
      <c r="W4151" s="75"/>
      <c r="X4151" s="75"/>
    </row>
    <row r="4152">
      <c r="A4152" s="17"/>
      <c r="B4152" s="17"/>
      <c r="C4152" s="133"/>
      <c r="D4152" s="133"/>
      <c r="E4152" s="17"/>
      <c r="F4152" s="133"/>
      <c r="G4152" s="133"/>
      <c r="H4152" s="133"/>
      <c r="I4152" s="133"/>
      <c r="J4152" s="133"/>
      <c r="K4152" s="133"/>
      <c r="L4152" s="133"/>
      <c r="M4152" s="133"/>
      <c r="N4152" s="133"/>
      <c r="O4152" s="133"/>
      <c r="P4152" s="134"/>
      <c r="Q4152" s="146"/>
      <c r="R4152" s="17"/>
      <c r="S4152" s="17"/>
      <c r="T4152" s="75"/>
      <c r="U4152" s="75"/>
      <c r="V4152" s="75"/>
      <c r="W4152" s="75"/>
      <c r="X4152" s="75"/>
    </row>
    <row r="4153">
      <c r="A4153" s="17"/>
      <c r="B4153" s="17"/>
      <c r="C4153" s="133"/>
      <c r="D4153" s="133"/>
      <c r="E4153" s="17"/>
      <c r="F4153" s="133"/>
      <c r="G4153" s="133"/>
      <c r="H4153" s="133"/>
      <c r="I4153" s="133"/>
      <c r="J4153" s="133"/>
      <c r="K4153" s="133"/>
      <c r="L4153" s="133"/>
      <c r="M4153" s="133"/>
      <c r="N4153" s="133"/>
      <c r="O4153" s="133"/>
      <c r="P4153" s="134"/>
      <c r="Q4153" s="146"/>
      <c r="R4153" s="17"/>
      <c r="S4153" s="17"/>
      <c r="T4153" s="75"/>
      <c r="U4153" s="75"/>
      <c r="V4153" s="75"/>
      <c r="W4153" s="75"/>
      <c r="X4153" s="75"/>
    </row>
    <row r="4154">
      <c r="A4154" s="17"/>
      <c r="B4154" s="17"/>
      <c r="C4154" s="133"/>
      <c r="D4154" s="133"/>
      <c r="E4154" s="17"/>
      <c r="F4154" s="133"/>
      <c r="G4154" s="133"/>
      <c r="H4154" s="133"/>
      <c r="I4154" s="133"/>
      <c r="J4154" s="133"/>
      <c r="K4154" s="133"/>
      <c r="L4154" s="133"/>
      <c r="M4154" s="133"/>
      <c r="N4154" s="133"/>
      <c r="O4154" s="133"/>
      <c r="P4154" s="134"/>
      <c r="Q4154" s="146"/>
      <c r="R4154" s="17"/>
      <c r="S4154" s="17"/>
      <c r="T4154" s="75"/>
      <c r="U4154" s="75"/>
      <c r="V4154" s="75"/>
      <c r="W4154" s="75"/>
      <c r="X4154" s="75"/>
    </row>
    <row r="4155">
      <c r="A4155" s="17"/>
      <c r="B4155" s="17"/>
      <c r="C4155" s="133"/>
      <c r="D4155" s="133"/>
      <c r="E4155" s="17"/>
      <c r="F4155" s="133"/>
      <c r="G4155" s="133"/>
      <c r="H4155" s="133"/>
      <c r="I4155" s="133"/>
      <c r="J4155" s="133"/>
      <c r="K4155" s="133"/>
      <c r="L4155" s="133"/>
      <c r="M4155" s="133"/>
      <c r="N4155" s="133"/>
      <c r="O4155" s="133"/>
      <c r="P4155" s="134"/>
      <c r="Q4155" s="146"/>
      <c r="R4155" s="17"/>
      <c r="S4155" s="17"/>
      <c r="T4155" s="75"/>
      <c r="U4155" s="75"/>
      <c r="V4155" s="75"/>
      <c r="W4155" s="75"/>
      <c r="X4155" s="75"/>
    </row>
    <row r="4156">
      <c r="A4156" s="17"/>
      <c r="B4156" s="17"/>
      <c r="C4156" s="133"/>
      <c r="D4156" s="133"/>
      <c r="E4156" s="17"/>
      <c r="F4156" s="133"/>
      <c r="G4156" s="133"/>
      <c r="H4156" s="133"/>
      <c r="I4156" s="133"/>
      <c r="J4156" s="133"/>
      <c r="K4156" s="133"/>
      <c r="L4156" s="133"/>
      <c r="M4156" s="133"/>
      <c r="N4156" s="133"/>
      <c r="O4156" s="133"/>
      <c r="P4156" s="134"/>
      <c r="Q4156" s="146"/>
      <c r="R4156" s="17"/>
      <c r="S4156" s="17"/>
      <c r="T4156" s="75"/>
      <c r="U4156" s="75"/>
      <c r="V4156" s="75"/>
      <c r="W4156" s="75"/>
      <c r="X4156" s="75"/>
    </row>
    <row r="4157">
      <c r="A4157" s="17"/>
      <c r="B4157" s="17"/>
      <c r="C4157" s="133"/>
      <c r="D4157" s="133"/>
      <c r="E4157" s="17"/>
      <c r="F4157" s="133"/>
      <c r="G4157" s="133"/>
      <c r="H4157" s="133"/>
      <c r="I4157" s="133"/>
      <c r="J4157" s="133"/>
      <c r="K4157" s="133"/>
      <c r="L4157" s="133"/>
      <c r="M4157" s="133"/>
      <c r="N4157" s="133"/>
      <c r="O4157" s="133"/>
      <c r="P4157" s="134"/>
      <c r="Q4157" s="146"/>
      <c r="R4157" s="17"/>
      <c r="S4157" s="17"/>
      <c r="T4157" s="75"/>
      <c r="U4157" s="75"/>
      <c r="V4157" s="75"/>
      <c r="W4157" s="75"/>
      <c r="X4157" s="75"/>
    </row>
    <row r="4158">
      <c r="A4158" s="17"/>
      <c r="B4158" s="17"/>
      <c r="C4158" s="133"/>
      <c r="D4158" s="133"/>
      <c r="E4158" s="17"/>
      <c r="F4158" s="133"/>
      <c r="G4158" s="133"/>
      <c r="H4158" s="133"/>
      <c r="I4158" s="133"/>
      <c r="J4158" s="133"/>
      <c r="K4158" s="133"/>
      <c r="L4158" s="133"/>
      <c r="M4158" s="133"/>
      <c r="N4158" s="133"/>
      <c r="O4158" s="133"/>
      <c r="P4158" s="134"/>
      <c r="Q4158" s="146"/>
      <c r="R4158" s="17"/>
      <c r="S4158" s="17"/>
      <c r="T4158" s="75"/>
      <c r="U4158" s="75"/>
      <c r="V4158" s="75"/>
      <c r="W4158" s="75"/>
      <c r="X4158" s="75"/>
    </row>
    <row r="4159">
      <c r="A4159" s="17"/>
      <c r="B4159" s="17"/>
      <c r="C4159" s="133"/>
      <c r="D4159" s="133"/>
      <c r="E4159" s="17"/>
      <c r="F4159" s="133"/>
      <c r="G4159" s="133"/>
      <c r="H4159" s="133"/>
      <c r="I4159" s="133"/>
      <c r="J4159" s="133"/>
      <c r="K4159" s="133"/>
      <c r="L4159" s="133"/>
      <c r="M4159" s="133"/>
      <c r="N4159" s="133"/>
      <c r="O4159" s="133"/>
      <c r="P4159" s="134"/>
      <c r="Q4159" s="146"/>
      <c r="R4159" s="17"/>
      <c r="S4159" s="17"/>
      <c r="T4159" s="75"/>
      <c r="U4159" s="75"/>
      <c r="V4159" s="75"/>
      <c r="W4159" s="75"/>
      <c r="X4159" s="75"/>
    </row>
    <row r="4160">
      <c r="A4160" s="17"/>
      <c r="B4160" s="17"/>
      <c r="C4160" s="133"/>
      <c r="D4160" s="133"/>
      <c r="E4160" s="17"/>
      <c r="F4160" s="133"/>
      <c r="G4160" s="133"/>
      <c r="H4160" s="133"/>
      <c r="I4160" s="133"/>
      <c r="J4160" s="133"/>
      <c r="K4160" s="133"/>
      <c r="L4160" s="133"/>
      <c r="M4160" s="133"/>
      <c r="N4160" s="133"/>
      <c r="O4160" s="133"/>
      <c r="P4160" s="134"/>
      <c r="Q4160" s="146"/>
      <c r="R4160" s="17"/>
      <c r="S4160" s="17"/>
      <c r="T4160" s="75"/>
      <c r="U4160" s="75"/>
      <c r="V4160" s="75"/>
      <c r="W4160" s="75"/>
      <c r="X4160" s="75"/>
    </row>
    <row r="4161">
      <c r="A4161" s="17"/>
      <c r="B4161" s="17"/>
      <c r="C4161" s="133"/>
      <c r="D4161" s="133"/>
      <c r="E4161" s="17"/>
      <c r="F4161" s="133"/>
      <c r="G4161" s="133"/>
      <c r="H4161" s="133"/>
      <c r="I4161" s="133"/>
      <c r="J4161" s="133"/>
      <c r="K4161" s="133"/>
      <c r="L4161" s="133"/>
      <c r="M4161" s="133"/>
      <c r="N4161" s="133"/>
      <c r="O4161" s="133"/>
      <c r="P4161" s="134"/>
      <c r="Q4161" s="146"/>
      <c r="R4161" s="17"/>
      <c r="S4161" s="17"/>
      <c r="T4161" s="75"/>
      <c r="U4161" s="75"/>
      <c r="V4161" s="75"/>
      <c r="W4161" s="75"/>
      <c r="X4161" s="75"/>
    </row>
    <row r="4162">
      <c r="A4162" s="17"/>
      <c r="B4162" s="17"/>
      <c r="C4162" s="133"/>
      <c r="D4162" s="133"/>
      <c r="E4162" s="17"/>
      <c r="F4162" s="133"/>
      <c r="G4162" s="133"/>
      <c r="H4162" s="133"/>
      <c r="I4162" s="133"/>
      <c r="J4162" s="133"/>
      <c r="K4162" s="133"/>
      <c r="L4162" s="133"/>
      <c r="M4162" s="133"/>
      <c r="N4162" s="133"/>
      <c r="O4162" s="133"/>
      <c r="P4162" s="134"/>
      <c r="Q4162" s="146"/>
      <c r="R4162" s="17"/>
      <c r="S4162" s="17"/>
      <c r="T4162" s="75"/>
      <c r="U4162" s="75"/>
      <c r="V4162" s="75"/>
      <c r="W4162" s="75"/>
      <c r="X4162" s="75"/>
    </row>
    <row r="4163">
      <c r="A4163" s="17"/>
      <c r="B4163" s="17"/>
      <c r="C4163" s="133"/>
      <c r="D4163" s="133"/>
      <c r="E4163" s="17"/>
      <c r="F4163" s="133"/>
      <c r="G4163" s="133"/>
      <c r="H4163" s="133"/>
      <c r="I4163" s="133"/>
      <c r="J4163" s="133"/>
      <c r="K4163" s="133"/>
      <c r="L4163" s="133"/>
      <c r="M4163" s="133"/>
      <c r="N4163" s="133"/>
      <c r="O4163" s="133"/>
      <c r="P4163" s="134"/>
      <c r="Q4163" s="146"/>
      <c r="R4163" s="17"/>
      <c r="S4163" s="17"/>
      <c r="T4163" s="75"/>
      <c r="U4163" s="75"/>
      <c r="V4163" s="75"/>
      <c r="W4163" s="75"/>
      <c r="X4163" s="75"/>
    </row>
    <row r="4164">
      <c r="A4164" s="17"/>
      <c r="B4164" s="17"/>
      <c r="C4164" s="133"/>
      <c r="D4164" s="133"/>
      <c r="E4164" s="17"/>
      <c r="F4164" s="133"/>
      <c r="G4164" s="133"/>
      <c r="H4164" s="133"/>
      <c r="I4164" s="133"/>
      <c r="J4164" s="133"/>
      <c r="K4164" s="133"/>
      <c r="L4164" s="133"/>
      <c r="M4164" s="133"/>
      <c r="N4164" s="133"/>
      <c r="O4164" s="133"/>
      <c r="P4164" s="134"/>
      <c r="Q4164" s="146"/>
      <c r="R4164" s="17"/>
      <c r="S4164" s="17"/>
      <c r="T4164" s="75"/>
      <c r="U4164" s="75"/>
      <c r="V4164" s="75"/>
      <c r="W4164" s="75"/>
      <c r="X4164" s="75"/>
    </row>
    <row r="4165">
      <c r="A4165" s="17"/>
      <c r="B4165" s="17"/>
      <c r="C4165" s="133"/>
      <c r="D4165" s="133"/>
      <c r="E4165" s="17"/>
      <c r="F4165" s="133"/>
      <c r="G4165" s="133"/>
      <c r="H4165" s="133"/>
      <c r="I4165" s="133"/>
      <c r="J4165" s="133"/>
      <c r="K4165" s="133"/>
      <c r="L4165" s="133"/>
      <c r="M4165" s="133"/>
      <c r="N4165" s="133"/>
      <c r="O4165" s="133"/>
      <c r="P4165" s="134"/>
      <c r="Q4165" s="146"/>
      <c r="R4165" s="17"/>
      <c r="S4165" s="17"/>
      <c r="T4165" s="75"/>
      <c r="U4165" s="75"/>
      <c r="V4165" s="75"/>
      <c r="W4165" s="75"/>
      <c r="X4165" s="75"/>
    </row>
    <row r="4166">
      <c r="A4166" s="17"/>
      <c r="B4166" s="17"/>
      <c r="C4166" s="133"/>
      <c r="D4166" s="133"/>
      <c r="E4166" s="17"/>
      <c r="F4166" s="133"/>
      <c r="G4166" s="133"/>
      <c r="H4166" s="133"/>
      <c r="I4166" s="133"/>
      <c r="J4166" s="133"/>
      <c r="K4166" s="133"/>
      <c r="L4166" s="133"/>
      <c r="M4166" s="133"/>
      <c r="N4166" s="133"/>
      <c r="O4166" s="133"/>
      <c r="P4166" s="134"/>
      <c r="Q4166" s="146"/>
      <c r="R4166" s="17"/>
      <c r="S4166" s="17"/>
      <c r="T4166" s="75"/>
      <c r="U4166" s="75"/>
      <c r="V4166" s="75"/>
      <c r="W4166" s="75"/>
      <c r="X4166" s="75"/>
    </row>
    <row r="4167">
      <c r="A4167" s="17"/>
      <c r="B4167" s="17"/>
      <c r="C4167" s="133"/>
      <c r="D4167" s="133"/>
      <c r="E4167" s="17"/>
      <c r="F4167" s="133"/>
      <c r="G4167" s="133"/>
      <c r="H4167" s="133"/>
      <c r="I4167" s="133"/>
      <c r="J4167" s="133"/>
      <c r="K4167" s="133"/>
      <c r="L4167" s="133"/>
      <c r="M4167" s="133"/>
      <c r="N4167" s="133"/>
      <c r="O4167" s="133"/>
      <c r="P4167" s="134"/>
      <c r="Q4167" s="146"/>
      <c r="R4167" s="17"/>
      <c r="S4167" s="17"/>
      <c r="T4167" s="75"/>
      <c r="U4167" s="75"/>
      <c r="V4167" s="75"/>
      <c r="W4167" s="75"/>
      <c r="X4167" s="75"/>
    </row>
    <row r="4168">
      <c r="A4168" s="17"/>
      <c r="B4168" s="17"/>
      <c r="C4168" s="133"/>
      <c r="D4168" s="133"/>
      <c r="E4168" s="17"/>
      <c r="F4168" s="133"/>
      <c r="G4168" s="133"/>
      <c r="H4168" s="133"/>
      <c r="I4168" s="133"/>
      <c r="J4168" s="133"/>
      <c r="K4168" s="133"/>
      <c r="L4168" s="133"/>
      <c r="M4168" s="133"/>
      <c r="N4168" s="133"/>
      <c r="O4168" s="133"/>
      <c r="P4168" s="134"/>
      <c r="Q4168" s="146"/>
      <c r="R4168" s="17"/>
      <c r="S4168" s="17"/>
      <c r="T4168" s="75"/>
      <c r="U4168" s="75"/>
      <c r="V4168" s="75"/>
      <c r="W4168" s="75"/>
      <c r="X4168" s="75"/>
    </row>
    <row r="4169">
      <c r="A4169" s="17"/>
      <c r="B4169" s="17"/>
      <c r="C4169" s="133"/>
      <c r="D4169" s="133"/>
      <c r="E4169" s="17"/>
      <c r="F4169" s="133"/>
      <c r="G4169" s="133"/>
      <c r="H4169" s="133"/>
      <c r="I4169" s="133"/>
      <c r="J4169" s="133"/>
      <c r="K4169" s="133"/>
      <c r="L4169" s="133"/>
      <c r="M4169" s="133"/>
      <c r="N4169" s="133"/>
      <c r="O4169" s="133"/>
      <c r="P4169" s="134"/>
      <c r="Q4169" s="146"/>
      <c r="R4169" s="17"/>
      <c r="S4169" s="17"/>
      <c r="T4169" s="75"/>
      <c r="U4169" s="75"/>
      <c r="V4169" s="75"/>
      <c r="W4169" s="75"/>
      <c r="X4169" s="75"/>
    </row>
    <row r="4170">
      <c r="A4170" s="17"/>
      <c r="B4170" s="17"/>
      <c r="C4170" s="133"/>
      <c r="D4170" s="133"/>
      <c r="E4170" s="17"/>
      <c r="F4170" s="133"/>
      <c r="G4170" s="133"/>
      <c r="H4170" s="133"/>
      <c r="I4170" s="133"/>
      <c r="J4170" s="133"/>
      <c r="K4170" s="133"/>
      <c r="L4170" s="133"/>
      <c r="M4170" s="133"/>
      <c r="N4170" s="133"/>
      <c r="O4170" s="133"/>
      <c r="P4170" s="134"/>
      <c r="Q4170" s="146"/>
      <c r="R4170" s="17"/>
      <c r="S4170" s="17"/>
      <c r="T4170" s="75"/>
      <c r="U4170" s="75"/>
      <c r="V4170" s="75"/>
      <c r="W4170" s="75"/>
      <c r="X4170" s="75"/>
    </row>
    <row r="4171">
      <c r="A4171" s="17"/>
      <c r="B4171" s="17"/>
      <c r="C4171" s="133"/>
      <c r="D4171" s="133"/>
      <c r="E4171" s="17"/>
      <c r="F4171" s="133"/>
      <c r="G4171" s="133"/>
      <c r="H4171" s="133"/>
      <c r="I4171" s="133"/>
      <c r="J4171" s="133"/>
      <c r="K4171" s="133"/>
      <c r="L4171" s="133"/>
      <c r="M4171" s="133"/>
      <c r="N4171" s="133"/>
      <c r="O4171" s="133"/>
      <c r="P4171" s="134"/>
      <c r="Q4171" s="146"/>
      <c r="R4171" s="17"/>
      <c r="S4171" s="17"/>
      <c r="T4171" s="75"/>
      <c r="U4171" s="75"/>
      <c r="V4171" s="75"/>
      <c r="W4171" s="75"/>
      <c r="X4171" s="75"/>
    </row>
    <row r="4172">
      <c r="A4172" s="17"/>
      <c r="B4172" s="17"/>
      <c r="C4172" s="133"/>
      <c r="D4172" s="133"/>
      <c r="E4172" s="17"/>
      <c r="F4172" s="133"/>
      <c r="G4172" s="133"/>
      <c r="H4172" s="133"/>
      <c r="I4172" s="133"/>
      <c r="J4172" s="133"/>
      <c r="K4172" s="133"/>
      <c r="L4172" s="133"/>
      <c r="M4172" s="133"/>
      <c r="N4172" s="133"/>
      <c r="O4172" s="133"/>
      <c r="P4172" s="134"/>
      <c r="Q4172" s="146"/>
      <c r="R4172" s="17"/>
      <c r="S4172" s="17"/>
      <c r="T4172" s="75"/>
      <c r="U4172" s="75"/>
      <c r="V4172" s="75"/>
      <c r="W4172" s="75"/>
      <c r="X4172" s="75"/>
    </row>
    <row r="4173">
      <c r="A4173" s="17"/>
      <c r="B4173" s="17"/>
      <c r="C4173" s="133"/>
      <c r="D4173" s="133"/>
      <c r="E4173" s="17"/>
      <c r="F4173" s="133"/>
      <c r="G4173" s="133"/>
      <c r="H4173" s="133"/>
      <c r="I4173" s="133"/>
      <c r="J4173" s="133"/>
      <c r="K4173" s="133"/>
      <c r="L4173" s="133"/>
      <c r="M4173" s="133"/>
      <c r="N4173" s="133"/>
      <c r="O4173" s="133"/>
      <c r="P4173" s="134"/>
      <c r="Q4173" s="146"/>
      <c r="R4173" s="17"/>
      <c r="S4173" s="17"/>
      <c r="T4173" s="75"/>
      <c r="U4173" s="75"/>
      <c r="V4173" s="75"/>
      <c r="W4173" s="75"/>
      <c r="X4173" s="75"/>
    </row>
    <row r="4174">
      <c r="A4174" s="17"/>
      <c r="B4174" s="17"/>
      <c r="C4174" s="133"/>
      <c r="D4174" s="133"/>
      <c r="E4174" s="17"/>
      <c r="F4174" s="133"/>
      <c r="G4174" s="133"/>
      <c r="H4174" s="133"/>
      <c r="I4174" s="133"/>
      <c r="J4174" s="133"/>
      <c r="K4174" s="133"/>
      <c r="L4174" s="133"/>
      <c r="M4174" s="133"/>
      <c r="N4174" s="133"/>
      <c r="O4174" s="133"/>
      <c r="P4174" s="134"/>
      <c r="Q4174" s="146"/>
      <c r="R4174" s="17"/>
      <c r="S4174" s="17"/>
      <c r="T4174" s="75"/>
      <c r="U4174" s="75"/>
      <c r="V4174" s="75"/>
      <c r="W4174" s="75"/>
      <c r="X4174" s="75"/>
    </row>
    <row r="4175">
      <c r="A4175" s="17"/>
      <c r="B4175" s="17"/>
      <c r="C4175" s="133"/>
      <c r="D4175" s="133"/>
      <c r="E4175" s="17"/>
      <c r="F4175" s="133"/>
      <c r="G4175" s="133"/>
      <c r="H4175" s="133"/>
      <c r="I4175" s="133"/>
      <c r="J4175" s="133"/>
      <c r="K4175" s="133"/>
      <c r="L4175" s="133"/>
      <c r="M4175" s="133"/>
      <c r="N4175" s="133"/>
      <c r="O4175" s="133"/>
      <c r="P4175" s="134"/>
      <c r="Q4175" s="146"/>
      <c r="R4175" s="17"/>
      <c r="S4175" s="17"/>
      <c r="T4175" s="75"/>
      <c r="U4175" s="75"/>
      <c r="V4175" s="75"/>
      <c r="W4175" s="75"/>
      <c r="X4175" s="75"/>
    </row>
    <row r="4176">
      <c r="A4176" s="17"/>
      <c r="B4176" s="17"/>
      <c r="C4176" s="133"/>
      <c r="D4176" s="133"/>
      <c r="E4176" s="17"/>
      <c r="F4176" s="133"/>
      <c r="G4176" s="133"/>
      <c r="H4176" s="133"/>
      <c r="I4176" s="133"/>
      <c r="J4176" s="133"/>
      <c r="K4176" s="133"/>
      <c r="L4176" s="133"/>
      <c r="M4176" s="133"/>
      <c r="N4176" s="133"/>
      <c r="O4176" s="133"/>
      <c r="P4176" s="134"/>
      <c r="Q4176" s="146"/>
      <c r="R4176" s="17"/>
      <c r="S4176" s="17"/>
      <c r="T4176" s="75"/>
      <c r="U4176" s="75"/>
      <c r="V4176" s="75"/>
      <c r="W4176" s="75"/>
      <c r="X4176" s="75"/>
    </row>
    <row r="4177">
      <c r="A4177" s="17"/>
      <c r="B4177" s="17"/>
      <c r="C4177" s="133"/>
      <c r="D4177" s="133"/>
      <c r="E4177" s="17"/>
      <c r="F4177" s="133"/>
      <c r="G4177" s="133"/>
      <c r="H4177" s="133"/>
      <c r="I4177" s="133"/>
      <c r="J4177" s="133"/>
      <c r="K4177" s="133"/>
      <c r="L4177" s="133"/>
      <c r="M4177" s="133"/>
      <c r="N4177" s="133"/>
      <c r="O4177" s="133"/>
      <c r="P4177" s="134"/>
      <c r="Q4177" s="146"/>
      <c r="R4177" s="17"/>
      <c r="S4177" s="17"/>
      <c r="T4177" s="75"/>
      <c r="U4177" s="75"/>
      <c r="V4177" s="75"/>
      <c r="W4177" s="75"/>
      <c r="X4177" s="75"/>
    </row>
    <row r="4178">
      <c r="A4178" s="17"/>
      <c r="B4178" s="17"/>
      <c r="C4178" s="133"/>
      <c r="D4178" s="133"/>
      <c r="E4178" s="17"/>
      <c r="F4178" s="133"/>
      <c r="G4178" s="133"/>
      <c r="H4178" s="133"/>
      <c r="I4178" s="133"/>
      <c r="J4178" s="133"/>
      <c r="K4178" s="133"/>
      <c r="L4178" s="133"/>
      <c r="M4178" s="133"/>
      <c r="N4178" s="133"/>
      <c r="O4178" s="133"/>
      <c r="P4178" s="134"/>
      <c r="Q4178" s="146"/>
      <c r="R4178" s="17"/>
      <c r="S4178" s="17"/>
      <c r="T4178" s="75"/>
      <c r="U4178" s="75"/>
      <c r="V4178" s="75"/>
      <c r="W4178" s="75"/>
      <c r="X4178" s="75"/>
    </row>
    <row r="4179">
      <c r="A4179" s="17"/>
      <c r="B4179" s="17"/>
      <c r="C4179" s="133"/>
      <c r="D4179" s="133"/>
      <c r="E4179" s="17"/>
      <c r="F4179" s="133"/>
      <c r="G4179" s="133"/>
      <c r="H4179" s="133"/>
      <c r="I4179" s="133"/>
      <c r="J4179" s="133"/>
      <c r="K4179" s="133"/>
      <c r="L4179" s="133"/>
      <c r="M4179" s="133"/>
      <c r="N4179" s="133"/>
      <c r="O4179" s="133"/>
      <c r="P4179" s="134"/>
      <c r="Q4179" s="146"/>
      <c r="R4179" s="17"/>
      <c r="S4179" s="17"/>
      <c r="T4179" s="75"/>
      <c r="U4179" s="75"/>
      <c r="V4179" s="75"/>
      <c r="W4179" s="75"/>
      <c r="X4179" s="75"/>
    </row>
    <row r="4180">
      <c r="A4180" s="17"/>
      <c r="B4180" s="17"/>
      <c r="C4180" s="133"/>
      <c r="D4180" s="133"/>
      <c r="E4180" s="17"/>
      <c r="F4180" s="133"/>
      <c r="G4180" s="133"/>
      <c r="H4180" s="133"/>
      <c r="I4180" s="133"/>
      <c r="J4180" s="133"/>
      <c r="K4180" s="133"/>
      <c r="L4180" s="133"/>
      <c r="M4180" s="133"/>
      <c r="N4180" s="133"/>
      <c r="O4180" s="133"/>
      <c r="P4180" s="134"/>
      <c r="Q4180" s="146"/>
      <c r="R4180" s="17"/>
      <c r="S4180" s="17"/>
      <c r="T4180" s="75"/>
      <c r="U4180" s="75"/>
      <c r="V4180" s="75"/>
      <c r="W4180" s="75"/>
      <c r="X4180" s="75"/>
    </row>
    <row r="4181">
      <c r="A4181" s="17"/>
      <c r="B4181" s="17"/>
      <c r="C4181" s="133"/>
      <c r="D4181" s="133"/>
      <c r="E4181" s="17"/>
      <c r="F4181" s="133"/>
      <c r="G4181" s="133"/>
      <c r="H4181" s="133"/>
      <c r="I4181" s="133"/>
      <c r="J4181" s="133"/>
      <c r="K4181" s="133"/>
      <c r="L4181" s="133"/>
      <c r="M4181" s="133"/>
      <c r="N4181" s="133"/>
      <c r="O4181" s="133"/>
      <c r="P4181" s="134"/>
      <c r="Q4181" s="146"/>
      <c r="R4181" s="17"/>
      <c r="S4181" s="17"/>
      <c r="T4181" s="75"/>
      <c r="U4181" s="75"/>
      <c r="V4181" s="75"/>
      <c r="W4181" s="75"/>
      <c r="X4181" s="75"/>
    </row>
    <row r="4182">
      <c r="A4182" s="17"/>
      <c r="B4182" s="17"/>
      <c r="C4182" s="133"/>
      <c r="D4182" s="133"/>
      <c r="E4182" s="17"/>
      <c r="F4182" s="133"/>
      <c r="G4182" s="133"/>
      <c r="H4182" s="133"/>
      <c r="I4182" s="133"/>
      <c r="J4182" s="133"/>
      <c r="K4182" s="133"/>
      <c r="L4182" s="133"/>
      <c r="M4182" s="133"/>
      <c r="N4182" s="133"/>
      <c r="O4182" s="133"/>
      <c r="P4182" s="134"/>
      <c r="Q4182" s="146"/>
      <c r="R4182" s="17"/>
      <c r="S4182" s="17"/>
      <c r="T4182" s="75"/>
      <c r="U4182" s="75"/>
      <c r="V4182" s="75"/>
      <c r="W4182" s="75"/>
      <c r="X4182" s="75"/>
    </row>
    <row r="4183">
      <c r="A4183" s="17"/>
      <c r="B4183" s="17"/>
      <c r="C4183" s="133"/>
      <c r="D4183" s="133"/>
      <c r="E4183" s="17"/>
      <c r="F4183" s="133"/>
      <c r="G4183" s="133"/>
      <c r="H4183" s="133"/>
      <c r="I4183" s="133"/>
      <c r="J4183" s="133"/>
      <c r="K4183" s="133"/>
      <c r="L4183" s="133"/>
      <c r="M4183" s="133"/>
      <c r="N4183" s="133"/>
      <c r="O4183" s="133"/>
      <c r="P4183" s="134"/>
      <c r="Q4183" s="146"/>
      <c r="R4183" s="17"/>
      <c r="S4183" s="17"/>
      <c r="T4183" s="75"/>
      <c r="U4183" s="75"/>
      <c r="V4183" s="75"/>
      <c r="W4183" s="75"/>
      <c r="X4183" s="75"/>
    </row>
    <row r="4184">
      <c r="A4184" s="17"/>
      <c r="B4184" s="17"/>
      <c r="C4184" s="133"/>
      <c r="D4184" s="133"/>
      <c r="E4184" s="17"/>
      <c r="F4184" s="133"/>
      <c r="G4184" s="133"/>
      <c r="H4184" s="133"/>
      <c r="I4184" s="133"/>
      <c r="J4184" s="133"/>
      <c r="K4184" s="133"/>
      <c r="L4184" s="133"/>
      <c r="M4184" s="133"/>
      <c r="N4184" s="133"/>
      <c r="O4184" s="133"/>
      <c r="P4184" s="134"/>
      <c r="Q4184" s="146"/>
      <c r="R4184" s="17"/>
      <c r="S4184" s="17"/>
      <c r="T4184" s="75"/>
      <c r="U4184" s="75"/>
      <c r="V4184" s="75"/>
      <c r="W4184" s="75"/>
      <c r="X4184" s="75"/>
    </row>
    <row r="4185">
      <c r="A4185" s="17"/>
      <c r="B4185" s="17"/>
      <c r="C4185" s="133"/>
      <c r="D4185" s="133"/>
      <c r="E4185" s="17"/>
      <c r="F4185" s="133"/>
      <c r="G4185" s="133"/>
      <c r="H4185" s="133"/>
      <c r="I4185" s="133"/>
      <c r="J4185" s="133"/>
      <c r="K4185" s="133"/>
      <c r="L4185" s="133"/>
      <c r="M4185" s="133"/>
      <c r="N4185" s="133"/>
      <c r="O4185" s="133"/>
      <c r="P4185" s="134"/>
      <c r="Q4185" s="146"/>
      <c r="R4185" s="17"/>
      <c r="S4185" s="17"/>
      <c r="T4185" s="75"/>
      <c r="U4185" s="75"/>
      <c r="V4185" s="75"/>
      <c r="W4185" s="75"/>
      <c r="X4185" s="75"/>
    </row>
    <row r="4186">
      <c r="A4186" s="17"/>
      <c r="B4186" s="17"/>
      <c r="C4186" s="133"/>
      <c r="D4186" s="133"/>
      <c r="E4186" s="17"/>
      <c r="F4186" s="133"/>
      <c r="G4186" s="133"/>
      <c r="H4186" s="133"/>
      <c r="I4186" s="133"/>
      <c r="J4186" s="133"/>
      <c r="K4186" s="133"/>
      <c r="L4186" s="133"/>
      <c r="M4186" s="133"/>
      <c r="N4186" s="133"/>
      <c r="O4186" s="133"/>
      <c r="P4186" s="134"/>
      <c r="Q4186" s="146"/>
      <c r="R4186" s="17"/>
      <c r="S4186" s="17"/>
      <c r="T4186" s="75"/>
      <c r="U4186" s="75"/>
      <c r="V4186" s="75"/>
      <c r="W4186" s="75"/>
      <c r="X4186" s="75"/>
    </row>
    <row r="4187">
      <c r="A4187" s="17"/>
      <c r="B4187" s="17"/>
      <c r="C4187" s="133"/>
      <c r="D4187" s="133"/>
      <c r="E4187" s="17"/>
      <c r="F4187" s="133"/>
      <c r="G4187" s="133"/>
      <c r="H4187" s="133"/>
      <c r="I4187" s="133"/>
      <c r="J4187" s="133"/>
      <c r="K4187" s="133"/>
      <c r="L4187" s="133"/>
      <c r="M4187" s="133"/>
      <c r="N4187" s="133"/>
      <c r="O4187" s="133"/>
      <c r="P4187" s="134"/>
      <c r="Q4187" s="146"/>
      <c r="R4187" s="17"/>
      <c r="S4187" s="17"/>
      <c r="T4187" s="75"/>
      <c r="U4187" s="75"/>
      <c r="V4187" s="75"/>
      <c r="W4187" s="75"/>
      <c r="X4187" s="75"/>
    </row>
    <row r="4188">
      <c r="A4188" s="17"/>
      <c r="B4188" s="17"/>
      <c r="C4188" s="133"/>
      <c r="D4188" s="133"/>
      <c r="E4188" s="17"/>
      <c r="F4188" s="133"/>
      <c r="G4188" s="133"/>
      <c r="H4188" s="133"/>
      <c r="I4188" s="133"/>
      <c r="J4188" s="133"/>
      <c r="K4188" s="133"/>
      <c r="L4188" s="133"/>
      <c r="M4188" s="133"/>
      <c r="N4188" s="133"/>
      <c r="O4188" s="133"/>
      <c r="P4188" s="134"/>
      <c r="Q4188" s="146"/>
      <c r="R4188" s="17"/>
      <c r="S4188" s="17"/>
      <c r="T4188" s="75"/>
      <c r="U4188" s="75"/>
      <c r="V4188" s="75"/>
      <c r="W4188" s="75"/>
      <c r="X4188" s="75"/>
    </row>
    <row r="4189">
      <c r="A4189" s="17"/>
      <c r="B4189" s="17"/>
      <c r="C4189" s="133"/>
      <c r="D4189" s="133"/>
      <c r="E4189" s="17"/>
      <c r="F4189" s="133"/>
      <c r="G4189" s="133"/>
      <c r="H4189" s="133"/>
      <c r="I4189" s="133"/>
      <c r="J4189" s="133"/>
      <c r="K4189" s="133"/>
      <c r="L4189" s="133"/>
      <c r="M4189" s="133"/>
      <c r="N4189" s="133"/>
      <c r="O4189" s="133"/>
      <c r="P4189" s="134"/>
      <c r="Q4189" s="146"/>
      <c r="R4189" s="17"/>
      <c r="S4189" s="17"/>
      <c r="T4189" s="75"/>
      <c r="U4189" s="75"/>
      <c r="V4189" s="75"/>
      <c r="W4189" s="75"/>
      <c r="X4189" s="75"/>
    </row>
    <row r="4190">
      <c r="A4190" s="17"/>
      <c r="B4190" s="17"/>
      <c r="C4190" s="133"/>
      <c r="D4190" s="133"/>
      <c r="E4190" s="17"/>
      <c r="F4190" s="133"/>
      <c r="G4190" s="133"/>
      <c r="H4190" s="133"/>
      <c r="I4190" s="133"/>
      <c r="J4190" s="133"/>
      <c r="K4190" s="133"/>
      <c r="L4190" s="133"/>
      <c r="M4190" s="133"/>
      <c r="N4190" s="133"/>
      <c r="O4190" s="133"/>
      <c r="P4190" s="134"/>
      <c r="Q4190" s="146"/>
      <c r="R4190" s="17"/>
      <c r="S4190" s="17"/>
      <c r="T4190" s="75"/>
      <c r="U4190" s="75"/>
      <c r="V4190" s="75"/>
      <c r="W4190" s="75"/>
      <c r="X4190" s="75"/>
    </row>
    <row r="4191">
      <c r="A4191" s="17"/>
      <c r="B4191" s="17"/>
      <c r="C4191" s="133"/>
      <c r="D4191" s="133"/>
      <c r="E4191" s="17"/>
      <c r="F4191" s="133"/>
      <c r="G4191" s="133"/>
      <c r="H4191" s="133"/>
      <c r="I4191" s="133"/>
      <c r="J4191" s="133"/>
      <c r="K4191" s="133"/>
      <c r="L4191" s="133"/>
      <c r="M4191" s="133"/>
      <c r="N4191" s="133"/>
      <c r="O4191" s="133"/>
      <c r="P4191" s="134"/>
      <c r="Q4191" s="146"/>
      <c r="R4191" s="17"/>
      <c r="S4191" s="17"/>
      <c r="T4191" s="75"/>
      <c r="U4191" s="75"/>
      <c r="V4191" s="75"/>
      <c r="W4191" s="75"/>
      <c r="X4191" s="75"/>
    </row>
    <row r="4192">
      <c r="A4192" s="17"/>
      <c r="B4192" s="17"/>
      <c r="C4192" s="133"/>
      <c r="D4192" s="133"/>
      <c r="E4192" s="17"/>
      <c r="F4192" s="133"/>
      <c r="G4192" s="133"/>
      <c r="H4192" s="133"/>
      <c r="I4192" s="133"/>
      <c r="J4192" s="133"/>
      <c r="K4192" s="133"/>
      <c r="L4192" s="133"/>
      <c r="M4192" s="133"/>
      <c r="N4192" s="133"/>
      <c r="O4192" s="133"/>
      <c r="P4192" s="134"/>
      <c r="Q4192" s="146"/>
      <c r="R4192" s="17"/>
      <c r="S4192" s="17"/>
      <c r="T4192" s="75"/>
      <c r="U4192" s="75"/>
      <c r="V4192" s="75"/>
      <c r="W4192" s="75"/>
      <c r="X4192" s="75"/>
    </row>
    <row r="4193">
      <c r="A4193" s="17"/>
      <c r="B4193" s="17"/>
      <c r="C4193" s="133"/>
      <c r="D4193" s="133"/>
      <c r="E4193" s="17"/>
      <c r="F4193" s="133"/>
      <c r="G4193" s="133"/>
      <c r="H4193" s="133"/>
      <c r="I4193" s="133"/>
      <c r="J4193" s="133"/>
      <c r="K4193" s="133"/>
      <c r="L4193" s="133"/>
      <c r="M4193" s="133"/>
      <c r="N4193" s="133"/>
      <c r="O4193" s="133"/>
      <c r="P4193" s="134"/>
      <c r="Q4193" s="146"/>
      <c r="R4193" s="17"/>
      <c r="S4193" s="17"/>
      <c r="T4193" s="75"/>
      <c r="U4193" s="75"/>
      <c r="V4193" s="75"/>
      <c r="W4193" s="75"/>
      <c r="X4193" s="75"/>
    </row>
    <row r="4194">
      <c r="A4194" s="17"/>
      <c r="B4194" s="17"/>
      <c r="C4194" s="133"/>
      <c r="D4194" s="133"/>
      <c r="E4194" s="17"/>
      <c r="F4194" s="133"/>
      <c r="G4194" s="133"/>
      <c r="H4194" s="133"/>
      <c r="I4194" s="133"/>
      <c r="J4194" s="133"/>
      <c r="K4194" s="133"/>
      <c r="L4194" s="133"/>
      <c r="M4194" s="133"/>
      <c r="N4194" s="133"/>
      <c r="O4194" s="133"/>
      <c r="P4194" s="134"/>
      <c r="Q4194" s="146"/>
      <c r="R4194" s="17"/>
      <c r="S4194" s="17"/>
      <c r="T4194" s="75"/>
      <c r="U4194" s="75"/>
      <c r="V4194" s="75"/>
      <c r="W4194" s="75"/>
      <c r="X4194" s="75"/>
    </row>
    <row r="4195">
      <c r="A4195" s="17"/>
      <c r="B4195" s="17"/>
      <c r="C4195" s="133"/>
      <c r="D4195" s="133"/>
      <c r="E4195" s="17"/>
      <c r="F4195" s="133"/>
      <c r="G4195" s="133"/>
      <c r="H4195" s="133"/>
      <c r="I4195" s="133"/>
      <c r="J4195" s="133"/>
      <c r="K4195" s="133"/>
      <c r="L4195" s="133"/>
      <c r="M4195" s="133"/>
      <c r="N4195" s="133"/>
      <c r="O4195" s="133"/>
      <c r="P4195" s="134"/>
      <c r="Q4195" s="146"/>
      <c r="R4195" s="17"/>
      <c r="S4195" s="17"/>
      <c r="T4195" s="75"/>
      <c r="U4195" s="75"/>
      <c r="V4195" s="75"/>
      <c r="W4195" s="75"/>
      <c r="X4195" s="75"/>
    </row>
    <row r="4196">
      <c r="A4196" s="17"/>
      <c r="B4196" s="17"/>
      <c r="C4196" s="133"/>
      <c r="D4196" s="133"/>
      <c r="E4196" s="17"/>
      <c r="F4196" s="133"/>
      <c r="G4196" s="133"/>
      <c r="H4196" s="133"/>
      <c r="I4196" s="133"/>
      <c r="J4196" s="133"/>
      <c r="K4196" s="133"/>
      <c r="L4196" s="133"/>
      <c r="M4196" s="133"/>
      <c r="N4196" s="133"/>
      <c r="O4196" s="133"/>
      <c r="P4196" s="134"/>
      <c r="Q4196" s="146"/>
      <c r="R4196" s="17"/>
      <c r="S4196" s="17"/>
      <c r="T4196" s="75"/>
      <c r="U4196" s="75"/>
      <c r="V4196" s="75"/>
      <c r="W4196" s="75"/>
      <c r="X4196" s="75"/>
    </row>
    <row r="4197">
      <c r="A4197" s="17"/>
      <c r="B4197" s="17"/>
      <c r="C4197" s="133"/>
      <c r="D4197" s="133"/>
      <c r="E4197" s="17"/>
      <c r="F4197" s="133"/>
      <c r="G4197" s="133"/>
      <c r="H4197" s="133"/>
      <c r="I4197" s="133"/>
      <c r="J4197" s="133"/>
      <c r="K4197" s="133"/>
      <c r="L4197" s="133"/>
      <c r="M4197" s="133"/>
      <c r="N4197" s="133"/>
      <c r="O4197" s="133"/>
      <c r="P4197" s="134"/>
      <c r="Q4197" s="146"/>
      <c r="R4197" s="17"/>
      <c r="S4197" s="17"/>
      <c r="T4197" s="75"/>
      <c r="U4197" s="75"/>
      <c r="V4197" s="75"/>
      <c r="W4197" s="75"/>
      <c r="X4197" s="75"/>
    </row>
    <row r="4198">
      <c r="A4198" s="17"/>
      <c r="B4198" s="17"/>
      <c r="C4198" s="133"/>
      <c r="D4198" s="133"/>
      <c r="E4198" s="17"/>
      <c r="F4198" s="133"/>
      <c r="G4198" s="133"/>
      <c r="H4198" s="133"/>
      <c r="I4198" s="133"/>
      <c r="J4198" s="133"/>
      <c r="K4198" s="133"/>
      <c r="L4198" s="133"/>
      <c r="M4198" s="133"/>
      <c r="N4198" s="133"/>
      <c r="O4198" s="133"/>
      <c r="P4198" s="134"/>
      <c r="Q4198" s="146"/>
      <c r="R4198" s="17"/>
      <c r="S4198" s="17"/>
      <c r="T4198" s="75"/>
      <c r="U4198" s="75"/>
      <c r="V4198" s="75"/>
      <c r="W4198" s="75"/>
      <c r="X4198" s="75"/>
    </row>
    <row r="4199">
      <c r="A4199" s="17"/>
      <c r="B4199" s="17"/>
      <c r="C4199" s="133"/>
      <c r="D4199" s="133"/>
      <c r="E4199" s="17"/>
      <c r="F4199" s="133"/>
      <c r="G4199" s="133"/>
      <c r="H4199" s="133"/>
      <c r="I4199" s="133"/>
      <c r="J4199" s="133"/>
      <c r="K4199" s="133"/>
      <c r="L4199" s="133"/>
      <c r="M4199" s="133"/>
      <c r="N4199" s="133"/>
      <c r="O4199" s="133"/>
      <c r="P4199" s="134"/>
      <c r="Q4199" s="146"/>
      <c r="R4199" s="17"/>
      <c r="S4199" s="17"/>
      <c r="T4199" s="75"/>
      <c r="U4199" s="75"/>
      <c r="V4199" s="75"/>
      <c r="W4199" s="75"/>
      <c r="X4199" s="75"/>
    </row>
    <row r="4200">
      <c r="A4200" s="17"/>
      <c r="B4200" s="17"/>
      <c r="C4200" s="133"/>
      <c r="D4200" s="133"/>
      <c r="E4200" s="17"/>
      <c r="F4200" s="133"/>
      <c r="G4200" s="133"/>
      <c r="H4200" s="133"/>
      <c r="I4200" s="133"/>
      <c r="J4200" s="133"/>
      <c r="K4200" s="133"/>
      <c r="L4200" s="133"/>
      <c r="M4200" s="133"/>
      <c r="N4200" s="133"/>
      <c r="O4200" s="133"/>
      <c r="P4200" s="134"/>
      <c r="Q4200" s="146"/>
      <c r="R4200" s="17"/>
      <c r="S4200" s="17"/>
      <c r="T4200" s="75"/>
      <c r="U4200" s="75"/>
      <c r="V4200" s="75"/>
      <c r="W4200" s="75"/>
      <c r="X4200" s="75"/>
    </row>
    <row r="4201">
      <c r="A4201" s="17"/>
      <c r="B4201" s="17"/>
      <c r="C4201" s="133"/>
      <c r="D4201" s="133"/>
      <c r="E4201" s="17"/>
      <c r="F4201" s="133"/>
      <c r="G4201" s="133"/>
      <c r="H4201" s="133"/>
      <c r="I4201" s="133"/>
      <c r="J4201" s="133"/>
      <c r="K4201" s="133"/>
      <c r="L4201" s="133"/>
      <c r="M4201" s="133"/>
      <c r="N4201" s="133"/>
      <c r="O4201" s="133"/>
      <c r="P4201" s="134"/>
      <c r="Q4201" s="146"/>
      <c r="R4201" s="17"/>
      <c r="S4201" s="17"/>
      <c r="T4201" s="75"/>
      <c r="U4201" s="75"/>
      <c r="V4201" s="75"/>
      <c r="W4201" s="75"/>
      <c r="X4201" s="75"/>
    </row>
    <row r="4202">
      <c r="A4202" s="17"/>
      <c r="B4202" s="17"/>
      <c r="C4202" s="133"/>
      <c r="D4202" s="133"/>
      <c r="E4202" s="17"/>
      <c r="F4202" s="133"/>
      <c r="G4202" s="133"/>
      <c r="H4202" s="133"/>
      <c r="I4202" s="133"/>
      <c r="J4202" s="133"/>
      <c r="K4202" s="133"/>
      <c r="L4202" s="133"/>
      <c r="M4202" s="133"/>
      <c r="N4202" s="133"/>
      <c r="O4202" s="133"/>
      <c r="P4202" s="134"/>
      <c r="Q4202" s="146"/>
      <c r="R4202" s="17"/>
      <c r="S4202" s="17"/>
      <c r="T4202" s="75"/>
      <c r="U4202" s="75"/>
      <c r="V4202" s="75"/>
      <c r="W4202" s="75"/>
      <c r="X4202" s="75"/>
    </row>
    <row r="4203">
      <c r="A4203" s="17"/>
      <c r="B4203" s="17"/>
      <c r="C4203" s="133"/>
      <c r="D4203" s="133"/>
      <c r="E4203" s="17"/>
      <c r="F4203" s="133"/>
      <c r="G4203" s="133"/>
      <c r="H4203" s="133"/>
      <c r="I4203" s="133"/>
      <c r="J4203" s="133"/>
      <c r="K4203" s="133"/>
      <c r="L4203" s="133"/>
      <c r="M4203" s="133"/>
      <c r="N4203" s="133"/>
      <c r="O4203" s="133"/>
      <c r="P4203" s="134"/>
      <c r="Q4203" s="146"/>
      <c r="R4203" s="17"/>
      <c r="S4203" s="17"/>
      <c r="T4203" s="75"/>
      <c r="U4203" s="75"/>
      <c r="V4203" s="75"/>
      <c r="W4203" s="75"/>
      <c r="X4203" s="75"/>
    </row>
    <row r="4204">
      <c r="A4204" s="17"/>
      <c r="B4204" s="17"/>
      <c r="C4204" s="133"/>
      <c r="D4204" s="133"/>
      <c r="E4204" s="17"/>
      <c r="F4204" s="133"/>
      <c r="G4204" s="133"/>
      <c r="H4204" s="133"/>
      <c r="I4204" s="133"/>
      <c r="J4204" s="133"/>
      <c r="K4204" s="133"/>
      <c r="L4204" s="133"/>
      <c r="M4204" s="133"/>
      <c r="N4204" s="133"/>
      <c r="O4204" s="133"/>
      <c r="P4204" s="134"/>
      <c r="Q4204" s="146"/>
      <c r="R4204" s="17"/>
      <c r="S4204" s="17"/>
      <c r="T4204" s="75"/>
      <c r="U4204" s="75"/>
      <c r="V4204" s="75"/>
      <c r="W4204" s="75"/>
      <c r="X4204" s="75"/>
    </row>
    <row r="4205">
      <c r="A4205" s="17"/>
      <c r="B4205" s="17"/>
      <c r="C4205" s="133"/>
      <c r="D4205" s="133"/>
      <c r="E4205" s="17"/>
      <c r="F4205" s="133"/>
      <c r="G4205" s="133"/>
      <c r="H4205" s="133"/>
      <c r="I4205" s="133"/>
      <c r="J4205" s="133"/>
      <c r="K4205" s="133"/>
      <c r="L4205" s="133"/>
      <c r="M4205" s="133"/>
      <c r="N4205" s="133"/>
      <c r="O4205" s="133"/>
      <c r="P4205" s="134"/>
      <c r="Q4205" s="146"/>
      <c r="R4205" s="17"/>
      <c r="S4205" s="17"/>
      <c r="T4205" s="75"/>
      <c r="U4205" s="75"/>
      <c r="V4205" s="75"/>
      <c r="W4205" s="75"/>
      <c r="X4205" s="75"/>
    </row>
    <row r="4206">
      <c r="A4206" s="17"/>
      <c r="B4206" s="17"/>
      <c r="C4206" s="133"/>
      <c r="D4206" s="133"/>
      <c r="E4206" s="17"/>
      <c r="F4206" s="133"/>
      <c r="G4206" s="133"/>
      <c r="H4206" s="133"/>
      <c r="I4206" s="133"/>
      <c r="J4206" s="133"/>
      <c r="K4206" s="133"/>
      <c r="L4206" s="133"/>
      <c r="M4206" s="133"/>
      <c r="N4206" s="133"/>
      <c r="O4206" s="133"/>
      <c r="P4206" s="134"/>
      <c r="Q4206" s="146"/>
      <c r="R4206" s="17"/>
      <c r="S4206" s="17"/>
      <c r="T4206" s="75"/>
      <c r="U4206" s="75"/>
      <c r="V4206" s="75"/>
      <c r="W4206" s="75"/>
      <c r="X4206" s="75"/>
    </row>
    <row r="4207">
      <c r="A4207" s="17"/>
      <c r="B4207" s="17"/>
      <c r="C4207" s="133"/>
      <c r="D4207" s="133"/>
      <c r="E4207" s="17"/>
      <c r="F4207" s="133"/>
      <c r="G4207" s="133"/>
      <c r="H4207" s="133"/>
      <c r="I4207" s="133"/>
      <c r="J4207" s="133"/>
      <c r="K4207" s="133"/>
      <c r="L4207" s="133"/>
      <c r="M4207" s="133"/>
      <c r="N4207" s="133"/>
      <c r="O4207" s="133"/>
      <c r="P4207" s="134"/>
      <c r="Q4207" s="146"/>
      <c r="R4207" s="17"/>
      <c r="S4207" s="17"/>
      <c r="T4207" s="75"/>
      <c r="U4207" s="75"/>
      <c r="V4207" s="75"/>
      <c r="W4207" s="75"/>
      <c r="X4207" s="75"/>
    </row>
    <row r="4208">
      <c r="A4208" s="17"/>
      <c r="B4208" s="17"/>
      <c r="C4208" s="133"/>
      <c r="D4208" s="133"/>
      <c r="E4208" s="17"/>
      <c r="F4208" s="133"/>
      <c r="G4208" s="133"/>
      <c r="H4208" s="133"/>
      <c r="I4208" s="133"/>
      <c r="J4208" s="133"/>
      <c r="K4208" s="133"/>
      <c r="L4208" s="133"/>
      <c r="M4208" s="133"/>
      <c r="N4208" s="133"/>
      <c r="O4208" s="133"/>
      <c r="P4208" s="134"/>
      <c r="Q4208" s="146"/>
      <c r="R4208" s="17"/>
      <c r="S4208" s="17"/>
      <c r="T4208" s="75"/>
      <c r="U4208" s="75"/>
      <c r="V4208" s="75"/>
      <c r="W4208" s="75"/>
      <c r="X4208" s="75"/>
    </row>
    <row r="4209">
      <c r="A4209" s="17"/>
      <c r="B4209" s="17"/>
      <c r="C4209" s="133"/>
      <c r="D4209" s="133"/>
      <c r="E4209" s="17"/>
      <c r="F4209" s="133"/>
      <c r="G4209" s="133"/>
      <c r="H4209" s="133"/>
      <c r="I4209" s="133"/>
      <c r="J4209" s="133"/>
      <c r="K4209" s="133"/>
      <c r="L4209" s="133"/>
      <c r="M4209" s="133"/>
      <c r="N4209" s="133"/>
      <c r="O4209" s="133"/>
      <c r="P4209" s="134"/>
      <c r="Q4209" s="146"/>
      <c r="R4209" s="17"/>
      <c r="S4209" s="17"/>
      <c r="T4209" s="75"/>
      <c r="U4209" s="75"/>
      <c r="V4209" s="75"/>
      <c r="W4209" s="75"/>
      <c r="X4209" s="75"/>
    </row>
    <row r="4210">
      <c r="A4210" s="17"/>
      <c r="B4210" s="17"/>
      <c r="C4210" s="133"/>
      <c r="D4210" s="133"/>
      <c r="E4210" s="17"/>
      <c r="F4210" s="133"/>
      <c r="G4210" s="133"/>
      <c r="H4210" s="133"/>
      <c r="I4210" s="133"/>
      <c r="J4210" s="133"/>
      <c r="K4210" s="133"/>
      <c r="L4210" s="133"/>
      <c r="M4210" s="133"/>
      <c r="N4210" s="133"/>
      <c r="O4210" s="133"/>
      <c r="P4210" s="134"/>
      <c r="Q4210" s="146"/>
      <c r="R4210" s="17"/>
      <c r="S4210" s="17"/>
      <c r="T4210" s="75"/>
      <c r="U4210" s="75"/>
      <c r="V4210" s="75"/>
      <c r="W4210" s="75"/>
      <c r="X4210" s="75"/>
    </row>
    <row r="4211">
      <c r="A4211" s="17"/>
      <c r="B4211" s="17"/>
      <c r="C4211" s="133"/>
      <c r="D4211" s="133"/>
      <c r="E4211" s="17"/>
      <c r="F4211" s="133"/>
      <c r="G4211" s="133"/>
      <c r="H4211" s="133"/>
      <c r="I4211" s="133"/>
      <c r="J4211" s="133"/>
      <c r="K4211" s="133"/>
      <c r="L4211" s="133"/>
      <c r="M4211" s="133"/>
      <c r="N4211" s="133"/>
      <c r="O4211" s="133"/>
      <c r="P4211" s="134"/>
      <c r="Q4211" s="146"/>
      <c r="R4211" s="17"/>
      <c r="S4211" s="17"/>
      <c r="T4211" s="75"/>
      <c r="U4211" s="75"/>
      <c r="V4211" s="75"/>
      <c r="W4211" s="75"/>
      <c r="X4211" s="75"/>
    </row>
    <row r="4212">
      <c r="A4212" s="17"/>
      <c r="B4212" s="17"/>
      <c r="C4212" s="133"/>
      <c r="D4212" s="133"/>
      <c r="E4212" s="17"/>
      <c r="F4212" s="133"/>
      <c r="G4212" s="133"/>
      <c r="H4212" s="133"/>
      <c r="I4212" s="133"/>
      <c r="J4212" s="133"/>
      <c r="K4212" s="133"/>
      <c r="L4212" s="133"/>
      <c r="M4212" s="133"/>
      <c r="N4212" s="133"/>
      <c r="O4212" s="133"/>
      <c r="P4212" s="134"/>
      <c r="Q4212" s="146"/>
      <c r="R4212" s="17"/>
      <c r="S4212" s="17"/>
      <c r="T4212" s="75"/>
      <c r="U4212" s="75"/>
      <c r="V4212" s="75"/>
      <c r="W4212" s="75"/>
      <c r="X4212" s="75"/>
    </row>
    <row r="4213">
      <c r="A4213" s="17"/>
      <c r="B4213" s="17"/>
      <c r="C4213" s="133"/>
      <c r="D4213" s="133"/>
      <c r="E4213" s="17"/>
      <c r="F4213" s="133"/>
      <c r="G4213" s="133"/>
      <c r="H4213" s="133"/>
      <c r="I4213" s="133"/>
      <c r="J4213" s="133"/>
      <c r="K4213" s="133"/>
      <c r="L4213" s="133"/>
      <c r="M4213" s="133"/>
      <c r="N4213" s="133"/>
      <c r="O4213" s="133"/>
      <c r="P4213" s="134"/>
      <c r="Q4213" s="146"/>
      <c r="R4213" s="17"/>
      <c r="S4213" s="17"/>
      <c r="T4213" s="75"/>
      <c r="U4213" s="75"/>
      <c r="V4213" s="75"/>
      <c r="W4213" s="75"/>
      <c r="X4213" s="75"/>
    </row>
    <row r="4214">
      <c r="A4214" s="17"/>
      <c r="B4214" s="17"/>
      <c r="C4214" s="133"/>
      <c r="D4214" s="133"/>
      <c r="E4214" s="17"/>
      <c r="F4214" s="133"/>
      <c r="G4214" s="133"/>
      <c r="H4214" s="133"/>
      <c r="I4214" s="133"/>
      <c r="J4214" s="133"/>
      <c r="K4214" s="133"/>
      <c r="L4214" s="133"/>
      <c r="M4214" s="133"/>
      <c r="N4214" s="133"/>
      <c r="O4214" s="133"/>
      <c r="P4214" s="134"/>
      <c r="Q4214" s="146"/>
      <c r="R4214" s="17"/>
      <c r="S4214" s="17"/>
      <c r="T4214" s="75"/>
      <c r="U4214" s="75"/>
      <c r="V4214" s="75"/>
      <c r="W4214" s="75"/>
      <c r="X4214" s="75"/>
    </row>
    <row r="4215">
      <c r="A4215" s="17"/>
      <c r="B4215" s="17"/>
      <c r="C4215" s="133"/>
      <c r="D4215" s="133"/>
      <c r="E4215" s="17"/>
      <c r="F4215" s="133"/>
      <c r="G4215" s="133"/>
      <c r="H4215" s="133"/>
      <c r="I4215" s="133"/>
      <c r="J4215" s="133"/>
      <c r="K4215" s="133"/>
      <c r="L4215" s="133"/>
      <c r="M4215" s="133"/>
      <c r="N4215" s="133"/>
      <c r="O4215" s="133"/>
      <c r="P4215" s="134"/>
      <c r="Q4215" s="146"/>
      <c r="R4215" s="17"/>
      <c r="S4215" s="17"/>
      <c r="T4215" s="75"/>
      <c r="U4215" s="75"/>
      <c r="V4215" s="75"/>
      <c r="W4215" s="75"/>
      <c r="X4215" s="75"/>
    </row>
    <row r="4216">
      <c r="A4216" s="17"/>
      <c r="B4216" s="17"/>
      <c r="C4216" s="133"/>
      <c r="D4216" s="133"/>
      <c r="E4216" s="17"/>
      <c r="F4216" s="133"/>
      <c r="G4216" s="133"/>
      <c r="H4216" s="133"/>
      <c r="I4216" s="133"/>
      <c r="J4216" s="133"/>
      <c r="K4216" s="133"/>
      <c r="L4216" s="133"/>
      <c r="M4216" s="133"/>
      <c r="N4216" s="133"/>
      <c r="O4216" s="133"/>
      <c r="P4216" s="134"/>
      <c r="Q4216" s="146"/>
      <c r="R4216" s="17"/>
      <c r="S4216" s="17"/>
      <c r="T4216" s="75"/>
      <c r="U4216" s="75"/>
      <c r="V4216" s="75"/>
      <c r="W4216" s="75"/>
      <c r="X4216" s="75"/>
    </row>
    <row r="4217">
      <c r="A4217" s="17"/>
      <c r="B4217" s="17"/>
      <c r="C4217" s="133"/>
      <c r="D4217" s="133"/>
      <c r="E4217" s="17"/>
      <c r="F4217" s="133"/>
      <c r="G4217" s="133"/>
      <c r="H4217" s="133"/>
      <c r="I4217" s="133"/>
      <c r="J4217" s="133"/>
      <c r="K4217" s="133"/>
      <c r="L4217" s="133"/>
      <c r="M4217" s="133"/>
      <c r="N4217" s="133"/>
      <c r="O4217" s="133"/>
      <c r="P4217" s="134"/>
      <c r="Q4217" s="146"/>
      <c r="R4217" s="17"/>
      <c r="S4217" s="17"/>
      <c r="T4217" s="75"/>
      <c r="U4217" s="75"/>
      <c r="V4217" s="75"/>
      <c r="W4217" s="75"/>
      <c r="X4217" s="75"/>
    </row>
    <row r="4218">
      <c r="A4218" s="17"/>
      <c r="B4218" s="17"/>
      <c r="C4218" s="133"/>
      <c r="D4218" s="133"/>
      <c r="E4218" s="17"/>
      <c r="F4218" s="133"/>
      <c r="G4218" s="133"/>
      <c r="H4218" s="133"/>
      <c r="I4218" s="133"/>
      <c r="J4218" s="133"/>
      <c r="K4218" s="133"/>
      <c r="L4218" s="133"/>
      <c r="M4218" s="133"/>
      <c r="N4218" s="133"/>
      <c r="O4218" s="133"/>
      <c r="P4218" s="134"/>
      <c r="Q4218" s="146"/>
      <c r="R4218" s="17"/>
      <c r="S4218" s="17"/>
      <c r="T4218" s="75"/>
      <c r="U4218" s="75"/>
      <c r="V4218" s="75"/>
      <c r="W4218" s="75"/>
      <c r="X4218" s="75"/>
    </row>
    <row r="4219">
      <c r="A4219" s="17"/>
      <c r="B4219" s="17"/>
      <c r="C4219" s="133"/>
      <c r="D4219" s="133"/>
      <c r="E4219" s="17"/>
      <c r="F4219" s="133"/>
      <c r="G4219" s="133"/>
      <c r="H4219" s="133"/>
      <c r="I4219" s="133"/>
      <c r="J4219" s="133"/>
      <c r="K4219" s="133"/>
      <c r="L4219" s="133"/>
      <c r="M4219" s="133"/>
      <c r="N4219" s="133"/>
      <c r="O4219" s="133"/>
      <c r="P4219" s="134"/>
      <c r="Q4219" s="146"/>
      <c r="R4219" s="17"/>
      <c r="S4219" s="17"/>
      <c r="T4219" s="75"/>
      <c r="U4219" s="75"/>
      <c r="V4219" s="75"/>
      <c r="W4219" s="75"/>
      <c r="X4219" s="75"/>
    </row>
    <row r="4220">
      <c r="A4220" s="17"/>
      <c r="B4220" s="17"/>
      <c r="C4220" s="133"/>
      <c r="D4220" s="133"/>
      <c r="E4220" s="17"/>
      <c r="F4220" s="133"/>
      <c r="G4220" s="133"/>
      <c r="H4220" s="133"/>
      <c r="I4220" s="133"/>
      <c r="J4220" s="133"/>
      <c r="K4220" s="133"/>
      <c r="L4220" s="133"/>
      <c r="M4220" s="133"/>
      <c r="N4220" s="133"/>
      <c r="O4220" s="133"/>
      <c r="P4220" s="134"/>
      <c r="Q4220" s="146"/>
      <c r="R4220" s="17"/>
      <c r="S4220" s="17"/>
      <c r="T4220" s="75"/>
      <c r="U4220" s="75"/>
      <c r="V4220" s="75"/>
      <c r="W4220" s="75"/>
      <c r="X4220" s="75"/>
    </row>
    <row r="4221">
      <c r="A4221" s="17"/>
      <c r="B4221" s="17"/>
      <c r="C4221" s="133"/>
      <c r="D4221" s="133"/>
      <c r="E4221" s="17"/>
      <c r="F4221" s="133"/>
      <c r="G4221" s="133"/>
      <c r="H4221" s="133"/>
      <c r="I4221" s="133"/>
      <c r="J4221" s="133"/>
      <c r="K4221" s="133"/>
      <c r="L4221" s="133"/>
      <c r="M4221" s="133"/>
      <c r="N4221" s="133"/>
      <c r="O4221" s="133"/>
      <c r="P4221" s="134"/>
      <c r="Q4221" s="146"/>
      <c r="R4221" s="17"/>
      <c r="S4221" s="17"/>
      <c r="T4221" s="75"/>
      <c r="U4221" s="75"/>
      <c r="V4221" s="75"/>
      <c r="W4221" s="75"/>
      <c r="X4221" s="75"/>
    </row>
    <row r="4222">
      <c r="A4222" s="17"/>
      <c r="B4222" s="17"/>
      <c r="C4222" s="133"/>
      <c r="D4222" s="133"/>
      <c r="E4222" s="17"/>
      <c r="F4222" s="133"/>
      <c r="G4222" s="133"/>
      <c r="H4222" s="133"/>
      <c r="I4222" s="133"/>
      <c r="J4222" s="133"/>
      <c r="K4222" s="133"/>
      <c r="L4222" s="133"/>
      <c r="M4222" s="133"/>
      <c r="N4222" s="133"/>
      <c r="O4222" s="133"/>
      <c r="P4222" s="134"/>
      <c r="Q4222" s="146"/>
      <c r="R4222" s="17"/>
      <c r="S4222" s="17"/>
      <c r="T4222" s="75"/>
      <c r="U4222" s="75"/>
      <c r="V4222" s="75"/>
      <c r="W4222" s="75"/>
      <c r="X4222" s="75"/>
    </row>
    <row r="4223">
      <c r="A4223" s="17"/>
      <c r="B4223" s="17"/>
      <c r="C4223" s="133"/>
      <c r="D4223" s="133"/>
      <c r="E4223" s="17"/>
      <c r="F4223" s="133"/>
      <c r="G4223" s="133"/>
      <c r="H4223" s="133"/>
      <c r="I4223" s="133"/>
      <c r="J4223" s="133"/>
      <c r="K4223" s="133"/>
      <c r="L4223" s="133"/>
      <c r="M4223" s="133"/>
      <c r="N4223" s="133"/>
      <c r="O4223" s="133"/>
      <c r="P4223" s="134"/>
      <c r="Q4223" s="146"/>
      <c r="R4223" s="17"/>
      <c r="S4223" s="17"/>
      <c r="T4223" s="75"/>
      <c r="U4223" s="75"/>
      <c r="V4223" s="75"/>
      <c r="W4223" s="75"/>
      <c r="X4223" s="75"/>
    </row>
    <row r="4224">
      <c r="A4224" s="17"/>
      <c r="B4224" s="17"/>
      <c r="C4224" s="133"/>
      <c r="D4224" s="133"/>
      <c r="E4224" s="17"/>
      <c r="F4224" s="133"/>
      <c r="G4224" s="133"/>
      <c r="H4224" s="133"/>
      <c r="I4224" s="133"/>
      <c r="J4224" s="133"/>
      <c r="K4224" s="133"/>
      <c r="L4224" s="133"/>
      <c r="M4224" s="133"/>
      <c r="N4224" s="133"/>
      <c r="O4224" s="133"/>
      <c r="P4224" s="134"/>
      <c r="Q4224" s="146"/>
      <c r="R4224" s="17"/>
      <c r="S4224" s="17"/>
      <c r="T4224" s="75"/>
      <c r="U4224" s="75"/>
      <c r="V4224" s="75"/>
      <c r="W4224" s="75"/>
      <c r="X4224" s="75"/>
    </row>
    <row r="4225">
      <c r="A4225" s="17"/>
      <c r="B4225" s="17"/>
      <c r="C4225" s="133"/>
      <c r="D4225" s="133"/>
      <c r="E4225" s="17"/>
      <c r="F4225" s="133"/>
      <c r="G4225" s="133"/>
      <c r="H4225" s="133"/>
      <c r="I4225" s="133"/>
      <c r="J4225" s="133"/>
      <c r="K4225" s="133"/>
      <c r="L4225" s="133"/>
      <c r="M4225" s="133"/>
      <c r="N4225" s="133"/>
      <c r="O4225" s="133"/>
      <c r="P4225" s="134"/>
      <c r="Q4225" s="146"/>
      <c r="R4225" s="17"/>
      <c r="S4225" s="17"/>
      <c r="T4225" s="75"/>
      <c r="U4225" s="75"/>
      <c r="V4225" s="75"/>
      <c r="W4225" s="75"/>
      <c r="X4225" s="75"/>
    </row>
    <row r="4226">
      <c r="A4226" s="17"/>
      <c r="B4226" s="17"/>
      <c r="C4226" s="133"/>
      <c r="D4226" s="133"/>
      <c r="E4226" s="17"/>
      <c r="F4226" s="133"/>
      <c r="G4226" s="133"/>
      <c r="H4226" s="133"/>
      <c r="I4226" s="133"/>
      <c r="J4226" s="133"/>
      <c r="K4226" s="133"/>
      <c r="L4226" s="133"/>
      <c r="M4226" s="133"/>
      <c r="N4226" s="133"/>
      <c r="O4226" s="133"/>
      <c r="P4226" s="134"/>
      <c r="Q4226" s="146"/>
      <c r="R4226" s="17"/>
      <c r="S4226" s="17"/>
      <c r="T4226" s="75"/>
      <c r="U4226" s="75"/>
      <c r="V4226" s="75"/>
      <c r="W4226" s="75"/>
      <c r="X4226" s="75"/>
    </row>
    <row r="4227">
      <c r="A4227" s="17"/>
      <c r="B4227" s="17"/>
      <c r="C4227" s="133"/>
      <c r="D4227" s="133"/>
      <c r="E4227" s="17"/>
      <c r="F4227" s="133"/>
      <c r="G4227" s="133"/>
      <c r="H4227" s="133"/>
      <c r="I4227" s="133"/>
      <c r="J4227" s="133"/>
      <c r="K4227" s="133"/>
      <c r="L4227" s="133"/>
      <c r="M4227" s="133"/>
      <c r="N4227" s="133"/>
      <c r="O4227" s="133"/>
      <c r="P4227" s="134"/>
      <c r="Q4227" s="146"/>
      <c r="R4227" s="17"/>
      <c r="S4227" s="17"/>
      <c r="T4227" s="75"/>
      <c r="U4227" s="75"/>
      <c r="V4227" s="75"/>
      <c r="W4227" s="75"/>
      <c r="X4227" s="75"/>
    </row>
    <row r="4228">
      <c r="A4228" s="17"/>
      <c r="B4228" s="17"/>
      <c r="C4228" s="133"/>
      <c r="D4228" s="133"/>
      <c r="E4228" s="17"/>
      <c r="F4228" s="133"/>
      <c r="G4228" s="133"/>
      <c r="H4228" s="133"/>
      <c r="I4228" s="133"/>
      <c r="J4228" s="133"/>
      <c r="K4228" s="133"/>
      <c r="L4228" s="133"/>
      <c r="M4228" s="133"/>
      <c r="N4228" s="133"/>
      <c r="O4228" s="133"/>
      <c r="P4228" s="134"/>
      <c r="Q4228" s="146"/>
      <c r="R4228" s="17"/>
      <c r="S4228" s="17"/>
      <c r="T4228" s="75"/>
      <c r="U4228" s="75"/>
      <c r="V4228" s="75"/>
      <c r="W4228" s="75"/>
      <c r="X4228" s="75"/>
    </row>
    <row r="4229">
      <c r="A4229" s="17"/>
      <c r="B4229" s="17"/>
      <c r="C4229" s="133"/>
      <c r="D4229" s="133"/>
      <c r="E4229" s="17"/>
      <c r="F4229" s="133"/>
      <c r="G4229" s="133"/>
      <c r="H4229" s="133"/>
      <c r="I4229" s="133"/>
      <c r="J4229" s="133"/>
      <c r="K4229" s="133"/>
      <c r="L4229" s="133"/>
      <c r="M4229" s="133"/>
      <c r="N4229" s="133"/>
      <c r="O4229" s="133"/>
      <c r="P4229" s="134"/>
      <c r="Q4229" s="146"/>
      <c r="R4229" s="17"/>
      <c r="S4229" s="17"/>
      <c r="T4229" s="75"/>
      <c r="U4229" s="75"/>
      <c r="V4229" s="75"/>
      <c r="W4229" s="75"/>
      <c r="X4229" s="75"/>
    </row>
    <row r="4230">
      <c r="A4230" s="17"/>
      <c r="B4230" s="17"/>
      <c r="C4230" s="133"/>
      <c r="D4230" s="133"/>
      <c r="E4230" s="17"/>
      <c r="F4230" s="133"/>
      <c r="G4230" s="133"/>
      <c r="H4230" s="133"/>
      <c r="I4230" s="133"/>
      <c r="J4230" s="133"/>
      <c r="K4230" s="133"/>
      <c r="L4230" s="133"/>
      <c r="M4230" s="133"/>
      <c r="N4230" s="133"/>
      <c r="O4230" s="133"/>
      <c r="P4230" s="134"/>
      <c r="Q4230" s="146"/>
      <c r="R4230" s="17"/>
      <c r="S4230" s="17"/>
      <c r="T4230" s="75"/>
      <c r="U4230" s="75"/>
      <c r="V4230" s="75"/>
      <c r="W4230" s="75"/>
      <c r="X4230" s="75"/>
    </row>
    <row r="4231">
      <c r="A4231" s="17"/>
      <c r="B4231" s="17"/>
      <c r="C4231" s="133"/>
      <c r="D4231" s="133"/>
      <c r="E4231" s="17"/>
      <c r="F4231" s="133"/>
      <c r="G4231" s="133"/>
      <c r="H4231" s="133"/>
      <c r="I4231" s="133"/>
      <c r="J4231" s="133"/>
      <c r="K4231" s="133"/>
      <c r="L4231" s="133"/>
      <c r="M4231" s="133"/>
      <c r="N4231" s="133"/>
      <c r="O4231" s="133"/>
      <c r="P4231" s="134"/>
      <c r="Q4231" s="146"/>
      <c r="R4231" s="17"/>
      <c r="S4231" s="17"/>
      <c r="T4231" s="75"/>
      <c r="U4231" s="75"/>
      <c r="V4231" s="75"/>
      <c r="W4231" s="75"/>
      <c r="X4231" s="75"/>
    </row>
    <row r="4232">
      <c r="A4232" s="17"/>
      <c r="B4232" s="17"/>
      <c r="C4232" s="133"/>
      <c r="D4232" s="133"/>
      <c r="E4232" s="17"/>
      <c r="F4232" s="133"/>
      <c r="G4232" s="133"/>
      <c r="H4232" s="133"/>
      <c r="I4232" s="133"/>
      <c r="J4232" s="133"/>
      <c r="K4232" s="133"/>
      <c r="L4232" s="133"/>
      <c r="M4232" s="133"/>
      <c r="N4232" s="133"/>
      <c r="O4232" s="133"/>
      <c r="P4232" s="134"/>
      <c r="Q4232" s="146"/>
      <c r="R4232" s="17"/>
      <c r="S4232" s="17"/>
      <c r="T4232" s="75"/>
      <c r="U4232" s="75"/>
      <c r="V4232" s="75"/>
      <c r="W4232" s="75"/>
      <c r="X4232" s="75"/>
    </row>
    <row r="4233">
      <c r="A4233" s="17"/>
      <c r="B4233" s="17"/>
      <c r="C4233" s="133"/>
      <c r="D4233" s="133"/>
      <c r="E4233" s="17"/>
      <c r="F4233" s="133"/>
      <c r="G4233" s="133"/>
      <c r="H4233" s="133"/>
      <c r="I4233" s="133"/>
      <c r="J4233" s="133"/>
      <c r="K4233" s="133"/>
      <c r="L4233" s="133"/>
      <c r="M4233" s="133"/>
      <c r="N4233" s="133"/>
      <c r="O4233" s="133"/>
      <c r="P4233" s="134"/>
      <c r="Q4233" s="146"/>
      <c r="R4233" s="17"/>
      <c r="S4233" s="17"/>
      <c r="T4233" s="75"/>
      <c r="U4233" s="75"/>
      <c r="V4233" s="75"/>
      <c r="W4233" s="75"/>
      <c r="X4233" s="75"/>
    </row>
    <row r="4234">
      <c r="A4234" s="17"/>
      <c r="B4234" s="17"/>
      <c r="C4234" s="133"/>
      <c r="D4234" s="133"/>
      <c r="E4234" s="17"/>
      <c r="F4234" s="133"/>
      <c r="G4234" s="133"/>
      <c r="H4234" s="133"/>
      <c r="I4234" s="133"/>
      <c r="J4234" s="133"/>
      <c r="K4234" s="133"/>
      <c r="L4234" s="133"/>
      <c r="M4234" s="133"/>
      <c r="N4234" s="133"/>
      <c r="O4234" s="133"/>
      <c r="P4234" s="134"/>
      <c r="Q4234" s="146"/>
      <c r="R4234" s="17"/>
      <c r="S4234" s="17"/>
      <c r="T4234" s="75"/>
      <c r="U4234" s="75"/>
      <c r="V4234" s="75"/>
      <c r="W4234" s="75"/>
      <c r="X4234" s="75"/>
    </row>
    <row r="4235">
      <c r="A4235" s="17"/>
      <c r="B4235" s="17"/>
      <c r="C4235" s="133"/>
      <c r="D4235" s="133"/>
      <c r="E4235" s="17"/>
      <c r="F4235" s="133"/>
      <c r="G4235" s="133"/>
      <c r="H4235" s="133"/>
      <c r="I4235" s="133"/>
      <c r="J4235" s="133"/>
      <c r="K4235" s="133"/>
      <c r="L4235" s="133"/>
      <c r="M4235" s="133"/>
      <c r="N4235" s="133"/>
      <c r="O4235" s="133"/>
      <c r="P4235" s="134"/>
      <c r="Q4235" s="146"/>
      <c r="R4235" s="17"/>
      <c r="S4235" s="17"/>
      <c r="T4235" s="75"/>
      <c r="U4235" s="75"/>
      <c r="V4235" s="75"/>
      <c r="W4235" s="75"/>
      <c r="X4235" s="75"/>
    </row>
    <row r="4236">
      <c r="A4236" s="17"/>
      <c r="B4236" s="17"/>
      <c r="C4236" s="133"/>
      <c r="D4236" s="133"/>
      <c r="E4236" s="17"/>
      <c r="F4236" s="133"/>
      <c r="G4236" s="133"/>
      <c r="H4236" s="133"/>
      <c r="I4236" s="133"/>
      <c r="J4236" s="133"/>
      <c r="K4236" s="133"/>
      <c r="L4236" s="133"/>
      <c r="M4236" s="133"/>
      <c r="N4236" s="133"/>
      <c r="O4236" s="133"/>
      <c r="P4236" s="134"/>
      <c r="Q4236" s="146"/>
      <c r="R4236" s="17"/>
      <c r="S4236" s="17"/>
      <c r="T4236" s="75"/>
      <c r="U4236" s="75"/>
      <c r="V4236" s="75"/>
      <c r="W4236" s="75"/>
      <c r="X4236" s="75"/>
    </row>
    <row r="4237">
      <c r="A4237" s="17"/>
      <c r="B4237" s="17"/>
      <c r="C4237" s="133"/>
      <c r="D4237" s="133"/>
      <c r="E4237" s="17"/>
      <c r="F4237" s="133"/>
      <c r="G4237" s="133"/>
      <c r="H4237" s="133"/>
      <c r="I4237" s="133"/>
      <c r="J4237" s="133"/>
      <c r="K4237" s="133"/>
      <c r="L4237" s="133"/>
      <c r="M4237" s="133"/>
      <c r="N4237" s="133"/>
      <c r="O4237" s="133"/>
      <c r="P4237" s="134"/>
      <c r="Q4237" s="146"/>
      <c r="R4237" s="17"/>
      <c r="S4237" s="17"/>
      <c r="T4237" s="75"/>
      <c r="U4237" s="75"/>
      <c r="V4237" s="75"/>
      <c r="W4237" s="75"/>
      <c r="X4237" s="75"/>
    </row>
    <row r="4238">
      <c r="A4238" s="17"/>
      <c r="B4238" s="17"/>
      <c r="C4238" s="133"/>
      <c r="D4238" s="133"/>
      <c r="E4238" s="17"/>
      <c r="F4238" s="133"/>
      <c r="G4238" s="133"/>
      <c r="H4238" s="133"/>
      <c r="I4238" s="133"/>
      <c r="J4238" s="133"/>
      <c r="K4238" s="133"/>
      <c r="L4238" s="133"/>
      <c r="M4238" s="133"/>
      <c r="N4238" s="133"/>
      <c r="O4238" s="133"/>
      <c r="P4238" s="134"/>
      <c r="Q4238" s="146"/>
      <c r="R4238" s="17"/>
      <c r="S4238" s="17"/>
      <c r="T4238" s="75"/>
      <c r="U4238" s="75"/>
      <c r="V4238" s="75"/>
      <c r="W4238" s="75"/>
      <c r="X4238" s="75"/>
    </row>
    <row r="4239">
      <c r="A4239" s="17"/>
      <c r="B4239" s="17"/>
      <c r="C4239" s="133"/>
      <c r="D4239" s="133"/>
      <c r="E4239" s="17"/>
      <c r="F4239" s="133"/>
      <c r="G4239" s="133"/>
      <c r="H4239" s="133"/>
      <c r="I4239" s="133"/>
      <c r="J4239" s="133"/>
      <c r="K4239" s="133"/>
      <c r="L4239" s="133"/>
      <c r="M4239" s="133"/>
      <c r="N4239" s="133"/>
      <c r="O4239" s="133"/>
      <c r="P4239" s="134"/>
      <c r="Q4239" s="146"/>
      <c r="R4239" s="17"/>
      <c r="S4239" s="17"/>
      <c r="T4239" s="75"/>
      <c r="U4239" s="75"/>
      <c r="V4239" s="75"/>
      <c r="W4239" s="75"/>
      <c r="X4239" s="75"/>
    </row>
    <row r="4240">
      <c r="A4240" s="17"/>
      <c r="B4240" s="17"/>
      <c r="C4240" s="133"/>
      <c r="D4240" s="133"/>
      <c r="E4240" s="17"/>
      <c r="F4240" s="133"/>
      <c r="G4240" s="133"/>
      <c r="H4240" s="133"/>
      <c r="I4240" s="133"/>
      <c r="J4240" s="133"/>
      <c r="K4240" s="133"/>
      <c r="L4240" s="133"/>
      <c r="M4240" s="133"/>
      <c r="N4240" s="133"/>
      <c r="O4240" s="133"/>
      <c r="P4240" s="134"/>
      <c r="Q4240" s="146"/>
      <c r="R4240" s="17"/>
      <c r="S4240" s="17"/>
      <c r="T4240" s="75"/>
      <c r="U4240" s="75"/>
      <c r="V4240" s="75"/>
      <c r="W4240" s="75"/>
      <c r="X4240" s="75"/>
    </row>
    <row r="4241">
      <c r="A4241" s="17"/>
      <c r="B4241" s="17"/>
      <c r="C4241" s="133"/>
      <c r="D4241" s="133"/>
      <c r="E4241" s="17"/>
      <c r="F4241" s="133"/>
      <c r="G4241" s="133"/>
      <c r="H4241" s="133"/>
      <c r="I4241" s="133"/>
      <c r="J4241" s="133"/>
      <c r="K4241" s="133"/>
      <c r="L4241" s="133"/>
      <c r="M4241" s="133"/>
      <c r="N4241" s="133"/>
      <c r="O4241" s="133"/>
      <c r="P4241" s="134"/>
      <c r="Q4241" s="146"/>
      <c r="R4241" s="17"/>
      <c r="S4241" s="17"/>
      <c r="T4241" s="75"/>
      <c r="U4241" s="75"/>
      <c r="V4241" s="75"/>
      <c r="W4241" s="75"/>
      <c r="X4241" s="75"/>
    </row>
    <row r="4242">
      <c r="A4242" s="17"/>
      <c r="B4242" s="17"/>
      <c r="C4242" s="133"/>
      <c r="D4242" s="133"/>
      <c r="E4242" s="17"/>
      <c r="F4242" s="133"/>
      <c r="G4242" s="133"/>
      <c r="H4242" s="133"/>
      <c r="I4242" s="133"/>
      <c r="J4242" s="133"/>
      <c r="K4242" s="133"/>
      <c r="L4242" s="133"/>
      <c r="M4242" s="133"/>
      <c r="N4242" s="133"/>
      <c r="O4242" s="133"/>
      <c r="P4242" s="134"/>
      <c r="Q4242" s="146"/>
      <c r="R4242" s="17"/>
      <c r="S4242" s="17"/>
      <c r="T4242" s="75"/>
      <c r="U4242" s="75"/>
      <c r="V4242" s="75"/>
      <c r="W4242" s="75"/>
      <c r="X4242" s="75"/>
    </row>
    <row r="4243">
      <c r="A4243" s="17"/>
      <c r="B4243" s="17"/>
      <c r="C4243" s="133"/>
      <c r="D4243" s="133"/>
      <c r="E4243" s="17"/>
      <c r="F4243" s="133"/>
      <c r="G4243" s="133"/>
      <c r="H4243" s="133"/>
      <c r="I4243" s="133"/>
      <c r="J4243" s="133"/>
      <c r="K4243" s="133"/>
      <c r="L4243" s="133"/>
      <c r="M4243" s="133"/>
      <c r="N4243" s="133"/>
      <c r="O4243" s="133"/>
      <c r="P4243" s="134"/>
      <c r="Q4243" s="146"/>
      <c r="R4243" s="17"/>
      <c r="S4243" s="17"/>
      <c r="T4243" s="75"/>
      <c r="U4243" s="75"/>
      <c r="V4243" s="75"/>
      <c r="W4243" s="75"/>
      <c r="X4243" s="75"/>
    </row>
    <row r="4244">
      <c r="A4244" s="17"/>
      <c r="B4244" s="17"/>
      <c r="C4244" s="133"/>
      <c r="D4244" s="133"/>
      <c r="E4244" s="17"/>
      <c r="F4244" s="133"/>
      <c r="G4244" s="133"/>
      <c r="H4244" s="133"/>
      <c r="I4244" s="133"/>
      <c r="J4244" s="133"/>
      <c r="K4244" s="133"/>
      <c r="L4244" s="133"/>
      <c r="M4244" s="133"/>
      <c r="N4244" s="133"/>
      <c r="O4244" s="133"/>
      <c r="P4244" s="134"/>
      <c r="Q4244" s="146"/>
      <c r="R4244" s="17"/>
      <c r="S4244" s="17"/>
      <c r="T4244" s="75"/>
      <c r="U4244" s="75"/>
      <c r="V4244" s="75"/>
      <c r="W4244" s="75"/>
      <c r="X4244" s="75"/>
    </row>
    <row r="4245">
      <c r="A4245" s="17"/>
      <c r="B4245" s="17"/>
      <c r="C4245" s="133"/>
      <c r="D4245" s="133"/>
      <c r="E4245" s="17"/>
      <c r="F4245" s="133"/>
      <c r="G4245" s="133"/>
      <c r="H4245" s="133"/>
      <c r="I4245" s="133"/>
      <c r="J4245" s="133"/>
      <c r="K4245" s="133"/>
      <c r="L4245" s="133"/>
      <c r="M4245" s="133"/>
      <c r="N4245" s="133"/>
      <c r="O4245" s="133"/>
      <c r="P4245" s="134"/>
      <c r="Q4245" s="146"/>
      <c r="R4245" s="17"/>
      <c r="S4245" s="17"/>
      <c r="T4245" s="75"/>
      <c r="U4245" s="75"/>
      <c r="V4245" s="75"/>
      <c r="W4245" s="75"/>
      <c r="X4245" s="75"/>
    </row>
    <row r="4246">
      <c r="A4246" s="17"/>
      <c r="B4246" s="17"/>
      <c r="C4246" s="133"/>
      <c r="D4246" s="133"/>
      <c r="E4246" s="17"/>
      <c r="F4246" s="133"/>
      <c r="G4246" s="133"/>
      <c r="H4246" s="133"/>
      <c r="I4246" s="133"/>
      <c r="J4246" s="133"/>
      <c r="K4246" s="133"/>
      <c r="L4246" s="133"/>
      <c r="M4246" s="133"/>
      <c r="N4246" s="133"/>
      <c r="O4246" s="133"/>
      <c r="P4246" s="134"/>
      <c r="Q4246" s="146"/>
      <c r="R4246" s="17"/>
      <c r="S4246" s="17"/>
      <c r="T4246" s="75"/>
      <c r="U4246" s="75"/>
      <c r="V4246" s="75"/>
      <c r="W4246" s="75"/>
      <c r="X4246" s="75"/>
    </row>
    <row r="4247">
      <c r="A4247" s="17"/>
      <c r="B4247" s="17"/>
      <c r="C4247" s="133"/>
      <c r="D4247" s="133"/>
      <c r="E4247" s="17"/>
      <c r="F4247" s="133"/>
      <c r="G4247" s="133"/>
      <c r="H4247" s="133"/>
      <c r="I4247" s="133"/>
      <c r="J4247" s="133"/>
      <c r="K4247" s="133"/>
      <c r="L4247" s="133"/>
      <c r="M4247" s="133"/>
      <c r="N4247" s="133"/>
      <c r="O4247" s="133"/>
      <c r="P4247" s="134"/>
      <c r="Q4247" s="146"/>
      <c r="R4247" s="17"/>
      <c r="S4247" s="17"/>
      <c r="T4247" s="75"/>
      <c r="U4247" s="75"/>
      <c r="V4247" s="75"/>
      <c r="W4247" s="75"/>
      <c r="X4247" s="75"/>
    </row>
    <row r="4248">
      <c r="A4248" s="17"/>
      <c r="B4248" s="17"/>
      <c r="C4248" s="133"/>
      <c r="D4248" s="133"/>
      <c r="E4248" s="17"/>
      <c r="F4248" s="133"/>
      <c r="G4248" s="133"/>
      <c r="H4248" s="133"/>
      <c r="I4248" s="133"/>
      <c r="J4248" s="133"/>
      <c r="K4248" s="133"/>
      <c r="L4248" s="133"/>
      <c r="M4248" s="133"/>
      <c r="N4248" s="133"/>
      <c r="O4248" s="133"/>
      <c r="P4248" s="134"/>
      <c r="Q4248" s="146"/>
      <c r="R4248" s="17"/>
      <c r="S4248" s="17"/>
      <c r="T4248" s="75"/>
      <c r="U4248" s="75"/>
      <c r="V4248" s="75"/>
      <c r="W4248" s="75"/>
      <c r="X4248" s="75"/>
    </row>
    <row r="4249">
      <c r="A4249" s="17"/>
      <c r="B4249" s="17"/>
      <c r="C4249" s="133"/>
      <c r="D4249" s="133"/>
      <c r="E4249" s="17"/>
      <c r="F4249" s="133"/>
      <c r="G4249" s="133"/>
      <c r="H4249" s="133"/>
      <c r="I4249" s="133"/>
      <c r="J4249" s="133"/>
      <c r="K4249" s="133"/>
      <c r="L4249" s="133"/>
      <c r="M4249" s="133"/>
      <c r="N4249" s="133"/>
      <c r="O4249" s="133"/>
      <c r="P4249" s="134"/>
      <c r="Q4249" s="146"/>
      <c r="R4249" s="17"/>
      <c r="S4249" s="17"/>
      <c r="T4249" s="75"/>
      <c r="U4249" s="75"/>
      <c r="V4249" s="75"/>
      <c r="W4249" s="75"/>
      <c r="X4249" s="75"/>
    </row>
    <row r="4250">
      <c r="A4250" s="17"/>
      <c r="B4250" s="17"/>
      <c r="C4250" s="133"/>
      <c r="D4250" s="133"/>
      <c r="E4250" s="17"/>
      <c r="F4250" s="133"/>
      <c r="G4250" s="133"/>
      <c r="H4250" s="133"/>
      <c r="I4250" s="133"/>
      <c r="J4250" s="133"/>
      <c r="K4250" s="133"/>
      <c r="L4250" s="133"/>
      <c r="M4250" s="133"/>
      <c r="N4250" s="133"/>
      <c r="O4250" s="133"/>
      <c r="P4250" s="134"/>
      <c r="Q4250" s="146"/>
      <c r="R4250" s="17"/>
      <c r="S4250" s="17"/>
      <c r="T4250" s="75"/>
      <c r="U4250" s="75"/>
      <c r="V4250" s="75"/>
      <c r="W4250" s="75"/>
      <c r="X4250" s="75"/>
    </row>
    <row r="4251">
      <c r="A4251" s="17"/>
      <c r="B4251" s="17"/>
      <c r="C4251" s="133"/>
      <c r="D4251" s="133"/>
      <c r="E4251" s="17"/>
      <c r="F4251" s="133"/>
      <c r="G4251" s="133"/>
      <c r="H4251" s="133"/>
      <c r="I4251" s="133"/>
      <c r="J4251" s="133"/>
      <c r="K4251" s="133"/>
      <c r="L4251" s="133"/>
      <c r="M4251" s="133"/>
      <c r="N4251" s="133"/>
      <c r="O4251" s="133"/>
      <c r="P4251" s="134"/>
      <c r="Q4251" s="146"/>
      <c r="R4251" s="17"/>
      <c r="S4251" s="17"/>
      <c r="T4251" s="75"/>
      <c r="U4251" s="75"/>
      <c r="V4251" s="75"/>
      <c r="W4251" s="75"/>
      <c r="X4251" s="75"/>
    </row>
    <row r="4252">
      <c r="A4252" s="17"/>
      <c r="B4252" s="17"/>
      <c r="C4252" s="133"/>
      <c r="D4252" s="133"/>
      <c r="E4252" s="17"/>
      <c r="F4252" s="133"/>
      <c r="G4252" s="133"/>
      <c r="H4252" s="133"/>
      <c r="I4252" s="133"/>
      <c r="J4252" s="133"/>
      <c r="K4252" s="133"/>
      <c r="L4252" s="133"/>
      <c r="M4252" s="133"/>
      <c r="N4252" s="133"/>
      <c r="O4252" s="133"/>
      <c r="P4252" s="134"/>
      <c r="Q4252" s="146"/>
      <c r="R4252" s="17"/>
      <c r="S4252" s="17"/>
      <c r="T4252" s="75"/>
      <c r="U4252" s="75"/>
      <c r="V4252" s="75"/>
      <c r="W4252" s="75"/>
      <c r="X4252" s="75"/>
    </row>
    <row r="4253">
      <c r="A4253" s="17"/>
      <c r="B4253" s="17"/>
      <c r="C4253" s="133"/>
      <c r="D4253" s="133"/>
      <c r="E4253" s="17"/>
      <c r="F4253" s="133"/>
      <c r="G4253" s="133"/>
      <c r="H4253" s="133"/>
      <c r="I4253" s="133"/>
      <c r="J4253" s="133"/>
      <c r="K4253" s="133"/>
      <c r="L4253" s="133"/>
      <c r="M4253" s="133"/>
      <c r="N4253" s="133"/>
      <c r="O4253" s="133"/>
      <c r="P4253" s="134"/>
      <c r="Q4253" s="146"/>
      <c r="R4253" s="17"/>
      <c r="S4253" s="17"/>
      <c r="T4253" s="75"/>
      <c r="U4253" s="75"/>
      <c r="V4253" s="75"/>
      <c r="W4253" s="75"/>
      <c r="X4253" s="75"/>
    </row>
    <row r="4254">
      <c r="A4254" s="17"/>
      <c r="B4254" s="17"/>
      <c r="C4254" s="133"/>
      <c r="D4254" s="133"/>
      <c r="E4254" s="17"/>
      <c r="F4254" s="133"/>
      <c r="G4254" s="133"/>
      <c r="H4254" s="133"/>
      <c r="I4254" s="133"/>
      <c r="J4254" s="133"/>
      <c r="K4254" s="133"/>
      <c r="L4254" s="133"/>
      <c r="M4254" s="133"/>
      <c r="N4254" s="133"/>
      <c r="O4254" s="133"/>
      <c r="P4254" s="134"/>
      <c r="Q4254" s="146"/>
      <c r="R4254" s="17"/>
      <c r="S4254" s="17"/>
      <c r="T4254" s="75"/>
      <c r="U4254" s="75"/>
      <c r="V4254" s="75"/>
      <c r="W4254" s="75"/>
      <c r="X4254" s="75"/>
    </row>
    <row r="4255">
      <c r="A4255" s="17"/>
      <c r="B4255" s="17"/>
      <c r="C4255" s="133"/>
      <c r="D4255" s="133"/>
      <c r="E4255" s="17"/>
      <c r="F4255" s="133"/>
      <c r="G4255" s="133"/>
      <c r="H4255" s="133"/>
      <c r="I4255" s="133"/>
      <c r="J4255" s="133"/>
      <c r="K4255" s="133"/>
      <c r="L4255" s="133"/>
      <c r="M4255" s="133"/>
      <c r="N4255" s="133"/>
      <c r="O4255" s="133"/>
      <c r="P4255" s="134"/>
      <c r="Q4255" s="146"/>
      <c r="R4255" s="17"/>
      <c r="S4255" s="17"/>
      <c r="T4255" s="75"/>
      <c r="U4255" s="75"/>
      <c r="V4255" s="75"/>
      <c r="W4255" s="75"/>
      <c r="X4255" s="75"/>
    </row>
    <row r="4256">
      <c r="A4256" s="17"/>
      <c r="B4256" s="17"/>
      <c r="C4256" s="133"/>
      <c r="D4256" s="133"/>
      <c r="E4256" s="17"/>
      <c r="F4256" s="133"/>
      <c r="G4256" s="133"/>
      <c r="H4256" s="133"/>
      <c r="I4256" s="133"/>
      <c r="J4256" s="133"/>
      <c r="K4256" s="133"/>
      <c r="L4256" s="133"/>
      <c r="M4256" s="133"/>
      <c r="N4256" s="133"/>
      <c r="O4256" s="133"/>
      <c r="P4256" s="134"/>
      <c r="Q4256" s="146"/>
      <c r="R4256" s="17"/>
      <c r="S4256" s="17"/>
      <c r="T4256" s="75"/>
      <c r="U4256" s="75"/>
      <c r="V4256" s="75"/>
      <c r="W4256" s="75"/>
      <c r="X4256" s="75"/>
    </row>
    <row r="4257">
      <c r="A4257" s="17"/>
      <c r="B4257" s="17"/>
      <c r="C4257" s="133"/>
      <c r="D4257" s="133"/>
      <c r="E4257" s="17"/>
      <c r="F4257" s="133"/>
      <c r="G4257" s="133"/>
      <c r="H4257" s="133"/>
      <c r="I4257" s="133"/>
      <c r="J4257" s="133"/>
      <c r="K4257" s="133"/>
      <c r="L4257" s="133"/>
      <c r="M4257" s="133"/>
      <c r="N4257" s="133"/>
      <c r="O4257" s="133"/>
      <c r="P4257" s="134"/>
      <c r="Q4257" s="146"/>
      <c r="R4257" s="17"/>
      <c r="S4257" s="17"/>
      <c r="T4257" s="75"/>
      <c r="U4257" s="75"/>
      <c r="V4257" s="75"/>
      <c r="W4257" s="75"/>
      <c r="X4257" s="75"/>
    </row>
    <row r="4258">
      <c r="A4258" s="17"/>
      <c r="B4258" s="17"/>
      <c r="C4258" s="133"/>
      <c r="D4258" s="133"/>
      <c r="E4258" s="17"/>
      <c r="F4258" s="133"/>
      <c r="G4258" s="133"/>
      <c r="H4258" s="133"/>
      <c r="I4258" s="133"/>
      <c r="J4258" s="133"/>
      <c r="K4258" s="133"/>
      <c r="L4258" s="133"/>
      <c r="M4258" s="133"/>
      <c r="N4258" s="133"/>
      <c r="O4258" s="133"/>
      <c r="P4258" s="134"/>
      <c r="Q4258" s="146"/>
      <c r="R4258" s="17"/>
      <c r="S4258" s="17"/>
      <c r="T4258" s="75"/>
      <c r="U4258" s="75"/>
      <c r="V4258" s="75"/>
      <c r="W4258" s="75"/>
      <c r="X4258" s="75"/>
    </row>
    <row r="4259">
      <c r="A4259" s="17"/>
      <c r="B4259" s="17"/>
      <c r="C4259" s="133"/>
      <c r="D4259" s="133"/>
      <c r="E4259" s="17"/>
      <c r="F4259" s="133"/>
      <c r="G4259" s="133"/>
      <c r="H4259" s="133"/>
      <c r="I4259" s="133"/>
      <c r="J4259" s="133"/>
      <c r="K4259" s="133"/>
      <c r="L4259" s="133"/>
      <c r="M4259" s="133"/>
      <c r="N4259" s="133"/>
      <c r="O4259" s="133"/>
      <c r="P4259" s="134"/>
      <c r="Q4259" s="146"/>
      <c r="R4259" s="17"/>
      <c r="S4259" s="17"/>
      <c r="T4259" s="75"/>
      <c r="U4259" s="75"/>
      <c r="V4259" s="75"/>
      <c r="W4259" s="75"/>
      <c r="X4259" s="75"/>
    </row>
    <row r="4260">
      <c r="A4260" s="17"/>
      <c r="B4260" s="17"/>
      <c r="C4260" s="133"/>
      <c r="D4260" s="133"/>
      <c r="E4260" s="17"/>
      <c r="F4260" s="133"/>
      <c r="G4260" s="133"/>
      <c r="H4260" s="133"/>
      <c r="I4260" s="133"/>
      <c r="J4260" s="133"/>
      <c r="K4260" s="133"/>
      <c r="L4260" s="133"/>
      <c r="M4260" s="133"/>
      <c r="N4260" s="133"/>
      <c r="O4260" s="133"/>
      <c r="P4260" s="134"/>
      <c r="Q4260" s="146"/>
      <c r="R4260" s="17"/>
      <c r="S4260" s="17"/>
      <c r="T4260" s="75"/>
      <c r="U4260" s="75"/>
      <c r="V4260" s="75"/>
      <c r="W4260" s="75"/>
      <c r="X4260" s="75"/>
    </row>
    <row r="4261">
      <c r="A4261" s="17"/>
      <c r="B4261" s="17"/>
      <c r="C4261" s="133"/>
      <c r="D4261" s="133"/>
      <c r="E4261" s="17"/>
      <c r="F4261" s="133"/>
      <c r="G4261" s="133"/>
      <c r="H4261" s="133"/>
      <c r="I4261" s="133"/>
      <c r="J4261" s="133"/>
      <c r="K4261" s="133"/>
      <c r="L4261" s="133"/>
      <c r="M4261" s="133"/>
      <c r="N4261" s="133"/>
      <c r="O4261" s="133"/>
      <c r="P4261" s="134"/>
      <c r="Q4261" s="146"/>
      <c r="R4261" s="17"/>
      <c r="S4261" s="17"/>
      <c r="T4261" s="75"/>
      <c r="U4261" s="75"/>
      <c r="V4261" s="75"/>
      <c r="W4261" s="75"/>
      <c r="X4261" s="75"/>
    </row>
    <row r="4262">
      <c r="A4262" s="17"/>
      <c r="B4262" s="17"/>
      <c r="C4262" s="133"/>
      <c r="D4262" s="133"/>
      <c r="E4262" s="17"/>
      <c r="F4262" s="133"/>
      <c r="G4262" s="133"/>
      <c r="H4262" s="133"/>
      <c r="I4262" s="133"/>
      <c r="J4262" s="133"/>
      <c r="K4262" s="133"/>
      <c r="L4262" s="133"/>
      <c r="M4262" s="133"/>
      <c r="N4262" s="133"/>
      <c r="O4262" s="133"/>
      <c r="P4262" s="134"/>
      <c r="Q4262" s="146"/>
      <c r="R4262" s="17"/>
      <c r="S4262" s="17"/>
      <c r="T4262" s="75"/>
      <c r="U4262" s="75"/>
      <c r="V4262" s="75"/>
      <c r="W4262" s="75"/>
      <c r="X4262" s="75"/>
    </row>
    <row r="4263">
      <c r="A4263" s="17"/>
      <c r="B4263" s="17"/>
      <c r="C4263" s="133"/>
      <c r="D4263" s="133"/>
      <c r="E4263" s="17"/>
      <c r="F4263" s="133"/>
      <c r="G4263" s="133"/>
      <c r="H4263" s="133"/>
      <c r="I4263" s="133"/>
      <c r="J4263" s="133"/>
      <c r="K4263" s="133"/>
      <c r="L4263" s="133"/>
      <c r="M4263" s="133"/>
      <c r="N4263" s="133"/>
      <c r="O4263" s="133"/>
      <c r="P4263" s="134"/>
      <c r="Q4263" s="146"/>
      <c r="R4263" s="17"/>
      <c r="S4263" s="17"/>
      <c r="T4263" s="75"/>
      <c r="U4263" s="75"/>
      <c r="V4263" s="75"/>
      <c r="W4263" s="75"/>
      <c r="X4263" s="75"/>
    </row>
    <row r="4264">
      <c r="A4264" s="17"/>
      <c r="B4264" s="17"/>
      <c r="C4264" s="133"/>
      <c r="D4264" s="133"/>
      <c r="E4264" s="17"/>
      <c r="F4264" s="133"/>
      <c r="G4264" s="133"/>
      <c r="H4264" s="133"/>
      <c r="I4264" s="133"/>
      <c r="J4264" s="133"/>
      <c r="K4264" s="133"/>
      <c r="L4264" s="133"/>
      <c r="M4264" s="133"/>
      <c r="N4264" s="133"/>
      <c r="O4264" s="133"/>
      <c r="P4264" s="134"/>
      <c r="Q4264" s="146"/>
      <c r="R4264" s="17"/>
      <c r="S4264" s="17"/>
      <c r="T4264" s="75"/>
      <c r="U4264" s="75"/>
      <c r="V4264" s="75"/>
      <c r="W4264" s="75"/>
      <c r="X4264" s="75"/>
    </row>
    <row r="4265">
      <c r="A4265" s="17"/>
      <c r="B4265" s="17"/>
      <c r="C4265" s="133"/>
      <c r="D4265" s="133"/>
      <c r="E4265" s="17"/>
      <c r="F4265" s="133"/>
      <c r="G4265" s="133"/>
      <c r="H4265" s="133"/>
      <c r="I4265" s="133"/>
      <c r="J4265" s="133"/>
      <c r="K4265" s="133"/>
      <c r="L4265" s="133"/>
      <c r="M4265" s="133"/>
      <c r="N4265" s="133"/>
      <c r="O4265" s="133"/>
      <c r="P4265" s="134"/>
      <c r="Q4265" s="146"/>
      <c r="R4265" s="17"/>
      <c r="S4265" s="17"/>
      <c r="T4265" s="75"/>
      <c r="U4265" s="75"/>
      <c r="V4265" s="75"/>
      <c r="W4265" s="75"/>
      <c r="X4265" s="75"/>
    </row>
    <row r="4266">
      <c r="A4266" s="17"/>
      <c r="B4266" s="17"/>
      <c r="C4266" s="133"/>
      <c r="D4266" s="133"/>
      <c r="E4266" s="17"/>
      <c r="F4266" s="133"/>
      <c r="G4266" s="133"/>
      <c r="H4266" s="133"/>
      <c r="I4266" s="133"/>
      <c r="J4266" s="133"/>
      <c r="K4266" s="133"/>
      <c r="L4266" s="133"/>
      <c r="M4266" s="133"/>
      <c r="N4266" s="133"/>
      <c r="O4266" s="133"/>
      <c r="P4266" s="134"/>
      <c r="Q4266" s="146"/>
      <c r="R4266" s="17"/>
      <c r="S4266" s="17"/>
      <c r="T4266" s="75"/>
      <c r="U4266" s="75"/>
      <c r="V4266" s="75"/>
      <c r="W4266" s="75"/>
      <c r="X4266" s="75"/>
    </row>
    <row r="4267">
      <c r="A4267" s="17"/>
      <c r="B4267" s="17"/>
      <c r="C4267" s="133"/>
      <c r="D4267" s="133"/>
      <c r="E4267" s="17"/>
      <c r="F4267" s="133"/>
      <c r="G4267" s="133"/>
      <c r="H4267" s="133"/>
      <c r="I4267" s="133"/>
      <c r="J4267" s="133"/>
      <c r="K4267" s="133"/>
      <c r="L4267" s="133"/>
      <c r="M4267" s="133"/>
      <c r="N4267" s="133"/>
      <c r="O4267" s="133"/>
      <c r="P4267" s="134"/>
      <c r="Q4267" s="146"/>
      <c r="R4267" s="17"/>
      <c r="S4267" s="17"/>
      <c r="T4267" s="75"/>
      <c r="U4267" s="75"/>
      <c r="V4267" s="75"/>
      <c r="W4267" s="75"/>
      <c r="X4267" s="75"/>
    </row>
    <row r="4268">
      <c r="A4268" s="17"/>
      <c r="B4268" s="17"/>
      <c r="C4268" s="133"/>
      <c r="D4268" s="133"/>
      <c r="E4268" s="17"/>
      <c r="F4268" s="133"/>
      <c r="G4268" s="133"/>
      <c r="H4268" s="133"/>
      <c r="I4268" s="133"/>
      <c r="J4268" s="133"/>
      <c r="K4268" s="133"/>
      <c r="L4268" s="133"/>
      <c r="M4268" s="133"/>
      <c r="N4268" s="133"/>
      <c r="O4268" s="133"/>
      <c r="P4268" s="134"/>
      <c r="Q4268" s="146"/>
      <c r="R4268" s="17"/>
      <c r="S4268" s="17"/>
      <c r="T4268" s="75"/>
      <c r="U4268" s="75"/>
      <c r="V4268" s="75"/>
      <c r="W4268" s="75"/>
      <c r="X4268" s="75"/>
    </row>
    <row r="4269">
      <c r="A4269" s="17"/>
      <c r="B4269" s="17"/>
      <c r="C4269" s="133"/>
      <c r="D4269" s="133"/>
      <c r="E4269" s="17"/>
      <c r="F4269" s="133"/>
      <c r="G4269" s="133"/>
      <c r="H4269" s="133"/>
      <c r="I4269" s="133"/>
      <c r="J4269" s="133"/>
      <c r="K4269" s="133"/>
      <c r="L4269" s="133"/>
      <c r="M4269" s="133"/>
      <c r="N4269" s="133"/>
      <c r="O4269" s="133"/>
      <c r="P4269" s="134"/>
      <c r="Q4269" s="146"/>
      <c r="R4269" s="17"/>
      <c r="S4269" s="17"/>
      <c r="T4269" s="75"/>
      <c r="U4269" s="75"/>
      <c r="V4269" s="75"/>
      <c r="W4269" s="75"/>
      <c r="X4269" s="75"/>
    </row>
    <row r="4270">
      <c r="A4270" s="17"/>
      <c r="B4270" s="17"/>
      <c r="C4270" s="133"/>
      <c r="D4270" s="133"/>
      <c r="E4270" s="17"/>
      <c r="F4270" s="133"/>
      <c r="G4270" s="133"/>
      <c r="H4270" s="133"/>
      <c r="I4270" s="133"/>
      <c r="J4270" s="133"/>
      <c r="K4270" s="133"/>
      <c r="L4270" s="133"/>
      <c r="M4270" s="133"/>
      <c r="N4270" s="133"/>
      <c r="O4270" s="133"/>
      <c r="P4270" s="134"/>
      <c r="Q4270" s="146"/>
      <c r="R4270" s="17"/>
      <c r="S4270" s="17"/>
      <c r="T4270" s="75"/>
      <c r="U4270" s="75"/>
      <c r="V4270" s="75"/>
      <c r="W4270" s="75"/>
      <c r="X4270" s="75"/>
    </row>
    <row r="4271">
      <c r="A4271" s="17"/>
      <c r="B4271" s="17"/>
      <c r="C4271" s="133"/>
      <c r="D4271" s="133"/>
      <c r="E4271" s="17"/>
      <c r="F4271" s="133"/>
      <c r="G4271" s="133"/>
      <c r="H4271" s="133"/>
      <c r="I4271" s="133"/>
      <c r="J4271" s="133"/>
      <c r="K4271" s="133"/>
      <c r="L4271" s="133"/>
      <c r="M4271" s="133"/>
      <c r="N4271" s="133"/>
      <c r="O4271" s="133"/>
      <c r="P4271" s="134"/>
      <c r="Q4271" s="146"/>
      <c r="R4271" s="17"/>
      <c r="S4271" s="17"/>
      <c r="T4271" s="75"/>
      <c r="U4271" s="75"/>
      <c r="V4271" s="75"/>
      <c r="W4271" s="75"/>
      <c r="X4271" s="75"/>
    </row>
    <row r="4272">
      <c r="A4272" s="17"/>
      <c r="B4272" s="17"/>
      <c r="C4272" s="133"/>
      <c r="D4272" s="133"/>
      <c r="E4272" s="17"/>
      <c r="F4272" s="133"/>
      <c r="G4272" s="133"/>
      <c r="H4272" s="133"/>
      <c r="I4272" s="133"/>
      <c r="J4272" s="133"/>
      <c r="K4272" s="133"/>
      <c r="L4272" s="133"/>
      <c r="M4272" s="133"/>
      <c r="N4272" s="133"/>
      <c r="O4272" s="133"/>
      <c r="P4272" s="134"/>
      <c r="Q4272" s="146"/>
      <c r="R4272" s="17"/>
      <c r="S4272" s="17"/>
      <c r="T4272" s="75"/>
      <c r="U4272" s="75"/>
      <c r="V4272" s="75"/>
      <c r="W4272" s="75"/>
      <c r="X4272" s="75"/>
    </row>
    <row r="4273">
      <c r="A4273" s="17"/>
      <c r="B4273" s="17"/>
      <c r="C4273" s="133"/>
      <c r="D4273" s="133"/>
      <c r="E4273" s="17"/>
      <c r="F4273" s="133"/>
      <c r="G4273" s="133"/>
      <c r="H4273" s="133"/>
      <c r="I4273" s="133"/>
      <c r="J4273" s="133"/>
      <c r="K4273" s="133"/>
      <c r="L4273" s="133"/>
      <c r="M4273" s="133"/>
      <c r="N4273" s="133"/>
      <c r="O4273" s="133"/>
      <c r="P4273" s="134"/>
      <c r="Q4273" s="146"/>
      <c r="R4273" s="17"/>
      <c r="S4273" s="17"/>
      <c r="T4273" s="75"/>
      <c r="U4273" s="75"/>
      <c r="V4273" s="75"/>
      <c r="W4273" s="75"/>
      <c r="X4273" s="75"/>
    </row>
    <row r="4274">
      <c r="A4274" s="17"/>
      <c r="B4274" s="17"/>
      <c r="C4274" s="133"/>
      <c r="D4274" s="133"/>
      <c r="E4274" s="17"/>
      <c r="F4274" s="133"/>
      <c r="G4274" s="133"/>
      <c r="H4274" s="133"/>
      <c r="I4274" s="133"/>
      <c r="J4274" s="133"/>
      <c r="K4274" s="133"/>
      <c r="L4274" s="133"/>
      <c r="M4274" s="133"/>
      <c r="N4274" s="133"/>
      <c r="O4274" s="133"/>
      <c r="P4274" s="134"/>
      <c r="Q4274" s="146"/>
      <c r="R4274" s="17"/>
      <c r="S4274" s="17"/>
      <c r="T4274" s="75"/>
      <c r="U4274" s="75"/>
      <c r="V4274" s="75"/>
      <c r="W4274" s="75"/>
      <c r="X4274" s="75"/>
    </row>
    <row r="4275">
      <c r="A4275" s="17"/>
      <c r="B4275" s="17"/>
      <c r="C4275" s="133"/>
      <c r="D4275" s="133"/>
      <c r="E4275" s="17"/>
      <c r="F4275" s="133"/>
      <c r="G4275" s="133"/>
      <c r="H4275" s="133"/>
      <c r="I4275" s="133"/>
      <c r="J4275" s="133"/>
      <c r="K4275" s="133"/>
      <c r="L4275" s="133"/>
      <c r="M4275" s="133"/>
      <c r="N4275" s="133"/>
      <c r="O4275" s="133"/>
      <c r="P4275" s="134"/>
      <c r="Q4275" s="146"/>
      <c r="R4275" s="17"/>
      <c r="S4275" s="17"/>
      <c r="T4275" s="75"/>
      <c r="U4275" s="75"/>
      <c r="V4275" s="75"/>
      <c r="W4275" s="75"/>
      <c r="X4275" s="75"/>
    </row>
    <row r="4276">
      <c r="A4276" s="17"/>
      <c r="B4276" s="17"/>
      <c r="C4276" s="133"/>
      <c r="D4276" s="133"/>
      <c r="E4276" s="17"/>
      <c r="F4276" s="133"/>
      <c r="G4276" s="133"/>
      <c r="H4276" s="133"/>
      <c r="I4276" s="133"/>
      <c r="J4276" s="133"/>
      <c r="K4276" s="133"/>
      <c r="L4276" s="133"/>
      <c r="M4276" s="133"/>
      <c r="N4276" s="133"/>
      <c r="O4276" s="133"/>
      <c r="P4276" s="134"/>
      <c r="Q4276" s="146"/>
      <c r="R4276" s="17"/>
      <c r="S4276" s="17"/>
      <c r="T4276" s="75"/>
      <c r="U4276" s="75"/>
      <c r="V4276" s="75"/>
      <c r="W4276" s="75"/>
      <c r="X4276" s="75"/>
    </row>
    <row r="4277">
      <c r="A4277" s="17"/>
      <c r="B4277" s="17"/>
      <c r="C4277" s="133"/>
      <c r="D4277" s="133"/>
      <c r="E4277" s="17"/>
      <c r="F4277" s="133"/>
      <c r="G4277" s="133"/>
      <c r="H4277" s="133"/>
      <c r="I4277" s="133"/>
      <c r="J4277" s="133"/>
      <c r="K4277" s="133"/>
      <c r="L4277" s="133"/>
      <c r="M4277" s="133"/>
      <c r="N4277" s="133"/>
      <c r="O4277" s="133"/>
      <c r="P4277" s="134"/>
      <c r="Q4277" s="146"/>
      <c r="R4277" s="17"/>
      <c r="S4277" s="17"/>
      <c r="T4277" s="75"/>
      <c r="U4277" s="75"/>
      <c r="V4277" s="75"/>
      <c r="W4277" s="75"/>
      <c r="X4277" s="75"/>
    </row>
    <row r="4278">
      <c r="A4278" s="17"/>
      <c r="B4278" s="17"/>
      <c r="C4278" s="133"/>
      <c r="D4278" s="133"/>
      <c r="E4278" s="17"/>
      <c r="F4278" s="133"/>
      <c r="G4278" s="133"/>
      <c r="H4278" s="133"/>
      <c r="I4278" s="133"/>
      <c r="J4278" s="133"/>
      <c r="K4278" s="133"/>
      <c r="L4278" s="133"/>
      <c r="M4278" s="133"/>
      <c r="N4278" s="133"/>
      <c r="O4278" s="133"/>
      <c r="P4278" s="134"/>
      <c r="Q4278" s="146"/>
      <c r="R4278" s="17"/>
      <c r="S4278" s="17"/>
      <c r="T4278" s="75"/>
      <c r="U4278" s="75"/>
      <c r="V4278" s="75"/>
      <c r="W4278" s="75"/>
      <c r="X4278" s="75"/>
    </row>
    <row r="4279">
      <c r="A4279" s="17"/>
      <c r="B4279" s="17"/>
      <c r="C4279" s="133"/>
      <c r="D4279" s="133"/>
      <c r="E4279" s="17"/>
      <c r="F4279" s="133"/>
      <c r="G4279" s="133"/>
      <c r="H4279" s="133"/>
      <c r="I4279" s="133"/>
      <c r="J4279" s="133"/>
      <c r="K4279" s="133"/>
      <c r="L4279" s="133"/>
      <c r="M4279" s="133"/>
      <c r="N4279" s="133"/>
      <c r="O4279" s="133"/>
      <c r="P4279" s="134"/>
      <c r="Q4279" s="146"/>
      <c r="R4279" s="17"/>
      <c r="S4279" s="17"/>
      <c r="T4279" s="75"/>
      <c r="U4279" s="75"/>
      <c r="V4279" s="75"/>
      <c r="W4279" s="75"/>
      <c r="X4279" s="75"/>
    </row>
    <row r="4280">
      <c r="A4280" s="17"/>
      <c r="B4280" s="17"/>
      <c r="C4280" s="133"/>
      <c r="D4280" s="133"/>
      <c r="E4280" s="17"/>
      <c r="F4280" s="133"/>
      <c r="G4280" s="133"/>
      <c r="H4280" s="133"/>
      <c r="I4280" s="133"/>
      <c r="J4280" s="133"/>
      <c r="K4280" s="133"/>
      <c r="L4280" s="133"/>
      <c r="M4280" s="133"/>
      <c r="N4280" s="133"/>
      <c r="O4280" s="133"/>
      <c r="P4280" s="134"/>
      <c r="Q4280" s="146"/>
      <c r="R4280" s="17"/>
      <c r="S4280" s="17"/>
      <c r="T4280" s="75"/>
      <c r="U4280" s="75"/>
      <c r="V4280" s="75"/>
      <c r="W4280" s="75"/>
      <c r="X4280" s="75"/>
    </row>
    <row r="4281">
      <c r="A4281" s="17"/>
      <c r="B4281" s="17"/>
      <c r="C4281" s="133"/>
      <c r="D4281" s="133"/>
      <c r="E4281" s="17"/>
      <c r="F4281" s="133"/>
      <c r="G4281" s="133"/>
      <c r="H4281" s="133"/>
      <c r="I4281" s="133"/>
      <c r="J4281" s="133"/>
      <c r="K4281" s="133"/>
      <c r="L4281" s="133"/>
      <c r="M4281" s="133"/>
      <c r="N4281" s="133"/>
      <c r="O4281" s="133"/>
      <c r="P4281" s="134"/>
      <c r="Q4281" s="146"/>
      <c r="R4281" s="17"/>
      <c r="S4281" s="17"/>
      <c r="T4281" s="75"/>
      <c r="U4281" s="75"/>
      <c r="V4281" s="75"/>
      <c r="W4281" s="75"/>
      <c r="X4281" s="75"/>
    </row>
    <row r="4282">
      <c r="A4282" s="17"/>
      <c r="B4282" s="17"/>
      <c r="C4282" s="133"/>
      <c r="D4282" s="133"/>
      <c r="E4282" s="17"/>
      <c r="F4282" s="133"/>
      <c r="G4282" s="133"/>
      <c r="H4282" s="133"/>
      <c r="I4282" s="133"/>
      <c r="J4282" s="133"/>
      <c r="K4282" s="133"/>
      <c r="L4282" s="133"/>
      <c r="M4282" s="133"/>
      <c r="N4282" s="133"/>
      <c r="O4282" s="133"/>
      <c r="P4282" s="134"/>
      <c r="Q4282" s="146"/>
      <c r="R4282" s="17"/>
      <c r="S4282" s="17"/>
      <c r="T4282" s="75"/>
      <c r="U4282" s="75"/>
      <c r="V4282" s="75"/>
      <c r="W4282" s="75"/>
      <c r="X4282" s="75"/>
    </row>
    <row r="4283">
      <c r="A4283" s="17"/>
      <c r="B4283" s="17"/>
      <c r="C4283" s="133"/>
      <c r="D4283" s="133"/>
      <c r="E4283" s="17"/>
      <c r="F4283" s="133"/>
      <c r="G4283" s="133"/>
      <c r="H4283" s="133"/>
      <c r="I4283" s="133"/>
      <c r="J4283" s="133"/>
      <c r="K4283" s="133"/>
      <c r="L4283" s="133"/>
      <c r="M4283" s="133"/>
      <c r="N4283" s="133"/>
      <c r="O4283" s="133"/>
      <c r="P4283" s="134"/>
      <c r="Q4283" s="146"/>
      <c r="R4283" s="17"/>
      <c r="S4283" s="17"/>
      <c r="T4283" s="75"/>
      <c r="U4283" s="75"/>
      <c r="V4283" s="75"/>
      <c r="W4283" s="75"/>
      <c r="X4283" s="75"/>
    </row>
    <row r="4284">
      <c r="A4284" s="17"/>
      <c r="B4284" s="17"/>
      <c r="C4284" s="133"/>
      <c r="D4284" s="133"/>
      <c r="E4284" s="17"/>
      <c r="F4284" s="133"/>
      <c r="G4284" s="133"/>
      <c r="H4284" s="133"/>
      <c r="I4284" s="133"/>
      <c r="J4284" s="133"/>
      <c r="K4284" s="133"/>
      <c r="L4284" s="133"/>
      <c r="M4284" s="133"/>
      <c r="N4284" s="133"/>
      <c r="O4284" s="133"/>
      <c r="P4284" s="134"/>
      <c r="Q4284" s="146"/>
      <c r="R4284" s="17"/>
      <c r="S4284" s="17"/>
      <c r="T4284" s="75"/>
      <c r="U4284" s="75"/>
      <c r="V4284" s="75"/>
      <c r="W4284" s="75"/>
      <c r="X4284" s="75"/>
    </row>
    <row r="4285">
      <c r="A4285" s="17"/>
      <c r="B4285" s="17"/>
      <c r="C4285" s="133"/>
      <c r="D4285" s="133"/>
      <c r="E4285" s="17"/>
      <c r="F4285" s="133"/>
      <c r="G4285" s="133"/>
      <c r="H4285" s="133"/>
      <c r="I4285" s="133"/>
      <c r="J4285" s="133"/>
      <c r="K4285" s="133"/>
      <c r="L4285" s="133"/>
      <c r="M4285" s="133"/>
      <c r="N4285" s="133"/>
      <c r="O4285" s="133"/>
      <c r="P4285" s="134"/>
      <c r="Q4285" s="146"/>
      <c r="R4285" s="17"/>
      <c r="S4285" s="17"/>
      <c r="T4285" s="75"/>
      <c r="U4285" s="75"/>
      <c r="V4285" s="75"/>
      <c r="W4285" s="75"/>
      <c r="X4285" s="75"/>
    </row>
    <row r="4286">
      <c r="A4286" s="17"/>
      <c r="B4286" s="17"/>
      <c r="C4286" s="133"/>
      <c r="D4286" s="133"/>
      <c r="E4286" s="17"/>
      <c r="F4286" s="133"/>
      <c r="G4286" s="133"/>
      <c r="H4286" s="133"/>
      <c r="I4286" s="133"/>
      <c r="J4286" s="133"/>
      <c r="K4286" s="133"/>
      <c r="L4286" s="133"/>
      <c r="M4286" s="133"/>
      <c r="N4286" s="133"/>
      <c r="O4286" s="133"/>
      <c r="P4286" s="134"/>
      <c r="Q4286" s="146"/>
      <c r="R4286" s="17"/>
      <c r="S4286" s="17"/>
      <c r="T4286" s="75"/>
      <c r="U4286" s="75"/>
      <c r="V4286" s="75"/>
      <c r="W4286" s="75"/>
      <c r="X4286" s="75"/>
    </row>
    <row r="4287">
      <c r="A4287" s="17"/>
      <c r="B4287" s="17"/>
      <c r="C4287" s="133"/>
      <c r="D4287" s="133"/>
      <c r="E4287" s="17"/>
      <c r="F4287" s="133"/>
      <c r="G4287" s="133"/>
      <c r="H4287" s="133"/>
      <c r="I4287" s="133"/>
      <c r="J4287" s="133"/>
      <c r="K4287" s="133"/>
      <c r="L4287" s="133"/>
      <c r="M4287" s="133"/>
      <c r="N4287" s="133"/>
      <c r="O4287" s="133"/>
      <c r="P4287" s="134"/>
      <c r="Q4287" s="146"/>
      <c r="R4287" s="17"/>
      <c r="S4287" s="17"/>
      <c r="T4287" s="75"/>
      <c r="U4287" s="75"/>
      <c r="V4287" s="75"/>
      <c r="W4287" s="75"/>
      <c r="X4287" s="75"/>
    </row>
    <row r="4288">
      <c r="A4288" s="17"/>
      <c r="B4288" s="17"/>
      <c r="C4288" s="133"/>
      <c r="D4288" s="133"/>
      <c r="E4288" s="17"/>
      <c r="F4288" s="133"/>
      <c r="G4288" s="133"/>
      <c r="H4288" s="133"/>
      <c r="I4288" s="133"/>
      <c r="J4288" s="133"/>
      <c r="K4288" s="133"/>
      <c r="L4288" s="133"/>
      <c r="M4288" s="133"/>
      <c r="N4288" s="133"/>
      <c r="O4288" s="133"/>
      <c r="P4288" s="134"/>
      <c r="Q4288" s="146"/>
      <c r="R4288" s="17"/>
      <c r="S4288" s="17"/>
      <c r="T4288" s="75"/>
      <c r="U4288" s="75"/>
      <c r="V4288" s="75"/>
      <c r="W4288" s="75"/>
      <c r="X4288" s="75"/>
    </row>
    <row r="4289">
      <c r="A4289" s="17"/>
      <c r="B4289" s="17"/>
      <c r="C4289" s="133"/>
      <c r="D4289" s="133"/>
      <c r="E4289" s="17"/>
      <c r="F4289" s="133"/>
      <c r="G4289" s="133"/>
      <c r="H4289" s="133"/>
      <c r="I4289" s="133"/>
      <c r="J4289" s="133"/>
      <c r="K4289" s="133"/>
      <c r="L4289" s="133"/>
      <c r="M4289" s="133"/>
      <c r="N4289" s="133"/>
      <c r="O4289" s="133"/>
      <c r="P4289" s="134"/>
      <c r="Q4289" s="146"/>
      <c r="R4289" s="17"/>
      <c r="S4289" s="17"/>
      <c r="T4289" s="75"/>
      <c r="U4289" s="75"/>
      <c r="V4289" s="75"/>
      <c r="W4289" s="75"/>
      <c r="X4289" s="75"/>
    </row>
    <row r="4290">
      <c r="A4290" s="17"/>
      <c r="B4290" s="17"/>
      <c r="C4290" s="133"/>
      <c r="D4290" s="133"/>
      <c r="E4290" s="17"/>
      <c r="F4290" s="133"/>
      <c r="G4290" s="133"/>
      <c r="H4290" s="133"/>
      <c r="I4290" s="133"/>
      <c r="J4290" s="133"/>
      <c r="K4290" s="133"/>
      <c r="L4290" s="133"/>
      <c r="M4290" s="133"/>
      <c r="N4290" s="133"/>
      <c r="O4290" s="133"/>
      <c r="P4290" s="134"/>
      <c r="Q4290" s="146"/>
      <c r="R4290" s="17"/>
      <c r="S4290" s="17"/>
      <c r="T4290" s="75"/>
      <c r="U4290" s="75"/>
      <c r="V4290" s="75"/>
      <c r="W4290" s="75"/>
      <c r="X4290" s="75"/>
    </row>
    <row r="4291">
      <c r="A4291" s="17"/>
      <c r="B4291" s="17"/>
      <c r="C4291" s="133"/>
      <c r="D4291" s="133"/>
      <c r="E4291" s="17"/>
      <c r="F4291" s="133"/>
      <c r="G4291" s="133"/>
      <c r="H4291" s="133"/>
      <c r="I4291" s="133"/>
      <c r="J4291" s="133"/>
      <c r="K4291" s="133"/>
      <c r="L4291" s="133"/>
      <c r="M4291" s="133"/>
      <c r="N4291" s="133"/>
      <c r="O4291" s="133"/>
      <c r="P4291" s="134"/>
      <c r="Q4291" s="146"/>
      <c r="R4291" s="17"/>
      <c r="S4291" s="17"/>
      <c r="T4291" s="75"/>
      <c r="U4291" s="75"/>
      <c r="V4291" s="75"/>
      <c r="W4291" s="75"/>
      <c r="X4291" s="75"/>
    </row>
    <row r="4292">
      <c r="A4292" s="17"/>
      <c r="B4292" s="17"/>
      <c r="C4292" s="133"/>
      <c r="D4292" s="133"/>
      <c r="E4292" s="17"/>
      <c r="F4292" s="133"/>
      <c r="G4292" s="133"/>
      <c r="H4292" s="133"/>
      <c r="I4292" s="133"/>
      <c r="J4292" s="133"/>
      <c r="K4292" s="133"/>
      <c r="L4292" s="133"/>
      <c r="M4292" s="133"/>
      <c r="N4292" s="133"/>
      <c r="O4292" s="133"/>
      <c r="P4292" s="134"/>
      <c r="Q4292" s="146"/>
      <c r="R4292" s="17"/>
      <c r="S4292" s="17"/>
      <c r="T4292" s="75"/>
      <c r="U4292" s="75"/>
      <c r="V4292" s="75"/>
      <c r="W4292" s="75"/>
      <c r="X4292" s="75"/>
    </row>
    <row r="4293">
      <c r="A4293" s="17"/>
      <c r="B4293" s="17"/>
      <c r="C4293" s="133"/>
      <c r="D4293" s="133"/>
      <c r="E4293" s="17"/>
      <c r="F4293" s="133"/>
      <c r="G4293" s="133"/>
      <c r="H4293" s="133"/>
      <c r="I4293" s="133"/>
      <c r="J4293" s="133"/>
      <c r="K4293" s="133"/>
      <c r="L4293" s="133"/>
      <c r="M4293" s="133"/>
      <c r="N4293" s="133"/>
      <c r="O4293" s="133"/>
      <c r="P4293" s="134"/>
      <c r="Q4293" s="146"/>
      <c r="R4293" s="17"/>
      <c r="S4293" s="17"/>
      <c r="T4293" s="75"/>
      <c r="U4293" s="75"/>
      <c r="V4293" s="75"/>
      <c r="W4293" s="75"/>
      <c r="X4293" s="75"/>
    </row>
    <row r="4294">
      <c r="A4294" s="17"/>
      <c r="B4294" s="17"/>
      <c r="C4294" s="133"/>
      <c r="D4294" s="133"/>
      <c r="E4294" s="17"/>
      <c r="F4294" s="133"/>
      <c r="G4294" s="133"/>
      <c r="H4294" s="133"/>
      <c r="I4294" s="133"/>
      <c r="J4294" s="133"/>
      <c r="K4294" s="133"/>
      <c r="L4294" s="133"/>
      <c r="M4294" s="133"/>
      <c r="N4294" s="133"/>
      <c r="O4294" s="133"/>
      <c r="P4294" s="134"/>
      <c r="Q4294" s="146"/>
      <c r="R4294" s="17"/>
      <c r="S4294" s="17"/>
      <c r="T4294" s="75"/>
      <c r="U4294" s="75"/>
      <c r="V4294" s="75"/>
      <c r="W4294" s="75"/>
      <c r="X4294" s="75"/>
    </row>
    <row r="4295">
      <c r="A4295" s="17"/>
      <c r="B4295" s="17"/>
      <c r="C4295" s="133"/>
      <c r="D4295" s="133"/>
      <c r="E4295" s="17"/>
      <c r="F4295" s="133"/>
      <c r="G4295" s="133"/>
      <c r="H4295" s="133"/>
      <c r="I4295" s="133"/>
      <c r="J4295" s="133"/>
      <c r="K4295" s="133"/>
      <c r="L4295" s="133"/>
      <c r="M4295" s="133"/>
      <c r="N4295" s="133"/>
      <c r="O4295" s="133"/>
      <c r="P4295" s="134"/>
      <c r="Q4295" s="146"/>
      <c r="R4295" s="17"/>
      <c r="S4295" s="17"/>
      <c r="T4295" s="75"/>
      <c r="U4295" s="75"/>
      <c r="V4295" s="75"/>
      <c r="W4295" s="75"/>
      <c r="X4295" s="75"/>
    </row>
    <row r="4296">
      <c r="A4296" s="17"/>
      <c r="B4296" s="17"/>
      <c r="C4296" s="133"/>
      <c r="D4296" s="133"/>
      <c r="E4296" s="17"/>
      <c r="F4296" s="133"/>
      <c r="G4296" s="133"/>
      <c r="H4296" s="133"/>
      <c r="I4296" s="133"/>
      <c r="J4296" s="133"/>
      <c r="K4296" s="133"/>
      <c r="L4296" s="133"/>
      <c r="M4296" s="133"/>
      <c r="N4296" s="133"/>
      <c r="O4296" s="133"/>
      <c r="P4296" s="134"/>
      <c r="Q4296" s="146"/>
      <c r="R4296" s="17"/>
      <c r="S4296" s="17"/>
      <c r="T4296" s="75"/>
      <c r="U4296" s="75"/>
      <c r="V4296" s="75"/>
      <c r="W4296" s="75"/>
      <c r="X4296" s="75"/>
    </row>
    <row r="4297">
      <c r="A4297" s="17"/>
      <c r="B4297" s="17"/>
      <c r="C4297" s="133"/>
      <c r="D4297" s="133"/>
      <c r="E4297" s="17"/>
      <c r="F4297" s="133"/>
      <c r="G4297" s="133"/>
      <c r="H4297" s="133"/>
      <c r="I4297" s="133"/>
      <c r="J4297" s="133"/>
      <c r="K4297" s="133"/>
      <c r="L4297" s="133"/>
      <c r="M4297" s="133"/>
      <c r="N4297" s="133"/>
      <c r="O4297" s="133"/>
      <c r="P4297" s="134"/>
      <c r="Q4297" s="146"/>
      <c r="R4297" s="17"/>
      <c r="S4297" s="17"/>
      <c r="T4297" s="75"/>
      <c r="U4297" s="75"/>
      <c r="V4297" s="75"/>
      <c r="W4297" s="75"/>
      <c r="X4297" s="75"/>
    </row>
    <row r="4298">
      <c r="A4298" s="17"/>
      <c r="B4298" s="17"/>
      <c r="C4298" s="133"/>
      <c r="D4298" s="133"/>
      <c r="E4298" s="17"/>
      <c r="F4298" s="133"/>
      <c r="G4298" s="133"/>
      <c r="H4298" s="133"/>
      <c r="I4298" s="133"/>
      <c r="J4298" s="133"/>
      <c r="K4298" s="133"/>
      <c r="L4298" s="133"/>
      <c r="M4298" s="133"/>
      <c r="N4298" s="133"/>
      <c r="O4298" s="133"/>
      <c r="P4298" s="134"/>
      <c r="Q4298" s="146"/>
      <c r="R4298" s="17"/>
      <c r="S4298" s="17"/>
      <c r="T4298" s="75"/>
      <c r="U4298" s="75"/>
      <c r="V4298" s="75"/>
      <c r="W4298" s="75"/>
      <c r="X4298" s="75"/>
    </row>
    <row r="4299">
      <c r="A4299" s="17"/>
      <c r="B4299" s="17"/>
      <c r="C4299" s="133"/>
      <c r="D4299" s="133"/>
      <c r="E4299" s="17"/>
      <c r="F4299" s="133"/>
      <c r="G4299" s="133"/>
      <c r="H4299" s="133"/>
      <c r="I4299" s="133"/>
      <c r="J4299" s="133"/>
      <c r="K4299" s="133"/>
      <c r="L4299" s="133"/>
      <c r="M4299" s="133"/>
      <c r="N4299" s="133"/>
      <c r="O4299" s="133"/>
      <c r="P4299" s="134"/>
      <c r="Q4299" s="146"/>
      <c r="R4299" s="17"/>
      <c r="S4299" s="17"/>
      <c r="T4299" s="75"/>
      <c r="U4299" s="75"/>
      <c r="V4299" s="75"/>
      <c r="W4299" s="75"/>
      <c r="X4299" s="75"/>
    </row>
    <row r="4300">
      <c r="A4300" s="17"/>
      <c r="B4300" s="17"/>
      <c r="C4300" s="133"/>
      <c r="D4300" s="133"/>
      <c r="E4300" s="17"/>
      <c r="F4300" s="133"/>
      <c r="G4300" s="133"/>
      <c r="H4300" s="133"/>
      <c r="I4300" s="133"/>
      <c r="J4300" s="133"/>
      <c r="K4300" s="133"/>
      <c r="L4300" s="133"/>
      <c r="M4300" s="133"/>
      <c r="N4300" s="133"/>
      <c r="O4300" s="133"/>
      <c r="P4300" s="134"/>
      <c r="Q4300" s="146"/>
      <c r="R4300" s="17"/>
      <c r="S4300" s="17"/>
      <c r="T4300" s="75"/>
      <c r="U4300" s="75"/>
      <c r="V4300" s="75"/>
      <c r="W4300" s="75"/>
      <c r="X4300" s="75"/>
    </row>
    <row r="4301">
      <c r="A4301" s="17"/>
      <c r="B4301" s="17"/>
      <c r="C4301" s="133"/>
      <c r="D4301" s="133"/>
      <c r="E4301" s="17"/>
      <c r="F4301" s="133"/>
      <c r="G4301" s="133"/>
      <c r="H4301" s="133"/>
      <c r="I4301" s="133"/>
      <c r="J4301" s="133"/>
      <c r="K4301" s="133"/>
      <c r="L4301" s="133"/>
      <c r="M4301" s="133"/>
      <c r="N4301" s="133"/>
      <c r="O4301" s="133"/>
      <c r="P4301" s="134"/>
      <c r="Q4301" s="146"/>
      <c r="R4301" s="17"/>
      <c r="S4301" s="17"/>
      <c r="T4301" s="75"/>
      <c r="U4301" s="75"/>
      <c r="V4301" s="75"/>
      <c r="W4301" s="75"/>
      <c r="X4301" s="75"/>
    </row>
    <row r="4302">
      <c r="A4302" s="17"/>
      <c r="B4302" s="17"/>
      <c r="C4302" s="133"/>
      <c r="D4302" s="133"/>
      <c r="E4302" s="17"/>
      <c r="F4302" s="133"/>
      <c r="G4302" s="133"/>
      <c r="H4302" s="133"/>
      <c r="I4302" s="133"/>
      <c r="J4302" s="133"/>
      <c r="K4302" s="133"/>
      <c r="L4302" s="133"/>
      <c r="M4302" s="133"/>
      <c r="N4302" s="133"/>
      <c r="O4302" s="133"/>
      <c r="P4302" s="134"/>
      <c r="Q4302" s="146"/>
      <c r="R4302" s="17"/>
      <c r="S4302" s="17"/>
      <c r="T4302" s="75"/>
      <c r="U4302" s="75"/>
      <c r="V4302" s="75"/>
      <c r="W4302" s="75"/>
      <c r="X4302" s="75"/>
    </row>
    <row r="4303">
      <c r="A4303" s="17"/>
      <c r="B4303" s="17"/>
      <c r="C4303" s="133"/>
      <c r="D4303" s="133"/>
      <c r="E4303" s="17"/>
      <c r="F4303" s="133"/>
      <c r="G4303" s="133"/>
      <c r="H4303" s="133"/>
      <c r="I4303" s="133"/>
      <c r="J4303" s="133"/>
      <c r="K4303" s="133"/>
      <c r="L4303" s="133"/>
      <c r="M4303" s="133"/>
      <c r="N4303" s="133"/>
      <c r="O4303" s="133"/>
      <c r="P4303" s="134"/>
      <c r="Q4303" s="146"/>
      <c r="R4303" s="17"/>
      <c r="S4303" s="17"/>
      <c r="T4303" s="75"/>
      <c r="U4303" s="75"/>
      <c r="V4303" s="75"/>
      <c r="W4303" s="75"/>
      <c r="X4303" s="75"/>
    </row>
    <row r="4304">
      <c r="A4304" s="17"/>
      <c r="B4304" s="17"/>
      <c r="C4304" s="133"/>
      <c r="D4304" s="133"/>
      <c r="E4304" s="17"/>
      <c r="F4304" s="133"/>
      <c r="G4304" s="133"/>
      <c r="H4304" s="133"/>
      <c r="I4304" s="133"/>
      <c r="J4304" s="133"/>
      <c r="K4304" s="133"/>
      <c r="L4304" s="133"/>
      <c r="M4304" s="133"/>
      <c r="N4304" s="133"/>
      <c r="O4304" s="133"/>
      <c r="P4304" s="134"/>
      <c r="Q4304" s="146"/>
      <c r="R4304" s="17"/>
      <c r="S4304" s="17"/>
      <c r="T4304" s="75"/>
      <c r="U4304" s="75"/>
      <c r="V4304" s="75"/>
      <c r="W4304" s="75"/>
      <c r="X4304" s="75"/>
    </row>
    <row r="4305">
      <c r="A4305" s="17"/>
      <c r="B4305" s="17"/>
      <c r="C4305" s="133"/>
      <c r="D4305" s="133"/>
      <c r="E4305" s="17"/>
      <c r="F4305" s="133"/>
      <c r="G4305" s="133"/>
      <c r="H4305" s="133"/>
      <c r="I4305" s="133"/>
      <c r="J4305" s="133"/>
      <c r="K4305" s="133"/>
      <c r="L4305" s="133"/>
      <c r="M4305" s="133"/>
      <c r="N4305" s="133"/>
      <c r="O4305" s="133"/>
      <c r="P4305" s="134"/>
      <c r="Q4305" s="146"/>
      <c r="R4305" s="17"/>
      <c r="S4305" s="17"/>
      <c r="T4305" s="75"/>
      <c r="U4305" s="75"/>
      <c r="V4305" s="75"/>
      <c r="W4305" s="75"/>
      <c r="X4305" s="75"/>
    </row>
    <row r="4306">
      <c r="A4306" s="17"/>
      <c r="B4306" s="17"/>
      <c r="C4306" s="133"/>
      <c r="D4306" s="133"/>
      <c r="E4306" s="17"/>
      <c r="F4306" s="133"/>
      <c r="G4306" s="133"/>
      <c r="H4306" s="133"/>
      <c r="I4306" s="133"/>
      <c r="J4306" s="133"/>
      <c r="K4306" s="133"/>
      <c r="L4306" s="133"/>
      <c r="M4306" s="133"/>
      <c r="N4306" s="133"/>
      <c r="O4306" s="133"/>
      <c r="P4306" s="134"/>
      <c r="Q4306" s="146"/>
      <c r="R4306" s="17"/>
      <c r="S4306" s="17"/>
      <c r="T4306" s="75"/>
      <c r="U4306" s="75"/>
      <c r="V4306" s="75"/>
      <c r="W4306" s="75"/>
      <c r="X4306" s="75"/>
    </row>
    <row r="4307">
      <c r="A4307" s="17"/>
      <c r="B4307" s="17"/>
      <c r="C4307" s="133"/>
      <c r="D4307" s="133"/>
      <c r="E4307" s="17"/>
      <c r="F4307" s="133"/>
      <c r="G4307" s="133"/>
      <c r="H4307" s="133"/>
      <c r="I4307" s="133"/>
      <c r="J4307" s="133"/>
      <c r="K4307" s="133"/>
      <c r="L4307" s="133"/>
      <c r="M4307" s="133"/>
      <c r="N4307" s="133"/>
      <c r="O4307" s="133"/>
      <c r="P4307" s="134"/>
      <c r="Q4307" s="146"/>
      <c r="R4307" s="17"/>
      <c r="S4307" s="17"/>
      <c r="T4307" s="75"/>
      <c r="U4307" s="75"/>
      <c r="V4307" s="75"/>
      <c r="W4307" s="75"/>
      <c r="X4307" s="75"/>
    </row>
    <row r="4308">
      <c r="A4308" s="17"/>
      <c r="B4308" s="17"/>
      <c r="C4308" s="133"/>
      <c r="D4308" s="133"/>
      <c r="E4308" s="17"/>
      <c r="F4308" s="133"/>
      <c r="G4308" s="133"/>
      <c r="H4308" s="133"/>
      <c r="I4308" s="133"/>
      <c r="J4308" s="133"/>
      <c r="K4308" s="133"/>
      <c r="L4308" s="133"/>
      <c r="M4308" s="133"/>
      <c r="N4308" s="133"/>
      <c r="O4308" s="133"/>
      <c r="P4308" s="134"/>
      <c r="Q4308" s="146"/>
      <c r="R4308" s="17"/>
      <c r="S4308" s="17"/>
      <c r="T4308" s="75"/>
      <c r="U4308" s="75"/>
      <c r="V4308" s="75"/>
      <c r="W4308" s="75"/>
      <c r="X4308" s="75"/>
    </row>
    <row r="4309">
      <c r="A4309" s="17"/>
      <c r="B4309" s="17"/>
      <c r="C4309" s="133"/>
      <c r="D4309" s="133"/>
      <c r="E4309" s="17"/>
      <c r="F4309" s="133"/>
      <c r="G4309" s="133"/>
      <c r="H4309" s="133"/>
      <c r="I4309" s="133"/>
      <c r="J4309" s="133"/>
      <c r="K4309" s="133"/>
      <c r="L4309" s="133"/>
      <c r="M4309" s="133"/>
      <c r="N4309" s="133"/>
      <c r="O4309" s="133"/>
      <c r="P4309" s="134"/>
      <c r="Q4309" s="146"/>
      <c r="R4309" s="17"/>
      <c r="S4309" s="17"/>
      <c r="T4309" s="75"/>
      <c r="U4309" s="75"/>
      <c r="V4309" s="75"/>
      <c r="W4309" s="75"/>
      <c r="X4309" s="75"/>
    </row>
    <row r="4310">
      <c r="A4310" s="17"/>
      <c r="B4310" s="17"/>
      <c r="C4310" s="133"/>
      <c r="D4310" s="133"/>
      <c r="E4310" s="17"/>
      <c r="F4310" s="133"/>
      <c r="G4310" s="133"/>
      <c r="H4310" s="133"/>
      <c r="I4310" s="133"/>
      <c r="J4310" s="133"/>
      <c r="K4310" s="133"/>
      <c r="L4310" s="133"/>
      <c r="M4310" s="133"/>
      <c r="N4310" s="133"/>
      <c r="O4310" s="133"/>
      <c r="P4310" s="134"/>
      <c r="Q4310" s="146"/>
      <c r="R4310" s="17"/>
      <c r="S4310" s="17"/>
      <c r="T4310" s="75"/>
      <c r="U4310" s="75"/>
      <c r="V4310" s="75"/>
      <c r="W4310" s="75"/>
      <c r="X4310" s="75"/>
    </row>
    <row r="4311">
      <c r="A4311" s="17"/>
      <c r="B4311" s="17"/>
      <c r="C4311" s="133"/>
      <c r="D4311" s="133"/>
      <c r="E4311" s="17"/>
      <c r="F4311" s="133"/>
      <c r="G4311" s="133"/>
      <c r="H4311" s="133"/>
      <c r="I4311" s="133"/>
      <c r="J4311" s="133"/>
      <c r="K4311" s="133"/>
      <c r="L4311" s="133"/>
      <c r="M4311" s="133"/>
      <c r="N4311" s="133"/>
      <c r="O4311" s="133"/>
      <c r="P4311" s="134"/>
      <c r="Q4311" s="146"/>
      <c r="R4311" s="17"/>
      <c r="S4311" s="17"/>
      <c r="T4311" s="75"/>
      <c r="U4311" s="75"/>
      <c r="V4311" s="75"/>
      <c r="W4311" s="75"/>
      <c r="X4311" s="75"/>
    </row>
    <row r="4312">
      <c r="A4312" s="17"/>
      <c r="B4312" s="17"/>
      <c r="C4312" s="133"/>
      <c r="D4312" s="133"/>
      <c r="E4312" s="17"/>
      <c r="F4312" s="133"/>
      <c r="G4312" s="133"/>
      <c r="H4312" s="133"/>
      <c r="I4312" s="133"/>
      <c r="J4312" s="133"/>
      <c r="K4312" s="133"/>
      <c r="L4312" s="133"/>
      <c r="M4312" s="133"/>
      <c r="N4312" s="133"/>
      <c r="O4312" s="133"/>
      <c r="P4312" s="134"/>
      <c r="Q4312" s="146"/>
      <c r="R4312" s="17"/>
      <c r="S4312" s="17"/>
      <c r="T4312" s="75"/>
      <c r="U4312" s="75"/>
      <c r="V4312" s="75"/>
      <c r="W4312" s="75"/>
      <c r="X4312" s="75"/>
    </row>
    <row r="4313">
      <c r="A4313" s="17"/>
      <c r="B4313" s="17"/>
      <c r="C4313" s="133"/>
      <c r="D4313" s="133"/>
      <c r="E4313" s="17"/>
      <c r="F4313" s="133"/>
      <c r="G4313" s="133"/>
      <c r="H4313" s="133"/>
      <c r="I4313" s="133"/>
      <c r="J4313" s="133"/>
      <c r="K4313" s="133"/>
      <c r="L4313" s="133"/>
      <c r="M4313" s="133"/>
      <c r="N4313" s="133"/>
      <c r="O4313" s="133"/>
      <c r="P4313" s="134"/>
      <c r="Q4313" s="146"/>
      <c r="R4313" s="17"/>
      <c r="S4313" s="17"/>
      <c r="T4313" s="75"/>
      <c r="U4313" s="75"/>
      <c r="V4313" s="75"/>
      <c r="W4313" s="75"/>
      <c r="X4313" s="75"/>
    </row>
    <row r="4314">
      <c r="A4314" s="17"/>
      <c r="B4314" s="17"/>
      <c r="C4314" s="133"/>
      <c r="D4314" s="133"/>
      <c r="E4314" s="17"/>
      <c r="F4314" s="133"/>
      <c r="G4314" s="133"/>
      <c r="H4314" s="133"/>
      <c r="I4314" s="133"/>
      <c r="J4314" s="133"/>
      <c r="K4314" s="133"/>
      <c r="L4314" s="133"/>
      <c r="M4314" s="133"/>
      <c r="N4314" s="133"/>
      <c r="O4314" s="133"/>
      <c r="P4314" s="134"/>
      <c r="Q4314" s="146"/>
      <c r="R4314" s="17"/>
      <c r="S4314" s="17"/>
      <c r="T4314" s="75"/>
      <c r="U4314" s="75"/>
      <c r="V4314" s="75"/>
      <c r="W4314" s="75"/>
      <c r="X4314" s="75"/>
    </row>
    <row r="4315">
      <c r="A4315" s="17"/>
      <c r="B4315" s="17"/>
      <c r="C4315" s="133"/>
      <c r="D4315" s="133"/>
      <c r="E4315" s="17"/>
      <c r="F4315" s="133"/>
      <c r="G4315" s="133"/>
      <c r="H4315" s="133"/>
      <c r="I4315" s="133"/>
      <c r="J4315" s="133"/>
      <c r="K4315" s="133"/>
      <c r="L4315" s="133"/>
      <c r="M4315" s="133"/>
      <c r="N4315" s="133"/>
      <c r="O4315" s="133"/>
      <c r="P4315" s="134"/>
      <c r="Q4315" s="146"/>
      <c r="R4315" s="17"/>
      <c r="S4315" s="17"/>
      <c r="T4315" s="75"/>
      <c r="U4315" s="75"/>
      <c r="V4315" s="75"/>
      <c r="W4315" s="75"/>
      <c r="X4315" s="75"/>
    </row>
    <row r="4316">
      <c r="A4316" s="17"/>
      <c r="B4316" s="17"/>
      <c r="C4316" s="133"/>
      <c r="D4316" s="133"/>
      <c r="E4316" s="17"/>
      <c r="F4316" s="133"/>
      <c r="G4316" s="133"/>
      <c r="H4316" s="133"/>
      <c r="I4316" s="133"/>
      <c r="J4316" s="133"/>
      <c r="K4316" s="133"/>
      <c r="L4316" s="133"/>
      <c r="M4316" s="133"/>
      <c r="N4316" s="133"/>
      <c r="O4316" s="133"/>
      <c r="P4316" s="134"/>
      <c r="Q4316" s="146"/>
      <c r="R4316" s="17"/>
      <c r="S4316" s="17"/>
      <c r="T4316" s="75"/>
      <c r="U4316" s="75"/>
      <c r="V4316" s="75"/>
      <c r="W4316" s="75"/>
      <c r="X4316" s="75"/>
    </row>
    <row r="4317">
      <c r="A4317" s="17"/>
      <c r="B4317" s="17"/>
      <c r="C4317" s="133"/>
      <c r="D4317" s="133"/>
      <c r="E4317" s="17"/>
      <c r="F4317" s="133"/>
      <c r="G4317" s="133"/>
      <c r="H4317" s="133"/>
      <c r="I4317" s="133"/>
      <c r="J4317" s="133"/>
      <c r="K4317" s="133"/>
      <c r="L4317" s="133"/>
      <c r="M4317" s="133"/>
      <c r="N4317" s="133"/>
      <c r="O4317" s="133"/>
      <c r="P4317" s="134"/>
      <c r="Q4317" s="146"/>
      <c r="R4317" s="17"/>
      <c r="S4317" s="17"/>
      <c r="T4317" s="75"/>
      <c r="U4317" s="75"/>
      <c r="V4317" s="75"/>
      <c r="W4317" s="75"/>
      <c r="X4317" s="75"/>
    </row>
    <row r="4318">
      <c r="A4318" s="17"/>
      <c r="B4318" s="17"/>
      <c r="C4318" s="133"/>
      <c r="D4318" s="133"/>
      <c r="E4318" s="17"/>
      <c r="F4318" s="133"/>
      <c r="G4318" s="133"/>
      <c r="H4318" s="133"/>
      <c r="I4318" s="133"/>
      <c r="J4318" s="133"/>
      <c r="K4318" s="133"/>
      <c r="L4318" s="133"/>
      <c r="M4318" s="133"/>
      <c r="N4318" s="133"/>
      <c r="O4318" s="133"/>
      <c r="P4318" s="134"/>
      <c r="Q4318" s="146"/>
      <c r="R4318" s="17"/>
      <c r="S4318" s="17"/>
      <c r="T4318" s="75"/>
      <c r="U4318" s="75"/>
      <c r="V4318" s="75"/>
      <c r="W4318" s="75"/>
      <c r="X4318" s="75"/>
    </row>
    <row r="4319">
      <c r="A4319" s="17"/>
      <c r="B4319" s="17"/>
      <c r="C4319" s="133"/>
      <c r="D4319" s="133"/>
      <c r="E4319" s="17"/>
      <c r="F4319" s="133"/>
      <c r="G4319" s="133"/>
      <c r="H4319" s="133"/>
      <c r="I4319" s="133"/>
      <c r="J4319" s="133"/>
      <c r="K4319" s="133"/>
      <c r="L4319" s="133"/>
      <c r="M4319" s="133"/>
      <c r="N4319" s="133"/>
      <c r="O4319" s="133"/>
      <c r="P4319" s="134"/>
      <c r="Q4319" s="146"/>
      <c r="R4319" s="17"/>
      <c r="S4319" s="17"/>
      <c r="T4319" s="75"/>
      <c r="U4319" s="75"/>
      <c r="V4319" s="75"/>
      <c r="W4319" s="75"/>
      <c r="X4319" s="75"/>
    </row>
    <row r="4320">
      <c r="A4320" s="17"/>
      <c r="B4320" s="17"/>
      <c r="C4320" s="133"/>
      <c r="D4320" s="133"/>
      <c r="E4320" s="17"/>
      <c r="F4320" s="133"/>
      <c r="G4320" s="133"/>
      <c r="H4320" s="133"/>
      <c r="I4320" s="133"/>
      <c r="J4320" s="133"/>
      <c r="K4320" s="133"/>
      <c r="L4320" s="133"/>
      <c r="M4320" s="133"/>
      <c r="N4320" s="133"/>
      <c r="O4320" s="133"/>
      <c r="P4320" s="134"/>
      <c r="Q4320" s="146"/>
      <c r="R4320" s="17"/>
      <c r="S4320" s="17"/>
      <c r="T4320" s="75"/>
      <c r="U4320" s="75"/>
      <c r="V4320" s="75"/>
      <c r="W4320" s="75"/>
      <c r="X4320" s="75"/>
    </row>
    <row r="4321">
      <c r="A4321" s="17"/>
      <c r="B4321" s="17"/>
      <c r="C4321" s="133"/>
      <c r="D4321" s="133"/>
      <c r="E4321" s="17"/>
      <c r="F4321" s="133"/>
      <c r="G4321" s="133"/>
      <c r="H4321" s="133"/>
      <c r="I4321" s="133"/>
      <c r="J4321" s="133"/>
      <c r="K4321" s="133"/>
      <c r="L4321" s="133"/>
      <c r="M4321" s="133"/>
      <c r="N4321" s="133"/>
      <c r="O4321" s="133"/>
      <c r="P4321" s="134"/>
      <c r="Q4321" s="146"/>
      <c r="R4321" s="17"/>
      <c r="S4321" s="17"/>
      <c r="T4321" s="75"/>
      <c r="U4321" s="75"/>
      <c r="V4321" s="75"/>
      <c r="W4321" s="75"/>
      <c r="X4321" s="75"/>
    </row>
    <row r="4322">
      <c r="A4322" s="17"/>
      <c r="B4322" s="17"/>
      <c r="C4322" s="133"/>
      <c r="D4322" s="133"/>
      <c r="E4322" s="17"/>
      <c r="F4322" s="133"/>
      <c r="G4322" s="133"/>
      <c r="H4322" s="133"/>
      <c r="I4322" s="133"/>
      <c r="J4322" s="133"/>
      <c r="K4322" s="133"/>
      <c r="L4322" s="133"/>
      <c r="M4322" s="133"/>
      <c r="N4322" s="133"/>
      <c r="O4322" s="133"/>
      <c r="P4322" s="134"/>
      <c r="Q4322" s="146"/>
      <c r="R4322" s="17"/>
      <c r="S4322" s="17"/>
      <c r="T4322" s="75"/>
      <c r="U4322" s="75"/>
      <c r="V4322" s="75"/>
      <c r="W4322" s="75"/>
      <c r="X4322" s="75"/>
    </row>
    <row r="4323">
      <c r="A4323" s="17"/>
      <c r="B4323" s="17"/>
      <c r="C4323" s="133"/>
      <c r="D4323" s="133"/>
      <c r="E4323" s="17"/>
      <c r="F4323" s="133"/>
      <c r="G4323" s="133"/>
      <c r="H4323" s="133"/>
      <c r="I4323" s="133"/>
      <c r="J4323" s="133"/>
      <c r="K4323" s="133"/>
      <c r="L4323" s="133"/>
      <c r="M4323" s="133"/>
      <c r="N4323" s="133"/>
      <c r="O4323" s="133"/>
      <c r="P4323" s="134"/>
      <c r="Q4323" s="146"/>
      <c r="R4323" s="17"/>
      <c r="S4323" s="17"/>
      <c r="T4323" s="75"/>
      <c r="U4323" s="75"/>
      <c r="V4323" s="75"/>
      <c r="W4323" s="75"/>
      <c r="X4323" s="75"/>
    </row>
    <row r="4324">
      <c r="A4324" s="17"/>
      <c r="B4324" s="17"/>
      <c r="C4324" s="133"/>
      <c r="D4324" s="133"/>
      <c r="E4324" s="17"/>
      <c r="F4324" s="133"/>
      <c r="G4324" s="133"/>
      <c r="H4324" s="133"/>
      <c r="I4324" s="133"/>
      <c r="J4324" s="133"/>
      <c r="K4324" s="133"/>
      <c r="L4324" s="133"/>
      <c r="M4324" s="133"/>
      <c r="N4324" s="133"/>
      <c r="O4324" s="133"/>
      <c r="P4324" s="134"/>
      <c r="Q4324" s="146"/>
      <c r="R4324" s="17"/>
      <c r="S4324" s="17"/>
      <c r="T4324" s="75"/>
      <c r="U4324" s="75"/>
      <c r="V4324" s="75"/>
      <c r="W4324" s="75"/>
      <c r="X4324" s="75"/>
    </row>
    <row r="4325">
      <c r="A4325" s="17"/>
      <c r="B4325" s="17"/>
      <c r="C4325" s="133"/>
      <c r="D4325" s="133"/>
      <c r="E4325" s="17"/>
      <c r="F4325" s="133"/>
      <c r="G4325" s="133"/>
      <c r="H4325" s="133"/>
      <c r="I4325" s="133"/>
      <c r="J4325" s="133"/>
      <c r="K4325" s="133"/>
      <c r="L4325" s="133"/>
      <c r="M4325" s="133"/>
      <c r="N4325" s="133"/>
      <c r="O4325" s="133"/>
      <c r="P4325" s="134"/>
      <c r="Q4325" s="146"/>
      <c r="R4325" s="17"/>
      <c r="S4325" s="17"/>
      <c r="T4325" s="75"/>
      <c r="U4325" s="75"/>
      <c r="V4325" s="75"/>
      <c r="W4325" s="75"/>
      <c r="X4325" s="75"/>
    </row>
    <row r="4326">
      <c r="A4326" s="17"/>
      <c r="B4326" s="17"/>
      <c r="C4326" s="133"/>
      <c r="D4326" s="133"/>
      <c r="E4326" s="17"/>
      <c r="F4326" s="133"/>
      <c r="G4326" s="133"/>
      <c r="H4326" s="133"/>
      <c r="I4326" s="133"/>
      <c r="J4326" s="133"/>
      <c r="K4326" s="133"/>
      <c r="L4326" s="133"/>
      <c r="M4326" s="133"/>
      <c r="N4326" s="133"/>
      <c r="O4326" s="133"/>
      <c r="P4326" s="134"/>
      <c r="Q4326" s="146"/>
      <c r="R4326" s="17"/>
      <c r="S4326" s="17"/>
      <c r="T4326" s="75"/>
      <c r="U4326" s="75"/>
      <c r="V4326" s="75"/>
      <c r="W4326" s="75"/>
      <c r="X4326" s="75"/>
    </row>
    <row r="4327">
      <c r="A4327" s="17"/>
      <c r="B4327" s="17"/>
      <c r="C4327" s="133"/>
      <c r="D4327" s="133"/>
      <c r="E4327" s="17"/>
      <c r="F4327" s="133"/>
      <c r="G4327" s="133"/>
      <c r="H4327" s="133"/>
      <c r="I4327" s="133"/>
      <c r="J4327" s="133"/>
      <c r="K4327" s="133"/>
      <c r="L4327" s="133"/>
      <c r="M4327" s="133"/>
      <c r="N4327" s="133"/>
      <c r="O4327" s="133"/>
      <c r="P4327" s="134"/>
      <c r="Q4327" s="146"/>
      <c r="R4327" s="17"/>
      <c r="S4327" s="17"/>
      <c r="T4327" s="75"/>
      <c r="U4327" s="75"/>
      <c r="V4327" s="75"/>
      <c r="W4327" s="75"/>
      <c r="X4327" s="75"/>
    </row>
    <row r="4328">
      <c r="A4328" s="17"/>
      <c r="B4328" s="17"/>
      <c r="C4328" s="133"/>
      <c r="D4328" s="133"/>
      <c r="E4328" s="17"/>
      <c r="F4328" s="133"/>
      <c r="G4328" s="133"/>
      <c r="H4328" s="133"/>
      <c r="I4328" s="133"/>
      <c r="J4328" s="133"/>
      <c r="K4328" s="133"/>
      <c r="L4328" s="133"/>
      <c r="M4328" s="133"/>
      <c r="N4328" s="133"/>
      <c r="O4328" s="133"/>
      <c r="P4328" s="134"/>
      <c r="Q4328" s="146"/>
      <c r="R4328" s="17"/>
      <c r="S4328" s="17"/>
      <c r="T4328" s="75"/>
      <c r="U4328" s="75"/>
      <c r="V4328" s="75"/>
      <c r="W4328" s="75"/>
      <c r="X4328" s="75"/>
    </row>
    <row r="4329">
      <c r="A4329" s="17"/>
      <c r="B4329" s="17"/>
      <c r="C4329" s="133"/>
      <c r="D4329" s="133"/>
      <c r="E4329" s="17"/>
      <c r="F4329" s="133"/>
      <c r="G4329" s="133"/>
      <c r="H4329" s="133"/>
      <c r="I4329" s="133"/>
      <c r="J4329" s="133"/>
      <c r="K4329" s="133"/>
      <c r="L4329" s="133"/>
      <c r="M4329" s="133"/>
      <c r="N4329" s="133"/>
      <c r="O4329" s="133"/>
      <c r="P4329" s="134"/>
      <c r="Q4329" s="146"/>
      <c r="R4329" s="17"/>
      <c r="S4329" s="17"/>
      <c r="T4329" s="75"/>
      <c r="U4329" s="75"/>
      <c r="V4329" s="75"/>
      <c r="W4329" s="75"/>
      <c r="X4329" s="75"/>
    </row>
    <row r="4330">
      <c r="A4330" s="17"/>
      <c r="B4330" s="17"/>
      <c r="C4330" s="133"/>
      <c r="D4330" s="133"/>
      <c r="E4330" s="17"/>
      <c r="F4330" s="133"/>
      <c r="G4330" s="133"/>
      <c r="H4330" s="133"/>
      <c r="I4330" s="133"/>
      <c r="J4330" s="133"/>
      <c r="K4330" s="133"/>
      <c r="L4330" s="133"/>
      <c r="M4330" s="133"/>
      <c r="N4330" s="133"/>
      <c r="O4330" s="133"/>
      <c r="P4330" s="134"/>
      <c r="Q4330" s="146"/>
      <c r="R4330" s="17"/>
      <c r="S4330" s="17"/>
      <c r="T4330" s="75"/>
      <c r="U4330" s="75"/>
      <c r="V4330" s="75"/>
      <c r="W4330" s="75"/>
      <c r="X4330" s="75"/>
    </row>
    <row r="4331">
      <c r="A4331" s="17"/>
      <c r="B4331" s="17"/>
      <c r="C4331" s="133"/>
      <c r="D4331" s="133"/>
      <c r="E4331" s="17"/>
      <c r="F4331" s="133"/>
      <c r="G4331" s="133"/>
      <c r="H4331" s="133"/>
      <c r="I4331" s="133"/>
      <c r="J4331" s="133"/>
      <c r="K4331" s="133"/>
      <c r="L4331" s="133"/>
      <c r="M4331" s="133"/>
      <c r="N4331" s="133"/>
      <c r="O4331" s="133"/>
      <c r="P4331" s="134"/>
      <c r="Q4331" s="146"/>
      <c r="R4331" s="17"/>
      <c r="S4331" s="17"/>
      <c r="T4331" s="75"/>
      <c r="U4331" s="75"/>
      <c r="V4331" s="75"/>
      <c r="W4331" s="75"/>
      <c r="X4331" s="75"/>
    </row>
    <row r="4332">
      <c r="A4332" s="17"/>
      <c r="B4332" s="17"/>
      <c r="C4332" s="133"/>
      <c r="D4332" s="133"/>
      <c r="E4332" s="17"/>
      <c r="F4332" s="133"/>
      <c r="G4332" s="133"/>
      <c r="H4332" s="133"/>
      <c r="I4332" s="133"/>
      <c r="J4332" s="133"/>
      <c r="K4332" s="133"/>
      <c r="L4332" s="133"/>
      <c r="M4332" s="133"/>
      <c r="N4332" s="133"/>
      <c r="O4332" s="133"/>
      <c r="P4332" s="134"/>
      <c r="Q4332" s="146"/>
      <c r="R4332" s="17"/>
      <c r="S4332" s="17"/>
      <c r="T4332" s="75"/>
      <c r="U4332" s="75"/>
      <c r="V4332" s="75"/>
      <c r="W4332" s="75"/>
      <c r="X4332" s="75"/>
    </row>
    <row r="4333">
      <c r="A4333" s="17"/>
      <c r="B4333" s="17"/>
      <c r="C4333" s="133"/>
      <c r="D4333" s="133"/>
      <c r="E4333" s="17"/>
      <c r="F4333" s="133"/>
      <c r="G4333" s="133"/>
      <c r="H4333" s="133"/>
      <c r="I4333" s="133"/>
      <c r="J4333" s="133"/>
      <c r="K4333" s="133"/>
      <c r="L4333" s="133"/>
      <c r="M4333" s="133"/>
      <c r="N4333" s="133"/>
      <c r="O4333" s="133"/>
      <c r="P4333" s="134"/>
      <c r="Q4333" s="146"/>
      <c r="R4333" s="17"/>
      <c r="S4333" s="17"/>
      <c r="T4333" s="75"/>
      <c r="U4333" s="75"/>
      <c r="V4333" s="75"/>
      <c r="W4333" s="75"/>
      <c r="X4333" s="75"/>
    </row>
    <row r="4334">
      <c r="A4334" s="17"/>
      <c r="B4334" s="17"/>
      <c r="C4334" s="133"/>
      <c r="D4334" s="133"/>
      <c r="E4334" s="17"/>
      <c r="F4334" s="133"/>
      <c r="G4334" s="133"/>
      <c r="H4334" s="133"/>
      <c r="I4334" s="133"/>
      <c r="J4334" s="133"/>
      <c r="K4334" s="133"/>
      <c r="L4334" s="133"/>
      <c r="M4334" s="133"/>
      <c r="N4334" s="133"/>
      <c r="O4334" s="133"/>
      <c r="P4334" s="134"/>
      <c r="Q4334" s="146"/>
      <c r="R4334" s="17"/>
      <c r="S4334" s="17"/>
      <c r="T4334" s="75"/>
      <c r="U4334" s="75"/>
      <c r="V4334" s="75"/>
      <c r="W4334" s="75"/>
      <c r="X4334" s="75"/>
    </row>
    <row r="4335">
      <c r="A4335" s="17"/>
      <c r="B4335" s="17"/>
      <c r="C4335" s="133"/>
      <c r="D4335" s="133"/>
      <c r="E4335" s="17"/>
      <c r="F4335" s="133"/>
      <c r="G4335" s="133"/>
      <c r="H4335" s="133"/>
      <c r="I4335" s="133"/>
      <c r="J4335" s="133"/>
      <c r="K4335" s="133"/>
      <c r="L4335" s="133"/>
      <c r="M4335" s="133"/>
      <c r="N4335" s="133"/>
      <c r="O4335" s="133"/>
      <c r="P4335" s="134"/>
      <c r="Q4335" s="146"/>
      <c r="R4335" s="17"/>
      <c r="S4335" s="17"/>
      <c r="T4335" s="75"/>
      <c r="U4335" s="75"/>
      <c r="V4335" s="75"/>
      <c r="W4335" s="75"/>
      <c r="X4335" s="75"/>
    </row>
    <row r="4336">
      <c r="A4336" s="17"/>
      <c r="B4336" s="17"/>
      <c r="C4336" s="133"/>
      <c r="D4336" s="133"/>
      <c r="E4336" s="17"/>
      <c r="F4336" s="133"/>
      <c r="G4336" s="133"/>
      <c r="H4336" s="133"/>
      <c r="I4336" s="133"/>
      <c r="J4336" s="133"/>
      <c r="K4336" s="133"/>
      <c r="L4336" s="133"/>
      <c r="M4336" s="133"/>
      <c r="N4336" s="133"/>
      <c r="O4336" s="133"/>
      <c r="P4336" s="134"/>
      <c r="Q4336" s="146"/>
      <c r="R4336" s="17"/>
      <c r="S4336" s="17"/>
      <c r="T4336" s="75"/>
      <c r="U4336" s="75"/>
      <c r="V4336" s="75"/>
      <c r="W4336" s="75"/>
      <c r="X4336" s="75"/>
    </row>
    <row r="4337">
      <c r="A4337" s="17"/>
      <c r="B4337" s="17"/>
      <c r="C4337" s="133"/>
      <c r="D4337" s="133"/>
      <c r="E4337" s="17"/>
      <c r="F4337" s="133"/>
      <c r="G4337" s="133"/>
      <c r="H4337" s="133"/>
      <c r="I4337" s="133"/>
      <c r="J4337" s="133"/>
      <c r="K4337" s="133"/>
      <c r="L4337" s="133"/>
      <c r="M4337" s="133"/>
      <c r="N4337" s="133"/>
      <c r="O4337" s="133"/>
      <c r="P4337" s="134"/>
      <c r="Q4337" s="146"/>
      <c r="R4337" s="17"/>
      <c r="S4337" s="17"/>
      <c r="T4337" s="75"/>
      <c r="U4337" s="75"/>
      <c r="V4337" s="75"/>
      <c r="W4337" s="75"/>
      <c r="X4337" s="75"/>
    </row>
    <row r="4338">
      <c r="A4338" s="17"/>
      <c r="B4338" s="17"/>
      <c r="C4338" s="133"/>
      <c r="D4338" s="133"/>
      <c r="E4338" s="17"/>
      <c r="F4338" s="133"/>
      <c r="G4338" s="133"/>
      <c r="H4338" s="133"/>
      <c r="I4338" s="133"/>
      <c r="J4338" s="133"/>
      <c r="K4338" s="133"/>
      <c r="L4338" s="133"/>
      <c r="M4338" s="133"/>
      <c r="N4338" s="133"/>
      <c r="O4338" s="133"/>
      <c r="P4338" s="134"/>
      <c r="Q4338" s="146"/>
      <c r="R4338" s="17"/>
      <c r="S4338" s="17"/>
      <c r="T4338" s="75"/>
      <c r="U4338" s="75"/>
      <c r="V4338" s="75"/>
      <c r="W4338" s="75"/>
      <c r="X4338" s="75"/>
    </row>
    <row r="4339">
      <c r="A4339" s="17"/>
      <c r="B4339" s="17"/>
      <c r="C4339" s="133"/>
      <c r="D4339" s="133"/>
      <c r="E4339" s="17"/>
      <c r="F4339" s="133"/>
      <c r="G4339" s="133"/>
      <c r="H4339" s="133"/>
      <c r="I4339" s="133"/>
      <c r="J4339" s="133"/>
      <c r="K4339" s="133"/>
      <c r="L4339" s="133"/>
      <c r="M4339" s="133"/>
      <c r="N4339" s="133"/>
      <c r="O4339" s="133"/>
      <c r="P4339" s="134"/>
      <c r="Q4339" s="146"/>
      <c r="R4339" s="17"/>
      <c r="S4339" s="17"/>
      <c r="T4339" s="75"/>
      <c r="U4339" s="75"/>
      <c r="V4339" s="75"/>
      <c r="W4339" s="75"/>
      <c r="X4339" s="75"/>
    </row>
    <row r="4340">
      <c r="A4340" s="17"/>
      <c r="B4340" s="17"/>
      <c r="C4340" s="133"/>
      <c r="D4340" s="133"/>
      <c r="E4340" s="17"/>
      <c r="F4340" s="133"/>
      <c r="G4340" s="133"/>
      <c r="H4340" s="133"/>
      <c r="I4340" s="133"/>
      <c r="J4340" s="133"/>
      <c r="K4340" s="133"/>
      <c r="L4340" s="133"/>
      <c r="M4340" s="133"/>
      <c r="N4340" s="133"/>
      <c r="O4340" s="133"/>
      <c r="P4340" s="134"/>
      <c r="Q4340" s="146"/>
      <c r="R4340" s="17"/>
      <c r="S4340" s="17"/>
      <c r="T4340" s="75"/>
      <c r="U4340" s="75"/>
      <c r="V4340" s="75"/>
      <c r="W4340" s="75"/>
      <c r="X4340" s="75"/>
    </row>
    <row r="4341">
      <c r="A4341" s="17"/>
      <c r="B4341" s="17"/>
      <c r="C4341" s="133"/>
      <c r="D4341" s="133"/>
      <c r="E4341" s="17"/>
      <c r="F4341" s="133"/>
      <c r="G4341" s="133"/>
      <c r="H4341" s="133"/>
      <c r="I4341" s="133"/>
      <c r="J4341" s="133"/>
      <c r="K4341" s="133"/>
      <c r="L4341" s="133"/>
      <c r="M4341" s="133"/>
      <c r="N4341" s="133"/>
      <c r="O4341" s="133"/>
      <c r="P4341" s="134"/>
      <c r="Q4341" s="146"/>
      <c r="R4341" s="17"/>
      <c r="S4341" s="17"/>
      <c r="T4341" s="75"/>
      <c r="U4341" s="75"/>
      <c r="V4341" s="75"/>
      <c r="W4341" s="75"/>
      <c r="X4341" s="75"/>
    </row>
    <row r="4342">
      <c r="A4342" s="17"/>
      <c r="B4342" s="17"/>
      <c r="C4342" s="133"/>
      <c r="D4342" s="133"/>
      <c r="E4342" s="17"/>
      <c r="F4342" s="133"/>
      <c r="G4342" s="133"/>
      <c r="H4342" s="133"/>
      <c r="I4342" s="133"/>
      <c r="J4342" s="133"/>
      <c r="K4342" s="133"/>
      <c r="L4342" s="133"/>
      <c r="M4342" s="133"/>
      <c r="N4342" s="133"/>
      <c r="O4342" s="133"/>
      <c r="P4342" s="134"/>
      <c r="Q4342" s="146"/>
      <c r="R4342" s="17"/>
      <c r="S4342" s="17"/>
      <c r="T4342" s="75"/>
      <c r="U4342" s="75"/>
      <c r="V4342" s="75"/>
      <c r="W4342" s="75"/>
      <c r="X4342" s="75"/>
    </row>
    <row r="4343">
      <c r="A4343" s="17"/>
      <c r="B4343" s="17"/>
      <c r="C4343" s="133"/>
      <c r="D4343" s="133"/>
      <c r="E4343" s="17"/>
      <c r="F4343" s="133"/>
      <c r="G4343" s="133"/>
      <c r="H4343" s="133"/>
      <c r="I4343" s="133"/>
      <c r="J4343" s="133"/>
      <c r="K4343" s="133"/>
      <c r="L4343" s="133"/>
      <c r="M4343" s="133"/>
      <c r="N4343" s="133"/>
      <c r="O4343" s="133"/>
      <c r="P4343" s="134"/>
      <c r="Q4343" s="146"/>
      <c r="R4343" s="17"/>
      <c r="S4343" s="17"/>
      <c r="T4343" s="75"/>
      <c r="U4343" s="75"/>
      <c r="V4343" s="75"/>
      <c r="W4343" s="75"/>
      <c r="X4343" s="75"/>
    </row>
    <row r="4344">
      <c r="A4344" s="17"/>
      <c r="B4344" s="17"/>
      <c r="C4344" s="133"/>
      <c r="D4344" s="133"/>
      <c r="E4344" s="17"/>
      <c r="F4344" s="133"/>
      <c r="G4344" s="133"/>
      <c r="H4344" s="133"/>
      <c r="I4344" s="133"/>
      <c r="J4344" s="133"/>
      <c r="K4344" s="133"/>
      <c r="L4344" s="133"/>
      <c r="M4344" s="133"/>
      <c r="N4344" s="133"/>
      <c r="O4344" s="133"/>
      <c r="P4344" s="134"/>
      <c r="Q4344" s="146"/>
      <c r="R4344" s="17"/>
      <c r="S4344" s="17"/>
      <c r="T4344" s="75"/>
      <c r="U4344" s="75"/>
      <c r="V4344" s="75"/>
      <c r="W4344" s="75"/>
      <c r="X4344" s="75"/>
    </row>
    <row r="4345">
      <c r="A4345" s="17"/>
      <c r="B4345" s="17"/>
      <c r="C4345" s="133"/>
      <c r="D4345" s="133"/>
      <c r="E4345" s="17"/>
      <c r="F4345" s="133"/>
      <c r="G4345" s="133"/>
      <c r="H4345" s="133"/>
      <c r="I4345" s="133"/>
      <c r="J4345" s="133"/>
      <c r="K4345" s="133"/>
      <c r="L4345" s="133"/>
      <c r="M4345" s="133"/>
      <c r="N4345" s="133"/>
      <c r="O4345" s="133"/>
      <c r="P4345" s="134"/>
      <c r="Q4345" s="146"/>
      <c r="R4345" s="17"/>
      <c r="S4345" s="17"/>
      <c r="T4345" s="75"/>
      <c r="U4345" s="75"/>
      <c r="V4345" s="75"/>
      <c r="W4345" s="75"/>
      <c r="X4345" s="75"/>
    </row>
    <row r="4346">
      <c r="A4346" s="17"/>
      <c r="B4346" s="17"/>
      <c r="C4346" s="133"/>
      <c r="D4346" s="133"/>
      <c r="E4346" s="17"/>
      <c r="F4346" s="133"/>
      <c r="G4346" s="133"/>
      <c r="H4346" s="133"/>
      <c r="I4346" s="133"/>
      <c r="J4346" s="133"/>
      <c r="K4346" s="133"/>
      <c r="L4346" s="133"/>
      <c r="M4346" s="133"/>
      <c r="N4346" s="133"/>
      <c r="O4346" s="133"/>
      <c r="P4346" s="134"/>
      <c r="Q4346" s="146"/>
      <c r="R4346" s="17"/>
      <c r="S4346" s="17"/>
      <c r="T4346" s="75"/>
      <c r="U4346" s="75"/>
      <c r="V4346" s="75"/>
      <c r="W4346" s="75"/>
      <c r="X4346" s="75"/>
    </row>
    <row r="4347">
      <c r="A4347" s="17"/>
      <c r="B4347" s="17"/>
      <c r="C4347" s="133"/>
      <c r="D4347" s="133"/>
      <c r="E4347" s="17"/>
      <c r="F4347" s="133"/>
      <c r="G4347" s="133"/>
      <c r="H4347" s="133"/>
      <c r="I4347" s="133"/>
      <c r="J4347" s="133"/>
      <c r="K4347" s="133"/>
      <c r="L4347" s="133"/>
      <c r="M4347" s="133"/>
      <c r="N4347" s="133"/>
      <c r="O4347" s="133"/>
      <c r="P4347" s="134"/>
      <c r="Q4347" s="146"/>
      <c r="R4347" s="17"/>
      <c r="S4347" s="17"/>
      <c r="T4347" s="75"/>
      <c r="U4347" s="75"/>
      <c r="V4347" s="75"/>
      <c r="W4347" s="75"/>
      <c r="X4347" s="75"/>
    </row>
    <row r="4348">
      <c r="A4348" s="17"/>
      <c r="B4348" s="17"/>
      <c r="C4348" s="133"/>
      <c r="D4348" s="133"/>
      <c r="E4348" s="17"/>
      <c r="F4348" s="133"/>
      <c r="G4348" s="133"/>
      <c r="H4348" s="133"/>
      <c r="I4348" s="133"/>
      <c r="J4348" s="133"/>
      <c r="K4348" s="133"/>
      <c r="L4348" s="133"/>
      <c r="M4348" s="133"/>
      <c r="N4348" s="133"/>
      <c r="O4348" s="133"/>
      <c r="P4348" s="134"/>
      <c r="Q4348" s="146"/>
      <c r="R4348" s="17"/>
      <c r="S4348" s="17"/>
      <c r="T4348" s="75"/>
      <c r="U4348" s="75"/>
      <c r="V4348" s="75"/>
      <c r="W4348" s="75"/>
      <c r="X4348" s="75"/>
    </row>
    <row r="4349">
      <c r="A4349" s="17"/>
      <c r="B4349" s="17"/>
      <c r="C4349" s="133"/>
      <c r="D4349" s="133"/>
      <c r="E4349" s="17"/>
      <c r="F4349" s="133"/>
      <c r="G4349" s="133"/>
      <c r="H4349" s="133"/>
      <c r="I4349" s="133"/>
      <c r="J4349" s="133"/>
      <c r="K4349" s="133"/>
      <c r="L4349" s="133"/>
      <c r="M4349" s="133"/>
      <c r="N4349" s="133"/>
      <c r="O4349" s="133"/>
      <c r="P4349" s="134"/>
      <c r="Q4349" s="146"/>
      <c r="R4349" s="17"/>
      <c r="S4349" s="17"/>
      <c r="T4349" s="75"/>
      <c r="U4349" s="75"/>
      <c r="V4349" s="75"/>
      <c r="W4349" s="75"/>
      <c r="X4349" s="75"/>
    </row>
    <row r="4350">
      <c r="A4350" s="17"/>
      <c r="B4350" s="17"/>
      <c r="C4350" s="133"/>
      <c r="D4350" s="133"/>
      <c r="E4350" s="17"/>
      <c r="F4350" s="133"/>
      <c r="G4350" s="133"/>
      <c r="H4350" s="133"/>
      <c r="I4350" s="133"/>
      <c r="J4350" s="133"/>
      <c r="K4350" s="133"/>
      <c r="L4350" s="133"/>
      <c r="M4350" s="133"/>
      <c r="N4350" s="133"/>
      <c r="O4350" s="133"/>
      <c r="P4350" s="134"/>
      <c r="Q4350" s="146"/>
      <c r="R4350" s="17"/>
      <c r="S4350" s="17"/>
      <c r="T4350" s="75"/>
      <c r="U4350" s="75"/>
      <c r="V4350" s="75"/>
      <c r="W4350" s="75"/>
      <c r="X4350" s="75"/>
    </row>
    <row r="4351">
      <c r="A4351" s="17"/>
      <c r="B4351" s="17"/>
      <c r="C4351" s="133"/>
      <c r="D4351" s="133"/>
      <c r="E4351" s="17"/>
      <c r="F4351" s="133"/>
      <c r="G4351" s="133"/>
      <c r="H4351" s="133"/>
      <c r="I4351" s="133"/>
      <c r="J4351" s="133"/>
      <c r="K4351" s="133"/>
      <c r="L4351" s="133"/>
      <c r="M4351" s="133"/>
      <c r="N4351" s="133"/>
      <c r="O4351" s="133"/>
      <c r="P4351" s="134"/>
      <c r="Q4351" s="146"/>
      <c r="R4351" s="17"/>
      <c r="S4351" s="17"/>
      <c r="T4351" s="75"/>
      <c r="U4351" s="75"/>
      <c r="V4351" s="75"/>
      <c r="W4351" s="75"/>
      <c r="X4351" s="75"/>
    </row>
    <row r="4352">
      <c r="A4352" s="17"/>
      <c r="B4352" s="17"/>
      <c r="C4352" s="133"/>
      <c r="D4352" s="133"/>
      <c r="E4352" s="17"/>
      <c r="F4352" s="133"/>
      <c r="G4352" s="133"/>
      <c r="H4352" s="133"/>
      <c r="I4352" s="133"/>
      <c r="J4352" s="133"/>
      <c r="K4352" s="133"/>
      <c r="L4352" s="133"/>
      <c r="M4352" s="133"/>
      <c r="N4352" s="133"/>
      <c r="O4352" s="133"/>
      <c r="P4352" s="134"/>
      <c r="Q4352" s="146"/>
      <c r="R4352" s="17"/>
      <c r="S4352" s="17"/>
      <c r="T4352" s="75"/>
      <c r="U4352" s="75"/>
      <c r="V4352" s="75"/>
      <c r="W4352" s="75"/>
      <c r="X4352" s="75"/>
    </row>
    <row r="4353">
      <c r="A4353" s="17"/>
      <c r="B4353" s="17"/>
      <c r="C4353" s="133"/>
      <c r="D4353" s="133"/>
      <c r="E4353" s="17"/>
      <c r="F4353" s="133"/>
      <c r="G4353" s="133"/>
      <c r="H4353" s="133"/>
      <c r="I4353" s="133"/>
      <c r="J4353" s="133"/>
      <c r="K4353" s="133"/>
      <c r="L4353" s="133"/>
      <c r="M4353" s="133"/>
      <c r="N4353" s="133"/>
      <c r="O4353" s="133"/>
      <c r="P4353" s="134"/>
      <c r="Q4353" s="146"/>
      <c r="R4353" s="17"/>
      <c r="S4353" s="17"/>
      <c r="T4353" s="75"/>
      <c r="U4353" s="75"/>
      <c r="V4353" s="75"/>
      <c r="W4353" s="75"/>
      <c r="X4353" s="75"/>
    </row>
    <row r="4354">
      <c r="A4354" s="17"/>
      <c r="B4354" s="17"/>
      <c r="C4354" s="133"/>
      <c r="D4354" s="133"/>
      <c r="E4354" s="17"/>
      <c r="F4354" s="133"/>
      <c r="G4354" s="133"/>
      <c r="H4354" s="133"/>
      <c r="I4354" s="133"/>
      <c r="J4354" s="133"/>
      <c r="K4354" s="133"/>
      <c r="L4354" s="133"/>
      <c r="M4354" s="133"/>
      <c r="N4354" s="133"/>
      <c r="O4354" s="133"/>
      <c r="P4354" s="134"/>
      <c r="Q4354" s="146"/>
      <c r="R4354" s="17"/>
      <c r="S4354" s="17"/>
      <c r="T4354" s="75"/>
      <c r="U4354" s="75"/>
      <c r="V4354" s="75"/>
      <c r="W4354" s="75"/>
      <c r="X4354" s="75"/>
    </row>
    <row r="4355">
      <c r="A4355" s="17"/>
      <c r="B4355" s="17"/>
      <c r="C4355" s="133"/>
      <c r="D4355" s="133"/>
      <c r="E4355" s="17"/>
      <c r="F4355" s="133"/>
      <c r="G4355" s="133"/>
      <c r="H4355" s="133"/>
      <c r="I4355" s="133"/>
      <c r="J4355" s="133"/>
      <c r="K4355" s="133"/>
      <c r="L4355" s="133"/>
      <c r="M4355" s="133"/>
      <c r="N4355" s="133"/>
      <c r="O4355" s="133"/>
      <c r="P4355" s="134"/>
      <c r="Q4355" s="146"/>
      <c r="R4355" s="17"/>
      <c r="S4355" s="17"/>
      <c r="T4355" s="75"/>
      <c r="U4355" s="75"/>
      <c r="V4355" s="75"/>
      <c r="W4355" s="75"/>
      <c r="X4355" s="75"/>
    </row>
    <row r="4356">
      <c r="A4356" s="17"/>
      <c r="B4356" s="17"/>
      <c r="C4356" s="133"/>
      <c r="D4356" s="133"/>
      <c r="E4356" s="17"/>
      <c r="F4356" s="133"/>
      <c r="G4356" s="133"/>
      <c r="H4356" s="133"/>
      <c r="I4356" s="133"/>
      <c r="J4356" s="133"/>
      <c r="K4356" s="133"/>
      <c r="L4356" s="133"/>
      <c r="M4356" s="133"/>
      <c r="N4356" s="133"/>
      <c r="O4356" s="133"/>
      <c r="P4356" s="134"/>
      <c r="Q4356" s="146"/>
      <c r="R4356" s="17"/>
      <c r="S4356" s="17"/>
      <c r="T4356" s="75"/>
      <c r="U4356" s="75"/>
      <c r="V4356" s="75"/>
      <c r="W4356" s="75"/>
      <c r="X4356" s="75"/>
    </row>
    <row r="4357">
      <c r="A4357" s="17"/>
      <c r="B4357" s="17"/>
      <c r="C4357" s="133"/>
      <c r="D4357" s="133"/>
      <c r="E4357" s="17"/>
      <c r="F4357" s="133"/>
      <c r="G4357" s="133"/>
      <c r="H4357" s="133"/>
      <c r="I4357" s="133"/>
      <c r="J4357" s="133"/>
      <c r="K4357" s="133"/>
      <c r="L4357" s="133"/>
      <c r="M4357" s="133"/>
      <c r="N4357" s="133"/>
      <c r="O4357" s="133"/>
      <c r="P4357" s="134"/>
      <c r="Q4357" s="146"/>
      <c r="R4357" s="17"/>
      <c r="S4357" s="17"/>
      <c r="T4357" s="75"/>
      <c r="U4357" s="75"/>
      <c r="V4357" s="75"/>
      <c r="W4357" s="75"/>
      <c r="X4357" s="75"/>
    </row>
    <row r="4358">
      <c r="A4358" s="17"/>
      <c r="B4358" s="17"/>
      <c r="C4358" s="133"/>
      <c r="D4358" s="133"/>
      <c r="E4358" s="17"/>
      <c r="F4358" s="133"/>
      <c r="G4358" s="133"/>
      <c r="H4358" s="133"/>
      <c r="I4358" s="133"/>
      <c r="J4358" s="133"/>
      <c r="K4358" s="133"/>
      <c r="L4358" s="133"/>
      <c r="M4358" s="133"/>
      <c r="N4358" s="133"/>
      <c r="O4358" s="133"/>
      <c r="P4358" s="134"/>
      <c r="Q4358" s="146"/>
      <c r="R4358" s="17"/>
      <c r="S4358" s="17"/>
      <c r="T4358" s="75"/>
      <c r="U4358" s="75"/>
      <c r="V4358" s="75"/>
      <c r="W4358" s="75"/>
      <c r="X4358" s="75"/>
    </row>
    <row r="4359">
      <c r="A4359" s="17"/>
      <c r="B4359" s="17"/>
      <c r="C4359" s="133"/>
      <c r="D4359" s="133"/>
      <c r="E4359" s="17"/>
      <c r="F4359" s="133"/>
      <c r="G4359" s="133"/>
      <c r="H4359" s="133"/>
      <c r="I4359" s="133"/>
      <c r="J4359" s="133"/>
      <c r="K4359" s="133"/>
      <c r="L4359" s="133"/>
      <c r="M4359" s="133"/>
      <c r="N4359" s="133"/>
      <c r="O4359" s="133"/>
      <c r="P4359" s="134"/>
      <c r="Q4359" s="146"/>
      <c r="R4359" s="17"/>
      <c r="S4359" s="17"/>
      <c r="T4359" s="75"/>
      <c r="U4359" s="75"/>
      <c r="V4359" s="75"/>
      <c r="W4359" s="75"/>
      <c r="X4359" s="75"/>
    </row>
    <row r="4360">
      <c r="A4360" s="17"/>
      <c r="B4360" s="17"/>
      <c r="C4360" s="133"/>
      <c r="D4360" s="133"/>
      <c r="E4360" s="17"/>
      <c r="F4360" s="133"/>
      <c r="G4360" s="133"/>
      <c r="H4360" s="133"/>
      <c r="I4360" s="133"/>
      <c r="J4360" s="133"/>
      <c r="K4360" s="133"/>
      <c r="L4360" s="133"/>
      <c r="M4360" s="133"/>
      <c r="N4360" s="133"/>
      <c r="O4360" s="133"/>
      <c r="P4360" s="134"/>
      <c r="Q4360" s="146"/>
      <c r="R4360" s="17"/>
      <c r="S4360" s="17"/>
      <c r="T4360" s="75"/>
      <c r="U4360" s="75"/>
      <c r="V4360" s="75"/>
      <c r="W4360" s="75"/>
      <c r="X4360" s="75"/>
    </row>
    <row r="4361">
      <c r="A4361" s="17"/>
      <c r="B4361" s="17"/>
      <c r="C4361" s="133"/>
      <c r="D4361" s="133"/>
      <c r="E4361" s="17"/>
      <c r="F4361" s="133"/>
      <c r="G4361" s="133"/>
      <c r="H4361" s="133"/>
      <c r="I4361" s="133"/>
      <c r="J4361" s="133"/>
      <c r="K4361" s="133"/>
      <c r="L4361" s="133"/>
      <c r="M4361" s="133"/>
      <c r="N4361" s="133"/>
      <c r="O4361" s="133"/>
      <c r="P4361" s="134"/>
      <c r="Q4361" s="146"/>
      <c r="R4361" s="17"/>
      <c r="S4361" s="17"/>
      <c r="T4361" s="75"/>
      <c r="U4361" s="75"/>
      <c r="V4361" s="75"/>
      <c r="W4361" s="75"/>
      <c r="X4361" s="75"/>
    </row>
    <row r="4362">
      <c r="A4362" s="17"/>
      <c r="B4362" s="17"/>
      <c r="C4362" s="133"/>
      <c r="D4362" s="133"/>
      <c r="E4362" s="17"/>
      <c r="F4362" s="133"/>
      <c r="G4362" s="133"/>
      <c r="H4362" s="133"/>
      <c r="I4362" s="133"/>
      <c r="J4362" s="133"/>
      <c r="K4362" s="133"/>
      <c r="L4362" s="133"/>
      <c r="M4362" s="133"/>
      <c r="N4362" s="133"/>
      <c r="O4362" s="133"/>
      <c r="P4362" s="134"/>
      <c r="Q4362" s="146"/>
      <c r="R4362" s="17"/>
      <c r="S4362" s="17"/>
      <c r="T4362" s="75"/>
      <c r="U4362" s="75"/>
      <c r="V4362" s="75"/>
      <c r="W4362" s="75"/>
      <c r="X4362" s="75"/>
    </row>
    <row r="4363">
      <c r="A4363" s="17"/>
      <c r="B4363" s="17"/>
      <c r="C4363" s="133"/>
      <c r="D4363" s="133"/>
      <c r="E4363" s="17"/>
      <c r="F4363" s="133"/>
      <c r="G4363" s="133"/>
      <c r="H4363" s="133"/>
      <c r="I4363" s="133"/>
      <c r="J4363" s="133"/>
      <c r="K4363" s="133"/>
      <c r="L4363" s="133"/>
      <c r="M4363" s="133"/>
      <c r="N4363" s="133"/>
      <c r="O4363" s="133"/>
      <c r="P4363" s="134"/>
      <c r="Q4363" s="146"/>
      <c r="R4363" s="17"/>
      <c r="S4363" s="17"/>
      <c r="T4363" s="75"/>
      <c r="U4363" s="75"/>
      <c r="V4363" s="75"/>
      <c r="W4363" s="75"/>
      <c r="X4363" s="75"/>
    </row>
    <row r="4364">
      <c r="A4364" s="17"/>
      <c r="B4364" s="17"/>
      <c r="C4364" s="133"/>
      <c r="D4364" s="133"/>
      <c r="E4364" s="17"/>
      <c r="F4364" s="133"/>
      <c r="G4364" s="133"/>
      <c r="H4364" s="133"/>
      <c r="I4364" s="133"/>
      <c r="J4364" s="133"/>
      <c r="K4364" s="133"/>
      <c r="L4364" s="133"/>
      <c r="M4364" s="133"/>
      <c r="N4364" s="133"/>
      <c r="O4364" s="133"/>
      <c r="P4364" s="134"/>
      <c r="Q4364" s="146"/>
      <c r="R4364" s="17"/>
      <c r="S4364" s="17"/>
      <c r="T4364" s="75"/>
      <c r="U4364" s="75"/>
      <c r="V4364" s="75"/>
      <c r="W4364" s="75"/>
      <c r="X4364" s="75"/>
    </row>
    <row r="4365">
      <c r="A4365" s="17"/>
      <c r="B4365" s="17"/>
      <c r="C4365" s="133"/>
      <c r="D4365" s="133"/>
      <c r="E4365" s="17"/>
      <c r="F4365" s="133"/>
      <c r="G4365" s="133"/>
      <c r="H4365" s="133"/>
      <c r="I4365" s="133"/>
      <c r="J4365" s="133"/>
      <c r="K4365" s="133"/>
      <c r="L4365" s="133"/>
      <c r="M4365" s="133"/>
      <c r="N4365" s="133"/>
      <c r="O4365" s="133"/>
      <c r="P4365" s="134"/>
      <c r="Q4365" s="146"/>
      <c r="R4365" s="17"/>
      <c r="S4365" s="17"/>
      <c r="T4365" s="75"/>
      <c r="U4365" s="75"/>
      <c r="V4365" s="75"/>
      <c r="W4365" s="75"/>
      <c r="X4365" s="75"/>
    </row>
    <row r="4366">
      <c r="A4366" s="17"/>
      <c r="B4366" s="17"/>
      <c r="C4366" s="133"/>
      <c r="D4366" s="133"/>
      <c r="E4366" s="17"/>
      <c r="F4366" s="133"/>
      <c r="G4366" s="133"/>
      <c r="H4366" s="133"/>
      <c r="I4366" s="133"/>
      <c r="J4366" s="133"/>
      <c r="K4366" s="133"/>
      <c r="L4366" s="133"/>
      <c r="M4366" s="133"/>
      <c r="N4366" s="133"/>
      <c r="O4366" s="133"/>
      <c r="P4366" s="134"/>
      <c r="Q4366" s="146"/>
      <c r="R4366" s="17"/>
      <c r="S4366" s="17"/>
      <c r="T4366" s="75"/>
      <c r="U4366" s="75"/>
      <c r="V4366" s="75"/>
      <c r="W4366" s="75"/>
      <c r="X4366" s="75"/>
    </row>
    <row r="4367">
      <c r="A4367" s="17"/>
      <c r="B4367" s="17"/>
      <c r="C4367" s="133"/>
      <c r="D4367" s="133"/>
      <c r="E4367" s="17"/>
      <c r="F4367" s="133"/>
      <c r="G4367" s="133"/>
      <c r="H4367" s="133"/>
      <c r="I4367" s="133"/>
      <c r="J4367" s="133"/>
      <c r="K4367" s="133"/>
      <c r="L4367" s="133"/>
      <c r="M4367" s="133"/>
      <c r="N4367" s="133"/>
      <c r="O4367" s="133"/>
      <c r="P4367" s="134"/>
      <c r="Q4367" s="146"/>
      <c r="R4367" s="17"/>
      <c r="S4367" s="17"/>
      <c r="T4367" s="75"/>
      <c r="U4367" s="75"/>
      <c r="V4367" s="75"/>
      <c r="W4367" s="75"/>
      <c r="X4367" s="75"/>
    </row>
    <row r="4368">
      <c r="A4368" s="17"/>
      <c r="B4368" s="17"/>
      <c r="C4368" s="133"/>
      <c r="D4368" s="133"/>
      <c r="E4368" s="17"/>
      <c r="F4368" s="133"/>
      <c r="G4368" s="133"/>
      <c r="H4368" s="133"/>
      <c r="I4368" s="133"/>
      <c r="J4368" s="133"/>
      <c r="K4368" s="133"/>
      <c r="L4368" s="133"/>
      <c r="M4368" s="133"/>
      <c r="N4368" s="133"/>
      <c r="O4368" s="133"/>
      <c r="P4368" s="134"/>
      <c r="Q4368" s="146"/>
      <c r="R4368" s="17"/>
      <c r="S4368" s="17"/>
      <c r="T4368" s="75"/>
      <c r="U4368" s="75"/>
      <c r="V4368" s="75"/>
      <c r="W4368" s="75"/>
      <c r="X4368" s="75"/>
    </row>
    <row r="4369">
      <c r="A4369" s="17"/>
      <c r="B4369" s="17"/>
      <c r="C4369" s="133"/>
      <c r="D4369" s="133"/>
      <c r="E4369" s="17"/>
      <c r="F4369" s="133"/>
      <c r="G4369" s="133"/>
      <c r="H4369" s="133"/>
      <c r="I4369" s="133"/>
      <c r="J4369" s="133"/>
      <c r="K4369" s="133"/>
      <c r="L4369" s="133"/>
      <c r="M4369" s="133"/>
      <c r="N4369" s="133"/>
      <c r="O4369" s="133"/>
      <c r="P4369" s="134"/>
      <c r="Q4369" s="146"/>
      <c r="R4369" s="17"/>
      <c r="S4369" s="17"/>
      <c r="T4369" s="75"/>
      <c r="U4369" s="75"/>
      <c r="V4369" s="75"/>
      <c r="W4369" s="75"/>
      <c r="X4369" s="75"/>
    </row>
    <row r="4370">
      <c r="A4370" s="17"/>
      <c r="B4370" s="17"/>
      <c r="C4370" s="133"/>
      <c r="D4370" s="133"/>
      <c r="E4370" s="17"/>
      <c r="F4370" s="133"/>
      <c r="G4370" s="133"/>
      <c r="H4370" s="133"/>
      <c r="I4370" s="133"/>
      <c r="J4370" s="133"/>
      <c r="K4370" s="133"/>
      <c r="L4370" s="133"/>
      <c r="M4370" s="133"/>
      <c r="N4370" s="133"/>
      <c r="O4370" s="133"/>
      <c r="P4370" s="134"/>
      <c r="Q4370" s="146"/>
      <c r="R4370" s="17"/>
      <c r="S4370" s="17"/>
      <c r="T4370" s="75"/>
      <c r="U4370" s="75"/>
      <c r="V4370" s="75"/>
      <c r="W4370" s="75"/>
      <c r="X4370" s="75"/>
    </row>
    <row r="4371">
      <c r="A4371" s="17"/>
      <c r="B4371" s="17"/>
      <c r="C4371" s="133"/>
      <c r="D4371" s="133"/>
      <c r="E4371" s="17"/>
      <c r="F4371" s="133"/>
      <c r="G4371" s="133"/>
      <c r="H4371" s="133"/>
      <c r="I4371" s="133"/>
      <c r="J4371" s="133"/>
      <c r="K4371" s="133"/>
      <c r="L4371" s="133"/>
      <c r="M4371" s="133"/>
      <c r="N4371" s="133"/>
      <c r="O4371" s="133"/>
      <c r="P4371" s="134"/>
      <c r="Q4371" s="146"/>
      <c r="R4371" s="17"/>
      <c r="S4371" s="17"/>
      <c r="T4371" s="75"/>
      <c r="U4371" s="75"/>
      <c r="V4371" s="75"/>
      <c r="W4371" s="75"/>
      <c r="X4371" s="75"/>
    </row>
    <row r="4372">
      <c r="A4372" s="17"/>
      <c r="B4372" s="17"/>
      <c r="C4372" s="133"/>
      <c r="D4372" s="133"/>
      <c r="E4372" s="17"/>
      <c r="F4372" s="133"/>
      <c r="G4372" s="133"/>
      <c r="H4372" s="133"/>
      <c r="I4372" s="133"/>
      <c r="J4372" s="133"/>
      <c r="K4372" s="133"/>
      <c r="L4372" s="133"/>
      <c r="M4372" s="133"/>
      <c r="N4372" s="133"/>
      <c r="O4372" s="133"/>
      <c r="P4372" s="134"/>
      <c r="Q4372" s="146"/>
      <c r="R4372" s="17"/>
      <c r="S4372" s="17"/>
      <c r="T4372" s="75"/>
      <c r="U4372" s="75"/>
      <c r="V4372" s="75"/>
      <c r="W4372" s="75"/>
      <c r="X4372" s="75"/>
    </row>
    <row r="4373">
      <c r="A4373" s="17"/>
      <c r="B4373" s="17"/>
      <c r="C4373" s="133"/>
      <c r="D4373" s="133"/>
      <c r="E4373" s="17"/>
      <c r="F4373" s="133"/>
      <c r="G4373" s="133"/>
      <c r="H4373" s="133"/>
      <c r="I4373" s="133"/>
      <c r="J4373" s="133"/>
      <c r="K4373" s="133"/>
      <c r="L4373" s="133"/>
      <c r="M4373" s="133"/>
      <c r="N4373" s="133"/>
      <c r="O4373" s="133"/>
      <c r="P4373" s="134"/>
      <c r="Q4373" s="146"/>
      <c r="R4373" s="17"/>
      <c r="S4373" s="17"/>
      <c r="T4373" s="75"/>
      <c r="U4373" s="75"/>
      <c r="V4373" s="75"/>
      <c r="W4373" s="75"/>
      <c r="X4373" s="75"/>
    </row>
    <row r="4374">
      <c r="A4374" s="17"/>
      <c r="B4374" s="17"/>
      <c r="C4374" s="133"/>
      <c r="D4374" s="133"/>
      <c r="E4374" s="17"/>
      <c r="F4374" s="133"/>
      <c r="G4374" s="133"/>
      <c r="H4374" s="133"/>
      <c r="I4374" s="133"/>
      <c r="J4374" s="133"/>
      <c r="K4374" s="133"/>
      <c r="L4374" s="133"/>
      <c r="M4374" s="133"/>
      <c r="N4374" s="133"/>
      <c r="O4374" s="133"/>
      <c r="P4374" s="134"/>
      <c r="Q4374" s="146"/>
      <c r="R4374" s="17"/>
      <c r="S4374" s="17"/>
      <c r="T4374" s="75"/>
      <c r="U4374" s="75"/>
      <c r="V4374" s="75"/>
      <c r="W4374" s="75"/>
      <c r="X4374" s="75"/>
    </row>
    <row r="4375">
      <c r="A4375" s="17"/>
      <c r="B4375" s="17"/>
      <c r="C4375" s="133"/>
      <c r="D4375" s="133"/>
      <c r="E4375" s="17"/>
      <c r="F4375" s="133"/>
      <c r="G4375" s="133"/>
      <c r="H4375" s="133"/>
      <c r="I4375" s="133"/>
      <c r="J4375" s="133"/>
      <c r="K4375" s="133"/>
      <c r="L4375" s="133"/>
      <c r="M4375" s="133"/>
      <c r="N4375" s="133"/>
      <c r="O4375" s="133"/>
      <c r="P4375" s="134"/>
      <c r="Q4375" s="146"/>
      <c r="R4375" s="17"/>
      <c r="S4375" s="17"/>
      <c r="T4375" s="75"/>
      <c r="U4375" s="75"/>
      <c r="V4375" s="75"/>
      <c r="W4375" s="75"/>
      <c r="X4375" s="75"/>
    </row>
    <row r="4376">
      <c r="A4376" s="17"/>
      <c r="B4376" s="17"/>
      <c r="C4376" s="133"/>
      <c r="D4376" s="133"/>
      <c r="E4376" s="17"/>
      <c r="F4376" s="133"/>
      <c r="G4376" s="133"/>
      <c r="H4376" s="133"/>
      <c r="I4376" s="133"/>
      <c r="J4376" s="133"/>
      <c r="K4376" s="133"/>
      <c r="L4376" s="133"/>
      <c r="M4376" s="133"/>
      <c r="N4376" s="133"/>
      <c r="O4376" s="133"/>
      <c r="P4376" s="134"/>
      <c r="Q4376" s="146"/>
      <c r="R4376" s="17"/>
      <c r="S4376" s="17"/>
      <c r="T4376" s="75"/>
      <c r="U4376" s="75"/>
      <c r="V4376" s="75"/>
      <c r="W4376" s="75"/>
      <c r="X4376" s="75"/>
    </row>
    <row r="4377">
      <c r="A4377" s="17"/>
      <c r="B4377" s="17"/>
      <c r="C4377" s="133"/>
      <c r="D4377" s="133"/>
      <c r="E4377" s="17"/>
      <c r="F4377" s="133"/>
      <c r="G4377" s="133"/>
      <c r="H4377" s="133"/>
      <c r="I4377" s="133"/>
      <c r="J4377" s="133"/>
      <c r="K4377" s="133"/>
      <c r="L4377" s="133"/>
      <c r="M4377" s="133"/>
      <c r="N4377" s="133"/>
      <c r="O4377" s="133"/>
      <c r="P4377" s="134"/>
      <c r="Q4377" s="146"/>
      <c r="R4377" s="17"/>
      <c r="S4377" s="17"/>
      <c r="T4377" s="75"/>
      <c r="U4377" s="75"/>
      <c r="V4377" s="75"/>
      <c r="W4377" s="75"/>
      <c r="X4377" s="75"/>
    </row>
    <row r="4378">
      <c r="A4378" s="17"/>
      <c r="B4378" s="17"/>
      <c r="C4378" s="133"/>
      <c r="D4378" s="133"/>
      <c r="E4378" s="17"/>
      <c r="F4378" s="133"/>
      <c r="G4378" s="133"/>
      <c r="H4378" s="133"/>
      <c r="I4378" s="133"/>
      <c r="J4378" s="133"/>
      <c r="K4378" s="133"/>
      <c r="L4378" s="133"/>
      <c r="M4378" s="133"/>
      <c r="N4378" s="133"/>
      <c r="O4378" s="133"/>
      <c r="P4378" s="134"/>
      <c r="Q4378" s="146"/>
      <c r="R4378" s="17"/>
      <c r="S4378" s="17"/>
      <c r="T4378" s="75"/>
      <c r="U4378" s="75"/>
      <c r="V4378" s="75"/>
      <c r="W4378" s="75"/>
      <c r="X4378" s="75"/>
    </row>
    <row r="4379">
      <c r="A4379" s="17"/>
      <c r="B4379" s="17"/>
      <c r="C4379" s="133"/>
      <c r="D4379" s="133"/>
      <c r="E4379" s="17"/>
      <c r="F4379" s="133"/>
      <c r="G4379" s="133"/>
      <c r="H4379" s="133"/>
      <c r="I4379" s="133"/>
      <c r="J4379" s="133"/>
      <c r="K4379" s="133"/>
      <c r="L4379" s="133"/>
      <c r="M4379" s="133"/>
      <c r="N4379" s="133"/>
      <c r="O4379" s="133"/>
      <c r="P4379" s="134"/>
      <c r="Q4379" s="146"/>
      <c r="R4379" s="17"/>
      <c r="S4379" s="17"/>
      <c r="T4379" s="75"/>
      <c r="U4379" s="75"/>
      <c r="V4379" s="75"/>
      <c r="W4379" s="75"/>
      <c r="X4379" s="75"/>
    </row>
    <row r="4380">
      <c r="A4380" s="17"/>
      <c r="B4380" s="17"/>
      <c r="C4380" s="133"/>
      <c r="D4380" s="133"/>
      <c r="E4380" s="17"/>
      <c r="F4380" s="133"/>
      <c r="G4380" s="133"/>
      <c r="H4380" s="133"/>
      <c r="I4380" s="133"/>
      <c r="J4380" s="133"/>
      <c r="K4380" s="133"/>
      <c r="L4380" s="133"/>
      <c r="M4380" s="133"/>
      <c r="N4380" s="133"/>
      <c r="O4380" s="133"/>
      <c r="P4380" s="134"/>
      <c r="Q4380" s="146"/>
      <c r="R4380" s="17"/>
      <c r="S4380" s="17"/>
      <c r="T4380" s="75"/>
      <c r="U4380" s="75"/>
      <c r="V4380" s="75"/>
      <c r="W4380" s="75"/>
      <c r="X4380" s="75"/>
    </row>
    <row r="4381">
      <c r="A4381" s="17"/>
      <c r="B4381" s="17"/>
      <c r="C4381" s="133"/>
      <c r="D4381" s="133"/>
      <c r="E4381" s="17"/>
      <c r="F4381" s="133"/>
      <c r="G4381" s="133"/>
      <c r="H4381" s="133"/>
      <c r="I4381" s="133"/>
      <c r="J4381" s="133"/>
      <c r="K4381" s="133"/>
      <c r="L4381" s="133"/>
      <c r="M4381" s="133"/>
      <c r="N4381" s="133"/>
      <c r="O4381" s="133"/>
      <c r="P4381" s="134"/>
      <c r="Q4381" s="146"/>
      <c r="R4381" s="17"/>
      <c r="S4381" s="17"/>
      <c r="T4381" s="75"/>
      <c r="U4381" s="75"/>
      <c r="V4381" s="75"/>
      <c r="W4381" s="75"/>
      <c r="X4381" s="75"/>
    </row>
    <row r="4382">
      <c r="A4382" s="17"/>
      <c r="B4382" s="17"/>
      <c r="C4382" s="133"/>
      <c r="D4382" s="133"/>
      <c r="E4382" s="17"/>
      <c r="F4382" s="133"/>
      <c r="G4382" s="133"/>
      <c r="H4382" s="133"/>
      <c r="I4382" s="133"/>
      <c r="J4382" s="133"/>
      <c r="K4382" s="133"/>
      <c r="L4382" s="133"/>
      <c r="M4382" s="133"/>
      <c r="N4382" s="133"/>
      <c r="O4382" s="133"/>
      <c r="P4382" s="134"/>
      <c r="Q4382" s="146"/>
      <c r="R4382" s="17"/>
      <c r="S4382" s="17"/>
      <c r="T4382" s="75"/>
      <c r="U4382" s="75"/>
      <c r="V4382" s="75"/>
      <c r="W4382" s="75"/>
      <c r="X4382" s="75"/>
    </row>
    <row r="4383">
      <c r="A4383" s="17"/>
      <c r="B4383" s="17"/>
      <c r="C4383" s="133"/>
      <c r="D4383" s="133"/>
      <c r="E4383" s="17"/>
      <c r="F4383" s="133"/>
      <c r="G4383" s="133"/>
      <c r="H4383" s="133"/>
      <c r="I4383" s="133"/>
      <c r="J4383" s="133"/>
      <c r="K4383" s="133"/>
      <c r="L4383" s="133"/>
      <c r="M4383" s="133"/>
      <c r="N4383" s="133"/>
      <c r="O4383" s="133"/>
      <c r="P4383" s="134"/>
      <c r="Q4383" s="146"/>
      <c r="R4383" s="17"/>
      <c r="S4383" s="17"/>
      <c r="T4383" s="75"/>
      <c r="U4383" s="75"/>
      <c r="V4383" s="75"/>
      <c r="W4383" s="75"/>
      <c r="X4383" s="75"/>
    </row>
    <row r="4384">
      <c r="A4384" s="17"/>
      <c r="B4384" s="17"/>
      <c r="C4384" s="133"/>
      <c r="D4384" s="133"/>
      <c r="E4384" s="17"/>
      <c r="F4384" s="133"/>
      <c r="G4384" s="133"/>
      <c r="H4384" s="133"/>
      <c r="I4384" s="133"/>
      <c r="J4384" s="133"/>
      <c r="K4384" s="133"/>
      <c r="L4384" s="133"/>
      <c r="M4384" s="133"/>
      <c r="N4384" s="133"/>
      <c r="O4384" s="133"/>
      <c r="P4384" s="134"/>
      <c r="Q4384" s="146"/>
      <c r="R4384" s="17"/>
      <c r="S4384" s="17"/>
      <c r="T4384" s="75"/>
      <c r="U4384" s="75"/>
      <c r="V4384" s="75"/>
      <c r="W4384" s="75"/>
      <c r="X4384" s="75"/>
    </row>
    <row r="4385">
      <c r="A4385" s="17"/>
      <c r="B4385" s="17"/>
      <c r="C4385" s="133"/>
      <c r="D4385" s="133"/>
      <c r="E4385" s="17"/>
      <c r="F4385" s="133"/>
      <c r="G4385" s="133"/>
      <c r="H4385" s="133"/>
      <c r="I4385" s="133"/>
      <c r="J4385" s="133"/>
      <c r="K4385" s="133"/>
      <c r="L4385" s="133"/>
      <c r="M4385" s="133"/>
      <c r="N4385" s="133"/>
      <c r="O4385" s="133"/>
      <c r="P4385" s="134"/>
      <c r="Q4385" s="146"/>
      <c r="R4385" s="17"/>
      <c r="S4385" s="17"/>
      <c r="T4385" s="75"/>
      <c r="U4385" s="75"/>
      <c r="V4385" s="75"/>
      <c r="W4385" s="75"/>
      <c r="X4385" s="75"/>
    </row>
    <row r="4386">
      <c r="A4386" s="17"/>
      <c r="B4386" s="17"/>
      <c r="C4386" s="133"/>
      <c r="D4386" s="133"/>
      <c r="E4386" s="17"/>
      <c r="F4386" s="133"/>
      <c r="G4386" s="133"/>
      <c r="H4386" s="133"/>
      <c r="I4386" s="133"/>
      <c r="J4386" s="133"/>
      <c r="K4386" s="133"/>
      <c r="L4386" s="133"/>
      <c r="M4386" s="133"/>
      <c r="N4386" s="133"/>
      <c r="O4386" s="133"/>
      <c r="P4386" s="134"/>
      <c r="Q4386" s="146"/>
      <c r="R4386" s="17"/>
      <c r="S4386" s="17"/>
      <c r="T4386" s="75"/>
      <c r="U4386" s="75"/>
      <c r="V4386" s="75"/>
      <c r="W4386" s="75"/>
      <c r="X4386" s="75"/>
    </row>
    <row r="4387">
      <c r="A4387" s="17"/>
      <c r="B4387" s="17"/>
      <c r="C4387" s="133"/>
      <c r="D4387" s="133"/>
      <c r="E4387" s="17"/>
      <c r="F4387" s="133"/>
      <c r="G4387" s="133"/>
      <c r="H4387" s="133"/>
      <c r="I4387" s="133"/>
      <c r="J4387" s="133"/>
      <c r="K4387" s="133"/>
      <c r="L4387" s="133"/>
      <c r="M4387" s="133"/>
      <c r="N4387" s="133"/>
      <c r="O4387" s="133"/>
      <c r="P4387" s="134"/>
      <c r="Q4387" s="146"/>
      <c r="R4387" s="17"/>
      <c r="S4387" s="17"/>
      <c r="T4387" s="75"/>
      <c r="U4387" s="75"/>
      <c r="V4387" s="75"/>
      <c r="W4387" s="75"/>
      <c r="X4387" s="75"/>
    </row>
    <row r="4388">
      <c r="A4388" s="17"/>
      <c r="B4388" s="17"/>
      <c r="C4388" s="133"/>
      <c r="D4388" s="133"/>
      <c r="E4388" s="17"/>
      <c r="F4388" s="133"/>
      <c r="G4388" s="133"/>
      <c r="H4388" s="133"/>
      <c r="I4388" s="133"/>
      <c r="J4388" s="133"/>
      <c r="K4388" s="133"/>
      <c r="L4388" s="133"/>
      <c r="M4388" s="133"/>
      <c r="N4388" s="133"/>
      <c r="O4388" s="133"/>
      <c r="P4388" s="134"/>
      <c r="Q4388" s="146"/>
      <c r="R4388" s="17"/>
      <c r="S4388" s="17"/>
      <c r="T4388" s="75"/>
      <c r="U4388" s="75"/>
      <c r="V4388" s="75"/>
      <c r="W4388" s="75"/>
      <c r="X4388" s="75"/>
    </row>
    <row r="4389">
      <c r="A4389" s="17"/>
      <c r="B4389" s="17"/>
      <c r="C4389" s="133"/>
      <c r="D4389" s="133"/>
      <c r="E4389" s="17"/>
      <c r="F4389" s="133"/>
      <c r="G4389" s="133"/>
      <c r="H4389" s="133"/>
      <c r="I4389" s="133"/>
      <c r="J4389" s="133"/>
      <c r="K4389" s="133"/>
      <c r="L4389" s="133"/>
      <c r="M4389" s="133"/>
      <c r="N4389" s="133"/>
      <c r="O4389" s="133"/>
      <c r="P4389" s="134"/>
      <c r="Q4389" s="146"/>
      <c r="R4389" s="17"/>
      <c r="S4389" s="17"/>
      <c r="T4389" s="75"/>
      <c r="U4389" s="75"/>
      <c r="V4389" s="75"/>
      <c r="W4389" s="75"/>
      <c r="X4389" s="75"/>
    </row>
    <row r="4390">
      <c r="A4390" s="17"/>
      <c r="B4390" s="17"/>
      <c r="C4390" s="133"/>
      <c r="D4390" s="133"/>
      <c r="E4390" s="17"/>
      <c r="F4390" s="133"/>
      <c r="G4390" s="133"/>
      <c r="H4390" s="133"/>
      <c r="I4390" s="133"/>
      <c r="J4390" s="133"/>
      <c r="K4390" s="133"/>
      <c r="L4390" s="133"/>
      <c r="M4390" s="133"/>
      <c r="N4390" s="133"/>
      <c r="O4390" s="133"/>
      <c r="P4390" s="134"/>
      <c r="Q4390" s="146"/>
      <c r="R4390" s="17"/>
      <c r="S4390" s="17"/>
      <c r="T4390" s="75"/>
      <c r="U4390" s="75"/>
      <c r="V4390" s="75"/>
      <c r="W4390" s="75"/>
      <c r="X4390" s="75"/>
    </row>
    <row r="4391">
      <c r="A4391" s="17"/>
      <c r="B4391" s="17"/>
      <c r="C4391" s="133"/>
      <c r="D4391" s="133"/>
      <c r="E4391" s="17"/>
      <c r="F4391" s="133"/>
      <c r="G4391" s="133"/>
      <c r="H4391" s="133"/>
      <c r="I4391" s="133"/>
      <c r="J4391" s="133"/>
      <c r="K4391" s="133"/>
      <c r="L4391" s="133"/>
      <c r="M4391" s="133"/>
      <c r="N4391" s="133"/>
      <c r="O4391" s="133"/>
      <c r="P4391" s="134"/>
      <c r="Q4391" s="146"/>
      <c r="R4391" s="17"/>
      <c r="S4391" s="17"/>
      <c r="T4391" s="75"/>
      <c r="U4391" s="75"/>
      <c r="V4391" s="75"/>
      <c r="W4391" s="75"/>
      <c r="X4391" s="75"/>
    </row>
    <row r="4392">
      <c r="A4392" s="17"/>
      <c r="B4392" s="17"/>
      <c r="C4392" s="133"/>
      <c r="D4392" s="133"/>
      <c r="E4392" s="17"/>
      <c r="F4392" s="133"/>
      <c r="G4392" s="133"/>
      <c r="H4392" s="133"/>
      <c r="I4392" s="133"/>
      <c r="J4392" s="133"/>
      <c r="K4392" s="133"/>
      <c r="L4392" s="133"/>
      <c r="M4392" s="133"/>
      <c r="N4392" s="133"/>
      <c r="O4392" s="133"/>
      <c r="P4392" s="134"/>
      <c r="Q4392" s="146"/>
      <c r="R4392" s="17"/>
      <c r="S4392" s="17"/>
      <c r="T4392" s="75"/>
      <c r="U4392" s="75"/>
      <c r="V4392" s="75"/>
      <c r="W4392" s="75"/>
      <c r="X4392" s="75"/>
    </row>
    <row r="4393">
      <c r="A4393" s="17"/>
      <c r="B4393" s="17"/>
      <c r="C4393" s="133"/>
      <c r="D4393" s="133"/>
      <c r="E4393" s="17"/>
      <c r="F4393" s="133"/>
      <c r="G4393" s="133"/>
      <c r="H4393" s="133"/>
      <c r="I4393" s="133"/>
      <c r="J4393" s="133"/>
      <c r="K4393" s="133"/>
      <c r="L4393" s="133"/>
      <c r="M4393" s="133"/>
      <c r="N4393" s="133"/>
      <c r="O4393" s="133"/>
      <c r="P4393" s="134"/>
      <c r="Q4393" s="146"/>
      <c r="R4393" s="17"/>
      <c r="S4393" s="17"/>
      <c r="T4393" s="75"/>
      <c r="U4393" s="75"/>
      <c r="V4393" s="75"/>
      <c r="W4393" s="75"/>
      <c r="X4393" s="75"/>
    </row>
    <row r="4394">
      <c r="A4394" s="17"/>
      <c r="B4394" s="17"/>
      <c r="C4394" s="133"/>
      <c r="D4394" s="133"/>
      <c r="E4394" s="17"/>
      <c r="F4394" s="133"/>
      <c r="G4394" s="133"/>
      <c r="H4394" s="133"/>
      <c r="I4394" s="133"/>
      <c r="J4394" s="133"/>
      <c r="K4394" s="133"/>
      <c r="L4394" s="133"/>
      <c r="M4394" s="133"/>
      <c r="N4394" s="133"/>
      <c r="O4394" s="133"/>
      <c r="P4394" s="134"/>
      <c r="Q4394" s="146"/>
      <c r="R4394" s="17"/>
      <c r="S4394" s="17"/>
      <c r="T4394" s="75"/>
      <c r="U4394" s="75"/>
      <c r="V4394" s="75"/>
      <c r="W4394" s="75"/>
      <c r="X4394" s="75"/>
    </row>
    <row r="4395">
      <c r="A4395" s="17"/>
      <c r="B4395" s="17"/>
      <c r="C4395" s="133"/>
      <c r="D4395" s="133"/>
      <c r="E4395" s="17"/>
      <c r="F4395" s="133"/>
      <c r="G4395" s="133"/>
      <c r="H4395" s="133"/>
      <c r="I4395" s="133"/>
      <c r="J4395" s="133"/>
      <c r="K4395" s="133"/>
      <c r="L4395" s="133"/>
      <c r="M4395" s="133"/>
      <c r="N4395" s="133"/>
      <c r="O4395" s="133"/>
      <c r="P4395" s="134"/>
      <c r="Q4395" s="146"/>
      <c r="R4395" s="17"/>
      <c r="S4395" s="17"/>
      <c r="T4395" s="75"/>
      <c r="U4395" s="75"/>
      <c r="V4395" s="75"/>
      <c r="W4395" s="75"/>
      <c r="X4395" s="75"/>
    </row>
    <row r="4396">
      <c r="A4396" s="17"/>
      <c r="B4396" s="17"/>
      <c r="C4396" s="133"/>
      <c r="D4396" s="133"/>
      <c r="E4396" s="17"/>
      <c r="F4396" s="133"/>
      <c r="G4396" s="133"/>
      <c r="H4396" s="133"/>
      <c r="I4396" s="133"/>
      <c r="J4396" s="133"/>
      <c r="K4396" s="133"/>
      <c r="L4396" s="133"/>
      <c r="M4396" s="133"/>
      <c r="N4396" s="133"/>
      <c r="O4396" s="133"/>
      <c r="P4396" s="134"/>
      <c r="Q4396" s="146"/>
      <c r="R4396" s="17"/>
      <c r="S4396" s="17"/>
      <c r="T4396" s="75"/>
      <c r="U4396" s="75"/>
      <c r="V4396" s="75"/>
      <c r="W4396" s="75"/>
      <c r="X4396" s="75"/>
    </row>
    <row r="4397">
      <c r="A4397" s="17"/>
      <c r="B4397" s="17"/>
      <c r="C4397" s="133"/>
      <c r="D4397" s="133"/>
      <c r="E4397" s="17"/>
      <c r="F4397" s="133"/>
      <c r="G4397" s="133"/>
      <c r="H4397" s="133"/>
      <c r="I4397" s="133"/>
      <c r="J4397" s="133"/>
      <c r="K4397" s="133"/>
      <c r="L4397" s="133"/>
      <c r="M4397" s="133"/>
      <c r="N4397" s="133"/>
      <c r="O4397" s="133"/>
      <c r="P4397" s="134"/>
      <c r="Q4397" s="146"/>
      <c r="R4397" s="17"/>
      <c r="S4397" s="17"/>
      <c r="T4397" s="75"/>
      <c r="U4397" s="75"/>
      <c r="V4397" s="75"/>
      <c r="W4397" s="75"/>
      <c r="X4397" s="75"/>
    </row>
    <row r="4398">
      <c r="A4398" s="17"/>
      <c r="B4398" s="17"/>
      <c r="C4398" s="133"/>
      <c r="D4398" s="133"/>
      <c r="E4398" s="17"/>
      <c r="F4398" s="133"/>
      <c r="G4398" s="133"/>
      <c r="H4398" s="133"/>
      <c r="I4398" s="133"/>
      <c r="J4398" s="133"/>
      <c r="K4398" s="133"/>
      <c r="L4398" s="133"/>
      <c r="M4398" s="133"/>
      <c r="N4398" s="133"/>
      <c r="O4398" s="133"/>
      <c r="P4398" s="134"/>
      <c r="Q4398" s="146"/>
      <c r="R4398" s="17"/>
      <c r="S4398" s="17"/>
      <c r="T4398" s="75"/>
      <c r="U4398" s="75"/>
      <c r="V4398" s="75"/>
      <c r="W4398" s="75"/>
      <c r="X4398" s="75"/>
    </row>
    <row r="4399">
      <c r="A4399" s="17"/>
      <c r="B4399" s="17"/>
      <c r="C4399" s="133"/>
      <c r="D4399" s="133"/>
      <c r="E4399" s="17"/>
      <c r="F4399" s="133"/>
      <c r="G4399" s="133"/>
      <c r="H4399" s="133"/>
      <c r="I4399" s="133"/>
      <c r="J4399" s="133"/>
      <c r="K4399" s="133"/>
      <c r="L4399" s="133"/>
      <c r="M4399" s="133"/>
      <c r="N4399" s="133"/>
      <c r="O4399" s="133"/>
      <c r="P4399" s="134"/>
      <c r="Q4399" s="146"/>
      <c r="R4399" s="17"/>
      <c r="S4399" s="17"/>
      <c r="T4399" s="75"/>
      <c r="U4399" s="75"/>
      <c r="V4399" s="75"/>
      <c r="W4399" s="75"/>
      <c r="X4399" s="75"/>
    </row>
    <row r="4400">
      <c r="A4400" s="17"/>
      <c r="B4400" s="17"/>
      <c r="C4400" s="133"/>
      <c r="D4400" s="133"/>
      <c r="E4400" s="17"/>
      <c r="F4400" s="133"/>
      <c r="G4400" s="133"/>
      <c r="H4400" s="133"/>
      <c r="I4400" s="133"/>
      <c r="J4400" s="133"/>
      <c r="K4400" s="133"/>
      <c r="L4400" s="133"/>
      <c r="M4400" s="133"/>
      <c r="N4400" s="133"/>
      <c r="O4400" s="133"/>
      <c r="P4400" s="134"/>
      <c r="Q4400" s="146"/>
      <c r="R4400" s="17"/>
      <c r="S4400" s="17"/>
      <c r="T4400" s="75"/>
      <c r="U4400" s="75"/>
      <c r="V4400" s="75"/>
      <c r="W4400" s="75"/>
      <c r="X4400" s="75"/>
    </row>
    <row r="4401">
      <c r="A4401" s="17"/>
      <c r="B4401" s="17"/>
      <c r="C4401" s="133"/>
      <c r="D4401" s="133"/>
      <c r="E4401" s="17"/>
      <c r="F4401" s="133"/>
      <c r="G4401" s="133"/>
      <c r="H4401" s="133"/>
      <c r="I4401" s="133"/>
      <c r="J4401" s="133"/>
      <c r="K4401" s="133"/>
      <c r="L4401" s="133"/>
      <c r="M4401" s="133"/>
      <c r="N4401" s="133"/>
      <c r="O4401" s="133"/>
      <c r="P4401" s="134"/>
      <c r="Q4401" s="146"/>
      <c r="R4401" s="17"/>
      <c r="S4401" s="17"/>
      <c r="T4401" s="75"/>
      <c r="U4401" s="75"/>
      <c r="V4401" s="75"/>
      <c r="W4401" s="75"/>
      <c r="X4401" s="75"/>
    </row>
    <row r="4402">
      <c r="A4402" s="17"/>
      <c r="B4402" s="17"/>
      <c r="C4402" s="133"/>
      <c r="D4402" s="133"/>
      <c r="E4402" s="17"/>
      <c r="F4402" s="133"/>
      <c r="G4402" s="133"/>
      <c r="H4402" s="133"/>
      <c r="I4402" s="133"/>
      <c r="J4402" s="133"/>
      <c r="K4402" s="133"/>
      <c r="L4402" s="133"/>
      <c r="M4402" s="133"/>
      <c r="N4402" s="133"/>
      <c r="O4402" s="133"/>
      <c r="P4402" s="134"/>
      <c r="Q4402" s="146"/>
      <c r="R4402" s="17"/>
      <c r="S4402" s="17"/>
      <c r="T4402" s="75"/>
      <c r="U4402" s="75"/>
      <c r="V4402" s="75"/>
      <c r="W4402" s="75"/>
      <c r="X4402" s="75"/>
    </row>
    <row r="4403">
      <c r="A4403" s="17"/>
      <c r="B4403" s="17"/>
      <c r="C4403" s="133"/>
      <c r="D4403" s="133"/>
      <c r="E4403" s="17"/>
      <c r="F4403" s="133"/>
      <c r="G4403" s="133"/>
      <c r="H4403" s="133"/>
      <c r="I4403" s="133"/>
      <c r="J4403" s="133"/>
      <c r="K4403" s="133"/>
      <c r="L4403" s="133"/>
      <c r="M4403" s="133"/>
      <c r="N4403" s="133"/>
      <c r="O4403" s="133"/>
      <c r="P4403" s="134"/>
      <c r="Q4403" s="146"/>
      <c r="R4403" s="17"/>
      <c r="S4403" s="17"/>
      <c r="T4403" s="75"/>
      <c r="U4403" s="75"/>
      <c r="V4403" s="75"/>
      <c r="W4403" s="75"/>
      <c r="X4403" s="75"/>
    </row>
    <row r="4404">
      <c r="A4404" s="17"/>
      <c r="B4404" s="17"/>
      <c r="C4404" s="133"/>
      <c r="D4404" s="133"/>
      <c r="E4404" s="17"/>
      <c r="F4404" s="133"/>
      <c r="G4404" s="133"/>
      <c r="H4404" s="133"/>
      <c r="I4404" s="133"/>
      <c r="J4404" s="133"/>
      <c r="K4404" s="133"/>
      <c r="L4404" s="133"/>
      <c r="M4404" s="133"/>
      <c r="N4404" s="133"/>
      <c r="O4404" s="133"/>
      <c r="P4404" s="134"/>
      <c r="Q4404" s="146"/>
      <c r="R4404" s="17"/>
      <c r="S4404" s="17"/>
      <c r="T4404" s="75"/>
      <c r="U4404" s="75"/>
      <c r="V4404" s="75"/>
      <c r="W4404" s="75"/>
      <c r="X4404" s="75"/>
    </row>
    <row r="4405">
      <c r="A4405" s="17"/>
      <c r="B4405" s="17"/>
      <c r="C4405" s="133"/>
      <c r="D4405" s="133"/>
      <c r="E4405" s="17"/>
      <c r="F4405" s="133"/>
      <c r="G4405" s="133"/>
      <c r="H4405" s="133"/>
      <c r="I4405" s="133"/>
      <c r="J4405" s="133"/>
      <c r="K4405" s="133"/>
      <c r="L4405" s="133"/>
      <c r="M4405" s="133"/>
      <c r="N4405" s="133"/>
      <c r="O4405" s="133"/>
      <c r="P4405" s="134"/>
      <c r="Q4405" s="146"/>
      <c r="R4405" s="17"/>
      <c r="S4405" s="17"/>
      <c r="T4405" s="75"/>
      <c r="U4405" s="75"/>
      <c r="V4405" s="75"/>
      <c r="W4405" s="75"/>
      <c r="X4405" s="75"/>
    </row>
    <row r="4406">
      <c r="A4406" s="17"/>
      <c r="B4406" s="17"/>
      <c r="C4406" s="133"/>
      <c r="D4406" s="133"/>
      <c r="E4406" s="17"/>
      <c r="F4406" s="133"/>
      <c r="G4406" s="133"/>
      <c r="H4406" s="133"/>
      <c r="I4406" s="133"/>
      <c r="J4406" s="133"/>
      <c r="K4406" s="133"/>
      <c r="L4406" s="133"/>
      <c r="M4406" s="133"/>
      <c r="N4406" s="133"/>
      <c r="O4406" s="133"/>
      <c r="P4406" s="134"/>
      <c r="Q4406" s="146"/>
      <c r="R4406" s="17"/>
      <c r="S4406" s="17"/>
      <c r="T4406" s="75"/>
      <c r="U4406" s="75"/>
      <c r="V4406" s="75"/>
      <c r="W4406" s="75"/>
      <c r="X4406" s="75"/>
    </row>
    <row r="4407">
      <c r="A4407" s="17"/>
      <c r="B4407" s="17"/>
      <c r="C4407" s="133"/>
      <c r="D4407" s="133"/>
      <c r="E4407" s="17"/>
      <c r="F4407" s="133"/>
      <c r="G4407" s="133"/>
      <c r="H4407" s="133"/>
      <c r="I4407" s="133"/>
      <c r="J4407" s="133"/>
      <c r="K4407" s="133"/>
      <c r="L4407" s="133"/>
      <c r="M4407" s="133"/>
      <c r="N4407" s="133"/>
      <c r="O4407" s="133"/>
      <c r="P4407" s="134"/>
      <c r="Q4407" s="146"/>
      <c r="R4407" s="17"/>
      <c r="S4407" s="17"/>
      <c r="T4407" s="75"/>
      <c r="U4407" s="75"/>
      <c r="V4407" s="75"/>
      <c r="W4407" s="75"/>
      <c r="X4407" s="75"/>
    </row>
    <row r="4408">
      <c r="A4408" s="17"/>
      <c r="B4408" s="17"/>
      <c r="C4408" s="133"/>
      <c r="D4408" s="133"/>
      <c r="E4408" s="17"/>
      <c r="F4408" s="133"/>
      <c r="G4408" s="133"/>
      <c r="H4408" s="133"/>
      <c r="I4408" s="133"/>
      <c r="J4408" s="133"/>
      <c r="K4408" s="133"/>
      <c r="L4408" s="133"/>
      <c r="M4408" s="133"/>
      <c r="N4408" s="133"/>
      <c r="O4408" s="133"/>
      <c r="P4408" s="134"/>
      <c r="Q4408" s="146"/>
      <c r="R4408" s="17"/>
      <c r="S4408" s="17"/>
      <c r="T4408" s="75"/>
      <c r="U4408" s="75"/>
      <c r="V4408" s="75"/>
      <c r="W4408" s="75"/>
      <c r="X4408" s="75"/>
    </row>
    <row r="4409">
      <c r="A4409" s="17"/>
      <c r="B4409" s="17"/>
      <c r="C4409" s="133"/>
      <c r="D4409" s="133"/>
      <c r="E4409" s="17"/>
      <c r="F4409" s="133"/>
      <c r="G4409" s="133"/>
      <c r="H4409" s="133"/>
      <c r="I4409" s="133"/>
      <c r="J4409" s="133"/>
      <c r="K4409" s="133"/>
      <c r="L4409" s="133"/>
      <c r="M4409" s="133"/>
      <c r="N4409" s="133"/>
      <c r="O4409" s="133"/>
      <c r="P4409" s="134"/>
      <c r="Q4409" s="146"/>
      <c r="R4409" s="17"/>
      <c r="S4409" s="17"/>
      <c r="T4409" s="75"/>
      <c r="U4409" s="75"/>
      <c r="V4409" s="75"/>
      <c r="W4409" s="75"/>
      <c r="X4409" s="75"/>
    </row>
    <row r="4410">
      <c r="A4410" s="17"/>
      <c r="B4410" s="17"/>
      <c r="C4410" s="133"/>
      <c r="D4410" s="133"/>
      <c r="E4410" s="17"/>
      <c r="F4410" s="133"/>
      <c r="G4410" s="133"/>
      <c r="H4410" s="133"/>
      <c r="I4410" s="133"/>
      <c r="J4410" s="133"/>
      <c r="K4410" s="133"/>
      <c r="L4410" s="133"/>
      <c r="M4410" s="133"/>
      <c r="N4410" s="133"/>
      <c r="O4410" s="133"/>
      <c r="P4410" s="134"/>
      <c r="Q4410" s="146"/>
      <c r="R4410" s="17"/>
      <c r="S4410" s="17"/>
      <c r="T4410" s="75"/>
      <c r="U4410" s="75"/>
      <c r="V4410" s="75"/>
      <c r="W4410" s="75"/>
      <c r="X4410" s="75"/>
    </row>
    <row r="4411">
      <c r="A4411" s="17"/>
      <c r="B4411" s="17"/>
      <c r="C4411" s="133"/>
      <c r="D4411" s="133"/>
      <c r="E4411" s="17"/>
      <c r="F4411" s="133"/>
      <c r="G4411" s="133"/>
      <c r="H4411" s="133"/>
      <c r="I4411" s="133"/>
      <c r="J4411" s="133"/>
      <c r="K4411" s="133"/>
      <c r="L4411" s="133"/>
      <c r="M4411" s="133"/>
      <c r="N4411" s="133"/>
      <c r="O4411" s="133"/>
      <c r="P4411" s="134"/>
      <c r="Q4411" s="146"/>
      <c r="R4411" s="17"/>
      <c r="S4411" s="17"/>
      <c r="T4411" s="75"/>
      <c r="U4411" s="75"/>
      <c r="V4411" s="75"/>
      <c r="W4411" s="75"/>
      <c r="X4411" s="75"/>
    </row>
    <row r="4412">
      <c r="A4412" s="17"/>
      <c r="B4412" s="17"/>
      <c r="C4412" s="133"/>
      <c r="D4412" s="133"/>
      <c r="E4412" s="17"/>
      <c r="F4412" s="133"/>
      <c r="G4412" s="133"/>
      <c r="H4412" s="133"/>
      <c r="I4412" s="133"/>
      <c r="J4412" s="133"/>
      <c r="K4412" s="133"/>
      <c r="L4412" s="133"/>
      <c r="M4412" s="133"/>
      <c r="N4412" s="133"/>
      <c r="O4412" s="133"/>
      <c r="P4412" s="134"/>
      <c r="Q4412" s="146"/>
      <c r="R4412" s="17"/>
      <c r="S4412" s="17"/>
      <c r="T4412" s="75"/>
      <c r="U4412" s="75"/>
      <c r="V4412" s="75"/>
      <c r="W4412" s="75"/>
      <c r="X4412" s="75"/>
    </row>
    <row r="4413">
      <c r="A4413" s="17"/>
      <c r="B4413" s="17"/>
      <c r="C4413" s="133"/>
      <c r="D4413" s="133"/>
      <c r="E4413" s="17"/>
      <c r="F4413" s="133"/>
      <c r="G4413" s="133"/>
      <c r="H4413" s="133"/>
      <c r="I4413" s="133"/>
      <c r="J4413" s="133"/>
      <c r="K4413" s="133"/>
      <c r="L4413" s="133"/>
      <c r="M4413" s="133"/>
      <c r="N4413" s="133"/>
      <c r="O4413" s="133"/>
      <c r="P4413" s="134"/>
      <c r="Q4413" s="146"/>
      <c r="R4413" s="17"/>
      <c r="S4413" s="17"/>
      <c r="T4413" s="75"/>
      <c r="U4413" s="75"/>
      <c r="V4413" s="75"/>
      <c r="W4413" s="75"/>
      <c r="X4413" s="75"/>
    </row>
    <row r="4414">
      <c r="A4414" s="17"/>
      <c r="B4414" s="17"/>
      <c r="C4414" s="133"/>
      <c r="D4414" s="133"/>
      <c r="E4414" s="17"/>
      <c r="F4414" s="133"/>
      <c r="G4414" s="133"/>
      <c r="H4414" s="133"/>
      <c r="I4414" s="133"/>
      <c r="J4414" s="133"/>
      <c r="K4414" s="133"/>
      <c r="L4414" s="133"/>
      <c r="M4414" s="133"/>
      <c r="N4414" s="133"/>
      <c r="O4414" s="133"/>
      <c r="P4414" s="134"/>
      <c r="Q4414" s="146"/>
      <c r="R4414" s="17"/>
      <c r="S4414" s="17"/>
      <c r="T4414" s="75"/>
      <c r="U4414" s="75"/>
      <c r="V4414" s="75"/>
      <c r="W4414" s="75"/>
      <c r="X4414" s="75"/>
    </row>
    <row r="4415">
      <c r="A4415" s="17"/>
      <c r="B4415" s="17"/>
      <c r="C4415" s="133"/>
      <c r="D4415" s="133"/>
      <c r="E4415" s="17"/>
      <c r="F4415" s="133"/>
      <c r="G4415" s="133"/>
      <c r="H4415" s="133"/>
      <c r="I4415" s="133"/>
      <c r="J4415" s="133"/>
      <c r="K4415" s="133"/>
      <c r="L4415" s="133"/>
      <c r="M4415" s="133"/>
      <c r="N4415" s="133"/>
      <c r="O4415" s="133"/>
      <c r="P4415" s="134"/>
      <c r="Q4415" s="146"/>
      <c r="R4415" s="17"/>
      <c r="S4415" s="17"/>
      <c r="T4415" s="75"/>
      <c r="U4415" s="75"/>
      <c r="V4415" s="75"/>
      <c r="W4415" s="75"/>
      <c r="X4415" s="75"/>
    </row>
    <row r="4416">
      <c r="A4416" s="17"/>
      <c r="B4416" s="17"/>
      <c r="C4416" s="133"/>
      <c r="D4416" s="133"/>
      <c r="E4416" s="17"/>
      <c r="F4416" s="133"/>
      <c r="G4416" s="133"/>
      <c r="H4416" s="133"/>
      <c r="I4416" s="133"/>
      <c r="J4416" s="133"/>
      <c r="K4416" s="133"/>
      <c r="L4416" s="133"/>
      <c r="M4416" s="133"/>
      <c r="N4416" s="133"/>
      <c r="O4416" s="133"/>
      <c r="P4416" s="134"/>
      <c r="Q4416" s="146"/>
      <c r="R4416" s="17"/>
      <c r="S4416" s="17"/>
      <c r="T4416" s="75"/>
      <c r="U4416" s="75"/>
      <c r="V4416" s="75"/>
      <c r="W4416" s="75"/>
      <c r="X4416" s="75"/>
    </row>
    <row r="4417">
      <c r="A4417" s="17"/>
      <c r="B4417" s="17"/>
      <c r="C4417" s="133"/>
      <c r="D4417" s="133"/>
      <c r="E4417" s="17"/>
      <c r="F4417" s="133"/>
      <c r="G4417" s="133"/>
      <c r="H4417" s="133"/>
      <c r="I4417" s="133"/>
      <c r="J4417" s="133"/>
      <c r="K4417" s="133"/>
      <c r="L4417" s="133"/>
      <c r="M4417" s="133"/>
      <c r="N4417" s="133"/>
      <c r="O4417" s="133"/>
      <c r="P4417" s="134"/>
      <c r="Q4417" s="146"/>
      <c r="R4417" s="17"/>
      <c r="S4417" s="17"/>
      <c r="T4417" s="75"/>
      <c r="U4417" s="75"/>
      <c r="V4417" s="75"/>
      <c r="W4417" s="75"/>
      <c r="X4417" s="75"/>
    </row>
    <row r="4418">
      <c r="A4418" s="17"/>
      <c r="B4418" s="17"/>
      <c r="C4418" s="133"/>
      <c r="D4418" s="133"/>
      <c r="E4418" s="17"/>
      <c r="F4418" s="133"/>
      <c r="G4418" s="133"/>
      <c r="H4418" s="133"/>
      <c r="I4418" s="133"/>
      <c r="J4418" s="133"/>
      <c r="K4418" s="133"/>
      <c r="L4418" s="133"/>
      <c r="M4418" s="133"/>
      <c r="N4418" s="133"/>
      <c r="O4418" s="133"/>
      <c r="P4418" s="134"/>
      <c r="Q4418" s="146"/>
      <c r="R4418" s="17"/>
      <c r="S4418" s="17"/>
      <c r="T4418" s="75"/>
      <c r="U4418" s="75"/>
      <c r="V4418" s="75"/>
      <c r="W4418" s="75"/>
      <c r="X4418" s="75"/>
    </row>
    <row r="4419">
      <c r="A4419" s="17"/>
      <c r="B4419" s="17"/>
      <c r="C4419" s="133"/>
      <c r="D4419" s="133"/>
      <c r="E4419" s="17"/>
      <c r="F4419" s="133"/>
      <c r="G4419" s="133"/>
      <c r="H4419" s="133"/>
      <c r="I4419" s="133"/>
      <c r="J4419" s="133"/>
      <c r="K4419" s="133"/>
      <c r="L4419" s="133"/>
      <c r="M4419" s="133"/>
      <c r="N4419" s="133"/>
      <c r="O4419" s="133"/>
      <c r="P4419" s="134"/>
      <c r="Q4419" s="146"/>
      <c r="R4419" s="17"/>
      <c r="S4419" s="17"/>
      <c r="T4419" s="75"/>
      <c r="U4419" s="75"/>
      <c r="V4419" s="75"/>
      <c r="W4419" s="75"/>
      <c r="X4419" s="75"/>
    </row>
    <row r="4420">
      <c r="A4420" s="17"/>
      <c r="B4420" s="17"/>
      <c r="C4420" s="133"/>
      <c r="D4420" s="133"/>
      <c r="E4420" s="17"/>
      <c r="F4420" s="133"/>
      <c r="G4420" s="133"/>
      <c r="H4420" s="133"/>
      <c r="I4420" s="133"/>
      <c r="J4420" s="133"/>
      <c r="K4420" s="133"/>
      <c r="L4420" s="133"/>
      <c r="M4420" s="133"/>
      <c r="N4420" s="133"/>
      <c r="O4420" s="133"/>
      <c r="P4420" s="134"/>
      <c r="Q4420" s="146"/>
      <c r="R4420" s="17"/>
      <c r="S4420" s="17"/>
      <c r="T4420" s="75"/>
      <c r="U4420" s="75"/>
      <c r="V4420" s="75"/>
      <c r="W4420" s="75"/>
      <c r="X4420" s="75"/>
    </row>
    <row r="4421">
      <c r="A4421" s="17"/>
      <c r="B4421" s="17"/>
      <c r="C4421" s="133"/>
      <c r="D4421" s="133"/>
      <c r="E4421" s="17"/>
      <c r="F4421" s="133"/>
      <c r="G4421" s="133"/>
      <c r="H4421" s="133"/>
      <c r="I4421" s="133"/>
      <c r="J4421" s="133"/>
      <c r="K4421" s="133"/>
      <c r="L4421" s="133"/>
      <c r="M4421" s="133"/>
      <c r="N4421" s="133"/>
      <c r="O4421" s="133"/>
      <c r="P4421" s="134"/>
      <c r="Q4421" s="146"/>
      <c r="R4421" s="17"/>
      <c r="S4421" s="17"/>
      <c r="T4421" s="75"/>
      <c r="U4421" s="75"/>
      <c r="V4421" s="75"/>
      <c r="W4421" s="75"/>
      <c r="X4421" s="75"/>
    </row>
    <row r="4422">
      <c r="A4422" s="17"/>
      <c r="B4422" s="17"/>
      <c r="C4422" s="133"/>
      <c r="D4422" s="133"/>
      <c r="E4422" s="17"/>
      <c r="F4422" s="133"/>
      <c r="G4422" s="133"/>
      <c r="H4422" s="133"/>
      <c r="I4422" s="133"/>
      <c r="J4422" s="133"/>
      <c r="K4422" s="133"/>
      <c r="L4422" s="133"/>
      <c r="M4422" s="133"/>
      <c r="N4422" s="133"/>
      <c r="O4422" s="133"/>
      <c r="P4422" s="134"/>
      <c r="Q4422" s="146"/>
      <c r="R4422" s="17"/>
      <c r="S4422" s="17"/>
      <c r="T4422" s="75"/>
      <c r="U4422" s="75"/>
      <c r="V4422" s="75"/>
      <c r="W4422" s="75"/>
      <c r="X4422" s="75"/>
    </row>
    <row r="4423">
      <c r="A4423" s="17"/>
      <c r="B4423" s="17"/>
      <c r="C4423" s="133"/>
      <c r="D4423" s="133"/>
      <c r="E4423" s="17"/>
      <c r="F4423" s="133"/>
      <c r="G4423" s="133"/>
      <c r="H4423" s="133"/>
      <c r="I4423" s="133"/>
      <c r="J4423" s="133"/>
      <c r="K4423" s="133"/>
      <c r="L4423" s="133"/>
      <c r="M4423" s="133"/>
      <c r="N4423" s="133"/>
      <c r="O4423" s="133"/>
      <c r="P4423" s="134"/>
      <c r="Q4423" s="146"/>
      <c r="R4423" s="17"/>
      <c r="S4423" s="17"/>
      <c r="T4423" s="75"/>
      <c r="U4423" s="75"/>
      <c r="V4423" s="75"/>
      <c r="W4423" s="75"/>
      <c r="X4423" s="75"/>
    </row>
    <row r="4424">
      <c r="A4424" s="17"/>
      <c r="B4424" s="17"/>
      <c r="C4424" s="133"/>
      <c r="D4424" s="133"/>
      <c r="E4424" s="17"/>
      <c r="F4424" s="133"/>
      <c r="G4424" s="133"/>
      <c r="H4424" s="133"/>
      <c r="I4424" s="133"/>
      <c r="J4424" s="133"/>
      <c r="K4424" s="133"/>
      <c r="L4424" s="133"/>
      <c r="M4424" s="133"/>
      <c r="N4424" s="133"/>
      <c r="O4424" s="133"/>
      <c r="P4424" s="134"/>
      <c r="Q4424" s="146"/>
      <c r="R4424" s="17"/>
      <c r="S4424" s="17"/>
      <c r="T4424" s="75"/>
      <c r="U4424" s="75"/>
      <c r="V4424" s="75"/>
      <c r="W4424" s="75"/>
      <c r="X4424" s="75"/>
    </row>
    <row r="4425">
      <c r="A4425" s="17"/>
      <c r="B4425" s="17"/>
      <c r="C4425" s="133"/>
      <c r="D4425" s="133"/>
      <c r="E4425" s="17"/>
      <c r="F4425" s="133"/>
      <c r="G4425" s="133"/>
      <c r="H4425" s="133"/>
      <c r="I4425" s="133"/>
      <c r="J4425" s="133"/>
      <c r="K4425" s="133"/>
      <c r="L4425" s="133"/>
      <c r="M4425" s="133"/>
      <c r="N4425" s="133"/>
      <c r="O4425" s="133"/>
      <c r="P4425" s="134"/>
      <c r="Q4425" s="146"/>
      <c r="R4425" s="17"/>
      <c r="S4425" s="17"/>
      <c r="T4425" s="75"/>
      <c r="U4425" s="75"/>
      <c r="V4425" s="75"/>
      <c r="W4425" s="75"/>
      <c r="X4425" s="75"/>
    </row>
    <row r="4426">
      <c r="A4426" s="17"/>
      <c r="B4426" s="17"/>
      <c r="C4426" s="133"/>
      <c r="D4426" s="133"/>
      <c r="E4426" s="17"/>
      <c r="F4426" s="133"/>
      <c r="G4426" s="133"/>
      <c r="H4426" s="133"/>
      <c r="I4426" s="133"/>
      <c r="J4426" s="133"/>
      <c r="K4426" s="133"/>
      <c r="L4426" s="133"/>
      <c r="M4426" s="133"/>
      <c r="N4426" s="133"/>
      <c r="O4426" s="133"/>
      <c r="P4426" s="134"/>
      <c r="Q4426" s="146"/>
      <c r="R4426" s="17"/>
      <c r="S4426" s="17"/>
      <c r="T4426" s="75"/>
      <c r="U4426" s="75"/>
      <c r="V4426" s="75"/>
      <c r="W4426" s="75"/>
      <c r="X4426" s="75"/>
    </row>
    <row r="4427">
      <c r="A4427" s="17"/>
      <c r="B4427" s="17"/>
      <c r="C4427" s="133"/>
      <c r="D4427" s="133"/>
      <c r="E4427" s="17"/>
      <c r="F4427" s="133"/>
      <c r="G4427" s="133"/>
      <c r="H4427" s="133"/>
      <c r="I4427" s="133"/>
      <c r="J4427" s="133"/>
      <c r="K4427" s="133"/>
      <c r="L4427" s="133"/>
      <c r="M4427" s="133"/>
      <c r="N4427" s="133"/>
      <c r="O4427" s="133"/>
      <c r="P4427" s="134"/>
      <c r="Q4427" s="146"/>
      <c r="R4427" s="17"/>
      <c r="S4427" s="17"/>
      <c r="T4427" s="75"/>
      <c r="U4427" s="75"/>
      <c r="V4427" s="75"/>
      <c r="W4427" s="75"/>
      <c r="X4427" s="75"/>
    </row>
    <row r="4428">
      <c r="A4428" s="17"/>
      <c r="B4428" s="17"/>
      <c r="C4428" s="133"/>
      <c r="D4428" s="133"/>
      <c r="E4428" s="17"/>
      <c r="F4428" s="133"/>
      <c r="G4428" s="133"/>
      <c r="H4428" s="133"/>
      <c r="I4428" s="133"/>
      <c r="J4428" s="133"/>
      <c r="K4428" s="133"/>
      <c r="L4428" s="133"/>
      <c r="M4428" s="133"/>
      <c r="N4428" s="133"/>
      <c r="O4428" s="133"/>
      <c r="P4428" s="134"/>
      <c r="Q4428" s="146"/>
      <c r="R4428" s="17"/>
      <c r="S4428" s="17"/>
      <c r="T4428" s="75"/>
      <c r="U4428" s="75"/>
      <c r="V4428" s="75"/>
      <c r="W4428" s="75"/>
      <c r="X4428" s="75"/>
    </row>
    <row r="4429">
      <c r="A4429" s="17"/>
      <c r="B4429" s="17"/>
      <c r="C4429" s="133"/>
      <c r="D4429" s="133"/>
      <c r="E4429" s="17"/>
      <c r="F4429" s="133"/>
      <c r="G4429" s="133"/>
      <c r="H4429" s="133"/>
      <c r="I4429" s="133"/>
      <c r="J4429" s="133"/>
      <c r="K4429" s="133"/>
      <c r="L4429" s="133"/>
      <c r="M4429" s="133"/>
      <c r="N4429" s="133"/>
      <c r="O4429" s="133"/>
      <c r="P4429" s="134"/>
      <c r="Q4429" s="146"/>
      <c r="R4429" s="17"/>
      <c r="S4429" s="17"/>
      <c r="T4429" s="75"/>
      <c r="U4429" s="75"/>
      <c r="V4429" s="75"/>
      <c r="W4429" s="75"/>
      <c r="X4429" s="75"/>
    </row>
    <row r="4430">
      <c r="A4430" s="17"/>
      <c r="B4430" s="17"/>
      <c r="C4430" s="133"/>
      <c r="D4430" s="133"/>
      <c r="E4430" s="17"/>
      <c r="F4430" s="133"/>
      <c r="G4430" s="133"/>
      <c r="H4430" s="133"/>
      <c r="I4430" s="133"/>
      <c r="J4430" s="133"/>
      <c r="K4430" s="133"/>
      <c r="L4430" s="133"/>
      <c r="M4430" s="133"/>
      <c r="N4430" s="133"/>
      <c r="O4430" s="133"/>
      <c r="P4430" s="134"/>
      <c r="Q4430" s="146"/>
      <c r="R4430" s="17"/>
      <c r="S4430" s="17"/>
      <c r="T4430" s="75"/>
      <c r="U4430" s="75"/>
      <c r="V4430" s="75"/>
      <c r="W4430" s="75"/>
      <c r="X4430" s="75"/>
    </row>
    <row r="4431">
      <c r="A4431" s="17"/>
      <c r="B4431" s="17"/>
      <c r="C4431" s="133"/>
      <c r="D4431" s="133"/>
      <c r="E4431" s="17"/>
      <c r="F4431" s="133"/>
      <c r="G4431" s="133"/>
      <c r="H4431" s="133"/>
      <c r="I4431" s="133"/>
      <c r="J4431" s="133"/>
      <c r="K4431" s="133"/>
      <c r="L4431" s="133"/>
      <c r="M4431" s="133"/>
      <c r="N4431" s="133"/>
      <c r="O4431" s="133"/>
      <c r="P4431" s="134"/>
      <c r="Q4431" s="146"/>
      <c r="R4431" s="17"/>
      <c r="S4431" s="17"/>
      <c r="T4431" s="75"/>
      <c r="U4431" s="75"/>
      <c r="V4431" s="75"/>
      <c r="W4431" s="75"/>
      <c r="X4431" s="75"/>
    </row>
    <row r="4432">
      <c r="A4432" s="17"/>
      <c r="B4432" s="17"/>
      <c r="C4432" s="133"/>
      <c r="D4432" s="133"/>
      <c r="E4432" s="17"/>
      <c r="F4432" s="133"/>
      <c r="G4432" s="133"/>
      <c r="H4432" s="133"/>
      <c r="I4432" s="133"/>
      <c r="J4432" s="133"/>
      <c r="K4432" s="133"/>
      <c r="L4432" s="133"/>
      <c r="M4432" s="133"/>
      <c r="N4432" s="133"/>
      <c r="O4432" s="133"/>
      <c r="P4432" s="134"/>
      <c r="Q4432" s="146"/>
      <c r="R4432" s="17"/>
      <c r="S4432" s="17"/>
      <c r="T4432" s="75"/>
      <c r="U4432" s="75"/>
      <c r="V4432" s="75"/>
      <c r="W4432" s="75"/>
      <c r="X4432" s="75"/>
    </row>
    <row r="4433">
      <c r="A4433" s="17"/>
      <c r="B4433" s="17"/>
      <c r="C4433" s="133"/>
      <c r="D4433" s="133"/>
      <c r="E4433" s="17"/>
      <c r="F4433" s="133"/>
      <c r="G4433" s="133"/>
      <c r="H4433" s="133"/>
      <c r="I4433" s="133"/>
      <c r="J4433" s="133"/>
      <c r="K4433" s="133"/>
      <c r="L4433" s="133"/>
      <c r="M4433" s="133"/>
      <c r="N4433" s="133"/>
      <c r="O4433" s="133"/>
      <c r="P4433" s="134"/>
      <c r="Q4433" s="146"/>
      <c r="R4433" s="17"/>
      <c r="S4433" s="17"/>
      <c r="T4433" s="75"/>
      <c r="U4433" s="75"/>
      <c r="V4433" s="75"/>
      <c r="W4433" s="75"/>
      <c r="X4433" s="75"/>
    </row>
    <row r="4434">
      <c r="A4434" s="17"/>
      <c r="B4434" s="17"/>
      <c r="C4434" s="133"/>
      <c r="D4434" s="133"/>
      <c r="E4434" s="17"/>
      <c r="F4434" s="133"/>
      <c r="G4434" s="133"/>
      <c r="H4434" s="133"/>
      <c r="I4434" s="133"/>
      <c r="J4434" s="133"/>
      <c r="K4434" s="133"/>
      <c r="L4434" s="133"/>
      <c r="M4434" s="133"/>
      <c r="N4434" s="133"/>
      <c r="O4434" s="133"/>
      <c r="P4434" s="134"/>
      <c r="Q4434" s="146"/>
      <c r="R4434" s="17"/>
      <c r="S4434" s="17"/>
      <c r="T4434" s="75"/>
      <c r="U4434" s="75"/>
      <c r="V4434" s="75"/>
      <c r="W4434" s="75"/>
      <c r="X4434" s="75"/>
    </row>
    <row r="4435">
      <c r="A4435" s="17"/>
      <c r="B4435" s="17"/>
      <c r="C4435" s="133"/>
      <c r="D4435" s="133"/>
      <c r="E4435" s="17"/>
      <c r="F4435" s="133"/>
      <c r="G4435" s="133"/>
      <c r="H4435" s="133"/>
      <c r="I4435" s="133"/>
      <c r="J4435" s="133"/>
      <c r="K4435" s="133"/>
      <c r="L4435" s="133"/>
      <c r="M4435" s="133"/>
      <c r="N4435" s="133"/>
      <c r="O4435" s="133"/>
      <c r="P4435" s="134"/>
      <c r="Q4435" s="146"/>
      <c r="R4435" s="17"/>
      <c r="S4435" s="17"/>
      <c r="T4435" s="75"/>
      <c r="U4435" s="75"/>
      <c r="V4435" s="75"/>
      <c r="W4435" s="75"/>
      <c r="X4435" s="75"/>
    </row>
    <row r="4436">
      <c r="A4436" s="17"/>
      <c r="B4436" s="17"/>
      <c r="C4436" s="133"/>
      <c r="D4436" s="133"/>
      <c r="E4436" s="17"/>
      <c r="F4436" s="133"/>
      <c r="G4436" s="133"/>
      <c r="H4436" s="133"/>
      <c r="I4436" s="133"/>
      <c r="J4436" s="133"/>
      <c r="K4436" s="133"/>
      <c r="L4436" s="133"/>
      <c r="M4436" s="133"/>
      <c r="N4436" s="133"/>
      <c r="O4436" s="133"/>
      <c r="P4436" s="134"/>
      <c r="Q4436" s="146"/>
      <c r="R4436" s="17"/>
      <c r="S4436" s="17"/>
      <c r="T4436" s="75"/>
      <c r="U4436" s="75"/>
      <c r="V4436" s="75"/>
      <c r="W4436" s="75"/>
      <c r="X4436" s="75"/>
    </row>
    <row r="4437">
      <c r="A4437" s="17"/>
      <c r="B4437" s="17"/>
      <c r="C4437" s="133"/>
      <c r="D4437" s="133"/>
      <c r="E4437" s="17"/>
      <c r="F4437" s="133"/>
      <c r="G4437" s="133"/>
      <c r="H4437" s="133"/>
      <c r="I4437" s="133"/>
      <c r="J4437" s="133"/>
      <c r="K4437" s="133"/>
      <c r="L4437" s="133"/>
      <c r="M4437" s="133"/>
      <c r="N4437" s="133"/>
      <c r="O4437" s="133"/>
      <c r="P4437" s="134"/>
      <c r="Q4437" s="146"/>
      <c r="R4437" s="17"/>
      <c r="S4437" s="17"/>
      <c r="T4437" s="75"/>
      <c r="U4437" s="75"/>
      <c r="V4437" s="75"/>
      <c r="W4437" s="75"/>
      <c r="X4437" s="75"/>
    </row>
    <row r="4438">
      <c r="A4438" s="17"/>
      <c r="B4438" s="17"/>
      <c r="C4438" s="133"/>
      <c r="D4438" s="133"/>
      <c r="E4438" s="17"/>
      <c r="F4438" s="133"/>
      <c r="G4438" s="133"/>
      <c r="H4438" s="133"/>
      <c r="I4438" s="133"/>
      <c r="J4438" s="133"/>
      <c r="K4438" s="133"/>
      <c r="L4438" s="133"/>
      <c r="M4438" s="133"/>
      <c r="N4438" s="133"/>
      <c r="O4438" s="133"/>
      <c r="P4438" s="134"/>
      <c r="Q4438" s="146"/>
      <c r="R4438" s="17"/>
      <c r="S4438" s="17"/>
      <c r="T4438" s="75"/>
      <c r="U4438" s="75"/>
      <c r="V4438" s="75"/>
      <c r="W4438" s="75"/>
      <c r="X4438" s="75"/>
    </row>
    <row r="4439">
      <c r="A4439" s="17"/>
      <c r="B4439" s="17"/>
      <c r="C4439" s="133"/>
      <c r="D4439" s="133"/>
      <c r="E4439" s="17"/>
      <c r="F4439" s="133"/>
      <c r="G4439" s="133"/>
      <c r="H4439" s="133"/>
      <c r="I4439" s="133"/>
      <c r="J4439" s="133"/>
      <c r="K4439" s="133"/>
      <c r="L4439" s="133"/>
      <c r="M4439" s="133"/>
      <c r="N4439" s="133"/>
      <c r="O4439" s="133"/>
      <c r="P4439" s="134"/>
      <c r="Q4439" s="146"/>
      <c r="R4439" s="17"/>
      <c r="S4439" s="17"/>
      <c r="T4439" s="75"/>
      <c r="U4439" s="75"/>
      <c r="V4439" s="75"/>
      <c r="W4439" s="75"/>
      <c r="X4439" s="75"/>
    </row>
    <row r="4440">
      <c r="A4440" s="17"/>
      <c r="B4440" s="17"/>
      <c r="C4440" s="133"/>
      <c r="D4440" s="133"/>
      <c r="E4440" s="17"/>
      <c r="F4440" s="133"/>
      <c r="G4440" s="133"/>
      <c r="H4440" s="133"/>
      <c r="I4440" s="133"/>
      <c r="J4440" s="133"/>
      <c r="K4440" s="133"/>
      <c r="L4440" s="133"/>
      <c r="M4440" s="133"/>
      <c r="N4440" s="133"/>
      <c r="O4440" s="133"/>
      <c r="P4440" s="134"/>
      <c r="Q4440" s="146"/>
      <c r="R4440" s="17"/>
      <c r="S4440" s="17"/>
      <c r="T4440" s="75"/>
      <c r="U4440" s="75"/>
      <c r="V4440" s="75"/>
      <c r="W4440" s="75"/>
      <c r="X4440" s="75"/>
    </row>
    <row r="4441">
      <c r="A4441" s="17"/>
      <c r="B4441" s="17"/>
      <c r="C4441" s="133"/>
      <c r="D4441" s="133"/>
      <c r="E4441" s="17"/>
      <c r="F4441" s="133"/>
      <c r="G4441" s="133"/>
      <c r="H4441" s="133"/>
      <c r="I4441" s="133"/>
      <c r="J4441" s="133"/>
      <c r="K4441" s="133"/>
      <c r="L4441" s="133"/>
      <c r="M4441" s="133"/>
      <c r="N4441" s="133"/>
      <c r="O4441" s="133"/>
      <c r="P4441" s="134"/>
      <c r="Q4441" s="146"/>
      <c r="R4441" s="17"/>
      <c r="S4441" s="17"/>
      <c r="T4441" s="75"/>
      <c r="U4441" s="75"/>
      <c r="V4441" s="75"/>
      <c r="W4441" s="75"/>
      <c r="X4441" s="75"/>
    </row>
    <row r="4442">
      <c r="A4442" s="17"/>
      <c r="B4442" s="17"/>
      <c r="C4442" s="133"/>
      <c r="D4442" s="133"/>
      <c r="E4442" s="17"/>
      <c r="F4442" s="133"/>
      <c r="G4442" s="133"/>
      <c r="H4442" s="133"/>
      <c r="I4442" s="133"/>
      <c r="J4442" s="133"/>
      <c r="K4442" s="133"/>
      <c r="L4442" s="133"/>
      <c r="M4442" s="133"/>
      <c r="N4442" s="133"/>
      <c r="O4442" s="133"/>
      <c r="P4442" s="134"/>
      <c r="Q4442" s="146"/>
      <c r="R4442" s="17"/>
      <c r="S4442" s="17"/>
      <c r="T4442" s="75"/>
      <c r="U4442" s="75"/>
      <c r="V4442" s="75"/>
      <c r="W4442" s="75"/>
      <c r="X4442" s="75"/>
    </row>
    <row r="4443">
      <c r="A4443" s="17"/>
      <c r="B4443" s="17"/>
      <c r="C4443" s="133"/>
      <c r="D4443" s="133"/>
      <c r="E4443" s="17"/>
      <c r="F4443" s="133"/>
      <c r="G4443" s="133"/>
      <c r="H4443" s="133"/>
      <c r="I4443" s="133"/>
      <c r="J4443" s="133"/>
      <c r="K4443" s="133"/>
      <c r="L4443" s="133"/>
      <c r="M4443" s="133"/>
      <c r="N4443" s="133"/>
      <c r="O4443" s="133"/>
      <c r="P4443" s="134"/>
      <c r="Q4443" s="146"/>
      <c r="R4443" s="17"/>
      <c r="S4443" s="17"/>
      <c r="T4443" s="75"/>
      <c r="U4443" s="75"/>
      <c r="V4443" s="75"/>
      <c r="W4443" s="75"/>
      <c r="X4443" s="75"/>
    </row>
    <row r="4444">
      <c r="A4444" s="17"/>
      <c r="B4444" s="17"/>
      <c r="C4444" s="133"/>
      <c r="D4444" s="133"/>
      <c r="E4444" s="17"/>
      <c r="F4444" s="133"/>
      <c r="G4444" s="133"/>
      <c r="H4444" s="133"/>
      <c r="I4444" s="133"/>
      <c r="J4444" s="133"/>
      <c r="K4444" s="133"/>
      <c r="L4444" s="133"/>
      <c r="M4444" s="133"/>
      <c r="N4444" s="133"/>
      <c r="O4444" s="133"/>
      <c r="P4444" s="134"/>
      <c r="Q4444" s="146"/>
      <c r="R4444" s="17"/>
      <c r="S4444" s="17"/>
      <c r="T4444" s="75"/>
      <c r="U4444" s="75"/>
      <c r="V4444" s="75"/>
      <c r="W4444" s="75"/>
      <c r="X4444" s="75"/>
    </row>
    <row r="4445">
      <c r="A4445" s="17"/>
      <c r="B4445" s="17"/>
      <c r="C4445" s="133"/>
      <c r="D4445" s="133"/>
      <c r="E4445" s="17"/>
      <c r="F4445" s="133"/>
      <c r="G4445" s="133"/>
      <c r="H4445" s="133"/>
      <c r="I4445" s="133"/>
      <c r="J4445" s="133"/>
      <c r="K4445" s="133"/>
      <c r="L4445" s="133"/>
      <c r="M4445" s="133"/>
      <c r="N4445" s="133"/>
      <c r="O4445" s="133"/>
      <c r="P4445" s="134"/>
      <c r="Q4445" s="146"/>
      <c r="R4445" s="17"/>
      <c r="S4445" s="17"/>
      <c r="T4445" s="75"/>
      <c r="U4445" s="75"/>
      <c r="V4445" s="75"/>
      <c r="W4445" s="75"/>
      <c r="X4445" s="75"/>
    </row>
    <row r="4446">
      <c r="A4446" s="17"/>
      <c r="B4446" s="17"/>
      <c r="C4446" s="133"/>
      <c r="D4446" s="133"/>
      <c r="E4446" s="17"/>
      <c r="F4446" s="133"/>
      <c r="G4446" s="133"/>
      <c r="H4446" s="133"/>
      <c r="I4446" s="133"/>
      <c r="J4446" s="133"/>
      <c r="K4446" s="133"/>
      <c r="L4446" s="133"/>
      <c r="M4446" s="133"/>
      <c r="N4446" s="133"/>
      <c r="O4446" s="133"/>
      <c r="P4446" s="134"/>
      <c r="Q4446" s="146"/>
      <c r="R4446" s="17"/>
      <c r="S4446" s="17"/>
      <c r="T4446" s="75"/>
      <c r="U4446" s="75"/>
      <c r="V4446" s="75"/>
      <c r="W4446" s="75"/>
      <c r="X4446" s="75"/>
    </row>
    <row r="4447">
      <c r="A4447" s="17"/>
      <c r="B4447" s="17"/>
      <c r="C4447" s="133"/>
      <c r="D4447" s="133"/>
      <c r="E4447" s="17"/>
      <c r="F4447" s="133"/>
      <c r="G4447" s="133"/>
      <c r="H4447" s="133"/>
      <c r="I4447" s="133"/>
      <c r="J4447" s="133"/>
      <c r="K4447" s="133"/>
      <c r="L4447" s="133"/>
      <c r="M4447" s="133"/>
      <c r="N4447" s="133"/>
      <c r="O4447" s="133"/>
      <c r="P4447" s="134"/>
      <c r="Q4447" s="146"/>
      <c r="R4447" s="17"/>
      <c r="S4447" s="17"/>
      <c r="T4447" s="75"/>
      <c r="U4447" s="75"/>
      <c r="V4447" s="75"/>
      <c r="W4447" s="75"/>
      <c r="X4447" s="75"/>
    </row>
    <row r="4448">
      <c r="A4448" s="17"/>
      <c r="B4448" s="17"/>
      <c r="C4448" s="133"/>
      <c r="D4448" s="133"/>
      <c r="E4448" s="17"/>
      <c r="F4448" s="133"/>
      <c r="G4448" s="133"/>
      <c r="H4448" s="133"/>
      <c r="I4448" s="133"/>
      <c r="J4448" s="133"/>
      <c r="K4448" s="133"/>
      <c r="L4448" s="133"/>
      <c r="M4448" s="133"/>
      <c r="N4448" s="133"/>
      <c r="O4448" s="133"/>
      <c r="P4448" s="134"/>
      <c r="Q4448" s="146"/>
      <c r="R4448" s="17"/>
      <c r="S4448" s="17"/>
      <c r="T4448" s="75"/>
      <c r="U4448" s="75"/>
      <c r="V4448" s="75"/>
      <c r="W4448" s="75"/>
      <c r="X4448" s="75"/>
    </row>
    <row r="4449">
      <c r="A4449" s="17"/>
      <c r="B4449" s="17"/>
      <c r="C4449" s="133"/>
      <c r="D4449" s="133"/>
      <c r="E4449" s="17"/>
      <c r="F4449" s="133"/>
      <c r="G4449" s="133"/>
      <c r="H4449" s="133"/>
      <c r="I4449" s="133"/>
      <c r="J4449" s="133"/>
      <c r="K4449" s="133"/>
      <c r="L4449" s="133"/>
      <c r="M4449" s="133"/>
      <c r="N4449" s="133"/>
      <c r="O4449" s="133"/>
      <c r="P4449" s="134"/>
      <c r="Q4449" s="146"/>
      <c r="R4449" s="17"/>
      <c r="S4449" s="17"/>
      <c r="T4449" s="75"/>
      <c r="U4449" s="75"/>
      <c r="V4449" s="75"/>
      <c r="W4449" s="75"/>
      <c r="X4449" s="75"/>
    </row>
    <row r="4450">
      <c r="A4450" s="17"/>
      <c r="B4450" s="17"/>
      <c r="C4450" s="133"/>
      <c r="D4450" s="133"/>
      <c r="E4450" s="17"/>
      <c r="F4450" s="133"/>
      <c r="G4450" s="133"/>
      <c r="H4450" s="133"/>
      <c r="I4450" s="133"/>
      <c r="J4450" s="133"/>
      <c r="K4450" s="133"/>
      <c r="L4450" s="133"/>
      <c r="M4450" s="133"/>
      <c r="N4450" s="133"/>
      <c r="O4450" s="133"/>
      <c r="P4450" s="134"/>
      <c r="Q4450" s="146"/>
      <c r="R4450" s="17"/>
      <c r="S4450" s="17"/>
      <c r="T4450" s="75"/>
      <c r="U4450" s="75"/>
      <c r="V4450" s="75"/>
      <c r="W4450" s="75"/>
      <c r="X4450" s="75"/>
    </row>
    <row r="4451">
      <c r="A4451" s="17"/>
      <c r="B4451" s="17"/>
      <c r="C4451" s="133"/>
      <c r="D4451" s="133"/>
      <c r="E4451" s="17"/>
      <c r="F4451" s="133"/>
      <c r="G4451" s="133"/>
      <c r="H4451" s="133"/>
      <c r="I4451" s="133"/>
      <c r="J4451" s="133"/>
      <c r="K4451" s="133"/>
      <c r="L4451" s="133"/>
      <c r="M4451" s="133"/>
      <c r="N4451" s="133"/>
      <c r="O4451" s="133"/>
      <c r="P4451" s="134"/>
      <c r="Q4451" s="146"/>
      <c r="R4451" s="17"/>
      <c r="S4451" s="17"/>
      <c r="T4451" s="75"/>
      <c r="U4451" s="75"/>
      <c r="V4451" s="75"/>
      <c r="W4451" s="75"/>
      <c r="X4451" s="75"/>
    </row>
    <row r="4452">
      <c r="A4452" s="17"/>
      <c r="B4452" s="17"/>
      <c r="C4452" s="133"/>
      <c r="D4452" s="133"/>
      <c r="E4452" s="17"/>
      <c r="F4452" s="133"/>
      <c r="G4452" s="133"/>
      <c r="H4452" s="133"/>
      <c r="I4452" s="133"/>
      <c r="J4452" s="133"/>
      <c r="K4452" s="133"/>
      <c r="L4452" s="133"/>
      <c r="M4452" s="133"/>
      <c r="N4452" s="133"/>
      <c r="O4452" s="133"/>
      <c r="P4452" s="134"/>
      <c r="Q4452" s="146"/>
      <c r="R4452" s="17"/>
      <c r="S4452" s="17"/>
      <c r="T4452" s="75"/>
      <c r="U4452" s="75"/>
      <c r="V4452" s="75"/>
      <c r="W4452" s="75"/>
      <c r="X4452" s="75"/>
    </row>
    <row r="4453">
      <c r="A4453" s="17"/>
      <c r="B4453" s="17"/>
      <c r="C4453" s="133"/>
      <c r="D4453" s="133"/>
      <c r="E4453" s="17"/>
      <c r="F4453" s="133"/>
      <c r="G4453" s="133"/>
      <c r="H4453" s="133"/>
      <c r="I4453" s="133"/>
      <c r="J4453" s="133"/>
      <c r="K4453" s="133"/>
      <c r="L4453" s="133"/>
      <c r="M4453" s="133"/>
      <c r="N4453" s="133"/>
      <c r="O4453" s="133"/>
      <c r="P4453" s="134"/>
      <c r="Q4453" s="146"/>
      <c r="R4453" s="17"/>
      <c r="S4453" s="17"/>
      <c r="T4453" s="75"/>
      <c r="U4453" s="75"/>
      <c r="V4453" s="75"/>
      <c r="W4453" s="75"/>
      <c r="X4453" s="75"/>
    </row>
    <row r="4454">
      <c r="A4454" s="17"/>
      <c r="B4454" s="17"/>
      <c r="C4454" s="133"/>
      <c r="D4454" s="133"/>
      <c r="E4454" s="17"/>
      <c r="F4454" s="133"/>
      <c r="G4454" s="133"/>
      <c r="H4454" s="133"/>
      <c r="I4454" s="133"/>
      <c r="J4454" s="133"/>
      <c r="K4454" s="133"/>
      <c r="L4454" s="133"/>
      <c r="M4454" s="133"/>
      <c r="N4454" s="133"/>
      <c r="O4454" s="133"/>
      <c r="P4454" s="134"/>
      <c r="Q4454" s="146"/>
      <c r="R4454" s="17"/>
      <c r="S4454" s="17"/>
      <c r="T4454" s="75"/>
      <c r="U4454" s="75"/>
      <c r="V4454" s="75"/>
      <c r="W4454" s="75"/>
      <c r="X4454" s="75"/>
    </row>
    <row r="4455">
      <c r="A4455" s="17"/>
      <c r="B4455" s="17"/>
      <c r="C4455" s="133"/>
      <c r="D4455" s="133"/>
      <c r="E4455" s="17"/>
      <c r="F4455" s="133"/>
      <c r="G4455" s="133"/>
      <c r="H4455" s="133"/>
      <c r="I4455" s="133"/>
      <c r="J4455" s="133"/>
      <c r="K4455" s="133"/>
      <c r="L4455" s="133"/>
      <c r="M4455" s="133"/>
      <c r="N4455" s="133"/>
      <c r="O4455" s="133"/>
      <c r="P4455" s="134"/>
      <c r="Q4455" s="146"/>
      <c r="R4455" s="17"/>
      <c r="S4455" s="17"/>
      <c r="T4455" s="75"/>
      <c r="U4455" s="75"/>
      <c r="V4455" s="75"/>
      <c r="W4455" s="75"/>
      <c r="X4455" s="75"/>
    </row>
    <row r="4456">
      <c r="A4456" s="17"/>
      <c r="B4456" s="17"/>
      <c r="C4456" s="133"/>
      <c r="D4456" s="133"/>
      <c r="E4456" s="17"/>
      <c r="F4456" s="133"/>
      <c r="G4456" s="133"/>
      <c r="H4456" s="133"/>
      <c r="I4456" s="133"/>
      <c r="J4456" s="133"/>
      <c r="K4456" s="133"/>
      <c r="L4456" s="133"/>
      <c r="M4456" s="133"/>
      <c r="N4456" s="133"/>
      <c r="O4456" s="133"/>
      <c r="P4456" s="134"/>
      <c r="Q4456" s="146"/>
      <c r="R4456" s="17"/>
      <c r="S4456" s="17"/>
      <c r="T4456" s="75"/>
      <c r="U4456" s="75"/>
      <c r="V4456" s="75"/>
      <c r="W4456" s="75"/>
      <c r="X4456" s="75"/>
    </row>
    <row r="4457">
      <c r="A4457" s="17"/>
      <c r="B4457" s="17"/>
      <c r="C4457" s="133"/>
      <c r="D4457" s="133"/>
      <c r="E4457" s="17"/>
      <c r="F4457" s="133"/>
      <c r="G4457" s="133"/>
      <c r="H4457" s="133"/>
      <c r="I4457" s="133"/>
      <c r="J4457" s="133"/>
      <c r="K4457" s="133"/>
      <c r="L4457" s="133"/>
      <c r="M4457" s="133"/>
      <c r="N4457" s="133"/>
      <c r="O4457" s="133"/>
      <c r="P4457" s="134"/>
      <c r="Q4457" s="146"/>
      <c r="R4457" s="17"/>
      <c r="S4457" s="17"/>
      <c r="T4457" s="75"/>
      <c r="U4457" s="75"/>
      <c r="V4457" s="75"/>
      <c r="W4457" s="75"/>
      <c r="X4457" s="75"/>
    </row>
    <row r="4458">
      <c r="A4458" s="17"/>
      <c r="B4458" s="17"/>
      <c r="C4458" s="133"/>
      <c r="D4458" s="133"/>
      <c r="E4458" s="17"/>
      <c r="F4458" s="133"/>
      <c r="G4458" s="133"/>
      <c r="H4458" s="133"/>
      <c r="I4458" s="133"/>
      <c r="J4458" s="133"/>
      <c r="K4458" s="133"/>
      <c r="L4458" s="133"/>
      <c r="M4458" s="133"/>
      <c r="N4458" s="133"/>
      <c r="O4458" s="133"/>
      <c r="P4458" s="134"/>
      <c r="Q4458" s="146"/>
      <c r="R4458" s="17"/>
      <c r="S4458" s="17"/>
      <c r="T4458" s="75"/>
      <c r="U4458" s="75"/>
      <c r="V4458" s="75"/>
      <c r="W4458" s="75"/>
      <c r="X4458" s="75"/>
    </row>
    <row r="4459">
      <c r="A4459" s="17"/>
      <c r="B4459" s="17"/>
      <c r="C4459" s="133"/>
      <c r="D4459" s="133"/>
      <c r="E4459" s="17"/>
      <c r="F4459" s="133"/>
      <c r="G4459" s="133"/>
      <c r="H4459" s="133"/>
      <c r="I4459" s="133"/>
      <c r="J4459" s="133"/>
      <c r="K4459" s="133"/>
      <c r="L4459" s="133"/>
      <c r="M4459" s="133"/>
      <c r="N4459" s="133"/>
      <c r="O4459" s="133"/>
      <c r="P4459" s="134"/>
      <c r="Q4459" s="146"/>
      <c r="R4459" s="17"/>
      <c r="S4459" s="17"/>
      <c r="T4459" s="75"/>
      <c r="U4459" s="75"/>
      <c r="V4459" s="75"/>
      <c r="W4459" s="75"/>
      <c r="X4459" s="75"/>
    </row>
    <row r="4460">
      <c r="A4460" s="17"/>
      <c r="B4460" s="17"/>
      <c r="C4460" s="133"/>
      <c r="D4460" s="133"/>
      <c r="E4460" s="17"/>
      <c r="F4460" s="133"/>
      <c r="G4460" s="133"/>
      <c r="H4460" s="133"/>
      <c r="I4460" s="133"/>
      <c r="J4460" s="133"/>
      <c r="K4460" s="133"/>
      <c r="L4460" s="133"/>
      <c r="M4460" s="133"/>
      <c r="N4460" s="133"/>
      <c r="O4460" s="133"/>
      <c r="P4460" s="134"/>
      <c r="Q4460" s="146"/>
      <c r="R4460" s="17"/>
      <c r="S4460" s="17"/>
      <c r="T4460" s="75"/>
      <c r="U4460" s="75"/>
      <c r="V4460" s="75"/>
      <c r="W4460" s="75"/>
      <c r="X4460" s="75"/>
    </row>
    <row r="4461">
      <c r="A4461" s="17"/>
      <c r="B4461" s="17"/>
      <c r="C4461" s="133"/>
      <c r="D4461" s="133"/>
      <c r="E4461" s="17"/>
      <c r="F4461" s="133"/>
      <c r="G4461" s="133"/>
      <c r="H4461" s="133"/>
      <c r="I4461" s="133"/>
      <c r="J4461" s="133"/>
      <c r="K4461" s="133"/>
      <c r="L4461" s="133"/>
      <c r="M4461" s="133"/>
      <c r="N4461" s="133"/>
      <c r="O4461" s="133"/>
      <c r="P4461" s="134"/>
      <c r="Q4461" s="146"/>
      <c r="R4461" s="17"/>
      <c r="S4461" s="17"/>
      <c r="T4461" s="75"/>
      <c r="U4461" s="75"/>
      <c r="V4461" s="75"/>
      <c r="W4461" s="75"/>
      <c r="X4461" s="75"/>
    </row>
    <row r="4462">
      <c r="A4462" s="17"/>
      <c r="B4462" s="17"/>
      <c r="C4462" s="133"/>
      <c r="D4462" s="133"/>
      <c r="E4462" s="17"/>
      <c r="F4462" s="133"/>
      <c r="G4462" s="133"/>
      <c r="H4462" s="133"/>
      <c r="I4462" s="133"/>
      <c r="J4462" s="133"/>
      <c r="K4462" s="133"/>
      <c r="L4462" s="133"/>
      <c r="M4462" s="133"/>
      <c r="N4462" s="133"/>
      <c r="O4462" s="133"/>
      <c r="P4462" s="134"/>
      <c r="Q4462" s="146"/>
      <c r="R4462" s="17"/>
      <c r="S4462" s="17"/>
      <c r="T4462" s="75"/>
      <c r="U4462" s="75"/>
      <c r="V4462" s="75"/>
      <c r="W4462" s="75"/>
      <c r="X4462" s="75"/>
    </row>
    <row r="4463">
      <c r="A4463" s="17"/>
      <c r="B4463" s="17"/>
      <c r="C4463" s="133"/>
      <c r="D4463" s="133"/>
      <c r="E4463" s="17"/>
      <c r="F4463" s="133"/>
      <c r="G4463" s="133"/>
      <c r="H4463" s="133"/>
      <c r="I4463" s="133"/>
      <c r="J4463" s="133"/>
      <c r="K4463" s="133"/>
      <c r="L4463" s="133"/>
      <c r="M4463" s="133"/>
      <c r="N4463" s="133"/>
      <c r="O4463" s="133"/>
      <c r="P4463" s="134"/>
      <c r="Q4463" s="146"/>
      <c r="R4463" s="17"/>
      <c r="S4463" s="17"/>
      <c r="T4463" s="75"/>
      <c r="U4463" s="75"/>
      <c r="V4463" s="75"/>
      <c r="W4463" s="75"/>
      <c r="X4463" s="75"/>
    </row>
    <row r="4464">
      <c r="A4464" s="17"/>
      <c r="B4464" s="17"/>
      <c r="C4464" s="133"/>
      <c r="D4464" s="133"/>
      <c r="E4464" s="17"/>
      <c r="F4464" s="133"/>
      <c r="G4464" s="133"/>
      <c r="H4464" s="133"/>
      <c r="I4464" s="133"/>
      <c r="J4464" s="133"/>
      <c r="K4464" s="133"/>
      <c r="L4464" s="133"/>
      <c r="M4464" s="133"/>
      <c r="N4464" s="133"/>
      <c r="O4464" s="133"/>
      <c r="P4464" s="134"/>
      <c r="Q4464" s="146"/>
      <c r="R4464" s="17"/>
      <c r="S4464" s="17"/>
      <c r="T4464" s="75"/>
      <c r="U4464" s="75"/>
      <c r="V4464" s="75"/>
      <c r="W4464" s="75"/>
      <c r="X4464" s="75"/>
    </row>
    <row r="4465">
      <c r="A4465" s="17"/>
      <c r="B4465" s="17"/>
      <c r="C4465" s="133"/>
      <c r="D4465" s="133"/>
      <c r="E4465" s="17"/>
      <c r="F4465" s="133"/>
      <c r="G4465" s="133"/>
      <c r="H4465" s="133"/>
      <c r="I4465" s="133"/>
      <c r="J4465" s="133"/>
      <c r="K4465" s="133"/>
      <c r="L4465" s="133"/>
      <c r="M4465" s="133"/>
      <c r="N4465" s="133"/>
      <c r="O4465" s="133"/>
      <c r="P4465" s="134"/>
      <c r="Q4465" s="146"/>
      <c r="R4465" s="17"/>
      <c r="S4465" s="17"/>
      <c r="T4465" s="75"/>
      <c r="U4465" s="75"/>
      <c r="V4465" s="75"/>
      <c r="W4465" s="75"/>
      <c r="X4465" s="75"/>
    </row>
    <row r="4466">
      <c r="A4466" s="17"/>
      <c r="B4466" s="17"/>
      <c r="C4466" s="133"/>
      <c r="D4466" s="133"/>
      <c r="E4466" s="17"/>
      <c r="F4466" s="133"/>
      <c r="G4466" s="133"/>
      <c r="H4466" s="133"/>
      <c r="I4466" s="133"/>
      <c r="J4466" s="133"/>
      <c r="K4466" s="133"/>
      <c r="L4466" s="133"/>
      <c r="M4466" s="133"/>
      <c r="N4466" s="133"/>
      <c r="O4466" s="133"/>
      <c r="P4466" s="134"/>
      <c r="Q4466" s="146"/>
      <c r="R4466" s="17"/>
      <c r="S4466" s="17"/>
      <c r="T4466" s="75"/>
      <c r="U4466" s="75"/>
      <c r="V4466" s="75"/>
      <c r="W4466" s="75"/>
      <c r="X4466" s="75"/>
    </row>
    <row r="4467">
      <c r="A4467" s="17"/>
      <c r="B4467" s="17"/>
      <c r="C4467" s="133"/>
      <c r="D4467" s="133"/>
      <c r="E4467" s="17"/>
      <c r="F4467" s="133"/>
      <c r="G4467" s="133"/>
      <c r="H4467" s="133"/>
      <c r="I4467" s="133"/>
      <c r="J4467" s="133"/>
      <c r="K4467" s="133"/>
      <c r="L4467" s="133"/>
      <c r="M4467" s="133"/>
      <c r="N4467" s="133"/>
      <c r="O4467" s="133"/>
      <c r="P4467" s="134"/>
      <c r="Q4467" s="146"/>
      <c r="R4467" s="17"/>
      <c r="S4467" s="17"/>
      <c r="T4467" s="75"/>
      <c r="U4467" s="75"/>
      <c r="V4467" s="75"/>
      <c r="W4467" s="75"/>
      <c r="X4467" s="75"/>
    </row>
    <row r="4468">
      <c r="A4468" s="17"/>
      <c r="B4468" s="17"/>
      <c r="C4468" s="133"/>
      <c r="D4468" s="133"/>
      <c r="E4468" s="17"/>
      <c r="F4468" s="133"/>
      <c r="G4468" s="133"/>
      <c r="H4468" s="133"/>
      <c r="I4468" s="133"/>
      <c r="J4468" s="133"/>
      <c r="K4468" s="133"/>
      <c r="L4468" s="133"/>
      <c r="M4468" s="133"/>
      <c r="N4468" s="133"/>
      <c r="O4468" s="133"/>
      <c r="P4468" s="134"/>
      <c r="Q4468" s="146"/>
      <c r="R4468" s="17"/>
      <c r="S4468" s="17"/>
      <c r="T4468" s="75"/>
      <c r="U4468" s="75"/>
      <c r="V4468" s="75"/>
      <c r="W4468" s="75"/>
      <c r="X4468" s="75"/>
    </row>
    <row r="4469">
      <c r="A4469" s="17"/>
      <c r="B4469" s="17"/>
      <c r="C4469" s="133"/>
      <c r="D4469" s="133"/>
      <c r="E4469" s="17"/>
      <c r="F4469" s="133"/>
      <c r="G4469" s="133"/>
      <c r="H4469" s="133"/>
      <c r="I4469" s="133"/>
      <c r="J4469" s="133"/>
      <c r="K4469" s="133"/>
      <c r="L4469" s="133"/>
      <c r="M4469" s="133"/>
      <c r="N4469" s="133"/>
      <c r="O4469" s="133"/>
      <c r="P4469" s="134"/>
      <c r="Q4469" s="146"/>
      <c r="R4469" s="17"/>
      <c r="S4469" s="17"/>
      <c r="T4469" s="75"/>
      <c r="U4469" s="75"/>
      <c r="V4469" s="75"/>
      <c r="W4469" s="75"/>
      <c r="X4469" s="75"/>
    </row>
    <row r="4470">
      <c r="A4470" s="17"/>
      <c r="B4470" s="17"/>
      <c r="C4470" s="133"/>
      <c r="D4470" s="133"/>
      <c r="E4470" s="17"/>
      <c r="F4470" s="133"/>
      <c r="G4470" s="133"/>
      <c r="H4470" s="133"/>
      <c r="I4470" s="133"/>
      <c r="J4470" s="133"/>
      <c r="K4470" s="133"/>
      <c r="L4470" s="133"/>
      <c r="M4470" s="133"/>
      <c r="N4470" s="133"/>
      <c r="O4470" s="133"/>
      <c r="P4470" s="134"/>
      <c r="Q4470" s="146"/>
      <c r="R4470" s="17"/>
      <c r="S4470" s="17"/>
      <c r="T4470" s="75"/>
      <c r="U4470" s="75"/>
      <c r="V4470" s="75"/>
      <c r="W4470" s="75"/>
      <c r="X4470" s="75"/>
    </row>
    <row r="4471">
      <c r="A4471" s="17"/>
      <c r="B4471" s="17"/>
      <c r="C4471" s="133"/>
      <c r="D4471" s="133"/>
      <c r="E4471" s="17"/>
      <c r="F4471" s="133"/>
      <c r="G4471" s="133"/>
      <c r="H4471" s="133"/>
      <c r="I4471" s="133"/>
      <c r="J4471" s="133"/>
      <c r="K4471" s="133"/>
      <c r="L4471" s="133"/>
      <c r="M4471" s="133"/>
      <c r="N4471" s="133"/>
      <c r="O4471" s="133"/>
      <c r="P4471" s="134"/>
      <c r="Q4471" s="146"/>
      <c r="R4471" s="17"/>
      <c r="S4471" s="17"/>
      <c r="T4471" s="75"/>
      <c r="U4471" s="75"/>
      <c r="V4471" s="75"/>
      <c r="W4471" s="75"/>
      <c r="X4471" s="75"/>
    </row>
    <row r="4472">
      <c r="A4472" s="17"/>
      <c r="B4472" s="17"/>
      <c r="C4472" s="133"/>
      <c r="D4472" s="133"/>
      <c r="E4472" s="17"/>
      <c r="F4472" s="133"/>
      <c r="G4472" s="133"/>
      <c r="H4472" s="133"/>
      <c r="I4472" s="133"/>
      <c r="J4472" s="133"/>
      <c r="K4472" s="133"/>
      <c r="L4472" s="133"/>
      <c r="M4472" s="133"/>
      <c r="N4472" s="133"/>
      <c r="O4472" s="133"/>
      <c r="P4472" s="134"/>
      <c r="Q4472" s="146"/>
      <c r="R4472" s="17"/>
      <c r="S4472" s="17"/>
      <c r="T4472" s="75"/>
      <c r="U4472" s="75"/>
      <c r="V4472" s="75"/>
      <c r="W4472" s="75"/>
      <c r="X4472" s="75"/>
    </row>
    <row r="4473">
      <c r="A4473" s="17"/>
      <c r="B4473" s="17"/>
      <c r="C4473" s="133"/>
      <c r="D4473" s="133"/>
      <c r="E4473" s="17"/>
      <c r="F4473" s="133"/>
      <c r="G4473" s="133"/>
      <c r="H4473" s="133"/>
      <c r="I4473" s="133"/>
      <c r="J4473" s="133"/>
      <c r="K4473" s="133"/>
      <c r="L4473" s="133"/>
      <c r="M4473" s="133"/>
      <c r="N4473" s="133"/>
      <c r="O4473" s="133"/>
      <c r="P4473" s="134"/>
      <c r="Q4473" s="146"/>
      <c r="R4473" s="17"/>
      <c r="S4473" s="17"/>
      <c r="T4473" s="75"/>
      <c r="U4473" s="75"/>
      <c r="V4473" s="75"/>
      <c r="W4473" s="75"/>
      <c r="X4473" s="75"/>
    </row>
    <row r="4474">
      <c r="A4474" s="17"/>
      <c r="B4474" s="17"/>
      <c r="C4474" s="133"/>
      <c r="D4474" s="133"/>
      <c r="E4474" s="17"/>
      <c r="F4474" s="133"/>
      <c r="G4474" s="133"/>
      <c r="H4474" s="133"/>
      <c r="I4474" s="133"/>
      <c r="J4474" s="133"/>
      <c r="K4474" s="133"/>
      <c r="L4474" s="133"/>
      <c r="M4474" s="133"/>
      <c r="N4474" s="133"/>
      <c r="O4474" s="133"/>
      <c r="P4474" s="134"/>
      <c r="Q4474" s="146"/>
      <c r="R4474" s="17"/>
      <c r="S4474" s="17"/>
      <c r="T4474" s="75"/>
      <c r="U4474" s="75"/>
      <c r="V4474" s="75"/>
      <c r="W4474" s="75"/>
      <c r="X4474" s="75"/>
    </row>
    <row r="4475">
      <c r="A4475" s="17"/>
      <c r="B4475" s="17"/>
      <c r="C4475" s="133"/>
      <c r="D4475" s="133"/>
      <c r="E4475" s="17"/>
      <c r="F4475" s="133"/>
      <c r="G4475" s="133"/>
      <c r="H4475" s="133"/>
      <c r="I4475" s="133"/>
      <c r="J4475" s="133"/>
      <c r="K4475" s="133"/>
      <c r="L4475" s="133"/>
      <c r="M4475" s="133"/>
      <c r="N4475" s="133"/>
      <c r="O4475" s="133"/>
      <c r="P4475" s="134"/>
      <c r="Q4475" s="146"/>
      <c r="R4475" s="17"/>
      <c r="S4475" s="17"/>
      <c r="T4475" s="75"/>
      <c r="U4475" s="75"/>
      <c r="V4475" s="75"/>
      <c r="W4475" s="75"/>
      <c r="X4475" s="75"/>
    </row>
    <row r="4476">
      <c r="A4476" s="17"/>
      <c r="B4476" s="17"/>
      <c r="C4476" s="133"/>
      <c r="D4476" s="133"/>
      <c r="E4476" s="17"/>
      <c r="F4476" s="133"/>
      <c r="G4476" s="133"/>
      <c r="H4476" s="133"/>
      <c r="I4476" s="133"/>
      <c r="J4476" s="133"/>
      <c r="K4476" s="133"/>
      <c r="L4476" s="133"/>
      <c r="M4476" s="133"/>
      <c r="N4476" s="133"/>
      <c r="O4476" s="133"/>
      <c r="P4476" s="134"/>
      <c r="Q4476" s="146"/>
      <c r="R4476" s="17"/>
      <c r="S4476" s="17"/>
      <c r="T4476" s="75"/>
      <c r="U4476" s="75"/>
      <c r="V4476" s="75"/>
      <c r="W4476" s="75"/>
      <c r="X4476" s="75"/>
    </row>
    <row r="4477">
      <c r="A4477" s="17"/>
      <c r="B4477" s="17"/>
      <c r="C4477" s="133"/>
      <c r="D4477" s="133"/>
      <c r="E4477" s="17"/>
      <c r="F4477" s="133"/>
      <c r="G4477" s="133"/>
      <c r="H4477" s="133"/>
      <c r="I4477" s="133"/>
      <c r="J4477" s="133"/>
      <c r="K4477" s="133"/>
      <c r="L4477" s="133"/>
      <c r="M4477" s="133"/>
      <c r="N4477" s="133"/>
      <c r="O4477" s="133"/>
      <c r="P4477" s="134"/>
      <c r="Q4477" s="146"/>
      <c r="R4477" s="17"/>
      <c r="S4477" s="17"/>
      <c r="T4477" s="75"/>
      <c r="U4477" s="75"/>
      <c r="V4477" s="75"/>
      <c r="W4477" s="75"/>
      <c r="X4477" s="75"/>
    </row>
    <row r="4478">
      <c r="A4478" s="17"/>
      <c r="B4478" s="17"/>
      <c r="C4478" s="133"/>
      <c r="D4478" s="133"/>
      <c r="E4478" s="17"/>
      <c r="F4478" s="133"/>
      <c r="G4478" s="133"/>
      <c r="H4478" s="133"/>
      <c r="I4478" s="133"/>
      <c r="J4478" s="133"/>
      <c r="K4478" s="133"/>
      <c r="L4478" s="133"/>
      <c r="M4478" s="133"/>
      <c r="N4478" s="133"/>
      <c r="O4478" s="133"/>
      <c r="P4478" s="134"/>
      <c r="Q4478" s="146"/>
      <c r="R4478" s="17"/>
      <c r="S4478" s="17"/>
      <c r="T4478" s="75"/>
      <c r="U4478" s="75"/>
      <c r="V4478" s="75"/>
      <c r="W4478" s="75"/>
      <c r="X4478" s="75"/>
    </row>
    <row r="4479">
      <c r="A4479" s="17"/>
      <c r="B4479" s="17"/>
      <c r="C4479" s="133"/>
      <c r="D4479" s="133"/>
      <c r="E4479" s="17"/>
      <c r="F4479" s="133"/>
      <c r="G4479" s="133"/>
      <c r="H4479" s="133"/>
      <c r="I4479" s="133"/>
      <c r="J4479" s="133"/>
      <c r="K4479" s="133"/>
      <c r="L4479" s="133"/>
      <c r="M4479" s="133"/>
      <c r="N4479" s="133"/>
      <c r="O4479" s="133"/>
      <c r="P4479" s="134"/>
      <c r="Q4479" s="146"/>
      <c r="R4479" s="17"/>
      <c r="S4479" s="17"/>
      <c r="T4479" s="75"/>
      <c r="U4479" s="75"/>
      <c r="V4479" s="75"/>
      <c r="W4479" s="75"/>
      <c r="X4479" s="75"/>
    </row>
    <row r="4480">
      <c r="A4480" s="17"/>
      <c r="B4480" s="17"/>
      <c r="C4480" s="133"/>
      <c r="D4480" s="133"/>
      <c r="E4480" s="17"/>
      <c r="F4480" s="133"/>
      <c r="G4480" s="133"/>
      <c r="H4480" s="133"/>
      <c r="I4480" s="133"/>
      <c r="J4480" s="133"/>
      <c r="K4480" s="133"/>
      <c r="L4480" s="133"/>
      <c r="M4480" s="133"/>
      <c r="N4480" s="133"/>
      <c r="O4480" s="133"/>
      <c r="P4480" s="134"/>
      <c r="Q4480" s="146"/>
      <c r="R4480" s="17"/>
      <c r="S4480" s="17"/>
      <c r="T4480" s="75"/>
      <c r="U4480" s="75"/>
      <c r="V4480" s="75"/>
      <c r="W4480" s="75"/>
      <c r="X4480" s="75"/>
    </row>
    <row r="4481">
      <c r="A4481" s="17"/>
      <c r="B4481" s="17"/>
      <c r="C4481" s="133"/>
      <c r="D4481" s="133"/>
      <c r="E4481" s="17"/>
      <c r="F4481" s="133"/>
      <c r="G4481" s="133"/>
      <c r="H4481" s="133"/>
      <c r="I4481" s="133"/>
      <c r="J4481" s="133"/>
      <c r="K4481" s="133"/>
      <c r="L4481" s="133"/>
      <c r="M4481" s="133"/>
      <c r="N4481" s="133"/>
      <c r="O4481" s="133"/>
      <c r="P4481" s="134"/>
      <c r="Q4481" s="146"/>
      <c r="R4481" s="17"/>
      <c r="S4481" s="17"/>
      <c r="T4481" s="75"/>
      <c r="U4481" s="75"/>
      <c r="V4481" s="75"/>
      <c r="W4481" s="75"/>
      <c r="X4481" s="75"/>
    </row>
    <row r="4482">
      <c r="A4482" s="17"/>
      <c r="B4482" s="17"/>
      <c r="C4482" s="133"/>
      <c r="D4482" s="133"/>
      <c r="E4482" s="17"/>
      <c r="F4482" s="133"/>
      <c r="G4482" s="133"/>
      <c r="H4482" s="133"/>
      <c r="I4482" s="133"/>
      <c r="J4482" s="133"/>
      <c r="K4482" s="133"/>
      <c r="L4482" s="133"/>
      <c r="M4482" s="133"/>
      <c r="N4482" s="133"/>
      <c r="O4482" s="133"/>
      <c r="P4482" s="134"/>
      <c r="Q4482" s="146"/>
      <c r="R4482" s="17"/>
      <c r="S4482" s="17"/>
      <c r="T4482" s="75"/>
      <c r="U4482" s="75"/>
      <c r="V4482" s="75"/>
      <c r="W4482" s="75"/>
      <c r="X4482" s="75"/>
    </row>
    <row r="4483">
      <c r="A4483" s="17"/>
      <c r="B4483" s="17"/>
      <c r="C4483" s="133"/>
      <c r="D4483" s="133"/>
      <c r="E4483" s="17"/>
      <c r="F4483" s="133"/>
      <c r="G4483" s="133"/>
      <c r="H4483" s="133"/>
      <c r="I4483" s="133"/>
      <c r="J4483" s="133"/>
      <c r="K4483" s="133"/>
      <c r="L4483" s="133"/>
      <c r="M4483" s="133"/>
      <c r="N4483" s="133"/>
      <c r="O4483" s="133"/>
      <c r="P4483" s="134"/>
      <c r="Q4483" s="146"/>
      <c r="R4483" s="17"/>
      <c r="S4483" s="17"/>
      <c r="T4483" s="75"/>
      <c r="U4483" s="75"/>
      <c r="V4483" s="75"/>
      <c r="W4483" s="75"/>
      <c r="X4483" s="75"/>
    </row>
    <row r="4484">
      <c r="A4484" s="17"/>
      <c r="B4484" s="17"/>
      <c r="C4484" s="133"/>
      <c r="D4484" s="133"/>
      <c r="E4484" s="17"/>
      <c r="F4484" s="133"/>
      <c r="G4484" s="133"/>
      <c r="H4484" s="133"/>
      <c r="I4484" s="133"/>
      <c r="J4484" s="133"/>
      <c r="K4484" s="133"/>
      <c r="L4484" s="133"/>
      <c r="M4484" s="133"/>
      <c r="N4484" s="133"/>
      <c r="O4484" s="133"/>
      <c r="P4484" s="134"/>
      <c r="Q4484" s="146"/>
      <c r="R4484" s="17"/>
      <c r="S4484" s="17"/>
      <c r="T4484" s="75"/>
      <c r="U4484" s="75"/>
      <c r="V4484" s="75"/>
      <c r="W4484" s="75"/>
      <c r="X4484" s="75"/>
    </row>
    <row r="4485">
      <c r="A4485" s="17"/>
      <c r="B4485" s="17"/>
      <c r="C4485" s="133"/>
      <c r="D4485" s="133"/>
      <c r="E4485" s="17"/>
      <c r="F4485" s="133"/>
      <c r="G4485" s="133"/>
      <c r="H4485" s="133"/>
      <c r="I4485" s="133"/>
      <c r="J4485" s="133"/>
      <c r="K4485" s="133"/>
      <c r="L4485" s="133"/>
      <c r="M4485" s="133"/>
      <c r="N4485" s="133"/>
      <c r="O4485" s="133"/>
      <c r="P4485" s="134"/>
      <c r="Q4485" s="146"/>
      <c r="R4485" s="17"/>
      <c r="S4485" s="17"/>
      <c r="T4485" s="75"/>
      <c r="U4485" s="75"/>
      <c r="V4485" s="75"/>
      <c r="W4485" s="75"/>
      <c r="X4485" s="75"/>
    </row>
    <row r="4486">
      <c r="A4486" s="17"/>
      <c r="B4486" s="17"/>
      <c r="C4486" s="133"/>
      <c r="D4486" s="133"/>
      <c r="E4486" s="17"/>
      <c r="F4486" s="133"/>
      <c r="G4486" s="133"/>
      <c r="H4486" s="133"/>
      <c r="I4486" s="133"/>
      <c r="J4486" s="133"/>
      <c r="K4486" s="133"/>
      <c r="L4486" s="133"/>
      <c r="M4486" s="133"/>
      <c r="N4486" s="133"/>
      <c r="O4486" s="133"/>
      <c r="P4486" s="134"/>
      <c r="Q4486" s="146"/>
      <c r="R4486" s="17"/>
      <c r="S4486" s="17"/>
      <c r="T4486" s="75"/>
      <c r="U4486" s="75"/>
      <c r="V4486" s="75"/>
      <c r="W4486" s="75"/>
      <c r="X4486" s="75"/>
    </row>
    <row r="4487">
      <c r="A4487" s="17"/>
      <c r="B4487" s="17"/>
      <c r="C4487" s="133"/>
      <c r="D4487" s="133"/>
      <c r="E4487" s="17"/>
      <c r="F4487" s="133"/>
      <c r="G4487" s="133"/>
      <c r="H4487" s="133"/>
      <c r="I4487" s="133"/>
      <c r="J4487" s="133"/>
      <c r="K4487" s="133"/>
      <c r="L4487" s="133"/>
      <c r="M4487" s="133"/>
      <c r="N4487" s="133"/>
      <c r="O4487" s="133"/>
      <c r="P4487" s="134"/>
      <c r="Q4487" s="146"/>
      <c r="R4487" s="17"/>
      <c r="S4487" s="17"/>
      <c r="T4487" s="75"/>
      <c r="U4487" s="75"/>
      <c r="V4487" s="75"/>
      <c r="W4487" s="75"/>
      <c r="X4487" s="75"/>
    </row>
    <row r="4488">
      <c r="A4488" s="17"/>
      <c r="B4488" s="17"/>
      <c r="C4488" s="133"/>
      <c r="D4488" s="133"/>
      <c r="E4488" s="17"/>
      <c r="F4488" s="133"/>
      <c r="G4488" s="133"/>
      <c r="H4488" s="133"/>
      <c r="I4488" s="133"/>
      <c r="J4488" s="133"/>
      <c r="K4488" s="133"/>
      <c r="L4488" s="133"/>
      <c r="M4488" s="133"/>
      <c r="N4488" s="133"/>
      <c r="O4488" s="133"/>
      <c r="P4488" s="134"/>
      <c r="Q4488" s="146"/>
      <c r="R4488" s="17"/>
      <c r="S4488" s="17"/>
      <c r="T4488" s="75"/>
      <c r="U4488" s="75"/>
      <c r="V4488" s="75"/>
      <c r="W4488" s="75"/>
      <c r="X4488" s="75"/>
    </row>
    <row r="4489">
      <c r="A4489" s="17"/>
      <c r="B4489" s="17"/>
      <c r="C4489" s="133"/>
      <c r="D4489" s="133"/>
      <c r="E4489" s="17"/>
      <c r="F4489" s="133"/>
      <c r="G4489" s="133"/>
      <c r="H4489" s="133"/>
      <c r="I4489" s="133"/>
      <c r="J4489" s="133"/>
      <c r="K4489" s="133"/>
      <c r="L4489" s="133"/>
      <c r="M4489" s="133"/>
      <c r="N4489" s="133"/>
      <c r="O4489" s="133"/>
      <c r="P4489" s="134"/>
      <c r="Q4489" s="146"/>
      <c r="R4489" s="17"/>
      <c r="S4489" s="17"/>
      <c r="T4489" s="75"/>
      <c r="U4489" s="75"/>
      <c r="V4489" s="75"/>
      <c r="W4489" s="75"/>
      <c r="X4489" s="75"/>
    </row>
    <row r="4490">
      <c r="A4490" s="17"/>
      <c r="B4490" s="17"/>
      <c r="C4490" s="133"/>
      <c r="D4490" s="133"/>
      <c r="E4490" s="17"/>
      <c r="F4490" s="133"/>
      <c r="G4490" s="133"/>
      <c r="H4490" s="133"/>
      <c r="I4490" s="133"/>
      <c r="J4490" s="133"/>
      <c r="K4490" s="133"/>
      <c r="L4490" s="133"/>
      <c r="M4490" s="133"/>
      <c r="N4490" s="133"/>
      <c r="O4490" s="133"/>
      <c r="P4490" s="134"/>
      <c r="Q4490" s="146"/>
      <c r="R4490" s="17"/>
      <c r="S4490" s="17"/>
      <c r="T4490" s="75"/>
      <c r="U4490" s="75"/>
      <c r="V4490" s="75"/>
      <c r="W4490" s="75"/>
      <c r="X4490" s="75"/>
    </row>
    <row r="4491">
      <c r="A4491" s="17"/>
      <c r="B4491" s="17"/>
      <c r="C4491" s="133"/>
      <c r="D4491" s="133"/>
      <c r="E4491" s="17"/>
      <c r="F4491" s="133"/>
      <c r="G4491" s="133"/>
      <c r="H4491" s="133"/>
      <c r="I4491" s="133"/>
      <c r="J4491" s="133"/>
      <c r="K4491" s="133"/>
      <c r="L4491" s="133"/>
      <c r="M4491" s="133"/>
      <c r="N4491" s="133"/>
      <c r="O4491" s="133"/>
      <c r="P4491" s="134"/>
      <c r="Q4491" s="146"/>
      <c r="R4491" s="17"/>
      <c r="S4491" s="17"/>
      <c r="T4491" s="75"/>
      <c r="U4491" s="75"/>
      <c r="V4491" s="75"/>
      <c r="W4491" s="75"/>
      <c r="X4491" s="75"/>
    </row>
    <row r="4492">
      <c r="A4492" s="17"/>
      <c r="B4492" s="17"/>
      <c r="C4492" s="133"/>
      <c r="D4492" s="133"/>
      <c r="E4492" s="17"/>
      <c r="F4492" s="133"/>
      <c r="G4492" s="133"/>
      <c r="H4492" s="133"/>
      <c r="I4492" s="133"/>
      <c r="J4492" s="133"/>
      <c r="K4492" s="133"/>
      <c r="L4492" s="133"/>
      <c r="M4492" s="133"/>
      <c r="N4492" s="133"/>
      <c r="O4492" s="133"/>
      <c r="P4492" s="134"/>
      <c r="Q4492" s="146"/>
      <c r="R4492" s="17"/>
      <c r="S4492" s="17"/>
      <c r="T4492" s="75"/>
      <c r="U4492" s="75"/>
      <c r="V4492" s="75"/>
      <c r="W4492" s="75"/>
      <c r="X4492" s="75"/>
    </row>
    <row r="4493">
      <c r="A4493" s="17"/>
      <c r="B4493" s="17"/>
      <c r="C4493" s="133"/>
      <c r="D4493" s="133"/>
      <c r="E4493" s="17"/>
      <c r="F4493" s="133"/>
      <c r="G4493" s="133"/>
      <c r="H4493" s="133"/>
      <c r="I4493" s="133"/>
      <c r="J4493" s="133"/>
      <c r="K4493" s="133"/>
      <c r="L4493" s="133"/>
      <c r="M4493" s="133"/>
      <c r="N4493" s="133"/>
      <c r="O4493" s="133"/>
      <c r="P4493" s="134"/>
      <c r="Q4493" s="146"/>
      <c r="R4493" s="17"/>
      <c r="S4493" s="17"/>
      <c r="T4493" s="75"/>
      <c r="U4493" s="75"/>
      <c r="V4493" s="75"/>
      <c r="W4493" s="75"/>
      <c r="X4493" s="75"/>
    </row>
    <row r="4494">
      <c r="A4494" s="17"/>
      <c r="B4494" s="17"/>
      <c r="C4494" s="133"/>
      <c r="D4494" s="133"/>
      <c r="E4494" s="17"/>
      <c r="F4494" s="133"/>
      <c r="G4494" s="133"/>
      <c r="H4494" s="133"/>
      <c r="I4494" s="133"/>
      <c r="J4494" s="133"/>
      <c r="K4494" s="133"/>
      <c r="L4494" s="133"/>
      <c r="M4494" s="133"/>
      <c r="N4494" s="133"/>
      <c r="O4494" s="133"/>
      <c r="P4494" s="134"/>
      <c r="Q4494" s="146"/>
      <c r="R4494" s="17"/>
      <c r="S4494" s="17"/>
      <c r="T4494" s="75"/>
      <c r="U4494" s="75"/>
      <c r="V4494" s="75"/>
      <c r="W4494" s="75"/>
      <c r="X4494" s="75"/>
    </row>
    <row r="4495">
      <c r="A4495" s="17"/>
      <c r="B4495" s="17"/>
      <c r="C4495" s="133"/>
      <c r="D4495" s="133"/>
      <c r="E4495" s="17"/>
      <c r="F4495" s="133"/>
      <c r="G4495" s="133"/>
      <c r="H4495" s="133"/>
      <c r="I4495" s="133"/>
      <c r="J4495" s="133"/>
      <c r="K4495" s="133"/>
      <c r="L4495" s="133"/>
      <c r="M4495" s="133"/>
      <c r="N4495" s="133"/>
      <c r="O4495" s="133"/>
      <c r="P4495" s="134"/>
      <c r="Q4495" s="146"/>
      <c r="R4495" s="17"/>
      <c r="S4495" s="17"/>
      <c r="T4495" s="75"/>
      <c r="U4495" s="75"/>
      <c r="V4495" s="75"/>
      <c r="W4495" s="75"/>
      <c r="X4495" s="75"/>
    </row>
    <row r="4496">
      <c r="A4496" s="17"/>
      <c r="B4496" s="17"/>
      <c r="C4496" s="133"/>
      <c r="D4496" s="133"/>
      <c r="E4496" s="17"/>
      <c r="F4496" s="133"/>
      <c r="G4496" s="133"/>
      <c r="H4496" s="133"/>
      <c r="I4496" s="133"/>
      <c r="J4496" s="133"/>
      <c r="K4496" s="133"/>
      <c r="L4496" s="133"/>
      <c r="M4496" s="133"/>
      <c r="N4496" s="133"/>
      <c r="O4496" s="133"/>
      <c r="P4496" s="134"/>
      <c r="Q4496" s="146"/>
      <c r="R4496" s="17"/>
      <c r="S4496" s="17"/>
      <c r="T4496" s="75"/>
      <c r="U4496" s="75"/>
      <c r="V4496" s="75"/>
      <c r="W4496" s="75"/>
      <c r="X4496" s="75"/>
    </row>
    <row r="4497">
      <c r="A4497" s="17"/>
      <c r="B4497" s="17"/>
      <c r="C4497" s="133"/>
      <c r="D4497" s="133"/>
      <c r="E4497" s="17"/>
      <c r="F4497" s="133"/>
      <c r="G4497" s="133"/>
      <c r="H4497" s="133"/>
      <c r="I4497" s="133"/>
      <c r="J4497" s="133"/>
      <c r="K4497" s="133"/>
      <c r="L4497" s="133"/>
      <c r="M4497" s="133"/>
      <c r="N4497" s="133"/>
      <c r="O4497" s="133"/>
      <c r="P4497" s="134"/>
      <c r="Q4497" s="146"/>
      <c r="R4497" s="17"/>
      <c r="S4497" s="17"/>
      <c r="T4497" s="75"/>
      <c r="U4497" s="75"/>
      <c r="V4497" s="75"/>
      <c r="W4497" s="75"/>
      <c r="X4497" s="75"/>
    </row>
    <row r="4498">
      <c r="A4498" s="17"/>
      <c r="B4498" s="17"/>
      <c r="C4498" s="133"/>
      <c r="D4498" s="133"/>
      <c r="E4498" s="17"/>
      <c r="F4498" s="133"/>
      <c r="G4498" s="133"/>
      <c r="H4498" s="133"/>
      <c r="I4498" s="133"/>
      <c r="J4498" s="133"/>
      <c r="K4498" s="133"/>
      <c r="L4498" s="133"/>
      <c r="M4498" s="133"/>
      <c r="N4498" s="133"/>
      <c r="O4498" s="133"/>
      <c r="P4498" s="134"/>
      <c r="Q4498" s="146"/>
      <c r="R4498" s="17"/>
      <c r="S4498" s="17"/>
      <c r="T4498" s="75"/>
      <c r="U4498" s="75"/>
      <c r="V4498" s="75"/>
      <c r="W4498" s="75"/>
      <c r="X4498" s="75"/>
    </row>
    <row r="4499">
      <c r="A4499" s="17"/>
      <c r="B4499" s="17"/>
      <c r="C4499" s="133"/>
      <c r="D4499" s="133"/>
      <c r="E4499" s="17"/>
      <c r="F4499" s="133"/>
      <c r="G4499" s="133"/>
      <c r="H4499" s="133"/>
      <c r="I4499" s="133"/>
      <c r="J4499" s="133"/>
      <c r="K4499" s="133"/>
      <c r="L4499" s="133"/>
      <c r="M4499" s="133"/>
      <c r="N4499" s="133"/>
      <c r="O4499" s="133"/>
      <c r="P4499" s="134"/>
      <c r="Q4499" s="146"/>
      <c r="R4499" s="17"/>
      <c r="S4499" s="17"/>
      <c r="T4499" s="75"/>
      <c r="U4499" s="75"/>
      <c r="V4499" s="75"/>
      <c r="W4499" s="75"/>
      <c r="X4499" s="75"/>
    </row>
    <row r="4500">
      <c r="A4500" s="17"/>
      <c r="B4500" s="17"/>
      <c r="C4500" s="133"/>
      <c r="D4500" s="133"/>
      <c r="E4500" s="17"/>
      <c r="F4500" s="133"/>
      <c r="G4500" s="133"/>
      <c r="H4500" s="133"/>
      <c r="I4500" s="133"/>
      <c r="J4500" s="133"/>
      <c r="K4500" s="133"/>
      <c r="L4500" s="133"/>
      <c r="M4500" s="133"/>
      <c r="N4500" s="133"/>
      <c r="O4500" s="133"/>
      <c r="P4500" s="134"/>
      <c r="Q4500" s="146"/>
      <c r="R4500" s="17"/>
      <c r="S4500" s="17"/>
      <c r="T4500" s="75"/>
      <c r="U4500" s="75"/>
      <c r="V4500" s="75"/>
      <c r="W4500" s="75"/>
      <c r="X4500" s="75"/>
    </row>
    <row r="4501">
      <c r="A4501" s="17"/>
      <c r="B4501" s="17"/>
      <c r="C4501" s="133"/>
      <c r="D4501" s="133"/>
      <c r="E4501" s="17"/>
      <c r="F4501" s="133"/>
      <c r="G4501" s="133"/>
      <c r="H4501" s="133"/>
      <c r="I4501" s="133"/>
      <c r="J4501" s="133"/>
      <c r="K4501" s="133"/>
      <c r="L4501" s="133"/>
      <c r="M4501" s="133"/>
      <c r="N4501" s="133"/>
      <c r="O4501" s="133"/>
      <c r="P4501" s="134"/>
      <c r="Q4501" s="146"/>
      <c r="R4501" s="17"/>
      <c r="S4501" s="17"/>
      <c r="T4501" s="75"/>
      <c r="U4501" s="75"/>
      <c r="V4501" s="75"/>
      <c r="W4501" s="75"/>
      <c r="X4501" s="75"/>
    </row>
    <row r="4502">
      <c r="A4502" s="17"/>
      <c r="B4502" s="17"/>
      <c r="C4502" s="133"/>
      <c r="D4502" s="133"/>
      <c r="E4502" s="17"/>
      <c r="F4502" s="133"/>
      <c r="G4502" s="133"/>
      <c r="H4502" s="133"/>
      <c r="I4502" s="133"/>
      <c r="J4502" s="133"/>
      <c r="K4502" s="133"/>
      <c r="L4502" s="133"/>
      <c r="M4502" s="133"/>
      <c r="N4502" s="133"/>
      <c r="O4502" s="133"/>
      <c r="P4502" s="134"/>
      <c r="Q4502" s="146"/>
      <c r="R4502" s="17"/>
      <c r="S4502" s="17"/>
      <c r="T4502" s="75"/>
      <c r="U4502" s="75"/>
      <c r="V4502" s="75"/>
      <c r="W4502" s="75"/>
      <c r="X4502" s="75"/>
    </row>
    <row r="4503">
      <c r="A4503" s="17"/>
      <c r="B4503" s="17"/>
      <c r="C4503" s="133"/>
      <c r="D4503" s="133"/>
      <c r="E4503" s="17"/>
      <c r="F4503" s="133"/>
      <c r="G4503" s="133"/>
      <c r="H4503" s="133"/>
      <c r="I4503" s="133"/>
      <c r="J4503" s="133"/>
      <c r="K4503" s="133"/>
      <c r="L4503" s="133"/>
      <c r="M4503" s="133"/>
      <c r="N4503" s="133"/>
      <c r="O4503" s="133"/>
      <c r="P4503" s="134"/>
      <c r="Q4503" s="146"/>
      <c r="R4503" s="17"/>
      <c r="S4503" s="17"/>
      <c r="T4503" s="75"/>
      <c r="U4503" s="75"/>
      <c r="V4503" s="75"/>
      <c r="W4503" s="75"/>
      <c r="X4503" s="75"/>
    </row>
    <row r="4504">
      <c r="A4504" s="17"/>
      <c r="B4504" s="17"/>
      <c r="C4504" s="133"/>
      <c r="D4504" s="133"/>
      <c r="E4504" s="17"/>
      <c r="F4504" s="133"/>
      <c r="G4504" s="133"/>
      <c r="H4504" s="133"/>
      <c r="I4504" s="133"/>
      <c r="J4504" s="133"/>
      <c r="K4504" s="133"/>
      <c r="L4504" s="133"/>
      <c r="M4504" s="133"/>
      <c r="N4504" s="133"/>
      <c r="O4504" s="133"/>
      <c r="P4504" s="134"/>
      <c r="Q4504" s="146"/>
      <c r="R4504" s="17"/>
      <c r="S4504" s="17"/>
      <c r="T4504" s="75"/>
      <c r="U4504" s="75"/>
      <c r="V4504" s="75"/>
      <c r="W4504" s="75"/>
      <c r="X4504" s="75"/>
    </row>
    <row r="4505">
      <c r="A4505" s="17"/>
      <c r="B4505" s="17"/>
      <c r="C4505" s="133"/>
      <c r="D4505" s="133"/>
      <c r="E4505" s="17"/>
      <c r="F4505" s="133"/>
      <c r="G4505" s="133"/>
      <c r="H4505" s="133"/>
      <c r="I4505" s="133"/>
      <c r="J4505" s="133"/>
      <c r="K4505" s="133"/>
      <c r="L4505" s="133"/>
      <c r="M4505" s="133"/>
      <c r="N4505" s="133"/>
      <c r="O4505" s="133"/>
      <c r="P4505" s="134"/>
      <c r="Q4505" s="146"/>
      <c r="R4505" s="17"/>
      <c r="S4505" s="17"/>
      <c r="T4505" s="75"/>
      <c r="U4505" s="75"/>
      <c r="V4505" s="75"/>
      <c r="W4505" s="75"/>
      <c r="X4505" s="75"/>
    </row>
    <row r="4506">
      <c r="A4506" s="17"/>
      <c r="B4506" s="17"/>
      <c r="C4506" s="133"/>
      <c r="D4506" s="133"/>
      <c r="E4506" s="17"/>
      <c r="F4506" s="133"/>
      <c r="G4506" s="133"/>
      <c r="H4506" s="133"/>
      <c r="I4506" s="133"/>
      <c r="J4506" s="133"/>
      <c r="K4506" s="133"/>
      <c r="L4506" s="133"/>
      <c r="M4506" s="133"/>
      <c r="N4506" s="133"/>
      <c r="O4506" s="133"/>
      <c r="P4506" s="134"/>
      <c r="Q4506" s="146"/>
      <c r="R4506" s="17"/>
      <c r="S4506" s="17"/>
      <c r="T4506" s="75"/>
      <c r="U4506" s="75"/>
      <c r="V4506" s="75"/>
      <c r="W4506" s="75"/>
      <c r="X4506" s="75"/>
    </row>
    <row r="4507">
      <c r="A4507" s="17"/>
      <c r="B4507" s="17"/>
      <c r="C4507" s="133"/>
      <c r="D4507" s="133"/>
      <c r="E4507" s="17"/>
      <c r="F4507" s="133"/>
      <c r="G4507" s="133"/>
      <c r="H4507" s="133"/>
      <c r="I4507" s="133"/>
      <c r="J4507" s="133"/>
      <c r="K4507" s="133"/>
      <c r="L4507" s="133"/>
      <c r="M4507" s="133"/>
      <c r="N4507" s="133"/>
      <c r="O4507" s="133"/>
      <c r="P4507" s="134"/>
      <c r="Q4507" s="146"/>
      <c r="R4507" s="17"/>
      <c r="S4507" s="17"/>
      <c r="T4507" s="75"/>
      <c r="U4507" s="75"/>
      <c r="V4507" s="75"/>
      <c r="W4507" s="75"/>
      <c r="X4507" s="75"/>
    </row>
    <row r="4508">
      <c r="A4508" s="17"/>
      <c r="B4508" s="17"/>
      <c r="C4508" s="133"/>
      <c r="D4508" s="133"/>
      <c r="E4508" s="17"/>
      <c r="F4508" s="133"/>
      <c r="G4508" s="133"/>
      <c r="H4508" s="133"/>
      <c r="I4508" s="133"/>
      <c r="J4508" s="133"/>
      <c r="K4508" s="133"/>
      <c r="L4508" s="133"/>
      <c r="M4508" s="133"/>
      <c r="N4508" s="133"/>
      <c r="O4508" s="133"/>
      <c r="P4508" s="134"/>
      <c r="Q4508" s="146"/>
      <c r="R4508" s="17"/>
      <c r="S4508" s="17"/>
      <c r="T4508" s="75"/>
      <c r="U4508" s="75"/>
      <c r="V4508" s="75"/>
      <c r="W4508" s="75"/>
      <c r="X4508" s="75"/>
    </row>
    <row r="4509">
      <c r="A4509" s="17"/>
      <c r="B4509" s="17"/>
      <c r="C4509" s="133"/>
      <c r="D4509" s="133"/>
      <c r="E4509" s="17"/>
      <c r="F4509" s="133"/>
      <c r="G4509" s="133"/>
      <c r="H4509" s="133"/>
      <c r="I4509" s="133"/>
      <c r="J4509" s="133"/>
      <c r="K4509" s="133"/>
      <c r="L4509" s="133"/>
      <c r="M4509" s="133"/>
      <c r="N4509" s="133"/>
      <c r="O4509" s="133"/>
      <c r="P4509" s="134"/>
      <c r="Q4509" s="146"/>
      <c r="R4509" s="17"/>
      <c r="S4509" s="17"/>
      <c r="T4509" s="75"/>
      <c r="U4509" s="75"/>
      <c r="V4509" s="75"/>
      <c r="W4509" s="75"/>
      <c r="X4509" s="75"/>
    </row>
    <row r="4510">
      <c r="A4510" s="17"/>
      <c r="B4510" s="17"/>
      <c r="C4510" s="133"/>
      <c r="D4510" s="133"/>
      <c r="E4510" s="17"/>
      <c r="F4510" s="133"/>
      <c r="G4510" s="133"/>
      <c r="H4510" s="133"/>
      <c r="I4510" s="133"/>
      <c r="J4510" s="133"/>
      <c r="K4510" s="133"/>
      <c r="L4510" s="133"/>
      <c r="M4510" s="133"/>
      <c r="N4510" s="133"/>
      <c r="O4510" s="133"/>
      <c r="P4510" s="134"/>
      <c r="Q4510" s="146"/>
      <c r="R4510" s="17"/>
      <c r="S4510" s="17"/>
      <c r="T4510" s="75"/>
      <c r="U4510" s="75"/>
      <c r="V4510" s="75"/>
      <c r="W4510" s="75"/>
      <c r="X4510" s="75"/>
    </row>
    <row r="4511">
      <c r="A4511" s="17"/>
      <c r="B4511" s="17"/>
      <c r="C4511" s="133"/>
      <c r="D4511" s="133"/>
      <c r="E4511" s="17"/>
      <c r="F4511" s="133"/>
      <c r="G4511" s="133"/>
      <c r="H4511" s="133"/>
      <c r="I4511" s="133"/>
      <c r="J4511" s="133"/>
      <c r="K4511" s="133"/>
      <c r="L4511" s="133"/>
      <c r="M4511" s="133"/>
      <c r="N4511" s="133"/>
      <c r="O4511" s="133"/>
      <c r="P4511" s="134"/>
      <c r="Q4511" s="146"/>
      <c r="R4511" s="17"/>
      <c r="S4511" s="17"/>
      <c r="T4511" s="75"/>
      <c r="U4511" s="75"/>
      <c r="V4511" s="75"/>
      <c r="W4511" s="75"/>
      <c r="X4511" s="75"/>
    </row>
    <row r="4512">
      <c r="A4512" s="17"/>
      <c r="B4512" s="17"/>
      <c r="C4512" s="133"/>
      <c r="D4512" s="133"/>
      <c r="E4512" s="17"/>
      <c r="F4512" s="133"/>
      <c r="G4512" s="133"/>
      <c r="H4512" s="133"/>
      <c r="I4512" s="133"/>
      <c r="J4512" s="133"/>
      <c r="K4512" s="133"/>
      <c r="L4512" s="133"/>
      <c r="M4512" s="133"/>
      <c r="N4512" s="133"/>
      <c r="O4512" s="133"/>
      <c r="P4512" s="134"/>
      <c r="Q4512" s="146"/>
      <c r="R4512" s="17"/>
      <c r="S4512" s="17"/>
      <c r="T4512" s="75"/>
      <c r="U4512" s="75"/>
      <c r="V4512" s="75"/>
      <c r="W4512" s="75"/>
      <c r="X4512" s="75"/>
    </row>
    <row r="4513">
      <c r="A4513" s="17"/>
      <c r="B4513" s="17"/>
      <c r="C4513" s="133"/>
      <c r="D4513" s="133"/>
      <c r="E4513" s="17"/>
      <c r="F4513" s="133"/>
      <c r="G4513" s="133"/>
      <c r="H4513" s="133"/>
      <c r="I4513" s="133"/>
      <c r="J4513" s="133"/>
      <c r="K4513" s="133"/>
      <c r="L4513" s="133"/>
      <c r="M4513" s="133"/>
      <c r="N4513" s="133"/>
      <c r="O4513" s="133"/>
      <c r="P4513" s="134"/>
      <c r="Q4513" s="146"/>
      <c r="R4513" s="17"/>
      <c r="S4513" s="17"/>
      <c r="T4513" s="75"/>
      <c r="U4513" s="75"/>
      <c r="V4513" s="75"/>
      <c r="W4513" s="75"/>
      <c r="X4513" s="75"/>
    </row>
    <row r="4514">
      <c r="A4514" s="17"/>
      <c r="B4514" s="17"/>
      <c r="C4514" s="133"/>
      <c r="D4514" s="133"/>
      <c r="E4514" s="17"/>
      <c r="F4514" s="133"/>
      <c r="G4514" s="133"/>
      <c r="H4514" s="133"/>
      <c r="I4514" s="133"/>
      <c r="J4514" s="133"/>
      <c r="K4514" s="133"/>
      <c r="L4514" s="133"/>
      <c r="M4514" s="133"/>
      <c r="N4514" s="133"/>
      <c r="O4514" s="133"/>
      <c r="P4514" s="134"/>
      <c r="Q4514" s="146"/>
      <c r="R4514" s="17"/>
      <c r="S4514" s="17"/>
      <c r="T4514" s="75"/>
      <c r="U4514" s="75"/>
      <c r="V4514" s="75"/>
      <c r="W4514" s="75"/>
      <c r="X4514" s="75"/>
    </row>
    <row r="4515">
      <c r="A4515" s="17"/>
      <c r="B4515" s="17"/>
      <c r="C4515" s="133"/>
      <c r="D4515" s="133"/>
      <c r="E4515" s="17"/>
      <c r="F4515" s="133"/>
      <c r="G4515" s="133"/>
      <c r="H4515" s="133"/>
      <c r="I4515" s="133"/>
      <c r="J4515" s="133"/>
      <c r="K4515" s="133"/>
      <c r="L4515" s="133"/>
      <c r="M4515" s="133"/>
      <c r="N4515" s="133"/>
      <c r="O4515" s="133"/>
      <c r="P4515" s="134"/>
      <c r="Q4515" s="146"/>
      <c r="R4515" s="17"/>
      <c r="S4515" s="17"/>
      <c r="T4515" s="75"/>
      <c r="U4515" s="75"/>
      <c r="V4515" s="75"/>
      <c r="W4515" s="75"/>
      <c r="X4515" s="75"/>
    </row>
    <row r="4516">
      <c r="A4516" s="17"/>
      <c r="B4516" s="17"/>
      <c r="C4516" s="133"/>
      <c r="D4516" s="133"/>
      <c r="E4516" s="17"/>
      <c r="F4516" s="133"/>
      <c r="G4516" s="133"/>
      <c r="H4516" s="133"/>
      <c r="I4516" s="133"/>
      <c r="J4516" s="133"/>
      <c r="K4516" s="133"/>
      <c r="L4516" s="133"/>
      <c r="M4516" s="133"/>
      <c r="N4516" s="133"/>
      <c r="O4516" s="133"/>
      <c r="P4516" s="134"/>
      <c r="Q4516" s="146"/>
      <c r="R4516" s="17"/>
      <c r="S4516" s="17"/>
      <c r="T4516" s="75"/>
      <c r="U4516" s="75"/>
      <c r="V4516" s="75"/>
      <c r="W4516" s="75"/>
      <c r="X4516" s="75"/>
    </row>
    <row r="4517">
      <c r="A4517" s="17"/>
      <c r="B4517" s="17"/>
      <c r="C4517" s="133"/>
      <c r="D4517" s="133"/>
      <c r="E4517" s="17"/>
      <c r="F4517" s="133"/>
      <c r="G4517" s="133"/>
      <c r="H4517" s="133"/>
      <c r="I4517" s="133"/>
      <c r="J4517" s="133"/>
      <c r="K4517" s="133"/>
      <c r="L4517" s="133"/>
      <c r="M4517" s="133"/>
      <c r="N4517" s="133"/>
      <c r="O4517" s="133"/>
      <c r="P4517" s="134"/>
      <c r="Q4517" s="146"/>
      <c r="R4517" s="17"/>
      <c r="S4517" s="17"/>
      <c r="T4517" s="75"/>
      <c r="U4517" s="75"/>
      <c r="V4517" s="75"/>
      <c r="W4517" s="75"/>
      <c r="X4517" s="75"/>
    </row>
    <row r="4518">
      <c r="A4518" s="17"/>
      <c r="B4518" s="17"/>
      <c r="C4518" s="133"/>
      <c r="D4518" s="133"/>
      <c r="E4518" s="17"/>
      <c r="F4518" s="133"/>
      <c r="G4518" s="133"/>
      <c r="H4518" s="133"/>
      <c r="I4518" s="133"/>
      <c r="J4518" s="133"/>
      <c r="K4518" s="133"/>
      <c r="L4518" s="133"/>
      <c r="M4518" s="133"/>
      <c r="N4518" s="133"/>
      <c r="O4518" s="133"/>
      <c r="P4518" s="134"/>
      <c r="Q4518" s="146"/>
      <c r="R4518" s="17"/>
      <c r="S4518" s="17"/>
      <c r="T4518" s="75"/>
      <c r="U4518" s="75"/>
      <c r="V4518" s="75"/>
      <c r="W4518" s="75"/>
      <c r="X4518" s="75"/>
    </row>
    <row r="4519">
      <c r="A4519" s="17"/>
      <c r="B4519" s="17"/>
      <c r="C4519" s="133"/>
      <c r="D4519" s="133"/>
      <c r="E4519" s="17"/>
      <c r="F4519" s="133"/>
      <c r="G4519" s="133"/>
      <c r="H4519" s="133"/>
      <c r="I4519" s="133"/>
      <c r="J4519" s="133"/>
      <c r="K4519" s="133"/>
      <c r="L4519" s="133"/>
      <c r="M4519" s="133"/>
      <c r="N4519" s="133"/>
      <c r="O4519" s="133"/>
      <c r="P4519" s="134"/>
      <c r="Q4519" s="146"/>
      <c r="R4519" s="17"/>
      <c r="S4519" s="17"/>
      <c r="T4519" s="75"/>
      <c r="U4519" s="75"/>
      <c r="V4519" s="75"/>
      <c r="W4519" s="75"/>
      <c r="X4519" s="75"/>
    </row>
    <row r="4520">
      <c r="A4520" s="17"/>
      <c r="B4520" s="17"/>
      <c r="C4520" s="133"/>
      <c r="D4520" s="133"/>
      <c r="E4520" s="17"/>
      <c r="F4520" s="133"/>
      <c r="G4520" s="133"/>
      <c r="H4520" s="133"/>
      <c r="I4520" s="133"/>
      <c r="J4520" s="133"/>
      <c r="K4520" s="133"/>
      <c r="L4520" s="133"/>
      <c r="M4520" s="133"/>
      <c r="N4520" s="133"/>
      <c r="O4520" s="133"/>
      <c r="P4520" s="134"/>
      <c r="Q4520" s="146"/>
      <c r="R4520" s="17"/>
      <c r="S4520" s="17"/>
      <c r="T4520" s="75"/>
      <c r="U4520" s="75"/>
      <c r="V4520" s="75"/>
      <c r="W4520" s="75"/>
      <c r="X4520" s="75"/>
    </row>
    <row r="4521">
      <c r="A4521" s="17"/>
      <c r="B4521" s="17"/>
      <c r="C4521" s="133"/>
      <c r="D4521" s="133"/>
      <c r="E4521" s="17"/>
      <c r="F4521" s="133"/>
      <c r="G4521" s="133"/>
      <c r="H4521" s="133"/>
      <c r="I4521" s="133"/>
      <c r="J4521" s="133"/>
      <c r="K4521" s="133"/>
      <c r="L4521" s="133"/>
      <c r="M4521" s="133"/>
      <c r="N4521" s="133"/>
      <c r="O4521" s="133"/>
      <c r="P4521" s="134"/>
      <c r="Q4521" s="146"/>
      <c r="R4521" s="17"/>
      <c r="S4521" s="17"/>
      <c r="T4521" s="75"/>
      <c r="U4521" s="75"/>
      <c r="V4521" s="75"/>
      <c r="W4521" s="75"/>
      <c r="X4521" s="75"/>
    </row>
    <row r="4522">
      <c r="A4522" s="17"/>
      <c r="B4522" s="17"/>
      <c r="C4522" s="133"/>
      <c r="D4522" s="133"/>
      <c r="E4522" s="17"/>
      <c r="F4522" s="133"/>
      <c r="G4522" s="133"/>
      <c r="H4522" s="133"/>
      <c r="I4522" s="133"/>
      <c r="J4522" s="133"/>
      <c r="K4522" s="133"/>
      <c r="L4522" s="133"/>
      <c r="M4522" s="133"/>
      <c r="N4522" s="133"/>
      <c r="O4522" s="133"/>
      <c r="P4522" s="134"/>
      <c r="Q4522" s="146"/>
      <c r="R4522" s="17"/>
      <c r="S4522" s="17"/>
      <c r="T4522" s="75"/>
      <c r="U4522" s="75"/>
      <c r="V4522" s="75"/>
      <c r="W4522" s="75"/>
      <c r="X4522" s="75"/>
    </row>
    <row r="4523">
      <c r="A4523" s="17"/>
      <c r="B4523" s="17"/>
      <c r="C4523" s="133"/>
      <c r="D4523" s="133"/>
      <c r="E4523" s="17"/>
      <c r="F4523" s="133"/>
      <c r="G4523" s="133"/>
      <c r="H4523" s="133"/>
      <c r="I4523" s="133"/>
      <c r="J4523" s="133"/>
      <c r="K4523" s="133"/>
      <c r="L4523" s="133"/>
      <c r="M4523" s="133"/>
      <c r="N4523" s="133"/>
      <c r="O4523" s="133"/>
      <c r="P4523" s="134"/>
      <c r="Q4523" s="146"/>
      <c r="R4523" s="17"/>
      <c r="S4523" s="17"/>
      <c r="T4523" s="75"/>
      <c r="U4523" s="75"/>
      <c r="V4523" s="75"/>
      <c r="W4523" s="75"/>
      <c r="X4523" s="75"/>
    </row>
    <row r="4524">
      <c r="A4524" s="17"/>
      <c r="B4524" s="17"/>
      <c r="C4524" s="133"/>
      <c r="D4524" s="133"/>
      <c r="E4524" s="17"/>
      <c r="F4524" s="133"/>
      <c r="G4524" s="133"/>
      <c r="H4524" s="133"/>
      <c r="I4524" s="133"/>
      <c r="J4524" s="133"/>
      <c r="K4524" s="133"/>
      <c r="L4524" s="133"/>
      <c r="M4524" s="133"/>
      <c r="N4524" s="133"/>
      <c r="O4524" s="133"/>
      <c r="P4524" s="134"/>
      <c r="Q4524" s="146"/>
      <c r="R4524" s="17"/>
      <c r="S4524" s="17"/>
      <c r="T4524" s="75"/>
      <c r="U4524" s="75"/>
      <c r="V4524" s="75"/>
      <c r="W4524" s="75"/>
      <c r="X4524" s="75"/>
    </row>
    <row r="4525">
      <c r="A4525" s="17"/>
      <c r="B4525" s="17"/>
      <c r="C4525" s="133"/>
      <c r="D4525" s="133"/>
      <c r="E4525" s="17"/>
      <c r="F4525" s="133"/>
      <c r="G4525" s="133"/>
      <c r="H4525" s="133"/>
      <c r="I4525" s="133"/>
      <c r="J4525" s="133"/>
      <c r="K4525" s="133"/>
      <c r="L4525" s="133"/>
      <c r="M4525" s="133"/>
      <c r="N4525" s="133"/>
      <c r="O4525" s="133"/>
      <c r="P4525" s="134"/>
      <c r="Q4525" s="146"/>
      <c r="R4525" s="17"/>
      <c r="S4525" s="17"/>
      <c r="T4525" s="75"/>
      <c r="U4525" s="75"/>
      <c r="V4525" s="75"/>
      <c r="W4525" s="75"/>
      <c r="X4525" s="75"/>
    </row>
    <row r="4526">
      <c r="A4526" s="17"/>
      <c r="B4526" s="17"/>
      <c r="C4526" s="133"/>
      <c r="D4526" s="133"/>
      <c r="E4526" s="17"/>
      <c r="F4526" s="133"/>
      <c r="G4526" s="133"/>
      <c r="H4526" s="133"/>
      <c r="I4526" s="133"/>
      <c r="J4526" s="133"/>
      <c r="K4526" s="133"/>
      <c r="L4526" s="133"/>
      <c r="M4526" s="133"/>
      <c r="N4526" s="133"/>
      <c r="O4526" s="133"/>
      <c r="P4526" s="134"/>
      <c r="Q4526" s="146"/>
      <c r="R4526" s="17"/>
      <c r="S4526" s="17"/>
      <c r="T4526" s="75"/>
      <c r="U4526" s="75"/>
      <c r="V4526" s="75"/>
      <c r="W4526" s="75"/>
      <c r="X4526" s="75"/>
    </row>
    <row r="4527">
      <c r="A4527" s="17"/>
      <c r="B4527" s="17"/>
      <c r="C4527" s="133"/>
      <c r="D4527" s="133"/>
      <c r="E4527" s="17"/>
      <c r="F4527" s="133"/>
      <c r="G4527" s="133"/>
      <c r="H4527" s="133"/>
      <c r="I4527" s="133"/>
      <c r="J4527" s="133"/>
      <c r="K4527" s="133"/>
      <c r="L4527" s="133"/>
      <c r="M4527" s="133"/>
      <c r="N4527" s="133"/>
      <c r="O4527" s="133"/>
      <c r="P4527" s="134"/>
      <c r="Q4527" s="146"/>
      <c r="R4527" s="17"/>
      <c r="S4527" s="17"/>
      <c r="T4527" s="75"/>
      <c r="U4527" s="75"/>
      <c r="V4527" s="75"/>
      <c r="W4527" s="75"/>
      <c r="X4527" s="75"/>
    </row>
    <row r="4528">
      <c r="A4528" s="17"/>
      <c r="B4528" s="17"/>
      <c r="C4528" s="133"/>
      <c r="D4528" s="133"/>
      <c r="E4528" s="17"/>
      <c r="F4528" s="133"/>
      <c r="G4528" s="133"/>
      <c r="H4528" s="133"/>
      <c r="I4528" s="133"/>
      <c r="J4528" s="133"/>
      <c r="K4528" s="133"/>
      <c r="L4528" s="133"/>
      <c r="M4528" s="133"/>
      <c r="N4528" s="133"/>
      <c r="O4528" s="133"/>
      <c r="P4528" s="134"/>
      <c r="Q4528" s="146"/>
      <c r="R4528" s="17"/>
      <c r="S4528" s="17"/>
      <c r="T4528" s="75"/>
      <c r="U4528" s="75"/>
      <c r="V4528" s="75"/>
      <c r="W4528" s="75"/>
      <c r="X4528" s="75"/>
    </row>
    <row r="4529">
      <c r="A4529" s="17"/>
      <c r="B4529" s="17"/>
      <c r="C4529" s="133"/>
      <c r="D4529" s="133"/>
      <c r="E4529" s="17"/>
      <c r="F4529" s="133"/>
      <c r="G4529" s="133"/>
      <c r="H4529" s="133"/>
      <c r="I4529" s="133"/>
      <c r="J4529" s="133"/>
      <c r="K4529" s="133"/>
      <c r="L4529" s="133"/>
      <c r="M4529" s="133"/>
      <c r="N4529" s="133"/>
      <c r="O4529" s="133"/>
      <c r="P4529" s="134"/>
      <c r="Q4529" s="146"/>
      <c r="R4529" s="17"/>
      <c r="S4529" s="17"/>
      <c r="T4529" s="75"/>
      <c r="U4529" s="75"/>
      <c r="V4529" s="75"/>
      <c r="W4529" s="75"/>
      <c r="X4529" s="75"/>
    </row>
    <row r="4530">
      <c r="A4530" s="17"/>
      <c r="B4530" s="17"/>
      <c r="C4530" s="133"/>
      <c r="D4530" s="133"/>
      <c r="E4530" s="17"/>
      <c r="F4530" s="133"/>
      <c r="G4530" s="133"/>
      <c r="H4530" s="133"/>
      <c r="I4530" s="133"/>
      <c r="J4530" s="133"/>
      <c r="K4530" s="133"/>
      <c r="L4530" s="133"/>
      <c r="M4530" s="133"/>
      <c r="N4530" s="133"/>
      <c r="O4530" s="133"/>
      <c r="P4530" s="134"/>
      <c r="Q4530" s="146"/>
      <c r="R4530" s="17"/>
      <c r="S4530" s="17"/>
      <c r="T4530" s="75"/>
      <c r="U4530" s="75"/>
      <c r="V4530" s="75"/>
      <c r="W4530" s="75"/>
      <c r="X4530" s="75"/>
    </row>
    <row r="4531">
      <c r="A4531" s="17"/>
      <c r="B4531" s="17"/>
      <c r="C4531" s="133"/>
      <c r="D4531" s="133"/>
      <c r="E4531" s="17"/>
      <c r="F4531" s="133"/>
      <c r="G4531" s="133"/>
      <c r="H4531" s="133"/>
      <c r="I4531" s="133"/>
      <c r="J4531" s="133"/>
      <c r="K4531" s="133"/>
      <c r="L4531" s="133"/>
      <c r="M4531" s="133"/>
      <c r="N4531" s="133"/>
      <c r="O4531" s="133"/>
      <c r="P4531" s="134"/>
      <c r="Q4531" s="146"/>
      <c r="R4531" s="17"/>
      <c r="S4531" s="17"/>
      <c r="T4531" s="75"/>
      <c r="U4531" s="75"/>
      <c r="V4531" s="75"/>
      <c r="W4531" s="75"/>
      <c r="X4531" s="75"/>
    </row>
    <row r="4532">
      <c r="A4532" s="17"/>
      <c r="B4532" s="17"/>
      <c r="C4532" s="133"/>
      <c r="D4532" s="133"/>
      <c r="E4532" s="17"/>
      <c r="F4532" s="133"/>
      <c r="G4532" s="133"/>
      <c r="H4532" s="133"/>
      <c r="I4532" s="133"/>
      <c r="J4532" s="133"/>
      <c r="K4532" s="133"/>
      <c r="L4532" s="133"/>
      <c r="M4532" s="133"/>
      <c r="N4532" s="133"/>
      <c r="O4532" s="133"/>
      <c r="P4532" s="134"/>
      <c r="Q4532" s="146"/>
      <c r="R4532" s="17"/>
      <c r="S4532" s="17"/>
      <c r="T4532" s="75"/>
      <c r="U4532" s="75"/>
      <c r="V4532" s="75"/>
      <c r="W4532" s="75"/>
      <c r="X4532" s="75"/>
    </row>
    <row r="4533">
      <c r="A4533" s="17"/>
      <c r="B4533" s="17"/>
      <c r="C4533" s="133"/>
      <c r="D4533" s="133"/>
      <c r="E4533" s="17"/>
      <c r="F4533" s="133"/>
      <c r="G4533" s="133"/>
      <c r="H4533" s="133"/>
      <c r="I4533" s="133"/>
      <c r="J4533" s="133"/>
      <c r="K4533" s="133"/>
      <c r="L4533" s="133"/>
      <c r="M4533" s="133"/>
      <c r="N4533" s="133"/>
      <c r="O4533" s="133"/>
      <c r="P4533" s="134"/>
      <c r="Q4533" s="146"/>
      <c r="R4533" s="17"/>
      <c r="S4533" s="17"/>
      <c r="T4533" s="75"/>
      <c r="U4533" s="75"/>
      <c r="V4533" s="75"/>
      <c r="W4533" s="75"/>
      <c r="X4533" s="75"/>
    </row>
    <row r="4534">
      <c r="A4534" s="17"/>
      <c r="B4534" s="17"/>
      <c r="C4534" s="133"/>
      <c r="D4534" s="133"/>
      <c r="E4534" s="17"/>
      <c r="F4534" s="133"/>
      <c r="G4534" s="133"/>
      <c r="H4534" s="133"/>
      <c r="I4534" s="133"/>
      <c r="J4534" s="133"/>
      <c r="K4534" s="133"/>
      <c r="L4534" s="133"/>
      <c r="M4534" s="133"/>
      <c r="N4534" s="133"/>
      <c r="O4534" s="133"/>
      <c r="P4534" s="134"/>
      <c r="Q4534" s="146"/>
      <c r="R4534" s="17"/>
      <c r="S4534" s="17"/>
      <c r="T4534" s="75"/>
      <c r="U4534" s="75"/>
      <c r="V4534" s="75"/>
      <c r="W4534" s="75"/>
      <c r="X4534" s="75"/>
    </row>
    <row r="4535">
      <c r="A4535" s="17"/>
      <c r="B4535" s="17"/>
      <c r="C4535" s="133"/>
      <c r="D4535" s="133"/>
      <c r="E4535" s="17"/>
      <c r="F4535" s="133"/>
      <c r="G4535" s="133"/>
      <c r="H4535" s="133"/>
      <c r="I4535" s="133"/>
      <c r="J4535" s="133"/>
      <c r="K4535" s="133"/>
      <c r="L4535" s="133"/>
      <c r="M4535" s="133"/>
      <c r="N4535" s="133"/>
      <c r="O4535" s="133"/>
      <c r="P4535" s="134"/>
      <c r="Q4535" s="146"/>
      <c r="R4535" s="17"/>
      <c r="S4535" s="17"/>
      <c r="T4535" s="75"/>
      <c r="U4535" s="75"/>
      <c r="V4535" s="75"/>
      <c r="W4535" s="75"/>
      <c r="X4535" s="75"/>
    </row>
    <row r="4536">
      <c r="A4536" s="17"/>
      <c r="B4536" s="17"/>
      <c r="C4536" s="133"/>
      <c r="D4536" s="133"/>
      <c r="E4536" s="17"/>
      <c r="F4536" s="133"/>
      <c r="G4536" s="133"/>
      <c r="H4536" s="133"/>
      <c r="I4536" s="133"/>
      <c r="J4536" s="133"/>
      <c r="K4536" s="133"/>
      <c r="L4536" s="133"/>
      <c r="M4536" s="133"/>
      <c r="N4536" s="133"/>
      <c r="O4536" s="133"/>
      <c r="P4536" s="134"/>
      <c r="Q4536" s="146"/>
      <c r="R4536" s="17"/>
      <c r="S4536" s="17"/>
      <c r="T4536" s="75"/>
      <c r="U4536" s="75"/>
      <c r="V4536" s="75"/>
      <c r="W4536" s="75"/>
      <c r="X4536" s="75"/>
    </row>
    <row r="4537">
      <c r="A4537" s="17"/>
      <c r="B4537" s="17"/>
      <c r="C4537" s="133"/>
      <c r="D4537" s="133"/>
      <c r="E4537" s="17"/>
      <c r="F4537" s="133"/>
      <c r="G4537" s="133"/>
      <c r="H4537" s="133"/>
      <c r="I4537" s="133"/>
      <c r="J4537" s="133"/>
      <c r="K4537" s="133"/>
      <c r="L4537" s="133"/>
      <c r="M4537" s="133"/>
      <c r="N4537" s="133"/>
      <c r="O4537" s="133"/>
      <c r="P4537" s="134"/>
      <c r="Q4537" s="146"/>
      <c r="R4537" s="17"/>
      <c r="S4537" s="17"/>
      <c r="T4537" s="75"/>
      <c r="U4537" s="75"/>
      <c r="V4537" s="75"/>
      <c r="W4537" s="75"/>
      <c r="X4537" s="75"/>
    </row>
    <row r="4538">
      <c r="A4538" s="17"/>
      <c r="B4538" s="17"/>
      <c r="C4538" s="133"/>
      <c r="D4538" s="133"/>
      <c r="E4538" s="17"/>
      <c r="F4538" s="133"/>
      <c r="G4538" s="133"/>
      <c r="H4538" s="133"/>
      <c r="I4538" s="133"/>
      <c r="J4538" s="133"/>
      <c r="K4538" s="133"/>
      <c r="L4538" s="133"/>
      <c r="M4538" s="133"/>
      <c r="N4538" s="133"/>
      <c r="O4538" s="133"/>
      <c r="P4538" s="134"/>
      <c r="Q4538" s="146"/>
      <c r="R4538" s="17"/>
      <c r="S4538" s="17"/>
      <c r="T4538" s="75"/>
      <c r="U4538" s="75"/>
      <c r="V4538" s="75"/>
      <c r="W4538" s="75"/>
      <c r="X4538" s="75"/>
    </row>
    <row r="4539">
      <c r="A4539" s="17"/>
      <c r="B4539" s="17"/>
      <c r="C4539" s="133"/>
      <c r="D4539" s="133"/>
      <c r="E4539" s="17"/>
      <c r="F4539" s="133"/>
      <c r="G4539" s="133"/>
      <c r="H4539" s="133"/>
      <c r="I4539" s="133"/>
      <c r="J4539" s="133"/>
      <c r="K4539" s="133"/>
      <c r="L4539" s="133"/>
      <c r="M4539" s="133"/>
      <c r="N4539" s="133"/>
      <c r="O4539" s="133"/>
      <c r="P4539" s="134"/>
      <c r="Q4539" s="146"/>
      <c r="R4539" s="17"/>
      <c r="S4539" s="17"/>
      <c r="T4539" s="75"/>
      <c r="U4539" s="75"/>
      <c r="V4539" s="75"/>
      <c r="W4539" s="75"/>
      <c r="X4539" s="75"/>
    </row>
    <row r="4540">
      <c r="A4540" s="17"/>
      <c r="B4540" s="17"/>
      <c r="C4540" s="133"/>
      <c r="D4540" s="133"/>
      <c r="E4540" s="17"/>
      <c r="F4540" s="133"/>
      <c r="G4540" s="133"/>
      <c r="H4540" s="133"/>
      <c r="I4540" s="133"/>
      <c r="J4540" s="133"/>
      <c r="K4540" s="133"/>
      <c r="L4540" s="133"/>
      <c r="M4540" s="133"/>
      <c r="N4540" s="133"/>
      <c r="O4540" s="133"/>
      <c r="P4540" s="134"/>
      <c r="Q4540" s="146"/>
      <c r="R4540" s="17"/>
      <c r="S4540" s="17"/>
      <c r="T4540" s="75"/>
      <c r="U4540" s="75"/>
      <c r="V4540" s="75"/>
      <c r="W4540" s="75"/>
      <c r="X4540" s="75"/>
    </row>
    <row r="4541">
      <c r="A4541" s="17"/>
      <c r="B4541" s="17"/>
      <c r="C4541" s="133"/>
      <c r="D4541" s="133"/>
      <c r="E4541" s="17"/>
      <c r="F4541" s="133"/>
      <c r="G4541" s="133"/>
      <c r="H4541" s="133"/>
      <c r="I4541" s="133"/>
      <c r="J4541" s="133"/>
      <c r="K4541" s="133"/>
      <c r="L4541" s="133"/>
      <c r="M4541" s="133"/>
      <c r="N4541" s="133"/>
      <c r="O4541" s="133"/>
      <c r="P4541" s="134"/>
      <c r="Q4541" s="146"/>
      <c r="R4541" s="17"/>
      <c r="S4541" s="17"/>
      <c r="T4541" s="75"/>
      <c r="U4541" s="75"/>
      <c r="V4541" s="75"/>
      <c r="W4541" s="75"/>
      <c r="X4541" s="75"/>
    </row>
    <row r="4542">
      <c r="A4542" s="17"/>
      <c r="B4542" s="17"/>
      <c r="C4542" s="133"/>
      <c r="D4542" s="133"/>
      <c r="E4542" s="17"/>
      <c r="F4542" s="133"/>
      <c r="G4542" s="133"/>
      <c r="H4542" s="133"/>
      <c r="I4542" s="133"/>
      <c r="J4542" s="133"/>
      <c r="K4542" s="133"/>
      <c r="L4542" s="133"/>
      <c r="M4542" s="133"/>
      <c r="N4542" s="133"/>
      <c r="O4542" s="133"/>
      <c r="P4542" s="134"/>
      <c r="Q4542" s="146"/>
      <c r="R4542" s="17"/>
      <c r="S4542" s="17"/>
      <c r="T4542" s="75"/>
      <c r="U4542" s="75"/>
      <c r="V4542" s="75"/>
      <c r="W4542" s="75"/>
      <c r="X4542" s="75"/>
    </row>
    <row r="4543">
      <c r="A4543" s="17"/>
      <c r="B4543" s="17"/>
      <c r="C4543" s="133"/>
      <c r="D4543" s="133"/>
      <c r="E4543" s="17"/>
      <c r="F4543" s="133"/>
      <c r="G4543" s="133"/>
      <c r="H4543" s="133"/>
      <c r="I4543" s="133"/>
      <c r="J4543" s="133"/>
      <c r="K4543" s="133"/>
      <c r="L4543" s="133"/>
      <c r="M4543" s="133"/>
      <c r="N4543" s="133"/>
      <c r="O4543" s="133"/>
      <c r="P4543" s="134"/>
      <c r="Q4543" s="146"/>
      <c r="R4543" s="17"/>
      <c r="S4543" s="17"/>
      <c r="T4543" s="75"/>
      <c r="U4543" s="75"/>
      <c r="V4543" s="75"/>
      <c r="W4543" s="75"/>
      <c r="X4543" s="75"/>
    </row>
    <row r="4544">
      <c r="A4544" s="17"/>
      <c r="B4544" s="17"/>
      <c r="C4544" s="133"/>
      <c r="D4544" s="133"/>
      <c r="E4544" s="17"/>
      <c r="F4544" s="133"/>
      <c r="G4544" s="133"/>
      <c r="H4544" s="133"/>
      <c r="I4544" s="133"/>
      <c r="J4544" s="133"/>
      <c r="K4544" s="133"/>
      <c r="L4544" s="133"/>
      <c r="M4544" s="133"/>
      <c r="N4544" s="133"/>
      <c r="O4544" s="133"/>
      <c r="P4544" s="134"/>
      <c r="Q4544" s="146"/>
      <c r="R4544" s="17"/>
      <c r="S4544" s="17"/>
      <c r="T4544" s="75"/>
      <c r="U4544" s="75"/>
      <c r="V4544" s="75"/>
      <c r="W4544" s="75"/>
      <c r="X4544" s="75"/>
    </row>
    <row r="4545">
      <c r="A4545" s="17"/>
      <c r="B4545" s="17"/>
      <c r="C4545" s="133"/>
      <c r="D4545" s="133"/>
      <c r="E4545" s="17"/>
      <c r="F4545" s="133"/>
      <c r="G4545" s="133"/>
      <c r="H4545" s="133"/>
      <c r="I4545" s="133"/>
      <c r="J4545" s="133"/>
      <c r="K4545" s="133"/>
      <c r="L4545" s="133"/>
      <c r="M4545" s="133"/>
      <c r="N4545" s="133"/>
      <c r="O4545" s="133"/>
      <c r="P4545" s="134"/>
      <c r="Q4545" s="146"/>
      <c r="R4545" s="17"/>
      <c r="S4545" s="17"/>
      <c r="T4545" s="75"/>
      <c r="U4545" s="75"/>
      <c r="V4545" s="75"/>
      <c r="W4545" s="75"/>
      <c r="X4545" s="75"/>
    </row>
    <row r="4546">
      <c r="A4546" s="17"/>
      <c r="B4546" s="17"/>
      <c r="C4546" s="133"/>
      <c r="D4546" s="133"/>
      <c r="E4546" s="17"/>
      <c r="F4546" s="133"/>
      <c r="G4546" s="133"/>
      <c r="H4546" s="133"/>
      <c r="I4546" s="133"/>
      <c r="J4546" s="133"/>
      <c r="K4546" s="133"/>
      <c r="L4546" s="133"/>
      <c r="M4546" s="133"/>
      <c r="N4546" s="133"/>
      <c r="O4546" s="133"/>
      <c r="P4546" s="134"/>
      <c r="Q4546" s="146"/>
      <c r="R4546" s="17"/>
      <c r="S4546" s="17"/>
      <c r="T4546" s="75"/>
      <c r="U4546" s="75"/>
      <c r="V4546" s="75"/>
      <c r="W4546" s="75"/>
      <c r="X4546" s="75"/>
    </row>
    <row r="4547">
      <c r="A4547" s="17"/>
      <c r="B4547" s="17"/>
      <c r="C4547" s="133"/>
      <c r="D4547" s="133"/>
      <c r="E4547" s="17"/>
      <c r="F4547" s="133"/>
      <c r="G4547" s="133"/>
      <c r="H4547" s="133"/>
      <c r="I4547" s="133"/>
      <c r="J4547" s="133"/>
      <c r="K4547" s="133"/>
      <c r="L4547" s="133"/>
      <c r="M4547" s="133"/>
      <c r="N4547" s="133"/>
      <c r="O4547" s="133"/>
      <c r="P4547" s="134"/>
      <c r="Q4547" s="146"/>
      <c r="R4547" s="17"/>
      <c r="S4547" s="17"/>
      <c r="T4547" s="75"/>
      <c r="U4547" s="75"/>
      <c r="V4547" s="75"/>
      <c r="W4547" s="75"/>
      <c r="X4547" s="75"/>
    </row>
    <row r="4548">
      <c r="A4548" s="17"/>
      <c r="B4548" s="17"/>
      <c r="C4548" s="133"/>
      <c r="D4548" s="133"/>
      <c r="E4548" s="17"/>
      <c r="F4548" s="133"/>
      <c r="G4548" s="133"/>
      <c r="H4548" s="133"/>
      <c r="I4548" s="133"/>
      <c r="J4548" s="133"/>
      <c r="K4548" s="133"/>
      <c r="L4548" s="133"/>
      <c r="M4548" s="133"/>
      <c r="N4548" s="133"/>
      <c r="O4548" s="133"/>
      <c r="P4548" s="134"/>
      <c r="Q4548" s="146"/>
      <c r="R4548" s="17"/>
      <c r="S4548" s="17"/>
      <c r="T4548" s="75"/>
      <c r="U4548" s="75"/>
      <c r="V4548" s="75"/>
      <c r="W4548" s="75"/>
      <c r="X4548" s="75"/>
    </row>
    <row r="4549">
      <c r="A4549" s="17"/>
      <c r="B4549" s="17"/>
      <c r="C4549" s="133"/>
      <c r="D4549" s="133"/>
      <c r="E4549" s="17"/>
      <c r="F4549" s="133"/>
      <c r="G4549" s="133"/>
      <c r="H4549" s="133"/>
      <c r="I4549" s="133"/>
      <c r="J4549" s="133"/>
      <c r="K4549" s="133"/>
      <c r="L4549" s="133"/>
      <c r="M4549" s="133"/>
      <c r="N4549" s="133"/>
      <c r="O4549" s="133"/>
      <c r="P4549" s="134"/>
      <c r="Q4549" s="146"/>
      <c r="R4549" s="17"/>
      <c r="S4549" s="17"/>
      <c r="T4549" s="75"/>
      <c r="U4549" s="75"/>
      <c r="V4549" s="75"/>
      <c r="W4549" s="75"/>
      <c r="X4549" s="75"/>
    </row>
    <row r="4550">
      <c r="A4550" s="17"/>
      <c r="B4550" s="17"/>
      <c r="C4550" s="133"/>
      <c r="D4550" s="133"/>
      <c r="E4550" s="17"/>
      <c r="F4550" s="133"/>
      <c r="G4550" s="133"/>
      <c r="H4550" s="133"/>
      <c r="I4550" s="133"/>
      <c r="J4550" s="133"/>
      <c r="K4550" s="133"/>
      <c r="L4550" s="133"/>
      <c r="M4550" s="133"/>
      <c r="N4550" s="133"/>
      <c r="O4550" s="133"/>
      <c r="P4550" s="134"/>
      <c r="Q4550" s="146"/>
      <c r="R4550" s="17"/>
      <c r="S4550" s="17"/>
      <c r="T4550" s="75"/>
      <c r="U4550" s="75"/>
      <c r="V4550" s="75"/>
      <c r="W4550" s="75"/>
      <c r="X4550" s="75"/>
    </row>
    <row r="4551">
      <c r="A4551" s="17"/>
      <c r="B4551" s="17"/>
      <c r="C4551" s="133"/>
      <c r="D4551" s="133"/>
      <c r="E4551" s="17"/>
      <c r="F4551" s="133"/>
      <c r="G4551" s="133"/>
      <c r="H4551" s="133"/>
      <c r="I4551" s="133"/>
      <c r="J4551" s="133"/>
      <c r="K4551" s="133"/>
      <c r="L4551" s="133"/>
      <c r="M4551" s="133"/>
      <c r="N4551" s="133"/>
      <c r="O4551" s="133"/>
      <c r="P4551" s="134"/>
      <c r="Q4551" s="146"/>
      <c r="R4551" s="17"/>
      <c r="S4551" s="17"/>
      <c r="T4551" s="75"/>
      <c r="U4551" s="75"/>
      <c r="V4551" s="75"/>
      <c r="W4551" s="75"/>
      <c r="X4551" s="75"/>
    </row>
    <row r="4552">
      <c r="A4552" s="17"/>
      <c r="B4552" s="17"/>
      <c r="C4552" s="133"/>
      <c r="D4552" s="133"/>
      <c r="E4552" s="17"/>
      <c r="F4552" s="133"/>
      <c r="G4552" s="133"/>
      <c r="H4552" s="133"/>
      <c r="I4552" s="133"/>
      <c r="J4552" s="133"/>
      <c r="K4552" s="133"/>
      <c r="L4552" s="133"/>
      <c r="M4552" s="133"/>
      <c r="N4552" s="133"/>
      <c r="O4552" s="133"/>
      <c r="P4552" s="134"/>
      <c r="Q4552" s="146"/>
      <c r="R4552" s="17"/>
      <c r="S4552" s="17"/>
      <c r="T4552" s="75"/>
      <c r="U4552" s="75"/>
      <c r="V4552" s="75"/>
      <c r="W4552" s="75"/>
      <c r="X4552" s="75"/>
    </row>
    <row r="4553">
      <c r="A4553" s="17"/>
      <c r="B4553" s="17"/>
      <c r="C4553" s="133"/>
      <c r="D4553" s="133"/>
      <c r="E4553" s="17"/>
      <c r="F4553" s="133"/>
      <c r="G4553" s="133"/>
      <c r="H4553" s="133"/>
      <c r="I4553" s="133"/>
      <c r="J4553" s="133"/>
      <c r="K4553" s="133"/>
      <c r="L4553" s="133"/>
      <c r="M4553" s="133"/>
      <c r="N4553" s="133"/>
      <c r="O4553" s="133"/>
      <c r="P4553" s="134"/>
      <c r="Q4553" s="146"/>
      <c r="R4553" s="17"/>
      <c r="S4553" s="17"/>
      <c r="T4553" s="75"/>
      <c r="U4553" s="75"/>
      <c r="V4553" s="75"/>
      <c r="W4553" s="75"/>
      <c r="X4553" s="75"/>
    </row>
    <row r="4554">
      <c r="A4554" s="17"/>
      <c r="B4554" s="17"/>
      <c r="C4554" s="133"/>
      <c r="D4554" s="133"/>
      <c r="E4554" s="17"/>
      <c r="F4554" s="133"/>
      <c r="G4554" s="133"/>
      <c r="H4554" s="133"/>
      <c r="I4554" s="133"/>
      <c r="J4554" s="133"/>
      <c r="K4554" s="133"/>
      <c r="L4554" s="133"/>
      <c r="M4554" s="133"/>
      <c r="N4554" s="133"/>
      <c r="O4554" s="133"/>
      <c r="P4554" s="134"/>
      <c r="Q4554" s="146"/>
      <c r="R4554" s="17"/>
      <c r="S4554" s="17"/>
      <c r="T4554" s="75"/>
      <c r="U4554" s="75"/>
      <c r="V4554" s="75"/>
      <c r="W4554" s="75"/>
      <c r="X4554" s="75"/>
    </row>
    <row r="4555">
      <c r="A4555" s="17"/>
      <c r="B4555" s="17"/>
      <c r="C4555" s="133"/>
      <c r="D4555" s="133"/>
      <c r="E4555" s="17"/>
      <c r="F4555" s="133"/>
      <c r="G4555" s="133"/>
      <c r="H4555" s="133"/>
      <c r="I4555" s="133"/>
      <c r="J4555" s="133"/>
      <c r="K4555" s="133"/>
      <c r="L4555" s="133"/>
      <c r="M4555" s="133"/>
      <c r="N4555" s="133"/>
      <c r="O4555" s="133"/>
      <c r="P4555" s="134"/>
      <c r="Q4555" s="146"/>
      <c r="R4555" s="17"/>
      <c r="S4555" s="17"/>
      <c r="T4555" s="75"/>
      <c r="U4555" s="75"/>
      <c r="V4555" s="75"/>
      <c r="W4555" s="75"/>
      <c r="X4555" s="75"/>
    </row>
    <row r="4556">
      <c r="A4556" s="17"/>
      <c r="B4556" s="17"/>
      <c r="C4556" s="133"/>
      <c r="D4556" s="133"/>
      <c r="E4556" s="17"/>
      <c r="F4556" s="133"/>
      <c r="G4556" s="133"/>
      <c r="H4556" s="133"/>
      <c r="I4556" s="133"/>
      <c r="J4556" s="133"/>
      <c r="K4556" s="133"/>
      <c r="L4556" s="133"/>
      <c r="M4556" s="133"/>
      <c r="N4556" s="133"/>
      <c r="O4556" s="133"/>
      <c r="P4556" s="134"/>
      <c r="Q4556" s="146"/>
      <c r="R4556" s="17"/>
      <c r="S4556" s="17"/>
      <c r="T4556" s="75"/>
      <c r="U4556" s="75"/>
      <c r="V4556" s="75"/>
      <c r="W4556" s="75"/>
      <c r="X4556" s="75"/>
    </row>
    <row r="4557">
      <c r="A4557" s="17"/>
      <c r="B4557" s="17"/>
      <c r="C4557" s="133"/>
      <c r="D4557" s="133"/>
      <c r="E4557" s="17"/>
      <c r="F4557" s="133"/>
      <c r="G4557" s="133"/>
      <c r="H4557" s="133"/>
      <c r="I4557" s="133"/>
      <c r="J4557" s="133"/>
      <c r="K4557" s="133"/>
      <c r="L4557" s="133"/>
      <c r="M4557" s="133"/>
      <c r="N4557" s="133"/>
      <c r="O4557" s="133"/>
      <c r="P4557" s="134"/>
      <c r="Q4557" s="146"/>
      <c r="R4557" s="17"/>
      <c r="S4557" s="17"/>
      <c r="T4557" s="75"/>
      <c r="U4557" s="75"/>
      <c r="V4557" s="75"/>
      <c r="W4557" s="75"/>
      <c r="X4557" s="75"/>
    </row>
    <row r="4558">
      <c r="A4558" s="17"/>
      <c r="B4558" s="17"/>
      <c r="C4558" s="133"/>
      <c r="D4558" s="133"/>
      <c r="E4558" s="17"/>
      <c r="F4558" s="133"/>
      <c r="G4558" s="133"/>
      <c r="H4558" s="133"/>
      <c r="I4558" s="133"/>
      <c r="J4558" s="133"/>
      <c r="K4558" s="133"/>
      <c r="L4558" s="133"/>
      <c r="M4558" s="133"/>
      <c r="N4558" s="133"/>
      <c r="O4558" s="133"/>
      <c r="P4558" s="134"/>
      <c r="Q4558" s="146"/>
      <c r="R4558" s="17"/>
      <c r="S4558" s="17"/>
      <c r="T4558" s="75"/>
      <c r="U4558" s="75"/>
      <c r="V4558" s="75"/>
      <c r="W4558" s="75"/>
      <c r="X4558" s="75"/>
    </row>
    <row r="4559">
      <c r="A4559" s="17"/>
      <c r="B4559" s="17"/>
      <c r="C4559" s="133"/>
      <c r="D4559" s="133"/>
      <c r="E4559" s="17"/>
      <c r="F4559" s="133"/>
      <c r="G4559" s="133"/>
      <c r="H4559" s="133"/>
      <c r="I4559" s="133"/>
      <c r="J4559" s="133"/>
      <c r="K4559" s="133"/>
      <c r="L4559" s="133"/>
      <c r="M4559" s="133"/>
      <c r="N4559" s="133"/>
      <c r="O4559" s="133"/>
      <c r="P4559" s="134"/>
      <c r="Q4559" s="146"/>
      <c r="R4559" s="17"/>
      <c r="S4559" s="17"/>
      <c r="T4559" s="75"/>
      <c r="U4559" s="75"/>
      <c r="V4559" s="75"/>
      <c r="W4559" s="75"/>
      <c r="X4559" s="75"/>
    </row>
    <row r="4560">
      <c r="A4560" s="17"/>
      <c r="B4560" s="17"/>
      <c r="C4560" s="133"/>
      <c r="D4560" s="133"/>
      <c r="E4560" s="17"/>
      <c r="F4560" s="133"/>
      <c r="G4560" s="133"/>
      <c r="H4560" s="133"/>
      <c r="I4560" s="133"/>
      <c r="J4560" s="133"/>
      <c r="K4560" s="133"/>
      <c r="L4560" s="133"/>
      <c r="M4560" s="133"/>
      <c r="N4560" s="133"/>
      <c r="O4560" s="133"/>
      <c r="P4560" s="134"/>
      <c r="Q4560" s="146"/>
      <c r="R4560" s="17"/>
      <c r="S4560" s="17"/>
      <c r="T4560" s="75"/>
      <c r="U4560" s="75"/>
      <c r="V4560" s="75"/>
      <c r="W4560" s="75"/>
      <c r="X4560" s="75"/>
    </row>
    <row r="4561">
      <c r="A4561" s="17"/>
      <c r="B4561" s="17"/>
      <c r="C4561" s="133"/>
      <c r="D4561" s="133"/>
      <c r="E4561" s="17"/>
      <c r="F4561" s="133"/>
      <c r="G4561" s="133"/>
      <c r="H4561" s="133"/>
      <c r="I4561" s="133"/>
      <c r="J4561" s="133"/>
      <c r="K4561" s="133"/>
      <c r="L4561" s="133"/>
      <c r="M4561" s="133"/>
      <c r="N4561" s="133"/>
      <c r="O4561" s="133"/>
      <c r="P4561" s="134"/>
      <c r="Q4561" s="146"/>
      <c r="R4561" s="17"/>
      <c r="S4561" s="17"/>
      <c r="T4561" s="75"/>
      <c r="U4561" s="75"/>
      <c r="V4561" s="75"/>
      <c r="W4561" s="75"/>
      <c r="X4561" s="75"/>
    </row>
    <row r="4562">
      <c r="A4562" s="17"/>
      <c r="B4562" s="17"/>
      <c r="C4562" s="133"/>
      <c r="D4562" s="133"/>
      <c r="E4562" s="17"/>
      <c r="F4562" s="133"/>
      <c r="G4562" s="133"/>
      <c r="H4562" s="133"/>
      <c r="I4562" s="133"/>
      <c r="J4562" s="133"/>
      <c r="K4562" s="133"/>
      <c r="L4562" s="133"/>
      <c r="M4562" s="133"/>
      <c r="N4562" s="133"/>
      <c r="O4562" s="133"/>
      <c r="P4562" s="134"/>
      <c r="Q4562" s="146"/>
      <c r="R4562" s="17"/>
      <c r="S4562" s="17"/>
      <c r="T4562" s="75"/>
      <c r="U4562" s="75"/>
      <c r="V4562" s="75"/>
      <c r="W4562" s="75"/>
      <c r="X4562" s="75"/>
    </row>
    <row r="4563">
      <c r="A4563" s="17"/>
      <c r="B4563" s="17"/>
      <c r="C4563" s="133"/>
      <c r="D4563" s="133"/>
      <c r="E4563" s="17"/>
      <c r="F4563" s="133"/>
      <c r="G4563" s="133"/>
      <c r="H4563" s="133"/>
      <c r="I4563" s="133"/>
      <c r="J4563" s="133"/>
      <c r="K4563" s="133"/>
      <c r="L4563" s="133"/>
      <c r="M4563" s="133"/>
      <c r="N4563" s="133"/>
      <c r="O4563" s="133"/>
      <c r="P4563" s="134"/>
      <c r="Q4563" s="146"/>
      <c r="R4563" s="17"/>
      <c r="S4563" s="17"/>
      <c r="T4563" s="75"/>
      <c r="U4563" s="75"/>
      <c r="V4563" s="75"/>
      <c r="W4563" s="75"/>
      <c r="X4563" s="75"/>
    </row>
    <row r="4564">
      <c r="A4564" s="17"/>
      <c r="B4564" s="17"/>
      <c r="C4564" s="133"/>
      <c r="D4564" s="133"/>
      <c r="E4564" s="17"/>
      <c r="F4564" s="133"/>
      <c r="G4564" s="133"/>
      <c r="H4564" s="133"/>
      <c r="I4564" s="133"/>
      <c r="J4564" s="133"/>
      <c r="K4564" s="133"/>
      <c r="L4564" s="133"/>
      <c r="M4564" s="133"/>
      <c r="N4564" s="133"/>
      <c r="O4564" s="133"/>
      <c r="P4564" s="134"/>
      <c r="Q4564" s="146"/>
      <c r="R4564" s="17"/>
      <c r="S4564" s="17"/>
      <c r="T4564" s="75"/>
      <c r="U4564" s="75"/>
      <c r="V4564" s="75"/>
      <c r="W4564" s="75"/>
      <c r="X4564" s="75"/>
    </row>
    <row r="4565">
      <c r="A4565" s="17"/>
      <c r="B4565" s="17"/>
      <c r="C4565" s="133"/>
      <c r="D4565" s="133"/>
      <c r="E4565" s="17"/>
      <c r="F4565" s="133"/>
      <c r="G4565" s="133"/>
      <c r="H4565" s="133"/>
      <c r="I4565" s="133"/>
      <c r="J4565" s="133"/>
      <c r="K4565" s="133"/>
      <c r="L4565" s="133"/>
      <c r="M4565" s="133"/>
      <c r="N4565" s="133"/>
      <c r="O4565" s="133"/>
      <c r="P4565" s="134"/>
      <c r="Q4565" s="146"/>
      <c r="R4565" s="17"/>
      <c r="S4565" s="17"/>
      <c r="T4565" s="75"/>
      <c r="U4565" s="75"/>
      <c r="V4565" s="75"/>
      <c r="W4565" s="75"/>
      <c r="X4565" s="75"/>
    </row>
    <row r="4566">
      <c r="A4566" s="17"/>
      <c r="B4566" s="17"/>
      <c r="C4566" s="133"/>
      <c r="D4566" s="133"/>
      <c r="E4566" s="17"/>
      <c r="F4566" s="133"/>
      <c r="G4566" s="133"/>
      <c r="H4566" s="133"/>
      <c r="I4566" s="133"/>
      <c r="J4566" s="133"/>
      <c r="K4566" s="133"/>
      <c r="L4566" s="133"/>
      <c r="M4566" s="133"/>
      <c r="N4566" s="133"/>
      <c r="O4566" s="133"/>
      <c r="P4566" s="134"/>
      <c r="Q4566" s="146"/>
      <c r="R4566" s="17"/>
      <c r="S4566" s="17"/>
      <c r="T4566" s="75"/>
      <c r="U4566" s="75"/>
      <c r="V4566" s="75"/>
      <c r="W4566" s="75"/>
      <c r="X4566" s="75"/>
    </row>
    <row r="4567">
      <c r="A4567" s="17"/>
      <c r="B4567" s="17"/>
      <c r="C4567" s="133"/>
      <c r="D4567" s="133"/>
      <c r="E4567" s="17"/>
      <c r="F4567" s="133"/>
      <c r="G4567" s="133"/>
      <c r="H4567" s="133"/>
      <c r="I4567" s="133"/>
      <c r="J4567" s="133"/>
      <c r="K4567" s="133"/>
      <c r="L4567" s="133"/>
      <c r="M4567" s="133"/>
      <c r="N4567" s="133"/>
      <c r="O4567" s="133"/>
      <c r="P4567" s="134"/>
      <c r="Q4567" s="146"/>
      <c r="R4567" s="17"/>
      <c r="S4567" s="17"/>
      <c r="T4567" s="75"/>
      <c r="U4567" s="75"/>
      <c r="V4567" s="75"/>
      <c r="W4567" s="75"/>
      <c r="X4567" s="75"/>
    </row>
    <row r="4568">
      <c r="A4568" s="17"/>
      <c r="B4568" s="17"/>
      <c r="C4568" s="133"/>
      <c r="D4568" s="133"/>
      <c r="E4568" s="17"/>
      <c r="F4568" s="133"/>
      <c r="G4568" s="133"/>
      <c r="H4568" s="133"/>
      <c r="I4568" s="133"/>
      <c r="J4568" s="133"/>
      <c r="K4568" s="133"/>
      <c r="L4568" s="133"/>
      <c r="M4568" s="133"/>
      <c r="N4568" s="133"/>
      <c r="O4568" s="133"/>
      <c r="P4568" s="134"/>
      <c r="Q4568" s="146"/>
      <c r="R4568" s="17"/>
      <c r="S4568" s="17"/>
      <c r="T4568" s="75"/>
      <c r="U4568" s="75"/>
      <c r="V4568" s="75"/>
      <c r="W4568" s="75"/>
      <c r="X4568" s="75"/>
    </row>
    <row r="4569">
      <c r="A4569" s="17"/>
      <c r="B4569" s="17"/>
      <c r="C4569" s="133"/>
      <c r="D4569" s="133"/>
      <c r="E4569" s="17"/>
      <c r="F4569" s="133"/>
      <c r="G4569" s="133"/>
      <c r="H4569" s="133"/>
      <c r="I4569" s="133"/>
      <c r="J4569" s="133"/>
      <c r="K4569" s="133"/>
      <c r="L4569" s="133"/>
      <c r="M4569" s="133"/>
      <c r="N4569" s="133"/>
      <c r="O4569" s="133"/>
      <c r="P4569" s="134"/>
      <c r="Q4569" s="146"/>
      <c r="R4569" s="17"/>
      <c r="S4569" s="17"/>
      <c r="T4569" s="75"/>
      <c r="U4569" s="75"/>
      <c r="V4569" s="75"/>
      <c r="W4569" s="75"/>
      <c r="X4569" s="75"/>
    </row>
    <row r="4570">
      <c r="A4570" s="17"/>
      <c r="B4570" s="17"/>
      <c r="C4570" s="133"/>
      <c r="D4570" s="133"/>
      <c r="E4570" s="17"/>
      <c r="F4570" s="133"/>
      <c r="G4570" s="133"/>
      <c r="H4570" s="133"/>
      <c r="I4570" s="133"/>
      <c r="J4570" s="133"/>
      <c r="K4570" s="133"/>
      <c r="L4570" s="133"/>
      <c r="M4570" s="133"/>
      <c r="N4570" s="133"/>
      <c r="O4570" s="133"/>
      <c r="P4570" s="134"/>
      <c r="Q4570" s="146"/>
      <c r="R4570" s="17"/>
      <c r="S4570" s="17"/>
      <c r="T4570" s="75"/>
      <c r="U4570" s="75"/>
      <c r="V4570" s="75"/>
      <c r="W4570" s="75"/>
      <c r="X4570" s="75"/>
    </row>
    <row r="4571">
      <c r="A4571" s="17"/>
      <c r="B4571" s="17"/>
      <c r="C4571" s="133"/>
      <c r="D4571" s="133"/>
      <c r="E4571" s="17"/>
      <c r="F4571" s="133"/>
      <c r="G4571" s="133"/>
      <c r="H4571" s="133"/>
      <c r="I4571" s="133"/>
      <c r="J4571" s="133"/>
      <c r="K4571" s="133"/>
      <c r="L4571" s="133"/>
      <c r="M4571" s="133"/>
      <c r="N4571" s="133"/>
      <c r="O4571" s="133"/>
      <c r="P4571" s="134"/>
      <c r="Q4571" s="146"/>
      <c r="R4571" s="17"/>
      <c r="S4571" s="17"/>
      <c r="T4571" s="75"/>
      <c r="U4571" s="75"/>
      <c r="V4571" s="75"/>
      <c r="W4571" s="75"/>
      <c r="X4571" s="75"/>
    </row>
    <row r="4572">
      <c r="A4572" s="17"/>
      <c r="B4572" s="17"/>
      <c r="C4572" s="133"/>
      <c r="D4572" s="133"/>
      <c r="E4572" s="17"/>
      <c r="F4572" s="133"/>
      <c r="G4572" s="133"/>
      <c r="H4572" s="133"/>
      <c r="I4572" s="133"/>
      <c r="J4572" s="133"/>
      <c r="K4572" s="133"/>
      <c r="L4572" s="133"/>
      <c r="M4572" s="133"/>
      <c r="N4572" s="133"/>
      <c r="O4572" s="133"/>
      <c r="P4572" s="134"/>
      <c r="Q4572" s="146"/>
      <c r="R4572" s="17"/>
      <c r="S4572" s="17"/>
      <c r="T4572" s="75"/>
      <c r="U4572" s="75"/>
      <c r="V4572" s="75"/>
      <c r="W4572" s="75"/>
      <c r="X4572" s="75"/>
    </row>
    <row r="4573">
      <c r="A4573" s="17"/>
      <c r="B4573" s="17"/>
      <c r="C4573" s="133"/>
      <c r="D4573" s="133"/>
      <c r="E4573" s="17"/>
      <c r="F4573" s="133"/>
      <c r="G4573" s="133"/>
      <c r="H4573" s="133"/>
      <c r="I4573" s="133"/>
      <c r="J4573" s="133"/>
      <c r="K4573" s="133"/>
      <c r="L4573" s="133"/>
      <c r="M4573" s="133"/>
      <c r="N4573" s="133"/>
      <c r="O4573" s="133"/>
      <c r="P4573" s="134"/>
      <c r="Q4573" s="146"/>
      <c r="R4573" s="17"/>
      <c r="S4573" s="17"/>
      <c r="T4573" s="75"/>
      <c r="U4573" s="75"/>
      <c r="V4573" s="75"/>
      <c r="W4573" s="75"/>
      <c r="X4573" s="75"/>
    </row>
    <row r="4574">
      <c r="A4574" s="17"/>
      <c r="B4574" s="17"/>
      <c r="C4574" s="133"/>
      <c r="D4574" s="133"/>
      <c r="E4574" s="17"/>
      <c r="F4574" s="133"/>
      <c r="G4574" s="133"/>
      <c r="H4574" s="133"/>
      <c r="I4574" s="133"/>
      <c r="J4574" s="133"/>
      <c r="K4574" s="133"/>
      <c r="L4574" s="133"/>
      <c r="M4574" s="133"/>
      <c r="N4574" s="133"/>
      <c r="O4574" s="133"/>
      <c r="P4574" s="134"/>
      <c r="Q4574" s="146"/>
      <c r="R4574" s="17"/>
      <c r="S4574" s="17"/>
      <c r="T4574" s="75"/>
      <c r="U4574" s="75"/>
      <c r="V4574" s="75"/>
      <c r="W4574" s="75"/>
      <c r="X4574" s="75"/>
    </row>
    <row r="4575">
      <c r="A4575" s="17"/>
      <c r="B4575" s="17"/>
      <c r="C4575" s="133"/>
      <c r="D4575" s="133"/>
      <c r="E4575" s="17"/>
      <c r="F4575" s="133"/>
      <c r="G4575" s="133"/>
      <c r="H4575" s="133"/>
      <c r="I4575" s="133"/>
      <c r="J4575" s="133"/>
      <c r="K4575" s="133"/>
      <c r="L4575" s="133"/>
      <c r="M4575" s="133"/>
      <c r="N4575" s="133"/>
      <c r="O4575" s="133"/>
      <c r="P4575" s="134"/>
      <c r="Q4575" s="146"/>
      <c r="R4575" s="17"/>
      <c r="S4575" s="17"/>
      <c r="T4575" s="75"/>
      <c r="U4575" s="75"/>
      <c r="V4575" s="75"/>
      <c r="W4575" s="75"/>
      <c r="X4575" s="75"/>
    </row>
    <row r="4576">
      <c r="A4576" s="17"/>
      <c r="B4576" s="17"/>
      <c r="C4576" s="133"/>
      <c r="D4576" s="133"/>
      <c r="E4576" s="17"/>
      <c r="F4576" s="133"/>
      <c r="G4576" s="133"/>
      <c r="H4576" s="133"/>
      <c r="I4576" s="133"/>
      <c r="J4576" s="133"/>
      <c r="K4576" s="133"/>
      <c r="L4576" s="133"/>
      <c r="M4576" s="133"/>
      <c r="N4576" s="133"/>
      <c r="O4576" s="133"/>
      <c r="P4576" s="134"/>
      <c r="Q4576" s="146"/>
      <c r="R4576" s="17"/>
      <c r="S4576" s="17"/>
      <c r="T4576" s="75"/>
      <c r="U4576" s="75"/>
      <c r="V4576" s="75"/>
      <c r="W4576" s="75"/>
      <c r="X4576" s="75"/>
    </row>
    <row r="4577">
      <c r="A4577" s="17"/>
      <c r="B4577" s="17"/>
      <c r="C4577" s="133"/>
      <c r="D4577" s="133"/>
      <c r="E4577" s="17"/>
      <c r="F4577" s="133"/>
      <c r="G4577" s="133"/>
      <c r="H4577" s="133"/>
      <c r="I4577" s="133"/>
      <c r="J4577" s="133"/>
      <c r="K4577" s="133"/>
      <c r="L4577" s="133"/>
      <c r="M4577" s="133"/>
      <c r="N4577" s="133"/>
      <c r="O4577" s="133"/>
      <c r="P4577" s="134"/>
      <c r="Q4577" s="146"/>
      <c r="R4577" s="17"/>
      <c r="S4577" s="17"/>
      <c r="T4577" s="75"/>
      <c r="U4577" s="75"/>
      <c r="V4577" s="75"/>
      <c r="W4577" s="75"/>
      <c r="X4577" s="75"/>
    </row>
    <row r="4578">
      <c r="A4578" s="17"/>
      <c r="B4578" s="17"/>
      <c r="C4578" s="133"/>
      <c r="D4578" s="133"/>
      <c r="E4578" s="17"/>
      <c r="F4578" s="133"/>
      <c r="G4578" s="133"/>
      <c r="H4578" s="133"/>
      <c r="I4578" s="133"/>
      <c r="J4578" s="133"/>
      <c r="K4578" s="133"/>
      <c r="L4578" s="133"/>
      <c r="M4578" s="133"/>
      <c r="N4578" s="133"/>
      <c r="O4578" s="133"/>
      <c r="P4578" s="134"/>
      <c r="Q4578" s="146"/>
      <c r="R4578" s="17"/>
      <c r="S4578" s="17"/>
      <c r="T4578" s="75"/>
      <c r="U4578" s="75"/>
      <c r="V4578" s="75"/>
      <c r="W4578" s="75"/>
      <c r="X4578" s="75"/>
    </row>
    <row r="4579">
      <c r="A4579" s="17"/>
      <c r="B4579" s="17"/>
      <c r="C4579" s="133"/>
      <c r="D4579" s="133"/>
      <c r="E4579" s="17"/>
      <c r="F4579" s="133"/>
      <c r="G4579" s="133"/>
      <c r="H4579" s="133"/>
      <c r="I4579" s="133"/>
      <c r="J4579" s="133"/>
      <c r="K4579" s="133"/>
      <c r="L4579" s="133"/>
      <c r="M4579" s="133"/>
      <c r="N4579" s="133"/>
      <c r="O4579" s="133"/>
      <c r="P4579" s="134"/>
      <c r="Q4579" s="146"/>
      <c r="R4579" s="17"/>
      <c r="S4579" s="17"/>
      <c r="T4579" s="75"/>
      <c r="U4579" s="75"/>
      <c r="V4579" s="75"/>
      <c r="W4579" s="75"/>
      <c r="X4579" s="75"/>
    </row>
    <row r="4580">
      <c r="A4580" s="17"/>
      <c r="B4580" s="17"/>
      <c r="C4580" s="133"/>
      <c r="D4580" s="133"/>
      <c r="E4580" s="17"/>
      <c r="F4580" s="133"/>
      <c r="G4580" s="133"/>
      <c r="H4580" s="133"/>
      <c r="I4580" s="133"/>
      <c r="J4580" s="133"/>
      <c r="K4580" s="133"/>
      <c r="L4580" s="133"/>
      <c r="M4580" s="133"/>
      <c r="N4580" s="133"/>
      <c r="O4580" s="133"/>
      <c r="P4580" s="134"/>
      <c r="Q4580" s="146"/>
      <c r="R4580" s="17"/>
      <c r="S4580" s="17"/>
      <c r="T4580" s="75"/>
      <c r="U4580" s="75"/>
      <c r="V4580" s="75"/>
      <c r="W4580" s="75"/>
      <c r="X4580" s="75"/>
    </row>
    <row r="4581">
      <c r="A4581" s="17"/>
      <c r="B4581" s="17"/>
      <c r="C4581" s="133"/>
      <c r="D4581" s="133"/>
      <c r="E4581" s="17"/>
      <c r="F4581" s="133"/>
      <c r="G4581" s="133"/>
      <c r="H4581" s="133"/>
      <c r="I4581" s="133"/>
      <c r="J4581" s="133"/>
      <c r="K4581" s="133"/>
      <c r="L4581" s="133"/>
      <c r="M4581" s="133"/>
      <c r="N4581" s="133"/>
      <c r="O4581" s="133"/>
      <c r="P4581" s="134"/>
      <c r="Q4581" s="146"/>
      <c r="R4581" s="17"/>
      <c r="S4581" s="17"/>
      <c r="T4581" s="75"/>
      <c r="U4581" s="75"/>
      <c r="V4581" s="75"/>
      <c r="W4581" s="75"/>
      <c r="X4581" s="75"/>
    </row>
    <row r="4582">
      <c r="A4582" s="17"/>
      <c r="B4582" s="17"/>
      <c r="C4582" s="133"/>
      <c r="D4582" s="133"/>
      <c r="E4582" s="17"/>
      <c r="F4582" s="133"/>
      <c r="G4582" s="133"/>
      <c r="H4582" s="133"/>
      <c r="I4582" s="133"/>
      <c r="J4582" s="133"/>
      <c r="K4582" s="133"/>
      <c r="L4582" s="133"/>
      <c r="M4582" s="133"/>
      <c r="N4582" s="133"/>
      <c r="O4582" s="133"/>
      <c r="P4582" s="134"/>
      <c r="Q4582" s="146"/>
      <c r="R4582" s="17"/>
      <c r="S4582" s="17"/>
      <c r="T4582" s="75"/>
      <c r="U4582" s="75"/>
      <c r="V4582" s="75"/>
      <c r="W4582" s="75"/>
      <c r="X4582" s="75"/>
    </row>
    <row r="4583">
      <c r="A4583" s="17"/>
      <c r="B4583" s="17"/>
      <c r="C4583" s="133"/>
      <c r="D4583" s="133"/>
      <c r="E4583" s="17"/>
      <c r="F4583" s="133"/>
      <c r="G4583" s="133"/>
      <c r="H4583" s="133"/>
      <c r="I4583" s="133"/>
      <c r="J4583" s="133"/>
      <c r="K4583" s="133"/>
      <c r="L4583" s="133"/>
      <c r="M4583" s="133"/>
      <c r="N4583" s="133"/>
      <c r="O4583" s="133"/>
      <c r="P4583" s="134"/>
      <c r="Q4583" s="146"/>
      <c r="R4583" s="17"/>
      <c r="S4583" s="17"/>
      <c r="T4583" s="75"/>
      <c r="U4583" s="75"/>
      <c r="V4583" s="75"/>
      <c r="W4583" s="75"/>
      <c r="X4583" s="75"/>
    </row>
    <row r="4584">
      <c r="A4584" s="17"/>
      <c r="B4584" s="17"/>
      <c r="C4584" s="133"/>
      <c r="D4584" s="133"/>
      <c r="E4584" s="17"/>
      <c r="F4584" s="133"/>
      <c r="G4584" s="133"/>
      <c r="H4584" s="133"/>
      <c r="I4584" s="133"/>
      <c r="J4584" s="133"/>
      <c r="K4584" s="133"/>
      <c r="L4584" s="133"/>
      <c r="M4584" s="133"/>
      <c r="N4584" s="133"/>
      <c r="O4584" s="133"/>
      <c r="P4584" s="134"/>
      <c r="Q4584" s="146"/>
      <c r="R4584" s="17"/>
      <c r="S4584" s="17"/>
      <c r="T4584" s="75"/>
      <c r="U4584" s="75"/>
      <c r="V4584" s="75"/>
      <c r="W4584" s="75"/>
      <c r="X4584" s="75"/>
    </row>
    <row r="4585">
      <c r="A4585" s="17"/>
      <c r="B4585" s="17"/>
      <c r="C4585" s="133"/>
      <c r="D4585" s="133"/>
      <c r="E4585" s="17"/>
      <c r="F4585" s="133"/>
      <c r="G4585" s="133"/>
      <c r="H4585" s="133"/>
      <c r="I4585" s="133"/>
      <c r="J4585" s="133"/>
      <c r="K4585" s="133"/>
      <c r="L4585" s="133"/>
      <c r="M4585" s="133"/>
      <c r="N4585" s="133"/>
      <c r="O4585" s="133"/>
      <c r="P4585" s="134"/>
      <c r="Q4585" s="146"/>
      <c r="R4585" s="17"/>
      <c r="S4585" s="17"/>
      <c r="T4585" s="75"/>
      <c r="U4585" s="75"/>
      <c r="V4585" s="75"/>
      <c r="W4585" s="75"/>
      <c r="X4585" s="75"/>
    </row>
    <row r="4586">
      <c r="A4586" s="17"/>
      <c r="B4586" s="17"/>
      <c r="C4586" s="133"/>
      <c r="D4586" s="133"/>
      <c r="E4586" s="17"/>
      <c r="F4586" s="133"/>
      <c r="G4586" s="133"/>
      <c r="H4586" s="133"/>
      <c r="I4586" s="133"/>
      <c r="J4586" s="133"/>
      <c r="K4586" s="133"/>
      <c r="L4586" s="133"/>
      <c r="M4586" s="133"/>
      <c r="N4586" s="133"/>
      <c r="O4586" s="133"/>
      <c r="P4586" s="134"/>
      <c r="Q4586" s="146"/>
      <c r="R4586" s="17"/>
      <c r="S4586" s="17"/>
      <c r="T4586" s="75"/>
      <c r="U4586" s="75"/>
      <c r="V4586" s="75"/>
      <c r="W4586" s="75"/>
      <c r="X4586" s="75"/>
    </row>
    <row r="4587">
      <c r="A4587" s="17"/>
      <c r="B4587" s="17"/>
      <c r="C4587" s="133"/>
      <c r="D4587" s="133"/>
      <c r="E4587" s="17"/>
      <c r="F4587" s="133"/>
      <c r="G4587" s="133"/>
      <c r="H4587" s="133"/>
      <c r="I4587" s="133"/>
      <c r="J4587" s="133"/>
      <c r="K4587" s="133"/>
      <c r="L4587" s="133"/>
      <c r="M4587" s="133"/>
      <c r="N4587" s="133"/>
      <c r="O4587" s="133"/>
      <c r="P4587" s="134"/>
      <c r="Q4587" s="146"/>
      <c r="R4587" s="17"/>
      <c r="S4587" s="17"/>
      <c r="T4587" s="75"/>
      <c r="U4587" s="75"/>
      <c r="V4587" s="75"/>
      <c r="W4587" s="75"/>
      <c r="X4587" s="75"/>
    </row>
    <row r="4588">
      <c r="A4588" s="17"/>
      <c r="B4588" s="17"/>
      <c r="C4588" s="133"/>
      <c r="D4588" s="133"/>
      <c r="E4588" s="17"/>
      <c r="F4588" s="133"/>
      <c r="G4588" s="133"/>
      <c r="H4588" s="133"/>
      <c r="I4588" s="133"/>
      <c r="J4588" s="133"/>
      <c r="K4588" s="133"/>
      <c r="L4588" s="133"/>
      <c r="M4588" s="133"/>
      <c r="N4588" s="133"/>
      <c r="O4588" s="133"/>
      <c r="P4588" s="134"/>
      <c r="Q4588" s="146"/>
      <c r="R4588" s="17"/>
      <c r="S4588" s="17"/>
      <c r="T4588" s="75"/>
      <c r="U4588" s="75"/>
      <c r="V4588" s="75"/>
      <c r="W4588" s="75"/>
      <c r="X4588" s="75"/>
    </row>
    <row r="4589">
      <c r="A4589" s="17"/>
      <c r="B4589" s="17"/>
      <c r="C4589" s="133"/>
      <c r="D4589" s="133"/>
      <c r="E4589" s="17"/>
      <c r="F4589" s="133"/>
      <c r="G4589" s="133"/>
      <c r="H4589" s="133"/>
      <c r="I4589" s="133"/>
      <c r="J4589" s="133"/>
      <c r="K4589" s="133"/>
      <c r="L4589" s="133"/>
      <c r="M4589" s="133"/>
      <c r="N4589" s="133"/>
      <c r="O4589" s="133"/>
      <c r="P4589" s="134"/>
      <c r="Q4589" s="146"/>
      <c r="R4589" s="17"/>
      <c r="S4589" s="17"/>
      <c r="T4589" s="75"/>
      <c r="U4589" s="75"/>
      <c r="V4589" s="75"/>
      <c r="W4589" s="75"/>
      <c r="X4589" s="75"/>
    </row>
    <row r="4590">
      <c r="A4590" s="17"/>
      <c r="B4590" s="17"/>
      <c r="C4590" s="133"/>
      <c r="D4590" s="133"/>
      <c r="E4590" s="17"/>
      <c r="F4590" s="133"/>
      <c r="G4590" s="133"/>
      <c r="H4590" s="133"/>
      <c r="I4590" s="133"/>
      <c r="J4590" s="133"/>
      <c r="K4590" s="133"/>
      <c r="L4590" s="133"/>
      <c r="M4590" s="133"/>
      <c r="N4590" s="133"/>
      <c r="O4590" s="133"/>
      <c r="P4590" s="134"/>
      <c r="Q4590" s="146"/>
      <c r="R4590" s="17"/>
      <c r="S4590" s="17"/>
      <c r="T4590" s="75"/>
      <c r="U4590" s="75"/>
      <c r="V4590" s="75"/>
      <c r="W4590" s="75"/>
      <c r="X4590" s="75"/>
    </row>
    <row r="4591">
      <c r="A4591" s="17"/>
      <c r="B4591" s="17"/>
      <c r="C4591" s="133"/>
      <c r="D4591" s="133"/>
      <c r="E4591" s="17"/>
      <c r="F4591" s="133"/>
      <c r="G4591" s="133"/>
      <c r="H4591" s="133"/>
      <c r="I4591" s="133"/>
      <c r="J4591" s="133"/>
      <c r="K4591" s="133"/>
      <c r="L4591" s="133"/>
      <c r="M4591" s="133"/>
      <c r="N4591" s="133"/>
      <c r="O4591" s="133"/>
      <c r="P4591" s="134"/>
      <c r="Q4591" s="146"/>
      <c r="R4591" s="17"/>
      <c r="S4591" s="17"/>
      <c r="T4591" s="75"/>
      <c r="U4591" s="75"/>
      <c r="V4591" s="75"/>
      <c r="W4591" s="75"/>
      <c r="X4591" s="75"/>
    </row>
    <row r="4592">
      <c r="A4592" s="17"/>
      <c r="B4592" s="17"/>
      <c r="C4592" s="133"/>
      <c r="D4592" s="133"/>
      <c r="E4592" s="17"/>
      <c r="F4592" s="133"/>
      <c r="G4592" s="133"/>
      <c r="H4592" s="133"/>
      <c r="I4592" s="133"/>
      <c r="J4592" s="133"/>
      <c r="K4592" s="133"/>
      <c r="L4592" s="133"/>
      <c r="M4592" s="133"/>
      <c r="N4592" s="133"/>
      <c r="O4592" s="133"/>
      <c r="P4592" s="134"/>
      <c r="Q4592" s="146"/>
      <c r="R4592" s="17"/>
      <c r="S4592" s="17"/>
      <c r="T4592" s="75"/>
      <c r="U4592" s="75"/>
      <c r="V4592" s="75"/>
      <c r="W4592" s="75"/>
      <c r="X4592" s="75"/>
    </row>
    <row r="4593">
      <c r="A4593" s="17"/>
      <c r="B4593" s="17"/>
      <c r="C4593" s="133"/>
      <c r="D4593" s="133"/>
      <c r="E4593" s="17"/>
      <c r="F4593" s="133"/>
      <c r="G4593" s="133"/>
      <c r="H4593" s="133"/>
      <c r="I4593" s="133"/>
      <c r="J4593" s="133"/>
      <c r="K4593" s="133"/>
      <c r="L4593" s="133"/>
      <c r="M4593" s="133"/>
      <c r="N4593" s="133"/>
      <c r="O4593" s="133"/>
      <c r="P4593" s="134"/>
      <c r="Q4593" s="146"/>
      <c r="R4593" s="17"/>
      <c r="S4593" s="17"/>
      <c r="T4593" s="75"/>
      <c r="U4593" s="75"/>
      <c r="V4593" s="75"/>
      <c r="W4593" s="75"/>
      <c r="X4593" s="75"/>
    </row>
    <row r="4594">
      <c r="A4594" s="17"/>
      <c r="B4594" s="17"/>
      <c r="C4594" s="133"/>
      <c r="D4594" s="133"/>
      <c r="E4594" s="17"/>
      <c r="F4594" s="133"/>
      <c r="G4594" s="133"/>
      <c r="H4594" s="133"/>
      <c r="I4594" s="133"/>
      <c r="J4594" s="133"/>
      <c r="K4594" s="133"/>
      <c r="L4594" s="133"/>
      <c r="M4594" s="133"/>
      <c r="N4594" s="133"/>
      <c r="O4594" s="133"/>
      <c r="P4594" s="134"/>
      <c r="Q4594" s="146"/>
      <c r="R4594" s="17"/>
      <c r="S4594" s="17"/>
      <c r="T4594" s="75"/>
      <c r="U4594" s="75"/>
      <c r="V4594" s="75"/>
      <c r="W4594" s="75"/>
      <c r="X4594" s="75"/>
    </row>
    <row r="4595">
      <c r="A4595" s="17"/>
      <c r="B4595" s="17"/>
      <c r="C4595" s="133"/>
      <c r="D4595" s="133"/>
      <c r="E4595" s="17"/>
      <c r="F4595" s="133"/>
      <c r="G4595" s="133"/>
      <c r="H4595" s="133"/>
      <c r="I4595" s="133"/>
      <c r="J4595" s="133"/>
      <c r="K4595" s="133"/>
      <c r="L4595" s="133"/>
      <c r="M4595" s="133"/>
      <c r="N4595" s="133"/>
      <c r="O4595" s="133"/>
      <c r="P4595" s="134"/>
      <c r="Q4595" s="146"/>
      <c r="R4595" s="17"/>
      <c r="S4595" s="17"/>
      <c r="T4595" s="75"/>
      <c r="U4595" s="75"/>
      <c r="V4595" s="75"/>
      <c r="W4595" s="75"/>
      <c r="X4595" s="75"/>
    </row>
    <row r="4596">
      <c r="A4596" s="17"/>
      <c r="B4596" s="17"/>
      <c r="C4596" s="133"/>
      <c r="D4596" s="133"/>
      <c r="E4596" s="17"/>
      <c r="F4596" s="133"/>
      <c r="G4596" s="133"/>
      <c r="H4596" s="133"/>
      <c r="I4596" s="133"/>
      <c r="J4596" s="133"/>
      <c r="K4596" s="133"/>
      <c r="L4596" s="133"/>
      <c r="M4596" s="133"/>
      <c r="N4596" s="133"/>
      <c r="O4596" s="133"/>
      <c r="P4596" s="134"/>
      <c r="Q4596" s="146"/>
      <c r="R4596" s="17"/>
      <c r="S4596" s="17"/>
      <c r="T4596" s="75"/>
      <c r="U4596" s="75"/>
      <c r="V4596" s="75"/>
      <c r="W4596" s="75"/>
      <c r="X4596" s="75"/>
    </row>
    <row r="4597">
      <c r="A4597" s="17"/>
      <c r="B4597" s="17"/>
      <c r="C4597" s="133"/>
      <c r="D4597" s="133"/>
      <c r="E4597" s="17"/>
      <c r="F4597" s="133"/>
      <c r="G4597" s="133"/>
      <c r="H4597" s="133"/>
      <c r="I4597" s="133"/>
      <c r="J4597" s="133"/>
      <c r="K4597" s="133"/>
      <c r="L4597" s="133"/>
      <c r="M4597" s="133"/>
      <c r="N4597" s="133"/>
      <c r="O4597" s="133"/>
      <c r="P4597" s="134"/>
      <c r="Q4597" s="146"/>
      <c r="R4597" s="17"/>
      <c r="S4597" s="17"/>
      <c r="T4597" s="75"/>
      <c r="U4597" s="75"/>
      <c r="V4597" s="75"/>
      <c r="W4597" s="75"/>
      <c r="X4597" s="75"/>
    </row>
    <row r="4598">
      <c r="A4598" s="17"/>
      <c r="B4598" s="17"/>
      <c r="C4598" s="133"/>
      <c r="D4598" s="133"/>
      <c r="E4598" s="17"/>
      <c r="F4598" s="133"/>
      <c r="G4598" s="133"/>
      <c r="H4598" s="133"/>
      <c r="I4598" s="133"/>
      <c r="J4598" s="133"/>
      <c r="K4598" s="133"/>
      <c r="L4598" s="133"/>
      <c r="M4598" s="133"/>
      <c r="N4598" s="133"/>
      <c r="O4598" s="133"/>
      <c r="P4598" s="134"/>
      <c r="Q4598" s="146"/>
      <c r="R4598" s="17"/>
      <c r="S4598" s="17"/>
      <c r="T4598" s="75"/>
      <c r="U4598" s="75"/>
      <c r="V4598" s="75"/>
      <c r="W4598" s="75"/>
      <c r="X4598" s="75"/>
    </row>
    <row r="4599">
      <c r="A4599" s="17"/>
      <c r="B4599" s="17"/>
      <c r="C4599" s="133"/>
      <c r="D4599" s="133"/>
      <c r="E4599" s="17"/>
      <c r="F4599" s="133"/>
      <c r="G4599" s="133"/>
      <c r="H4599" s="133"/>
      <c r="I4599" s="133"/>
      <c r="J4599" s="133"/>
      <c r="K4599" s="133"/>
      <c r="L4599" s="133"/>
      <c r="M4599" s="133"/>
      <c r="N4599" s="133"/>
      <c r="O4599" s="133"/>
      <c r="P4599" s="134"/>
      <c r="Q4599" s="146"/>
      <c r="R4599" s="17"/>
      <c r="S4599" s="17"/>
      <c r="T4599" s="75"/>
      <c r="U4599" s="75"/>
      <c r="V4599" s="75"/>
      <c r="W4599" s="75"/>
      <c r="X4599" s="75"/>
    </row>
    <row r="4600">
      <c r="A4600" s="17"/>
      <c r="B4600" s="17"/>
      <c r="C4600" s="133"/>
      <c r="D4600" s="133"/>
      <c r="E4600" s="17"/>
      <c r="F4600" s="133"/>
      <c r="G4600" s="133"/>
      <c r="H4600" s="133"/>
      <c r="I4600" s="133"/>
      <c r="J4600" s="133"/>
      <c r="K4600" s="133"/>
      <c r="L4600" s="133"/>
      <c r="M4600" s="133"/>
      <c r="N4600" s="133"/>
      <c r="O4600" s="133"/>
      <c r="P4600" s="134"/>
      <c r="Q4600" s="146"/>
      <c r="R4600" s="17"/>
      <c r="S4600" s="17"/>
      <c r="T4600" s="75"/>
      <c r="U4600" s="75"/>
      <c r="V4600" s="75"/>
      <c r="W4600" s="75"/>
      <c r="X4600" s="75"/>
    </row>
    <row r="4601">
      <c r="A4601" s="17"/>
      <c r="B4601" s="17"/>
      <c r="C4601" s="133"/>
      <c r="D4601" s="133"/>
      <c r="E4601" s="17"/>
      <c r="F4601" s="133"/>
      <c r="G4601" s="133"/>
      <c r="H4601" s="133"/>
      <c r="I4601" s="133"/>
      <c r="J4601" s="133"/>
      <c r="K4601" s="133"/>
      <c r="L4601" s="133"/>
      <c r="M4601" s="133"/>
      <c r="N4601" s="133"/>
      <c r="O4601" s="133"/>
      <c r="P4601" s="134"/>
      <c r="Q4601" s="146"/>
      <c r="R4601" s="17"/>
      <c r="S4601" s="17"/>
      <c r="T4601" s="75"/>
      <c r="U4601" s="75"/>
      <c r="V4601" s="75"/>
      <c r="W4601" s="75"/>
      <c r="X4601" s="75"/>
    </row>
    <row r="4602">
      <c r="A4602" s="17"/>
      <c r="B4602" s="17"/>
      <c r="C4602" s="133"/>
      <c r="D4602" s="133"/>
      <c r="E4602" s="17"/>
      <c r="F4602" s="133"/>
      <c r="G4602" s="133"/>
      <c r="H4602" s="133"/>
      <c r="I4602" s="133"/>
      <c r="J4602" s="133"/>
      <c r="K4602" s="133"/>
      <c r="L4602" s="133"/>
      <c r="M4602" s="133"/>
      <c r="N4602" s="133"/>
      <c r="O4602" s="133"/>
      <c r="P4602" s="134"/>
      <c r="Q4602" s="146"/>
      <c r="R4602" s="17"/>
      <c r="S4602" s="17"/>
      <c r="T4602" s="75"/>
      <c r="U4602" s="75"/>
      <c r="V4602" s="75"/>
      <c r="W4602" s="75"/>
      <c r="X4602" s="75"/>
    </row>
    <row r="4603">
      <c r="A4603" s="17"/>
      <c r="B4603" s="17"/>
      <c r="C4603" s="133"/>
      <c r="D4603" s="133"/>
      <c r="E4603" s="17"/>
      <c r="F4603" s="133"/>
      <c r="G4603" s="133"/>
      <c r="H4603" s="133"/>
      <c r="I4603" s="133"/>
      <c r="J4603" s="133"/>
      <c r="K4603" s="133"/>
      <c r="L4603" s="133"/>
      <c r="M4603" s="133"/>
      <c r="N4603" s="133"/>
      <c r="O4603" s="133"/>
      <c r="P4603" s="134"/>
      <c r="Q4603" s="146"/>
      <c r="R4603" s="17"/>
      <c r="S4603" s="17"/>
      <c r="T4603" s="75"/>
      <c r="U4603" s="75"/>
      <c r="V4603" s="75"/>
      <c r="W4603" s="75"/>
      <c r="X4603" s="75"/>
    </row>
    <row r="4604">
      <c r="A4604" s="17"/>
      <c r="B4604" s="17"/>
      <c r="C4604" s="133"/>
      <c r="D4604" s="133"/>
      <c r="E4604" s="17"/>
      <c r="F4604" s="133"/>
      <c r="G4604" s="133"/>
      <c r="H4604" s="133"/>
      <c r="I4604" s="133"/>
      <c r="J4604" s="133"/>
      <c r="K4604" s="133"/>
      <c r="L4604" s="133"/>
      <c r="M4604" s="133"/>
      <c r="N4604" s="133"/>
      <c r="O4604" s="133"/>
      <c r="P4604" s="134"/>
      <c r="Q4604" s="146"/>
      <c r="R4604" s="17"/>
      <c r="S4604" s="17"/>
      <c r="T4604" s="75"/>
      <c r="U4604" s="75"/>
      <c r="V4604" s="75"/>
      <c r="W4604" s="75"/>
      <c r="X4604" s="75"/>
    </row>
    <row r="4605">
      <c r="A4605" s="17"/>
      <c r="B4605" s="17"/>
      <c r="C4605" s="133"/>
      <c r="D4605" s="133"/>
      <c r="E4605" s="17"/>
      <c r="F4605" s="133"/>
      <c r="G4605" s="133"/>
      <c r="H4605" s="133"/>
      <c r="I4605" s="133"/>
      <c r="J4605" s="133"/>
      <c r="K4605" s="133"/>
      <c r="L4605" s="133"/>
      <c r="M4605" s="133"/>
      <c r="N4605" s="133"/>
      <c r="O4605" s="133"/>
      <c r="P4605" s="134"/>
      <c r="Q4605" s="146"/>
      <c r="R4605" s="17"/>
      <c r="S4605" s="17"/>
      <c r="T4605" s="75"/>
      <c r="U4605" s="75"/>
      <c r="V4605" s="75"/>
      <c r="W4605" s="75"/>
      <c r="X4605" s="75"/>
    </row>
    <row r="4606">
      <c r="A4606" s="17"/>
      <c r="B4606" s="17"/>
      <c r="C4606" s="133"/>
      <c r="D4606" s="133"/>
      <c r="E4606" s="17"/>
      <c r="F4606" s="133"/>
      <c r="G4606" s="133"/>
      <c r="H4606" s="133"/>
      <c r="I4606" s="133"/>
      <c r="J4606" s="133"/>
      <c r="K4606" s="133"/>
      <c r="L4606" s="133"/>
      <c r="M4606" s="133"/>
      <c r="N4606" s="133"/>
      <c r="O4606" s="133"/>
      <c r="P4606" s="134"/>
      <c r="Q4606" s="146"/>
      <c r="R4606" s="17"/>
      <c r="S4606" s="17"/>
      <c r="T4606" s="75"/>
      <c r="U4606" s="75"/>
      <c r="V4606" s="75"/>
      <c r="W4606" s="75"/>
      <c r="X4606" s="75"/>
    </row>
    <row r="4607">
      <c r="A4607" s="17"/>
      <c r="B4607" s="17"/>
      <c r="C4607" s="133"/>
      <c r="D4607" s="133"/>
      <c r="E4607" s="17"/>
      <c r="F4607" s="133"/>
      <c r="G4607" s="133"/>
      <c r="H4607" s="133"/>
      <c r="I4607" s="133"/>
      <c r="J4607" s="133"/>
      <c r="K4607" s="133"/>
      <c r="L4607" s="133"/>
      <c r="M4607" s="133"/>
      <c r="N4607" s="133"/>
      <c r="O4607" s="133"/>
      <c r="P4607" s="134"/>
      <c r="Q4607" s="146"/>
      <c r="R4607" s="17"/>
      <c r="S4607" s="17"/>
      <c r="T4607" s="75"/>
      <c r="U4607" s="75"/>
      <c r="V4607" s="75"/>
      <c r="W4607" s="75"/>
      <c r="X4607" s="75"/>
    </row>
    <row r="4608">
      <c r="A4608" s="17"/>
      <c r="B4608" s="17"/>
      <c r="C4608" s="133"/>
      <c r="D4608" s="133"/>
      <c r="E4608" s="17"/>
      <c r="F4608" s="133"/>
      <c r="G4608" s="133"/>
      <c r="H4608" s="133"/>
      <c r="I4608" s="133"/>
      <c r="J4608" s="133"/>
      <c r="K4608" s="133"/>
      <c r="L4608" s="133"/>
      <c r="M4608" s="133"/>
      <c r="N4608" s="133"/>
      <c r="O4608" s="133"/>
      <c r="P4608" s="134"/>
      <c r="Q4608" s="146"/>
      <c r="R4608" s="17"/>
      <c r="S4608" s="17"/>
      <c r="T4608" s="75"/>
      <c r="U4608" s="75"/>
      <c r="V4608" s="75"/>
      <c r="W4608" s="75"/>
      <c r="X4608" s="75"/>
    </row>
    <row r="4609">
      <c r="A4609" s="17"/>
      <c r="B4609" s="17"/>
      <c r="C4609" s="133"/>
      <c r="D4609" s="133"/>
      <c r="E4609" s="17"/>
      <c r="F4609" s="133"/>
      <c r="G4609" s="133"/>
      <c r="H4609" s="133"/>
      <c r="I4609" s="133"/>
      <c r="J4609" s="133"/>
      <c r="K4609" s="133"/>
      <c r="L4609" s="133"/>
      <c r="M4609" s="133"/>
      <c r="N4609" s="133"/>
      <c r="O4609" s="133"/>
      <c r="P4609" s="134"/>
      <c r="Q4609" s="146"/>
      <c r="R4609" s="17"/>
      <c r="S4609" s="17"/>
      <c r="T4609" s="75"/>
      <c r="U4609" s="75"/>
      <c r="V4609" s="75"/>
      <c r="W4609" s="75"/>
      <c r="X4609" s="75"/>
    </row>
    <row r="4610">
      <c r="A4610" s="17"/>
      <c r="B4610" s="17"/>
      <c r="C4610" s="133"/>
      <c r="D4610" s="133"/>
      <c r="E4610" s="17"/>
      <c r="F4610" s="133"/>
      <c r="G4610" s="133"/>
      <c r="H4610" s="133"/>
      <c r="I4610" s="133"/>
      <c r="J4610" s="133"/>
      <c r="K4610" s="133"/>
      <c r="L4610" s="133"/>
      <c r="M4610" s="133"/>
      <c r="N4610" s="133"/>
      <c r="O4610" s="133"/>
      <c r="P4610" s="134"/>
      <c r="Q4610" s="146"/>
      <c r="R4610" s="17"/>
      <c r="S4610" s="17"/>
      <c r="T4610" s="75"/>
      <c r="U4610" s="75"/>
      <c r="V4610" s="75"/>
      <c r="W4610" s="75"/>
      <c r="X4610" s="75"/>
    </row>
    <row r="4611">
      <c r="A4611" s="17"/>
      <c r="B4611" s="17"/>
      <c r="C4611" s="133"/>
      <c r="D4611" s="133"/>
      <c r="E4611" s="17"/>
      <c r="F4611" s="133"/>
      <c r="G4611" s="133"/>
      <c r="H4611" s="133"/>
      <c r="I4611" s="133"/>
      <c r="J4611" s="133"/>
      <c r="K4611" s="133"/>
      <c r="L4611" s="133"/>
      <c r="M4611" s="133"/>
      <c r="N4611" s="133"/>
      <c r="O4611" s="133"/>
      <c r="P4611" s="134"/>
      <c r="Q4611" s="146"/>
      <c r="R4611" s="17"/>
      <c r="S4611" s="17"/>
      <c r="T4611" s="75"/>
      <c r="U4611" s="75"/>
      <c r="V4611" s="75"/>
      <c r="W4611" s="75"/>
      <c r="X4611" s="75"/>
    </row>
    <row r="4612">
      <c r="A4612" s="17"/>
      <c r="B4612" s="17"/>
      <c r="C4612" s="133"/>
      <c r="D4612" s="133"/>
      <c r="E4612" s="17"/>
      <c r="F4612" s="133"/>
      <c r="G4612" s="133"/>
      <c r="H4612" s="133"/>
      <c r="I4612" s="133"/>
      <c r="J4612" s="133"/>
      <c r="K4612" s="133"/>
      <c r="L4612" s="133"/>
      <c r="M4612" s="133"/>
      <c r="N4612" s="133"/>
      <c r="O4612" s="133"/>
      <c r="P4612" s="134"/>
      <c r="Q4612" s="146"/>
      <c r="R4612" s="17"/>
      <c r="S4612" s="17"/>
      <c r="T4612" s="75"/>
      <c r="U4612" s="75"/>
      <c r="V4612" s="75"/>
      <c r="W4612" s="75"/>
      <c r="X4612" s="75"/>
    </row>
    <row r="4613">
      <c r="A4613" s="17"/>
      <c r="B4613" s="17"/>
      <c r="C4613" s="133"/>
      <c r="D4613" s="133"/>
      <c r="E4613" s="17"/>
      <c r="F4613" s="133"/>
      <c r="G4613" s="133"/>
      <c r="H4613" s="133"/>
      <c r="I4613" s="133"/>
      <c r="J4613" s="133"/>
      <c r="K4613" s="133"/>
      <c r="L4613" s="133"/>
      <c r="M4613" s="133"/>
      <c r="N4613" s="133"/>
      <c r="O4613" s="133"/>
      <c r="P4613" s="134"/>
      <c r="Q4613" s="146"/>
      <c r="R4613" s="17"/>
      <c r="S4613" s="17"/>
      <c r="T4613" s="75"/>
      <c r="U4613" s="75"/>
      <c r="V4613" s="75"/>
      <c r="W4613" s="75"/>
      <c r="X4613" s="75"/>
    </row>
    <row r="4614">
      <c r="A4614" s="17"/>
      <c r="B4614" s="17"/>
      <c r="C4614" s="133"/>
      <c r="D4614" s="133"/>
      <c r="E4614" s="17"/>
      <c r="F4614" s="133"/>
      <c r="G4614" s="133"/>
      <c r="H4614" s="133"/>
      <c r="I4614" s="133"/>
      <c r="J4614" s="133"/>
      <c r="K4614" s="133"/>
      <c r="L4614" s="133"/>
      <c r="M4614" s="133"/>
      <c r="N4614" s="133"/>
      <c r="O4614" s="133"/>
      <c r="P4614" s="134"/>
      <c r="Q4614" s="146"/>
      <c r="R4614" s="17"/>
      <c r="S4614" s="17"/>
      <c r="T4614" s="75"/>
      <c r="U4614" s="75"/>
      <c r="V4614" s="75"/>
      <c r="W4614" s="75"/>
      <c r="X4614" s="75"/>
    </row>
    <row r="4615">
      <c r="A4615" s="17"/>
      <c r="B4615" s="17"/>
      <c r="C4615" s="133"/>
      <c r="D4615" s="133"/>
      <c r="E4615" s="17"/>
      <c r="F4615" s="133"/>
      <c r="G4615" s="133"/>
      <c r="H4615" s="133"/>
      <c r="I4615" s="133"/>
      <c r="J4615" s="133"/>
      <c r="K4615" s="133"/>
      <c r="L4615" s="133"/>
      <c r="M4615" s="133"/>
      <c r="N4615" s="133"/>
      <c r="O4615" s="133"/>
      <c r="P4615" s="134"/>
      <c r="Q4615" s="146"/>
      <c r="R4615" s="17"/>
      <c r="S4615" s="17"/>
      <c r="T4615" s="75"/>
      <c r="U4615" s="75"/>
      <c r="V4615" s="75"/>
      <c r="W4615" s="75"/>
      <c r="X4615" s="75"/>
    </row>
    <row r="4616">
      <c r="A4616" s="17"/>
      <c r="B4616" s="17"/>
      <c r="C4616" s="133"/>
      <c r="D4616" s="133"/>
      <c r="E4616" s="17"/>
      <c r="F4616" s="133"/>
      <c r="G4616" s="133"/>
      <c r="H4616" s="133"/>
      <c r="I4616" s="133"/>
      <c r="J4616" s="133"/>
      <c r="K4616" s="133"/>
      <c r="L4616" s="133"/>
      <c r="M4616" s="133"/>
      <c r="N4616" s="133"/>
      <c r="O4616" s="133"/>
      <c r="P4616" s="134"/>
      <c r="Q4616" s="146"/>
      <c r="R4616" s="17"/>
      <c r="S4616" s="17"/>
      <c r="T4616" s="75"/>
      <c r="U4616" s="75"/>
      <c r="V4616" s="75"/>
      <c r="W4616" s="75"/>
      <c r="X4616" s="75"/>
    </row>
    <row r="4617">
      <c r="A4617" s="17"/>
      <c r="B4617" s="17"/>
      <c r="C4617" s="133"/>
      <c r="D4617" s="133"/>
      <c r="E4617" s="17"/>
      <c r="F4617" s="133"/>
      <c r="G4617" s="133"/>
      <c r="H4617" s="133"/>
      <c r="I4617" s="133"/>
      <c r="J4617" s="133"/>
      <c r="K4617" s="133"/>
      <c r="L4617" s="133"/>
      <c r="M4617" s="133"/>
      <c r="N4617" s="133"/>
      <c r="O4617" s="133"/>
      <c r="P4617" s="134"/>
      <c r="Q4617" s="146"/>
      <c r="R4617" s="17"/>
      <c r="S4617" s="17"/>
      <c r="T4617" s="75"/>
      <c r="U4617" s="75"/>
      <c r="V4617" s="75"/>
      <c r="W4617" s="75"/>
      <c r="X4617" s="75"/>
    </row>
    <row r="4618">
      <c r="A4618" s="17"/>
      <c r="B4618" s="17"/>
      <c r="C4618" s="133"/>
      <c r="D4618" s="133"/>
      <c r="E4618" s="17"/>
      <c r="F4618" s="133"/>
      <c r="G4618" s="133"/>
      <c r="H4618" s="133"/>
      <c r="I4618" s="133"/>
      <c r="J4618" s="133"/>
      <c r="K4618" s="133"/>
      <c r="L4618" s="133"/>
      <c r="M4618" s="133"/>
      <c r="N4618" s="133"/>
      <c r="O4618" s="133"/>
      <c r="P4618" s="134"/>
      <c r="Q4618" s="146"/>
      <c r="R4618" s="17"/>
      <c r="S4618" s="17"/>
      <c r="T4618" s="75"/>
      <c r="U4618" s="75"/>
      <c r="V4618" s="75"/>
      <c r="W4618" s="75"/>
      <c r="X4618" s="75"/>
    </row>
    <row r="4619">
      <c r="A4619" s="17"/>
      <c r="B4619" s="17"/>
      <c r="C4619" s="133"/>
      <c r="D4619" s="133"/>
      <c r="E4619" s="17"/>
      <c r="F4619" s="133"/>
      <c r="G4619" s="133"/>
      <c r="H4619" s="133"/>
      <c r="I4619" s="133"/>
      <c r="J4619" s="133"/>
      <c r="K4619" s="133"/>
      <c r="L4619" s="133"/>
      <c r="M4619" s="133"/>
      <c r="N4619" s="133"/>
      <c r="O4619" s="133"/>
      <c r="P4619" s="134"/>
      <c r="Q4619" s="146"/>
      <c r="R4619" s="17"/>
      <c r="S4619" s="17"/>
      <c r="T4619" s="75"/>
      <c r="U4619" s="75"/>
      <c r="V4619" s="75"/>
      <c r="W4619" s="75"/>
      <c r="X4619" s="75"/>
    </row>
    <row r="4620">
      <c r="A4620" s="17"/>
      <c r="B4620" s="17"/>
      <c r="C4620" s="133"/>
      <c r="D4620" s="133"/>
      <c r="E4620" s="17"/>
      <c r="F4620" s="133"/>
      <c r="G4620" s="133"/>
      <c r="H4620" s="133"/>
      <c r="I4620" s="133"/>
      <c r="J4620" s="133"/>
      <c r="K4620" s="133"/>
      <c r="L4620" s="133"/>
      <c r="M4620" s="133"/>
      <c r="N4620" s="133"/>
      <c r="O4620" s="133"/>
      <c r="P4620" s="134"/>
      <c r="Q4620" s="146"/>
      <c r="R4620" s="17"/>
      <c r="S4620" s="17"/>
      <c r="T4620" s="75"/>
      <c r="U4620" s="75"/>
      <c r="V4620" s="75"/>
      <c r="W4620" s="75"/>
      <c r="X4620" s="75"/>
    </row>
    <row r="4621">
      <c r="A4621" s="17"/>
      <c r="B4621" s="17"/>
      <c r="C4621" s="133"/>
      <c r="D4621" s="133"/>
      <c r="E4621" s="17"/>
      <c r="F4621" s="133"/>
      <c r="G4621" s="133"/>
      <c r="H4621" s="133"/>
      <c r="I4621" s="133"/>
      <c r="J4621" s="133"/>
      <c r="K4621" s="133"/>
      <c r="L4621" s="133"/>
      <c r="M4621" s="133"/>
      <c r="N4621" s="133"/>
      <c r="O4621" s="133"/>
      <c r="P4621" s="134"/>
      <c r="Q4621" s="146"/>
      <c r="R4621" s="17"/>
      <c r="S4621" s="17"/>
      <c r="T4621" s="75"/>
      <c r="U4621" s="75"/>
      <c r="V4621" s="75"/>
      <c r="W4621" s="75"/>
      <c r="X4621" s="75"/>
    </row>
    <row r="4622">
      <c r="A4622" s="17"/>
      <c r="B4622" s="17"/>
      <c r="C4622" s="133"/>
      <c r="D4622" s="133"/>
      <c r="E4622" s="17"/>
      <c r="F4622" s="133"/>
      <c r="G4622" s="133"/>
      <c r="H4622" s="133"/>
      <c r="I4622" s="133"/>
      <c r="J4622" s="133"/>
      <c r="K4622" s="133"/>
      <c r="L4622" s="133"/>
      <c r="M4622" s="133"/>
      <c r="N4622" s="133"/>
      <c r="O4622" s="133"/>
      <c r="P4622" s="134"/>
      <c r="Q4622" s="146"/>
      <c r="R4622" s="17"/>
      <c r="S4622" s="17"/>
      <c r="T4622" s="75"/>
      <c r="U4622" s="75"/>
      <c r="V4622" s="75"/>
      <c r="W4622" s="75"/>
      <c r="X4622" s="75"/>
    </row>
    <row r="4623">
      <c r="A4623" s="17"/>
      <c r="B4623" s="17"/>
      <c r="C4623" s="133"/>
      <c r="D4623" s="133"/>
      <c r="E4623" s="17"/>
      <c r="F4623" s="133"/>
      <c r="G4623" s="133"/>
      <c r="H4623" s="133"/>
      <c r="I4623" s="133"/>
      <c r="J4623" s="133"/>
      <c r="K4623" s="133"/>
      <c r="L4623" s="133"/>
      <c r="M4623" s="133"/>
      <c r="N4623" s="133"/>
      <c r="O4623" s="133"/>
      <c r="P4623" s="134"/>
      <c r="Q4623" s="146"/>
      <c r="R4623" s="17"/>
      <c r="S4623" s="17"/>
      <c r="T4623" s="75"/>
      <c r="U4623" s="75"/>
      <c r="V4623" s="75"/>
      <c r="W4623" s="75"/>
      <c r="X4623" s="75"/>
    </row>
    <row r="4624">
      <c r="A4624" s="17"/>
      <c r="B4624" s="17"/>
      <c r="C4624" s="133"/>
      <c r="D4624" s="133"/>
      <c r="E4624" s="17"/>
      <c r="F4624" s="133"/>
      <c r="G4624" s="133"/>
      <c r="H4624" s="133"/>
      <c r="I4624" s="133"/>
      <c r="J4624" s="133"/>
      <c r="K4624" s="133"/>
      <c r="L4624" s="133"/>
      <c r="M4624" s="133"/>
      <c r="N4624" s="133"/>
      <c r="O4624" s="133"/>
      <c r="P4624" s="134"/>
      <c r="Q4624" s="146"/>
      <c r="R4624" s="17"/>
      <c r="S4624" s="17"/>
      <c r="T4624" s="75"/>
      <c r="U4624" s="75"/>
      <c r="V4624" s="75"/>
      <c r="W4624" s="75"/>
      <c r="X4624" s="75"/>
    </row>
    <row r="4625">
      <c r="A4625" s="17"/>
      <c r="B4625" s="17"/>
      <c r="C4625" s="133"/>
      <c r="D4625" s="133"/>
      <c r="E4625" s="17"/>
      <c r="F4625" s="133"/>
      <c r="G4625" s="133"/>
      <c r="H4625" s="133"/>
      <c r="I4625" s="133"/>
      <c r="J4625" s="133"/>
      <c r="K4625" s="133"/>
      <c r="L4625" s="133"/>
      <c r="M4625" s="133"/>
      <c r="N4625" s="133"/>
      <c r="O4625" s="133"/>
      <c r="P4625" s="134"/>
      <c r="Q4625" s="146"/>
      <c r="R4625" s="17"/>
      <c r="S4625" s="17"/>
      <c r="T4625" s="75"/>
      <c r="U4625" s="75"/>
      <c r="V4625" s="75"/>
      <c r="W4625" s="75"/>
      <c r="X4625" s="75"/>
    </row>
    <row r="4626">
      <c r="A4626" s="17"/>
      <c r="B4626" s="17"/>
      <c r="C4626" s="133"/>
      <c r="D4626" s="133"/>
      <c r="E4626" s="17"/>
      <c r="F4626" s="133"/>
      <c r="G4626" s="133"/>
      <c r="H4626" s="133"/>
      <c r="I4626" s="133"/>
      <c r="J4626" s="133"/>
      <c r="K4626" s="133"/>
      <c r="L4626" s="133"/>
      <c r="M4626" s="133"/>
      <c r="N4626" s="133"/>
      <c r="O4626" s="133"/>
      <c r="P4626" s="134"/>
      <c r="Q4626" s="146"/>
      <c r="R4626" s="17"/>
      <c r="S4626" s="17"/>
      <c r="T4626" s="75"/>
      <c r="U4626" s="75"/>
      <c r="V4626" s="75"/>
      <c r="W4626" s="75"/>
      <c r="X4626" s="75"/>
    </row>
    <row r="4627">
      <c r="A4627" s="17"/>
      <c r="B4627" s="17"/>
      <c r="C4627" s="133"/>
      <c r="D4627" s="133"/>
      <c r="E4627" s="17"/>
      <c r="F4627" s="133"/>
      <c r="G4627" s="133"/>
      <c r="H4627" s="133"/>
      <c r="I4627" s="133"/>
      <c r="J4627" s="133"/>
      <c r="K4627" s="133"/>
      <c r="L4627" s="133"/>
      <c r="M4627" s="133"/>
      <c r="N4627" s="133"/>
      <c r="O4627" s="133"/>
      <c r="P4627" s="134"/>
      <c r="Q4627" s="146"/>
      <c r="R4627" s="17"/>
      <c r="S4627" s="17"/>
      <c r="T4627" s="75"/>
      <c r="U4627" s="75"/>
      <c r="V4627" s="75"/>
      <c r="W4627" s="75"/>
      <c r="X4627" s="75"/>
    </row>
    <row r="4628">
      <c r="A4628" s="17"/>
      <c r="B4628" s="17"/>
      <c r="C4628" s="133"/>
      <c r="D4628" s="133"/>
      <c r="E4628" s="17"/>
      <c r="F4628" s="133"/>
      <c r="G4628" s="133"/>
      <c r="H4628" s="133"/>
      <c r="I4628" s="133"/>
      <c r="J4628" s="133"/>
      <c r="K4628" s="133"/>
      <c r="L4628" s="133"/>
      <c r="M4628" s="133"/>
      <c r="N4628" s="133"/>
      <c r="O4628" s="133"/>
      <c r="P4628" s="134"/>
      <c r="Q4628" s="146"/>
      <c r="R4628" s="17"/>
      <c r="S4628" s="17"/>
      <c r="T4628" s="75"/>
      <c r="U4628" s="75"/>
      <c r="V4628" s="75"/>
      <c r="W4628" s="75"/>
      <c r="X4628" s="75"/>
    </row>
    <row r="4629">
      <c r="A4629" s="17"/>
      <c r="B4629" s="17"/>
      <c r="C4629" s="133"/>
      <c r="D4629" s="133"/>
      <c r="E4629" s="17"/>
      <c r="F4629" s="133"/>
      <c r="G4629" s="133"/>
      <c r="H4629" s="133"/>
      <c r="I4629" s="133"/>
      <c r="J4629" s="133"/>
      <c r="K4629" s="133"/>
      <c r="L4629" s="133"/>
      <c r="M4629" s="133"/>
      <c r="N4629" s="133"/>
      <c r="O4629" s="133"/>
      <c r="P4629" s="134"/>
      <c r="Q4629" s="146"/>
      <c r="R4629" s="17"/>
      <c r="S4629" s="17"/>
      <c r="T4629" s="75"/>
      <c r="U4629" s="75"/>
      <c r="V4629" s="75"/>
      <c r="W4629" s="75"/>
      <c r="X4629" s="75"/>
    </row>
    <row r="4630">
      <c r="A4630" s="17"/>
      <c r="B4630" s="17"/>
      <c r="C4630" s="133"/>
      <c r="D4630" s="133"/>
      <c r="E4630" s="17"/>
      <c r="F4630" s="133"/>
      <c r="G4630" s="133"/>
      <c r="H4630" s="133"/>
      <c r="I4630" s="133"/>
      <c r="J4630" s="133"/>
      <c r="K4630" s="133"/>
      <c r="L4630" s="133"/>
      <c r="M4630" s="133"/>
      <c r="N4630" s="133"/>
      <c r="O4630" s="133"/>
      <c r="P4630" s="134"/>
      <c r="Q4630" s="146"/>
      <c r="R4630" s="17"/>
      <c r="S4630" s="17"/>
      <c r="T4630" s="75"/>
      <c r="U4630" s="75"/>
      <c r="V4630" s="75"/>
      <c r="W4630" s="75"/>
      <c r="X4630" s="75"/>
    </row>
    <row r="4631">
      <c r="A4631" s="17"/>
      <c r="B4631" s="17"/>
      <c r="C4631" s="133"/>
      <c r="D4631" s="133"/>
      <c r="E4631" s="17"/>
      <c r="F4631" s="133"/>
      <c r="G4631" s="133"/>
      <c r="H4631" s="133"/>
      <c r="I4631" s="133"/>
      <c r="J4631" s="133"/>
      <c r="K4631" s="133"/>
      <c r="L4631" s="133"/>
      <c r="M4631" s="133"/>
      <c r="N4631" s="133"/>
      <c r="O4631" s="133"/>
      <c r="P4631" s="134"/>
      <c r="Q4631" s="146"/>
      <c r="R4631" s="17"/>
      <c r="S4631" s="17"/>
      <c r="T4631" s="75"/>
      <c r="U4631" s="75"/>
      <c r="V4631" s="75"/>
      <c r="W4631" s="75"/>
      <c r="X4631" s="75"/>
    </row>
    <row r="4632">
      <c r="A4632" s="17"/>
      <c r="B4632" s="17"/>
      <c r="C4632" s="133"/>
      <c r="D4632" s="133"/>
      <c r="E4632" s="17"/>
      <c r="F4632" s="133"/>
      <c r="G4632" s="133"/>
      <c r="H4632" s="133"/>
      <c r="I4632" s="133"/>
      <c r="J4632" s="133"/>
      <c r="K4632" s="133"/>
      <c r="L4632" s="133"/>
      <c r="M4632" s="133"/>
      <c r="N4632" s="133"/>
      <c r="O4632" s="133"/>
      <c r="P4632" s="134"/>
      <c r="Q4632" s="146"/>
      <c r="R4632" s="17"/>
      <c r="S4632" s="17"/>
      <c r="T4632" s="75"/>
      <c r="U4632" s="75"/>
      <c r="V4632" s="75"/>
      <c r="W4632" s="75"/>
      <c r="X4632" s="75"/>
    </row>
    <row r="4633">
      <c r="A4633" s="17"/>
      <c r="B4633" s="17"/>
      <c r="C4633" s="133"/>
      <c r="D4633" s="133"/>
      <c r="E4633" s="17"/>
      <c r="F4633" s="133"/>
      <c r="G4633" s="133"/>
      <c r="H4633" s="133"/>
      <c r="I4633" s="133"/>
      <c r="J4633" s="133"/>
      <c r="K4633" s="133"/>
      <c r="L4633" s="133"/>
      <c r="M4633" s="133"/>
      <c r="N4633" s="133"/>
      <c r="O4633" s="133"/>
      <c r="P4633" s="134"/>
      <c r="Q4633" s="146"/>
      <c r="R4633" s="17"/>
      <c r="S4633" s="17"/>
      <c r="T4633" s="75"/>
      <c r="U4633" s="75"/>
      <c r="V4633" s="75"/>
      <c r="W4633" s="75"/>
      <c r="X4633" s="75"/>
    </row>
    <row r="4634">
      <c r="A4634" s="17"/>
      <c r="B4634" s="17"/>
      <c r="C4634" s="133"/>
      <c r="D4634" s="133"/>
      <c r="E4634" s="17"/>
      <c r="F4634" s="133"/>
      <c r="G4634" s="133"/>
      <c r="H4634" s="133"/>
      <c r="I4634" s="133"/>
      <c r="J4634" s="133"/>
      <c r="K4634" s="133"/>
      <c r="L4634" s="133"/>
      <c r="M4634" s="133"/>
      <c r="N4634" s="133"/>
      <c r="O4634" s="133"/>
      <c r="P4634" s="134"/>
      <c r="Q4634" s="146"/>
      <c r="R4634" s="17"/>
      <c r="S4634" s="17"/>
      <c r="T4634" s="75"/>
      <c r="U4634" s="75"/>
      <c r="V4634" s="75"/>
      <c r="W4634" s="75"/>
      <c r="X4634" s="75"/>
    </row>
    <row r="4635">
      <c r="A4635" s="17"/>
      <c r="B4635" s="17"/>
      <c r="C4635" s="133"/>
      <c r="D4635" s="133"/>
      <c r="E4635" s="17"/>
      <c r="F4635" s="133"/>
      <c r="G4635" s="133"/>
      <c r="H4635" s="133"/>
      <c r="I4635" s="133"/>
      <c r="J4635" s="133"/>
      <c r="K4635" s="133"/>
      <c r="L4635" s="133"/>
      <c r="M4635" s="133"/>
      <c r="N4635" s="133"/>
      <c r="O4635" s="133"/>
      <c r="P4635" s="134"/>
      <c r="Q4635" s="146"/>
      <c r="R4635" s="17"/>
      <c r="S4635" s="17"/>
      <c r="T4635" s="75"/>
      <c r="U4635" s="75"/>
      <c r="V4635" s="75"/>
      <c r="W4635" s="75"/>
      <c r="X4635" s="75"/>
    </row>
    <row r="4636">
      <c r="A4636" s="17"/>
      <c r="B4636" s="17"/>
      <c r="C4636" s="133"/>
      <c r="D4636" s="133"/>
      <c r="E4636" s="17"/>
      <c r="F4636" s="133"/>
      <c r="G4636" s="133"/>
      <c r="H4636" s="133"/>
      <c r="I4636" s="133"/>
      <c r="J4636" s="133"/>
      <c r="K4636" s="133"/>
      <c r="L4636" s="133"/>
      <c r="M4636" s="133"/>
      <c r="N4636" s="133"/>
      <c r="O4636" s="133"/>
      <c r="P4636" s="134"/>
      <c r="Q4636" s="146"/>
      <c r="R4636" s="17"/>
      <c r="S4636" s="17"/>
      <c r="T4636" s="75"/>
      <c r="U4636" s="75"/>
      <c r="V4636" s="75"/>
      <c r="W4636" s="75"/>
      <c r="X4636" s="75"/>
    </row>
    <row r="4637">
      <c r="A4637" s="17"/>
      <c r="B4637" s="17"/>
      <c r="C4637" s="133"/>
      <c r="D4637" s="133"/>
      <c r="E4637" s="17"/>
      <c r="F4637" s="133"/>
      <c r="G4637" s="133"/>
      <c r="H4637" s="133"/>
      <c r="I4637" s="133"/>
      <c r="J4637" s="133"/>
      <c r="K4637" s="133"/>
      <c r="L4637" s="133"/>
      <c r="M4637" s="133"/>
      <c r="N4637" s="133"/>
      <c r="O4637" s="133"/>
      <c r="P4637" s="134"/>
      <c r="Q4637" s="146"/>
      <c r="R4637" s="17"/>
      <c r="S4637" s="17"/>
      <c r="T4637" s="75"/>
      <c r="U4637" s="75"/>
      <c r="V4637" s="75"/>
      <c r="W4637" s="75"/>
      <c r="X4637" s="75"/>
    </row>
    <row r="4638">
      <c r="A4638" s="17"/>
      <c r="B4638" s="17"/>
      <c r="C4638" s="133"/>
      <c r="D4638" s="133"/>
      <c r="E4638" s="17"/>
      <c r="F4638" s="133"/>
      <c r="G4638" s="133"/>
      <c r="H4638" s="133"/>
      <c r="I4638" s="133"/>
      <c r="J4638" s="133"/>
      <c r="K4638" s="133"/>
      <c r="L4638" s="133"/>
      <c r="M4638" s="133"/>
      <c r="N4638" s="133"/>
      <c r="O4638" s="133"/>
      <c r="P4638" s="134"/>
      <c r="Q4638" s="146"/>
      <c r="R4638" s="17"/>
      <c r="S4638" s="17"/>
      <c r="T4638" s="75"/>
      <c r="U4638" s="75"/>
      <c r="V4638" s="75"/>
      <c r="W4638" s="75"/>
      <c r="X4638" s="75"/>
    </row>
    <row r="4639">
      <c r="A4639" s="17"/>
      <c r="B4639" s="17"/>
      <c r="C4639" s="133"/>
      <c r="D4639" s="133"/>
      <c r="E4639" s="17"/>
      <c r="F4639" s="133"/>
      <c r="G4639" s="133"/>
      <c r="H4639" s="133"/>
      <c r="I4639" s="133"/>
      <c r="J4639" s="133"/>
      <c r="K4639" s="133"/>
      <c r="L4639" s="133"/>
      <c r="M4639" s="133"/>
      <c r="N4639" s="133"/>
      <c r="O4639" s="133"/>
      <c r="P4639" s="134"/>
      <c r="Q4639" s="146"/>
      <c r="R4639" s="17"/>
      <c r="S4639" s="17"/>
      <c r="T4639" s="75"/>
      <c r="U4639" s="75"/>
      <c r="V4639" s="75"/>
      <c r="W4639" s="75"/>
      <c r="X4639" s="75"/>
    </row>
    <row r="4640">
      <c r="A4640" s="17"/>
      <c r="B4640" s="17"/>
      <c r="C4640" s="133"/>
      <c r="D4640" s="133"/>
      <c r="E4640" s="17"/>
      <c r="F4640" s="133"/>
      <c r="G4640" s="133"/>
      <c r="H4640" s="133"/>
      <c r="I4640" s="133"/>
      <c r="J4640" s="133"/>
      <c r="K4640" s="133"/>
      <c r="L4640" s="133"/>
      <c r="M4640" s="133"/>
      <c r="N4640" s="133"/>
      <c r="O4640" s="133"/>
      <c r="P4640" s="134"/>
      <c r="Q4640" s="146"/>
      <c r="R4640" s="17"/>
      <c r="S4640" s="17"/>
      <c r="T4640" s="75"/>
      <c r="U4640" s="75"/>
      <c r="V4640" s="75"/>
      <c r="W4640" s="75"/>
      <c r="X4640" s="75"/>
    </row>
    <row r="4641">
      <c r="A4641" s="17"/>
      <c r="B4641" s="17"/>
      <c r="C4641" s="133"/>
      <c r="D4641" s="133"/>
      <c r="E4641" s="17"/>
      <c r="F4641" s="133"/>
      <c r="G4641" s="133"/>
      <c r="H4641" s="133"/>
      <c r="I4641" s="133"/>
      <c r="J4641" s="133"/>
      <c r="K4641" s="133"/>
      <c r="L4641" s="133"/>
      <c r="M4641" s="133"/>
      <c r="N4641" s="133"/>
      <c r="O4641" s="133"/>
      <c r="P4641" s="134"/>
      <c r="Q4641" s="146"/>
      <c r="R4641" s="17"/>
      <c r="S4641" s="17"/>
      <c r="T4641" s="75"/>
      <c r="U4641" s="75"/>
      <c r="V4641" s="75"/>
      <c r="W4641" s="75"/>
      <c r="X4641" s="75"/>
    </row>
    <row r="4642">
      <c r="A4642" s="17"/>
      <c r="B4642" s="17"/>
      <c r="C4642" s="133"/>
      <c r="D4642" s="133"/>
      <c r="E4642" s="17"/>
      <c r="F4642" s="133"/>
      <c r="G4642" s="133"/>
      <c r="H4642" s="133"/>
      <c r="I4642" s="133"/>
      <c r="J4642" s="133"/>
      <c r="K4642" s="133"/>
      <c r="L4642" s="133"/>
      <c r="M4642" s="133"/>
      <c r="N4642" s="133"/>
      <c r="O4642" s="133"/>
      <c r="P4642" s="134"/>
      <c r="Q4642" s="146"/>
      <c r="R4642" s="17"/>
      <c r="S4642" s="17"/>
      <c r="T4642" s="75"/>
      <c r="U4642" s="75"/>
      <c r="V4642" s="75"/>
      <c r="W4642" s="75"/>
      <c r="X4642" s="75"/>
    </row>
    <row r="4643">
      <c r="A4643" s="17"/>
      <c r="B4643" s="17"/>
      <c r="C4643" s="133"/>
      <c r="D4643" s="133"/>
      <c r="E4643" s="17"/>
      <c r="F4643" s="133"/>
      <c r="G4643" s="133"/>
      <c r="H4643" s="133"/>
      <c r="I4643" s="133"/>
      <c r="J4643" s="133"/>
      <c r="K4643" s="133"/>
      <c r="L4643" s="133"/>
      <c r="M4643" s="133"/>
      <c r="N4643" s="133"/>
      <c r="O4643" s="133"/>
      <c r="P4643" s="134"/>
      <c r="Q4643" s="146"/>
      <c r="R4643" s="17"/>
      <c r="S4643" s="17"/>
      <c r="T4643" s="75"/>
      <c r="U4643" s="75"/>
      <c r="V4643" s="75"/>
      <c r="W4643" s="75"/>
      <c r="X4643" s="75"/>
    </row>
    <row r="4644">
      <c r="A4644" s="17"/>
      <c r="B4644" s="17"/>
      <c r="C4644" s="133"/>
      <c r="D4644" s="133"/>
      <c r="E4644" s="17"/>
      <c r="F4644" s="133"/>
      <c r="G4644" s="133"/>
      <c r="H4644" s="133"/>
      <c r="I4644" s="133"/>
      <c r="J4644" s="133"/>
      <c r="K4644" s="133"/>
      <c r="L4644" s="133"/>
      <c r="M4644" s="133"/>
      <c r="N4644" s="133"/>
      <c r="O4644" s="133"/>
      <c r="P4644" s="134"/>
      <c r="Q4644" s="146"/>
      <c r="R4644" s="17"/>
      <c r="S4644" s="17"/>
      <c r="T4644" s="75"/>
      <c r="U4644" s="75"/>
      <c r="V4644" s="75"/>
      <c r="W4644" s="75"/>
      <c r="X4644" s="75"/>
    </row>
    <row r="4645">
      <c r="A4645" s="17"/>
      <c r="B4645" s="17"/>
      <c r="C4645" s="133"/>
      <c r="D4645" s="133"/>
      <c r="E4645" s="17"/>
      <c r="F4645" s="133"/>
      <c r="G4645" s="133"/>
      <c r="H4645" s="133"/>
      <c r="I4645" s="133"/>
      <c r="J4645" s="133"/>
      <c r="K4645" s="133"/>
      <c r="L4645" s="133"/>
      <c r="M4645" s="133"/>
      <c r="N4645" s="133"/>
      <c r="O4645" s="133"/>
      <c r="P4645" s="134"/>
      <c r="Q4645" s="146"/>
      <c r="R4645" s="17"/>
      <c r="S4645" s="17"/>
      <c r="T4645" s="75"/>
      <c r="U4645" s="75"/>
      <c r="V4645" s="75"/>
      <c r="W4645" s="75"/>
      <c r="X4645" s="75"/>
    </row>
    <row r="4646">
      <c r="A4646" s="17"/>
      <c r="B4646" s="17"/>
      <c r="C4646" s="133"/>
      <c r="D4646" s="133"/>
      <c r="E4646" s="17"/>
      <c r="F4646" s="133"/>
      <c r="G4646" s="133"/>
      <c r="H4646" s="133"/>
      <c r="I4646" s="133"/>
      <c r="J4646" s="133"/>
      <c r="K4646" s="133"/>
      <c r="L4646" s="133"/>
      <c r="M4646" s="133"/>
      <c r="N4646" s="133"/>
      <c r="O4646" s="133"/>
      <c r="P4646" s="134"/>
      <c r="Q4646" s="146"/>
      <c r="R4646" s="17"/>
      <c r="S4646" s="17"/>
      <c r="T4646" s="75"/>
      <c r="U4646" s="75"/>
      <c r="V4646" s="75"/>
      <c r="W4646" s="75"/>
      <c r="X4646" s="75"/>
    </row>
    <row r="4647">
      <c r="A4647" s="17"/>
      <c r="B4647" s="17"/>
      <c r="C4647" s="133"/>
      <c r="D4647" s="133"/>
      <c r="E4647" s="17"/>
      <c r="F4647" s="133"/>
      <c r="G4647" s="133"/>
      <c r="H4647" s="133"/>
      <c r="I4647" s="133"/>
      <c r="J4647" s="133"/>
      <c r="K4647" s="133"/>
      <c r="L4647" s="133"/>
      <c r="M4647" s="133"/>
      <c r="N4647" s="133"/>
      <c r="O4647" s="133"/>
      <c r="P4647" s="134"/>
      <c r="Q4647" s="146"/>
      <c r="R4647" s="17"/>
      <c r="S4647" s="17"/>
      <c r="T4647" s="75"/>
      <c r="U4647" s="75"/>
      <c r="V4647" s="75"/>
      <c r="W4647" s="75"/>
      <c r="X4647" s="75"/>
    </row>
    <row r="4648">
      <c r="A4648" s="17"/>
      <c r="B4648" s="17"/>
      <c r="C4648" s="133"/>
      <c r="D4648" s="133"/>
      <c r="E4648" s="17"/>
      <c r="F4648" s="133"/>
      <c r="G4648" s="133"/>
      <c r="H4648" s="133"/>
      <c r="I4648" s="133"/>
      <c r="J4648" s="133"/>
      <c r="K4648" s="133"/>
      <c r="L4648" s="133"/>
      <c r="M4648" s="133"/>
      <c r="N4648" s="133"/>
      <c r="O4648" s="133"/>
      <c r="P4648" s="134"/>
      <c r="Q4648" s="146"/>
      <c r="R4648" s="17"/>
      <c r="S4648" s="17"/>
      <c r="T4648" s="75"/>
      <c r="U4648" s="75"/>
      <c r="V4648" s="75"/>
      <c r="W4648" s="75"/>
      <c r="X4648" s="75"/>
    </row>
    <row r="4649">
      <c r="A4649" s="17"/>
      <c r="B4649" s="17"/>
      <c r="C4649" s="133"/>
      <c r="D4649" s="133"/>
      <c r="E4649" s="17"/>
      <c r="F4649" s="133"/>
      <c r="G4649" s="133"/>
      <c r="H4649" s="133"/>
      <c r="I4649" s="133"/>
      <c r="J4649" s="133"/>
      <c r="K4649" s="133"/>
      <c r="L4649" s="133"/>
      <c r="M4649" s="133"/>
      <c r="N4649" s="133"/>
      <c r="O4649" s="133"/>
      <c r="P4649" s="134"/>
      <c r="Q4649" s="146"/>
      <c r="R4649" s="17"/>
      <c r="S4649" s="17"/>
      <c r="T4649" s="75"/>
      <c r="U4649" s="75"/>
      <c r="V4649" s="75"/>
      <c r="W4649" s="75"/>
      <c r="X4649" s="75"/>
    </row>
    <row r="4650">
      <c r="A4650" s="17"/>
      <c r="B4650" s="17"/>
      <c r="C4650" s="133"/>
      <c r="D4650" s="133"/>
      <c r="E4650" s="17"/>
      <c r="F4650" s="133"/>
      <c r="G4650" s="133"/>
      <c r="H4650" s="133"/>
      <c r="I4650" s="133"/>
      <c r="J4650" s="133"/>
      <c r="K4650" s="133"/>
      <c r="L4650" s="133"/>
      <c r="M4650" s="133"/>
      <c r="N4650" s="133"/>
      <c r="O4650" s="133"/>
      <c r="P4650" s="134"/>
      <c r="Q4650" s="146"/>
      <c r="R4650" s="17"/>
      <c r="S4650" s="17"/>
      <c r="T4650" s="75"/>
      <c r="U4650" s="75"/>
      <c r="V4650" s="75"/>
      <c r="W4650" s="75"/>
      <c r="X4650" s="75"/>
    </row>
    <row r="4651">
      <c r="A4651" s="17"/>
      <c r="B4651" s="17"/>
      <c r="C4651" s="133"/>
      <c r="D4651" s="133"/>
      <c r="E4651" s="17"/>
      <c r="F4651" s="133"/>
      <c r="G4651" s="133"/>
      <c r="H4651" s="133"/>
      <c r="I4651" s="133"/>
      <c r="J4651" s="133"/>
      <c r="K4651" s="133"/>
      <c r="L4651" s="133"/>
      <c r="M4651" s="133"/>
      <c r="N4651" s="133"/>
      <c r="O4651" s="133"/>
      <c r="P4651" s="134"/>
      <c r="Q4651" s="146"/>
      <c r="R4651" s="17"/>
      <c r="S4651" s="17"/>
      <c r="T4651" s="75"/>
      <c r="U4651" s="75"/>
      <c r="V4651" s="75"/>
      <c r="W4651" s="75"/>
      <c r="X4651" s="75"/>
    </row>
    <row r="4652">
      <c r="A4652" s="17"/>
      <c r="B4652" s="17"/>
      <c r="C4652" s="133"/>
      <c r="D4652" s="133"/>
      <c r="E4652" s="17"/>
      <c r="F4652" s="133"/>
      <c r="G4652" s="133"/>
      <c r="H4652" s="133"/>
      <c r="I4652" s="133"/>
      <c r="J4652" s="133"/>
      <c r="K4652" s="133"/>
      <c r="L4652" s="133"/>
      <c r="M4652" s="133"/>
      <c r="N4652" s="133"/>
      <c r="O4652" s="133"/>
      <c r="P4652" s="134"/>
      <c r="Q4652" s="146"/>
      <c r="R4652" s="17"/>
      <c r="S4652" s="17"/>
      <c r="T4652" s="75"/>
      <c r="U4652" s="75"/>
      <c r="V4652" s="75"/>
      <c r="W4652" s="75"/>
      <c r="X4652" s="75"/>
    </row>
    <row r="4653">
      <c r="A4653" s="17"/>
      <c r="B4653" s="17"/>
      <c r="C4653" s="133"/>
      <c r="D4653" s="133"/>
      <c r="E4653" s="17"/>
      <c r="F4653" s="133"/>
      <c r="G4653" s="133"/>
      <c r="H4653" s="133"/>
      <c r="I4653" s="133"/>
      <c r="J4653" s="133"/>
      <c r="K4653" s="133"/>
      <c r="L4653" s="133"/>
      <c r="M4653" s="133"/>
      <c r="N4653" s="133"/>
      <c r="O4653" s="133"/>
      <c r="P4653" s="134"/>
      <c r="Q4653" s="146"/>
      <c r="R4653" s="17"/>
      <c r="S4653" s="17"/>
      <c r="T4653" s="75"/>
      <c r="U4653" s="75"/>
      <c r="V4653" s="75"/>
      <c r="W4653" s="75"/>
      <c r="X4653" s="75"/>
    </row>
    <row r="4654">
      <c r="A4654" s="17"/>
      <c r="B4654" s="17"/>
      <c r="C4654" s="133"/>
      <c r="D4654" s="133"/>
      <c r="E4654" s="17"/>
      <c r="F4654" s="133"/>
      <c r="G4654" s="133"/>
      <c r="H4654" s="133"/>
      <c r="I4654" s="133"/>
      <c r="J4654" s="133"/>
      <c r="K4654" s="133"/>
      <c r="L4654" s="133"/>
      <c r="M4654" s="133"/>
      <c r="N4654" s="133"/>
      <c r="O4654" s="133"/>
      <c r="P4654" s="134"/>
      <c r="Q4654" s="146"/>
      <c r="R4654" s="17"/>
      <c r="S4654" s="17"/>
      <c r="T4654" s="75"/>
      <c r="U4654" s="75"/>
      <c r="V4654" s="75"/>
      <c r="W4654" s="75"/>
      <c r="X4654" s="75"/>
    </row>
    <row r="4655">
      <c r="A4655" s="17"/>
      <c r="B4655" s="17"/>
      <c r="C4655" s="133"/>
      <c r="D4655" s="133"/>
      <c r="E4655" s="17"/>
      <c r="F4655" s="133"/>
      <c r="G4655" s="133"/>
      <c r="H4655" s="133"/>
      <c r="I4655" s="133"/>
      <c r="J4655" s="133"/>
      <c r="K4655" s="133"/>
      <c r="L4655" s="133"/>
      <c r="M4655" s="133"/>
      <c r="N4655" s="133"/>
      <c r="O4655" s="133"/>
      <c r="P4655" s="134"/>
      <c r="Q4655" s="146"/>
      <c r="R4655" s="17"/>
      <c r="S4655" s="17"/>
      <c r="T4655" s="75"/>
      <c r="U4655" s="75"/>
      <c r="V4655" s="75"/>
      <c r="W4655" s="75"/>
      <c r="X4655" s="75"/>
    </row>
    <row r="4656">
      <c r="A4656" s="17"/>
      <c r="B4656" s="17"/>
      <c r="C4656" s="133"/>
      <c r="D4656" s="133"/>
      <c r="E4656" s="17"/>
      <c r="F4656" s="133"/>
      <c r="G4656" s="133"/>
      <c r="H4656" s="133"/>
      <c r="I4656" s="133"/>
      <c r="J4656" s="133"/>
      <c r="K4656" s="133"/>
      <c r="L4656" s="133"/>
      <c r="M4656" s="133"/>
      <c r="N4656" s="133"/>
      <c r="O4656" s="133"/>
      <c r="P4656" s="134"/>
      <c r="Q4656" s="146"/>
      <c r="R4656" s="17"/>
      <c r="S4656" s="17"/>
      <c r="T4656" s="75"/>
      <c r="U4656" s="75"/>
      <c r="V4656" s="75"/>
      <c r="W4656" s="75"/>
      <c r="X4656" s="75"/>
    </row>
    <row r="4657">
      <c r="A4657" s="17"/>
      <c r="B4657" s="17"/>
      <c r="C4657" s="133"/>
      <c r="D4657" s="133"/>
      <c r="E4657" s="17"/>
      <c r="F4657" s="133"/>
      <c r="G4657" s="133"/>
      <c r="H4657" s="133"/>
      <c r="I4657" s="133"/>
      <c r="J4657" s="133"/>
      <c r="K4657" s="133"/>
      <c r="L4657" s="133"/>
      <c r="M4657" s="133"/>
      <c r="N4657" s="133"/>
      <c r="O4657" s="133"/>
      <c r="P4657" s="134"/>
      <c r="Q4657" s="146"/>
      <c r="R4657" s="17"/>
      <c r="S4657" s="17"/>
      <c r="T4657" s="75"/>
      <c r="U4657" s="75"/>
      <c r="V4657" s="75"/>
      <c r="W4657" s="75"/>
      <c r="X4657" s="75"/>
    </row>
    <row r="4658">
      <c r="A4658" s="17"/>
      <c r="B4658" s="17"/>
      <c r="C4658" s="133"/>
      <c r="D4658" s="133"/>
      <c r="E4658" s="17"/>
      <c r="F4658" s="133"/>
      <c r="G4658" s="133"/>
      <c r="H4658" s="133"/>
      <c r="I4658" s="133"/>
      <c r="J4658" s="133"/>
      <c r="K4658" s="133"/>
      <c r="L4658" s="133"/>
      <c r="M4658" s="133"/>
      <c r="N4658" s="133"/>
      <c r="O4658" s="133"/>
      <c r="P4658" s="134"/>
      <c r="Q4658" s="146"/>
      <c r="R4658" s="17"/>
      <c r="S4658" s="17"/>
      <c r="T4658" s="75"/>
      <c r="U4658" s="75"/>
      <c r="V4658" s="75"/>
      <c r="W4658" s="75"/>
      <c r="X4658" s="75"/>
    </row>
    <row r="4659">
      <c r="A4659" s="17"/>
      <c r="B4659" s="17"/>
      <c r="C4659" s="133"/>
      <c r="D4659" s="133"/>
      <c r="E4659" s="17"/>
      <c r="F4659" s="133"/>
      <c r="G4659" s="133"/>
      <c r="H4659" s="133"/>
      <c r="I4659" s="133"/>
      <c r="J4659" s="133"/>
      <c r="K4659" s="133"/>
      <c r="L4659" s="133"/>
      <c r="M4659" s="133"/>
      <c r="N4659" s="133"/>
      <c r="O4659" s="133"/>
      <c r="P4659" s="134"/>
      <c r="Q4659" s="146"/>
      <c r="R4659" s="17"/>
      <c r="S4659" s="17"/>
      <c r="T4659" s="75"/>
      <c r="U4659" s="75"/>
      <c r="V4659" s="75"/>
      <c r="W4659" s="75"/>
      <c r="X4659" s="75"/>
    </row>
    <row r="4660">
      <c r="A4660" s="17"/>
      <c r="B4660" s="17"/>
      <c r="C4660" s="133"/>
      <c r="D4660" s="133"/>
      <c r="E4660" s="17"/>
      <c r="F4660" s="133"/>
      <c r="G4660" s="133"/>
      <c r="H4660" s="133"/>
      <c r="I4660" s="133"/>
      <c r="J4660" s="133"/>
      <c r="K4660" s="133"/>
      <c r="L4660" s="133"/>
      <c r="M4660" s="133"/>
      <c r="N4660" s="133"/>
      <c r="O4660" s="133"/>
      <c r="P4660" s="134"/>
      <c r="Q4660" s="146"/>
      <c r="R4660" s="17"/>
      <c r="S4660" s="17"/>
      <c r="T4660" s="75"/>
      <c r="U4660" s="75"/>
      <c r="V4660" s="75"/>
      <c r="W4660" s="75"/>
      <c r="X4660" s="75"/>
    </row>
    <row r="4661">
      <c r="A4661" s="17"/>
      <c r="B4661" s="17"/>
      <c r="C4661" s="133"/>
      <c r="D4661" s="133"/>
      <c r="E4661" s="17"/>
      <c r="F4661" s="133"/>
      <c r="G4661" s="133"/>
      <c r="H4661" s="133"/>
      <c r="I4661" s="133"/>
      <c r="J4661" s="133"/>
      <c r="K4661" s="133"/>
      <c r="L4661" s="133"/>
      <c r="M4661" s="133"/>
      <c r="N4661" s="133"/>
      <c r="O4661" s="133"/>
      <c r="P4661" s="134"/>
      <c r="Q4661" s="146"/>
      <c r="R4661" s="17"/>
      <c r="S4661" s="17"/>
      <c r="T4661" s="75"/>
      <c r="U4661" s="75"/>
      <c r="V4661" s="75"/>
      <c r="W4661" s="75"/>
      <c r="X4661" s="75"/>
    </row>
    <row r="4662">
      <c r="A4662" s="17"/>
      <c r="B4662" s="17"/>
      <c r="C4662" s="133"/>
      <c r="D4662" s="133"/>
      <c r="E4662" s="17"/>
      <c r="F4662" s="133"/>
      <c r="G4662" s="133"/>
      <c r="H4662" s="133"/>
      <c r="I4662" s="133"/>
      <c r="J4662" s="133"/>
      <c r="K4662" s="133"/>
      <c r="L4662" s="133"/>
      <c r="M4662" s="133"/>
      <c r="N4662" s="133"/>
      <c r="O4662" s="133"/>
      <c r="P4662" s="134"/>
      <c r="Q4662" s="146"/>
      <c r="R4662" s="17"/>
      <c r="S4662" s="17"/>
      <c r="T4662" s="75"/>
      <c r="U4662" s="75"/>
      <c r="V4662" s="75"/>
      <c r="W4662" s="75"/>
      <c r="X4662" s="75"/>
    </row>
    <row r="4663">
      <c r="A4663" s="17"/>
      <c r="B4663" s="17"/>
      <c r="C4663" s="133"/>
      <c r="D4663" s="133"/>
      <c r="E4663" s="17"/>
      <c r="F4663" s="133"/>
      <c r="G4663" s="133"/>
      <c r="H4663" s="133"/>
      <c r="I4663" s="133"/>
      <c r="J4663" s="133"/>
      <c r="K4663" s="133"/>
      <c r="L4663" s="133"/>
      <c r="M4663" s="133"/>
      <c r="N4663" s="133"/>
      <c r="O4663" s="133"/>
      <c r="P4663" s="134"/>
      <c r="Q4663" s="146"/>
      <c r="R4663" s="17"/>
      <c r="S4663" s="17"/>
      <c r="T4663" s="75"/>
      <c r="U4663" s="75"/>
      <c r="V4663" s="75"/>
      <c r="W4663" s="75"/>
      <c r="X4663" s="75"/>
    </row>
    <row r="4664">
      <c r="A4664" s="17"/>
      <c r="B4664" s="17"/>
      <c r="C4664" s="133"/>
      <c r="D4664" s="133"/>
      <c r="E4664" s="17"/>
      <c r="F4664" s="133"/>
      <c r="G4664" s="133"/>
      <c r="H4664" s="133"/>
      <c r="I4664" s="133"/>
      <c r="J4664" s="133"/>
      <c r="K4664" s="133"/>
      <c r="L4664" s="133"/>
      <c r="M4664" s="133"/>
      <c r="N4664" s="133"/>
      <c r="O4664" s="133"/>
      <c r="P4664" s="134"/>
      <c r="Q4664" s="146"/>
      <c r="R4664" s="17"/>
      <c r="S4664" s="17"/>
      <c r="T4664" s="75"/>
      <c r="U4664" s="75"/>
      <c r="V4664" s="75"/>
      <c r="W4664" s="75"/>
      <c r="X4664" s="75"/>
    </row>
    <row r="4665">
      <c r="A4665" s="17"/>
      <c r="B4665" s="17"/>
      <c r="C4665" s="133"/>
      <c r="D4665" s="133"/>
      <c r="E4665" s="17"/>
      <c r="F4665" s="133"/>
      <c r="G4665" s="133"/>
      <c r="H4665" s="133"/>
      <c r="I4665" s="133"/>
      <c r="J4665" s="133"/>
      <c r="K4665" s="133"/>
      <c r="L4665" s="133"/>
      <c r="M4665" s="133"/>
      <c r="N4665" s="133"/>
      <c r="O4665" s="133"/>
      <c r="P4665" s="134"/>
      <c r="Q4665" s="146"/>
      <c r="R4665" s="17"/>
      <c r="S4665" s="17"/>
      <c r="T4665" s="75"/>
      <c r="U4665" s="75"/>
      <c r="V4665" s="75"/>
      <c r="W4665" s="75"/>
      <c r="X4665" s="75"/>
    </row>
    <row r="4666">
      <c r="A4666" s="17"/>
      <c r="B4666" s="17"/>
      <c r="C4666" s="133"/>
      <c r="D4666" s="133"/>
      <c r="E4666" s="17"/>
      <c r="F4666" s="133"/>
      <c r="G4666" s="133"/>
      <c r="H4666" s="133"/>
      <c r="I4666" s="133"/>
      <c r="J4666" s="133"/>
      <c r="K4666" s="133"/>
      <c r="L4666" s="133"/>
      <c r="M4666" s="133"/>
      <c r="N4666" s="133"/>
      <c r="O4666" s="133"/>
      <c r="P4666" s="134"/>
      <c r="Q4666" s="146"/>
      <c r="R4666" s="17"/>
      <c r="S4666" s="17"/>
      <c r="T4666" s="75"/>
      <c r="U4666" s="75"/>
      <c r="V4666" s="75"/>
      <c r="W4666" s="75"/>
      <c r="X4666" s="75"/>
    </row>
    <row r="4667">
      <c r="A4667" s="17"/>
      <c r="B4667" s="17"/>
      <c r="C4667" s="133"/>
      <c r="D4667" s="133"/>
      <c r="E4667" s="17"/>
      <c r="F4667" s="133"/>
      <c r="G4667" s="133"/>
      <c r="H4667" s="133"/>
      <c r="I4667" s="133"/>
      <c r="J4667" s="133"/>
      <c r="K4667" s="133"/>
      <c r="L4667" s="133"/>
      <c r="M4667" s="133"/>
      <c r="N4667" s="133"/>
      <c r="O4667" s="133"/>
      <c r="P4667" s="134"/>
      <c r="Q4667" s="146"/>
      <c r="R4667" s="17"/>
      <c r="S4667" s="17"/>
      <c r="T4667" s="75"/>
      <c r="U4667" s="75"/>
      <c r="V4667" s="75"/>
      <c r="W4667" s="75"/>
      <c r="X4667" s="75"/>
    </row>
    <row r="4668">
      <c r="A4668" s="17"/>
      <c r="B4668" s="17"/>
      <c r="C4668" s="133"/>
      <c r="D4668" s="133"/>
      <c r="E4668" s="17"/>
      <c r="F4668" s="133"/>
      <c r="G4668" s="133"/>
      <c r="H4668" s="133"/>
      <c r="I4668" s="133"/>
      <c r="J4668" s="133"/>
      <c r="K4668" s="133"/>
      <c r="L4668" s="133"/>
      <c r="M4668" s="133"/>
      <c r="N4668" s="133"/>
      <c r="O4668" s="133"/>
      <c r="P4668" s="134"/>
      <c r="Q4668" s="146"/>
      <c r="R4668" s="17"/>
      <c r="S4668" s="17"/>
      <c r="T4668" s="75"/>
      <c r="U4668" s="75"/>
      <c r="V4668" s="75"/>
      <c r="W4668" s="75"/>
      <c r="X4668" s="75"/>
    </row>
    <row r="4669">
      <c r="A4669" s="17"/>
      <c r="B4669" s="17"/>
      <c r="C4669" s="133"/>
      <c r="D4669" s="133"/>
      <c r="E4669" s="17"/>
      <c r="F4669" s="133"/>
      <c r="G4669" s="133"/>
      <c r="H4669" s="133"/>
      <c r="I4669" s="133"/>
      <c r="J4669" s="133"/>
      <c r="K4669" s="133"/>
      <c r="L4669" s="133"/>
      <c r="M4669" s="133"/>
      <c r="N4669" s="133"/>
      <c r="O4669" s="133"/>
      <c r="P4669" s="134"/>
      <c r="Q4669" s="146"/>
      <c r="R4669" s="17"/>
      <c r="S4669" s="17"/>
      <c r="T4669" s="75"/>
      <c r="U4669" s="75"/>
      <c r="V4669" s="75"/>
      <c r="W4669" s="75"/>
      <c r="X4669" s="75"/>
    </row>
    <row r="4670">
      <c r="A4670" s="17"/>
      <c r="B4670" s="17"/>
      <c r="C4670" s="133"/>
      <c r="D4670" s="133"/>
      <c r="E4670" s="17"/>
      <c r="F4670" s="133"/>
      <c r="G4670" s="133"/>
      <c r="H4670" s="133"/>
      <c r="I4670" s="133"/>
      <c r="J4670" s="133"/>
      <c r="K4670" s="133"/>
      <c r="L4670" s="133"/>
      <c r="M4670" s="133"/>
      <c r="N4670" s="133"/>
      <c r="O4670" s="133"/>
      <c r="P4670" s="134"/>
      <c r="Q4670" s="146"/>
      <c r="R4670" s="17"/>
      <c r="S4670" s="17"/>
      <c r="T4670" s="75"/>
      <c r="U4670" s="75"/>
      <c r="V4670" s="75"/>
      <c r="W4670" s="75"/>
      <c r="X4670" s="75"/>
    </row>
    <row r="4671">
      <c r="A4671" s="17"/>
      <c r="B4671" s="17"/>
      <c r="C4671" s="133"/>
      <c r="D4671" s="133"/>
      <c r="E4671" s="17"/>
      <c r="F4671" s="133"/>
      <c r="G4671" s="133"/>
      <c r="H4671" s="133"/>
      <c r="I4671" s="133"/>
      <c r="J4671" s="133"/>
      <c r="K4671" s="133"/>
      <c r="L4671" s="133"/>
      <c r="M4671" s="133"/>
      <c r="N4671" s="133"/>
      <c r="O4671" s="133"/>
      <c r="P4671" s="134"/>
      <c r="Q4671" s="146"/>
      <c r="R4671" s="17"/>
      <c r="S4671" s="17"/>
      <c r="T4671" s="75"/>
      <c r="U4671" s="75"/>
      <c r="V4671" s="75"/>
      <c r="W4671" s="75"/>
      <c r="X4671" s="75"/>
    </row>
    <row r="4672">
      <c r="A4672" s="17"/>
      <c r="B4672" s="17"/>
      <c r="C4672" s="133"/>
      <c r="D4672" s="133"/>
      <c r="E4672" s="17"/>
      <c r="F4672" s="133"/>
      <c r="G4672" s="133"/>
      <c r="H4672" s="133"/>
      <c r="I4672" s="133"/>
      <c r="J4672" s="133"/>
      <c r="K4672" s="133"/>
      <c r="L4672" s="133"/>
      <c r="M4672" s="133"/>
      <c r="N4672" s="133"/>
      <c r="O4672" s="133"/>
      <c r="P4672" s="134"/>
      <c r="Q4672" s="146"/>
      <c r="R4672" s="17"/>
      <c r="S4672" s="17"/>
      <c r="T4672" s="75"/>
      <c r="U4672" s="75"/>
      <c r="V4672" s="75"/>
      <c r="W4672" s="75"/>
      <c r="X4672" s="75"/>
    </row>
    <row r="4673">
      <c r="A4673" s="17"/>
      <c r="B4673" s="17"/>
      <c r="C4673" s="133"/>
      <c r="D4673" s="133"/>
      <c r="E4673" s="17"/>
      <c r="F4673" s="133"/>
      <c r="G4673" s="133"/>
      <c r="H4673" s="133"/>
      <c r="I4673" s="133"/>
      <c r="J4673" s="133"/>
      <c r="K4673" s="133"/>
      <c r="L4673" s="133"/>
      <c r="M4673" s="133"/>
      <c r="N4673" s="133"/>
      <c r="O4673" s="133"/>
      <c r="P4673" s="134"/>
      <c r="Q4673" s="146"/>
      <c r="R4673" s="17"/>
      <c r="S4673" s="17"/>
      <c r="T4673" s="75"/>
      <c r="U4673" s="75"/>
      <c r="V4673" s="75"/>
      <c r="W4673" s="75"/>
      <c r="X4673" s="75"/>
    </row>
    <row r="4674">
      <c r="A4674" s="17"/>
      <c r="B4674" s="17"/>
      <c r="C4674" s="133"/>
      <c r="D4674" s="133"/>
      <c r="E4674" s="17"/>
      <c r="F4674" s="133"/>
      <c r="G4674" s="133"/>
      <c r="H4674" s="133"/>
      <c r="I4674" s="133"/>
      <c r="J4674" s="133"/>
      <c r="K4674" s="133"/>
      <c r="L4674" s="133"/>
      <c r="M4674" s="133"/>
      <c r="N4674" s="133"/>
      <c r="O4674" s="133"/>
      <c r="P4674" s="134"/>
      <c r="Q4674" s="146"/>
      <c r="R4674" s="17"/>
      <c r="S4674" s="17"/>
      <c r="T4674" s="75"/>
      <c r="U4674" s="75"/>
      <c r="V4674" s="75"/>
      <c r="W4674" s="75"/>
      <c r="X4674" s="75"/>
    </row>
    <row r="4675">
      <c r="A4675" s="17"/>
      <c r="B4675" s="17"/>
      <c r="C4675" s="133"/>
      <c r="D4675" s="133"/>
      <c r="E4675" s="17"/>
      <c r="F4675" s="133"/>
      <c r="G4675" s="133"/>
      <c r="H4675" s="133"/>
      <c r="I4675" s="133"/>
      <c r="J4675" s="133"/>
      <c r="K4675" s="133"/>
      <c r="L4675" s="133"/>
      <c r="M4675" s="133"/>
      <c r="N4675" s="133"/>
      <c r="O4675" s="133"/>
      <c r="P4675" s="134"/>
      <c r="Q4675" s="146"/>
      <c r="R4675" s="17"/>
      <c r="S4675" s="17"/>
      <c r="T4675" s="75"/>
      <c r="U4675" s="75"/>
      <c r="V4675" s="75"/>
      <c r="W4675" s="75"/>
      <c r="X4675" s="75"/>
    </row>
    <row r="4676">
      <c r="A4676" s="17"/>
      <c r="B4676" s="17"/>
      <c r="C4676" s="133"/>
      <c r="D4676" s="133"/>
      <c r="E4676" s="17"/>
      <c r="F4676" s="133"/>
      <c r="G4676" s="133"/>
      <c r="H4676" s="133"/>
      <c r="I4676" s="133"/>
      <c r="J4676" s="133"/>
      <c r="K4676" s="133"/>
      <c r="L4676" s="133"/>
      <c r="M4676" s="133"/>
      <c r="N4676" s="133"/>
      <c r="O4676" s="133"/>
      <c r="P4676" s="134"/>
      <c r="Q4676" s="146"/>
      <c r="R4676" s="17"/>
      <c r="S4676" s="17"/>
      <c r="T4676" s="75"/>
      <c r="U4676" s="75"/>
      <c r="V4676" s="75"/>
      <c r="W4676" s="75"/>
      <c r="X4676" s="75"/>
    </row>
    <row r="4677">
      <c r="A4677" s="17"/>
      <c r="B4677" s="17"/>
      <c r="C4677" s="133"/>
      <c r="D4677" s="133"/>
      <c r="E4677" s="17"/>
      <c r="F4677" s="133"/>
      <c r="G4677" s="133"/>
      <c r="H4677" s="133"/>
      <c r="I4677" s="133"/>
      <c r="J4677" s="133"/>
      <c r="K4677" s="133"/>
      <c r="L4677" s="133"/>
      <c r="M4677" s="133"/>
      <c r="N4677" s="133"/>
      <c r="O4677" s="133"/>
      <c r="P4677" s="134"/>
      <c r="Q4677" s="146"/>
      <c r="R4677" s="17"/>
      <c r="S4677" s="17"/>
      <c r="T4677" s="75"/>
      <c r="U4677" s="75"/>
      <c r="V4677" s="75"/>
      <c r="W4677" s="75"/>
      <c r="X4677" s="75"/>
    </row>
    <row r="4678">
      <c r="A4678" s="17"/>
      <c r="B4678" s="17"/>
      <c r="C4678" s="133"/>
      <c r="D4678" s="133"/>
      <c r="E4678" s="17"/>
      <c r="F4678" s="133"/>
      <c r="G4678" s="133"/>
      <c r="H4678" s="133"/>
      <c r="I4678" s="133"/>
      <c r="J4678" s="133"/>
      <c r="K4678" s="133"/>
      <c r="L4678" s="133"/>
      <c r="M4678" s="133"/>
      <c r="N4678" s="133"/>
      <c r="O4678" s="133"/>
      <c r="P4678" s="134"/>
      <c r="Q4678" s="146"/>
      <c r="R4678" s="17"/>
      <c r="S4678" s="17"/>
      <c r="T4678" s="75"/>
      <c r="U4678" s="75"/>
      <c r="V4678" s="75"/>
      <c r="W4678" s="75"/>
      <c r="X4678" s="75"/>
    </row>
    <row r="4679">
      <c r="A4679" s="17"/>
      <c r="B4679" s="17"/>
      <c r="C4679" s="133"/>
      <c r="D4679" s="133"/>
      <c r="E4679" s="17"/>
      <c r="F4679" s="133"/>
      <c r="G4679" s="133"/>
      <c r="H4679" s="133"/>
      <c r="I4679" s="133"/>
      <c r="J4679" s="133"/>
      <c r="K4679" s="133"/>
      <c r="L4679" s="133"/>
      <c r="M4679" s="133"/>
      <c r="N4679" s="133"/>
      <c r="O4679" s="133"/>
      <c r="P4679" s="134"/>
      <c r="Q4679" s="146"/>
      <c r="R4679" s="17"/>
      <c r="S4679" s="17"/>
      <c r="T4679" s="75"/>
      <c r="U4679" s="75"/>
      <c r="V4679" s="75"/>
      <c r="W4679" s="75"/>
      <c r="X4679" s="75"/>
    </row>
    <row r="4680">
      <c r="A4680" s="17"/>
      <c r="B4680" s="17"/>
      <c r="C4680" s="133"/>
      <c r="D4680" s="133"/>
      <c r="E4680" s="17"/>
      <c r="F4680" s="133"/>
      <c r="G4680" s="133"/>
      <c r="H4680" s="133"/>
      <c r="I4680" s="133"/>
      <c r="J4680" s="133"/>
      <c r="K4680" s="133"/>
      <c r="L4680" s="133"/>
      <c r="M4680" s="133"/>
      <c r="N4680" s="133"/>
      <c r="O4680" s="133"/>
      <c r="P4680" s="134"/>
      <c r="Q4680" s="146"/>
      <c r="R4680" s="17"/>
      <c r="S4680" s="17"/>
      <c r="T4680" s="75"/>
      <c r="U4680" s="75"/>
      <c r="V4680" s="75"/>
      <c r="W4680" s="75"/>
      <c r="X4680" s="75"/>
    </row>
    <row r="4681">
      <c r="A4681" s="17"/>
      <c r="B4681" s="17"/>
      <c r="C4681" s="133"/>
      <c r="D4681" s="133"/>
      <c r="E4681" s="17"/>
      <c r="F4681" s="133"/>
      <c r="G4681" s="133"/>
      <c r="H4681" s="133"/>
      <c r="I4681" s="133"/>
      <c r="J4681" s="133"/>
      <c r="K4681" s="133"/>
      <c r="L4681" s="133"/>
      <c r="M4681" s="133"/>
      <c r="N4681" s="133"/>
      <c r="O4681" s="133"/>
      <c r="P4681" s="134"/>
      <c r="Q4681" s="146"/>
      <c r="R4681" s="17"/>
      <c r="S4681" s="17"/>
      <c r="T4681" s="75"/>
      <c r="U4681" s="75"/>
      <c r="V4681" s="75"/>
      <c r="W4681" s="75"/>
      <c r="X4681" s="75"/>
    </row>
    <row r="4682">
      <c r="A4682" s="17"/>
      <c r="B4682" s="17"/>
      <c r="C4682" s="133"/>
      <c r="D4682" s="133"/>
      <c r="E4682" s="17"/>
      <c r="F4682" s="133"/>
      <c r="G4682" s="133"/>
      <c r="H4682" s="133"/>
      <c r="I4682" s="133"/>
      <c r="J4682" s="133"/>
      <c r="K4682" s="133"/>
      <c r="L4682" s="133"/>
      <c r="M4682" s="133"/>
      <c r="N4682" s="133"/>
      <c r="O4682" s="133"/>
      <c r="P4682" s="134"/>
      <c r="Q4682" s="146"/>
      <c r="R4682" s="17"/>
      <c r="S4682" s="17"/>
      <c r="T4682" s="75"/>
      <c r="U4682" s="75"/>
      <c r="V4682" s="75"/>
      <c r="W4682" s="75"/>
      <c r="X4682" s="75"/>
    </row>
    <row r="4683">
      <c r="A4683" s="17"/>
      <c r="B4683" s="17"/>
      <c r="C4683" s="133"/>
      <c r="D4683" s="133"/>
      <c r="E4683" s="17"/>
      <c r="F4683" s="133"/>
      <c r="G4683" s="133"/>
      <c r="H4683" s="133"/>
      <c r="I4683" s="133"/>
      <c r="J4683" s="133"/>
      <c r="K4683" s="133"/>
      <c r="L4683" s="133"/>
      <c r="M4683" s="133"/>
      <c r="N4683" s="133"/>
      <c r="O4683" s="133"/>
      <c r="P4683" s="134"/>
      <c r="Q4683" s="146"/>
      <c r="R4683" s="17"/>
      <c r="S4683" s="17"/>
      <c r="T4683" s="75"/>
      <c r="U4683" s="75"/>
      <c r="V4683" s="75"/>
      <c r="W4683" s="75"/>
      <c r="X4683" s="75"/>
    </row>
    <row r="4684">
      <c r="A4684" s="17"/>
      <c r="B4684" s="17"/>
      <c r="C4684" s="133"/>
      <c r="D4684" s="133"/>
      <c r="E4684" s="17"/>
      <c r="F4684" s="133"/>
      <c r="G4684" s="133"/>
      <c r="H4684" s="133"/>
      <c r="I4684" s="133"/>
      <c r="J4684" s="133"/>
      <c r="K4684" s="133"/>
      <c r="L4684" s="133"/>
      <c r="M4684" s="133"/>
      <c r="N4684" s="133"/>
      <c r="O4684" s="133"/>
      <c r="P4684" s="134"/>
      <c r="Q4684" s="146"/>
      <c r="R4684" s="17"/>
      <c r="S4684" s="17"/>
      <c r="T4684" s="75"/>
      <c r="U4684" s="75"/>
      <c r="V4684" s="75"/>
      <c r="W4684" s="75"/>
      <c r="X4684" s="75"/>
    </row>
    <row r="4685">
      <c r="A4685" s="17"/>
      <c r="B4685" s="17"/>
      <c r="C4685" s="133"/>
      <c r="D4685" s="133"/>
      <c r="E4685" s="17"/>
      <c r="F4685" s="133"/>
      <c r="G4685" s="133"/>
      <c r="H4685" s="133"/>
      <c r="I4685" s="133"/>
      <c r="J4685" s="133"/>
      <c r="K4685" s="133"/>
      <c r="L4685" s="133"/>
      <c r="M4685" s="133"/>
      <c r="N4685" s="133"/>
      <c r="O4685" s="133"/>
      <c r="P4685" s="134"/>
      <c r="Q4685" s="146"/>
      <c r="R4685" s="17"/>
      <c r="S4685" s="17"/>
      <c r="T4685" s="75"/>
      <c r="U4685" s="75"/>
      <c r="V4685" s="75"/>
      <c r="W4685" s="75"/>
      <c r="X4685" s="75"/>
    </row>
    <row r="4686">
      <c r="A4686" s="17"/>
      <c r="B4686" s="17"/>
      <c r="C4686" s="133"/>
      <c r="D4686" s="133"/>
      <c r="E4686" s="17"/>
      <c r="F4686" s="133"/>
      <c r="G4686" s="133"/>
      <c r="H4686" s="133"/>
      <c r="I4686" s="133"/>
      <c r="J4686" s="133"/>
      <c r="K4686" s="133"/>
      <c r="L4686" s="133"/>
      <c r="M4686" s="133"/>
      <c r="N4686" s="133"/>
      <c r="O4686" s="133"/>
      <c r="P4686" s="134"/>
      <c r="Q4686" s="146"/>
      <c r="R4686" s="17"/>
      <c r="S4686" s="17"/>
      <c r="T4686" s="75"/>
      <c r="U4686" s="75"/>
      <c r="V4686" s="75"/>
      <c r="W4686" s="75"/>
      <c r="X4686" s="75"/>
    </row>
    <row r="4687">
      <c r="A4687" s="17"/>
      <c r="B4687" s="17"/>
      <c r="C4687" s="133"/>
      <c r="D4687" s="133"/>
      <c r="E4687" s="17"/>
      <c r="F4687" s="133"/>
      <c r="G4687" s="133"/>
      <c r="H4687" s="133"/>
      <c r="I4687" s="133"/>
      <c r="J4687" s="133"/>
      <c r="K4687" s="133"/>
      <c r="L4687" s="133"/>
      <c r="M4687" s="133"/>
      <c r="N4687" s="133"/>
      <c r="O4687" s="133"/>
      <c r="P4687" s="134"/>
      <c r="Q4687" s="146"/>
      <c r="R4687" s="17"/>
      <c r="S4687" s="17"/>
      <c r="T4687" s="75"/>
      <c r="U4687" s="75"/>
      <c r="V4687" s="75"/>
      <c r="W4687" s="75"/>
      <c r="X4687" s="75"/>
    </row>
    <row r="4688">
      <c r="A4688" s="17"/>
      <c r="B4688" s="17"/>
      <c r="C4688" s="133"/>
      <c r="D4688" s="133"/>
      <c r="E4688" s="17"/>
      <c r="F4688" s="133"/>
      <c r="G4688" s="133"/>
      <c r="H4688" s="133"/>
      <c r="I4688" s="133"/>
      <c r="J4688" s="133"/>
      <c r="K4688" s="133"/>
      <c r="L4688" s="133"/>
      <c r="M4688" s="133"/>
      <c r="N4688" s="133"/>
      <c r="O4688" s="133"/>
      <c r="P4688" s="134"/>
      <c r="Q4688" s="146"/>
      <c r="R4688" s="17"/>
      <c r="S4688" s="17"/>
      <c r="T4688" s="75"/>
      <c r="U4688" s="75"/>
      <c r="V4688" s="75"/>
      <c r="W4688" s="75"/>
      <c r="X4688" s="75"/>
    </row>
    <row r="4689">
      <c r="A4689" s="17"/>
      <c r="B4689" s="17"/>
      <c r="C4689" s="133"/>
      <c r="D4689" s="133"/>
      <c r="E4689" s="17"/>
      <c r="F4689" s="133"/>
      <c r="G4689" s="133"/>
      <c r="H4689" s="133"/>
      <c r="I4689" s="133"/>
      <c r="J4689" s="133"/>
      <c r="K4689" s="133"/>
      <c r="L4689" s="133"/>
      <c r="M4689" s="133"/>
      <c r="N4689" s="133"/>
      <c r="O4689" s="133"/>
      <c r="P4689" s="134"/>
      <c r="Q4689" s="146"/>
      <c r="R4689" s="17"/>
      <c r="S4689" s="17"/>
      <c r="T4689" s="75"/>
      <c r="U4689" s="75"/>
      <c r="V4689" s="75"/>
      <c r="W4689" s="75"/>
      <c r="X4689" s="75"/>
    </row>
    <row r="4690">
      <c r="A4690" s="17"/>
      <c r="B4690" s="17"/>
      <c r="C4690" s="133"/>
      <c r="D4690" s="133"/>
      <c r="E4690" s="17"/>
      <c r="F4690" s="133"/>
      <c r="G4690" s="133"/>
      <c r="H4690" s="133"/>
      <c r="I4690" s="133"/>
      <c r="J4690" s="133"/>
      <c r="K4690" s="133"/>
      <c r="L4690" s="133"/>
      <c r="M4690" s="133"/>
      <c r="N4690" s="133"/>
      <c r="O4690" s="133"/>
      <c r="P4690" s="134"/>
      <c r="Q4690" s="146"/>
      <c r="R4690" s="17"/>
      <c r="S4690" s="17"/>
      <c r="T4690" s="75"/>
      <c r="U4690" s="75"/>
      <c r="V4690" s="75"/>
      <c r="W4690" s="75"/>
      <c r="X4690" s="75"/>
    </row>
    <row r="4691">
      <c r="A4691" s="17"/>
      <c r="B4691" s="17"/>
      <c r="C4691" s="133"/>
      <c r="D4691" s="133"/>
      <c r="E4691" s="17"/>
      <c r="F4691" s="133"/>
      <c r="G4691" s="133"/>
      <c r="H4691" s="133"/>
      <c r="I4691" s="133"/>
      <c r="J4691" s="133"/>
      <c r="K4691" s="133"/>
      <c r="L4691" s="133"/>
      <c r="M4691" s="133"/>
      <c r="N4691" s="133"/>
      <c r="O4691" s="133"/>
      <c r="P4691" s="134"/>
      <c r="Q4691" s="146"/>
      <c r="R4691" s="17"/>
      <c r="S4691" s="17"/>
      <c r="T4691" s="75"/>
      <c r="U4691" s="75"/>
      <c r="V4691" s="75"/>
      <c r="W4691" s="75"/>
      <c r="X4691" s="75"/>
    </row>
    <row r="4692">
      <c r="A4692" s="17"/>
      <c r="B4692" s="17"/>
      <c r="C4692" s="133"/>
      <c r="D4692" s="133"/>
      <c r="E4692" s="17"/>
      <c r="F4692" s="133"/>
      <c r="G4692" s="133"/>
      <c r="H4692" s="133"/>
      <c r="I4692" s="133"/>
      <c r="J4692" s="133"/>
      <c r="K4692" s="133"/>
      <c r="L4692" s="133"/>
      <c r="M4692" s="133"/>
      <c r="N4692" s="133"/>
      <c r="O4692" s="133"/>
      <c r="P4692" s="134"/>
      <c r="Q4692" s="146"/>
      <c r="R4692" s="17"/>
      <c r="S4692" s="17"/>
      <c r="T4692" s="75"/>
      <c r="U4692" s="75"/>
      <c r="V4692" s="75"/>
      <c r="W4692" s="75"/>
      <c r="X4692" s="75"/>
    </row>
    <row r="4693">
      <c r="A4693" s="17"/>
      <c r="B4693" s="17"/>
      <c r="C4693" s="133"/>
      <c r="D4693" s="133"/>
      <c r="E4693" s="17"/>
      <c r="F4693" s="133"/>
      <c r="G4693" s="133"/>
      <c r="H4693" s="133"/>
      <c r="I4693" s="133"/>
      <c r="J4693" s="133"/>
      <c r="K4693" s="133"/>
      <c r="L4693" s="133"/>
      <c r="M4693" s="133"/>
      <c r="N4693" s="133"/>
      <c r="O4693" s="133"/>
      <c r="P4693" s="134"/>
      <c r="Q4693" s="146"/>
      <c r="R4693" s="17"/>
      <c r="S4693" s="17"/>
      <c r="T4693" s="75"/>
      <c r="U4693" s="75"/>
      <c r="V4693" s="75"/>
      <c r="W4693" s="75"/>
      <c r="X4693" s="75"/>
    </row>
    <row r="4694">
      <c r="A4694" s="17"/>
      <c r="B4694" s="17"/>
      <c r="C4694" s="133"/>
      <c r="D4694" s="133"/>
      <c r="E4694" s="17"/>
      <c r="F4694" s="133"/>
      <c r="G4694" s="133"/>
      <c r="H4694" s="133"/>
      <c r="I4694" s="133"/>
      <c r="J4694" s="133"/>
      <c r="K4694" s="133"/>
      <c r="L4694" s="133"/>
      <c r="M4694" s="133"/>
      <c r="N4694" s="133"/>
      <c r="O4694" s="133"/>
      <c r="P4694" s="134"/>
      <c r="Q4694" s="146"/>
      <c r="R4694" s="17"/>
      <c r="S4694" s="17"/>
      <c r="T4694" s="75"/>
      <c r="U4694" s="75"/>
      <c r="V4694" s="75"/>
      <c r="W4694" s="75"/>
      <c r="X4694" s="75"/>
    </row>
    <row r="4695">
      <c r="A4695" s="17"/>
      <c r="B4695" s="17"/>
      <c r="C4695" s="133"/>
      <c r="D4695" s="133"/>
      <c r="E4695" s="17"/>
      <c r="F4695" s="133"/>
      <c r="G4695" s="133"/>
      <c r="H4695" s="133"/>
      <c r="I4695" s="133"/>
      <c r="J4695" s="133"/>
      <c r="K4695" s="133"/>
      <c r="L4695" s="133"/>
      <c r="M4695" s="133"/>
      <c r="N4695" s="133"/>
      <c r="O4695" s="133"/>
      <c r="P4695" s="134"/>
      <c r="Q4695" s="146"/>
      <c r="R4695" s="17"/>
      <c r="S4695" s="17"/>
      <c r="T4695" s="75"/>
      <c r="U4695" s="75"/>
      <c r="V4695" s="75"/>
      <c r="W4695" s="75"/>
      <c r="X4695" s="75"/>
    </row>
    <row r="4696">
      <c r="A4696" s="17"/>
      <c r="B4696" s="17"/>
      <c r="C4696" s="133"/>
      <c r="D4696" s="133"/>
      <c r="E4696" s="17"/>
      <c r="F4696" s="133"/>
      <c r="G4696" s="133"/>
      <c r="H4696" s="133"/>
      <c r="I4696" s="133"/>
      <c r="J4696" s="133"/>
      <c r="K4696" s="133"/>
      <c r="L4696" s="133"/>
      <c r="M4696" s="133"/>
      <c r="N4696" s="133"/>
      <c r="O4696" s="133"/>
      <c r="P4696" s="134"/>
      <c r="Q4696" s="146"/>
      <c r="R4696" s="17"/>
      <c r="S4696" s="17"/>
      <c r="T4696" s="75"/>
      <c r="U4696" s="75"/>
      <c r="V4696" s="75"/>
      <c r="W4696" s="75"/>
      <c r="X4696" s="75"/>
    </row>
    <row r="4697">
      <c r="A4697" s="17"/>
      <c r="B4697" s="17"/>
      <c r="C4697" s="133"/>
      <c r="D4697" s="133"/>
      <c r="E4697" s="17"/>
      <c r="F4697" s="133"/>
      <c r="G4697" s="133"/>
      <c r="H4697" s="133"/>
      <c r="I4697" s="133"/>
      <c r="J4697" s="133"/>
      <c r="K4697" s="133"/>
      <c r="L4697" s="133"/>
      <c r="M4697" s="133"/>
      <c r="N4697" s="133"/>
      <c r="O4697" s="133"/>
      <c r="P4697" s="134"/>
      <c r="Q4697" s="146"/>
      <c r="R4697" s="17"/>
      <c r="S4697" s="17"/>
      <c r="T4697" s="75"/>
      <c r="U4697" s="75"/>
      <c r="V4697" s="75"/>
      <c r="W4697" s="75"/>
      <c r="X4697" s="75"/>
    </row>
    <row r="4698">
      <c r="A4698" s="17"/>
      <c r="B4698" s="17"/>
      <c r="C4698" s="133"/>
      <c r="D4698" s="133"/>
      <c r="E4698" s="17"/>
      <c r="F4698" s="133"/>
      <c r="G4698" s="133"/>
      <c r="H4698" s="133"/>
      <c r="I4698" s="133"/>
      <c r="J4698" s="133"/>
      <c r="K4698" s="133"/>
      <c r="L4698" s="133"/>
      <c r="M4698" s="133"/>
      <c r="N4698" s="133"/>
      <c r="O4698" s="133"/>
      <c r="P4698" s="134"/>
      <c r="Q4698" s="146"/>
      <c r="R4698" s="17"/>
      <c r="S4698" s="17"/>
      <c r="T4698" s="75"/>
      <c r="U4698" s="75"/>
      <c r="V4698" s="75"/>
      <c r="W4698" s="75"/>
      <c r="X4698" s="75"/>
    </row>
    <row r="4699">
      <c r="A4699" s="17"/>
      <c r="B4699" s="17"/>
      <c r="C4699" s="133"/>
      <c r="D4699" s="133"/>
      <c r="E4699" s="17"/>
      <c r="F4699" s="133"/>
      <c r="G4699" s="133"/>
      <c r="H4699" s="133"/>
      <c r="I4699" s="133"/>
      <c r="J4699" s="133"/>
      <c r="K4699" s="133"/>
      <c r="L4699" s="133"/>
      <c r="M4699" s="133"/>
      <c r="N4699" s="133"/>
      <c r="O4699" s="133"/>
      <c r="P4699" s="134"/>
      <c r="Q4699" s="146"/>
      <c r="R4699" s="17"/>
      <c r="S4699" s="17"/>
      <c r="T4699" s="75"/>
      <c r="U4699" s="75"/>
      <c r="V4699" s="75"/>
      <c r="W4699" s="75"/>
      <c r="X4699" s="75"/>
    </row>
    <row r="4700">
      <c r="A4700" s="17"/>
      <c r="B4700" s="17"/>
      <c r="C4700" s="133"/>
      <c r="D4700" s="133"/>
      <c r="E4700" s="17"/>
      <c r="F4700" s="133"/>
      <c r="G4700" s="133"/>
      <c r="H4700" s="133"/>
      <c r="I4700" s="133"/>
      <c r="J4700" s="133"/>
      <c r="K4700" s="133"/>
      <c r="L4700" s="133"/>
      <c r="M4700" s="133"/>
      <c r="N4700" s="133"/>
      <c r="O4700" s="133"/>
      <c r="P4700" s="134"/>
      <c r="Q4700" s="146"/>
      <c r="R4700" s="17"/>
      <c r="S4700" s="17"/>
      <c r="T4700" s="75"/>
      <c r="U4700" s="75"/>
      <c r="V4700" s="75"/>
      <c r="W4700" s="75"/>
      <c r="X4700" s="75"/>
    </row>
    <row r="4701">
      <c r="A4701" s="17"/>
      <c r="B4701" s="17"/>
      <c r="C4701" s="133"/>
      <c r="D4701" s="133"/>
      <c r="E4701" s="17"/>
      <c r="F4701" s="133"/>
      <c r="G4701" s="133"/>
      <c r="H4701" s="133"/>
      <c r="I4701" s="133"/>
      <c r="J4701" s="133"/>
      <c r="K4701" s="133"/>
      <c r="L4701" s="133"/>
      <c r="M4701" s="133"/>
      <c r="N4701" s="133"/>
      <c r="O4701" s="133"/>
      <c r="P4701" s="134"/>
      <c r="Q4701" s="146"/>
      <c r="R4701" s="17"/>
      <c r="S4701" s="17"/>
      <c r="T4701" s="75"/>
      <c r="U4701" s="75"/>
      <c r="V4701" s="75"/>
      <c r="W4701" s="75"/>
      <c r="X4701" s="75"/>
    </row>
    <row r="4702">
      <c r="A4702" s="17"/>
      <c r="B4702" s="17"/>
      <c r="C4702" s="133"/>
      <c r="D4702" s="133"/>
      <c r="E4702" s="17"/>
      <c r="F4702" s="133"/>
      <c r="G4702" s="133"/>
      <c r="H4702" s="133"/>
      <c r="I4702" s="133"/>
      <c r="J4702" s="133"/>
      <c r="K4702" s="133"/>
      <c r="L4702" s="133"/>
      <c r="M4702" s="133"/>
      <c r="N4702" s="133"/>
      <c r="O4702" s="133"/>
      <c r="P4702" s="134"/>
      <c r="Q4702" s="146"/>
      <c r="R4702" s="17"/>
      <c r="S4702" s="17"/>
      <c r="T4702" s="75"/>
      <c r="U4702" s="75"/>
      <c r="V4702" s="75"/>
      <c r="W4702" s="75"/>
      <c r="X4702" s="75"/>
    </row>
    <row r="4703">
      <c r="A4703" s="17"/>
      <c r="B4703" s="17"/>
      <c r="C4703" s="133"/>
      <c r="D4703" s="133"/>
      <c r="E4703" s="17"/>
      <c r="F4703" s="133"/>
      <c r="G4703" s="133"/>
      <c r="H4703" s="133"/>
      <c r="I4703" s="133"/>
      <c r="J4703" s="133"/>
      <c r="K4703" s="133"/>
      <c r="L4703" s="133"/>
      <c r="M4703" s="133"/>
      <c r="N4703" s="133"/>
      <c r="O4703" s="133"/>
      <c r="P4703" s="134"/>
      <c r="Q4703" s="146"/>
      <c r="R4703" s="17"/>
      <c r="S4703" s="17"/>
      <c r="T4703" s="75"/>
      <c r="U4703" s="75"/>
      <c r="V4703" s="75"/>
      <c r="W4703" s="75"/>
      <c r="X4703" s="75"/>
    </row>
    <row r="4704">
      <c r="A4704" s="17"/>
      <c r="B4704" s="17"/>
      <c r="C4704" s="133"/>
      <c r="D4704" s="133"/>
      <c r="E4704" s="17"/>
      <c r="F4704" s="133"/>
      <c r="G4704" s="133"/>
      <c r="H4704" s="133"/>
      <c r="I4704" s="133"/>
      <c r="J4704" s="133"/>
      <c r="K4704" s="133"/>
      <c r="L4704" s="133"/>
      <c r="M4704" s="133"/>
      <c r="N4704" s="133"/>
      <c r="O4704" s="133"/>
      <c r="P4704" s="134"/>
      <c r="Q4704" s="146"/>
      <c r="R4704" s="17"/>
      <c r="S4704" s="17"/>
      <c r="T4704" s="75"/>
      <c r="U4704" s="75"/>
      <c r="V4704" s="75"/>
      <c r="W4704" s="75"/>
      <c r="X4704" s="75"/>
    </row>
    <row r="4705">
      <c r="A4705" s="17"/>
      <c r="B4705" s="17"/>
      <c r="C4705" s="133"/>
      <c r="D4705" s="133"/>
      <c r="E4705" s="17"/>
      <c r="F4705" s="133"/>
      <c r="G4705" s="133"/>
      <c r="H4705" s="133"/>
      <c r="I4705" s="133"/>
      <c r="J4705" s="133"/>
      <c r="K4705" s="133"/>
      <c r="L4705" s="133"/>
      <c r="M4705" s="133"/>
      <c r="N4705" s="133"/>
      <c r="O4705" s="133"/>
      <c r="P4705" s="134"/>
      <c r="Q4705" s="146"/>
      <c r="R4705" s="17"/>
      <c r="S4705" s="17"/>
      <c r="T4705" s="75"/>
      <c r="U4705" s="75"/>
      <c r="V4705" s="75"/>
      <c r="W4705" s="75"/>
      <c r="X4705" s="75"/>
    </row>
    <row r="4706">
      <c r="A4706" s="17"/>
      <c r="B4706" s="17"/>
      <c r="C4706" s="133"/>
      <c r="D4706" s="133"/>
      <c r="E4706" s="17"/>
      <c r="F4706" s="133"/>
      <c r="G4706" s="133"/>
      <c r="H4706" s="133"/>
      <c r="I4706" s="133"/>
      <c r="J4706" s="133"/>
      <c r="K4706" s="133"/>
      <c r="L4706" s="133"/>
      <c r="M4706" s="133"/>
      <c r="N4706" s="133"/>
      <c r="O4706" s="133"/>
      <c r="P4706" s="134"/>
      <c r="Q4706" s="146"/>
      <c r="R4706" s="17"/>
      <c r="S4706" s="17"/>
      <c r="T4706" s="75"/>
      <c r="U4706" s="75"/>
      <c r="V4706" s="75"/>
      <c r="W4706" s="75"/>
      <c r="X4706" s="75"/>
    </row>
    <row r="4707">
      <c r="A4707" s="17"/>
      <c r="B4707" s="17"/>
      <c r="C4707" s="133"/>
      <c r="D4707" s="133"/>
      <c r="E4707" s="17"/>
      <c r="F4707" s="133"/>
      <c r="G4707" s="133"/>
      <c r="H4707" s="133"/>
      <c r="I4707" s="133"/>
      <c r="J4707" s="133"/>
      <c r="K4707" s="133"/>
      <c r="L4707" s="133"/>
      <c r="M4707" s="133"/>
      <c r="N4707" s="133"/>
      <c r="O4707" s="133"/>
      <c r="P4707" s="134"/>
      <c r="Q4707" s="146"/>
      <c r="R4707" s="17"/>
      <c r="S4707" s="17"/>
      <c r="T4707" s="75"/>
      <c r="U4707" s="75"/>
      <c r="V4707" s="75"/>
      <c r="W4707" s="75"/>
      <c r="X4707" s="75"/>
    </row>
    <row r="4708">
      <c r="A4708" s="17"/>
      <c r="B4708" s="17"/>
      <c r="C4708" s="133"/>
      <c r="D4708" s="133"/>
      <c r="E4708" s="17"/>
      <c r="F4708" s="133"/>
      <c r="G4708" s="133"/>
      <c r="H4708" s="133"/>
      <c r="I4708" s="133"/>
      <c r="J4708" s="133"/>
      <c r="K4708" s="133"/>
      <c r="L4708" s="133"/>
      <c r="M4708" s="133"/>
      <c r="N4708" s="133"/>
      <c r="O4708" s="133"/>
      <c r="P4708" s="134"/>
      <c r="Q4708" s="146"/>
      <c r="R4708" s="17"/>
      <c r="S4708" s="17"/>
      <c r="T4708" s="75"/>
      <c r="U4708" s="75"/>
      <c r="V4708" s="75"/>
      <c r="W4708" s="75"/>
      <c r="X4708" s="75"/>
    </row>
    <row r="4709">
      <c r="A4709" s="17"/>
      <c r="B4709" s="17"/>
      <c r="C4709" s="133"/>
      <c r="D4709" s="133"/>
      <c r="E4709" s="17"/>
      <c r="F4709" s="133"/>
      <c r="G4709" s="133"/>
      <c r="H4709" s="133"/>
      <c r="I4709" s="133"/>
      <c r="J4709" s="133"/>
      <c r="K4709" s="133"/>
      <c r="L4709" s="133"/>
      <c r="M4709" s="133"/>
      <c r="N4709" s="133"/>
      <c r="O4709" s="133"/>
      <c r="P4709" s="134"/>
      <c r="Q4709" s="146"/>
      <c r="R4709" s="17"/>
      <c r="S4709" s="17"/>
      <c r="T4709" s="75"/>
      <c r="U4709" s="75"/>
      <c r="V4709" s="75"/>
      <c r="W4709" s="75"/>
      <c r="X4709" s="75"/>
    </row>
    <row r="4710">
      <c r="A4710" s="17"/>
      <c r="B4710" s="17"/>
      <c r="C4710" s="133"/>
      <c r="D4710" s="133"/>
      <c r="E4710" s="17"/>
      <c r="F4710" s="133"/>
      <c r="G4710" s="133"/>
      <c r="H4710" s="133"/>
      <c r="I4710" s="133"/>
      <c r="J4710" s="133"/>
      <c r="K4710" s="133"/>
      <c r="L4710" s="133"/>
      <c r="M4710" s="133"/>
      <c r="N4710" s="133"/>
      <c r="O4710" s="133"/>
      <c r="P4710" s="134"/>
      <c r="Q4710" s="146"/>
      <c r="R4710" s="17"/>
      <c r="S4710" s="17"/>
      <c r="T4710" s="75"/>
      <c r="U4710" s="75"/>
      <c r="V4710" s="75"/>
      <c r="W4710" s="75"/>
      <c r="X4710" s="75"/>
    </row>
    <row r="4711">
      <c r="A4711" s="17"/>
      <c r="B4711" s="17"/>
      <c r="C4711" s="133"/>
      <c r="D4711" s="133"/>
      <c r="E4711" s="17"/>
      <c r="F4711" s="133"/>
      <c r="G4711" s="133"/>
      <c r="H4711" s="133"/>
      <c r="I4711" s="133"/>
      <c r="J4711" s="133"/>
      <c r="K4711" s="133"/>
      <c r="L4711" s="133"/>
      <c r="M4711" s="133"/>
      <c r="N4711" s="133"/>
      <c r="O4711" s="133"/>
      <c r="P4711" s="134"/>
      <c r="Q4711" s="146"/>
      <c r="R4711" s="17"/>
      <c r="S4711" s="17"/>
      <c r="T4711" s="75"/>
      <c r="U4711" s="75"/>
      <c r="V4711" s="75"/>
      <c r="W4711" s="75"/>
      <c r="X4711" s="75"/>
    </row>
    <row r="4712">
      <c r="A4712" s="17"/>
      <c r="B4712" s="17"/>
      <c r="C4712" s="133"/>
      <c r="D4712" s="133"/>
      <c r="E4712" s="17"/>
      <c r="F4712" s="133"/>
      <c r="G4712" s="133"/>
      <c r="H4712" s="133"/>
      <c r="I4712" s="133"/>
      <c r="J4712" s="133"/>
      <c r="K4712" s="133"/>
      <c r="L4712" s="133"/>
      <c r="M4712" s="133"/>
      <c r="N4712" s="133"/>
      <c r="O4712" s="133"/>
      <c r="P4712" s="134"/>
      <c r="Q4712" s="146"/>
      <c r="R4712" s="17"/>
      <c r="S4712" s="17"/>
      <c r="T4712" s="75"/>
      <c r="U4712" s="75"/>
      <c r="V4712" s="75"/>
      <c r="W4712" s="75"/>
      <c r="X4712" s="75"/>
    </row>
    <row r="4713">
      <c r="A4713" s="17"/>
      <c r="B4713" s="17"/>
      <c r="C4713" s="133"/>
      <c r="D4713" s="133"/>
      <c r="E4713" s="17"/>
      <c r="F4713" s="133"/>
      <c r="G4713" s="133"/>
      <c r="H4713" s="133"/>
      <c r="I4713" s="133"/>
      <c r="J4713" s="133"/>
      <c r="K4713" s="133"/>
      <c r="L4713" s="133"/>
      <c r="M4713" s="133"/>
      <c r="N4713" s="133"/>
      <c r="O4713" s="133"/>
      <c r="P4713" s="134"/>
      <c r="Q4713" s="146"/>
      <c r="R4713" s="17"/>
      <c r="S4713" s="17"/>
      <c r="T4713" s="75"/>
      <c r="U4713" s="75"/>
      <c r="V4713" s="75"/>
      <c r="W4713" s="75"/>
      <c r="X4713" s="75"/>
    </row>
    <row r="4714">
      <c r="A4714" s="17"/>
      <c r="B4714" s="17"/>
      <c r="C4714" s="133"/>
      <c r="D4714" s="133"/>
      <c r="E4714" s="17"/>
      <c r="F4714" s="133"/>
      <c r="G4714" s="133"/>
      <c r="H4714" s="133"/>
      <c r="I4714" s="133"/>
      <c r="J4714" s="133"/>
      <c r="K4714" s="133"/>
      <c r="L4714" s="133"/>
      <c r="M4714" s="133"/>
      <c r="N4714" s="133"/>
      <c r="O4714" s="133"/>
      <c r="P4714" s="134"/>
      <c r="Q4714" s="146"/>
      <c r="R4714" s="17"/>
      <c r="S4714" s="17"/>
      <c r="T4714" s="75"/>
      <c r="U4714" s="75"/>
      <c r="V4714" s="75"/>
      <c r="W4714" s="75"/>
      <c r="X4714" s="75"/>
    </row>
    <row r="4715">
      <c r="A4715" s="17"/>
      <c r="B4715" s="17"/>
      <c r="C4715" s="133"/>
      <c r="D4715" s="133"/>
      <c r="E4715" s="17"/>
      <c r="F4715" s="133"/>
      <c r="G4715" s="133"/>
      <c r="H4715" s="133"/>
      <c r="I4715" s="133"/>
      <c r="J4715" s="133"/>
      <c r="K4715" s="133"/>
      <c r="L4715" s="133"/>
      <c r="M4715" s="133"/>
      <c r="N4715" s="133"/>
      <c r="O4715" s="133"/>
      <c r="P4715" s="134"/>
      <c r="Q4715" s="146"/>
      <c r="R4715" s="17"/>
      <c r="S4715" s="17"/>
      <c r="T4715" s="75"/>
      <c r="U4715" s="75"/>
      <c r="V4715" s="75"/>
      <c r="W4715" s="75"/>
      <c r="X4715" s="75"/>
    </row>
    <row r="4716">
      <c r="A4716" s="17"/>
      <c r="B4716" s="17"/>
      <c r="C4716" s="133"/>
      <c r="D4716" s="133"/>
      <c r="E4716" s="17"/>
      <c r="F4716" s="133"/>
      <c r="G4716" s="133"/>
      <c r="H4716" s="133"/>
      <c r="I4716" s="133"/>
      <c r="J4716" s="133"/>
      <c r="K4716" s="133"/>
      <c r="L4716" s="133"/>
      <c r="M4716" s="133"/>
      <c r="N4716" s="133"/>
      <c r="O4716" s="133"/>
      <c r="P4716" s="134"/>
      <c r="Q4716" s="146"/>
      <c r="R4716" s="17"/>
      <c r="S4716" s="17"/>
      <c r="T4716" s="75"/>
      <c r="U4716" s="75"/>
      <c r="V4716" s="75"/>
      <c r="W4716" s="75"/>
      <c r="X4716" s="75"/>
    </row>
    <row r="4717">
      <c r="A4717" s="17"/>
      <c r="B4717" s="17"/>
      <c r="C4717" s="133"/>
      <c r="D4717" s="133"/>
      <c r="E4717" s="17"/>
      <c r="F4717" s="133"/>
      <c r="G4717" s="133"/>
      <c r="H4717" s="133"/>
      <c r="I4717" s="133"/>
      <c r="J4717" s="133"/>
      <c r="K4717" s="133"/>
      <c r="L4717" s="133"/>
      <c r="M4717" s="133"/>
      <c r="N4717" s="133"/>
      <c r="O4717" s="133"/>
      <c r="P4717" s="134"/>
      <c r="Q4717" s="146"/>
      <c r="R4717" s="17"/>
      <c r="S4717" s="17"/>
      <c r="T4717" s="75"/>
      <c r="U4717" s="75"/>
      <c r="V4717" s="75"/>
      <c r="W4717" s="75"/>
      <c r="X4717" s="75"/>
    </row>
    <row r="4718">
      <c r="A4718" s="17"/>
      <c r="B4718" s="17"/>
      <c r="C4718" s="133"/>
      <c r="D4718" s="133"/>
      <c r="E4718" s="17"/>
      <c r="F4718" s="133"/>
      <c r="G4718" s="133"/>
      <c r="H4718" s="133"/>
      <c r="I4718" s="133"/>
      <c r="J4718" s="133"/>
      <c r="K4718" s="133"/>
      <c r="L4718" s="133"/>
      <c r="M4718" s="133"/>
      <c r="N4718" s="133"/>
      <c r="O4718" s="133"/>
      <c r="P4718" s="134"/>
      <c r="Q4718" s="146"/>
      <c r="R4718" s="17"/>
      <c r="S4718" s="17"/>
      <c r="T4718" s="75"/>
      <c r="U4718" s="75"/>
      <c r="V4718" s="75"/>
      <c r="W4718" s="75"/>
      <c r="X4718" s="75"/>
    </row>
    <row r="4719">
      <c r="A4719" s="17"/>
      <c r="B4719" s="17"/>
      <c r="C4719" s="133"/>
      <c r="D4719" s="133"/>
      <c r="E4719" s="17"/>
      <c r="F4719" s="133"/>
      <c r="G4719" s="133"/>
      <c r="H4719" s="133"/>
      <c r="I4719" s="133"/>
      <c r="J4719" s="133"/>
      <c r="K4719" s="133"/>
      <c r="L4719" s="133"/>
      <c r="M4719" s="133"/>
      <c r="N4719" s="133"/>
      <c r="O4719" s="133"/>
      <c r="P4719" s="134"/>
      <c r="Q4719" s="146"/>
      <c r="R4719" s="17"/>
      <c r="S4719" s="17"/>
      <c r="T4719" s="75"/>
      <c r="U4719" s="75"/>
      <c r="V4719" s="75"/>
      <c r="W4719" s="75"/>
      <c r="X4719" s="75"/>
    </row>
    <row r="4720">
      <c r="A4720" s="17"/>
      <c r="B4720" s="17"/>
      <c r="C4720" s="133"/>
      <c r="D4720" s="133"/>
      <c r="E4720" s="17"/>
      <c r="F4720" s="133"/>
      <c r="G4720" s="133"/>
      <c r="H4720" s="133"/>
      <c r="I4720" s="133"/>
      <c r="J4720" s="133"/>
      <c r="K4720" s="133"/>
      <c r="L4720" s="133"/>
      <c r="M4720" s="133"/>
      <c r="N4720" s="133"/>
      <c r="O4720" s="133"/>
      <c r="P4720" s="134"/>
      <c r="Q4720" s="146"/>
      <c r="R4720" s="17"/>
      <c r="S4720" s="17"/>
      <c r="T4720" s="75"/>
      <c r="U4720" s="75"/>
      <c r="V4720" s="75"/>
      <c r="W4720" s="75"/>
      <c r="X4720" s="75"/>
    </row>
    <row r="4721">
      <c r="A4721" s="17"/>
      <c r="B4721" s="17"/>
      <c r="C4721" s="133"/>
      <c r="D4721" s="133"/>
      <c r="E4721" s="17"/>
      <c r="F4721" s="133"/>
      <c r="G4721" s="133"/>
      <c r="H4721" s="133"/>
      <c r="I4721" s="133"/>
      <c r="J4721" s="133"/>
      <c r="K4721" s="133"/>
      <c r="L4721" s="133"/>
      <c r="M4721" s="133"/>
      <c r="N4721" s="133"/>
      <c r="O4721" s="133"/>
      <c r="P4721" s="134"/>
      <c r="Q4721" s="146"/>
      <c r="R4721" s="17"/>
      <c r="S4721" s="17"/>
      <c r="T4721" s="75"/>
      <c r="U4721" s="75"/>
      <c r="V4721" s="75"/>
      <c r="W4721" s="75"/>
      <c r="X4721" s="75"/>
    </row>
    <row r="4722">
      <c r="A4722" s="17"/>
      <c r="B4722" s="17"/>
      <c r="C4722" s="133"/>
      <c r="D4722" s="133"/>
      <c r="E4722" s="17"/>
      <c r="F4722" s="133"/>
      <c r="G4722" s="133"/>
      <c r="H4722" s="133"/>
      <c r="I4722" s="133"/>
      <c r="J4722" s="133"/>
      <c r="K4722" s="133"/>
      <c r="L4722" s="133"/>
      <c r="M4722" s="133"/>
      <c r="N4722" s="133"/>
      <c r="O4722" s="133"/>
      <c r="P4722" s="134"/>
      <c r="Q4722" s="146"/>
      <c r="R4722" s="17"/>
      <c r="S4722" s="17"/>
      <c r="T4722" s="75"/>
      <c r="U4722" s="75"/>
      <c r="V4722" s="75"/>
      <c r="W4722" s="75"/>
      <c r="X4722" s="75"/>
    </row>
    <row r="4723">
      <c r="A4723" s="17"/>
      <c r="B4723" s="17"/>
      <c r="C4723" s="133"/>
      <c r="D4723" s="133"/>
      <c r="E4723" s="17"/>
      <c r="F4723" s="133"/>
      <c r="G4723" s="133"/>
      <c r="H4723" s="133"/>
      <c r="I4723" s="133"/>
      <c r="J4723" s="133"/>
      <c r="K4723" s="133"/>
      <c r="L4723" s="133"/>
      <c r="M4723" s="133"/>
      <c r="N4723" s="133"/>
      <c r="O4723" s="133"/>
      <c r="P4723" s="134"/>
      <c r="Q4723" s="146"/>
      <c r="R4723" s="17"/>
      <c r="S4723" s="17"/>
      <c r="T4723" s="75"/>
      <c r="U4723" s="75"/>
      <c r="V4723" s="75"/>
      <c r="W4723" s="75"/>
      <c r="X4723" s="75"/>
    </row>
    <row r="4724">
      <c r="A4724" s="17"/>
      <c r="B4724" s="17"/>
      <c r="C4724" s="133"/>
      <c r="D4724" s="133"/>
      <c r="E4724" s="17"/>
      <c r="F4724" s="133"/>
      <c r="G4724" s="133"/>
      <c r="H4724" s="133"/>
      <c r="I4724" s="133"/>
      <c r="J4724" s="133"/>
      <c r="K4724" s="133"/>
      <c r="L4724" s="133"/>
      <c r="M4724" s="133"/>
      <c r="N4724" s="133"/>
      <c r="O4724" s="133"/>
      <c r="P4724" s="134"/>
      <c r="Q4724" s="146"/>
      <c r="R4724" s="17"/>
      <c r="S4724" s="17"/>
      <c r="T4724" s="75"/>
      <c r="U4724" s="75"/>
      <c r="V4724" s="75"/>
      <c r="W4724" s="75"/>
      <c r="X4724" s="75"/>
    </row>
    <row r="4725">
      <c r="A4725" s="17"/>
      <c r="B4725" s="17"/>
      <c r="C4725" s="133"/>
      <c r="D4725" s="133"/>
      <c r="E4725" s="17"/>
      <c r="F4725" s="133"/>
      <c r="G4725" s="133"/>
      <c r="H4725" s="133"/>
      <c r="I4725" s="133"/>
      <c r="J4725" s="133"/>
      <c r="K4725" s="133"/>
      <c r="L4725" s="133"/>
      <c r="M4725" s="133"/>
      <c r="N4725" s="133"/>
      <c r="O4725" s="133"/>
      <c r="P4725" s="134"/>
      <c r="Q4725" s="146"/>
      <c r="R4725" s="17"/>
      <c r="S4725" s="17"/>
      <c r="T4725" s="75"/>
      <c r="U4725" s="75"/>
      <c r="V4725" s="75"/>
      <c r="W4725" s="75"/>
      <c r="X4725" s="75"/>
    </row>
    <row r="4726">
      <c r="A4726" s="17"/>
      <c r="B4726" s="17"/>
      <c r="C4726" s="133"/>
      <c r="D4726" s="133"/>
      <c r="E4726" s="17"/>
      <c r="F4726" s="133"/>
      <c r="G4726" s="133"/>
      <c r="H4726" s="133"/>
      <c r="I4726" s="133"/>
      <c r="J4726" s="133"/>
      <c r="K4726" s="133"/>
      <c r="L4726" s="133"/>
      <c r="M4726" s="133"/>
      <c r="N4726" s="133"/>
      <c r="O4726" s="133"/>
      <c r="P4726" s="134"/>
      <c r="Q4726" s="146"/>
      <c r="R4726" s="17"/>
      <c r="S4726" s="17"/>
      <c r="T4726" s="75"/>
      <c r="U4726" s="75"/>
      <c r="V4726" s="75"/>
      <c r="W4726" s="75"/>
      <c r="X4726" s="75"/>
    </row>
    <row r="4727">
      <c r="A4727" s="17"/>
      <c r="B4727" s="17"/>
      <c r="C4727" s="133"/>
      <c r="D4727" s="133"/>
      <c r="E4727" s="17"/>
      <c r="F4727" s="133"/>
      <c r="G4727" s="133"/>
      <c r="H4727" s="133"/>
      <c r="I4727" s="133"/>
      <c r="J4727" s="133"/>
      <c r="K4727" s="133"/>
      <c r="L4727" s="133"/>
      <c r="M4727" s="133"/>
      <c r="N4727" s="133"/>
      <c r="O4727" s="133"/>
      <c r="P4727" s="134"/>
      <c r="Q4727" s="146"/>
      <c r="R4727" s="17"/>
      <c r="S4727" s="17"/>
      <c r="T4727" s="75"/>
      <c r="U4727" s="75"/>
      <c r="V4727" s="75"/>
      <c r="W4727" s="75"/>
      <c r="X4727" s="75"/>
    </row>
    <row r="4728">
      <c r="A4728" s="17"/>
      <c r="B4728" s="17"/>
      <c r="C4728" s="133"/>
      <c r="D4728" s="133"/>
      <c r="E4728" s="17"/>
      <c r="F4728" s="133"/>
      <c r="G4728" s="133"/>
      <c r="H4728" s="133"/>
      <c r="I4728" s="133"/>
      <c r="J4728" s="133"/>
      <c r="K4728" s="133"/>
      <c r="L4728" s="133"/>
      <c r="M4728" s="133"/>
      <c r="N4728" s="133"/>
      <c r="O4728" s="133"/>
      <c r="P4728" s="134"/>
      <c r="Q4728" s="146"/>
      <c r="R4728" s="17"/>
      <c r="S4728" s="17"/>
      <c r="T4728" s="75"/>
      <c r="U4728" s="75"/>
      <c r="V4728" s="75"/>
      <c r="W4728" s="75"/>
      <c r="X4728" s="75"/>
    </row>
    <row r="4729">
      <c r="A4729" s="17"/>
      <c r="B4729" s="17"/>
      <c r="C4729" s="133"/>
      <c r="D4729" s="133"/>
      <c r="E4729" s="17"/>
      <c r="F4729" s="133"/>
      <c r="G4729" s="133"/>
      <c r="H4729" s="133"/>
      <c r="I4729" s="133"/>
      <c r="J4729" s="133"/>
      <c r="K4729" s="133"/>
      <c r="L4729" s="133"/>
      <c r="M4729" s="133"/>
      <c r="N4729" s="133"/>
      <c r="O4729" s="133"/>
      <c r="P4729" s="134"/>
      <c r="Q4729" s="146"/>
      <c r="R4729" s="17"/>
      <c r="S4729" s="17"/>
      <c r="T4729" s="75"/>
      <c r="U4729" s="75"/>
      <c r="V4729" s="75"/>
      <c r="W4729" s="75"/>
      <c r="X4729" s="75"/>
    </row>
    <row r="4730">
      <c r="A4730" s="17"/>
      <c r="B4730" s="17"/>
      <c r="C4730" s="133"/>
      <c r="D4730" s="133"/>
      <c r="E4730" s="17"/>
      <c r="F4730" s="133"/>
      <c r="G4730" s="133"/>
      <c r="H4730" s="133"/>
      <c r="I4730" s="133"/>
      <c r="J4730" s="133"/>
      <c r="K4730" s="133"/>
      <c r="L4730" s="133"/>
      <c r="M4730" s="133"/>
      <c r="N4730" s="133"/>
      <c r="O4730" s="133"/>
      <c r="P4730" s="134"/>
      <c r="Q4730" s="146"/>
      <c r="R4730" s="17"/>
      <c r="S4730" s="17"/>
      <c r="T4730" s="75"/>
      <c r="U4730" s="75"/>
      <c r="V4730" s="75"/>
      <c r="W4730" s="75"/>
      <c r="X4730" s="75"/>
    </row>
    <row r="4731">
      <c r="A4731" s="17"/>
      <c r="B4731" s="17"/>
      <c r="C4731" s="133"/>
      <c r="D4731" s="133"/>
      <c r="E4731" s="17"/>
      <c r="F4731" s="133"/>
      <c r="G4731" s="133"/>
      <c r="H4731" s="133"/>
      <c r="I4731" s="133"/>
      <c r="J4731" s="133"/>
      <c r="K4731" s="133"/>
      <c r="L4731" s="133"/>
      <c r="M4731" s="133"/>
      <c r="N4731" s="133"/>
      <c r="O4731" s="133"/>
      <c r="P4731" s="134"/>
      <c r="Q4731" s="146"/>
      <c r="R4731" s="17"/>
      <c r="S4731" s="17"/>
      <c r="T4731" s="75"/>
      <c r="U4731" s="75"/>
      <c r="V4731" s="75"/>
      <c r="W4731" s="75"/>
      <c r="X4731" s="75"/>
    </row>
    <row r="4732">
      <c r="A4732" s="17"/>
      <c r="B4732" s="17"/>
      <c r="C4732" s="133"/>
      <c r="D4732" s="133"/>
      <c r="E4732" s="17"/>
      <c r="F4732" s="133"/>
      <c r="G4732" s="133"/>
      <c r="H4732" s="133"/>
      <c r="I4732" s="133"/>
      <c r="J4732" s="133"/>
      <c r="K4732" s="133"/>
      <c r="L4732" s="133"/>
      <c r="M4732" s="133"/>
      <c r="N4732" s="133"/>
      <c r="O4732" s="133"/>
      <c r="P4732" s="134"/>
      <c r="Q4732" s="146"/>
      <c r="R4732" s="17"/>
      <c r="S4732" s="17"/>
      <c r="T4732" s="75"/>
      <c r="U4732" s="75"/>
      <c r="V4732" s="75"/>
      <c r="W4732" s="75"/>
      <c r="X4732" s="75"/>
    </row>
    <row r="4733">
      <c r="A4733" s="17"/>
      <c r="B4733" s="17"/>
      <c r="C4733" s="133"/>
      <c r="D4733" s="133"/>
      <c r="E4733" s="17"/>
      <c r="F4733" s="133"/>
      <c r="G4733" s="133"/>
      <c r="H4733" s="133"/>
      <c r="I4733" s="133"/>
      <c r="J4733" s="133"/>
      <c r="K4733" s="133"/>
      <c r="L4733" s="133"/>
      <c r="M4733" s="133"/>
      <c r="N4733" s="133"/>
      <c r="O4733" s="133"/>
      <c r="P4733" s="134"/>
      <c r="Q4733" s="146"/>
      <c r="R4733" s="17"/>
      <c r="S4733" s="17"/>
      <c r="T4733" s="75"/>
      <c r="U4733" s="75"/>
      <c r="V4733" s="75"/>
      <c r="W4733" s="75"/>
      <c r="X4733" s="75"/>
    </row>
    <row r="4734">
      <c r="A4734" s="17"/>
      <c r="B4734" s="17"/>
      <c r="C4734" s="133"/>
      <c r="D4734" s="133"/>
      <c r="E4734" s="17"/>
      <c r="F4734" s="133"/>
      <c r="G4734" s="133"/>
      <c r="H4734" s="133"/>
      <c r="I4734" s="133"/>
      <c r="J4734" s="133"/>
      <c r="K4734" s="133"/>
      <c r="L4734" s="133"/>
      <c r="M4734" s="133"/>
      <c r="N4734" s="133"/>
      <c r="O4734" s="133"/>
      <c r="P4734" s="134"/>
      <c r="Q4734" s="146"/>
      <c r="R4734" s="17"/>
      <c r="S4734" s="17"/>
      <c r="T4734" s="75"/>
      <c r="U4734" s="75"/>
      <c r="V4734" s="75"/>
      <c r="W4734" s="75"/>
      <c r="X4734" s="75"/>
    </row>
    <row r="4735">
      <c r="A4735" s="17"/>
      <c r="B4735" s="17"/>
      <c r="C4735" s="133"/>
      <c r="D4735" s="133"/>
      <c r="E4735" s="17"/>
      <c r="F4735" s="133"/>
      <c r="G4735" s="133"/>
      <c r="H4735" s="133"/>
      <c r="I4735" s="133"/>
      <c r="J4735" s="133"/>
      <c r="K4735" s="133"/>
      <c r="L4735" s="133"/>
      <c r="M4735" s="133"/>
      <c r="N4735" s="133"/>
      <c r="O4735" s="133"/>
      <c r="P4735" s="134"/>
      <c r="Q4735" s="146"/>
      <c r="R4735" s="17"/>
      <c r="S4735" s="17"/>
      <c r="T4735" s="75"/>
      <c r="U4735" s="75"/>
      <c r="V4735" s="75"/>
      <c r="W4735" s="75"/>
      <c r="X4735" s="75"/>
    </row>
    <row r="4736">
      <c r="A4736" s="17"/>
      <c r="B4736" s="17"/>
      <c r="C4736" s="133"/>
      <c r="D4736" s="133"/>
      <c r="E4736" s="17"/>
      <c r="F4736" s="133"/>
      <c r="G4736" s="133"/>
      <c r="H4736" s="133"/>
      <c r="I4736" s="133"/>
      <c r="J4736" s="133"/>
      <c r="K4736" s="133"/>
      <c r="L4736" s="133"/>
      <c r="M4736" s="133"/>
      <c r="N4736" s="133"/>
      <c r="O4736" s="133"/>
      <c r="P4736" s="134"/>
      <c r="Q4736" s="146"/>
      <c r="R4736" s="17"/>
      <c r="S4736" s="17"/>
      <c r="T4736" s="75"/>
      <c r="U4736" s="75"/>
      <c r="V4736" s="75"/>
      <c r="W4736" s="75"/>
      <c r="X4736" s="75"/>
    </row>
    <row r="4737">
      <c r="A4737" s="17"/>
      <c r="B4737" s="17"/>
      <c r="C4737" s="133"/>
      <c r="D4737" s="133"/>
      <c r="E4737" s="17"/>
      <c r="F4737" s="133"/>
      <c r="G4737" s="133"/>
      <c r="H4737" s="133"/>
      <c r="I4737" s="133"/>
      <c r="J4737" s="133"/>
      <c r="K4737" s="133"/>
      <c r="L4737" s="133"/>
      <c r="M4737" s="133"/>
      <c r="N4737" s="133"/>
      <c r="O4737" s="133"/>
      <c r="P4737" s="134"/>
      <c r="Q4737" s="146"/>
      <c r="R4737" s="17"/>
      <c r="S4737" s="17"/>
      <c r="T4737" s="75"/>
      <c r="U4737" s="75"/>
      <c r="V4737" s="75"/>
      <c r="W4737" s="75"/>
      <c r="X4737" s="75"/>
    </row>
    <row r="4738">
      <c r="A4738" s="17"/>
      <c r="B4738" s="17"/>
      <c r="C4738" s="133"/>
      <c r="D4738" s="133"/>
      <c r="E4738" s="17"/>
      <c r="F4738" s="133"/>
      <c r="G4738" s="133"/>
      <c r="H4738" s="133"/>
      <c r="I4738" s="133"/>
      <c r="J4738" s="133"/>
      <c r="K4738" s="133"/>
      <c r="L4738" s="133"/>
      <c r="M4738" s="133"/>
      <c r="N4738" s="133"/>
      <c r="O4738" s="133"/>
      <c r="P4738" s="134"/>
      <c r="Q4738" s="146"/>
      <c r="R4738" s="17"/>
      <c r="S4738" s="17"/>
      <c r="T4738" s="75"/>
      <c r="U4738" s="75"/>
      <c r="V4738" s="75"/>
      <c r="W4738" s="75"/>
      <c r="X4738" s="75"/>
    </row>
    <row r="4739">
      <c r="A4739" s="17"/>
      <c r="B4739" s="17"/>
      <c r="C4739" s="133"/>
      <c r="D4739" s="133"/>
      <c r="E4739" s="17"/>
      <c r="F4739" s="133"/>
      <c r="G4739" s="133"/>
      <c r="H4739" s="133"/>
      <c r="I4739" s="133"/>
      <c r="J4739" s="133"/>
      <c r="K4739" s="133"/>
      <c r="L4739" s="133"/>
      <c r="M4739" s="133"/>
      <c r="N4739" s="133"/>
      <c r="O4739" s="133"/>
      <c r="P4739" s="134"/>
      <c r="Q4739" s="146"/>
      <c r="R4739" s="17"/>
      <c r="S4739" s="17"/>
      <c r="T4739" s="75"/>
      <c r="U4739" s="75"/>
      <c r="V4739" s="75"/>
      <c r="W4739" s="75"/>
      <c r="X4739" s="75"/>
    </row>
    <row r="4740">
      <c r="A4740" s="17"/>
      <c r="B4740" s="17"/>
      <c r="C4740" s="133"/>
      <c r="D4740" s="133"/>
      <c r="E4740" s="17"/>
      <c r="F4740" s="133"/>
      <c r="G4740" s="133"/>
      <c r="H4740" s="133"/>
      <c r="I4740" s="133"/>
      <c r="J4740" s="133"/>
      <c r="K4740" s="133"/>
      <c r="L4740" s="133"/>
      <c r="M4740" s="133"/>
      <c r="N4740" s="133"/>
      <c r="O4740" s="133"/>
      <c r="P4740" s="134"/>
      <c r="Q4740" s="146"/>
      <c r="R4740" s="17"/>
      <c r="S4740" s="17"/>
      <c r="T4740" s="75"/>
      <c r="U4740" s="75"/>
      <c r="V4740" s="75"/>
      <c r="W4740" s="75"/>
      <c r="X4740" s="75"/>
    </row>
    <row r="4741">
      <c r="A4741" s="17"/>
      <c r="B4741" s="17"/>
      <c r="C4741" s="133"/>
      <c r="D4741" s="133"/>
      <c r="E4741" s="17"/>
      <c r="F4741" s="133"/>
      <c r="G4741" s="133"/>
      <c r="H4741" s="133"/>
      <c r="I4741" s="133"/>
      <c r="J4741" s="133"/>
      <c r="K4741" s="133"/>
      <c r="L4741" s="133"/>
      <c r="M4741" s="133"/>
      <c r="N4741" s="133"/>
      <c r="O4741" s="133"/>
      <c r="P4741" s="134"/>
      <c r="Q4741" s="146"/>
      <c r="R4741" s="17"/>
      <c r="S4741" s="17"/>
      <c r="T4741" s="75"/>
      <c r="U4741" s="75"/>
      <c r="V4741" s="75"/>
      <c r="W4741" s="75"/>
      <c r="X4741" s="75"/>
    </row>
    <row r="4742">
      <c r="A4742" s="17"/>
      <c r="B4742" s="17"/>
      <c r="C4742" s="133"/>
      <c r="D4742" s="133"/>
      <c r="E4742" s="17"/>
      <c r="F4742" s="133"/>
      <c r="G4742" s="133"/>
      <c r="H4742" s="133"/>
      <c r="I4742" s="133"/>
      <c r="J4742" s="133"/>
      <c r="K4742" s="133"/>
      <c r="L4742" s="133"/>
      <c r="M4742" s="133"/>
      <c r="N4742" s="133"/>
      <c r="O4742" s="133"/>
      <c r="P4742" s="134"/>
      <c r="Q4742" s="146"/>
      <c r="R4742" s="17"/>
      <c r="S4742" s="17"/>
      <c r="T4742" s="75"/>
      <c r="U4742" s="75"/>
      <c r="V4742" s="75"/>
      <c r="W4742" s="75"/>
      <c r="X4742" s="75"/>
    </row>
    <row r="4743">
      <c r="A4743" s="17"/>
      <c r="B4743" s="17"/>
      <c r="C4743" s="133"/>
      <c r="D4743" s="133"/>
      <c r="E4743" s="17"/>
      <c r="F4743" s="133"/>
      <c r="G4743" s="133"/>
      <c r="H4743" s="133"/>
      <c r="I4743" s="133"/>
      <c r="J4743" s="133"/>
      <c r="K4743" s="133"/>
      <c r="L4743" s="133"/>
      <c r="M4743" s="133"/>
      <c r="N4743" s="133"/>
      <c r="O4743" s="133"/>
      <c r="P4743" s="134"/>
      <c r="Q4743" s="146"/>
      <c r="R4743" s="17"/>
      <c r="S4743" s="17"/>
      <c r="T4743" s="75"/>
      <c r="U4743" s="75"/>
      <c r="V4743" s="75"/>
      <c r="W4743" s="75"/>
      <c r="X4743" s="75"/>
    </row>
    <row r="4744">
      <c r="A4744" s="17"/>
      <c r="B4744" s="17"/>
      <c r="C4744" s="133"/>
      <c r="D4744" s="133"/>
      <c r="E4744" s="17"/>
      <c r="F4744" s="133"/>
      <c r="G4744" s="133"/>
      <c r="H4744" s="133"/>
      <c r="I4744" s="133"/>
      <c r="J4744" s="133"/>
      <c r="K4744" s="133"/>
      <c r="L4744" s="133"/>
      <c r="M4744" s="133"/>
      <c r="N4744" s="133"/>
      <c r="O4744" s="133"/>
      <c r="P4744" s="134"/>
      <c r="Q4744" s="146"/>
      <c r="R4744" s="17"/>
      <c r="S4744" s="17"/>
      <c r="T4744" s="75"/>
      <c r="U4744" s="75"/>
      <c r="V4744" s="75"/>
      <c r="W4744" s="75"/>
      <c r="X4744" s="75"/>
    </row>
    <row r="4745">
      <c r="A4745" s="17"/>
      <c r="B4745" s="17"/>
      <c r="C4745" s="133"/>
      <c r="D4745" s="133"/>
      <c r="E4745" s="17"/>
      <c r="F4745" s="133"/>
      <c r="G4745" s="133"/>
      <c r="H4745" s="133"/>
      <c r="I4745" s="133"/>
      <c r="J4745" s="133"/>
      <c r="K4745" s="133"/>
      <c r="L4745" s="133"/>
      <c r="M4745" s="133"/>
      <c r="N4745" s="133"/>
      <c r="O4745" s="133"/>
      <c r="P4745" s="134"/>
      <c r="Q4745" s="146"/>
      <c r="R4745" s="17"/>
      <c r="S4745" s="17"/>
      <c r="T4745" s="75"/>
      <c r="U4745" s="75"/>
      <c r="V4745" s="75"/>
      <c r="W4745" s="75"/>
      <c r="X4745" s="75"/>
    </row>
    <row r="4746">
      <c r="A4746" s="17"/>
      <c r="B4746" s="17"/>
      <c r="C4746" s="133"/>
      <c r="D4746" s="133"/>
      <c r="E4746" s="17"/>
      <c r="F4746" s="133"/>
      <c r="G4746" s="133"/>
      <c r="H4746" s="133"/>
      <c r="I4746" s="133"/>
      <c r="J4746" s="133"/>
      <c r="K4746" s="133"/>
      <c r="L4746" s="133"/>
      <c r="M4746" s="133"/>
      <c r="N4746" s="133"/>
      <c r="O4746" s="133"/>
      <c r="P4746" s="134"/>
      <c r="Q4746" s="146"/>
      <c r="R4746" s="17"/>
      <c r="S4746" s="17"/>
      <c r="T4746" s="75"/>
      <c r="U4746" s="75"/>
      <c r="V4746" s="75"/>
      <c r="W4746" s="75"/>
      <c r="X4746" s="75"/>
    </row>
    <row r="4747">
      <c r="A4747" s="17"/>
      <c r="B4747" s="17"/>
      <c r="C4747" s="133"/>
      <c r="D4747" s="133"/>
      <c r="E4747" s="17"/>
      <c r="F4747" s="133"/>
      <c r="G4747" s="133"/>
      <c r="H4747" s="133"/>
      <c r="I4747" s="133"/>
      <c r="J4747" s="133"/>
      <c r="K4747" s="133"/>
      <c r="L4747" s="133"/>
      <c r="M4747" s="133"/>
      <c r="N4747" s="133"/>
      <c r="O4747" s="133"/>
      <c r="P4747" s="134"/>
      <c r="Q4747" s="146"/>
      <c r="R4747" s="17"/>
      <c r="S4747" s="17"/>
      <c r="T4747" s="75"/>
      <c r="U4747" s="75"/>
      <c r="V4747" s="75"/>
      <c r="W4747" s="75"/>
      <c r="X4747" s="75"/>
    </row>
    <row r="4748">
      <c r="A4748" s="17"/>
      <c r="B4748" s="17"/>
      <c r="C4748" s="133"/>
      <c r="D4748" s="133"/>
      <c r="E4748" s="17"/>
      <c r="F4748" s="133"/>
      <c r="G4748" s="133"/>
      <c r="H4748" s="133"/>
      <c r="I4748" s="133"/>
      <c r="J4748" s="133"/>
      <c r="K4748" s="133"/>
      <c r="L4748" s="133"/>
      <c r="M4748" s="133"/>
      <c r="N4748" s="133"/>
      <c r="O4748" s="133"/>
      <c r="P4748" s="134"/>
      <c r="Q4748" s="146"/>
      <c r="R4748" s="17"/>
      <c r="S4748" s="17"/>
      <c r="T4748" s="75"/>
      <c r="U4748" s="75"/>
      <c r="V4748" s="75"/>
      <c r="W4748" s="75"/>
      <c r="X4748" s="75"/>
    </row>
    <row r="4749">
      <c r="A4749" s="17"/>
      <c r="B4749" s="17"/>
      <c r="C4749" s="133"/>
      <c r="D4749" s="133"/>
      <c r="E4749" s="17"/>
      <c r="F4749" s="133"/>
      <c r="G4749" s="133"/>
      <c r="H4749" s="133"/>
      <c r="I4749" s="133"/>
      <c r="J4749" s="133"/>
      <c r="K4749" s="133"/>
      <c r="L4749" s="133"/>
      <c r="M4749" s="133"/>
      <c r="N4749" s="133"/>
      <c r="O4749" s="133"/>
      <c r="P4749" s="134"/>
      <c r="Q4749" s="146"/>
      <c r="R4749" s="17"/>
      <c r="S4749" s="17"/>
      <c r="T4749" s="75"/>
      <c r="U4749" s="75"/>
      <c r="V4749" s="75"/>
      <c r="W4749" s="75"/>
      <c r="X4749" s="75"/>
    </row>
    <row r="4750">
      <c r="A4750" s="17"/>
      <c r="B4750" s="17"/>
      <c r="C4750" s="133"/>
      <c r="D4750" s="133"/>
      <c r="E4750" s="17"/>
      <c r="F4750" s="133"/>
      <c r="G4750" s="133"/>
      <c r="H4750" s="133"/>
      <c r="I4750" s="133"/>
      <c r="J4750" s="133"/>
      <c r="K4750" s="133"/>
      <c r="L4750" s="133"/>
      <c r="M4750" s="133"/>
      <c r="N4750" s="133"/>
      <c r="O4750" s="133"/>
      <c r="P4750" s="134"/>
      <c r="Q4750" s="146"/>
      <c r="R4750" s="17"/>
      <c r="S4750" s="17"/>
      <c r="T4750" s="75"/>
      <c r="U4750" s="75"/>
      <c r="V4750" s="75"/>
      <c r="W4750" s="75"/>
      <c r="X4750" s="75"/>
    </row>
    <row r="4751">
      <c r="A4751" s="17"/>
      <c r="B4751" s="17"/>
      <c r="C4751" s="133"/>
      <c r="D4751" s="133"/>
      <c r="E4751" s="17"/>
      <c r="F4751" s="133"/>
      <c r="G4751" s="133"/>
      <c r="H4751" s="133"/>
      <c r="I4751" s="133"/>
      <c r="J4751" s="133"/>
      <c r="K4751" s="133"/>
      <c r="L4751" s="133"/>
      <c r="M4751" s="133"/>
      <c r="N4751" s="133"/>
      <c r="O4751" s="133"/>
      <c r="P4751" s="134"/>
      <c r="Q4751" s="146"/>
      <c r="R4751" s="17"/>
      <c r="S4751" s="17"/>
      <c r="T4751" s="75"/>
      <c r="U4751" s="75"/>
      <c r="V4751" s="75"/>
      <c r="W4751" s="75"/>
      <c r="X4751" s="75"/>
    </row>
    <row r="4752">
      <c r="A4752" s="17"/>
      <c r="B4752" s="17"/>
      <c r="C4752" s="133"/>
      <c r="D4752" s="133"/>
      <c r="E4752" s="17"/>
      <c r="F4752" s="133"/>
      <c r="G4752" s="133"/>
      <c r="H4752" s="133"/>
      <c r="I4752" s="133"/>
      <c r="J4752" s="133"/>
      <c r="K4752" s="133"/>
      <c r="L4752" s="133"/>
      <c r="M4752" s="133"/>
      <c r="N4752" s="133"/>
      <c r="O4752" s="133"/>
      <c r="P4752" s="134"/>
      <c r="Q4752" s="146"/>
      <c r="R4752" s="17"/>
      <c r="S4752" s="17"/>
      <c r="T4752" s="75"/>
      <c r="U4752" s="75"/>
      <c r="V4752" s="75"/>
      <c r="W4752" s="75"/>
      <c r="X4752" s="75"/>
    </row>
    <row r="4753">
      <c r="A4753" s="17"/>
      <c r="B4753" s="17"/>
      <c r="C4753" s="133"/>
      <c r="D4753" s="133"/>
      <c r="E4753" s="17"/>
      <c r="F4753" s="133"/>
      <c r="G4753" s="133"/>
      <c r="H4753" s="133"/>
      <c r="I4753" s="133"/>
      <c r="J4753" s="133"/>
      <c r="K4753" s="133"/>
      <c r="L4753" s="133"/>
      <c r="M4753" s="133"/>
      <c r="N4753" s="133"/>
      <c r="O4753" s="133"/>
      <c r="P4753" s="134"/>
      <c r="Q4753" s="146"/>
      <c r="R4753" s="17"/>
      <c r="S4753" s="17"/>
      <c r="T4753" s="75"/>
      <c r="U4753" s="75"/>
      <c r="V4753" s="75"/>
      <c r="W4753" s="75"/>
      <c r="X4753" s="75"/>
    </row>
    <row r="4754">
      <c r="A4754" s="17"/>
      <c r="B4754" s="17"/>
      <c r="C4754" s="133"/>
      <c r="D4754" s="133"/>
      <c r="E4754" s="17"/>
      <c r="F4754" s="133"/>
      <c r="G4754" s="133"/>
      <c r="H4754" s="133"/>
      <c r="I4754" s="133"/>
      <c r="J4754" s="133"/>
      <c r="K4754" s="133"/>
      <c r="L4754" s="133"/>
      <c r="M4754" s="133"/>
      <c r="N4754" s="133"/>
      <c r="O4754" s="133"/>
      <c r="P4754" s="134"/>
      <c r="Q4754" s="146"/>
      <c r="R4754" s="17"/>
      <c r="S4754" s="17"/>
      <c r="T4754" s="75"/>
      <c r="U4754" s="75"/>
      <c r="V4754" s="75"/>
      <c r="W4754" s="75"/>
      <c r="X4754" s="75"/>
    </row>
    <row r="4755">
      <c r="A4755" s="17"/>
      <c r="B4755" s="17"/>
      <c r="C4755" s="133"/>
      <c r="D4755" s="133"/>
      <c r="E4755" s="17"/>
      <c r="F4755" s="133"/>
      <c r="G4755" s="133"/>
      <c r="H4755" s="133"/>
      <c r="I4755" s="133"/>
      <c r="J4755" s="133"/>
      <c r="K4755" s="133"/>
      <c r="L4755" s="133"/>
      <c r="M4755" s="133"/>
      <c r="N4755" s="133"/>
      <c r="O4755" s="133"/>
      <c r="P4755" s="134"/>
      <c r="Q4755" s="146"/>
      <c r="R4755" s="17"/>
      <c r="S4755" s="17"/>
      <c r="T4755" s="75"/>
      <c r="U4755" s="75"/>
      <c r="V4755" s="75"/>
      <c r="W4755" s="75"/>
      <c r="X4755" s="75"/>
    </row>
    <row r="4756">
      <c r="A4756" s="17"/>
      <c r="B4756" s="17"/>
      <c r="C4756" s="133"/>
      <c r="D4756" s="133"/>
      <c r="E4756" s="17"/>
      <c r="F4756" s="133"/>
      <c r="G4756" s="133"/>
      <c r="H4756" s="133"/>
      <c r="I4756" s="133"/>
      <c r="J4756" s="133"/>
      <c r="K4756" s="133"/>
      <c r="L4756" s="133"/>
      <c r="M4756" s="133"/>
      <c r="N4756" s="133"/>
      <c r="O4756" s="133"/>
      <c r="P4756" s="134"/>
      <c r="Q4756" s="146"/>
      <c r="R4756" s="17"/>
      <c r="S4756" s="17"/>
      <c r="T4756" s="75"/>
      <c r="U4756" s="75"/>
      <c r="V4756" s="75"/>
      <c r="W4756" s="75"/>
      <c r="X4756" s="75"/>
    </row>
    <row r="4757">
      <c r="A4757" s="17"/>
      <c r="B4757" s="17"/>
      <c r="C4757" s="133"/>
      <c r="D4757" s="133"/>
      <c r="E4757" s="17"/>
      <c r="F4757" s="133"/>
      <c r="G4757" s="133"/>
      <c r="H4757" s="133"/>
      <c r="I4757" s="133"/>
      <c r="J4757" s="133"/>
      <c r="K4757" s="133"/>
      <c r="L4757" s="133"/>
      <c r="M4757" s="133"/>
      <c r="N4757" s="133"/>
      <c r="O4757" s="133"/>
      <c r="P4757" s="134"/>
      <c r="Q4757" s="146"/>
      <c r="R4757" s="17"/>
      <c r="S4757" s="17"/>
      <c r="T4757" s="75"/>
      <c r="U4757" s="75"/>
      <c r="V4757" s="75"/>
      <c r="W4757" s="75"/>
      <c r="X4757" s="75"/>
    </row>
    <row r="4758">
      <c r="A4758" s="17"/>
      <c r="B4758" s="17"/>
      <c r="C4758" s="133"/>
      <c r="D4758" s="133"/>
      <c r="E4758" s="17"/>
      <c r="F4758" s="133"/>
      <c r="G4758" s="133"/>
      <c r="H4758" s="133"/>
      <c r="I4758" s="133"/>
      <c r="J4758" s="133"/>
      <c r="K4758" s="133"/>
      <c r="L4758" s="133"/>
      <c r="M4758" s="133"/>
      <c r="N4758" s="133"/>
      <c r="O4758" s="133"/>
      <c r="P4758" s="134"/>
      <c r="Q4758" s="146"/>
      <c r="R4758" s="17"/>
      <c r="S4758" s="17"/>
      <c r="T4758" s="75"/>
      <c r="U4758" s="75"/>
      <c r="V4758" s="75"/>
      <c r="W4758" s="75"/>
      <c r="X4758" s="75"/>
    </row>
    <row r="4759">
      <c r="A4759" s="17"/>
      <c r="B4759" s="17"/>
      <c r="C4759" s="133"/>
      <c r="D4759" s="133"/>
      <c r="E4759" s="17"/>
      <c r="F4759" s="133"/>
      <c r="G4759" s="133"/>
      <c r="H4759" s="133"/>
      <c r="I4759" s="133"/>
      <c r="J4759" s="133"/>
      <c r="K4759" s="133"/>
      <c r="L4759" s="133"/>
      <c r="M4759" s="133"/>
      <c r="N4759" s="133"/>
      <c r="O4759" s="133"/>
      <c r="P4759" s="134"/>
      <c r="Q4759" s="146"/>
      <c r="R4759" s="17"/>
      <c r="S4759" s="17"/>
      <c r="T4759" s="75"/>
      <c r="U4759" s="75"/>
      <c r="V4759" s="75"/>
      <c r="W4759" s="75"/>
      <c r="X4759" s="75"/>
    </row>
    <row r="4760">
      <c r="A4760" s="17"/>
      <c r="B4760" s="17"/>
      <c r="C4760" s="133"/>
      <c r="D4760" s="133"/>
      <c r="E4760" s="17"/>
      <c r="F4760" s="133"/>
      <c r="G4760" s="133"/>
      <c r="H4760" s="133"/>
      <c r="I4760" s="133"/>
      <c r="J4760" s="133"/>
      <c r="K4760" s="133"/>
      <c r="L4760" s="133"/>
      <c r="M4760" s="133"/>
      <c r="N4760" s="133"/>
      <c r="O4760" s="133"/>
      <c r="P4760" s="134"/>
      <c r="Q4760" s="146"/>
      <c r="R4760" s="17"/>
      <c r="S4760" s="17"/>
      <c r="T4760" s="75"/>
      <c r="U4760" s="75"/>
      <c r="V4760" s="75"/>
      <c r="W4760" s="75"/>
      <c r="X4760" s="75"/>
    </row>
    <row r="4761">
      <c r="A4761" s="17"/>
      <c r="B4761" s="17"/>
      <c r="C4761" s="133"/>
      <c r="D4761" s="133"/>
      <c r="E4761" s="17"/>
      <c r="F4761" s="133"/>
      <c r="G4761" s="133"/>
      <c r="H4761" s="133"/>
      <c r="I4761" s="133"/>
      <c r="J4761" s="133"/>
      <c r="K4761" s="133"/>
      <c r="L4761" s="133"/>
      <c r="M4761" s="133"/>
      <c r="N4761" s="133"/>
      <c r="O4761" s="133"/>
      <c r="P4761" s="134"/>
      <c r="Q4761" s="146"/>
      <c r="R4761" s="17"/>
      <c r="S4761" s="17"/>
      <c r="T4761" s="75"/>
      <c r="U4761" s="75"/>
      <c r="V4761" s="75"/>
      <c r="W4761" s="75"/>
      <c r="X4761" s="75"/>
    </row>
    <row r="4762">
      <c r="A4762" s="17"/>
      <c r="B4762" s="17"/>
      <c r="C4762" s="133"/>
      <c r="D4762" s="133"/>
      <c r="E4762" s="17"/>
      <c r="F4762" s="133"/>
      <c r="G4762" s="133"/>
      <c r="H4762" s="133"/>
      <c r="I4762" s="133"/>
      <c r="J4762" s="133"/>
      <c r="K4762" s="133"/>
      <c r="L4762" s="133"/>
      <c r="M4762" s="133"/>
      <c r="N4762" s="133"/>
      <c r="O4762" s="133"/>
      <c r="P4762" s="134"/>
      <c r="Q4762" s="146"/>
      <c r="R4762" s="17"/>
      <c r="S4762" s="17"/>
      <c r="T4762" s="75"/>
      <c r="U4762" s="75"/>
      <c r="V4762" s="75"/>
      <c r="W4762" s="75"/>
      <c r="X4762" s="75"/>
    </row>
    <row r="4763">
      <c r="A4763" s="17"/>
      <c r="B4763" s="17"/>
      <c r="C4763" s="133"/>
      <c r="D4763" s="133"/>
      <c r="E4763" s="17"/>
      <c r="F4763" s="133"/>
      <c r="G4763" s="133"/>
      <c r="H4763" s="133"/>
      <c r="I4763" s="133"/>
      <c r="J4763" s="133"/>
      <c r="K4763" s="133"/>
      <c r="L4763" s="133"/>
      <c r="M4763" s="133"/>
      <c r="N4763" s="133"/>
      <c r="O4763" s="133"/>
      <c r="P4763" s="134"/>
      <c r="Q4763" s="146"/>
      <c r="R4763" s="17"/>
      <c r="S4763" s="17"/>
      <c r="T4763" s="75"/>
      <c r="U4763" s="75"/>
      <c r="V4763" s="75"/>
      <c r="W4763" s="75"/>
      <c r="X4763" s="75"/>
    </row>
    <row r="4764">
      <c r="A4764" s="17"/>
      <c r="B4764" s="17"/>
      <c r="C4764" s="133"/>
      <c r="D4764" s="133"/>
      <c r="E4764" s="17"/>
      <c r="F4764" s="133"/>
      <c r="G4764" s="133"/>
      <c r="H4764" s="133"/>
      <c r="I4764" s="133"/>
      <c r="J4764" s="133"/>
      <c r="K4764" s="133"/>
      <c r="L4764" s="133"/>
      <c r="M4764" s="133"/>
      <c r="N4764" s="133"/>
      <c r="O4764" s="133"/>
      <c r="P4764" s="134"/>
      <c r="Q4764" s="146"/>
      <c r="R4764" s="17"/>
      <c r="S4764" s="17"/>
      <c r="T4764" s="75"/>
      <c r="U4764" s="75"/>
      <c r="V4764" s="75"/>
      <c r="W4764" s="75"/>
      <c r="X4764" s="75"/>
    </row>
    <row r="4765">
      <c r="A4765" s="17"/>
      <c r="B4765" s="17"/>
      <c r="C4765" s="133"/>
      <c r="D4765" s="133"/>
      <c r="E4765" s="17"/>
      <c r="F4765" s="133"/>
      <c r="G4765" s="133"/>
      <c r="H4765" s="133"/>
      <c r="I4765" s="133"/>
      <c r="J4765" s="133"/>
      <c r="K4765" s="133"/>
      <c r="L4765" s="133"/>
      <c r="M4765" s="133"/>
      <c r="N4765" s="133"/>
      <c r="O4765" s="133"/>
      <c r="P4765" s="134"/>
      <c r="Q4765" s="146"/>
      <c r="R4765" s="17"/>
      <c r="S4765" s="17"/>
      <c r="T4765" s="75"/>
      <c r="U4765" s="75"/>
      <c r="V4765" s="75"/>
      <c r="W4765" s="75"/>
      <c r="X4765" s="75"/>
    </row>
    <row r="4766">
      <c r="A4766" s="17"/>
      <c r="B4766" s="17"/>
      <c r="C4766" s="133"/>
      <c r="D4766" s="133"/>
      <c r="E4766" s="17"/>
      <c r="F4766" s="133"/>
      <c r="G4766" s="133"/>
      <c r="H4766" s="133"/>
      <c r="I4766" s="133"/>
      <c r="J4766" s="133"/>
      <c r="K4766" s="133"/>
      <c r="L4766" s="133"/>
      <c r="M4766" s="133"/>
      <c r="N4766" s="133"/>
      <c r="O4766" s="133"/>
      <c r="P4766" s="134"/>
      <c r="Q4766" s="146"/>
      <c r="R4766" s="17"/>
      <c r="S4766" s="17"/>
      <c r="T4766" s="75"/>
      <c r="U4766" s="75"/>
      <c r="V4766" s="75"/>
      <c r="W4766" s="75"/>
      <c r="X4766" s="75"/>
    </row>
    <row r="4767">
      <c r="A4767" s="17"/>
      <c r="B4767" s="17"/>
      <c r="C4767" s="133"/>
      <c r="D4767" s="133"/>
      <c r="E4767" s="17"/>
      <c r="F4767" s="133"/>
      <c r="G4767" s="133"/>
      <c r="H4767" s="133"/>
      <c r="I4767" s="133"/>
      <c r="J4767" s="133"/>
      <c r="K4767" s="133"/>
      <c r="L4767" s="133"/>
      <c r="M4767" s="133"/>
      <c r="N4767" s="133"/>
      <c r="O4767" s="133"/>
      <c r="P4767" s="134"/>
      <c r="Q4767" s="146"/>
      <c r="R4767" s="17"/>
      <c r="S4767" s="17"/>
      <c r="T4767" s="75"/>
      <c r="U4767" s="75"/>
      <c r="V4767" s="75"/>
      <c r="W4767" s="75"/>
      <c r="X4767" s="75"/>
    </row>
    <row r="4768">
      <c r="A4768" s="17"/>
      <c r="B4768" s="17"/>
      <c r="C4768" s="133"/>
      <c r="D4768" s="133"/>
      <c r="E4768" s="17"/>
      <c r="F4768" s="133"/>
      <c r="G4768" s="133"/>
      <c r="H4768" s="133"/>
      <c r="I4768" s="133"/>
      <c r="J4768" s="133"/>
      <c r="K4768" s="133"/>
      <c r="L4768" s="133"/>
      <c r="M4768" s="133"/>
      <c r="N4768" s="133"/>
      <c r="O4768" s="133"/>
      <c r="P4768" s="134"/>
      <c r="Q4768" s="146"/>
      <c r="R4768" s="17"/>
      <c r="S4768" s="17"/>
      <c r="T4768" s="75"/>
      <c r="U4768" s="75"/>
      <c r="V4768" s="75"/>
      <c r="W4768" s="75"/>
      <c r="X4768" s="75"/>
    </row>
    <row r="4769">
      <c r="A4769" s="17"/>
      <c r="B4769" s="17"/>
      <c r="C4769" s="133"/>
      <c r="D4769" s="133"/>
      <c r="E4769" s="17"/>
      <c r="F4769" s="133"/>
      <c r="G4769" s="133"/>
      <c r="H4769" s="133"/>
      <c r="I4769" s="133"/>
      <c r="J4769" s="133"/>
      <c r="K4769" s="133"/>
      <c r="L4769" s="133"/>
      <c r="M4769" s="133"/>
      <c r="N4769" s="133"/>
      <c r="O4769" s="133"/>
      <c r="P4769" s="134"/>
      <c r="Q4769" s="146"/>
      <c r="R4769" s="17"/>
      <c r="S4769" s="17"/>
      <c r="T4769" s="75"/>
      <c r="U4769" s="75"/>
      <c r="V4769" s="75"/>
      <c r="W4769" s="75"/>
      <c r="X4769" s="75"/>
    </row>
    <row r="4770">
      <c r="A4770" s="17"/>
      <c r="B4770" s="17"/>
      <c r="C4770" s="133"/>
      <c r="D4770" s="133"/>
      <c r="E4770" s="17"/>
      <c r="F4770" s="133"/>
      <c r="G4770" s="133"/>
      <c r="H4770" s="133"/>
      <c r="I4770" s="133"/>
      <c r="J4770" s="133"/>
      <c r="K4770" s="133"/>
      <c r="L4770" s="133"/>
      <c r="M4770" s="133"/>
      <c r="N4770" s="133"/>
      <c r="O4770" s="133"/>
      <c r="P4770" s="134"/>
      <c r="Q4770" s="146"/>
      <c r="R4770" s="17"/>
      <c r="S4770" s="17"/>
      <c r="T4770" s="75"/>
      <c r="U4770" s="75"/>
      <c r="V4770" s="75"/>
      <c r="W4770" s="75"/>
      <c r="X4770" s="75"/>
    </row>
    <row r="4771">
      <c r="A4771" s="17"/>
      <c r="B4771" s="17"/>
      <c r="C4771" s="133"/>
      <c r="D4771" s="133"/>
      <c r="E4771" s="17"/>
      <c r="F4771" s="133"/>
      <c r="G4771" s="133"/>
      <c r="H4771" s="133"/>
      <c r="I4771" s="133"/>
      <c r="J4771" s="133"/>
      <c r="K4771" s="133"/>
      <c r="L4771" s="133"/>
      <c r="M4771" s="133"/>
      <c r="N4771" s="133"/>
      <c r="O4771" s="133"/>
      <c r="P4771" s="134"/>
      <c r="Q4771" s="146"/>
      <c r="R4771" s="17"/>
      <c r="S4771" s="17"/>
      <c r="T4771" s="75"/>
      <c r="U4771" s="75"/>
      <c r="V4771" s="75"/>
      <c r="W4771" s="75"/>
      <c r="X4771" s="75"/>
    </row>
    <row r="4772">
      <c r="A4772" s="17"/>
      <c r="B4772" s="17"/>
      <c r="C4772" s="133"/>
      <c r="D4772" s="133"/>
      <c r="E4772" s="17"/>
      <c r="F4772" s="133"/>
      <c r="G4772" s="133"/>
      <c r="H4772" s="133"/>
      <c r="I4772" s="133"/>
      <c r="J4772" s="133"/>
      <c r="K4772" s="133"/>
      <c r="L4772" s="133"/>
      <c r="M4772" s="133"/>
      <c r="N4772" s="133"/>
      <c r="O4772" s="133"/>
      <c r="P4772" s="134"/>
      <c r="Q4772" s="146"/>
      <c r="R4772" s="17"/>
      <c r="S4772" s="17"/>
      <c r="T4772" s="75"/>
      <c r="U4772" s="75"/>
      <c r="V4772" s="75"/>
      <c r="W4772" s="75"/>
      <c r="X4772" s="75"/>
    </row>
    <row r="4773">
      <c r="A4773" s="17"/>
      <c r="B4773" s="17"/>
      <c r="C4773" s="133"/>
      <c r="D4773" s="133"/>
      <c r="E4773" s="17"/>
      <c r="F4773" s="133"/>
      <c r="G4773" s="133"/>
      <c r="H4773" s="133"/>
      <c r="I4773" s="133"/>
      <c r="J4773" s="133"/>
      <c r="K4773" s="133"/>
      <c r="L4773" s="133"/>
      <c r="M4773" s="133"/>
      <c r="N4773" s="133"/>
      <c r="O4773" s="133"/>
      <c r="P4773" s="134"/>
      <c r="Q4773" s="146"/>
      <c r="R4773" s="17"/>
      <c r="S4773" s="17"/>
      <c r="T4773" s="75"/>
      <c r="U4773" s="75"/>
      <c r="V4773" s="75"/>
      <c r="W4773" s="75"/>
      <c r="X4773" s="75"/>
    </row>
    <row r="4774">
      <c r="A4774" s="17"/>
      <c r="B4774" s="17"/>
      <c r="C4774" s="133"/>
      <c r="D4774" s="133"/>
      <c r="E4774" s="17"/>
      <c r="F4774" s="133"/>
      <c r="G4774" s="133"/>
      <c r="H4774" s="133"/>
      <c r="I4774" s="133"/>
      <c r="J4774" s="133"/>
      <c r="K4774" s="133"/>
      <c r="L4774" s="133"/>
      <c r="M4774" s="133"/>
      <c r="N4774" s="133"/>
      <c r="O4774" s="133"/>
      <c r="P4774" s="134"/>
      <c r="Q4774" s="146"/>
      <c r="R4774" s="17"/>
      <c r="S4774" s="17"/>
      <c r="T4774" s="75"/>
      <c r="U4774" s="75"/>
      <c r="V4774" s="75"/>
      <c r="W4774" s="75"/>
      <c r="X4774" s="75"/>
    </row>
    <row r="4775">
      <c r="A4775" s="17"/>
      <c r="B4775" s="17"/>
      <c r="C4775" s="133"/>
      <c r="D4775" s="133"/>
      <c r="E4775" s="17"/>
      <c r="F4775" s="133"/>
      <c r="G4775" s="133"/>
      <c r="H4775" s="133"/>
      <c r="I4775" s="133"/>
      <c r="J4775" s="133"/>
      <c r="K4775" s="133"/>
      <c r="L4775" s="133"/>
      <c r="M4775" s="133"/>
      <c r="N4775" s="133"/>
      <c r="O4775" s="133"/>
      <c r="P4775" s="134"/>
      <c r="Q4775" s="146"/>
      <c r="R4775" s="17"/>
      <c r="S4775" s="17"/>
      <c r="T4775" s="75"/>
      <c r="U4775" s="75"/>
      <c r="V4775" s="75"/>
      <c r="W4775" s="75"/>
      <c r="X4775" s="75"/>
    </row>
    <row r="4776">
      <c r="A4776" s="17"/>
      <c r="B4776" s="17"/>
      <c r="C4776" s="133"/>
      <c r="D4776" s="133"/>
      <c r="E4776" s="17"/>
      <c r="F4776" s="133"/>
      <c r="G4776" s="133"/>
      <c r="H4776" s="133"/>
      <c r="I4776" s="133"/>
      <c r="J4776" s="133"/>
      <c r="K4776" s="133"/>
      <c r="L4776" s="133"/>
      <c r="M4776" s="133"/>
      <c r="N4776" s="133"/>
      <c r="O4776" s="133"/>
      <c r="P4776" s="134"/>
      <c r="Q4776" s="146"/>
      <c r="R4776" s="17"/>
      <c r="S4776" s="17"/>
      <c r="T4776" s="75"/>
      <c r="U4776" s="75"/>
      <c r="V4776" s="75"/>
      <c r="W4776" s="75"/>
      <c r="X4776" s="75"/>
    </row>
    <row r="4777">
      <c r="A4777" s="17"/>
      <c r="B4777" s="17"/>
      <c r="C4777" s="133"/>
      <c r="D4777" s="133"/>
      <c r="E4777" s="17"/>
      <c r="F4777" s="133"/>
      <c r="G4777" s="133"/>
      <c r="H4777" s="133"/>
      <c r="I4777" s="133"/>
      <c r="J4777" s="133"/>
      <c r="K4777" s="133"/>
      <c r="L4777" s="133"/>
      <c r="M4777" s="133"/>
      <c r="N4777" s="133"/>
      <c r="O4777" s="133"/>
      <c r="P4777" s="134"/>
      <c r="Q4777" s="146"/>
      <c r="R4777" s="17"/>
      <c r="S4777" s="17"/>
      <c r="T4777" s="75"/>
      <c r="U4777" s="75"/>
      <c r="V4777" s="75"/>
      <c r="W4777" s="75"/>
      <c r="X4777" s="75"/>
    </row>
    <row r="4778">
      <c r="A4778" s="17"/>
      <c r="B4778" s="17"/>
      <c r="C4778" s="133"/>
      <c r="D4778" s="133"/>
      <c r="E4778" s="17"/>
      <c r="F4778" s="133"/>
      <c r="G4778" s="133"/>
      <c r="H4778" s="133"/>
      <c r="I4778" s="133"/>
      <c r="J4778" s="133"/>
      <c r="K4778" s="133"/>
      <c r="L4778" s="133"/>
      <c r="M4778" s="133"/>
      <c r="N4778" s="133"/>
      <c r="O4778" s="133"/>
      <c r="P4778" s="134"/>
      <c r="Q4778" s="146"/>
      <c r="R4778" s="17"/>
      <c r="S4778" s="17"/>
      <c r="T4778" s="75"/>
      <c r="U4778" s="75"/>
      <c r="V4778" s="75"/>
      <c r="W4778" s="75"/>
      <c r="X4778" s="75"/>
    </row>
    <row r="4779">
      <c r="A4779" s="17"/>
      <c r="B4779" s="17"/>
      <c r="C4779" s="133"/>
      <c r="D4779" s="133"/>
      <c r="E4779" s="17"/>
      <c r="F4779" s="133"/>
      <c r="G4779" s="133"/>
      <c r="H4779" s="133"/>
      <c r="I4779" s="133"/>
      <c r="J4779" s="133"/>
      <c r="K4779" s="133"/>
      <c r="L4779" s="133"/>
      <c r="M4779" s="133"/>
      <c r="N4779" s="133"/>
      <c r="O4779" s="133"/>
      <c r="P4779" s="134"/>
      <c r="Q4779" s="146"/>
      <c r="R4779" s="17"/>
      <c r="S4779" s="17"/>
      <c r="T4779" s="75"/>
      <c r="U4779" s="75"/>
      <c r="V4779" s="75"/>
      <c r="W4779" s="75"/>
      <c r="X4779" s="75"/>
    </row>
    <row r="4780">
      <c r="A4780" s="17"/>
      <c r="B4780" s="17"/>
      <c r="C4780" s="133"/>
      <c r="D4780" s="133"/>
      <c r="E4780" s="17"/>
      <c r="F4780" s="133"/>
      <c r="G4780" s="133"/>
      <c r="H4780" s="133"/>
      <c r="I4780" s="133"/>
      <c r="J4780" s="133"/>
      <c r="K4780" s="133"/>
      <c r="L4780" s="133"/>
      <c r="M4780" s="133"/>
      <c r="N4780" s="133"/>
      <c r="O4780" s="133"/>
      <c r="P4780" s="134"/>
      <c r="Q4780" s="146"/>
      <c r="R4780" s="17"/>
      <c r="S4780" s="17"/>
      <c r="T4780" s="75"/>
      <c r="U4780" s="75"/>
      <c r="V4780" s="75"/>
      <c r="W4780" s="75"/>
      <c r="X4780" s="75"/>
    </row>
    <row r="4781">
      <c r="A4781" s="17"/>
      <c r="B4781" s="17"/>
      <c r="C4781" s="133"/>
      <c r="D4781" s="133"/>
      <c r="E4781" s="17"/>
      <c r="F4781" s="133"/>
      <c r="G4781" s="133"/>
      <c r="H4781" s="133"/>
      <c r="I4781" s="133"/>
      <c r="J4781" s="133"/>
      <c r="K4781" s="133"/>
      <c r="L4781" s="133"/>
      <c r="M4781" s="133"/>
      <c r="N4781" s="133"/>
      <c r="O4781" s="133"/>
      <c r="P4781" s="134"/>
      <c r="Q4781" s="146"/>
      <c r="R4781" s="17"/>
      <c r="S4781" s="17"/>
      <c r="T4781" s="75"/>
      <c r="U4781" s="75"/>
      <c r="V4781" s="75"/>
      <c r="W4781" s="75"/>
      <c r="X4781" s="75"/>
    </row>
    <row r="4782">
      <c r="A4782" s="17"/>
      <c r="B4782" s="17"/>
      <c r="C4782" s="133"/>
      <c r="D4782" s="133"/>
      <c r="E4782" s="17"/>
      <c r="F4782" s="133"/>
      <c r="G4782" s="133"/>
      <c r="H4782" s="133"/>
      <c r="I4782" s="133"/>
      <c r="J4782" s="133"/>
      <c r="K4782" s="133"/>
      <c r="L4782" s="133"/>
      <c r="M4782" s="133"/>
      <c r="N4782" s="133"/>
      <c r="O4782" s="133"/>
      <c r="P4782" s="134"/>
      <c r="Q4782" s="146"/>
      <c r="R4782" s="17"/>
      <c r="S4782" s="17"/>
      <c r="T4782" s="75"/>
      <c r="U4782" s="75"/>
      <c r="V4782" s="75"/>
      <c r="W4782" s="75"/>
      <c r="X4782" s="75"/>
    </row>
    <row r="4783">
      <c r="A4783" s="17"/>
      <c r="B4783" s="17"/>
      <c r="C4783" s="133"/>
      <c r="D4783" s="133"/>
      <c r="E4783" s="17"/>
      <c r="F4783" s="133"/>
      <c r="G4783" s="133"/>
      <c r="H4783" s="133"/>
      <c r="I4783" s="133"/>
      <c r="J4783" s="133"/>
      <c r="K4783" s="133"/>
      <c r="L4783" s="133"/>
      <c r="M4783" s="133"/>
      <c r="N4783" s="133"/>
      <c r="O4783" s="133"/>
      <c r="P4783" s="134"/>
      <c r="Q4783" s="146"/>
      <c r="R4783" s="17"/>
      <c r="S4783" s="17"/>
      <c r="T4783" s="75"/>
      <c r="U4783" s="75"/>
      <c r="V4783" s="75"/>
      <c r="W4783" s="75"/>
      <c r="X4783" s="75"/>
    </row>
    <row r="4784">
      <c r="A4784" s="17"/>
      <c r="B4784" s="17"/>
      <c r="C4784" s="133"/>
      <c r="D4784" s="133"/>
      <c r="E4784" s="17"/>
      <c r="F4784" s="133"/>
      <c r="G4784" s="133"/>
      <c r="H4784" s="133"/>
      <c r="I4784" s="133"/>
      <c r="J4784" s="133"/>
      <c r="K4784" s="133"/>
      <c r="L4784" s="133"/>
      <c r="M4784" s="133"/>
      <c r="N4784" s="133"/>
      <c r="O4784" s="133"/>
      <c r="P4784" s="134"/>
      <c r="Q4784" s="146"/>
      <c r="R4784" s="17"/>
      <c r="S4784" s="17"/>
      <c r="T4784" s="75"/>
      <c r="U4784" s="75"/>
      <c r="V4784" s="75"/>
      <c r="W4784" s="75"/>
      <c r="X4784" s="75"/>
    </row>
    <row r="4785">
      <c r="A4785" s="17"/>
      <c r="B4785" s="17"/>
      <c r="C4785" s="133"/>
      <c r="D4785" s="133"/>
      <c r="E4785" s="17"/>
      <c r="F4785" s="133"/>
      <c r="G4785" s="133"/>
      <c r="H4785" s="133"/>
      <c r="I4785" s="133"/>
      <c r="J4785" s="133"/>
      <c r="K4785" s="133"/>
      <c r="L4785" s="133"/>
      <c r="M4785" s="133"/>
      <c r="N4785" s="133"/>
      <c r="O4785" s="133"/>
      <c r="P4785" s="134"/>
      <c r="Q4785" s="146"/>
      <c r="R4785" s="17"/>
      <c r="S4785" s="17"/>
      <c r="T4785" s="75"/>
      <c r="U4785" s="75"/>
      <c r="V4785" s="75"/>
      <c r="W4785" s="75"/>
      <c r="X4785" s="75"/>
    </row>
    <row r="4786">
      <c r="A4786" s="17"/>
      <c r="B4786" s="17"/>
      <c r="C4786" s="133"/>
      <c r="D4786" s="133"/>
      <c r="E4786" s="17"/>
      <c r="F4786" s="133"/>
      <c r="G4786" s="133"/>
      <c r="H4786" s="133"/>
      <c r="I4786" s="133"/>
      <c r="J4786" s="133"/>
      <c r="K4786" s="133"/>
      <c r="L4786" s="133"/>
      <c r="M4786" s="133"/>
      <c r="N4786" s="133"/>
      <c r="O4786" s="133"/>
      <c r="P4786" s="134"/>
      <c r="Q4786" s="146"/>
      <c r="R4786" s="17"/>
      <c r="S4786" s="17"/>
      <c r="T4786" s="75"/>
      <c r="U4786" s="75"/>
      <c r="V4786" s="75"/>
      <c r="W4786" s="75"/>
      <c r="X4786" s="75"/>
    </row>
    <row r="4787">
      <c r="A4787" s="17"/>
      <c r="B4787" s="17"/>
      <c r="C4787" s="133"/>
      <c r="D4787" s="133"/>
      <c r="E4787" s="17"/>
      <c r="F4787" s="133"/>
      <c r="G4787" s="133"/>
      <c r="H4787" s="133"/>
      <c r="I4787" s="133"/>
      <c r="J4787" s="133"/>
      <c r="K4787" s="133"/>
      <c r="L4787" s="133"/>
      <c r="M4787" s="133"/>
      <c r="N4787" s="133"/>
      <c r="O4787" s="133"/>
      <c r="P4787" s="134"/>
      <c r="Q4787" s="146"/>
      <c r="R4787" s="17"/>
      <c r="S4787" s="17"/>
      <c r="T4787" s="75"/>
      <c r="U4787" s="75"/>
      <c r="V4787" s="75"/>
      <c r="W4787" s="75"/>
      <c r="X4787" s="75"/>
    </row>
    <row r="4788">
      <c r="A4788" s="17"/>
      <c r="B4788" s="17"/>
      <c r="C4788" s="133"/>
      <c r="D4788" s="133"/>
      <c r="E4788" s="17"/>
      <c r="F4788" s="133"/>
      <c r="G4788" s="133"/>
      <c r="H4788" s="133"/>
      <c r="I4788" s="133"/>
      <c r="J4788" s="133"/>
      <c r="K4788" s="133"/>
      <c r="L4788" s="133"/>
      <c r="M4788" s="133"/>
      <c r="N4788" s="133"/>
      <c r="O4788" s="133"/>
      <c r="P4788" s="134"/>
      <c r="Q4788" s="146"/>
      <c r="R4788" s="17"/>
      <c r="S4788" s="17"/>
      <c r="T4788" s="75"/>
      <c r="U4788" s="75"/>
      <c r="V4788" s="75"/>
      <c r="W4788" s="75"/>
      <c r="X4788" s="75"/>
    </row>
    <row r="4789">
      <c r="A4789" s="17"/>
      <c r="B4789" s="17"/>
      <c r="C4789" s="133"/>
      <c r="D4789" s="133"/>
      <c r="E4789" s="17"/>
      <c r="F4789" s="133"/>
      <c r="G4789" s="133"/>
      <c r="H4789" s="133"/>
      <c r="I4789" s="133"/>
      <c r="J4789" s="133"/>
      <c r="K4789" s="133"/>
      <c r="L4789" s="133"/>
      <c r="M4789" s="133"/>
      <c r="N4789" s="133"/>
      <c r="O4789" s="133"/>
      <c r="P4789" s="134"/>
      <c r="Q4789" s="146"/>
      <c r="R4789" s="17"/>
      <c r="S4789" s="17"/>
      <c r="T4789" s="75"/>
      <c r="U4789" s="75"/>
      <c r="V4789" s="75"/>
      <c r="W4789" s="75"/>
      <c r="X4789" s="75"/>
    </row>
    <row r="4790">
      <c r="A4790" s="17"/>
      <c r="B4790" s="17"/>
      <c r="C4790" s="133"/>
      <c r="D4790" s="133"/>
      <c r="E4790" s="17"/>
      <c r="F4790" s="133"/>
      <c r="G4790" s="133"/>
      <c r="H4790" s="133"/>
      <c r="I4790" s="133"/>
      <c r="J4790" s="133"/>
      <c r="K4790" s="133"/>
      <c r="L4790" s="133"/>
      <c r="M4790" s="133"/>
      <c r="N4790" s="133"/>
      <c r="O4790" s="133"/>
      <c r="P4790" s="134"/>
      <c r="Q4790" s="146"/>
      <c r="R4790" s="17"/>
      <c r="S4790" s="17"/>
      <c r="T4790" s="75"/>
      <c r="U4790" s="75"/>
      <c r="V4790" s="75"/>
      <c r="W4790" s="75"/>
      <c r="X4790" s="75"/>
    </row>
    <row r="4791">
      <c r="A4791" s="17"/>
      <c r="B4791" s="17"/>
      <c r="C4791" s="133"/>
      <c r="D4791" s="133"/>
      <c r="E4791" s="17"/>
      <c r="F4791" s="133"/>
      <c r="G4791" s="133"/>
      <c r="H4791" s="133"/>
      <c r="I4791" s="133"/>
      <c r="J4791" s="133"/>
      <c r="K4791" s="133"/>
      <c r="L4791" s="133"/>
      <c r="M4791" s="133"/>
      <c r="N4791" s="133"/>
      <c r="O4791" s="133"/>
      <c r="P4791" s="134"/>
      <c r="Q4791" s="146"/>
      <c r="R4791" s="17"/>
      <c r="S4791" s="17"/>
      <c r="T4791" s="75"/>
      <c r="U4791" s="75"/>
      <c r="V4791" s="75"/>
      <c r="W4791" s="75"/>
      <c r="X4791" s="75"/>
    </row>
    <row r="4792">
      <c r="A4792" s="17"/>
      <c r="B4792" s="17"/>
      <c r="C4792" s="133"/>
      <c r="D4792" s="133"/>
      <c r="E4792" s="17"/>
      <c r="F4792" s="133"/>
      <c r="G4792" s="133"/>
      <c r="H4792" s="133"/>
      <c r="I4792" s="133"/>
      <c r="J4792" s="133"/>
      <c r="K4792" s="133"/>
      <c r="L4792" s="133"/>
      <c r="M4792" s="133"/>
      <c r="N4792" s="133"/>
      <c r="O4792" s="133"/>
      <c r="P4792" s="134"/>
      <c r="Q4792" s="146"/>
      <c r="R4792" s="17"/>
      <c r="S4792" s="17"/>
      <c r="T4792" s="75"/>
      <c r="U4792" s="75"/>
      <c r="V4792" s="75"/>
      <c r="W4792" s="75"/>
      <c r="X4792" s="75"/>
    </row>
    <row r="4793">
      <c r="A4793" s="17"/>
      <c r="B4793" s="17"/>
      <c r="C4793" s="133"/>
      <c r="D4793" s="133"/>
      <c r="E4793" s="17"/>
      <c r="F4793" s="133"/>
      <c r="G4793" s="133"/>
      <c r="H4793" s="133"/>
      <c r="I4793" s="133"/>
      <c r="J4793" s="133"/>
      <c r="K4793" s="133"/>
      <c r="L4793" s="133"/>
      <c r="M4793" s="133"/>
      <c r="N4793" s="133"/>
      <c r="O4793" s="133"/>
      <c r="P4793" s="134"/>
      <c r="Q4793" s="146"/>
      <c r="R4793" s="17"/>
      <c r="S4793" s="17"/>
      <c r="T4793" s="75"/>
      <c r="U4793" s="75"/>
      <c r="V4793" s="75"/>
      <c r="W4793" s="75"/>
      <c r="X4793" s="75"/>
    </row>
    <row r="4794">
      <c r="A4794" s="17"/>
      <c r="B4794" s="17"/>
      <c r="C4794" s="133"/>
      <c r="D4794" s="133"/>
      <c r="E4794" s="17"/>
      <c r="F4794" s="133"/>
      <c r="G4794" s="133"/>
      <c r="H4794" s="133"/>
      <c r="I4794" s="133"/>
      <c r="J4794" s="133"/>
      <c r="K4794" s="133"/>
      <c r="L4794" s="133"/>
      <c r="M4794" s="133"/>
      <c r="N4794" s="133"/>
      <c r="O4794" s="133"/>
      <c r="P4794" s="134"/>
      <c r="Q4794" s="146"/>
      <c r="R4794" s="17"/>
      <c r="S4794" s="17"/>
      <c r="T4794" s="75"/>
      <c r="U4794" s="75"/>
      <c r="V4794" s="75"/>
      <c r="W4794" s="75"/>
      <c r="X4794" s="75"/>
    </row>
    <row r="4795">
      <c r="A4795" s="17"/>
      <c r="B4795" s="17"/>
      <c r="C4795" s="133"/>
      <c r="D4795" s="133"/>
      <c r="E4795" s="17"/>
      <c r="F4795" s="133"/>
      <c r="G4795" s="133"/>
      <c r="H4795" s="133"/>
      <c r="I4795" s="133"/>
      <c r="J4795" s="133"/>
      <c r="K4795" s="133"/>
      <c r="L4795" s="133"/>
      <c r="M4795" s="133"/>
      <c r="N4795" s="133"/>
      <c r="O4795" s="133"/>
      <c r="P4795" s="134"/>
      <c r="Q4795" s="146"/>
      <c r="R4795" s="17"/>
      <c r="S4795" s="17"/>
      <c r="T4795" s="75"/>
      <c r="U4795" s="75"/>
      <c r="V4795" s="75"/>
      <c r="W4795" s="75"/>
      <c r="X4795" s="75"/>
    </row>
    <row r="4796">
      <c r="A4796" s="17"/>
      <c r="B4796" s="17"/>
      <c r="C4796" s="133"/>
      <c r="D4796" s="133"/>
      <c r="E4796" s="17"/>
      <c r="F4796" s="133"/>
      <c r="G4796" s="133"/>
      <c r="H4796" s="133"/>
      <c r="I4796" s="133"/>
      <c r="J4796" s="133"/>
      <c r="K4796" s="133"/>
      <c r="L4796" s="133"/>
      <c r="M4796" s="133"/>
      <c r="N4796" s="133"/>
      <c r="O4796" s="133"/>
      <c r="P4796" s="134"/>
      <c r="Q4796" s="146"/>
      <c r="R4796" s="17"/>
      <c r="S4796" s="17"/>
      <c r="T4796" s="75"/>
      <c r="U4796" s="75"/>
      <c r="V4796" s="75"/>
      <c r="W4796" s="75"/>
      <c r="X4796" s="75"/>
    </row>
    <row r="4797">
      <c r="A4797" s="17"/>
      <c r="B4797" s="17"/>
      <c r="C4797" s="133"/>
      <c r="D4797" s="133"/>
      <c r="E4797" s="17"/>
      <c r="F4797" s="133"/>
      <c r="G4797" s="133"/>
      <c r="H4797" s="133"/>
      <c r="I4797" s="133"/>
      <c r="J4797" s="133"/>
      <c r="K4797" s="133"/>
      <c r="L4797" s="133"/>
      <c r="M4797" s="133"/>
      <c r="N4797" s="133"/>
      <c r="O4797" s="133"/>
      <c r="P4797" s="134"/>
      <c r="Q4797" s="146"/>
      <c r="R4797" s="17"/>
      <c r="S4797" s="17"/>
      <c r="T4797" s="75"/>
      <c r="U4797" s="75"/>
      <c r="V4797" s="75"/>
      <c r="W4797" s="75"/>
      <c r="X4797" s="75"/>
    </row>
    <row r="4798">
      <c r="A4798" s="17"/>
      <c r="B4798" s="17"/>
      <c r="C4798" s="133"/>
      <c r="D4798" s="133"/>
      <c r="E4798" s="17"/>
      <c r="F4798" s="133"/>
      <c r="G4798" s="133"/>
      <c r="H4798" s="133"/>
      <c r="I4798" s="133"/>
      <c r="J4798" s="133"/>
      <c r="K4798" s="133"/>
      <c r="L4798" s="133"/>
      <c r="M4798" s="133"/>
      <c r="N4798" s="133"/>
      <c r="O4798" s="133"/>
      <c r="P4798" s="134"/>
      <c r="Q4798" s="146"/>
      <c r="R4798" s="17"/>
      <c r="S4798" s="17"/>
      <c r="T4798" s="75"/>
      <c r="U4798" s="75"/>
      <c r="V4798" s="75"/>
      <c r="W4798" s="75"/>
      <c r="X4798" s="75"/>
    </row>
    <row r="4799">
      <c r="A4799" s="17"/>
      <c r="B4799" s="17"/>
      <c r="C4799" s="133"/>
      <c r="D4799" s="133"/>
      <c r="E4799" s="17"/>
      <c r="F4799" s="133"/>
      <c r="G4799" s="133"/>
      <c r="H4799" s="133"/>
      <c r="I4799" s="133"/>
      <c r="J4799" s="133"/>
      <c r="K4799" s="133"/>
      <c r="L4799" s="133"/>
      <c r="M4799" s="133"/>
      <c r="N4799" s="133"/>
      <c r="O4799" s="133"/>
      <c r="P4799" s="134"/>
      <c r="Q4799" s="146"/>
      <c r="R4799" s="17"/>
      <c r="S4799" s="17"/>
      <c r="T4799" s="75"/>
      <c r="U4799" s="75"/>
      <c r="V4799" s="75"/>
      <c r="W4799" s="75"/>
      <c r="X4799" s="75"/>
    </row>
    <row r="4800">
      <c r="A4800" s="17"/>
      <c r="B4800" s="17"/>
      <c r="C4800" s="133"/>
      <c r="D4800" s="133"/>
      <c r="E4800" s="17"/>
      <c r="F4800" s="133"/>
      <c r="G4800" s="133"/>
      <c r="H4800" s="133"/>
      <c r="I4800" s="133"/>
      <c r="J4800" s="133"/>
      <c r="K4800" s="133"/>
      <c r="L4800" s="133"/>
      <c r="M4800" s="133"/>
      <c r="N4800" s="133"/>
      <c r="O4800" s="133"/>
      <c r="P4800" s="134"/>
      <c r="Q4800" s="146"/>
      <c r="R4800" s="17"/>
      <c r="S4800" s="17"/>
      <c r="T4800" s="75"/>
      <c r="U4800" s="75"/>
      <c r="V4800" s="75"/>
      <c r="W4800" s="75"/>
      <c r="X4800" s="75"/>
    </row>
    <row r="4801">
      <c r="A4801" s="17"/>
      <c r="B4801" s="17"/>
      <c r="C4801" s="133"/>
      <c r="D4801" s="133"/>
      <c r="E4801" s="17"/>
      <c r="F4801" s="133"/>
      <c r="G4801" s="133"/>
      <c r="H4801" s="133"/>
      <c r="I4801" s="133"/>
      <c r="J4801" s="133"/>
      <c r="K4801" s="133"/>
      <c r="L4801" s="133"/>
      <c r="M4801" s="133"/>
      <c r="N4801" s="133"/>
      <c r="O4801" s="133"/>
      <c r="P4801" s="134"/>
      <c r="Q4801" s="146"/>
      <c r="R4801" s="17"/>
      <c r="S4801" s="17"/>
      <c r="T4801" s="75"/>
      <c r="U4801" s="75"/>
      <c r="V4801" s="75"/>
      <c r="W4801" s="75"/>
      <c r="X4801" s="75"/>
    </row>
    <row r="4802">
      <c r="A4802" s="17"/>
      <c r="B4802" s="17"/>
      <c r="C4802" s="133"/>
      <c r="D4802" s="133"/>
      <c r="E4802" s="17"/>
      <c r="F4802" s="133"/>
      <c r="G4802" s="133"/>
      <c r="H4802" s="133"/>
      <c r="I4802" s="133"/>
      <c r="J4802" s="133"/>
      <c r="K4802" s="133"/>
      <c r="L4802" s="133"/>
      <c r="M4802" s="133"/>
      <c r="N4802" s="133"/>
      <c r="O4802" s="133"/>
      <c r="P4802" s="134"/>
      <c r="Q4802" s="146"/>
      <c r="R4802" s="17"/>
      <c r="S4802" s="17"/>
      <c r="T4802" s="75"/>
      <c r="U4802" s="75"/>
      <c r="V4802" s="75"/>
      <c r="W4802" s="75"/>
      <c r="X4802" s="75"/>
    </row>
    <row r="4803">
      <c r="A4803" s="17"/>
      <c r="B4803" s="17"/>
      <c r="C4803" s="133"/>
      <c r="D4803" s="133"/>
      <c r="E4803" s="17"/>
      <c r="F4803" s="133"/>
      <c r="G4803" s="133"/>
      <c r="H4803" s="133"/>
      <c r="I4803" s="133"/>
      <c r="J4803" s="133"/>
      <c r="K4803" s="133"/>
      <c r="L4803" s="133"/>
      <c r="M4803" s="133"/>
      <c r="N4803" s="133"/>
      <c r="O4803" s="133"/>
      <c r="P4803" s="134"/>
      <c r="Q4803" s="146"/>
      <c r="R4803" s="17"/>
      <c r="S4803" s="17"/>
      <c r="T4803" s="75"/>
      <c r="U4803" s="75"/>
      <c r="V4803" s="75"/>
      <c r="W4803" s="75"/>
      <c r="X4803" s="75"/>
    </row>
    <row r="4804">
      <c r="A4804" s="17"/>
      <c r="B4804" s="17"/>
      <c r="C4804" s="133"/>
      <c r="D4804" s="133"/>
      <c r="E4804" s="17"/>
      <c r="F4804" s="133"/>
      <c r="G4804" s="133"/>
      <c r="H4804" s="133"/>
      <c r="I4804" s="133"/>
      <c r="J4804" s="133"/>
      <c r="K4804" s="133"/>
      <c r="L4804" s="133"/>
      <c r="M4804" s="133"/>
      <c r="N4804" s="133"/>
      <c r="O4804" s="133"/>
      <c r="P4804" s="134"/>
      <c r="Q4804" s="146"/>
      <c r="R4804" s="17"/>
      <c r="S4804" s="17"/>
      <c r="T4804" s="75"/>
      <c r="U4804" s="75"/>
      <c r="V4804" s="75"/>
      <c r="W4804" s="75"/>
      <c r="X4804" s="75"/>
    </row>
    <row r="4805">
      <c r="A4805" s="17"/>
      <c r="B4805" s="17"/>
      <c r="C4805" s="133"/>
      <c r="D4805" s="133"/>
      <c r="E4805" s="17"/>
      <c r="F4805" s="133"/>
      <c r="G4805" s="133"/>
      <c r="H4805" s="133"/>
      <c r="I4805" s="133"/>
      <c r="J4805" s="133"/>
      <c r="K4805" s="133"/>
      <c r="L4805" s="133"/>
      <c r="M4805" s="133"/>
      <c r="N4805" s="133"/>
      <c r="O4805" s="133"/>
      <c r="P4805" s="134"/>
      <c r="Q4805" s="146"/>
      <c r="R4805" s="17"/>
      <c r="S4805" s="17"/>
      <c r="T4805" s="75"/>
      <c r="U4805" s="75"/>
      <c r="V4805" s="75"/>
      <c r="W4805" s="75"/>
      <c r="X4805" s="75"/>
    </row>
    <row r="4806">
      <c r="A4806" s="17"/>
      <c r="B4806" s="17"/>
      <c r="C4806" s="133"/>
      <c r="D4806" s="133"/>
      <c r="E4806" s="17"/>
      <c r="F4806" s="133"/>
      <c r="G4806" s="133"/>
      <c r="H4806" s="133"/>
      <c r="I4806" s="133"/>
      <c r="J4806" s="133"/>
      <c r="K4806" s="133"/>
      <c r="L4806" s="133"/>
      <c r="M4806" s="133"/>
      <c r="N4806" s="133"/>
      <c r="O4806" s="133"/>
      <c r="P4806" s="134"/>
      <c r="Q4806" s="146"/>
      <c r="R4806" s="17"/>
      <c r="S4806" s="17"/>
      <c r="T4806" s="75"/>
      <c r="U4806" s="75"/>
      <c r="V4806" s="75"/>
      <c r="W4806" s="75"/>
      <c r="X4806" s="75"/>
    </row>
    <row r="4807">
      <c r="A4807" s="17"/>
      <c r="B4807" s="17"/>
      <c r="C4807" s="133"/>
      <c r="D4807" s="133"/>
      <c r="E4807" s="17"/>
      <c r="F4807" s="133"/>
      <c r="G4807" s="133"/>
      <c r="H4807" s="133"/>
      <c r="I4807" s="133"/>
      <c r="J4807" s="133"/>
      <c r="K4807" s="133"/>
      <c r="L4807" s="133"/>
      <c r="M4807" s="133"/>
      <c r="N4807" s="133"/>
      <c r="O4807" s="133"/>
      <c r="P4807" s="134"/>
      <c r="Q4807" s="146"/>
      <c r="R4807" s="17"/>
      <c r="S4807" s="17"/>
      <c r="T4807" s="75"/>
      <c r="U4807" s="75"/>
      <c r="V4807" s="75"/>
      <c r="W4807" s="75"/>
      <c r="X4807" s="75"/>
    </row>
    <row r="4808">
      <c r="A4808" s="17"/>
      <c r="B4808" s="17"/>
      <c r="C4808" s="133"/>
      <c r="D4808" s="133"/>
      <c r="E4808" s="17"/>
      <c r="F4808" s="133"/>
      <c r="G4808" s="133"/>
      <c r="H4808" s="133"/>
      <c r="I4808" s="133"/>
      <c r="J4808" s="133"/>
      <c r="K4808" s="133"/>
      <c r="L4808" s="133"/>
      <c r="M4808" s="133"/>
      <c r="N4808" s="133"/>
      <c r="O4808" s="133"/>
      <c r="P4808" s="134"/>
      <c r="Q4808" s="146"/>
      <c r="R4808" s="17"/>
      <c r="S4808" s="17"/>
      <c r="T4808" s="75"/>
      <c r="U4808" s="75"/>
      <c r="V4808" s="75"/>
      <c r="W4808" s="75"/>
      <c r="X4808" s="75"/>
    </row>
    <row r="4809">
      <c r="A4809" s="17"/>
      <c r="B4809" s="17"/>
      <c r="C4809" s="133"/>
      <c r="D4809" s="133"/>
      <c r="E4809" s="17"/>
      <c r="F4809" s="133"/>
      <c r="G4809" s="133"/>
      <c r="H4809" s="133"/>
      <c r="I4809" s="133"/>
      <c r="J4809" s="133"/>
      <c r="K4809" s="133"/>
      <c r="L4809" s="133"/>
      <c r="M4809" s="133"/>
      <c r="N4809" s="133"/>
      <c r="O4809" s="133"/>
      <c r="P4809" s="134"/>
      <c r="Q4809" s="146"/>
      <c r="R4809" s="17"/>
      <c r="S4809" s="17"/>
      <c r="T4809" s="75"/>
      <c r="U4809" s="75"/>
      <c r="V4809" s="75"/>
      <c r="W4809" s="75"/>
      <c r="X4809" s="75"/>
    </row>
    <row r="4810">
      <c r="A4810" s="17"/>
      <c r="B4810" s="17"/>
      <c r="C4810" s="133"/>
      <c r="D4810" s="133"/>
      <c r="E4810" s="17"/>
      <c r="F4810" s="133"/>
      <c r="G4810" s="133"/>
      <c r="H4810" s="133"/>
      <c r="I4810" s="133"/>
      <c r="J4810" s="133"/>
      <c r="K4810" s="133"/>
      <c r="L4810" s="133"/>
      <c r="M4810" s="133"/>
      <c r="N4810" s="133"/>
      <c r="O4810" s="133"/>
      <c r="P4810" s="134"/>
      <c r="Q4810" s="146"/>
      <c r="R4810" s="17"/>
      <c r="S4810" s="17"/>
      <c r="T4810" s="75"/>
      <c r="U4810" s="75"/>
      <c r="V4810" s="75"/>
      <c r="W4810" s="75"/>
      <c r="X4810" s="75"/>
    </row>
    <row r="4811">
      <c r="A4811" s="17"/>
      <c r="B4811" s="17"/>
      <c r="C4811" s="133"/>
      <c r="D4811" s="133"/>
      <c r="E4811" s="17"/>
      <c r="F4811" s="133"/>
      <c r="G4811" s="133"/>
      <c r="H4811" s="133"/>
      <c r="I4811" s="133"/>
      <c r="J4811" s="133"/>
      <c r="K4811" s="133"/>
      <c r="L4811" s="133"/>
      <c r="M4811" s="133"/>
      <c r="N4811" s="133"/>
      <c r="O4811" s="133"/>
      <c r="P4811" s="134"/>
      <c r="Q4811" s="146"/>
      <c r="R4811" s="17"/>
      <c r="S4811" s="17"/>
      <c r="T4811" s="75"/>
      <c r="U4811" s="75"/>
      <c r="V4811" s="75"/>
      <c r="W4811" s="75"/>
      <c r="X4811" s="75"/>
    </row>
    <row r="4812">
      <c r="A4812" s="17"/>
      <c r="B4812" s="17"/>
      <c r="C4812" s="133"/>
      <c r="D4812" s="133"/>
      <c r="E4812" s="17"/>
      <c r="F4812" s="133"/>
      <c r="G4812" s="133"/>
      <c r="H4812" s="133"/>
      <c r="I4812" s="133"/>
      <c r="J4812" s="133"/>
      <c r="K4812" s="133"/>
      <c r="L4812" s="133"/>
      <c r="M4812" s="133"/>
      <c r="N4812" s="133"/>
      <c r="O4812" s="133"/>
      <c r="P4812" s="134"/>
      <c r="Q4812" s="146"/>
      <c r="R4812" s="17"/>
      <c r="S4812" s="17"/>
      <c r="T4812" s="75"/>
      <c r="U4812" s="75"/>
      <c r="V4812" s="75"/>
      <c r="W4812" s="75"/>
      <c r="X4812" s="75"/>
    </row>
    <row r="4813">
      <c r="A4813" s="17"/>
      <c r="B4813" s="17"/>
      <c r="C4813" s="133"/>
      <c r="D4813" s="133"/>
      <c r="E4813" s="17"/>
      <c r="F4813" s="133"/>
      <c r="G4813" s="133"/>
      <c r="H4813" s="133"/>
      <c r="I4813" s="133"/>
      <c r="J4813" s="133"/>
      <c r="K4813" s="133"/>
      <c r="L4813" s="133"/>
      <c r="M4813" s="133"/>
      <c r="N4813" s="133"/>
      <c r="O4813" s="133"/>
      <c r="P4813" s="134"/>
      <c r="Q4813" s="146"/>
      <c r="R4813" s="17"/>
      <c r="S4813" s="17"/>
      <c r="T4813" s="75"/>
      <c r="U4813" s="75"/>
      <c r="V4813" s="75"/>
      <c r="W4813" s="75"/>
      <c r="X4813" s="75"/>
    </row>
    <row r="4814">
      <c r="A4814" s="17"/>
      <c r="B4814" s="17"/>
      <c r="C4814" s="133"/>
      <c r="D4814" s="133"/>
      <c r="E4814" s="17"/>
      <c r="F4814" s="133"/>
      <c r="G4814" s="133"/>
      <c r="H4814" s="133"/>
      <c r="I4814" s="133"/>
      <c r="J4814" s="133"/>
      <c r="K4814" s="133"/>
      <c r="L4814" s="133"/>
      <c r="M4814" s="133"/>
      <c r="N4814" s="133"/>
      <c r="O4814" s="133"/>
      <c r="P4814" s="134"/>
      <c r="Q4814" s="146"/>
      <c r="R4814" s="17"/>
      <c r="S4814" s="17"/>
      <c r="T4814" s="75"/>
      <c r="U4814" s="75"/>
      <c r="V4814" s="75"/>
      <c r="W4814" s="75"/>
      <c r="X4814" s="75"/>
    </row>
    <row r="4815">
      <c r="A4815" s="17"/>
      <c r="B4815" s="17"/>
      <c r="C4815" s="133"/>
      <c r="D4815" s="133"/>
      <c r="E4815" s="17"/>
      <c r="F4815" s="133"/>
      <c r="G4815" s="133"/>
      <c r="H4815" s="133"/>
      <c r="I4815" s="133"/>
      <c r="J4815" s="133"/>
      <c r="K4815" s="133"/>
      <c r="L4815" s="133"/>
      <c r="M4815" s="133"/>
      <c r="N4815" s="133"/>
      <c r="O4815" s="133"/>
      <c r="P4815" s="134"/>
      <c r="Q4815" s="146"/>
      <c r="R4815" s="17"/>
      <c r="S4815" s="17"/>
      <c r="T4815" s="75"/>
      <c r="U4815" s="75"/>
      <c r="V4815" s="75"/>
      <c r="W4815" s="75"/>
      <c r="X4815" s="75"/>
    </row>
    <row r="4816">
      <c r="A4816" s="17"/>
      <c r="B4816" s="17"/>
      <c r="C4816" s="133"/>
      <c r="D4816" s="133"/>
      <c r="E4816" s="17"/>
      <c r="F4816" s="133"/>
      <c r="G4816" s="133"/>
      <c r="H4816" s="133"/>
      <c r="I4816" s="133"/>
      <c r="J4816" s="133"/>
      <c r="K4816" s="133"/>
      <c r="L4816" s="133"/>
      <c r="M4816" s="133"/>
      <c r="N4816" s="133"/>
      <c r="O4816" s="133"/>
      <c r="P4816" s="134"/>
      <c r="Q4816" s="146"/>
      <c r="R4816" s="17"/>
      <c r="S4816" s="17"/>
      <c r="T4816" s="75"/>
      <c r="U4816" s="75"/>
      <c r="V4816" s="75"/>
      <c r="W4816" s="75"/>
      <c r="X4816" s="75"/>
    </row>
    <row r="4817">
      <c r="A4817" s="17"/>
      <c r="B4817" s="17"/>
      <c r="C4817" s="133"/>
      <c r="D4817" s="133"/>
      <c r="E4817" s="17"/>
      <c r="F4817" s="133"/>
      <c r="G4817" s="133"/>
      <c r="H4817" s="133"/>
      <c r="I4817" s="133"/>
      <c r="J4817" s="133"/>
      <c r="K4817" s="133"/>
      <c r="L4817" s="133"/>
      <c r="M4817" s="133"/>
      <c r="N4817" s="133"/>
      <c r="O4817" s="133"/>
      <c r="P4817" s="134"/>
      <c r="Q4817" s="146"/>
      <c r="R4817" s="17"/>
      <c r="S4817" s="17"/>
      <c r="T4817" s="75"/>
      <c r="U4817" s="75"/>
      <c r="V4817" s="75"/>
      <c r="W4817" s="75"/>
      <c r="X4817" s="75"/>
    </row>
    <row r="4818">
      <c r="A4818" s="17"/>
      <c r="B4818" s="17"/>
      <c r="C4818" s="133"/>
      <c r="D4818" s="133"/>
      <c r="E4818" s="17"/>
      <c r="F4818" s="133"/>
      <c r="G4818" s="133"/>
      <c r="H4818" s="133"/>
      <c r="I4818" s="133"/>
      <c r="J4818" s="133"/>
      <c r="K4818" s="133"/>
      <c r="L4818" s="133"/>
      <c r="M4818" s="133"/>
      <c r="N4818" s="133"/>
      <c r="O4818" s="133"/>
      <c r="P4818" s="134"/>
      <c r="Q4818" s="146"/>
      <c r="R4818" s="17"/>
      <c r="S4818" s="17"/>
      <c r="T4818" s="75"/>
      <c r="U4818" s="75"/>
      <c r="V4818" s="75"/>
      <c r="W4818" s="75"/>
      <c r="X4818" s="75"/>
    </row>
    <row r="4819">
      <c r="A4819" s="17"/>
      <c r="B4819" s="17"/>
      <c r="C4819" s="133"/>
      <c r="D4819" s="133"/>
      <c r="E4819" s="17"/>
      <c r="F4819" s="133"/>
      <c r="G4819" s="133"/>
      <c r="H4819" s="133"/>
      <c r="I4819" s="133"/>
      <c r="J4819" s="133"/>
      <c r="K4819" s="133"/>
      <c r="L4819" s="133"/>
      <c r="M4819" s="133"/>
      <c r="N4819" s="133"/>
      <c r="O4819" s="133"/>
      <c r="P4819" s="134"/>
      <c r="Q4819" s="146"/>
      <c r="R4819" s="17"/>
      <c r="S4819" s="17"/>
      <c r="T4819" s="75"/>
      <c r="U4819" s="75"/>
      <c r="V4819" s="75"/>
      <c r="W4819" s="75"/>
      <c r="X4819" s="75"/>
    </row>
    <row r="4820">
      <c r="A4820" s="17"/>
      <c r="B4820" s="17"/>
      <c r="C4820" s="133"/>
      <c r="D4820" s="133"/>
      <c r="E4820" s="17"/>
      <c r="F4820" s="133"/>
      <c r="G4820" s="133"/>
      <c r="H4820" s="133"/>
      <c r="I4820" s="133"/>
      <c r="J4820" s="133"/>
      <c r="K4820" s="133"/>
      <c r="L4820" s="133"/>
      <c r="M4820" s="133"/>
      <c r="N4820" s="133"/>
      <c r="O4820" s="133"/>
      <c r="P4820" s="134"/>
      <c r="Q4820" s="146"/>
      <c r="R4820" s="17"/>
      <c r="S4820" s="17"/>
      <c r="T4820" s="75"/>
      <c r="U4820" s="75"/>
      <c r="V4820" s="75"/>
      <c r="W4820" s="75"/>
      <c r="X4820" s="75"/>
    </row>
    <row r="4821">
      <c r="A4821" s="17"/>
      <c r="B4821" s="17"/>
      <c r="C4821" s="133"/>
      <c r="D4821" s="133"/>
      <c r="E4821" s="17"/>
      <c r="F4821" s="133"/>
      <c r="G4821" s="133"/>
      <c r="H4821" s="133"/>
      <c r="I4821" s="133"/>
      <c r="J4821" s="133"/>
      <c r="K4821" s="133"/>
      <c r="L4821" s="133"/>
      <c r="M4821" s="133"/>
      <c r="N4821" s="133"/>
      <c r="O4821" s="133"/>
      <c r="P4821" s="134"/>
      <c r="Q4821" s="146"/>
      <c r="R4821" s="17"/>
      <c r="S4821" s="17"/>
      <c r="T4821" s="75"/>
      <c r="U4821" s="75"/>
      <c r="V4821" s="75"/>
      <c r="W4821" s="75"/>
      <c r="X4821" s="75"/>
    </row>
    <row r="4822">
      <c r="A4822" s="17"/>
      <c r="B4822" s="17"/>
      <c r="C4822" s="133"/>
      <c r="D4822" s="133"/>
      <c r="E4822" s="17"/>
      <c r="F4822" s="133"/>
      <c r="G4822" s="133"/>
      <c r="H4822" s="133"/>
      <c r="I4822" s="133"/>
      <c r="J4822" s="133"/>
      <c r="K4822" s="133"/>
      <c r="L4822" s="133"/>
      <c r="M4822" s="133"/>
      <c r="N4822" s="133"/>
      <c r="O4822" s="133"/>
      <c r="P4822" s="134"/>
      <c r="Q4822" s="146"/>
      <c r="R4822" s="17"/>
      <c r="S4822" s="17"/>
      <c r="T4822" s="75"/>
      <c r="U4822" s="75"/>
      <c r="V4822" s="75"/>
      <c r="W4822" s="75"/>
      <c r="X4822" s="75"/>
    </row>
    <row r="4823">
      <c r="A4823" s="17"/>
      <c r="B4823" s="17"/>
      <c r="C4823" s="133"/>
      <c r="D4823" s="133"/>
      <c r="E4823" s="17"/>
      <c r="F4823" s="133"/>
      <c r="G4823" s="133"/>
      <c r="H4823" s="133"/>
      <c r="I4823" s="133"/>
      <c r="J4823" s="133"/>
      <c r="K4823" s="133"/>
      <c r="L4823" s="133"/>
      <c r="M4823" s="133"/>
      <c r="N4823" s="133"/>
      <c r="O4823" s="133"/>
      <c r="P4823" s="134"/>
      <c r="Q4823" s="146"/>
      <c r="R4823" s="17"/>
      <c r="S4823" s="17"/>
      <c r="T4823" s="75"/>
      <c r="U4823" s="75"/>
      <c r="V4823" s="75"/>
      <c r="W4823" s="75"/>
      <c r="X4823" s="75"/>
    </row>
    <row r="4824">
      <c r="A4824" s="17"/>
      <c r="B4824" s="17"/>
      <c r="C4824" s="133"/>
      <c r="D4824" s="133"/>
      <c r="E4824" s="17"/>
      <c r="F4824" s="133"/>
      <c r="G4824" s="133"/>
      <c r="H4824" s="133"/>
      <c r="I4824" s="133"/>
      <c r="J4824" s="133"/>
      <c r="K4824" s="133"/>
      <c r="L4824" s="133"/>
      <c r="M4824" s="133"/>
      <c r="N4824" s="133"/>
      <c r="O4824" s="133"/>
      <c r="P4824" s="134"/>
      <c r="Q4824" s="146"/>
      <c r="R4824" s="17"/>
      <c r="S4824" s="17"/>
      <c r="T4824" s="75"/>
      <c r="U4824" s="75"/>
      <c r="V4824" s="75"/>
      <c r="W4824" s="75"/>
      <c r="X4824" s="75"/>
    </row>
    <row r="4825">
      <c r="A4825" s="17"/>
      <c r="B4825" s="17"/>
      <c r="C4825" s="133"/>
      <c r="D4825" s="133"/>
      <c r="E4825" s="17"/>
      <c r="F4825" s="133"/>
      <c r="G4825" s="133"/>
      <c r="H4825" s="133"/>
      <c r="I4825" s="133"/>
      <c r="J4825" s="133"/>
      <c r="K4825" s="133"/>
      <c r="L4825" s="133"/>
      <c r="M4825" s="133"/>
      <c r="N4825" s="133"/>
      <c r="O4825" s="133"/>
      <c r="P4825" s="134"/>
      <c r="Q4825" s="146"/>
      <c r="R4825" s="17"/>
      <c r="S4825" s="17"/>
      <c r="T4825" s="75"/>
      <c r="U4825" s="75"/>
      <c r="V4825" s="75"/>
      <c r="W4825" s="75"/>
      <c r="X4825" s="75"/>
    </row>
    <row r="4826">
      <c r="A4826" s="17"/>
      <c r="B4826" s="17"/>
      <c r="C4826" s="133"/>
      <c r="D4826" s="133"/>
      <c r="E4826" s="17"/>
      <c r="F4826" s="133"/>
      <c r="G4826" s="133"/>
      <c r="H4826" s="133"/>
      <c r="I4826" s="133"/>
      <c r="J4826" s="133"/>
      <c r="K4826" s="133"/>
      <c r="L4826" s="133"/>
      <c r="M4826" s="133"/>
      <c r="N4826" s="133"/>
      <c r="O4826" s="133"/>
      <c r="P4826" s="134"/>
      <c r="Q4826" s="146"/>
      <c r="R4826" s="17"/>
      <c r="S4826" s="17"/>
      <c r="T4826" s="75"/>
      <c r="U4826" s="75"/>
      <c r="V4826" s="75"/>
      <c r="W4826" s="75"/>
      <c r="X4826" s="75"/>
    </row>
    <row r="4827">
      <c r="A4827" s="17"/>
      <c r="B4827" s="17"/>
      <c r="C4827" s="133"/>
      <c r="D4827" s="133"/>
      <c r="E4827" s="17"/>
      <c r="F4827" s="133"/>
      <c r="G4827" s="133"/>
      <c r="H4827" s="133"/>
      <c r="I4827" s="133"/>
      <c r="J4827" s="133"/>
      <c r="K4827" s="133"/>
      <c r="L4827" s="133"/>
      <c r="M4827" s="133"/>
      <c r="N4827" s="133"/>
      <c r="O4827" s="133"/>
      <c r="P4827" s="134"/>
      <c r="Q4827" s="146"/>
      <c r="R4827" s="17"/>
      <c r="S4827" s="17"/>
      <c r="T4827" s="75"/>
      <c r="U4827" s="75"/>
      <c r="V4827" s="75"/>
      <c r="W4827" s="75"/>
      <c r="X4827" s="75"/>
    </row>
    <row r="4828">
      <c r="A4828" s="17"/>
      <c r="B4828" s="17"/>
      <c r="C4828" s="133"/>
      <c r="D4828" s="133"/>
      <c r="E4828" s="17"/>
      <c r="F4828" s="133"/>
      <c r="G4828" s="133"/>
      <c r="H4828" s="133"/>
      <c r="I4828" s="133"/>
      <c r="J4828" s="133"/>
      <c r="K4828" s="133"/>
      <c r="L4828" s="133"/>
      <c r="M4828" s="133"/>
      <c r="N4828" s="133"/>
      <c r="O4828" s="133"/>
      <c r="P4828" s="134"/>
      <c r="Q4828" s="146"/>
      <c r="R4828" s="17"/>
      <c r="S4828" s="17"/>
      <c r="T4828" s="75"/>
      <c r="U4828" s="75"/>
      <c r="V4828" s="75"/>
      <c r="W4828" s="75"/>
      <c r="X4828" s="75"/>
    </row>
    <row r="4829">
      <c r="A4829" s="17"/>
      <c r="B4829" s="17"/>
      <c r="C4829" s="133"/>
      <c r="D4829" s="133"/>
      <c r="E4829" s="17"/>
      <c r="F4829" s="133"/>
      <c r="G4829" s="133"/>
      <c r="H4829" s="133"/>
      <c r="I4829" s="133"/>
      <c r="J4829" s="133"/>
      <c r="K4829" s="133"/>
      <c r="L4829" s="133"/>
      <c r="M4829" s="133"/>
      <c r="N4829" s="133"/>
      <c r="O4829" s="133"/>
      <c r="P4829" s="134"/>
      <c r="Q4829" s="146"/>
      <c r="R4829" s="17"/>
      <c r="S4829" s="17"/>
      <c r="T4829" s="75"/>
      <c r="U4829" s="75"/>
      <c r="V4829" s="75"/>
      <c r="W4829" s="75"/>
      <c r="X4829" s="75"/>
    </row>
    <row r="4830">
      <c r="A4830" s="17"/>
      <c r="B4830" s="17"/>
      <c r="C4830" s="133"/>
      <c r="D4830" s="133"/>
      <c r="E4830" s="17"/>
      <c r="F4830" s="133"/>
      <c r="G4830" s="133"/>
      <c r="H4830" s="133"/>
      <c r="I4830" s="133"/>
      <c r="J4830" s="133"/>
      <c r="K4830" s="133"/>
      <c r="L4830" s="133"/>
      <c r="M4830" s="133"/>
      <c r="N4830" s="133"/>
      <c r="O4830" s="133"/>
      <c r="P4830" s="134"/>
      <c r="Q4830" s="146"/>
      <c r="R4830" s="17"/>
      <c r="S4830" s="17"/>
      <c r="T4830" s="75"/>
      <c r="U4830" s="75"/>
      <c r="V4830" s="75"/>
      <c r="W4830" s="75"/>
      <c r="X4830" s="75"/>
    </row>
    <row r="4831">
      <c r="A4831" s="17"/>
      <c r="B4831" s="17"/>
      <c r="C4831" s="133"/>
      <c r="D4831" s="133"/>
      <c r="E4831" s="17"/>
      <c r="F4831" s="133"/>
      <c r="G4831" s="133"/>
      <c r="H4831" s="133"/>
      <c r="I4831" s="133"/>
      <c r="J4831" s="133"/>
      <c r="K4831" s="133"/>
      <c r="L4831" s="133"/>
      <c r="M4831" s="133"/>
      <c r="N4831" s="133"/>
      <c r="O4831" s="133"/>
      <c r="P4831" s="134"/>
      <c r="Q4831" s="146"/>
      <c r="R4831" s="17"/>
      <c r="S4831" s="17"/>
      <c r="T4831" s="75"/>
      <c r="U4831" s="75"/>
      <c r="V4831" s="75"/>
      <c r="W4831" s="75"/>
      <c r="X4831" s="75"/>
    </row>
    <row r="4832">
      <c r="A4832" s="17"/>
      <c r="B4832" s="17"/>
      <c r="C4832" s="133"/>
      <c r="D4832" s="133"/>
      <c r="E4832" s="17"/>
      <c r="F4832" s="133"/>
      <c r="G4832" s="133"/>
      <c r="H4832" s="133"/>
      <c r="I4832" s="133"/>
      <c r="J4832" s="133"/>
      <c r="K4832" s="133"/>
      <c r="L4832" s="133"/>
      <c r="M4832" s="133"/>
      <c r="N4832" s="133"/>
      <c r="O4832" s="133"/>
      <c r="P4832" s="134"/>
      <c r="Q4832" s="146"/>
      <c r="R4832" s="17"/>
      <c r="S4832" s="17"/>
      <c r="T4832" s="75"/>
      <c r="U4832" s="75"/>
      <c r="V4832" s="75"/>
      <c r="W4832" s="75"/>
      <c r="X4832" s="75"/>
    </row>
    <row r="4833">
      <c r="A4833" s="17"/>
      <c r="B4833" s="17"/>
      <c r="C4833" s="133"/>
      <c r="D4833" s="133"/>
      <c r="E4833" s="17"/>
      <c r="F4833" s="133"/>
      <c r="G4833" s="133"/>
      <c r="H4833" s="133"/>
      <c r="I4833" s="133"/>
      <c r="J4833" s="133"/>
      <c r="K4833" s="133"/>
      <c r="L4833" s="133"/>
      <c r="M4833" s="133"/>
      <c r="N4833" s="133"/>
      <c r="O4833" s="133"/>
      <c r="P4833" s="134"/>
      <c r="Q4833" s="146"/>
      <c r="R4833" s="17"/>
      <c r="S4833" s="17"/>
      <c r="T4833" s="75"/>
      <c r="U4833" s="75"/>
      <c r="V4833" s="75"/>
      <c r="W4833" s="75"/>
      <c r="X4833" s="75"/>
    </row>
    <row r="4834">
      <c r="A4834" s="17"/>
      <c r="B4834" s="17"/>
      <c r="C4834" s="133"/>
      <c r="D4834" s="133"/>
      <c r="E4834" s="17"/>
      <c r="F4834" s="133"/>
      <c r="G4834" s="133"/>
      <c r="H4834" s="133"/>
      <c r="I4834" s="133"/>
      <c r="J4834" s="133"/>
      <c r="K4834" s="133"/>
      <c r="L4834" s="133"/>
      <c r="M4834" s="133"/>
      <c r="N4834" s="133"/>
      <c r="O4834" s="133"/>
      <c r="P4834" s="134"/>
      <c r="Q4834" s="146"/>
      <c r="R4834" s="17"/>
      <c r="S4834" s="17"/>
      <c r="T4834" s="75"/>
      <c r="U4834" s="75"/>
      <c r="V4834" s="75"/>
      <c r="W4834" s="75"/>
      <c r="X4834" s="75"/>
    </row>
    <row r="4835">
      <c r="A4835" s="17"/>
      <c r="B4835" s="17"/>
      <c r="C4835" s="133"/>
      <c r="D4835" s="133"/>
      <c r="E4835" s="17"/>
      <c r="F4835" s="133"/>
      <c r="G4835" s="133"/>
      <c r="H4835" s="133"/>
      <c r="I4835" s="133"/>
      <c r="J4835" s="133"/>
      <c r="K4835" s="133"/>
      <c r="L4835" s="133"/>
      <c r="M4835" s="133"/>
      <c r="N4835" s="133"/>
      <c r="O4835" s="133"/>
      <c r="P4835" s="134"/>
      <c r="Q4835" s="146"/>
      <c r="R4835" s="17"/>
      <c r="S4835" s="17"/>
      <c r="T4835" s="75"/>
      <c r="U4835" s="75"/>
      <c r="V4835" s="75"/>
      <c r="W4835" s="75"/>
      <c r="X4835" s="75"/>
    </row>
    <row r="4836">
      <c r="A4836" s="17"/>
      <c r="B4836" s="17"/>
      <c r="C4836" s="133"/>
      <c r="D4836" s="133"/>
      <c r="E4836" s="17"/>
      <c r="F4836" s="133"/>
      <c r="G4836" s="133"/>
      <c r="H4836" s="133"/>
      <c r="I4836" s="133"/>
      <c r="J4836" s="133"/>
      <c r="K4836" s="133"/>
      <c r="L4836" s="133"/>
      <c r="M4836" s="133"/>
      <c r="N4836" s="133"/>
      <c r="O4836" s="133"/>
      <c r="P4836" s="134"/>
      <c r="Q4836" s="146"/>
      <c r="R4836" s="17"/>
      <c r="S4836" s="17"/>
      <c r="T4836" s="75"/>
      <c r="U4836" s="75"/>
      <c r="V4836" s="75"/>
      <c r="W4836" s="75"/>
      <c r="X4836" s="75"/>
    </row>
    <row r="4837">
      <c r="A4837" s="17"/>
      <c r="B4837" s="17"/>
      <c r="C4837" s="133"/>
      <c r="D4837" s="133"/>
      <c r="E4837" s="17"/>
      <c r="F4837" s="133"/>
      <c r="G4837" s="133"/>
      <c r="H4837" s="133"/>
      <c r="I4837" s="133"/>
      <c r="J4837" s="133"/>
      <c r="K4837" s="133"/>
      <c r="L4837" s="133"/>
      <c r="M4837" s="133"/>
      <c r="N4837" s="133"/>
      <c r="O4837" s="133"/>
      <c r="P4837" s="134"/>
      <c r="Q4837" s="146"/>
      <c r="R4837" s="17"/>
      <c r="S4837" s="17"/>
      <c r="T4837" s="75"/>
      <c r="U4837" s="75"/>
      <c r="V4837" s="75"/>
      <c r="W4837" s="75"/>
      <c r="X4837" s="75"/>
    </row>
    <row r="4838">
      <c r="A4838" s="17"/>
      <c r="B4838" s="17"/>
      <c r="C4838" s="133"/>
      <c r="D4838" s="133"/>
      <c r="E4838" s="17"/>
      <c r="F4838" s="133"/>
      <c r="G4838" s="133"/>
      <c r="H4838" s="133"/>
      <c r="I4838" s="133"/>
      <c r="J4838" s="133"/>
      <c r="K4838" s="133"/>
      <c r="L4838" s="133"/>
      <c r="M4838" s="133"/>
      <c r="N4838" s="133"/>
      <c r="O4838" s="133"/>
      <c r="P4838" s="134"/>
      <c r="Q4838" s="146"/>
      <c r="R4838" s="17"/>
      <c r="S4838" s="17"/>
      <c r="T4838" s="75"/>
      <c r="U4838" s="75"/>
      <c r="V4838" s="75"/>
      <c r="W4838" s="75"/>
      <c r="X4838" s="75"/>
    </row>
    <row r="4839">
      <c r="A4839" s="17"/>
      <c r="B4839" s="17"/>
      <c r="C4839" s="133"/>
      <c r="D4839" s="133"/>
      <c r="E4839" s="17"/>
      <c r="F4839" s="133"/>
      <c r="G4839" s="133"/>
      <c r="H4839" s="133"/>
      <c r="I4839" s="133"/>
      <c r="J4839" s="133"/>
      <c r="K4839" s="133"/>
      <c r="L4839" s="133"/>
      <c r="M4839" s="133"/>
      <c r="N4839" s="133"/>
      <c r="O4839" s="133"/>
      <c r="P4839" s="134"/>
      <c r="Q4839" s="146"/>
      <c r="R4839" s="17"/>
      <c r="S4839" s="17"/>
      <c r="T4839" s="75"/>
      <c r="U4839" s="75"/>
      <c r="V4839" s="75"/>
      <c r="W4839" s="75"/>
      <c r="X4839" s="75"/>
    </row>
    <row r="4840">
      <c r="A4840" s="17"/>
      <c r="B4840" s="17"/>
      <c r="C4840" s="133"/>
      <c r="D4840" s="133"/>
      <c r="E4840" s="17"/>
      <c r="F4840" s="133"/>
      <c r="G4840" s="133"/>
      <c r="H4840" s="133"/>
      <c r="I4840" s="133"/>
      <c r="J4840" s="133"/>
      <c r="K4840" s="133"/>
      <c r="L4840" s="133"/>
      <c r="M4840" s="133"/>
      <c r="N4840" s="133"/>
      <c r="O4840" s="133"/>
      <c r="P4840" s="134"/>
      <c r="Q4840" s="146"/>
      <c r="R4840" s="17"/>
      <c r="S4840" s="17"/>
      <c r="T4840" s="75"/>
      <c r="U4840" s="75"/>
      <c r="V4840" s="75"/>
      <c r="W4840" s="75"/>
      <c r="X4840" s="75"/>
    </row>
    <row r="4841">
      <c r="A4841" s="17"/>
      <c r="B4841" s="17"/>
      <c r="C4841" s="133"/>
      <c r="D4841" s="133"/>
      <c r="E4841" s="17"/>
      <c r="F4841" s="133"/>
      <c r="G4841" s="133"/>
      <c r="H4841" s="133"/>
      <c r="I4841" s="133"/>
      <c r="J4841" s="133"/>
      <c r="K4841" s="133"/>
      <c r="L4841" s="133"/>
      <c r="M4841" s="133"/>
      <c r="N4841" s="133"/>
      <c r="O4841" s="133"/>
      <c r="P4841" s="134"/>
      <c r="Q4841" s="146"/>
      <c r="R4841" s="17"/>
      <c r="S4841" s="17"/>
      <c r="T4841" s="75"/>
      <c r="U4841" s="75"/>
      <c r="V4841" s="75"/>
      <c r="W4841" s="75"/>
      <c r="X4841" s="75"/>
    </row>
    <row r="4842">
      <c r="A4842" s="17"/>
      <c r="B4842" s="17"/>
      <c r="C4842" s="133"/>
      <c r="D4842" s="133"/>
      <c r="E4842" s="17"/>
      <c r="F4842" s="133"/>
      <c r="G4842" s="133"/>
      <c r="H4842" s="133"/>
      <c r="I4842" s="133"/>
      <c r="J4842" s="133"/>
      <c r="K4842" s="133"/>
      <c r="L4842" s="133"/>
      <c r="M4842" s="133"/>
      <c r="N4842" s="133"/>
      <c r="O4842" s="133"/>
      <c r="P4842" s="134"/>
      <c r="Q4842" s="146"/>
      <c r="R4842" s="17"/>
      <c r="S4842" s="17"/>
      <c r="T4842" s="75"/>
      <c r="U4842" s="75"/>
      <c r="V4842" s="75"/>
      <c r="W4842" s="75"/>
      <c r="X4842" s="75"/>
    </row>
    <row r="4843">
      <c r="A4843" s="17"/>
      <c r="B4843" s="17"/>
      <c r="C4843" s="133"/>
      <c r="D4843" s="133"/>
      <c r="E4843" s="17"/>
      <c r="F4843" s="133"/>
      <c r="G4843" s="133"/>
      <c r="H4843" s="133"/>
      <c r="I4843" s="133"/>
      <c r="J4843" s="133"/>
      <c r="K4843" s="133"/>
      <c r="L4843" s="133"/>
      <c r="M4843" s="133"/>
      <c r="N4843" s="133"/>
      <c r="O4843" s="133"/>
      <c r="P4843" s="134"/>
      <c r="Q4843" s="146"/>
      <c r="R4843" s="17"/>
      <c r="S4843" s="17"/>
      <c r="T4843" s="75"/>
      <c r="U4843" s="75"/>
      <c r="V4843" s="75"/>
      <c r="W4843" s="75"/>
      <c r="X4843" s="75"/>
    </row>
    <row r="4844">
      <c r="A4844" s="17"/>
      <c r="B4844" s="17"/>
      <c r="C4844" s="133"/>
      <c r="D4844" s="133"/>
      <c r="E4844" s="17"/>
      <c r="F4844" s="133"/>
      <c r="G4844" s="133"/>
      <c r="H4844" s="133"/>
      <c r="I4844" s="133"/>
      <c r="J4844" s="133"/>
      <c r="K4844" s="133"/>
      <c r="L4844" s="133"/>
      <c r="M4844" s="133"/>
      <c r="N4844" s="133"/>
      <c r="O4844" s="133"/>
      <c r="P4844" s="134"/>
      <c r="Q4844" s="146"/>
      <c r="R4844" s="17"/>
      <c r="S4844" s="17"/>
      <c r="T4844" s="75"/>
      <c r="U4844" s="75"/>
      <c r="V4844" s="75"/>
      <c r="W4844" s="75"/>
      <c r="X4844" s="75"/>
    </row>
    <row r="4845">
      <c r="A4845" s="17"/>
      <c r="B4845" s="17"/>
      <c r="C4845" s="133"/>
      <c r="D4845" s="133"/>
      <c r="E4845" s="17"/>
      <c r="F4845" s="133"/>
      <c r="G4845" s="133"/>
      <c r="H4845" s="133"/>
      <c r="I4845" s="133"/>
      <c r="J4845" s="133"/>
      <c r="K4845" s="133"/>
      <c r="L4845" s="133"/>
      <c r="M4845" s="133"/>
      <c r="N4845" s="133"/>
      <c r="O4845" s="133"/>
      <c r="P4845" s="134"/>
      <c r="Q4845" s="146"/>
      <c r="R4845" s="17"/>
      <c r="S4845" s="17"/>
      <c r="T4845" s="75"/>
      <c r="U4845" s="75"/>
      <c r="V4845" s="75"/>
      <c r="W4845" s="75"/>
      <c r="X4845" s="75"/>
    </row>
    <row r="4846">
      <c r="A4846" s="17"/>
      <c r="B4846" s="17"/>
      <c r="C4846" s="133"/>
      <c r="D4846" s="133"/>
      <c r="E4846" s="17"/>
      <c r="F4846" s="133"/>
      <c r="G4846" s="133"/>
      <c r="H4846" s="133"/>
      <c r="I4846" s="133"/>
      <c r="J4846" s="133"/>
      <c r="K4846" s="133"/>
      <c r="L4846" s="133"/>
      <c r="M4846" s="133"/>
      <c r="N4846" s="133"/>
      <c r="O4846" s="133"/>
      <c r="P4846" s="134"/>
      <c r="Q4846" s="146"/>
      <c r="R4846" s="17"/>
      <c r="S4846" s="17"/>
      <c r="T4846" s="75"/>
      <c r="U4846" s="75"/>
      <c r="V4846" s="75"/>
      <c r="W4846" s="75"/>
      <c r="X4846" s="75"/>
    </row>
    <row r="4847">
      <c r="A4847" s="17"/>
      <c r="B4847" s="17"/>
      <c r="C4847" s="133"/>
      <c r="D4847" s="133"/>
      <c r="E4847" s="17"/>
      <c r="F4847" s="133"/>
      <c r="G4847" s="133"/>
      <c r="H4847" s="133"/>
      <c r="I4847" s="133"/>
      <c r="J4847" s="133"/>
      <c r="K4847" s="133"/>
      <c r="L4847" s="133"/>
      <c r="M4847" s="133"/>
      <c r="N4847" s="133"/>
      <c r="O4847" s="133"/>
      <c r="P4847" s="134"/>
      <c r="Q4847" s="146"/>
      <c r="R4847" s="17"/>
      <c r="S4847" s="17"/>
      <c r="T4847" s="75"/>
      <c r="U4847" s="75"/>
      <c r="V4847" s="75"/>
      <c r="W4847" s="75"/>
      <c r="X4847" s="75"/>
    </row>
    <row r="4848">
      <c r="A4848" s="17"/>
      <c r="B4848" s="17"/>
      <c r="C4848" s="133"/>
      <c r="D4848" s="133"/>
      <c r="E4848" s="17"/>
      <c r="F4848" s="133"/>
      <c r="G4848" s="133"/>
      <c r="H4848" s="133"/>
      <c r="I4848" s="133"/>
      <c r="J4848" s="133"/>
      <c r="K4848" s="133"/>
      <c r="L4848" s="133"/>
      <c r="M4848" s="133"/>
      <c r="N4848" s="133"/>
      <c r="O4848" s="133"/>
      <c r="P4848" s="134"/>
      <c r="Q4848" s="146"/>
      <c r="R4848" s="17"/>
      <c r="S4848" s="17"/>
      <c r="T4848" s="75"/>
      <c r="U4848" s="75"/>
      <c r="V4848" s="75"/>
      <c r="W4848" s="75"/>
      <c r="X4848" s="75"/>
    </row>
    <row r="4849">
      <c r="A4849" s="17"/>
      <c r="B4849" s="17"/>
      <c r="C4849" s="133"/>
      <c r="D4849" s="133"/>
      <c r="E4849" s="17"/>
      <c r="F4849" s="133"/>
      <c r="G4849" s="133"/>
      <c r="H4849" s="133"/>
      <c r="I4849" s="133"/>
      <c r="J4849" s="133"/>
      <c r="K4849" s="133"/>
      <c r="L4849" s="133"/>
      <c r="M4849" s="133"/>
      <c r="N4849" s="133"/>
      <c r="O4849" s="133"/>
      <c r="P4849" s="134"/>
      <c r="Q4849" s="146"/>
      <c r="R4849" s="17"/>
      <c r="S4849" s="17"/>
      <c r="T4849" s="75"/>
      <c r="U4849" s="75"/>
      <c r="V4849" s="75"/>
      <c r="W4849" s="75"/>
      <c r="X4849" s="75"/>
    </row>
    <row r="4850">
      <c r="A4850" s="17"/>
      <c r="B4850" s="17"/>
      <c r="C4850" s="133"/>
      <c r="D4850" s="133"/>
      <c r="E4850" s="17"/>
      <c r="F4850" s="133"/>
      <c r="G4850" s="133"/>
      <c r="H4850" s="133"/>
      <c r="I4850" s="133"/>
      <c r="J4850" s="133"/>
      <c r="K4850" s="133"/>
      <c r="L4850" s="133"/>
      <c r="M4850" s="133"/>
      <c r="N4850" s="133"/>
      <c r="O4850" s="133"/>
      <c r="P4850" s="134"/>
      <c r="Q4850" s="146"/>
      <c r="R4850" s="17"/>
      <c r="S4850" s="17"/>
      <c r="T4850" s="75"/>
      <c r="U4850" s="75"/>
      <c r="V4850" s="75"/>
      <c r="W4850" s="75"/>
      <c r="X4850" s="75"/>
    </row>
    <row r="4851">
      <c r="A4851" s="17"/>
      <c r="B4851" s="17"/>
      <c r="C4851" s="133"/>
      <c r="D4851" s="133"/>
      <c r="E4851" s="17"/>
      <c r="F4851" s="133"/>
      <c r="G4851" s="133"/>
      <c r="H4851" s="133"/>
      <c r="I4851" s="133"/>
      <c r="J4851" s="133"/>
      <c r="K4851" s="133"/>
      <c r="L4851" s="133"/>
      <c r="M4851" s="133"/>
      <c r="N4851" s="133"/>
      <c r="O4851" s="133"/>
      <c r="P4851" s="134"/>
      <c r="Q4851" s="146"/>
      <c r="R4851" s="17"/>
      <c r="S4851" s="17"/>
      <c r="T4851" s="75"/>
      <c r="U4851" s="75"/>
      <c r="V4851" s="75"/>
      <c r="W4851" s="75"/>
      <c r="X4851" s="75"/>
    </row>
    <row r="4852">
      <c r="A4852" s="17"/>
      <c r="B4852" s="17"/>
      <c r="C4852" s="133"/>
      <c r="D4852" s="133"/>
      <c r="E4852" s="17"/>
      <c r="F4852" s="133"/>
      <c r="G4852" s="133"/>
      <c r="H4852" s="133"/>
      <c r="I4852" s="133"/>
      <c r="J4852" s="133"/>
      <c r="K4852" s="133"/>
      <c r="L4852" s="133"/>
      <c r="M4852" s="133"/>
      <c r="N4852" s="133"/>
      <c r="O4852" s="133"/>
      <c r="P4852" s="134"/>
      <c r="Q4852" s="146"/>
      <c r="R4852" s="17"/>
      <c r="S4852" s="17"/>
      <c r="T4852" s="75"/>
      <c r="U4852" s="75"/>
      <c r="V4852" s="75"/>
      <c r="W4852" s="75"/>
      <c r="X4852" s="75"/>
    </row>
    <row r="4853">
      <c r="A4853" s="17"/>
      <c r="B4853" s="17"/>
      <c r="C4853" s="133"/>
      <c r="D4853" s="133"/>
      <c r="E4853" s="17"/>
      <c r="F4853" s="133"/>
      <c r="G4853" s="133"/>
      <c r="H4853" s="133"/>
      <c r="I4853" s="133"/>
      <c r="J4853" s="133"/>
      <c r="K4853" s="133"/>
      <c r="L4853" s="133"/>
      <c r="M4853" s="133"/>
      <c r="N4853" s="133"/>
      <c r="O4853" s="133"/>
      <c r="P4853" s="134"/>
      <c r="Q4853" s="146"/>
      <c r="R4853" s="17"/>
      <c r="S4853" s="17"/>
      <c r="T4853" s="75"/>
      <c r="U4853" s="75"/>
      <c r="V4853" s="75"/>
      <c r="W4853" s="75"/>
      <c r="X4853" s="75"/>
    </row>
    <row r="4854">
      <c r="A4854" s="17"/>
      <c r="B4854" s="17"/>
      <c r="C4854" s="133"/>
      <c r="D4854" s="133"/>
      <c r="E4854" s="17"/>
      <c r="F4854" s="133"/>
      <c r="G4854" s="133"/>
      <c r="H4854" s="133"/>
      <c r="I4854" s="133"/>
      <c r="J4854" s="133"/>
      <c r="K4854" s="133"/>
      <c r="L4854" s="133"/>
      <c r="M4854" s="133"/>
      <c r="N4854" s="133"/>
      <c r="O4854" s="133"/>
      <c r="P4854" s="134"/>
      <c r="Q4854" s="146"/>
      <c r="R4854" s="17"/>
      <c r="S4854" s="17"/>
      <c r="T4854" s="75"/>
      <c r="U4854" s="75"/>
      <c r="V4854" s="75"/>
      <c r="W4854" s="75"/>
      <c r="X4854" s="75"/>
    </row>
    <row r="4855">
      <c r="A4855" s="17"/>
      <c r="B4855" s="17"/>
      <c r="C4855" s="133"/>
      <c r="D4855" s="133"/>
      <c r="E4855" s="17"/>
      <c r="F4855" s="133"/>
      <c r="G4855" s="133"/>
      <c r="H4855" s="133"/>
      <c r="I4855" s="133"/>
      <c r="J4855" s="133"/>
      <c r="K4855" s="133"/>
      <c r="L4855" s="133"/>
      <c r="M4855" s="133"/>
      <c r="N4855" s="133"/>
      <c r="O4855" s="133"/>
      <c r="P4855" s="134"/>
      <c r="Q4855" s="146"/>
      <c r="R4855" s="17"/>
      <c r="S4855" s="17"/>
      <c r="T4855" s="75"/>
      <c r="U4855" s="75"/>
      <c r="V4855" s="75"/>
      <c r="W4855" s="75"/>
      <c r="X4855" s="75"/>
    </row>
    <row r="4856">
      <c r="A4856" s="17"/>
      <c r="B4856" s="17"/>
      <c r="C4856" s="133"/>
      <c r="D4856" s="133"/>
      <c r="E4856" s="17"/>
      <c r="F4856" s="133"/>
      <c r="G4856" s="133"/>
      <c r="H4856" s="133"/>
      <c r="I4856" s="133"/>
      <c r="J4856" s="133"/>
      <c r="K4856" s="133"/>
      <c r="L4856" s="133"/>
      <c r="M4856" s="133"/>
      <c r="N4856" s="133"/>
      <c r="O4856" s="133"/>
      <c r="P4856" s="134"/>
      <c r="Q4856" s="146"/>
      <c r="R4856" s="17"/>
      <c r="S4856" s="17"/>
      <c r="T4856" s="75"/>
      <c r="U4856" s="75"/>
      <c r="V4856" s="75"/>
      <c r="W4856" s="75"/>
      <c r="X4856" s="75"/>
    </row>
    <row r="4857">
      <c r="A4857" s="17"/>
      <c r="B4857" s="17"/>
      <c r="C4857" s="133"/>
      <c r="D4857" s="133"/>
      <c r="E4857" s="17"/>
      <c r="F4857" s="133"/>
      <c r="G4857" s="133"/>
      <c r="H4857" s="133"/>
      <c r="I4857" s="133"/>
      <c r="J4857" s="133"/>
      <c r="K4857" s="133"/>
      <c r="L4857" s="133"/>
      <c r="M4857" s="133"/>
      <c r="N4857" s="133"/>
      <c r="O4857" s="133"/>
      <c r="P4857" s="134"/>
      <c r="Q4857" s="146"/>
      <c r="R4857" s="17"/>
      <c r="S4857" s="17"/>
      <c r="T4857" s="75"/>
      <c r="U4857" s="75"/>
      <c r="V4857" s="75"/>
      <c r="W4857" s="75"/>
      <c r="X4857" s="75"/>
    </row>
    <row r="4858">
      <c r="A4858" s="17"/>
      <c r="B4858" s="17"/>
      <c r="C4858" s="133"/>
      <c r="D4858" s="133"/>
      <c r="E4858" s="17"/>
      <c r="F4858" s="133"/>
      <c r="G4858" s="133"/>
      <c r="H4858" s="133"/>
      <c r="I4858" s="133"/>
      <c r="J4858" s="133"/>
      <c r="K4858" s="133"/>
      <c r="L4858" s="133"/>
      <c r="M4858" s="133"/>
      <c r="N4858" s="133"/>
      <c r="O4858" s="133"/>
      <c r="P4858" s="134"/>
      <c r="Q4858" s="146"/>
      <c r="R4858" s="17"/>
      <c r="S4858" s="17"/>
      <c r="T4858" s="75"/>
      <c r="U4858" s="75"/>
      <c r="V4858" s="75"/>
      <c r="W4858" s="75"/>
      <c r="X4858" s="75"/>
    </row>
    <row r="4859">
      <c r="A4859" s="17"/>
      <c r="B4859" s="17"/>
      <c r="C4859" s="133"/>
      <c r="D4859" s="133"/>
      <c r="E4859" s="17"/>
      <c r="F4859" s="133"/>
      <c r="G4859" s="133"/>
      <c r="H4859" s="133"/>
      <c r="I4859" s="133"/>
      <c r="J4859" s="133"/>
      <c r="K4859" s="133"/>
      <c r="L4859" s="133"/>
      <c r="M4859" s="133"/>
      <c r="N4859" s="133"/>
      <c r="O4859" s="133"/>
      <c r="P4859" s="134"/>
      <c r="Q4859" s="146"/>
      <c r="R4859" s="17"/>
      <c r="S4859" s="17"/>
      <c r="T4859" s="75"/>
      <c r="U4859" s="75"/>
      <c r="V4859" s="75"/>
      <c r="W4859" s="75"/>
      <c r="X4859" s="75"/>
    </row>
    <row r="4860">
      <c r="A4860" s="17"/>
      <c r="B4860" s="17"/>
      <c r="C4860" s="133"/>
      <c r="D4860" s="133"/>
      <c r="E4860" s="17"/>
      <c r="F4860" s="133"/>
      <c r="G4860" s="133"/>
      <c r="H4860" s="133"/>
      <c r="I4860" s="133"/>
      <c r="J4860" s="133"/>
      <c r="K4860" s="133"/>
      <c r="L4860" s="133"/>
      <c r="M4860" s="133"/>
      <c r="N4860" s="133"/>
      <c r="O4860" s="133"/>
      <c r="P4860" s="134"/>
      <c r="Q4860" s="146"/>
      <c r="R4860" s="17"/>
      <c r="S4860" s="17"/>
      <c r="T4860" s="75"/>
      <c r="U4860" s="75"/>
      <c r="V4860" s="75"/>
      <c r="W4860" s="75"/>
      <c r="X4860" s="75"/>
    </row>
    <row r="4861">
      <c r="A4861" s="17"/>
      <c r="B4861" s="17"/>
      <c r="C4861" s="133"/>
      <c r="D4861" s="133"/>
      <c r="E4861" s="17"/>
      <c r="F4861" s="133"/>
      <c r="G4861" s="133"/>
      <c r="H4861" s="133"/>
      <c r="I4861" s="133"/>
      <c r="J4861" s="133"/>
      <c r="K4861" s="133"/>
      <c r="L4861" s="133"/>
      <c r="M4861" s="133"/>
      <c r="N4861" s="133"/>
      <c r="O4861" s="133"/>
      <c r="P4861" s="134"/>
      <c r="Q4861" s="146"/>
      <c r="R4861" s="17"/>
      <c r="S4861" s="17"/>
      <c r="T4861" s="75"/>
      <c r="U4861" s="75"/>
      <c r="V4861" s="75"/>
      <c r="W4861" s="75"/>
      <c r="X4861" s="75"/>
    </row>
    <row r="4862">
      <c r="A4862" s="17"/>
      <c r="B4862" s="17"/>
      <c r="C4862" s="133"/>
      <c r="D4862" s="133"/>
      <c r="E4862" s="17"/>
      <c r="F4862" s="133"/>
      <c r="G4862" s="133"/>
      <c r="H4862" s="133"/>
      <c r="I4862" s="133"/>
      <c r="J4862" s="133"/>
      <c r="K4862" s="133"/>
      <c r="L4862" s="133"/>
      <c r="M4862" s="133"/>
      <c r="N4862" s="133"/>
      <c r="O4862" s="133"/>
      <c r="P4862" s="134"/>
      <c r="Q4862" s="146"/>
      <c r="R4862" s="17"/>
      <c r="S4862" s="17"/>
      <c r="T4862" s="75"/>
      <c r="U4862" s="75"/>
      <c r="V4862" s="75"/>
      <c r="W4862" s="75"/>
      <c r="X4862" s="75"/>
    </row>
    <row r="4863">
      <c r="A4863" s="17"/>
      <c r="B4863" s="17"/>
      <c r="C4863" s="133"/>
      <c r="D4863" s="133"/>
      <c r="E4863" s="17"/>
      <c r="F4863" s="133"/>
      <c r="G4863" s="133"/>
      <c r="H4863" s="133"/>
      <c r="I4863" s="133"/>
      <c r="J4863" s="133"/>
      <c r="K4863" s="133"/>
      <c r="L4863" s="133"/>
      <c r="M4863" s="133"/>
      <c r="N4863" s="133"/>
      <c r="O4863" s="133"/>
      <c r="P4863" s="134"/>
      <c r="Q4863" s="146"/>
      <c r="R4863" s="17"/>
      <c r="S4863" s="17"/>
      <c r="T4863" s="75"/>
      <c r="U4863" s="75"/>
      <c r="V4863" s="75"/>
      <c r="W4863" s="75"/>
      <c r="X4863" s="75"/>
    </row>
    <row r="4864">
      <c r="A4864" s="17"/>
      <c r="B4864" s="17"/>
      <c r="C4864" s="133"/>
      <c r="D4864" s="133"/>
      <c r="E4864" s="17"/>
      <c r="F4864" s="133"/>
      <c r="G4864" s="133"/>
      <c r="H4864" s="133"/>
      <c r="I4864" s="133"/>
      <c r="J4864" s="133"/>
      <c r="K4864" s="133"/>
      <c r="L4864" s="133"/>
      <c r="M4864" s="133"/>
      <c r="N4864" s="133"/>
      <c r="O4864" s="133"/>
      <c r="P4864" s="134"/>
      <c r="Q4864" s="146"/>
      <c r="R4864" s="17"/>
      <c r="S4864" s="17"/>
      <c r="T4864" s="75"/>
      <c r="U4864" s="75"/>
      <c r="V4864" s="75"/>
      <c r="W4864" s="75"/>
      <c r="X4864" s="75"/>
    </row>
    <row r="4865">
      <c r="A4865" s="17"/>
      <c r="B4865" s="17"/>
      <c r="C4865" s="133"/>
      <c r="D4865" s="133"/>
      <c r="E4865" s="17"/>
      <c r="F4865" s="133"/>
      <c r="G4865" s="133"/>
      <c r="H4865" s="133"/>
      <c r="I4865" s="133"/>
      <c r="J4865" s="133"/>
      <c r="K4865" s="133"/>
      <c r="L4865" s="133"/>
      <c r="M4865" s="133"/>
      <c r="N4865" s="133"/>
      <c r="O4865" s="133"/>
      <c r="P4865" s="134"/>
      <c r="Q4865" s="146"/>
      <c r="R4865" s="17"/>
      <c r="S4865" s="17"/>
      <c r="T4865" s="75"/>
      <c r="U4865" s="75"/>
      <c r="V4865" s="75"/>
      <c r="W4865" s="75"/>
      <c r="X4865" s="75"/>
    </row>
    <row r="4866">
      <c r="A4866" s="17"/>
      <c r="B4866" s="17"/>
      <c r="C4866" s="133"/>
      <c r="D4866" s="133"/>
      <c r="E4866" s="17"/>
      <c r="F4866" s="133"/>
      <c r="G4866" s="133"/>
      <c r="H4866" s="133"/>
      <c r="I4866" s="133"/>
      <c r="J4866" s="133"/>
      <c r="K4866" s="133"/>
      <c r="L4866" s="133"/>
      <c r="M4866" s="133"/>
      <c r="N4866" s="133"/>
      <c r="O4866" s="133"/>
      <c r="P4866" s="134"/>
      <c r="Q4866" s="146"/>
      <c r="R4866" s="17"/>
      <c r="S4866" s="17"/>
      <c r="T4866" s="75"/>
      <c r="U4866" s="75"/>
      <c r="V4866" s="75"/>
      <c r="W4866" s="75"/>
      <c r="X4866" s="75"/>
    </row>
    <row r="4867">
      <c r="A4867" s="17"/>
      <c r="B4867" s="17"/>
      <c r="C4867" s="133"/>
      <c r="D4867" s="133"/>
      <c r="E4867" s="17"/>
      <c r="F4867" s="133"/>
      <c r="G4867" s="133"/>
      <c r="H4867" s="133"/>
      <c r="I4867" s="133"/>
      <c r="J4867" s="133"/>
      <c r="K4867" s="133"/>
      <c r="L4867" s="133"/>
      <c r="M4867" s="133"/>
      <c r="N4867" s="133"/>
      <c r="O4867" s="133"/>
      <c r="P4867" s="134"/>
      <c r="Q4867" s="146"/>
      <c r="R4867" s="17"/>
      <c r="S4867" s="17"/>
      <c r="T4867" s="75"/>
      <c r="U4867" s="75"/>
      <c r="V4867" s="75"/>
      <c r="W4867" s="75"/>
      <c r="X4867" s="75"/>
    </row>
    <row r="4868">
      <c r="A4868" s="17"/>
      <c r="B4868" s="17"/>
      <c r="C4868" s="133"/>
      <c r="D4868" s="133"/>
      <c r="E4868" s="17"/>
      <c r="F4868" s="133"/>
      <c r="G4868" s="133"/>
      <c r="H4868" s="133"/>
      <c r="I4868" s="133"/>
      <c r="J4868" s="133"/>
      <c r="K4868" s="133"/>
      <c r="L4868" s="133"/>
      <c r="M4868" s="133"/>
      <c r="N4868" s="133"/>
      <c r="O4868" s="133"/>
      <c r="P4868" s="134"/>
      <c r="Q4868" s="146"/>
      <c r="R4868" s="17"/>
      <c r="S4868" s="17"/>
      <c r="T4868" s="75"/>
      <c r="U4868" s="75"/>
      <c r="V4868" s="75"/>
      <c r="W4868" s="75"/>
      <c r="X4868" s="75"/>
    </row>
    <row r="4869">
      <c r="A4869" s="17"/>
      <c r="B4869" s="17"/>
      <c r="C4869" s="133"/>
      <c r="D4869" s="133"/>
      <c r="E4869" s="17"/>
      <c r="F4869" s="133"/>
      <c r="G4869" s="133"/>
      <c r="H4869" s="133"/>
      <c r="I4869" s="133"/>
      <c r="J4869" s="133"/>
      <c r="K4869" s="133"/>
      <c r="L4869" s="133"/>
      <c r="M4869" s="133"/>
      <c r="N4869" s="133"/>
      <c r="O4869" s="133"/>
      <c r="P4869" s="134"/>
      <c r="Q4869" s="146"/>
      <c r="R4869" s="17"/>
      <c r="S4869" s="17"/>
      <c r="T4869" s="75"/>
      <c r="U4869" s="75"/>
      <c r="V4869" s="75"/>
      <c r="W4869" s="75"/>
      <c r="X4869" s="75"/>
    </row>
    <row r="4870">
      <c r="A4870" s="17"/>
      <c r="B4870" s="17"/>
      <c r="C4870" s="133"/>
      <c r="D4870" s="133"/>
      <c r="E4870" s="17"/>
      <c r="F4870" s="133"/>
      <c r="G4870" s="133"/>
      <c r="H4870" s="133"/>
      <c r="I4870" s="133"/>
      <c r="J4870" s="133"/>
      <c r="K4870" s="133"/>
      <c r="L4870" s="133"/>
      <c r="M4870" s="133"/>
      <c r="N4870" s="133"/>
      <c r="O4870" s="133"/>
      <c r="P4870" s="134"/>
      <c r="Q4870" s="146"/>
      <c r="R4870" s="17"/>
      <c r="S4870" s="17"/>
      <c r="T4870" s="75"/>
      <c r="U4870" s="75"/>
      <c r="V4870" s="75"/>
      <c r="W4870" s="75"/>
      <c r="X4870" s="75"/>
    </row>
    <row r="4871">
      <c r="A4871" s="17"/>
      <c r="B4871" s="17"/>
      <c r="C4871" s="133"/>
      <c r="D4871" s="133"/>
      <c r="E4871" s="17"/>
      <c r="F4871" s="133"/>
      <c r="G4871" s="133"/>
      <c r="H4871" s="133"/>
      <c r="I4871" s="133"/>
      <c r="J4871" s="133"/>
      <c r="K4871" s="133"/>
      <c r="L4871" s="133"/>
      <c r="M4871" s="133"/>
      <c r="N4871" s="133"/>
      <c r="O4871" s="133"/>
      <c r="P4871" s="134"/>
      <c r="Q4871" s="146"/>
      <c r="R4871" s="17"/>
      <c r="S4871" s="17"/>
      <c r="T4871" s="75"/>
      <c r="U4871" s="75"/>
      <c r="V4871" s="75"/>
      <c r="W4871" s="75"/>
      <c r="X4871" s="75"/>
    </row>
    <row r="4872">
      <c r="A4872" s="17"/>
      <c r="B4872" s="17"/>
      <c r="C4872" s="133"/>
      <c r="D4872" s="133"/>
      <c r="E4872" s="17"/>
      <c r="F4872" s="133"/>
      <c r="G4872" s="133"/>
      <c r="H4872" s="133"/>
      <c r="I4872" s="133"/>
      <c r="J4872" s="133"/>
      <c r="K4872" s="133"/>
      <c r="L4872" s="133"/>
      <c r="M4872" s="133"/>
      <c r="N4872" s="133"/>
      <c r="O4872" s="133"/>
      <c r="P4872" s="134"/>
      <c r="Q4872" s="146"/>
      <c r="R4872" s="17"/>
      <c r="S4872" s="17"/>
      <c r="T4872" s="75"/>
      <c r="U4872" s="75"/>
      <c r="V4872" s="75"/>
      <c r="W4872" s="75"/>
      <c r="X4872" s="75"/>
    </row>
    <row r="4873">
      <c r="A4873" s="17"/>
      <c r="B4873" s="17"/>
      <c r="C4873" s="133"/>
      <c r="D4873" s="133"/>
      <c r="E4873" s="17"/>
      <c r="F4873" s="133"/>
      <c r="G4873" s="133"/>
      <c r="H4873" s="133"/>
      <c r="I4873" s="133"/>
      <c r="J4873" s="133"/>
      <c r="K4873" s="133"/>
      <c r="L4873" s="133"/>
      <c r="M4873" s="133"/>
      <c r="N4873" s="133"/>
      <c r="O4873" s="133"/>
      <c r="P4873" s="134"/>
      <c r="Q4873" s="146"/>
      <c r="R4873" s="17"/>
      <c r="S4873" s="17"/>
      <c r="T4873" s="75"/>
      <c r="U4873" s="75"/>
      <c r="V4873" s="75"/>
      <c r="W4873" s="75"/>
      <c r="X4873" s="75"/>
    </row>
    <row r="4874">
      <c r="A4874" s="17"/>
      <c r="B4874" s="17"/>
      <c r="C4874" s="133"/>
      <c r="D4874" s="133"/>
      <c r="E4874" s="17"/>
      <c r="F4874" s="133"/>
      <c r="G4874" s="133"/>
      <c r="H4874" s="133"/>
      <c r="I4874" s="133"/>
      <c r="J4874" s="133"/>
      <c r="K4874" s="133"/>
      <c r="L4874" s="133"/>
      <c r="M4874" s="133"/>
      <c r="N4874" s="133"/>
      <c r="O4874" s="133"/>
      <c r="P4874" s="134"/>
      <c r="Q4874" s="146"/>
      <c r="R4874" s="17"/>
      <c r="S4874" s="17"/>
      <c r="T4874" s="75"/>
      <c r="U4874" s="75"/>
      <c r="V4874" s="75"/>
      <c r="W4874" s="75"/>
      <c r="X4874" s="75"/>
    </row>
    <row r="4875">
      <c r="A4875" s="17"/>
      <c r="B4875" s="17"/>
      <c r="C4875" s="133"/>
      <c r="D4875" s="133"/>
      <c r="E4875" s="17"/>
      <c r="F4875" s="133"/>
      <c r="G4875" s="133"/>
      <c r="H4875" s="133"/>
      <c r="I4875" s="133"/>
      <c r="J4875" s="133"/>
      <c r="K4875" s="133"/>
      <c r="L4875" s="133"/>
      <c r="M4875" s="133"/>
      <c r="N4875" s="133"/>
      <c r="O4875" s="133"/>
      <c r="P4875" s="134"/>
      <c r="Q4875" s="146"/>
      <c r="R4875" s="17"/>
      <c r="S4875" s="17"/>
      <c r="T4875" s="75"/>
      <c r="U4875" s="75"/>
      <c r="V4875" s="75"/>
      <c r="W4875" s="75"/>
      <c r="X4875" s="75"/>
    </row>
    <row r="4876">
      <c r="A4876" s="17"/>
      <c r="B4876" s="17"/>
      <c r="C4876" s="133"/>
      <c r="D4876" s="133"/>
      <c r="E4876" s="17"/>
      <c r="F4876" s="133"/>
      <c r="G4876" s="133"/>
      <c r="H4876" s="133"/>
      <c r="I4876" s="133"/>
      <c r="J4876" s="133"/>
      <c r="K4876" s="133"/>
      <c r="L4876" s="133"/>
      <c r="M4876" s="133"/>
      <c r="N4876" s="133"/>
      <c r="O4876" s="133"/>
      <c r="P4876" s="134"/>
      <c r="Q4876" s="146"/>
      <c r="R4876" s="17"/>
      <c r="S4876" s="17"/>
      <c r="T4876" s="75"/>
      <c r="U4876" s="75"/>
      <c r="V4876" s="75"/>
      <c r="W4876" s="75"/>
      <c r="X4876" s="75"/>
    </row>
    <row r="4877">
      <c r="A4877" s="17"/>
      <c r="B4877" s="17"/>
      <c r="C4877" s="133"/>
      <c r="D4877" s="133"/>
      <c r="E4877" s="17"/>
      <c r="F4877" s="133"/>
      <c r="G4877" s="133"/>
      <c r="H4877" s="133"/>
      <c r="I4877" s="133"/>
      <c r="J4877" s="133"/>
      <c r="K4877" s="133"/>
      <c r="L4877" s="133"/>
      <c r="M4877" s="133"/>
      <c r="N4877" s="133"/>
      <c r="O4877" s="133"/>
      <c r="P4877" s="134"/>
      <c r="Q4877" s="146"/>
      <c r="R4877" s="17"/>
      <c r="S4877" s="17"/>
      <c r="T4877" s="75"/>
      <c r="U4877" s="75"/>
      <c r="V4877" s="75"/>
      <c r="W4877" s="75"/>
      <c r="X4877" s="75"/>
    </row>
    <row r="4878">
      <c r="A4878" s="17"/>
      <c r="B4878" s="17"/>
      <c r="C4878" s="133"/>
      <c r="D4878" s="133"/>
      <c r="E4878" s="17"/>
      <c r="F4878" s="133"/>
      <c r="G4878" s="133"/>
      <c r="H4878" s="133"/>
      <c r="I4878" s="133"/>
      <c r="J4878" s="133"/>
      <c r="K4878" s="133"/>
      <c r="L4878" s="133"/>
      <c r="M4878" s="133"/>
      <c r="N4878" s="133"/>
      <c r="O4878" s="133"/>
      <c r="P4878" s="134"/>
      <c r="Q4878" s="146"/>
      <c r="R4878" s="17"/>
      <c r="S4878" s="17"/>
      <c r="T4878" s="75"/>
      <c r="U4878" s="75"/>
      <c r="V4878" s="75"/>
      <c r="W4878" s="75"/>
      <c r="X4878" s="75"/>
    </row>
    <row r="4879">
      <c r="A4879" s="17"/>
      <c r="B4879" s="17"/>
      <c r="C4879" s="133"/>
      <c r="D4879" s="133"/>
      <c r="E4879" s="17"/>
      <c r="F4879" s="133"/>
      <c r="G4879" s="133"/>
      <c r="H4879" s="133"/>
      <c r="I4879" s="133"/>
      <c r="J4879" s="133"/>
      <c r="K4879" s="133"/>
      <c r="L4879" s="133"/>
      <c r="M4879" s="133"/>
      <c r="N4879" s="133"/>
      <c r="O4879" s="133"/>
      <c r="P4879" s="134"/>
      <c r="Q4879" s="146"/>
      <c r="R4879" s="17"/>
      <c r="S4879" s="17"/>
      <c r="T4879" s="75"/>
      <c r="U4879" s="75"/>
      <c r="V4879" s="75"/>
      <c r="W4879" s="75"/>
      <c r="X4879" s="75"/>
    </row>
    <row r="4880">
      <c r="A4880" s="17"/>
      <c r="B4880" s="17"/>
      <c r="C4880" s="133"/>
      <c r="D4880" s="133"/>
      <c r="E4880" s="17"/>
      <c r="F4880" s="133"/>
      <c r="G4880" s="133"/>
      <c r="H4880" s="133"/>
      <c r="I4880" s="133"/>
      <c r="J4880" s="133"/>
      <c r="K4880" s="133"/>
      <c r="L4880" s="133"/>
      <c r="M4880" s="133"/>
      <c r="N4880" s="133"/>
      <c r="O4880" s="133"/>
      <c r="P4880" s="134"/>
      <c r="Q4880" s="146"/>
      <c r="R4880" s="17"/>
      <c r="S4880" s="17"/>
      <c r="T4880" s="75"/>
      <c r="U4880" s="75"/>
      <c r="V4880" s="75"/>
      <c r="W4880" s="75"/>
      <c r="X4880" s="75"/>
    </row>
    <row r="4881">
      <c r="A4881" s="17"/>
      <c r="B4881" s="17"/>
      <c r="C4881" s="133"/>
      <c r="D4881" s="133"/>
      <c r="E4881" s="17"/>
      <c r="F4881" s="133"/>
      <c r="G4881" s="133"/>
      <c r="H4881" s="133"/>
      <c r="I4881" s="133"/>
      <c r="J4881" s="133"/>
      <c r="K4881" s="133"/>
      <c r="L4881" s="133"/>
      <c r="M4881" s="133"/>
      <c r="N4881" s="133"/>
      <c r="O4881" s="133"/>
      <c r="P4881" s="134"/>
      <c r="Q4881" s="146"/>
      <c r="R4881" s="17"/>
      <c r="S4881" s="17"/>
      <c r="T4881" s="75"/>
      <c r="U4881" s="75"/>
      <c r="V4881" s="75"/>
      <c r="W4881" s="75"/>
      <c r="X4881" s="75"/>
    </row>
    <row r="4882">
      <c r="A4882" s="17"/>
      <c r="B4882" s="17"/>
      <c r="C4882" s="133"/>
      <c r="D4882" s="133"/>
      <c r="E4882" s="17"/>
      <c r="F4882" s="133"/>
      <c r="G4882" s="133"/>
      <c r="H4882" s="133"/>
      <c r="I4882" s="133"/>
      <c r="J4882" s="133"/>
      <c r="K4882" s="133"/>
      <c r="L4882" s="133"/>
      <c r="M4882" s="133"/>
      <c r="N4882" s="133"/>
      <c r="O4882" s="133"/>
      <c r="P4882" s="134"/>
      <c r="Q4882" s="146"/>
      <c r="R4882" s="17"/>
      <c r="S4882" s="17"/>
      <c r="T4882" s="75"/>
      <c r="U4882" s="75"/>
      <c r="V4882" s="75"/>
      <c r="W4882" s="75"/>
      <c r="X4882" s="75"/>
    </row>
    <row r="4883">
      <c r="A4883" s="17"/>
      <c r="B4883" s="17"/>
      <c r="C4883" s="133"/>
      <c r="D4883" s="133"/>
      <c r="E4883" s="17"/>
      <c r="F4883" s="133"/>
      <c r="G4883" s="133"/>
      <c r="H4883" s="133"/>
      <c r="I4883" s="133"/>
      <c r="J4883" s="133"/>
      <c r="K4883" s="133"/>
      <c r="L4883" s="133"/>
      <c r="M4883" s="133"/>
      <c r="N4883" s="133"/>
      <c r="O4883" s="133"/>
      <c r="P4883" s="134"/>
      <c r="Q4883" s="146"/>
      <c r="R4883" s="17"/>
      <c r="S4883" s="17"/>
      <c r="T4883" s="75"/>
      <c r="U4883" s="75"/>
      <c r="V4883" s="75"/>
      <c r="W4883" s="75"/>
      <c r="X4883" s="75"/>
    </row>
    <row r="4884">
      <c r="A4884" s="17"/>
      <c r="B4884" s="17"/>
      <c r="C4884" s="133"/>
      <c r="D4884" s="133"/>
      <c r="E4884" s="17"/>
      <c r="F4884" s="133"/>
      <c r="G4884" s="133"/>
      <c r="H4884" s="133"/>
      <c r="I4884" s="133"/>
      <c r="J4884" s="133"/>
      <c r="K4884" s="133"/>
      <c r="L4884" s="133"/>
      <c r="M4884" s="133"/>
      <c r="N4884" s="133"/>
      <c r="O4884" s="133"/>
      <c r="P4884" s="134"/>
      <c r="Q4884" s="146"/>
      <c r="R4884" s="17"/>
      <c r="S4884" s="17"/>
      <c r="T4884" s="75"/>
      <c r="U4884" s="75"/>
      <c r="V4884" s="75"/>
      <c r="W4884" s="75"/>
      <c r="X4884" s="75"/>
    </row>
    <row r="4885">
      <c r="A4885" s="17"/>
      <c r="B4885" s="17"/>
      <c r="C4885" s="133"/>
      <c r="D4885" s="133"/>
      <c r="E4885" s="17"/>
      <c r="F4885" s="133"/>
      <c r="G4885" s="133"/>
      <c r="H4885" s="133"/>
      <c r="I4885" s="133"/>
      <c r="J4885" s="133"/>
      <c r="K4885" s="133"/>
      <c r="L4885" s="133"/>
      <c r="M4885" s="133"/>
      <c r="N4885" s="133"/>
      <c r="O4885" s="133"/>
      <c r="P4885" s="134"/>
      <c r="Q4885" s="146"/>
      <c r="R4885" s="17"/>
      <c r="S4885" s="17"/>
      <c r="T4885" s="75"/>
      <c r="U4885" s="75"/>
      <c r="V4885" s="75"/>
      <c r="W4885" s="75"/>
      <c r="X4885" s="75"/>
    </row>
    <row r="4886">
      <c r="A4886" s="17"/>
      <c r="B4886" s="17"/>
      <c r="C4886" s="133"/>
      <c r="D4886" s="133"/>
      <c r="E4886" s="17"/>
      <c r="F4886" s="133"/>
      <c r="G4886" s="133"/>
      <c r="H4886" s="133"/>
      <c r="I4886" s="133"/>
      <c r="J4886" s="133"/>
      <c r="K4886" s="133"/>
      <c r="L4886" s="133"/>
      <c r="M4886" s="133"/>
      <c r="N4886" s="133"/>
      <c r="O4886" s="133"/>
      <c r="P4886" s="134"/>
      <c r="Q4886" s="146"/>
      <c r="R4886" s="17"/>
      <c r="S4886" s="17"/>
      <c r="T4886" s="75"/>
      <c r="U4886" s="75"/>
      <c r="V4886" s="75"/>
      <c r="W4886" s="75"/>
      <c r="X4886" s="75"/>
    </row>
    <row r="4887">
      <c r="A4887" s="17"/>
      <c r="B4887" s="17"/>
      <c r="C4887" s="133"/>
      <c r="D4887" s="133"/>
      <c r="E4887" s="17"/>
      <c r="F4887" s="133"/>
      <c r="G4887" s="133"/>
      <c r="H4887" s="133"/>
      <c r="I4887" s="133"/>
      <c r="J4887" s="133"/>
      <c r="K4887" s="133"/>
      <c r="L4887" s="133"/>
      <c r="M4887" s="133"/>
      <c r="N4887" s="133"/>
      <c r="O4887" s="133"/>
      <c r="P4887" s="134"/>
      <c r="Q4887" s="146"/>
      <c r="R4887" s="17"/>
      <c r="S4887" s="17"/>
      <c r="T4887" s="75"/>
      <c r="U4887" s="75"/>
      <c r="V4887" s="75"/>
      <c r="W4887" s="75"/>
      <c r="X4887" s="75"/>
    </row>
    <row r="4888">
      <c r="A4888" s="17"/>
      <c r="B4888" s="17"/>
      <c r="C4888" s="133"/>
      <c r="D4888" s="133"/>
      <c r="E4888" s="17"/>
      <c r="F4888" s="133"/>
      <c r="G4888" s="133"/>
      <c r="H4888" s="133"/>
      <c r="I4888" s="133"/>
      <c r="J4888" s="133"/>
      <c r="K4888" s="133"/>
      <c r="L4888" s="133"/>
      <c r="M4888" s="133"/>
      <c r="N4888" s="133"/>
      <c r="O4888" s="133"/>
      <c r="P4888" s="134"/>
      <c r="Q4888" s="146"/>
      <c r="R4888" s="17"/>
      <c r="S4888" s="17"/>
      <c r="T4888" s="75"/>
      <c r="U4888" s="75"/>
      <c r="V4888" s="75"/>
      <c r="W4888" s="75"/>
      <c r="X4888" s="75"/>
    </row>
    <row r="4889">
      <c r="A4889" s="17"/>
      <c r="B4889" s="17"/>
      <c r="C4889" s="133"/>
      <c r="D4889" s="133"/>
      <c r="E4889" s="17"/>
      <c r="F4889" s="133"/>
      <c r="G4889" s="133"/>
      <c r="H4889" s="133"/>
      <c r="I4889" s="133"/>
      <c r="J4889" s="133"/>
      <c r="K4889" s="133"/>
      <c r="L4889" s="133"/>
      <c r="M4889" s="133"/>
      <c r="N4889" s="133"/>
      <c r="O4889" s="133"/>
      <c r="P4889" s="134"/>
      <c r="Q4889" s="146"/>
      <c r="R4889" s="17"/>
      <c r="S4889" s="17"/>
      <c r="T4889" s="75"/>
      <c r="U4889" s="75"/>
      <c r="V4889" s="75"/>
      <c r="W4889" s="75"/>
      <c r="X4889" s="75"/>
    </row>
    <row r="4890">
      <c r="A4890" s="17"/>
      <c r="B4890" s="17"/>
      <c r="C4890" s="133"/>
      <c r="D4890" s="133"/>
      <c r="E4890" s="17"/>
      <c r="F4890" s="133"/>
      <c r="G4890" s="133"/>
      <c r="H4890" s="133"/>
      <c r="I4890" s="133"/>
      <c r="J4890" s="133"/>
      <c r="K4890" s="133"/>
      <c r="L4890" s="133"/>
      <c r="M4890" s="133"/>
      <c r="N4890" s="133"/>
      <c r="O4890" s="133"/>
      <c r="P4890" s="134"/>
      <c r="Q4890" s="146"/>
      <c r="R4890" s="17"/>
      <c r="S4890" s="17"/>
      <c r="T4890" s="75"/>
      <c r="U4890" s="75"/>
      <c r="V4890" s="75"/>
      <c r="W4890" s="75"/>
      <c r="X4890" s="75"/>
    </row>
    <row r="4891">
      <c r="A4891" s="17"/>
      <c r="B4891" s="17"/>
      <c r="C4891" s="133"/>
      <c r="D4891" s="133"/>
      <c r="E4891" s="17"/>
      <c r="F4891" s="133"/>
      <c r="G4891" s="133"/>
      <c r="H4891" s="133"/>
      <c r="I4891" s="133"/>
      <c r="J4891" s="133"/>
      <c r="K4891" s="133"/>
      <c r="L4891" s="133"/>
      <c r="M4891" s="133"/>
      <c r="N4891" s="133"/>
      <c r="O4891" s="133"/>
      <c r="P4891" s="134"/>
      <c r="Q4891" s="146"/>
      <c r="R4891" s="17"/>
      <c r="S4891" s="17"/>
      <c r="T4891" s="75"/>
      <c r="U4891" s="75"/>
      <c r="V4891" s="75"/>
      <c r="W4891" s="75"/>
      <c r="X4891" s="75"/>
    </row>
    <row r="4892">
      <c r="A4892" s="17"/>
      <c r="B4892" s="17"/>
      <c r="C4892" s="133"/>
      <c r="D4892" s="133"/>
      <c r="E4892" s="17"/>
      <c r="F4892" s="133"/>
      <c r="G4892" s="133"/>
      <c r="H4892" s="133"/>
      <c r="I4892" s="133"/>
      <c r="J4892" s="133"/>
      <c r="K4892" s="133"/>
      <c r="L4892" s="133"/>
      <c r="M4892" s="133"/>
      <c r="N4892" s="133"/>
      <c r="O4892" s="133"/>
      <c r="P4892" s="134"/>
      <c r="Q4892" s="146"/>
      <c r="R4892" s="17"/>
      <c r="S4892" s="17"/>
      <c r="T4892" s="75"/>
      <c r="U4892" s="75"/>
      <c r="V4892" s="75"/>
      <c r="W4892" s="75"/>
      <c r="X4892" s="75"/>
    </row>
    <row r="4893">
      <c r="A4893" s="17"/>
      <c r="B4893" s="17"/>
      <c r="C4893" s="133"/>
      <c r="D4893" s="133"/>
      <c r="E4893" s="17"/>
      <c r="F4893" s="133"/>
      <c r="G4893" s="133"/>
      <c r="H4893" s="133"/>
      <c r="I4893" s="133"/>
      <c r="J4893" s="133"/>
      <c r="K4893" s="133"/>
      <c r="L4893" s="133"/>
      <c r="M4893" s="133"/>
      <c r="N4893" s="133"/>
      <c r="O4893" s="133"/>
      <c r="P4893" s="134"/>
      <c r="Q4893" s="146"/>
      <c r="R4893" s="17"/>
      <c r="S4893" s="17"/>
      <c r="T4893" s="75"/>
      <c r="U4893" s="75"/>
      <c r="V4893" s="75"/>
      <c r="W4893" s="75"/>
      <c r="X4893" s="75"/>
    </row>
    <row r="4894">
      <c r="A4894" s="17"/>
      <c r="B4894" s="17"/>
      <c r="C4894" s="133"/>
      <c r="D4894" s="133"/>
      <c r="E4894" s="17"/>
      <c r="F4894" s="133"/>
      <c r="G4894" s="133"/>
      <c r="H4894" s="133"/>
      <c r="I4894" s="133"/>
      <c r="J4894" s="133"/>
      <c r="K4894" s="133"/>
      <c r="L4894" s="133"/>
      <c r="M4894" s="133"/>
      <c r="N4894" s="133"/>
      <c r="O4894" s="133"/>
      <c r="P4894" s="134"/>
      <c r="Q4894" s="146"/>
      <c r="R4894" s="17"/>
      <c r="S4894" s="17"/>
      <c r="T4894" s="75"/>
      <c r="U4894" s="75"/>
      <c r="V4894" s="75"/>
      <c r="W4894" s="75"/>
      <c r="X4894" s="75"/>
    </row>
    <row r="4895">
      <c r="A4895" s="17"/>
      <c r="B4895" s="17"/>
      <c r="C4895" s="133"/>
      <c r="D4895" s="133"/>
      <c r="E4895" s="17"/>
      <c r="F4895" s="133"/>
      <c r="G4895" s="133"/>
      <c r="H4895" s="133"/>
      <c r="I4895" s="133"/>
      <c r="J4895" s="133"/>
      <c r="K4895" s="133"/>
      <c r="L4895" s="133"/>
      <c r="M4895" s="133"/>
      <c r="N4895" s="133"/>
      <c r="O4895" s="133"/>
      <c r="P4895" s="134"/>
      <c r="Q4895" s="146"/>
      <c r="R4895" s="17"/>
      <c r="S4895" s="17"/>
      <c r="T4895" s="75"/>
      <c r="U4895" s="75"/>
      <c r="V4895" s="75"/>
      <c r="W4895" s="75"/>
      <c r="X4895" s="75"/>
    </row>
    <row r="4896">
      <c r="A4896" s="17"/>
      <c r="B4896" s="17"/>
      <c r="C4896" s="133"/>
      <c r="D4896" s="133"/>
      <c r="E4896" s="17"/>
      <c r="F4896" s="133"/>
      <c r="G4896" s="133"/>
      <c r="H4896" s="133"/>
      <c r="I4896" s="133"/>
      <c r="J4896" s="133"/>
      <c r="K4896" s="133"/>
      <c r="L4896" s="133"/>
      <c r="M4896" s="133"/>
      <c r="N4896" s="133"/>
      <c r="O4896" s="133"/>
      <c r="P4896" s="134"/>
      <c r="Q4896" s="146"/>
      <c r="R4896" s="17"/>
      <c r="S4896" s="17"/>
      <c r="T4896" s="75"/>
      <c r="U4896" s="75"/>
      <c r="V4896" s="75"/>
      <c r="W4896" s="75"/>
      <c r="X4896" s="75"/>
    </row>
    <row r="4897">
      <c r="A4897" s="17"/>
      <c r="B4897" s="17"/>
      <c r="C4897" s="133"/>
      <c r="D4897" s="133"/>
      <c r="E4897" s="17"/>
      <c r="F4897" s="133"/>
      <c r="G4897" s="133"/>
      <c r="H4897" s="133"/>
      <c r="I4897" s="133"/>
      <c r="J4897" s="133"/>
      <c r="K4897" s="133"/>
      <c r="L4897" s="133"/>
      <c r="M4897" s="133"/>
      <c r="N4897" s="133"/>
      <c r="O4897" s="133"/>
      <c r="P4897" s="134"/>
      <c r="Q4897" s="146"/>
      <c r="R4897" s="17"/>
      <c r="S4897" s="17"/>
      <c r="T4897" s="75"/>
      <c r="U4897" s="75"/>
      <c r="V4897" s="75"/>
      <c r="W4897" s="75"/>
      <c r="X4897" s="75"/>
    </row>
    <row r="4898">
      <c r="A4898" s="17"/>
      <c r="B4898" s="17"/>
      <c r="C4898" s="133"/>
      <c r="D4898" s="133"/>
      <c r="E4898" s="17"/>
      <c r="F4898" s="133"/>
      <c r="G4898" s="133"/>
      <c r="H4898" s="133"/>
      <c r="I4898" s="133"/>
      <c r="J4898" s="133"/>
      <c r="K4898" s="133"/>
      <c r="L4898" s="133"/>
      <c r="M4898" s="133"/>
      <c r="N4898" s="133"/>
      <c r="O4898" s="133"/>
      <c r="P4898" s="134"/>
      <c r="Q4898" s="146"/>
      <c r="R4898" s="17"/>
      <c r="S4898" s="17"/>
      <c r="T4898" s="75"/>
      <c r="U4898" s="75"/>
      <c r="V4898" s="75"/>
      <c r="W4898" s="75"/>
      <c r="X4898" s="75"/>
    </row>
    <row r="4899">
      <c r="A4899" s="17"/>
      <c r="B4899" s="17"/>
      <c r="C4899" s="133"/>
      <c r="D4899" s="133"/>
      <c r="E4899" s="17"/>
      <c r="F4899" s="133"/>
      <c r="G4899" s="133"/>
      <c r="H4899" s="133"/>
      <c r="I4899" s="133"/>
      <c r="J4899" s="133"/>
      <c r="K4899" s="133"/>
      <c r="L4899" s="133"/>
      <c r="M4899" s="133"/>
      <c r="N4899" s="133"/>
      <c r="O4899" s="133"/>
      <c r="P4899" s="134"/>
      <c r="Q4899" s="146"/>
      <c r="R4899" s="17"/>
      <c r="S4899" s="17"/>
      <c r="T4899" s="75"/>
      <c r="U4899" s="75"/>
      <c r="V4899" s="75"/>
      <c r="W4899" s="75"/>
      <c r="X4899" s="75"/>
    </row>
    <row r="4900">
      <c r="A4900" s="17"/>
      <c r="B4900" s="17"/>
      <c r="C4900" s="133"/>
      <c r="D4900" s="133"/>
      <c r="E4900" s="17"/>
      <c r="F4900" s="133"/>
      <c r="G4900" s="133"/>
      <c r="H4900" s="133"/>
      <c r="I4900" s="133"/>
      <c r="J4900" s="133"/>
      <c r="K4900" s="133"/>
      <c r="L4900" s="133"/>
      <c r="M4900" s="133"/>
      <c r="N4900" s="133"/>
      <c r="O4900" s="133"/>
      <c r="P4900" s="134"/>
      <c r="Q4900" s="146"/>
      <c r="R4900" s="17"/>
      <c r="S4900" s="17"/>
      <c r="T4900" s="75"/>
      <c r="U4900" s="75"/>
      <c r="V4900" s="75"/>
      <c r="W4900" s="75"/>
      <c r="X4900" s="75"/>
    </row>
    <row r="4901">
      <c r="A4901" s="17"/>
      <c r="B4901" s="17"/>
      <c r="C4901" s="133"/>
      <c r="D4901" s="133"/>
      <c r="E4901" s="17"/>
      <c r="F4901" s="133"/>
      <c r="G4901" s="133"/>
      <c r="H4901" s="133"/>
      <c r="I4901" s="133"/>
      <c r="J4901" s="133"/>
      <c r="K4901" s="133"/>
      <c r="L4901" s="133"/>
      <c r="M4901" s="133"/>
      <c r="N4901" s="133"/>
      <c r="O4901" s="133"/>
      <c r="P4901" s="134"/>
      <c r="Q4901" s="146"/>
      <c r="R4901" s="17"/>
      <c r="S4901" s="17"/>
      <c r="T4901" s="75"/>
      <c r="U4901" s="75"/>
      <c r="V4901" s="75"/>
      <c r="W4901" s="75"/>
      <c r="X4901" s="75"/>
    </row>
    <row r="4902">
      <c r="A4902" s="17"/>
      <c r="B4902" s="17"/>
      <c r="C4902" s="133"/>
      <c r="D4902" s="133"/>
      <c r="E4902" s="17"/>
      <c r="F4902" s="133"/>
      <c r="G4902" s="133"/>
      <c r="H4902" s="133"/>
      <c r="I4902" s="133"/>
      <c r="J4902" s="133"/>
      <c r="K4902" s="133"/>
      <c r="L4902" s="133"/>
      <c r="M4902" s="133"/>
      <c r="N4902" s="133"/>
      <c r="O4902" s="133"/>
      <c r="P4902" s="134"/>
      <c r="Q4902" s="146"/>
      <c r="R4902" s="17"/>
      <c r="S4902" s="17"/>
      <c r="T4902" s="75"/>
      <c r="U4902" s="75"/>
      <c r="V4902" s="75"/>
      <c r="W4902" s="75"/>
      <c r="X4902" s="75"/>
    </row>
    <row r="4903">
      <c r="A4903" s="17"/>
      <c r="B4903" s="17"/>
      <c r="C4903" s="133"/>
      <c r="D4903" s="133"/>
      <c r="E4903" s="17"/>
      <c r="F4903" s="133"/>
      <c r="G4903" s="133"/>
      <c r="H4903" s="133"/>
      <c r="I4903" s="133"/>
      <c r="J4903" s="133"/>
      <c r="K4903" s="133"/>
      <c r="L4903" s="133"/>
      <c r="M4903" s="133"/>
      <c r="N4903" s="133"/>
      <c r="O4903" s="133"/>
      <c r="P4903" s="134"/>
      <c r="Q4903" s="146"/>
      <c r="R4903" s="17"/>
      <c r="S4903" s="17"/>
      <c r="T4903" s="75"/>
      <c r="U4903" s="75"/>
      <c r="V4903" s="75"/>
      <c r="W4903" s="75"/>
      <c r="X4903" s="75"/>
    </row>
    <row r="4904">
      <c r="A4904" s="17"/>
      <c r="B4904" s="17"/>
      <c r="C4904" s="133"/>
      <c r="D4904" s="133"/>
      <c r="E4904" s="17"/>
      <c r="F4904" s="133"/>
      <c r="G4904" s="133"/>
      <c r="H4904" s="133"/>
      <c r="I4904" s="133"/>
      <c r="J4904" s="133"/>
      <c r="K4904" s="133"/>
      <c r="L4904" s="133"/>
      <c r="M4904" s="133"/>
      <c r="N4904" s="133"/>
      <c r="O4904" s="133"/>
      <c r="P4904" s="134"/>
      <c r="Q4904" s="146"/>
      <c r="R4904" s="17"/>
      <c r="S4904" s="17"/>
      <c r="T4904" s="75"/>
      <c r="U4904" s="75"/>
      <c r="V4904" s="75"/>
      <c r="W4904" s="75"/>
      <c r="X4904" s="75"/>
    </row>
    <row r="4905">
      <c r="A4905" s="17"/>
      <c r="B4905" s="17"/>
      <c r="C4905" s="133"/>
      <c r="D4905" s="133"/>
      <c r="E4905" s="17"/>
      <c r="F4905" s="133"/>
      <c r="G4905" s="133"/>
      <c r="H4905" s="133"/>
      <c r="I4905" s="133"/>
      <c r="J4905" s="133"/>
      <c r="K4905" s="133"/>
      <c r="L4905" s="133"/>
      <c r="M4905" s="133"/>
      <c r="N4905" s="133"/>
      <c r="O4905" s="133"/>
      <c r="P4905" s="134"/>
      <c r="Q4905" s="146"/>
      <c r="R4905" s="17"/>
      <c r="S4905" s="17"/>
      <c r="T4905" s="75"/>
      <c r="U4905" s="75"/>
      <c r="V4905" s="75"/>
      <c r="W4905" s="75"/>
      <c r="X4905" s="75"/>
    </row>
    <row r="4906">
      <c r="A4906" s="17"/>
      <c r="B4906" s="17"/>
      <c r="C4906" s="133"/>
      <c r="D4906" s="133"/>
      <c r="E4906" s="17"/>
      <c r="F4906" s="133"/>
      <c r="G4906" s="133"/>
      <c r="H4906" s="133"/>
      <c r="I4906" s="133"/>
      <c r="J4906" s="133"/>
      <c r="K4906" s="133"/>
      <c r="L4906" s="133"/>
      <c r="M4906" s="133"/>
      <c r="N4906" s="133"/>
      <c r="O4906" s="133"/>
      <c r="P4906" s="134"/>
      <c r="Q4906" s="146"/>
      <c r="R4906" s="17"/>
      <c r="S4906" s="17"/>
      <c r="T4906" s="75"/>
      <c r="U4906" s="75"/>
      <c r="V4906" s="75"/>
      <c r="W4906" s="75"/>
      <c r="X4906" s="75"/>
    </row>
    <row r="4907">
      <c r="A4907" s="17"/>
      <c r="B4907" s="17"/>
      <c r="C4907" s="133"/>
      <c r="D4907" s="133"/>
      <c r="E4907" s="17"/>
      <c r="F4907" s="133"/>
      <c r="G4907" s="133"/>
      <c r="H4907" s="133"/>
      <c r="I4907" s="133"/>
      <c r="J4907" s="133"/>
      <c r="K4907" s="133"/>
      <c r="L4907" s="133"/>
      <c r="M4907" s="133"/>
      <c r="N4907" s="133"/>
      <c r="O4907" s="133"/>
      <c r="P4907" s="134"/>
      <c r="Q4907" s="146"/>
      <c r="R4907" s="17"/>
      <c r="S4907" s="17"/>
      <c r="T4907" s="75"/>
      <c r="U4907" s="75"/>
      <c r="V4907" s="75"/>
      <c r="W4907" s="75"/>
      <c r="X4907" s="75"/>
    </row>
    <row r="4908">
      <c r="A4908" s="17"/>
      <c r="B4908" s="17"/>
      <c r="C4908" s="133"/>
      <c r="D4908" s="133"/>
      <c r="E4908" s="17"/>
      <c r="F4908" s="133"/>
      <c r="G4908" s="133"/>
      <c r="H4908" s="133"/>
      <c r="I4908" s="133"/>
      <c r="J4908" s="133"/>
      <c r="K4908" s="133"/>
      <c r="L4908" s="133"/>
      <c r="M4908" s="133"/>
      <c r="N4908" s="133"/>
      <c r="O4908" s="133"/>
      <c r="P4908" s="134"/>
      <c r="Q4908" s="146"/>
      <c r="R4908" s="17"/>
      <c r="S4908" s="17"/>
      <c r="T4908" s="75"/>
      <c r="U4908" s="75"/>
      <c r="V4908" s="75"/>
      <c r="W4908" s="75"/>
      <c r="X4908" s="75"/>
    </row>
    <row r="4909">
      <c r="A4909" s="17"/>
      <c r="B4909" s="17"/>
      <c r="C4909" s="133"/>
      <c r="D4909" s="133"/>
      <c r="E4909" s="17"/>
      <c r="F4909" s="133"/>
      <c r="G4909" s="133"/>
      <c r="H4909" s="133"/>
      <c r="I4909" s="133"/>
      <c r="J4909" s="133"/>
      <c r="K4909" s="133"/>
      <c r="L4909" s="133"/>
      <c r="M4909" s="133"/>
      <c r="N4909" s="133"/>
      <c r="O4909" s="133"/>
      <c r="P4909" s="134"/>
      <c r="Q4909" s="146"/>
      <c r="R4909" s="17"/>
      <c r="S4909" s="17"/>
      <c r="T4909" s="75"/>
      <c r="U4909" s="75"/>
      <c r="V4909" s="75"/>
      <c r="W4909" s="75"/>
      <c r="X4909" s="75"/>
    </row>
    <row r="4910">
      <c r="A4910" s="17"/>
      <c r="B4910" s="17"/>
      <c r="C4910" s="133"/>
      <c r="D4910" s="133"/>
      <c r="E4910" s="17"/>
      <c r="F4910" s="133"/>
      <c r="G4910" s="133"/>
      <c r="H4910" s="133"/>
      <c r="I4910" s="133"/>
      <c r="J4910" s="133"/>
      <c r="K4910" s="133"/>
      <c r="L4910" s="133"/>
      <c r="M4910" s="133"/>
      <c r="N4910" s="133"/>
      <c r="O4910" s="133"/>
      <c r="P4910" s="134"/>
      <c r="Q4910" s="146"/>
      <c r="R4910" s="17"/>
      <c r="S4910" s="17"/>
      <c r="T4910" s="75"/>
      <c r="U4910" s="75"/>
      <c r="V4910" s="75"/>
      <c r="W4910" s="75"/>
      <c r="X4910" s="75"/>
    </row>
    <row r="4911">
      <c r="A4911" s="17"/>
      <c r="B4911" s="17"/>
      <c r="C4911" s="133"/>
      <c r="D4911" s="133"/>
      <c r="E4911" s="17"/>
      <c r="F4911" s="133"/>
      <c r="G4911" s="133"/>
      <c r="H4911" s="133"/>
      <c r="I4911" s="133"/>
      <c r="J4911" s="133"/>
      <c r="K4911" s="133"/>
      <c r="L4911" s="133"/>
      <c r="M4911" s="133"/>
      <c r="N4911" s="133"/>
      <c r="O4911" s="133"/>
      <c r="P4911" s="134"/>
      <c r="Q4911" s="146"/>
      <c r="R4911" s="17"/>
      <c r="S4911" s="17"/>
      <c r="T4911" s="75"/>
      <c r="U4911" s="75"/>
      <c r="V4911" s="75"/>
      <c r="W4911" s="75"/>
      <c r="X4911" s="75"/>
    </row>
    <row r="4912">
      <c r="A4912" s="17"/>
      <c r="B4912" s="17"/>
      <c r="C4912" s="133"/>
      <c r="D4912" s="133"/>
      <c r="E4912" s="17"/>
      <c r="F4912" s="133"/>
      <c r="G4912" s="133"/>
      <c r="H4912" s="133"/>
      <c r="I4912" s="133"/>
      <c r="J4912" s="133"/>
      <c r="K4912" s="133"/>
      <c r="L4912" s="133"/>
      <c r="M4912" s="133"/>
      <c r="N4912" s="133"/>
      <c r="O4912" s="133"/>
      <c r="P4912" s="134"/>
      <c r="Q4912" s="146"/>
      <c r="R4912" s="17"/>
      <c r="S4912" s="17"/>
      <c r="T4912" s="75"/>
      <c r="U4912" s="75"/>
      <c r="V4912" s="75"/>
      <c r="W4912" s="75"/>
      <c r="X4912" s="75"/>
    </row>
    <row r="4913">
      <c r="A4913" s="17"/>
      <c r="B4913" s="17"/>
      <c r="C4913" s="133"/>
      <c r="D4913" s="133"/>
      <c r="E4913" s="17"/>
      <c r="F4913" s="133"/>
      <c r="G4913" s="133"/>
      <c r="H4913" s="133"/>
      <c r="I4913" s="133"/>
      <c r="J4913" s="133"/>
      <c r="K4913" s="133"/>
      <c r="L4913" s="133"/>
      <c r="M4913" s="133"/>
      <c r="N4913" s="133"/>
      <c r="O4913" s="133"/>
      <c r="P4913" s="134"/>
      <c r="Q4913" s="146"/>
      <c r="R4913" s="17"/>
      <c r="S4913" s="17"/>
      <c r="T4913" s="75"/>
      <c r="U4913" s="75"/>
      <c r="V4913" s="75"/>
      <c r="W4913" s="75"/>
      <c r="X4913" s="75"/>
    </row>
    <row r="4914">
      <c r="A4914" s="17"/>
      <c r="B4914" s="17"/>
      <c r="C4914" s="133"/>
      <c r="D4914" s="133"/>
      <c r="E4914" s="17"/>
      <c r="F4914" s="133"/>
      <c r="G4914" s="133"/>
      <c r="H4914" s="133"/>
      <c r="I4914" s="133"/>
      <c r="J4914" s="133"/>
      <c r="K4914" s="133"/>
      <c r="L4914" s="133"/>
      <c r="M4914" s="133"/>
      <c r="N4914" s="133"/>
      <c r="O4914" s="133"/>
      <c r="P4914" s="134"/>
      <c r="Q4914" s="146"/>
      <c r="R4914" s="17"/>
      <c r="S4914" s="17"/>
      <c r="T4914" s="75"/>
      <c r="U4914" s="75"/>
      <c r="V4914" s="75"/>
      <c r="W4914" s="75"/>
      <c r="X4914" s="75"/>
    </row>
    <row r="4915">
      <c r="A4915" s="17"/>
      <c r="B4915" s="17"/>
      <c r="C4915" s="133"/>
      <c r="D4915" s="133"/>
      <c r="E4915" s="17"/>
      <c r="F4915" s="133"/>
      <c r="G4915" s="133"/>
      <c r="H4915" s="133"/>
      <c r="I4915" s="133"/>
      <c r="J4915" s="133"/>
      <c r="K4915" s="133"/>
      <c r="L4915" s="133"/>
      <c r="M4915" s="133"/>
      <c r="N4915" s="133"/>
      <c r="O4915" s="133"/>
      <c r="P4915" s="134"/>
      <c r="Q4915" s="146"/>
      <c r="R4915" s="17"/>
      <c r="S4915" s="17"/>
      <c r="T4915" s="75"/>
      <c r="U4915" s="75"/>
      <c r="V4915" s="75"/>
      <c r="W4915" s="75"/>
      <c r="X4915" s="75"/>
    </row>
    <row r="4916">
      <c r="A4916" s="17"/>
      <c r="B4916" s="17"/>
      <c r="C4916" s="133"/>
      <c r="D4916" s="133"/>
      <c r="E4916" s="17"/>
      <c r="F4916" s="133"/>
      <c r="G4916" s="133"/>
      <c r="H4916" s="133"/>
      <c r="I4916" s="133"/>
      <c r="J4916" s="133"/>
      <c r="K4916" s="133"/>
      <c r="L4916" s="133"/>
      <c r="M4916" s="133"/>
      <c r="N4916" s="133"/>
      <c r="O4916" s="133"/>
      <c r="P4916" s="134"/>
      <c r="Q4916" s="146"/>
      <c r="R4916" s="17"/>
      <c r="S4916" s="17"/>
      <c r="T4916" s="75"/>
      <c r="U4916" s="75"/>
      <c r="V4916" s="75"/>
      <c r="W4916" s="75"/>
      <c r="X4916" s="75"/>
    </row>
    <row r="4917">
      <c r="A4917" s="17"/>
      <c r="B4917" s="17"/>
      <c r="C4917" s="133"/>
      <c r="D4917" s="133"/>
      <c r="E4917" s="17"/>
      <c r="F4917" s="133"/>
      <c r="G4917" s="133"/>
      <c r="H4917" s="133"/>
      <c r="I4917" s="133"/>
      <c r="J4917" s="133"/>
      <c r="K4917" s="133"/>
      <c r="L4917" s="133"/>
      <c r="M4917" s="133"/>
      <c r="N4917" s="133"/>
      <c r="O4917" s="133"/>
      <c r="P4917" s="134"/>
      <c r="Q4917" s="146"/>
      <c r="R4917" s="17"/>
      <c r="S4917" s="17"/>
      <c r="T4917" s="75"/>
      <c r="U4917" s="75"/>
      <c r="V4917" s="75"/>
      <c r="W4917" s="75"/>
      <c r="X4917" s="75"/>
    </row>
    <row r="4918">
      <c r="A4918" s="17"/>
      <c r="B4918" s="17"/>
      <c r="C4918" s="133"/>
      <c r="D4918" s="133"/>
      <c r="E4918" s="17"/>
      <c r="F4918" s="133"/>
      <c r="G4918" s="133"/>
      <c r="H4918" s="133"/>
      <c r="I4918" s="133"/>
      <c r="J4918" s="133"/>
      <c r="K4918" s="133"/>
      <c r="L4918" s="133"/>
      <c r="M4918" s="133"/>
      <c r="N4918" s="133"/>
      <c r="O4918" s="133"/>
      <c r="P4918" s="134"/>
      <c r="Q4918" s="146"/>
      <c r="R4918" s="17"/>
      <c r="S4918" s="17"/>
      <c r="T4918" s="75"/>
      <c r="U4918" s="75"/>
      <c r="V4918" s="75"/>
      <c r="W4918" s="75"/>
      <c r="X4918" s="75"/>
    </row>
    <row r="4919">
      <c r="A4919" s="17"/>
      <c r="B4919" s="17"/>
      <c r="C4919" s="133"/>
      <c r="D4919" s="133"/>
      <c r="E4919" s="17"/>
      <c r="F4919" s="133"/>
      <c r="G4919" s="133"/>
      <c r="H4919" s="133"/>
      <c r="I4919" s="133"/>
      <c r="J4919" s="133"/>
      <c r="K4919" s="133"/>
      <c r="L4919" s="133"/>
      <c r="M4919" s="133"/>
      <c r="N4919" s="133"/>
      <c r="O4919" s="133"/>
      <c r="P4919" s="134"/>
      <c r="Q4919" s="146"/>
      <c r="R4919" s="17"/>
      <c r="S4919" s="17"/>
      <c r="T4919" s="75"/>
      <c r="U4919" s="75"/>
      <c r="V4919" s="75"/>
      <c r="W4919" s="75"/>
      <c r="X4919" s="75"/>
    </row>
    <row r="4920">
      <c r="A4920" s="17"/>
      <c r="B4920" s="17"/>
      <c r="C4920" s="133"/>
      <c r="D4920" s="133"/>
      <c r="E4920" s="17"/>
      <c r="F4920" s="133"/>
      <c r="G4920" s="133"/>
      <c r="H4920" s="133"/>
      <c r="I4920" s="133"/>
      <c r="J4920" s="133"/>
      <c r="K4920" s="133"/>
      <c r="L4920" s="133"/>
      <c r="M4920" s="133"/>
      <c r="N4920" s="133"/>
      <c r="O4920" s="133"/>
      <c r="P4920" s="134"/>
      <c r="Q4920" s="146"/>
      <c r="R4920" s="17"/>
      <c r="S4920" s="17"/>
      <c r="T4920" s="75"/>
      <c r="U4920" s="75"/>
      <c r="V4920" s="75"/>
      <c r="W4920" s="75"/>
      <c r="X4920" s="75"/>
    </row>
    <row r="4921">
      <c r="A4921" s="17"/>
      <c r="B4921" s="17"/>
      <c r="C4921" s="133"/>
      <c r="D4921" s="133"/>
      <c r="E4921" s="17"/>
      <c r="F4921" s="133"/>
      <c r="G4921" s="133"/>
      <c r="H4921" s="133"/>
      <c r="I4921" s="133"/>
      <c r="J4921" s="133"/>
      <c r="K4921" s="133"/>
      <c r="L4921" s="133"/>
      <c r="M4921" s="133"/>
      <c r="N4921" s="133"/>
      <c r="O4921" s="133"/>
      <c r="P4921" s="134"/>
      <c r="Q4921" s="146"/>
      <c r="R4921" s="17"/>
      <c r="S4921" s="17"/>
      <c r="T4921" s="75"/>
      <c r="U4921" s="75"/>
      <c r="V4921" s="75"/>
      <c r="W4921" s="75"/>
      <c r="X4921" s="75"/>
    </row>
    <row r="4922">
      <c r="A4922" s="17"/>
      <c r="B4922" s="17"/>
      <c r="C4922" s="133"/>
      <c r="D4922" s="133"/>
      <c r="E4922" s="17"/>
      <c r="F4922" s="133"/>
      <c r="G4922" s="133"/>
      <c r="H4922" s="133"/>
      <c r="I4922" s="133"/>
      <c r="J4922" s="133"/>
      <c r="K4922" s="133"/>
      <c r="L4922" s="133"/>
      <c r="M4922" s="133"/>
      <c r="N4922" s="133"/>
      <c r="O4922" s="133"/>
      <c r="P4922" s="134"/>
      <c r="Q4922" s="146"/>
      <c r="R4922" s="17"/>
      <c r="S4922" s="17"/>
      <c r="T4922" s="75"/>
      <c r="U4922" s="75"/>
      <c r="V4922" s="75"/>
      <c r="W4922" s="75"/>
      <c r="X4922" s="75"/>
    </row>
    <row r="4923">
      <c r="A4923" s="17"/>
      <c r="B4923" s="17"/>
      <c r="C4923" s="133"/>
      <c r="D4923" s="133"/>
      <c r="E4923" s="17"/>
      <c r="F4923" s="133"/>
      <c r="G4923" s="133"/>
      <c r="H4923" s="133"/>
      <c r="I4923" s="133"/>
      <c r="J4923" s="133"/>
      <c r="K4923" s="133"/>
      <c r="L4923" s="133"/>
      <c r="M4923" s="133"/>
      <c r="N4923" s="133"/>
      <c r="O4923" s="133"/>
      <c r="P4923" s="134"/>
      <c r="Q4923" s="146"/>
      <c r="R4923" s="17"/>
      <c r="S4923" s="17"/>
      <c r="T4923" s="75"/>
      <c r="U4923" s="75"/>
      <c r="V4923" s="75"/>
      <c r="W4923" s="75"/>
      <c r="X4923" s="75"/>
    </row>
    <row r="4924">
      <c r="A4924" s="17"/>
      <c r="B4924" s="17"/>
      <c r="C4924" s="133"/>
      <c r="D4924" s="133"/>
      <c r="E4924" s="17"/>
      <c r="F4924" s="133"/>
      <c r="G4924" s="133"/>
      <c r="H4924" s="133"/>
      <c r="I4924" s="133"/>
      <c r="J4924" s="133"/>
      <c r="K4924" s="133"/>
      <c r="L4924" s="133"/>
      <c r="M4924" s="133"/>
      <c r="N4924" s="133"/>
      <c r="O4924" s="133"/>
      <c r="P4924" s="134"/>
      <c r="Q4924" s="146"/>
      <c r="R4924" s="17"/>
      <c r="S4924" s="17"/>
      <c r="T4924" s="75"/>
      <c r="U4924" s="75"/>
      <c r="V4924" s="75"/>
      <c r="W4924" s="75"/>
      <c r="X4924" s="75"/>
    </row>
    <row r="4925">
      <c r="A4925" s="17"/>
      <c r="B4925" s="17"/>
      <c r="C4925" s="133"/>
      <c r="D4925" s="133"/>
      <c r="E4925" s="17"/>
      <c r="F4925" s="133"/>
      <c r="G4925" s="133"/>
      <c r="H4925" s="133"/>
      <c r="I4925" s="133"/>
      <c r="J4925" s="133"/>
      <c r="K4925" s="133"/>
      <c r="L4925" s="133"/>
      <c r="M4925" s="133"/>
      <c r="N4925" s="133"/>
      <c r="O4925" s="133"/>
      <c r="P4925" s="134"/>
      <c r="Q4925" s="146"/>
      <c r="R4925" s="17"/>
      <c r="S4925" s="17"/>
      <c r="T4925" s="75"/>
      <c r="U4925" s="75"/>
      <c r="V4925" s="75"/>
      <c r="W4925" s="75"/>
      <c r="X4925" s="75"/>
    </row>
    <row r="4926">
      <c r="A4926" s="17"/>
      <c r="B4926" s="17"/>
      <c r="C4926" s="133"/>
      <c r="D4926" s="133"/>
      <c r="E4926" s="17"/>
      <c r="F4926" s="133"/>
      <c r="G4926" s="133"/>
      <c r="H4926" s="133"/>
      <c r="I4926" s="133"/>
      <c r="J4926" s="133"/>
      <c r="K4926" s="133"/>
      <c r="L4926" s="133"/>
      <c r="M4926" s="133"/>
      <c r="N4926" s="133"/>
      <c r="O4926" s="133"/>
      <c r="P4926" s="134"/>
      <c r="Q4926" s="146"/>
      <c r="R4926" s="17"/>
      <c r="S4926" s="17"/>
      <c r="T4926" s="75"/>
      <c r="U4926" s="75"/>
      <c r="V4926" s="75"/>
      <c r="W4926" s="75"/>
      <c r="X4926" s="75"/>
    </row>
    <row r="4927">
      <c r="A4927" s="17"/>
      <c r="B4927" s="17"/>
      <c r="C4927" s="133"/>
      <c r="D4927" s="133"/>
      <c r="E4927" s="17"/>
      <c r="F4927" s="133"/>
      <c r="G4927" s="133"/>
      <c r="H4927" s="133"/>
      <c r="I4927" s="133"/>
      <c r="J4927" s="133"/>
      <c r="K4927" s="133"/>
      <c r="L4927" s="133"/>
      <c r="M4927" s="133"/>
      <c r="N4927" s="133"/>
      <c r="O4927" s="133"/>
      <c r="P4927" s="134"/>
      <c r="Q4927" s="146"/>
      <c r="R4927" s="17"/>
      <c r="S4927" s="17"/>
      <c r="T4927" s="75"/>
      <c r="U4927" s="75"/>
      <c r="V4927" s="75"/>
      <c r="W4927" s="75"/>
      <c r="X4927" s="75"/>
    </row>
    <row r="4928">
      <c r="A4928" s="17"/>
      <c r="B4928" s="17"/>
      <c r="C4928" s="133"/>
      <c r="D4928" s="133"/>
      <c r="E4928" s="17"/>
      <c r="F4928" s="133"/>
      <c r="G4928" s="133"/>
      <c r="H4928" s="133"/>
      <c r="I4928" s="133"/>
      <c r="J4928" s="133"/>
      <c r="K4928" s="133"/>
      <c r="L4928" s="133"/>
      <c r="M4928" s="133"/>
      <c r="N4928" s="133"/>
      <c r="O4928" s="133"/>
      <c r="P4928" s="134"/>
      <c r="Q4928" s="146"/>
      <c r="R4928" s="17"/>
      <c r="S4928" s="17"/>
      <c r="T4928" s="75"/>
      <c r="U4928" s="75"/>
      <c r="V4928" s="75"/>
      <c r="W4928" s="75"/>
      <c r="X4928" s="75"/>
    </row>
    <row r="4929">
      <c r="A4929" s="17"/>
      <c r="B4929" s="17"/>
      <c r="C4929" s="133"/>
      <c r="D4929" s="133"/>
      <c r="E4929" s="17"/>
      <c r="F4929" s="133"/>
      <c r="G4929" s="133"/>
      <c r="H4929" s="133"/>
      <c r="I4929" s="133"/>
      <c r="J4929" s="133"/>
      <c r="K4929" s="133"/>
      <c r="L4929" s="133"/>
      <c r="M4929" s="133"/>
      <c r="N4929" s="133"/>
      <c r="O4929" s="133"/>
      <c r="P4929" s="134"/>
      <c r="Q4929" s="146"/>
      <c r="R4929" s="17"/>
      <c r="S4929" s="17"/>
      <c r="T4929" s="75"/>
      <c r="U4929" s="75"/>
      <c r="V4929" s="75"/>
      <c r="W4929" s="75"/>
      <c r="X4929" s="75"/>
    </row>
    <row r="4930">
      <c r="A4930" s="17"/>
      <c r="B4930" s="17"/>
      <c r="C4930" s="133"/>
      <c r="D4930" s="133"/>
      <c r="E4930" s="17"/>
      <c r="F4930" s="133"/>
      <c r="G4930" s="133"/>
      <c r="H4930" s="133"/>
      <c r="I4930" s="133"/>
      <c r="J4930" s="133"/>
      <c r="K4930" s="133"/>
      <c r="L4930" s="133"/>
      <c r="M4930" s="133"/>
      <c r="N4930" s="133"/>
      <c r="O4930" s="133"/>
      <c r="P4930" s="134"/>
      <c r="Q4930" s="146"/>
      <c r="R4930" s="17"/>
      <c r="S4930" s="17"/>
      <c r="T4930" s="75"/>
      <c r="U4930" s="75"/>
      <c r="V4930" s="75"/>
      <c r="W4930" s="75"/>
      <c r="X4930" s="75"/>
    </row>
    <row r="4931">
      <c r="A4931" s="17"/>
      <c r="B4931" s="17"/>
      <c r="C4931" s="133"/>
      <c r="D4931" s="133"/>
      <c r="E4931" s="17"/>
      <c r="F4931" s="133"/>
      <c r="G4931" s="133"/>
      <c r="H4931" s="133"/>
      <c r="I4931" s="133"/>
      <c r="J4931" s="133"/>
      <c r="K4931" s="133"/>
      <c r="L4931" s="133"/>
      <c r="M4931" s="133"/>
      <c r="N4931" s="133"/>
      <c r="O4931" s="133"/>
      <c r="P4931" s="134"/>
      <c r="Q4931" s="146"/>
      <c r="R4931" s="17"/>
      <c r="S4931" s="17"/>
      <c r="T4931" s="75"/>
      <c r="U4931" s="75"/>
      <c r="V4931" s="75"/>
      <c r="W4931" s="75"/>
      <c r="X4931" s="75"/>
    </row>
    <row r="4932">
      <c r="A4932" s="17"/>
      <c r="B4932" s="17"/>
      <c r="C4932" s="133"/>
      <c r="D4932" s="133"/>
      <c r="E4932" s="17"/>
      <c r="F4932" s="133"/>
      <c r="G4932" s="133"/>
      <c r="H4932" s="133"/>
      <c r="I4932" s="133"/>
      <c r="J4932" s="133"/>
      <c r="K4932" s="133"/>
      <c r="L4932" s="133"/>
      <c r="M4932" s="133"/>
      <c r="N4932" s="133"/>
      <c r="O4932" s="133"/>
      <c r="P4932" s="134"/>
      <c r="Q4932" s="146"/>
      <c r="R4932" s="17"/>
      <c r="S4932" s="17"/>
      <c r="T4932" s="75"/>
      <c r="U4932" s="75"/>
      <c r="V4932" s="75"/>
      <c r="W4932" s="75"/>
      <c r="X4932" s="75"/>
    </row>
    <row r="4933">
      <c r="A4933" s="17"/>
      <c r="B4933" s="17"/>
      <c r="C4933" s="133"/>
      <c r="D4933" s="133"/>
      <c r="E4933" s="17"/>
      <c r="F4933" s="133"/>
      <c r="G4933" s="133"/>
      <c r="H4933" s="133"/>
      <c r="I4933" s="133"/>
      <c r="J4933" s="133"/>
      <c r="K4933" s="133"/>
      <c r="L4933" s="133"/>
      <c r="M4933" s="133"/>
      <c r="N4933" s="133"/>
      <c r="O4933" s="133"/>
      <c r="P4933" s="134"/>
      <c r="Q4933" s="146"/>
      <c r="R4933" s="17"/>
      <c r="S4933" s="17"/>
      <c r="T4933" s="75"/>
      <c r="U4933" s="75"/>
      <c r="V4933" s="75"/>
      <c r="W4933" s="75"/>
      <c r="X4933" s="75"/>
    </row>
    <row r="4934">
      <c r="A4934" s="17"/>
      <c r="B4934" s="17"/>
      <c r="C4934" s="133"/>
      <c r="D4934" s="133"/>
      <c r="E4934" s="17"/>
      <c r="F4934" s="133"/>
      <c r="G4934" s="133"/>
      <c r="H4934" s="133"/>
      <c r="I4934" s="133"/>
      <c r="J4934" s="133"/>
      <c r="K4934" s="133"/>
      <c r="L4934" s="133"/>
      <c r="M4934" s="133"/>
      <c r="N4934" s="133"/>
      <c r="O4934" s="133"/>
      <c r="P4934" s="134"/>
      <c r="Q4934" s="146"/>
      <c r="R4934" s="17"/>
      <c r="S4934" s="17"/>
      <c r="T4934" s="75"/>
      <c r="U4934" s="75"/>
      <c r="V4934" s="75"/>
      <c r="W4934" s="75"/>
      <c r="X4934" s="75"/>
    </row>
    <row r="4935">
      <c r="A4935" s="17"/>
      <c r="B4935" s="17"/>
      <c r="C4935" s="133"/>
      <c r="D4935" s="133"/>
      <c r="E4935" s="17"/>
      <c r="F4935" s="133"/>
      <c r="G4935" s="133"/>
      <c r="H4935" s="133"/>
      <c r="I4935" s="133"/>
      <c r="J4935" s="133"/>
      <c r="K4935" s="133"/>
      <c r="L4935" s="133"/>
      <c r="M4935" s="133"/>
      <c r="N4935" s="133"/>
      <c r="O4935" s="133"/>
      <c r="P4935" s="134"/>
      <c r="Q4935" s="146"/>
      <c r="R4935" s="17"/>
      <c r="S4935" s="17"/>
      <c r="T4935" s="75"/>
      <c r="U4935" s="75"/>
      <c r="V4935" s="75"/>
      <c r="W4935" s="75"/>
      <c r="X4935" s="75"/>
    </row>
    <row r="4936">
      <c r="A4936" s="17"/>
      <c r="B4936" s="17"/>
      <c r="C4936" s="133"/>
      <c r="D4936" s="133"/>
      <c r="E4936" s="17"/>
      <c r="F4936" s="133"/>
      <c r="G4936" s="133"/>
      <c r="H4936" s="133"/>
      <c r="I4936" s="133"/>
      <c r="J4936" s="133"/>
      <c r="K4936" s="133"/>
      <c r="L4936" s="133"/>
      <c r="M4936" s="133"/>
      <c r="N4936" s="133"/>
      <c r="O4936" s="133"/>
      <c r="P4936" s="134"/>
      <c r="Q4936" s="146"/>
      <c r="R4936" s="17"/>
      <c r="S4936" s="17"/>
      <c r="T4936" s="75"/>
      <c r="U4936" s="75"/>
      <c r="V4936" s="75"/>
      <c r="W4936" s="75"/>
      <c r="X4936" s="75"/>
    </row>
    <row r="4937">
      <c r="A4937" s="17"/>
      <c r="B4937" s="17"/>
      <c r="C4937" s="133"/>
      <c r="D4937" s="133"/>
      <c r="E4937" s="17"/>
      <c r="F4937" s="133"/>
      <c r="G4937" s="133"/>
      <c r="H4937" s="133"/>
      <c r="I4937" s="133"/>
      <c r="J4937" s="133"/>
      <c r="K4937" s="133"/>
      <c r="L4937" s="133"/>
      <c r="M4937" s="133"/>
      <c r="N4937" s="133"/>
      <c r="O4937" s="133"/>
      <c r="P4937" s="134"/>
      <c r="Q4937" s="146"/>
      <c r="R4937" s="17"/>
      <c r="S4937" s="17"/>
      <c r="T4937" s="75"/>
      <c r="U4937" s="75"/>
      <c r="V4937" s="75"/>
      <c r="W4937" s="75"/>
      <c r="X4937" s="75"/>
    </row>
    <row r="4938">
      <c r="A4938" s="17"/>
      <c r="B4938" s="17"/>
      <c r="C4938" s="133"/>
      <c r="D4938" s="133"/>
      <c r="E4938" s="17"/>
      <c r="F4938" s="133"/>
      <c r="G4938" s="133"/>
      <c r="H4938" s="133"/>
      <c r="I4938" s="133"/>
      <c r="J4938" s="133"/>
      <c r="K4938" s="133"/>
      <c r="L4938" s="133"/>
      <c r="M4938" s="133"/>
      <c r="N4938" s="133"/>
      <c r="O4938" s="133"/>
      <c r="P4938" s="134"/>
      <c r="Q4938" s="146"/>
      <c r="R4938" s="17"/>
      <c r="S4938" s="17"/>
      <c r="T4938" s="75"/>
      <c r="U4938" s="75"/>
      <c r="V4938" s="75"/>
      <c r="W4938" s="75"/>
      <c r="X4938" s="75"/>
    </row>
    <row r="4939">
      <c r="A4939" s="17"/>
      <c r="B4939" s="17"/>
      <c r="C4939" s="133"/>
      <c r="D4939" s="133"/>
      <c r="E4939" s="17"/>
      <c r="F4939" s="133"/>
      <c r="G4939" s="133"/>
      <c r="H4939" s="133"/>
      <c r="I4939" s="133"/>
      <c r="J4939" s="133"/>
      <c r="K4939" s="133"/>
      <c r="L4939" s="133"/>
      <c r="M4939" s="133"/>
      <c r="N4939" s="133"/>
      <c r="O4939" s="133"/>
      <c r="P4939" s="134"/>
      <c r="Q4939" s="146"/>
      <c r="R4939" s="17"/>
      <c r="S4939" s="17"/>
      <c r="T4939" s="75"/>
      <c r="U4939" s="75"/>
      <c r="V4939" s="75"/>
      <c r="W4939" s="75"/>
      <c r="X4939" s="75"/>
    </row>
    <row r="4940">
      <c r="A4940" s="17"/>
      <c r="B4940" s="17"/>
      <c r="C4940" s="133"/>
      <c r="D4940" s="133"/>
      <c r="E4940" s="17"/>
      <c r="F4940" s="133"/>
      <c r="G4940" s="133"/>
      <c r="H4940" s="133"/>
      <c r="I4940" s="133"/>
      <c r="J4940" s="133"/>
      <c r="K4940" s="133"/>
      <c r="L4940" s="133"/>
      <c r="M4940" s="133"/>
      <c r="N4940" s="133"/>
      <c r="O4940" s="133"/>
      <c r="P4940" s="134"/>
      <c r="Q4940" s="146"/>
      <c r="R4940" s="17"/>
      <c r="S4940" s="17"/>
      <c r="T4940" s="75"/>
      <c r="U4940" s="75"/>
      <c r="V4940" s="75"/>
      <c r="W4940" s="75"/>
      <c r="X4940" s="75"/>
    </row>
    <row r="4941">
      <c r="A4941" s="17"/>
      <c r="B4941" s="17"/>
      <c r="C4941" s="133"/>
      <c r="D4941" s="133"/>
      <c r="E4941" s="17"/>
      <c r="F4941" s="133"/>
      <c r="G4941" s="133"/>
      <c r="H4941" s="133"/>
      <c r="I4941" s="133"/>
      <c r="J4941" s="133"/>
      <c r="K4941" s="133"/>
      <c r="L4941" s="133"/>
      <c r="M4941" s="133"/>
      <c r="N4941" s="133"/>
      <c r="O4941" s="133"/>
      <c r="P4941" s="134"/>
      <c r="Q4941" s="146"/>
      <c r="R4941" s="17"/>
      <c r="S4941" s="17"/>
      <c r="T4941" s="75"/>
      <c r="U4941" s="75"/>
      <c r="V4941" s="75"/>
      <c r="W4941" s="75"/>
      <c r="X4941" s="75"/>
    </row>
    <row r="4942">
      <c r="A4942" s="17"/>
      <c r="B4942" s="17"/>
      <c r="C4942" s="133"/>
      <c r="D4942" s="133"/>
      <c r="E4942" s="17"/>
      <c r="F4942" s="133"/>
      <c r="G4942" s="133"/>
      <c r="H4942" s="133"/>
      <c r="I4942" s="133"/>
      <c r="J4942" s="133"/>
      <c r="K4942" s="133"/>
      <c r="L4942" s="133"/>
      <c r="M4942" s="133"/>
      <c r="N4942" s="133"/>
      <c r="O4942" s="133"/>
      <c r="P4942" s="134"/>
      <c r="Q4942" s="146"/>
      <c r="R4942" s="17"/>
      <c r="S4942" s="17"/>
      <c r="T4942" s="75"/>
      <c r="U4942" s="75"/>
      <c r="V4942" s="75"/>
      <c r="W4942" s="75"/>
      <c r="X4942" s="75"/>
    </row>
    <row r="4943">
      <c r="A4943" s="17"/>
      <c r="B4943" s="17"/>
      <c r="C4943" s="133"/>
      <c r="D4943" s="133"/>
      <c r="E4943" s="17"/>
      <c r="F4943" s="133"/>
      <c r="G4943" s="133"/>
      <c r="H4943" s="133"/>
      <c r="I4943" s="133"/>
      <c r="J4943" s="133"/>
      <c r="K4943" s="133"/>
      <c r="L4943" s="133"/>
      <c r="M4943" s="133"/>
      <c r="N4943" s="133"/>
      <c r="O4943" s="133"/>
      <c r="P4943" s="134"/>
      <c r="Q4943" s="146"/>
      <c r="R4943" s="17"/>
      <c r="S4943" s="17"/>
      <c r="T4943" s="75"/>
      <c r="U4943" s="75"/>
      <c r="V4943" s="75"/>
      <c r="W4943" s="75"/>
      <c r="X4943" s="75"/>
    </row>
    <row r="4944">
      <c r="A4944" s="17"/>
      <c r="B4944" s="17"/>
      <c r="C4944" s="133"/>
      <c r="D4944" s="133"/>
      <c r="E4944" s="17"/>
      <c r="F4944" s="133"/>
      <c r="G4944" s="133"/>
      <c r="H4944" s="133"/>
      <c r="I4944" s="133"/>
      <c r="J4944" s="133"/>
      <c r="K4944" s="133"/>
      <c r="L4944" s="133"/>
      <c r="M4944" s="133"/>
      <c r="N4944" s="133"/>
      <c r="O4944" s="133"/>
      <c r="P4944" s="134"/>
      <c r="Q4944" s="146"/>
      <c r="R4944" s="17"/>
      <c r="S4944" s="17"/>
      <c r="T4944" s="75"/>
      <c r="U4944" s="75"/>
      <c r="V4944" s="75"/>
      <c r="W4944" s="75"/>
      <c r="X4944" s="75"/>
    </row>
    <row r="4945">
      <c r="A4945" s="17"/>
      <c r="B4945" s="17"/>
      <c r="C4945" s="133"/>
      <c r="D4945" s="133"/>
      <c r="E4945" s="17"/>
      <c r="F4945" s="133"/>
      <c r="G4945" s="133"/>
      <c r="H4945" s="133"/>
      <c r="I4945" s="133"/>
      <c r="J4945" s="133"/>
      <c r="K4945" s="133"/>
      <c r="L4945" s="133"/>
      <c r="M4945" s="133"/>
      <c r="N4945" s="133"/>
      <c r="O4945" s="133"/>
      <c r="P4945" s="134"/>
      <c r="Q4945" s="146"/>
      <c r="R4945" s="17"/>
      <c r="S4945" s="17"/>
      <c r="T4945" s="75"/>
      <c r="U4945" s="75"/>
      <c r="V4945" s="75"/>
      <c r="W4945" s="75"/>
      <c r="X4945" s="75"/>
    </row>
    <row r="4946">
      <c r="A4946" s="17"/>
      <c r="B4946" s="17"/>
      <c r="C4946" s="133"/>
      <c r="D4946" s="133"/>
      <c r="E4946" s="17"/>
      <c r="F4946" s="133"/>
      <c r="G4946" s="133"/>
      <c r="H4946" s="133"/>
      <c r="I4946" s="133"/>
      <c r="J4946" s="133"/>
      <c r="K4946" s="133"/>
      <c r="L4946" s="133"/>
      <c r="M4946" s="133"/>
      <c r="N4946" s="133"/>
      <c r="O4946" s="133"/>
      <c r="P4946" s="134"/>
      <c r="Q4946" s="146"/>
      <c r="R4946" s="17"/>
      <c r="S4946" s="17"/>
      <c r="T4946" s="75"/>
      <c r="U4946" s="75"/>
      <c r="V4946" s="75"/>
      <c r="W4946" s="75"/>
      <c r="X4946" s="75"/>
    </row>
    <row r="4947">
      <c r="A4947" s="17"/>
      <c r="B4947" s="17"/>
      <c r="C4947" s="133"/>
      <c r="D4947" s="133"/>
      <c r="E4947" s="17"/>
      <c r="F4947" s="133"/>
      <c r="G4947" s="133"/>
      <c r="H4947" s="133"/>
      <c r="I4947" s="133"/>
      <c r="J4947" s="133"/>
      <c r="K4947" s="133"/>
      <c r="L4947" s="133"/>
      <c r="M4947" s="133"/>
      <c r="N4947" s="133"/>
      <c r="O4947" s="133"/>
      <c r="P4947" s="134"/>
      <c r="Q4947" s="146"/>
      <c r="R4947" s="17"/>
      <c r="S4947" s="17"/>
      <c r="T4947" s="75"/>
      <c r="U4947" s="75"/>
      <c r="V4947" s="75"/>
      <c r="W4947" s="75"/>
      <c r="X4947" s="75"/>
    </row>
    <row r="4948">
      <c r="A4948" s="17"/>
      <c r="B4948" s="17"/>
      <c r="C4948" s="133"/>
      <c r="D4948" s="133"/>
      <c r="E4948" s="17"/>
      <c r="F4948" s="133"/>
      <c r="G4948" s="133"/>
      <c r="H4948" s="133"/>
      <c r="I4948" s="133"/>
      <c r="J4948" s="133"/>
      <c r="K4948" s="133"/>
      <c r="L4948" s="133"/>
      <c r="M4948" s="133"/>
      <c r="N4948" s="133"/>
      <c r="O4948" s="133"/>
      <c r="P4948" s="134"/>
      <c r="Q4948" s="146"/>
      <c r="R4948" s="17"/>
      <c r="S4948" s="17"/>
      <c r="T4948" s="75"/>
      <c r="U4948" s="75"/>
      <c r="V4948" s="75"/>
      <c r="W4948" s="75"/>
      <c r="X4948" s="75"/>
    </row>
    <row r="4949">
      <c r="A4949" s="17"/>
      <c r="B4949" s="17"/>
      <c r="C4949" s="133"/>
      <c r="D4949" s="133"/>
      <c r="E4949" s="17"/>
      <c r="F4949" s="133"/>
      <c r="G4949" s="133"/>
      <c r="H4949" s="133"/>
      <c r="I4949" s="133"/>
      <c r="J4949" s="133"/>
      <c r="K4949" s="133"/>
      <c r="L4949" s="133"/>
      <c r="M4949" s="133"/>
      <c r="N4949" s="133"/>
      <c r="O4949" s="133"/>
      <c r="P4949" s="134"/>
      <c r="Q4949" s="146"/>
      <c r="R4949" s="17"/>
      <c r="S4949" s="17"/>
      <c r="T4949" s="75"/>
      <c r="U4949" s="75"/>
      <c r="V4949" s="75"/>
      <c r="W4949" s="75"/>
      <c r="X4949" s="75"/>
    </row>
    <row r="4950">
      <c r="A4950" s="17"/>
      <c r="B4950" s="17"/>
      <c r="C4950" s="133"/>
      <c r="D4950" s="133"/>
      <c r="E4950" s="17"/>
      <c r="F4950" s="133"/>
      <c r="G4950" s="133"/>
      <c r="H4950" s="133"/>
      <c r="I4950" s="133"/>
      <c r="J4950" s="133"/>
      <c r="K4950" s="133"/>
      <c r="L4950" s="133"/>
      <c r="M4950" s="133"/>
      <c r="N4950" s="133"/>
      <c r="O4950" s="133"/>
      <c r="P4950" s="134"/>
      <c r="Q4950" s="146"/>
      <c r="R4950" s="17"/>
      <c r="S4950" s="17"/>
      <c r="T4950" s="75"/>
      <c r="U4950" s="75"/>
      <c r="V4950" s="75"/>
      <c r="W4950" s="75"/>
      <c r="X4950" s="75"/>
    </row>
    <row r="4951">
      <c r="A4951" s="17"/>
      <c r="B4951" s="17"/>
      <c r="C4951" s="133"/>
      <c r="D4951" s="133"/>
      <c r="E4951" s="17"/>
      <c r="F4951" s="133"/>
      <c r="G4951" s="133"/>
      <c r="H4951" s="133"/>
      <c r="I4951" s="133"/>
      <c r="J4951" s="133"/>
      <c r="K4951" s="133"/>
      <c r="L4951" s="133"/>
      <c r="M4951" s="133"/>
      <c r="N4951" s="133"/>
      <c r="O4951" s="133"/>
      <c r="P4951" s="134"/>
      <c r="Q4951" s="146"/>
      <c r="R4951" s="17"/>
      <c r="S4951" s="17"/>
      <c r="T4951" s="75"/>
      <c r="U4951" s="75"/>
      <c r="V4951" s="75"/>
      <c r="W4951" s="75"/>
      <c r="X4951" s="75"/>
    </row>
    <row r="4952">
      <c r="A4952" s="17"/>
      <c r="B4952" s="17"/>
      <c r="C4952" s="133"/>
      <c r="D4952" s="133"/>
      <c r="E4952" s="17"/>
      <c r="F4952" s="133"/>
      <c r="G4952" s="133"/>
      <c r="H4952" s="133"/>
      <c r="I4952" s="133"/>
      <c r="J4952" s="133"/>
      <c r="K4952" s="133"/>
      <c r="L4952" s="133"/>
      <c r="M4952" s="133"/>
      <c r="N4952" s="133"/>
      <c r="O4952" s="133"/>
      <c r="P4952" s="134"/>
      <c r="Q4952" s="146"/>
      <c r="R4952" s="17"/>
      <c r="S4952" s="17"/>
      <c r="T4952" s="75"/>
      <c r="U4952" s="75"/>
      <c r="V4952" s="75"/>
      <c r="W4952" s="75"/>
      <c r="X4952" s="75"/>
    </row>
    <row r="4953">
      <c r="A4953" s="17"/>
      <c r="B4953" s="17"/>
      <c r="C4953" s="133"/>
      <c r="D4953" s="133"/>
      <c r="E4953" s="17"/>
      <c r="F4953" s="133"/>
      <c r="G4953" s="133"/>
      <c r="H4953" s="133"/>
      <c r="I4953" s="133"/>
      <c r="J4953" s="133"/>
      <c r="K4953" s="133"/>
      <c r="L4953" s="133"/>
      <c r="M4953" s="133"/>
      <c r="N4953" s="133"/>
      <c r="O4953" s="133"/>
      <c r="P4953" s="134"/>
      <c r="Q4953" s="146"/>
      <c r="R4953" s="17"/>
      <c r="S4953" s="17"/>
      <c r="T4953" s="75"/>
      <c r="U4953" s="75"/>
      <c r="V4953" s="75"/>
      <c r="W4953" s="75"/>
      <c r="X4953" s="75"/>
    </row>
    <row r="4954">
      <c r="A4954" s="17"/>
      <c r="B4954" s="17"/>
      <c r="C4954" s="133"/>
      <c r="D4954" s="133"/>
      <c r="E4954" s="17"/>
      <c r="F4954" s="133"/>
      <c r="G4954" s="133"/>
      <c r="H4954" s="133"/>
      <c r="I4954" s="133"/>
      <c r="J4954" s="133"/>
      <c r="K4954" s="133"/>
      <c r="L4954" s="133"/>
      <c r="M4954" s="133"/>
      <c r="N4954" s="133"/>
      <c r="O4954" s="133"/>
      <c r="P4954" s="134"/>
      <c r="Q4954" s="146"/>
      <c r="R4954" s="17"/>
      <c r="S4954" s="17"/>
      <c r="T4954" s="75"/>
      <c r="U4954" s="75"/>
      <c r="V4954" s="75"/>
      <c r="W4954" s="75"/>
      <c r="X4954" s="75"/>
    </row>
    <row r="4955">
      <c r="A4955" s="17"/>
      <c r="B4955" s="17"/>
      <c r="C4955" s="133"/>
      <c r="D4955" s="133"/>
      <c r="E4955" s="17"/>
      <c r="F4955" s="133"/>
      <c r="G4955" s="133"/>
      <c r="H4955" s="133"/>
      <c r="I4955" s="133"/>
      <c r="J4955" s="133"/>
      <c r="K4955" s="133"/>
      <c r="L4955" s="133"/>
      <c r="M4955" s="133"/>
      <c r="N4955" s="133"/>
      <c r="O4955" s="133"/>
      <c r="P4955" s="134"/>
      <c r="Q4955" s="146"/>
      <c r="R4955" s="17"/>
      <c r="S4955" s="17"/>
      <c r="T4955" s="75"/>
      <c r="U4955" s="75"/>
      <c r="V4955" s="75"/>
      <c r="W4955" s="75"/>
      <c r="X4955" s="75"/>
    </row>
    <row r="4956">
      <c r="A4956" s="17"/>
      <c r="B4956" s="17"/>
      <c r="C4956" s="133"/>
      <c r="D4956" s="133"/>
      <c r="E4956" s="17"/>
      <c r="F4956" s="133"/>
      <c r="G4956" s="133"/>
      <c r="H4956" s="133"/>
      <c r="I4956" s="133"/>
      <c r="J4956" s="133"/>
      <c r="K4956" s="133"/>
      <c r="L4956" s="133"/>
      <c r="M4956" s="133"/>
      <c r="N4956" s="133"/>
      <c r="O4956" s="133"/>
      <c r="P4956" s="134"/>
      <c r="Q4956" s="146"/>
      <c r="R4956" s="17"/>
      <c r="S4956" s="17"/>
      <c r="T4956" s="75"/>
      <c r="U4956" s="75"/>
      <c r="V4956" s="75"/>
      <c r="W4956" s="75"/>
      <c r="X4956" s="75"/>
    </row>
    <row r="4957">
      <c r="A4957" s="17"/>
      <c r="B4957" s="17"/>
      <c r="C4957" s="133"/>
      <c r="D4957" s="133"/>
      <c r="E4957" s="17"/>
      <c r="F4957" s="133"/>
      <c r="G4957" s="133"/>
      <c r="H4957" s="133"/>
      <c r="I4957" s="133"/>
      <c r="J4957" s="133"/>
      <c r="K4957" s="133"/>
      <c r="L4957" s="133"/>
      <c r="M4957" s="133"/>
      <c r="N4957" s="133"/>
      <c r="O4957" s="133"/>
      <c r="P4957" s="134"/>
      <c r="Q4957" s="146"/>
      <c r="R4957" s="17"/>
      <c r="S4957" s="17"/>
      <c r="T4957" s="75"/>
      <c r="U4957" s="75"/>
      <c r="V4957" s="75"/>
      <c r="W4957" s="75"/>
      <c r="X4957" s="75"/>
    </row>
    <row r="4958">
      <c r="A4958" s="17"/>
      <c r="B4958" s="17"/>
      <c r="C4958" s="133"/>
      <c r="D4958" s="133"/>
      <c r="E4958" s="17"/>
      <c r="F4958" s="133"/>
      <c r="G4958" s="133"/>
      <c r="H4958" s="133"/>
      <c r="I4958" s="133"/>
      <c r="J4958" s="133"/>
      <c r="K4958" s="133"/>
      <c r="L4958" s="133"/>
      <c r="M4958" s="133"/>
      <c r="N4958" s="133"/>
      <c r="O4958" s="133"/>
      <c r="P4958" s="134"/>
      <c r="Q4958" s="146"/>
      <c r="R4958" s="17"/>
      <c r="S4958" s="17"/>
      <c r="T4958" s="75"/>
      <c r="U4958" s="75"/>
      <c r="V4958" s="75"/>
      <c r="W4958" s="75"/>
      <c r="X4958" s="75"/>
    </row>
    <row r="4959">
      <c r="A4959" s="17"/>
      <c r="B4959" s="17"/>
      <c r="C4959" s="133"/>
      <c r="D4959" s="133"/>
      <c r="E4959" s="17"/>
      <c r="F4959" s="133"/>
      <c r="G4959" s="133"/>
      <c r="H4959" s="133"/>
      <c r="I4959" s="133"/>
      <c r="J4959" s="133"/>
      <c r="K4959" s="133"/>
      <c r="L4959" s="133"/>
      <c r="M4959" s="133"/>
      <c r="N4959" s="133"/>
      <c r="O4959" s="133"/>
      <c r="P4959" s="134"/>
      <c r="Q4959" s="146"/>
      <c r="R4959" s="17"/>
      <c r="S4959" s="17"/>
      <c r="T4959" s="75"/>
      <c r="U4959" s="75"/>
      <c r="V4959" s="75"/>
      <c r="W4959" s="75"/>
      <c r="X4959" s="75"/>
    </row>
    <row r="4960">
      <c r="A4960" s="17"/>
      <c r="B4960" s="17"/>
      <c r="C4960" s="133"/>
      <c r="D4960" s="133"/>
      <c r="E4960" s="17"/>
      <c r="F4960" s="133"/>
      <c r="G4960" s="133"/>
      <c r="H4960" s="133"/>
      <c r="I4960" s="133"/>
      <c r="J4960" s="133"/>
      <c r="K4960" s="133"/>
      <c r="L4960" s="133"/>
      <c r="M4960" s="133"/>
      <c r="N4960" s="133"/>
      <c r="O4960" s="133"/>
      <c r="P4960" s="134"/>
      <c r="Q4960" s="146"/>
      <c r="R4960" s="17"/>
      <c r="S4960" s="17"/>
      <c r="T4960" s="75"/>
      <c r="U4960" s="75"/>
      <c r="V4960" s="75"/>
      <c r="W4960" s="75"/>
      <c r="X4960" s="75"/>
    </row>
    <row r="4961">
      <c r="A4961" s="17"/>
      <c r="B4961" s="17"/>
      <c r="C4961" s="133"/>
      <c r="D4961" s="133"/>
      <c r="E4961" s="17"/>
      <c r="F4961" s="133"/>
      <c r="G4961" s="133"/>
      <c r="H4961" s="133"/>
      <c r="I4961" s="133"/>
      <c r="J4961" s="133"/>
      <c r="K4961" s="133"/>
      <c r="L4961" s="133"/>
      <c r="M4961" s="133"/>
      <c r="N4961" s="133"/>
      <c r="O4961" s="133"/>
      <c r="P4961" s="134"/>
      <c r="Q4961" s="146"/>
      <c r="R4961" s="17"/>
      <c r="S4961" s="17"/>
      <c r="T4961" s="75"/>
      <c r="U4961" s="75"/>
      <c r="V4961" s="75"/>
      <c r="W4961" s="75"/>
      <c r="X4961" s="75"/>
    </row>
    <row r="4962">
      <c r="A4962" s="17"/>
      <c r="B4962" s="17"/>
      <c r="C4962" s="133"/>
      <c r="D4962" s="133"/>
      <c r="E4962" s="17"/>
      <c r="F4962" s="133"/>
      <c r="G4962" s="133"/>
      <c r="H4962" s="133"/>
      <c r="I4962" s="133"/>
      <c r="J4962" s="133"/>
      <c r="K4962" s="133"/>
      <c r="L4962" s="133"/>
      <c r="M4962" s="133"/>
      <c r="N4962" s="133"/>
      <c r="O4962" s="133"/>
      <c r="P4962" s="134"/>
      <c r="Q4962" s="146"/>
      <c r="R4962" s="17"/>
      <c r="S4962" s="17"/>
      <c r="T4962" s="75"/>
      <c r="U4962" s="75"/>
      <c r="V4962" s="75"/>
      <c r="W4962" s="75"/>
      <c r="X4962" s="75"/>
    </row>
    <row r="4963">
      <c r="A4963" s="17"/>
      <c r="B4963" s="17"/>
      <c r="C4963" s="133"/>
      <c r="D4963" s="133"/>
      <c r="E4963" s="17"/>
      <c r="F4963" s="133"/>
      <c r="G4963" s="133"/>
      <c r="H4963" s="133"/>
      <c r="I4963" s="133"/>
      <c r="J4963" s="133"/>
      <c r="K4963" s="133"/>
      <c r="L4963" s="133"/>
      <c r="M4963" s="133"/>
      <c r="N4963" s="133"/>
      <c r="O4963" s="133"/>
      <c r="P4963" s="134"/>
      <c r="Q4963" s="146"/>
      <c r="R4963" s="17"/>
      <c r="S4963" s="17"/>
      <c r="T4963" s="75"/>
      <c r="U4963" s="75"/>
      <c r="V4963" s="75"/>
      <c r="W4963" s="75"/>
      <c r="X4963" s="75"/>
    </row>
    <row r="4964">
      <c r="A4964" s="17"/>
      <c r="B4964" s="17"/>
      <c r="C4964" s="133"/>
      <c r="D4964" s="133"/>
      <c r="E4964" s="17"/>
      <c r="F4964" s="133"/>
      <c r="G4964" s="133"/>
      <c r="H4964" s="133"/>
      <c r="I4964" s="133"/>
      <c r="J4964" s="133"/>
      <c r="K4964" s="133"/>
      <c r="L4964" s="133"/>
      <c r="M4964" s="133"/>
      <c r="N4964" s="133"/>
      <c r="O4964" s="133"/>
      <c r="P4964" s="134"/>
      <c r="Q4964" s="146"/>
      <c r="R4964" s="17"/>
      <c r="S4964" s="17"/>
      <c r="T4964" s="75"/>
      <c r="U4964" s="75"/>
      <c r="V4964" s="75"/>
      <c r="W4964" s="75"/>
      <c r="X4964" s="75"/>
    </row>
    <row r="4965">
      <c r="A4965" s="17"/>
      <c r="B4965" s="17"/>
      <c r="C4965" s="133"/>
      <c r="D4965" s="133"/>
      <c r="E4965" s="17"/>
      <c r="F4965" s="133"/>
      <c r="G4965" s="133"/>
      <c r="H4965" s="133"/>
      <c r="I4965" s="133"/>
      <c r="J4965" s="133"/>
      <c r="K4965" s="133"/>
      <c r="L4965" s="133"/>
      <c r="M4965" s="133"/>
      <c r="N4965" s="133"/>
      <c r="O4965" s="133"/>
      <c r="P4965" s="134"/>
      <c r="Q4965" s="146"/>
      <c r="R4965" s="17"/>
      <c r="S4965" s="17"/>
      <c r="T4965" s="75"/>
      <c r="U4965" s="75"/>
      <c r="V4965" s="75"/>
      <c r="W4965" s="75"/>
      <c r="X4965" s="75"/>
    </row>
    <row r="4966">
      <c r="A4966" s="17"/>
      <c r="B4966" s="17"/>
      <c r="C4966" s="133"/>
      <c r="D4966" s="133"/>
      <c r="E4966" s="17"/>
      <c r="F4966" s="133"/>
      <c r="G4966" s="133"/>
      <c r="H4966" s="133"/>
      <c r="I4966" s="133"/>
      <c r="J4966" s="133"/>
      <c r="K4966" s="133"/>
      <c r="L4966" s="133"/>
      <c r="M4966" s="133"/>
      <c r="N4966" s="133"/>
      <c r="O4966" s="133"/>
      <c r="P4966" s="134"/>
      <c r="Q4966" s="146"/>
      <c r="R4966" s="17"/>
      <c r="S4966" s="17"/>
      <c r="T4966" s="75"/>
      <c r="U4966" s="75"/>
      <c r="V4966" s="75"/>
      <c r="W4966" s="75"/>
      <c r="X4966" s="75"/>
    </row>
    <row r="4967">
      <c r="A4967" s="17"/>
      <c r="B4967" s="17"/>
      <c r="C4967" s="133"/>
      <c r="D4967" s="133"/>
      <c r="E4967" s="17"/>
      <c r="F4967" s="133"/>
      <c r="G4967" s="133"/>
      <c r="H4967" s="133"/>
      <c r="I4967" s="133"/>
      <c r="J4967" s="133"/>
      <c r="K4967" s="133"/>
      <c r="L4967" s="133"/>
      <c r="M4967" s="133"/>
      <c r="N4967" s="133"/>
      <c r="O4967" s="133"/>
      <c r="P4967" s="134"/>
      <c r="Q4967" s="146"/>
      <c r="R4967" s="17"/>
      <c r="S4967" s="17"/>
      <c r="T4967" s="75"/>
      <c r="U4967" s="75"/>
      <c r="V4967" s="75"/>
      <c r="W4967" s="75"/>
      <c r="X4967" s="75"/>
    </row>
    <row r="4968">
      <c r="A4968" s="17"/>
      <c r="B4968" s="17"/>
      <c r="C4968" s="133"/>
      <c r="D4968" s="133"/>
      <c r="E4968" s="17"/>
      <c r="F4968" s="133"/>
      <c r="G4968" s="133"/>
      <c r="H4968" s="133"/>
      <c r="I4968" s="133"/>
      <c r="J4968" s="133"/>
      <c r="K4968" s="133"/>
      <c r="L4968" s="133"/>
      <c r="M4968" s="133"/>
      <c r="N4968" s="133"/>
      <c r="O4968" s="133"/>
      <c r="P4968" s="134"/>
      <c r="Q4968" s="146"/>
      <c r="R4968" s="17"/>
      <c r="S4968" s="17"/>
      <c r="T4968" s="75"/>
      <c r="U4968" s="75"/>
      <c r="V4968" s="75"/>
      <c r="W4968" s="75"/>
      <c r="X4968" s="75"/>
    </row>
    <row r="4969">
      <c r="A4969" s="17"/>
      <c r="B4969" s="17"/>
      <c r="C4969" s="133"/>
      <c r="D4969" s="133"/>
      <c r="E4969" s="17"/>
      <c r="F4969" s="133"/>
      <c r="G4969" s="133"/>
      <c r="H4969" s="133"/>
      <c r="I4969" s="133"/>
      <c r="J4969" s="133"/>
      <c r="K4969" s="133"/>
      <c r="L4969" s="133"/>
      <c r="M4969" s="133"/>
      <c r="N4969" s="133"/>
      <c r="O4969" s="133"/>
      <c r="P4969" s="134"/>
      <c r="Q4969" s="146"/>
      <c r="R4969" s="17"/>
      <c r="S4969" s="17"/>
      <c r="T4969" s="75"/>
      <c r="U4969" s="75"/>
      <c r="V4969" s="75"/>
      <c r="W4969" s="75"/>
      <c r="X4969" s="75"/>
    </row>
    <row r="4970">
      <c r="A4970" s="17"/>
      <c r="B4970" s="17"/>
      <c r="C4970" s="133"/>
      <c r="D4970" s="133"/>
      <c r="E4970" s="17"/>
      <c r="F4970" s="133"/>
      <c r="G4970" s="133"/>
      <c r="H4970" s="133"/>
      <c r="I4970" s="133"/>
      <c r="J4970" s="133"/>
      <c r="K4970" s="133"/>
      <c r="L4970" s="133"/>
      <c r="M4970" s="133"/>
      <c r="N4970" s="133"/>
      <c r="O4970" s="133"/>
      <c r="P4970" s="134"/>
      <c r="Q4970" s="146"/>
      <c r="R4970" s="17"/>
      <c r="S4970" s="17"/>
      <c r="T4970" s="75"/>
      <c r="U4970" s="75"/>
      <c r="V4970" s="75"/>
      <c r="W4970" s="75"/>
      <c r="X4970" s="75"/>
    </row>
    <row r="4971">
      <c r="A4971" s="17"/>
      <c r="B4971" s="17"/>
      <c r="C4971" s="133"/>
      <c r="D4971" s="133"/>
      <c r="E4971" s="17"/>
      <c r="F4971" s="133"/>
      <c r="G4971" s="133"/>
      <c r="H4971" s="133"/>
      <c r="I4971" s="133"/>
      <c r="J4971" s="133"/>
      <c r="K4971" s="133"/>
      <c r="L4971" s="133"/>
      <c r="M4971" s="133"/>
      <c r="N4971" s="133"/>
      <c r="O4971" s="133"/>
      <c r="P4971" s="134"/>
      <c r="Q4971" s="146"/>
      <c r="R4971" s="17"/>
      <c r="S4971" s="17"/>
      <c r="T4971" s="75"/>
      <c r="U4971" s="75"/>
      <c r="V4971" s="75"/>
      <c r="W4971" s="75"/>
      <c r="X4971" s="75"/>
    </row>
    <row r="4972">
      <c r="A4972" s="17"/>
      <c r="B4972" s="17"/>
      <c r="C4972" s="133"/>
      <c r="D4972" s="133"/>
      <c r="E4972" s="17"/>
      <c r="F4972" s="133"/>
      <c r="G4972" s="133"/>
      <c r="H4972" s="133"/>
      <c r="I4972" s="133"/>
      <c r="J4972" s="133"/>
      <c r="K4972" s="133"/>
      <c r="L4972" s="133"/>
      <c r="M4972" s="133"/>
      <c r="N4972" s="133"/>
      <c r="O4972" s="133"/>
      <c r="P4972" s="134"/>
      <c r="Q4972" s="146"/>
      <c r="R4972" s="17"/>
      <c r="S4972" s="17"/>
      <c r="T4972" s="75"/>
      <c r="U4972" s="75"/>
      <c r="V4972" s="75"/>
      <c r="W4972" s="75"/>
      <c r="X4972" s="75"/>
    </row>
    <row r="4973">
      <c r="A4973" s="17"/>
      <c r="B4973" s="17"/>
      <c r="C4973" s="133"/>
      <c r="D4973" s="133"/>
      <c r="E4973" s="17"/>
      <c r="F4973" s="133"/>
      <c r="G4973" s="133"/>
      <c r="H4973" s="133"/>
      <c r="I4973" s="133"/>
      <c r="J4973" s="133"/>
      <c r="K4973" s="133"/>
      <c r="L4973" s="133"/>
      <c r="M4973" s="133"/>
      <c r="N4973" s="133"/>
      <c r="O4973" s="133"/>
      <c r="P4973" s="134"/>
      <c r="Q4973" s="146"/>
      <c r="R4973" s="17"/>
      <c r="S4973" s="17"/>
      <c r="T4973" s="75"/>
      <c r="U4973" s="75"/>
      <c r="V4973" s="75"/>
      <c r="W4973" s="75"/>
      <c r="X4973" s="75"/>
    </row>
    <row r="4974">
      <c r="A4974" s="17"/>
      <c r="B4974" s="17"/>
      <c r="C4974" s="133"/>
      <c r="D4974" s="133"/>
      <c r="E4974" s="17"/>
      <c r="F4974" s="133"/>
      <c r="G4974" s="133"/>
      <c r="H4974" s="133"/>
      <c r="I4974" s="133"/>
      <c r="J4974" s="133"/>
      <c r="K4974" s="133"/>
      <c r="L4974" s="133"/>
      <c r="M4974" s="133"/>
      <c r="N4974" s="133"/>
      <c r="O4974" s="133"/>
      <c r="P4974" s="134"/>
      <c r="Q4974" s="146"/>
      <c r="R4974" s="17"/>
      <c r="S4974" s="17"/>
      <c r="T4974" s="75"/>
      <c r="U4974" s="75"/>
      <c r="V4974" s="75"/>
      <c r="W4974" s="75"/>
      <c r="X4974" s="75"/>
    </row>
    <row r="4975">
      <c r="A4975" s="17"/>
      <c r="B4975" s="17"/>
      <c r="C4975" s="133"/>
      <c r="D4975" s="133"/>
      <c r="E4975" s="17"/>
      <c r="F4975" s="133"/>
      <c r="G4975" s="133"/>
      <c r="H4975" s="133"/>
      <c r="I4975" s="133"/>
      <c r="J4975" s="133"/>
      <c r="K4975" s="133"/>
      <c r="L4975" s="133"/>
      <c r="M4975" s="133"/>
      <c r="N4975" s="133"/>
      <c r="O4975" s="133"/>
      <c r="P4975" s="134"/>
      <c r="Q4975" s="146"/>
      <c r="R4975" s="17"/>
      <c r="S4975" s="17"/>
      <c r="T4975" s="75"/>
      <c r="U4975" s="75"/>
      <c r="V4975" s="75"/>
      <c r="W4975" s="75"/>
      <c r="X4975" s="75"/>
    </row>
    <row r="4976">
      <c r="A4976" s="17"/>
      <c r="B4976" s="17"/>
      <c r="C4976" s="133"/>
      <c r="D4976" s="133"/>
      <c r="E4976" s="17"/>
      <c r="F4976" s="133"/>
      <c r="G4976" s="133"/>
      <c r="H4976" s="133"/>
      <c r="I4976" s="133"/>
      <c r="J4976" s="133"/>
      <c r="K4976" s="133"/>
      <c r="L4976" s="133"/>
      <c r="M4976" s="133"/>
      <c r="N4976" s="133"/>
      <c r="O4976" s="133"/>
      <c r="P4976" s="134"/>
      <c r="Q4976" s="146"/>
      <c r="R4976" s="17"/>
      <c r="S4976" s="17"/>
      <c r="T4976" s="75"/>
      <c r="U4976" s="75"/>
      <c r="V4976" s="75"/>
      <c r="W4976" s="75"/>
      <c r="X4976" s="75"/>
    </row>
    <row r="4977">
      <c r="A4977" s="17"/>
      <c r="B4977" s="17"/>
      <c r="C4977" s="133"/>
      <c r="D4977" s="133"/>
      <c r="E4977" s="17"/>
      <c r="F4977" s="133"/>
      <c r="G4977" s="133"/>
      <c r="H4977" s="133"/>
      <c r="I4977" s="133"/>
      <c r="J4977" s="133"/>
      <c r="K4977" s="133"/>
      <c r="L4977" s="133"/>
      <c r="M4977" s="133"/>
      <c r="N4977" s="133"/>
      <c r="O4977" s="133"/>
      <c r="P4977" s="134"/>
      <c r="Q4977" s="146"/>
      <c r="R4977" s="17"/>
      <c r="S4977" s="17"/>
      <c r="T4977" s="75"/>
      <c r="U4977" s="75"/>
      <c r="V4977" s="75"/>
      <c r="W4977" s="75"/>
      <c r="X4977" s="75"/>
    </row>
    <row r="4978">
      <c r="A4978" s="17"/>
      <c r="B4978" s="17"/>
      <c r="C4978" s="133"/>
      <c r="D4978" s="133"/>
      <c r="E4978" s="17"/>
      <c r="F4978" s="133"/>
      <c r="G4978" s="133"/>
      <c r="H4978" s="133"/>
      <c r="I4978" s="133"/>
      <c r="J4978" s="133"/>
      <c r="K4978" s="133"/>
      <c r="L4978" s="133"/>
      <c r="M4978" s="133"/>
      <c r="N4978" s="133"/>
      <c r="O4978" s="133"/>
      <c r="P4978" s="134"/>
      <c r="Q4978" s="146"/>
      <c r="R4978" s="17"/>
      <c r="S4978" s="17"/>
      <c r="T4978" s="75"/>
      <c r="U4978" s="75"/>
      <c r="V4978" s="75"/>
      <c r="W4978" s="75"/>
      <c r="X4978" s="75"/>
    </row>
    <row r="4979">
      <c r="A4979" s="17"/>
      <c r="B4979" s="17"/>
      <c r="C4979" s="133"/>
      <c r="D4979" s="133"/>
      <c r="E4979" s="17"/>
      <c r="F4979" s="133"/>
      <c r="G4979" s="133"/>
      <c r="H4979" s="133"/>
      <c r="I4979" s="133"/>
      <c r="J4979" s="133"/>
      <c r="K4979" s="133"/>
      <c r="L4979" s="133"/>
      <c r="M4979" s="133"/>
      <c r="N4979" s="133"/>
      <c r="O4979" s="133"/>
      <c r="P4979" s="134"/>
      <c r="Q4979" s="146"/>
      <c r="R4979" s="17"/>
      <c r="S4979" s="17"/>
      <c r="T4979" s="75"/>
      <c r="U4979" s="75"/>
      <c r="V4979" s="75"/>
      <c r="W4979" s="75"/>
      <c r="X4979" s="75"/>
    </row>
    <row r="4980">
      <c r="A4980" s="17"/>
      <c r="B4980" s="17"/>
      <c r="C4980" s="133"/>
      <c r="D4980" s="133"/>
      <c r="E4980" s="17"/>
      <c r="F4980" s="133"/>
      <c r="G4980" s="133"/>
      <c r="H4980" s="133"/>
      <c r="I4980" s="133"/>
      <c r="J4980" s="133"/>
      <c r="K4980" s="133"/>
      <c r="L4980" s="133"/>
      <c r="M4980" s="133"/>
      <c r="N4980" s="133"/>
      <c r="O4980" s="133"/>
      <c r="P4980" s="134"/>
      <c r="Q4980" s="146"/>
      <c r="R4980" s="17"/>
      <c r="S4980" s="17"/>
      <c r="T4980" s="75"/>
      <c r="U4980" s="75"/>
      <c r="V4980" s="75"/>
      <c r="W4980" s="75"/>
      <c r="X4980" s="75"/>
    </row>
    <row r="4981">
      <c r="A4981" s="17"/>
      <c r="B4981" s="17"/>
      <c r="C4981" s="133"/>
      <c r="D4981" s="133"/>
      <c r="E4981" s="17"/>
      <c r="F4981" s="133"/>
      <c r="G4981" s="133"/>
      <c r="H4981" s="133"/>
      <c r="I4981" s="133"/>
      <c r="J4981" s="133"/>
      <c r="K4981" s="133"/>
      <c r="L4981" s="133"/>
      <c r="M4981" s="133"/>
      <c r="N4981" s="133"/>
      <c r="O4981" s="133"/>
      <c r="P4981" s="134"/>
      <c r="Q4981" s="146"/>
      <c r="R4981" s="17"/>
      <c r="S4981" s="17"/>
      <c r="T4981" s="75"/>
      <c r="U4981" s="75"/>
      <c r="V4981" s="75"/>
      <c r="W4981" s="75"/>
      <c r="X4981" s="75"/>
    </row>
    <row r="4982">
      <c r="A4982" s="17"/>
      <c r="B4982" s="17"/>
      <c r="C4982" s="133"/>
      <c r="D4982" s="133"/>
      <c r="E4982" s="17"/>
      <c r="F4982" s="133"/>
      <c r="G4982" s="133"/>
      <c r="H4982" s="133"/>
      <c r="I4982" s="133"/>
      <c r="J4982" s="133"/>
      <c r="K4982" s="133"/>
      <c r="L4982" s="133"/>
      <c r="M4982" s="133"/>
      <c r="N4982" s="133"/>
      <c r="O4982" s="133"/>
      <c r="P4982" s="134"/>
      <c r="Q4982" s="146"/>
      <c r="R4982" s="17"/>
      <c r="S4982" s="17"/>
      <c r="T4982" s="75"/>
      <c r="U4982" s="75"/>
      <c r="V4982" s="75"/>
      <c r="W4982" s="75"/>
      <c r="X4982" s="75"/>
    </row>
    <row r="4983">
      <c r="A4983" s="17"/>
      <c r="B4983" s="17"/>
      <c r="C4983" s="133"/>
      <c r="D4983" s="133"/>
      <c r="E4983" s="17"/>
      <c r="F4983" s="133"/>
      <c r="G4983" s="133"/>
      <c r="H4983" s="133"/>
      <c r="I4983" s="133"/>
      <c r="J4983" s="133"/>
      <c r="K4983" s="133"/>
      <c r="L4983" s="133"/>
      <c r="M4983" s="133"/>
      <c r="N4983" s="133"/>
      <c r="O4983" s="133"/>
      <c r="P4983" s="134"/>
      <c r="Q4983" s="146"/>
      <c r="R4983" s="17"/>
      <c r="S4983" s="17"/>
      <c r="T4983" s="75"/>
      <c r="U4983" s="75"/>
      <c r="V4983" s="75"/>
      <c r="W4983" s="75"/>
      <c r="X4983" s="75"/>
    </row>
    <row r="4984">
      <c r="A4984" s="17"/>
      <c r="B4984" s="17"/>
      <c r="C4984" s="133"/>
      <c r="D4984" s="133"/>
      <c r="E4984" s="17"/>
      <c r="F4984" s="133"/>
      <c r="G4984" s="133"/>
      <c r="H4984" s="133"/>
      <c r="I4984" s="133"/>
      <c r="J4984" s="133"/>
      <c r="K4984" s="133"/>
      <c r="L4984" s="133"/>
      <c r="M4984" s="133"/>
      <c r="N4984" s="133"/>
      <c r="O4984" s="133"/>
      <c r="P4984" s="134"/>
      <c r="Q4984" s="146"/>
      <c r="R4984" s="17"/>
      <c r="S4984" s="17"/>
      <c r="T4984" s="75"/>
      <c r="U4984" s="75"/>
      <c r="V4984" s="75"/>
      <c r="W4984" s="75"/>
      <c r="X4984" s="75"/>
    </row>
    <row r="4985">
      <c r="A4985" s="17"/>
      <c r="B4985" s="17"/>
      <c r="C4985" s="133"/>
      <c r="D4985" s="133"/>
      <c r="E4985" s="17"/>
      <c r="F4985" s="133"/>
      <c r="G4985" s="133"/>
      <c r="H4985" s="133"/>
      <c r="I4985" s="133"/>
      <c r="J4985" s="133"/>
      <c r="K4985" s="133"/>
      <c r="L4985" s="133"/>
      <c r="M4985" s="133"/>
      <c r="N4985" s="133"/>
      <c r="O4985" s="133"/>
      <c r="P4985" s="134"/>
      <c r="Q4985" s="146"/>
      <c r="R4985" s="17"/>
      <c r="S4985" s="17"/>
      <c r="T4985" s="75"/>
      <c r="U4985" s="75"/>
      <c r="V4985" s="75"/>
      <c r="W4985" s="75"/>
      <c r="X4985" s="75"/>
    </row>
    <row r="4986">
      <c r="A4986" s="17"/>
      <c r="B4986" s="17"/>
      <c r="C4986" s="133"/>
      <c r="D4986" s="133"/>
      <c r="E4986" s="17"/>
      <c r="F4986" s="133"/>
      <c r="G4986" s="133"/>
      <c r="H4986" s="133"/>
      <c r="I4986" s="133"/>
      <c r="J4986" s="133"/>
      <c r="K4986" s="133"/>
      <c r="L4986" s="133"/>
      <c r="M4986" s="133"/>
      <c r="N4986" s="133"/>
      <c r="O4986" s="133"/>
      <c r="P4986" s="134"/>
      <c r="Q4986" s="146"/>
      <c r="R4986" s="17"/>
      <c r="S4986" s="17"/>
      <c r="T4986" s="75"/>
      <c r="U4986" s="75"/>
      <c r="V4986" s="75"/>
      <c r="W4986" s="75"/>
      <c r="X4986" s="75"/>
    </row>
    <row r="4987">
      <c r="A4987" s="17"/>
      <c r="B4987" s="17"/>
      <c r="C4987" s="133"/>
      <c r="D4987" s="133"/>
      <c r="E4987" s="17"/>
      <c r="F4987" s="133"/>
      <c r="G4987" s="133"/>
      <c r="H4987" s="133"/>
      <c r="I4987" s="133"/>
      <c r="J4987" s="133"/>
      <c r="K4987" s="133"/>
      <c r="L4987" s="133"/>
      <c r="M4987" s="133"/>
      <c r="N4987" s="133"/>
      <c r="O4987" s="133"/>
      <c r="P4987" s="134"/>
      <c r="Q4987" s="146"/>
      <c r="R4987" s="17"/>
      <c r="S4987" s="17"/>
      <c r="T4987" s="75"/>
      <c r="U4987" s="75"/>
      <c r="V4987" s="75"/>
      <c r="W4987" s="75"/>
      <c r="X4987" s="75"/>
    </row>
    <row r="4988">
      <c r="A4988" s="17"/>
      <c r="B4988" s="17"/>
      <c r="C4988" s="133"/>
      <c r="D4988" s="133"/>
      <c r="E4988" s="17"/>
      <c r="F4988" s="133"/>
      <c r="G4988" s="133"/>
      <c r="H4988" s="133"/>
      <c r="I4988" s="133"/>
      <c r="J4988" s="133"/>
      <c r="K4988" s="133"/>
      <c r="L4988" s="133"/>
      <c r="M4988" s="133"/>
      <c r="N4988" s="133"/>
      <c r="O4988" s="133"/>
      <c r="P4988" s="134"/>
      <c r="Q4988" s="146"/>
      <c r="R4988" s="17"/>
      <c r="S4988" s="17"/>
      <c r="T4988" s="75"/>
      <c r="U4988" s="75"/>
      <c r="V4988" s="75"/>
      <c r="W4988" s="75"/>
      <c r="X4988" s="75"/>
    </row>
    <row r="4989">
      <c r="A4989" s="17"/>
      <c r="B4989" s="17"/>
      <c r="C4989" s="133"/>
      <c r="D4989" s="133"/>
      <c r="E4989" s="17"/>
      <c r="F4989" s="133"/>
      <c r="G4989" s="133"/>
      <c r="H4989" s="133"/>
      <c r="I4989" s="133"/>
      <c r="J4989" s="133"/>
      <c r="K4989" s="133"/>
      <c r="L4989" s="133"/>
      <c r="M4989" s="133"/>
      <c r="N4989" s="133"/>
      <c r="O4989" s="133"/>
      <c r="P4989" s="134"/>
      <c r="Q4989" s="146"/>
      <c r="R4989" s="17"/>
      <c r="S4989" s="17"/>
      <c r="T4989" s="75"/>
      <c r="U4989" s="75"/>
      <c r="V4989" s="75"/>
      <c r="W4989" s="75"/>
      <c r="X4989" s="75"/>
    </row>
    <row r="4990">
      <c r="A4990" s="17"/>
      <c r="B4990" s="17"/>
      <c r="C4990" s="133"/>
      <c r="D4990" s="133"/>
      <c r="E4990" s="17"/>
      <c r="F4990" s="133"/>
      <c r="G4990" s="133"/>
      <c r="H4990" s="133"/>
      <c r="I4990" s="133"/>
      <c r="J4990" s="133"/>
      <c r="K4990" s="133"/>
      <c r="L4990" s="133"/>
      <c r="M4990" s="133"/>
      <c r="N4990" s="133"/>
      <c r="O4990" s="133"/>
      <c r="P4990" s="134"/>
      <c r="Q4990" s="146"/>
      <c r="R4990" s="17"/>
      <c r="S4990" s="17"/>
      <c r="T4990" s="75"/>
      <c r="U4990" s="75"/>
      <c r="V4990" s="75"/>
      <c r="W4990" s="75"/>
      <c r="X4990" s="75"/>
    </row>
    <row r="4991">
      <c r="A4991" s="17"/>
      <c r="B4991" s="17"/>
      <c r="C4991" s="133"/>
      <c r="D4991" s="133"/>
      <c r="E4991" s="17"/>
      <c r="F4991" s="133"/>
      <c r="G4991" s="133"/>
      <c r="H4991" s="133"/>
      <c r="I4991" s="133"/>
      <c r="J4991" s="133"/>
      <c r="K4991" s="133"/>
      <c r="L4991" s="133"/>
      <c r="M4991" s="133"/>
      <c r="N4991" s="133"/>
      <c r="O4991" s="133"/>
      <c r="P4991" s="134"/>
      <c r="Q4991" s="146"/>
      <c r="R4991" s="17"/>
      <c r="S4991" s="17"/>
      <c r="T4991" s="75"/>
      <c r="U4991" s="75"/>
      <c r="V4991" s="75"/>
      <c r="W4991" s="75"/>
      <c r="X4991" s="75"/>
    </row>
    <row r="4992">
      <c r="A4992" s="17"/>
      <c r="B4992" s="17"/>
      <c r="C4992" s="133"/>
      <c r="D4992" s="133"/>
      <c r="E4992" s="17"/>
      <c r="F4992" s="133"/>
      <c r="G4992" s="133"/>
      <c r="H4992" s="133"/>
      <c r="I4992" s="133"/>
      <c r="J4992" s="133"/>
      <c r="K4992" s="133"/>
      <c r="L4992" s="133"/>
      <c r="M4992" s="133"/>
      <c r="N4992" s="133"/>
      <c r="O4992" s="133"/>
      <c r="P4992" s="134"/>
      <c r="Q4992" s="146"/>
      <c r="R4992" s="17"/>
      <c r="S4992" s="17"/>
      <c r="T4992" s="75"/>
      <c r="U4992" s="75"/>
      <c r="V4992" s="75"/>
      <c r="W4992" s="75"/>
      <c r="X4992" s="75"/>
    </row>
    <row r="4993">
      <c r="A4993" s="17"/>
      <c r="B4993" s="17"/>
      <c r="C4993" s="133"/>
      <c r="D4993" s="133"/>
      <c r="E4993" s="17"/>
      <c r="F4993" s="133"/>
      <c r="G4993" s="133"/>
      <c r="H4993" s="133"/>
      <c r="I4993" s="133"/>
      <c r="J4993" s="133"/>
      <c r="K4993" s="133"/>
      <c r="L4993" s="133"/>
      <c r="M4993" s="133"/>
      <c r="N4993" s="133"/>
      <c r="O4993" s="133"/>
      <c r="P4993" s="134"/>
      <c r="Q4993" s="146"/>
      <c r="R4993" s="17"/>
      <c r="S4993" s="17"/>
      <c r="T4993" s="75"/>
      <c r="U4993" s="75"/>
      <c r="V4993" s="75"/>
      <c r="W4993" s="75"/>
      <c r="X4993" s="75"/>
    </row>
    <row r="4994">
      <c r="A4994" s="17"/>
      <c r="B4994" s="17"/>
      <c r="C4994" s="133"/>
      <c r="D4994" s="133"/>
      <c r="E4994" s="17"/>
      <c r="F4994" s="133"/>
      <c r="G4994" s="133"/>
      <c r="H4994" s="133"/>
      <c r="I4994" s="133"/>
      <c r="J4994" s="133"/>
      <c r="K4994" s="133"/>
      <c r="L4994" s="133"/>
      <c r="M4994" s="133"/>
      <c r="N4994" s="133"/>
      <c r="O4994" s="133"/>
      <c r="P4994" s="134"/>
      <c r="Q4994" s="146"/>
      <c r="R4994" s="17"/>
      <c r="S4994" s="17"/>
      <c r="T4994" s="75"/>
      <c r="U4994" s="75"/>
      <c r="V4994" s="75"/>
      <c r="W4994" s="75"/>
      <c r="X4994" s="75"/>
    </row>
    <row r="4995">
      <c r="A4995" s="17"/>
      <c r="B4995" s="17"/>
      <c r="C4995" s="133"/>
      <c r="D4995" s="133"/>
      <c r="E4995" s="17"/>
      <c r="F4995" s="133"/>
      <c r="G4995" s="133"/>
      <c r="H4995" s="133"/>
      <c r="I4995" s="133"/>
      <c r="J4995" s="133"/>
      <c r="K4995" s="133"/>
      <c r="L4995" s="133"/>
      <c r="M4995" s="133"/>
      <c r="N4995" s="133"/>
      <c r="O4995" s="133"/>
      <c r="P4995" s="134"/>
      <c r="Q4995" s="146"/>
      <c r="R4995" s="17"/>
      <c r="S4995" s="17"/>
      <c r="T4995" s="75"/>
      <c r="U4995" s="75"/>
      <c r="V4995" s="75"/>
      <c r="W4995" s="75"/>
      <c r="X4995" s="75"/>
    </row>
    <row r="4996">
      <c r="A4996" s="17"/>
      <c r="B4996" s="17"/>
      <c r="C4996" s="133"/>
      <c r="D4996" s="133"/>
      <c r="E4996" s="17"/>
      <c r="F4996" s="133"/>
      <c r="G4996" s="133"/>
      <c r="H4996" s="133"/>
      <c r="I4996" s="133"/>
      <c r="J4996" s="133"/>
      <c r="K4996" s="133"/>
      <c r="L4996" s="133"/>
      <c r="M4996" s="133"/>
      <c r="N4996" s="133"/>
      <c r="O4996" s="133"/>
      <c r="P4996" s="134"/>
      <c r="Q4996" s="146"/>
      <c r="R4996" s="17"/>
      <c r="S4996" s="17"/>
      <c r="T4996" s="75"/>
      <c r="U4996" s="75"/>
      <c r="V4996" s="75"/>
      <c r="W4996" s="75"/>
      <c r="X4996" s="75"/>
    </row>
    <row r="4997">
      <c r="A4997" s="17"/>
      <c r="B4997" s="17"/>
      <c r="C4997" s="133"/>
      <c r="D4997" s="133"/>
      <c r="E4997" s="17"/>
      <c r="F4997" s="133"/>
      <c r="G4997" s="133"/>
      <c r="H4997" s="133"/>
      <c r="I4997" s="133"/>
      <c r="J4997" s="133"/>
      <c r="K4997" s="133"/>
      <c r="L4997" s="133"/>
      <c r="M4997" s="133"/>
      <c r="N4997" s="133"/>
      <c r="O4997" s="133"/>
      <c r="P4997" s="134"/>
      <c r="Q4997" s="146"/>
      <c r="R4997" s="17"/>
      <c r="S4997" s="17"/>
      <c r="T4997" s="75"/>
      <c r="U4997" s="75"/>
      <c r="V4997" s="75"/>
      <c r="W4997" s="75"/>
      <c r="X4997" s="75"/>
    </row>
    <row r="4998">
      <c r="A4998" s="17"/>
      <c r="B4998" s="17"/>
      <c r="C4998" s="133"/>
      <c r="D4998" s="133"/>
      <c r="E4998" s="17"/>
      <c r="F4998" s="133"/>
      <c r="G4998" s="133"/>
      <c r="H4998" s="133"/>
      <c r="I4998" s="133"/>
      <c r="J4998" s="133"/>
      <c r="K4998" s="133"/>
      <c r="L4998" s="133"/>
      <c r="M4998" s="133"/>
      <c r="N4998" s="133"/>
      <c r="O4998" s="133"/>
      <c r="P4998" s="134"/>
      <c r="Q4998" s="146"/>
      <c r="R4998" s="17"/>
      <c r="S4998" s="17"/>
      <c r="T4998" s="75"/>
      <c r="U4998" s="75"/>
      <c r="V4998" s="75"/>
      <c r="W4998" s="75"/>
      <c r="X4998" s="75"/>
    </row>
    <row r="4999">
      <c r="A4999" s="17"/>
      <c r="B4999" s="17"/>
      <c r="C4999" s="133"/>
      <c r="D4999" s="133"/>
      <c r="E4999" s="17"/>
      <c r="F4999" s="133"/>
      <c r="G4999" s="133"/>
      <c r="H4999" s="133"/>
      <c r="I4999" s="133"/>
      <c r="J4999" s="133"/>
      <c r="K4999" s="133"/>
      <c r="L4999" s="133"/>
      <c r="M4999" s="133"/>
      <c r="N4999" s="133"/>
      <c r="O4999" s="133"/>
      <c r="P4999" s="134"/>
      <c r="Q4999" s="146"/>
      <c r="R4999" s="17"/>
      <c r="S4999" s="17"/>
      <c r="T4999" s="75"/>
      <c r="U4999" s="75"/>
      <c r="V4999" s="75"/>
      <c r="W4999" s="75"/>
      <c r="X4999" s="75"/>
    </row>
    <row r="5000">
      <c r="A5000" s="17"/>
      <c r="B5000" s="17"/>
      <c r="C5000" s="133"/>
      <c r="D5000" s="133"/>
      <c r="E5000" s="17"/>
      <c r="F5000" s="133"/>
      <c r="G5000" s="133"/>
      <c r="H5000" s="133"/>
      <c r="I5000" s="133"/>
      <c r="J5000" s="133"/>
      <c r="K5000" s="133"/>
      <c r="L5000" s="133"/>
      <c r="M5000" s="133"/>
      <c r="N5000" s="133"/>
      <c r="O5000" s="133"/>
      <c r="P5000" s="134"/>
      <c r="Q5000" s="146"/>
      <c r="R5000" s="17"/>
      <c r="S5000" s="17"/>
      <c r="T5000" s="75"/>
      <c r="U5000" s="75"/>
      <c r="V5000" s="75"/>
      <c r="W5000" s="75"/>
      <c r="X5000" s="75"/>
    </row>
    <row r="5001">
      <c r="A5001" s="17"/>
      <c r="B5001" s="17"/>
      <c r="C5001" s="133"/>
      <c r="D5001" s="133"/>
      <c r="E5001" s="17"/>
      <c r="F5001" s="133"/>
      <c r="G5001" s="133"/>
      <c r="H5001" s="133"/>
      <c r="I5001" s="133"/>
      <c r="J5001" s="133"/>
      <c r="K5001" s="133"/>
      <c r="L5001" s="133"/>
      <c r="M5001" s="133"/>
      <c r="N5001" s="133"/>
      <c r="O5001" s="133"/>
      <c r="P5001" s="134"/>
      <c r="Q5001" s="146"/>
      <c r="R5001" s="17"/>
      <c r="S5001" s="17"/>
      <c r="T5001" s="75"/>
      <c r="U5001" s="75"/>
      <c r="V5001" s="75"/>
      <c r="W5001" s="75"/>
      <c r="X5001" s="75"/>
    </row>
    <row r="5002">
      <c r="A5002" s="17"/>
      <c r="B5002" s="17"/>
      <c r="C5002" s="133"/>
      <c r="D5002" s="133"/>
      <c r="E5002" s="17"/>
      <c r="F5002" s="133"/>
      <c r="G5002" s="133"/>
      <c r="H5002" s="133"/>
      <c r="I5002" s="133"/>
      <c r="J5002" s="133"/>
      <c r="K5002" s="133"/>
      <c r="L5002" s="133"/>
      <c r="M5002" s="133"/>
      <c r="N5002" s="133"/>
      <c r="O5002" s="133"/>
      <c r="P5002" s="134"/>
      <c r="Q5002" s="146"/>
      <c r="R5002" s="17"/>
      <c r="S5002" s="17"/>
      <c r="T5002" s="75"/>
      <c r="U5002" s="75"/>
      <c r="V5002" s="75"/>
      <c r="W5002" s="75"/>
      <c r="X5002" s="75"/>
    </row>
    <row r="5003">
      <c r="A5003" s="17"/>
      <c r="B5003" s="17"/>
      <c r="C5003" s="133"/>
      <c r="D5003" s="133"/>
      <c r="E5003" s="17"/>
      <c r="F5003" s="133"/>
      <c r="G5003" s="133"/>
      <c r="H5003" s="133"/>
      <c r="I5003" s="133"/>
      <c r="J5003" s="133"/>
      <c r="K5003" s="133"/>
      <c r="L5003" s="133"/>
      <c r="M5003" s="133"/>
      <c r="N5003" s="133"/>
      <c r="O5003" s="133"/>
      <c r="P5003" s="134"/>
      <c r="Q5003" s="146"/>
      <c r="R5003" s="17"/>
      <c r="S5003" s="17"/>
      <c r="T5003" s="75"/>
      <c r="U5003" s="75"/>
      <c r="V5003" s="75"/>
      <c r="W5003" s="75"/>
      <c r="X5003" s="75"/>
    </row>
    <row r="5004">
      <c r="A5004" s="17"/>
      <c r="B5004" s="17"/>
      <c r="C5004" s="133"/>
      <c r="D5004" s="133"/>
      <c r="E5004" s="17"/>
      <c r="F5004" s="133"/>
      <c r="G5004" s="133"/>
      <c r="H5004" s="133"/>
      <c r="I5004" s="133"/>
      <c r="J5004" s="133"/>
      <c r="K5004" s="133"/>
      <c r="L5004" s="133"/>
      <c r="M5004" s="133"/>
      <c r="N5004" s="133"/>
      <c r="O5004" s="133"/>
      <c r="P5004" s="134"/>
      <c r="Q5004" s="146"/>
      <c r="R5004" s="17"/>
      <c r="S5004" s="17"/>
      <c r="T5004" s="75"/>
      <c r="U5004" s="75"/>
      <c r="V5004" s="75"/>
      <c r="W5004" s="75"/>
      <c r="X5004" s="75"/>
    </row>
    <row r="5005">
      <c r="A5005" s="17"/>
      <c r="B5005" s="17"/>
      <c r="C5005" s="133"/>
      <c r="D5005" s="133"/>
      <c r="E5005" s="17"/>
      <c r="F5005" s="133"/>
      <c r="G5005" s="133"/>
      <c r="H5005" s="133"/>
      <c r="I5005" s="133"/>
      <c r="J5005" s="133"/>
      <c r="K5005" s="133"/>
      <c r="L5005" s="133"/>
      <c r="M5005" s="133"/>
      <c r="N5005" s="133"/>
      <c r="O5005" s="133"/>
      <c r="P5005" s="134"/>
      <c r="Q5005" s="146"/>
      <c r="R5005" s="17"/>
      <c r="S5005" s="17"/>
      <c r="T5005" s="75"/>
      <c r="U5005" s="75"/>
      <c r="V5005" s="75"/>
      <c r="W5005" s="75"/>
      <c r="X5005" s="75"/>
    </row>
    <row r="5006">
      <c r="A5006" s="17"/>
      <c r="B5006" s="17"/>
      <c r="C5006" s="133"/>
      <c r="D5006" s="133"/>
      <c r="E5006" s="17"/>
      <c r="F5006" s="133"/>
      <c r="G5006" s="133"/>
      <c r="H5006" s="133"/>
      <c r="I5006" s="133"/>
      <c r="J5006" s="133"/>
      <c r="K5006" s="133"/>
      <c r="L5006" s="133"/>
      <c r="M5006" s="133"/>
      <c r="N5006" s="133"/>
      <c r="O5006" s="133"/>
      <c r="P5006" s="134"/>
      <c r="Q5006" s="146"/>
      <c r="R5006" s="17"/>
      <c r="S5006" s="17"/>
      <c r="T5006" s="75"/>
      <c r="U5006" s="75"/>
      <c r="V5006" s="75"/>
      <c r="W5006" s="75"/>
      <c r="X5006" s="75"/>
    </row>
    <row r="5007">
      <c r="A5007" s="17"/>
      <c r="B5007" s="17"/>
      <c r="C5007" s="133"/>
      <c r="D5007" s="133"/>
      <c r="E5007" s="17"/>
      <c r="F5007" s="133"/>
      <c r="G5007" s="133"/>
      <c r="H5007" s="133"/>
      <c r="I5007" s="133"/>
      <c r="J5007" s="133"/>
      <c r="K5007" s="133"/>
      <c r="L5007" s="133"/>
      <c r="M5007" s="133"/>
      <c r="N5007" s="133"/>
      <c r="O5007" s="133"/>
      <c r="P5007" s="134"/>
      <c r="Q5007" s="146"/>
      <c r="R5007" s="17"/>
      <c r="S5007" s="17"/>
      <c r="T5007" s="75"/>
      <c r="U5007" s="75"/>
      <c r="V5007" s="75"/>
      <c r="W5007" s="75"/>
      <c r="X5007" s="75"/>
    </row>
    <row r="5008">
      <c r="A5008" s="17"/>
      <c r="B5008" s="17"/>
      <c r="C5008" s="133"/>
      <c r="D5008" s="133"/>
      <c r="E5008" s="17"/>
      <c r="F5008" s="133"/>
      <c r="G5008" s="133"/>
      <c r="H5008" s="133"/>
      <c r="I5008" s="133"/>
      <c r="J5008" s="133"/>
      <c r="K5008" s="133"/>
      <c r="L5008" s="133"/>
      <c r="M5008" s="133"/>
      <c r="N5008" s="133"/>
      <c r="O5008" s="133"/>
      <c r="P5008" s="134"/>
      <c r="Q5008" s="146"/>
      <c r="R5008" s="17"/>
      <c r="S5008" s="17"/>
      <c r="T5008" s="75"/>
      <c r="U5008" s="75"/>
      <c r="V5008" s="75"/>
      <c r="W5008" s="75"/>
      <c r="X5008" s="75"/>
    </row>
    <row r="5009">
      <c r="A5009" s="17"/>
      <c r="B5009" s="17"/>
      <c r="C5009" s="133"/>
      <c r="D5009" s="133"/>
      <c r="E5009" s="17"/>
      <c r="F5009" s="133"/>
      <c r="G5009" s="133"/>
      <c r="H5009" s="133"/>
      <c r="I5009" s="133"/>
      <c r="J5009" s="133"/>
      <c r="K5009" s="133"/>
      <c r="L5009" s="133"/>
      <c r="M5009" s="133"/>
      <c r="N5009" s="133"/>
      <c r="O5009" s="133"/>
      <c r="P5009" s="134"/>
      <c r="Q5009" s="146"/>
      <c r="R5009" s="17"/>
      <c r="S5009" s="17"/>
      <c r="T5009" s="75"/>
      <c r="U5009" s="75"/>
      <c r="V5009" s="75"/>
      <c r="W5009" s="75"/>
      <c r="X5009" s="75"/>
    </row>
    <row r="5010">
      <c r="A5010" s="17"/>
      <c r="B5010" s="17"/>
      <c r="C5010" s="133"/>
      <c r="D5010" s="133"/>
      <c r="E5010" s="17"/>
      <c r="F5010" s="133"/>
      <c r="G5010" s="133"/>
      <c r="H5010" s="133"/>
      <c r="I5010" s="133"/>
      <c r="J5010" s="133"/>
      <c r="K5010" s="133"/>
      <c r="L5010" s="133"/>
      <c r="M5010" s="133"/>
      <c r="N5010" s="133"/>
      <c r="O5010" s="133"/>
      <c r="P5010" s="134"/>
      <c r="Q5010" s="146"/>
      <c r="R5010" s="17"/>
      <c r="S5010" s="17"/>
      <c r="T5010" s="75"/>
      <c r="U5010" s="75"/>
      <c r="V5010" s="75"/>
      <c r="W5010" s="75"/>
      <c r="X5010" s="75"/>
    </row>
    <row r="5011">
      <c r="A5011" s="17"/>
      <c r="B5011" s="17"/>
      <c r="C5011" s="133"/>
      <c r="D5011" s="133"/>
      <c r="E5011" s="17"/>
      <c r="F5011" s="133"/>
      <c r="G5011" s="133"/>
      <c r="H5011" s="133"/>
      <c r="I5011" s="133"/>
      <c r="J5011" s="133"/>
      <c r="K5011" s="133"/>
      <c r="L5011" s="133"/>
      <c r="M5011" s="133"/>
      <c r="N5011" s="133"/>
      <c r="O5011" s="133"/>
      <c r="P5011" s="134"/>
      <c r="Q5011" s="146"/>
      <c r="R5011" s="17"/>
      <c r="S5011" s="17"/>
      <c r="T5011" s="75"/>
      <c r="U5011" s="75"/>
      <c r="V5011" s="75"/>
      <c r="W5011" s="75"/>
      <c r="X5011" s="75"/>
    </row>
    <row r="5012">
      <c r="A5012" s="17"/>
      <c r="B5012" s="17"/>
      <c r="C5012" s="133"/>
      <c r="D5012" s="133"/>
      <c r="E5012" s="17"/>
      <c r="F5012" s="133"/>
      <c r="G5012" s="133"/>
      <c r="H5012" s="133"/>
      <c r="I5012" s="133"/>
      <c r="J5012" s="133"/>
      <c r="K5012" s="133"/>
      <c r="L5012" s="133"/>
      <c r="M5012" s="133"/>
      <c r="N5012" s="133"/>
      <c r="O5012" s="133"/>
      <c r="P5012" s="134"/>
      <c r="Q5012" s="146"/>
      <c r="R5012" s="17"/>
      <c r="S5012" s="17"/>
      <c r="T5012" s="75"/>
      <c r="U5012" s="75"/>
      <c r="V5012" s="75"/>
      <c r="W5012" s="75"/>
      <c r="X5012" s="75"/>
    </row>
    <row r="5013">
      <c r="A5013" s="17"/>
      <c r="B5013" s="17"/>
      <c r="C5013" s="133"/>
      <c r="D5013" s="133"/>
      <c r="E5013" s="17"/>
      <c r="F5013" s="133"/>
      <c r="G5013" s="133"/>
      <c r="H5013" s="133"/>
      <c r="I5013" s="133"/>
      <c r="J5013" s="133"/>
      <c r="K5013" s="133"/>
      <c r="L5013" s="133"/>
      <c r="M5013" s="133"/>
      <c r="N5013" s="133"/>
      <c r="O5013" s="133"/>
      <c r="P5013" s="134"/>
      <c r="Q5013" s="146"/>
      <c r="R5013" s="17"/>
      <c r="S5013" s="17"/>
      <c r="T5013" s="75"/>
      <c r="U5013" s="75"/>
      <c r="V5013" s="75"/>
      <c r="W5013" s="75"/>
      <c r="X5013" s="75"/>
    </row>
    <row r="5014">
      <c r="A5014" s="17"/>
      <c r="B5014" s="17"/>
      <c r="C5014" s="133"/>
      <c r="D5014" s="133"/>
      <c r="E5014" s="17"/>
      <c r="F5014" s="133"/>
      <c r="G5014" s="133"/>
      <c r="H5014" s="133"/>
      <c r="I5014" s="133"/>
      <c r="J5014" s="133"/>
      <c r="K5014" s="133"/>
      <c r="L5014" s="133"/>
      <c r="M5014" s="133"/>
      <c r="N5014" s="133"/>
      <c r="O5014" s="133"/>
      <c r="P5014" s="134"/>
      <c r="Q5014" s="146"/>
      <c r="R5014" s="17"/>
      <c r="S5014" s="17"/>
      <c r="T5014" s="75"/>
      <c r="U5014" s="75"/>
      <c r="V5014" s="75"/>
      <c r="W5014" s="75"/>
      <c r="X5014" s="75"/>
    </row>
    <row r="5015">
      <c r="A5015" s="17"/>
      <c r="B5015" s="17"/>
      <c r="C5015" s="133"/>
      <c r="D5015" s="133"/>
      <c r="E5015" s="17"/>
      <c r="F5015" s="133"/>
      <c r="G5015" s="133"/>
      <c r="H5015" s="133"/>
      <c r="I5015" s="133"/>
      <c r="J5015" s="133"/>
      <c r="K5015" s="133"/>
      <c r="L5015" s="133"/>
      <c r="M5015" s="133"/>
      <c r="N5015" s="133"/>
      <c r="O5015" s="133"/>
      <c r="P5015" s="134"/>
      <c r="Q5015" s="146"/>
      <c r="R5015" s="17"/>
      <c r="S5015" s="17"/>
      <c r="T5015" s="75"/>
      <c r="U5015" s="75"/>
      <c r="V5015" s="75"/>
      <c r="W5015" s="75"/>
      <c r="X5015" s="75"/>
    </row>
    <row r="5016">
      <c r="A5016" s="17"/>
      <c r="B5016" s="17"/>
      <c r="C5016" s="133"/>
      <c r="D5016" s="133"/>
      <c r="E5016" s="17"/>
      <c r="F5016" s="133"/>
      <c r="G5016" s="133"/>
      <c r="H5016" s="133"/>
      <c r="I5016" s="133"/>
      <c r="J5016" s="133"/>
      <c r="K5016" s="133"/>
      <c r="L5016" s="133"/>
      <c r="M5016" s="133"/>
      <c r="N5016" s="133"/>
      <c r="O5016" s="133"/>
      <c r="P5016" s="134"/>
      <c r="Q5016" s="146"/>
      <c r="R5016" s="17"/>
      <c r="S5016" s="17"/>
      <c r="T5016" s="75"/>
      <c r="U5016" s="75"/>
      <c r="V5016" s="75"/>
      <c r="W5016" s="75"/>
      <c r="X5016" s="75"/>
    </row>
    <row r="5017">
      <c r="A5017" s="17"/>
      <c r="B5017" s="17"/>
      <c r="C5017" s="133"/>
      <c r="D5017" s="133"/>
      <c r="E5017" s="17"/>
      <c r="F5017" s="133"/>
      <c r="G5017" s="133"/>
      <c r="H5017" s="133"/>
      <c r="I5017" s="133"/>
      <c r="J5017" s="133"/>
      <c r="K5017" s="133"/>
      <c r="L5017" s="133"/>
      <c r="M5017" s="133"/>
      <c r="N5017" s="133"/>
      <c r="O5017" s="133"/>
      <c r="P5017" s="134"/>
      <c r="Q5017" s="146"/>
      <c r="R5017" s="17"/>
      <c r="S5017" s="17"/>
      <c r="T5017" s="75"/>
      <c r="U5017" s="75"/>
      <c r="V5017" s="75"/>
      <c r="W5017" s="75"/>
      <c r="X5017" s="75"/>
    </row>
    <row r="5018">
      <c r="A5018" s="17"/>
      <c r="B5018" s="17"/>
      <c r="C5018" s="133"/>
      <c r="D5018" s="133"/>
      <c r="E5018" s="17"/>
      <c r="F5018" s="133"/>
      <c r="G5018" s="133"/>
      <c r="H5018" s="133"/>
      <c r="I5018" s="133"/>
      <c r="J5018" s="133"/>
      <c r="K5018" s="133"/>
      <c r="L5018" s="133"/>
      <c r="M5018" s="133"/>
      <c r="N5018" s="133"/>
      <c r="O5018" s="133"/>
      <c r="P5018" s="134"/>
      <c r="Q5018" s="146"/>
      <c r="R5018" s="17"/>
      <c r="S5018" s="17"/>
      <c r="T5018" s="75"/>
      <c r="U5018" s="75"/>
      <c r="V5018" s="75"/>
      <c r="W5018" s="75"/>
      <c r="X5018" s="75"/>
    </row>
    <row r="5019">
      <c r="A5019" s="17"/>
      <c r="B5019" s="17"/>
      <c r="C5019" s="133"/>
      <c r="D5019" s="133"/>
      <c r="E5019" s="17"/>
      <c r="F5019" s="133"/>
      <c r="G5019" s="133"/>
      <c r="H5019" s="133"/>
      <c r="I5019" s="133"/>
      <c r="J5019" s="133"/>
      <c r="K5019" s="133"/>
      <c r="L5019" s="133"/>
      <c r="M5019" s="133"/>
      <c r="N5019" s="133"/>
      <c r="O5019" s="133"/>
      <c r="P5019" s="134"/>
      <c r="Q5019" s="146"/>
      <c r="R5019" s="17"/>
      <c r="S5019" s="17"/>
      <c r="T5019" s="75"/>
      <c r="U5019" s="75"/>
      <c r="V5019" s="75"/>
      <c r="W5019" s="75"/>
      <c r="X5019" s="75"/>
    </row>
    <row r="5020">
      <c r="A5020" s="17"/>
      <c r="B5020" s="17"/>
      <c r="C5020" s="133"/>
      <c r="D5020" s="133"/>
      <c r="E5020" s="17"/>
      <c r="F5020" s="133"/>
      <c r="G5020" s="133"/>
      <c r="H5020" s="133"/>
      <c r="I5020" s="133"/>
      <c r="J5020" s="133"/>
      <c r="K5020" s="133"/>
      <c r="L5020" s="133"/>
      <c r="M5020" s="133"/>
      <c r="N5020" s="133"/>
      <c r="O5020" s="133"/>
      <c r="P5020" s="134"/>
      <c r="Q5020" s="146"/>
      <c r="R5020" s="17"/>
      <c r="S5020" s="17"/>
      <c r="T5020" s="75"/>
      <c r="U5020" s="75"/>
      <c r="V5020" s="75"/>
      <c r="W5020" s="75"/>
      <c r="X5020" s="75"/>
    </row>
    <row r="5021">
      <c r="A5021" s="17"/>
      <c r="B5021" s="17"/>
      <c r="C5021" s="133"/>
      <c r="D5021" s="133"/>
      <c r="E5021" s="17"/>
      <c r="F5021" s="133"/>
      <c r="G5021" s="133"/>
      <c r="H5021" s="133"/>
      <c r="I5021" s="133"/>
      <c r="J5021" s="133"/>
      <c r="K5021" s="133"/>
      <c r="L5021" s="133"/>
      <c r="M5021" s="133"/>
      <c r="N5021" s="133"/>
      <c r="O5021" s="133"/>
      <c r="P5021" s="134"/>
      <c r="Q5021" s="146"/>
      <c r="R5021" s="17"/>
      <c r="S5021" s="17"/>
      <c r="T5021" s="75"/>
      <c r="U5021" s="75"/>
      <c r="V5021" s="75"/>
      <c r="W5021" s="75"/>
      <c r="X5021" s="75"/>
    </row>
    <row r="5022">
      <c r="A5022" s="17"/>
      <c r="B5022" s="17"/>
      <c r="C5022" s="133"/>
      <c r="D5022" s="133"/>
      <c r="E5022" s="17"/>
      <c r="F5022" s="133"/>
      <c r="G5022" s="133"/>
      <c r="H5022" s="133"/>
      <c r="I5022" s="133"/>
      <c r="J5022" s="133"/>
      <c r="K5022" s="133"/>
      <c r="L5022" s="133"/>
      <c r="M5022" s="133"/>
      <c r="N5022" s="133"/>
      <c r="O5022" s="133"/>
      <c r="P5022" s="134"/>
      <c r="Q5022" s="146"/>
      <c r="R5022" s="17"/>
      <c r="S5022" s="17"/>
      <c r="T5022" s="75"/>
      <c r="U5022" s="75"/>
      <c r="V5022" s="75"/>
      <c r="W5022" s="75"/>
      <c r="X5022" s="75"/>
    </row>
    <row r="5023">
      <c r="A5023" s="17"/>
      <c r="B5023" s="17"/>
      <c r="C5023" s="133"/>
      <c r="D5023" s="133"/>
      <c r="E5023" s="17"/>
      <c r="F5023" s="133"/>
      <c r="G5023" s="133"/>
      <c r="H5023" s="133"/>
      <c r="I5023" s="133"/>
      <c r="J5023" s="133"/>
      <c r="K5023" s="133"/>
      <c r="L5023" s="133"/>
      <c r="M5023" s="133"/>
      <c r="N5023" s="133"/>
      <c r="O5023" s="133"/>
      <c r="P5023" s="134"/>
      <c r="Q5023" s="146"/>
      <c r="R5023" s="17"/>
      <c r="S5023" s="17"/>
      <c r="T5023" s="75"/>
      <c r="U5023" s="75"/>
      <c r="V5023" s="75"/>
      <c r="W5023" s="75"/>
      <c r="X5023" s="75"/>
    </row>
    <row r="5024">
      <c r="A5024" s="17"/>
      <c r="B5024" s="17"/>
      <c r="C5024" s="133"/>
      <c r="D5024" s="133"/>
      <c r="E5024" s="17"/>
      <c r="F5024" s="133"/>
      <c r="G5024" s="133"/>
      <c r="H5024" s="133"/>
      <c r="I5024" s="133"/>
      <c r="J5024" s="133"/>
      <c r="K5024" s="133"/>
      <c r="L5024" s="133"/>
      <c r="M5024" s="133"/>
      <c r="N5024" s="133"/>
      <c r="O5024" s="133"/>
      <c r="P5024" s="134"/>
      <c r="Q5024" s="146"/>
      <c r="R5024" s="17"/>
      <c r="S5024" s="17"/>
      <c r="T5024" s="75"/>
      <c r="U5024" s="75"/>
      <c r="V5024" s="75"/>
      <c r="W5024" s="75"/>
      <c r="X5024" s="75"/>
    </row>
    <row r="5025">
      <c r="A5025" s="17"/>
      <c r="B5025" s="17"/>
      <c r="C5025" s="133"/>
      <c r="D5025" s="133"/>
      <c r="E5025" s="17"/>
      <c r="F5025" s="133"/>
      <c r="G5025" s="133"/>
      <c r="H5025" s="133"/>
      <c r="I5025" s="133"/>
      <c r="J5025" s="133"/>
      <c r="K5025" s="133"/>
      <c r="L5025" s="133"/>
      <c r="M5025" s="133"/>
      <c r="N5025" s="133"/>
      <c r="O5025" s="133"/>
      <c r="P5025" s="134"/>
      <c r="Q5025" s="146"/>
      <c r="R5025" s="17"/>
      <c r="S5025" s="17"/>
      <c r="T5025" s="75"/>
      <c r="U5025" s="75"/>
      <c r="V5025" s="75"/>
      <c r="W5025" s="75"/>
      <c r="X5025" s="75"/>
    </row>
    <row r="5026">
      <c r="A5026" s="17"/>
      <c r="B5026" s="17"/>
      <c r="C5026" s="133"/>
      <c r="D5026" s="133"/>
      <c r="E5026" s="17"/>
      <c r="F5026" s="133"/>
      <c r="G5026" s="133"/>
      <c r="H5026" s="133"/>
      <c r="I5026" s="133"/>
      <c r="J5026" s="133"/>
      <c r="K5026" s="133"/>
      <c r="L5026" s="133"/>
      <c r="M5026" s="133"/>
      <c r="N5026" s="133"/>
      <c r="O5026" s="133"/>
      <c r="P5026" s="134"/>
      <c r="Q5026" s="146"/>
      <c r="R5026" s="17"/>
      <c r="S5026" s="17"/>
      <c r="T5026" s="75"/>
      <c r="U5026" s="75"/>
      <c r="V5026" s="75"/>
      <c r="W5026" s="75"/>
      <c r="X5026" s="75"/>
    </row>
    <row r="5027">
      <c r="A5027" s="17"/>
      <c r="B5027" s="17"/>
      <c r="C5027" s="133"/>
      <c r="D5027" s="133"/>
      <c r="E5027" s="17"/>
      <c r="F5027" s="133"/>
      <c r="G5027" s="133"/>
      <c r="H5027" s="133"/>
      <c r="I5027" s="133"/>
      <c r="J5027" s="133"/>
      <c r="K5027" s="133"/>
      <c r="L5027" s="133"/>
      <c r="M5027" s="133"/>
      <c r="N5027" s="133"/>
      <c r="O5027" s="133"/>
      <c r="P5027" s="134"/>
      <c r="Q5027" s="146"/>
      <c r="R5027" s="17"/>
      <c r="S5027" s="17"/>
      <c r="T5027" s="75"/>
      <c r="U5027" s="75"/>
      <c r="V5027" s="75"/>
      <c r="W5027" s="75"/>
      <c r="X5027" s="75"/>
    </row>
    <row r="5028">
      <c r="A5028" s="17"/>
      <c r="B5028" s="17"/>
      <c r="C5028" s="133"/>
      <c r="D5028" s="133"/>
      <c r="E5028" s="17"/>
      <c r="F5028" s="133"/>
      <c r="G5028" s="133"/>
      <c r="H5028" s="133"/>
      <c r="I5028" s="133"/>
      <c r="J5028" s="133"/>
      <c r="K5028" s="133"/>
      <c r="L5028" s="133"/>
      <c r="M5028" s="133"/>
      <c r="N5028" s="133"/>
      <c r="O5028" s="133"/>
      <c r="P5028" s="134"/>
      <c r="Q5028" s="146"/>
      <c r="R5028" s="17"/>
      <c r="S5028" s="17"/>
      <c r="T5028" s="75"/>
      <c r="U5028" s="75"/>
      <c r="V5028" s="75"/>
      <c r="W5028" s="75"/>
      <c r="X5028" s="75"/>
    </row>
    <row r="5029">
      <c r="A5029" s="17"/>
      <c r="B5029" s="17"/>
      <c r="C5029" s="133"/>
      <c r="D5029" s="133"/>
      <c r="E5029" s="17"/>
      <c r="F5029" s="133"/>
      <c r="G5029" s="133"/>
      <c r="H5029" s="133"/>
      <c r="I5029" s="133"/>
      <c r="J5029" s="133"/>
      <c r="K5029" s="133"/>
      <c r="L5029" s="133"/>
      <c r="M5029" s="133"/>
      <c r="N5029" s="133"/>
      <c r="O5029" s="133"/>
      <c r="P5029" s="134"/>
      <c r="Q5029" s="146"/>
      <c r="R5029" s="17"/>
      <c r="S5029" s="17"/>
      <c r="T5029" s="75"/>
      <c r="U5029" s="75"/>
      <c r="V5029" s="75"/>
      <c r="W5029" s="75"/>
      <c r="X5029" s="75"/>
    </row>
    <row r="5030">
      <c r="A5030" s="17"/>
      <c r="B5030" s="17"/>
      <c r="C5030" s="133"/>
      <c r="D5030" s="133"/>
      <c r="E5030" s="17"/>
      <c r="F5030" s="133"/>
      <c r="G5030" s="133"/>
      <c r="H5030" s="133"/>
      <c r="I5030" s="133"/>
      <c r="J5030" s="133"/>
      <c r="K5030" s="133"/>
      <c r="L5030" s="133"/>
      <c r="M5030" s="133"/>
      <c r="N5030" s="133"/>
      <c r="O5030" s="133"/>
      <c r="P5030" s="134"/>
      <c r="Q5030" s="146"/>
      <c r="R5030" s="17"/>
      <c r="S5030" s="17"/>
      <c r="T5030" s="75"/>
      <c r="U5030" s="75"/>
      <c r="V5030" s="75"/>
      <c r="W5030" s="75"/>
      <c r="X5030" s="75"/>
    </row>
    <row r="5031">
      <c r="A5031" s="17"/>
      <c r="B5031" s="17"/>
      <c r="C5031" s="133"/>
      <c r="D5031" s="133"/>
      <c r="E5031" s="17"/>
      <c r="F5031" s="133"/>
      <c r="G5031" s="133"/>
      <c r="H5031" s="133"/>
      <c r="I5031" s="133"/>
      <c r="J5031" s="133"/>
      <c r="K5031" s="133"/>
      <c r="L5031" s="133"/>
      <c r="M5031" s="133"/>
      <c r="N5031" s="133"/>
      <c r="O5031" s="133"/>
      <c r="P5031" s="134"/>
      <c r="Q5031" s="146"/>
      <c r="R5031" s="17"/>
      <c r="S5031" s="17"/>
      <c r="T5031" s="75"/>
      <c r="U5031" s="75"/>
      <c r="V5031" s="75"/>
      <c r="W5031" s="75"/>
      <c r="X5031" s="75"/>
    </row>
    <row r="5032">
      <c r="A5032" s="17"/>
      <c r="B5032" s="17"/>
      <c r="C5032" s="133"/>
      <c r="D5032" s="133"/>
      <c r="E5032" s="17"/>
      <c r="F5032" s="133"/>
      <c r="G5032" s="133"/>
      <c r="H5032" s="133"/>
      <c r="I5032" s="133"/>
      <c r="J5032" s="133"/>
      <c r="K5032" s="133"/>
      <c r="L5032" s="133"/>
      <c r="M5032" s="133"/>
      <c r="N5032" s="133"/>
      <c r="O5032" s="133"/>
      <c r="P5032" s="134"/>
      <c r="Q5032" s="146"/>
      <c r="R5032" s="17"/>
      <c r="S5032" s="17"/>
      <c r="T5032" s="75"/>
      <c r="U5032" s="75"/>
      <c r="V5032" s="75"/>
      <c r="W5032" s="75"/>
      <c r="X5032" s="75"/>
    </row>
    <row r="5033">
      <c r="A5033" s="17"/>
      <c r="B5033" s="17"/>
      <c r="C5033" s="133"/>
      <c r="D5033" s="133"/>
      <c r="E5033" s="17"/>
      <c r="F5033" s="133"/>
      <c r="G5033" s="133"/>
      <c r="H5033" s="133"/>
      <c r="I5033" s="133"/>
      <c r="J5033" s="133"/>
      <c r="K5033" s="133"/>
      <c r="L5033" s="133"/>
      <c r="M5033" s="133"/>
      <c r="N5033" s="133"/>
      <c r="O5033" s="133"/>
      <c r="P5033" s="134"/>
      <c r="Q5033" s="146"/>
      <c r="R5033" s="17"/>
      <c r="S5033" s="17"/>
      <c r="T5033" s="75"/>
      <c r="U5033" s="75"/>
      <c r="V5033" s="75"/>
      <c r="W5033" s="75"/>
      <c r="X5033" s="75"/>
    </row>
    <row r="5034">
      <c r="A5034" s="17"/>
      <c r="B5034" s="17"/>
      <c r="C5034" s="133"/>
      <c r="D5034" s="133"/>
      <c r="E5034" s="17"/>
      <c r="F5034" s="133"/>
      <c r="G5034" s="133"/>
      <c r="H5034" s="133"/>
      <c r="I5034" s="133"/>
      <c r="J5034" s="133"/>
      <c r="K5034" s="133"/>
      <c r="L5034" s="133"/>
      <c r="M5034" s="133"/>
      <c r="N5034" s="133"/>
      <c r="O5034" s="133"/>
      <c r="P5034" s="134"/>
      <c r="Q5034" s="146"/>
      <c r="R5034" s="17"/>
      <c r="S5034" s="17"/>
      <c r="T5034" s="75"/>
      <c r="U5034" s="75"/>
      <c r="V5034" s="75"/>
      <c r="W5034" s="75"/>
      <c r="X5034" s="75"/>
    </row>
    <row r="5035">
      <c r="A5035" s="17"/>
      <c r="B5035" s="17"/>
      <c r="C5035" s="133"/>
      <c r="D5035" s="133"/>
      <c r="E5035" s="17"/>
      <c r="F5035" s="133"/>
      <c r="G5035" s="133"/>
      <c r="H5035" s="133"/>
      <c r="I5035" s="133"/>
      <c r="J5035" s="133"/>
      <c r="K5035" s="133"/>
      <c r="L5035" s="133"/>
      <c r="M5035" s="133"/>
      <c r="N5035" s="133"/>
      <c r="O5035" s="133"/>
      <c r="P5035" s="134"/>
      <c r="Q5035" s="146"/>
      <c r="R5035" s="17"/>
      <c r="S5035" s="17"/>
      <c r="T5035" s="75"/>
      <c r="U5035" s="75"/>
      <c r="V5035" s="75"/>
      <c r="W5035" s="75"/>
      <c r="X5035" s="75"/>
    </row>
    <row r="5036">
      <c r="A5036" s="17"/>
      <c r="B5036" s="17"/>
      <c r="C5036" s="133"/>
      <c r="D5036" s="133"/>
      <c r="E5036" s="17"/>
      <c r="F5036" s="133"/>
      <c r="G5036" s="133"/>
      <c r="H5036" s="133"/>
      <c r="I5036" s="133"/>
      <c r="J5036" s="133"/>
      <c r="K5036" s="133"/>
      <c r="L5036" s="133"/>
      <c r="M5036" s="133"/>
      <c r="N5036" s="133"/>
      <c r="O5036" s="133"/>
      <c r="P5036" s="134"/>
      <c r="Q5036" s="146"/>
      <c r="R5036" s="17"/>
      <c r="S5036" s="17"/>
      <c r="T5036" s="75"/>
      <c r="U5036" s="75"/>
      <c r="V5036" s="75"/>
      <c r="W5036" s="75"/>
      <c r="X5036" s="75"/>
    </row>
    <row r="5037">
      <c r="A5037" s="17"/>
      <c r="B5037" s="17"/>
      <c r="C5037" s="133"/>
      <c r="D5037" s="133"/>
      <c r="E5037" s="17"/>
      <c r="F5037" s="133"/>
      <c r="G5037" s="133"/>
      <c r="H5037" s="133"/>
      <c r="I5037" s="133"/>
      <c r="J5037" s="133"/>
      <c r="K5037" s="133"/>
      <c r="L5037" s="133"/>
      <c r="M5037" s="133"/>
      <c r="N5037" s="133"/>
      <c r="O5037" s="133"/>
      <c r="P5037" s="134"/>
      <c r="Q5037" s="146"/>
      <c r="R5037" s="17"/>
      <c r="S5037" s="17"/>
      <c r="T5037" s="75"/>
      <c r="U5037" s="75"/>
      <c r="V5037" s="75"/>
      <c r="W5037" s="75"/>
      <c r="X5037" s="75"/>
    </row>
    <row r="5038">
      <c r="A5038" s="17"/>
      <c r="B5038" s="17"/>
      <c r="C5038" s="133"/>
      <c r="D5038" s="133"/>
      <c r="E5038" s="17"/>
      <c r="F5038" s="133"/>
      <c r="G5038" s="133"/>
      <c r="H5038" s="133"/>
      <c r="I5038" s="133"/>
      <c r="J5038" s="133"/>
      <c r="K5038" s="133"/>
      <c r="L5038" s="133"/>
      <c r="M5038" s="133"/>
      <c r="N5038" s="133"/>
      <c r="O5038" s="133"/>
      <c r="P5038" s="134"/>
      <c r="Q5038" s="146"/>
      <c r="R5038" s="17"/>
      <c r="S5038" s="17"/>
      <c r="T5038" s="75"/>
      <c r="U5038" s="75"/>
      <c r="V5038" s="75"/>
      <c r="W5038" s="75"/>
      <c r="X5038" s="75"/>
    </row>
    <row r="5039">
      <c r="A5039" s="17"/>
      <c r="B5039" s="17"/>
      <c r="C5039" s="133"/>
      <c r="D5039" s="133"/>
      <c r="E5039" s="17"/>
      <c r="F5039" s="133"/>
      <c r="G5039" s="133"/>
      <c r="H5039" s="133"/>
      <c r="I5039" s="133"/>
      <c r="J5039" s="133"/>
      <c r="K5039" s="133"/>
      <c r="L5039" s="133"/>
      <c r="M5039" s="133"/>
      <c r="N5039" s="133"/>
      <c r="O5039" s="133"/>
      <c r="P5039" s="134"/>
      <c r="Q5039" s="146"/>
      <c r="R5039" s="17"/>
      <c r="S5039" s="17"/>
      <c r="T5039" s="75"/>
      <c r="U5039" s="75"/>
      <c r="V5039" s="75"/>
      <c r="W5039" s="75"/>
      <c r="X5039" s="75"/>
    </row>
    <row r="5040">
      <c r="A5040" s="17"/>
      <c r="B5040" s="17"/>
      <c r="C5040" s="133"/>
      <c r="D5040" s="133"/>
      <c r="E5040" s="17"/>
      <c r="F5040" s="133"/>
      <c r="G5040" s="133"/>
      <c r="H5040" s="133"/>
      <c r="I5040" s="133"/>
      <c r="J5040" s="133"/>
      <c r="K5040" s="133"/>
      <c r="L5040" s="133"/>
      <c r="M5040" s="133"/>
      <c r="N5040" s="133"/>
      <c r="O5040" s="133"/>
      <c r="P5040" s="134"/>
      <c r="Q5040" s="146"/>
      <c r="R5040" s="17"/>
      <c r="S5040" s="17"/>
      <c r="T5040" s="75"/>
      <c r="U5040" s="75"/>
      <c r="V5040" s="75"/>
      <c r="W5040" s="75"/>
      <c r="X5040" s="75"/>
    </row>
    <row r="5041">
      <c r="A5041" s="17"/>
      <c r="B5041" s="17"/>
      <c r="C5041" s="133"/>
      <c r="D5041" s="133"/>
      <c r="E5041" s="17"/>
      <c r="F5041" s="133"/>
      <c r="G5041" s="133"/>
      <c r="H5041" s="133"/>
      <c r="I5041" s="133"/>
      <c r="J5041" s="133"/>
      <c r="K5041" s="133"/>
      <c r="L5041" s="133"/>
      <c r="M5041" s="133"/>
      <c r="N5041" s="133"/>
      <c r="O5041" s="133"/>
      <c r="P5041" s="134"/>
      <c r="Q5041" s="146"/>
      <c r="R5041" s="17"/>
      <c r="S5041" s="17"/>
      <c r="T5041" s="75"/>
      <c r="U5041" s="75"/>
      <c r="V5041" s="75"/>
      <c r="W5041" s="75"/>
      <c r="X5041" s="75"/>
    </row>
    <row r="5042">
      <c r="A5042" s="17"/>
      <c r="B5042" s="17"/>
      <c r="C5042" s="133"/>
      <c r="D5042" s="133"/>
      <c r="E5042" s="17"/>
      <c r="F5042" s="133"/>
      <c r="G5042" s="133"/>
      <c r="H5042" s="133"/>
      <c r="I5042" s="133"/>
      <c r="J5042" s="133"/>
      <c r="K5042" s="133"/>
      <c r="L5042" s="133"/>
      <c r="M5042" s="133"/>
      <c r="N5042" s="133"/>
      <c r="O5042" s="133"/>
      <c r="P5042" s="134"/>
      <c r="Q5042" s="146"/>
      <c r="R5042" s="17"/>
      <c r="S5042" s="17"/>
      <c r="T5042" s="75"/>
      <c r="U5042" s="75"/>
      <c r="V5042" s="75"/>
      <c r="W5042" s="75"/>
      <c r="X5042" s="75"/>
    </row>
    <row r="5043">
      <c r="A5043" s="17"/>
      <c r="B5043" s="17"/>
      <c r="C5043" s="133"/>
      <c r="D5043" s="133"/>
      <c r="E5043" s="17"/>
      <c r="F5043" s="133"/>
      <c r="G5043" s="133"/>
      <c r="H5043" s="133"/>
      <c r="I5043" s="133"/>
      <c r="J5043" s="133"/>
      <c r="K5043" s="133"/>
      <c r="L5043" s="133"/>
      <c r="M5043" s="133"/>
      <c r="N5043" s="133"/>
      <c r="O5043" s="133"/>
      <c r="P5043" s="134"/>
      <c r="Q5043" s="146"/>
      <c r="R5043" s="17"/>
      <c r="S5043" s="17"/>
      <c r="T5043" s="75"/>
      <c r="U5043" s="75"/>
      <c r="V5043" s="75"/>
      <c r="W5043" s="75"/>
      <c r="X5043" s="75"/>
    </row>
    <row r="5044">
      <c r="A5044" s="17"/>
      <c r="B5044" s="17"/>
      <c r="C5044" s="133"/>
      <c r="D5044" s="133"/>
      <c r="E5044" s="17"/>
      <c r="F5044" s="133"/>
      <c r="G5044" s="133"/>
      <c r="H5044" s="133"/>
      <c r="I5044" s="133"/>
      <c r="J5044" s="133"/>
      <c r="K5044" s="133"/>
      <c r="L5044" s="133"/>
      <c r="M5044" s="133"/>
      <c r="N5044" s="133"/>
      <c r="O5044" s="133"/>
      <c r="P5044" s="134"/>
      <c r="Q5044" s="146"/>
      <c r="R5044" s="17"/>
      <c r="S5044" s="17"/>
      <c r="T5044" s="75"/>
      <c r="U5044" s="75"/>
      <c r="V5044" s="75"/>
      <c r="W5044" s="75"/>
      <c r="X5044" s="75"/>
    </row>
    <row r="5045">
      <c r="A5045" s="17"/>
      <c r="B5045" s="17"/>
      <c r="C5045" s="133"/>
      <c r="D5045" s="133"/>
      <c r="E5045" s="17"/>
      <c r="F5045" s="133"/>
      <c r="G5045" s="133"/>
      <c r="H5045" s="133"/>
      <c r="I5045" s="133"/>
      <c r="J5045" s="133"/>
      <c r="K5045" s="133"/>
      <c r="L5045" s="133"/>
      <c r="M5045" s="133"/>
      <c r="N5045" s="133"/>
      <c r="O5045" s="133"/>
      <c r="P5045" s="134"/>
      <c r="Q5045" s="146"/>
      <c r="R5045" s="17"/>
      <c r="S5045" s="17"/>
      <c r="T5045" s="75"/>
      <c r="U5045" s="75"/>
      <c r="V5045" s="75"/>
      <c r="W5045" s="75"/>
      <c r="X5045" s="75"/>
    </row>
    <row r="5046">
      <c r="A5046" s="17"/>
      <c r="B5046" s="17"/>
      <c r="C5046" s="133"/>
      <c r="D5046" s="133"/>
      <c r="E5046" s="17"/>
      <c r="F5046" s="133"/>
      <c r="G5046" s="133"/>
      <c r="H5046" s="133"/>
      <c r="I5046" s="133"/>
      <c r="J5046" s="133"/>
      <c r="K5046" s="133"/>
      <c r="L5046" s="133"/>
      <c r="M5046" s="133"/>
      <c r="N5046" s="133"/>
      <c r="O5046" s="133"/>
      <c r="P5046" s="134"/>
      <c r="Q5046" s="146"/>
      <c r="R5046" s="17"/>
      <c r="S5046" s="17"/>
      <c r="T5046" s="75"/>
      <c r="U5046" s="75"/>
      <c r="V5046" s="75"/>
      <c r="W5046" s="75"/>
      <c r="X5046" s="75"/>
    </row>
    <row r="5047">
      <c r="A5047" s="17"/>
      <c r="B5047" s="17"/>
      <c r="C5047" s="133"/>
      <c r="D5047" s="133"/>
      <c r="E5047" s="17"/>
      <c r="F5047" s="133"/>
      <c r="G5047" s="133"/>
      <c r="H5047" s="133"/>
      <c r="I5047" s="133"/>
      <c r="J5047" s="133"/>
      <c r="K5047" s="133"/>
      <c r="L5047" s="133"/>
      <c r="M5047" s="133"/>
      <c r="N5047" s="133"/>
      <c r="O5047" s="133"/>
      <c r="P5047" s="134"/>
      <c r="Q5047" s="146"/>
      <c r="R5047" s="17"/>
      <c r="S5047" s="17"/>
      <c r="T5047" s="75"/>
      <c r="U5047" s="75"/>
      <c r="V5047" s="75"/>
      <c r="W5047" s="75"/>
      <c r="X5047" s="75"/>
    </row>
    <row r="5048">
      <c r="A5048" s="17"/>
      <c r="B5048" s="17"/>
      <c r="C5048" s="133"/>
      <c r="D5048" s="133"/>
      <c r="E5048" s="17"/>
      <c r="F5048" s="133"/>
      <c r="G5048" s="133"/>
      <c r="H5048" s="133"/>
      <c r="I5048" s="133"/>
      <c r="J5048" s="133"/>
      <c r="K5048" s="133"/>
      <c r="L5048" s="133"/>
      <c r="M5048" s="133"/>
      <c r="N5048" s="133"/>
      <c r="O5048" s="133"/>
      <c r="P5048" s="134"/>
      <c r="Q5048" s="146"/>
      <c r="R5048" s="17"/>
      <c r="S5048" s="17"/>
      <c r="T5048" s="75"/>
      <c r="U5048" s="75"/>
      <c r="V5048" s="75"/>
      <c r="W5048" s="75"/>
      <c r="X5048" s="75"/>
    </row>
    <row r="5049">
      <c r="A5049" s="17"/>
      <c r="B5049" s="17"/>
      <c r="C5049" s="133"/>
      <c r="D5049" s="133"/>
      <c r="E5049" s="17"/>
      <c r="F5049" s="133"/>
      <c r="G5049" s="133"/>
      <c r="H5049" s="133"/>
      <c r="I5049" s="133"/>
      <c r="J5049" s="133"/>
      <c r="K5049" s="133"/>
      <c r="L5049" s="133"/>
      <c r="M5049" s="133"/>
      <c r="N5049" s="133"/>
      <c r="O5049" s="133"/>
      <c r="P5049" s="134"/>
      <c r="Q5049" s="146"/>
      <c r="R5049" s="17"/>
      <c r="S5049" s="17"/>
      <c r="T5049" s="75"/>
      <c r="U5049" s="75"/>
      <c r="V5049" s="75"/>
      <c r="W5049" s="75"/>
      <c r="X5049" s="75"/>
    </row>
    <row r="5050">
      <c r="A5050" s="17"/>
      <c r="B5050" s="17"/>
      <c r="C5050" s="133"/>
      <c r="D5050" s="133"/>
      <c r="E5050" s="17"/>
      <c r="F5050" s="133"/>
      <c r="G5050" s="133"/>
      <c r="H5050" s="133"/>
      <c r="I5050" s="133"/>
      <c r="J5050" s="133"/>
      <c r="K5050" s="133"/>
      <c r="L5050" s="133"/>
      <c r="M5050" s="133"/>
      <c r="N5050" s="133"/>
      <c r="O5050" s="133"/>
      <c r="P5050" s="134"/>
      <c r="Q5050" s="146"/>
      <c r="R5050" s="17"/>
      <c r="S5050" s="17"/>
      <c r="T5050" s="75"/>
      <c r="U5050" s="75"/>
      <c r="V5050" s="75"/>
      <c r="W5050" s="75"/>
      <c r="X5050" s="75"/>
    </row>
    <row r="5051">
      <c r="A5051" s="17"/>
      <c r="B5051" s="17"/>
      <c r="C5051" s="133"/>
      <c r="D5051" s="133"/>
      <c r="E5051" s="17"/>
      <c r="F5051" s="133"/>
      <c r="G5051" s="133"/>
      <c r="H5051" s="133"/>
      <c r="I5051" s="133"/>
      <c r="J5051" s="133"/>
      <c r="K5051" s="133"/>
      <c r="L5051" s="133"/>
      <c r="M5051" s="133"/>
      <c r="N5051" s="133"/>
      <c r="O5051" s="133"/>
      <c r="P5051" s="134"/>
      <c r="Q5051" s="146"/>
      <c r="R5051" s="17"/>
      <c r="S5051" s="17"/>
      <c r="T5051" s="75"/>
      <c r="U5051" s="75"/>
      <c r="V5051" s="75"/>
      <c r="W5051" s="75"/>
      <c r="X5051" s="75"/>
    </row>
    <row r="5052">
      <c r="A5052" s="17"/>
      <c r="B5052" s="17"/>
      <c r="C5052" s="133"/>
      <c r="D5052" s="133"/>
      <c r="E5052" s="17"/>
      <c r="F5052" s="133"/>
      <c r="G5052" s="133"/>
      <c r="H5052" s="133"/>
      <c r="I5052" s="133"/>
      <c r="J5052" s="133"/>
      <c r="K5052" s="133"/>
      <c r="L5052" s="133"/>
      <c r="M5052" s="133"/>
      <c r="N5052" s="133"/>
      <c r="O5052" s="133"/>
      <c r="P5052" s="134"/>
      <c r="Q5052" s="146"/>
      <c r="R5052" s="17"/>
      <c r="S5052" s="17"/>
      <c r="T5052" s="75"/>
      <c r="U5052" s="75"/>
      <c r="V5052" s="75"/>
      <c r="W5052" s="75"/>
      <c r="X5052" s="75"/>
    </row>
    <row r="5053">
      <c r="A5053" s="17"/>
      <c r="B5053" s="17"/>
      <c r="C5053" s="133"/>
      <c r="D5053" s="133"/>
      <c r="E5053" s="17"/>
      <c r="F5053" s="133"/>
      <c r="G5053" s="133"/>
      <c r="H5053" s="133"/>
      <c r="I5053" s="133"/>
      <c r="J5053" s="133"/>
      <c r="K5053" s="133"/>
      <c r="L5053" s="133"/>
      <c r="M5053" s="133"/>
      <c r="N5053" s="133"/>
      <c r="O5053" s="133"/>
      <c r="P5053" s="134"/>
      <c r="Q5053" s="146"/>
      <c r="R5053" s="17"/>
      <c r="S5053" s="17"/>
      <c r="T5053" s="75"/>
      <c r="U5053" s="75"/>
      <c r="V5053" s="75"/>
      <c r="W5053" s="75"/>
      <c r="X5053" s="75"/>
    </row>
    <row r="5054">
      <c r="A5054" s="17"/>
      <c r="B5054" s="17"/>
      <c r="C5054" s="133"/>
      <c r="D5054" s="133"/>
      <c r="E5054" s="17"/>
      <c r="F5054" s="133"/>
      <c r="G5054" s="133"/>
      <c r="H5054" s="133"/>
      <c r="I5054" s="133"/>
      <c r="J5054" s="133"/>
      <c r="K5054" s="133"/>
      <c r="L5054" s="133"/>
      <c r="M5054" s="133"/>
      <c r="N5054" s="133"/>
      <c r="O5054" s="133"/>
      <c r="P5054" s="134"/>
      <c r="Q5054" s="146"/>
      <c r="R5054" s="17"/>
      <c r="S5054" s="17"/>
      <c r="T5054" s="75"/>
      <c r="U5054" s="75"/>
      <c r="V5054" s="75"/>
      <c r="W5054" s="75"/>
      <c r="X5054" s="75"/>
    </row>
    <row r="5055">
      <c r="A5055" s="17"/>
      <c r="B5055" s="17"/>
      <c r="C5055" s="133"/>
      <c r="D5055" s="133"/>
      <c r="E5055" s="17"/>
      <c r="F5055" s="133"/>
      <c r="G5055" s="133"/>
      <c r="H5055" s="133"/>
      <c r="I5055" s="133"/>
      <c r="J5055" s="133"/>
      <c r="K5055" s="133"/>
      <c r="L5055" s="133"/>
      <c r="M5055" s="133"/>
      <c r="N5055" s="133"/>
      <c r="O5055" s="133"/>
      <c r="P5055" s="134"/>
      <c r="Q5055" s="146"/>
      <c r="R5055" s="17"/>
      <c r="S5055" s="17"/>
      <c r="T5055" s="75"/>
      <c r="U5055" s="75"/>
      <c r="V5055" s="75"/>
      <c r="W5055" s="75"/>
      <c r="X5055" s="75"/>
    </row>
    <row r="5056">
      <c r="A5056" s="17"/>
      <c r="B5056" s="17"/>
      <c r="C5056" s="133"/>
      <c r="D5056" s="133"/>
      <c r="E5056" s="17"/>
      <c r="F5056" s="133"/>
      <c r="G5056" s="133"/>
      <c r="H5056" s="133"/>
      <c r="I5056" s="133"/>
      <c r="J5056" s="133"/>
      <c r="K5056" s="133"/>
      <c r="L5056" s="133"/>
      <c r="M5056" s="133"/>
      <c r="N5056" s="133"/>
      <c r="O5056" s="133"/>
      <c r="P5056" s="134"/>
      <c r="Q5056" s="146"/>
      <c r="R5056" s="17"/>
      <c r="S5056" s="17"/>
      <c r="T5056" s="75"/>
      <c r="U5056" s="75"/>
      <c r="V5056" s="75"/>
      <c r="W5056" s="75"/>
      <c r="X5056" s="75"/>
    </row>
    <row r="5057">
      <c r="A5057" s="17"/>
      <c r="B5057" s="17"/>
      <c r="C5057" s="133"/>
      <c r="D5057" s="133"/>
      <c r="E5057" s="17"/>
      <c r="F5057" s="133"/>
      <c r="G5057" s="133"/>
      <c r="H5057" s="133"/>
      <c r="I5057" s="133"/>
      <c r="J5057" s="133"/>
      <c r="K5057" s="133"/>
      <c r="L5057" s="133"/>
      <c r="M5057" s="133"/>
      <c r="N5057" s="133"/>
      <c r="O5057" s="133"/>
      <c r="P5057" s="134"/>
      <c r="Q5057" s="146"/>
      <c r="R5057" s="17"/>
      <c r="S5057" s="17"/>
      <c r="T5057" s="75"/>
      <c r="U5057" s="75"/>
      <c r="V5057" s="75"/>
      <c r="W5057" s="75"/>
      <c r="X5057" s="75"/>
    </row>
    <row r="5058">
      <c r="A5058" s="17"/>
      <c r="B5058" s="17"/>
      <c r="C5058" s="133"/>
      <c r="D5058" s="133"/>
      <c r="E5058" s="17"/>
      <c r="F5058" s="133"/>
      <c r="G5058" s="133"/>
      <c r="H5058" s="133"/>
      <c r="I5058" s="133"/>
      <c r="J5058" s="133"/>
      <c r="K5058" s="133"/>
      <c r="L5058" s="133"/>
      <c r="M5058" s="133"/>
      <c r="N5058" s="133"/>
      <c r="O5058" s="133"/>
      <c r="P5058" s="134"/>
      <c r="Q5058" s="146"/>
      <c r="R5058" s="17"/>
      <c r="S5058" s="17"/>
      <c r="T5058" s="75"/>
      <c r="U5058" s="75"/>
      <c r="V5058" s="75"/>
      <c r="W5058" s="75"/>
      <c r="X5058" s="75"/>
    </row>
    <row r="5059">
      <c r="A5059" s="17"/>
      <c r="B5059" s="17"/>
      <c r="C5059" s="133"/>
      <c r="D5059" s="133"/>
      <c r="E5059" s="17"/>
      <c r="F5059" s="133"/>
      <c r="G5059" s="133"/>
      <c r="H5059" s="133"/>
      <c r="I5059" s="133"/>
      <c r="J5059" s="133"/>
      <c r="K5059" s="133"/>
      <c r="L5059" s="133"/>
      <c r="M5059" s="133"/>
      <c r="N5059" s="133"/>
      <c r="O5059" s="133"/>
      <c r="P5059" s="134"/>
      <c r="Q5059" s="146"/>
      <c r="R5059" s="17"/>
      <c r="S5059" s="17"/>
      <c r="T5059" s="75"/>
      <c r="U5059" s="75"/>
      <c r="V5059" s="75"/>
      <c r="W5059" s="75"/>
      <c r="X5059" s="75"/>
    </row>
    <row r="5060">
      <c r="A5060" s="17"/>
      <c r="B5060" s="17"/>
      <c r="C5060" s="133"/>
      <c r="D5060" s="133"/>
      <c r="E5060" s="17"/>
      <c r="F5060" s="133"/>
      <c r="G5060" s="133"/>
      <c r="H5060" s="133"/>
      <c r="I5060" s="133"/>
      <c r="J5060" s="133"/>
      <c r="K5060" s="133"/>
      <c r="L5060" s="133"/>
      <c r="M5060" s="133"/>
      <c r="N5060" s="133"/>
      <c r="O5060" s="133"/>
      <c r="P5060" s="134"/>
      <c r="Q5060" s="146"/>
      <c r="R5060" s="17"/>
      <c r="S5060" s="17"/>
      <c r="T5060" s="75"/>
      <c r="U5060" s="75"/>
      <c r="V5060" s="75"/>
      <c r="W5060" s="75"/>
      <c r="X5060" s="75"/>
    </row>
    <row r="5061">
      <c r="A5061" s="17"/>
      <c r="B5061" s="17"/>
      <c r="C5061" s="133"/>
      <c r="D5061" s="133"/>
      <c r="E5061" s="17"/>
      <c r="F5061" s="133"/>
      <c r="G5061" s="133"/>
      <c r="H5061" s="133"/>
      <c r="I5061" s="133"/>
      <c r="J5061" s="133"/>
      <c r="K5061" s="133"/>
      <c r="L5061" s="133"/>
      <c r="M5061" s="133"/>
      <c r="N5061" s="133"/>
      <c r="O5061" s="133"/>
      <c r="P5061" s="134"/>
      <c r="Q5061" s="146"/>
      <c r="R5061" s="17"/>
      <c r="S5061" s="17"/>
      <c r="T5061" s="75"/>
      <c r="U5061" s="75"/>
      <c r="V5061" s="75"/>
      <c r="W5061" s="75"/>
      <c r="X5061" s="75"/>
    </row>
    <row r="5062">
      <c r="A5062" s="17"/>
      <c r="B5062" s="17"/>
      <c r="C5062" s="133"/>
      <c r="D5062" s="133"/>
      <c r="E5062" s="17"/>
      <c r="F5062" s="133"/>
      <c r="G5062" s="133"/>
      <c r="H5062" s="133"/>
      <c r="I5062" s="133"/>
      <c r="J5062" s="133"/>
      <c r="K5062" s="133"/>
      <c r="L5062" s="133"/>
      <c r="M5062" s="133"/>
      <c r="N5062" s="133"/>
      <c r="O5062" s="133"/>
      <c r="P5062" s="134"/>
      <c r="Q5062" s="146"/>
      <c r="R5062" s="17"/>
      <c r="S5062" s="17"/>
      <c r="T5062" s="75"/>
      <c r="U5062" s="75"/>
      <c r="V5062" s="75"/>
      <c r="W5062" s="75"/>
      <c r="X5062" s="75"/>
    </row>
    <row r="5063">
      <c r="A5063" s="17"/>
      <c r="B5063" s="17"/>
      <c r="C5063" s="133"/>
      <c r="D5063" s="133"/>
      <c r="E5063" s="17"/>
      <c r="F5063" s="133"/>
      <c r="G5063" s="133"/>
      <c r="H5063" s="133"/>
      <c r="I5063" s="133"/>
      <c r="J5063" s="133"/>
      <c r="K5063" s="133"/>
      <c r="L5063" s="133"/>
      <c r="M5063" s="133"/>
      <c r="N5063" s="133"/>
      <c r="O5063" s="133"/>
      <c r="P5063" s="134"/>
      <c r="Q5063" s="146"/>
      <c r="R5063" s="17"/>
      <c r="S5063" s="17"/>
      <c r="T5063" s="75"/>
      <c r="U5063" s="75"/>
      <c r="V5063" s="75"/>
      <c r="W5063" s="75"/>
      <c r="X5063" s="75"/>
    </row>
    <row r="5064">
      <c r="A5064" s="17"/>
      <c r="B5064" s="17"/>
      <c r="C5064" s="133"/>
      <c r="D5064" s="133"/>
      <c r="E5064" s="17"/>
      <c r="F5064" s="133"/>
      <c r="G5064" s="133"/>
      <c r="H5064" s="133"/>
      <c r="I5064" s="133"/>
      <c r="J5064" s="133"/>
      <c r="K5064" s="133"/>
      <c r="L5064" s="133"/>
      <c r="M5064" s="133"/>
      <c r="N5064" s="133"/>
      <c r="O5064" s="133"/>
      <c r="P5064" s="134"/>
      <c r="Q5064" s="146"/>
      <c r="R5064" s="17"/>
      <c r="S5064" s="17"/>
      <c r="T5064" s="75"/>
      <c r="U5064" s="75"/>
      <c r="V5064" s="75"/>
      <c r="W5064" s="75"/>
      <c r="X5064" s="75"/>
    </row>
    <row r="5065">
      <c r="A5065" s="17"/>
      <c r="B5065" s="17"/>
      <c r="C5065" s="133"/>
      <c r="D5065" s="133"/>
      <c r="E5065" s="17"/>
      <c r="F5065" s="133"/>
      <c r="G5065" s="133"/>
      <c r="H5065" s="133"/>
      <c r="I5065" s="133"/>
      <c r="J5065" s="133"/>
      <c r="K5065" s="133"/>
      <c r="L5065" s="133"/>
      <c r="M5065" s="133"/>
      <c r="N5065" s="133"/>
      <c r="O5065" s="133"/>
      <c r="P5065" s="134"/>
      <c r="Q5065" s="146"/>
      <c r="R5065" s="17"/>
      <c r="S5065" s="17"/>
      <c r="T5065" s="75"/>
      <c r="U5065" s="75"/>
      <c r="V5065" s="75"/>
      <c r="W5065" s="75"/>
      <c r="X5065" s="75"/>
    </row>
    <row r="5066">
      <c r="A5066" s="17"/>
      <c r="B5066" s="17"/>
      <c r="C5066" s="133"/>
      <c r="D5066" s="133"/>
      <c r="E5066" s="17"/>
      <c r="F5066" s="133"/>
      <c r="G5066" s="133"/>
      <c r="H5066" s="133"/>
      <c r="I5066" s="133"/>
      <c r="J5066" s="133"/>
      <c r="K5066" s="133"/>
      <c r="L5066" s="133"/>
      <c r="M5066" s="133"/>
      <c r="N5066" s="133"/>
      <c r="O5066" s="133"/>
      <c r="P5066" s="134"/>
      <c r="Q5066" s="146"/>
      <c r="R5066" s="17"/>
      <c r="S5066" s="17"/>
      <c r="T5066" s="75"/>
      <c r="U5066" s="75"/>
      <c r="V5066" s="75"/>
      <c r="W5066" s="75"/>
      <c r="X5066" s="75"/>
    </row>
    <row r="5067">
      <c r="A5067" s="17"/>
      <c r="B5067" s="17"/>
      <c r="C5067" s="133"/>
      <c r="D5067" s="133"/>
      <c r="E5067" s="17"/>
      <c r="F5067" s="133"/>
      <c r="G5067" s="133"/>
      <c r="H5067" s="133"/>
      <c r="I5067" s="133"/>
      <c r="J5067" s="133"/>
      <c r="K5067" s="133"/>
      <c r="L5067" s="133"/>
      <c r="M5067" s="133"/>
      <c r="N5067" s="133"/>
      <c r="O5067" s="133"/>
      <c r="P5067" s="134"/>
      <c r="Q5067" s="146"/>
      <c r="R5067" s="17"/>
      <c r="S5067" s="17"/>
      <c r="T5067" s="75"/>
      <c r="U5067" s="75"/>
      <c r="V5067" s="75"/>
      <c r="W5067" s="75"/>
      <c r="X5067" s="75"/>
    </row>
    <row r="5068">
      <c r="A5068" s="17"/>
      <c r="B5068" s="17"/>
      <c r="C5068" s="133"/>
      <c r="D5068" s="133"/>
      <c r="E5068" s="17"/>
      <c r="F5068" s="133"/>
      <c r="G5068" s="133"/>
      <c r="H5068" s="133"/>
      <c r="I5068" s="133"/>
      <c r="J5068" s="133"/>
      <c r="K5068" s="133"/>
      <c r="L5068" s="133"/>
      <c r="M5068" s="133"/>
      <c r="N5068" s="133"/>
      <c r="O5068" s="133"/>
      <c r="P5068" s="134"/>
      <c r="Q5068" s="146"/>
      <c r="R5068" s="17"/>
      <c r="S5068" s="17"/>
      <c r="T5068" s="75"/>
      <c r="U5068" s="75"/>
      <c r="V5068" s="75"/>
      <c r="W5068" s="75"/>
      <c r="X5068" s="75"/>
    </row>
    <row r="5069">
      <c r="A5069" s="17"/>
      <c r="B5069" s="17"/>
      <c r="C5069" s="133"/>
      <c r="D5069" s="133"/>
      <c r="E5069" s="17"/>
      <c r="F5069" s="133"/>
      <c r="G5069" s="133"/>
      <c r="H5069" s="133"/>
      <c r="I5069" s="133"/>
      <c r="J5069" s="133"/>
      <c r="K5069" s="133"/>
      <c r="L5069" s="133"/>
      <c r="M5069" s="133"/>
      <c r="N5069" s="133"/>
      <c r="O5069" s="133"/>
      <c r="P5069" s="134"/>
      <c r="Q5069" s="146"/>
      <c r="R5069" s="17"/>
      <c r="S5069" s="17"/>
      <c r="T5069" s="75"/>
      <c r="U5069" s="75"/>
      <c r="V5069" s="75"/>
      <c r="W5069" s="75"/>
      <c r="X5069" s="75"/>
    </row>
    <row r="5070">
      <c r="A5070" s="17"/>
      <c r="B5070" s="17"/>
      <c r="C5070" s="133"/>
      <c r="D5070" s="133"/>
      <c r="E5070" s="17"/>
      <c r="F5070" s="133"/>
      <c r="G5070" s="133"/>
      <c r="H5070" s="133"/>
      <c r="I5070" s="133"/>
      <c r="J5070" s="133"/>
      <c r="K5070" s="133"/>
      <c r="L5070" s="133"/>
      <c r="M5070" s="133"/>
      <c r="N5070" s="133"/>
      <c r="O5070" s="133"/>
      <c r="P5070" s="134"/>
      <c r="Q5070" s="146"/>
      <c r="R5070" s="17"/>
      <c r="S5070" s="17"/>
      <c r="T5070" s="75"/>
      <c r="U5070" s="75"/>
      <c r="V5070" s="75"/>
      <c r="W5070" s="75"/>
      <c r="X5070" s="75"/>
    </row>
    <row r="5071">
      <c r="A5071" s="17"/>
      <c r="B5071" s="17"/>
      <c r="C5071" s="133"/>
      <c r="D5071" s="133"/>
      <c r="E5071" s="17"/>
      <c r="F5071" s="133"/>
      <c r="G5071" s="133"/>
      <c r="H5071" s="133"/>
      <c r="I5071" s="133"/>
      <c r="J5071" s="133"/>
      <c r="K5071" s="133"/>
      <c r="L5071" s="133"/>
      <c r="M5071" s="133"/>
      <c r="N5071" s="133"/>
      <c r="O5071" s="133"/>
      <c r="P5071" s="134"/>
      <c r="Q5071" s="146"/>
      <c r="R5071" s="17"/>
      <c r="S5071" s="17"/>
      <c r="T5071" s="75"/>
      <c r="U5071" s="75"/>
      <c r="V5071" s="75"/>
      <c r="W5071" s="75"/>
      <c r="X5071" s="75"/>
    </row>
    <row r="5072">
      <c r="A5072" s="17"/>
      <c r="B5072" s="17"/>
      <c r="C5072" s="133"/>
      <c r="D5072" s="133"/>
      <c r="E5072" s="17"/>
      <c r="F5072" s="133"/>
      <c r="G5072" s="133"/>
      <c r="H5072" s="133"/>
      <c r="I5072" s="133"/>
      <c r="J5072" s="133"/>
      <c r="K5072" s="133"/>
      <c r="L5072" s="133"/>
      <c r="M5072" s="133"/>
      <c r="N5072" s="133"/>
      <c r="O5072" s="133"/>
      <c r="P5072" s="134"/>
      <c r="Q5072" s="146"/>
      <c r="R5072" s="17"/>
      <c r="S5072" s="17"/>
      <c r="T5072" s="75"/>
      <c r="U5072" s="75"/>
      <c r="V5072" s="75"/>
      <c r="W5072" s="75"/>
      <c r="X5072" s="75"/>
    </row>
    <row r="5073">
      <c r="A5073" s="17"/>
      <c r="B5073" s="17"/>
      <c r="C5073" s="133"/>
      <c r="D5073" s="133"/>
      <c r="E5073" s="17"/>
      <c r="F5073" s="133"/>
      <c r="G5073" s="133"/>
      <c r="H5073" s="133"/>
      <c r="I5073" s="133"/>
      <c r="J5073" s="133"/>
      <c r="K5073" s="133"/>
      <c r="L5073" s="133"/>
      <c r="M5073" s="133"/>
      <c r="N5073" s="133"/>
      <c r="O5073" s="133"/>
      <c r="P5073" s="134"/>
      <c r="Q5073" s="146"/>
      <c r="R5073" s="17"/>
      <c r="S5073" s="17"/>
      <c r="T5073" s="75"/>
      <c r="U5073" s="75"/>
      <c r="V5073" s="75"/>
      <c r="W5073" s="75"/>
      <c r="X5073" s="75"/>
    </row>
    <row r="5074">
      <c r="A5074" s="17"/>
      <c r="B5074" s="17"/>
      <c r="C5074" s="133"/>
      <c r="D5074" s="133"/>
      <c r="E5074" s="17"/>
      <c r="F5074" s="133"/>
      <c r="G5074" s="133"/>
      <c r="H5074" s="133"/>
      <c r="I5074" s="133"/>
      <c r="J5074" s="133"/>
      <c r="K5074" s="133"/>
      <c r="L5074" s="133"/>
      <c r="M5074" s="133"/>
      <c r="N5074" s="133"/>
      <c r="O5074" s="133"/>
      <c r="P5074" s="134"/>
      <c r="Q5074" s="146"/>
      <c r="R5074" s="17"/>
      <c r="S5074" s="17"/>
      <c r="T5074" s="75"/>
      <c r="U5074" s="75"/>
      <c r="V5074" s="75"/>
      <c r="W5074" s="75"/>
      <c r="X5074" s="75"/>
    </row>
    <row r="5075">
      <c r="A5075" s="17"/>
      <c r="B5075" s="17"/>
      <c r="C5075" s="133"/>
      <c r="D5075" s="133"/>
      <c r="E5075" s="17"/>
      <c r="F5075" s="133"/>
      <c r="G5075" s="133"/>
      <c r="H5075" s="133"/>
      <c r="I5075" s="133"/>
      <c r="J5075" s="133"/>
      <c r="K5075" s="133"/>
      <c r="L5075" s="133"/>
      <c r="M5075" s="133"/>
      <c r="N5075" s="133"/>
      <c r="O5075" s="133"/>
      <c r="P5075" s="134"/>
      <c r="Q5075" s="146"/>
      <c r="R5075" s="17"/>
      <c r="S5075" s="17"/>
      <c r="T5075" s="75"/>
      <c r="U5075" s="75"/>
      <c r="V5075" s="75"/>
      <c r="W5075" s="75"/>
      <c r="X5075" s="75"/>
    </row>
    <row r="5076">
      <c r="A5076" s="17"/>
      <c r="B5076" s="17"/>
      <c r="C5076" s="133"/>
      <c r="D5076" s="133"/>
      <c r="E5076" s="17"/>
      <c r="F5076" s="133"/>
      <c r="G5076" s="133"/>
      <c r="H5076" s="133"/>
      <c r="I5076" s="133"/>
      <c r="J5076" s="133"/>
      <c r="K5076" s="133"/>
      <c r="L5076" s="133"/>
      <c r="M5076" s="133"/>
      <c r="N5076" s="133"/>
      <c r="O5076" s="133"/>
      <c r="P5076" s="134"/>
      <c r="Q5076" s="146"/>
      <c r="R5076" s="17"/>
      <c r="S5076" s="17"/>
      <c r="T5076" s="75"/>
      <c r="U5076" s="75"/>
      <c r="V5076" s="75"/>
      <c r="W5076" s="75"/>
      <c r="X5076" s="75"/>
    </row>
    <row r="5077">
      <c r="A5077" s="17"/>
      <c r="B5077" s="17"/>
      <c r="C5077" s="133"/>
      <c r="D5077" s="133"/>
      <c r="E5077" s="17"/>
      <c r="F5077" s="133"/>
      <c r="G5077" s="133"/>
      <c r="H5077" s="133"/>
      <c r="I5077" s="133"/>
      <c r="J5077" s="133"/>
      <c r="K5077" s="133"/>
      <c r="L5077" s="133"/>
      <c r="M5077" s="133"/>
      <c r="N5077" s="133"/>
      <c r="O5077" s="133"/>
      <c r="P5077" s="134"/>
      <c r="Q5077" s="146"/>
      <c r="R5077" s="17"/>
      <c r="S5077" s="17"/>
      <c r="T5077" s="75"/>
      <c r="U5077" s="75"/>
      <c r="V5077" s="75"/>
      <c r="W5077" s="75"/>
      <c r="X5077" s="75"/>
    </row>
    <row r="5078">
      <c r="A5078" s="17"/>
      <c r="B5078" s="17"/>
      <c r="C5078" s="133"/>
      <c r="D5078" s="133"/>
      <c r="E5078" s="17"/>
      <c r="F5078" s="133"/>
      <c r="G5078" s="133"/>
      <c r="H5078" s="133"/>
      <c r="I5078" s="133"/>
      <c r="J5078" s="133"/>
      <c r="K5078" s="133"/>
      <c r="L5078" s="133"/>
      <c r="M5078" s="133"/>
      <c r="N5078" s="133"/>
      <c r="O5078" s="133"/>
      <c r="P5078" s="134"/>
      <c r="Q5078" s="146"/>
      <c r="R5078" s="17"/>
      <c r="S5078" s="17"/>
      <c r="T5078" s="75"/>
      <c r="U5078" s="75"/>
      <c r="V5078" s="75"/>
      <c r="W5078" s="75"/>
      <c r="X5078" s="75"/>
    </row>
    <row r="5079">
      <c r="A5079" s="17"/>
      <c r="B5079" s="17"/>
      <c r="C5079" s="133"/>
      <c r="D5079" s="133"/>
      <c r="E5079" s="17"/>
      <c r="F5079" s="133"/>
      <c r="G5079" s="133"/>
      <c r="H5079" s="133"/>
      <c r="I5079" s="133"/>
      <c r="J5079" s="133"/>
      <c r="K5079" s="133"/>
      <c r="L5079" s="133"/>
      <c r="M5079" s="133"/>
      <c r="N5079" s="133"/>
      <c r="O5079" s="133"/>
      <c r="P5079" s="134"/>
      <c r="Q5079" s="146"/>
      <c r="R5079" s="17"/>
      <c r="S5079" s="17"/>
      <c r="T5079" s="75"/>
      <c r="U5079" s="75"/>
      <c r="V5079" s="75"/>
      <c r="W5079" s="75"/>
      <c r="X5079" s="75"/>
    </row>
    <row r="5080">
      <c r="A5080" s="17"/>
      <c r="B5080" s="17"/>
      <c r="C5080" s="133"/>
      <c r="D5080" s="133"/>
      <c r="E5080" s="17"/>
      <c r="F5080" s="133"/>
      <c r="G5080" s="133"/>
      <c r="H5080" s="133"/>
      <c r="I5080" s="133"/>
      <c r="J5080" s="133"/>
      <c r="K5080" s="133"/>
      <c r="L5080" s="133"/>
      <c r="M5080" s="133"/>
      <c r="N5080" s="133"/>
      <c r="O5080" s="133"/>
      <c r="P5080" s="134"/>
      <c r="Q5080" s="146"/>
      <c r="R5080" s="17"/>
      <c r="S5080" s="17"/>
      <c r="T5080" s="75"/>
      <c r="U5080" s="75"/>
      <c r="V5080" s="75"/>
      <c r="W5080" s="75"/>
      <c r="X5080" s="75"/>
    </row>
    <row r="5081">
      <c r="A5081" s="17"/>
      <c r="B5081" s="17"/>
      <c r="C5081" s="133"/>
      <c r="D5081" s="133"/>
      <c r="E5081" s="17"/>
      <c r="F5081" s="133"/>
      <c r="G5081" s="133"/>
      <c r="H5081" s="133"/>
      <c r="I5081" s="133"/>
      <c r="J5081" s="133"/>
      <c r="K5081" s="133"/>
      <c r="L5081" s="133"/>
      <c r="M5081" s="133"/>
      <c r="N5081" s="133"/>
      <c r="O5081" s="133"/>
      <c r="P5081" s="134"/>
      <c r="Q5081" s="146"/>
      <c r="R5081" s="17"/>
      <c r="S5081" s="17"/>
      <c r="T5081" s="75"/>
      <c r="U5081" s="75"/>
      <c r="V5081" s="75"/>
      <c r="W5081" s="75"/>
      <c r="X5081" s="75"/>
    </row>
    <row r="5082">
      <c r="A5082" s="17"/>
      <c r="B5082" s="17"/>
      <c r="C5082" s="133"/>
      <c r="D5082" s="133"/>
      <c r="E5082" s="17"/>
      <c r="F5082" s="133"/>
      <c r="G5082" s="133"/>
      <c r="H5082" s="133"/>
      <c r="I5082" s="133"/>
      <c r="J5082" s="133"/>
      <c r="K5082" s="133"/>
      <c r="L5082" s="133"/>
      <c r="M5082" s="133"/>
      <c r="N5082" s="133"/>
      <c r="O5082" s="133"/>
      <c r="P5082" s="134"/>
      <c r="Q5082" s="146"/>
      <c r="R5082" s="17"/>
      <c r="S5082" s="17"/>
      <c r="T5082" s="75"/>
      <c r="U5082" s="75"/>
      <c r="V5082" s="75"/>
      <c r="W5082" s="75"/>
      <c r="X5082" s="75"/>
    </row>
    <row r="5083">
      <c r="A5083" s="17"/>
      <c r="B5083" s="17"/>
      <c r="C5083" s="133"/>
      <c r="D5083" s="133"/>
      <c r="E5083" s="17"/>
      <c r="F5083" s="133"/>
      <c r="G5083" s="133"/>
      <c r="H5083" s="133"/>
      <c r="I5083" s="133"/>
      <c r="J5083" s="133"/>
      <c r="K5083" s="133"/>
      <c r="L5083" s="133"/>
      <c r="M5083" s="133"/>
      <c r="N5083" s="133"/>
      <c r="O5083" s="133"/>
      <c r="P5083" s="134"/>
      <c r="Q5083" s="146"/>
      <c r="R5083" s="17"/>
      <c r="S5083" s="17"/>
      <c r="T5083" s="75"/>
      <c r="U5083" s="75"/>
      <c r="V5083" s="75"/>
      <c r="W5083" s="75"/>
      <c r="X5083" s="75"/>
    </row>
    <row r="5084">
      <c r="A5084" s="17"/>
      <c r="B5084" s="17"/>
      <c r="C5084" s="133"/>
      <c r="D5084" s="133"/>
      <c r="E5084" s="17"/>
      <c r="F5084" s="133"/>
      <c r="G5084" s="133"/>
      <c r="H5084" s="133"/>
      <c r="I5084" s="133"/>
      <c r="J5084" s="133"/>
      <c r="K5084" s="133"/>
      <c r="L5084" s="133"/>
      <c r="M5084" s="133"/>
      <c r="N5084" s="133"/>
      <c r="O5084" s="133"/>
      <c r="P5084" s="134"/>
      <c r="Q5084" s="146"/>
      <c r="R5084" s="17"/>
      <c r="S5084" s="17"/>
      <c r="T5084" s="75"/>
      <c r="U5084" s="75"/>
      <c r="V5084" s="75"/>
      <c r="W5084" s="75"/>
      <c r="X5084" s="75"/>
    </row>
    <row r="5085">
      <c r="A5085" s="17"/>
      <c r="B5085" s="17"/>
      <c r="C5085" s="133"/>
      <c r="D5085" s="133"/>
      <c r="E5085" s="17"/>
      <c r="F5085" s="133"/>
      <c r="G5085" s="133"/>
      <c r="H5085" s="133"/>
      <c r="I5085" s="133"/>
      <c r="J5085" s="133"/>
      <c r="K5085" s="133"/>
      <c r="L5085" s="133"/>
      <c r="M5085" s="133"/>
      <c r="N5085" s="133"/>
      <c r="O5085" s="133"/>
      <c r="P5085" s="134"/>
      <c r="Q5085" s="146"/>
      <c r="R5085" s="17"/>
      <c r="S5085" s="17"/>
      <c r="T5085" s="75"/>
      <c r="U5085" s="75"/>
      <c r="V5085" s="75"/>
      <c r="W5085" s="75"/>
      <c r="X5085" s="75"/>
    </row>
    <row r="5086">
      <c r="A5086" s="17"/>
      <c r="B5086" s="17"/>
      <c r="C5086" s="133"/>
      <c r="D5086" s="133"/>
      <c r="E5086" s="17"/>
      <c r="F5086" s="133"/>
      <c r="G5086" s="133"/>
      <c r="H5086" s="133"/>
      <c r="I5086" s="133"/>
      <c r="J5086" s="133"/>
      <c r="K5086" s="133"/>
      <c r="L5086" s="133"/>
      <c r="M5086" s="133"/>
      <c r="N5086" s="133"/>
      <c r="O5086" s="133"/>
      <c r="P5086" s="134"/>
      <c r="Q5086" s="146"/>
      <c r="R5086" s="17"/>
      <c r="S5086" s="17"/>
      <c r="T5086" s="75"/>
      <c r="U5086" s="75"/>
      <c r="V5086" s="75"/>
      <c r="W5086" s="75"/>
      <c r="X5086" s="75"/>
    </row>
    <row r="5087">
      <c r="A5087" s="17"/>
      <c r="B5087" s="17"/>
      <c r="C5087" s="133"/>
      <c r="D5087" s="133"/>
      <c r="E5087" s="17"/>
      <c r="F5087" s="133"/>
      <c r="G5087" s="133"/>
      <c r="H5087" s="133"/>
      <c r="I5087" s="133"/>
      <c r="J5087" s="133"/>
      <c r="K5087" s="133"/>
      <c r="L5087" s="133"/>
      <c r="M5087" s="133"/>
      <c r="N5087" s="133"/>
      <c r="O5087" s="133"/>
      <c r="P5087" s="134"/>
      <c r="Q5087" s="146"/>
      <c r="R5087" s="17"/>
      <c r="S5087" s="17"/>
      <c r="T5087" s="75"/>
      <c r="U5087" s="75"/>
      <c r="V5087" s="75"/>
      <c r="W5087" s="75"/>
      <c r="X5087" s="75"/>
    </row>
    <row r="5088">
      <c r="A5088" s="17"/>
      <c r="B5088" s="17"/>
      <c r="C5088" s="133"/>
      <c r="D5088" s="133"/>
      <c r="E5088" s="17"/>
      <c r="F5088" s="133"/>
      <c r="G5088" s="133"/>
      <c r="H5088" s="133"/>
      <c r="I5088" s="133"/>
      <c r="J5088" s="133"/>
      <c r="K5088" s="133"/>
      <c r="L5088" s="133"/>
      <c r="M5088" s="133"/>
      <c r="N5088" s="133"/>
      <c r="O5088" s="133"/>
      <c r="P5088" s="134"/>
      <c r="Q5088" s="146"/>
      <c r="R5088" s="17"/>
      <c r="S5088" s="17"/>
      <c r="T5088" s="75"/>
      <c r="U5088" s="75"/>
      <c r="V5088" s="75"/>
      <c r="W5088" s="75"/>
      <c r="X5088" s="75"/>
    </row>
    <row r="5089">
      <c r="A5089" s="17"/>
      <c r="B5089" s="17"/>
      <c r="C5089" s="133"/>
      <c r="D5089" s="133"/>
      <c r="E5089" s="17"/>
      <c r="F5089" s="133"/>
      <c r="G5089" s="133"/>
      <c r="H5089" s="133"/>
      <c r="I5089" s="133"/>
      <c r="J5089" s="133"/>
      <c r="K5089" s="133"/>
      <c r="L5089" s="133"/>
      <c r="M5089" s="133"/>
      <c r="N5089" s="133"/>
      <c r="O5089" s="133"/>
      <c r="P5089" s="134"/>
      <c r="Q5089" s="146"/>
      <c r="R5089" s="17"/>
      <c r="S5089" s="17"/>
      <c r="T5089" s="75"/>
      <c r="U5089" s="75"/>
      <c r="V5089" s="75"/>
      <c r="W5089" s="75"/>
      <c r="X5089" s="75"/>
    </row>
    <row r="5090">
      <c r="A5090" s="17"/>
      <c r="B5090" s="17"/>
      <c r="C5090" s="133"/>
      <c r="D5090" s="133"/>
      <c r="E5090" s="17"/>
      <c r="F5090" s="133"/>
      <c r="G5090" s="133"/>
      <c r="H5090" s="133"/>
      <c r="I5090" s="133"/>
      <c r="J5090" s="133"/>
      <c r="K5090" s="133"/>
      <c r="L5090" s="133"/>
      <c r="M5090" s="133"/>
      <c r="N5090" s="133"/>
      <c r="O5090" s="133"/>
      <c r="P5090" s="134"/>
      <c r="Q5090" s="146"/>
      <c r="R5090" s="17"/>
      <c r="S5090" s="17"/>
      <c r="T5090" s="75"/>
      <c r="U5090" s="75"/>
      <c r="V5090" s="75"/>
      <c r="W5090" s="75"/>
      <c r="X5090" s="75"/>
    </row>
    <row r="5091">
      <c r="A5091" s="17"/>
      <c r="B5091" s="17"/>
      <c r="C5091" s="133"/>
      <c r="D5091" s="133"/>
      <c r="E5091" s="17"/>
      <c r="F5091" s="133"/>
      <c r="G5091" s="133"/>
      <c r="H5091" s="133"/>
      <c r="I5091" s="133"/>
      <c r="J5091" s="133"/>
      <c r="K5091" s="133"/>
      <c r="L5091" s="133"/>
      <c r="M5091" s="133"/>
      <c r="N5091" s="133"/>
      <c r="O5091" s="133"/>
      <c r="P5091" s="134"/>
      <c r="Q5091" s="146"/>
      <c r="R5091" s="17"/>
      <c r="S5091" s="17"/>
      <c r="T5091" s="75"/>
      <c r="U5091" s="75"/>
      <c r="V5091" s="75"/>
      <c r="W5091" s="75"/>
      <c r="X5091" s="75"/>
    </row>
    <row r="5092">
      <c r="A5092" s="17"/>
      <c r="B5092" s="17"/>
      <c r="C5092" s="133"/>
      <c r="D5092" s="133"/>
      <c r="E5092" s="17"/>
      <c r="F5092" s="133"/>
      <c r="G5092" s="133"/>
      <c r="H5092" s="133"/>
      <c r="I5092" s="133"/>
      <c r="J5092" s="133"/>
      <c r="K5092" s="133"/>
      <c r="L5092" s="133"/>
      <c r="M5092" s="133"/>
      <c r="N5092" s="133"/>
      <c r="O5092" s="133"/>
      <c r="P5092" s="134"/>
      <c r="Q5092" s="146"/>
      <c r="R5092" s="17"/>
      <c r="S5092" s="17"/>
      <c r="T5092" s="75"/>
      <c r="U5092" s="75"/>
      <c r="V5092" s="75"/>
      <c r="W5092" s="75"/>
      <c r="X5092" s="75"/>
    </row>
    <row r="5093">
      <c r="A5093" s="17"/>
      <c r="B5093" s="17"/>
      <c r="C5093" s="133"/>
      <c r="D5093" s="133"/>
      <c r="E5093" s="17"/>
      <c r="F5093" s="133"/>
      <c r="G5093" s="133"/>
      <c r="H5093" s="133"/>
      <c r="I5093" s="133"/>
      <c r="J5093" s="133"/>
      <c r="K5093" s="133"/>
      <c r="L5093" s="133"/>
      <c r="M5093" s="133"/>
      <c r="N5093" s="133"/>
      <c r="O5093" s="133"/>
      <c r="P5093" s="134"/>
      <c r="Q5093" s="146"/>
      <c r="R5093" s="17"/>
      <c r="S5093" s="17"/>
      <c r="T5093" s="75"/>
      <c r="U5093" s="75"/>
      <c r="V5093" s="75"/>
      <c r="W5093" s="75"/>
      <c r="X5093" s="75"/>
    </row>
    <row r="5094">
      <c r="A5094" s="17"/>
      <c r="B5094" s="17"/>
      <c r="C5094" s="133"/>
      <c r="D5094" s="133"/>
      <c r="E5094" s="17"/>
      <c r="F5094" s="133"/>
      <c r="G5094" s="133"/>
      <c r="H5094" s="133"/>
      <c r="I5094" s="133"/>
      <c r="J5094" s="133"/>
      <c r="K5094" s="133"/>
      <c r="L5094" s="133"/>
      <c r="M5094" s="133"/>
      <c r="N5094" s="133"/>
      <c r="O5094" s="133"/>
      <c r="P5094" s="134"/>
      <c r="Q5094" s="146"/>
      <c r="R5094" s="17"/>
      <c r="S5094" s="17"/>
      <c r="T5094" s="75"/>
      <c r="U5094" s="75"/>
      <c r="V5094" s="75"/>
      <c r="W5094" s="75"/>
      <c r="X5094" s="75"/>
    </row>
    <row r="5095">
      <c r="A5095" s="17"/>
      <c r="B5095" s="17"/>
      <c r="C5095" s="133"/>
      <c r="D5095" s="133"/>
      <c r="E5095" s="17"/>
      <c r="F5095" s="133"/>
      <c r="G5095" s="133"/>
      <c r="H5095" s="133"/>
      <c r="I5095" s="133"/>
      <c r="J5095" s="133"/>
      <c r="K5095" s="133"/>
      <c r="L5095" s="133"/>
      <c r="M5095" s="133"/>
      <c r="N5095" s="133"/>
      <c r="O5095" s="133"/>
      <c r="P5095" s="134"/>
      <c r="Q5095" s="146"/>
      <c r="R5095" s="17"/>
      <c r="S5095" s="17"/>
      <c r="T5095" s="75"/>
      <c r="U5095" s="75"/>
      <c r="V5095" s="75"/>
      <c r="W5095" s="75"/>
      <c r="X5095" s="75"/>
    </row>
    <row r="5096">
      <c r="A5096" s="17"/>
      <c r="B5096" s="17"/>
      <c r="C5096" s="133"/>
      <c r="D5096" s="133"/>
      <c r="E5096" s="17"/>
      <c r="F5096" s="133"/>
      <c r="G5096" s="133"/>
      <c r="H5096" s="133"/>
      <c r="I5096" s="133"/>
      <c r="J5096" s="133"/>
      <c r="K5096" s="133"/>
      <c r="L5096" s="133"/>
      <c r="M5096" s="133"/>
      <c r="N5096" s="133"/>
      <c r="O5096" s="133"/>
      <c r="P5096" s="134"/>
      <c r="Q5096" s="146"/>
      <c r="R5096" s="17"/>
      <c r="S5096" s="17"/>
      <c r="T5096" s="75"/>
      <c r="U5096" s="75"/>
      <c r="V5096" s="75"/>
      <c r="W5096" s="75"/>
      <c r="X5096" s="75"/>
    </row>
    <row r="5097">
      <c r="A5097" s="17"/>
      <c r="B5097" s="17"/>
      <c r="C5097" s="133"/>
      <c r="D5097" s="133"/>
      <c r="E5097" s="17"/>
      <c r="F5097" s="133"/>
      <c r="G5097" s="133"/>
      <c r="H5097" s="133"/>
      <c r="I5097" s="133"/>
      <c r="J5097" s="133"/>
      <c r="K5097" s="133"/>
      <c r="L5097" s="133"/>
      <c r="M5097" s="133"/>
      <c r="N5097" s="133"/>
      <c r="O5097" s="133"/>
      <c r="P5097" s="134"/>
      <c r="Q5097" s="146"/>
      <c r="R5097" s="17"/>
      <c r="S5097" s="17"/>
      <c r="T5097" s="75"/>
      <c r="U5097" s="75"/>
      <c r="V5097" s="75"/>
      <c r="W5097" s="75"/>
      <c r="X5097" s="75"/>
    </row>
    <row r="5098">
      <c r="A5098" s="17"/>
      <c r="B5098" s="17"/>
      <c r="C5098" s="133"/>
      <c r="D5098" s="133"/>
      <c r="E5098" s="17"/>
      <c r="F5098" s="133"/>
      <c r="G5098" s="133"/>
      <c r="H5098" s="133"/>
      <c r="I5098" s="133"/>
      <c r="J5098" s="133"/>
      <c r="K5098" s="133"/>
      <c r="L5098" s="133"/>
      <c r="M5098" s="133"/>
      <c r="N5098" s="133"/>
      <c r="O5098" s="133"/>
      <c r="P5098" s="134"/>
      <c r="Q5098" s="146"/>
      <c r="R5098" s="17"/>
      <c r="S5098" s="17"/>
      <c r="T5098" s="75"/>
      <c r="U5098" s="75"/>
      <c r="V5098" s="75"/>
      <c r="W5098" s="75"/>
      <c r="X5098" s="75"/>
    </row>
    <row r="5099">
      <c r="A5099" s="17"/>
      <c r="B5099" s="17"/>
      <c r="C5099" s="133"/>
      <c r="D5099" s="133"/>
      <c r="E5099" s="17"/>
      <c r="F5099" s="133"/>
      <c r="G5099" s="133"/>
      <c r="H5099" s="133"/>
      <c r="I5099" s="133"/>
      <c r="J5099" s="133"/>
      <c r="K5099" s="133"/>
      <c r="L5099" s="133"/>
      <c r="M5099" s="133"/>
      <c r="N5099" s="133"/>
      <c r="O5099" s="133"/>
      <c r="P5099" s="134"/>
      <c r="Q5099" s="146"/>
      <c r="R5099" s="17"/>
      <c r="S5099" s="17"/>
      <c r="T5099" s="75"/>
      <c r="U5099" s="75"/>
      <c r="V5099" s="75"/>
      <c r="W5099" s="75"/>
      <c r="X5099" s="75"/>
    </row>
    <row r="5100">
      <c r="A5100" s="17"/>
      <c r="B5100" s="17"/>
      <c r="C5100" s="133"/>
      <c r="D5100" s="133"/>
      <c r="E5100" s="17"/>
      <c r="F5100" s="133"/>
      <c r="G5100" s="133"/>
      <c r="H5100" s="133"/>
      <c r="I5100" s="133"/>
      <c r="J5100" s="133"/>
      <c r="K5100" s="133"/>
      <c r="L5100" s="133"/>
      <c r="M5100" s="133"/>
      <c r="N5100" s="133"/>
      <c r="O5100" s="133"/>
      <c r="P5100" s="134"/>
      <c r="Q5100" s="146"/>
      <c r="R5100" s="17"/>
      <c r="S5100" s="17"/>
      <c r="T5100" s="75"/>
      <c r="U5100" s="75"/>
      <c r="V5100" s="75"/>
      <c r="W5100" s="75"/>
      <c r="X5100" s="75"/>
    </row>
    <row r="5101">
      <c r="A5101" s="17"/>
      <c r="B5101" s="17"/>
      <c r="C5101" s="133"/>
      <c r="D5101" s="133"/>
      <c r="E5101" s="17"/>
      <c r="F5101" s="133"/>
      <c r="G5101" s="133"/>
      <c r="H5101" s="133"/>
      <c r="I5101" s="133"/>
      <c r="J5101" s="133"/>
      <c r="K5101" s="133"/>
      <c r="L5101" s="133"/>
      <c r="M5101" s="133"/>
      <c r="N5101" s="133"/>
      <c r="O5101" s="133"/>
      <c r="P5101" s="134"/>
      <c r="Q5101" s="146"/>
      <c r="R5101" s="17"/>
      <c r="S5101" s="17"/>
      <c r="T5101" s="75"/>
      <c r="U5101" s="75"/>
      <c r="V5101" s="75"/>
      <c r="W5101" s="75"/>
      <c r="X5101" s="75"/>
    </row>
    <row r="5102">
      <c r="A5102" s="17"/>
      <c r="B5102" s="17"/>
      <c r="C5102" s="133"/>
      <c r="D5102" s="133"/>
      <c r="E5102" s="17"/>
      <c r="F5102" s="133"/>
      <c r="G5102" s="133"/>
      <c r="H5102" s="133"/>
      <c r="I5102" s="133"/>
      <c r="J5102" s="133"/>
      <c r="K5102" s="133"/>
      <c r="L5102" s="133"/>
      <c r="M5102" s="133"/>
      <c r="N5102" s="133"/>
      <c r="O5102" s="133"/>
      <c r="P5102" s="134"/>
      <c r="Q5102" s="146"/>
      <c r="R5102" s="17"/>
      <c r="S5102" s="17"/>
      <c r="T5102" s="75"/>
      <c r="U5102" s="75"/>
      <c r="V5102" s="75"/>
      <c r="W5102" s="75"/>
      <c r="X5102" s="75"/>
    </row>
    <row r="5103">
      <c r="A5103" s="17"/>
      <c r="B5103" s="17"/>
      <c r="C5103" s="133"/>
      <c r="D5103" s="133"/>
      <c r="E5103" s="17"/>
      <c r="F5103" s="133"/>
      <c r="G5103" s="133"/>
      <c r="H5103" s="133"/>
      <c r="I5103" s="133"/>
      <c r="J5103" s="133"/>
      <c r="K5103" s="133"/>
      <c r="L5103" s="133"/>
      <c r="M5103" s="133"/>
      <c r="N5103" s="133"/>
      <c r="O5103" s="133"/>
      <c r="P5103" s="134"/>
      <c r="Q5103" s="146"/>
      <c r="R5103" s="17"/>
      <c r="S5103" s="17"/>
      <c r="T5103" s="75"/>
      <c r="U5103" s="75"/>
      <c r="V5103" s="75"/>
      <c r="W5103" s="75"/>
      <c r="X5103" s="75"/>
    </row>
    <row r="5104">
      <c r="A5104" s="17"/>
      <c r="B5104" s="17"/>
      <c r="C5104" s="133"/>
      <c r="D5104" s="133"/>
      <c r="E5104" s="17"/>
      <c r="F5104" s="133"/>
      <c r="G5104" s="133"/>
      <c r="H5104" s="133"/>
      <c r="I5104" s="133"/>
      <c r="J5104" s="133"/>
      <c r="K5104" s="133"/>
      <c r="L5104" s="133"/>
      <c r="M5104" s="133"/>
      <c r="N5104" s="133"/>
      <c r="O5104" s="133"/>
      <c r="P5104" s="134"/>
      <c r="Q5104" s="146"/>
      <c r="R5104" s="17"/>
      <c r="S5104" s="17"/>
      <c r="T5104" s="75"/>
      <c r="U5104" s="75"/>
      <c r="V5104" s="75"/>
      <c r="W5104" s="75"/>
      <c r="X5104" s="75"/>
    </row>
    <row r="5105">
      <c r="A5105" s="17"/>
      <c r="B5105" s="17"/>
      <c r="C5105" s="133"/>
      <c r="D5105" s="133"/>
      <c r="E5105" s="17"/>
      <c r="F5105" s="133"/>
      <c r="G5105" s="133"/>
      <c r="H5105" s="133"/>
      <c r="I5105" s="133"/>
      <c r="J5105" s="133"/>
      <c r="K5105" s="133"/>
      <c r="L5105" s="133"/>
      <c r="M5105" s="133"/>
      <c r="N5105" s="133"/>
      <c r="O5105" s="133"/>
      <c r="P5105" s="134"/>
      <c r="Q5105" s="146"/>
      <c r="R5105" s="17"/>
      <c r="S5105" s="17"/>
      <c r="T5105" s="75"/>
      <c r="U5105" s="75"/>
      <c r="V5105" s="75"/>
      <c r="W5105" s="75"/>
      <c r="X5105" s="75"/>
    </row>
    <row r="5106">
      <c r="A5106" s="17"/>
      <c r="B5106" s="17"/>
      <c r="C5106" s="133"/>
      <c r="D5106" s="133"/>
      <c r="E5106" s="17"/>
      <c r="F5106" s="133"/>
      <c r="G5106" s="133"/>
      <c r="H5106" s="133"/>
      <c r="I5106" s="133"/>
      <c r="J5106" s="133"/>
      <c r="K5106" s="133"/>
      <c r="L5106" s="133"/>
      <c r="M5106" s="133"/>
      <c r="N5106" s="133"/>
      <c r="O5106" s="133"/>
      <c r="P5106" s="134"/>
      <c r="Q5106" s="146"/>
      <c r="R5106" s="17"/>
      <c r="S5106" s="17"/>
      <c r="T5106" s="75"/>
      <c r="U5106" s="75"/>
      <c r="V5106" s="75"/>
      <c r="W5106" s="75"/>
      <c r="X5106" s="75"/>
    </row>
    <row r="5107">
      <c r="A5107" s="17"/>
      <c r="B5107" s="17"/>
      <c r="C5107" s="133"/>
      <c r="D5107" s="133"/>
      <c r="E5107" s="17"/>
      <c r="F5107" s="133"/>
      <c r="G5107" s="133"/>
      <c r="H5107" s="133"/>
      <c r="I5107" s="133"/>
      <c r="J5107" s="133"/>
      <c r="K5107" s="133"/>
      <c r="L5107" s="133"/>
      <c r="M5107" s="133"/>
      <c r="N5107" s="133"/>
      <c r="O5107" s="133"/>
      <c r="P5107" s="134"/>
      <c r="Q5107" s="146"/>
      <c r="R5107" s="17"/>
      <c r="S5107" s="17"/>
      <c r="T5107" s="75"/>
      <c r="U5107" s="75"/>
      <c r="V5107" s="75"/>
      <c r="W5107" s="75"/>
      <c r="X5107" s="75"/>
    </row>
    <row r="5108">
      <c r="A5108" s="17"/>
      <c r="B5108" s="17"/>
      <c r="C5108" s="133"/>
      <c r="D5108" s="133"/>
      <c r="E5108" s="17"/>
      <c r="F5108" s="133"/>
      <c r="G5108" s="133"/>
      <c r="H5108" s="133"/>
      <c r="I5108" s="133"/>
      <c r="J5108" s="133"/>
      <c r="K5108" s="133"/>
      <c r="L5108" s="133"/>
      <c r="M5108" s="133"/>
      <c r="N5108" s="133"/>
      <c r="O5108" s="133"/>
      <c r="P5108" s="134"/>
      <c r="Q5108" s="146"/>
      <c r="R5108" s="17"/>
      <c r="S5108" s="17"/>
      <c r="T5108" s="75"/>
      <c r="U5108" s="75"/>
      <c r="V5108" s="75"/>
      <c r="W5108" s="75"/>
      <c r="X5108" s="75"/>
    </row>
    <row r="5109">
      <c r="A5109" s="17"/>
      <c r="B5109" s="17"/>
      <c r="C5109" s="133"/>
      <c r="D5109" s="133"/>
      <c r="E5109" s="17"/>
      <c r="F5109" s="133"/>
      <c r="G5109" s="133"/>
      <c r="H5109" s="133"/>
      <c r="I5109" s="133"/>
      <c r="J5109" s="133"/>
      <c r="K5109" s="133"/>
      <c r="L5109" s="133"/>
      <c r="M5109" s="133"/>
      <c r="N5109" s="133"/>
      <c r="O5109" s="133"/>
      <c r="P5109" s="134"/>
      <c r="Q5109" s="146"/>
      <c r="R5109" s="17"/>
      <c r="S5109" s="17"/>
      <c r="T5109" s="75"/>
      <c r="U5109" s="75"/>
      <c r="V5109" s="75"/>
      <c r="W5109" s="75"/>
      <c r="X5109" s="75"/>
    </row>
    <row r="5110">
      <c r="A5110" s="17"/>
      <c r="B5110" s="17"/>
      <c r="C5110" s="133"/>
      <c r="D5110" s="133"/>
      <c r="E5110" s="17"/>
      <c r="F5110" s="133"/>
      <c r="G5110" s="133"/>
      <c r="H5110" s="133"/>
      <c r="I5110" s="133"/>
      <c r="J5110" s="133"/>
      <c r="K5110" s="133"/>
      <c r="L5110" s="133"/>
      <c r="M5110" s="133"/>
      <c r="N5110" s="133"/>
      <c r="O5110" s="133"/>
      <c r="P5110" s="134"/>
      <c r="Q5110" s="146"/>
      <c r="R5110" s="17"/>
      <c r="S5110" s="17"/>
      <c r="T5110" s="75"/>
      <c r="U5110" s="75"/>
      <c r="V5110" s="75"/>
      <c r="W5110" s="75"/>
      <c r="X5110" s="75"/>
    </row>
    <row r="5111">
      <c r="A5111" s="17"/>
      <c r="B5111" s="17"/>
      <c r="C5111" s="133"/>
      <c r="D5111" s="133"/>
      <c r="E5111" s="17"/>
      <c r="F5111" s="133"/>
      <c r="G5111" s="133"/>
      <c r="H5111" s="133"/>
      <c r="I5111" s="133"/>
      <c r="J5111" s="133"/>
      <c r="K5111" s="133"/>
      <c r="L5111" s="133"/>
      <c r="M5111" s="133"/>
      <c r="N5111" s="133"/>
      <c r="O5111" s="133"/>
      <c r="P5111" s="134"/>
      <c r="Q5111" s="146"/>
      <c r="R5111" s="17"/>
      <c r="S5111" s="17"/>
      <c r="T5111" s="75"/>
      <c r="U5111" s="75"/>
      <c r="V5111" s="75"/>
      <c r="W5111" s="75"/>
      <c r="X5111" s="75"/>
    </row>
    <row r="5112">
      <c r="A5112" s="17"/>
      <c r="B5112" s="17"/>
      <c r="C5112" s="133"/>
      <c r="D5112" s="133"/>
      <c r="E5112" s="17"/>
      <c r="F5112" s="133"/>
      <c r="G5112" s="133"/>
      <c r="H5112" s="133"/>
      <c r="I5112" s="133"/>
      <c r="J5112" s="133"/>
      <c r="K5112" s="133"/>
      <c r="L5112" s="133"/>
      <c r="M5112" s="133"/>
      <c r="N5112" s="133"/>
      <c r="O5112" s="133"/>
      <c r="P5112" s="134"/>
      <c r="Q5112" s="146"/>
      <c r="R5112" s="17"/>
      <c r="S5112" s="17"/>
      <c r="T5112" s="75"/>
      <c r="U5112" s="75"/>
      <c r="V5112" s="75"/>
      <c r="W5112" s="75"/>
      <c r="X5112" s="75"/>
    </row>
    <row r="5113">
      <c r="A5113" s="17"/>
      <c r="B5113" s="17"/>
      <c r="C5113" s="133"/>
      <c r="D5113" s="133"/>
      <c r="E5113" s="17"/>
      <c r="F5113" s="133"/>
      <c r="G5113" s="133"/>
      <c r="H5113" s="133"/>
      <c r="I5113" s="133"/>
      <c r="J5113" s="133"/>
      <c r="K5113" s="133"/>
      <c r="L5113" s="133"/>
      <c r="M5113" s="133"/>
      <c r="N5113" s="133"/>
      <c r="O5113" s="133"/>
      <c r="P5113" s="134"/>
      <c r="Q5113" s="146"/>
      <c r="R5113" s="17"/>
      <c r="S5113" s="17"/>
      <c r="T5113" s="75"/>
      <c r="U5113" s="75"/>
      <c r="V5113" s="75"/>
      <c r="W5113" s="75"/>
      <c r="X5113" s="75"/>
    </row>
    <row r="5114">
      <c r="A5114" s="17"/>
      <c r="B5114" s="17"/>
      <c r="C5114" s="133"/>
      <c r="D5114" s="133"/>
      <c r="E5114" s="17"/>
      <c r="F5114" s="133"/>
      <c r="G5114" s="133"/>
      <c r="H5114" s="133"/>
      <c r="I5114" s="133"/>
      <c r="J5114" s="133"/>
      <c r="K5114" s="133"/>
      <c r="L5114" s="133"/>
      <c r="M5114" s="133"/>
      <c r="N5114" s="133"/>
      <c r="O5114" s="133"/>
      <c r="P5114" s="134"/>
      <c r="Q5114" s="146"/>
      <c r="R5114" s="17"/>
      <c r="S5114" s="17"/>
      <c r="T5114" s="75"/>
      <c r="U5114" s="75"/>
      <c r="V5114" s="75"/>
      <c r="W5114" s="75"/>
      <c r="X5114" s="75"/>
    </row>
    <row r="5115">
      <c r="A5115" s="17"/>
      <c r="B5115" s="17"/>
      <c r="C5115" s="133"/>
      <c r="D5115" s="133"/>
      <c r="E5115" s="17"/>
      <c r="F5115" s="133"/>
      <c r="G5115" s="133"/>
      <c r="H5115" s="133"/>
      <c r="I5115" s="133"/>
      <c r="J5115" s="133"/>
      <c r="K5115" s="133"/>
      <c r="L5115" s="133"/>
      <c r="M5115" s="133"/>
      <c r="N5115" s="133"/>
      <c r="O5115" s="133"/>
      <c r="P5115" s="134"/>
      <c r="Q5115" s="146"/>
      <c r="R5115" s="17"/>
      <c r="S5115" s="17"/>
      <c r="T5115" s="75"/>
      <c r="U5115" s="75"/>
      <c r="V5115" s="75"/>
      <c r="W5115" s="75"/>
      <c r="X5115" s="75"/>
    </row>
    <row r="5116">
      <c r="A5116" s="17"/>
      <c r="B5116" s="17"/>
      <c r="C5116" s="133"/>
      <c r="D5116" s="133"/>
      <c r="E5116" s="17"/>
      <c r="F5116" s="133"/>
      <c r="G5116" s="133"/>
      <c r="H5116" s="133"/>
      <c r="I5116" s="133"/>
      <c r="J5116" s="133"/>
      <c r="K5116" s="133"/>
      <c r="L5116" s="133"/>
      <c r="M5116" s="133"/>
      <c r="N5116" s="133"/>
      <c r="O5116" s="133"/>
      <c r="P5116" s="134"/>
      <c r="Q5116" s="146"/>
      <c r="R5116" s="17"/>
      <c r="S5116" s="17"/>
      <c r="T5116" s="75"/>
      <c r="U5116" s="75"/>
      <c r="V5116" s="75"/>
      <c r="W5116" s="75"/>
      <c r="X5116" s="75"/>
    </row>
    <row r="5117">
      <c r="A5117" s="17"/>
      <c r="B5117" s="17"/>
      <c r="C5117" s="133"/>
      <c r="D5117" s="133"/>
      <c r="E5117" s="17"/>
      <c r="F5117" s="133"/>
      <c r="G5117" s="133"/>
      <c r="H5117" s="133"/>
      <c r="I5117" s="133"/>
      <c r="J5117" s="133"/>
      <c r="K5117" s="133"/>
      <c r="L5117" s="133"/>
      <c r="M5117" s="133"/>
      <c r="N5117" s="133"/>
      <c r="O5117" s="133"/>
      <c r="P5117" s="134"/>
      <c r="Q5117" s="146"/>
      <c r="R5117" s="17"/>
      <c r="S5117" s="17"/>
      <c r="T5117" s="75"/>
      <c r="U5117" s="75"/>
      <c r="V5117" s="75"/>
      <c r="W5117" s="75"/>
      <c r="X5117" s="75"/>
    </row>
    <row r="5118">
      <c r="A5118" s="17"/>
      <c r="B5118" s="17"/>
      <c r="C5118" s="133"/>
      <c r="D5118" s="133"/>
      <c r="E5118" s="17"/>
      <c r="F5118" s="133"/>
      <c r="G5118" s="133"/>
      <c r="H5118" s="133"/>
      <c r="I5118" s="133"/>
      <c r="J5118" s="133"/>
      <c r="K5118" s="133"/>
      <c r="L5118" s="133"/>
      <c r="M5118" s="133"/>
      <c r="N5118" s="133"/>
      <c r="O5118" s="133"/>
      <c r="P5118" s="134"/>
      <c r="Q5118" s="146"/>
      <c r="R5118" s="17"/>
      <c r="S5118" s="17"/>
      <c r="T5118" s="75"/>
      <c r="U5118" s="75"/>
      <c r="V5118" s="75"/>
      <c r="W5118" s="75"/>
      <c r="X5118" s="75"/>
    </row>
    <row r="5119">
      <c r="A5119" s="17"/>
      <c r="B5119" s="17"/>
      <c r="C5119" s="133"/>
      <c r="D5119" s="133"/>
      <c r="E5119" s="17"/>
      <c r="F5119" s="133"/>
      <c r="G5119" s="133"/>
      <c r="H5119" s="133"/>
      <c r="I5119" s="133"/>
      <c r="J5119" s="133"/>
      <c r="K5119" s="133"/>
      <c r="L5119" s="133"/>
      <c r="M5119" s="133"/>
      <c r="N5119" s="133"/>
      <c r="O5119" s="133"/>
      <c r="P5119" s="134"/>
      <c r="Q5119" s="146"/>
      <c r="R5119" s="17"/>
      <c r="S5119" s="17"/>
      <c r="T5119" s="75"/>
      <c r="U5119" s="75"/>
      <c r="V5119" s="75"/>
      <c r="W5119" s="75"/>
      <c r="X5119" s="75"/>
    </row>
    <row r="5120">
      <c r="A5120" s="17"/>
      <c r="B5120" s="17"/>
      <c r="C5120" s="133"/>
      <c r="D5120" s="133"/>
      <c r="E5120" s="17"/>
      <c r="F5120" s="133"/>
      <c r="G5120" s="133"/>
      <c r="H5120" s="133"/>
      <c r="I5120" s="133"/>
      <c r="J5120" s="133"/>
      <c r="K5120" s="133"/>
      <c r="L5120" s="133"/>
      <c r="M5120" s="133"/>
      <c r="N5120" s="133"/>
      <c r="O5120" s="133"/>
      <c r="P5120" s="134"/>
      <c r="Q5120" s="146"/>
      <c r="R5120" s="17"/>
      <c r="S5120" s="17"/>
      <c r="T5120" s="75"/>
      <c r="U5120" s="75"/>
      <c r="V5120" s="75"/>
      <c r="W5120" s="75"/>
      <c r="X5120" s="75"/>
    </row>
    <row r="5121">
      <c r="A5121" s="17"/>
      <c r="B5121" s="17"/>
      <c r="C5121" s="133"/>
      <c r="D5121" s="133"/>
      <c r="E5121" s="17"/>
      <c r="F5121" s="133"/>
      <c r="G5121" s="133"/>
      <c r="H5121" s="133"/>
      <c r="I5121" s="133"/>
      <c r="J5121" s="133"/>
      <c r="K5121" s="133"/>
      <c r="L5121" s="133"/>
      <c r="M5121" s="133"/>
      <c r="N5121" s="133"/>
      <c r="O5121" s="133"/>
      <c r="P5121" s="134"/>
      <c r="Q5121" s="146"/>
      <c r="R5121" s="17"/>
      <c r="S5121" s="17"/>
      <c r="T5121" s="75"/>
      <c r="U5121" s="75"/>
      <c r="V5121" s="75"/>
      <c r="W5121" s="75"/>
      <c r="X5121" s="75"/>
    </row>
    <row r="5122">
      <c r="A5122" s="17"/>
      <c r="B5122" s="17"/>
      <c r="C5122" s="133"/>
      <c r="D5122" s="133"/>
      <c r="E5122" s="17"/>
      <c r="F5122" s="133"/>
      <c r="G5122" s="133"/>
      <c r="H5122" s="133"/>
      <c r="I5122" s="133"/>
      <c r="J5122" s="133"/>
      <c r="K5122" s="133"/>
      <c r="L5122" s="133"/>
      <c r="M5122" s="133"/>
      <c r="N5122" s="133"/>
      <c r="O5122" s="133"/>
      <c r="P5122" s="134"/>
      <c r="Q5122" s="146"/>
      <c r="R5122" s="17"/>
      <c r="S5122" s="17"/>
      <c r="T5122" s="75"/>
      <c r="U5122" s="75"/>
      <c r="V5122" s="75"/>
      <c r="W5122" s="75"/>
      <c r="X5122" s="75"/>
    </row>
    <row r="5123">
      <c r="A5123" s="17"/>
      <c r="B5123" s="17"/>
      <c r="C5123" s="133"/>
      <c r="D5123" s="133"/>
      <c r="E5123" s="17"/>
      <c r="F5123" s="133"/>
      <c r="G5123" s="133"/>
      <c r="H5123" s="133"/>
      <c r="I5123" s="133"/>
      <c r="J5123" s="133"/>
      <c r="K5123" s="133"/>
      <c r="L5123" s="133"/>
      <c r="M5123" s="133"/>
      <c r="N5123" s="133"/>
      <c r="O5123" s="133"/>
      <c r="P5123" s="134"/>
      <c r="Q5123" s="146"/>
      <c r="R5123" s="17"/>
      <c r="S5123" s="17"/>
      <c r="T5123" s="75"/>
      <c r="U5123" s="75"/>
      <c r="V5123" s="75"/>
      <c r="W5123" s="75"/>
      <c r="X5123" s="75"/>
    </row>
    <row r="5124">
      <c r="A5124" s="17"/>
      <c r="B5124" s="17"/>
      <c r="C5124" s="133"/>
      <c r="D5124" s="133"/>
      <c r="E5124" s="17"/>
      <c r="F5124" s="133"/>
      <c r="G5124" s="133"/>
      <c r="H5124" s="133"/>
      <c r="I5124" s="133"/>
      <c r="J5124" s="133"/>
      <c r="K5124" s="133"/>
      <c r="L5124" s="133"/>
      <c r="M5124" s="133"/>
      <c r="N5124" s="133"/>
      <c r="O5124" s="133"/>
      <c r="P5124" s="134"/>
      <c r="Q5124" s="146"/>
      <c r="R5124" s="17"/>
      <c r="S5124" s="17"/>
      <c r="T5124" s="75"/>
      <c r="U5124" s="75"/>
      <c r="V5124" s="75"/>
      <c r="W5124" s="75"/>
      <c r="X5124" s="75"/>
    </row>
    <row r="5125">
      <c r="A5125" s="17"/>
      <c r="B5125" s="17"/>
      <c r="C5125" s="133"/>
      <c r="D5125" s="133"/>
      <c r="E5125" s="17"/>
      <c r="F5125" s="133"/>
      <c r="G5125" s="133"/>
      <c r="H5125" s="133"/>
      <c r="I5125" s="133"/>
      <c r="J5125" s="133"/>
      <c r="K5125" s="133"/>
      <c r="L5125" s="133"/>
      <c r="M5125" s="133"/>
      <c r="N5125" s="133"/>
      <c r="O5125" s="133"/>
      <c r="P5125" s="134"/>
      <c r="Q5125" s="146"/>
      <c r="R5125" s="17"/>
      <c r="S5125" s="17"/>
      <c r="T5125" s="75"/>
      <c r="U5125" s="75"/>
      <c r="V5125" s="75"/>
      <c r="W5125" s="75"/>
      <c r="X5125" s="75"/>
    </row>
    <row r="5126">
      <c r="A5126" s="17"/>
      <c r="B5126" s="17"/>
      <c r="C5126" s="133"/>
      <c r="D5126" s="133"/>
      <c r="E5126" s="17"/>
      <c r="F5126" s="133"/>
      <c r="G5126" s="133"/>
      <c r="H5126" s="133"/>
      <c r="I5126" s="133"/>
      <c r="J5126" s="133"/>
      <c r="K5126" s="133"/>
      <c r="L5126" s="133"/>
      <c r="M5126" s="133"/>
      <c r="N5126" s="133"/>
      <c r="O5126" s="133"/>
      <c r="P5126" s="134"/>
      <c r="Q5126" s="146"/>
      <c r="R5126" s="17"/>
      <c r="S5126" s="17"/>
      <c r="T5126" s="75"/>
      <c r="U5126" s="75"/>
      <c r="V5126" s="75"/>
      <c r="W5126" s="75"/>
      <c r="X5126" s="75"/>
    </row>
    <row r="5127">
      <c r="A5127" s="17"/>
      <c r="B5127" s="17"/>
      <c r="C5127" s="133"/>
      <c r="D5127" s="133"/>
      <c r="E5127" s="17"/>
      <c r="F5127" s="133"/>
      <c r="G5127" s="133"/>
      <c r="H5127" s="133"/>
      <c r="I5127" s="133"/>
      <c r="J5127" s="133"/>
      <c r="K5127" s="133"/>
      <c r="L5127" s="133"/>
      <c r="M5127" s="133"/>
      <c r="N5127" s="133"/>
      <c r="O5127" s="133"/>
      <c r="P5127" s="134"/>
      <c r="Q5127" s="146"/>
      <c r="R5127" s="17"/>
      <c r="S5127" s="17"/>
      <c r="T5127" s="75"/>
      <c r="U5127" s="75"/>
      <c r="V5127" s="75"/>
      <c r="W5127" s="75"/>
      <c r="X5127" s="75"/>
    </row>
    <row r="5128">
      <c r="A5128" s="17"/>
      <c r="B5128" s="17"/>
      <c r="C5128" s="133"/>
      <c r="D5128" s="133"/>
      <c r="E5128" s="17"/>
      <c r="F5128" s="133"/>
      <c r="G5128" s="133"/>
      <c r="H5128" s="133"/>
      <c r="I5128" s="133"/>
      <c r="J5128" s="133"/>
      <c r="K5128" s="133"/>
      <c r="L5128" s="133"/>
      <c r="M5128" s="133"/>
      <c r="N5128" s="133"/>
      <c r="O5128" s="133"/>
      <c r="P5128" s="134"/>
      <c r="Q5128" s="146"/>
      <c r="R5128" s="17"/>
      <c r="S5128" s="17"/>
      <c r="T5128" s="75"/>
      <c r="U5128" s="75"/>
      <c r="V5128" s="75"/>
      <c r="W5128" s="75"/>
      <c r="X5128" s="75"/>
    </row>
    <row r="5129">
      <c r="A5129" s="17"/>
      <c r="B5129" s="17"/>
      <c r="C5129" s="133"/>
      <c r="D5129" s="133"/>
      <c r="E5129" s="17"/>
      <c r="F5129" s="133"/>
      <c r="G5129" s="133"/>
      <c r="H5129" s="133"/>
      <c r="I5129" s="133"/>
      <c r="J5129" s="133"/>
      <c r="K5129" s="133"/>
      <c r="L5129" s="133"/>
      <c r="M5129" s="133"/>
      <c r="N5129" s="133"/>
      <c r="O5129" s="133"/>
      <c r="P5129" s="134"/>
      <c r="Q5129" s="146"/>
      <c r="R5129" s="17"/>
      <c r="S5129" s="17"/>
      <c r="T5129" s="75"/>
      <c r="U5129" s="75"/>
      <c r="V5129" s="75"/>
      <c r="W5129" s="75"/>
      <c r="X5129" s="75"/>
    </row>
    <row r="5130">
      <c r="A5130" s="17"/>
      <c r="B5130" s="17"/>
      <c r="C5130" s="133"/>
      <c r="D5130" s="133"/>
      <c r="E5130" s="17"/>
      <c r="F5130" s="133"/>
      <c r="G5130" s="133"/>
      <c r="H5130" s="133"/>
      <c r="I5130" s="133"/>
      <c r="J5130" s="133"/>
      <c r="K5130" s="133"/>
      <c r="L5130" s="133"/>
      <c r="M5130" s="133"/>
      <c r="N5130" s="133"/>
      <c r="O5130" s="133"/>
      <c r="P5130" s="134"/>
      <c r="Q5130" s="146"/>
      <c r="R5130" s="17"/>
      <c r="S5130" s="17"/>
      <c r="T5130" s="75"/>
      <c r="U5130" s="75"/>
      <c r="V5130" s="75"/>
      <c r="W5130" s="75"/>
      <c r="X5130" s="75"/>
    </row>
    <row r="5131">
      <c r="A5131" s="17"/>
      <c r="B5131" s="17"/>
      <c r="C5131" s="133"/>
      <c r="D5131" s="133"/>
      <c r="E5131" s="17"/>
      <c r="F5131" s="133"/>
      <c r="G5131" s="133"/>
      <c r="H5131" s="133"/>
      <c r="I5131" s="133"/>
      <c r="J5131" s="133"/>
      <c r="K5131" s="133"/>
      <c r="L5131" s="133"/>
      <c r="M5131" s="133"/>
      <c r="N5131" s="133"/>
      <c r="O5131" s="133"/>
      <c r="P5131" s="134"/>
      <c r="Q5131" s="146"/>
      <c r="R5131" s="17"/>
      <c r="S5131" s="17"/>
      <c r="T5131" s="75"/>
      <c r="U5131" s="75"/>
      <c r="V5131" s="75"/>
      <c r="W5131" s="75"/>
      <c r="X5131" s="75"/>
    </row>
    <row r="5132">
      <c r="A5132" s="17"/>
      <c r="B5132" s="17"/>
      <c r="C5132" s="133"/>
      <c r="D5132" s="133"/>
      <c r="E5132" s="17"/>
      <c r="F5132" s="133"/>
      <c r="G5132" s="133"/>
      <c r="H5132" s="133"/>
      <c r="I5132" s="133"/>
      <c r="J5132" s="133"/>
      <c r="K5132" s="133"/>
      <c r="L5132" s="133"/>
      <c r="M5132" s="133"/>
      <c r="N5132" s="133"/>
      <c r="O5132" s="133"/>
      <c r="P5132" s="134"/>
      <c r="Q5132" s="146"/>
      <c r="R5132" s="17"/>
      <c r="S5132" s="17"/>
      <c r="T5132" s="75"/>
      <c r="U5132" s="75"/>
      <c r="V5132" s="75"/>
      <c r="W5132" s="75"/>
      <c r="X5132" s="75"/>
    </row>
    <row r="5133">
      <c r="A5133" s="17"/>
      <c r="B5133" s="17"/>
      <c r="C5133" s="133"/>
      <c r="D5133" s="133"/>
      <c r="E5133" s="17"/>
      <c r="F5133" s="133"/>
      <c r="G5133" s="133"/>
      <c r="H5133" s="133"/>
      <c r="I5133" s="133"/>
      <c r="J5133" s="133"/>
      <c r="K5133" s="133"/>
      <c r="L5133" s="133"/>
      <c r="M5133" s="133"/>
      <c r="N5133" s="133"/>
      <c r="O5133" s="133"/>
      <c r="P5133" s="134"/>
      <c r="Q5133" s="146"/>
      <c r="R5133" s="17"/>
      <c r="S5133" s="17"/>
      <c r="T5133" s="75"/>
      <c r="U5133" s="75"/>
      <c r="V5133" s="75"/>
      <c r="W5133" s="75"/>
      <c r="X5133" s="75"/>
    </row>
    <row r="5134">
      <c r="A5134" s="17"/>
      <c r="B5134" s="17"/>
      <c r="C5134" s="133"/>
      <c r="D5134" s="133"/>
      <c r="E5134" s="17"/>
      <c r="F5134" s="133"/>
      <c r="G5134" s="133"/>
      <c r="H5134" s="133"/>
      <c r="I5134" s="133"/>
      <c r="J5134" s="133"/>
      <c r="K5134" s="133"/>
      <c r="L5134" s="133"/>
      <c r="M5134" s="133"/>
      <c r="N5134" s="133"/>
      <c r="O5134" s="133"/>
      <c r="P5134" s="134"/>
      <c r="Q5134" s="146"/>
      <c r="R5134" s="17"/>
      <c r="S5134" s="17"/>
      <c r="T5134" s="75"/>
      <c r="U5134" s="75"/>
      <c r="V5134" s="75"/>
      <c r="W5134" s="75"/>
      <c r="X5134" s="75"/>
    </row>
    <row r="5135">
      <c r="A5135" s="17"/>
      <c r="B5135" s="17"/>
      <c r="C5135" s="133"/>
      <c r="D5135" s="133"/>
      <c r="E5135" s="17"/>
      <c r="F5135" s="133"/>
      <c r="G5135" s="133"/>
      <c r="H5135" s="133"/>
      <c r="I5135" s="133"/>
      <c r="J5135" s="133"/>
      <c r="K5135" s="133"/>
      <c r="L5135" s="133"/>
      <c r="M5135" s="133"/>
      <c r="N5135" s="133"/>
      <c r="O5135" s="133"/>
      <c r="P5135" s="134"/>
      <c r="Q5135" s="146"/>
      <c r="R5135" s="17"/>
      <c r="S5135" s="17"/>
      <c r="T5135" s="75"/>
      <c r="U5135" s="75"/>
      <c r="V5135" s="75"/>
      <c r="W5135" s="75"/>
      <c r="X5135" s="75"/>
    </row>
    <row r="5136">
      <c r="A5136" s="17"/>
      <c r="B5136" s="17"/>
      <c r="C5136" s="133"/>
      <c r="D5136" s="133"/>
      <c r="E5136" s="17"/>
      <c r="F5136" s="133"/>
      <c r="G5136" s="133"/>
      <c r="H5136" s="133"/>
      <c r="I5136" s="133"/>
      <c r="J5136" s="133"/>
      <c r="K5136" s="133"/>
      <c r="L5136" s="133"/>
      <c r="M5136" s="133"/>
      <c r="N5136" s="133"/>
      <c r="O5136" s="133"/>
      <c r="P5136" s="134"/>
      <c r="Q5136" s="146"/>
      <c r="R5136" s="17"/>
      <c r="S5136" s="17"/>
      <c r="T5136" s="75"/>
      <c r="U5136" s="75"/>
      <c r="V5136" s="75"/>
      <c r="W5136" s="75"/>
      <c r="X5136" s="75"/>
    </row>
    <row r="5137">
      <c r="A5137" s="17"/>
      <c r="B5137" s="17"/>
      <c r="C5137" s="133"/>
      <c r="D5137" s="133"/>
      <c r="E5137" s="17"/>
      <c r="F5137" s="133"/>
      <c r="G5137" s="133"/>
      <c r="H5137" s="133"/>
      <c r="I5137" s="133"/>
      <c r="J5137" s="133"/>
      <c r="K5137" s="133"/>
      <c r="L5137" s="133"/>
      <c r="M5137" s="133"/>
      <c r="N5137" s="133"/>
      <c r="O5137" s="133"/>
      <c r="P5137" s="134"/>
      <c r="Q5137" s="146"/>
      <c r="R5137" s="17"/>
      <c r="S5137" s="17"/>
      <c r="T5137" s="75"/>
      <c r="U5137" s="75"/>
      <c r="V5137" s="75"/>
      <c r="W5137" s="75"/>
      <c r="X5137" s="75"/>
    </row>
    <row r="5138">
      <c r="A5138" s="17"/>
      <c r="B5138" s="17"/>
      <c r="C5138" s="133"/>
      <c r="D5138" s="133"/>
      <c r="E5138" s="17"/>
      <c r="F5138" s="133"/>
      <c r="G5138" s="133"/>
      <c r="H5138" s="133"/>
      <c r="I5138" s="133"/>
      <c r="J5138" s="133"/>
      <c r="K5138" s="133"/>
      <c r="L5138" s="133"/>
      <c r="M5138" s="133"/>
      <c r="N5138" s="133"/>
      <c r="O5138" s="133"/>
      <c r="P5138" s="134"/>
      <c r="Q5138" s="146"/>
      <c r="R5138" s="17"/>
      <c r="S5138" s="17"/>
      <c r="T5138" s="75"/>
      <c r="U5138" s="75"/>
      <c r="V5138" s="75"/>
      <c r="W5138" s="75"/>
      <c r="X5138" s="75"/>
    </row>
    <row r="5139">
      <c r="A5139" s="17"/>
      <c r="B5139" s="17"/>
      <c r="C5139" s="133"/>
      <c r="D5139" s="133"/>
      <c r="E5139" s="17"/>
      <c r="F5139" s="133"/>
      <c r="G5139" s="133"/>
      <c r="H5139" s="133"/>
      <c r="I5139" s="133"/>
      <c r="J5139" s="133"/>
      <c r="K5139" s="133"/>
      <c r="L5139" s="133"/>
      <c r="M5139" s="133"/>
      <c r="N5139" s="133"/>
      <c r="O5139" s="133"/>
      <c r="P5139" s="134"/>
      <c r="Q5139" s="146"/>
      <c r="R5139" s="17"/>
      <c r="S5139" s="17"/>
      <c r="T5139" s="75"/>
      <c r="U5139" s="75"/>
      <c r="V5139" s="75"/>
      <c r="W5139" s="75"/>
      <c r="X5139" s="75"/>
    </row>
    <row r="5140">
      <c r="A5140" s="17"/>
      <c r="B5140" s="17"/>
      <c r="C5140" s="133"/>
      <c r="D5140" s="133"/>
      <c r="E5140" s="17"/>
      <c r="F5140" s="133"/>
      <c r="G5140" s="133"/>
      <c r="H5140" s="133"/>
      <c r="I5140" s="133"/>
      <c r="J5140" s="133"/>
      <c r="K5140" s="133"/>
      <c r="L5140" s="133"/>
      <c r="M5140" s="133"/>
      <c r="N5140" s="133"/>
      <c r="O5140" s="133"/>
      <c r="P5140" s="134"/>
      <c r="Q5140" s="146"/>
      <c r="R5140" s="17"/>
      <c r="S5140" s="17"/>
      <c r="T5140" s="75"/>
      <c r="U5140" s="75"/>
      <c r="V5140" s="75"/>
      <c r="W5140" s="75"/>
      <c r="X5140" s="75"/>
    </row>
    <row r="5141">
      <c r="A5141" s="17"/>
      <c r="B5141" s="17"/>
      <c r="C5141" s="133"/>
      <c r="D5141" s="133"/>
      <c r="E5141" s="17"/>
      <c r="F5141" s="133"/>
      <c r="G5141" s="133"/>
      <c r="H5141" s="133"/>
      <c r="I5141" s="133"/>
      <c r="J5141" s="133"/>
      <c r="K5141" s="133"/>
      <c r="L5141" s="133"/>
      <c r="M5141" s="133"/>
      <c r="N5141" s="133"/>
      <c r="O5141" s="133"/>
      <c r="P5141" s="134"/>
      <c r="Q5141" s="146"/>
      <c r="R5141" s="17"/>
      <c r="S5141" s="17"/>
      <c r="T5141" s="75"/>
      <c r="U5141" s="75"/>
      <c r="V5141" s="75"/>
      <c r="W5141" s="75"/>
      <c r="X5141" s="75"/>
    </row>
    <row r="5142">
      <c r="A5142" s="17"/>
      <c r="B5142" s="17"/>
      <c r="C5142" s="133"/>
      <c r="D5142" s="133"/>
      <c r="E5142" s="17"/>
      <c r="F5142" s="133"/>
      <c r="G5142" s="133"/>
      <c r="H5142" s="133"/>
      <c r="I5142" s="133"/>
      <c r="J5142" s="133"/>
      <c r="K5142" s="133"/>
      <c r="L5142" s="133"/>
      <c r="M5142" s="133"/>
      <c r="N5142" s="133"/>
      <c r="O5142" s="133"/>
      <c r="P5142" s="134"/>
      <c r="Q5142" s="146"/>
      <c r="R5142" s="17"/>
      <c r="S5142" s="17"/>
      <c r="T5142" s="75"/>
      <c r="U5142" s="75"/>
      <c r="V5142" s="75"/>
      <c r="W5142" s="75"/>
      <c r="X5142" s="75"/>
    </row>
    <row r="5143">
      <c r="A5143" s="17"/>
      <c r="B5143" s="17"/>
      <c r="C5143" s="133"/>
      <c r="D5143" s="133"/>
      <c r="E5143" s="17"/>
      <c r="F5143" s="133"/>
      <c r="G5143" s="133"/>
      <c r="H5143" s="133"/>
      <c r="I5143" s="133"/>
      <c r="J5143" s="133"/>
      <c r="K5143" s="133"/>
      <c r="L5143" s="133"/>
      <c r="M5143" s="133"/>
      <c r="N5143" s="133"/>
      <c r="O5143" s="133"/>
      <c r="P5143" s="134"/>
      <c r="Q5143" s="146"/>
      <c r="R5143" s="17"/>
      <c r="S5143" s="17"/>
      <c r="T5143" s="75"/>
      <c r="U5143" s="75"/>
      <c r="V5143" s="75"/>
      <c r="W5143" s="75"/>
      <c r="X5143" s="75"/>
    </row>
    <row r="5144">
      <c r="A5144" s="17"/>
      <c r="B5144" s="17"/>
      <c r="C5144" s="133"/>
      <c r="D5144" s="133"/>
      <c r="E5144" s="17"/>
      <c r="F5144" s="133"/>
      <c r="G5144" s="133"/>
      <c r="H5144" s="133"/>
      <c r="I5144" s="133"/>
      <c r="J5144" s="133"/>
      <c r="K5144" s="133"/>
      <c r="L5144" s="133"/>
      <c r="M5144" s="133"/>
      <c r="N5144" s="133"/>
      <c r="O5144" s="133"/>
      <c r="P5144" s="134"/>
      <c r="Q5144" s="146"/>
      <c r="R5144" s="17"/>
      <c r="S5144" s="17"/>
      <c r="T5144" s="75"/>
      <c r="U5144" s="75"/>
      <c r="V5144" s="75"/>
      <c r="W5144" s="75"/>
      <c r="X5144" s="75"/>
    </row>
    <row r="5145">
      <c r="A5145" s="17"/>
      <c r="B5145" s="17"/>
      <c r="C5145" s="133"/>
      <c r="D5145" s="133"/>
      <c r="E5145" s="17"/>
      <c r="F5145" s="133"/>
      <c r="G5145" s="133"/>
      <c r="H5145" s="133"/>
      <c r="I5145" s="133"/>
      <c r="J5145" s="133"/>
      <c r="K5145" s="133"/>
      <c r="L5145" s="133"/>
      <c r="M5145" s="133"/>
      <c r="N5145" s="133"/>
      <c r="O5145" s="133"/>
      <c r="P5145" s="134"/>
      <c r="Q5145" s="146"/>
      <c r="R5145" s="17"/>
      <c r="S5145" s="17"/>
      <c r="T5145" s="75"/>
      <c r="U5145" s="75"/>
      <c r="V5145" s="75"/>
      <c r="W5145" s="75"/>
      <c r="X5145" s="75"/>
    </row>
    <row r="5146">
      <c r="A5146" s="17"/>
      <c r="B5146" s="17"/>
      <c r="C5146" s="133"/>
      <c r="D5146" s="133"/>
      <c r="E5146" s="17"/>
      <c r="F5146" s="133"/>
      <c r="G5146" s="133"/>
      <c r="H5146" s="133"/>
      <c r="I5146" s="133"/>
      <c r="J5146" s="133"/>
      <c r="K5146" s="133"/>
      <c r="L5146" s="133"/>
      <c r="M5146" s="133"/>
      <c r="N5146" s="133"/>
      <c r="O5146" s="133"/>
      <c r="P5146" s="134"/>
      <c r="Q5146" s="146"/>
      <c r="R5146" s="17"/>
      <c r="S5146" s="17"/>
      <c r="T5146" s="75"/>
      <c r="U5146" s="75"/>
      <c r="V5146" s="75"/>
      <c r="W5146" s="75"/>
      <c r="X5146" s="75"/>
    </row>
    <row r="5147">
      <c r="A5147" s="17"/>
      <c r="B5147" s="17"/>
      <c r="C5147" s="133"/>
      <c r="D5147" s="133"/>
      <c r="E5147" s="17"/>
      <c r="F5147" s="133"/>
      <c r="G5147" s="133"/>
      <c r="H5147" s="133"/>
      <c r="I5147" s="133"/>
      <c r="J5147" s="133"/>
      <c r="K5147" s="133"/>
      <c r="L5147" s="133"/>
      <c r="M5147" s="133"/>
      <c r="N5147" s="133"/>
      <c r="O5147" s="133"/>
      <c r="P5147" s="134"/>
      <c r="Q5147" s="146"/>
      <c r="R5147" s="17"/>
      <c r="S5147" s="17"/>
      <c r="T5147" s="75"/>
      <c r="U5147" s="75"/>
      <c r="V5147" s="75"/>
      <c r="W5147" s="75"/>
      <c r="X5147" s="75"/>
    </row>
    <row r="5148">
      <c r="A5148" s="17"/>
      <c r="B5148" s="17"/>
      <c r="C5148" s="133"/>
      <c r="D5148" s="133"/>
      <c r="E5148" s="17"/>
      <c r="F5148" s="133"/>
      <c r="G5148" s="133"/>
      <c r="H5148" s="133"/>
      <c r="I5148" s="133"/>
      <c r="J5148" s="133"/>
      <c r="K5148" s="133"/>
      <c r="L5148" s="133"/>
      <c r="M5148" s="133"/>
      <c r="N5148" s="133"/>
      <c r="O5148" s="133"/>
      <c r="P5148" s="134"/>
      <c r="Q5148" s="146"/>
      <c r="R5148" s="17"/>
      <c r="S5148" s="17"/>
      <c r="T5148" s="75"/>
      <c r="U5148" s="75"/>
      <c r="V5148" s="75"/>
      <c r="W5148" s="75"/>
      <c r="X5148" s="75"/>
    </row>
    <row r="5149">
      <c r="A5149" s="17"/>
      <c r="B5149" s="17"/>
      <c r="C5149" s="133"/>
      <c r="D5149" s="133"/>
      <c r="E5149" s="17"/>
      <c r="F5149" s="133"/>
      <c r="G5149" s="133"/>
      <c r="H5149" s="133"/>
      <c r="I5149" s="133"/>
      <c r="J5149" s="133"/>
      <c r="K5149" s="133"/>
      <c r="L5149" s="133"/>
      <c r="M5149" s="133"/>
      <c r="N5149" s="133"/>
      <c r="O5149" s="133"/>
      <c r="P5149" s="134"/>
      <c r="Q5149" s="146"/>
      <c r="R5149" s="17"/>
      <c r="S5149" s="17"/>
      <c r="T5149" s="75"/>
      <c r="U5149" s="75"/>
      <c r="V5149" s="75"/>
      <c r="W5149" s="75"/>
      <c r="X5149" s="75"/>
    </row>
    <row r="5150">
      <c r="A5150" s="17"/>
      <c r="B5150" s="17"/>
      <c r="C5150" s="133"/>
      <c r="D5150" s="133"/>
      <c r="E5150" s="17"/>
      <c r="F5150" s="133"/>
      <c r="G5150" s="133"/>
      <c r="H5150" s="133"/>
      <c r="I5150" s="133"/>
      <c r="J5150" s="133"/>
      <c r="K5150" s="133"/>
      <c r="L5150" s="133"/>
      <c r="M5150" s="133"/>
      <c r="N5150" s="133"/>
      <c r="O5150" s="133"/>
      <c r="P5150" s="134"/>
      <c r="Q5150" s="146"/>
      <c r="R5150" s="17"/>
      <c r="S5150" s="17"/>
      <c r="T5150" s="75"/>
      <c r="U5150" s="75"/>
      <c r="V5150" s="75"/>
      <c r="W5150" s="75"/>
      <c r="X5150" s="75"/>
    </row>
    <row r="5151">
      <c r="A5151" s="17"/>
      <c r="B5151" s="17"/>
      <c r="C5151" s="133"/>
      <c r="D5151" s="133"/>
      <c r="E5151" s="17"/>
      <c r="F5151" s="133"/>
      <c r="G5151" s="133"/>
      <c r="H5151" s="133"/>
      <c r="I5151" s="133"/>
      <c r="J5151" s="133"/>
      <c r="K5151" s="133"/>
      <c r="L5151" s="133"/>
      <c r="M5151" s="133"/>
      <c r="N5151" s="133"/>
      <c r="O5151" s="133"/>
      <c r="P5151" s="134"/>
      <c r="Q5151" s="146"/>
      <c r="R5151" s="17"/>
      <c r="S5151" s="17"/>
      <c r="T5151" s="75"/>
      <c r="U5151" s="75"/>
      <c r="V5151" s="75"/>
      <c r="W5151" s="75"/>
      <c r="X5151" s="75"/>
    </row>
    <row r="5152">
      <c r="A5152" s="17"/>
      <c r="B5152" s="17"/>
      <c r="C5152" s="133"/>
      <c r="D5152" s="133"/>
      <c r="E5152" s="17"/>
      <c r="F5152" s="133"/>
      <c r="G5152" s="133"/>
      <c r="H5152" s="133"/>
      <c r="I5152" s="133"/>
      <c r="J5152" s="133"/>
      <c r="K5152" s="133"/>
      <c r="L5152" s="133"/>
      <c r="M5152" s="133"/>
      <c r="N5152" s="133"/>
      <c r="O5152" s="133"/>
      <c r="P5152" s="134"/>
      <c r="Q5152" s="146"/>
      <c r="R5152" s="17"/>
      <c r="S5152" s="17"/>
      <c r="T5152" s="75"/>
      <c r="U5152" s="75"/>
      <c r="V5152" s="75"/>
      <c r="W5152" s="75"/>
      <c r="X5152" s="75"/>
    </row>
    <row r="5153">
      <c r="A5153" s="17"/>
      <c r="B5153" s="17"/>
      <c r="C5153" s="133"/>
      <c r="D5153" s="133"/>
      <c r="E5153" s="17"/>
      <c r="F5153" s="133"/>
      <c r="G5153" s="133"/>
      <c r="H5153" s="133"/>
      <c r="I5153" s="133"/>
      <c r="J5153" s="133"/>
      <c r="K5153" s="133"/>
      <c r="L5153" s="133"/>
      <c r="M5153" s="133"/>
      <c r="N5153" s="133"/>
      <c r="O5153" s="133"/>
      <c r="P5153" s="134"/>
      <c r="Q5153" s="146"/>
      <c r="R5153" s="17"/>
      <c r="S5153" s="17"/>
      <c r="T5153" s="75"/>
      <c r="U5153" s="75"/>
      <c r="V5153" s="75"/>
      <c r="W5153" s="75"/>
      <c r="X5153" s="75"/>
    </row>
    <row r="5154">
      <c r="A5154" s="17"/>
      <c r="B5154" s="17"/>
      <c r="C5154" s="133"/>
      <c r="D5154" s="133"/>
      <c r="E5154" s="17"/>
      <c r="F5154" s="133"/>
      <c r="G5154" s="133"/>
      <c r="H5154" s="133"/>
      <c r="I5154" s="133"/>
      <c r="J5154" s="133"/>
      <c r="K5154" s="133"/>
      <c r="L5154" s="133"/>
      <c r="M5154" s="133"/>
      <c r="N5154" s="133"/>
      <c r="O5154" s="133"/>
      <c r="P5154" s="134"/>
      <c r="Q5154" s="146"/>
      <c r="R5154" s="17"/>
      <c r="S5154" s="17"/>
      <c r="T5154" s="75"/>
      <c r="U5154" s="75"/>
      <c r="V5154" s="75"/>
      <c r="W5154" s="75"/>
      <c r="X5154" s="75"/>
    </row>
    <row r="5155">
      <c r="A5155" s="17"/>
      <c r="B5155" s="17"/>
      <c r="C5155" s="133"/>
      <c r="D5155" s="133"/>
      <c r="E5155" s="17"/>
      <c r="F5155" s="133"/>
      <c r="G5155" s="133"/>
      <c r="H5155" s="133"/>
      <c r="I5155" s="133"/>
      <c r="J5155" s="133"/>
      <c r="K5155" s="133"/>
      <c r="L5155" s="133"/>
      <c r="M5155" s="133"/>
      <c r="N5155" s="133"/>
      <c r="O5155" s="133"/>
      <c r="P5155" s="134"/>
      <c r="Q5155" s="146"/>
      <c r="R5155" s="17"/>
      <c r="S5155" s="17"/>
      <c r="T5155" s="75"/>
      <c r="U5155" s="75"/>
      <c r="V5155" s="75"/>
      <c r="W5155" s="75"/>
      <c r="X5155" s="75"/>
    </row>
    <row r="5156">
      <c r="A5156" s="17"/>
      <c r="B5156" s="17"/>
      <c r="C5156" s="133"/>
      <c r="D5156" s="133"/>
      <c r="E5156" s="17"/>
      <c r="F5156" s="133"/>
      <c r="G5156" s="133"/>
      <c r="H5156" s="133"/>
      <c r="I5156" s="133"/>
      <c r="J5156" s="133"/>
      <c r="K5156" s="133"/>
      <c r="L5156" s="133"/>
      <c r="M5156" s="133"/>
      <c r="N5156" s="133"/>
      <c r="O5156" s="133"/>
      <c r="P5156" s="134"/>
      <c r="Q5156" s="146"/>
      <c r="R5156" s="17"/>
      <c r="S5156" s="17"/>
      <c r="T5156" s="75"/>
      <c r="U5156" s="75"/>
      <c r="V5156" s="75"/>
      <c r="W5156" s="75"/>
      <c r="X5156" s="75"/>
    </row>
    <row r="5157">
      <c r="A5157" s="17"/>
      <c r="B5157" s="17"/>
      <c r="C5157" s="133"/>
      <c r="D5157" s="133"/>
      <c r="E5157" s="17"/>
      <c r="F5157" s="133"/>
      <c r="G5157" s="133"/>
      <c r="H5157" s="133"/>
      <c r="I5157" s="133"/>
      <c r="J5157" s="133"/>
      <c r="K5157" s="133"/>
      <c r="L5157" s="133"/>
      <c r="M5157" s="133"/>
      <c r="N5157" s="133"/>
      <c r="O5157" s="133"/>
      <c r="P5157" s="134"/>
      <c r="Q5157" s="146"/>
      <c r="R5157" s="17"/>
      <c r="S5157" s="17"/>
      <c r="T5157" s="75"/>
      <c r="U5157" s="75"/>
      <c r="V5157" s="75"/>
      <c r="W5157" s="75"/>
      <c r="X5157" s="75"/>
    </row>
    <row r="5158">
      <c r="A5158" s="17"/>
      <c r="B5158" s="17"/>
      <c r="C5158" s="133"/>
      <c r="D5158" s="133"/>
      <c r="E5158" s="17"/>
      <c r="F5158" s="133"/>
      <c r="G5158" s="133"/>
      <c r="H5158" s="133"/>
      <c r="I5158" s="133"/>
      <c r="J5158" s="133"/>
      <c r="K5158" s="133"/>
      <c r="L5158" s="133"/>
      <c r="M5158" s="133"/>
      <c r="N5158" s="133"/>
      <c r="O5158" s="133"/>
      <c r="P5158" s="134"/>
      <c r="Q5158" s="146"/>
      <c r="R5158" s="17"/>
      <c r="S5158" s="17"/>
      <c r="T5158" s="75"/>
      <c r="U5158" s="75"/>
      <c r="V5158" s="75"/>
      <c r="W5158" s="75"/>
      <c r="X5158" s="75"/>
    </row>
    <row r="5159">
      <c r="A5159" s="17"/>
      <c r="B5159" s="17"/>
      <c r="C5159" s="133"/>
      <c r="D5159" s="133"/>
      <c r="E5159" s="17"/>
      <c r="F5159" s="133"/>
      <c r="G5159" s="133"/>
      <c r="H5159" s="133"/>
      <c r="I5159" s="133"/>
      <c r="J5159" s="133"/>
      <c r="K5159" s="133"/>
      <c r="L5159" s="133"/>
      <c r="M5159" s="133"/>
      <c r="N5159" s="133"/>
      <c r="O5159" s="133"/>
      <c r="P5159" s="134"/>
      <c r="Q5159" s="146"/>
      <c r="R5159" s="17"/>
      <c r="S5159" s="17"/>
      <c r="T5159" s="75"/>
      <c r="U5159" s="75"/>
      <c r="V5159" s="75"/>
      <c r="W5159" s="75"/>
      <c r="X5159" s="75"/>
    </row>
    <row r="5160">
      <c r="A5160" s="17"/>
      <c r="B5160" s="17"/>
      <c r="C5160" s="133"/>
      <c r="D5160" s="133"/>
      <c r="E5160" s="17"/>
      <c r="F5160" s="133"/>
      <c r="G5160" s="133"/>
      <c r="H5160" s="133"/>
      <c r="I5160" s="133"/>
      <c r="J5160" s="133"/>
      <c r="K5160" s="133"/>
      <c r="L5160" s="133"/>
      <c r="M5160" s="133"/>
      <c r="N5160" s="133"/>
      <c r="O5160" s="133"/>
      <c r="P5160" s="134"/>
      <c r="Q5160" s="146"/>
      <c r="R5160" s="17"/>
      <c r="S5160" s="17"/>
      <c r="T5160" s="75"/>
      <c r="U5160" s="75"/>
      <c r="V5160" s="75"/>
      <c r="W5160" s="75"/>
      <c r="X5160" s="75"/>
    </row>
    <row r="5161">
      <c r="A5161" s="17"/>
      <c r="B5161" s="17"/>
      <c r="C5161" s="133"/>
      <c r="D5161" s="133"/>
      <c r="E5161" s="17"/>
      <c r="F5161" s="133"/>
      <c r="G5161" s="133"/>
      <c r="H5161" s="133"/>
      <c r="I5161" s="133"/>
      <c r="J5161" s="133"/>
      <c r="K5161" s="133"/>
      <c r="L5161" s="133"/>
      <c r="M5161" s="133"/>
      <c r="N5161" s="133"/>
      <c r="O5161" s="133"/>
      <c r="P5161" s="134"/>
      <c r="Q5161" s="146"/>
      <c r="R5161" s="17"/>
      <c r="S5161" s="17"/>
      <c r="T5161" s="75"/>
      <c r="U5161" s="75"/>
      <c r="V5161" s="75"/>
      <c r="W5161" s="75"/>
      <c r="X5161" s="75"/>
    </row>
    <row r="5162">
      <c r="A5162" s="17"/>
      <c r="B5162" s="17"/>
      <c r="C5162" s="133"/>
      <c r="D5162" s="133"/>
      <c r="E5162" s="17"/>
      <c r="F5162" s="133"/>
      <c r="G5162" s="133"/>
      <c r="H5162" s="133"/>
      <c r="I5162" s="133"/>
      <c r="J5162" s="133"/>
      <c r="K5162" s="133"/>
      <c r="L5162" s="133"/>
      <c r="M5162" s="133"/>
      <c r="N5162" s="133"/>
      <c r="O5162" s="133"/>
      <c r="P5162" s="134"/>
      <c r="Q5162" s="146"/>
      <c r="R5162" s="17"/>
      <c r="S5162" s="17"/>
      <c r="T5162" s="75"/>
      <c r="U5162" s="75"/>
      <c r="V5162" s="75"/>
      <c r="W5162" s="75"/>
      <c r="X5162" s="75"/>
    </row>
    <row r="5163">
      <c r="A5163" s="17"/>
      <c r="B5163" s="17"/>
      <c r="C5163" s="133"/>
      <c r="D5163" s="133"/>
      <c r="E5163" s="17"/>
      <c r="F5163" s="133"/>
      <c r="G5163" s="133"/>
      <c r="H5163" s="133"/>
      <c r="I5163" s="133"/>
      <c r="J5163" s="133"/>
      <c r="K5163" s="133"/>
      <c r="L5163" s="133"/>
      <c r="M5163" s="133"/>
      <c r="N5163" s="133"/>
      <c r="O5163" s="133"/>
      <c r="P5163" s="134"/>
      <c r="Q5163" s="146"/>
      <c r="R5163" s="17"/>
      <c r="S5163" s="17"/>
      <c r="T5163" s="75"/>
      <c r="U5163" s="75"/>
      <c r="V5163" s="75"/>
      <c r="W5163" s="75"/>
      <c r="X5163" s="75"/>
    </row>
    <row r="5164">
      <c r="A5164" s="17"/>
      <c r="B5164" s="17"/>
      <c r="C5164" s="133"/>
      <c r="D5164" s="133"/>
      <c r="E5164" s="17"/>
      <c r="F5164" s="133"/>
      <c r="G5164" s="133"/>
      <c r="H5164" s="133"/>
      <c r="I5164" s="133"/>
      <c r="J5164" s="133"/>
      <c r="K5164" s="133"/>
      <c r="L5164" s="133"/>
      <c r="M5164" s="133"/>
      <c r="N5164" s="133"/>
      <c r="O5164" s="133"/>
      <c r="P5164" s="134"/>
      <c r="Q5164" s="146"/>
      <c r="R5164" s="17"/>
      <c r="S5164" s="17"/>
      <c r="T5164" s="75"/>
      <c r="U5164" s="75"/>
      <c r="V5164" s="75"/>
      <c r="W5164" s="75"/>
      <c r="X5164" s="75"/>
    </row>
    <row r="5165">
      <c r="A5165" s="17"/>
      <c r="B5165" s="17"/>
      <c r="C5165" s="133"/>
      <c r="D5165" s="133"/>
      <c r="E5165" s="17"/>
      <c r="F5165" s="133"/>
      <c r="G5165" s="133"/>
      <c r="H5165" s="133"/>
      <c r="I5165" s="133"/>
      <c r="J5165" s="133"/>
      <c r="K5165" s="133"/>
      <c r="L5165" s="133"/>
      <c r="M5165" s="133"/>
      <c r="N5165" s="133"/>
      <c r="O5165" s="133"/>
      <c r="P5165" s="134"/>
      <c r="Q5165" s="146"/>
      <c r="R5165" s="17"/>
      <c r="S5165" s="17"/>
      <c r="T5165" s="75"/>
      <c r="U5165" s="75"/>
      <c r="V5165" s="75"/>
      <c r="W5165" s="75"/>
      <c r="X5165" s="75"/>
    </row>
    <row r="5166">
      <c r="A5166" s="17"/>
      <c r="B5166" s="17"/>
      <c r="C5166" s="133"/>
      <c r="D5166" s="133"/>
      <c r="E5166" s="17"/>
      <c r="F5166" s="133"/>
      <c r="G5166" s="133"/>
      <c r="H5166" s="133"/>
      <c r="I5166" s="133"/>
      <c r="J5166" s="133"/>
      <c r="K5166" s="133"/>
      <c r="L5166" s="133"/>
      <c r="M5166" s="133"/>
      <c r="N5166" s="133"/>
      <c r="O5166" s="133"/>
      <c r="P5166" s="134"/>
      <c r="Q5166" s="146"/>
      <c r="R5166" s="17"/>
      <c r="S5166" s="17"/>
      <c r="T5166" s="75"/>
      <c r="U5166" s="75"/>
      <c r="V5166" s="75"/>
      <c r="W5166" s="75"/>
      <c r="X5166" s="75"/>
    </row>
    <row r="5167">
      <c r="A5167" s="17"/>
      <c r="B5167" s="17"/>
      <c r="C5167" s="133"/>
      <c r="D5167" s="133"/>
      <c r="E5167" s="17"/>
      <c r="F5167" s="133"/>
      <c r="G5167" s="133"/>
      <c r="H5167" s="133"/>
      <c r="I5167" s="133"/>
      <c r="J5167" s="133"/>
      <c r="K5167" s="133"/>
      <c r="L5167" s="133"/>
      <c r="M5167" s="133"/>
      <c r="N5167" s="133"/>
      <c r="O5167" s="133"/>
      <c r="P5167" s="134"/>
      <c r="Q5167" s="146"/>
      <c r="R5167" s="17"/>
      <c r="S5167" s="17"/>
      <c r="T5167" s="75"/>
      <c r="U5167" s="75"/>
      <c r="V5167" s="75"/>
      <c r="W5167" s="75"/>
      <c r="X5167" s="75"/>
    </row>
    <row r="5168">
      <c r="A5168" s="17"/>
      <c r="B5168" s="17"/>
      <c r="C5168" s="133"/>
      <c r="D5168" s="133"/>
      <c r="E5168" s="17"/>
      <c r="F5168" s="133"/>
      <c r="G5168" s="133"/>
      <c r="H5168" s="133"/>
      <c r="I5168" s="133"/>
      <c r="J5168" s="133"/>
      <c r="K5168" s="133"/>
      <c r="L5168" s="133"/>
      <c r="M5168" s="133"/>
      <c r="N5168" s="133"/>
      <c r="O5168" s="133"/>
      <c r="P5168" s="134"/>
      <c r="Q5168" s="146"/>
      <c r="R5168" s="17"/>
      <c r="S5168" s="17"/>
      <c r="T5168" s="75"/>
      <c r="U5168" s="75"/>
      <c r="V5168" s="75"/>
      <c r="W5168" s="75"/>
      <c r="X5168" s="75"/>
    </row>
    <row r="5169">
      <c r="A5169" s="17"/>
      <c r="B5169" s="17"/>
      <c r="C5169" s="133"/>
      <c r="D5169" s="133"/>
      <c r="E5169" s="17"/>
      <c r="F5169" s="133"/>
      <c r="G5169" s="133"/>
      <c r="H5169" s="133"/>
      <c r="I5169" s="133"/>
      <c r="J5169" s="133"/>
      <c r="K5169" s="133"/>
      <c r="L5169" s="133"/>
      <c r="M5169" s="133"/>
      <c r="N5169" s="133"/>
      <c r="O5169" s="133"/>
      <c r="P5169" s="134"/>
      <c r="Q5169" s="146"/>
      <c r="R5169" s="17"/>
      <c r="S5169" s="17"/>
      <c r="T5169" s="75"/>
      <c r="U5169" s="75"/>
      <c r="V5169" s="75"/>
      <c r="W5169" s="75"/>
      <c r="X5169" s="75"/>
    </row>
    <row r="5170">
      <c r="A5170" s="17"/>
      <c r="B5170" s="17"/>
      <c r="C5170" s="133"/>
      <c r="D5170" s="133"/>
      <c r="E5170" s="17"/>
      <c r="F5170" s="133"/>
      <c r="G5170" s="133"/>
      <c r="H5170" s="133"/>
      <c r="I5170" s="133"/>
      <c r="J5170" s="133"/>
      <c r="K5170" s="133"/>
      <c r="L5170" s="133"/>
      <c r="M5170" s="133"/>
      <c r="N5170" s="133"/>
      <c r="O5170" s="133"/>
      <c r="P5170" s="134"/>
      <c r="Q5170" s="146"/>
      <c r="R5170" s="17"/>
      <c r="S5170" s="17"/>
      <c r="T5170" s="75"/>
      <c r="U5170" s="75"/>
      <c r="V5170" s="75"/>
      <c r="W5170" s="75"/>
      <c r="X5170" s="75"/>
    </row>
    <row r="5171">
      <c r="A5171" s="17"/>
      <c r="B5171" s="17"/>
      <c r="C5171" s="133"/>
      <c r="D5171" s="133"/>
      <c r="E5171" s="17"/>
      <c r="F5171" s="133"/>
      <c r="G5171" s="133"/>
      <c r="H5171" s="133"/>
      <c r="I5171" s="133"/>
      <c r="J5171" s="133"/>
      <c r="K5171" s="133"/>
      <c r="L5171" s="133"/>
      <c r="M5171" s="133"/>
      <c r="N5171" s="133"/>
      <c r="O5171" s="133"/>
      <c r="P5171" s="134"/>
      <c r="Q5171" s="146"/>
      <c r="R5171" s="17"/>
      <c r="S5171" s="17"/>
      <c r="T5171" s="75"/>
      <c r="U5171" s="75"/>
      <c r="V5171" s="75"/>
      <c r="W5171" s="75"/>
      <c r="X5171" s="75"/>
    </row>
    <row r="5172">
      <c r="A5172" s="17"/>
      <c r="B5172" s="17"/>
      <c r="C5172" s="133"/>
      <c r="D5172" s="133"/>
      <c r="E5172" s="17"/>
      <c r="F5172" s="133"/>
      <c r="G5172" s="133"/>
      <c r="H5172" s="133"/>
      <c r="I5172" s="133"/>
      <c r="J5172" s="133"/>
      <c r="K5172" s="133"/>
      <c r="L5172" s="133"/>
      <c r="M5172" s="133"/>
      <c r="N5172" s="133"/>
      <c r="O5172" s="133"/>
      <c r="P5172" s="134"/>
      <c r="Q5172" s="146"/>
      <c r="R5172" s="17"/>
      <c r="S5172" s="17"/>
      <c r="T5172" s="75"/>
      <c r="U5172" s="75"/>
      <c r="V5172" s="75"/>
      <c r="W5172" s="75"/>
      <c r="X5172" s="75"/>
    </row>
    <row r="5173">
      <c r="A5173" s="17"/>
      <c r="B5173" s="17"/>
      <c r="C5173" s="133"/>
      <c r="D5173" s="133"/>
      <c r="E5173" s="17"/>
      <c r="F5173" s="133"/>
      <c r="G5173" s="133"/>
      <c r="H5173" s="133"/>
      <c r="I5173" s="133"/>
      <c r="J5173" s="133"/>
      <c r="K5173" s="133"/>
      <c r="L5173" s="133"/>
      <c r="M5173" s="133"/>
      <c r="N5173" s="133"/>
      <c r="O5173" s="133"/>
      <c r="P5173" s="134"/>
      <c r="Q5173" s="146"/>
      <c r="R5173" s="17"/>
      <c r="S5173" s="17"/>
      <c r="T5173" s="75"/>
      <c r="U5173" s="75"/>
      <c r="V5173" s="75"/>
      <c r="W5173" s="75"/>
      <c r="X5173" s="75"/>
    </row>
    <row r="5174">
      <c r="A5174" s="17"/>
      <c r="B5174" s="17"/>
      <c r="C5174" s="133"/>
      <c r="D5174" s="133"/>
      <c r="E5174" s="17"/>
      <c r="F5174" s="133"/>
      <c r="G5174" s="133"/>
      <c r="H5174" s="133"/>
      <c r="I5174" s="133"/>
      <c r="J5174" s="133"/>
      <c r="K5174" s="133"/>
      <c r="L5174" s="133"/>
      <c r="M5174" s="133"/>
      <c r="N5174" s="133"/>
      <c r="O5174" s="133"/>
      <c r="P5174" s="134"/>
      <c r="Q5174" s="146"/>
      <c r="R5174" s="17"/>
      <c r="S5174" s="17"/>
      <c r="T5174" s="75"/>
      <c r="U5174" s="75"/>
      <c r="V5174" s="75"/>
      <c r="W5174" s="75"/>
      <c r="X5174" s="75"/>
    </row>
    <row r="5175">
      <c r="A5175" s="17"/>
      <c r="B5175" s="17"/>
      <c r="C5175" s="133"/>
      <c r="D5175" s="133"/>
      <c r="E5175" s="17"/>
      <c r="F5175" s="133"/>
      <c r="G5175" s="133"/>
      <c r="H5175" s="133"/>
      <c r="I5175" s="133"/>
      <c r="J5175" s="133"/>
      <c r="K5175" s="133"/>
      <c r="L5175" s="133"/>
      <c r="M5175" s="133"/>
      <c r="N5175" s="133"/>
      <c r="O5175" s="133"/>
      <c r="P5175" s="134"/>
      <c r="Q5175" s="146"/>
      <c r="R5175" s="17"/>
      <c r="S5175" s="17"/>
      <c r="T5175" s="75"/>
      <c r="U5175" s="75"/>
      <c r="V5175" s="75"/>
      <c r="W5175" s="75"/>
      <c r="X5175" s="75"/>
    </row>
    <row r="5176">
      <c r="A5176" s="17"/>
      <c r="B5176" s="17"/>
      <c r="C5176" s="133"/>
      <c r="D5176" s="133"/>
      <c r="E5176" s="17"/>
      <c r="F5176" s="133"/>
      <c r="G5176" s="133"/>
      <c r="H5176" s="133"/>
      <c r="I5176" s="133"/>
      <c r="J5176" s="133"/>
      <c r="K5176" s="133"/>
      <c r="L5176" s="133"/>
      <c r="M5176" s="133"/>
      <c r="N5176" s="133"/>
      <c r="O5176" s="133"/>
      <c r="P5176" s="134"/>
      <c r="Q5176" s="146"/>
      <c r="R5176" s="17"/>
      <c r="S5176" s="17"/>
      <c r="T5176" s="75"/>
      <c r="U5176" s="75"/>
      <c r="V5176" s="75"/>
      <c r="W5176" s="75"/>
      <c r="X5176" s="75"/>
    </row>
    <row r="5177">
      <c r="A5177" s="17"/>
      <c r="B5177" s="17"/>
      <c r="C5177" s="133"/>
      <c r="D5177" s="133"/>
      <c r="E5177" s="17"/>
      <c r="F5177" s="133"/>
      <c r="G5177" s="133"/>
      <c r="H5177" s="133"/>
      <c r="I5177" s="133"/>
      <c r="J5177" s="133"/>
      <c r="K5177" s="133"/>
      <c r="L5177" s="133"/>
      <c r="M5177" s="133"/>
      <c r="N5177" s="133"/>
      <c r="O5177" s="133"/>
      <c r="P5177" s="134"/>
      <c r="Q5177" s="146"/>
      <c r="R5177" s="17"/>
      <c r="S5177" s="17"/>
      <c r="T5177" s="75"/>
      <c r="U5177" s="75"/>
      <c r="V5177" s="75"/>
      <c r="W5177" s="75"/>
      <c r="X5177" s="75"/>
    </row>
    <row r="5178">
      <c r="A5178" s="17"/>
      <c r="B5178" s="17"/>
      <c r="C5178" s="133"/>
      <c r="D5178" s="133"/>
      <c r="E5178" s="17"/>
      <c r="F5178" s="133"/>
      <c r="G5178" s="133"/>
      <c r="H5178" s="133"/>
      <c r="I5178" s="133"/>
      <c r="J5178" s="133"/>
      <c r="K5178" s="133"/>
      <c r="L5178" s="133"/>
      <c r="M5178" s="133"/>
      <c r="N5178" s="133"/>
      <c r="O5178" s="133"/>
      <c r="P5178" s="134"/>
      <c r="Q5178" s="146"/>
      <c r="R5178" s="17"/>
      <c r="S5178" s="17"/>
      <c r="T5178" s="75"/>
      <c r="U5178" s="75"/>
      <c r="V5178" s="75"/>
      <c r="W5178" s="75"/>
      <c r="X5178" s="75"/>
    </row>
    <row r="5179">
      <c r="A5179" s="17"/>
      <c r="B5179" s="17"/>
      <c r="C5179" s="133"/>
      <c r="D5179" s="133"/>
      <c r="E5179" s="17"/>
      <c r="F5179" s="133"/>
      <c r="G5179" s="133"/>
      <c r="H5179" s="133"/>
      <c r="I5179" s="133"/>
      <c r="J5179" s="133"/>
      <c r="K5179" s="133"/>
      <c r="L5179" s="133"/>
      <c r="M5179" s="133"/>
      <c r="N5179" s="133"/>
      <c r="O5179" s="133"/>
      <c r="P5179" s="134"/>
      <c r="Q5179" s="146"/>
      <c r="R5179" s="17"/>
      <c r="S5179" s="17"/>
      <c r="T5179" s="75"/>
      <c r="U5179" s="75"/>
      <c r="V5179" s="75"/>
      <c r="W5179" s="75"/>
      <c r="X5179" s="75"/>
    </row>
    <row r="5180">
      <c r="A5180" s="17"/>
      <c r="B5180" s="17"/>
      <c r="C5180" s="133"/>
      <c r="D5180" s="133"/>
      <c r="E5180" s="17"/>
      <c r="F5180" s="133"/>
      <c r="G5180" s="133"/>
      <c r="H5180" s="133"/>
      <c r="I5180" s="133"/>
      <c r="J5180" s="133"/>
      <c r="K5180" s="133"/>
      <c r="L5180" s="133"/>
      <c r="M5180" s="133"/>
      <c r="N5180" s="133"/>
      <c r="O5180" s="133"/>
      <c r="P5180" s="134"/>
      <c r="Q5180" s="146"/>
      <c r="R5180" s="17"/>
      <c r="S5180" s="17"/>
      <c r="T5180" s="75"/>
      <c r="U5180" s="75"/>
      <c r="V5180" s="75"/>
      <c r="W5180" s="75"/>
      <c r="X5180" s="75"/>
    </row>
    <row r="5181">
      <c r="A5181" s="17"/>
      <c r="B5181" s="17"/>
      <c r="C5181" s="133"/>
      <c r="D5181" s="133"/>
      <c r="E5181" s="17"/>
      <c r="F5181" s="133"/>
      <c r="G5181" s="133"/>
      <c r="H5181" s="133"/>
      <c r="I5181" s="133"/>
      <c r="J5181" s="133"/>
      <c r="K5181" s="133"/>
      <c r="L5181" s="133"/>
      <c r="M5181" s="133"/>
      <c r="N5181" s="133"/>
      <c r="O5181" s="133"/>
      <c r="P5181" s="134"/>
      <c r="Q5181" s="146"/>
      <c r="R5181" s="17"/>
      <c r="S5181" s="17"/>
      <c r="T5181" s="75"/>
      <c r="U5181" s="75"/>
      <c r="V5181" s="75"/>
      <c r="W5181" s="75"/>
      <c r="X5181" s="75"/>
    </row>
    <row r="5182">
      <c r="A5182" s="17"/>
      <c r="B5182" s="17"/>
      <c r="C5182" s="133"/>
      <c r="D5182" s="133"/>
      <c r="E5182" s="17"/>
      <c r="F5182" s="133"/>
      <c r="G5182" s="133"/>
      <c r="H5182" s="133"/>
      <c r="I5182" s="133"/>
      <c r="J5182" s="133"/>
      <c r="K5182" s="133"/>
      <c r="L5182" s="133"/>
      <c r="M5182" s="133"/>
      <c r="N5182" s="133"/>
      <c r="O5182" s="133"/>
      <c r="P5182" s="134"/>
      <c r="Q5182" s="146"/>
      <c r="R5182" s="17"/>
      <c r="S5182" s="17"/>
      <c r="T5182" s="75"/>
      <c r="U5182" s="75"/>
      <c r="V5182" s="75"/>
      <c r="W5182" s="75"/>
      <c r="X5182" s="75"/>
    </row>
    <row r="5183">
      <c r="A5183" s="17"/>
      <c r="B5183" s="17"/>
      <c r="C5183" s="133"/>
      <c r="D5183" s="133"/>
      <c r="E5183" s="17"/>
      <c r="F5183" s="133"/>
      <c r="G5183" s="133"/>
      <c r="H5183" s="133"/>
      <c r="I5183" s="133"/>
      <c r="J5183" s="133"/>
      <c r="K5183" s="133"/>
      <c r="L5183" s="133"/>
      <c r="M5183" s="133"/>
      <c r="N5183" s="133"/>
      <c r="O5183" s="133"/>
      <c r="P5183" s="134"/>
      <c r="Q5183" s="146"/>
      <c r="R5183" s="17"/>
      <c r="S5183" s="17"/>
      <c r="T5183" s="75"/>
      <c r="U5183" s="75"/>
      <c r="V5183" s="75"/>
      <c r="W5183" s="75"/>
      <c r="X5183" s="75"/>
    </row>
    <row r="5184">
      <c r="A5184" s="17"/>
      <c r="B5184" s="17"/>
      <c r="C5184" s="133"/>
      <c r="D5184" s="133"/>
      <c r="E5184" s="17"/>
      <c r="F5184" s="133"/>
      <c r="G5184" s="133"/>
      <c r="H5184" s="133"/>
      <c r="I5184" s="133"/>
      <c r="J5184" s="133"/>
      <c r="K5184" s="133"/>
      <c r="L5184" s="133"/>
      <c r="M5184" s="133"/>
      <c r="N5184" s="133"/>
      <c r="O5184" s="133"/>
      <c r="P5184" s="134"/>
      <c r="Q5184" s="146"/>
      <c r="R5184" s="17"/>
      <c r="S5184" s="17"/>
      <c r="T5184" s="75"/>
      <c r="U5184" s="75"/>
      <c r="V5184" s="75"/>
      <c r="W5184" s="75"/>
      <c r="X5184" s="75"/>
    </row>
    <row r="5185">
      <c r="A5185" s="17"/>
      <c r="B5185" s="17"/>
      <c r="C5185" s="133"/>
      <c r="D5185" s="133"/>
      <c r="E5185" s="17"/>
      <c r="F5185" s="133"/>
      <c r="G5185" s="133"/>
      <c r="H5185" s="133"/>
      <c r="I5185" s="133"/>
      <c r="J5185" s="133"/>
      <c r="K5185" s="133"/>
      <c r="L5185" s="133"/>
      <c r="M5185" s="133"/>
      <c r="N5185" s="133"/>
      <c r="O5185" s="133"/>
      <c r="P5185" s="134"/>
      <c r="Q5185" s="146"/>
      <c r="R5185" s="17"/>
      <c r="S5185" s="17"/>
      <c r="T5185" s="75"/>
      <c r="U5185" s="75"/>
      <c r="V5185" s="75"/>
      <c r="W5185" s="75"/>
      <c r="X5185" s="75"/>
    </row>
    <row r="5186">
      <c r="A5186" s="17"/>
      <c r="B5186" s="17"/>
      <c r="C5186" s="133"/>
      <c r="D5186" s="133"/>
      <c r="E5186" s="17"/>
      <c r="F5186" s="133"/>
      <c r="G5186" s="133"/>
      <c r="H5186" s="133"/>
      <c r="I5186" s="133"/>
      <c r="J5186" s="133"/>
      <c r="K5186" s="133"/>
      <c r="L5186" s="133"/>
      <c r="M5186" s="133"/>
      <c r="N5186" s="133"/>
      <c r="O5186" s="133"/>
      <c r="P5186" s="134"/>
      <c r="Q5186" s="146"/>
      <c r="R5186" s="17"/>
      <c r="S5186" s="17"/>
      <c r="T5186" s="75"/>
      <c r="U5186" s="75"/>
      <c r="V5186" s="75"/>
      <c r="W5186" s="75"/>
      <c r="X5186" s="75"/>
    </row>
    <row r="5187">
      <c r="A5187" s="17"/>
      <c r="B5187" s="17"/>
      <c r="C5187" s="133"/>
      <c r="D5187" s="133"/>
      <c r="E5187" s="17"/>
      <c r="F5187" s="133"/>
      <c r="G5187" s="133"/>
      <c r="H5187" s="133"/>
      <c r="I5187" s="133"/>
      <c r="J5187" s="133"/>
      <c r="K5187" s="133"/>
      <c r="L5187" s="133"/>
      <c r="M5187" s="133"/>
      <c r="N5187" s="133"/>
      <c r="O5187" s="133"/>
      <c r="P5187" s="134"/>
      <c r="Q5187" s="146"/>
      <c r="R5187" s="17"/>
      <c r="S5187" s="17"/>
      <c r="T5187" s="75"/>
      <c r="U5187" s="75"/>
      <c r="V5187" s="75"/>
      <c r="W5187" s="75"/>
      <c r="X5187" s="75"/>
    </row>
    <row r="5188">
      <c r="A5188" s="17"/>
      <c r="B5188" s="17"/>
      <c r="C5188" s="133"/>
      <c r="D5188" s="133"/>
      <c r="E5188" s="17"/>
      <c r="F5188" s="133"/>
      <c r="G5188" s="133"/>
      <c r="H5188" s="133"/>
      <c r="I5188" s="133"/>
      <c r="J5188" s="133"/>
      <c r="K5188" s="133"/>
      <c r="L5188" s="133"/>
      <c r="M5188" s="133"/>
      <c r="N5188" s="133"/>
      <c r="O5188" s="133"/>
      <c r="P5188" s="134"/>
      <c r="Q5188" s="146"/>
      <c r="R5188" s="17"/>
      <c r="S5188" s="17"/>
      <c r="T5188" s="75"/>
      <c r="U5188" s="75"/>
      <c r="V5188" s="75"/>
      <c r="W5188" s="75"/>
      <c r="X5188" s="75"/>
    </row>
    <row r="5189">
      <c r="A5189" s="17"/>
      <c r="B5189" s="17"/>
      <c r="C5189" s="133"/>
      <c r="D5189" s="133"/>
      <c r="E5189" s="17"/>
      <c r="F5189" s="133"/>
      <c r="G5189" s="133"/>
      <c r="H5189" s="133"/>
      <c r="I5189" s="133"/>
      <c r="J5189" s="133"/>
      <c r="K5189" s="133"/>
      <c r="L5189" s="133"/>
      <c r="M5189" s="133"/>
      <c r="N5189" s="133"/>
      <c r="O5189" s="133"/>
      <c r="P5189" s="134"/>
      <c r="Q5189" s="146"/>
      <c r="R5189" s="17"/>
      <c r="S5189" s="17"/>
      <c r="T5189" s="75"/>
      <c r="U5189" s="75"/>
      <c r="V5189" s="75"/>
      <c r="W5189" s="75"/>
      <c r="X5189" s="75"/>
    </row>
    <row r="5190">
      <c r="A5190" s="17"/>
      <c r="B5190" s="17"/>
      <c r="C5190" s="133"/>
      <c r="D5190" s="133"/>
      <c r="E5190" s="17"/>
      <c r="F5190" s="133"/>
      <c r="G5190" s="133"/>
      <c r="H5190" s="133"/>
      <c r="I5190" s="133"/>
      <c r="J5190" s="133"/>
      <c r="K5190" s="133"/>
      <c r="L5190" s="133"/>
      <c r="M5190" s="133"/>
      <c r="N5190" s="133"/>
      <c r="O5190" s="133"/>
      <c r="P5190" s="134"/>
      <c r="Q5190" s="146"/>
      <c r="R5190" s="17"/>
      <c r="S5190" s="17"/>
      <c r="T5190" s="75"/>
      <c r="U5190" s="75"/>
      <c r="V5190" s="75"/>
      <c r="W5190" s="75"/>
      <c r="X5190" s="75"/>
    </row>
    <row r="5191">
      <c r="A5191" s="17"/>
      <c r="B5191" s="17"/>
      <c r="C5191" s="133"/>
      <c r="D5191" s="133"/>
      <c r="E5191" s="17"/>
      <c r="F5191" s="133"/>
      <c r="G5191" s="133"/>
      <c r="H5191" s="133"/>
      <c r="I5191" s="133"/>
      <c r="J5191" s="133"/>
      <c r="K5191" s="133"/>
      <c r="L5191" s="133"/>
      <c r="M5191" s="133"/>
      <c r="N5191" s="133"/>
      <c r="O5191" s="133"/>
      <c r="P5191" s="134"/>
      <c r="Q5191" s="146"/>
      <c r="R5191" s="17"/>
      <c r="S5191" s="17"/>
      <c r="T5191" s="75"/>
      <c r="U5191" s="75"/>
      <c r="V5191" s="75"/>
      <c r="W5191" s="75"/>
      <c r="X5191" s="75"/>
    </row>
    <row r="5192">
      <c r="A5192" s="17"/>
      <c r="B5192" s="17"/>
      <c r="C5192" s="133"/>
      <c r="D5192" s="133"/>
      <c r="E5192" s="17"/>
      <c r="F5192" s="133"/>
      <c r="G5192" s="133"/>
      <c r="H5192" s="133"/>
      <c r="I5192" s="133"/>
      <c r="J5192" s="133"/>
      <c r="K5192" s="133"/>
      <c r="L5192" s="133"/>
      <c r="M5192" s="133"/>
      <c r="N5192" s="133"/>
      <c r="O5192" s="133"/>
      <c r="P5192" s="134"/>
      <c r="Q5192" s="146"/>
      <c r="R5192" s="17"/>
      <c r="S5192" s="17"/>
      <c r="T5192" s="75"/>
      <c r="U5192" s="75"/>
      <c r="V5192" s="75"/>
      <c r="W5192" s="75"/>
      <c r="X5192" s="75"/>
    </row>
    <row r="5193">
      <c r="A5193" s="17"/>
      <c r="B5193" s="17"/>
      <c r="C5193" s="133"/>
      <c r="D5193" s="133"/>
      <c r="E5193" s="17"/>
      <c r="F5193" s="133"/>
      <c r="G5193" s="133"/>
      <c r="H5193" s="133"/>
      <c r="I5193" s="133"/>
      <c r="J5193" s="133"/>
      <c r="K5193" s="133"/>
      <c r="L5193" s="133"/>
      <c r="M5193" s="133"/>
      <c r="N5193" s="133"/>
      <c r="O5193" s="133"/>
      <c r="P5193" s="134"/>
      <c r="Q5193" s="146"/>
      <c r="R5193" s="17"/>
      <c r="S5193" s="17"/>
      <c r="T5193" s="75"/>
      <c r="U5193" s="75"/>
      <c r="V5193" s="75"/>
      <c r="W5193" s="75"/>
      <c r="X5193" s="75"/>
    </row>
    <row r="5194">
      <c r="A5194" s="17"/>
      <c r="B5194" s="17"/>
      <c r="C5194" s="133"/>
      <c r="D5194" s="133"/>
      <c r="E5194" s="17"/>
      <c r="F5194" s="133"/>
      <c r="G5194" s="133"/>
      <c r="H5194" s="133"/>
      <c r="I5194" s="133"/>
      <c r="J5194" s="133"/>
      <c r="K5194" s="133"/>
      <c r="L5194" s="133"/>
      <c r="M5194" s="133"/>
      <c r="N5194" s="133"/>
      <c r="O5194" s="133"/>
      <c r="P5194" s="134"/>
      <c r="Q5194" s="146"/>
      <c r="R5194" s="17"/>
      <c r="S5194" s="17"/>
      <c r="T5194" s="75"/>
      <c r="U5194" s="75"/>
      <c r="V5194" s="75"/>
      <c r="W5194" s="75"/>
      <c r="X5194" s="75"/>
    </row>
    <row r="5195">
      <c r="A5195" s="17"/>
      <c r="B5195" s="17"/>
      <c r="C5195" s="133"/>
      <c r="D5195" s="133"/>
      <c r="E5195" s="17"/>
      <c r="F5195" s="133"/>
      <c r="G5195" s="133"/>
      <c r="H5195" s="133"/>
      <c r="I5195" s="133"/>
      <c r="J5195" s="133"/>
      <c r="K5195" s="133"/>
      <c r="L5195" s="133"/>
      <c r="M5195" s="133"/>
      <c r="N5195" s="133"/>
      <c r="O5195" s="133"/>
      <c r="P5195" s="134"/>
      <c r="Q5195" s="146"/>
      <c r="R5195" s="17"/>
      <c r="S5195" s="17"/>
      <c r="T5195" s="75"/>
      <c r="U5195" s="75"/>
      <c r="V5195" s="75"/>
      <c r="W5195" s="75"/>
      <c r="X5195" s="75"/>
    </row>
    <row r="5196">
      <c r="A5196" s="17"/>
      <c r="B5196" s="17"/>
      <c r="C5196" s="133"/>
      <c r="D5196" s="133"/>
      <c r="E5196" s="17"/>
      <c r="F5196" s="133"/>
      <c r="G5196" s="133"/>
      <c r="H5196" s="133"/>
      <c r="I5196" s="133"/>
      <c r="J5196" s="133"/>
      <c r="K5196" s="133"/>
      <c r="L5196" s="133"/>
      <c r="M5196" s="133"/>
      <c r="N5196" s="133"/>
      <c r="O5196" s="133"/>
      <c r="P5196" s="134"/>
      <c r="Q5196" s="146"/>
      <c r="R5196" s="17"/>
      <c r="S5196" s="17"/>
      <c r="T5196" s="75"/>
      <c r="U5196" s="75"/>
      <c r="V5196" s="75"/>
      <c r="W5196" s="75"/>
      <c r="X5196" s="75"/>
    </row>
    <row r="5197">
      <c r="A5197" s="17"/>
      <c r="B5197" s="17"/>
      <c r="C5197" s="133"/>
      <c r="D5197" s="133"/>
      <c r="E5197" s="17"/>
      <c r="F5197" s="133"/>
      <c r="G5197" s="133"/>
      <c r="H5197" s="133"/>
      <c r="I5197" s="133"/>
      <c r="J5197" s="133"/>
      <c r="K5197" s="133"/>
      <c r="L5197" s="133"/>
      <c r="M5197" s="133"/>
      <c r="N5197" s="133"/>
      <c r="O5197" s="133"/>
      <c r="P5197" s="134"/>
      <c r="Q5197" s="146"/>
      <c r="R5197" s="17"/>
      <c r="S5197" s="17"/>
      <c r="T5197" s="75"/>
      <c r="U5197" s="75"/>
      <c r="V5197" s="75"/>
      <c r="W5197" s="75"/>
      <c r="X5197" s="75"/>
    </row>
    <row r="5198">
      <c r="A5198" s="17"/>
      <c r="B5198" s="17"/>
      <c r="C5198" s="133"/>
      <c r="D5198" s="133"/>
      <c r="E5198" s="17"/>
      <c r="F5198" s="133"/>
      <c r="G5198" s="133"/>
      <c r="H5198" s="133"/>
      <c r="I5198" s="133"/>
      <c r="J5198" s="133"/>
      <c r="K5198" s="133"/>
      <c r="L5198" s="133"/>
      <c r="M5198" s="133"/>
      <c r="N5198" s="133"/>
      <c r="O5198" s="133"/>
      <c r="P5198" s="134"/>
      <c r="Q5198" s="146"/>
      <c r="R5198" s="17"/>
      <c r="S5198" s="17"/>
      <c r="T5198" s="75"/>
      <c r="U5198" s="75"/>
      <c r="V5198" s="75"/>
      <c r="W5198" s="75"/>
      <c r="X5198" s="75"/>
    </row>
    <row r="5199">
      <c r="A5199" s="17"/>
      <c r="B5199" s="17"/>
      <c r="C5199" s="133"/>
      <c r="D5199" s="133"/>
      <c r="E5199" s="17"/>
      <c r="F5199" s="133"/>
      <c r="G5199" s="133"/>
      <c r="H5199" s="133"/>
      <c r="I5199" s="133"/>
      <c r="J5199" s="133"/>
      <c r="K5199" s="133"/>
      <c r="L5199" s="133"/>
      <c r="M5199" s="133"/>
      <c r="N5199" s="133"/>
      <c r="O5199" s="133"/>
      <c r="P5199" s="134"/>
      <c r="Q5199" s="146"/>
      <c r="R5199" s="17"/>
      <c r="S5199" s="17"/>
      <c r="T5199" s="75"/>
      <c r="U5199" s="75"/>
      <c r="V5199" s="75"/>
      <c r="W5199" s="75"/>
      <c r="X5199" s="75"/>
    </row>
    <row r="5200">
      <c r="A5200" s="17"/>
      <c r="B5200" s="17"/>
      <c r="C5200" s="133"/>
      <c r="D5200" s="133"/>
      <c r="E5200" s="17"/>
      <c r="F5200" s="133"/>
      <c r="G5200" s="133"/>
      <c r="H5200" s="133"/>
      <c r="I5200" s="133"/>
      <c r="J5200" s="133"/>
      <c r="K5200" s="133"/>
      <c r="L5200" s="133"/>
      <c r="M5200" s="133"/>
      <c r="N5200" s="133"/>
      <c r="O5200" s="133"/>
      <c r="P5200" s="134"/>
      <c r="Q5200" s="146"/>
      <c r="R5200" s="17"/>
      <c r="S5200" s="17"/>
      <c r="T5200" s="75"/>
      <c r="U5200" s="75"/>
      <c r="V5200" s="75"/>
      <c r="W5200" s="75"/>
      <c r="X5200" s="75"/>
    </row>
    <row r="5201">
      <c r="A5201" s="17"/>
      <c r="B5201" s="17"/>
      <c r="C5201" s="133"/>
      <c r="D5201" s="133"/>
      <c r="E5201" s="17"/>
      <c r="F5201" s="133"/>
      <c r="G5201" s="133"/>
      <c r="H5201" s="133"/>
      <c r="I5201" s="133"/>
      <c r="J5201" s="133"/>
      <c r="K5201" s="133"/>
      <c r="L5201" s="133"/>
      <c r="M5201" s="133"/>
      <c r="N5201" s="133"/>
      <c r="O5201" s="133"/>
      <c r="P5201" s="134"/>
      <c r="Q5201" s="146"/>
      <c r="R5201" s="17"/>
      <c r="S5201" s="17"/>
      <c r="T5201" s="75"/>
      <c r="U5201" s="75"/>
      <c r="V5201" s="75"/>
      <c r="W5201" s="75"/>
      <c r="X5201" s="75"/>
    </row>
    <row r="5202">
      <c r="A5202" s="17"/>
      <c r="B5202" s="17"/>
      <c r="C5202" s="133"/>
      <c r="D5202" s="133"/>
      <c r="E5202" s="17"/>
      <c r="F5202" s="133"/>
      <c r="G5202" s="133"/>
      <c r="H5202" s="133"/>
      <c r="I5202" s="133"/>
      <c r="J5202" s="133"/>
      <c r="K5202" s="133"/>
      <c r="L5202" s="133"/>
      <c r="M5202" s="133"/>
      <c r="N5202" s="133"/>
      <c r="O5202" s="133"/>
      <c r="P5202" s="134"/>
      <c r="Q5202" s="146"/>
      <c r="R5202" s="17"/>
      <c r="S5202" s="17"/>
      <c r="T5202" s="75"/>
      <c r="U5202" s="75"/>
      <c r="V5202" s="75"/>
      <c r="W5202" s="75"/>
      <c r="X5202" s="75"/>
    </row>
    <row r="5203">
      <c r="A5203" s="17"/>
      <c r="B5203" s="17"/>
      <c r="C5203" s="133"/>
      <c r="D5203" s="133"/>
      <c r="E5203" s="17"/>
      <c r="F5203" s="133"/>
      <c r="G5203" s="133"/>
      <c r="H5203" s="133"/>
      <c r="I5203" s="133"/>
      <c r="J5203" s="133"/>
      <c r="K5203" s="133"/>
      <c r="L5203" s="133"/>
      <c r="M5203" s="133"/>
      <c r="N5203" s="133"/>
      <c r="O5203" s="133"/>
      <c r="P5203" s="134"/>
      <c r="Q5203" s="146"/>
      <c r="R5203" s="17"/>
      <c r="S5203" s="17"/>
      <c r="T5203" s="75"/>
      <c r="U5203" s="75"/>
      <c r="V5203" s="75"/>
      <c r="W5203" s="75"/>
      <c r="X5203" s="75"/>
    </row>
    <row r="5204">
      <c r="A5204" s="17"/>
      <c r="B5204" s="17"/>
      <c r="C5204" s="133"/>
      <c r="D5204" s="133"/>
      <c r="E5204" s="17"/>
      <c r="F5204" s="133"/>
      <c r="G5204" s="133"/>
      <c r="H5204" s="133"/>
      <c r="I5204" s="133"/>
      <c r="J5204" s="133"/>
      <c r="K5204" s="133"/>
      <c r="L5204" s="133"/>
      <c r="M5204" s="133"/>
      <c r="N5204" s="133"/>
      <c r="O5204" s="133"/>
      <c r="P5204" s="134"/>
      <c r="Q5204" s="146"/>
      <c r="R5204" s="17"/>
      <c r="S5204" s="17"/>
      <c r="T5204" s="75"/>
      <c r="U5204" s="75"/>
      <c r="V5204" s="75"/>
      <c r="W5204" s="75"/>
      <c r="X5204" s="75"/>
    </row>
    <row r="5205">
      <c r="A5205" s="17"/>
      <c r="B5205" s="17"/>
      <c r="C5205" s="133"/>
      <c r="D5205" s="133"/>
      <c r="E5205" s="17"/>
      <c r="F5205" s="133"/>
      <c r="G5205" s="133"/>
      <c r="H5205" s="133"/>
      <c r="I5205" s="133"/>
      <c r="J5205" s="133"/>
      <c r="K5205" s="133"/>
      <c r="L5205" s="133"/>
      <c r="M5205" s="133"/>
      <c r="N5205" s="133"/>
      <c r="O5205" s="133"/>
      <c r="P5205" s="134"/>
      <c r="Q5205" s="146"/>
      <c r="R5205" s="17"/>
      <c r="S5205" s="17"/>
      <c r="T5205" s="75"/>
      <c r="U5205" s="75"/>
      <c r="V5205" s="75"/>
      <c r="W5205" s="75"/>
      <c r="X5205" s="75"/>
    </row>
    <row r="5206">
      <c r="A5206" s="17"/>
      <c r="B5206" s="17"/>
      <c r="C5206" s="133"/>
      <c r="D5206" s="133"/>
      <c r="E5206" s="17"/>
      <c r="F5206" s="133"/>
      <c r="G5206" s="133"/>
      <c r="H5206" s="133"/>
      <c r="I5206" s="133"/>
      <c r="J5206" s="133"/>
      <c r="K5206" s="133"/>
      <c r="L5206" s="133"/>
      <c r="M5206" s="133"/>
      <c r="N5206" s="133"/>
      <c r="O5206" s="133"/>
      <c r="P5206" s="134"/>
      <c r="Q5206" s="146"/>
      <c r="R5206" s="17"/>
      <c r="S5206" s="17"/>
      <c r="T5206" s="75"/>
      <c r="U5206" s="75"/>
      <c r="V5206" s="75"/>
      <c r="W5206" s="75"/>
      <c r="X5206" s="75"/>
    </row>
    <row r="5207">
      <c r="A5207" s="17"/>
      <c r="B5207" s="17"/>
      <c r="C5207" s="133"/>
      <c r="D5207" s="133"/>
      <c r="E5207" s="17"/>
      <c r="F5207" s="133"/>
      <c r="G5207" s="133"/>
      <c r="H5207" s="133"/>
      <c r="I5207" s="133"/>
      <c r="J5207" s="133"/>
      <c r="K5207" s="133"/>
      <c r="L5207" s="133"/>
      <c r="M5207" s="133"/>
      <c r="N5207" s="133"/>
      <c r="O5207" s="133"/>
      <c r="P5207" s="134"/>
      <c r="Q5207" s="146"/>
      <c r="R5207" s="17"/>
      <c r="S5207" s="17"/>
      <c r="T5207" s="75"/>
      <c r="U5207" s="75"/>
      <c r="V5207" s="75"/>
      <c r="W5207" s="75"/>
      <c r="X5207" s="75"/>
    </row>
    <row r="5208">
      <c r="A5208" s="17"/>
      <c r="B5208" s="17"/>
      <c r="C5208" s="133"/>
      <c r="D5208" s="133"/>
      <c r="E5208" s="17"/>
      <c r="F5208" s="133"/>
      <c r="G5208" s="133"/>
      <c r="H5208" s="133"/>
      <c r="I5208" s="133"/>
      <c r="J5208" s="133"/>
      <c r="K5208" s="133"/>
      <c r="L5208" s="133"/>
      <c r="M5208" s="133"/>
      <c r="N5208" s="133"/>
      <c r="O5208" s="133"/>
      <c r="P5208" s="134"/>
      <c r="Q5208" s="146"/>
      <c r="R5208" s="17"/>
      <c r="S5208" s="17"/>
      <c r="T5208" s="75"/>
      <c r="U5208" s="75"/>
      <c r="V5208" s="75"/>
      <c r="W5208" s="75"/>
      <c r="X5208" s="75"/>
    </row>
    <row r="5209">
      <c r="A5209" s="17"/>
      <c r="B5209" s="17"/>
      <c r="C5209" s="133"/>
      <c r="D5209" s="133"/>
      <c r="E5209" s="17"/>
      <c r="F5209" s="133"/>
      <c r="G5209" s="133"/>
      <c r="H5209" s="133"/>
      <c r="I5209" s="133"/>
      <c r="J5209" s="133"/>
      <c r="K5209" s="133"/>
      <c r="L5209" s="133"/>
      <c r="M5209" s="133"/>
      <c r="N5209" s="133"/>
      <c r="O5209" s="133"/>
      <c r="P5209" s="134"/>
      <c r="Q5209" s="146"/>
      <c r="R5209" s="17"/>
      <c r="S5209" s="17"/>
      <c r="T5209" s="75"/>
      <c r="U5209" s="75"/>
      <c r="V5209" s="75"/>
      <c r="W5209" s="75"/>
      <c r="X5209" s="75"/>
    </row>
    <row r="5210">
      <c r="A5210" s="17"/>
      <c r="B5210" s="17"/>
      <c r="C5210" s="133"/>
      <c r="D5210" s="133"/>
      <c r="E5210" s="17"/>
      <c r="F5210" s="133"/>
      <c r="G5210" s="133"/>
      <c r="H5210" s="133"/>
      <c r="I5210" s="133"/>
      <c r="J5210" s="133"/>
      <c r="K5210" s="133"/>
      <c r="L5210" s="133"/>
      <c r="M5210" s="133"/>
      <c r="N5210" s="133"/>
      <c r="O5210" s="133"/>
      <c r="P5210" s="134"/>
      <c r="Q5210" s="146"/>
      <c r="R5210" s="17"/>
      <c r="S5210" s="17"/>
      <c r="T5210" s="75"/>
      <c r="U5210" s="75"/>
      <c r="V5210" s="75"/>
      <c r="W5210" s="75"/>
      <c r="X5210" s="75"/>
    </row>
    <row r="5211">
      <c r="A5211" s="17"/>
      <c r="B5211" s="17"/>
      <c r="C5211" s="133"/>
      <c r="D5211" s="133"/>
      <c r="E5211" s="17"/>
      <c r="F5211" s="133"/>
      <c r="G5211" s="133"/>
      <c r="H5211" s="133"/>
      <c r="I5211" s="133"/>
      <c r="J5211" s="133"/>
      <c r="K5211" s="133"/>
      <c r="L5211" s="133"/>
      <c r="M5211" s="133"/>
      <c r="N5211" s="133"/>
      <c r="O5211" s="133"/>
      <c r="P5211" s="134"/>
      <c r="Q5211" s="146"/>
      <c r="R5211" s="17"/>
      <c r="S5211" s="17"/>
      <c r="T5211" s="75"/>
      <c r="U5211" s="75"/>
      <c r="V5211" s="75"/>
      <c r="W5211" s="75"/>
      <c r="X5211" s="75"/>
    </row>
    <row r="5212">
      <c r="A5212" s="17"/>
      <c r="B5212" s="17"/>
      <c r="C5212" s="133"/>
      <c r="D5212" s="133"/>
      <c r="E5212" s="17"/>
      <c r="F5212" s="133"/>
      <c r="G5212" s="133"/>
      <c r="H5212" s="133"/>
      <c r="I5212" s="133"/>
      <c r="J5212" s="133"/>
      <c r="K5212" s="133"/>
      <c r="L5212" s="133"/>
      <c r="M5212" s="133"/>
      <c r="N5212" s="133"/>
      <c r="O5212" s="133"/>
      <c r="P5212" s="134"/>
      <c r="Q5212" s="146"/>
      <c r="R5212" s="17"/>
      <c r="S5212" s="17"/>
      <c r="T5212" s="75"/>
      <c r="U5212" s="75"/>
      <c r="V5212" s="75"/>
      <c r="W5212" s="75"/>
      <c r="X5212" s="75"/>
    </row>
    <row r="5213">
      <c r="A5213" s="17"/>
      <c r="B5213" s="17"/>
      <c r="C5213" s="133"/>
      <c r="D5213" s="133"/>
      <c r="E5213" s="17"/>
      <c r="F5213" s="133"/>
      <c r="G5213" s="133"/>
      <c r="H5213" s="133"/>
      <c r="I5213" s="133"/>
      <c r="J5213" s="133"/>
      <c r="K5213" s="133"/>
      <c r="L5213" s="133"/>
      <c r="M5213" s="133"/>
      <c r="N5213" s="133"/>
      <c r="O5213" s="133"/>
      <c r="P5213" s="134"/>
      <c r="Q5213" s="146"/>
      <c r="R5213" s="17"/>
      <c r="S5213" s="17"/>
      <c r="T5213" s="75"/>
      <c r="U5213" s="75"/>
      <c r="V5213" s="75"/>
      <c r="W5213" s="75"/>
      <c r="X5213" s="75"/>
    </row>
    <row r="5214">
      <c r="A5214" s="17"/>
      <c r="B5214" s="17"/>
      <c r="C5214" s="133"/>
      <c r="D5214" s="133"/>
      <c r="E5214" s="17"/>
      <c r="F5214" s="133"/>
      <c r="G5214" s="133"/>
      <c r="H5214" s="133"/>
      <c r="I5214" s="133"/>
      <c r="J5214" s="133"/>
      <c r="K5214" s="133"/>
      <c r="L5214" s="133"/>
      <c r="M5214" s="133"/>
      <c r="N5214" s="133"/>
      <c r="O5214" s="133"/>
      <c r="P5214" s="134"/>
      <c r="Q5214" s="146"/>
      <c r="R5214" s="17"/>
      <c r="S5214" s="17"/>
      <c r="T5214" s="75"/>
      <c r="U5214" s="75"/>
      <c r="V5214" s="75"/>
      <c r="W5214" s="75"/>
      <c r="X5214" s="75"/>
    </row>
    <row r="5215">
      <c r="A5215" s="17"/>
      <c r="B5215" s="17"/>
      <c r="C5215" s="133"/>
      <c r="D5215" s="133"/>
      <c r="E5215" s="17"/>
      <c r="F5215" s="133"/>
      <c r="G5215" s="133"/>
      <c r="H5215" s="133"/>
      <c r="I5215" s="133"/>
      <c r="J5215" s="133"/>
      <c r="K5215" s="133"/>
      <c r="L5215" s="133"/>
      <c r="M5215" s="133"/>
      <c r="N5215" s="133"/>
      <c r="O5215" s="133"/>
      <c r="P5215" s="134"/>
      <c r="Q5215" s="146"/>
      <c r="R5215" s="17"/>
      <c r="S5215" s="17"/>
      <c r="T5215" s="75"/>
      <c r="U5215" s="75"/>
      <c r="V5215" s="75"/>
      <c r="W5215" s="75"/>
      <c r="X5215" s="75"/>
    </row>
    <row r="5216">
      <c r="A5216" s="17"/>
      <c r="B5216" s="17"/>
      <c r="C5216" s="133"/>
      <c r="D5216" s="133"/>
      <c r="E5216" s="17"/>
      <c r="F5216" s="133"/>
      <c r="G5216" s="133"/>
      <c r="H5216" s="133"/>
      <c r="I5216" s="133"/>
      <c r="J5216" s="133"/>
      <c r="K5216" s="133"/>
      <c r="L5216" s="133"/>
      <c r="M5216" s="133"/>
      <c r="N5216" s="133"/>
      <c r="O5216" s="133"/>
      <c r="P5216" s="134"/>
      <c r="Q5216" s="146"/>
      <c r="R5216" s="17"/>
      <c r="S5216" s="17"/>
      <c r="T5216" s="75"/>
      <c r="U5216" s="75"/>
      <c r="V5216" s="75"/>
      <c r="W5216" s="75"/>
      <c r="X5216" s="75"/>
    </row>
    <row r="5217">
      <c r="A5217" s="17"/>
      <c r="B5217" s="17"/>
      <c r="C5217" s="133"/>
      <c r="D5217" s="133"/>
      <c r="E5217" s="17"/>
      <c r="F5217" s="133"/>
      <c r="G5217" s="133"/>
      <c r="H5217" s="133"/>
      <c r="I5217" s="133"/>
      <c r="J5217" s="133"/>
      <c r="K5217" s="133"/>
      <c r="L5217" s="133"/>
      <c r="M5217" s="133"/>
      <c r="N5217" s="133"/>
      <c r="O5217" s="133"/>
      <c r="P5217" s="134"/>
      <c r="Q5217" s="146"/>
      <c r="R5217" s="17"/>
      <c r="S5217" s="17"/>
      <c r="T5217" s="75"/>
      <c r="U5217" s="75"/>
      <c r="V5217" s="75"/>
      <c r="W5217" s="75"/>
      <c r="X5217" s="75"/>
    </row>
    <row r="5218">
      <c r="A5218" s="17"/>
      <c r="B5218" s="17"/>
      <c r="C5218" s="133"/>
      <c r="D5218" s="133"/>
      <c r="E5218" s="17"/>
      <c r="F5218" s="133"/>
      <c r="G5218" s="133"/>
      <c r="H5218" s="133"/>
      <c r="I5218" s="133"/>
      <c r="J5218" s="133"/>
      <c r="K5218" s="133"/>
      <c r="L5218" s="133"/>
      <c r="M5218" s="133"/>
      <c r="N5218" s="133"/>
      <c r="O5218" s="133"/>
      <c r="P5218" s="134"/>
      <c r="Q5218" s="146"/>
      <c r="R5218" s="17"/>
      <c r="S5218" s="17"/>
      <c r="T5218" s="75"/>
      <c r="U5218" s="75"/>
      <c r="V5218" s="75"/>
      <c r="W5218" s="75"/>
      <c r="X5218" s="75"/>
    </row>
    <row r="5219">
      <c r="A5219" s="17"/>
      <c r="B5219" s="17"/>
      <c r="C5219" s="133"/>
      <c r="D5219" s="133"/>
      <c r="E5219" s="17"/>
      <c r="F5219" s="133"/>
      <c r="G5219" s="133"/>
      <c r="H5219" s="133"/>
      <c r="I5219" s="133"/>
      <c r="J5219" s="133"/>
      <c r="K5219" s="133"/>
      <c r="L5219" s="133"/>
      <c r="M5219" s="133"/>
      <c r="N5219" s="133"/>
      <c r="O5219" s="133"/>
      <c r="P5219" s="134"/>
      <c r="Q5219" s="146"/>
      <c r="R5219" s="17"/>
      <c r="S5219" s="17"/>
      <c r="T5219" s="75"/>
      <c r="U5219" s="75"/>
      <c r="V5219" s="75"/>
      <c r="W5219" s="75"/>
      <c r="X5219" s="75"/>
    </row>
    <row r="5220">
      <c r="A5220" s="17"/>
      <c r="B5220" s="17"/>
      <c r="C5220" s="133"/>
      <c r="D5220" s="133"/>
      <c r="E5220" s="17"/>
      <c r="F5220" s="133"/>
      <c r="G5220" s="133"/>
      <c r="H5220" s="133"/>
      <c r="I5220" s="133"/>
      <c r="J5220" s="133"/>
      <c r="K5220" s="133"/>
      <c r="L5220" s="133"/>
      <c r="M5220" s="133"/>
      <c r="N5220" s="133"/>
      <c r="O5220" s="133"/>
      <c r="P5220" s="134"/>
      <c r="Q5220" s="146"/>
      <c r="R5220" s="17"/>
      <c r="S5220" s="17"/>
      <c r="T5220" s="75"/>
      <c r="U5220" s="75"/>
      <c r="V5220" s="75"/>
      <c r="W5220" s="75"/>
      <c r="X5220" s="75"/>
    </row>
    <row r="5221">
      <c r="A5221" s="17"/>
      <c r="B5221" s="17"/>
      <c r="C5221" s="133"/>
      <c r="D5221" s="133"/>
      <c r="E5221" s="17"/>
      <c r="F5221" s="133"/>
      <c r="G5221" s="133"/>
      <c r="H5221" s="133"/>
      <c r="I5221" s="133"/>
      <c r="J5221" s="133"/>
      <c r="K5221" s="133"/>
      <c r="L5221" s="133"/>
      <c r="M5221" s="133"/>
      <c r="N5221" s="133"/>
      <c r="O5221" s="133"/>
      <c r="P5221" s="134"/>
      <c r="Q5221" s="146"/>
      <c r="R5221" s="17"/>
      <c r="S5221" s="17"/>
      <c r="T5221" s="75"/>
      <c r="U5221" s="75"/>
      <c r="V5221" s="75"/>
      <c r="W5221" s="75"/>
      <c r="X5221" s="75"/>
    </row>
    <row r="5222">
      <c r="A5222" s="17"/>
      <c r="B5222" s="17"/>
      <c r="C5222" s="133"/>
      <c r="D5222" s="133"/>
      <c r="E5222" s="17"/>
      <c r="F5222" s="133"/>
      <c r="G5222" s="133"/>
      <c r="H5222" s="133"/>
      <c r="I5222" s="133"/>
      <c r="J5222" s="133"/>
      <c r="K5222" s="133"/>
      <c r="L5222" s="133"/>
      <c r="M5222" s="133"/>
      <c r="N5222" s="133"/>
      <c r="O5222" s="133"/>
      <c r="P5222" s="134"/>
      <c r="Q5222" s="146"/>
      <c r="R5222" s="17"/>
      <c r="S5222" s="17"/>
      <c r="T5222" s="75"/>
      <c r="U5222" s="75"/>
      <c r="V5222" s="75"/>
      <c r="W5222" s="75"/>
      <c r="X5222" s="75"/>
    </row>
    <row r="5223">
      <c r="A5223" s="17"/>
      <c r="B5223" s="17"/>
      <c r="C5223" s="133"/>
      <c r="D5223" s="133"/>
      <c r="E5223" s="17"/>
      <c r="F5223" s="133"/>
      <c r="G5223" s="133"/>
      <c r="H5223" s="133"/>
      <c r="I5223" s="133"/>
      <c r="J5223" s="133"/>
      <c r="K5223" s="133"/>
      <c r="L5223" s="133"/>
      <c r="M5223" s="133"/>
      <c r="N5223" s="133"/>
      <c r="O5223" s="133"/>
      <c r="P5223" s="134"/>
      <c r="Q5223" s="146"/>
      <c r="R5223" s="17"/>
      <c r="S5223" s="17"/>
      <c r="T5223" s="75"/>
      <c r="U5223" s="75"/>
      <c r="V5223" s="75"/>
      <c r="W5223" s="75"/>
      <c r="X5223" s="75"/>
    </row>
    <row r="5224">
      <c r="A5224" s="17"/>
      <c r="B5224" s="17"/>
      <c r="C5224" s="133"/>
      <c r="D5224" s="133"/>
      <c r="E5224" s="17"/>
      <c r="F5224" s="133"/>
      <c r="G5224" s="133"/>
      <c r="H5224" s="133"/>
      <c r="I5224" s="133"/>
      <c r="J5224" s="133"/>
      <c r="K5224" s="133"/>
      <c r="L5224" s="133"/>
      <c r="M5224" s="133"/>
      <c r="N5224" s="133"/>
      <c r="O5224" s="133"/>
      <c r="P5224" s="134"/>
      <c r="Q5224" s="146"/>
      <c r="R5224" s="17"/>
      <c r="S5224" s="17"/>
      <c r="T5224" s="75"/>
      <c r="U5224" s="75"/>
      <c r="V5224" s="75"/>
      <c r="W5224" s="75"/>
      <c r="X5224" s="75"/>
    </row>
    <row r="5225">
      <c r="A5225" s="17"/>
      <c r="B5225" s="17"/>
      <c r="C5225" s="133"/>
      <c r="D5225" s="133"/>
      <c r="E5225" s="17"/>
      <c r="F5225" s="133"/>
      <c r="G5225" s="133"/>
      <c r="H5225" s="133"/>
      <c r="I5225" s="133"/>
      <c r="J5225" s="133"/>
      <c r="K5225" s="133"/>
      <c r="L5225" s="133"/>
      <c r="M5225" s="133"/>
      <c r="N5225" s="133"/>
      <c r="O5225" s="133"/>
      <c r="P5225" s="134"/>
      <c r="Q5225" s="146"/>
      <c r="R5225" s="17"/>
      <c r="S5225" s="17"/>
      <c r="T5225" s="75"/>
      <c r="U5225" s="75"/>
      <c r="V5225" s="75"/>
      <c r="W5225" s="75"/>
      <c r="X5225" s="75"/>
    </row>
    <row r="5226">
      <c r="A5226" s="17"/>
      <c r="B5226" s="17"/>
      <c r="C5226" s="133"/>
      <c r="D5226" s="133"/>
      <c r="E5226" s="17"/>
      <c r="F5226" s="133"/>
      <c r="G5226" s="133"/>
      <c r="H5226" s="133"/>
      <c r="I5226" s="133"/>
      <c r="J5226" s="133"/>
      <c r="K5226" s="133"/>
      <c r="L5226" s="133"/>
      <c r="M5226" s="133"/>
      <c r="N5226" s="133"/>
      <c r="O5226" s="133"/>
      <c r="P5226" s="134"/>
      <c r="Q5226" s="146"/>
      <c r="R5226" s="17"/>
      <c r="S5226" s="17"/>
      <c r="T5226" s="75"/>
      <c r="U5226" s="75"/>
      <c r="V5226" s="75"/>
      <c r="W5226" s="75"/>
      <c r="X5226" s="75"/>
    </row>
    <row r="5227">
      <c r="A5227" s="17"/>
      <c r="B5227" s="17"/>
      <c r="C5227" s="133"/>
      <c r="D5227" s="133"/>
      <c r="E5227" s="17"/>
      <c r="F5227" s="133"/>
      <c r="G5227" s="133"/>
      <c r="H5227" s="133"/>
      <c r="I5227" s="133"/>
      <c r="J5227" s="133"/>
      <c r="K5227" s="133"/>
      <c r="L5227" s="133"/>
      <c r="M5227" s="133"/>
      <c r="N5227" s="133"/>
      <c r="O5227" s="133"/>
      <c r="P5227" s="134"/>
      <c r="Q5227" s="146"/>
      <c r="R5227" s="17"/>
      <c r="S5227" s="17"/>
      <c r="T5227" s="75"/>
      <c r="U5227" s="75"/>
      <c r="V5227" s="75"/>
      <c r="W5227" s="75"/>
      <c r="X5227" s="75"/>
    </row>
    <row r="5228">
      <c r="A5228" s="17"/>
      <c r="B5228" s="17"/>
      <c r="C5228" s="133"/>
      <c r="D5228" s="133"/>
      <c r="E5228" s="17"/>
      <c r="F5228" s="133"/>
      <c r="G5228" s="133"/>
      <c r="H5228" s="133"/>
      <c r="I5228" s="133"/>
      <c r="J5228" s="133"/>
      <c r="K5228" s="133"/>
      <c r="L5228" s="133"/>
      <c r="M5228" s="133"/>
      <c r="N5228" s="133"/>
      <c r="O5228" s="133"/>
      <c r="P5228" s="134"/>
      <c r="Q5228" s="146"/>
      <c r="R5228" s="17"/>
      <c r="S5228" s="17"/>
      <c r="T5228" s="75"/>
      <c r="U5228" s="75"/>
      <c r="V5228" s="75"/>
      <c r="W5228" s="75"/>
      <c r="X5228" s="75"/>
    </row>
    <row r="5229">
      <c r="A5229" s="17"/>
      <c r="B5229" s="17"/>
      <c r="C5229" s="133"/>
      <c r="D5229" s="133"/>
      <c r="E5229" s="17"/>
      <c r="F5229" s="133"/>
      <c r="G5229" s="133"/>
      <c r="H5229" s="133"/>
      <c r="I5229" s="133"/>
      <c r="J5229" s="133"/>
      <c r="K5229" s="133"/>
      <c r="L5229" s="133"/>
      <c r="M5229" s="133"/>
      <c r="N5229" s="133"/>
      <c r="O5229" s="133"/>
      <c r="P5229" s="134"/>
      <c r="Q5229" s="146"/>
      <c r="R5229" s="17"/>
      <c r="S5229" s="17"/>
      <c r="T5229" s="75"/>
      <c r="U5229" s="75"/>
      <c r="V5229" s="75"/>
      <c r="W5229" s="75"/>
      <c r="X5229" s="75"/>
    </row>
    <row r="5230">
      <c r="A5230" s="17"/>
      <c r="B5230" s="17"/>
      <c r="C5230" s="133"/>
      <c r="D5230" s="133"/>
      <c r="E5230" s="17"/>
      <c r="F5230" s="133"/>
      <c r="G5230" s="133"/>
      <c r="H5230" s="133"/>
      <c r="I5230" s="133"/>
      <c r="J5230" s="133"/>
      <c r="K5230" s="133"/>
      <c r="L5230" s="133"/>
      <c r="M5230" s="133"/>
      <c r="N5230" s="133"/>
      <c r="O5230" s="133"/>
      <c r="P5230" s="134"/>
      <c r="Q5230" s="146"/>
      <c r="R5230" s="17"/>
      <c r="S5230" s="17"/>
      <c r="T5230" s="75"/>
      <c r="U5230" s="75"/>
      <c r="V5230" s="75"/>
      <c r="W5230" s="75"/>
      <c r="X5230" s="75"/>
    </row>
    <row r="5231">
      <c r="A5231" s="17"/>
      <c r="B5231" s="17"/>
      <c r="C5231" s="133"/>
      <c r="D5231" s="133"/>
      <c r="E5231" s="17"/>
      <c r="F5231" s="133"/>
      <c r="G5231" s="133"/>
      <c r="H5231" s="133"/>
      <c r="I5231" s="133"/>
      <c r="J5231" s="133"/>
      <c r="K5231" s="133"/>
      <c r="L5231" s="133"/>
      <c r="M5231" s="133"/>
      <c r="N5231" s="133"/>
      <c r="O5231" s="133"/>
      <c r="P5231" s="134"/>
      <c r="Q5231" s="146"/>
      <c r="R5231" s="17"/>
      <c r="S5231" s="17"/>
      <c r="T5231" s="75"/>
      <c r="U5231" s="75"/>
      <c r="V5231" s="75"/>
      <c r="W5231" s="75"/>
      <c r="X5231" s="75"/>
    </row>
    <row r="5232">
      <c r="A5232" s="17"/>
      <c r="B5232" s="17"/>
      <c r="C5232" s="133"/>
      <c r="D5232" s="133"/>
      <c r="E5232" s="17"/>
      <c r="F5232" s="133"/>
      <c r="G5232" s="133"/>
      <c r="H5232" s="133"/>
      <c r="I5232" s="133"/>
      <c r="J5232" s="133"/>
      <c r="K5232" s="133"/>
      <c r="L5232" s="133"/>
      <c r="M5232" s="133"/>
      <c r="N5232" s="133"/>
      <c r="O5232" s="133"/>
      <c r="P5232" s="134"/>
      <c r="Q5232" s="146"/>
      <c r="R5232" s="17"/>
      <c r="S5232" s="17"/>
      <c r="T5232" s="75"/>
      <c r="U5232" s="75"/>
      <c r="V5232" s="75"/>
      <c r="W5232" s="75"/>
      <c r="X5232" s="75"/>
    </row>
    <row r="5233">
      <c r="A5233" s="17"/>
      <c r="B5233" s="17"/>
      <c r="C5233" s="133"/>
      <c r="D5233" s="133"/>
      <c r="E5233" s="17"/>
      <c r="F5233" s="133"/>
      <c r="G5233" s="133"/>
      <c r="H5233" s="133"/>
      <c r="I5233" s="133"/>
      <c r="J5233" s="133"/>
      <c r="K5233" s="133"/>
      <c r="L5233" s="133"/>
      <c r="M5233" s="133"/>
      <c r="N5233" s="133"/>
      <c r="O5233" s="133"/>
      <c r="P5233" s="134"/>
      <c r="Q5233" s="146"/>
      <c r="R5233" s="17"/>
      <c r="S5233" s="17"/>
      <c r="T5233" s="75"/>
      <c r="U5233" s="75"/>
      <c r="V5233" s="75"/>
      <c r="W5233" s="75"/>
      <c r="X5233" s="75"/>
    </row>
    <row r="5234">
      <c r="A5234" s="17"/>
      <c r="B5234" s="17"/>
      <c r="C5234" s="133"/>
      <c r="D5234" s="133"/>
      <c r="E5234" s="17"/>
      <c r="F5234" s="133"/>
      <c r="G5234" s="133"/>
      <c r="H5234" s="133"/>
      <c r="I5234" s="133"/>
      <c r="J5234" s="133"/>
      <c r="K5234" s="133"/>
      <c r="L5234" s="133"/>
      <c r="M5234" s="133"/>
      <c r="N5234" s="133"/>
      <c r="O5234" s="133"/>
      <c r="P5234" s="134"/>
      <c r="Q5234" s="146"/>
      <c r="R5234" s="17"/>
      <c r="S5234" s="17"/>
      <c r="T5234" s="75"/>
      <c r="U5234" s="75"/>
      <c r="V5234" s="75"/>
      <c r="W5234" s="75"/>
      <c r="X5234" s="75"/>
    </row>
    <row r="5235">
      <c r="A5235" s="17"/>
      <c r="B5235" s="17"/>
      <c r="C5235" s="133"/>
      <c r="D5235" s="133"/>
      <c r="E5235" s="17"/>
      <c r="F5235" s="133"/>
      <c r="G5235" s="133"/>
      <c r="H5235" s="133"/>
      <c r="I5235" s="133"/>
      <c r="J5235" s="133"/>
      <c r="K5235" s="133"/>
      <c r="L5235" s="133"/>
      <c r="M5235" s="133"/>
      <c r="N5235" s="133"/>
      <c r="O5235" s="133"/>
      <c r="P5235" s="134"/>
      <c r="Q5235" s="146"/>
      <c r="R5235" s="17"/>
      <c r="S5235" s="17"/>
      <c r="T5235" s="75"/>
      <c r="U5235" s="75"/>
      <c r="V5235" s="75"/>
      <c r="W5235" s="75"/>
      <c r="X5235" s="75"/>
    </row>
    <row r="5236">
      <c r="A5236" s="17"/>
      <c r="B5236" s="17"/>
      <c r="C5236" s="133"/>
      <c r="D5236" s="133"/>
      <c r="E5236" s="17"/>
      <c r="F5236" s="133"/>
      <c r="G5236" s="133"/>
      <c r="H5236" s="133"/>
      <c r="I5236" s="133"/>
      <c r="J5236" s="133"/>
      <c r="K5236" s="133"/>
      <c r="L5236" s="133"/>
      <c r="M5236" s="133"/>
      <c r="N5236" s="133"/>
      <c r="O5236" s="133"/>
      <c r="P5236" s="134"/>
      <c r="Q5236" s="146"/>
      <c r="R5236" s="17"/>
      <c r="S5236" s="17"/>
      <c r="T5236" s="75"/>
      <c r="U5236" s="75"/>
      <c r="V5236" s="75"/>
      <c r="W5236" s="75"/>
      <c r="X5236" s="75"/>
    </row>
    <row r="5237">
      <c r="A5237" s="17"/>
      <c r="B5237" s="17"/>
      <c r="C5237" s="133"/>
      <c r="D5237" s="133"/>
      <c r="E5237" s="17"/>
      <c r="F5237" s="133"/>
      <c r="G5237" s="133"/>
      <c r="H5237" s="133"/>
      <c r="I5237" s="133"/>
      <c r="J5237" s="133"/>
      <c r="K5237" s="133"/>
      <c r="L5237" s="133"/>
      <c r="M5237" s="133"/>
      <c r="N5237" s="133"/>
      <c r="O5237" s="133"/>
      <c r="P5237" s="134"/>
      <c r="Q5237" s="146"/>
      <c r="R5237" s="17"/>
      <c r="S5237" s="17"/>
      <c r="T5237" s="75"/>
      <c r="U5237" s="75"/>
      <c r="V5237" s="75"/>
      <c r="W5237" s="75"/>
      <c r="X5237" s="75"/>
    </row>
    <row r="5238">
      <c r="A5238" s="17"/>
      <c r="B5238" s="17"/>
      <c r="C5238" s="133"/>
      <c r="D5238" s="133"/>
      <c r="E5238" s="17"/>
      <c r="F5238" s="133"/>
      <c r="G5238" s="133"/>
      <c r="H5238" s="133"/>
      <c r="I5238" s="133"/>
      <c r="J5238" s="133"/>
      <c r="K5238" s="133"/>
      <c r="L5238" s="133"/>
      <c r="M5238" s="133"/>
      <c r="N5238" s="133"/>
      <c r="O5238" s="133"/>
      <c r="P5238" s="134"/>
      <c r="Q5238" s="146"/>
      <c r="R5238" s="17"/>
      <c r="S5238" s="17"/>
      <c r="T5238" s="75"/>
      <c r="U5238" s="75"/>
      <c r="V5238" s="75"/>
      <c r="W5238" s="75"/>
      <c r="X5238" s="75"/>
    </row>
    <row r="5239">
      <c r="A5239" s="17"/>
      <c r="B5239" s="17"/>
      <c r="C5239" s="133"/>
      <c r="D5239" s="133"/>
      <c r="E5239" s="17"/>
      <c r="F5239" s="133"/>
      <c r="G5239" s="133"/>
      <c r="H5239" s="133"/>
      <c r="I5239" s="133"/>
      <c r="J5239" s="133"/>
      <c r="K5239" s="133"/>
      <c r="L5239" s="133"/>
      <c r="M5239" s="133"/>
      <c r="N5239" s="133"/>
      <c r="O5239" s="133"/>
      <c r="P5239" s="134"/>
      <c r="Q5239" s="146"/>
      <c r="R5239" s="17"/>
      <c r="S5239" s="17"/>
      <c r="T5239" s="75"/>
      <c r="U5239" s="75"/>
      <c r="V5239" s="75"/>
      <c r="W5239" s="75"/>
      <c r="X5239" s="75"/>
    </row>
    <row r="5240">
      <c r="A5240" s="17"/>
      <c r="B5240" s="17"/>
      <c r="C5240" s="133"/>
      <c r="D5240" s="133"/>
      <c r="E5240" s="17"/>
      <c r="F5240" s="133"/>
      <c r="G5240" s="133"/>
      <c r="H5240" s="133"/>
      <c r="I5240" s="133"/>
      <c r="J5240" s="133"/>
      <c r="K5240" s="133"/>
      <c r="L5240" s="133"/>
      <c r="M5240" s="133"/>
      <c r="N5240" s="133"/>
      <c r="O5240" s="133"/>
      <c r="P5240" s="134"/>
      <c r="Q5240" s="146"/>
      <c r="R5240" s="17"/>
      <c r="S5240" s="17"/>
      <c r="T5240" s="75"/>
      <c r="U5240" s="75"/>
      <c r="V5240" s="75"/>
      <c r="W5240" s="75"/>
      <c r="X5240" s="75"/>
    </row>
    <row r="5241">
      <c r="A5241" s="17"/>
      <c r="B5241" s="17"/>
      <c r="C5241" s="133"/>
      <c r="D5241" s="133"/>
      <c r="E5241" s="17"/>
      <c r="F5241" s="133"/>
      <c r="G5241" s="133"/>
      <c r="H5241" s="133"/>
      <c r="I5241" s="133"/>
      <c r="J5241" s="133"/>
      <c r="K5241" s="133"/>
      <c r="L5241" s="133"/>
      <c r="M5241" s="133"/>
      <c r="N5241" s="133"/>
      <c r="O5241" s="133"/>
      <c r="P5241" s="134"/>
      <c r="Q5241" s="146"/>
      <c r="R5241" s="17"/>
      <c r="S5241" s="17"/>
      <c r="T5241" s="75"/>
      <c r="U5241" s="75"/>
      <c r="V5241" s="75"/>
      <c r="W5241" s="75"/>
      <c r="X5241" s="75"/>
    </row>
    <row r="5242">
      <c r="A5242" s="17"/>
      <c r="B5242" s="17"/>
      <c r="C5242" s="133"/>
      <c r="D5242" s="133"/>
      <c r="E5242" s="17"/>
      <c r="F5242" s="133"/>
      <c r="G5242" s="133"/>
      <c r="H5242" s="133"/>
      <c r="I5242" s="133"/>
      <c r="J5242" s="133"/>
      <c r="K5242" s="133"/>
      <c r="L5242" s="133"/>
      <c r="M5242" s="133"/>
      <c r="N5242" s="133"/>
      <c r="O5242" s="133"/>
      <c r="P5242" s="134"/>
      <c r="Q5242" s="146"/>
      <c r="R5242" s="17"/>
      <c r="S5242" s="17"/>
      <c r="T5242" s="75"/>
      <c r="U5242" s="75"/>
      <c r="V5242" s="75"/>
      <c r="W5242" s="75"/>
      <c r="X5242" s="75"/>
    </row>
    <row r="5243">
      <c r="A5243" s="17"/>
      <c r="B5243" s="17"/>
      <c r="C5243" s="133"/>
      <c r="D5243" s="133"/>
      <c r="E5243" s="17"/>
      <c r="F5243" s="133"/>
      <c r="G5243" s="133"/>
      <c r="H5243" s="133"/>
      <c r="I5243" s="133"/>
      <c r="J5243" s="133"/>
      <c r="K5243" s="133"/>
      <c r="L5243" s="133"/>
      <c r="M5243" s="133"/>
      <c r="N5243" s="133"/>
      <c r="O5243" s="133"/>
      <c r="P5243" s="134"/>
      <c r="Q5243" s="146"/>
      <c r="R5243" s="17"/>
      <c r="S5243" s="17"/>
      <c r="T5243" s="75"/>
      <c r="U5243" s="75"/>
      <c r="V5243" s="75"/>
      <c r="W5243" s="75"/>
      <c r="X5243" s="75"/>
    </row>
    <row r="5244">
      <c r="A5244" s="17"/>
      <c r="B5244" s="17"/>
      <c r="C5244" s="133"/>
      <c r="D5244" s="133"/>
      <c r="E5244" s="17"/>
      <c r="F5244" s="133"/>
      <c r="G5244" s="133"/>
      <c r="H5244" s="133"/>
      <c r="I5244" s="133"/>
      <c r="J5244" s="133"/>
      <c r="K5244" s="133"/>
      <c r="L5244" s="133"/>
      <c r="M5244" s="133"/>
      <c r="N5244" s="133"/>
      <c r="O5244" s="133"/>
      <c r="P5244" s="134"/>
      <c r="Q5244" s="146"/>
      <c r="R5244" s="17"/>
      <c r="S5244" s="17"/>
      <c r="T5244" s="75"/>
      <c r="U5244" s="75"/>
      <c r="V5244" s="75"/>
      <c r="W5244" s="75"/>
      <c r="X5244" s="75"/>
    </row>
    <row r="5245">
      <c r="A5245" s="17"/>
      <c r="B5245" s="17"/>
      <c r="C5245" s="133"/>
      <c r="D5245" s="133"/>
      <c r="E5245" s="17"/>
      <c r="F5245" s="133"/>
      <c r="G5245" s="133"/>
      <c r="H5245" s="133"/>
      <c r="I5245" s="133"/>
      <c r="J5245" s="133"/>
      <c r="K5245" s="133"/>
      <c r="L5245" s="133"/>
      <c r="M5245" s="133"/>
      <c r="N5245" s="133"/>
      <c r="O5245" s="133"/>
      <c r="P5245" s="134"/>
      <c r="Q5245" s="146"/>
      <c r="R5245" s="17"/>
      <c r="S5245" s="17"/>
      <c r="T5245" s="75"/>
      <c r="U5245" s="75"/>
      <c r="V5245" s="75"/>
      <c r="W5245" s="75"/>
      <c r="X5245" s="75"/>
    </row>
    <row r="5246">
      <c r="A5246" s="17"/>
      <c r="B5246" s="17"/>
      <c r="C5246" s="133"/>
      <c r="D5246" s="133"/>
      <c r="E5246" s="17"/>
      <c r="F5246" s="133"/>
      <c r="G5246" s="133"/>
      <c r="H5246" s="133"/>
      <c r="I5246" s="133"/>
      <c r="J5246" s="133"/>
      <c r="K5246" s="133"/>
      <c r="L5246" s="133"/>
      <c r="M5246" s="133"/>
      <c r="N5246" s="133"/>
      <c r="O5246" s="133"/>
      <c r="P5246" s="134"/>
      <c r="Q5246" s="146"/>
      <c r="R5246" s="17"/>
      <c r="S5246" s="17"/>
      <c r="T5246" s="75"/>
      <c r="U5246" s="75"/>
      <c r="V5246" s="75"/>
      <c r="W5246" s="75"/>
      <c r="X5246" s="75"/>
    </row>
    <row r="5247">
      <c r="A5247" s="17"/>
      <c r="B5247" s="17"/>
      <c r="C5247" s="133"/>
      <c r="D5247" s="133"/>
      <c r="E5247" s="17"/>
      <c r="F5247" s="133"/>
      <c r="G5247" s="133"/>
      <c r="H5247" s="133"/>
      <c r="I5247" s="133"/>
      <c r="J5247" s="133"/>
      <c r="K5247" s="133"/>
      <c r="L5247" s="133"/>
      <c r="M5247" s="133"/>
      <c r="N5247" s="133"/>
      <c r="O5247" s="133"/>
      <c r="P5247" s="134"/>
      <c r="Q5247" s="146"/>
      <c r="R5247" s="17"/>
      <c r="S5247" s="17"/>
      <c r="T5247" s="75"/>
      <c r="U5247" s="75"/>
      <c r="V5247" s="75"/>
      <c r="W5247" s="75"/>
      <c r="X5247" s="75"/>
    </row>
    <row r="5248">
      <c r="A5248" s="17"/>
      <c r="B5248" s="17"/>
      <c r="C5248" s="133"/>
      <c r="D5248" s="133"/>
      <c r="E5248" s="17"/>
      <c r="F5248" s="133"/>
      <c r="G5248" s="133"/>
      <c r="H5248" s="133"/>
      <c r="I5248" s="133"/>
      <c r="J5248" s="133"/>
      <c r="K5248" s="133"/>
      <c r="L5248" s="133"/>
      <c r="M5248" s="133"/>
      <c r="N5248" s="133"/>
      <c r="O5248" s="133"/>
      <c r="P5248" s="134"/>
      <c r="Q5248" s="146"/>
      <c r="R5248" s="17"/>
      <c r="S5248" s="17"/>
      <c r="T5248" s="75"/>
      <c r="U5248" s="75"/>
      <c r="V5248" s="75"/>
      <c r="W5248" s="75"/>
      <c r="X5248" s="75"/>
    </row>
    <row r="5249">
      <c r="A5249" s="17"/>
      <c r="B5249" s="17"/>
      <c r="C5249" s="133"/>
      <c r="D5249" s="133"/>
      <c r="E5249" s="17"/>
      <c r="F5249" s="133"/>
      <c r="G5249" s="133"/>
      <c r="H5249" s="133"/>
      <c r="I5249" s="133"/>
      <c r="J5249" s="133"/>
      <c r="K5249" s="133"/>
      <c r="L5249" s="133"/>
      <c r="M5249" s="133"/>
      <c r="N5249" s="133"/>
      <c r="O5249" s="133"/>
      <c r="P5249" s="134"/>
      <c r="Q5249" s="146"/>
      <c r="R5249" s="17"/>
      <c r="S5249" s="17"/>
      <c r="T5249" s="75"/>
      <c r="U5249" s="75"/>
      <c r="V5249" s="75"/>
      <c r="W5249" s="75"/>
      <c r="X5249" s="75"/>
    </row>
    <row r="5250">
      <c r="A5250" s="17"/>
      <c r="B5250" s="17"/>
      <c r="C5250" s="133"/>
      <c r="D5250" s="133"/>
      <c r="E5250" s="17"/>
      <c r="F5250" s="133"/>
      <c r="G5250" s="133"/>
      <c r="H5250" s="133"/>
      <c r="I5250" s="133"/>
      <c r="J5250" s="133"/>
      <c r="K5250" s="133"/>
      <c r="L5250" s="133"/>
      <c r="M5250" s="133"/>
      <c r="N5250" s="133"/>
      <c r="O5250" s="133"/>
      <c r="P5250" s="134"/>
      <c r="Q5250" s="146"/>
      <c r="R5250" s="17"/>
      <c r="S5250" s="17"/>
      <c r="T5250" s="75"/>
      <c r="U5250" s="75"/>
      <c r="V5250" s="75"/>
      <c r="W5250" s="75"/>
      <c r="X5250" s="75"/>
    </row>
    <row r="5251">
      <c r="A5251" s="17"/>
      <c r="B5251" s="17"/>
      <c r="C5251" s="133"/>
      <c r="D5251" s="133"/>
      <c r="E5251" s="17"/>
      <c r="F5251" s="133"/>
      <c r="G5251" s="133"/>
      <c r="H5251" s="133"/>
      <c r="I5251" s="133"/>
      <c r="J5251" s="133"/>
      <c r="K5251" s="133"/>
      <c r="L5251" s="133"/>
      <c r="M5251" s="133"/>
      <c r="N5251" s="133"/>
      <c r="O5251" s="133"/>
      <c r="P5251" s="134"/>
      <c r="Q5251" s="146"/>
      <c r="R5251" s="17"/>
      <c r="S5251" s="17"/>
      <c r="T5251" s="75"/>
      <c r="U5251" s="75"/>
      <c r="V5251" s="75"/>
      <c r="W5251" s="75"/>
      <c r="X5251" s="75"/>
    </row>
    <row r="5252">
      <c r="A5252" s="17"/>
      <c r="B5252" s="17"/>
      <c r="C5252" s="133"/>
      <c r="D5252" s="133"/>
      <c r="E5252" s="17"/>
      <c r="F5252" s="133"/>
      <c r="G5252" s="133"/>
      <c r="H5252" s="133"/>
      <c r="I5252" s="133"/>
      <c r="J5252" s="133"/>
      <c r="K5252" s="133"/>
      <c r="L5252" s="133"/>
      <c r="M5252" s="133"/>
      <c r="N5252" s="133"/>
      <c r="O5252" s="133"/>
      <c r="P5252" s="134"/>
      <c r="Q5252" s="146"/>
      <c r="R5252" s="17"/>
      <c r="S5252" s="17"/>
      <c r="T5252" s="75"/>
      <c r="U5252" s="75"/>
      <c r="V5252" s="75"/>
      <c r="W5252" s="75"/>
      <c r="X5252" s="75"/>
    </row>
    <row r="5253">
      <c r="A5253" s="17"/>
      <c r="B5253" s="17"/>
      <c r="C5253" s="133"/>
      <c r="D5253" s="133"/>
      <c r="E5253" s="17"/>
      <c r="F5253" s="133"/>
      <c r="G5253" s="133"/>
      <c r="H5253" s="133"/>
      <c r="I5253" s="133"/>
      <c r="J5253" s="133"/>
      <c r="K5253" s="133"/>
      <c r="L5253" s="133"/>
      <c r="M5253" s="133"/>
      <c r="N5253" s="133"/>
      <c r="O5253" s="133"/>
      <c r="P5253" s="134"/>
      <c r="Q5253" s="146"/>
      <c r="R5253" s="17"/>
      <c r="S5253" s="17"/>
      <c r="T5253" s="75"/>
      <c r="U5253" s="75"/>
      <c r="V5253" s="75"/>
      <c r="W5253" s="75"/>
      <c r="X5253" s="75"/>
    </row>
    <row r="5254">
      <c r="A5254" s="17"/>
      <c r="B5254" s="17"/>
      <c r="C5254" s="133"/>
      <c r="D5254" s="133"/>
      <c r="E5254" s="17"/>
      <c r="F5254" s="133"/>
      <c r="G5254" s="133"/>
      <c r="H5254" s="133"/>
      <c r="I5254" s="133"/>
      <c r="J5254" s="133"/>
      <c r="K5254" s="133"/>
      <c r="L5254" s="133"/>
      <c r="M5254" s="133"/>
      <c r="N5254" s="133"/>
      <c r="O5254" s="133"/>
      <c r="P5254" s="134"/>
      <c r="Q5254" s="146"/>
      <c r="R5254" s="17"/>
      <c r="S5254" s="17"/>
      <c r="T5254" s="75"/>
      <c r="U5254" s="75"/>
      <c r="V5254" s="75"/>
      <c r="W5254" s="75"/>
      <c r="X5254" s="75"/>
    </row>
    <row r="5255">
      <c r="A5255" s="17"/>
      <c r="B5255" s="17"/>
      <c r="C5255" s="133"/>
      <c r="D5255" s="133"/>
      <c r="E5255" s="17"/>
      <c r="F5255" s="133"/>
      <c r="G5255" s="133"/>
      <c r="H5255" s="133"/>
      <c r="I5255" s="133"/>
      <c r="J5255" s="133"/>
      <c r="K5255" s="133"/>
      <c r="L5255" s="133"/>
      <c r="M5255" s="133"/>
      <c r="N5255" s="133"/>
      <c r="O5255" s="133"/>
      <c r="P5255" s="134"/>
      <c r="Q5255" s="146"/>
      <c r="R5255" s="17"/>
      <c r="S5255" s="17"/>
      <c r="T5255" s="75"/>
      <c r="U5255" s="75"/>
      <c r="V5255" s="75"/>
      <c r="W5255" s="75"/>
      <c r="X5255" s="75"/>
    </row>
    <row r="5256">
      <c r="A5256" s="17"/>
      <c r="B5256" s="17"/>
      <c r="C5256" s="133"/>
      <c r="D5256" s="133"/>
      <c r="E5256" s="17"/>
      <c r="F5256" s="133"/>
      <c r="G5256" s="133"/>
      <c r="H5256" s="133"/>
      <c r="I5256" s="133"/>
      <c r="J5256" s="133"/>
      <c r="K5256" s="133"/>
      <c r="L5256" s="133"/>
      <c r="M5256" s="133"/>
      <c r="N5256" s="133"/>
      <c r="O5256" s="133"/>
      <c r="P5256" s="134"/>
      <c r="Q5256" s="146"/>
      <c r="R5256" s="17"/>
      <c r="S5256" s="17"/>
      <c r="T5256" s="75"/>
      <c r="U5256" s="75"/>
      <c r="V5256" s="75"/>
      <c r="W5256" s="75"/>
      <c r="X5256" s="75"/>
    </row>
    <row r="5257">
      <c r="A5257" s="17"/>
      <c r="B5257" s="17"/>
      <c r="C5257" s="133"/>
      <c r="D5257" s="133"/>
      <c r="E5257" s="17"/>
      <c r="F5257" s="133"/>
      <c r="G5257" s="133"/>
      <c r="H5257" s="133"/>
      <c r="I5257" s="133"/>
      <c r="J5257" s="133"/>
      <c r="K5257" s="133"/>
      <c r="L5257" s="133"/>
      <c r="M5257" s="133"/>
      <c r="N5257" s="133"/>
      <c r="O5257" s="133"/>
      <c r="P5257" s="134"/>
      <c r="Q5257" s="146"/>
      <c r="R5257" s="17"/>
      <c r="S5257" s="17"/>
      <c r="T5257" s="75"/>
      <c r="U5257" s="75"/>
      <c r="V5257" s="75"/>
      <c r="W5257" s="75"/>
      <c r="X5257" s="75"/>
    </row>
    <row r="5258">
      <c r="A5258" s="17"/>
      <c r="B5258" s="17"/>
      <c r="C5258" s="133"/>
      <c r="D5258" s="133"/>
      <c r="E5258" s="17"/>
      <c r="F5258" s="133"/>
      <c r="G5258" s="133"/>
      <c r="H5258" s="133"/>
      <c r="I5258" s="133"/>
      <c r="J5258" s="133"/>
      <c r="K5258" s="133"/>
      <c r="L5258" s="133"/>
      <c r="M5258" s="133"/>
      <c r="N5258" s="133"/>
      <c r="O5258" s="133"/>
      <c r="P5258" s="134"/>
      <c r="Q5258" s="146"/>
      <c r="R5258" s="17"/>
      <c r="S5258" s="17"/>
      <c r="T5258" s="75"/>
      <c r="U5258" s="75"/>
      <c r="V5258" s="75"/>
      <c r="W5258" s="75"/>
      <c r="X5258" s="75"/>
    </row>
    <row r="5259">
      <c r="A5259" s="17"/>
      <c r="B5259" s="17"/>
      <c r="C5259" s="133"/>
      <c r="D5259" s="133"/>
      <c r="E5259" s="17"/>
      <c r="F5259" s="133"/>
      <c r="G5259" s="133"/>
      <c r="H5259" s="133"/>
      <c r="I5259" s="133"/>
      <c r="J5259" s="133"/>
      <c r="K5259" s="133"/>
      <c r="L5259" s="133"/>
      <c r="M5259" s="133"/>
      <c r="N5259" s="133"/>
      <c r="O5259" s="133"/>
      <c r="P5259" s="134"/>
      <c r="Q5259" s="146"/>
      <c r="R5259" s="17"/>
      <c r="S5259" s="17"/>
      <c r="T5259" s="75"/>
      <c r="U5259" s="75"/>
      <c r="V5259" s="75"/>
      <c r="W5259" s="75"/>
      <c r="X5259" s="75"/>
    </row>
    <row r="5260">
      <c r="A5260" s="17"/>
      <c r="B5260" s="17"/>
      <c r="C5260" s="133"/>
      <c r="D5260" s="133"/>
      <c r="E5260" s="17"/>
      <c r="F5260" s="133"/>
      <c r="G5260" s="133"/>
      <c r="H5260" s="133"/>
      <c r="I5260" s="133"/>
      <c r="J5260" s="133"/>
      <c r="K5260" s="133"/>
      <c r="L5260" s="133"/>
      <c r="M5260" s="133"/>
      <c r="N5260" s="133"/>
      <c r="O5260" s="133"/>
      <c r="P5260" s="134"/>
      <c r="Q5260" s="146"/>
      <c r="R5260" s="17"/>
      <c r="S5260" s="17"/>
      <c r="T5260" s="75"/>
      <c r="U5260" s="75"/>
      <c r="V5260" s="75"/>
      <c r="W5260" s="75"/>
      <c r="X5260" s="75"/>
    </row>
    <row r="5261">
      <c r="A5261" s="17"/>
      <c r="B5261" s="17"/>
      <c r="C5261" s="133"/>
      <c r="D5261" s="133"/>
      <c r="E5261" s="17"/>
      <c r="F5261" s="133"/>
      <c r="G5261" s="133"/>
      <c r="H5261" s="133"/>
      <c r="I5261" s="133"/>
      <c r="J5261" s="133"/>
      <c r="K5261" s="133"/>
      <c r="L5261" s="133"/>
      <c r="M5261" s="133"/>
      <c r="N5261" s="133"/>
      <c r="O5261" s="133"/>
      <c r="P5261" s="134"/>
      <c r="Q5261" s="146"/>
      <c r="R5261" s="17"/>
      <c r="S5261" s="17"/>
      <c r="T5261" s="75"/>
      <c r="U5261" s="75"/>
      <c r="V5261" s="75"/>
      <c r="W5261" s="75"/>
      <c r="X5261" s="75"/>
    </row>
    <row r="5262">
      <c r="A5262" s="17"/>
      <c r="B5262" s="17"/>
      <c r="C5262" s="133"/>
      <c r="D5262" s="133"/>
      <c r="E5262" s="17"/>
      <c r="F5262" s="133"/>
      <c r="G5262" s="133"/>
      <c r="H5262" s="133"/>
      <c r="I5262" s="133"/>
      <c r="J5262" s="133"/>
      <c r="K5262" s="133"/>
      <c r="L5262" s="133"/>
      <c r="M5262" s="133"/>
      <c r="N5262" s="133"/>
      <c r="O5262" s="133"/>
      <c r="P5262" s="134"/>
      <c r="Q5262" s="146"/>
      <c r="R5262" s="17"/>
      <c r="S5262" s="17"/>
      <c r="T5262" s="75"/>
      <c r="U5262" s="75"/>
      <c r="V5262" s="75"/>
      <c r="W5262" s="75"/>
      <c r="X5262" s="75"/>
    </row>
    <row r="5263">
      <c r="A5263" s="17"/>
      <c r="B5263" s="17"/>
      <c r="C5263" s="133"/>
      <c r="D5263" s="133"/>
      <c r="E5263" s="17"/>
      <c r="F5263" s="133"/>
      <c r="G5263" s="133"/>
      <c r="H5263" s="133"/>
      <c r="I5263" s="133"/>
      <c r="J5263" s="133"/>
      <c r="K5263" s="133"/>
      <c r="L5263" s="133"/>
      <c r="M5263" s="133"/>
      <c r="N5263" s="133"/>
      <c r="O5263" s="133"/>
      <c r="P5263" s="134"/>
      <c r="Q5263" s="146"/>
      <c r="R5263" s="17"/>
      <c r="S5263" s="17"/>
      <c r="T5263" s="75"/>
      <c r="U5263" s="75"/>
      <c r="V5263" s="75"/>
      <c r="W5263" s="75"/>
      <c r="X5263" s="75"/>
    </row>
    <row r="5264">
      <c r="A5264" s="17"/>
      <c r="B5264" s="17"/>
      <c r="C5264" s="133"/>
      <c r="D5264" s="133"/>
      <c r="E5264" s="17"/>
      <c r="F5264" s="133"/>
      <c r="G5264" s="133"/>
      <c r="H5264" s="133"/>
      <c r="I5264" s="133"/>
      <c r="J5264" s="133"/>
      <c r="K5264" s="133"/>
      <c r="L5264" s="133"/>
      <c r="M5264" s="133"/>
      <c r="N5264" s="133"/>
      <c r="O5264" s="133"/>
      <c r="P5264" s="134"/>
      <c r="Q5264" s="146"/>
      <c r="R5264" s="17"/>
      <c r="S5264" s="17"/>
      <c r="T5264" s="75"/>
      <c r="U5264" s="75"/>
      <c r="V5264" s="75"/>
      <c r="W5264" s="75"/>
      <c r="X5264" s="75"/>
    </row>
    <row r="5265">
      <c r="A5265" s="17"/>
      <c r="B5265" s="17"/>
      <c r="C5265" s="133"/>
      <c r="D5265" s="133"/>
      <c r="E5265" s="17"/>
      <c r="F5265" s="133"/>
      <c r="G5265" s="133"/>
      <c r="H5265" s="133"/>
      <c r="I5265" s="133"/>
      <c r="J5265" s="133"/>
      <c r="K5265" s="133"/>
      <c r="L5265" s="133"/>
      <c r="M5265" s="133"/>
      <c r="N5265" s="133"/>
      <c r="O5265" s="133"/>
      <c r="P5265" s="134"/>
      <c r="Q5265" s="146"/>
      <c r="R5265" s="17"/>
      <c r="S5265" s="17"/>
      <c r="T5265" s="75"/>
      <c r="U5265" s="75"/>
      <c r="V5265" s="75"/>
      <c r="W5265" s="75"/>
      <c r="X5265" s="75"/>
    </row>
    <row r="5266">
      <c r="A5266" s="17"/>
      <c r="B5266" s="17"/>
      <c r="C5266" s="133"/>
      <c r="D5266" s="133"/>
      <c r="E5266" s="17"/>
      <c r="F5266" s="133"/>
      <c r="G5266" s="133"/>
      <c r="H5266" s="133"/>
      <c r="I5266" s="133"/>
      <c r="J5266" s="133"/>
      <c r="K5266" s="133"/>
      <c r="L5266" s="133"/>
      <c r="M5266" s="133"/>
      <c r="N5266" s="133"/>
      <c r="O5266" s="133"/>
      <c r="P5266" s="134"/>
      <c r="Q5266" s="146"/>
      <c r="R5266" s="17"/>
      <c r="S5266" s="17"/>
      <c r="T5266" s="75"/>
      <c r="U5266" s="75"/>
      <c r="V5266" s="75"/>
      <c r="W5266" s="75"/>
      <c r="X5266" s="75"/>
    </row>
    <row r="5267">
      <c r="A5267" s="17"/>
      <c r="B5267" s="17"/>
      <c r="C5267" s="133"/>
      <c r="D5267" s="133"/>
      <c r="E5267" s="17"/>
      <c r="F5267" s="133"/>
      <c r="G5267" s="133"/>
      <c r="H5267" s="133"/>
      <c r="I5267" s="133"/>
      <c r="J5267" s="133"/>
      <c r="K5267" s="133"/>
      <c r="L5267" s="133"/>
      <c r="M5267" s="133"/>
      <c r="N5267" s="133"/>
      <c r="O5267" s="133"/>
      <c r="P5267" s="134"/>
      <c r="Q5267" s="146"/>
      <c r="R5267" s="17"/>
      <c r="S5267" s="17"/>
      <c r="T5267" s="75"/>
      <c r="U5267" s="75"/>
      <c r="V5267" s="75"/>
      <c r="W5267" s="75"/>
      <c r="X5267" s="75"/>
    </row>
    <row r="5268">
      <c r="A5268" s="17"/>
      <c r="B5268" s="17"/>
      <c r="C5268" s="133"/>
      <c r="D5268" s="133"/>
      <c r="E5268" s="17"/>
      <c r="F5268" s="133"/>
      <c r="G5268" s="133"/>
      <c r="H5268" s="133"/>
      <c r="I5268" s="133"/>
      <c r="J5268" s="133"/>
      <c r="K5268" s="133"/>
      <c r="L5268" s="133"/>
      <c r="M5268" s="133"/>
      <c r="N5268" s="133"/>
      <c r="O5268" s="133"/>
      <c r="P5268" s="134"/>
      <c r="Q5268" s="146"/>
      <c r="R5268" s="17"/>
      <c r="S5268" s="17"/>
      <c r="T5268" s="75"/>
      <c r="U5268" s="75"/>
      <c r="V5268" s="75"/>
      <c r="W5268" s="75"/>
      <c r="X5268" s="75"/>
    </row>
    <row r="5269">
      <c r="A5269" s="17"/>
      <c r="B5269" s="17"/>
      <c r="C5269" s="133"/>
      <c r="D5269" s="133"/>
      <c r="E5269" s="17"/>
      <c r="F5269" s="133"/>
      <c r="G5269" s="133"/>
      <c r="H5269" s="133"/>
      <c r="I5269" s="133"/>
      <c r="J5269" s="133"/>
      <c r="K5269" s="133"/>
      <c r="L5269" s="133"/>
      <c r="M5269" s="133"/>
      <c r="N5269" s="133"/>
      <c r="O5269" s="133"/>
      <c r="P5269" s="134"/>
      <c r="Q5269" s="146"/>
      <c r="R5269" s="17"/>
      <c r="S5269" s="17"/>
      <c r="T5269" s="75"/>
      <c r="U5269" s="75"/>
      <c r="V5269" s="75"/>
      <c r="W5269" s="75"/>
      <c r="X5269" s="75"/>
    </row>
    <row r="5270">
      <c r="A5270" s="17"/>
      <c r="B5270" s="17"/>
      <c r="C5270" s="133"/>
      <c r="D5270" s="133"/>
      <c r="E5270" s="17"/>
      <c r="F5270" s="133"/>
      <c r="G5270" s="133"/>
      <c r="H5270" s="133"/>
      <c r="I5270" s="133"/>
      <c r="J5270" s="133"/>
      <c r="K5270" s="133"/>
      <c r="L5270" s="133"/>
      <c r="M5270" s="133"/>
      <c r="N5270" s="133"/>
      <c r="O5270" s="133"/>
      <c r="P5270" s="134"/>
      <c r="Q5270" s="146"/>
      <c r="R5270" s="17"/>
      <c r="S5270" s="17"/>
      <c r="T5270" s="75"/>
      <c r="U5270" s="75"/>
      <c r="V5270" s="75"/>
      <c r="W5270" s="75"/>
      <c r="X5270" s="75"/>
    </row>
    <row r="5271">
      <c r="A5271" s="17"/>
      <c r="B5271" s="17"/>
      <c r="C5271" s="133"/>
      <c r="D5271" s="133"/>
      <c r="E5271" s="17"/>
      <c r="F5271" s="133"/>
      <c r="G5271" s="133"/>
      <c r="H5271" s="133"/>
      <c r="I5271" s="133"/>
      <c r="J5271" s="133"/>
      <c r="K5271" s="133"/>
      <c r="L5271" s="133"/>
      <c r="M5271" s="133"/>
      <c r="N5271" s="133"/>
      <c r="O5271" s="133"/>
      <c r="P5271" s="134"/>
      <c r="Q5271" s="146"/>
      <c r="R5271" s="17"/>
      <c r="S5271" s="17"/>
      <c r="T5271" s="75"/>
      <c r="U5271" s="75"/>
      <c r="V5271" s="75"/>
      <c r="W5271" s="75"/>
      <c r="X5271" s="75"/>
    </row>
    <row r="5272">
      <c r="A5272" s="17"/>
      <c r="B5272" s="17"/>
      <c r="C5272" s="133"/>
      <c r="D5272" s="133"/>
      <c r="E5272" s="17"/>
      <c r="F5272" s="133"/>
      <c r="G5272" s="133"/>
      <c r="H5272" s="133"/>
      <c r="I5272" s="133"/>
      <c r="J5272" s="133"/>
      <c r="K5272" s="133"/>
      <c r="L5272" s="133"/>
      <c r="M5272" s="133"/>
      <c r="N5272" s="133"/>
      <c r="O5272" s="133"/>
      <c r="P5272" s="134"/>
      <c r="Q5272" s="146"/>
      <c r="R5272" s="17"/>
      <c r="S5272" s="17"/>
      <c r="T5272" s="75"/>
      <c r="U5272" s="75"/>
      <c r="V5272" s="75"/>
      <c r="W5272" s="75"/>
      <c r="X5272" s="75"/>
    </row>
    <row r="5273">
      <c r="A5273" s="17"/>
      <c r="B5273" s="17"/>
      <c r="C5273" s="133"/>
      <c r="D5273" s="133"/>
      <c r="E5273" s="17"/>
      <c r="F5273" s="133"/>
      <c r="G5273" s="133"/>
      <c r="H5273" s="133"/>
      <c r="I5273" s="133"/>
      <c r="J5273" s="133"/>
      <c r="K5273" s="133"/>
      <c r="L5273" s="133"/>
      <c r="M5273" s="133"/>
      <c r="N5273" s="133"/>
      <c r="O5273" s="133"/>
      <c r="P5273" s="134"/>
      <c r="Q5273" s="146"/>
      <c r="R5273" s="17"/>
      <c r="S5273" s="17"/>
      <c r="T5273" s="75"/>
      <c r="U5273" s="75"/>
      <c r="V5273" s="75"/>
      <c r="W5273" s="75"/>
      <c r="X5273" s="75"/>
    </row>
    <row r="5274">
      <c r="A5274" s="17"/>
      <c r="B5274" s="17"/>
      <c r="C5274" s="133"/>
      <c r="D5274" s="133"/>
      <c r="E5274" s="17"/>
      <c r="F5274" s="133"/>
      <c r="G5274" s="133"/>
      <c r="H5274" s="133"/>
      <c r="I5274" s="133"/>
      <c r="J5274" s="133"/>
      <c r="K5274" s="133"/>
      <c r="L5274" s="133"/>
      <c r="M5274" s="133"/>
      <c r="N5274" s="133"/>
      <c r="O5274" s="133"/>
      <c r="P5274" s="134"/>
      <c r="Q5274" s="146"/>
      <c r="R5274" s="17"/>
      <c r="S5274" s="17"/>
      <c r="T5274" s="75"/>
      <c r="U5274" s="75"/>
      <c r="V5274" s="75"/>
      <c r="W5274" s="75"/>
      <c r="X5274" s="75"/>
    </row>
    <row r="5275">
      <c r="A5275" s="17"/>
      <c r="B5275" s="17"/>
      <c r="C5275" s="133"/>
      <c r="D5275" s="133"/>
      <c r="E5275" s="17"/>
      <c r="F5275" s="133"/>
      <c r="G5275" s="133"/>
      <c r="H5275" s="133"/>
      <c r="I5275" s="133"/>
      <c r="J5275" s="133"/>
      <c r="K5275" s="133"/>
      <c r="L5275" s="133"/>
      <c r="M5275" s="133"/>
      <c r="N5275" s="133"/>
      <c r="O5275" s="133"/>
      <c r="P5275" s="134"/>
      <c r="Q5275" s="146"/>
      <c r="R5275" s="17"/>
      <c r="S5275" s="17"/>
      <c r="T5275" s="75"/>
      <c r="U5275" s="75"/>
      <c r="V5275" s="75"/>
      <c r="W5275" s="75"/>
      <c r="X5275" s="75"/>
    </row>
    <row r="5276">
      <c r="A5276" s="17"/>
      <c r="B5276" s="17"/>
      <c r="C5276" s="133"/>
      <c r="D5276" s="133"/>
      <c r="E5276" s="17"/>
      <c r="F5276" s="133"/>
      <c r="G5276" s="133"/>
      <c r="H5276" s="133"/>
      <c r="I5276" s="133"/>
      <c r="J5276" s="133"/>
      <c r="K5276" s="133"/>
      <c r="L5276" s="133"/>
      <c r="M5276" s="133"/>
      <c r="N5276" s="133"/>
      <c r="O5276" s="133"/>
      <c r="P5276" s="134"/>
      <c r="Q5276" s="146"/>
      <c r="R5276" s="17"/>
      <c r="S5276" s="17"/>
      <c r="T5276" s="75"/>
      <c r="U5276" s="75"/>
      <c r="V5276" s="75"/>
      <c r="W5276" s="75"/>
      <c r="X5276" s="75"/>
    </row>
    <row r="5277">
      <c r="A5277" s="17"/>
      <c r="B5277" s="17"/>
      <c r="C5277" s="133"/>
      <c r="D5277" s="133"/>
      <c r="E5277" s="17"/>
      <c r="F5277" s="133"/>
      <c r="G5277" s="133"/>
      <c r="H5277" s="133"/>
      <c r="I5277" s="133"/>
      <c r="J5277" s="133"/>
      <c r="K5277" s="133"/>
      <c r="L5277" s="133"/>
      <c r="M5277" s="133"/>
      <c r="N5277" s="133"/>
      <c r="O5277" s="133"/>
      <c r="P5277" s="134"/>
      <c r="Q5277" s="146"/>
      <c r="R5277" s="17"/>
      <c r="S5277" s="17"/>
      <c r="T5277" s="75"/>
      <c r="U5277" s="75"/>
      <c r="V5277" s="75"/>
      <c r="W5277" s="75"/>
      <c r="X5277" s="75"/>
    </row>
    <row r="5278">
      <c r="A5278" s="17"/>
      <c r="B5278" s="17"/>
      <c r="C5278" s="133"/>
      <c r="D5278" s="133"/>
      <c r="E5278" s="17"/>
      <c r="F5278" s="133"/>
      <c r="G5278" s="133"/>
      <c r="H5278" s="133"/>
      <c r="I5278" s="133"/>
      <c r="J5278" s="133"/>
      <c r="K5278" s="133"/>
      <c r="L5278" s="133"/>
      <c r="M5278" s="133"/>
      <c r="N5278" s="133"/>
      <c r="O5278" s="133"/>
      <c r="P5278" s="134"/>
      <c r="Q5278" s="146"/>
      <c r="R5278" s="17"/>
      <c r="S5278" s="17"/>
      <c r="T5278" s="75"/>
      <c r="U5278" s="75"/>
      <c r="V5278" s="75"/>
      <c r="W5278" s="75"/>
      <c r="X5278" s="75"/>
    </row>
    <row r="5279">
      <c r="A5279" s="17"/>
      <c r="B5279" s="17"/>
      <c r="C5279" s="133"/>
      <c r="D5279" s="133"/>
      <c r="E5279" s="17"/>
      <c r="F5279" s="133"/>
      <c r="G5279" s="133"/>
      <c r="H5279" s="133"/>
      <c r="I5279" s="133"/>
      <c r="J5279" s="133"/>
      <c r="K5279" s="133"/>
      <c r="L5279" s="133"/>
      <c r="M5279" s="133"/>
      <c r="N5279" s="133"/>
      <c r="O5279" s="133"/>
      <c r="P5279" s="134"/>
      <c r="Q5279" s="146"/>
      <c r="R5279" s="17"/>
      <c r="S5279" s="17"/>
      <c r="T5279" s="75"/>
      <c r="U5279" s="75"/>
      <c r="V5279" s="75"/>
      <c r="W5279" s="75"/>
      <c r="X5279" s="75"/>
    </row>
    <row r="5280">
      <c r="A5280" s="17"/>
      <c r="B5280" s="17"/>
      <c r="C5280" s="133"/>
      <c r="D5280" s="133"/>
      <c r="E5280" s="17"/>
      <c r="F5280" s="133"/>
      <c r="G5280" s="133"/>
      <c r="H5280" s="133"/>
      <c r="I5280" s="133"/>
      <c r="J5280" s="133"/>
      <c r="K5280" s="133"/>
      <c r="L5280" s="133"/>
      <c r="M5280" s="133"/>
      <c r="N5280" s="133"/>
      <c r="O5280" s="133"/>
      <c r="P5280" s="134"/>
      <c r="Q5280" s="146"/>
      <c r="R5280" s="17"/>
      <c r="S5280" s="17"/>
      <c r="T5280" s="75"/>
      <c r="U5280" s="75"/>
      <c r="V5280" s="75"/>
      <c r="W5280" s="75"/>
      <c r="X5280" s="75"/>
    </row>
    <row r="5281">
      <c r="A5281" s="17"/>
      <c r="B5281" s="17"/>
      <c r="C5281" s="133"/>
      <c r="D5281" s="133"/>
      <c r="E5281" s="17"/>
      <c r="F5281" s="133"/>
      <c r="G5281" s="133"/>
      <c r="H5281" s="133"/>
      <c r="I5281" s="133"/>
      <c r="J5281" s="133"/>
      <c r="K5281" s="133"/>
      <c r="L5281" s="133"/>
      <c r="M5281" s="133"/>
      <c r="N5281" s="133"/>
      <c r="O5281" s="133"/>
      <c r="P5281" s="134"/>
      <c r="Q5281" s="146"/>
      <c r="R5281" s="17"/>
      <c r="S5281" s="17"/>
      <c r="T5281" s="75"/>
      <c r="U5281" s="75"/>
      <c r="V5281" s="75"/>
      <c r="W5281" s="75"/>
      <c r="X5281" s="75"/>
    </row>
    <row r="5282">
      <c r="A5282" s="17"/>
      <c r="B5282" s="17"/>
      <c r="C5282" s="133"/>
      <c r="D5282" s="133"/>
      <c r="E5282" s="17"/>
      <c r="F5282" s="133"/>
      <c r="G5282" s="133"/>
      <c r="H5282" s="133"/>
      <c r="I5282" s="133"/>
      <c r="J5282" s="133"/>
      <c r="K5282" s="133"/>
      <c r="L5282" s="133"/>
      <c r="M5282" s="133"/>
      <c r="N5282" s="133"/>
      <c r="O5282" s="133"/>
      <c r="P5282" s="134"/>
      <c r="Q5282" s="146"/>
      <c r="R5282" s="17"/>
      <c r="S5282" s="17"/>
      <c r="T5282" s="75"/>
      <c r="U5282" s="75"/>
      <c r="V5282" s="75"/>
      <c r="W5282" s="75"/>
      <c r="X5282" s="75"/>
    </row>
    <row r="5283">
      <c r="A5283" s="17"/>
      <c r="B5283" s="17"/>
      <c r="C5283" s="133"/>
      <c r="D5283" s="133"/>
      <c r="E5283" s="17"/>
      <c r="F5283" s="133"/>
      <c r="G5283" s="133"/>
      <c r="H5283" s="133"/>
      <c r="I5283" s="133"/>
      <c r="J5283" s="133"/>
      <c r="K5283" s="133"/>
      <c r="L5283" s="133"/>
      <c r="M5283" s="133"/>
      <c r="N5283" s="133"/>
      <c r="O5283" s="133"/>
      <c r="P5283" s="134"/>
      <c r="Q5283" s="146"/>
      <c r="R5283" s="17"/>
      <c r="S5283" s="17"/>
      <c r="T5283" s="75"/>
      <c r="U5283" s="75"/>
      <c r="V5283" s="75"/>
      <c r="W5283" s="75"/>
      <c r="X5283" s="75"/>
    </row>
    <row r="5284">
      <c r="A5284" s="17"/>
      <c r="B5284" s="17"/>
      <c r="C5284" s="133"/>
      <c r="D5284" s="133"/>
      <c r="E5284" s="17"/>
      <c r="F5284" s="133"/>
      <c r="G5284" s="133"/>
      <c r="H5284" s="133"/>
      <c r="I5284" s="133"/>
      <c r="J5284" s="133"/>
      <c r="K5284" s="133"/>
      <c r="L5284" s="133"/>
      <c r="M5284" s="133"/>
      <c r="N5284" s="133"/>
      <c r="O5284" s="133"/>
      <c r="P5284" s="134"/>
      <c r="Q5284" s="146"/>
      <c r="R5284" s="17"/>
      <c r="S5284" s="17"/>
      <c r="T5284" s="75"/>
      <c r="U5284" s="75"/>
      <c r="V5284" s="75"/>
      <c r="W5284" s="75"/>
      <c r="X5284" s="75"/>
    </row>
    <row r="5285">
      <c r="A5285" s="17"/>
      <c r="B5285" s="17"/>
      <c r="C5285" s="133"/>
      <c r="D5285" s="133"/>
      <c r="E5285" s="17"/>
      <c r="F5285" s="133"/>
      <c r="G5285" s="133"/>
      <c r="H5285" s="133"/>
      <c r="I5285" s="133"/>
      <c r="J5285" s="133"/>
      <c r="K5285" s="133"/>
      <c r="L5285" s="133"/>
      <c r="M5285" s="133"/>
      <c r="N5285" s="133"/>
      <c r="O5285" s="133"/>
      <c r="P5285" s="134"/>
      <c r="Q5285" s="146"/>
      <c r="R5285" s="17"/>
      <c r="S5285" s="17"/>
      <c r="T5285" s="75"/>
      <c r="U5285" s="75"/>
      <c r="V5285" s="75"/>
      <c r="W5285" s="75"/>
      <c r="X5285" s="75"/>
    </row>
    <row r="5286">
      <c r="A5286" s="17"/>
      <c r="B5286" s="17"/>
      <c r="C5286" s="133"/>
      <c r="D5286" s="133"/>
      <c r="E5286" s="17"/>
      <c r="F5286" s="133"/>
      <c r="G5286" s="133"/>
      <c r="H5286" s="133"/>
      <c r="I5286" s="133"/>
      <c r="J5286" s="133"/>
      <c r="K5286" s="133"/>
      <c r="L5286" s="133"/>
      <c r="M5286" s="133"/>
      <c r="N5286" s="133"/>
      <c r="O5286" s="133"/>
      <c r="P5286" s="134"/>
      <c r="Q5286" s="146"/>
      <c r="R5286" s="17"/>
      <c r="S5286" s="17"/>
      <c r="T5286" s="75"/>
      <c r="U5286" s="75"/>
      <c r="V5286" s="75"/>
      <c r="W5286" s="75"/>
      <c r="X5286" s="75"/>
    </row>
    <row r="5287">
      <c r="A5287" s="17"/>
      <c r="B5287" s="17"/>
      <c r="C5287" s="133"/>
      <c r="D5287" s="133"/>
      <c r="E5287" s="17"/>
      <c r="F5287" s="133"/>
      <c r="G5287" s="133"/>
      <c r="H5287" s="133"/>
      <c r="I5287" s="133"/>
      <c r="J5287" s="133"/>
      <c r="K5287" s="133"/>
      <c r="L5287" s="133"/>
      <c r="M5287" s="133"/>
      <c r="N5287" s="133"/>
      <c r="O5287" s="133"/>
      <c r="P5287" s="134"/>
      <c r="Q5287" s="146"/>
      <c r="R5287" s="17"/>
      <c r="S5287" s="17"/>
      <c r="T5287" s="75"/>
      <c r="U5287" s="75"/>
      <c r="V5287" s="75"/>
      <c r="W5287" s="75"/>
      <c r="X5287" s="75"/>
    </row>
    <row r="5288">
      <c r="A5288" s="17"/>
      <c r="B5288" s="17"/>
      <c r="C5288" s="133"/>
      <c r="D5288" s="133"/>
      <c r="E5288" s="17"/>
      <c r="F5288" s="133"/>
      <c r="G5288" s="133"/>
      <c r="H5288" s="133"/>
      <c r="I5288" s="133"/>
      <c r="J5288" s="133"/>
      <c r="K5288" s="133"/>
      <c r="L5288" s="133"/>
      <c r="M5288" s="133"/>
      <c r="N5288" s="133"/>
      <c r="O5288" s="133"/>
      <c r="P5288" s="134"/>
      <c r="Q5288" s="146"/>
      <c r="R5288" s="17"/>
      <c r="S5288" s="17"/>
      <c r="T5288" s="75"/>
      <c r="U5288" s="75"/>
      <c r="V5288" s="75"/>
      <c r="W5288" s="75"/>
      <c r="X5288" s="75"/>
    </row>
    <row r="5289">
      <c r="A5289" s="17"/>
      <c r="B5289" s="17"/>
      <c r="C5289" s="133"/>
      <c r="D5289" s="133"/>
      <c r="E5289" s="17"/>
      <c r="F5289" s="133"/>
      <c r="G5289" s="133"/>
      <c r="H5289" s="133"/>
      <c r="I5289" s="133"/>
      <c r="J5289" s="133"/>
      <c r="K5289" s="133"/>
      <c r="L5289" s="133"/>
      <c r="M5289" s="133"/>
      <c r="N5289" s="133"/>
      <c r="O5289" s="133"/>
      <c r="P5289" s="134"/>
      <c r="Q5289" s="146"/>
      <c r="R5289" s="17"/>
      <c r="S5289" s="17"/>
      <c r="T5289" s="75"/>
      <c r="U5289" s="75"/>
      <c r="V5289" s="75"/>
      <c r="W5289" s="75"/>
      <c r="X5289" s="75"/>
    </row>
    <row r="5290">
      <c r="A5290" s="17"/>
      <c r="B5290" s="17"/>
      <c r="C5290" s="133"/>
      <c r="D5290" s="133"/>
      <c r="E5290" s="17"/>
      <c r="F5290" s="133"/>
      <c r="G5290" s="133"/>
      <c r="H5290" s="133"/>
      <c r="I5290" s="133"/>
      <c r="J5290" s="133"/>
      <c r="K5290" s="133"/>
      <c r="L5290" s="133"/>
      <c r="M5290" s="133"/>
      <c r="N5290" s="133"/>
      <c r="O5290" s="133"/>
      <c r="P5290" s="134"/>
      <c r="Q5290" s="146"/>
      <c r="R5290" s="17"/>
      <c r="S5290" s="17"/>
      <c r="T5290" s="75"/>
      <c r="U5290" s="75"/>
      <c r="V5290" s="75"/>
      <c r="W5290" s="75"/>
      <c r="X5290" s="75"/>
    </row>
    <row r="5291">
      <c r="A5291" s="17"/>
      <c r="B5291" s="17"/>
      <c r="C5291" s="133"/>
      <c r="D5291" s="133"/>
      <c r="E5291" s="17"/>
      <c r="F5291" s="133"/>
      <c r="G5291" s="133"/>
      <c r="H5291" s="133"/>
      <c r="I5291" s="133"/>
      <c r="J5291" s="133"/>
      <c r="K5291" s="133"/>
      <c r="L5291" s="133"/>
      <c r="M5291" s="133"/>
      <c r="N5291" s="133"/>
      <c r="O5291" s="133"/>
      <c r="P5291" s="134"/>
      <c r="Q5291" s="146"/>
      <c r="R5291" s="17"/>
      <c r="S5291" s="17"/>
      <c r="T5291" s="75"/>
      <c r="U5291" s="75"/>
      <c r="V5291" s="75"/>
      <c r="W5291" s="75"/>
      <c r="X5291" s="75"/>
    </row>
    <row r="5292">
      <c r="A5292" s="17"/>
      <c r="B5292" s="17"/>
      <c r="C5292" s="133"/>
      <c r="D5292" s="133"/>
      <c r="E5292" s="17"/>
      <c r="F5292" s="133"/>
      <c r="G5292" s="133"/>
      <c r="H5292" s="133"/>
      <c r="I5292" s="133"/>
      <c r="J5292" s="133"/>
      <c r="K5292" s="133"/>
      <c r="L5292" s="133"/>
      <c r="M5292" s="133"/>
      <c r="N5292" s="133"/>
      <c r="O5292" s="133"/>
      <c r="P5292" s="134"/>
      <c r="Q5292" s="146"/>
      <c r="R5292" s="17"/>
      <c r="S5292" s="17"/>
      <c r="T5292" s="75"/>
      <c r="U5292" s="75"/>
      <c r="V5292" s="75"/>
      <c r="W5292" s="75"/>
      <c r="X5292" s="75"/>
    </row>
    <row r="5293">
      <c r="A5293" s="17"/>
      <c r="B5293" s="17"/>
      <c r="C5293" s="133"/>
      <c r="D5293" s="133"/>
      <c r="E5293" s="17"/>
      <c r="F5293" s="133"/>
      <c r="G5293" s="133"/>
      <c r="H5293" s="133"/>
      <c r="I5293" s="133"/>
      <c r="J5293" s="133"/>
      <c r="K5293" s="133"/>
      <c r="L5293" s="133"/>
      <c r="M5293" s="133"/>
      <c r="N5293" s="133"/>
      <c r="O5293" s="133"/>
      <c r="P5293" s="134"/>
      <c r="Q5293" s="146"/>
      <c r="R5293" s="17"/>
      <c r="S5293" s="17"/>
      <c r="T5293" s="75"/>
      <c r="U5293" s="75"/>
      <c r="V5293" s="75"/>
      <c r="W5293" s="75"/>
      <c r="X5293" s="75"/>
    </row>
    <row r="5294">
      <c r="A5294" s="17"/>
      <c r="B5294" s="17"/>
      <c r="C5294" s="133"/>
      <c r="D5294" s="133"/>
      <c r="E5294" s="17"/>
      <c r="F5294" s="133"/>
      <c r="G5294" s="133"/>
      <c r="H5294" s="133"/>
      <c r="I5294" s="133"/>
      <c r="J5294" s="133"/>
      <c r="K5294" s="133"/>
      <c r="L5294" s="133"/>
      <c r="M5294" s="133"/>
      <c r="N5294" s="133"/>
      <c r="O5294" s="133"/>
      <c r="P5294" s="134"/>
      <c r="Q5294" s="146"/>
      <c r="R5294" s="17"/>
      <c r="S5294" s="17"/>
      <c r="T5294" s="75"/>
      <c r="U5294" s="75"/>
      <c r="V5294" s="75"/>
      <c r="W5294" s="75"/>
      <c r="X5294" s="75"/>
    </row>
    <row r="5295">
      <c r="A5295" s="17"/>
      <c r="B5295" s="17"/>
      <c r="C5295" s="133"/>
      <c r="D5295" s="133"/>
      <c r="E5295" s="17"/>
      <c r="F5295" s="133"/>
      <c r="G5295" s="133"/>
      <c r="H5295" s="133"/>
      <c r="I5295" s="133"/>
      <c r="J5295" s="133"/>
      <c r="K5295" s="133"/>
      <c r="L5295" s="133"/>
      <c r="M5295" s="133"/>
      <c r="N5295" s="133"/>
      <c r="O5295" s="133"/>
      <c r="P5295" s="134"/>
      <c r="Q5295" s="146"/>
      <c r="R5295" s="17"/>
      <c r="S5295" s="17"/>
      <c r="T5295" s="75"/>
      <c r="U5295" s="75"/>
      <c r="V5295" s="75"/>
      <c r="W5295" s="75"/>
      <c r="X5295" s="75"/>
    </row>
    <row r="5296">
      <c r="A5296" s="17"/>
      <c r="B5296" s="17"/>
      <c r="C5296" s="133"/>
      <c r="D5296" s="133"/>
      <c r="E5296" s="17"/>
      <c r="F5296" s="133"/>
      <c r="G5296" s="133"/>
      <c r="H5296" s="133"/>
      <c r="I5296" s="133"/>
      <c r="J5296" s="133"/>
      <c r="K5296" s="133"/>
      <c r="L5296" s="133"/>
      <c r="M5296" s="133"/>
      <c r="N5296" s="133"/>
      <c r="O5296" s="133"/>
      <c r="P5296" s="134"/>
      <c r="Q5296" s="146"/>
      <c r="R5296" s="17"/>
      <c r="S5296" s="17"/>
      <c r="T5296" s="75"/>
      <c r="U5296" s="75"/>
      <c r="V5296" s="75"/>
      <c r="W5296" s="75"/>
      <c r="X5296" s="75"/>
    </row>
    <row r="5297">
      <c r="A5297" s="17"/>
      <c r="B5297" s="17"/>
      <c r="C5297" s="133"/>
      <c r="D5297" s="133"/>
      <c r="E5297" s="17"/>
      <c r="F5297" s="133"/>
      <c r="G5297" s="133"/>
      <c r="H5297" s="133"/>
      <c r="I5297" s="133"/>
      <c r="J5297" s="133"/>
      <c r="K5297" s="133"/>
      <c r="L5297" s="133"/>
      <c r="M5297" s="133"/>
      <c r="N5297" s="133"/>
      <c r="O5297" s="133"/>
      <c r="P5297" s="134"/>
      <c r="Q5297" s="146"/>
      <c r="R5297" s="17"/>
      <c r="S5297" s="17"/>
      <c r="T5297" s="75"/>
      <c r="U5297" s="75"/>
      <c r="V5297" s="75"/>
      <c r="W5297" s="75"/>
      <c r="X5297" s="75"/>
    </row>
    <row r="5298">
      <c r="A5298" s="17"/>
      <c r="B5298" s="17"/>
      <c r="C5298" s="133"/>
      <c r="D5298" s="133"/>
      <c r="E5298" s="17"/>
      <c r="F5298" s="133"/>
      <c r="G5298" s="133"/>
      <c r="H5298" s="133"/>
      <c r="I5298" s="133"/>
      <c r="J5298" s="133"/>
      <c r="K5298" s="133"/>
      <c r="L5298" s="133"/>
      <c r="M5298" s="133"/>
      <c r="N5298" s="133"/>
      <c r="O5298" s="133"/>
      <c r="P5298" s="134"/>
      <c r="Q5298" s="146"/>
      <c r="R5298" s="17"/>
      <c r="S5298" s="17"/>
      <c r="T5298" s="75"/>
      <c r="U5298" s="75"/>
      <c r="V5298" s="75"/>
      <c r="W5298" s="75"/>
      <c r="X5298" s="75"/>
    </row>
    <row r="5299">
      <c r="A5299" s="17"/>
      <c r="B5299" s="17"/>
      <c r="C5299" s="133"/>
      <c r="D5299" s="133"/>
      <c r="E5299" s="17"/>
      <c r="F5299" s="133"/>
      <c r="G5299" s="133"/>
      <c r="H5299" s="133"/>
      <c r="I5299" s="133"/>
      <c r="J5299" s="133"/>
      <c r="K5299" s="133"/>
      <c r="L5299" s="133"/>
      <c r="M5299" s="133"/>
      <c r="N5299" s="133"/>
      <c r="O5299" s="133"/>
      <c r="P5299" s="134"/>
      <c r="Q5299" s="146"/>
      <c r="R5299" s="17"/>
      <c r="S5299" s="17"/>
      <c r="T5299" s="75"/>
      <c r="U5299" s="75"/>
      <c r="V5299" s="75"/>
      <c r="W5299" s="75"/>
      <c r="X5299" s="75"/>
    </row>
    <row r="5300">
      <c r="A5300" s="17"/>
      <c r="B5300" s="17"/>
      <c r="C5300" s="133"/>
      <c r="D5300" s="133"/>
      <c r="E5300" s="17"/>
      <c r="F5300" s="133"/>
      <c r="G5300" s="133"/>
      <c r="H5300" s="133"/>
      <c r="I5300" s="133"/>
      <c r="J5300" s="133"/>
      <c r="K5300" s="133"/>
      <c r="L5300" s="133"/>
      <c r="M5300" s="133"/>
      <c r="N5300" s="133"/>
      <c r="O5300" s="133"/>
      <c r="P5300" s="134"/>
      <c r="Q5300" s="146"/>
      <c r="R5300" s="17"/>
      <c r="S5300" s="17"/>
      <c r="T5300" s="75"/>
      <c r="U5300" s="75"/>
      <c r="V5300" s="75"/>
      <c r="W5300" s="75"/>
      <c r="X5300" s="75"/>
    </row>
    <row r="5301">
      <c r="A5301" s="17"/>
      <c r="B5301" s="17"/>
      <c r="C5301" s="133"/>
      <c r="D5301" s="133"/>
      <c r="E5301" s="17"/>
      <c r="F5301" s="133"/>
      <c r="G5301" s="133"/>
      <c r="H5301" s="133"/>
      <c r="I5301" s="133"/>
      <c r="J5301" s="133"/>
      <c r="K5301" s="133"/>
      <c r="L5301" s="133"/>
      <c r="M5301" s="133"/>
      <c r="N5301" s="133"/>
      <c r="O5301" s="133"/>
      <c r="P5301" s="134"/>
      <c r="Q5301" s="146"/>
      <c r="R5301" s="17"/>
      <c r="S5301" s="17"/>
      <c r="T5301" s="75"/>
      <c r="U5301" s="75"/>
      <c r="V5301" s="75"/>
      <c r="W5301" s="75"/>
      <c r="X5301" s="75"/>
    </row>
    <row r="5302">
      <c r="A5302" s="17"/>
      <c r="B5302" s="17"/>
      <c r="C5302" s="133"/>
      <c r="D5302" s="133"/>
      <c r="E5302" s="17"/>
      <c r="F5302" s="133"/>
      <c r="G5302" s="133"/>
      <c r="H5302" s="133"/>
      <c r="I5302" s="133"/>
      <c r="J5302" s="133"/>
      <c r="K5302" s="133"/>
      <c r="L5302" s="133"/>
      <c r="M5302" s="133"/>
      <c r="N5302" s="133"/>
      <c r="O5302" s="133"/>
      <c r="P5302" s="134"/>
      <c r="Q5302" s="146"/>
      <c r="R5302" s="17"/>
      <c r="S5302" s="17"/>
      <c r="T5302" s="75"/>
      <c r="U5302" s="75"/>
      <c r="V5302" s="75"/>
      <c r="W5302" s="75"/>
      <c r="X5302" s="75"/>
    </row>
    <row r="5303">
      <c r="A5303" s="17"/>
      <c r="B5303" s="17"/>
      <c r="C5303" s="133"/>
      <c r="D5303" s="133"/>
      <c r="E5303" s="17"/>
      <c r="F5303" s="133"/>
      <c r="G5303" s="133"/>
      <c r="H5303" s="133"/>
      <c r="I5303" s="133"/>
      <c r="J5303" s="133"/>
      <c r="K5303" s="133"/>
      <c r="L5303" s="133"/>
      <c r="M5303" s="133"/>
      <c r="N5303" s="133"/>
      <c r="O5303" s="133"/>
      <c r="P5303" s="134"/>
      <c r="Q5303" s="146"/>
      <c r="R5303" s="17"/>
      <c r="S5303" s="17"/>
      <c r="T5303" s="75"/>
      <c r="U5303" s="75"/>
      <c r="V5303" s="75"/>
      <c r="W5303" s="75"/>
      <c r="X5303" s="75"/>
    </row>
    <row r="5304">
      <c r="A5304" s="17"/>
      <c r="B5304" s="17"/>
      <c r="C5304" s="133"/>
      <c r="D5304" s="133"/>
      <c r="E5304" s="17"/>
      <c r="F5304" s="133"/>
      <c r="G5304" s="133"/>
      <c r="H5304" s="133"/>
      <c r="I5304" s="133"/>
      <c r="J5304" s="133"/>
      <c r="K5304" s="133"/>
      <c r="L5304" s="133"/>
      <c r="M5304" s="133"/>
      <c r="N5304" s="133"/>
      <c r="O5304" s="133"/>
      <c r="P5304" s="134"/>
      <c r="Q5304" s="146"/>
      <c r="R5304" s="17"/>
      <c r="S5304" s="17"/>
      <c r="T5304" s="75"/>
      <c r="U5304" s="75"/>
      <c r="V5304" s="75"/>
      <c r="W5304" s="75"/>
      <c r="X5304" s="75"/>
    </row>
    <row r="5305">
      <c r="A5305" s="17"/>
      <c r="B5305" s="17"/>
      <c r="C5305" s="133"/>
      <c r="D5305" s="133"/>
      <c r="E5305" s="17"/>
      <c r="F5305" s="133"/>
      <c r="G5305" s="133"/>
      <c r="H5305" s="133"/>
      <c r="I5305" s="133"/>
      <c r="J5305" s="133"/>
      <c r="K5305" s="133"/>
      <c r="L5305" s="133"/>
      <c r="M5305" s="133"/>
      <c r="N5305" s="133"/>
      <c r="O5305" s="133"/>
      <c r="P5305" s="134"/>
      <c r="Q5305" s="146"/>
      <c r="R5305" s="17"/>
      <c r="S5305" s="17"/>
      <c r="T5305" s="75"/>
      <c r="U5305" s="75"/>
      <c r="V5305" s="75"/>
      <c r="W5305" s="75"/>
      <c r="X5305" s="75"/>
    </row>
    <row r="5306">
      <c r="A5306" s="17"/>
      <c r="B5306" s="17"/>
      <c r="C5306" s="133"/>
      <c r="D5306" s="133"/>
      <c r="E5306" s="17"/>
      <c r="F5306" s="133"/>
      <c r="G5306" s="133"/>
      <c r="H5306" s="133"/>
      <c r="I5306" s="133"/>
      <c r="J5306" s="133"/>
      <c r="K5306" s="133"/>
      <c r="L5306" s="133"/>
      <c r="M5306" s="133"/>
      <c r="N5306" s="133"/>
      <c r="O5306" s="133"/>
      <c r="P5306" s="134"/>
      <c r="Q5306" s="146"/>
      <c r="R5306" s="17"/>
      <c r="S5306" s="17"/>
      <c r="T5306" s="75"/>
      <c r="U5306" s="75"/>
      <c r="V5306" s="75"/>
      <c r="W5306" s="75"/>
      <c r="X5306" s="75"/>
    </row>
    <row r="5307">
      <c r="A5307" s="17"/>
      <c r="B5307" s="17"/>
      <c r="C5307" s="133"/>
      <c r="D5307" s="133"/>
      <c r="E5307" s="17"/>
      <c r="F5307" s="133"/>
      <c r="G5307" s="133"/>
      <c r="H5307" s="133"/>
      <c r="I5307" s="133"/>
      <c r="J5307" s="133"/>
      <c r="K5307" s="133"/>
      <c r="L5307" s="133"/>
      <c r="M5307" s="133"/>
      <c r="N5307" s="133"/>
      <c r="O5307" s="133"/>
      <c r="P5307" s="134"/>
      <c r="Q5307" s="146"/>
      <c r="R5307" s="17"/>
      <c r="S5307" s="17"/>
      <c r="T5307" s="75"/>
      <c r="U5307" s="75"/>
      <c r="V5307" s="75"/>
      <c r="W5307" s="75"/>
      <c r="X5307" s="75"/>
    </row>
    <row r="5308">
      <c r="A5308" s="17"/>
      <c r="B5308" s="17"/>
      <c r="C5308" s="133"/>
      <c r="D5308" s="133"/>
      <c r="E5308" s="17"/>
      <c r="F5308" s="133"/>
      <c r="G5308" s="133"/>
      <c r="H5308" s="133"/>
      <c r="I5308" s="133"/>
      <c r="J5308" s="133"/>
      <c r="K5308" s="133"/>
      <c r="L5308" s="133"/>
      <c r="M5308" s="133"/>
      <c r="N5308" s="133"/>
      <c r="O5308" s="133"/>
      <c r="P5308" s="134"/>
      <c r="Q5308" s="146"/>
      <c r="R5308" s="17"/>
      <c r="S5308" s="17"/>
      <c r="T5308" s="75"/>
      <c r="U5308" s="75"/>
      <c r="V5308" s="75"/>
      <c r="W5308" s="75"/>
      <c r="X5308" s="75"/>
    </row>
    <row r="5309">
      <c r="A5309" s="17"/>
      <c r="B5309" s="17"/>
      <c r="C5309" s="133"/>
      <c r="D5309" s="133"/>
      <c r="E5309" s="17"/>
      <c r="F5309" s="133"/>
      <c r="G5309" s="133"/>
      <c r="H5309" s="133"/>
      <c r="I5309" s="133"/>
      <c r="J5309" s="133"/>
      <c r="K5309" s="133"/>
      <c r="L5309" s="133"/>
      <c r="M5309" s="133"/>
      <c r="N5309" s="133"/>
      <c r="O5309" s="133"/>
      <c r="P5309" s="134"/>
      <c r="Q5309" s="146"/>
      <c r="R5309" s="17"/>
      <c r="S5309" s="17"/>
      <c r="T5309" s="75"/>
      <c r="U5309" s="75"/>
      <c r="V5309" s="75"/>
      <c r="W5309" s="75"/>
      <c r="X5309" s="75"/>
    </row>
    <row r="5310">
      <c r="A5310" s="17"/>
      <c r="B5310" s="17"/>
      <c r="C5310" s="133"/>
      <c r="D5310" s="133"/>
      <c r="E5310" s="17"/>
      <c r="F5310" s="133"/>
      <c r="G5310" s="133"/>
      <c r="H5310" s="133"/>
      <c r="I5310" s="133"/>
      <c r="J5310" s="133"/>
      <c r="K5310" s="133"/>
      <c r="L5310" s="133"/>
      <c r="M5310" s="133"/>
      <c r="N5310" s="133"/>
      <c r="O5310" s="133"/>
      <c r="P5310" s="134"/>
      <c r="Q5310" s="146"/>
      <c r="R5310" s="17"/>
      <c r="S5310" s="17"/>
      <c r="T5310" s="75"/>
      <c r="U5310" s="75"/>
      <c r="V5310" s="75"/>
      <c r="W5310" s="75"/>
      <c r="X5310" s="75"/>
    </row>
    <row r="5311">
      <c r="A5311" s="17"/>
      <c r="B5311" s="17"/>
      <c r="C5311" s="133"/>
      <c r="D5311" s="133"/>
      <c r="E5311" s="17"/>
      <c r="F5311" s="133"/>
      <c r="G5311" s="133"/>
      <c r="H5311" s="133"/>
      <c r="I5311" s="133"/>
      <c r="J5311" s="133"/>
      <c r="K5311" s="133"/>
      <c r="L5311" s="133"/>
      <c r="M5311" s="133"/>
      <c r="N5311" s="133"/>
      <c r="O5311" s="133"/>
      <c r="P5311" s="134"/>
      <c r="Q5311" s="146"/>
      <c r="R5311" s="17"/>
      <c r="S5311" s="17"/>
      <c r="T5311" s="75"/>
      <c r="U5311" s="75"/>
      <c r="V5311" s="75"/>
      <c r="W5311" s="75"/>
      <c r="X5311" s="75"/>
    </row>
    <row r="5312">
      <c r="A5312" s="17"/>
      <c r="B5312" s="17"/>
      <c r="C5312" s="133"/>
      <c r="D5312" s="133"/>
      <c r="E5312" s="17"/>
      <c r="F5312" s="133"/>
      <c r="G5312" s="133"/>
      <c r="H5312" s="133"/>
      <c r="I5312" s="133"/>
      <c r="J5312" s="133"/>
      <c r="K5312" s="133"/>
      <c r="L5312" s="133"/>
      <c r="M5312" s="133"/>
      <c r="N5312" s="133"/>
      <c r="O5312" s="133"/>
      <c r="P5312" s="134"/>
      <c r="Q5312" s="146"/>
      <c r="R5312" s="17"/>
      <c r="S5312" s="17"/>
      <c r="T5312" s="75"/>
      <c r="U5312" s="75"/>
      <c r="V5312" s="75"/>
      <c r="W5312" s="75"/>
      <c r="X5312" s="75"/>
    </row>
    <row r="5313">
      <c r="A5313" s="17"/>
      <c r="B5313" s="17"/>
      <c r="C5313" s="133"/>
      <c r="D5313" s="133"/>
      <c r="E5313" s="17"/>
      <c r="F5313" s="133"/>
      <c r="G5313" s="133"/>
      <c r="H5313" s="133"/>
      <c r="I5313" s="133"/>
      <c r="J5313" s="133"/>
      <c r="K5313" s="133"/>
      <c r="L5313" s="133"/>
      <c r="M5313" s="133"/>
      <c r="N5313" s="133"/>
      <c r="O5313" s="133"/>
      <c r="P5313" s="134"/>
      <c r="Q5313" s="146"/>
      <c r="R5313" s="17"/>
      <c r="S5313" s="17"/>
      <c r="T5313" s="75"/>
      <c r="U5313" s="75"/>
      <c r="V5313" s="75"/>
      <c r="W5313" s="75"/>
      <c r="X5313" s="75"/>
    </row>
    <row r="5314">
      <c r="A5314" s="17"/>
      <c r="B5314" s="17"/>
      <c r="C5314" s="133"/>
      <c r="D5314" s="133"/>
      <c r="E5314" s="17"/>
      <c r="F5314" s="133"/>
      <c r="G5314" s="133"/>
      <c r="H5314" s="133"/>
      <c r="I5314" s="133"/>
      <c r="J5314" s="133"/>
      <c r="K5314" s="133"/>
      <c r="L5314" s="133"/>
      <c r="M5314" s="133"/>
      <c r="N5314" s="133"/>
      <c r="O5314" s="133"/>
      <c r="P5314" s="134"/>
      <c r="Q5314" s="146"/>
      <c r="R5314" s="17"/>
      <c r="S5314" s="17"/>
      <c r="T5314" s="75"/>
      <c r="U5314" s="75"/>
      <c r="V5314" s="75"/>
      <c r="W5314" s="75"/>
      <c r="X5314" s="75"/>
    </row>
    <row r="5315">
      <c r="A5315" s="17"/>
      <c r="B5315" s="17"/>
      <c r="C5315" s="133"/>
      <c r="D5315" s="133"/>
      <c r="E5315" s="17"/>
      <c r="F5315" s="133"/>
      <c r="G5315" s="133"/>
      <c r="H5315" s="133"/>
      <c r="I5315" s="133"/>
      <c r="J5315" s="133"/>
      <c r="K5315" s="133"/>
      <c r="L5315" s="133"/>
      <c r="M5315" s="133"/>
      <c r="N5315" s="133"/>
      <c r="O5315" s="133"/>
      <c r="P5315" s="134"/>
      <c r="Q5315" s="146"/>
      <c r="R5315" s="17"/>
      <c r="S5315" s="17"/>
      <c r="T5315" s="75"/>
      <c r="U5315" s="75"/>
      <c r="V5315" s="75"/>
      <c r="W5315" s="75"/>
      <c r="X5315" s="75"/>
    </row>
    <row r="5316">
      <c r="A5316" s="17"/>
      <c r="B5316" s="17"/>
      <c r="C5316" s="133"/>
      <c r="D5316" s="133"/>
      <c r="E5316" s="17"/>
      <c r="F5316" s="133"/>
      <c r="G5316" s="133"/>
      <c r="H5316" s="133"/>
      <c r="I5316" s="133"/>
      <c r="J5316" s="133"/>
      <c r="K5316" s="133"/>
      <c r="L5316" s="133"/>
      <c r="M5316" s="133"/>
      <c r="N5316" s="133"/>
      <c r="O5316" s="133"/>
      <c r="P5316" s="134"/>
      <c r="Q5316" s="146"/>
      <c r="R5316" s="17"/>
      <c r="S5316" s="17"/>
      <c r="T5316" s="75"/>
      <c r="U5316" s="75"/>
      <c r="V5316" s="75"/>
      <c r="W5316" s="75"/>
      <c r="X5316" s="75"/>
    </row>
    <row r="5317">
      <c r="A5317" s="17"/>
      <c r="B5317" s="17"/>
      <c r="C5317" s="133"/>
      <c r="D5317" s="133"/>
      <c r="E5317" s="17"/>
      <c r="F5317" s="133"/>
      <c r="G5317" s="133"/>
      <c r="H5317" s="133"/>
      <c r="I5317" s="133"/>
      <c r="J5317" s="133"/>
      <c r="K5317" s="133"/>
      <c r="L5317" s="133"/>
      <c r="M5317" s="133"/>
      <c r="N5317" s="133"/>
      <c r="O5317" s="133"/>
      <c r="P5317" s="134"/>
      <c r="Q5317" s="146"/>
      <c r="R5317" s="17"/>
      <c r="S5317" s="17"/>
      <c r="T5317" s="75"/>
      <c r="U5317" s="75"/>
      <c r="V5317" s="75"/>
      <c r="W5317" s="75"/>
      <c r="X5317" s="75"/>
    </row>
    <row r="5318">
      <c r="A5318" s="17"/>
      <c r="B5318" s="17"/>
      <c r="C5318" s="133"/>
      <c r="D5318" s="133"/>
      <c r="E5318" s="17"/>
      <c r="F5318" s="133"/>
      <c r="G5318" s="133"/>
      <c r="H5318" s="133"/>
      <c r="I5318" s="133"/>
      <c r="J5318" s="133"/>
      <c r="K5318" s="133"/>
      <c r="L5318" s="133"/>
      <c r="M5318" s="133"/>
      <c r="N5318" s="133"/>
      <c r="O5318" s="133"/>
      <c r="P5318" s="134"/>
      <c r="Q5318" s="146"/>
      <c r="R5318" s="17"/>
      <c r="S5318" s="17"/>
      <c r="T5318" s="75"/>
      <c r="U5318" s="75"/>
      <c r="V5318" s="75"/>
      <c r="W5318" s="75"/>
      <c r="X5318" s="75"/>
    </row>
    <row r="5319">
      <c r="A5319" s="17"/>
      <c r="B5319" s="17"/>
      <c r="C5319" s="133"/>
      <c r="D5319" s="133"/>
      <c r="E5319" s="17"/>
      <c r="F5319" s="133"/>
      <c r="G5319" s="133"/>
      <c r="H5319" s="133"/>
      <c r="I5319" s="133"/>
      <c r="J5319" s="133"/>
      <c r="K5319" s="133"/>
      <c r="L5319" s="133"/>
      <c r="M5319" s="133"/>
      <c r="N5319" s="133"/>
      <c r="O5319" s="133"/>
      <c r="P5319" s="134"/>
      <c r="Q5319" s="146"/>
      <c r="R5319" s="17"/>
      <c r="S5319" s="17"/>
      <c r="T5319" s="75"/>
      <c r="U5319" s="75"/>
      <c r="V5319" s="75"/>
      <c r="W5319" s="75"/>
      <c r="X5319" s="75"/>
    </row>
    <row r="5320">
      <c r="A5320" s="17"/>
      <c r="B5320" s="17"/>
      <c r="C5320" s="133"/>
      <c r="D5320" s="133"/>
      <c r="E5320" s="17"/>
      <c r="F5320" s="133"/>
      <c r="G5320" s="133"/>
      <c r="H5320" s="133"/>
      <c r="I5320" s="133"/>
      <c r="J5320" s="133"/>
      <c r="K5320" s="133"/>
      <c r="L5320" s="133"/>
      <c r="M5320" s="133"/>
      <c r="N5320" s="133"/>
      <c r="O5320" s="133"/>
      <c r="P5320" s="134"/>
      <c r="Q5320" s="146"/>
      <c r="R5320" s="17"/>
      <c r="S5320" s="17"/>
      <c r="T5320" s="75"/>
      <c r="U5320" s="75"/>
      <c r="V5320" s="75"/>
      <c r="W5320" s="75"/>
      <c r="X5320" s="75"/>
    </row>
    <row r="5321">
      <c r="A5321" s="17"/>
      <c r="B5321" s="17"/>
      <c r="C5321" s="133"/>
      <c r="D5321" s="133"/>
      <c r="E5321" s="17"/>
      <c r="F5321" s="133"/>
      <c r="G5321" s="133"/>
      <c r="H5321" s="133"/>
      <c r="I5321" s="133"/>
      <c r="J5321" s="133"/>
      <c r="K5321" s="133"/>
      <c r="L5321" s="133"/>
      <c r="M5321" s="133"/>
      <c r="N5321" s="133"/>
      <c r="O5321" s="133"/>
      <c r="P5321" s="134"/>
      <c r="Q5321" s="146"/>
      <c r="R5321" s="17"/>
      <c r="S5321" s="17"/>
      <c r="T5321" s="75"/>
      <c r="U5321" s="75"/>
      <c r="V5321" s="75"/>
      <c r="W5321" s="75"/>
      <c r="X5321" s="75"/>
    </row>
    <row r="5322">
      <c r="A5322" s="17"/>
      <c r="B5322" s="17"/>
      <c r="C5322" s="133"/>
      <c r="D5322" s="133"/>
      <c r="E5322" s="17"/>
      <c r="F5322" s="133"/>
      <c r="G5322" s="133"/>
      <c r="H5322" s="133"/>
      <c r="I5322" s="133"/>
      <c r="J5322" s="133"/>
      <c r="K5322" s="133"/>
      <c r="L5322" s="133"/>
      <c r="M5322" s="133"/>
      <c r="N5322" s="133"/>
      <c r="O5322" s="133"/>
      <c r="P5322" s="134"/>
      <c r="Q5322" s="146"/>
      <c r="R5322" s="17"/>
      <c r="S5322" s="17"/>
      <c r="T5322" s="75"/>
      <c r="U5322" s="75"/>
      <c r="V5322" s="75"/>
      <c r="W5322" s="75"/>
      <c r="X5322" s="75"/>
    </row>
    <row r="5323">
      <c r="A5323" s="17"/>
      <c r="B5323" s="17"/>
      <c r="C5323" s="133"/>
      <c r="D5323" s="133"/>
      <c r="E5323" s="17"/>
      <c r="F5323" s="133"/>
      <c r="G5323" s="133"/>
      <c r="H5323" s="133"/>
      <c r="I5323" s="133"/>
      <c r="J5323" s="133"/>
      <c r="K5323" s="133"/>
      <c r="L5323" s="133"/>
      <c r="M5323" s="133"/>
      <c r="N5323" s="133"/>
      <c r="O5323" s="133"/>
      <c r="P5323" s="134"/>
      <c r="Q5323" s="146"/>
      <c r="R5323" s="17"/>
      <c r="S5323" s="17"/>
      <c r="T5323" s="75"/>
      <c r="U5323" s="75"/>
      <c r="V5323" s="75"/>
      <c r="W5323" s="75"/>
      <c r="X5323" s="75"/>
    </row>
    <row r="5324">
      <c r="A5324" s="17"/>
      <c r="B5324" s="17"/>
      <c r="C5324" s="133"/>
      <c r="D5324" s="133"/>
      <c r="E5324" s="17"/>
      <c r="F5324" s="133"/>
      <c r="G5324" s="133"/>
      <c r="H5324" s="133"/>
      <c r="I5324" s="133"/>
      <c r="J5324" s="133"/>
      <c r="K5324" s="133"/>
      <c r="L5324" s="133"/>
      <c r="M5324" s="133"/>
      <c r="N5324" s="133"/>
      <c r="O5324" s="133"/>
      <c r="P5324" s="134"/>
      <c r="Q5324" s="146"/>
      <c r="R5324" s="17"/>
      <c r="S5324" s="17"/>
      <c r="T5324" s="75"/>
      <c r="U5324" s="75"/>
      <c r="V5324" s="75"/>
      <c r="W5324" s="75"/>
      <c r="X5324" s="75"/>
    </row>
    <row r="5325">
      <c r="A5325" s="17"/>
      <c r="B5325" s="17"/>
      <c r="C5325" s="133"/>
      <c r="D5325" s="133"/>
      <c r="E5325" s="17"/>
      <c r="F5325" s="133"/>
      <c r="G5325" s="133"/>
      <c r="H5325" s="133"/>
      <c r="I5325" s="133"/>
      <c r="J5325" s="133"/>
      <c r="K5325" s="133"/>
      <c r="L5325" s="133"/>
      <c r="M5325" s="133"/>
      <c r="N5325" s="133"/>
      <c r="O5325" s="133"/>
      <c r="P5325" s="134"/>
      <c r="Q5325" s="146"/>
      <c r="R5325" s="17"/>
      <c r="S5325" s="17"/>
      <c r="T5325" s="75"/>
      <c r="U5325" s="75"/>
      <c r="V5325" s="75"/>
      <c r="W5325" s="75"/>
      <c r="X5325" s="75"/>
    </row>
    <row r="5326">
      <c r="A5326" s="17"/>
      <c r="B5326" s="17"/>
      <c r="C5326" s="133"/>
      <c r="D5326" s="133"/>
      <c r="E5326" s="17"/>
      <c r="F5326" s="133"/>
      <c r="G5326" s="133"/>
      <c r="H5326" s="133"/>
      <c r="I5326" s="133"/>
      <c r="J5326" s="133"/>
      <c r="K5326" s="133"/>
      <c r="L5326" s="133"/>
      <c r="M5326" s="133"/>
      <c r="N5326" s="133"/>
      <c r="O5326" s="133"/>
      <c r="P5326" s="134"/>
      <c r="Q5326" s="146"/>
      <c r="R5326" s="17"/>
      <c r="S5326" s="17"/>
      <c r="T5326" s="75"/>
      <c r="U5326" s="75"/>
      <c r="V5326" s="75"/>
      <c r="W5326" s="75"/>
      <c r="X5326" s="75"/>
    </row>
    <row r="5327">
      <c r="A5327" s="17"/>
      <c r="B5327" s="17"/>
      <c r="C5327" s="133"/>
      <c r="D5327" s="133"/>
      <c r="E5327" s="17"/>
      <c r="F5327" s="133"/>
      <c r="G5327" s="133"/>
      <c r="H5327" s="133"/>
      <c r="I5327" s="133"/>
      <c r="J5327" s="133"/>
      <c r="K5327" s="133"/>
      <c r="L5327" s="133"/>
      <c r="M5327" s="133"/>
      <c r="N5327" s="133"/>
      <c r="O5327" s="133"/>
      <c r="P5327" s="134"/>
      <c r="Q5327" s="146"/>
      <c r="R5327" s="17"/>
      <c r="S5327" s="17"/>
      <c r="T5327" s="75"/>
      <c r="U5327" s="75"/>
      <c r="V5327" s="75"/>
      <c r="W5327" s="75"/>
      <c r="X5327" s="75"/>
    </row>
    <row r="5328">
      <c r="A5328" s="17"/>
      <c r="B5328" s="17"/>
      <c r="C5328" s="133"/>
      <c r="D5328" s="133"/>
      <c r="E5328" s="17"/>
      <c r="F5328" s="133"/>
      <c r="G5328" s="133"/>
      <c r="H5328" s="133"/>
      <c r="I5328" s="133"/>
      <c r="J5328" s="133"/>
      <c r="K5328" s="133"/>
      <c r="L5328" s="133"/>
      <c r="M5328" s="133"/>
      <c r="N5328" s="133"/>
      <c r="O5328" s="133"/>
      <c r="P5328" s="134"/>
      <c r="Q5328" s="146"/>
      <c r="R5328" s="17"/>
      <c r="S5328" s="17"/>
      <c r="T5328" s="75"/>
      <c r="U5328" s="75"/>
      <c r="V5328" s="75"/>
      <c r="W5328" s="75"/>
      <c r="X5328" s="75"/>
    </row>
    <row r="5329">
      <c r="A5329" s="17"/>
      <c r="B5329" s="17"/>
      <c r="C5329" s="133"/>
      <c r="D5329" s="133"/>
      <c r="E5329" s="17"/>
      <c r="F5329" s="133"/>
      <c r="G5329" s="133"/>
      <c r="H5329" s="133"/>
      <c r="I5329" s="133"/>
      <c r="J5329" s="133"/>
      <c r="K5329" s="133"/>
      <c r="L5329" s="133"/>
      <c r="M5329" s="133"/>
      <c r="N5329" s="133"/>
      <c r="O5329" s="133"/>
      <c r="P5329" s="134"/>
      <c r="Q5329" s="146"/>
      <c r="R5329" s="17"/>
      <c r="S5329" s="17"/>
      <c r="T5329" s="75"/>
      <c r="U5329" s="75"/>
      <c r="V5329" s="75"/>
      <c r="W5329" s="75"/>
      <c r="X5329" s="75"/>
    </row>
    <row r="5330">
      <c r="A5330" s="17"/>
      <c r="B5330" s="17"/>
      <c r="C5330" s="133"/>
      <c r="D5330" s="133"/>
      <c r="E5330" s="17"/>
      <c r="F5330" s="133"/>
      <c r="G5330" s="133"/>
      <c r="H5330" s="133"/>
      <c r="I5330" s="133"/>
      <c r="J5330" s="133"/>
      <c r="K5330" s="133"/>
      <c r="L5330" s="133"/>
      <c r="M5330" s="133"/>
      <c r="N5330" s="133"/>
      <c r="O5330" s="133"/>
      <c r="P5330" s="134"/>
      <c r="Q5330" s="146"/>
      <c r="R5330" s="17"/>
      <c r="S5330" s="17"/>
      <c r="T5330" s="75"/>
      <c r="U5330" s="75"/>
      <c r="V5330" s="75"/>
      <c r="W5330" s="75"/>
      <c r="X5330" s="75"/>
    </row>
    <row r="5331">
      <c r="A5331" s="17"/>
      <c r="B5331" s="17"/>
      <c r="C5331" s="133"/>
      <c r="D5331" s="133"/>
      <c r="E5331" s="17"/>
      <c r="F5331" s="133"/>
      <c r="G5331" s="133"/>
      <c r="H5331" s="133"/>
      <c r="I5331" s="133"/>
      <c r="J5331" s="133"/>
      <c r="K5331" s="133"/>
      <c r="L5331" s="133"/>
      <c r="M5331" s="133"/>
      <c r="N5331" s="133"/>
      <c r="O5331" s="133"/>
      <c r="P5331" s="134"/>
      <c r="Q5331" s="146"/>
      <c r="R5331" s="17"/>
      <c r="S5331" s="17"/>
      <c r="T5331" s="75"/>
      <c r="U5331" s="75"/>
      <c r="V5331" s="75"/>
      <c r="W5331" s="75"/>
      <c r="X5331" s="75"/>
    </row>
    <row r="5332">
      <c r="A5332" s="17"/>
      <c r="B5332" s="17"/>
      <c r="C5332" s="133"/>
      <c r="D5332" s="133"/>
      <c r="E5332" s="17"/>
      <c r="F5332" s="133"/>
      <c r="G5332" s="133"/>
      <c r="H5332" s="133"/>
      <c r="I5332" s="133"/>
      <c r="J5332" s="133"/>
      <c r="K5332" s="133"/>
      <c r="L5332" s="133"/>
      <c r="M5332" s="133"/>
      <c r="N5332" s="133"/>
      <c r="O5332" s="133"/>
      <c r="P5332" s="134"/>
      <c r="Q5332" s="146"/>
      <c r="R5332" s="17"/>
      <c r="S5332" s="17"/>
      <c r="T5332" s="75"/>
      <c r="U5332" s="75"/>
      <c r="V5332" s="75"/>
      <c r="W5332" s="75"/>
      <c r="X5332" s="75"/>
    </row>
    <row r="5333">
      <c r="A5333" s="17"/>
      <c r="B5333" s="17"/>
      <c r="C5333" s="133"/>
      <c r="D5333" s="133"/>
      <c r="E5333" s="17"/>
      <c r="F5333" s="133"/>
      <c r="G5333" s="133"/>
      <c r="H5333" s="133"/>
      <c r="I5333" s="133"/>
      <c r="J5333" s="133"/>
      <c r="K5333" s="133"/>
      <c r="L5333" s="133"/>
      <c r="M5333" s="133"/>
      <c r="N5333" s="133"/>
      <c r="O5333" s="133"/>
      <c r="P5333" s="134"/>
      <c r="Q5333" s="146"/>
      <c r="R5333" s="17"/>
      <c r="S5333" s="17"/>
      <c r="T5333" s="75"/>
      <c r="U5333" s="75"/>
      <c r="V5333" s="75"/>
      <c r="W5333" s="75"/>
      <c r="X5333" s="75"/>
    </row>
    <row r="5334">
      <c r="A5334" s="17"/>
      <c r="B5334" s="17"/>
      <c r="C5334" s="133"/>
      <c r="D5334" s="133"/>
      <c r="E5334" s="17"/>
      <c r="F5334" s="133"/>
      <c r="G5334" s="133"/>
      <c r="H5334" s="133"/>
      <c r="I5334" s="133"/>
      <c r="J5334" s="133"/>
      <c r="K5334" s="133"/>
      <c r="L5334" s="133"/>
      <c r="M5334" s="133"/>
      <c r="N5334" s="133"/>
      <c r="O5334" s="133"/>
      <c r="P5334" s="134"/>
      <c r="Q5334" s="146"/>
      <c r="R5334" s="17"/>
      <c r="S5334" s="17"/>
      <c r="T5334" s="75"/>
      <c r="U5334" s="75"/>
      <c r="V5334" s="75"/>
      <c r="W5334" s="75"/>
      <c r="X5334" s="75"/>
    </row>
    <row r="5335">
      <c r="A5335" s="17"/>
      <c r="B5335" s="17"/>
      <c r="C5335" s="133"/>
      <c r="D5335" s="133"/>
      <c r="E5335" s="17"/>
      <c r="F5335" s="133"/>
      <c r="G5335" s="133"/>
      <c r="H5335" s="133"/>
      <c r="I5335" s="133"/>
      <c r="J5335" s="133"/>
      <c r="K5335" s="133"/>
      <c r="L5335" s="133"/>
      <c r="M5335" s="133"/>
      <c r="N5335" s="133"/>
      <c r="O5335" s="133"/>
      <c r="P5335" s="134"/>
      <c r="Q5335" s="146"/>
      <c r="R5335" s="17"/>
      <c r="S5335" s="17"/>
      <c r="T5335" s="75"/>
      <c r="U5335" s="75"/>
      <c r="V5335" s="75"/>
      <c r="W5335" s="75"/>
      <c r="X5335" s="75"/>
    </row>
    <row r="5336">
      <c r="A5336" s="17"/>
      <c r="B5336" s="17"/>
      <c r="C5336" s="133"/>
      <c r="D5336" s="133"/>
      <c r="E5336" s="17"/>
      <c r="F5336" s="133"/>
      <c r="G5336" s="133"/>
      <c r="H5336" s="133"/>
      <c r="I5336" s="133"/>
      <c r="J5336" s="133"/>
      <c r="K5336" s="133"/>
      <c r="L5336" s="133"/>
      <c r="M5336" s="133"/>
      <c r="N5336" s="133"/>
      <c r="O5336" s="133"/>
      <c r="P5336" s="134"/>
      <c r="Q5336" s="146"/>
      <c r="R5336" s="17"/>
      <c r="S5336" s="17"/>
      <c r="T5336" s="75"/>
      <c r="U5336" s="75"/>
      <c r="V5336" s="75"/>
      <c r="W5336" s="75"/>
      <c r="X5336" s="75"/>
    </row>
    <row r="5337">
      <c r="A5337" s="17"/>
      <c r="B5337" s="17"/>
      <c r="C5337" s="133"/>
      <c r="D5337" s="133"/>
      <c r="E5337" s="17"/>
      <c r="F5337" s="133"/>
      <c r="G5337" s="133"/>
      <c r="H5337" s="133"/>
      <c r="I5337" s="133"/>
      <c r="J5337" s="133"/>
      <c r="K5337" s="133"/>
      <c r="L5337" s="133"/>
      <c r="M5337" s="133"/>
      <c r="N5337" s="133"/>
      <c r="O5337" s="133"/>
      <c r="P5337" s="134"/>
      <c r="Q5337" s="146"/>
      <c r="R5337" s="17"/>
      <c r="S5337" s="17"/>
      <c r="T5337" s="75"/>
      <c r="U5337" s="75"/>
      <c r="V5337" s="75"/>
      <c r="W5337" s="75"/>
      <c r="X5337" s="75"/>
    </row>
    <row r="5338">
      <c r="A5338" s="17"/>
      <c r="B5338" s="17"/>
      <c r="C5338" s="133"/>
      <c r="D5338" s="133"/>
      <c r="E5338" s="17"/>
      <c r="F5338" s="133"/>
      <c r="G5338" s="133"/>
      <c r="H5338" s="133"/>
      <c r="I5338" s="133"/>
      <c r="J5338" s="133"/>
      <c r="K5338" s="133"/>
      <c r="L5338" s="133"/>
      <c r="M5338" s="133"/>
      <c r="N5338" s="133"/>
      <c r="O5338" s="133"/>
      <c r="P5338" s="134"/>
      <c r="Q5338" s="146"/>
      <c r="R5338" s="17"/>
      <c r="S5338" s="17"/>
      <c r="T5338" s="75"/>
      <c r="U5338" s="75"/>
      <c r="V5338" s="75"/>
      <c r="W5338" s="75"/>
      <c r="X5338" s="75"/>
    </row>
    <row r="5339">
      <c r="A5339" s="17"/>
      <c r="B5339" s="17"/>
      <c r="C5339" s="133"/>
      <c r="D5339" s="133"/>
      <c r="E5339" s="17"/>
      <c r="F5339" s="133"/>
      <c r="G5339" s="133"/>
      <c r="H5339" s="133"/>
      <c r="I5339" s="133"/>
      <c r="J5339" s="133"/>
      <c r="K5339" s="133"/>
      <c r="L5339" s="133"/>
      <c r="M5339" s="133"/>
      <c r="N5339" s="133"/>
      <c r="O5339" s="133"/>
      <c r="P5339" s="134"/>
      <c r="Q5339" s="146"/>
      <c r="R5339" s="17"/>
      <c r="S5339" s="17"/>
      <c r="T5339" s="75"/>
      <c r="U5339" s="75"/>
      <c r="V5339" s="75"/>
      <c r="W5339" s="75"/>
      <c r="X5339" s="75"/>
    </row>
    <row r="5340">
      <c r="A5340" s="17"/>
      <c r="B5340" s="17"/>
      <c r="C5340" s="133"/>
      <c r="D5340" s="133"/>
      <c r="E5340" s="17"/>
      <c r="F5340" s="133"/>
      <c r="G5340" s="133"/>
      <c r="H5340" s="133"/>
      <c r="I5340" s="133"/>
      <c r="J5340" s="133"/>
      <c r="K5340" s="133"/>
      <c r="L5340" s="133"/>
      <c r="M5340" s="133"/>
      <c r="N5340" s="133"/>
      <c r="O5340" s="133"/>
      <c r="P5340" s="134"/>
      <c r="Q5340" s="146"/>
      <c r="R5340" s="17"/>
      <c r="S5340" s="17"/>
      <c r="T5340" s="75"/>
      <c r="U5340" s="75"/>
      <c r="V5340" s="75"/>
      <c r="W5340" s="75"/>
      <c r="X5340" s="75"/>
    </row>
    <row r="5341">
      <c r="A5341" s="17"/>
      <c r="B5341" s="17"/>
      <c r="C5341" s="133"/>
      <c r="D5341" s="133"/>
      <c r="E5341" s="17"/>
      <c r="F5341" s="133"/>
      <c r="G5341" s="133"/>
      <c r="H5341" s="133"/>
      <c r="I5341" s="133"/>
      <c r="J5341" s="133"/>
      <c r="K5341" s="133"/>
      <c r="L5341" s="133"/>
      <c r="M5341" s="133"/>
      <c r="N5341" s="133"/>
      <c r="O5341" s="133"/>
      <c r="P5341" s="134"/>
      <c r="Q5341" s="146"/>
      <c r="R5341" s="17"/>
      <c r="S5341" s="17"/>
      <c r="T5341" s="75"/>
      <c r="U5341" s="75"/>
      <c r="V5341" s="75"/>
      <c r="W5341" s="75"/>
      <c r="X5341" s="75"/>
    </row>
    <row r="5342">
      <c r="A5342" s="17"/>
      <c r="B5342" s="17"/>
      <c r="C5342" s="133"/>
      <c r="D5342" s="133"/>
      <c r="E5342" s="17"/>
      <c r="F5342" s="133"/>
      <c r="G5342" s="133"/>
      <c r="H5342" s="133"/>
      <c r="I5342" s="133"/>
      <c r="J5342" s="133"/>
      <c r="K5342" s="133"/>
      <c r="L5342" s="133"/>
      <c r="M5342" s="133"/>
      <c r="N5342" s="133"/>
      <c r="O5342" s="133"/>
      <c r="P5342" s="134"/>
      <c r="Q5342" s="146"/>
      <c r="R5342" s="17"/>
      <c r="S5342" s="17"/>
      <c r="T5342" s="75"/>
      <c r="U5342" s="75"/>
      <c r="V5342" s="75"/>
      <c r="W5342" s="75"/>
      <c r="X5342" s="75"/>
    </row>
    <row r="5343">
      <c r="A5343" s="17"/>
      <c r="B5343" s="17"/>
      <c r="C5343" s="133"/>
      <c r="D5343" s="133"/>
      <c r="E5343" s="17"/>
      <c r="F5343" s="133"/>
      <c r="G5343" s="133"/>
      <c r="H5343" s="133"/>
      <c r="I5343" s="133"/>
      <c r="J5343" s="133"/>
      <c r="K5343" s="133"/>
      <c r="L5343" s="133"/>
      <c r="M5343" s="133"/>
      <c r="N5343" s="133"/>
      <c r="O5343" s="133"/>
      <c r="P5343" s="134"/>
      <c r="Q5343" s="146"/>
      <c r="R5343" s="17"/>
      <c r="S5343" s="17"/>
      <c r="T5343" s="75"/>
      <c r="U5343" s="75"/>
      <c r="V5343" s="75"/>
      <c r="W5343" s="75"/>
      <c r="X5343" s="75"/>
    </row>
    <row r="5344">
      <c r="A5344" s="17"/>
      <c r="B5344" s="17"/>
      <c r="C5344" s="133"/>
      <c r="D5344" s="133"/>
      <c r="E5344" s="17"/>
      <c r="F5344" s="133"/>
      <c r="G5344" s="133"/>
      <c r="H5344" s="133"/>
      <c r="I5344" s="133"/>
      <c r="J5344" s="133"/>
      <c r="K5344" s="133"/>
      <c r="L5344" s="133"/>
      <c r="M5344" s="133"/>
      <c r="N5344" s="133"/>
      <c r="O5344" s="133"/>
      <c r="P5344" s="134"/>
      <c r="Q5344" s="146"/>
      <c r="R5344" s="17"/>
      <c r="S5344" s="17"/>
      <c r="T5344" s="75"/>
      <c r="U5344" s="75"/>
      <c r="V5344" s="75"/>
      <c r="W5344" s="75"/>
      <c r="X5344" s="75"/>
    </row>
    <row r="5345">
      <c r="A5345" s="17"/>
      <c r="B5345" s="17"/>
      <c r="C5345" s="133"/>
      <c r="D5345" s="133"/>
      <c r="E5345" s="17"/>
      <c r="F5345" s="133"/>
      <c r="G5345" s="133"/>
      <c r="H5345" s="133"/>
      <c r="I5345" s="133"/>
      <c r="J5345" s="133"/>
      <c r="K5345" s="133"/>
      <c r="L5345" s="133"/>
      <c r="M5345" s="133"/>
      <c r="N5345" s="133"/>
      <c r="O5345" s="133"/>
      <c r="P5345" s="134"/>
      <c r="Q5345" s="146"/>
      <c r="R5345" s="17"/>
      <c r="S5345" s="17"/>
      <c r="T5345" s="75"/>
      <c r="U5345" s="75"/>
      <c r="V5345" s="75"/>
      <c r="W5345" s="75"/>
      <c r="X5345" s="75"/>
    </row>
    <row r="5346">
      <c r="A5346" s="17"/>
      <c r="B5346" s="17"/>
      <c r="C5346" s="133"/>
      <c r="D5346" s="133"/>
      <c r="E5346" s="17"/>
      <c r="F5346" s="133"/>
      <c r="G5346" s="133"/>
      <c r="H5346" s="133"/>
      <c r="I5346" s="133"/>
      <c r="J5346" s="133"/>
      <c r="K5346" s="133"/>
      <c r="L5346" s="133"/>
      <c r="M5346" s="133"/>
      <c r="N5346" s="133"/>
      <c r="O5346" s="133"/>
      <c r="P5346" s="134"/>
      <c r="Q5346" s="146"/>
      <c r="R5346" s="17"/>
      <c r="S5346" s="17"/>
      <c r="T5346" s="75"/>
      <c r="U5346" s="75"/>
      <c r="V5346" s="75"/>
      <c r="W5346" s="75"/>
      <c r="X5346" s="75"/>
    </row>
    <row r="5347">
      <c r="A5347" s="17"/>
      <c r="B5347" s="17"/>
      <c r="C5347" s="133"/>
      <c r="D5347" s="133"/>
      <c r="E5347" s="17"/>
      <c r="F5347" s="133"/>
      <c r="G5347" s="133"/>
      <c r="H5347" s="133"/>
      <c r="I5347" s="133"/>
      <c r="J5347" s="133"/>
      <c r="K5347" s="133"/>
      <c r="L5347" s="133"/>
      <c r="M5347" s="133"/>
      <c r="N5347" s="133"/>
      <c r="O5347" s="133"/>
      <c r="P5347" s="134"/>
      <c r="Q5347" s="146"/>
      <c r="R5347" s="17"/>
      <c r="S5347" s="17"/>
      <c r="T5347" s="75"/>
      <c r="U5347" s="75"/>
      <c r="V5347" s="75"/>
      <c r="W5347" s="75"/>
      <c r="X5347" s="75"/>
    </row>
    <row r="5348">
      <c r="A5348" s="17"/>
      <c r="B5348" s="17"/>
      <c r="C5348" s="133"/>
      <c r="D5348" s="133"/>
      <c r="E5348" s="17"/>
      <c r="F5348" s="133"/>
      <c r="G5348" s="133"/>
      <c r="H5348" s="133"/>
      <c r="I5348" s="133"/>
      <c r="J5348" s="133"/>
      <c r="K5348" s="133"/>
      <c r="L5348" s="133"/>
      <c r="M5348" s="133"/>
      <c r="N5348" s="133"/>
      <c r="O5348" s="133"/>
      <c r="P5348" s="134"/>
      <c r="Q5348" s="146"/>
      <c r="R5348" s="17"/>
      <c r="S5348" s="17"/>
      <c r="T5348" s="75"/>
      <c r="U5348" s="75"/>
      <c r="V5348" s="75"/>
      <c r="W5348" s="75"/>
      <c r="X5348" s="75"/>
    </row>
    <row r="5349">
      <c r="A5349" s="17"/>
      <c r="B5349" s="17"/>
      <c r="C5349" s="133"/>
      <c r="D5349" s="133"/>
      <c r="E5349" s="17"/>
      <c r="F5349" s="133"/>
      <c r="G5349" s="133"/>
      <c r="H5349" s="133"/>
      <c r="I5349" s="133"/>
      <c r="J5349" s="133"/>
      <c r="K5349" s="133"/>
      <c r="L5349" s="133"/>
      <c r="M5349" s="133"/>
      <c r="N5349" s="133"/>
      <c r="O5349" s="133"/>
      <c r="P5349" s="134"/>
      <c r="Q5349" s="146"/>
      <c r="R5349" s="17"/>
      <c r="S5349" s="17"/>
      <c r="T5349" s="75"/>
      <c r="U5349" s="75"/>
      <c r="V5349" s="75"/>
      <c r="W5349" s="75"/>
      <c r="X5349" s="75"/>
    </row>
    <row r="5350">
      <c r="A5350" s="17"/>
      <c r="B5350" s="17"/>
      <c r="C5350" s="133"/>
      <c r="D5350" s="133"/>
      <c r="E5350" s="17"/>
      <c r="F5350" s="133"/>
      <c r="G5350" s="133"/>
      <c r="H5350" s="133"/>
      <c r="I5350" s="133"/>
      <c r="J5350" s="133"/>
      <c r="K5350" s="133"/>
      <c r="L5350" s="133"/>
      <c r="M5350" s="133"/>
      <c r="N5350" s="133"/>
      <c r="O5350" s="133"/>
      <c r="P5350" s="134"/>
      <c r="Q5350" s="146"/>
      <c r="R5350" s="17"/>
      <c r="S5350" s="17"/>
      <c r="T5350" s="75"/>
      <c r="U5350" s="75"/>
      <c r="V5350" s="75"/>
      <c r="W5350" s="75"/>
      <c r="X5350" s="75"/>
    </row>
    <row r="5351">
      <c r="A5351" s="17"/>
      <c r="B5351" s="17"/>
      <c r="C5351" s="133"/>
      <c r="D5351" s="133"/>
      <c r="E5351" s="17"/>
      <c r="F5351" s="133"/>
      <c r="G5351" s="133"/>
      <c r="H5351" s="133"/>
      <c r="I5351" s="133"/>
      <c r="J5351" s="133"/>
      <c r="K5351" s="133"/>
      <c r="L5351" s="133"/>
      <c r="M5351" s="133"/>
      <c r="N5351" s="133"/>
      <c r="O5351" s="133"/>
      <c r="P5351" s="134"/>
      <c r="Q5351" s="146"/>
      <c r="R5351" s="17"/>
      <c r="S5351" s="17"/>
      <c r="T5351" s="75"/>
      <c r="U5351" s="75"/>
      <c r="V5351" s="75"/>
      <c r="W5351" s="75"/>
      <c r="X5351" s="75"/>
    </row>
    <row r="5352">
      <c r="A5352" s="17"/>
      <c r="B5352" s="17"/>
      <c r="C5352" s="133"/>
      <c r="D5352" s="133"/>
      <c r="E5352" s="17"/>
      <c r="F5352" s="133"/>
      <c r="G5352" s="133"/>
      <c r="H5352" s="133"/>
      <c r="I5352" s="133"/>
      <c r="J5352" s="133"/>
      <c r="K5352" s="133"/>
      <c r="L5352" s="133"/>
      <c r="M5352" s="133"/>
      <c r="N5352" s="133"/>
      <c r="O5352" s="133"/>
      <c r="P5352" s="134"/>
      <c r="Q5352" s="146"/>
      <c r="R5352" s="17"/>
      <c r="S5352" s="17"/>
      <c r="T5352" s="75"/>
      <c r="U5352" s="75"/>
      <c r="V5352" s="75"/>
      <c r="W5352" s="75"/>
      <c r="X5352" s="75"/>
    </row>
    <row r="5353">
      <c r="A5353" s="17"/>
      <c r="B5353" s="17"/>
      <c r="C5353" s="133"/>
      <c r="D5353" s="133"/>
      <c r="E5353" s="17"/>
      <c r="F5353" s="133"/>
      <c r="G5353" s="133"/>
      <c r="H5353" s="133"/>
      <c r="I5353" s="133"/>
      <c r="J5353" s="133"/>
      <c r="K5353" s="133"/>
      <c r="L5353" s="133"/>
      <c r="M5353" s="133"/>
      <c r="N5353" s="133"/>
      <c r="O5353" s="133"/>
      <c r="P5353" s="134"/>
      <c r="Q5353" s="146"/>
      <c r="R5353" s="17"/>
      <c r="S5353" s="17"/>
      <c r="T5353" s="75"/>
      <c r="U5353" s="75"/>
      <c r="V5353" s="75"/>
      <c r="W5353" s="75"/>
      <c r="X5353" s="75"/>
    </row>
    <row r="5354">
      <c r="A5354" s="17"/>
      <c r="B5354" s="17"/>
      <c r="C5354" s="133"/>
      <c r="D5354" s="133"/>
      <c r="E5354" s="17"/>
      <c r="F5354" s="133"/>
      <c r="G5354" s="133"/>
      <c r="H5354" s="133"/>
      <c r="I5354" s="133"/>
      <c r="J5354" s="133"/>
      <c r="K5354" s="133"/>
      <c r="L5354" s="133"/>
      <c r="M5354" s="133"/>
      <c r="N5354" s="133"/>
      <c r="O5354" s="133"/>
      <c r="P5354" s="134"/>
      <c r="Q5354" s="146"/>
      <c r="R5354" s="17"/>
      <c r="S5354" s="17"/>
      <c r="T5354" s="75"/>
      <c r="U5354" s="75"/>
      <c r="V5354" s="75"/>
      <c r="W5354" s="75"/>
      <c r="X5354" s="75"/>
    </row>
    <row r="5355">
      <c r="A5355" s="17"/>
      <c r="B5355" s="17"/>
      <c r="C5355" s="133"/>
      <c r="D5355" s="133"/>
      <c r="E5355" s="17"/>
      <c r="F5355" s="133"/>
      <c r="G5355" s="133"/>
      <c r="H5355" s="133"/>
      <c r="I5355" s="133"/>
      <c r="J5355" s="133"/>
      <c r="K5355" s="133"/>
      <c r="L5355" s="133"/>
      <c r="M5355" s="133"/>
      <c r="N5355" s="133"/>
      <c r="O5355" s="133"/>
      <c r="P5355" s="134"/>
      <c r="Q5355" s="146"/>
      <c r="R5355" s="17"/>
      <c r="S5355" s="17"/>
      <c r="T5355" s="75"/>
      <c r="U5355" s="75"/>
      <c r="V5355" s="75"/>
      <c r="W5355" s="75"/>
      <c r="X5355" s="75"/>
    </row>
    <row r="5356">
      <c r="A5356" s="17"/>
      <c r="B5356" s="17"/>
      <c r="C5356" s="133"/>
      <c r="D5356" s="133"/>
      <c r="E5356" s="17"/>
      <c r="F5356" s="133"/>
      <c r="G5356" s="133"/>
      <c r="H5356" s="133"/>
      <c r="I5356" s="133"/>
      <c r="J5356" s="133"/>
      <c r="K5356" s="133"/>
      <c r="L5356" s="133"/>
      <c r="M5356" s="133"/>
      <c r="N5356" s="133"/>
      <c r="O5356" s="133"/>
      <c r="P5356" s="134"/>
      <c r="Q5356" s="146"/>
      <c r="R5356" s="17"/>
      <c r="S5356" s="17"/>
      <c r="T5356" s="75"/>
      <c r="U5356" s="75"/>
      <c r="V5356" s="75"/>
      <c r="W5356" s="75"/>
      <c r="X5356" s="75"/>
    </row>
    <row r="5357">
      <c r="A5357" s="17"/>
      <c r="B5357" s="17"/>
      <c r="C5357" s="133"/>
      <c r="D5357" s="133"/>
      <c r="E5357" s="17"/>
      <c r="F5357" s="133"/>
      <c r="G5357" s="133"/>
      <c r="H5357" s="133"/>
      <c r="I5357" s="133"/>
      <c r="J5357" s="133"/>
      <c r="K5357" s="133"/>
      <c r="L5357" s="133"/>
      <c r="M5357" s="133"/>
      <c r="N5357" s="133"/>
      <c r="O5357" s="133"/>
      <c r="P5357" s="134"/>
      <c r="Q5357" s="146"/>
      <c r="R5357" s="17"/>
      <c r="S5357" s="17"/>
      <c r="T5357" s="75"/>
      <c r="U5357" s="75"/>
      <c r="V5357" s="75"/>
      <c r="W5357" s="75"/>
      <c r="X5357" s="75"/>
    </row>
    <row r="5358">
      <c r="A5358" s="17"/>
      <c r="B5358" s="17"/>
      <c r="C5358" s="133"/>
      <c r="D5358" s="133"/>
      <c r="E5358" s="17"/>
      <c r="F5358" s="133"/>
      <c r="G5358" s="133"/>
      <c r="H5358" s="133"/>
      <c r="I5358" s="133"/>
      <c r="J5358" s="133"/>
      <c r="K5358" s="133"/>
      <c r="L5358" s="133"/>
      <c r="M5358" s="133"/>
      <c r="N5358" s="133"/>
      <c r="O5358" s="133"/>
      <c r="P5358" s="134"/>
      <c r="Q5358" s="146"/>
      <c r="R5358" s="17"/>
      <c r="S5358" s="17"/>
      <c r="T5358" s="75"/>
      <c r="U5358" s="75"/>
      <c r="V5358" s="75"/>
      <c r="W5358" s="75"/>
      <c r="X5358" s="75"/>
    </row>
    <row r="5359">
      <c r="A5359" s="17"/>
      <c r="B5359" s="17"/>
      <c r="C5359" s="133"/>
      <c r="D5359" s="133"/>
      <c r="E5359" s="17"/>
      <c r="F5359" s="133"/>
      <c r="G5359" s="133"/>
      <c r="H5359" s="133"/>
      <c r="I5359" s="133"/>
      <c r="J5359" s="133"/>
      <c r="K5359" s="133"/>
      <c r="L5359" s="133"/>
      <c r="M5359" s="133"/>
      <c r="N5359" s="133"/>
      <c r="O5359" s="133"/>
      <c r="P5359" s="134"/>
      <c r="Q5359" s="146"/>
      <c r="R5359" s="17"/>
      <c r="S5359" s="17"/>
      <c r="T5359" s="75"/>
      <c r="U5359" s="75"/>
      <c r="V5359" s="75"/>
      <c r="W5359" s="75"/>
      <c r="X5359" s="75"/>
    </row>
    <row r="5360">
      <c r="A5360" s="17"/>
      <c r="B5360" s="17"/>
      <c r="C5360" s="133"/>
      <c r="D5360" s="133"/>
      <c r="E5360" s="17"/>
      <c r="F5360" s="133"/>
      <c r="G5360" s="133"/>
      <c r="H5360" s="133"/>
      <c r="I5360" s="133"/>
      <c r="J5360" s="133"/>
      <c r="K5360" s="133"/>
      <c r="L5360" s="133"/>
      <c r="M5360" s="133"/>
      <c r="N5360" s="133"/>
      <c r="O5360" s="133"/>
      <c r="P5360" s="134"/>
      <c r="Q5360" s="146"/>
      <c r="R5360" s="17"/>
      <c r="S5360" s="17"/>
      <c r="T5360" s="75"/>
      <c r="U5360" s="75"/>
      <c r="V5360" s="75"/>
      <c r="W5360" s="75"/>
      <c r="X5360" s="75"/>
    </row>
    <row r="5361">
      <c r="A5361" s="17"/>
      <c r="B5361" s="17"/>
      <c r="C5361" s="133"/>
      <c r="D5361" s="133"/>
      <c r="E5361" s="17"/>
      <c r="F5361" s="133"/>
      <c r="G5361" s="133"/>
      <c r="H5361" s="133"/>
      <c r="I5361" s="133"/>
      <c r="J5361" s="133"/>
      <c r="K5361" s="133"/>
      <c r="L5361" s="133"/>
      <c r="M5361" s="133"/>
      <c r="N5361" s="133"/>
      <c r="O5361" s="133"/>
      <c r="P5361" s="134"/>
      <c r="Q5361" s="146"/>
      <c r="R5361" s="17"/>
      <c r="S5361" s="17"/>
      <c r="T5361" s="75"/>
      <c r="U5361" s="75"/>
      <c r="V5361" s="75"/>
      <c r="W5361" s="75"/>
      <c r="X5361" s="75"/>
    </row>
    <row r="5362">
      <c r="A5362" s="17"/>
      <c r="B5362" s="17"/>
      <c r="C5362" s="133"/>
      <c r="D5362" s="133"/>
      <c r="E5362" s="17"/>
      <c r="F5362" s="133"/>
      <c r="G5362" s="133"/>
      <c r="H5362" s="133"/>
      <c r="I5362" s="133"/>
      <c r="J5362" s="133"/>
      <c r="K5362" s="133"/>
      <c r="L5362" s="133"/>
      <c r="M5362" s="133"/>
      <c r="N5362" s="133"/>
      <c r="O5362" s="133"/>
      <c r="P5362" s="134"/>
      <c r="Q5362" s="146"/>
      <c r="R5362" s="17"/>
      <c r="S5362" s="17"/>
      <c r="T5362" s="75"/>
      <c r="U5362" s="75"/>
      <c r="V5362" s="75"/>
      <c r="W5362" s="75"/>
      <c r="X5362" s="75"/>
    </row>
    <row r="5363">
      <c r="A5363" s="17"/>
      <c r="B5363" s="17"/>
      <c r="C5363" s="133"/>
      <c r="D5363" s="133"/>
      <c r="E5363" s="17"/>
      <c r="F5363" s="133"/>
      <c r="G5363" s="133"/>
      <c r="H5363" s="133"/>
      <c r="I5363" s="133"/>
      <c r="J5363" s="133"/>
      <c r="K5363" s="133"/>
      <c r="L5363" s="133"/>
      <c r="M5363" s="133"/>
      <c r="N5363" s="133"/>
      <c r="O5363" s="133"/>
      <c r="P5363" s="134"/>
      <c r="Q5363" s="146"/>
      <c r="R5363" s="17"/>
      <c r="S5363" s="17"/>
      <c r="T5363" s="75"/>
      <c r="U5363" s="75"/>
      <c r="V5363" s="75"/>
      <c r="W5363" s="75"/>
      <c r="X5363" s="75"/>
    </row>
    <row r="5364">
      <c r="A5364" s="17"/>
      <c r="B5364" s="17"/>
      <c r="C5364" s="133"/>
      <c r="D5364" s="133"/>
      <c r="E5364" s="17"/>
      <c r="F5364" s="133"/>
      <c r="G5364" s="133"/>
      <c r="H5364" s="133"/>
      <c r="I5364" s="133"/>
      <c r="J5364" s="133"/>
      <c r="K5364" s="133"/>
      <c r="L5364" s="133"/>
      <c r="M5364" s="133"/>
      <c r="N5364" s="133"/>
      <c r="O5364" s="133"/>
      <c r="P5364" s="134"/>
      <c r="Q5364" s="146"/>
      <c r="R5364" s="17"/>
      <c r="S5364" s="17"/>
      <c r="T5364" s="75"/>
      <c r="U5364" s="75"/>
      <c r="V5364" s="75"/>
      <c r="W5364" s="75"/>
      <c r="X5364" s="75"/>
    </row>
    <row r="5365">
      <c r="A5365" s="17"/>
      <c r="B5365" s="17"/>
      <c r="C5365" s="133"/>
      <c r="D5365" s="133"/>
      <c r="E5365" s="17"/>
      <c r="F5365" s="133"/>
      <c r="G5365" s="133"/>
      <c r="H5365" s="133"/>
      <c r="I5365" s="133"/>
      <c r="J5365" s="133"/>
      <c r="K5365" s="133"/>
      <c r="L5365" s="133"/>
      <c r="M5365" s="133"/>
      <c r="N5365" s="133"/>
      <c r="O5365" s="133"/>
      <c r="P5365" s="134"/>
      <c r="Q5365" s="146"/>
      <c r="R5365" s="17"/>
      <c r="S5365" s="17"/>
      <c r="T5365" s="75"/>
      <c r="U5365" s="75"/>
      <c r="V5365" s="75"/>
      <c r="W5365" s="75"/>
      <c r="X5365" s="75"/>
    </row>
    <row r="5366">
      <c r="A5366" s="17"/>
      <c r="B5366" s="17"/>
      <c r="C5366" s="133"/>
      <c r="D5366" s="133"/>
      <c r="E5366" s="17"/>
      <c r="F5366" s="133"/>
      <c r="G5366" s="133"/>
      <c r="H5366" s="133"/>
      <c r="I5366" s="133"/>
      <c r="J5366" s="133"/>
      <c r="K5366" s="133"/>
      <c r="L5366" s="133"/>
      <c r="M5366" s="133"/>
      <c r="N5366" s="133"/>
      <c r="O5366" s="133"/>
      <c r="P5366" s="134"/>
      <c r="Q5366" s="146"/>
      <c r="R5366" s="17"/>
      <c r="S5366" s="17"/>
      <c r="T5366" s="75"/>
      <c r="U5366" s="75"/>
      <c r="V5366" s="75"/>
      <c r="W5366" s="75"/>
      <c r="X5366" s="75"/>
    </row>
    <row r="5367">
      <c r="A5367" s="17"/>
      <c r="B5367" s="17"/>
      <c r="C5367" s="133"/>
      <c r="D5367" s="133"/>
      <c r="E5367" s="17"/>
      <c r="F5367" s="133"/>
      <c r="G5367" s="133"/>
      <c r="H5367" s="133"/>
      <c r="I5367" s="133"/>
      <c r="J5367" s="133"/>
      <c r="K5367" s="133"/>
      <c r="L5367" s="133"/>
      <c r="M5367" s="133"/>
      <c r="N5367" s="133"/>
      <c r="O5367" s="133"/>
      <c r="P5367" s="134"/>
      <c r="Q5367" s="146"/>
      <c r="R5367" s="17"/>
      <c r="S5367" s="17"/>
      <c r="T5367" s="75"/>
      <c r="U5367" s="75"/>
      <c r="V5367" s="75"/>
      <c r="W5367" s="75"/>
      <c r="X5367" s="75"/>
    </row>
    <row r="5368">
      <c r="A5368" s="17"/>
      <c r="B5368" s="17"/>
      <c r="C5368" s="133"/>
      <c r="D5368" s="133"/>
      <c r="E5368" s="17"/>
      <c r="F5368" s="133"/>
      <c r="G5368" s="133"/>
      <c r="H5368" s="133"/>
      <c r="I5368" s="133"/>
      <c r="J5368" s="133"/>
      <c r="K5368" s="133"/>
      <c r="L5368" s="133"/>
      <c r="M5368" s="133"/>
      <c r="N5368" s="133"/>
      <c r="O5368" s="133"/>
      <c r="P5368" s="134"/>
      <c r="Q5368" s="146"/>
      <c r="R5368" s="17"/>
      <c r="S5368" s="17"/>
      <c r="T5368" s="75"/>
      <c r="U5368" s="75"/>
      <c r="V5368" s="75"/>
      <c r="W5368" s="75"/>
      <c r="X5368" s="75"/>
    </row>
    <row r="5369">
      <c r="A5369" s="17"/>
      <c r="B5369" s="17"/>
      <c r="C5369" s="133"/>
      <c r="D5369" s="133"/>
      <c r="E5369" s="17"/>
      <c r="F5369" s="133"/>
      <c r="G5369" s="133"/>
      <c r="H5369" s="133"/>
      <c r="I5369" s="133"/>
      <c r="J5369" s="133"/>
      <c r="K5369" s="133"/>
      <c r="L5369" s="133"/>
      <c r="M5369" s="133"/>
      <c r="N5369" s="133"/>
      <c r="O5369" s="133"/>
      <c r="P5369" s="134"/>
      <c r="Q5369" s="146"/>
      <c r="R5369" s="17"/>
      <c r="S5369" s="17"/>
      <c r="T5369" s="75"/>
      <c r="U5369" s="75"/>
      <c r="V5369" s="75"/>
      <c r="W5369" s="75"/>
      <c r="X5369" s="75"/>
    </row>
    <row r="5370">
      <c r="A5370" s="17"/>
      <c r="B5370" s="17"/>
      <c r="C5370" s="133"/>
      <c r="D5370" s="133"/>
      <c r="E5370" s="17"/>
      <c r="F5370" s="133"/>
      <c r="G5370" s="133"/>
      <c r="H5370" s="133"/>
      <c r="I5370" s="133"/>
      <c r="J5370" s="133"/>
      <c r="K5370" s="133"/>
      <c r="L5370" s="133"/>
      <c r="M5370" s="133"/>
      <c r="N5370" s="133"/>
      <c r="O5370" s="133"/>
      <c r="P5370" s="134"/>
      <c r="Q5370" s="146"/>
      <c r="R5370" s="17"/>
      <c r="S5370" s="17"/>
      <c r="T5370" s="75"/>
      <c r="U5370" s="75"/>
      <c r="V5370" s="75"/>
      <c r="W5370" s="75"/>
      <c r="X5370" s="75"/>
    </row>
    <row r="5371">
      <c r="A5371" s="17"/>
      <c r="B5371" s="17"/>
      <c r="C5371" s="133"/>
      <c r="D5371" s="133"/>
      <c r="E5371" s="17"/>
      <c r="F5371" s="133"/>
      <c r="G5371" s="133"/>
      <c r="H5371" s="133"/>
      <c r="I5371" s="133"/>
      <c r="J5371" s="133"/>
      <c r="K5371" s="133"/>
      <c r="L5371" s="133"/>
      <c r="M5371" s="133"/>
      <c r="N5371" s="133"/>
      <c r="O5371" s="133"/>
      <c r="P5371" s="134"/>
      <c r="Q5371" s="146"/>
      <c r="R5371" s="17"/>
      <c r="S5371" s="17"/>
      <c r="T5371" s="75"/>
      <c r="U5371" s="75"/>
      <c r="V5371" s="75"/>
      <c r="W5371" s="75"/>
      <c r="X5371" s="75"/>
    </row>
    <row r="5372">
      <c r="A5372" s="17"/>
      <c r="B5372" s="17"/>
      <c r="C5372" s="133"/>
      <c r="D5372" s="133"/>
      <c r="E5372" s="17"/>
      <c r="F5372" s="133"/>
      <c r="G5372" s="133"/>
      <c r="H5372" s="133"/>
      <c r="I5372" s="133"/>
      <c r="J5372" s="133"/>
      <c r="K5372" s="133"/>
      <c r="L5372" s="133"/>
      <c r="M5372" s="133"/>
      <c r="N5372" s="133"/>
      <c r="O5372" s="133"/>
      <c r="P5372" s="134"/>
      <c r="Q5372" s="146"/>
      <c r="R5372" s="17"/>
      <c r="S5372" s="17"/>
      <c r="T5372" s="75"/>
      <c r="U5372" s="75"/>
      <c r="V5372" s="75"/>
      <c r="W5372" s="75"/>
      <c r="X5372" s="75"/>
    </row>
    <row r="5373">
      <c r="A5373" s="17"/>
      <c r="B5373" s="17"/>
      <c r="C5373" s="133"/>
      <c r="D5373" s="133"/>
      <c r="E5373" s="17"/>
      <c r="F5373" s="133"/>
      <c r="G5373" s="133"/>
      <c r="H5373" s="133"/>
      <c r="I5373" s="133"/>
      <c r="J5373" s="133"/>
      <c r="K5373" s="133"/>
      <c r="L5373" s="133"/>
      <c r="M5373" s="133"/>
      <c r="N5373" s="133"/>
      <c r="O5373" s="133"/>
      <c r="P5373" s="134"/>
      <c r="Q5373" s="146"/>
      <c r="R5373" s="17"/>
      <c r="S5373" s="17"/>
      <c r="T5373" s="75"/>
      <c r="U5373" s="75"/>
      <c r="V5373" s="75"/>
      <c r="W5373" s="75"/>
      <c r="X5373" s="75"/>
    </row>
    <row r="5374">
      <c r="A5374" s="17"/>
      <c r="B5374" s="17"/>
      <c r="C5374" s="133"/>
      <c r="D5374" s="133"/>
      <c r="E5374" s="17"/>
      <c r="F5374" s="133"/>
      <c r="G5374" s="133"/>
      <c r="H5374" s="133"/>
      <c r="I5374" s="133"/>
      <c r="J5374" s="133"/>
      <c r="K5374" s="133"/>
      <c r="L5374" s="133"/>
      <c r="M5374" s="133"/>
      <c r="N5374" s="133"/>
      <c r="O5374" s="133"/>
      <c r="P5374" s="134"/>
      <c r="Q5374" s="146"/>
      <c r="R5374" s="17"/>
      <c r="S5374" s="17"/>
      <c r="T5374" s="75"/>
      <c r="U5374" s="75"/>
      <c r="V5374" s="75"/>
      <c r="W5374" s="75"/>
      <c r="X5374" s="75"/>
    </row>
    <row r="5375">
      <c r="A5375" s="17"/>
      <c r="B5375" s="17"/>
      <c r="C5375" s="133"/>
      <c r="D5375" s="133"/>
      <c r="E5375" s="17"/>
      <c r="F5375" s="133"/>
      <c r="G5375" s="133"/>
      <c r="H5375" s="133"/>
      <c r="I5375" s="133"/>
      <c r="J5375" s="133"/>
      <c r="K5375" s="133"/>
      <c r="L5375" s="133"/>
      <c r="M5375" s="133"/>
      <c r="N5375" s="133"/>
      <c r="O5375" s="133"/>
      <c r="P5375" s="134"/>
      <c r="Q5375" s="146"/>
      <c r="R5375" s="17"/>
      <c r="S5375" s="17"/>
      <c r="T5375" s="75"/>
      <c r="U5375" s="75"/>
      <c r="V5375" s="75"/>
      <c r="W5375" s="75"/>
      <c r="X5375" s="75"/>
    </row>
    <row r="5376">
      <c r="A5376" s="17"/>
      <c r="B5376" s="17"/>
      <c r="C5376" s="133"/>
      <c r="D5376" s="133"/>
      <c r="E5376" s="17"/>
      <c r="F5376" s="133"/>
      <c r="G5376" s="133"/>
      <c r="H5376" s="133"/>
      <c r="I5376" s="133"/>
      <c r="J5376" s="133"/>
      <c r="K5376" s="133"/>
      <c r="L5376" s="133"/>
      <c r="M5376" s="133"/>
      <c r="N5376" s="133"/>
      <c r="O5376" s="133"/>
      <c r="P5376" s="134"/>
      <c r="Q5376" s="146"/>
      <c r="R5376" s="17"/>
      <c r="S5376" s="17"/>
      <c r="T5376" s="75"/>
      <c r="U5376" s="75"/>
      <c r="V5376" s="75"/>
      <c r="W5376" s="75"/>
      <c r="X5376" s="75"/>
    </row>
    <row r="5377">
      <c r="A5377" s="17"/>
      <c r="B5377" s="17"/>
      <c r="C5377" s="133"/>
      <c r="D5377" s="133"/>
      <c r="E5377" s="17"/>
      <c r="F5377" s="133"/>
      <c r="G5377" s="133"/>
      <c r="H5377" s="133"/>
      <c r="I5377" s="133"/>
      <c r="J5377" s="133"/>
      <c r="K5377" s="133"/>
      <c r="L5377" s="133"/>
      <c r="M5377" s="133"/>
      <c r="N5377" s="133"/>
      <c r="O5377" s="133"/>
      <c r="P5377" s="134"/>
      <c r="Q5377" s="146"/>
      <c r="R5377" s="17"/>
      <c r="S5377" s="17"/>
      <c r="T5377" s="75"/>
      <c r="U5377" s="75"/>
      <c r="V5377" s="75"/>
      <c r="W5377" s="75"/>
      <c r="X5377" s="75"/>
    </row>
    <row r="5378">
      <c r="A5378" s="17"/>
      <c r="B5378" s="17"/>
      <c r="C5378" s="133"/>
      <c r="D5378" s="133"/>
      <c r="E5378" s="17"/>
      <c r="F5378" s="133"/>
      <c r="G5378" s="133"/>
      <c r="H5378" s="133"/>
      <c r="I5378" s="133"/>
      <c r="J5378" s="133"/>
      <c r="K5378" s="133"/>
      <c r="L5378" s="133"/>
      <c r="M5378" s="133"/>
      <c r="N5378" s="133"/>
      <c r="O5378" s="133"/>
      <c r="P5378" s="134"/>
      <c r="Q5378" s="146"/>
      <c r="R5378" s="17"/>
      <c r="S5378" s="17"/>
      <c r="T5378" s="75"/>
      <c r="U5378" s="75"/>
      <c r="V5378" s="75"/>
      <c r="W5378" s="75"/>
      <c r="X5378" s="75"/>
    </row>
    <row r="5379">
      <c r="A5379" s="17"/>
      <c r="B5379" s="17"/>
      <c r="C5379" s="133"/>
      <c r="D5379" s="133"/>
      <c r="E5379" s="17"/>
      <c r="F5379" s="133"/>
      <c r="G5379" s="133"/>
      <c r="H5379" s="133"/>
      <c r="I5379" s="133"/>
      <c r="J5379" s="133"/>
      <c r="K5379" s="133"/>
      <c r="L5379" s="133"/>
      <c r="M5379" s="133"/>
      <c r="N5379" s="133"/>
      <c r="O5379" s="133"/>
      <c r="P5379" s="134"/>
      <c r="Q5379" s="146"/>
      <c r="R5379" s="17"/>
      <c r="S5379" s="17"/>
      <c r="T5379" s="75"/>
      <c r="U5379" s="75"/>
      <c r="V5379" s="75"/>
      <c r="W5379" s="75"/>
      <c r="X5379" s="75"/>
    </row>
    <row r="5380">
      <c r="A5380" s="17"/>
      <c r="B5380" s="17"/>
      <c r="C5380" s="133"/>
      <c r="D5380" s="133"/>
      <c r="E5380" s="17"/>
      <c r="F5380" s="133"/>
      <c r="G5380" s="133"/>
      <c r="H5380" s="133"/>
      <c r="I5380" s="133"/>
      <c r="J5380" s="133"/>
      <c r="K5380" s="133"/>
      <c r="L5380" s="133"/>
      <c r="M5380" s="133"/>
      <c r="N5380" s="133"/>
      <c r="O5380" s="133"/>
      <c r="P5380" s="134"/>
      <c r="Q5380" s="146"/>
      <c r="R5380" s="17"/>
      <c r="S5380" s="17"/>
      <c r="T5380" s="75"/>
      <c r="U5380" s="75"/>
      <c r="V5380" s="75"/>
      <c r="W5380" s="75"/>
      <c r="X5380" s="75"/>
    </row>
    <row r="5381">
      <c r="A5381" s="17"/>
      <c r="B5381" s="17"/>
      <c r="C5381" s="133"/>
      <c r="D5381" s="133"/>
      <c r="E5381" s="17"/>
      <c r="F5381" s="133"/>
      <c r="G5381" s="133"/>
      <c r="H5381" s="133"/>
      <c r="I5381" s="133"/>
      <c r="J5381" s="133"/>
      <c r="K5381" s="133"/>
      <c r="L5381" s="133"/>
      <c r="M5381" s="133"/>
      <c r="N5381" s="133"/>
      <c r="O5381" s="133"/>
      <c r="P5381" s="134"/>
      <c r="Q5381" s="146"/>
      <c r="R5381" s="17"/>
      <c r="S5381" s="17"/>
      <c r="T5381" s="75"/>
      <c r="U5381" s="75"/>
      <c r="V5381" s="75"/>
      <c r="W5381" s="75"/>
      <c r="X5381" s="75"/>
    </row>
    <row r="5382">
      <c r="A5382" s="17"/>
      <c r="B5382" s="17"/>
      <c r="C5382" s="133"/>
      <c r="D5382" s="133"/>
      <c r="E5382" s="17"/>
      <c r="F5382" s="133"/>
      <c r="G5382" s="133"/>
      <c r="H5382" s="133"/>
      <c r="I5382" s="133"/>
      <c r="J5382" s="133"/>
      <c r="K5382" s="133"/>
      <c r="L5382" s="133"/>
      <c r="M5382" s="133"/>
      <c r="N5382" s="133"/>
      <c r="O5382" s="133"/>
      <c r="P5382" s="134"/>
      <c r="Q5382" s="146"/>
      <c r="R5382" s="17"/>
      <c r="S5382" s="17"/>
      <c r="T5382" s="75"/>
      <c r="U5382" s="75"/>
      <c r="V5382" s="75"/>
      <c r="W5382" s="75"/>
      <c r="X5382" s="75"/>
    </row>
    <row r="5383">
      <c r="A5383" s="17"/>
      <c r="B5383" s="17"/>
      <c r="C5383" s="133"/>
      <c r="D5383" s="133"/>
      <c r="E5383" s="17"/>
      <c r="F5383" s="133"/>
      <c r="G5383" s="133"/>
      <c r="H5383" s="133"/>
      <c r="I5383" s="133"/>
      <c r="J5383" s="133"/>
      <c r="K5383" s="133"/>
      <c r="L5383" s="133"/>
      <c r="M5383" s="133"/>
      <c r="N5383" s="133"/>
      <c r="O5383" s="133"/>
      <c r="P5383" s="134"/>
      <c r="Q5383" s="146"/>
      <c r="R5383" s="17"/>
      <c r="S5383" s="17"/>
      <c r="T5383" s="75"/>
      <c r="U5383" s="75"/>
      <c r="V5383" s="75"/>
      <c r="W5383" s="75"/>
      <c r="X5383" s="75"/>
    </row>
    <row r="5384">
      <c r="A5384" s="17"/>
      <c r="B5384" s="17"/>
      <c r="C5384" s="133"/>
      <c r="D5384" s="133"/>
      <c r="E5384" s="17"/>
      <c r="F5384" s="133"/>
      <c r="G5384" s="133"/>
      <c r="H5384" s="133"/>
      <c r="I5384" s="133"/>
      <c r="J5384" s="133"/>
      <c r="K5384" s="133"/>
      <c r="L5384" s="133"/>
      <c r="M5384" s="133"/>
      <c r="N5384" s="133"/>
      <c r="O5384" s="133"/>
      <c r="P5384" s="134"/>
      <c r="Q5384" s="146"/>
      <c r="R5384" s="17"/>
      <c r="S5384" s="17"/>
      <c r="T5384" s="75"/>
      <c r="U5384" s="75"/>
      <c r="V5384" s="75"/>
      <c r="W5384" s="75"/>
      <c r="X5384" s="75"/>
    </row>
    <row r="5385">
      <c r="A5385" s="17"/>
      <c r="B5385" s="17"/>
      <c r="C5385" s="133"/>
      <c r="D5385" s="133"/>
      <c r="E5385" s="17"/>
      <c r="F5385" s="133"/>
      <c r="G5385" s="133"/>
      <c r="H5385" s="133"/>
      <c r="I5385" s="133"/>
      <c r="J5385" s="133"/>
      <c r="K5385" s="133"/>
      <c r="L5385" s="133"/>
      <c r="M5385" s="133"/>
      <c r="N5385" s="133"/>
      <c r="O5385" s="133"/>
      <c r="P5385" s="134"/>
      <c r="Q5385" s="146"/>
      <c r="R5385" s="17"/>
      <c r="S5385" s="17"/>
      <c r="T5385" s="75"/>
      <c r="U5385" s="75"/>
      <c r="V5385" s="75"/>
      <c r="W5385" s="75"/>
      <c r="X5385" s="75"/>
    </row>
    <row r="5386">
      <c r="A5386" s="17"/>
      <c r="B5386" s="17"/>
      <c r="C5386" s="133"/>
      <c r="D5386" s="133"/>
      <c r="E5386" s="17"/>
      <c r="F5386" s="133"/>
      <c r="G5386" s="133"/>
      <c r="H5386" s="133"/>
      <c r="I5386" s="133"/>
      <c r="J5386" s="133"/>
      <c r="K5386" s="133"/>
      <c r="L5386" s="133"/>
      <c r="M5386" s="133"/>
      <c r="N5386" s="133"/>
      <c r="O5386" s="133"/>
      <c r="P5386" s="134"/>
      <c r="Q5386" s="146"/>
      <c r="R5386" s="17"/>
      <c r="S5386" s="17"/>
      <c r="T5386" s="75"/>
      <c r="U5386" s="75"/>
      <c r="V5386" s="75"/>
      <c r="W5386" s="75"/>
      <c r="X5386" s="75"/>
    </row>
    <row r="5387">
      <c r="A5387" s="17"/>
      <c r="B5387" s="17"/>
      <c r="C5387" s="133"/>
      <c r="D5387" s="133"/>
      <c r="E5387" s="17"/>
      <c r="F5387" s="133"/>
      <c r="G5387" s="133"/>
      <c r="H5387" s="133"/>
      <c r="I5387" s="133"/>
      <c r="J5387" s="133"/>
      <c r="K5387" s="133"/>
      <c r="L5387" s="133"/>
      <c r="M5387" s="133"/>
      <c r="N5387" s="133"/>
      <c r="O5387" s="133"/>
      <c r="P5387" s="134"/>
      <c r="Q5387" s="146"/>
      <c r="R5387" s="17"/>
      <c r="S5387" s="17"/>
      <c r="T5387" s="75"/>
      <c r="U5387" s="75"/>
      <c r="V5387" s="75"/>
      <c r="W5387" s="75"/>
      <c r="X5387" s="75"/>
    </row>
    <row r="5388">
      <c r="A5388" s="17"/>
      <c r="B5388" s="17"/>
      <c r="C5388" s="133"/>
      <c r="D5388" s="133"/>
      <c r="E5388" s="17"/>
      <c r="F5388" s="133"/>
      <c r="G5388" s="133"/>
      <c r="H5388" s="133"/>
      <c r="I5388" s="133"/>
      <c r="J5388" s="133"/>
      <c r="K5388" s="133"/>
      <c r="L5388" s="133"/>
      <c r="M5388" s="133"/>
      <c r="N5388" s="133"/>
      <c r="O5388" s="133"/>
      <c r="P5388" s="134"/>
      <c r="Q5388" s="146"/>
      <c r="R5388" s="17"/>
      <c r="S5388" s="17"/>
      <c r="T5388" s="75"/>
      <c r="U5388" s="75"/>
      <c r="V5388" s="75"/>
      <c r="W5388" s="75"/>
      <c r="X5388" s="75"/>
    </row>
    <row r="5389">
      <c r="A5389" s="17"/>
      <c r="B5389" s="17"/>
      <c r="C5389" s="133"/>
      <c r="D5389" s="133"/>
      <c r="E5389" s="17"/>
      <c r="F5389" s="133"/>
      <c r="G5389" s="133"/>
      <c r="H5389" s="133"/>
      <c r="I5389" s="133"/>
      <c r="J5389" s="133"/>
      <c r="K5389" s="133"/>
      <c r="L5389" s="133"/>
      <c r="M5389" s="133"/>
      <c r="N5389" s="133"/>
      <c r="O5389" s="133"/>
      <c r="P5389" s="134"/>
      <c r="Q5389" s="146"/>
      <c r="R5389" s="17"/>
      <c r="S5389" s="17"/>
      <c r="T5389" s="75"/>
      <c r="U5389" s="75"/>
      <c r="V5389" s="75"/>
      <c r="W5389" s="75"/>
      <c r="X5389" s="75"/>
    </row>
    <row r="5390">
      <c r="A5390" s="17"/>
      <c r="B5390" s="17"/>
      <c r="C5390" s="133"/>
      <c r="D5390" s="133"/>
      <c r="E5390" s="17"/>
      <c r="F5390" s="133"/>
      <c r="G5390" s="133"/>
      <c r="H5390" s="133"/>
      <c r="I5390" s="133"/>
      <c r="J5390" s="133"/>
      <c r="K5390" s="133"/>
      <c r="L5390" s="133"/>
      <c r="M5390" s="133"/>
      <c r="N5390" s="133"/>
      <c r="O5390" s="133"/>
      <c r="P5390" s="134"/>
      <c r="Q5390" s="146"/>
      <c r="R5390" s="17"/>
      <c r="S5390" s="17"/>
      <c r="T5390" s="75"/>
      <c r="U5390" s="75"/>
      <c r="V5390" s="75"/>
      <c r="W5390" s="75"/>
      <c r="X5390" s="75"/>
    </row>
    <row r="5391">
      <c r="A5391" s="17"/>
      <c r="B5391" s="17"/>
      <c r="C5391" s="133"/>
      <c r="D5391" s="133"/>
      <c r="E5391" s="17"/>
      <c r="F5391" s="133"/>
      <c r="G5391" s="133"/>
      <c r="H5391" s="133"/>
      <c r="I5391" s="133"/>
      <c r="J5391" s="133"/>
      <c r="K5391" s="133"/>
      <c r="L5391" s="133"/>
      <c r="M5391" s="133"/>
      <c r="N5391" s="133"/>
      <c r="O5391" s="133"/>
      <c r="P5391" s="134"/>
      <c r="Q5391" s="146"/>
      <c r="R5391" s="17"/>
      <c r="S5391" s="17"/>
      <c r="T5391" s="75"/>
      <c r="U5391" s="75"/>
      <c r="V5391" s="75"/>
      <c r="W5391" s="75"/>
      <c r="X5391" s="75"/>
    </row>
    <row r="5392">
      <c r="A5392" s="17"/>
      <c r="B5392" s="17"/>
      <c r="C5392" s="133"/>
      <c r="D5392" s="133"/>
      <c r="E5392" s="17"/>
      <c r="F5392" s="133"/>
      <c r="G5392" s="133"/>
      <c r="H5392" s="133"/>
      <c r="I5392" s="133"/>
      <c r="J5392" s="133"/>
      <c r="K5392" s="133"/>
      <c r="L5392" s="133"/>
      <c r="M5392" s="133"/>
      <c r="N5392" s="133"/>
      <c r="O5392" s="133"/>
      <c r="P5392" s="134"/>
      <c r="Q5392" s="146"/>
      <c r="R5392" s="17"/>
      <c r="S5392" s="17"/>
      <c r="T5392" s="75"/>
      <c r="U5392" s="75"/>
      <c r="V5392" s="75"/>
      <c r="W5392" s="75"/>
      <c r="X5392" s="75"/>
    </row>
    <row r="5393">
      <c r="A5393" s="17"/>
      <c r="B5393" s="17"/>
      <c r="C5393" s="133"/>
      <c r="D5393" s="133"/>
      <c r="E5393" s="17"/>
      <c r="F5393" s="133"/>
      <c r="G5393" s="133"/>
      <c r="H5393" s="133"/>
      <c r="I5393" s="133"/>
      <c r="J5393" s="133"/>
      <c r="K5393" s="133"/>
      <c r="L5393" s="133"/>
      <c r="M5393" s="133"/>
      <c r="N5393" s="133"/>
      <c r="O5393" s="133"/>
      <c r="P5393" s="134"/>
      <c r="Q5393" s="146"/>
      <c r="R5393" s="17"/>
      <c r="S5393" s="17"/>
      <c r="T5393" s="75"/>
      <c r="U5393" s="75"/>
      <c r="V5393" s="75"/>
      <c r="W5393" s="75"/>
      <c r="X5393" s="75"/>
    </row>
    <row r="5394">
      <c r="A5394" s="17"/>
      <c r="B5394" s="17"/>
      <c r="C5394" s="133"/>
      <c r="D5394" s="133"/>
      <c r="E5394" s="17"/>
      <c r="F5394" s="133"/>
      <c r="G5394" s="133"/>
      <c r="H5394" s="133"/>
      <c r="I5394" s="133"/>
      <c r="J5394" s="133"/>
      <c r="K5394" s="133"/>
      <c r="L5394" s="133"/>
      <c r="M5394" s="133"/>
      <c r="N5394" s="133"/>
      <c r="O5394" s="133"/>
      <c r="P5394" s="134"/>
      <c r="Q5394" s="146"/>
      <c r="R5394" s="17"/>
      <c r="S5394" s="17"/>
      <c r="T5394" s="75"/>
      <c r="U5394" s="75"/>
      <c r="V5394" s="75"/>
      <c r="W5394" s="75"/>
      <c r="X5394" s="75"/>
    </row>
    <row r="5395">
      <c r="A5395" s="17"/>
      <c r="B5395" s="17"/>
      <c r="C5395" s="133"/>
      <c r="D5395" s="133"/>
      <c r="E5395" s="17"/>
      <c r="F5395" s="133"/>
      <c r="G5395" s="133"/>
      <c r="H5395" s="133"/>
      <c r="I5395" s="133"/>
      <c r="J5395" s="133"/>
      <c r="K5395" s="133"/>
      <c r="L5395" s="133"/>
      <c r="M5395" s="133"/>
      <c r="N5395" s="133"/>
      <c r="O5395" s="133"/>
      <c r="P5395" s="134"/>
      <c r="Q5395" s="146"/>
      <c r="R5395" s="17"/>
      <c r="S5395" s="17"/>
      <c r="T5395" s="75"/>
      <c r="U5395" s="75"/>
      <c r="V5395" s="75"/>
      <c r="W5395" s="75"/>
      <c r="X5395" s="75"/>
    </row>
    <row r="5396">
      <c r="A5396" s="17"/>
      <c r="B5396" s="17"/>
      <c r="C5396" s="133"/>
      <c r="D5396" s="133"/>
      <c r="E5396" s="17"/>
      <c r="F5396" s="133"/>
      <c r="G5396" s="133"/>
      <c r="H5396" s="133"/>
      <c r="I5396" s="133"/>
      <c r="J5396" s="133"/>
      <c r="K5396" s="133"/>
      <c r="L5396" s="133"/>
      <c r="M5396" s="133"/>
      <c r="N5396" s="133"/>
      <c r="O5396" s="133"/>
      <c r="P5396" s="134"/>
      <c r="Q5396" s="146"/>
      <c r="R5396" s="17"/>
      <c r="S5396" s="17"/>
      <c r="T5396" s="75"/>
      <c r="U5396" s="75"/>
      <c r="V5396" s="75"/>
      <c r="W5396" s="75"/>
      <c r="X5396" s="75"/>
    </row>
    <row r="5397">
      <c r="A5397" s="17"/>
      <c r="B5397" s="17"/>
      <c r="C5397" s="133"/>
      <c r="D5397" s="133"/>
      <c r="E5397" s="17"/>
      <c r="F5397" s="133"/>
      <c r="G5397" s="133"/>
      <c r="H5397" s="133"/>
      <c r="I5397" s="133"/>
      <c r="J5397" s="133"/>
      <c r="K5397" s="133"/>
      <c r="L5397" s="133"/>
      <c r="M5397" s="133"/>
      <c r="N5397" s="133"/>
      <c r="O5397" s="133"/>
      <c r="P5397" s="134"/>
      <c r="Q5397" s="146"/>
      <c r="R5397" s="17"/>
      <c r="S5397" s="17"/>
      <c r="T5397" s="75"/>
      <c r="U5397" s="75"/>
      <c r="V5397" s="75"/>
      <c r="W5397" s="75"/>
      <c r="X5397" s="75"/>
    </row>
    <row r="5398">
      <c r="A5398" s="17"/>
      <c r="B5398" s="17"/>
      <c r="C5398" s="133"/>
      <c r="D5398" s="133"/>
      <c r="E5398" s="17"/>
      <c r="F5398" s="133"/>
      <c r="G5398" s="133"/>
      <c r="H5398" s="133"/>
      <c r="I5398" s="133"/>
      <c r="J5398" s="133"/>
      <c r="K5398" s="133"/>
      <c r="L5398" s="133"/>
      <c r="M5398" s="133"/>
      <c r="N5398" s="133"/>
      <c r="O5398" s="133"/>
      <c r="P5398" s="134"/>
      <c r="Q5398" s="146"/>
      <c r="R5398" s="17"/>
      <c r="S5398" s="17"/>
      <c r="T5398" s="75"/>
      <c r="U5398" s="75"/>
      <c r="V5398" s="75"/>
      <c r="W5398" s="75"/>
      <c r="X5398" s="75"/>
    </row>
    <row r="5399">
      <c r="A5399" s="17"/>
      <c r="B5399" s="17"/>
      <c r="C5399" s="133"/>
      <c r="D5399" s="133"/>
      <c r="E5399" s="17"/>
      <c r="F5399" s="133"/>
      <c r="G5399" s="133"/>
      <c r="H5399" s="133"/>
      <c r="I5399" s="133"/>
      <c r="J5399" s="133"/>
      <c r="K5399" s="133"/>
      <c r="L5399" s="133"/>
      <c r="M5399" s="133"/>
      <c r="N5399" s="133"/>
      <c r="O5399" s="133"/>
      <c r="P5399" s="134"/>
      <c r="Q5399" s="146"/>
      <c r="R5399" s="17"/>
      <c r="S5399" s="17"/>
      <c r="T5399" s="75"/>
      <c r="U5399" s="75"/>
      <c r="V5399" s="75"/>
      <c r="W5399" s="75"/>
      <c r="X5399" s="75"/>
    </row>
    <row r="5400">
      <c r="A5400" s="17"/>
      <c r="B5400" s="17"/>
      <c r="C5400" s="133"/>
      <c r="D5400" s="133"/>
      <c r="E5400" s="17"/>
      <c r="F5400" s="133"/>
      <c r="G5400" s="133"/>
      <c r="H5400" s="133"/>
      <c r="I5400" s="133"/>
      <c r="J5400" s="133"/>
      <c r="K5400" s="133"/>
      <c r="L5400" s="133"/>
      <c r="M5400" s="133"/>
      <c r="N5400" s="133"/>
      <c r="O5400" s="133"/>
      <c r="P5400" s="134"/>
      <c r="Q5400" s="146"/>
      <c r="R5400" s="17"/>
      <c r="S5400" s="17"/>
      <c r="T5400" s="75"/>
      <c r="U5400" s="75"/>
      <c r="V5400" s="75"/>
      <c r="W5400" s="75"/>
      <c r="X5400" s="75"/>
    </row>
    <row r="5401">
      <c r="A5401" s="17"/>
      <c r="B5401" s="17"/>
      <c r="C5401" s="133"/>
      <c r="D5401" s="133"/>
      <c r="E5401" s="17"/>
      <c r="F5401" s="133"/>
      <c r="G5401" s="133"/>
      <c r="H5401" s="133"/>
      <c r="I5401" s="133"/>
      <c r="J5401" s="133"/>
      <c r="K5401" s="133"/>
      <c r="L5401" s="133"/>
      <c r="M5401" s="133"/>
      <c r="N5401" s="133"/>
      <c r="O5401" s="133"/>
      <c r="P5401" s="134"/>
      <c r="Q5401" s="146"/>
      <c r="R5401" s="17"/>
      <c r="S5401" s="17"/>
      <c r="T5401" s="75"/>
      <c r="U5401" s="75"/>
      <c r="V5401" s="75"/>
      <c r="W5401" s="75"/>
      <c r="X5401" s="75"/>
    </row>
    <row r="5402">
      <c r="A5402" s="17"/>
      <c r="B5402" s="17"/>
      <c r="C5402" s="133"/>
      <c r="D5402" s="133"/>
      <c r="E5402" s="17"/>
      <c r="F5402" s="133"/>
      <c r="G5402" s="133"/>
      <c r="H5402" s="133"/>
      <c r="I5402" s="133"/>
      <c r="J5402" s="133"/>
      <c r="K5402" s="133"/>
      <c r="L5402" s="133"/>
      <c r="M5402" s="133"/>
      <c r="N5402" s="133"/>
      <c r="O5402" s="133"/>
      <c r="P5402" s="134"/>
      <c r="Q5402" s="146"/>
      <c r="R5402" s="17"/>
      <c r="S5402" s="17"/>
      <c r="T5402" s="75"/>
      <c r="U5402" s="75"/>
      <c r="V5402" s="75"/>
      <c r="W5402" s="75"/>
      <c r="X5402" s="75"/>
    </row>
    <row r="5403">
      <c r="A5403" s="17"/>
      <c r="B5403" s="17"/>
      <c r="C5403" s="133"/>
      <c r="D5403" s="133"/>
      <c r="E5403" s="17"/>
      <c r="F5403" s="133"/>
      <c r="G5403" s="133"/>
      <c r="H5403" s="133"/>
      <c r="I5403" s="133"/>
      <c r="J5403" s="133"/>
      <c r="K5403" s="133"/>
      <c r="L5403" s="133"/>
      <c r="M5403" s="133"/>
      <c r="N5403" s="133"/>
      <c r="O5403" s="133"/>
      <c r="P5403" s="134"/>
      <c r="Q5403" s="146"/>
      <c r="R5403" s="17"/>
      <c r="S5403" s="17"/>
      <c r="T5403" s="75"/>
      <c r="U5403" s="75"/>
      <c r="V5403" s="75"/>
      <c r="W5403" s="75"/>
      <c r="X5403" s="75"/>
    </row>
    <row r="5404">
      <c r="A5404" s="17"/>
      <c r="B5404" s="17"/>
      <c r="C5404" s="133"/>
      <c r="D5404" s="133"/>
      <c r="E5404" s="17"/>
      <c r="F5404" s="133"/>
      <c r="G5404" s="133"/>
      <c r="H5404" s="133"/>
      <c r="I5404" s="133"/>
      <c r="J5404" s="133"/>
      <c r="K5404" s="133"/>
      <c r="L5404" s="133"/>
      <c r="M5404" s="133"/>
      <c r="N5404" s="133"/>
      <c r="O5404" s="133"/>
      <c r="P5404" s="134"/>
      <c r="Q5404" s="146"/>
      <c r="R5404" s="17"/>
      <c r="S5404" s="17"/>
      <c r="T5404" s="75"/>
      <c r="U5404" s="75"/>
      <c r="V5404" s="75"/>
      <c r="W5404" s="75"/>
      <c r="X5404" s="75"/>
    </row>
    <row r="5405">
      <c r="A5405" s="17"/>
      <c r="B5405" s="17"/>
      <c r="C5405" s="133"/>
      <c r="D5405" s="133"/>
      <c r="E5405" s="17"/>
      <c r="F5405" s="133"/>
      <c r="G5405" s="133"/>
      <c r="H5405" s="133"/>
      <c r="I5405" s="133"/>
      <c r="J5405" s="133"/>
      <c r="K5405" s="133"/>
      <c r="L5405" s="133"/>
      <c r="M5405" s="133"/>
      <c r="N5405" s="133"/>
      <c r="O5405" s="133"/>
      <c r="P5405" s="134"/>
      <c r="Q5405" s="146"/>
      <c r="R5405" s="17"/>
      <c r="S5405" s="17"/>
      <c r="T5405" s="75"/>
      <c r="U5405" s="75"/>
      <c r="V5405" s="75"/>
      <c r="W5405" s="75"/>
      <c r="X5405" s="75"/>
    </row>
    <row r="5406">
      <c r="A5406" s="17"/>
      <c r="B5406" s="17"/>
      <c r="C5406" s="133"/>
      <c r="D5406" s="133"/>
      <c r="E5406" s="17"/>
      <c r="F5406" s="133"/>
      <c r="G5406" s="133"/>
      <c r="H5406" s="133"/>
      <c r="I5406" s="133"/>
      <c r="J5406" s="133"/>
      <c r="K5406" s="133"/>
      <c r="L5406" s="133"/>
      <c r="M5406" s="133"/>
      <c r="N5406" s="133"/>
      <c r="O5406" s="133"/>
      <c r="P5406" s="134"/>
      <c r="Q5406" s="146"/>
      <c r="R5406" s="17"/>
      <c r="S5406" s="17"/>
      <c r="T5406" s="75"/>
      <c r="U5406" s="75"/>
      <c r="V5406" s="75"/>
      <c r="W5406" s="75"/>
      <c r="X5406" s="75"/>
    </row>
    <row r="5407">
      <c r="A5407" s="17"/>
      <c r="B5407" s="17"/>
      <c r="C5407" s="133"/>
      <c r="D5407" s="133"/>
      <c r="E5407" s="17"/>
      <c r="F5407" s="133"/>
      <c r="G5407" s="133"/>
      <c r="H5407" s="133"/>
      <c r="I5407" s="133"/>
      <c r="J5407" s="133"/>
      <c r="K5407" s="133"/>
      <c r="L5407" s="133"/>
      <c r="M5407" s="133"/>
      <c r="N5407" s="133"/>
      <c r="O5407" s="133"/>
      <c r="P5407" s="134"/>
      <c r="Q5407" s="146"/>
      <c r="R5407" s="17"/>
      <c r="S5407" s="17"/>
      <c r="T5407" s="75"/>
      <c r="U5407" s="75"/>
      <c r="V5407" s="75"/>
      <c r="W5407" s="75"/>
      <c r="X5407" s="75"/>
    </row>
    <row r="5408">
      <c r="A5408" s="17"/>
      <c r="B5408" s="17"/>
      <c r="C5408" s="133"/>
      <c r="D5408" s="133"/>
      <c r="E5408" s="17"/>
      <c r="F5408" s="133"/>
      <c r="G5408" s="133"/>
      <c r="H5408" s="133"/>
      <c r="I5408" s="133"/>
      <c r="J5408" s="133"/>
      <c r="K5408" s="133"/>
      <c r="L5408" s="133"/>
      <c r="M5408" s="133"/>
      <c r="N5408" s="133"/>
      <c r="O5408" s="133"/>
      <c r="P5408" s="134"/>
      <c r="Q5408" s="146"/>
      <c r="R5408" s="17"/>
      <c r="S5408" s="17"/>
      <c r="T5408" s="75"/>
      <c r="U5408" s="75"/>
      <c r="V5408" s="75"/>
      <c r="W5408" s="75"/>
      <c r="X5408" s="75"/>
    </row>
    <row r="5409">
      <c r="A5409" s="17"/>
      <c r="B5409" s="17"/>
      <c r="C5409" s="133"/>
      <c r="D5409" s="133"/>
      <c r="E5409" s="17"/>
      <c r="F5409" s="133"/>
      <c r="G5409" s="133"/>
      <c r="H5409" s="133"/>
      <c r="I5409" s="133"/>
      <c r="J5409" s="133"/>
      <c r="K5409" s="133"/>
      <c r="L5409" s="133"/>
      <c r="M5409" s="133"/>
      <c r="N5409" s="133"/>
      <c r="O5409" s="133"/>
      <c r="P5409" s="134"/>
      <c r="Q5409" s="146"/>
      <c r="R5409" s="17"/>
      <c r="S5409" s="17"/>
      <c r="T5409" s="75"/>
      <c r="U5409" s="75"/>
      <c r="V5409" s="75"/>
      <c r="W5409" s="75"/>
      <c r="X5409" s="75"/>
    </row>
    <row r="5410">
      <c r="A5410" s="17"/>
      <c r="B5410" s="17"/>
      <c r="C5410" s="133"/>
      <c r="D5410" s="133"/>
      <c r="E5410" s="17"/>
      <c r="F5410" s="133"/>
      <c r="G5410" s="133"/>
      <c r="H5410" s="133"/>
      <c r="I5410" s="133"/>
      <c r="J5410" s="133"/>
      <c r="K5410" s="133"/>
      <c r="L5410" s="133"/>
      <c r="M5410" s="133"/>
      <c r="N5410" s="133"/>
      <c r="O5410" s="133"/>
      <c r="P5410" s="134"/>
      <c r="Q5410" s="146"/>
      <c r="R5410" s="17"/>
      <c r="S5410" s="17"/>
      <c r="T5410" s="75"/>
      <c r="U5410" s="75"/>
      <c r="V5410" s="75"/>
      <c r="W5410" s="75"/>
      <c r="X5410" s="75"/>
    </row>
    <row r="5411">
      <c r="A5411" s="17"/>
      <c r="B5411" s="17"/>
      <c r="C5411" s="133"/>
      <c r="D5411" s="133"/>
      <c r="E5411" s="17"/>
      <c r="F5411" s="133"/>
      <c r="G5411" s="133"/>
      <c r="H5411" s="133"/>
      <c r="I5411" s="133"/>
      <c r="J5411" s="133"/>
      <c r="K5411" s="133"/>
      <c r="L5411" s="133"/>
      <c r="M5411" s="133"/>
      <c r="N5411" s="133"/>
      <c r="O5411" s="133"/>
      <c r="P5411" s="134"/>
      <c r="Q5411" s="146"/>
      <c r="R5411" s="17"/>
      <c r="S5411" s="17"/>
      <c r="T5411" s="75"/>
      <c r="U5411" s="75"/>
      <c r="V5411" s="75"/>
      <c r="W5411" s="75"/>
      <c r="X5411" s="75"/>
    </row>
    <row r="5412">
      <c r="A5412" s="17"/>
      <c r="B5412" s="17"/>
      <c r="C5412" s="133"/>
      <c r="D5412" s="133"/>
      <c r="E5412" s="17"/>
      <c r="F5412" s="133"/>
      <c r="G5412" s="133"/>
      <c r="H5412" s="133"/>
      <c r="I5412" s="133"/>
      <c r="J5412" s="133"/>
      <c r="K5412" s="133"/>
      <c r="L5412" s="133"/>
      <c r="M5412" s="133"/>
      <c r="N5412" s="133"/>
      <c r="O5412" s="133"/>
      <c r="P5412" s="134"/>
      <c r="Q5412" s="146"/>
      <c r="R5412" s="17"/>
      <c r="S5412" s="17"/>
      <c r="T5412" s="75"/>
      <c r="U5412" s="75"/>
      <c r="V5412" s="75"/>
      <c r="W5412" s="75"/>
      <c r="X5412" s="75"/>
    </row>
    <row r="5413">
      <c r="A5413" s="17"/>
      <c r="B5413" s="17"/>
      <c r="C5413" s="133"/>
      <c r="D5413" s="133"/>
      <c r="E5413" s="17"/>
      <c r="F5413" s="133"/>
      <c r="G5413" s="133"/>
      <c r="H5413" s="133"/>
      <c r="I5413" s="133"/>
      <c r="J5413" s="133"/>
      <c r="K5413" s="133"/>
      <c r="L5413" s="133"/>
      <c r="M5413" s="133"/>
      <c r="N5413" s="133"/>
      <c r="O5413" s="133"/>
      <c r="P5413" s="134"/>
      <c r="Q5413" s="146"/>
      <c r="R5413" s="17"/>
      <c r="S5413" s="17"/>
      <c r="T5413" s="75"/>
      <c r="U5413" s="75"/>
      <c r="V5413" s="75"/>
      <c r="W5413" s="75"/>
      <c r="X5413" s="75"/>
    </row>
    <row r="5414">
      <c r="A5414" s="17"/>
      <c r="B5414" s="17"/>
      <c r="C5414" s="133"/>
      <c r="D5414" s="133"/>
      <c r="E5414" s="17"/>
      <c r="F5414" s="133"/>
      <c r="G5414" s="133"/>
      <c r="H5414" s="133"/>
      <c r="I5414" s="133"/>
      <c r="J5414" s="133"/>
      <c r="K5414" s="133"/>
      <c r="L5414" s="133"/>
      <c r="M5414" s="133"/>
      <c r="N5414" s="133"/>
      <c r="O5414" s="133"/>
      <c r="P5414" s="134"/>
      <c r="Q5414" s="146"/>
      <c r="R5414" s="17"/>
      <c r="S5414" s="17"/>
      <c r="T5414" s="75"/>
      <c r="U5414" s="75"/>
      <c r="V5414" s="75"/>
      <c r="W5414" s="75"/>
      <c r="X5414" s="75"/>
    </row>
    <row r="5415">
      <c r="A5415" s="17"/>
      <c r="B5415" s="17"/>
      <c r="C5415" s="133"/>
      <c r="D5415" s="133"/>
      <c r="E5415" s="17"/>
      <c r="F5415" s="133"/>
      <c r="G5415" s="133"/>
      <c r="H5415" s="133"/>
      <c r="I5415" s="133"/>
      <c r="J5415" s="133"/>
      <c r="K5415" s="133"/>
      <c r="L5415" s="133"/>
      <c r="M5415" s="133"/>
      <c r="N5415" s="133"/>
      <c r="O5415" s="133"/>
      <c r="P5415" s="134"/>
      <c r="Q5415" s="146"/>
      <c r="R5415" s="17"/>
      <c r="S5415" s="17"/>
      <c r="T5415" s="75"/>
      <c r="U5415" s="75"/>
      <c r="V5415" s="75"/>
      <c r="W5415" s="75"/>
      <c r="X5415" s="75"/>
    </row>
    <row r="5416">
      <c r="A5416" s="17"/>
      <c r="B5416" s="17"/>
      <c r="C5416" s="133"/>
      <c r="D5416" s="133"/>
      <c r="E5416" s="17"/>
      <c r="F5416" s="133"/>
      <c r="G5416" s="133"/>
      <c r="H5416" s="133"/>
      <c r="I5416" s="133"/>
      <c r="J5416" s="133"/>
      <c r="K5416" s="133"/>
      <c r="L5416" s="133"/>
      <c r="M5416" s="133"/>
      <c r="N5416" s="133"/>
      <c r="O5416" s="133"/>
      <c r="P5416" s="134"/>
      <c r="Q5416" s="146"/>
      <c r="R5416" s="17"/>
      <c r="S5416" s="17"/>
      <c r="T5416" s="75"/>
      <c r="U5416" s="75"/>
      <c r="V5416" s="75"/>
      <c r="W5416" s="75"/>
      <c r="X5416" s="75"/>
    </row>
    <row r="5417">
      <c r="A5417" s="17"/>
      <c r="B5417" s="17"/>
      <c r="C5417" s="133"/>
      <c r="D5417" s="133"/>
      <c r="E5417" s="17"/>
      <c r="F5417" s="133"/>
      <c r="G5417" s="133"/>
      <c r="H5417" s="133"/>
      <c r="I5417" s="133"/>
      <c r="J5417" s="133"/>
      <c r="K5417" s="133"/>
      <c r="L5417" s="133"/>
      <c r="M5417" s="133"/>
      <c r="N5417" s="133"/>
      <c r="O5417" s="133"/>
      <c r="P5417" s="134"/>
      <c r="Q5417" s="146"/>
      <c r="R5417" s="17"/>
      <c r="S5417" s="17"/>
      <c r="T5417" s="75"/>
      <c r="U5417" s="75"/>
      <c r="V5417" s="75"/>
      <c r="W5417" s="75"/>
      <c r="X5417" s="75"/>
    </row>
    <row r="5418">
      <c r="A5418" s="17"/>
      <c r="B5418" s="17"/>
      <c r="C5418" s="133"/>
      <c r="D5418" s="133"/>
      <c r="E5418" s="17"/>
      <c r="F5418" s="133"/>
      <c r="G5418" s="133"/>
      <c r="H5418" s="133"/>
      <c r="I5418" s="133"/>
      <c r="J5418" s="133"/>
      <c r="K5418" s="133"/>
      <c r="L5418" s="133"/>
      <c r="M5418" s="133"/>
      <c r="N5418" s="133"/>
      <c r="O5418" s="133"/>
      <c r="P5418" s="134"/>
      <c r="Q5418" s="146"/>
      <c r="R5418" s="17"/>
      <c r="S5418" s="17"/>
      <c r="T5418" s="75"/>
      <c r="U5418" s="75"/>
      <c r="V5418" s="75"/>
      <c r="W5418" s="75"/>
      <c r="X5418" s="75"/>
    </row>
    <row r="5419">
      <c r="A5419" s="17"/>
      <c r="B5419" s="17"/>
      <c r="C5419" s="133"/>
      <c r="D5419" s="133"/>
      <c r="E5419" s="17"/>
      <c r="F5419" s="133"/>
      <c r="G5419" s="133"/>
      <c r="H5419" s="133"/>
      <c r="I5419" s="133"/>
      <c r="J5419" s="133"/>
      <c r="K5419" s="133"/>
      <c r="L5419" s="133"/>
      <c r="M5419" s="133"/>
      <c r="N5419" s="133"/>
      <c r="O5419" s="133"/>
      <c r="P5419" s="134"/>
      <c r="Q5419" s="146"/>
      <c r="R5419" s="17"/>
      <c r="S5419" s="17"/>
      <c r="T5419" s="75"/>
      <c r="U5419" s="75"/>
      <c r="V5419" s="75"/>
      <c r="W5419" s="75"/>
      <c r="X5419" s="75"/>
    </row>
    <row r="5420">
      <c r="A5420" s="17"/>
      <c r="B5420" s="17"/>
      <c r="C5420" s="133"/>
      <c r="D5420" s="133"/>
      <c r="E5420" s="17"/>
      <c r="F5420" s="133"/>
      <c r="G5420" s="133"/>
      <c r="H5420" s="133"/>
      <c r="I5420" s="133"/>
      <c r="J5420" s="133"/>
      <c r="K5420" s="133"/>
      <c r="L5420" s="133"/>
      <c r="M5420" s="133"/>
      <c r="N5420" s="133"/>
      <c r="O5420" s="133"/>
      <c r="P5420" s="134"/>
      <c r="Q5420" s="146"/>
      <c r="R5420" s="17"/>
      <c r="S5420" s="17"/>
      <c r="T5420" s="75"/>
      <c r="U5420" s="75"/>
      <c r="V5420" s="75"/>
      <c r="W5420" s="75"/>
      <c r="X5420" s="75"/>
    </row>
    <row r="5421">
      <c r="A5421" s="17"/>
      <c r="B5421" s="17"/>
      <c r="C5421" s="133"/>
      <c r="D5421" s="133"/>
      <c r="E5421" s="17"/>
      <c r="F5421" s="133"/>
      <c r="G5421" s="133"/>
      <c r="H5421" s="133"/>
      <c r="I5421" s="133"/>
      <c r="J5421" s="133"/>
      <c r="K5421" s="133"/>
      <c r="L5421" s="133"/>
      <c r="M5421" s="133"/>
      <c r="N5421" s="133"/>
      <c r="O5421" s="133"/>
      <c r="P5421" s="134"/>
      <c r="Q5421" s="146"/>
      <c r="R5421" s="17"/>
      <c r="S5421" s="17"/>
      <c r="T5421" s="75"/>
      <c r="U5421" s="75"/>
      <c r="V5421" s="75"/>
      <c r="W5421" s="75"/>
      <c r="X5421" s="75"/>
    </row>
    <row r="5422">
      <c r="A5422" s="17"/>
      <c r="B5422" s="17"/>
      <c r="C5422" s="133"/>
      <c r="D5422" s="133"/>
      <c r="E5422" s="17"/>
      <c r="F5422" s="133"/>
      <c r="G5422" s="133"/>
      <c r="H5422" s="133"/>
      <c r="I5422" s="133"/>
      <c r="J5422" s="133"/>
      <c r="K5422" s="133"/>
      <c r="L5422" s="133"/>
      <c r="M5422" s="133"/>
      <c r="N5422" s="133"/>
      <c r="O5422" s="133"/>
      <c r="P5422" s="134"/>
      <c r="Q5422" s="146"/>
      <c r="R5422" s="17"/>
      <c r="S5422" s="17"/>
      <c r="T5422" s="75"/>
      <c r="U5422" s="75"/>
      <c r="V5422" s="75"/>
      <c r="W5422" s="75"/>
      <c r="X5422" s="75"/>
    </row>
    <row r="5423">
      <c r="A5423" s="17"/>
      <c r="B5423" s="17"/>
      <c r="C5423" s="133"/>
      <c r="D5423" s="133"/>
      <c r="E5423" s="17"/>
      <c r="F5423" s="133"/>
      <c r="G5423" s="133"/>
      <c r="H5423" s="133"/>
      <c r="I5423" s="133"/>
      <c r="J5423" s="133"/>
      <c r="K5423" s="133"/>
      <c r="L5423" s="133"/>
      <c r="M5423" s="133"/>
      <c r="N5423" s="133"/>
      <c r="O5423" s="133"/>
      <c r="P5423" s="134"/>
      <c r="Q5423" s="146"/>
      <c r="R5423" s="17"/>
      <c r="S5423" s="17"/>
      <c r="T5423" s="75"/>
      <c r="U5423" s="75"/>
      <c r="V5423" s="75"/>
      <c r="W5423" s="75"/>
      <c r="X5423" s="75"/>
    </row>
    <row r="5424">
      <c r="A5424" s="17"/>
      <c r="B5424" s="17"/>
      <c r="C5424" s="133"/>
      <c r="D5424" s="133"/>
      <c r="E5424" s="17"/>
      <c r="F5424" s="133"/>
      <c r="G5424" s="133"/>
      <c r="H5424" s="133"/>
      <c r="I5424" s="133"/>
      <c r="J5424" s="133"/>
      <c r="K5424" s="133"/>
      <c r="L5424" s="133"/>
      <c r="M5424" s="133"/>
      <c r="N5424" s="133"/>
      <c r="O5424" s="133"/>
      <c r="P5424" s="134"/>
      <c r="Q5424" s="146"/>
      <c r="R5424" s="17"/>
      <c r="S5424" s="17"/>
      <c r="T5424" s="75"/>
      <c r="U5424" s="75"/>
      <c r="V5424" s="75"/>
      <c r="W5424" s="75"/>
      <c r="X5424" s="75"/>
    </row>
    <row r="5425">
      <c r="A5425" s="17"/>
      <c r="B5425" s="17"/>
      <c r="C5425" s="133"/>
      <c r="D5425" s="133"/>
      <c r="E5425" s="17"/>
      <c r="F5425" s="133"/>
      <c r="G5425" s="133"/>
      <c r="H5425" s="133"/>
      <c r="I5425" s="133"/>
      <c r="J5425" s="133"/>
      <c r="K5425" s="133"/>
      <c r="L5425" s="133"/>
      <c r="M5425" s="133"/>
      <c r="N5425" s="133"/>
      <c r="O5425" s="133"/>
      <c r="P5425" s="134"/>
      <c r="Q5425" s="146"/>
      <c r="R5425" s="17"/>
      <c r="S5425" s="17"/>
      <c r="T5425" s="75"/>
      <c r="U5425" s="75"/>
      <c r="V5425" s="75"/>
      <c r="W5425" s="75"/>
      <c r="X5425" s="75"/>
    </row>
    <row r="5426">
      <c r="A5426" s="17"/>
      <c r="B5426" s="17"/>
      <c r="C5426" s="133"/>
      <c r="D5426" s="133"/>
      <c r="E5426" s="17"/>
      <c r="F5426" s="133"/>
      <c r="G5426" s="133"/>
      <c r="H5426" s="133"/>
      <c r="I5426" s="133"/>
      <c r="J5426" s="133"/>
      <c r="K5426" s="133"/>
      <c r="L5426" s="133"/>
      <c r="M5426" s="133"/>
      <c r="N5426" s="133"/>
      <c r="O5426" s="133"/>
      <c r="P5426" s="134"/>
      <c r="Q5426" s="146"/>
      <c r="R5426" s="17"/>
      <c r="S5426" s="17"/>
      <c r="T5426" s="75"/>
      <c r="U5426" s="75"/>
      <c r="V5426" s="75"/>
      <c r="W5426" s="75"/>
      <c r="X5426" s="75"/>
    </row>
    <row r="5427">
      <c r="A5427" s="17"/>
      <c r="B5427" s="17"/>
      <c r="C5427" s="133"/>
      <c r="D5427" s="133"/>
      <c r="E5427" s="17"/>
      <c r="F5427" s="133"/>
      <c r="G5427" s="133"/>
      <c r="H5427" s="133"/>
      <c r="I5427" s="133"/>
      <c r="J5427" s="133"/>
      <c r="K5427" s="133"/>
      <c r="L5427" s="133"/>
      <c r="M5427" s="133"/>
      <c r="N5427" s="133"/>
      <c r="O5427" s="133"/>
      <c r="P5427" s="134"/>
      <c r="Q5427" s="146"/>
      <c r="R5427" s="17"/>
      <c r="S5427" s="17"/>
      <c r="T5427" s="75"/>
      <c r="U5427" s="75"/>
      <c r="V5427" s="75"/>
      <c r="W5427" s="75"/>
      <c r="X5427" s="75"/>
    </row>
    <row r="5428">
      <c r="A5428" s="17"/>
      <c r="B5428" s="17"/>
      <c r="C5428" s="133"/>
      <c r="D5428" s="133"/>
      <c r="E5428" s="17"/>
      <c r="F5428" s="133"/>
      <c r="G5428" s="133"/>
      <c r="H5428" s="133"/>
      <c r="I5428" s="133"/>
      <c r="J5428" s="133"/>
      <c r="K5428" s="133"/>
      <c r="L5428" s="133"/>
      <c r="M5428" s="133"/>
      <c r="N5428" s="133"/>
      <c r="O5428" s="133"/>
      <c r="P5428" s="134"/>
      <c r="Q5428" s="146"/>
      <c r="R5428" s="17"/>
      <c r="S5428" s="17"/>
      <c r="T5428" s="75"/>
      <c r="U5428" s="75"/>
      <c r="V5428" s="75"/>
      <c r="W5428" s="75"/>
      <c r="X5428" s="75"/>
    </row>
    <row r="5429">
      <c r="A5429" s="17"/>
      <c r="B5429" s="17"/>
      <c r="C5429" s="133"/>
      <c r="D5429" s="133"/>
      <c r="E5429" s="17"/>
      <c r="F5429" s="133"/>
      <c r="G5429" s="133"/>
      <c r="H5429" s="133"/>
      <c r="I5429" s="133"/>
      <c r="J5429" s="133"/>
      <c r="K5429" s="133"/>
      <c r="L5429" s="133"/>
      <c r="M5429" s="133"/>
      <c r="N5429" s="133"/>
      <c r="O5429" s="133"/>
      <c r="P5429" s="134"/>
      <c r="Q5429" s="146"/>
      <c r="R5429" s="17"/>
      <c r="S5429" s="17"/>
      <c r="T5429" s="75"/>
      <c r="U5429" s="75"/>
      <c r="V5429" s="75"/>
      <c r="W5429" s="75"/>
      <c r="X5429" s="75"/>
    </row>
    <row r="5430">
      <c r="A5430" s="17"/>
      <c r="B5430" s="17"/>
      <c r="C5430" s="133"/>
      <c r="D5430" s="133"/>
      <c r="E5430" s="17"/>
      <c r="F5430" s="133"/>
      <c r="G5430" s="133"/>
      <c r="H5430" s="133"/>
      <c r="I5430" s="133"/>
      <c r="J5430" s="133"/>
      <c r="K5430" s="133"/>
      <c r="L5430" s="133"/>
      <c r="M5430" s="133"/>
      <c r="N5430" s="133"/>
      <c r="O5430" s="133"/>
      <c r="P5430" s="134"/>
      <c r="Q5430" s="146"/>
      <c r="R5430" s="17"/>
      <c r="S5430" s="17"/>
      <c r="T5430" s="75"/>
      <c r="U5430" s="75"/>
      <c r="V5430" s="75"/>
      <c r="W5430" s="75"/>
      <c r="X5430" s="75"/>
    </row>
    <row r="5431">
      <c r="A5431" s="17"/>
      <c r="B5431" s="17"/>
      <c r="C5431" s="133"/>
      <c r="D5431" s="133"/>
      <c r="E5431" s="17"/>
      <c r="F5431" s="133"/>
      <c r="G5431" s="133"/>
      <c r="H5431" s="133"/>
      <c r="I5431" s="133"/>
      <c r="J5431" s="133"/>
      <c r="K5431" s="133"/>
      <c r="L5431" s="133"/>
      <c r="M5431" s="133"/>
      <c r="N5431" s="133"/>
      <c r="O5431" s="133"/>
      <c r="P5431" s="134"/>
      <c r="Q5431" s="146"/>
      <c r="R5431" s="17"/>
      <c r="S5431" s="17"/>
      <c r="T5431" s="75"/>
      <c r="U5431" s="75"/>
      <c r="V5431" s="75"/>
      <c r="W5431" s="75"/>
      <c r="X5431" s="75"/>
    </row>
    <row r="5432">
      <c r="A5432" s="17"/>
      <c r="B5432" s="17"/>
      <c r="C5432" s="133"/>
      <c r="D5432" s="133"/>
      <c r="E5432" s="17"/>
      <c r="F5432" s="133"/>
      <c r="G5432" s="133"/>
      <c r="H5432" s="133"/>
      <c r="I5432" s="133"/>
      <c r="J5432" s="133"/>
      <c r="K5432" s="133"/>
      <c r="L5432" s="133"/>
      <c r="M5432" s="133"/>
      <c r="N5432" s="133"/>
      <c r="O5432" s="133"/>
      <c r="P5432" s="134"/>
      <c r="Q5432" s="146"/>
      <c r="R5432" s="17"/>
      <c r="S5432" s="17"/>
      <c r="T5432" s="75"/>
      <c r="U5432" s="75"/>
      <c r="V5432" s="75"/>
      <c r="W5432" s="75"/>
      <c r="X5432" s="75"/>
    </row>
    <row r="5433">
      <c r="A5433" s="17"/>
      <c r="B5433" s="17"/>
      <c r="C5433" s="133"/>
      <c r="D5433" s="133"/>
      <c r="E5433" s="17"/>
      <c r="F5433" s="133"/>
      <c r="G5433" s="133"/>
      <c r="H5433" s="133"/>
      <c r="I5433" s="133"/>
      <c r="J5433" s="133"/>
      <c r="K5433" s="133"/>
      <c r="L5433" s="133"/>
      <c r="M5433" s="133"/>
      <c r="N5433" s="133"/>
      <c r="O5433" s="133"/>
      <c r="P5433" s="134"/>
      <c r="Q5433" s="146"/>
      <c r="R5433" s="17"/>
      <c r="S5433" s="17"/>
      <c r="T5433" s="75"/>
      <c r="U5433" s="75"/>
      <c r="V5433" s="75"/>
      <c r="W5433" s="75"/>
      <c r="X5433" s="75"/>
    </row>
    <row r="5434">
      <c r="A5434" s="17"/>
      <c r="B5434" s="17"/>
      <c r="C5434" s="133"/>
      <c r="D5434" s="133"/>
      <c r="E5434" s="17"/>
      <c r="F5434" s="133"/>
      <c r="G5434" s="133"/>
      <c r="H5434" s="133"/>
      <c r="I5434" s="133"/>
      <c r="J5434" s="133"/>
      <c r="K5434" s="133"/>
      <c r="L5434" s="133"/>
      <c r="M5434" s="133"/>
      <c r="N5434" s="133"/>
      <c r="O5434" s="133"/>
      <c r="P5434" s="134"/>
      <c r="Q5434" s="146"/>
      <c r="R5434" s="17"/>
      <c r="S5434" s="17"/>
      <c r="T5434" s="75"/>
      <c r="U5434" s="75"/>
      <c r="V5434" s="75"/>
      <c r="W5434" s="75"/>
      <c r="X5434" s="75"/>
    </row>
    <row r="5435">
      <c r="A5435" s="17"/>
      <c r="B5435" s="17"/>
      <c r="C5435" s="133"/>
      <c r="D5435" s="133"/>
      <c r="E5435" s="17"/>
      <c r="F5435" s="133"/>
      <c r="G5435" s="133"/>
      <c r="H5435" s="133"/>
      <c r="I5435" s="133"/>
      <c r="J5435" s="133"/>
      <c r="K5435" s="133"/>
      <c r="L5435" s="133"/>
      <c r="M5435" s="133"/>
      <c r="N5435" s="133"/>
      <c r="O5435" s="133"/>
      <c r="P5435" s="134"/>
      <c r="Q5435" s="146"/>
      <c r="R5435" s="17"/>
      <c r="S5435" s="17"/>
      <c r="T5435" s="75"/>
      <c r="U5435" s="75"/>
      <c r="V5435" s="75"/>
      <c r="W5435" s="75"/>
      <c r="X5435" s="75"/>
    </row>
    <row r="5436">
      <c r="A5436" s="17"/>
      <c r="B5436" s="17"/>
      <c r="C5436" s="133"/>
      <c r="D5436" s="133"/>
      <c r="E5436" s="17"/>
      <c r="F5436" s="133"/>
      <c r="G5436" s="133"/>
      <c r="H5436" s="133"/>
      <c r="I5436" s="133"/>
      <c r="J5436" s="133"/>
      <c r="K5436" s="133"/>
      <c r="L5436" s="133"/>
      <c r="M5436" s="133"/>
      <c r="N5436" s="133"/>
      <c r="O5436" s="133"/>
      <c r="P5436" s="134"/>
      <c r="Q5436" s="146"/>
      <c r="R5436" s="17"/>
      <c r="S5436" s="17"/>
      <c r="T5436" s="75"/>
      <c r="U5436" s="75"/>
      <c r="V5436" s="75"/>
      <c r="W5436" s="75"/>
      <c r="X5436" s="75"/>
    </row>
    <row r="5437">
      <c r="A5437" s="17"/>
      <c r="B5437" s="17"/>
      <c r="C5437" s="133"/>
      <c r="D5437" s="133"/>
      <c r="E5437" s="17"/>
      <c r="F5437" s="133"/>
      <c r="G5437" s="133"/>
      <c r="H5437" s="133"/>
      <c r="I5437" s="133"/>
      <c r="J5437" s="133"/>
      <c r="K5437" s="133"/>
      <c r="L5437" s="133"/>
      <c r="M5437" s="133"/>
      <c r="N5437" s="133"/>
      <c r="O5437" s="133"/>
      <c r="P5437" s="134"/>
      <c r="Q5437" s="146"/>
      <c r="R5437" s="17"/>
      <c r="S5437" s="17"/>
      <c r="T5437" s="75"/>
      <c r="U5437" s="75"/>
      <c r="V5437" s="75"/>
      <c r="W5437" s="75"/>
      <c r="X5437" s="75"/>
    </row>
    <row r="5438">
      <c r="A5438" s="17"/>
      <c r="B5438" s="17"/>
      <c r="C5438" s="133"/>
      <c r="D5438" s="133"/>
      <c r="E5438" s="17"/>
      <c r="F5438" s="133"/>
      <c r="G5438" s="133"/>
      <c r="H5438" s="133"/>
      <c r="I5438" s="133"/>
      <c r="J5438" s="133"/>
      <c r="K5438" s="133"/>
      <c r="L5438" s="133"/>
      <c r="M5438" s="133"/>
      <c r="N5438" s="133"/>
      <c r="O5438" s="133"/>
      <c r="P5438" s="134"/>
      <c r="Q5438" s="146"/>
      <c r="R5438" s="17"/>
      <c r="S5438" s="17"/>
      <c r="T5438" s="75"/>
      <c r="U5438" s="75"/>
      <c r="V5438" s="75"/>
      <c r="W5438" s="75"/>
      <c r="X5438" s="75"/>
    </row>
    <row r="5439">
      <c r="A5439" s="17"/>
      <c r="B5439" s="17"/>
      <c r="C5439" s="133"/>
      <c r="D5439" s="133"/>
      <c r="E5439" s="17"/>
      <c r="F5439" s="133"/>
      <c r="G5439" s="133"/>
      <c r="H5439" s="133"/>
      <c r="I5439" s="133"/>
      <c r="J5439" s="133"/>
      <c r="K5439" s="133"/>
      <c r="L5439" s="133"/>
      <c r="M5439" s="133"/>
      <c r="N5439" s="133"/>
      <c r="O5439" s="133"/>
      <c r="P5439" s="134"/>
      <c r="Q5439" s="146"/>
      <c r="R5439" s="17"/>
      <c r="S5439" s="17"/>
      <c r="T5439" s="75"/>
      <c r="U5439" s="75"/>
      <c r="V5439" s="75"/>
      <c r="W5439" s="75"/>
      <c r="X5439" s="75"/>
    </row>
    <row r="5440">
      <c r="A5440" s="17"/>
      <c r="B5440" s="17"/>
      <c r="C5440" s="133"/>
      <c r="D5440" s="133"/>
      <c r="E5440" s="17"/>
      <c r="F5440" s="133"/>
      <c r="G5440" s="133"/>
      <c r="H5440" s="133"/>
      <c r="I5440" s="133"/>
      <c r="J5440" s="133"/>
      <c r="K5440" s="133"/>
      <c r="L5440" s="133"/>
      <c r="M5440" s="133"/>
      <c r="N5440" s="133"/>
      <c r="O5440" s="133"/>
      <c r="P5440" s="134"/>
      <c r="Q5440" s="146"/>
      <c r="R5440" s="17"/>
      <c r="S5440" s="17"/>
      <c r="T5440" s="75"/>
      <c r="U5440" s="75"/>
      <c r="V5440" s="75"/>
      <c r="W5440" s="75"/>
      <c r="X5440" s="75"/>
    </row>
    <row r="5441">
      <c r="A5441" s="17"/>
      <c r="B5441" s="17"/>
      <c r="C5441" s="133"/>
      <c r="D5441" s="133"/>
      <c r="E5441" s="17"/>
      <c r="F5441" s="133"/>
      <c r="G5441" s="133"/>
      <c r="H5441" s="133"/>
      <c r="I5441" s="133"/>
      <c r="J5441" s="133"/>
      <c r="K5441" s="133"/>
      <c r="L5441" s="133"/>
      <c r="M5441" s="133"/>
      <c r="N5441" s="133"/>
      <c r="O5441" s="133"/>
      <c r="P5441" s="134"/>
      <c r="Q5441" s="146"/>
      <c r="R5441" s="17"/>
      <c r="S5441" s="17"/>
      <c r="T5441" s="75"/>
      <c r="U5441" s="75"/>
      <c r="V5441" s="75"/>
      <c r="W5441" s="75"/>
      <c r="X5441" s="75"/>
    </row>
    <row r="5442">
      <c r="A5442" s="17"/>
      <c r="B5442" s="17"/>
      <c r="C5442" s="133"/>
      <c r="D5442" s="133"/>
      <c r="E5442" s="17"/>
      <c r="F5442" s="133"/>
      <c r="G5442" s="133"/>
      <c r="H5442" s="133"/>
      <c r="I5442" s="133"/>
      <c r="J5442" s="133"/>
      <c r="K5442" s="133"/>
      <c r="L5442" s="133"/>
      <c r="M5442" s="133"/>
      <c r="N5442" s="133"/>
      <c r="O5442" s="133"/>
      <c r="P5442" s="134"/>
      <c r="Q5442" s="146"/>
      <c r="R5442" s="17"/>
      <c r="S5442" s="17"/>
      <c r="T5442" s="75"/>
      <c r="U5442" s="75"/>
      <c r="V5442" s="75"/>
      <c r="W5442" s="75"/>
      <c r="X5442" s="75"/>
    </row>
    <row r="5443">
      <c r="A5443" s="17"/>
      <c r="B5443" s="17"/>
      <c r="C5443" s="133"/>
      <c r="D5443" s="133"/>
      <c r="E5443" s="17"/>
      <c r="F5443" s="133"/>
      <c r="G5443" s="133"/>
      <c r="H5443" s="133"/>
      <c r="I5443" s="133"/>
      <c r="J5443" s="133"/>
      <c r="K5443" s="133"/>
      <c r="L5443" s="133"/>
      <c r="M5443" s="133"/>
      <c r="N5443" s="133"/>
      <c r="O5443" s="133"/>
      <c r="P5443" s="134"/>
      <c r="Q5443" s="146"/>
      <c r="R5443" s="17"/>
      <c r="S5443" s="17"/>
      <c r="T5443" s="75"/>
      <c r="U5443" s="75"/>
      <c r="V5443" s="75"/>
      <c r="W5443" s="75"/>
      <c r="X5443" s="75"/>
    </row>
    <row r="5444">
      <c r="A5444" s="17"/>
      <c r="B5444" s="17"/>
      <c r="C5444" s="133"/>
      <c r="D5444" s="133"/>
      <c r="E5444" s="17"/>
      <c r="F5444" s="133"/>
      <c r="G5444" s="133"/>
      <c r="H5444" s="133"/>
      <c r="I5444" s="133"/>
      <c r="J5444" s="133"/>
      <c r="K5444" s="133"/>
      <c r="L5444" s="133"/>
      <c r="M5444" s="133"/>
      <c r="N5444" s="133"/>
      <c r="O5444" s="133"/>
      <c r="P5444" s="134"/>
      <c r="Q5444" s="146"/>
      <c r="R5444" s="17"/>
      <c r="S5444" s="17"/>
      <c r="T5444" s="75"/>
      <c r="U5444" s="75"/>
      <c r="V5444" s="75"/>
      <c r="W5444" s="75"/>
      <c r="X5444" s="75"/>
    </row>
    <row r="5445">
      <c r="A5445" s="17"/>
      <c r="B5445" s="17"/>
      <c r="C5445" s="133"/>
      <c r="D5445" s="133"/>
      <c r="E5445" s="17"/>
      <c r="F5445" s="133"/>
      <c r="G5445" s="133"/>
      <c r="H5445" s="133"/>
      <c r="I5445" s="133"/>
      <c r="J5445" s="133"/>
      <c r="K5445" s="133"/>
      <c r="L5445" s="133"/>
      <c r="M5445" s="133"/>
      <c r="N5445" s="133"/>
      <c r="O5445" s="133"/>
      <c r="P5445" s="134"/>
      <c r="Q5445" s="146"/>
      <c r="R5445" s="17"/>
      <c r="S5445" s="17"/>
      <c r="T5445" s="75"/>
      <c r="U5445" s="75"/>
      <c r="V5445" s="75"/>
      <c r="W5445" s="75"/>
      <c r="X5445" s="75"/>
    </row>
    <row r="5446">
      <c r="A5446" s="17"/>
      <c r="B5446" s="17"/>
      <c r="C5446" s="133"/>
      <c r="D5446" s="133"/>
      <c r="E5446" s="17"/>
      <c r="F5446" s="133"/>
      <c r="G5446" s="133"/>
      <c r="H5446" s="133"/>
      <c r="I5446" s="133"/>
      <c r="J5446" s="133"/>
      <c r="K5446" s="133"/>
      <c r="L5446" s="133"/>
      <c r="M5446" s="133"/>
      <c r="N5446" s="133"/>
      <c r="O5446" s="133"/>
      <c r="P5446" s="134"/>
      <c r="Q5446" s="146"/>
      <c r="R5446" s="17"/>
      <c r="S5446" s="17"/>
      <c r="T5446" s="75"/>
      <c r="U5446" s="75"/>
      <c r="V5446" s="75"/>
      <c r="W5446" s="75"/>
      <c r="X5446" s="75"/>
    </row>
    <row r="5447">
      <c r="A5447" s="17"/>
      <c r="B5447" s="17"/>
      <c r="C5447" s="133"/>
      <c r="D5447" s="133"/>
      <c r="E5447" s="17"/>
      <c r="F5447" s="133"/>
      <c r="G5447" s="133"/>
      <c r="H5447" s="133"/>
      <c r="I5447" s="133"/>
      <c r="J5447" s="133"/>
      <c r="K5447" s="133"/>
      <c r="L5447" s="133"/>
      <c r="M5447" s="133"/>
      <c r="N5447" s="133"/>
      <c r="O5447" s="133"/>
      <c r="P5447" s="134"/>
      <c r="Q5447" s="146"/>
      <c r="R5447" s="17"/>
      <c r="S5447" s="17"/>
      <c r="T5447" s="75"/>
      <c r="U5447" s="75"/>
      <c r="V5447" s="75"/>
      <c r="W5447" s="75"/>
      <c r="X5447" s="75"/>
    </row>
    <row r="5448">
      <c r="A5448" s="17"/>
      <c r="B5448" s="17"/>
      <c r="C5448" s="133"/>
      <c r="D5448" s="133"/>
      <c r="E5448" s="17"/>
      <c r="F5448" s="133"/>
      <c r="G5448" s="133"/>
      <c r="H5448" s="133"/>
      <c r="I5448" s="133"/>
      <c r="J5448" s="133"/>
      <c r="K5448" s="133"/>
      <c r="L5448" s="133"/>
      <c r="M5448" s="133"/>
      <c r="N5448" s="133"/>
      <c r="O5448" s="133"/>
      <c r="P5448" s="134"/>
      <c r="Q5448" s="146"/>
      <c r="R5448" s="17"/>
      <c r="S5448" s="17"/>
      <c r="T5448" s="75"/>
      <c r="U5448" s="75"/>
      <c r="V5448" s="75"/>
      <c r="W5448" s="75"/>
      <c r="X5448" s="75"/>
    </row>
    <row r="5449">
      <c r="A5449" s="17"/>
      <c r="B5449" s="17"/>
      <c r="C5449" s="133"/>
      <c r="D5449" s="133"/>
      <c r="E5449" s="17"/>
      <c r="F5449" s="133"/>
      <c r="G5449" s="133"/>
      <c r="H5449" s="133"/>
      <c r="I5449" s="133"/>
      <c r="J5449" s="133"/>
      <c r="K5449" s="133"/>
      <c r="L5449" s="133"/>
      <c r="M5449" s="133"/>
      <c r="N5449" s="133"/>
      <c r="O5449" s="133"/>
      <c r="P5449" s="134"/>
      <c r="Q5449" s="146"/>
      <c r="R5449" s="17"/>
      <c r="S5449" s="17"/>
      <c r="T5449" s="75"/>
      <c r="U5449" s="75"/>
      <c r="V5449" s="75"/>
      <c r="W5449" s="75"/>
      <c r="X5449" s="75"/>
    </row>
    <row r="5450">
      <c r="A5450" s="17"/>
      <c r="B5450" s="17"/>
      <c r="C5450" s="133"/>
      <c r="D5450" s="133"/>
      <c r="E5450" s="17"/>
      <c r="F5450" s="133"/>
      <c r="G5450" s="133"/>
      <c r="H5450" s="133"/>
      <c r="I5450" s="133"/>
      <c r="J5450" s="133"/>
      <c r="K5450" s="133"/>
      <c r="L5450" s="133"/>
      <c r="M5450" s="133"/>
      <c r="N5450" s="133"/>
      <c r="O5450" s="133"/>
      <c r="P5450" s="134"/>
      <c r="Q5450" s="146"/>
      <c r="R5450" s="17"/>
      <c r="S5450" s="17"/>
      <c r="T5450" s="75"/>
      <c r="U5450" s="75"/>
      <c r="V5450" s="75"/>
      <c r="W5450" s="75"/>
      <c r="X5450" s="75"/>
    </row>
    <row r="5451">
      <c r="A5451" s="17"/>
      <c r="B5451" s="17"/>
      <c r="C5451" s="133"/>
      <c r="D5451" s="133"/>
      <c r="E5451" s="17"/>
      <c r="F5451" s="133"/>
      <c r="G5451" s="133"/>
      <c r="H5451" s="133"/>
      <c r="I5451" s="133"/>
      <c r="J5451" s="133"/>
      <c r="K5451" s="133"/>
      <c r="L5451" s="133"/>
      <c r="M5451" s="133"/>
      <c r="N5451" s="133"/>
      <c r="O5451" s="133"/>
      <c r="P5451" s="134"/>
      <c r="Q5451" s="146"/>
      <c r="R5451" s="17"/>
      <c r="S5451" s="17"/>
      <c r="T5451" s="75"/>
      <c r="U5451" s="75"/>
      <c r="V5451" s="75"/>
      <c r="W5451" s="75"/>
      <c r="X5451" s="75"/>
    </row>
    <row r="5452">
      <c r="A5452" s="17"/>
      <c r="B5452" s="17"/>
      <c r="C5452" s="133"/>
      <c r="D5452" s="133"/>
      <c r="E5452" s="17"/>
      <c r="F5452" s="133"/>
      <c r="G5452" s="133"/>
      <c r="H5452" s="133"/>
      <c r="I5452" s="133"/>
      <c r="J5452" s="133"/>
      <c r="K5452" s="133"/>
      <c r="L5452" s="133"/>
      <c r="M5452" s="133"/>
      <c r="N5452" s="133"/>
      <c r="O5452" s="133"/>
      <c r="P5452" s="134"/>
      <c r="Q5452" s="146"/>
      <c r="R5452" s="17"/>
      <c r="S5452" s="17"/>
      <c r="T5452" s="75"/>
      <c r="U5452" s="75"/>
      <c r="V5452" s="75"/>
      <c r="W5452" s="75"/>
      <c r="X5452" s="75"/>
    </row>
    <row r="5453">
      <c r="A5453" s="17"/>
      <c r="B5453" s="17"/>
      <c r="C5453" s="133"/>
      <c r="D5453" s="133"/>
      <c r="E5453" s="17"/>
      <c r="F5453" s="133"/>
      <c r="G5453" s="133"/>
      <c r="H5453" s="133"/>
      <c r="I5453" s="133"/>
      <c r="J5453" s="133"/>
      <c r="K5453" s="133"/>
      <c r="L5453" s="133"/>
      <c r="M5453" s="133"/>
      <c r="N5453" s="133"/>
      <c r="O5453" s="133"/>
      <c r="P5453" s="134"/>
      <c r="Q5453" s="146"/>
      <c r="R5453" s="17"/>
      <c r="S5453" s="17"/>
      <c r="T5453" s="75"/>
      <c r="U5453" s="75"/>
      <c r="V5453" s="75"/>
      <c r="W5453" s="75"/>
      <c r="X5453" s="75"/>
    </row>
    <row r="5454">
      <c r="A5454" s="17"/>
      <c r="B5454" s="17"/>
      <c r="C5454" s="133"/>
      <c r="D5454" s="133"/>
      <c r="E5454" s="17"/>
      <c r="F5454" s="133"/>
      <c r="G5454" s="133"/>
      <c r="H5454" s="133"/>
      <c r="I5454" s="133"/>
      <c r="J5454" s="133"/>
      <c r="K5454" s="133"/>
      <c r="L5454" s="133"/>
      <c r="M5454" s="133"/>
      <c r="N5454" s="133"/>
      <c r="O5454" s="133"/>
      <c r="P5454" s="134"/>
      <c r="Q5454" s="146"/>
      <c r="R5454" s="17"/>
      <c r="S5454" s="17"/>
      <c r="T5454" s="75"/>
      <c r="U5454" s="75"/>
      <c r="V5454" s="75"/>
      <c r="W5454" s="75"/>
      <c r="X5454" s="75"/>
    </row>
    <row r="5455">
      <c r="A5455" s="17"/>
      <c r="B5455" s="17"/>
      <c r="C5455" s="133"/>
      <c r="D5455" s="133"/>
      <c r="E5455" s="17"/>
      <c r="F5455" s="133"/>
      <c r="G5455" s="133"/>
      <c r="H5455" s="133"/>
      <c r="I5455" s="133"/>
      <c r="J5455" s="133"/>
      <c r="K5455" s="133"/>
      <c r="L5455" s="133"/>
      <c r="M5455" s="133"/>
      <c r="N5455" s="133"/>
      <c r="O5455" s="133"/>
      <c r="P5455" s="134"/>
      <c r="Q5455" s="146"/>
      <c r="R5455" s="17"/>
      <c r="S5455" s="17"/>
      <c r="T5455" s="75"/>
      <c r="U5455" s="75"/>
      <c r="V5455" s="75"/>
      <c r="W5455" s="75"/>
      <c r="X5455" s="75"/>
    </row>
    <row r="5456">
      <c r="A5456" s="17"/>
      <c r="B5456" s="17"/>
      <c r="C5456" s="133"/>
      <c r="D5456" s="133"/>
      <c r="E5456" s="17"/>
      <c r="F5456" s="133"/>
      <c r="G5456" s="133"/>
      <c r="H5456" s="133"/>
      <c r="I5456" s="133"/>
      <c r="J5456" s="133"/>
      <c r="K5456" s="133"/>
      <c r="L5456" s="133"/>
      <c r="M5456" s="133"/>
      <c r="N5456" s="133"/>
      <c r="O5456" s="133"/>
      <c r="P5456" s="134"/>
      <c r="Q5456" s="146"/>
      <c r="R5456" s="17"/>
      <c r="S5456" s="17"/>
      <c r="T5456" s="75"/>
      <c r="U5456" s="75"/>
      <c r="V5456" s="75"/>
      <c r="W5456" s="75"/>
      <c r="X5456" s="75"/>
    </row>
    <row r="5457">
      <c r="A5457" s="17"/>
      <c r="B5457" s="17"/>
      <c r="C5457" s="133"/>
      <c r="D5457" s="133"/>
      <c r="E5457" s="17"/>
      <c r="F5457" s="133"/>
      <c r="G5457" s="133"/>
      <c r="H5457" s="133"/>
      <c r="I5457" s="133"/>
      <c r="J5457" s="133"/>
      <c r="K5457" s="133"/>
      <c r="L5457" s="133"/>
      <c r="M5457" s="133"/>
      <c r="N5457" s="133"/>
      <c r="O5457" s="133"/>
      <c r="P5457" s="134"/>
      <c r="Q5457" s="146"/>
      <c r="R5457" s="17"/>
      <c r="S5457" s="17"/>
      <c r="T5457" s="75"/>
      <c r="U5457" s="75"/>
      <c r="V5457" s="75"/>
      <c r="W5457" s="75"/>
      <c r="X5457" s="75"/>
    </row>
    <row r="5458">
      <c r="A5458" s="17"/>
      <c r="B5458" s="17"/>
      <c r="C5458" s="133"/>
      <c r="D5458" s="133"/>
      <c r="E5458" s="17"/>
      <c r="F5458" s="133"/>
      <c r="G5458" s="133"/>
      <c r="H5458" s="133"/>
      <c r="I5458" s="133"/>
      <c r="J5458" s="133"/>
      <c r="K5458" s="133"/>
      <c r="L5458" s="133"/>
      <c r="M5458" s="133"/>
      <c r="N5458" s="133"/>
      <c r="O5458" s="133"/>
      <c r="P5458" s="134"/>
      <c r="Q5458" s="146"/>
      <c r="R5458" s="17"/>
      <c r="S5458" s="17"/>
      <c r="T5458" s="75"/>
      <c r="U5458" s="75"/>
      <c r="V5458" s="75"/>
      <c r="W5458" s="75"/>
      <c r="X5458" s="75"/>
    </row>
    <row r="5459">
      <c r="A5459" s="17"/>
      <c r="B5459" s="17"/>
      <c r="C5459" s="133"/>
      <c r="D5459" s="133"/>
      <c r="E5459" s="17"/>
      <c r="F5459" s="133"/>
      <c r="G5459" s="133"/>
      <c r="H5459" s="133"/>
      <c r="I5459" s="133"/>
      <c r="J5459" s="133"/>
      <c r="K5459" s="133"/>
      <c r="L5459" s="133"/>
      <c r="M5459" s="133"/>
      <c r="N5459" s="133"/>
      <c r="O5459" s="133"/>
      <c r="P5459" s="134"/>
      <c r="Q5459" s="146"/>
      <c r="R5459" s="17"/>
      <c r="S5459" s="17"/>
      <c r="T5459" s="75"/>
      <c r="U5459" s="75"/>
      <c r="V5459" s="75"/>
      <c r="W5459" s="75"/>
      <c r="X5459" s="75"/>
    </row>
    <row r="5460">
      <c r="A5460" s="17"/>
      <c r="B5460" s="17"/>
      <c r="C5460" s="133"/>
      <c r="D5460" s="133"/>
      <c r="E5460" s="17"/>
      <c r="F5460" s="133"/>
      <c r="G5460" s="133"/>
      <c r="H5460" s="133"/>
      <c r="I5460" s="133"/>
      <c r="J5460" s="133"/>
      <c r="K5460" s="133"/>
      <c r="L5460" s="133"/>
      <c r="M5460" s="133"/>
      <c r="N5460" s="133"/>
      <c r="O5460" s="133"/>
      <c r="P5460" s="134"/>
      <c r="Q5460" s="146"/>
      <c r="R5460" s="17"/>
      <c r="S5460" s="17"/>
      <c r="T5460" s="75"/>
      <c r="U5460" s="75"/>
      <c r="V5460" s="75"/>
      <c r="W5460" s="75"/>
      <c r="X5460" s="75"/>
    </row>
    <row r="5461">
      <c r="A5461" s="17"/>
      <c r="B5461" s="17"/>
      <c r="C5461" s="133"/>
      <c r="D5461" s="133"/>
      <c r="E5461" s="17"/>
      <c r="F5461" s="133"/>
      <c r="G5461" s="133"/>
      <c r="H5461" s="133"/>
      <c r="I5461" s="133"/>
      <c r="J5461" s="133"/>
      <c r="K5461" s="133"/>
      <c r="L5461" s="133"/>
      <c r="M5461" s="133"/>
      <c r="N5461" s="133"/>
      <c r="O5461" s="133"/>
      <c r="P5461" s="134"/>
      <c r="Q5461" s="146"/>
      <c r="R5461" s="17"/>
      <c r="S5461" s="17"/>
      <c r="T5461" s="75"/>
      <c r="U5461" s="75"/>
      <c r="V5461" s="75"/>
      <c r="W5461" s="75"/>
      <c r="X5461" s="75"/>
    </row>
    <row r="5462">
      <c r="A5462" s="17"/>
      <c r="B5462" s="17"/>
      <c r="C5462" s="133"/>
      <c r="D5462" s="133"/>
      <c r="E5462" s="17"/>
      <c r="F5462" s="133"/>
      <c r="G5462" s="133"/>
      <c r="H5462" s="133"/>
      <c r="I5462" s="133"/>
      <c r="J5462" s="133"/>
      <c r="K5462" s="133"/>
      <c r="L5462" s="133"/>
      <c r="M5462" s="133"/>
      <c r="N5462" s="133"/>
      <c r="O5462" s="133"/>
      <c r="P5462" s="134"/>
      <c r="Q5462" s="146"/>
      <c r="R5462" s="17"/>
      <c r="S5462" s="17"/>
      <c r="T5462" s="75"/>
      <c r="U5462" s="75"/>
      <c r="V5462" s="75"/>
      <c r="W5462" s="75"/>
      <c r="X5462" s="75"/>
    </row>
    <row r="5463">
      <c r="A5463" s="17"/>
      <c r="B5463" s="17"/>
      <c r="C5463" s="133"/>
      <c r="D5463" s="133"/>
      <c r="E5463" s="17"/>
      <c r="F5463" s="133"/>
      <c r="G5463" s="133"/>
      <c r="H5463" s="133"/>
      <c r="I5463" s="133"/>
      <c r="J5463" s="133"/>
      <c r="K5463" s="133"/>
      <c r="L5463" s="133"/>
      <c r="M5463" s="133"/>
      <c r="N5463" s="133"/>
      <c r="O5463" s="133"/>
      <c r="P5463" s="134"/>
      <c r="Q5463" s="146"/>
      <c r="R5463" s="17"/>
      <c r="S5463" s="17"/>
      <c r="T5463" s="75"/>
      <c r="U5463" s="75"/>
      <c r="V5463" s="75"/>
      <c r="W5463" s="75"/>
      <c r="X5463" s="75"/>
    </row>
    <row r="5464">
      <c r="A5464" s="17"/>
      <c r="B5464" s="17"/>
      <c r="C5464" s="133"/>
      <c r="D5464" s="133"/>
      <c r="E5464" s="17"/>
      <c r="F5464" s="133"/>
      <c r="G5464" s="133"/>
      <c r="H5464" s="133"/>
      <c r="I5464" s="133"/>
      <c r="J5464" s="133"/>
      <c r="K5464" s="133"/>
      <c r="L5464" s="133"/>
      <c r="M5464" s="133"/>
      <c r="N5464" s="133"/>
      <c r="O5464" s="133"/>
      <c r="P5464" s="134"/>
      <c r="Q5464" s="146"/>
      <c r="R5464" s="17"/>
      <c r="S5464" s="17"/>
      <c r="T5464" s="75"/>
      <c r="U5464" s="75"/>
      <c r="V5464" s="75"/>
      <c r="W5464" s="75"/>
      <c r="X5464" s="75"/>
    </row>
    <row r="5465">
      <c r="A5465" s="17"/>
      <c r="B5465" s="17"/>
      <c r="C5465" s="133"/>
      <c r="D5465" s="133"/>
      <c r="E5465" s="17"/>
      <c r="F5465" s="133"/>
      <c r="G5465" s="133"/>
      <c r="H5465" s="133"/>
      <c r="I5465" s="133"/>
      <c r="J5465" s="133"/>
      <c r="K5465" s="133"/>
      <c r="L5465" s="133"/>
      <c r="M5465" s="133"/>
      <c r="N5465" s="133"/>
      <c r="O5465" s="133"/>
      <c r="P5465" s="134"/>
      <c r="Q5465" s="146"/>
      <c r="R5465" s="17"/>
      <c r="S5465" s="17"/>
      <c r="T5465" s="75"/>
      <c r="U5465" s="75"/>
      <c r="V5465" s="75"/>
      <c r="W5465" s="75"/>
      <c r="X5465" s="75"/>
    </row>
    <row r="5466">
      <c r="A5466" s="17"/>
      <c r="B5466" s="17"/>
      <c r="C5466" s="133"/>
      <c r="D5466" s="133"/>
      <c r="E5466" s="17"/>
      <c r="F5466" s="133"/>
      <c r="G5466" s="133"/>
      <c r="H5466" s="133"/>
      <c r="I5466" s="133"/>
      <c r="J5466" s="133"/>
      <c r="K5466" s="133"/>
      <c r="L5466" s="133"/>
      <c r="M5466" s="133"/>
      <c r="N5466" s="133"/>
      <c r="O5466" s="133"/>
      <c r="P5466" s="134"/>
      <c r="Q5466" s="146"/>
      <c r="R5466" s="17"/>
      <c r="S5466" s="17"/>
      <c r="T5466" s="75"/>
      <c r="U5466" s="75"/>
      <c r="V5466" s="75"/>
      <c r="W5466" s="75"/>
      <c r="X5466" s="75"/>
    </row>
    <row r="5467">
      <c r="A5467" s="17"/>
      <c r="B5467" s="17"/>
      <c r="C5467" s="133"/>
      <c r="D5467" s="133"/>
      <c r="E5467" s="17"/>
      <c r="F5467" s="133"/>
      <c r="G5467" s="133"/>
      <c r="H5467" s="133"/>
      <c r="I5467" s="133"/>
      <c r="J5467" s="133"/>
      <c r="K5467" s="133"/>
      <c r="L5467" s="133"/>
      <c r="M5467" s="133"/>
      <c r="N5467" s="133"/>
      <c r="O5467" s="133"/>
      <c r="P5467" s="134"/>
      <c r="Q5467" s="146"/>
      <c r="R5467" s="17"/>
      <c r="S5467" s="17"/>
      <c r="T5467" s="75"/>
      <c r="U5467" s="75"/>
      <c r="V5467" s="75"/>
      <c r="W5467" s="75"/>
      <c r="X5467" s="75"/>
    </row>
    <row r="5468">
      <c r="A5468" s="17"/>
      <c r="B5468" s="17"/>
      <c r="C5468" s="133"/>
      <c r="D5468" s="133"/>
      <c r="E5468" s="17"/>
      <c r="F5468" s="133"/>
      <c r="G5468" s="133"/>
      <c r="H5468" s="133"/>
      <c r="I5468" s="133"/>
      <c r="J5468" s="133"/>
      <c r="K5468" s="133"/>
      <c r="L5468" s="133"/>
      <c r="M5468" s="133"/>
      <c r="N5468" s="133"/>
      <c r="O5468" s="133"/>
      <c r="P5468" s="134"/>
      <c r="Q5468" s="146"/>
      <c r="R5468" s="17"/>
      <c r="S5468" s="17"/>
      <c r="T5468" s="75"/>
      <c r="U5468" s="75"/>
      <c r="V5468" s="75"/>
      <c r="W5468" s="75"/>
      <c r="X5468" s="75"/>
    </row>
    <row r="5469">
      <c r="A5469" s="17"/>
      <c r="B5469" s="17"/>
      <c r="C5469" s="133"/>
      <c r="D5469" s="133"/>
      <c r="E5469" s="17"/>
      <c r="F5469" s="133"/>
      <c r="G5469" s="133"/>
      <c r="H5469" s="133"/>
      <c r="I5469" s="133"/>
      <c r="J5469" s="133"/>
      <c r="K5469" s="133"/>
      <c r="L5469" s="133"/>
      <c r="M5469" s="133"/>
      <c r="N5469" s="133"/>
      <c r="O5469" s="133"/>
      <c r="P5469" s="134"/>
      <c r="Q5469" s="146"/>
      <c r="R5469" s="17"/>
      <c r="S5469" s="17"/>
      <c r="T5469" s="75"/>
      <c r="U5469" s="75"/>
      <c r="V5469" s="75"/>
      <c r="W5469" s="75"/>
      <c r="X5469" s="75"/>
    </row>
    <row r="5470">
      <c r="A5470" s="17"/>
      <c r="B5470" s="17"/>
      <c r="C5470" s="133"/>
      <c r="D5470" s="133"/>
      <c r="E5470" s="17"/>
      <c r="F5470" s="133"/>
      <c r="G5470" s="133"/>
      <c r="H5470" s="133"/>
      <c r="I5470" s="133"/>
      <c r="J5470" s="133"/>
      <c r="K5470" s="133"/>
      <c r="L5470" s="133"/>
      <c r="M5470" s="133"/>
      <c r="N5470" s="133"/>
      <c r="O5470" s="133"/>
      <c r="P5470" s="134"/>
      <c r="Q5470" s="146"/>
      <c r="R5470" s="17"/>
      <c r="S5470" s="17"/>
      <c r="T5470" s="75"/>
      <c r="U5470" s="75"/>
      <c r="V5470" s="75"/>
      <c r="W5470" s="75"/>
      <c r="X5470" s="75"/>
    </row>
    <row r="5471">
      <c r="A5471" s="17"/>
      <c r="B5471" s="17"/>
      <c r="C5471" s="133"/>
      <c r="D5471" s="133"/>
      <c r="E5471" s="17"/>
      <c r="F5471" s="133"/>
      <c r="G5471" s="133"/>
      <c r="H5471" s="133"/>
      <c r="I5471" s="133"/>
      <c r="J5471" s="133"/>
      <c r="K5471" s="133"/>
      <c r="L5471" s="133"/>
      <c r="M5471" s="133"/>
      <c r="N5471" s="133"/>
      <c r="O5471" s="133"/>
      <c r="P5471" s="134"/>
      <c r="Q5471" s="146"/>
      <c r="R5471" s="17"/>
      <c r="S5471" s="17"/>
      <c r="T5471" s="75"/>
      <c r="U5471" s="75"/>
      <c r="V5471" s="75"/>
      <c r="W5471" s="75"/>
      <c r="X5471" s="75"/>
    </row>
    <row r="5472">
      <c r="A5472" s="17"/>
      <c r="B5472" s="17"/>
      <c r="C5472" s="133"/>
      <c r="D5472" s="133"/>
      <c r="E5472" s="17"/>
      <c r="F5472" s="133"/>
      <c r="G5472" s="133"/>
      <c r="H5472" s="133"/>
      <c r="I5472" s="133"/>
      <c r="J5472" s="133"/>
      <c r="K5472" s="133"/>
      <c r="L5472" s="133"/>
      <c r="M5472" s="133"/>
      <c r="N5472" s="133"/>
      <c r="O5472" s="133"/>
      <c r="P5472" s="134"/>
      <c r="Q5472" s="146"/>
      <c r="R5472" s="17"/>
      <c r="S5472" s="17"/>
      <c r="T5472" s="75"/>
      <c r="U5472" s="75"/>
      <c r="V5472" s="75"/>
      <c r="W5472" s="75"/>
      <c r="X5472" s="75"/>
    </row>
    <row r="5473">
      <c r="A5473" s="17"/>
      <c r="B5473" s="17"/>
      <c r="C5473" s="133"/>
      <c r="D5473" s="133"/>
      <c r="E5473" s="17"/>
      <c r="F5473" s="133"/>
      <c r="G5473" s="133"/>
      <c r="H5473" s="133"/>
      <c r="I5473" s="133"/>
      <c r="J5473" s="133"/>
      <c r="K5473" s="133"/>
      <c r="L5473" s="133"/>
      <c r="M5473" s="133"/>
      <c r="N5473" s="133"/>
      <c r="O5473" s="133"/>
      <c r="P5473" s="134"/>
      <c r="Q5473" s="146"/>
      <c r="R5473" s="17"/>
      <c r="S5473" s="17"/>
      <c r="T5473" s="75"/>
      <c r="U5473" s="75"/>
      <c r="V5473" s="75"/>
      <c r="W5473" s="75"/>
      <c r="X5473" s="75"/>
    </row>
    <row r="5474">
      <c r="A5474" s="17"/>
      <c r="B5474" s="17"/>
      <c r="C5474" s="133"/>
      <c r="D5474" s="133"/>
      <c r="E5474" s="17"/>
      <c r="F5474" s="133"/>
      <c r="G5474" s="133"/>
      <c r="H5474" s="133"/>
      <c r="I5474" s="133"/>
      <c r="J5474" s="133"/>
      <c r="K5474" s="133"/>
      <c r="L5474" s="133"/>
      <c r="M5474" s="133"/>
      <c r="N5474" s="133"/>
      <c r="O5474" s="133"/>
      <c r="P5474" s="134"/>
      <c r="Q5474" s="146"/>
      <c r="R5474" s="17"/>
      <c r="S5474" s="17"/>
      <c r="T5474" s="75"/>
      <c r="U5474" s="75"/>
      <c r="V5474" s="75"/>
      <c r="W5474" s="75"/>
      <c r="X5474" s="75"/>
    </row>
    <row r="5475">
      <c r="A5475" s="17"/>
      <c r="B5475" s="17"/>
      <c r="C5475" s="133"/>
      <c r="D5475" s="133"/>
      <c r="E5475" s="17"/>
      <c r="F5475" s="133"/>
      <c r="G5475" s="133"/>
      <c r="H5475" s="133"/>
      <c r="I5475" s="133"/>
      <c r="J5475" s="133"/>
      <c r="K5475" s="133"/>
      <c r="L5475" s="133"/>
      <c r="M5475" s="133"/>
      <c r="N5475" s="133"/>
      <c r="O5475" s="133"/>
      <c r="P5475" s="134"/>
      <c r="Q5475" s="146"/>
      <c r="R5475" s="17"/>
      <c r="S5475" s="17"/>
      <c r="T5475" s="75"/>
      <c r="U5475" s="75"/>
      <c r="V5475" s="75"/>
      <c r="W5475" s="75"/>
      <c r="X5475" s="75"/>
    </row>
    <row r="5476">
      <c r="A5476" s="17"/>
      <c r="B5476" s="17"/>
      <c r="C5476" s="133"/>
      <c r="D5476" s="133"/>
      <c r="E5476" s="17"/>
      <c r="F5476" s="133"/>
      <c r="G5476" s="133"/>
      <c r="H5476" s="133"/>
      <c r="I5476" s="133"/>
      <c r="J5476" s="133"/>
      <c r="K5476" s="133"/>
      <c r="L5476" s="133"/>
      <c r="M5476" s="133"/>
      <c r="N5476" s="133"/>
      <c r="O5476" s="133"/>
      <c r="P5476" s="134"/>
      <c r="Q5476" s="146"/>
      <c r="R5476" s="17"/>
      <c r="S5476" s="17"/>
      <c r="T5476" s="75"/>
      <c r="U5476" s="75"/>
      <c r="V5476" s="75"/>
      <c r="W5476" s="75"/>
      <c r="X5476" s="75"/>
    </row>
    <row r="5477">
      <c r="A5477" s="17"/>
      <c r="B5477" s="17"/>
      <c r="C5477" s="133"/>
      <c r="D5477" s="133"/>
      <c r="E5477" s="17"/>
      <c r="F5477" s="133"/>
      <c r="G5477" s="133"/>
      <c r="H5477" s="133"/>
      <c r="I5477" s="133"/>
      <c r="J5477" s="133"/>
      <c r="K5477" s="133"/>
      <c r="L5477" s="133"/>
      <c r="M5477" s="133"/>
      <c r="N5477" s="133"/>
      <c r="O5477" s="133"/>
      <c r="P5477" s="134"/>
      <c r="Q5477" s="146"/>
      <c r="R5477" s="17"/>
      <c r="S5477" s="17"/>
      <c r="T5477" s="75"/>
      <c r="U5477" s="75"/>
      <c r="V5477" s="75"/>
      <c r="W5477" s="75"/>
      <c r="X5477" s="75"/>
    </row>
    <row r="5478">
      <c r="A5478" s="17"/>
      <c r="B5478" s="17"/>
      <c r="C5478" s="133"/>
      <c r="D5478" s="133"/>
      <c r="E5478" s="17"/>
      <c r="F5478" s="133"/>
      <c r="G5478" s="133"/>
      <c r="H5478" s="133"/>
      <c r="I5478" s="133"/>
      <c r="J5478" s="133"/>
      <c r="K5478" s="133"/>
      <c r="L5478" s="133"/>
      <c r="M5478" s="133"/>
      <c r="N5478" s="133"/>
      <c r="O5478" s="133"/>
      <c r="P5478" s="134"/>
      <c r="Q5478" s="146"/>
      <c r="R5478" s="17"/>
      <c r="S5478" s="17"/>
      <c r="T5478" s="75"/>
      <c r="U5478" s="75"/>
      <c r="V5478" s="75"/>
      <c r="W5478" s="75"/>
      <c r="X5478" s="75"/>
    </row>
    <row r="5479">
      <c r="A5479" s="17"/>
      <c r="B5479" s="17"/>
      <c r="C5479" s="133"/>
      <c r="D5479" s="133"/>
      <c r="E5479" s="17"/>
      <c r="F5479" s="133"/>
      <c r="G5479" s="133"/>
      <c r="H5479" s="133"/>
      <c r="I5479" s="133"/>
      <c r="J5479" s="133"/>
      <c r="K5479" s="133"/>
      <c r="L5479" s="133"/>
      <c r="M5479" s="133"/>
      <c r="N5479" s="133"/>
      <c r="O5479" s="133"/>
      <c r="P5479" s="134"/>
      <c r="Q5479" s="146"/>
      <c r="R5479" s="17"/>
      <c r="S5479" s="17"/>
      <c r="T5479" s="75"/>
      <c r="U5479" s="75"/>
      <c r="V5479" s="75"/>
      <c r="W5479" s="75"/>
      <c r="X5479" s="75"/>
    </row>
    <row r="5480">
      <c r="A5480" s="17"/>
      <c r="B5480" s="17"/>
      <c r="C5480" s="133"/>
      <c r="D5480" s="133"/>
      <c r="E5480" s="17"/>
      <c r="F5480" s="133"/>
      <c r="G5480" s="133"/>
      <c r="H5480" s="133"/>
      <c r="I5480" s="133"/>
      <c r="J5480" s="133"/>
      <c r="K5480" s="133"/>
      <c r="L5480" s="133"/>
      <c r="M5480" s="133"/>
      <c r="N5480" s="133"/>
      <c r="O5480" s="133"/>
      <c r="P5480" s="134"/>
      <c r="Q5480" s="146"/>
      <c r="R5480" s="17"/>
      <c r="S5480" s="17"/>
      <c r="T5480" s="75"/>
      <c r="U5480" s="75"/>
      <c r="V5480" s="75"/>
      <c r="W5480" s="75"/>
      <c r="X5480" s="75"/>
    </row>
    <row r="5481">
      <c r="A5481" s="17"/>
      <c r="B5481" s="17"/>
      <c r="C5481" s="133"/>
      <c r="D5481" s="133"/>
      <c r="E5481" s="17"/>
      <c r="F5481" s="133"/>
      <c r="G5481" s="133"/>
      <c r="H5481" s="133"/>
      <c r="I5481" s="133"/>
      <c r="J5481" s="133"/>
      <c r="K5481" s="133"/>
      <c r="L5481" s="133"/>
      <c r="M5481" s="133"/>
      <c r="N5481" s="133"/>
      <c r="O5481" s="133"/>
      <c r="P5481" s="134"/>
      <c r="Q5481" s="146"/>
      <c r="R5481" s="17"/>
      <c r="S5481" s="17"/>
      <c r="T5481" s="75"/>
      <c r="U5481" s="75"/>
      <c r="V5481" s="75"/>
      <c r="W5481" s="75"/>
      <c r="X5481" s="75"/>
    </row>
    <row r="5482">
      <c r="A5482" s="17"/>
      <c r="B5482" s="17"/>
      <c r="C5482" s="133"/>
      <c r="D5482" s="133"/>
      <c r="E5482" s="17"/>
      <c r="F5482" s="133"/>
      <c r="G5482" s="133"/>
      <c r="H5482" s="133"/>
      <c r="I5482" s="133"/>
      <c r="J5482" s="133"/>
      <c r="K5482" s="133"/>
      <c r="L5482" s="133"/>
      <c r="M5482" s="133"/>
      <c r="N5482" s="133"/>
      <c r="O5482" s="133"/>
      <c r="P5482" s="134"/>
      <c r="Q5482" s="146"/>
      <c r="R5482" s="17"/>
      <c r="S5482" s="17"/>
      <c r="T5482" s="75"/>
      <c r="U5482" s="75"/>
      <c r="V5482" s="75"/>
      <c r="W5482" s="75"/>
      <c r="X5482" s="75"/>
    </row>
    <row r="5483">
      <c r="A5483" s="17"/>
      <c r="B5483" s="17"/>
      <c r="C5483" s="133"/>
      <c r="D5483" s="133"/>
      <c r="E5483" s="17"/>
      <c r="F5483" s="133"/>
      <c r="G5483" s="133"/>
      <c r="H5483" s="133"/>
      <c r="I5483" s="133"/>
      <c r="J5483" s="133"/>
      <c r="K5483" s="133"/>
      <c r="L5483" s="133"/>
      <c r="M5483" s="133"/>
      <c r="N5483" s="133"/>
      <c r="O5483" s="133"/>
      <c r="P5483" s="134"/>
      <c r="Q5483" s="146"/>
      <c r="R5483" s="17"/>
      <c r="S5483" s="17"/>
      <c r="T5483" s="75"/>
      <c r="U5483" s="75"/>
      <c r="V5483" s="75"/>
      <c r="W5483" s="75"/>
      <c r="X5483" s="75"/>
    </row>
    <row r="5484">
      <c r="A5484" s="17"/>
      <c r="B5484" s="17"/>
      <c r="C5484" s="133"/>
      <c r="D5484" s="133"/>
      <c r="E5484" s="17"/>
      <c r="F5484" s="133"/>
      <c r="G5484" s="133"/>
      <c r="H5484" s="133"/>
      <c r="I5484" s="133"/>
      <c r="J5484" s="133"/>
      <c r="K5484" s="133"/>
      <c r="L5484" s="133"/>
      <c r="M5484" s="133"/>
      <c r="N5484" s="133"/>
      <c r="O5484" s="133"/>
      <c r="P5484" s="134"/>
      <c r="Q5484" s="146"/>
      <c r="R5484" s="17"/>
      <c r="S5484" s="17"/>
      <c r="T5484" s="75"/>
      <c r="U5484" s="75"/>
      <c r="V5484" s="75"/>
      <c r="W5484" s="75"/>
      <c r="X5484" s="75"/>
    </row>
    <row r="5485">
      <c r="A5485" s="17"/>
      <c r="B5485" s="17"/>
      <c r="C5485" s="133"/>
      <c r="D5485" s="133"/>
      <c r="E5485" s="17"/>
      <c r="F5485" s="133"/>
      <c r="G5485" s="133"/>
      <c r="H5485" s="133"/>
      <c r="I5485" s="133"/>
      <c r="J5485" s="133"/>
      <c r="K5485" s="133"/>
      <c r="L5485" s="133"/>
      <c r="M5485" s="133"/>
      <c r="N5485" s="133"/>
      <c r="O5485" s="133"/>
      <c r="P5485" s="134"/>
      <c r="Q5485" s="146"/>
      <c r="R5485" s="17"/>
      <c r="S5485" s="17"/>
      <c r="T5485" s="75"/>
      <c r="U5485" s="75"/>
      <c r="V5485" s="75"/>
      <c r="W5485" s="75"/>
      <c r="X5485" s="75"/>
    </row>
    <row r="5486">
      <c r="A5486" s="17"/>
      <c r="B5486" s="17"/>
      <c r="C5486" s="133"/>
      <c r="D5486" s="133"/>
      <c r="E5486" s="17"/>
      <c r="F5486" s="133"/>
      <c r="G5486" s="133"/>
      <c r="H5486" s="133"/>
      <c r="I5486" s="133"/>
      <c r="J5486" s="133"/>
      <c r="K5486" s="133"/>
      <c r="L5486" s="133"/>
      <c r="M5486" s="133"/>
      <c r="N5486" s="133"/>
      <c r="O5486" s="133"/>
      <c r="P5486" s="134"/>
      <c r="Q5486" s="146"/>
      <c r="R5486" s="17"/>
      <c r="S5486" s="17"/>
      <c r="T5486" s="75"/>
      <c r="U5486" s="75"/>
      <c r="V5486" s="75"/>
      <c r="W5486" s="75"/>
      <c r="X5486" s="75"/>
    </row>
    <row r="5487">
      <c r="A5487" s="17"/>
      <c r="B5487" s="17"/>
      <c r="C5487" s="133"/>
      <c r="D5487" s="133"/>
      <c r="E5487" s="17"/>
      <c r="F5487" s="133"/>
      <c r="G5487" s="133"/>
      <c r="H5487" s="133"/>
      <c r="I5487" s="133"/>
      <c r="J5487" s="133"/>
      <c r="K5487" s="133"/>
      <c r="L5487" s="133"/>
      <c r="M5487" s="133"/>
      <c r="N5487" s="133"/>
      <c r="O5487" s="133"/>
      <c r="P5487" s="134"/>
      <c r="Q5487" s="146"/>
      <c r="R5487" s="17"/>
      <c r="S5487" s="17"/>
      <c r="T5487" s="75"/>
      <c r="U5487" s="75"/>
      <c r="V5487" s="75"/>
      <c r="W5487" s="75"/>
      <c r="X5487" s="75"/>
    </row>
    <row r="5488">
      <c r="A5488" s="17"/>
      <c r="B5488" s="17"/>
      <c r="C5488" s="133"/>
      <c r="D5488" s="133"/>
      <c r="E5488" s="17"/>
      <c r="F5488" s="133"/>
      <c r="G5488" s="133"/>
      <c r="H5488" s="133"/>
      <c r="I5488" s="133"/>
      <c r="J5488" s="133"/>
      <c r="K5488" s="133"/>
      <c r="L5488" s="133"/>
      <c r="M5488" s="133"/>
      <c r="N5488" s="133"/>
      <c r="O5488" s="133"/>
      <c r="P5488" s="134"/>
      <c r="Q5488" s="146"/>
      <c r="R5488" s="17"/>
      <c r="S5488" s="17"/>
      <c r="T5488" s="75"/>
      <c r="U5488" s="75"/>
      <c r="V5488" s="75"/>
      <c r="W5488" s="75"/>
      <c r="X5488" s="75"/>
    </row>
    <row r="5489">
      <c r="A5489" s="17"/>
      <c r="B5489" s="17"/>
      <c r="C5489" s="133"/>
      <c r="D5489" s="133"/>
      <c r="E5489" s="17"/>
      <c r="F5489" s="133"/>
      <c r="G5489" s="133"/>
      <c r="H5489" s="133"/>
      <c r="I5489" s="133"/>
      <c r="J5489" s="133"/>
      <c r="K5489" s="133"/>
      <c r="L5489" s="133"/>
      <c r="M5489" s="133"/>
      <c r="N5489" s="133"/>
      <c r="O5489" s="133"/>
      <c r="P5489" s="134"/>
      <c r="Q5489" s="146"/>
      <c r="R5489" s="17"/>
      <c r="S5489" s="17"/>
      <c r="T5489" s="75"/>
      <c r="U5489" s="75"/>
      <c r="V5489" s="75"/>
      <c r="W5489" s="75"/>
      <c r="X5489" s="75"/>
    </row>
    <row r="5490">
      <c r="A5490" s="17"/>
      <c r="B5490" s="17"/>
      <c r="C5490" s="133"/>
      <c r="D5490" s="133"/>
      <c r="E5490" s="17"/>
      <c r="F5490" s="133"/>
      <c r="G5490" s="133"/>
      <c r="H5490" s="133"/>
      <c r="I5490" s="133"/>
      <c r="J5490" s="133"/>
      <c r="K5490" s="133"/>
      <c r="L5490" s="133"/>
      <c r="M5490" s="133"/>
      <c r="N5490" s="133"/>
      <c r="O5490" s="133"/>
      <c r="P5490" s="134"/>
      <c r="Q5490" s="146"/>
      <c r="R5490" s="17"/>
      <c r="S5490" s="17"/>
      <c r="T5490" s="75"/>
      <c r="U5490" s="75"/>
      <c r="V5490" s="75"/>
      <c r="W5490" s="75"/>
      <c r="X5490" s="75"/>
    </row>
    <row r="5491">
      <c r="A5491" s="17"/>
      <c r="B5491" s="17"/>
      <c r="C5491" s="133"/>
      <c r="D5491" s="133"/>
      <c r="E5491" s="17"/>
      <c r="F5491" s="133"/>
      <c r="G5491" s="133"/>
      <c r="H5491" s="133"/>
      <c r="I5491" s="133"/>
      <c r="J5491" s="133"/>
      <c r="K5491" s="133"/>
      <c r="L5491" s="133"/>
      <c r="M5491" s="133"/>
      <c r="N5491" s="133"/>
      <c r="O5491" s="133"/>
      <c r="P5491" s="134"/>
      <c r="Q5491" s="146"/>
      <c r="R5491" s="17"/>
      <c r="S5491" s="17"/>
      <c r="T5491" s="75"/>
      <c r="U5491" s="75"/>
      <c r="V5491" s="75"/>
      <c r="W5491" s="75"/>
      <c r="X5491" s="75"/>
    </row>
    <row r="5492">
      <c r="A5492" s="17"/>
      <c r="B5492" s="17"/>
      <c r="C5492" s="133"/>
      <c r="D5492" s="133"/>
      <c r="E5492" s="17"/>
      <c r="F5492" s="133"/>
      <c r="G5492" s="133"/>
      <c r="H5492" s="133"/>
      <c r="I5492" s="133"/>
      <c r="J5492" s="133"/>
      <c r="K5492" s="133"/>
      <c r="L5492" s="133"/>
      <c r="M5492" s="133"/>
      <c r="N5492" s="133"/>
      <c r="O5492" s="133"/>
      <c r="P5492" s="134"/>
      <c r="Q5492" s="146"/>
      <c r="R5492" s="17"/>
      <c r="S5492" s="17"/>
      <c r="T5492" s="75"/>
      <c r="U5492" s="75"/>
      <c r="V5492" s="75"/>
      <c r="W5492" s="75"/>
      <c r="X5492" s="75"/>
    </row>
    <row r="5493">
      <c r="A5493" s="17"/>
      <c r="B5493" s="17"/>
      <c r="C5493" s="133"/>
      <c r="D5493" s="133"/>
      <c r="E5493" s="17"/>
      <c r="F5493" s="133"/>
      <c r="G5493" s="133"/>
      <c r="H5493" s="133"/>
      <c r="I5493" s="133"/>
      <c r="J5493" s="133"/>
      <c r="K5493" s="133"/>
      <c r="L5493" s="133"/>
      <c r="M5493" s="133"/>
      <c r="N5493" s="133"/>
      <c r="O5493" s="133"/>
      <c r="P5493" s="134"/>
      <c r="Q5493" s="146"/>
      <c r="R5493" s="17"/>
      <c r="S5493" s="17"/>
      <c r="T5493" s="75"/>
      <c r="U5493" s="75"/>
      <c r="V5493" s="75"/>
      <c r="W5493" s="75"/>
      <c r="X5493" s="75"/>
    </row>
    <row r="5494">
      <c r="A5494" s="17"/>
      <c r="B5494" s="17"/>
      <c r="C5494" s="133"/>
      <c r="D5494" s="133"/>
      <c r="E5494" s="17"/>
      <c r="F5494" s="133"/>
      <c r="G5494" s="133"/>
      <c r="H5494" s="133"/>
      <c r="I5494" s="133"/>
      <c r="J5494" s="133"/>
      <c r="K5494" s="133"/>
      <c r="L5494" s="133"/>
      <c r="M5494" s="133"/>
      <c r="N5494" s="133"/>
      <c r="O5494" s="133"/>
      <c r="P5494" s="134"/>
      <c r="Q5494" s="146"/>
      <c r="R5494" s="17"/>
      <c r="S5494" s="17"/>
      <c r="T5494" s="75"/>
      <c r="U5494" s="75"/>
      <c r="V5494" s="75"/>
      <c r="W5494" s="75"/>
      <c r="X5494" s="75"/>
    </row>
    <row r="5495">
      <c r="A5495" s="17"/>
      <c r="B5495" s="17"/>
      <c r="C5495" s="133"/>
      <c r="D5495" s="133"/>
      <c r="E5495" s="17"/>
      <c r="F5495" s="133"/>
      <c r="G5495" s="133"/>
      <c r="H5495" s="133"/>
      <c r="I5495" s="133"/>
      <c r="J5495" s="133"/>
      <c r="K5495" s="133"/>
      <c r="L5495" s="133"/>
      <c r="M5495" s="133"/>
      <c r="N5495" s="133"/>
      <c r="O5495" s="133"/>
      <c r="P5495" s="134"/>
      <c r="Q5495" s="146"/>
      <c r="R5495" s="17"/>
      <c r="S5495" s="17"/>
      <c r="T5495" s="75"/>
      <c r="U5495" s="75"/>
      <c r="V5495" s="75"/>
      <c r="W5495" s="75"/>
      <c r="X5495" s="75"/>
    </row>
    <row r="5496">
      <c r="A5496" s="17"/>
      <c r="B5496" s="17"/>
      <c r="C5496" s="133"/>
      <c r="D5496" s="133"/>
      <c r="E5496" s="17"/>
      <c r="F5496" s="133"/>
      <c r="G5496" s="133"/>
      <c r="H5496" s="133"/>
      <c r="I5496" s="133"/>
      <c r="J5496" s="133"/>
      <c r="K5496" s="133"/>
      <c r="L5496" s="133"/>
      <c r="M5496" s="133"/>
      <c r="N5496" s="133"/>
      <c r="O5496" s="133"/>
      <c r="P5496" s="134"/>
      <c r="Q5496" s="146"/>
      <c r="R5496" s="17"/>
      <c r="S5496" s="17"/>
      <c r="T5496" s="75"/>
      <c r="U5496" s="75"/>
      <c r="V5496" s="75"/>
      <c r="W5496" s="75"/>
      <c r="X5496" s="75"/>
    </row>
    <row r="5497">
      <c r="A5497" s="17"/>
      <c r="B5497" s="17"/>
      <c r="C5497" s="133"/>
      <c r="D5497" s="133"/>
      <c r="E5497" s="17"/>
      <c r="F5497" s="133"/>
      <c r="G5497" s="133"/>
      <c r="H5497" s="133"/>
      <c r="I5497" s="133"/>
      <c r="J5497" s="133"/>
      <c r="K5497" s="133"/>
      <c r="L5497" s="133"/>
      <c r="M5497" s="133"/>
      <c r="N5497" s="133"/>
      <c r="O5497" s="133"/>
      <c r="P5497" s="134"/>
      <c r="Q5497" s="146"/>
      <c r="R5497" s="17"/>
      <c r="S5497" s="17"/>
      <c r="T5497" s="75"/>
      <c r="U5497" s="75"/>
      <c r="V5497" s="75"/>
      <c r="W5497" s="75"/>
      <c r="X5497" s="75"/>
    </row>
    <row r="5498">
      <c r="A5498" s="17"/>
      <c r="B5498" s="17"/>
      <c r="C5498" s="133"/>
      <c r="D5498" s="133"/>
      <c r="E5498" s="17"/>
      <c r="F5498" s="133"/>
      <c r="G5498" s="133"/>
      <c r="H5498" s="133"/>
      <c r="I5498" s="133"/>
      <c r="J5498" s="133"/>
      <c r="K5498" s="133"/>
      <c r="L5498" s="133"/>
      <c r="M5498" s="133"/>
      <c r="N5498" s="133"/>
      <c r="O5498" s="133"/>
      <c r="P5498" s="134"/>
      <c r="Q5498" s="146"/>
      <c r="R5498" s="17"/>
      <c r="S5498" s="17"/>
      <c r="T5498" s="75"/>
      <c r="U5498" s="75"/>
      <c r="V5498" s="75"/>
      <c r="W5498" s="75"/>
      <c r="X5498" s="75"/>
    </row>
    <row r="5499">
      <c r="A5499" s="17"/>
      <c r="B5499" s="17"/>
      <c r="C5499" s="133"/>
      <c r="D5499" s="133"/>
      <c r="E5499" s="17"/>
      <c r="F5499" s="133"/>
      <c r="G5499" s="133"/>
      <c r="H5499" s="133"/>
      <c r="I5499" s="133"/>
      <c r="J5499" s="133"/>
      <c r="K5499" s="133"/>
      <c r="L5499" s="133"/>
      <c r="M5499" s="133"/>
      <c r="N5499" s="133"/>
      <c r="O5499" s="133"/>
      <c r="P5499" s="134"/>
      <c r="Q5499" s="146"/>
      <c r="R5499" s="17"/>
      <c r="S5499" s="17"/>
      <c r="T5499" s="75"/>
      <c r="U5499" s="75"/>
      <c r="V5499" s="75"/>
      <c r="W5499" s="75"/>
      <c r="X5499" s="75"/>
    </row>
    <row r="5500">
      <c r="A5500" s="17"/>
      <c r="B5500" s="17"/>
      <c r="C5500" s="133"/>
      <c r="D5500" s="133"/>
      <c r="E5500" s="17"/>
      <c r="F5500" s="133"/>
      <c r="G5500" s="133"/>
      <c r="H5500" s="133"/>
      <c r="I5500" s="133"/>
      <c r="J5500" s="133"/>
      <c r="K5500" s="133"/>
      <c r="L5500" s="133"/>
      <c r="M5500" s="133"/>
      <c r="N5500" s="133"/>
      <c r="O5500" s="133"/>
      <c r="P5500" s="134"/>
      <c r="Q5500" s="146"/>
      <c r="R5500" s="17"/>
      <c r="S5500" s="17"/>
      <c r="T5500" s="75"/>
      <c r="U5500" s="75"/>
      <c r="V5500" s="75"/>
      <c r="W5500" s="75"/>
      <c r="X5500" s="75"/>
    </row>
    <row r="5501">
      <c r="A5501" s="17"/>
      <c r="B5501" s="17"/>
      <c r="C5501" s="133"/>
      <c r="D5501" s="133"/>
      <c r="E5501" s="17"/>
      <c r="F5501" s="133"/>
      <c r="G5501" s="133"/>
      <c r="H5501" s="133"/>
      <c r="I5501" s="133"/>
      <c r="J5501" s="133"/>
      <c r="K5501" s="133"/>
      <c r="L5501" s="133"/>
      <c r="M5501" s="133"/>
      <c r="N5501" s="133"/>
      <c r="O5501" s="133"/>
      <c r="P5501" s="134"/>
      <c r="Q5501" s="146"/>
      <c r="R5501" s="17"/>
      <c r="S5501" s="17"/>
      <c r="T5501" s="75"/>
      <c r="U5501" s="75"/>
      <c r="V5501" s="75"/>
      <c r="W5501" s="75"/>
      <c r="X5501" s="75"/>
    </row>
    <row r="5502">
      <c r="A5502" s="17"/>
      <c r="B5502" s="17"/>
      <c r="C5502" s="133"/>
      <c r="D5502" s="133"/>
      <c r="E5502" s="17"/>
      <c r="F5502" s="133"/>
      <c r="G5502" s="133"/>
      <c r="H5502" s="133"/>
      <c r="I5502" s="133"/>
      <c r="J5502" s="133"/>
      <c r="K5502" s="133"/>
      <c r="L5502" s="133"/>
      <c r="M5502" s="133"/>
      <c r="N5502" s="133"/>
      <c r="O5502" s="133"/>
      <c r="P5502" s="134"/>
      <c r="Q5502" s="146"/>
      <c r="R5502" s="17"/>
      <c r="S5502" s="17"/>
      <c r="T5502" s="75"/>
      <c r="U5502" s="75"/>
      <c r="V5502" s="75"/>
      <c r="W5502" s="75"/>
      <c r="X5502" s="75"/>
    </row>
    <row r="5503">
      <c r="A5503" s="17"/>
      <c r="B5503" s="17"/>
      <c r="C5503" s="133"/>
      <c r="D5503" s="133"/>
      <c r="E5503" s="17"/>
      <c r="F5503" s="133"/>
      <c r="G5503" s="133"/>
      <c r="H5503" s="133"/>
      <c r="I5503" s="133"/>
      <c r="J5503" s="133"/>
      <c r="K5503" s="133"/>
      <c r="L5503" s="133"/>
      <c r="M5503" s="133"/>
      <c r="N5503" s="133"/>
      <c r="O5503" s="133"/>
      <c r="P5503" s="134"/>
      <c r="Q5503" s="146"/>
      <c r="R5503" s="17"/>
      <c r="S5503" s="17"/>
      <c r="T5503" s="75"/>
      <c r="U5503" s="75"/>
      <c r="V5503" s="75"/>
      <c r="W5503" s="75"/>
      <c r="X5503" s="75"/>
    </row>
    <row r="5504">
      <c r="A5504" s="17"/>
      <c r="B5504" s="17"/>
      <c r="C5504" s="133"/>
      <c r="D5504" s="133"/>
      <c r="E5504" s="17"/>
      <c r="F5504" s="133"/>
      <c r="G5504" s="133"/>
      <c r="H5504" s="133"/>
      <c r="I5504" s="133"/>
      <c r="J5504" s="133"/>
      <c r="K5504" s="133"/>
      <c r="L5504" s="133"/>
      <c r="M5504" s="133"/>
      <c r="N5504" s="133"/>
      <c r="O5504" s="133"/>
      <c r="P5504" s="134"/>
      <c r="Q5504" s="146"/>
      <c r="R5504" s="17"/>
      <c r="S5504" s="17"/>
      <c r="T5504" s="75"/>
      <c r="U5504" s="75"/>
      <c r="V5504" s="75"/>
      <c r="W5504" s="75"/>
      <c r="X5504" s="75"/>
    </row>
    <row r="5505">
      <c r="A5505" s="17"/>
      <c r="B5505" s="17"/>
      <c r="C5505" s="133"/>
      <c r="D5505" s="133"/>
      <c r="E5505" s="17"/>
      <c r="F5505" s="133"/>
      <c r="G5505" s="133"/>
      <c r="H5505" s="133"/>
      <c r="I5505" s="133"/>
      <c r="J5505" s="133"/>
      <c r="K5505" s="133"/>
      <c r="L5505" s="133"/>
      <c r="M5505" s="133"/>
      <c r="N5505" s="133"/>
      <c r="O5505" s="133"/>
      <c r="P5505" s="134"/>
      <c r="Q5505" s="146"/>
      <c r="R5505" s="17"/>
      <c r="S5505" s="17"/>
      <c r="T5505" s="75"/>
      <c r="U5505" s="75"/>
      <c r="V5505" s="75"/>
      <c r="W5505" s="75"/>
      <c r="X5505" s="75"/>
    </row>
    <row r="5506">
      <c r="A5506" s="17"/>
      <c r="B5506" s="17"/>
      <c r="C5506" s="133"/>
      <c r="D5506" s="133"/>
      <c r="E5506" s="17"/>
      <c r="F5506" s="133"/>
      <c r="G5506" s="133"/>
      <c r="H5506" s="133"/>
      <c r="I5506" s="133"/>
      <c r="J5506" s="133"/>
      <c r="K5506" s="133"/>
      <c r="L5506" s="133"/>
      <c r="M5506" s="133"/>
      <c r="N5506" s="133"/>
      <c r="O5506" s="133"/>
      <c r="P5506" s="134"/>
      <c r="Q5506" s="146"/>
      <c r="R5506" s="17"/>
      <c r="S5506" s="17"/>
      <c r="T5506" s="75"/>
      <c r="U5506" s="75"/>
      <c r="V5506" s="75"/>
      <c r="W5506" s="75"/>
      <c r="X5506" s="75"/>
    </row>
    <row r="5507">
      <c r="A5507" s="17"/>
      <c r="B5507" s="17"/>
      <c r="C5507" s="133"/>
      <c r="D5507" s="133"/>
      <c r="E5507" s="17"/>
      <c r="F5507" s="133"/>
      <c r="G5507" s="133"/>
      <c r="H5507" s="133"/>
      <c r="I5507" s="133"/>
      <c r="J5507" s="133"/>
      <c r="K5507" s="133"/>
      <c r="L5507" s="133"/>
      <c r="M5507" s="133"/>
      <c r="N5507" s="133"/>
      <c r="O5507" s="133"/>
      <c r="P5507" s="134"/>
      <c r="Q5507" s="146"/>
      <c r="R5507" s="17"/>
      <c r="S5507" s="17"/>
      <c r="T5507" s="75"/>
      <c r="U5507" s="75"/>
      <c r="V5507" s="75"/>
      <c r="W5507" s="75"/>
      <c r="X5507" s="75"/>
    </row>
    <row r="5508">
      <c r="A5508" s="17"/>
      <c r="B5508" s="17"/>
      <c r="C5508" s="133"/>
      <c r="D5508" s="133"/>
      <c r="E5508" s="17"/>
      <c r="F5508" s="133"/>
      <c r="G5508" s="133"/>
      <c r="H5508" s="133"/>
      <c r="I5508" s="133"/>
      <c r="J5508" s="133"/>
      <c r="K5508" s="133"/>
      <c r="L5508" s="133"/>
      <c r="M5508" s="133"/>
      <c r="N5508" s="133"/>
      <c r="O5508" s="133"/>
      <c r="P5508" s="134"/>
      <c r="Q5508" s="146"/>
      <c r="R5508" s="17"/>
      <c r="S5508" s="17"/>
      <c r="T5508" s="75"/>
      <c r="U5508" s="75"/>
      <c r="V5508" s="75"/>
      <c r="W5508" s="75"/>
      <c r="X5508" s="75"/>
    </row>
    <row r="5509">
      <c r="A5509" s="17"/>
      <c r="B5509" s="17"/>
      <c r="C5509" s="133"/>
      <c r="D5509" s="133"/>
      <c r="E5509" s="17"/>
      <c r="F5509" s="133"/>
      <c r="G5509" s="133"/>
      <c r="H5509" s="133"/>
      <c r="I5509" s="133"/>
      <c r="J5509" s="133"/>
      <c r="K5509" s="133"/>
      <c r="L5509" s="133"/>
      <c r="M5509" s="133"/>
      <c r="N5509" s="133"/>
      <c r="O5509" s="133"/>
      <c r="P5509" s="134"/>
      <c r="Q5509" s="146"/>
      <c r="R5509" s="17"/>
      <c r="S5509" s="17"/>
      <c r="T5509" s="75"/>
      <c r="U5509" s="75"/>
      <c r="V5509" s="75"/>
      <c r="W5509" s="75"/>
      <c r="X5509" s="75"/>
    </row>
    <row r="5510">
      <c r="A5510" s="17"/>
      <c r="B5510" s="17"/>
      <c r="C5510" s="133"/>
      <c r="D5510" s="133"/>
      <c r="E5510" s="17"/>
      <c r="F5510" s="133"/>
      <c r="G5510" s="133"/>
      <c r="H5510" s="133"/>
      <c r="I5510" s="133"/>
      <c r="J5510" s="133"/>
      <c r="K5510" s="133"/>
      <c r="L5510" s="133"/>
      <c r="M5510" s="133"/>
      <c r="N5510" s="133"/>
      <c r="O5510" s="133"/>
      <c r="P5510" s="134"/>
      <c r="Q5510" s="146"/>
      <c r="R5510" s="17"/>
      <c r="S5510" s="17"/>
      <c r="T5510" s="75"/>
      <c r="U5510" s="75"/>
      <c r="V5510" s="75"/>
      <c r="W5510" s="75"/>
      <c r="X5510" s="75"/>
    </row>
    <row r="5511">
      <c r="A5511" s="17"/>
      <c r="B5511" s="17"/>
      <c r="C5511" s="133"/>
      <c r="D5511" s="133"/>
      <c r="E5511" s="17"/>
      <c r="F5511" s="133"/>
      <c r="G5511" s="133"/>
      <c r="H5511" s="133"/>
      <c r="I5511" s="133"/>
      <c r="J5511" s="133"/>
      <c r="K5511" s="133"/>
      <c r="L5511" s="133"/>
      <c r="M5511" s="133"/>
      <c r="N5511" s="133"/>
      <c r="O5511" s="133"/>
      <c r="P5511" s="134"/>
      <c r="Q5511" s="146"/>
      <c r="R5511" s="17"/>
      <c r="S5511" s="17"/>
      <c r="T5511" s="75"/>
      <c r="U5511" s="75"/>
      <c r="V5511" s="75"/>
      <c r="W5511" s="75"/>
      <c r="X5511" s="75"/>
    </row>
    <row r="5512">
      <c r="A5512" s="17"/>
      <c r="B5512" s="17"/>
      <c r="C5512" s="133"/>
      <c r="D5512" s="133"/>
      <c r="E5512" s="17"/>
      <c r="F5512" s="133"/>
      <c r="G5512" s="133"/>
      <c r="H5512" s="133"/>
      <c r="I5512" s="133"/>
      <c r="J5512" s="133"/>
      <c r="K5512" s="133"/>
      <c r="L5512" s="133"/>
      <c r="M5512" s="133"/>
      <c r="N5512" s="133"/>
      <c r="O5512" s="133"/>
      <c r="P5512" s="134"/>
      <c r="Q5512" s="146"/>
      <c r="R5512" s="17"/>
      <c r="S5512" s="17"/>
      <c r="T5512" s="75"/>
      <c r="U5512" s="75"/>
      <c r="V5512" s="75"/>
      <c r="W5512" s="75"/>
      <c r="X5512" s="75"/>
    </row>
    <row r="5513">
      <c r="A5513" s="17"/>
      <c r="B5513" s="17"/>
      <c r="C5513" s="133"/>
      <c r="D5513" s="133"/>
      <c r="E5513" s="17"/>
      <c r="F5513" s="133"/>
      <c r="G5513" s="133"/>
      <c r="H5513" s="133"/>
      <c r="I5513" s="133"/>
      <c r="J5513" s="133"/>
      <c r="K5513" s="133"/>
      <c r="L5513" s="133"/>
      <c r="M5513" s="133"/>
      <c r="N5513" s="133"/>
      <c r="O5513" s="133"/>
      <c r="P5513" s="134"/>
      <c r="Q5513" s="146"/>
      <c r="R5513" s="17"/>
      <c r="S5513" s="17"/>
      <c r="T5513" s="75"/>
      <c r="U5513" s="75"/>
      <c r="V5513" s="75"/>
      <c r="W5513" s="75"/>
      <c r="X5513" s="75"/>
    </row>
    <row r="5514">
      <c r="A5514" s="17"/>
      <c r="B5514" s="17"/>
      <c r="C5514" s="133"/>
      <c r="D5514" s="133"/>
      <c r="E5514" s="17"/>
      <c r="F5514" s="133"/>
      <c r="G5514" s="133"/>
      <c r="H5514" s="133"/>
      <c r="I5514" s="133"/>
      <c r="J5514" s="133"/>
      <c r="K5514" s="133"/>
      <c r="L5514" s="133"/>
      <c r="M5514" s="133"/>
      <c r="N5514" s="133"/>
      <c r="O5514" s="133"/>
      <c r="P5514" s="134"/>
      <c r="Q5514" s="146"/>
      <c r="R5514" s="17"/>
      <c r="S5514" s="17"/>
      <c r="T5514" s="75"/>
      <c r="U5514" s="75"/>
      <c r="V5514" s="75"/>
      <c r="W5514" s="75"/>
      <c r="X5514" s="75"/>
    </row>
    <row r="5515">
      <c r="A5515" s="17"/>
      <c r="B5515" s="17"/>
      <c r="C5515" s="133"/>
      <c r="D5515" s="133"/>
      <c r="E5515" s="17"/>
      <c r="F5515" s="133"/>
      <c r="G5515" s="133"/>
      <c r="H5515" s="133"/>
      <c r="I5515" s="133"/>
      <c r="J5515" s="133"/>
      <c r="K5515" s="133"/>
      <c r="L5515" s="133"/>
      <c r="M5515" s="133"/>
      <c r="N5515" s="133"/>
      <c r="O5515" s="133"/>
      <c r="P5515" s="134"/>
      <c r="Q5515" s="146"/>
      <c r="R5515" s="17"/>
      <c r="S5515" s="17"/>
      <c r="T5515" s="75"/>
      <c r="U5515" s="75"/>
      <c r="V5515" s="75"/>
      <c r="W5515" s="75"/>
      <c r="X5515" s="75"/>
    </row>
    <row r="5516">
      <c r="A5516" s="17"/>
      <c r="B5516" s="17"/>
      <c r="C5516" s="133"/>
      <c r="D5516" s="133"/>
      <c r="E5516" s="17"/>
      <c r="F5516" s="133"/>
      <c r="G5516" s="133"/>
      <c r="H5516" s="133"/>
      <c r="I5516" s="133"/>
      <c r="J5516" s="133"/>
      <c r="K5516" s="133"/>
      <c r="L5516" s="133"/>
      <c r="M5516" s="133"/>
      <c r="N5516" s="133"/>
      <c r="O5516" s="133"/>
      <c r="P5516" s="134"/>
      <c r="Q5516" s="146"/>
      <c r="R5516" s="17"/>
      <c r="S5516" s="17"/>
      <c r="T5516" s="75"/>
      <c r="U5516" s="75"/>
      <c r="V5516" s="75"/>
      <c r="W5516" s="75"/>
      <c r="X5516" s="75"/>
    </row>
    <row r="5517">
      <c r="A5517" s="17"/>
      <c r="B5517" s="17"/>
      <c r="C5517" s="133"/>
      <c r="D5517" s="133"/>
      <c r="E5517" s="17"/>
      <c r="F5517" s="133"/>
      <c r="G5517" s="133"/>
      <c r="H5517" s="133"/>
      <c r="I5517" s="133"/>
      <c r="J5517" s="133"/>
      <c r="K5517" s="133"/>
      <c r="L5517" s="133"/>
      <c r="M5517" s="133"/>
      <c r="N5517" s="133"/>
      <c r="O5517" s="133"/>
      <c r="P5517" s="134"/>
      <c r="Q5517" s="146"/>
      <c r="R5517" s="17"/>
      <c r="S5517" s="17"/>
      <c r="T5517" s="75"/>
      <c r="U5517" s="75"/>
      <c r="V5517" s="75"/>
      <c r="W5517" s="75"/>
      <c r="X5517" s="75"/>
    </row>
    <row r="5518">
      <c r="A5518" s="17"/>
      <c r="B5518" s="17"/>
      <c r="C5518" s="133"/>
      <c r="D5518" s="133"/>
      <c r="E5518" s="17"/>
      <c r="F5518" s="133"/>
      <c r="G5518" s="133"/>
      <c r="H5518" s="133"/>
      <c r="I5518" s="133"/>
      <c r="J5518" s="133"/>
      <c r="K5518" s="133"/>
      <c r="L5518" s="133"/>
      <c r="M5518" s="133"/>
      <c r="N5518" s="133"/>
      <c r="O5518" s="133"/>
      <c r="P5518" s="134"/>
      <c r="Q5518" s="146"/>
      <c r="R5518" s="17"/>
      <c r="S5518" s="17"/>
      <c r="T5518" s="75"/>
      <c r="U5518" s="75"/>
      <c r="V5518" s="75"/>
      <c r="W5518" s="75"/>
      <c r="X5518" s="75"/>
    </row>
    <row r="5519">
      <c r="A5519" s="17"/>
      <c r="B5519" s="17"/>
      <c r="C5519" s="133"/>
      <c r="D5519" s="133"/>
      <c r="E5519" s="17"/>
      <c r="F5519" s="133"/>
      <c r="G5519" s="133"/>
      <c r="H5519" s="133"/>
      <c r="I5519" s="133"/>
      <c r="J5519" s="133"/>
      <c r="K5519" s="133"/>
      <c r="L5519" s="133"/>
      <c r="M5519" s="133"/>
      <c r="N5519" s="133"/>
      <c r="O5519" s="133"/>
      <c r="P5519" s="134"/>
      <c r="Q5519" s="146"/>
      <c r="R5519" s="17"/>
      <c r="S5519" s="17"/>
      <c r="T5519" s="75"/>
      <c r="U5519" s="75"/>
      <c r="V5519" s="75"/>
      <c r="W5519" s="75"/>
      <c r="X5519" s="75"/>
    </row>
    <row r="5520">
      <c r="A5520" s="17"/>
      <c r="B5520" s="17"/>
      <c r="C5520" s="133"/>
      <c r="D5520" s="133"/>
      <c r="E5520" s="17"/>
      <c r="F5520" s="133"/>
      <c r="G5520" s="133"/>
      <c r="H5520" s="133"/>
      <c r="I5520" s="133"/>
      <c r="J5520" s="133"/>
      <c r="K5520" s="133"/>
      <c r="L5520" s="133"/>
      <c r="M5520" s="133"/>
      <c r="N5520" s="133"/>
      <c r="O5520" s="133"/>
      <c r="P5520" s="134"/>
      <c r="Q5520" s="146"/>
      <c r="R5520" s="17"/>
      <c r="S5520" s="17"/>
      <c r="T5520" s="75"/>
      <c r="U5520" s="75"/>
      <c r="V5520" s="75"/>
      <c r="W5520" s="75"/>
      <c r="X5520" s="75"/>
    </row>
    <row r="5521">
      <c r="A5521" s="17"/>
      <c r="B5521" s="17"/>
      <c r="C5521" s="133"/>
      <c r="D5521" s="133"/>
      <c r="E5521" s="17"/>
      <c r="F5521" s="133"/>
      <c r="G5521" s="133"/>
      <c r="H5521" s="133"/>
      <c r="I5521" s="133"/>
      <c r="J5521" s="133"/>
      <c r="K5521" s="133"/>
      <c r="L5521" s="133"/>
      <c r="M5521" s="133"/>
      <c r="N5521" s="133"/>
      <c r="O5521" s="133"/>
      <c r="P5521" s="134"/>
      <c r="Q5521" s="146"/>
      <c r="R5521" s="17"/>
      <c r="S5521" s="17"/>
      <c r="T5521" s="75"/>
      <c r="U5521" s="75"/>
      <c r="V5521" s="75"/>
      <c r="W5521" s="75"/>
      <c r="X5521" s="75"/>
    </row>
    <row r="5522">
      <c r="A5522" s="17"/>
      <c r="B5522" s="17"/>
      <c r="C5522" s="133"/>
      <c r="D5522" s="133"/>
      <c r="E5522" s="17"/>
      <c r="F5522" s="133"/>
      <c r="G5522" s="133"/>
      <c r="H5522" s="133"/>
      <c r="I5522" s="133"/>
      <c r="J5522" s="133"/>
      <c r="K5522" s="133"/>
      <c r="L5522" s="133"/>
      <c r="M5522" s="133"/>
      <c r="N5522" s="133"/>
      <c r="O5522" s="133"/>
      <c r="P5522" s="134"/>
      <c r="Q5522" s="146"/>
      <c r="R5522" s="17"/>
      <c r="S5522" s="17"/>
      <c r="T5522" s="75"/>
      <c r="U5522" s="75"/>
      <c r="V5522" s="75"/>
      <c r="W5522" s="75"/>
      <c r="X5522" s="75"/>
    </row>
    <row r="5523">
      <c r="A5523" s="17"/>
      <c r="B5523" s="17"/>
      <c r="C5523" s="133"/>
      <c r="D5523" s="133"/>
      <c r="E5523" s="17"/>
      <c r="F5523" s="133"/>
      <c r="G5523" s="133"/>
      <c r="H5523" s="133"/>
      <c r="I5523" s="133"/>
      <c r="J5523" s="133"/>
      <c r="K5523" s="133"/>
      <c r="L5523" s="133"/>
      <c r="M5523" s="133"/>
      <c r="N5523" s="133"/>
      <c r="O5523" s="133"/>
      <c r="P5523" s="134"/>
      <c r="Q5523" s="146"/>
      <c r="R5523" s="17"/>
      <c r="S5523" s="17"/>
      <c r="T5523" s="75"/>
      <c r="U5523" s="75"/>
      <c r="V5523" s="75"/>
      <c r="W5523" s="75"/>
      <c r="X5523" s="75"/>
    </row>
    <row r="5524">
      <c r="A5524" s="17"/>
      <c r="B5524" s="17"/>
      <c r="C5524" s="133"/>
      <c r="D5524" s="133"/>
      <c r="E5524" s="17"/>
      <c r="F5524" s="133"/>
      <c r="G5524" s="133"/>
      <c r="H5524" s="133"/>
      <c r="I5524" s="133"/>
      <c r="J5524" s="133"/>
      <c r="K5524" s="133"/>
      <c r="L5524" s="133"/>
      <c r="M5524" s="133"/>
      <c r="N5524" s="133"/>
      <c r="O5524" s="133"/>
      <c r="P5524" s="134"/>
      <c r="Q5524" s="146"/>
      <c r="R5524" s="17"/>
      <c r="S5524" s="17"/>
      <c r="T5524" s="75"/>
      <c r="U5524" s="75"/>
      <c r="V5524" s="75"/>
      <c r="W5524" s="75"/>
      <c r="X5524" s="75"/>
    </row>
    <row r="5525">
      <c r="A5525" s="17"/>
      <c r="B5525" s="17"/>
      <c r="C5525" s="133"/>
      <c r="D5525" s="133"/>
      <c r="E5525" s="17"/>
      <c r="F5525" s="133"/>
      <c r="G5525" s="133"/>
      <c r="H5525" s="133"/>
      <c r="I5525" s="133"/>
      <c r="J5525" s="133"/>
      <c r="K5525" s="133"/>
      <c r="L5525" s="133"/>
      <c r="M5525" s="133"/>
      <c r="N5525" s="133"/>
      <c r="O5525" s="133"/>
      <c r="P5525" s="134"/>
      <c r="Q5525" s="146"/>
      <c r="R5525" s="17"/>
      <c r="S5525" s="17"/>
      <c r="T5525" s="75"/>
      <c r="U5525" s="75"/>
      <c r="V5525" s="75"/>
      <c r="W5525" s="75"/>
      <c r="X5525" s="75"/>
    </row>
    <row r="5526">
      <c r="A5526" s="17"/>
      <c r="B5526" s="17"/>
      <c r="C5526" s="133"/>
      <c r="D5526" s="133"/>
      <c r="E5526" s="17"/>
      <c r="F5526" s="133"/>
      <c r="G5526" s="133"/>
      <c r="H5526" s="133"/>
      <c r="I5526" s="133"/>
      <c r="J5526" s="133"/>
      <c r="K5526" s="133"/>
      <c r="L5526" s="133"/>
      <c r="M5526" s="133"/>
      <c r="N5526" s="133"/>
      <c r="O5526" s="133"/>
      <c r="P5526" s="134"/>
      <c r="Q5526" s="146"/>
      <c r="R5526" s="17"/>
      <c r="S5526" s="17"/>
      <c r="T5526" s="75"/>
      <c r="U5526" s="75"/>
      <c r="V5526" s="75"/>
      <c r="W5526" s="75"/>
      <c r="X5526" s="75"/>
    </row>
    <row r="5527">
      <c r="A5527" s="17"/>
      <c r="B5527" s="17"/>
      <c r="C5527" s="133"/>
      <c r="D5527" s="133"/>
      <c r="E5527" s="17"/>
      <c r="F5527" s="133"/>
      <c r="G5527" s="133"/>
      <c r="H5527" s="133"/>
      <c r="I5527" s="133"/>
      <c r="J5527" s="133"/>
      <c r="K5527" s="133"/>
      <c r="L5527" s="133"/>
      <c r="M5527" s="133"/>
      <c r="N5527" s="133"/>
      <c r="O5527" s="133"/>
      <c r="P5527" s="134"/>
      <c r="Q5527" s="146"/>
      <c r="R5527" s="17"/>
      <c r="S5527" s="17"/>
      <c r="T5527" s="75"/>
      <c r="U5527" s="75"/>
      <c r="V5527" s="75"/>
      <c r="W5527" s="75"/>
      <c r="X5527" s="75"/>
    </row>
    <row r="5528">
      <c r="A5528" s="17"/>
      <c r="B5528" s="17"/>
      <c r="C5528" s="133"/>
      <c r="D5528" s="133"/>
      <c r="E5528" s="17"/>
      <c r="F5528" s="133"/>
      <c r="G5528" s="133"/>
      <c r="H5528" s="133"/>
      <c r="I5528" s="133"/>
      <c r="J5528" s="133"/>
      <c r="K5528" s="133"/>
      <c r="L5528" s="133"/>
      <c r="M5528" s="133"/>
      <c r="N5528" s="133"/>
      <c r="O5528" s="133"/>
      <c r="P5528" s="134"/>
      <c r="Q5528" s="146"/>
      <c r="R5528" s="17"/>
      <c r="S5528" s="17"/>
      <c r="T5528" s="75"/>
      <c r="U5528" s="75"/>
      <c r="V5528" s="75"/>
      <c r="W5528" s="75"/>
      <c r="X5528" s="75"/>
    </row>
    <row r="5529">
      <c r="A5529" s="17"/>
      <c r="B5529" s="17"/>
      <c r="C5529" s="133"/>
      <c r="D5529" s="133"/>
      <c r="E5529" s="17"/>
      <c r="F5529" s="133"/>
      <c r="G5529" s="133"/>
      <c r="H5529" s="133"/>
      <c r="I5529" s="133"/>
      <c r="J5529" s="133"/>
      <c r="K5529" s="133"/>
      <c r="L5529" s="133"/>
      <c r="M5529" s="133"/>
      <c r="N5529" s="133"/>
      <c r="O5529" s="133"/>
      <c r="P5529" s="134"/>
      <c r="Q5529" s="146"/>
      <c r="R5529" s="17"/>
      <c r="S5529" s="17"/>
      <c r="T5529" s="75"/>
      <c r="U5529" s="75"/>
      <c r="V5529" s="75"/>
      <c r="W5529" s="75"/>
      <c r="X5529" s="75"/>
    </row>
    <row r="5530">
      <c r="A5530" s="17"/>
      <c r="B5530" s="17"/>
      <c r="C5530" s="133"/>
      <c r="D5530" s="133"/>
      <c r="E5530" s="17"/>
      <c r="F5530" s="133"/>
      <c r="G5530" s="133"/>
      <c r="H5530" s="133"/>
      <c r="I5530" s="133"/>
      <c r="J5530" s="133"/>
      <c r="K5530" s="133"/>
      <c r="L5530" s="133"/>
      <c r="M5530" s="133"/>
      <c r="N5530" s="133"/>
      <c r="O5530" s="133"/>
      <c r="P5530" s="134"/>
      <c r="Q5530" s="146"/>
      <c r="R5530" s="17"/>
      <c r="S5530" s="17"/>
      <c r="T5530" s="75"/>
      <c r="U5530" s="75"/>
      <c r="V5530" s="75"/>
      <c r="W5530" s="75"/>
      <c r="X5530" s="75"/>
    </row>
    <row r="5531">
      <c r="A5531" s="17"/>
      <c r="B5531" s="17"/>
      <c r="C5531" s="133"/>
      <c r="D5531" s="133"/>
      <c r="E5531" s="17"/>
      <c r="F5531" s="133"/>
      <c r="G5531" s="133"/>
      <c r="H5531" s="133"/>
      <c r="I5531" s="133"/>
      <c r="J5531" s="133"/>
      <c r="K5531" s="133"/>
      <c r="L5531" s="133"/>
      <c r="M5531" s="133"/>
      <c r="N5531" s="133"/>
      <c r="O5531" s="133"/>
      <c r="P5531" s="134"/>
      <c r="Q5531" s="146"/>
      <c r="R5531" s="17"/>
      <c r="S5531" s="17"/>
      <c r="T5531" s="75"/>
      <c r="U5531" s="75"/>
      <c r="V5531" s="75"/>
      <c r="W5531" s="75"/>
      <c r="X5531" s="75"/>
    </row>
    <row r="5532">
      <c r="A5532" s="17"/>
      <c r="B5532" s="17"/>
      <c r="C5532" s="133"/>
      <c r="D5532" s="133"/>
      <c r="E5532" s="17"/>
      <c r="F5532" s="133"/>
      <c r="G5532" s="133"/>
      <c r="H5532" s="133"/>
      <c r="I5532" s="133"/>
      <c r="J5532" s="133"/>
      <c r="K5532" s="133"/>
      <c r="L5532" s="133"/>
      <c r="M5532" s="133"/>
      <c r="N5532" s="133"/>
      <c r="O5532" s="133"/>
      <c r="P5532" s="134"/>
      <c r="Q5532" s="146"/>
      <c r="R5532" s="17"/>
      <c r="S5532" s="17"/>
      <c r="T5532" s="75"/>
      <c r="U5532" s="75"/>
      <c r="V5532" s="75"/>
      <c r="W5532" s="75"/>
      <c r="X5532" s="75"/>
    </row>
    <row r="5533">
      <c r="A5533" s="17"/>
      <c r="B5533" s="17"/>
      <c r="C5533" s="133"/>
      <c r="D5533" s="133"/>
      <c r="E5533" s="17"/>
      <c r="F5533" s="133"/>
      <c r="G5533" s="133"/>
      <c r="H5533" s="133"/>
      <c r="I5533" s="133"/>
      <c r="J5533" s="133"/>
      <c r="K5533" s="133"/>
      <c r="L5533" s="133"/>
      <c r="M5533" s="133"/>
      <c r="N5533" s="133"/>
      <c r="O5533" s="133"/>
      <c r="P5533" s="134"/>
      <c r="Q5533" s="146"/>
      <c r="R5533" s="17"/>
      <c r="S5533" s="17"/>
      <c r="T5533" s="75"/>
      <c r="U5533" s="75"/>
      <c r="V5533" s="75"/>
      <c r="W5533" s="75"/>
      <c r="X5533" s="75"/>
    </row>
    <row r="5534">
      <c r="A5534" s="17"/>
      <c r="B5534" s="17"/>
      <c r="C5534" s="133"/>
      <c r="D5534" s="133"/>
      <c r="E5534" s="17"/>
      <c r="F5534" s="133"/>
      <c r="G5534" s="133"/>
      <c r="H5534" s="133"/>
      <c r="I5534" s="133"/>
      <c r="J5534" s="133"/>
      <c r="K5534" s="133"/>
      <c r="L5534" s="133"/>
      <c r="M5534" s="133"/>
      <c r="N5534" s="133"/>
      <c r="O5534" s="133"/>
      <c r="P5534" s="134"/>
      <c r="Q5534" s="146"/>
      <c r="R5534" s="17"/>
      <c r="S5534" s="17"/>
      <c r="T5534" s="75"/>
      <c r="U5534" s="75"/>
      <c r="V5534" s="75"/>
      <c r="W5534" s="75"/>
      <c r="X5534" s="75"/>
    </row>
    <row r="5535">
      <c r="A5535" s="17"/>
      <c r="B5535" s="17"/>
      <c r="C5535" s="133"/>
      <c r="D5535" s="133"/>
      <c r="E5535" s="17"/>
      <c r="F5535" s="133"/>
      <c r="G5535" s="133"/>
      <c r="H5535" s="133"/>
      <c r="I5535" s="133"/>
      <c r="J5535" s="133"/>
      <c r="K5535" s="133"/>
      <c r="L5535" s="133"/>
      <c r="M5535" s="133"/>
      <c r="N5535" s="133"/>
      <c r="O5535" s="133"/>
      <c r="P5535" s="134"/>
      <c r="Q5535" s="146"/>
      <c r="R5535" s="17"/>
      <c r="S5535" s="17"/>
      <c r="T5535" s="75"/>
      <c r="U5535" s="75"/>
      <c r="V5535" s="75"/>
      <c r="W5535" s="75"/>
      <c r="X5535" s="75"/>
    </row>
    <row r="5536">
      <c r="A5536" s="17"/>
      <c r="B5536" s="17"/>
      <c r="C5536" s="133"/>
      <c r="D5536" s="133"/>
      <c r="E5536" s="17"/>
      <c r="F5536" s="133"/>
      <c r="G5536" s="133"/>
      <c r="H5536" s="133"/>
      <c r="I5536" s="133"/>
      <c r="J5536" s="133"/>
      <c r="K5536" s="133"/>
      <c r="L5536" s="133"/>
      <c r="M5536" s="133"/>
      <c r="N5536" s="133"/>
      <c r="O5536" s="133"/>
      <c r="P5536" s="134"/>
      <c r="Q5536" s="146"/>
      <c r="R5536" s="17"/>
      <c r="S5536" s="17"/>
      <c r="T5536" s="75"/>
      <c r="U5536" s="75"/>
      <c r="V5536" s="75"/>
      <c r="W5536" s="75"/>
      <c r="X5536" s="75"/>
    </row>
    <row r="5537">
      <c r="A5537" s="17"/>
      <c r="B5537" s="17"/>
      <c r="C5537" s="133"/>
      <c r="D5537" s="133"/>
      <c r="E5537" s="17"/>
      <c r="F5537" s="133"/>
      <c r="G5537" s="133"/>
      <c r="H5537" s="133"/>
      <c r="I5537" s="133"/>
      <c r="J5537" s="133"/>
      <c r="K5537" s="133"/>
      <c r="L5537" s="133"/>
      <c r="M5537" s="133"/>
      <c r="N5537" s="133"/>
      <c r="O5537" s="133"/>
      <c r="P5537" s="134"/>
      <c r="Q5537" s="146"/>
      <c r="R5537" s="17"/>
      <c r="S5537" s="17"/>
      <c r="T5537" s="75"/>
      <c r="U5537" s="75"/>
      <c r="V5537" s="75"/>
      <c r="W5537" s="75"/>
      <c r="X5537" s="75"/>
    </row>
    <row r="5538">
      <c r="A5538" s="17"/>
      <c r="B5538" s="17"/>
      <c r="C5538" s="133"/>
      <c r="D5538" s="133"/>
      <c r="E5538" s="17"/>
      <c r="F5538" s="133"/>
      <c r="G5538" s="133"/>
      <c r="H5538" s="133"/>
      <c r="I5538" s="133"/>
      <c r="J5538" s="133"/>
      <c r="K5538" s="133"/>
      <c r="L5538" s="133"/>
      <c r="M5538" s="133"/>
      <c r="N5538" s="133"/>
      <c r="O5538" s="133"/>
      <c r="P5538" s="134"/>
      <c r="Q5538" s="146"/>
      <c r="R5538" s="17"/>
      <c r="S5538" s="17"/>
      <c r="T5538" s="75"/>
      <c r="U5538" s="75"/>
      <c r="V5538" s="75"/>
      <c r="W5538" s="75"/>
      <c r="X5538" s="75"/>
    </row>
    <row r="5539">
      <c r="A5539" s="17"/>
      <c r="B5539" s="17"/>
      <c r="C5539" s="133"/>
      <c r="D5539" s="133"/>
      <c r="E5539" s="17"/>
      <c r="F5539" s="133"/>
      <c r="G5539" s="133"/>
      <c r="H5539" s="133"/>
      <c r="I5539" s="133"/>
      <c r="J5539" s="133"/>
      <c r="K5539" s="133"/>
      <c r="L5539" s="133"/>
      <c r="M5539" s="133"/>
      <c r="N5539" s="133"/>
      <c r="O5539" s="133"/>
      <c r="P5539" s="134"/>
      <c r="Q5539" s="146"/>
      <c r="R5539" s="17"/>
      <c r="S5539" s="17"/>
      <c r="T5539" s="75"/>
      <c r="U5539" s="75"/>
      <c r="V5539" s="75"/>
      <c r="W5539" s="75"/>
      <c r="X5539" s="75"/>
    </row>
    <row r="5540">
      <c r="A5540" s="17"/>
      <c r="B5540" s="17"/>
      <c r="C5540" s="133"/>
      <c r="D5540" s="133"/>
      <c r="E5540" s="17"/>
      <c r="F5540" s="133"/>
      <c r="G5540" s="133"/>
      <c r="H5540" s="133"/>
      <c r="I5540" s="133"/>
      <c r="J5540" s="133"/>
      <c r="K5540" s="133"/>
      <c r="L5540" s="133"/>
      <c r="M5540" s="133"/>
      <c r="N5540" s="133"/>
      <c r="O5540" s="133"/>
      <c r="P5540" s="134"/>
      <c r="Q5540" s="146"/>
      <c r="R5540" s="17"/>
      <c r="S5540" s="17"/>
      <c r="T5540" s="75"/>
      <c r="U5540" s="75"/>
      <c r="V5540" s="75"/>
      <c r="W5540" s="75"/>
      <c r="X5540" s="75"/>
    </row>
    <row r="5541">
      <c r="A5541" s="17"/>
      <c r="B5541" s="17"/>
      <c r="C5541" s="133"/>
      <c r="D5541" s="133"/>
      <c r="E5541" s="17"/>
      <c r="F5541" s="133"/>
      <c r="G5541" s="133"/>
      <c r="H5541" s="133"/>
      <c r="I5541" s="133"/>
      <c r="J5541" s="133"/>
      <c r="K5541" s="133"/>
      <c r="L5541" s="133"/>
      <c r="M5541" s="133"/>
      <c r="N5541" s="133"/>
      <c r="O5541" s="133"/>
      <c r="P5541" s="134"/>
      <c r="Q5541" s="146"/>
      <c r="R5541" s="17"/>
      <c r="S5541" s="17"/>
      <c r="T5541" s="75"/>
      <c r="U5541" s="75"/>
      <c r="V5541" s="75"/>
      <c r="W5541" s="75"/>
      <c r="X5541" s="75"/>
    </row>
    <row r="5542">
      <c r="A5542" s="17"/>
      <c r="B5542" s="17"/>
      <c r="C5542" s="133"/>
      <c r="D5542" s="133"/>
      <c r="E5542" s="17"/>
      <c r="F5542" s="133"/>
      <c r="G5542" s="133"/>
      <c r="H5542" s="133"/>
      <c r="I5542" s="133"/>
      <c r="J5542" s="133"/>
      <c r="K5542" s="133"/>
      <c r="L5542" s="133"/>
      <c r="M5542" s="133"/>
      <c r="N5542" s="133"/>
      <c r="O5542" s="133"/>
      <c r="P5542" s="134"/>
      <c r="Q5542" s="146"/>
      <c r="R5542" s="17"/>
      <c r="S5542" s="17"/>
      <c r="T5542" s="75"/>
      <c r="U5542" s="75"/>
      <c r="V5542" s="75"/>
      <c r="W5542" s="75"/>
      <c r="X5542" s="75"/>
    </row>
    <row r="5543">
      <c r="A5543" s="17"/>
      <c r="B5543" s="17"/>
      <c r="C5543" s="133"/>
      <c r="D5543" s="133"/>
      <c r="E5543" s="17"/>
      <c r="F5543" s="133"/>
      <c r="G5543" s="133"/>
      <c r="H5543" s="133"/>
      <c r="I5543" s="133"/>
      <c r="J5543" s="133"/>
      <c r="K5543" s="133"/>
      <c r="L5543" s="133"/>
      <c r="M5543" s="133"/>
      <c r="N5543" s="133"/>
      <c r="O5543" s="133"/>
      <c r="P5543" s="134"/>
      <c r="Q5543" s="146"/>
      <c r="R5543" s="17"/>
      <c r="S5543" s="17"/>
      <c r="T5543" s="75"/>
      <c r="U5543" s="75"/>
      <c r="V5543" s="75"/>
      <c r="W5543" s="75"/>
      <c r="X5543" s="75"/>
    </row>
    <row r="5544">
      <c r="A5544" s="17"/>
      <c r="B5544" s="17"/>
      <c r="C5544" s="133"/>
      <c r="D5544" s="133"/>
      <c r="E5544" s="17"/>
      <c r="F5544" s="133"/>
      <c r="G5544" s="133"/>
      <c r="H5544" s="133"/>
      <c r="I5544" s="133"/>
      <c r="J5544" s="133"/>
      <c r="K5544" s="133"/>
      <c r="L5544" s="133"/>
      <c r="M5544" s="133"/>
      <c r="N5544" s="133"/>
      <c r="O5544" s="133"/>
      <c r="P5544" s="134"/>
      <c r="Q5544" s="146"/>
      <c r="R5544" s="17"/>
      <c r="S5544" s="17"/>
      <c r="T5544" s="75"/>
      <c r="U5544" s="75"/>
      <c r="V5544" s="75"/>
      <c r="W5544" s="75"/>
      <c r="X5544" s="75"/>
    </row>
    <row r="5545">
      <c r="A5545" s="17"/>
      <c r="B5545" s="17"/>
      <c r="C5545" s="133"/>
      <c r="D5545" s="133"/>
      <c r="E5545" s="17"/>
      <c r="F5545" s="133"/>
      <c r="G5545" s="133"/>
      <c r="H5545" s="133"/>
      <c r="I5545" s="133"/>
      <c r="J5545" s="133"/>
      <c r="K5545" s="133"/>
      <c r="L5545" s="133"/>
      <c r="M5545" s="133"/>
      <c r="N5545" s="133"/>
      <c r="O5545" s="133"/>
      <c r="P5545" s="134"/>
      <c r="Q5545" s="146"/>
      <c r="R5545" s="17"/>
      <c r="S5545" s="17"/>
      <c r="T5545" s="75"/>
      <c r="U5545" s="75"/>
      <c r="V5545" s="75"/>
      <c r="W5545" s="75"/>
      <c r="X5545" s="75"/>
    </row>
    <row r="5546">
      <c r="A5546" s="17"/>
      <c r="B5546" s="17"/>
      <c r="C5546" s="133"/>
      <c r="D5546" s="133"/>
      <c r="E5546" s="17"/>
      <c r="F5546" s="133"/>
      <c r="G5546" s="133"/>
      <c r="H5546" s="133"/>
      <c r="I5546" s="133"/>
      <c r="J5546" s="133"/>
      <c r="K5546" s="133"/>
      <c r="L5546" s="133"/>
      <c r="M5546" s="133"/>
      <c r="N5546" s="133"/>
      <c r="O5546" s="133"/>
      <c r="P5546" s="134"/>
      <c r="Q5546" s="146"/>
      <c r="R5546" s="17"/>
      <c r="S5546" s="17"/>
      <c r="T5546" s="75"/>
      <c r="U5546" s="75"/>
      <c r="V5546" s="75"/>
      <c r="W5546" s="75"/>
      <c r="X5546" s="75"/>
    </row>
    <row r="5547">
      <c r="A5547" s="17"/>
      <c r="B5547" s="17"/>
      <c r="C5547" s="133"/>
      <c r="D5547" s="133"/>
      <c r="E5547" s="17"/>
      <c r="F5547" s="133"/>
      <c r="G5547" s="133"/>
      <c r="H5547" s="133"/>
      <c r="I5547" s="133"/>
      <c r="J5547" s="133"/>
      <c r="K5547" s="133"/>
      <c r="L5547" s="133"/>
      <c r="M5547" s="133"/>
      <c r="N5547" s="133"/>
      <c r="O5547" s="133"/>
      <c r="P5547" s="134"/>
      <c r="Q5547" s="146"/>
      <c r="R5547" s="17"/>
      <c r="S5547" s="17"/>
      <c r="T5547" s="75"/>
      <c r="U5547" s="75"/>
      <c r="V5547" s="75"/>
      <c r="W5547" s="75"/>
      <c r="X5547" s="75"/>
    </row>
    <row r="5548">
      <c r="A5548" s="17"/>
      <c r="B5548" s="17"/>
      <c r="C5548" s="133"/>
      <c r="D5548" s="133"/>
      <c r="E5548" s="17"/>
      <c r="F5548" s="133"/>
      <c r="G5548" s="133"/>
      <c r="H5548" s="133"/>
      <c r="I5548" s="133"/>
      <c r="J5548" s="133"/>
      <c r="K5548" s="133"/>
      <c r="L5548" s="133"/>
      <c r="M5548" s="133"/>
      <c r="N5548" s="133"/>
      <c r="O5548" s="133"/>
      <c r="P5548" s="134"/>
      <c r="Q5548" s="146"/>
      <c r="R5548" s="17"/>
      <c r="S5548" s="17"/>
      <c r="T5548" s="75"/>
      <c r="U5548" s="75"/>
      <c r="V5548" s="75"/>
      <c r="W5548" s="75"/>
      <c r="X5548" s="75"/>
    </row>
    <row r="5549">
      <c r="A5549" s="17"/>
      <c r="B5549" s="17"/>
      <c r="C5549" s="133"/>
      <c r="D5549" s="133"/>
      <c r="E5549" s="17"/>
      <c r="F5549" s="133"/>
      <c r="G5549" s="133"/>
      <c r="H5549" s="133"/>
      <c r="I5549" s="133"/>
      <c r="J5549" s="133"/>
      <c r="K5549" s="133"/>
      <c r="L5549" s="133"/>
      <c r="M5549" s="133"/>
      <c r="N5549" s="133"/>
      <c r="O5549" s="133"/>
      <c r="P5549" s="134"/>
      <c r="Q5549" s="146"/>
      <c r="R5549" s="17"/>
      <c r="S5549" s="17"/>
      <c r="T5549" s="75"/>
      <c r="U5549" s="75"/>
      <c r="V5549" s="75"/>
      <c r="W5549" s="75"/>
      <c r="X5549" s="75"/>
    </row>
    <row r="5550">
      <c r="A5550" s="17"/>
      <c r="B5550" s="17"/>
      <c r="C5550" s="133"/>
      <c r="D5550" s="133"/>
      <c r="E5550" s="17"/>
      <c r="F5550" s="133"/>
      <c r="G5550" s="133"/>
      <c r="H5550" s="133"/>
      <c r="I5550" s="133"/>
      <c r="J5550" s="133"/>
      <c r="K5550" s="133"/>
      <c r="L5550" s="133"/>
      <c r="M5550" s="133"/>
      <c r="N5550" s="133"/>
      <c r="O5550" s="133"/>
      <c r="P5550" s="134"/>
      <c r="Q5550" s="146"/>
      <c r="R5550" s="17"/>
      <c r="S5550" s="17"/>
      <c r="T5550" s="75"/>
      <c r="U5550" s="75"/>
      <c r="V5550" s="75"/>
      <c r="W5550" s="75"/>
      <c r="X5550" s="75"/>
    </row>
    <row r="5551">
      <c r="A5551" s="17"/>
      <c r="B5551" s="17"/>
      <c r="C5551" s="133"/>
      <c r="D5551" s="133"/>
      <c r="E5551" s="17"/>
      <c r="F5551" s="133"/>
      <c r="G5551" s="133"/>
      <c r="H5551" s="133"/>
      <c r="I5551" s="133"/>
      <c r="J5551" s="133"/>
      <c r="K5551" s="133"/>
      <c r="L5551" s="133"/>
      <c r="M5551" s="133"/>
      <c r="N5551" s="133"/>
      <c r="O5551" s="133"/>
      <c r="P5551" s="134"/>
      <c r="Q5551" s="146"/>
      <c r="R5551" s="17"/>
      <c r="S5551" s="17"/>
      <c r="T5551" s="75"/>
      <c r="U5551" s="75"/>
      <c r="V5551" s="75"/>
      <c r="W5551" s="75"/>
      <c r="X5551" s="75"/>
    </row>
    <row r="5552">
      <c r="A5552" s="17"/>
      <c r="B5552" s="17"/>
      <c r="C5552" s="133"/>
      <c r="D5552" s="133"/>
      <c r="E5552" s="17"/>
      <c r="F5552" s="133"/>
      <c r="G5552" s="133"/>
      <c r="H5552" s="133"/>
      <c r="I5552" s="133"/>
      <c r="J5552" s="133"/>
      <c r="K5552" s="133"/>
      <c r="L5552" s="133"/>
      <c r="M5552" s="133"/>
      <c r="N5552" s="133"/>
      <c r="O5552" s="133"/>
      <c r="P5552" s="134"/>
      <c r="Q5552" s="146"/>
      <c r="R5552" s="17"/>
      <c r="S5552" s="17"/>
      <c r="T5552" s="75"/>
      <c r="U5552" s="75"/>
      <c r="V5552" s="75"/>
      <c r="W5552" s="75"/>
      <c r="X5552" s="75"/>
    </row>
    <row r="5553">
      <c r="A5553" s="17"/>
      <c r="B5553" s="17"/>
      <c r="C5553" s="133"/>
      <c r="D5553" s="133"/>
      <c r="E5553" s="17"/>
      <c r="F5553" s="133"/>
      <c r="G5553" s="133"/>
      <c r="H5553" s="133"/>
      <c r="I5553" s="133"/>
      <c r="J5553" s="133"/>
      <c r="K5553" s="133"/>
      <c r="L5553" s="133"/>
      <c r="M5553" s="133"/>
      <c r="N5553" s="133"/>
      <c r="O5553" s="133"/>
      <c r="P5553" s="134"/>
      <c r="Q5553" s="146"/>
      <c r="R5553" s="17"/>
      <c r="S5553" s="17"/>
      <c r="T5553" s="75"/>
      <c r="U5553" s="75"/>
      <c r="V5553" s="75"/>
      <c r="W5553" s="75"/>
      <c r="X5553" s="75"/>
    </row>
    <row r="5554">
      <c r="A5554" s="17"/>
      <c r="B5554" s="17"/>
      <c r="C5554" s="133"/>
      <c r="D5554" s="133"/>
      <c r="E5554" s="17"/>
      <c r="F5554" s="133"/>
      <c r="G5554" s="133"/>
      <c r="H5554" s="133"/>
      <c r="I5554" s="133"/>
      <c r="J5554" s="133"/>
      <c r="K5554" s="133"/>
      <c r="L5554" s="133"/>
      <c r="M5554" s="133"/>
      <c r="N5554" s="133"/>
      <c r="O5554" s="133"/>
      <c r="P5554" s="134"/>
      <c r="Q5554" s="146"/>
      <c r="R5554" s="17"/>
      <c r="S5554" s="17"/>
      <c r="T5554" s="75"/>
      <c r="U5554" s="75"/>
      <c r="V5554" s="75"/>
      <c r="W5554" s="75"/>
      <c r="X5554" s="75"/>
    </row>
    <row r="5555">
      <c r="A5555" s="17"/>
      <c r="B5555" s="17"/>
      <c r="C5555" s="133"/>
      <c r="D5555" s="133"/>
      <c r="E5555" s="17"/>
      <c r="F5555" s="133"/>
      <c r="G5555" s="133"/>
      <c r="H5555" s="133"/>
      <c r="I5555" s="133"/>
      <c r="J5555" s="133"/>
      <c r="K5555" s="133"/>
      <c r="L5555" s="133"/>
      <c r="M5555" s="133"/>
      <c r="N5555" s="133"/>
      <c r="O5555" s="133"/>
      <c r="P5555" s="134"/>
      <c r="Q5555" s="146"/>
      <c r="R5555" s="17"/>
      <c r="S5555" s="17"/>
      <c r="T5555" s="75"/>
      <c r="U5555" s="75"/>
      <c r="V5555" s="75"/>
      <c r="W5555" s="75"/>
      <c r="X5555" s="75"/>
    </row>
    <row r="5556">
      <c r="A5556" s="17"/>
      <c r="B5556" s="17"/>
      <c r="C5556" s="133"/>
      <c r="D5556" s="133"/>
      <c r="E5556" s="17"/>
      <c r="F5556" s="133"/>
      <c r="G5556" s="133"/>
      <c r="H5556" s="133"/>
      <c r="I5556" s="133"/>
      <c r="J5556" s="133"/>
      <c r="K5556" s="133"/>
      <c r="L5556" s="133"/>
      <c r="M5556" s="133"/>
      <c r="N5556" s="133"/>
      <c r="O5556" s="133"/>
      <c r="P5556" s="134"/>
      <c r="Q5556" s="146"/>
      <c r="R5556" s="17"/>
      <c r="S5556" s="17"/>
      <c r="T5556" s="75"/>
      <c r="U5556" s="75"/>
      <c r="V5556" s="75"/>
      <c r="W5556" s="75"/>
      <c r="X5556" s="75"/>
    </row>
    <row r="5557">
      <c r="A5557" s="17"/>
      <c r="B5557" s="17"/>
      <c r="C5557" s="133"/>
      <c r="D5557" s="133"/>
      <c r="E5557" s="17"/>
      <c r="F5557" s="133"/>
      <c r="G5557" s="133"/>
      <c r="H5557" s="133"/>
      <c r="I5557" s="133"/>
      <c r="J5557" s="133"/>
      <c r="K5557" s="133"/>
      <c r="L5557" s="133"/>
      <c r="M5557" s="133"/>
      <c r="N5557" s="133"/>
      <c r="O5557" s="133"/>
      <c r="P5557" s="134"/>
      <c r="Q5557" s="146"/>
      <c r="R5557" s="17"/>
      <c r="S5557" s="17"/>
      <c r="T5557" s="75"/>
      <c r="U5557" s="75"/>
      <c r="V5557" s="75"/>
      <c r="W5557" s="75"/>
      <c r="X5557" s="75"/>
    </row>
    <row r="5558">
      <c r="A5558" s="17"/>
      <c r="B5558" s="17"/>
      <c r="C5558" s="133"/>
      <c r="D5558" s="133"/>
      <c r="E5558" s="17"/>
      <c r="F5558" s="133"/>
      <c r="G5558" s="133"/>
      <c r="H5558" s="133"/>
      <c r="I5558" s="133"/>
      <c r="J5558" s="133"/>
      <c r="K5558" s="133"/>
      <c r="L5558" s="133"/>
      <c r="M5558" s="133"/>
      <c r="N5558" s="133"/>
      <c r="O5558" s="133"/>
      <c r="P5558" s="134"/>
      <c r="Q5558" s="146"/>
      <c r="R5558" s="17"/>
      <c r="S5558" s="17"/>
      <c r="T5558" s="75"/>
      <c r="U5558" s="75"/>
      <c r="V5558" s="75"/>
      <c r="W5558" s="75"/>
      <c r="X5558" s="75"/>
    </row>
    <row r="5559">
      <c r="A5559" s="17"/>
      <c r="B5559" s="17"/>
      <c r="C5559" s="133"/>
      <c r="D5559" s="133"/>
      <c r="E5559" s="17"/>
      <c r="F5559" s="133"/>
      <c r="G5559" s="133"/>
      <c r="H5559" s="133"/>
      <c r="I5559" s="133"/>
      <c r="J5559" s="133"/>
      <c r="K5559" s="133"/>
      <c r="L5559" s="133"/>
      <c r="M5559" s="133"/>
      <c r="N5559" s="133"/>
      <c r="O5559" s="133"/>
      <c r="P5559" s="134"/>
      <c r="Q5559" s="146"/>
      <c r="R5559" s="17"/>
      <c r="S5559" s="17"/>
      <c r="T5559" s="75"/>
      <c r="U5559" s="75"/>
      <c r="V5559" s="75"/>
      <c r="W5559" s="75"/>
      <c r="X5559" s="75"/>
    </row>
    <row r="5560">
      <c r="A5560" s="17"/>
      <c r="B5560" s="17"/>
      <c r="C5560" s="133"/>
      <c r="D5560" s="133"/>
      <c r="E5560" s="17"/>
      <c r="F5560" s="133"/>
      <c r="G5560" s="133"/>
      <c r="H5560" s="133"/>
      <c r="I5560" s="133"/>
      <c r="J5560" s="133"/>
      <c r="K5560" s="133"/>
      <c r="L5560" s="133"/>
      <c r="M5560" s="133"/>
      <c r="N5560" s="133"/>
      <c r="O5560" s="133"/>
      <c r="P5560" s="134"/>
      <c r="Q5560" s="146"/>
      <c r="R5560" s="17"/>
      <c r="S5560" s="17"/>
      <c r="T5560" s="75"/>
      <c r="U5560" s="75"/>
      <c r="V5560" s="75"/>
      <c r="W5560" s="75"/>
      <c r="X5560" s="75"/>
    </row>
    <row r="5561">
      <c r="A5561" s="17"/>
      <c r="B5561" s="17"/>
      <c r="C5561" s="133"/>
      <c r="D5561" s="133"/>
      <c r="E5561" s="17"/>
      <c r="F5561" s="133"/>
      <c r="G5561" s="133"/>
      <c r="H5561" s="133"/>
      <c r="I5561" s="133"/>
      <c r="J5561" s="133"/>
      <c r="K5561" s="133"/>
      <c r="L5561" s="133"/>
      <c r="M5561" s="133"/>
      <c r="N5561" s="133"/>
      <c r="O5561" s="133"/>
      <c r="P5561" s="134"/>
      <c r="Q5561" s="146"/>
      <c r="R5561" s="17"/>
      <c r="S5561" s="17"/>
      <c r="T5561" s="75"/>
      <c r="U5561" s="75"/>
      <c r="V5561" s="75"/>
      <c r="W5561" s="75"/>
      <c r="X5561" s="75"/>
    </row>
    <row r="5562">
      <c r="A5562" s="17"/>
      <c r="B5562" s="17"/>
      <c r="C5562" s="133"/>
      <c r="D5562" s="133"/>
      <c r="E5562" s="17"/>
      <c r="F5562" s="133"/>
      <c r="G5562" s="133"/>
      <c r="H5562" s="133"/>
      <c r="I5562" s="133"/>
      <c r="J5562" s="133"/>
      <c r="K5562" s="133"/>
      <c r="L5562" s="133"/>
      <c r="M5562" s="133"/>
      <c r="N5562" s="133"/>
      <c r="O5562" s="133"/>
      <c r="P5562" s="134"/>
      <c r="Q5562" s="146"/>
      <c r="R5562" s="17"/>
      <c r="S5562" s="17"/>
      <c r="T5562" s="75"/>
      <c r="U5562" s="75"/>
      <c r="V5562" s="75"/>
      <c r="W5562" s="75"/>
      <c r="X5562" s="75"/>
    </row>
    <row r="5563">
      <c r="A5563" s="17"/>
      <c r="B5563" s="17"/>
      <c r="C5563" s="133"/>
      <c r="D5563" s="133"/>
      <c r="E5563" s="17"/>
      <c r="F5563" s="133"/>
      <c r="G5563" s="133"/>
      <c r="H5563" s="133"/>
      <c r="I5563" s="133"/>
      <c r="J5563" s="133"/>
      <c r="K5563" s="133"/>
      <c r="L5563" s="133"/>
      <c r="M5563" s="133"/>
      <c r="N5563" s="133"/>
      <c r="O5563" s="133"/>
      <c r="P5563" s="134"/>
      <c r="Q5563" s="146"/>
      <c r="R5563" s="17"/>
      <c r="S5563" s="17"/>
      <c r="T5563" s="75"/>
      <c r="U5563" s="75"/>
      <c r="V5563" s="75"/>
      <c r="W5563" s="75"/>
      <c r="X5563" s="75"/>
    </row>
    <row r="5564">
      <c r="A5564" s="17"/>
      <c r="B5564" s="17"/>
      <c r="C5564" s="133"/>
      <c r="D5564" s="133"/>
      <c r="E5564" s="17"/>
      <c r="F5564" s="133"/>
      <c r="G5564" s="133"/>
      <c r="H5564" s="133"/>
      <c r="I5564" s="133"/>
      <c r="J5564" s="133"/>
      <c r="K5564" s="133"/>
      <c r="L5564" s="133"/>
      <c r="M5564" s="133"/>
      <c r="N5564" s="133"/>
      <c r="O5564" s="133"/>
      <c r="P5564" s="134"/>
      <c r="Q5564" s="146"/>
      <c r="R5564" s="17"/>
      <c r="S5564" s="17"/>
      <c r="T5564" s="75"/>
      <c r="U5564" s="75"/>
      <c r="V5564" s="75"/>
      <c r="W5564" s="75"/>
      <c r="X5564" s="75"/>
    </row>
    <row r="5565">
      <c r="A5565" s="17"/>
      <c r="B5565" s="17"/>
      <c r="C5565" s="133"/>
      <c r="D5565" s="133"/>
      <c r="E5565" s="17"/>
      <c r="F5565" s="133"/>
      <c r="G5565" s="133"/>
      <c r="H5565" s="133"/>
      <c r="I5565" s="133"/>
      <c r="J5565" s="133"/>
      <c r="K5565" s="133"/>
      <c r="L5565" s="133"/>
      <c r="M5565" s="133"/>
      <c r="N5565" s="133"/>
      <c r="O5565" s="133"/>
      <c r="P5565" s="134"/>
      <c r="Q5565" s="146"/>
      <c r="R5565" s="17"/>
      <c r="S5565" s="17"/>
      <c r="T5565" s="75"/>
      <c r="U5565" s="75"/>
      <c r="V5565" s="75"/>
      <c r="W5565" s="75"/>
      <c r="X5565" s="75"/>
    </row>
    <row r="5566">
      <c r="A5566" s="17"/>
      <c r="B5566" s="17"/>
      <c r="C5566" s="133"/>
      <c r="D5566" s="133"/>
      <c r="E5566" s="17"/>
      <c r="F5566" s="133"/>
      <c r="G5566" s="133"/>
      <c r="H5566" s="133"/>
      <c r="I5566" s="133"/>
      <c r="J5566" s="133"/>
      <c r="K5566" s="133"/>
      <c r="L5566" s="133"/>
      <c r="M5566" s="133"/>
      <c r="N5566" s="133"/>
      <c r="O5566" s="133"/>
      <c r="P5566" s="134"/>
      <c r="Q5566" s="146"/>
      <c r="R5566" s="17"/>
      <c r="S5566" s="17"/>
      <c r="T5566" s="75"/>
      <c r="U5566" s="75"/>
      <c r="V5566" s="75"/>
      <c r="W5566" s="75"/>
      <c r="X5566" s="75"/>
    </row>
    <row r="5567">
      <c r="A5567" s="17"/>
      <c r="B5567" s="17"/>
      <c r="C5567" s="133"/>
      <c r="D5567" s="133"/>
      <c r="E5567" s="17"/>
      <c r="F5567" s="133"/>
      <c r="G5567" s="133"/>
      <c r="H5567" s="133"/>
      <c r="I5567" s="133"/>
      <c r="J5567" s="133"/>
      <c r="K5567" s="133"/>
      <c r="L5567" s="133"/>
      <c r="M5567" s="133"/>
      <c r="N5567" s="133"/>
      <c r="O5567" s="133"/>
      <c r="P5567" s="134"/>
      <c r="Q5567" s="146"/>
      <c r="R5567" s="17"/>
      <c r="S5567" s="17"/>
      <c r="T5567" s="75"/>
      <c r="U5567" s="75"/>
      <c r="V5567" s="75"/>
      <c r="W5567" s="75"/>
      <c r="X5567" s="75"/>
    </row>
    <row r="5568">
      <c r="A5568" s="17"/>
      <c r="B5568" s="17"/>
      <c r="C5568" s="133"/>
      <c r="D5568" s="133"/>
      <c r="E5568" s="17"/>
      <c r="F5568" s="133"/>
      <c r="G5568" s="133"/>
      <c r="H5568" s="133"/>
      <c r="I5568" s="133"/>
      <c r="J5568" s="133"/>
      <c r="K5568" s="133"/>
      <c r="L5568" s="133"/>
      <c r="M5568" s="133"/>
      <c r="N5568" s="133"/>
      <c r="O5568" s="133"/>
      <c r="P5568" s="134"/>
      <c r="Q5568" s="146"/>
      <c r="R5568" s="17"/>
      <c r="S5568" s="17"/>
      <c r="T5568" s="75"/>
      <c r="U5568" s="75"/>
      <c r="V5568" s="75"/>
      <c r="W5568" s="75"/>
      <c r="X5568" s="75"/>
    </row>
    <row r="5569">
      <c r="A5569" s="17"/>
      <c r="B5569" s="17"/>
      <c r="C5569" s="133"/>
      <c r="D5569" s="133"/>
      <c r="E5569" s="17"/>
      <c r="F5569" s="133"/>
      <c r="G5569" s="133"/>
      <c r="H5569" s="133"/>
      <c r="I5569" s="133"/>
      <c r="J5569" s="133"/>
      <c r="K5569" s="133"/>
      <c r="L5569" s="133"/>
      <c r="M5569" s="133"/>
      <c r="N5569" s="133"/>
      <c r="O5569" s="133"/>
      <c r="P5569" s="134"/>
      <c r="Q5569" s="146"/>
      <c r="R5569" s="17"/>
      <c r="S5569" s="17"/>
      <c r="T5569" s="75"/>
      <c r="U5569" s="75"/>
      <c r="V5569" s="75"/>
      <c r="W5569" s="75"/>
      <c r="X5569" s="75"/>
    </row>
    <row r="5570">
      <c r="A5570" s="17"/>
      <c r="B5570" s="17"/>
      <c r="C5570" s="133"/>
      <c r="D5570" s="133"/>
      <c r="E5570" s="17"/>
      <c r="F5570" s="133"/>
      <c r="G5570" s="133"/>
      <c r="H5570" s="133"/>
      <c r="I5570" s="133"/>
      <c r="J5570" s="133"/>
      <c r="K5570" s="133"/>
      <c r="L5570" s="133"/>
      <c r="M5570" s="133"/>
      <c r="N5570" s="133"/>
      <c r="O5570" s="133"/>
      <c r="P5570" s="134"/>
      <c r="Q5570" s="146"/>
      <c r="R5570" s="17"/>
      <c r="S5570" s="17"/>
      <c r="T5570" s="75"/>
      <c r="U5570" s="75"/>
      <c r="V5570" s="75"/>
      <c r="W5570" s="75"/>
      <c r="X5570" s="75"/>
    </row>
    <row r="5571">
      <c r="A5571" s="17"/>
      <c r="B5571" s="17"/>
      <c r="C5571" s="133"/>
      <c r="D5571" s="133"/>
      <c r="E5571" s="17"/>
      <c r="F5571" s="133"/>
      <c r="G5571" s="133"/>
      <c r="H5571" s="133"/>
      <c r="I5571" s="133"/>
      <c r="J5571" s="133"/>
      <c r="K5571" s="133"/>
      <c r="L5571" s="133"/>
      <c r="M5571" s="133"/>
      <c r="N5571" s="133"/>
      <c r="O5571" s="133"/>
      <c r="P5571" s="134"/>
      <c r="Q5571" s="146"/>
      <c r="R5571" s="17"/>
      <c r="S5571" s="17"/>
      <c r="T5571" s="75"/>
      <c r="U5571" s="75"/>
      <c r="V5571" s="75"/>
      <c r="W5571" s="75"/>
      <c r="X5571" s="75"/>
    </row>
    <row r="5572">
      <c r="A5572" s="17"/>
      <c r="B5572" s="17"/>
      <c r="C5572" s="133"/>
      <c r="D5572" s="133"/>
      <c r="E5572" s="17"/>
      <c r="F5572" s="133"/>
      <c r="G5572" s="133"/>
      <c r="H5572" s="133"/>
      <c r="I5572" s="133"/>
      <c r="J5572" s="133"/>
      <c r="K5572" s="133"/>
      <c r="L5572" s="133"/>
      <c r="M5572" s="133"/>
      <c r="N5572" s="133"/>
      <c r="O5572" s="133"/>
      <c r="P5572" s="134"/>
      <c r="Q5572" s="146"/>
      <c r="R5572" s="17"/>
      <c r="S5572" s="17"/>
      <c r="T5572" s="75"/>
      <c r="U5572" s="75"/>
      <c r="V5572" s="75"/>
      <c r="W5572" s="75"/>
      <c r="X5572" s="75"/>
    </row>
    <row r="5573">
      <c r="A5573" s="17"/>
      <c r="B5573" s="17"/>
      <c r="C5573" s="133"/>
      <c r="D5573" s="133"/>
      <c r="E5573" s="17"/>
      <c r="F5573" s="133"/>
      <c r="G5573" s="133"/>
      <c r="H5573" s="133"/>
      <c r="I5573" s="133"/>
      <c r="J5573" s="133"/>
      <c r="K5573" s="133"/>
      <c r="L5573" s="133"/>
      <c r="M5573" s="133"/>
      <c r="N5573" s="133"/>
      <c r="O5573" s="133"/>
      <c r="P5573" s="134"/>
      <c r="Q5573" s="146"/>
      <c r="R5573" s="17"/>
      <c r="S5573" s="17"/>
      <c r="T5573" s="75"/>
      <c r="U5573" s="75"/>
      <c r="V5573" s="75"/>
      <c r="W5573" s="75"/>
      <c r="X5573" s="75"/>
    </row>
    <row r="5574">
      <c r="A5574" s="17"/>
      <c r="B5574" s="17"/>
      <c r="C5574" s="133"/>
      <c r="D5574" s="133"/>
      <c r="E5574" s="17"/>
      <c r="F5574" s="133"/>
      <c r="G5574" s="133"/>
      <c r="H5574" s="133"/>
      <c r="I5574" s="133"/>
      <c r="J5574" s="133"/>
      <c r="K5574" s="133"/>
      <c r="L5574" s="133"/>
      <c r="M5574" s="133"/>
      <c r="N5574" s="133"/>
      <c r="O5574" s="133"/>
      <c r="P5574" s="134"/>
      <c r="Q5574" s="146"/>
      <c r="R5574" s="17"/>
      <c r="S5574" s="17"/>
      <c r="T5574" s="75"/>
      <c r="U5574" s="75"/>
      <c r="V5574" s="75"/>
      <c r="W5574" s="75"/>
      <c r="X5574" s="75"/>
    </row>
    <row r="5575">
      <c r="A5575" s="17"/>
      <c r="B5575" s="17"/>
      <c r="C5575" s="133"/>
      <c r="D5575" s="133"/>
      <c r="E5575" s="17"/>
      <c r="F5575" s="133"/>
      <c r="G5575" s="133"/>
      <c r="H5575" s="133"/>
      <c r="I5575" s="133"/>
      <c r="J5575" s="133"/>
      <c r="K5575" s="133"/>
      <c r="L5575" s="133"/>
      <c r="M5575" s="133"/>
      <c r="N5575" s="133"/>
      <c r="O5575" s="133"/>
      <c r="P5575" s="134"/>
      <c r="Q5575" s="146"/>
      <c r="R5575" s="17"/>
      <c r="S5575" s="17"/>
      <c r="T5575" s="75"/>
      <c r="U5575" s="75"/>
      <c r="V5575" s="75"/>
      <c r="W5575" s="75"/>
      <c r="X5575" s="75"/>
    </row>
    <row r="5576">
      <c r="A5576" s="17"/>
      <c r="B5576" s="17"/>
      <c r="C5576" s="133"/>
      <c r="D5576" s="133"/>
      <c r="E5576" s="17"/>
      <c r="F5576" s="133"/>
      <c r="G5576" s="133"/>
      <c r="H5576" s="133"/>
      <c r="I5576" s="133"/>
      <c r="J5576" s="133"/>
      <c r="K5576" s="133"/>
      <c r="L5576" s="133"/>
      <c r="M5576" s="133"/>
      <c r="N5576" s="133"/>
      <c r="O5576" s="133"/>
      <c r="P5576" s="134"/>
      <c r="Q5576" s="146"/>
      <c r="R5576" s="17"/>
      <c r="S5576" s="17"/>
      <c r="T5576" s="75"/>
      <c r="U5576" s="75"/>
      <c r="V5576" s="75"/>
      <c r="W5576" s="75"/>
      <c r="X5576" s="75"/>
    </row>
    <row r="5577">
      <c r="A5577" s="17"/>
      <c r="B5577" s="17"/>
      <c r="C5577" s="133"/>
      <c r="D5577" s="133"/>
      <c r="E5577" s="17"/>
      <c r="F5577" s="133"/>
      <c r="G5577" s="133"/>
      <c r="H5577" s="133"/>
      <c r="I5577" s="133"/>
      <c r="J5577" s="133"/>
      <c r="K5577" s="133"/>
      <c r="L5577" s="133"/>
      <c r="M5577" s="133"/>
      <c r="N5577" s="133"/>
      <c r="O5577" s="133"/>
      <c r="P5577" s="134"/>
      <c r="Q5577" s="146"/>
      <c r="R5577" s="17"/>
      <c r="S5577" s="17"/>
      <c r="T5577" s="75"/>
      <c r="U5577" s="75"/>
      <c r="V5577" s="75"/>
      <c r="W5577" s="75"/>
      <c r="X5577" s="75"/>
    </row>
    <row r="5578">
      <c r="A5578" s="17"/>
      <c r="B5578" s="17"/>
      <c r="C5578" s="133"/>
      <c r="D5578" s="133"/>
      <c r="E5578" s="17"/>
      <c r="F5578" s="133"/>
      <c r="G5578" s="133"/>
      <c r="H5578" s="133"/>
      <c r="I5578" s="133"/>
      <c r="J5578" s="133"/>
      <c r="K5578" s="133"/>
      <c r="L5578" s="133"/>
      <c r="M5578" s="133"/>
      <c r="N5578" s="133"/>
      <c r="O5578" s="133"/>
      <c r="P5578" s="134"/>
      <c r="Q5578" s="146"/>
      <c r="R5578" s="17"/>
      <c r="S5578" s="17"/>
      <c r="T5578" s="75"/>
      <c r="U5578" s="75"/>
      <c r="V5578" s="75"/>
      <c r="W5578" s="75"/>
      <c r="X5578" s="75"/>
    </row>
    <row r="5579">
      <c r="A5579" s="17"/>
      <c r="B5579" s="17"/>
      <c r="C5579" s="133"/>
      <c r="D5579" s="133"/>
      <c r="E5579" s="17"/>
      <c r="F5579" s="133"/>
      <c r="G5579" s="133"/>
      <c r="H5579" s="133"/>
      <c r="I5579" s="133"/>
      <c r="J5579" s="133"/>
      <c r="K5579" s="133"/>
      <c r="L5579" s="133"/>
      <c r="M5579" s="133"/>
      <c r="N5579" s="133"/>
      <c r="O5579" s="133"/>
      <c r="P5579" s="134"/>
      <c r="Q5579" s="146"/>
      <c r="R5579" s="17"/>
      <c r="S5579" s="17"/>
      <c r="T5579" s="75"/>
      <c r="U5579" s="75"/>
      <c r="V5579" s="75"/>
      <c r="W5579" s="75"/>
      <c r="X5579" s="75"/>
    </row>
    <row r="5580">
      <c r="A5580" s="17"/>
      <c r="B5580" s="17"/>
      <c r="C5580" s="133"/>
      <c r="D5580" s="133"/>
      <c r="E5580" s="17"/>
      <c r="F5580" s="133"/>
      <c r="G5580" s="133"/>
      <c r="H5580" s="133"/>
      <c r="I5580" s="133"/>
      <c r="J5580" s="133"/>
      <c r="K5580" s="133"/>
      <c r="L5580" s="133"/>
      <c r="M5580" s="133"/>
      <c r="N5580" s="133"/>
      <c r="O5580" s="133"/>
      <c r="P5580" s="134"/>
      <c r="Q5580" s="146"/>
      <c r="R5580" s="17"/>
      <c r="S5580" s="17"/>
      <c r="T5580" s="75"/>
      <c r="U5580" s="75"/>
      <c r="V5580" s="75"/>
      <c r="W5580" s="75"/>
      <c r="X5580" s="75"/>
    </row>
    <row r="5581">
      <c r="A5581" s="17"/>
      <c r="B5581" s="17"/>
      <c r="C5581" s="133"/>
      <c r="D5581" s="133"/>
      <c r="E5581" s="17"/>
      <c r="F5581" s="133"/>
      <c r="G5581" s="133"/>
      <c r="H5581" s="133"/>
      <c r="I5581" s="133"/>
      <c r="J5581" s="133"/>
      <c r="K5581" s="133"/>
      <c r="L5581" s="133"/>
      <c r="M5581" s="133"/>
      <c r="N5581" s="133"/>
      <c r="O5581" s="133"/>
      <c r="P5581" s="134"/>
      <c r="Q5581" s="146"/>
      <c r="R5581" s="17"/>
      <c r="S5581" s="17"/>
      <c r="T5581" s="75"/>
      <c r="U5581" s="75"/>
      <c r="V5581" s="75"/>
      <c r="W5581" s="75"/>
      <c r="X5581" s="75"/>
    </row>
    <row r="5582">
      <c r="A5582" s="17"/>
      <c r="B5582" s="17"/>
      <c r="C5582" s="133"/>
      <c r="D5582" s="133"/>
      <c r="E5582" s="17"/>
      <c r="F5582" s="133"/>
      <c r="G5582" s="133"/>
      <c r="H5582" s="133"/>
      <c r="I5582" s="133"/>
      <c r="J5582" s="133"/>
      <c r="K5582" s="133"/>
      <c r="L5582" s="133"/>
      <c r="M5582" s="133"/>
      <c r="N5582" s="133"/>
      <c r="O5582" s="133"/>
      <c r="P5582" s="134"/>
      <c r="Q5582" s="146"/>
      <c r="R5582" s="17"/>
      <c r="S5582" s="17"/>
      <c r="T5582" s="75"/>
      <c r="U5582" s="75"/>
      <c r="V5582" s="75"/>
      <c r="W5582" s="75"/>
      <c r="X5582" s="75"/>
    </row>
    <row r="5583">
      <c r="A5583" s="17"/>
      <c r="B5583" s="17"/>
      <c r="C5583" s="133"/>
      <c r="D5583" s="133"/>
      <c r="E5583" s="17"/>
      <c r="F5583" s="133"/>
      <c r="G5583" s="133"/>
      <c r="H5583" s="133"/>
      <c r="I5583" s="133"/>
      <c r="J5583" s="133"/>
      <c r="K5583" s="133"/>
      <c r="L5583" s="133"/>
      <c r="M5583" s="133"/>
      <c r="N5583" s="133"/>
      <c r="O5583" s="133"/>
      <c r="P5583" s="134"/>
      <c r="Q5583" s="146"/>
      <c r="R5583" s="17"/>
      <c r="S5583" s="17"/>
      <c r="T5583" s="75"/>
      <c r="U5583" s="75"/>
      <c r="V5583" s="75"/>
      <c r="W5583" s="75"/>
      <c r="X5583" s="75"/>
    </row>
    <row r="5584">
      <c r="A5584" s="17"/>
      <c r="B5584" s="17"/>
      <c r="C5584" s="133"/>
      <c r="D5584" s="133"/>
      <c r="E5584" s="17"/>
      <c r="F5584" s="133"/>
      <c r="G5584" s="133"/>
      <c r="H5584" s="133"/>
      <c r="I5584" s="133"/>
      <c r="J5584" s="133"/>
      <c r="K5584" s="133"/>
      <c r="L5584" s="133"/>
      <c r="M5584" s="133"/>
      <c r="N5584" s="133"/>
      <c r="O5584" s="133"/>
      <c r="P5584" s="134"/>
      <c r="Q5584" s="146"/>
      <c r="R5584" s="17"/>
      <c r="S5584" s="17"/>
      <c r="T5584" s="75"/>
      <c r="U5584" s="75"/>
      <c r="V5584" s="75"/>
      <c r="W5584" s="75"/>
      <c r="X5584" s="75"/>
    </row>
    <row r="5585">
      <c r="A5585" s="17"/>
      <c r="B5585" s="17"/>
      <c r="C5585" s="133"/>
      <c r="D5585" s="133"/>
      <c r="E5585" s="17"/>
      <c r="F5585" s="133"/>
      <c r="G5585" s="133"/>
      <c r="H5585" s="133"/>
      <c r="I5585" s="133"/>
      <c r="J5585" s="133"/>
      <c r="K5585" s="133"/>
      <c r="L5585" s="133"/>
      <c r="M5585" s="133"/>
      <c r="N5585" s="133"/>
      <c r="O5585" s="133"/>
      <c r="P5585" s="134"/>
      <c r="Q5585" s="146"/>
      <c r="R5585" s="17"/>
      <c r="S5585" s="17"/>
      <c r="T5585" s="75"/>
      <c r="U5585" s="75"/>
      <c r="V5585" s="75"/>
      <c r="W5585" s="75"/>
      <c r="X5585" s="75"/>
    </row>
    <row r="5586">
      <c r="A5586" s="17"/>
      <c r="B5586" s="17"/>
      <c r="C5586" s="133"/>
      <c r="D5586" s="133"/>
      <c r="E5586" s="17"/>
      <c r="F5586" s="133"/>
      <c r="G5586" s="133"/>
      <c r="H5586" s="133"/>
      <c r="I5586" s="133"/>
      <c r="J5586" s="133"/>
      <c r="K5586" s="133"/>
      <c r="L5586" s="133"/>
      <c r="M5586" s="133"/>
      <c r="N5586" s="133"/>
      <c r="O5586" s="133"/>
      <c r="P5586" s="134"/>
      <c r="Q5586" s="146"/>
      <c r="R5586" s="17"/>
      <c r="S5586" s="17"/>
      <c r="T5586" s="75"/>
      <c r="U5586" s="75"/>
      <c r="V5586" s="75"/>
      <c r="W5586" s="75"/>
      <c r="X5586" s="75"/>
    </row>
    <row r="5587">
      <c r="A5587" s="17"/>
      <c r="B5587" s="17"/>
      <c r="C5587" s="133"/>
      <c r="D5587" s="133"/>
      <c r="E5587" s="17"/>
      <c r="F5587" s="133"/>
      <c r="G5587" s="133"/>
      <c r="H5587" s="133"/>
      <c r="I5587" s="133"/>
      <c r="J5587" s="133"/>
      <c r="K5587" s="133"/>
      <c r="L5587" s="133"/>
      <c r="M5587" s="133"/>
      <c r="N5587" s="133"/>
      <c r="O5587" s="133"/>
      <c r="P5587" s="134"/>
      <c r="Q5587" s="146"/>
      <c r="R5587" s="17"/>
      <c r="S5587" s="17"/>
      <c r="T5587" s="75"/>
      <c r="U5587" s="75"/>
      <c r="V5587" s="75"/>
      <c r="W5587" s="75"/>
      <c r="X5587" s="75"/>
    </row>
    <row r="5588">
      <c r="A5588" s="17"/>
      <c r="B5588" s="17"/>
      <c r="C5588" s="133"/>
      <c r="D5588" s="133"/>
      <c r="E5588" s="17"/>
      <c r="F5588" s="133"/>
      <c r="G5588" s="133"/>
      <c r="H5588" s="133"/>
      <c r="I5588" s="133"/>
      <c r="J5588" s="133"/>
      <c r="K5588" s="133"/>
      <c r="L5588" s="133"/>
      <c r="M5588" s="133"/>
      <c r="N5588" s="133"/>
      <c r="O5588" s="133"/>
      <c r="P5588" s="134"/>
      <c r="Q5588" s="146"/>
      <c r="R5588" s="17"/>
      <c r="S5588" s="17"/>
      <c r="T5588" s="75"/>
      <c r="U5588" s="75"/>
      <c r="V5588" s="75"/>
      <c r="W5588" s="75"/>
      <c r="X5588" s="75"/>
    </row>
    <row r="5589">
      <c r="A5589" s="17"/>
      <c r="B5589" s="17"/>
      <c r="C5589" s="133"/>
      <c r="D5589" s="133"/>
      <c r="E5589" s="17"/>
      <c r="F5589" s="133"/>
      <c r="G5589" s="133"/>
      <c r="H5589" s="133"/>
      <c r="I5589" s="133"/>
      <c r="J5589" s="133"/>
      <c r="K5589" s="133"/>
      <c r="L5589" s="133"/>
      <c r="M5589" s="133"/>
      <c r="N5589" s="133"/>
      <c r="O5589" s="133"/>
      <c r="P5589" s="134"/>
      <c r="Q5589" s="146"/>
      <c r="R5589" s="17"/>
      <c r="S5589" s="17"/>
      <c r="T5589" s="75"/>
      <c r="U5589" s="75"/>
      <c r="V5589" s="75"/>
      <c r="W5589" s="75"/>
      <c r="X5589" s="75"/>
    </row>
    <row r="5590">
      <c r="A5590" s="17"/>
      <c r="B5590" s="17"/>
      <c r="C5590" s="133"/>
      <c r="D5590" s="133"/>
      <c r="E5590" s="17"/>
      <c r="F5590" s="133"/>
      <c r="G5590" s="133"/>
      <c r="H5590" s="133"/>
      <c r="I5590" s="133"/>
      <c r="J5590" s="133"/>
      <c r="K5590" s="133"/>
      <c r="L5590" s="133"/>
      <c r="M5590" s="133"/>
      <c r="N5590" s="133"/>
      <c r="O5590" s="133"/>
      <c r="P5590" s="134"/>
      <c r="Q5590" s="146"/>
      <c r="R5590" s="17"/>
      <c r="S5590" s="17"/>
      <c r="T5590" s="75"/>
      <c r="U5590" s="75"/>
      <c r="V5590" s="75"/>
      <c r="W5590" s="75"/>
      <c r="X5590" s="75"/>
    </row>
    <row r="5591">
      <c r="A5591" s="17"/>
      <c r="B5591" s="17"/>
      <c r="C5591" s="133"/>
      <c r="D5591" s="133"/>
      <c r="E5591" s="17"/>
      <c r="F5591" s="133"/>
      <c r="G5591" s="133"/>
      <c r="H5591" s="133"/>
      <c r="I5591" s="133"/>
      <c r="J5591" s="133"/>
      <c r="K5591" s="133"/>
      <c r="L5591" s="133"/>
      <c r="M5591" s="133"/>
      <c r="N5591" s="133"/>
      <c r="O5591" s="133"/>
      <c r="P5591" s="134"/>
      <c r="Q5591" s="146"/>
      <c r="R5591" s="17"/>
      <c r="S5591" s="17"/>
      <c r="T5591" s="75"/>
      <c r="U5591" s="75"/>
      <c r="V5591" s="75"/>
      <c r="W5591" s="75"/>
      <c r="X5591" s="75"/>
    </row>
    <row r="5592">
      <c r="A5592" s="17"/>
      <c r="B5592" s="17"/>
      <c r="C5592" s="133"/>
      <c r="D5592" s="133"/>
      <c r="E5592" s="17"/>
      <c r="F5592" s="133"/>
      <c r="G5592" s="133"/>
      <c r="H5592" s="133"/>
      <c r="I5592" s="133"/>
      <c r="J5592" s="133"/>
      <c r="K5592" s="133"/>
      <c r="L5592" s="133"/>
      <c r="M5592" s="133"/>
      <c r="N5592" s="133"/>
      <c r="O5592" s="133"/>
      <c r="P5592" s="134"/>
      <c r="Q5592" s="146"/>
      <c r="R5592" s="17"/>
      <c r="S5592" s="17"/>
      <c r="T5592" s="75"/>
      <c r="U5592" s="75"/>
      <c r="V5592" s="75"/>
      <c r="W5592" s="75"/>
      <c r="X5592" s="75"/>
    </row>
    <row r="5593">
      <c r="A5593" s="17"/>
      <c r="B5593" s="17"/>
      <c r="C5593" s="133"/>
      <c r="D5593" s="133"/>
      <c r="E5593" s="17"/>
      <c r="F5593" s="133"/>
      <c r="G5593" s="133"/>
      <c r="H5593" s="133"/>
      <c r="I5593" s="133"/>
      <c r="J5593" s="133"/>
      <c r="K5593" s="133"/>
      <c r="L5593" s="133"/>
      <c r="M5593" s="133"/>
      <c r="N5593" s="133"/>
      <c r="O5593" s="133"/>
      <c r="P5593" s="134"/>
      <c r="Q5593" s="146"/>
      <c r="R5593" s="17"/>
      <c r="S5593" s="17"/>
      <c r="T5593" s="75"/>
      <c r="U5593" s="75"/>
      <c r="V5593" s="75"/>
      <c r="W5593" s="75"/>
      <c r="X5593" s="75"/>
    </row>
    <row r="5594">
      <c r="A5594" s="17"/>
      <c r="B5594" s="17"/>
      <c r="C5594" s="133"/>
      <c r="D5594" s="133"/>
      <c r="E5594" s="17"/>
      <c r="F5594" s="133"/>
      <c r="G5594" s="133"/>
      <c r="H5594" s="133"/>
      <c r="I5594" s="133"/>
      <c r="J5594" s="133"/>
      <c r="K5594" s="133"/>
      <c r="L5594" s="133"/>
      <c r="M5594" s="133"/>
      <c r="N5594" s="133"/>
      <c r="O5594" s="133"/>
      <c r="P5594" s="134"/>
      <c r="Q5594" s="146"/>
      <c r="R5594" s="17"/>
      <c r="S5594" s="17"/>
      <c r="T5594" s="75"/>
      <c r="U5594" s="75"/>
      <c r="V5594" s="75"/>
      <c r="W5594" s="75"/>
      <c r="X5594" s="75"/>
    </row>
    <row r="5595">
      <c r="A5595" s="17"/>
      <c r="B5595" s="17"/>
      <c r="C5595" s="133"/>
      <c r="D5595" s="133"/>
      <c r="E5595" s="17"/>
      <c r="F5595" s="133"/>
      <c r="G5595" s="133"/>
      <c r="H5595" s="133"/>
      <c r="I5595" s="133"/>
      <c r="J5595" s="133"/>
      <c r="K5595" s="133"/>
      <c r="L5595" s="133"/>
      <c r="M5595" s="133"/>
      <c r="N5595" s="133"/>
      <c r="O5595" s="133"/>
      <c r="P5595" s="134"/>
      <c r="Q5595" s="146"/>
      <c r="R5595" s="17"/>
      <c r="S5595" s="17"/>
      <c r="T5595" s="75"/>
      <c r="U5595" s="75"/>
      <c r="V5595" s="75"/>
      <c r="W5595" s="75"/>
      <c r="X5595" s="75"/>
    </row>
    <row r="5596">
      <c r="A5596" s="17"/>
      <c r="B5596" s="17"/>
      <c r="C5596" s="133"/>
      <c r="D5596" s="133"/>
      <c r="E5596" s="17"/>
      <c r="F5596" s="133"/>
      <c r="G5596" s="133"/>
      <c r="H5596" s="133"/>
      <c r="I5596" s="133"/>
      <c r="J5596" s="133"/>
      <c r="K5596" s="133"/>
      <c r="L5596" s="133"/>
      <c r="M5596" s="133"/>
      <c r="N5596" s="133"/>
      <c r="O5596" s="133"/>
      <c r="P5596" s="134"/>
      <c r="Q5596" s="146"/>
      <c r="R5596" s="17"/>
      <c r="S5596" s="17"/>
      <c r="T5596" s="75"/>
      <c r="U5596" s="75"/>
      <c r="V5596" s="75"/>
      <c r="W5596" s="75"/>
      <c r="X5596" s="75"/>
    </row>
    <row r="5597">
      <c r="A5597" s="17"/>
      <c r="B5597" s="17"/>
      <c r="C5597" s="133"/>
      <c r="D5597" s="133"/>
      <c r="E5597" s="17"/>
      <c r="F5597" s="133"/>
      <c r="G5597" s="133"/>
      <c r="H5597" s="133"/>
      <c r="I5597" s="133"/>
      <c r="J5597" s="133"/>
      <c r="K5597" s="133"/>
      <c r="L5597" s="133"/>
      <c r="M5597" s="133"/>
      <c r="N5597" s="133"/>
      <c r="O5597" s="133"/>
      <c r="P5597" s="134"/>
      <c r="Q5597" s="146"/>
      <c r="R5597" s="17"/>
      <c r="S5597" s="17"/>
      <c r="T5597" s="75"/>
      <c r="U5597" s="75"/>
      <c r="V5597" s="75"/>
      <c r="W5597" s="75"/>
      <c r="X5597" s="75"/>
    </row>
    <row r="5598">
      <c r="A5598" s="17"/>
      <c r="B5598" s="17"/>
      <c r="C5598" s="133"/>
      <c r="D5598" s="133"/>
      <c r="E5598" s="17"/>
      <c r="F5598" s="133"/>
      <c r="G5598" s="133"/>
      <c r="H5598" s="133"/>
      <c r="I5598" s="133"/>
      <c r="J5598" s="133"/>
      <c r="K5598" s="133"/>
      <c r="L5598" s="133"/>
      <c r="M5598" s="133"/>
      <c r="N5598" s="133"/>
      <c r="O5598" s="133"/>
      <c r="P5598" s="134"/>
      <c r="Q5598" s="146"/>
      <c r="R5598" s="17"/>
      <c r="S5598" s="17"/>
      <c r="T5598" s="75"/>
      <c r="U5598" s="75"/>
      <c r="V5598" s="75"/>
      <c r="W5598" s="75"/>
      <c r="X5598" s="75"/>
    </row>
    <row r="5599">
      <c r="A5599" s="17"/>
      <c r="B5599" s="17"/>
      <c r="C5599" s="133"/>
      <c r="D5599" s="133"/>
      <c r="E5599" s="17"/>
      <c r="F5599" s="133"/>
      <c r="G5599" s="133"/>
      <c r="H5599" s="133"/>
      <c r="I5599" s="133"/>
      <c r="J5599" s="133"/>
      <c r="K5599" s="133"/>
      <c r="L5599" s="133"/>
      <c r="M5599" s="133"/>
      <c r="N5599" s="133"/>
      <c r="O5599" s="133"/>
      <c r="P5599" s="134"/>
      <c r="Q5599" s="146"/>
      <c r="R5599" s="17"/>
      <c r="S5599" s="17"/>
      <c r="T5599" s="75"/>
      <c r="U5599" s="75"/>
      <c r="V5599" s="75"/>
      <c r="W5599" s="75"/>
      <c r="X5599" s="75"/>
    </row>
    <row r="5600">
      <c r="A5600" s="17"/>
      <c r="B5600" s="17"/>
      <c r="C5600" s="133"/>
      <c r="D5600" s="133"/>
      <c r="E5600" s="17"/>
      <c r="F5600" s="133"/>
      <c r="G5600" s="133"/>
      <c r="H5600" s="133"/>
      <c r="I5600" s="133"/>
      <c r="J5600" s="133"/>
      <c r="K5600" s="133"/>
      <c r="L5600" s="133"/>
      <c r="M5600" s="133"/>
      <c r="N5600" s="133"/>
      <c r="O5600" s="133"/>
      <c r="P5600" s="134"/>
      <c r="Q5600" s="146"/>
      <c r="R5600" s="17"/>
      <c r="S5600" s="17"/>
      <c r="T5600" s="75"/>
      <c r="U5600" s="75"/>
      <c r="V5600" s="75"/>
      <c r="W5600" s="75"/>
      <c r="X5600" s="75"/>
    </row>
    <row r="5601">
      <c r="A5601" s="17"/>
      <c r="B5601" s="17"/>
      <c r="C5601" s="133"/>
      <c r="D5601" s="133"/>
      <c r="E5601" s="17"/>
      <c r="F5601" s="133"/>
      <c r="G5601" s="133"/>
      <c r="H5601" s="133"/>
      <c r="I5601" s="133"/>
      <c r="J5601" s="133"/>
      <c r="K5601" s="133"/>
      <c r="L5601" s="133"/>
      <c r="M5601" s="133"/>
      <c r="N5601" s="133"/>
      <c r="O5601" s="133"/>
      <c r="P5601" s="134"/>
      <c r="Q5601" s="146"/>
      <c r="R5601" s="17"/>
      <c r="S5601" s="17"/>
      <c r="T5601" s="75"/>
      <c r="U5601" s="75"/>
      <c r="V5601" s="75"/>
      <c r="W5601" s="75"/>
      <c r="X5601" s="75"/>
    </row>
    <row r="5602">
      <c r="A5602" s="17"/>
      <c r="B5602" s="17"/>
      <c r="C5602" s="133"/>
      <c r="D5602" s="133"/>
      <c r="E5602" s="17"/>
      <c r="F5602" s="133"/>
      <c r="G5602" s="133"/>
      <c r="H5602" s="133"/>
      <c r="I5602" s="133"/>
      <c r="J5602" s="133"/>
      <c r="K5602" s="133"/>
      <c r="L5602" s="133"/>
      <c r="M5602" s="133"/>
      <c r="N5602" s="133"/>
      <c r="O5602" s="133"/>
      <c r="P5602" s="134"/>
      <c r="Q5602" s="146"/>
      <c r="R5602" s="17"/>
      <c r="S5602" s="17"/>
      <c r="T5602" s="75"/>
      <c r="U5602" s="75"/>
      <c r="V5602" s="75"/>
      <c r="W5602" s="75"/>
      <c r="X5602" s="75"/>
    </row>
    <row r="5603">
      <c r="A5603" s="17"/>
      <c r="B5603" s="17"/>
      <c r="C5603" s="133"/>
      <c r="D5603" s="133"/>
      <c r="E5603" s="17"/>
      <c r="F5603" s="133"/>
      <c r="G5603" s="133"/>
      <c r="H5603" s="133"/>
      <c r="I5603" s="133"/>
      <c r="J5603" s="133"/>
      <c r="K5603" s="133"/>
      <c r="L5603" s="133"/>
      <c r="M5603" s="133"/>
      <c r="N5603" s="133"/>
      <c r="O5603" s="133"/>
      <c r="P5603" s="134"/>
      <c r="Q5603" s="146"/>
      <c r="R5603" s="17"/>
      <c r="S5603" s="17"/>
      <c r="T5603" s="75"/>
      <c r="U5603" s="75"/>
      <c r="V5603" s="75"/>
      <c r="W5603" s="75"/>
      <c r="X5603" s="75"/>
    </row>
    <row r="5604">
      <c r="A5604" s="17"/>
      <c r="B5604" s="17"/>
      <c r="C5604" s="133"/>
      <c r="D5604" s="133"/>
      <c r="E5604" s="17"/>
      <c r="F5604" s="133"/>
      <c r="G5604" s="133"/>
      <c r="H5604" s="133"/>
      <c r="I5604" s="133"/>
      <c r="J5604" s="133"/>
      <c r="K5604" s="133"/>
      <c r="L5604" s="133"/>
      <c r="M5604" s="133"/>
      <c r="N5604" s="133"/>
      <c r="O5604" s="133"/>
      <c r="P5604" s="134"/>
      <c r="Q5604" s="146"/>
      <c r="R5604" s="17"/>
      <c r="S5604" s="17"/>
      <c r="T5604" s="75"/>
      <c r="U5604" s="75"/>
      <c r="V5604" s="75"/>
      <c r="W5604" s="75"/>
      <c r="X5604" s="75"/>
    </row>
    <row r="5605">
      <c r="A5605" s="17"/>
      <c r="B5605" s="17"/>
      <c r="C5605" s="133"/>
      <c r="D5605" s="133"/>
      <c r="E5605" s="17"/>
      <c r="F5605" s="133"/>
      <c r="G5605" s="133"/>
      <c r="H5605" s="133"/>
      <c r="I5605" s="133"/>
      <c r="J5605" s="133"/>
      <c r="K5605" s="133"/>
      <c r="L5605" s="133"/>
      <c r="M5605" s="133"/>
      <c r="N5605" s="133"/>
      <c r="O5605" s="133"/>
      <c r="P5605" s="134"/>
      <c r="Q5605" s="146"/>
      <c r="R5605" s="17"/>
      <c r="S5605" s="17"/>
      <c r="T5605" s="75"/>
      <c r="U5605" s="75"/>
      <c r="V5605" s="75"/>
      <c r="W5605" s="75"/>
      <c r="X5605" s="75"/>
    </row>
    <row r="5606">
      <c r="A5606" s="17"/>
      <c r="B5606" s="17"/>
      <c r="C5606" s="133"/>
      <c r="D5606" s="133"/>
      <c r="E5606" s="17"/>
      <c r="F5606" s="133"/>
      <c r="G5606" s="133"/>
      <c r="H5606" s="133"/>
      <c r="I5606" s="133"/>
      <c r="J5606" s="133"/>
      <c r="K5606" s="133"/>
      <c r="L5606" s="133"/>
      <c r="M5606" s="133"/>
      <c r="N5606" s="133"/>
      <c r="O5606" s="133"/>
      <c r="P5606" s="134"/>
      <c r="Q5606" s="146"/>
      <c r="R5606" s="17"/>
      <c r="S5606" s="17"/>
      <c r="T5606" s="75"/>
      <c r="U5606" s="75"/>
      <c r="V5606" s="75"/>
      <c r="W5606" s="75"/>
      <c r="X5606" s="75"/>
    </row>
    <row r="5607">
      <c r="A5607" s="17"/>
      <c r="B5607" s="17"/>
      <c r="C5607" s="133"/>
      <c r="D5607" s="133"/>
      <c r="E5607" s="17"/>
      <c r="F5607" s="133"/>
      <c r="G5607" s="133"/>
      <c r="H5607" s="133"/>
      <c r="I5607" s="133"/>
      <c r="J5607" s="133"/>
      <c r="K5607" s="133"/>
      <c r="L5607" s="133"/>
      <c r="M5607" s="133"/>
      <c r="N5607" s="133"/>
      <c r="O5607" s="133"/>
      <c r="P5607" s="134"/>
      <c r="Q5607" s="146"/>
      <c r="R5607" s="17"/>
      <c r="S5607" s="17"/>
      <c r="T5607" s="75"/>
      <c r="U5607" s="75"/>
      <c r="V5607" s="75"/>
      <c r="W5607" s="75"/>
      <c r="X5607" s="75"/>
    </row>
    <row r="5608">
      <c r="A5608" s="17"/>
      <c r="B5608" s="17"/>
      <c r="C5608" s="133"/>
      <c r="D5608" s="133"/>
      <c r="E5608" s="17"/>
      <c r="F5608" s="133"/>
      <c r="G5608" s="133"/>
      <c r="H5608" s="133"/>
      <c r="I5608" s="133"/>
      <c r="J5608" s="133"/>
      <c r="K5608" s="133"/>
      <c r="L5608" s="133"/>
      <c r="M5608" s="133"/>
      <c r="N5608" s="133"/>
      <c r="O5608" s="133"/>
      <c r="P5608" s="134"/>
      <c r="Q5608" s="146"/>
      <c r="R5608" s="17"/>
      <c r="S5608" s="17"/>
      <c r="T5608" s="75"/>
      <c r="U5608" s="75"/>
      <c r="V5608" s="75"/>
      <c r="W5608" s="75"/>
      <c r="X5608" s="75"/>
    </row>
    <row r="5609">
      <c r="A5609" s="17"/>
      <c r="B5609" s="17"/>
      <c r="C5609" s="133"/>
      <c r="D5609" s="133"/>
      <c r="E5609" s="17"/>
      <c r="F5609" s="133"/>
      <c r="G5609" s="133"/>
      <c r="H5609" s="133"/>
      <c r="I5609" s="133"/>
      <c r="J5609" s="133"/>
      <c r="K5609" s="133"/>
      <c r="L5609" s="133"/>
      <c r="M5609" s="133"/>
      <c r="N5609" s="133"/>
      <c r="O5609" s="133"/>
      <c r="P5609" s="134"/>
      <c r="Q5609" s="146"/>
      <c r="R5609" s="17"/>
      <c r="S5609" s="17"/>
      <c r="T5609" s="75"/>
      <c r="U5609" s="75"/>
      <c r="V5609" s="75"/>
      <c r="W5609" s="75"/>
      <c r="X5609" s="75"/>
    </row>
    <row r="5610">
      <c r="A5610" s="17"/>
      <c r="B5610" s="17"/>
      <c r="C5610" s="133"/>
      <c r="D5610" s="133"/>
      <c r="E5610" s="17"/>
      <c r="F5610" s="133"/>
      <c r="G5610" s="133"/>
      <c r="H5610" s="133"/>
      <c r="I5610" s="133"/>
      <c r="J5610" s="133"/>
      <c r="K5610" s="133"/>
      <c r="L5610" s="133"/>
      <c r="M5610" s="133"/>
      <c r="N5610" s="133"/>
      <c r="O5610" s="133"/>
      <c r="P5610" s="134"/>
      <c r="Q5610" s="146"/>
      <c r="R5610" s="17"/>
      <c r="S5610" s="17"/>
      <c r="T5610" s="75"/>
      <c r="U5610" s="75"/>
      <c r="V5610" s="75"/>
      <c r="W5610" s="75"/>
      <c r="X5610" s="75"/>
    </row>
    <row r="5611">
      <c r="A5611" s="17"/>
      <c r="B5611" s="17"/>
      <c r="C5611" s="133"/>
      <c r="D5611" s="133"/>
      <c r="E5611" s="17"/>
      <c r="F5611" s="133"/>
      <c r="G5611" s="133"/>
      <c r="H5611" s="133"/>
      <c r="I5611" s="133"/>
      <c r="J5611" s="133"/>
      <c r="K5611" s="133"/>
      <c r="L5611" s="133"/>
      <c r="M5611" s="133"/>
      <c r="N5611" s="133"/>
      <c r="O5611" s="133"/>
      <c r="P5611" s="134"/>
      <c r="Q5611" s="146"/>
      <c r="R5611" s="17"/>
      <c r="S5611" s="17"/>
      <c r="T5611" s="75"/>
      <c r="U5611" s="75"/>
      <c r="V5611" s="75"/>
      <c r="W5611" s="75"/>
      <c r="X5611" s="75"/>
    </row>
    <row r="5612">
      <c r="A5612" s="17"/>
      <c r="B5612" s="17"/>
      <c r="C5612" s="133"/>
      <c r="D5612" s="133"/>
      <c r="E5612" s="17"/>
      <c r="F5612" s="133"/>
      <c r="G5612" s="133"/>
      <c r="H5612" s="133"/>
      <c r="I5612" s="133"/>
      <c r="J5612" s="133"/>
      <c r="K5612" s="133"/>
      <c r="L5612" s="133"/>
      <c r="M5612" s="133"/>
      <c r="N5612" s="133"/>
      <c r="O5612" s="133"/>
      <c r="P5612" s="134"/>
      <c r="Q5612" s="146"/>
      <c r="R5612" s="17"/>
      <c r="S5612" s="17"/>
      <c r="T5612" s="75"/>
      <c r="U5612" s="75"/>
      <c r="V5612" s="75"/>
      <c r="W5612" s="75"/>
      <c r="X5612" s="75"/>
    </row>
    <row r="5613">
      <c r="A5613" s="17"/>
      <c r="B5613" s="17"/>
      <c r="C5613" s="133"/>
      <c r="D5613" s="133"/>
      <c r="E5613" s="17"/>
      <c r="F5613" s="133"/>
      <c r="G5613" s="133"/>
      <c r="H5613" s="133"/>
      <c r="I5613" s="133"/>
      <c r="J5613" s="133"/>
      <c r="K5613" s="133"/>
      <c r="L5613" s="133"/>
      <c r="M5613" s="133"/>
      <c r="N5613" s="133"/>
      <c r="O5613" s="133"/>
      <c r="P5613" s="134"/>
      <c r="Q5613" s="146"/>
      <c r="R5613" s="17"/>
      <c r="S5613" s="17"/>
      <c r="T5613" s="75"/>
      <c r="U5613" s="75"/>
      <c r="V5613" s="75"/>
      <c r="W5613" s="75"/>
      <c r="X5613" s="75"/>
    </row>
    <row r="5614">
      <c r="A5614" s="17"/>
      <c r="B5614" s="17"/>
      <c r="C5614" s="133"/>
      <c r="D5614" s="133"/>
      <c r="E5614" s="17"/>
      <c r="F5614" s="133"/>
      <c r="G5614" s="133"/>
      <c r="H5614" s="133"/>
      <c r="I5614" s="133"/>
      <c r="J5614" s="133"/>
      <c r="K5614" s="133"/>
      <c r="L5614" s="133"/>
      <c r="M5614" s="133"/>
      <c r="N5614" s="133"/>
      <c r="O5614" s="133"/>
      <c r="P5614" s="134"/>
      <c r="Q5614" s="146"/>
      <c r="R5614" s="17"/>
      <c r="S5614" s="17"/>
      <c r="T5614" s="75"/>
      <c r="U5614" s="75"/>
      <c r="V5614" s="75"/>
      <c r="W5614" s="75"/>
      <c r="X5614" s="75"/>
    </row>
    <row r="5615">
      <c r="A5615" s="17"/>
      <c r="B5615" s="17"/>
      <c r="C5615" s="133"/>
      <c r="D5615" s="133"/>
      <c r="E5615" s="17"/>
      <c r="F5615" s="133"/>
      <c r="G5615" s="133"/>
      <c r="H5615" s="133"/>
      <c r="I5615" s="133"/>
      <c r="J5615" s="133"/>
      <c r="K5615" s="133"/>
      <c r="L5615" s="133"/>
      <c r="M5615" s="133"/>
      <c r="N5615" s="133"/>
      <c r="O5615" s="133"/>
      <c r="P5615" s="134"/>
      <c r="Q5615" s="146"/>
      <c r="R5615" s="17"/>
      <c r="S5615" s="17"/>
      <c r="T5615" s="75"/>
      <c r="U5615" s="75"/>
      <c r="V5615" s="75"/>
      <c r="W5615" s="75"/>
      <c r="X5615" s="75"/>
    </row>
    <row r="5616">
      <c r="A5616" s="17"/>
      <c r="B5616" s="17"/>
      <c r="C5616" s="133"/>
      <c r="D5616" s="133"/>
      <c r="E5616" s="17"/>
      <c r="F5616" s="133"/>
      <c r="G5616" s="133"/>
      <c r="H5616" s="133"/>
      <c r="I5616" s="133"/>
      <c r="J5616" s="133"/>
      <c r="K5616" s="133"/>
      <c r="L5616" s="133"/>
      <c r="M5616" s="133"/>
      <c r="N5616" s="133"/>
      <c r="O5616" s="133"/>
      <c r="P5616" s="134"/>
      <c r="Q5616" s="146"/>
      <c r="R5616" s="17"/>
      <c r="S5616" s="17"/>
      <c r="T5616" s="75"/>
      <c r="U5616" s="75"/>
      <c r="V5616" s="75"/>
      <c r="W5616" s="75"/>
      <c r="X5616" s="75"/>
    </row>
    <row r="5617">
      <c r="A5617" s="17"/>
      <c r="B5617" s="17"/>
      <c r="C5617" s="133"/>
      <c r="D5617" s="133"/>
      <c r="E5617" s="17"/>
      <c r="F5617" s="133"/>
      <c r="G5617" s="133"/>
      <c r="H5617" s="133"/>
      <c r="I5617" s="133"/>
      <c r="J5617" s="133"/>
      <c r="K5617" s="133"/>
      <c r="L5617" s="133"/>
      <c r="M5617" s="133"/>
      <c r="N5617" s="133"/>
      <c r="O5617" s="133"/>
      <c r="P5617" s="134"/>
      <c r="Q5617" s="146"/>
      <c r="R5617" s="17"/>
      <c r="S5617" s="17"/>
      <c r="T5617" s="75"/>
      <c r="U5617" s="75"/>
      <c r="V5617" s="75"/>
      <c r="W5617" s="75"/>
      <c r="X5617" s="75"/>
    </row>
    <row r="5618">
      <c r="A5618" s="17"/>
      <c r="B5618" s="17"/>
      <c r="C5618" s="133"/>
      <c r="D5618" s="133"/>
      <c r="E5618" s="17"/>
      <c r="F5618" s="133"/>
      <c r="G5618" s="133"/>
      <c r="H5618" s="133"/>
      <c r="I5618" s="133"/>
      <c r="J5618" s="133"/>
      <c r="K5618" s="133"/>
      <c r="L5618" s="133"/>
      <c r="M5618" s="133"/>
      <c r="N5618" s="133"/>
      <c r="O5618" s="133"/>
      <c r="P5618" s="134"/>
      <c r="Q5618" s="146"/>
      <c r="R5618" s="17"/>
      <c r="S5618" s="17"/>
      <c r="T5618" s="75"/>
      <c r="U5618" s="75"/>
      <c r="V5618" s="75"/>
      <c r="W5618" s="75"/>
      <c r="X5618" s="75"/>
    </row>
    <row r="5619">
      <c r="A5619" s="17"/>
      <c r="B5619" s="17"/>
      <c r="C5619" s="133"/>
      <c r="D5619" s="133"/>
      <c r="E5619" s="17"/>
      <c r="F5619" s="133"/>
      <c r="G5619" s="133"/>
      <c r="H5619" s="133"/>
      <c r="I5619" s="133"/>
      <c r="J5619" s="133"/>
      <c r="K5619" s="133"/>
      <c r="L5619" s="133"/>
      <c r="M5619" s="133"/>
      <c r="N5619" s="133"/>
      <c r="O5619" s="133"/>
      <c r="P5619" s="134"/>
      <c r="Q5619" s="146"/>
      <c r="R5619" s="17"/>
      <c r="S5619" s="17"/>
      <c r="T5619" s="75"/>
      <c r="U5619" s="75"/>
      <c r="V5619" s="75"/>
      <c r="W5619" s="75"/>
      <c r="X5619" s="75"/>
    </row>
    <row r="5620">
      <c r="A5620" s="17"/>
      <c r="B5620" s="17"/>
      <c r="C5620" s="133"/>
      <c r="D5620" s="133"/>
      <c r="E5620" s="17"/>
      <c r="F5620" s="133"/>
      <c r="G5620" s="133"/>
      <c r="H5620" s="133"/>
      <c r="I5620" s="133"/>
      <c r="J5620" s="133"/>
      <c r="K5620" s="133"/>
      <c r="L5620" s="133"/>
      <c r="M5620" s="133"/>
      <c r="N5620" s="133"/>
      <c r="O5620" s="133"/>
      <c r="P5620" s="134"/>
      <c r="Q5620" s="146"/>
      <c r="R5620" s="17"/>
      <c r="S5620" s="17"/>
      <c r="T5620" s="75"/>
      <c r="U5620" s="75"/>
      <c r="V5620" s="75"/>
      <c r="W5620" s="75"/>
      <c r="X5620" s="75"/>
    </row>
    <row r="5621">
      <c r="A5621" s="17"/>
      <c r="B5621" s="17"/>
      <c r="C5621" s="133"/>
      <c r="D5621" s="133"/>
      <c r="E5621" s="17"/>
      <c r="F5621" s="133"/>
      <c r="G5621" s="133"/>
      <c r="H5621" s="133"/>
      <c r="I5621" s="133"/>
      <c r="J5621" s="133"/>
      <c r="K5621" s="133"/>
      <c r="L5621" s="133"/>
      <c r="M5621" s="133"/>
      <c r="N5621" s="133"/>
      <c r="O5621" s="133"/>
      <c r="P5621" s="134"/>
      <c r="Q5621" s="146"/>
      <c r="R5621" s="17"/>
      <c r="S5621" s="17"/>
      <c r="T5621" s="75"/>
      <c r="U5621" s="75"/>
      <c r="V5621" s="75"/>
      <c r="W5621" s="75"/>
      <c r="X5621" s="75"/>
    </row>
    <row r="5622">
      <c r="A5622" s="17"/>
      <c r="B5622" s="17"/>
      <c r="C5622" s="133"/>
      <c r="D5622" s="133"/>
      <c r="E5622" s="17"/>
      <c r="F5622" s="133"/>
      <c r="G5622" s="133"/>
      <c r="H5622" s="133"/>
      <c r="I5622" s="133"/>
      <c r="J5622" s="133"/>
      <c r="K5622" s="133"/>
      <c r="L5622" s="133"/>
      <c r="M5622" s="133"/>
      <c r="N5622" s="133"/>
      <c r="O5622" s="133"/>
      <c r="P5622" s="134"/>
      <c r="Q5622" s="146"/>
      <c r="R5622" s="17"/>
      <c r="S5622" s="17"/>
      <c r="T5622" s="75"/>
      <c r="U5622" s="75"/>
      <c r="V5622" s="75"/>
      <c r="W5622" s="75"/>
      <c r="X5622" s="75"/>
    </row>
    <row r="5623">
      <c r="A5623" s="17"/>
      <c r="B5623" s="17"/>
      <c r="C5623" s="133"/>
      <c r="D5623" s="133"/>
      <c r="E5623" s="17"/>
      <c r="F5623" s="133"/>
      <c r="G5623" s="133"/>
      <c r="H5623" s="133"/>
      <c r="I5623" s="133"/>
      <c r="J5623" s="133"/>
      <c r="K5623" s="133"/>
      <c r="L5623" s="133"/>
      <c r="M5623" s="133"/>
      <c r="N5623" s="133"/>
      <c r="O5623" s="133"/>
      <c r="P5623" s="134"/>
      <c r="Q5623" s="146"/>
      <c r="R5623" s="17"/>
      <c r="S5623" s="17"/>
      <c r="T5623" s="75"/>
      <c r="U5623" s="75"/>
      <c r="V5623" s="75"/>
      <c r="W5623" s="75"/>
      <c r="X5623" s="75"/>
    </row>
    <row r="5624">
      <c r="A5624" s="17"/>
      <c r="B5624" s="17"/>
      <c r="C5624" s="133"/>
      <c r="D5624" s="133"/>
      <c r="E5624" s="17"/>
      <c r="F5624" s="133"/>
      <c r="G5624" s="133"/>
      <c r="H5624" s="133"/>
      <c r="I5624" s="133"/>
      <c r="J5624" s="133"/>
      <c r="K5624" s="133"/>
      <c r="L5624" s="133"/>
      <c r="M5624" s="133"/>
      <c r="N5624" s="133"/>
      <c r="O5624" s="133"/>
      <c r="P5624" s="134"/>
      <c r="Q5624" s="146"/>
      <c r="R5624" s="17"/>
      <c r="S5624" s="17"/>
      <c r="T5624" s="75"/>
      <c r="U5624" s="75"/>
      <c r="V5624" s="75"/>
      <c r="W5624" s="75"/>
      <c r="X5624" s="75"/>
    </row>
    <row r="5625">
      <c r="A5625" s="17"/>
      <c r="B5625" s="17"/>
      <c r="C5625" s="133"/>
      <c r="D5625" s="133"/>
      <c r="E5625" s="17"/>
      <c r="F5625" s="133"/>
      <c r="G5625" s="133"/>
      <c r="H5625" s="133"/>
      <c r="I5625" s="133"/>
      <c r="J5625" s="133"/>
      <c r="K5625" s="133"/>
      <c r="L5625" s="133"/>
      <c r="M5625" s="133"/>
      <c r="N5625" s="133"/>
      <c r="O5625" s="133"/>
      <c r="P5625" s="134"/>
      <c r="Q5625" s="146"/>
      <c r="R5625" s="17"/>
      <c r="S5625" s="17"/>
      <c r="T5625" s="75"/>
      <c r="U5625" s="75"/>
      <c r="V5625" s="75"/>
      <c r="W5625" s="75"/>
      <c r="X5625" s="75"/>
    </row>
    <row r="5626">
      <c r="A5626" s="17"/>
      <c r="B5626" s="17"/>
      <c r="C5626" s="133"/>
      <c r="D5626" s="133"/>
      <c r="E5626" s="17"/>
      <c r="F5626" s="133"/>
      <c r="G5626" s="133"/>
      <c r="H5626" s="133"/>
      <c r="I5626" s="133"/>
      <c r="J5626" s="133"/>
      <c r="K5626" s="133"/>
      <c r="L5626" s="133"/>
      <c r="M5626" s="133"/>
      <c r="N5626" s="133"/>
      <c r="O5626" s="133"/>
      <c r="P5626" s="134"/>
      <c r="Q5626" s="146"/>
      <c r="R5626" s="17"/>
      <c r="S5626" s="17"/>
      <c r="T5626" s="75"/>
      <c r="U5626" s="75"/>
      <c r="V5626" s="75"/>
      <c r="W5626" s="75"/>
      <c r="X5626" s="75"/>
    </row>
    <row r="5627">
      <c r="A5627" s="17"/>
      <c r="B5627" s="17"/>
      <c r="C5627" s="133"/>
      <c r="D5627" s="133"/>
      <c r="E5627" s="17"/>
      <c r="F5627" s="133"/>
      <c r="G5627" s="133"/>
      <c r="H5627" s="133"/>
      <c r="I5627" s="133"/>
      <c r="J5627" s="133"/>
      <c r="K5627" s="133"/>
      <c r="L5627" s="133"/>
      <c r="M5627" s="133"/>
      <c r="N5627" s="133"/>
      <c r="O5627" s="133"/>
      <c r="P5627" s="134"/>
      <c r="Q5627" s="146"/>
      <c r="R5627" s="17"/>
      <c r="S5627" s="17"/>
      <c r="T5627" s="75"/>
      <c r="U5627" s="75"/>
      <c r="V5627" s="75"/>
      <c r="W5627" s="75"/>
      <c r="X5627" s="75"/>
    </row>
    <row r="5628">
      <c r="A5628" s="17"/>
      <c r="B5628" s="17"/>
      <c r="C5628" s="133"/>
      <c r="D5628" s="133"/>
      <c r="E5628" s="17"/>
      <c r="F5628" s="133"/>
      <c r="G5628" s="133"/>
      <c r="H5628" s="133"/>
      <c r="I5628" s="133"/>
      <c r="J5628" s="133"/>
      <c r="K5628" s="133"/>
      <c r="L5628" s="133"/>
      <c r="M5628" s="133"/>
      <c r="N5628" s="133"/>
      <c r="O5628" s="133"/>
      <c r="P5628" s="134"/>
      <c r="Q5628" s="146"/>
      <c r="R5628" s="17"/>
      <c r="S5628" s="17"/>
      <c r="T5628" s="75"/>
      <c r="U5628" s="75"/>
      <c r="V5628" s="75"/>
      <c r="W5628" s="75"/>
      <c r="X5628" s="75"/>
    </row>
    <row r="5629">
      <c r="A5629" s="17"/>
      <c r="B5629" s="17"/>
      <c r="C5629" s="133"/>
      <c r="D5629" s="133"/>
      <c r="E5629" s="17"/>
      <c r="F5629" s="133"/>
      <c r="G5629" s="133"/>
      <c r="H5629" s="133"/>
      <c r="I5629" s="133"/>
      <c r="J5629" s="133"/>
      <c r="K5629" s="133"/>
      <c r="L5629" s="133"/>
      <c r="M5629" s="133"/>
      <c r="N5629" s="133"/>
      <c r="O5629" s="133"/>
      <c r="P5629" s="134"/>
      <c r="Q5629" s="146"/>
      <c r="R5629" s="17"/>
      <c r="S5629" s="17"/>
      <c r="T5629" s="75"/>
      <c r="U5629" s="75"/>
      <c r="V5629" s="75"/>
      <c r="W5629" s="75"/>
      <c r="X5629" s="75"/>
    </row>
    <row r="5630">
      <c r="A5630" s="17"/>
      <c r="B5630" s="17"/>
      <c r="C5630" s="133"/>
      <c r="D5630" s="133"/>
      <c r="E5630" s="17"/>
      <c r="F5630" s="133"/>
      <c r="G5630" s="133"/>
      <c r="H5630" s="133"/>
      <c r="I5630" s="133"/>
      <c r="J5630" s="133"/>
      <c r="K5630" s="133"/>
      <c r="L5630" s="133"/>
      <c r="M5630" s="133"/>
      <c r="N5630" s="133"/>
      <c r="O5630" s="133"/>
      <c r="P5630" s="134"/>
      <c r="Q5630" s="146"/>
      <c r="R5630" s="17"/>
      <c r="S5630" s="17"/>
      <c r="T5630" s="75"/>
      <c r="U5630" s="75"/>
      <c r="V5630" s="75"/>
      <c r="W5630" s="75"/>
      <c r="X5630" s="75"/>
    </row>
    <row r="5631">
      <c r="A5631" s="17"/>
      <c r="B5631" s="17"/>
      <c r="C5631" s="133"/>
      <c r="D5631" s="133"/>
      <c r="E5631" s="17"/>
      <c r="F5631" s="133"/>
      <c r="G5631" s="133"/>
      <c r="H5631" s="133"/>
      <c r="I5631" s="133"/>
      <c r="J5631" s="133"/>
      <c r="K5631" s="133"/>
      <c r="L5631" s="133"/>
      <c r="M5631" s="133"/>
      <c r="N5631" s="133"/>
      <c r="O5631" s="133"/>
      <c r="P5631" s="134"/>
      <c r="Q5631" s="146"/>
      <c r="R5631" s="17"/>
      <c r="S5631" s="17"/>
      <c r="T5631" s="75"/>
      <c r="U5631" s="75"/>
      <c r="V5631" s="75"/>
      <c r="W5631" s="75"/>
      <c r="X5631" s="75"/>
    </row>
    <row r="5632">
      <c r="A5632" s="17"/>
      <c r="B5632" s="17"/>
      <c r="C5632" s="133"/>
      <c r="D5632" s="133"/>
      <c r="E5632" s="17"/>
      <c r="F5632" s="133"/>
      <c r="G5632" s="133"/>
      <c r="H5632" s="133"/>
      <c r="I5632" s="133"/>
      <c r="J5632" s="133"/>
      <c r="K5632" s="133"/>
      <c r="L5632" s="133"/>
      <c r="M5632" s="133"/>
      <c r="N5632" s="133"/>
      <c r="O5632" s="133"/>
      <c r="P5632" s="134"/>
      <c r="Q5632" s="146"/>
      <c r="R5632" s="17"/>
      <c r="S5632" s="17"/>
      <c r="T5632" s="75"/>
      <c r="U5632" s="75"/>
      <c r="V5632" s="75"/>
      <c r="W5632" s="75"/>
      <c r="X5632" s="75"/>
    </row>
    <row r="5633">
      <c r="A5633" s="17"/>
      <c r="B5633" s="17"/>
      <c r="C5633" s="133"/>
      <c r="D5633" s="133"/>
      <c r="E5633" s="17"/>
      <c r="F5633" s="133"/>
      <c r="G5633" s="133"/>
      <c r="H5633" s="133"/>
      <c r="I5633" s="133"/>
      <c r="J5633" s="133"/>
      <c r="K5633" s="133"/>
      <c r="L5633" s="133"/>
      <c r="M5633" s="133"/>
      <c r="N5633" s="133"/>
      <c r="O5633" s="133"/>
      <c r="P5633" s="134"/>
      <c r="Q5633" s="146"/>
      <c r="R5633" s="17"/>
      <c r="S5633" s="17"/>
      <c r="T5633" s="75"/>
      <c r="U5633" s="75"/>
      <c r="V5633" s="75"/>
      <c r="W5633" s="75"/>
      <c r="X5633" s="75"/>
    </row>
    <row r="5634">
      <c r="A5634" s="17"/>
      <c r="B5634" s="17"/>
      <c r="C5634" s="133"/>
      <c r="D5634" s="133"/>
      <c r="E5634" s="17"/>
      <c r="F5634" s="133"/>
      <c r="G5634" s="133"/>
      <c r="H5634" s="133"/>
      <c r="I5634" s="133"/>
      <c r="J5634" s="133"/>
      <c r="K5634" s="133"/>
      <c r="L5634" s="133"/>
      <c r="M5634" s="133"/>
      <c r="N5634" s="133"/>
      <c r="O5634" s="133"/>
      <c r="P5634" s="134"/>
      <c r="Q5634" s="146"/>
      <c r="R5634" s="17"/>
      <c r="S5634" s="17"/>
      <c r="T5634" s="75"/>
      <c r="U5634" s="75"/>
      <c r="V5634" s="75"/>
      <c r="W5634" s="75"/>
      <c r="X5634" s="75"/>
    </row>
    <row r="5635">
      <c r="A5635" s="17"/>
      <c r="B5635" s="17"/>
      <c r="C5635" s="133"/>
      <c r="D5635" s="133"/>
      <c r="E5635" s="17"/>
      <c r="F5635" s="133"/>
      <c r="G5635" s="133"/>
      <c r="H5635" s="133"/>
      <c r="I5635" s="133"/>
      <c r="J5635" s="133"/>
      <c r="K5635" s="133"/>
      <c r="L5635" s="133"/>
      <c r="M5635" s="133"/>
      <c r="N5635" s="133"/>
      <c r="O5635" s="133"/>
      <c r="P5635" s="134"/>
      <c r="Q5635" s="146"/>
      <c r="R5635" s="17"/>
      <c r="S5635" s="17"/>
      <c r="T5635" s="75"/>
      <c r="U5635" s="75"/>
      <c r="V5635" s="75"/>
      <c r="W5635" s="75"/>
      <c r="X5635" s="75"/>
    </row>
    <row r="5636">
      <c r="A5636" s="17"/>
      <c r="B5636" s="17"/>
      <c r="C5636" s="133"/>
      <c r="D5636" s="133"/>
      <c r="E5636" s="17"/>
      <c r="F5636" s="133"/>
      <c r="G5636" s="133"/>
      <c r="H5636" s="133"/>
      <c r="I5636" s="133"/>
      <c r="J5636" s="133"/>
      <c r="K5636" s="133"/>
      <c r="L5636" s="133"/>
      <c r="M5636" s="133"/>
      <c r="N5636" s="133"/>
      <c r="O5636" s="133"/>
      <c r="P5636" s="134"/>
      <c r="Q5636" s="146"/>
      <c r="R5636" s="17"/>
      <c r="S5636" s="17"/>
      <c r="T5636" s="75"/>
      <c r="U5636" s="75"/>
      <c r="V5636" s="75"/>
      <c r="W5636" s="75"/>
      <c r="X5636" s="75"/>
    </row>
    <row r="5637">
      <c r="A5637" s="17"/>
      <c r="B5637" s="17"/>
      <c r="C5637" s="133"/>
      <c r="D5637" s="133"/>
      <c r="E5637" s="17"/>
      <c r="F5637" s="133"/>
      <c r="G5637" s="133"/>
      <c r="H5637" s="133"/>
      <c r="I5637" s="133"/>
      <c r="J5637" s="133"/>
      <c r="K5637" s="133"/>
      <c r="L5637" s="133"/>
      <c r="M5637" s="133"/>
      <c r="N5637" s="133"/>
      <c r="O5637" s="133"/>
      <c r="P5637" s="134"/>
      <c r="Q5637" s="146"/>
      <c r="R5637" s="17"/>
      <c r="S5637" s="17"/>
      <c r="T5637" s="75"/>
      <c r="U5637" s="75"/>
      <c r="V5637" s="75"/>
      <c r="W5637" s="75"/>
      <c r="X5637" s="75"/>
    </row>
    <row r="5638">
      <c r="A5638" s="17"/>
      <c r="B5638" s="17"/>
      <c r="C5638" s="133"/>
      <c r="D5638" s="133"/>
      <c r="E5638" s="17"/>
      <c r="F5638" s="133"/>
      <c r="G5638" s="133"/>
      <c r="H5638" s="133"/>
      <c r="I5638" s="133"/>
      <c r="J5638" s="133"/>
      <c r="K5638" s="133"/>
      <c r="L5638" s="133"/>
      <c r="M5638" s="133"/>
      <c r="N5638" s="133"/>
      <c r="O5638" s="133"/>
      <c r="P5638" s="134"/>
      <c r="Q5638" s="146"/>
      <c r="R5638" s="17"/>
      <c r="S5638" s="17"/>
      <c r="T5638" s="75"/>
      <c r="U5638" s="75"/>
      <c r="V5638" s="75"/>
      <c r="W5638" s="75"/>
      <c r="X5638" s="75"/>
    </row>
    <row r="5639">
      <c r="A5639" s="17"/>
      <c r="B5639" s="17"/>
      <c r="C5639" s="133"/>
      <c r="D5639" s="133"/>
      <c r="E5639" s="17"/>
      <c r="F5639" s="133"/>
      <c r="G5639" s="133"/>
      <c r="H5639" s="133"/>
      <c r="I5639" s="133"/>
      <c r="J5639" s="133"/>
      <c r="K5639" s="133"/>
      <c r="L5639" s="133"/>
      <c r="M5639" s="133"/>
      <c r="N5639" s="133"/>
      <c r="O5639" s="133"/>
      <c r="P5639" s="134"/>
      <c r="Q5639" s="146"/>
      <c r="R5639" s="17"/>
      <c r="S5639" s="17"/>
      <c r="T5639" s="75"/>
      <c r="U5639" s="75"/>
      <c r="V5639" s="75"/>
      <c r="W5639" s="75"/>
      <c r="X5639" s="75"/>
    </row>
    <row r="5640">
      <c r="A5640" s="17"/>
      <c r="B5640" s="17"/>
      <c r="C5640" s="133"/>
      <c r="D5640" s="133"/>
      <c r="E5640" s="17"/>
      <c r="F5640" s="133"/>
      <c r="G5640" s="133"/>
      <c r="H5640" s="133"/>
      <c r="I5640" s="133"/>
      <c r="J5640" s="133"/>
      <c r="K5640" s="133"/>
      <c r="L5640" s="133"/>
      <c r="M5640" s="133"/>
      <c r="N5640" s="133"/>
      <c r="O5640" s="133"/>
      <c r="P5640" s="134"/>
      <c r="Q5640" s="146"/>
      <c r="R5640" s="17"/>
      <c r="S5640" s="17"/>
      <c r="T5640" s="75"/>
      <c r="U5640" s="75"/>
      <c r="V5640" s="75"/>
      <c r="W5640" s="75"/>
      <c r="X5640" s="75"/>
    </row>
    <row r="5641">
      <c r="A5641" s="17"/>
      <c r="B5641" s="17"/>
      <c r="C5641" s="133"/>
      <c r="D5641" s="133"/>
      <c r="E5641" s="17"/>
      <c r="F5641" s="133"/>
      <c r="G5641" s="133"/>
      <c r="H5641" s="133"/>
      <c r="I5641" s="133"/>
      <c r="J5641" s="133"/>
      <c r="K5641" s="133"/>
      <c r="L5641" s="133"/>
      <c r="M5641" s="133"/>
      <c r="N5641" s="133"/>
      <c r="O5641" s="133"/>
      <c r="P5641" s="134"/>
      <c r="Q5641" s="146"/>
      <c r="R5641" s="17"/>
      <c r="S5641" s="17"/>
      <c r="T5641" s="75"/>
      <c r="U5641" s="75"/>
      <c r="V5641" s="75"/>
      <c r="W5641" s="75"/>
      <c r="X5641" s="75"/>
    </row>
    <row r="5642">
      <c r="A5642" s="17"/>
      <c r="B5642" s="17"/>
      <c r="C5642" s="133"/>
      <c r="D5642" s="133"/>
      <c r="E5642" s="17"/>
      <c r="F5642" s="133"/>
      <c r="G5642" s="133"/>
      <c r="H5642" s="133"/>
      <c r="I5642" s="133"/>
      <c r="J5642" s="133"/>
      <c r="K5642" s="133"/>
      <c r="L5642" s="133"/>
      <c r="M5642" s="133"/>
      <c r="N5642" s="133"/>
      <c r="O5642" s="133"/>
      <c r="P5642" s="134"/>
      <c r="Q5642" s="146"/>
      <c r="R5642" s="17"/>
      <c r="S5642" s="17"/>
      <c r="T5642" s="75"/>
      <c r="U5642" s="75"/>
      <c r="V5642" s="75"/>
      <c r="W5642" s="75"/>
      <c r="X5642" s="75"/>
    </row>
    <row r="5643">
      <c r="A5643" s="17"/>
      <c r="B5643" s="17"/>
      <c r="C5643" s="133"/>
      <c r="D5643" s="133"/>
      <c r="E5643" s="17"/>
      <c r="F5643" s="133"/>
      <c r="G5643" s="133"/>
      <c r="H5643" s="133"/>
      <c r="I5643" s="133"/>
      <c r="J5643" s="133"/>
      <c r="K5643" s="133"/>
      <c r="L5643" s="133"/>
      <c r="M5643" s="133"/>
      <c r="N5643" s="133"/>
      <c r="O5643" s="133"/>
      <c r="P5643" s="134"/>
      <c r="Q5643" s="146"/>
      <c r="R5643" s="17"/>
      <c r="S5643" s="17"/>
      <c r="T5643" s="75"/>
      <c r="U5643" s="75"/>
      <c r="V5643" s="75"/>
      <c r="W5643" s="75"/>
      <c r="X5643" s="75"/>
    </row>
    <row r="5644">
      <c r="A5644" s="17"/>
      <c r="B5644" s="17"/>
      <c r="C5644" s="133"/>
      <c r="D5644" s="133"/>
      <c r="E5644" s="17"/>
      <c r="F5644" s="133"/>
      <c r="G5644" s="133"/>
      <c r="H5644" s="133"/>
      <c r="I5644" s="133"/>
      <c r="J5644" s="133"/>
      <c r="K5644" s="133"/>
      <c r="L5644" s="133"/>
      <c r="M5644" s="133"/>
      <c r="N5644" s="133"/>
      <c r="O5644" s="133"/>
      <c r="P5644" s="134"/>
      <c r="Q5644" s="146"/>
      <c r="R5644" s="17"/>
      <c r="S5644" s="17"/>
      <c r="T5644" s="75"/>
      <c r="U5644" s="75"/>
      <c r="V5644" s="75"/>
      <c r="W5644" s="75"/>
      <c r="X5644" s="75"/>
    </row>
    <row r="5645">
      <c r="A5645" s="17"/>
      <c r="B5645" s="17"/>
      <c r="C5645" s="133"/>
      <c r="D5645" s="133"/>
      <c r="E5645" s="17"/>
      <c r="F5645" s="133"/>
      <c r="G5645" s="133"/>
      <c r="H5645" s="133"/>
      <c r="I5645" s="133"/>
      <c r="J5645" s="133"/>
      <c r="K5645" s="133"/>
      <c r="L5645" s="133"/>
      <c r="M5645" s="133"/>
      <c r="N5645" s="133"/>
      <c r="O5645" s="133"/>
      <c r="P5645" s="134"/>
      <c r="Q5645" s="146"/>
      <c r="R5645" s="17"/>
      <c r="S5645" s="17"/>
      <c r="T5645" s="75"/>
      <c r="U5645" s="75"/>
      <c r="V5645" s="75"/>
      <c r="W5645" s="75"/>
      <c r="X5645" s="75"/>
    </row>
    <row r="5646">
      <c r="A5646" s="17"/>
      <c r="B5646" s="17"/>
      <c r="C5646" s="133"/>
      <c r="D5646" s="133"/>
      <c r="E5646" s="17"/>
      <c r="F5646" s="133"/>
      <c r="G5646" s="133"/>
      <c r="H5646" s="133"/>
      <c r="I5646" s="133"/>
      <c r="J5646" s="133"/>
      <c r="K5646" s="133"/>
      <c r="L5646" s="133"/>
      <c r="M5646" s="133"/>
      <c r="N5646" s="133"/>
      <c r="O5646" s="133"/>
      <c r="P5646" s="134"/>
      <c r="Q5646" s="146"/>
      <c r="R5646" s="17"/>
      <c r="S5646" s="17"/>
      <c r="T5646" s="75"/>
      <c r="U5646" s="75"/>
      <c r="V5646" s="75"/>
      <c r="W5646" s="75"/>
      <c r="X5646" s="75"/>
    </row>
    <row r="5647">
      <c r="A5647" s="17"/>
      <c r="B5647" s="17"/>
      <c r="C5647" s="133"/>
      <c r="D5647" s="133"/>
      <c r="E5647" s="17"/>
      <c r="F5647" s="133"/>
      <c r="G5647" s="133"/>
      <c r="H5647" s="133"/>
      <c r="I5647" s="133"/>
      <c r="J5647" s="133"/>
      <c r="K5647" s="133"/>
      <c r="L5647" s="133"/>
      <c r="M5647" s="133"/>
      <c r="N5647" s="133"/>
      <c r="O5647" s="133"/>
      <c r="P5647" s="134"/>
      <c r="Q5647" s="146"/>
      <c r="R5647" s="17"/>
      <c r="S5647" s="17"/>
      <c r="T5647" s="75"/>
      <c r="U5647" s="75"/>
      <c r="V5647" s="75"/>
      <c r="W5647" s="75"/>
      <c r="X5647" s="75"/>
    </row>
    <row r="5648">
      <c r="A5648" s="17"/>
      <c r="B5648" s="17"/>
      <c r="C5648" s="133"/>
      <c r="D5648" s="133"/>
      <c r="E5648" s="17"/>
      <c r="F5648" s="133"/>
      <c r="G5648" s="133"/>
      <c r="H5648" s="133"/>
      <c r="I5648" s="133"/>
      <c r="J5648" s="133"/>
      <c r="K5648" s="133"/>
      <c r="L5648" s="133"/>
      <c r="M5648" s="133"/>
      <c r="N5648" s="133"/>
      <c r="O5648" s="133"/>
      <c r="P5648" s="134"/>
      <c r="Q5648" s="146"/>
      <c r="R5648" s="17"/>
      <c r="S5648" s="17"/>
      <c r="T5648" s="75"/>
      <c r="U5648" s="75"/>
      <c r="V5648" s="75"/>
      <c r="W5648" s="75"/>
      <c r="X5648" s="75"/>
    </row>
    <row r="5649">
      <c r="A5649" s="17"/>
      <c r="B5649" s="17"/>
      <c r="C5649" s="133"/>
      <c r="D5649" s="133"/>
      <c r="E5649" s="17"/>
      <c r="F5649" s="133"/>
      <c r="G5649" s="133"/>
      <c r="H5649" s="133"/>
      <c r="I5649" s="133"/>
      <c r="J5649" s="133"/>
      <c r="K5649" s="133"/>
      <c r="L5649" s="133"/>
      <c r="M5649" s="133"/>
      <c r="N5649" s="133"/>
      <c r="O5649" s="133"/>
      <c r="P5649" s="134"/>
      <c r="Q5649" s="146"/>
      <c r="R5649" s="17"/>
      <c r="S5649" s="17"/>
      <c r="T5649" s="75"/>
      <c r="U5649" s="75"/>
      <c r="V5649" s="75"/>
      <c r="W5649" s="75"/>
      <c r="X5649" s="75"/>
    </row>
    <row r="5650">
      <c r="A5650" s="17"/>
      <c r="B5650" s="17"/>
      <c r="C5650" s="133"/>
      <c r="D5650" s="133"/>
      <c r="E5650" s="17"/>
      <c r="F5650" s="133"/>
      <c r="G5650" s="133"/>
      <c r="H5650" s="133"/>
      <c r="I5650" s="133"/>
      <c r="J5650" s="133"/>
      <c r="K5650" s="133"/>
      <c r="L5650" s="133"/>
      <c r="M5650" s="133"/>
      <c r="N5650" s="133"/>
      <c r="O5650" s="133"/>
      <c r="P5650" s="134"/>
      <c r="Q5650" s="146"/>
      <c r="R5650" s="17"/>
      <c r="S5650" s="17"/>
      <c r="T5650" s="75"/>
      <c r="U5650" s="75"/>
      <c r="V5650" s="75"/>
      <c r="W5650" s="75"/>
      <c r="X5650" s="75"/>
    </row>
    <row r="5651">
      <c r="A5651" s="17"/>
      <c r="B5651" s="17"/>
      <c r="C5651" s="133"/>
      <c r="D5651" s="133"/>
      <c r="E5651" s="17"/>
      <c r="F5651" s="133"/>
      <c r="G5651" s="133"/>
      <c r="H5651" s="133"/>
      <c r="I5651" s="133"/>
      <c r="J5651" s="133"/>
      <c r="K5651" s="133"/>
      <c r="L5651" s="133"/>
      <c r="M5651" s="133"/>
      <c r="N5651" s="133"/>
      <c r="O5651" s="133"/>
      <c r="P5651" s="134"/>
      <c r="Q5651" s="146"/>
      <c r="R5651" s="17"/>
      <c r="S5651" s="17"/>
      <c r="T5651" s="75"/>
      <c r="U5651" s="75"/>
      <c r="V5651" s="75"/>
      <c r="W5651" s="75"/>
      <c r="X5651" s="75"/>
    </row>
    <row r="5652">
      <c r="A5652" s="17"/>
      <c r="B5652" s="17"/>
      <c r="C5652" s="133"/>
      <c r="D5652" s="133"/>
      <c r="E5652" s="17"/>
      <c r="F5652" s="133"/>
      <c r="G5652" s="133"/>
      <c r="H5652" s="133"/>
      <c r="I5652" s="133"/>
      <c r="J5652" s="133"/>
      <c r="K5652" s="133"/>
      <c r="L5652" s="133"/>
      <c r="M5652" s="133"/>
      <c r="N5652" s="133"/>
      <c r="O5652" s="133"/>
      <c r="P5652" s="134"/>
      <c r="Q5652" s="146"/>
      <c r="R5652" s="17"/>
      <c r="S5652" s="17"/>
      <c r="T5652" s="75"/>
      <c r="U5652" s="75"/>
      <c r="V5652" s="75"/>
      <c r="W5652" s="75"/>
      <c r="X5652" s="75"/>
    </row>
    <row r="5653">
      <c r="A5653" s="17"/>
      <c r="B5653" s="17"/>
      <c r="C5653" s="133"/>
      <c r="D5653" s="133"/>
      <c r="E5653" s="17"/>
      <c r="F5653" s="133"/>
      <c r="G5653" s="133"/>
      <c r="H5653" s="133"/>
      <c r="I5653" s="133"/>
      <c r="J5653" s="133"/>
      <c r="K5653" s="133"/>
      <c r="L5653" s="133"/>
      <c r="M5653" s="133"/>
      <c r="N5653" s="133"/>
      <c r="O5653" s="133"/>
      <c r="P5653" s="134"/>
      <c r="Q5653" s="146"/>
      <c r="R5653" s="17"/>
      <c r="S5653" s="17"/>
      <c r="T5653" s="75"/>
      <c r="U5653" s="75"/>
      <c r="V5653" s="75"/>
      <c r="W5653" s="75"/>
      <c r="X5653" s="75"/>
    </row>
    <row r="5654">
      <c r="A5654" s="17"/>
      <c r="B5654" s="17"/>
      <c r="C5654" s="133"/>
      <c r="D5654" s="133"/>
      <c r="E5654" s="17"/>
      <c r="F5654" s="133"/>
      <c r="G5654" s="133"/>
      <c r="H5654" s="133"/>
      <c r="I5654" s="133"/>
      <c r="J5654" s="133"/>
      <c r="K5654" s="133"/>
      <c r="L5654" s="133"/>
      <c r="M5654" s="133"/>
      <c r="N5654" s="133"/>
      <c r="O5654" s="133"/>
      <c r="P5654" s="134"/>
      <c r="Q5654" s="146"/>
      <c r="R5654" s="17"/>
      <c r="S5654" s="17"/>
      <c r="T5654" s="75"/>
      <c r="U5654" s="75"/>
      <c r="V5654" s="75"/>
      <c r="W5654" s="75"/>
      <c r="X5654" s="75"/>
    </row>
    <row r="5655">
      <c r="A5655" s="17"/>
      <c r="B5655" s="17"/>
      <c r="C5655" s="133"/>
      <c r="D5655" s="133"/>
      <c r="E5655" s="17"/>
      <c r="F5655" s="133"/>
      <c r="G5655" s="133"/>
      <c r="H5655" s="133"/>
      <c r="I5655" s="133"/>
      <c r="J5655" s="133"/>
      <c r="K5655" s="133"/>
      <c r="L5655" s="133"/>
      <c r="M5655" s="133"/>
      <c r="N5655" s="133"/>
      <c r="O5655" s="133"/>
      <c r="P5655" s="134"/>
      <c r="Q5655" s="146"/>
      <c r="R5655" s="17"/>
      <c r="S5655" s="17"/>
      <c r="T5655" s="75"/>
      <c r="U5655" s="75"/>
      <c r="V5655" s="75"/>
      <c r="W5655" s="75"/>
      <c r="X5655" s="75"/>
    </row>
    <row r="5656">
      <c r="A5656" s="17"/>
      <c r="B5656" s="17"/>
      <c r="C5656" s="133"/>
      <c r="D5656" s="133"/>
      <c r="E5656" s="17"/>
      <c r="F5656" s="133"/>
      <c r="G5656" s="133"/>
      <c r="H5656" s="133"/>
      <c r="I5656" s="133"/>
      <c r="J5656" s="133"/>
      <c r="K5656" s="133"/>
      <c r="L5656" s="133"/>
      <c r="M5656" s="133"/>
      <c r="N5656" s="133"/>
      <c r="O5656" s="133"/>
      <c r="P5656" s="134"/>
      <c r="Q5656" s="146"/>
      <c r="R5656" s="17"/>
      <c r="S5656" s="17"/>
      <c r="T5656" s="75"/>
      <c r="U5656" s="75"/>
      <c r="V5656" s="75"/>
      <c r="W5656" s="75"/>
      <c r="X5656" s="75"/>
    </row>
    <row r="5657">
      <c r="A5657" s="17"/>
      <c r="B5657" s="17"/>
      <c r="C5657" s="133"/>
      <c r="D5657" s="133"/>
      <c r="E5657" s="17"/>
      <c r="F5657" s="133"/>
      <c r="G5657" s="133"/>
      <c r="H5657" s="133"/>
      <c r="I5657" s="133"/>
      <c r="J5657" s="133"/>
      <c r="K5657" s="133"/>
      <c r="L5657" s="133"/>
      <c r="M5657" s="133"/>
      <c r="N5657" s="133"/>
      <c r="O5657" s="133"/>
      <c r="P5657" s="134"/>
      <c r="Q5657" s="146"/>
      <c r="R5657" s="17"/>
      <c r="S5657" s="17"/>
      <c r="T5657" s="75"/>
      <c r="U5657" s="75"/>
      <c r="V5657" s="75"/>
      <c r="W5657" s="75"/>
      <c r="X5657" s="75"/>
    </row>
    <row r="5658">
      <c r="A5658" s="17"/>
      <c r="B5658" s="17"/>
      <c r="C5658" s="133"/>
      <c r="D5658" s="133"/>
      <c r="E5658" s="17"/>
      <c r="F5658" s="133"/>
      <c r="G5658" s="133"/>
      <c r="H5658" s="133"/>
      <c r="I5658" s="133"/>
      <c r="J5658" s="133"/>
      <c r="K5658" s="133"/>
      <c r="L5658" s="133"/>
      <c r="M5658" s="133"/>
      <c r="N5658" s="133"/>
      <c r="O5658" s="133"/>
      <c r="P5658" s="134"/>
      <c r="Q5658" s="146"/>
      <c r="R5658" s="17"/>
      <c r="S5658" s="17"/>
      <c r="T5658" s="75"/>
      <c r="U5658" s="75"/>
      <c r="V5658" s="75"/>
      <c r="W5658" s="75"/>
      <c r="X5658" s="75"/>
    </row>
    <row r="5659">
      <c r="A5659" s="17"/>
      <c r="B5659" s="17"/>
      <c r="C5659" s="133"/>
      <c r="D5659" s="133"/>
      <c r="E5659" s="17"/>
      <c r="F5659" s="133"/>
      <c r="G5659" s="133"/>
      <c r="H5659" s="133"/>
      <c r="I5659" s="133"/>
      <c r="J5659" s="133"/>
      <c r="K5659" s="133"/>
      <c r="L5659" s="133"/>
      <c r="M5659" s="133"/>
      <c r="N5659" s="133"/>
      <c r="O5659" s="133"/>
      <c r="P5659" s="134"/>
      <c r="Q5659" s="146"/>
      <c r="R5659" s="17"/>
      <c r="S5659" s="17"/>
      <c r="T5659" s="75"/>
      <c r="U5659" s="75"/>
      <c r="V5659" s="75"/>
      <c r="W5659" s="75"/>
      <c r="X5659" s="75"/>
    </row>
    <row r="5660">
      <c r="A5660" s="17"/>
      <c r="B5660" s="17"/>
      <c r="C5660" s="133"/>
      <c r="D5660" s="133"/>
      <c r="E5660" s="17"/>
      <c r="F5660" s="133"/>
      <c r="G5660" s="133"/>
      <c r="H5660" s="133"/>
      <c r="I5660" s="133"/>
      <c r="J5660" s="133"/>
      <c r="K5660" s="133"/>
      <c r="L5660" s="133"/>
      <c r="M5660" s="133"/>
      <c r="N5660" s="133"/>
      <c r="O5660" s="133"/>
      <c r="P5660" s="134"/>
      <c r="Q5660" s="146"/>
      <c r="R5660" s="17"/>
      <c r="S5660" s="17"/>
      <c r="T5660" s="75"/>
      <c r="U5660" s="75"/>
      <c r="V5660" s="75"/>
      <c r="W5660" s="75"/>
      <c r="X5660" s="75"/>
    </row>
    <row r="5661">
      <c r="A5661" s="17"/>
      <c r="B5661" s="17"/>
      <c r="C5661" s="133"/>
      <c r="D5661" s="133"/>
      <c r="E5661" s="17"/>
      <c r="F5661" s="133"/>
      <c r="G5661" s="133"/>
      <c r="H5661" s="133"/>
      <c r="I5661" s="133"/>
      <c r="J5661" s="133"/>
      <c r="K5661" s="133"/>
      <c r="L5661" s="133"/>
      <c r="M5661" s="133"/>
      <c r="N5661" s="133"/>
      <c r="O5661" s="133"/>
      <c r="P5661" s="134"/>
      <c r="Q5661" s="146"/>
      <c r="R5661" s="17"/>
      <c r="S5661" s="17"/>
      <c r="T5661" s="75"/>
      <c r="U5661" s="75"/>
      <c r="V5661" s="75"/>
      <c r="W5661" s="75"/>
      <c r="X5661" s="75"/>
    </row>
    <row r="5662">
      <c r="A5662" s="17"/>
      <c r="B5662" s="17"/>
      <c r="C5662" s="133"/>
      <c r="D5662" s="133"/>
      <c r="E5662" s="17"/>
      <c r="F5662" s="133"/>
      <c r="G5662" s="133"/>
      <c r="H5662" s="133"/>
      <c r="I5662" s="133"/>
      <c r="J5662" s="133"/>
      <c r="K5662" s="133"/>
      <c r="L5662" s="133"/>
      <c r="M5662" s="133"/>
      <c r="N5662" s="133"/>
      <c r="O5662" s="133"/>
      <c r="P5662" s="134"/>
      <c r="Q5662" s="146"/>
      <c r="R5662" s="17"/>
      <c r="S5662" s="17"/>
      <c r="T5662" s="75"/>
      <c r="U5662" s="75"/>
      <c r="V5662" s="75"/>
      <c r="W5662" s="75"/>
      <c r="X5662" s="75"/>
    </row>
    <row r="5663">
      <c r="A5663" s="17"/>
      <c r="B5663" s="17"/>
      <c r="C5663" s="133"/>
      <c r="D5663" s="133"/>
      <c r="E5663" s="17"/>
      <c r="F5663" s="133"/>
      <c r="G5663" s="133"/>
      <c r="H5663" s="133"/>
      <c r="I5663" s="133"/>
      <c r="J5663" s="133"/>
      <c r="K5663" s="133"/>
      <c r="L5663" s="133"/>
      <c r="M5663" s="133"/>
      <c r="N5663" s="133"/>
      <c r="O5663" s="133"/>
      <c r="P5663" s="134"/>
      <c r="Q5663" s="146"/>
      <c r="R5663" s="17"/>
      <c r="S5663" s="17"/>
      <c r="T5663" s="75"/>
      <c r="U5663" s="75"/>
      <c r="V5663" s="75"/>
      <c r="W5663" s="75"/>
      <c r="X5663" s="75"/>
    </row>
    <row r="5664">
      <c r="A5664" s="17"/>
      <c r="B5664" s="17"/>
      <c r="C5664" s="133"/>
      <c r="D5664" s="133"/>
      <c r="E5664" s="17"/>
      <c r="F5664" s="133"/>
      <c r="G5664" s="133"/>
      <c r="H5664" s="133"/>
      <c r="I5664" s="133"/>
      <c r="J5664" s="133"/>
      <c r="K5664" s="133"/>
      <c r="L5664" s="133"/>
      <c r="M5664" s="133"/>
      <c r="N5664" s="133"/>
      <c r="O5664" s="133"/>
      <c r="P5664" s="134"/>
      <c r="Q5664" s="146"/>
      <c r="R5664" s="17"/>
      <c r="S5664" s="17"/>
      <c r="T5664" s="75"/>
      <c r="U5664" s="75"/>
      <c r="V5664" s="75"/>
      <c r="W5664" s="75"/>
      <c r="X5664" s="75"/>
    </row>
    <row r="5665">
      <c r="A5665" s="17"/>
      <c r="B5665" s="17"/>
      <c r="C5665" s="133"/>
      <c r="D5665" s="133"/>
      <c r="E5665" s="17"/>
      <c r="F5665" s="133"/>
      <c r="G5665" s="133"/>
      <c r="H5665" s="133"/>
      <c r="I5665" s="133"/>
      <c r="J5665" s="133"/>
      <c r="K5665" s="133"/>
      <c r="L5665" s="133"/>
      <c r="M5665" s="133"/>
      <c r="N5665" s="133"/>
      <c r="O5665" s="133"/>
      <c r="P5665" s="134"/>
      <c r="Q5665" s="146"/>
      <c r="R5665" s="17"/>
      <c r="S5665" s="17"/>
      <c r="T5665" s="75"/>
      <c r="U5665" s="75"/>
      <c r="V5665" s="75"/>
      <c r="W5665" s="75"/>
      <c r="X5665" s="75"/>
    </row>
    <row r="5666">
      <c r="A5666" s="17"/>
      <c r="B5666" s="17"/>
      <c r="C5666" s="133"/>
      <c r="D5666" s="133"/>
      <c r="E5666" s="17"/>
      <c r="F5666" s="133"/>
      <c r="G5666" s="133"/>
      <c r="H5666" s="133"/>
      <c r="I5666" s="133"/>
      <c r="J5666" s="133"/>
      <c r="K5666" s="133"/>
      <c r="L5666" s="133"/>
      <c r="M5666" s="133"/>
      <c r="N5666" s="133"/>
      <c r="O5666" s="133"/>
      <c r="P5666" s="134"/>
      <c r="Q5666" s="146"/>
      <c r="R5666" s="17"/>
      <c r="S5666" s="17"/>
      <c r="T5666" s="75"/>
      <c r="U5666" s="75"/>
      <c r="V5666" s="75"/>
      <c r="W5666" s="75"/>
      <c r="X5666" s="75"/>
    </row>
    <row r="5667">
      <c r="A5667" s="17"/>
      <c r="B5667" s="17"/>
      <c r="C5667" s="133"/>
      <c r="D5667" s="133"/>
      <c r="E5667" s="17"/>
      <c r="F5667" s="133"/>
      <c r="G5667" s="133"/>
      <c r="H5667" s="133"/>
      <c r="I5667" s="133"/>
      <c r="J5667" s="133"/>
      <c r="K5667" s="133"/>
      <c r="L5667" s="133"/>
      <c r="M5667" s="133"/>
      <c r="N5667" s="133"/>
      <c r="O5667" s="133"/>
      <c r="P5667" s="134"/>
      <c r="Q5667" s="146"/>
      <c r="R5667" s="17"/>
      <c r="S5667" s="17"/>
      <c r="T5667" s="75"/>
      <c r="U5667" s="75"/>
      <c r="V5667" s="75"/>
      <c r="W5667" s="75"/>
      <c r="X5667" s="75"/>
    </row>
    <row r="5668">
      <c r="A5668" s="17"/>
      <c r="B5668" s="17"/>
      <c r="C5668" s="133"/>
      <c r="D5668" s="133"/>
      <c r="E5668" s="17"/>
      <c r="F5668" s="133"/>
      <c r="G5668" s="133"/>
      <c r="H5668" s="133"/>
      <c r="I5668" s="133"/>
      <c r="J5668" s="133"/>
      <c r="K5668" s="133"/>
      <c r="L5668" s="133"/>
      <c r="M5668" s="133"/>
      <c r="N5668" s="133"/>
      <c r="O5668" s="133"/>
      <c r="P5668" s="134"/>
      <c r="Q5668" s="146"/>
      <c r="R5668" s="17"/>
      <c r="S5668" s="17"/>
      <c r="T5668" s="75"/>
      <c r="U5668" s="75"/>
      <c r="V5668" s="75"/>
      <c r="W5668" s="75"/>
      <c r="X5668" s="75"/>
    </row>
    <row r="5669">
      <c r="A5669" s="17"/>
      <c r="B5669" s="17"/>
      <c r="C5669" s="133"/>
      <c r="D5669" s="133"/>
      <c r="E5669" s="17"/>
      <c r="F5669" s="133"/>
      <c r="G5669" s="133"/>
      <c r="H5669" s="133"/>
      <c r="I5669" s="133"/>
      <c r="J5669" s="133"/>
      <c r="K5669" s="133"/>
      <c r="L5669" s="133"/>
      <c r="M5669" s="133"/>
      <c r="N5669" s="133"/>
      <c r="O5669" s="133"/>
      <c r="P5669" s="134"/>
      <c r="Q5669" s="146"/>
      <c r="R5669" s="17"/>
      <c r="S5669" s="17"/>
      <c r="T5669" s="75"/>
      <c r="U5669" s="75"/>
      <c r="V5669" s="75"/>
      <c r="W5669" s="75"/>
      <c r="X5669" s="75"/>
    </row>
    <row r="5670">
      <c r="A5670" s="17"/>
      <c r="B5670" s="17"/>
      <c r="C5670" s="133"/>
      <c r="D5670" s="133"/>
      <c r="E5670" s="17"/>
      <c r="F5670" s="133"/>
      <c r="G5670" s="133"/>
      <c r="H5670" s="133"/>
      <c r="I5670" s="133"/>
      <c r="J5670" s="133"/>
      <c r="K5670" s="133"/>
      <c r="L5670" s="133"/>
      <c r="M5670" s="133"/>
      <c r="N5670" s="133"/>
      <c r="O5670" s="133"/>
      <c r="P5670" s="134"/>
      <c r="Q5670" s="146"/>
      <c r="R5670" s="17"/>
      <c r="S5670" s="17"/>
      <c r="T5670" s="75"/>
      <c r="U5670" s="75"/>
      <c r="V5670" s="75"/>
      <c r="W5670" s="75"/>
      <c r="X5670" s="75"/>
    </row>
    <row r="5671">
      <c r="A5671" s="17"/>
      <c r="B5671" s="17"/>
      <c r="C5671" s="133"/>
      <c r="D5671" s="133"/>
      <c r="E5671" s="17"/>
      <c r="F5671" s="133"/>
      <c r="G5671" s="133"/>
      <c r="H5671" s="133"/>
      <c r="I5671" s="133"/>
      <c r="J5671" s="133"/>
      <c r="K5671" s="133"/>
      <c r="L5671" s="133"/>
      <c r="M5671" s="133"/>
      <c r="N5671" s="133"/>
      <c r="O5671" s="133"/>
      <c r="P5671" s="134"/>
      <c r="Q5671" s="146"/>
      <c r="R5671" s="17"/>
      <c r="S5671" s="17"/>
      <c r="T5671" s="75"/>
      <c r="U5671" s="75"/>
      <c r="V5671" s="75"/>
      <c r="W5671" s="75"/>
      <c r="X5671" s="75"/>
    </row>
    <row r="5672">
      <c r="A5672" s="17"/>
      <c r="B5672" s="17"/>
      <c r="C5672" s="133"/>
      <c r="D5672" s="133"/>
      <c r="E5672" s="17"/>
      <c r="F5672" s="133"/>
      <c r="G5672" s="133"/>
      <c r="H5672" s="133"/>
      <c r="I5672" s="133"/>
      <c r="J5672" s="133"/>
      <c r="K5672" s="133"/>
      <c r="L5672" s="133"/>
      <c r="M5672" s="133"/>
      <c r="N5672" s="133"/>
      <c r="O5672" s="133"/>
      <c r="P5672" s="134"/>
      <c r="Q5672" s="146"/>
      <c r="R5672" s="17"/>
      <c r="S5672" s="17"/>
      <c r="T5672" s="75"/>
      <c r="U5672" s="75"/>
      <c r="V5672" s="75"/>
      <c r="W5672" s="75"/>
      <c r="X5672" s="75"/>
    </row>
    <row r="5673">
      <c r="A5673" s="17"/>
      <c r="B5673" s="17"/>
      <c r="C5673" s="133"/>
      <c r="D5673" s="133"/>
      <c r="E5673" s="17"/>
      <c r="F5673" s="133"/>
      <c r="G5673" s="133"/>
      <c r="H5673" s="133"/>
      <c r="I5673" s="133"/>
      <c r="J5673" s="133"/>
      <c r="K5673" s="133"/>
      <c r="L5673" s="133"/>
      <c r="M5673" s="133"/>
      <c r="N5673" s="133"/>
      <c r="O5673" s="133"/>
      <c r="P5673" s="134"/>
      <c r="Q5673" s="146"/>
      <c r="R5673" s="17"/>
      <c r="S5673" s="17"/>
      <c r="T5673" s="75"/>
      <c r="U5673" s="75"/>
      <c r="V5673" s="75"/>
      <c r="W5673" s="75"/>
      <c r="X5673" s="75"/>
    </row>
    <row r="5674">
      <c r="A5674" s="17"/>
      <c r="B5674" s="17"/>
      <c r="C5674" s="133"/>
      <c r="D5674" s="133"/>
      <c r="E5674" s="17"/>
      <c r="F5674" s="133"/>
      <c r="G5674" s="133"/>
      <c r="H5674" s="133"/>
      <c r="I5674" s="133"/>
      <c r="J5674" s="133"/>
      <c r="K5674" s="133"/>
      <c r="L5674" s="133"/>
      <c r="M5674" s="133"/>
      <c r="N5674" s="133"/>
      <c r="O5674" s="133"/>
      <c r="P5674" s="134"/>
      <c r="Q5674" s="146"/>
      <c r="R5674" s="17"/>
      <c r="S5674" s="17"/>
      <c r="T5674" s="75"/>
      <c r="U5674" s="75"/>
      <c r="V5674" s="75"/>
      <c r="W5674" s="75"/>
      <c r="X5674" s="75"/>
    </row>
    <row r="5675">
      <c r="A5675" s="17"/>
      <c r="B5675" s="17"/>
      <c r="C5675" s="133"/>
      <c r="D5675" s="133"/>
      <c r="E5675" s="17"/>
      <c r="F5675" s="133"/>
      <c r="G5675" s="133"/>
      <c r="H5675" s="133"/>
      <c r="I5675" s="133"/>
      <c r="J5675" s="133"/>
      <c r="K5675" s="133"/>
      <c r="L5675" s="133"/>
      <c r="M5675" s="133"/>
      <c r="N5675" s="133"/>
      <c r="O5675" s="133"/>
      <c r="P5675" s="134"/>
      <c r="Q5675" s="146"/>
      <c r="R5675" s="17"/>
      <c r="S5675" s="17"/>
      <c r="T5675" s="75"/>
      <c r="U5675" s="75"/>
      <c r="V5675" s="75"/>
      <c r="W5675" s="75"/>
      <c r="X5675" s="75"/>
    </row>
    <row r="5676">
      <c r="A5676" s="17"/>
      <c r="B5676" s="17"/>
      <c r="C5676" s="133"/>
      <c r="D5676" s="133"/>
      <c r="E5676" s="17"/>
      <c r="F5676" s="133"/>
      <c r="G5676" s="133"/>
      <c r="H5676" s="133"/>
      <c r="I5676" s="133"/>
      <c r="J5676" s="133"/>
      <c r="K5676" s="133"/>
      <c r="L5676" s="133"/>
      <c r="M5676" s="133"/>
      <c r="N5676" s="133"/>
      <c r="O5676" s="133"/>
      <c r="P5676" s="134"/>
      <c r="Q5676" s="146"/>
      <c r="R5676" s="17"/>
      <c r="S5676" s="17"/>
      <c r="T5676" s="75"/>
      <c r="U5676" s="75"/>
      <c r="V5676" s="75"/>
      <c r="W5676" s="75"/>
      <c r="X5676" s="75"/>
    </row>
    <row r="5677">
      <c r="A5677" s="17"/>
      <c r="B5677" s="17"/>
      <c r="C5677" s="133"/>
      <c r="D5677" s="133"/>
      <c r="E5677" s="17"/>
      <c r="F5677" s="133"/>
      <c r="G5677" s="133"/>
      <c r="H5677" s="133"/>
      <c r="I5677" s="133"/>
      <c r="J5677" s="133"/>
      <c r="K5677" s="133"/>
      <c r="L5677" s="133"/>
      <c r="M5677" s="133"/>
      <c r="N5677" s="133"/>
      <c r="O5677" s="133"/>
      <c r="P5677" s="134"/>
      <c r="Q5677" s="146"/>
      <c r="R5677" s="17"/>
      <c r="S5677" s="17"/>
      <c r="T5677" s="75"/>
      <c r="U5677" s="75"/>
      <c r="V5677" s="75"/>
      <c r="W5677" s="75"/>
      <c r="X5677" s="75"/>
    </row>
    <row r="5678">
      <c r="A5678" s="17"/>
      <c r="B5678" s="17"/>
      <c r="C5678" s="133"/>
      <c r="D5678" s="133"/>
      <c r="E5678" s="17"/>
      <c r="F5678" s="133"/>
      <c r="G5678" s="133"/>
      <c r="H5678" s="133"/>
      <c r="I5678" s="133"/>
      <c r="J5678" s="133"/>
      <c r="K5678" s="133"/>
      <c r="L5678" s="133"/>
      <c r="M5678" s="133"/>
      <c r="N5678" s="133"/>
      <c r="O5678" s="133"/>
      <c r="P5678" s="134"/>
      <c r="Q5678" s="146"/>
      <c r="R5678" s="17"/>
      <c r="S5678" s="17"/>
      <c r="T5678" s="75"/>
      <c r="U5678" s="75"/>
      <c r="V5678" s="75"/>
      <c r="W5678" s="75"/>
      <c r="X5678" s="75"/>
    </row>
    <row r="5679">
      <c r="A5679" s="17"/>
      <c r="B5679" s="17"/>
      <c r="C5679" s="133"/>
      <c r="D5679" s="133"/>
      <c r="E5679" s="17"/>
      <c r="F5679" s="133"/>
      <c r="G5679" s="133"/>
      <c r="H5679" s="133"/>
      <c r="I5679" s="133"/>
      <c r="J5679" s="133"/>
      <c r="K5679" s="133"/>
      <c r="L5679" s="133"/>
      <c r="M5679" s="133"/>
      <c r="N5679" s="133"/>
      <c r="O5679" s="133"/>
      <c r="P5679" s="134"/>
      <c r="Q5679" s="146"/>
      <c r="R5679" s="17"/>
      <c r="S5679" s="17"/>
      <c r="T5679" s="75"/>
      <c r="U5679" s="75"/>
      <c r="V5679" s="75"/>
      <c r="W5679" s="75"/>
      <c r="X5679" s="75"/>
    </row>
    <row r="5680">
      <c r="A5680" s="17"/>
      <c r="B5680" s="17"/>
      <c r="C5680" s="133"/>
      <c r="D5680" s="133"/>
      <c r="E5680" s="17"/>
      <c r="F5680" s="133"/>
      <c r="G5680" s="133"/>
      <c r="H5680" s="133"/>
      <c r="I5680" s="133"/>
      <c r="J5680" s="133"/>
      <c r="K5680" s="133"/>
      <c r="L5680" s="133"/>
      <c r="M5680" s="133"/>
      <c r="N5680" s="133"/>
      <c r="O5680" s="133"/>
      <c r="P5680" s="134"/>
      <c r="Q5680" s="146"/>
      <c r="R5680" s="17"/>
      <c r="S5680" s="17"/>
      <c r="T5680" s="75"/>
      <c r="U5680" s="75"/>
      <c r="V5680" s="75"/>
      <c r="W5680" s="75"/>
      <c r="X5680" s="75"/>
    </row>
    <row r="5681">
      <c r="A5681" s="17"/>
      <c r="B5681" s="17"/>
      <c r="C5681" s="133"/>
      <c r="D5681" s="133"/>
      <c r="E5681" s="17"/>
      <c r="F5681" s="133"/>
      <c r="G5681" s="133"/>
      <c r="H5681" s="133"/>
      <c r="I5681" s="133"/>
      <c r="J5681" s="133"/>
      <c r="K5681" s="133"/>
      <c r="L5681" s="133"/>
      <c r="M5681" s="133"/>
      <c r="N5681" s="133"/>
      <c r="O5681" s="133"/>
      <c r="P5681" s="134"/>
      <c r="Q5681" s="146"/>
      <c r="R5681" s="17"/>
      <c r="S5681" s="17"/>
      <c r="T5681" s="75"/>
      <c r="U5681" s="75"/>
      <c r="V5681" s="75"/>
      <c r="W5681" s="75"/>
      <c r="X5681" s="75"/>
    </row>
    <row r="5682">
      <c r="A5682" s="17"/>
      <c r="B5682" s="17"/>
      <c r="C5682" s="133"/>
      <c r="D5682" s="133"/>
      <c r="E5682" s="17"/>
      <c r="F5682" s="133"/>
      <c r="G5682" s="133"/>
      <c r="H5682" s="133"/>
      <c r="I5682" s="133"/>
      <c r="J5682" s="133"/>
      <c r="K5682" s="133"/>
      <c r="L5682" s="133"/>
      <c r="M5682" s="133"/>
      <c r="N5682" s="133"/>
      <c r="O5682" s="133"/>
      <c r="P5682" s="134"/>
      <c r="Q5682" s="146"/>
      <c r="R5682" s="17"/>
      <c r="S5682" s="17"/>
      <c r="T5682" s="75"/>
      <c r="U5682" s="75"/>
      <c r="V5682" s="75"/>
      <c r="W5682" s="75"/>
      <c r="X5682" s="75"/>
    </row>
    <row r="5683">
      <c r="A5683" s="17"/>
      <c r="B5683" s="17"/>
      <c r="C5683" s="133"/>
      <c r="D5683" s="133"/>
      <c r="E5683" s="17"/>
      <c r="F5683" s="133"/>
      <c r="G5683" s="133"/>
      <c r="H5683" s="133"/>
      <c r="I5683" s="133"/>
      <c r="J5683" s="133"/>
      <c r="K5683" s="133"/>
      <c r="L5683" s="133"/>
      <c r="M5683" s="133"/>
      <c r="N5683" s="133"/>
      <c r="O5683" s="133"/>
      <c r="P5683" s="134"/>
      <c r="Q5683" s="146"/>
      <c r="R5683" s="17"/>
      <c r="S5683" s="17"/>
      <c r="T5683" s="75"/>
      <c r="U5683" s="75"/>
      <c r="V5683" s="75"/>
      <c r="W5683" s="75"/>
      <c r="X5683" s="75"/>
    </row>
    <row r="5684">
      <c r="A5684" s="17"/>
      <c r="B5684" s="17"/>
      <c r="C5684" s="133"/>
      <c r="D5684" s="133"/>
      <c r="E5684" s="17"/>
      <c r="F5684" s="133"/>
      <c r="G5684" s="133"/>
      <c r="H5684" s="133"/>
      <c r="I5684" s="133"/>
      <c r="J5684" s="133"/>
      <c r="K5684" s="133"/>
      <c r="L5684" s="133"/>
      <c r="M5684" s="133"/>
      <c r="N5684" s="133"/>
      <c r="O5684" s="133"/>
      <c r="P5684" s="134"/>
      <c r="Q5684" s="146"/>
      <c r="R5684" s="17"/>
      <c r="S5684" s="17"/>
      <c r="T5684" s="75"/>
      <c r="U5684" s="75"/>
      <c r="V5684" s="75"/>
      <c r="W5684" s="75"/>
      <c r="X5684" s="75"/>
    </row>
    <row r="5685">
      <c r="A5685" s="17"/>
      <c r="B5685" s="17"/>
      <c r="C5685" s="133"/>
      <c r="D5685" s="133"/>
      <c r="E5685" s="17"/>
      <c r="F5685" s="133"/>
      <c r="G5685" s="133"/>
      <c r="H5685" s="133"/>
      <c r="I5685" s="133"/>
      <c r="J5685" s="133"/>
      <c r="K5685" s="133"/>
      <c r="L5685" s="133"/>
      <c r="M5685" s="133"/>
      <c r="N5685" s="133"/>
      <c r="O5685" s="133"/>
      <c r="P5685" s="134"/>
      <c r="Q5685" s="146"/>
      <c r="R5685" s="17"/>
      <c r="S5685" s="17"/>
      <c r="T5685" s="75"/>
      <c r="U5685" s="75"/>
      <c r="V5685" s="75"/>
      <c r="W5685" s="75"/>
      <c r="X5685" s="75"/>
    </row>
    <row r="5686">
      <c r="A5686" s="17"/>
      <c r="B5686" s="17"/>
      <c r="C5686" s="133"/>
      <c r="D5686" s="133"/>
      <c r="E5686" s="17"/>
      <c r="F5686" s="133"/>
      <c r="G5686" s="133"/>
      <c r="H5686" s="133"/>
      <c r="I5686" s="133"/>
      <c r="J5686" s="133"/>
      <c r="K5686" s="133"/>
      <c r="L5686" s="133"/>
      <c r="M5686" s="133"/>
      <c r="N5686" s="133"/>
      <c r="O5686" s="133"/>
      <c r="P5686" s="134"/>
      <c r="Q5686" s="146"/>
      <c r="R5686" s="17"/>
      <c r="S5686" s="17"/>
      <c r="T5686" s="75"/>
      <c r="U5686" s="75"/>
      <c r="V5686" s="75"/>
      <c r="W5686" s="75"/>
      <c r="X5686" s="75"/>
    </row>
    <row r="5687">
      <c r="A5687" s="17"/>
      <c r="B5687" s="17"/>
      <c r="C5687" s="133"/>
      <c r="D5687" s="133"/>
      <c r="E5687" s="17"/>
      <c r="F5687" s="133"/>
      <c r="G5687" s="133"/>
      <c r="H5687" s="133"/>
      <c r="I5687" s="133"/>
      <c r="J5687" s="133"/>
      <c r="K5687" s="133"/>
      <c r="L5687" s="133"/>
      <c r="M5687" s="133"/>
      <c r="N5687" s="133"/>
      <c r="O5687" s="133"/>
      <c r="P5687" s="134"/>
      <c r="Q5687" s="146"/>
      <c r="R5687" s="17"/>
      <c r="S5687" s="17"/>
      <c r="T5687" s="75"/>
      <c r="U5687" s="75"/>
      <c r="V5687" s="75"/>
      <c r="W5687" s="75"/>
      <c r="X5687" s="75"/>
    </row>
    <row r="5688">
      <c r="A5688" s="17"/>
      <c r="B5688" s="17"/>
      <c r="C5688" s="133"/>
      <c r="D5688" s="133"/>
      <c r="E5688" s="17"/>
      <c r="F5688" s="133"/>
      <c r="G5688" s="133"/>
      <c r="H5688" s="133"/>
      <c r="I5688" s="133"/>
      <c r="J5688" s="133"/>
      <c r="K5688" s="133"/>
      <c r="L5688" s="133"/>
      <c r="M5688" s="133"/>
      <c r="N5688" s="133"/>
      <c r="O5688" s="133"/>
      <c r="P5688" s="134"/>
      <c r="Q5688" s="146"/>
      <c r="R5688" s="17"/>
      <c r="S5688" s="17"/>
      <c r="T5688" s="75"/>
      <c r="U5688" s="75"/>
      <c r="V5688" s="75"/>
      <c r="W5688" s="75"/>
      <c r="X5688" s="75"/>
    </row>
    <row r="5689">
      <c r="A5689" s="17"/>
      <c r="B5689" s="17"/>
      <c r="C5689" s="133"/>
      <c r="D5689" s="133"/>
      <c r="E5689" s="17"/>
      <c r="F5689" s="133"/>
      <c r="G5689" s="133"/>
      <c r="H5689" s="133"/>
      <c r="I5689" s="133"/>
      <c r="J5689" s="133"/>
      <c r="K5689" s="133"/>
      <c r="L5689" s="133"/>
      <c r="M5689" s="133"/>
      <c r="N5689" s="133"/>
      <c r="O5689" s="133"/>
      <c r="P5689" s="134"/>
      <c r="Q5689" s="146"/>
      <c r="R5689" s="17"/>
      <c r="S5689" s="17"/>
      <c r="T5689" s="75"/>
      <c r="U5689" s="75"/>
      <c r="V5689" s="75"/>
      <c r="W5689" s="75"/>
      <c r="X5689" s="75"/>
    </row>
    <row r="5690">
      <c r="A5690" s="17"/>
      <c r="B5690" s="17"/>
      <c r="C5690" s="133"/>
      <c r="D5690" s="133"/>
      <c r="E5690" s="17"/>
      <c r="F5690" s="133"/>
      <c r="G5690" s="133"/>
      <c r="H5690" s="133"/>
      <c r="I5690" s="133"/>
      <c r="J5690" s="133"/>
      <c r="K5690" s="133"/>
      <c r="L5690" s="133"/>
      <c r="M5690" s="133"/>
      <c r="N5690" s="133"/>
      <c r="O5690" s="133"/>
      <c r="P5690" s="134"/>
      <c r="Q5690" s="146"/>
      <c r="R5690" s="17"/>
      <c r="S5690" s="17"/>
      <c r="T5690" s="75"/>
      <c r="U5690" s="75"/>
      <c r="V5690" s="75"/>
      <c r="W5690" s="75"/>
      <c r="X5690" s="75"/>
    </row>
    <row r="5691">
      <c r="A5691" s="17"/>
      <c r="B5691" s="17"/>
      <c r="C5691" s="133"/>
      <c r="D5691" s="133"/>
      <c r="E5691" s="17"/>
      <c r="F5691" s="133"/>
      <c r="G5691" s="133"/>
      <c r="H5691" s="133"/>
      <c r="I5691" s="133"/>
      <c r="J5691" s="133"/>
      <c r="K5691" s="133"/>
      <c r="L5691" s="133"/>
      <c r="M5691" s="133"/>
      <c r="N5691" s="133"/>
      <c r="O5691" s="133"/>
      <c r="P5691" s="134"/>
      <c r="Q5691" s="146"/>
      <c r="R5691" s="17"/>
      <c r="S5691" s="17"/>
      <c r="T5691" s="75"/>
      <c r="U5691" s="75"/>
      <c r="V5691" s="75"/>
      <c r="W5691" s="75"/>
      <c r="X5691" s="75"/>
    </row>
    <row r="5692">
      <c r="A5692" s="17"/>
      <c r="B5692" s="17"/>
      <c r="C5692" s="133"/>
      <c r="D5692" s="133"/>
      <c r="E5692" s="17"/>
      <c r="F5692" s="133"/>
      <c r="G5692" s="133"/>
      <c r="H5692" s="133"/>
      <c r="I5692" s="133"/>
      <c r="J5692" s="133"/>
      <c r="K5692" s="133"/>
      <c r="L5692" s="133"/>
      <c r="M5692" s="133"/>
      <c r="N5692" s="133"/>
      <c r="O5692" s="133"/>
      <c r="P5692" s="134"/>
      <c r="Q5692" s="146"/>
      <c r="R5692" s="17"/>
      <c r="S5692" s="17"/>
      <c r="T5692" s="75"/>
      <c r="U5692" s="75"/>
      <c r="V5692" s="75"/>
      <c r="W5692" s="75"/>
      <c r="X5692" s="75"/>
    </row>
    <row r="5693">
      <c r="A5693" s="17"/>
      <c r="B5693" s="17"/>
      <c r="C5693" s="133"/>
      <c r="D5693" s="133"/>
      <c r="E5693" s="17"/>
      <c r="F5693" s="133"/>
      <c r="G5693" s="133"/>
      <c r="H5693" s="133"/>
      <c r="I5693" s="133"/>
      <c r="J5693" s="133"/>
      <c r="K5693" s="133"/>
      <c r="L5693" s="133"/>
      <c r="M5693" s="133"/>
      <c r="N5693" s="133"/>
      <c r="O5693" s="133"/>
      <c r="P5693" s="134"/>
      <c r="Q5693" s="146"/>
      <c r="R5693" s="17"/>
      <c r="S5693" s="17"/>
      <c r="T5693" s="75"/>
      <c r="U5693" s="75"/>
      <c r="V5693" s="75"/>
      <c r="W5693" s="75"/>
      <c r="X5693" s="75"/>
    </row>
    <row r="5694">
      <c r="A5694" s="17"/>
      <c r="B5694" s="17"/>
      <c r="C5694" s="133"/>
      <c r="D5694" s="133"/>
      <c r="E5694" s="17"/>
      <c r="F5694" s="133"/>
      <c r="G5694" s="133"/>
      <c r="H5694" s="133"/>
      <c r="I5694" s="133"/>
      <c r="J5694" s="133"/>
      <c r="K5694" s="133"/>
      <c r="L5694" s="133"/>
      <c r="M5694" s="133"/>
      <c r="N5694" s="133"/>
      <c r="O5694" s="133"/>
      <c r="P5694" s="134"/>
      <c r="Q5694" s="146"/>
      <c r="R5694" s="17"/>
      <c r="S5694" s="17"/>
      <c r="T5694" s="75"/>
      <c r="U5694" s="75"/>
      <c r="V5694" s="75"/>
      <c r="W5694" s="75"/>
      <c r="X5694" s="75"/>
    </row>
    <row r="5695">
      <c r="A5695" s="17"/>
      <c r="B5695" s="17"/>
      <c r="C5695" s="133"/>
      <c r="D5695" s="133"/>
      <c r="E5695" s="17"/>
      <c r="F5695" s="133"/>
      <c r="G5695" s="133"/>
      <c r="H5695" s="133"/>
      <c r="I5695" s="133"/>
      <c r="J5695" s="133"/>
      <c r="K5695" s="133"/>
      <c r="L5695" s="133"/>
      <c r="M5695" s="133"/>
      <c r="N5695" s="133"/>
      <c r="O5695" s="133"/>
      <c r="P5695" s="134"/>
      <c r="Q5695" s="146"/>
      <c r="R5695" s="17"/>
      <c r="S5695" s="17"/>
      <c r="T5695" s="75"/>
      <c r="U5695" s="75"/>
      <c r="V5695" s="75"/>
      <c r="W5695" s="75"/>
      <c r="X5695" s="75"/>
    </row>
    <row r="5696">
      <c r="A5696" s="17"/>
      <c r="B5696" s="17"/>
      <c r="C5696" s="133"/>
      <c r="D5696" s="133"/>
      <c r="E5696" s="17"/>
      <c r="F5696" s="133"/>
      <c r="G5696" s="133"/>
      <c r="H5696" s="133"/>
      <c r="I5696" s="133"/>
      <c r="J5696" s="133"/>
      <c r="K5696" s="133"/>
      <c r="L5696" s="133"/>
      <c r="M5696" s="133"/>
      <c r="N5696" s="133"/>
      <c r="O5696" s="133"/>
      <c r="P5696" s="134"/>
      <c r="Q5696" s="146"/>
      <c r="R5696" s="17"/>
      <c r="S5696" s="17"/>
      <c r="T5696" s="75"/>
      <c r="U5696" s="75"/>
      <c r="V5696" s="75"/>
      <c r="W5696" s="75"/>
      <c r="X5696" s="75"/>
    </row>
    <row r="5697">
      <c r="A5697" s="17"/>
      <c r="B5697" s="17"/>
      <c r="C5697" s="133"/>
      <c r="D5697" s="133"/>
      <c r="E5697" s="17"/>
      <c r="F5697" s="133"/>
      <c r="G5697" s="133"/>
      <c r="H5697" s="133"/>
      <c r="I5697" s="133"/>
      <c r="J5697" s="133"/>
      <c r="K5697" s="133"/>
      <c r="L5697" s="133"/>
      <c r="M5697" s="133"/>
      <c r="N5697" s="133"/>
      <c r="O5697" s="133"/>
      <c r="P5697" s="134"/>
      <c r="Q5697" s="146"/>
      <c r="R5697" s="17"/>
      <c r="S5697" s="17"/>
      <c r="T5697" s="75"/>
      <c r="U5697" s="75"/>
      <c r="V5697" s="75"/>
      <c r="W5697" s="75"/>
      <c r="X5697" s="75"/>
    </row>
    <row r="5698">
      <c r="A5698" s="17"/>
      <c r="B5698" s="17"/>
      <c r="C5698" s="133"/>
      <c r="D5698" s="133"/>
      <c r="E5698" s="17"/>
      <c r="F5698" s="133"/>
      <c r="G5698" s="133"/>
      <c r="H5698" s="133"/>
      <c r="I5698" s="133"/>
      <c r="J5698" s="133"/>
      <c r="K5698" s="133"/>
      <c r="L5698" s="133"/>
      <c r="M5698" s="133"/>
      <c r="N5698" s="133"/>
      <c r="O5698" s="133"/>
      <c r="P5698" s="134"/>
      <c r="Q5698" s="146"/>
      <c r="R5698" s="17"/>
      <c r="S5698" s="17"/>
      <c r="T5698" s="75"/>
      <c r="U5698" s="75"/>
      <c r="V5698" s="75"/>
      <c r="W5698" s="75"/>
      <c r="X5698" s="75"/>
    </row>
    <row r="5699">
      <c r="A5699" s="17"/>
      <c r="B5699" s="17"/>
      <c r="C5699" s="133"/>
      <c r="D5699" s="133"/>
      <c r="E5699" s="17"/>
      <c r="F5699" s="133"/>
      <c r="G5699" s="133"/>
      <c r="H5699" s="133"/>
      <c r="I5699" s="133"/>
      <c r="J5699" s="133"/>
      <c r="K5699" s="133"/>
      <c r="L5699" s="133"/>
      <c r="M5699" s="133"/>
      <c r="N5699" s="133"/>
      <c r="O5699" s="133"/>
      <c r="P5699" s="134"/>
      <c r="Q5699" s="146"/>
      <c r="R5699" s="17"/>
      <c r="S5699" s="17"/>
      <c r="T5699" s="75"/>
      <c r="U5699" s="75"/>
      <c r="V5699" s="75"/>
      <c r="W5699" s="75"/>
      <c r="X5699" s="75"/>
    </row>
    <row r="5700">
      <c r="A5700" s="17"/>
      <c r="B5700" s="17"/>
      <c r="C5700" s="133"/>
      <c r="D5700" s="133"/>
      <c r="E5700" s="17"/>
      <c r="F5700" s="133"/>
      <c r="G5700" s="133"/>
      <c r="H5700" s="133"/>
      <c r="I5700" s="133"/>
      <c r="J5700" s="133"/>
      <c r="K5700" s="133"/>
      <c r="L5700" s="133"/>
      <c r="M5700" s="133"/>
      <c r="N5700" s="133"/>
      <c r="O5700" s="133"/>
      <c r="P5700" s="134"/>
      <c r="Q5700" s="146"/>
      <c r="R5700" s="17"/>
      <c r="S5700" s="17"/>
      <c r="T5700" s="75"/>
      <c r="U5700" s="75"/>
      <c r="V5700" s="75"/>
      <c r="W5700" s="75"/>
      <c r="X5700" s="75"/>
    </row>
    <row r="5701">
      <c r="A5701" s="17"/>
      <c r="B5701" s="17"/>
      <c r="C5701" s="133"/>
      <c r="D5701" s="133"/>
      <c r="E5701" s="17"/>
      <c r="F5701" s="133"/>
      <c r="G5701" s="133"/>
      <c r="H5701" s="133"/>
      <c r="I5701" s="133"/>
      <c r="J5701" s="133"/>
      <c r="K5701" s="133"/>
      <c r="L5701" s="133"/>
      <c r="M5701" s="133"/>
      <c r="N5701" s="133"/>
      <c r="O5701" s="133"/>
      <c r="P5701" s="134"/>
      <c r="Q5701" s="146"/>
      <c r="R5701" s="17"/>
      <c r="S5701" s="17"/>
      <c r="T5701" s="75"/>
      <c r="U5701" s="75"/>
      <c r="V5701" s="75"/>
      <c r="W5701" s="75"/>
      <c r="X5701" s="75"/>
    </row>
    <row r="5702">
      <c r="A5702" s="17"/>
      <c r="B5702" s="17"/>
      <c r="C5702" s="133"/>
      <c r="D5702" s="133"/>
      <c r="E5702" s="17"/>
      <c r="F5702" s="133"/>
      <c r="G5702" s="133"/>
      <c r="H5702" s="133"/>
      <c r="I5702" s="133"/>
      <c r="J5702" s="133"/>
      <c r="K5702" s="133"/>
      <c r="L5702" s="133"/>
      <c r="M5702" s="133"/>
      <c r="N5702" s="133"/>
      <c r="O5702" s="133"/>
      <c r="P5702" s="134"/>
      <c r="Q5702" s="146"/>
      <c r="R5702" s="17"/>
      <c r="S5702" s="17"/>
      <c r="T5702" s="75"/>
      <c r="U5702" s="75"/>
      <c r="V5702" s="75"/>
      <c r="W5702" s="75"/>
      <c r="X5702" s="75"/>
    </row>
    <row r="5703">
      <c r="A5703" s="17"/>
      <c r="B5703" s="17"/>
      <c r="C5703" s="133"/>
      <c r="D5703" s="133"/>
      <c r="E5703" s="17"/>
      <c r="F5703" s="133"/>
      <c r="G5703" s="133"/>
      <c r="H5703" s="133"/>
      <c r="I5703" s="133"/>
      <c r="J5703" s="133"/>
      <c r="K5703" s="133"/>
      <c r="L5703" s="133"/>
      <c r="M5703" s="133"/>
      <c r="N5703" s="133"/>
      <c r="O5703" s="133"/>
      <c r="P5703" s="134"/>
      <c r="Q5703" s="146"/>
      <c r="R5703" s="17"/>
      <c r="S5703" s="17"/>
      <c r="T5703" s="75"/>
      <c r="U5703" s="75"/>
      <c r="V5703" s="75"/>
      <c r="W5703" s="75"/>
      <c r="X5703" s="75"/>
    </row>
    <row r="5704">
      <c r="A5704" s="17"/>
      <c r="B5704" s="17"/>
      <c r="C5704" s="133"/>
      <c r="D5704" s="133"/>
      <c r="E5704" s="17"/>
      <c r="F5704" s="133"/>
      <c r="G5704" s="133"/>
      <c r="H5704" s="133"/>
      <c r="I5704" s="133"/>
      <c r="J5704" s="133"/>
      <c r="K5704" s="133"/>
      <c r="L5704" s="133"/>
      <c r="M5704" s="133"/>
      <c r="N5704" s="133"/>
      <c r="O5704" s="133"/>
      <c r="P5704" s="134"/>
      <c r="Q5704" s="146"/>
      <c r="R5704" s="17"/>
      <c r="S5704" s="17"/>
      <c r="T5704" s="75"/>
      <c r="U5704" s="75"/>
      <c r="V5704" s="75"/>
      <c r="W5704" s="75"/>
      <c r="X5704" s="75"/>
    </row>
    <row r="5705">
      <c r="A5705" s="17"/>
      <c r="B5705" s="17"/>
      <c r="C5705" s="133"/>
      <c r="D5705" s="133"/>
      <c r="E5705" s="17"/>
      <c r="F5705" s="133"/>
      <c r="G5705" s="133"/>
      <c r="H5705" s="133"/>
      <c r="I5705" s="133"/>
      <c r="J5705" s="133"/>
      <c r="K5705" s="133"/>
      <c r="L5705" s="133"/>
      <c r="M5705" s="133"/>
      <c r="N5705" s="133"/>
      <c r="O5705" s="133"/>
      <c r="P5705" s="134"/>
      <c r="Q5705" s="146"/>
      <c r="R5705" s="17"/>
      <c r="S5705" s="17"/>
      <c r="T5705" s="75"/>
      <c r="U5705" s="75"/>
      <c r="V5705" s="75"/>
      <c r="W5705" s="75"/>
      <c r="X5705" s="75"/>
    </row>
    <row r="5706">
      <c r="A5706" s="17"/>
      <c r="B5706" s="17"/>
      <c r="C5706" s="133"/>
      <c r="D5706" s="133"/>
      <c r="E5706" s="17"/>
      <c r="F5706" s="133"/>
      <c r="G5706" s="133"/>
      <c r="H5706" s="133"/>
      <c r="I5706" s="133"/>
      <c r="J5706" s="133"/>
      <c r="K5706" s="133"/>
      <c r="L5706" s="133"/>
      <c r="M5706" s="133"/>
      <c r="N5706" s="133"/>
      <c r="O5706" s="133"/>
      <c r="P5706" s="134"/>
      <c r="Q5706" s="146"/>
      <c r="R5706" s="17"/>
      <c r="S5706" s="17"/>
      <c r="T5706" s="75"/>
      <c r="U5706" s="75"/>
      <c r="V5706" s="75"/>
      <c r="W5706" s="75"/>
      <c r="X5706" s="75"/>
    </row>
    <row r="5707">
      <c r="A5707" s="17"/>
      <c r="B5707" s="17"/>
      <c r="C5707" s="133"/>
      <c r="D5707" s="133"/>
      <c r="E5707" s="17"/>
      <c r="F5707" s="133"/>
      <c r="G5707" s="133"/>
      <c r="H5707" s="133"/>
      <c r="I5707" s="133"/>
      <c r="J5707" s="133"/>
      <c r="K5707" s="133"/>
      <c r="L5707" s="133"/>
      <c r="M5707" s="133"/>
      <c r="N5707" s="133"/>
      <c r="O5707" s="133"/>
      <c r="P5707" s="134"/>
      <c r="Q5707" s="146"/>
      <c r="R5707" s="17"/>
      <c r="S5707" s="17"/>
      <c r="T5707" s="75"/>
      <c r="U5707" s="75"/>
      <c r="V5707" s="75"/>
      <c r="W5707" s="75"/>
      <c r="X5707" s="75"/>
    </row>
    <row r="5708">
      <c r="A5708" s="17"/>
      <c r="B5708" s="17"/>
      <c r="C5708" s="133"/>
      <c r="D5708" s="133"/>
      <c r="E5708" s="17"/>
      <c r="F5708" s="133"/>
      <c r="G5708" s="133"/>
      <c r="H5708" s="133"/>
      <c r="I5708" s="133"/>
      <c r="J5708" s="133"/>
      <c r="K5708" s="133"/>
      <c r="L5708" s="133"/>
      <c r="M5708" s="133"/>
      <c r="N5708" s="133"/>
      <c r="O5708" s="133"/>
      <c r="P5708" s="134"/>
      <c r="Q5708" s="146"/>
      <c r="R5708" s="17"/>
      <c r="S5708" s="17"/>
      <c r="T5708" s="75"/>
      <c r="U5708" s="75"/>
      <c r="V5708" s="75"/>
      <c r="W5708" s="75"/>
      <c r="X5708" s="75"/>
    </row>
    <row r="5709">
      <c r="A5709" s="17"/>
      <c r="B5709" s="17"/>
      <c r="C5709" s="133"/>
      <c r="D5709" s="133"/>
      <c r="E5709" s="17"/>
      <c r="F5709" s="133"/>
      <c r="G5709" s="133"/>
      <c r="H5709" s="133"/>
      <c r="I5709" s="133"/>
      <c r="J5709" s="133"/>
      <c r="K5709" s="133"/>
      <c r="L5709" s="133"/>
      <c r="M5709" s="133"/>
      <c r="N5709" s="133"/>
      <c r="O5709" s="133"/>
      <c r="P5709" s="134"/>
      <c r="Q5709" s="146"/>
      <c r="R5709" s="17"/>
      <c r="S5709" s="17"/>
      <c r="T5709" s="75"/>
      <c r="U5709" s="75"/>
      <c r="V5709" s="75"/>
      <c r="W5709" s="75"/>
      <c r="X5709" s="75"/>
    </row>
    <row r="5710">
      <c r="A5710" s="17"/>
      <c r="B5710" s="17"/>
      <c r="C5710" s="133"/>
      <c r="D5710" s="133"/>
      <c r="E5710" s="17"/>
      <c r="F5710" s="133"/>
      <c r="G5710" s="133"/>
      <c r="H5710" s="133"/>
      <c r="I5710" s="133"/>
      <c r="J5710" s="133"/>
      <c r="K5710" s="133"/>
      <c r="L5710" s="133"/>
      <c r="M5710" s="133"/>
      <c r="N5710" s="133"/>
      <c r="O5710" s="133"/>
      <c r="P5710" s="134"/>
      <c r="Q5710" s="146"/>
      <c r="R5710" s="17"/>
      <c r="S5710" s="17"/>
      <c r="T5710" s="75"/>
      <c r="U5710" s="75"/>
      <c r="V5710" s="75"/>
      <c r="W5710" s="75"/>
      <c r="X5710" s="75"/>
    </row>
    <row r="5711">
      <c r="A5711" s="17"/>
      <c r="B5711" s="17"/>
      <c r="C5711" s="133"/>
      <c r="D5711" s="133"/>
      <c r="E5711" s="17"/>
      <c r="F5711" s="133"/>
      <c r="G5711" s="133"/>
      <c r="H5711" s="133"/>
      <c r="I5711" s="133"/>
      <c r="J5711" s="133"/>
      <c r="K5711" s="133"/>
      <c r="L5711" s="133"/>
      <c r="M5711" s="133"/>
      <c r="N5711" s="133"/>
      <c r="O5711" s="133"/>
      <c r="P5711" s="134"/>
      <c r="Q5711" s="146"/>
      <c r="R5711" s="17"/>
      <c r="S5711" s="17"/>
      <c r="T5711" s="75"/>
      <c r="U5711" s="75"/>
      <c r="V5711" s="75"/>
      <c r="W5711" s="75"/>
      <c r="X5711" s="75"/>
    </row>
    <row r="5712">
      <c r="A5712" s="17"/>
      <c r="B5712" s="17"/>
      <c r="C5712" s="133"/>
      <c r="D5712" s="133"/>
      <c r="E5712" s="17"/>
      <c r="F5712" s="133"/>
      <c r="G5712" s="133"/>
      <c r="H5712" s="133"/>
      <c r="I5712" s="133"/>
      <c r="J5712" s="133"/>
      <c r="K5712" s="133"/>
      <c r="L5712" s="133"/>
      <c r="M5712" s="133"/>
      <c r="N5712" s="133"/>
      <c r="O5712" s="133"/>
      <c r="P5712" s="134"/>
      <c r="Q5712" s="146"/>
      <c r="R5712" s="17"/>
      <c r="S5712" s="17"/>
      <c r="T5712" s="75"/>
      <c r="U5712" s="75"/>
      <c r="V5712" s="75"/>
      <c r="W5712" s="75"/>
      <c r="X5712" s="75"/>
    </row>
    <row r="5713">
      <c r="A5713" s="17"/>
      <c r="B5713" s="17"/>
      <c r="C5713" s="133"/>
      <c r="D5713" s="133"/>
      <c r="E5713" s="17"/>
      <c r="F5713" s="133"/>
      <c r="G5713" s="133"/>
      <c r="H5713" s="133"/>
      <c r="I5713" s="133"/>
      <c r="J5713" s="133"/>
      <c r="K5713" s="133"/>
      <c r="L5713" s="133"/>
      <c r="M5713" s="133"/>
      <c r="N5713" s="133"/>
      <c r="O5713" s="133"/>
      <c r="P5713" s="134"/>
      <c r="Q5713" s="146"/>
      <c r="R5713" s="17"/>
      <c r="S5713" s="17"/>
      <c r="T5713" s="75"/>
      <c r="U5713" s="75"/>
      <c r="V5713" s="75"/>
      <c r="W5713" s="75"/>
      <c r="X5713" s="75"/>
    </row>
    <row r="5714">
      <c r="A5714" s="17"/>
      <c r="B5714" s="17"/>
      <c r="C5714" s="133"/>
      <c r="D5714" s="133"/>
      <c r="E5714" s="17"/>
      <c r="F5714" s="133"/>
      <c r="G5714" s="133"/>
      <c r="H5714" s="133"/>
      <c r="I5714" s="133"/>
      <c r="J5714" s="133"/>
      <c r="K5714" s="133"/>
      <c r="L5714" s="133"/>
      <c r="M5714" s="133"/>
      <c r="N5714" s="133"/>
      <c r="O5714" s="133"/>
      <c r="P5714" s="134"/>
      <c r="Q5714" s="146"/>
      <c r="R5714" s="17"/>
      <c r="S5714" s="17"/>
      <c r="T5714" s="75"/>
      <c r="U5714" s="75"/>
      <c r="V5714" s="75"/>
      <c r="W5714" s="75"/>
      <c r="X5714" s="75"/>
    </row>
    <row r="5715">
      <c r="A5715" s="17"/>
      <c r="B5715" s="17"/>
      <c r="C5715" s="133"/>
      <c r="D5715" s="133"/>
      <c r="E5715" s="17"/>
      <c r="F5715" s="133"/>
      <c r="G5715" s="133"/>
      <c r="H5715" s="133"/>
      <c r="I5715" s="133"/>
      <c r="J5715" s="133"/>
      <c r="K5715" s="133"/>
      <c r="L5715" s="133"/>
      <c r="M5715" s="133"/>
      <c r="N5715" s="133"/>
      <c r="O5715" s="133"/>
      <c r="P5715" s="134"/>
      <c r="Q5715" s="146"/>
      <c r="R5715" s="17"/>
      <c r="S5715" s="17"/>
      <c r="T5715" s="75"/>
      <c r="U5715" s="75"/>
      <c r="V5715" s="75"/>
      <c r="W5715" s="75"/>
      <c r="X5715" s="75"/>
    </row>
    <row r="5716">
      <c r="A5716" s="17"/>
      <c r="B5716" s="17"/>
      <c r="C5716" s="133"/>
      <c r="D5716" s="133"/>
      <c r="E5716" s="17"/>
      <c r="F5716" s="133"/>
      <c r="G5716" s="133"/>
      <c r="H5716" s="133"/>
      <c r="I5716" s="133"/>
      <c r="J5716" s="133"/>
      <c r="K5716" s="133"/>
      <c r="L5716" s="133"/>
      <c r="M5716" s="133"/>
      <c r="N5716" s="133"/>
      <c r="O5716" s="133"/>
      <c r="P5716" s="134"/>
      <c r="Q5716" s="146"/>
      <c r="R5716" s="17"/>
      <c r="S5716" s="17"/>
      <c r="T5716" s="75"/>
      <c r="U5716" s="75"/>
      <c r="V5716" s="75"/>
      <c r="W5716" s="75"/>
      <c r="X5716" s="75"/>
    </row>
    <row r="5717">
      <c r="A5717" s="17"/>
      <c r="B5717" s="17"/>
      <c r="C5717" s="133"/>
      <c r="D5717" s="133"/>
      <c r="E5717" s="17"/>
      <c r="F5717" s="133"/>
      <c r="G5717" s="133"/>
      <c r="H5717" s="133"/>
      <c r="I5717" s="133"/>
      <c r="J5717" s="133"/>
      <c r="K5717" s="133"/>
      <c r="L5717" s="133"/>
      <c r="M5717" s="133"/>
      <c r="N5717" s="133"/>
      <c r="O5717" s="133"/>
      <c r="P5717" s="134"/>
      <c r="Q5717" s="146"/>
      <c r="R5717" s="17"/>
      <c r="S5717" s="17"/>
      <c r="T5717" s="75"/>
      <c r="U5717" s="75"/>
      <c r="V5717" s="75"/>
      <c r="W5717" s="75"/>
      <c r="X5717" s="75"/>
    </row>
    <row r="5718">
      <c r="A5718" s="17"/>
      <c r="B5718" s="17"/>
      <c r="C5718" s="133"/>
      <c r="D5718" s="133"/>
      <c r="E5718" s="17"/>
      <c r="F5718" s="133"/>
      <c r="G5718" s="133"/>
      <c r="H5718" s="133"/>
      <c r="I5718" s="133"/>
      <c r="J5718" s="133"/>
      <c r="K5718" s="133"/>
      <c r="L5718" s="133"/>
      <c r="M5718" s="133"/>
      <c r="N5718" s="133"/>
      <c r="O5718" s="133"/>
      <c r="P5718" s="134"/>
      <c r="Q5718" s="146"/>
      <c r="R5718" s="17"/>
      <c r="S5718" s="17"/>
      <c r="T5718" s="75"/>
      <c r="U5718" s="75"/>
      <c r="V5718" s="75"/>
      <c r="W5718" s="75"/>
      <c r="X5718" s="75"/>
    </row>
    <row r="5719">
      <c r="A5719" s="17"/>
      <c r="B5719" s="17"/>
      <c r="C5719" s="133"/>
      <c r="D5719" s="133"/>
      <c r="E5719" s="17"/>
      <c r="F5719" s="133"/>
      <c r="G5719" s="133"/>
      <c r="H5719" s="133"/>
      <c r="I5719" s="133"/>
      <c r="J5719" s="133"/>
      <c r="K5719" s="133"/>
      <c r="L5719" s="133"/>
      <c r="M5719" s="133"/>
      <c r="N5719" s="133"/>
      <c r="O5719" s="133"/>
      <c r="P5719" s="134"/>
      <c r="Q5719" s="146"/>
      <c r="R5719" s="17"/>
      <c r="S5719" s="17"/>
      <c r="T5719" s="75"/>
      <c r="U5719" s="75"/>
      <c r="V5719" s="75"/>
      <c r="W5719" s="75"/>
      <c r="X5719" s="75"/>
    </row>
    <row r="5720">
      <c r="A5720" s="17"/>
      <c r="B5720" s="17"/>
      <c r="C5720" s="133"/>
      <c r="D5720" s="133"/>
      <c r="E5720" s="17"/>
      <c r="F5720" s="133"/>
      <c r="G5720" s="133"/>
      <c r="H5720" s="133"/>
      <c r="I5720" s="133"/>
      <c r="J5720" s="133"/>
      <c r="K5720" s="133"/>
      <c r="L5720" s="133"/>
      <c r="M5720" s="133"/>
      <c r="N5720" s="133"/>
      <c r="O5720" s="133"/>
      <c r="P5720" s="134"/>
      <c r="Q5720" s="146"/>
      <c r="R5720" s="17"/>
      <c r="S5720" s="17"/>
      <c r="T5720" s="75"/>
      <c r="U5720" s="75"/>
      <c r="V5720" s="75"/>
      <c r="W5720" s="75"/>
      <c r="X5720" s="75"/>
    </row>
    <row r="5721">
      <c r="A5721" s="17"/>
      <c r="B5721" s="17"/>
      <c r="C5721" s="133"/>
      <c r="D5721" s="133"/>
      <c r="E5721" s="17"/>
      <c r="F5721" s="133"/>
      <c r="G5721" s="133"/>
      <c r="H5721" s="133"/>
      <c r="I5721" s="133"/>
      <c r="J5721" s="133"/>
      <c r="K5721" s="133"/>
      <c r="L5721" s="133"/>
      <c r="M5721" s="133"/>
      <c r="N5721" s="133"/>
      <c r="O5721" s="133"/>
      <c r="P5721" s="134"/>
      <c r="Q5721" s="146"/>
      <c r="R5721" s="17"/>
      <c r="S5721" s="17"/>
      <c r="T5721" s="75"/>
      <c r="U5721" s="75"/>
      <c r="V5721" s="75"/>
      <c r="W5721" s="75"/>
      <c r="X5721" s="75"/>
    </row>
    <row r="5722">
      <c r="A5722" s="17"/>
      <c r="B5722" s="17"/>
      <c r="C5722" s="133"/>
      <c r="D5722" s="133"/>
      <c r="E5722" s="17"/>
      <c r="F5722" s="133"/>
      <c r="G5722" s="133"/>
      <c r="H5722" s="133"/>
      <c r="I5722" s="133"/>
      <c r="J5722" s="133"/>
      <c r="K5722" s="133"/>
      <c r="L5722" s="133"/>
      <c r="M5722" s="133"/>
      <c r="N5722" s="133"/>
      <c r="O5722" s="133"/>
      <c r="P5722" s="134"/>
      <c r="Q5722" s="146"/>
      <c r="R5722" s="17"/>
      <c r="S5722" s="17"/>
      <c r="T5722" s="75"/>
      <c r="U5722" s="75"/>
      <c r="V5722" s="75"/>
      <c r="W5722" s="75"/>
      <c r="X5722" s="75"/>
    </row>
    <row r="5723">
      <c r="A5723" s="17"/>
      <c r="B5723" s="17"/>
      <c r="C5723" s="133"/>
      <c r="D5723" s="133"/>
      <c r="E5723" s="17"/>
      <c r="F5723" s="133"/>
      <c r="G5723" s="133"/>
      <c r="H5723" s="133"/>
      <c r="I5723" s="133"/>
      <c r="J5723" s="133"/>
      <c r="K5723" s="133"/>
      <c r="L5723" s="133"/>
      <c r="M5723" s="133"/>
      <c r="N5723" s="133"/>
      <c r="O5723" s="133"/>
      <c r="P5723" s="134"/>
      <c r="Q5723" s="146"/>
      <c r="R5723" s="17"/>
      <c r="S5723" s="17"/>
      <c r="T5723" s="75"/>
      <c r="U5723" s="75"/>
      <c r="V5723" s="75"/>
      <c r="W5723" s="75"/>
      <c r="X5723" s="75"/>
    </row>
    <row r="5724">
      <c r="A5724" s="17"/>
      <c r="B5724" s="17"/>
      <c r="C5724" s="133"/>
      <c r="D5724" s="133"/>
      <c r="E5724" s="17"/>
      <c r="F5724" s="133"/>
      <c r="G5724" s="133"/>
      <c r="H5724" s="133"/>
      <c r="I5724" s="133"/>
      <c r="J5724" s="133"/>
      <c r="K5724" s="133"/>
      <c r="L5724" s="133"/>
      <c r="M5724" s="133"/>
      <c r="N5724" s="133"/>
      <c r="O5724" s="133"/>
      <c r="P5724" s="134"/>
      <c r="Q5724" s="146"/>
      <c r="R5724" s="17"/>
      <c r="S5724" s="17"/>
      <c r="T5724" s="75"/>
      <c r="U5724" s="75"/>
      <c r="V5724" s="75"/>
      <c r="W5724" s="75"/>
      <c r="X5724" s="75"/>
    </row>
    <row r="5725">
      <c r="A5725" s="17"/>
      <c r="B5725" s="17"/>
      <c r="C5725" s="133"/>
      <c r="D5725" s="133"/>
      <c r="E5725" s="17"/>
      <c r="F5725" s="133"/>
      <c r="G5725" s="133"/>
      <c r="H5725" s="133"/>
      <c r="I5725" s="133"/>
      <c r="J5725" s="133"/>
      <c r="K5725" s="133"/>
      <c r="L5725" s="133"/>
      <c r="M5725" s="133"/>
      <c r="N5725" s="133"/>
      <c r="O5725" s="133"/>
      <c r="P5725" s="134"/>
      <c r="Q5725" s="146"/>
      <c r="R5725" s="17"/>
      <c r="S5725" s="17"/>
      <c r="T5725" s="75"/>
      <c r="U5725" s="75"/>
      <c r="V5725" s="75"/>
      <c r="W5725" s="75"/>
      <c r="X5725" s="75"/>
    </row>
    <row r="5726">
      <c r="A5726" s="17"/>
      <c r="B5726" s="17"/>
      <c r="C5726" s="133"/>
      <c r="D5726" s="133"/>
      <c r="E5726" s="17"/>
      <c r="F5726" s="133"/>
      <c r="G5726" s="133"/>
      <c r="H5726" s="133"/>
      <c r="I5726" s="133"/>
      <c r="J5726" s="133"/>
      <c r="K5726" s="133"/>
      <c r="L5726" s="133"/>
      <c r="M5726" s="133"/>
      <c r="N5726" s="133"/>
      <c r="O5726" s="133"/>
      <c r="P5726" s="134"/>
      <c r="Q5726" s="146"/>
      <c r="R5726" s="17"/>
      <c r="S5726" s="17"/>
      <c r="T5726" s="75"/>
      <c r="U5726" s="75"/>
      <c r="V5726" s="75"/>
      <c r="W5726" s="75"/>
      <c r="X5726" s="75"/>
    </row>
    <row r="5727">
      <c r="A5727" s="17"/>
      <c r="B5727" s="17"/>
      <c r="C5727" s="133"/>
      <c r="D5727" s="133"/>
      <c r="E5727" s="17"/>
      <c r="F5727" s="133"/>
      <c r="G5727" s="133"/>
      <c r="H5727" s="133"/>
      <c r="I5727" s="133"/>
      <c r="J5727" s="133"/>
      <c r="K5727" s="133"/>
      <c r="L5727" s="133"/>
      <c r="M5727" s="133"/>
      <c r="N5727" s="133"/>
      <c r="O5727" s="133"/>
      <c r="P5727" s="134"/>
      <c r="Q5727" s="146"/>
      <c r="R5727" s="17"/>
      <c r="S5727" s="17"/>
      <c r="T5727" s="75"/>
      <c r="U5727" s="75"/>
      <c r="V5727" s="75"/>
      <c r="W5727" s="75"/>
      <c r="X5727" s="75"/>
    </row>
    <row r="5728">
      <c r="A5728" s="17"/>
      <c r="B5728" s="17"/>
      <c r="C5728" s="133"/>
      <c r="D5728" s="133"/>
      <c r="E5728" s="17"/>
      <c r="F5728" s="133"/>
      <c r="G5728" s="133"/>
      <c r="H5728" s="133"/>
      <c r="I5728" s="133"/>
      <c r="J5728" s="133"/>
      <c r="K5728" s="133"/>
      <c r="L5728" s="133"/>
      <c r="M5728" s="133"/>
      <c r="N5728" s="133"/>
      <c r="O5728" s="133"/>
      <c r="P5728" s="134"/>
      <c r="Q5728" s="146"/>
      <c r="R5728" s="17"/>
      <c r="S5728" s="17"/>
      <c r="T5728" s="75"/>
      <c r="U5728" s="75"/>
      <c r="V5728" s="75"/>
      <c r="W5728" s="75"/>
      <c r="X5728" s="75"/>
    </row>
    <row r="5729">
      <c r="A5729" s="17"/>
      <c r="B5729" s="17"/>
      <c r="C5729" s="133"/>
      <c r="D5729" s="133"/>
      <c r="E5729" s="17"/>
      <c r="F5729" s="133"/>
      <c r="G5729" s="133"/>
      <c r="H5729" s="133"/>
      <c r="I5729" s="133"/>
      <c r="J5729" s="133"/>
      <c r="K5729" s="133"/>
      <c r="L5729" s="133"/>
      <c r="M5729" s="133"/>
      <c r="N5729" s="133"/>
      <c r="O5729" s="133"/>
      <c r="P5729" s="134"/>
      <c r="Q5729" s="146"/>
      <c r="R5729" s="17"/>
      <c r="S5729" s="17"/>
      <c r="T5729" s="75"/>
      <c r="U5729" s="75"/>
      <c r="V5729" s="75"/>
      <c r="W5729" s="75"/>
      <c r="X5729" s="75"/>
    </row>
    <row r="5730">
      <c r="A5730" s="17"/>
      <c r="B5730" s="17"/>
      <c r="C5730" s="133"/>
      <c r="D5730" s="133"/>
      <c r="E5730" s="17"/>
      <c r="F5730" s="133"/>
      <c r="G5730" s="133"/>
      <c r="H5730" s="133"/>
      <c r="I5730" s="133"/>
      <c r="J5730" s="133"/>
      <c r="K5730" s="133"/>
      <c r="L5730" s="133"/>
      <c r="M5730" s="133"/>
      <c r="N5730" s="133"/>
      <c r="O5730" s="133"/>
      <c r="P5730" s="134"/>
      <c r="Q5730" s="146"/>
      <c r="R5730" s="17"/>
      <c r="S5730" s="17"/>
      <c r="T5730" s="75"/>
      <c r="U5730" s="75"/>
      <c r="V5730" s="75"/>
      <c r="W5730" s="75"/>
      <c r="X5730" s="75"/>
    </row>
    <row r="5731">
      <c r="A5731" s="17"/>
      <c r="B5731" s="17"/>
      <c r="C5731" s="133"/>
      <c r="D5731" s="133"/>
      <c r="E5731" s="17"/>
      <c r="F5731" s="133"/>
      <c r="G5731" s="133"/>
      <c r="H5731" s="133"/>
      <c r="I5731" s="133"/>
      <c r="J5731" s="133"/>
      <c r="K5731" s="133"/>
      <c r="L5731" s="133"/>
      <c r="M5731" s="133"/>
      <c r="N5731" s="133"/>
      <c r="O5731" s="133"/>
      <c r="P5731" s="134"/>
      <c r="Q5731" s="146"/>
      <c r="R5731" s="17"/>
      <c r="S5731" s="17"/>
      <c r="T5731" s="75"/>
      <c r="U5731" s="75"/>
      <c r="V5731" s="75"/>
      <c r="W5731" s="75"/>
      <c r="X5731" s="75"/>
    </row>
    <row r="5732">
      <c r="A5732" s="17"/>
      <c r="B5732" s="17"/>
      <c r="C5732" s="133"/>
      <c r="D5732" s="133"/>
      <c r="E5732" s="17"/>
      <c r="F5732" s="133"/>
      <c r="G5732" s="133"/>
      <c r="H5732" s="133"/>
      <c r="I5732" s="133"/>
      <c r="J5732" s="133"/>
      <c r="K5732" s="133"/>
      <c r="L5732" s="133"/>
      <c r="M5732" s="133"/>
      <c r="N5732" s="133"/>
      <c r="O5732" s="133"/>
      <c r="P5732" s="134"/>
      <c r="Q5732" s="146"/>
      <c r="R5732" s="17"/>
      <c r="S5732" s="17"/>
      <c r="T5732" s="75"/>
      <c r="U5732" s="75"/>
      <c r="V5732" s="75"/>
      <c r="W5732" s="75"/>
      <c r="X5732" s="75"/>
    </row>
    <row r="5733">
      <c r="A5733" s="17"/>
      <c r="B5733" s="17"/>
      <c r="C5733" s="133"/>
      <c r="D5733" s="133"/>
      <c r="E5733" s="17"/>
      <c r="F5733" s="133"/>
      <c r="G5733" s="133"/>
      <c r="H5733" s="133"/>
      <c r="I5733" s="133"/>
      <c r="J5733" s="133"/>
      <c r="K5733" s="133"/>
      <c r="L5733" s="133"/>
      <c r="M5733" s="133"/>
      <c r="N5733" s="133"/>
      <c r="O5733" s="133"/>
      <c r="P5733" s="134"/>
      <c r="Q5733" s="146"/>
      <c r="R5733" s="17"/>
      <c r="S5733" s="17"/>
      <c r="T5733" s="75"/>
      <c r="U5733" s="75"/>
      <c r="V5733" s="75"/>
      <c r="W5733" s="75"/>
      <c r="X5733" s="75"/>
    </row>
    <row r="5734">
      <c r="A5734" s="17"/>
      <c r="B5734" s="17"/>
      <c r="C5734" s="133"/>
      <c r="D5734" s="133"/>
      <c r="E5734" s="17"/>
      <c r="F5734" s="133"/>
      <c r="G5734" s="133"/>
      <c r="H5734" s="133"/>
      <c r="I5734" s="133"/>
      <c r="J5734" s="133"/>
      <c r="K5734" s="133"/>
      <c r="L5734" s="133"/>
      <c r="M5734" s="133"/>
      <c r="N5734" s="133"/>
      <c r="O5734" s="133"/>
      <c r="P5734" s="134"/>
      <c r="Q5734" s="146"/>
      <c r="R5734" s="17"/>
      <c r="S5734" s="17"/>
      <c r="T5734" s="75"/>
      <c r="U5734" s="75"/>
      <c r="V5734" s="75"/>
      <c r="W5734" s="75"/>
      <c r="X5734" s="75"/>
    </row>
    <row r="5735">
      <c r="A5735" s="17"/>
      <c r="B5735" s="17"/>
      <c r="C5735" s="133"/>
      <c r="D5735" s="133"/>
      <c r="E5735" s="17"/>
      <c r="F5735" s="133"/>
      <c r="G5735" s="133"/>
      <c r="H5735" s="133"/>
      <c r="I5735" s="133"/>
      <c r="J5735" s="133"/>
      <c r="K5735" s="133"/>
      <c r="L5735" s="133"/>
      <c r="M5735" s="133"/>
      <c r="N5735" s="133"/>
      <c r="O5735" s="133"/>
      <c r="P5735" s="134"/>
      <c r="Q5735" s="146"/>
      <c r="R5735" s="17"/>
      <c r="S5735" s="17"/>
      <c r="T5735" s="75"/>
      <c r="U5735" s="75"/>
      <c r="V5735" s="75"/>
      <c r="W5735" s="75"/>
      <c r="X5735" s="75"/>
    </row>
    <row r="5736">
      <c r="A5736" s="17"/>
      <c r="B5736" s="17"/>
      <c r="C5736" s="133"/>
      <c r="D5736" s="133"/>
      <c r="E5736" s="17"/>
      <c r="F5736" s="133"/>
      <c r="G5736" s="133"/>
      <c r="H5736" s="133"/>
      <c r="I5736" s="133"/>
      <c r="J5736" s="133"/>
      <c r="K5736" s="133"/>
      <c r="L5736" s="133"/>
      <c r="M5736" s="133"/>
      <c r="N5736" s="133"/>
      <c r="O5736" s="133"/>
      <c r="P5736" s="134"/>
      <c r="Q5736" s="146"/>
      <c r="R5736" s="17"/>
      <c r="S5736" s="17"/>
      <c r="T5736" s="75"/>
      <c r="U5736" s="75"/>
      <c r="V5736" s="75"/>
      <c r="W5736" s="75"/>
      <c r="X5736" s="75"/>
    </row>
    <row r="5737">
      <c r="A5737" s="17"/>
      <c r="B5737" s="17"/>
      <c r="C5737" s="133"/>
      <c r="D5737" s="133"/>
      <c r="E5737" s="17"/>
      <c r="F5737" s="133"/>
      <c r="G5737" s="133"/>
      <c r="H5737" s="133"/>
      <c r="I5737" s="133"/>
      <c r="J5737" s="133"/>
      <c r="K5737" s="133"/>
      <c r="L5737" s="133"/>
      <c r="M5737" s="133"/>
      <c r="N5737" s="133"/>
      <c r="O5737" s="133"/>
      <c r="P5737" s="134"/>
      <c r="Q5737" s="146"/>
      <c r="R5737" s="17"/>
      <c r="S5737" s="17"/>
      <c r="T5737" s="75"/>
      <c r="U5737" s="75"/>
      <c r="V5737" s="75"/>
      <c r="W5737" s="75"/>
      <c r="X5737" s="75"/>
    </row>
    <row r="5738">
      <c r="A5738" s="17"/>
      <c r="B5738" s="17"/>
      <c r="C5738" s="133"/>
      <c r="D5738" s="133"/>
      <c r="E5738" s="17"/>
      <c r="F5738" s="133"/>
      <c r="G5738" s="133"/>
      <c r="H5738" s="133"/>
      <c r="I5738" s="133"/>
      <c r="J5738" s="133"/>
      <c r="K5738" s="133"/>
      <c r="L5738" s="133"/>
      <c r="M5738" s="133"/>
      <c r="N5738" s="133"/>
      <c r="O5738" s="133"/>
      <c r="P5738" s="134"/>
      <c r="Q5738" s="146"/>
      <c r="R5738" s="17"/>
      <c r="S5738" s="17"/>
      <c r="T5738" s="75"/>
      <c r="U5738" s="75"/>
      <c r="V5738" s="75"/>
      <c r="W5738" s="75"/>
      <c r="X5738" s="75"/>
    </row>
    <row r="5739">
      <c r="A5739" s="17"/>
      <c r="B5739" s="17"/>
      <c r="C5739" s="133"/>
      <c r="D5739" s="133"/>
      <c r="E5739" s="17"/>
      <c r="F5739" s="133"/>
      <c r="G5739" s="133"/>
      <c r="H5739" s="133"/>
      <c r="I5739" s="133"/>
      <c r="J5739" s="133"/>
      <c r="K5739" s="133"/>
      <c r="L5739" s="133"/>
      <c r="M5739" s="133"/>
      <c r="N5739" s="133"/>
      <c r="O5739" s="133"/>
      <c r="P5739" s="134"/>
      <c r="Q5739" s="146"/>
      <c r="R5739" s="17"/>
      <c r="S5739" s="17"/>
      <c r="T5739" s="75"/>
      <c r="U5739" s="75"/>
      <c r="V5739" s="75"/>
      <c r="W5739" s="75"/>
      <c r="X5739" s="75"/>
    </row>
    <row r="5740">
      <c r="A5740" s="17"/>
      <c r="B5740" s="17"/>
      <c r="C5740" s="133"/>
      <c r="D5740" s="133"/>
      <c r="E5740" s="17"/>
      <c r="F5740" s="133"/>
      <c r="G5740" s="133"/>
      <c r="H5740" s="133"/>
      <c r="I5740" s="133"/>
      <c r="J5740" s="133"/>
      <c r="K5740" s="133"/>
      <c r="L5740" s="133"/>
      <c r="M5740" s="133"/>
      <c r="N5740" s="133"/>
      <c r="O5740" s="133"/>
      <c r="P5740" s="134"/>
      <c r="Q5740" s="146"/>
      <c r="R5740" s="17"/>
      <c r="S5740" s="17"/>
      <c r="T5740" s="75"/>
      <c r="U5740" s="75"/>
      <c r="V5740" s="75"/>
      <c r="W5740" s="75"/>
      <c r="X5740" s="75"/>
    </row>
    <row r="5741">
      <c r="A5741" s="17"/>
      <c r="B5741" s="17"/>
      <c r="C5741" s="133"/>
      <c r="D5741" s="133"/>
      <c r="E5741" s="17"/>
      <c r="F5741" s="133"/>
      <c r="G5741" s="133"/>
      <c r="H5741" s="133"/>
      <c r="I5741" s="133"/>
      <c r="J5741" s="133"/>
      <c r="K5741" s="133"/>
      <c r="L5741" s="133"/>
      <c r="M5741" s="133"/>
      <c r="N5741" s="133"/>
      <c r="O5741" s="133"/>
      <c r="P5741" s="134"/>
      <c r="Q5741" s="146"/>
      <c r="R5741" s="17"/>
      <c r="S5741" s="17"/>
      <c r="T5741" s="75"/>
      <c r="U5741" s="75"/>
      <c r="V5741" s="75"/>
      <c r="W5741" s="75"/>
      <c r="X5741" s="75"/>
    </row>
    <row r="5742">
      <c r="A5742" s="17"/>
      <c r="B5742" s="17"/>
      <c r="C5742" s="133"/>
      <c r="D5742" s="133"/>
      <c r="E5742" s="17"/>
      <c r="F5742" s="133"/>
      <c r="G5742" s="133"/>
      <c r="H5742" s="133"/>
      <c r="I5742" s="133"/>
      <c r="J5742" s="133"/>
      <c r="K5742" s="133"/>
      <c r="L5742" s="133"/>
      <c r="M5742" s="133"/>
      <c r="N5742" s="133"/>
      <c r="O5742" s="133"/>
      <c r="P5742" s="134"/>
      <c r="Q5742" s="146"/>
      <c r="R5742" s="17"/>
      <c r="S5742" s="17"/>
      <c r="T5742" s="75"/>
      <c r="U5742" s="75"/>
      <c r="V5742" s="75"/>
      <c r="W5742" s="75"/>
      <c r="X5742" s="75"/>
    </row>
    <row r="5743">
      <c r="A5743" s="17"/>
      <c r="B5743" s="17"/>
      <c r="C5743" s="133"/>
      <c r="D5743" s="133"/>
      <c r="E5743" s="17"/>
      <c r="F5743" s="133"/>
      <c r="G5743" s="133"/>
      <c r="H5743" s="133"/>
      <c r="I5743" s="133"/>
      <c r="J5743" s="133"/>
      <c r="K5743" s="133"/>
      <c r="L5743" s="133"/>
      <c r="M5743" s="133"/>
      <c r="N5743" s="133"/>
      <c r="O5743" s="133"/>
      <c r="P5743" s="134"/>
      <c r="Q5743" s="146"/>
      <c r="R5743" s="17"/>
      <c r="S5743" s="17"/>
      <c r="T5743" s="75"/>
      <c r="U5743" s="75"/>
      <c r="V5743" s="75"/>
      <c r="W5743" s="75"/>
      <c r="X5743" s="75"/>
    </row>
    <row r="5744">
      <c r="A5744" s="17"/>
      <c r="B5744" s="17"/>
      <c r="C5744" s="133"/>
      <c r="D5744" s="133"/>
      <c r="E5744" s="17"/>
      <c r="F5744" s="133"/>
      <c r="G5744" s="133"/>
      <c r="H5744" s="133"/>
      <c r="I5744" s="133"/>
      <c r="J5744" s="133"/>
      <c r="K5744" s="133"/>
      <c r="L5744" s="133"/>
      <c r="M5744" s="133"/>
      <c r="N5744" s="133"/>
      <c r="O5744" s="133"/>
      <c r="P5744" s="134"/>
      <c r="Q5744" s="146"/>
      <c r="R5744" s="17"/>
      <c r="S5744" s="17"/>
      <c r="T5744" s="75"/>
      <c r="U5744" s="75"/>
      <c r="V5744" s="75"/>
      <c r="W5744" s="75"/>
      <c r="X5744" s="75"/>
    </row>
    <row r="5745">
      <c r="A5745" s="17"/>
      <c r="B5745" s="17"/>
      <c r="C5745" s="133"/>
      <c r="D5745" s="133"/>
      <c r="E5745" s="17"/>
      <c r="F5745" s="133"/>
      <c r="G5745" s="133"/>
      <c r="H5745" s="133"/>
      <c r="I5745" s="133"/>
      <c r="J5745" s="133"/>
      <c r="K5745" s="133"/>
      <c r="L5745" s="133"/>
      <c r="M5745" s="133"/>
      <c r="N5745" s="133"/>
      <c r="O5745" s="133"/>
      <c r="P5745" s="134"/>
      <c r="Q5745" s="146"/>
      <c r="R5745" s="17"/>
      <c r="S5745" s="17"/>
      <c r="T5745" s="75"/>
      <c r="U5745" s="75"/>
      <c r="V5745" s="75"/>
      <c r="W5745" s="75"/>
      <c r="X5745" s="75"/>
    </row>
    <row r="5746">
      <c r="A5746" s="17"/>
      <c r="B5746" s="17"/>
      <c r="C5746" s="133"/>
      <c r="D5746" s="133"/>
      <c r="E5746" s="17"/>
      <c r="F5746" s="133"/>
      <c r="G5746" s="133"/>
      <c r="H5746" s="133"/>
      <c r="I5746" s="133"/>
      <c r="J5746" s="133"/>
      <c r="K5746" s="133"/>
      <c r="L5746" s="133"/>
      <c r="M5746" s="133"/>
      <c r="N5746" s="133"/>
      <c r="O5746" s="133"/>
      <c r="P5746" s="134"/>
      <c r="Q5746" s="146"/>
      <c r="R5746" s="17"/>
      <c r="S5746" s="17"/>
      <c r="T5746" s="75"/>
      <c r="U5746" s="75"/>
      <c r="V5746" s="75"/>
      <c r="W5746" s="75"/>
      <c r="X5746" s="75"/>
    </row>
    <row r="5747">
      <c r="A5747" s="17"/>
      <c r="B5747" s="17"/>
      <c r="C5747" s="133"/>
      <c r="D5747" s="133"/>
      <c r="E5747" s="17"/>
      <c r="F5747" s="133"/>
      <c r="G5747" s="133"/>
      <c r="H5747" s="133"/>
      <c r="I5747" s="133"/>
      <c r="J5747" s="133"/>
      <c r="K5747" s="133"/>
      <c r="L5747" s="133"/>
      <c r="M5747" s="133"/>
      <c r="N5747" s="133"/>
      <c r="O5747" s="133"/>
      <c r="P5747" s="134"/>
      <c r="Q5747" s="146"/>
      <c r="R5747" s="17"/>
      <c r="S5747" s="17"/>
      <c r="T5747" s="75"/>
      <c r="U5747" s="75"/>
      <c r="V5747" s="75"/>
      <c r="W5747" s="75"/>
      <c r="X5747" s="75"/>
    </row>
    <row r="5748">
      <c r="A5748" s="17"/>
      <c r="B5748" s="17"/>
      <c r="C5748" s="133"/>
      <c r="D5748" s="133"/>
      <c r="E5748" s="17"/>
      <c r="F5748" s="133"/>
      <c r="G5748" s="133"/>
      <c r="H5748" s="133"/>
      <c r="I5748" s="133"/>
      <c r="J5748" s="133"/>
      <c r="K5748" s="133"/>
      <c r="L5748" s="133"/>
      <c r="M5748" s="133"/>
      <c r="N5748" s="133"/>
      <c r="O5748" s="133"/>
      <c r="P5748" s="134"/>
      <c r="Q5748" s="146"/>
      <c r="R5748" s="17"/>
      <c r="S5748" s="17"/>
      <c r="T5748" s="75"/>
      <c r="U5748" s="75"/>
      <c r="V5748" s="75"/>
      <c r="W5748" s="75"/>
      <c r="X5748" s="75"/>
    </row>
    <row r="5749">
      <c r="A5749" s="17"/>
      <c r="B5749" s="17"/>
      <c r="C5749" s="133"/>
      <c r="D5749" s="133"/>
      <c r="E5749" s="17"/>
      <c r="F5749" s="133"/>
      <c r="G5749" s="133"/>
      <c r="H5749" s="133"/>
      <c r="I5749" s="133"/>
      <c r="J5749" s="133"/>
      <c r="K5749" s="133"/>
      <c r="L5749" s="133"/>
      <c r="M5749" s="133"/>
      <c r="N5749" s="133"/>
      <c r="O5749" s="133"/>
      <c r="P5749" s="134"/>
      <c r="Q5749" s="146"/>
      <c r="R5749" s="17"/>
      <c r="S5749" s="17"/>
      <c r="T5749" s="75"/>
      <c r="U5749" s="75"/>
      <c r="V5749" s="75"/>
      <c r="W5749" s="75"/>
      <c r="X5749" s="75"/>
    </row>
    <row r="5750">
      <c r="A5750" s="17"/>
      <c r="B5750" s="17"/>
      <c r="C5750" s="133"/>
      <c r="D5750" s="133"/>
      <c r="E5750" s="17"/>
      <c r="F5750" s="133"/>
      <c r="G5750" s="133"/>
      <c r="H5750" s="133"/>
      <c r="I5750" s="133"/>
      <c r="J5750" s="133"/>
      <c r="K5750" s="133"/>
      <c r="L5750" s="133"/>
      <c r="M5750" s="133"/>
      <c r="N5750" s="133"/>
      <c r="O5750" s="133"/>
      <c r="P5750" s="134"/>
      <c r="Q5750" s="146"/>
      <c r="R5750" s="17"/>
      <c r="S5750" s="17"/>
      <c r="T5750" s="75"/>
      <c r="U5750" s="75"/>
      <c r="V5750" s="75"/>
      <c r="W5750" s="75"/>
      <c r="X5750" s="75"/>
    </row>
    <row r="5751">
      <c r="A5751" s="17"/>
      <c r="B5751" s="17"/>
      <c r="C5751" s="133"/>
      <c r="D5751" s="133"/>
      <c r="E5751" s="17"/>
      <c r="F5751" s="133"/>
      <c r="G5751" s="133"/>
      <c r="H5751" s="133"/>
      <c r="I5751" s="133"/>
      <c r="J5751" s="133"/>
      <c r="K5751" s="133"/>
      <c r="L5751" s="133"/>
      <c r="M5751" s="133"/>
      <c r="N5751" s="133"/>
      <c r="O5751" s="133"/>
      <c r="P5751" s="134"/>
      <c r="Q5751" s="146"/>
      <c r="R5751" s="17"/>
      <c r="S5751" s="17"/>
      <c r="T5751" s="75"/>
      <c r="U5751" s="75"/>
      <c r="V5751" s="75"/>
      <c r="W5751" s="75"/>
      <c r="X5751" s="75"/>
    </row>
    <row r="5752">
      <c r="A5752" s="17"/>
      <c r="B5752" s="17"/>
      <c r="C5752" s="133"/>
      <c r="D5752" s="133"/>
      <c r="E5752" s="17"/>
      <c r="F5752" s="133"/>
      <c r="G5752" s="133"/>
      <c r="H5752" s="133"/>
      <c r="I5752" s="133"/>
      <c r="J5752" s="133"/>
      <c r="K5752" s="133"/>
      <c r="L5752" s="133"/>
      <c r="M5752" s="133"/>
      <c r="N5752" s="133"/>
      <c r="O5752" s="133"/>
      <c r="P5752" s="134"/>
      <c r="Q5752" s="146"/>
      <c r="R5752" s="17"/>
      <c r="S5752" s="17"/>
      <c r="T5752" s="75"/>
      <c r="U5752" s="75"/>
      <c r="V5752" s="75"/>
      <c r="W5752" s="75"/>
      <c r="X5752" s="75"/>
    </row>
    <row r="5753">
      <c r="A5753" s="17"/>
      <c r="B5753" s="17"/>
      <c r="C5753" s="133"/>
      <c r="D5753" s="133"/>
      <c r="E5753" s="17"/>
      <c r="F5753" s="133"/>
      <c r="G5753" s="133"/>
      <c r="H5753" s="133"/>
      <c r="I5753" s="133"/>
      <c r="J5753" s="133"/>
      <c r="K5753" s="133"/>
      <c r="L5753" s="133"/>
      <c r="M5753" s="133"/>
      <c r="N5753" s="133"/>
      <c r="O5753" s="133"/>
      <c r="P5753" s="134"/>
      <c r="Q5753" s="146"/>
      <c r="R5753" s="17"/>
      <c r="S5753" s="17"/>
      <c r="T5753" s="75"/>
      <c r="U5753" s="75"/>
      <c r="V5753" s="75"/>
      <c r="W5753" s="75"/>
      <c r="X5753" s="75"/>
    </row>
    <row r="5754">
      <c r="A5754" s="17"/>
      <c r="B5754" s="17"/>
      <c r="C5754" s="133"/>
      <c r="D5754" s="133"/>
      <c r="E5754" s="17"/>
      <c r="F5754" s="133"/>
      <c r="G5754" s="133"/>
      <c r="H5754" s="133"/>
      <c r="I5754" s="133"/>
      <c r="J5754" s="133"/>
      <c r="K5754" s="133"/>
      <c r="L5754" s="133"/>
      <c r="M5754" s="133"/>
      <c r="N5754" s="133"/>
      <c r="O5754" s="133"/>
      <c r="P5754" s="134"/>
      <c r="Q5754" s="146"/>
      <c r="R5754" s="17"/>
      <c r="S5754" s="17"/>
      <c r="T5754" s="75"/>
      <c r="U5754" s="75"/>
      <c r="V5754" s="75"/>
      <c r="W5754" s="75"/>
      <c r="X5754" s="75"/>
    </row>
    <row r="5755">
      <c r="A5755" s="17"/>
      <c r="B5755" s="17"/>
      <c r="C5755" s="133"/>
      <c r="D5755" s="133"/>
      <c r="E5755" s="17"/>
      <c r="F5755" s="133"/>
      <c r="G5755" s="133"/>
      <c r="H5755" s="133"/>
      <c r="I5755" s="133"/>
      <c r="J5755" s="133"/>
      <c r="K5755" s="133"/>
      <c r="L5755" s="133"/>
      <c r="M5755" s="133"/>
      <c r="N5755" s="133"/>
      <c r="O5755" s="133"/>
      <c r="P5755" s="134"/>
      <c r="Q5755" s="146"/>
      <c r="R5755" s="17"/>
      <c r="S5755" s="17"/>
      <c r="T5755" s="75"/>
      <c r="U5755" s="75"/>
      <c r="V5755" s="75"/>
      <c r="W5755" s="75"/>
      <c r="X5755" s="75"/>
    </row>
    <row r="5756">
      <c r="A5756" s="17"/>
      <c r="B5756" s="17"/>
      <c r="C5756" s="133"/>
      <c r="D5756" s="133"/>
      <c r="E5756" s="17"/>
      <c r="F5756" s="133"/>
      <c r="G5756" s="133"/>
      <c r="H5756" s="133"/>
      <c r="I5756" s="133"/>
      <c r="J5756" s="133"/>
      <c r="K5756" s="133"/>
      <c r="L5756" s="133"/>
      <c r="M5756" s="133"/>
      <c r="N5756" s="133"/>
      <c r="O5756" s="133"/>
      <c r="P5756" s="134"/>
      <c r="Q5756" s="146"/>
      <c r="R5756" s="17"/>
      <c r="S5756" s="17"/>
      <c r="T5756" s="75"/>
      <c r="U5756" s="75"/>
      <c r="V5756" s="75"/>
      <c r="W5756" s="75"/>
      <c r="X5756" s="75"/>
    </row>
    <row r="5757">
      <c r="A5757" s="17"/>
      <c r="B5757" s="17"/>
      <c r="C5757" s="133"/>
      <c r="D5757" s="133"/>
      <c r="E5757" s="17"/>
      <c r="F5757" s="133"/>
      <c r="G5757" s="133"/>
      <c r="H5757" s="133"/>
      <c r="I5757" s="133"/>
      <c r="J5757" s="133"/>
      <c r="K5757" s="133"/>
      <c r="L5757" s="133"/>
      <c r="M5757" s="133"/>
      <c r="N5757" s="133"/>
      <c r="O5757" s="133"/>
      <c r="P5757" s="134"/>
      <c r="Q5757" s="146"/>
      <c r="R5757" s="17"/>
      <c r="S5757" s="17"/>
      <c r="T5757" s="75"/>
      <c r="U5757" s="75"/>
      <c r="V5757" s="75"/>
      <c r="W5757" s="75"/>
      <c r="X5757" s="75"/>
    </row>
    <row r="5758">
      <c r="A5758" s="17"/>
      <c r="B5758" s="17"/>
      <c r="C5758" s="133"/>
      <c r="D5758" s="133"/>
      <c r="E5758" s="17"/>
      <c r="F5758" s="133"/>
      <c r="G5758" s="133"/>
      <c r="H5758" s="133"/>
      <c r="I5758" s="133"/>
      <c r="J5758" s="133"/>
      <c r="K5758" s="133"/>
      <c r="L5758" s="133"/>
      <c r="M5758" s="133"/>
      <c r="N5758" s="133"/>
      <c r="O5758" s="133"/>
      <c r="P5758" s="134"/>
      <c r="Q5758" s="146"/>
      <c r="R5758" s="17"/>
      <c r="S5758" s="17"/>
      <c r="T5758" s="75"/>
      <c r="U5758" s="75"/>
      <c r="V5758" s="75"/>
      <c r="W5758" s="75"/>
      <c r="X5758" s="75"/>
    </row>
    <row r="5759">
      <c r="A5759" s="17"/>
      <c r="B5759" s="17"/>
      <c r="C5759" s="133"/>
      <c r="D5759" s="133"/>
      <c r="E5759" s="17"/>
      <c r="F5759" s="133"/>
      <c r="G5759" s="133"/>
      <c r="H5759" s="133"/>
      <c r="I5759" s="133"/>
      <c r="J5759" s="133"/>
      <c r="K5759" s="133"/>
      <c r="L5759" s="133"/>
      <c r="M5759" s="133"/>
      <c r="N5759" s="133"/>
      <c r="O5759" s="133"/>
      <c r="P5759" s="134"/>
      <c r="Q5759" s="146"/>
      <c r="R5759" s="17"/>
      <c r="S5759" s="17"/>
      <c r="T5759" s="75"/>
      <c r="U5759" s="75"/>
      <c r="V5759" s="75"/>
      <c r="W5759" s="75"/>
      <c r="X5759" s="75"/>
    </row>
    <row r="5760">
      <c r="A5760" s="17"/>
      <c r="B5760" s="17"/>
      <c r="C5760" s="133"/>
      <c r="D5760" s="133"/>
      <c r="E5760" s="17"/>
      <c r="F5760" s="133"/>
      <c r="G5760" s="133"/>
      <c r="H5760" s="133"/>
      <c r="I5760" s="133"/>
      <c r="J5760" s="133"/>
      <c r="K5760" s="133"/>
      <c r="L5760" s="133"/>
      <c r="M5760" s="133"/>
      <c r="N5760" s="133"/>
      <c r="O5760" s="133"/>
      <c r="P5760" s="134"/>
      <c r="Q5760" s="146"/>
      <c r="R5760" s="17"/>
      <c r="S5760" s="17"/>
      <c r="T5760" s="75"/>
      <c r="U5760" s="75"/>
      <c r="V5760" s="75"/>
      <c r="W5760" s="75"/>
      <c r="X5760" s="75"/>
    </row>
    <row r="5761">
      <c r="A5761" s="17"/>
      <c r="B5761" s="17"/>
      <c r="C5761" s="133"/>
      <c r="D5761" s="133"/>
      <c r="E5761" s="17"/>
      <c r="F5761" s="133"/>
      <c r="G5761" s="133"/>
      <c r="H5761" s="133"/>
      <c r="I5761" s="133"/>
      <c r="J5761" s="133"/>
      <c r="K5761" s="133"/>
      <c r="L5761" s="133"/>
      <c r="M5761" s="133"/>
      <c r="N5761" s="133"/>
      <c r="O5761" s="133"/>
      <c r="P5761" s="134"/>
      <c r="Q5761" s="146"/>
      <c r="R5761" s="17"/>
      <c r="S5761" s="17"/>
      <c r="T5761" s="75"/>
      <c r="U5761" s="75"/>
      <c r="V5761" s="75"/>
      <c r="W5761" s="75"/>
      <c r="X5761" s="75"/>
    </row>
    <row r="5762">
      <c r="A5762" s="17"/>
      <c r="B5762" s="17"/>
      <c r="C5762" s="133"/>
      <c r="D5762" s="133"/>
      <c r="E5762" s="17"/>
      <c r="F5762" s="133"/>
      <c r="G5762" s="133"/>
      <c r="H5762" s="133"/>
      <c r="I5762" s="133"/>
      <c r="J5762" s="133"/>
      <c r="K5762" s="133"/>
      <c r="L5762" s="133"/>
      <c r="M5762" s="133"/>
      <c r="N5762" s="133"/>
      <c r="O5762" s="133"/>
      <c r="P5762" s="134"/>
      <c r="Q5762" s="146"/>
      <c r="R5762" s="17"/>
      <c r="S5762" s="17"/>
      <c r="T5762" s="75"/>
      <c r="U5762" s="75"/>
      <c r="V5762" s="75"/>
      <c r="W5762" s="75"/>
      <c r="X5762" s="75"/>
    </row>
    <row r="5763">
      <c r="A5763" s="17"/>
      <c r="B5763" s="17"/>
      <c r="C5763" s="133"/>
      <c r="D5763" s="133"/>
      <c r="E5763" s="17"/>
      <c r="F5763" s="133"/>
      <c r="G5763" s="133"/>
      <c r="H5763" s="133"/>
      <c r="I5763" s="133"/>
      <c r="J5763" s="133"/>
      <c r="K5763" s="133"/>
      <c r="L5763" s="133"/>
      <c r="M5763" s="133"/>
      <c r="N5763" s="133"/>
      <c r="O5763" s="133"/>
      <c r="P5763" s="134"/>
      <c r="Q5763" s="146"/>
      <c r="R5763" s="17"/>
      <c r="S5763" s="17"/>
      <c r="T5763" s="75"/>
      <c r="U5763" s="75"/>
      <c r="V5763" s="75"/>
      <c r="W5763" s="75"/>
      <c r="X5763" s="75"/>
    </row>
    <row r="5764">
      <c r="A5764" s="17"/>
      <c r="B5764" s="17"/>
      <c r="C5764" s="133"/>
      <c r="D5764" s="133"/>
      <c r="E5764" s="17"/>
      <c r="F5764" s="133"/>
      <c r="G5764" s="133"/>
      <c r="H5764" s="133"/>
      <c r="I5764" s="133"/>
      <c r="J5764" s="133"/>
      <c r="K5764" s="133"/>
      <c r="L5764" s="133"/>
      <c r="M5764" s="133"/>
      <c r="N5764" s="133"/>
      <c r="O5764" s="133"/>
      <c r="P5764" s="134"/>
      <c r="Q5764" s="146"/>
      <c r="R5764" s="17"/>
      <c r="S5764" s="17"/>
      <c r="T5764" s="75"/>
      <c r="U5764" s="75"/>
      <c r="V5764" s="75"/>
      <c r="W5764" s="75"/>
      <c r="X5764" s="75"/>
    </row>
    <row r="5765">
      <c r="A5765" s="17"/>
      <c r="B5765" s="17"/>
      <c r="C5765" s="133"/>
      <c r="D5765" s="133"/>
      <c r="E5765" s="17"/>
      <c r="F5765" s="133"/>
      <c r="G5765" s="133"/>
      <c r="H5765" s="133"/>
      <c r="I5765" s="133"/>
      <c r="J5765" s="133"/>
      <c r="K5765" s="133"/>
      <c r="L5765" s="133"/>
      <c r="M5765" s="133"/>
      <c r="N5765" s="133"/>
      <c r="O5765" s="133"/>
      <c r="P5765" s="134"/>
      <c r="Q5765" s="146"/>
      <c r="R5765" s="17"/>
      <c r="S5765" s="17"/>
      <c r="T5765" s="75"/>
      <c r="U5765" s="75"/>
      <c r="V5765" s="75"/>
      <c r="W5765" s="75"/>
      <c r="X5765" s="75"/>
    </row>
    <row r="5766">
      <c r="A5766" s="17"/>
      <c r="B5766" s="17"/>
      <c r="C5766" s="133"/>
      <c r="D5766" s="133"/>
      <c r="E5766" s="17"/>
      <c r="F5766" s="133"/>
      <c r="G5766" s="133"/>
      <c r="H5766" s="133"/>
      <c r="I5766" s="133"/>
      <c r="J5766" s="133"/>
      <c r="K5766" s="133"/>
      <c r="L5766" s="133"/>
      <c r="M5766" s="133"/>
      <c r="N5766" s="133"/>
      <c r="O5766" s="133"/>
      <c r="P5766" s="134"/>
      <c r="Q5766" s="146"/>
      <c r="R5766" s="17"/>
      <c r="S5766" s="17"/>
      <c r="T5766" s="75"/>
      <c r="U5766" s="75"/>
      <c r="V5766" s="75"/>
      <c r="W5766" s="75"/>
      <c r="X5766" s="75"/>
    </row>
    <row r="5767">
      <c r="A5767" s="17"/>
      <c r="B5767" s="17"/>
      <c r="C5767" s="133"/>
      <c r="D5767" s="133"/>
      <c r="E5767" s="17"/>
      <c r="F5767" s="133"/>
      <c r="G5767" s="133"/>
      <c r="H5767" s="133"/>
      <c r="I5767" s="133"/>
      <c r="J5767" s="133"/>
      <c r="K5767" s="133"/>
      <c r="L5767" s="133"/>
      <c r="M5767" s="133"/>
      <c r="N5767" s="133"/>
      <c r="O5767" s="133"/>
      <c r="P5767" s="134"/>
      <c r="Q5767" s="146"/>
      <c r="R5767" s="17"/>
      <c r="S5767" s="17"/>
      <c r="T5767" s="75"/>
      <c r="U5767" s="75"/>
      <c r="V5767" s="75"/>
      <c r="W5767" s="75"/>
      <c r="X5767" s="75"/>
    </row>
    <row r="5768">
      <c r="A5768" s="17"/>
      <c r="B5768" s="17"/>
      <c r="C5768" s="133"/>
      <c r="D5768" s="133"/>
      <c r="E5768" s="17"/>
      <c r="F5768" s="133"/>
      <c r="G5768" s="133"/>
      <c r="H5768" s="133"/>
      <c r="I5768" s="133"/>
      <c r="J5768" s="133"/>
      <c r="K5768" s="133"/>
      <c r="L5768" s="133"/>
      <c r="M5768" s="133"/>
      <c r="N5768" s="133"/>
      <c r="O5768" s="133"/>
      <c r="P5768" s="134"/>
      <c r="Q5768" s="146"/>
      <c r="R5768" s="17"/>
      <c r="S5768" s="17"/>
      <c r="T5768" s="75"/>
      <c r="U5768" s="75"/>
      <c r="V5768" s="75"/>
      <c r="W5768" s="75"/>
      <c r="X5768" s="75"/>
    </row>
    <row r="5769">
      <c r="A5769" s="17"/>
      <c r="B5769" s="17"/>
      <c r="C5769" s="133"/>
      <c r="D5769" s="133"/>
      <c r="E5769" s="17"/>
      <c r="F5769" s="133"/>
      <c r="G5769" s="133"/>
      <c r="H5769" s="133"/>
      <c r="I5769" s="133"/>
      <c r="J5769" s="133"/>
      <c r="K5769" s="133"/>
      <c r="L5769" s="133"/>
      <c r="M5769" s="133"/>
      <c r="N5769" s="133"/>
      <c r="O5769" s="133"/>
      <c r="P5769" s="134"/>
      <c r="Q5769" s="146"/>
      <c r="R5769" s="17"/>
      <c r="S5769" s="17"/>
      <c r="T5769" s="75"/>
      <c r="U5769" s="75"/>
      <c r="V5769" s="75"/>
      <c r="W5769" s="75"/>
      <c r="X5769" s="75"/>
    </row>
    <row r="5770">
      <c r="A5770" s="17"/>
      <c r="B5770" s="17"/>
      <c r="C5770" s="133"/>
      <c r="D5770" s="133"/>
      <c r="E5770" s="17"/>
      <c r="F5770" s="133"/>
      <c r="G5770" s="133"/>
      <c r="H5770" s="133"/>
      <c r="I5770" s="133"/>
      <c r="J5770" s="133"/>
      <c r="K5770" s="133"/>
      <c r="L5770" s="133"/>
      <c r="M5770" s="133"/>
      <c r="N5770" s="133"/>
      <c r="O5770" s="133"/>
      <c r="P5770" s="134"/>
      <c r="Q5770" s="146"/>
      <c r="R5770" s="17"/>
      <c r="S5770" s="17"/>
      <c r="T5770" s="75"/>
      <c r="U5770" s="75"/>
      <c r="V5770" s="75"/>
      <c r="W5770" s="75"/>
      <c r="X5770" s="75"/>
    </row>
    <row r="5771">
      <c r="A5771" s="17"/>
      <c r="B5771" s="17"/>
      <c r="C5771" s="133"/>
      <c r="D5771" s="133"/>
      <c r="E5771" s="17"/>
      <c r="F5771" s="133"/>
      <c r="G5771" s="133"/>
      <c r="H5771" s="133"/>
      <c r="I5771" s="133"/>
      <c r="J5771" s="133"/>
      <c r="K5771" s="133"/>
      <c r="L5771" s="133"/>
      <c r="M5771" s="133"/>
      <c r="N5771" s="133"/>
      <c r="O5771" s="133"/>
      <c r="P5771" s="134"/>
      <c r="Q5771" s="146"/>
      <c r="R5771" s="17"/>
      <c r="S5771" s="17"/>
      <c r="T5771" s="75"/>
      <c r="U5771" s="75"/>
      <c r="V5771" s="75"/>
      <c r="W5771" s="75"/>
      <c r="X5771" s="75"/>
    </row>
    <row r="5772">
      <c r="A5772" s="17"/>
      <c r="B5772" s="17"/>
      <c r="C5772" s="133"/>
      <c r="D5772" s="133"/>
      <c r="E5772" s="17"/>
      <c r="F5772" s="133"/>
      <c r="G5772" s="133"/>
      <c r="H5772" s="133"/>
      <c r="I5772" s="133"/>
      <c r="J5772" s="133"/>
      <c r="K5772" s="133"/>
      <c r="L5772" s="133"/>
      <c r="M5772" s="133"/>
      <c r="N5772" s="133"/>
      <c r="O5772" s="133"/>
      <c r="P5772" s="134"/>
      <c r="Q5772" s="146"/>
      <c r="R5772" s="17"/>
      <c r="S5772" s="17"/>
      <c r="T5772" s="75"/>
      <c r="U5772" s="75"/>
      <c r="V5772" s="75"/>
      <c r="W5772" s="75"/>
      <c r="X5772" s="75"/>
    </row>
    <row r="5773">
      <c r="A5773" s="17"/>
      <c r="B5773" s="17"/>
      <c r="C5773" s="133"/>
      <c r="D5773" s="133"/>
      <c r="E5773" s="17"/>
      <c r="F5773" s="133"/>
      <c r="G5773" s="133"/>
      <c r="H5773" s="133"/>
      <c r="I5773" s="133"/>
      <c r="J5773" s="133"/>
      <c r="K5773" s="133"/>
      <c r="L5773" s="133"/>
      <c r="M5773" s="133"/>
      <c r="N5773" s="133"/>
      <c r="O5773" s="133"/>
      <c r="P5773" s="134"/>
      <c r="Q5773" s="146"/>
      <c r="R5773" s="17"/>
      <c r="S5773" s="17"/>
      <c r="T5773" s="75"/>
      <c r="U5773" s="75"/>
      <c r="V5773" s="75"/>
      <c r="W5773" s="75"/>
      <c r="X5773" s="75"/>
    </row>
    <row r="5774">
      <c r="A5774" s="17"/>
      <c r="B5774" s="17"/>
      <c r="C5774" s="133"/>
      <c r="D5774" s="133"/>
      <c r="E5774" s="17"/>
      <c r="F5774" s="133"/>
      <c r="G5774" s="133"/>
      <c r="H5774" s="133"/>
      <c r="I5774" s="133"/>
      <c r="J5774" s="133"/>
      <c r="K5774" s="133"/>
      <c r="L5774" s="133"/>
      <c r="M5774" s="133"/>
      <c r="N5774" s="133"/>
      <c r="O5774" s="133"/>
      <c r="P5774" s="134"/>
      <c r="Q5774" s="146"/>
      <c r="R5774" s="17"/>
      <c r="S5774" s="17"/>
      <c r="T5774" s="75"/>
      <c r="U5774" s="75"/>
      <c r="V5774" s="75"/>
      <c r="W5774" s="75"/>
      <c r="X5774" s="75"/>
    </row>
    <row r="5775">
      <c r="A5775" s="17"/>
      <c r="B5775" s="17"/>
      <c r="C5775" s="133"/>
      <c r="D5775" s="133"/>
      <c r="E5775" s="17"/>
      <c r="F5775" s="133"/>
      <c r="G5775" s="133"/>
      <c r="H5775" s="133"/>
      <c r="I5775" s="133"/>
      <c r="J5775" s="133"/>
      <c r="K5775" s="133"/>
      <c r="L5775" s="133"/>
      <c r="M5775" s="133"/>
      <c r="N5775" s="133"/>
      <c r="O5775" s="133"/>
      <c r="P5775" s="134"/>
      <c r="Q5775" s="146"/>
      <c r="R5775" s="17"/>
      <c r="S5775" s="17"/>
      <c r="T5775" s="75"/>
      <c r="U5775" s="75"/>
      <c r="V5775" s="75"/>
      <c r="W5775" s="75"/>
      <c r="X5775" s="75"/>
    </row>
    <row r="5776">
      <c r="A5776" s="17"/>
      <c r="B5776" s="17"/>
      <c r="C5776" s="133"/>
      <c r="D5776" s="133"/>
      <c r="E5776" s="17"/>
      <c r="F5776" s="133"/>
      <c r="G5776" s="133"/>
      <c r="H5776" s="133"/>
      <c r="I5776" s="133"/>
      <c r="J5776" s="133"/>
      <c r="K5776" s="133"/>
      <c r="L5776" s="133"/>
      <c r="M5776" s="133"/>
      <c r="N5776" s="133"/>
      <c r="O5776" s="133"/>
      <c r="P5776" s="134"/>
      <c r="Q5776" s="146"/>
      <c r="R5776" s="17"/>
      <c r="S5776" s="17"/>
      <c r="T5776" s="75"/>
      <c r="U5776" s="75"/>
      <c r="V5776" s="75"/>
      <c r="W5776" s="75"/>
      <c r="X5776" s="75"/>
    </row>
    <row r="5777">
      <c r="A5777" s="17"/>
      <c r="B5777" s="17"/>
      <c r="C5777" s="133"/>
      <c r="D5777" s="133"/>
      <c r="E5777" s="17"/>
      <c r="F5777" s="133"/>
      <c r="G5777" s="133"/>
      <c r="H5777" s="133"/>
      <c r="I5777" s="133"/>
      <c r="J5777" s="133"/>
      <c r="K5777" s="133"/>
      <c r="L5777" s="133"/>
      <c r="M5777" s="133"/>
      <c r="N5777" s="133"/>
      <c r="O5777" s="133"/>
      <c r="P5777" s="134"/>
      <c r="Q5777" s="146"/>
      <c r="R5777" s="17"/>
      <c r="S5777" s="17"/>
      <c r="T5777" s="75"/>
      <c r="U5777" s="75"/>
      <c r="V5777" s="75"/>
      <c r="W5777" s="75"/>
      <c r="X5777" s="75"/>
    </row>
    <row r="5778">
      <c r="A5778" s="17"/>
      <c r="B5778" s="17"/>
      <c r="C5778" s="133"/>
      <c r="D5778" s="133"/>
      <c r="E5778" s="17"/>
      <c r="F5778" s="133"/>
      <c r="G5778" s="133"/>
      <c r="H5778" s="133"/>
      <c r="I5778" s="133"/>
      <c r="J5778" s="133"/>
      <c r="K5778" s="133"/>
      <c r="L5778" s="133"/>
      <c r="M5778" s="133"/>
      <c r="N5778" s="133"/>
      <c r="O5778" s="133"/>
      <c r="P5778" s="134"/>
      <c r="Q5778" s="146"/>
      <c r="R5778" s="17"/>
      <c r="S5778" s="17"/>
      <c r="T5778" s="75"/>
      <c r="U5778" s="75"/>
      <c r="V5778" s="75"/>
      <c r="W5778" s="75"/>
      <c r="X5778" s="75"/>
    </row>
    <row r="5779">
      <c r="A5779" s="17"/>
      <c r="B5779" s="17"/>
      <c r="C5779" s="133"/>
      <c r="D5779" s="133"/>
      <c r="E5779" s="17"/>
      <c r="F5779" s="133"/>
      <c r="G5779" s="133"/>
      <c r="H5779" s="133"/>
      <c r="I5779" s="133"/>
      <c r="J5779" s="133"/>
      <c r="K5779" s="133"/>
      <c r="L5779" s="133"/>
      <c r="M5779" s="133"/>
      <c r="N5779" s="133"/>
      <c r="O5779" s="133"/>
      <c r="P5779" s="134"/>
      <c r="Q5779" s="146"/>
      <c r="R5779" s="17"/>
      <c r="S5779" s="17"/>
      <c r="T5779" s="75"/>
      <c r="U5779" s="75"/>
      <c r="V5779" s="75"/>
      <c r="W5779" s="75"/>
      <c r="X5779" s="75"/>
    </row>
    <row r="5780">
      <c r="A5780" s="17"/>
      <c r="B5780" s="17"/>
      <c r="C5780" s="133"/>
      <c r="D5780" s="133"/>
      <c r="E5780" s="17"/>
      <c r="F5780" s="133"/>
      <c r="G5780" s="133"/>
      <c r="H5780" s="133"/>
      <c r="I5780" s="133"/>
      <c r="J5780" s="133"/>
      <c r="K5780" s="133"/>
      <c r="L5780" s="133"/>
      <c r="M5780" s="133"/>
      <c r="N5780" s="133"/>
      <c r="O5780" s="133"/>
      <c r="P5780" s="134"/>
      <c r="Q5780" s="146"/>
      <c r="R5780" s="17"/>
      <c r="S5780" s="17"/>
      <c r="T5780" s="75"/>
      <c r="U5780" s="75"/>
      <c r="V5780" s="75"/>
      <c r="W5780" s="75"/>
      <c r="X5780" s="75"/>
    </row>
    <row r="5781">
      <c r="A5781" s="17"/>
      <c r="B5781" s="17"/>
      <c r="C5781" s="133"/>
      <c r="D5781" s="133"/>
      <c r="E5781" s="17"/>
      <c r="F5781" s="133"/>
      <c r="G5781" s="133"/>
      <c r="H5781" s="133"/>
      <c r="I5781" s="133"/>
      <c r="J5781" s="133"/>
      <c r="K5781" s="133"/>
      <c r="L5781" s="133"/>
      <c r="M5781" s="133"/>
      <c r="N5781" s="133"/>
      <c r="O5781" s="133"/>
      <c r="P5781" s="134"/>
      <c r="Q5781" s="146"/>
      <c r="R5781" s="17"/>
      <c r="S5781" s="17"/>
      <c r="T5781" s="75"/>
      <c r="U5781" s="75"/>
      <c r="V5781" s="75"/>
      <c r="W5781" s="75"/>
      <c r="X5781" s="75"/>
    </row>
    <row r="5782">
      <c r="A5782" s="17"/>
      <c r="B5782" s="17"/>
      <c r="C5782" s="133"/>
      <c r="D5782" s="133"/>
      <c r="E5782" s="17"/>
      <c r="F5782" s="133"/>
      <c r="G5782" s="133"/>
      <c r="H5782" s="133"/>
      <c r="I5782" s="133"/>
      <c r="J5782" s="133"/>
      <c r="K5782" s="133"/>
      <c r="L5782" s="133"/>
      <c r="M5782" s="133"/>
      <c r="N5782" s="133"/>
      <c r="O5782" s="133"/>
      <c r="P5782" s="134"/>
      <c r="Q5782" s="146"/>
      <c r="R5782" s="17"/>
      <c r="S5782" s="17"/>
      <c r="T5782" s="75"/>
      <c r="U5782" s="75"/>
      <c r="V5782" s="75"/>
      <c r="W5782" s="75"/>
      <c r="X5782" s="75"/>
    </row>
    <row r="5783">
      <c r="A5783" s="17"/>
      <c r="B5783" s="17"/>
      <c r="C5783" s="133"/>
      <c r="D5783" s="133"/>
      <c r="E5783" s="17"/>
      <c r="F5783" s="133"/>
      <c r="G5783" s="133"/>
      <c r="H5783" s="133"/>
      <c r="I5783" s="133"/>
      <c r="J5783" s="133"/>
      <c r="K5783" s="133"/>
      <c r="L5783" s="133"/>
      <c r="M5783" s="133"/>
      <c r="N5783" s="133"/>
      <c r="O5783" s="133"/>
      <c r="P5783" s="134"/>
      <c r="Q5783" s="146"/>
      <c r="R5783" s="17"/>
      <c r="S5783" s="17"/>
      <c r="T5783" s="75"/>
      <c r="U5783" s="75"/>
      <c r="V5783" s="75"/>
      <c r="W5783" s="75"/>
      <c r="X5783" s="75"/>
    </row>
    <row r="5784">
      <c r="A5784" s="17"/>
      <c r="B5784" s="17"/>
      <c r="C5784" s="133"/>
      <c r="D5784" s="133"/>
      <c r="E5784" s="17"/>
      <c r="F5784" s="133"/>
      <c r="G5784" s="133"/>
      <c r="H5784" s="133"/>
      <c r="I5784" s="133"/>
      <c r="J5784" s="133"/>
      <c r="K5784" s="133"/>
      <c r="L5784" s="133"/>
      <c r="M5784" s="133"/>
      <c r="N5784" s="133"/>
      <c r="O5784" s="133"/>
      <c r="P5784" s="134"/>
      <c r="Q5784" s="146"/>
      <c r="R5784" s="17"/>
      <c r="S5784" s="17"/>
      <c r="T5784" s="75"/>
      <c r="U5784" s="75"/>
      <c r="V5784" s="75"/>
      <c r="W5784" s="75"/>
      <c r="X5784" s="75"/>
    </row>
    <row r="5785">
      <c r="A5785" s="17"/>
      <c r="B5785" s="17"/>
      <c r="C5785" s="133"/>
      <c r="D5785" s="133"/>
      <c r="E5785" s="17"/>
      <c r="F5785" s="133"/>
      <c r="G5785" s="133"/>
      <c r="H5785" s="133"/>
      <c r="I5785" s="133"/>
      <c r="J5785" s="133"/>
      <c r="K5785" s="133"/>
      <c r="L5785" s="133"/>
      <c r="M5785" s="133"/>
      <c r="N5785" s="133"/>
      <c r="O5785" s="133"/>
      <c r="P5785" s="134"/>
      <c r="Q5785" s="146"/>
      <c r="R5785" s="17"/>
      <c r="S5785" s="17"/>
      <c r="T5785" s="75"/>
      <c r="U5785" s="75"/>
      <c r="V5785" s="75"/>
      <c r="W5785" s="75"/>
      <c r="X5785" s="75"/>
    </row>
    <row r="5786">
      <c r="A5786" s="17"/>
      <c r="B5786" s="17"/>
      <c r="C5786" s="133"/>
      <c r="D5786" s="133"/>
      <c r="E5786" s="17"/>
      <c r="F5786" s="133"/>
      <c r="G5786" s="133"/>
      <c r="H5786" s="133"/>
      <c r="I5786" s="133"/>
      <c r="J5786" s="133"/>
      <c r="K5786" s="133"/>
      <c r="L5786" s="133"/>
      <c r="M5786" s="133"/>
      <c r="N5786" s="133"/>
      <c r="O5786" s="133"/>
      <c r="P5786" s="134"/>
      <c r="Q5786" s="146"/>
      <c r="R5786" s="17"/>
      <c r="S5786" s="17"/>
      <c r="T5786" s="75"/>
      <c r="U5786" s="75"/>
      <c r="V5786" s="75"/>
      <c r="W5786" s="75"/>
      <c r="X5786" s="75"/>
    </row>
    <row r="5787">
      <c r="A5787" s="17"/>
      <c r="B5787" s="17"/>
      <c r="C5787" s="133"/>
      <c r="D5787" s="133"/>
      <c r="E5787" s="17"/>
      <c r="F5787" s="133"/>
      <c r="G5787" s="133"/>
      <c r="H5787" s="133"/>
      <c r="I5787" s="133"/>
      <c r="J5787" s="133"/>
      <c r="K5787" s="133"/>
      <c r="L5787" s="133"/>
      <c r="M5787" s="133"/>
      <c r="N5787" s="133"/>
      <c r="O5787" s="133"/>
      <c r="P5787" s="134"/>
      <c r="Q5787" s="146"/>
      <c r="R5787" s="17"/>
      <c r="S5787" s="17"/>
      <c r="T5787" s="75"/>
      <c r="U5787" s="75"/>
      <c r="V5787" s="75"/>
      <c r="W5787" s="75"/>
      <c r="X5787" s="75"/>
    </row>
    <row r="5788">
      <c r="A5788" s="17"/>
      <c r="B5788" s="17"/>
      <c r="C5788" s="133"/>
      <c r="D5788" s="133"/>
      <c r="E5788" s="17"/>
      <c r="F5788" s="133"/>
      <c r="G5788" s="133"/>
      <c r="H5788" s="133"/>
      <c r="I5788" s="133"/>
      <c r="J5788" s="133"/>
      <c r="K5788" s="133"/>
      <c r="L5788" s="133"/>
      <c r="M5788" s="133"/>
      <c r="N5788" s="133"/>
      <c r="O5788" s="133"/>
      <c r="P5788" s="134"/>
      <c r="Q5788" s="146"/>
      <c r="R5788" s="17"/>
      <c r="S5788" s="17"/>
      <c r="T5788" s="75"/>
      <c r="U5788" s="75"/>
      <c r="V5788" s="75"/>
      <c r="W5788" s="75"/>
      <c r="X5788" s="75"/>
    </row>
    <row r="5789">
      <c r="A5789" s="17"/>
      <c r="B5789" s="17"/>
      <c r="C5789" s="133"/>
      <c r="D5789" s="133"/>
      <c r="E5789" s="17"/>
      <c r="F5789" s="133"/>
      <c r="G5789" s="133"/>
      <c r="H5789" s="133"/>
      <c r="I5789" s="133"/>
      <c r="J5789" s="133"/>
      <c r="K5789" s="133"/>
      <c r="L5789" s="133"/>
      <c r="M5789" s="133"/>
      <c r="N5789" s="133"/>
      <c r="O5789" s="133"/>
      <c r="P5789" s="134"/>
      <c r="Q5789" s="146"/>
      <c r="R5789" s="17"/>
      <c r="S5789" s="17"/>
      <c r="T5789" s="75"/>
      <c r="U5789" s="75"/>
      <c r="V5789" s="75"/>
      <c r="W5789" s="75"/>
      <c r="X5789" s="75"/>
    </row>
    <row r="5790">
      <c r="A5790" s="17"/>
      <c r="B5790" s="17"/>
      <c r="C5790" s="133"/>
      <c r="D5790" s="133"/>
      <c r="E5790" s="17"/>
      <c r="F5790" s="133"/>
      <c r="G5790" s="133"/>
      <c r="H5790" s="133"/>
      <c r="I5790" s="133"/>
      <c r="J5790" s="133"/>
      <c r="K5790" s="133"/>
      <c r="L5790" s="133"/>
      <c r="M5790" s="133"/>
      <c r="N5790" s="133"/>
      <c r="O5790" s="133"/>
      <c r="P5790" s="134"/>
      <c r="Q5790" s="146"/>
      <c r="R5790" s="17"/>
      <c r="S5790" s="17"/>
      <c r="T5790" s="75"/>
      <c r="U5790" s="75"/>
      <c r="V5790" s="75"/>
      <c r="W5790" s="75"/>
      <c r="X5790" s="75"/>
    </row>
    <row r="5791">
      <c r="A5791" s="17"/>
      <c r="B5791" s="17"/>
      <c r="C5791" s="133"/>
      <c r="D5791" s="133"/>
      <c r="E5791" s="17"/>
      <c r="F5791" s="133"/>
      <c r="G5791" s="133"/>
      <c r="H5791" s="133"/>
      <c r="I5791" s="133"/>
      <c r="J5791" s="133"/>
      <c r="K5791" s="133"/>
      <c r="L5791" s="133"/>
      <c r="M5791" s="133"/>
      <c r="N5791" s="133"/>
      <c r="O5791" s="133"/>
      <c r="P5791" s="134"/>
      <c r="Q5791" s="146"/>
      <c r="R5791" s="17"/>
      <c r="S5791" s="17"/>
      <c r="T5791" s="75"/>
      <c r="U5791" s="75"/>
      <c r="V5791" s="75"/>
      <c r="W5791" s="75"/>
      <c r="X5791" s="75"/>
    </row>
    <row r="5792">
      <c r="A5792" s="17"/>
      <c r="B5792" s="17"/>
      <c r="C5792" s="133"/>
      <c r="D5792" s="133"/>
      <c r="E5792" s="17"/>
      <c r="F5792" s="133"/>
      <c r="G5792" s="133"/>
      <c r="H5792" s="133"/>
      <c r="I5792" s="133"/>
      <c r="J5792" s="133"/>
      <c r="K5792" s="133"/>
      <c r="L5792" s="133"/>
      <c r="M5792" s="133"/>
      <c r="N5792" s="133"/>
      <c r="O5792" s="133"/>
      <c r="P5792" s="134"/>
      <c r="Q5792" s="146"/>
      <c r="R5792" s="17"/>
      <c r="S5792" s="17"/>
      <c r="T5792" s="75"/>
      <c r="U5792" s="75"/>
      <c r="V5792" s="75"/>
      <c r="W5792" s="75"/>
      <c r="X5792" s="75"/>
    </row>
    <row r="5793">
      <c r="A5793" s="17"/>
      <c r="B5793" s="17"/>
      <c r="C5793" s="133"/>
      <c r="D5793" s="133"/>
      <c r="E5793" s="17"/>
      <c r="F5793" s="133"/>
      <c r="G5793" s="133"/>
      <c r="H5793" s="133"/>
      <c r="I5793" s="133"/>
      <c r="J5793" s="133"/>
      <c r="K5793" s="133"/>
      <c r="L5793" s="133"/>
      <c r="M5793" s="133"/>
      <c r="N5793" s="133"/>
      <c r="O5793" s="133"/>
      <c r="P5793" s="134"/>
      <c r="Q5793" s="146"/>
      <c r="R5793" s="17"/>
      <c r="S5793" s="17"/>
      <c r="T5793" s="75"/>
      <c r="U5793" s="75"/>
      <c r="V5793" s="75"/>
      <c r="W5793" s="75"/>
      <c r="X5793" s="75"/>
    </row>
    <row r="5794">
      <c r="A5794" s="17"/>
      <c r="B5794" s="17"/>
      <c r="C5794" s="133"/>
      <c r="D5794" s="133"/>
      <c r="E5794" s="17"/>
      <c r="F5794" s="133"/>
      <c r="G5794" s="133"/>
      <c r="H5794" s="133"/>
      <c r="I5794" s="133"/>
      <c r="J5794" s="133"/>
      <c r="K5794" s="133"/>
      <c r="L5794" s="133"/>
      <c r="M5794" s="133"/>
      <c r="N5794" s="133"/>
      <c r="O5794" s="133"/>
      <c r="P5794" s="134"/>
      <c r="Q5794" s="146"/>
      <c r="R5794" s="17"/>
      <c r="S5794" s="17"/>
      <c r="T5794" s="75"/>
      <c r="U5794" s="75"/>
      <c r="V5794" s="75"/>
      <c r="W5794" s="75"/>
      <c r="X5794" s="75"/>
    </row>
    <row r="5795">
      <c r="A5795" s="17"/>
      <c r="B5795" s="17"/>
      <c r="C5795" s="133"/>
      <c r="D5795" s="133"/>
      <c r="E5795" s="17"/>
      <c r="F5795" s="133"/>
      <c r="G5795" s="133"/>
      <c r="H5795" s="133"/>
      <c r="I5795" s="133"/>
      <c r="J5795" s="133"/>
      <c r="K5795" s="133"/>
      <c r="L5795" s="133"/>
      <c r="M5795" s="133"/>
      <c r="N5795" s="133"/>
      <c r="O5795" s="133"/>
      <c r="P5795" s="134"/>
      <c r="Q5795" s="146"/>
      <c r="R5795" s="17"/>
      <c r="S5795" s="17"/>
      <c r="T5795" s="75"/>
      <c r="U5795" s="75"/>
      <c r="V5795" s="75"/>
      <c r="W5795" s="75"/>
      <c r="X5795" s="75"/>
    </row>
    <row r="5796">
      <c r="A5796" s="17"/>
      <c r="B5796" s="17"/>
      <c r="C5796" s="133"/>
      <c r="D5796" s="133"/>
      <c r="E5796" s="17"/>
      <c r="F5796" s="133"/>
      <c r="G5796" s="133"/>
      <c r="H5796" s="133"/>
      <c r="I5796" s="133"/>
      <c r="J5796" s="133"/>
      <c r="K5796" s="133"/>
      <c r="L5796" s="133"/>
      <c r="M5796" s="133"/>
      <c r="N5796" s="133"/>
      <c r="O5796" s="133"/>
      <c r="P5796" s="134"/>
      <c r="Q5796" s="146"/>
      <c r="R5796" s="17"/>
      <c r="S5796" s="17"/>
      <c r="T5796" s="75"/>
      <c r="U5796" s="75"/>
      <c r="V5796" s="75"/>
      <c r="W5796" s="75"/>
      <c r="X5796" s="75"/>
    </row>
    <row r="5797">
      <c r="A5797" s="17"/>
      <c r="B5797" s="17"/>
      <c r="C5797" s="133"/>
      <c r="D5797" s="133"/>
      <c r="E5797" s="17"/>
      <c r="F5797" s="133"/>
      <c r="G5797" s="133"/>
      <c r="H5797" s="133"/>
      <c r="I5797" s="133"/>
      <c r="J5797" s="133"/>
      <c r="K5797" s="133"/>
      <c r="L5797" s="133"/>
      <c r="M5797" s="133"/>
      <c r="N5797" s="133"/>
      <c r="O5797" s="133"/>
      <c r="P5797" s="134"/>
      <c r="Q5797" s="146"/>
      <c r="R5797" s="17"/>
      <c r="S5797" s="17"/>
      <c r="T5797" s="75"/>
      <c r="U5797" s="75"/>
      <c r="V5797" s="75"/>
      <c r="W5797" s="75"/>
      <c r="X5797" s="75"/>
    </row>
    <row r="5798">
      <c r="A5798" s="17"/>
      <c r="B5798" s="17"/>
      <c r="C5798" s="133"/>
      <c r="D5798" s="133"/>
      <c r="E5798" s="17"/>
      <c r="F5798" s="133"/>
      <c r="G5798" s="133"/>
      <c r="H5798" s="133"/>
      <c r="I5798" s="133"/>
      <c r="J5798" s="133"/>
      <c r="K5798" s="133"/>
      <c r="L5798" s="133"/>
      <c r="M5798" s="133"/>
      <c r="N5798" s="133"/>
      <c r="O5798" s="133"/>
      <c r="P5798" s="134"/>
      <c r="Q5798" s="146"/>
      <c r="R5798" s="17"/>
      <c r="S5798" s="17"/>
      <c r="T5798" s="75"/>
      <c r="U5798" s="75"/>
      <c r="V5798" s="75"/>
      <c r="W5798" s="75"/>
      <c r="X5798" s="75"/>
    </row>
    <row r="5799">
      <c r="A5799" s="17"/>
      <c r="B5799" s="17"/>
      <c r="C5799" s="133"/>
      <c r="D5799" s="133"/>
      <c r="E5799" s="17"/>
      <c r="F5799" s="133"/>
      <c r="G5799" s="133"/>
      <c r="H5799" s="133"/>
      <c r="I5799" s="133"/>
      <c r="J5799" s="133"/>
      <c r="K5799" s="133"/>
      <c r="L5799" s="133"/>
      <c r="M5799" s="133"/>
      <c r="N5799" s="133"/>
      <c r="O5799" s="133"/>
      <c r="P5799" s="134"/>
      <c r="Q5799" s="146"/>
      <c r="R5799" s="17"/>
      <c r="S5799" s="17"/>
      <c r="T5799" s="75"/>
      <c r="U5799" s="75"/>
      <c r="V5799" s="75"/>
      <c r="W5799" s="75"/>
      <c r="X5799" s="75"/>
    </row>
    <row r="5800">
      <c r="A5800" s="17"/>
      <c r="B5800" s="17"/>
      <c r="C5800" s="133"/>
      <c r="D5800" s="133"/>
      <c r="E5800" s="17"/>
      <c r="F5800" s="133"/>
      <c r="G5800" s="133"/>
      <c r="H5800" s="133"/>
      <c r="I5800" s="133"/>
      <c r="J5800" s="133"/>
      <c r="K5800" s="133"/>
      <c r="L5800" s="133"/>
      <c r="M5800" s="133"/>
      <c r="N5800" s="133"/>
      <c r="O5800" s="133"/>
      <c r="P5800" s="134"/>
      <c r="Q5800" s="146"/>
      <c r="R5800" s="17"/>
      <c r="S5800" s="17"/>
      <c r="T5800" s="75"/>
      <c r="U5800" s="75"/>
      <c r="V5800" s="75"/>
      <c r="W5800" s="75"/>
      <c r="X5800" s="75"/>
    </row>
    <row r="5801">
      <c r="A5801" s="17"/>
      <c r="B5801" s="17"/>
      <c r="C5801" s="133"/>
      <c r="D5801" s="133"/>
      <c r="E5801" s="17"/>
      <c r="F5801" s="133"/>
      <c r="G5801" s="133"/>
      <c r="H5801" s="133"/>
      <c r="I5801" s="133"/>
      <c r="J5801" s="133"/>
      <c r="K5801" s="133"/>
      <c r="L5801" s="133"/>
      <c r="M5801" s="133"/>
      <c r="N5801" s="133"/>
      <c r="O5801" s="133"/>
      <c r="P5801" s="134"/>
      <c r="Q5801" s="146"/>
      <c r="R5801" s="17"/>
      <c r="S5801" s="17"/>
      <c r="T5801" s="75"/>
      <c r="U5801" s="75"/>
      <c r="V5801" s="75"/>
      <c r="W5801" s="75"/>
      <c r="X5801" s="75"/>
    </row>
    <row r="5802">
      <c r="A5802" s="17"/>
      <c r="B5802" s="17"/>
      <c r="C5802" s="133"/>
      <c r="D5802" s="133"/>
      <c r="E5802" s="17"/>
      <c r="F5802" s="133"/>
      <c r="G5802" s="133"/>
      <c r="H5802" s="133"/>
      <c r="I5802" s="133"/>
      <c r="J5802" s="133"/>
      <c r="K5802" s="133"/>
      <c r="L5802" s="133"/>
      <c r="M5802" s="133"/>
      <c r="N5802" s="133"/>
      <c r="O5802" s="133"/>
      <c r="P5802" s="134"/>
      <c r="Q5802" s="146"/>
      <c r="R5802" s="17"/>
      <c r="S5802" s="17"/>
      <c r="T5802" s="75"/>
      <c r="U5802" s="75"/>
      <c r="V5802" s="75"/>
      <c r="W5802" s="75"/>
      <c r="X5802" s="75"/>
    </row>
    <row r="5803">
      <c r="A5803" s="17"/>
      <c r="B5803" s="17"/>
      <c r="C5803" s="133"/>
      <c r="D5803" s="133"/>
      <c r="E5803" s="17"/>
      <c r="F5803" s="133"/>
      <c r="G5803" s="133"/>
      <c r="H5803" s="133"/>
      <c r="I5803" s="133"/>
      <c r="J5803" s="133"/>
      <c r="K5803" s="133"/>
      <c r="L5803" s="133"/>
      <c r="M5803" s="133"/>
      <c r="N5803" s="133"/>
      <c r="O5803" s="133"/>
      <c r="P5803" s="134"/>
      <c r="Q5803" s="146"/>
      <c r="R5803" s="17"/>
      <c r="S5803" s="17"/>
      <c r="T5803" s="75"/>
      <c r="U5803" s="75"/>
      <c r="V5803" s="75"/>
      <c r="W5803" s="75"/>
      <c r="X5803" s="75"/>
    </row>
    <row r="5804">
      <c r="A5804" s="17"/>
      <c r="B5804" s="17"/>
      <c r="C5804" s="133"/>
      <c r="D5804" s="133"/>
      <c r="E5804" s="17"/>
      <c r="F5804" s="133"/>
      <c r="G5804" s="133"/>
      <c r="H5804" s="133"/>
      <c r="I5804" s="133"/>
      <c r="J5804" s="133"/>
      <c r="K5804" s="133"/>
      <c r="L5804" s="133"/>
      <c r="M5804" s="133"/>
      <c r="N5804" s="133"/>
      <c r="O5804" s="133"/>
      <c r="P5804" s="134"/>
      <c r="Q5804" s="146"/>
      <c r="R5804" s="17"/>
      <c r="S5804" s="17"/>
      <c r="T5804" s="75"/>
      <c r="U5804" s="75"/>
      <c r="V5804" s="75"/>
      <c r="W5804" s="75"/>
      <c r="X5804" s="75"/>
    </row>
    <row r="5805">
      <c r="A5805" s="17"/>
      <c r="B5805" s="17"/>
      <c r="C5805" s="133"/>
      <c r="D5805" s="133"/>
      <c r="E5805" s="17"/>
      <c r="F5805" s="133"/>
      <c r="G5805" s="133"/>
      <c r="H5805" s="133"/>
      <c r="I5805" s="133"/>
      <c r="J5805" s="133"/>
      <c r="K5805" s="133"/>
      <c r="L5805" s="133"/>
      <c r="M5805" s="133"/>
      <c r="N5805" s="133"/>
      <c r="O5805" s="133"/>
      <c r="P5805" s="134"/>
      <c r="Q5805" s="146"/>
      <c r="R5805" s="17"/>
      <c r="S5805" s="17"/>
      <c r="T5805" s="75"/>
      <c r="U5805" s="75"/>
      <c r="V5805" s="75"/>
      <c r="W5805" s="75"/>
      <c r="X5805" s="75"/>
    </row>
    <row r="5806">
      <c r="A5806" s="17"/>
      <c r="B5806" s="17"/>
      <c r="C5806" s="133"/>
      <c r="D5806" s="133"/>
      <c r="E5806" s="17"/>
      <c r="F5806" s="133"/>
      <c r="G5806" s="133"/>
      <c r="H5806" s="133"/>
      <c r="I5806" s="133"/>
      <c r="J5806" s="133"/>
      <c r="K5806" s="133"/>
      <c r="L5806" s="133"/>
      <c r="M5806" s="133"/>
      <c r="N5806" s="133"/>
      <c r="O5806" s="133"/>
      <c r="P5806" s="134"/>
      <c r="Q5806" s="146"/>
      <c r="R5806" s="17"/>
      <c r="S5806" s="17"/>
      <c r="T5806" s="75"/>
      <c r="U5806" s="75"/>
      <c r="V5806" s="75"/>
      <c r="W5806" s="75"/>
      <c r="X5806" s="75"/>
    </row>
    <row r="5807">
      <c r="A5807" s="17"/>
      <c r="B5807" s="17"/>
      <c r="C5807" s="133"/>
      <c r="D5807" s="133"/>
      <c r="E5807" s="17"/>
      <c r="F5807" s="133"/>
      <c r="G5807" s="133"/>
      <c r="H5807" s="133"/>
      <c r="I5807" s="133"/>
      <c r="J5807" s="133"/>
      <c r="K5807" s="133"/>
      <c r="L5807" s="133"/>
      <c r="M5807" s="133"/>
      <c r="N5807" s="133"/>
      <c r="O5807" s="133"/>
      <c r="P5807" s="134"/>
      <c r="Q5807" s="146"/>
      <c r="R5807" s="17"/>
      <c r="S5807" s="17"/>
      <c r="T5807" s="75"/>
      <c r="U5807" s="75"/>
      <c r="V5807" s="75"/>
      <c r="W5807" s="75"/>
      <c r="X5807" s="75"/>
    </row>
    <row r="5808">
      <c r="A5808" s="17"/>
      <c r="B5808" s="17"/>
      <c r="C5808" s="133"/>
      <c r="D5808" s="133"/>
      <c r="E5808" s="17"/>
      <c r="F5808" s="133"/>
      <c r="G5808" s="133"/>
      <c r="H5808" s="133"/>
      <c r="I5808" s="133"/>
      <c r="J5808" s="133"/>
      <c r="K5808" s="133"/>
      <c r="L5808" s="133"/>
      <c r="M5808" s="133"/>
      <c r="N5808" s="133"/>
      <c r="O5808" s="133"/>
      <c r="P5808" s="134"/>
      <c r="Q5808" s="146"/>
      <c r="R5808" s="17"/>
      <c r="S5808" s="17"/>
      <c r="T5808" s="75"/>
      <c r="U5808" s="75"/>
      <c r="V5808" s="75"/>
      <c r="W5808" s="75"/>
      <c r="X5808" s="75"/>
    </row>
    <row r="5809">
      <c r="A5809" s="17"/>
      <c r="B5809" s="17"/>
      <c r="C5809" s="133"/>
      <c r="D5809" s="133"/>
      <c r="E5809" s="17"/>
      <c r="F5809" s="133"/>
      <c r="G5809" s="133"/>
      <c r="H5809" s="133"/>
      <c r="I5809" s="133"/>
      <c r="J5809" s="133"/>
      <c r="K5809" s="133"/>
      <c r="L5809" s="133"/>
      <c r="M5809" s="133"/>
      <c r="N5809" s="133"/>
      <c r="O5809" s="133"/>
      <c r="P5809" s="134"/>
      <c r="Q5809" s="146"/>
      <c r="R5809" s="17"/>
      <c r="S5809" s="17"/>
      <c r="T5809" s="75"/>
      <c r="U5809" s="75"/>
      <c r="V5809" s="75"/>
      <c r="W5809" s="75"/>
      <c r="X5809" s="75"/>
    </row>
    <row r="5810">
      <c r="A5810" s="17"/>
      <c r="B5810" s="17"/>
      <c r="C5810" s="133"/>
      <c r="D5810" s="133"/>
      <c r="E5810" s="17"/>
      <c r="F5810" s="133"/>
      <c r="G5810" s="133"/>
      <c r="H5810" s="133"/>
      <c r="I5810" s="133"/>
      <c r="J5810" s="133"/>
      <c r="K5810" s="133"/>
      <c r="L5810" s="133"/>
      <c r="M5810" s="133"/>
      <c r="N5810" s="133"/>
      <c r="O5810" s="133"/>
      <c r="P5810" s="134"/>
      <c r="Q5810" s="146"/>
      <c r="R5810" s="17"/>
      <c r="S5810" s="17"/>
      <c r="T5810" s="75"/>
      <c r="U5810" s="75"/>
      <c r="V5810" s="75"/>
      <c r="W5810" s="75"/>
      <c r="X5810" s="75"/>
    </row>
    <row r="5811">
      <c r="A5811" s="17"/>
      <c r="B5811" s="17"/>
      <c r="C5811" s="133"/>
      <c r="D5811" s="133"/>
      <c r="E5811" s="17"/>
      <c r="F5811" s="133"/>
      <c r="G5811" s="133"/>
      <c r="H5811" s="133"/>
      <c r="I5811" s="133"/>
      <c r="J5811" s="133"/>
      <c r="K5811" s="133"/>
      <c r="L5811" s="133"/>
      <c r="M5811" s="133"/>
      <c r="N5811" s="133"/>
      <c r="O5811" s="133"/>
      <c r="P5811" s="134"/>
      <c r="Q5811" s="146"/>
      <c r="R5811" s="17"/>
      <c r="S5811" s="17"/>
      <c r="T5811" s="75"/>
      <c r="U5811" s="75"/>
      <c r="V5811" s="75"/>
      <c r="W5811" s="75"/>
      <c r="X5811" s="75"/>
    </row>
    <row r="5812">
      <c r="A5812" s="17"/>
      <c r="B5812" s="17"/>
      <c r="C5812" s="133"/>
      <c r="D5812" s="133"/>
      <c r="E5812" s="17"/>
      <c r="F5812" s="133"/>
      <c r="G5812" s="133"/>
      <c r="H5812" s="133"/>
      <c r="I5812" s="133"/>
      <c r="J5812" s="133"/>
      <c r="K5812" s="133"/>
      <c r="L5812" s="133"/>
      <c r="M5812" s="133"/>
      <c r="N5812" s="133"/>
      <c r="O5812" s="133"/>
      <c r="P5812" s="134"/>
      <c r="Q5812" s="146"/>
      <c r="R5812" s="17"/>
      <c r="S5812" s="17"/>
      <c r="T5812" s="75"/>
      <c r="U5812" s="75"/>
      <c r="V5812" s="75"/>
      <c r="W5812" s="75"/>
      <c r="X5812" s="75"/>
    </row>
    <row r="5813">
      <c r="A5813" s="17"/>
      <c r="B5813" s="17"/>
      <c r="C5813" s="133"/>
      <c r="D5813" s="133"/>
      <c r="E5813" s="17"/>
      <c r="F5813" s="133"/>
      <c r="G5813" s="133"/>
      <c r="H5813" s="133"/>
      <c r="I5813" s="133"/>
      <c r="J5813" s="133"/>
      <c r="K5813" s="133"/>
      <c r="L5813" s="133"/>
      <c r="M5813" s="133"/>
      <c r="N5813" s="133"/>
      <c r="O5813" s="133"/>
      <c r="P5813" s="134"/>
      <c r="Q5813" s="146"/>
      <c r="R5813" s="17"/>
      <c r="S5813" s="17"/>
      <c r="T5813" s="75"/>
      <c r="U5813" s="75"/>
      <c r="V5813" s="75"/>
      <c r="W5813" s="75"/>
      <c r="X5813" s="75"/>
    </row>
    <row r="5814">
      <c r="A5814" s="17"/>
      <c r="B5814" s="17"/>
      <c r="C5814" s="133"/>
      <c r="D5814" s="133"/>
      <c r="E5814" s="17"/>
      <c r="F5814" s="133"/>
      <c r="G5814" s="133"/>
      <c r="H5814" s="133"/>
      <c r="I5814" s="133"/>
      <c r="J5814" s="133"/>
      <c r="K5814" s="133"/>
      <c r="L5814" s="133"/>
      <c r="M5814" s="133"/>
      <c r="N5814" s="133"/>
      <c r="O5814" s="133"/>
      <c r="P5814" s="134"/>
      <c r="Q5814" s="146"/>
      <c r="R5814" s="17"/>
      <c r="S5814" s="17"/>
      <c r="T5814" s="75"/>
      <c r="U5814" s="75"/>
      <c r="V5814" s="75"/>
      <c r="W5814" s="75"/>
      <c r="X5814" s="75"/>
    </row>
    <row r="5815">
      <c r="A5815" s="17"/>
      <c r="B5815" s="17"/>
      <c r="C5815" s="133"/>
      <c r="D5815" s="133"/>
      <c r="E5815" s="17"/>
      <c r="F5815" s="133"/>
      <c r="G5815" s="133"/>
      <c r="H5815" s="133"/>
      <c r="I5815" s="133"/>
      <c r="J5815" s="133"/>
      <c r="K5815" s="133"/>
      <c r="L5815" s="133"/>
      <c r="M5815" s="133"/>
      <c r="N5815" s="133"/>
      <c r="O5815" s="133"/>
      <c r="P5815" s="134"/>
      <c r="Q5815" s="146"/>
      <c r="R5815" s="17"/>
      <c r="S5815" s="17"/>
      <c r="T5815" s="75"/>
      <c r="U5815" s="75"/>
      <c r="V5815" s="75"/>
      <c r="W5815" s="75"/>
      <c r="X5815" s="75"/>
    </row>
    <row r="5816">
      <c r="A5816" s="17"/>
      <c r="B5816" s="17"/>
      <c r="C5816" s="133"/>
      <c r="D5816" s="133"/>
      <c r="E5816" s="17"/>
      <c r="F5816" s="133"/>
      <c r="G5816" s="133"/>
      <c r="H5816" s="133"/>
      <c r="I5816" s="133"/>
      <c r="J5816" s="133"/>
      <c r="K5816" s="133"/>
      <c r="L5816" s="133"/>
      <c r="M5816" s="133"/>
      <c r="N5816" s="133"/>
      <c r="O5816" s="133"/>
      <c r="P5816" s="134"/>
      <c r="Q5816" s="146"/>
      <c r="R5816" s="17"/>
      <c r="S5816" s="17"/>
      <c r="T5816" s="75"/>
      <c r="U5816" s="75"/>
      <c r="V5816" s="75"/>
      <c r="W5816" s="75"/>
      <c r="X5816" s="75"/>
    </row>
    <row r="5817">
      <c r="A5817" s="17"/>
      <c r="B5817" s="17"/>
      <c r="C5817" s="133"/>
      <c r="D5817" s="133"/>
      <c r="E5817" s="17"/>
      <c r="F5817" s="133"/>
      <c r="G5817" s="133"/>
      <c r="H5817" s="133"/>
      <c r="I5817" s="133"/>
      <c r="J5817" s="133"/>
      <c r="K5817" s="133"/>
      <c r="L5817" s="133"/>
      <c r="M5817" s="133"/>
      <c r="N5817" s="133"/>
      <c r="O5817" s="133"/>
      <c r="P5817" s="134"/>
      <c r="Q5817" s="146"/>
      <c r="R5817" s="17"/>
      <c r="S5817" s="17"/>
      <c r="T5817" s="75"/>
      <c r="U5817" s="75"/>
      <c r="V5817" s="75"/>
      <c r="W5817" s="75"/>
      <c r="X5817" s="75"/>
    </row>
    <row r="5818">
      <c r="A5818" s="17"/>
      <c r="B5818" s="17"/>
      <c r="C5818" s="133"/>
      <c r="D5818" s="133"/>
      <c r="E5818" s="17"/>
      <c r="F5818" s="133"/>
      <c r="G5818" s="133"/>
      <c r="H5818" s="133"/>
      <c r="I5818" s="133"/>
      <c r="J5818" s="133"/>
      <c r="K5818" s="133"/>
      <c r="L5818" s="133"/>
      <c r="M5818" s="133"/>
      <c r="N5818" s="133"/>
      <c r="O5818" s="133"/>
      <c r="P5818" s="134"/>
      <c r="Q5818" s="146"/>
      <c r="R5818" s="17"/>
      <c r="S5818" s="17"/>
      <c r="T5818" s="75"/>
      <c r="U5818" s="75"/>
      <c r="V5818" s="75"/>
      <c r="W5818" s="75"/>
      <c r="X5818" s="75"/>
    </row>
    <row r="5819">
      <c r="A5819" s="17"/>
      <c r="B5819" s="17"/>
      <c r="C5819" s="133"/>
      <c r="D5819" s="133"/>
      <c r="E5819" s="17"/>
      <c r="F5819" s="133"/>
      <c r="G5819" s="133"/>
      <c r="H5819" s="133"/>
      <c r="I5819" s="133"/>
      <c r="J5819" s="133"/>
      <c r="K5819" s="133"/>
      <c r="L5819" s="133"/>
      <c r="M5819" s="133"/>
      <c r="N5819" s="133"/>
      <c r="O5819" s="133"/>
      <c r="P5819" s="134"/>
      <c r="Q5819" s="146"/>
      <c r="R5819" s="17"/>
      <c r="S5819" s="17"/>
      <c r="T5819" s="75"/>
      <c r="U5819" s="75"/>
      <c r="V5819" s="75"/>
      <c r="W5819" s="75"/>
      <c r="X5819" s="75"/>
    </row>
    <row r="5820">
      <c r="A5820" s="17"/>
      <c r="B5820" s="17"/>
      <c r="C5820" s="133"/>
      <c r="D5820" s="133"/>
      <c r="E5820" s="17"/>
      <c r="F5820" s="133"/>
      <c r="G5820" s="133"/>
      <c r="H5820" s="133"/>
      <c r="I5820" s="133"/>
      <c r="J5820" s="133"/>
      <c r="K5820" s="133"/>
      <c r="L5820" s="133"/>
      <c r="M5820" s="133"/>
      <c r="N5820" s="133"/>
      <c r="O5820" s="133"/>
      <c r="P5820" s="134"/>
      <c r="Q5820" s="146"/>
      <c r="R5820" s="17"/>
      <c r="S5820" s="17"/>
      <c r="T5820" s="75"/>
      <c r="U5820" s="75"/>
      <c r="V5820" s="75"/>
      <c r="W5820" s="75"/>
      <c r="X5820" s="75"/>
    </row>
    <row r="5821">
      <c r="A5821" s="17"/>
      <c r="B5821" s="17"/>
      <c r="C5821" s="133"/>
      <c r="D5821" s="133"/>
      <c r="E5821" s="17"/>
      <c r="F5821" s="133"/>
      <c r="G5821" s="133"/>
      <c r="H5821" s="133"/>
      <c r="I5821" s="133"/>
      <c r="J5821" s="133"/>
      <c r="K5821" s="133"/>
      <c r="L5821" s="133"/>
      <c r="M5821" s="133"/>
      <c r="N5821" s="133"/>
      <c r="O5821" s="133"/>
      <c r="P5821" s="134"/>
      <c r="Q5821" s="146"/>
      <c r="R5821" s="17"/>
      <c r="S5821" s="17"/>
      <c r="T5821" s="75"/>
      <c r="U5821" s="75"/>
      <c r="V5821" s="75"/>
      <c r="W5821" s="75"/>
      <c r="X5821" s="75"/>
    </row>
    <row r="5822">
      <c r="A5822" s="17"/>
      <c r="B5822" s="17"/>
      <c r="C5822" s="133"/>
      <c r="D5822" s="133"/>
      <c r="E5822" s="17"/>
      <c r="F5822" s="133"/>
      <c r="G5822" s="133"/>
      <c r="H5822" s="133"/>
      <c r="I5822" s="133"/>
      <c r="J5822" s="133"/>
      <c r="K5822" s="133"/>
      <c r="L5822" s="133"/>
      <c r="M5822" s="133"/>
      <c r="N5822" s="133"/>
      <c r="O5822" s="133"/>
      <c r="P5822" s="134"/>
      <c r="Q5822" s="146"/>
      <c r="R5822" s="17"/>
      <c r="S5822" s="17"/>
      <c r="T5822" s="75"/>
      <c r="U5822" s="75"/>
      <c r="V5822" s="75"/>
      <c r="W5822" s="75"/>
      <c r="X5822" s="75"/>
    </row>
    <row r="5823">
      <c r="A5823" s="17"/>
      <c r="B5823" s="17"/>
      <c r="C5823" s="133"/>
      <c r="D5823" s="133"/>
      <c r="E5823" s="17"/>
      <c r="F5823" s="133"/>
      <c r="G5823" s="133"/>
      <c r="H5823" s="133"/>
      <c r="I5823" s="133"/>
      <c r="J5823" s="133"/>
      <c r="K5823" s="133"/>
      <c r="L5823" s="133"/>
      <c r="M5823" s="133"/>
      <c r="N5823" s="133"/>
      <c r="O5823" s="133"/>
      <c r="P5823" s="134"/>
      <c r="Q5823" s="146"/>
      <c r="R5823" s="17"/>
      <c r="S5823" s="17"/>
      <c r="T5823" s="75"/>
      <c r="U5823" s="75"/>
      <c r="V5823" s="75"/>
      <c r="W5823" s="75"/>
      <c r="X5823" s="75"/>
    </row>
    <row r="5824">
      <c r="A5824" s="17"/>
      <c r="B5824" s="17"/>
      <c r="C5824" s="133"/>
      <c r="D5824" s="133"/>
      <c r="E5824" s="17"/>
      <c r="F5824" s="133"/>
      <c r="G5824" s="133"/>
      <c r="H5824" s="133"/>
      <c r="I5824" s="133"/>
      <c r="J5824" s="133"/>
      <c r="K5824" s="133"/>
      <c r="L5824" s="133"/>
      <c r="M5824" s="133"/>
      <c r="N5824" s="133"/>
      <c r="O5824" s="133"/>
      <c r="P5824" s="134"/>
      <c r="Q5824" s="146"/>
      <c r="R5824" s="17"/>
      <c r="S5824" s="17"/>
      <c r="T5824" s="75"/>
      <c r="U5824" s="75"/>
      <c r="V5824" s="75"/>
      <c r="W5824" s="75"/>
      <c r="X5824" s="75"/>
    </row>
    <row r="5825">
      <c r="A5825" s="17"/>
      <c r="B5825" s="17"/>
      <c r="C5825" s="133"/>
      <c r="D5825" s="133"/>
      <c r="E5825" s="17"/>
      <c r="F5825" s="133"/>
      <c r="G5825" s="133"/>
      <c r="H5825" s="133"/>
      <c r="I5825" s="133"/>
      <c r="J5825" s="133"/>
      <c r="K5825" s="133"/>
      <c r="L5825" s="133"/>
      <c r="M5825" s="133"/>
      <c r="N5825" s="133"/>
      <c r="O5825" s="133"/>
      <c r="P5825" s="134"/>
      <c r="Q5825" s="146"/>
      <c r="R5825" s="17"/>
      <c r="S5825" s="17"/>
      <c r="T5825" s="75"/>
      <c r="U5825" s="75"/>
      <c r="V5825" s="75"/>
      <c r="W5825" s="75"/>
      <c r="X5825" s="75"/>
    </row>
    <row r="5826">
      <c r="A5826" s="17"/>
      <c r="B5826" s="17"/>
      <c r="C5826" s="133"/>
      <c r="D5826" s="133"/>
      <c r="E5826" s="17"/>
      <c r="F5826" s="133"/>
      <c r="G5826" s="133"/>
      <c r="H5826" s="133"/>
      <c r="I5826" s="133"/>
      <c r="J5826" s="133"/>
      <c r="K5826" s="133"/>
      <c r="L5826" s="133"/>
      <c r="M5826" s="133"/>
      <c r="N5826" s="133"/>
      <c r="O5826" s="133"/>
      <c r="P5826" s="134"/>
      <c r="Q5826" s="146"/>
      <c r="R5826" s="17"/>
      <c r="S5826" s="17"/>
      <c r="T5826" s="75"/>
      <c r="U5826" s="75"/>
      <c r="V5826" s="75"/>
      <c r="W5826" s="75"/>
      <c r="X5826" s="75"/>
    </row>
    <row r="5827">
      <c r="A5827" s="17"/>
      <c r="B5827" s="17"/>
      <c r="C5827" s="133"/>
      <c r="D5827" s="133"/>
      <c r="E5827" s="17"/>
      <c r="F5827" s="133"/>
      <c r="G5827" s="133"/>
      <c r="H5827" s="133"/>
      <c r="I5827" s="133"/>
      <c r="J5827" s="133"/>
      <c r="K5827" s="133"/>
      <c r="L5827" s="133"/>
      <c r="M5827" s="133"/>
      <c r="N5827" s="133"/>
      <c r="O5827" s="133"/>
      <c r="P5827" s="134"/>
      <c r="Q5827" s="146"/>
      <c r="R5827" s="17"/>
      <c r="S5827" s="17"/>
      <c r="T5827" s="75"/>
      <c r="U5827" s="75"/>
      <c r="V5827" s="75"/>
      <c r="W5827" s="75"/>
      <c r="X5827" s="75"/>
    </row>
    <row r="5828">
      <c r="A5828" s="17"/>
      <c r="B5828" s="17"/>
      <c r="C5828" s="133"/>
      <c r="D5828" s="133"/>
      <c r="E5828" s="17"/>
      <c r="F5828" s="133"/>
      <c r="G5828" s="133"/>
      <c r="H5828" s="133"/>
      <c r="I5828" s="133"/>
      <c r="J5828" s="133"/>
      <c r="K5828" s="133"/>
      <c r="L5828" s="133"/>
      <c r="M5828" s="133"/>
      <c r="N5828" s="133"/>
      <c r="O5828" s="133"/>
      <c r="P5828" s="134"/>
      <c r="Q5828" s="146"/>
      <c r="R5828" s="17"/>
      <c r="S5828" s="17"/>
      <c r="T5828" s="75"/>
      <c r="U5828" s="75"/>
      <c r="V5828" s="75"/>
      <c r="W5828" s="75"/>
      <c r="X5828" s="75"/>
    </row>
    <row r="5829">
      <c r="A5829" s="17"/>
      <c r="B5829" s="17"/>
      <c r="C5829" s="133"/>
      <c r="D5829" s="133"/>
      <c r="E5829" s="17"/>
      <c r="F5829" s="133"/>
      <c r="G5829" s="133"/>
      <c r="H5829" s="133"/>
      <c r="I5829" s="133"/>
      <c r="J5829" s="133"/>
      <c r="K5829" s="133"/>
      <c r="L5829" s="133"/>
      <c r="M5829" s="133"/>
      <c r="N5829" s="133"/>
      <c r="O5829" s="133"/>
      <c r="P5829" s="134"/>
      <c r="Q5829" s="146"/>
      <c r="R5829" s="17"/>
      <c r="S5829" s="17"/>
      <c r="T5829" s="75"/>
      <c r="U5829" s="75"/>
      <c r="V5829" s="75"/>
      <c r="W5829" s="75"/>
      <c r="X5829" s="75"/>
    </row>
    <row r="5830">
      <c r="A5830" s="17"/>
      <c r="B5830" s="17"/>
      <c r="C5830" s="133"/>
      <c r="D5830" s="133"/>
      <c r="E5830" s="17"/>
      <c r="F5830" s="133"/>
      <c r="G5830" s="133"/>
      <c r="H5830" s="133"/>
      <c r="I5830" s="133"/>
      <c r="J5830" s="133"/>
      <c r="K5830" s="133"/>
      <c r="L5830" s="133"/>
      <c r="M5830" s="133"/>
      <c r="N5830" s="133"/>
      <c r="O5830" s="133"/>
      <c r="P5830" s="134"/>
      <c r="Q5830" s="146"/>
      <c r="R5830" s="17"/>
      <c r="S5830" s="17"/>
      <c r="T5830" s="75"/>
      <c r="U5830" s="75"/>
      <c r="V5830" s="75"/>
      <c r="W5830" s="75"/>
      <c r="X5830" s="75"/>
    </row>
    <row r="5831">
      <c r="A5831" s="17"/>
      <c r="B5831" s="17"/>
      <c r="C5831" s="133"/>
      <c r="D5831" s="133"/>
      <c r="E5831" s="17"/>
      <c r="F5831" s="133"/>
      <c r="G5831" s="133"/>
      <c r="H5831" s="133"/>
      <c r="I5831" s="133"/>
      <c r="J5831" s="133"/>
      <c r="K5831" s="133"/>
      <c r="L5831" s="133"/>
      <c r="M5831" s="133"/>
      <c r="N5831" s="133"/>
      <c r="O5831" s="133"/>
      <c r="P5831" s="134"/>
      <c r="Q5831" s="146"/>
      <c r="R5831" s="17"/>
      <c r="S5831" s="17"/>
      <c r="T5831" s="75"/>
      <c r="U5831" s="75"/>
      <c r="V5831" s="75"/>
      <c r="W5831" s="75"/>
      <c r="X5831" s="75"/>
    </row>
    <row r="5832">
      <c r="A5832" s="17"/>
      <c r="B5832" s="17"/>
      <c r="C5832" s="133"/>
      <c r="D5832" s="133"/>
      <c r="E5832" s="17"/>
      <c r="F5832" s="133"/>
      <c r="G5832" s="133"/>
      <c r="H5832" s="133"/>
      <c r="I5832" s="133"/>
      <c r="J5832" s="133"/>
      <c r="K5832" s="133"/>
      <c r="L5832" s="133"/>
      <c r="M5832" s="133"/>
      <c r="N5832" s="133"/>
      <c r="O5832" s="133"/>
      <c r="P5832" s="134"/>
      <c r="Q5832" s="146"/>
      <c r="R5832" s="17"/>
      <c r="S5832" s="17"/>
      <c r="T5832" s="75"/>
      <c r="U5832" s="75"/>
      <c r="V5832" s="75"/>
      <c r="W5832" s="75"/>
      <c r="X5832" s="75"/>
    </row>
    <row r="5833">
      <c r="A5833" s="17"/>
      <c r="B5833" s="17"/>
      <c r="C5833" s="133"/>
      <c r="D5833" s="133"/>
      <c r="E5833" s="17"/>
      <c r="F5833" s="133"/>
      <c r="G5833" s="133"/>
      <c r="H5833" s="133"/>
      <c r="I5833" s="133"/>
      <c r="J5833" s="133"/>
      <c r="K5833" s="133"/>
      <c r="L5833" s="133"/>
      <c r="M5833" s="133"/>
      <c r="N5833" s="133"/>
      <c r="O5833" s="133"/>
      <c r="P5833" s="134"/>
      <c r="Q5833" s="146"/>
      <c r="R5833" s="17"/>
      <c r="S5833" s="17"/>
      <c r="T5833" s="75"/>
      <c r="U5833" s="75"/>
      <c r="V5833" s="75"/>
      <c r="W5833" s="75"/>
      <c r="X5833" s="75"/>
    </row>
    <row r="5834">
      <c r="A5834" s="17"/>
      <c r="B5834" s="17"/>
      <c r="C5834" s="133"/>
      <c r="D5834" s="133"/>
      <c r="E5834" s="17"/>
      <c r="F5834" s="133"/>
      <c r="G5834" s="133"/>
      <c r="H5834" s="133"/>
      <c r="I5834" s="133"/>
      <c r="J5834" s="133"/>
      <c r="K5834" s="133"/>
      <c r="L5834" s="133"/>
      <c r="M5834" s="133"/>
      <c r="N5834" s="133"/>
      <c r="O5834" s="133"/>
      <c r="P5834" s="134"/>
      <c r="Q5834" s="146"/>
      <c r="R5834" s="17"/>
      <c r="S5834" s="17"/>
      <c r="T5834" s="75"/>
      <c r="U5834" s="75"/>
      <c r="V5834" s="75"/>
      <c r="W5834" s="75"/>
      <c r="X5834" s="75"/>
    </row>
    <row r="5835">
      <c r="A5835" s="17"/>
      <c r="B5835" s="17"/>
      <c r="C5835" s="133"/>
      <c r="D5835" s="133"/>
      <c r="E5835" s="17"/>
      <c r="F5835" s="133"/>
      <c r="G5835" s="133"/>
      <c r="H5835" s="133"/>
      <c r="I5835" s="133"/>
      <c r="J5835" s="133"/>
      <c r="K5835" s="133"/>
      <c r="L5835" s="133"/>
      <c r="M5835" s="133"/>
      <c r="N5835" s="133"/>
      <c r="O5835" s="133"/>
      <c r="P5835" s="134"/>
      <c r="Q5835" s="146"/>
      <c r="R5835" s="17"/>
      <c r="S5835" s="17"/>
      <c r="T5835" s="75"/>
      <c r="U5835" s="75"/>
      <c r="V5835" s="75"/>
      <c r="W5835" s="75"/>
      <c r="X5835" s="75"/>
    </row>
    <row r="5836">
      <c r="A5836" s="17"/>
      <c r="B5836" s="17"/>
      <c r="C5836" s="133"/>
      <c r="D5836" s="133"/>
      <c r="E5836" s="17"/>
      <c r="F5836" s="133"/>
      <c r="G5836" s="133"/>
      <c r="H5836" s="133"/>
      <c r="I5836" s="133"/>
      <c r="J5836" s="133"/>
      <c r="K5836" s="133"/>
      <c r="L5836" s="133"/>
      <c r="M5836" s="133"/>
      <c r="N5836" s="133"/>
      <c r="O5836" s="133"/>
      <c r="P5836" s="134"/>
      <c r="Q5836" s="146"/>
      <c r="R5836" s="17"/>
      <c r="S5836" s="17"/>
      <c r="T5836" s="75"/>
      <c r="U5836" s="75"/>
      <c r="V5836" s="75"/>
      <c r="W5836" s="75"/>
      <c r="X5836" s="75"/>
    </row>
    <row r="5837">
      <c r="A5837" s="17"/>
      <c r="B5837" s="17"/>
      <c r="C5837" s="133"/>
      <c r="D5837" s="133"/>
      <c r="E5837" s="17"/>
      <c r="F5837" s="133"/>
      <c r="G5837" s="133"/>
      <c r="H5837" s="133"/>
      <c r="I5837" s="133"/>
      <c r="J5837" s="133"/>
      <c r="K5837" s="133"/>
      <c r="L5837" s="133"/>
      <c r="M5837" s="133"/>
      <c r="N5837" s="133"/>
      <c r="O5837" s="133"/>
      <c r="P5837" s="134"/>
      <c r="Q5837" s="146"/>
      <c r="R5837" s="17"/>
      <c r="S5837" s="17"/>
      <c r="T5837" s="75"/>
      <c r="U5837" s="75"/>
      <c r="V5837" s="75"/>
      <c r="W5837" s="75"/>
      <c r="X5837" s="75"/>
    </row>
    <row r="5838">
      <c r="A5838" s="17"/>
      <c r="B5838" s="17"/>
      <c r="C5838" s="133"/>
      <c r="D5838" s="133"/>
      <c r="E5838" s="17"/>
      <c r="F5838" s="133"/>
      <c r="G5838" s="133"/>
      <c r="H5838" s="133"/>
      <c r="I5838" s="133"/>
      <c r="J5838" s="133"/>
      <c r="K5838" s="133"/>
      <c r="L5838" s="133"/>
      <c r="M5838" s="133"/>
      <c r="N5838" s="133"/>
      <c r="O5838" s="133"/>
      <c r="P5838" s="134"/>
      <c r="Q5838" s="146"/>
      <c r="R5838" s="17"/>
      <c r="S5838" s="17"/>
      <c r="T5838" s="75"/>
      <c r="U5838" s="75"/>
      <c r="V5838" s="75"/>
      <c r="W5838" s="75"/>
      <c r="X5838" s="75"/>
    </row>
    <row r="5839">
      <c r="A5839" s="17"/>
      <c r="B5839" s="17"/>
      <c r="C5839" s="133"/>
      <c r="D5839" s="133"/>
      <c r="E5839" s="17"/>
      <c r="F5839" s="133"/>
      <c r="G5839" s="133"/>
      <c r="H5839" s="133"/>
      <c r="I5839" s="133"/>
      <c r="J5839" s="133"/>
      <c r="K5839" s="133"/>
      <c r="L5839" s="133"/>
      <c r="M5839" s="133"/>
      <c r="N5839" s="133"/>
      <c r="O5839" s="133"/>
      <c r="P5839" s="134"/>
      <c r="Q5839" s="146"/>
      <c r="R5839" s="17"/>
      <c r="S5839" s="17"/>
      <c r="T5839" s="75"/>
      <c r="U5839" s="75"/>
      <c r="V5839" s="75"/>
      <c r="W5839" s="75"/>
      <c r="X5839" s="75"/>
    </row>
    <row r="5840">
      <c r="A5840" s="17"/>
      <c r="B5840" s="17"/>
      <c r="C5840" s="133"/>
      <c r="D5840" s="133"/>
      <c r="E5840" s="17"/>
      <c r="F5840" s="133"/>
      <c r="G5840" s="133"/>
      <c r="H5840" s="133"/>
      <c r="I5840" s="133"/>
      <c r="J5840" s="133"/>
      <c r="K5840" s="133"/>
      <c r="L5840" s="133"/>
      <c r="M5840" s="133"/>
      <c r="N5840" s="133"/>
      <c r="O5840" s="133"/>
      <c r="P5840" s="134"/>
      <c r="Q5840" s="146"/>
      <c r="R5840" s="17"/>
      <c r="S5840" s="17"/>
      <c r="T5840" s="75"/>
      <c r="U5840" s="75"/>
      <c r="V5840" s="75"/>
      <c r="W5840" s="75"/>
      <c r="X5840" s="75"/>
    </row>
    <row r="5841">
      <c r="A5841" s="17"/>
      <c r="B5841" s="17"/>
      <c r="C5841" s="133"/>
      <c r="D5841" s="133"/>
      <c r="E5841" s="17"/>
      <c r="F5841" s="133"/>
      <c r="G5841" s="133"/>
      <c r="H5841" s="133"/>
      <c r="I5841" s="133"/>
      <c r="J5841" s="133"/>
      <c r="K5841" s="133"/>
      <c r="L5841" s="133"/>
      <c r="M5841" s="133"/>
      <c r="N5841" s="133"/>
      <c r="O5841" s="133"/>
      <c r="P5841" s="134"/>
      <c r="Q5841" s="146"/>
      <c r="R5841" s="17"/>
      <c r="S5841" s="17"/>
      <c r="T5841" s="75"/>
      <c r="U5841" s="75"/>
      <c r="V5841" s="75"/>
      <c r="W5841" s="75"/>
      <c r="X5841" s="75"/>
    </row>
    <row r="5842">
      <c r="A5842" s="17"/>
      <c r="B5842" s="17"/>
      <c r="C5842" s="133"/>
      <c r="D5842" s="133"/>
      <c r="E5842" s="17"/>
      <c r="F5842" s="133"/>
      <c r="G5842" s="133"/>
      <c r="H5842" s="133"/>
      <c r="I5842" s="133"/>
      <c r="J5842" s="133"/>
      <c r="K5842" s="133"/>
      <c r="L5842" s="133"/>
      <c r="M5842" s="133"/>
      <c r="N5842" s="133"/>
      <c r="O5842" s="133"/>
      <c r="P5842" s="134"/>
      <c r="Q5842" s="146"/>
      <c r="R5842" s="17"/>
      <c r="S5842" s="17"/>
      <c r="T5842" s="75"/>
      <c r="U5842" s="75"/>
      <c r="V5842" s="75"/>
      <c r="W5842" s="75"/>
      <c r="X5842" s="75"/>
    </row>
    <row r="5843">
      <c r="A5843" s="17"/>
      <c r="B5843" s="17"/>
      <c r="C5843" s="133"/>
      <c r="D5843" s="133"/>
      <c r="E5843" s="17"/>
      <c r="F5843" s="133"/>
      <c r="G5843" s="133"/>
      <c r="H5843" s="133"/>
      <c r="I5843" s="133"/>
      <c r="J5843" s="133"/>
      <c r="K5843" s="133"/>
      <c r="L5843" s="133"/>
      <c r="M5843" s="133"/>
      <c r="N5843" s="133"/>
      <c r="O5843" s="133"/>
      <c r="P5843" s="134"/>
      <c r="Q5843" s="146"/>
      <c r="R5843" s="17"/>
      <c r="S5843" s="17"/>
      <c r="T5843" s="75"/>
      <c r="U5843" s="75"/>
      <c r="V5843" s="75"/>
      <c r="W5843" s="75"/>
      <c r="X5843" s="75"/>
    </row>
    <row r="5844">
      <c r="A5844" s="17"/>
      <c r="B5844" s="17"/>
      <c r="C5844" s="133"/>
      <c r="D5844" s="133"/>
      <c r="E5844" s="17"/>
      <c r="F5844" s="133"/>
      <c r="G5844" s="133"/>
      <c r="H5844" s="133"/>
      <c r="I5844" s="133"/>
      <c r="J5844" s="133"/>
      <c r="K5844" s="133"/>
      <c r="L5844" s="133"/>
      <c r="M5844" s="133"/>
      <c r="N5844" s="133"/>
      <c r="O5844" s="133"/>
      <c r="P5844" s="134"/>
      <c r="Q5844" s="146"/>
      <c r="R5844" s="17"/>
      <c r="S5844" s="17"/>
      <c r="T5844" s="75"/>
      <c r="U5844" s="75"/>
      <c r="V5844" s="75"/>
      <c r="W5844" s="75"/>
      <c r="X5844" s="75"/>
    </row>
    <row r="5845">
      <c r="A5845" s="17"/>
      <c r="B5845" s="17"/>
      <c r="C5845" s="133"/>
      <c r="D5845" s="133"/>
      <c r="E5845" s="17"/>
      <c r="F5845" s="133"/>
      <c r="G5845" s="133"/>
      <c r="H5845" s="133"/>
      <c r="I5845" s="133"/>
      <c r="J5845" s="133"/>
      <c r="K5845" s="133"/>
      <c r="L5845" s="133"/>
      <c r="M5845" s="133"/>
      <c r="N5845" s="133"/>
      <c r="O5845" s="133"/>
      <c r="P5845" s="134"/>
      <c r="Q5845" s="146"/>
      <c r="R5845" s="17"/>
      <c r="S5845" s="17"/>
      <c r="T5845" s="75"/>
      <c r="U5845" s="75"/>
      <c r="V5845" s="75"/>
      <c r="W5845" s="75"/>
      <c r="X5845" s="75"/>
    </row>
    <row r="5846">
      <c r="A5846" s="17"/>
      <c r="B5846" s="17"/>
      <c r="C5846" s="133"/>
      <c r="D5846" s="133"/>
      <c r="E5846" s="17"/>
      <c r="F5846" s="133"/>
      <c r="G5846" s="133"/>
      <c r="H5846" s="133"/>
      <c r="I5846" s="133"/>
      <c r="J5846" s="133"/>
      <c r="K5846" s="133"/>
      <c r="L5846" s="133"/>
      <c r="M5846" s="133"/>
      <c r="N5846" s="133"/>
      <c r="O5846" s="133"/>
      <c r="P5846" s="134"/>
      <c r="Q5846" s="146"/>
      <c r="R5846" s="17"/>
      <c r="S5846" s="17"/>
      <c r="T5846" s="75"/>
      <c r="U5846" s="75"/>
      <c r="V5846" s="75"/>
      <c r="W5846" s="75"/>
      <c r="X5846" s="75"/>
    </row>
    <row r="5847">
      <c r="A5847" s="17"/>
      <c r="B5847" s="17"/>
      <c r="C5847" s="133"/>
      <c r="D5847" s="133"/>
      <c r="E5847" s="17"/>
      <c r="F5847" s="133"/>
      <c r="G5847" s="133"/>
      <c r="H5847" s="133"/>
      <c r="I5847" s="133"/>
      <c r="J5847" s="133"/>
      <c r="K5847" s="133"/>
      <c r="L5847" s="133"/>
      <c r="M5847" s="133"/>
      <c r="N5847" s="133"/>
      <c r="O5847" s="133"/>
      <c r="P5847" s="134"/>
      <c r="Q5847" s="146"/>
      <c r="R5847" s="17"/>
      <c r="S5847" s="17"/>
      <c r="T5847" s="75"/>
      <c r="U5847" s="75"/>
      <c r="V5847" s="75"/>
      <c r="W5847" s="75"/>
      <c r="X5847" s="75"/>
    </row>
    <row r="5848">
      <c r="A5848" s="17"/>
      <c r="B5848" s="17"/>
      <c r="C5848" s="133"/>
      <c r="D5848" s="133"/>
      <c r="E5848" s="17"/>
      <c r="F5848" s="133"/>
      <c r="G5848" s="133"/>
      <c r="H5848" s="133"/>
      <c r="I5848" s="133"/>
      <c r="J5848" s="133"/>
      <c r="K5848" s="133"/>
      <c r="L5848" s="133"/>
      <c r="M5848" s="133"/>
      <c r="N5848" s="133"/>
      <c r="O5848" s="133"/>
      <c r="P5848" s="134"/>
      <c r="Q5848" s="146"/>
      <c r="R5848" s="17"/>
      <c r="S5848" s="17"/>
      <c r="T5848" s="75"/>
      <c r="U5848" s="75"/>
      <c r="V5848" s="75"/>
      <c r="W5848" s="75"/>
      <c r="X5848" s="75"/>
    </row>
    <row r="5849">
      <c r="A5849" s="17"/>
      <c r="B5849" s="17"/>
      <c r="C5849" s="133"/>
      <c r="D5849" s="133"/>
      <c r="E5849" s="17"/>
      <c r="F5849" s="133"/>
      <c r="G5849" s="133"/>
      <c r="H5849" s="133"/>
      <c r="I5849" s="133"/>
      <c r="J5849" s="133"/>
      <c r="K5849" s="133"/>
      <c r="L5849" s="133"/>
      <c r="M5849" s="133"/>
      <c r="N5849" s="133"/>
      <c r="O5849" s="133"/>
      <c r="P5849" s="134"/>
      <c r="Q5849" s="146"/>
      <c r="R5849" s="17"/>
      <c r="S5849" s="17"/>
      <c r="T5849" s="75"/>
      <c r="U5849" s="75"/>
      <c r="V5849" s="75"/>
      <c r="W5849" s="75"/>
      <c r="X5849" s="75"/>
    </row>
    <row r="5850">
      <c r="A5850" s="17"/>
      <c r="B5850" s="17"/>
      <c r="C5850" s="133"/>
      <c r="D5850" s="133"/>
      <c r="E5850" s="17"/>
      <c r="F5850" s="133"/>
      <c r="G5850" s="133"/>
      <c r="H5850" s="133"/>
      <c r="I5850" s="133"/>
      <c r="J5850" s="133"/>
      <c r="K5850" s="133"/>
      <c r="L5850" s="133"/>
      <c r="M5850" s="133"/>
      <c r="N5850" s="133"/>
      <c r="O5850" s="133"/>
      <c r="P5850" s="134"/>
      <c r="Q5850" s="146"/>
      <c r="R5850" s="17"/>
      <c r="S5850" s="17"/>
      <c r="T5850" s="75"/>
      <c r="U5850" s="75"/>
      <c r="V5850" s="75"/>
      <c r="W5850" s="75"/>
      <c r="X5850" s="75"/>
    </row>
    <row r="5851">
      <c r="A5851" s="17"/>
      <c r="B5851" s="17"/>
      <c r="C5851" s="133"/>
      <c r="D5851" s="133"/>
      <c r="E5851" s="17"/>
      <c r="F5851" s="133"/>
      <c r="G5851" s="133"/>
      <c r="H5851" s="133"/>
      <c r="I5851" s="133"/>
      <c r="J5851" s="133"/>
      <c r="K5851" s="133"/>
      <c r="L5851" s="133"/>
      <c r="M5851" s="133"/>
      <c r="N5851" s="133"/>
      <c r="O5851" s="133"/>
      <c r="P5851" s="134"/>
      <c r="Q5851" s="146"/>
      <c r="R5851" s="17"/>
      <c r="S5851" s="17"/>
      <c r="T5851" s="75"/>
      <c r="U5851" s="75"/>
      <c r="V5851" s="75"/>
      <c r="W5851" s="75"/>
      <c r="X5851" s="75"/>
    </row>
    <row r="5852">
      <c r="A5852" s="17"/>
      <c r="B5852" s="17"/>
      <c r="C5852" s="133"/>
      <c r="D5852" s="133"/>
      <c r="E5852" s="17"/>
      <c r="F5852" s="133"/>
      <c r="G5852" s="133"/>
      <c r="H5852" s="133"/>
      <c r="I5852" s="133"/>
      <c r="J5852" s="133"/>
      <c r="K5852" s="133"/>
      <c r="L5852" s="133"/>
      <c r="M5852" s="133"/>
      <c r="N5852" s="133"/>
      <c r="O5852" s="133"/>
      <c r="P5852" s="134"/>
      <c r="Q5852" s="146"/>
      <c r="R5852" s="17"/>
      <c r="S5852" s="17"/>
      <c r="T5852" s="75"/>
      <c r="U5852" s="75"/>
      <c r="V5852" s="75"/>
      <c r="W5852" s="75"/>
      <c r="X5852" s="75"/>
    </row>
    <row r="5853">
      <c r="A5853" s="17"/>
      <c r="B5853" s="17"/>
      <c r="C5853" s="133"/>
      <c r="D5853" s="133"/>
      <c r="E5853" s="17"/>
      <c r="F5853" s="133"/>
      <c r="G5853" s="133"/>
      <c r="H5853" s="133"/>
      <c r="I5853" s="133"/>
      <c r="J5853" s="133"/>
      <c r="K5853" s="133"/>
      <c r="L5853" s="133"/>
      <c r="M5853" s="133"/>
      <c r="N5853" s="133"/>
      <c r="O5853" s="133"/>
      <c r="P5853" s="134"/>
      <c r="Q5853" s="146"/>
      <c r="R5853" s="17"/>
      <c r="S5853" s="17"/>
      <c r="T5853" s="75"/>
      <c r="U5853" s="75"/>
      <c r="V5853" s="75"/>
      <c r="W5853" s="75"/>
      <c r="X5853" s="75"/>
    </row>
    <row r="5854">
      <c r="A5854" s="17"/>
      <c r="B5854" s="17"/>
      <c r="C5854" s="133"/>
      <c r="D5854" s="133"/>
      <c r="E5854" s="17"/>
      <c r="F5854" s="133"/>
      <c r="G5854" s="133"/>
      <c r="H5854" s="133"/>
      <c r="I5854" s="133"/>
      <c r="J5854" s="133"/>
      <c r="K5854" s="133"/>
      <c r="L5854" s="133"/>
      <c r="M5854" s="133"/>
      <c r="N5854" s="133"/>
      <c r="O5854" s="133"/>
      <c r="P5854" s="134"/>
      <c r="Q5854" s="146"/>
      <c r="R5854" s="17"/>
      <c r="S5854" s="17"/>
      <c r="T5854" s="75"/>
      <c r="U5854" s="75"/>
      <c r="V5854" s="75"/>
      <c r="W5854" s="75"/>
      <c r="X5854" s="75"/>
    </row>
    <row r="5855">
      <c r="A5855" s="17"/>
      <c r="B5855" s="17"/>
      <c r="C5855" s="133"/>
      <c r="D5855" s="133"/>
      <c r="E5855" s="17"/>
      <c r="F5855" s="133"/>
      <c r="G5855" s="133"/>
      <c r="H5855" s="133"/>
      <c r="I5855" s="133"/>
      <c r="J5855" s="133"/>
      <c r="K5855" s="133"/>
      <c r="L5855" s="133"/>
      <c r="M5855" s="133"/>
      <c r="N5855" s="133"/>
      <c r="O5855" s="133"/>
      <c r="P5855" s="134"/>
      <c r="Q5855" s="146"/>
      <c r="R5855" s="17"/>
      <c r="S5855" s="17"/>
      <c r="T5855" s="75"/>
      <c r="U5855" s="75"/>
      <c r="V5855" s="75"/>
      <c r="W5855" s="75"/>
      <c r="X5855" s="75"/>
    </row>
    <row r="5856">
      <c r="A5856" s="17"/>
      <c r="B5856" s="17"/>
      <c r="C5856" s="133"/>
      <c r="D5856" s="133"/>
      <c r="E5856" s="17"/>
      <c r="F5856" s="133"/>
      <c r="G5856" s="133"/>
      <c r="H5856" s="133"/>
      <c r="I5856" s="133"/>
      <c r="J5856" s="133"/>
      <c r="K5856" s="133"/>
      <c r="L5856" s="133"/>
      <c r="M5856" s="133"/>
      <c r="N5856" s="133"/>
      <c r="O5856" s="133"/>
      <c r="P5856" s="134"/>
      <c r="Q5856" s="146"/>
      <c r="R5856" s="17"/>
      <c r="S5856" s="17"/>
      <c r="T5856" s="75"/>
      <c r="U5856" s="75"/>
      <c r="V5856" s="75"/>
      <c r="W5856" s="75"/>
      <c r="X5856" s="75"/>
    </row>
    <row r="5857">
      <c r="A5857" s="17"/>
      <c r="B5857" s="17"/>
      <c r="C5857" s="133"/>
      <c r="D5857" s="133"/>
      <c r="E5857" s="17"/>
      <c r="F5857" s="133"/>
      <c r="G5857" s="133"/>
      <c r="H5857" s="133"/>
      <c r="I5857" s="133"/>
      <c r="J5857" s="133"/>
      <c r="K5857" s="133"/>
      <c r="L5857" s="133"/>
      <c r="M5857" s="133"/>
      <c r="N5857" s="133"/>
      <c r="O5857" s="133"/>
      <c r="P5857" s="134"/>
      <c r="Q5857" s="146"/>
      <c r="R5857" s="17"/>
      <c r="S5857" s="17"/>
      <c r="T5857" s="75"/>
      <c r="U5857" s="75"/>
      <c r="V5857" s="75"/>
      <c r="W5857" s="75"/>
      <c r="X5857" s="75"/>
    </row>
    <row r="5858">
      <c r="A5858" s="17"/>
      <c r="B5858" s="17"/>
      <c r="C5858" s="133"/>
      <c r="D5858" s="133"/>
      <c r="E5858" s="17"/>
      <c r="F5858" s="133"/>
      <c r="G5858" s="133"/>
      <c r="H5858" s="133"/>
      <c r="I5858" s="133"/>
      <c r="J5858" s="133"/>
      <c r="K5858" s="133"/>
      <c r="L5858" s="133"/>
      <c r="M5858" s="133"/>
      <c r="N5858" s="133"/>
      <c r="O5858" s="133"/>
      <c r="P5858" s="134"/>
      <c r="Q5858" s="146"/>
      <c r="R5858" s="17"/>
      <c r="S5858" s="17"/>
      <c r="T5858" s="75"/>
      <c r="U5858" s="75"/>
      <c r="V5858" s="75"/>
      <c r="W5858" s="75"/>
      <c r="X5858" s="75"/>
    </row>
    <row r="5859">
      <c r="A5859" s="17"/>
      <c r="B5859" s="17"/>
      <c r="C5859" s="133"/>
      <c r="D5859" s="133"/>
      <c r="E5859" s="17"/>
      <c r="F5859" s="133"/>
      <c r="G5859" s="133"/>
      <c r="H5859" s="133"/>
      <c r="I5859" s="133"/>
      <c r="J5859" s="133"/>
      <c r="K5859" s="133"/>
      <c r="L5859" s="133"/>
      <c r="M5859" s="133"/>
      <c r="N5859" s="133"/>
      <c r="O5859" s="133"/>
      <c r="P5859" s="134"/>
      <c r="Q5859" s="146"/>
      <c r="R5859" s="17"/>
      <c r="S5859" s="17"/>
      <c r="T5859" s="75"/>
      <c r="U5859" s="75"/>
      <c r="V5859" s="75"/>
      <c r="W5859" s="75"/>
      <c r="X5859" s="75"/>
    </row>
    <row r="5860">
      <c r="A5860" s="17"/>
      <c r="B5860" s="17"/>
      <c r="C5860" s="133"/>
      <c r="D5860" s="133"/>
      <c r="E5860" s="17"/>
      <c r="F5860" s="133"/>
      <c r="G5860" s="133"/>
      <c r="H5860" s="133"/>
      <c r="I5860" s="133"/>
      <c r="J5860" s="133"/>
      <c r="K5860" s="133"/>
      <c r="L5860" s="133"/>
      <c r="M5860" s="133"/>
      <c r="N5860" s="133"/>
      <c r="O5860" s="133"/>
      <c r="P5860" s="134"/>
      <c r="Q5860" s="146"/>
      <c r="R5860" s="17"/>
      <c r="S5860" s="17"/>
      <c r="T5860" s="75"/>
      <c r="U5860" s="75"/>
      <c r="V5860" s="75"/>
      <c r="W5860" s="75"/>
      <c r="X5860" s="75"/>
    </row>
    <row r="5861">
      <c r="A5861" s="17"/>
      <c r="B5861" s="17"/>
      <c r="C5861" s="133"/>
      <c r="D5861" s="133"/>
      <c r="E5861" s="17"/>
      <c r="F5861" s="133"/>
      <c r="G5861" s="133"/>
      <c r="H5861" s="133"/>
      <c r="I5861" s="133"/>
      <c r="J5861" s="133"/>
      <c r="K5861" s="133"/>
      <c r="L5861" s="133"/>
      <c r="M5861" s="133"/>
      <c r="N5861" s="133"/>
      <c r="O5861" s="133"/>
      <c r="P5861" s="134"/>
      <c r="Q5861" s="146"/>
      <c r="R5861" s="17"/>
      <c r="S5861" s="17"/>
      <c r="T5861" s="75"/>
      <c r="U5861" s="75"/>
      <c r="V5861" s="75"/>
      <c r="W5861" s="75"/>
      <c r="X5861" s="75"/>
    </row>
    <row r="5862">
      <c r="A5862" s="17"/>
      <c r="B5862" s="17"/>
      <c r="C5862" s="133"/>
      <c r="D5862" s="133"/>
      <c r="E5862" s="17"/>
      <c r="F5862" s="133"/>
      <c r="G5862" s="133"/>
      <c r="H5862" s="133"/>
      <c r="I5862" s="133"/>
      <c r="J5862" s="133"/>
      <c r="K5862" s="133"/>
      <c r="L5862" s="133"/>
      <c r="M5862" s="133"/>
      <c r="N5862" s="133"/>
      <c r="O5862" s="133"/>
      <c r="P5862" s="134"/>
      <c r="Q5862" s="146"/>
      <c r="R5862" s="17"/>
      <c r="S5862" s="17"/>
      <c r="T5862" s="75"/>
      <c r="U5862" s="75"/>
      <c r="V5862" s="75"/>
      <c r="W5862" s="75"/>
      <c r="X5862" s="75"/>
    </row>
    <row r="5863">
      <c r="A5863" s="17"/>
      <c r="B5863" s="17"/>
      <c r="C5863" s="133"/>
      <c r="D5863" s="133"/>
      <c r="E5863" s="17"/>
      <c r="F5863" s="133"/>
      <c r="G5863" s="133"/>
      <c r="H5863" s="133"/>
      <c r="I5863" s="133"/>
      <c r="J5863" s="133"/>
      <c r="K5863" s="133"/>
      <c r="L5863" s="133"/>
      <c r="M5863" s="133"/>
      <c r="N5863" s="133"/>
      <c r="O5863" s="133"/>
      <c r="P5863" s="134"/>
      <c r="Q5863" s="146"/>
      <c r="R5863" s="17"/>
      <c r="S5863" s="17"/>
      <c r="T5863" s="75"/>
      <c r="U5863" s="75"/>
      <c r="V5863" s="75"/>
      <c r="W5863" s="75"/>
      <c r="X5863" s="75"/>
    </row>
    <row r="5864">
      <c r="A5864" s="17"/>
      <c r="B5864" s="17"/>
      <c r="C5864" s="133"/>
      <c r="D5864" s="133"/>
      <c r="E5864" s="17"/>
      <c r="F5864" s="133"/>
      <c r="G5864" s="133"/>
      <c r="H5864" s="133"/>
      <c r="I5864" s="133"/>
      <c r="J5864" s="133"/>
      <c r="K5864" s="133"/>
      <c r="L5864" s="133"/>
      <c r="M5864" s="133"/>
      <c r="N5864" s="133"/>
      <c r="O5864" s="133"/>
      <c r="P5864" s="134"/>
      <c r="Q5864" s="146"/>
      <c r="R5864" s="17"/>
      <c r="S5864" s="17"/>
      <c r="T5864" s="75"/>
      <c r="U5864" s="75"/>
      <c r="V5864" s="75"/>
      <c r="W5864" s="75"/>
      <c r="X5864" s="75"/>
    </row>
    <row r="5865">
      <c r="A5865" s="17"/>
      <c r="B5865" s="17"/>
      <c r="C5865" s="133"/>
      <c r="D5865" s="133"/>
      <c r="E5865" s="17"/>
      <c r="F5865" s="133"/>
      <c r="G5865" s="133"/>
      <c r="H5865" s="133"/>
      <c r="I5865" s="133"/>
      <c r="J5865" s="133"/>
      <c r="K5865" s="133"/>
      <c r="L5865" s="133"/>
      <c r="M5865" s="133"/>
      <c r="N5865" s="133"/>
      <c r="O5865" s="133"/>
      <c r="P5865" s="134"/>
      <c r="Q5865" s="146"/>
      <c r="R5865" s="17"/>
      <c r="S5865" s="17"/>
      <c r="T5865" s="75"/>
      <c r="U5865" s="75"/>
      <c r="V5865" s="75"/>
      <c r="W5865" s="75"/>
      <c r="X5865" s="75"/>
    </row>
    <row r="5866">
      <c r="A5866" s="17"/>
      <c r="B5866" s="17"/>
      <c r="C5866" s="133"/>
      <c r="D5866" s="133"/>
      <c r="E5866" s="17"/>
      <c r="F5866" s="133"/>
      <c r="G5866" s="133"/>
      <c r="H5866" s="133"/>
      <c r="I5866" s="133"/>
      <c r="J5866" s="133"/>
      <c r="K5866" s="133"/>
      <c r="L5866" s="133"/>
      <c r="M5866" s="133"/>
      <c r="N5866" s="133"/>
      <c r="O5866" s="133"/>
      <c r="P5866" s="134"/>
      <c r="Q5866" s="146"/>
      <c r="R5866" s="17"/>
      <c r="S5866" s="17"/>
      <c r="T5866" s="75"/>
      <c r="U5866" s="75"/>
      <c r="V5866" s="75"/>
      <c r="W5866" s="75"/>
      <c r="X5866" s="75"/>
    </row>
    <row r="5867">
      <c r="A5867" s="17"/>
      <c r="B5867" s="17"/>
      <c r="C5867" s="133"/>
      <c r="D5867" s="133"/>
      <c r="E5867" s="17"/>
      <c r="F5867" s="133"/>
      <c r="G5867" s="133"/>
      <c r="H5867" s="133"/>
      <c r="I5867" s="133"/>
      <c r="J5867" s="133"/>
      <c r="K5867" s="133"/>
      <c r="L5867" s="133"/>
      <c r="M5867" s="133"/>
      <c r="N5867" s="133"/>
      <c r="O5867" s="133"/>
      <c r="P5867" s="134"/>
      <c r="Q5867" s="146"/>
      <c r="R5867" s="17"/>
      <c r="S5867" s="17"/>
      <c r="T5867" s="75"/>
      <c r="U5867" s="75"/>
      <c r="V5867" s="75"/>
      <c r="W5867" s="75"/>
      <c r="X5867" s="75"/>
    </row>
    <row r="5868">
      <c r="A5868" s="17"/>
      <c r="B5868" s="17"/>
      <c r="C5868" s="133"/>
      <c r="D5868" s="133"/>
      <c r="E5868" s="17"/>
      <c r="F5868" s="133"/>
      <c r="G5868" s="133"/>
      <c r="H5868" s="133"/>
      <c r="I5868" s="133"/>
      <c r="J5868" s="133"/>
      <c r="K5868" s="133"/>
      <c r="L5868" s="133"/>
      <c r="M5868" s="133"/>
      <c r="N5868" s="133"/>
      <c r="O5868" s="133"/>
      <c r="P5868" s="134"/>
      <c r="Q5868" s="146"/>
      <c r="R5868" s="17"/>
      <c r="S5868" s="17"/>
      <c r="T5868" s="75"/>
      <c r="U5868" s="75"/>
      <c r="V5868" s="75"/>
      <c r="W5868" s="75"/>
      <c r="X5868" s="75"/>
    </row>
    <row r="5869">
      <c r="A5869" s="17"/>
      <c r="B5869" s="17"/>
      <c r="C5869" s="133"/>
      <c r="D5869" s="133"/>
      <c r="E5869" s="17"/>
      <c r="F5869" s="133"/>
      <c r="G5869" s="133"/>
      <c r="H5869" s="133"/>
      <c r="I5869" s="133"/>
      <c r="J5869" s="133"/>
      <c r="K5869" s="133"/>
      <c r="L5869" s="133"/>
      <c r="M5869" s="133"/>
      <c r="N5869" s="133"/>
      <c r="O5869" s="133"/>
      <c r="P5869" s="134"/>
      <c r="Q5869" s="146"/>
      <c r="R5869" s="17"/>
      <c r="S5869" s="17"/>
      <c r="T5869" s="75"/>
      <c r="U5869" s="75"/>
      <c r="V5869" s="75"/>
      <c r="W5869" s="75"/>
      <c r="X5869" s="75"/>
    </row>
    <row r="5870">
      <c r="A5870" s="17"/>
      <c r="B5870" s="17"/>
      <c r="C5870" s="133"/>
      <c r="D5870" s="133"/>
      <c r="E5870" s="17"/>
      <c r="F5870" s="133"/>
      <c r="G5870" s="133"/>
      <c r="H5870" s="133"/>
      <c r="I5870" s="133"/>
      <c r="J5870" s="133"/>
      <c r="K5870" s="133"/>
      <c r="L5870" s="133"/>
      <c r="M5870" s="133"/>
      <c r="N5870" s="133"/>
      <c r="O5870" s="133"/>
      <c r="P5870" s="134"/>
      <c r="Q5870" s="146"/>
      <c r="R5870" s="17"/>
      <c r="S5870" s="17"/>
      <c r="T5870" s="75"/>
      <c r="U5870" s="75"/>
      <c r="V5870" s="75"/>
      <c r="W5870" s="75"/>
      <c r="X5870" s="75"/>
    </row>
    <row r="5871">
      <c r="A5871" s="17"/>
      <c r="B5871" s="17"/>
      <c r="C5871" s="133"/>
      <c r="D5871" s="133"/>
      <c r="E5871" s="17"/>
      <c r="F5871" s="133"/>
      <c r="G5871" s="133"/>
      <c r="H5871" s="133"/>
      <c r="I5871" s="133"/>
      <c r="J5871" s="133"/>
      <c r="K5871" s="133"/>
      <c r="L5871" s="133"/>
      <c r="M5871" s="133"/>
      <c r="N5871" s="133"/>
      <c r="O5871" s="133"/>
      <c r="P5871" s="134"/>
      <c r="Q5871" s="146"/>
      <c r="R5871" s="17"/>
      <c r="S5871" s="17"/>
      <c r="T5871" s="75"/>
      <c r="U5871" s="75"/>
      <c r="V5871" s="75"/>
      <c r="W5871" s="75"/>
      <c r="X5871" s="75"/>
    </row>
    <row r="5872">
      <c r="A5872" s="17"/>
      <c r="B5872" s="17"/>
      <c r="C5872" s="133"/>
      <c r="D5872" s="133"/>
      <c r="E5872" s="17"/>
      <c r="F5872" s="133"/>
      <c r="G5872" s="133"/>
      <c r="H5872" s="133"/>
      <c r="I5872" s="133"/>
      <c r="J5872" s="133"/>
      <c r="K5872" s="133"/>
      <c r="L5872" s="133"/>
      <c r="M5872" s="133"/>
      <c r="N5872" s="133"/>
      <c r="O5872" s="133"/>
      <c r="P5872" s="134"/>
      <c r="Q5872" s="146"/>
      <c r="R5872" s="17"/>
      <c r="S5872" s="17"/>
      <c r="T5872" s="75"/>
      <c r="U5872" s="75"/>
      <c r="V5872" s="75"/>
      <c r="W5872" s="75"/>
      <c r="X5872" s="75"/>
    </row>
    <row r="5873">
      <c r="A5873" s="17"/>
      <c r="B5873" s="17"/>
      <c r="C5873" s="133"/>
      <c r="D5873" s="133"/>
      <c r="E5873" s="17"/>
      <c r="F5873" s="133"/>
      <c r="G5873" s="133"/>
      <c r="H5873" s="133"/>
      <c r="I5873" s="133"/>
      <c r="J5873" s="133"/>
      <c r="K5873" s="133"/>
      <c r="L5873" s="133"/>
      <c r="M5873" s="133"/>
      <c r="N5873" s="133"/>
      <c r="O5873" s="133"/>
      <c r="P5873" s="134"/>
      <c r="Q5873" s="146"/>
      <c r="R5873" s="17"/>
      <c r="S5873" s="17"/>
      <c r="T5873" s="75"/>
      <c r="U5873" s="75"/>
      <c r="V5873" s="75"/>
      <c r="W5873" s="75"/>
      <c r="X5873" s="75"/>
    </row>
    <row r="5874">
      <c r="A5874" s="17"/>
      <c r="B5874" s="17"/>
      <c r="C5874" s="133"/>
      <c r="D5874" s="133"/>
      <c r="E5874" s="17"/>
      <c r="F5874" s="133"/>
      <c r="G5874" s="133"/>
      <c r="H5874" s="133"/>
      <c r="I5874" s="133"/>
      <c r="J5874" s="133"/>
      <c r="K5874" s="133"/>
      <c r="L5874" s="133"/>
      <c r="M5874" s="133"/>
      <c r="N5874" s="133"/>
      <c r="O5874" s="133"/>
      <c r="P5874" s="134"/>
      <c r="Q5874" s="146"/>
      <c r="R5874" s="17"/>
      <c r="S5874" s="17"/>
      <c r="T5874" s="75"/>
      <c r="U5874" s="75"/>
      <c r="V5874" s="75"/>
      <c r="W5874" s="75"/>
      <c r="X5874" s="75"/>
    </row>
  </sheetData>
  <mergeCells count="10">
    <mergeCell ref="C32:D32"/>
    <mergeCell ref="C34:D34"/>
    <mergeCell ref="C39:D39"/>
    <mergeCell ref="C5:D5"/>
    <mergeCell ref="C6:D6"/>
    <mergeCell ref="C8:D8"/>
    <mergeCell ref="R15:W15"/>
    <mergeCell ref="C16:D16"/>
    <mergeCell ref="R17:W17"/>
    <mergeCell ref="C31:D31"/>
  </mergeCells>
  <conditionalFormatting sqref="I1:I5874 T1:T14 J4 T16 T19:T5874">
    <cfRule type="colorScale" priority="1">
      <colorScale>
        <cfvo type="min"/>
        <cfvo type="max"/>
        <color rgb="FFFFFFFF"/>
        <color rgb="FFFFD666"/>
      </colorScale>
    </cfRule>
  </conditionalFormatting>
  <conditionalFormatting sqref="N1:P5874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C6:D6">
    <cfRule type="cellIs" dxfId="7" priority="3" operator="equal">
      <formula>"LEBRON"</formula>
    </cfRule>
  </conditionalFormatting>
  <conditionalFormatting sqref="C6:D6">
    <cfRule type="cellIs" dxfId="8" priority="4" operator="equal">
      <formula>"O-LEBRON"</formula>
    </cfRule>
  </conditionalFormatting>
  <conditionalFormatting sqref="C6:D6">
    <cfRule type="cellIs" dxfId="9" priority="5" operator="equal">
      <formula>"D-LEBRON"</formula>
    </cfRule>
  </conditionalFormatting>
  <conditionalFormatting sqref="X5:X12">
    <cfRule type="colorScale" priority="6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Q1:Q5874">
    <cfRule type="colorScale" priority="7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M1:M5874">
    <cfRule type="colorScale" priority="8">
      <colorScale>
        <cfvo type="min"/>
        <cfvo type="max"/>
        <color rgb="FFFFFFFF"/>
        <color rgb="FFFFD666"/>
      </colorScale>
    </cfRule>
  </conditionalFormatting>
  <conditionalFormatting sqref="U5:W12">
    <cfRule type="colorScale" priority="9">
      <colorScale>
        <cfvo type="min"/>
        <cfvo type="formula" val="0"/>
        <cfvo type="max"/>
        <color rgb="FFE67C73"/>
        <color rgb="FFFFFFFF"/>
        <color rgb="FF57BB8A"/>
      </colorScale>
    </cfRule>
  </conditionalFormatting>
  <dataValidations>
    <dataValidation type="list" allowBlank="1" showErrorMessage="1" sqref="C6">
      <formula1>"LEBRON,O-LEBRON,D-LEBRON,Wins Added"</formula1>
    </dataValidation>
    <dataValidation type="list" allowBlank="1" showErrorMessage="1" sqref="C37:D37">
      <formula1>Dropdowns!$A$2:$A5874</formula1>
    </dataValidation>
  </dataValidations>
  <hyperlinks>
    <hyperlink r:id="rId1" ref="R17"/>
  </hyperlin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hidden="1" min="1" max="1" width="15.43"/>
    <col customWidth="1" min="2" max="2" width="30.71"/>
    <col customWidth="1" min="3" max="3" width="10.43"/>
    <col customWidth="1" min="4" max="4" width="7.43"/>
    <col customWidth="1" min="5" max="5" width="27.29"/>
    <col customWidth="1" min="6" max="6" width="10.57"/>
    <col customWidth="1" min="7" max="7" width="9.43"/>
    <col customWidth="1" min="8" max="8" width="10.71"/>
    <col customWidth="1" min="9" max="9" width="8.86"/>
    <col customWidth="1" min="10" max="10" width="14.43"/>
    <col customWidth="1" min="11" max="11" width="14.29"/>
    <col customWidth="1" min="12" max="13" width="15.29"/>
    <col customWidth="1" hidden="1" min="14" max="15" width="18.29"/>
    <col customWidth="1" hidden="1" min="16" max="16" width="21.29"/>
    <col customWidth="1" hidden="1" min="17" max="17" width="21.14"/>
    <col customWidth="1" hidden="1" min="18" max="18" width="18.14"/>
    <col customWidth="1" hidden="1" min="19" max="19" width="8.57"/>
    <col customWidth="1" hidden="1" min="20" max="20" width="11.43"/>
    <col customWidth="1" hidden="1" min="21" max="21" width="15.71"/>
    <col customWidth="1" hidden="1" min="22" max="22" width="11.29"/>
    <col customWidth="1" hidden="1" min="23" max="23" width="11.57"/>
    <col customWidth="1" hidden="1" min="24" max="24" width="13.29"/>
    <col customWidth="1" hidden="1" min="25" max="25" width="25.29"/>
    <col customWidth="1" hidden="1" min="26" max="26" width="20.86"/>
    <col customWidth="1" hidden="1" min="27" max="27" width="23.86"/>
    <col customWidth="1" hidden="1" min="28" max="28" width="23.71"/>
    <col customWidth="1" hidden="1" min="29" max="29" width="16.86"/>
  </cols>
  <sheetData>
    <row r="1">
      <c r="A1" s="156" t="str">
        <f>IFERROR(__xludf.DUMMYFUNCTION("importrange(""https://docs.google.com/spreadsheets/d/1nnjiBlOsowZlJoSxNjTcTCXeYS3XREQ4p43bhdd9G9Q/edit#gid=0"",""Data!A1:L6000"")"),"bref_id")</f>
        <v>bref_id</v>
      </c>
      <c r="B1" s="156" t="str">
        <f>IFERROR(__xludf.DUMMYFUNCTION("""COMPUTED_VALUE"""),"Player")</f>
        <v>Player</v>
      </c>
      <c r="C1" s="157" t="str">
        <f>IFERROR(__xludf.DUMMYFUNCTION("""COMPUTED_VALUE"""),"Season")</f>
        <v>Season</v>
      </c>
      <c r="D1" s="158" t="str">
        <f>IFERROR(__xludf.DUMMYFUNCTION("""COMPUTED_VALUE"""),"Team")</f>
        <v>Team</v>
      </c>
      <c r="E1" s="159" t="str">
        <f>IFERROR(__xludf.DUMMYFUNCTION("""COMPUTED_VALUE"""),"Offensive Archetype")</f>
        <v>Offensive Archetype</v>
      </c>
      <c r="F1" s="159" t="str">
        <f>IFERROR(__xludf.DUMMYFUNCTION("""COMPUTED_VALUE"""),"Minutes")</f>
        <v>Minutes</v>
      </c>
      <c r="G1" s="158" t="str">
        <f>IFERROR(__xludf.DUMMYFUNCTION("""COMPUTED_VALUE"""),"Games")</f>
        <v>Games</v>
      </c>
      <c r="H1" s="158" t="str">
        <f>IFERROR(__xludf.DUMMYFUNCTION("""COMPUTED_VALUE"""),"Position")</f>
        <v>Position</v>
      </c>
      <c r="I1" s="158" t="str">
        <f>IFERROR(__xludf.DUMMYFUNCTION("""COMPUTED_VALUE"""),"Age")</f>
        <v>Age</v>
      </c>
      <c r="J1" s="160" t="str">
        <f>IFERROR(__xludf.DUMMYFUNCTION("""COMPUTED_VALUE"""),"LEBRON")</f>
        <v>LEBRON</v>
      </c>
      <c r="K1" s="160" t="str">
        <f>IFERROR(__xludf.DUMMYFUNCTION("""COMPUTED_VALUE"""),"O-LEBRON")</f>
        <v>O-LEBRON</v>
      </c>
      <c r="L1" s="160" t="str">
        <f>IFERROR(__xludf.DUMMYFUNCTION("""COMPUTED_VALUE"""),"D-LEBRON")</f>
        <v>D-LEBRON</v>
      </c>
      <c r="M1" s="160" t="s">
        <v>11</v>
      </c>
      <c r="N1" s="158" t="s">
        <v>3</v>
      </c>
      <c r="O1" s="158" t="s">
        <v>225</v>
      </c>
      <c r="P1" s="158" t="s">
        <v>226</v>
      </c>
      <c r="Q1" s="158" t="s">
        <v>227</v>
      </c>
      <c r="R1" s="156" t="s">
        <v>228</v>
      </c>
      <c r="S1" s="156" t="s">
        <v>229</v>
      </c>
      <c r="T1" s="156" t="s">
        <v>230</v>
      </c>
      <c r="U1" s="156" t="s">
        <v>231</v>
      </c>
      <c r="V1" s="156" t="s">
        <v>232</v>
      </c>
      <c r="W1" s="156" t="s">
        <v>233</v>
      </c>
      <c r="X1" s="156" t="s">
        <v>234</v>
      </c>
      <c r="Y1" s="156" t="s">
        <v>235</v>
      </c>
      <c r="Z1" s="156" t="s">
        <v>236</v>
      </c>
      <c r="AA1" s="156" t="s">
        <v>237</v>
      </c>
      <c r="AB1" s="156" t="s">
        <v>238</v>
      </c>
      <c r="AC1" s="156" t="s">
        <v>239</v>
      </c>
    </row>
    <row r="2">
      <c r="A2" s="161" t="str">
        <f>IFERROR(__xludf.DUMMYFUNCTION("""COMPUTED_VALUE"""),"garneke01")</f>
        <v>garneke01</v>
      </c>
      <c r="B2" s="161" t="str">
        <f>IFERROR(__xludf.DUMMYFUNCTION("""COMPUTED_VALUE"""),"Kevin Garnett")</f>
        <v>Kevin Garnett</v>
      </c>
      <c r="C2" s="162" t="str">
        <f>IFERROR(__xludf.DUMMYFUNCTION("""COMPUTED_VALUE"""),"2013-14")</f>
        <v>2013-14</v>
      </c>
      <c r="D2" s="163" t="str">
        <f>IFERROR(__xludf.DUMMYFUNCTION("""COMPUTED_VALUE"""),"BRK")</f>
        <v>BRK</v>
      </c>
      <c r="E2" s="164" t="str">
        <f>IFERROR(__xludf.DUMMYFUNCTION("""COMPUTED_VALUE"""),"Post Scorer")</f>
        <v>Post Scorer</v>
      </c>
      <c r="F2" s="164">
        <f>IFERROR(__xludf.DUMMYFUNCTION("""COMPUTED_VALUE"""),1108.55333333333)</f>
        <v>1108.553333</v>
      </c>
      <c r="G2" s="163">
        <f>IFERROR(__xludf.DUMMYFUNCTION("""COMPUTED_VALUE"""),54.0)</f>
        <v>54</v>
      </c>
      <c r="H2" s="163" t="str">
        <f>IFERROR(__xludf.DUMMYFUNCTION("""COMPUTED_VALUE"""),"C")</f>
        <v>C</v>
      </c>
      <c r="I2" s="163">
        <f>IFERROR(__xludf.DUMMYFUNCTION("""COMPUTED_VALUE"""),37.0)</f>
        <v>37</v>
      </c>
      <c r="J2" s="165">
        <f>IFERROR(__xludf.DUMMYFUNCTION("""COMPUTED_VALUE"""),0.360280437683622)</f>
        <v>0.3602804377</v>
      </c>
      <c r="K2" s="165">
        <f>IFERROR(__xludf.DUMMYFUNCTION("""COMPUTED_VALUE"""),-2.71202421382295)</f>
        <v>-2.712024214</v>
      </c>
      <c r="L2" s="165">
        <f>IFERROR(__xludf.DUMMYFUNCTION("""COMPUTED_VALUE"""),3.07230465150658)</f>
        <v>3.072304652</v>
      </c>
      <c r="M2" s="166">
        <f t="shared" ref="M2:M4008" si="2">((POWER(108+J2/2,13.98)/(POWER(108+J2/2,13.98)+POWER(108-J2/2,13.98)))-0.426)*F2/48</f>
        <v>1.978235904</v>
      </c>
      <c r="N2" s="167">
        <f t="shared" ref="N2:N4008" si="3">F2/G2</f>
        <v>20.52876543</v>
      </c>
      <c r="O2" s="163">
        <f t="shared" ref="O2:Q2" si="1">rank(I2,I:I)</f>
        <v>38</v>
      </c>
      <c r="P2" s="163">
        <f t="shared" si="1"/>
        <v>979</v>
      </c>
      <c r="Q2" s="163">
        <f t="shared" si="1"/>
        <v>3937</v>
      </c>
      <c r="R2" s="163">
        <f>IFERROR(__xludf.DUMMYFUNCTION("RANK(M2,filter(M:M,C:C=C2))"),156.0)</f>
        <v>156</v>
      </c>
      <c r="S2" s="161" t="b">
        <f t="shared" ref="S2:S4008" si="5">if(countif(T2:X2,TRUE)&lt;5,FALSE,TRUE)</f>
        <v>0</v>
      </c>
      <c r="T2" s="161" t="b">
        <f t="array" ref="T2">index('Query Tool'!B:B,match(H2,'Query Tool'!C:C,0))</f>
        <v>1</v>
      </c>
      <c r="U2" s="161" t="b">
        <f t="array" ref="U2">index('Query Tool'!B:B,match(C2,'Query Tool'!C:C,0))</f>
        <v>0</v>
      </c>
      <c r="V2" s="161" t="b">
        <f>F2&gt;='Query Tool'!C$32</f>
        <v>1</v>
      </c>
      <c r="W2" s="161" t="b">
        <f t="array" ref="W2">index(Dropdowns!B:B,match(I2,Dropdowns!A:A,0))</f>
        <v>1</v>
      </c>
      <c r="X2" s="161" t="b">
        <f t="array" ref="X2">index('Query Tool'!B:B,match(D2,'Query Tool'!C:C,0))</f>
        <v>1</v>
      </c>
      <c r="Y2" s="161" t="str">
        <f t="shared" ref="Y2:Y4008" si="6">A2&amp;","&amp;C2</f>
        <v>garneke01,2013-14</v>
      </c>
      <c r="Z2" s="168">
        <f t="array" ref="Z2">iferror(index(I:I,match($A2&amp;","&amp;index('Year Conversion'!$A:$A,match($C2,'Year Conversion'!$B:$B,0)),$Y:$Y,0))-I2,"")</f>
        <v>1</v>
      </c>
      <c r="AA2" s="168">
        <f t="array" ref="AA2">iferror(index(J:J,match($A2&amp;","&amp;index('Year Conversion'!$A:$A,match($C2,'Year Conversion'!$B:$B,0)),$Y:$Y,0))-J2,"")</f>
        <v>2.042414547</v>
      </c>
      <c r="AB2" s="168">
        <f t="array" ref="AB2">iferror(index(K:K,match($A2&amp;","&amp;index('Year Conversion'!$A:$A,match($C2,'Year Conversion'!$B:$B,0)),$Y:$Y,0))-K2,"")</f>
        <v>1.890715591</v>
      </c>
      <c r="AC2" s="168" t="str">
        <f t="shared" ref="AC2:AC4008" si="7">D2&amp;","&amp;C2</f>
        <v>BRK,2013-14</v>
      </c>
    </row>
    <row r="3">
      <c r="A3" s="161" t="str">
        <f>IFERROR(__xludf.DUMMYFUNCTION("""COMPUTED_VALUE"""),"allenra02")</f>
        <v>allenra02</v>
      </c>
      <c r="B3" s="161" t="str">
        <f>IFERROR(__xludf.DUMMYFUNCTION("""COMPUTED_VALUE"""),"Ray Allen")</f>
        <v>Ray Allen</v>
      </c>
      <c r="C3" s="162" t="str">
        <f>IFERROR(__xludf.DUMMYFUNCTION("""COMPUTED_VALUE"""),"2013-14")</f>
        <v>2013-14</v>
      </c>
      <c r="D3" s="163" t="str">
        <f>IFERROR(__xludf.DUMMYFUNCTION("""COMPUTED_VALUE"""),"MIA")</f>
        <v>MIA</v>
      </c>
      <c r="E3" s="164" t="str">
        <f>IFERROR(__xludf.DUMMYFUNCTION("""COMPUTED_VALUE"""),"Off Screen Shooter")</f>
        <v>Off Screen Shooter</v>
      </c>
      <c r="F3" s="164">
        <f>IFERROR(__xludf.DUMMYFUNCTION("""COMPUTED_VALUE"""),1935.765)</f>
        <v>1935.765</v>
      </c>
      <c r="G3" s="163">
        <f>IFERROR(__xludf.DUMMYFUNCTION("""COMPUTED_VALUE"""),73.0)</f>
        <v>73</v>
      </c>
      <c r="H3" s="163" t="str">
        <f>IFERROR(__xludf.DUMMYFUNCTION("""COMPUTED_VALUE"""),"SG")</f>
        <v>SG</v>
      </c>
      <c r="I3" s="163">
        <f>IFERROR(__xludf.DUMMYFUNCTION("""COMPUTED_VALUE"""),38.0)</f>
        <v>38</v>
      </c>
      <c r="J3" s="165">
        <f>IFERROR(__xludf.DUMMYFUNCTION("""COMPUTED_VALUE"""),-0.814197145811061)</f>
        <v>-0.8141971458</v>
      </c>
      <c r="K3" s="165">
        <f>IFERROR(__xludf.DUMMYFUNCTION("""COMPUTED_VALUE"""),1.03324364246566)</f>
        <v>1.033243642</v>
      </c>
      <c r="L3" s="165">
        <f>IFERROR(__xludf.DUMMYFUNCTION("""COMPUTED_VALUE"""),-1.84744078827672)</f>
        <v>-1.847440788</v>
      </c>
      <c r="M3" s="166">
        <f t="shared" si="2"/>
        <v>1.922695094</v>
      </c>
      <c r="N3" s="167">
        <f t="shared" si="3"/>
        <v>26.51732877</v>
      </c>
      <c r="O3" s="163">
        <f t="shared" ref="O3:Q3" si="4">rank(I3,I:I)</f>
        <v>20</v>
      </c>
      <c r="P3" s="163">
        <f t="shared" si="4"/>
        <v>2304</v>
      </c>
      <c r="Q3" s="163">
        <f t="shared" si="4"/>
        <v>490</v>
      </c>
      <c r="R3" s="163">
        <f>IFERROR(__xludf.DUMMYFUNCTION("RANK(M3,filter(M:M,C:C=C3))"),159.0)</f>
        <v>159</v>
      </c>
      <c r="S3" s="161" t="b">
        <f t="shared" si="5"/>
        <v>0</v>
      </c>
      <c r="T3" s="161" t="b">
        <f t="array" ref="T3">index('Query Tool'!B:B,match(H3,'Query Tool'!C:C,0))</f>
        <v>1</v>
      </c>
      <c r="U3" s="161" t="b">
        <f t="array" ref="U3">index('Query Tool'!B:B,match(C3,'Query Tool'!C:C,0))</f>
        <v>0</v>
      </c>
      <c r="V3" s="161" t="b">
        <f>F3&gt;='Query Tool'!C$32</f>
        <v>1</v>
      </c>
      <c r="W3" s="161" t="b">
        <f t="array" ref="W3">index(Dropdowns!B:B,match(I3,Dropdowns!A:A,0))</f>
        <v>1</v>
      </c>
      <c r="X3" s="161" t="b">
        <f t="array" ref="X3">index('Query Tool'!B:B,match(D3,'Query Tool'!C:C,0))</f>
        <v>1</v>
      </c>
      <c r="Y3" s="161" t="str">
        <f t="shared" si="6"/>
        <v>allenra02,2013-14</v>
      </c>
      <c r="Z3" s="168" t="str">
        <f t="array" ref="Z3">iferror(index(I:I,match($A3&amp;","&amp;index('Year Conversion'!$A:$A,match($C3,'Year Conversion'!$B:$B,0)),$Y:$Y,0))-I3,"")</f>
        <v/>
      </c>
      <c r="AA3" s="168" t="str">
        <f t="array" ref="AA3">iferror(index(J:J,match($A3&amp;","&amp;index('Year Conversion'!$A:$A,match($C3,'Year Conversion'!$B:$B,0)),$Y:$Y,0))-J3,"")</f>
        <v/>
      </c>
      <c r="AB3" s="168" t="str">
        <f t="array" ref="AB3">iferror(index(K:K,match($A3&amp;","&amp;index('Year Conversion'!$A:$A,match($C3,'Year Conversion'!$B:$B,0)),$Y:$Y,0))-K3,"")</f>
        <v/>
      </c>
      <c r="AC3" s="168" t="str">
        <f t="shared" si="7"/>
        <v>MIA,2013-14</v>
      </c>
    </row>
    <row r="4">
      <c r="A4" s="161" t="str">
        <f>IFERROR(__xludf.DUMMYFUNCTION("""COMPUTED_VALUE"""),"nashst01")</f>
        <v>nashst01</v>
      </c>
      <c r="B4" s="161" t="str">
        <f>IFERROR(__xludf.DUMMYFUNCTION("""COMPUTED_VALUE"""),"Steve Nash")</f>
        <v>Steve Nash</v>
      </c>
      <c r="C4" s="162" t="str">
        <f>IFERROR(__xludf.DUMMYFUNCTION("""COMPUTED_VALUE"""),"2013-14")</f>
        <v>2013-14</v>
      </c>
      <c r="D4" s="163" t="str">
        <f>IFERROR(__xludf.DUMMYFUNCTION("""COMPUTED_VALUE"""),"LAL")</f>
        <v>LAL</v>
      </c>
      <c r="E4" s="164" t="str">
        <f>IFERROR(__xludf.DUMMYFUNCTION("""COMPUTED_VALUE"""),"Slasher")</f>
        <v>Slasher</v>
      </c>
      <c r="F4" s="164">
        <f>IFERROR(__xludf.DUMMYFUNCTION("""COMPUTED_VALUE"""),312.618333333333)</f>
        <v>312.6183333</v>
      </c>
      <c r="G4" s="163">
        <f>IFERROR(__xludf.DUMMYFUNCTION("""COMPUTED_VALUE"""),15.0)</f>
        <v>15</v>
      </c>
      <c r="H4" s="163" t="str">
        <f>IFERROR(__xludf.DUMMYFUNCTION("""COMPUTED_VALUE"""),"PG")</f>
        <v>PG</v>
      </c>
      <c r="I4" s="163">
        <f>IFERROR(__xludf.DUMMYFUNCTION("""COMPUTED_VALUE"""),39.0)</f>
        <v>39</v>
      </c>
      <c r="J4" s="165">
        <f>IFERROR(__xludf.DUMMYFUNCTION("""COMPUTED_VALUE"""),-1.00754054133793)</f>
        <v>-1.007540541</v>
      </c>
      <c r="K4" s="165">
        <f>IFERROR(__xludf.DUMMYFUNCTION("""COMPUTED_VALUE"""),-0.595754475574727)</f>
        <v>-0.5957544756</v>
      </c>
      <c r="L4" s="165">
        <f>IFERROR(__xludf.DUMMYFUNCTION("""COMPUTED_VALUE"""),-0.411786065763205)</f>
        <v>-0.4117860658</v>
      </c>
      <c r="M4" s="166">
        <f t="shared" si="2"/>
        <v>0.2698988498</v>
      </c>
      <c r="N4" s="167">
        <f t="shared" si="3"/>
        <v>20.84122222</v>
      </c>
      <c r="O4" s="163">
        <f t="shared" ref="O4:Q4" si="8">rank(I4,I:I)</f>
        <v>8</v>
      </c>
      <c r="P4" s="163">
        <f t="shared" si="8"/>
        <v>2510</v>
      </c>
      <c r="Q4" s="163">
        <f t="shared" si="8"/>
        <v>2259</v>
      </c>
      <c r="R4" s="163">
        <f>IFERROR(__xludf.DUMMYFUNCTION("RANK(M4,filter(M:M,C:C=C4))"),309.0)</f>
        <v>309</v>
      </c>
      <c r="S4" s="161" t="b">
        <f t="shared" si="5"/>
        <v>0</v>
      </c>
      <c r="T4" s="161" t="b">
        <f t="array" ref="T4">index('Query Tool'!B:B,match(H4,'Query Tool'!C:C,0))</f>
        <v>1</v>
      </c>
      <c r="U4" s="161" t="b">
        <f t="array" ref="U4">index('Query Tool'!B:B,match(C4,'Query Tool'!C:C,0))</f>
        <v>0</v>
      </c>
      <c r="V4" s="161" t="b">
        <f>F4&gt;='Query Tool'!C$32</f>
        <v>0</v>
      </c>
      <c r="W4" s="161" t="b">
        <f t="array" ref="W4">index(Dropdowns!B:B,match(I4,Dropdowns!A:A,0))</f>
        <v>1</v>
      </c>
      <c r="X4" s="161" t="b">
        <f t="array" ref="X4">index('Query Tool'!B:B,match(D4,'Query Tool'!C:C,0))</f>
        <v>1</v>
      </c>
      <c r="Y4" s="161" t="str">
        <f t="shared" si="6"/>
        <v>nashst01,2013-14</v>
      </c>
      <c r="Z4" s="168" t="str">
        <f t="array" ref="Z4">iferror(index(I:I,match($A4&amp;","&amp;index('Year Conversion'!$A:$A,match($C4,'Year Conversion'!$B:$B,0)),$Y:$Y,0))-I4,"")</f>
        <v/>
      </c>
      <c r="AA4" s="168" t="str">
        <f t="array" ref="AA4">iferror(index(J:J,match($A4&amp;","&amp;index('Year Conversion'!$A:$A,match($C4,'Year Conversion'!$B:$B,0)),$Y:$Y,0))-J4,"")</f>
        <v/>
      </c>
      <c r="AB4" s="168" t="str">
        <f t="array" ref="AB4">iferror(index(K:K,match($A4&amp;","&amp;index('Year Conversion'!$A:$A,match($C4,'Year Conversion'!$B:$B,0)),$Y:$Y,0))-K4,"")</f>
        <v/>
      </c>
      <c r="AC4" s="168" t="str">
        <f t="shared" si="7"/>
        <v>LAL,2013-14</v>
      </c>
    </row>
    <row r="5">
      <c r="A5" s="161" t="str">
        <f>IFERROR(__xludf.DUMMYFUNCTION("""COMPUTED_VALUE"""),"fishede01")</f>
        <v>fishede01</v>
      </c>
      <c r="B5" s="161" t="str">
        <f>IFERROR(__xludf.DUMMYFUNCTION("""COMPUTED_VALUE"""),"Derek Fisher")</f>
        <v>Derek Fisher</v>
      </c>
      <c r="C5" s="162" t="str">
        <f>IFERROR(__xludf.DUMMYFUNCTION("""COMPUTED_VALUE"""),"2013-14")</f>
        <v>2013-14</v>
      </c>
      <c r="D5" s="163" t="str">
        <f>IFERROR(__xludf.DUMMYFUNCTION("""COMPUTED_VALUE"""),"OKC")</f>
        <v>OKC</v>
      </c>
      <c r="E5" s="164" t="str">
        <f>IFERROR(__xludf.DUMMYFUNCTION("""COMPUTED_VALUE"""),"Movement Shooter")</f>
        <v>Movement Shooter</v>
      </c>
      <c r="F5" s="164">
        <f>IFERROR(__xludf.DUMMYFUNCTION("""COMPUTED_VALUE"""),1428.02166666667)</f>
        <v>1428.021667</v>
      </c>
      <c r="G5" s="163">
        <f>IFERROR(__xludf.DUMMYFUNCTION("""COMPUTED_VALUE"""),81.0)</f>
        <v>81</v>
      </c>
      <c r="H5" s="163" t="str">
        <f>IFERROR(__xludf.DUMMYFUNCTION("""COMPUTED_VALUE"""),"SG")</f>
        <v>SG</v>
      </c>
      <c r="I5" s="163">
        <f>IFERROR(__xludf.DUMMYFUNCTION("""COMPUTED_VALUE"""),39.0)</f>
        <v>39</v>
      </c>
      <c r="J5" s="165">
        <f>IFERROR(__xludf.DUMMYFUNCTION("""COMPUTED_VALUE"""),-0.735323838923655)</f>
        <v>-0.7353238389</v>
      </c>
      <c r="K5" s="165">
        <f>IFERROR(__xludf.DUMMYFUNCTION("""COMPUTED_VALUE"""),-0.130204753832035)</f>
        <v>-0.1302047538</v>
      </c>
      <c r="L5" s="165">
        <f>IFERROR(__xludf.DUMMYFUNCTION("""COMPUTED_VALUE"""),-0.605119085091619)</f>
        <v>-0.6051190851</v>
      </c>
      <c r="M5" s="166">
        <f t="shared" si="2"/>
        <v>1.494126018</v>
      </c>
      <c r="N5" s="167">
        <f t="shared" si="3"/>
        <v>17.62989712</v>
      </c>
      <c r="O5" s="163">
        <f t="shared" ref="O5:Q5" si="9">rank(I5,I:I)</f>
        <v>8</v>
      </c>
      <c r="P5" s="163">
        <f t="shared" si="9"/>
        <v>2191</v>
      </c>
      <c r="Q5" s="163">
        <f t="shared" si="9"/>
        <v>1440</v>
      </c>
      <c r="R5" s="163">
        <f>IFERROR(__xludf.DUMMYFUNCTION("RANK(M5,filter(M:M,C:C=C5))"),184.0)</f>
        <v>184</v>
      </c>
      <c r="S5" s="161" t="b">
        <f t="shared" si="5"/>
        <v>0</v>
      </c>
      <c r="T5" s="161" t="b">
        <f t="array" ref="T5">index('Query Tool'!B:B,match(H5,'Query Tool'!C:C,0))</f>
        <v>1</v>
      </c>
      <c r="U5" s="161" t="b">
        <f t="array" ref="U5">index('Query Tool'!B:B,match(C5,'Query Tool'!C:C,0))</f>
        <v>0</v>
      </c>
      <c r="V5" s="161" t="b">
        <f>F5&gt;='Query Tool'!C$32</f>
        <v>1</v>
      </c>
      <c r="W5" s="161" t="b">
        <f t="array" ref="W5">index(Dropdowns!B:B,match(I5,Dropdowns!A:A,0))</f>
        <v>1</v>
      </c>
      <c r="X5" s="161" t="b">
        <f t="array" ref="X5">index('Query Tool'!B:B,match(D5,'Query Tool'!C:C,0))</f>
        <v>1</v>
      </c>
      <c r="Y5" s="161" t="str">
        <f t="shared" si="6"/>
        <v>fishede01,2013-14</v>
      </c>
      <c r="Z5" s="168" t="str">
        <f t="array" ref="Z5">iferror(index(I:I,match($A5&amp;","&amp;index('Year Conversion'!$A:$A,match($C5,'Year Conversion'!$B:$B,0)),$Y:$Y,0))-I5,"")</f>
        <v/>
      </c>
      <c r="AA5" s="168" t="str">
        <f t="array" ref="AA5">iferror(index(J:J,match($A5&amp;","&amp;index('Year Conversion'!$A:$A,match($C5,'Year Conversion'!$B:$B,0)),$Y:$Y,0))-J5,"")</f>
        <v/>
      </c>
      <c r="AB5" s="168" t="str">
        <f t="array" ref="AB5">iferror(index(K:K,match($A5&amp;","&amp;index('Year Conversion'!$A:$A,match($C5,'Year Conversion'!$B:$B,0)),$Y:$Y,0))-K5,"")</f>
        <v/>
      </c>
      <c r="AC5" s="168" t="str">
        <f t="shared" si="7"/>
        <v>OKC,2013-14</v>
      </c>
    </row>
    <row r="6">
      <c r="A6" s="161" t="str">
        <f>IFERROR(__xludf.DUMMYFUNCTION("""COMPUTED_VALUE"""),"bryanko01")</f>
        <v>bryanko01</v>
      </c>
      <c r="B6" s="161" t="str">
        <f>IFERROR(__xludf.DUMMYFUNCTION("""COMPUTED_VALUE"""),"Kobe Bryant")</f>
        <v>Kobe Bryant</v>
      </c>
      <c r="C6" s="162" t="str">
        <f>IFERROR(__xludf.DUMMYFUNCTION("""COMPUTED_VALUE"""),"2013-14")</f>
        <v>2013-14</v>
      </c>
      <c r="D6" s="163" t="str">
        <f>IFERROR(__xludf.DUMMYFUNCTION("""COMPUTED_VALUE"""),"LAL")</f>
        <v>LAL</v>
      </c>
      <c r="E6" s="164" t="str">
        <f>IFERROR(__xludf.DUMMYFUNCTION("""COMPUTED_VALUE"""),"Shot Creator")</f>
        <v>Shot Creator</v>
      </c>
      <c r="F6" s="164">
        <f>IFERROR(__xludf.DUMMYFUNCTION("""COMPUTED_VALUE"""),177.283333333333)</f>
        <v>177.2833333</v>
      </c>
      <c r="G6" s="163">
        <f>IFERROR(__xludf.DUMMYFUNCTION("""COMPUTED_VALUE"""),6.0)</f>
        <v>6</v>
      </c>
      <c r="H6" s="163" t="str">
        <f>IFERROR(__xludf.DUMMYFUNCTION("""COMPUTED_VALUE"""),"SG")</f>
        <v>SG</v>
      </c>
      <c r="I6" s="163">
        <f>IFERROR(__xludf.DUMMYFUNCTION("""COMPUTED_VALUE"""),35.0)</f>
        <v>35</v>
      </c>
      <c r="J6" s="165">
        <f>IFERROR(__xludf.DUMMYFUNCTION("""COMPUTED_VALUE"""),-0.670889083466101)</f>
        <v>-0.6708890835</v>
      </c>
      <c r="K6" s="165">
        <f>IFERROR(__xludf.DUMMYFUNCTION("""COMPUTED_VALUE"""),0.0347744359045327)</f>
        <v>0.0347744359</v>
      </c>
      <c r="L6" s="165">
        <f>IFERROR(__xludf.DUMMYFUNCTION("""COMPUTED_VALUE"""),-0.705663519370634)</f>
        <v>-0.7056635194</v>
      </c>
      <c r="M6" s="166">
        <f t="shared" si="2"/>
        <v>0.1931754858</v>
      </c>
      <c r="N6" s="167">
        <f t="shared" si="3"/>
        <v>29.54722222</v>
      </c>
      <c r="O6" s="163">
        <f t="shared" ref="O6:Q6" si="10">rank(I6,I:I)</f>
        <v>104</v>
      </c>
      <c r="P6" s="163">
        <f t="shared" si="10"/>
        <v>2097</v>
      </c>
      <c r="Q6" s="163">
        <f t="shared" si="10"/>
        <v>1150</v>
      </c>
      <c r="R6" s="163">
        <f>IFERROR(__xludf.DUMMYFUNCTION("RANK(M6,filter(M:M,C:C=C6))"),324.0)</f>
        <v>324</v>
      </c>
      <c r="S6" s="161" t="b">
        <f t="shared" si="5"/>
        <v>0</v>
      </c>
      <c r="T6" s="161" t="b">
        <f t="array" ref="T6">index('Query Tool'!B:B,match(H6,'Query Tool'!C:C,0))</f>
        <v>1</v>
      </c>
      <c r="U6" s="161" t="b">
        <f t="array" ref="U6">index('Query Tool'!B:B,match(C6,'Query Tool'!C:C,0))</f>
        <v>0</v>
      </c>
      <c r="V6" s="161" t="b">
        <f>F6&gt;='Query Tool'!C$32</f>
        <v>0</v>
      </c>
      <c r="W6" s="161" t="b">
        <f t="array" ref="W6">index(Dropdowns!B:B,match(I6,Dropdowns!A:A,0))</f>
        <v>1</v>
      </c>
      <c r="X6" s="161" t="b">
        <f t="array" ref="X6">index('Query Tool'!B:B,match(D6,'Query Tool'!C:C,0))</f>
        <v>1</v>
      </c>
      <c r="Y6" s="161" t="str">
        <f t="shared" si="6"/>
        <v>bryanko01,2013-14</v>
      </c>
      <c r="Z6" s="168">
        <f t="array" ref="Z6">iferror(index(I:I,match($A6&amp;","&amp;index('Year Conversion'!$A:$A,match($C6,'Year Conversion'!$B:$B,0)),$Y:$Y,0))-I6,"")</f>
        <v>1</v>
      </c>
      <c r="AA6" s="168">
        <f t="array" ref="AA6">iferror(index(J:J,match($A6&amp;","&amp;index('Year Conversion'!$A:$A,match($C6,'Year Conversion'!$B:$B,0)),$Y:$Y,0))-J6,"")</f>
        <v>0.6701415409</v>
      </c>
      <c r="AB6" s="168">
        <f t="array" ref="AB6">iferror(index(K:K,match($A6&amp;","&amp;index('Year Conversion'!$A:$A,match($C6,'Year Conversion'!$B:$B,0)),$Y:$Y,0))-K6,"")</f>
        <v>1.818428237</v>
      </c>
      <c r="AC6" s="168" t="str">
        <f t="shared" si="7"/>
        <v>LAL,2013-14</v>
      </c>
    </row>
    <row r="7">
      <c r="A7" s="161" t="str">
        <f>IFERROR(__xludf.DUMMYFUNCTION("""COMPUTED_VALUE"""),"onealje01")</f>
        <v>onealje01</v>
      </c>
      <c r="B7" s="161" t="str">
        <f>IFERROR(__xludf.DUMMYFUNCTION("""COMPUTED_VALUE"""),"Jermaine O'Neal")</f>
        <v>Jermaine O'Neal</v>
      </c>
      <c r="C7" s="162" t="str">
        <f>IFERROR(__xludf.DUMMYFUNCTION("""COMPUTED_VALUE"""),"2013-14")</f>
        <v>2013-14</v>
      </c>
      <c r="D7" s="163" t="str">
        <f>IFERROR(__xludf.DUMMYFUNCTION("""COMPUTED_VALUE"""),"GSW")</f>
        <v>GSW</v>
      </c>
      <c r="E7" s="164" t="str">
        <f>IFERROR(__xludf.DUMMYFUNCTION("""COMPUTED_VALUE"""),"Post Scorer")</f>
        <v>Post Scorer</v>
      </c>
      <c r="F7" s="164">
        <f>IFERROR(__xludf.DUMMYFUNCTION("""COMPUTED_VALUE"""),883.323333333333)</f>
        <v>883.3233333</v>
      </c>
      <c r="G7" s="163">
        <f>IFERROR(__xludf.DUMMYFUNCTION("""COMPUTED_VALUE"""),44.0)</f>
        <v>44</v>
      </c>
      <c r="H7" s="163" t="str">
        <f>IFERROR(__xludf.DUMMYFUNCTION("""COMPUTED_VALUE"""),"PF")</f>
        <v>PF</v>
      </c>
      <c r="I7" s="163">
        <f>IFERROR(__xludf.DUMMYFUNCTION("""COMPUTED_VALUE"""),35.0)</f>
        <v>35</v>
      </c>
      <c r="J7" s="165">
        <f>IFERROR(__xludf.DUMMYFUNCTION("""COMPUTED_VALUE"""),-1.41443077451674)</f>
        <v>-1.414430775</v>
      </c>
      <c r="K7" s="165">
        <f>IFERROR(__xludf.DUMMYFUNCTION("""COMPUTED_VALUE"""),-1.74813832345049)</f>
        <v>-1.748138323</v>
      </c>
      <c r="L7" s="165">
        <f>IFERROR(__xludf.DUMMYFUNCTION("""COMPUTED_VALUE"""),0.333707548933749)</f>
        <v>0.3337075489</v>
      </c>
      <c r="M7" s="166">
        <f t="shared" si="2"/>
        <v>0.5217908388</v>
      </c>
      <c r="N7" s="167">
        <f t="shared" si="3"/>
        <v>20.0755303</v>
      </c>
      <c r="O7" s="163">
        <f t="shared" ref="O7:Q7" si="11">rank(I7,I:I)</f>
        <v>104</v>
      </c>
      <c r="P7" s="163">
        <f t="shared" si="11"/>
        <v>2965</v>
      </c>
      <c r="Q7" s="163">
        <f t="shared" si="11"/>
        <v>3549</v>
      </c>
      <c r="R7" s="163">
        <f>IFERROR(__xludf.DUMMYFUNCTION("RANK(M7,filter(M:M,C:C=C7))"),269.0)</f>
        <v>269</v>
      </c>
      <c r="S7" s="161" t="b">
        <f t="shared" si="5"/>
        <v>0</v>
      </c>
      <c r="T7" s="161" t="b">
        <f t="array" ref="T7">index('Query Tool'!B:B,match(H7,'Query Tool'!C:C,0))</f>
        <v>1</v>
      </c>
      <c r="U7" s="161" t="b">
        <f t="array" ref="U7">index('Query Tool'!B:B,match(C7,'Query Tool'!C:C,0))</f>
        <v>0</v>
      </c>
      <c r="V7" s="161" t="b">
        <f>F7&gt;='Query Tool'!C$32</f>
        <v>1</v>
      </c>
      <c r="W7" s="161" t="b">
        <f t="array" ref="W7">index(Dropdowns!B:B,match(I7,Dropdowns!A:A,0))</f>
        <v>1</v>
      </c>
      <c r="X7" s="161" t="b">
        <f t="array" ref="X7">index('Query Tool'!B:B,match(D7,'Query Tool'!C:C,0))</f>
        <v>1</v>
      </c>
      <c r="Y7" s="161" t="str">
        <f t="shared" si="6"/>
        <v>onealje01,2013-14</v>
      </c>
      <c r="Z7" s="168" t="str">
        <f t="array" ref="Z7">iferror(index(I:I,match($A7&amp;","&amp;index('Year Conversion'!$A:$A,match($C7,'Year Conversion'!$B:$B,0)),$Y:$Y,0))-I7,"")</f>
        <v/>
      </c>
      <c r="AA7" s="168" t="str">
        <f t="array" ref="AA7">iferror(index(J:J,match($A7&amp;","&amp;index('Year Conversion'!$A:$A,match($C7,'Year Conversion'!$B:$B,0)),$Y:$Y,0))-J7,"")</f>
        <v/>
      </c>
      <c r="AB7" s="168" t="str">
        <f t="array" ref="AB7">iferror(index(K:K,match($A7&amp;","&amp;index('Year Conversion'!$A:$A,match($C7,'Year Conversion'!$B:$B,0)),$Y:$Y,0))-K7,"")</f>
        <v/>
      </c>
      <c r="AC7" s="168" t="str">
        <f t="shared" si="7"/>
        <v>GSW,2013-14</v>
      </c>
    </row>
    <row r="8">
      <c r="A8" s="161" t="str">
        <f>IFERROR(__xludf.DUMMYFUNCTION("""COMPUTED_VALUE"""),"duncati01")</f>
        <v>duncati01</v>
      </c>
      <c r="B8" s="161" t="str">
        <f>IFERROR(__xludf.DUMMYFUNCTION("""COMPUTED_VALUE"""),"Tim Duncan")</f>
        <v>Tim Duncan</v>
      </c>
      <c r="C8" s="162" t="str">
        <f>IFERROR(__xludf.DUMMYFUNCTION("""COMPUTED_VALUE"""),"2013-14")</f>
        <v>2013-14</v>
      </c>
      <c r="D8" s="163" t="str">
        <f>IFERROR(__xludf.DUMMYFUNCTION("""COMPUTED_VALUE"""),"SAS")</f>
        <v>SAS</v>
      </c>
      <c r="E8" s="164" t="str">
        <f>IFERROR(__xludf.DUMMYFUNCTION("""COMPUTED_VALUE"""),"Post Scorer")</f>
        <v>Post Scorer</v>
      </c>
      <c r="F8" s="164">
        <f>IFERROR(__xludf.DUMMYFUNCTION("""COMPUTED_VALUE"""),2158.15833333333)</f>
        <v>2158.158333</v>
      </c>
      <c r="G8" s="163">
        <f>IFERROR(__xludf.DUMMYFUNCTION("""COMPUTED_VALUE"""),74.0)</f>
        <v>74</v>
      </c>
      <c r="H8" s="163" t="str">
        <f>IFERROR(__xludf.DUMMYFUNCTION("""COMPUTED_VALUE"""),"C")</f>
        <v>C</v>
      </c>
      <c r="I8" s="163">
        <f>IFERROR(__xludf.DUMMYFUNCTION("""COMPUTED_VALUE"""),37.0)</f>
        <v>37</v>
      </c>
      <c r="J8" s="165">
        <f>IFERROR(__xludf.DUMMYFUNCTION("""COMPUTED_VALUE"""),3.35625524516002)</f>
        <v>3.356255245</v>
      </c>
      <c r="K8" s="165">
        <f>IFERROR(__xludf.DUMMYFUNCTION("""COMPUTED_VALUE"""),0.222172701048431)</f>
        <v>0.222172701</v>
      </c>
      <c r="L8" s="165">
        <f>IFERROR(__xludf.DUMMYFUNCTION("""COMPUTED_VALUE"""),3.13408254411159)</f>
        <v>3.134082544</v>
      </c>
      <c r="M8" s="166">
        <f t="shared" si="2"/>
        <v>8.1355282</v>
      </c>
      <c r="N8" s="167">
        <f t="shared" si="3"/>
        <v>29.1643018</v>
      </c>
      <c r="O8" s="163">
        <f t="shared" ref="O8:Q8" si="12">rank(I8,I:I)</f>
        <v>38</v>
      </c>
      <c r="P8" s="163">
        <f t="shared" si="12"/>
        <v>142</v>
      </c>
      <c r="Q8" s="163">
        <f t="shared" si="12"/>
        <v>967</v>
      </c>
      <c r="R8" s="163">
        <f>IFERROR(__xludf.DUMMYFUNCTION("RANK(M8,filter(M:M,C:C=C8))"),27.0)</f>
        <v>27</v>
      </c>
      <c r="S8" s="161" t="b">
        <f t="shared" si="5"/>
        <v>0</v>
      </c>
      <c r="T8" s="161" t="b">
        <f t="array" ref="T8">index('Query Tool'!B:B,match(H8,'Query Tool'!C:C,0))</f>
        <v>1</v>
      </c>
      <c r="U8" s="161" t="b">
        <f t="array" ref="U8">index('Query Tool'!B:B,match(C8,'Query Tool'!C:C,0))</f>
        <v>0</v>
      </c>
      <c r="V8" s="161" t="b">
        <f>F8&gt;='Query Tool'!C$32</f>
        <v>1</v>
      </c>
      <c r="W8" s="161" t="b">
        <f t="array" ref="W8">index(Dropdowns!B:B,match(I8,Dropdowns!A:A,0))</f>
        <v>1</v>
      </c>
      <c r="X8" s="161" t="b">
        <f t="array" ref="X8">index('Query Tool'!B:B,match(D8,'Query Tool'!C:C,0))</f>
        <v>1</v>
      </c>
      <c r="Y8" s="161" t="str">
        <f t="shared" si="6"/>
        <v>duncati01,2013-14</v>
      </c>
      <c r="Z8" s="168">
        <f t="array" ref="Z8">iferror(index(I:I,match($A8&amp;","&amp;index('Year Conversion'!$A:$A,match($C8,'Year Conversion'!$B:$B,0)),$Y:$Y,0))-I8,"")</f>
        <v>1</v>
      </c>
      <c r="AA8" s="168">
        <f t="array" ref="AA8">iferror(index(J:J,match($A8&amp;","&amp;index('Year Conversion'!$A:$A,match($C8,'Year Conversion'!$B:$B,0)),$Y:$Y,0))-J8,"")</f>
        <v>0.7018483937</v>
      </c>
      <c r="AB8" s="168">
        <f t="array" ref="AB8">iferror(index(K:K,match($A8&amp;","&amp;index('Year Conversion'!$A:$A,match($C8,'Year Conversion'!$B:$B,0)),$Y:$Y,0))-K8,"")</f>
        <v>0.2349784805</v>
      </c>
      <c r="AC8" s="168" t="str">
        <f t="shared" si="7"/>
        <v>SAS,2013-14</v>
      </c>
    </row>
    <row r="9">
      <c r="A9" s="161" t="str">
        <f>IFERROR(__xludf.DUMMYFUNCTION("""COMPUTED_VALUE"""),"billuch01")</f>
        <v>billuch01</v>
      </c>
      <c r="B9" s="161" t="str">
        <f>IFERROR(__xludf.DUMMYFUNCTION("""COMPUTED_VALUE"""),"Chauncey Billups")</f>
        <v>Chauncey Billups</v>
      </c>
      <c r="C9" s="162" t="str">
        <f>IFERROR(__xludf.DUMMYFUNCTION("""COMPUTED_VALUE"""),"2013-14")</f>
        <v>2013-14</v>
      </c>
      <c r="D9" s="163" t="str">
        <f>IFERROR(__xludf.DUMMYFUNCTION("""COMPUTED_VALUE"""),"DET")</f>
        <v>DET</v>
      </c>
      <c r="E9" s="164" t="str">
        <f>IFERROR(__xludf.DUMMYFUNCTION("""COMPUTED_VALUE"""),"Shot Creator")</f>
        <v>Shot Creator</v>
      </c>
      <c r="F9" s="164">
        <f>IFERROR(__xludf.DUMMYFUNCTION("""COMPUTED_VALUE"""),309.47)</f>
        <v>309.47</v>
      </c>
      <c r="G9" s="163">
        <f>IFERROR(__xludf.DUMMYFUNCTION("""COMPUTED_VALUE"""),19.0)</f>
        <v>19</v>
      </c>
      <c r="H9" s="163" t="str">
        <f>IFERROR(__xludf.DUMMYFUNCTION("""COMPUTED_VALUE"""),"SG")</f>
        <v>SG</v>
      </c>
      <c r="I9" s="163">
        <f>IFERROR(__xludf.DUMMYFUNCTION("""COMPUTED_VALUE"""),37.0)</f>
        <v>37</v>
      </c>
      <c r="J9" s="165">
        <f>IFERROR(__xludf.DUMMYFUNCTION("""COMPUTED_VALUE"""),-1.17820643919735)</f>
        <v>-1.178206439</v>
      </c>
      <c r="K9" s="165">
        <f>IFERROR(__xludf.DUMMYFUNCTION("""COMPUTED_VALUE"""),-0.641556928205768)</f>
        <v>-0.6415569282</v>
      </c>
      <c r="L9" s="165">
        <f>IFERROR(__xludf.DUMMYFUNCTION("""COMPUTED_VALUE"""),-0.536649510991577)</f>
        <v>-0.536649511</v>
      </c>
      <c r="M9" s="166">
        <f t="shared" si="2"/>
        <v>0.2317497554</v>
      </c>
      <c r="N9" s="167">
        <f t="shared" si="3"/>
        <v>16.28789474</v>
      </c>
      <c r="O9" s="163">
        <f t="shared" ref="O9:Q9" si="13">rank(I9,I:I)</f>
        <v>38</v>
      </c>
      <c r="P9" s="163">
        <f t="shared" si="13"/>
        <v>2714</v>
      </c>
      <c r="Q9" s="163">
        <f t="shared" si="13"/>
        <v>2323</v>
      </c>
      <c r="R9" s="163">
        <f>IFERROR(__xludf.DUMMYFUNCTION("RANK(M9,filter(M:M,C:C=C9))"),313.0)</f>
        <v>313</v>
      </c>
      <c r="S9" s="161" t="b">
        <f t="shared" si="5"/>
        <v>0</v>
      </c>
      <c r="T9" s="161" t="b">
        <f t="array" ref="T9">index('Query Tool'!B:B,match(H9,'Query Tool'!C:C,0))</f>
        <v>1</v>
      </c>
      <c r="U9" s="161" t="b">
        <f t="array" ref="U9">index('Query Tool'!B:B,match(C9,'Query Tool'!C:C,0))</f>
        <v>0</v>
      </c>
      <c r="V9" s="161" t="b">
        <f>F9&gt;='Query Tool'!C$32</f>
        <v>0</v>
      </c>
      <c r="W9" s="161" t="b">
        <f t="array" ref="W9">index(Dropdowns!B:B,match(I9,Dropdowns!A:A,0))</f>
        <v>1</v>
      </c>
      <c r="X9" s="161" t="b">
        <f t="array" ref="X9">index('Query Tool'!B:B,match(D9,'Query Tool'!C:C,0))</f>
        <v>1</v>
      </c>
      <c r="Y9" s="161" t="str">
        <f t="shared" si="6"/>
        <v>billuch01,2013-14</v>
      </c>
      <c r="Z9" s="168" t="str">
        <f t="array" ref="Z9">iferror(index(I:I,match($A9&amp;","&amp;index('Year Conversion'!$A:$A,match($C9,'Year Conversion'!$B:$B,0)),$Y:$Y,0))-I9,"")</f>
        <v/>
      </c>
      <c r="AA9" s="168" t="str">
        <f t="array" ref="AA9">iferror(index(J:J,match($A9&amp;","&amp;index('Year Conversion'!$A:$A,match($C9,'Year Conversion'!$B:$B,0)),$Y:$Y,0))-J9,"")</f>
        <v/>
      </c>
      <c r="AB9" s="168" t="str">
        <f t="array" ref="AB9">iferror(index(K:K,match($A9&amp;","&amp;index('Year Conversion'!$A:$A,match($C9,'Year Conversion'!$B:$B,0)),$Y:$Y,0))-K9,"")</f>
        <v/>
      </c>
      <c r="AC9" s="168" t="str">
        <f t="shared" si="7"/>
        <v>DET,2013-14</v>
      </c>
    </row>
    <row r="10">
      <c r="A10" s="161" t="str">
        <f>IFERROR(__xludf.DUMMYFUNCTION("""COMPUTED_VALUE"""),"jacksst02")</f>
        <v>jacksst02</v>
      </c>
      <c r="B10" s="161" t="str">
        <f>IFERROR(__xludf.DUMMYFUNCTION("""COMPUTED_VALUE"""),"Stephen Jackson")</f>
        <v>Stephen Jackson</v>
      </c>
      <c r="C10" s="162" t="str">
        <f>IFERROR(__xludf.DUMMYFUNCTION("""COMPUTED_VALUE"""),"2013-14")</f>
        <v>2013-14</v>
      </c>
      <c r="D10" s="163" t="str">
        <f>IFERROR(__xludf.DUMMYFUNCTION("""COMPUTED_VALUE"""),"LAC")</f>
        <v>LAC</v>
      </c>
      <c r="E10" s="164" t="str">
        <f>IFERROR(__xludf.DUMMYFUNCTION("""COMPUTED_VALUE"""),"Stationary Shooter")</f>
        <v>Stationary Shooter</v>
      </c>
      <c r="F10" s="164">
        <f>IFERROR(__xludf.DUMMYFUNCTION("""COMPUTED_VALUE"""),106.785)</f>
        <v>106.785</v>
      </c>
      <c r="G10" s="163">
        <f>IFERROR(__xludf.DUMMYFUNCTION("""COMPUTED_VALUE"""),9.0)</f>
        <v>9</v>
      </c>
      <c r="H10" s="163" t="str">
        <f>IFERROR(__xludf.DUMMYFUNCTION("""COMPUTED_VALUE"""),"SF")</f>
        <v>SF</v>
      </c>
      <c r="I10" s="163">
        <f>IFERROR(__xludf.DUMMYFUNCTION("""COMPUTED_VALUE"""),35.0)</f>
        <v>35</v>
      </c>
      <c r="J10" s="165">
        <f>IFERROR(__xludf.DUMMYFUNCTION("""COMPUTED_VALUE"""),-1.48241198665107)</f>
        <v>-1.482411987</v>
      </c>
      <c r="K10" s="165">
        <f>IFERROR(__xludf.DUMMYFUNCTION("""COMPUTED_VALUE"""),-1.14672247041382)</f>
        <v>-1.14672247</v>
      </c>
      <c r="L10" s="165">
        <f>IFERROR(__xludf.DUMMYFUNCTION("""COMPUTED_VALUE"""),-0.335689516237254)</f>
        <v>-0.3356895162</v>
      </c>
      <c r="M10" s="166">
        <f t="shared" si="2"/>
        <v>0.05822767442</v>
      </c>
      <c r="N10" s="167">
        <f t="shared" si="3"/>
        <v>11.865</v>
      </c>
      <c r="O10" s="163">
        <f t="shared" ref="O10:Q10" si="14">rank(I10,I:I)</f>
        <v>104</v>
      </c>
      <c r="P10" s="163">
        <f t="shared" si="14"/>
        <v>3036</v>
      </c>
      <c r="Q10" s="163">
        <f t="shared" si="14"/>
        <v>2982</v>
      </c>
      <c r="R10" s="163">
        <f>IFERROR(__xludf.DUMMYFUNCTION("RANK(M10,filter(M:M,C:C=C10))"),383.0)</f>
        <v>383</v>
      </c>
      <c r="S10" s="161" t="b">
        <f t="shared" si="5"/>
        <v>0</v>
      </c>
      <c r="T10" s="161" t="b">
        <f t="array" ref="T10">index('Query Tool'!B:B,match(H10,'Query Tool'!C:C,0))</f>
        <v>1</v>
      </c>
      <c r="U10" s="161" t="b">
        <f t="array" ref="U10">index('Query Tool'!B:B,match(C10,'Query Tool'!C:C,0))</f>
        <v>0</v>
      </c>
      <c r="V10" s="161" t="b">
        <f>F10&gt;='Query Tool'!C$32</f>
        <v>0</v>
      </c>
      <c r="W10" s="161" t="b">
        <f t="array" ref="W10">index(Dropdowns!B:B,match(I10,Dropdowns!A:A,0))</f>
        <v>1</v>
      </c>
      <c r="X10" s="161" t="b">
        <f t="array" ref="X10">index('Query Tool'!B:B,match(D10,'Query Tool'!C:C,0))</f>
        <v>1</v>
      </c>
      <c r="Y10" s="161" t="str">
        <f t="shared" si="6"/>
        <v>jacksst02,2013-14</v>
      </c>
      <c r="Z10" s="168" t="str">
        <f t="array" ref="Z10">iferror(index(I:I,match($A10&amp;","&amp;index('Year Conversion'!$A:$A,match($C10,'Year Conversion'!$B:$B,0)),$Y:$Y,0))-I10,"")</f>
        <v/>
      </c>
      <c r="AA10" s="168" t="str">
        <f t="array" ref="AA10">iferror(index(J:J,match($A10&amp;","&amp;index('Year Conversion'!$A:$A,match($C10,'Year Conversion'!$B:$B,0)),$Y:$Y,0))-J10,"")</f>
        <v/>
      </c>
      <c r="AB10" s="168" t="str">
        <f t="array" ref="AB10">iferror(index(K:K,match($A10&amp;","&amp;index('Year Conversion'!$A:$A,match($C10,'Year Conversion'!$B:$B,0)),$Y:$Y,0))-K10,"")</f>
        <v/>
      </c>
      <c r="AC10" s="168" t="str">
        <f t="shared" si="7"/>
        <v>LAC,2013-14</v>
      </c>
    </row>
    <row r="11">
      <c r="A11" s="161" t="str">
        <f>IFERROR(__xludf.DUMMYFUNCTION("""COMPUTED_VALUE"""),"jamisan01")</f>
        <v>jamisan01</v>
      </c>
      <c r="B11" s="161" t="str">
        <f>IFERROR(__xludf.DUMMYFUNCTION("""COMPUTED_VALUE"""),"Antawn Jamison")</f>
        <v>Antawn Jamison</v>
      </c>
      <c r="C11" s="162" t="str">
        <f>IFERROR(__xludf.DUMMYFUNCTION("""COMPUTED_VALUE"""),"2013-14")</f>
        <v>2013-14</v>
      </c>
      <c r="D11" s="163" t="str">
        <f>IFERROR(__xludf.DUMMYFUNCTION("""COMPUTED_VALUE"""),"LAC")</f>
        <v>LAC</v>
      </c>
      <c r="E11" s="164" t="str">
        <f>IFERROR(__xludf.DUMMYFUNCTION("""COMPUTED_VALUE"""),"Stretch Big")</f>
        <v>Stretch Big</v>
      </c>
      <c r="F11" s="164">
        <f>IFERROR(__xludf.DUMMYFUNCTION("""COMPUTED_VALUE"""),247.556666666667)</f>
        <v>247.5566667</v>
      </c>
      <c r="G11" s="163">
        <f>IFERROR(__xludf.DUMMYFUNCTION("""COMPUTED_VALUE"""),22.0)</f>
        <v>22</v>
      </c>
      <c r="H11" s="163" t="str">
        <f>IFERROR(__xludf.DUMMYFUNCTION("""COMPUTED_VALUE"""),"PF")</f>
        <v>PF</v>
      </c>
      <c r="I11" s="163">
        <f>IFERROR(__xludf.DUMMYFUNCTION("""COMPUTED_VALUE"""),37.0)</f>
        <v>37</v>
      </c>
      <c r="J11" s="165">
        <f>IFERROR(__xludf.DUMMYFUNCTION("""COMPUTED_VALUE"""),-0.364889096346561)</f>
        <v>-0.3648890963</v>
      </c>
      <c r="K11" s="165">
        <f>IFERROR(__xludf.DUMMYFUNCTION("""COMPUTED_VALUE"""),-0.372869019472792)</f>
        <v>-0.3728690195</v>
      </c>
      <c r="L11" s="165">
        <f>IFERROR(__xludf.DUMMYFUNCTION("""COMPUTED_VALUE"""),0.00797992312623097)</f>
        <v>0.007979923126</v>
      </c>
      <c r="M11" s="166">
        <f t="shared" si="2"/>
        <v>0.3207610657</v>
      </c>
      <c r="N11" s="167">
        <f t="shared" si="3"/>
        <v>11.25257576</v>
      </c>
      <c r="O11" s="163">
        <f t="shared" ref="O11:Q11" si="15">rank(I11,I:I)</f>
        <v>38</v>
      </c>
      <c r="P11" s="163">
        <f t="shared" si="15"/>
        <v>1688</v>
      </c>
      <c r="Q11" s="163">
        <f t="shared" si="15"/>
        <v>1901</v>
      </c>
      <c r="R11" s="163">
        <f>IFERROR(__xludf.DUMMYFUNCTION("RANK(M11,filter(M:M,C:C=C11))"),297.0)</f>
        <v>297</v>
      </c>
      <c r="S11" s="161" t="b">
        <f t="shared" si="5"/>
        <v>0</v>
      </c>
      <c r="T11" s="161" t="b">
        <f t="array" ref="T11">index('Query Tool'!B:B,match(H11,'Query Tool'!C:C,0))</f>
        <v>1</v>
      </c>
      <c r="U11" s="161" t="b">
        <f t="array" ref="U11">index('Query Tool'!B:B,match(C11,'Query Tool'!C:C,0))</f>
        <v>0</v>
      </c>
      <c r="V11" s="161" t="b">
        <f>F11&gt;='Query Tool'!C$32</f>
        <v>0</v>
      </c>
      <c r="W11" s="161" t="b">
        <f t="array" ref="W11">index(Dropdowns!B:B,match(I11,Dropdowns!A:A,0))</f>
        <v>1</v>
      </c>
      <c r="X11" s="161" t="b">
        <f t="array" ref="X11">index('Query Tool'!B:B,match(D11,'Query Tool'!C:C,0))</f>
        <v>1</v>
      </c>
      <c r="Y11" s="161" t="str">
        <f t="shared" si="6"/>
        <v>jamisan01,2013-14</v>
      </c>
      <c r="Z11" s="168" t="str">
        <f t="array" ref="Z11">iferror(index(I:I,match($A11&amp;","&amp;index('Year Conversion'!$A:$A,match($C11,'Year Conversion'!$B:$B,0)),$Y:$Y,0))-I11,"")</f>
        <v/>
      </c>
      <c r="AA11" s="168" t="str">
        <f t="array" ref="AA11">iferror(index(J:J,match($A11&amp;","&amp;index('Year Conversion'!$A:$A,match($C11,'Year Conversion'!$B:$B,0)),$Y:$Y,0))-J11,"")</f>
        <v/>
      </c>
      <c r="AB11" s="168" t="str">
        <f t="array" ref="AB11">iferror(index(K:K,match($A11&amp;","&amp;index('Year Conversion'!$A:$A,match($C11,'Year Conversion'!$B:$B,0)),$Y:$Y,0))-K11,"")</f>
        <v/>
      </c>
      <c r="AC11" s="168" t="str">
        <f t="shared" si="7"/>
        <v>LAC,2013-14</v>
      </c>
    </row>
    <row r="12">
      <c r="A12" s="161" t="str">
        <f>IFERROR(__xludf.DUMMYFUNCTION("""COMPUTED_VALUE"""),"cartevi01")</f>
        <v>cartevi01</v>
      </c>
      <c r="B12" s="161" t="str">
        <f>IFERROR(__xludf.DUMMYFUNCTION("""COMPUTED_VALUE"""),"Vince Carter")</f>
        <v>Vince Carter</v>
      </c>
      <c r="C12" s="162" t="str">
        <f>IFERROR(__xludf.DUMMYFUNCTION("""COMPUTED_VALUE"""),"2013-14")</f>
        <v>2013-14</v>
      </c>
      <c r="D12" s="163" t="str">
        <f>IFERROR(__xludf.DUMMYFUNCTION("""COMPUTED_VALUE"""),"DAL")</f>
        <v>DAL</v>
      </c>
      <c r="E12" s="164" t="str">
        <f>IFERROR(__xludf.DUMMYFUNCTION("""COMPUTED_VALUE"""),"Shot Creator")</f>
        <v>Shot Creator</v>
      </c>
      <c r="F12" s="164">
        <f>IFERROR(__xludf.DUMMYFUNCTION("""COMPUTED_VALUE"""),1972.95666666667)</f>
        <v>1972.956667</v>
      </c>
      <c r="G12" s="163">
        <f>IFERROR(__xludf.DUMMYFUNCTION("""COMPUTED_VALUE"""),81.0)</f>
        <v>81</v>
      </c>
      <c r="H12" s="163" t="str">
        <f>IFERROR(__xludf.DUMMYFUNCTION("""COMPUTED_VALUE"""),"SG")</f>
        <v>SG</v>
      </c>
      <c r="I12" s="163">
        <f>IFERROR(__xludf.DUMMYFUNCTION("""COMPUTED_VALUE"""),37.0)</f>
        <v>37</v>
      </c>
      <c r="J12" s="165">
        <f>IFERROR(__xludf.DUMMYFUNCTION("""COMPUTED_VALUE"""),0.380163378945128)</f>
        <v>0.3801633789</v>
      </c>
      <c r="K12" s="165">
        <f>IFERROR(__xludf.DUMMYFUNCTION("""COMPUTED_VALUE"""),0.86023557051477)</f>
        <v>0.8602355705</v>
      </c>
      <c r="L12" s="165">
        <f>IFERROR(__xludf.DUMMYFUNCTION("""COMPUTED_VALUE"""),-0.480072191569642)</f>
        <v>-0.4800721916</v>
      </c>
      <c r="M12" s="166">
        <f t="shared" si="2"/>
        <v>3.547213316</v>
      </c>
      <c r="N12" s="167">
        <f t="shared" si="3"/>
        <v>24.35748971</v>
      </c>
      <c r="O12" s="163">
        <f t="shared" ref="O12:Q12" si="16">rank(I12,I:I)</f>
        <v>38</v>
      </c>
      <c r="P12" s="163">
        <f t="shared" si="16"/>
        <v>962</v>
      </c>
      <c r="Q12" s="163">
        <f t="shared" si="16"/>
        <v>572</v>
      </c>
      <c r="R12" s="163">
        <f>IFERROR(__xludf.DUMMYFUNCTION("RANK(M12,filter(M:M,C:C=C12))"),95.0)</f>
        <v>95</v>
      </c>
      <c r="S12" s="161" t="b">
        <f t="shared" si="5"/>
        <v>0</v>
      </c>
      <c r="T12" s="161" t="b">
        <f t="array" ref="T12">index('Query Tool'!B:B,match(H12,'Query Tool'!C:C,0))</f>
        <v>1</v>
      </c>
      <c r="U12" s="161" t="b">
        <f t="array" ref="U12">index('Query Tool'!B:B,match(C12,'Query Tool'!C:C,0))</f>
        <v>0</v>
      </c>
      <c r="V12" s="161" t="b">
        <f>F12&gt;='Query Tool'!C$32</f>
        <v>1</v>
      </c>
      <c r="W12" s="161" t="b">
        <f t="array" ref="W12">index(Dropdowns!B:B,match(I12,Dropdowns!A:A,0))</f>
        <v>1</v>
      </c>
      <c r="X12" s="161" t="b">
        <f t="array" ref="X12">index('Query Tool'!B:B,match(D12,'Query Tool'!C:C,0))</f>
        <v>1</v>
      </c>
      <c r="Y12" s="161" t="str">
        <f t="shared" si="6"/>
        <v>cartevi01,2013-14</v>
      </c>
      <c r="Z12" s="168">
        <f t="array" ref="Z12">iferror(index(I:I,match($A12&amp;","&amp;index('Year Conversion'!$A:$A,match($C12,'Year Conversion'!$B:$B,0)),$Y:$Y,0))-I12,"")</f>
        <v>1</v>
      </c>
      <c r="AA12" s="168">
        <f t="array" ref="AA12">iferror(index(J:J,match($A12&amp;","&amp;index('Year Conversion'!$A:$A,match($C12,'Year Conversion'!$B:$B,0)),$Y:$Y,0))-J12,"")</f>
        <v>-0.5882263163</v>
      </c>
      <c r="AB12" s="168">
        <f t="array" ref="AB12">iferror(index(K:K,match($A12&amp;","&amp;index('Year Conversion'!$A:$A,match($C12,'Year Conversion'!$B:$B,0)),$Y:$Y,0))-K12,"")</f>
        <v>-0.8391341936</v>
      </c>
      <c r="AC12" s="168" t="str">
        <f t="shared" si="7"/>
        <v>DAL,2013-14</v>
      </c>
    </row>
    <row r="13">
      <c r="A13" s="161" t="str">
        <f>IFERROR(__xludf.DUMMYFUNCTION("""COMPUTED_VALUE"""),"nowitdi01")</f>
        <v>nowitdi01</v>
      </c>
      <c r="B13" s="161" t="str">
        <f>IFERROR(__xludf.DUMMYFUNCTION("""COMPUTED_VALUE"""),"Dirk Nowitzki")</f>
        <v>Dirk Nowitzki</v>
      </c>
      <c r="C13" s="162" t="str">
        <f>IFERROR(__xludf.DUMMYFUNCTION("""COMPUTED_VALUE"""),"2013-14")</f>
        <v>2013-14</v>
      </c>
      <c r="D13" s="163" t="str">
        <f>IFERROR(__xludf.DUMMYFUNCTION("""COMPUTED_VALUE"""),"DAL")</f>
        <v>DAL</v>
      </c>
      <c r="E13" s="164" t="str">
        <f>IFERROR(__xludf.DUMMYFUNCTION("""COMPUTED_VALUE"""),"Versatile Big")</f>
        <v>Versatile Big</v>
      </c>
      <c r="F13" s="164">
        <f>IFERROR(__xludf.DUMMYFUNCTION("""COMPUTED_VALUE"""),2628.06833333333)</f>
        <v>2628.068333</v>
      </c>
      <c r="G13" s="163">
        <f>IFERROR(__xludf.DUMMYFUNCTION("""COMPUTED_VALUE"""),80.0)</f>
        <v>80</v>
      </c>
      <c r="H13" s="163" t="str">
        <f>IFERROR(__xludf.DUMMYFUNCTION("""COMPUTED_VALUE"""),"PF")</f>
        <v>PF</v>
      </c>
      <c r="I13" s="163">
        <f>IFERROR(__xludf.DUMMYFUNCTION("""COMPUTED_VALUE"""),35.0)</f>
        <v>35</v>
      </c>
      <c r="J13" s="165">
        <f>IFERROR(__xludf.DUMMYFUNCTION("""COMPUTED_VALUE"""),3.4293521323932)</f>
        <v>3.429352132</v>
      </c>
      <c r="K13" s="165">
        <f>IFERROR(__xludf.DUMMYFUNCTION("""COMPUTED_VALUE"""),3.27433597439479)</f>
        <v>3.274335974</v>
      </c>
      <c r="L13" s="165">
        <f>IFERROR(__xludf.DUMMYFUNCTION("""COMPUTED_VALUE"""),0.155016157998416)</f>
        <v>0.155016158</v>
      </c>
      <c r="M13" s="166">
        <f t="shared" si="2"/>
        <v>10.03042411</v>
      </c>
      <c r="N13" s="167">
        <f t="shared" si="3"/>
        <v>32.85085417</v>
      </c>
      <c r="O13" s="163">
        <f t="shared" ref="O13:Q13" si="17">rank(I13,I:I)</f>
        <v>104</v>
      </c>
      <c r="P13" s="163">
        <f t="shared" si="17"/>
        <v>135</v>
      </c>
      <c r="Q13" s="163">
        <f t="shared" si="17"/>
        <v>102</v>
      </c>
      <c r="R13" s="163">
        <f>IFERROR(__xludf.DUMMYFUNCTION("RANK(M13,filter(M:M,C:C=C13))"),12.0)</f>
        <v>12</v>
      </c>
      <c r="S13" s="161" t="b">
        <f t="shared" si="5"/>
        <v>0</v>
      </c>
      <c r="T13" s="161" t="b">
        <f t="array" ref="T13">index('Query Tool'!B:B,match(H13,'Query Tool'!C:C,0))</f>
        <v>1</v>
      </c>
      <c r="U13" s="161" t="b">
        <f t="array" ref="U13">index('Query Tool'!B:B,match(C13,'Query Tool'!C:C,0))</f>
        <v>0</v>
      </c>
      <c r="V13" s="161" t="b">
        <f>F13&gt;='Query Tool'!C$32</f>
        <v>1</v>
      </c>
      <c r="W13" s="161" t="b">
        <f t="array" ref="W13">index(Dropdowns!B:B,match(I13,Dropdowns!A:A,0))</f>
        <v>1</v>
      </c>
      <c r="X13" s="161" t="b">
        <f t="array" ref="X13">index('Query Tool'!B:B,match(D13,'Query Tool'!C:C,0))</f>
        <v>1</v>
      </c>
      <c r="Y13" s="161" t="str">
        <f t="shared" si="6"/>
        <v>nowitdi01,2013-14</v>
      </c>
      <c r="Z13" s="168">
        <f t="array" ref="Z13">iferror(index(I:I,match($A13&amp;","&amp;index('Year Conversion'!$A:$A,match($C13,'Year Conversion'!$B:$B,0)),$Y:$Y,0))-I13,"")</f>
        <v>1</v>
      </c>
      <c r="AA13" s="168">
        <f t="array" ref="AA13">iferror(index(J:J,match($A13&amp;","&amp;index('Year Conversion'!$A:$A,match($C13,'Year Conversion'!$B:$B,0)),$Y:$Y,0))-J13,"")</f>
        <v>-1.431767275</v>
      </c>
      <c r="AB13" s="168">
        <f t="array" ref="AB13">iferror(index(K:K,match($A13&amp;","&amp;index('Year Conversion'!$A:$A,match($C13,'Year Conversion'!$B:$B,0)),$Y:$Y,0))-K13,"")</f>
        <v>-1.593867558</v>
      </c>
      <c r="AC13" s="168" t="str">
        <f t="shared" si="7"/>
        <v>DAL,2013-14</v>
      </c>
    </row>
    <row r="14">
      <c r="A14" s="161" t="str">
        <f>IFERROR(__xludf.DUMMYFUNCTION("""COMPUTED_VALUE"""),"piercpa01")</f>
        <v>piercpa01</v>
      </c>
      <c r="B14" s="161" t="str">
        <f>IFERROR(__xludf.DUMMYFUNCTION("""COMPUTED_VALUE"""),"Paul Pierce")</f>
        <v>Paul Pierce</v>
      </c>
      <c r="C14" s="162" t="str">
        <f>IFERROR(__xludf.DUMMYFUNCTION("""COMPUTED_VALUE"""),"2013-14")</f>
        <v>2013-14</v>
      </c>
      <c r="D14" s="163" t="str">
        <f>IFERROR(__xludf.DUMMYFUNCTION("""COMPUTED_VALUE"""),"BRK")</f>
        <v>BRK</v>
      </c>
      <c r="E14" s="164" t="str">
        <f>IFERROR(__xludf.DUMMYFUNCTION("""COMPUTED_VALUE"""),"Shot Creator")</f>
        <v>Shot Creator</v>
      </c>
      <c r="F14" s="164">
        <f>IFERROR(__xludf.DUMMYFUNCTION("""COMPUTED_VALUE"""),2098.03833333333)</f>
        <v>2098.038333</v>
      </c>
      <c r="G14" s="163">
        <f>IFERROR(__xludf.DUMMYFUNCTION("""COMPUTED_VALUE"""),75.0)</f>
        <v>75</v>
      </c>
      <c r="H14" s="163" t="str">
        <f>IFERROR(__xludf.DUMMYFUNCTION("""COMPUTED_VALUE"""),"SF")</f>
        <v>SF</v>
      </c>
      <c r="I14" s="163">
        <f>IFERROR(__xludf.DUMMYFUNCTION("""COMPUTED_VALUE"""),36.0)</f>
        <v>36</v>
      </c>
      <c r="J14" s="165">
        <f>IFERROR(__xludf.DUMMYFUNCTION("""COMPUTED_VALUE"""),1.89374574146161)</f>
        <v>1.893745741</v>
      </c>
      <c r="K14" s="165">
        <f>IFERROR(__xludf.DUMMYFUNCTION("""COMPUTED_VALUE"""),0.402464901231616)</f>
        <v>0.4024649012</v>
      </c>
      <c r="L14" s="165">
        <f>IFERROR(__xludf.DUMMYFUNCTION("""COMPUTED_VALUE"""),1.49128084022999)</f>
        <v>1.49128084</v>
      </c>
      <c r="M14" s="166">
        <f t="shared" si="2"/>
        <v>5.899867914</v>
      </c>
      <c r="N14" s="167">
        <f t="shared" si="3"/>
        <v>27.97384444</v>
      </c>
      <c r="O14" s="163">
        <f t="shared" ref="O14:Q14" si="18">rank(I14,I:I)</f>
        <v>65</v>
      </c>
      <c r="P14" s="163">
        <f t="shared" si="18"/>
        <v>346</v>
      </c>
      <c r="Q14" s="163">
        <f t="shared" si="18"/>
        <v>830</v>
      </c>
      <c r="R14" s="163">
        <f>IFERROR(__xludf.DUMMYFUNCTION("RANK(M14,filter(M:M,C:C=C14))"),50.0)</f>
        <v>50</v>
      </c>
      <c r="S14" s="161" t="b">
        <f t="shared" si="5"/>
        <v>0</v>
      </c>
      <c r="T14" s="161" t="b">
        <f t="array" ref="T14">index('Query Tool'!B:B,match(H14,'Query Tool'!C:C,0))</f>
        <v>1</v>
      </c>
      <c r="U14" s="161" t="b">
        <f t="array" ref="U14">index('Query Tool'!B:B,match(C14,'Query Tool'!C:C,0))</f>
        <v>0</v>
      </c>
      <c r="V14" s="161" t="b">
        <f>F14&gt;='Query Tool'!C$32</f>
        <v>1</v>
      </c>
      <c r="W14" s="161" t="b">
        <f t="array" ref="W14">index(Dropdowns!B:B,match(I14,Dropdowns!A:A,0))</f>
        <v>1</v>
      </c>
      <c r="X14" s="161" t="b">
        <f t="array" ref="X14">index('Query Tool'!B:B,match(D14,'Query Tool'!C:C,0))</f>
        <v>1</v>
      </c>
      <c r="Y14" s="161" t="str">
        <f t="shared" si="6"/>
        <v>piercpa01,2013-14</v>
      </c>
      <c r="Z14" s="168">
        <f t="array" ref="Z14">iferror(index(I:I,match($A14&amp;","&amp;index('Year Conversion'!$A:$A,match($C14,'Year Conversion'!$B:$B,0)),$Y:$Y,0))-I14,"")</f>
        <v>1</v>
      </c>
      <c r="AA14" s="168">
        <f t="array" ref="AA14">iferror(index(J:J,match($A14&amp;","&amp;index('Year Conversion'!$A:$A,match($C14,'Year Conversion'!$B:$B,0)),$Y:$Y,0))-J14,"")</f>
        <v>-0.7302999845</v>
      </c>
      <c r="AB14" s="168">
        <f t="array" ref="AB14">iferror(index(K:K,match($A14&amp;","&amp;index('Year Conversion'!$A:$A,match($C14,'Year Conversion'!$B:$B,0)),$Y:$Y,0))-K14,"")</f>
        <v>0.05705827646</v>
      </c>
      <c r="AC14" s="168" t="str">
        <f t="shared" si="7"/>
        <v>BRK,2013-14</v>
      </c>
    </row>
    <row r="15">
      <c r="A15" s="161" t="str">
        <f>IFERROR(__xludf.DUMMYFUNCTION("""COMPUTED_VALUE"""),"harrial01")</f>
        <v>harrial01</v>
      </c>
      <c r="B15" s="161" t="str">
        <f>IFERROR(__xludf.DUMMYFUNCTION("""COMPUTED_VALUE"""),"Al Harrington")</f>
        <v>Al Harrington</v>
      </c>
      <c r="C15" s="162" t="str">
        <f>IFERROR(__xludf.DUMMYFUNCTION("""COMPUTED_VALUE"""),"2013-14")</f>
        <v>2013-14</v>
      </c>
      <c r="D15" s="163" t="str">
        <f>IFERROR(__xludf.DUMMYFUNCTION("""COMPUTED_VALUE"""),"WAS")</f>
        <v>WAS</v>
      </c>
      <c r="E15" s="164" t="str">
        <f>IFERROR(__xludf.DUMMYFUNCTION("""COMPUTED_VALUE"""),"Movement Shooter")</f>
        <v>Movement Shooter</v>
      </c>
      <c r="F15" s="164">
        <f>IFERROR(__xludf.DUMMYFUNCTION("""COMPUTED_VALUE"""),511.365)</f>
        <v>511.365</v>
      </c>
      <c r="G15" s="163">
        <f>IFERROR(__xludf.DUMMYFUNCTION("""COMPUTED_VALUE"""),34.0)</f>
        <v>34</v>
      </c>
      <c r="H15" s="163" t="str">
        <f>IFERROR(__xludf.DUMMYFUNCTION("""COMPUTED_VALUE"""),"PF")</f>
        <v>PF</v>
      </c>
      <c r="I15" s="163">
        <f>IFERROR(__xludf.DUMMYFUNCTION("""COMPUTED_VALUE"""),33.0)</f>
        <v>33</v>
      </c>
      <c r="J15" s="165">
        <f>IFERROR(__xludf.DUMMYFUNCTION("""COMPUTED_VALUE"""),-1.73884885899543)</f>
        <v>-1.738848859</v>
      </c>
      <c r="K15" s="165">
        <f>IFERROR(__xludf.DUMMYFUNCTION("""COMPUTED_VALUE"""),-0.588208993106232)</f>
        <v>-0.5882089931</v>
      </c>
      <c r="L15" s="165">
        <f>IFERROR(__xludf.DUMMYFUNCTION("""COMPUTED_VALUE"""),-1.1506398658892)</f>
        <v>-1.150639866</v>
      </c>
      <c r="M15" s="166">
        <f t="shared" si="2"/>
        <v>0.1913793382</v>
      </c>
      <c r="N15" s="167">
        <f t="shared" si="3"/>
        <v>15.04014706</v>
      </c>
      <c r="O15" s="163">
        <f t="shared" ref="O15:Q15" si="19">rank(I15,I:I)</f>
        <v>246</v>
      </c>
      <c r="P15" s="163">
        <f t="shared" si="19"/>
        <v>3281</v>
      </c>
      <c r="Q15" s="163">
        <f t="shared" si="19"/>
        <v>2243</v>
      </c>
      <c r="R15" s="163">
        <f>IFERROR(__xludf.DUMMYFUNCTION("RANK(M15,filter(M:M,C:C=C15))"),325.0)</f>
        <v>325</v>
      </c>
      <c r="S15" s="161" t="b">
        <f t="shared" si="5"/>
        <v>0</v>
      </c>
      <c r="T15" s="161" t="b">
        <f t="array" ref="T15">index('Query Tool'!B:B,match(H15,'Query Tool'!C:C,0))</f>
        <v>1</v>
      </c>
      <c r="U15" s="161" t="b">
        <f t="array" ref="U15">index('Query Tool'!B:B,match(C15,'Query Tool'!C:C,0))</f>
        <v>0</v>
      </c>
      <c r="V15" s="161" t="b">
        <f>F15&gt;='Query Tool'!C$32</f>
        <v>1</v>
      </c>
      <c r="W15" s="161" t="b">
        <f t="array" ref="W15">index(Dropdowns!B:B,match(I15,Dropdowns!A:A,0))</f>
        <v>1</v>
      </c>
      <c r="X15" s="161" t="b">
        <f t="array" ref="X15">index('Query Tool'!B:B,match(D15,'Query Tool'!C:C,0))</f>
        <v>1</v>
      </c>
      <c r="Y15" s="161" t="str">
        <f t="shared" si="6"/>
        <v>harrial01,2013-14</v>
      </c>
      <c r="Z15" s="168" t="str">
        <f t="array" ref="Z15">iferror(index(I:I,match($A15&amp;","&amp;index('Year Conversion'!$A:$A,match($C15,'Year Conversion'!$B:$B,0)),$Y:$Y,0))-I15,"")</f>
        <v/>
      </c>
      <c r="AA15" s="168" t="str">
        <f t="array" ref="AA15">iferror(index(J:J,match($A15&amp;","&amp;index('Year Conversion'!$A:$A,match($C15,'Year Conversion'!$B:$B,0)),$Y:$Y,0))-J15,"")</f>
        <v/>
      </c>
      <c r="AB15" s="168" t="str">
        <f t="array" ref="AB15">iferror(index(K:K,match($A15&amp;","&amp;index('Year Conversion'!$A:$A,match($C15,'Year Conversion'!$B:$B,0)),$Y:$Y,0))-K15,"")</f>
        <v/>
      </c>
      <c r="AC15" s="168" t="str">
        <f t="shared" si="7"/>
        <v>WAS,2013-14</v>
      </c>
    </row>
    <row r="16">
      <c r="A16" s="161" t="str">
        <f>IFERROR(__xludf.DUMMYFUNCTION("""COMPUTED_VALUE"""),"mohamna01")</f>
        <v>mohamna01</v>
      </c>
      <c r="B16" s="161" t="str">
        <f>IFERROR(__xludf.DUMMYFUNCTION("""COMPUTED_VALUE"""),"Nazr Mohammed")</f>
        <v>Nazr Mohammed</v>
      </c>
      <c r="C16" s="162" t="str">
        <f>IFERROR(__xludf.DUMMYFUNCTION("""COMPUTED_VALUE"""),"2013-14")</f>
        <v>2013-14</v>
      </c>
      <c r="D16" s="163" t="str">
        <f>IFERROR(__xludf.DUMMYFUNCTION("""COMPUTED_VALUE"""),"CHI")</f>
        <v>CHI</v>
      </c>
      <c r="E16" s="164" t="str">
        <f>IFERROR(__xludf.DUMMYFUNCTION("""COMPUTED_VALUE"""),"Roll + Cut Big")</f>
        <v>Roll + Cut Big</v>
      </c>
      <c r="F16" s="164">
        <f>IFERROR(__xludf.DUMMYFUNCTION("""COMPUTED_VALUE"""),562.438333333333)</f>
        <v>562.4383333</v>
      </c>
      <c r="G16" s="163">
        <f>IFERROR(__xludf.DUMMYFUNCTION("""COMPUTED_VALUE"""),80.0)</f>
        <v>80</v>
      </c>
      <c r="H16" s="163" t="str">
        <f>IFERROR(__xludf.DUMMYFUNCTION("""COMPUTED_VALUE"""),"C")</f>
        <v>C</v>
      </c>
      <c r="I16" s="163">
        <f>IFERROR(__xludf.DUMMYFUNCTION("""COMPUTED_VALUE"""),36.0)</f>
        <v>36</v>
      </c>
      <c r="J16" s="165">
        <f>IFERROR(__xludf.DUMMYFUNCTION("""COMPUTED_VALUE"""),-0.749273720740883)</f>
        <v>-0.7492737207</v>
      </c>
      <c r="K16" s="165">
        <f>IFERROR(__xludf.DUMMYFUNCTION("""COMPUTED_VALUE"""),-2.82074521129138)</f>
        <v>-2.820745211</v>
      </c>
      <c r="L16" s="165">
        <f>IFERROR(__xludf.DUMMYFUNCTION("""COMPUTED_VALUE"""),2.0714714905505)</f>
        <v>2.071471491</v>
      </c>
      <c r="M16" s="166">
        <f t="shared" si="2"/>
        <v>0.583196558</v>
      </c>
      <c r="N16" s="167">
        <f t="shared" si="3"/>
        <v>7.030479167</v>
      </c>
      <c r="O16" s="163">
        <f t="shared" ref="O16:Q16" si="20">rank(I16,I:I)</f>
        <v>65</v>
      </c>
      <c r="P16" s="163">
        <f t="shared" si="20"/>
        <v>2216</v>
      </c>
      <c r="Q16" s="163">
        <f t="shared" si="20"/>
        <v>3957</v>
      </c>
      <c r="R16" s="163">
        <f>IFERROR(__xludf.DUMMYFUNCTION("RANK(M16,filter(M:M,C:C=C16))"),261.0)</f>
        <v>261</v>
      </c>
      <c r="S16" s="161" t="b">
        <f t="shared" si="5"/>
        <v>0</v>
      </c>
      <c r="T16" s="161" t="b">
        <f t="array" ref="T16">index('Query Tool'!B:B,match(H16,'Query Tool'!C:C,0))</f>
        <v>1</v>
      </c>
      <c r="U16" s="161" t="b">
        <f t="array" ref="U16">index('Query Tool'!B:B,match(C16,'Query Tool'!C:C,0))</f>
        <v>0</v>
      </c>
      <c r="V16" s="161" t="b">
        <f>F16&gt;='Query Tool'!C$32</f>
        <v>1</v>
      </c>
      <c r="W16" s="161" t="b">
        <f t="array" ref="W16">index(Dropdowns!B:B,match(I16,Dropdowns!A:A,0))</f>
        <v>1</v>
      </c>
      <c r="X16" s="161" t="b">
        <f t="array" ref="X16">index('Query Tool'!B:B,match(D16,'Query Tool'!C:C,0))</f>
        <v>1</v>
      </c>
      <c r="Y16" s="161" t="str">
        <f t="shared" si="6"/>
        <v>mohamna01,2013-14</v>
      </c>
      <c r="Z16" s="168">
        <f t="array" ref="Z16">iferror(index(I:I,match($A16&amp;","&amp;index('Year Conversion'!$A:$A,match($C16,'Year Conversion'!$B:$B,0)),$Y:$Y,0))-I16,"")</f>
        <v>1</v>
      </c>
      <c r="AA16" s="168">
        <f t="array" ref="AA16">iferror(index(J:J,match($A16&amp;","&amp;index('Year Conversion'!$A:$A,match($C16,'Year Conversion'!$B:$B,0)),$Y:$Y,0))-J16,"")</f>
        <v>-0.2460490138</v>
      </c>
      <c r="AB16" s="168">
        <f t="array" ref="AB16">iferror(index(K:K,match($A16&amp;","&amp;index('Year Conversion'!$A:$A,match($C16,'Year Conversion'!$B:$B,0)),$Y:$Y,0))-K16,"")</f>
        <v>1.790180368</v>
      </c>
      <c r="AC16" s="168" t="str">
        <f t="shared" si="7"/>
        <v>CHI,2013-14</v>
      </c>
    </row>
    <row r="17">
      <c r="A17" s="161" t="str">
        <f>IFERROR(__xludf.DUMMYFUNCTION("""COMPUTED_VALUE"""),"lewisra02")</f>
        <v>lewisra02</v>
      </c>
      <c r="B17" s="161" t="str">
        <f>IFERROR(__xludf.DUMMYFUNCTION("""COMPUTED_VALUE"""),"Rashard Lewis")</f>
        <v>Rashard Lewis</v>
      </c>
      <c r="C17" s="162" t="str">
        <f>IFERROR(__xludf.DUMMYFUNCTION("""COMPUTED_VALUE"""),"2013-14")</f>
        <v>2013-14</v>
      </c>
      <c r="D17" s="163" t="str">
        <f>IFERROR(__xludf.DUMMYFUNCTION("""COMPUTED_VALUE"""),"MIA")</f>
        <v>MIA</v>
      </c>
      <c r="E17" s="164" t="str">
        <f>IFERROR(__xludf.DUMMYFUNCTION("""COMPUTED_VALUE"""),"Stationary Shooter")</f>
        <v>Stationary Shooter</v>
      </c>
      <c r="F17" s="164">
        <f>IFERROR(__xludf.DUMMYFUNCTION("""COMPUTED_VALUE"""),971.005)</f>
        <v>971.005</v>
      </c>
      <c r="G17" s="163">
        <f>IFERROR(__xludf.DUMMYFUNCTION("""COMPUTED_VALUE"""),60.0)</f>
        <v>60</v>
      </c>
      <c r="H17" s="163" t="str">
        <f>IFERROR(__xludf.DUMMYFUNCTION("""COMPUTED_VALUE"""),"SF")</f>
        <v>SF</v>
      </c>
      <c r="I17" s="163">
        <f>IFERROR(__xludf.DUMMYFUNCTION("""COMPUTED_VALUE"""),34.0)</f>
        <v>34</v>
      </c>
      <c r="J17" s="165">
        <f>IFERROR(__xludf.DUMMYFUNCTION("""COMPUTED_VALUE"""),-0.0901496803592051)</f>
        <v>-0.09014968036</v>
      </c>
      <c r="K17" s="165">
        <f>IFERROR(__xludf.DUMMYFUNCTION("""COMPUTED_VALUE"""),-0.209267909763108)</f>
        <v>-0.2092679098</v>
      </c>
      <c r="L17" s="165">
        <f>IFERROR(__xludf.DUMMYFUNCTION("""COMPUTED_VALUE"""),0.119118229403903)</f>
        <v>0.1191182294</v>
      </c>
      <c r="M17" s="166">
        <f t="shared" si="2"/>
        <v>1.43795097</v>
      </c>
      <c r="N17" s="167">
        <f t="shared" si="3"/>
        <v>16.18341667</v>
      </c>
      <c r="O17" s="163">
        <f t="shared" ref="O17:Q17" si="21">rank(I17,I:I)</f>
        <v>164</v>
      </c>
      <c r="P17" s="163">
        <f t="shared" si="21"/>
        <v>1376</v>
      </c>
      <c r="Q17" s="163">
        <f t="shared" si="21"/>
        <v>1579</v>
      </c>
      <c r="R17" s="163">
        <f>IFERROR(__xludf.DUMMYFUNCTION("RANK(M17,filter(M:M,C:C=C17))"),188.0)</f>
        <v>188</v>
      </c>
      <c r="S17" s="161" t="b">
        <f t="shared" si="5"/>
        <v>0</v>
      </c>
      <c r="T17" s="161" t="b">
        <f t="array" ref="T17">index('Query Tool'!B:B,match(H17,'Query Tool'!C:C,0))</f>
        <v>1</v>
      </c>
      <c r="U17" s="161" t="b">
        <f t="array" ref="U17">index('Query Tool'!B:B,match(C17,'Query Tool'!C:C,0))</f>
        <v>0</v>
      </c>
      <c r="V17" s="161" t="b">
        <f>F17&gt;='Query Tool'!C$32</f>
        <v>1</v>
      </c>
      <c r="W17" s="161" t="b">
        <f t="array" ref="W17">index(Dropdowns!B:B,match(I17,Dropdowns!A:A,0))</f>
        <v>1</v>
      </c>
      <c r="X17" s="161" t="b">
        <f t="array" ref="X17">index('Query Tool'!B:B,match(D17,'Query Tool'!C:C,0))</f>
        <v>1</v>
      </c>
      <c r="Y17" s="161" t="str">
        <f t="shared" si="6"/>
        <v>lewisra02,2013-14</v>
      </c>
      <c r="Z17" s="168" t="str">
        <f t="array" ref="Z17">iferror(index(I:I,match($A17&amp;","&amp;index('Year Conversion'!$A:$A,match($C17,'Year Conversion'!$B:$B,0)),$Y:$Y,0))-I17,"")</f>
        <v/>
      </c>
      <c r="AA17" s="168" t="str">
        <f t="array" ref="AA17">iferror(index(J:J,match($A17&amp;","&amp;index('Year Conversion'!$A:$A,match($C17,'Year Conversion'!$B:$B,0)),$Y:$Y,0))-J17,"")</f>
        <v/>
      </c>
      <c r="AB17" s="168" t="str">
        <f t="array" ref="AB17">iferror(index(K:K,match($A17&amp;","&amp;index('Year Conversion'!$A:$A,match($C17,'Year Conversion'!$B:$B,0)),$Y:$Y,0))-K17,"")</f>
        <v/>
      </c>
      <c r="AC17" s="168" t="str">
        <f t="shared" si="7"/>
        <v>MIA,2013-14</v>
      </c>
    </row>
    <row r="18">
      <c r="A18" s="161" t="str">
        <f>IFERROR(__xludf.DUMMYFUNCTION("""COMPUTED_VALUE"""),"brandel01")</f>
        <v>brandel01</v>
      </c>
      <c r="B18" s="161" t="str">
        <f>IFERROR(__xludf.DUMMYFUNCTION("""COMPUTED_VALUE"""),"Elton Brand")</f>
        <v>Elton Brand</v>
      </c>
      <c r="C18" s="162" t="str">
        <f>IFERROR(__xludf.DUMMYFUNCTION("""COMPUTED_VALUE"""),"2013-14")</f>
        <v>2013-14</v>
      </c>
      <c r="D18" s="163" t="str">
        <f>IFERROR(__xludf.DUMMYFUNCTION("""COMPUTED_VALUE"""),"ATL")</f>
        <v>ATL</v>
      </c>
      <c r="E18" s="164" t="str">
        <f>IFERROR(__xludf.DUMMYFUNCTION("""COMPUTED_VALUE"""),"Roll + Cut Big")</f>
        <v>Roll + Cut Big</v>
      </c>
      <c r="F18" s="164">
        <f>IFERROR(__xludf.DUMMYFUNCTION("""COMPUTED_VALUE"""),1413.65833333333)</f>
        <v>1413.658333</v>
      </c>
      <c r="G18" s="163">
        <f>IFERROR(__xludf.DUMMYFUNCTION("""COMPUTED_VALUE"""),73.0)</f>
        <v>73</v>
      </c>
      <c r="H18" s="163" t="str">
        <f>IFERROR(__xludf.DUMMYFUNCTION("""COMPUTED_VALUE"""),"C")</f>
        <v>C</v>
      </c>
      <c r="I18" s="163">
        <f>IFERROR(__xludf.DUMMYFUNCTION("""COMPUTED_VALUE"""),34.0)</f>
        <v>34</v>
      </c>
      <c r="J18" s="165">
        <f>IFERROR(__xludf.DUMMYFUNCTION("""COMPUTED_VALUE"""),-0.098524415122508)</f>
        <v>-0.09852441512</v>
      </c>
      <c r="K18" s="165">
        <f>IFERROR(__xludf.DUMMYFUNCTION("""COMPUTED_VALUE"""),-1.93754588069556)</f>
        <v>-1.937545881</v>
      </c>
      <c r="L18" s="165">
        <f>IFERROR(__xludf.DUMMYFUNCTION("""COMPUTED_VALUE"""),1.83902146557305)</f>
        <v>1.839021466</v>
      </c>
      <c r="M18" s="166">
        <f t="shared" si="2"/>
        <v>2.085490133</v>
      </c>
      <c r="N18" s="167">
        <f t="shared" si="3"/>
        <v>19.36518265</v>
      </c>
      <c r="O18" s="163">
        <f t="shared" ref="O18:Q18" si="22">rank(I18,I:I)</f>
        <v>164</v>
      </c>
      <c r="P18" s="163">
        <f t="shared" si="22"/>
        <v>1382</v>
      </c>
      <c r="Q18" s="163">
        <f t="shared" si="22"/>
        <v>3676</v>
      </c>
      <c r="R18" s="163">
        <f>IFERROR(__xludf.DUMMYFUNCTION("RANK(M18,filter(M:M,C:C=C18))"),150.0)</f>
        <v>150</v>
      </c>
      <c r="S18" s="161" t="b">
        <f t="shared" si="5"/>
        <v>0</v>
      </c>
      <c r="T18" s="161" t="b">
        <f t="array" ref="T18">index('Query Tool'!B:B,match(H18,'Query Tool'!C:C,0))</f>
        <v>1</v>
      </c>
      <c r="U18" s="161" t="b">
        <f t="array" ref="U18">index('Query Tool'!B:B,match(C18,'Query Tool'!C:C,0))</f>
        <v>0</v>
      </c>
      <c r="V18" s="161" t="b">
        <f>F18&gt;='Query Tool'!C$32</f>
        <v>1</v>
      </c>
      <c r="W18" s="161" t="b">
        <f t="array" ref="W18">index(Dropdowns!B:B,match(I18,Dropdowns!A:A,0))</f>
        <v>1</v>
      </c>
      <c r="X18" s="161" t="b">
        <f t="array" ref="X18">index('Query Tool'!B:B,match(D18,'Query Tool'!C:C,0))</f>
        <v>1</v>
      </c>
      <c r="Y18" s="161" t="str">
        <f t="shared" si="6"/>
        <v>brandel01,2013-14</v>
      </c>
      <c r="Z18" s="168">
        <f t="array" ref="Z18">iferror(index(I:I,match($A18&amp;","&amp;index('Year Conversion'!$A:$A,match($C18,'Year Conversion'!$B:$B,0)),$Y:$Y,0))-I18,"")</f>
        <v>1</v>
      </c>
      <c r="AA18" s="168">
        <f t="array" ref="AA18">iferror(index(J:J,match($A18&amp;","&amp;index('Year Conversion'!$A:$A,match($C18,'Year Conversion'!$B:$B,0)),$Y:$Y,0))-J18,"")</f>
        <v>-1.518071575</v>
      </c>
      <c r="AB18" s="168">
        <f t="array" ref="AB18">iferror(index(K:K,match($A18&amp;","&amp;index('Year Conversion'!$A:$A,match($C18,'Year Conversion'!$B:$B,0)),$Y:$Y,0))-K18,"")</f>
        <v>-0.9819818612</v>
      </c>
      <c r="AC18" s="168" t="str">
        <f t="shared" si="7"/>
        <v>ATL,2013-14</v>
      </c>
    </row>
    <row r="19">
      <c r="A19" s="161" t="str">
        <f>IFERROR(__xludf.DUMMYFUNCTION("""COMPUTED_VALUE"""),"millean02")</f>
        <v>millean02</v>
      </c>
      <c r="B19" s="161" t="str">
        <f>IFERROR(__xludf.DUMMYFUNCTION("""COMPUTED_VALUE"""),"Andre Miller")</f>
        <v>Andre Miller</v>
      </c>
      <c r="C19" s="162" t="str">
        <f>IFERROR(__xludf.DUMMYFUNCTION("""COMPUTED_VALUE"""),"2013-14")</f>
        <v>2013-14</v>
      </c>
      <c r="D19" s="163" t="str">
        <f>IFERROR(__xludf.DUMMYFUNCTION("""COMPUTED_VALUE"""),"TOT")</f>
        <v>TOT</v>
      </c>
      <c r="E19" s="164" t="str">
        <f>IFERROR(__xludf.DUMMYFUNCTION("""COMPUTED_VALUE"""),"Shot Creator")</f>
        <v>Shot Creator</v>
      </c>
      <c r="F19" s="164">
        <f>IFERROR(__xludf.DUMMYFUNCTION("""COMPUTED_VALUE"""),981.876666666666)</f>
        <v>981.8766667</v>
      </c>
      <c r="G19" s="163">
        <f>IFERROR(__xludf.DUMMYFUNCTION("""COMPUTED_VALUE"""),58.0)</f>
        <v>58</v>
      </c>
      <c r="H19" s="163" t="str">
        <f>IFERROR(__xludf.DUMMYFUNCTION("""COMPUTED_VALUE"""),"SG")</f>
        <v>SG</v>
      </c>
      <c r="I19" s="163">
        <f>IFERROR(__xludf.DUMMYFUNCTION("""COMPUTED_VALUE"""),37.0)</f>
        <v>37</v>
      </c>
      <c r="J19" s="165">
        <f>IFERROR(__xludf.DUMMYFUNCTION("""COMPUTED_VALUE"""),0.280514735919462)</f>
        <v>0.2805147359</v>
      </c>
      <c r="K19" s="165">
        <f>IFERROR(__xludf.DUMMYFUNCTION("""COMPUTED_VALUE"""),-0.459160908422524)</f>
        <v>-0.4591609084</v>
      </c>
      <c r="L19" s="165">
        <f>IFERROR(__xludf.DUMMYFUNCTION("""COMPUTED_VALUE"""),0.739675644341986)</f>
        <v>0.7396756443</v>
      </c>
      <c r="M19" s="166">
        <f t="shared" si="2"/>
        <v>1.699398922</v>
      </c>
      <c r="N19" s="167">
        <f t="shared" si="3"/>
        <v>16.92890805</v>
      </c>
      <c r="O19" s="163">
        <f t="shared" ref="O19:Q19" si="23">rank(I19,I:I)</f>
        <v>38</v>
      </c>
      <c r="P19" s="163">
        <f t="shared" si="23"/>
        <v>1033</v>
      </c>
      <c r="Q19" s="163">
        <f t="shared" si="23"/>
        <v>2049</v>
      </c>
      <c r="R19" s="163">
        <f>IFERROR(__xludf.DUMMYFUNCTION("RANK(M19,filter(M:M,C:C=C19))"),171.0)</f>
        <v>171</v>
      </c>
      <c r="S19" s="161" t="b">
        <f t="shared" si="5"/>
        <v>0</v>
      </c>
      <c r="T19" s="161" t="b">
        <f t="array" ref="T19">index('Query Tool'!B:B,match(H19,'Query Tool'!C:C,0))</f>
        <v>1</v>
      </c>
      <c r="U19" s="161" t="b">
        <f t="array" ref="U19">index('Query Tool'!B:B,match(C19,'Query Tool'!C:C,0))</f>
        <v>0</v>
      </c>
      <c r="V19" s="161" t="b">
        <f>F19&gt;='Query Tool'!C$32</f>
        <v>1</v>
      </c>
      <c r="W19" s="161" t="b">
        <f t="array" ref="W19">index(Dropdowns!B:B,match(I19,Dropdowns!A:A,0))</f>
        <v>1</v>
      </c>
      <c r="X19" s="161" t="b">
        <f t="array" ref="X19">index('Query Tool'!B:B,match(D19,'Query Tool'!C:C,0))</f>
        <v>1</v>
      </c>
      <c r="Y19" s="161" t="str">
        <f t="shared" si="6"/>
        <v>millean02,2013-14</v>
      </c>
      <c r="Z19" s="168">
        <f t="array" ref="Z19">iferror(index(I:I,match($A19&amp;","&amp;index('Year Conversion'!$A:$A,match($C19,'Year Conversion'!$B:$B,0)),$Y:$Y,0))-I19,"")</f>
        <v>1</v>
      </c>
      <c r="AA19" s="168">
        <f t="array" ref="AA19">iferror(index(J:J,match($A19&amp;","&amp;index('Year Conversion'!$A:$A,match($C19,'Year Conversion'!$B:$B,0)),$Y:$Y,0))-J19,"")</f>
        <v>-0.892558523</v>
      </c>
      <c r="AB19" s="168">
        <f t="array" ref="AB19">iferror(index(K:K,match($A19&amp;","&amp;index('Year Conversion'!$A:$A,match($C19,'Year Conversion'!$B:$B,0)),$Y:$Y,0))-K19,"")</f>
        <v>0.5187038261</v>
      </c>
      <c r="AC19" s="168" t="str">
        <f t="shared" si="7"/>
        <v>TOT,2013-14</v>
      </c>
    </row>
    <row r="20">
      <c r="A20" s="161" t="str">
        <f>IFERROR(__xludf.DUMMYFUNCTION("""COMPUTED_VALUE"""),"mariosh01")</f>
        <v>mariosh01</v>
      </c>
      <c r="B20" s="161" t="str">
        <f>IFERROR(__xludf.DUMMYFUNCTION("""COMPUTED_VALUE"""),"Shawn Marion")</f>
        <v>Shawn Marion</v>
      </c>
      <c r="C20" s="162" t="str">
        <f>IFERROR(__xludf.DUMMYFUNCTION("""COMPUTED_VALUE"""),"2013-14")</f>
        <v>2013-14</v>
      </c>
      <c r="D20" s="163" t="str">
        <f>IFERROR(__xludf.DUMMYFUNCTION("""COMPUTED_VALUE"""),"DAL")</f>
        <v>DAL</v>
      </c>
      <c r="E20" s="164" t="str">
        <f>IFERROR(__xludf.DUMMYFUNCTION("""COMPUTED_VALUE"""),"Roll + Cut Big")</f>
        <v>Roll + Cut Big</v>
      </c>
      <c r="F20" s="164">
        <f>IFERROR(__xludf.DUMMYFUNCTION("""COMPUTED_VALUE"""),2408.69333333333)</f>
        <v>2408.693333</v>
      </c>
      <c r="G20" s="163">
        <f>IFERROR(__xludf.DUMMYFUNCTION("""COMPUTED_VALUE"""),76.0)</f>
        <v>76</v>
      </c>
      <c r="H20" s="163" t="str">
        <f>IFERROR(__xludf.DUMMYFUNCTION("""COMPUTED_VALUE"""),"SF")</f>
        <v>SF</v>
      </c>
      <c r="I20" s="163">
        <f>IFERROR(__xludf.DUMMYFUNCTION("""COMPUTED_VALUE"""),35.0)</f>
        <v>35</v>
      </c>
      <c r="J20" s="165">
        <f>IFERROR(__xludf.DUMMYFUNCTION("""COMPUTED_VALUE"""),-0.755553785756736)</f>
        <v>-0.7555537858</v>
      </c>
      <c r="K20" s="165">
        <f>IFERROR(__xludf.DUMMYFUNCTION("""COMPUTED_VALUE"""),-1.05345507250801)</f>
        <v>-1.053455073</v>
      </c>
      <c r="L20" s="165">
        <f>IFERROR(__xludf.DUMMYFUNCTION("""COMPUTED_VALUE"""),0.297901286751271)</f>
        <v>0.2979012868</v>
      </c>
      <c r="M20" s="166">
        <f t="shared" si="2"/>
        <v>2.487418042</v>
      </c>
      <c r="N20" s="167">
        <f t="shared" si="3"/>
        <v>31.69333333</v>
      </c>
      <c r="O20" s="163">
        <f t="shared" ref="O20:Q20" si="24">rank(I20,I:I)</f>
        <v>104</v>
      </c>
      <c r="P20" s="163">
        <f t="shared" si="24"/>
        <v>2221</v>
      </c>
      <c r="Q20" s="163">
        <f t="shared" si="24"/>
        <v>2875</v>
      </c>
      <c r="R20" s="163">
        <f>IFERROR(__xludf.DUMMYFUNCTION("RANK(M20,filter(M:M,C:C=C20))"),133.0)</f>
        <v>133</v>
      </c>
      <c r="S20" s="161" t="b">
        <f t="shared" si="5"/>
        <v>0</v>
      </c>
      <c r="T20" s="161" t="b">
        <f t="array" ref="T20">index('Query Tool'!B:B,match(H20,'Query Tool'!C:C,0))</f>
        <v>1</v>
      </c>
      <c r="U20" s="161" t="b">
        <f t="array" ref="U20">index('Query Tool'!B:B,match(C20,'Query Tool'!C:C,0))</f>
        <v>0</v>
      </c>
      <c r="V20" s="161" t="b">
        <f>F20&gt;='Query Tool'!C$32</f>
        <v>1</v>
      </c>
      <c r="W20" s="161" t="b">
        <f t="array" ref="W20">index(Dropdowns!B:B,match(I20,Dropdowns!A:A,0))</f>
        <v>1</v>
      </c>
      <c r="X20" s="161" t="b">
        <f t="array" ref="X20">index('Query Tool'!B:B,match(D20,'Query Tool'!C:C,0))</f>
        <v>1</v>
      </c>
      <c r="Y20" s="161" t="str">
        <f t="shared" si="6"/>
        <v>mariosh01,2013-14</v>
      </c>
      <c r="Z20" s="168">
        <f t="array" ref="Z20">iferror(index(I:I,match($A20&amp;","&amp;index('Year Conversion'!$A:$A,match($C20,'Year Conversion'!$B:$B,0)),$Y:$Y,0))-I20,"")</f>
        <v>1</v>
      </c>
      <c r="AA20" s="168">
        <f t="array" ref="AA20">iferror(index(J:J,match($A20&amp;","&amp;index('Year Conversion'!$A:$A,match($C20,'Year Conversion'!$B:$B,0)),$Y:$Y,0))-J20,"")</f>
        <v>-0.570311778</v>
      </c>
      <c r="AB20" s="168">
        <f t="array" ref="AB20">iferror(index(K:K,match($A20&amp;","&amp;index('Year Conversion'!$A:$A,match($C20,'Year Conversion'!$B:$B,0)),$Y:$Y,0))-K20,"")</f>
        <v>0.1558438389</v>
      </c>
      <c r="AC20" s="168" t="str">
        <f t="shared" si="7"/>
        <v>DAL,2013-14</v>
      </c>
    </row>
    <row r="21">
      <c r="A21" s="161" t="str">
        <f>IFERROR(__xludf.DUMMYFUNCTION("""COMPUTED_VALUE"""),"terryja01")</f>
        <v>terryja01</v>
      </c>
      <c r="B21" s="161" t="str">
        <f>IFERROR(__xludf.DUMMYFUNCTION("""COMPUTED_VALUE"""),"Jason Terry")</f>
        <v>Jason Terry</v>
      </c>
      <c r="C21" s="162" t="str">
        <f>IFERROR(__xludf.DUMMYFUNCTION("""COMPUTED_VALUE"""),"2013-14")</f>
        <v>2013-14</v>
      </c>
      <c r="D21" s="163" t="str">
        <f>IFERROR(__xludf.DUMMYFUNCTION("""COMPUTED_VALUE"""),"BRK")</f>
        <v>BRK</v>
      </c>
      <c r="E21" s="164" t="str">
        <f>IFERROR(__xludf.DUMMYFUNCTION("""COMPUTED_VALUE"""),"Stationary Shooter")</f>
        <v>Stationary Shooter</v>
      </c>
      <c r="F21" s="164">
        <f>IFERROR(__xludf.DUMMYFUNCTION("""COMPUTED_VALUE"""),570.315)</f>
        <v>570.315</v>
      </c>
      <c r="G21" s="163">
        <f>IFERROR(__xludf.DUMMYFUNCTION("""COMPUTED_VALUE"""),35.0)</f>
        <v>35</v>
      </c>
      <c r="H21" s="163" t="str">
        <f>IFERROR(__xludf.DUMMYFUNCTION("""COMPUTED_VALUE"""),"PG")</f>
        <v>PG</v>
      </c>
      <c r="I21" s="163">
        <f>IFERROR(__xludf.DUMMYFUNCTION("""COMPUTED_VALUE"""),36.0)</f>
        <v>36</v>
      </c>
      <c r="J21" s="165">
        <f>IFERROR(__xludf.DUMMYFUNCTION("""COMPUTED_VALUE"""),-2.03865951994648)</f>
        <v>-2.03865952</v>
      </c>
      <c r="K21" s="165">
        <f>IFERROR(__xludf.DUMMYFUNCTION("""COMPUTED_VALUE"""),-0.693381106046349)</f>
        <v>-0.693381106</v>
      </c>
      <c r="L21" s="165">
        <f>IFERROR(__xludf.DUMMYFUNCTION("""COMPUTED_VALUE"""),-1.34527841390013)</f>
        <v>-1.345278414</v>
      </c>
      <c r="M21" s="166">
        <f t="shared" si="2"/>
        <v>0.09986456318</v>
      </c>
      <c r="N21" s="167">
        <f t="shared" si="3"/>
        <v>16.29471429</v>
      </c>
      <c r="O21" s="163">
        <f t="shared" ref="O21:Q21" si="25">rank(I21,I:I)</f>
        <v>65</v>
      </c>
      <c r="P21" s="163">
        <f t="shared" si="25"/>
        <v>3509</v>
      </c>
      <c r="Q21" s="163">
        <f t="shared" si="25"/>
        <v>2406</v>
      </c>
      <c r="R21" s="163">
        <f>IFERROR(__xludf.DUMMYFUNCTION("RANK(M21,filter(M:M,C:C=C21))"),360.0)</f>
        <v>360</v>
      </c>
      <c r="S21" s="161" t="b">
        <f t="shared" si="5"/>
        <v>0</v>
      </c>
      <c r="T21" s="161" t="b">
        <f t="array" ref="T21">index('Query Tool'!B:B,match(H21,'Query Tool'!C:C,0))</f>
        <v>1</v>
      </c>
      <c r="U21" s="161" t="b">
        <f t="array" ref="U21">index('Query Tool'!B:B,match(C21,'Query Tool'!C:C,0))</f>
        <v>0</v>
      </c>
      <c r="V21" s="161" t="b">
        <f>F21&gt;='Query Tool'!C$32</f>
        <v>1</v>
      </c>
      <c r="W21" s="161" t="b">
        <f t="array" ref="W21">index(Dropdowns!B:B,match(I21,Dropdowns!A:A,0))</f>
        <v>1</v>
      </c>
      <c r="X21" s="161" t="b">
        <f t="array" ref="X21">index('Query Tool'!B:B,match(D21,'Query Tool'!C:C,0))</f>
        <v>1</v>
      </c>
      <c r="Y21" s="161" t="str">
        <f t="shared" si="6"/>
        <v>terryja01,2013-14</v>
      </c>
      <c r="Z21" s="168">
        <f t="array" ref="Z21">iferror(index(I:I,match($A21&amp;","&amp;index('Year Conversion'!$A:$A,match($C21,'Year Conversion'!$B:$B,0)),$Y:$Y,0))-I21,"")</f>
        <v>1</v>
      </c>
      <c r="AA21" s="168">
        <f t="array" ref="AA21">iferror(index(J:J,match($A21&amp;","&amp;index('Year Conversion'!$A:$A,match($C21,'Year Conversion'!$B:$B,0)),$Y:$Y,0))-J21,"")</f>
        <v>1.059375254</v>
      </c>
      <c r="AB21" s="168">
        <f t="array" ref="AB21">iferror(index(K:K,match($A21&amp;","&amp;index('Year Conversion'!$A:$A,match($C21,'Year Conversion'!$B:$B,0)),$Y:$Y,0))-K21,"")</f>
        <v>0.2702440589</v>
      </c>
      <c r="AC21" s="168" t="str">
        <f t="shared" si="7"/>
        <v>BRK,2013-14</v>
      </c>
    </row>
    <row r="22">
      <c r="A22" s="161" t="str">
        <f>IFERROR(__xludf.DUMMYFUNCTION("""COMPUTED_VALUE"""),"artesro01")</f>
        <v>artesro01</v>
      </c>
      <c r="B22" s="161" t="str">
        <f>IFERROR(__xludf.DUMMYFUNCTION("""COMPUTED_VALUE"""),"Metta World Peace")</f>
        <v>Metta World Peace</v>
      </c>
      <c r="C22" s="162" t="str">
        <f>IFERROR(__xludf.DUMMYFUNCTION("""COMPUTED_VALUE"""),"2013-14")</f>
        <v>2013-14</v>
      </c>
      <c r="D22" s="163" t="str">
        <f>IFERROR(__xludf.DUMMYFUNCTION("""COMPUTED_VALUE"""),"NYK")</f>
        <v>NYK</v>
      </c>
      <c r="E22" s="164" t="str">
        <f>IFERROR(__xludf.DUMMYFUNCTION("""COMPUTED_VALUE"""),"Stationary Shooter")</f>
        <v>Stationary Shooter</v>
      </c>
      <c r="F22" s="164">
        <f>IFERROR(__xludf.DUMMYFUNCTION("""COMPUTED_VALUE"""),388.203333333333)</f>
        <v>388.2033333</v>
      </c>
      <c r="G22" s="163">
        <f>IFERROR(__xludf.DUMMYFUNCTION("""COMPUTED_VALUE"""),29.0)</f>
        <v>29</v>
      </c>
      <c r="H22" s="163" t="str">
        <f>IFERROR(__xludf.DUMMYFUNCTION("""COMPUTED_VALUE"""),"SF")</f>
        <v>SF</v>
      </c>
      <c r="I22" s="163">
        <f>IFERROR(__xludf.DUMMYFUNCTION("""COMPUTED_VALUE"""),34.0)</f>
        <v>34</v>
      </c>
      <c r="J22" s="165">
        <f>IFERROR(__xludf.DUMMYFUNCTION("""COMPUTED_VALUE"""),-0.311436329747436)</f>
        <v>-0.3114363297</v>
      </c>
      <c r="K22" s="165">
        <f>IFERROR(__xludf.DUMMYFUNCTION("""COMPUTED_VALUE"""),-0.668766118835402)</f>
        <v>-0.6687661188</v>
      </c>
      <c r="L22" s="165">
        <f>IFERROR(__xludf.DUMMYFUNCTION("""COMPUTED_VALUE"""),0.357329789087966)</f>
        <v>0.3573297891</v>
      </c>
      <c r="M22" s="166">
        <f t="shared" si="2"/>
        <v>0.5169811523</v>
      </c>
      <c r="N22" s="167">
        <f t="shared" si="3"/>
        <v>13.38632184</v>
      </c>
      <c r="O22" s="163">
        <f t="shared" ref="O22:Q22" si="26">rank(I22,I:I)</f>
        <v>164</v>
      </c>
      <c r="P22" s="163">
        <f t="shared" si="26"/>
        <v>1630</v>
      </c>
      <c r="Q22" s="163">
        <f t="shared" si="26"/>
        <v>2371</v>
      </c>
      <c r="R22" s="163">
        <f>IFERROR(__xludf.DUMMYFUNCTION("RANK(M22,filter(M:M,C:C=C22))"),270.0)</f>
        <v>270</v>
      </c>
      <c r="S22" s="161" t="b">
        <f t="shared" si="5"/>
        <v>0</v>
      </c>
      <c r="T22" s="161" t="b">
        <f t="array" ref="T22">index('Query Tool'!B:B,match(H22,'Query Tool'!C:C,0))</f>
        <v>1</v>
      </c>
      <c r="U22" s="161" t="b">
        <f t="array" ref="U22">index('Query Tool'!B:B,match(C22,'Query Tool'!C:C,0))</f>
        <v>0</v>
      </c>
      <c r="V22" s="161" t="b">
        <f>F22&gt;='Query Tool'!C$32</f>
        <v>0</v>
      </c>
      <c r="W22" s="161" t="b">
        <f t="array" ref="W22">index(Dropdowns!B:B,match(I22,Dropdowns!A:A,0))</f>
        <v>1</v>
      </c>
      <c r="X22" s="161" t="b">
        <f t="array" ref="X22">index('Query Tool'!B:B,match(D22,'Query Tool'!C:C,0))</f>
        <v>1</v>
      </c>
      <c r="Y22" s="161" t="str">
        <f t="shared" si="6"/>
        <v>artesro01,2013-14</v>
      </c>
      <c r="Z22" s="168" t="str">
        <f t="array" ref="Z22">iferror(index(I:I,match($A22&amp;","&amp;index('Year Conversion'!$A:$A,match($C22,'Year Conversion'!$B:$B,0)),$Y:$Y,0))-I22,"")</f>
        <v/>
      </c>
      <c r="AA22" s="168" t="str">
        <f t="array" ref="AA22">iferror(index(J:J,match($A22&amp;","&amp;index('Year Conversion'!$A:$A,match($C22,'Year Conversion'!$B:$B,0)),$Y:$Y,0))-J22,"")</f>
        <v/>
      </c>
      <c r="AB22" s="168" t="str">
        <f t="array" ref="AB22">iferror(index(K:K,match($A22&amp;","&amp;index('Year Conversion'!$A:$A,match($C22,'Year Conversion'!$B:$B,0)),$Y:$Y,0))-K22,"")</f>
        <v/>
      </c>
      <c r="AC22" s="168" t="str">
        <f t="shared" si="7"/>
        <v>NYK,2013-14</v>
      </c>
    </row>
    <row r="23">
      <c r="A23" s="161" t="str">
        <f>IFERROR(__xludf.DUMMYFUNCTION("""COMPUTED_VALUE"""),"kirilan01")</f>
        <v>kirilan01</v>
      </c>
      <c r="B23" s="161" t="str">
        <f>IFERROR(__xludf.DUMMYFUNCTION("""COMPUTED_VALUE"""),"Andrei Kirilenko")</f>
        <v>Andrei Kirilenko</v>
      </c>
      <c r="C23" s="162" t="str">
        <f>IFERROR(__xludf.DUMMYFUNCTION("""COMPUTED_VALUE"""),"2013-14")</f>
        <v>2013-14</v>
      </c>
      <c r="D23" s="163" t="str">
        <f>IFERROR(__xludf.DUMMYFUNCTION("""COMPUTED_VALUE"""),"BRK")</f>
        <v>BRK</v>
      </c>
      <c r="E23" s="164" t="str">
        <f>IFERROR(__xludf.DUMMYFUNCTION("""COMPUTED_VALUE"""),"Roll + Cut Big")</f>
        <v>Roll + Cut Big</v>
      </c>
      <c r="F23" s="164">
        <f>IFERROR(__xludf.DUMMYFUNCTION("""COMPUTED_VALUE"""),857.308333333333)</f>
        <v>857.3083333</v>
      </c>
      <c r="G23" s="163">
        <f>IFERROR(__xludf.DUMMYFUNCTION("""COMPUTED_VALUE"""),45.0)</f>
        <v>45</v>
      </c>
      <c r="H23" s="163" t="str">
        <f>IFERROR(__xludf.DUMMYFUNCTION("""COMPUTED_VALUE"""),"PF")</f>
        <v>PF</v>
      </c>
      <c r="I23" s="163">
        <f>IFERROR(__xludf.DUMMYFUNCTION("""COMPUTED_VALUE"""),32.0)</f>
        <v>32</v>
      </c>
      <c r="J23" s="165">
        <f>IFERROR(__xludf.DUMMYFUNCTION("""COMPUTED_VALUE"""),-0.784320721195658)</f>
        <v>-0.7843207212</v>
      </c>
      <c r="K23" s="165">
        <f>IFERROR(__xludf.DUMMYFUNCTION("""COMPUTED_VALUE"""),-1.01223682614702)</f>
        <v>-1.012236826</v>
      </c>
      <c r="L23" s="165">
        <f>IFERROR(__xludf.DUMMYFUNCTION("""COMPUTED_VALUE"""),0.227916104951362)</f>
        <v>0.227916105</v>
      </c>
      <c r="M23" s="166">
        <f t="shared" si="2"/>
        <v>0.8687422897</v>
      </c>
      <c r="N23" s="167">
        <f t="shared" si="3"/>
        <v>19.0512963</v>
      </c>
      <c r="O23" s="163">
        <f t="shared" ref="O23:Q23" si="27">rank(I23,I:I)</f>
        <v>359</v>
      </c>
      <c r="P23" s="163">
        <f t="shared" si="27"/>
        <v>2252</v>
      </c>
      <c r="Q23" s="163">
        <f t="shared" si="27"/>
        <v>2818</v>
      </c>
      <c r="R23" s="163">
        <f>IFERROR(__xludf.DUMMYFUNCTION("RANK(M23,filter(M:M,C:C=C23))"),237.0)</f>
        <v>237</v>
      </c>
      <c r="S23" s="161" t="b">
        <f t="shared" si="5"/>
        <v>0</v>
      </c>
      <c r="T23" s="161" t="b">
        <f t="array" ref="T23">index('Query Tool'!B:B,match(H23,'Query Tool'!C:C,0))</f>
        <v>1</v>
      </c>
      <c r="U23" s="161" t="b">
        <f t="array" ref="U23">index('Query Tool'!B:B,match(C23,'Query Tool'!C:C,0))</f>
        <v>0</v>
      </c>
      <c r="V23" s="161" t="b">
        <f>F23&gt;='Query Tool'!C$32</f>
        <v>1</v>
      </c>
      <c r="W23" s="161" t="b">
        <f t="array" ref="W23">index(Dropdowns!B:B,match(I23,Dropdowns!A:A,0))</f>
        <v>1</v>
      </c>
      <c r="X23" s="161" t="b">
        <f t="array" ref="X23">index('Query Tool'!B:B,match(D23,'Query Tool'!C:C,0))</f>
        <v>1</v>
      </c>
      <c r="Y23" s="161" t="str">
        <f t="shared" si="6"/>
        <v>kirilan01,2013-14</v>
      </c>
      <c r="Z23" s="168">
        <f t="array" ref="Z23">iferror(index(I:I,match($A23&amp;","&amp;index('Year Conversion'!$A:$A,match($C23,'Year Conversion'!$B:$B,0)),$Y:$Y,0))-I23,"")</f>
        <v>1</v>
      </c>
      <c r="AA23" s="168">
        <f t="array" ref="AA23">iferror(index(J:J,match($A23&amp;","&amp;index('Year Conversion'!$A:$A,match($C23,'Year Conversion'!$B:$B,0)),$Y:$Y,0))-J23,"")</f>
        <v>0.4913436207</v>
      </c>
      <c r="AB23" s="168">
        <f t="array" ref="AB23">iferror(index(K:K,match($A23&amp;","&amp;index('Year Conversion'!$A:$A,match($C23,'Year Conversion'!$B:$B,0)),$Y:$Y,0))-K23,"")</f>
        <v>0.8608220378</v>
      </c>
      <c r="AC23" s="168" t="str">
        <f t="shared" si="7"/>
        <v>BRK,2013-14</v>
      </c>
    </row>
    <row r="24">
      <c r="A24" s="161" t="str">
        <f>IFERROR(__xludf.DUMMYFUNCTION("""COMPUTED_VALUE"""),"ginobma01")</f>
        <v>ginobma01</v>
      </c>
      <c r="B24" s="161" t="str">
        <f>IFERROR(__xludf.DUMMYFUNCTION("""COMPUTED_VALUE"""),"Manu Ginobili")</f>
        <v>Manu Ginobili</v>
      </c>
      <c r="C24" s="162" t="str">
        <f>IFERROR(__xludf.DUMMYFUNCTION("""COMPUTED_VALUE"""),"2013-14")</f>
        <v>2013-14</v>
      </c>
      <c r="D24" s="163" t="str">
        <f>IFERROR(__xludf.DUMMYFUNCTION("""COMPUTED_VALUE"""),"SAS")</f>
        <v>SAS</v>
      </c>
      <c r="E24" s="164" t="str">
        <f>IFERROR(__xludf.DUMMYFUNCTION("""COMPUTED_VALUE"""),"Secondary Ball Handler")</f>
        <v>Secondary Ball Handler</v>
      </c>
      <c r="F24" s="164">
        <f>IFERROR(__xludf.DUMMYFUNCTION("""COMPUTED_VALUE"""),1550.45166666667)</f>
        <v>1550.451667</v>
      </c>
      <c r="G24" s="163">
        <f>IFERROR(__xludf.DUMMYFUNCTION("""COMPUTED_VALUE"""),68.0)</f>
        <v>68</v>
      </c>
      <c r="H24" s="163" t="str">
        <f>IFERROR(__xludf.DUMMYFUNCTION("""COMPUTED_VALUE"""),"SG")</f>
        <v>SG</v>
      </c>
      <c r="I24" s="163">
        <f>IFERROR(__xludf.DUMMYFUNCTION("""COMPUTED_VALUE"""),36.0)</f>
        <v>36</v>
      </c>
      <c r="J24" s="165">
        <f>IFERROR(__xludf.DUMMYFUNCTION("""COMPUTED_VALUE"""),3.9705879654389)</f>
        <v>3.970587965</v>
      </c>
      <c r="K24" s="165">
        <f>IFERROR(__xludf.DUMMYFUNCTION("""COMPUTED_VALUE"""),3.27225883537692)</f>
        <v>3.272258835</v>
      </c>
      <c r="L24" s="165">
        <f>IFERROR(__xludf.DUMMYFUNCTION("""COMPUTED_VALUE"""),0.698329130061982)</f>
        <v>0.6983291301</v>
      </c>
      <c r="M24" s="166">
        <f t="shared" si="2"/>
        <v>6.452151734</v>
      </c>
      <c r="N24" s="167">
        <f t="shared" si="3"/>
        <v>22.8007598</v>
      </c>
      <c r="O24" s="163">
        <f t="shared" ref="O24:Q24" si="28">rank(I24,I:I)</f>
        <v>65</v>
      </c>
      <c r="P24" s="163">
        <f t="shared" si="28"/>
        <v>94</v>
      </c>
      <c r="Q24" s="163">
        <f t="shared" si="28"/>
        <v>103</v>
      </c>
      <c r="R24" s="163">
        <f>IFERROR(__xludf.DUMMYFUNCTION("RANK(M24,filter(M:M,C:C=C24))"),45.0)</f>
        <v>45</v>
      </c>
      <c r="S24" s="161" t="b">
        <f t="shared" si="5"/>
        <v>0</v>
      </c>
      <c r="T24" s="161" t="b">
        <f t="array" ref="T24">index('Query Tool'!B:B,match(H24,'Query Tool'!C:C,0))</f>
        <v>1</v>
      </c>
      <c r="U24" s="161" t="b">
        <f t="array" ref="U24">index('Query Tool'!B:B,match(C24,'Query Tool'!C:C,0))</f>
        <v>0</v>
      </c>
      <c r="V24" s="161" t="b">
        <f>F24&gt;='Query Tool'!C$32</f>
        <v>1</v>
      </c>
      <c r="W24" s="161" t="b">
        <f t="array" ref="W24">index(Dropdowns!B:B,match(I24,Dropdowns!A:A,0))</f>
        <v>1</v>
      </c>
      <c r="X24" s="161" t="b">
        <f t="array" ref="X24">index('Query Tool'!B:B,match(D24,'Query Tool'!C:C,0))</f>
        <v>1</v>
      </c>
      <c r="Y24" s="161" t="str">
        <f t="shared" si="6"/>
        <v>ginobma01,2013-14</v>
      </c>
      <c r="Z24" s="168">
        <f t="array" ref="Z24">iferror(index(I:I,match($A24&amp;","&amp;index('Year Conversion'!$A:$A,match($C24,'Year Conversion'!$B:$B,0)),$Y:$Y,0))-I24,"")</f>
        <v>1</v>
      </c>
      <c r="AA24" s="168">
        <f t="array" ref="AA24">iferror(index(J:J,match($A24&amp;","&amp;index('Year Conversion'!$A:$A,match($C24,'Year Conversion'!$B:$B,0)),$Y:$Y,0))-J24,"")</f>
        <v>-2.090220084</v>
      </c>
      <c r="AB24" s="168">
        <f t="array" ref="AB24">iferror(index(K:K,match($A24&amp;","&amp;index('Year Conversion'!$A:$A,match($C24,'Year Conversion'!$B:$B,0)),$Y:$Y,0))-K24,"")</f>
        <v>-2.624597677</v>
      </c>
      <c r="AC24" s="168" t="str">
        <f t="shared" si="7"/>
        <v>SAS,2013-14</v>
      </c>
    </row>
    <row r="25">
      <c r="A25" s="161" t="str">
        <f>IFERROR(__xludf.DUMMYFUNCTION("""COMPUTED_VALUE"""),"martike01")</f>
        <v>martike01</v>
      </c>
      <c r="B25" s="161" t="str">
        <f>IFERROR(__xludf.DUMMYFUNCTION("""COMPUTED_VALUE"""),"Kenyon Martin")</f>
        <v>Kenyon Martin</v>
      </c>
      <c r="C25" s="162" t="str">
        <f>IFERROR(__xludf.DUMMYFUNCTION("""COMPUTED_VALUE"""),"2013-14")</f>
        <v>2013-14</v>
      </c>
      <c r="D25" s="163" t="str">
        <f>IFERROR(__xludf.DUMMYFUNCTION("""COMPUTED_VALUE"""),"NYK")</f>
        <v>NYK</v>
      </c>
      <c r="E25" s="164" t="str">
        <f>IFERROR(__xludf.DUMMYFUNCTION("""COMPUTED_VALUE"""),"Roll + Cut Big")</f>
        <v>Roll + Cut Big</v>
      </c>
      <c r="F25" s="164">
        <f>IFERROR(__xludf.DUMMYFUNCTION("""COMPUTED_VALUE"""),632.955)</f>
        <v>632.955</v>
      </c>
      <c r="G25" s="163">
        <f>IFERROR(__xludf.DUMMYFUNCTION("""COMPUTED_VALUE"""),32.0)</f>
        <v>32</v>
      </c>
      <c r="H25" s="163" t="str">
        <f>IFERROR(__xludf.DUMMYFUNCTION("""COMPUTED_VALUE"""),"PF")</f>
        <v>PF</v>
      </c>
      <c r="I25" s="163">
        <f>IFERROR(__xludf.DUMMYFUNCTION("""COMPUTED_VALUE"""),36.0)</f>
        <v>36</v>
      </c>
      <c r="J25" s="165">
        <f>IFERROR(__xludf.DUMMYFUNCTION("""COMPUTED_VALUE"""),0.610494742241405)</f>
        <v>0.6104947422</v>
      </c>
      <c r="K25" s="165">
        <f>IFERROR(__xludf.DUMMYFUNCTION("""COMPUTED_VALUE"""),-1.56012506311517)</f>
        <v>-1.560125063</v>
      </c>
      <c r="L25" s="165">
        <f>IFERROR(__xludf.DUMMYFUNCTION("""COMPUTED_VALUE"""),2.17061980535657)</f>
        <v>2.170619805</v>
      </c>
      <c r="M25" s="166">
        <f t="shared" si="2"/>
        <v>1.236188354</v>
      </c>
      <c r="N25" s="167">
        <f t="shared" si="3"/>
        <v>19.77984375</v>
      </c>
      <c r="O25" s="163">
        <f t="shared" ref="O25:Q25" si="29">rank(I25,I:I)</f>
        <v>65</v>
      </c>
      <c r="P25" s="163">
        <f t="shared" si="29"/>
        <v>841</v>
      </c>
      <c r="Q25" s="163">
        <f t="shared" si="29"/>
        <v>3411</v>
      </c>
      <c r="R25" s="163">
        <f>IFERROR(__xludf.DUMMYFUNCTION("RANK(M25,filter(M:M,C:C=C25))"),209.0)</f>
        <v>209</v>
      </c>
      <c r="S25" s="161" t="b">
        <f t="shared" si="5"/>
        <v>0</v>
      </c>
      <c r="T25" s="161" t="b">
        <f t="array" ref="T25">index('Query Tool'!B:B,match(H25,'Query Tool'!C:C,0))</f>
        <v>1</v>
      </c>
      <c r="U25" s="161" t="b">
        <f t="array" ref="U25">index('Query Tool'!B:B,match(C25,'Query Tool'!C:C,0))</f>
        <v>0</v>
      </c>
      <c r="V25" s="161" t="b">
        <f>F25&gt;='Query Tool'!C$32</f>
        <v>1</v>
      </c>
      <c r="W25" s="161" t="b">
        <f t="array" ref="W25">index(Dropdowns!B:B,match(I25,Dropdowns!A:A,0))</f>
        <v>1</v>
      </c>
      <c r="X25" s="161" t="b">
        <f t="array" ref="X25">index('Query Tool'!B:B,match(D25,'Query Tool'!C:C,0))</f>
        <v>1</v>
      </c>
      <c r="Y25" s="161" t="str">
        <f t="shared" si="6"/>
        <v>martike01,2013-14</v>
      </c>
      <c r="Z25" s="168">
        <f t="array" ref="Z25">iferror(index(I:I,match($A25&amp;","&amp;index('Year Conversion'!$A:$A,match($C25,'Year Conversion'!$B:$B,0)),$Y:$Y,0))-I25,"")</f>
        <v>1</v>
      </c>
      <c r="AA25" s="168">
        <f t="array" ref="AA25">iferror(index(J:J,match($A25&amp;","&amp;index('Year Conversion'!$A:$A,match($C25,'Year Conversion'!$B:$B,0)),$Y:$Y,0))-J25,"")</f>
        <v>-1.347775516</v>
      </c>
      <c r="AB25" s="168">
        <f t="array" ref="AB25">iferror(index(K:K,match($A25&amp;","&amp;index('Year Conversion'!$A:$A,match($C25,'Year Conversion'!$B:$B,0)),$Y:$Y,0))-K25,"")</f>
        <v>0.7582594333</v>
      </c>
      <c r="AC25" s="168" t="str">
        <f t="shared" si="7"/>
        <v>NYK,2013-14</v>
      </c>
    </row>
    <row r="26">
      <c r="A26" s="161" t="str">
        <f>IFERROR(__xludf.DUMMYFUNCTION("""COMPUTED_VALUE"""),"millemi01")</f>
        <v>millemi01</v>
      </c>
      <c r="B26" s="161" t="str">
        <f>IFERROR(__xludf.DUMMYFUNCTION("""COMPUTED_VALUE"""),"Mike Miller")</f>
        <v>Mike Miller</v>
      </c>
      <c r="C26" s="162" t="str">
        <f>IFERROR(__xludf.DUMMYFUNCTION("""COMPUTED_VALUE"""),"2013-14")</f>
        <v>2013-14</v>
      </c>
      <c r="D26" s="163" t="str">
        <f>IFERROR(__xludf.DUMMYFUNCTION("""COMPUTED_VALUE"""),"MEM")</f>
        <v>MEM</v>
      </c>
      <c r="E26" s="164" t="str">
        <f>IFERROR(__xludf.DUMMYFUNCTION("""COMPUTED_VALUE"""),"Off Screen Shooter")</f>
        <v>Off Screen Shooter</v>
      </c>
      <c r="F26" s="164">
        <f>IFERROR(__xludf.DUMMYFUNCTION("""COMPUTED_VALUE"""),1706.48)</f>
        <v>1706.48</v>
      </c>
      <c r="G26" s="163">
        <f>IFERROR(__xludf.DUMMYFUNCTION("""COMPUTED_VALUE"""),82.0)</f>
        <v>82</v>
      </c>
      <c r="H26" s="163" t="str">
        <f>IFERROR(__xludf.DUMMYFUNCTION("""COMPUTED_VALUE"""),"SF")</f>
        <v>SF</v>
      </c>
      <c r="I26" s="163">
        <f>IFERROR(__xludf.DUMMYFUNCTION("""COMPUTED_VALUE"""),33.0)</f>
        <v>33</v>
      </c>
      <c r="J26" s="165">
        <f>IFERROR(__xludf.DUMMYFUNCTION("""COMPUTED_VALUE"""),-2.01503406474981)</f>
        <v>-2.015034065</v>
      </c>
      <c r="K26" s="165">
        <f>IFERROR(__xludf.DUMMYFUNCTION("""COMPUTED_VALUE"""),-0.636651134607859)</f>
        <v>-0.6366511346</v>
      </c>
      <c r="L26" s="165">
        <f>IFERROR(__xludf.DUMMYFUNCTION("""COMPUTED_VALUE"""),-1.37838293014195)</f>
        <v>-1.37838293</v>
      </c>
      <c r="M26" s="166">
        <f t="shared" si="2"/>
        <v>0.3255326201</v>
      </c>
      <c r="N26" s="167">
        <f t="shared" si="3"/>
        <v>20.81073171</v>
      </c>
      <c r="O26" s="163">
        <f t="shared" ref="O26:Q26" si="30">rank(I26,I:I)</f>
        <v>246</v>
      </c>
      <c r="P26" s="163">
        <f t="shared" si="30"/>
        <v>3489</v>
      </c>
      <c r="Q26" s="163">
        <f t="shared" si="30"/>
        <v>2316</v>
      </c>
      <c r="R26" s="163">
        <f>IFERROR(__xludf.DUMMYFUNCTION("RANK(M26,filter(M:M,C:C=C26))"),295.0)</f>
        <v>295</v>
      </c>
      <c r="S26" s="161" t="b">
        <f t="shared" si="5"/>
        <v>0</v>
      </c>
      <c r="T26" s="161" t="b">
        <f t="array" ref="T26">index('Query Tool'!B:B,match(H26,'Query Tool'!C:C,0))</f>
        <v>1</v>
      </c>
      <c r="U26" s="161" t="b">
        <f t="array" ref="U26">index('Query Tool'!B:B,match(C26,'Query Tool'!C:C,0))</f>
        <v>0</v>
      </c>
      <c r="V26" s="161" t="b">
        <f>F26&gt;='Query Tool'!C$32</f>
        <v>1</v>
      </c>
      <c r="W26" s="161" t="b">
        <f t="array" ref="W26">index(Dropdowns!B:B,match(I26,Dropdowns!A:A,0))</f>
        <v>1</v>
      </c>
      <c r="X26" s="161" t="b">
        <f t="array" ref="X26">index('Query Tool'!B:B,match(D26,'Query Tool'!C:C,0))</f>
        <v>1</v>
      </c>
      <c r="Y26" s="161" t="str">
        <f t="shared" si="6"/>
        <v>millemi01,2013-14</v>
      </c>
      <c r="Z26" s="168">
        <f t="array" ref="Z26">iferror(index(I:I,match($A26&amp;","&amp;index('Year Conversion'!$A:$A,match($C26,'Year Conversion'!$B:$B,0)),$Y:$Y,0))-I26,"")</f>
        <v>1</v>
      </c>
      <c r="AA26" s="168">
        <f t="array" ref="AA26">iferror(index(J:J,match($A26&amp;","&amp;index('Year Conversion'!$A:$A,match($C26,'Year Conversion'!$B:$B,0)),$Y:$Y,0))-J26,"")</f>
        <v>-0.5842469887</v>
      </c>
      <c r="AB26" s="168">
        <f t="array" ref="AB26">iferror(index(K:K,match($A26&amp;","&amp;index('Year Conversion'!$A:$A,match($C26,'Year Conversion'!$B:$B,0)),$Y:$Y,0))-K26,"")</f>
        <v>-1.703112958</v>
      </c>
      <c r="AC26" s="168" t="str">
        <f t="shared" si="7"/>
        <v>MEM,2013-14</v>
      </c>
    </row>
    <row r="27">
      <c r="A27" s="161" t="str">
        <f>IFERROR(__xludf.DUMMYFUNCTION("""COMPUTED_VALUE"""),"crawfja01")</f>
        <v>crawfja01</v>
      </c>
      <c r="B27" s="161" t="str">
        <f>IFERROR(__xludf.DUMMYFUNCTION("""COMPUTED_VALUE"""),"Jamal Crawford")</f>
        <v>Jamal Crawford</v>
      </c>
      <c r="C27" s="162" t="str">
        <f>IFERROR(__xludf.DUMMYFUNCTION("""COMPUTED_VALUE"""),"2013-14")</f>
        <v>2013-14</v>
      </c>
      <c r="D27" s="163" t="str">
        <f>IFERROR(__xludf.DUMMYFUNCTION("""COMPUTED_VALUE"""),"LAC")</f>
        <v>LAC</v>
      </c>
      <c r="E27" s="164" t="str">
        <f>IFERROR(__xludf.DUMMYFUNCTION("""COMPUTED_VALUE"""),"Shot Creator")</f>
        <v>Shot Creator</v>
      </c>
      <c r="F27" s="164">
        <f>IFERROR(__xludf.DUMMYFUNCTION("""COMPUTED_VALUE"""),2094.30166666667)</f>
        <v>2094.301667</v>
      </c>
      <c r="G27" s="163">
        <f>IFERROR(__xludf.DUMMYFUNCTION("""COMPUTED_VALUE"""),69.0)</f>
        <v>69</v>
      </c>
      <c r="H27" s="163" t="str">
        <f>IFERROR(__xludf.DUMMYFUNCTION("""COMPUTED_VALUE"""),"SG")</f>
        <v>SG</v>
      </c>
      <c r="I27" s="163">
        <f>IFERROR(__xludf.DUMMYFUNCTION("""COMPUTED_VALUE"""),33.0)</f>
        <v>33</v>
      </c>
      <c r="J27" s="165">
        <f>IFERROR(__xludf.DUMMYFUNCTION("""COMPUTED_VALUE"""),0.314530107807955)</f>
        <v>0.3145301078</v>
      </c>
      <c r="K27" s="165">
        <f>IFERROR(__xludf.DUMMYFUNCTION("""COMPUTED_VALUE"""),2.89749457541997)</f>
        <v>2.897494575</v>
      </c>
      <c r="L27" s="165">
        <f>IFERROR(__xludf.DUMMYFUNCTION("""COMPUTED_VALUE"""),-2.58296446761202)</f>
        <v>-2.582964468</v>
      </c>
      <c r="M27" s="166">
        <f t="shared" si="2"/>
        <v>3.672756987</v>
      </c>
      <c r="N27" s="167">
        <f t="shared" si="3"/>
        <v>30.35219807</v>
      </c>
      <c r="O27" s="163">
        <f t="shared" ref="O27:Q27" si="31">rank(I27,I:I)</f>
        <v>246</v>
      </c>
      <c r="P27" s="163">
        <f t="shared" si="31"/>
        <v>1008</v>
      </c>
      <c r="Q27" s="163">
        <f t="shared" si="31"/>
        <v>130</v>
      </c>
      <c r="R27" s="163">
        <f>IFERROR(__xludf.DUMMYFUNCTION("RANK(M27,filter(M:M,C:C=C27))"),93.0)</f>
        <v>93</v>
      </c>
      <c r="S27" s="161" t="b">
        <f t="shared" si="5"/>
        <v>0</v>
      </c>
      <c r="T27" s="161" t="b">
        <f t="array" ref="T27">index('Query Tool'!B:B,match(H27,'Query Tool'!C:C,0))</f>
        <v>1</v>
      </c>
      <c r="U27" s="161" t="b">
        <f t="array" ref="U27">index('Query Tool'!B:B,match(C27,'Query Tool'!C:C,0))</f>
        <v>0</v>
      </c>
      <c r="V27" s="161" t="b">
        <f>F27&gt;='Query Tool'!C$32</f>
        <v>1</v>
      </c>
      <c r="W27" s="161" t="b">
        <f t="array" ref="W27">index(Dropdowns!B:B,match(I27,Dropdowns!A:A,0))</f>
        <v>1</v>
      </c>
      <c r="X27" s="161" t="b">
        <f t="array" ref="X27">index('Query Tool'!B:B,match(D27,'Query Tool'!C:C,0))</f>
        <v>1</v>
      </c>
      <c r="Y27" s="161" t="str">
        <f t="shared" si="6"/>
        <v>crawfja01,2013-14</v>
      </c>
      <c r="Z27" s="168">
        <f t="array" ref="Z27">iferror(index(I:I,match($A27&amp;","&amp;index('Year Conversion'!$A:$A,match($C27,'Year Conversion'!$B:$B,0)),$Y:$Y,0))-I27,"")</f>
        <v>1</v>
      </c>
      <c r="AA27" s="168">
        <f t="array" ref="AA27">iferror(index(J:J,match($A27&amp;","&amp;index('Year Conversion'!$A:$A,match($C27,'Year Conversion'!$B:$B,0)),$Y:$Y,0))-J27,"")</f>
        <v>-1.09295262</v>
      </c>
      <c r="AB27" s="168">
        <f t="array" ref="AB27">iferror(index(K:K,match($A27&amp;","&amp;index('Year Conversion'!$A:$A,match($C27,'Year Conversion'!$B:$B,0)),$Y:$Y,0))-K27,"")</f>
        <v>-1.059469797</v>
      </c>
      <c r="AC27" s="168" t="str">
        <f t="shared" si="7"/>
        <v>LAC,2013-14</v>
      </c>
    </row>
    <row r="28">
      <c r="A28" s="161" t="str">
        <f>IFERROR(__xludf.DUMMYFUNCTION("""COMPUTED_VALUE"""),"turkohe01")</f>
        <v>turkohe01</v>
      </c>
      <c r="B28" s="161" t="str">
        <f>IFERROR(__xludf.DUMMYFUNCTION("""COMPUTED_VALUE"""),"Hedo Turkoglu")</f>
        <v>Hedo Turkoglu</v>
      </c>
      <c r="C28" s="162" t="str">
        <f>IFERROR(__xludf.DUMMYFUNCTION("""COMPUTED_VALUE"""),"2013-14")</f>
        <v>2013-14</v>
      </c>
      <c r="D28" s="163" t="str">
        <f>IFERROR(__xludf.DUMMYFUNCTION("""COMPUTED_VALUE"""),"LAC")</f>
        <v>LAC</v>
      </c>
      <c r="E28" s="164" t="str">
        <f>IFERROR(__xludf.DUMMYFUNCTION("""COMPUTED_VALUE"""),"Stationary Shooter")</f>
        <v>Stationary Shooter</v>
      </c>
      <c r="F28" s="164">
        <f>IFERROR(__xludf.DUMMYFUNCTION("""COMPUTED_VALUE"""),391.885)</f>
        <v>391.885</v>
      </c>
      <c r="G28" s="163">
        <f>IFERROR(__xludf.DUMMYFUNCTION("""COMPUTED_VALUE"""),38.0)</f>
        <v>38</v>
      </c>
      <c r="H28" s="163" t="str">
        <f>IFERROR(__xludf.DUMMYFUNCTION("""COMPUTED_VALUE"""),"SF")</f>
        <v>SF</v>
      </c>
      <c r="I28" s="163">
        <f>IFERROR(__xludf.DUMMYFUNCTION("""COMPUTED_VALUE"""),34.0)</f>
        <v>34</v>
      </c>
      <c r="J28" s="165">
        <f>IFERROR(__xludf.DUMMYFUNCTION("""COMPUTED_VALUE"""),-0.565494157317782)</f>
        <v>-0.5654941573</v>
      </c>
      <c r="K28" s="165">
        <f>IFERROR(__xludf.DUMMYFUNCTION("""COMPUTED_VALUE"""),-0.973355330603834)</f>
        <v>-0.9733553306</v>
      </c>
      <c r="L28" s="165">
        <f>IFERROR(__xludf.DUMMYFUNCTION("""COMPUTED_VALUE"""),0.407861173286052)</f>
        <v>0.4078611733</v>
      </c>
      <c r="M28" s="166">
        <f t="shared" si="2"/>
        <v>0.4548160646</v>
      </c>
      <c r="N28" s="167">
        <f t="shared" si="3"/>
        <v>10.31276316</v>
      </c>
      <c r="O28" s="163">
        <f t="shared" ref="O28:Q28" si="32">rank(I28,I:I)</f>
        <v>164</v>
      </c>
      <c r="P28" s="163">
        <f t="shared" si="32"/>
        <v>1942</v>
      </c>
      <c r="Q28" s="163">
        <f t="shared" si="32"/>
        <v>2771</v>
      </c>
      <c r="R28" s="163">
        <f>IFERROR(__xludf.DUMMYFUNCTION("RANK(M28,filter(M:M,C:C=C28))"),285.0)</f>
        <v>285</v>
      </c>
      <c r="S28" s="161" t="b">
        <f t="shared" si="5"/>
        <v>0</v>
      </c>
      <c r="T28" s="161" t="b">
        <f t="array" ref="T28">index('Query Tool'!B:B,match(H28,'Query Tool'!C:C,0))</f>
        <v>1</v>
      </c>
      <c r="U28" s="161" t="b">
        <f t="array" ref="U28">index('Query Tool'!B:B,match(C28,'Query Tool'!C:C,0))</f>
        <v>0</v>
      </c>
      <c r="V28" s="161" t="b">
        <f>F28&gt;='Query Tool'!C$32</f>
        <v>0</v>
      </c>
      <c r="W28" s="161" t="b">
        <f t="array" ref="W28">index(Dropdowns!B:B,match(I28,Dropdowns!A:A,0))</f>
        <v>1</v>
      </c>
      <c r="X28" s="161" t="b">
        <f t="array" ref="X28">index('Query Tool'!B:B,match(D28,'Query Tool'!C:C,0))</f>
        <v>1</v>
      </c>
      <c r="Y28" s="161" t="str">
        <f t="shared" si="6"/>
        <v>turkohe01,2013-14</v>
      </c>
      <c r="Z28" s="168">
        <f t="array" ref="Z28">iferror(index(I:I,match($A28&amp;","&amp;index('Year Conversion'!$A:$A,match($C28,'Year Conversion'!$B:$B,0)),$Y:$Y,0))-I28,"")</f>
        <v>1</v>
      </c>
      <c r="AA28" s="168">
        <f t="array" ref="AA28">iferror(index(J:J,match($A28&amp;","&amp;index('Year Conversion'!$A:$A,match($C28,'Year Conversion'!$B:$B,0)),$Y:$Y,0))-J28,"")</f>
        <v>-1.436443351</v>
      </c>
      <c r="AB28" s="168">
        <f t="array" ref="AB28">iferror(index(K:K,match($A28&amp;","&amp;index('Year Conversion'!$A:$A,match($C28,'Year Conversion'!$B:$B,0)),$Y:$Y,0))-K28,"")</f>
        <v>-0.4403200735</v>
      </c>
      <c r="AC28" s="168" t="str">
        <f t="shared" si="7"/>
        <v>LAC,2013-14</v>
      </c>
    </row>
    <row r="29">
      <c r="A29" s="161" t="str">
        <f>IFERROR(__xludf.DUMMYFUNCTION("""COMPUTED_VALUE"""),"chandty01")</f>
        <v>chandty01</v>
      </c>
      <c r="B29" s="161" t="str">
        <f>IFERROR(__xludf.DUMMYFUNCTION("""COMPUTED_VALUE"""),"Tyson Chandler")</f>
        <v>Tyson Chandler</v>
      </c>
      <c r="C29" s="162" t="str">
        <f>IFERROR(__xludf.DUMMYFUNCTION("""COMPUTED_VALUE"""),"2013-14")</f>
        <v>2013-14</v>
      </c>
      <c r="D29" s="163" t="str">
        <f>IFERROR(__xludf.DUMMYFUNCTION("""COMPUTED_VALUE"""),"NYK")</f>
        <v>NYK</v>
      </c>
      <c r="E29" s="164" t="str">
        <f>IFERROR(__xludf.DUMMYFUNCTION("""COMPUTED_VALUE"""),"Roll + Cut Big")</f>
        <v>Roll + Cut Big</v>
      </c>
      <c r="F29" s="164">
        <f>IFERROR(__xludf.DUMMYFUNCTION("""COMPUTED_VALUE"""),1661.91333333333)</f>
        <v>1661.913333</v>
      </c>
      <c r="G29" s="163">
        <f>IFERROR(__xludf.DUMMYFUNCTION("""COMPUTED_VALUE"""),55.0)</f>
        <v>55</v>
      </c>
      <c r="H29" s="163" t="str">
        <f>IFERROR(__xludf.DUMMYFUNCTION("""COMPUTED_VALUE"""),"C")</f>
        <v>C</v>
      </c>
      <c r="I29" s="163">
        <f>IFERROR(__xludf.DUMMYFUNCTION("""COMPUTED_VALUE"""),31.0)</f>
        <v>31</v>
      </c>
      <c r="J29" s="165">
        <f>IFERROR(__xludf.DUMMYFUNCTION("""COMPUTED_VALUE"""),0.840624451385195)</f>
        <v>0.8406244514</v>
      </c>
      <c r="K29" s="165">
        <f>IFERROR(__xludf.DUMMYFUNCTION("""COMPUTED_VALUE"""),-0.900031384954781)</f>
        <v>-0.900031385</v>
      </c>
      <c r="L29" s="165">
        <f>IFERROR(__xludf.DUMMYFUNCTION("""COMPUTED_VALUE"""),1.74065583633998)</f>
        <v>1.740655836</v>
      </c>
      <c r="M29" s="166">
        <f t="shared" si="2"/>
        <v>3.503066372</v>
      </c>
      <c r="N29" s="167">
        <f t="shared" si="3"/>
        <v>30.21660606</v>
      </c>
      <c r="O29" s="163">
        <f t="shared" ref="O29:Q29" si="33">rank(I29,I:I)</f>
        <v>490</v>
      </c>
      <c r="P29" s="163">
        <f t="shared" si="33"/>
        <v>718</v>
      </c>
      <c r="Q29" s="163">
        <f t="shared" si="33"/>
        <v>2691</v>
      </c>
      <c r="R29" s="163">
        <f>IFERROR(__xludf.DUMMYFUNCTION("RANK(M29,filter(M:M,C:C=C29))"),98.0)</f>
        <v>98</v>
      </c>
      <c r="S29" s="161" t="b">
        <f t="shared" si="5"/>
        <v>0</v>
      </c>
      <c r="T29" s="161" t="b">
        <f t="array" ref="T29">index('Query Tool'!B:B,match(H29,'Query Tool'!C:C,0))</f>
        <v>1</v>
      </c>
      <c r="U29" s="161" t="b">
        <f t="array" ref="U29">index('Query Tool'!B:B,match(C29,'Query Tool'!C:C,0))</f>
        <v>0</v>
      </c>
      <c r="V29" s="161" t="b">
        <f>F29&gt;='Query Tool'!C$32</f>
        <v>1</v>
      </c>
      <c r="W29" s="161" t="b">
        <f t="array" ref="W29">index(Dropdowns!B:B,match(I29,Dropdowns!A:A,0))</f>
        <v>1</v>
      </c>
      <c r="X29" s="161" t="b">
        <f t="array" ref="X29">index('Query Tool'!B:B,match(D29,'Query Tool'!C:C,0))</f>
        <v>1</v>
      </c>
      <c r="Y29" s="161" t="str">
        <f t="shared" si="6"/>
        <v>chandty01,2013-14</v>
      </c>
      <c r="Z29" s="168">
        <f t="array" ref="Z29">iferror(index(I:I,match($A29&amp;","&amp;index('Year Conversion'!$A:$A,match($C29,'Year Conversion'!$B:$B,0)),$Y:$Y,0))-I29,"")</f>
        <v>1</v>
      </c>
      <c r="AA29" s="168">
        <f t="array" ref="AA29">iferror(index(J:J,match($A29&amp;","&amp;index('Year Conversion'!$A:$A,match($C29,'Year Conversion'!$B:$B,0)),$Y:$Y,0))-J29,"")</f>
        <v>0.8570049651</v>
      </c>
      <c r="AB29" s="168">
        <f t="array" ref="AB29">iferror(index(K:K,match($A29&amp;","&amp;index('Year Conversion'!$A:$A,match($C29,'Year Conversion'!$B:$B,0)),$Y:$Y,0))-K29,"")</f>
        <v>0.557273578</v>
      </c>
      <c r="AC29" s="168" t="str">
        <f t="shared" si="7"/>
        <v>NYK,2013-14</v>
      </c>
    </row>
    <row r="30">
      <c r="A30" s="161" t="str">
        <f>IFERROR(__xludf.DUMMYFUNCTION("""COMPUTED_VALUE"""),"gasolpa01")</f>
        <v>gasolpa01</v>
      </c>
      <c r="B30" s="161" t="str">
        <f>IFERROR(__xludf.DUMMYFUNCTION("""COMPUTED_VALUE"""),"Pau Gasol")</f>
        <v>Pau Gasol</v>
      </c>
      <c r="C30" s="162" t="str">
        <f>IFERROR(__xludf.DUMMYFUNCTION("""COMPUTED_VALUE"""),"2013-14")</f>
        <v>2013-14</v>
      </c>
      <c r="D30" s="163" t="str">
        <f>IFERROR(__xludf.DUMMYFUNCTION("""COMPUTED_VALUE"""),"LAL")</f>
        <v>LAL</v>
      </c>
      <c r="E30" s="164" t="str">
        <f>IFERROR(__xludf.DUMMYFUNCTION("""COMPUTED_VALUE"""),"Post Scorer")</f>
        <v>Post Scorer</v>
      </c>
      <c r="F30" s="164">
        <f>IFERROR(__xludf.DUMMYFUNCTION("""COMPUTED_VALUE"""),1884.22166666667)</f>
        <v>1884.221667</v>
      </c>
      <c r="G30" s="163">
        <f>IFERROR(__xludf.DUMMYFUNCTION("""COMPUTED_VALUE"""),60.0)</f>
        <v>60</v>
      </c>
      <c r="H30" s="163" t="str">
        <f>IFERROR(__xludf.DUMMYFUNCTION("""COMPUTED_VALUE"""),"C")</f>
        <v>C</v>
      </c>
      <c r="I30" s="163">
        <f>IFERROR(__xludf.DUMMYFUNCTION("""COMPUTED_VALUE"""),33.0)</f>
        <v>33</v>
      </c>
      <c r="J30" s="165">
        <f>IFERROR(__xludf.DUMMYFUNCTION("""COMPUTED_VALUE"""),-0.808646248775143)</f>
        <v>-0.8086462488</v>
      </c>
      <c r="K30" s="165">
        <f>IFERROR(__xludf.DUMMYFUNCTION("""COMPUTED_VALUE"""),-0.441721375494565)</f>
        <v>-0.4417213755</v>
      </c>
      <c r="L30" s="165">
        <f>IFERROR(__xludf.DUMMYFUNCTION("""COMPUTED_VALUE"""),-0.366924873280578)</f>
        <v>-0.3669248733</v>
      </c>
      <c r="M30" s="166">
        <f t="shared" si="2"/>
        <v>1.87853189</v>
      </c>
      <c r="N30" s="167">
        <f t="shared" si="3"/>
        <v>31.40369444</v>
      </c>
      <c r="O30" s="163">
        <f t="shared" ref="O30:Q30" si="34">rank(I30,I:I)</f>
        <v>246</v>
      </c>
      <c r="P30" s="163">
        <f t="shared" si="34"/>
        <v>2289</v>
      </c>
      <c r="Q30" s="163">
        <f t="shared" si="34"/>
        <v>2019</v>
      </c>
      <c r="R30" s="163">
        <f>IFERROR(__xludf.DUMMYFUNCTION("RANK(M30,filter(M:M,C:C=C30))"),161.0)</f>
        <v>161</v>
      </c>
      <c r="S30" s="161" t="b">
        <f t="shared" si="5"/>
        <v>0</v>
      </c>
      <c r="T30" s="161" t="b">
        <f t="array" ref="T30">index('Query Tool'!B:B,match(H30,'Query Tool'!C:C,0))</f>
        <v>1</v>
      </c>
      <c r="U30" s="161" t="b">
        <f t="array" ref="U30">index('Query Tool'!B:B,match(C30,'Query Tool'!C:C,0))</f>
        <v>0</v>
      </c>
      <c r="V30" s="161" t="b">
        <f>F30&gt;='Query Tool'!C$32</f>
        <v>1</v>
      </c>
      <c r="W30" s="161" t="b">
        <f t="array" ref="W30">index(Dropdowns!B:B,match(I30,Dropdowns!A:A,0))</f>
        <v>1</v>
      </c>
      <c r="X30" s="161" t="b">
        <f t="array" ref="X30">index('Query Tool'!B:B,match(D30,'Query Tool'!C:C,0))</f>
        <v>1</v>
      </c>
      <c r="Y30" s="161" t="str">
        <f t="shared" si="6"/>
        <v>gasolpa01,2013-14</v>
      </c>
      <c r="Z30" s="168">
        <f t="array" ref="Z30">iferror(index(I:I,match($A30&amp;","&amp;index('Year Conversion'!$A:$A,match($C30,'Year Conversion'!$B:$B,0)),$Y:$Y,0))-I30,"")</f>
        <v>1</v>
      </c>
      <c r="AA30" s="168">
        <f t="array" ref="AA30">iferror(index(J:J,match($A30&amp;","&amp;index('Year Conversion'!$A:$A,match($C30,'Year Conversion'!$B:$B,0)),$Y:$Y,0))-J30,"")</f>
        <v>2.612463427</v>
      </c>
      <c r="AB30" s="168">
        <f t="array" ref="AB30">iferror(index(K:K,match($A30&amp;","&amp;index('Year Conversion'!$A:$A,match($C30,'Year Conversion'!$B:$B,0)),$Y:$Y,0))-K30,"")</f>
        <v>1.321106013</v>
      </c>
      <c r="AC30" s="168" t="str">
        <f t="shared" si="7"/>
        <v>LAL,2013-14</v>
      </c>
    </row>
    <row r="31">
      <c r="A31" s="161" t="str">
        <f>IFERROR(__xludf.DUMMYFUNCTION("""COMPUTED_VALUE"""),"battish01")</f>
        <v>battish01</v>
      </c>
      <c r="B31" s="161" t="str">
        <f>IFERROR(__xludf.DUMMYFUNCTION("""COMPUTED_VALUE"""),"Shane Battier")</f>
        <v>Shane Battier</v>
      </c>
      <c r="C31" s="162" t="str">
        <f>IFERROR(__xludf.DUMMYFUNCTION("""COMPUTED_VALUE"""),"2013-14")</f>
        <v>2013-14</v>
      </c>
      <c r="D31" s="163" t="str">
        <f>IFERROR(__xludf.DUMMYFUNCTION("""COMPUTED_VALUE"""),"MIA")</f>
        <v>MIA</v>
      </c>
      <c r="E31" s="164" t="str">
        <f>IFERROR(__xludf.DUMMYFUNCTION("""COMPUTED_VALUE"""),"Stationary Shooter")</f>
        <v>Stationary Shooter</v>
      </c>
      <c r="F31" s="164">
        <f>IFERROR(__xludf.DUMMYFUNCTION("""COMPUTED_VALUE"""),1467.58333333333)</f>
        <v>1467.583333</v>
      </c>
      <c r="G31" s="163">
        <f>IFERROR(__xludf.DUMMYFUNCTION("""COMPUTED_VALUE"""),73.0)</f>
        <v>73</v>
      </c>
      <c r="H31" s="163" t="str">
        <f>IFERROR(__xludf.DUMMYFUNCTION("""COMPUTED_VALUE"""),"SF")</f>
        <v>SF</v>
      </c>
      <c r="I31" s="163">
        <f>IFERROR(__xludf.DUMMYFUNCTION("""COMPUTED_VALUE"""),35.0)</f>
        <v>35</v>
      </c>
      <c r="J31" s="165">
        <f>IFERROR(__xludf.DUMMYFUNCTION("""COMPUTED_VALUE"""),1.44300158602318)</f>
        <v>1.443001586</v>
      </c>
      <c r="K31" s="165">
        <f>IFERROR(__xludf.DUMMYFUNCTION("""COMPUTED_VALUE"""),-0.0530677009836021)</f>
        <v>-0.05306770098</v>
      </c>
      <c r="L31" s="165">
        <f>IFERROR(__xludf.DUMMYFUNCTION("""COMPUTED_VALUE"""),1.49606928700678)</f>
        <v>1.496069287</v>
      </c>
      <c r="M31" s="166">
        <f t="shared" si="2"/>
        <v>3.686157298</v>
      </c>
      <c r="N31" s="167">
        <f t="shared" si="3"/>
        <v>20.10388128</v>
      </c>
      <c r="O31" s="163">
        <f t="shared" ref="O31:Q31" si="35">rank(I31,I:I)</f>
        <v>104</v>
      </c>
      <c r="P31" s="163">
        <f t="shared" si="35"/>
        <v>474</v>
      </c>
      <c r="Q31" s="163">
        <f t="shared" si="35"/>
        <v>1281</v>
      </c>
      <c r="R31" s="163">
        <f>IFERROR(__xludf.DUMMYFUNCTION("RANK(M31,filter(M:M,C:C=C31))"),92.0)</f>
        <v>92</v>
      </c>
      <c r="S31" s="161" t="b">
        <f t="shared" si="5"/>
        <v>0</v>
      </c>
      <c r="T31" s="161" t="b">
        <f t="array" ref="T31">index('Query Tool'!B:B,match(H31,'Query Tool'!C:C,0))</f>
        <v>1</v>
      </c>
      <c r="U31" s="161" t="b">
        <f t="array" ref="U31">index('Query Tool'!B:B,match(C31,'Query Tool'!C:C,0))</f>
        <v>0</v>
      </c>
      <c r="V31" s="161" t="b">
        <f>F31&gt;='Query Tool'!C$32</f>
        <v>1</v>
      </c>
      <c r="W31" s="161" t="b">
        <f t="array" ref="W31">index(Dropdowns!B:B,match(I31,Dropdowns!A:A,0))</f>
        <v>1</v>
      </c>
      <c r="X31" s="161" t="b">
        <f t="array" ref="X31">index('Query Tool'!B:B,match(D31,'Query Tool'!C:C,0))</f>
        <v>1</v>
      </c>
      <c r="Y31" s="161" t="str">
        <f t="shared" si="6"/>
        <v>battish01,2013-14</v>
      </c>
      <c r="Z31" s="168" t="str">
        <f t="array" ref="Z31">iferror(index(I:I,match($A31&amp;","&amp;index('Year Conversion'!$A:$A,match($C31,'Year Conversion'!$B:$B,0)),$Y:$Y,0))-I31,"")</f>
        <v/>
      </c>
      <c r="AA31" s="168" t="str">
        <f t="array" ref="AA31">iferror(index(J:J,match($A31&amp;","&amp;index('Year Conversion'!$A:$A,match($C31,'Year Conversion'!$B:$B,0)),$Y:$Y,0))-J31,"")</f>
        <v/>
      </c>
      <c r="AB31" s="168" t="str">
        <f t="array" ref="AB31">iferror(index(K:K,match($A31&amp;","&amp;index('Year Conversion'!$A:$A,match($C31,'Year Conversion'!$B:$B,0)),$Y:$Y,0))-K31,"")</f>
        <v/>
      </c>
      <c r="AC31" s="168" t="str">
        <f t="shared" si="7"/>
        <v>MIA,2013-14</v>
      </c>
    </row>
    <row r="32">
      <c r="A32" s="161" t="str">
        <f>IFERROR(__xludf.DUMMYFUNCTION("""COMPUTED_VALUE"""),"johnsjo02")</f>
        <v>johnsjo02</v>
      </c>
      <c r="B32" s="161" t="str">
        <f>IFERROR(__xludf.DUMMYFUNCTION("""COMPUTED_VALUE"""),"Joe Johnson")</f>
        <v>Joe Johnson</v>
      </c>
      <c r="C32" s="162" t="str">
        <f>IFERROR(__xludf.DUMMYFUNCTION("""COMPUTED_VALUE"""),"2013-14")</f>
        <v>2013-14</v>
      </c>
      <c r="D32" s="163" t="str">
        <f>IFERROR(__xludf.DUMMYFUNCTION("""COMPUTED_VALUE"""),"BRK")</f>
        <v>BRK</v>
      </c>
      <c r="E32" s="164" t="str">
        <f>IFERROR(__xludf.DUMMYFUNCTION("""COMPUTED_VALUE"""),"Shot Creator")</f>
        <v>Shot Creator</v>
      </c>
      <c r="F32" s="164">
        <f>IFERROR(__xludf.DUMMYFUNCTION("""COMPUTED_VALUE"""),2574.60666666667)</f>
        <v>2574.606667</v>
      </c>
      <c r="G32" s="163">
        <f>IFERROR(__xludf.DUMMYFUNCTION("""COMPUTED_VALUE"""),79.0)</f>
        <v>79</v>
      </c>
      <c r="H32" s="163" t="str">
        <f>IFERROR(__xludf.DUMMYFUNCTION("""COMPUTED_VALUE"""),"SG")</f>
        <v>SG</v>
      </c>
      <c r="I32" s="163">
        <f>IFERROR(__xludf.DUMMYFUNCTION("""COMPUTED_VALUE"""),32.0)</f>
        <v>32</v>
      </c>
      <c r="J32" s="165">
        <f>IFERROR(__xludf.DUMMYFUNCTION("""COMPUTED_VALUE"""),-0.156970415414927)</f>
        <v>-0.1569704154</v>
      </c>
      <c r="K32" s="165">
        <f>IFERROR(__xludf.DUMMYFUNCTION("""COMPUTED_VALUE"""),1.25661178331748)</f>
        <v>1.256611783</v>
      </c>
      <c r="L32" s="165">
        <f>IFERROR(__xludf.DUMMYFUNCTION("""COMPUTED_VALUE"""),-1.41358219873241)</f>
        <v>-1.413582199</v>
      </c>
      <c r="M32" s="166">
        <f t="shared" si="2"/>
        <v>3.696729502</v>
      </c>
      <c r="N32" s="167">
        <f t="shared" si="3"/>
        <v>32.58995781</v>
      </c>
      <c r="O32" s="163">
        <f t="shared" ref="O32:Q32" si="36">rank(I32,I:I)</f>
        <v>359</v>
      </c>
      <c r="P32" s="163">
        <f t="shared" si="36"/>
        <v>1451</v>
      </c>
      <c r="Q32" s="163">
        <f t="shared" si="36"/>
        <v>399</v>
      </c>
      <c r="R32" s="163">
        <f>IFERROR(__xludf.DUMMYFUNCTION("RANK(M32,filter(M:M,C:C=C32))"),91.0)</f>
        <v>91</v>
      </c>
      <c r="S32" s="161" t="b">
        <f t="shared" si="5"/>
        <v>0</v>
      </c>
      <c r="T32" s="161" t="b">
        <f t="array" ref="T32">index('Query Tool'!B:B,match(H32,'Query Tool'!C:C,0))</f>
        <v>1</v>
      </c>
      <c r="U32" s="161" t="b">
        <f t="array" ref="U32">index('Query Tool'!B:B,match(C32,'Query Tool'!C:C,0))</f>
        <v>0</v>
      </c>
      <c r="V32" s="161" t="b">
        <f>F32&gt;='Query Tool'!C$32</f>
        <v>1</v>
      </c>
      <c r="W32" s="161" t="b">
        <f t="array" ref="W32">index(Dropdowns!B:B,match(I32,Dropdowns!A:A,0))</f>
        <v>1</v>
      </c>
      <c r="X32" s="161" t="b">
        <f t="array" ref="X32">index('Query Tool'!B:B,match(D32,'Query Tool'!C:C,0))</f>
        <v>1</v>
      </c>
      <c r="Y32" s="161" t="str">
        <f t="shared" si="6"/>
        <v>johnsjo02,2013-14</v>
      </c>
      <c r="Z32" s="168">
        <f t="array" ref="Z32">iferror(index(I:I,match($A32&amp;","&amp;index('Year Conversion'!$A:$A,match($C32,'Year Conversion'!$B:$B,0)),$Y:$Y,0))-I32,"")</f>
        <v>1</v>
      </c>
      <c r="AA32" s="168">
        <f t="array" ref="AA32">iferror(index(J:J,match($A32&amp;","&amp;index('Year Conversion'!$A:$A,match($C32,'Year Conversion'!$B:$B,0)),$Y:$Y,0))-J32,"")</f>
        <v>0.8823616229</v>
      </c>
      <c r="AB32" s="168">
        <f t="array" ref="AB32">iferror(index(K:K,match($A32&amp;","&amp;index('Year Conversion'!$A:$A,match($C32,'Year Conversion'!$B:$B,0)),$Y:$Y,0))-K32,"")</f>
        <v>0.199288102</v>
      </c>
      <c r="AC32" s="168" t="str">
        <f t="shared" si="7"/>
        <v>BRK,2013-14</v>
      </c>
    </row>
    <row r="33">
      <c r="A33" s="161" t="str">
        <f>IFERROR(__xludf.DUMMYFUNCTION("""COMPUTED_VALUE"""),"jefferi01")</f>
        <v>jefferi01</v>
      </c>
      <c r="B33" s="161" t="str">
        <f>IFERROR(__xludf.DUMMYFUNCTION("""COMPUTED_VALUE"""),"Richard Jefferson")</f>
        <v>Richard Jefferson</v>
      </c>
      <c r="C33" s="162" t="str">
        <f>IFERROR(__xludf.DUMMYFUNCTION("""COMPUTED_VALUE"""),"2013-14")</f>
        <v>2013-14</v>
      </c>
      <c r="D33" s="163" t="str">
        <f>IFERROR(__xludf.DUMMYFUNCTION("""COMPUTED_VALUE"""),"UTA")</f>
        <v>UTA</v>
      </c>
      <c r="E33" s="164" t="str">
        <f>IFERROR(__xludf.DUMMYFUNCTION("""COMPUTED_VALUE"""),"Stationary Shooter")</f>
        <v>Stationary Shooter</v>
      </c>
      <c r="F33" s="164">
        <f>IFERROR(__xludf.DUMMYFUNCTION("""COMPUTED_VALUE"""),2212.58333333333)</f>
        <v>2212.583333</v>
      </c>
      <c r="G33" s="163">
        <f>IFERROR(__xludf.DUMMYFUNCTION("""COMPUTED_VALUE"""),82.0)</f>
        <v>82</v>
      </c>
      <c r="H33" s="163" t="str">
        <f>IFERROR(__xludf.DUMMYFUNCTION("""COMPUTED_VALUE"""),"SF")</f>
        <v>SF</v>
      </c>
      <c r="I33" s="163">
        <f>IFERROR(__xludf.DUMMYFUNCTION("""COMPUTED_VALUE"""),33.0)</f>
        <v>33</v>
      </c>
      <c r="J33" s="165">
        <f>IFERROR(__xludf.DUMMYFUNCTION("""COMPUTED_VALUE"""),-1.62262985789139)</f>
        <v>-1.622629858</v>
      </c>
      <c r="K33" s="165">
        <f>IFERROR(__xludf.DUMMYFUNCTION("""COMPUTED_VALUE"""),-1.59153929134861)</f>
        <v>-1.591539291</v>
      </c>
      <c r="L33" s="165">
        <f>IFERROR(__xludf.DUMMYFUNCTION("""COMPUTED_VALUE"""),-0.0310905665427871)</f>
        <v>-0.03109056654</v>
      </c>
      <c r="M33" s="166">
        <f t="shared" si="2"/>
        <v>0.9994017168</v>
      </c>
      <c r="N33" s="167">
        <f t="shared" si="3"/>
        <v>26.98272358</v>
      </c>
      <c r="O33" s="163">
        <f t="shared" ref="O33:Q33" si="37">rank(I33,I:I)</f>
        <v>246</v>
      </c>
      <c r="P33" s="163">
        <f t="shared" si="37"/>
        <v>3170</v>
      </c>
      <c r="Q33" s="163">
        <f t="shared" si="37"/>
        <v>3442</v>
      </c>
      <c r="R33" s="163">
        <f>IFERROR(__xludf.DUMMYFUNCTION("RANK(M33,filter(M:M,C:C=C33))"),223.0)</f>
        <v>223</v>
      </c>
      <c r="S33" s="161" t="b">
        <f t="shared" si="5"/>
        <v>0</v>
      </c>
      <c r="T33" s="161" t="b">
        <f t="array" ref="T33">index('Query Tool'!B:B,match(H33,'Query Tool'!C:C,0))</f>
        <v>1</v>
      </c>
      <c r="U33" s="161" t="b">
        <f t="array" ref="U33">index('Query Tool'!B:B,match(C33,'Query Tool'!C:C,0))</f>
        <v>0</v>
      </c>
      <c r="V33" s="161" t="b">
        <f>F33&gt;='Query Tool'!C$32</f>
        <v>1</v>
      </c>
      <c r="W33" s="161" t="b">
        <f t="array" ref="W33">index(Dropdowns!B:B,match(I33,Dropdowns!A:A,0))</f>
        <v>1</v>
      </c>
      <c r="X33" s="161" t="b">
        <f t="array" ref="X33">index('Query Tool'!B:B,match(D33,'Query Tool'!C:C,0))</f>
        <v>1</v>
      </c>
      <c r="Y33" s="161" t="str">
        <f t="shared" si="6"/>
        <v>jefferi01,2013-14</v>
      </c>
      <c r="Z33" s="168">
        <f t="array" ref="Z33">iferror(index(I:I,match($A33&amp;","&amp;index('Year Conversion'!$A:$A,match($C33,'Year Conversion'!$B:$B,0)),$Y:$Y,0))-I33,"")</f>
        <v>1</v>
      </c>
      <c r="AA33" s="168">
        <f t="array" ref="AA33">iferror(index(J:J,match($A33&amp;","&amp;index('Year Conversion'!$A:$A,match($C33,'Year Conversion'!$B:$B,0)),$Y:$Y,0))-J33,"")</f>
        <v>0.1309884739</v>
      </c>
      <c r="AB33" s="168">
        <f t="array" ref="AB33">iferror(index(K:K,match($A33&amp;","&amp;index('Year Conversion'!$A:$A,match($C33,'Year Conversion'!$B:$B,0)),$Y:$Y,0))-K33,"")</f>
        <v>0.7044618544</v>
      </c>
      <c r="AC33" s="168" t="str">
        <f t="shared" si="7"/>
        <v>UTA,2013-14</v>
      </c>
    </row>
    <row r="34">
      <c r="A34" s="161" t="str">
        <f>IFERROR(__xludf.DUMMYFUNCTION("""COMPUTED_VALUE"""),"collija04")</f>
        <v>collija04</v>
      </c>
      <c r="B34" s="161" t="str">
        <f>IFERROR(__xludf.DUMMYFUNCTION("""COMPUTED_VALUE"""),"Jason Collins")</f>
        <v>Jason Collins</v>
      </c>
      <c r="C34" s="162" t="str">
        <f>IFERROR(__xludf.DUMMYFUNCTION("""COMPUTED_VALUE"""),"2013-14")</f>
        <v>2013-14</v>
      </c>
      <c r="D34" s="163" t="str">
        <f>IFERROR(__xludf.DUMMYFUNCTION("""COMPUTED_VALUE"""),"BRK")</f>
        <v>BRK</v>
      </c>
      <c r="E34" s="164" t="str">
        <f>IFERROR(__xludf.DUMMYFUNCTION("""COMPUTED_VALUE"""),"Roll + Cut Big")</f>
        <v>Roll + Cut Big</v>
      </c>
      <c r="F34" s="164">
        <f>IFERROR(__xludf.DUMMYFUNCTION("""COMPUTED_VALUE"""),172.108333333333)</f>
        <v>172.1083333</v>
      </c>
      <c r="G34" s="163">
        <f>IFERROR(__xludf.DUMMYFUNCTION("""COMPUTED_VALUE"""),22.0)</f>
        <v>22</v>
      </c>
      <c r="H34" s="163" t="str">
        <f>IFERROR(__xludf.DUMMYFUNCTION("""COMPUTED_VALUE"""),"C")</f>
        <v>C</v>
      </c>
      <c r="I34" s="163">
        <f>IFERROR(__xludf.DUMMYFUNCTION("""COMPUTED_VALUE"""),35.0)</f>
        <v>35</v>
      </c>
      <c r="J34" s="165">
        <f>IFERROR(__xludf.DUMMYFUNCTION("""COMPUTED_VALUE"""),-2.15691635065434)</f>
        <v>-2.156916351</v>
      </c>
      <c r="K34" s="165">
        <f>IFERROR(__xludf.DUMMYFUNCTION("""COMPUTED_VALUE"""),-1.90834502461125)</f>
        <v>-1.908345025</v>
      </c>
      <c r="L34" s="165">
        <f>IFERROR(__xludf.DUMMYFUNCTION("""COMPUTED_VALUE"""),-0.248571326043099)</f>
        <v>-0.248571326</v>
      </c>
      <c r="M34" s="166">
        <f t="shared" si="2"/>
        <v>0.0166638029</v>
      </c>
      <c r="N34" s="167">
        <f t="shared" si="3"/>
        <v>7.823106061</v>
      </c>
      <c r="O34" s="163">
        <f t="shared" ref="O34:Q34" si="38">rank(I34,I:I)</f>
        <v>104</v>
      </c>
      <c r="P34" s="163">
        <f t="shared" si="38"/>
        <v>3587</v>
      </c>
      <c r="Q34" s="163">
        <f t="shared" si="38"/>
        <v>3654</v>
      </c>
      <c r="R34" s="163">
        <f>IFERROR(__xludf.DUMMYFUNCTION("RANK(M34,filter(M:M,C:C=C34))"),417.0)</f>
        <v>417</v>
      </c>
      <c r="S34" s="161" t="b">
        <f t="shared" si="5"/>
        <v>0</v>
      </c>
      <c r="T34" s="161" t="b">
        <f t="array" ref="T34">index('Query Tool'!B:B,match(H34,'Query Tool'!C:C,0))</f>
        <v>1</v>
      </c>
      <c r="U34" s="161" t="b">
        <f t="array" ref="U34">index('Query Tool'!B:B,match(C34,'Query Tool'!C:C,0))</f>
        <v>0</v>
      </c>
      <c r="V34" s="161" t="b">
        <f>F34&gt;='Query Tool'!C$32</f>
        <v>0</v>
      </c>
      <c r="W34" s="161" t="b">
        <f t="array" ref="W34">index(Dropdowns!B:B,match(I34,Dropdowns!A:A,0))</f>
        <v>1</v>
      </c>
      <c r="X34" s="161" t="b">
        <f t="array" ref="X34">index('Query Tool'!B:B,match(D34,'Query Tool'!C:C,0))</f>
        <v>1</v>
      </c>
      <c r="Y34" s="161" t="str">
        <f t="shared" si="6"/>
        <v>collija04,2013-14</v>
      </c>
      <c r="Z34" s="168" t="str">
        <f t="array" ref="Z34">iferror(index(I:I,match($A34&amp;","&amp;index('Year Conversion'!$A:$A,match($C34,'Year Conversion'!$B:$B,0)),$Y:$Y,0))-I34,"")</f>
        <v/>
      </c>
      <c r="AA34" s="168" t="str">
        <f t="array" ref="AA34">iferror(index(J:J,match($A34&amp;","&amp;index('Year Conversion'!$A:$A,match($C34,'Year Conversion'!$B:$B,0)),$Y:$Y,0))-J34,"")</f>
        <v/>
      </c>
      <c r="AB34" s="168" t="str">
        <f t="array" ref="AB34">iferror(index(K:K,match($A34&amp;","&amp;index('Year Conversion'!$A:$A,match($C34,'Year Conversion'!$B:$B,0)),$Y:$Y,0))-K34,"")</f>
        <v/>
      </c>
      <c r="AC34" s="168" t="str">
        <f t="shared" si="7"/>
        <v>BRK,2013-14</v>
      </c>
    </row>
    <row r="35">
      <c r="A35" s="161" t="str">
        <f>IFERROR(__xludf.DUMMYFUNCTION("""COMPUTED_VALUE"""),"randoza01")</f>
        <v>randoza01</v>
      </c>
      <c r="B35" s="161" t="str">
        <f>IFERROR(__xludf.DUMMYFUNCTION("""COMPUTED_VALUE"""),"Zach Randolph")</f>
        <v>Zach Randolph</v>
      </c>
      <c r="C35" s="162" t="str">
        <f>IFERROR(__xludf.DUMMYFUNCTION("""COMPUTED_VALUE"""),"2013-14")</f>
        <v>2013-14</v>
      </c>
      <c r="D35" s="163" t="str">
        <f>IFERROR(__xludf.DUMMYFUNCTION("""COMPUTED_VALUE"""),"MEM")</f>
        <v>MEM</v>
      </c>
      <c r="E35" s="164" t="str">
        <f>IFERROR(__xludf.DUMMYFUNCTION("""COMPUTED_VALUE"""),"Post Scorer")</f>
        <v>Post Scorer</v>
      </c>
      <c r="F35" s="164">
        <f>IFERROR(__xludf.DUMMYFUNCTION("""COMPUTED_VALUE"""),2705.005)</f>
        <v>2705.005</v>
      </c>
      <c r="G35" s="163">
        <f>IFERROR(__xludf.DUMMYFUNCTION("""COMPUTED_VALUE"""),79.0)</f>
        <v>79</v>
      </c>
      <c r="H35" s="163" t="str">
        <f>IFERROR(__xludf.DUMMYFUNCTION("""COMPUTED_VALUE"""),"PF")</f>
        <v>PF</v>
      </c>
      <c r="I35" s="163">
        <f>IFERROR(__xludf.DUMMYFUNCTION("""COMPUTED_VALUE"""),32.0)</f>
        <v>32</v>
      </c>
      <c r="J35" s="165">
        <f>IFERROR(__xludf.DUMMYFUNCTION("""COMPUTED_VALUE"""),1.68690053737822)</f>
        <v>1.686900537</v>
      </c>
      <c r="K35" s="165">
        <f>IFERROR(__xludf.DUMMYFUNCTION("""COMPUTED_VALUE"""),1.60922281969922)</f>
        <v>1.60922282</v>
      </c>
      <c r="L35" s="165">
        <f>IFERROR(__xludf.DUMMYFUNCTION("""COMPUTED_VALUE"""),0.0776777176790062)</f>
        <v>0.07767771768</v>
      </c>
      <c r="M35" s="166">
        <f t="shared" si="2"/>
        <v>7.234490385</v>
      </c>
      <c r="N35" s="167">
        <f t="shared" si="3"/>
        <v>34.24056962</v>
      </c>
      <c r="O35" s="163">
        <f t="shared" ref="O35:Q35" si="39">rank(I35,I:I)</f>
        <v>359</v>
      </c>
      <c r="P35" s="163">
        <f t="shared" si="39"/>
        <v>404</v>
      </c>
      <c r="Q35" s="163">
        <f t="shared" si="39"/>
        <v>292</v>
      </c>
      <c r="R35" s="163">
        <f>IFERROR(__xludf.DUMMYFUNCTION("RANK(M35,filter(M:M,C:C=C35))"),37.0)</f>
        <v>37</v>
      </c>
      <c r="S35" s="161" t="b">
        <f t="shared" si="5"/>
        <v>0</v>
      </c>
      <c r="T35" s="161" t="b">
        <f t="array" ref="T35">index('Query Tool'!B:B,match(H35,'Query Tool'!C:C,0))</f>
        <v>1</v>
      </c>
      <c r="U35" s="161" t="b">
        <f t="array" ref="U35">index('Query Tool'!B:B,match(C35,'Query Tool'!C:C,0))</f>
        <v>0</v>
      </c>
      <c r="V35" s="161" t="b">
        <f>F35&gt;='Query Tool'!C$32</f>
        <v>1</v>
      </c>
      <c r="W35" s="161" t="b">
        <f t="array" ref="W35">index(Dropdowns!B:B,match(I35,Dropdowns!A:A,0))</f>
        <v>1</v>
      </c>
      <c r="X35" s="161" t="b">
        <f t="array" ref="X35">index('Query Tool'!B:B,match(D35,'Query Tool'!C:C,0))</f>
        <v>1</v>
      </c>
      <c r="Y35" s="161" t="str">
        <f t="shared" si="6"/>
        <v>randoza01,2013-14</v>
      </c>
      <c r="Z35" s="168">
        <f t="array" ref="Z35">iferror(index(I:I,match($A35&amp;","&amp;index('Year Conversion'!$A:$A,match($C35,'Year Conversion'!$B:$B,0)),$Y:$Y,0))-I35,"")</f>
        <v>1</v>
      </c>
      <c r="AA35" s="168">
        <f t="array" ref="AA35">iferror(index(J:J,match($A35&amp;","&amp;index('Year Conversion'!$A:$A,match($C35,'Year Conversion'!$B:$B,0)),$Y:$Y,0))-J35,"")</f>
        <v>0.693022678</v>
      </c>
      <c r="AB35" s="168">
        <f t="array" ref="AB35">iferror(index(K:K,match($A35&amp;","&amp;index('Year Conversion'!$A:$A,match($C35,'Year Conversion'!$B:$B,0)),$Y:$Y,0))-K35,"")</f>
        <v>-0.7059713013</v>
      </c>
      <c r="AC35" s="168" t="str">
        <f t="shared" si="7"/>
        <v>MEM,2013-14</v>
      </c>
    </row>
    <row r="36">
      <c r="A36" s="161" t="str">
        <f>IFERROR(__xludf.DUMMYFUNCTION("""COMPUTED_VALUE"""),"wallage01")</f>
        <v>wallage01</v>
      </c>
      <c r="B36" s="161" t="str">
        <f>IFERROR(__xludf.DUMMYFUNCTION("""COMPUTED_VALUE"""),"Gerald Wallace")</f>
        <v>Gerald Wallace</v>
      </c>
      <c r="C36" s="162" t="str">
        <f>IFERROR(__xludf.DUMMYFUNCTION("""COMPUTED_VALUE"""),"2013-14")</f>
        <v>2013-14</v>
      </c>
      <c r="D36" s="163" t="str">
        <f>IFERROR(__xludf.DUMMYFUNCTION("""COMPUTED_VALUE"""),"BOS")</f>
        <v>BOS</v>
      </c>
      <c r="E36" s="164" t="str">
        <f>IFERROR(__xludf.DUMMYFUNCTION("""COMPUTED_VALUE"""),"Versatile Big")</f>
        <v>Versatile Big</v>
      </c>
      <c r="F36" s="164">
        <f>IFERROR(__xludf.DUMMYFUNCTION("""COMPUTED_VALUE"""),1416.22)</f>
        <v>1416.22</v>
      </c>
      <c r="G36" s="163">
        <f>IFERROR(__xludf.DUMMYFUNCTION("""COMPUTED_VALUE"""),58.0)</f>
        <v>58</v>
      </c>
      <c r="H36" s="163" t="str">
        <f>IFERROR(__xludf.DUMMYFUNCTION("""COMPUTED_VALUE"""),"SF")</f>
        <v>SF</v>
      </c>
      <c r="I36" s="163">
        <f>IFERROR(__xludf.DUMMYFUNCTION("""COMPUTED_VALUE"""),31.0)</f>
        <v>31</v>
      </c>
      <c r="J36" s="165">
        <f>IFERROR(__xludf.DUMMYFUNCTION("""COMPUTED_VALUE"""),-1.21107966812452)</f>
        <v>-1.211079668</v>
      </c>
      <c r="K36" s="165">
        <f>IFERROR(__xludf.DUMMYFUNCTION("""COMPUTED_VALUE"""),-2.06140337017299)</f>
        <v>-2.06140337</v>
      </c>
      <c r="L36" s="165">
        <f>IFERROR(__xludf.DUMMYFUNCTION("""COMPUTED_VALUE"""),0.850323702048469)</f>
        <v>0.850323702</v>
      </c>
      <c r="M36" s="166">
        <f t="shared" si="2"/>
        <v>1.029349309</v>
      </c>
      <c r="N36" s="167">
        <f t="shared" si="3"/>
        <v>24.41758621</v>
      </c>
      <c r="O36" s="163">
        <f t="shared" ref="O36:Q36" si="40">rank(I36,I:I)</f>
        <v>490</v>
      </c>
      <c r="P36" s="163">
        <f t="shared" si="40"/>
        <v>2759</v>
      </c>
      <c r="Q36" s="163">
        <f t="shared" si="40"/>
        <v>3741</v>
      </c>
      <c r="R36" s="163">
        <f>IFERROR(__xludf.DUMMYFUNCTION("RANK(M36,filter(M:M,C:C=C36))"),219.0)</f>
        <v>219</v>
      </c>
      <c r="S36" s="161" t="b">
        <f t="shared" si="5"/>
        <v>0</v>
      </c>
      <c r="T36" s="161" t="b">
        <f t="array" ref="T36">index('Query Tool'!B:B,match(H36,'Query Tool'!C:C,0))</f>
        <v>1</v>
      </c>
      <c r="U36" s="161" t="b">
        <f t="array" ref="U36">index('Query Tool'!B:B,match(C36,'Query Tool'!C:C,0))</f>
        <v>0</v>
      </c>
      <c r="V36" s="161" t="b">
        <f>F36&gt;='Query Tool'!C$32</f>
        <v>1</v>
      </c>
      <c r="W36" s="161" t="b">
        <f t="array" ref="W36">index(Dropdowns!B:B,match(I36,Dropdowns!A:A,0))</f>
        <v>1</v>
      </c>
      <c r="X36" s="161" t="b">
        <f t="array" ref="X36">index('Query Tool'!B:B,match(D36,'Query Tool'!C:C,0))</f>
        <v>1</v>
      </c>
      <c r="Y36" s="161" t="str">
        <f t="shared" si="6"/>
        <v>wallage01,2013-14</v>
      </c>
      <c r="Z36" s="168">
        <f t="array" ref="Z36">iferror(index(I:I,match($A36&amp;","&amp;index('Year Conversion'!$A:$A,match($C36,'Year Conversion'!$B:$B,0)),$Y:$Y,0))-I36,"")</f>
        <v>1</v>
      </c>
      <c r="AA36" s="168">
        <f t="array" ref="AA36">iferror(index(J:J,match($A36&amp;","&amp;index('Year Conversion'!$A:$A,match($C36,'Year Conversion'!$B:$B,0)),$Y:$Y,0))-J36,"")</f>
        <v>-0.6411704911</v>
      </c>
      <c r="AB36" s="168">
        <f t="array" ref="AB36">iferror(index(K:K,match($A36&amp;","&amp;index('Year Conversion'!$A:$A,match($C36,'Year Conversion'!$B:$B,0)),$Y:$Y,0))-K36,"")</f>
        <v>0.003096727648</v>
      </c>
      <c r="AC36" s="168" t="str">
        <f t="shared" si="7"/>
        <v>BOS,2013-14</v>
      </c>
    </row>
    <row r="37">
      <c r="A37" s="161" t="str">
        <f>IFERROR(__xludf.DUMMYFUNCTION("""COMPUTED_VALUE"""),"dalemsa01")</f>
        <v>dalemsa01</v>
      </c>
      <c r="B37" s="161" t="str">
        <f>IFERROR(__xludf.DUMMYFUNCTION("""COMPUTED_VALUE"""),"Samuel Dalembert")</f>
        <v>Samuel Dalembert</v>
      </c>
      <c r="C37" s="162" t="str">
        <f>IFERROR(__xludf.DUMMYFUNCTION("""COMPUTED_VALUE"""),"2013-14")</f>
        <v>2013-14</v>
      </c>
      <c r="D37" s="163" t="str">
        <f>IFERROR(__xludf.DUMMYFUNCTION("""COMPUTED_VALUE"""),"DAL")</f>
        <v>DAL</v>
      </c>
      <c r="E37" s="164" t="str">
        <f>IFERROR(__xludf.DUMMYFUNCTION("""COMPUTED_VALUE"""),"Roll + Cut Big")</f>
        <v>Roll + Cut Big</v>
      </c>
      <c r="F37" s="164">
        <f>IFERROR(__xludf.DUMMYFUNCTION("""COMPUTED_VALUE"""),1613.68)</f>
        <v>1613.68</v>
      </c>
      <c r="G37" s="163">
        <f>IFERROR(__xludf.DUMMYFUNCTION("""COMPUTED_VALUE"""),80.0)</f>
        <v>80</v>
      </c>
      <c r="H37" s="163" t="str">
        <f>IFERROR(__xludf.DUMMYFUNCTION("""COMPUTED_VALUE"""),"C")</f>
        <v>C</v>
      </c>
      <c r="I37" s="163">
        <f>IFERROR(__xludf.DUMMYFUNCTION("""COMPUTED_VALUE"""),32.0)</f>
        <v>32</v>
      </c>
      <c r="J37" s="165">
        <f>IFERROR(__xludf.DUMMYFUNCTION("""COMPUTED_VALUE"""),0.668462834426626)</f>
        <v>0.6684628344</v>
      </c>
      <c r="K37" s="165">
        <f>IFERROR(__xludf.DUMMYFUNCTION("""COMPUTED_VALUE"""),-1.5161179304368)</f>
        <v>-1.51611793</v>
      </c>
      <c r="L37" s="165">
        <f>IFERROR(__xludf.DUMMYFUNCTION("""COMPUTED_VALUE"""),2.18458076486343)</f>
        <v>2.184580765</v>
      </c>
      <c r="M37" s="166">
        <f t="shared" si="2"/>
        <v>3.214544085</v>
      </c>
      <c r="N37" s="167">
        <f t="shared" si="3"/>
        <v>20.171</v>
      </c>
      <c r="O37" s="163">
        <f t="shared" ref="O37:Q37" si="41">rank(I37,I:I)</f>
        <v>359</v>
      </c>
      <c r="P37" s="163">
        <f t="shared" si="41"/>
        <v>813</v>
      </c>
      <c r="Q37" s="163">
        <f t="shared" si="41"/>
        <v>3374</v>
      </c>
      <c r="R37" s="163">
        <f>IFERROR(__xludf.DUMMYFUNCTION("RANK(M37,filter(M:M,C:C=C37))"),107.0)</f>
        <v>107</v>
      </c>
      <c r="S37" s="161" t="b">
        <f t="shared" si="5"/>
        <v>0</v>
      </c>
      <c r="T37" s="161" t="b">
        <f t="array" ref="T37">index('Query Tool'!B:B,match(H37,'Query Tool'!C:C,0))</f>
        <v>1</v>
      </c>
      <c r="U37" s="161" t="b">
        <f t="array" ref="U37">index('Query Tool'!B:B,match(C37,'Query Tool'!C:C,0))</f>
        <v>0</v>
      </c>
      <c r="V37" s="161" t="b">
        <f>F37&gt;='Query Tool'!C$32</f>
        <v>1</v>
      </c>
      <c r="W37" s="161" t="b">
        <f t="array" ref="W37">index(Dropdowns!B:B,match(I37,Dropdowns!A:A,0))</f>
        <v>1</v>
      </c>
      <c r="X37" s="161" t="b">
        <f t="array" ref="X37">index('Query Tool'!B:B,match(D37,'Query Tool'!C:C,0))</f>
        <v>1</v>
      </c>
      <c r="Y37" s="161" t="str">
        <f t="shared" si="6"/>
        <v>dalemsa01,2013-14</v>
      </c>
      <c r="Z37" s="168">
        <f t="array" ref="Z37">iferror(index(I:I,match($A37&amp;","&amp;index('Year Conversion'!$A:$A,match($C37,'Year Conversion'!$B:$B,0)),$Y:$Y,0))-I37,"")</f>
        <v>1</v>
      </c>
      <c r="AA37" s="168">
        <f t="array" ref="AA37">iferror(index(J:J,match($A37&amp;","&amp;index('Year Conversion'!$A:$A,match($C37,'Year Conversion'!$B:$B,0)),$Y:$Y,0))-J37,"")</f>
        <v>-1.494251715</v>
      </c>
      <c r="AB37" s="168">
        <f t="array" ref="AB37">iferror(index(K:K,match($A37&amp;","&amp;index('Year Conversion'!$A:$A,match($C37,'Year Conversion'!$B:$B,0)),$Y:$Y,0))-K37,"")</f>
        <v>-1.42165752</v>
      </c>
      <c r="AC37" s="168" t="str">
        <f t="shared" si="7"/>
        <v>DAL,2013-14</v>
      </c>
    </row>
    <row r="38">
      <c r="A38" s="161" t="str">
        <f>IFERROR(__xludf.DUMMYFUNCTION("""COMPUTED_VALUE"""),"tinslja01")</f>
        <v>tinslja01</v>
      </c>
      <c r="B38" s="161" t="str">
        <f>IFERROR(__xludf.DUMMYFUNCTION("""COMPUTED_VALUE"""),"Jamaal Tinsley")</f>
        <v>Jamaal Tinsley</v>
      </c>
      <c r="C38" s="162" t="str">
        <f>IFERROR(__xludf.DUMMYFUNCTION("""COMPUTED_VALUE"""),"2013-14")</f>
        <v>2013-14</v>
      </c>
      <c r="D38" s="163" t="str">
        <f>IFERROR(__xludf.DUMMYFUNCTION("""COMPUTED_VALUE"""),"UTA")</f>
        <v>UTA</v>
      </c>
      <c r="E38" s="164" t="str">
        <f>IFERROR(__xludf.DUMMYFUNCTION("""COMPUTED_VALUE"""),"Stationary Shooter")</f>
        <v>Stationary Shooter</v>
      </c>
      <c r="F38" s="164">
        <f>IFERROR(__xludf.DUMMYFUNCTION("""COMPUTED_VALUE"""),110.2)</f>
        <v>110.2</v>
      </c>
      <c r="G38" s="163">
        <f>IFERROR(__xludf.DUMMYFUNCTION("""COMPUTED_VALUE"""),8.0)</f>
        <v>8</v>
      </c>
      <c r="H38" s="163" t="str">
        <f>IFERROR(__xludf.DUMMYFUNCTION("""COMPUTED_VALUE"""),"PG")</f>
        <v>PG</v>
      </c>
      <c r="I38" s="163">
        <f>IFERROR(__xludf.DUMMYFUNCTION("""COMPUTED_VALUE"""),35.0)</f>
        <v>35</v>
      </c>
      <c r="J38" s="165">
        <f>IFERROR(__xludf.DUMMYFUNCTION("""COMPUTED_VALUE"""),0.26288389765932)</f>
        <v>0.2628838977</v>
      </c>
      <c r="K38" s="165">
        <f>IFERROR(__xludf.DUMMYFUNCTION("""COMPUTED_VALUE"""),0.0876760774512448)</f>
        <v>0.08767607745</v>
      </c>
      <c r="L38" s="165">
        <f>IFERROR(__xludf.DUMMYFUNCTION("""COMPUTED_VALUE"""),0.175207820208075)</f>
        <v>0.1752078202</v>
      </c>
      <c r="M38" s="166">
        <f t="shared" si="2"/>
        <v>0.1894209396</v>
      </c>
      <c r="N38" s="167">
        <f t="shared" si="3"/>
        <v>13.775</v>
      </c>
      <c r="O38" s="163">
        <f t="shared" ref="O38:Q38" si="42">rank(I38,I:I)</f>
        <v>104</v>
      </c>
      <c r="P38" s="163">
        <f t="shared" si="42"/>
        <v>1045</v>
      </c>
      <c r="Q38" s="163">
        <f t="shared" si="42"/>
        <v>1085</v>
      </c>
      <c r="R38" s="163">
        <f>IFERROR(__xludf.DUMMYFUNCTION("RANK(M38,filter(M:M,C:C=C38))"),328.0)</f>
        <v>328</v>
      </c>
      <c r="S38" s="161" t="b">
        <f t="shared" si="5"/>
        <v>0</v>
      </c>
      <c r="T38" s="161" t="b">
        <f t="array" ref="T38">index('Query Tool'!B:B,match(H38,'Query Tool'!C:C,0))</f>
        <v>1</v>
      </c>
      <c r="U38" s="161" t="b">
        <f t="array" ref="U38">index('Query Tool'!B:B,match(C38,'Query Tool'!C:C,0))</f>
        <v>0</v>
      </c>
      <c r="V38" s="161" t="b">
        <f>F38&gt;='Query Tool'!C$32</f>
        <v>0</v>
      </c>
      <c r="W38" s="161" t="b">
        <f t="array" ref="W38">index(Dropdowns!B:B,match(I38,Dropdowns!A:A,0))</f>
        <v>1</v>
      </c>
      <c r="X38" s="161" t="b">
        <f t="array" ref="X38">index('Query Tool'!B:B,match(D38,'Query Tool'!C:C,0))</f>
        <v>1</v>
      </c>
      <c r="Y38" s="161" t="str">
        <f t="shared" si="6"/>
        <v>tinslja01,2013-14</v>
      </c>
      <c r="Z38" s="168" t="str">
        <f t="array" ref="Z38">iferror(index(I:I,match($A38&amp;","&amp;index('Year Conversion'!$A:$A,match($C38,'Year Conversion'!$B:$B,0)),$Y:$Y,0))-I38,"")</f>
        <v/>
      </c>
      <c r="AA38" s="168" t="str">
        <f t="array" ref="AA38">iferror(index(J:J,match($A38&amp;","&amp;index('Year Conversion'!$A:$A,match($C38,'Year Conversion'!$B:$B,0)),$Y:$Y,0))-J38,"")</f>
        <v/>
      </c>
      <c r="AB38" s="168" t="str">
        <f t="array" ref="AB38">iferror(index(K:K,match($A38&amp;","&amp;index('Year Conversion'!$A:$A,match($C38,'Year Conversion'!$B:$B,0)),$Y:$Y,0))-K38,"")</f>
        <v/>
      </c>
      <c r="AC38" s="168" t="str">
        <f t="shared" si="7"/>
        <v>UTA,2013-14</v>
      </c>
    </row>
    <row r="39">
      <c r="A39" s="161" t="str">
        <f>IFERROR(__xludf.DUMMYFUNCTION("""COMPUTED_VALUE"""),"parketo01")</f>
        <v>parketo01</v>
      </c>
      <c r="B39" s="161" t="str">
        <f>IFERROR(__xludf.DUMMYFUNCTION("""COMPUTED_VALUE"""),"Tony Parker")</f>
        <v>Tony Parker</v>
      </c>
      <c r="C39" s="162" t="str">
        <f>IFERROR(__xludf.DUMMYFUNCTION("""COMPUTED_VALUE"""),"2013-14")</f>
        <v>2013-14</v>
      </c>
      <c r="D39" s="163" t="str">
        <f>IFERROR(__xludf.DUMMYFUNCTION("""COMPUTED_VALUE"""),"SAS")</f>
        <v>SAS</v>
      </c>
      <c r="E39" s="164" t="str">
        <f>IFERROR(__xludf.DUMMYFUNCTION("""COMPUTED_VALUE"""),"Slasher")</f>
        <v>Slasher</v>
      </c>
      <c r="F39" s="164">
        <f>IFERROR(__xludf.DUMMYFUNCTION("""COMPUTED_VALUE"""),1996.92833333333)</f>
        <v>1996.928333</v>
      </c>
      <c r="G39" s="163">
        <f>IFERROR(__xludf.DUMMYFUNCTION("""COMPUTED_VALUE"""),68.0)</f>
        <v>68</v>
      </c>
      <c r="H39" s="163" t="str">
        <f>IFERROR(__xludf.DUMMYFUNCTION("""COMPUTED_VALUE"""),"PG")</f>
        <v>PG</v>
      </c>
      <c r="I39" s="163">
        <f>IFERROR(__xludf.DUMMYFUNCTION("""COMPUTED_VALUE"""),31.0)</f>
        <v>31</v>
      </c>
      <c r="J39" s="165">
        <f>IFERROR(__xludf.DUMMYFUNCTION("""COMPUTED_VALUE"""),1.23664608047087)</f>
        <v>1.23664608</v>
      </c>
      <c r="K39" s="165">
        <f>IFERROR(__xludf.DUMMYFUNCTION("""COMPUTED_VALUE"""),1.35544731886433)</f>
        <v>1.355447319</v>
      </c>
      <c r="L39" s="165">
        <f>IFERROR(__xludf.DUMMYFUNCTION("""COMPUTED_VALUE"""),-0.118801238393454)</f>
        <v>-0.1188012384</v>
      </c>
      <c r="M39" s="166">
        <f t="shared" si="2"/>
        <v>4.739977219</v>
      </c>
      <c r="N39" s="167">
        <f t="shared" si="3"/>
        <v>29.36659314</v>
      </c>
      <c r="O39" s="163">
        <f t="shared" ref="O39:Q39" si="43">rank(I39,I:I)</f>
        <v>490</v>
      </c>
      <c r="P39" s="163">
        <f t="shared" si="43"/>
        <v>556</v>
      </c>
      <c r="Q39" s="163">
        <f t="shared" si="43"/>
        <v>368</v>
      </c>
      <c r="R39" s="163">
        <f>IFERROR(__xludf.DUMMYFUNCTION("RANK(M39,filter(M:M,C:C=C39))"),70.0)</f>
        <v>70</v>
      </c>
      <c r="S39" s="161" t="b">
        <f t="shared" si="5"/>
        <v>0</v>
      </c>
      <c r="T39" s="161" t="b">
        <f t="array" ref="T39">index('Query Tool'!B:B,match(H39,'Query Tool'!C:C,0))</f>
        <v>1</v>
      </c>
      <c r="U39" s="161" t="b">
        <f t="array" ref="U39">index('Query Tool'!B:B,match(C39,'Query Tool'!C:C,0))</f>
        <v>0</v>
      </c>
      <c r="V39" s="161" t="b">
        <f>F39&gt;='Query Tool'!C$32</f>
        <v>1</v>
      </c>
      <c r="W39" s="161" t="b">
        <f t="array" ref="W39">index(Dropdowns!B:B,match(I39,Dropdowns!A:A,0))</f>
        <v>1</v>
      </c>
      <c r="X39" s="161" t="b">
        <f t="array" ref="X39">index('Query Tool'!B:B,match(D39,'Query Tool'!C:C,0))</f>
        <v>1</v>
      </c>
      <c r="Y39" s="161" t="str">
        <f t="shared" si="6"/>
        <v>parketo01,2013-14</v>
      </c>
      <c r="Z39" s="168">
        <f t="array" ref="Z39">iferror(index(I:I,match($A39&amp;","&amp;index('Year Conversion'!$A:$A,match($C39,'Year Conversion'!$B:$B,0)),$Y:$Y,0))-I39,"")</f>
        <v>1</v>
      </c>
      <c r="AA39" s="168">
        <f t="array" ref="AA39">iferror(index(J:J,match($A39&amp;","&amp;index('Year Conversion'!$A:$A,match($C39,'Year Conversion'!$B:$B,0)),$Y:$Y,0))-J39,"")</f>
        <v>-2.39581051</v>
      </c>
      <c r="AB39" s="168">
        <f t="array" ref="AB39">iferror(index(K:K,match($A39&amp;","&amp;index('Year Conversion'!$A:$A,match($C39,'Year Conversion'!$B:$B,0)),$Y:$Y,0))-K39,"")</f>
        <v>-1.054899032</v>
      </c>
      <c r="AC39" s="168" t="str">
        <f t="shared" si="7"/>
        <v>SAS,2013-14</v>
      </c>
    </row>
    <row r="40">
      <c r="A40" s="161" t="str">
        <f>IFERROR(__xludf.DUMMYFUNCTION("""COMPUTED_VALUE"""),"jamesmi01")</f>
        <v>jamesmi01</v>
      </c>
      <c r="B40" s="161" t="str">
        <f>IFERROR(__xludf.DUMMYFUNCTION("""COMPUTED_VALUE"""),"Mike James")</f>
        <v>Mike James</v>
      </c>
      <c r="C40" s="162" t="str">
        <f>IFERROR(__xludf.DUMMYFUNCTION("""COMPUTED_VALUE"""),"2013-14")</f>
        <v>2013-14</v>
      </c>
      <c r="D40" s="163" t="str">
        <f>IFERROR(__xludf.DUMMYFUNCTION("""COMPUTED_VALUE"""),"CHI")</f>
        <v>CHI</v>
      </c>
      <c r="E40" s="164" t="str">
        <f>IFERROR(__xludf.DUMMYFUNCTION("""COMPUTED_VALUE"""),"Secondary Ball Handler")</f>
        <v>Secondary Ball Handler</v>
      </c>
      <c r="F40" s="164">
        <f>IFERROR(__xludf.DUMMYFUNCTION("""COMPUTED_VALUE"""),77.1066666666666)</f>
        <v>77.10666667</v>
      </c>
      <c r="G40" s="163">
        <f>IFERROR(__xludf.DUMMYFUNCTION("""COMPUTED_VALUE"""),11.0)</f>
        <v>11</v>
      </c>
      <c r="H40" s="163" t="str">
        <f>IFERROR(__xludf.DUMMYFUNCTION("""COMPUTED_VALUE"""),"PG")</f>
        <v>PG</v>
      </c>
      <c r="I40" s="163">
        <f>IFERROR(__xludf.DUMMYFUNCTION("""COMPUTED_VALUE"""),38.0)</f>
        <v>38</v>
      </c>
      <c r="J40" s="165">
        <f>IFERROR(__xludf.DUMMYFUNCTION("""COMPUTED_VALUE"""),-0.919220706569334)</f>
        <v>-0.9192207066</v>
      </c>
      <c r="K40" s="165">
        <f>IFERROR(__xludf.DUMMYFUNCTION("""COMPUTED_VALUE"""),-0.318616371365607)</f>
        <v>-0.3186163714</v>
      </c>
      <c r="L40" s="165">
        <f>IFERROR(__xludf.DUMMYFUNCTION("""COMPUTED_VALUE"""),-0.600604335203727)</f>
        <v>-0.6006043352</v>
      </c>
      <c r="M40" s="166">
        <f t="shared" si="2"/>
        <v>0.07114353406</v>
      </c>
      <c r="N40" s="167">
        <f t="shared" si="3"/>
        <v>7.00969697</v>
      </c>
      <c r="O40" s="163">
        <f t="shared" ref="O40:Q40" si="44">rank(I40,I:I)</f>
        <v>20</v>
      </c>
      <c r="P40" s="163">
        <f t="shared" si="44"/>
        <v>2417</v>
      </c>
      <c r="Q40" s="163">
        <f t="shared" si="44"/>
        <v>1794</v>
      </c>
      <c r="R40" s="163">
        <f>IFERROR(__xludf.DUMMYFUNCTION("RANK(M40,filter(M:M,C:C=C40))"),373.0)</f>
        <v>373</v>
      </c>
      <c r="S40" s="161" t="b">
        <f t="shared" si="5"/>
        <v>0</v>
      </c>
      <c r="T40" s="161" t="b">
        <f t="array" ref="T40">index('Query Tool'!B:B,match(H40,'Query Tool'!C:C,0))</f>
        <v>1</v>
      </c>
      <c r="U40" s="161" t="b">
        <f t="array" ref="U40">index('Query Tool'!B:B,match(C40,'Query Tool'!C:C,0))</f>
        <v>0</v>
      </c>
      <c r="V40" s="161" t="b">
        <f>F40&gt;='Query Tool'!C$32</f>
        <v>0</v>
      </c>
      <c r="W40" s="161" t="b">
        <f t="array" ref="W40">index(Dropdowns!B:B,match(I40,Dropdowns!A:A,0))</f>
        <v>1</v>
      </c>
      <c r="X40" s="161" t="b">
        <f t="array" ref="X40">index('Query Tool'!B:B,match(D40,'Query Tool'!C:C,0))</f>
        <v>1</v>
      </c>
      <c r="Y40" s="161" t="str">
        <f t="shared" si="6"/>
        <v>jamesmi01,2013-14</v>
      </c>
      <c r="Z40" s="168" t="str">
        <f t="array" ref="Z40">iferror(index(I:I,match($A40&amp;","&amp;index('Year Conversion'!$A:$A,match($C40,'Year Conversion'!$B:$B,0)),$Y:$Y,0))-I40,"")</f>
        <v/>
      </c>
      <c r="AA40" s="168" t="str">
        <f t="array" ref="AA40">iferror(index(J:J,match($A40&amp;","&amp;index('Year Conversion'!$A:$A,match($C40,'Year Conversion'!$B:$B,0)),$Y:$Y,0))-J40,"")</f>
        <v/>
      </c>
      <c r="AB40" s="168" t="str">
        <f t="array" ref="AB40">iferror(index(K:K,match($A40&amp;","&amp;index('Year Conversion'!$A:$A,match($C40,'Year Conversion'!$B:$B,0)),$Y:$Y,0))-K40,"")</f>
        <v/>
      </c>
      <c r="AC40" s="168" t="str">
        <f t="shared" si="7"/>
        <v>CHI,2013-14</v>
      </c>
    </row>
    <row r="41">
      <c r="A41" s="161" t="str">
        <f>IFERROR(__xludf.DUMMYFUNCTION("""COMPUTED_VALUE"""),"watsoea01")</f>
        <v>watsoea01</v>
      </c>
      <c r="B41" s="161" t="str">
        <f>IFERROR(__xludf.DUMMYFUNCTION("""COMPUTED_VALUE"""),"Earl Watson")</f>
        <v>Earl Watson</v>
      </c>
      <c r="C41" s="162" t="str">
        <f>IFERROR(__xludf.DUMMYFUNCTION("""COMPUTED_VALUE"""),"2013-14")</f>
        <v>2013-14</v>
      </c>
      <c r="D41" s="163" t="str">
        <f>IFERROR(__xludf.DUMMYFUNCTION("""COMPUTED_VALUE"""),"POR")</f>
        <v>POR</v>
      </c>
      <c r="E41" s="164" t="str">
        <f>IFERROR(__xludf.DUMMYFUNCTION("""COMPUTED_VALUE"""),"Stationary Shooter")</f>
        <v>Stationary Shooter</v>
      </c>
      <c r="F41" s="164">
        <f>IFERROR(__xludf.DUMMYFUNCTION("""COMPUTED_VALUE"""),160.593333333333)</f>
        <v>160.5933333</v>
      </c>
      <c r="G41" s="163">
        <f>IFERROR(__xludf.DUMMYFUNCTION("""COMPUTED_VALUE"""),24.0)</f>
        <v>24</v>
      </c>
      <c r="H41" s="163" t="str">
        <f>IFERROR(__xludf.DUMMYFUNCTION("""COMPUTED_VALUE"""),"PG")</f>
        <v>PG</v>
      </c>
      <c r="I41" s="163">
        <f>IFERROR(__xludf.DUMMYFUNCTION("""COMPUTED_VALUE"""),34.0)</f>
        <v>34</v>
      </c>
      <c r="J41" s="165">
        <f>IFERROR(__xludf.DUMMYFUNCTION("""COMPUTED_VALUE"""),-1.70983006049226)</f>
        <v>-1.70983006</v>
      </c>
      <c r="K41" s="165">
        <f>IFERROR(__xludf.DUMMYFUNCTION("""COMPUTED_VALUE"""),-1.76069443810983)</f>
        <v>-1.760694438</v>
      </c>
      <c r="L41" s="165">
        <f>IFERROR(__xludf.DUMMYFUNCTION("""COMPUTED_VALUE"""),0.0508643776175698)</f>
        <v>0.05086437762</v>
      </c>
      <c r="M41" s="166">
        <f t="shared" si="2"/>
        <v>0.06320562665</v>
      </c>
      <c r="N41" s="167">
        <f t="shared" si="3"/>
        <v>6.691388889</v>
      </c>
      <c r="O41" s="163">
        <f t="shared" ref="O41:Q41" si="45">rank(I41,I:I)</f>
        <v>164</v>
      </c>
      <c r="P41" s="163">
        <f t="shared" si="45"/>
        <v>3253</v>
      </c>
      <c r="Q41" s="163">
        <f t="shared" si="45"/>
        <v>3552</v>
      </c>
      <c r="R41" s="163">
        <f>IFERROR(__xludf.DUMMYFUNCTION("RANK(M41,filter(M:M,C:C=C41))"),379.0)</f>
        <v>379</v>
      </c>
      <c r="S41" s="161" t="b">
        <f t="shared" si="5"/>
        <v>0</v>
      </c>
      <c r="T41" s="161" t="b">
        <f t="array" ref="T41">index('Query Tool'!B:B,match(H41,'Query Tool'!C:C,0))</f>
        <v>1</v>
      </c>
      <c r="U41" s="161" t="b">
        <f t="array" ref="U41">index('Query Tool'!B:B,match(C41,'Query Tool'!C:C,0))</f>
        <v>0</v>
      </c>
      <c r="V41" s="161" t="b">
        <f>F41&gt;='Query Tool'!C$32</f>
        <v>0</v>
      </c>
      <c r="W41" s="161" t="b">
        <f t="array" ref="W41">index(Dropdowns!B:B,match(I41,Dropdowns!A:A,0))</f>
        <v>1</v>
      </c>
      <c r="X41" s="161" t="b">
        <f t="array" ref="X41">index('Query Tool'!B:B,match(D41,'Query Tool'!C:C,0))</f>
        <v>1</v>
      </c>
      <c r="Y41" s="161" t="str">
        <f t="shared" si="6"/>
        <v>watsoea01,2013-14</v>
      </c>
      <c r="Z41" s="168" t="str">
        <f t="array" ref="Z41">iferror(index(I:I,match($A41&amp;","&amp;index('Year Conversion'!$A:$A,match($C41,'Year Conversion'!$B:$B,0)),$Y:$Y,0))-I41,"")</f>
        <v/>
      </c>
      <c r="AA41" s="168" t="str">
        <f t="array" ref="AA41">iferror(index(J:J,match($A41&amp;","&amp;index('Year Conversion'!$A:$A,match($C41,'Year Conversion'!$B:$B,0)),$Y:$Y,0))-J41,"")</f>
        <v/>
      </c>
      <c r="AB41" s="168" t="str">
        <f t="array" ref="AB41">iferror(index(K:K,match($A41&amp;","&amp;index('Year Conversion'!$A:$A,match($C41,'Year Conversion'!$B:$B,0)),$Y:$Y,0))-K41,"")</f>
        <v/>
      </c>
      <c r="AC41" s="168" t="str">
        <f t="shared" si="7"/>
        <v>POR,2013-14</v>
      </c>
    </row>
    <row r="42">
      <c r="A42" s="161" t="str">
        <f>IFERROR(__xludf.DUMMYFUNCTION("""COMPUTED_VALUE"""),"anderch01")</f>
        <v>anderch01</v>
      </c>
      <c r="B42" s="161" t="str">
        <f>IFERROR(__xludf.DUMMYFUNCTION("""COMPUTED_VALUE"""),"Chris Andersen")</f>
        <v>Chris Andersen</v>
      </c>
      <c r="C42" s="162" t="str">
        <f>IFERROR(__xludf.DUMMYFUNCTION("""COMPUTED_VALUE"""),"2013-14")</f>
        <v>2013-14</v>
      </c>
      <c r="D42" s="163" t="str">
        <f>IFERROR(__xludf.DUMMYFUNCTION("""COMPUTED_VALUE"""),"MIA")</f>
        <v>MIA</v>
      </c>
      <c r="E42" s="164" t="str">
        <f>IFERROR(__xludf.DUMMYFUNCTION("""COMPUTED_VALUE"""),"Roll + Cut Big")</f>
        <v>Roll + Cut Big</v>
      </c>
      <c r="F42" s="164">
        <f>IFERROR(__xludf.DUMMYFUNCTION("""COMPUTED_VALUE"""),1396.02166666667)</f>
        <v>1396.021667</v>
      </c>
      <c r="G42" s="163">
        <f>IFERROR(__xludf.DUMMYFUNCTION("""COMPUTED_VALUE"""),72.0)</f>
        <v>72</v>
      </c>
      <c r="H42" s="163" t="str">
        <f>IFERROR(__xludf.DUMMYFUNCTION("""COMPUTED_VALUE"""),"C")</f>
        <v>C</v>
      </c>
      <c r="I42" s="163">
        <f>IFERROR(__xludf.DUMMYFUNCTION("""COMPUTED_VALUE"""),35.0)</f>
        <v>35</v>
      </c>
      <c r="J42" s="165">
        <f>IFERROR(__xludf.DUMMYFUNCTION("""COMPUTED_VALUE"""),1.33751824863105)</f>
        <v>1.337518249</v>
      </c>
      <c r="K42" s="165">
        <f>IFERROR(__xludf.DUMMYFUNCTION("""COMPUTED_VALUE"""),-0.076649970975849)</f>
        <v>-0.07664997098</v>
      </c>
      <c r="L42" s="165">
        <f>IFERROR(__xludf.DUMMYFUNCTION("""COMPUTED_VALUE"""),1.41416821960689)</f>
        <v>1.41416822</v>
      </c>
      <c r="M42" s="166">
        <f t="shared" si="2"/>
        <v>3.407931108</v>
      </c>
      <c r="N42" s="167">
        <f t="shared" si="3"/>
        <v>19.38918981</v>
      </c>
      <c r="O42" s="163">
        <f t="shared" ref="O42:Q42" si="46">rank(I42,I:I)</f>
        <v>104</v>
      </c>
      <c r="P42" s="163">
        <f t="shared" si="46"/>
        <v>512</v>
      </c>
      <c r="Q42" s="163">
        <f t="shared" si="46"/>
        <v>1318</v>
      </c>
      <c r="R42" s="163">
        <f>IFERROR(__xludf.DUMMYFUNCTION("RANK(M42,filter(M:M,C:C=C42))"),101.0)</f>
        <v>101</v>
      </c>
      <c r="S42" s="161" t="b">
        <f t="shared" si="5"/>
        <v>0</v>
      </c>
      <c r="T42" s="161" t="b">
        <f t="array" ref="T42">index('Query Tool'!B:B,match(H42,'Query Tool'!C:C,0))</f>
        <v>1</v>
      </c>
      <c r="U42" s="161" t="b">
        <f t="array" ref="U42">index('Query Tool'!B:B,match(C42,'Query Tool'!C:C,0))</f>
        <v>0</v>
      </c>
      <c r="V42" s="161" t="b">
        <f>F42&gt;='Query Tool'!C$32</f>
        <v>1</v>
      </c>
      <c r="W42" s="161" t="b">
        <f t="array" ref="W42">index(Dropdowns!B:B,match(I42,Dropdowns!A:A,0))</f>
        <v>1</v>
      </c>
      <c r="X42" s="161" t="b">
        <f t="array" ref="X42">index('Query Tool'!B:B,match(D42,'Query Tool'!C:C,0))</f>
        <v>1</v>
      </c>
      <c r="Y42" s="161" t="str">
        <f t="shared" si="6"/>
        <v>anderch01,2013-14</v>
      </c>
      <c r="Z42" s="168">
        <f t="array" ref="Z42">iferror(index(I:I,match($A42&amp;","&amp;index('Year Conversion'!$A:$A,match($C42,'Year Conversion'!$B:$B,0)),$Y:$Y,0))-I42,"")</f>
        <v>1</v>
      </c>
      <c r="AA42" s="168">
        <f t="array" ref="AA42">iferror(index(J:J,match($A42&amp;","&amp;index('Year Conversion'!$A:$A,match($C42,'Year Conversion'!$B:$B,0)),$Y:$Y,0))-J42,"")</f>
        <v>-0.9580202571</v>
      </c>
      <c r="AB42" s="168">
        <f t="array" ref="AB42">iferror(index(K:K,match($A42&amp;","&amp;index('Year Conversion'!$A:$A,match($C42,'Year Conversion'!$B:$B,0)),$Y:$Y,0))-K42,"")</f>
        <v>-1.666523913</v>
      </c>
      <c r="AC42" s="168" t="str">
        <f t="shared" si="7"/>
        <v>MIA,2013-14</v>
      </c>
    </row>
    <row r="43">
      <c r="A43" s="161" t="str">
        <f>IFERROR(__xludf.DUMMYFUNCTION("""COMPUTED_VALUE"""),"dunlemi02")</f>
        <v>dunlemi02</v>
      </c>
      <c r="B43" s="161" t="str">
        <f>IFERROR(__xludf.DUMMYFUNCTION("""COMPUTED_VALUE"""),"Mike Dunleavy")</f>
        <v>Mike Dunleavy</v>
      </c>
      <c r="C43" s="162" t="str">
        <f>IFERROR(__xludf.DUMMYFUNCTION("""COMPUTED_VALUE"""),"2013-14")</f>
        <v>2013-14</v>
      </c>
      <c r="D43" s="163" t="str">
        <f>IFERROR(__xludf.DUMMYFUNCTION("""COMPUTED_VALUE"""),"CHI")</f>
        <v>CHI</v>
      </c>
      <c r="E43" s="164" t="str">
        <f>IFERROR(__xludf.DUMMYFUNCTION("""COMPUTED_VALUE"""),"Off Screen Shooter")</f>
        <v>Off Screen Shooter</v>
      </c>
      <c r="F43" s="164">
        <f>IFERROR(__xludf.DUMMYFUNCTION("""COMPUTED_VALUE"""),2583.715)</f>
        <v>2583.715</v>
      </c>
      <c r="G43" s="163">
        <f>IFERROR(__xludf.DUMMYFUNCTION("""COMPUTED_VALUE"""),82.0)</f>
        <v>82</v>
      </c>
      <c r="H43" s="163" t="str">
        <f>IFERROR(__xludf.DUMMYFUNCTION("""COMPUTED_VALUE"""),"SF")</f>
        <v>SF</v>
      </c>
      <c r="I43" s="163">
        <f>IFERROR(__xludf.DUMMYFUNCTION("""COMPUTED_VALUE"""),33.0)</f>
        <v>33</v>
      </c>
      <c r="J43" s="165">
        <f>IFERROR(__xludf.DUMMYFUNCTION("""COMPUTED_VALUE"""),0.472866754639458)</f>
        <v>0.4728667546</v>
      </c>
      <c r="K43" s="165">
        <f>IFERROR(__xludf.DUMMYFUNCTION("""COMPUTED_VALUE"""),-0.626314033858612)</f>
        <v>-0.6263140339</v>
      </c>
      <c r="L43" s="165">
        <f>IFERROR(__xludf.DUMMYFUNCTION("""COMPUTED_VALUE"""),1.09918078849807)</f>
        <v>1.099180788</v>
      </c>
      <c r="M43" s="166">
        <f t="shared" si="2"/>
        <v>4.806664907</v>
      </c>
      <c r="N43" s="167">
        <f t="shared" si="3"/>
        <v>31.50871951</v>
      </c>
      <c r="O43" s="163">
        <f t="shared" ref="O43:Q43" si="47">rank(I43,I:I)</f>
        <v>246</v>
      </c>
      <c r="P43" s="163">
        <f t="shared" si="47"/>
        <v>914</v>
      </c>
      <c r="Q43" s="163">
        <f t="shared" si="47"/>
        <v>2302</v>
      </c>
      <c r="R43" s="163">
        <f>IFERROR(__xludf.DUMMYFUNCTION("RANK(M43,filter(M:M,C:C=C43))"),68.0)</f>
        <v>68</v>
      </c>
      <c r="S43" s="161" t="b">
        <f t="shared" si="5"/>
        <v>0</v>
      </c>
      <c r="T43" s="161" t="b">
        <f t="array" ref="T43">index('Query Tool'!B:B,match(H43,'Query Tool'!C:C,0))</f>
        <v>1</v>
      </c>
      <c r="U43" s="161" t="b">
        <f t="array" ref="U43">index('Query Tool'!B:B,match(C43,'Query Tool'!C:C,0))</f>
        <v>0</v>
      </c>
      <c r="V43" s="161" t="b">
        <f>F43&gt;='Query Tool'!C$32</f>
        <v>1</v>
      </c>
      <c r="W43" s="161" t="b">
        <f t="array" ref="W43">index(Dropdowns!B:B,match(I43,Dropdowns!A:A,0))</f>
        <v>1</v>
      </c>
      <c r="X43" s="161" t="b">
        <f t="array" ref="X43">index('Query Tool'!B:B,match(D43,'Query Tool'!C:C,0))</f>
        <v>1</v>
      </c>
      <c r="Y43" s="161" t="str">
        <f t="shared" si="6"/>
        <v>dunlemi02,2013-14</v>
      </c>
      <c r="Z43" s="168">
        <f t="array" ref="Z43">iferror(index(I:I,match($A43&amp;","&amp;index('Year Conversion'!$A:$A,match($C43,'Year Conversion'!$B:$B,0)),$Y:$Y,0))-I43,"")</f>
        <v>1</v>
      </c>
      <c r="AA43" s="168">
        <f t="array" ref="AA43">iferror(index(J:J,match($A43&amp;","&amp;index('Year Conversion'!$A:$A,match($C43,'Year Conversion'!$B:$B,0)),$Y:$Y,0))-J43,"")</f>
        <v>1.103535339</v>
      </c>
      <c r="AB43" s="168">
        <f t="array" ref="AB43">iferror(index(K:K,match($A43&amp;","&amp;index('Year Conversion'!$A:$A,match($C43,'Year Conversion'!$B:$B,0)),$Y:$Y,0))-K43,"")</f>
        <v>0.9677416351</v>
      </c>
      <c r="AC43" s="168" t="str">
        <f t="shared" si="7"/>
        <v>CHI,2013-14</v>
      </c>
    </row>
    <row r="44">
      <c r="A44" s="161" t="str">
        <f>IFERROR(__xludf.DUMMYFUNCTION("""COMPUTED_VALUE"""),"goodedr01")</f>
        <v>goodedr01</v>
      </c>
      <c r="B44" s="161" t="str">
        <f>IFERROR(__xludf.DUMMYFUNCTION("""COMPUTED_VALUE"""),"Drew Gooden")</f>
        <v>Drew Gooden</v>
      </c>
      <c r="C44" s="162" t="str">
        <f>IFERROR(__xludf.DUMMYFUNCTION("""COMPUTED_VALUE"""),"2013-14")</f>
        <v>2013-14</v>
      </c>
      <c r="D44" s="163" t="str">
        <f>IFERROR(__xludf.DUMMYFUNCTION("""COMPUTED_VALUE"""),"WAS")</f>
        <v>WAS</v>
      </c>
      <c r="E44" s="164" t="str">
        <f>IFERROR(__xludf.DUMMYFUNCTION("""COMPUTED_VALUE"""),"Roll + Cut Big")</f>
        <v>Roll + Cut Big</v>
      </c>
      <c r="F44" s="164">
        <f>IFERROR(__xludf.DUMMYFUNCTION("""COMPUTED_VALUE"""),395.101666666667)</f>
        <v>395.1016667</v>
      </c>
      <c r="G44" s="163">
        <f>IFERROR(__xludf.DUMMYFUNCTION("""COMPUTED_VALUE"""),22.0)</f>
        <v>22</v>
      </c>
      <c r="H44" s="163" t="str">
        <f>IFERROR(__xludf.DUMMYFUNCTION("""COMPUTED_VALUE"""),"C")</f>
        <v>C</v>
      </c>
      <c r="I44" s="163">
        <f>IFERROR(__xludf.DUMMYFUNCTION("""COMPUTED_VALUE"""),32.0)</f>
        <v>32</v>
      </c>
      <c r="J44" s="165">
        <f>IFERROR(__xludf.DUMMYFUNCTION("""COMPUTED_VALUE"""),-0.63881173364315)</f>
        <v>-0.6388117336</v>
      </c>
      <c r="K44" s="165">
        <f>IFERROR(__xludf.DUMMYFUNCTION("""COMPUTED_VALUE"""),-0.305593135946134)</f>
        <v>-0.3055931359</v>
      </c>
      <c r="L44" s="165">
        <f>IFERROR(__xludf.DUMMYFUNCTION("""COMPUTED_VALUE"""),-0.333218597697016)</f>
        <v>-0.3332185977</v>
      </c>
      <c r="M44" s="166">
        <f t="shared" si="2"/>
        <v>0.4390489387</v>
      </c>
      <c r="N44" s="167">
        <f t="shared" si="3"/>
        <v>17.95916667</v>
      </c>
      <c r="O44" s="163">
        <f t="shared" ref="O44:Q44" si="48">rank(I44,I:I)</f>
        <v>359</v>
      </c>
      <c r="P44" s="163">
        <f t="shared" si="48"/>
        <v>2043</v>
      </c>
      <c r="Q44" s="163">
        <f t="shared" si="48"/>
        <v>1769</v>
      </c>
      <c r="R44" s="163">
        <f>IFERROR(__xludf.DUMMYFUNCTION("RANK(M44,filter(M:M,C:C=C44))"),287.0)</f>
        <v>287</v>
      </c>
      <c r="S44" s="161" t="b">
        <f t="shared" si="5"/>
        <v>0</v>
      </c>
      <c r="T44" s="161" t="b">
        <f t="array" ref="T44">index('Query Tool'!B:B,match(H44,'Query Tool'!C:C,0))</f>
        <v>1</v>
      </c>
      <c r="U44" s="161" t="b">
        <f t="array" ref="U44">index('Query Tool'!B:B,match(C44,'Query Tool'!C:C,0))</f>
        <v>0</v>
      </c>
      <c r="V44" s="161" t="b">
        <f>F44&gt;='Query Tool'!C$32</f>
        <v>0</v>
      </c>
      <c r="W44" s="161" t="b">
        <f t="array" ref="W44">index(Dropdowns!B:B,match(I44,Dropdowns!A:A,0))</f>
        <v>1</v>
      </c>
      <c r="X44" s="161" t="b">
        <f t="array" ref="X44">index('Query Tool'!B:B,match(D44,'Query Tool'!C:C,0))</f>
        <v>1</v>
      </c>
      <c r="Y44" s="161" t="str">
        <f t="shared" si="6"/>
        <v>goodedr01,2013-14</v>
      </c>
      <c r="Z44" s="168">
        <f t="array" ref="Z44">iferror(index(I:I,match($A44&amp;","&amp;index('Year Conversion'!$A:$A,match($C44,'Year Conversion'!$B:$B,0)),$Y:$Y,0))-I44,"")</f>
        <v>1</v>
      </c>
      <c r="AA44" s="168">
        <f t="array" ref="AA44">iferror(index(J:J,match($A44&amp;","&amp;index('Year Conversion'!$A:$A,match($C44,'Year Conversion'!$B:$B,0)),$Y:$Y,0))-J44,"")</f>
        <v>0.4868919839</v>
      </c>
      <c r="AB44" s="168">
        <f t="array" ref="AB44">iferror(index(K:K,match($A44&amp;","&amp;index('Year Conversion'!$A:$A,match($C44,'Year Conversion'!$B:$B,0)),$Y:$Y,0))-K44,"")</f>
        <v>-0.4505374657</v>
      </c>
      <c r="AC44" s="168" t="str">
        <f t="shared" si="7"/>
        <v>WAS,2013-14</v>
      </c>
    </row>
    <row r="45">
      <c r="A45" s="161" t="str">
        <f>IFERROR(__xludf.DUMMYFUNCTION("""COMPUTED_VALUE"""),"hilarne01")</f>
        <v>hilarne01</v>
      </c>
      <c r="B45" s="161" t="str">
        <f>IFERROR(__xludf.DUMMYFUNCTION("""COMPUTED_VALUE"""),"Nene")</f>
        <v>Nene</v>
      </c>
      <c r="C45" s="162" t="str">
        <f>IFERROR(__xludf.DUMMYFUNCTION("""COMPUTED_VALUE"""),"2013-14")</f>
        <v>2013-14</v>
      </c>
      <c r="D45" s="163" t="str">
        <f>IFERROR(__xludf.DUMMYFUNCTION("""COMPUTED_VALUE"""),"WAS")</f>
        <v>WAS</v>
      </c>
      <c r="E45" s="164" t="str">
        <f>IFERROR(__xludf.DUMMYFUNCTION("""COMPUTED_VALUE"""),"Post Scorer")</f>
        <v>Post Scorer</v>
      </c>
      <c r="F45" s="164">
        <f>IFERROR(__xludf.DUMMYFUNCTION("""COMPUTED_VALUE"""),1560.385)</f>
        <v>1560.385</v>
      </c>
      <c r="G45" s="163">
        <f>IFERROR(__xludf.DUMMYFUNCTION("""COMPUTED_VALUE"""),53.0)</f>
        <v>53</v>
      </c>
      <c r="H45" s="163" t="str">
        <f>IFERROR(__xludf.DUMMYFUNCTION("""COMPUTED_VALUE"""),"PF")</f>
        <v>PF</v>
      </c>
      <c r="I45" s="163">
        <f>IFERROR(__xludf.DUMMYFUNCTION("""COMPUTED_VALUE"""),31.0)</f>
        <v>31</v>
      </c>
      <c r="J45" s="165">
        <f>IFERROR(__xludf.DUMMYFUNCTION("""COMPUTED_VALUE"""),0.860744844866938)</f>
        <v>0.8607448449</v>
      </c>
      <c r="K45" s="165">
        <f>IFERROR(__xludf.DUMMYFUNCTION("""COMPUTED_VALUE"""),-0.973608753888817)</f>
        <v>-0.9736087539</v>
      </c>
      <c r="L45" s="165">
        <f>IFERROR(__xludf.DUMMYFUNCTION("""COMPUTED_VALUE"""),1.83435359875575)</f>
        <v>1.834353599</v>
      </c>
      <c r="M45" s="166">
        <f t="shared" si="2"/>
        <v>3.310162587</v>
      </c>
      <c r="N45" s="167">
        <f t="shared" si="3"/>
        <v>29.44122642</v>
      </c>
      <c r="O45" s="163">
        <f t="shared" ref="O45:Q45" si="49">rank(I45,I:I)</f>
        <v>490</v>
      </c>
      <c r="P45" s="163">
        <f t="shared" si="49"/>
        <v>708</v>
      </c>
      <c r="Q45" s="163">
        <f t="shared" si="49"/>
        <v>2772</v>
      </c>
      <c r="R45" s="163">
        <f>IFERROR(__xludf.DUMMYFUNCTION("RANK(M45,filter(M:M,C:C=C45))"),105.0)</f>
        <v>105</v>
      </c>
      <c r="S45" s="161" t="b">
        <f t="shared" si="5"/>
        <v>0</v>
      </c>
      <c r="T45" s="161" t="b">
        <f t="array" ref="T45">index('Query Tool'!B:B,match(H45,'Query Tool'!C:C,0))</f>
        <v>1</v>
      </c>
      <c r="U45" s="161" t="b">
        <f t="array" ref="U45">index('Query Tool'!B:B,match(C45,'Query Tool'!C:C,0))</f>
        <v>0</v>
      </c>
      <c r="V45" s="161" t="b">
        <f>F45&gt;='Query Tool'!C$32</f>
        <v>1</v>
      </c>
      <c r="W45" s="161" t="b">
        <f t="array" ref="W45">index(Dropdowns!B:B,match(I45,Dropdowns!A:A,0))</f>
        <v>1</v>
      </c>
      <c r="X45" s="161" t="b">
        <f t="array" ref="X45">index('Query Tool'!B:B,match(D45,'Query Tool'!C:C,0))</f>
        <v>1</v>
      </c>
      <c r="Y45" s="161" t="str">
        <f t="shared" si="6"/>
        <v>hilarne01,2013-14</v>
      </c>
      <c r="Z45" s="168">
        <f t="array" ref="Z45">iferror(index(I:I,match($A45&amp;","&amp;index('Year Conversion'!$A:$A,match($C45,'Year Conversion'!$B:$B,0)),$Y:$Y,0))-I45,"")</f>
        <v>1</v>
      </c>
      <c r="AA45" s="168">
        <f t="array" ref="AA45">iferror(index(J:J,match($A45&amp;","&amp;index('Year Conversion'!$A:$A,match($C45,'Year Conversion'!$B:$B,0)),$Y:$Y,0))-J45,"")</f>
        <v>-1.022479457</v>
      </c>
      <c r="AB45" s="168">
        <f t="array" ref="AB45">iferror(index(K:K,match($A45&amp;","&amp;index('Year Conversion'!$A:$A,match($C45,'Year Conversion'!$B:$B,0)),$Y:$Y,0))-K45,"")</f>
        <v>-0.1515703103</v>
      </c>
      <c r="AC45" s="168" t="str">
        <f t="shared" si="7"/>
        <v>WAS,2013-14</v>
      </c>
    </row>
    <row r="46">
      <c r="A46" s="161" t="str">
        <f>IFERROR(__xludf.DUMMYFUNCTION("""COMPUTED_VALUE"""),"stoudam01")</f>
        <v>stoudam01</v>
      </c>
      <c r="B46" s="161" t="str">
        <f>IFERROR(__xludf.DUMMYFUNCTION("""COMPUTED_VALUE"""),"Amar'e Stoudemire")</f>
        <v>Amar'e Stoudemire</v>
      </c>
      <c r="C46" s="162" t="str">
        <f>IFERROR(__xludf.DUMMYFUNCTION("""COMPUTED_VALUE"""),"2013-14")</f>
        <v>2013-14</v>
      </c>
      <c r="D46" s="163" t="str">
        <f>IFERROR(__xludf.DUMMYFUNCTION("""COMPUTED_VALUE"""),"NYK")</f>
        <v>NYK</v>
      </c>
      <c r="E46" s="164" t="str">
        <f>IFERROR(__xludf.DUMMYFUNCTION("""COMPUTED_VALUE"""),"Post Scorer")</f>
        <v>Post Scorer</v>
      </c>
      <c r="F46" s="164">
        <f>IFERROR(__xludf.DUMMYFUNCTION("""COMPUTED_VALUE"""),1466.185)</f>
        <v>1466.185</v>
      </c>
      <c r="G46" s="163">
        <f>IFERROR(__xludf.DUMMYFUNCTION("""COMPUTED_VALUE"""),65.0)</f>
        <v>65</v>
      </c>
      <c r="H46" s="163" t="str">
        <f>IFERROR(__xludf.DUMMYFUNCTION("""COMPUTED_VALUE"""),"C")</f>
        <v>C</v>
      </c>
      <c r="I46" s="163">
        <f>IFERROR(__xludf.DUMMYFUNCTION("""COMPUTED_VALUE"""),31.0)</f>
        <v>31</v>
      </c>
      <c r="J46" s="165">
        <f>IFERROR(__xludf.DUMMYFUNCTION("""COMPUTED_VALUE"""),-2.2650027984683)</f>
        <v>-2.265002798</v>
      </c>
      <c r="K46" s="165">
        <f>IFERROR(__xludf.DUMMYFUNCTION("""COMPUTED_VALUE"""),-0.918976086415252)</f>
        <v>-0.9189760864</v>
      </c>
      <c r="L46" s="165">
        <f>IFERROR(__xludf.DUMMYFUNCTION("""COMPUTED_VALUE"""),-1.34602671205304)</f>
        <v>-1.346026712</v>
      </c>
      <c r="M46" s="166">
        <f t="shared" si="2"/>
        <v>0.03726418877</v>
      </c>
      <c r="N46" s="167">
        <f t="shared" si="3"/>
        <v>22.55669231</v>
      </c>
      <c r="O46" s="163">
        <f t="shared" ref="O46:Q46" si="50">rank(I46,I:I)</f>
        <v>490</v>
      </c>
      <c r="P46" s="163">
        <f t="shared" si="50"/>
        <v>3637</v>
      </c>
      <c r="Q46" s="163">
        <f t="shared" si="50"/>
        <v>2712</v>
      </c>
      <c r="R46" s="163">
        <f>IFERROR(__xludf.DUMMYFUNCTION("RANK(M46,filter(M:M,C:C=C46))"),397.0)</f>
        <v>397</v>
      </c>
      <c r="S46" s="161" t="b">
        <f t="shared" si="5"/>
        <v>0</v>
      </c>
      <c r="T46" s="161" t="b">
        <f t="array" ref="T46">index('Query Tool'!B:B,match(H46,'Query Tool'!C:C,0))</f>
        <v>1</v>
      </c>
      <c r="U46" s="161" t="b">
        <f t="array" ref="U46">index('Query Tool'!B:B,match(C46,'Query Tool'!C:C,0))</f>
        <v>0</v>
      </c>
      <c r="V46" s="161" t="b">
        <f>F46&gt;='Query Tool'!C$32</f>
        <v>1</v>
      </c>
      <c r="W46" s="161" t="b">
        <f t="array" ref="W46">index(Dropdowns!B:B,match(I46,Dropdowns!A:A,0))</f>
        <v>1</v>
      </c>
      <c r="X46" s="161" t="b">
        <f t="array" ref="X46">index('Query Tool'!B:B,match(D46,'Query Tool'!C:C,0))</f>
        <v>1</v>
      </c>
      <c r="Y46" s="161" t="str">
        <f t="shared" si="6"/>
        <v>stoudam01,2013-14</v>
      </c>
      <c r="Z46" s="168">
        <f t="array" ref="Z46">iferror(index(I:I,match($A46&amp;","&amp;index('Year Conversion'!$A:$A,match($C46,'Year Conversion'!$B:$B,0)),$Y:$Y,0))-I46,"")</f>
        <v>1</v>
      </c>
      <c r="AA46" s="168">
        <f t="array" ref="AA46">iferror(index(J:J,match($A46&amp;","&amp;index('Year Conversion'!$A:$A,match($C46,'Year Conversion'!$B:$B,0)),$Y:$Y,0))-J46,"")</f>
        <v>2.016291033</v>
      </c>
      <c r="AB46" s="168">
        <f t="array" ref="AB46">iferror(index(K:K,match($A46&amp;","&amp;index('Year Conversion'!$A:$A,match($C46,'Year Conversion'!$B:$B,0)),$Y:$Y,0))-K46,"")</f>
        <v>1.07212966</v>
      </c>
      <c r="AC46" s="168" t="str">
        <f t="shared" si="7"/>
        <v>NYK,2013-14</v>
      </c>
    </row>
    <row r="47">
      <c r="A47" s="161" t="str">
        <f>IFERROR(__xludf.DUMMYFUNCTION("""COMPUTED_VALUE"""),"butleca01")</f>
        <v>butleca01</v>
      </c>
      <c r="B47" s="161" t="str">
        <f>IFERROR(__xludf.DUMMYFUNCTION("""COMPUTED_VALUE"""),"Caron Butler")</f>
        <v>Caron Butler</v>
      </c>
      <c r="C47" s="162" t="str">
        <f>IFERROR(__xludf.DUMMYFUNCTION("""COMPUTED_VALUE"""),"2013-14")</f>
        <v>2013-14</v>
      </c>
      <c r="D47" s="163" t="str">
        <f>IFERROR(__xludf.DUMMYFUNCTION("""COMPUTED_VALUE"""),"TOT")</f>
        <v>TOT</v>
      </c>
      <c r="E47" s="164" t="str">
        <f>IFERROR(__xludf.DUMMYFUNCTION("""COMPUTED_VALUE"""),"Stationary Shooter")</f>
        <v>Stationary Shooter</v>
      </c>
      <c r="F47" s="164">
        <f>IFERROR(__xludf.DUMMYFUNCTION("""COMPUTED_VALUE"""),1419.05)</f>
        <v>1419.05</v>
      </c>
      <c r="G47" s="163">
        <f>IFERROR(__xludf.DUMMYFUNCTION("""COMPUTED_VALUE"""),56.0)</f>
        <v>56</v>
      </c>
      <c r="H47" s="163" t="str">
        <f>IFERROR(__xludf.DUMMYFUNCTION("""COMPUTED_VALUE"""),"SF")</f>
        <v>SF</v>
      </c>
      <c r="I47" s="163">
        <f>IFERROR(__xludf.DUMMYFUNCTION("""COMPUTED_VALUE"""),33.0)</f>
        <v>33</v>
      </c>
      <c r="J47" s="165">
        <f>IFERROR(__xludf.DUMMYFUNCTION("""COMPUTED_VALUE"""),-0.972965176391632)</f>
        <v>-0.9729651764</v>
      </c>
      <c r="K47" s="165">
        <f>IFERROR(__xludf.DUMMYFUNCTION("""COMPUTED_VALUE"""),-1.05251054498159)</f>
        <v>-1.052510545</v>
      </c>
      <c r="L47" s="165">
        <f>IFERROR(__xludf.DUMMYFUNCTION("""COMPUTED_VALUE"""),0.0795453685899585)</f>
        <v>0.07954536859</v>
      </c>
      <c r="M47" s="166">
        <f t="shared" si="2"/>
        <v>1.258079699</v>
      </c>
      <c r="N47" s="167">
        <f t="shared" si="3"/>
        <v>25.34017857</v>
      </c>
      <c r="O47" s="163">
        <f t="shared" ref="O47:Q47" si="51">rank(I47,I:I)</f>
        <v>246</v>
      </c>
      <c r="P47" s="163">
        <f t="shared" si="51"/>
        <v>2475</v>
      </c>
      <c r="Q47" s="163">
        <f t="shared" si="51"/>
        <v>2873</v>
      </c>
      <c r="R47" s="163">
        <f>IFERROR(__xludf.DUMMYFUNCTION("RANK(M47,filter(M:M,C:C=C47))"),205.0)</f>
        <v>205</v>
      </c>
      <c r="S47" s="161" t="b">
        <f t="shared" si="5"/>
        <v>0</v>
      </c>
      <c r="T47" s="161" t="b">
        <f t="array" ref="T47">index('Query Tool'!B:B,match(H47,'Query Tool'!C:C,0))</f>
        <v>1</v>
      </c>
      <c r="U47" s="161" t="b">
        <f t="array" ref="U47">index('Query Tool'!B:B,match(C47,'Query Tool'!C:C,0))</f>
        <v>0</v>
      </c>
      <c r="V47" s="161" t="b">
        <f>F47&gt;='Query Tool'!C$32</f>
        <v>1</v>
      </c>
      <c r="W47" s="161" t="b">
        <f t="array" ref="W47">index(Dropdowns!B:B,match(I47,Dropdowns!A:A,0))</f>
        <v>1</v>
      </c>
      <c r="X47" s="161" t="b">
        <f t="array" ref="X47">index('Query Tool'!B:B,match(D47,'Query Tool'!C:C,0))</f>
        <v>1</v>
      </c>
      <c r="Y47" s="161" t="str">
        <f t="shared" si="6"/>
        <v>butleca01,2013-14</v>
      </c>
      <c r="Z47" s="168">
        <f t="array" ref="Z47">iferror(index(I:I,match($A47&amp;","&amp;index('Year Conversion'!$A:$A,match($C47,'Year Conversion'!$B:$B,0)),$Y:$Y,0))-I47,"")</f>
        <v>1</v>
      </c>
      <c r="AA47" s="168">
        <f t="array" ref="AA47">iferror(index(J:J,match($A47&amp;","&amp;index('Year Conversion'!$A:$A,match($C47,'Year Conversion'!$B:$B,0)),$Y:$Y,0))-J47,"")</f>
        <v>0.01031824612</v>
      </c>
      <c r="AB47" s="168">
        <f t="array" ref="AB47">iferror(index(K:K,match($A47&amp;","&amp;index('Year Conversion'!$A:$A,match($C47,'Year Conversion'!$B:$B,0)),$Y:$Y,0))-K47,"")</f>
        <v>0.06363414856</v>
      </c>
      <c r="AC47" s="168" t="str">
        <f t="shared" si="7"/>
        <v>TOT,2013-14</v>
      </c>
    </row>
    <row r="48">
      <c r="A48" s="161" t="str">
        <f>IFERROR(__xludf.DUMMYFUNCTION("""COMPUTED_VALUE"""),"elyme01")</f>
        <v>elyme01</v>
      </c>
      <c r="B48" s="161" t="str">
        <f>IFERROR(__xludf.DUMMYFUNCTION("""COMPUTED_VALUE"""),"Melvin Ely")</f>
        <v>Melvin Ely</v>
      </c>
      <c r="C48" s="162" t="str">
        <f>IFERROR(__xludf.DUMMYFUNCTION("""COMPUTED_VALUE"""),"2013-14")</f>
        <v>2013-14</v>
      </c>
      <c r="D48" s="163" t="str">
        <f>IFERROR(__xludf.DUMMYFUNCTION("""COMPUTED_VALUE"""),"NOP")</f>
        <v>NOP</v>
      </c>
      <c r="E48" s="164" t="str">
        <f>IFERROR(__xludf.DUMMYFUNCTION("""COMPUTED_VALUE"""),"Post Scorer")</f>
        <v>Post Scorer</v>
      </c>
      <c r="F48" s="164">
        <f>IFERROR(__xludf.DUMMYFUNCTION("""COMPUTED_VALUE"""),27.25)</f>
        <v>27.25</v>
      </c>
      <c r="G48" s="163">
        <f>IFERROR(__xludf.DUMMYFUNCTION("""COMPUTED_VALUE"""),2.0)</f>
        <v>2</v>
      </c>
      <c r="H48" s="163" t="str">
        <f>IFERROR(__xludf.DUMMYFUNCTION("""COMPUTED_VALUE"""),"C")</f>
        <v>C</v>
      </c>
      <c r="I48" s="163">
        <f>IFERROR(__xludf.DUMMYFUNCTION("""COMPUTED_VALUE"""),35.0)</f>
        <v>35</v>
      </c>
      <c r="J48" s="165">
        <f>IFERROR(__xludf.DUMMYFUNCTION("""COMPUTED_VALUE"""),-0.677548175180911)</f>
        <v>-0.6775481752</v>
      </c>
      <c r="K48" s="165">
        <f>IFERROR(__xludf.DUMMYFUNCTION("""COMPUTED_VALUE"""),-0.0103005624448489)</f>
        <v>-0.01030056244</v>
      </c>
      <c r="L48" s="165">
        <f>IFERROR(__xludf.DUMMYFUNCTION("""COMPUTED_VALUE"""),-0.667247612736062)</f>
        <v>-0.6672476127</v>
      </c>
      <c r="M48" s="166">
        <f t="shared" si="2"/>
        <v>0.02957065576</v>
      </c>
      <c r="N48" s="167">
        <f t="shared" si="3"/>
        <v>13.625</v>
      </c>
      <c r="O48" s="163">
        <f t="shared" ref="O48:Q48" si="52">rank(I48,I:I)</f>
        <v>104</v>
      </c>
      <c r="P48" s="163">
        <f t="shared" si="52"/>
        <v>2102</v>
      </c>
      <c r="Q48" s="163">
        <f t="shared" si="52"/>
        <v>1215</v>
      </c>
      <c r="R48" s="163">
        <f>IFERROR(__xludf.DUMMYFUNCTION("RANK(M48,filter(M:M,C:C=C48))"),404.0)</f>
        <v>404</v>
      </c>
      <c r="S48" s="161" t="b">
        <f t="shared" si="5"/>
        <v>0</v>
      </c>
      <c r="T48" s="161" t="b">
        <f t="array" ref="T48">index('Query Tool'!B:B,match(H48,'Query Tool'!C:C,0))</f>
        <v>1</v>
      </c>
      <c r="U48" s="161" t="b">
        <f t="array" ref="U48">index('Query Tool'!B:B,match(C48,'Query Tool'!C:C,0))</f>
        <v>0</v>
      </c>
      <c r="V48" s="161" t="b">
        <f>F48&gt;='Query Tool'!C$32</f>
        <v>0</v>
      </c>
      <c r="W48" s="161" t="b">
        <f t="array" ref="W48">index(Dropdowns!B:B,match(I48,Dropdowns!A:A,0))</f>
        <v>1</v>
      </c>
      <c r="X48" s="161" t="b">
        <f t="array" ref="X48">index('Query Tool'!B:B,match(D48,'Query Tool'!C:C,0))</f>
        <v>1</v>
      </c>
      <c r="Y48" s="161" t="str">
        <f t="shared" si="6"/>
        <v>elyme01,2013-14</v>
      </c>
      <c r="Z48" s="168" t="str">
        <f t="array" ref="Z48">iferror(index(I:I,match($A48&amp;","&amp;index('Year Conversion'!$A:$A,match($C48,'Year Conversion'!$B:$B,0)),$Y:$Y,0))-I48,"")</f>
        <v/>
      </c>
      <c r="AA48" s="168" t="str">
        <f t="array" ref="AA48">iferror(index(J:J,match($A48&amp;","&amp;index('Year Conversion'!$A:$A,match($C48,'Year Conversion'!$B:$B,0)),$Y:$Y,0))-J48,"")</f>
        <v/>
      </c>
      <c r="AB48" s="168" t="str">
        <f t="array" ref="AB48">iferror(index(K:K,match($A48&amp;","&amp;index('Year Conversion'!$A:$A,match($C48,'Year Conversion'!$B:$B,0)),$Y:$Y,0))-K48,"")</f>
        <v/>
      </c>
      <c r="AC48" s="168" t="str">
        <f t="shared" si="7"/>
        <v>NOP,2013-14</v>
      </c>
    </row>
    <row r="49">
      <c r="A49" s="161" t="str">
        <f>IFERROR(__xludf.DUMMYFUNCTION("""COMPUTED_VALUE"""),"princta01")</f>
        <v>princta01</v>
      </c>
      <c r="B49" s="161" t="str">
        <f>IFERROR(__xludf.DUMMYFUNCTION("""COMPUTED_VALUE"""),"Tayshaun Prince")</f>
        <v>Tayshaun Prince</v>
      </c>
      <c r="C49" s="162" t="str">
        <f>IFERROR(__xludf.DUMMYFUNCTION("""COMPUTED_VALUE"""),"2013-14")</f>
        <v>2013-14</v>
      </c>
      <c r="D49" s="163" t="str">
        <f>IFERROR(__xludf.DUMMYFUNCTION("""COMPUTED_VALUE"""),"MEM")</f>
        <v>MEM</v>
      </c>
      <c r="E49" s="164" t="str">
        <f>IFERROR(__xludf.DUMMYFUNCTION("""COMPUTED_VALUE"""),"Shot Creator")</f>
        <v>Shot Creator</v>
      </c>
      <c r="F49" s="164">
        <f>IFERROR(__xludf.DUMMYFUNCTION("""COMPUTED_VALUE"""),1948.375)</f>
        <v>1948.375</v>
      </c>
      <c r="G49" s="163">
        <f>IFERROR(__xludf.DUMMYFUNCTION("""COMPUTED_VALUE"""),76.0)</f>
        <v>76</v>
      </c>
      <c r="H49" s="163" t="str">
        <f>IFERROR(__xludf.DUMMYFUNCTION("""COMPUTED_VALUE"""),"SF")</f>
        <v>SF</v>
      </c>
      <c r="I49" s="163">
        <f>IFERROR(__xludf.DUMMYFUNCTION("""COMPUTED_VALUE"""),33.0)</f>
        <v>33</v>
      </c>
      <c r="J49" s="165">
        <f>IFERROR(__xludf.DUMMYFUNCTION("""COMPUTED_VALUE"""),-0.895327179469814)</f>
        <v>-0.8953271795</v>
      </c>
      <c r="K49" s="165">
        <f>IFERROR(__xludf.DUMMYFUNCTION("""COMPUTED_VALUE"""),-1.48992682551113)</f>
        <v>-1.489926826</v>
      </c>
      <c r="L49" s="165">
        <f>IFERROR(__xludf.DUMMYFUNCTION("""COMPUTED_VALUE"""),0.594599646041311)</f>
        <v>0.594599646</v>
      </c>
      <c r="M49" s="166">
        <f t="shared" si="2"/>
        <v>1.828973682</v>
      </c>
      <c r="N49" s="167">
        <f t="shared" si="3"/>
        <v>25.63651316</v>
      </c>
      <c r="O49" s="163">
        <f t="shared" ref="O49:Q49" si="53">rank(I49,I:I)</f>
        <v>246</v>
      </c>
      <c r="P49" s="163">
        <f t="shared" si="53"/>
        <v>2386</v>
      </c>
      <c r="Q49" s="163">
        <f t="shared" si="53"/>
        <v>3343</v>
      </c>
      <c r="R49" s="163">
        <f>IFERROR(__xludf.DUMMYFUNCTION("RANK(M49,filter(M:M,C:C=C49))"),164.0)</f>
        <v>164</v>
      </c>
      <c r="S49" s="161" t="b">
        <f t="shared" si="5"/>
        <v>0</v>
      </c>
      <c r="T49" s="161" t="b">
        <f t="array" ref="T49">index('Query Tool'!B:B,match(H49,'Query Tool'!C:C,0))</f>
        <v>1</v>
      </c>
      <c r="U49" s="161" t="b">
        <f t="array" ref="U49">index('Query Tool'!B:B,match(C49,'Query Tool'!C:C,0))</f>
        <v>0</v>
      </c>
      <c r="V49" s="161" t="b">
        <f>F49&gt;='Query Tool'!C$32</f>
        <v>1</v>
      </c>
      <c r="W49" s="161" t="b">
        <f t="array" ref="W49">index(Dropdowns!B:B,match(I49,Dropdowns!A:A,0))</f>
        <v>1</v>
      </c>
      <c r="X49" s="161" t="b">
        <f t="array" ref="X49">index('Query Tool'!B:B,match(D49,'Query Tool'!C:C,0))</f>
        <v>1</v>
      </c>
      <c r="Y49" s="161" t="str">
        <f t="shared" si="6"/>
        <v>princta01,2013-14</v>
      </c>
      <c r="Z49" s="168">
        <f t="array" ref="Z49">iferror(index(I:I,match($A49&amp;","&amp;index('Year Conversion'!$A:$A,match($C49,'Year Conversion'!$B:$B,0)),$Y:$Y,0))-I49,"")</f>
        <v>1</v>
      </c>
      <c r="AA49" s="168">
        <f t="array" ref="AA49">iferror(index(J:J,match($A49&amp;","&amp;index('Year Conversion'!$A:$A,match($C49,'Year Conversion'!$B:$B,0)),$Y:$Y,0))-J49,"")</f>
        <v>-1.562759923</v>
      </c>
      <c r="AB49" s="168">
        <f t="array" ref="AB49">iferror(index(K:K,match($A49&amp;","&amp;index('Year Conversion'!$A:$A,match($C49,'Year Conversion'!$B:$B,0)),$Y:$Y,0))-K49,"")</f>
        <v>-0.09942924974</v>
      </c>
      <c r="AC49" s="168" t="str">
        <f t="shared" si="7"/>
        <v>MEM,2013-14</v>
      </c>
    </row>
    <row r="50">
      <c r="A50" s="161" t="str">
        <f>IFERROR(__xludf.DUMMYFUNCTION("""COMPUTED_VALUE"""),"salmojo01")</f>
        <v>salmojo01</v>
      </c>
      <c r="B50" s="161" t="str">
        <f>IFERROR(__xludf.DUMMYFUNCTION("""COMPUTED_VALUE"""),"John Salmons")</f>
        <v>John Salmons</v>
      </c>
      <c r="C50" s="162" t="str">
        <f>IFERROR(__xludf.DUMMYFUNCTION("""COMPUTED_VALUE"""),"2013-14")</f>
        <v>2013-14</v>
      </c>
      <c r="D50" s="163" t="str">
        <f>IFERROR(__xludf.DUMMYFUNCTION("""COMPUTED_VALUE"""),"TOT")</f>
        <v>TOT</v>
      </c>
      <c r="E50" s="164" t="str">
        <f>IFERROR(__xludf.DUMMYFUNCTION("""COMPUTED_VALUE"""),"Secondary Ball Handler")</f>
        <v>Secondary Ball Handler</v>
      </c>
      <c r="F50" s="164">
        <f>IFERROR(__xludf.DUMMYFUNCTION("""COMPUTED_VALUE"""),1725.77)</f>
        <v>1725.77</v>
      </c>
      <c r="G50" s="163">
        <f>IFERROR(__xludf.DUMMYFUNCTION("""COMPUTED_VALUE"""),78.0)</f>
        <v>78</v>
      </c>
      <c r="H50" s="163" t="str">
        <f>IFERROR(__xludf.DUMMYFUNCTION("""COMPUTED_VALUE"""),"SG-SF")</f>
        <v>SG-SF</v>
      </c>
      <c r="I50" s="163">
        <f>IFERROR(__xludf.DUMMYFUNCTION("""COMPUTED_VALUE"""),34.0)</f>
        <v>34</v>
      </c>
      <c r="J50" s="165">
        <f>IFERROR(__xludf.DUMMYFUNCTION("""COMPUTED_VALUE"""),-2.45721298674187)</f>
        <v>-2.457212987</v>
      </c>
      <c r="K50" s="165">
        <f>IFERROR(__xludf.DUMMYFUNCTION("""COMPUTED_VALUE"""),-2.36449899569714)</f>
        <v>-2.364498996</v>
      </c>
      <c r="L50" s="165">
        <f>IFERROR(__xludf.DUMMYFUNCTION("""COMPUTED_VALUE"""),-0.0927139910447279)</f>
        <v>-0.09271399104</v>
      </c>
      <c r="M50" s="166">
        <f t="shared" si="2"/>
        <v>-0.1746549767</v>
      </c>
      <c r="N50" s="167">
        <f t="shared" si="3"/>
        <v>22.12525641</v>
      </c>
      <c r="O50" s="163">
        <f t="shared" ref="O50:Q50" si="54">rank(I50,I:I)</f>
        <v>164</v>
      </c>
      <c r="P50" s="163">
        <f t="shared" si="54"/>
        <v>3741</v>
      </c>
      <c r="Q50" s="163">
        <f t="shared" si="54"/>
        <v>3854</v>
      </c>
      <c r="R50" s="163">
        <f>IFERROR(__xludf.DUMMYFUNCTION("RANK(M50,filter(M:M,C:C=C50))"),453.0)</f>
        <v>453</v>
      </c>
      <c r="S50" s="161" t="b">
        <f t="shared" si="5"/>
        <v>0</v>
      </c>
      <c r="T50" s="161" t="str">
        <f t="array" ref="T50">index('Query Tool'!B:B,match(H50,'Query Tool'!C:C,0))</f>
        <v>#N/A</v>
      </c>
      <c r="U50" s="161" t="b">
        <f t="array" ref="U50">index('Query Tool'!B:B,match(C50,'Query Tool'!C:C,0))</f>
        <v>0</v>
      </c>
      <c r="V50" s="161" t="b">
        <f>F50&gt;='Query Tool'!C$32</f>
        <v>1</v>
      </c>
      <c r="W50" s="161" t="b">
        <f t="array" ref="W50">index(Dropdowns!B:B,match(I50,Dropdowns!A:A,0))</f>
        <v>1</v>
      </c>
      <c r="X50" s="161" t="b">
        <f t="array" ref="X50">index('Query Tool'!B:B,match(D50,'Query Tool'!C:C,0))</f>
        <v>1</v>
      </c>
      <c r="Y50" s="161" t="str">
        <f t="shared" si="6"/>
        <v>salmojo01,2013-14</v>
      </c>
      <c r="Z50" s="168">
        <f t="array" ref="Z50">iferror(index(I:I,match($A50&amp;","&amp;index('Year Conversion'!$A:$A,match($C50,'Year Conversion'!$B:$B,0)),$Y:$Y,0))-I50,"")</f>
        <v>1</v>
      </c>
      <c r="AA50" s="168">
        <f t="array" ref="AA50">iferror(index(J:J,match($A50&amp;","&amp;index('Year Conversion'!$A:$A,match($C50,'Year Conversion'!$B:$B,0)),$Y:$Y,0))-J50,"")</f>
        <v>0.4615857972</v>
      </c>
      <c r="AB50" s="168">
        <f t="array" ref="AB50">iferror(index(K:K,match($A50&amp;","&amp;index('Year Conversion'!$A:$A,match($C50,'Year Conversion'!$B:$B,0)),$Y:$Y,0))-K50,"")</f>
        <v>0.8341327273</v>
      </c>
      <c r="AC50" s="168" t="str">
        <f t="shared" si="7"/>
        <v>TOT,2013-14</v>
      </c>
    </row>
    <row r="51">
      <c r="A51" s="161" t="str">
        <f>IFERROR(__xludf.DUMMYFUNCTION("""COMPUTED_VALUE"""),"masonro01")</f>
        <v>masonro01</v>
      </c>
      <c r="B51" s="161" t="str">
        <f>IFERROR(__xludf.DUMMYFUNCTION("""COMPUTED_VALUE"""),"Roger Mason Jr.")</f>
        <v>Roger Mason Jr.</v>
      </c>
      <c r="C51" s="162" t="str">
        <f>IFERROR(__xludf.DUMMYFUNCTION("""COMPUTED_VALUE"""),"2013-14")</f>
        <v>2013-14</v>
      </c>
      <c r="D51" s="163" t="str">
        <f>IFERROR(__xludf.DUMMYFUNCTION("""COMPUTED_VALUE"""),"MIA")</f>
        <v>MIA</v>
      </c>
      <c r="E51" s="164" t="str">
        <f>IFERROR(__xludf.DUMMYFUNCTION("""COMPUTED_VALUE"""),"Movement Shooter")</f>
        <v>Movement Shooter</v>
      </c>
      <c r="F51" s="164">
        <f>IFERROR(__xludf.DUMMYFUNCTION("""COMPUTED_VALUE"""),259.988333333333)</f>
        <v>259.9883333</v>
      </c>
      <c r="G51" s="163">
        <f>IFERROR(__xludf.DUMMYFUNCTION("""COMPUTED_VALUE"""),25.0)</f>
        <v>25</v>
      </c>
      <c r="H51" s="163" t="str">
        <f>IFERROR(__xludf.DUMMYFUNCTION("""COMPUTED_VALUE"""),"SG")</f>
        <v>SG</v>
      </c>
      <c r="I51" s="163">
        <f>IFERROR(__xludf.DUMMYFUNCTION("""COMPUTED_VALUE"""),33.0)</f>
        <v>33</v>
      </c>
      <c r="J51" s="165">
        <f>IFERROR(__xludf.DUMMYFUNCTION("""COMPUTED_VALUE"""),-1.69206731034076)</f>
        <v>-1.69206731</v>
      </c>
      <c r="K51" s="165">
        <f>IFERROR(__xludf.DUMMYFUNCTION("""COMPUTED_VALUE"""),-0.289985990461961)</f>
        <v>-0.2899859905</v>
      </c>
      <c r="L51" s="165">
        <f>IFERROR(__xludf.DUMMYFUNCTION("""COMPUTED_VALUE"""),-1.4020813198788)</f>
        <v>-1.40208132</v>
      </c>
      <c r="M51" s="166">
        <f t="shared" si="2"/>
        <v>0.1054013178</v>
      </c>
      <c r="N51" s="167">
        <f t="shared" si="3"/>
        <v>10.39953333</v>
      </c>
      <c r="O51" s="163">
        <f t="shared" ref="O51:Q51" si="55">rank(I51,I:I)</f>
        <v>246</v>
      </c>
      <c r="P51" s="163">
        <f t="shared" si="55"/>
        <v>3233</v>
      </c>
      <c r="Q51" s="163">
        <f t="shared" si="55"/>
        <v>1746</v>
      </c>
      <c r="R51" s="163">
        <f>IFERROR(__xludf.DUMMYFUNCTION("RANK(M51,filter(M:M,C:C=C51))"),357.0)</f>
        <v>357</v>
      </c>
      <c r="S51" s="161" t="b">
        <f t="shared" si="5"/>
        <v>0</v>
      </c>
      <c r="T51" s="161" t="b">
        <f t="array" ref="T51">index('Query Tool'!B:B,match(H51,'Query Tool'!C:C,0))</f>
        <v>1</v>
      </c>
      <c r="U51" s="161" t="b">
        <f t="array" ref="U51">index('Query Tool'!B:B,match(C51,'Query Tool'!C:C,0))</f>
        <v>0</v>
      </c>
      <c r="V51" s="161" t="b">
        <f>F51&gt;='Query Tool'!C$32</f>
        <v>0</v>
      </c>
      <c r="W51" s="161" t="b">
        <f t="array" ref="W51">index(Dropdowns!B:B,match(I51,Dropdowns!A:A,0))</f>
        <v>1</v>
      </c>
      <c r="X51" s="161" t="b">
        <f t="array" ref="X51">index('Query Tool'!B:B,match(D51,'Query Tool'!C:C,0))</f>
        <v>1</v>
      </c>
      <c r="Y51" s="161" t="str">
        <f t="shared" si="6"/>
        <v>masonro01,2013-14</v>
      </c>
      <c r="Z51" s="168" t="str">
        <f t="array" ref="Z51">iferror(index(I:I,match($A51&amp;","&amp;index('Year Conversion'!$A:$A,match($C51,'Year Conversion'!$B:$B,0)),$Y:$Y,0))-I51,"")</f>
        <v/>
      </c>
      <c r="AA51" s="168" t="str">
        <f t="array" ref="AA51">iferror(index(J:J,match($A51&amp;","&amp;index('Year Conversion'!$A:$A,match($C51,'Year Conversion'!$B:$B,0)),$Y:$Y,0))-J51,"")</f>
        <v/>
      </c>
      <c r="AB51" s="168" t="str">
        <f t="array" ref="AB51">iferror(index(K:K,match($A51&amp;","&amp;index('Year Conversion'!$A:$A,match($C51,'Year Conversion'!$B:$B,0)),$Y:$Y,0))-K51,"")</f>
        <v/>
      </c>
      <c r="AC51" s="168" t="str">
        <f t="shared" si="7"/>
        <v>MIA,2013-14</v>
      </c>
    </row>
    <row r="52">
      <c r="A52" s="161" t="str">
        <f>IFERROR(__xludf.DUMMYFUNCTION("""COMPUTED_VALUE"""),"boozeca01")</f>
        <v>boozeca01</v>
      </c>
      <c r="B52" s="161" t="str">
        <f>IFERROR(__xludf.DUMMYFUNCTION("""COMPUTED_VALUE"""),"Carlos Boozer")</f>
        <v>Carlos Boozer</v>
      </c>
      <c r="C52" s="162" t="str">
        <f>IFERROR(__xludf.DUMMYFUNCTION("""COMPUTED_VALUE"""),"2013-14")</f>
        <v>2013-14</v>
      </c>
      <c r="D52" s="163" t="str">
        <f>IFERROR(__xludf.DUMMYFUNCTION("""COMPUTED_VALUE"""),"CHI")</f>
        <v>CHI</v>
      </c>
      <c r="E52" s="164" t="str">
        <f>IFERROR(__xludf.DUMMYFUNCTION("""COMPUTED_VALUE"""),"Post Scorer")</f>
        <v>Post Scorer</v>
      </c>
      <c r="F52" s="164">
        <f>IFERROR(__xludf.DUMMYFUNCTION("""COMPUTED_VALUE"""),2141.12333333333)</f>
        <v>2141.123333</v>
      </c>
      <c r="G52" s="163">
        <f>IFERROR(__xludf.DUMMYFUNCTION("""COMPUTED_VALUE"""),76.0)</f>
        <v>76</v>
      </c>
      <c r="H52" s="163" t="str">
        <f>IFERROR(__xludf.DUMMYFUNCTION("""COMPUTED_VALUE"""),"PF")</f>
        <v>PF</v>
      </c>
      <c r="I52" s="163">
        <f>IFERROR(__xludf.DUMMYFUNCTION("""COMPUTED_VALUE"""),32.0)</f>
        <v>32</v>
      </c>
      <c r="J52" s="165">
        <f>IFERROR(__xludf.DUMMYFUNCTION("""COMPUTED_VALUE"""),-1.6311284507973)</f>
        <v>-1.631128451</v>
      </c>
      <c r="K52" s="165">
        <f>IFERROR(__xludf.DUMMYFUNCTION("""COMPUTED_VALUE"""),-2.4640688896395)</f>
        <v>-2.46406889</v>
      </c>
      <c r="L52" s="165">
        <f>IFERROR(__xludf.DUMMYFUNCTION("""COMPUTED_VALUE"""),0.832940438842202)</f>
        <v>0.8329404388</v>
      </c>
      <c r="M52" s="166">
        <f t="shared" si="2"/>
        <v>0.9549903655</v>
      </c>
      <c r="N52" s="167">
        <f t="shared" si="3"/>
        <v>28.17267544</v>
      </c>
      <c r="O52" s="163">
        <f t="shared" ref="O52:Q52" si="56">rank(I52,I:I)</f>
        <v>359</v>
      </c>
      <c r="P52" s="163">
        <f t="shared" si="56"/>
        <v>3176</v>
      </c>
      <c r="Q52" s="163">
        <f t="shared" si="56"/>
        <v>3882</v>
      </c>
      <c r="R52" s="163">
        <f>IFERROR(__xludf.DUMMYFUNCTION("RANK(M52,filter(M:M,C:C=C52))"),228.0)</f>
        <v>228</v>
      </c>
      <c r="S52" s="161" t="b">
        <f t="shared" si="5"/>
        <v>0</v>
      </c>
      <c r="T52" s="161" t="b">
        <f t="array" ref="T52">index('Query Tool'!B:B,match(H52,'Query Tool'!C:C,0))</f>
        <v>1</v>
      </c>
      <c r="U52" s="161" t="b">
        <f t="array" ref="U52">index('Query Tool'!B:B,match(C52,'Query Tool'!C:C,0))</f>
        <v>0</v>
      </c>
      <c r="V52" s="161" t="b">
        <f>F52&gt;='Query Tool'!C$32</f>
        <v>1</v>
      </c>
      <c r="W52" s="161" t="b">
        <f t="array" ref="W52">index(Dropdowns!B:B,match(I52,Dropdowns!A:A,0))</f>
        <v>1</v>
      </c>
      <c r="X52" s="161" t="b">
        <f t="array" ref="X52">index('Query Tool'!B:B,match(D52,'Query Tool'!C:C,0))</f>
        <v>1</v>
      </c>
      <c r="Y52" s="161" t="str">
        <f t="shared" si="6"/>
        <v>boozeca01,2013-14</v>
      </c>
      <c r="Z52" s="168">
        <f t="array" ref="Z52">iferror(index(I:I,match($A52&amp;","&amp;index('Year Conversion'!$A:$A,match($C52,'Year Conversion'!$B:$B,0)),$Y:$Y,0))-I52,"")</f>
        <v>1</v>
      </c>
      <c r="AA52" s="168">
        <f t="array" ref="AA52">iferror(index(J:J,match($A52&amp;","&amp;index('Year Conversion'!$A:$A,match($C52,'Year Conversion'!$B:$B,0)),$Y:$Y,0))-J52,"")</f>
        <v>-0.8183830168</v>
      </c>
      <c r="AB52" s="168">
        <f t="array" ref="AB52">iferror(index(K:K,match($A52&amp;","&amp;index('Year Conversion'!$A:$A,match($C52,'Year Conversion'!$B:$B,0)),$Y:$Y,0))-K52,"")</f>
        <v>1.297328049</v>
      </c>
      <c r="AC52" s="168" t="str">
        <f t="shared" si="7"/>
        <v>CHI,2013-14</v>
      </c>
    </row>
    <row r="53">
      <c r="A53" s="161" t="str">
        <f>IFERROR(__xludf.DUMMYFUNCTION("""COMPUTED_VALUE"""),"barnema02")</f>
        <v>barnema02</v>
      </c>
      <c r="B53" s="161" t="str">
        <f>IFERROR(__xludf.DUMMYFUNCTION("""COMPUTED_VALUE"""),"Matt Barnes")</f>
        <v>Matt Barnes</v>
      </c>
      <c r="C53" s="162" t="str">
        <f>IFERROR(__xludf.DUMMYFUNCTION("""COMPUTED_VALUE"""),"2013-14")</f>
        <v>2013-14</v>
      </c>
      <c r="D53" s="163" t="str">
        <f>IFERROR(__xludf.DUMMYFUNCTION("""COMPUTED_VALUE"""),"LAC")</f>
        <v>LAC</v>
      </c>
      <c r="E53" s="164" t="str">
        <f>IFERROR(__xludf.DUMMYFUNCTION("""COMPUTED_VALUE"""),"Stationary Shooter")</f>
        <v>Stationary Shooter</v>
      </c>
      <c r="F53" s="164">
        <f>IFERROR(__xludf.DUMMYFUNCTION("""COMPUTED_VALUE"""),1735.23666666667)</f>
        <v>1735.236667</v>
      </c>
      <c r="G53" s="163">
        <f>IFERROR(__xludf.DUMMYFUNCTION("""COMPUTED_VALUE"""),63.0)</f>
        <v>63</v>
      </c>
      <c r="H53" s="163" t="str">
        <f>IFERROR(__xludf.DUMMYFUNCTION("""COMPUTED_VALUE"""),"SF")</f>
        <v>SF</v>
      </c>
      <c r="I53" s="163">
        <f>IFERROR(__xludf.DUMMYFUNCTION("""COMPUTED_VALUE"""),33.0)</f>
        <v>33</v>
      </c>
      <c r="J53" s="165">
        <f>IFERROR(__xludf.DUMMYFUNCTION("""COMPUTED_VALUE"""),-0.455099787951793)</f>
        <v>-0.455099788</v>
      </c>
      <c r="K53" s="165">
        <f>IFERROR(__xludf.DUMMYFUNCTION("""COMPUTED_VALUE"""),0.557433434707117)</f>
        <v>0.5574334347</v>
      </c>
      <c r="L53" s="165">
        <f>IFERROR(__xludf.DUMMYFUNCTION("""COMPUTED_VALUE"""),-1.01253322265891)</f>
        <v>-1.012533223</v>
      </c>
      <c r="M53" s="166">
        <f t="shared" si="2"/>
        <v>2.142898027</v>
      </c>
      <c r="N53" s="167">
        <f t="shared" si="3"/>
        <v>27.54343915</v>
      </c>
      <c r="O53" s="163">
        <f t="shared" ref="O53:Q53" si="57">rank(I53,I:I)</f>
        <v>246</v>
      </c>
      <c r="P53" s="163">
        <f t="shared" si="57"/>
        <v>1783</v>
      </c>
      <c r="Q53" s="163">
        <f t="shared" si="57"/>
        <v>737</v>
      </c>
      <c r="R53" s="163">
        <f>IFERROR(__xludf.DUMMYFUNCTION("RANK(M53,filter(M:M,C:C=C53))"),147.0)</f>
        <v>147</v>
      </c>
      <c r="S53" s="161" t="b">
        <f t="shared" si="5"/>
        <v>0</v>
      </c>
      <c r="T53" s="161" t="b">
        <f t="array" ref="T53">index('Query Tool'!B:B,match(H53,'Query Tool'!C:C,0))</f>
        <v>1</v>
      </c>
      <c r="U53" s="161" t="b">
        <f t="array" ref="U53">index('Query Tool'!B:B,match(C53,'Query Tool'!C:C,0))</f>
        <v>0</v>
      </c>
      <c r="V53" s="161" t="b">
        <f>F53&gt;='Query Tool'!C$32</f>
        <v>1</v>
      </c>
      <c r="W53" s="161" t="b">
        <f t="array" ref="W53">index(Dropdowns!B:B,match(I53,Dropdowns!A:A,0))</f>
        <v>1</v>
      </c>
      <c r="X53" s="161" t="b">
        <f t="array" ref="X53">index('Query Tool'!B:B,match(D53,'Query Tool'!C:C,0))</f>
        <v>1</v>
      </c>
      <c r="Y53" s="161" t="str">
        <f t="shared" si="6"/>
        <v>barnema02,2013-14</v>
      </c>
      <c r="Z53" s="168">
        <f t="array" ref="Z53">iferror(index(I:I,match($A53&amp;","&amp;index('Year Conversion'!$A:$A,match($C53,'Year Conversion'!$B:$B,0)),$Y:$Y,0))-I53,"")</f>
        <v>1</v>
      </c>
      <c r="AA53" s="168">
        <f t="array" ref="AA53">iferror(index(J:J,match($A53&amp;","&amp;index('Year Conversion'!$A:$A,match($C53,'Year Conversion'!$B:$B,0)),$Y:$Y,0))-J53,"")</f>
        <v>1.884522567</v>
      </c>
      <c r="AB53" s="168">
        <f t="array" ref="AB53">iferror(index(K:K,match($A53&amp;","&amp;index('Year Conversion'!$A:$A,match($C53,'Year Conversion'!$B:$B,0)),$Y:$Y,0))-K53,"")</f>
        <v>-0.03539127752</v>
      </c>
      <c r="AC53" s="168" t="str">
        <f t="shared" si="7"/>
        <v>LAC,2013-14</v>
      </c>
    </row>
    <row r="54">
      <c r="A54" s="161" t="str">
        <f>IFERROR(__xludf.DUMMYFUNCTION("""COMPUTED_VALUE"""),"butlera01")</f>
        <v>butlera01</v>
      </c>
      <c r="B54" s="161" t="str">
        <f>IFERROR(__xludf.DUMMYFUNCTION("""COMPUTED_VALUE"""),"Rasual Butler")</f>
        <v>Rasual Butler</v>
      </c>
      <c r="C54" s="162" t="str">
        <f>IFERROR(__xludf.DUMMYFUNCTION("""COMPUTED_VALUE"""),"2013-14")</f>
        <v>2013-14</v>
      </c>
      <c r="D54" s="163" t="str">
        <f>IFERROR(__xludf.DUMMYFUNCTION("""COMPUTED_VALUE"""),"IND")</f>
        <v>IND</v>
      </c>
      <c r="E54" s="164" t="str">
        <f>IFERROR(__xludf.DUMMYFUNCTION("""COMPUTED_VALUE"""),"Stationary Shooter")</f>
        <v>Stationary Shooter</v>
      </c>
      <c r="F54" s="164">
        <f>IFERROR(__xludf.DUMMYFUNCTION("""COMPUTED_VALUE"""),378.228333333333)</f>
        <v>378.2283333</v>
      </c>
      <c r="G54" s="163">
        <f>IFERROR(__xludf.DUMMYFUNCTION("""COMPUTED_VALUE"""),50.0)</f>
        <v>50</v>
      </c>
      <c r="H54" s="163" t="str">
        <f>IFERROR(__xludf.DUMMYFUNCTION("""COMPUTED_VALUE"""),"SG")</f>
        <v>SG</v>
      </c>
      <c r="I54" s="163">
        <f>IFERROR(__xludf.DUMMYFUNCTION("""COMPUTED_VALUE"""),34.0)</f>
        <v>34</v>
      </c>
      <c r="J54" s="165">
        <f>IFERROR(__xludf.DUMMYFUNCTION("""COMPUTED_VALUE"""),-1.27754516698868)</f>
        <v>-1.277545167</v>
      </c>
      <c r="K54" s="165">
        <f>IFERROR(__xludf.DUMMYFUNCTION("""COMPUTED_VALUE"""),-0.425614772572571)</f>
        <v>-0.4256147726</v>
      </c>
      <c r="L54" s="165">
        <f>IFERROR(__xludf.DUMMYFUNCTION("""COMPUTED_VALUE"""),-0.851930394416104)</f>
        <v>-0.8519303944</v>
      </c>
      <c r="M54" s="166">
        <f t="shared" si="2"/>
        <v>0.2580675714</v>
      </c>
      <c r="N54" s="167">
        <f t="shared" si="3"/>
        <v>7.564566667</v>
      </c>
      <c r="O54" s="163">
        <f t="shared" ref="O54:Q54" si="58">rank(I54,I:I)</f>
        <v>164</v>
      </c>
      <c r="P54" s="163">
        <f t="shared" si="58"/>
        <v>2841</v>
      </c>
      <c r="Q54" s="163">
        <f t="shared" si="58"/>
        <v>1992</v>
      </c>
      <c r="R54" s="163">
        <f>IFERROR(__xludf.DUMMYFUNCTION("RANK(M54,filter(M:M,C:C=C54))"),310.0)</f>
        <v>310</v>
      </c>
      <c r="S54" s="161" t="b">
        <f t="shared" si="5"/>
        <v>0</v>
      </c>
      <c r="T54" s="161" t="b">
        <f t="array" ref="T54">index('Query Tool'!B:B,match(H54,'Query Tool'!C:C,0))</f>
        <v>1</v>
      </c>
      <c r="U54" s="161" t="b">
        <f t="array" ref="U54">index('Query Tool'!B:B,match(C54,'Query Tool'!C:C,0))</f>
        <v>0</v>
      </c>
      <c r="V54" s="161" t="b">
        <f>F54&gt;='Query Tool'!C$32</f>
        <v>0</v>
      </c>
      <c r="W54" s="161" t="b">
        <f t="array" ref="W54">index(Dropdowns!B:B,match(I54,Dropdowns!A:A,0))</f>
        <v>1</v>
      </c>
      <c r="X54" s="161" t="b">
        <f t="array" ref="X54">index('Query Tool'!B:B,match(D54,'Query Tool'!C:C,0))</f>
        <v>1</v>
      </c>
      <c r="Y54" s="161" t="str">
        <f t="shared" si="6"/>
        <v>butlera01,2013-14</v>
      </c>
      <c r="Z54" s="168">
        <f t="array" ref="Z54">iferror(index(I:I,match($A54&amp;","&amp;index('Year Conversion'!$A:$A,match($C54,'Year Conversion'!$B:$B,0)),$Y:$Y,0))-I54,"")</f>
        <v>1</v>
      </c>
      <c r="AA54" s="168">
        <f t="array" ref="AA54">iferror(index(J:J,match($A54&amp;","&amp;index('Year Conversion'!$A:$A,match($C54,'Year Conversion'!$B:$B,0)),$Y:$Y,0))-J54,"")</f>
        <v>-0.7785690372</v>
      </c>
      <c r="AB54" s="168">
        <f t="array" ref="AB54">iferror(index(K:K,match($A54&amp;","&amp;index('Year Conversion'!$A:$A,match($C54,'Year Conversion'!$B:$B,0)),$Y:$Y,0))-K54,"")</f>
        <v>-0.3021908267</v>
      </c>
      <c r="AC54" s="168" t="str">
        <f t="shared" si="7"/>
        <v>IND,2013-14</v>
      </c>
    </row>
    <row r="55">
      <c r="A55" s="161" t="str">
        <f>IFERROR(__xludf.DUMMYFUNCTION("""COMPUTED_VALUE"""),"scolalu01")</f>
        <v>scolalu01</v>
      </c>
      <c r="B55" s="161" t="str">
        <f>IFERROR(__xludf.DUMMYFUNCTION("""COMPUTED_VALUE"""),"Luis Scola")</f>
        <v>Luis Scola</v>
      </c>
      <c r="C55" s="162" t="str">
        <f>IFERROR(__xludf.DUMMYFUNCTION("""COMPUTED_VALUE"""),"2013-14")</f>
        <v>2013-14</v>
      </c>
      <c r="D55" s="163" t="str">
        <f>IFERROR(__xludf.DUMMYFUNCTION("""COMPUTED_VALUE"""),"IND")</f>
        <v>IND</v>
      </c>
      <c r="E55" s="164" t="str">
        <f>IFERROR(__xludf.DUMMYFUNCTION("""COMPUTED_VALUE"""),"Roll + Cut Big")</f>
        <v>Roll + Cut Big</v>
      </c>
      <c r="F55" s="164">
        <f>IFERROR(__xludf.DUMMYFUNCTION("""COMPUTED_VALUE"""),1399.125)</f>
        <v>1399.125</v>
      </c>
      <c r="G55" s="163">
        <f>IFERROR(__xludf.DUMMYFUNCTION("""COMPUTED_VALUE"""),82.0)</f>
        <v>82</v>
      </c>
      <c r="H55" s="163" t="str">
        <f>IFERROR(__xludf.DUMMYFUNCTION("""COMPUTED_VALUE"""),"PF")</f>
        <v>PF</v>
      </c>
      <c r="I55" s="163">
        <f>IFERROR(__xludf.DUMMYFUNCTION("""COMPUTED_VALUE"""),33.0)</f>
        <v>33</v>
      </c>
      <c r="J55" s="165">
        <f>IFERROR(__xludf.DUMMYFUNCTION("""COMPUTED_VALUE"""),-0.94151593443573)</f>
        <v>-0.9415159344</v>
      </c>
      <c r="K55" s="165">
        <f>IFERROR(__xludf.DUMMYFUNCTION("""COMPUTED_VALUE"""),-1.61360606748259)</f>
        <v>-1.613606067</v>
      </c>
      <c r="L55" s="165">
        <f>IFERROR(__xludf.DUMMYFUNCTION("""COMPUTED_VALUE"""),0.672090133046858)</f>
        <v>0.672090133</v>
      </c>
      <c r="M55" s="166">
        <f t="shared" si="2"/>
        <v>1.269967199</v>
      </c>
      <c r="N55" s="167">
        <f t="shared" si="3"/>
        <v>17.0625</v>
      </c>
      <c r="O55" s="163">
        <f t="shared" ref="O55:Q55" si="59">rank(I55,I:I)</f>
        <v>246</v>
      </c>
      <c r="P55" s="163">
        <f t="shared" si="59"/>
        <v>2439</v>
      </c>
      <c r="Q55" s="163">
        <f t="shared" si="59"/>
        <v>3456</v>
      </c>
      <c r="R55" s="163">
        <f>IFERROR(__xludf.DUMMYFUNCTION("RANK(M55,filter(M:M,C:C=C55))"),203.0)</f>
        <v>203</v>
      </c>
      <c r="S55" s="161" t="b">
        <f t="shared" si="5"/>
        <v>0</v>
      </c>
      <c r="T55" s="161" t="b">
        <f t="array" ref="T55">index('Query Tool'!B:B,match(H55,'Query Tool'!C:C,0))</f>
        <v>1</v>
      </c>
      <c r="U55" s="161" t="b">
        <f t="array" ref="U55">index('Query Tool'!B:B,match(C55,'Query Tool'!C:C,0))</f>
        <v>0</v>
      </c>
      <c r="V55" s="161" t="b">
        <f>F55&gt;='Query Tool'!C$32</f>
        <v>1</v>
      </c>
      <c r="W55" s="161" t="b">
        <f t="array" ref="W55">index(Dropdowns!B:B,match(I55,Dropdowns!A:A,0))</f>
        <v>1</v>
      </c>
      <c r="X55" s="161" t="b">
        <f t="array" ref="X55">index('Query Tool'!B:B,match(D55,'Query Tool'!C:C,0))</f>
        <v>1</v>
      </c>
      <c r="Y55" s="161" t="str">
        <f t="shared" si="6"/>
        <v>scolalu01,2013-14</v>
      </c>
      <c r="Z55" s="168">
        <f t="array" ref="Z55">iferror(index(I:I,match($A55&amp;","&amp;index('Year Conversion'!$A:$A,match($C55,'Year Conversion'!$B:$B,0)),$Y:$Y,0))-I55,"")</f>
        <v>1</v>
      </c>
      <c r="AA55" s="168">
        <f t="array" ref="AA55">iferror(index(J:J,match($A55&amp;","&amp;index('Year Conversion'!$A:$A,match($C55,'Year Conversion'!$B:$B,0)),$Y:$Y,0))-J55,"")</f>
        <v>0.6793346472</v>
      </c>
      <c r="AB55" s="168">
        <f t="array" ref="AB55">iferror(index(K:K,match($A55&amp;","&amp;index('Year Conversion'!$A:$A,match($C55,'Year Conversion'!$B:$B,0)),$Y:$Y,0))-K55,"")</f>
        <v>1.12622727</v>
      </c>
      <c r="AC55" s="168" t="str">
        <f t="shared" si="7"/>
        <v>IND,2013-14</v>
      </c>
    </row>
    <row r="56">
      <c r="A56" s="161" t="str">
        <f>IFERROR(__xludf.DUMMYFUNCTION("""COMPUTED_VALUE"""),"pargoja01")</f>
        <v>pargoja01</v>
      </c>
      <c r="B56" s="161" t="str">
        <f>IFERROR(__xludf.DUMMYFUNCTION("""COMPUTED_VALUE"""),"Jannero Pargo")</f>
        <v>Jannero Pargo</v>
      </c>
      <c r="C56" s="162" t="str">
        <f>IFERROR(__xludf.DUMMYFUNCTION("""COMPUTED_VALUE"""),"2013-14")</f>
        <v>2013-14</v>
      </c>
      <c r="D56" s="163" t="str">
        <f>IFERROR(__xludf.DUMMYFUNCTION("""COMPUTED_VALUE"""),"CHA")</f>
        <v>CHA</v>
      </c>
      <c r="E56" s="164" t="str">
        <f>IFERROR(__xludf.DUMMYFUNCTION("""COMPUTED_VALUE"""),"Secondary Ball Handler")</f>
        <v>Secondary Ball Handler</v>
      </c>
      <c r="F56" s="164">
        <f>IFERROR(__xludf.DUMMYFUNCTION("""COMPUTED_VALUE"""),241.748333333333)</f>
        <v>241.7483333</v>
      </c>
      <c r="G56" s="163">
        <f>IFERROR(__xludf.DUMMYFUNCTION("""COMPUTED_VALUE"""),29.0)</f>
        <v>29</v>
      </c>
      <c r="H56" s="163" t="str">
        <f>IFERROR(__xludf.DUMMYFUNCTION("""COMPUTED_VALUE"""),"PG")</f>
        <v>PG</v>
      </c>
      <c r="I56" s="163">
        <f>IFERROR(__xludf.DUMMYFUNCTION("""COMPUTED_VALUE"""),34.0)</f>
        <v>34</v>
      </c>
      <c r="J56" s="165">
        <f>IFERROR(__xludf.DUMMYFUNCTION("""COMPUTED_VALUE"""),-0.590167726602619)</f>
        <v>-0.5901677266</v>
      </c>
      <c r="K56" s="165">
        <f>IFERROR(__xludf.DUMMYFUNCTION("""COMPUTED_VALUE"""),0.566024423681373)</f>
        <v>0.5660244237</v>
      </c>
      <c r="L56" s="165">
        <f>IFERROR(__xludf.DUMMYFUNCTION("""COMPUTED_VALUE"""),-1.15619215028399)</f>
        <v>-1.15619215</v>
      </c>
      <c r="M56" s="166">
        <f t="shared" si="2"/>
        <v>0.276553808</v>
      </c>
      <c r="N56" s="167">
        <f t="shared" si="3"/>
        <v>8.336149425</v>
      </c>
      <c r="O56" s="163">
        <f t="shared" ref="O56:Q56" si="60">rank(I56,I:I)</f>
        <v>164</v>
      </c>
      <c r="P56" s="163">
        <f t="shared" si="60"/>
        <v>1978</v>
      </c>
      <c r="Q56" s="163">
        <f t="shared" si="60"/>
        <v>734</v>
      </c>
      <c r="R56" s="163">
        <f>IFERROR(__xludf.DUMMYFUNCTION("RANK(M56,filter(M:M,C:C=C56))"),306.0)</f>
        <v>306</v>
      </c>
      <c r="S56" s="161" t="b">
        <f t="shared" si="5"/>
        <v>0</v>
      </c>
      <c r="T56" s="161" t="b">
        <f t="array" ref="T56">index('Query Tool'!B:B,match(H56,'Query Tool'!C:C,0))</f>
        <v>1</v>
      </c>
      <c r="U56" s="161" t="b">
        <f t="array" ref="U56">index('Query Tool'!B:B,match(C56,'Query Tool'!C:C,0))</f>
        <v>0</v>
      </c>
      <c r="V56" s="161" t="b">
        <f>F56&gt;='Query Tool'!C$32</f>
        <v>0</v>
      </c>
      <c r="W56" s="161" t="b">
        <f t="array" ref="W56">index(Dropdowns!B:B,match(I56,Dropdowns!A:A,0))</f>
        <v>1</v>
      </c>
      <c r="X56" s="161" t="b">
        <f t="array" ref="X56">index('Query Tool'!B:B,match(D56,'Query Tool'!C:C,0))</f>
        <v>1</v>
      </c>
      <c r="Y56" s="161" t="str">
        <f t="shared" si="6"/>
        <v>pargoja01,2013-14</v>
      </c>
      <c r="Z56" s="168">
        <f t="array" ref="Z56">iferror(index(I:I,match($A56&amp;","&amp;index('Year Conversion'!$A:$A,match($C56,'Year Conversion'!$B:$B,0)),$Y:$Y,0))-I56,"")</f>
        <v>1</v>
      </c>
      <c r="AA56" s="168">
        <f t="array" ref="AA56">iferror(index(J:J,match($A56&amp;","&amp;index('Year Conversion'!$A:$A,match($C56,'Year Conversion'!$B:$B,0)),$Y:$Y,0))-J56,"")</f>
        <v>0.6992634232</v>
      </c>
      <c r="AB56" s="168">
        <f t="array" ref="AB56">iferror(index(K:K,match($A56&amp;","&amp;index('Year Conversion'!$A:$A,match($C56,'Year Conversion'!$B:$B,0)),$Y:$Y,0))-K56,"")</f>
        <v>-0.3926677435</v>
      </c>
      <c r="AC56" s="168" t="str">
        <f t="shared" si="7"/>
        <v>CHA,2013-14</v>
      </c>
    </row>
    <row r="57">
      <c r="A57" s="161" t="str">
        <f>IFERROR(__xludf.DUMMYFUNCTION("""COMPUTED_VALUE"""),"evansre01")</f>
        <v>evansre01</v>
      </c>
      <c r="B57" s="161" t="str">
        <f>IFERROR(__xludf.DUMMYFUNCTION("""COMPUTED_VALUE"""),"Reggie Evans")</f>
        <v>Reggie Evans</v>
      </c>
      <c r="C57" s="162" t="str">
        <f>IFERROR(__xludf.DUMMYFUNCTION("""COMPUTED_VALUE"""),"2013-14")</f>
        <v>2013-14</v>
      </c>
      <c r="D57" s="163" t="str">
        <f>IFERROR(__xludf.DUMMYFUNCTION("""COMPUTED_VALUE"""),"TOT")</f>
        <v>TOT</v>
      </c>
      <c r="E57" s="164" t="str">
        <f>IFERROR(__xludf.DUMMYFUNCTION("""COMPUTED_VALUE"""),"Post Scorer")</f>
        <v>Post Scorer</v>
      </c>
      <c r="F57" s="164">
        <f>IFERROR(__xludf.DUMMYFUNCTION("""COMPUTED_VALUE"""),898.981666666667)</f>
        <v>898.9816667</v>
      </c>
      <c r="G57" s="163">
        <f>IFERROR(__xludf.DUMMYFUNCTION("""COMPUTED_VALUE"""),54.0)</f>
        <v>54</v>
      </c>
      <c r="H57" s="163" t="str">
        <f>IFERROR(__xludf.DUMMYFUNCTION("""COMPUTED_VALUE"""),"PF")</f>
        <v>PF</v>
      </c>
      <c r="I57" s="163">
        <f>IFERROR(__xludf.DUMMYFUNCTION("""COMPUTED_VALUE"""),33.0)</f>
        <v>33</v>
      </c>
      <c r="J57" s="165">
        <f>IFERROR(__xludf.DUMMYFUNCTION("""COMPUTED_VALUE"""),-0.957711879159932)</f>
        <v>-0.9577118792</v>
      </c>
      <c r="K57" s="165">
        <f>IFERROR(__xludf.DUMMYFUNCTION("""COMPUTED_VALUE"""),-1.96020788990605)</f>
        <v>-1.96020789</v>
      </c>
      <c r="L57" s="165">
        <f>IFERROR(__xludf.DUMMYFUNCTION("""COMPUTED_VALUE"""),1.00249601074612)</f>
        <v>1.002496011</v>
      </c>
      <c r="M57" s="166">
        <f t="shared" si="2"/>
        <v>0.8062144227</v>
      </c>
      <c r="N57" s="167">
        <f t="shared" si="3"/>
        <v>16.64780864</v>
      </c>
      <c r="O57" s="163">
        <f t="shared" ref="O57:Q57" si="61">rank(I57,I:I)</f>
        <v>246</v>
      </c>
      <c r="P57" s="163">
        <f t="shared" si="61"/>
        <v>2461</v>
      </c>
      <c r="Q57" s="163">
        <f t="shared" si="61"/>
        <v>3695</v>
      </c>
      <c r="R57" s="163">
        <f>IFERROR(__xludf.DUMMYFUNCTION("RANK(M57,filter(M:M,C:C=C57))"),241.0)</f>
        <v>241</v>
      </c>
      <c r="S57" s="161" t="b">
        <f t="shared" si="5"/>
        <v>0</v>
      </c>
      <c r="T57" s="161" t="b">
        <f t="array" ref="T57">index('Query Tool'!B:B,match(H57,'Query Tool'!C:C,0))</f>
        <v>1</v>
      </c>
      <c r="U57" s="161" t="b">
        <f t="array" ref="U57">index('Query Tool'!B:B,match(C57,'Query Tool'!C:C,0))</f>
        <v>0</v>
      </c>
      <c r="V57" s="161" t="b">
        <f>F57&gt;='Query Tool'!C$32</f>
        <v>1</v>
      </c>
      <c r="W57" s="161" t="b">
        <f t="array" ref="W57">index(Dropdowns!B:B,match(I57,Dropdowns!A:A,0))</f>
        <v>1</v>
      </c>
      <c r="X57" s="161" t="b">
        <f t="array" ref="X57">index('Query Tool'!B:B,match(D57,'Query Tool'!C:C,0))</f>
        <v>1</v>
      </c>
      <c r="Y57" s="161" t="str">
        <f t="shared" si="6"/>
        <v>evansre01,2013-14</v>
      </c>
      <c r="Z57" s="168">
        <f t="array" ref="Z57">iferror(index(I:I,match($A57&amp;","&amp;index('Year Conversion'!$A:$A,match($C57,'Year Conversion'!$B:$B,0)),$Y:$Y,0))-I57,"")</f>
        <v>1</v>
      </c>
      <c r="AA57" s="168">
        <f t="array" ref="AA57">iferror(index(J:J,match($A57&amp;","&amp;index('Year Conversion'!$A:$A,match($C57,'Year Conversion'!$B:$B,0)),$Y:$Y,0))-J57,"")</f>
        <v>-0.7193669318</v>
      </c>
      <c r="AB57" s="168">
        <f t="array" ref="AB57">iferror(index(K:K,match($A57&amp;","&amp;index('Year Conversion'!$A:$A,match($C57,'Year Conversion'!$B:$B,0)),$Y:$Y,0))-K57,"")</f>
        <v>0.6587254576</v>
      </c>
      <c r="AC57" s="168" t="str">
        <f t="shared" si="7"/>
        <v>TOT,2013-14</v>
      </c>
    </row>
    <row r="58">
      <c r="A58" s="161" t="str">
        <f>IFERROR(__xludf.DUMMYFUNCTION("""COMPUTED_VALUE"""),"jamesle01")</f>
        <v>jamesle01</v>
      </c>
      <c r="B58" s="161" t="str">
        <f>IFERROR(__xludf.DUMMYFUNCTION("""COMPUTED_VALUE"""),"LeBron James")</f>
        <v>LeBron James</v>
      </c>
      <c r="C58" s="162" t="str">
        <f>IFERROR(__xludf.DUMMYFUNCTION("""COMPUTED_VALUE"""),"2013-14")</f>
        <v>2013-14</v>
      </c>
      <c r="D58" s="163" t="str">
        <f>IFERROR(__xludf.DUMMYFUNCTION("""COMPUTED_VALUE"""),"MIA")</f>
        <v>MIA</v>
      </c>
      <c r="E58" s="164" t="str">
        <f>IFERROR(__xludf.DUMMYFUNCTION("""COMPUTED_VALUE"""),"Shot Creator")</f>
        <v>Shot Creator</v>
      </c>
      <c r="F58" s="164">
        <f>IFERROR(__xludf.DUMMYFUNCTION("""COMPUTED_VALUE"""),2901.87)</f>
        <v>2901.87</v>
      </c>
      <c r="G58" s="163">
        <f>IFERROR(__xludf.DUMMYFUNCTION("""COMPUTED_VALUE"""),77.0)</f>
        <v>77</v>
      </c>
      <c r="H58" s="163" t="str">
        <f>IFERROR(__xludf.DUMMYFUNCTION("""COMPUTED_VALUE"""),"PF")</f>
        <v>PF</v>
      </c>
      <c r="I58" s="163">
        <f>IFERROR(__xludf.DUMMYFUNCTION("""COMPUTED_VALUE"""),29.0)</f>
        <v>29</v>
      </c>
      <c r="J58" s="165">
        <f>IFERROR(__xludf.DUMMYFUNCTION("""COMPUTED_VALUE"""),5.3526619705314)</f>
        <v>5.352661971</v>
      </c>
      <c r="K58" s="165">
        <f>IFERROR(__xludf.DUMMYFUNCTION("""COMPUTED_VALUE"""),5.60286938327887)</f>
        <v>5.602869383</v>
      </c>
      <c r="L58" s="165">
        <f>IFERROR(__xludf.DUMMYFUNCTION("""COMPUTED_VALUE"""),-0.250207412747468)</f>
        <v>-0.2502074127</v>
      </c>
      <c r="M58" s="166">
        <f t="shared" si="2"/>
        <v>14.54786766</v>
      </c>
      <c r="N58" s="167">
        <f t="shared" si="3"/>
        <v>37.68662338</v>
      </c>
      <c r="O58" s="163">
        <f t="shared" ref="O58:Q58" si="62">rank(I58,I:I)</f>
        <v>855</v>
      </c>
      <c r="P58" s="163">
        <f t="shared" si="62"/>
        <v>37</v>
      </c>
      <c r="Q58" s="163">
        <f t="shared" si="62"/>
        <v>19</v>
      </c>
      <c r="R58" s="163">
        <f>IFERROR(__xludf.DUMMYFUNCTION("RANK(M58,filter(M:M,C:C=C58))"),2.0)</f>
        <v>2</v>
      </c>
      <c r="S58" s="161" t="b">
        <f t="shared" si="5"/>
        <v>0</v>
      </c>
      <c r="T58" s="161" t="b">
        <f t="array" ref="T58">index('Query Tool'!B:B,match(H58,'Query Tool'!C:C,0))</f>
        <v>1</v>
      </c>
      <c r="U58" s="161" t="b">
        <f t="array" ref="U58">index('Query Tool'!B:B,match(C58,'Query Tool'!C:C,0))</f>
        <v>0</v>
      </c>
      <c r="V58" s="161" t="b">
        <f>F58&gt;='Query Tool'!C$32</f>
        <v>1</v>
      </c>
      <c r="W58" s="161" t="b">
        <f t="array" ref="W58">index(Dropdowns!B:B,match(I58,Dropdowns!A:A,0))</f>
        <v>1</v>
      </c>
      <c r="X58" s="161" t="b">
        <f t="array" ref="X58">index('Query Tool'!B:B,match(D58,'Query Tool'!C:C,0))</f>
        <v>1</v>
      </c>
      <c r="Y58" s="161" t="str">
        <f t="shared" si="6"/>
        <v>jamesle01,2013-14</v>
      </c>
      <c r="Z58" s="168">
        <f t="array" ref="Z58">iferror(index(I:I,match($A58&amp;","&amp;index('Year Conversion'!$A:$A,match($C58,'Year Conversion'!$B:$B,0)),$Y:$Y,0))-I58,"")</f>
        <v>1</v>
      </c>
      <c r="AA58" s="168">
        <f t="array" ref="AA58">iferror(index(J:J,match($A58&amp;","&amp;index('Year Conversion'!$A:$A,match($C58,'Year Conversion'!$B:$B,0)),$Y:$Y,0))-J58,"")</f>
        <v>0.08699918213</v>
      </c>
      <c r="AB58" s="168">
        <f t="array" ref="AB58">iferror(index(K:K,match($A58&amp;","&amp;index('Year Conversion'!$A:$A,match($C58,'Year Conversion'!$B:$B,0)),$Y:$Y,0))-K58,"")</f>
        <v>-1.177686501</v>
      </c>
      <c r="AC58" s="168" t="str">
        <f t="shared" si="7"/>
        <v>MIA,2013-14</v>
      </c>
    </row>
    <row r="59">
      <c r="A59" s="161" t="str">
        <f>IFERROR(__xludf.DUMMYFUNCTION("""COMPUTED_VALUE"""),"anthoca01")</f>
        <v>anthoca01</v>
      </c>
      <c r="B59" s="161" t="str">
        <f>IFERROR(__xludf.DUMMYFUNCTION("""COMPUTED_VALUE"""),"Carmelo Anthony")</f>
        <v>Carmelo Anthony</v>
      </c>
      <c r="C59" s="162" t="str">
        <f>IFERROR(__xludf.DUMMYFUNCTION("""COMPUTED_VALUE"""),"2013-14")</f>
        <v>2013-14</v>
      </c>
      <c r="D59" s="163" t="str">
        <f>IFERROR(__xludf.DUMMYFUNCTION("""COMPUTED_VALUE"""),"NYK")</f>
        <v>NYK</v>
      </c>
      <c r="E59" s="164" t="str">
        <f>IFERROR(__xludf.DUMMYFUNCTION("""COMPUTED_VALUE"""),"Shot Creator")</f>
        <v>Shot Creator</v>
      </c>
      <c r="F59" s="164">
        <f>IFERROR(__xludf.DUMMYFUNCTION("""COMPUTED_VALUE"""),2981.73166666667)</f>
        <v>2981.731667</v>
      </c>
      <c r="G59" s="163">
        <f>IFERROR(__xludf.DUMMYFUNCTION("""COMPUTED_VALUE"""),77.0)</f>
        <v>77</v>
      </c>
      <c r="H59" s="163" t="str">
        <f>IFERROR(__xludf.DUMMYFUNCTION("""COMPUTED_VALUE"""),"PF")</f>
        <v>PF</v>
      </c>
      <c r="I59" s="163">
        <f>IFERROR(__xludf.DUMMYFUNCTION("""COMPUTED_VALUE"""),29.0)</f>
        <v>29</v>
      </c>
      <c r="J59" s="165">
        <f>IFERROR(__xludf.DUMMYFUNCTION("""COMPUTED_VALUE"""),2.30115645868708)</f>
        <v>2.301156459</v>
      </c>
      <c r="K59" s="165">
        <f>IFERROR(__xludf.DUMMYFUNCTION("""COMPUTED_VALUE"""),3.10667704387777)</f>
        <v>3.106677044</v>
      </c>
      <c r="L59" s="165">
        <f>IFERROR(__xludf.DUMMYFUNCTION("""COMPUTED_VALUE"""),-0.805520585190695)</f>
        <v>-0.8055205852</v>
      </c>
      <c r="M59" s="166">
        <f t="shared" si="2"/>
        <v>9.189011415</v>
      </c>
      <c r="N59" s="167">
        <f t="shared" si="3"/>
        <v>38.72378788</v>
      </c>
      <c r="O59" s="163">
        <f t="shared" ref="O59:Q59" si="63">rank(I59,I:I)</f>
        <v>855</v>
      </c>
      <c r="P59" s="163">
        <f t="shared" si="63"/>
        <v>259</v>
      </c>
      <c r="Q59" s="163">
        <f t="shared" si="63"/>
        <v>113</v>
      </c>
      <c r="R59" s="163">
        <f>IFERROR(__xludf.DUMMYFUNCTION("RANK(M59,filter(M:M,C:C=C59))"),19.0)</f>
        <v>19</v>
      </c>
      <c r="S59" s="161" t="b">
        <f t="shared" si="5"/>
        <v>0</v>
      </c>
      <c r="T59" s="161" t="b">
        <f t="array" ref="T59">index('Query Tool'!B:B,match(H59,'Query Tool'!C:C,0))</f>
        <v>1</v>
      </c>
      <c r="U59" s="161" t="b">
        <f t="array" ref="U59">index('Query Tool'!B:B,match(C59,'Query Tool'!C:C,0))</f>
        <v>0</v>
      </c>
      <c r="V59" s="161" t="b">
        <f>F59&gt;='Query Tool'!C$32</f>
        <v>1</v>
      </c>
      <c r="W59" s="161" t="b">
        <f t="array" ref="W59">index(Dropdowns!B:B,match(I59,Dropdowns!A:A,0))</f>
        <v>1</v>
      </c>
      <c r="X59" s="161" t="b">
        <f t="array" ref="X59">index('Query Tool'!B:B,match(D59,'Query Tool'!C:C,0))</f>
        <v>1</v>
      </c>
      <c r="Y59" s="161" t="str">
        <f t="shared" si="6"/>
        <v>anthoca01,2013-14</v>
      </c>
      <c r="Z59" s="168">
        <f t="array" ref="Z59">iferror(index(I:I,match($A59&amp;","&amp;index('Year Conversion'!$A:$A,match($C59,'Year Conversion'!$B:$B,0)),$Y:$Y,0))-I59,"")</f>
        <v>1</v>
      </c>
      <c r="AA59" s="168">
        <f t="array" ref="AA59">iferror(index(J:J,match($A59&amp;","&amp;index('Year Conversion'!$A:$A,match($C59,'Year Conversion'!$B:$B,0)),$Y:$Y,0))-J59,"")</f>
        <v>-1.147129612</v>
      </c>
      <c r="AB59" s="168">
        <f t="array" ref="AB59">iferror(index(K:K,match($A59&amp;","&amp;index('Year Conversion'!$A:$A,match($C59,'Year Conversion'!$B:$B,0)),$Y:$Y,0))-K59,"")</f>
        <v>-0.3545691833</v>
      </c>
      <c r="AC59" s="168" t="str">
        <f t="shared" si="7"/>
        <v>NYK,2013-14</v>
      </c>
    </row>
    <row r="60">
      <c r="A60" s="161" t="str">
        <f>IFERROR(__xludf.DUMMYFUNCTION("""COMPUTED_VALUE"""),"boshch01")</f>
        <v>boshch01</v>
      </c>
      <c r="B60" s="161" t="str">
        <f>IFERROR(__xludf.DUMMYFUNCTION("""COMPUTED_VALUE"""),"Chris Bosh")</f>
        <v>Chris Bosh</v>
      </c>
      <c r="C60" s="162" t="str">
        <f>IFERROR(__xludf.DUMMYFUNCTION("""COMPUTED_VALUE"""),"2013-14")</f>
        <v>2013-14</v>
      </c>
      <c r="D60" s="163" t="str">
        <f>IFERROR(__xludf.DUMMYFUNCTION("""COMPUTED_VALUE"""),"MIA")</f>
        <v>MIA</v>
      </c>
      <c r="E60" s="164" t="str">
        <f>IFERROR(__xludf.DUMMYFUNCTION("""COMPUTED_VALUE"""),"Roll + Cut Big")</f>
        <v>Roll + Cut Big</v>
      </c>
      <c r="F60" s="164">
        <f>IFERROR(__xludf.DUMMYFUNCTION("""COMPUTED_VALUE"""),2531.35166666667)</f>
        <v>2531.351667</v>
      </c>
      <c r="G60" s="163">
        <f>IFERROR(__xludf.DUMMYFUNCTION("""COMPUTED_VALUE"""),79.0)</f>
        <v>79</v>
      </c>
      <c r="H60" s="163" t="str">
        <f>IFERROR(__xludf.DUMMYFUNCTION("""COMPUTED_VALUE"""),"C")</f>
        <v>C</v>
      </c>
      <c r="I60" s="163">
        <f>IFERROR(__xludf.DUMMYFUNCTION("""COMPUTED_VALUE"""),29.0)</f>
        <v>29</v>
      </c>
      <c r="J60" s="165">
        <f>IFERROR(__xludf.DUMMYFUNCTION("""COMPUTED_VALUE"""),3.3049069657201)</f>
        <v>3.304906966</v>
      </c>
      <c r="K60" s="165">
        <f>IFERROR(__xludf.DUMMYFUNCTION("""COMPUTED_VALUE"""),1.43609439181649)</f>
        <v>1.436094392</v>
      </c>
      <c r="L60" s="165">
        <f>IFERROR(__xludf.DUMMYFUNCTION("""COMPUTED_VALUE"""),1.8688125739036)</f>
        <v>1.868812574</v>
      </c>
      <c r="M60" s="166">
        <f t="shared" si="2"/>
        <v>9.45863936</v>
      </c>
      <c r="N60" s="167">
        <f t="shared" si="3"/>
        <v>32.04242616</v>
      </c>
      <c r="O60" s="163">
        <f t="shared" ref="O60:Q60" si="64">rank(I60,I:I)</f>
        <v>855</v>
      </c>
      <c r="P60" s="163">
        <f t="shared" si="64"/>
        <v>145</v>
      </c>
      <c r="Q60" s="163">
        <f t="shared" si="64"/>
        <v>340</v>
      </c>
      <c r="R60" s="163">
        <f>IFERROR(__xludf.DUMMYFUNCTION("RANK(M60,filter(M:M,C:C=C60))"),15.0)</f>
        <v>15</v>
      </c>
      <c r="S60" s="161" t="b">
        <f t="shared" si="5"/>
        <v>0</v>
      </c>
      <c r="T60" s="161" t="b">
        <f t="array" ref="T60">index('Query Tool'!B:B,match(H60,'Query Tool'!C:C,0))</f>
        <v>1</v>
      </c>
      <c r="U60" s="161" t="b">
        <f t="array" ref="U60">index('Query Tool'!B:B,match(C60,'Query Tool'!C:C,0))</f>
        <v>0</v>
      </c>
      <c r="V60" s="161" t="b">
        <f>F60&gt;='Query Tool'!C$32</f>
        <v>1</v>
      </c>
      <c r="W60" s="161" t="b">
        <f t="array" ref="W60">index(Dropdowns!B:B,match(I60,Dropdowns!A:A,0))</f>
        <v>1</v>
      </c>
      <c r="X60" s="161" t="b">
        <f t="array" ref="X60">index('Query Tool'!B:B,match(D60,'Query Tool'!C:C,0))</f>
        <v>1</v>
      </c>
      <c r="Y60" s="161" t="str">
        <f t="shared" si="6"/>
        <v>boshch01,2013-14</v>
      </c>
      <c r="Z60" s="168">
        <f t="array" ref="Z60">iferror(index(I:I,match($A60&amp;","&amp;index('Year Conversion'!$A:$A,match($C60,'Year Conversion'!$B:$B,0)),$Y:$Y,0))-I60,"")</f>
        <v>1</v>
      </c>
      <c r="AA60" s="168">
        <f t="array" ref="AA60">iferror(index(J:J,match($A60&amp;","&amp;index('Year Conversion'!$A:$A,match($C60,'Year Conversion'!$B:$B,0)),$Y:$Y,0))-J60,"")</f>
        <v>-2.814632581</v>
      </c>
      <c r="AB60" s="168">
        <f t="array" ref="AB60">iferror(index(K:K,match($A60&amp;","&amp;index('Year Conversion'!$A:$A,match($C60,'Year Conversion'!$B:$B,0)),$Y:$Y,0))-K60,"")</f>
        <v>-0.8022238496</v>
      </c>
      <c r="AC60" s="168" t="str">
        <f t="shared" si="7"/>
        <v>MIA,2013-14</v>
      </c>
    </row>
    <row r="61">
      <c r="A61" s="161" t="str">
        <f>IFERROR(__xludf.DUMMYFUNCTION("""COMPUTED_VALUE"""),"wadedw01")</f>
        <v>wadedw01</v>
      </c>
      <c r="B61" s="161" t="str">
        <f>IFERROR(__xludf.DUMMYFUNCTION("""COMPUTED_VALUE"""),"Dwyane Wade")</f>
        <v>Dwyane Wade</v>
      </c>
      <c r="C61" s="162" t="str">
        <f>IFERROR(__xludf.DUMMYFUNCTION("""COMPUTED_VALUE"""),"2013-14")</f>
        <v>2013-14</v>
      </c>
      <c r="D61" s="163" t="str">
        <f>IFERROR(__xludf.DUMMYFUNCTION("""COMPUTED_VALUE"""),"MIA")</f>
        <v>MIA</v>
      </c>
      <c r="E61" s="164" t="str">
        <f>IFERROR(__xludf.DUMMYFUNCTION("""COMPUTED_VALUE"""),"Shot Creator")</f>
        <v>Shot Creator</v>
      </c>
      <c r="F61" s="164">
        <f>IFERROR(__xludf.DUMMYFUNCTION("""COMPUTED_VALUE"""),1774.65333333333)</f>
        <v>1774.653333</v>
      </c>
      <c r="G61" s="163">
        <f>IFERROR(__xludf.DUMMYFUNCTION("""COMPUTED_VALUE"""),54.0)</f>
        <v>54</v>
      </c>
      <c r="H61" s="163" t="str">
        <f>IFERROR(__xludf.DUMMYFUNCTION("""COMPUTED_VALUE"""),"SG")</f>
        <v>SG</v>
      </c>
      <c r="I61" s="163">
        <f>IFERROR(__xludf.DUMMYFUNCTION("""COMPUTED_VALUE"""),32.0)</f>
        <v>32</v>
      </c>
      <c r="J61" s="165">
        <f>IFERROR(__xludf.DUMMYFUNCTION("""COMPUTED_VALUE"""),0.958840226163889)</f>
        <v>0.9588402262</v>
      </c>
      <c r="K61" s="165">
        <f>IFERROR(__xludf.DUMMYFUNCTION("""COMPUTED_VALUE"""),1.04809297198791)</f>
        <v>1.048092972</v>
      </c>
      <c r="L61" s="165">
        <f>IFERROR(__xludf.DUMMYFUNCTION("""COMPUTED_VALUE"""),-0.0892527458240202)</f>
        <v>-0.08925274582</v>
      </c>
      <c r="M61" s="166">
        <f t="shared" si="2"/>
        <v>3.8816684</v>
      </c>
      <c r="N61" s="167">
        <f t="shared" si="3"/>
        <v>32.86395062</v>
      </c>
      <c r="O61" s="163">
        <f t="shared" ref="O61:Q61" si="65">rank(I61,I:I)</f>
        <v>359</v>
      </c>
      <c r="P61" s="163">
        <f t="shared" si="65"/>
        <v>677</v>
      </c>
      <c r="Q61" s="163">
        <f t="shared" si="65"/>
        <v>477</v>
      </c>
      <c r="R61" s="163">
        <f>IFERROR(__xludf.DUMMYFUNCTION("RANK(M61,filter(M:M,C:C=C61))"),85.0)</f>
        <v>85</v>
      </c>
      <c r="S61" s="161" t="b">
        <f t="shared" si="5"/>
        <v>0</v>
      </c>
      <c r="T61" s="161" t="b">
        <f t="array" ref="T61">index('Query Tool'!B:B,match(H61,'Query Tool'!C:C,0))</f>
        <v>1</v>
      </c>
      <c r="U61" s="161" t="b">
        <f t="array" ref="U61">index('Query Tool'!B:B,match(C61,'Query Tool'!C:C,0))</f>
        <v>0</v>
      </c>
      <c r="V61" s="161" t="b">
        <f>F61&gt;='Query Tool'!C$32</f>
        <v>1</v>
      </c>
      <c r="W61" s="161" t="b">
        <f t="array" ref="W61">index(Dropdowns!B:B,match(I61,Dropdowns!A:A,0))</f>
        <v>1</v>
      </c>
      <c r="X61" s="161" t="b">
        <f t="array" ref="X61">index('Query Tool'!B:B,match(D61,'Query Tool'!C:C,0))</f>
        <v>1</v>
      </c>
      <c r="Y61" s="161" t="str">
        <f t="shared" si="6"/>
        <v>wadedw01,2013-14</v>
      </c>
      <c r="Z61" s="168">
        <f t="array" ref="Z61">iferror(index(I:I,match($A61&amp;","&amp;index('Year Conversion'!$A:$A,match($C61,'Year Conversion'!$B:$B,0)),$Y:$Y,0))-I61,"")</f>
        <v>1</v>
      </c>
      <c r="AA61" s="168">
        <f t="array" ref="AA61">iferror(index(J:J,match($A61&amp;","&amp;index('Year Conversion'!$A:$A,match($C61,'Year Conversion'!$B:$B,0)),$Y:$Y,0))-J61,"")</f>
        <v>-0.7741526018</v>
      </c>
      <c r="AB61" s="168">
        <f t="array" ref="AB61">iferror(index(K:K,match($A61&amp;","&amp;index('Year Conversion'!$A:$A,match($C61,'Year Conversion'!$B:$B,0)),$Y:$Y,0))-K61,"")</f>
        <v>1.195078977</v>
      </c>
      <c r="AC61" s="168" t="str">
        <f t="shared" si="7"/>
        <v>MIA,2013-14</v>
      </c>
    </row>
    <row r="62">
      <c r="A62" s="161" t="str">
        <f>IFERROR(__xludf.DUMMYFUNCTION("""COMPUTED_VALUE"""),"kamanch01")</f>
        <v>kamanch01</v>
      </c>
      <c r="B62" s="161" t="str">
        <f>IFERROR(__xludf.DUMMYFUNCTION("""COMPUTED_VALUE"""),"Chris Kaman")</f>
        <v>Chris Kaman</v>
      </c>
      <c r="C62" s="162" t="str">
        <f>IFERROR(__xludf.DUMMYFUNCTION("""COMPUTED_VALUE"""),"2013-14")</f>
        <v>2013-14</v>
      </c>
      <c r="D62" s="163" t="str">
        <f>IFERROR(__xludf.DUMMYFUNCTION("""COMPUTED_VALUE"""),"LAL")</f>
        <v>LAL</v>
      </c>
      <c r="E62" s="164" t="str">
        <f>IFERROR(__xludf.DUMMYFUNCTION("""COMPUTED_VALUE"""),"Post Scorer")</f>
        <v>Post Scorer</v>
      </c>
      <c r="F62" s="164">
        <f>IFERROR(__xludf.DUMMYFUNCTION("""COMPUTED_VALUE"""),735.975)</f>
        <v>735.975</v>
      </c>
      <c r="G62" s="163">
        <f>IFERROR(__xludf.DUMMYFUNCTION("""COMPUTED_VALUE"""),39.0)</f>
        <v>39</v>
      </c>
      <c r="H62" s="163" t="str">
        <f>IFERROR(__xludf.DUMMYFUNCTION("""COMPUTED_VALUE"""),"C")</f>
        <v>C</v>
      </c>
      <c r="I62" s="163">
        <f>IFERROR(__xludf.DUMMYFUNCTION("""COMPUTED_VALUE"""),31.0)</f>
        <v>31</v>
      </c>
      <c r="J62" s="165">
        <f>IFERROR(__xludf.DUMMYFUNCTION("""COMPUTED_VALUE"""),-1.30723925143917)</f>
        <v>-1.307239251</v>
      </c>
      <c r="K62" s="165">
        <f>IFERROR(__xludf.DUMMYFUNCTION("""COMPUTED_VALUE"""),-2.0469464002071)</f>
        <v>-2.0469464</v>
      </c>
      <c r="L62" s="165">
        <f>IFERROR(__xludf.DUMMYFUNCTION("""COMPUTED_VALUE"""),0.739707148767932)</f>
        <v>0.7397071488</v>
      </c>
      <c r="M62" s="166">
        <f t="shared" si="2"/>
        <v>0.4875286512</v>
      </c>
      <c r="N62" s="167">
        <f t="shared" si="3"/>
        <v>18.87115385</v>
      </c>
      <c r="O62" s="163">
        <f t="shared" ref="O62:Q62" si="66">rank(I62,I:I)</f>
        <v>490</v>
      </c>
      <c r="P62" s="163">
        <f t="shared" si="66"/>
        <v>2866</v>
      </c>
      <c r="Q62" s="163">
        <f t="shared" si="66"/>
        <v>3733</v>
      </c>
      <c r="R62" s="163">
        <f>IFERROR(__xludf.DUMMYFUNCTION("RANK(M62,filter(M:M,C:C=C62))"),275.0)</f>
        <v>275</v>
      </c>
      <c r="S62" s="161" t="b">
        <f t="shared" si="5"/>
        <v>0</v>
      </c>
      <c r="T62" s="161" t="b">
        <f t="array" ref="T62">index('Query Tool'!B:B,match(H62,'Query Tool'!C:C,0))</f>
        <v>1</v>
      </c>
      <c r="U62" s="161" t="b">
        <f t="array" ref="U62">index('Query Tool'!B:B,match(C62,'Query Tool'!C:C,0))</f>
        <v>0</v>
      </c>
      <c r="V62" s="161" t="b">
        <f>F62&gt;='Query Tool'!C$32</f>
        <v>1</v>
      </c>
      <c r="W62" s="161" t="b">
        <f t="array" ref="W62">index(Dropdowns!B:B,match(I62,Dropdowns!A:A,0))</f>
        <v>1</v>
      </c>
      <c r="X62" s="161" t="b">
        <f t="array" ref="X62">index('Query Tool'!B:B,match(D62,'Query Tool'!C:C,0))</f>
        <v>1</v>
      </c>
      <c r="Y62" s="161" t="str">
        <f t="shared" si="6"/>
        <v>kamanch01,2013-14</v>
      </c>
      <c r="Z62" s="168">
        <f t="array" ref="Z62">iferror(index(I:I,match($A62&amp;","&amp;index('Year Conversion'!$A:$A,match($C62,'Year Conversion'!$B:$B,0)),$Y:$Y,0))-I62,"")</f>
        <v>1</v>
      </c>
      <c r="AA62" s="168">
        <f t="array" ref="AA62">iferror(index(J:J,match($A62&amp;","&amp;index('Year Conversion'!$A:$A,match($C62,'Year Conversion'!$B:$B,0)),$Y:$Y,0))-J62,"")</f>
        <v>-0.2627494211</v>
      </c>
      <c r="AB62" s="168">
        <f t="array" ref="AB62">iferror(index(K:K,match($A62&amp;","&amp;index('Year Conversion'!$A:$A,match($C62,'Year Conversion'!$B:$B,0)),$Y:$Y,0))-K62,"")</f>
        <v>0.438337578</v>
      </c>
      <c r="AC62" s="168" t="str">
        <f t="shared" si="7"/>
        <v>LAL,2013-14</v>
      </c>
    </row>
    <row r="63">
      <c r="A63" s="161" t="str">
        <f>IFERROR(__xludf.DUMMYFUNCTION("""COMPUTED_VALUE"""),"hinriki01")</f>
        <v>hinriki01</v>
      </c>
      <c r="B63" s="161" t="str">
        <f>IFERROR(__xludf.DUMMYFUNCTION("""COMPUTED_VALUE"""),"Kirk Hinrich")</f>
        <v>Kirk Hinrich</v>
      </c>
      <c r="C63" s="162" t="str">
        <f>IFERROR(__xludf.DUMMYFUNCTION("""COMPUTED_VALUE"""),"2013-14")</f>
        <v>2013-14</v>
      </c>
      <c r="D63" s="163" t="str">
        <f>IFERROR(__xludf.DUMMYFUNCTION("""COMPUTED_VALUE"""),"CHI")</f>
        <v>CHI</v>
      </c>
      <c r="E63" s="164" t="str">
        <f>IFERROR(__xludf.DUMMYFUNCTION("""COMPUTED_VALUE"""),"Primary Ball Handler")</f>
        <v>Primary Ball Handler</v>
      </c>
      <c r="F63" s="164">
        <f>IFERROR(__xludf.DUMMYFUNCTION("""COMPUTED_VALUE"""),2116.40666666667)</f>
        <v>2116.406667</v>
      </c>
      <c r="G63" s="163">
        <f>IFERROR(__xludf.DUMMYFUNCTION("""COMPUTED_VALUE"""),73.0)</f>
        <v>73</v>
      </c>
      <c r="H63" s="163" t="str">
        <f>IFERROR(__xludf.DUMMYFUNCTION("""COMPUTED_VALUE"""),"PG")</f>
        <v>PG</v>
      </c>
      <c r="I63" s="163">
        <f>IFERROR(__xludf.DUMMYFUNCTION("""COMPUTED_VALUE"""),33.0)</f>
        <v>33</v>
      </c>
      <c r="J63" s="165">
        <f>IFERROR(__xludf.DUMMYFUNCTION("""COMPUTED_VALUE"""),0.367824521580021)</f>
        <v>0.3678245216</v>
      </c>
      <c r="K63" s="165">
        <f>IFERROR(__xludf.DUMMYFUNCTION("""COMPUTED_VALUE"""),-0.842174855000633)</f>
        <v>-0.842174855</v>
      </c>
      <c r="L63" s="165">
        <f>IFERROR(__xludf.DUMMYFUNCTION("""COMPUTED_VALUE"""),1.20999937658065)</f>
        <v>1.209999377</v>
      </c>
      <c r="M63" s="166">
        <f t="shared" si="2"/>
        <v>3.787529022</v>
      </c>
      <c r="N63" s="167">
        <f t="shared" si="3"/>
        <v>28.99187215</v>
      </c>
      <c r="O63" s="163">
        <f t="shared" ref="O63:Q63" si="67">rank(I63,I:I)</f>
        <v>246</v>
      </c>
      <c r="P63" s="163">
        <f t="shared" si="67"/>
        <v>972</v>
      </c>
      <c r="Q63" s="163">
        <f t="shared" si="67"/>
        <v>2607</v>
      </c>
      <c r="R63" s="163">
        <f>IFERROR(__xludf.DUMMYFUNCTION("RANK(M63,filter(M:M,C:C=C63))"),88.0)</f>
        <v>88</v>
      </c>
      <c r="S63" s="161" t="b">
        <f t="shared" si="5"/>
        <v>0</v>
      </c>
      <c r="T63" s="161" t="b">
        <f t="array" ref="T63">index('Query Tool'!B:B,match(H63,'Query Tool'!C:C,0))</f>
        <v>1</v>
      </c>
      <c r="U63" s="161" t="b">
        <f t="array" ref="U63">index('Query Tool'!B:B,match(C63,'Query Tool'!C:C,0))</f>
        <v>0</v>
      </c>
      <c r="V63" s="161" t="b">
        <f>F63&gt;='Query Tool'!C$32</f>
        <v>1</v>
      </c>
      <c r="W63" s="161" t="b">
        <f t="array" ref="W63">index(Dropdowns!B:B,match(I63,Dropdowns!A:A,0))</f>
        <v>1</v>
      </c>
      <c r="X63" s="161" t="b">
        <f t="array" ref="X63">index('Query Tool'!B:B,match(D63,'Query Tool'!C:C,0))</f>
        <v>1</v>
      </c>
      <c r="Y63" s="161" t="str">
        <f t="shared" si="6"/>
        <v>hinriki01,2013-14</v>
      </c>
      <c r="Z63" s="168">
        <f t="array" ref="Z63">iferror(index(I:I,match($A63&amp;","&amp;index('Year Conversion'!$A:$A,match($C63,'Year Conversion'!$B:$B,0)),$Y:$Y,0))-I63,"")</f>
        <v>1</v>
      </c>
      <c r="AA63" s="168">
        <f t="array" ref="AA63">iferror(index(J:J,match($A63&amp;","&amp;index('Year Conversion'!$A:$A,match($C63,'Year Conversion'!$B:$B,0)),$Y:$Y,0))-J63,"")</f>
        <v>-2.902699158</v>
      </c>
      <c r="AB63" s="168">
        <f t="array" ref="AB63">iferror(index(K:K,match($A63&amp;","&amp;index('Year Conversion'!$A:$A,match($C63,'Year Conversion'!$B:$B,0)),$Y:$Y,0))-K63,"")</f>
        <v>-1.082280806</v>
      </c>
      <c r="AC63" s="168" t="str">
        <f t="shared" si="7"/>
        <v>CHI,2013-14</v>
      </c>
    </row>
    <row r="64">
      <c r="A64" s="161" t="str">
        <f>IFERROR(__xludf.DUMMYFUNCTION("""COMPUTED_VALUE"""),"collini01")</f>
        <v>collini01</v>
      </c>
      <c r="B64" s="161" t="str">
        <f>IFERROR(__xludf.DUMMYFUNCTION("""COMPUTED_VALUE"""),"Nick Collison")</f>
        <v>Nick Collison</v>
      </c>
      <c r="C64" s="162" t="str">
        <f>IFERROR(__xludf.DUMMYFUNCTION("""COMPUTED_VALUE"""),"2013-14")</f>
        <v>2013-14</v>
      </c>
      <c r="D64" s="163" t="str">
        <f>IFERROR(__xludf.DUMMYFUNCTION("""COMPUTED_VALUE"""),"OKC")</f>
        <v>OKC</v>
      </c>
      <c r="E64" s="164" t="str">
        <f>IFERROR(__xludf.DUMMYFUNCTION("""COMPUTED_VALUE"""),"Roll + Cut Big")</f>
        <v>Roll + Cut Big</v>
      </c>
      <c r="F64" s="164">
        <f>IFERROR(__xludf.DUMMYFUNCTION("""COMPUTED_VALUE"""),1353.17666666667)</f>
        <v>1353.176667</v>
      </c>
      <c r="G64" s="163">
        <f>IFERROR(__xludf.DUMMYFUNCTION("""COMPUTED_VALUE"""),81.0)</f>
        <v>81</v>
      </c>
      <c r="H64" s="163" t="str">
        <f>IFERROR(__xludf.DUMMYFUNCTION("""COMPUTED_VALUE"""),"PF")</f>
        <v>PF</v>
      </c>
      <c r="I64" s="163">
        <f>IFERROR(__xludf.DUMMYFUNCTION("""COMPUTED_VALUE"""),33.0)</f>
        <v>33</v>
      </c>
      <c r="J64" s="165">
        <f>IFERROR(__xludf.DUMMYFUNCTION("""COMPUTED_VALUE"""),0.580646620635116)</f>
        <v>0.5806466206</v>
      </c>
      <c r="K64" s="165">
        <f>IFERROR(__xludf.DUMMYFUNCTION("""COMPUTED_VALUE"""),-0.401267854334728)</f>
        <v>-0.4012678543</v>
      </c>
      <c r="L64" s="165">
        <f>IFERROR(__xludf.DUMMYFUNCTION("""COMPUTED_VALUE"""),0.981914474969844)</f>
        <v>0.981914475</v>
      </c>
      <c r="M64" s="166">
        <f t="shared" si="2"/>
        <v>2.615622106</v>
      </c>
      <c r="N64" s="167">
        <f t="shared" si="3"/>
        <v>16.70588477</v>
      </c>
      <c r="O64" s="163">
        <f t="shared" ref="O64:Q64" si="68">rank(I64,I:I)</f>
        <v>246</v>
      </c>
      <c r="P64" s="163">
        <f t="shared" si="68"/>
        <v>857</v>
      </c>
      <c r="Q64" s="163">
        <f t="shared" si="68"/>
        <v>1944</v>
      </c>
      <c r="R64" s="163">
        <f>IFERROR(__xludf.DUMMYFUNCTION("RANK(M64,filter(M:M,C:C=C64))"),129.0)</f>
        <v>129</v>
      </c>
      <c r="S64" s="161" t="b">
        <f t="shared" si="5"/>
        <v>0</v>
      </c>
      <c r="T64" s="161" t="b">
        <f t="array" ref="T64">index('Query Tool'!B:B,match(H64,'Query Tool'!C:C,0))</f>
        <v>1</v>
      </c>
      <c r="U64" s="161" t="b">
        <f t="array" ref="U64">index('Query Tool'!B:B,match(C64,'Query Tool'!C:C,0))</f>
        <v>0</v>
      </c>
      <c r="V64" s="161" t="b">
        <f>F64&gt;='Query Tool'!C$32</f>
        <v>1</v>
      </c>
      <c r="W64" s="161" t="b">
        <f t="array" ref="W64">index(Dropdowns!B:B,match(I64,Dropdowns!A:A,0))</f>
        <v>1</v>
      </c>
      <c r="X64" s="161" t="b">
        <f t="array" ref="X64">index('Query Tool'!B:B,match(D64,'Query Tool'!C:C,0))</f>
        <v>1</v>
      </c>
      <c r="Y64" s="161" t="str">
        <f t="shared" si="6"/>
        <v>collini01,2013-14</v>
      </c>
      <c r="Z64" s="168">
        <f t="array" ref="Z64">iferror(index(I:I,match($A64&amp;","&amp;index('Year Conversion'!$A:$A,match($C64,'Year Conversion'!$B:$B,0)),$Y:$Y,0))-I64,"")</f>
        <v>1</v>
      </c>
      <c r="AA64" s="168">
        <f t="array" ref="AA64">iferror(index(J:J,match($A64&amp;","&amp;index('Year Conversion'!$A:$A,match($C64,'Year Conversion'!$B:$B,0)),$Y:$Y,0))-J64,"")</f>
        <v>-0.6844798032</v>
      </c>
      <c r="AB64" s="168">
        <f t="array" ref="AB64">iferror(index(K:K,match($A64&amp;","&amp;index('Year Conversion'!$A:$A,match($C64,'Year Conversion'!$B:$B,0)),$Y:$Y,0))-K64,"")</f>
        <v>-0.7559284125</v>
      </c>
      <c r="AC64" s="168" t="str">
        <f t="shared" si="7"/>
        <v>OKC,2013-14</v>
      </c>
    </row>
    <row r="65">
      <c r="A65" s="161" t="str">
        <f>IFERROR(__xludf.DUMMYFUNCTION("""COMPUTED_VALUE"""),"ridnolu01")</f>
        <v>ridnolu01</v>
      </c>
      <c r="B65" s="161" t="str">
        <f>IFERROR(__xludf.DUMMYFUNCTION("""COMPUTED_VALUE"""),"Luke Ridnour")</f>
        <v>Luke Ridnour</v>
      </c>
      <c r="C65" s="162" t="str">
        <f>IFERROR(__xludf.DUMMYFUNCTION("""COMPUTED_VALUE"""),"2013-14")</f>
        <v>2013-14</v>
      </c>
      <c r="D65" s="163" t="str">
        <f>IFERROR(__xludf.DUMMYFUNCTION("""COMPUTED_VALUE"""),"TOT")</f>
        <v>TOT</v>
      </c>
      <c r="E65" s="164" t="str">
        <f>IFERROR(__xludf.DUMMYFUNCTION("""COMPUTED_VALUE"""),"Secondary Ball Handler")</f>
        <v>Secondary Ball Handler</v>
      </c>
      <c r="F65" s="164">
        <f>IFERROR(__xludf.DUMMYFUNCTION("""COMPUTED_VALUE"""),1140.52166666667)</f>
        <v>1140.521667</v>
      </c>
      <c r="G65" s="163">
        <f>IFERROR(__xludf.DUMMYFUNCTION("""COMPUTED_VALUE"""),61.0)</f>
        <v>61</v>
      </c>
      <c r="H65" s="163" t="str">
        <f>IFERROR(__xludf.DUMMYFUNCTION("""COMPUTED_VALUE"""),"PG")</f>
        <v>PG</v>
      </c>
      <c r="I65" s="163">
        <f>IFERROR(__xludf.DUMMYFUNCTION("""COMPUTED_VALUE"""),32.0)</f>
        <v>32</v>
      </c>
      <c r="J65" s="165">
        <f>IFERROR(__xludf.DUMMYFUNCTION("""COMPUTED_VALUE"""),-2.53442082776822)</f>
        <v>-2.534420828</v>
      </c>
      <c r="K65" s="165">
        <f>IFERROR(__xludf.DUMMYFUNCTION("""COMPUTED_VALUE"""),-1.24505650205357)</f>
        <v>-1.245056502</v>
      </c>
      <c r="L65" s="165">
        <f>IFERROR(__xludf.DUMMYFUNCTION("""COMPUTED_VALUE"""),-1.28936432571465)</f>
        <v>-1.289364326</v>
      </c>
      <c r="M65" s="166">
        <f t="shared" si="2"/>
        <v>-0.1732776662</v>
      </c>
      <c r="N65" s="167">
        <f t="shared" si="3"/>
        <v>18.6970765</v>
      </c>
      <c r="O65" s="163">
        <f t="shared" ref="O65:Q65" si="69">rank(I65,I:I)</f>
        <v>359</v>
      </c>
      <c r="P65" s="163">
        <f t="shared" si="69"/>
        <v>3769</v>
      </c>
      <c r="Q65" s="163">
        <f t="shared" si="69"/>
        <v>3080</v>
      </c>
      <c r="R65" s="163">
        <f>IFERROR(__xludf.DUMMYFUNCTION("RANK(M65,filter(M:M,C:C=C65))"),452.0)</f>
        <v>452</v>
      </c>
      <c r="S65" s="161" t="b">
        <f t="shared" si="5"/>
        <v>0</v>
      </c>
      <c r="T65" s="161" t="b">
        <f t="array" ref="T65">index('Query Tool'!B:B,match(H65,'Query Tool'!C:C,0))</f>
        <v>1</v>
      </c>
      <c r="U65" s="161" t="b">
        <f t="array" ref="U65">index('Query Tool'!B:B,match(C65,'Query Tool'!C:C,0))</f>
        <v>0</v>
      </c>
      <c r="V65" s="161" t="b">
        <f>F65&gt;='Query Tool'!C$32</f>
        <v>1</v>
      </c>
      <c r="W65" s="161" t="b">
        <f t="array" ref="W65">index(Dropdowns!B:B,match(I65,Dropdowns!A:A,0))</f>
        <v>1</v>
      </c>
      <c r="X65" s="161" t="b">
        <f t="array" ref="X65">index('Query Tool'!B:B,match(D65,'Query Tool'!C:C,0))</f>
        <v>1</v>
      </c>
      <c r="Y65" s="161" t="str">
        <f t="shared" si="6"/>
        <v>ridnolu01,2013-14</v>
      </c>
      <c r="Z65" s="168">
        <f t="array" ref="Z65">iferror(index(I:I,match($A65&amp;","&amp;index('Year Conversion'!$A:$A,match($C65,'Year Conversion'!$B:$B,0)),$Y:$Y,0))-I65,"")</f>
        <v>1</v>
      </c>
      <c r="AA65" s="168">
        <f t="array" ref="AA65">iferror(index(J:J,match($A65&amp;","&amp;index('Year Conversion'!$A:$A,match($C65,'Year Conversion'!$B:$B,0)),$Y:$Y,0))-J65,"")</f>
        <v>0.8024777218</v>
      </c>
      <c r="AB65" s="168">
        <f t="array" ref="AB65">iferror(index(K:K,match($A65&amp;","&amp;index('Year Conversion'!$A:$A,match($C65,'Year Conversion'!$B:$B,0)),$Y:$Y,0))-K65,"")</f>
        <v>0.02627036453</v>
      </c>
      <c r="AC65" s="168" t="str">
        <f t="shared" si="7"/>
        <v>TOT,2013-14</v>
      </c>
    </row>
    <row r="66">
      <c r="A66" s="161" t="str">
        <f>IFERROR(__xludf.DUMMYFUNCTION("""COMPUTED_VALUE"""),"westda01")</f>
        <v>westda01</v>
      </c>
      <c r="B66" s="161" t="str">
        <f>IFERROR(__xludf.DUMMYFUNCTION("""COMPUTED_VALUE"""),"David West")</f>
        <v>David West</v>
      </c>
      <c r="C66" s="162" t="str">
        <f>IFERROR(__xludf.DUMMYFUNCTION("""COMPUTED_VALUE"""),"2013-14")</f>
        <v>2013-14</v>
      </c>
      <c r="D66" s="163" t="str">
        <f>IFERROR(__xludf.DUMMYFUNCTION("""COMPUTED_VALUE"""),"IND")</f>
        <v>IND</v>
      </c>
      <c r="E66" s="164" t="str">
        <f>IFERROR(__xludf.DUMMYFUNCTION("""COMPUTED_VALUE"""),"Post Scorer")</f>
        <v>Post Scorer</v>
      </c>
      <c r="F66" s="164">
        <f>IFERROR(__xludf.DUMMYFUNCTION("""COMPUTED_VALUE"""),2472.145)</f>
        <v>2472.145</v>
      </c>
      <c r="G66" s="163">
        <f>IFERROR(__xludf.DUMMYFUNCTION("""COMPUTED_VALUE"""),80.0)</f>
        <v>80</v>
      </c>
      <c r="H66" s="163" t="str">
        <f>IFERROR(__xludf.DUMMYFUNCTION("""COMPUTED_VALUE"""),"PF")</f>
        <v>PF</v>
      </c>
      <c r="I66" s="163">
        <f>IFERROR(__xludf.DUMMYFUNCTION("""COMPUTED_VALUE"""),33.0)</f>
        <v>33</v>
      </c>
      <c r="J66" s="165">
        <f>IFERROR(__xludf.DUMMYFUNCTION("""COMPUTED_VALUE"""),1.65890691715688)</f>
        <v>1.658906917</v>
      </c>
      <c r="K66" s="165">
        <f>IFERROR(__xludf.DUMMYFUNCTION("""COMPUTED_VALUE"""),0.0950166618467515)</f>
        <v>0.09501666185</v>
      </c>
      <c r="L66" s="165">
        <f>IFERROR(__xludf.DUMMYFUNCTION("""COMPUTED_VALUE"""),1.56389025531013)</f>
        <v>1.563890255</v>
      </c>
      <c r="M66" s="166">
        <f t="shared" si="2"/>
        <v>6.565593396</v>
      </c>
      <c r="N66" s="167">
        <f t="shared" si="3"/>
        <v>30.9018125</v>
      </c>
      <c r="O66" s="163">
        <f t="shared" ref="O66:Q66" si="70">rank(I66,I:I)</f>
        <v>246</v>
      </c>
      <c r="P66" s="163">
        <f t="shared" si="70"/>
        <v>408</v>
      </c>
      <c r="Q66" s="163">
        <f t="shared" si="70"/>
        <v>1072</v>
      </c>
      <c r="R66" s="163">
        <f>IFERROR(__xludf.DUMMYFUNCTION("RANK(M66,filter(M:M,C:C=C66))"),43.0)</f>
        <v>43</v>
      </c>
      <c r="S66" s="161" t="b">
        <f t="shared" si="5"/>
        <v>0</v>
      </c>
      <c r="T66" s="161" t="b">
        <f t="array" ref="T66">index('Query Tool'!B:B,match(H66,'Query Tool'!C:C,0))</f>
        <v>1</v>
      </c>
      <c r="U66" s="161" t="b">
        <f t="array" ref="U66">index('Query Tool'!B:B,match(C66,'Query Tool'!C:C,0))</f>
        <v>0</v>
      </c>
      <c r="V66" s="161" t="b">
        <f>F66&gt;='Query Tool'!C$32</f>
        <v>1</v>
      </c>
      <c r="W66" s="161" t="b">
        <f t="array" ref="W66">index(Dropdowns!B:B,match(I66,Dropdowns!A:A,0))</f>
        <v>1</v>
      </c>
      <c r="X66" s="161" t="b">
        <f t="array" ref="X66">index('Query Tool'!B:B,match(D66,'Query Tool'!C:C,0))</f>
        <v>1</v>
      </c>
      <c r="Y66" s="161" t="str">
        <f t="shared" si="6"/>
        <v>westda01,2013-14</v>
      </c>
      <c r="Z66" s="168">
        <f t="array" ref="Z66">iferror(index(I:I,match($A66&amp;","&amp;index('Year Conversion'!$A:$A,match($C66,'Year Conversion'!$B:$B,0)),$Y:$Y,0))-I66,"")</f>
        <v>1</v>
      </c>
      <c r="AA66" s="168">
        <f t="array" ref="AA66">iferror(index(J:J,match($A66&amp;","&amp;index('Year Conversion'!$A:$A,match($C66,'Year Conversion'!$B:$B,0)),$Y:$Y,0))-J66,"")</f>
        <v>-0.5212185194</v>
      </c>
      <c r="AB66" s="168">
        <f t="array" ref="AB66">iferror(index(K:K,match($A66&amp;","&amp;index('Year Conversion'!$A:$A,match($C66,'Year Conversion'!$B:$B,0)),$Y:$Y,0))-K66,"")</f>
        <v>-0.5904591744</v>
      </c>
      <c r="AC66" s="168" t="str">
        <f t="shared" si="7"/>
        <v>IND,2013-14</v>
      </c>
    </row>
    <row r="67">
      <c r="A67" s="161" t="str">
        <f>IFERROR(__xludf.DUMMYFUNCTION("""COMPUTED_VALUE"""),"diawbo01")</f>
        <v>diawbo01</v>
      </c>
      <c r="B67" s="161" t="str">
        <f>IFERROR(__xludf.DUMMYFUNCTION("""COMPUTED_VALUE"""),"Boris Diaw")</f>
        <v>Boris Diaw</v>
      </c>
      <c r="C67" s="162" t="str">
        <f>IFERROR(__xludf.DUMMYFUNCTION("""COMPUTED_VALUE"""),"2013-14")</f>
        <v>2013-14</v>
      </c>
      <c r="D67" s="163" t="str">
        <f>IFERROR(__xludf.DUMMYFUNCTION("""COMPUTED_VALUE"""),"SAS")</f>
        <v>SAS</v>
      </c>
      <c r="E67" s="164" t="str">
        <f>IFERROR(__xludf.DUMMYFUNCTION("""COMPUTED_VALUE"""),"Post Scorer")</f>
        <v>Post Scorer</v>
      </c>
      <c r="F67" s="164">
        <f>IFERROR(__xludf.DUMMYFUNCTION("""COMPUTED_VALUE"""),1974.07166666667)</f>
        <v>1974.071667</v>
      </c>
      <c r="G67" s="163">
        <f>IFERROR(__xludf.DUMMYFUNCTION("""COMPUTED_VALUE"""),79.0)</f>
        <v>79</v>
      </c>
      <c r="H67" s="163" t="str">
        <f>IFERROR(__xludf.DUMMYFUNCTION("""COMPUTED_VALUE"""),"PF")</f>
        <v>PF</v>
      </c>
      <c r="I67" s="163">
        <f>IFERROR(__xludf.DUMMYFUNCTION("""COMPUTED_VALUE"""),31.0)</f>
        <v>31</v>
      </c>
      <c r="J67" s="165">
        <f>IFERROR(__xludf.DUMMYFUNCTION("""COMPUTED_VALUE"""),-0.185498234916165)</f>
        <v>-0.1854982349</v>
      </c>
      <c r="K67" s="165">
        <f>IFERROR(__xludf.DUMMYFUNCTION("""COMPUTED_VALUE"""),-0.210156230603351)</f>
        <v>-0.2101562306</v>
      </c>
      <c r="L67" s="165">
        <f>IFERROR(__xludf.DUMMYFUNCTION("""COMPUTED_VALUE"""),0.0246579956871859)</f>
        <v>0.02465799569</v>
      </c>
      <c r="M67" s="166">
        <f t="shared" si="2"/>
        <v>2.796492869</v>
      </c>
      <c r="N67" s="167">
        <f t="shared" si="3"/>
        <v>24.98824895</v>
      </c>
      <c r="O67" s="163">
        <f t="shared" ref="O67:Q67" si="71">rank(I67,I:I)</f>
        <v>490</v>
      </c>
      <c r="P67" s="163">
        <f t="shared" si="71"/>
        <v>1489</v>
      </c>
      <c r="Q67" s="163">
        <f t="shared" si="71"/>
        <v>1581</v>
      </c>
      <c r="R67" s="163">
        <f>IFERROR(__xludf.DUMMYFUNCTION("RANK(M67,filter(M:M,C:C=C67))"),120.0)</f>
        <v>120</v>
      </c>
      <c r="S67" s="161" t="b">
        <f t="shared" si="5"/>
        <v>0</v>
      </c>
      <c r="T67" s="161" t="b">
        <f t="array" ref="T67">index('Query Tool'!B:B,match(H67,'Query Tool'!C:C,0))</f>
        <v>1</v>
      </c>
      <c r="U67" s="161" t="b">
        <f t="array" ref="U67">index('Query Tool'!B:B,match(C67,'Query Tool'!C:C,0))</f>
        <v>0</v>
      </c>
      <c r="V67" s="161" t="b">
        <f>F67&gt;='Query Tool'!C$32</f>
        <v>1</v>
      </c>
      <c r="W67" s="161" t="b">
        <f t="array" ref="W67">index(Dropdowns!B:B,match(I67,Dropdowns!A:A,0))</f>
        <v>1</v>
      </c>
      <c r="X67" s="161" t="b">
        <f t="array" ref="X67">index('Query Tool'!B:B,match(D67,'Query Tool'!C:C,0))</f>
        <v>1</v>
      </c>
      <c r="Y67" s="161" t="str">
        <f t="shared" si="6"/>
        <v>diawbo01,2013-14</v>
      </c>
      <c r="Z67" s="168">
        <f t="array" ref="Z67">iferror(index(I:I,match($A67&amp;","&amp;index('Year Conversion'!$A:$A,match($C67,'Year Conversion'!$B:$B,0)),$Y:$Y,0))-I67,"")</f>
        <v>1</v>
      </c>
      <c r="AA67" s="168">
        <f t="array" ref="AA67">iferror(index(J:J,match($A67&amp;","&amp;index('Year Conversion'!$A:$A,match($C67,'Year Conversion'!$B:$B,0)),$Y:$Y,0))-J67,"")</f>
        <v>-0.3123200148</v>
      </c>
      <c r="AB67" s="168">
        <f t="array" ref="AB67">iferror(index(K:K,match($A67&amp;","&amp;index('Year Conversion'!$A:$A,match($C67,'Year Conversion'!$B:$B,0)),$Y:$Y,0))-K67,"")</f>
        <v>-0.3936840551</v>
      </c>
      <c r="AC67" s="168" t="str">
        <f t="shared" si="7"/>
        <v>SAS,2013-14</v>
      </c>
    </row>
    <row r="68">
      <c r="A68" s="161" t="str">
        <f>IFERROR(__xludf.DUMMYFUNCTION("""COMPUTED_VALUE"""),"outlatr01")</f>
        <v>outlatr01</v>
      </c>
      <c r="B68" s="161" t="str">
        <f>IFERROR(__xludf.DUMMYFUNCTION("""COMPUTED_VALUE"""),"Travis Outlaw")</f>
        <v>Travis Outlaw</v>
      </c>
      <c r="C68" s="162" t="str">
        <f>IFERROR(__xludf.DUMMYFUNCTION("""COMPUTED_VALUE"""),"2013-14")</f>
        <v>2013-14</v>
      </c>
      <c r="D68" s="163" t="str">
        <f>IFERROR(__xludf.DUMMYFUNCTION("""COMPUTED_VALUE"""),"SAC")</f>
        <v>SAC</v>
      </c>
      <c r="E68" s="164" t="str">
        <f>IFERROR(__xludf.DUMMYFUNCTION("""COMPUTED_VALUE"""),"Stationary Shooter")</f>
        <v>Stationary Shooter</v>
      </c>
      <c r="F68" s="164">
        <f>IFERROR(__xludf.DUMMYFUNCTION("""COMPUTED_VALUE"""),1065.04)</f>
        <v>1065.04</v>
      </c>
      <c r="G68" s="163">
        <f>IFERROR(__xludf.DUMMYFUNCTION("""COMPUTED_VALUE"""),63.0)</f>
        <v>63</v>
      </c>
      <c r="H68" s="163" t="str">
        <f>IFERROR(__xludf.DUMMYFUNCTION("""COMPUTED_VALUE"""),"SF")</f>
        <v>SF</v>
      </c>
      <c r="I68" s="163">
        <f>IFERROR(__xludf.DUMMYFUNCTION("""COMPUTED_VALUE"""),29.0)</f>
        <v>29</v>
      </c>
      <c r="J68" s="165">
        <f>IFERROR(__xludf.DUMMYFUNCTION("""COMPUTED_VALUE"""),-2.01093077994857)</f>
        <v>-2.01093078</v>
      </c>
      <c r="K68" s="165">
        <f>IFERROR(__xludf.DUMMYFUNCTION("""COMPUTED_VALUE"""),-1.24697564268136)</f>
        <v>-1.246975643</v>
      </c>
      <c r="L68" s="165">
        <f>IFERROR(__xludf.DUMMYFUNCTION("""COMPUTED_VALUE"""),-0.763955137267216)</f>
        <v>-0.7639551373</v>
      </c>
      <c r="M68" s="166">
        <f t="shared" si="2"/>
        <v>0.2060669532</v>
      </c>
      <c r="N68" s="167">
        <f t="shared" si="3"/>
        <v>16.90539683</v>
      </c>
      <c r="O68" s="163">
        <f t="shared" ref="O68:Q68" si="72">rank(I68,I:I)</f>
        <v>855</v>
      </c>
      <c r="P68" s="163">
        <f t="shared" si="72"/>
        <v>3487</v>
      </c>
      <c r="Q68" s="163">
        <f t="shared" si="72"/>
        <v>3082</v>
      </c>
      <c r="R68" s="163">
        <f>IFERROR(__xludf.DUMMYFUNCTION("RANK(M68,filter(M:M,C:C=C68))"),320.0)</f>
        <v>320</v>
      </c>
      <c r="S68" s="161" t="b">
        <f t="shared" si="5"/>
        <v>0</v>
      </c>
      <c r="T68" s="161" t="b">
        <f t="array" ref="T68">index('Query Tool'!B:B,match(H68,'Query Tool'!C:C,0))</f>
        <v>1</v>
      </c>
      <c r="U68" s="161" t="b">
        <f t="array" ref="U68">index('Query Tool'!B:B,match(C68,'Query Tool'!C:C,0))</f>
        <v>0</v>
      </c>
      <c r="V68" s="161" t="b">
        <f>F68&gt;='Query Tool'!C$32</f>
        <v>1</v>
      </c>
      <c r="W68" s="161" t="b">
        <f t="array" ref="W68">index(Dropdowns!B:B,match(I68,Dropdowns!A:A,0))</f>
        <v>1</v>
      </c>
      <c r="X68" s="161" t="b">
        <f t="array" ref="X68">index('Query Tool'!B:B,match(D68,'Query Tool'!C:C,0))</f>
        <v>1</v>
      </c>
      <c r="Y68" s="161" t="str">
        <f t="shared" si="6"/>
        <v>outlatr01,2013-14</v>
      </c>
      <c r="Z68" s="168" t="str">
        <f t="array" ref="Z68">iferror(index(I:I,match($A68&amp;","&amp;index('Year Conversion'!$A:$A,match($C68,'Year Conversion'!$B:$B,0)),$Y:$Y,0))-I68,"")</f>
        <v/>
      </c>
      <c r="AA68" s="168" t="str">
        <f t="array" ref="AA68">iferror(index(J:J,match($A68&amp;","&amp;index('Year Conversion'!$A:$A,match($C68,'Year Conversion'!$B:$B,0)),$Y:$Y,0))-J68,"")</f>
        <v/>
      </c>
      <c r="AB68" s="168" t="str">
        <f t="array" ref="AB68">iferror(index(K:K,match($A68&amp;","&amp;index('Year Conversion'!$A:$A,match($C68,'Year Conversion'!$B:$B,0)),$Y:$Y,0))-K68,"")</f>
        <v/>
      </c>
      <c r="AC68" s="168" t="str">
        <f t="shared" si="7"/>
        <v>SAC,2013-14</v>
      </c>
    </row>
    <row r="69">
      <c r="A69" s="161" t="str">
        <f>IFERROR(__xludf.DUMMYFUNCTION("""COMPUTED_VALUE"""),"perkike01")</f>
        <v>perkike01</v>
      </c>
      <c r="B69" s="161" t="str">
        <f>IFERROR(__xludf.DUMMYFUNCTION("""COMPUTED_VALUE"""),"Kendrick Perkins")</f>
        <v>Kendrick Perkins</v>
      </c>
      <c r="C69" s="162" t="str">
        <f>IFERROR(__xludf.DUMMYFUNCTION("""COMPUTED_VALUE"""),"2013-14")</f>
        <v>2013-14</v>
      </c>
      <c r="D69" s="163" t="str">
        <f>IFERROR(__xludf.DUMMYFUNCTION("""COMPUTED_VALUE"""),"OKC")</f>
        <v>OKC</v>
      </c>
      <c r="E69" s="164" t="str">
        <f>IFERROR(__xludf.DUMMYFUNCTION("""COMPUTED_VALUE"""),"Post Scorer")</f>
        <v>Post Scorer</v>
      </c>
      <c r="F69" s="164">
        <f>IFERROR(__xludf.DUMMYFUNCTION("""COMPUTED_VALUE"""),1206.58666666667)</f>
        <v>1206.586667</v>
      </c>
      <c r="G69" s="163">
        <f>IFERROR(__xludf.DUMMYFUNCTION("""COMPUTED_VALUE"""),62.0)</f>
        <v>62</v>
      </c>
      <c r="H69" s="163" t="str">
        <f>IFERROR(__xludf.DUMMYFUNCTION("""COMPUTED_VALUE"""),"C")</f>
        <v>C</v>
      </c>
      <c r="I69" s="163">
        <f>IFERROR(__xludf.DUMMYFUNCTION("""COMPUTED_VALUE"""),29.0)</f>
        <v>29</v>
      </c>
      <c r="J69" s="165">
        <f>IFERROR(__xludf.DUMMYFUNCTION("""COMPUTED_VALUE"""),-2.97061234618625)</f>
        <v>-2.970612346</v>
      </c>
      <c r="K69" s="165">
        <f>IFERROR(__xludf.DUMMYFUNCTION("""COMPUTED_VALUE"""),-3.79057633634213)</f>
        <v>-3.790576336</v>
      </c>
      <c r="L69" s="165">
        <f>IFERROR(__xludf.DUMMYFUNCTION("""COMPUTED_VALUE"""),0.819963990155884)</f>
        <v>0.8199639902</v>
      </c>
      <c r="M69" s="166">
        <f t="shared" si="2"/>
        <v>-0.5271497525</v>
      </c>
      <c r="N69" s="167">
        <f t="shared" si="3"/>
        <v>19.46107527</v>
      </c>
      <c r="O69" s="163">
        <f t="shared" ref="O69:Q69" si="73">rank(I69,I:I)</f>
        <v>855</v>
      </c>
      <c r="P69" s="163">
        <f t="shared" si="73"/>
        <v>3881</v>
      </c>
      <c r="Q69" s="163">
        <f t="shared" si="73"/>
        <v>4011</v>
      </c>
      <c r="R69" s="163">
        <f>IFERROR(__xludf.DUMMYFUNCTION("RANK(M69,filter(M:M,C:C=C69))"),470.0)</f>
        <v>470</v>
      </c>
      <c r="S69" s="161" t="b">
        <f t="shared" si="5"/>
        <v>0</v>
      </c>
      <c r="T69" s="161" t="b">
        <f t="array" ref="T69">index('Query Tool'!B:B,match(H69,'Query Tool'!C:C,0))</f>
        <v>1</v>
      </c>
      <c r="U69" s="161" t="b">
        <f t="array" ref="U69">index('Query Tool'!B:B,match(C69,'Query Tool'!C:C,0))</f>
        <v>0</v>
      </c>
      <c r="V69" s="161" t="b">
        <f>F69&gt;='Query Tool'!C$32</f>
        <v>1</v>
      </c>
      <c r="W69" s="161" t="b">
        <f t="array" ref="W69">index(Dropdowns!B:B,match(I69,Dropdowns!A:A,0))</f>
        <v>1</v>
      </c>
      <c r="X69" s="161" t="b">
        <f t="array" ref="X69">index('Query Tool'!B:B,match(D69,'Query Tool'!C:C,0))</f>
        <v>1</v>
      </c>
      <c r="Y69" s="161" t="str">
        <f t="shared" si="6"/>
        <v>perkike01,2013-14</v>
      </c>
      <c r="Z69" s="168">
        <f t="array" ref="Z69">iferror(index(I:I,match($A69&amp;","&amp;index('Year Conversion'!$A:$A,match($C69,'Year Conversion'!$B:$B,0)),$Y:$Y,0))-I69,"")</f>
        <v>1</v>
      </c>
      <c r="AA69" s="168">
        <f t="array" ref="AA69">iferror(index(J:J,match($A69&amp;","&amp;index('Year Conversion'!$A:$A,match($C69,'Year Conversion'!$B:$B,0)),$Y:$Y,0))-J69,"")</f>
        <v>0.2395351628</v>
      </c>
      <c r="AB69" s="168">
        <f t="array" ref="AB69">iferror(index(K:K,match($A69&amp;","&amp;index('Year Conversion'!$A:$A,match($C69,'Year Conversion'!$B:$B,0)),$Y:$Y,0))-K69,"")</f>
        <v>0.8214517</v>
      </c>
      <c r="AC69" s="168" t="str">
        <f t="shared" si="7"/>
        <v>OKC,2013-14</v>
      </c>
    </row>
    <row r="70">
      <c r="A70" s="161" t="str">
        <f>IFERROR(__xludf.DUMMYFUNCTION("""COMPUTED_VALUE"""),"barbole01")</f>
        <v>barbole01</v>
      </c>
      <c r="B70" s="161" t="str">
        <f>IFERROR(__xludf.DUMMYFUNCTION("""COMPUTED_VALUE"""),"Leandro Barbosa")</f>
        <v>Leandro Barbosa</v>
      </c>
      <c r="C70" s="162" t="str">
        <f>IFERROR(__xludf.DUMMYFUNCTION("""COMPUTED_VALUE"""),"2013-14")</f>
        <v>2013-14</v>
      </c>
      <c r="D70" s="163" t="str">
        <f>IFERROR(__xludf.DUMMYFUNCTION("""COMPUTED_VALUE"""),"PHO")</f>
        <v>PHO</v>
      </c>
      <c r="E70" s="164" t="str">
        <f>IFERROR(__xludf.DUMMYFUNCTION("""COMPUTED_VALUE"""),"Secondary Ball Handler")</f>
        <v>Secondary Ball Handler</v>
      </c>
      <c r="F70" s="164">
        <f>IFERROR(__xludf.DUMMYFUNCTION("""COMPUTED_VALUE"""),367.605)</f>
        <v>367.605</v>
      </c>
      <c r="G70" s="163">
        <f>IFERROR(__xludf.DUMMYFUNCTION("""COMPUTED_VALUE"""),20.0)</f>
        <v>20</v>
      </c>
      <c r="H70" s="163" t="str">
        <f>IFERROR(__xludf.DUMMYFUNCTION("""COMPUTED_VALUE"""),"PG")</f>
        <v>PG</v>
      </c>
      <c r="I70" s="163">
        <f>IFERROR(__xludf.DUMMYFUNCTION("""COMPUTED_VALUE"""),31.0)</f>
        <v>31</v>
      </c>
      <c r="J70" s="165">
        <f>IFERROR(__xludf.DUMMYFUNCTION("""COMPUTED_VALUE"""),-1.13510997188085)</f>
        <v>-1.135109972</v>
      </c>
      <c r="K70" s="165">
        <f>IFERROR(__xludf.DUMMYFUNCTION("""COMPUTED_VALUE"""),-0.289823389481414)</f>
        <v>-0.2898233895</v>
      </c>
      <c r="L70" s="165">
        <f>IFERROR(__xludf.DUMMYFUNCTION("""COMPUTED_VALUE"""),-0.845286582399437)</f>
        <v>-0.8452865824</v>
      </c>
      <c r="M70" s="166">
        <f t="shared" si="2"/>
        <v>0.2859062393</v>
      </c>
      <c r="N70" s="167">
        <f t="shared" si="3"/>
        <v>18.38025</v>
      </c>
      <c r="O70" s="163">
        <f t="shared" ref="O70:Q70" si="74">rank(I70,I:I)</f>
        <v>490</v>
      </c>
      <c r="P70" s="163">
        <f t="shared" si="74"/>
        <v>2667</v>
      </c>
      <c r="Q70" s="163">
        <f t="shared" si="74"/>
        <v>1745</v>
      </c>
      <c r="R70" s="163">
        <f>IFERROR(__xludf.DUMMYFUNCTION("RANK(M70,filter(M:M,C:C=C70))"),304.0)</f>
        <v>304</v>
      </c>
      <c r="S70" s="161" t="b">
        <f t="shared" si="5"/>
        <v>0</v>
      </c>
      <c r="T70" s="161" t="b">
        <f t="array" ref="T70">index('Query Tool'!B:B,match(H70,'Query Tool'!C:C,0))</f>
        <v>1</v>
      </c>
      <c r="U70" s="161" t="b">
        <f t="array" ref="U70">index('Query Tool'!B:B,match(C70,'Query Tool'!C:C,0))</f>
        <v>0</v>
      </c>
      <c r="V70" s="161" t="b">
        <f>F70&gt;='Query Tool'!C$32</f>
        <v>0</v>
      </c>
      <c r="W70" s="161" t="b">
        <f t="array" ref="W70">index(Dropdowns!B:B,match(I70,Dropdowns!A:A,0))</f>
        <v>1</v>
      </c>
      <c r="X70" s="161" t="b">
        <f t="array" ref="X70">index('Query Tool'!B:B,match(D70,'Query Tool'!C:C,0))</f>
        <v>1</v>
      </c>
      <c r="Y70" s="161" t="str">
        <f t="shared" si="6"/>
        <v>barbole01,2013-14</v>
      </c>
      <c r="Z70" s="168">
        <f t="array" ref="Z70">iferror(index(I:I,match($A70&amp;","&amp;index('Year Conversion'!$A:$A,match($C70,'Year Conversion'!$B:$B,0)),$Y:$Y,0))-I70,"")</f>
        <v>1</v>
      </c>
      <c r="AA70" s="168">
        <f t="array" ref="AA70">iferror(index(J:J,match($A70&amp;","&amp;index('Year Conversion'!$A:$A,match($C70,'Year Conversion'!$B:$B,0)),$Y:$Y,0))-J70,"")</f>
        <v>-0.5773814052</v>
      </c>
      <c r="AB70" s="168">
        <f t="array" ref="AB70">iferror(index(K:K,match($A70&amp;","&amp;index('Year Conversion'!$A:$A,match($C70,'Year Conversion'!$B:$B,0)),$Y:$Y,0))-K70,"")</f>
        <v>-0.1543204446</v>
      </c>
      <c r="AC70" s="168" t="str">
        <f t="shared" si="7"/>
        <v>PHO,2013-14</v>
      </c>
    </row>
    <row r="71">
      <c r="A71" s="161" t="str">
        <f>IFERROR(__xludf.DUMMYFUNCTION("""COMPUTED_VALUE"""),"blakest01")</f>
        <v>blakest01</v>
      </c>
      <c r="B71" s="161" t="str">
        <f>IFERROR(__xludf.DUMMYFUNCTION("""COMPUTED_VALUE"""),"Steve Blake")</f>
        <v>Steve Blake</v>
      </c>
      <c r="C71" s="162" t="str">
        <f>IFERROR(__xludf.DUMMYFUNCTION("""COMPUTED_VALUE"""),"2013-14")</f>
        <v>2013-14</v>
      </c>
      <c r="D71" s="163" t="str">
        <f>IFERROR(__xludf.DUMMYFUNCTION("""COMPUTED_VALUE"""),"TOT")</f>
        <v>TOT</v>
      </c>
      <c r="E71" s="164" t="str">
        <f>IFERROR(__xludf.DUMMYFUNCTION("""COMPUTED_VALUE"""),"Secondary Ball Handler")</f>
        <v>Secondary Ball Handler</v>
      </c>
      <c r="F71" s="164">
        <f>IFERROR(__xludf.DUMMYFUNCTION("""COMPUTED_VALUE"""),1498.16833333333)</f>
        <v>1498.168333</v>
      </c>
      <c r="G71" s="163">
        <f>IFERROR(__xludf.DUMMYFUNCTION("""COMPUTED_VALUE"""),55.0)</f>
        <v>55</v>
      </c>
      <c r="H71" s="163" t="str">
        <f>IFERROR(__xludf.DUMMYFUNCTION("""COMPUTED_VALUE"""),"PG")</f>
        <v>PG</v>
      </c>
      <c r="I71" s="163">
        <f>IFERROR(__xludf.DUMMYFUNCTION("""COMPUTED_VALUE"""),33.0)</f>
        <v>33</v>
      </c>
      <c r="J71" s="165">
        <f>IFERROR(__xludf.DUMMYFUNCTION("""COMPUTED_VALUE"""),-1.68661866952222)</f>
        <v>-1.68661867</v>
      </c>
      <c r="K71" s="165">
        <f>IFERROR(__xludf.DUMMYFUNCTION("""COMPUTED_VALUE"""),-1.1544517092353)</f>
        <v>-1.154451709</v>
      </c>
      <c r="L71" s="165">
        <f>IFERROR(__xludf.DUMMYFUNCTION("""COMPUTED_VALUE"""),-0.532166960286918)</f>
        <v>-0.5321669603</v>
      </c>
      <c r="M71" s="166">
        <f t="shared" si="2"/>
        <v>0.6128076981</v>
      </c>
      <c r="N71" s="167">
        <f t="shared" si="3"/>
        <v>27.23942424</v>
      </c>
      <c r="O71" s="163">
        <f t="shared" ref="O71:Q71" si="75">rank(I71,I:I)</f>
        <v>246</v>
      </c>
      <c r="P71" s="163">
        <f t="shared" si="75"/>
        <v>3230</v>
      </c>
      <c r="Q71" s="163">
        <f t="shared" si="75"/>
        <v>2989</v>
      </c>
      <c r="R71" s="163">
        <f>IFERROR(__xludf.DUMMYFUNCTION("RANK(M71,filter(M:M,C:C=C71))"),258.0)</f>
        <v>258</v>
      </c>
      <c r="S71" s="161" t="b">
        <f t="shared" si="5"/>
        <v>0</v>
      </c>
      <c r="T71" s="161" t="b">
        <f t="array" ref="T71">index('Query Tool'!B:B,match(H71,'Query Tool'!C:C,0))</f>
        <v>1</v>
      </c>
      <c r="U71" s="161" t="b">
        <f t="array" ref="U71">index('Query Tool'!B:B,match(C71,'Query Tool'!C:C,0))</f>
        <v>0</v>
      </c>
      <c r="V71" s="161" t="b">
        <f>F71&gt;='Query Tool'!C$32</f>
        <v>1</v>
      </c>
      <c r="W71" s="161" t="b">
        <f t="array" ref="W71">index(Dropdowns!B:B,match(I71,Dropdowns!A:A,0))</f>
        <v>1</v>
      </c>
      <c r="X71" s="161" t="b">
        <f t="array" ref="X71">index('Query Tool'!B:B,match(D71,'Query Tool'!C:C,0))</f>
        <v>1</v>
      </c>
      <c r="Y71" s="161" t="str">
        <f t="shared" si="6"/>
        <v>blakest01,2013-14</v>
      </c>
      <c r="Z71" s="168">
        <f t="array" ref="Z71">iferror(index(I:I,match($A71&amp;","&amp;index('Year Conversion'!$A:$A,match($C71,'Year Conversion'!$B:$B,0)),$Y:$Y,0))-I71,"")</f>
        <v>1</v>
      </c>
      <c r="AA71" s="168">
        <f t="array" ref="AA71">iferror(index(J:J,match($A71&amp;","&amp;index('Year Conversion'!$A:$A,match($C71,'Year Conversion'!$B:$B,0)),$Y:$Y,0))-J71,"")</f>
        <v>1.400573308</v>
      </c>
      <c r="AB71" s="168">
        <f t="array" ref="AB71">iferror(index(K:K,match($A71&amp;","&amp;index('Year Conversion'!$A:$A,match($C71,'Year Conversion'!$B:$B,0)),$Y:$Y,0))-K71,"")</f>
        <v>1.291866127</v>
      </c>
      <c r="AC71" s="168" t="str">
        <f t="shared" si="7"/>
        <v>TOT,2013-14</v>
      </c>
    </row>
    <row r="72">
      <c r="A72" s="161" t="str">
        <f>IFERROR(__xludf.DUMMYFUNCTION("""COMPUTED_VALUE"""),"greenwi01")</f>
        <v>greenwi01</v>
      </c>
      <c r="B72" s="161" t="str">
        <f>IFERROR(__xludf.DUMMYFUNCTION("""COMPUTED_VALUE"""),"Willie Green")</f>
        <v>Willie Green</v>
      </c>
      <c r="C72" s="162" t="str">
        <f>IFERROR(__xludf.DUMMYFUNCTION("""COMPUTED_VALUE"""),"2013-14")</f>
        <v>2013-14</v>
      </c>
      <c r="D72" s="163" t="str">
        <f>IFERROR(__xludf.DUMMYFUNCTION("""COMPUTED_VALUE"""),"LAC")</f>
        <v>LAC</v>
      </c>
      <c r="E72" s="164" t="str">
        <f>IFERROR(__xludf.DUMMYFUNCTION("""COMPUTED_VALUE"""),"Stationary Shooter")</f>
        <v>Stationary Shooter</v>
      </c>
      <c r="F72" s="164">
        <f>IFERROR(__xludf.DUMMYFUNCTION("""COMPUTED_VALUE"""),869.25)</f>
        <v>869.25</v>
      </c>
      <c r="G72" s="163">
        <f>IFERROR(__xludf.DUMMYFUNCTION("""COMPUTED_VALUE"""),55.0)</f>
        <v>55</v>
      </c>
      <c r="H72" s="163" t="str">
        <f>IFERROR(__xludf.DUMMYFUNCTION("""COMPUTED_VALUE"""),"SG")</f>
        <v>SG</v>
      </c>
      <c r="I72" s="163">
        <f>IFERROR(__xludf.DUMMYFUNCTION("""COMPUTED_VALUE"""),32.0)</f>
        <v>32</v>
      </c>
      <c r="J72" s="165">
        <f>IFERROR(__xludf.DUMMYFUNCTION("""COMPUTED_VALUE"""),-1.94074810700711)</f>
        <v>-1.940748107</v>
      </c>
      <c r="K72" s="165">
        <f>IFERROR(__xludf.DUMMYFUNCTION("""COMPUTED_VALUE"""),-1.26634752586186)</f>
        <v>-1.266347526</v>
      </c>
      <c r="L72" s="165">
        <f>IFERROR(__xludf.DUMMYFUNCTION("""COMPUTED_VALUE"""),-0.674400581145247)</f>
        <v>-0.6744005811</v>
      </c>
      <c r="M72" s="166">
        <f t="shared" si="2"/>
        <v>0.2086527019</v>
      </c>
      <c r="N72" s="167">
        <f t="shared" si="3"/>
        <v>15.80454545</v>
      </c>
      <c r="O72" s="163">
        <f t="shared" ref="O72:Q72" si="76">rank(I72,I:I)</f>
        <v>359</v>
      </c>
      <c r="P72" s="163">
        <f t="shared" si="76"/>
        <v>3441</v>
      </c>
      <c r="Q72" s="163">
        <f t="shared" si="76"/>
        <v>3105</v>
      </c>
      <c r="R72" s="163">
        <f>IFERROR(__xludf.DUMMYFUNCTION("RANK(M72,filter(M:M,C:C=C72))"),317.0)</f>
        <v>317</v>
      </c>
      <c r="S72" s="161" t="b">
        <f t="shared" si="5"/>
        <v>0</v>
      </c>
      <c r="T72" s="161" t="b">
        <f t="array" ref="T72">index('Query Tool'!B:B,match(H72,'Query Tool'!C:C,0))</f>
        <v>1</v>
      </c>
      <c r="U72" s="161" t="b">
        <f t="array" ref="U72">index('Query Tool'!B:B,match(C72,'Query Tool'!C:C,0))</f>
        <v>0</v>
      </c>
      <c r="V72" s="161" t="b">
        <f>F72&gt;='Query Tool'!C$32</f>
        <v>1</v>
      </c>
      <c r="W72" s="161" t="b">
        <f t="array" ref="W72">index(Dropdowns!B:B,match(I72,Dropdowns!A:A,0))</f>
        <v>1</v>
      </c>
      <c r="X72" s="161" t="b">
        <f t="array" ref="X72">index('Query Tool'!B:B,match(D72,'Query Tool'!C:C,0))</f>
        <v>1</v>
      </c>
      <c r="Y72" s="161" t="str">
        <f t="shared" si="6"/>
        <v>greenwi01,2013-14</v>
      </c>
      <c r="Z72" s="168">
        <f t="array" ref="Z72">iferror(index(I:I,match($A72&amp;","&amp;index('Year Conversion'!$A:$A,match($C72,'Year Conversion'!$B:$B,0)),$Y:$Y,0))-I72,"")</f>
        <v>1</v>
      </c>
      <c r="AA72" s="168">
        <f t="array" ref="AA72">iferror(index(J:J,match($A72&amp;","&amp;index('Year Conversion'!$A:$A,match($C72,'Year Conversion'!$B:$B,0)),$Y:$Y,0))-J72,"")</f>
        <v>-0.2957169022</v>
      </c>
      <c r="AB72" s="168">
        <f t="array" ref="AB72">iferror(index(K:K,match($A72&amp;","&amp;index('Year Conversion'!$A:$A,match($C72,'Year Conversion'!$B:$B,0)),$Y:$Y,0))-K72,"")</f>
        <v>-0.5892764099</v>
      </c>
      <c r="AC72" s="168" t="str">
        <f t="shared" si="7"/>
        <v>LAC,2013-14</v>
      </c>
    </row>
    <row r="73">
      <c r="A73" s="161" t="str">
        <f>IFERROR(__xludf.DUMMYFUNCTION("""COMPUTED_VALUE"""),"pachuza01")</f>
        <v>pachuza01</v>
      </c>
      <c r="B73" s="161" t="str">
        <f>IFERROR(__xludf.DUMMYFUNCTION("""COMPUTED_VALUE"""),"Zaza Pachulia")</f>
        <v>Zaza Pachulia</v>
      </c>
      <c r="C73" s="162" t="str">
        <f>IFERROR(__xludf.DUMMYFUNCTION("""COMPUTED_VALUE"""),"2013-14")</f>
        <v>2013-14</v>
      </c>
      <c r="D73" s="163" t="str">
        <f>IFERROR(__xludf.DUMMYFUNCTION("""COMPUTED_VALUE"""),"MIL")</f>
        <v>MIL</v>
      </c>
      <c r="E73" s="164" t="str">
        <f>IFERROR(__xludf.DUMMYFUNCTION("""COMPUTED_VALUE"""),"Post Scorer")</f>
        <v>Post Scorer</v>
      </c>
      <c r="F73" s="164">
        <f>IFERROR(__xludf.DUMMYFUNCTION("""COMPUTED_VALUE"""),1324.575)</f>
        <v>1324.575</v>
      </c>
      <c r="G73" s="163">
        <f>IFERROR(__xludf.DUMMYFUNCTION("""COMPUTED_VALUE"""),53.0)</f>
        <v>53</v>
      </c>
      <c r="H73" s="163" t="str">
        <f>IFERROR(__xludf.DUMMYFUNCTION("""COMPUTED_VALUE"""),"C")</f>
        <v>C</v>
      </c>
      <c r="I73" s="163">
        <f>IFERROR(__xludf.DUMMYFUNCTION("""COMPUTED_VALUE"""),29.0)</f>
        <v>29</v>
      </c>
      <c r="J73" s="165">
        <f>IFERROR(__xludf.DUMMYFUNCTION("""COMPUTED_VALUE"""),-1.40619462793929)</f>
        <v>-1.406194628</v>
      </c>
      <c r="K73" s="165">
        <f>IFERROR(__xludf.DUMMYFUNCTION("""COMPUTED_VALUE"""),-1.29262783791978)</f>
        <v>-1.292627838</v>
      </c>
      <c r="L73" s="165">
        <f>IFERROR(__xludf.DUMMYFUNCTION("""COMPUTED_VALUE"""),-0.113566790019516)</f>
        <v>-0.11356679</v>
      </c>
      <c r="M73" s="166">
        <f t="shared" si="2"/>
        <v>0.7897384355</v>
      </c>
      <c r="N73" s="167">
        <f t="shared" si="3"/>
        <v>24.99198113</v>
      </c>
      <c r="O73" s="163">
        <f t="shared" ref="O73:Q73" si="77">rank(I73,I:I)</f>
        <v>855</v>
      </c>
      <c r="P73" s="163">
        <f t="shared" si="77"/>
        <v>2956</v>
      </c>
      <c r="Q73" s="163">
        <f t="shared" si="77"/>
        <v>3137</v>
      </c>
      <c r="R73" s="163">
        <f>IFERROR(__xludf.DUMMYFUNCTION("RANK(M73,filter(M:M,C:C=C73))"),243.0)</f>
        <v>243</v>
      </c>
      <c r="S73" s="161" t="b">
        <f t="shared" si="5"/>
        <v>0</v>
      </c>
      <c r="T73" s="161" t="b">
        <f t="array" ref="T73">index('Query Tool'!B:B,match(H73,'Query Tool'!C:C,0))</f>
        <v>1</v>
      </c>
      <c r="U73" s="161" t="b">
        <f t="array" ref="U73">index('Query Tool'!B:B,match(C73,'Query Tool'!C:C,0))</f>
        <v>0</v>
      </c>
      <c r="V73" s="161" t="b">
        <f>F73&gt;='Query Tool'!C$32</f>
        <v>1</v>
      </c>
      <c r="W73" s="161" t="b">
        <f t="array" ref="W73">index(Dropdowns!B:B,match(I73,Dropdowns!A:A,0))</f>
        <v>1</v>
      </c>
      <c r="X73" s="161" t="b">
        <f t="array" ref="X73">index('Query Tool'!B:B,match(D73,'Query Tool'!C:C,0))</f>
        <v>1</v>
      </c>
      <c r="Y73" s="161" t="str">
        <f t="shared" si="6"/>
        <v>pachuza01,2013-14</v>
      </c>
      <c r="Z73" s="168">
        <f t="array" ref="Z73">iferror(index(I:I,match($A73&amp;","&amp;index('Year Conversion'!$A:$A,match($C73,'Year Conversion'!$B:$B,0)),$Y:$Y,0))-I73,"")</f>
        <v>1</v>
      </c>
      <c r="AA73" s="168">
        <f t="array" ref="AA73">iferror(index(J:J,match($A73&amp;","&amp;index('Year Conversion'!$A:$A,match($C73,'Year Conversion'!$B:$B,0)),$Y:$Y,0))-J73,"")</f>
        <v>2.9306007</v>
      </c>
      <c r="AB73" s="168">
        <f t="array" ref="AB73">iferror(index(K:K,match($A73&amp;","&amp;index('Year Conversion'!$A:$A,match($C73,'Year Conversion'!$B:$B,0)),$Y:$Y,0))-K73,"")</f>
        <v>1.010543697</v>
      </c>
      <c r="AC73" s="168" t="str">
        <f t="shared" si="7"/>
        <v>MIL,2013-14</v>
      </c>
    </row>
    <row r="74">
      <c r="A74" s="161" t="str">
        <f>IFERROR(__xludf.DUMMYFUNCTION("""COMPUTED_VALUE"""),"boganke01")</f>
        <v>boganke01</v>
      </c>
      <c r="B74" s="161" t="str">
        <f>IFERROR(__xludf.DUMMYFUNCTION("""COMPUTED_VALUE"""),"Keith Bogans")</f>
        <v>Keith Bogans</v>
      </c>
      <c r="C74" s="162" t="str">
        <f>IFERROR(__xludf.DUMMYFUNCTION("""COMPUTED_VALUE"""),"2013-14")</f>
        <v>2013-14</v>
      </c>
      <c r="D74" s="163" t="str">
        <f>IFERROR(__xludf.DUMMYFUNCTION("""COMPUTED_VALUE"""),"BOS")</f>
        <v>BOS</v>
      </c>
      <c r="E74" s="164" t="str">
        <f>IFERROR(__xludf.DUMMYFUNCTION("""COMPUTED_VALUE"""),"Stationary Shooter")</f>
        <v>Stationary Shooter</v>
      </c>
      <c r="F74" s="164">
        <f>IFERROR(__xludf.DUMMYFUNCTION("""COMPUTED_VALUE"""),55.2133333333334)</f>
        <v>55.21333333</v>
      </c>
      <c r="G74" s="163">
        <f>IFERROR(__xludf.DUMMYFUNCTION("""COMPUTED_VALUE"""),6.0)</f>
        <v>6</v>
      </c>
      <c r="H74" s="163" t="str">
        <f>IFERROR(__xludf.DUMMYFUNCTION("""COMPUTED_VALUE"""),"SG")</f>
        <v>SG</v>
      </c>
      <c r="I74" s="163">
        <f>IFERROR(__xludf.DUMMYFUNCTION("""COMPUTED_VALUE"""),33.0)</f>
        <v>33</v>
      </c>
      <c r="J74" s="165">
        <f>IFERROR(__xludf.DUMMYFUNCTION("""COMPUTED_VALUE"""),-0.0621840465363874)</f>
        <v>-0.06218404654</v>
      </c>
      <c r="K74" s="165">
        <f>IFERROR(__xludf.DUMMYFUNCTION("""COMPUTED_VALUE"""),-0.235225657499981)</f>
        <v>-0.2352256575</v>
      </c>
      <c r="L74" s="165">
        <f>IFERROR(__xludf.DUMMYFUNCTION("""COMPUTED_VALUE"""),0.173041610963594)</f>
        <v>0.173041611</v>
      </c>
      <c r="M74" s="166">
        <f t="shared" si="2"/>
        <v>0.08280581244</v>
      </c>
      <c r="N74" s="167">
        <f t="shared" si="3"/>
        <v>9.202222222</v>
      </c>
      <c r="O74" s="163">
        <f t="shared" ref="O74:Q74" si="78">rank(I74,I:I)</f>
        <v>246</v>
      </c>
      <c r="P74" s="163">
        <f t="shared" si="78"/>
        <v>1348</v>
      </c>
      <c r="Q74" s="163">
        <f t="shared" si="78"/>
        <v>1635</v>
      </c>
      <c r="R74" s="163">
        <f>IFERROR(__xludf.DUMMYFUNCTION("RANK(M74,filter(M:M,C:C=C74))"),363.0)</f>
        <v>363</v>
      </c>
      <c r="S74" s="161" t="b">
        <f t="shared" si="5"/>
        <v>0</v>
      </c>
      <c r="T74" s="161" t="b">
        <f t="array" ref="T74">index('Query Tool'!B:B,match(H74,'Query Tool'!C:C,0))</f>
        <v>1</v>
      </c>
      <c r="U74" s="161" t="b">
        <f t="array" ref="U74">index('Query Tool'!B:B,match(C74,'Query Tool'!C:C,0))</f>
        <v>0</v>
      </c>
      <c r="V74" s="161" t="b">
        <f>F74&gt;='Query Tool'!C$32</f>
        <v>0</v>
      </c>
      <c r="W74" s="161" t="b">
        <f t="array" ref="W74">index(Dropdowns!B:B,match(I74,Dropdowns!A:A,0))</f>
        <v>1</v>
      </c>
      <c r="X74" s="161" t="b">
        <f t="array" ref="X74">index('Query Tool'!B:B,match(D74,'Query Tool'!C:C,0))</f>
        <v>1</v>
      </c>
      <c r="Y74" s="161" t="str">
        <f t="shared" si="6"/>
        <v>boganke01,2013-14</v>
      </c>
      <c r="Z74" s="168" t="str">
        <f t="array" ref="Z74">iferror(index(I:I,match($A74&amp;","&amp;index('Year Conversion'!$A:$A,match($C74,'Year Conversion'!$B:$B,0)),$Y:$Y,0))-I74,"")</f>
        <v/>
      </c>
      <c r="AA74" s="168" t="str">
        <f t="array" ref="AA74">iferror(index(J:J,match($A74&amp;","&amp;index('Year Conversion'!$A:$A,match($C74,'Year Conversion'!$B:$B,0)),$Y:$Y,0))-J74,"")</f>
        <v/>
      </c>
      <c r="AB74" s="168" t="str">
        <f t="array" ref="AB74">iferror(index(K:K,match($A74&amp;","&amp;index('Year Conversion'!$A:$A,match($C74,'Year Conversion'!$B:$B,0)),$Y:$Y,0))-K74,"")</f>
        <v/>
      </c>
      <c r="AC74" s="168" t="str">
        <f t="shared" si="7"/>
        <v>BOS,2013-14</v>
      </c>
    </row>
    <row r="75">
      <c r="A75" s="161" t="str">
        <f>IFERROR(__xludf.DUMMYFUNCTION("""COMPUTED_VALUE"""),"bonnema01")</f>
        <v>bonnema01</v>
      </c>
      <c r="B75" s="161" t="str">
        <f>IFERROR(__xludf.DUMMYFUNCTION("""COMPUTED_VALUE"""),"Matt Bonner")</f>
        <v>Matt Bonner</v>
      </c>
      <c r="C75" s="162" t="str">
        <f>IFERROR(__xludf.DUMMYFUNCTION("""COMPUTED_VALUE"""),"2013-14")</f>
        <v>2013-14</v>
      </c>
      <c r="D75" s="163" t="str">
        <f>IFERROR(__xludf.DUMMYFUNCTION("""COMPUTED_VALUE"""),"SAS")</f>
        <v>SAS</v>
      </c>
      <c r="E75" s="164" t="str">
        <f>IFERROR(__xludf.DUMMYFUNCTION("""COMPUTED_VALUE"""),"Stationary Shooter")</f>
        <v>Stationary Shooter</v>
      </c>
      <c r="F75" s="164">
        <f>IFERROR(__xludf.DUMMYFUNCTION("""COMPUTED_VALUE"""),690.043333333333)</f>
        <v>690.0433333</v>
      </c>
      <c r="G75" s="163">
        <f>IFERROR(__xludf.DUMMYFUNCTION("""COMPUTED_VALUE"""),61.0)</f>
        <v>61</v>
      </c>
      <c r="H75" s="163" t="str">
        <f>IFERROR(__xludf.DUMMYFUNCTION("""COMPUTED_VALUE"""),"PF")</f>
        <v>PF</v>
      </c>
      <c r="I75" s="163">
        <f>IFERROR(__xludf.DUMMYFUNCTION("""COMPUTED_VALUE"""),33.0)</f>
        <v>33</v>
      </c>
      <c r="J75" s="165">
        <f>IFERROR(__xludf.DUMMYFUNCTION("""COMPUTED_VALUE"""),0.454812569829549)</f>
        <v>0.4548125698</v>
      </c>
      <c r="K75" s="165">
        <f>IFERROR(__xludf.DUMMYFUNCTION("""COMPUTED_VALUE"""),-0.15462243606379)</f>
        <v>-0.1546224361</v>
      </c>
      <c r="L75" s="165">
        <f>IFERROR(__xludf.DUMMYFUNCTION("""COMPUTED_VALUE"""),0.609435005893339)</f>
        <v>0.6094350059</v>
      </c>
      <c r="M75" s="166">
        <f t="shared" si="2"/>
        <v>1.275344014</v>
      </c>
      <c r="N75" s="167">
        <f t="shared" si="3"/>
        <v>11.31218579</v>
      </c>
      <c r="O75" s="163">
        <f t="shared" ref="O75:Q75" si="79">rank(I75,I:I)</f>
        <v>246</v>
      </c>
      <c r="P75" s="163">
        <f t="shared" si="79"/>
        <v>925</v>
      </c>
      <c r="Q75" s="163">
        <f t="shared" si="79"/>
        <v>1485</v>
      </c>
      <c r="R75" s="163">
        <f>IFERROR(__xludf.DUMMYFUNCTION("RANK(M75,filter(M:M,C:C=C75))"),202.0)</f>
        <v>202</v>
      </c>
      <c r="S75" s="161" t="b">
        <f t="shared" si="5"/>
        <v>0</v>
      </c>
      <c r="T75" s="161" t="b">
        <f t="array" ref="T75">index('Query Tool'!B:B,match(H75,'Query Tool'!C:C,0))</f>
        <v>1</v>
      </c>
      <c r="U75" s="161" t="b">
        <f t="array" ref="U75">index('Query Tool'!B:B,match(C75,'Query Tool'!C:C,0))</f>
        <v>0</v>
      </c>
      <c r="V75" s="161" t="b">
        <f>F75&gt;='Query Tool'!C$32</f>
        <v>1</v>
      </c>
      <c r="W75" s="161" t="b">
        <f t="array" ref="W75">index(Dropdowns!B:B,match(I75,Dropdowns!A:A,0))</f>
        <v>1</v>
      </c>
      <c r="X75" s="161" t="b">
        <f t="array" ref="X75">index('Query Tool'!B:B,match(D75,'Query Tool'!C:C,0))</f>
        <v>1</v>
      </c>
      <c r="Y75" s="161" t="str">
        <f t="shared" si="6"/>
        <v>bonnema01,2013-14</v>
      </c>
      <c r="Z75" s="168">
        <f t="array" ref="Z75">iferror(index(I:I,match($A75&amp;","&amp;index('Year Conversion'!$A:$A,match($C75,'Year Conversion'!$B:$B,0)),$Y:$Y,0))-I75,"")</f>
        <v>1</v>
      </c>
      <c r="AA75" s="168">
        <f t="array" ref="AA75">iferror(index(J:J,match($A75&amp;","&amp;index('Year Conversion'!$A:$A,match($C75,'Year Conversion'!$B:$B,0)),$Y:$Y,0))-J75,"")</f>
        <v>-1.660555235</v>
      </c>
      <c r="AB75" s="168">
        <f t="array" ref="AB75">iferror(index(K:K,match($A75&amp;","&amp;index('Year Conversion'!$A:$A,match($C75,'Year Conversion'!$B:$B,0)),$Y:$Y,0))-K75,"")</f>
        <v>-0.3180584489</v>
      </c>
      <c r="AC75" s="168" t="str">
        <f t="shared" si="7"/>
        <v>SAS,2013-14</v>
      </c>
    </row>
    <row r="76">
      <c r="A76" s="161" t="str">
        <f>IFERROR(__xludf.DUMMYFUNCTION("""COMPUTED_VALUE"""),"willima01")</f>
        <v>willima01</v>
      </c>
      <c r="B76" s="161" t="str">
        <f>IFERROR(__xludf.DUMMYFUNCTION("""COMPUTED_VALUE"""),"Mo Williams")</f>
        <v>Mo Williams</v>
      </c>
      <c r="C76" s="162" t="str">
        <f>IFERROR(__xludf.DUMMYFUNCTION("""COMPUTED_VALUE"""),"2013-14")</f>
        <v>2013-14</v>
      </c>
      <c r="D76" s="163" t="str">
        <f>IFERROR(__xludf.DUMMYFUNCTION("""COMPUTED_VALUE"""),"POR")</f>
        <v>POR</v>
      </c>
      <c r="E76" s="164" t="str">
        <f>IFERROR(__xludf.DUMMYFUNCTION("""COMPUTED_VALUE"""),"Primary Ball Handler")</f>
        <v>Primary Ball Handler</v>
      </c>
      <c r="F76" s="164">
        <f>IFERROR(__xludf.DUMMYFUNCTION("""COMPUTED_VALUE"""),1833.23666666667)</f>
        <v>1833.236667</v>
      </c>
      <c r="G76" s="163">
        <f>IFERROR(__xludf.DUMMYFUNCTION("""COMPUTED_VALUE"""),74.0)</f>
        <v>74</v>
      </c>
      <c r="H76" s="163" t="str">
        <f>IFERROR(__xludf.DUMMYFUNCTION("""COMPUTED_VALUE"""),"PG")</f>
        <v>PG</v>
      </c>
      <c r="I76" s="163">
        <f>IFERROR(__xludf.DUMMYFUNCTION("""COMPUTED_VALUE"""),31.0)</f>
        <v>31</v>
      </c>
      <c r="J76" s="165">
        <f>IFERROR(__xludf.DUMMYFUNCTION("""COMPUTED_VALUE"""),-1.78648564707846)</f>
        <v>-1.786485647</v>
      </c>
      <c r="K76" s="165">
        <f>IFERROR(__xludf.DUMMYFUNCTION("""COMPUTED_VALUE"""),0.0235179639482194)</f>
        <v>0.02351796395</v>
      </c>
      <c r="L76" s="165">
        <f>IFERROR(__xludf.DUMMYFUNCTION("""COMPUTED_VALUE"""),-1.81000361102668)</f>
        <v>-1.810003611</v>
      </c>
      <c r="M76" s="166">
        <f t="shared" si="2"/>
        <v>0.6279715895</v>
      </c>
      <c r="N76" s="167">
        <f t="shared" si="3"/>
        <v>24.77346847</v>
      </c>
      <c r="O76" s="163">
        <f t="shared" ref="O76:Q76" si="80">rank(I76,I:I)</f>
        <v>490</v>
      </c>
      <c r="P76" s="163">
        <f t="shared" si="80"/>
        <v>3317</v>
      </c>
      <c r="Q76" s="163">
        <f t="shared" si="80"/>
        <v>1168</v>
      </c>
      <c r="R76" s="163">
        <f>IFERROR(__xludf.DUMMYFUNCTION("RANK(M76,filter(M:M,C:C=C76))"),256.0)</f>
        <v>256</v>
      </c>
      <c r="S76" s="161" t="b">
        <f t="shared" si="5"/>
        <v>0</v>
      </c>
      <c r="T76" s="161" t="b">
        <f t="array" ref="T76">index('Query Tool'!B:B,match(H76,'Query Tool'!C:C,0))</f>
        <v>1</v>
      </c>
      <c r="U76" s="161" t="b">
        <f t="array" ref="U76">index('Query Tool'!B:B,match(C76,'Query Tool'!C:C,0))</f>
        <v>0</v>
      </c>
      <c r="V76" s="161" t="b">
        <f>F76&gt;='Query Tool'!C$32</f>
        <v>1</v>
      </c>
      <c r="W76" s="161" t="b">
        <f t="array" ref="W76">index(Dropdowns!B:B,match(I76,Dropdowns!A:A,0))</f>
        <v>1</v>
      </c>
      <c r="X76" s="161" t="b">
        <f t="array" ref="X76">index('Query Tool'!B:B,match(D76,'Query Tool'!C:C,0))</f>
        <v>1</v>
      </c>
      <c r="Y76" s="161" t="str">
        <f t="shared" si="6"/>
        <v>willima01,2013-14</v>
      </c>
      <c r="Z76" s="168">
        <f t="array" ref="Z76">iferror(index(I:I,match($A76&amp;","&amp;index('Year Conversion'!$A:$A,match($C76,'Year Conversion'!$B:$B,0)),$Y:$Y,0))-I76,"")</f>
        <v>1</v>
      </c>
      <c r="AA76" s="168">
        <f t="array" ref="AA76">iferror(index(J:J,match($A76&amp;","&amp;index('Year Conversion'!$A:$A,match($C76,'Year Conversion'!$B:$B,0)),$Y:$Y,0))-J76,"")</f>
        <v>1.449151036</v>
      </c>
      <c r="AB76" s="168">
        <f t="array" ref="AB76">iferror(index(K:K,match($A76&amp;","&amp;index('Year Conversion'!$A:$A,match($C76,'Year Conversion'!$B:$B,0)),$Y:$Y,0))-K76,"")</f>
        <v>0.8487013775</v>
      </c>
      <c r="AC76" s="168" t="str">
        <f t="shared" si="7"/>
        <v>POR,2013-14</v>
      </c>
    </row>
    <row r="77">
      <c r="A77" s="161" t="str">
        <f>IFERROR(__xludf.DUMMYFUNCTION("""COMPUTED_VALUE"""),"jonesja02")</f>
        <v>jonesja02</v>
      </c>
      <c r="B77" s="161" t="str">
        <f>IFERROR(__xludf.DUMMYFUNCTION("""COMPUTED_VALUE"""),"James Jones")</f>
        <v>James Jones</v>
      </c>
      <c r="C77" s="162" t="str">
        <f>IFERROR(__xludf.DUMMYFUNCTION("""COMPUTED_VALUE"""),"2013-14")</f>
        <v>2013-14</v>
      </c>
      <c r="D77" s="163" t="str">
        <f>IFERROR(__xludf.DUMMYFUNCTION("""COMPUTED_VALUE"""),"MIA")</f>
        <v>MIA</v>
      </c>
      <c r="E77" s="164" t="str">
        <f>IFERROR(__xludf.DUMMYFUNCTION("""COMPUTED_VALUE"""),"Movement Shooter")</f>
        <v>Movement Shooter</v>
      </c>
      <c r="F77" s="164">
        <f>IFERROR(__xludf.DUMMYFUNCTION("""COMPUTED_VALUE"""),235.728333333333)</f>
        <v>235.7283333</v>
      </c>
      <c r="G77" s="163">
        <f>IFERROR(__xludf.DUMMYFUNCTION("""COMPUTED_VALUE"""),20.0)</f>
        <v>20</v>
      </c>
      <c r="H77" s="163" t="str">
        <f>IFERROR(__xludf.DUMMYFUNCTION("""COMPUTED_VALUE"""),"SF")</f>
        <v>SF</v>
      </c>
      <c r="I77" s="163">
        <f>IFERROR(__xludf.DUMMYFUNCTION("""COMPUTED_VALUE"""),33.0)</f>
        <v>33</v>
      </c>
      <c r="J77" s="165">
        <f>IFERROR(__xludf.DUMMYFUNCTION("""COMPUTED_VALUE"""),-0.0234829801675998)</f>
        <v>-0.02348298017</v>
      </c>
      <c r="K77" s="165">
        <f>IFERROR(__xludf.DUMMYFUNCTION("""COMPUTED_VALUE"""),0.649498863629247)</f>
        <v>0.6494988636</v>
      </c>
      <c r="L77" s="165">
        <f>IFERROR(__xludf.DUMMYFUNCTION("""COMPUTED_VALUE"""),-0.672981843796846)</f>
        <v>-0.6729818438</v>
      </c>
      <c r="M77" s="166">
        <f t="shared" si="2"/>
        <v>0.3596824691</v>
      </c>
      <c r="N77" s="167">
        <f t="shared" si="3"/>
        <v>11.78641667</v>
      </c>
      <c r="O77" s="163">
        <f t="shared" ref="O77:Q77" si="81">rank(I77,I:I)</f>
        <v>246</v>
      </c>
      <c r="P77" s="163">
        <f t="shared" si="81"/>
        <v>1308</v>
      </c>
      <c r="Q77" s="163">
        <f t="shared" si="81"/>
        <v>677</v>
      </c>
      <c r="R77" s="163">
        <f>IFERROR(__xludf.DUMMYFUNCTION("RANK(M77,filter(M:M,C:C=C77))"),294.0)</f>
        <v>294</v>
      </c>
      <c r="S77" s="161" t="b">
        <f t="shared" si="5"/>
        <v>0</v>
      </c>
      <c r="T77" s="161" t="b">
        <f t="array" ref="T77">index('Query Tool'!B:B,match(H77,'Query Tool'!C:C,0))</f>
        <v>1</v>
      </c>
      <c r="U77" s="161" t="b">
        <f t="array" ref="U77">index('Query Tool'!B:B,match(C77,'Query Tool'!C:C,0))</f>
        <v>0</v>
      </c>
      <c r="V77" s="161" t="b">
        <f>F77&gt;='Query Tool'!C$32</f>
        <v>0</v>
      </c>
      <c r="W77" s="161" t="b">
        <f t="array" ref="W77">index(Dropdowns!B:B,match(I77,Dropdowns!A:A,0))</f>
        <v>1</v>
      </c>
      <c r="X77" s="161" t="b">
        <f t="array" ref="X77">index('Query Tool'!B:B,match(D77,'Query Tool'!C:C,0))</f>
        <v>1</v>
      </c>
      <c r="Y77" s="161" t="str">
        <f t="shared" si="6"/>
        <v>jonesja02,2013-14</v>
      </c>
      <c r="Z77" s="168">
        <f t="array" ref="Z77">iferror(index(I:I,match($A77&amp;","&amp;index('Year Conversion'!$A:$A,match($C77,'Year Conversion'!$B:$B,0)),$Y:$Y,0))-I77,"")</f>
        <v>1</v>
      </c>
      <c r="AA77" s="168">
        <f t="array" ref="AA77">iferror(index(J:J,match($A77&amp;","&amp;index('Year Conversion'!$A:$A,match($C77,'Year Conversion'!$B:$B,0)),$Y:$Y,0))-J77,"")</f>
        <v>-2.004424542</v>
      </c>
      <c r="AB77" s="168">
        <f t="array" ref="AB77">iferror(index(K:K,match($A77&amp;","&amp;index('Year Conversion'!$A:$A,match($C77,'Year Conversion'!$B:$B,0)),$Y:$Y,0))-K77,"")</f>
        <v>-0.7174030461</v>
      </c>
      <c r="AC77" s="168" t="str">
        <f t="shared" si="7"/>
        <v>MIA,2013-14</v>
      </c>
    </row>
    <row r="78">
      <c r="A78" s="161" t="str">
        <f>IFERROR(__xludf.DUMMYFUNCTION("""COMPUTED_VALUE"""),"korveky01")</f>
        <v>korveky01</v>
      </c>
      <c r="B78" s="161" t="str">
        <f>IFERROR(__xludf.DUMMYFUNCTION("""COMPUTED_VALUE"""),"Kyle Korver")</f>
        <v>Kyle Korver</v>
      </c>
      <c r="C78" s="162" t="str">
        <f>IFERROR(__xludf.DUMMYFUNCTION("""COMPUTED_VALUE"""),"2013-14")</f>
        <v>2013-14</v>
      </c>
      <c r="D78" s="163" t="str">
        <f>IFERROR(__xludf.DUMMYFUNCTION("""COMPUTED_VALUE"""),"ATL")</f>
        <v>ATL</v>
      </c>
      <c r="E78" s="164" t="str">
        <f>IFERROR(__xludf.DUMMYFUNCTION("""COMPUTED_VALUE"""),"Off Screen Shooter")</f>
        <v>Off Screen Shooter</v>
      </c>
      <c r="F78" s="164">
        <f>IFERROR(__xludf.DUMMYFUNCTION("""COMPUTED_VALUE"""),2408.45333333333)</f>
        <v>2408.453333</v>
      </c>
      <c r="G78" s="163">
        <f>IFERROR(__xludf.DUMMYFUNCTION("""COMPUTED_VALUE"""),71.0)</f>
        <v>71</v>
      </c>
      <c r="H78" s="163" t="str">
        <f>IFERROR(__xludf.DUMMYFUNCTION("""COMPUTED_VALUE"""),"SG")</f>
        <v>SG</v>
      </c>
      <c r="I78" s="163">
        <f>IFERROR(__xludf.DUMMYFUNCTION("""COMPUTED_VALUE"""),32.0)</f>
        <v>32</v>
      </c>
      <c r="J78" s="165">
        <f>IFERROR(__xludf.DUMMYFUNCTION("""COMPUTED_VALUE"""),0.43323854777838)</f>
        <v>0.4332385478</v>
      </c>
      <c r="K78" s="165">
        <f>IFERROR(__xludf.DUMMYFUNCTION("""COMPUTED_VALUE"""),0.71570592172718)</f>
        <v>0.7157059217</v>
      </c>
      <c r="L78" s="165">
        <f>IFERROR(__xludf.DUMMYFUNCTION("""COMPUTED_VALUE"""),-0.2824673739488)</f>
        <v>-0.2824673739</v>
      </c>
      <c r="M78" s="166">
        <f t="shared" si="2"/>
        <v>4.416321985</v>
      </c>
      <c r="N78" s="167">
        <f t="shared" si="3"/>
        <v>33.92187793</v>
      </c>
      <c r="O78" s="163">
        <f t="shared" ref="O78:Q78" si="82">rank(I78,I:I)</f>
        <v>359</v>
      </c>
      <c r="P78" s="163">
        <f t="shared" si="82"/>
        <v>935</v>
      </c>
      <c r="Q78" s="163">
        <f t="shared" si="82"/>
        <v>643</v>
      </c>
      <c r="R78" s="163">
        <f>IFERROR(__xludf.DUMMYFUNCTION("RANK(M78,filter(M:M,C:C=C78))"),76.0)</f>
        <v>76</v>
      </c>
      <c r="S78" s="161" t="b">
        <f t="shared" si="5"/>
        <v>0</v>
      </c>
      <c r="T78" s="161" t="b">
        <f t="array" ref="T78">index('Query Tool'!B:B,match(H78,'Query Tool'!C:C,0))</f>
        <v>1</v>
      </c>
      <c r="U78" s="161" t="b">
        <f t="array" ref="U78">index('Query Tool'!B:B,match(C78,'Query Tool'!C:C,0))</f>
        <v>0</v>
      </c>
      <c r="V78" s="161" t="b">
        <f>F78&gt;='Query Tool'!C$32</f>
        <v>1</v>
      </c>
      <c r="W78" s="161" t="b">
        <f t="array" ref="W78">index(Dropdowns!B:B,match(I78,Dropdowns!A:A,0))</f>
        <v>1</v>
      </c>
      <c r="X78" s="161" t="b">
        <f t="array" ref="X78">index('Query Tool'!B:B,match(D78,'Query Tool'!C:C,0))</f>
        <v>1</v>
      </c>
      <c r="Y78" s="161" t="str">
        <f t="shared" si="6"/>
        <v>korveky01,2013-14</v>
      </c>
      <c r="Z78" s="168">
        <f t="array" ref="Z78">iferror(index(I:I,match($A78&amp;","&amp;index('Year Conversion'!$A:$A,match($C78,'Year Conversion'!$B:$B,0)),$Y:$Y,0))-I78,"")</f>
        <v>1</v>
      </c>
      <c r="AA78" s="168">
        <f t="array" ref="AA78">iferror(index(J:J,match($A78&amp;","&amp;index('Year Conversion'!$A:$A,match($C78,'Year Conversion'!$B:$B,0)),$Y:$Y,0))-J78,"")</f>
        <v>1.418617602</v>
      </c>
      <c r="AB78" s="168">
        <f t="array" ref="AB78">iferror(index(K:K,match($A78&amp;","&amp;index('Year Conversion'!$A:$A,match($C78,'Year Conversion'!$B:$B,0)),$Y:$Y,0))-K78,"")</f>
        <v>0.8073427068</v>
      </c>
      <c r="AC78" s="168" t="str">
        <f t="shared" si="7"/>
        <v>ATL,2013-14</v>
      </c>
    </row>
    <row r="79">
      <c r="A79" s="161" t="str">
        <f>IFERROR(__xludf.DUMMYFUNCTION("""COMPUTED_VALUE"""),"hasleud01")</f>
        <v>hasleud01</v>
      </c>
      <c r="B79" s="161" t="str">
        <f>IFERROR(__xludf.DUMMYFUNCTION("""COMPUTED_VALUE"""),"Udonis Haslem")</f>
        <v>Udonis Haslem</v>
      </c>
      <c r="C79" s="162" t="str">
        <f>IFERROR(__xludf.DUMMYFUNCTION("""COMPUTED_VALUE"""),"2013-14")</f>
        <v>2013-14</v>
      </c>
      <c r="D79" s="163" t="str">
        <f>IFERROR(__xludf.DUMMYFUNCTION("""COMPUTED_VALUE"""),"MIA")</f>
        <v>MIA</v>
      </c>
      <c r="E79" s="164" t="str">
        <f>IFERROR(__xludf.DUMMYFUNCTION("""COMPUTED_VALUE"""),"Roll + Cut Big")</f>
        <v>Roll + Cut Big</v>
      </c>
      <c r="F79" s="164">
        <f>IFERROR(__xludf.DUMMYFUNCTION("""COMPUTED_VALUE"""),652.87)</f>
        <v>652.87</v>
      </c>
      <c r="G79" s="163">
        <f>IFERROR(__xludf.DUMMYFUNCTION("""COMPUTED_VALUE"""),46.0)</f>
        <v>46</v>
      </c>
      <c r="H79" s="163" t="str">
        <f>IFERROR(__xludf.DUMMYFUNCTION("""COMPUTED_VALUE"""),"PF")</f>
        <v>PF</v>
      </c>
      <c r="I79" s="163">
        <f>IFERROR(__xludf.DUMMYFUNCTION("""COMPUTED_VALUE"""),33.0)</f>
        <v>33</v>
      </c>
      <c r="J79" s="165">
        <f>IFERROR(__xludf.DUMMYFUNCTION("""COMPUTED_VALUE"""),-1.97670255696403)</f>
        <v>-1.976702557</v>
      </c>
      <c r="K79" s="165">
        <f>IFERROR(__xludf.DUMMYFUNCTION("""COMPUTED_VALUE"""),-2.07961072059166)</f>
        <v>-2.079610721</v>
      </c>
      <c r="L79" s="165">
        <f>IFERROR(__xludf.DUMMYFUNCTION("""COMPUTED_VALUE"""),0.102908163627628)</f>
        <v>0.1029081636</v>
      </c>
      <c r="M79" s="166">
        <f t="shared" si="2"/>
        <v>0.1411380913</v>
      </c>
      <c r="N79" s="167">
        <f t="shared" si="3"/>
        <v>14.19282609</v>
      </c>
      <c r="O79" s="163">
        <f t="shared" ref="O79:Q79" si="83">rank(I79,I:I)</f>
        <v>246</v>
      </c>
      <c r="P79" s="163">
        <f t="shared" si="83"/>
        <v>3462</v>
      </c>
      <c r="Q79" s="163">
        <f t="shared" si="83"/>
        <v>3749</v>
      </c>
      <c r="R79" s="163">
        <f>IFERROR(__xludf.DUMMYFUNCTION("RANK(M79,filter(M:M,C:C=C79))"),344.0)</f>
        <v>344</v>
      </c>
      <c r="S79" s="161" t="b">
        <f t="shared" si="5"/>
        <v>0</v>
      </c>
      <c r="T79" s="161" t="b">
        <f t="array" ref="T79">index('Query Tool'!B:B,match(H79,'Query Tool'!C:C,0))</f>
        <v>1</v>
      </c>
      <c r="U79" s="161" t="b">
        <f t="array" ref="U79">index('Query Tool'!B:B,match(C79,'Query Tool'!C:C,0))</f>
        <v>0</v>
      </c>
      <c r="V79" s="161" t="b">
        <f>F79&gt;='Query Tool'!C$32</f>
        <v>1</v>
      </c>
      <c r="W79" s="161" t="b">
        <f t="array" ref="W79">index(Dropdowns!B:B,match(I79,Dropdowns!A:A,0))</f>
        <v>1</v>
      </c>
      <c r="X79" s="161" t="b">
        <f t="array" ref="X79">index('Query Tool'!B:B,match(D79,'Query Tool'!C:C,0))</f>
        <v>1</v>
      </c>
      <c r="Y79" s="161" t="str">
        <f t="shared" si="6"/>
        <v>hasleud01,2013-14</v>
      </c>
      <c r="Z79" s="168">
        <f t="array" ref="Z79">iferror(index(I:I,match($A79&amp;","&amp;index('Year Conversion'!$A:$A,match($C79,'Year Conversion'!$B:$B,0)),$Y:$Y,0))-I79,"")</f>
        <v>1</v>
      </c>
      <c r="AA79" s="168">
        <f t="array" ref="AA79">iferror(index(J:J,match($A79&amp;","&amp;index('Year Conversion'!$A:$A,match($C79,'Year Conversion'!$B:$B,0)),$Y:$Y,0))-J79,"")</f>
        <v>0.07140382337</v>
      </c>
      <c r="AB79" s="168">
        <f t="array" ref="AB79">iferror(index(K:K,match($A79&amp;","&amp;index('Year Conversion'!$A:$A,match($C79,'Year Conversion'!$B:$B,0)),$Y:$Y,0))-K79,"")</f>
        <v>0.1476693145</v>
      </c>
      <c r="AC79" s="168" t="str">
        <f t="shared" si="7"/>
        <v>MIA,2013-14</v>
      </c>
    </row>
    <row r="80">
      <c r="A80" s="161" t="str">
        <f>IFERROR(__xludf.DUMMYFUNCTION("""COMPUTED_VALUE"""),"poweljo01")</f>
        <v>poweljo01</v>
      </c>
      <c r="B80" s="161" t="str">
        <f>IFERROR(__xludf.DUMMYFUNCTION("""COMPUTED_VALUE"""),"Josh Powell")</f>
        <v>Josh Powell</v>
      </c>
      <c r="C80" s="162" t="str">
        <f>IFERROR(__xludf.DUMMYFUNCTION("""COMPUTED_VALUE"""),"2013-14")</f>
        <v>2013-14</v>
      </c>
      <c r="D80" s="163" t="str">
        <f>IFERROR(__xludf.DUMMYFUNCTION("""COMPUTED_VALUE"""),"HOU")</f>
        <v>HOU</v>
      </c>
      <c r="E80" s="164" t="str">
        <f>IFERROR(__xludf.DUMMYFUNCTION("""COMPUTED_VALUE"""),"Roll + Cut Big")</f>
        <v>Roll + Cut Big</v>
      </c>
      <c r="F80" s="164">
        <f>IFERROR(__xludf.DUMMYFUNCTION("""COMPUTED_VALUE"""),19.3666666666667)</f>
        <v>19.36666667</v>
      </c>
      <c r="G80" s="163">
        <f>IFERROR(__xludf.DUMMYFUNCTION("""COMPUTED_VALUE"""),1.0)</f>
        <v>1</v>
      </c>
      <c r="H80" s="163" t="str">
        <f>IFERROR(__xludf.DUMMYFUNCTION("""COMPUTED_VALUE"""),"PF")</f>
        <v>PF</v>
      </c>
      <c r="I80" s="163">
        <f>IFERROR(__xludf.DUMMYFUNCTION("""COMPUTED_VALUE"""),31.0)</f>
        <v>31</v>
      </c>
      <c r="J80" s="165">
        <f>IFERROR(__xludf.DUMMYFUNCTION("""COMPUTED_VALUE"""),-0.952174286600564)</f>
        <v>-0.9521742866</v>
      </c>
      <c r="K80" s="165">
        <f>IFERROR(__xludf.DUMMYFUNCTION("""COMPUTED_VALUE"""),-0.33054141868286)</f>
        <v>-0.3305414187</v>
      </c>
      <c r="L80" s="165">
        <f>IFERROR(__xludf.DUMMYFUNCTION("""COMPUTED_VALUE"""),-0.621632867917704)</f>
        <v>-0.6216328679</v>
      </c>
      <c r="M80" s="166">
        <f t="shared" si="2"/>
        <v>0.01744022097</v>
      </c>
      <c r="N80" s="167">
        <f t="shared" si="3"/>
        <v>19.36666667</v>
      </c>
      <c r="O80" s="163">
        <f t="shared" ref="O80:Q80" si="84">rank(I80,I:I)</f>
        <v>490</v>
      </c>
      <c r="P80" s="163">
        <f t="shared" si="84"/>
        <v>2454</v>
      </c>
      <c r="Q80" s="163">
        <f t="shared" si="84"/>
        <v>1812</v>
      </c>
      <c r="R80" s="163">
        <f>IFERROR(__xludf.DUMMYFUNCTION("RANK(M80,filter(M:M,C:C=C80))"),416.0)</f>
        <v>416</v>
      </c>
      <c r="S80" s="161" t="b">
        <f t="shared" si="5"/>
        <v>0</v>
      </c>
      <c r="T80" s="161" t="b">
        <f t="array" ref="T80">index('Query Tool'!B:B,match(H80,'Query Tool'!C:C,0))</f>
        <v>1</v>
      </c>
      <c r="U80" s="161" t="b">
        <f t="array" ref="U80">index('Query Tool'!B:B,match(C80,'Query Tool'!C:C,0))</f>
        <v>0</v>
      </c>
      <c r="V80" s="161" t="b">
        <f>F80&gt;='Query Tool'!C$32</f>
        <v>0</v>
      </c>
      <c r="W80" s="161" t="b">
        <f t="array" ref="W80">index(Dropdowns!B:B,match(I80,Dropdowns!A:A,0))</f>
        <v>1</v>
      </c>
      <c r="X80" s="161" t="b">
        <f t="array" ref="X80">index('Query Tool'!B:B,match(D80,'Query Tool'!C:C,0))</f>
        <v>1</v>
      </c>
      <c r="Y80" s="161" t="str">
        <f t="shared" si="6"/>
        <v>poweljo01,2013-14</v>
      </c>
      <c r="Z80" s="168" t="str">
        <f t="array" ref="Z80">iferror(index(I:I,match($A80&amp;","&amp;index('Year Conversion'!$A:$A,match($C80,'Year Conversion'!$B:$B,0)),$Y:$Y,0))-I80,"")</f>
        <v/>
      </c>
      <c r="AA80" s="168" t="str">
        <f t="array" ref="AA80">iferror(index(J:J,match($A80&amp;","&amp;index('Year Conversion'!$A:$A,match($C80,'Year Conversion'!$B:$B,0)),$Y:$Y,0))-J80,"")</f>
        <v/>
      </c>
      <c r="AB80" s="168" t="str">
        <f t="array" ref="AB80">iferror(index(K:K,match($A80&amp;","&amp;index('Year Conversion'!$A:$A,match($C80,'Year Conversion'!$B:$B,0)),$Y:$Y,0))-K80,"")</f>
        <v/>
      </c>
      <c r="AC80" s="168" t="str">
        <f t="shared" si="7"/>
        <v>HOU,2013-14</v>
      </c>
    </row>
    <row r="81">
      <c r="A81" s="161" t="str">
        <f>IFERROR(__xludf.DUMMYFUNCTION("""COMPUTED_VALUE"""),"howardw01")</f>
        <v>howardw01</v>
      </c>
      <c r="B81" s="161" t="str">
        <f>IFERROR(__xludf.DUMMYFUNCTION("""COMPUTED_VALUE"""),"Dwight Howard")</f>
        <v>Dwight Howard</v>
      </c>
      <c r="C81" s="162" t="str">
        <f>IFERROR(__xludf.DUMMYFUNCTION("""COMPUTED_VALUE"""),"2013-14")</f>
        <v>2013-14</v>
      </c>
      <c r="D81" s="163" t="str">
        <f>IFERROR(__xludf.DUMMYFUNCTION("""COMPUTED_VALUE"""),"HOU")</f>
        <v>HOU</v>
      </c>
      <c r="E81" s="164" t="str">
        <f>IFERROR(__xludf.DUMMYFUNCTION("""COMPUTED_VALUE"""),"Post Scorer")</f>
        <v>Post Scorer</v>
      </c>
      <c r="F81" s="164">
        <f>IFERROR(__xludf.DUMMYFUNCTION("""COMPUTED_VALUE"""),2396.41166666667)</f>
        <v>2396.411667</v>
      </c>
      <c r="G81" s="163">
        <f>IFERROR(__xludf.DUMMYFUNCTION("""COMPUTED_VALUE"""),71.0)</f>
        <v>71</v>
      </c>
      <c r="H81" s="163" t="str">
        <f>IFERROR(__xludf.DUMMYFUNCTION("""COMPUTED_VALUE"""),"C")</f>
        <v>C</v>
      </c>
      <c r="I81" s="163">
        <f>IFERROR(__xludf.DUMMYFUNCTION("""COMPUTED_VALUE"""),28.0)</f>
        <v>28</v>
      </c>
      <c r="J81" s="165">
        <f>IFERROR(__xludf.DUMMYFUNCTION("""COMPUTED_VALUE"""),2.95243447241175)</f>
        <v>2.952434472</v>
      </c>
      <c r="K81" s="165">
        <f>IFERROR(__xludf.DUMMYFUNCTION("""COMPUTED_VALUE"""),1.2360749857276)</f>
        <v>1.236074986</v>
      </c>
      <c r="L81" s="165">
        <f>IFERROR(__xludf.DUMMYFUNCTION("""COMPUTED_VALUE"""),1.71635948668415)</f>
        <v>1.716359487</v>
      </c>
      <c r="M81" s="166">
        <f t="shared" si="2"/>
        <v>8.407591508</v>
      </c>
      <c r="N81" s="167">
        <f t="shared" si="3"/>
        <v>33.752277</v>
      </c>
      <c r="O81" s="163">
        <f t="shared" ref="O81:Q81" si="85">rank(I81,I:I)</f>
        <v>1090</v>
      </c>
      <c r="P81" s="163">
        <f t="shared" si="85"/>
        <v>172</v>
      </c>
      <c r="Q81" s="163">
        <f t="shared" si="85"/>
        <v>406</v>
      </c>
      <c r="R81" s="163">
        <f>IFERROR(__xludf.DUMMYFUNCTION("RANK(M81,filter(M:M,C:C=C81))"),26.0)</f>
        <v>26</v>
      </c>
      <c r="S81" s="161" t="b">
        <f t="shared" si="5"/>
        <v>0</v>
      </c>
      <c r="T81" s="161" t="b">
        <f t="array" ref="T81">index('Query Tool'!B:B,match(H81,'Query Tool'!C:C,0))</f>
        <v>1</v>
      </c>
      <c r="U81" s="161" t="b">
        <f t="array" ref="U81">index('Query Tool'!B:B,match(C81,'Query Tool'!C:C,0))</f>
        <v>0</v>
      </c>
      <c r="V81" s="161" t="b">
        <f>F81&gt;='Query Tool'!C$32</f>
        <v>1</v>
      </c>
      <c r="W81" s="161" t="b">
        <f t="array" ref="W81">index(Dropdowns!B:B,match(I81,Dropdowns!A:A,0))</f>
        <v>1</v>
      </c>
      <c r="X81" s="161" t="b">
        <f t="array" ref="X81">index('Query Tool'!B:B,match(D81,'Query Tool'!C:C,0))</f>
        <v>1</v>
      </c>
      <c r="Y81" s="161" t="str">
        <f t="shared" si="6"/>
        <v>howardw01,2013-14</v>
      </c>
      <c r="Z81" s="168">
        <f t="array" ref="Z81">iferror(index(I:I,match($A81&amp;","&amp;index('Year Conversion'!$A:$A,match($C81,'Year Conversion'!$B:$B,0)),$Y:$Y,0))-I81,"")</f>
        <v>1</v>
      </c>
      <c r="AA81" s="168">
        <f t="array" ref="AA81">iferror(index(J:J,match($A81&amp;","&amp;index('Year Conversion'!$A:$A,match($C81,'Year Conversion'!$B:$B,0)),$Y:$Y,0))-J81,"")</f>
        <v>-1.926082152</v>
      </c>
      <c r="AB81" s="168">
        <f t="array" ref="AB81">iferror(index(K:K,match($A81&amp;","&amp;index('Year Conversion'!$A:$A,match($C81,'Year Conversion'!$B:$B,0)),$Y:$Y,0))-K81,"")</f>
        <v>-1.856323693</v>
      </c>
      <c r="AC81" s="168" t="str">
        <f t="shared" si="7"/>
        <v>HOU,2013-14</v>
      </c>
    </row>
    <row r="82">
      <c r="A82" s="161" t="str">
        <f>IFERROR(__xludf.DUMMYFUNCTION("""COMPUTED_VALUE"""),"gordobe01")</f>
        <v>gordobe01</v>
      </c>
      <c r="B82" s="161" t="str">
        <f>IFERROR(__xludf.DUMMYFUNCTION("""COMPUTED_VALUE"""),"Ben Gordon")</f>
        <v>Ben Gordon</v>
      </c>
      <c r="C82" s="162" t="str">
        <f>IFERROR(__xludf.DUMMYFUNCTION("""COMPUTED_VALUE"""),"2013-14")</f>
        <v>2013-14</v>
      </c>
      <c r="D82" s="163" t="str">
        <f>IFERROR(__xludf.DUMMYFUNCTION("""COMPUTED_VALUE"""),"CHA")</f>
        <v>CHA</v>
      </c>
      <c r="E82" s="164" t="str">
        <f>IFERROR(__xludf.DUMMYFUNCTION("""COMPUTED_VALUE"""),"Secondary Ball Handler")</f>
        <v>Secondary Ball Handler</v>
      </c>
      <c r="F82" s="164">
        <f>IFERROR(__xludf.DUMMYFUNCTION("""COMPUTED_VALUE"""),278.761666666667)</f>
        <v>278.7616667</v>
      </c>
      <c r="G82" s="163">
        <f>IFERROR(__xludf.DUMMYFUNCTION("""COMPUTED_VALUE"""),19.0)</f>
        <v>19</v>
      </c>
      <c r="H82" s="163" t="str">
        <f>IFERROR(__xludf.DUMMYFUNCTION("""COMPUTED_VALUE"""),"SG")</f>
        <v>SG</v>
      </c>
      <c r="I82" s="163">
        <f>IFERROR(__xludf.DUMMYFUNCTION("""COMPUTED_VALUE"""),30.0)</f>
        <v>30</v>
      </c>
      <c r="J82" s="165">
        <f>IFERROR(__xludf.DUMMYFUNCTION("""COMPUTED_VALUE"""),-1.18827855050135)</f>
        <v>-1.188278551</v>
      </c>
      <c r="K82" s="165">
        <f>IFERROR(__xludf.DUMMYFUNCTION("""COMPUTED_VALUE"""),-1.09967047006133)</f>
        <v>-1.09967047</v>
      </c>
      <c r="L82" s="165">
        <f>IFERROR(__xludf.DUMMYFUNCTION("""COMPUTED_VALUE"""),-0.0886080804400123)</f>
        <v>-0.08860808044</v>
      </c>
      <c r="M82" s="166">
        <f t="shared" si="2"/>
        <v>0.2068715748</v>
      </c>
      <c r="N82" s="167">
        <f t="shared" si="3"/>
        <v>14.67166667</v>
      </c>
      <c r="O82" s="163">
        <f t="shared" ref="O82:Q82" si="86">rank(I82,I:I)</f>
        <v>655</v>
      </c>
      <c r="P82" s="163">
        <f t="shared" si="86"/>
        <v>2725</v>
      </c>
      <c r="Q82" s="163">
        <f t="shared" si="86"/>
        <v>2931</v>
      </c>
      <c r="R82" s="163">
        <f>IFERROR(__xludf.DUMMYFUNCTION("RANK(M82,filter(M:M,C:C=C82))"),319.0)</f>
        <v>319</v>
      </c>
      <c r="S82" s="161" t="b">
        <f t="shared" si="5"/>
        <v>0</v>
      </c>
      <c r="T82" s="161" t="b">
        <f t="array" ref="T82">index('Query Tool'!B:B,match(H82,'Query Tool'!C:C,0))</f>
        <v>1</v>
      </c>
      <c r="U82" s="161" t="b">
        <f t="array" ref="U82">index('Query Tool'!B:B,match(C82,'Query Tool'!C:C,0))</f>
        <v>0</v>
      </c>
      <c r="V82" s="161" t="b">
        <f>F82&gt;='Query Tool'!C$32</f>
        <v>0</v>
      </c>
      <c r="W82" s="161" t="b">
        <f t="array" ref="W82">index(Dropdowns!B:B,match(I82,Dropdowns!A:A,0))</f>
        <v>1</v>
      </c>
      <c r="X82" s="161" t="b">
        <f t="array" ref="X82">index('Query Tool'!B:B,match(D82,'Query Tool'!C:C,0))</f>
        <v>1</v>
      </c>
      <c r="Y82" s="161" t="str">
        <f t="shared" si="6"/>
        <v>gordobe01,2013-14</v>
      </c>
      <c r="Z82" s="168">
        <f t="array" ref="Z82">iferror(index(I:I,match($A82&amp;","&amp;index('Year Conversion'!$A:$A,match($C82,'Year Conversion'!$B:$B,0)),$Y:$Y,0))-I82,"")</f>
        <v>1</v>
      </c>
      <c r="AA82" s="168">
        <f t="array" ref="AA82">iferror(index(J:J,match($A82&amp;","&amp;index('Year Conversion'!$A:$A,match($C82,'Year Conversion'!$B:$B,0)),$Y:$Y,0))-J82,"")</f>
        <v>-2.736093374</v>
      </c>
      <c r="AB82" s="168">
        <f t="array" ref="AB82">iferror(index(K:K,match($A82&amp;","&amp;index('Year Conversion'!$A:$A,match($C82,'Year Conversion'!$B:$B,0)),$Y:$Y,0))-K82,"")</f>
        <v>-0.2356747583</v>
      </c>
      <c r="AC82" s="168" t="str">
        <f t="shared" si="7"/>
        <v>CHA,2013-14</v>
      </c>
    </row>
    <row r="83">
      <c r="A83" s="161" t="str">
        <f>IFERROR(__xludf.DUMMYFUNCTION("""COMPUTED_VALUE"""),"livinsh01")</f>
        <v>livinsh01</v>
      </c>
      <c r="B83" s="161" t="str">
        <f>IFERROR(__xludf.DUMMYFUNCTION("""COMPUTED_VALUE"""),"Shaun Livingston")</f>
        <v>Shaun Livingston</v>
      </c>
      <c r="C83" s="162" t="str">
        <f>IFERROR(__xludf.DUMMYFUNCTION("""COMPUTED_VALUE"""),"2013-14")</f>
        <v>2013-14</v>
      </c>
      <c r="D83" s="163" t="str">
        <f>IFERROR(__xludf.DUMMYFUNCTION("""COMPUTED_VALUE"""),"BRK")</f>
        <v>BRK</v>
      </c>
      <c r="E83" s="164" t="str">
        <f>IFERROR(__xludf.DUMMYFUNCTION("""COMPUTED_VALUE"""),"Shot Creator")</f>
        <v>Shot Creator</v>
      </c>
      <c r="F83" s="164">
        <f>IFERROR(__xludf.DUMMYFUNCTION("""COMPUTED_VALUE"""),1974.14333333333)</f>
        <v>1974.143333</v>
      </c>
      <c r="G83" s="163">
        <f>IFERROR(__xludf.DUMMYFUNCTION("""COMPUTED_VALUE"""),76.0)</f>
        <v>76</v>
      </c>
      <c r="H83" s="163" t="str">
        <f>IFERROR(__xludf.DUMMYFUNCTION("""COMPUTED_VALUE"""),"PG")</f>
        <v>PG</v>
      </c>
      <c r="I83" s="163">
        <f>IFERROR(__xludf.DUMMYFUNCTION("""COMPUTED_VALUE"""),28.0)</f>
        <v>28</v>
      </c>
      <c r="J83" s="165">
        <f>IFERROR(__xludf.DUMMYFUNCTION("""COMPUTED_VALUE"""),0.564830382086941)</f>
        <v>0.5648303821</v>
      </c>
      <c r="K83" s="165">
        <f>IFERROR(__xludf.DUMMYFUNCTION("""COMPUTED_VALUE"""),-0.451476832716841)</f>
        <v>-0.4514768327</v>
      </c>
      <c r="L83" s="165">
        <f>IFERROR(__xludf.DUMMYFUNCTION("""COMPUTED_VALUE"""),1.01630721480378)</f>
        <v>1.016307215</v>
      </c>
      <c r="M83" s="166">
        <f t="shared" si="2"/>
        <v>3.794897462</v>
      </c>
      <c r="N83" s="167">
        <f t="shared" si="3"/>
        <v>25.97557018</v>
      </c>
      <c r="O83" s="163">
        <f t="shared" ref="O83:Q83" si="87">rank(I83,I:I)</f>
        <v>1090</v>
      </c>
      <c r="P83" s="163">
        <f t="shared" si="87"/>
        <v>862</v>
      </c>
      <c r="Q83" s="163">
        <f t="shared" si="87"/>
        <v>2035</v>
      </c>
      <c r="R83" s="163">
        <f>IFERROR(__xludf.DUMMYFUNCTION("RANK(M83,filter(M:M,C:C=C83))"),87.0)</f>
        <v>87</v>
      </c>
      <c r="S83" s="161" t="b">
        <f t="shared" si="5"/>
        <v>0</v>
      </c>
      <c r="T83" s="161" t="b">
        <f t="array" ref="T83">index('Query Tool'!B:B,match(H83,'Query Tool'!C:C,0))</f>
        <v>1</v>
      </c>
      <c r="U83" s="161" t="b">
        <f t="array" ref="U83">index('Query Tool'!B:B,match(C83,'Query Tool'!C:C,0))</f>
        <v>0</v>
      </c>
      <c r="V83" s="161" t="b">
        <f>F83&gt;='Query Tool'!C$32</f>
        <v>1</v>
      </c>
      <c r="W83" s="161" t="b">
        <f t="array" ref="W83">index(Dropdowns!B:B,match(I83,Dropdowns!A:A,0))</f>
        <v>1</v>
      </c>
      <c r="X83" s="161" t="b">
        <f t="array" ref="X83">index('Query Tool'!B:B,match(D83,'Query Tool'!C:C,0))</f>
        <v>1</v>
      </c>
      <c r="Y83" s="161" t="str">
        <f t="shared" si="6"/>
        <v>livinsh01,2013-14</v>
      </c>
      <c r="Z83" s="168">
        <f t="array" ref="Z83">iferror(index(I:I,match($A83&amp;","&amp;index('Year Conversion'!$A:$A,match($C83,'Year Conversion'!$B:$B,0)),$Y:$Y,0))-I83,"")</f>
        <v>1</v>
      </c>
      <c r="AA83" s="168">
        <f t="array" ref="AA83">iferror(index(J:J,match($A83&amp;","&amp;index('Year Conversion'!$A:$A,match($C83,'Year Conversion'!$B:$B,0)),$Y:$Y,0))-J83,"")</f>
        <v>-2.634374489</v>
      </c>
      <c r="AB83" s="168">
        <f t="array" ref="AB83">iferror(index(K:K,match($A83&amp;","&amp;index('Year Conversion'!$A:$A,match($C83,'Year Conversion'!$B:$B,0)),$Y:$Y,0))-K83,"")</f>
        <v>-1.367352881</v>
      </c>
      <c r="AC83" s="168" t="str">
        <f t="shared" si="7"/>
        <v>BRK,2013-14</v>
      </c>
    </row>
    <row r="84">
      <c r="A84" s="161" t="str">
        <f>IFERROR(__xludf.DUMMYFUNCTION("""COMPUTED_VALUE"""),"harride01")</f>
        <v>harride01</v>
      </c>
      <c r="B84" s="161" t="str">
        <f>IFERROR(__xludf.DUMMYFUNCTION("""COMPUTED_VALUE"""),"Devin Harris")</f>
        <v>Devin Harris</v>
      </c>
      <c r="C84" s="162" t="str">
        <f>IFERROR(__xludf.DUMMYFUNCTION("""COMPUTED_VALUE"""),"2013-14")</f>
        <v>2013-14</v>
      </c>
      <c r="D84" s="163" t="str">
        <f>IFERROR(__xludf.DUMMYFUNCTION("""COMPUTED_VALUE"""),"DAL")</f>
        <v>DAL</v>
      </c>
      <c r="E84" s="164" t="str">
        <f>IFERROR(__xludf.DUMMYFUNCTION("""COMPUTED_VALUE"""),"Secondary Ball Handler")</f>
        <v>Secondary Ball Handler</v>
      </c>
      <c r="F84" s="164">
        <f>IFERROR(__xludf.DUMMYFUNCTION("""COMPUTED_VALUE"""),817.793333333333)</f>
        <v>817.7933333</v>
      </c>
      <c r="G84" s="163">
        <f>IFERROR(__xludf.DUMMYFUNCTION("""COMPUTED_VALUE"""),40.0)</f>
        <v>40</v>
      </c>
      <c r="H84" s="163" t="str">
        <f>IFERROR(__xludf.DUMMYFUNCTION("""COMPUTED_VALUE"""),"PG")</f>
        <v>PG</v>
      </c>
      <c r="I84" s="163">
        <f>IFERROR(__xludf.DUMMYFUNCTION("""COMPUTED_VALUE"""),30.0)</f>
        <v>30</v>
      </c>
      <c r="J84" s="165">
        <f>IFERROR(__xludf.DUMMYFUNCTION("""COMPUTED_VALUE"""),1.0410036000853)</f>
        <v>1.0410036</v>
      </c>
      <c r="K84" s="165">
        <f>IFERROR(__xludf.DUMMYFUNCTION("""COMPUTED_VALUE"""),1.91898805833209)</f>
        <v>1.918988058</v>
      </c>
      <c r="L84" s="165">
        <f>IFERROR(__xludf.DUMMYFUNCTION("""COMPUTED_VALUE"""),-0.877984458246792)</f>
        <v>-0.8779844582</v>
      </c>
      <c r="M84" s="166">
        <f t="shared" si="2"/>
        <v>1.83385741</v>
      </c>
      <c r="N84" s="167">
        <f t="shared" si="3"/>
        <v>20.44483333</v>
      </c>
      <c r="O84" s="163">
        <f t="shared" ref="O84:Q84" si="88">rank(I84,I:I)</f>
        <v>655</v>
      </c>
      <c r="P84" s="163">
        <f t="shared" si="88"/>
        <v>642</v>
      </c>
      <c r="Q84" s="163">
        <f t="shared" si="88"/>
        <v>240</v>
      </c>
      <c r="R84" s="163">
        <f>IFERROR(__xludf.DUMMYFUNCTION("RANK(M84,filter(M:M,C:C=C84))"),163.0)</f>
        <v>163</v>
      </c>
      <c r="S84" s="161" t="b">
        <f t="shared" si="5"/>
        <v>0</v>
      </c>
      <c r="T84" s="161" t="b">
        <f t="array" ref="T84">index('Query Tool'!B:B,match(H84,'Query Tool'!C:C,0))</f>
        <v>1</v>
      </c>
      <c r="U84" s="161" t="b">
        <f t="array" ref="U84">index('Query Tool'!B:B,match(C84,'Query Tool'!C:C,0))</f>
        <v>0</v>
      </c>
      <c r="V84" s="161" t="b">
        <f>F84&gt;='Query Tool'!C$32</f>
        <v>1</v>
      </c>
      <c r="W84" s="161" t="b">
        <f t="array" ref="W84">index(Dropdowns!B:B,match(I84,Dropdowns!A:A,0))</f>
        <v>1</v>
      </c>
      <c r="X84" s="161" t="b">
        <f t="array" ref="X84">index('Query Tool'!B:B,match(D84,'Query Tool'!C:C,0))</f>
        <v>1</v>
      </c>
      <c r="Y84" s="161" t="str">
        <f t="shared" si="6"/>
        <v>harride01,2013-14</v>
      </c>
      <c r="Z84" s="168">
        <f t="array" ref="Z84">iferror(index(I:I,match($A84&amp;","&amp;index('Year Conversion'!$A:$A,match($C84,'Year Conversion'!$B:$B,0)),$Y:$Y,0))-I84,"")</f>
        <v>1</v>
      </c>
      <c r="AA84" s="168">
        <f t="array" ref="AA84">iferror(index(J:J,match($A84&amp;","&amp;index('Year Conversion'!$A:$A,match($C84,'Year Conversion'!$B:$B,0)),$Y:$Y,0))-J84,"")</f>
        <v>0.1625098882</v>
      </c>
      <c r="AB84" s="168">
        <f t="array" ref="AB84">iferror(index(K:K,match($A84&amp;","&amp;index('Year Conversion'!$A:$A,match($C84,'Year Conversion'!$B:$B,0)),$Y:$Y,0))-K84,"")</f>
        <v>-0.2705821751</v>
      </c>
      <c r="AC84" s="168" t="str">
        <f t="shared" si="7"/>
        <v>DAL,2013-14</v>
      </c>
    </row>
    <row r="85">
      <c r="A85" s="161" t="str">
        <f>IFERROR(__xludf.DUMMYFUNCTION("""COMPUTED_VALUE"""),"childjo01")</f>
        <v>childjo01</v>
      </c>
      <c r="B85" s="161" t="str">
        <f>IFERROR(__xludf.DUMMYFUNCTION("""COMPUTED_VALUE"""),"Josh Childress")</f>
        <v>Josh Childress</v>
      </c>
      <c r="C85" s="162" t="str">
        <f>IFERROR(__xludf.DUMMYFUNCTION("""COMPUTED_VALUE"""),"2013-14")</f>
        <v>2013-14</v>
      </c>
      <c r="D85" s="163" t="str">
        <f>IFERROR(__xludf.DUMMYFUNCTION("""COMPUTED_VALUE"""),"NOP")</f>
        <v>NOP</v>
      </c>
      <c r="E85" s="164" t="str">
        <f>IFERROR(__xludf.DUMMYFUNCTION("""COMPUTED_VALUE"""),"Slasher")</f>
        <v>Slasher</v>
      </c>
      <c r="F85" s="164">
        <f>IFERROR(__xludf.DUMMYFUNCTION("""COMPUTED_VALUE"""),23.8433333333333)</f>
        <v>23.84333333</v>
      </c>
      <c r="G85" s="163">
        <f>IFERROR(__xludf.DUMMYFUNCTION("""COMPUTED_VALUE"""),4.0)</f>
        <v>4</v>
      </c>
      <c r="H85" s="163" t="str">
        <f>IFERROR(__xludf.DUMMYFUNCTION("""COMPUTED_VALUE"""),"SF")</f>
        <v>SF</v>
      </c>
      <c r="I85" s="163">
        <f>IFERROR(__xludf.DUMMYFUNCTION("""COMPUTED_VALUE"""),30.0)</f>
        <v>30</v>
      </c>
      <c r="J85" s="165">
        <f>IFERROR(__xludf.DUMMYFUNCTION("""COMPUTED_VALUE"""),-0.543096975149549)</f>
        <v>-0.5430969751</v>
      </c>
      <c r="K85" s="165">
        <f>IFERROR(__xludf.DUMMYFUNCTION("""COMPUTED_VALUE"""),0.079546632205215)</f>
        <v>0.07954663221</v>
      </c>
      <c r="L85" s="165">
        <f>IFERROR(__xludf.DUMMYFUNCTION("""COMPUTED_VALUE"""),-0.622643607354764)</f>
        <v>-0.6226436074</v>
      </c>
      <c r="M85" s="166">
        <f t="shared" si="2"/>
        <v>0.02803180043</v>
      </c>
      <c r="N85" s="167">
        <f t="shared" si="3"/>
        <v>5.960833333</v>
      </c>
      <c r="O85" s="163">
        <f t="shared" ref="O85:Q85" si="89">rank(I85,I:I)</f>
        <v>655</v>
      </c>
      <c r="P85" s="163">
        <f t="shared" si="89"/>
        <v>1908</v>
      </c>
      <c r="Q85" s="163">
        <f t="shared" si="89"/>
        <v>1095</v>
      </c>
      <c r="R85" s="163">
        <f>IFERROR(__xludf.DUMMYFUNCTION("RANK(M85,filter(M:M,C:C=C85))"),407.0)</f>
        <v>407</v>
      </c>
      <c r="S85" s="161" t="b">
        <f t="shared" si="5"/>
        <v>0</v>
      </c>
      <c r="T85" s="161" t="b">
        <f t="array" ref="T85">index('Query Tool'!B:B,match(H85,'Query Tool'!C:C,0))</f>
        <v>1</v>
      </c>
      <c r="U85" s="161" t="b">
        <f t="array" ref="U85">index('Query Tool'!B:B,match(C85,'Query Tool'!C:C,0))</f>
        <v>0</v>
      </c>
      <c r="V85" s="161" t="b">
        <f>F85&gt;='Query Tool'!C$32</f>
        <v>0</v>
      </c>
      <c r="W85" s="161" t="b">
        <f t="array" ref="W85">index(Dropdowns!B:B,match(I85,Dropdowns!A:A,0))</f>
        <v>1</v>
      </c>
      <c r="X85" s="161" t="b">
        <f t="array" ref="X85">index('Query Tool'!B:B,match(D85,'Query Tool'!C:C,0))</f>
        <v>1</v>
      </c>
      <c r="Y85" s="161" t="str">
        <f t="shared" si="6"/>
        <v>childjo01,2013-14</v>
      </c>
      <c r="Z85" s="168" t="str">
        <f t="array" ref="Z85">iferror(index(I:I,match($A85&amp;","&amp;index('Year Conversion'!$A:$A,match($C85,'Year Conversion'!$B:$B,0)),$Y:$Y,0))-I85,"")</f>
        <v/>
      </c>
      <c r="AA85" s="168" t="str">
        <f t="array" ref="AA85">iferror(index(J:J,match($A85&amp;","&amp;index('Year Conversion'!$A:$A,match($C85,'Year Conversion'!$B:$B,0)),$Y:$Y,0))-J85,"")</f>
        <v/>
      </c>
      <c r="AB85" s="168" t="str">
        <f t="array" ref="AB85">iferror(index(K:K,match($A85&amp;","&amp;index('Year Conversion'!$A:$A,match($C85,'Year Conversion'!$B:$B,0)),$Y:$Y,0))-K85,"")</f>
        <v/>
      </c>
      <c r="AC85" s="168" t="str">
        <f t="shared" si="7"/>
        <v>NOP,2013-14</v>
      </c>
    </row>
    <row r="86">
      <c r="A86" s="161" t="str">
        <f>IFERROR(__xludf.DUMMYFUNCTION("""COMPUTED_VALUE"""),"denglu01")</f>
        <v>denglu01</v>
      </c>
      <c r="B86" s="161" t="str">
        <f>IFERROR(__xludf.DUMMYFUNCTION("""COMPUTED_VALUE"""),"Luol Deng")</f>
        <v>Luol Deng</v>
      </c>
      <c r="C86" s="162" t="str">
        <f>IFERROR(__xludf.DUMMYFUNCTION("""COMPUTED_VALUE"""),"2013-14")</f>
        <v>2013-14</v>
      </c>
      <c r="D86" s="163" t="str">
        <f>IFERROR(__xludf.DUMMYFUNCTION("""COMPUTED_VALUE"""),"TOT")</f>
        <v>TOT</v>
      </c>
      <c r="E86" s="164" t="str">
        <f>IFERROR(__xludf.DUMMYFUNCTION("""COMPUTED_VALUE"""),"Athletic Finisher")</f>
        <v>Athletic Finisher</v>
      </c>
      <c r="F86" s="164">
        <f>IFERROR(__xludf.DUMMYFUNCTION("""COMPUTED_VALUE"""),2212.66666666667)</f>
        <v>2212.666667</v>
      </c>
      <c r="G86" s="163">
        <f>IFERROR(__xludf.DUMMYFUNCTION("""COMPUTED_VALUE"""),63.0)</f>
        <v>63</v>
      </c>
      <c r="H86" s="163" t="str">
        <f>IFERROR(__xludf.DUMMYFUNCTION("""COMPUTED_VALUE"""),"SF")</f>
        <v>SF</v>
      </c>
      <c r="I86" s="163">
        <f>IFERROR(__xludf.DUMMYFUNCTION("""COMPUTED_VALUE"""),28.0)</f>
        <v>28</v>
      </c>
      <c r="J86" s="165">
        <f>IFERROR(__xludf.DUMMYFUNCTION("""COMPUTED_VALUE"""),1.5342798050239)</f>
        <v>1.534279805</v>
      </c>
      <c r="K86" s="165">
        <f>IFERROR(__xludf.DUMMYFUNCTION("""COMPUTED_VALUE"""),0.525515322164001)</f>
        <v>0.5255153222</v>
      </c>
      <c r="L86" s="165">
        <f>IFERROR(__xludf.DUMMYFUNCTION("""COMPUTED_VALUE"""),1.00876448285989)</f>
        <v>1.008764483</v>
      </c>
      <c r="M86" s="166">
        <f t="shared" si="2"/>
        <v>5.692512152</v>
      </c>
      <c r="N86" s="167">
        <f t="shared" si="3"/>
        <v>35.12169312</v>
      </c>
      <c r="O86" s="163">
        <f t="shared" ref="O86:Q86" si="90">rank(I86,I:I)</f>
        <v>1090</v>
      </c>
      <c r="P86" s="163">
        <f t="shared" si="90"/>
        <v>447</v>
      </c>
      <c r="Q86" s="163">
        <f t="shared" si="90"/>
        <v>756</v>
      </c>
      <c r="R86" s="163">
        <f>IFERROR(__xludf.DUMMYFUNCTION("RANK(M86,filter(M:M,C:C=C86))"),57.0)</f>
        <v>57</v>
      </c>
      <c r="S86" s="161" t="b">
        <f t="shared" si="5"/>
        <v>0</v>
      </c>
      <c r="T86" s="161" t="b">
        <f t="array" ref="T86">index('Query Tool'!B:B,match(H86,'Query Tool'!C:C,0))</f>
        <v>1</v>
      </c>
      <c r="U86" s="161" t="b">
        <f t="array" ref="U86">index('Query Tool'!B:B,match(C86,'Query Tool'!C:C,0))</f>
        <v>0</v>
      </c>
      <c r="V86" s="161" t="b">
        <f>F86&gt;='Query Tool'!C$32</f>
        <v>1</v>
      </c>
      <c r="W86" s="161" t="b">
        <f t="array" ref="W86">index(Dropdowns!B:B,match(I86,Dropdowns!A:A,0))</f>
        <v>1</v>
      </c>
      <c r="X86" s="161" t="b">
        <f t="array" ref="X86">index('Query Tool'!B:B,match(D86,'Query Tool'!C:C,0))</f>
        <v>1</v>
      </c>
      <c r="Y86" s="161" t="str">
        <f t="shared" si="6"/>
        <v>denglu01,2013-14</v>
      </c>
      <c r="Z86" s="168">
        <f t="array" ref="Z86">iferror(index(I:I,match($A86&amp;","&amp;index('Year Conversion'!$A:$A,match($C86,'Year Conversion'!$B:$B,0)),$Y:$Y,0))-I86,"")</f>
        <v>1</v>
      </c>
      <c r="AA86" s="168">
        <f t="array" ref="AA86">iferror(index(J:J,match($A86&amp;","&amp;index('Year Conversion'!$A:$A,match($C86,'Year Conversion'!$B:$B,0)),$Y:$Y,0))-J86,"")</f>
        <v>-1.387355014</v>
      </c>
      <c r="AB86" s="168">
        <f t="array" ref="AB86">iferror(index(K:K,match($A86&amp;","&amp;index('Year Conversion'!$A:$A,match($C86,'Year Conversion'!$B:$B,0)),$Y:$Y,0))-K86,"")</f>
        <v>0.8790793774</v>
      </c>
      <c r="AC86" s="168" t="str">
        <f t="shared" si="7"/>
        <v>TOT,2013-14</v>
      </c>
    </row>
    <row r="87">
      <c r="A87" s="161" t="str">
        <f>IFERROR(__xludf.DUMMYFUNCTION("""COMPUTED_VALUE"""),"iguodan01")</f>
        <v>iguodan01</v>
      </c>
      <c r="B87" s="161" t="str">
        <f>IFERROR(__xludf.DUMMYFUNCTION("""COMPUTED_VALUE"""),"Andre Iguodala")</f>
        <v>Andre Iguodala</v>
      </c>
      <c r="C87" s="162" t="str">
        <f>IFERROR(__xludf.DUMMYFUNCTION("""COMPUTED_VALUE"""),"2013-14")</f>
        <v>2013-14</v>
      </c>
      <c r="D87" s="163" t="str">
        <f>IFERROR(__xludf.DUMMYFUNCTION("""COMPUTED_VALUE"""),"GSW")</f>
        <v>GSW</v>
      </c>
      <c r="E87" s="164" t="str">
        <f>IFERROR(__xludf.DUMMYFUNCTION("""COMPUTED_VALUE"""),"Shot Creator")</f>
        <v>Shot Creator</v>
      </c>
      <c r="F87" s="164">
        <f>IFERROR(__xludf.DUMMYFUNCTION("""COMPUTED_VALUE"""),2039.70833333333)</f>
        <v>2039.708333</v>
      </c>
      <c r="G87" s="163">
        <f>IFERROR(__xludf.DUMMYFUNCTION("""COMPUTED_VALUE"""),63.0)</f>
        <v>63</v>
      </c>
      <c r="H87" s="163" t="str">
        <f>IFERROR(__xludf.DUMMYFUNCTION("""COMPUTED_VALUE"""),"SF")</f>
        <v>SF</v>
      </c>
      <c r="I87" s="163">
        <f>IFERROR(__xludf.DUMMYFUNCTION("""COMPUTED_VALUE"""),30.0)</f>
        <v>30</v>
      </c>
      <c r="J87" s="165">
        <f>IFERROR(__xludf.DUMMYFUNCTION("""COMPUTED_VALUE"""),3.06703608140581)</f>
        <v>3.067036081</v>
      </c>
      <c r="K87" s="165">
        <f>IFERROR(__xludf.DUMMYFUNCTION("""COMPUTED_VALUE"""),0.718558584395197)</f>
        <v>0.7185585844</v>
      </c>
      <c r="L87" s="165">
        <f>IFERROR(__xludf.DUMMYFUNCTION("""COMPUTED_VALUE"""),2.34847749701061)</f>
        <v>2.348477497</v>
      </c>
      <c r="M87" s="166">
        <f t="shared" si="2"/>
        <v>7.307921067</v>
      </c>
      <c r="N87" s="167">
        <f t="shared" si="3"/>
        <v>32.37632275</v>
      </c>
      <c r="O87" s="163">
        <f t="shared" ref="O87:Q87" si="91">rank(I87,I:I)</f>
        <v>655</v>
      </c>
      <c r="P87" s="163">
        <f t="shared" si="91"/>
        <v>169</v>
      </c>
      <c r="Q87" s="163">
        <f t="shared" si="91"/>
        <v>641</v>
      </c>
      <c r="R87" s="163">
        <f>IFERROR(__xludf.DUMMYFUNCTION("RANK(M87,filter(M:M,C:C=C87))"),36.0)</f>
        <v>36</v>
      </c>
      <c r="S87" s="161" t="b">
        <f t="shared" si="5"/>
        <v>0</v>
      </c>
      <c r="T87" s="161" t="b">
        <f t="array" ref="T87">index('Query Tool'!B:B,match(H87,'Query Tool'!C:C,0))</f>
        <v>1</v>
      </c>
      <c r="U87" s="161" t="b">
        <f t="array" ref="U87">index('Query Tool'!B:B,match(C87,'Query Tool'!C:C,0))</f>
        <v>0</v>
      </c>
      <c r="V87" s="161" t="b">
        <f>F87&gt;='Query Tool'!C$32</f>
        <v>1</v>
      </c>
      <c r="W87" s="161" t="b">
        <f t="array" ref="W87">index(Dropdowns!B:B,match(I87,Dropdowns!A:A,0))</f>
        <v>1</v>
      </c>
      <c r="X87" s="161" t="b">
        <f t="array" ref="X87">index('Query Tool'!B:B,match(D87,'Query Tool'!C:C,0))</f>
        <v>1</v>
      </c>
      <c r="Y87" s="161" t="str">
        <f t="shared" si="6"/>
        <v>iguodan01,2013-14</v>
      </c>
      <c r="Z87" s="168">
        <f t="array" ref="Z87">iferror(index(I:I,match($A87&amp;","&amp;index('Year Conversion'!$A:$A,match($C87,'Year Conversion'!$B:$B,0)),$Y:$Y,0))-I87,"")</f>
        <v>1</v>
      </c>
      <c r="AA87" s="168">
        <f t="array" ref="AA87">iferror(index(J:J,match($A87&amp;","&amp;index('Year Conversion'!$A:$A,match($C87,'Year Conversion'!$B:$B,0)),$Y:$Y,0))-J87,"")</f>
        <v>-1.997207373</v>
      </c>
      <c r="AB87" s="168">
        <f t="array" ref="AB87">iferror(index(K:K,match($A87&amp;","&amp;index('Year Conversion'!$A:$A,match($C87,'Year Conversion'!$B:$B,0)),$Y:$Y,0))-K87,"")</f>
        <v>-0.7672326924</v>
      </c>
      <c r="AC87" s="168" t="str">
        <f t="shared" si="7"/>
        <v>GSW,2013-14</v>
      </c>
    </row>
    <row r="88">
      <c r="A88" s="161" t="str">
        <f>IFERROR(__xludf.DUMMYFUNCTION("""COMPUTED_VALUE"""),"biedran01")</f>
        <v>biedran01</v>
      </c>
      <c r="B88" s="161" t="str">
        <f>IFERROR(__xludf.DUMMYFUNCTION("""COMPUTED_VALUE"""),"Andris Biedrins")</f>
        <v>Andris Biedrins</v>
      </c>
      <c r="C88" s="162" t="str">
        <f>IFERROR(__xludf.DUMMYFUNCTION("""COMPUTED_VALUE"""),"2013-14")</f>
        <v>2013-14</v>
      </c>
      <c r="D88" s="163" t="str">
        <f>IFERROR(__xludf.DUMMYFUNCTION("""COMPUTED_VALUE"""),"UTA")</f>
        <v>UTA</v>
      </c>
      <c r="E88" s="164" t="str">
        <f>IFERROR(__xludf.DUMMYFUNCTION("""COMPUTED_VALUE"""),"Roll + Cut Big")</f>
        <v>Roll + Cut Big</v>
      </c>
      <c r="F88" s="164">
        <f>IFERROR(__xludf.DUMMYFUNCTION("""COMPUTED_VALUE"""),44.5833333333333)</f>
        <v>44.58333333</v>
      </c>
      <c r="G88" s="163">
        <f>IFERROR(__xludf.DUMMYFUNCTION("""COMPUTED_VALUE"""),6.0)</f>
        <v>6</v>
      </c>
      <c r="H88" s="163" t="str">
        <f>IFERROR(__xludf.DUMMYFUNCTION("""COMPUTED_VALUE"""),"C")</f>
        <v>C</v>
      </c>
      <c r="I88" s="163">
        <f>IFERROR(__xludf.DUMMYFUNCTION("""COMPUTED_VALUE"""),27.0)</f>
        <v>27</v>
      </c>
      <c r="J88" s="165">
        <f>IFERROR(__xludf.DUMMYFUNCTION("""COMPUTED_VALUE"""),0.149852974373115)</f>
        <v>0.1498529744</v>
      </c>
      <c r="K88" s="165">
        <f>IFERROR(__xludf.DUMMYFUNCTION("""COMPUTED_VALUE"""),-0.333374885305168)</f>
        <v>-0.3333748853</v>
      </c>
      <c r="L88" s="165">
        <f>IFERROR(__xludf.DUMMYFUNCTION("""COMPUTED_VALUE"""),0.483227859678282)</f>
        <v>0.4832278597</v>
      </c>
      <c r="M88" s="166">
        <f t="shared" si="2"/>
        <v>0.07323672353</v>
      </c>
      <c r="N88" s="167">
        <f t="shared" si="3"/>
        <v>7.430555556</v>
      </c>
      <c r="O88" s="163">
        <f t="shared" ref="O88:Q88" si="92">rank(I88,I:I)</f>
        <v>1366</v>
      </c>
      <c r="P88" s="163">
        <f t="shared" si="92"/>
        <v>1136</v>
      </c>
      <c r="Q88" s="163">
        <f t="shared" si="92"/>
        <v>1818</v>
      </c>
      <c r="R88" s="163">
        <f>IFERROR(__xludf.DUMMYFUNCTION("RANK(M88,filter(M:M,C:C=C88))"),371.0)</f>
        <v>371</v>
      </c>
      <c r="S88" s="161" t="b">
        <f t="shared" si="5"/>
        <v>0</v>
      </c>
      <c r="T88" s="161" t="b">
        <f t="array" ref="T88">index('Query Tool'!B:B,match(H88,'Query Tool'!C:C,0))</f>
        <v>1</v>
      </c>
      <c r="U88" s="161" t="b">
        <f t="array" ref="U88">index('Query Tool'!B:B,match(C88,'Query Tool'!C:C,0))</f>
        <v>0</v>
      </c>
      <c r="V88" s="161" t="b">
        <f>F88&gt;='Query Tool'!C$32</f>
        <v>0</v>
      </c>
      <c r="W88" s="161" t="b">
        <f t="array" ref="W88">index(Dropdowns!B:B,match(I88,Dropdowns!A:A,0))</f>
        <v>1</v>
      </c>
      <c r="X88" s="161" t="b">
        <f t="array" ref="X88">index('Query Tool'!B:B,match(D88,'Query Tool'!C:C,0))</f>
        <v>1</v>
      </c>
      <c r="Y88" s="161" t="str">
        <f t="shared" si="6"/>
        <v>biedran01,2013-14</v>
      </c>
      <c r="Z88" s="168" t="str">
        <f t="array" ref="Z88">iferror(index(I:I,match($A88&amp;","&amp;index('Year Conversion'!$A:$A,match($C88,'Year Conversion'!$B:$B,0)),$Y:$Y,0))-I88,"")</f>
        <v/>
      </c>
      <c r="AA88" s="168" t="str">
        <f t="array" ref="AA88">iferror(index(J:J,match($A88&amp;","&amp;index('Year Conversion'!$A:$A,match($C88,'Year Conversion'!$B:$B,0)),$Y:$Y,0))-J88,"")</f>
        <v/>
      </c>
      <c r="AB88" s="168" t="str">
        <f t="array" ref="AB88">iferror(index(K:K,match($A88&amp;","&amp;index('Year Conversion'!$A:$A,match($C88,'Year Conversion'!$B:$B,0)),$Y:$Y,0))-K88,"")</f>
        <v/>
      </c>
      <c r="AC88" s="168" t="str">
        <f t="shared" si="7"/>
        <v>UTA,2013-14</v>
      </c>
    </row>
    <row r="89">
      <c r="A89" s="161" t="str">
        <f>IFERROR(__xludf.DUMMYFUNCTION("""COMPUTED_VALUE"""),"humphkr01")</f>
        <v>humphkr01</v>
      </c>
      <c r="B89" s="161" t="str">
        <f>IFERROR(__xludf.DUMMYFUNCTION("""COMPUTED_VALUE"""),"Kris Humphries")</f>
        <v>Kris Humphries</v>
      </c>
      <c r="C89" s="162" t="str">
        <f>IFERROR(__xludf.DUMMYFUNCTION("""COMPUTED_VALUE"""),"2013-14")</f>
        <v>2013-14</v>
      </c>
      <c r="D89" s="163" t="str">
        <f>IFERROR(__xludf.DUMMYFUNCTION("""COMPUTED_VALUE"""),"BOS")</f>
        <v>BOS</v>
      </c>
      <c r="E89" s="164" t="str">
        <f>IFERROR(__xludf.DUMMYFUNCTION("""COMPUTED_VALUE"""),"Roll + Cut Big")</f>
        <v>Roll + Cut Big</v>
      </c>
      <c r="F89" s="164">
        <f>IFERROR(__xludf.DUMMYFUNCTION("""COMPUTED_VALUE"""),1375.83833333333)</f>
        <v>1375.838333</v>
      </c>
      <c r="G89" s="163">
        <f>IFERROR(__xludf.DUMMYFUNCTION("""COMPUTED_VALUE"""),69.0)</f>
        <v>69</v>
      </c>
      <c r="H89" s="163" t="str">
        <f>IFERROR(__xludf.DUMMYFUNCTION("""COMPUTED_VALUE"""),"PF")</f>
        <v>PF</v>
      </c>
      <c r="I89" s="163">
        <f>IFERROR(__xludf.DUMMYFUNCTION("""COMPUTED_VALUE"""),28.0)</f>
        <v>28</v>
      </c>
      <c r="J89" s="165">
        <f>IFERROR(__xludf.DUMMYFUNCTION("""COMPUTED_VALUE"""),-0.578723824577232)</f>
        <v>-0.5787238246</v>
      </c>
      <c r="K89" s="165">
        <f>IFERROR(__xludf.DUMMYFUNCTION("""COMPUTED_VALUE"""),-1.50152823898354)</f>
        <v>-1.501528239</v>
      </c>
      <c r="L89" s="165">
        <f>IFERROR(__xludf.DUMMYFUNCTION("""COMPUTED_VALUE"""),0.922804414406308)</f>
        <v>0.9228044144</v>
      </c>
      <c r="M89" s="166">
        <f t="shared" si="2"/>
        <v>1.584523276</v>
      </c>
      <c r="N89" s="167">
        <f t="shared" si="3"/>
        <v>19.93968599</v>
      </c>
      <c r="O89" s="163">
        <f t="shared" ref="O89:Q89" si="93">rank(I89,I:I)</f>
        <v>1090</v>
      </c>
      <c r="P89" s="163">
        <f t="shared" si="93"/>
        <v>1961</v>
      </c>
      <c r="Q89" s="163">
        <f t="shared" si="93"/>
        <v>3356</v>
      </c>
      <c r="R89" s="163">
        <f>IFERROR(__xludf.DUMMYFUNCTION("RANK(M89,filter(M:M,C:C=C89))"),178.0)</f>
        <v>178</v>
      </c>
      <c r="S89" s="161" t="b">
        <f t="shared" si="5"/>
        <v>0</v>
      </c>
      <c r="T89" s="161" t="b">
        <f t="array" ref="T89">index('Query Tool'!B:B,match(H89,'Query Tool'!C:C,0))</f>
        <v>1</v>
      </c>
      <c r="U89" s="161" t="b">
        <f t="array" ref="U89">index('Query Tool'!B:B,match(C89,'Query Tool'!C:C,0))</f>
        <v>0</v>
      </c>
      <c r="V89" s="161" t="b">
        <f>F89&gt;='Query Tool'!C$32</f>
        <v>1</v>
      </c>
      <c r="W89" s="161" t="b">
        <f t="array" ref="W89">index(Dropdowns!B:B,match(I89,Dropdowns!A:A,0))</f>
        <v>1</v>
      </c>
      <c r="X89" s="161" t="b">
        <f t="array" ref="X89">index('Query Tool'!B:B,match(D89,'Query Tool'!C:C,0))</f>
        <v>1</v>
      </c>
      <c r="Y89" s="161" t="str">
        <f t="shared" si="6"/>
        <v>humphkr01,2013-14</v>
      </c>
      <c r="Z89" s="168">
        <f t="array" ref="Z89">iferror(index(I:I,match($A89&amp;","&amp;index('Year Conversion'!$A:$A,match($C89,'Year Conversion'!$B:$B,0)),$Y:$Y,0))-I89,"")</f>
        <v>1</v>
      </c>
      <c r="AA89" s="168">
        <f t="array" ref="AA89">iferror(index(J:J,match($A89&amp;","&amp;index('Year Conversion'!$A:$A,match($C89,'Year Conversion'!$B:$B,0)),$Y:$Y,0))-J89,"")</f>
        <v>-0.4041259028</v>
      </c>
      <c r="AB89" s="168">
        <f t="array" ref="AB89">iferror(index(K:K,match($A89&amp;","&amp;index('Year Conversion'!$A:$A,match($C89,'Year Conversion'!$B:$B,0)),$Y:$Y,0))-K89,"")</f>
        <v>0.07482006401</v>
      </c>
      <c r="AC89" s="168" t="str">
        <f t="shared" si="7"/>
        <v>BOS,2013-14</v>
      </c>
    </row>
    <row r="90">
      <c r="A90" s="161" t="str">
        <f>IFERROR(__xludf.DUMMYFUNCTION("""COMPUTED_VALUE"""),"jeffeal01")</f>
        <v>jeffeal01</v>
      </c>
      <c r="B90" s="161" t="str">
        <f>IFERROR(__xludf.DUMMYFUNCTION("""COMPUTED_VALUE"""),"Al Jefferson")</f>
        <v>Al Jefferson</v>
      </c>
      <c r="C90" s="162" t="str">
        <f>IFERROR(__xludf.DUMMYFUNCTION("""COMPUTED_VALUE"""),"2013-14")</f>
        <v>2013-14</v>
      </c>
      <c r="D90" s="163" t="str">
        <f>IFERROR(__xludf.DUMMYFUNCTION("""COMPUTED_VALUE"""),"CHA")</f>
        <v>CHA</v>
      </c>
      <c r="E90" s="164" t="str">
        <f>IFERROR(__xludf.DUMMYFUNCTION("""COMPUTED_VALUE"""),"Post Scorer")</f>
        <v>Post Scorer</v>
      </c>
      <c r="F90" s="164">
        <f>IFERROR(__xludf.DUMMYFUNCTION("""COMPUTED_VALUE"""),2553.23833333333)</f>
        <v>2553.238333</v>
      </c>
      <c r="G90" s="163">
        <f>IFERROR(__xludf.DUMMYFUNCTION("""COMPUTED_VALUE"""),73.0)</f>
        <v>73</v>
      </c>
      <c r="H90" s="163" t="str">
        <f>IFERROR(__xludf.DUMMYFUNCTION("""COMPUTED_VALUE"""),"C")</f>
        <v>C</v>
      </c>
      <c r="I90" s="163">
        <f>IFERROR(__xludf.DUMMYFUNCTION("""COMPUTED_VALUE"""),29.0)</f>
        <v>29</v>
      </c>
      <c r="J90" s="165">
        <f>IFERROR(__xludf.DUMMYFUNCTION("""COMPUTED_VALUE"""),2.18260129072265)</f>
        <v>2.182601291</v>
      </c>
      <c r="K90" s="165">
        <f>IFERROR(__xludf.DUMMYFUNCTION("""COMPUTED_VALUE"""),0.843491095148301)</f>
        <v>0.8434910951</v>
      </c>
      <c r="L90" s="165">
        <f>IFERROR(__xludf.DUMMYFUNCTION("""COMPUTED_VALUE"""),1.33911019557435)</f>
        <v>1.339110196</v>
      </c>
      <c r="M90" s="166">
        <f t="shared" si="2"/>
        <v>7.66863319</v>
      </c>
      <c r="N90" s="167">
        <f t="shared" si="3"/>
        <v>34.97586758</v>
      </c>
      <c r="O90" s="163">
        <f t="shared" ref="O90:Q90" si="94">rank(I90,I:I)</f>
        <v>855</v>
      </c>
      <c r="P90" s="163">
        <f t="shared" si="94"/>
        <v>276</v>
      </c>
      <c r="Q90" s="163">
        <f t="shared" si="94"/>
        <v>584</v>
      </c>
      <c r="R90" s="163">
        <f>IFERROR(__xludf.DUMMYFUNCTION("RANK(M90,filter(M:M,C:C=C90))"),32.0)</f>
        <v>32</v>
      </c>
      <c r="S90" s="161" t="b">
        <f t="shared" si="5"/>
        <v>0</v>
      </c>
      <c r="T90" s="161" t="b">
        <f t="array" ref="T90">index('Query Tool'!B:B,match(H90,'Query Tool'!C:C,0))</f>
        <v>1</v>
      </c>
      <c r="U90" s="161" t="b">
        <f t="array" ref="U90">index('Query Tool'!B:B,match(C90,'Query Tool'!C:C,0))</f>
        <v>0</v>
      </c>
      <c r="V90" s="161" t="b">
        <f>F90&gt;='Query Tool'!C$32</f>
        <v>1</v>
      </c>
      <c r="W90" s="161" t="b">
        <f t="array" ref="W90">index(Dropdowns!B:B,match(I90,Dropdowns!A:A,0))</f>
        <v>1</v>
      </c>
      <c r="X90" s="161" t="b">
        <f t="array" ref="X90">index('Query Tool'!B:B,match(D90,'Query Tool'!C:C,0))</f>
        <v>1</v>
      </c>
      <c r="Y90" s="161" t="str">
        <f t="shared" si="6"/>
        <v>jeffeal01,2013-14</v>
      </c>
      <c r="Z90" s="168">
        <f t="array" ref="Z90">iferror(index(I:I,match($A90&amp;","&amp;index('Year Conversion'!$A:$A,match($C90,'Year Conversion'!$B:$B,0)),$Y:$Y,0))-I90,"")</f>
        <v>1</v>
      </c>
      <c r="AA90" s="168">
        <f t="array" ref="AA90">iferror(index(J:J,match($A90&amp;","&amp;index('Year Conversion'!$A:$A,match($C90,'Year Conversion'!$B:$B,0)),$Y:$Y,0))-J90,"")</f>
        <v>-1.217927596</v>
      </c>
      <c r="AB90" s="168">
        <f t="array" ref="AB90">iferror(index(K:K,match($A90&amp;","&amp;index('Year Conversion'!$A:$A,match($C90,'Year Conversion'!$B:$B,0)),$Y:$Y,0))-K90,"")</f>
        <v>-1.520751298</v>
      </c>
      <c r="AC90" s="168" t="str">
        <f t="shared" si="7"/>
        <v>CHA,2013-14</v>
      </c>
    </row>
    <row r="91">
      <c r="A91" s="161" t="str">
        <f>IFERROR(__xludf.DUMMYFUNCTION("""COMPUTED_VALUE"""),"smithjo03")</f>
        <v>smithjo03</v>
      </c>
      <c r="B91" s="161" t="str">
        <f>IFERROR(__xludf.DUMMYFUNCTION("""COMPUTED_VALUE"""),"Josh Smith")</f>
        <v>Josh Smith</v>
      </c>
      <c r="C91" s="162" t="str">
        <f>IFERROR(__xludf.DUMMYFUNCTION("""COMPUTED_VALUE"""),"2013-14")</f>
        <v>2013-14</v>
      </c>
      <c r="D91" s="163" t="str">
        <f>IFERROR(__xludf.DUMMYFUNCTION("""COMPUTED_VALUE"""),"DET")</f>
        <v>DET</v>
      </c>
      <c r="E91" s="164" t="str">
        <f>IFERROR(__xludf.DUMMYFUNCTION("""COMPUTED_VALUE"""),"Post Scorer")</f>
        <v>Post Scorer</v>
      </c>
      <c r="F91" s="164">
        <f>IFERROR(__xludf.DUMMYFUNCTION("""COMPUTED_VALUE"""),2730.27666666667)</f>
        <v>2730.276667</v>
      </c>
      <c r="G91" s="163">
        <f>IFERROR(__xludf.DUMMYFUNCTION("""COMPUTED_VALUE"""),77.0)</f>
        <v>77</v>
      </c>
      <c r="H91" s="163" t="str">
        <f>IFERROR(__xludf.DUMMYFUNCTION("""COMPUTED_VALUE"""),"SF")</f>
        <v>SF</v>
      </c>
      <c r="I91" s="163">
        <f>IFERROR(__xludf.DUMMYFUNCTION("""COMPUTED_VALUE"""),28.0)</f>
        <v>28</v>
      </c>
      <c r="J91" s="165">
        <f>IFERROR(__xludf.DUMMYFUNCTION("""COMPUTED_VALUE"""),-0.083724678472666)</f>
        <v>-0.08372467847</v>
      </c>
      <c r="K91" s="165">
        <f>IFERROR(__xludf.DUMMYFUNCTION("""COMPUTED_VALUE"""),-0.516350850593168)</f>
        <v>-0.5163508506</v>
      </c>
      <c r="L91" s="165">
        <f>IFERROR(__xludf.DUMMYFUNCTION("""COMPUTED_VALUE"""),0.432626172120502)</f>
        <v>0.4326261721</v>
      </c>
      <c r="M91" s="166">
        <f t="shared" si="2"/>
        <v>4.055063943</v>
      </c>
      <c r="N91" s="167">
        <f t="shared" si="3"/>
        <v>35.45813853</v>
      </c>
      <c r="O91" s="163">
        <f t="shared" ref="O91:Q91" si="95">rank(I91,I:I)</f>
        <v>1090</v>
      </c>
      <c r="P91" s="163">
        <f t="shared" si="95"/>
        <v>1370</v>
      </c>
      <c r="Q91" s="163">
        <f t="shared" si="95"/>
        <v>2132</v>
      </c>
      <c r="R91" s="163">
        <f>IFERROR(__xludf.DUMMYFUNCTION("RANK(M91,filter(M:M,C:C=C91))"),81.0)</f>
        <v>81</v>
      </c>
      <c r="S91" s="161" t="b">
        <f t="shared" si="5"/>
        <v>0</v>
      </c>
      <c r="T91" s="161" t="b">
        <f t="array" ref="T91">index('Query Tool'!B:B,match(H91,'Query Tool'!C:C,0))</f>
        <v>1</v>
      </c>
      <c r="U91" s="161" t="b">
        <f t="array" ref="U91">index('Query Tool'!B:B,match(C91,'Query Tool'!C:C,0))</f>
        <v>0</v>
      </c>
      <c r="V91" s="161" t="b">
        <f>F91&gt;='Query Tool'!C$32</f>
        <v>1</v>
      </c>
      <c r="W91" s="161" t="b">
        <f t="array" ref="W91">index(Dropdowns!B:B,match(I91,Dropdowns!A:A,0))</f>
        <v>1</v>
      </c>
      <c r="X91" s="161" t="b">
        <f t="array" ref="X91">index('Query Tool'!B:B,match(D91,'Query Tool'!C:C,0))</f>
        <v>1</v>
      </c>
      <c r="Y91" s="161" t="str">
        <f t="shared" si="6"/>
        <v>smithjo03,2013-14</v>
      </c>
      <c r="Z91" s="168">
        <f t="array" ref="Z91">iferror(index(I:I,match($A91&amp;","&amp;index('Year Conversion'!$A:$A,match($C91,'Year Conversion'!$B:$B,0)),$Y:$Y,0))-I91,"")</f>
        <v>1</v>
      </c>
      <c r="AA91" s="168">
        <f t="array" ref="AA91">iferror(index(J:J,match($A91&amp;","&amp;index('Year Conversion'!$A:$A,match($C91,'Year Conversion'!$B:$B,0)),$Y:$Y,0))-J91,"")</f>
        <v>-0.5093087927</v>
      </c>
      <c r="AB91" s="168">
        <f t="array" ref="AB91">iferror(index(K:K,match($A91&amp;","&amp;index('Year Conversion'!$A:$A,match($C91,'Year Conversion'!$B:$B,0)),$Y:$Y,0))-K91,"")</f>
        <v>-0.8940107057</v>
      </c>
      <c r="AC91" s="168" t="str">
        <f t="shared" si="7"/>
        <v>DET,2013-14</v>
      </c>
    </row>
    <row r="92">
      <c r="A92" s="161" t="str">
        <f>IFERROR(__xludf.DUMMYFUNCTION("""COMPUTED_VALUE"""),"smithjr01")</f>
        <v>smithjr01</v>
      </c>
      <c r="B92" s="161" t="str">
        <f>IFERROR(__xludf.DUMMYFUNCTION("""COMPUTED_VALUE"""),"JR Smith")</f>
        <v>JR Smith</v>
      </c>
      <c r="C92" s="162" t="str">
        <f>IFERROR(__xludf.DUMMYFUNCTION("""COMPUTED_VALUE"""),"2013-14")</f>
        <v>2013-14</v>
      </c>
      <c r="D92" s="163" t="str">
        <f>IFERROR(__xludf.DUMMYFUNCTION("""COMPUTED_VALUE"""),"NYK")</f>
        <v>NYK</v>
      </c>
      <c r="E92" s="164" t="str">
        <f>IFERROR(__xludf.DUMMYFUNCTION("""COMPUTED_VALUE"""),"Shot Creator")</f>
        <v>Shot Creator</v>
      </c>
      <c r="F92" s="164">
        <f>IFERROR(__xludf.DUMMYFUNCTION("""COMPUTED_VALUE"""),2421.21333333333)</f>
        <v>2421.213333</v>
      </c>
      <c r="G92" s="163">
        <f>IFERROR(__xludf.DUMMYFUNCTION("""COMPUTED_VALUE"""),74.0)</f>
        <v>74</v>
      </c>
      <c r="H92" s="163" t="str">
        <f>IFERROR(__xludf.DUMMYFUNCTION("""COMPUTED_VALUE"""),"SF")</f>
        <v>SF</v>
      </c>
      <c r="I92" s="163">
        <f>IFERROR(__xludf.DUMMYFUNCTION("""COMPUTED_VALUE"""),28.0)</f>
        <v>28</v>
      </c>
      <c r="J92" s="165">
        <f>IFERROR(__xludf.DUMMYFUNCTION("""COMPUTED_VALUE"""),-0.667850293853858)</f>
        <v>-0.6678502939</v>
      </c>
      <c r="K92" s="165">
        <f>IFERROR(__xludf.DUMMYFUNCTION("""COMPUTED_VALUE"""),0.843958723003578)</f>
        <v>0.843958723</v>
      </c>
      <c r="L92" s="165">
        <f>IFERROR(__xludf.DUMMYFUNCTION("""COMPUTED_VALUE"""),-1.51180901685744)</f>
        <v>-1.511809017</v>
      </c>
      <c r="M92" s="166">
        <f t="shared" si="2"/>
        <v>2.643208517</v>
      </c>
      <c r="N92" s="167">
        <f t="shared" si="3"/>
        <v>32.7190991</v>
      </c>
      <c r="O92" s="163">
        <f t="shared" ref="O92:Q92" si="96">rank(I92,I:I)</f>
        <v>1090</v>
      </c>
      <c r="P92" s="163">
        <f t="shared" si="96"/>
        <v>2092</v>
      </c>
      <c r="Q92" s="163">
        <f t="shared" si="96"/>
        <v>583</v>
      </c>
      <c r="R92" s="163">
        <f>IFERROR(__xludf.DUMMYFUNCTION("RANK(M92,filter(M:M,C:C=C92))"),128.0)</f>
        <v>128</v>
      </c>
      <c r="S92" s="161" t="b">
        <f t="shared" si="5"/>
        <v>0</v>
      </c>
      <c r="T92" s="161" t="b">
        <f t="array" ref="T92">index('Query Tool'!B:B,match(H92,'Query Tool'!C:C,0))</f>
        <v>1</v>
      </c>
      <c r="U92" s="161" t="b">
        <f t="array" ref="U92">index('Query Tool'!B:B,match(C92,'Query Tool'!C:C,0))</f>
        <v>0</v>
      </c>
      <c r="V92" s="161" t="b">
        <f>F92&gt;='Query Tool'!C$32</f>
        <v>1</v>
      </c>
      <c r="W92" s="161" t="b">
        <f t="array" ref="W92">index(Dropdowns!B:B,match(I92,Dropdowns!A:A,0))</f>
        <v>1</v>
      </c>
      <c r="X92" s="161" t="b">
        <f t="array" ref="X92">index('Query Tool'!B:B,match(D92,'Query Tool'!C:C,0))</f>
        <v>1</v>
      </c>
      <c r="Y92" s="161" t="str">
        <f t="shared" si="6"/>
        <v>smithjr01,2013-14</v>
      </c>
      <c r="Z92" s="168">
        <f t="array" ref="Z92">iferror(index(I:I,match($A92&amp;","&amp;index('Year Conversion'!$A:$A,match($C92,'Year Conversion'!$B:$B,0)),$Y:$Y,0))-I92,"")</f>
        <v>1</v>
      </c>
      <c r="AA92" s="168">
        <f t="array" ref="AA92">iferror(index(J:J,match($A92&amp;","&amp;index('Year Conversion'!$A:$A,match($C92,'Year Conversion'!$B:$B,0)),$Y:$Y,0))-J92,"")</f>
        <v>0.6675288887</v>
      </c>
      <c r="AB92" s="168">
        <f t="array" ref="AB92">iferror(index(K:K,match($A92&amp;","&amp;index('Year Conversion'!$A:$A,match($C92,'Year Conversion'!$B:$B,0)),$Y:$Y,0))-K92,"")</f>
        <v>-0.2637905994</v>
      </c>
      <c r="AC92" s="168" t="str">
        <f t="shared" si="7"/>
        <v>NYK,2013-14</v>
      </c>
    </row>
    <row r="93">
      <c r="A93" s="161" t="str">
        <f>IFERROR(__xludf.DUMMYFUNCTION("""COMPUTED_VALUE"""),"wrighdo01")</f>
        <v>wrighdo01</v>
      </c>
      <c r="B93" s="161" t="str">
        <f>IFERROR(__xludf.DUMMYFUNCTION("""COMPUTED_VALUE"""),"Dorell Wright")</f>
        <v>Dorell Wright</v>
      </c>
      <c r="C93" s="162" t="str">
        <f>IFERROR(__xludf.DUMMYFUNCTION("""COMPUTED_VALUE"""),"2013-14")</f>
        <v>2013-14</v>
      </c>
      <c r="D93" s="163" t="str">
        <f>IFERROR(__xludf.DUMMYFUNCTION("""COMPUTED_VALUE"""),"POR")</f>
        <v>POR</v>
      </c>
      <c r="E93" s="164" t="str">
        <f>IFERROR(__xludf.DUMMYFUNCTION("""COMPUTED_VALUE"""),"Movement Shooter")</f>
        <v>Movement Shooter</v>
      </c>
      <c r="F93" s="164">
        <f>IFERROR(__xludf.DUMMYFUNCTION("""COMPUTED_VALUE"""),984.49)</f>
        <v>984.49</v>
      </c>
      <c r="G93" s="163">
        <f>IFERROR(__xludf.DUMMYFUNCTION("""COMPUTED_VALUE"""),68.0)</f>
        <v>68</v>
      </c>
      <c r="H93" s="163" t="str">
        <f>IFERROR(__xludf.DUMMYFUNCTION("""COMPUTED_VALUE"""),"SF")</f>
        <v>SF</v>
      </c>
      <c r="I93" s="163">
        <f>IFERROR(__xludf.DUMMYFUNCTION("""COMPUTED_VALUE"""),28.0)</f>
        <v>28</v>
      </c>
      <c r="J93" s="165">
        <f>IFERROR(__xludf.DUMMYFUNCTION("""COMPUTED_VALUE"""),-0.275730253333238)</f>
        <v>-0.2757302533</v>
      </c>
      <c r="K93" s="165">
        <f>IFERROR(__xludf.DUMMYFUNCTION("""COMPUTED_VALUE"""),-0.129868411563207)</f>
        <v>-0.1298684116</v>
      </c>
      <c r="L93" s="165">
        <f>IFERROR(__xludf.DUMMYFUNCTION("""COMPUTED_VALUE"""),-0.145861841770031)</f>
        <v>-0.1458618418</v>
      </c>
      <c r="M93" s="166">
        <f t="shared" si="2"/>
        <v>1.334763439</v>
      </c>
      <c r="N93" s="167">
        <f t="shared" si="3"/>
        <v>14.47779412</v>
      </c>
      <c r="O93" s="163">
        <f t="shared" ref="O93:Q93" si="97">rank(I93,I:I)</f>
        <v>1090</v>
      </c>
      <c r="P93" s="163">
        <f t="shared" si="97"/>
        <v>1586</v>
      </c>
      <c r="Q93" s="163">
        <f t="shared" si="97"/>
        <v>1439</v>
      </c>
      <c r="R93" s="163">
        <f>IFERROR(__xludf.DUMMYFUNCTION("RANK(M93,filter(M:M,C:C=C93))"),197.0)</f>
        <v>197</v>
      </c>
      <c r="S93" s="161" t="b">
        <f t="shared" si="5"/>
        <v>0</v>
      </c>
      <c r="T93" s="161" t="b">
        <f t="array" ref="T93">index('Query Tool'!B:B,match(H93,'Query Tool'!C:C,0))</f>
        <v>1</v>
      </c>
      <c r="U93" s="161" t="b">
        <f t="array" ref="U93">index('Query Tool'!B:B,match(C93,'Query Tool'!C:C,0))</f>
        <v>0</v>
      </c>
      <c r="V93" s="161" t="b">
        <f>F93&gt;='Query Tool'!C$32</f>
        <v>1</v>
      </c>
      <c r="W93" s="161" t="b">
        <f t="array" ref="W93">index(Dropdowns!B:B,match(I93,Dropdowns!A:A,0))</f>
        <v>1</v>
      </c>
      <c r="X93" s="161" t="b">
        <f t="array" ref="X93">index('Query Tool'!B:B,match(D93,'Query Tool'!C:C,0))</f>
        <v>1</v>
      </c>
      <c r="Y93" s="161" t="str">
        <f t="shared" si="6"/>
        <v>wrighdo01,2013-14</v>
      </c>
      <c r="Z93" s="168">
        <f t="array" ref="Z93">iferror(index(I:I,match($A93&amp;","&amp;index('Year Conversion'!$A:$A,match($C93,'Year Conversion'!$B:$B,0)),$Y:$Y,0))-I93,"")</f>
        <v>1</v>
      </c>
      <c r="AA93" s="168">
        <f t="array" ref="AA93">iferror(index(J:J,match($A93&amp;","&amp;index('Year Conversion'!$A:$A,match($C93,'Year Conversion'!$B:$B,0)),$Y:$Y,0))-J93,"")</f>
        <v>1.2426807</v>
      </c>
      <c r="AB93" s="168">
        <f t="array" ref="AB93">iferror(index(K:K,match($A93&amp;","&amp;index('Year Conversion'!$A:$A,match($C93,'Year Conversion'!$B:$B,0)),$Y:$Y,0))-K93,"")</f>
        <v>0.6110752953</v>
      </c>
      <c r="AC93" s="168" t="str">
        <f t="shared" si="7"/>
        <v>POR,2013-14</v>
      </c>
    </row>
    <row r="94">
      <c r="A94" s="161" t="str">
        <f>IFERROR(__xludf.DUMMYFUNCTION("""COMPUTED_VALUE"""),"nelsoja01")</f>
        <v>nelsoja01</v>
      </c>
      <c r="B94" s="161" t="str">
        <f>IFERROR(__xludf.DUMMYFUNCTION("""COMPUTED_VALUE"""),"Jameer Nelson")</f>
        <v>Jameer Nelson</v>
      </c>
      <c r="C94" s="162" t="str">
        <f>IFERROR(__xludf.DUMMYFUNCTION("""COMPUTED_VALUE"""),"2013-14")</f>
        <v>2013-14</v>
      </c>
      <c r="D94" s="163" t="str">
        <f>IFERROR(__xludf.DUMMYFUNCTION("""COMPUTED_VALUE"""),"ORL")</f>
        <v>ORL</v>
      </c>
      <c r="E94" s="164" t="str">
        <f>IFERROR(__xludf.DUMMYFUNCTION("""COMPUTED_VALUE"""),"Primary Ball Handler")</f>
        <v>Primary Ball Handler</v>
      </c>
      <c r="F94" s="164">
        <f>IFERROR(__xludf.DUMMYFUNCTION("""COMPUTED_VALUE"""),2178.98333333333)</f>
        <v>2178.983333</v>
      </c>
      <c r="G94" s="163">
        <f>IFERROR(__xludf.DUMMYFUNCTION("""COMPUTED_VALUE"""),68.0)</f>
        <v>68</v>
      </c>
      <c r="H94" s="163" t="str">
        <f>IFERROR(__xludf.DUMMYFUNCTION("""COMPUTED_VALUE"""),"PG")</f>
        <v>PG</v>
      </c>
      <c r="I94" s="163">
        <f>IFERROR(__xludf.DUMMYFUNCTION("""COMPUTED_VALUE"""),31.0)</f>
        <v>31</v>
      </c>
      <c r="J94" s="165">
        <f>IFERROR(__xludf.DUMMYFUNCTION("""COMPUTED_VALUE"""),0.280905871276611)</f>
        <v>0.2809058713</v>
      </c>
      <c r="K94" s="165">
        <f>IFERROR(__xludf.DUMMYFUNCTION("""COMPUTED_VALUE"""),1.56576915000552)</f>
        <v>1.56576915</v>
      </c>
      <c r="L94" s="165">
        <f>IFERROR(__xludf.DUMMYFUNCTION("""COMPUTED_VALUE"""),-1.28486327872891)</f>
        <v>-1.284863279</v>
      </c>
      <c r="M94" s="166">
        <f t="shared" si="2"/>
        <v>3.771885055</v>
      </c>
      <c r="N94" s="167">
        <f t="shared" si="3"/>
        <v>32.04387255</v>
      </c>
      <c r="O94" s="163">
        <f t="shared" ref="O94:Q94" si="98">rank(I94,I:I)</f>
        <v>490</v>
      </c>
      <c r="P94" s="163">
        <f t="shared" si="98"/>
        <v>1031</v>
      </c>
      <c r="Q94" s="163">
        <f t="shared" si="98"/>
        <v>301</v>
      </c>
      <c r="R94" s="163">
        <f>IFERROR(__xludf.DUMMYFUNCTION("RANK(M94,filter(M:M,C:C=C94))"),89.0)</f>
        <v>89</v>
      </c>
      <c r="S94" s="161" t="b">
        <f t="shared" si="5"/>
        <v>0</v>
      </c>
      <c r="T94" s="161" t="b">
        <f t="array" ref="T94">index('Query Tool'!B:B,match(H94,'Query Tool'!C:C,0))</f>
        <v>1</v>
      </c>
      <c r="U94" s="161" t="b">
        <f t="array" ref="U94">index('Query Tool'!B:B,match(C94,'Query Tool'!C:C,0))</f>
        <v>0</v>
      </c>
      <c r="V94" s="161" t="b">
        <f>F94&gt;='Query Tool'!C$32</f>
        <v>1</v>
      </c>
      <c r="W94" s="161" t="b">
        <f t="array" ref="W94">index(Dropdowns!B:B,match(I94,Dropdowns!A:A,0))</f>
        <v>1</v>
      </c>
      <c r="X94" s="161" t="b">
        <f t="array" ref="X94">index('Query Tool'!B:B,match(D94,'Query Tool'!C:C,0))</f>
        <v>1</v>
      </c>
      <c r="Y94" s="161" t="str">
        <f t="shared" si="6"/>
        <v>nelsoja01,2013-14</v>
      </c>
      <c r="Z94" s="168">
        <f t="array" ref="Z94">iferror(index(I:I,match($A94&amp;","&amp;index('Year Conversion'!$A:$A,match($C94,'Year Conversion'!$B:$B,0)),$Y:$Y,0))-I94,"")</f>
        <v>1</v>
      </c>
      <c r="AA94" s="168">
        <f t="array" ref="AA94">iferror(index(J:J,match($A94&amp;","&amp;index('Year Conversion'!$A:$A,match($C94,'Year Conversion'!$B:$B,0)),$Y:$Y,0))-J94,"")</f>
        <v>-0.533236654</v>
      </c>
      <c r="AB94" s="168">
        <f t="array" ref="AB94">iferror(index(K:K,match($A94&amp;","&amp;index('Year Conversion'!$A:$A,match($C94,'Year Conversion'!$B:$B,0)),$Y:$Y,0))-K94,"")</f>
        <v>-0.8903586925</v>
      </c>
      <c r="AC94" s="168" t="str">
        <f t="shared" si="7"/>
        <v>ORL,2013-14</v>
      </c>
    </row>
    <row r="95">
      <c r="A95" s="161" t="str">
        <f>IFERROR(__xludf.DUMMYFUNCTION("""COMPUTED_VALUE"""),"allento01")</f>
        <v>allento01</v>
      </c>
      <c r="B95" s="161" t="str">
        <f>IFERROR(__xludf.DUMMYFUNCTION("""COMPUTED_VALUE"""),"Tony Allen")</f>
        <v>Tony Allen</v>
      </c>
      <c r="C95" s="162" t="str">
        <f>IFERROR(__xludf.DUMMYFUNCTION("""COMPUTED_VALUE"""),"2013-14")</f>
        <v>2013-14</v>
      </c>
      <c r="D95" s="163" t="str">
        <f>IFERROR(__xludf.DUMMYFUNCTION("""COMPUTED_VALUE"""),"MEM")</f>
        <v>MEM</v>
      </c>
      <c r="E95" s="164" t="str">
        <f>IFERROR(__xludf.DUMMYFUNCTION("""COMPUTED_VALUE"""),"Athletic Finisher")</f>
        <v>Athletic Finisher</v>
      </c>
      <c r="F95" s="164">
        <f>IFERROR(__xludf.DUMMYFUNCTION("""COMPUTED_VALUE"""),1278.205)</f>
        <v>1278.205</v>
      </c>
      <c r="G95" s="163">
        <f>IFERROR(__xludf.DUMMYFUNCTION("""COMPUTED_VALUE"""),55.0)</f>
        <v>55</v>
      </c>
      <c r="H95" s="163" t="str">
        <f>IFERROR(__xludf.DUMMYFUNCTION("""COMPUTED_VALUE"""),"SG")</f>
        <v>SG</v>
      </c>
      <c r="I95" s="163">
        <f>IFERROR(__xludf.DUMMYFUNCTION("""COMPUTED_VALUE"""),32.0)</f>
        <v>32</v>
      </c>
      <c r="J95" s="165">
        <f>IFERROR(__xludf.DUMMYFUNCTION("""COMPUTED_VALUE"""),1.23268459093294)</f>
        <v>1.232684591</v>
      </c>
      <c r="K95" s="165">
        <f>IFERROR(__xludf.DUMMYFUNCTION("""COMPUTED_VALUE"""),-0.065916938713606)</f>
        <v>-0.06591693871</v>
      </c>
      <c r="L95" s="165">
        <f>IFERROR(__xludf.DUMMYFUNCTION("""COMPUTED_VALUE"""),1.29860152964655)</f>
        <v>1.29860153</v>
      </c>
      <c r="M95" s="166">
        <f t="shared" si="2"/>
        <v>3.030598767</v>
      </c>
      <c r="N95" s="167">
        <f t="shared" si="3"/>
        <v>23.24009091</v>
      </c>
      <c r="O95" s="163">
        <f t="shared" ref="O95:Q95" si="99">rank(I95,I:I)</f>
        <v>359</v>
      </c>
      <c r="P95" s="163">
        <f t="shared" si="99"/>
        <v>560</v>
      </c>
      <c r="Q95" s="163">
        <f t="shared" si="99"/>
        <v>1298</v>
      </c>
      <c r="R95" s="163">
        <f>IFERROR(__xludf.DUMMYFUNCTION("RANK(M95,filter(M:M,C:C=C95))"),110.0)</f>
        <v>110</v>
      </c>
      <c r="S95" s="161" t="b">
        <f t="shared" si="5"/>
        <v>0</v>
      </c>
      <c r="T95" s="161" t="b">
        <f t="array" ref="T95">index('Query Tool'!B:B,match(H95,'Query Tool'!C:C,0))</f>
        <v>1</v>
      </c>
      <c r="U95" s="161" t="b">
        <f t="array" ref="U95">index('Query Tool'!B:B,match(C95,'Query Tool'!C:C,0))</f>
        <v>0</v>
      </c>
      <c r="V95" s="161" t="b">
        <f>F95&gt;='Query Tool'!C$32</f>
        <v>1</v>
      </c>
      <c r="W95" s="161" t="b">
        <f t="array" ref="W95">index(Dropdowns!B:B,match(I95,Dropdowns!A:A,0))</f>
        <v>1</v>
      </c>
      <c r="X95" s="161" t="b">
        <f t="array" ref="X95">index('Query Tool'!B:B,match(D95,'Query Tool'!C:C,0))</f>
        <v>1</v>
      </c>
      <c r="Y95" s="161" t="str">
        <f t="shared" si="6"/>
        <v>allento01,2013-14</v>
      </c>
      <c r="Z95" s="168">
        <f t="array" ref="Z95">iferror(index(I:I,match($A95&amp;","&amp;index('Year Conversion'!$A:$A,match($C95,'Year Conversion'!$B:$B,0)),$Y:$Y,0))-I95,"")</f>
        <v>1</v>
      </c>
      <c r="AA95" s="168">
        <f t="array" ref="AA95">iferror(index(J:J,match($A95&amp;","&amp;index('Year Conversion'!$A:$A,match($C95,'Year Conversion'!$B:$B,0)),$Y:$Y,0))-J95,"")</f>
        <v>0.9628441101</v>
      </c>
      <c r="AB95" s="168">
        <f t="array" ref="AB95">iferror(index(K:K,match($A95&amp;","&amp;index('Year Conversion'!$A:$A,match($C95,'Year Conversion'!$B:$B,0)),$Y:$Y,0))-K95,"")</f>
        <v>-1.047024284</v>
      </c>
      <c r="AC95" s="168" t="str">
        <f t="shared" si="7"/>
        <v>MEM,2013-14</v>
      </c>
    </row>
    <row r="96">
      <c r="A96" s="161" t="str">
        <f>IFERROR(__xludf.DUMMYFUNCTION("""COMPUTED_VALUE"""),"martike02")</f>
        <v>martike02</v>
      </c>
      <c r="B96" s="161" t="str">
        <f>IFERROR(__xludf.DUMMYFUNCTION("""COMPUTED_VALUE"""),"Kevin Martin")</f>
        <v>Kevin Martin</v>
      </c>
      <c r="C96" s="162" t="str">
        <f>IFERROR(__xludf.DUMMYFUNCTION("""COMPUTED_VALUE"""),"2013-14")</f>
        <v>2013-14</v>
      </c>
      <c r="D96" s="163" t="str">
        <f>IFERROR(__xludf.DUMMYFUNCTION("""COMPUTED_VALUE"""),"MIN")</f>
        <v>MIN</v>
      </c>
      <c r="E96" s="164" t="str">
        <f>IFERROR(__xludf.DUMMYFUNCTION("""COMPUTED_VALUE"""),"Shot Creator")</f>
        <v>Shot Creator</v>
      </c>
      <c r="F96" s="164">
        <f>IFERROR(__xludf.DUMMYFUNCTION("""COMPUTED_VALUE"""),2176.91833333333)</f>
        <v>2176.918333</v>
      </c>
      <c r="G96" s="163">
        <f>IFERROR(__xludf.DUMMYFUNCTION("""COMPUTED_VALUE"""),68.0)</f>
        <v>68</v>
      </c>
      <c r="H96" s="163" t="str">
        <f>IFERROR(__xludf.DUMMYFUNCTION("""COMPUTED_VALUE"""),"SG")</f>
        <v>SG</v>
      </c>
      <c r="I96" s="163">
        <f>IFERROR(__xludf.DUMMYFUNCTION("""COMPUTED_VALUE"""),30.0)</f>
        <v>30</v>
      </c>
      <c r="J96" s="165">
        <f>IFERROR(__xludf.DUMMYFUNCTION("""COMPUTED_VALUE"""),-0.677102938738573)</f>
        <v>-0.6771029387</v>
      </c>
      <c r="K96" s="165">
        <f>IFERROR(__xludf.DUMMYFUNCTION("""COMPUTED_VALUE"""),0.465939828957094)</f>
        <v>0.465939829</v>
      </c>
      <c r="L96" s="165">
        <f>IFERROR(__xludf.DUMMYFUNCTION("""COMPUTED_VALUE"""),-1.14304276769567)</f>
        <v>-1.143042768</v>
      </c>
      <c r="M96" s="166">
        <f t="shared" si="2"/>
        <v>2.36296056</v>
      </c>
      <c r="N96" s="167">
        <f t="shared" si="3"/>
        <v>32.0135049</v>
      </c>
      <c r="O96" s="163">
        <f t="shared" ref="O96:Q96" si="100">rank(I96,I:I)</f>
        <v>655</v>
      </c>
      <c r="P96" s="163">
        <f t="shared" si="100"/>
        <v>2101</v>
      </c>
      <c r="Q96" s="163">
        <f t="shared" si="100"/>
        <v>787</v>
      </c>
      <c r="R96" s="163">
        <f>IFERROR(__xludf.DUMMYFUNCTION("RANK(M96,filter(M:M,C:C=C96))"),136.0)</f>
        <v>136</v>
      </c>
      <c r="S96" s="161" t="b">
        <f t="shared" si="5"/>
        <v>0</v>
      </c>
      <c r="T96" s="161" t="b">
        <f t="array" ref="T96">index('Query Tool'!B:B,match(H96,'Query Tool'!C:C,0))</f>
        <v>1</v>
      </c>
      <c r="U96" s="161" t="b">
        <f t="array" ref="U96">index('Query Tool'!B:B,match(C96,'Query Tool'!C:C,0))</f>
        <v>0</v>
      </c>
      <c r="V96" s="161" t="b">
        <f>F96&gt;='Query Tool'!C$32</f>
        <v>1</v>
      </c>
      <c r="W96" s="161" t="b">
        <f t="array" ref="W96">index(Dropdowns!B:B,match(I96,Dropdowns!A:A,0))</f>
        <v>1</v>
      </c>
      <c r="X96" s="161" t="b">
        <f t="array" ref="X96">index('Query Tool'!B:B,match(D96,'Query Tool'!C:C,0))</f>
        <v>1</v>
      </c>
      <c r="Y96" s="161" t="str">
        <f t="shared" si="6"/>
        <v>martike02,2013-14</v>
      </c>
      <c r="Z96" s="168">
        <f t="array" ref="Z96">iferror(index(I:I,match($A96&amp;","&amp;index('Year Conversion'!$A:$A,match($C96,'Year Conversion'!$B:$B,0)),$Y:$Y,0))-I96,"")</f>
        <v>1</v>
      </c>
      <c r="AA96" s="168">
        <f t="array" ref="AA96">iferror(index(J:J,match($A96&amp;","&amp;index('Year Conversion'!$A:$A,match($C96,'Year Conversion'!$B:$B,0)),$Y:$Y,0))-J96,"")</f>
        <v>-1.329786725</v>
      </c>
      <c r="AB96" s="168">
        <f t="array" ref="AB96">iferror(index(K:K,match($A96&amp;","&amp;index('Year Conversion'!$A:$A,match($C96,'Year Conversion'!$B:$B,0)),$Y:$Y,0))-K96,"")</f>
        <v>0.2565723151</v>
      </c>
      <c r="AC96" s="168" t="str">
        <f t="shared" si="7"/>
        <v>MIN,2013-14</v>
      </c>
    </row>
    <row r="97">
      <c r="A97" s="161" t="str">
        <f>IFERROR(__xludf.DUMMYFUNCTION("""COMPUTED_VALUE"""),"vujacsa01")</f>
        <v>vujacsa01</v>
      </c>
      <c r="B97" s="161" t="str">
        <f>IFERROR(__xludf.DUMMYFUNCTION("""COMPUTED_VALUE"""),"Sasha Vujacic")</f>
        <v>Sasha Vujacic</v>
      </c>
      <c r="C97" s="162" t="str">
        <f>IFERROR(__xludf.DUMMYFUNCTION("""COMPUTED_VALUE"""),"2013-14")</f>
        <v>2013-14</v>
      </c>
      <c r="D97" s="163" t="str">
        <f>IFERROR(__xludf.DUMMYFUNCTION("""COMPUTED_VALUE"""),"LAC")</f>
        <v>LAC</v>
      </c>
      <c r="E97" s="164" t="str">
        <f>IFERROR(__xludf.DUMMYFUNCTION("""COMPUTED_VALUE"""),"Off Screen Shooter")</f>
        <v>Off Screen Shooter</v>
      </c>
      <c r="F97" s="164">
        <f>IFERROR(__xludf.DUMMYFUNCTION("""COMPUTED_VALUE"""),10.3866666666667)</f>
        <v>10.38666667</v>
      </c>
      <c r="G97" s="163">
        <f>IFERROR(__xludf.DUMMYFUNCTION("""COMPUTED_VALUE"""),2.0)</f>
        <v>2</v>
      </c>
      <c r="H97" s="163" t="str">
        <f>IFERROR(__xludf.DUMMYFUNCTION("""COMPUTED_VALUE"""),"SG")</f>
        <v>SG</v>
      </c>
      <c r="I97" s="163">
        <f>IFERROR(__xludf.DUMMYFUNCTION("""COMPUTED_VALUE"""),29.0)</f>
        <v>29</v>
      </c>
      <c r="J97" s="165">
        <f>IFERROR(__xludf.DUMMYFUNCTION("""COMPUTED_VALUE"""),-1.61376779963784)</f>
        <v>-1.6137678</v>
      </c>
      <c r="K97" s="165">
        <f>IFERROR(__xludf.DUMMYFUNCTION("""COMPUTED_VALUE"""),-0.661192337835386)</f>
        <v>-0.6611923378</v>
      </c>
      <c r="L97" s="165">
        <f>IFERROR(__xludf.DUMMYFUNCTION("""COMPUTED_VALUE"""),-0.952575461802452)</f>
        <v>-0.9525754618</v>
      </c>
      <c r="M97" s="166">
        <f t="shared" si="2"/>
        <v>0.004752938205</v>
      </c>
      <c r="N97" s="167">
        <f t="shared" si="3"/>
        <v>5.193333333</v>
      </c>
      <c r="O97" s="163">
        <f t="shared" ref="O97:Q97" si="101">rank(I97,I:I)</f>
        <v>855</v>
      </c>
      <c r="P97" s="163">
        <f t="shared" si="101"/>
        <v>3160</v>
      </c>
      <c r="Q97" s="163">
        <f t="shared" si="101"/>
        <v>2352</v>
      </c>
      <c r="R97" s="163">
        <f>IFERROR(__xludf.DUMMYFUNCTION("RANK(M97,filter(M:M,C:C=C97))"),425.0)</f>
        <v>425</v>
      </c>
      <c r="S97" s="161" t="b">
        <f t="shared" si="5"/>
        <v>0</v>
      </c>
      <c r="T97" s="161" t="b">
        <f t="array" ref="T97">index('Query Tool'!B:B,match(H97,'Query Tool'!C:C,0))</f>
        <v>1</v>
      </c>
      <c r="U97" s="161" t="b">
        <f t="array" ref="U97">index('Query Tool'!B:B,match(C97,'Query Tool'!C:C,0))</f>
        <v>0</v>
      </c>
      <c r="V97" s="161" t="b">
        <f>F97&gt;='Query Tool'!C$32</f>
        <v>0</v>
      </c>
      <c r="W97" s="161" t="b">
        <f t="array" ref="W97">index(Dropdowns!B:B,match(I97,Dropdowns!A:A,0))</f>
        <v>1</v>
      </c>
      <c r="X97" s="161" t="b">
        <f t="array" ref="X97">index('Query Tool'!B:B,match(D97,'Query Tool'!C:C,0))</f>
        <v>1</v>
      </c>
      <c r="Y97" s="161" t="str">
        <f t="shared" si="6"/>
        <v>vujacsa01,2013-14</v>
      </c>
      <c r="Z97" s="168" t="str">
        <f t="array" ref="Z97">iferror(index(I:I,match($A97&amp;","&amp;index('Year Conversion'!$A:$A,match($C97,'Year Conversion'!$B:$B,0)),$Y:$Y,0))-I97,"")</f>
        <v/>
      </c>
      <c r="AA97" s="168" t="str">
        <f t="array" ref="AA97">iferror(index(J:J,match($A97&amp;","&amp;index('Year Conversion'!$A:$A,match($C97,'Year Conversion'!$B:$B,0)),$Y:$Y,0))-J97,"")</f>
        <v/>
      </c>
      <c r="AB97" s="168" t="str">
        <f t="array" ref="AB97">iferror(index(K:K,match($A97&amp;","&amp;index('Year Conversion'!$A:$A,match($C97,'Year Conversion'!$B:$B,0)),$Y:$Y,0))-K97,"")</f>
        <v/>
      </c>
      <c r="AC97" s="168" t="str">
        <f t="shared" si="7"/>
        <v>LAC,2013-14</v>
      </c>
    </row>
    <row r="98">
      <c r="A98" s="161" t="str">
        <f>IFERROR(__xludf.DUMMYFUNCTION("""COMPUTED_VALUE"""),"udrihbe01")</f>
        <v>udrihbe01</v>
      </c>
      <c r="B98" s="161" t="str">
        <f>IFERROR(__xludf.DUMMYFUNCTION("""COMPUTED_VALUE"""),"Beno Udrih")</f>
        <v>Beno Udrih</v>
      </c>
      <c r="C98" s="162" t="str">
        <f>IFERROR(__xludf.DUMMYFUNCTION("""COMPUTED_VALUE"""),"2013-14")</f>
        <v>2013-14</v>
      </c>
      <c r="D98" s="163" t="str">
        <f>IFERROR(__xludf.DUMMYFUNCTION("""COMPUTED_VALUE"""),"TOT")</f>
        <v>TOT</v>
      </c>
      <c r="E98" s="164" t="str">
        <f>IFERROR(__xludf.DUMMYFUNCTION("""COMPUTED_VALUE"""),"Secondary Ball Handler")</f>
        <v>Secondary Ball Handler</v>
      </c>
      <c r="F98" s="164">
        <f>IFERROR(__xludf.DUMMYFUNCTION("""COMPUTED_VALUE"""),642.916666666667)</f>
        <v>642.9166667</v>
      </c>
      <c r="G98" s="163">
        <f>IFERROR(__xludf.DUMMYFUNCTION("""COMPUTED_VALUE"""),41.0)</f>
        <v>41</v>
      </c>
      <c r="H98" s="163" t="str">
        <f>IFERROR(__xludf.DUMMYFUNCTION("""COMPUTED_VALUE"""),"SG")</f>
        <v>SG</v>
      </c>
      <c r="I98" s="163">
        <f>IFERROR(__xludf.DUMMYFUNCTION("""COMPUTED_VALUE"""),31.0)</f>
        <v>31</v>
      </c>
      <c r="J98" s="165">
        <f>IFERROR(__xludf.DUMMYFUNCTION("""COMPUTED_VALUE"""),-1.27233850331089)</f>
        <v>-1.272338503</v>
      </c>
      <c r="K98" s="165">
        <f>IFERROR(__xludf.DUMMYFUNCTION("""COMPUTED_VALUE"""),-0.611044019115317)</f>
        <v>-0.6110440191</v>
      </c>
      <c r="L98" s="165">
        <f>IFERROR(__xludf.DUMMYFUNCTION("""COMPUTED_VALUE"""),-0.661294484195574)</f>
        <v>-0.6612944842</v>
      </c>
      <c r="M98" s="166">
        <f t="shared" si="2"/>
        <v>0.4409076841</v>
      </c>
      <c r="N98" s="167">
        <f t="shared" si="3"/>
        <v>15.68089431</v>
      </c>
      <c r="O98" s="163">
        <f t="shared" ref="O98:Q98" si="102">rank(I98,I:I)</f>
        <v>490</v>
      </c>
      <c r="P98" s="163">
        <f t="shared" si="102"/>
        <v>2837</v>
      </c>
      <c r="Q98" s="163">
        <f t="shared" si="102"/>
        <v>2276</v>
      </c>
      <c r="R98" s="163">
        <f>IFERROR(__xludf.DUMMYFUNCTION("RANK(M98,filter(M:M,C:C=C98))"),286.0)</f>
        <v>286</v>
      </c>
      <c r="S98" s="161" t="b">
        <f t="shared" si="5"/>
        <v>0</v>
      </c>
      <c r="T98" s="161" t="b">
        <f t="array" ref="T98">index('Query Tool'!B:B,match(H98,'Query Tool'!C:C,0))</f>
        <v>1</v>
      </c>
      <c r="U98" s="161" t="b">
        <f t="array" ref="U98">index('Query Tool'!B:B,match(C98,'Query Tool'!C:C,0))</f>
        <v>0</v>
      </c>
      <c r="V98" s="161" t="b">
        <f>F98&gt;='Query Tool'!C$32</f>
        <v>1</v>
      </c>
      <c r="W98" s="161" t="b">
        <f t="array" ref="W98">index(Dropdowns!B:B,match(I98,Dropdowns!A:A,0))</f>
        <v>1</v>
      </c>
      <c r="X98" s="161" t="b">
        <f t="array" ref="X98">index('Query Tool'!B:B,match(D98,'Query Tool'!C:C,0))</f>
        <v>1</v>
      </c>
      <c r="Y98" s="161" t="str">
        <f t="shared" si="6"/>
        <v>udrihbe01,2013-14</v>
      </c>
      <c r="Z98" s="168">
        <f t="array" ref="Z98">iferror(index(I:I,match($A98&amp;","&amp;index('Year Conversion'!$A:$A,match($C98,'Year Conversion'!$B:$B,0)),$Y:$Y,0))-I98,"")</f>
        <v>1</v>
      </c>
      <c r="AA98" s="168">
        <f t="array" ref="AA98">iferror(index(J:J,match($A98&amp;","&amp;index('Year Conversion'!$A:$A,match($C98,'Year Conversion'!$B:$B,0)),$Y:$Y,0))-J98,"")</f>
        <v>1.122904792</v>
      </c>
      <c r="AB98" s="168">
        <f t="array" ref="AB98">iferror(index(K:K,match($A98&amp;","&amp;index('Year Conversion'!$A:$A,match($C98,'Year Conversion'!$B:$B,0)),$Y:$Y,0))-K98,"")</f>
        <v>1.125980195</v>
      </c>
      <c r="AC98" s="168" t="str">
        <f t="shared" si="7"/>
        <v>TOT,2013-14</v>
      </c>
    </row>
    <row r="99">
      <c r="A99" s="161" t="str">
        <f>IFERROR(__xludf.DUMMYFUNCTION("""COMPUTED_VALUE"""),"varejan01")</f>
        <v>varejan01</v>
      </c>
      <c r="B99" s="161" t="str">
        <f>IFERROR(__xludf.DUMMYFUNCTION("""COMPUTED_VALUE"""),"Anderson Varejao")</f>
        <v>Anderson Varejao</v>
      </c>
      <c r="C99" s="162" t="str">
        <f>IFERROR(__xludf.DUMMYFUNCTION("""COMPUTED_VALUE"""),"2013-14")</f>
        <v>2013-14</v>
      </c>
      <c r="D99" s="163" t="str">
        <f>IFERROR(__xludf.DUMMYFUNCTION("""COMPUTED_VALUE"""),"CLE")</f>
        <v>CLE</v>
      </c>
      <c r="E99" s="164" t="str">
        <f>IFERROR(__xludf.DUMMYFUNCTION("""COMPUTED_VALUE"""),"Roll + Cut Big")</f>
        <v>Roll + Cut Big</v>
      </c>
      <c r="F99" s="164">
        <f>IFERROR(__xludf.DUMMYFUNCTION("""COMPUTED_VALUE"""),1800.23833333333)</f>
        <v>1800.238333</v>
      </c>
      <c r="G99" s="163">
        <f>IFERROR(__xludf.DUMMYFUNCTION("""COMPUTED_VALUE"""),65.0)</f>
        <v>65</v>
      </c>
      <c r="H99" s="163" t="str">
        <f>IFERROR(__xludf.DUMMYFUNCTION("""COMPUTED_VALUE"""),"C")</f>
        <v>C</v>
      </c>
      <c r="I99" s="163">
        <f>IFERROR(__xludf.DUMMYFUNCTION("""COMPUTED_VALUE"""),31.0)</f>
        <v>31</v>
      </c>
      <c r="J99" s="165">
        <f>IFERROR(__xludf.DUMMYFUNCTION("""COMPUTED_VALUE"""),1.94487915353296)</f>
        <v>1.944879154</v>
      </c>
      <c r="K99" s="165">
        <f>IFERROR(__xludf.DUMMYFUNCTION("""COMPUTED_VALUE"""),0.132453180933952)</f>
        <v>0.1324531809</v>
      </c>
      <c r="L99" s="165">
        <f>IFERROR(__xludf.DUMMYFUNCTION("""COMPUTED_VALUE"""),1.81242597259901)</f>
        <v>1.812425973</v>
      </c>
      <c r="M99" s="166">
        <f t="shared" si="2"/>
        <v>5.123545743</v>
      </c>
      <c r="N99" s="167">
        <f t="shared" si="3"/>
        <v>27.69597436</v>
      </c>
      <c r="O99" s="163">
        <f t="shared" ref="O99:Q99" si="103">rank(I99,I:I)</f>
        <v>490</v>
      </c>
      <c r="P99" s="163">
        <f t="shared" si="103"/>
        <v>333</v>
      </c>
      <c r="Q99" s="163">
        <f t="shared" si="103"/>
        <v>1040</v>
      </c>
      <c r="R99" s="163">
        <f>IFERROR(__xludf.DUMMYFUNCTION("RANK(M99,filter(M:M,C:C=C99))"),66.0)</f>
        <v>66</v>
      </c>
      <c r="S99" s="161" t="b">
        <f t="shared" si="5"/>
        <v>0</v>
      </c>
      <c r="T99" s="161" t="b">
        <f t="array" ref="T99">index('Query Tool'!B:B,match(H99,'Query Tool'!C:C,0))</f>
        <v>1</v>
      </c>
      <c r="U99" s="161" t="b">
        <f t="array" ref="U99">index('Query Tool'!B:B,match(C99,'Query Tool'!C:C,0))</f>
        <v>0</v>
      </c>
      <c r="V99" s="161" t="b">
        <f>F99&gt;='Query Tool'!C$32</f>
        <v>1</v>
      </c>
      <c r="W99" s="161" t="b">
        <f t="array" ref="W99">index(Dropdowns!B:B,match(I99,Dropdowns!A:A,0))</f>
        <v>1</v>
      </c>
      <c r="X99" s="161" t="b">
        <f t="array" ref="X99">index('Query Tool'!B:B,match(D99,'Query Tool'!C:C,0))</f>
        <v>1</v>
      </c>
      <c r="Y99" s="161" t="str">
        <f t="shared" si="6"/>
        <v>varejan01,2013-14</v>
      </c>
      <c r="Z99" s="168">
        <f t="array" ref="Z99">iferror(index(I:I,match($A99&amp;","&amp;index('Year Conversion'!$A:$A,match($C99,'Year Conversion'!$B:$B,0)),$Y:$Y,0))-I99,"")</f>
        <v>1</v>
      </c>
      <c r="AA99" s="168">
        <f t="array" ref="AA99">iferror(index(J:J,match($A99&amp;","&amp;index('Year Conversion'!$A:$A,match($C99,'Year Conversion'!$B:$B,0)),$Y:$Y,0))-J99,"")</f>
        <v>-3.085467049</v>
      </c>
      <c r="AB99" s="168">
        <f t="array" ref="AB99">iferror(index(K:K,match($A99&amp;","&amp;index('Year Conversion'!$A:$A,match($C99,'Year Conversion'!$B:$B,0)),$Y:$Y,0))-K99,"")</f>
        <v>-1.398741083</v>
      </c>
      <c r="AC99" s="168" t="str">
        <f t="shared" si="7"/>
        <v>CLE,2013-14</v>
      </c>
    </row>
    <row r="100">
      <c r="A100" s="161" t="str">
        <f>IFERROR(__xludf.DUMMYFUNCTION("""COMPUTED_VALUE"""),"iveyro01")</f>
        <v>iveyro01</v>
      </c>
      <c r="B100" s="161" t="str">
        <f>IFERROR(__xludf.DUMMYFUNCTION("""COMPUTED_VALUE"""),"Royal Ivey")</f>
        <v>Royal Ivey</v>
      </c>
      <c r="C100" s="162" t="str">
        <f>IFERROR(__xludf.DUMMYFUNCTION("""COMPUTED_VALUE"""),"2013-14")</f>
        <v>2013-14</v>
      </c>
      <c r="D100" s="163" t="str">
        <f>IFERROR(__xludf.DUMMYFUNCTION("""COMPUTED_VALUE"""),"OKC")</f>
        <v>OKC</v>
      </c>
      <c r="E100" s="164" t="str">
        <f>IFERROR(__xludf.DUMMYFUNCTION("""COMPUTED_VALUE"""),"Stationary Shooter")</f>
        <v>Stationary Shooter</v>
      </c>
      <c r="F100" s="164">
        <f>IFERROR(__xludf.DUMMYFUNCTION("""COMPUTED_VALUE"""),4.8)</f>
        <v>4.8</v>
      </c>
      <c r="G100" s="163">
        <f>IFERROR(__xludf.DUMMYFUNCTION("""COMPUTED_VALUE"""),2.0)</f>
        <v>2</v>
      </c>
      <c r="H100" s="163" t="str">
        <f>IFERROR(__xludf.DUMMYFUNCTION("""COMPUTED_VALUE"""),"SG")</f>
        <v>SG</v>
      </c>
      <c r="I100" s="163">
        <f>IFERROR(__xludf.DUMMYFUNCTION("""COMPUTED_VALUE"""),32.0)</f>
        <v>32</v>
      </c>
      <c r="J100" s="165">
        <f>IFERROR(__xludf.DUMMYFUNCTION("""COMPUTED_VALUE"""),-0.981604706041076)</f>
        <v>-0.981604706</v>
      </c>
      <c r="K100" s="165">
        <f>IFERROR(__xludf.DUMMYFUNCTION("""COMPUTED_VALUE"""),-0.108926080025284)</f>
        <v>-0.10892608</v>
      </c>
      <c r="L100" s="165">
        <f>IFERROR(__xludf.DUMMYFUNCTION("""COMPUTED_VALUE"""),-0.872678626015791)</f>
        <v>-0.872678626</v>
      </c>
      <c r="M100" s="166">
        <f t="shared" si="2"/>
        <v>0.004227663282</v>
      </c>
      <c r="N100" s="167">
        <f t="shared" si="3"/>
        <v>2.4</v>
      </c>
      <c r="O100" s="163">
        <f t="shared" ref="O100:Q100" si="104">rank(I100,I:I)</f>
        <v>359</v>
      </c>
      <c r="P100" s="163">
        <f t="shared" si="104"/>
        <v>2483</v>
      </c>
      <c r="Q100" s="163">
        <f t="shared" si="104"/>
        <v>1387</v>
      </c>
      <c r="R100" s="163">
        <f>IFERROR(__xludf.DUMMYFUNCTION("RANK(M100,filter(M:M,C:C=C100))"),426.0)</f>
        <v>426</v>
      </c>
      <c r="S100" s="161" t="b">
        <f t="shared" si="5"/>
        <v>0</v>
      </c>
      <c r="T100" s="161" t="b">
        <f t="array" ref="T100">index('Query Tool'!B:B,match(H100,'Query Tool'!C:C,0))</f>
        <v>1</v>
      </c>
      <c r="U100" s="161" t="b">
        <f t="array" ref="U100">index('Query Tool'!B:B,match(C100,'Query Tool'!C:C,0))</f>
        <v>0</v>
      </c>
      <c r="V100" s="161" t="b">
        <f>F100&gt;='Query Tool'!C$32</f>
        <v>0</v>
      </c>
      <c r="W100" s="161" t="b">
        <f t="array" ref="W100">index(Dropdowns!B:B,match(I100,Dropdowns!A:A,0))</f>
        <v>1</v>
      </c>
      <c r="X100" s="161" t="b">
        <f t="array" ref="X100">index('Query Tool'!B:B,match(D100,'Query Tool'!C:C,0))</f>
        <v>1</v>
      </c>
      <c r="Y100" s="161" t="str">
        <f t="shared" si="6"/>
        <v>iveyro01,2013-14</v>
      </c>
      <c r="Z100" s="168" t="str">
        <f t="array" ref="Z100">iferror(index(I:I,match($A100&amp;","&amp;index('Year Conversion'!$A:$A,match($C100,'Year Conversion'!$B:$B,0)),$Y:$Y,0))-I100,"")</f>
        <v/>
      </c>
      <c r="AA100" s="168" t="str">
        <f t="array" ref="AA100">iferror(index(J:J,match($A100&amp;","&amp;index('Year Conversion'!$A:$A,match($C100,'Year Conversion'!$B:$B,0)),$Y:$Y,0))-J100,"")</f>
        <v/>
      </c>
      <c r="AB100" s="168" t="str">
        <f t="array" ref="AB100">iferror(index(K:K,match($A100&amp;","&amp;index('Year Conversion'!$A:$A,match($C100,'Year Conversion'!$B:$B,0)),$Y:$Y,0))-K100,"")</f>
        <v/>
      </c>
      <c r="AC100" s="168" t="str">
        <f t="shared" si="7"/>
        <v>OKC,2013-14</v>
      </c>
    </row>
    <row r="101">
      <c r="A101" s="161" t="str">
        <f>IFERROR(__xludf.DUMMYFUNCTION("""COMPUTED_VALUE"""),"arizatr01")</f>
        <v>arizatr01</v>
      </c>
      <c r="B101" s="161" t="str">
        <f>IFERROR(__xludf.DUMMYFUNCTION("""COMPUTED_VALUE"""),"Trevor Ariza")</f>
        <v>Trevor Ariza</v>
      </c>
      <c r="C101" s="162" t="str">
        <f>IFERROR(__xludf.DUMMYFUNCTION("""COMPUTED_VALUE"""),"2013-14")</f>
        <v>2013-14</v>
      </c>
      <c r="D101" s="163" t="str">
        <f>IFERROR(__xludf.DUMMYFUNCTION("""COMPUTED_VALUE"""),"WAS")</f>
        <v>WAS</v>
      </c>
      <c r="E101" s="164" t="str">
        <f>IFERROR(__xludf.DUMMYFUNCTION("""COMPUTED_VALUE"""),"Stationary Shooter")</f>
        <v>Stationary Shooter</v>
      </c>
      <c r="F101" s="164">
        <f>IFERROR(__xludf.DUMMYFUNCTION("""COMPUTED_VALUE"""),2722.54)</f>
        <v>2722.54</v>
      </c>
      <c r="G101" s="163">
        <f>IFERROR(__xludf.DUMMYFUNCTION("""COMPUTED_VALUE"""),77.0)</f>
        <v>77</v>
      </c>
      <c r="H101" s="163" t="str">
        <f>IFERROR(__xludf.DUMMYFUNCTION("""COMPUTED_VALUE"""),"SF")</f>
        <v>SF</v>
      </c>
      <c r="I101" s="163">
        <f>IFERROR(__xludf.DUMMYFUNCTION("""COMPUTED_VALUE"""),28.0)</f>
        <v>28</v>
      </c>
      <c r="J101" s="165">
        <f>IFERROR(__xludf.DUMMYFUNCTION("""COMPUTED_VALUE"""),0.780872409244942)</f>
        <v>0.7808724092</v>
      </c>
      <c r="K101" s="165">
        <f>IFERROR(__xludf.DUMMYFUNCTION("""COMPUTED_VALUE"""),0.0624164607114546)</f>
        <v>0.06241646071</v>
      </c>
      <c r="L101" s="165">
        <f>IFERROR(__xludf.DUMMYFUNCTION("""COMPUTED_VALUE"""),0.718455948533487)</f>
        <v>0.7184559485</v>
      </c>
      <c r="M101" s="166">
        <f t="shared" si="2"/>
        <v>5.629334427</v>
      </c>
      <c r="N101" s="167">
        <f t="shared" si="3"/>
        <v>35.35766234</v>
      </c>
      <c r="O101" s="163">
        <f t="shared" ref="O101:Q101" si="105">rank(I101,I:I)</f>
        <v>1090</v>
      </c>
      <c r="P101" s="163">
        <f t="shared" si="105"/>
        <v>756</v>
      </c>
      <c r="Q101" s="163">
        <f t="shared" si="105"/>
        <v>1118</v>
      </c>
      <c r="R101" s="163">
        <f>IFERROR(__xludf.DUMMYFUNCTION("RANK(M101,filter(M:M,C:C=C101))"),59.0)</f>
        <v>59</v>
      </c>
      <c r="S101" s="161" t="b">
        <f t="shared" si="5"/>
        <v>0</v>
      </c>
      <c r="T101" s="161" t="b">
        <f t="array" ref="T101">index('Query Tool'!B:B,match(H101,'Query Tool'!C:C,0))</f>
        <v>1</v>
      </c>
      <c r="U101" s="161" t="b">
        <f t="array" ref="U101">index('Query Tool'!B:B,match(C101,'Query Tool'!C:C,0))</f>
        <v>0</v>
      </c>
      <c r="V101" s="161" t="b">
        <f>F101&gt;='Query Tool'!C$32</f>
        <v>1</v>
      </c>
      <c r="W101" s="161" t="b">
        <f t="array" ref="W101">index(Dropdowns!B:B,match(I101,Dropdowns!A:A,0))</f>
        <v>1</v>
      </c>
      <c r="X101" s="161" t="b">
        <f t="array" ref="X101">index('Query Tool'!B:B,match(D101,'Query Tool'!C:C,0))</f>
        <v>1</v>
      </c>
      <c r="Y101" s="161" t="str">
        <f t="shared" si="6"/>
        <v>arizatr01,2013-14</v>
      </c>
      <c r="Z101" s="168">
        <f t="array" ref="Z101">iferror(index(I:I,match($A101&amp;","&amp;index('Year Conversion'!$A:$A,match($C101,'Year Conversion'!$B:$B,0)),$Y:$Y,0))-I101,"")</f>
        <v>1</v>
      </c>
      <c r="AA101" s="168">
        <f t="array" ref="AA101">iferror(index(J:J,match($A101&amp;","&amp;index('Year Conversion'!$A:$A,match($C101,'Year Conversion'!$B:$B,0)),$Y:$Y,0))-J101,"")</f>
        <v>0.1077687191</v>
      </c>
      <c r="AB101" s="168">
        <f t="array" ref="AB101">iferror(index(K:K,match($A101&amp;","&amp;index('Year Conversion'!$A:$A,match($C101,'Year Conversion'!$B:$B,0)),$Y:$Y,0))-K101,"")</f>
        <v>-0.05312707313</v>
      </c>
      <c r="AC101" s="168" t="str">
        <f t="shared" si="7"/>
        <v>WAS,2013-14</v>
      </c>
    </row>
    <row r="102">
      <c r="A102" s="161" t="str">
        <f>IFERROR(__xludf.DUMMYFUNCTION("""COMPUTED_VALUE"""),"bogutan01")</f>
        <v>bogutan01</v>
      </c>
      <c r="B102" s="161" t="str">
        <f>IFERROR(__xludf.DUMMYFUNCTION("""COMPUTED_VALUE"""),"Andrew Bogut")</f>
        <v>Andrew Bogut</v>
      </c>
      <c r="C102" s="162" t="str">
        <f>IFERROR(__xludf.DUMMYFUNCTION("""COMPUTED_VALUE"""),"2013-14")</f>
        <v>2013-14</v>
      </c>
      <c r="D102" s="163" t="str">
        <f>IFERROR(__xludf.DUMMYFUNCTION("""COMPUTED_VALUE"""),"GSW")</f>
        <v>GSW</v>
      </c>
      <c r="E102" s="164" t="str">
        <f>IFERROR(__xludf.DUMMYFUNCTION("""COMPUTED_VALUE"""),"Roll + Cut Big")</f>
        <v>Roll + Cut Big</v>
      </c>
      <c r="F102" s="164">
        <f>IFERROR(__xludf.DUMMYFUNCTION("""COMPUTED_VALUE"""),1769.40833333333)</f>
        <v>1769.408333</v>
      </c>
      <c r="G102" s="163">
        <f>IFERROR(__xludf.DUMMYFUNCTION("""COMPUTED_VALUE"""),67.0)</f>
        <v>67</v>
      </c>
      <c r="H102" s="163" t="str">
        <f>IFERROR(__xludf.DUMMYFUNCTION("""COMPUTED_VALUE"""),"C")</f>
        <v>C</v>
      </c>
      <c r="I102" s="163">
        <f>IFERROR(__xludf.DUMMYFUNCTION("""COMPUTED_VALUE"""),29.0)</f>
        <v>29</v>
      </c>
      <c r="J102" s="165">
        <f>IFERROR(__xludf.DUMMYFUNCTION("""COMPUTED_VALUE"""),2.32581713956719)</f>
        <v>2.32581714</v>
      </c>
      <c r="K102" s="165">
        <f>IFERROR(__xludf.DUMMYFUNCTION("""COMPUTED_VALUE"""),-1.34468789902032)</f>
        <v>-1.344687899</v>
      </c>
      <c r="L102" s="165">
        <f>IFERROR(__xludf.DUMMYFUNCTION("""COMPUTED_VALUE"""),3.6705050385875)</f>
        <v>3.670505039</v>
      </c>
      <c r="M102" s="166">
        <f t="shared" si="2"/>
        <v>5.481681213</v>
      </c>
      <c r="N102" s="167">
        <f t="shared" si="3"/>
        <v>26.4090796</v>
      </c>
      <c r="O102" s="163">
        <f t="shared" ref="O102:Q102" si="106">rank(I102,I:I)</f>
        <v>855</v>
      </c>
      <c r="P102" s="163">
        <f t="shared" si="106"/>
        <v>253</v>
      </c>
      <c r="Q102" s="163">
        <f t="shared" si="106"/>
        <v>3199</v>
      </c>
      <c r="R102" s="163">
        <f>IFERROR(__xludf.DUMMYFUNCTION("RANK(M102,filter(M:M,C:C=C102))"),61.0)</f>
        <v>61</v>
      </c>
      <c r="S102" s="161" t="b">
        <f t="shared" si="5"/>
        <v>0</v>
      </c>
      <c r="T102" s="161" t="b">
        <f t="array" ref="T102">index('Query Tool'!B:B,match(H102,'Query Tool'!C:C,0))</f>
        <v>1</v>
      </c>
      <c r="U102" s="161" t="b">
        <f t="array" ref="U102">index('Query Tool'!B:B,match(C102,'Query Tool'!C:C,0))</f>
        <v>0</v>
      </c>
      <c r="V102" s="161" t="b">
        <f>F102&gt;='Query Tool'!C$32</f>
        <v>1</v>
      </c>
      <c r="W102" s="161" t="b">
        <f t="array" ref="W102">index(Dropdowns!B:B,match(I102,Dropdowns!A:A,0))</f>
        <v>1</v>
      </c>
      <c r="X102" s="161" t="b">
        <f t="array" ref="X102">index('Query Tool'!B:B,match(D102,'Query Tool'!C:C,0))</f>
        <v>1</v>
      </c>
      <c r="Y102" s="161" t="str">
        <f t="shared" si="6"/>
        <v>bogutan01,2013-14</v>
      </c>
      <c r="Z102" s="168">
        <f t="array" ref="Z102">iferror(index(I:I,match($A102&amp;","&amp;index('Year Conversion'!$A:$A,match($C102,'Year Conversion'!$B:$B,0)),$Y:$Y,0))-I102,"")</f>
        <v>1</v>
      </c>
      <c r="AA102" s="168">
        <f t="array" ref="AA102">iferror(index(J:J,match($A102&amp;","&amp;index('Year Conversion'!$A:$A,match($C102,'Year Conversion'!$B:$B,0)),$Y:$Y,0))-J102,"")</f>
        <v>0.03777395661</v>
      </c>
      <c r="AB102" s="168">
        <f t="array" ref="AB102">iferror(index(K:K,match($A102&amp;","&amp;index('Year Conversion'!$A:$A,match($C102,'Year Conversion'!$B:$B,0)),$Y:$Y,0))-K102,"")</f>
        <v>-0.3370718038</v>
      </c>
      <c r="AC102" s="168" t="str">
        <f t="shared" si="7"/>
        <v>GSW,2013-14</v>
      </c>
    </row>
    <row r="103">
      <c r="A103" s="161" t="str">
        <f>IFERROR(__xludf.DUMMYFUNCTION("""COMPUTED_VALUE"""),"willima02")</f>
        <v>willima02</v>
      </c>
      <c r="B103" s="161" t="str">
        <f>IFERROR(__xludf.DUMMYFUNCTION("""COMPUTED_VALUE"""),"Marvin Williams")</f>
        <v>Marvin Williams</v>
      </c>
      <c r="C103" s="162" t="str">
        <f>IFERROR(__xludf.DUMMYFUNCTION("""COMPUTED_VALUE"""),"2013-14")</f>
        <v>2013-14</v>
      </c>
      <c r="D103" s="163" t="str">
        <f>IFERROR(__xludf.DUMMYFUNCTION("""COMPUTED_VALUE"""),"UTA")</f>
        <v>UTA</v>
      </c>
      <c r="E103" s="164" t="str">
        <f>IFERROR(__xludf.DUMMYFUNCTION("""COMPUTED_VALUE"""),"Athletic Finisher")</f>
        <v>Athletic Finisher</v>
      </c>
      <c r="F103" s="164">
        <f>IFERROR(__xludf.DUMMYFUNCTION("""COMPUTED_VALUE"""),1673.58166666667)</f>
        <v>1673.581667</v>
      </c>
      <c r="G103" s="163">
        <f>IFERROR(__xludf.DUMMYFUNCTION("""COMPUTED_VALUE"""),66.0)</f>
        <v>66</v>
      </c>
      <c r="H103" s="163" t="str">
        <f>IFERROR(__xludf.DUMMYFUNCTION("""COMPUTED_VALUE"""),"PF")</f>
        <v>PF</v>
      </c>
      <c r="I103" s="163">
        <f>IFERROR(__xludf.DUMMYFUNCTION("""COMPUTED_VALUE"""),27.0)</f>
        <v>27</v>
      </c>
      <c r="J103" s="165">
        <f>IFERROR(__xludf.DUMMYFUNCTION("""COMPUTED_VALUE"""),0.0605887545690547)</f>
        <v>0.06058875457</v>
      </c>
      <c r="K103" s="165">
        <f>IFERROR(__xludf.DUMMYFUNCTION("""COMPUTED_VALUE"""),0.229094109841939)</f>
        <v>0.2290941098</v>
      </c>
      <c r="L103" s="165">
        <f>IFERROR(__xludf.DUMMYFUNCTION("""COMPUTED_VALUE"""),-0.168505355272885)</f>
        <v>-0.1685053553</v>
      </c>
      <c r="M103" s="166">
        <f t="shared" si="2"/>
        <v>2.648467722</v>
      </c>
      <c r="N103" s="167">
        <f t="shared" si="3"/>
        <v>25.35729798</v>
      </c>
      <c r="O103" s="163">
        <f t="shared" ref="O103:Q103" si="107">rank(I103,I:I)</f>
        <v>1366</v>
      </c>
      <c r="P103" s="163">
        <f t="shared" si="107"/>
        <v>1233</v>
      </c>
      <c r="Q103" s="163">
        <f t="shared" si="107"/>
        <v>962</v>
      </c>
      <c r="R103" s="163">
        <f>IFERROR(__xludf.DUMMYFUNCTION("RANK(M103,filter(M:M,C:C=C103))"),127.0)</f>
        <v>127</v>
      </c>
      <c r="S103" s="161" t="b">
        <f t="shared" si="5"/>
        <v>0</v>
      </c>
      <c r="T103" s="161" t="b">
        <f t="array" ref="T103">index('Query Tool'!B:B,match(H103,'Query Tool'!C:C,0))</f>
        <v>1</v>
      </c>
      <c r="U103" s="161" t="b">
        <f t="array" ref="U103">index('Query Tool'!B:B,match(C103,'Query Tool'!C:C,0))</f>
        <v>0</v>
      </c>
      <c r="V103" s="161" t="b">
        <f>F103&gt;='Query Tool'!C$32</f>
        <v>1</v>
      </c>
      <c r="W103" s="161" t="b">
        <f t="array" ref="W103">index(Dropdowns!B:B,match(I103,Dropdowns!A:A,0))</f>
        <v>1</v>
      </c>
      <c r="X103" s="161" t="b">
        <f t="array" ref="X103">index('Query Tool'!B:B,match(D103,'Query Tool'!C:C,0))</f>
        <v>1</v>
      </c>
      <c r="Y103" s="161" t="str">
        <f t="shared" si="6"/>
        <v>willima02,2013-14</v>
      </c>
      <c r="Z103" s="168">
        <f t="array" ref="Z103">iferror(index(I:I,match($A103&amp;","&amp;index('Year Conversion'!$A:$A,match($C103,'Year Conversion'!$B:$B,0)),$Y:$Y,0))-I103,"")</f>
        <v>1</v>
      </c>
      <c r="AA103" s="168">
        <f t="array" ref="AA103">iferror(index(J:J,match($A103&amp;","&amp;index('Year Conversion'!$A:$A,match($C103,'Year Conversion'!$B:$B,0)),$Y:$Y,0))-J103,"")</f>
        <v>-1.128843236</v>
      </c>
      <c r="AB103" s="168">
        <f t="array" ref="AB103">iferror(index(K:K,match($A103&amp;","&amp;index('Year Conversion'!$A:$A,match($C103,'Year Conversion'!$B:$B,0)),$Y:$Y,0))-K103,"")</f>
        <v>-1.387699863</v>
      </c>
      <c r="AC103" s="168" t="str">
        <f t="shared" si="7"/>
        <v>UTA,2013-14</v>
      </c>
    </row>
    <row r="104">
      <c r="A104" s="161" t="str">
        <f>IFERROR(__xludf.DUMMYFUNCTION("""COMPUTED_VALUE"""),"paulch01")</f>
        <v>paulch01</v>
      </c>
      <c r="B104" s="161" t="str">
        <f>IFERROR(__xludf.DUMMYFUNCTION("""COMPUTED_VALUE"""),"Chris Paul")</f>
        <v>Chris Paul</v>
      </c>
      <c r="C104" s="162" t="str">
        <f>IFERROR(__xludf.DUMMYFUNCTION("""COMPUTED_VALUE"""),"2013-14")</f>
        <v>2013-14</v>
      </c>
      <c r="D104" s="163" t="str">
        <f>IFERROR(__xludf.DUMMYFUNCTION("""COMPUTED_VALUE"""),"LAC")</f>
        <v>LAC</v>
      </c>
      <c r="E104" s="164" t="str">
        <f>IFERROR(__xludf.DUMMYFUNCTION("""COMPUTED_VALUE"""),"Shot Creator")</f>
        <v>Shot Creator</v>
      </c>
      <c r="F104" s="164">
        <f>IFERROR(__xludf.DUMMYFUNCTION("""COMPUTED_VALUE"""),2170.98333333333)</f>
        <v>2170.983333</v>
      </c>
      <c r="G104" s="163">
        <f>IFERROR(__xludf.DUMMYFUNCTION("""COMPUTED_VALUE"""),62.0)</f>
        <v>62</v>
      </c>
      <c r="H104" s="163" t="str">
        <f>IFERROR(__xludf.DUMMYFUNCTION("""COMPUTED_VALUE"""),"PG")</f>
        <v>PG</v>
      </c>
      <c r="I104" s="163">
        <f>IFERROR(__xludf.DUMMYFUNCTION("""COMPUTED_VALUE"""),28.0)</f>
        <v>28</v>
      </c>
      <c r="J104" s="165">
        <f>IFERROR(__xludf.DUMMYFUNCTION("""COMPUTED_VALUE"""),6.69427400799064)</f>
        <v>6.694274008</v>
      </c>
      <c r="K104" s="165">
        <f>IFERROR(__xludf.DUMMYFUNCTION("""COMPUTED_VALUE"""),4.81708168702629)</f>
        <v>4.817081687</v>
      </c>
      <c r="L104" s="165">
        <f>IFERROR(__xludf.DUMMYFUNCTION("""COMPUTED_VALUE"""),1.87719232096435)</f>
        <v>1.877192321</v>
      </c>
      <c r="M104" s="166">
        <f t="shared" si="2"/>
        <v>12.57733696</v>
      </c>
      <c r="N104" s="167">
        <f t="shared" si="3"/>
        <v>35.01586022</v>
      </c>
      <c r="O104" s="163">
        <f t="shared" ref="O104:Q104" si="108">rank(I104,I:I)</f>
        <v>1090</v>
      </c>
      <c r="P104" s="163">
        <f t="shared" si="108"/>
        <v>7</v>
      </c>
      <c r="Q104" s="163">
        <f t="shared" si="108"/>
        <v>33</v>
      </c>
      <c r="R104" s="163">
        <f>IFERROR(__xludf.DUMMYFUNCTION("RANK(M104,filter(M:M,C:C=C104))"),6.0)</f>
        <v>6</v>
      </c>
      <c r="S104" s="161" t="b">
        <f t="shared" si="5"/>
        <v>0</v>
      </c>
      <c r="T104" s="161" t="b">
        <f t="array" ref="T104">index('Query Tool'!B:B,match(H104,'Query Tool'!C:C,0))</f>
        <v>1</v>
      </c>
      <c r="U104" s="161" t="b">
        <f t="array" ref="U104">index('Query Tool'!B:B,match(C104,'Query Tool'!C:C,0))</f>
        <v>0</v>
      </c>
      <c r="V104" s="161" t="b">
        <f>F104&gt;='Query Tool'!C$32</f>
        <v>1</v>
      </c>
      <c r="W104" s="161" t="b">
        <f t="array" ref="W104">index(Dropdowns!B:B,match(I104,Dropdowns!A:A,0))</f>
        <v>1</v>
      </c>
      <c r="X104" s="161" t="b">
        <f t="array" ref="X104">index('Query Tool'!B:B,match(D104,'Query Tool'!C:C,0))</f>
        <v>1</v>
      </c>
      <c r="Y104" s="161" t="str">
        <f t="shared" si="6"/>
        <v>paulch01,2013-14</v>
      </c>
      <c r="Z104" s="168">
        <f t="array" ref="Z104">iferror(index(I:I,match($A104&amp;","&amp;index('Year Conversion'!$A:$A,match($C104,'Year Conversion'!$B:$B,0)),$Y:$Y,0))-I104,"")</f>
        <v>1</v>
      </c>
      <c r="AA104" s="168">
        <f t="array" ref="AA104">iferror(index(J:J,match($A104&amp;","&amp;index('Year Conversion'!$A:$A,match($C104,'Year Conversion'!$B:$B,0)),$Y:$Y,0))-J104,"")</f>
        <v>-0.9197585509</v>
      </c>
      <c r="AB104" s="168">
        <f t="array" ref="AB104">iferror(index(K:K,match($A104&amp;","&amp;index('Year Conversion'!$A:$A,match($C104,'Year Conversion'!$B:$B,0)),$Y:$Y,0))-K104,"")</f>
        <v>0.406900991</v>
      </c>
      <c r="AC104" s="168" t="str">
        <f t="shared" si="7"/>
        <v>LAC,2013-14</v>
      </c>
    </row>
    <row r="105">
      <c r="A105" s="161" t="str">
        <f>IFERROR(__xludf.DUMMYFUNCTION("""COMPUTED_VALUE"""),"feltora01")</f>
        <v>feltora01</v>
      </c>
      <c r="B105" s="161" t="str">
        <f>IFERROR(__xludf.DUMMYFUNCTION("""COMPUTED_VALUE"""),"Raymond Felton")</f>
        <v>Raymond Felton</v>
      </c>
      <c r="C105" s="162" t="str">
        <f>IFERROR(__xludf.DUMMYFUNCTION("""COMPUTED_VALUE"""),"2013-14")</f>
        <v>2013-14</v>
      </c>
      <c r="D105" s="163" t="str">
        <f>IFERROR(__xludf.DUMMYFUNCTION("""COMPUTED_VALUE"""),"NYK")</f>
        <v>NYK</v>
      </c>
      <c r="E105" s="164" t="str">
        <f>IFERROR(__xludf.DUMMYFUNCTION("""COMPUTED_VALUE"""),"Primary Ball Handler")</f>
        <v>Primary Ball Handler</v>
      </c>
      <c r="F105" s="164">
        <f>IFERROR(__xludf.DUMMYFUNCTION("""COMPUTED_VALUE"""),2017.31)</f>
        <v>2017.31</v>
      </c>
      <c r="G105" s="163">
        <f>IFERROR(__xludf.DUMMYFUNCTION("""COMPUTED_VALUE"""),65.0)</f>
        <v>65</v>
      </c>
      <c r="H105" s="163" t="str">
        <f>IFERROR(__xludf.DUMMYFUNCTION("""COMPUTED_VALUE"""),"PG")</f>
        <v>PG</v>
      </c>
      <c r="I105" s="163">
        <f>IFERROR(__xludf.DUMMYFUNCTION("""COMPUTED_VALUE"""),29.0)</f>
        <v>29</v>
      </c>
      <c r="J105" s="165">
        <f>IFERROR(__xludf.DUMMYFUNCTION("""COMPUTED_VALUE"""),-0.145157002573542)</f>
        <v>-0.1451570026</v>
      </c>
      <c r="K105" s="165">
        <f>IFERROR(__xludf.DUMMYFUNCTION("""COMPUTED_VALUE"""),0.023346836955057)</f>
        <v>0.02334683696</v>
      </c>
      <c r="L105" s="165">
        <f>IFERROR(__xludf.DUMMYFUNCTION("""COMPUTED_VALUE"""),-0.168503839528599)</f>
        <v>-0.1685038395</v>
      </c>
      <c r="M105" s="166">
        <f t="shared" si="2"/>
        <v>2.912604601</v>
      </c>
      <c r="N105" s="167">
        <f t="shared" si="3"/>
        <v>31.03553846</v>
      </c>
      <c r="O105" s="163">
        <f t="shared" ref="O105:Q105" si="109">rank(I105,I:I)</f>
        <v>855</v>
      </c>
      <c r="P105" s="163">
        <f t="shared" si="109"/>
        <v>1432</v>
      </c>
      <c r="Q105" s="163">
        <f t="shared" si="109"/>
        <v>1169</v>
      </c>
      <c r="R105" s="163">
        <f>IFERROR(__xludf.DUMMYFUNCTION("RANK(M105,filter(M:M,C:C=C105))"),114.0)</f>
        <v>114</v>
      </c>
      <c r="S105" s="161" t="b">
        <f t="shared" si="5"/>
        <v>0</v>
      </c>
      <c r="T105" s="161" t="b">
        <f t="array" ref="T105">index('Query Tool'!B:B,match(H105,'Query Tool'!C:C,0))</f>
        <v>1</v>
      </c>
      <c r="U105" s="161" t="b">
        <f t="array" ref="U105">index('Query Tool'!B:B,match(C105,'Query Tool'!C:C,0))</f>
        <v>0</v>
      </c>
      <c r="V105" s="161" t="b">
        <f>F105&gt;='Query Tool'!C$32</f>
        <v>1</v>
      </c>
      <c r="W105" s="161" t="b">
        <f t="array" ref="W105">index(Dropdowns!B:B,match(I105,Dropdowns!A:A,0))</f>
        <v>1</v>
      </c>
      <c r="X105" s="161" t="b">
        <f t="array" ref="X105">index('Query Tool'!B:B,match(D105,'Query Tool'!C:C,0))</f>
        <v>1</v>
      </c>
      <c r="Y105" s="161" t="str">
        <f t="shared" si="6"/>
        <v>feltora01,2013-14</v>
      </c>
      <c r="Z105" s="168">
        <f t="array" ref="Z105">iferror(index(I:I,match($A105&amp;","&amp;index('Year Conversion'!$A:$A,match($C105,'Year Conversion'!$B:$B,0)),$Y:$Y,0))-I105,"")</f>
        <v>1</v>
      </c>
      <c r="AA105" s="168">
        <f t="array" ref="AA105">iferror(index(J:J,match($A105&amp;","&amp;index('Year Conversion'!$A:$A,match($C105,'Year Conversion'!$B:$B,0)),$Y:$Y,0))-J105,"")</f>
        <v>-1.35671854</v>
      </c>
      <c r="AB105" s="168">
        <f t="array" ref="AB105">iferror(index(K:K,match($A105&amp;","&amp;index('Year Conversion'!$A:$A,match($C105,'Year Conversion'!$B:$B,0)),$Y:$Y,0))-K105,"")</f>
        <v>-0.5967651146</v>
      </c>
      <c r="AC105" s="168" t="str">
        <f t="shared" si="7"/>
        <v>NYK,2013-14</v>
      </c>
    </row>
    <row r="106">
      <c r="A106" s="161" t="str">
        <f>IFERROR(__xludf.DUMMYFUNCTION("""COMPUTED_VALUE"""),"webstma02")</f>
        <v>webstma02</v>
      </c>
      <c r="B106" s="161" t="str">
        <f>IFERROR(__xludf.DUMMYFUNCTION("""COMPUTED_VALUE"""),"Martell Webster")</f>
        <v>Martell Webster</v>
      </c>
      <c r="C106" s="162" t="str">
        <f>IFERROR(__xludf.DUMMYFUNCTION("""COMPUTED_VALUE"""),"2013-14")</f>
        <v>2013-14</v>
      </c>
      <c r="D106" s="163" t="str">
        <f>IFERROR(__xludf.DUMMYFUNCTION("""COMPUTED_VALUE"""),"WAS")</f>
        <v>WAS</v>
      </c>
      <c r="E106" s="164" t="str">
        <f>IFERROR(__xludf.DUMMYFUNCTION("""COMPUTED_VALUE"""),"Movement Shooter")</f>
        <v>Movement Shooter</v>
      </c>
      <c r="F106" s="164">
        <f>IFERROR(__xludf.DUMMYFUNCTION("""COMPUTED_VALUE"""),2157.115)</f>
        <v>2157.115</v>
      </c>
      <c r="G106" s="163">
        <f>IFERROR(__xludf.DUMMYFUNCTION("""COMPUTED_VALUE"""),78.0)</f>
        <v>78</v>
      </c>
      <c r="H106" s="163" t="str">
        <f>IFERROR(__xludf.DUMMYFUNCTION("""COMPUTED_VALUE"""),"SF")</f>
        <v>SF</v>
      </c>
      <c r="I106" s="163">
        <f>IFERROR(__xludf.DUMMYFUNCTION("""COMPUTED_VALUE"""),27.0)</f>
        <v>27</v>
      </c>
      <c r="J106" s="165">
        <f>IFERROR(__xludf.DUMMYFUNCTION("""COMPUTED_VALUE"""),-0.408452561340909)</f>
        <v>-0.4084525613</v>
      </c>
      <c r="K106" s="165">
        <f>IFERROR(__xludf.DUMMYFUNCTION("""COMPUTED_VALUE"""),0.647742380150766)</f>
        <v>0.6477423802</v>
      </c>
      <c r="L106" s="165">
        <f>IFERROR(__xludf.DUMMYFUNCTION("""COMPUTED_VALUE"""),-1.05619494149167)</f>
        <v>-1.056194941</v>
      </c>
      <c r="M106" s="166">
        <f t="shared" si="2"/>
        <v>2.731675336</v>
      </c>
      <c r="N106" s="167">
        <f t="shared" si="3"/>
        <v>27.65532051</v>
      </c>
      <c r="O106" s="163">
        <f t="shared" ref="O106:Q106" si="110">rank(I106,I:I)</f>
        <v>1366</v>
      </c>
      <c r="P106" s="163">
        <f t="shared" si="110"/>
        <v>1737</v>
      </c>
      <c r="Q106" s="163">
        <f t="shared" si="110"/>
        <v>680</v>
      </c>
      <c r="R106" s="163">
        <f>IFERROR(__xludf.DUMMYFUNCTION("RANK(M106,filter(M:M,C:C=C106))"),124.0)</f>
        <v>124</v>
      </c>
      <c r="S106" s="161" t="b">
        <f t="shared" si="5"/>
        <v>0</v>
      </c>
      <c r="T106" s="161" t="b">
        <f t="array" ref="T106">index('Query Tool'!B:B,match(H106,'Query Tool'!C:C,0))</f>
        <v>1</v>
      </c>
      <c r="U106" s="161" t="b">
        <f t="array" ref="U106">index('Query Tool'!B:B,match(C106,'Query Tool'!C:C,0))</f>
        <v>0</v>
      </c>
      <c r="V106" s="161" t="b">
        <f>F106&gt;='Query Tool'!C$32</f>
        <v>1</v>
      </c>
      <c r="W106" s="161" t="b">
        <f t="array" ref="W106">index(Dropdowns!B:B,match(I106,Dropdowns!A:A,0))</f>
        <v>1</v>
      </c>
      <c r="X106" s="161" t="b">
        <f t="array" ref="X106">index('Query Tool'!B:B,match(D106,'Query Tool'!C:C,0))</f>
        <v>1</v>
      </c>
      <c r="Y106" s="161" t="str">
        <f t="shared" si="6"/>
        <v>webstma02,2013-14</v>
      </c>
      <c r="Z106" s="168">
        <f t="array" ref="Z106">iferror(index(I:I,match($A106&amp;","&amp;index('Year Conversion'!$A:$A,match($C106,'Year Conversion'!$B:$B,0)),$Y:$Y,0))-I106,"")</f>
        <v>1</v>
      </c>
      <c r="AA106" s="168">
        <f t="array" ref="AA106">iferror(index(J:J,match($A106&amp;","&amp;index('Year Conversion'!$A:$A,match($C106,'Year Conversion'!$B:$B,0)),$Y:$Y,0))-J106,"")</f>
        <v>-1.295427455</v>
      </c>
      <c r="AB106" s="168">
        <f t="array" ref="AB106">iferror(index(K:K,match($A106&amp;","&amp;index('Year Conversion'!$A:$A,match($C106,'Year Conversion'!$B:$B,0)),$Y:$Y,0))-K106,"")</f>
        <v>-1.79176616</v>
      </c>
      <c r="AC106" s="168" t="str">
        <f t="shared" si="7"/>
        <v>WAS,2013-14</v>
      </c>
    </row>
    <row r="107">
      <c r="A107" s="161" t="str">
        <f>IFERROR(__xludf.DUMMYFUNCTION("""COMPUTED_VALUE"""),"villach01")</f>
        <v>villach01</v>
      </c>
      <c r="B107" s="161" t="str">
        <f>IFERROR(__xludf.DUMMYFUNCTION("""COMPUTED_VALUE"""),"Charlie Villanueva")</f>
        <v>Charlie Villanueva</v>
      </c>
      <c r="C107" s="162" t="str">
        <f>IFERROR(__xludf.DUMMYFUNCTION("""COMPUTED_VALUE"""),"2013-14")</f>
        <v>2013-14</v>
      </c>
      <c r="D107" s="163" t="str">
        <f>IFERROR(__xludf.DUMMYFUNCTION("""COMPUTED_VALUE"""),"DET")</f>
        <v>DET</v>
      </c>
      <c r="E107" s="164" t="str">
        <f>IFERROR(__xludf.DUMMYFUNCTION("""COMPUTED_VALUE"""),"Stretch Big")</f>
        <v>Stretch Big</v>
      </c>
      <c r="F107" s="164">
        <f>IFERROR(__xludf.DUMMYFUNCTION("""COMPUTED_VALUE"""),179.676666666667)</f>
        <v>179.6766667</v>
      </c>
      <c r="G107" s="163">
        <f>IFERROR(__xludf.DUMMYFUNCTION("""COMPUTED_VALUE"""),20.0)</f>
        <v>20</v>
      </c>
      <c r="H107" s="163" t="str">
        <f>IFERROR(__xludf.DUMMYFUNCTION("""COMPUTED_VALUE"""),"PF")</f>
        <v>PF</v>
      </c>
      <c r="I107" s="163">
        <f>IFERROR(__xludf.DUMMYFUNCTION("""COMPUTED_VALUE"""),29.0)</f>
        <v>29</v>
      </c>
      <c r="J107" s="165">
        <f>IFERROR(__xludf.DUMMYFUNCTION("""COMPUTED_VALUE"""),0.0907801165158845)</f>
        <v>0.09078011652</v>
      </c>
      <c r="K107" s="165">
        <f>IFERROR(__xludf.DUMMYFUNCTION("""COMPUTED_VALUE"""),0.666469171229838)</f>
        <v>0.6664691712</v>
      </c>
      <c r="L107" s="165">
        <f>IFERROR(__xludf.DUMMYFUNCTION("""COMPUTED_VALUE"""),-0.575689054713954)</f>
        <v>-0.5756890547</v>
      </c>
      <c r="M107" s="166">
        <f t="shared" si="2"/>
        <v>0.2879981583</v>
      </c>
      <c r="N107" s="167">
        <f t="shared" si="3"/>
        <v>8.983833333</v>
      </c>
      <c r="O107" s="163">
        <f t="shared" ref="O107:Q107" si="111">rank(I107,I:I)</f>
        <v>855</v>
      </c>
      <c r="P107" s="163">
        <f t="shared" si="111"/>
        <v>1196</v>
      </c>
      <c r="Q107" s="163">
        <f t="shared" si="111"/>
        <v>671</v>
      </c>
      <c r="R107" s="163">
        <f>IFERROR(__xludf.DUMMYFUNCTION("RANK(M107,filter(M:M,C:C=C107))"),302.0)</f>
        <v>302</v>
      </c>
      <c r="S107" s="161" t="b">
        <f t="shared" si="5"/>
        <v>0</v>
      </c>
      <c r="T107" s="161" t="b">
        <f t="array" ref="T107">index('Query Tool'!B:B,match(H107,'Query Tool'!C:C,0))</f>
        <v>1</v>
      </c>
      <c r="U107" s="161" t="b">
        <f t="array" ref="U107">index('Query Tool'!B:B,match(C107,'Query Tool'!C:C,0))</f>
        <v>0</v>
      </c>
      <c r="V107" s="161" t="b">
        <f>F107&gt;='Query Tool'!C$32</f>
        <v>0</v>
      </c>
      <c r="W107" s="161" t="b">
        <f t="array" ref="W107">index(Dropdowns!B:B,match(I107,Dropdowns!A:A,0))</f>
        <v>1</v>
      </c>
      <c r="X107" s="161" t="b">
        <f t="array" ref="X107">index('Query Tool'!B:B,match(D107,'Query Tool'!C:C,0))</f>
        <v>1</v>
      </c>
      <c r="Y107" s="161" t="str">
        <f t="shared" si="6"/>
        <v>villach01,2013-14</v>
      </c>
      <c r="Z107" s="168">
        <f t="array" ref="Z107">iferror(index(I:I,match($A107&amp;","&amp;index('Year Conversion'!$A:$A,match($C107,'Year Conversion'!$B:$B,0)),$Y:$Y,0))-I107,"")</f>
        <v>1</v>
      </c>
      <c r="AA107" s="168">
        <f t="array" ref="AA107">iferror(index(J:J,match($A107&amp;","&amp;index('Year Conversion'!$A:$A,match($C107,'Year Conversion'!$B:$B,0)),$Y:$Y,0))-J107,"")</f>
        <v>-0.2932464894</v>
      </c>
      <c r="AB107" s="168">
        <f t="array" ref="AB107">iferror(index(K:K,match($A107&amp;","&amp;index('Year Conversion'!$A:$A,match($C107,'Year Conversion'!$B:$B,0)),$Y:$Y,0))-K107,"")</f>
        <v>0.8432698727</v>
      </c>
      <c r="AC107" s="168" t="str">
        <f t="shared" si="7"/>
        <v>DET,2013-14</v>
      </c>
    </row>
    <row r="108">
      <c r="A108" s="161" t="str">
        <f>IFERROR(__xludf.DUMMYFUNCTION("""COMPUTED_VALUE"""),"fryech01")</f>
        <v>fryech01</v>
      </c>
      <c r="B108" s="161" t="str">
        <f>IFERROR(__xludf.DUMMYFUNCTION("""COMPUTED_VALUE"""),"Channing Frye")</f>
        <v>Channing Frye</v>
      </c>
      <c r="C108" s="162" t="str">
        <f>IFERROR(__xludf.DUMMYFUNCTION("""COMPUTED_VALUE"""),"2013-14")</f>
        <v>2013-14</v>
      </c>
      <c r="D108" s="163" t="str">
        <f>IFERROR(__xludf.DUMMYFUNCTION("""COMPUTED_VALUE"""),"PHO")</f>
        <v>PHO</v>
      </c>
      <c r="E108" s="164" t="str">
        <f>IFERROR(__xludf.DUMMYFUNCTION("""COMPUTED_VALUE"""),"Stretch Big")</f>
        <v>Stretch Big</v>
      </c>
      <c r="F108" s="164">
        <f>IFERROR(__xludf.DUMMYFUNCTION("""COMPUTED_VALUE"""),2312.305)</f>
        <v>2312.305</v>
      </c>
      <c r="G108" s="163">
        <f>IFERROR(__xludf.DUMMYFUNCTION("""COMPUTED_VALUE"""),82.0)</f>
        <v>82</v>
      </c>
      <c r="H108" s="163" t="str">
        <f>IFERROR(__xludf.DUMMYFUNCTION("""COMPUTED_VALUE"""),"PF")</f>
        <v>PF</v>
      </c>
      <c r="I108" s="163">
        <f>IFERROR(__xludf.DUMMYFUNCTION("""COMPUTED_VALUE"""),30.0)</f>
        <v>30</v>
      </c>
      <c r="J108" s="165">
        <f>IFERROR(__xludf.DUMMYFUNCTION("""COMPUTED_VALUE"""),2.31104490504877)</f>
        <v>2.311044905</v>
      </c>
      <c r="K108" s="165">
        <f>IFERROR(__xludf.DUMMYFUNCTION("""COMPUTED_VALUE"""),1.04705604426786)</f>
        <v>1.047056044</v>
      </c>
      <c r="L108" s="165">
        <f>IFERROR(__xludf.DUMMYFUNCTION("""COMPUTED_VALUE"""),1.26398886078091)</f>
        <v>1.263988861</v>
      </c>
      <c r="M108" s="166">
        <f t="shared" si="2"/>
        <v>7.141071083</v>
      </c>
      <c r="N108" s="167">
        <f t="shared" si="3"/>
        <v>28.19884146</v>
      </c>
      <c r="O108" s="163">
        <f t="shared" ref="O108:Q108" si="112">rank(I108,I:I)</f>
        <v>655</v>
      </c>
      <c r="P108" s="163">
        <f t="shared" si="112"/>
        <v>256</v>
      </c>
      <c r="Q108" s="163">
        <f t="shared" si="112"/>
        <v>478</v>
      </c>
      <c r="R108" s="163">
        <f>IFERROR(__xludf.DUMMYFUNCTION("RANK(M108,filter(M:M,C:C=C108))"),38.0)</f>
        <v>38</v>
      </c>
      <c r="S108" s="161" t="b">
        <f t="shared" si="5"/>
        <v>0</v>
      </c>
      <c r="T108" s="161" t="b">
        <f t="array" ref="T108">index('Query Tool'!B:B,match(H108,'Query Tool'!C:C,0))</f>
        <v>1</v>
      </c>
      <c r="U108" s="161" t="b">
        <f t="array" ref="U108">index('Query Tool'!B:B,match(C108,'Query Tool'!C:C,0))</f>
        <v>0</v>
      </c>
      <c r="V108" s="161" t="b">
        <f>F108&gt;='Query Tool'!C$32</f>
        <v>1</v>
      </c>
      <c r="W108" s="161" t="b">
        <f t="array" ref="W108">index(Dropdowns!B:B,match(I108,Dropdowns!A:A,0))</f>
        <v>1</v>
      </c>
      <c r="X108" s="161" t="b">
        <f t="array" ref="X108">index('Query Tool'!B:B,match(D108,'Query Tool'!C:C,0))</f>
        <v>1</v>
      </c>
      <c r="Y108" s="161" t="str">
        <f t="shared" si="6"/>
        <v>fryech01,2013-14</v>
      </c>
      <c r="Z108" s="168">
        <f t="array" ref="Z108">iferror(index(I:I,match($A108&amp;","&amp;index('Year Conversion'!$A:$A,match($C108,'Year Conversion'!$B:$B,0)),$Y:$Y,0))-I108,"")</f>
        <v>1</v>
      </c>
      <c r="AA108" s="168">
        <f t="array" ref="AA108">iferror(index(J:J,match($A108&amp;","&amp;index('Year Conversion'!$A:$A,match($C108,'Year Conversion'!$B:$B,0)),$Y:$Y,0))-J108,"")</f>
        <v>-4.013077054</v>
      </c>
      <c r="AB108" s="168">
        <f t="array" ref="AB108">iferror(index(K:K,match($A108&amp;","&amp;index('Year Conversion'!$A:$A,match($C108,'Year Conversion'!$B:$B,0)),$Y:$Y,0))-K108,"")</f>
        <v>-2.346514868</v>
      </c>
      <c r="AC108" s="168" t="str">
        <f t="shared" si="7"/>
        <v>PHO,2013-14</v>
      </c>
    </row>
    <row r="109">
      <c r="A109" s="161" t="str">
        <f>IFERROR(__xludf.DUMMYFUNCTION("""COMPUTED_VALUE"""),"willide01")</f>
        <v>willide01</v>
      </c>
      <c r="B109" s="161" t="str">
        <f>IFERROR(__xludf.DUMMYFUNCTION("""COMPUTED_VALUE"""),"Deron Williams")</f>
        <v>Deron Williams</v>
      </c>
      <c r="C109" s="162" t="str">
        <f>IFERROR(__xludf.DUMMYFUNCTION("""COMPUTED_VALUE"""),"2013-14")</f>
        <v>2013-14</v>
      </c>
      <c r="D109" s="163" t="str">
        <f>IFERROR(__xludf.DUMMYFUNCTION("""COMPUTED_VALUE"""),"BRK")</f>
        <v>BRK</v>
      </c>
      <c r="E109" s="164" t="str">
        <f>IFERROR(__xludf.DUMMYFUNCTION("""COMPUTED_VALUE"""),"Shot Creator")</f>
        <v>Shot Creator</v>
      </c>
      <c r="F109" s="164">
        <f>IFERROR(__xludf.DUMMYFUNCTION("""COMPUTED_VALUE"""),2059.345)</f>
        <v>2059.345</v>
      </c>
      <c r="G109" s="163">
        <f>IFERROR(__xludf.DUMMYFUNCTION("""COMPUTED_VALUE"""),64.0)</f>
        <v>64</v>
      </c>
      <c r="H109" s="163" t="str">
        <f>IFERROR(__xludf.DUMMYFUNCTION("""COMPUTED_VALUE"""),"PG")</f>
        <v>PG</v>
      </c>
      <c r="I109" s="163">
        <f>IFERROR(__xludf.DUMMYFUNCTION("""COMPUTED_VALUE"""),29.0)</f>
        <v>29</v>
      </c>
      <c r="J109" s="165">
        <f>IFERROR(__xludf.DUMMYFUNCTION("""COMPUTED_VALUE"""),2.38877465164339)</f>
        <v>2.388774652</v>
      </c>
      <c r="K109" s="165">
        <f>IFERROR(__xludf.DUMMYFUNCTION("""COMPUTED_VALUE"""),2.12798112039528)</f>
        <v>2.12798112</v>
      </c>
      <c r="L109" s="165">
        <f>IFERROR(__xludf.DUMMYFUNCTION("""COMPUTED_VALUE"""),0.260793531248102)</f>
        <v>0.2607935312</v>
      </c>
      <c r="M109" s="166">
        <f t="shared" si="2"/>
        <v>6.465329831</v>
      </c>
      <c r="N109" s="167">
        <f t="shared" si="3"/>
        <v>32.17726563</v>
      </c>
      <c r="O109" s="163">
        <f t="shared" ref="O109:Q109" si="113">rank(I109,I:I)</f>
        <v>855</v>
      </c>
      <c r="P109" s="163">
        <f t="shared" si="113"/>
        <v>242</v>
      </c>
      <c r="Q109" s="163">
        <f t="shared" si="113"/>
        <v>210</v>
      </c>
      <c r="R109" s="163">
        <f>IFERROR(__xludf.DUMMYFUNCTION("RANK(M109,filter(M:M,C:C=C109))"),44.0)</f>
        <v>44</v>
      </c>
      <c r="S109" s="161" t="b">
        <f t="shared" si="5"/>
        <v>0</v>
      </c>
      <c r="T109" s="161" t="b">
        <f t="array" ref="T109">index('Query Tool'!B:B,match(H109,'Query Tool'!C:C,0))</f>
        <v>1</v>
      </c>
      <c r="U109" s="161" t="b">
        <f t="array" ref="U109">index('Query Tool'!B:B,match(C109,'Query Tool'!C:C,0))</f>
        <v>0</v>
      </c>
      <c r="V109" s="161" t="b">
        <f>F109&gt;='Query Tool'!C$32</f>
        <v>1</v>
      </c>
      <c r="W109" s="161" t="b">
        <f t="array" ref="W109">index(Dropdowns!B:B,match(I109,Dropdowns!A:A,0))</f>
        <v>1</v>
      </c>
      <c r="X109" s="161" t="b">
        <f t="array" ref="X109">index('Query Tool'!B:B,match(D109,'Query Tool'!C:C,0))</f>
        <v>1</v>
      </c>
      <c r="Y109" s="161" t="str">
        <f t="shared" si="6"/>
        <v>willide01,2013-14</v>
      </c>
      <c r="Z109" s="168">
        <f t="array" ref="Z109">iferror(index(I:I,match($A109&amp;","&amp;index('Year Conversion'!$A:$A,match($C109,'Year Conversion'!$B:$B,0)),$Y:$Y,0))-I109,"")</f>
        <v>1</v>
      </c>
      <c r="AA109" s="168">
        <f t="array" ref="AA109">iferror(index(J:J,match($A109&amp;","&amp;index('Year Conversion'!$A:$A,match($C109,'Year Conversion'!$B:$B,0)),$Y:$Y,0))-J109,"")</f>
        <v>-1.130346491</v>
      </c>
      <c r="AB109" s="168">
        <f t="array" ref="AB109">iferror(index(K:K,match($A109&amp;","&amp;index('Year Conversion'!$A:$A,match($C109,'Year Conversion'!$B:$B,0)),$Y:$Y,0))-K109,"")</f>
        <v>-0.6270178246</v>
      </c>
      <c r="AC109" s="168" t="str">
        <f t="shared" si="7"/>
        <v>BRK,2013-14</v>
      </c>
    </row>
    <row r="110">
      <c r="A110" s="161" t="str">
        <f>IFERROR(__xludf.DUMMYFUNCTION("""COMPUTED_VALUE"""),"bynuman01")</f>
        <v>bynuman01</v>
      </c>
      <c r="B110" s="161" t="str">
        <f>IFERROR(__xludf.DUMMYFUNCTION("""COMPUTED_VALUE"""),"Andrew Bynum")</f>
        <v>Andrew Bynum</v>
      </c>
      <c r="C110" s="162" t="str">
        <f>IFERROR(__xludf.DUMMYFUNCTION("""COMPUTED_VALUE"""),"2013-14")</f>
        <v>2013-14</v>
      </c>
      <c r="D110" s="163" t="str">
        <f>IFERROR(__xludf.DUMMYFUNCTION("""COMPUTED_VALUE"""),"TOT")</f>
        <v>TOT</v>
      </c>
      <c r="E110" s="164" t="str">
        <f>IFERROR(__xludf.DUMMYFUNCTION("""COMPUTED_VALUE"""),"Post Scorer")</f>
        <v>Post Scorer</v>
      </c>
      <c r="F110" s="164">
        <f>IFERROR(__xludf.DUMMYFUNCTION("""COMPUTED_VALUE"""),515.511666666667)</f>
        <v>515.5116667</v>
      </c>
      <c r="G110" s="163">
        <f>IFERROR(__xludf.DUMMYFUNCTION("""COMPUTED_VALUE"""),26.0)</f>
        <v>26</v>
      </c>
      <c r="H110" s="163" t="str">
        <f>IFERROR(__xludf.DUMMYFUNCTION("""COMPUTED_VALUE"""),"C")</f>
        <v>C</v>
      </c>
      <c r="I110" s="163">
        <f>IFERROR(__xludf.DUMMYFUNCTION("""COMPUTED_VALUE"""),26.0)</f>
        <v>26</v>
      </c>
      <c r="J110" s="165">
        <f>IFERROR(__xludf.DUMMYFUNCTION("""COMPUTED_VALUE"""),-0.91439134658037)</f>
        <v>-0.9143913466</v>
      </c>
      <c r="K110" s="165">
        <f>IFERROR(__xludf.DUMMYFUNCTION("""COMPUTED_VALUE"""),-1.52037079071511)</f>
        <v>-1.520370791</v>
      </c>
      <c r="L110" s="165">
        <f>IFERROR(__xludf.DUMMYFUNCTION("""COMPUTED_VALUE"""),0.60597944413474)</f>
        <v>0.6059794441</v>
      </c>
      <c r="M110" s="166">
        <f t="shared" si="2"/>
        <v>0.4773165713</v>
      </c>
      <c r="N110" s="167">
        <f t="shared" si="3"/>
        <v>19.82737179</v>
      </c>
      <c r="O110" s="163">
        <f t="shared" ref="O110:Q110" si="114">rank(I110,I:I)</f>
        <v>1665</v>
      </c>
      <c r="P110" s="163">
        <f t="shared" si="114"/>
        <v>2413</v>
      </c>
      <c r="Q110" s="163">
        <f t="shared" si="114"/>
        <v>3380</v>
      </c>
      <c r="R110" s="163">
        <f>IFERROR(__xludf.DUMMYFUNCTION("RANK(M110,filter(M:M,C:C=C110))"),278.0)</f>
        <v>278</v>
      </c>
      <c r="S110" s="161" t="b">
        <f t="shared" si="5"/>
        <v>0</v>
      </c>
      <c r="T110" s="161" t="b">
        <f t="array" ref="T110">index('Query Tool'!B:B,match(H110,'Query Tool'!C:C,0))</f>
        <v>1</v>
      </c>
      <c r="U110" s="161" t="b">
        <f t="array" ref="U110">index('Query Tool'!B:B,match(C110,'Query Tool'!C:C,0))</f>
        <v>0</v>
      </c>
      <c r="V110" s="161" t="b">
        <f>F110&gt;='Query Tool'!C$32</f>
        <v>1</v>
      </c>
      <c r="W110" s="161" t="b">
        <f t="array" ref="W110">index(Dropdowns!B:B,match(I110,Dropdowns!A:A,0))</f>
        <v>1</v>
      </c>
      <c r="X110" s="161" t="b">
        <f t="array" ref="X110">index('Query Tool'!B:B,match(D110,'Query Tool'!C:C,0))</f>
        <v>1</v>
      </c>
      <c r="Y110" s="161" t="str">
        <f t="shared" si="6"/>
        <v>bynuman01,2013-14</v>
      </c>
      <c r="Z110" s="168" t="str">
        <f t="array" ref="Z110">iferror(index(I:I,match($A110&amp;","&amp;index('Year Conversion'!$A:$A,match($C110,'Year Conversion'!$B:$B,0)),$Y:$Y,0))-I110,"")</f>
        <v/>
      </c>
      <c r="AA110" s="168" t="str">
        <f t="array" ref="AA110">iferror(index(J:J,match($A110&amp;","&amp;index('Year Conversion'!$A:$A,match($C110,'Year Conversion'!$B:$B,0)),$Y:$Y,0))-J110,"")</f>
        <v/>
      </c>
      <c r="AB110" s="168" t="str">
        <f t="array" ref="AB110">iferror(index(K:K,match($A110&amp;","&amp;index('Year Conversion'!$A:$A,match($C110,'Year Conversion'!$B:$B,0)),$Y:$Y,0))-K110,"")</f>
        <v/>
      </c>
      <c r="AC110" s="168" t="str">
        <f t="shared" si="7"/>
        <v>TOT,2013-14</v>
      </c>
    </row>
    <row r="111">
      <c r="A111" s="161" t="str">
        <f>IFERROR(__xludf.DUMMYFUNCTION("""COMPUTED_VALUE"""),"grangda01")</f>
        <v>grangda01</v>
      </c>
      <c r="B111" s="161" t="str">
        <f>IFERROR(__xludf.DUMMYFUNCTION("""COMPUTED_VALUE"""),"Danny Granger")</f>
        <v>Danny Granger</v>
      </c>
      <c r="C111" s="162" t="str">
        <f>IFERROR(__xludf.DUMMYFUNCTION("""COMPUTED_VALUE"""),"2013-14")</f>
        <v>2013-14</v>
      </c>
      <c r="D111" s="163" t="str">
        <f>IFERROR(__xludf.DUMMYFUNCTION("""COMPUTED_VALUE"""),"TOT")</f>
        <v>TOT</v>
      </c>
      <c r="E111" s="164" t="str">
        <f>IFERROR(__xludf.DUMMYFUNCTION("""COMPUTED_VALUE"""),"Movement Shooter")</f>
        <v>Movement Shooter</v>
      </c>
      <c r="F111" s="164">
        <f>IFERROR(__xludf.DUMMYFUNCTION("""COMPUTED_VALUE"""),847.598333333333)</f>
        <v>847.5983333</v>
      </c>
      <c r="G111" s="163">
        <f>IFERROR(__xludf.DUMMYFUNCTION("""COMPUTED_VALUE"""),41.0)</f>
        <v>41</v>
      </c>
      <c r="H111" s="163" t="str">
        <f>IFERROR(__xludf.DUMMYFUNCTION("""COMPUTED_VALUE"""),"SF")</f>
        <v>SF</v>
      </c>
      <c r="I111" s="163">
        <f>IFERROR(__xludf.DUMMYFUNCTION("""COMPUTED_VALUE"""),30.0)</f>
        <v>30</v>
      </c>
      <c r="J111" s="165">
        <f>IFERROR(__xludf.DUMMYFUNCTION("""COMPUTED_VALUE"""),-0.781804833575539)</f>
        <v>-0.7818048336</v>
      </c>
      <c r="K111" s="165">
        <f>IFERROR(__xludf.DUMMYFUNCTION("""COMPUTED_VALUE"""),-0.442692086345928)</f>
        <v>-0.4426920863</v>
      </c>
      <c r="L111" s="165">
        <f>IFERROR(__xludf.DUMMYFUNCTION("""COMPUTED_VALUE"""),-0.339112747229611)</f>
        <v>-0.3391127472</v>
      </c>
      <c r="M111" s="166">
        <f t="shared" si="2"/>
        <v>0.8603368036</v>
      </c>
      <c r="N111" s="167">
        <f t="shared" si="3"/>
        <v>20.67313008</v>
      </c>
      <c r="O111" s="163">
        <f t="shared" ref="O111:Q111" si="115">rank(I111,I:I)</f>
        <v>655</v>
      </c>
      <c r="P111" s="163">
        <f t="shared" si="115"/>
        <v>2247</v>
      </c>
      <c r="Q111" s="163">
        <f t="shared" si="115"/>
        <v>2022</v>
      </c>
      <c r="R111" s="163">
        <f>IFERROR(__xludf.DUMMYFUNCTION("RANK(M111,filter(M:M,C:C=C111))"),238.0)</f>
        <v>238</v>
      </c>
      <c r="S111" s="161" t="b">
        <f t="shared" si="5"/>
        <v>0</v>
      </c>
      <c r="T111" s="161" t="b">
        <f t="array" ref="T111">index('Query Tool'!B:B,match(H111,'Query Tool'!C:C,0))</f>
        <v>1</v>
      </c>
      <c r="U111" s="161" t="b">
        <f t="array" ref="U111">index('Query Tool'!B:B,match(C111,'Query Tool'!C:C,0))</f>
        <v>0</v>
      </c>
      <c r="V111" s="161" t="b">
        <f>F111&gt;='Query Tool'!C$32</f>
        <v>1</v>
      </c>
      <c r="W111" s="161" t="b">
        <f t="array" ref="W111">index(Dropdowns!B:B,match(I111,Dropdowns!A:A,0))</f>
        <v>1</v>
      </c>
      <c r="X111" s="161" t="b">
        <f t="array" ref="X111">index('Query Tool'!B:B,match(D111,'Query Tool'!C:C,0))</f>
        <v>1</v>
      </c>
      <c r="Y111" s="161" t="str">
        <f t="shared" si="6"/>
        <v>grangda01,2013-14</v>
      </c>
      <c r="Z111" s="168">
        <f t="array" ref="Z111">iferror(index(I:I,match($A111&amp;","&amp;index('Year Conversion'!$A:$A,match($C111,'Year Conversion'!$B:$B,0)),$Y:$Y,0))-I111,"")</f>
        <v>1</v>
      </c>
      <c r="AA111" s="168">
        <f t="array" ref="AA111">iferror(index(J:J,match($A111&amp;","&amp;index('Year Conversion'!$A:$A,match($C111,'Year Conversion'!$B:$B,0)),$Y:$Y,0))-J111,"")</f>
        <v>-1.285714448</v>
      </c>
      <c r="AB111" s="168">
        <f t="array" ref="AB111">iferror(index(K:K,match($A111&amp;","&amp;index('Year Conversion'!$A:$A,match($C111,'Year Conversion'!$B:$B,0)),$Y:$Y,0))-K111,"")</f>
        <v>-0.7239772829</v>
      </c>
      <c r="AC111" s="168" t="str">
        <f t="shared" si="7"/>
        <v>TOT,2013-14</v>
      </c>
    </row>
    <row r="112">
      <c r="A112" s="161" t="str">
        <f>IFERROR(__xludf.DUMMYFUNCTION("""COMPUTED_VALUE"""),"greenge01")</f>
        <v>greenge01</v>
      </c>
      <c r="B112" s="161" t="str">
        <f>IFERROR(__xludf.DUMMYFUNCTION("""COMPUTED_VALUE"""),"Gerald Green")</f>
        <v>Gerald Green</v>
      </c>
      <c r="C112" s="162" t="str">
        <f>IFERROR(__xludf.DUMMYFUNCTION("""COMPUTED_VALUE"""),"2013-14")</f>
        <v>2013-14</v>
      </c>
      <c r="D112" s="163" t="str">
        <f>IFERROR(__xludf.DUMMYFUNCTION("""COMPUTED_VALUE"""),"PHO")</f>
        <v>PHO</v>
      </c>
      <c r="E112" s="164" t="str">
        <f>IFERROR(__xludf.DUMMYFUNCTION("""COMPUTED_VALUE"""),"Movement Shooter")</f>
        <v>Movement Shooter</v>
      </c>
      <c r="F112" s="164">
        <f>IFERROR(__xludf.DUMMYFUNCTION("""COMPUTED_VALUE"""),2329.87833333333)</f>
        <v>2329.878333</v>
      </c>
      <c r="G112" s="163">
        <f>IFERROR(__xludf.DUMMYFUNCTION("""COMPUTED_VALUE"""),82.0)</f>
        <v>82</v>
      </c>
      <c r="H112" s="163" t="str">
        <f>IFERROR(__xludf.DUMMYFUNCTION("""COMPUTED_VALUE"""),"SG")</f>
        <v>SG</v>
      </c>
      <c r="I112" s="163">
        <f>IFERROR(__xludf.DUMMYFUNCTION("""COMPUTED_VALUE"""),28.0)</f>
        <v>28</v>
      </c>
      <c r="J112" s="165">
        <f>IFERROR(__xludf.DUMMYFUNCTION("""COMPUTED_VALUE"""),-1.38428461136724)</f>
        <v>-1.384284611</v>
      </c>
      <c r="K112" s="165">
        <f>IFERROR(__xludf.DUMMYFUNCTION("""COMPUTED_VALUE"""),0.0121137127544606)</f>
        <v>0.01211371275</v>
      </c>
      <c r="L112" s="165">
        <f>IFERROR(__xludf.DUMMYFUNCTION("""COMPUTED_VALUE"""),-1.3963983241217)</f>
        <v>-1.396398324</v>
      </c>
      <c r="M112" s="166">
        <f t="shared" si="2"/>
        <v>1.423258741</v>
      </c>
      <c r="N112" s="167">
        <f t="shared" si="3"/>
        <v>28.41315041</v>
      </c>
      <c r="O112" s="163">
        <f t="shared" ref="O112:Q112" si="116">rank(I112,I:I)</f>
        <v>1090</v>
      </c>
      <c r="P112" s="163">
        <f t="shared" si="116"/>
        <v>2937</v>
      </c>
      <c r="Q112" s="163">
        <f t="shared" si="116"/>
        <v>1181</v>
      </c>
      <c r="R112" s="163">
        <f>IFERROR(__xludf.DUMMYFUNCTION("RANK(M112,filter(M:M,C:C=C112))"),189.0)</f>
        <v>189</v>
      </c>
      <c r="S112" s="161" t="b">
        <f t="shared" si="5"/>
        <v>0</v>
      </c>
      <c r="T112" s="161" t="b">
        <f t="array" ref="T112">index('Query Tool'!B:B,match(H112,'Query Tool'!C:C,0))</f>
        <v>1</v>
      </c>
      <c r="U112" s="161" t="b">
        <f t="array" ref="U112">index('Query Tool'!B:B,match(C112,'Query Tool'!C:C,0))</f>
        <v>0</v>
      </c>
      <c r="V112" s="161" t="b">
        <f>F112&gt;='Query Tool'!C$32</f>
        <v>1</v>
      </c>
      <c r="W112" s="161" t="b">
        <f t="array" ref="W112">index(Dropdowns!B:B,match(I112,Dropdowns!A:A,0))</f>
        <v>1</v>
      </c>
      <c r="X112" s="161" t="b">
        <f t="array" ref="X112">index('Query Tool'!B:B,match(D112,'Query Tool'!C:C,0))</f>
        <v>1</v>
      </c>
      <c r="Y112" s="161" t="str">
        <f t="shared" si="6"/>
        <v>greenge01,2013-14</v>
      </c>
      <c r="Z112" s="168">
        <f t="array" ref="Z112">iferror(index(I:I,match($A112&amp;","&amp;index('Year Conversion'!$A:$A,match($C112,'Year Conversion'!$B:$B,0)),$Y:$Y,0))-I112,"")</f>
        <v>1</v>
      </c>
      <c r="AA112" s="168">
        <f t="array" ref="AA112">iferror(index(J:J,match($A112&amp;","&amp;index('Year Conversion'!$A:$A,match($C112,'Year Conversion'!$B:$B,0)),$Y:$Y,0))-J112,"")</f>
        <v>0.2288539203</v>
      </c>
      <c r="AB112" s="168">
        <f t="array" ref="AB112">iferror(index(K:K,match($A112&amp;","&amp;index('Year Conversion'!$A:$A,match($C112,'Year Conversion'!$B:$B,0)),$Y:$Y,0))-K112,"")</f>
        <v>0.8575341396</v>
      </c>
      <c r="AC112" s="168" t="str">
        <f t="shared" si="7"/>
        <v>PHO,2013-14</v>
      </c>
    </row>
    <row r="113">
      <c r="A113" s="161" t="str">
        <f>IFERROR(__xludf.DUMMYFUNCTION("""COMPUTED_VALUE"""),"robinna01")</f>
        <v>robinna01</v>
      </c>
      <c r="B113" s="161" t="str">
        <f>IFERROR(__xludf.DUMMYFUNCTION("""COMPUTED_VALUE"""),"Nate Robinson")</f>
        <v>Nate Robinson</v>
      </c>
      <c r="C113" s="162" t="str">
        <f>IFERROR(__xludf.DUMMYFUNCTION("""COMPUTED_VALUE"""),"2013-14")</f>
        <v>2013-14</v>
      </c>
      <c r="D113" s="163" t="str">
        <f>IFERROR(__xludf.DUMMYFUNCTION("""COMPUTED_VALUE"""),"DEN")</f>
        <v>DEN</v>
      </c>
      <c r="E113" s="164" t="str">
        <f>IFERROR(__xludf.DUMMYFUNCTION("""COMPUTED_VALUE"""),"Secondary Ball Handler")</f>
        <v>Secondary Ball Handler</v>
      </c>
      <c r="F113" s="164">
        <f>IFERROR(__xludf.DUMMYFUNCTION("""COMPUTED_VALUE"""),866.078333333333)</f>
        <v>866.0783333</v>
      </c>
      <c r="G113" s="163">
        <f>IFERROR(__xludf.DUMMYFUNCTION("""COMPUTED_VALUE"""),44.0)</f>
        <v>44</v>
      </c>
      <c r="H113" s="163" t="str">
        <f>IFERROR(__xludf.DUMMYFUNCTION("""COMPUTED_VALUE"""),"PG")</f>
        <v>PG</v>
      </c>
      <c r="I113" s="163">
        <f>IFERROR(__xludf.DUMMYFUNCTION("""COMPUTED_VALUE"""),29.0)</f>
        <v>29</v>
      </c>
      <c r="J113" s="165">
        <f>IFERROR(__xludf.DUMMYFUNCTION("""COMPUTED_VALUE"""),-0.155555437987099)</f>
        <v>-0.155555438</v>
      </c>
      <c r="K113" s="165">
        <f>IFERROR(__xludf.DUMMYFUNCTION("""COMPUTED_VALUE"""),0.898348066178124)</f>
        <v>0.8983480662</v>
      </c>
      <c r="L113" s="165">
        <f>IFERROR(__xludf.DUMMYFUNCTION("""COMPUTED_VALUE"""),-1.05390350416522)</f>
        <v>-1.053903504</v>
      </c>
      <c r="M113" s="166">
        <f t="shared" si="2"/>
        <v>1.244378145</v>
      </c>
      <c r="N113" s="167">
        <f t="shared" si="3"/>
        <v>19.68359848</v>
      </c>
      <c r="O113" s="163">
        <f t="shared" ref="O113:Q113" si="117">rank(I113,I:I)</f>
        <v>855</v>
      </c>
      <c r="P113" s="163">
        <f t="shared" si="117"/>
        <v>1448</v>
      </c>
      <c r="Q113" s="163">
        <f t="shared" si="117"/>
        <v>554</v>
      </c>
      <c r="R113" s="163">
        <f>IFERROR(__xludf.DUMMYFUNCTION("RANK(M113,filter(M:M,C:C=C113))"),207.0)</f>
        <v>207</v>
      </c>
      <c r="S113" s="161" t="b">
        <f t="shared" si="5"/>
        <v>0</v>
      </c>
      <c r="T113" s="161" t="b">
        <f t="array" ref="T113">index('Query Tool'!B:B,match(H113,'Query Tool'!C:C,0))</f>
        <v>1</v>
      </c>
      <c r="U113" s="161" t="b">
        <f t="array" ref="U113">index('Query Tool'!B:B,match(C113,'Query Tool'!C:C,0))</f>
        <v>0</v>
      </c>
      <c r="V113" s="161" t="b">
        <f>F113&gt;='Query Tool'!C$32</f>
        <v>1</v>
      </c>
      <c r="W113" s="161" t="b">
        <f t="array" ref="W113">index(Dropdowns!B:B,match(I113,Dropdowns!A:A,0))</f>
        <v>1</v>
      </c>
      <c r="X113" s="161" t="b">
        <f t="array" ref="X113">index('Query Tool'!B:B,match(D113,'Query Tool'!C:C,0))</f>
        <v>1</v>
      </c>
      <c r="Y113" s="161" t="str">
        <f t="shared" si="6"/>
        <v>robinna01,2013-14</v>
      </c>
      <c r="Z113" s="168">
        <f t="array" ref="Z113">iferror(index(I:I,match($A113&amp;","&amp;index('Year Conversion'!$A:$A,match($C113,'Year Conversion'!$B:$B,0)),$Y:$Y,0))-I113,"")</f>
        <v>1</v>
      </c>
      <c r="AA113" s="168">
        <f t="array" ref="AA113">iferror(index(J:J,match($A113&amp;","&amp;index('Year Conversion'!$A:$A,match($C113,'Year Conversion'!$B:$B,0)),$Y:$Y,0))-J113,"")</f>
        <v>-1.332612396</v>
      </c>
      <c r="AB113" s="168">
        <f t="array" ref="AB113">iferror(index(K:K,match($A113&amp;","&amp;index('Year Conversion'!$A:$A,match($C113,'Year Conversion'!$B:$B,0)),$Y:$Y,0))-K113,"")</f>
        <v>-1.462666044</v>
      </c>
      <c r="AC113" s="168" t="str">
        <f t="shared" si="7"/>
        <v>DEN,2013-14</v>
      </c>
    </row>
    <row r="114">
      <c r="A114" s="161" t="str">
        <f>IFERROR(__xludf.DUMMYFUNCTION("""COMPUTED_VALUE"""),"jackja01")</f>
        <v>jackja01</v>
      </c>
      <c r="B114" s="161" t="str">
        <f>IFERROR(__xludf.DUMMYFUNCTION("""COMPUTED_VALUE"""),"Jarrett Jack")</f>
        <v>Jarrett Jack</v>
      </c>
      <c r="C114" s="162" t="str">
        <f>IFERROR(__xludf.DUMMYFUNCTION("""COMPUTED_VALUE"""),"2013-14")</f>
        <v>2013-14</v>
      </c>
      <c r="D114" s="163" t="str">
        <f>IFERROR(__xludf.DUMMYFUNCTION("""COMPUTED_VALUE"""),"CLE")</f>
        <v>CLE</v>
      </c>
      <c r="E114" s="164" t="str">
        <f>IFERROR(__xludf.DUMMYFUNCTION("""COMPUTED_VALUE"""),"Primary Ball Handler")</f>
        <v>Primary Ball Handler</v>
      </c>
      <c r="F114" s="164">
        <f>IFERROR(__xludf.DUMMYFUNCTION("""COMPUTED_VALUE"""),2252.11)</f>
        <v>2252.11</v>
      </c>
      <c r="G114" s="163">
        <f>IFERROR(__xludf.DUMMYFUNCTION("""COMPUTED_VALUE"""),80.0)</f>
        <v>80</v>
      </c>
      <c r="H114" s="163" t="str">
        <f>IFERROR(__xludf.DUMMYFUNCTION("""COMPUTED_VALUE"""),"PG")</f>
        <v>PG</v>
      </c>
      <c r="I114" s="163">
        <f>IFERROR(__xludf.DUMMYFUNCTION("""COMPUTED_VALUE"""),30.0)</f>
        <v>30</v>
      </c>
      <c r="J114" s="165">
        <f>IFERROR(__xludf.DUMMYFUNCTION("""COMPUTED_VALUE"""),-3.06105964905124)</f>
        <v>-3.061059649</v>
      </c>
      <c r="K114" s="165">
        <f>IFERROR(__xludf.DUMMYFUNCTION("""COMPUTED_VALUE"""),-1.66700798862892)</f>
        <v>-1.667007989</v>
      </c>
      <c r="L114" s="165">
        <f>IFERROR(__xludf.DUMMYFUNCTION("""COMPUTED_VALUE"""),-1.39405166042233)</f>
        <v>-1.39405166</v>
      </c>
      <c r="M114" s="166">
        <f t="shared" si="2"/>
        <v>-1.116185248</v>
      </c>
      <c r="N114" s="167">
        <f t="shared" si="3"/>
        <v>28.151375</v>
      </c>
      <c r="O114" s="163">
        <f t="shared" ref="O114:Q114" si="118">rank(I114,I:I)</f>
        <v>655</v>
      </c>
      <c r="P114" s="163">
        <f t="shared" si="118"/>
        <v>3897</v>
      </c>
      <c r="Q114" s="163">
        <f t="shared" si="118"/>
        <v>3494</v>
      </c>
      <c r="R114" s="163">
        <f>IFERROR(__xludf.DUMMYFUNCTION("RANK(M114,filter(M:M,C:C=C114))"),477.0)</f>
        <v>477</v>
      </c>
      <c r="S114" s="161" t="b">
        <f t="shared" si="5"/>
        <v>0</v>
      </c>
      <c r="T114" s="161" t="b">
        <f t="array" ref="T114">index('Query Tool'!B:B,match(H114,'Query Tool'!C:C,0))</f>
        <v>1</v>
      </c>
      <c r="U114" s="161" t="b">
        <f t="array" ref="U114">index('Query Tool'!B:B,match(C114,'Query Tool'!C:C,0))</f>
        <v>0</v>
      </c>
      <c r="V114" s="161" t="b">
        <f>F114&gt;='Query Tool'!C$32</f>
        <v>1</v>
      </c>
      <c r="W114" s="161" t="b">
        <f t="array" ref="W114">index(Dropdowns!B:B,match(I114,Dropdowns!A:A,0))</f>
        <v>1</v>
      </c>
      <c r="X114" s="161" t="b">
        <f t="array" ref="X114">index('Query Tool'!B:B,match(D114,'Query Tool'!C:C,0))</f>
        <v>1</v>
      </c>
      <c r="Y114" s="161" t="str">
        <f t="shared" si="6"/>
        <v>jackja01,2013-14</v>
      </c>
      <c r="Z114" s="168">
        <f t="array" ref="Z114">iferror(index(I:I,match($A114&amp;","&amp;index('Year Conversion'!$A:$A,match($C114,'Year Conversion'!$B:$B,0)),$Y:$Y,0))-I114,"")</f>
        <v>1</v>
      </c>
      <c r="AA114" s="168">
        <f t="array" ref="AA114">iferror(index(J:J,match($A114&amp;","&amp;index('Year Conversion'!$A:$A,match($C114,'Year Conversion'!$B:$B,0)),$Y:$Y,0))-J114,"")</f>
        <v>0.2803926964</v>
      </c>
      <c r="AB114" s="168">
        <f t="array" ref="AB114">iferror(index(K:K,match($A114&amp;","&amp;index('Year Conversion'!$A:$A,match($C114,'Year Conversion'!$B:$B,0)),$Y:$Y,0))-K114,"")</f>
        <v>0.8271929101</v>
      </c>
      <c r="AC114" s="168" t="str">
        <f t="shared" si="7"/>
        <v>CLE,2013-14</v>
      </c>
    </row>
    <row r="115">
      <c r="A115" s="161" t="str">
        <f>IFERROR(__xludf.DUMMYFUNCTION("""COMPUTED_VALUE"""),"garcifr01")</f>
        <v>garcifr01</v>
      </c>
      <c r="B115" s="161" t="str">
        <f>IFERROR(__xludf.DUMMYFUNCTION("""COMPUTED_VALUE"""),"Francisco Garcia")</f>
        <v>Francisco Garcia</v>
      </c>
      <c r="C115" s="162" t="str">
        <f>IFERROR(__xludf.DUMMYFUNCTION("""COMPUTED_VALUE"""),"2013-14")</f>
        <v>2013-14</v>
      </c>
      <c r="D115" s="163" t="str">
        <f>IFERROR(__xludf.DUMMYFUNCTION("""COMPUTED_VALUE"""),"HOU")</f>
        <v>HOU</v>
      </c>
      <c r="E115" s="164" t="str">
        <f>IFERROR(__xludf.DUMMYFUNCTION("""COMPUTED_VALUE"""),"Stationary Shooter")</f>
        <v>Stationary Shooter</v>
      </c>
      <c r="F115" s="164">
        <f>IFERROR(__xludf.DUMMYFUNCTION("""COMPUTED_VALUE"""),1083.25)</f>
        <v>1083.25</v>
      </c>
      <c r="G115" s="163">
        <f>IFERROR(__xludf.DUMMYFUNCTION("""COMPUTED_VALUE"""),55.0)</f>
        <v>55</v>
      </c>
      <c r="H115" s="163" t="str">
        <f>IFERROR(__xludf.DUMMYFUNCTION("""COMPUTED_VALUE"""),"SF")</f>
        <v>SF</v>
      </c>
      <c r="I115" s="163">
        <f>IFERROR(__xludf.DUMMYFUNCTION("""COMPUTED_VALUE"""),32.0)</f>
        <v>32</v>
      </c>
      <c r="J115" s="165">
        <f>IFERROR(__xludf.DUMMYFUNCTION("""COMPUTED_VALUE"""),-1.46388927707334)</f>
        <v>-1.463889277</v>
      </c>
      <c r="K115" s="165">
        <f>IFERROR(__xludf.DUMMYFUNCTION("""COMPUTED_VALUE"""),-1.27084466095763)</f>
        <v>-1.270844661</v>
      </c>
      <c r="L115" s="165">
        <f>IFERROR(__xludf.DUMMYFUNCTION("""COMPUTED_VALUE"""),-0.193044616115703)</f>
        <v>-0.1930446161</v>
      </c>
      <c r="M115" s="166">
        <f t="shared" si="2"/>
        <v>0.6040798671</v>
      </c>
      <c r="N115" s="167">
        <f t="shared" si="3"/>
        <v>19.69545455</v>
      </c>
      <c r="O115" s="163">
        <f t="shared" ref="O115:Q115" si="119">rank(I115,I:I)</f>
        <v>359</v>
      </c>
      <c r="P115" s="163">
        <f t="shared" si="119"/>
        <v>3021</v>
      </c>
      <c r="Q115" s="163">
        <f t="shared" si="119"/>
        <v>3109</v>
      </c>
      <c r="R115" s="163">
        <f>IFERROR(__xludf.DUMMYFUNCTION("RANK(M115,filter(M:M,C:C=C115))"),259.0)</f>
        <v>259</v>
      </c>
      <c r="S115" s="161" t="b">
        <f t="shared" si="5"/>
        <v>0</v>
      </c>
      <c r="T115" s="161" t="b">
        <f t="array" ref="T115">index('Query Tool'!B:B,match(H115,'Query Tool'!C:C,0))</f>
        <v>1</v>
      </c>
      <c r="U115" s="161" t="b">
        <f t="array" ref="U115">index('Query Tool'!B:B,match(C115,'Query Tool'!C:C,0))</f>
        <v>0</v>
      </c>
      <c r="V115" s="161" t="b">
        <f>F115&gt;='Query Tool'!C$32</f>
        <v>1</v>
      </c>
      <c r="W115" s="161" t="b">
        <f t="array" ref="W115">index(Dropdowns!B:B,match(I115,Dropdowns!A:A,0))</f>
        <v>1</v>
      </c>
      <c r="X115" s="161" t="b">
        <f t="array" ref="X115">index('Query Tool'!B:B,match(D115,'Query Tool'!C:C,0))</f>
        <v>1</v>
      </c>
      <c r="Y115" s="161" t="str">
        <f t="shared" si="6"/>
        <v>garcifr01,2013-14</v>
      </c>
      <c r="Z115" s="168">
        <f t="array" ref="Z115">iferror(index(I:I,match($A115&amp;","&amp;index('Year Conversion'!$A:$A,match($C115,'Year Conversion'!$B:$B,0)),$Y:$Y,0))-I115,"")</f>
        <v>1</v>
      </c>
      <c r="AA115" s="168">
        <f t="array" ref="AA115">iferror(index(J:J,match($A115&amp;","&amp;index('Year Conversion'!$A:$A,match($C115,'Year Conversion'!$B:$B,0)),$Y:$Y,0))-J115,"")</f>
        <v>0.7626916701</v>
      </c>
      <c r="AB115" s="168">
        <f t="array" ref="AB115">iferror(index(K:K,match($A115&amp;","&amp;index('Year Conversion'!$A:$A,match($C115,'Year Conversion'!$B:$B,0)),$Y:$Y,0))-K115,"")</f>
        <v>0.9855538927</v>
      </c>
      <c r="AC115" s="168" t="str">
        <f t="shared" si="7"/>
        <v>HOU,2013-14</v>
      </c>
    </row>
    <row r="116">
      <c r="A116" s="161" t="str">
        <f>IFERROR(__xludf.DUMMYFUNCTION("""COMPUTED_VALUE"""),"maxieja01")</f>
        <v>maxieja01</v>
      </c>
      <c r="B116" s="161" t="str">
        <f>IFERROR(__xludf.DUMMYFUNCTION("""COMPUTED_VALUE"""),"Jason Maxiell")</f>
        <v>Jason Maxiell</v>
      </c>
      <c r="C116" s="162" t="str">
        <f>IFERROR(__xludf.DUMMYFUNCTION("""COMPUTED_VALUE"""),"2013-14")</f>
        <v>2013-14</v>
      </c>
      <c r="D116" s="163" t="str">
        <f>IFERROR(__xludf.DUMMYFUNCTION("""COMPUTED_VALUE"""),"ORL")</f>
        <v>ORL</v>
      </c>
      <c r="E116" s="164" t="str">
        <f>IFERROR(__xludf.DUMMYFUNCTION("""COMPUTED_VALUE"""),"Post Scorer")</f>
        <v>Post Scorer</v>
      </c>
      <c r="F116" s="164">
        <f>IFERROR(__xludf.DUMMYFUNCTION("""COMPUTED_VALUE"""),488.471666666667)</f>
        <v>488.4716667</v>
      </c>
      <c r="G116" s="163">
        <f>IFERROR(__xludf.DUMMYFUNCTION("""COMPUTED_VALUE"""),34.0)</f>
        <v>34</v>
      </c>
      <c r="H116" s="163" t="str">
        <f>IFERROR(__xludf.DUMMYFUNCTION("""COMPUTED_VALUE"""),"PF")</f>
        <v>PF</v>
      </c>
      <c r="I116" s="163">
        <f>IFERROR(__xludf.DUMMYFUNCTION("""COMPUTED_VALUE"""),30.0)</f>
        <v>30</v>
      </c>
      <c r="J116" s="165">
        <f>IFERROR(__xludf.DUMMYFUNCTION("""COMPUTED_VALUE"""),-1.62607768199747)</f>
        <v>-1.626077682</v>
      </c>
      <c r="K116" s="165">
        <f>IFERROR(__xludf.DUMMYFUNCTION("""COMPUTED_VALUE"""),-2.70069355389283)</f>
        <v>-2.700693554</v>
      </c>
      <c r="L116" s="165">
        <f>IFERROR(__xludf.DUMMYFUNCTION("""COMPUTED_VALUE"""),1.07461587189536)</f>
        <v>1.074615872</v>
      </c>
      <c r="M116" s="166">
        <f t="shared" si="2"/>
        <v>0.2195147046</v>
      </c>
      <c r="N116" s="167">
        <f t="shared" si="3"/>
        <v>14.36681373</v>
      </c>
      <c r="O116" s="163">
        <f t="shared" ref="O116:Q116" si="120">rank(I116,I:I)</f>
        <v>655</v>
      </c>
      <c r="P116" s="163">
        <f t="shared" si="120"/>
        <v>3172</v>
      </c>
      <c r="Q116" s="163">
        <f t="shared" si="120"/>
        <v>3933</v>
      </c>
      <c r="R116" s="163">
        <f>IFERROR(__xludf.DUMMYFUNCTION("RANK(M116,filter(M:M,C:C=C116))"),315.0)</f>
        <v>315</v>
      </c>
      <c r="S116" s="161" t="b">
        <f t="shared" si="5"/>
        <v>0</v>
      </c>
      <c r="T116" s="161" t="b">
        <f t="array" ref="T116">index('Query Tool'!B:B,match(H116,'Query Tool'!C:C,0))</f>
        <v>1</v>
      </c>
      <c r="U116" s="161" t="b">
        <f t="array" ref="U116">index('Query Tool'!B:B,match(C116,'Query Tool'!C:C,0))</f>
        <v>0</v>
      </c>
      <c r="V116" s="161" t="b">
        <f>F116&gt;='Query Tool'!C$32</f>
        <v>0</v>
      </c>
      <c r="W116" s="161" t="b">
        <f t="array" ref="W116">index(Dropdowns!B:B,match(I116,Dropdowns!A:A,0))</f>
        <v>1</v>
      </c>
      <c r="X116" s="161" t="b">
        <f t="array" ref="X116">index('Query Tool'!B:B,match(D116,'Query Tool'!C:C,0))</f>
        <v>1</v>
      </c>
      <c r="Y116" s="161" t="str">
        <f t="shared" si="6"/>
        <v>maxieja01,2013-14</v>
      </c>
      <c r="Z116" s="168">
        <f t="array" ref="Z116">iferror(index(I:I,match($A116&amp;","&amp;index('Year Conversion'!$A:$A,match($C116,'Year Conversion'!$B:$B,0)),$Y:$Y,0))-I116,"")</f>
        <v>1</v>
      </c>
      <c r="AA116" s="168">
        <f t="array" ref="AA116">iferror(index(J:J,match($A116&amp;","&amp;index('Year Conversion'!$A:$A,match($C116,'Year Conversion'!$B:$B,0)),$Y:$Y,0))-J116,"")</f>
        <v>0.5497822245</v>
      </c>
      <c r="AB116" s="168">
        <f t="array" ref="AB116">iferror(index(K:K,match($A116&amp;","&amp;index('Year Conversion'!$A:$A,match($C116,'Year Conversion'!$B:$B,0)),$Y:$Y,0))-K116,"")</f>
        <v>0.4575518475</v>
      </c>
      <c r="AC116" s="168" t="str">
        <f t="shared" si="7"/>
        <v>ORL,2013-14</v>
      </c>
    </row>
    <row r="117">
      <c r="A117" s="161" t="str">
        <f>IFERROR(__xludf.DUMMYFUNCTION("""COMPUTED_VALUE"""),"mahinia01")</f>
        <v>mahinia01</v>
      </c>
      <c r="B117" s="161" t="str">
        <f>IFERROR(__xludf.DUMMYFUNCTION("""COMPUTED_VALUE"""),"Ian Mahinmi")</f>
        <v>Ian Mahinmi</v>
      </c>
      <c r="C117" s="162" t="str">
        <f>IFERROR(__xludf.DUMMYFUNCTION("""COMPUTED_VALUE"""),"2013-14")</f>
        <v>2013-14</v>
      </c>
      <c r="D117" s="163" t="str">
        <f>IFERROR(__xludf.DUMMYFUNCTION("""COMPUTED_VALUE"""),"IND")</f>
        <v>IND</v>
      </c>
      <c r="E117" s="164" t="str">
        <f>IFERROR(__xludf.DUMMYFUNCTION("""COMPUTED_VALUE"""),"Roll + Cut Big")</f>
        <v>Roll + Cut Big</v>
      </c>
      <c r="F117" s="164">
        <f>IFERROR(__xludf.DUMMYFUNCTION("""COMPUTED_VALUE"""),1247.80333333333)</f>
        <v>1247.803333</v>
      </c>
      <c r="G117" s="163">
        <f>IFERROR(__xludf.DUMMYFUNCTION("""COMPUTED_VALUE"""),77.0)</f>
        <v>77</v>
      </c>
      <c r="H117" s="163" t="str">
        <f>IFERROR(__xludf.DUMMYFUNCTION("""COMPUTED_VALUE"""),"C")</f>
        <v>C</v>
      </c>
      <c r="I117" s="163">
        <f>IFERROR(__xludf.DUMMYFUNCTION("""COMPUTED_VALUE"""),27.0)</f>
        <v>27</v>
      </c>
      <c r="J117" s="165">
        <f>IFERROR(__xludf.DUMMYFUNCTION("""COMPUTED_VALUE"""),-0.874334799093321)</f>
        <v>-0.8743347991</v>
      </c>
      <c r="K117" s="165">
        <f>IFERROR(__xludf.DUMMYFUNCTION("""COMPUTED_VALUE"""),-3.53904407576563)</f>
        <v>-3.539044076</v>
      </c>
      <c r="L117" s="165">
        <f>IFERROR(__xludf.DUMMYFUNCTION("""COMPUTED_VALUE"""),2.66470927667231)</f>
        <v>2.664709277</v>
      </c>
      <c r="M117" s="166">
        <f t="shared" si="2"/>
        <v>1.18893728</v>
      </c>
      <c r="N117" s="167">
        <f t="shared" si="3"/>
        <v>16.2052381</v>
      </c>
      <c r="O117" s="163">
        <f t="shared" ref="O117:Q117" si="121">rank(I117,I:I)</f>
        <v>1366</v>
      </c>
      <c r="P117" s="163">
        <f t="shared" si="121"/>
        <v>2369</v>
      </c>
      <c r="Q117" s="163">
        <f t="shared" si="121"/>
        <v>4007</v>
      </c>
      <c r="R117" s="163">
        <f>IFERROR(__xludf.DUMMYFUNCTION("RANK(M117,filter(M:M,C:C=C117))"),213.0)</f>
        <v>213</v>
      </c>
      <c r="S117" s="161" t="b">
        <f t="shared" si="5"/>
        <v>0</v>
      </c>
      <c r="T117" s="161" t="b">
        <f t="array" ref="T117">index('Query Tool'!B:B,match(H117,'Query Tool'!C:C,0))</f>
        <v>1</v>
      </c>
      <c r="U117" s="161" t="b">
        <f t="array" ref="U117">index('Query Tool'!B:B,match(C117,'Query Tool'!C:C,0))</f>
        <v>0</v>
      </c>
      <c r="V117" s="161" t="b">
        <f>F117&gt;='Query Tool'!C$32</f>
        <v>1</v>
      </c>
      <c r="W117" s="161" t="b">
        <f t="array" ref="W117">index(Dropdowns!B:B,match(I117,Dropdowns!A:A,0))</f>
        <v>1</v>
      </c>
      <c r="X117" s="161" t="b">
        <f t="array" ref="X117">index('Query Tool'!B:B,match(D117,'Query Tool'!C:C,0))</f>
        <v>1</v>
      </c>
      <c r="Y117" s="161" t="str">
        <f t="shared" si="6"/>
        <v>mahinia01,2013-14</v>
      </c>
      <c r="Z117" s="168">
        <f t="array" ref="Z117">iferror(index(I:I,match($A117&amp;","&amp;index('Year Conversion'!$A:$A,match($C117,'Year Conversion'!$B:$B,0)),$Y:$Y,0))-I117,"")</f>
        <v>1</v>
      </c>
      <c r="AA117" s="168">
        <f t="array" ref="AA117">iferror(index(J:J,match($A117&amp;","&amp;index('Year Conversion'!$A:$A,match($C117,'Year Conversion'!$B:$B,0)),$Y:$Y,0))-J117,"")</f>
        <v>0.7623778086</v>
      </c>
      <c r="AB117" s="168">
        <f t="array" ref="AB117">iferror(index(K:K,match($A117&amp;","&amp;index('Year Conversion'!$A:$A,match($C117,'Year Conversion'!$B:$B,0)),$Y:$Y,0))-K117,"")</f>
        <v>1.331240266</v>
      </c>
      <c r="AC117" s="168" t="str">
        <f t="shared" si="7"/>
        <v>IND,2013-14</v>
      </c>
    </row>
    <row r="118">
      <c r="A118" s="161" t="str">
        <f>IFERROR(__xludf.DUMMYFUNCTION("""COMPUTED_VALUE"""),"leeda02")</f>
        <v>leeda02</v>
      </c>
      <c r="B118" s="161" t="str">
        <f>IFERROR(__xludf.DUMMYFUNCTION("""COMPUTED_VALUE"""),"David Lee")</f>
        <v>David Lee</v>
      </c>
      <c r="C118" s="162" t="str">
        <f>IFERROR(__xludf.DUMMYFUNCTION("""COMPUTED_VALUE"""),"2013-14")</f>
        <v>2013-14</v>
      </c>
      <c r="D118" s="163" t="str">
        <f>IFERROR(__xludf.DUMMYFUNCTION("""COMPUTED_VALUE"""),"GSW")</f>
        <v>GSW</v>
      </c>
      <c r="E118" s="164" t="str">
        <f>IFERROR(__xludf.DUMMYFUNCTION("""COMPUTED_VALUE"""),"Post Scorer")</f>
        <v>Post Scorer</v>
      </c>
      <c r="F118" s="164">
        <f>IFERROR(__xludf.DUMMYFUNCTION("""COMPUTED_VALUE"""),2288.30333333333)</f>
        <v>2288.303333</v>
      </c>
      <c r="G118" s="163">
        <f>IFERROR(__xludf.DUMMYFUNCTION("""COMPUTED_VALUE"""),69.0)</f>
        <v>69</v>
      </c>
      <c r="H118" s="163" t="str">
        <f>IFERROR(__xludf.DUMMYFUNCTION("""COMPUTED_VALUE"""),"PF")</f>
        <v>PF</v>
      </c>
      <c r="I118" s="163">
        <f>IFERROR(__xludf.DUMMYFUNCTION("""COMPUTED_VALUE"""),30.0)</f>
        <v>30</v>
      </c>
      <c r="J118" s="165">
        <f>IFERROR(__xludf.DUMMYFUNCTION("""COMPUTED_VALUE"""),2.35153753792558)</f>
        <v>2.351537538</v>
      </c>
      <c r="K118" s="165">
        <f>IFERROR(__xludf.DUMMYFUNCTION("""COMPUTED_VALUE"""),1.13642859599686)</f>
        <v>1.136428596</v>
      </c>
      <c r="L118" s="165">
        <f>IFERROR(__xludf.DUMMYFUNCTION("""COMPUTED_VALUE"""),1.21510894192872)</f>
        <v>1.215108942</v>
      </c>
      <c r="M118" s="166">
        <f t="shared" si="2"/>
        <v>7.12802304</v>
      </c>
      <c r="N118" s="167">
        <f t="shared" si="3"/>
        <v>33.16381643</v>
      </c>
      <c r="O118" s="163">
        <f t="shared" ref="O118:Q118" si="122">rank(I118,I:I)</f>
        <v>655</v>
      </c>
      <c r="P118" s="163">
        <f t="shared" si="122"/>
        <v>247</v>
      </c>
      <c r="Q118" s="163">
        <f t="shared" si="122"/>
        <v>439</v>
      </c>
      <c r="R118" s="163">
        <f>IFERROR(__xludf.DUMMYFUNCTION("RANK(M118,filter(M:M,C:C=C118))"),39.0)</f>
        <v>39</v>
      </c>
      <c r="S118" s="161" t="b">
        <f t="shared" si="5"/>
        <v>0</v>
      </c>
      <c r="T118" s="161" t="b">
        <f t="array" ref="T118">index('Query Tool'!B:B,match(H118,'Query Tool'!C:C,0))</f>
        <v>1</v>
      </c>
      <c r="U118" s="161" t="b">
        <f t="array" ref="U118">index('Query Tool'!B:B,match(C118,'Query Tool'!C:C,0))</f>
        <v>0</v>
      </c>
      <c r="V118" s="161" t="b">
        <f>F118&gt;='Query Tool'!C$32</f>
        <v>1</v>
      </c>
      <c r="W118" s="161" t="b">
        <f t="array" ref="W118">index(Dropdowns!B:B,match(I118,Dropdowns!A:A,0))</f>
        <v>1</v>
      </c>
      <c r="X118" s="161" t="b">
        <f t="array" ref="X118">index('Query Tool'!B:B,match(D118,'Query Tool'!C:C,0))</f>
        <v>1</v>
      </c>
      <c r="Y118" s="161" t="str">
        <f t="shared" si="6"/>
        <v>leeda02,2013-14</v>
      </c>
      <c r="Z118" s="168">
        <f t="array" ref="Z118">iferror(index(I:I,match($A118&amp;","&amp;index('Year Conversion'!$A:$A,match($C118,'Year Conversion'!$B:$B,0)),$Y:$Y,0))-I118,"")</f>
        <v>1</v>
      </c>
      <c r="AA118" s="168">
        <f t="array" ref="AA118">iferror(index(J:J,match($A118&amp;","&amp;index('Year Conversion'!$A:$A,match($C118,'Year Conversion'!$B:$B,0)),$Y:$Y,0))-J118,"")</f>
        <v>-2.267765625</v>
      </c>
      <c r="AB118" s="168">
        <f t="array" ref="AB118">iferror(index(K:K,match($A118&amp;","&amp;index('Year Conversion'!$A:$A,match($C118,'Year Conversion'!$B:$B,0)),$Y:$Y,0))-K118,"")</f>
        <v>-1.179835197</v>
      </c>
      <c r="AC118" s="168" t="str">
        <f t="shared" si="7"/>
        <v>GSW,2013-14</v>
      </c>
    </row>
    <row r="119">
      <c r="A119" s="161" t="str">
        <f>IFERROR(__xludf.DUMMYFUNCTION("""COMPUTED_VALUE"""),"bassbr01")</f>
        <v>bassbr01</v>
      </c>
      <c r="B119" s="161" t="str">
        <f>IFERROR(__xludf.DUMMYFUNCTION("""COMPUTED_VALUE"""),"Brandon Bass")</f>
        <v>Brandon Bass</v>
      </c>
      <c r="C119" s="162" t="str">
        <f>IFERROR(__xludf.DUMMYFUNCTION("""COMPUTED_VALUE"""),"2013-14")</f>
        <v>2013-14</v>
      </c>
      <c r="D119" s="163" t="str">
        <f>IFERROR(__xludf.DUMMYFUNCTION("""COMPUTED_VALUE"""),"BOS")</f>
        <v>BOS</v>
      </c>
      <c r="E119" s="164" t="str">
        <f>IFERROR(__xludf.DUMMYFUNCTION("""COMPUTED_VALUE"""),"Post Scorer")</f>
        <v>Post Scorer</v>
      </c>
      <c r="F119" s="164">
        <f>IFERROR(__xludf.DUMMYFUNCTION("""COMPUTED_VALUE"""),2266.39833333333)</f>
        <v>2266.398333</v>
      </c>
      <c r="G119" s="163">
        <f>IFERROR(__xludf.DUMMYFUNCTION("""COMPUTED_VALUE"""),82.0)</f>
        <v>82</v>
      </c>
      <c r="H119" s="163" t="str">
        <f>IFERROR(__xludf.DUMMYFUNCTION("""COMPUTED_VALUE"""),"PF")</f>
        <v>PF</v>
      </c>
      <c r="I119" s="163">
        <f>IFERROR(__xludf.DUMMYFUNCTION("""COMPUTED_VALUE"""),28.0)</f>
        <v>28</v>
      </c>
      <c r="J119" s="165">
        <f>IFERROR(__xludf.DUMMYFUNCTION("""COMPUTED_VALUE"""),-2.48030498524982)</f>
        <v>-2.480304985</v>
      </c>
      <c r="K119" s="165">
        <f>IFERROR(__xludf.DUMMYFUNCTION("""COMPUTED_VALUE"""),-1.92653975994576)</f>
        <v>-1.92653976</v>
      </c>
      <c r="L119" s="165">
        <f>IFERROR(__xludf.DUMMYFUNCTION("""COMPUTED_VALUE"""),-0.553765225304064)</f>
        <v>-0.5537652253</v>
      </c>
      <c r="M119" s="166">
        <f t="shared" si="2"/>
        <v>-0.2637716403</v>
      </c>
      <c r="N119" s="167">
        <f t="shared" si="3"/>
        <v>27.63900407</v>
      </c>
      <c r="O119" s="163">
        <f t="shared" ref="O119:Q119" si="123">rank(I119,I:I)</f>
        <v>1090</v>
      </c>
      <c r="P119" s="163">
        <f t="shared" si="123"/>
        <v>3748</v>
      </c>
      <c r="Q119" s="163">
        <f t="shared" si="123"/>
        <v>3670</v>
      </c>
      <c r="R119" s="163">
        <f>IFERROR(__xludf.DUMMYFUNCTION("RANK(M119,filter(M:M,C:C=C119))"),462.0)</f>
        <v>462</v>
      </c>
      <c r="S119" s="161" t="b">
        <f t="shared" si="5"/>
        <v>0</v>
      </c>
      <c r="T119" s="161" t="b">
        <f t="array" ref="T119">index('Query Tool'!B:B,match(H119,'Query Tool'!C:C,0))</f>
        <v>1</v>
      </c>
      <c r="U119" s="161" t="b">
        <f t="array" ref="U119">index('Query Tool'!B:B,match(C119,'Query Tool'!C:C,0))</f>
        <v>0</v>
      </c>
      <c r="V119" s="161" t="b">
        <f>F119&gt;='Query Tool'!C$32</f>
        <v>1</v>
      </c>
      <c r="W119" s="161" t="b">
        <f t="array" ref="W119">index(Dropdowns!B:B,match(I119,Dropdowns!A:A,0))</f>
        <v>1</v>
      </c>
      <c r="X119" s="161" t="b">
        <f t="array" ref="X119">index('Query Tool'!B:B,match(D119,'Query Tool'!C:C,0))</f>
        <v>1</v>
      </c>
      <c r="Y119" s="161" t="str">
        <f t="shared" si="6"/>
        <v>bassbr01,2013-14</v>
      </c>
      <c r="Z119" s="168">
        <f t="array" ref="Z119">iferror(index(I:I,match($A119&amp;","&amp;index('Year Conversion'!$A:$A,match($C119,'Year Conversion'!$B:$B,0)),$Y:$Y,0))-I119,"")</f>
        <v>1</v>
      </c>
      <c r="AA119" s="168">
        <f t="array" ref="AA119">iferror(index(J:J,match($A119&amp;","&amp;index('Year Conversion'!$A:$A,match($C119,'Year Conversion'!$B:$B,0)),$Y:$Y,0))-J119,"")</f>
        <v>2.029948074</v>
      </c>
      <c r="AB119" s="168">
        <f t="array" ref="AB119">iferror(index(K:K,match($A119&amp;","&amp;index('Year Conversion'!$A:$A,match($C119,'Year Conversion'!$B:$B,0)),$Y:$Y,0))-K119,"")</f>
        <v>1.528848187</v>
      </c>
      <c r="AC119" s="168" t="str">
        <f t="shared" si="7"/>
        <v>BOS,2013-14</v>
      </c>
    </row>
    <row r="120">
      <c r="A120" s="161" t="str">
        <f>IFERROR(__xludf.DUMMYFUNCTION("""COMPUTED_VALUE"""),"milescj01")</f>
        <v>milescj01</v>
      </c>
      <c r="B120" s="161" t="str">
        <f>IFERROR(__xludf.DUMMYFUNCTION("""COMPUTED_VALUE"""),"CJ Miles")</f>
        <v>CJ Miles</v>
      </c>
      <c r="C120" s="162" t="str">
        <f>IFERROR(__xludf.DUMMYFUNCTION("""COMPUTED_VALUE"""),"2013-14")</f>
        <v>2013-14</v>
      </c>
      <c r="D120" s="163" t="str">
        <f>IFERROR(__xludf.DUMMYFUNCTION("""COMPUTED_VALUE"""),"CLE")</f>
        <v>CLE</v>
      </c>
      <c r="E120" s="164" t="str">
        <f>IFERROR(__xludf.DUMMYFUNCTION("""COMPUTED_VALUE"""),"Off Screen Shooter")</f>
        <v>Off Screen Shooter</v>
      </c>
      <c r="F120" s="164">
        <f>IFERROR(__xludf.DUMMYFUNCTION("""COMPUTED_VALUE"""),984.123333333333)</f>
        <v>984.1233333</v>
      </c>
      <c r="G120" s="163">
        <f>IFERROR(__xludf.DUMMYFUNCTION("""COMPUTED_VALUE"""),51.0)</f>
        <v>51</v>
      </c>
      <c r="H120" s="163" t="str">
        <f>IFERROR(__xludf.DUMMYFUNCTION("""COMPUTED_VALUE"""),"SG")</f>
        <v>SG</v>
      </c>
      <c r="I120" s="163">
        <f>IFERROR(__xludf.DUMMYFUNCTION("""COMPUTED_VALUE"""),26.0)</f>
        <v>26</v>
      </c>
      <c r="J120" s="165">
        <f>IFERROR(__xludf.DUMMYFUNCTION("""COMPUTED_VALUE"""),0.659607370417813)</f>
        <v>0.6596073704</v>
      </c>
      <c r="K120" s="165">
        <f>IFERROR(__xludf.DUMMYFUNCTION("""COMPUTED_VALUE"""),0.566689732530754)</f>
        <v>0.5666897325</v>
      </c>
      <c r="L120" s="165">
        <f>IFERROR(__xludf.DUMMYFUNCTION("""COMPUTED_VALUE"""),0.0929176378870592)</f>
        <v>0.09291763789</v>
      </c>
      <c r="M120" s="166">
        <f t="shared" si="2"/>
        <v>1.954566026</v>
      </c>
      <c r="N120" s="167">
        <f t="shared" si="3"/>
        <v>19.29653595</v>
      </c>
      <c r="O120" s="163">
        <f t="shared" ref="O120:Q120" si="124">rank(I120,I:I)</f>
        <v>1665</v>
      </c>
      <c r="P120" s="163">
        <f t="shared" si="124"/>
        <v>816</v>
      </c>
      <c r="Q120" s="163">
        <f t="shared" si="124"/>
        <v>733</v>
      </c>
      <c r="R120" s="163">
        <f>IFERROR(__xludf.DUMMYFUNCTION("RANK(M120,filter(M:M,C:C=C120))"),157.0)</f>
        <v>157</v>
      </c>
      <c r="S120" s="161" t="b">
        <f t="shared" si="5"/>
        <v>0</v>
      </c>
      <c r="T120" s="161" t="b">
        <f t="array" ref="T120">index('Query Tool'!B:B,match(H120,'Query Tool'!C:C,0))</f>
        <v>1</v>
      </c>
      <c r="U120" s="161" t="b">
        <f t="array" ref="U120">index('Query Tool'!B:B,match(C120,'Query Tool'!C:C,0))</f>
        <v>0</v>
      </c>
      <c r="V120" s="161" t="b">
        <f>F120&gt;='Query Tool'!C$32</f>
        <v>1</v>
      </c>
      <c r="W120" s="161" t="b">
        <f t="array" ref="W120">index(Dropdowns!B:B,match(I120,Dropdowns!A:A,0))</f>
        <v>1</v>
      </c>
      <c r="X120" s="161" t="b">
        <f t="array" ref="X120">index('Query Tool'!B:B,match(D120,'Query Tool'!C:C,0))</f>
        <v>1</v>
      </c>
      <c r="Y120" s="161" t="str">
        <f t="shared" si="6"/>
        <v>milescj01,2013-14</v>
      </c>
      <c r="Z120" s="168">
        <f t="array" ref="Z120">iferror(index(I:I,match($A120&amp;","&amp;index('Year Conversion'!$A:$A,match($C120,'Year Conversion'!$B:$B,0)),$Y:$Y,0))-I120,"")</f>
        <v>1</v>
      </c>
      <c r="AA120" s="168">
        <f t="array" ref="AA120">iferror(index(J:J,match($A120&amp;","&amp;index('Year Conversion'!$A:$A,match($C120,'Year Conversion'!$B:$B,0)),$Y:$Y,0))-J120,"")</f>
        <v>0.9767676532</v>
      </c>
      <c r="AB120" s="168">
        <f t="array" ref="AB120">iferror(index(K:K,match($A120&amp;","&amp;index('Year Conversion'!$A:$A,match($C120,'Year Conversion'!$B:$B,0)),$Y:$Y,0))-K120,"")</f>
        <v>0.5249190112</v>
      </c>
      <c r="AC120" s="168" t="str">
        <f t="shared" si="7"/>
        <v>CLE,2013-14</v>
      </c>
    </row>
    <row r="121">
      <c r="A121" s="161" t="str">
        <f>IFERROR(__xludf.DUMMYFUNCTION("""COMPUTED_VALUE"""),"ilyaser01")</f>
        <v>ilyaser01</v>
      </c>
      <c r="B121" s="161" t="str">
        <f>IFERROR(__xludf.DUMMYFUNCTION("""COMPUTED_VALUE"""),"Ersan Ilyasova")</f>
        <v>Ersan Ilyasova</v>
      </c>
      <c r="C121" s="162" t="str">
        <f>IFERROR(__xludf.DUMMYFUNCTION("""COMPUTED_VALUE"""),"2013-14")</f>
        <v>2013-14</v>
      </c>
      <c r="D121" s="163" t="str">
        <f>IFERROR(__xludf.DUMMYFUNCTION("""COMPUTED_VALUE"""),"MIL")</f>
        <v>MIL</v>
      </c>
      <c r="E121" s="164" t="str">
        <f>IFERROR(__xludf.DUMMYFUNCTION("""COMPUTED_VALUE"""),"Roll + Cut Big")</f>
        <v>Roll + Cut Big</v>
      </c>
      <c r="F121" s="164">
        <f>IFERROR(__xludf.DUMMYFUNCTION("""COMPUTED_VALUE"""),1478.505)</f>
        <v>1478.505</v>
      </c>
      <c r="G121" s="163">
        <f>IFERROR(__xludf.DUMMYFUNCTION("""COMPUTED_VALUE"""),55.0)</f>
        <v>55</v>
      </c>
      <c r="H121" s="163" t="str">
        <f>IFERROR(__xludf.DUMMYFUNCTION("""COMPUTED_VALUE"""),"PF")</f>
        <v>PF</v>
      </c>
      <c r="I121" s="163">
        <f>IFERROR(__xludf.DUMMYFUNCTION("""COMPUTED_VALUE"""),26.0)</f>
        <v>26</v>
      </c>
      <c r="J121" s="165">
        <f>IFERROR(__xludf.DUMMYFUNCTION("""COMPUTED_VALUE"""),-0.678566820746971)</f>
        <v>-0.6785668207</v>
      </c>
      <c r="K121" s="165">
        <f>IFERROR(__xludf.DUMMYFUNCTION("""COMPUTED_VALUE"""),-0.519550036614639)</f>
        <v>-0.5195500366</v>
      </c>
      <c r="L121" s="165">
        <f>IFERROR(__xludf.DUMMYFUNCTION("""COMPUTED_VALUE"""),-0.159016784132332)</f>
        <v>-0.1590167841</v>
      </c>
      <c r="M121" s="166">
        <f t="shared" si="2"/>
        <v>1.603403533</v>
      </c>
      <c r="N121" s="167">
        <f t="shared" si="3"/>
        <v>26.88190909</v>
      </c>
      <c r="O121" s="163">
        <f t="shared" ref="O121:Q121" si="125">rank(I121,I:I)</f>
        <v>1665</v>
      </c>
      <c r="P121" s="163">
        <f t="shared" si="125"/>
        <v>2104</v>
      </c>
      <c r="Q121" s="163">
        <f t="shared" si="125"/>
        <v>2142</v>
      </c>
      <c r="R121" s="163">
        <f>IFERROR(__xludf.DUMMYFUNCTION("RANK(M121,filter(M:M,C:C=C121))"),177.0)</f>
        <v>177</v>
      </c>
      <c r="S121" s="161" t="b">
        <f t="shared" si="5"/>
        <v>0</v>
      </c>
      <c r="T121" s="161" t="b">
        <f t="array" ref="T121">index('Query Tool'!B:B,match(H121,'Query Tool'!C:C,0))</f>
        <v>1</v>
      </c>
      <c r="U121" s="161" t="b">
        <f t="array" ref="U121">index('Query Tool'!B:B,match(C121,'Query Tool'!C:C,0))</f>
        <v>0</v>
      </c>
      <c r="V121" s="161" t="b">
        <f>F121&gt;='Query Tool'!C$32</f>
        <v>1</v>
      </c>
      <c r="W121" s="161" t="b">
        <f t="array" ref="W121">index(Dropdowns!B:B,match(I121,Dropdowns!A:A,0))</f>
        <v>1</v>
      </c>
      <c r="X121" s="161" t="b">
        <f t="array" ref="X121">index('Query Tool'!B:B,match(D121,'Query Tool'!C:C,0))</f>
        <v>1</v>
      </c>
      <c r="Y121" s="161" t="str">
        <f t="shared" si="6"/>
        <v>ilyaser01,2013-14</v>
      </c>
      <c r="Z121" s="168">
        <f t="array" ref="Z121">iferror(index(I:I,match($A121&amp;","&amp;index('Year Conversion'!$A:$A,match($C121,'Year Conversion'!$B:$B,0)),$Y:$Y,0))-I121,"")</f>
        <v>1</v>
      </c>
      <c r="AA121" s="168">
        <f t="array" ref="AA121">iferror(index(J:J,match($A121&amp;","&amp;index('Year Conversion'!$A:$A,match($C121,'Year Conversion'!$B:$B,0)),$Y:$Y,0))-J121,"")</f>
        <v>1.310926216</v>
      </c>
      <c r="AB121" s="168">
        <f t="array" ref="AB121">iferror(index(K:K,match($A121&amp;","&amp;index('Year Conversion'!$A:$A,match($C121,'Year Conversion'!$B:$B,0)),$Y:$Y,0))-K121,"")</f>
        <v>1.276958802</v>
      </c>
      <c r="AC121" s="168" t="str">
        <f t="shared" si="7"/>
        <v>MIL,2013-14</v>
      </c>
    </row>
    <row r="122">
      <c r="A122" s="161" t="str">
        <f>IFERROR(__xludf.DUMMYFUNCTION("""COMPUTED_VALUE"""),"turiaro01")</f>
        <v>turiaro01</v>
      </c>
      <c r="B122" s="161" t="str">
        <f>IFERROR(__xludf.DUMMYFUNCTION("""COMPUTED_VALUE"""),"Ronny Turiaf")</f>
        <v>Ronny Turiaf</v>
      </c>
      <c r="C122" s="162" t="str">
        <f>IFERROR(__xludf.DUMMYFUNCTION("""COMPUTED_VALUE"""),"2013-14")</f>
        <v>2013-14</v>
      </c>
      <c r="D122" s="163" t="str">
        <f>IFERROR(__xludf.DUMMYFUNCTION("""COMPUTED_VALUE"""),"MIN")</f>
        <v>MIN</v>
      </c>
      <c r="E122" s="164" t="str">
        <f>IFERROR(__xludf.DUMMYFUNCTION("""COMPUTED_VALUE"""),"Roll + Cut Big")</f>
        <v>Roll + Cut Big</v>
      </c>
      <c r="F122" s="164">
        <f>IFERROR(__xludf.DUMMYFUNCTION("""COMPUTED_VALUE"""),605.645)</f>
        <v>605.645</v>
      </c>
      <c r="G122" s="163">
        <f>IFERROR(__xludf.DUMMYFUNCTION("""COMPUTED_VALUE"""),31.0)</f>
        <v>31</v>
      </c>
      <c r="H122" s="163" t="str">
        <f>IFERROR(__xludf.DUMMYFUNCTION("""COMPUTED_VALUE"""),"C")</f>
        <v>C</v>
      </c>
      <c r="I122" s="163">
        <f>IFERROR(__xludf.DUMMYFUNCTION("""COMPUTED_VALUE"""),31.0)</f>
        <v>31</v>
      </c>
      <c r="J122" s="165">
        <f>IFERROR(__xludf.DUMMYFUNCTION("""COMPUTED_VALUE"""),0.152917739300439)</f>
        <v>0.1529177393</v>
      </c>
      <c r="K122" s="165">
        <f>IFERROR(__xludf.DUMMYFUNCTION("""COMPUTED_VALUE"""),-1.78999838541271)</f>
        <v>-1.789998385</v>
      </c>
      <c r="L122" s="165">
        <f>IFERROR(__xludf.DUMMYFUNCTION("""COMPUTED_VALUE"""),1.94291612471315)</f>
        <v>1.942916125</v>
      </c>
      <c r="M122" s="166">
        <f t="shared" si="2"/>
        <v>0.9961400041</v>
      </c>
      <c r="N122" s="167">
        <f t="shared" si="3"/>
        <v>19.53693548</v>
      </c>
      <c r="O122" s="163">
        <f t="shared" ref="O122:Q122" si="126">rank(I122,I:I)</f>
        <v>490</v>
      </c>
      <c r="P122" s="163">
        <f t="shared" si="126"/>
        <v>1128</v>
      </c>
      <c r="Q122" s="163">
        <f t="shared" si="126"/>
        <v>3571</v>
      </c>
      <c r="R122" s="163">
        <f>IFERROR(__xludf.DUMMYFUNCTION("RANK(M122,filter(M:M,C:C=C122))"),224.0)</f>
        <v>224</v>
      </c>
      <c r="S122" s="161" t="b">
        <f t="shared" si="5"/>
        <v>0</v>
      </c>
      <c r="T122" s="161" t="b">
        <f t="array" ref="T122">index('Query Tool'!B:B,match(H122,'Query Tool'!C:C,0))</f>
        <v>1</v>
      </c>
      <c r="U122" s="161" t="b">
        <f t="array" ref="U122">index('Query Tool'!B:B,match(C122,'Query Tool'!C:C,0))</f>
        <v>0</v>
      </c>
      <c r="V122" s="161" t="b">
        <f>F122&gt;='Query Tool'!C$32</f>
        <v>1</v>
      </c>
      <c r="W122" s="161" t="b">
        <f t="array" ref="W122">index(Dropdowns!B:B,match(I122,Dropdowns!A:A,0))</f>
        <v>1</v>
      </c>
      <c r="X122" s="161" t="b">
        <f t="array" ref="X122">index('Query Tool'!B:B,match(D122,'Query Tool'!C:C,0))</f>
        <v>1</v>
      </c>
      <c r="Y122" s="161" t="str">
        <f t="shared" si="6"/>
        <v>turiaro01,2013-14</v>
      </c>
      <c r="Z122" s="168">
        <f t="array" ref="Z122">iferror(index(I:I,match($A122&amp;","&amp;index('Year Conversion'!$A:$A,match($C122,'Year Conversion'!$B:$B,0)),$Y:$Y,0))-I122,"")</f>
        <v>1</v>
      </c>
      <c r="AA122" s="168">
        <f t="array" ref="AA122">iferror(index(J:J,match($A122&amp;","&amp;index('Year Conversion'!$A:$A,match($C122,'Year Conversion'!$B:$B,0)),$Y:$Y,0))-J122,"")</f>
        <v>-0.2437480423</v>
      </c>
      <c r="AB122" s="168">
        <f t="array" ref="AB122">iferror(index(K:K,match($A122&amp;","&amp;index('Year Conversion'!$A:$A,match($C122,'Year Conversion'!$B:$B,0)),$Y:$Y,0))-K122,"")</f>
        <v>1.693230645</v>
      </c>
      <c r="AC122" s="168" t="str">
        <f t="shared" si="7"/>
        <v>MIN,2013-14</v>
      </c>
    </row>
    <row r="123">
      <c r="A123" s="161" t="str">
        <f>IFERROR(__xludf.DUMMYFUNCTION("""COMPUTED_VALUE"""),"ellismo01")</f>
        <v>ellismo01</v>
      </c>
      <c r="B123" s="161" t="str">
        <f>IFERROR(__xludf.DUMMYFUNCTION("""COMPUTED_VALUE"""),"Monta Ellis")</f>
        <v>Monta Ellis</v>
      </c>
      <c r="C123" s="162" t="str">
        <f>IFERROR(__xludf.DUMMYFUNCTION("""COMPUTED_VALUE"""),"2013-14")</f>
        <v>2013-14</v>
      </c>
      <c r="D123" s="163" t="str">
        <f>IFERROR(__xludf.DUMMYFUNCTION("""COMPUTED_VALUE"""),"DAL")</f>
        <v>DAL</v>
      </c>
      <c r="E123" s="164" t="str">
        <f>IFERROR(__xludf.DUMMYFUNCTION("""COMPUTED_VALUE"""),"Slasher")</f>
        <v>Slasher</v>
      </c>
      <c r="F123" s="164">
        <f>IFERROR(__xludf.DUMMYFUNCTION("""COMPUTED_VALUE"""),3022.555)</f>
        <v>3022.555</v>
      </c>
      <c r="G123" s="163">
        <f>IFERROR(__xludf.DUMMYFUNCTION("""COMPUTED_VALUE"""),82.0)</f>
        <v>82</v>
      </c>
      <c r="H123" s="163" t="str">
        <f>IFERROR(__xludf.DUMMYFUNCTION("""COMPUTED_VALUE"""),"SG")</f>
        <v>SG</v>
      </c>
      <c r="I123" s="163">
        <f>IFERROR(__xludf.DUMMYFUNCTION("""COMPUTED_VALUE"""),28.0)</f>
        <v>28</v>
      </c>
      <c r="J123" s="165">
        <f>IFERROR(__xludf.DUMMYFUNCTION("""COMPUTED_VALUE"""),0.376310031890713)</f>
        <v>0.3763100319</v>
      </c>
      <c r="K123" s="165">
        <f>IFERROR(__xludf.DUMMYFUNCTION("""COMPUTED_VALUE"""),1.56507741639369)</f>
        <v>1.565077416</v>
      </c>
      <c r="L123" s="165">
        <f>IFERROR(__xludf.DUMMYFUNCTION("""COMPUTED_VALUE"""),-1.18876738450298)</f>
        <v>-1.188767385</v>
      </c>
      <c r="M123" s="166">
        <f t="shared" si="2"/>
        <v>5.42645695</v>
      </c>
      <c r="N123" s="167">
        <f t="shared" si="3"/>
        <v>36.86042683</v>
      </c>
      <c r="O123" s="163">
        <f t="shared" ref="O123:Q123" si="127">rank(I123,I:I)</f>
        <v>1090</v>
      </c>
      <c r="P123" s="163">
        <f t="shared" si="127"/>
        <v>966</v>
      </c>
      <c r="Q123" s="163">
        <f t="shared" si="127"/>
        <v>303</v>
      </c>
      <c r="R123" s="163">
        <f>IFERROR(__xludf.DUMMYFUNCTION("RANK(M123,filter(M:M,C:C=C123))"),62.0)</f>
        <v>62</v>
      </c>
      <c r="S123" s="161" t="b">
        <f t="shared" si="5"/>
        <v>0</v>
      </c>
      <c r="T123" s="161" t="b">
        <f t="array" ref="T123">index('Query Tool'!B:B,match(H123,'Query Tool'!C:C,0))</f>
        <v>1</v>
      </c>
      <c r="U123" s="161" t="b">
        <f t="array" ref="U123">index('Query Tool'!B:B,match(C123,'Query Tool'!C:C,0))</f>
        <v>0</v>
      </c>
      <c r="V123" s="161" t="b">
        <f>F123&gt;='Query Tool'!C$32</f>
        <v>1</v>
      </c>
      <c r="W123" s="161" t="b">
        <f t="array" ref="W123">index(Dropdowns!B:B,match(I123,Dropdowns!A:A,0))</f>
        <v>1</v>
      </c>
      <c r="X123" s="161" t="b">
        <f t="array" ref="X123">index('Query Tool'!B:B,match(D123,'Query Tool'!C:C,0))</f>
        <v>1</v>
      </c>
      <c r="Y123" s="161" t="str">
        <f t="shared" si="6"/>
        <v>ellismo01,2013-14</v>
      </c>
      <c r="Z123" s="168">
        <f t="array" ref="Z123">iferror(index(I:I,match($A123&amp;","&amp;index('Year Conversion'!$A:$A,match($C123,'Year Conversion'!$B:$B,0)),$Y:$Y,0))-I123,"")</f>
        <v>1</v>
      </c>
      <c r="AA123" s="168">
        <f t="array" ref="AA123">iferror(index(J:J,match($A123&amp;","&amp;index('Year Conversion'!$A:$A,match($C123,'Year Conversion'!$B:$B,0)),$Y:$Y,0))-J123,"")</f>
        <v>0.001952514965</v>
      </c>
      <c r="AB123" s="168">
        <f t="array" ref="AB123">iferror(index(K:K,match($A123&amp;","&amp;index('Year Conversion'!$A:$A,match($C123,'Year Conversion'!$B:$B,0)),$Y:$Y,0))-K123,"")</f>
        <v>-0.5886688362</v>
      </c>
      <c r="AC123" s="168" t="str">
        <f t="shared" si="7"/>
        <v>DAL,2013-14</v>
      </c>
    </row>
    <row r="124">
      <c r="A124" s="161" t="str">
        <f>IFERROR(__xludf.DUMMYFUNCTION("""COMPUTED_VALUE"""),"willilo02")</f>
        <v>willilo02</v>
      </c>
      <c r="B124" s="161" t="str">
        <f>IFERROR(__xludf.DUMMYFUNCTION("""COMPUTED_VALUE"""),"Lou Williams")</f>
        <v>Lou Williams</v>
      </c>
      <c r="C124" s="162" t="str">
        <f>IFERROR(__xludf.DUMMYFUNCTION("""COMPUTED_VALUE"""),"2013-14")</f>
        <v>2013-14</v>
      </c>
      <c r="D124" s="163" t="str">
        <f>IFERROR(__xludf.DUMMYFUNCTION("""COMPUTED_VALUE"""),"ATL")</f>
        <v>ATL</v>
      </c>
      <c r="E124" s="164" t="str">
        <f>IFERROR(__xludf.DUMMYFUNCTION("""COMPUTED_VALUE"""),"Secondary Ball Handler")</f>
        <v>Secondary Ball Handler</v>
      </c>
      <c r="F124" s="164">
        <f>IFERROR(__xludf.DUMMYFUNCTION("""COMPUTED_VALUE"""),1444.65166666667)</f>
        <v>1444.651667</v>
      </c>
      <c r="G124" s="163">
        <f>IFERROR(__xludf.DUMMYFUNCTION("""COMPUTED_VALUE"""),60.0)</f>
        <v>60</v>
      </c>
      <c r="H124" s="163" t="str">
        <f>IFERROR(__xludf.DUMMYFUNCTION("""COMPUTED_VALUE"""),"PG")</f>
        <v>PG</v>
      </c>
      <c r="I124" s="163">
        <f>IFERROR(__xludf.DUMMYFUNCTION("""COMPUTED_VALUE"""),27.0)</f>
        <v>27</v>
      </c>
      <c r="J124" s="165">
        <f>IFERROR(__xludf.DUMMYFUNCTION("""COMPUTED_VALUE"""),-1.6539129091943)</f>
        <v>-1.653912909</v>
      </c>
      <c r="K124" s="165">
        <f>IFERROR(__xludf.DUMMYFUNCTION("""COMPUTED_VALUE"""),0.800871113589634)</f>
        <v>0.8008711136</v>
      </c>
      <c r="L124" s="165">
        <f>IFERROR(__xludf.DUMMYFUNCTION("""COMPUTED_VALUE"""),-2.45478402278393)</f>
        <v>-2.454784023</v>
      </c>
      <c r="M124" s="166">
        <f t="shared" si="2"/>
        <v>0.6224042387</v>
      </c>
      <c r="N124" s="167">
        <f t="shared" si="3"/>
        <v>24.07752778</v>
      </c>
      <c r="O124" s="163">
        <f t="shared" ref="O124:Q124" si="128">rank(I124,I:I)</f>
        <v>1366</v>
      </c>
      <c r="P124" s="163">
        <f t="shared" si="128"/>
        <v>3199</v>
      </c>
      <c r="Q124" s="163">
        <f t="shared" si="128"/>
        <v>601</v>
      </c>
      <c r="R124" s="163">
        <f>IFERROR(__xludf.DUMMYFUNCTION("RANK(M124,filter(M:M,C:C=C124))"),257.0)</f>
        <v>257</v>
      </c>
      <c r="S124" s="161" t="b">
        <f t="shared" si="5"/>
        <v>0</v>
      </c>
      <c r="T124" s="161" t="b">
        <f t="array" ref="T124">index('Query Tool'!B:B,match(H124,'Query Tool'!C:C,0))</f>
        <v>1</v>
      </c>
      <c r="U124" s="161" t="b">
        <f t="array" ref="U124">index('Query Tool'!B:B,match(C124,'Query Tool'!C:C,0))</f>
        <v>0</v>
      </c>
      <c r="V124" s="161" t="b">
        <f>F124&gt;='Query Tool'!C$32</f>
        <v>1</v>
      </c>
      <c r="W124" s="161" t="b">
        <f t="array" ref="W124">index(Dropdowns!B:B,match(I124,Dropdowns!A:A,0))</f>
        <v>1</v>
      </c>
      <c r="X124" s="161" t="b">
        <f t="array" ref="X124">index('Query Tool'!B:B,match(D124,'Query Tool'!C:C,0))</f>
        <v>1</v>
      </c>
      <c r="Y124" s="161" t="str">
        <f t="shared" si="6"/>
        <v>willilo02,2013-14</v>
      </c>
      <c r="Z124" s="168">
        <f t="array" ref="Z124">iferror(index(I:I,match($A124&amp;","&amp;index('Year Conversion'!$A:$A,match($C124,'Year Conversion'!$B:$B,0)),$Y:$Y,0))-I124,"")</f>
        <v>1</v>
      </c>
      <c r="AA124" s="168">
        <f t="array" ref="AA124">iferror(index(J:J,match($A124&amp;","&amp;index('Year Conversion'!$A:$A,match($C124,'Year Conversion'!$B:$B,0)),$Y:$Y,0))-J124,"")</f>
        <v>3.810061177</v>
      </c>
      <c r="AB124" s="168">
        <f t="array" ref="AB124">iferror(index(K:K,match($A124&amp;","&amp;index('Year Conversion'!$A:$A,match($C124,'Year Conversion'!$B:$B,0)),$Y:$Y,0))-K124,"")</f>
        <v>3.157989736</v>
      </c>
      <c r="AC124" s="168" t="str">
        <f t="shared" si="7"/>
        <v>ATL,2013-14</v>
      </c>
    </row>
    <row r="125">
      <c r="A125" s="161" t="str">
        <f>IFERROR(__xludf.DUMMYFUNCTION("""COMPUTED_VALUE"""),"blatcan01")</f>
        <v>blatcan01</v>
      </c>
      <c r="B125" s="161" t="str">
        <f>IFERROR(__xludf.DUMMYFUNCTION("""COMPUTED_VALUE"""),"Andray Blatche")</f>
        <v>Andray Blatche</v>
      </c>
      <c r="C125" s="162" t="str">
        <f>IFERROR(__xludf.DUMMYFUNCTION("""COMPUTED_VALUE"""),"2013-14")</f>
        <v>2013-14</v>
      </c>
      <c r="D125" s="163" t="str">
        <f>IFERROR(__xludf.DUMMYFUNCTION("""COMPUTED_VALUE"""),"BRK")</f>
        <v>BRK</v>
      </c>
      <c r="E125" s="164" t="str">
        <f>IFERROR(__xludf.DUMMYFUNCTION("""COMPUTED_VALUE"""),"Post Scorer")</f>
        <v>Post Scorer</v>
      </c>
      <c r="F125" s="164">
        <f>IFERROR(__xludf.DUMMYFUNCTION("""COMPUTED_VALUE"""),1618.12833333333)</f>
        <v>1618.128333</v>
      </c>
      <c r="G125" s="163">
        <f>IFERROR(__xludf.DUMMYFUNCTION("""COMPUTED_VALUE"""),73.0)</f>
        <v>73</v>
      </c>
      <c r="H125" s="163" t="str">
        <f>IFERROR(__xludf.DUMMYFUNCTION("""COMPUTED_VALUE"""),"PF")</f>
        <v>PF</v>
      </c>
      <c r="I125" s="163">
        <f>IFERROR(__xludf.DUMMYFUNCTION("""COMPUTED_VALUE"""),27.0)</f>
        <v>27</v>
      </c>
      <c r="J125" s="165">
        <f>IFERROR(__xludf.DUMMYFUNCTION("""COMPUTED_VALUE"""),-1.01025657232788)</f>
        <v>-1.010256572</v>
      </c>
      <c r="K125" s="165">
        <f>IFERROR(__xludf.DUMMYFUNCTION("""COMPUTED_VALUE"""),-0.147211522733895)</f>
        <v>-0.1472115227</v>
      </c>
      <c r="L125" s="165">
        <f>IFERROR(__xludf.DUMMYFUNCTION("""COMPUTED_VALUE"""),-0.863045049593989)</f>
        <v>-0.8630450496</v>
      </c>
      <c r="M125" s="166">
        <f t="shared" si="2"/>
        <v>1.394059668</v>
      </c>
      <c r="N125" s="167">
        <f t="shared" si="3"/>
        <v>22.16614155</v>
      </c>
      <c r="O125" s="163">
        <f t="shared" ref="O125:Q125" si="129">rank(I125,I:I)</f>
        <v>1366</v>
      </c>
      <c r="P125" s="163">
        <f t="shared" si="129"/>
        <v>2512</v>
      </c>
      <c r="Q125" s="163">
        <f t="shared" si="129"/>
        <v>1471</v>
      </c>
      <c r="R125" s="163">
        <f>IFERROR(__xludf.DUMMYFUNCTION("RANK(M125,filter(M:M,C:C=C125))"),192.0)</f>
        <v>192</v>
      </c>
      <c r="S125" s="161" t="b">
        <f t="shared" si="5"/>
        <v>0</v>
      </c>
      <c r="T125" s="161" t="b">
        <f t="array" ref="T125">index('Query Tool'!B:B,match(H125,'Query Tool'!C:C,0))</f>
        <v>1</v>
      </c>
      <c r="U125" s="161" t="b">
        <f t="array" ref="U125">index('Query Tool'!B:B,match(C125,'Query Tool'!C:C,0))</f>
        <v>0</v>
      </c>
      <c r="V125" s="161" t="b">
        <f>F125&gt;='Query Tool'!C$32</f>
        <v>1</v>
      </c>
      <c r="W125" s="161" t="b">
        <f t="array" ref="W125">index(Dropdowns!B:B,match(I125,Dropdowns!A:A,0))</f>
        <v>1</v>
      </c>
      <c r="X125" s="161" t="b">
        <f t="array" ref="X125">index('Query Tool'!B:B,match(D125,'Query Tool'!C:C,0))</f>
        <v>1</v>
      </c>
      <c r="Y125" s="161" t="str">
        <f t="shared" si="6"/>
        <v>blatcan01,2013-14</v>
      </c>
      <c r="Z125" s="168" t="str">
        <f t="array" ref="Z125">iferror(index(I:I,match($A125&amp;","&amp;index('Year Conversion'!$A:$A,match($C125,'Year Conversion'!$B:$B,0)),$Y:$Y,0))-I125,"")</f>
        <v/>
      </c>
      <c r="AA125" s="168" t="str">
        <f t="array" ref="AA125">iferror(index(J:J,match($A125&amp;","&amp;index('Year Conversion'!$A:$A,match($C125,'Year Conversion'!$B:$B,0)),$Y:$Y,0))-J125,"")</f>
        <v/>
      </c>
      <c r="AB125" s="168" t="str">
        <f t="array" ref="AB125">iferror(index(K:K,match($A125&amp;","&amp;index('Year Conversion'!$A:$A,match($C125,'Year Conversion'!$B:$B,0)),$Y:$Y,0))-K125,"")</f>
        <v/>
      </c>
      <c r="AC125" s="168" t="str">
        <f t="shared" si="7"/>
        <v>BRK,2013-14</v>
      </c>
    </row>
    <row r="126">
      <c r="A126" s="161" t="str">
        <f>IFERROR(__xludf.DUMMYFUNCTION("""COMPUTED_VALUE"""),"gomesry01")</f>
        <v>gomesry01</v>
      </c>
      <c r="B126" s="161" t="str">
        <f>IFERROR(__xludf.DUMMYFUNCTION("""COMPUTED_VALUE"""),"Ryan Gomes")</f>
        <v>Ryan Gomes</v>
      </c>
      <c r="C126" s="162" t="str">
        <f>IFERROR(__xludf.DUMMYFUNCTION("""COMPUTED_VALUE"""),"2013-14")</f>
        <v>2013-14</v>
      </c>
      <c r="D126" s="163" t="str">
        <f>IFERROR(__xludf.DUMMYFUNCTION("""COMPUTED_VALUE"""),"OKC")</f>
        <v>OKC</v>
      </c>
      <c r="E126" s="164" t="str">
        <f>IFERROR(__xludf.DUMMYFUNCTION("""COMPUTED_VALUE"""),"Versatile Big")</f>
        <v>Versatile Big</v>
      </c>
      <c r="F126" s="164">
        <f>IFERROR(__xludf.DUMMYFUNCTION("""COMPUTED_VALUE"""),34.25)</f>
        <v>34.25</v>
      </c>
      <c r="G126" s="163">
        <f>IFERROR(__xludf.DUMMYFUNCTION("""COMPUTED_VALUE"""),5.0)</f>
        <v>5</v>
      </c>
      <c r="H126" s="163" t="str">
        <f>IFERROR(__xludf.DUMMYFUNCTION("""COMPUTED_VALUE"""),"SF")</f>
        <v>SF</v>
      </c>
      <c r="I126" s="163">
        <f>IFERROR(__xludf.DUMMYFUNCTION("""COMPUTED_VALUE"""),31.0)</f>
        <v>31</v>
      </c>
      <c r="J126" s="165">
        <f>IFERROR(__xludf.DUMMYFUNCTION("""COMPUTED_VALUE"""),-1.07098178849692)</f>
        <v>-1.070981788</v>
      </c>
      <c r="K126" s="165">
        <f>IFERROR(__xludf.DUMMYFUNCTION("""COMPUTED_VALUE"""),-0.27815209999473)</f>
        <v>-0.2781521</v>
      </c>
      <c r="L126" s="165">
        <f>IFERROR(__xludf.DUMMYFUNCTION("""COMPUTED_VALUE"""),-0.792829688502192)</f>
        <v>-0.7928296885</v>
      </c>
      <c r="M126" s="166">
        <f t="shared" si="2"/>
        <v>0.0281113712</v>
      </c>
      <c r="N126" s="167">
        <f t="shared" si="3"/>
        <v>6.85</v>
      </c>
      <c r="O126" s="163">
        <f t="shared" ref="O126:Q126" si="130">rank(I126,I:I)</f>
        <v>490</v>
      </c>
      <c r="P126" s="163">
        <f t="shared" si="130"/>
        <v>2578</v>
      </c>
      <c r="Q126" s="163">
        <f t="shared" si="130"/>
        <v>1722</v>
      </c>
      <c r="R126" s="163">
        <f>IFERROR(__xludf.DUMMYFUNCTION("RANK(M126,filter(M:M,C:C=C126))"),406.0)</f>
        <v>406</v>
      </c>
      <c r="S126" s="161" t="b">
        <f t="shared" si="5"/>
        <v>0</v>
      </c>
      <c r="T126" s="161" t="b">
        <f t="array" ref="T126">index('Query Tool'!B:B,match(H126,'Query Tool'!C:C,0))</f>
        <v>1</v>
      </c>
      <c r="U126" s="161" t="b">
        <f t="array" ref="U126">index('Query Tool'!B:B,match(C126,'Query Tool'!C:C,0))</f>
        <v>0</v>
      </c>
      <c r="V126" s="161" t="b">
        <f>F126&gt;='Query Tool'!C$32</f>
        <v>0</v>
      </c>
      <c r="W126" s="161" t="b">
        <f t="array" ref="W126">index(Dropdowns!B:B,match(I126,Dropdowns!A:A,0))</f>
        <v>1</v>
      </c>
      <c r="X126" s="161" t="b">
        <f t="array" ref="X126">index('Query Tool'!B:B,match(D126,'Query Tool'!C:C,0))</f>
        <v>1</v>
      </c>
      <c r="Y126" s="161" t="str">
        <f t="shared" si="6"/>
        <v>gomesry01,2013-14</v>
      </c>
      <c r="Z126" s="168" t="str">
        <f t="array" ref="Z126">iferror(index(I:I,match($A126&amp;","&amp;index('Year Conversion'!$A:$A,match($C126,'Year Conversion'!$B:$B,0)),$Y:$Y,0))-I126,"")</f>
        <v/>
      </c>
      <c r="AA126" s="168" t="str">
        <f t="array" ref="AA126">iferror(index(J:J,match($A126&amp;","&amp;index('Year Conversion'!$A:$A,match($C126,'Year Conversion'!$B:$B,0)),$Y:$Y,0))-J126,"")</f>
        <v/>
      </c>
      <c r="AB126" s="168" t="str">
        <f t="array" ref="AB126">iferror(index(K:K,match($A126&amp;","&amp;index('Year Conversion'!$A:$A,match($C126,'Year Conversion'!$B:$B,0)),$Y:$Y,0))-K126,"")</f>
        <v/>
      </c>
      <c r="AC126" s="168" t="str">
        <f t="shared" si="7"/>
        <v>OKC,2013-14</v>
      </c>
    </row>
    <row r="127">
      <c r="A127" s="161" t="str">
        <f>IFERROR(__xludf.DUMMYFUNCTION("""COMPUTED_VALUE"""),"johnsam01")</f>
        <v>johnsam01</v>
      </c>
      <c r="B127" s="161" t="str">
        <f>IFERROR(__xludf.DUMMYFUNCTION("""COMPUTED_VALUE"""),"Amir Johnson")</f>
        <v>Amir Johnson</v>
      </c>
      <c r="C127" s="162" t="str">
        <f>IFERROR(__xludf.DUMMYFUNCTION("""COMPUTED_VALUE"""),"2013-14")</f>
        <v>2013-14</v>
      </c>
      <c r="D127" s="163" t="str">
        <f>IFERROR(__xludf.DUMMYFUNCTION("""COMPUTED_VALUE"""),"TOR")</f>
        <v>TOR</v>
      </c>
      <c r="E127" s="164" t="str">
        <f>IFERROR(__xludf.DUMMYFUNCTION("""COMPUTED_VALUE"""),"Roll + Cut Big")</f>
        <v>Roll + Cut Big</v>
      </c>
      <c r="F127" s="164">
        <f>IFERROR(__xludf.DUMMYFUNCTION("""COMPUTED_VALUE"""),2213.87833333333)</f>
        <v>2213.878333</v>
      </c>
      <c r="G127" s="163">
        <f>IFERROR(__xludf.DUMMYFUNCTION("""COMPUTED_VALUE"""),77.0)</f>
        <v>77</v>
      </c>
      <c r="H127" s="163" t="str">
        <f>IFERROR(__xludf.DUMMYFUNCTION("""COMPUTED_VALUE"""),"PF")</f>
        <v>PF</v>
      </c>
      <c r="I127" s="163">
        <f>IFERROR(__xludf.DUMMYFUNCTION("""COMPUTED_VALUE"""),26.0)</f>
        <v>26</v>
      </c>
      <c r="J127" s="165">
        <f>IFERROR(__xludf.DUMMYFUNCTION("""COMPUTED_VALUE"""),0.844786889153651)</f>
        <v>0.8447868892</v>
      </c>
      <c r="K127" s="165">
        <f>IFERROR(__xludf.DUMMYFUNCTION("""COMPUTED_VALUE"""),-0.678414760977489)</f>
        <v>-0.678414761</v>
      </c>
      <c r="L127" s="165">
        <f>IFERROR(__xludf.DUMMYFUNCTION("""COMPUTED_VALUE"""),1.52320165013114)</f>
        <v>1.52320165</v>
      </c>
      <c r="M127" s="166">
        <f t="shared" si="2"/>
        <v>4.672720975</v>
      </c>
      <c r="N127" s="167">
        <f t="shared" si="3"/>
        <v>28.75166667</v>
      </c>
      <c r="O127" s="163">
        <f t="shared" ref="O127:Q127" si="131">rank(I127,I:I)</f>
        <v>1665</v>
      </c>
      <c r="P127" s="163">
        <f t="shared" si="131"/>
        <v>716</v>
      </c>
      <c r="Q127" s="163">
        <f t="shared" si="131"/>
        <v>2385</v>
      </c>
      <c r="R127" s="163">
        <f>IFERROR(__xludf.DUMMYFUNCTION("RANK(M127,filter(M:M,C:C=C127))"),71.0)</f>
        <v>71</v>
      </c>
      <c r="S127" s="161" t="b">
        <f t="shared" si="5"/>
        <v>0</v>
      </c>
      <c r="T127" s="161" t="b">
        <f t="array" ref="T127">index('Query Tool'!B:B,match(H127,'Query Tool'!C:C,0))</f>
        <v>1</v>
      </c>
      <c r="U127" s="161" t="b">
        <f t="array" ref="U127">index('Query Tool'!B:B,match(C127,'Query Tool'!C:C,0))</f>
        <v>0</v>
      </c>
      <c r="V127" s="161" t="b">
        <f>F127&gt;='Query Tool'!C$32</f>
        <v>1</v>
      </c>
      <c r="W127" s="161" t="b">
        <f t="array" ref="W127">index(Dropdowns!B:B,match(I127,Dropdowns!A:A,0))</f>
        <v>1</v>
      </c>
      <c r="X127" s="161" t="b">
        <f t="array" ref="X127">index('Query Tool'!B:B,match(D127,'Query Tool'!C:C,0))</f>
        <v>1</v>
      </c>
      <c r="Y127" s="161" t="str">
        <f t="shared" si="6"/>
        <v>johnsam01,2013-14</v>
      </c>
      <c r="Z127" s="168">
        <f t="array" ref="Z127">iferror(index(I:I,match($A127&amp;","&amp;index('Year Conversion'!$A:$A,match($C127,'Year Conversion'!$B:$B,0)),$Y:$Y,0))-I127,"")</f>
        <v>1</v>
      </c>
      <c r="AA127" s="168">
        <f t="array" ref="AA127">iferror(index(J:J,match($A127&amp;","&amp;index('Year Conversion'!$A:$A,match($C127,'Year Conversion'!$B:$B,0)),$Y:$Y,0))-J127,"")</f>
        <v>-1.499172583</v>
      </c>
      <c r="AB127" s="168">
        <f t="array" ref="AB127">iferror(index(K:K,match($A127&amp;","&amp;index('Year Conversion'!$A:$A,match($C127,'Year Conversion'!$B:$B,0)),$Y:$Y,0))-K127,"")</f>
        <v>0.01819760325</v>
      </c>
      <c r="AC127" s="168" t="str">
        <f t="shared" si="7"/>
        <v>TOR,2013-14</v>
      </c>
    </row>
    <row r="128">
      <c r="A128" s="161" t="str">
        <f>IFERROR(__xludf.DUMMYFUNCTION("""COMPUTED_VALUE"""),"gortama01")</f>
        <v>gortama01</v>
      </c>
      <c r="B128" s="161" t="str">
        <f>IFERROR(__xludf.DUMMYFUNCTION("""COMPUTED_VALUE"""),"Marcin Gortat")</f>
        <v>Marcin Gortat</v>
      </c>
      <c r="C128" s="162" t="str">
        <f>IFERROR(__xludf.DUMMYFUNCTION("""COMPUTED_VALUE"""),"2013-14")</f>
        <v>2013-14</v>
      </c>
      <c r="D128" s="163" t="str">
        <f>IFERROR(__xludf.DUMMYFUNCTION("""COMPUTED_VALUE"""),"WAS")</f>
        <v>WAS</v>
      </c>
      <c r="E128" s="164" t="str">
        <f>IFERROR(__xludf.DUMMYFUNCTION("""COMPUTED_VALUE"""),"Post Scorer")</f>
        <v>Post Scorer</v>
      </c>
      <c r="F128" s="164">
        <f>IFERROR(__xludf.DUMMYFUNCTION("""COMPUTED_VALUE"""),2654.975)</f>
        <v>2654.975</v>
      </c>
      <c r="G128" s="163">
        <f>IFERROR(__xludf.DUMMYFUNCTION("""COMPUTED_VALUE"""),81.0)</f>
        <v>81</v>
      </c>
      <c r="H128" s="163" t="str">
        <f>IFERROR(__xludf.DUMMYFUNCTION("""COMPUTED_VALUE"""),"C")</f>
        <v>C</v>
      </c>
      <c r="I128" s="163">
        <f>IFERROR(__xludf.DUMMYFUNCTION("""COMPUTED_VALUE"""),29.0)</f>
        <v>29</v>
      </c>
      <c r="J128" s="165">
        <f>IFERROR(__xludf.DUMMYFUNCTION("""COMPUTED_VALUE"""),1.1153070695979)</f>
        <v>1.11530707</v>
      </c>
      <c r="K128" s="165">
        <f>IFERROR(__xludf.DUMMYFUNCTION("""COMPUTED_VALUE"""),-1.04523032594433)</f>
        <v>-1.045230326</v>
      </c>
      <c r="L128" s="165">
        <f>IFERROR(__xludf.DUMMYFUNCTION("""COMPUTED_VALUE"""),2.16053739554222)</f>
        <v>2.160537396</v>
      </c>
      <c r="M128" s="166">
        <f t="shared" si="2"/>
        <v>6.085995671</v>
      </c>
      <c r="N128" s="167">
        <f t="shared" si="3"/>
        <v>32.77746914</v>
      </c>
      <c r="O128" s="163">
        <f t="shared" ref="O128:Q128" si="132">rank(I128,I:I)</f>
        <v>855</v>
      </c>
      <c r="P128" s="163">
        <f t="shared" si="132"/>
        <v>609</v>
      </c>
      <c r="Q128" s="163">
        <f t="shared" si="132"/>
        <v>2865</v>
      </c>
      <c r="R128" s="163">
        <f>IFERROR(__xludf.DUMMYFUNCTION("RANK(M128,filter(M:M,C:C=C128))"),48.0)</f>
        <v>48</v>
      </c>
      <c r="S128" s="161" t="b">
        <f t="shared" si="5"/>
        <v>0</v>
      </c>
      <c r="T128" s="161" t="b">
        <f t="array" ref="T128">index('Query Tool'!B:B,match(H128,'Query Tool'!C:C,0))</f>
        <v>1</v>
      </c>
      <c r="U128" s="161" t="b">
        <f t="array" ref="U128">index('Query Tool'!B:B,match(C128,'Query Tool'!C:C,0))</f>
        <v>0</v>
      </c>
      <c r="V128" s="161" t="b">
        <f>F128&gt;='Query Tool'!C$32</f>
        <v>1</v>
      </c>
      <c r="W128" s="161" t="b">
        <f t="array" ref="W128">index(Dropdowns!B:B,match(I128,Dropdowns!A:A,0))</f>
        <v>1</v>
      </c>
      <c r="X128" s="161" t="b">
        <f t="array" ref="X128">index('Query Tool'!B:B,match(D128,'Query Tool'!C:C,0))</f>
        <v>1</v>
      </c>
      <c r="Y128" s="161" t="str">
        <f t="shared" si="6"/>
        <v>gortama01,2013-14</v>
      </c>
      <c r="Z128" s="168">
        <f t="array" ref="Z128">iferror(index(I:I,match($A128&amp;","&amp;index('Year Conversion'!$A:$A,match($C128,'Year Conversion'!$B:$B,0)),$Y:$Y,0))-I128,"")</f>
        <v>1</v>
      </c>
      <c r="AA128" s="168">
        <f t="array" ref="AA128">iferror(index(J:J,match($A128&amp;","&amp;index('Year Conversion'!$A:$A,match($C128,'Year Conversion'!$B:$B,0)),$Y:$Y,0))-J128,"")</f>
        <v>0.6077342478</v>
      </c>
      <c r="AB128" s="168">
        <f t="array" ref="AB128">iferror(index(K:K,match($A128&amp;","&amp;index('Year Conversion'!$A:$A,match($C128,'Year Conversion'!$B:$B,0)),$Y:$Y,0))-K128,"")</f>
        <v>0.463767686</v>
      </c>
      <c r="AC128" s="168" t="str">
        <f t="shared" si="7"/>
        <v>WAS,2013-14</v>
      </c>
    </row>
    <row r="129">
      <c r="A129" s="161" t="str">
        <f>IFERROR(__xludf.DUMMYFUNCTION("""COMPUTED_VALUE"""),"pricero01")</f>
        <v>pricero01</v>
      </c>
      <c r="B129" s="161" t="str">
        <f>IFERROR(__xludf.DUMMYFUNCTION("""COMPUTED_VALUE"""),"Ronnie Price")</f>
        <v>Ronnie Price</v>
      </c>
      <c r="C129" s="162" t="str">
        <f>IFERROR(__xludf.DUMMYFUNCTION("""COMPUTED_VALUE"""),"2013-14")</f>
        <v>2013-14</v>
      </c>
      <c r="D129" s="163" t="str">
        <f>IFERROR(__xludf.DUMMYFUNCTION("""COMPUTED_VALUE"""),"ORL")</f>
        <v>ORL</v>
      </c>
      <c r="E129" s="164" t="str">
        <f>IFERROR(__xludf.DUMMYFUNCTION("""COMPUTED_VALUE"""),"Secondary Ball Handler")</f>
        <v>Secondary Ball Handler</v>
      </c>
      <c r="F129" s="164">
        <f>IFERROR(__xludf.DUMMYFUNCTION("""COMPUTED_VALUE"""),376.908333333333)</f>
        <v>376.9083333</v>
      </c>
      <c r="G129" s="163">
        <f>IFERROR(__xludf.DUMMYFUNCTION("""COMPUTED_VALUE"""),31.0)</f>
        <v>31</v>
      </c>
      <c r="H129" s="163" t="str">
        <f>IFERROR(__xludf.DUMMYFUNCTION("""COMPUTED_VALUE"""),"SG")</f>
        <v>SG</v>
      </c>
      <c r="I129" s="163">
        <f>IFERROR(__xludf.DUMMYFUNCTION("""COMPUTED_VALUE"""),30.0)</f>
        <v>30</v>
      </c>
      <c r="J129" s="165">
        <f>IFERROR(__xludf.DUMMYFUNCTION("""COMPUTED_VALUE"""),-0.22740542579688)</f>
        <v>-0.2274054258</v>
      </c>
      <c r="K129" s="165">
        <f>IFERROR(__xludf.DUMMYFUNCTION("""COMPUTED_VALUE"""),-0.990970633875556)</f>
        <v>-0.9909706339</v>
      </c>
      <c r="L129" s="165">
        <f>IFERROR(__xludf.DUMMYFUNCTION("""COMPUTED_VALUE"""),0.763565208078676)</f>
        <v>0.7635652081</v>
      </c>
      <c r="M129" s="166">
        <f t="shared" si="2"/>
        <v>0.5232856815</v>
      </c>
      <c r="N129" s="167">
        <f t="shared" si="3"/>
        <v>12.15833333</v>
      </c>
      <c r="O129" s="163">
        <f t="shared" ref="O129:Q129" si="133">rank(I129,I:I)</f>
        <v>655</v>
      </c>
      <c r="P129" s="163">
        <f t="shared" si="133"/>
        <v>1533</v>
      </c>
      <c r="Q129" s="163">
        <f t="shared" si="133"/>
        <v>2788</v>
      </c>
      <c r="R129" s="163">
        <f>IFERROR(__xludf.DUMMYFUNCTION("RANK(M129,filter(M:M,C:C=C129))"),268.0)</f>
        <v>268</v>
      </c>
      <c r="S129" s="161" t="b">
        <f t="shared" si="5"/>
        <v>0</v>
      </c>
      <c r="T129" s="161" t="b">
        <f t="array" ref="T129">index('Query Tool'!B:B,match(H129,'Query Tool'!C:C,0))</f>
        <v>1</v>
      </c>
      <c r="U129" s="161" t="b">
        <f t="array" ref="U129">index('Query Tool'!B:B,match(C129,'Query Tool'!C:C,0))</f>
        <v>0</v>
      </c>
      <c r="V129" s="161" t="b">
        <f>F129&gt;='Query Tool'!C$32</f>
        <v>0</v>
      </c>
      <c r="W129" s="161" t="b">
        <f t="array" ref="W129">index(Dropdowns!B:B,match(I129,Dropdowns!A:A,0))</f>
        <v>1</v>
      </c>
      <c r="X129" s="161" t="b">
        <f t="array" ref="X129">index('Query Tool'!B:B,match(D129,'Query Tool'!C:C,0))</f>
        <v>1</v>
      </c>
      <c r="Y129" s="161" t="str">
        <f t="shared" si="6"/>
        <v>pricero01,2013-14</v>
      </c>
      <c r="Z129" s="168">
        <f t="array" ref="Z129">iferror(index(I:I,match($A129&amp;","&amp;index('Year Conversion'!$A:$A,match($C129,'Year Conversion'!$B:$B,0)),$Y:$Y,0))-I129,"")</f>
        <v>1</v>
      </c>
      <c r="AA129" s="168">
        <f t="array" ref="AA129">iferror(index(J:J,match($A129&amp;","&amp;index('Year Conversion'!$A:$A,match($C129,'Year Conversion'!$B:$B,0)),$Y:$Y,0))-J129,"")</f>
        <v>0.4810163538</v>
      </c>
      <c r="AB129" s="168">
        <f t="array" ref="AB129">iferror(index(K:K,match($A129&amp;","&amp;index('Year Conversion'!$A:$A,match($C129,'Year Conversion'!$B:$B,0)),$Y:$Y,0))-K129,"")</f>
        <v>0.564800519</v>
      </c>
      <c r="AC129" s="168" t="str">
        <f t="shared" si="7"/>
        <v>ORL,2013-14</v>
      </c>
    </row>
    <row r="130">
      <c r="A130" s="161" t="str">
        <f>IFERROR(__xludf.DUMMYFUNCTION("""COMPUTED_VALUE"""),"caldejo01")</f>
        <v>caldejo01</v>
      </c>
      <c r="B130" s="161" t="str">
        <f>IFERROR(__xludf.DUMMYFUNCTION("""COMPUTED_VALUE"""),"Jose Calderon")</f>
        <v>Jose Calderon</v>
      </c>
      <c r="C130" s="162" t="str">
        <f>IFERROR(__xludf.DUMMYFUNCTION("""COMPUTED_VALUE"""),"2013-14")</f>
        <v>2013-14</v>
      </c>
      <c r="D130" s="163" t="str">
        <f>IFERROR(__xludf.DUMMYFUNCTION("""COMPUTED_VALUE"""),"DAL")</f>
        <v>DAL</v>
      </c>
      <c r="E130" s="164" t="str">
        <f>IFERROR(__xludf.DUMMYFUNCTION("""COMPUTED_VALUE"""),"Primary Ball Handler")</f>
        <v>Primary Ball Handler</v>
      </c>
      <c r="F130" s="164">
        <f>IFERROR(__xludf.DUMMYFUNCTION("""COMPUTED_VALUE"""),2468.28)</f>
        <v>2468.28</v>
      </c>
      <c r="G130" s="163">
        <f>IFERROR(__xludf.DUMMYFUNCTION("""COMPUTED_VALUE"""),81.0)</f>
        <v>81</v>
      </c>
      <c r="H130" s="163" t="str">
        <f>IFERROR(__xludf.DUMMYFUNCTION("""COMPUTED_VALUE"""),"PG")</f>
        <v>PG</v>
      </c>
      <c r="I130" s="163">
        <f>IFERROR(__xludf.DUMMYFUNCTION("""COMPUTED_VALUE"""),32.0)</f>
        <v>32</v>
      </c>
      <c r="J130" s="165">
        <f>IFERROR(__xludf.DUMMYFUNCTION("""COMPUTED_VALUE"""),-0.575091810112504)</f>
        <v>-0.5750918101</v>
      </c>
      <c r="K130" s="165">
        <f>IFERROR(__xludf.DUMMYFUNCTION("""COMPUTED_VALUE"""),1.28554377853677)</f>
        <v>1.285543779</v>
      </c>
      <c r="L130" s="165">
        <f>IFERROR(__xludf.DUMMYFUNCTION("""COMPUTED_VALUE"""),-1.86063558864927)</f>
        <v>-1.860635589</v>
      </c>
      <c r="M130" s="166">
        <f t="shared" si="2"/>
        <v>2.848700357</v>
      </c>
      <c r="N130" s="167">
        <f t="shared" si="3"/>
        <v>30.47259259</v>
      </c>
      <c r="O130" s="163">
        <f t="shared" ref="O130:Q130" si="134">rank(I130,I:I)</f>
        <v>359</v>
      </c>
      <c r="P130" s="163">
        <f t="shared" si="134"/>
        <v>1958</v>
      </c>
      <c r="Q130" s="163">
        <f t="shared" si="134"/>
        <v>392</v>
      </c>
      <c r="R130" s="163">
        <f>IFERROR(__xludf.DUMMYFUNCTION("RANK(M130,filter(M:M,C:C=C130))"),117.0)</f>
        <v>117</v>
      </c>
      <c r="S130" s="161" t="b">
        <f t="shared" si="5"/>
        <v>0</v>
      </c>
      <c r="T130" s="161" t="b">
        <f t="array" ref="T130">index('Query Tool'!B:B,match(H130,'Query Tool'!C:C,0))</f>
        <v>1</v>
      </c>
      <c r="U130" s="161" t="b">
        <f t="array" ref="U130">index('Query Tool'!B:B,match(C130,'Query Tool'!C:C,0))</f>
        <v>0</v>
      </c>
      <c r="V130" s="161" t="b">
        <f>F130&gt;='Query Tool'!C$32</f>
        <v>1</v>
      </c>
      <c r="W130" s="161" t="b">
        <f t="array" ref="W130">index(Dropdowns!B:B,match(I130,Dropdowns!A:A,0))</f>
        <v>1</v>
      </c>
      <c r="X130" s="161" t="b">
        <f t="array" ref="X130">index('Query Tool'!B:B,match(D130,'Query Tool'!C:C,0))</f>
        <v>1</v>
      </c>
      <c r="Y130" s="161" t="str">
        <f t="shared" si="6"/>
        <v>caldejo01,2013-14</v>
      </c>
      <c r="Z130" s="168">
        <f t="array" ref="Z130">iferror(index(I:I,match($A130&amp;","&amp;index('Year Conversion'!$A:$A,match($C130,'Year Conversion'!$B:$B,0)),$Y:$Y,0))-I130,"")</f>
        <v>1</v>
      </c>
      <c r="AA130" s="168">
        <f t="array" ref="AA130">iferror(index(J:J,match($A130&amp;","&amp;index('Year Conversion'!$A:$A,match($C130,'Year Conversion'!$B:$B,0)),$Y:$Y,0))-J130,"")</f>
        <v>-1.479389755</v>
      </c>
      <c r="AB130" s="168">
        <f t="array" ref="AB130">iferror(index(K:K,match($A130&amp;","&amp;index('Year Conversion'!$A:$A,match($C130,'Year Conversion'!$B:$B,0)),$Y:$Y,0))-K130,"")</f>
        <v>-2.146377152</v>
      </c>
      <c r="AC130" s="168" t="str">
        <f t="shared" si="7"/>
        <v>DAL,2013-14</v>
      </c>
    </row>
    <row r="131">
      <c r="A131" s="161" t="str">
        <f>IFERROR(__xludf.DUMMYFUNCTION("""COMPUTED_VALUE"""),"randosh01")</f>
        <v>randosh01</v>
      </c>
      <c r="B131" s="161" t="str">
        <f>IFERROR(__xludf.DUMMYFUNCTION("""COMPUTED_VALUE"""),"Shavlik Randolph")</f>
        <v>Shavlik Randolph</v>
      </c>
      <c r="C131" s="162" t="str">
        <f>IFERROR(__xludf.DUMMYFUNCTION("""COMPUTED_VALUE"""),"2013-14")</f>
        <v>2013-14</v>
      </c>
      <c r="D131" s="163" t="str">
        <f>IFERROR(__xludf.DUMMYFUNCTION("""COMPUTED_VALUE"""),"PHO")</f>
        <v>PHO</v>
      </c>
      <c r="E131" s="164" t="str">
        <f>IFERROR(__xludf.DUMMYFUNCTION("""COMPUTED_VALUE"""),"Roll + Cut Big")</f>
        <v>Roll + Cut Big</v>
      </c>
      <c r="F131" s="164">
        <f>IFERROR(__xludf.DUMMYFUNCTION("""COMPUTED_VALUE"""),94.9483333333333)</f>
        <v>94.94833333</v>
      </c>
      <c r="G131" s="163">
        <f>IFERROR(__xludf.DUMMYFUNCTION("""COMPUTED_VALUE"""),14.0)</f>
        <v>14</v>
      </c>
      <c r="H131" s="163" t="str">
        <f>IFERROR(__xludf.DUMMYFUNCTION("""COMPUTED_VALUE"""),"PF")</f>
        <v>PF</v>
      </c>
      <c r="I131" s="163">
        <f>IFERROR(__xludf.DUMMYFUNCTION("""COMPUTED_VALUE"""),30.0)</f>
        <v>30</v>
      </c>
      <c r="J131" s="165">
        <f>IFERROR(__xludf.DUMMYFUNCTION("""COMPUTED_VALUE"""),-0.34760656946966)</f>
        <v>-0.3476065695</v>
      </c>
      <c r="K131" s="165">
        <f>IFERROR(__xludf.DUMMYFUNCTION("""COMPUTED_VALUE"""),-0.38064586778107)</f>
        <v>-0.3806458678</v>
      </c>
      <c r="L131" s="165">
        <f>IFERROR(__xludf.DUMMYFUNCTION("""COMPUTED_VALUE"""),0.0330392983114103)</f>
        <v>0.03303929831</v>
      </c>
      <c r="M131" s="166">
        <f t="shared" si="2"/>
        <v>0.1241310062</v>
      </c>
      <c r="N131" s="167">
        <f t="shared" si="3"/>
        <v>6.78202381</v>
      </c>
      <c r="O131" s="163">
        <f t="shared" ref="O131:Q131" si="135">rank(I131,I:I)</f>
        <v>655</v>
      </c>
      <c r="P131" s="163">
        <f t="shared" si="135"/>
        <v>1668</v>
      </c>
      <c r="Q131" s="163">
        <f t="shared" si="135"/>
        <v>1916</v>
      </c>
      <c r="R131" s="163">
        <f>IFERROR(__xludf.DUMMYFUNCTION("RANK(M131,filter(M:M,C:C=C131))"),349.0)</f>
        <v>349</v>
      </c>
      <c r="S131" s="161" t="b">
        <f t="shared" si="5"/>
        <v>0</v>
      </c>
      <c r="T131" s="161" t="b">
        <f t="array" ref="T131">index('Query Tool'!B:B,match(H131,'Query Tool'!C:C,0))</f>
        <v>1</v>
      </c>
      <c r="U131" s="161" t="b">
        <f t="array" ref="U131">index('Query Tool'!B:B,match(C131,'Query Tool'!C:C,0))</f>
        <v>0</v>
      </c>
      <c r="V131" s="161" t="b">
        <f>F131&gt;='Query Tool'!C$32</f>
        <v>0</v>
      </c>
      <c r="W131" s="161" t="b">
        <f t="array" ref="W131">index(Dropdowns!B:B,match(I131,Dropdowns!A:A,0))</f>
        <v>1</v>
      </c>
      <c r="X131" s="161" t="b">
        <f t="array" ref="X131">index('Query Tool'!B:B,match(D131,'Query Tool'!C:C,0))</f>
        <v>1</v>
      </c>
      <c r="Y131" s="161" t="str">
        <f t="shared" si="6"/>
        <v>randosh01,2013-14</v>
      </c>
      <c r="Z131" s="168">
        <f t="array" ref="Z131">iferror(index(I:I,match($A131&amp;","&amp;index('Year Conversion'!$A:$A,match($C131,'Year Conversion'!$B:$B,0)),$Y:$Y,0))-I131,"")</f>
        <v>1</v>
      </c>
      <c r="AA131" s="168">
        <f t="array" ref="AA131">iferror(index(J:J,match($A131&amp;","&amp;index('Year Conversion'!$A:$A,match($C131,'Year Conversion'!$B:$B,0)),$Y:$Y,0))-J131,"")</f>
        <v>-0.1491424642</v>
      </c>
      <c r="AB131" s="168">
        <f t="array" ref="AB131">iferror(index(K:K,match($A131&amp;","&amp;index('Year Conversion'!$A:$A,match($C131,'Year Conversion'!$B:$B,0)),$Y:$Y,0))-K131,"")</f>
        <v>-0.08302795586</v>
      </c>
      <c r="AC131" s="168" t="str">
        <f t="shared" si="7"/>
        <v>PHO,2013-14</v>
      </c>
    </row>
    <row r="132">
      <c r="A132" s="161" t="str">
        <f>IFERROR(__xludf.DUMMYFUNCTION("""COMPUTED_VALUE"""),"anderal01")</f>
        <v>anderal01</v>
      </c>
      <c r="B132" s="161" t="str">
        <f>IFERROR(__xludf.DUMMYFUNCTION("""COMPUTED_VALUE"""),"Alan Anderson")</f>
        <v>Alan Anderson</v>
      </c>
      <c r="C132" s="162" t="str">
        <f>IFERROR(__xludf.DUMMYFUNCTION("""COMPUTED_VALUE"""),"2013-14")</f>
        <v>2013-14</v>
      </c>
      <c r="D132" s="163" t="str">
        <f>IFERROR(__xludf.DUMMYFUNCTION("""COMPUTED_VALUE"""),"BRK")</f>
        <v>BRK</v>
      </c>
      <c r="E132" s="164" t="str">
        <f>IFERROR(__xludf.DUMMYFUNCTION("""COMPUTED_VALUE"""),"Shot Creator")</f>
        <v>Shot Creator</v>
      </c>
      <c r="F132" s="164">
        <f>IFERROR(__xludf.DUMMYFUNCTION("""COMPUTED_VALUE"""),1772.51)</f>
        <v>1772.51</v>
      </c>
      <c r="G132" s="163">
        <f>IFERROR(__xludf.DUMMYFUNCTION("""COMPUTED_VALUE"""),78.0)</f>
        <v>78</v>
      </c>
      <c r="H132" s="163" t="str">
        <f>IFERROR(__xludf.DUMMYFUNCTION("""COMPUTED_VALUE"""),"SF")</f>
        <v>SF</v>
      </c>
      <c r="I132" s="163">
        <f>IFERROR(__xludf.DUMMYFUNCTION("""COMPUTED_VALUE"""),31.0)</f>
        <v>31</v>
      </c>
      <c r="J132" s="165">
        <f>IFERROR(__xludf.DUMMYFUNCTION("""COMPUTED_VALUE"""),-1.84790171376931)</f>
        <v>-1.847901714</v>
      </c>
      <c r="K132" s="165">
        <f>IFERROR(__xludf.DUMMYFUNCTION("""COMPUTED_VALUE"""),-0.682115572262763)</f>
        <v>-0.6821155723</v>
      </c>
      <c r="L132" s="165">
        <f>IFERROR(__xludf.DUMMYFUNCTION("""COMPUTED_VALUE"""),-1.16578614150655)</f>
        <v>-1.165786142</v>
      </c>
      <c r="M132" s="166">
        <f t="shared" si="2"/>
        <v>0.534778037</v>
      </c>
      <c r="N132" s="167">
        <f t="shared" si="3"/>
        <v>22.72448718</v>
      </c>
      <c r="O132" s="163">
        <f t="shared" ref="O132:Q132" si="136">rank(I132,I:I)</f>
        <v>490</v>
      </c>
      <c r="P132" s="163">
        <f t="shared" si="136"/>
        <v>3377</v>
      </c>
      <c r="Q132" s="163">
        <f t="shared" si="136"/>
        <v>2390</v>
      </c>
      <c r="R132" s="163">
        <f>IFERROR(__xludf.DUMMYFUNCTION("RANK(M132,filter(M:M,C:C=C132))"),266.0)</f>
        <v>266</v>
      </c>
      <c r="S132" s="161" t="b">
        <f t="shared" si="5"/>
        <v>0</v>
      </c>
      <c r="T132" s="161" t="b">
        <f t="array" ref="T132">index('Query Tool'!B:B,match(H132,'Query Tool'!C:C,0))</f>
        <v>1</v>
      </c>
      <c r="U132" s="161" t="b">
        <f t="array" ref="U132">index('Query Tool'!B:B,match(C132,'Query Tool'!C:C,0))</f>
        <v>0</v>
      </c>
      <c r="V132" s="161" t="b">
        <f>F132&gt;='Query Tool'!C$32</f>
        <v>1</v>
      </c>
      <c r="W132" s="161" t="b">
        <f t="array" ref="W132">index(Dropdowns!B:B,match(I132,Dropdowns!A:A,0))</f>
        <v>1</v>
      </c>
      <c r="X132" s="161" t="b">
        <f t="array" ref="X132">index('Query Tool'!B:B,match(D132,'Query Tool'!C:C,0))</f>
        <v>1</v>
      </c>
      <c r="Y132" s="161" t="str">
        <f t="shared" si="6"/>
        <v>anderal01,2013-14</v>
      </c>
      <c r="Z132" s="168">
        <f t="array" ref="Z132">iferror(index(I:I,match($A132&amp;","&amp;index('Year Conversion'!$A:$A,match($C132,'Year Conversion'!$B:$B,0)),$Y:$Y,0))-I132,"")</f>
        <v>1</v>
      </c>
      <c r="AA132" s="168">
        <f t="array" ref="AA132">iferror(index(J:J,match($A132&amp;","&amp;index('Year Conversion'!$A:$A,match($C132,'Year Conversion'!$B:$B,0)),$Y:$Y,0))-J132,"")</f>
        <v>0.6117385946</v>
      </c>
      <c r="AB132" s="168">
        <f t="array" ref="AB132">iferror(index(K:K,match($A132&amp;","&amp;index('Year Conversion'!$A:$A,match($C132,'Year Conversion'!$B:$B,0)),$Y:$Y,0))-K132,"")</f>
        <v>-0.389514975</v>
      </c>
      <c r="AC132" s="168" t="str">
        <f t="shared" si="7"/>
        <v>BRK,2013-14</v>
      </c>
    </row>
    <row r="133">
      <c r="A133" s="161" t="str">
        <f>IFERROR(__xludf.DUMMYFUNCTION("""COMPUTED_VALUE"""),"bynumwi01")</f>
        <v>bynumwi01</v>
      </c>
      <c r="B133" s="161" t="str">
        <f>IFERROR(__xludf.DUMMYFUNCTION("""COMPUTED_VALUE"""),"Will Bynum")</f>
        <v>Will Bynum</v>
      </c>
      <c r="C133" s="162" t="str">
        <f>IFERROR(__xludf.DUMMYFUNCTION("""COMPUTED_VALUE"""),"2013-14")</f>
        <v>2013-14</v>
      </c>
      <c r="D133" s="163" t="str">
        <f>IFERROR(__xludf.DUMMYFUNCTION("""COMPUTED_VALUE"""),"DET")</f>
        <v>DET</v>
      </c>
      <c r="E133" s="164" t="str">
        <f>IFERROR(__xludf.DUMMYFUNCTION("""COMPUTED_VALUE"""),"Shot Creator")</f>
        <v>Shot Creator</v>
      </c>
      <c r="F133" s="164">
        <f>IFERROR(__xludf.DUMMYFUNCTION("""COMPUTED_VALUE"""),1054.14833333333)</f>
        <v>1054.148333</v>
      </c>
      <c r="G133" s="163">
        <f>IFERROR(__xludf.DUMMYFUNCTION("""COMPUTED_VALUE"""),56.0)</f>
        <v>56</v>
      </c>
      <c r="H133" s="163" t="str">
        <f>IFERROR(__xludf.DUMMYFUNCTION("""COMPUTED_VALUE"""),"PG")</f>
        <v>PG</v>
      </c>
      <c r="I133" s="163">
        <f>IFERROR(__xludf.DUMMYFUNCTION("""COMPUTED_VALUE"""),31.0)</f>
        <v>31</v>
      </c>
      <c r="J133" s="165">
        <f>IFERROR(__xludf.DUMMYFUNCTION("""COMPUTED_VALUE"""),-1.40513752746627)</f>
        <v>-1.405137527</v>
      </c>
      <c r="K133" s="165">
        <f>IFERROR(__xludf.DUMMYFUNCTION("""COMPUTED_VALUE"""),0.354736344393574)</f>
        <v>0.3547363444</v>
      </c>
      <c r="L133" s="165">
        <f>IFERROR(__xludf.DUMMYFUNCTION("""COMPUTED_VALUE"""),-1.75987387185984)</f>
        <v>-1.759873872</v>
      </c>
      <c r="M133" s="166">
        <f t="shared" si="2"/>
        <v>0.6292497056</v>
      </c>
      <c r="N133" s="167">
        <f t="shared" si="3"/>
        <v>18.82407738</v>
      </c>
      <c r="O133" s="163">
        <f t="shared" ref="O133:Q133" si="137">rank(I133,I:I)</f>
        <v>490</v>
      </c>
      <c r="P133" s="163">
        <f t="shared" si="137"/>
        <v>2954</v>
      </c>
      <c r="Q133" s="163">
        <f t="shared" si="137"/>
        <v>864</v>
      </c>
      <c r="R133" s="163">
        <f>IFERROR(__xludf.DUMMYFUNCTION("RANK(M133,filter(M:M,C:C=C133))"),255.0)</f>
        <v>255</v>
      </c>
      <c r="S133" s="161" t="b">
        <f t="shared" si="5"/>
        <v>0</v>
      </c>
      <c r="T133" s="161" t="b">
        <f t="array" ref="T133">index('Query Tool'!B:B,match(H133,'Query Tool'!C:C,0))</f>
        <v>1</v>
      </c>
      <c r="U133" s="161" t="b">
        <f t="array" ref="U133">index('Query Tool'!B:B,match(C133,'Query Tool'!C:C,0))</f>
        <v>0</v>
      </c>
      <c r="V133" s="161" t="b">
        <f>F133&gt;='Query Tool'!C$32</f>
        <v>1</v>
      </c>
      <c r="W133" s="161" t="b">
        <f t="array" ref="W133">index(Dropdowns!B:B,match(I133,Dropdowns!A:A,0))</f>
        <v>1</v>
      </c>
      <c r="X133" s="161" t="b">
        <f t="array" ref="X133">index('Query Tool'!B:B,match(D133,'Query Tool'!C:C,0))</f>
        <v>1</v>
      </c>
      <c r="Y133" s="161" t="str">
        <f t="shared" si="6"/>
        <v>bynumwi01,2013-14</v>
      </c>
      <c r="Z133" s="168">
        <f t="array" ref="Z133">iferror(index(I:I,match($A133&amp;","&amp;index('Year Conversion'!$A:$A,match($C133,'Year Conversion'!$B:$B,0)),$Y:$Y,0))-I133,"")</f>
        <v>1</v>
      </c>
      <c r="AA133" s="168">
        <f t="array" ref="AA133">iferror(index(J:J,match($A133&amp;","&amp;index('Year Conversion'!$A:$A,match($C133,'Year Conversion'!$B:$B,0)),$Y:$Y,0))-J133,"")</f>
        <v>1.103483527</v>
      </c>
      <c r="AB133" s="168">
        <f t="array" ref="AB133">iferror(index(K:K,match($A133&amp;","&amp;index('Year Conversion'!$A:$A,match($C133,'Year Conversion'!$B:$B,0)),$Y:$Y,0))-K133,"")</f>
        <v>-0.1031338755</v>
      </c>
      <c r="AC133" s="168" t="str">
        <f t="shared" si="7"/>
        <v>DET,2013-14</v>
      </c>
    </row>
    <row r="134">
      <c r="A134" s="161" t="str">
        <f>IFERROR(__xludf.DUMMYFUNCTION("""COMPUTED_VALUE"""),"hayesch01")</f>
        <v>hayesch01</v>
      </c>
      <c r="B134" s="161" t="str">
        <f>IFERROR(__xludf.DUMMYFUNCTION("""COMPUTED_VALUE"""),"Chuck Hayes")</f>
        <v>Chuck Hayes</v>
      </c>
      <c r="C134" s="162" t="str">
        <f>IFERROR(__xludf.DUMMYFUNCTION("""COMPUTED_VALUE"""),"2013-14")</f>
        <v>2013-14</v>
      </c>
      <c r="D134" s="163" t="str">
        <f>IFERROR(__xludf.DUMMYFUNCTION("""COMPUTED_VALUE"""),"TOT")</f>
        <v>TOT</v>
      </c>
      <c r="E134" s="164" t="str">
        <f>IFERROR(__xludf.DUMMYFUNCTION("""COMPUTED_VALUE"""),"Roll + Cut Big")</f>
        <v>Roll + Cut Big</v>
      </c>
      <c r="F134" s="164">
        <f>IFERROR(__xludf.DUMMYFUNCTION("""COMPUTED_VALUE"""),753.361666666666)</f>
        <v>753.3616667</v>
      </c>
      <c r="G134" s="163">
        <f>IFERROR(__xludf.DUMMYFUNCTION("""COMPUTED_VALUE"""),61.0)</f>
        <v>61</v>
      </c>
      <c r="H134" s="163" t="str">
        <f>IFERROR(__xludf.DUMMYFUNCTION("""COMPUTED_VALUE"""),"C")</f>
        <v>C</v>
      </c>
      <c r="I134" s="163">
        <f>IFERROR(__xludf.DUMMYFUNCTION("""COMPUTED_VALUE"""),30.0)</f>
        <v>30</v>
      </c>
      <c r="J134" s="165">
        <f>IFERROR(__xludf.DUMMYFUNCTION("""COMPUTED_VALUE"""),-0.782400621109048)</f>
        <v>-0.7824006211</v>
      </c>
      <c r="K134" s="165">
        <f>IFERROR(__xludf.DUMMYFUNCTION("""COMPUTED_VALUE"""),-2.055663084607)</f>
        <v>-2.055663085</v>
      </c>
      <c r="L134" s="165">
        <f>IFERROR(__xludf.DUMMYFUNCTION("""COMPUTED_VALUE"""),1.27326246349795)</f>
        <v>1.273262463</v>
      </c>
      <c r="M134" s="166">
        <f t="shared" si="2"/>
        <v>0.7643820279</v>
      </c>
      <c r="N134" s="167">
        <f t="shared" si="3"/>
        <v>12.35019126</v>
      </c>
      <c r="O134" s="163">
        <f t="shared" ref="O134:Q134" si="138">rank(I134,I:I)</f>
        <v>655</v>
      </c>
      <c r="P134" s="163">
        <f t="shared" si="138"/>
        <v>2248</v>
      </c>
      <c r="Q134" s="163">
        <f t="shared" si="138"/>
        <v>3734</v>
      </c>
      <c r="R134" s="163">
        <f>IFERROR(__xludf.DUMMYFUNCTION("RANK(M134,filter(M:M,C:C=C134))"),245.0)</f>
        <v>245</v>
      </c>
      <c r="S134" s="161" t="b">
        <f t="shared" si="5"/>
        <v>0</v>
      </c>
      <c r="T134" s="161" t="b">
        <f t="array" ref="T134">index('Query Tool'!B:B,match(H134,'Query Tool'!C:C,0))</f>
        <v>1</v>
      </c>
      <c r="U134" s="161" t="b">
        <f t="array" ref="U134">index('Query Tool'!B:B,match(C134,'Query Tool'!C:C,0))</f>
        <v>0</v>
      </c>
      <c r="V134" s="161" t="b">
        <f>F134&gt;='Query Tool'!C$32</f>
        <v>1</v>
      </c>
      <c r="W134" s="161" t="b">
        <f t="array" ref="W134">index(Dropdowns!B:B,match(I134,Dropdowns!A:A,0))</f>
        <v>1</v>
      </c>
      <c r="X134" s="161" t="b">
        <f t="array" ref="X134">index('Query Tool'!B:B,match(D134,'Query Tool'!C:C,0))</f>
        <v>1</v>
      </c>
      <c r="Y134" s="161" t="str">
        <f t="shared" si="6"/>
        <v>hayesch01,2013-14</v>
      </c>
      <c r="Z134" s="168">
        <f t="array" ref="Z134">iferror(index(I:I,match($A134&amp;","&amp;index('Year Conversion'!$A:$A,match($C134,'Year Conversion'!$B:$B,0)),$Y:$Y,0))-I134,"")</f>
        <v>1</v>
      </c>
      <c r="AA134" s="168">
        <f t="array" ref="AA134">iferror(index(J:J,match($A134&amp;","&amp;index('Year Conversion'!$A:$A,match($C134,'Year Conversion'!$B:$B,0)),$Y:$Y,0))-J134,"")</f>
        <v>0.02681677758</v>
      </c>
      <c r="AB134" s="168">
        <f t="array" ref="AB134">iferror(index(K:K,match($A134&amp;","&amp;index('Year Conversion'!$A:$A,match($C134,'Year Conversion'!$B:$B,0)),$Y:$Y,0))-K134,"")</f>
        <v>0.8526514745</v>
      </c>
      <c r="AC134" s="168" t="str">
        <f t="shared" si="7"/>
        <v>TOT,2013-14</v>
      </c>
    </row>
    <row r="135">
      <c r="A135" s="161" t="str">
        <f>IFERROR(__xludf.DUMMYFUNCTION("""COMPUTED_VALUE"""),"lucasjo02")</f>
        <v>lucasjo02</v>
      </c>
      <c r="B135" s="161" t="str">
        <f>IFERROR(__xludf.DUMMYFUNCTION("""COMPUTED_VALUE"""),"John Lucas III")</f>
        <v>John Lucas III</v>
      </c>
      <c r="C135" s="162" t="str">
        <f>IFERROR(__xludf.DUMMYFUNCTION("""COMPUTED_VALUE"""),"2013-14")</f>
        <v>2013-14</v>
      </c>
      <c r="D135" s="163" t="str">
        <f>IFERROR(__xludf.DUMMYFUNCTION("""COMPUTED_VALUE"""),"UTA")</f>
        <v>UTA</v>
      </c>
      <c r="E135" s="164" t="str">
        <f>IFERROR(__xludf.DUMMYFUNCTION("""COMPUTED_VALUE"""),"Secondary Ball Handler")</f>
        <v>Secondary Ball Handler</v>
      </c>
      <c r="F135" s="164">
        <f>IFERROR(__xludf.DUMMYFUNCTION("""COMPUTED_VALUE"""),591.445)</f>
        <v>591.445</v>
      </c>
      <c r="G135" s="163">
        <f>IFERROR(__xludf.DUMMYFUNCTION("""COMPUTED_VALUE"""),42.0)</f>
        <v>42</v>
      </c>
      <c r="H135" s="163" t="str">
        <f>IFERROR(__xludf.DUMMYFUNCTION("""COMPUTED_VALUE"""),"PG")</f>
        <v>PG</v>
      </c>
      <c r="I135" s="163">
        <f>IFERROR(__xludf.DUMMYFUNCTION("""COMPUTED_VALUE"""),31.0)</f>
        <v>31</v>
      </c>
      <c r="J135" s="165">
        <f>IFERROR(__xludf.DUMMYFUNCTION("""COMPUTED_VALUE"""),-3.48391287392502)</f>
        <v>-3.483912874</v>
      </c>
      <c r="K135" s="165">
        <f>IFERROR(__xludf.DUMMYFUNCTION("""COMPUTED_VALUE"""),-2.17928379548799)</f>
        <v>-2.179283795</v>
      </c>
      <c r="L135" s="165">
        <f>IFERROR(__xludf.DUMMYFUNCTION("""COMPUTED_VALUE"""),-1.30462907843703)</f>
        <v>-1.304629078</v>
      </c>
      <c r="M135" s="166">
        <f t="shared" si="2"/>
        <v>-0.4544254982</v>
      </c>
      <c r="N135" s="167">
        <f t="shared" si="3"/>
        <v>14.08202381</v>
      </c>
      <c r="O135" s="163">
        <f t="shared" ref="O135:Q135" si="139">rank(I135,I:I)</f>
        <v>490</v>
      </c>
      <c r="P135" s="163">
        <f t="shared" si="139"/>
        <v>3960</v>
      </c>
      <c r="Q135" s="163">
        <f t="shared" si="139"/>
        <v>3794</v>
      </c>
      <c r="R135" s="163">
        <f>IFERROR(__xludf.DUMMYFUNCTION("RANK(M135,filter(M:M,C:C=C135))"),468.0)</f>
        <v>468</v>
      </c>
      <c r="S135" s="161" t="b">
        <f t="shared" si="5"/>
        <v>0</v>
      </c>
      <c r="T135" s="161" t="b">
        <f t="array" ref="T135">index('Query Tool'!B:B,match(H135,'Query Tool'!C:C,0))</f>
        <v>1</v>
      </c>
      <c r="U135" s="161" t="b">
        <f t="array" ref="U135">index('Query Tool'!B:B,match(C135,'Query Tool'!C:C,0))</f>
        <v>0</v>
      </c>
      <c r="V135" s="161" t="b">
        <f>F135&gt;='Query Tool'!C$32</f>
        <v>1</v>
      </c>
      <c r="W135" s="161" t="b">
        <f t="array" ref="W135">index(Dropdowns!B:B,match(I135,Dropdowns!A:A,0))</f>
        <v>1</v>
      </c>
      <c r="X135" s="161" t="b">
        <f t="array" ref="X135">index('Query Tool'!B:B,match(D135,'Query Tool'!C:C,0))</f>
        <v>1</v>
      </c>
      <c r="Y135" s="161" t="str">
        <f t="shared" si="6"/>
        <v>lucasjo02,2013-14</v>
      </c>
      <c r="Z135" s="168">
        <f t="array" ref="Z135">iferror(index(I:I,match($A135&amp;","&amp;index('Year Conversion'!$A:$A,match($C135,'Year Conversion'!$B:$B,0)),$Y:$Y,0))-I135,"")</f>
        <v>1</v>
      </c>
      <c r="AA135" s="168">
        <f t="array" ref="AA135">iferror(index(J:J,match($A135&amp;","&amp;index('Year Conversion'!$A:$A,match($C135,'Year Conversion'!$B:$B,0)),$Y:$Y,0))-J135,"")</f>
        <v>2.423699108</v>
      </c>
      <c r="AB135" s="168">
        <f t="array" ref="AB135">iferror(index(K:K,match($A135&amp;","&amp;index('Year Conversion'!$A:$A,match($C135,'Year Conversion'!$B:$B,0)),$Y:$Y,0))-K135,"")</f>
        <v>2.058312047</v>
      </c>
      <c r="AC135" s="168" t="str">
        <f t="shared" si="7"/>
        <v>UTA,2013-14</v>
      </c>
    </row>
    <row r="136">
      <c r="A136" s="161" t="str">
        <f>IFERROR(__xludf.DUMMYFUNCTION("""COMPUTED_VALUE"""),"bargnan01")</f>
        <v>bargnan01</v>
      </c>
      <c r="B136" s="161" t="str">
        <f>IFERROR(__xludf.DUMMYFUNCTION("""COMPUTED_VALUE"""),"Andrea Bargnani")</f>
        <v>Andrea Bargnani</v>
      </c>
      <c r="C136" s="162" t="str">
        <f>IFERROR(__xludf.DUMMYFUNCTION("""COMPUTED_VALUE"""),"2013-14")</f>
        <v>2013-14</v>
      </c>
      <c r="D136" s="163" t="str">
        <f>IFERROR(__xludf.DUMMYFUNCTION("""COMPUTED_VALUE"""),"NYK")</f>
        <v>NYK</v>
      </c>
      <c r="E136" s="164" t="str">
        <f>IFERROR(__xludf.DUMMYFUNCTION("""COMPUTED_VALUE"""),"Roll + Cut Big")</f>
        <v>Roll + Cut Big</v>
      </c>
      <c r="F136" s="164">
        <f>IFERROR(__xludf.DUMMYFUNCTION("""COMPUTED_VALUE"""),1257.12)</f>
        <v>1257.12</v>
      </c>
      <c r="G136" s="163">
        <f>IFERROR(__xludf.DUMMYFUNCTION("""COMPUTED_VALUE"""),42.0)</f>
        <v>42</v>
      </c>
      <c r="H136" s="163" t="str">
        <f>IFERROR(__xludf.DUMMYFUNCTION("""COMPUTED_VALUE"""),"C")</f>
        <v>C</v>
      </c>
      <c r="I136" s="163">
        <f>IFERROR(__xludf.DUMMYFUNCTION("""COMPUTED_VALUE"""),28.0)</f>
        <v>28</v>
      </c>
      <c r="J136" s="165">
        <f>IFERROR(__xludf.DUMMYFUNCTION("""COMPUTED_VALUE"""),-2.04511690088208)</f>
        <v>-2.045116901</v>
      </c>
      <c r="K136" s="165">
        <f>IFERROR(__xludf.DUMMYFUNCTION("""COMPUTED_VALUE"""),-1.45259151393699)</f>
        <v>-1.452591514</v>
      </c>
      <c r="L136" s="165">
        <f>IFERROR(__xludf.DUMMYFUNCTION("""COMPUTED_VALUE"""),-0.592525386945095)</f>
        <v>-0.5925253869</v>
      </c>
      <c r="M136" s="166">
        <f t="shared" si="2"/>
        <v>0.2147481516</v>
      </c>
      <c r="N136" s="167">
        <f t="shared" si="3"/>
        <v>29.93142857</v>
      </c>
      <c r="O136" s="163">
        <f t="shared" ref="O136:Q136" si="140">rank(I136,I:I)</f>
        <v>1090</v>
      </c>
      <c r="P136" s="163">
        <f t="shared" si="140"/>
        <v>3512</v>
      </c>
      <c r="Q136" s="163">
        <f t="shared" si="140"/>
        <v>3299</v>
      </c>
      <c r="R136" s="163">
        <f>IFERROR(__xludf.DUMMYFUNCTION("RANK(M136,filter(M:M,C:C=C136))"),316.0)</f>
        <v>316</v>
      </c>
      <c r="S136" s="161" t="b">
        <f t="shared" si="5"/>
        <v>0</v>
      </c>
      <c r="T136" s="161" t="b">
        <f t="array" ref="T136">index('Query Tool'!B:B,match(H136,'Query Tool'!C:C,0))</f>
        <v>1</v>
      </c>
      <c r="U136" s="161" t="b">
        <f t="array" ref="U136">index('Query Tool'!B:B,match(C136,'Query Tool'!C:C,0))</f>
        <v>0</v>
      </c>
      <c r="V136" s="161" t="b">
        <f>F136&gt;='Query Tool'!C$32</f>
        <v>1</v>
      </c>
      <c r="W136" s="161" t="b">
        <f t="array" ref="W136">index(Dropdowns!B:B,match(I136,Dropdowns!A:A,0))</f>
        <v>1</v>
      </c>
      <c r="X136" s="161" t="b">
        <f t="array" ref="X136">index('Query Tool'!B:B,match(D136,'Query Tool'!C:C,0))</f>
        <v>1</v>
      </c>
      <c r="Y136" s="161" t="str">
        <f t="shared" si="6"/>
        <v>bargnan01,2013-14</v>
      </c>
      <c r="Z136" s="168">
        <f t="array" ref="Z136">iferror(index(I:I,match($A136&amp;","&amp;index('Year Conversion'!$A:$A,match($C136,'Year Conversion'!$B:$B,0)),$Y:$Y,0))-I136,"")</f>
        <v>1</v>
      </c>
      <c r="AA136" s="168">
        <f t="array" ref="AA136">iferror(index(J:J,match($A136&amp;","&amp;index('Year Conversion'!$A:$A,match($C136,'Year Conversion'!$B:$B,0)),$Y:$Y,0))-J136,"")</f>
        <v>0.2713351905</v>
      </c>
      <c r="AB136" s="168">
        <f t="array" ref="AB136">iferror(index(K:K,match($A136&amp;","&amp;index('Year Conversion'!$A:$A,match($C136,'Year Conversion'!$B:$B,0)),$Y:$Y,0))-K136,"")</f>
        <v>1.013045081</v>
      </c>
      <c r="AC136" s="168" t="str">
        <f t="shared" si="7"/>
        <v>NYK,2013-14</v>
      </c>
    </row>
    <row r="137">
      <c r="A137" s="161" t="str">
        <f>IFERROR(__xludf.DUMMYFUNCTION("""COMPUTED_VALUE"""),"aldrila01")</f>
        <v>aldrila01</v>
      </c>
      <c r="B137" s="161" t="str">
        <f>IFERROR(__xludf.DUMMYFUNCTION("""COMPUTED_VALUE"""),"LaMarcus Aldridge")</f>
        <v>LaMarcus Aldridge</v>
      </c>
      <c r="C137" s="162" t="str">
        <f>IFERROR(__xludf.DUMMYFUNCTION("""COMPUTED_VALUE"""),"2013-14")</f>
        <v>2013-14</v>
      </c>
      <c r="D137" s="163" t="str">
        <f>IFERROR(__xludf.DUMMYFUNCTION("""COMPUTED_VALUE"""),"POR")</f>
        <v>POR</v>
      </c>
      <c r="E137" s="164" t="str">
        <f>IFERROR(__xludf.DUMMYFUNCTION("""COMPUTED_VALUE"""),"Post Scorer")</f>
        <v>Post Scorer</v>
      </c>
      <c r="F137" s="164">
        <f>IFERROR(__xludf.DUMMYFUNCTION("""COMPUTED_VALUE"""),2498.89166666667)</f>
        <v>2498.891667</v>
      </c>
      <c r="G137" s="163">
        <f>IFERROR(__xludf.DUMMYFUNCTION("""COMPUTED_VALUE"""),69.0)</f>
        <v>69</v>
      </c>
      <c r="H137" s="163" t="str">
        <f>IFERROR(__xludf.DUMMYFUNCTION("""COMPUTED_VALUE"""),"PF")</f>
        <v>PF</v>
      </c>
      <c r="I137" s="163">
        <f>IFERROR(__xludf.DUMMYFUNCTION("""COMPUTED_VALUE"""),28.0)</f>
        <v>28</v>
      </c>
      <c r="J137" s="165">
        <f>IFERROR(__xludf.DUMMYFUNCTION("""COMPUTED_VALUE"""),2.85473200399776)</f>
        <v>2.854732004</v>
      </c>
      <c r="K137" s="165">
        <f>IFERROR(__xludf.DUMMYFUNCTION("""COMPUTED_VALUE"""),1.41258251876758)</f>
        <v>1.412582519</v>
      </c>
      <c r="L137" s="165">
        <f>IFERROR(__xludf.DUMMYFUNCTION("""COMPUTED_VALUE"""),1.44214948523018)</f>
        <v>1.442149485</v>
      </c>
      <c r="M137" s="166">
        <f t="shared" si="2"/>
        <v>8.608182592</v>
      </c>
      <c r="N137" s="167">
        <f t="shared" si="3"/>
        <v>36.21582126</v>
      </c>
      <c r="O137" s="163">
        <f t="shared" ref="O137:Q137" si="141">rank(I137,I:I)</f>
        <v>1090</v>
      </c>
      <c r="P137" s="163">
        <f t="shared" si="141"/>
        <v>184</v>
      </c>
      <c r="Q137" s="163">
        <f t="shared" si="141"/>
        <v>347</v>
      </c>
      <c r="R137" s="163">
        <f>IFERROR(__xludf.DUMMYFUNCTION("RANK(M137,filter(M:M,C:C=C137))"),25.0)</f>
        <v>25</v>
      </c>
      <c r="S137" s="161" t="b">
        <f t="shared" si="5"/>
        <v>0</v>
      </c>
      <c r="T137" s="161" t="b">
        <f t="array" ref="T137">index('Query Tool'!B:B,match(H137,'Query Tool'!C:C,0))</f>
        <v>1</v>
      </c>
      <c r="U137" s="161" t="b">
        <f t="array" ref="U137">index('Query Tool'!B:B,match(C137,'Query Tool'!C:C,0))</f>
        <v>0</v>
      </c>
      <c r="V137" s="161" t="b">
        <f>F137&gt;='Query Tool'!C$32</f>
        <v>1</v>
      </c>
      <c r="W137" s="161" t="b">
        <f t="array" ref="W137">index(Dropdowns!B:B,match(I137,Dropdowns!A:A,0))</f>
        <v>1</v>
      </c>
      <c r="X137" s="161" t="b">
        <f t="array" ref="X137">index('Query Tool'!B:B,match(D137,'Query Tool'!C:C,0))</f>
        <v>1</v>
      </c>
      <c r="Y137" s="161" t="str">
        <f t="shared" si="6"/>
        <v>aldrila01,2013-14</v>
      </c>
      <c r="Z137" s="168">
        <f t="array" ref="Z137">iferror(index(I:I,match($A137&amp;","&amp;index('Year Conversion'!$A:$A,match($C137,'Year Conversion'!$B:$B,0)),$Y:$Y,0))-I137,"")</f>
        <v>1</v>
      </c>
      <c r="AA137" s="168">
        <f t="array" ref="AA137">iferror(index(J:J,match($A137&amp;","&amp;index('Year Conversion'!$A:$A,match($C137,'Year Conversion'!$B:$B,0)),$Y:$Y,0))-J137,"")</f>
        <v>0.7753754781</v>
      </c>
      <c r="AB137" s="168">
        <f t="array" ref="AB137">iferror(index(K:K,match($A137&amp;","&amp;index('Year Conversion'!$A:$A,match($C137,'Year Conversion'!$B:$B,0)),$Y:$Y,0))-K137,"")</f>
        <v>1.51364907</v>
      </c>
      <c r="AC137" s="168" t="str">
        <f t="shared" si="7"/>
        <v>POR,2013-14</v>
      </c>
    </row>
    <row r="138">
      <c r="A138" s="161" t="str">
        <f>IFERROR(__xludf.DUMMYFUNCTION("""COMPUTED_VALUE"""),"foyera01")</f>
        <v>foyera01</v>
      </c>
      <c r="B138" s="161" t="str">
        <f>IFERROR(__xludf.DUMMYFUNCTION("""COMPUTED_VALUE"""),"Randy Foye")</f>
        <v>Randy Foye</v>
      </c>
      <c r="C138" s="162" t="str">
        <f>IFERROR(__xludf.DUMMYFUNCTION("""COMPUTED_VALUE"""),"2013-14")</f>
        <v>2013-14</v>
      </c>
      <c r="D138" s="163" t="str">
        <f>IFERROR(__xludf.DUMMYFUNCTION("""COMPUTED_VALUE"""),"DEN")</f>
        <v>DEN</v>
      </c>
      <c r="E138" s="164" t="str">
        <f>IFERROR(__xludf.DUMMYFUNCTION("""COMPUTED_VALUE"""),"Secondary Ball Handler")</f>
        <v>Secondary Ball Handler</v>
      </c>
      <c r="F138" s="164">
        <f>IFERROR(__xludf.DUMMYFUNCTION("""COMPUTED_VALUE"""),2484.97166666667)</f>
        <v>2484.971667</v>
      </c>
      <c r="G138" s="163">
        <f>IFERROR(__xludf.DUMMYFUNCTION("""COMPUTED_VALUE"""),81.0)</f>
        <v>81</v>
      </c>
      <c r="H138" s="163" t="str">
        <f>IFERROR(__xludf.DUMMYFUNCTION("""COMPUTED_VALUE"""),"SG")</f>
        <v>SG</v>
      </c>
      <c r="I138" s="163">
        <f>IFERROR(__xludf.DUMMYFUNCTION("""COMPUTED_VALUE"""),30.0)</f>
        <v>30</v>
      </c>
      <c r="J138" s="165">
        <f>IFERROR(__xludf.DUMMYFUNCTION("""COMPUTED_VALUE"""),-0.922903906961638)</f>
        <v>-0.922903907</v>
      </c>
      <c r="K138" s="165">
        <f>IFERROR(__xludf.DUMMYFUNCTION("""COMPUTED_VALUE"""),0.36169229995483)</f>
        <v>0.3616923</v>
      </c>
      <c r="L138" s="165">
        <f>IFERROR(__xludf.DUMMYFUNCTION("""COMPUTED_VALUE"""),-1.28459620691647)</f>
        <v>-1.284596207</v>
      </c>
      <c r="M138" s="166">
        <f t="shared" si="2"/>
        <v>2.286644672</v>
      </c>
      <c r="N138" s="167">
        <f t="shared" si="3"/>
        <v>30.67866255</v>
      </c>
      <c r="O138" s="163">
        <f t="shared" ref="O138:Q138" si="142">rank(I138,I:I)</f>
        <v>655</v>
      </c>
      <c r="P138" s="163">
        <f t="shared" si="142"/>
        <v>2422</v>
      </c>
      <c r="Q138" s="163">
        <f t="shared" si="142"/>
        <v>860</v>
      </c>
      <c r="R138" s="163">
        <f>IFERROR(__xludf.DUMMYFUNCTION("RANK(M138,filter(M:M,C:C=C138))"),138.0)</f>
        <v>138</v>
      </c>
      <c r="S138" s="161" t="b">
        <f t="shared" si="5"/>
        <v>0</v>
      </c>
      <c r="T138" s="161" t="b">
        <f t="array" ref="T138">index('Query Tool'!B:B,match(H138,'Query Tool'!C:C,0))</f>
        <v>1</v>
      </c>
      <c r="U138" s="161" t="b">
        <f t="array" ref="U138">index('Query Tool'!B:B,match(C138,'Query Tool'!C:C,0))</f>
        <v>0</v>
      </c>
      <c r="V138" s="161" t="b">
        <f>F138&gt;='Query Tool'!C$32</f>
        <v>1</v>
      </c>
      <c r="W138" s="161" t="b">
        <f t="array" ref="W138">index(Dropdowns!B:B,match(I138,Dropdowns!A:A,0))</f>
        <v>1</v>
      </c>
      <c r="X138" s="161" t="b">
        <f t="array" ref="X138">index('Query Tool'!B:B,match(D138,'Query Tool'!C:C,0))</f>
        <v>1</v>
      </c>
      <c r="Y138" s="161" t="str">
        <f t="shared" si="6"/>
        <v>foyera01,2013-14</v>
      </c>
      <c r="Z138" s="168">
        <f t="array" ref="Z138">iferror(index(I:I,match($A138&amp;","&amp;index('Year Conversion'!$A:$A,match($C138,'Year Conversion'!$B:$B,0)),$Y:$Y,0))-I138,"")</f>
        <v>1</v>
      </c>
      <c r="AA138" s="168">
        <f t="array" ref="AA138">iferror(index(J:J,match($A138&amp;","&amp;index('Year Conversion'!$A:$A,match($C138,'Year Conversion'!$B:$B,0)),$Y:$Y,0))-J138,"")</f>
        <v>-0.3391375043</v>
      </c>
      <c r="AB138" s="168">
        <f t="array" ref="AB138">iferror(index(K:K,match($A138&amp;","&amp;index('Year Conversion'!$A:$A,match($C138,'Year Conversion'!$B:$B,0)),$Y:$Y,0))-K138,"")</f>
        <v>-0.7385220417</v>
      </c>
      <c r="AC138" s="168" t="str">
        <f t="shared" si="7"/>
        <v>DEN,2013-14</v>
      </c>
    </row>
    <row r="139">
      <c r="A139" s="161" t="str">
        <f>IFERROR(__xludf.DUMMYFUNCTION("""COMPUTED_VALUE"""),"gayru01")</f>
        <v>gayru01</v>
      </c>
      <c r="B139" s="161" t="str">
        <f>IFERROR(__xludf.DUMMYFUNCTION("""COMPUTED_VALUE"""),"Rudy Gay")</f>
        <v>Rudy Gay</v>
      </c>
      <c r="C139" s="162" t="str">
        <f>IFERROR(__xludf.DUMMYFUNCTION("""COMPUTED_VALUE"""),"2013-14")</f>
        <v>2013-14</v>
      </c>
      <c r="D139" s="163" t="str">
        <f>IFERROR(__xludf.DUMMYFUNCTION("""COMPUTED_VALUE"""),"TOT")</f>
        <v>TOT</v>
      </c>
      <c r="E139" s="164" t="str">
        <f>IFERROR(__xludf.DUMMYFUNCTION("""COMPUTED_VALUE"""),"Shot Creator")</f>
        <v>Shot Creator</v>
      </c>
      <c r="F139" s="164">
        <f>IFERROR(__xludf.DUMMYFUNCTION("""COMPUTED_VALUE"""),2530.72666666667)</f>
        <v>2530.726667</v>
      </c>
      <c r="G139" s="163">
        <f>IFERROR(__xludf.DUMMYFUNCTION("""COMPUTED_VALUE"""),73.0)</f>
        <v>73</v>
      </c>
      <c r="H139" s="163" t="str">
        <f>IFERROR(__xludf.DUMMYFUNCTION("""COMPUTED_VALUE"""),"SF")</f>
        <v>SF</v>
      </c>
      <c r="I139" s="163">
        <f>IFERROR(__xludf.DUMMYFUNCTION("""COMPUTED_VALUE"""),27.0)</f>
        <v>27</v>
      </c>
      <c r="J139" s="165">
        <f>IFERROR(__xludf.DUMMYFUNCTION("""COMPUTED_VALUE"""),0.0261750220408707)</f>
        <v>0.02617502204</v>
      </c>
      <c r="K139" s="165">
        <f>IFERROR(__xludf.DUMMYFUNCTION("""COMPUTED_VALUE"""),0.476212687143744)</f>
        <v>0.4762126871</v>
      </c>
      <c r="L139" s="165">
        <f>IFERROR(__xludf.DUMMYFUNCTION("""COMPUTED_VALUE"""),-0.450037665102874)</f>
        <v>-0.4500376651</v>
      </c>
      <c r="M139" s="166">
        <f t="shared" si="2"/>
        <v>3.946196467</v>
      </c>
      <c r="N139" s="167">
        <f t="shared" si="3"/>
        <v>34.66748858</v>
      </c>
      <c r="O139" s="163">
        <f t="shared" ref="O139:Q139" si="143">rank(I139,I:I)</f>
        <v>1366</v>
      </c>
      <c r="P139" s="163">
        <f t="shared" si="143"/>
        <v>1268</v>
      </c>
      <c r="Q139" s="163">
        <f t="shared" si="143"/>
        <v>778</v>
      </c>
      <c r="R139" s="163">
        <f>IFERROR(__xludf.DUMMYFUNCTION("RANK(M139,filter(M:M,C:C=C139))"),84.0)</f>
        <v>84</v>
      </c>
      <c r="S139" s="161" t="b">
        <f t="shared" si="5"/>
        <v>0</v>
      </c>
      <c r="T139" s="161" t="b">
        <f t="array" ref="T139">index('Query Tool'!B:B,match(H139,'Query Tool'!C:C,0))</f>
        <v>1</v>
      </c>
      <c r="U139" s="161" t="b">
        <f t="array" ref="U139">index('Query Tool'!B:B,match(C139,'Query Tool'!C:C,0))</f>
        <v>0</v>
      </c>
      <c r="V139" s="161" t="b">
        <f>F139&gt;='Query Tool'!C$32</f>
        <v>1</v>
      </c>
      <c r="W139" s="161" t="b">
        <f t="array" ref="W139">index(Dropdowns!B:B,match(I139,Dropdowns!A:A,0))</f>
        <v>1</v>
      </c>
      <c r="X139" s="161" t="b">
        <f t="array" ref="X139">index('Query Tool'!B:B,match(D139,'Query Tool'!C:C,0))</f>
        <v>1</v>
      </c>
      <c r="Y139" s="161" t="str">
        <f t="shared" si="6"/>
        <v>gayru01,2013-14</v>
      </c>
      <c r="Z139" s="168">
        <f t="array" ref="Z139">iferror(index(I:I,match($A139&amp;","&amp;index('Year Conversion'!$A:$A,match($C139,'Year Conversion'!$B:$B,0)),$Y:$Y,0))-I139,"")</f>
        <v>1</v>
      </c>
      <c r="AA139" s="168">
        <f t="array" ref="AA139">iferror(index(J:J,match($A139&amp;","&amp;index('Year Conversion'!$A:$A,match($C139,'Year Conversion'!$B:$B,0)),$Y:$Y,0))-J139,"")</f>
        <v>0.2671035193</v>
      </c>
      <c r="AB139" s="168">
        <f t="array" ref="AB139">iferror(index(K:K,match($A139&amp;","&amp;index('Year Conversion'!$A:$A,match($C139,'Year Conversion'!$B:$B,0)),$Y:$Y,0))-K139,"")</f>
        <v>1.43066091</v>
      </c>
      <c r="AC139" s="168" t="str">
        <f t="shared" si="7"/>
        <v>TOT,2013-14</v>
      </c>
    </row>
    <row r="140">
      <c r="A140" s="161" t="str">
        <f>IFERROR(__xludf.DUMMYFUNCTION("""COMPUTED_VALUE"""),"redicjj01")</f>
        <v>redicjj01</v>
      </c>
      <c r="B140" s="161" t="str">
        <f>IFERROR(__xludf.DUMMYFUNCTION("""COMPUTED_VALUE"""),"JJ Redick")</f>
        <v>JJ Redick</v>
      </c>
      <c r="C140" s="162" t="str">
        <f>IFERROR(__xludf.DUMMYFUNCTION("""COMPUTED_VALUE"""),"2013-14")</f>
        <v>2013-14</v>
      </c>
      <c r="D140" s="163" t="str">
        <f>IFERROR(__xludf.DUMMYFUNCTION("""COMPUTED_VALUE"""),"LAC")</f>
        <v>LAC</v>
      </c>
      <c r="E140" s="164" t="str">
        <f>IFERROR(__xludf.DUMMYFUNCTION("""COMPUTED_VALUE"""),"Off Screen Shooter")</f>
        <v>Off Screen Shooter</v>
      </c>
      <c r="F140" s="164">
        <f>IFERROR(__xludf.DUMMYFUNCTION("""COMPUTED_VALUE"""),987.285)</f>
        <v>987.285</v>
      </c>
      <c r="G140" s="163">
        <f>IFERROR(__xludf.DUMMYFUNCTION("""COMPUTED_VALUE"""),35.0)</f>
        <v>35</v>
      </c>
      <c r="H140" s="163" t="str">
        <f>IFERROR(__xludf.DUMMYFUNCTION("""COMPUTED_VALUE"""),"SG")</f>
        <v>SG</v>
      </c>
      <c r="I140" s="163">
        <f>IFERROR(__xludf.DUMMYFUNCTION("""COMPUTED_VALUE"""),29.0)</f>
        <v>29</v>
      </c>
      <c r="J140" s="165">
        <f>IFERROR(__xludf.DUMMYFUNCTION("""COMPUTED_VALUE"""),0.903133016153278)</f>
        <v>0.9031330162</v>
      </c>
      <c r="K140" s="165">
        <f>IFERROR(__xludf.DUMMYFUNCTION("""COMPUTED_VALUE"""),2.59441447513405)</f>
        <v>2.594414475</v>
      </c>
      <c r="L140" s="165">
        <f>IFERROR(__xludf.DUMMYFUNCTION("""COMPUTED_VALUE"""),-1.69128145898077)</f>
        <v>-1.691281459</v>
      </c>
      <c r="M140" s="166">
        <f t="shared" si="2"/>
        <v>2.122525288</v>
      </c>
      <c r="N140" s="167">
        <f t="shared" si="3"/>
        <v>28.20814286</v>
      </c>
      <c r="O140" s="163">
        <f t="shared" ref="O140:Q140" si="144">rank(I140,I:I)</f>
        <v>855</v>
      </c>
      <c r="P140" s="163">
        <f t="shared" si="144"/>
        <v>692</v>
      </c>
      <c r="Q140" s="163">
        <f t="shared" si="144"/>
        <v>146</v>
      </c>
      <c r="R140" s="163">
        <f>IFERROR(__xludf.DUMMYFUNCTION("RANK(M140,filter(M:M,C:C=C140))"),149.0)</f>
        <v>149</v>
      </c>
      <c r="S140" s="161" t="b">
        <f t="shared" si="5"/>
        <v>0</v>
      </c>
      <c r="T140" s="161" t="b">
        <f t="array" ref="T140">index('Query Tool'!B:B,match(H140,'Query Tool'!C:C,0))</f>
        <v>1</v>
      </c>
      <c r="U140" s="161" t="b">
        <f t="array" ref="U140">index('Query Tool'!B:B,match(C140,'Query Tool'!C:C,0))</f>
        <v>0</v>
      </c>
      <c r="V140" s="161" t="b">
        <f>F140&gt;='Query Tool'!C$32</f>
        <v>1</v>
      </c>
      <c r="W140" s="161" t="b">
        <f t="array" ref="W140">index(Dropdowns!B:B,match(I140,Dropdowns!A:A,0))</f>
        <v>1</v>
      </c>
      <c r="X140" s="161" t="b">
        <f t="array" ref="X140">index('Query Tool'!B:B,match(D140,'Query Tool'!C:C,0))</f>
        <v>1</v>
      </c>
      <c r="Y140" s="161" t="str">
        <f t="shared" si="6"/>
        <v>redicjj01,2013-14</v>
      </c>
      <c r="Z140" s="168">
        <f t="array" ref="Z140">iferror(index(I:I,match($A140&amp;","&amp;index('Year Conversion'!$A:$A,match($C140,'Year Conversion'!$B:$B,0)),$Y:$Y,0))-I140,"")</f>
        <v>1</v>
      </c>
      <c r="AA140" s="168">
        <f t="array" ref="AA140">iferror(index(J:J,match($A140&amp;","&amp;index('Year Conversion'!$A:$A,match($C140,'Year Conversion'!$B:$B,0)),$Y:$Y,0))-J140,"")</f>
        <v>0.04031691493</v>
      </c>
      <c r="AB140" s="168">
        <f t="array" ref="AB140">iferror(index(K:K,match($A140&amp;","&amp;index('Year Conversion'!$A:$A,match($C140,'Year Conversion'!$B:$B,0)),$Y:$Y,0))-K140,"")</f>
        <v>-0.6588970764</v>
      </c>
      <c r="AC140" s="168" t="str">
        <f t="shared" si="7"/>
        <v>LAC,2013-14</v>
      </c>
    </row>
    <row r="141">
      <c r="A141" s="161" t="str">
        <f>IFERROR(__xludf.DUMMYFUNCTION("""COMPUTED_VALUE"""),"armsthi01")</f>
        <v>armsthi01</v>
      </c>
      <c r="B141" s="161" t="str">
        <f>IFERROR(__xludf.DUMMYFUNCTION("""COMPUTED_VALUE"""),"Hilton Armstrong")</f>
        <v>Hilton Armstrong</v>
      </c>
      <c r="C141" s="162" t="str">
        <f>IFERROR(__xludf.DUMMYFUNCTION("""COMPUTED_VALUE"""),"2013-14")</f>
        <v>2013-14</v>
      </c>
      <c r="D141" s="163" t="str">
        <f>IFERROR(__xludf.DUMMYFUNCTION("""COMPUTED_VALUE"""),"GSW")</f>
        <v>GSW</v>
      </c>
      <c r="E141" s="164" t="str">
        <f>IFERROR(__xludf.DUMMYFUNCTION("""COMPUTED_VALUE"""),"Post Scorer")</f>
        <v>Post Scorer</v>
      </c>
      <c r="F141" s="164">
        <f>IFERROR(__xludf.DUMMYFUNCTION("""COMPUTED_VALUE"""),96.605)</f>
        <v>96.605</v>
      </c>
      <c r="G141" s="163">
        <f>IFERROR(__xludf.DUMMYFUNCTION("""COMPUTED_VALUE"""),15.0)</f>
        <v>15</v>
      </c>
      <c r="H141" s="163" t="str">
        <f>IFERROR(__xludf.DUMMYFUNCTION("""COMPUTED_VALUE"""),"C")</f>
        <v>C</v>
      </c>
      <c r="I141" s="163">
        <f>IFERROR(__xludf.DUMMYFUNCTION("""COMPUTED_VALUE"""),29.0)</f>
        <v>29</v>
      </c>
      <c r="J141" s="165">
        <f>IFERROR(__xludf.DUMMYFUNCTION("""COMPUTED_VALUE"""),-0.117251260105989)</f>
        <v>-0.1172512601</v>
      </c>
      <c r="K141" s="165">
        <f>IFERROR(__xludf.DUMMYFUNCTION("""COMPUTED_VALUE"""),0.0106647634031122)</f>
        <v>0.0106647634</v>
      </c>
      <c r="L141" s="165">
        <f>IFERROR(__xludf.DUMMYFUNCTION("""COMPUTED_VALUE"""),-0.127916023509101)</f>
        <v>-0.1279160235</v>
      </c>
      <c r="M141" s="166">
        <f t="shared" si="2"/>
        <v>0.1412962671</v>
      </c>
      <c r="N141" s="167">
        <f t="shared" si="3"/>
        <v>6.440333333</v>
      </c>
      <c r="O141" s="163">
        <f t="shared" ref="O141:Q141" si="145">rank(I141,I:I)</f>
        <v>855</v>
      </c>
      <c r="P141" s="163">
        <f t="shared" si="145"/>
        <v>1402</v>
      </c>
      <c r="Q141" s="163">
        <f t="shared" si="145"/>
        <v>1185</v>
      </c>
      <c r="R141" s="163">
        <f>IFERROR(__xludf.DUMMYFUNCTION("RANK(M141,filter(M:M,C:C=C141))"),343.0)</f>
        <v>343</v>
      </c>
      <c r="S141" s="161" t="b">
        <f t="shared" si="5"/>
        <v>0</v>
      </c>
      <c r="T141" s="161" t="b">
        <f t="array" ref="T141">index('Query Tool'!B:B,match(H141,'Query Tool'!C:C,0))</f>
        <v>1</v>
      </c>
      <c r="U141" s="161" t="b">
        <f t="array" ref="U141">index('Query Tool'!B:B,match(C141,'Query Tool'!C:C,0))</f>
        <v>0</v>
      </c>
      <c r="V141" s="161" t="b">
        <f>F141&gt;='Query Tool'!C$32</f>
        <v>0</v>
      </c>
      <c r="W141" s="161" t="b">
        <f t="array" ref="W141">index(Dropdowns!B:B,match(I141,Dropdowns!A:A,0))</f>
        <v>1</v>
      </c>
      <c r="X141" s="161" t="b">
        <f t="array" ref="X141">index('Query Tool'!B:B,match(D141,'Query Tool'!C:C,0))</f>
        <v>1</v>
      </c>
      <c r="Y141" s="161" t="str">
        <f t="shared" si="6"/>
        <v>armsthi01,2013-14</v>
      </c>
      <c r="Z141" s="168" t="str">
        <f t="array" ref="Z141">iferror(index(I:I,match($A141&amp;","&amp;index('Year Conversion'!$A:$A,match($C141,'Year Conversion'!$B:$B,0)),$Y:$Y,0))-I141,"")</f>
        <v/>
      </c>
      <c r="AA141" s="168" t="str">
        <f t="array" ref="AA141">iferror(index(J:J,match($A141&amp;","&amp;index('Year Conversion'!$A:$A,match($C141,'Year Conversion'!$B:$B,0)),$Y:$Y,0))-J141,"")</f>
        <v/>
      </c>
      <c r="AB141" s="168" t="str">
        <f t="array" ref="AB141">iferror(index(K:K,match($A141&amp;","&amp;index('Year Conversion'!$A:$A,match($C141,'Year Conversion'!$B:$B,0)),$Y:$Y,0))-K141,"")</f>
        <v/>
      </c>
      <c r="AC141" s="168" t="str">
        <f t="shared" si="7"/>
        <v>GSW,2013-14</v>
      </c>
    </row>
    <row r="142">
      <c r="A142" s="161" t="str">
        <f>IFERROR(__xludf.DUMMYFUNCTION("""COMPUTED_VALUE"""),"sefolth01")</f>
        <v>sefolth01</v>
      </c>
      <c r="B142" s="161" t="str">
        <f>IFERROR(__xludf.DUMMYFUNCTION("""COMPUTED_VALUE"""),"Thabo Sefolosha")</f>
        <v>Thabo Sefolosha</v>
      </c>
      <c r="C142" s="162" t="str">
        <f>IFERROR(__xludf.DUMMYFUNCTION("""COMPUTED_VALUE"""),"2013-14")</f>
        <v>2013-14</v>
      </c>
      <c r="D142" s="163" t="str">
        <f>IFERROR(__xludf.DUMMYFUNCTION("""COMPUTED_VALUE"""),"OKC")</f>
        <v>OKC</v>
      </c>
      <c r="E142" s="164" t="str">
        <f>IFERROR(__xludf.DUMMYFUNCTION("""COMPUTED_VALUE"""),"Stationary Shooter")</f>
        <v>Stationary Shooter</v>
      </c>
      <c r="F142" s="164">
        <f>IFERROR(__xludf.DUMMYFUNCTION("""COMPUTED_VALUE"""),1584.095)</f>
        <v>1584.095</v>
      </c>
      <c r="G142" s="163">
        <f>IFERROR(__xludf.DUMMYFUNCTION("""COMPUTED_VALUE"""),61.0)</f>
        <v>61</v>
      </c>
      <c r="H142" s="163" t="str">
        <f>IFERROR(__xludf.DUMMYFUNCTION("""COMPUTED_VALUE"""),"SG")</f>
        <v>SG</v>
      </c>
      <c r="I142" s="163">
        <f>IFERROR(__xludf.DUMMYFUNCTION("""COMPUTED_VALUE"""),29.0)</f>
        <v>29</v>
      </c>
      <c r="J142" s="165">
        <f>IFERROR(__xludf.DUMMYFUNCTION("""COMPUTED_VALUE"""),-0.889767263314548)</f>
        <v>-0.8897672633</v>
      </c>
      <c r="K142" s="165">
        <f>IFERROR(__xludf.DUMMYFUNCTION("""COMPUTED_VALUE"""),-1.29085315805018)</f>
        <v>-1.290853158</v>
      </c>
      <c r="L142" s="165">
        <f>IFERROR(__xludf.DUMMYFUNCTION("""COMPUTED_VALUE"""),0.401085894735632)</f>
        <v>0.4010858947</v>
      </c>
      <c r="M142" s="166">
        <f t="shared" si="2"/>
        <v>1.492935889</v>
      </c>
      <c r="N142" s="167">
        <f t="shared" si="3"/>
        <v>25.96877049</v>
      </c>
      <c r="O142" s="163">
        <f t="shared" ref="O142:Q142" si="146">rank(I142,I:I)</f>
        <v>855</v>
      </c>
      <c r="P142" s="163">
        <f t="shared" si="146"/>
        <v>2380</v>
      </c>
      <c r="Q142" s="163">
        <f t="shared" si="146"/>
        <v>3133</v>
      </c>
      <c r="R142" s="163">
        <f>IFERROR(__xludf.DUMMYFUNCTION("RANK(M142,filter(M:M,C:C=C142))"),185.0)</f>
        <v>185</v>
      </c>
      <c r="S142" s="161" t="b">
        <f t="shared" si="5"/>
        <v>0</v>
      </c>
      <c r="T142" s="161" t="b">
        <f t="array" ref="T142">index('Query Tool'!B:B,match(H142,'Query Tool'!C:C,0))</f>
        <v>1</v>
      </c>
      <c r="U142" s="161" t="b">
        <f t="array" ref="U142">index('Query Tool'!B:B,match(C142,'Query Tool'!C:C,0))</f>
        <v>0</v>
      </c>
      <c r="V142" s="161" t="b">
        <f>F142&gt;='Query Tool'!C$32</f>
        <v>1</v>
      </c>
      <c r="W142" s="161" t="b">
        <f t="array" ref="W142">index(Dropdowns!B:B,match(I142,Dropdowns!A:A,0))</f>
        <v>1</v>
      </c>
      <c r="X142" s="161" t="b">
        <f t="array" ref="X142">index('Query Tool'!B:B,match(D142,'Query Tool'!C:C,0))</f>
        <v>1</v>
      </c>
      <c r="Y142" s="161" t="str">
        <f t="shared" si="6"/>
        <v>sefolth01,2013-14</v>
      </c>
      <c r="Z142" s="168">
        <f t="array" ref="Z142">iferror(index(I:I,match($A142&amp;","&amp;index('Year Conversion'!$A:$A,match($C142,'Year Conversion'!$B:$B,0)),$Y:$Y,0))-I142,"")</f>
        <v>1</v>
      </c>
      <c r="AA142" s="168">
        <f t="array" ref="AA142">iferror(index(J:J,match($A142&amp;","&amp;index('Year Conversion'!$A:$A,match($C142,'Year Conversion'!$B:$B,0)),$Y:$Y,0))-J142,"")</f>
        <v>2.604758412</v>
      </c>
      <c r="AB142" s="168">
        <f t="array" ref="AB142">iferror(index(K:K,match($A142&amp;","&amp;index('Year Conversion'!$A:$A,match($C142,'Year Conversion'!$B:$B,0)),$Y:$Y,0))-K142,"")</f>
        <v>1.060344927</v>
      </c>
      <c r="AC142" s="168" t="str">
        <f t="shared" si="7"/>
        <v>OKC,2013-14</v>
      </c>
    </row>
    <row r="143">
      <c r="A143" s="161" t="str">
        <f>IFERROR(__xludf.DUMMYFUNCTION("""COMPUTED_VALUE"""),"brewero02")</f>
        <v>brewero02</v>
      </c>
      <c r="B143" s="161" t="str">
        <f>IFERROR(__xludf.DUMMYFUNCTION("""COMPUTED_VALUE"""),"Ronnie Brewer")</f>
        <v>Ronnie Brewer</v>
      </c>
      <c r="C143" s="162" t="str">
        <f>IFERROR(__xludf.DUMMYFUNCTION("""COMPUTED_VALUE"""),"2013-14")</f>
        <v>2013-14</v>
      </c>
      <c r="D143" s="163" t="str">
        <f>IFERROR(__xludf.DUMMYFUNCTION("""COMPUTED_VALUE"""),"TOT")</f>
        <v>TOT</v>
      </c>
      <c r="E143" s="164" t="str">
        <f>IFERROR(__xludf.DUMMYFUNCTION("""COMPUTED_VALUE"""),"Athletic Finisher")</f>
        <v>Athletic Finisher</v>
      </c>
      <c r="F143" s="164">
        <f>IFERROR(__xludf.DUMMYFUNCTION("""COMPUTED_VALUE"""),160.288333333333)</f>
        <v>160.2883333</v>
      </c>
      <c r="G143" s="163">
        <f>IFERROR(__xludf.DUMMYFUNCTION("""COMPUTED_VALUE"""),24.0)</f>
        <v>24</v>
      </c>
      <c r="H143" s="163" t="str">
        <f>IFERROR(__xludf.DUMMYFUNCTION("""COMPUTED_VALUE"""),"SF")</f>
        <v>SF</v>
      </c>
      <c r="I143" s="163">
        <f>IFERROR(__xludf.DUMMYFUNCTION("""COMPUTED_VALUE"""),28.0)</f>
        <v>28</v>
      </c>
      <c r="J143" s="165">
        <f>IFERROR(__xludf.DUMMYFUNCTION("""COMPUTED_VALUE"""),-1.78964524999398)</f>
        <v>-1.78964525</v>
      </c>
      <c r="K143" s="165">
        <f>IFERROR(__xludf.DUMMYFUNCTION("""COMPUTED_VALUE"""),-1.04164863040658)</f>
        <v>-1.04164863</v>
      </c>
      <c r="L143" s="165">
        <f>IFERROR(__xludf.DUMMYFUNCTION("""COMPUTED_VALUE"""),-0.7479966195874)</f>
        <v>-0.7479966196</v>
      </c>
      <c r="M143" s="166">
        <f t="shared" si="2"/>
        <v>0.05456951888</v>
      </c>
      <c r="N143" s="167">
        <f t="shared" si="3"/>
        <v>6.678680556</v>
      </c>
      <c r="O143" s="163">
        <f t="shared" ref="O143:Q143" si="147">rank(I143,I:I)</f>
        <v>1090</v>
      </c>
      <c r="P143" s="163">
        <f t="shared" si="147"/>
        <v>3319</v>
      </c>
      <c r="Q143" s="163">
        <f t="shared" si="147"/>
        <v>2859</v>
      </c>
      <c r="R143" s="163">
        <f>IFERROR(__xludf.DUMMYFUNCTION("RANK(M143,filter(M:M,C:C=C143))"),387.0)</f>
        <v>387</v>
      </c>
      <c r="S143" s="161" t="b">
        <f t="shared" si="5"/>
        <v>0</v>
      </c>
      <c r="T143" s="161" t="b">
        <f t="array" ref="T143">index('Query Tool'!B:B,match(H143,'Query Tool'!C:C,0))</f>
        <v>1</v>
      </c>
      <c r="U143" s="161" t="b">
        <f t="array" ref="U143">index('Query Tool'!B:B,match(C143,'Query Tool'!C:C,0))</f>
        <v>0</v>
      </c>
      <c r="V143" s="161" t="b">
        <f>F143&gt;='Query Tool'!C$32</f>
        <v>0</v>
      </c>
      <c r="W143" s="161" t="b">
        <f t="array" ref="W143">index(Dropdowns!B:B,match(I143,Dropdowns!A:A,0))</f>
        <v>1</v>
      </c>
      <c r="X143" s="161" t="b">
        <f t="array" ref="X143">index('Query Tool'!B:B,match(D143,'Query Tool'!C:C,0))</f>
        <v>1</v>
      </c>
      <c r="Y143" s="161" t="str">
        <f t="shared" si="6"/>
        <v>brewero02,2013-14</v>
      </c>
      <c r="Z143" s="168" t="str">
        <f t="array" ref="Z143">iferror(index(I:I,match($A143&amp;","&amp;index('Year Conversion'!$A:$A,match($C143,'Year Conversion'!$B:$B,0)),$Y:$Y,0))-I143,"")</f>
        <v/>
      </c>
      <c r="AA143" s="168" t="str">
        <f t="array" ref="AA143">iferror(index(J:J,match($A143&amp;","&amp;index('Year Conversion'!$A:$A,match($C143,'Year Conversion'!$B:$B,0)),$Y:$Y,0))-J143,"")</f>
        <v/>
      </c>
      <c r="AB143" s="168" t="str">
        <f t="array" ref="AB143">iferror(index(K:K,match($A143&amp;","&amp;index('Year Conversion'!$A:$A,match($C143,'Year Conversion'!$B:$B,0)),$Y:$Y,0))-K143,"")</f>
        <v/>
      </c>
      <c r="AC143" s="168" t="str">
        <f t="shared" si="7"/>
        <v>TOT,2013-14</v>
      </c>
    </row>
    <row r="144">
      <c r="A144" s="161" t="str">
        <f>IFERROR(__xludf.DUMMYFUNCTION("""COMPUTED_VALUE"""),"willish03")</f>
        <v>willish03</v>
      </c>
      <c r="B144" s="161" t="str">
        <f>IFERROR(__xludf.DUMMYFUNCTION("""COMPUTED_VALUE"""),"Shawne Williams")</f>
        <v>Shawne Williams</v>
      </c>
      <c r="C144" s="162" t="str">
        <f>IFERROR(__xludf.DUMMYFUNCTION("""COMPUTED_VALUE"""),"2013-14")</f>
        <v>2013-14</v>
      </c>
      <c r="D144" s="163" t="str">
        <f>IFERROR(__xludf.DUMMYFUNCTION("""COMPUTED_VALUE"""),"LAL")</f>
        <v>LAL</v>
      </c>
      <c r="E144" s="164" t="str">
        <f>IFERROR(__xludf.DUMMYFUNCTION("""COMPUTED_VALUE"""),"Stationary Shooter")</f>
        <v>Stationary Shooter</v>
      </c>
      <c r="F144" s="164">
        <f>IFERROR(__xludf.DUMMYFUNCTION("""COMPUTED_VALUE"""),750.768333333333)</f>
        <v>750.7683333</v>
      </c>
      <c r="G144" s="163">
        <f>IFERROR(__xludf.DUMMYFUNCTION("""COMPUTED_VALUE"""),36.0)</f>
        <v>36</v>
      </c>
      <c r="H144" s="163" t="str">
        <f>IFERROR(__xludf.DUMMYFUNCTION("""COMPUTED_VALUE"""),"PF")</f>
        <v>PF</v>
      </c>
      <c r="I144" s="163">
        <f>IFERROR(__xludf.DUMMYFUNCTION("""COMPUTED_VALUE"""),27.0)</f>
        <v>27</v>
      </c>
      <c r="J144" s="165">
        <f>IFERROR(__xludf.DUMMYFUNCTION("""COMPUTED_VALUE"""),-0.00355277508012497)</f>
        <v>-0.00355277508</v>
      </c>
      <c r="K144" s="165">
        <f>IFERROR(__xludf.DUMMYFUNCTION("""COMPUTED_VALUE"""),-1.3529345441514)</f>
        <v>-1.352934544</v>
      </c>
      <c r="L144" s="165">
        <f>IFERROR(__xludf.DUMMYFUNCTION("""COMPUTED_VALUE"""),1.34938176907127)</f>
        <v>1.349381769</v>
      </c>
      <c r="M144" s="166">
        <f t="shared" si="2"/>
        <v>1.15563624</v>
      </c>
      <c r="N144" s="167">
        <f t="shared" si="3"/>
        <v>20.85467593</v>
      </c>
      <c r="O144" s="163">
        <f t="shared" ref="O144:Q144" si="148">rank(I144,I:I)</f>
        <v>1366</v>
      </c>
      <c r="P144" s="163">
        <f t="shared" si="148"/>
        <v>1290</v>
      </c>
      <c r="Q144" s="163">
        <f t="shared" si="148"/>
        <v>3206</v>
      </c>
      <c r="R144" s="163">
        <f>IFERROR(__xludf.DUMMYFUNCTION("RANK(M144,filter(M:M,C:C=C144))"),214.0)</f>
        <v>214</v>
      </c>
      <c r="S144" s="161" t="b">
        <f t="shared" si="5"/>
        <v>0</v>
      </c>
      <c r="T144" s="161" t="b">
        <f t="array" ref="T144">index('Query Tool'!B:B,match(H144,'Query Tool'!C:C,0))</f>
        <v>1</v>
      </c>
      <c r="U144" s="161" t="b">
        <f t="array" ref="U144">index('Query Tool'!B:B,match(C144,'Query Tool'!C:C,0))</f>
        <v>0</v>
      </c>
      <c r="V144" s="161" t="b">
        <f>F144&gt;='Query Tool'!C$32</f>
        <v>1</v>
      </c>
      <c r="W144" s="161" t="b">
        <f t="array" ref="W144">index(Dropdowns!B:B,match(I144,Dropdowns!A:A,0))</f>
        <v>1</v>
      </c>
      <c r="X144" s="161" t="b">
        <f t="array" ref="X144">index('Query Tool'!B:B,match(D144,'Query Tool'!C:C,0))</f>
        <v>1</v>
      </c>
      <c r="Y144" s="161" t="str">
        <f t="shared" si="6"/>
        <v>willish03,2013-14</v>
      </c>
      <c r="Z144" s="168">
        <f t="array" ref="Z144">iferror(index(I:I,match($A144&amp;","&amp;index('Year Conversion'!$A:$A,match($C144,'Year Conversion'!$B:$B,0)),$Y:$Y,0))-I144,"")</f>
        <v>1</v>
      </c>
      <c r="AA144" s="168">
        <f t="array" ref="AA144">iferror(index(J:J,match($A144&amp;","&amp;index('Year Conversion'!$A:$A,match($C144,'Year Conversion'!$B:$B,0)),$Y:$Y,0))-J144,"")</f>
        <v>-0.7555144141</v>
      </c>
      <c r="AB144" s="168">
        <f t="array" ref="AB144">iferror(index(K:K,match($A144&amp;","&amp;index('Year Conversion'!$A:$A,match($C144,'Year Conversion'!$B:$B,0)),$Y:$Y,0))-K144,"")</f>
        <v>0.8605798577</v>
      </c>
      <c r="AC144" s="168" t="str">
        <f t="shared" si="7"/>
        <v>LAL,2013-14</v>
      </c>
    </row>
    <row r="145">
      <c r="A145" s="161" t="str">
        <f>IFERROR(__xludf.DUMMYFUNCTION("""COMPUTED_VALUE"""),"rondora01")</f>
        <v>rondora01</v>
      </c>
      <c r="B145" s="161" t="str">
        <f>IFERROR(__xludf.DUMMYFUNCTION("""COMPUTED_VALUE"""),"Rajon Rondo")</f>
        <v>Rajon Rondo</v>
      </c>
      <c r="C145" s="162" t="str">
        <f>IFERROR(__xludf.DUMMYFUNCTION("""COMPUTED_VALUE"""),"2013-14")</f>
        <v>2013-14</v>
      </c>
      <c r="D145" s="163" t="str">
        <f>IFERROR(__xludf.DUMMYFUNCTION("""COMPUTED_VALUE"""),"BOS")</f>
        <v>BOS</v>
      </c>
      <c r="E145" s="164" t="str">
        <f>IFERROR(__xludf.DUMMYFUNCTION("""COMPUTED_VALUE"""),"Shot Creator")</f>
        <v>Shot Creator</v>
      </c>
      <c r="F145" s="164">
        <f>IFERROR(__xludf.DUMMYFUNCTION("""COMPUTED_VALUE"""),998.231666666667)</f>
        <v>998.2316667</v>
      </c>
      <c r="G145" s="163">
        <f>IFERROR(__xludf.DUMMYFUNCTION("""COMPUTED_VALUE"""),30.0)</f>
        <v>30</v>
      </c>
      <c r="H145" s="163" t="str">
        <f>IFERROR(__xludf.DUMMYFUNCTION("""COMPUTED_VALUE"""),"PG")</f>
        <v>PG</v>
      </c>
      <c r="I145" s="163">
        <f>IFERROR(__xludf.DUMMYFUNCTION("""COMPUTED_VALUE"""),27.0)</f>
        <v>27</v>
      </c>
      <c r="J145" s="165">
        <f>IFERROR(__xludf.DUMMYFUNCTION("""COMPUTED_VALUE"""),-0.198354219409848)</f>
        <v>-0.1983542194</v>
      </c>
      <c r="K145" s="165">
        <f>IFERROR(__xludf.DUMMYFUNCTION("""COMPUTED_VALUE"""),0.861908175828413)</f>
        <v>0.8619081758</v>
      </c>
      <c r="L145" s="165">
        <f>IFERROR(__xludf.DUMMYFUNCTION("""COMPUTED_VALUE"""),-1.06026239523826)</f>
        <v>-1.060262395</v>
      </c>
      <c r="M145" s="166">
        <f t="shared" si="2"/>
        <v>1.405455864</v>
      </c>
      <c r="N145" s="167">
        <f t="shared" si="3"/>
        <v>33.27438889</v>
      </c>
      <c r="O145" s="163">
        <f t="shared" ref="O145:Q145" si="149">rank(I145,I:I)</f>
        <v>1366</v>
      </c>
      <c r="P145" s="163">
        <f t="shared" si="149"/>
        <v>1507</v>
      </c>
      <c r="Q145" s="163">
        <f t="shared" si="149"/>
        <v>570</v>
      </c>
      <c r="R145" s="163">
        <f>IFERROR(__xludf.DUMMYFUNCTION("RANK(M145,filter(M:M,C:C=C145))"),191.0)</f>
        <v>191</v>
      </c>
      <c r="S145" s="161" t="b">
        <f t="shared" si="5"/>
        <v>0</v>
      </c>
      <c r="T145" s="161" t="b">
        <f t="array" ref="T145">index('Query Tool'!B:B,match(H145,'Query Tool'!C:C,0))</f>
        <v>1</v>
      </c>
      <c r="U145" s="161" t="b">
        <f t="array" ref="U145">index('Query Tool'!B:B,match(C145,'Query Tool'!C:C,0))</f>
        <v>0</v>
      </c>
      <c r="V145" s="161" t="b">
        <f>F145&gt;='Query Tool'!C$32</f>
        <v>1</v>
      </c>
      <c r="W145" s="161" t="b">
        <f t="array" ref="W145">index(Dropdowns!B:B,match(I145,Dropdowns!A:A,0))</f>
        <v>1</v>
      </c>
      <c r="X145" s="161" t="b">
        <f t="array" ref="X145">index('Query Tool'!B:B,match(D145,'Query Tool'!C:C,0))</f>
        <v>1</v>
      </c>
      <c r="Y145" s="161" t="str">
        <f t="shared" si="6"/>
        <v>rondora01,2013-14</v>
      </c>
      <c r="Z145" s="168">
        <f t="array" ref="Z145">iferror(index(I:I,match($A145&amp;","&amp;index('Year Conversion'!$A:$A,match($C145,'Year Conversion'!$B:$B,0)),$Y:$Y,0))-I145,"")</f>
        <v>1</v>
      </c>
      <c r="AA145" s="168">
        <f t="array" ref="AA145">iferror(index(J:J,match($A145&amp;","&amp;index('Year Conversion'!$A:$A,match($C145,'Year Conversion'!$B:$B,0)),$Y:$Y,0))-J145,"")</f>
        <v>-0.3414688543</v>
      </c>
      <c r="AB145" s="168">
        <f t="array" ref="AB145">iferror(index(K:K,match($A145&amp;","&amp;index('Year Conversion'!$A:$A,match($C145,'Year Conversion'!$B:$B,0)),$Y:$Y,0))-K145,"")</f>
        <v>-2.300562904</v>
      </c>
      <c r="AC145" s="168" t="str">
        <f t="shared" si="7"/>
        <v>BOS,2013-14</v>
      </c>
    </row>
    <row r="146">
      <c r="A146" s="161" t="str">
        <f>IFERROR(__xludf.DUMMYFUNCTION("""COMPUTED_VALUE"""),"lowryky01")</f>
        <v>lowryky01</v>
      </c>
      <c r="B146" s="161" t="str">
        <f>IFERROR(__xludf.DUMMYFUNCTION("""COMPUTED_VALUE"""),"Kyle Lowry")</f>
        <v>Kyle Lowry</v>
      </c>
      <c r="C146" s="162" t="str">
        <f>IFERROR(__xludf.DUMMYFUNCTION("""COMPUTED_VALUE"""),"2013-14")</f>
        <v>2013-14</v>
      </c>
      <c r="D146" s="163" t="str">
        <f>IFERROR(__xludf.DUMMYFUNCTION("""COMPUTED_VALUE"""),"TOR")</f>
        <v>TOR</v>
      </c>
      <c r="E146" s="164" t="str">
        <f>IFERROR(__xludf.DUMMYFUNCTION("""COMPUTED_VALUE"""),"Primary Ball Handler")</f>
        <v>Primary Ball Handler</v>
      </c>
      <c r="F146" s="164">
        <f>IFERROR(__xludf.DUMMYFUNCTION("""COMPUTED_VALUE"""),2861.95166666667)</f>
        <v>2861.951667</v>
      </c>
      <c r="G146" s="163">
        <f>IFERROR(__xludf.DUMMYFUNCTION("""COMPUTED_VALUE"""),79.0)</f>
        <v>79</v>
      </c>
      <c r="H146" s="163" t="str">
        <f>IFERROR(__xludf.DUMMYFUNCTION("""COMPUTED_VALUE"""),"PG")</f>
        <v>PG</v>
      </c>
      <c r="I146" s="163">
        <f>IFERROR(__xludf.DUMMYFUNCTION("""COMPUTED_VALUE"""),27.0)</f>
        <v>27</v>
      </c>
      <c r="J146" s="165">
        <f>IFERROR(__xludf.DUMMYFUNCTION("""COMPUTED_VALUE"""),4.06960124015901)</f>
        <v>4.06960124</v>
      </c>
      <c r="K146" s="165">
        <f>IFERROR(__xludf.DUMMYFUNCTION("""COMPUTED_VALUE"""),3.66885452455607)</f>
        <v>3.668854525</v>
      </c>
      <c r="L146" s="165">
        <f>IFERROR(__xludf.DUMMYFUNCTION("""COMPUTED_VALUE"""),0.400746715602942)</f>
        <v>0.4007467156</v>
      </c>
      <c r="M146" s="166">
        <f t="shared" si="2"/>
        <v>12.08864748</v>
      </c>
      <c r="N146" s="167">
        <f t="shared" si="3"/>
        <v>36.22723629</v>
      </c>
      <c r="O146" s="163">
        <f t="shared" ref="O146:Q146" si="150">rank(I146,I:I)</f>
        <v>1366</v>
      </c>
      <c r="P146" s="163">
        <f t="shared" si="150"/>
        <v>91</v>
      </c>
      <c r="Q146" s="163">
        <f t="shared" si="150"/>
        <v>81</v>
      </c>
      <c r="R146" s="163">
        <f>IFERROR(__xludf.DUMMYFUNCTION("RANK(M146,filter(M:M,C:C=C146))"),8.0)</f>
        <v>8</v>
      </c>
      <c r="S146" s="161" t="b">
        <f t="shared" si="5"/>
        <v>0</v>
      </c>
      <c r="T146" s="161" t="b">
        <f t="array" ref="T146">index('Query Tool'!B:B,match(H146,'Query Tool'!C:C,0))</f>
        <v>1</v>
      </c>
      <c r="U146" s="161" t="b">
        <f t="array" ref="U146">index('Query Tool'!B:B,match(C146,'Query Tool'!C:C,0))</f>
        <v>0</v>
      </c>
      <c r="V146" s="161" t="b">
        <f>F146&gt;='Query Tool'!C$32</f>
        <v>1</v>
      </c>
      <c r="W146" s="161" t="b">
        <f t="array" ref="W146">index(Dropdowns!B:B,match(I146,Dropdowns!A:A,0))</f>
        <v>1</v>
      </c>
      <c r="X146" s="161" t="b">
        <f t="array" ref="X146">index('Query Tool'!B:B,match(D146,'Query Tool'!C:C,0))</f>
        <v>1</v>
      </c>
      <c r="Y146" s="161" t="str">
        <f t="shared" si="6"/>
        <v>lowryky01,2013-14</v>
      </c>
      <c r="Z146" s="168">
        <f t="array" ref="Z146">iferror(index(I:I,match($A146&amp;","&amp;index('Year Conversion'!$A:$A,match($C146,'Year Conversion'!$B:$B,0)),$Y:$Y,0))-I146,"")</f>
        <v>1</v>
      </c>
      <c r="AA146" s="168">
        <f t="array" ref="AA146">iferror(index(J:J,match($A146&amp;","&amp;index('Year Conversion'!$A:$A,match($C146,'Year Conversion'!$B:$B,0)),$Y:$Y,0))-J146,"")</f>
        <v>-0.5285729796</v>
      </c>
      <c r="AB146" s="168">
        <f t="array" ref="AB146">iferror(index(K:K,match($A146&amp;","&amp;index('Year Conversion'!$A:$A,match($C146,'Year Conversion'!$B:$B,0)),$Y:$Y,0))-K146,"")</f>
        <v>-0.4952152393</v>
      </c>
      <c r="AC146" s="168" t="str">
        <f t="shared" si="7"/>
        <v>TOR,2013-14</v>
      </c>
    </row>
    <row r="147">
      <c r="A147" s="161" t="str">
        <f>IFERROR(__xludf.DUMMYFUNCTION("""COMPUTED_VALUE"""),"brownsh01")</f>
        <v>brownsh01</v>
      </c>
      <c r="B147" s="161" t="str">
        <f>IFERROR(__xludf.DUMMYFUNCTION("""COMPUTED_VALUE"""),"Shannon Brown")</f>
        <v>Shannon Brown</v>
      </c>
      <c r="C147" s="162" t="str">
        <f>IFERROR(__xludf.DUMMYFUNCTION("""COMPUTED_VALUE"""),"2013-14")</f>
        <v>2013-14</v>
      </c>
      <c r="D147" s="163" t="str">
        <f>IFERROR(__xludf.DUMMYFUNCTION("""COMPUTED_VALUE"""),"TOT")</f>
        <v>TOT</v>
      </c>
      <c r="E147" s="164" t="str">
        <f>IFERROR(__xludf.DUMMYFUNCTION("""COMPUTED_VALUE"""),"Secondary Ball Handler")</f>
        <v>Secondary Ball Handler</v>
      </c>
      <c r="F147" s="164">
        <f>IFERROR(__xludf.DUMMYFUNCTION("""COMPUTED_VALUE"""),251.286666666667)</f>
        <v>251.2866667</v>
      </c>
      <c r="G147" s="163">
        <f>IFERROR(__xludf.DUMMYFUNCTION("""COMPUTED_VALUE"""),29.0)</f>
        <v>29</v>
      </c>
      <c r="H147" s="163" t="str">
        <f>IFERROR(__xludf.DUMMYFUNCTION("""COMPUTED_VALUE"""),"SG")</f>
        <v>SG</v>
      </c>
      <c r="I147" s="163">
        <f>IFERROR(__xludf.DUMMYFUNCTION("""COMPUTED_VALUE"""),28.0)</f>
        <v>28</v>
      </c>
      <c r="J147" s="165">
        <f>IFERROR(__xludf.DUMMYFUNCTION("""COMPUTED_VALUE"""),-2.27936911021012)</f>
        <v>-2.27936911</v>
      </c>
      <c r="K147" s="165">
        <f>IFERROR(__xludf.DUMMYFUNCTION("""COMPUTED_VALUE"""),-1.41722222127792)</f>
        <v>-1.417222221</v>
      </c>
      <c r="L147" s="165">
        <f>IFERROR(__xludf.DUMMYFUNCTION("""COMPUTED_VALUE"""),-0.862146888932194)</f>
        <v>-0.8621468889</v>
      </c>
      <c r="M147" s="166">
        <f t="shared" si="2"/>
        <v>0.004004398862</v>
      </c>
      <c r="N147" s="167">
        <f t="shared" si="3"/>
        <v>8.665057471</v>
      </c>
      <c r="O147" s="163">
        <f t="shared" ref="O147:Q147" si="151">rank(I147,I:I)</f>
        <v>1090</v>
      </c>
      <c r="P147" s="163">
        <f t="shared" si="151"/>
        <v>3644</v>
      </c>
      <c r="Q147" s="163">
        <f t="shared" si="151"/>
        <v>3266</v>
      </c>
      <c r="R147" s="163">
        <f>IFERROR(__xludf.DUMMYFUNCTION("RANK(M147,filter(M:M,C:C=C147))"),428.0)</f>
        <v>428</v>
      </c>
      <c r="S147" s="161" t="b">
        <f t="shared" si="5"/>
        <v>0</v>
      </c>
      <c r="T147" s="161" t="b">
        <f t="array" ref="T147">index('Query Tool'!B:B,match(H147,'Query Tool'!C:C,0))</f>
        <v>1</v>
      </c>
      <c r="U147" s="161" t="b">
        <f t="array" ref="U147">index('Query Tool'!B:B,match(C147,'Query Tool'!C:C,0))</f>
        <v>0</v>
      </c>
      <c r="V147" s="161" t="b">
        <f>F147&gt;='Query Tool'!C$32</f>
        <v>0</v>
      </c>
      <c r="W147" s="161" t="b">
        <f t="array" ref="W147">index(Dropdowns!B:B,match(I147,Dropdowns!A:A,0))</f>
        <v>1</v>
      </c>
      <c r="X147" s="161" t="b">
        <f t="array" ref="X147">index('Query Tool'!B:B,match(D147,'Query Tool'!C:C,0))</f>
        <v>1</v>
      </c>
      <c r="Y147" s="161" t="str">
        <f t="shared" si="6"/>
        <v>brownsh01,2013-14</v>
      </c>
      <c r="Z147" s="168">
        <f t="array" ref="Z147">iferror(index(I:I,match($A147&amp;","&amp;index('Year Conversion'!$A:$A,match($C147,'Year Conversion'!$B:$B,0)),$Y:$Y,0))-I147,"")</f>
        <v>1</v>
      </c>
      <c r="AA147" s="168">
        <f t="array" ref="AA147">iferror(index(J:J,match($A147&amp;","&amp;index('Year Conversion'!$A:$A,match($C147,'Year Conversion'!$B:$B,0)),$Y:$Y,0))-J147,"")</f>
        <v>0.9451207123</v>
      </c>
      <c r="AB147" s="168">
        <f t="array" ref="AB147">iferror(index(K:K,match($A147&amp;","&amp;index('Year Conversion'!$A:$A,match($C147,'Year Conversion'!$B:$B,0)),$Y:$Y,0))-K147,"")</f>
        <v>0.8277709466</v>
      </c>
      <c r="AC147" s="168" t="str">
        <f t="shared" si="7"/>
        <v>TOT,2013-14</v>
      </c>
    </row>
    <row r="148">
      <c r="A148" s="161" t="str">
        <f>IFERROR(__xludf.DUMMYFUNCTION("""COMPUTED_VALUE"""),"farmajo01")</f>
        <v>farmajo01</v>
      </c>
      <c r="B148" s="161" t="str">
        <f>IFERROR(__xludf.DUMMYFUNCTION("""COMPUTED_VALUE"""),"Jordan Farmar")</f>
        <v>Jordan Farmar</v>
      </c>
      <c r="C148" s="162" t="str">
        <f>IFERROR(__xludf.DUMMYFUNCTION("""COMPUTED_VALUE"""),"2013-14")</f>
        <v>2013-14</v>
      </c>
      <c r="D148" s="163" t="str">
        <f>IFERROR(__xludf.DUMMYFUNCTION("""COMPUTED_VALUE"""),"LAL")</f>
        <v>LAL</v>
      </c>
      <c r="E148" s="164" t="str">
        <f>IFERROR(__xludf.DUMMYFUNCTION("""COMPUTED_VALUE"""),"Shot Creator")</f>
        <v>Shot Creator</v>
      </c>
      <c r="F148" s="164">
        <f>IFERROR(__xludf.DUMMYFUNCTION("""COMPUTED_VALUE"""),912.316666666666)</f>
        <v>912.3166667</v>
      </c>
      <c r="G148" s="163">
        <f>IFERROR(__xludf.DUMMYFUNCTION("""COMPUTED_VALUE"""),41.0)</f>
        <v>41</v>
      </c>
      <c r="H148" s="163" t="str">
        <f>IFERROR(__xludf.DUMMYFUNCTION("""COMPUTED_VALUE"""),"PG")</f>
        <v>PG</v>
      </c>
      <c r="I148" s="163">
        <f>IFERROR(__xludf.DUMMYFUNCTION("""COMPUTED_VALUE"""),27.0)</f>
        <v>27</v>
      </c>
      <c r="J148" s="165">
        <f>IFERROR(__xludf.DUMMYFUNCTION("""COMPUTED_VALUE"""),-1.81873480663332)</f>
        <v>-1.818734807</v>
      </c>
      <c r="K148" s="165">
        <f>IFERROR(__xludf.DUMMYFUNCTION("""COMPUTED_VALUE"""),-0.411949970980636)</f>
        <v>-0.411949971</v>
      </c>
      <c r="L148" s="165">
        <f>IFERROR(__xludf.DUMMYFUNCTION("""COMPUTED_VALUE"""),-1.40678483565269)</f>
        <v>-1.406784836</v>
      </c>
      <c r="M148" s="166">
        <f t="shared" si="2"/>
        <v>0.2929428488</v>
      </c>
      <c r="N148" s="167">
        <f t="shared" si="3"/>
        <v>22.25162602</v>
      </c>
      <c r="O148" s="163">
        <f t="shared" ref="O148:Q148" si="152">rank(I148,I:I)</f>
        <v>1366</v>
      </c>
      <c r="P148" s="163">
        <f t="shared" si="152"/>
        <v>3351</v>
      </c>
      <c r="Q148" s="163">
        <f t="shared" si="152"/>
        <v>1965</v>
      </c>
      <c r="R148" s="163">
        <f>IFERROR(__xludf.DUMMYFUNCTION("RANK(M148,filter(M:M,C:C=C148))"),301.0)</f>
        <v>301</v>
      </c>
      <c r="S148" s="161" t="b">
        <f t="shared" si="5"/>
        <v>0</v>
      </c>
      <c r="T148" s="161" t="b">
        <f t="array" ref="T148">index('Query Tool'!B:B,match(H148,'Query Tool'!C:C,0))</f>
        <v>1</v>
      </c>
      <c r="U148" s="161" t="b">
        <f t="array" ref="U148">index('Query Tool'!B:B,match(C148,'Query Tool'!C:C,0))</f>
        <v>0</v>
      </c>
      <c r="V148" s="161" t="b">
        <f>F148&gt;='Query Tool'!C$32</f>
        <v>1</v>
      </c>
      <c r="W148" s="161" t="b">
        <f t="array" ref="W148">index(Dropdowns!B:B,match(I148,Dropdowns!A:A,0))</f>
        <v>1</v>
      </c>
      <c r="X148" s="161" t="b">
        <f t="array" ref="X148">index('Query Tool'!B:B,match(D148,'Query Tool'!C:C,0))</f>
        <v>1</v>
      </c>
      <c r="Y148" s="161" t="str">
        <f t="shared" si="6"/>
        <v>farmajo01,2013-14</v>
      </c>
      <c r="Z148" s="168">
        <f t="array" ref="Z148">iferror(index(I:I,match($A148&amp;","&amp;index('Year Conversion'!$A:$A,match($C148,'Year Conversion'!$B:$B,0)),$Y:$Y,0))-I148,"")</f>
        <v>1</v>
      </c>
      <c r="AA148" s="168">
        <f t="array" ref="AA148">iferror(index(J:J,match($A148&amp;","&amp;index('Year Conversion'!$A:$A,match($C148,'Year Conversion'!$B:$B,0)),$Y:$Y,0))-J148,"")</f>
        <v>-0.7911804875</v>
      </c>
      <c r="AB148" s="168">
        <f t="array" ref="AB148">iferror(index(K:K,match($A148&amp;","&amp;index('Year Conversion'!$A:$A,match($C148,'Year Conversion'!$B:$B,0)),$Y:$Y,0))-K148,"")</f>
        <v>-0.9040521921</v>
      </c>
      <c r="AC148" s="168" t="str">
        <f t="shared" si="7"/>
        <v>LAL,2013-14</v>
      </c>
    </row>
    <row r="149">
      <c r="A149" s="161" t="str">
        <f>IFERROR(__xludf.DUMMYFUNCTION("""COMPUTED_VALUE"""),"freeljo01")</f>
        <v>freeljo01</v>
      </c>
      <c r="B149" s="161" t="str">
        <f>IFERROR(__xludf.DUMMYFUNCTION("""COMPUTED_VALUE"""),"Joel Freeland")</f>
        <v>Joel Freeland</v>
      </c>
      <c r="C149" s="162" t="str">
        <f>IFERROR(__xludf.DUMMYFUNCTION("""COMPUTED_VALUE"""),"2013-14")</f>
        <v>2013-14</v>
      </c>
      <c r="D149" s="163" t="str">
        <f>IFERROR(__xludf.DUMMYFUNCTION("""COMPUTED_VALUE"""),"POR")</f>
        <v>POR</v>
      </c>
      <c r="E149" s="164" t="str">
        <f>IFERROR(__xludf.DUMMYFUNCTION("""COMPUTED_VALUE"""),"Roll + Cut Big")</f>
        <v>Roll + Cut Big</v>
      </c>
      <c r="F149" s="164">
        <f>IFERROR(__xludf.DUMMYFUNCTION("""COMPUTED_VALUE"""),727.238333333333)</f>
        <v>727.2383333</v>
      </c>
      <c r="G149" s="163">
        <f>IFERROR(__xludf.DUMMYFUNCTION("""COMPUTED_VALUE"""),52.0)</f>
        <v>52</v>
      </c>
      <c r="H149" s="163" t="str">
        <f>IFERROR(__xludf.DUMMYFUNCTION("""COMPUTED_VALUE"""),"C")</f>
        <v>C</v>
      </c>
      <c r="I149" s="163">
        <f>IFERROR(__xludf.DUMMYFUNCTION("""COMPUTED_VALUE"""),26.0)</f>
        <v>26</v>
      </c>
      <c r="J149" s="165">
        <f>IFERROR(__xludf.DUMMYFUNCTION("""COMPUTED_VALUE"""),-1.9812907075632)</f>
        <v>-1.981290708</v>
      </c>
      <c r="K149" s="165">
        <f>IFERROR(__xludf.DUMMYFUNCTION("""COMPUTED_VALUE"""),-1.92153557931448)</f>
        <v>-1.921535579</v>
      </c>
      <c r="L149" s="165">
        <f>IFERROR(__xludf.DUMMYFUNCTION("""COMPUTED_VALUE"""),-0.0597551282487284)</f>
        <v>-0.05975512825</v>
      </c>
      <c r="M149" s="166">
        <f t="shared" si="2"/>
        <v>0.1550018792</v>
      </c>
      <c r="N149" s="167">
        <f t="shared" si="3"/>
        <v>13.98535256</v>
      </c>
      <c r="O149" s="163">
        <f t="shared" ref="O149:Q149" si="153">rank(I149,I:I)</f>
        <v>1665</v>
      </c>
      <c r="P149" s="163">
        <f t="shared" si="153"/>
        <v>3466</v>
      </c>
      <c r="Q149" s="163">
        <f t="shared" si="153"/>
        <v>3665</v>
      </c>
      <c r="R149" s="163">
        <f>IFERROR(__xludf.DUMMYFUNCTION("RANK(M149,filter(M:M,C:C=C149))"),339.0)</f>
        <v>339</v>
      </c>
      <c r="S149" s="161" t="b">
        <f t="shared" si="5"/>
        <v>0</v>
      </c>
      <c r="T149" s="161" t="b">
        <f t="array" ref="T149">index('Query Tool'!B:B,match(H149,'Query Tool'!C:C,0))</f>
        <v>1</v>
      </c>
      <c r="U149" s="161" t="b">
        <f t="array" ref="U149">index('Query Tool'!B:B,match(C149,'Query Tool'!C:C,0))</f>
        <v>0</v>
      </c>
      <c r="V149" s="161" t="b">
        <f>F149&gt;='Query Tool'!C$32</f>
        <v>1</v>
      </c>
      <c r="W149" s="161" t="b">
        <f t="array" ref="W149">index(Dropdowns!B:B,match(I149,Dropdowns!A:A,0))</f>
        <v>1</v>
      </c>
      <c r="X149" s="161" t="b">
        <f t="array" ref="X149">index('Query Tool'!B:B,match(D149,'Query Tool'!C:C,0))</f>
        <v>1</v>
      </c>
      <c r="Y149" s="161" t="str">
        <f t="shared" si="6"/>
        <v>freeljo01,2013-14</v>
      </c>
      <c r="Z149" s="168">
        <f t="array" ref="Z149">iferror(index(I:I,match($A149&amp;","&amp;index('Year Conversion'!$A:$A,match($C149,'Year Conversion'!$B:$B,0)),$Y:$Y,0))-I149,"")</f>
        <v>1</v>
      </c>
      <c r="AA149" s="168">
        <f t="array" ref="AA149">iferror(index(J:J,match($A149&amp;","&amp;index('Year Conversion'!$A:$A,match($C149,'Year Conversion'!$B:$B,0)),$Y:$Y,0))-J149,"")</f>
        <v>0.7913673333</v>
      </c>
      <c r="AB149" s="168">
        <f t="array" ref="AB149">iferror(index(K:K,match($A149&amp;","&amp;index('Year Conversion'!$A:$A,match($C149,'Year Conversion'!$B:$B,0)),$Y:$Y,0))-K149,"")</f>
        <v>-0.008906221268</v>
      </c>
      <c r="AC149" s="168" t="str">
        <f t="shared" si="7"/>
        <v>POR,2013-14</v>
      </c>
    </row>
    <row r="150">
      <c r="A150" s="161" t="str">
        <f>IFERROR(__xludf.DUMMYFUNCTION("""COMPUTED_VALUE"""),"novakst01")</f>
        <v>novakst01</v>
      </c>
      <c r="B150" s="161" t="str">
        <f>IFERROR(__xludf.DUMMYFUNCTION("""COMPUTED_VALUE"""),"Steve Novak")</f>
        <v>Steve Novak</v>
      </c>
      <c r="C150" s="162" t="str">
        <f>IFERROR(__xludf.DUMMYFUNCTION("""COMPUTED_VALUE"""),"2013-14")</f>
        <v>2013-14</v>
      </c>
      <c r="D150" s="163" t="str">
        <f>IFERROR(__xludf.DUMMYFUNCTION("""COMPUTED_VALUE"""),"TOR")</f>
        <v>TOR</v>
      </c>
      <c r="E150" s="164" t="str">
        <f>IFERROR(__xludf.DUMMYFUNCTION("""COMPUTED_VALUE"""),"Stationary Shooter")</f>
        <v>Stationary Shooter</v>
      </c>
      <c r="F150" s="164">
        <f>IFERROR(__xludf.DUMMYFUNCTION("""COMPUTED_VALUE"""),540.375)</f>
        <v>540.375</v>
      </c>
      <c r="G150" s="163">
        <f>IFERROR(__xludf.DUMMYFUNCTION("""COMPUTED_VALUE"""),54.0)</f>
        <v>54</v>
      </c>
      <c r="H150" s="163" t="str">
        <f>IFERROR(__xludf.DUMMYFUNCTION("""COMPUTED_VALUE"""),"PF")</f>
        <v>PF</v>
      </c>
      <c r="I150" s="163">
        <f>IFERROR(__xludf.DUMMYFUNCTION("""COMPUTED_VALUE"""),30.0)</f>
        <v>30</v>
      </c>
      <c r="J150" s="165">
        <f>IFERROR(__xludf.DUMMYFUNCTION("""COMPUTED_VALUE"""),-0.36184361442573)</f>
        <v>-0.3618436144</v>
      </c>
      <c r="K150" s="165">
        <f>IFERROR(__xludf.DUMMYFUNCTION("""COMPUTED_VALUE"""),0.433997145001322)</f>
        <v>0.433997145</v>
      </c>
      <c r="L150" s="165">
        <f>IFERROR(__xludf.DUMMYFUNCTION("""COMPUTED_VALUE"""),-0.795840759427052)</f>
        <v>-0.7958407594</v>
      </c>
      <c r="M150" s="166">
        <f t="shared" si="2"/>
        <v>0.7012769243</v>
      </c>
      <c r="N150" s="167">
        <f t="shared" si="3"/>
        <v>10.00694444</v>
      </c>
      <c r="O150" s="163">
        <f t="shared" ref="O150:Q150" si="154">rank(I150,I:I)</f>
        <v>655</v>
      </c>
      <c r="P150" s="163">
        <f t="shared" si="154"/>
        <v>1684</v>
      </c>
      <c r="Q150" s="163">
        <f t="shared" si="154"/>
        <v>807</v>
      </c>
      <c r="R150" s="163">
        <f>IFERROR(__xludf.DUMMYFUNCTION("RANK(M150,filter(M:M,C:C=C150))"),251.0)</f>
        <v>251</v>
      </c>
      <c r="S150" s="161" t="b">
        <f t="shared" si="5"/>
        <v>0</v>
      </c>
      <c r="T150" s="161" t="b">
        <f t="array" ref="T150">index('Query Tool'!B:B,match(H150,'Query Tool'!C:C,0))</f>
        <v>1</v>
      </c>
      <c r="U150" s="161" t="b">
        <f t="array" ref="U150">index('Query Tool'!B:B,match(C150,'Query Tool'!C:C,0))</f>
        <v>0</v>
      </c>
      <c r="V150" s="161" t="b">
        <f>F150&gt;='Query Tool'!C$32</f>
        <v>1</v>
      </c>
      <c r="W150" s="161" t="b">
        <f t="array" ref="W150">index(Dropdowns!B:B,match(I150,Dropdowns!A:A,0))</f>
        <v>1</v>
      </c>
      <c r="X150" s="161" t="b">
        <f t="array" ref="X150">index('Query Tool'!B:B,match(D150,'Query Tool'!C:C,0))</f>
        <v>1</v>
      </c>
      <c r="Y150" s="161" t="str">
        <f t="shared" si="6"/>
        <v>novakst01,2013-14</v>
      </c>
      <c r="Z150" s="168">
        <f t="array" ref="Z150">iferror(index(I:I,match($A150&amp;","&amp;index('Year Conversion'!$A:$A,match($C150,'Year Conversion'!$B:$B,0)),$Y:$Y,0))-I150,"")</f>
        <v>1</v>
      </c>
      <c r="AA150" s="168">
        <f t="array" ref="AA150">iferror(index(J:J,match($A150&amp;","&amp;index('Year Conversion'!$A:$A,match($C150,'Year Conversion'!$B:$B,0)),$Y:$Y,0))-J150,"")</f>
        <v>-1.021542908</v>
      </c>
      <c r="AB150" s="168">
        <f t="array" ref="AB150">iferror(index(K:K,match($A150&amp;","&amp;index('Year Conversion'!$A:$A,match($C150,'Year Conversion'!$B:$B,0)),$Y:$Y,0))-K150,"")</f>
        <v>-0.6443593142</v>
      </c>
      <c r="AC150" s="168" t="str">
        <f t="shared" si="7"/>
        <v>TOR,2013-14</v>
      </c>
    </row>
    <row r="151">
      <c r="A151" s="161" t="str">
        <f>IFERROR(__xludf.DUMMYFUNCTION("""COMPUTED_VALUE"""),"jonesso01")</f>
        <v>jonesso01</v>
      </c>
      <c r="B151" s="161" t="str">
        <f>IFERROR(__xludf.DUMMYFUNCTION("""COMPUTED_VALUE"""),"Solomon Jones")</f>
        <v>Solomon Jones</v>
      </c>
      <c r="C151" s="162" t="str">
        <f>IFERROR(__xludf.DUMMYFUNCTION("""COMPUTED_VALUE"""),"2013-14")</f>
        <v>2013-14</v>
      </c>
      <c r="D151" s="163" t="str">
        <f>IFERROR(__xludf.DUMMYFUNCTION("""COMPUTED_VALUE"""),"ORL")</f>
        <v>ORL</v>
      </c>
      <c r="E151" s="164" t="str">
        <f>IFERROR(__xludf.DUMMYFUNCTION("""COMPUTED_VALUE"""),"Roll + Cut Big")</f>
        <v>Roll + Cut Big</v>
      </c>
      <c r="F151" s="164">
        <f>IFERROR(__xludf.DUMMYFUNCTION("""COMPUTED_VALUE"""),85.1983333333333)</f>
        <v>85.19833333</v>
      </c>
      <c r="G151" s="163">
        <f>IFERROR(__xludf.DUMMYFUNCTION("""COMPUTED_VALUE"""),11.0)</f>
        <v>11</v>
      </c>
      <c r="H151" s="163" t="str">
        <f>IFERROR(__xludf.DUMMYFUNCTION("""COMPUTED_VALUE"""),"PF")</f>
        <v>PF</v>
      </c>
      <c r="I151" s="163">
        <f>IFERROR(__xludf.DUMMYFUNCTION("""COMPUTED_VALUE"""),29.0)</f>
        <v>29</v>
      </c>
      <c r="J151" s="165">
        <f>IFERROR(__xludf.DUMMYFUNCTION("""COMPUTED_VALUE"""),-0.162781799976457)</f>
        <v>-0.1627818</v>
      </c>
      <c r="K151" s="165">
        <f>IFERROR(__xludf.DUMMYFUNCTION("""COMPUTED_VALUE"""),-0.554389839889227)</f>
        <v>-0.5543898399</v>
      </c>
      <c r="L151" s="165">
        <f>IFERROR(__xludf.DUMMYFUNCTION("""COMPUTED_VALUE"""),0.39160803991277)</f>
        <v>0.3916080399</v>
      </c>
      <c r="M151" s="166">
        <f t="shared" si="2"/>
        <v>0.1219976128</v>
      </c>
      <c r="N151" s="167">
        <f t="shared" si="3"/>
        <v>7.74530303</v>
      </c>
      <c r="O151" s="163">
        <f t="shared" ref="O151:Q151" si="155">rank(I151,I:I)</f>
        <v>855</v>
      </c>
      <c r="P151" s="163">
        <f t="shared" si="155"/>
        <v>1460</v>
      </c>
      <c r="Q151" s="163">
        <f t="shared" si="155"/>
        <v>2191</v>
      </c>
      <c r="R151" s="163">
        <f>IFERROR(__xludf.DUMMYFUNCTION("RANK(M151,filter(M:M,C:C=C151))"),351.0)</f>
        <v>351</v>
      </c>
      <c r="S151" s="161" t="b">
        <f t="shared" si="5"/>
        <v>0</v>
      </c>
      <c r="T151" s="161" t="b">
        <f t="array" ref="T151">index('Query Tool'!B:B,match(H151,'Query Tool'!C:C,0))</f>
        <v>1</v>
      </c>
      <c r="U151" s="161" t="b">
        <f t="array" ref="U151">index('Query Tool'!B:B,match(C151,'Query Tool'!C:C,0))</f>
        <v>0</v>
      </c>
      <c r="V151" s="161" t="b">
        <f>F151&gt;='Query Tool'!C$32</f>
        <v>0</v>
      </c>
      <c r="W151" s="161" t="b">
        <f t="array" ref="W151">index(Dropdowns!B:B,match(I151,Dropdowns!A:A,0))</f>
        <v>1</v>
      </c>
      <c r="X151" s="161" t="b">
        <f t="array" ref="X151">index('Query Tool'!B:B,match(D151,'Query Tool'!C:C,0))</f>
        <v>1</v>
      </c>
      <c r="Y151" s="161" t="str">
        <f t="shared" si="6"/>
        <v>jonesso01,2013-14</v>
      </c>
      <c r="Z151" s="168" t="str">
        <f t="array" ref="Z151">iferror(index(I:I,match($A151&amp;","&amp;index('Year Conversion'!$A:$A,match($C151,'Year Conversion'!$B:$B,0)),$Y:$Y,0))-I151,"")</f>
        <v/>
      </c>
      <c r="AA151" s="168" t="str">
        <f t="array" ref="AA151">iferror(index(J:J,match($A151&amp;","&amp;index('Year Conversion'!$A:$A,match($C151,'Year Conversion'!$B:$B,0)),$Y:$Y,0))-J151,"")</f>
        <v/>
      </c>
      <c r="AB151" s="168" t="str">
        <f t="array" ref="AB151">iferror(index(K:K,match($A151&amp;","&amp;index('Year Conversion'!$A:$A,match($C151,'Year Conversion'!$B:$B,0)),$Y:$Y,0))-K151,"")</f>
        <v/>
      </c>
      <c r="AC151" s="168" t="str">
        <f t="shared" si="7"/>
        <v>ORL,2013-14</v>
      </c>
    </row>
    <row r="152">
      <c r="A152" s="161" t="str">
        <f>IFERROR(__xludf.DUMMYFUNCTION("""COMPUTED_VALUE"""),"tuckepj01")</f>
        <v>tuckepj01</v>
      </c>
      <c r="B152" s="161" t="str">
        <f>IFERROR(__xludf.DUMMYFUNCTION("""COMPUTED_VALUE"""),"P.J. Tucker")</f>
        <v>P.J. Tucker</v>
      </c>
      <c r="C152" s="162" t="str">
        <f>IFERROR(__xludf.DUMMYFUNCTION("""COMPUTED_VALUE"""),"2013-14")</f>
        <v>2013-14</v>
      </c>
      <c r="D152" s="163" t="str">
        <f>IFERROR(__xludf.DUMMYFUNCTION("""COMPUTED_VALUE"""),"PHO")</f>
        <v>PHO</v>
      </c>
      <c r="E152" s="164" t="str">
        <f>IFERROR(__xludf.DUMMYFUNCTION("""COMPUTED_VALUE"""),"Athletic Finisher")</f>
        <v>Athletic Finisher</v>
      </c>
      <c r="F152" s="164">
        <f>IFERROR(__xludf.DUMMYFUNCTION("""COMPUTED_VALUE"""),2490.12666666667)</f>
        <v>2490.126667</v>
      </c>
      <c r="G152" s="163">
        <f>IFERROR(__xludf.DUMMYFUNCTION("""COMPUTED_VALUE"""),81.0)</f>
        <v>81</v>
      </c>
      <c r="H152" s="163" t="str">
        <f>IFERROR(__xludf.DUMMYFUNCTION("""COMPUTED_VALUE"""),"SF")</f>
        <v>SF</v>
      </c>
      <c r="I152" s="163">
        <f>IFERROR(__xludf.DUMMYFUNCTION("""COMPUTED_VALUE"""),28.0)</f>
        <v>28</v>
      </c>
      <c r="J152" s="165">
        <f>IFERROR(__xludf.DUMMYFUNCTION("""COMPUTED_VALUE"""),0.36180781267469)</f>
        <v>0.3618078127</v>
      </c>
      <c r="K152" s="165">
        <f>IFERROR(__xludf.DUMMYFUNCTION("""COMPUTED_VALUE"""),0.278770664968595)</f>
        <v>0.278770665</v>
      </c>
      <c r="L152" s="165">
        <f>IFERROR(__xludf.DUMMYFUNCTION("""COMPUTED_VALUE"""),0.083037147706095)</f>
        <v>0.08303714771</v>
      </c>
      <c r="M152" s="166">
        <f t="shared" si="2"/>
        <v>4.446244326</v>
      </c>
      <c r="N152" s="167">
        <f t="shared" si="3"/>
        <v>30.74230453</v>
      </c>
      <c r="O152" s="163">
        <f t="shared" ref="O152:Q152" si="156">rank(I152,I:I)</f>
        <v>1090</v>
      </c>
      <c r="P152" s="163">
        <f t="shared" si="156"/>
        <v>977</v>
      </c>
      <c r="Q152" s="163">
        <f t="shared" si="156"/>
        <v>931</v>
      </c>
      <c r="R152" s="163">
        <f>IFERROR(__xludf.DUMMYFUNCTION("RANK(M152,filter(M:M,C:C=C152))"),74.0)</f>
        <v>74</v>
      </c>
      <c r="S152" s="161" t="b">
        <f t="shared" si="5"/>
        <v>0</v>
      </c>
      <c r="T152" s="161" t="b">
        <f t="array" ref="T152">index('Query Tool'!B:B,match(H152,'Query Tool'!C:C,0))</f>
        <v>1</v>
      </c>
      <c r="U152" s="161" t="b">
        <f t="array" ref="U152">index('Query Tool'!B:B,match(C152,'Query Tool'!C:C,0))</f>
        <v>0</v>
      </c>
      <c r="V152" s="161" t="b">
        <f>F152&gt;='Query Tool'!C$32</f>
        <v>1</v>
      </c>
      <c r="W152" s="161" t="b">
        <f t="array" ref="W152">index(Dropdowns!B:B,match(I152,Dropdowns!A:A,0))</f>
        <v>1</v>
      </c>
      <c r="X152" s="161" t="b">
        <f t="array" ref="X152">index('Query Tool'!B:B,match(D152,'Query Tool'!C:C,0))</f>
        <v>1</v>
      </c>
      <c r="Y152" s="161" t="str">
        <f t="shared" si="6"/>
        <v>tuckepj01,2013-14</v>
      </c>
      <c r="Z152" s="168">
        <f t="array" ref="Z152">iferror(index(I:I,match($A152&amp;","&amp;index('Year Conversion'!$A:$A,match($C152,'Year Conversion'!$B:$B,0)),$Y:$Y,0))-I152,"")</f>
        <v>1</v>
      </c>
      <c r="AA152" s="168">
        <f t="array" ref="AA152">iferror(index(J:J,match($A152&amp;","&amp;index('Year Conversion'!$A:$A,match($C152,'Year Conversion'!$B:$B,0)),$Y:$Y,0))-J152,"")</f>
        <v>-0.1693723507</v>
      </c>
      <c r="AB152" s="168">
        <f t="array" ref="AB152">iferror(index(K:K,match($A152&amp;","&amp;index('Year Conversion'!$A:$A,match($C152,'Year Conversion'!$B:$B,0)),$Y:$Y,0))-K152,"")</f>
        <v>-0.5147369645</v>
      </c>
      <c r="AC152" s="168" t="str">
        <f t="shared" si="7"/>
        <v>PHO,2013-14</v>
      </c>
    </row>
    <row r="153">
      <c r="A153" s="161" t="str">
        <f>IFERROR(__xludf.DUMMYFUNCTION("""COMPUTED_VALUE"""),"millspa01")</f>
        <v>millspa01</v>
      </c>
      <c r="B153" s="161" t="str">
        <f>IFERROR(__xludf.DUMMYFUNCTION("""COMPUTED_VALUE"""),"Paul Millsap")</f>
        <v>Paul Millsap</v>
      </c>
      <c r="C153" s="162" t="str">
        <f>IFERROR(__xludf.DUMMYFUNCTION("""COMPUTED_VALUE"""),"2013-14")</f>
        <v>2013-14</v>
      </c>
      <c r="D153" s="163" t="str">
        <f>IFERROR(__xludf.DUMMYFUNCTION("""COMPUTED_VALUE"""),"ATL")</f>
        <v>ATL</v>
      </c>
      <c r="E153" s="164" t="str">
        <f>IFERROR(__xludf.DUMMYFUNCTION("""COMPUTED_VALUE"""),"Post Scorer")</f>
        <v>Post Scorer</v>
      </c>
      <c r="F153" s="164">
        <f>IFERROR(__xludf.DUMMYFUNCTION("""COMPUTED_VALUE"""),2481.66833333333)</f>
        <v>2481.668333</v>
      </c>
      <c r="G153" s="163">
        <f>IFERROR(__xludf.DUMMYFUNCTION("""COMPUTED_VALUE"""),74.0)</f>
        <v>74</v>
      </c>
      <c r="H153" s="163" t="str">
        <f>IFERROR(__xludf.DUMMYFUNCTION("""COMPUTED_VALUE"""),"PF")</f>
        <v>PF</v>
      </c>
      <c r="I153" s="163">
        <f>IFERROR(__xludf.DUMMYFUNCTION("""COMPUTED_VALUE"""),28.0)</f>
        <v>28</v>
      </c>
      <c r="J153" s="165">
        <f>IFERROR(__xludf.DUMMYFUNCTION("""COMPUTED_VALUE"""),2.30904407394151)</f>
        <v>2.309044074</v>
      </c>
      <c r="K153" s="165">
        <f>IFERROR(__xludf.DUMMYFUNCTION("""COMPUTED_VALUE"""),0.850787752845724)</f>
        <v>0.8507877528</v>
      </c>
      <c r="L153" s="165">
        <f>IFERROR(__xludf.DUMMYFUNCTION("""COMPUTED_VALUE"""),1.45825632109579)</f>
        <v>1.458256321</v>
      </c>
      <c r="M153" s="166">
        <f t="shared" si="2"/>
        <v>7.660840107</v>
      </c>
      <c r="N153" s="167">
        <f t="shared" si="3"/>
        <v>33.53605856</v>
      </c>
      <c r="O153" s="163">
        <f t="shared" ref="O153:Q153" si="157">rank(I153,I:I)</f>
        <v>1090</v>
      </c>
      <c r="P153" s="163">
        <f t="shared" si="157"/>
        <v>258</v>
      </c>
      <c r="Q153" s="163">
        <f t="shared" si="157"/>
        <v>580</v>
      </c>
      <c r="R153" s="163">
        <f>IFERROR(__xludf.DUMMYFUNCTION("RANK(M153,filter(M:M,C:C=C153))"),33.0)</f>
        <v>33</v>
      </c>
      <c r="S153" s="161" t="b">
        <f t="shared" si="5"/>
        <v>0</v>
      </c>
      <c r="T153" s="161" t="b">
        <f t="array" ref="T153">index('Query Tool'!B:B,match(H153,'Query Tool'!C:C,0))</f>
        <v>1</v>
      </c>
      <c r="U153" s="161" t="b">
        <f t="array" ref="U153">index('Query Tool'!B:B,match(C153,'Query Tool'!C:C,0))</f>
        <v>0</v>
      </c>
      <c r="V153" s="161" t="b">
        <f>F153&gt;='Query Tool'!C$32</f>
        <v>1</v>
      </c>
      <c r="W153" s="161" t="b">
        <f t="array" ref="W153">index(Dropdowns!B:B,match(I153,Dropdowns!A:A,0))</f>
        <v>1</v>
      </c>
      <c r="X153" s="161" t="b">
        <f t="array" ref="X153">index('Query Tool'!B:B,match(D153,'Query Tool'!C:C,0))</f>
        <v>1</v>
      </c>
      <c r="Y153" s="161" t="str">
        <f t="shared" si="6"/>
        <v>millspa01,2013-14</v>
      </c>
      <c r="Z153" s="168">
        <f t="array" ref="Z153">iferror(index(I:I,match($A153&amp;","&amp;index('Year Conversion'!$A:$A,match($C153,'Year Conversion'!$B:$B,0)),$Y:$Y,0))-I153,"")</f>
        <v>1</v>
      </c>
      <c r="AA153" s="168">
        <f t="array" ref="AA153">iferror(index(J:J,match($A153&amp;","&amp;index('Year Conversion'!$A:$A,match($C153,'Year Conversion'!$B:$B,0)),$Y:$Y,0))-J153,"")</f>
        <v>1.585858869</v>
      </c>
      <c r="AB153" s="168">
        <f t="array" ref="AB153">iferror(index(K:K,match($A153&amp;","&amp;index('Year Conversion'!$A:$A,match($C153,'Year Conversion'!$B:$B,0)),$Y:$Y,0))-K153,"")</f>
        <v>0.7656285096</v>
      </c>
      <c r="AC153" s="168" t="str">
        <f t="shared" si="7"/>
        <v>ATL,2013-14</v>
      </c>
    </row>
    <row r="154">
      <c r="A154" s="161" t="str">
        <f>IFERROR(__xludf.DUMMYFUNCTION("""COMPUTED_VALUE"""),"holliry01")</f>
        <v>holliry01</v>
      </c>
      <c r="B154" s="161" t="str">
        <f>IFERROR(__xludf.DUMMYFUNCTION("""COMPUTED_VALUE"""),"Ryan Hollins")</f>
        <v>Ryan Hollins</v>
      </c>
      <c r="C154" s="162" t="str">
        <f>IFERROR(__xludf.DUMMYFUNCTION("""COMPUTED_VALUE"""),"2013-14")</f>
        <v>2013-14</v>
      </c>
      <c r="D154" s="163" t="str">
        <f>IFERROR(__xludf.DUMMYFUNCTION("""COMPUTED_VALUE"""),"LAC")</f>
        <v>LAC</v>
      </c>
      <c r="E154" s="164" t="str">
        <f>IFERROR(__xludf.DUMMYFUNCTION("""COMPUTED_VALUE"""),"Roll + Cut Big")</f>
        <v>Roll + Cut Big</v>
      </c>
      <c r="F154" s="164">
        <f>IFERROR(__xludf.DUMMYFUNCTION("""COMPUTED_VALUE"""),481.791666666667)</f>
        <v>481.7916667</v>
      </c>
      <c r="G154" s="163">
        <f>IFERROR(__xludf.DUMMYFUNCTION("""COMPUTED_VALUE"""),61.0)</f>
        <v>61</v>
      </c>
      <c r="H154" s="163" t="str">
        <f>IFERROR(__xludf.DUMMYFUNCTION("""COMPUTED_VALUE"""),"PF")</f>
        <v>PF</v>
      </c>
      <c r="I154" s="163">
        <f>IFERROR(__xludf.DUMMYFUNCTION("""COMPUTED_VALUE"""),29.0)</f>
        <v>29</v>
      </c>
      <c r="J154" s="165">
        <f>IFERROR(__xludf.DUMMYFUNCTION("""COMPUTED_VALUE"""),-1.33695712747065)</f>
        <v>-1.336957127</v>
      </c>
      <c r="K154" s="165">
        <f>IFERROR(__xludf.DUMMYFUNCTION("""COMPUTED_VALUE"""),-2.74699330092944)</f>
        <v>-2.746993301</v>
      </c>
      <c r="L154" s="165">
        <f>IFERROR(__xludf.DUMMYFUNCTION("""COMPUTED_VALUE"""),1.4100361734588)</f>
        <v>1.410036173</v>
      </c>
      <c r="M154" s="166">
        <f t="shared" si="2"/>
        <v>0.3095681641</v>
      </c>
      <c r="N154" s="167">
        <f t="shared" si="3"/>
        <v>7.898224044</v>
      </c>
      <c r="O154" s="163">
        <f t="shared" ref="O154:Q154" si="158">rank(I154,I:I)</f>
        <v>855</v>
      </c>
      <c r="P154" s="163">
        <f t="shared" si="158"/>
        <v>2900</v>
      </c>
      <c r="Q154" s="163">
        <f t="shared" si="158"/>
        <v>3942</v>
      </c>
      <c r="R154" s="163">
        <f>IFERROR(__xludf.DUMMYFUNCTION("RANK(M154,filter(M:M,C:C=C154))"),300.0)</f>
        <v>300</v>
      </c>
      <c r="S154" s="161" t="b">
        <f t="shared" si="5"/>
        <v>0</v>
      </c>
      <c r="T154" s="161" t="b">
        <f t="array" ref="T154">index('Query Tool'!B:B,match(H154,'Query Tool'!C:C,0))</f>
        <v>1</v>
      </c>
      <c r="U154" s="161" t="b">
        <f t="array" ref="U154">index('Query Tool'!B:B,match(C154,'Query Tool'!C:C,0))</f>
        <v>0</v>
      </c>
      <c r="V154" s="161" t="b">
        <f>F154&gt;='Query Tool'!C$32</f>
        <v>0</v>
      </c>
      <c r="W154" s="161" t="b">
        <f t="array" ref="W154">index(Dropdowns!B:B,match(I154,Dropdowns!A:A,0))</f>
        <v>1</v>
      </c>
      <c r="X154" s="161" t="b">
        <f t="array" ref="X154">index('Query Tool'!B:B,match(D154,'Query Tool'!C:C,0))</f>
        <v>1</v>
      </c>
      <c r="Y154" s="161" t="str">
        <f t="shared" si="6"/>
        <v>holliry01,2013-14</v>
      </c>
      <c r="Z154" s="168">
        <f t="array" ref="Z154">iferror(index(I:I,match($A154&amp;","&amp;index('Year Conversion'!$A:$A,match($C154,'Year Conversion'!$B:$B,0)),$Y:$Y,0))-I154,"")</f>
        <v>1</v>
      </c>
      <c r="AA154" s="168">
        <f t="array" ref="AA154">iferror(index(J:J,match($A154&amp;","&amp;index('Year Conversion'!$A:$A,match($C154,'Year Conversion'!$B:$B,0)),$Y:$Y,0))-J154,"")</f>
        <v>0.9598909675</v>
      </c>
      <c r="AB154" s="168">
        <f t="array" ref="AB154">iferror(index(K:K,match($A154&amp;","&amp;index('Year Conversion'!$A:$A,match($C154,'Year Conversion'!$B:$B,0)),$Y:$Y,0))-K154,"")</f>
        <v>1.389446739</v>
      </c>
      <c r="AC154" s="168" t="str">
        <f t="shared" si="7"/>
        <v>LAC,2013-14</v>
      </c>
    </row>
    <row r="155">
      <c r="A155" s="161" t="str">
        <f>IFERROR(__xludf.DUMMYFUNCTION("""COMPUTED_VALUE"""),"amundlo01")</f>
        <v>amundlo01</v>
      </c>
      <c r="B155" s="161" t="str">
        <f>IFERROR(__xludf.DUMMYFUNCTION("""COMPUTED_VALUE"""),"Lou Amundson")</f>
        <v>Lou Amundson</v>
      </c>
      <c r="C155" s="162" t="str">
        <f>IFERROR(__xludf.DUMMYFUNCTION("""COMPUTED_VALUE"""),"2013-14")</f>
        <v>2013-14</v>
      </c>
      <c r="D155" s="163" t="str">
        <f>IFERROR(__xludf.DUMMYFUNCTION("""COMPUTED_VALUE"""),"TOT")</f>
        <v>TOT</v>
      </c>
      <c r="E155" s="164" t="str">
        <f>IFERROR(__xludf.DUMMYFUNCTION("""COMPUTED_VALUE"""),"Roll + Cut Big")</f>
        <v>Roll + Cut Big</v>
      </c>
      <c r="F155" s="164">
        <f>IFERROR(__xludf.DUMMYFUNCTION("""COMPUTED_VALUE"""),184.67)</f>
        <v>184.67</v>
      </c>
      <c r="G155" s="163">
        <f>IFERROR(__xludf.DUMMYFUNCTION("""COMPUTED_VALUE"""),19.0)</f>
        <v>19</v>
      </c>
      <c r="H155" s="163" t="str">
        <f>IFERROR(__xludf.DUMMYFUNCTION("""COMPUTED_VALUE"""),"PF")</f>
        <v>PF</v>
      </c>
      <c r="I155" s="163">
        <f>IFERROR(__xludf.DUMMYFUNCTION("""COMPUTED_VALUE"""),31.0)</f>
        <v>31</v>
      </c>
      <c r="J155" s="165">
        <f>IFERROR(__xludf.DUMMYFUNCTION("""COMPUTED_VALUE"""),-0.948476468228696)</f>
        <v>-0.9484764682</v>
      </c>
      <c r="K155" s="165">
        <f>IFERROR(__xludf.DUMMYFUNCTION("""COMPUTED_VALUE"""),-1.46418382452862)</f>
        <v>-1.464183825</v>
      </c>
      <c r="L155" s="165">
        <f>IFERROR(__xludf.DUMMYFUNCTION("""COMPUTED_VALUE"""),0.515707356299923)</f>
        <v>0.5157073563</v>
      </c>
      <c r="M155" s="166">
        <f t="shared" si="2"/>
        <v>0.1667591213</v>
      </c>
      <c r="N155" s="167">
        <f t="shared" si="3"/>
        <v>9.719473684</v>
      </c>
      <c r="O155" s="163">
        <f t="shared" ref="O155:Q155" si="159">rank(I155,I:I)</f>
        <v>490</v>
      </c>
      <c r="P155" s="163">
        <f t="shared" si="159"/>
        <v>2447</v>
      </c>
      <c r="Q155" s="163">
        <f t="shared" si="159"/>
        <v>3319</v>
      </c>
      <c r="R155" s="163">
        <f>IFERROR(__xludf.DUMMYFUNCTION("RANK(M155,filter(M:M,C:C=C155))"),336.0)</f>
        <v>336</v>
      </c>
      <c r="S155" s="161" t="b">
        <f t="shared" si="5"/>
        <v>0</v>
      </c>
      <c r="T155" s="161" t="b">
        <f t="array" ref="T155">index('Query Tool'!B:B,match(H155,'Query Tool'!C:C,0))</f>
        <v>1</v>
      </c>
      <c r="U155" s="161" t="b">
        <f t="array" ref="U155">index('Query Tool'!B:B,match(C155,'Query Tool'!C:C,0))</f>
        <v>0</v>
      </c>
      <c r="V155" s="161" t="b">
        <f>F155&gt;='Query Tool'!C$32</f>
        <v>0</v>
      </c>
      <c r="W155" s="161" t="b">
        <f t="array" ref="W155">index(Dropdowns!B:B,match(I155,Dropdowns!A:A,0))</f>
        <v>1</v>
      </c>
      <c r="X155" s="161" t="b">
        <f t="array" ref="X155">index('Query Tool'!B:B,match(D155,'Query Tool'!C:C,0))</f>
        <v>1</v>
      </c>
      <c r="Y155" s="161" t="str">
        <f t="shared" si="6"/>
        <v>amundlo01,2013-14</v>
      </c>
      <c r="Z155" s="168">
        <f t="array" ref="Z155">iferror(index(I:I,match($A155&amp;","&amp;index('Year Conversion'!$A:$A,match($C155,'Year Conversion'!$B:$B,0)),$Y:$Y,0))-I155,"")</f>
        <v>1</v>
      </c>
      <c r="AA155" s="168">
        <f t="array" ref="AA155">iferror(index(J:J,match($A155&amp;","&amp;index('Year Conversion'!$A:$A,match($C155,'Year Conversion'!$B:$B,0)),$Y:$Y,0))-J155,"")</f>
        <v>0.9257830111</v>
      </c>
      <c r="AB155" s="168">
        <f t="array" ref="AB155">iferror(index(K:K,match($A155&amp;","&amp;index('Year Conversion'!$A:$A,match($C155,'Year Conversion'!$B:$B,0)),$Y:$Y,0))-K155,"")</f>
        <v>-0.5586069985</v>
      </c>
      <c r="AC155" s="168" t="str">
        <f t="shared" si="7"/>
        <v>TOT,2013-14</v>
      </c>
    </row>
    <row r="156">
      <c r="A156" s="161" t="str">
        <f>IFERROR(__xludf.DUMMYFUNCTION("""COMPUTED_VALUE"""),"bareajo01")</f>
        <v>bareajo01</v>
      </c>
      <c r="B156" s="161" t="str">
        <f>IFERROR(__xludf.DUMMYFUNCTION("""COMPUTED_VALUE"""),"J.J. Barea")</f>
        <v>J.J. Barea</v>
      </c>
      <c r="C156" s="162" t="str">
        <f>IFERROR(__xludf.DUMMYFUNCTION("""COMPUTED_VALUE"""),"2013-14")</f>
        <v>2013-14</v>
      </c>
      <c r="D156" s="163" t="str">
        <f>IFERROR(__xludf.DUMMYFUNCTION("""COMPUTED_VALUE"""),"MIN")</f>
        <v>MIN</v>
      </c>
      <c r="E156" s="164" t="str">
        <f>IFERROR(__xludf.DUMMYFUNCTION("""COMPUTED_VALUE"""),"Primary Ball Handler")</f>
        <v>Primary Ball Handler</v>
      </c>
      <c r="F156" s="164">
        <f>IFERROR(__xludf.DUMMYFUNCTION("""COMPUTED_VALUE"""),1471.31833333333)</f>
        <v>1471.318333</v>
      </c>
      <c r="G156" s="163">
        <f>IFERROR(__xludf.DUMMYFUNCTION("""COMPUTED_VALUE"""),79.0)</f>
        <v>79</v>
      </c>
      <c r="H156" s="163" t="str">
        <f>IFERROR(__xludf.DUMMYFUNCTION("""COMPUTED_VALUE"""),"PG")</f>
        <v>PG</v>
      </c>
      <c r="I156" s="163">
        <f>IFERROR(__xludf.DUMMYFUNCTION("""COMPUTED_VALUE"""),29.0)</f>
        <v>29</v>
      </c>
      <c r="J156" s="165">
        <f>IFERROR(__xludf.DUMMYFUNCTION("""COMPUTED_VALUE"""),-1.36487712459969)</f>
        <v>-1.364877125</v>
      </c>
      <c r="K156" s="165">
        <f>IFERROR(__xludf.DUMMYFUNCTION("""COMPUTED_VALUE"""),-0.460262336425285)</f>
        <v>-0.4602623364</v>
      </c>
      <c r="L156" s="165">
        <f>IFERROR(__xludf.DUMMYFUNCTION("""COMPUTED_VALUE"""),-0.904614788174403)</f>
        <v>-0.9046147882</v>
      </c>
      <c r="M156" s="166">
        <f t="shared" si="2"/>
        <v>0.9178884062</v>
      </c>
      <c r="N156" s="167">
        <f t="shared" si="3"/>
        <v>18.6242827</v>
      </c>
      <c r="O156" s="163">
        <f t="shared" ref="O156:Q156" si="160">rank(I156,I:I)</f>
        <v>855</v>
      </c>
      <c r="P156" s="163">
        <f t="shared" si="160"/>
        <v>2919</v>
      </c>
      <c r="Q156" s="163">
        <f t="shared" si="160"/>
        <v>2052</v>
      </c>
      <c r="R156" s="163">
        <f>IFERROR(__xludf.DUMMYFUNCTION("RANK(M156,filter(M:M,C:C=C156))"),232.0)</f>
        <v>232</v>
      </c>
      <c r="S156" s="161" t="b">
        <f t="shared" si="5"/>
        <v>0</v>
      </c>
      <c r="T156" s="161" t="b">
        <f t="array" ref="T156">index('Query Tool'!B:B,match(H156,'Query Tool'!C:C,0))</f>
        <v>1</v>
      </c>
      <c r="U156" s="161" t="b">
        <f t="array" ref="U156">index('Query Tool'!B:B,match(C156,'Query Tool'!C:C,0))</f>
        <v>0</v>
      </c>
      <c r="V156" s="161" t="b">
        <f>F156&gt;='Query Tool'!C$32</f>
        <v>1</v>
      </c>
      <c r="W156" s="161" t="b">
        <f t="array" ref="W156">index(Dropdowns!B:B,match(I156,Dropdowns!A:A,0))</f>
        <v>1</v>
      </c>
      <c r="X156" s="161" t="b">
        <f t="array" ref="X156">index('Query Tool'!B:B,match(D156,'Query Tool'!C:C,0))</f>
        <v>1</v>
      </c>
      <c r="Y156" s="161" t="str">
        <f t="shared" si="6"/>
        <v>bareajo01,2013-14</v>
      </c>
      <c r="Z156" s="168">
        <f t="array" ref="Z156">iferror(index(I:I,match($A156&amp;","&amp;index('Year Conversion'!$A:$A,match($C156,'Year Conversion'!$B:$B,0)),$Y:$Y,0))-I156,"")</f>
        <v>1</v>
      </c>
      <c r="AA156" s="168">
        <f t="array" ref="AA156">iferror(index(J:J,match($A156&amp;","&amp;index('Year Conversion'!$A:$A,match($C156,'Year Conversion'!$B:$B,0)),$Y:$Y,0))-J156,"")</f>
        <v>2.391601698</v>
      </c>
      <c r="AB156" s="168">
        <f t="array" ref="AB156">iferror(index(K:K,match($A156&amp;","&amp;index('Year Conversion'!$A:$A,match($C156,'Year Conversion'!$B:$B,0)),$Y:$Y,0))-K156,"")</f>
        <v>2.660439017</v>
      </c>
      <c r="AC156" s="168" t="str">
        <f t="shared" si="7"/>
        <v>MIN,2013-14</v>
      </c>
    </row>
    <row r="157">
      <c r="A157" s="161" t="str">
        <f>IFERROR(__xludf.DUMMYFUNCTION("""COMPUTED_VALUE"""),"harrimi01")</f>
        <v>harrimi01</v>
      </c>
      <c r="B157" s="161" t="str">
        <f>IFERROR(__xludf.DUMMYFUNCTION("""COMPUTED_VALUE"""),"Mike Harris")</f>
        <v>Mike Harris</v>
      </c>
      <c r="C157" s="162" t="str">
        <f>IFERROR(__xludf.DUMMYFUNCTION("""COMPUTED_VALUE"""),"2013-14")</f>
        <v>2013-14</v>
      </c>
      <c r="D157" s="163" t="str">
        <f>IFERROR(__xludf.DUMMYFUNCTION("""COMPUTED_VALUE"""),"UTA")</f>
        <v>UTA</v>
      </c>
      <c r="E157" s="164" t="str">
        <f>IFERROR(__xludf.DUMMYFUNCTION("""COMPUTED_VALUE"""),"Post Scorer")</f>
        <v>Post Scorer</v>
      </c>
      <c r="F157" s="164">
        <f>IFERROR(__xludf.DUMMYFUNCTION("""COMPUTED_VALUE"""),224.786666666667)</f>
        <v>224.7866667</v>
      </c>
      <c r="G157" s="163">
        <f>IFERROR(__xludf.DUMMYFUNCTION("""COMPUTED_VALUE"""),20.0)</f>
        <v>20</v>
      </c>
      <c r="H157" s="163" t="str">
        <f>IFERROR(__xludf.DUMMYFUNCTION("""COMPUTED_VALUE"""),"PF")</f>
        <v>PF</v>
      </c>
      <c r="I157" s="163">
        <f>IFERROR(__xludf.DUMMYFUNCTION("""COMPUTED_VALUE"""),30.0)</f>
        <v>30</v>
      </c>
      <c r="J157" s="165">
        <f>IFERROR(__xludf.DUMMYFUNCTION("""COMPUTED_VALUE"""),0.242682782723756)</f>
        <v>0.2426827827</v>
      </c>
      <c r="K157" s="165">
        <f>IFERROR(__xludf.DUMMYFUNCTION("""COMPUTED_VALUE"""),-0.715698086371014)</f>
        <v>-0.7156980864</v>
      </c>
      <c r="L157" s="165">
        <f>IFERROR(__xludf.DUMMYFUNCTION("""COMPUTED_VALUE"""),0.95838086909477)</f>
        <v>0.9583808691</v>
      </c>
      <c r="M157" s="166">
        <f t="shared" si="2"/>
        <v>0.3833214066</v>
      </c>
      <c r="N157" s="167">
        <f t="shared" si="3"/>
        <v>11.23933333</v>
      </c>
      <c r="O157" s="163">
        <f t="shared" ref="O157:Q157" si="161">rank(I157,I:I)</f>
        <v>655</v>
      </c>
      <c r="P157" s="163">
        <f t="shared" si="161"/>
        <v>1057</v>
      </c>
      <c r="Q157" s="163">
        <f t="shared" si="161"/>
        <v>2436</v>
      </c>
      <c r="R157" s="163">
        <f>IFERROR(__xludf.DUMMYFUNCTION("RANK(M157,filter(M:M,C:C=C157))"),289.0)</f>
        <v>289</v>
      </c>
      <c r="S157" s="161" t="b">
        <f t="shared" si="5"/>
        <v>0</v>
      </c>
      <c r="T157" s="161" t="b">
        <f t="array" ref="T157">index('Query Tool'!B:B,match(H157,'Query Tool'!C:C,0))</f>
        <v>1</v>
      </c>
      <c r="U157" s="161" t="b">
        <f t="array" ref="U157">index('Query Tool'!B:B,match(C157,'Query Tool'!C:C,0))</f>
        <v>0</v>
      </c>
      <c r="V157" s="161" t="b">
        <f>F157&gt;='Query Tool'!C$32</f>
        <v>0</v>
      </c>
      <c r="W157" s="161" t="b">
        <f t="array" ref="W157">index(Dropdowns!B:B,match(I157,Dropdowns!A:A,0))</f>
        <v>1</v>
      </c>
      <c r="X157" s="161" t="b">
        <f t="array" ref="X157">index('Query Tool'!B:B,match(D157,'Query Tool'!C:C,0))</f>
        <v>1</v>
      </c>
      <c r="Y157" s="161" t="str">
        <f t="shared" si="6"/>
        <v>harrimi01,2013-14</v>
      </c>
      <c r="Z157" s="168" t="str">
        <f t="array" ref="Z157">iferror(index(I:I,match($A157&amp;","&amp;index('Year Conversion'!$A:$A,match($C157,'Year Conversion'!$B:$B,0)),$Y:$Y,0))-I157,"")</f>
        <v/>
      </c>
      <c r="AA157" s="168" t="str">
        <f t="array" ref="AA157">iferror(index(J:J,match($A157&amp;","&amp;index('Year Conversion'!$A:$A,match($C157,'Year Conversion'!$B:$B,0)),$Y:$Y,0))-J157,"")</f>
        <v/>
      </c>
      <c r="AB157" s="168" t="str">
        <f t="array" ref="AB157">iferror(index(K:K,match($A157&amp;","&amp;index('Year Conversion'!$A:$A,match($C157,'Year Conversion'!$B:$B,0)),$Y:$Y,0))-K157,"")</f>
        <v/>
      </c>
      <c r="AC157" s="168" t="str">
        <f t="shared" si="7"/>
        <v>UTA,2013-14</v>
      </c>
    </row>
    <row r="158">
      <c r="A158" s="161" t="str">
        <f>IFERROR(__xludf.DUMMYFUNCTION("""COMPUTED_VALUE"""),"odengr01")</f>
        <v>odengr01</v>
      </c>
      <c r="B158" s="161" t="str">
        <f>IFERROR(__xludf.DUMMYFUNCTION("""COMPUTED_VALUE"""),"Greg Oden")</f>
        <v>Greg Oden</v>
      </c>
      <c r="C158" s="162" t="str">
        <f>IFERROR(__xludf.DUMMYFUNCTION("""COMPUTED_VALUE"""),"2013-14")</f>
        <v>2013-14</v>
      </c>
      <c r="D158" s="163" t="str">
        <f>IFERROR(__xludf.DUMMYFUNCTION("""COMPUTED_VALUE"""),"MIA")</f>
        <v>MIA</v>
      </c>
      <c r="E158" s="164" t="str">
        <f>IFERROR(__xludf.DUMMYFUNCTION("""COMPUTED_VALUE"""),"Post Scorer")</f>
        <v>Post Scorer</v>
      </c>
      <c r="F158" s="164">
        <f>IFERROR(__xludf.DUMMYFUNCTION("""COMPUTED_VALUE"""),212.145)</f>
        <v>212.145</v>
      </c>
      <c r="G158" s="163">
        <f>IFERROR(__xludf.DUMMYFUNCTION("""COMPUTED_VALUE"""),23.0)</f>
        <v>23</v>
      </c>
      <c r="H158" s="163" t="str">
        <f>IFERROR(__xludf.DUMMYFUNCTION("""COMPUTED_VALUE"""),"C")</f>
        <v>C</v>
      </c>
      <c r="I158" s="163">
        <f>IFERROR(__xludf.DUMMYFUNCTION("""COMPUTED_VALUE"""),26.0)</f>
        <v>26</v>
      </c>
      <c r="J158" s="165">
        <f>IFERROR(__xludf.DUMMYFUNCTION("""COMPUTED_VALUE"""),-1.75372729584521)</f>
        <v>-1.753727296</v>
      </c>
      <c r="K158" s="165">
        <f>IFERROR(__xludf.DUMMYFUNCTION("""COMPUTED_VALUE"""),-1.80687001191096)</f>
        <v>-1.806870012</v>
      </c>
      <c r="L158" s="165">
        <f>IFERROR(__xludf.DUMMYFUNCTION("""COMPUTED_VALUE"""),0.0531427160657562)</f>
        <v>0.05314271607</v>
      </c>
      <c r="M158" s="166">
        <f t="shared" si="2"/>
        <v>0.07729449042</v>
      </c>
      <c r="N158" s="167">
        <f t="shared" si="3"/>
        <v>9.223695652</v>
      </c>
      <c r="O158" s="163">
        <f t="shared" ref="O158:Q158" si="162">rank(I158,I:I)</f>
        <v>1665</v>
      </c>
      <c r="P158" s="163">
        <f t="shared" si="162"/>
        <v>3296</v>
      </c>
      <c r="Q158" s="163">
        <f t="shared" si="162"/>
        <v>3578</v>
      </c>
      <c r="R158" s="163">
        <f>IFERROR(__xludf.DUMMYFUNCTION("RANK(M158,filter(M:M,C:C=C158))"),367.0)</f>
        <v>367</v>
      </c>
      <c r="S158" s="161" t="b">
        <f t="shared" si="5"/>
        <v>0</v>
      </c>
      <c r="T158" s="161" t="b">
        <f t="array" ref="T158">index('Query Tool'!B:B,match(H158,'Query Tool'!C:C,0))</f>
        <v>1</v>
      </c>
      <c r="U158" s="161" t="b">
        <f t="array" ref="U158">index('Query Tool'!B:B,match(C158,'Query Tool'!C:C,0))</f>
        <v>0</v>
      </c>
      <c r="V158" s="161" t="b">
        <f>F158&gt;='Query Tool'!C$32</f>
        <v>0</v>
      </c>
      <c r="W158" s="161" t="b">
        <f t="array" ref="W158">index(Dropdowns!B:B,match(I158,Dropdowns!A:A,0))</f>
        <v>1</v>
      </c>
      <c r="X158" s="161" t="b">
        <f t="array" ref="X158">index('Query Tool'!B:B,match(D158,'Query Tool'!C:C,0))</f>
        <v>1</v>
      </c>
      <c r="Y158" s="161" t="str">
        <f t="shared" si="6"/>
        <v>odengr01,2013-14</v>
      </c>
      <c r="Z158" s="168" t="str">
        <f t="array" ref="Z158">iferror(index(I:I,match($A158&amp;","&amp;index('Year Conversion'!$A:$A,match($C158,'Year Conversion'!$B:$B,0)),$Y:$Y,0))-I158,"")</f>
        <v/>
      </c>
      <c r="AA158" s="168" t="str">
        <f t="array" ref="AA158">iferror(index(J:J,match($A158&amp;","&amp;index('Year Conversion'!$A:$A,match($C158,'Year Conversion'!$B:$B,0)),$Y:$Y,0))-J158,"")</f>
        <v/>
      </c>
      <c r="AB158" s="168" t="str">
        <f t="array" ref="AB158">iferror(index(K:K,match($A158&amp;","&amp;index('Year Conversion'!$A:$A,match($C158,'Year Conversion'!$B:$B,0)),$Y:$Y,0))-K158,"")</f>
        <v/>
      </c>
      <c r="AC158" s="168" t="str">
        <f t="shared" si="7"/>
        <v>MIA,2013-14</v>
      </c>
    </row>
    <row r="159">
      <c r="A159" s="161" t="str">
        <f>IFERROR(__xludf.DUMMYFUNCTION("""COMPUTED_VALUE"""),"duranke01")</f>
        <v>duranke01</v>
      </c>
      <c r="B159" s="161" t="str">
        <f>IFERROR(__xludf.DUMMYFUNCTION("""COMPUTED_VALUE"""),"Kevin Durant")</f>
        <v>Kevin Durant</v>
      </c>
      <c r="C159" s="162" t="str">
        <f>IFERROR(__xludf.DUMMYFUNCTION("""COMPUTED_VALUE"""),"2013-14")</f>
        <v>2013-14</v>
      </c>
      <c r="D159" s="163" t="str">
        <f>IFERROR(__xludf.DUMMYFUNCTION("""COMPUTED_VALUE"""),"OKC")</f>
        <v>OKC</v>
      </c>
      <c r="E159" s="164" t="str">
        <f>IFERROR(__xludf.DUMMYFUNCTION("""COMPUTED_VALUE"""),"Shot Creator")</f>
        <v>Shot Creator</v>
      </c>
      <c r="F159" s="164">
        <f>IFERROR(__xludf.DUMMYFUNCTION("""COMPUTED_VALUE"""),3121.70666666667)</f>
        <v>3121.706667</v>
      </c>
      <c r="G159" s="163">
        <f>IFERROR(__xludf.DUMMYFUNCTION("""COMPUTED_VALUE"""),81.0)</f>
        <v>81</v>
      </c>
      <c r="H159" s="163" t="str">
        <f>IFERROR(__xludf.DUMMYFUNCTION("""COMPUTED_VALUE"""),"SF")</f>
        <v>SF</v>
      </c>
      <c r="I159" s="163">
        <f>IFERROR(__xludf.DUMMYFUNCTION("""COMPUTED_VALUE"""),25.0)</f>
        <v>25</v>
      </c>
      <c r="J159" s="165">
        <f>IFERROR(__xludf.DUMMYFUNCTION("""COMPUTED_VALUE"""),6.73580377881082)</f>
        <v>6.735803779</v>
      </c>
      <c r="K159" s="165">
        <f>IFERROR(__xludf.DUMMYFUNCTION("""COMPUTED_VALUE"""),6.2636409443816)</f>
        <v>6.263640944</v>
      </c>
      <c r="L159" s="165">
        <f>IFERROR(__xludf.DUMMYFUNCTION("""COMPUTED_VALUE"""),0.472162834429218)</f>
        <v>0.4721628344</v>
      </c>
      <c r="M159" s="166">
        <f t="shared" si="2"/>
        <v>18.15807429</v>
      </c>
      <c r="N159" s="167">
        <f t="shared" si="3"/>
        <v>38.53958848</v>
      </c>
      <c r="O159" s="163">
        <f t="shared" ref="O159:Q159" si="163">rank(I159,I:I)</f>
        <v>1995</v>
      </c>
      <c r="P159" s="163">
        <f t="shared" si="163"/>
        <v>6</v>
      </c>
      <c r="Q159" s="163">
        <f t="shared" si="163"/>
        <v>7</v>
      </c>
      <c r="R159" s="163">
        <f>IFERROR(__xludf.DUMMYFUNCTION("RANK(M159,filter(M:M,C:C=C159))"),1.0)</f>
        <v>1</v>
      </c>
      <c r="S159" s="161" t="b">
        <f t="shared" si="5"/>
        <v>0</v>
      </c>
      <c r="T159" s="161" t="b">
        <f t="array" ref="T159">index('Query Tool'!B:B,match(H159,'Query Tool'!C:C,0))</f>
        <v>1</v>
      </c>
      <c r="U159" s="161" t="b">
        <f t="array" ref="U159">index('Query Tool'!B:B,match(C159,'Query Tool'!C:C,0))</f>
        <v>0</v>
      </c>
      <c r="V159" s="161" t="b">
        <f>F159&gt;='Query Tool'!C$32</f>
        <v>1</v>
      </c>
      <c r="W159" s="161" t="b">
        <f t="array" ref="W159">index(Dropdowns!B:B,match(I159,Dropdowns!A:A,0))</f>
        <v>1</v>
      </c>
      <c r="X159" s="161" t="b">
        <f t="array" ref="X159">index('Query Tool'!B:B,match(D159,'Query Tool'!C:C,0))</f>
        <v>1</v>
      </c>
      <c r="Y159" s="161" t="str">
        <f t="shared" si="6"/>
        <v>duranke01,2013-14</v>
      </c>
      <c r="Z159" s="168">
        <f t="array" ref="Z159">iferror(index(I:I,match($A159&amp;","&amp;index('Year Conversion'!$A:$A,match($C159,'Year Conversion'!$B:$B,0)),$Y:$Y,0))-I159,"")</f>
        <v>1</v>
      </c>
      <c r="AA159" s="168">
        <f t="array" ref="AA159">iferror(index(J:J,match($A159&amp;","&amp;index('Year Conversion'!$A:$A,match($C159,'Year Conversion'!$B:$B,0)),$Y:$Y,0))-J159,"")</f>
        <v>-2.164407141</v>
      </c>
      <c r="AB159" s="168">
        <f t="array" ref="AB159">iferror(index(K:K,match($A159&amp;","&amp;index('Year Conversion'!$A:$A,match($C159,'Year Conversion'!$B:$B,0)),$Y:$Y,0))-K159,"")</f>
        <v>-2.657601867</v>
      </c>
      <c r="AC159" s="168" t="str">
        <f t="shared" si="7"/>
        <v>OKC,2013-14</v>
      </c>
    </row>
    <row r="160">
      <c r="A160" s="161" t="str">
        <f>IFERROR(__xludf.DUMMYFUNCTION("""COMPUTED_VALUE"""),"horfoal01")</f>
        <v>horfoal01</v>
      </c>
      <c r="B160" s="161" t="str">
        <f>IFERROR(__xludf.DUMMYFUNCTION("""COMPUTED_VALUE"""),"Al Horford")</f>
        <v>Al Horford</v>
      </c>
      <c r="C160" s="162" t="str">
        <f>IFERROR(__xludf.DUMMYFUNCTION("""COMPUTED_VALUE"""),"2013-14")</f>
        <v>2013-14</v>
      </c>
      <c r="D160" s="163" t="str">
        <f>IFERROR(__xludf.DUMMYFUNCTION("""COMPUTED_VALUE"""),"ATL")</f>
        <v>ATL</v>
      </c>
      <c r="E160" s="164" t="str">
        <f>IFERROR(__xludf.DUMMYFUNCTION("""COMPUTED_VALUE"""),"Post Scorer")</f>
        <v>Post Scorer</v>
      </c>
      <c r="F160" s="164">
        <f>IFERROR(__xludf.DUMMYFUNCTION("""COMPUTED_VALUE"""),957.73)</f>
        <v>957.73</v>
      </c>
      <c r="G160" s="163">
        <f>IFERROR(__xludf.DUMMYFUNCTION("""COMPUTED_VALUE"""),29.0)</f>
        <v>29</v>
      </c>
      <c r="H160" s="163" t="str">
        <f>IFERROR(__xludf.DUMMYFUNCTION("""COMPUTED_VALUE"""),"C")</f>
        <v>C</v>
      </c>
      <c r="I160" s="163">
        <f>IFERROR(__xludf.DUMMYFUNCTION("""COMPUTED_VALUE"""),27.0)</f>
        <v>27</v>
      </c>
      <c r="J160" s="165">
        <f>IFERROR(__xludf.DUMMYFUNCTION("""COMPUTED_VALUE"""),1.1853447850076)</f>
        <v>1.185344785</v>
      </c>
      <c r="K160" s="165">
        <f>IFERROR(__xludf.DUMMYFUNCTION("""COMPUTED_VALUE"""),0.302231606471986)</f>
        <v>0.3022316065</v>
      </c>
      <c r="L160" s="165">
        <f>IFERROR(__xludf.DUMMYFUNCTION("""COMPUTED_VALUE"""),0.883113178535613)</f>
        <v>0.8831131785</v>
      </c>
      <c r="M160" s="166">
        <f t="shared" si="2"/>
        <v>2.240377435</v>
      </c>
      <c r="N160" s="167">
        <f t="shared" si="3"/>
        <v>33.02517241</v>
      </c>
      <c r="O160" s="163">
        <f t="shared" ref="O160:Q160" si="164">rank(I160,I:I)</f>
        <v>1366</v>
      </c>
      <c r="P160" s="163">
        <f t="shared" si="164"/>
        <v>577</v>
      </c>
      <c r="Q160" s="163">
        <f t="shared" si="164"/>
        <v>906</v>
      </c>
      <c r="R160" s="163">
        <f>IFERROR(__xludf.DUMMYFUNCTION("RANK(M160,filter(M:M,C:C=C160))"),142.0)</f>
        <v>142</v>
      </c>
      <c r="S160" s="161" t="b">
        <f t="shared" si="5"/>
        <v>0</v>
      </c>
      <c r="T160" s="161" t="b">
        <f t="array" ref="T160">index('Query Tool'!B:B,match(H160,'Query Tool'!C:C,0))</f>
        <v>1</v>
      </c>
      <c r="U160" s="161" t="b">
        <f t="array" ref="U160">index('Query Tool'!B:B,match(C160,'Query Tool'!C:C,0))</f>
        <v>0</v>
      </c>
      <c r="V160" s="161" t="b">
        <f>F160&gt;='Query Tool'!C$32</f>
        <v>1</v>
      </c>
      <c r="W160" s="161" t="b">
        <f t="array" ref="W160">index(Dropdowns!B:B,match(I160,Dropdowns!A:A,0))</f>
        <v>1</v>
      </c>
      <c r="X160" s="161" t="b">
        <f t="array" ref="X160">index('Query Tool'!B:B,match(D160,'Query Tool'!C:C,0))</f>
        <v>1</v>
      </c>
      <c r="Y160" s="161" t="str">
        <f t="shared" si="6"/>
        <v>horfoal01,2013-14</v>
      </c>
      <c r="Z160" s="168">
        <f t="array" ref="Z160">iferror(index(I:I,match($A160&amp;","&amp;index('Year Conversion'!$A:$A,match($C160,'Year Conversion'!$B:$B,0)),$Y:$Y,0))-I160,"")</f>
        <v>1</v>
      </c>
      <c r="AA160" s="168">
        <f t="array" ref="AA160">iferror(index(J:J,match($A160&amp;","&amp;index('Year Conversion'!$A:$A,match($C160,'Year Conversion'!$B:$B,0)),$Y:$Y,0))-J160,"")</f>
        <v>-0.6564853924</v>
      </c>
      <c r="AB160" s="168">
        <f t="array" ref="AB160">iferror(index(K:K,match($A160&amp;","&amp;index('Year Conversion'!$A:$A,match($C160,'Year Conversion'!$B:$B,0)),$Y:$Y,0))-K160,"")</f>
        <v>0.02069221168</v>
      </c>
      <c r="AC160" s="168" t="str">
        <f t="shared" si="7"/>
        <v>ATL,2013-14</v>
      </c>
    </row>
    <row r="161">
      <c r="A161" s="161" t="str">
        <f>IFERROR(__xludf.DUMMYFUNCTION("""COMPUTED_VALUE"""),"conlemi01")</f>
        <v>conlemi01</v>
      </c>
      <c r="B161" s="161" t="str">
        <f>IFERROR(__xludf.DUMMYFUNCTION("""COMPUTED_VALUE"""),"Mike Conley")</f>
        <v>Mike Conley</v>
      </c>
      <c r="C161" s="162" t="str">
        <f>IFERROR(__xludf.DUMMYFUNCTION("""COMPUTED_VALUE"""),"2013-14")</f>
        <v>2013-14</v>
      </c>
      <c r="D161" s="163" t="str">
        <f>IFERROR(__xludf.DUMMYFUNCTION("""COMPUTED_VALUE"""),"MEM")</f>
        <v>MEM</v>
      </c>
      <c r="E161" s="164" t="str">
        <f>IFERROR(__xludf.DUMMYFUNCTION("""COMPUTED_VALUE"""),"Slasher")</f>
        <v>Slasher</v>
      </c>
      <c r="F161" s="164">
        <f>IFERROR(__xludf.DUMMYFUNCTION("""COMPUTED_VALUE"""),2445.87833333333)</f>
        <v>2445.878333</v>
      </c>
      <c r="G161" s="163">
        <f>IFERROR(__xludf.DUMMYFUNCTION("""COMPUTED_VALUE"""),73.0)</f>
        <v>73</v>
      </c>
      <c r="H161" s="163" t="str">
        <f>IFERROR(__xludf.DUMMYFUNCTION("""COMPUTED_VALUE"""),"PG")</f>
        <v>PG</v>
      </c>
      <c r="I161" s="163">
        <f>IFERROR(__xludf.DUMMYFUNCTION("""COMPUTED_VALUE"""),26.0)</f>
        <v>26</v>
      </c>
      <c r="J161" s="165">
        <f>IFERROR(__xludf.DUMMYFUNCTION("""COMPUTED_VALUE"""),3.12064570387788)</f>
        <v>3.120645704</v>
      </c>
      <c r="K161" s="165">
        <f>IFERROR(__xludf.DUMMYFUNCTION("""COMPUTED_VALUE"""),3.02143272317647)</f>
        <v>3.021432723</v>
      </c>
      <c r="L161" s="165">
        <f>IFERROR(__xludf.DUMMYFUNCTION("""COMPUTED_VALUE"""),0.0992129807014121)</f>
        <v>0.0992129807</v>
      </c>
      <c r="M161" s="166">
        <f t="shared" si="2"/>
        <v>8.848124212</v>
      </c>
      <c r="N161" s="167">
        <f t="shared" si="3"/>
        <v>33.50518265</v>
      </c>
      <c r="O161" s="163">
        <f t="shared" ref="O161:Q161" si="165">rank(I161,I:I)</f>
        <v>1665</v>
      </c>
      <c r="P161" s="163">
        <f t="shared" si="165"/>
        <v>163</v>
      </c>
      <c r="Q161" s="163">
        <f t="shared" si="165"/>
        <v>121</v>
      </c>
      <c r="R161" s="163">
        <f>IFERROR(__xludf.DUMMYFUNCTION("RANK(M161,filter(M:M,C:C=C161))"),23.0)</f>
        <v>23</v>
      </c>
      <c r="S161" s="161" t="b">
        <f t="shared" si="5"/>
        <v>0</v>
      </c>
      <c r="T161" s="161" t="b">
        <f t="array" ref="T161">index('Query Tool'!B:B,match(H161,'Query Tool'!C:C,0))</f>
        <v>1</v>
      </c>
      <c r="U161" s="161" t="b">
        <f t="array" ref="U161">index('Query Tool'!B:B,match(C161,'Query Tool'!C:C,0))</f>
        <v>0</v>
      </c>
      <c r="V161" s="161" t="b">
        <f>F161&gt;='Query Tool'!C$32</f>
        <v>1</v>
      </c>
      <c r="W161" s="161" t="b">
        <f t="array" ref="W161">index(Dropdowns!B:B,match(I161,Dropdowns!A:A,0))</f>
        <v>1</v>
      </c>
      <c r="X161" s="161" t="b">
        <f t="array" ref="X161">index('Query Tool'!B:B,match(D161,'Query Tool'!C:C,0))</f>
        <v>1</v>
      </c>
      <c r="Y161" s="161" t="str">
        <f t="shared" si="6"/>
        <v>conlemi01,2013-14</v>
      </c>
      <c r="Z161" s="168">
        <f t="array" ref="Z161">iferror(index(I:I,match($A161&amp;","&amp;index('Year Conversion'!$A:$A,match($C161,'Year Conversion'!$B:$B,0)),$Y:$Y,0))-I161,"")</f>
        <v>1</v>
      </c>
      <c r="AA161" s="168">
        <f t="array" ref="AA161">iferror(index(J:J,match($A161&amp;","&amp;index('Year Conversion'!$A:$A,match($C161,'Year Conversion'!$B:$B,0)),$Y:$Y,0))-J161,"")</f>
        <v>-1.357317598</v>
      </c>
      <c r="AB161" s="168">
        <f t="array" ref="AB161">iferror(index(K:K,match($A161&amp;","&amp;index('Year Conversion'!$A:$A,match($C161,'Year Conversion'!$B:$B,0)),$Y:$Y,0))-K161,"")</f>
        <v>-1.515113553</v>
      </c>
      <c r="AC161" s="168" t="str">
        <f t="shared" si="7"/>
        <v>MEM,2013-14</v>
      </c>
    </row>
    <row r="162">
      <c r="A162" s="161" t="str">
        <f>IFERROR(__xludf.DUMMYFUNCTION("""COMPUTED_VALUE"""),"greenje02")</f>
        <v>greenje02</v>
      </c>
      <c r="B162" s="161" t="str">
        <f>IFERROR(__xludf.DUMMYFUNCTION("""COMPUTED_VALUE"""),"Jeff Green")</f>
        <v>Jeff Green</v>
      </c>
      <c r="C162" s="162" t="str">
        <f>IFERROR(__xludf.DUMMYFUNCTION("""COMPUTED_VALUE"""),"2013-14")</f>
        <v>2013-14</v>
      </c>
      <c r="D162" s="163" t="str">
        <f>IFERROR(__xludf.DUMMYFUNCTION("""COMPUTED_VALUE"""),"BOS")</f>
        <v>BOS</v>
      </c>
      <c r="E162" s="164" t="str">
        <f>IFERROR(__xludf.DUMMYFUNCTION("""COMPUTED_VALUE"""),"Shot Creator")</f>
        <v>Shot Creator</v>
      </c>
      <c r="F162" s="164">
        <f>IFERROR(__xludf.DUMMYFUNCTION("""COMPUTED_VALUE"""),2805.3)</f>
        <v>2805.3</v>
      </c>
      <c r="G162" s="163">
        <f>IFERROR(__xludf.DUMMYFUNCTION("""COMPUTED_VALUE"""),82.0)</f>
        <v>82</v>
      </c>
      <c r="H162" s="163" t="str">
        <f>IFERROR(__xludf.DUMMYFUNCTION("""COMPUTED_VALUE"""),"SF")</f>
        <v>SF</v>
      </c>
      <c r="I162" s="163">
        <f>IFERROR(__xludf.DUMMYFUNCTION("""COMPUTED_VALUE"""),27.0)</f>
        <v>27</v>
      </c>
      <c r="J162" s="165">
        <f>IFERROR(__xludf.DUMMYFUNCTION("""COMPUTED_VALUE"""),-2.07134099269059)</f>
        <v>-2.071340993</v>
      </c>
      <c r="K162" s="165">
        <f>IFERROR(__xludf.DUMMYFUNCTION("""COMPUTED_VALUE"""),-1.26253191504764)</f>
        <v>-1.262531915</v>
      </c>
      <c r="L162" s="165">
        <f>IFERROR(__xludf.DUMMYFUNCTION("""COMPUTED_VALUE"""),-0.808809077642952)</f>
        <v>-0.8088090776</v>
      </c>
      <c r="M162" s="166">
        <f t="shared" si="2"/>
        <v>0.4304845036</v>
      </c>
      <c r="N162" s="167">
        <f t="shared" si="3"/>
        <v>34.21097561</v>
      </c>
      <c r="O162" s="163">
        <f t="shared" ref="O162:Q162" si="166">rank(I162,I:I)</f>
        <v>1366</v>
      </c>
      <c r="P162" s="163">
        <f t="shared" si="166"/>
        <v>3536</v>
      </c>
      <c r="Q162" s="163">
        <f t="shared" si="166"/>
        <v>3096</v>
      </c>
      <c r="R162" s="163">
        <f>IFERROR(__xludf.DUMMYFUNCTION("RANK(M162,filter(M:M,C:C=C162))"),288.0)</f>
        <v>288</v>
      </c>
      <c r="S162" s="161" t="b">
        <f t="shared" si="5"/>
        <v>0</v>
      </c>
      <c r="T162" s="161" t="b">
        <f t="array" ref="T162">index('Query Tool'!B:B,match(H162,'Query Tool'!C:C,0))</f>
        <v>1</v>
      </c>
      <c r="U162" s="161" t="b">
        <f t="array" ref="U162">index('Query Tool'!B:B,match(C162,'Query Tool'!C:C,0))</f>
        <v>0</v>
      </c>
      <c r="V162" s="161" t="b">
        <f>F162&gt;='Query Tool'!C$32</f>
        <v>1</v>
      </c>
      <c r="W162" s="161" t="b">
        <f t="array" ref="W162">index(Dropdowns!B:B,match(I162,Dropdowns!A:A,0))</f>
        <v>1</v>
      </c>
      <c r="X162" s="161" t="b">
        <f t="array" ref="X162">index('Query Tool'!B:B,match(D162,'Query Tool'!C:C,0))</f>
        <v>1</v>
      </c>
      <c r="Y162" s="161" t="str">
        <f t="shared" si="6"/>
        <v>greenje02,2013-14</v>
      </c>
      <c r="Z162" s="168">
        <f t="array" ref="Z162">iferror(index(I:I,match($A162&amp;","&amp;index('Year Conversion'!$A:$A,match($C162,'Year Conversion'!$B:$B,0)),$Y:$Y,0))-I162,"")</f>
        <v>1</v>
      </c>
      <c r="AA162" s="168">
        <f t="array" ref="AA162">iferror(index(J:J,match($A162&amp;","&amp;index('Year Conversion'!$A:$A,match($C162,'Year Conversion'!$B:$B,0)),$Y:$Y,0))-J162,"")</f>
        <v>0.8868778068</v>
      </c>
      <c r="AB162" s="168">
        <f t="array" ref="AB162">iferror(index(K:K,match($A162&amp;","&amp;index('Year Conversion'!$A:$A,match($C162,'Year Conversion'!$B:$B,0)),$Y:$Y,0))-K162,"")</f>
        <v>0.7709634727</v>
      </c>
      <c r="AC162" s="168" t="str">
        <f t="shared" si="7"/>
        <v>BOS,2013-14</v>
      </c>
    </row>
    <row r="163">
      <c r="A163" s="161" t="str">
        <f>IFERROR(__xludf.DUMMYFUNCTION("""COMPUTED_VALUE"""),"breweco01")</f>
        <v>breweco01</v>
      </c>
      <c r="B163" s="161" t="str">
        <f>IFERROR(__xludf.DUMMYFUNCTION("""COMPUTED_VALUE"""),"Corey Brewer")</f>
        <v>Corey Brewer</v>
      </c>
      <c r="C163" s="162" t="str">
        <f>IFERROR(__xludf.DUMMYFUNCTION("""COMPUTED_VALUE"""),"2013-14")</f>
        <v>2013-14</v>
      </c>
      <c r="D163" s="163" t="str">
        <f>IFERROR(__xludf.DUMMYFUNCTION("""COMPUTED_VALUE"""),"MIN")</f>
        <v>MIN</v>
      </c>
      <c r="E163" s="164" t="str">
        <f>IFERROR(__xludf.DUMMYFUNCTION("""COMPUTED_VALUE"""),"Stationary Shooter")</f>
        <v>Stationary Shooter</v>
      </c>
      <c r="F163" s="164">
        <f>IFERROR(__xludf.DUMMYFUNCTION("""COMPUTED_VALUE"""),2609.35333333333)</f>
        <v>2609.353333</v>
      </c>
      <c r="G163" s="163">
        <f>IFERROR(__xludf.DUMMYFUNCTION("""COMPUTED_VALUE"""),81.0)</f>
        <v>81</v>
      </c>
      <c r="H163" s="163" t="str">
        <f>IFERROR(__xludf.DUMMYFUNCTION("""COMPUTED_VALUE"""),"SF")</f>
        <v>SF</v>
      </c>
      <c r="I163" s="163">
        <f>IFERROR(__xludf.DUMMYFUNCTION("""COMPUTED_VALUE"""),27.0)</f>
        <v>27</v>
      </c>
      <c r="J163" s="165">
        <f>IFERROR(__xludf.DUMMYFUNCTION("""COMPUTED_VALUE"""),1.29855687863383)</f>
        <v>1.298556879</v>
      </c>
      <c r="K163" s="165">
        <f>IFERROR(__xludf.DUMMYFUNCTION("""COMPUTED_VALUE"""),0.02050101286052)</f>
        <v>0.02050101286</v>
      </c>
      <c r="L163" s="165">
        <f>IFERROR(__xludf.DUMMYFUNCTION("""COMPUTED_VALUE"""),1.27805586577331)</f>
        <v>1.278055866</v>
      </c>
      <c r="M163" s="166">
        <f t="shared" si="2"/>
        <v>6.301837295</v>
      </c>
      <c r="N163" s="167">
        <f t="shared" si="3"/>
        <v>32.21423868</v>
      </c>
      <c r="O163" s="163">
        <f t="shared" ref="O163:Q163" si="167">rank(I163,I:I)</f>
        <v>1366</v>
      </c>
      <c r="P163" s="163">
        <f t="shared" si="167"/>
        <v>525</v>
      </c>
      <c r="Q163" s="163">
        <f t="shared" si="167"/>
        <v>1171</v>
      </c>
      <c r="R163" s="163">
        <f>IFERROR(__xludf.DUMMYFUNCTION("RANK(M163,filter(M:M,C:C=C163))"),46.0)</f>
        <v>46</v>
      </c>
      <c r="S163" s="161" t="b">
        <f t="shared" si="5"/>
        <v>0</v>
      </c>
      <c r="T163" s="161" t="b">
        <f t="array" ref="T163">index('Query Tool'!B:B,match(H163,'Query Tool'!C:C,0))</f>
        <v>1</v>
      </c>
      <c r="U163" s="161" t="b">
        <f t="array" ref="U163">index('Query Tool'!B:B,match(C163,'Query Tool'!C:C,0))</f>
        <v>0</v>
      </c>
      <c r="V163" s="161" t="b">
        <f>F163&gt;='Query Tool'!C$32</f>
        <v>1</v>
      </c>
      <c r="W163" s="161" t="b">
        <f t="array" ref="W163">index(Dropdowns!B:B,match(I163,Dropdowns!A:A,0))</f>
        <v>1</v>
      </c>
      <c r="X163" s="161" t="b">
        <f t="array" ref="X163">index('Query Tool'!B:B,match(D163,'Query Tool'!C:C,0))</f>
        <v>1</v>
      </c>
      <c r="Y163" s="161" t="str">
        <f t="shared" si="6"/>
        <v>breweco01,2013-14</v>
      </c>
      <c r="Z163" s="168">
        <f t="array" ref="Z163">iferror(index(I:I,match($A163&amp;","&amp;index('Year Conversion'!$A:$A,match($C163,'Year Conversion'!$B:$B,0)),$Y:$Y,0))-I163,"")</f>
        <v>1</v>
      </c>
      <c r="AA163" s="168">
        <f t="array" ref="AA163">iferror(index(J:J,match($A163&amp;","&amp;index('Year Conversion'!$A:$A,match($C163,'Year Conversion'!$B:$B,0)),$Y:$Y,0))-J163,"")</f>
        <v>-1.160604771</v>
      </c>
      <c r="AB163" s="168">
        <f t="array" ref="AB163">iferror(index(K:K,match($A163&amp;","&amp;index('Year Conversion'!$A:$A,match($C163,'Year Conversion'!$B:$B,0)),$Y:$Y,0))-K163,"")</f>
        <v>0.1359924863</v>
      </c>
      <c r="AC163" s="168" t="str">
        <f t="shared" si="7"/>
        <v>MIN,2013-14</v>
      </c>
    </row>
    <row r="164">
      <c r="A164" s="161" t="str">
        <f>IFERROR(__xludf.DUMMYFUNCTION("""COMPUTED_VALUE"""),"wrighbr03")</f>
        <v>wrighbr03</v>
      </c>
      <c r="B164" s="161" t="str">
        <f>IFERROR(__xludf.DUMMYFUNCTION("""COMPUTED_VALUE"""),"Brandan Wright")</f>
        <v>Brandan Wright</v>
      </c>
      <c r="C164" s="162" t="str">
        <f>IFERROR(__xludf.DUMMYFUNCTION("""COMPUTED_VALUE"""),"2013-14")</f>
        <v>2013-14</v>
      </c>
      <c r="D164" s="163" t="str">
        <f>IFERROR(__xludf.DUMMYFUNCTION("""COMPUTED_VALUE"""),"DAL")</f>
        <v>DAL</v>
      </c>
      <c r="E164" s="164" t="str">
        <f>IFERROR(__xludf.DUMMYFUNCTION("""COMPUTED_VALUE"""),"Roll + Cut Big")</f>
        <v>Roll + Cut Big</v>
      </c>
      <c r="F164" s="164">
        <f>IFERROR(__xludf.DUMMYFUNCTION("""COMPUTED_VALUE"""),1077.385)</f>
        <v>1077.385</v>
      </c>
      <c r="G164" s="163">
        <f>IFERROR(__xludf.DUMMYFUNCTION("""COMPUTED_VALUE"""),58.0)</f>
        <v>58</v>
      </c>
      <c r="H164" s="163" t="str">
        <f>IFERROR(__xludf.DUMMYFUNCTION("""COMPUTED_VALUE"""),"C")</f>
        <v>C</v>
      </c>
      <c r="I164" s="163">
        <f>IFERROR(__xludf.DUMMYFUNCTION("""COMPUTED_VALUE"""),26.0)</f>
        <v>26</v>
      </c>
      <c r="J164" s="165">
        <f>IFERROR(__xludf.DUMMYFUNCTION("""COMPUTED_VALUE"""),0.555040740065478)</f>
        <v>0.5550407401</v>
      </c>
      <c r="K164" s="165">
        <f>IFERROR(__xludf.DUMMYFUNCTION("""COMPUTED_VALUE"""),1.53244673623991)</f>
        <v>1.532446736</v>
      </c>
      <c r="L164" s="165">
        <f>IFERROR(__xludf.DUMMYFUNCTION("""COMPUTED_VALUE"""),-0.97740599617443)</f>
        <v>-0.9774059962</v>
      </c>
      <c r="M164" s="166">
        <f t="shared" si="2"/>
        <v>2.06395659</v>
      </c>
      <c r="N164" s="167">
        <f t="shared" si="3"/>
        <v>18.57560345</v>
      </c>
      <c r="O164" s="163">
        <f t="shared" ref="O164:Q164" si="168">rank(I164,I:I)</f>
        <v>1665</v>
      </c>
      <c r="P164" s="163">
        <f t="shared" si="168"/>
        <v>865</v>
      </c>
      <c r="Q164" s="163">
        <f t="shared" si="168"/>
        <v>311</v>
      </c>
      <c r="R164" s="163">
        <f>IFERROR(__xludf.DUMMYFUNCTION("RANK(M164,filter(M:M,C:C=C164))"),151.0)</f>
        <v>151</v>
      </c>
      <c r="S164" s="161" t="b">
        <f t="shared" si="5"/>
        <v>0</v>
      </c>
      <c r="T164" s="161" t="b">
        <f t="array" ref="T164">index('Query Tool'!B:B,match(H164,'Query Tool'!C:C,0))</f>
        <v>1</v>
      </c>
      <c r="U164" s="161" t="b">
        <f t="array" ref="U164">index('Query Tool'!B:B,match(C164,'Query Tool'!C:C,0))</f>
        <v>0</v>
      </c>
      <c r="V164" s="161" t="b">
        <f>F164&gt;='Query Tool'!C$32</f>
        <v>1</v>
      </c>
      <c r="W164" s="161" t="b">
        <f t="array" ref="W164">index(Dropdowns!B:B,match(I164,Dropdowns!A:A,0))</f>
        <v>1</v>
      </c>
      <c r="X164" s="161" t="b">
        <f t="array" ref="X164">index('Query Tool'!B:B,match(D164,'Query Tool'!C:C,0))</f>
        <v>1</v>
      </c>
      <c r="Y164" s="161" t="str">
        <f t="shared" si="6"/>
        <v>wrighbr03,2013-14</v>
      </c>
      <c r="Z164" s="168">
        <f t="array" ref="Z164">iferror(index(I:I,match($A164&amp;","&amp;index('Year Conversion'!$A:$A,match($C164,'Year Conversion'!$B:$B,0)),$Y:$Y,0))-I164,"")</f>
        <v>1</v>
      </c>
      <c r="AA164" s="168">
        <f t="array" ref="AA164">iferror(index(J:J,match($A164&amp;","&amp;index('Year Conversion'!$A:$A,match($C164,'Year Conversion'!$B:$B,0)),$Y:$Y,0))-J164,"")</f>
        <v>0.8294438455</v>
      </c>
      <c r="AB164" s="168">
        <f t="array" ref="AB164">iferror(index(K:K,match($A164&amp;","&amp;index('Year Conversion'!$A:$A,match($C164,'Year Conversion'!$B:$B,0)),$Y:$Y,0))-K164,"")</f>
        <v>-1.203543219</v>
      </c>
      <c r="AC164" s="168" t="str">
        <f t="shared" si="7"/>
        <v>DAL,2013-14</v>
      </c>
    </row>
    <row r="165">
      <c r="A165" s="161" t="str">
        <f>IFERROR(__xludf.DUMMYFUNCTION("""COMPUTED_VALUE"""),"noahjo01")</f>
        <v>noahjo01</v>
      </c>
      <c r="B165" s="161" t="str">
        <f>IFERROR(__xludf.DUMMYFUNCTION("""COMPUTED_VALUE"""),"Joakim Noah")</f>
        <v>Joakim Noah</v>
      </c>
      <c r="C165" s="162" t="str">
        <f>IFERROR(__xludf.DUMMYFUNCTION("""COMPUTED_VALUE"""),"2013-14")</f>
        <v>2013-14</v>
      </c>
      <c r="D165" s="163" t="str">
        <f>IFERROR(__xludf.DUMMYFUNCTION("""COMPUTED_VALUE"""),"CHI")</f>
        <v>CHI</v>
      </c>
      <c r="E165" s="164" t="str">
        <f>IFERROR(__xludf.DUMMYFUNCTION("""COMPUTED_VALUE"""),"Roll + Cut Big")</f>
        <v>Roll + Cut Big</v>
      </c>
      <c r="F165" s="164">
        <f>IFERROR(__xludf.DUMMYFUNCTION("""COMPUTED_VALUE"""),2819.695)</f>
        <v>2819.695</v>
      </c>
      <c r="G165" s="163">
        <f>IFERROR(__xludf.DUMMYFUNCTION("""COMPUTED_VALUE"""),80.0)</f>
        <v>80</v>
      </c>
      <c r="H165" s="163" t="str">
        <f>IFERROR(__xludf.DUMMYFUNCTION("""COMPUTED_VALUE"""),"C")</f>
        <v>C</v>
      </c>
      <c r="I165" s="163">
        <f>IFERROR(__xludf.DUMMYFUNCTION("""COMPUTED_VALUE"""),28.0)</f>
        <v>28</v>
      </c>
      <c r="J165" s="165">
        <f>IFERROR(__xludf.DUMMYFUNCTION("""COMPUTED_VALUE"""),3.23155854050602)</f>
        <v>3.231558541</v>
      </c>
      <c r="K165" s="165">
        <f>IFERROR(__xludf.DUMMYFUNCTION("""COMPUTED_VALUE"""),0.502095494065521)</f>
        <v>0.5020954941</v>
      </c>
      <c r="L165" s="165">
        <f>IFERROR(__xludf.DUMMYFUNCTION("""COMPUTED_VALUE"""),2.7294630464405)</f>
        <v>2.729463046</v>
      </c>
      <c r="M165" s="166">
        <f t="shared" si="2"/>
        <v>10.40265392</v>
      </c>
      <c r="N165" s="167">
        <f t="shared" si="3"/>
        <v>35.2461875</v>
      </c>
      <c r="O165" s="163">
        <f t="shared" ref="O165:Q165" si="169">rank(I165,I:I)</f>
        <v>1090</v>
      </c>
      <c r="P165" s="163">
        <f t="shared" si="169"/>
        <v>151</v>
      </c>
      <c r="Q165" s="163">
        <f t="shared" si="169"/>
        <v>765</v>
      </c>
      <c r="R165" s="163">
        <f>IFERROR(__xludf.DUMMYFUNCTION("RANK(M165,filter(M:M,C:C=C165))"),11.0)</f>
        <v>11</v>
      </c>
      <c r="S165" s="161" t="b">
        <f t="shared" si="5"/>
        <v>0</v>
      </c>
      <c r="T165" s="161" t="b">
        <f t="array" ref="T165">index('Query Tool'!B:B,match(H165,'Query Tool'!C:C,0))</f>
        <v>1</v>
      </c>
      <c r="U165" s="161" t="b">
        <f t="array" ref="U165">index('Query Tool'!B:B,match(C165,'Query Tool'!C:C,0))</f>
        <v>0</v>
      </c>
      <c r="V165" s="161" t="b">
        <f>F165&gt;='Query Tool'!C$32</f>
        <v>1</v>
      </c>
      <c r="W165" s="161" t="b">
        <f t="array" ref="W165">index(Dropdowns!B:B,match(I165,Dropdowns!A:A,0))</f>
        <v>1</v>
      </c>
      <c r="X165" s="161" t="b">
        <f t="array" ref="X165">index('Query Tool'!B:B,match(D165,'Query Tool'!C:C,0))</f>
        <v>1</v>
      </c>
      <c r="Y165" s="161" t="str">
        <f t="shared" si="6"/>
        <v>noahjo01,2013-14</v>
      </c>
      <c r="Z165" s="168">
        <f t="array" ref="Z165">iferror(index(I:I,match($A165&amp;","&amp;index('Year Conversion'!$A:$A,match($C165,'Year Conversion'!$B:$B,0)),$Y:$Y,0))-I165,"")</f>
        <v>1</v>
      </c>
      <c r="AA165" s="168">
        <f t="array" ref="AA165">iferror(index(J:J,match($A165&amp;","&amp;index('Year Conversion'!$A:$A,match($C165,'Year Conversion'!$B:$B,0)),$Y:$Y,0))-J165,"")</f>
        <v>-1.739520562</v>
      </c>
      <c r="AB165" s="168">
        <f t="array" ref="AB165">iferror(index(K:K,match($A165&amp;","&amp;index('Year Conversion'!$A:$A,match($C165,'Year Conversion'!$B:$B,0)),$Y:$Y,0))-K165,"")</f>
        <v>-0.7993970178</v>
      </c>
      <c r="AC165" s="168" t="str">
        <f t="shared" si="7"/>
        <v>CHI,2013-14</v>
      </c>
    </row>
    <row r="166">
      <c r="A166" s="161" t="str">
        <f>IFERROR(__xludf.DUMMYFUNCTION("""COMPUTED_VALUE"""),"hawessp01")</f>
        <v>hawessp01</v>
      </c>
      <c r="B166" s="161" t="str">
        <f>IFERROR(__xludf.DUMMYFUNCTION("""COMPUTED_VALUE"""),"Spencer Hawes")</f>
        <v>Spencer Hawes</v>
      </c>
      <c r="C166" s="162" t="str">
        <f>IFERROR(__xludf.DUMMYFUNCTION("""COMPUTED_VALUE"""),"2013-14")</f>
        <v>2013-14</v>
      </c>
      <c r="D166" s="163" t="str">
        <f>IFERROR(__xludf.DUMMYFUNCTION("""COMPUTED_VALUE"""),"TOT")</f>
        <v>TOT</v>
      </c>
      <c r="E166" s="164" t="str">
        <f>IFERROR(__xludf.DUMMYFUNCTION("""COMPUTED_VALUE"""),"Stretch Big")</f>
        <v>Stretch Big</v>
      </c>
      <c r="F166" s="164">
        <f>IFERROR(__xludf.DUMMYFUNCTION("""COMPUTED_VALUE"""),2469.58333333333)</f>
        <v>2469.583333</v>
      </c>
      <c r="G166" s="163">
        <f>IFERROR(__xludf.DUMMYFUNCTION("""COMPUTED_VALUE"""),80.0)</f>
        <v>80</v>
      </c>
      <c r="H166" s="163" t="str">
        <f>IFERROR(__xludf.DUMMYFUNCTION("""COMPUTED_VALUE"""),"C")</f>
        <v>C</v>
      </c>
      <c r="I166" s="163">
        <f>IFERROR(__xludf.DUMMYFUNCTION("""COMPUTED_VALUE"""),25.0)</f>
        <v>25</v>
      </c>
      <c r="J166" s="165">
        <f>IFERROR(__xludf.DUMMYFUNCTION("""COMPUTED_VALUE"""),-0.181363281938975)</f>
        <v>-0.1813632819</v>
      </c>
      <c r="K166" s="165">
        <f>IFERROR(__xludf.DUMMYFUNCTION("""COMPUTED_VALUE"""),-0.854882260805247)</f>
        <v>-0.8548822608</v>
      </c>
      <c r="L166" s="165">
        <f>IFERROR(__xludf.DUMMYFUNCTION("""COMPUTED_VALUE"""),0.673518978866272)</f>
        <v>0.6735189789</v>
      </c>
      <c r="M166" s="166">
        <f t="shared" si="2"/>
        <v>3.505324055</v>
      </c>
      <c r="N166" s="167">
        <f t="shared" si="3"/>
        <v>30.86979167</v>
      </c>
      <c r="O166" s="163">
        <f t="shared" ref="O166:Q166" si="170">rank(I166,I:I)</f>
        <v>1995</v>
      </c>
      <c r="P166" s="163">
        <f t="shared" si="170"/>
        <v>1483</v>
      </c>
      <c r="Q166" s="163">
        <f t="shared" si="170"/>
        <v>2629</v>
      </c>
      <c r="R166" s="163">
        <f>IFERROR(__xludf.DUMMYFUNCTION("RANK(M166,filter(M:M,C:C=C166))"),97.0)</f>
        <v>97</v>
      </c>
      <c r="S166" s="161" t="b">
        <f t="shared" si="5"/>
        <v>0</v>
      </c>
      <c r="T166" s="161" t="b">
        <f t="array" ref="T166">index('Query Tool'!B:B,match(H166,'Query Tool'!C:C,0))</f>
        <v>1</v>
      </c>
      <c r="U166" s="161" t="b">
        <f t="array" ref="U166">index('Query Tool'!B:B,match(C166,'Query Tool'!C:C,0))</f>
        <v>0</v>
      </c>
      <c r="V166" s="161" t="b">
        <f>F166&gt;='Query Tool'!C$32</f>
        <v>1</v>
      </c>
      <c r="W166" s="161" t="b">
        <f t="array" ref="W166">index(Dropdowns!B:B,match(I166,Dropdowns!A:A,0))</f>
        <v>1</v>
      </c>
      <c r="X166" s="161" t="b">
        <f t="array" ref="X166">index('Query Tool'!B:B,match(D166,'Query Tool'!C:C,0))</f>
        <v>1</v>
      </c>
      <c r="Y166" s="161" t="str">
        <f t="shared" si="6"/>
        <v>hawessp01,2013-14</v>
      </c>
      <c r="Z166" s="168">
        <f t="array" ref="Z166">iferror(index(I:I,match($A166&amp;","&amp;index('Year Conversion'!$A:$A,match($C166,'Year Conversion'!$B:$B,0)),$Y:$Y,0))-I166,"")</f>
        <v>1</v>
      </c>
      <c r="AA166" s="168">
        <f t="array" ref="AA166">iferror(index(J:J,match($A166&amp;","&amp;index('Year Conversion'!$A:$A,match($C166,'Year Conversion'!$B:$B,0)),$Y:$Y,0))-J166,"")</f>
        <v>-1.112849169</v>
      </c>
      <c r="AB166" s="168">
        <f t="array" ref="AB166">iferror(index(K:K,match($A166&amp;","&amp;index('Year Conversion'!$A:$A,match($C166,'Year Conversion'!$B:$B,0)),$Y:$Y,0))-K166,"")</f>
        <v>-0.7966505196</v>
      </c>
      <c r="AC166" s="168" t="str">
        <f t="shared" si="7"/>
        <v>TOT,2013-14</v>
      </c>
    </row>
    <row r="167">
      <c r="A167" s="161" t="str">
        <f>IFERROR(__xludf.DUMMYFUNCTION("""COMPUTED_VALUE"""),"youngth01")</f>
        <v>youngth01</v>
      </c>
      <c r="B167" s="161" t="str">
        <f>IFERROR(__xludf.DUMMYFUNCTION("""COMPUTED_VALUE"""),"Thaddeus Young")</f>
        <v>Thaddeus Young</v>
      </c>
      <c r="C167" s="162" t="str">
        <f>IFERROR(__xludf.DUMMYFUNCTION("""COMPUTED_VALUE"""),"2013-14")</f>
        <v>2013-14</v>
      </c>
      <c r="D167" s="163" t="str">
        <f>IFERROR(__xludf.DUMMYFUNCTION("""COMPUTED_VALUE"""),"PHI")</f>
        <v>PHI</v>
      </c>
      <c r="E167" s="164" t="str">
        <f>IFERROR(__xludf.DUMMYFUNCTION("""COMPUTED_VALUE"""),"Roll + Cut Big")</f>
        <v>Roll + Cut Big</v>
      </c>
      <c r="F167" s="164">
        <f>IFERROR(__xludf.DUMMYFUNCTION("""COMPUTED_VALUE"""),2717.61166666667)</f>
        <v>2717.611667</v>
      </c>
      <c r="G167" s="163">
        <f>IFERROR(__xludf.DUMMYFUNCTION("""COMPUTED_VALUE"""),79.0)</f>
        <v>79</v>
      </c>
      <c r="H167" s="163" t="str">
        <f>IFERROR(__xludf.DUMMYFUNCTION("""COMPUTED_VALUE"""),"PF")</f>
        <v>PF</v>
      </c>
      <c r="I167" s="163">
        <f>IFERROR(__xludf.DUMMYFUNCTION("""COMPUTED_VALUE"""),25.0)</f>
        <v>25</v>
      </c>
      <c r="J167" s="165">
        <f>IFERROR(__xludf.DUMMYFUNCTION("""COMPUTED_VALUE"""),-1.56796752733711)</f>
        <v>-1.567967527</v>
      </c>
      <c r="K167" s="165">
        <f>IFERROR(__xludf.DUMMYFUNCTION("""COMPUTED_VALUE"""),-0.408423049908147)</f>
        <v>-0.4084230499</v>
      </c>
      <c r="L167" s="165">
        <f>IFERROR(__xludf.DUMMYFUNCTION("""COMPUTED_VALUE"""),-1.15954447742896)</f>
        <v>-1.159544477</v>
      </c>
      <c r="M167" s="166">
        <f t="shared" si="2"/>
        <v>1.326614628</v>
      </c>
      <c r="N167" s="167">
        <f t="shared" si="3"/>
        <v>34.40014768</v>
      </c>
      <c r="O167" s="163">
        <f t="shared" ref="O167:Q167" si="171">rank(I167,I:I)</f>
        <v>1995</v>
      </c>
      <c r="P167" s="163">
        <f t="shared" si="171"/>
        <v>3114</v>
      </c>
      <c r="Q167" s="163">
        <f t="shared" si="171"/>
        <v>1957</v>
      </c>
      <c r="R167" s="163">
        <f>IFERROR(__xludf.DUMMYFUNCTION("RANK(M167,filter(M:M,C:C=C167))"),198.0)</f>
        <v>198</v>
      </c>
      <c r="S167" s="161" t="b">
        <f t="shared" si="5"/>
        <v>0</v>
      </c>
      <c r="T167" s="161" t="b">
        <f t="array" ref="T167">index('Query Tool'!B:B,match(H167,'Query Tool'!C:C,0))</f>
        <v>1</v>
      </c>
      <c r="U167" s="161" t="b">
        <f t="array" ref="U167">index('Query Tool'!B:B,match(C167,'Query Tool'!C:C,0))</f>
        <v>0</v>
      </c>
      <c r="V167" s="161" t="b">
        <f>F167&gt;='Query Tool'!C$32</f>
        <v>1</v>
      </c>
      <c r="W167" s="161" t="b">
        <f t="array" ref="W167">index(Dropdowns!B:B,match(I167,Dropdowns!A:A,0))</f>
        <v>1</v>
      </c>
      <c r="X167" s="161" t="b">
        <f t="array" ref="X167">index('Query Tool'!B:B,match(D167,'Query Tool'!C:C,0))</f>
        <v>1</v>
      </c>
      <c r="Y167" s="161" t="str">
        <f t="shared" si="6"/>
        <v>youngth01,2013-14</v>
      </c>
      <c r="Z167" s="168">
        <f t="array" ref="Z167">iferror(index(I:I,match($A167&amp;","&amp;index('Year Conversion'!$A:$A,match($C167,'Year Conversion'!$B:$B,0)),$Y:$Y,0))-I167,"")</f>
        <v>1</v>
      </c>
      <c r="AA167" s="168">
        <f t="array" ref="AA167">iferror(index(J:J,match($A167&amp;","&amp;index('Year Conversion'!$A:$A,match($C167,'Year Conversion'!$B:$B,0)),$Y:$Y,0))-J167,"")</f>
        <v>1.620481185</v>
      </c>
      <c r="AB167" s="168">
        <f t="array" ref="AB167">iferror(index(K:K,match($A167&amp;","&amp;index('Year Conversion'!$A:$A,match($C167,'Year Conversion'!$B:$B,0)),$Y:$Y,0))-K167,"")</f>
        <v>0.4194749262</v>
      </c>
      <c r="AC167" s="168" t="str">
        <f t="shared" si="7"/>
        <v>PHI,2013-14</v>
      </c>
    </row>
    <row r="168">
      <c r="A168" s="161" t="str">
        <f>IFERROR(__xludf.DUMMYFUNCTION("""COMPUTED_VALUE"""),"stuckro01")</f>
        <v>stuckro01</v>
      </c>
      <c r="B168" s="161" t="str">
        <f>IFERROR(__xludf.DUMMYFUNCTION("""COMPUTED_VALUE"""),"Rodney Stuckey")</f>
        <v>Rodney Stuckey</v>
      </c>
      <c r="C168" s="162" t="str">
        <f>IFERROR(__xludf.DUMMYFUNCTION("""COMPUTED_VALUE"""),"2013-14")</f>
        <v>2013-14</v>
      </c>
      <c r="D168" s="163" t="str">
        <f>IFERROR(__xludf.DUMMYFUNCTION("""COMPUTED_VALUE"""),"DET")</f>
        <v>DET</v>
      </c>
      <c r="E168" s="164" t="str">
        <f>IFERROR(__xludf.DUMMYFUNCTION("""COMPUTED_VALUE"""),"Shot Creator")</f>
        <v>Shot Creator</v>
      </c>
      <c r="F168" s="164">
        <f>IFERROR(__xludf.DUMMYFUNCTION("""COMPUTED_VALUE"""),1950.38333333333)</f>
        <v>1950.383333</v>
      </c>
      <c r="G168" s="163">
        <f>IFERROR(__xludf.DUMMYFUNCTION("""COMPUTED_VALUE"""),73.0)</f>
        <v>73</v>
      </c>
      <c r="H168" s="163" t="str">
        <f>IFERROR(__xludf.DUMMYFUNCTION("""COMPUTED_VALUE"""),"SG")</f>
        <v>SG</v>
      </c>
      <c r="I168" s="163">
        <f>IFERROR(__xludf.DUMMYFUNCTION("""COMPUTED_VALUE"""),27.0)</f>
        <v>27</v>
      </c>
      <c r="J168" s="165">
        <f>IFERROR(__xludf.DUMMYFUNCTION("""COMPUTED_VALUE"""),-1.94101853731526)</f>
        <v>-1.941018537</v>
      </c>
      <c r="K168" s="165">
        <f>IFERROR(__xludf.DUMMYFUNCTION("""COMPUTED_VALUE"""),0.473667141560414)</f>
        <v>0.4736671416</v>
      </c>
      <c r="L168" s="165">
        <f>IFERROR(__xludf.DUMMYFUNCTION("""COMPUTED_VALUE"""),-2.41468567887568)</f>
        <v>-2.414685679</v>
      </c>
      <c r="M168" s="166">
        <f t="shared" si="2"/>
        <v>0.4678153032</v>
      </c>
      <c r="N168" s="167">
        <f t="shared" si="3"/>
        <v>26.71757991</v>
      </c>
      <c r="O168" s="163">
        <f t="shared" ref="O168:Q168" si="172">rank(I168,I:I)</f>
        <v>1366</v>
      </c>
      <c r="P168" s="163">
        <f t="shared" si="172"/>
        <v>3442</v>
      </c>
      <c r="Q168" s="163">
        <f t="shared" si="172"/>
        <v>782</v>
      </c>
      <c r="R168" s="163">
        <f>IFERROR(__xludf.DUMMYFUNCTION("RANK(M168,filter(M:M,C:C=C168))"),281.0)</f>
        <v>281</v>
      </c>
      <c r="S168" s="161" t="b">
        <f t="shared" si="5"/>
        <v>0</v>
      </c>
      <c r="T168" s="161" t="b">
        <f t="array" ref="T168">index('Query Tool'!B:B,match(H168,'Query Tool'!C:C,0))</f>
        <v>1</v>
      </c>
      <c r="U168" s="161" t="b">
        <f t="array" ref="U168">index('Query Tool'!B:B,match(C168,'Query Tool'!C:C,0))</f>
        <v>0</v>
      </c>
      <c r="V168" s="161" t="b">
        <f>F168&gt;='Query Tool'!C$32</f>
        <v>1</v>
      </c>
      <c r="W168" s="161" t="b">
        <f t="array" ref="W168">index(Dropdowns!B:B,match(I168,Dropdowns!A:A,0))</f>
        <v>1</v>
      </c>
      <c r="X168" s="161" t="b">
        <f t="array" ref="X168">index('Query Tool'!B:B,match(D168,'Query Tool'!C:C,0))</f>
        <v>1</v>
      </c>
      <c r="Y168" s="161" t="str">
        <f t="shared" si="6"/>
        <v>stuckro01,2013-14</v>
      </c>
      <c r="Z168" s="168">
        <f t="array" ref="Z168">iferror(index(I:I,match($A168&amp;","&amp;index('Year Conversion'!$A:$A,match($C168,'Year Conversion'!$B:$B,0)),$Y:$Y,0))-I168,"")</f>
        <v>1</v>
      </c>
      <c r="AA168" s="168">
        <f t="array" ref="AA168">iferror(index(J:J,match($A168&amp;","&amp;index('Year Conversion'!$A:$A,match($C168,'Year Conversion'!$B:$B,0)),$Y:$Y,0))-J168,"")</f>
        <v>1.287565014</v>
      </c>
      <c r="AB168" s="168">
        <f t="array" ref="AB168">iferror(index(K:K,match($A168&amp;","&amp;index('Year Conversion'!$A:$A,match($C168,'Year Conversion'!$B:$B,0)),$Y:$Y,0))-K168,"")</f>
        <v>-1.075374189</v>
      </c>
      <c r="AC168" s="168" t="str">
        <f t="shared" si="7"/>
        <v>DET,2013-14</v>
      </c>
    </row>
    <row r="169">
      <c r="A169" s="161" t="str">
        <f>IFERROR(__xludf.DUMMYFUNCTION("""COMPUTED_VALUE"""),"youngni01")</f>
        <v>youngni01</v>
      </c>
      <c r="B169" s="161" t="str">
        <f>IFERROR(__xludf.DUMMYFUNCTION("""COMPUTED_VALUE"""),"Nick Young")</f>
        <v>Nick Young</v>
      </c>
      <c r="C169" s="162" t="str">
        <f>IFERROR(__xludf.DUMMYFUNCTION("""COMPUTED_VALUE"""),"2013-14")</f>
        <v>2013-14</v>
      </c>
      <c r="D169" s="163" t="str">
        <f>IFERROR(__xludf.DUMMYFUNCTION("""COMPUTED_VALUE"""),"LAL")</f>
        <v>LAL</v>
      </c>
      <c r="E169" s="164" t="str">
        <f>IFERROR(__xludf.DUMMYFUNCTION("""COMPUTED_VALUE"""),"Shot Creator")</f>
        <v>Shot Creator</v>
      </c>
      <c r="F169" s="164">
        <f>IFERROR(__xludf.DUMMYFUNCTION("""COMPUTED_VALUE"""),1809.48666666667)</f>
        <v>1809.486667</v>
      </c>
      <c r="G169" s="163">
        <f>IFERROR(__xludf.DUMMYFUNCTION("""COMPUTED_VALUE"""),64.0)</f>
        <v>64</v>
      </c>
      <c r="H169" s="163" t="str">
        <f>IFERROR(__xludf.DUMMYFUNCTION("""COMPUTED_VALUE"""),"SG")</f>
        <v>SG</v>
      </c>
      <c r="I169" s="163">
        <f>IFERROR(__xludf.DUMMYFUNCTION("""COMPUTED_VALUE"""),28.0)</f>
        <v>28</v>
      </c>
      <c r="J169" s="165">
        <f>IFERROR(__xludf.DUMMYFUNCTION("""COMPUTED_VALUE"""),-0.70343117489385)</f>
        <v>-0.7034311749</v>
      </c>
      <c r="K169" s="165">
        <f>IFERROR(__xludf.DUMMYFUNCTION("""COMPUTED_VALUE"""),1.46104661336919)</f>
        <v>1.461046613</v>
      </c>
      <c r="L169" s="165">
        <f>IFERROR(__xludf.DUMMYFUNCTION("""COMPUTED_VALUE"""),-2.16447778826304)</f>
        <v>-2.164477788</v>
      </c>
      <c r="M169" s="166">
        <f t="shared" si="2"/>
        <v>1.932072613</v>
      </c>
      <c r="N169" s="167">
        <f t="shared" si="3"/>
        <v>28.27322917</v>
      </c>
      <c r="O169" s="163">
        <f t="shared" ref="O169:Q169" si="173">rank(I169,I:I)</f>
        <v>1090</v>
      </c>
      <c r="P169" s="163">
        <f t="shared" si="173"/>
        <v>2148</v>
      </c>
      <c r="Q169" s="163">
        <f t="shared" si="173"/>
        <v>330</v>
      </c>
      <c r="R169" s="163">
        <f>IFERROR(__xludf.DUMMYFUNCTION("RANK(M169,filter(M:M,C:C=C169))"),158.0)</f>
        <v>158</v>
      </c>
      <c r="S169" s="161" t="b">
        <f t="shared" si="5"/>
        <v>0</v>
      </c>
      <c r="T169" s="161" t="b">
        <f t="array" ref="T169">index('Query Tool'!B:B,match(H169,'Query Tool'!C:C,0))</f>
        <v>1</v>
      </c>
      <c r="U169" s="161" t="b">
        <f t="array" ref="U169">index('Query Tool'!B:B,match(C169,'Query Tool'!C:C,0))</f>
        <v>0</v>
      </c>
      <c r="V169" s="161" t="b">
        <f>F169&gt;='Query Tool'!C$32</f>
        <v>1</v>
      </c>
      <c r="W169" s="161" t="b">
        <f t="array" ref="W169">index(Dropdowns!B:B,match(I169,Dropdowns!A:A,0))</f>
        <v>1</v>
      </c>
      <c r="X169" s="161" t="b">
        <f t="array" ref="X169">index('Query Tool'!B:B,match(D169,'Query Tool'!C:C,0))</f>
        <v>1</v>
      </c>
      <c r="Y169" s="161" t="str">
        <f t="shared" si="6"/>
        <v>youngni01,2013-14</v>
      </c>
      <c r="Z169" s="168">
        <f t="array" ref="Z169">iferror(index(I:I,match($A169&amp;","&amp;index('Year Conversion'!$A:$A,match($C169,'Year Conversion'!$B:$B,0)),$Y:$Y,0))-I169,"")</f>
        <v>1</v>
      </c>
      <c r="AA169" s="168">
        <f t="array" ref="AA169">iferror(index(J:J,match($A169&amp;","&amp;index('Year Conversion'!$A:$A,match($C169,'Year Conversion'!$B:$B,0)),$Y:$Y,0))-J169,"")</f>
        <v>0.4657150106</v>
      </c>
      <c r="AB169" s="168">
        <f t="array" ref="AB169">iferror(index(K:K,match($A169&amp;","&amp;index('Year Conversion'!$A:$A,match($C169,'Year Conversion'!$B:$B,0)),$Y:$Y,0))-K169,"")</f>
        <v>-0.5690761127</v>
      </c>
      <c r="AC169" s="168" t="str">
        <f t="shared" si="7"/>
        <v>LAL,2013-14</v>
      </c>
    </row>
    <row r="170">
      <c r="A170" s="161" t="str">
        <f>IFERROR(__xludf.DUMMYFUNCTION("""COMPUTED_VALUE"""),"belinma01")</f>
        <v>belinma01</v>
      </c>
      <c r="B170" s="161" t="str">
        <f>IFERROR(__xludf.DUMMYFUNCTION("""COMPUTED_VALUE"""),"Marco Belinelli")</f>
        <v>Marco Belinelli</v>
      </c>
      <c r="C170" s="162" t="str">
        <f>IFERROR(__xludf.DUMMYFUNCTION("""COMPUTED_VALUE"""),"2013-14")</f>
        <v>2013-14</v>
      </c>
      <c r="D170" s="163" t="str">
        <f>IFERROR(__xludf.DUMMYFUNCTION("""COMPUTED_VALUE"""),"SAS")</f>
        <v>SAS</v>
      </c>
      <c r="E170" s="164" t="str">
        <f>IFERROR(__xludf.DUMMYFUNCTION("""COMPUTED_VALUE"""),"Movement Shooter")</f>
        <v>Movement Shooter</v>
      </c>
      <c r="F170" s="164">
        <f>IFERROR(__xludf.DUMMYFUNCTION("""COMPUTED_VALUE"""),2015.825)</f>
        <v>2015.825</v>
      </c>
      <c r="G170" s="163">
        <f>IFERROR(__xludf.DUMMYFUNCTION("""COMPUTED_VALUE"""),80.0)</f>
        <v>80</v>
      </c>
      <c r="H170" s="163" t="str">
        <f>IFERROR(__xludf.DUMMYFUNCTION("""COMPUTED_VALUE"""),"SF")</f>
        <v>SF</v>
      </c>
      <c r="I170" s="163">
        <f>IFERROR(__xludf.DUMMYFUNCTION("""COMPUTED_VALUE"""),27.0)</f>
        <v>27</v>
      </c>
      <c r="J170" s="165">
        <f>IFERROR(__xludf.DUMMYFUNCTION("""COMPUTED_VALUE"""),-0.0758445862666133)</f>
        <v>-0.07584458627</v>
      </c>
      <c r="K170" s="165">
        <f>IFERROR(__xludf.DUMMYFUNCTION("""COMPUTED_VALUE"""),1.05015411059371)</f>
        <v>1.050154111</v>
      </c>
      <c r="L170" s="165">
        <f>IFERROR(__xludf.DUMMYFUNCTION("""COMPUTED_VALUE"""),-1.12599869686033)</f>
        <v>-1.125998697</v>
      </c>
      <c r="M170" s="166">
        <f t="shared" si="2"/>
        <v>3.004654547</v>
      </c>
      <c r="N170" s="167">
        <f t="shared" si="3"/>
        <v>25.1978125</v>
      </c>
      <c r="O170" s="163">
        <f t="shared" ref="O170:Q170" si="174">rank(I170,I:I)</f>
        <v>1366</v>
      </c>
      <c r="P170" s="163">
        <f t="shared" si="174"/>
        <v>1364</v>
      </c>
      <c r="Q170" s="163">
        <f t="shared" si="174"/>
        <v>475</v>
      </c>
      <c r="R170" s="163">
        <f>IFERROR(__xludf.DUMMYFUNCTION("RANK(M170,filter(M:M,C:C=C170))"),111.0)</f>
        <v>111</v>
      </c>
      <c r="S170" s="161" t="b">
        <f t="shared" si="5"/>
        <v>0</v>
      </c>
      <c r="T170" s="161" t="b">
        <f t="array" ref="T170">index('Query Tool'!B:B,match(H170,'Query Tool'!C:C,0))</f>
        <v>1</v>
      </c>
      <c r="U170" s="161" t="b">
        <f t="array" ref="U170">index('Query Tool'!B:B,match(C170,'Query Tool'!C:C,0))</f>
        <v>0</v>
      </c>
      <c r="V170" s="161" t="b">
        <f>F170&gt;='Query Tool'!C$32</f>
        <v>1</v>
      </c>
      <c r="W170" s="161" t="b">
        <f t="array" ref="W170">index(Dropdowns!B:B,match(I170,Dropdowns!A:A,0))</f>
        <v>1</v>
      </c>
      <c r="X170" s="161" t="b">
        <f t="array" ref="X170">index('Query Tool'!B:B,match(D170,'Query Tool'!C:C,0))</f>
        <v>1</v>
      </c>
      <c r="Y170" s="161" t="str">
        <f t="shared" si="6"/>
        <v>belinma01,2013-14</v>
      </c>
      <c r="Z170" s="168">
        <f t="array" ref="Z170">iferror(index(I:I,match($A170&amp;","&amp;index('Year Conversion'!$A:$A,match($C170,'Year Conversion'!$B:$B,0)),$Y:$Y,0))-I170,"")</f>
        <v>1</v>
      </c>
      <c r="AA170" s="168">
        <f t="array" ref="AA170">iferror(index(J:J,match($A170&amp;","&amp;index('Year Conversion'!$A:$A,match($C170,'Year Conversion'!$B:$B,0)),$Y:$Y,0))-J170,"")</f>
        <v>-1.360051278</v>
      </c>
      <c r="AB170" s="168">
        <f t="array" ref="AB170">iferror(index(K:K,match($A170&amp;","&amp;index('Year Conversion'!$A:$A,match($C170,'Year Conversion'!$B:$B,0)),$Y:$Y,0))-K170,"")</f>
        <v>-0.6335092233</v>
      </c>
      <c r="AC170" s="168" t="str">
        <f t="shared" si="7"/>
        <v>SAS,2013-14</v>
      </c>
    </row>
    <row r="171">
      <c r="A171" s="161" t="str">
        <f>IFERROR(__xludf.DUMMYFUNCTION("""COMPUTED_VALUE"""),"smithja02")</f>
        <v>smithja02</v>
      </c>
      <c r="B171" s="161" t="str">
        <f>IFERROR(__xludf.DUMMYFUNCTION("""COMPUTED_VALUE"""),"Jason Smith")</f>
        <v>Jason Smith</v>
      </c>
      <c r="C171" s="162" t="str">
        <f>IFERROR(__xludf.DUMMYFUNCTION("""COMPUTED_VALUE"""),"2013-14")</f>
        <v>2013-14</v>
      </c>
      <c r="D171" s="163" t="str">
        <f>IFERROR(__xludf.DUMMYFUNCTION("""COMPUTED_VALUE"""),"NOP")</f>
        <v>NOP</v>
      </c>
      <c r="E171" s="164" t="str">
        <f>IFERROR(__xludf.DUMMYFUNCTION("""COMPUTED_VALUE"""),"Roll + Cut Big")</f>
        <v>Roll + Cut Big</v>
      </c>
      <c r="F171" s="164">
        <f>IFERROR(__xludf.DUMMYFUNCTION("""COMPUTED_VALUE"""),830.103333333333)</f>
        <v>830.1033333</v>
      </c>
      <c r="G171" s="163">
        <f>IFERROR(__xludf.DUMMYFUNCTION("""COMPUTED_VALUE"""),31.0)</f>
        <v>31</v>
      </c>
      <c r="H171" s="163" t="str">
        <f>IFERROR(__xludf.DUMMYFUNCTION("""COMPUTED_VALUE"""),"PF")</f>
        <v>PF</v>
      </c>
      <c r="I171" s="163">
        <f>IFERROR(__xludf.DUMMYFUNCTION("""COMPUTED_VALUE"""),27.0)</f>
        <v>27</v>
      </c>
      <c r="J171" s="165">
        <f>IFERROR(__xludf.DUMMYFUNCTION("""COMPUTED_VALUE"""),-1.6364423150235)</f>
        <v>-1.636442315</v>
      </c>
      <c r="K171" s="165">
        <f>IFERROR(__xludf.DUMMYFUNCTION("""COMPUTED_VALUE"""),-1.65864639614171)</f>
        <v>-1.658646396</v>
      </c>
      <c r="L171" s="165">
        <f>IFERROR(__xludf.DUMMYFUNCTION("""COMPUTED_VALUE"""),0.0222040811182115)</f>
        <v>0.02220408112</v>
      </c>
      <c r="M171" s="166">
        <f t="shared" si="2"/>
        <v>0.3673041726</v>
      </c>
      <c r="N171" s="167">
        <f t="shared" si="3"/>
        <v>26.77752688</v>
      </c>
      <c r="O171" s="163">
        <f t="shared" ref="O171:Q171" si="175">rank(I171,I:I)</f>
        <v>1366</v>
      </c>
      <c r="P171" s="163">
        <f t="shared" si="175"/>
        <v>3183</v>
      </c>
      <c r="Q171" s="163">
        <f t="shared" si="175"/>
        <v>3488</v>
      </c>
      <c r="R171" s="163">
        <f>IFERROR(__xludf.DUMMYFUNCTION("RANK(M171,filter(M:M,C:C=C171))"),293.0)</f>
        <v>293</v>
      </c>
      <c r="S171" s="161" t="b">
        <f t="shared" si="5"/>
        <v>0</v>
      </c>
      <c r="T171" s="161" t="b">
        <f t="array" ref="T171">index('Query Tool'!B:B,match(H171,'Query Tool'!C:C,0))</f>
        <v>1</v>
      </c>
      <c r="U171" s="161" t="b">
        <f t="array" ref="U171">index('Query Tool'!B:B,match(C171,'Query Tool'!C:C,0))</f>
        <v>0</v>
      </c>
      <c r="V171" s="161" t="b">
        <f>F171&gt;='Query Tool'!C$32</f>
        <v>1</v>
      </c>
      <c r="W171" s="161" t="b">
        <f t="array" ref="W171">index(Dropdowns!B:B,match(I171,Dropdowns!A:A,0))</f>
        <v>1</v>
      </c>
      <c r="X171" s="161" t="b">
        <f t="array" ref="X171">index('Query Tool'!B:B,match(D171,'Query Tool'!C:C,0))</f>
        <v>1</v>
      </c>
      <c r="Y171" s="161" t="str">
        <f t="shared" si="6"/>
        <v>smithja02,2013-14</v>
      </c>
      <c r="Z171" s="168">
        <f t="array" ref="Z171">iferror(index(I:I,match($A171&amp;","&amp;index('Year Conversion'!$A:$A,match($C171,'Year Conversion'!$B:$B,0)),$Y:$Y,0))-I171,"")</f>
        <v>1</v>
      </c>
      <c r="AA171" s="168">
        <f t="array" ref="AA171">iferror(index(J:J,match($A171&amp;","&amp;index('Year Conversion'!$A:$A,match($C171,'Year Conversion'!$B:$B,0)),$Y:$Y,0))-J171,"")</f>
        <v>-1.836626824</v>
      </c>
      <c r="AB171" s="168">
        <f t="array" ref="AB171">iferror(index(K:K,match($A171&amp;","&amp;index('Year Conversion'!$A:$A,match($C171,'Year Conversion'!$B:$B,0)),$Y:$Y,0))-K171,"")</f>
        <v>-0.2564180066</v>
      </c>
      <c r="AC171" s="168" t="str">
        <f t="shared" si="7"/>
        <v>NOP,2013-14</v>
      </c>
    </row>
    <row r="172">
      <c r="A172" s="161" t="str">
        <f>IFERROR(__xludf.DUMMYFUNCTION("""COMPUTED_VALUE"""),"dudleja01")</f>
        <v>dudleja01</v>
      </c>
      <c r="B172" s="161" t="str">
        <f>IFERROR(__xludf.DUMMYFUNCTION("""COMPUTED_VALUE"""),"Jared Dudley")</f>
        <v>Jared Dudley</v>
      </c>
      <c r="C172" s="162" t="str">
        <f>IFERROR(__xludf.DUMMYFUNCTION("""COMPUTED_VALUE"""),"2013-14")</f>
        <v>2013-14</v>
      </c>
      <c r="D172" s="163" t="str">
        <f>IFERROR(__xludf.DUMMYFUNCTION("""COMPUTED_VALUE"""),"LAC")</f>
        <v>LAC</v>
      </c>
      <c r="E172" s="164" t="str">
        <f>IFERROR(__xludf.DUMMYFUNCTION("""COMPUTED_VALUE"""),"Stationary Shooter")</f>
        <v>Stationary Shooter</v>
      </c>
      <c r="F172" s="164">
        <f>IFERROR(__xludf.DUMMYFUNCTION("""COMPUTED_VALUE"""),1728.97166666667)</f>
        <v>1728.971667</v>
      </c>
      <c r="G172" s="163">
        <f>IFERROR(__xludf.DUMMYFUNCTION("""COMPUTED_VALUE"""),74.0)</f>
        <v>74</v>
      </c>
      <c r="H172" s="163" t="str">
        <f>IFERROR(__xludf.DUMMYFUNCTION("""COMPUTED_VALUE"""),"SF")</f>
        <v>SF</v>
      </c>
      <c r="I172" s="163">
        <f>IFERROR(__xludf.DUMMYFUNCTION("""COMPUTED_VALUE"""),28.0)</f>
        <v>28</v>
      </c>
      <c r="J172" s="165">
        <f>IFERROR(__xludf.DUMMYFUNCTION("""COMPUTED_VALUE"""),-1.52583901504609)</f>
        <v>-1.525839015</v>
      </c>
      <c r="K172" s="165">
        <f>IFERROR(__xludf.DUMMYFUNCTION("""COMPUTED_VALUE"""),-0.81374660359136)</f>
        <v>-0.8137466036</v>
      </c>
      <c r="L172" s="165">
        <f>IFERROR(__xludf.DUMMYFUNCTION("""COMPUTED_VALUE"""),-0.712092411454726)</f>
        <v>-0.7120924115</v>
      </c>
      <c r="M172" s="166">
        <f t="shared" si="2"/>
        <v>0.892626258</v>
      </c>
      <c r="N172" s="167">
        <f t="shared" si="3"/>
        <v>23.36448198</v>
      </c>
      <c r="O172" s="163">
        <f t="shared" ref="O172:Q172" si="176">rank(I172,I:I)</f>
        <v>1090</v>
      </c>
      <c r="P172" s="163">
        <f t="shared" si="176"/>
        <v>3078</v>
      </c>
      <c r="Q172" s="163">
        <f t="shared" si="176"/>
        <v>2573</v>
      </c>
      <c r="R172" s="163">
        <f>IFERROR(__xludf.DUMMYFUNCTION("RANK(M172,filter(M:M,C:C=C172))"),235.0)</f>
        <v>235</v>
      </c>
      <c r="S172" s="161" t="b">
        <f t="shared" si="5"/>
        <v>0</v>
      </c>
      <c r="T172" s="161" t="b">
        <f t="array" ref="T172">index('Query Tool'!B:B,match(H172,'Query Tool'!C:C,0))</f>
        <v>1</v>
      </c>
      <c r="U172" s="161" t="b">
        <f t="array" ref="U172">index('Query Tool'!B:B,match(C172,'Query Tool'!C:C,0))</f>
        <v>0</v>
      </c>
      <c r="V172" s="161" t="b">
        <f>F172&gt;='Query Tool'!C$32</f>
        <v>1</v>
      </c>
      <c r="W172" s="161" t="b">
        <f t="array" ref="W172">index(Dropdowns!B:B,match(I172,Dropdowns!A:A,0))</f>
        <v>1</v>
      </c>
      <c r="X172" s="161" t="b">
        <f t="array" ref="X172">index('Query Tool'!B:B,match(D172,'Query Tool'!C:C,0))</f>
        <v>1</v>
      </c>
      <c r="Y172" s="161" t="str">
        <f t="shared" si="6"/>
        <v>dudleja01,2013-14</v>
      </c>
      <c r="Z172" s="168">
        <f t="array" ref="Z172">iferror(index(I:I,match($A172&amp;","&amp;index('Year Conversion'!$A:$A,match($C172,'Year Conversion'!$B:$B,0)),$Y:$Y,0))-I172,"")</f>
        <v>1</v>
      </c>
      <c r="AA172" s="168">
        <f t="array" ref="AA172">iferror(index(J:J,match($A172&amp;","&amp;index('Year Conversion'!$A:$A,match($C172,'Year Conversion'!$B:$B,0)),$Y:$Y,0))-J172,"")</f>
        <v>1.743608916</v>
      </c>
      <c r="AB172" s="168">
        <f t="array" ref="AB172">iferror(index(K:K,match($A172&amp;","&amp;index('Year Conversion'!$A:$A,match($C172,'Year Conversion'!$B:$B,0)),$Y:$Y,0))-K172,"")</f>
        <v>-0.1466320734</v>
      </c>
      <c r="AC172" s="168" t="str">
        <f t="shared" si="7"/>
        <v>LAC,2013-14</v>
      </c>
    </row>
    <row r="173">
      <c r="A173" s="161" t="str">
        <f>IFERROR(__xludf.DUMMYFUNCTION("""COMPUTED_VALUE"""),"chandwi01")</f>
        <v>chandwi01</v>
      </c>
      <c r="B173" s="161" t="str">
        <f>IFERROR(__xludf.DUMMYFUNCTION("""COMPUTED_VALUE"""),"Wilson Chandler")</f>
        <v>Wilson Chandler</v>
      </c>
      <c r="C173" s="162" t="str">
        <f>IFERROR(__xludf.DUMMYFUNCTION("""COMPUTED_VALUE"""),"2013-14")</f>
        <v>2013-14</v>
      </c>
      <c r="D173" s="163" t="str">
        <f>IFERROR(__xludf.DUMMYFUNCTION("""COMPUTED_VALUE"""),"DEN")</f>
        <v>DEN</v>
      </c>
      <c r="E173" s="164" t="str">
        <f>IFERROR(__xludf.DUMMYFUNCTION("""COMPUTED_VALUE"""),"Shot Creator")</f>
        <v>Shot Creator</v>
      </c>
      <c r="F173" s="164">
        <f>IFERROR(__xludf.DUMMYFUNCTION("""COMPUTED_VALUE"""),1926.72)</f>
        <v>1926.72</v>
      </c>
      <c r="G173" s="163">
        <f>IFERROR(__xludf.DUMMYFUNCTION("""COMPUTED_VALUE"""),62.0)</f>
        <v>62</v>
      </c>
      <c r="H173" s="163" t="str">
        <f>IFERROR(__xludf.DUMMYFUNCTION("""COMPUTED_VALUE"""),"SF")</f>
        <v>SF</v>
      </c>
      <c r="I173" s="163">
        <f>IFERROR(__xludf.DUMMYFUNCTION("""COMPUTED_VALUE"""),26.0)</f>
        <v>26</v>
      </c>
      <c r="J173" s="165">
        <f>IFERROR(__xludf.DUMMYFUNCTION("""COMPUTED_VALUE"""),-1.11305975830292)</f>
        <v>-1.113059758</v>
      </c>
      <c r="K173" s="165">
        <f>IFERROR(__xludf.DUMMYFUNCTION("""COMPUTED_VALUE"""),-0.248862257539849)</f>
        <v>-0.2488622575</v>
      </c>
      <c r="L173" s="165">
        <f>IFERROR(__xludf.DUMMYFUNCTION("""COMPUTED_VALUE"""),-0.864197500763071)</f>
        <v>-0.8641975008</v>
      </c>
      <c r="M173" s="166">
        <f t="shared" si="2"/>
        <v>1.52700645</v>
      </c>
      <c r="N173" s="167">
        <f t="shared" si="3"/>
        <v>31.07612903</v>
      </c>
      <c r="O173" s="163">
        <f t="shared" ref="O173:Q173" si="177">rank(I173,I:I)</f>
        <v>1665</v>
      </c>
      <c r="P173" s="163">
        <f t="shared" si="177"/>
        <v>2633</v>
      </c>
      <c r="Q173" s="163">
        <f t="shared" si="177"/>
        <v>1665</v>
      </c>
      <c r="R173" s="163">
        <f>IFERROR(__xludf.DUMMYFUNCTION("RANK(M173,filter(M:M,C:C=C173))"),180.0)</f>
        <v>180</v>
      </c>
      <c r="S173" s="161" t="b">
        <f t="shared" si="5"/>
        <v>0</v>
      </c>
      <c r="T173" s="161" t="b">
        <f t="array" ref="T173">index('Query Tool'!B:B,match(H173,'Query Tool'!C:C,0))</f>
        <v>1</v>
      </c>
      <c r="U173" s="161" t="b">
        <f t="array" ref="U173">index('Query Tool'!B:B,match(C173,'Query Tool'!C:C,0))</f>
        <v>0</v>
      </c>
      <c r="V173" s="161" t="b">
        <f>F173&gt;='Query Tool'!C$32</f>
        <v>1</v>
      </c>
      <c r="W173" s="161" t="b">
        <f t="array" ref="W173">index(Dropdowns!B:B,match(I173,Dropdowns!A:A,0))</f>
        <v>1</v>
      </c>
      <c r="X173" s="161" t="b">
        <f t="array" ref="X173">index('Query Tool'!B:B,match(D173,'Query Tool'!C:C,0))</f>
        <v>1</v>
      </c>
      <c r="Y173" s="161" t="str">
        <f t="shared" si="6"/>
        <v>chandwi01,2013-14</v>
      </c>
      <c r="Z173" s="168">
        <f t="array" ref="Z173">iferror(index(I:I,match($A173&amp;","&amp;index('Year Conversion'!$A:$A,match($C173,'Year Conversion'!$B:$B,0)),$Y:$Y,0))-I173,"")</f>
        <v>1</v>
      </c>
      <c r="AA173" s="168">
        <f t="array" ref="AA173">iferror(index(J:J,match($A173&amp;","&amp;index('Year Conversion'!$A:$A,match($C173,'Year Conversion'!$B:$B,0)),$Y:$Y,0))-J173,"")</f>
        <v>-0.06243579404</v>
      </c>
      <c r="AB173" s="168">
        <f t="array" ref="AB173">iferror(index(K:K,match($A173&amp;","&amp;index('Year Conversion'!$A:$A,match($C173,'Year Conversion'!$B:$B,0)),$Y:$Y,0))-K173,"")</f>
        <v>0.2734080835</v>
      </c>
      <c r="AC173" s="168" t="str">
        <f t="shared" si="7"/>
        <v>DEN,2013-14</v>
      </c>
    </row>
    <row r="174">
      <c r="A174" s="161" t="str">
        <f>IFERROR(__xludf.DUMMYFUNCTION("""COMPUTED_VALUE"""),"brookaa01")</f>
        <v>brookaa01</v>
      </c>
      <c r="B174" s="161" t="str">
        <f>IFERROR(__xludf.DUMMYFUNCTION("""COMPUTED_VALUE"""),"Aaron Brooks")</f>
        <v>Aaron Brooks</v>
      </c>
      <c r="C174" s="162" t="str">
        <f>IFERROR(__xludf.DUMMYFUNCTION("""COMPUTED_VALUE"""),"2013-14")</f>
        <v>2013-14</v>
      </c>
      <c r="D174" s="163" t="str">
        <f>IFERROR(__xludf.DUMMYFUNCTION("""COMPUTED_VALUE"""),"TOT")</f>
        <v>TOT</v>
      </c>
      <c r="E174" s="164" t="str">
        <f>IFERROR(__xludf.DUMMYFUNCTION("""COMPUTED_VALUE"""),"Shot Creator")</f>
        <v>Shot Creator</v>
      </c>
      <c r="F174" s="164">
        <f>IFERROR(__xludf.DUMMYFUNCTION("""COMPUTED_VALUE"""),1557.27166666667)</f>
        <v>1557.271667</v>
      </c>
      <c r="G174" s="163">
        <f>IFERROR(__xludf.DUMMYFUNCTION("""COMPUTED_VALUE"""),72.0)</f>
        <v>72</v>
      </c>
      <c r="H174" s="163" t="str">
        <f>IFERROR(__xludf.DUMMYFUNCTION("""COMPUTED_VALUE"""),"PG")</f>
        <v>PG</v>
      </c>
      <c r="I174" s="163">
        <f>IFERROR(__xludf.DUMMYFUNCTION("""COMPUTED_VALUE"""),29.0)</f>
        <v>29</v>
      </c>
      <c r="J174" s="165">
        <f>IFERROR(__xludf.DUMMYFUNCTION("""COMPUTED_VALUE"""),-1.12431825783723)</f>
        <v>-1.124318258</v>
      </c>
      <c r="K174" s="165">
        <f>IFERROR(__xludf.DUMMYFUNCTION("""COMPUTED_VALUE"""),0.315697556494571)</f>
        <v>0.3156975565</v>
      </c>
      <c r="L174" s="165">
        <f>IFERROR(__xludf.DUMMYFUNCTION("""COMPUTED_VALUE"""),-1.44001581433181)</f>
        <v>-1.440015814</v>
      </c>
      <c r="M174" s="166">
        <f t="shared" si="2"/>
        <v>1.222444317</v>
      </c>
      <c r="N174" s="167">
        <f t="shared" si="3"/>
        <v>21.62877315</v>
      </c>
      <c r="O174" s="163">
        <f t="shared" ref="O174:Q174" si="178">rank(I174,I:I)</f>
        <v>855</v>
      </c>
      <c r="P174" s="163">
        <f t="shared" si="178"/>
        <v>2651</v>
      </c>
      <c r="Q174" s="163">
        <f t="shared" si="178"/>
        <v>900</v>
      </c>
      <c r="R174" s="163">
        <f>IFERROR(__xludf.DUMMYFUNCTION("RANK(M174,filter(M:M,C:C=C174))"),211.0)</f>
        <v>211</v>
      </c>
      <c r="S174" s="161" t="b">
        <f t="shared" si="5"/>
        <v>0</v>
      </c>
      <c r="T174" s="161" t="b">
        <f t="array" ref="T174">index('Query Tool'!B:B,match(H174,'Query Tool'!C:C,0))</f>
        <v>1</v>
      </c>
      <c r="U174" s="161" t="b">
        <f t="array" ref="U174">index('Query Tool'!B:B,match(C174,'Query Tool'!C:C,0))</f>
        <v>0</v>
      </c>
      <c r="V174" s="161" t="b">
        <f>F174&gt;='Query Tool'!C$32</f>
        <v>1</v>
      </c>
      <c r="W174" s="161" t="b">
        <f t="array" ref="W174">index(Dropdowns!B:B,match(I174,Dropdowns!A:A,0))</f>
        <v>1</v>
      </c>
      <c r="X174" s="161" t="b">
        <f t="array" ref="X174">index('Query Tool'!B:B,match(D174,'Query Tool'!C:C,0))</f>
        <v>1</v>
      </c>
      <c r="Y174" s="161" t="str">
        <f t="shared" si="6"/>
        <v>brookaa01,2013-14</v>
      </c>
      <c r="Z174" s="168">
        <f t="array" ref="Z174">iferror(index(I:I,match($A174&amp;","&amp;index('Year Conversion'!$A:$A,match($C174,'Year Conversion'!$B:$B,0)),$Y:$Y,0))-I174,"")</f>
        <v>1</v>
      </c>
      <c r="AA174" s="168">
        <f t="array" ref="AA174">iferror(index(J:J,match($A174&amp;","&amp;index('Year Conversion'!$A:$A,match($C174,'Year Conversion'!$B:$B,0)),$Y:$Y,0))-J174,"")</f>
        <v>0.3554020958</v>
      </c>
      <c r="AB174" s="168">
        <f t="array" ref="AB174">iferror(index(K:K,match($A174&amp;","&amp;index('Year Conversion'!$A:$A,match($C174,'Year Conversion'!$B:$B,0)),$Y:$Y,0))-K174,"")</f>
        <v>0.4697563112</v>
      </c>
      <c r="AC174" s="168" t="str">
        <f t="shared" si="7"/>
        <v>TOT,2013-14</v>
      </c>
    </row>
    <row r="175">
      <c r="A175" s="161" t="str">
        <f>IFERROR(__xludf.DUMMYFUNCTION("""COMPUTED_VALUE"""),"afflaar01")</f>
        <v>afflaar01</v>
      </c>
      <c r="B175" s="161" t="str">
        <f>IFERROR(__xludf.DUMMYFUNCTION("""COMPUTED_VALUE"""),"Arron Afflalo")</f>
        <v>Arron Afflalo</v>
      </c>
      <c r="C175" s="162" t="str">
        <f>IFERROR(__xludf.DUMMYFUNCTION("""COMPUTED_VALUE"""),"2013-14")</f>
        <v>2013-14</v>
      </c>
      <c r="D175" s="163" t="str">
        <f>IFERROR(__xludf.DUMMYFUNCTION("""COMPUTED_VALUE"""),"ORL")</f>
        <v>ORL</v>
      </c>
      <c r="E175" s="164" t="str">
        <f>IFERROR(__xludf.DUMMYFUNCTION("""COMPUTED_VALUE"""),"Shot Creator")</f>
        <v>Shot Creator</v>
      </c>
      <c r="F175" s="164">
        <f>IFERROR(__xludf.DUMMYFUNCTION("""COMPUTED_VALUE"""),2552.34166666667)</f>
        <v>2552.341667</v>
      </c>
      <c r="G175" s="163">
        <f>IFERROR(__xludf.DUMMYFUNCTION("""COMPUTED_VALUE"""),73.0)</f>
        <v>73</v>
      </c>
      <c r="H175" s="163" t="str">
        <f>IFERROR(__xludf.DUMMYFUNCTION("""COMPUTED_VALUE"""),"SG")</f>
        <v>SG</v>
      </c>
      <c r="I175" s="163">
        <f>IFERROR(__xludf.DUMMYFUNCTION("""COMPUTED_VALUE"""),28.0)</f>
        <v>28</v>
      </c>
      <c r="J175" s="165">
        <f>IFERROR(__xludf.DUMMYFUNCTION("""COMPUTED_VALUE"""),-1.88221960131601)</f>
        <v>-1.882219601</v>
      </c>
      <c r="K175" s="165">
        <f>IFERROR(__xludf.DUMMYFUNCTION("""COMPUTED_VALUE"""),-0.0245893466290427)</f>
        <v>-0.02458934663</v>
      </c>
      <c r="L175" s="165">
        <f>IFERROR(__xludf.DUMMYFUNCTION("""COMPUTED_VALUE"""),-1.85763025468697)</f>
        <v>-1.857630255</v>
      </c>
      <c r="M175" s="166">
        <f t="shared" si="2"/>
        <v>0.7118533887</v>
      </c>
      <c r="N175" s="167">
        <f t="shared" si="3"/>
        <v>34.96358447</v>
      </c>
      <c r="O175" s="163">
        <f t="shared" ref="O175:Q175" si="179">rank(I175,I:I)</f>
        <v>1090</v>
      </c>
      <c r="P175" s="163">
        <f t="shared" si="179"/>
        <v>3405</v>
      </c>
      <c r="Q175" s="163">
        <f t="shared" si="179"/>
        <v>1230</v>
      </c>
      <c r="R175" s="163">
        <f>IFERROR(__xludf.DUMMYFUNCTION("RANK(M175,filter(M:M,C:C=C175))"),250.0)</f>
        <v>250</v>
      </c>
      <c r="S175" s="161" t="b">
        <f t="shared" si="5"/>
        <v>0</v>
      </c>
      <c r="T175" s="161" t="b">
        <f t="array" ref="T175">index('Query Tool'!B:B,match(H175,'Query Tool'!C:C,0))</f>
        <v>1</v>
      </c>
      <c r="U175" s="161" t="b">
        <f t="array" ref="U175">index('Query Tool'!B:B,match(C175,'Query Tool'!C:C,0))</f>
        <v>0</v>
      </c>
      <c r="V175" s="161" t="b">
        <f>F175&gt;='Query Tool'!C$32</f>
        <v>1</v>
      </c>
      <c r="W175" s="161" t="b">
        <f t="array" ref="W175">index(Dropdowns!B:B,match(I175,Dropdowns!A:A,0))</f>
        <v>1</v>
      </c>
      <c r="X175" s="161" t="b">
        <f t="array" ref="X175">index('Query Tool'!B:B,match(D175,'Query Tool'!C:C,0))</f>
        <v>1</v>
      </c>
      <c r="Y175" s="161" t="str">
        <f t="shared" si="6"/>
        <v>afflaar01,2013-14</v>
      </c>
      <c r="Z175" s="168">
        <f t="array" ref="Z175">iferror(index(I:I,match($A175&amp;","&amp;index('Year Conversion'!$A:$A,match($C175,'Year Conversion'!$B:$B,0)),$Y:$Y,0))-I175,"")</f>
        <v>1</v>
      </c>
      <c r="AA175" s="168">
        <f t="array" ref="AA175">iferror(index(J:J,match($A175&amp;","&amp;index('Year Conversion'!$A:$A,match($C175,'Year Conversion'!$B:$B,0)),$Y:$Y,0))-J175,"")</f>
        <v>-0.1102738215</v>
      </c>
      <c r="AB175" s="168">
        <f t="array" ref="AB175">iferror(index(K:K,match($A175&amp;","&amp;index('Year Conversion'!$A:$A,match($C175,'Year Conversion'!$B:$B,0)),$Y:$Y,0))-K175,"")</f>
        <v>-0.6757508595</v>
      </c>
      <c r="AC175" s="168" t="str">
        <f t="shared" si="7"/>
        <v>ORL,2013-14</v>
      </c>
    </row>
    <row r="176">
      <c r="A176" s="161" t="str">
        <f>IFERROR(__xludf.DUMMYFUNCTION("""COMPUTED_VALUE"""),"splitti01")</f>
        <v>splitti01</v>
      </c>
      <c r="B176" s="161" t="str">
        <f>IFERROR(__xludf.DUMMYFUNCTION("""COMPUTED_VALUE"""),"Tiago Splitter")</f>
        <v>Tiago Splitter</v>
      </c>
      <c r="C176" s="162" t="str">
        <f>IFERROR(__xludf.DUMMYFUNCTION("""COMPUTED_VALUE"""),"2013-14")</f>
        <v>2013-14</v>
      </c>
      <c r="D176" s="163" t="str">
        <f>IFERROR(__xludf.DUMMYFUNCTION("""COMPUTED_VALUE"""),"SAS")</f>
        <v>SAS</v>
      </c>
      <c r="E176" s="164" t="str">
        <f>IFERROR(__xludf.DUMMYFUNCTION("""COMPUTED_VALUE"""),"Post Scorer")</f>
        <v>Post Scorer</v>
      </c>
      <c r="F176" s="164">
        <f>IFERROR(__xludf.DUMMYFUNCTION("""COMPUTED_VALUE"""),1271.165)</f>
        <v>1271.165</v>
      </c>
      <c r="G176" s="163">
        <f>IFERROR(__xludf.DUMMYFUNCTION("""COMPUTED_VALUE"""),59.0)</f>
        <v>59</v>
      </c>
      <c r="H176" s="163" t="str">
        <f>IFERROR(__xludf.DUMMYFUNCTION("""COMPUTED_VALUE"""),"C")</f>
        <v>C</v>
      </c>
      <c r="I176" s="163">
        <f>IFERROR(__xludf.DUMMYFUNCTION("""COMPUTED_VALUE"""),29.0)</f>
        <v>29</v>
      </c>
      <c r="J176" s="165">
        <f>IFERROR(__xludf.DUMMYFUNCTION("""COMPUTED_VALUE"""),1.58819765622539)</f>
        <v>1.588197656</v>
      </c>
      <c r="K176" s="165">
        <f>IFERROR(__xludf.DUMMYFUNCTION("""COMPUTED_VALUE"""),-0.756366874425268)</f>
        <v>-0.7563668744</v>
      </c>
      <c r="L176" s="165">
        <f>IFERROR(__xludf.DUMMYFUNCTION("""COMPUTED_VALUE"""),2.34456453065066)</f>
        <v>2.344564531</v>
      </c>
      <c r="M176" s="166">
        <f t="shared" si="2"/>
        <v>3.316059025</v>
      </c>
      <c r="N176" s="167">
        <f t="shared" si="3"/>
        <v>21.54516949</v>
      </c>
      <c r="O176" s="163">
        <f t="shared" ref="O176:Q176" si="180">rank(I176,I:I)</f>
        <v>855</v>
      </c>
      <c r="P176" s="163">
        <f t="shared" si="180"/>
        <v>435</v>
      </c>
      <c r="Q176" s="163">
        <f t="shared" si="180"/>
        <v>2490</v>
      </c>
      <c r="R176" s="163">
        <f>IFERROR(__xludf.DUMMYFUNCTION("RANK(M176,filter(M:M,C:C=C176))"),104.0)</f>
        <v>104</v>
      </c>
      <c r="S176" s="161" t="b">
        <f t="shared" si="5"/>
        <v>0</v>
      </c>
      <c r="T176" s="161" t="b">
        <f t="array" ref="T176">index('Query Tool'!B:B,match(H176,'Query Tool'!C:C,0))</f>
        <v>1</v>
      </c>
      <c r="U176" s="161" t="b">
        <f t="array" ref="U176">index('Query Tool'!B:B,match(C176,'Query Tool'!C:C,0))</f>
        <v>0</v>
      </c>
      <c r="V176" s="161" t="b">
        <f>F176&gt;='Query Tool'!C$32</f>
        <v>1</v>
      </c>
      <c r="W176" s="161" t="b">
        <f t="array" ref="W176">index(Dropdowns!B:B,match(I176,Dropdowns!A:A,0))</f>
        <v>1</v>
      </c>
      <c r="X176" s="161" t="b">
        <f t="array" ref="X176">index('Query Tool'!B:B,match(D176,'Query Tool'!C:C,0))</f>
        <v>1</v>
      </c>
      <c r="Y176" s="161" t="str">
        <f t="shared" si="6"/>
        <v>splitti01,2013-14</v>
      </c>
      <c r="Z176" s="168">
        <f t="array" ref="Z176">iferror(index(I:I,match($A176&amp;","&amp;index('Year Conversion'!$A:$A,match($C176,'Year Conversion'!$B:$B,0)),$Y:$Y,0))-I176,"")</f>
        <v>1</v>
      </c>
      <c r="AA176" s="168">
        <f t="array" ref="AA176">iferror(index(J:J,match($A176&amp;","&amp;index('Year Conversion'!$A:$A,match($C176,'Year Conversion'!$B:$B,0)),$Y:$Y,0))-J176,"")</f>
        <v>0.08336921223</v>
      </c>
      <c r="AB176" s="168">
        <f t="array" ref="AB176">iferror(index(K:K,match($A176&amp;","&amp;index('Year Conversion'!$A:$A,match($C176,'Year Conversion'!$B:$B,0)),$Y:$Y,0))-K176,"")</f>
        <v>1.020481304</v>
      </c>
      <c r="AC176" s="168" t="str">
        <f t="shared" si="7"/>
        <v>SAS,2013-14</v>
      </c>
    </row>
    <row r="177">
      <c r="A177" s="161" t="str">
        <f>IFERROR(__xludf.DUMMYFUNCTION("""COMPUTED_VALUE"""),"landrca01")</f>
        <v>landrca01</v>
      </c>
      <c r="B177" s="161" t="str">
        <f>IFERROR(__xludf.DUMMYFUNCTION("""COMPUTED_VALUE"""),"Carl Landry")</f>
        <v>Carl Landry</v>
      </c>
      <c r="C177" s="162" t="str">
        <f>IFERROR(__xludf.DUMMYFUNCTION("""COMPUTED_VALUE"""),"2013-14")</f>
        <v>2013-14</v>
      </c>
      <c r="D177" s="163" t="str">
        <f>IFERROR(__xludf.DUMMYFUNCTION("""COMPUTED_VALUE"""),"SAC")</f>
        <v>SAC</v>
      </c>
      <c r="E177" s="164" t="str">
        <f>IFERROR(__xludf.DUMMYFUNCTION("""COMPUTED_VALUE"""),"Post Scorer")</f>
        <v>Post Scorer</v>
      </c>
      <c r="F177" s="164">
        <f>IFERROR(__xludf.DUMMYFUNCTION("""COMPUTED_VALUE"""),232.966666666667)</f>
        <v>232.9666667</v>
      </c>
      <c r="G177" s="163">
        <f>IFERROR(__xludf.DUMMYFUNCTION("""COMPUTED_VALUE"""),18.0)</f>
        <v>18</v>
      </c>
      <c r="H177" s="163" t="str">
        <f>IFERROR(__xludf.DUMMYFUNCTION("""COMPUTED_VALUE"""),"PF")</f>
        <v>PF</v>
      </c>
      <c r="I177" s="163">
        <f>IFERROR(__xludf.DUMMYFUNCTION("""COMPUTED_VALUE"""),30.0)</f>
        <v>30</v>
      </c>
      <c r="J177" s="165">
        <f>IFERROR(__xludf.DUMMYFUNCTION("""COMPUTED_VALUE"""),-2.11127320937243)</f>
        <v>-2.111273209</v>
      </c>
      <c r="K177" s="165">
        <f>IFERROR(__xludf.DUMMYFUNCTION("""COMPUTED_VALUE"""),-1.64848759177378)</f>
        <v>-1.648487592</v>
      </c>
      <c r="L177" s="165">
        <f>IFERROR(__xludf.DUMMYFUNCTION("""COMPUTED_VALUE"""),-0.462785617598654)</f>
        <v>-0.4627856176</v>
      </c>
      <c r="M177" s="166">
        <f t="shared" si="2"/>
        <v>0.02959071246</v>
      </c>
      <c r="N177" s="167">
        <f t="shared" si="3"/>
        <v>12.94259259</v>
      </c>
      <c r="O177" s="163">
        <f t="shared" ref="O177:Q177" si="181">rank(I177,I:I)</f>
        <v>655</v>
      </c>
      <c r="P177" s="163">
        <f t="shared" si="181"/>
        <v>3563</v>
      </c>
      <c r="Q177" s="163">
        <f t="shared" si="181"/>
        <v>3481</v>
      </c>
      <c r="R177" s="163">
        <f>IFERROR(__xludf.DUMMYFUNCTION("RANK(M177,filter(M:M,C:C=C177))"),403.0)</f>
        <v>403</v>
      </c>
      <c r="S177" s="161" t="b">
        <f t="shared" si="5"/>
        <v>0</v>
      </c>
      <c r="T177" s="161" t="b">
        <f t="array" ref="T177">index('Query Tool'!B:B,match(H177,'Query Tool'!C:C,0))</f>
        <v>1</v>
      </c>
      <c r="U177" s="161" t="b">
        <f t="array" ref="U177">index('Query Tool'!B:B,match(C177,'Query Tool'!C:C,0))</f>
        <v>0</v>
      </c>
      <c r="V177" s="161" t="b">
        <f>F177&gt;='Query Tool'!C$32</f>
        <v>0</v>
      </c>
      <c r="W177" s="161" t="b">
        <f t="array" ref="W177">index(Dropdowns!B:B,match(I177,Dropdowns!A:A,0))</f>
        <v>1</v>
      </c>
      <c r="X177" s="161" t="b">
        <f t="array" ref="X177">index('Query Tool'!B:B,match(D177,'Query Tool'!C:C,0))</f>
        <v>1</v>
      </c>
      <c r="Y177" s="161" t="str">
        <f t="shared" si="6"/>
        <v>landrca01,2013-14</v>
      </c>
      <c r="Z177" s="168">
        <f t="array" ref="Z177">iferror(index(I:I,match($A177&amp;","&amp;index('Year Conversion'!$A:$A,match($C177,'Year Conversion'!$B:$B,0)),$Y:$Y,0))-I177,"")</f>
        <v>1</v>
      </c>
      <c r="AA177" s="168">
        <f t="array" ref="AA177">iferror(index(J:J,match($A177&amp;","&amp;index('Year Conversion'!$A:$A,match($C177,'Year Conversion'!$B:$B,0)),$Y:$Y,0))-J177,"")</f>
        <v>-0.1946504691</v>
      </c>
      <c r="AB177" s="168">
        <f t="array" ref="AB177">iferror(index(K:K,match($A177&amp;","&amp;index('Year Conversion'!$A:$A,match($C177,'Year Conversion'!$B:$B,0)),$Y:$Y,0))-K177,"")</f>
        <v>0.4748445186</v>
      </c>
      <c r="AC177" s="168" t="str">
        <f t="shared" si="7"/>
        <v>SAC,2013-14</v>
      </c>
    </row>
    <row r="178">
      <c r="A178" s="161" t="str">
        <f>IFERROR(__xludf.DUMMYFUNCTION("""COMPUTED_VALUE"""),"davisgl01")</f>
        <v>davisgl01</v>
      </c>
      <c r="B178" s="161" t="str">
        <f>IFERROR(__xludf.DUMMYFUNCTION("""COMPUTED_VALUE"""),"Glen Davis")</f>
        <v>Glen Davis</v>
      </c>
      <c r="C178" s="162" t="str">
        <f>IFERROR(__xludf.DUMMYFUNCTION("""COMPUTED_VALUE"""),"2013-14")</f>
        <v>2013-14</v>
      </c>
      <c r="D178" s="163" t="str">
        <f>IFERROR(__xludf.DUMMYFUNCTION("""COMPUTED_VALUE"""),"TOT")</f>
        <v>TOT</v>
      </c>
      <c r="E178" s="164" t="str">
        <f>IFERROR(__xludf.DUMMYFUNCTION("""COMPUTED_VALUE"""),"Post Scorer")</f>
        <v>Post Scorer</v>
      </c>
      <c r="F178" s="164">
        <f>IFERROR(__xludf.DUMMYFUNCTION("""COMPUTED_VALUE"""),1661.88)</f>
        <v>1661.88</v>
      </c>
      <c r="G178" s="163">
        <f>IFERROR(__xludf.DUMMYFUNCTION("""COMPUTED_VALUE"""),68.0)</f>
        <v>68</v>
      </c>
      <c r="H178" s="163" t="str">
        <f>IFERROR(__xludf.DUMMYFUNCTION("""COMPUTED_VALUE"""),"PF")</f>
        <v>PF</v>
      </c>
      <c r="I178" s="163">
        <f>IFERROR(__xludf.DUMMYFUNCTION("""COMPUTED_VALUE"""),28.0)</f>
        <v>28</v>
      </c>
      <c r="J178" s="165">
        <f>IFERROR(__xludf.DUMMYFUNCTION("""COMPUTED_VALUE"""),-1.29060143267955)</f>
        <v>-1.290601433</v>
      </c>
      <c r="K178" s="165">
        <f>IFERROR(__xludf.DUMMYFUNCTION("""COMPUTED_VALUE"""),-1.87146230690494)</f>
        <v>-1.871462307</v>
      </c>
      <c r="L178" s="165">
        <f>IFERROR(__xludf.DUMMYFUNCTION("""COMPUTED_VALUE"""),0.580860874225388)</f>
        <v>0.5808608742</v>
      </c>
      <c r="M178" s="166">
        <f t="shared" si="2"/>
        <v>1.11938271</v>
      </c>
      <c r="N178" s="167">
        <f t="shared" si="3"/>
        <v>24.43941176</v>
      </c>
      <c r="O178" s="163">
        <f t="shared" ref="O178:Q178" si="182">rank(I178,I:I)</f>
        <v>1090</v>
      </c>
      <c r="P178" s="163">
        <f t="shared" si="182"/>
        <v>2852</v>
      </c>
      <c r="Q178" s="163">
        <f t="shared" si="182"/>
        <v>3625</v>
      </c>
      <c r="R178" s="163">
        <f>IFERROR(__xludf.DUMMYFUNCTION("RANK(M178,filter(M:M,C:C=C178))"),216.0)</f>
        <v>216</v>
      </c>
      <c r="S178" s="161" t="b">
        <f t="shared" si="5"/>
        <v>0</v>
      </c>
      <c r="T178" s="161" t="b">
        <f t="array" ref="T178">index('Query Tool'!B:B,match(H178,'Query Tool'!C:C,0))</f>
        <v>1</v>
      </c>
      <c r="U178" s="161" t="b">
        <f t="array" ref="U178">index('Query Tool'!B:B,match(C178,'Query Tool'!C:C,0))</f>
        <v>0</v>
      </c>
      <c r="V178" s="161" t="b">
        <f>F178&gt;='Query Tool'!C$32</f>
        <v>1</v>
      </c>
      <c r="W178" s="161" t="b">
        <f t="array" ref="W178">index(Dropdowns!B:B,match(I178,Dropdowns!A:A,0))</f>
        <v>1</v>
      </c>
      <c r="X178" s="161" t="b">
        <f t="array" ref="X178">index('Query Tool'!B:B,match(D178,'Query Tool'!C:C,0))</f>
        <v>1</v>
      </c>
      <c r="Y178" s="161" t="str">
        <f t="shared" si="6"/>
        <v>davisgl01,2013-14</v>
      </c>
      <c r="Z178" s="168">
        <f t="array" ref="Z178">iferror(index(I:I,match($A178&amp;","&amp;index('Year Conversion'!$A:$A,match($C178,'Year Conversion'!$B:$B,0)),$Y:$Y,0))-I178,"")</f>
        <v>1</v>
      </c>
      <c r="AA178" s="168">
        <f t="array" ref="AA178">iferror(index(J:J,match($A178&amp;","&amp;index('Year Conversion'!$A:$A,match($C178,'Year Conversion'!$B:$B,0)),$Y:$Y,0))-J178,"")</f>
        <v>-0.2263646001</v>
      </c>
      <c r="AB178" s="168">
        <f t="array" ref="AB178">iferror(index(K:K,match($A178&amp;","&amp;index('Year Conversion'!$A:$A,match($C178,'Year Conversion'!$B:$B,0)),$Y:$Y,0))-K178,"")</f>
        <v>-0.4443366561</v>
      </c>
      <c r="AC178" s="168" t="str">
        <f t="shared" si="7"/>
        <v>TOT,2013-14</v>
      </c>
    </row>
    <row r="179">
      <c r="A179" s="161" t="str">
        <f>IFERROR(__xludf.DUMMYFUNCTION("""COMPUTED_VALUE"""),"mcrobjo01")</f>
        <v>mcrobjo01</v>
      </c>
      <c r="B179" s="161" t="str">
        <f>IFERROR(__xludf.DUMMYFUNCTION("""COMPUTED_VALUE"""),"Josh McRoberts")</f>
        <v>Josh McRoberts</v>
      </c>
      <c r="C179" s="162" t="str">
        <f>IFERROR(__xludf.DUMMYFUNCTION("""COMPUTED_VALUE"""),"2013-14")</f>
        <v>2013-14</v>
      </c>
      <c r="D179" s="163" t="str">
        <f>IFERROR(__xludf.DUMMYFUNCTION("""COMPUTED_VALUE"""),"CHA")</f>
        <v>CHA</v>
      </c>
      <c r="E179" s="164" t="str">
        <f>IFERROR(__xludf.DUMMYFUNCTION("""COMPUTED_VALUE"""),"Stretch Big")</f>
        <v>Stretch Big</v>
      </c>
      <c r="F179" s="164">
        <f>IFERROR(__xludf.DUMMYFUNCTION("""COMPUTED_VALUE"""),2360.04833333333)</f>
        <v>2360.048333</v>
      </c>
      <c r="G179" s="163">
        <f>IFERROR(__xludf.DUMMYFUNCTION("""COMPUTED_VALUE"""),78.0)</f>
        <v>78</v>
      </c>
      <c r="H179" s="163" t="str">
        <f>IFERROR(__xludf.DUMMYFUNCTION("""COMPUTED_VALUE"""),"PF")</f>
        <v>PF</v>
      </c>
      <c r="I179" s="163">
        <f>IFERROR(__xludf.DUMMYFUNCTION("""COMPUTED_VALUE"""),26.0)</f>
        <v>26</v>
      </c>
      <c r="J179" s="165">
        <f>IFERROR(__xludf.DUMMYFUNCTION("""COMPUTED_VALUE"""),1.31381423863332)</f>
        <v>1.313814239</v>
      </c>
      <c r="K179" s="165">
        <f>IFERROR(__xludf.DUMMYFUNCTION("""COMPUTED_VALUE"""),0.471342858866656)</f>
        <v>0.4713428589</v>
      </c>
      <c r="L179" s="165">
        <f>IFERROR(__xludf.DUMMYFUNCTION("""COMPUTED_VALUE"""),0.842471379766668)</f>
        <v>0.8424713798</v>
      </c>
      <c r="M179" s="166">
        <f t="shared" si="2"/>
        <v>5.723846428</v>
      </c>
      <c r="N179" s="167">
        <f t="shared" si="3"/>
        <v>30.25702991</v>
      </c>
      <c r="O179" s="163">
        <f t="shared" ref="O179:Q179" si="183">rank(I179,I:I)</f>
        <v>1665</v>
      </c>
      <c r="P179" s="163">
        <f t="shared" si="183"/>
        <v>517</v>
      </c>
      <c r="Q179" s="163">
        <f t="shared" si="183"/>
        <v>783</v>
      </c>
      <c r="R179" s="163">
        <f>IFERROR(__xludf.DUMMYFUNCTION("RANK(M179,filter(M:M,C:C=C179))"),55.0)</f>
        <v>55</v>
      </c>
      <c r="S179" s="161" t="b">
        <f t="shared" si="5"/>
        <v>0</v>
      </c>
      <c r="T179" s="161" t="b">
        <f t="array" ref="T179">index('Query Tool'!B:B,match(H179,'Query Tool'!C:C,0))</f>
        <v>1</v>
      </c>
      <c r="U179" s="161" t="b">
        <f t="array" ref="U179">index('Query Tool'!B:B,match(C179,'Query Tool'!C:C,0))</f>
        <v>0</v>
      </c>
      <c r="V179" s="161" t="b">
        <f>F179&gt;='Query Tool'!C$32</f>
        <v>1</v>
      </c>
      <c r="W179" s="161" t="b">
        <f t="array" ref="W179">index(Dropdowns!B:B,match(I179,Dropdowns!A:A,0))</f>
        <v>1</v>
      </c>
      <c r="X179" s="161" t="b">
        <f t="array" ref="X179">index('Query Tool'!B:B,match(D179,'Query Tool'!C:C,0))</f>
        <v>1</v>
      </c>
      <c r="Y179" s="161" t="str">
        <f t="shared" si="6"/>
        <v>mcrobjo01,2013-14</v>
      </c>
      <c r="Z179" s="168">
        <f t="array" ref="Z179">iferror(index(I:I,match($A179&amp;","&amp;index('Year Conversion'!$A:$A,match($C179,'Year Conversion'!$B:$B,0)),$Y:$Y,0))-I179,"")</f>
        <v>1</v>
      </c>
      <c r="AA179" s="168">
        <f t="array" ref="AA179">iferror(index(J:J,match($A179&amp;","&amp;index('Year Conversion'!$A:$A,match($C179,'Year Conversion'!$B:$B,0)),$Y:$Y,0))-J179,"")</f>
        <v>-2.333584964</v>
      </c>
      <c r="AB179" s="168">
        <f t="array" ref="AB179">iferror(index(K:K,match($A179&amp;","&amp;index('Year Conversion'!$A:$A,match($C179,'Year Conversion'!$B:$B,0)),$Y:$Y,0))-K179,"")</f>
        <v>-1.690703768</v>
      </c>
      <c r="AC179" s="168" t="str">
        <f t="shared" si="7"/>
        <v>CHA,2013-14</v>
      </c>
    </row>
    <row r="180">
      <c r="A180" s="161" t="str">
        <f>IFERROR(__xludf.DUMMYFUNCTION("""COMPUTED_VALUE"""),"gasolma01")</f>
        <v>gasolma01</v>
      </c>
      <c r="B180" s="161" t="str">
        <f>IFERROR(__xludf.DUMMYFUNCTION("""COMPUTED_VALUE"""),"Marc Gasol")</f>
        <v>Marc Gasol</v>
      </c>
      <c r="C180" s="162" t="str">
        <f>IFERROR(__xludf.DUMMYFUNCTION("""COMPUTED_VALUE"""),"2013-14")</f>
        <v>2013-14</v>
      </c>
      <c r="D180" s="163" t="str">
        <f>IFERROR(__xludf.DUMMYFUNCTION("""COMPUTED_VALUE"""),"MEM")</f>
        <v>MEM</v>
      </c>
      <c r="E180" s="164" t="str">
        <f>IFERROR(__xludf.DUMMYFUNCTION("""COMPUTED_VALUE"""),"Post Scorer")</f>
        <v>Post Scorer</v>
      </c>
      <c r="F180" s="164">
        <f>IFERROR(__xludf.DUMMYFUNCTION("""COMPUTED_VALUE"""),1970.23166666667)</f>
        <v>1970.231667</v>
      </c>
      <c r="G180" s="163">
        <f>IFERROR(__xludf.DUMMYFUNCTION("""COMPUTED_VALUE"""),59.0)</f>
        <v>59</v>
      </c>
      <c r="H180" s="163" t="str">
        <f>IFERROR(__xludf.DUMMYFUNCTION("""COMPUTED_VALUE"""),"C")</f>
        <v>C</v>
      </c>
      <c r="I180" s="163">
        <f>IFERROR(__xludf.DUMMYFUNCTION("""COMPUTED_VALUE"""),29.0)</f>
        <v>29</v>
      </c>
      <c r="J180" s="165">
        <f>IFERROR(__xludf.DUMMYFUNCTION("""COMPUTED_VALUE"""),2.22958802571257)</f>
        <v>2.229588026</v>
      </c>
      <c r="K180" s="165">
        <f>IFERROR(__xludf.DUMMYFUNCTION("""COMPUTED_VALUE"""),0.0358579557538783)</f>
        <v>0.03585795575</v>
      </c>
      <c r="L180" s="165">
        <f>IFERROR(__xludf.DUMMYFUNCTION("""COMPUTED_VALUE"""),2.19373006995869)</f>
        <v>2.19373007</v>
      </c>
      <c r="M180" s="166">
        <f t="shared" si="2"/>
        <v>5.978740693</v>
      </c>
      <c r="N180" s="167">
        <f t="shared" si="3"/>
        <v>33.39375706</v>
      </c>
      <c r="O180" s="163">
        <f t="shared" ref="O180:Q180" si="184">rank(I180,I:I)</f>
        <v>855</v>
      </c>
      <c r="P180" s="163">
        <f t="shared" si="184"/>
        <v>266</v>
      </c>
      <c r="Q180" s="163">
        <f t="shared" si="184"/>
        <v>1145</v>
      </c>
      <c r="R180" s="163">
        <f>IFERROR(__xludf.DUMMYFUNCTION("RANK(M180,filter(M:M,C:C=C180))"),49.0)</f>
        <v>49</v>
      </c>
      <c r="S180" s="161" t="b">
        <f t="shared" si="5"/>
        <v>0</v>
      </c>
      <c r="T180" s="161" t="b">
        <f t="array" ref="T180">index('Query Tool'!B:B,match(H180,'Query Tool'!C:C,0))</f>
        <v>1</v>
      </c>
      <c r="U180" s="161" t="b">
        <f t="array" ref="U180">index('Query Tool'!B:B,match(C180,'Query Tool'!C:C,0))</f>
        <v>0</v>
      </c>
      <c r="V180" s="161" t="b">
        <f>F180&gt;='Query Tool'!C$32</f>
        <v>1</v>
      </c>
      <c r="W180" s="161" t="b">
        <f t="array" ref="W180">index(Dropdowns!B:B,match(I180,Dropdowns!A:A,0))</f>
        <v>1</v>
      </c>
      <c r="X180" s="161" t="b">
        <f t="array" ref="X180">index('Query Tool'!B:B,match(D180,'Query Tool'!C:C,0))</f>
        <v>1</v>
      </c>
      <c r="Y180" s="161" t="str">
        <f t="shared" si="6"/>
        <v>gasolma01,2013-14</v>
      </c>
      <c r="Z180" s="168">
        <f t="array" ref="Z180">iferror(index(I:I,match($A180&amp;","&amp;index('Year Conversion'!$A:$A,match($C180,'Year Conversion'!$B:$B,0)),$Y:$Y,0))-I180,"")</f>
        <v>1</v>
      </c>
      <c r="AA180" s="168">
        <f t="array" ref="AA180">iferror(index(J:J,match($A180&amp;","&amp;index('Year Conversion'!$A:$A,match($C180,'Year Conversion'!$B:$B,0)),$Y:$Y,0))-J180,"")</f>
        <v>1.333503835</v>
      </c>
      <c r="AB180" s="168">
        <f t="array" ref="AB180">iferror(index(K:K,match($A180&amp;","&amp;index('Year Conversion'!$A:$A,match($C180,'Year Conversion'!$B:$B,0)),$Y:$Y,0))-K180,"")</f>
        <v>1.507879038</v>
      </c>
      <c r="AC180" s="168" t="str">
        <f t="shared" si="7"/>
        <v>MEM,2013-14</v>
      </c>
    </row>
    <row r="181">
      <c r="A181" s="161" t="str">
        <f>IFERROR(__xludf.DUMMYFUNCTION("""COMPUTED_VALUE"""),"grayaa01")</f>
        <v>grayaa01</v>
      </c>
      <c r="B181" s="161" t="str">
        <f>IFERROR(__xludf.DUMMYFUNCTION("""COMPUTED_VALUE"""),"Aaron Gray")</f>
        <v>Aaron Gray</v>
      </c>
      <c r="C181" s="162" t="str">
        <f>IFERROR(__xludf.DUMMYFUNCTION("""COMPUTED_VALUE"""),"2013-14")</f>
        <v>2013-14</v>
      </c>
      <c r="D181" s="163" t="str">
        <f>IFERROR(__xludf.DUMMYFUNCTION("""COMPUTED_VALUE"""),"TOT")</f>
        <v>TOT</v>
      </c>
      <c r="E181" s="164" t="str">
        <f>IFERROR(__xludf.DUMMYFUNCTION("""COMPUTED_VALUE"""),"Post Scorer")</f>
        <v>Post Scorer</v>
      </c>
      <c r="F181" s="164">
        <f>IFERROR(__xludf.DUMMYFUNCTION("""COMPUTED_VALUE"""),354.375)</f>
        <v>354.375</v>
      </c>
      <c r="G181" s="163">
        <f>IFERROR(__xludf.DUMMYFUNCTION("""COMPUTED_VALUE"""),37.0)</f>
        <v>37</v>
      </c>
      <c r="H181" s="163" t="str">
        <f>IFERROR(__xludf.DUMMYFUNCTION("""COMPUTED_VALUE"""),"C")</f>
        <v>C</v>
      </c>
      <c r="I181" s="163">
        <f>IFERROR(__xludf.DUMMYFUNCTION("""COMPUTED_VALUE"""),29.0)</f>
        <v>29</v>
      </c>
      <c r="J181" s="165">
        <f>IFERROR(__xludf.DUMMYFUNCTION("""COMPUTED_VALUE"""),-1.96480555619144)</f>
        <v>-1.964805556</v>
      </c>
      <c r="K181" s="165">
        <f>IFERROR(__xludf.DUMMYFUNCTION("""COMPUTED_VALUE"""),-2.45159261232376)</f>
        <v>-2.451592612</v>
      </c>
      <c r="L181" s="165">
        <f>IFERROR(__xludf.DUMMYFUNCTION("""COMPUTED_VALUE"""),0.486787056132318)</f>
        <v>0.4867870561</v>
      </c>
      <c r="M181" s="166">
        <f t="shared" si="2"/>
        <v>0.07940601016</v>
      </c>
      <c r="N181" s="167">
        <f t="shared" si="3"/>
        <v>9.577702703</v>
      </c>
      <c r="O181" s="163">
        <f t="shared" ref="O181:Q181" si="185">rank(I181,I:I)</f>
        <v>855</v>
      </c>
      <c r="P181" s="163">
        <f t="shared" si="185"/>
        <v>3452</v>
      </c>
      <c r="Q181" s="163">
        <f t="shared" si="185"/>
        <v>3879</v>
      </c>
      <c r="R181" s="163">
        <f>IFERROR(__xludf.DUMMYFUNCTION("RANK(M181,filter(M:M,C:C=C181))"),366.0)</f>
        <v>366</v>
      </c>
      <c r="S181" s="161" t="b">
        <f t="shared" si="5"/>
        <v>0</v>
      </c>
      <c r="T181" s="161" t="b">
        <f t="array" ref="T181">index('Query Tool'!B:B,match(H181,'Query Tool'!C:C,0))</f>
        <v>1</v>
      </c>
      <c r="U181" s="161" t="b">
        <f t="array" ref="U181">index('Query Tool'!B:B,match(C181,'Query Tool'!C:C,0))</f>
        <v>0</v>
      </c>
      <c r="V181" s="161" t="b">
        <f>F181&gt;='Query Tool'!C$32</f>
        <v>0</v>
      </c>
      <c r="W181" s="161" t="b">
        <f t="array" ref="W181">index(Dropdowns!B:B,match(I181,Dropdowns!A:A,0))</f>
        <v>1</v>
      </c>
      <c r="X181" s="161" t="b">
        <f t="array" ref="X181">index('Query Tool'!B:B,match(D181,'Query Tool'!C:C,0))</f>
        <v>1</v>
      </c>
      <c r="Y181" s="161" t="str">
        <f t="shared" si="6"/>
        <v>grayaa01,2013-14</v>
      </c>
      <c r="Z181" s="168" t="str">
        <f t="array" ref="Z181">iferror(index(I:I,match($A181&amp;","&amp;index('Year Conversion'!$A:$A,match($C181,'Year Conversion'!$B:$B,0)),$Y:$Y,0))-I181,"")</f>
        <v/>
      </c>
      <c r="AA181" s="168" t="str">
        <f t="array" ref="AA181">iferror(index(J:J,match($A181&amp;","&amp;index('Year Conversion'!$A:$A,match($C181,'Year Conversion'!$B:$B,0)),$Y:$Y,0))-J181,"")</f>
        <v/>
      </c>
      <c r="AB181" s="168" t="str">
        <f t="array" ref="AB181">iferror(index(K:K,match($A181&amp;","&amp;index('Year Conversion'!$A:$A,match($C181,'Year Conversion'!$B:$B,0)),$Y:$Y,0))-K181,"")</f>
        <v/>
      </c>
      <c r="AC181" s="168" t="str">
        <f t="shared" si="7"/>
        <v>TOT,2013-14</v>
      </c>
    </row>
    <row r="182">
      <c r="A182" s="161" t="str">
        <f>IFERROR(__xludf.DUMMYFUNCTION("""COMPUTED_VALUE"""),"sessira01")</f>
        <v>sessira01</v>
      </c>
      <c r="B182" s="161" t="str">
        <f>IFERROR(__xludf.DUMMYFUNCTION("""COMPUTED_VALUE"""),"Ramon Sessions")</f>
        <v>Ramon Sessions</v>
      </c>
      <c r="C182" s="162" t="str">
        <f>IFERROR(__xludf.DUMMYFUNCTION("""COMPUTED_VALUE"""),"2013-14")</f>
        <v>2013-14</v>
      </c>
      <c r="D182" s="163" t="str">
        <f>IFERROR(__xludf.DUMMYFUNCTION("""COMPUTED_VALUE"""),"TOT")</f>
        <v>TOT</v>
      </c>
      <c r="E182" s="164" t="str">
        <f>IFERROR(__xludf.DUMMYFUNCTION("""COMPUTED_VALUE"""),"Slasher")</f>
        <v>Slasher</v>
      </c>
      <c r="F182" s="164">
        <f>IFERROR(__xludf.DUMMYFUNCTION("""COMPUTED_VALUE"""),2214.03666666667)</f>
        <v>2214.036667</v>
      </c>
      <c r="G182" s="163">
        <f>IFERROR(__xludf.DUMMYFUNCTION("""COMPUTED_VALUE"""),83.0)</f>
        <v>83</v>
      </c>
      <c r="H182" s="163" t="str">
        <f>IFERROR(__xludf.DUMMYFUNCTION("""COMPUTED_VALUE"""),"PG")</f>
        <v>PG</v>
      </c>
      <c r="I182" s="163">
        <f>IFERROR(__xludf.DUMMYFUNCTION("""COMPUTED_VALUE"""),27.0)</f>
        <v>27</v>
      </c>
      <c r="J182" s="165">
        <f>IFERROR(__xludf.DUMMYFUNCTION("""COMPUTED_VALUE"""),-1.09410785351444)</f>
        <v>-1.094107854</v>
      </c>
      <c r="K182" s="165">
        <f>IFERROR(__xludf.DUMMYFUNCTION("""COMPUTED_VALUE"""),0.876409029718617)</f>
        <v>0.8764090297</v>
      </c>
      <c r="L182" s="165">
        <f>IFERROR(__xludf.DUMMYFUNCTION("""COMPUTED_VALUE"""),-1.97051688323306)</f>
        <v>-1.970516883</v>
      </c>
      <c r="M182" s="166">
        <f t="shared" si="2"/>
        <v>1.782863007</v>
      </c>
      <c r="N182" s="167">
        <f t="shared" si="3"/>
        <v>26.67514056</v>
      </c>
      <c r="O182" s="163">
        <f t="shared" ref="O182:Q182" si="186">rank(I182,I:I)</f>
        <v>1366</v>
      </c>
      <c r="P182" s="163">
        <f t="shared" si="186"/>
        <v>2606</v>
      </c>
      <c r="Q182" s="163">
        <f t="shared" si="186"/>
        <v>563</v>
      </c>
      <c r="R182" s="163">
        <f>IFERROR(__xludf.DUMMYFUNCTION("RANK(M182,filter(M:M,C:C=C182))"),165.0)</f>
        <v>165</v>
      </c>
      <c r="S182" s="161" t="b">
        <f t="shared" si="5"/>
        <v>0</v>
      </c>
      <c r="T182" s="161" t="b">
        <f t="array" ref="T182">index('Query Tool'!B:B,match(H182,'Query Tool'!C:C,0))</f>
        <v>1</v>
      </c>
      <c r="U182" s="161" t="b">
        <f t="array" ref="U182">index('Query Tool'!B:B,match(C182,'Query Tool'!C:C,0))</f>
        <v>0</v>
      </c>
      <c r="V182" s="161" t="b">
        <f>F182&gt;='Query Tool'!C$32</f>
        <v>1</v>
      </c>
      <c r="W182" s="161" t="b">
        <f t="array" ref="W182">index(Dropdowns!B:B,match(I182,Dropdowns!A:A,0))</f>
        <v>1</v>
      </c>
      <c r="X182" s="161" t="b">
        <f t="array" ref="X182">index('Query Tool'!B:B,match(D182,'Query Tool'!C:C,0))</f>
        <v>1</v>
      </c>
      <c r="Y182" s="161" t="str">
        <f t="shared" si="6"/>
        <v>sessira01,2013-14</v>
      </c>
      <c r="Z182" s="168">
        <f t="array" ref="Z182">iferror(index(I:I,match($A182&amp;","&amp;index('Year Conversion'!$A:$A,match($C182,'Year Conversion'!$B:$B,0)),$Y:$Y,0))-I182,"")</f>
        <v>1</v>
      </c>
      <c r="AA182" s="168">
        <f t="array" ref="AA182">iferror(index(J:J,match($A182&amp;","&amp;index('Year Conversion'!$A:$A,match($C182,'Year Conversion'!$B:$B,0)),$Y:$Y,0))-J182,"")</f>
        <v>-1.275826273</v>
      </c>
      <c r="AB182" s="168">
        <f t="array" ref="AB182">iferror(index(K:K,match($A182&amp;","&amp;index('Year Conversion'!$A:$A,match($C182,'Year Conversion'!$B:$B,0)),$Y:$Y,0))-K182,"")</f>
        <v>-2.712511585</v>
      </c>
      <c r="AC182" s="168" t="str">
        <f t="shared" si="7"/>
        <v>TOT,2013-14</v>
      </c>
    </row>
    <row r="183">
      <c r="A183" s="161" t="str">
        <f>IFERROR(__xludf.DUMMYFUNCTION("""COMPUTED_VALUE"""),"anthojo01")</f>
        <v>anthojo01</v>
      </c>
      <c r="B183" s="161" t="str">
        <f>IFERROR(__xludf.DUMMYFUNCTION("""COMPUTED_VALUE"""),"Joel Anthony")</f>
        <v>Joel Anthony</v>
      </c>
      <c r="C183" s="162" t="str">
        <f>IFERROR(__xludf.DUMMYFUNCTION("""COMPUTED_VALUE"""),"2013-14")</f>
        <v>2013-14</v>
      </c>
      <c r="D183" s="163" t="str">
        <f>IFERROR(__xludf.DUMMYFUNCTION("""COMPUTED_VALUE"""),"TOT")</f>
        <v>TOT</v>
      </c>
      <c r="E183" s="164" t="str">
        <f>IFERROR(__xludf.DUMMYFUNCTION("""COMPUTED_VALUE"""),"Roll + Cut Big")</f>
        <v>Roll + Cut Big</v>
      </c>
      <c r="F183" s="164">
        <f>IFERROR(__xludf.DUMMYFUNCTION("""COMPUTED_VALUE"""),186.135)</f>
        <v>186.135</v>
      </c>
      <c r="G183" s="163">
        <f>IFERROR(__xludf.DUMMYFUNCTION("""COMPUTED_VALUE"""),33.0)</f>
        <v>33</v>
      </c>
      <c r="H183" s="163" t="str">
        <f>IFERROR(__xludf.DUMMYFUNCTION("""COMPUTED_VALUE"""),"C")</f>
        <v>C</v>
      </c>
      <c r="I183" s="163">
        <f>IFERROR(__xludf.DUMMYFUNCTION("""COMPUTED_VALUE"""),31.0)</f>
        <v>31</v>
      </c>
      <c r="J183" s="165">
        <f>IFERROR(__xludf.DUMMYFUNCTION("""COMPUTED_VALUE"""),-0.9505711162565)</f>
        <v>-0.9505711163</v>
      </c>
      <c r="K183" s="165">
        <f>IFERROR(__xludf.DUMMYFUNCTION("""COMPUTED_VALUE"""),-0.933330620145527)</f>
        <v>-0.9333306201</v>
      </c>
      <c r="L183" s="165">
        <f>IFERROR(__xludf.DUMMYFUNCTION("""COMPUTED_VALUE"""),-0.0172404961109733)</f>
        <v>-0.01724049611</v>
      </c>
      <c r="M183" s="166">
        <f t="shared" si="2"/>
        <v>0.1678201602</v>
      </c>
      <c r="N183" s="167">
        <f t="shared" si="3"/>
        <v>5.640454545</v>
      </c>
      <c r="O183" s="163">
        <f t="shared" ref="O183:Q183" si="187">rank(I183,I:I)</f>
        <v>490</v>
      </c>
      <c r="P183" s="163">
        <f t="shared" si="187"/>
        <v>2451</v>
      </c>
      <c r="Q183" s="163">
        <f t="shared" si="187"/>
        <v>2730</v>
      </c>
      <c r="R183" s="163">
        <f>IFERROR(__xludf.DUMMYFUNCTION("RANK(M183,filter(M:M,C:C=C183))"),335.0)</f>
        <v>335</v>
      </c>
      <c r="S183" s="161" t="b">
        <f t="shared" si="5"/>
        <v>0</v>
      </c>
      <c r="T183" s="161" t="b">
        <f t="array" ref="T183">index('Query Tool'!B:B,match(H183,'Query Tool'!C:C,0))</f>
        <v>1</v>
      </c>
      <c r="U183" s="161" t="b">
        <f t="array" ref="U183">index('Query Tool'!B:B,match(C183,'Query Tool'!C:C,0))</f>
        <v>0</v>
      </c>
      <c r="V183" s="161" t="b">
        <f>F183&gt;='Query Tool'!C$32</f>
        <v>0</v>
      </c>
      <c r="W183" s="161" t="b">
        <f t="array" ref="W183">index(Dropdowns!B:B,match(I183,Dropdowns!A:A,0))</f>
        <v>1</v>
      </c>
      <c r="X183" s="161" t="b">
        <f t="array" ref="X183">index('Query Tool'!B:B,match(D183,'Query Tool'!C:C,0))</f>
        <v>1</v>
      </c>
      <c r="Y183" s="161" t="str">
        <f t="shared" si="6"/>
        <v>anthojo01,2013-14</v>
      </c>
      <c r="Z183" s="168">
        <f t="array" ref="Z183">iferror(index(I:I,match($A183&amp;","&amp;index('Year Conversion'!$A:$A,match($C183,'Year Conversion'!$B:$B,0)),$Y:$Y,0))-I183,"")</f>
        <v>1</v>
      </c>
      <c r="AA183" s="168">
        <f t="array" ref="AA183">iferror(index(J:J,match($A183&amp;","&amp;index('Year Conversion'!$A:$A,match($C183,'Year Conversion'!$B:$B,0)),$Y:$Y,0))-J183,"")</f>
        <v>1.644001994</v>
      </c>
      <c r="AB183" s="168">
        <f t="array" ref="AB183">iferror(index(K:K,match($A183&amp;","&amp;index('Year Conversion'!$A:$A,match($C183,'Year Conversion'!$B:$B,0)),$Y:$Y,0))-K183,"")</f>
        <v>-1.663868952</v>
      </c>
      <c r="AC183" s="168" t="str">
        <f t="shared" si="7"/>
        <v>TOT,2013-14</v>
      </c>
    </row>
    <row r="184">
      <c r="A184" s="161" t="str">
        <f>IFERROR(__xludf.DUMMYFUNCTION("""COMPUTED_VALUE"""),"shakumu01")</f>
        <v>shakumu01</v>
      </c>
      <c r="B184" s="161" t="str">
        <f>IFERROR(__xludf.DUMMYFUNCTION("""COMPUTED_VALUE"""),"Mustafa Shakur")</f>
        <v>Mustafa Shakur</v>
      </c>
      <c r="C184" s="162" t="str">
        <f>IFERROR(__xludf.DUMMYFUNCTION("""COMPUTED_VALUE"""),"2013-14")</f>
        <v>2013-14</v>
      </c>
      <c r="D184" s="163" t="str">
        <f>IFERROR(__xludf.DUMMYFUNCTION("""COMPUTED_VALUE"""),"OKC")</f>
        <v>OKC</v>
      </c>
      <c r="E184" s="164" t="str">
        <f>IFERROR(__xludf.DUMMYFUNCTION("""COMPUTED_VALUE"""),"Stationary Shooter")</f>
        <v>Stationary Shooter</v>
      </c>
      <c r="F184" s="164">
        <f>IFERROR(__xludf.DUMMYFUNCTION("""COMPUTED_VALUE"""),11.4833333333333)</f>
        <v>11.48333333</v>
      </c>
      <c r="G184" s="163">
        <f>IFERROR(__xludf.DUMMYFUNCTION("""COMPUTED_VALUE"""),3.0)</f>
        <v>3</v>
      </c>
      <c r="H184" s="163" t="str">
        <f>IFERROR(__xludf.DUMMYFUNCTION("""COMPUTED_VALUE"""),"PG")</f>
        <v>PG</v>
      </c>
      <c r="I184" s="163">
        <f>IFERROR(__xludf.DUMMYFUNCTION("""COMPUTED_VALUE"""),29.0)</f>
        <v>29</v>
      </c>
      <c r="J184" s="165">
        <f>IFERROR(__xludf.DUMMYFUNCTION("""COMPUTED_VALUE"""),-1.01827642957078)</f>
        <v>-1.01827643</v>
      </c>
      <c r="K184" s="165">
        <f>IFERROR(__xludf.DUMMYFUNCTION("""COMPUTED_VALUE"""),-0.246062657728626)</f>
        <v>-0.2460626577</v>
      </c>
      <c r="L184" s="165">
        <f>IFERROR(__xludf.DUMMYFUNCTION("""COMPUTED_VALUE"""),-0.772213771842152)</f>
        <v>-0.7722137718</v>
      </c>
      <c r="M184" s="166">
        <f t="shared" si="2"/>
        <v>0.009831366634</v>
      </c>
      <c r="N184" s="167">
        <f t="shared" si="3"/>
        <v>3.827777778</v>
      </c>
      <c r="O184" s="163">
        <f t="shared" ref="O184:Q184" si="188">rank(I184,I:I)</f>
        <v>855</v>
      </c>
      <c r="P184" s="163">
        <f t="shared" si="188"/>
        <v>2522</v>
      </c>
      <c r="Q184" s="163">
        <f t="shared" si="188"/>
        <v>1660</v>
      </c>
      <c r="R184" s="163">
        <f>IFERROR(__xludf.DUMMYFUNCTION("RANK(M184,filter(M:M,C:C=C184))"),424.0)</f>
        <v>424</v>
      </c>
      <c r="S184" s="161" t="b">
        <f t="shared" si="5"/>
        <v>0</v>
      </c>
      <c r="T184" s="161" t="b">
        <f t="array" ref="T184">index('Query Tool'!B:B,match(H184,'Query Tool'!C:C,0))</f>
        <v>1</v>
      </c>
      <c r="U184" s="161" t="b">
        <f t="array" ref="U184">index('Query Tool'!B:B,match(C184,'Query Tool'!C:C,0))</f>
        <v>0</v>
      </c>
      <c r="V184" s="161" t="b">
        <f>F184&gt;='Query Tool'!C$32</f>
        <v>0</v>
      </c>
      <c r="W184" s="161" t="b">
        <f t="array" ref="W184">index(Dropdowns!B:B,match(I184,Dropdowns!A:A,0))</f>
        <v>1</v>
      </c>
      <c r="X184" s="161" t="b">
        <f t="array" ref="X184">index('Query Tool'!B:B,match(D184,'Query Tool'!C:C,0))</f>
        <v>1</v>
      </c>
      <c r="Y184" s="161" t="str">
        <f t="shared" si="6"/>
        <v>shakumu01,2013-14</v>
      </c>
      <c r="Z184" s="168" t="str">
        <f t="array" ref="Z184">iferror(index(I:I,match($A184&amp;","&amp;index('Year Conversion'!$A:$A,match($C184,'Year Conversion'!$B:$B,0)),$Y:$Y,0))-I184,"")</f>
        <v/>
      </c>
      <c r="AA184" s="168" t="str">
        <f t="array" ref="AA184">iferror(index(J:J,match($A184&amp;","&amp;index('Year Conversion'!$A:$A,match($C184,'Year Conversion'!$B:$B,0)),$Y:$Y,0))-J184,"")</f>
        <v/>
      </c>
      <c r="AB184" s="168" t="str">
        <f t="array" ref="AB184">iferror(index(K:K,match($A184&amp;","&amp;index('Year Conversion'!$A:$A,match($C184,'Year Conversion'!$B:$B,0)),$Y:$Y,0))-K184,"")</f>
        <v/>
      </c>
      <c r="AC184" s="168" t="str">
        <f t="shared" si="7"/>
        <v>OKC,2013-14</v>
      </c>
    </row>
    <row r="185">
      <c r="A185" s="161" t="str">
        <f>IFERROR(__xludf.DUMMYFUNCTION("""COMPUTED_VALUE"""),"watsocj01")</f>
        <v>watsocj01</v>
      </c>
      <c r="B185" s="161" t="str">
        <f>IFERROR(__xludf.DUMMYFUNCTION("""COMPUTED_VALUE"""),"C.J. Watson")</f>
        <v>C.J. Watson</v>
      </c>
      <c r="C185" s="162" t="str">
        <f>IFERROR(__xludf.DUMMYFUNCTION("""COMPUTED_VALUE"""),"2013-14")</f>
        <v>2013-14</v>
      </c>
      <c r="D185" s="163" t="str">
        <f>IFERROR(__xludf.DUMMYFUNCTION("""COMPUTED_VALUE"""),"IND")</f>
        <v>IND</v>
      </c>
      <c r="E185" s="164" t="str">
        <f>IFERROR(__xludf.DUMMYFUNCTION("""COMPUTED_VALUE"""),"Primary Ball Handler")</f>
        <v>Primary Ball Handler</v>
      </c>
      <c r="F185" s="164">
        <f>IFERROR(__xludf.DUMMYFUNCTION("""COMPUTED_VALUE"""),1193.28166666667)</f>
        <v>1193.281667</v>
      </c>
      <c r="G185" s="163">
        <f>IFERROR(__xludf.DUMMYFUNCTION("""COMPUTED_VALUE"""),63.0)</f>
        <v>63</v>
      </c>
      <c r="H185" s="163" t="str">
        <f>IFERROR(__xludf.DUMMYFUNCTION("""COMPUTED_VALUE"""),"PG")</f>
        <v>PG</v>
      </c>
      <c r="I185" s="163">
        <f>IFERROR(__xludf.DUMMYFUNCTION("""COMPUTED_VALUE"""),29.0)</f>
        <v>29</v>
      </c>
      <c r="J185" s="165">
        <f>IFERROR(__xludf.DUMMYFUNCTION("""COMPUTED_VALUE"""),0.474681457632833)</f>
        <v>0.4746814576</v>
      </c>
      <c r="K185" s="165">
        <f>IFERROR(__xludf.DUMMYFUNCTION("""COMPUTED_VALUE"""),-0.642795353460327)</f>
        <v>-0.6427953535</v>
      </c>
      <c r="L185" s="165">
        <f>IFERROR(__xludf.DUMMYFUNCTION("""COMPUTED_VALUE"""),1.11747681109316)</f>
        <v>1.117476811</v>
      </c>
      <c r="M185" s="166">
        <f t="shared" si="2"/>
        <v>2.221403528</v>
      </c>
      <c r="N185" s="167">
        <f t="shared" si="3"/>
        <v>18.94097884</v>
      </c>
      <c r="O185" s="163">
        <f t="shared" ref="O185:Q185" si="189">rank(I185,I:I)</f>
        <v>855</v>
      </c>
      <c r="P185" s="163">
        <f t="shared" si="189"/>
        <v>913</v>
      </c>
      <c r="Q185" s="163">
        <f t="shared" si="189"/>
        <v>2324</v>
      </c>
      <c r="R185" s="163">
        <f>IFERROR(__xludf.DUMMYFUNCTION("RANK(M185,filter(M:M,C:C=C185))"),143.0)</f>
        <v>143</v>
      </c>
      <c r="S185" s="161" t="b">
        <f t="shared" si="5"/>
        <v>0</v>
      </c>
      <c r="T185" s="161" t="b">
        <f t="array" ref="T185">index('Query Tool'!B:B,match(H185,'Query Tool'!C:C,0))</f>
        <v>1</v>
      </c>
      <c r="U185" s="161" t="b">
        <f t="array" ref="U185">index('Query Tool'!B:B,match(C185,'Query Tool'!C:C,0))</f>
        <v>0</v>
      </c>
      <c r="V185" s="161" t="b">
        <f>F185&gt;='Query Tool'!C$32</f>
        <v>1</v>
      </c>
      <c r="W185" s="161" t="b">
        <f t="array" ref="W185">index(Dropdowns!B:B,match(I185,Dropdowns!A:A,0))</f>
        <v>1</v>
      </c>
      <c r="X185" s="161" t="b">
        <f t="array" ref="X185">index('Query Tool'!B:B,match(D185,'Query Tool'!C:C,0))</f>
        <v>1</v>
      </c>
      <c r="Y185" s="161" t="str">
        <f t="shared" si="6"/>
        <v>watsocj01,2013-14</v>
      </c>
      <c r="Z185" s="168">
        <f t="array" ref="Z185">iferror(index(I:I,match($A185&amp;","&amp;index('Year Conversion'!$A:$A,match($C185,'Year Conversion'!$B:$B,0)),$Y:$Y,0))-I185,"")</f>
        <v>1</v>
      </c>
      <c r="AA185" s="168">
        <f t="array" ref="AA185">iferror(index(J:J,match($A185&amp;","&amp;index('Year Conversion'!$A:$A,match($C185,'Year Conversion'!$B:$B,0)),$Y:$Y,0))-J185,"")</f>
        <v>-0.2535319526</v>
      </c>
      <c r="AB185" s="168">
        <f t="array" ref="AB185">iferror(index(K:K,match($A185&amp;","&amp;index('Year Conversion'!$A:$A,match($C185,'Year Conversion'!$B:$B,0)),$Y:$Y,0))-K185,"")</f>
        <v>0.8930513661</v>
      </c>
      <c r="AC185" s="168" t="str">
        <f t="shared" si="7"/>
        <v>IND,2013-14</v>
      </c>
    </row>
    <row r="186">
      <c r="A186" s="161" t="str">
        <f>IFERROR(__xludf.DUMMYFUNCTION("""COMPUTED_VALUE"""),"tollian01")</f>
        <v>tollian01</v>
      </c>
      <c r="B186" s="161" t="str">
        <f>IFERROR(__xludf.DUMMYFUNCTION("""COMPUTED_VALUE"""),"Anthony Tolliver")</f>
        <v>Anthony Tolliver</v>
      </c>
      <c r="C186" s="162" t="str">
        <f>IFERROR(__xludf.DUMMYFUNCTION("""COMPUTED_VALUE"""),"2013-14")</f>
        <v>2013-14</v>
      </c>
      <c r="D186" s="163" t="str">
        <f>IFERROR(__xludf.DUMMYFUNCTION("""COMPUTED_VALUE"""),"CHA")</f>
        <v>CHA</v>
      </c>
      <c r="E186" s="164" t="str">
        <f>IFERROR(__xludf.DUMMYFUNCTION("""COMPUTED_VALUE"""),"Stationary Shooter")</f>
        <v>Stationary Shooter</v>
      </c>
      <c r="F186" s="164">
        <f>IFERROR(__xludf.DUMMYFUNCTION("""COMPUTED_VALUE"""),1298.10166666667)</f>
        <v>1298.101667</v>
      </c>
      <c r="G186" s="163">
        <f>IFERROR(__xludf.DUMMYFUNCTION("""COMPUTED_VALUE"""),64.0)</f>
        <v>64</v>
      </c>
      <c r="H186" s="163" t="str">
        <f>IFERROR(__xludf.DUMMYFUNCTION("""COMPUTED_VALUE"""),"PF")</f>
        <v>PF</v>
      </c>
      <c r="I186" s="163">
        <f>IFERROR(__xludf.DUMMYFUNCTION("""COMPUTED_VALUE"""),28.0)</f>
        <v>28</v>
      </c>
      <c r="J186" s="165">
        <f>IFERROR(__xludf.DUMMYFUNCTION("""COMPUTED_VALUE"""),-0.989089651065149)</f>
        <v>-0.9890896511</v>
      </c>
      <c r="K186" s="165">
        <f>IFERROR(__xludf.DUMMYFUNCTION("""COMPUTED_VALUE"""),-0.827370070331796)</f>
        <v>-0.8273700703</v>
      </c>
      <c r="L186" s="165">
        <f>IFERROR(__xludf.DUMMYFUNCTION("""COMPUTED_VALUE"""),-0.161719580733353)</f>
        <v>-0.1617195807</v>
      </c>
      <c r="M186" s="166">
        <f t="shared" si="2"/>
        <v>1.136796015</v>
      </c>
      <c r="N186" s="167">
        <f t="shared" si="3"/>
        <v>20.28283854</v>
      </c>
      <c r="O186" s="163">
        <f t="shared" ref="O186:Q186" si="190">rank(I186,I:I)</f>
        <v>1090</v>
      </c>
      <c r="P186" s="163">
        <f t="shared" si="190"/>
        <v>2490</v>
      </c>
      <c r="Q186" s="163">
        <f t="shared" si="190"/>
        <v>2589</v>
      </c>
      <c r="R186" s="163">
        <f>IFERROR(__xludf.DUMMYFUNCTION("RANK(M186,filter(M:M,C:C=C186))"),215.0)</f>
        <v>215</v>
      </c>
      <c r="S186" s="161" t="b">
        <f t="shared" si="5"/>
        <v>0</v>
      </c>
      <c r="T186" s="161" t="b">
        <f t="array" ref="T186">index('Query Tool'!B:B,match(H186,'Query Tool'!C:C,0))</f>
        <v>1</v>
      </c>
      <c r="U186" s="161" t="b">
        <f t="array" ref="U186">index('Query Tool'!B:B,match(C186,'Query Tool'!C:C,0))</f>
        <v>0</v>
      </c>
      <c r="V186" s="161" t="b">
        <f>F186&gt;='Query Tool'!C$32</f>
        <v>1</v>
      </c>
      <c r="W186" s="161" t="b">
        <f t="array" ref="W186">index(Dropdowns!B:B,match(I186,Dropdowns!A:A,0))</f>
        <v>1</v>
      </c>
      <c r="X186" s="161" t="b">
        <f t="array" ref="X186">index('Query Tool'!B:B,match(D186,'Query Tool'!C:C,0))</f>
        <v>1</v>
      </c>
      <c r="Y186" s="161" t="str">
        <f t="shared" si="6"/>
        <v>tollian01,2013-14</v>
      </c>
      <c r="Z186" s="168">
        <f t="array" ref="Z186">iferror(index(I:I,match($A186&amp;","&amp;index('Year Conversion'!$A:$A,match($C186,'Year Conversion'!$B:$B,0)),$Y:$Y,0))-I186,"")</f>
        <v>1</v>
      </c>
      <c r="AA186" s="168">
        <f t="array" ref="AA186">iferror(index(J:J,match($A186&amp;","&amp;index('Year Conversion'!$A:$A,match($C186,'Year Conversion'!$B:$B,0)),$Y:$Y,0))-J186,"")</f>
        <v>1.272049842</v>
      </c>
      <c r="AB186" s="168">
        <f t="array" ref="AB186">iferror(index(K:K,match($A186&amp;","&amp;index('Year Conversion'!$A:$A,match($C186,'Year Conversion'!$B:$B,0)),$Y:$Y,0))-K186,"")</f>
        <v>1.379906555</v>
      </c>
      <c r="AC186" s="168" t="str">
        <f t="shared" si="7"/>
        <v>CHA,2013-14</v>
      </c>
    </row>
    <row r="187">
      <c r="A187" s="161" t="str">
        <f>IFERROR(__xludf.DUMMYFUNCTION("""COMPUTED_VALUE"""),"beaslmi01")</f>
        <v>beaslmi01</v>
      </c>
      <c r="B187" s="161" t="str">
        <f>IFERROR(__xludf.DUMMYFUNCTION("""COMPUTED_VALUE"""),"Michael Beasley")</f>
        <v>Michael Beasley</v>
      </c>
      <c r="C187" s="162" t="str">
        <f>IFERROR(__xludf.DUMMYFUNCTION("""COMPUTED_VALUE"""),"2013-14")</f>
        <v>2013-14</v>
      </c>
      <c r="D187" s="163" t="str">
        <f>IFERROR(__xludf.DUMMYFUNCTION("""COMPUTED_VALUE"""),"MIA")</f>
        <v>MIA</v>
      </c>
      <c r="E187" s="164" t="str">
        <f>IFERROR(__xludf.DUMMYFUNCTION("""COMPUTED_VALUE"""),"Roll + Cut Big")</f>
        <v>Roll + Cut Big</v>
      </c>
      <c r="F187" s="164">
        <f>IFERROR(__xludf.DUMMYFUNCTION("""COMPUTED_VALUE"""),831.421666666667)</f>
        <v>831.4216667</v>
      </c>
      <c r="G187" s="163">
        <f>IFERROR(__xludf.DUMMYFUNCTION("""COMPUTED_VALUE"""),55.0)</f>
        <v>55</v>
      </c>
      <c r="H187" s="163" t="str">
        <f>IFERROR(__xludf.DUMMYFUNCTION("""COMPUTED_VALUE"""),"SF")</f>
        <v>SF</v>
      </c>
      <c r="I187" s="163">
        <f>IFERROR(__xludf.DUMMYFUNCTION("""COMPUTED_VALUE"""),25.0)</f>
        <v>25</v>
      </c>
      <c r="J187" s="165">
        <f>IFERROR(__xludf.DUMMYFUNCTION("""COMPUTED_VALUE"""),-1.81104007496154)</f>
        <v>-1.811040075</v>
      </c>
      <c r="K187" s="165">
        <f>IFERROR(__xludf.DUMMYFUNCTION("""COMPUTED_VALUE"""),-0.549380846201648)</f>
        <v>-0.5493808462</v>
      </c>
      <c r="L187" s="165">
        <f>IFERROR(__xludf.DUMMYFUNCTION("""COMPUTED_VALUE"""),-1.26165922875989)</f>
        <v>-1.261659229</v>
      </c>
      <c r="M187" s="166">
        <f t="shared" si="2"/>
        <v>0.2712221477</v>
      </c>
      <c r="N187" s="167">
        <f t="shared" si="3"/>
        <v>15.11675758</v>
      </c>
      <c r="O187" s="163">
        <f t="shared" ref="O187:Q187" si="191">rank(I187,I:I)</f>
        <v>1995</v>
      </c>
      <c r="P187" s="163">
        <f t="shared" si="191"/>
        <v>3339</v>
      </c>
      <c r="Q187" s="163">
        <f t="shared" si="191"/>
        <v>2189</v>
      </c>
      <c r="R187" s="163">
        <f>IFERROR(__xludf.DUMMYFUNCTION("RANK(M187,filter(M:M,C:C=C187))"),308.0)</f>
        <v>308</v>
      </c>
      <c r="S187" s="161" t="b">
        <f t="shared" si="5"/>
        <v>0</v>
      </c>
      <c r="T187" s="161" t="b">
        <f t="array" ref="T187">index('Query Tool'!B:B,match(H187,'Query Tool'!C:C,0))</f>
        <v>1</v>
      </c>
      <c r="U187" s="161" t="b">
        <f t="array" ref="U187">index('Query Tool'!B:B,match(C187,'Query Tool'!C:C,0))</f>
        <v>0</v>
      </c>
      <c r="V187" s="161" t="b">
        <f>F187&gt;='Query Tool'!C$32</f>
        <v>1</v>
      </c>
      <c r="W187" s="161" t="b">
        <f t="array" ref="W187">index(Dropdowns!B:B,match(I187,Dropdowns!A:A,0))</f>
        <v>1</v>
      </c>
      <c r="X187" s="161" t="b">
        <f t="array" ref="X187">index('Query Tool'!B:B,match(D187,'Query Tool'!C:C,0))</f>
        <v>1</v>
      </c>
      <c r="Y187" s="161" t="str">
        <f t="shared" si="6"/>
        <v>beaslmi01,2013-14</v>
      </c>
      <c r="Z187" s="168">
        <f t="array" ref="Z187">iferror(index(I:I,match($A187&amp;","&amp;index('Year Conversion'!$A:$A,match($C187,'Year Conversion'!$B:$B,0)),$Y:$Y,0))-I187,"")</f>
        <v>1</v>
      </c>
      <c r="AA187" s="168">
        <f t="array" ref="AA187">iferror(index(J:J,match($A187&amp;","&amp;index('Year Conversion'!$A:$A,match($C187,'Year Conversion'!$B:$B,0)),$Y:$Y,0))-J187,"")</f>
        <v>-0.2439591884</v>
      </c>
      <c r="AB187" s="168">
        <f t="array" ref="AB187">iferror(index(K:K,match($A187&amp;","&amp;index('Year Conversion'!$A:$A,match($C187,'Year Conversion'!$B:$B,0)),$Y:$Y,0))-K187,"")</f>
        <v>-1.395831015</v>
      </c>
      <c r="AC187" s="168" t="str">
        <f t="shared" si="7"/>
        <v>MIA,2013-14</v>
      </c>
    </row>
    <row r="188">
      <c r="A188" s="161" t="str">
        <f>IFERROR(__xludf.DUMMYFUNCTION("""COMPUTED_VALUE"""),"mayooj01")</f>
        <v>mayooj01</v>
      </c>
      <c r="B188" s="161" t="str">
        <f>IFERROR(__xludf.DUMMYFUNCTION("""COMPUTED_VALUE"""),"O.J. Mayo")</f>
        <v>O.J. Mayo</v>
      </c>
      <c r="C188" s="162" t="str">
        <f>IFERROR(__xludf.DUMMYFUNCTION("""COMPUTED_VALUE"""),"2013-14")</f>
        <v>2013-14</v>
      </c>
      <c r="D188" s="163" t="str">
        <f>IFERROR(__xludf.DUMMYFUNCTION("""COMPUTED_VALUE"""),"MIL")</f>
        <v>MIL</v>
      </c>
      <c r="E188" s="164" t="str">
        <f>IFERROR(__xludf.DUMMYFUNCTION("""COMPUTED_VALUE"""),"Off Screen Shooter")</f>
        <v>Off Screen Shooter</v>
      </c>
      <c r="F188" s="164">
        <f>IFERROR(__xludf.DUMMYFUNCTION("""COMPUTED_VALUE"""),1346.11)</f>
        <v>1346.11</v>
      </c>
      <c r="G188" s="163">
        <f>IFERROR(__xludf.DUMMYFUNCTION("""COMPUTED_VALUE"""),52.0)</f>
        <v>52</v>
      </c>
      <c r="H188" s="163" t="str">
        <f>IFERROR(__xludf.DUMMYFUNCTION("""COMPUTED_VALUE"""),"SG")</f>
        <v>SG</v>
      </c>
      <c r="I188" s="163">
        <f>IFERROR(__xludf.DUMMYFUNCTION("""COMPUTED_VALUE"""),26.0)</f>
        <v>26</v>
      </c>
      <c r="J188" s="165">
        <f>IFERROR(__xludf.DUMMYFUNCTION("""COMPUTED_VALUE"""),-3.70946685529965)</f>
        <v>-3.709466855</v>
      </c>
      <c r="K188" s="165">
        <f>IFERROR(__xludf.DUMMYFUNCTION("""COMPUTED_VALUE"""),-1.9462670710582)</f>
        <v>-1.946267071</v>
      </c>
      <c r="L188" s="165">
        <f>IFERROR(__xludf.DUMMYFUNCTION("""COMPUTED_VALUE"""),-1.76319978424145)</f>
        <v>-1.763199784</v>
      </c>
      <c r="M188" s="166">
        <f t="shared" si="2"/>
        <v>-1.228301146</v>
      </c>
      <c r="N188" s="167">
        <f t="shared" si="3"/>
        <v>25.88673077</v>
      </c>
      <c r="O188" s="163">
        <f t="shared" ref="O188:Q188" si="192">rank(I188,I:I)</f>
        <v>1665</v>
      </c>
      <c r="P188" s="163">
        <f t="shared" si="192"/>
        <v>3985</v>
      </c>
      <c r="Q188" s="163">
        <f t="shared" si="192"/>
        <v>3683</v>
      </c>
      <c r="R188" s="163">
        <f>IFERROR(__xludf.DUMMYFUNCTION("RANK(M188,filter(M:M,C:C=C188))"),479.0)</f>
        <v>479</v>
      </c>
      <c r="S188" s="161" t="b">
        <f t="shared" si="5"/>
        <v>0</v>
      </c>
      <c r="T188" s="161" t="b">
        <f t="array" ref="T188">index('Query Tool'!B:B,match(H188,'Query Tool'!C:C,0))</f>
        <v>1</v>
      </c>
      <c r="U188" s="161" t="b">
        <f t="array" ref="U188">index('Query Tool'!B:B,match(C188,'Query Tool'!C:C,0))</f>
        <v>0</v>
      </c>
      <c r="V188" s="161" t="b">
        <f>F188&gt;='Query Tool'!C$32</f>
        <v>1</v>
      </c>
      <c r="W188" s="161" t="b">
        <f t="array" ref="W188">index(Dropdowns!B:B,match(I188,Dropdowns!A:A,0))</f>
        <v>1</v>
      </c>
      <c r="X188" s="161" t="b">
        <f t="array" ref="X188">index('Query Tool'!B:B,match(D188,'Query Tool'!C:C,0))</f>
        <v>1</v>
      </c>
      <c r="Y188" s="161" t="str">
        <f t="shared" si="6"/>
        <v>mayooj01,2013-14</v>
      </c>
      <c r="Z188" s="168">
        <f t="array" ref="Z188">iferror(index(I:I,match($A188&amp;","&amp;index('Year Conversion'!$A:$A,match($C188,'Year Conversion'!$B:$B,0)),$Y:$Y,0))-I188,"")</f>
        <v>1</v>
      </c>
      <c r="AA188" s="168">
        <f t="array" ref="AA188">iferror(index(J:J,match($A188&amp;","&amp;index('Year Conversion'!$A:$A,match($C188,'Year Conversion'!$B:$B,0)),$Y:$Y,0))-J188,"")</f>
        <v>1.473586894</v>
      </c>
      <c r="AB188" s="168">
        <f t="array" ref="AB188">iferror(index(K:K,match($A188&amp;","&amp;index('Year Conversion'!$A:$A,match($C188,'Year Conversion'!$B:$B,0)),$Y:$Y,0))-K188,"")</f>
        <v>1.688355716</v>
      </c>
      <c r="AC188" s="168" t="str">
        <f t="shared" si="7"/>
        <v>MIL,2013-14</v>
      </c>
    </row>
    <row r="189">
      <c r="A189" s="161" t="str">
        <f>IFERROR(__xludf.DUMMYFUNCTION("""COMPUTED_VALUE"""),"rosede01")</f>
        <v>rosede01</v>
      </c>
      <c r="B189" s="161" t="str">
        <f>IFERROR(__xludf.DUMMYFUNCTION("""COMPUTED_VALUE"""),"Derrick Rose")</f>
        <v>Derrick Rose</v>
      </c>
      <c r="C189" s="162" t="str">
        <f>IFERROR(__xludf.DUMMYFUNCTION("""COMPUTED_VALUE"""),"2013-14")</f>
        <v>2013-14</v>
      </c>
      <c r="D189" s="163" t="str">
        <f>IFERROR(__xludf.DUMMYFUNCTION("""COMPUTED_VALUE"""),"CHI")</f>
        <v>CHI</v>
      </c>
      <c r="E189" s="164" t="str">
        <f>IFERROR(__xludf.DUMMYFUNCTION("""COMPUTED_VALUE"""),"Slasher")</f>
        <v>Slasher</v>
      </c>
      <c r="F189" s="164">
        <f>IFERROR(__xludf.DUMMYFUNCTION("""COMPUTED_VALUE"""),310.888333333333)</f>
        <v>310.8883333</v>
      </c>
      <c r="G189" s="163">
        <f>IFERROR(__xludf.DUMMYFUNCTION("""COMPUTED_VALUE"""),10.0)</f>
        <v>10</v>
      </c>
      <c r="H189" s="163" t="str">
        <f>IFERROR(__xludf.DUMMYFUNCTION("""COMPUTED_VALUE"""),"PG")</f>
        <v>PG</v>
      </c>
      <c r="I189" s="163">
        <f>IFERROR(__xludf.DUMMYFUNCTION("""COMPUTED_VALUE"""),25.0)</f>
        <v>25</v>
      </c>
      <c r="J189" s="165">
        <f>IFERROR(__xludf.DUMMYFUNCTION("""COMPUTED_VALUE"""),-1.38508770722287)</f>
        <v>-1.385087707</v>
      </c>
      <c r="K189" s="165">
        <f>IFERROR(__xludf.DUMMYFUNCTION("""COMPUTED_VALUE"""),-0.138553428989095)</f>
        <v>-0.138553429</v>
      </c>
      <c r="L189" s="165">
        <f>IFERROR(__xludf.DUMMYFUNCTION("""COMPUTED_VALUE"""),-1.24653427823377)</f>
        <v>-1.246534278</v>
      </c>
      <c r="M189" s="166">
        <f t="shared" si="2"/>
        <v>0.1897461628</v>
      </c>
      <c r="N189" s="167">
        <f t="shared" si="3"/>
        <v>31.08883333</v>
      </c>
      <c r="O189" s="163">
        <f t="shared" ref="O189:Q189" si="193">rank(I189,I:I)</f>
        <v>1995</v>
      </c>
      <c r="P189" s="163">
        <f t="shared" si="193"/>
        <v>2938</v>
      </c>
      <c r="Q189" s="163">
        <f t="shared" si="193"/>
        <v>1461</v>
      </c>
      <c r="R189" s="163">
        <f>IFERROR(__xludf.DUMMYFUNCTION("RANK(M189,filter(M:M,C:C=C189))"),327.0)</f>
        <v>327</v>
      </c>
      <c r="S189" s="161" t="b">
        <f t="shared" si="5"/>
        <v>0</v>
      </c>
      <c r="T189" s="161" t="b">
        <f t="array" ref="T189">index('Query Tool'!B:B,match(H189,'Query Tool'!C:C,0))</f>
        <v>1</v>
      </c>
      <c r="U189" s="161" t="b">
        <f t="array" ref="U189">index('Query Tool'!B:B,match(C189,'Query Tool'!C:C,0))</f>
        <v>0</v>
      </c>
      <c r="V189" s="161" t="b">
        <f>F189&gt;='Query Tool'!C$32</f>
        <v>0</v>
      </c>
      <c r="W189" s="161" t="b">
        <f t="array" ref="W189">index(Dropdowns!B:B,match(I189,Dropdowns!A:A,0))</f>
        <v>1</v>
      </c>
      <c r="X189" s="161" t="b">
        <f t="array" ref="X189">index('Query Tool'!B:B,match(D189,'Query Tool'!C:C,0))</f>
        <v>1</v>
      </c>
      <c r="Y189" s="161" t="str">
        <f t="shared" si="6"/>
        <v>rosede01,2013-14</v>
      </c>
      <c r="Z189" s="168">
        <f t="array" ref="Z189">iferror(index(I:I,match($A189&amp;","&amp;index('Year Conversion'!$A:$A,match($C189,'Year Conversion'!$B:$B,0)),$Y:$Y,0))-I189,"")</f>
        <v>1</v>
      </c>
      <c r="AA189" s="168">
        <f t="array" ref="AA189">iferror(index(J:J,match($A189&amp;","&amp;index('Year Conversion'!$A:$A,match($C189,'Year Conversion'!$B:$B,0)),$Y:$Y,0))-J189,"")</f>
        <v>1.643690937</v>
      </c>
      <c r="AB189" s="168">
        <f t="array" ref="AB189">iferror(index(K:K,match($A189&amp;","&amp;index('Year Conversion'!$A:$A,match($C189,'Year Conversion'!$B:$B,0)),$Y:$Y,0))-K189,"")</f>
        <v>1.432259733</v>
      </c>
      <c r="AC189" s="168" t="str">
        <f t="shared" si="7"/>
        <v>CHI,2013-14</v>
      </c>
    </row>
    <row r="190">
      <c r="A190" s="161" t="str">
        <f>IFERROR(__xludf.DUMMYFUNCTION("""COMPUTED_VALUE"""),"westbru01")</f>
        <v>westbru01</v>
      </c>
      <c r="B190" s="161" t="str">
        <f>IFERROR(__xludf.DUMMYFUNCTION("""COMPUTED_VALUE"""),"Russell Westbrook")</f>
        <v>Russell Westbrook</v>
      </c>
      <c r="C190" s="162" t="str">
        <f>IFERROR(__xludf.DUMMYFUNCTION("""COMPUTED_VALUE"""),"2013-14")</f>
        <v>2013-14</v>
      </c>
      <c r="D190" s="163" t="str">
        <f>IFERROR(__xludf.DUMMYFUNCTION("""COMPUTED_VALUE"""),"OKC")</f>
        <v>OKC</v>
      </c>
      <c r="E190" s="164" t="str">
        <f>IFERROR(__xludf.DUMMYFUNCTION("""COMPUTED_VALUE"""),"Shot Creator")</f>
        <v>Shot Creator</v>
      </c>
      <c r="F190" s="164">
        <f>IFERROR(__xludf.DUMMYFUNCTION("""COMPUTED_VALUE"""),1411.70333333333)</f>
        <v>1411.703333</v>
      </c>
      <c r="G190" s="163">
        <f>IFERROR(__xludf.DUMMYFUNCTION("""COMPUTED_VALUE"""),46.0)</f>
        <v>46</v>
      </c>
      <c r="H190" s="163" t="str">
        <f>IFERROR(__xludf.DUMMYFUNCTION("""COMPUTED_VALUE"""),"PG")</f>
        <v>PG</v>
      </c>
      <c r="I190" s="163">
        <f>IFERROR(__xludf.DUMMYFUNCTION("""COMPUTED_VALUE"""),25.0)</f>
        <v>25</v>
      </c>
      <c r="J190" s="165">
        <f>IFERROR(__xludf.DUMMYFUNCTION("""COMPUTED_VALUE"""),3.41431731074018)</f>
        <v>3.414317311</v>
      </c>
      <c r="K190" s="165">
        <f>IFERROR(__xludf.DUMMYFUNCTION("""COMPUTED_VALUE"""),3.73704282191905)</f>
        <v>3.737042822</v>
      </c>
      <c r="L190" s="165">
        <f>IFERROR(__xludf.DUMMYFUNCTION("""COMPUTED_VALUE"""),-0.322725511178865)</f>
        <v>-0.3227255112</v>
      </c>
      <c r="M190" s="166">
        <f t="shared" si="2"/>
        <v>5.374348081</v>
      </c>
      <c r="N190" s="167">
        <f t="shared" si="3"/>
        <v>30.6892029</v>
      </c>
      <c r="O190" s="163">
        <f t="shared" ref="O190:Q190" si="194">rank(I190,I:I)</f>
        <v>1995</v>
      </c>
      <c r="P190" s="163">
        <f t="shared" si="194"/>
        <v>137</v>
      </c>
      <c r="Q190" s="163">
        <f t="shared" si="194"/>
        <v>76</v>
      </c>
      <c r="R190" s="163">
        <f>IFERROR(__xludf.DUMMYFUNCTION("RANK(M190,filter(M:M,C:C=C190))"),63.0)</f>
        <v>63</v>
      </c>
      <c r="S190" s="161" t="b">
        <f t="shared" si="5"/>
        <v>0</v>
      </c>
      <c r="T190" s="161" t="b">
        <f t="array" ref="T190">index('Query Tool'!B:B,match(H190,'Query Tool'!C:C,0))</f>
        <v>1</v>
      </c>
      <c r="U190" s="161" t="b">
        <f t="array" ref="U190">index('Query Tool'!B:B,match(C190,'Query Tool'!C:C,0))</f>
        <v>0</v>
      </c>
      <c r="V190" s="161" t="b">
        <f>F190&gt;='Query Tool'!C$32</f>
        <v>1</v>
      </c>
      <c r="W190" s="161" t="b">
        <f t="array" ref="W190">index(Dropdowns!B:B,match(I190,Dropdowns!A:A,0))</f>
        <v>1</v>
      </c>
      <c r="X190" s="161" t="b">
        <f t="array" ref="X190">index('Query Tool'!B:B,match(D190,'Query Tool'!C:C,0))</f>
        <v>1</v>
      </c>
      <c r="Y190" s="161" t="str">
        <f t="shared" si="6"/>
        <v>westbru01,2013-14</v>
      </c>
      <c r="Z190" s="168">
        <f t="array" ref="Z190">iferror(index(I:I,match($A190&amp;","&amp;index('Year Conversion'!$A:$A,match($C190,'Year Conversion'!$B:$B,0)),$Y:$Y,0))-I190,"")</f>
        <v>1</v>
      </c>
      <c r="AA190" s="168">
        <f t="array" ref="AA190">iferror(index(J:J,match($A190&amp;","&amp;index('Year Conversion'!$A:$A,match($C190,'Year Conversion'!$B:$B,0)),$Y:$Y,0))-J190,"")</f>
        <v>2.283999315</v>
      </c>
      <c r="AB190" s="168">
        <f t="array" ref="AB190">iferror(index(K:K,match($A190&amp;","&amp;index('Year Conversion'!$A:$A,match($C190,'Year Conversion'!$B:$B,0)),$Y:$Y,0))-K190,"")</f>
        <v>2.438560848</v>
      </c>
      <c r="AC190" s="168" t="str">
        <f t="shared" si="7"/>
        <v>OKC,2013-14</v>
      </c>
    </row>
    <row r="191">
      <c r="A191" s="161" t="str">
        <f>IFERROR(__xludf.DUMMYFUNCTION("""COMPUTED_VALUE"""),"loveke01")</f>
        <v>loveke01</v>
      </c>
      <c r="B191" s="161" t="str">
        <f>IFERROR(__xludf.DUMMYFUNCTION("""COMPUTED_VALUE"""),"Kevin Love")</f>
        <v>Kevin Love</v>
      </c>
      <c r="C191" s="162" t="str">
        <f>IFERROR(__xludf.DUMMYFUNCTION("""COMPUTED_VALUE"""),"2013-14")</f>
        <v>2013-14</v>
      </c>
      <c r="D191" s="163" t="str">
        <f>IFERROR(__xludf.DUMMYFUNCTION("""COMPUTED_VALUE"""),"MIN")</f>
        <v>MIN</v>
      </c>
      <c r="E191" s="164" t="str">
        <f>IFERROR(__xludf.DUMMYFUNCTION("""COMPUTED_VALUE"""),"Versatile Big")</f>
        <v>Versatile Big</v>
      </c>
      <c r="F191" s="164">
        <f>IFERROR(__xludf.DUMMYFUNCTION("""COMPUTED_VALUE"""),2796.5)</f>
        <v>2796.5</v>
      </c>
      <c r="G191" s="163">
        <f>IFERROR(__xludf.DUMMYFUNCTION("""COMPUTED_VALUE"""),77.0)</f>
        <v>77</v>
      </c>
      <c r="H191" s="163" t="str">
        <f>IFERROR(__xludf.DUMMYFUNCTION("""COMPUTED_VALUE"""),"PF")</f>
        <v>PF</v>
      </c>
      <c r="I191" s="163">
        <f>IFERROR(__xludf.DUMMYFUNCTION("""COMPUTED_VALUE"""),25.0)</f>
        <v>25</v>
      </c>
      <c r="J191" s="165">
        <f>IFERROR(__xludf.DUMMYFUNCTION("""COMPUTED_VALUE"""),4.41160744097848)</f>
        <v>4.411607441</v>
      </c>
      <c r="K191" s="165">
        <f>IFERROR(__xludf.DUMMYFUNCTION("""COMPUTED_VALUE"""),4.70381105032304)</f>
        <v>4.70381105</v>
      </c>
      <c r="L191" s="165">
        <f>IFERROR(__xludf.DUMMYFUNCTION("""COMPUTED_VALUE"""),-0.292203609344556)</f>
        <v>-0.2922036093</v>
      </c>
      <c r="M191" s="166">
        <f t="shared" si="2"/>
        <v>12.41096054</v>
      </c>
      <c r="N191" s="167">
        <f t="shared" si="3"/>
        <v>36.31818182</v>
      </c>
      <c r="O191" s="163">
        <f t="shared" ref="O191:Q191" si="195">rank(I191,I:I)</f>
        <v>1995</v>
      </c>
      <c r="P191" s="163">
        <f t="shared" si="195"/>
        <v>72</v>
      </c>
      <c r="Q191" s="163">
        <f t="shared" si="195"/>
        <v>38</v>
      </c>
      <c r="R191" s="163">
        <f>IFERROR(__xludf.DUMMYFUNCTION("RANK(M191,filter(M:M,C:C=C191))"),7.0)</f>
        <v>7</v>
      </c>
      <c r="S191" s="161" t="b">
        <f t="shared" si="5"/>
        <v>0</v>
      </c>
      <c r="T191" s="161" t="b">
        <f t="array" ref="T191">index('Query Tool'!B:B,match(H191,'Query Tool'!C:C,0))</f>
        <v>1</v>
      </c>
      <c r="U191" s="161" t="b">
        <f t="array" ref="U191">index('Query Tool'!B:B,match(C191,'Query Tool'!C:C,0))</f>
        <v>0</v>
      </c>
      <c r="V191" s="161" t="b">
        <f>F191&gt;='Query Tool'!C$32</f>
        <v>1</v>
      </c>
      <c r="W191" s="161" t="b">
        <f t="array" ref="W191">index(Dropdowns!B:B,match(I191,Dropdowns!A:A,0))</f>
        <v>1</v>
      </c>
      <c r="X191" s="161" t="b">
        <f t="array" ref="X191">index('Query Tool'!B:B,match(D191,'Query Tool'!C:C,0))</f>
        <v>1</v>
      </c>
      <c r="Y191" s="161" t="str">
        <f t="shared" si="6"/>
        <v>loveke01,2013-14</v>
      </c>
      <c r="Z191" s="168">
        <f t="array" ref="Z191">iferror(index(I:I,match($A191&amp;","&amp;index('Year Conversion'!$A:$A,match($C191,'Year Conversion'!$B:$B,0)),$Y:$Y,0))-I191,"")</f>
        <v>1</v>
      </c>
      <c r="AA191" s="168">
        <f t="array" ref="AA191">iferror(index(J:J,match($A191&amp;","&amp;index('Year Conversion'!$A:$A,match($C191,'Year Conversion'!$B:$B,0)),$Y:$Y,0))-J191,"")</f>
        <v>-1.778223087</v>
      </c>
      <c r="AB191" s="168">
        <f t="array" ref="AB191">iferror(index(K:K,match($A191&amp;","&amp;index('Year Conversion'!$A:$A,match($C191,'Year Conversion'!$B:$B,0)),$Y:$Y,0))-K191,"")</f>
        <v>-2.452677545</v>
      </c>
      <c r="AC191" s="168" t="str">
        <f t="shared" si="7"/>
        <v>MIN,2013-14</v>
      </c>
    </row>
    <row r="192">
      <c r="A192" s="161" t="str">
        <f>IFERROR(__xludf.DUMMYFUNCTION("""COMPUTED_VALUE"""),"gordoer01")</f>
        <v>gordoer01</v>
      </c>
      <c r="B192" s="161" t="str">
        <f>IFERROR(__xludf.DUMMYFUNCTION("""COMPUTED_VALUE"""),"Eric Gordon")</f>
        <v>Eric Gordon</v>
      </c>
      <c r="C192" s="162" t="str">
        <f>IFERROR(__xludf.DUMMYFUNCTION("""COMPUTED_VALUE"""),"2013-14")</f>
        <v>2013-14</v>
      </c>
      <c r="D192" s="163" t="str">
        <f>IFERROR(__xludf.DUMMYFUNCTION("""COMPUTED_VALUE"""),"NOP")</f>
        <v>NOP</v>
      </c>
      <c r="E192" s="164" t="str">
        <f>IFERROR(__xludf.DUMMYFUNCTION("""COMPUTED_VALUE"""),"Secondary Ball Handler")</f>
        <v>Secondary Ball Handler</v>
      </c>
      <c r="F192" s="164">
        <f>IFERROR(__xludf.DUMMYFUNCTION("""COMPUTED_VALUE"""),2057.27666666667)</f>
        <v>2057.276667</v>
      </c>
      <c r="G192" s="163">
        <f>IFERROR(__xludf.DUMMYFUNCTION("""COMPUTED_VALUE"""),64.0)</f>
        <v>64</v>
      </c>
      <c r="H192" s="163" t="str">
        <f>IFERROR(__xludf.DUMMYFUNCTION("""COMPUTED_VALUE"""),"SG")</f>
        <v>SG</v>
      </c>
      <c r="I192" s="163">
        <f>IFERROR(__xludf.DUMMYFUNCTION("""COMPUTED_VALUE"""),25.0)</f>
        <v>25</v>
      </c>
      <c r="J192" s="165">
        <f>IFERROR(__xludf.DUMMYFUNCTION("""COMPUTED_VALUE"""),-2.57340411986899)</f>
        <v>-2.57340412</v>
      </c>
      <c r="K192" s="165">
        <f>IFERROR(__xludf.DUMMYFUNCTION("""COMPUTED_VALUE"""),0.315860173278197)</f>
        <v>0.3158601733</v>
      </c>
      <c r="L192" s="165">
        <f>IFERROR(__xludf.DUMMYFUNCTION("""COMPUTED_VALUE"""),-2.88926429314719)</f>
        <v>-2.889264293</v>
      </c>
      <c r="M192" s="166">
        <f t="shared" si="2"/>
        <v>-0.3651848292</v>
      </c>
      <c r="N192" s="167">
        <f t="shared" si="3"/>
        <v>32.14494792</v>
      </c>
      <c r="O192" s="163">
        <f t="shared" ref="O192:Q192" si="196">rank(I192,I:I)</f>
        <v>1995</v>
      </c>
      <c r="P192" s="163">
        <f t="shared" si="196"/>
        <v>3777</v>
      </c>
      <c r="Q192" s="163">
        <f t="shared" si="196"/>
        <v>899</v>
      </c>
      <c r="R192" s="163">
        <f>IFERROR(__xludf.DUMMYFUNCTION("RANK(M192,filter(M:M,C:C=C192))"),465.0)</f>
        <v>465</v>
      </c>
      <c r="S192" s="161" t="b">
        <f t="shared" si="5"/>
        <v>0</v>
      </c>
      <c r="T192" s="161" t="b">
        <f t="array" ref="T192">index('Query Tool'!B:B,match(H192,'Query Tool'!C:C,0))</f>
        <v>1</v>
      </c>
      <c r="U192" s="161" t="b">
        <f t="array" ref="U192">index('Query Tool'!B:B,match(C192,'Query Tool'!C:C,0))</f>
        <v>0</v>
      </c>
      <c r="V192" s="161" t="b">
        <f>F192&gt;='Query Tool'!C$32</f>
        <v>1</v>
      </c>
      <c r="W192" s="161" t="b">
        <f t="array" ref="W192">index(Dropdowns!B:B,match(I192,Dropdowns!A:A,0))</f>
        <v>1</v>
      </c>
      <c r="X192" s="161" t="b">
        <f t="array" ref="X192">index('Query Tool'!B:B,match(D192,'Query Tool'!C:C,0))</f>
        <v>1</v>
      </c>
      <c r="Y192" s="161" t="str">
        <f t="shared" si="6"/>
        <v>gordoer01,2013-14</v>
      </c>
      <c r="Z192" s="168">
        <f t="array" ref="Z192">iferror(index(I:I,match($A192&amp;","&amp;index('Year Conversion'!$A:$A,match($C192,'Year Conversion'!$B:$B,0)),$Y:$Y,0))-I192,"")</f>
        <v>1</v>
      </c>
      <c r="AA192" s="168">
        <f t="array" ref="AA192">iferror(index(J:J,match($A192&amp;","&amp;index('Year Conversion'!$A:$A,match($C192,'Year Conversion'!$B:$B,0)),$Y:$Y,0))-J192,"")</f>
        <v>0.4711258472</v>
      </c>
      <c r="AB192" s="168">
        <f t="array" ref="AB192">iferror(index(K:K,match($A192&amp;","&amp;index('Year Conversion'!$A:$A,match($C192,'Year Conversion'!$B:$B,0)),$Y:$Y,0))-K192,"")</f>
        <v>-0.9224713649</v>
      </c>
      <c r="AC192" s="168" t="str">
        <f t="shared" si="7"/>
        <v>NOP,2013-14</v>
      </c>
    </row>
    <row r="193">
      <c r="A193" s="161" t="str">
        <f>IFERROR(__xludf.DUMMYFUNCTION("""COMPUTED_VALUE"""),"augusdj01")</f>
        <v>augusdj01</v>
      </c>
      <c r="B193" s="161" t="str">
        <f>IFERROR(__xludf.DUMMYFUNCTION("""COMPUTED_VALUE"""),"D.J. Augustin")</f>
        <v>D.J. Augustin</v>
      </c>
      <c r="C193" s="162" t="str">
        <f>IFERROR(__xludf.DUMMYFUNCTION("""COMPUTED_VALUE"""),"2013-14")</f>
        <v>2013-14</v>
      </c>
      <c r="D193" s="163" t="str">
        <f>IFERROR(__xludf.DUMMYFUNCTION("""COMPUTED_VALUE"""),"TOT")</f>
        <v>TOT</v>
      </c>
      <c r="E193" s="164" t="str">
        <f>IFERROR(__xludf.DUMMYFUNCTION("""COMPUTED_VALUE"""),"Primary Ball Handler")</f>
        <v>Primary Ball Handler</v>
      </c>
      <c r="F193" s="164">
        <f>IFERROR(__xludf.DUMMYFUNCTION("""COMPUTED_VALUE"""),1938.64333333333)</f>
        <v>1938.643333</v>
      </c>
      <c r="G193" s="163">
        <f>IFERROR(__xludf.DUMMYFUNCTION("""COMPUTED_VALUE"""),71.0)</f>
        <v>71</v>
      </c>
      <c r="H193" s="163" t="str">
        <f>IFERROR(__xludf.DUMMYFUNCTION("""COMPUTED_VALUE"""),"PG")</f>
        <v>PG</v>
      </c>
      <c r="I193" s="163">
        <f>IFERROR(__xludf.DUMMYFUNCTION("""COMPUTED_VALUE"""),26.0)</f>
        <v>26</v>
      </c>
      <c r="J193" s="165">
        <f>IFERROR(__xludf.DUMMYFUNCTION("""COMPUTED_VALUE"""),-0.245041430842639)</f>
        <v>-0.2450414308</v>
      </c>
      <c r="K193" s="165">
        <f>IFERROR(__xludf.DUMMYFUNCTION("""COMPUTED_VALUE"""),1.28749162648189)</f>
        <v>1.287491626</v>
      </c>
      <c r="L193" s="165">
        <f>IFERROR(__xludf.DUMMYFUNCTION("""COMPUTED_VALUE"""),-1.53253305732453)</f>
        <v>-1.532533057</v>
      </c>
      <c r="M193" s="166">
        <f t="shared" si="2"/>
        <v>2.668496038</v>
      </c>
      <c r="N193" s="167">
        <f t="shared" si="3"/>
        <v>27.30483568</v>
      </c>
      <c r="O193" s="163">
        <f t="shared" ref="O193:Q193" si="197">rank(I193,I:I)</f>
        <v>1665</v>
      </c>
      <c r="P193" s="163">
        <f t="shared" si="197"/>
        <v>1552</v>
      </c>
      <c r="Q193" s="163">
        <f t="shared" si="197"/>
        <v>390</v>
      </c>
      <c r="R193" s="163">
        <f>IFERROR(__xludf.DUMMYFUNCTION("RANK(M193,filter(M:M,C:C=C193))"),125.0)</f>
        <v>125</v>
      </c>
      <c r="S193" s="161" t="b">
        <f t="shared" si="5"/>
        <v>0</v>
      </c>
      <c r="T193" s="161" t="b">
        <f t="array" ref="T193">index('Query Tool'!B:B,match(H193,'Query Tool'!C:C,0))</f>
        <v>1</v>
      </c>
      <c r="U193" s="161" t="b">
        <f t="array" ref="U193">index('Query Tool'!B:B,match(C193,'Query Tool'!C:C,0))</f>
        <v>0</v>
      </c>
      <c r="V193" s="161" t="b">
        <f>F193&gt;='Query Tool'!C$32</f>
        <v>1</v>
      </c>
      <c r="W193" s="161" t="b">
        <f t="array" ref="W193">index(Dropdowns!B:B,match(I193,Dropdowns!A:A,0))</f>
        <v>1</v>
      </c>
      <c r="X193" s="161" t="b">
        <f t="array" ref="X193">index('Query Tool'!B:B,match(D193,'Query Tool'!C:C,0))</f>
        <v>1</v>
      </c>
      <c r="Y193" s="161" t="str">
        <f t="shared" si="6"/>
        <v>augusdj01,2013-14</v>
      </c>
      <c r="Z193" s="168">
        <f t="array" ref="Z193">iferror(index(I:I,match($A193&amp;","&amp;index('Year Conversion'!$A:$A,match($C193,'Year Conversion'!$B:$B,0)),$Y:$Y,0))-I193,"")</f>
        <v>1</v>
      </c>
      <c r="AA193" s="168">
        <f t="array" ref="AA193">iferror(index(J:J,match($A193&amp;","&amp;index('Year Conversion'!$A:$A,match($C193,'Year Conversion'!$B:$B,0)),$Y:$Y,0))-J193,"")</f>
        <v>-1.570489021</v>
      </c>
      <c r="AB193" s="168">
        <f t="array" ref="AB193">iferror(index(K:K,match($A193&amp;","&amp;index('Year Conversion'!$A:$A,match($C193,'Year Conversion'!$B:$B,0)),$Y:$Y,0))-K193,"")</f>
        <v>-0.9882400405</v>
      </c>
      <c r="AC193" s="168" t="str">
        <f t="shared" si="7"/>
        <v>TOT,2013-14</v>
      </c>
    </row>
    <row r="194">
      <c r="A194" s="161" t="str">
        <f>IFERROR(__xludf.DUMMYFUNCTION("""COMPUTED_VALUE"""),"lopezbr01")</f>
        <v>lopezbr01</v>
      </c>
      <c r="B194" s="161" t="str">
        <f>IFERROR(__xludf.DUMMYFUNCTION("""COMPUTED_VALUE"""),"Brook Lopez")</f>
        <v>Brook Lopez</v>
      </c>
      <c r="C194" s="162" t="str">
        <f>IFERROR(__xludf.DUMMYFUNCTION("""COMPUTED_VALUE"""),"2013-14")</f>
        <v>2013-14</v>
      </c>
      <c r="D194" s="163" t="str">
        <f>IFERROR(__xludf.DUMMYFUNCTION("""COMPUTED_VALUE"""),"BRK")</f>
        <v>BRK</v>
      </c>
      <c r="E194" s="164" t="str">
        <f>IFERROR(__xludf.DUMMYFUNCTION("""COMPUTED_VALUE"""),"Post Scorer")</f>
        <v>Post Scorer</v>
      </c>
      <c r="F194" s="164">
        <f>IFERROR(__xludf.DUMMYFUNCTION("""COMPUTED_VALUE"""),533.41)</f>
        <v>533.41</v>
      </c>
      <c r="G194" s="163">
        <f>IFERROR(__xludf.DUMMYFUNCTION("""COMPUTED_VALUE"""),17.0)</f>
        <v>17</v>
      </c>
      <c r="H194" s="163" t="str">
        <f>IFERROR(__xludf.DUMMYFUNCTION("""COMPUTED_VALUE"""),"C")</f>
        <v>C</v>
      </c>
      <c r="I194" s="163">
        <f>IFERROR(__xludf.DUMMYFUNCTION("""COMPUTED_VALUE"""),25.0)</f>
        <v>25</v>
      </c>
      <c r="J194" s="165">
        <f>IFERROR(__xludf.DUMMYFUNCTION("""COMPUTED_VALUE"""),1.48135291218852)</f>
        <v>1.481352912</v>
      </c>
      <c r="K194" s="165">
        <f>IFERROR(__xludf.DUMMYFUNCTION("""COMPUTED_VALUE"""),1.06344909791904)</f>
        <v>1.063449098</v>
      </c>
      <c r="L194" s="165">
        <f>IFERROR(__xludf.DUMMYFUNCTION("""COMPUTED_VALUE"""),0.417903814269477)</f>
        <v>0.4179038143</v>
      </c>
      <c r="M194" s="166">
        <f t="shared" si="2"/>
        <v>1.353445881</v>
      </c>
      <c r="N194" s="167">
        <f t="shared" si="3"/>
        <v>31.37705882</v>
      </c>
      <c r="O194" s="163">
        <f t="shared" ref="O194:Q194" si="198">rank(I194,I:I)</f>
        <v>1995</v>
      </c>
      <c r="P194" s="163">
        <f t="shared" si="198"/>
        <v>461</v>
      </c>
      <c r="Q194" s="163">
        <f t="shared" si="198"/>
        <v>469</v>
      </c>
      <c r="R194" s="163">
        <f>IFERROR(__xludf.DUMMYFUNCTION("RANK(M194,filter(M:M,C:C=C194))"),195.0)</f>
        <v>195</v>
      </c>
      <c r="S194" s="161" t="b">
        <f t="shared" si="5"/>
        <v>0</v>
      </c>
      <c r="T194" s="161" t="b">
        <f t="array" ref="T194">index('Query Tool'!B:B,match(H194,'Query Tool'!C:C,0))</f>
        <v>1</v>
      </c>
      <c r="U194" s="161" t="b">
        <f t="array" ref="U194">index('Query Tool'!B:B,match(C194,'Query Tool'!C:C,0))</f>
        <v>0</v>
      </c>
      <c r="V194" s="161" t="b">
        <f>F194&gt;='Query Tool'!C$32</f>
        <v>1</v>
      </c>
      <c r="W194" s="161" t="b">
        <f t="array" ref="W194">index(Dropdowns!B:B,match(I194,Dropdowns!A:A,0))</f>
        <v>1</v>
      </c>
      <c r="X194" s="161" t="b">
        <f t="array" ref="X194">index('Query Tool'!B:B,match(D194,'Query Tool'!C:C,0))</f>
        <v>1</v>
      </c>
      <c r="Y194" s="161" t="str">
        <f t="shared" si="6"/>
        <v>lopezbr01,2013-14</v>
      </c>
      <c r="Z194" s="168">
        <f t="array" ref="Z194">iferror(index(I:I,match($A194&amp;","&amp;index('Year Conversion'!$A:$A,match($C194,'Year Conversion'!$B:$B,0)),$Y:$Y,0))-I194,"")</f>
        <v>1</v>
      </c>
      <c r="AA194" s="168">
        <f t="array" ref="AA194">iferror(index(J:J,match($A194&amp;","&amp;index('Year Conversion'!$A:$A,match($C194,'Year Conversion'!$B:$B,0)),$Y:$Y,0))-J194,"")</f>
        <v>-0.9389241576</v>
      </c>
      <c r="AB194" s="168">
        <f t="array" ref="AB194">iferror(index(K:K,match($A194&amp;","&amp;index('Year Conversion'!$A:$A,match($C194,'Year Conversion'!$B:$B,0)),$Y:$Y,0))-K194,"")</f>
        <v>-0.3222140134</v>
      </c>
      <c r="AC194" s="168" t="str">
        <f t="shared" si="7"/>
        <v>BRK,2013-14</v>
      </c>
    </row>
    <row r="195">
      <c r="A195" s="161" t="str">
        <f>IFERROR(__xludf.DUMMYFUNCTION("""COMPUTED_VALUE"""),"bayleje01")</f>
        <v>bayleje01</v>
      </c>
      <c r="B195" s="161" t="str">
        <f>IFERROR(__xludf.DUMMYFUNCTION("""COMPUTED_VALUE"""),"Jerryd Bayless")</f>
        <v>Jerryd Bayless</v>
      </c>
      <c r="C195" s="162" t="str">
        <f>IFERROR(__xludf.DUMMYFUNCTION("""COMPUTED_VALUE"""),"2013-14")</f>
        <v>2013-14</v>
      </c>
      <c r="D195" s="163" t="str">
        <f>IFERROR(__xludf.DUMMYFUNCTION("""COMPUTED_VALUE"""),"TOT")</f>
        <v>TOT</v>
      </c>
      <c r="E195" s="164" t="str">
        <f>IFERROR(__xludf.DUMMYFUNCTION("""COMPUTED_VALUE"""),"Secondary Ball Handler")</f>
        <v>Secondary Ball Handler</v>
      </c>
      <c r="F195" s="164">
        <f>IFERROR(__xludf.DUMMYFUNCTION("""COMPUTED_VALUE"""),1685.74333333333)</f>
        <v>1685.743333</v>
      </c>
      <c r="G195" s="163">
        <f>IFERROR(__xludf.DUMMYFUNCTION("""COMPUTED_VALUE"""),72.0)</f>
        <v>72</v>
      </c>
      <c r="H195" s="163" t="str">
        <f>IFERROR(__xludf.DUMMYFUNCTION("""COMPUTED_VALUE"""),"PG")</f>
        <v>PG</v>
      </c>
      <c r="I195" s="163">
        <f>IFERROR(__xludf.DUMMYFUNCTION("""COMPUTED_VALUE"""),25.0)</f>
        <v>25</v>
      </c>
      <c r="J195" s="165">
        <f>IFERROR(__xludf.DUMMYFUNCTION("""COMPUTED_VALUE"""),-1.21554149007663)</f>
        <v>-1.21554149</v>
      </c>
      <c r="K195" s="165">
        <f>IFERROR(__xludf.DUMMYFUNCTION("""COMPUTED_VALUE"""),0.406201485607777)</f>
        <v>0.4062014856</v>
      </c>
      <c r="L195" s="165">
        <f>IFERROR(__xludf.DUMMYFUNCTION("""COMPUTED_VALUE"""),-1.62174297568441)</f>
        <v>-1.621742976</v>
      </c>
      <c r="M195" s="166">
        <f t="shared" si="2"/>
        <v>1.220206672</v>
      </c>
      <c r="N195" s="167">
        <f t="shared" si="3"/>
        <v>23.41310185</v>
      </c>
      <c r="O195" s="163">
        <f t="shared" ref="O195:Q195" si="199">rank(I195,I:I)</f>
        <v>1995</v>
      </c>
      <c r="P195" s="163">
        <f t="shared" si="199"/>
        <v>2765</v>
      </c>
      <c r="Q195" s="163">
        <f t="shared" si="199"/>
        <v>828</v>
      </c>
      <c r="R195" s="163">
        <f>IFERROR(__xludf.DUMMYFUNCTION("RANK(M195,filter(M:M,C:C=C195))"),212.0)</f>
        <v>212</v>
      </c>
      <c r="S195" s="161" t="b">
        <f t="shared" si="5"/>
        <v>0</v>
      </c>
      <c r="T195" s="161" t="b">
        <f t="array" ref="T195">index('Query Tool'!B:B,match(H195,'Query Tool'!C:C,0))</f>
        <v>1</v>
      </c>
      <c r="U195" s="161" t="b">
        <f t="array" ref="U195">index('Query Tool'!B:B,match(C195,'Query Tool'!C:C,0))</f>
        <v>0</v>
      </c>
      <c r="V195" s="161" t="b">
        <f>F195&gt;='Query Tool'!C$32</f>
        <v>1</v>
      </c>
      <c r="W195" s="161" t="b">
        <f t="array" ref="W195">index(Dropdowns!B:B,match(I195,Dropdowns!A:A,0))</f>
        <v>1</v>
      </c>
      <c r="X195" s="161" t="b">
        <f t="array" ref="X195">index('Query Tool'!B:B,match(D195,'Query Tool'!C:C,0))</f>
        <v>1</v>
      </c>
      <c r="Y195" s="161" t="str">
        <f t="shared" si="6"/>
        <v>bayleje01,2013-14</v>
      </c>
      <c r="Z195" s="168">
        <f t="array" ref="Z195">iferror(index(I:I,match($A195&amp;","&amp;index('Year Conversion'!$A:$A,match($C195,'Year Conversion'!$B:$B,0)),$Y:$Y,0))-I195,"")</f>
        <v>1</v>
      </c>
      <c r="AA195" s="168">
        <f t="array" ref="AA195">iferror(index(J:J,match($A195&amp;","&amp;index('Year Conversion'!$A:$A,match($C195,'Year Conversion'!$B:$B,0)),$Y:$Y,0))-J195,"")</f>
        <v>-0.9829030457</v>
      </c>
      <c r="AB195" s="168">
        <f t="array" ref="AB195">iferror(index(K:K,match($A195&amp;","&amp;index('Year Conversion'!$A:$A,match($C195,'Year Conversion'!$B:$B,0)),$Y:$Y,0))-K195,"")</f>
        <v>-1.795699449</v>
      </c>
      <c r="AC195" s="168" t="str">
        <f t="shared" si="7"/>
        <v>TOT,2013-14</v>
      </c>
    </row>
    <row r="196">
      <c r="A196" s="161" t="str">
        <f>IFERROR(__xludf.DUMMYFUNCTION("""COMPUTED_VALUE"""),"thompja02")</f>
        <v>thompja02</v>
      </c>
      <c r="B196" s="161" t="str">
        <f>IFERROR(__xludf.DUMMYFUNCTION("""COMPUTED_VALUE"""),"Jason Thompson")</f>
        <v>Jason Thompson</v>
      </c>
      <c r="C196" s="162" t="str">
        <f>IFERROR(__xludf.DUMMYFUNCTION("""COMPUTED_VALUE"""),"2013-14")</f>
        <v>2013-14</v>
      </c>
      <c r="D196" s="163" t="str">
        <f>IFERROR(__xludf.DUMMYFUNCTION("""COMPUTED_VALUE"""),"SAC")</f>
        <v>SAC</v>
      </c>
      <c r="E196" s="164" t="str">
        <f>IFERROR(__xludf.DUMMYFUNCTION("""COMPUTED_VALUE"""),"Post Scorer")</f>
        <v>Post Scorer</v>
      </c>
      <c r="F196" s="164">
        <f>IFERROR(__xludf.DUMMYFUNCTION("""COMPUTED_VALUE"""),2006.66666666667)</f>
        <v>2006.666667</v>
      </c>
      <c r="G196" s="163">
        <f>IFERROR(__xludf.DUMMYFUNCTION("""COMPUTED_VALUE"""),82.0)</f>
        <v>82</v>
      </c>
      <c r="H196" s="163" t="str">
        <f>IFERROR(__xludf.DUMMYFUNCTION("""COMPUTED_VALUE"""),"PF")</f>
        <v>PF</v>
      </c>
      <c r="I196" s="163">
        <f>IFERROR(__xludf.DUMMYFUNCTION("""COMPUTED_VALUE"""),27.0)</f>
        <v>27</v>
      </c>
      <c r="J196" s="165">
        <f>IFERROR(__xludf.DUMMYFUNCTION("""COMPUTED_VALUE"""),-0.0885444061322529)</f>
        <v>-0.08854440613</v>
      </c>
      <c r="K196" s="165">
        <f>IFERROR(__xludf.DUMMYFUNCTION("""COMPUTED_VALUE"""),-1.18952828670989)</f>
        <v>-1.189528287</v>
      </c>
      <c r="L196" s="165">
        <f>IFERROR(__xludf.DUMMYFUNCTION("""COMPUTED_VALUE"""),1.10098388057764)</f>
        <v>1.100983881</v>
      </c>
      <c r="M196" s="166">
        <f t="shared" si="2"/>
        <v>2.973822971</v>
      </c>
      <c r="N196" s="167">
        <f t="shared" si="3"/>
        <v>24.47154472</v>
      </c>
      <c r="O196" s="163">
        <f t="shared" ref="O196:Q196" si="200">rank(I196,I:I)</f>
        <v>1366</v>
      </c>
      <c r="P196" s="163">
        <f t="shared" si="200"/>
        <v>1375</v>
      </c>
      <c r="Q196" s="163">
        <f t="shared" si="200"/>
        <v>3025</v>
      </c>
      <c r="R196" s="163">
        <f>IFERROR(__xludf.DUMMYFUNCTION("RANK(M196,filter(M:M,C:C=C196))"),112.0)</f>
        <v>112</v>
      </c>
      <c r="S196" s="161" t="b">
        <f t="shared" si="5"/>
        <v>0</v>
      </c>
      <c r="T196" s="161" t="b">
        <f t="array" ref="T196">index('Query Tool'!B:B,match(H196,'Query Tool'!C:C,0))</f>
        <v>1</v>
      </c>
      <c r="U196" s="161" t="b">
        <f t="array" ref="U196">index('Query Tool'!B:B,match(C196,'Query Tool'!C:C,0))</f>
        <v>0</v>
      </c>
      <c r="V196" s="161" t="b">
        <f>F196&gt;='Query Tool'!C$32</f>
        <v>1</v>
      </c>
      <c r="W196" s="161" t="b">
        <f t="array" ref="W196">index(Dropdowns!B:B,match(I196,Dropdowns!A:A,0))</f>
        <v>1</v>
      </c>
      <c r="X196" s="161" t="b">
        <f t="array" ref="X196">index('Query Tool'!B:B,match(D196,'Query Tool'!C:C,0))</f>
        <v>1</v>
      </c>
      <c r="Y196" s="161" t="str">
        <f t="shared" si="6"/>
        <v>thompja02,2013-14</v>
      </c>
      <c r="Z196" s="168">
        <f t="array" ref="Z196">iferror(index(I:I,match($A196&amp;","&amp;index('Year Conversion'!$A:$A,match($C196,'Year Conversion'!$B:$B,0)),$Y:$Y,0))-I196,"")</f>
        <v>1</v>
      </c>
      <c r="AA196" s="168">
        <f t="array" ref="AA196">iferror(index(J:J,match($A196&amp;","&amp;index('Year Conversion'!$A:$A,match($C196,'Year Conversion'!$B:$B,0)),$Y:$Y,0))-J196,"")</f>
        <v>-1.523925108</v>
      </c>
      <c r="AB196" s="168">
        <f t="array" ref="AB196">iferror(index(K:K,match($A196&amp;","&amp;index('Year Conversion'!$A:$A,match($C196,'Year Conversion'!$B:$B,0)),$Y:$Y,0))-K196,"")</f>
        <v>-0.5421584681</v>
      </c>
      <c r="AC196" s="168" t="str">
        <f t="shared" si="7"/>
        <v>SAC,2013-14</v>
      </c>
    </row>
    <row r="197">
      <c r="A197" s="161" t="str">
        <f>IFERROR(__xludf.DUMMYFUNCTION("""COMPUTED_VALUE"""),"rushbr01")</f>
        <v>rushbr01</v>
      </c>
      <c r="B197" s="161" t="str">
        <f>IFERROR(__xludf.DUMMYFUNCTION("""COMPUTED_VALUE"""),"Brandon Rush")</f>
        <v>Brandon Rush</v>
      </c>
      <c r="C197" s="162" t="str">
        <f>IFERROR(__xludf.DUMMYFUNCTION("""COMPUTED_VALUE"""),"2013-14")</f>
        <v>2013-14</v>
      </c>
      <c r="D197" s="163" t="str">
        <f>IFERROR(__xludf.DUMMYFUNCTION("""COMPUTED_VALUE"""),"UTA")</f>
        <v>UTA</v>
      </c>
      <c r="E197" s="164" t="str">
        <f>IFERROR(__xludf.DUMMYFUNCTION("""COMPUTED_VALUE"""),"Stationary Shooter")</f>
        <v>Stationary Shooter</v>
      </c>
      <c r="F197" s="164">
        <f>IFERROR(__xludf.DUMMYFUNCTION("""COMPUTED_VALUE"""),417.968333333333)</f>
        <v>417.9683333</v>
      </c>
      <c r="G197" s="163">
        <f>IFERROR(__xludf.DUMMYFUNCTION("""COMPUTED_VALUE"""),38.0)</f>
        <v>38</v>
      </c>
      <c r="H197" s="163" t="str">
        <f>IFERROR(__xludf.DUMMYFUNCTION("""COMPUTED_VALUE"""),"SG")</f>
        <v>SG</v>
      </c>
      <c r="I197" s="163">
        <f>IFERROR(__xludf.DUMMYFUNCTION("""COMPUTED_VALUE"""),28.0)</f>
        <v>28</v>
      </c>
      <c r="J197" s="165">
        <f>IFERROR(__xludf.DUMMYFUNCTION("""COMPUTED_VALUE"""),-2.42934461548425)</f>
        <v>-2.429344615</v>
      </c>
      <c r="K197" s="165">
        <f>IFERROR(__xludf.DUMMYFUNCTION("""COMPUTED_VALUE"""),-2.15873722442761)</f>
        <v>-2.158737224</v>
      </c>
      <c r="L197" s="165">
        <f>IFERROR(__xludf.DUMMYFUNCTION("""COMPUTED_VALUE"""),-0.270607391056644)</f>
        <v>-0.2706073911</v>
      </c>
      <c r="M197" s="166">
        <f t="shared" si="2"/>
        <v>-0.03463926194</v>
      </c>
      <c r="N197" s="167">
        <f t="shared" si="3"/>
        <v>10.99916667</v>
      </c>
      <c r="O197" s="163">
        <f t="shared" ref="O197:Q197" si="201">rank(I197,I:I)</f>
        <v>1090</v>
      </c>
      <c r="P197" s="163">
        <f t="shared" si="201"/>
        <v>3731</v>
      </c>
      <c r="Q197" s="163">
        <f t="shared" si="201"/>
        <v>3785</v>
      </c>
      <c r="R197" s="163">
        <f>IFERROR(__xludf.DUMMYFUNCTION("RANK(M197,filter(M:M,C:C=C197))"),434.0)</f>
        <v>434</v>
      </c>
      <c r="S197" s="161" t="b">
        <f t="shared" si="5"/>
        <v>0</v>
      </c>
      <c r="T197" s="161" t="b">
        <f t="array" ref="T197">index('Query Tool'!B:B,match(H197,'Query Tool'!C:C,0))</f>
        <v>1</v>
      </c>
      <c r="U197" s="161" t="b">
        <f t="array" ref="U197">index('Query Tool'!B:B,match(C197,'Query Tool'!C:C,0))</f>
        <v>0</v>
      </c>
      <c r="V197" s="161" t="b">
        <f>F197&gt;='Query Tool'!C$32</f>
        <v>0</v>
      </c>
      <c r="W197" s="161" t="b">
        <f t="array" ref="W197">index(Dropdowns!B:B,match(I197,Dropdowns!A:A,0))</f>
        <v>1</v>
      </c>
      <c r="X197" s="161" t="b">
        <f t="array" ref="X197">index('Query Tool'!B:B,match(D197,'Query Tool'!C:C,0))</f>
        <v>1</v>
      </c>
      <c r="Y197" s="161" t="str">
        <f t="shared" si="6"/>
        <v>rushbr01,2013-14</v>
      </c>
      <c r="Z197" s="168">
        <f t="array" ref="Z197">iferror(index(I:I,match($A197&amp;","&amp;index('Year Conversion'!$A:$A,match($C197,'Year Conversion'!$B:$B,0)),$Y:$Y,0))-I197,"")</f>
        <v>1</v>
      </c>
      <c r="AA197" s="168">
        <f t="array" ref="AA197">iferror(index(J:J,match($A197&amp;","&amp;index('Year Conversion'!$A:$A,match($C197,'Year Conversion'!$B:$B,0)),$Y:$Y,0))-J197,"")</f>
        <v>-1.636831263</v>
      </c>
      <c r="AB197" s="168">
        <f t="array" ref="AB197">iferror(index(K:K,match($A197&amp;","&amp;index('Year Conversion'!$A:$A,match($C197,'Year Conversion'!$B:$B,0)),$Y:$Y,0))-K197,"")</f>
        <v>-0.6524219234</v>
      </c>
      <c r="AC197" s="168" t="str">
        <f t="shared" si="7"/>
        <v>UTA,2013-14</v>
      </c>
    </row>
    <row r="198">
      <c r="A198" s="161" t="str">
        <f>IFERROR(__xludf.DUMMYFUNCTION("""COMPUTED_VALUE"""),"randoan01")</f>
        <v>randoan01</v>
      </c>
      <c r="B198" s="161" t="str">
        <f>IFERROR(__xludf.DUMMYFUNCTION("""COMPUTED_VALUE"""),"Anthony Randolph")</f>
        <v>Anthony Randolph</v>
      </c>
      <c r="C198" s="162" t="str">
        <f>IFERROR(__xludf.DUMMYFUNCTION("""COMPUTED_VALUE"""),"2013-14")</f>
        <v>2013-14</v>
      </c>
      <c r="D198" s="163" t="str">
        <f>IFERROR(__xludf.DUMMYFUNCTION("""COMPUTED_VALUE"""),"DEN")</f>
        <v>DEN</v>
      </c>
      <c r="E198" s="164" t="str">
        <f>IFERROR(__xludf.DUMMYFUNCTION("""COMPUTED_VALUE"""),"Stationary Shooter")</f>
        <v>Stationary Shooter</v>
      </c>
      <c r="F198" s="164">
        <f>IFERROR(__xludf.DUMMYFUNCTION("""COMPUTED_VALUE"""),527.003333333333)</f>
        <v>527.0033333</v>
      </c>
      <c r="G198" s="163">
        <f>IFERROR(__xludf.DUMMYFUNCTION("""COMPUTED_VALUE"""),43.0)</f>
        <v>43</v>
      </c>
      <c r="H198" s="163" t="str">
        <f>IFERROR(__xludf.DUMMYFUNCTION("""COMPUTED_VALUE"""),"PF")</f>
        <v>PF</v>
      </c>
      <c r="I198" s="163">
        <f>IFERROR(__xludf.DUMMYFUNCTION("""COMPUTED_VALUE"""),24.0)</f>
        <v>24</v>
      </c>
      <c r="J198" s="165">
        <f>IFERROR(__xludf.DUMMYFUNCTION("""COMPUTED_VALUE"""),-0.487637176620714)</f>
        <v>-0.4876371766</v>
      </c>
      <c r="K198" s="165">
        <f>IFERROR(__xludf.DUMMYFUNCTION("""COMPUTED_VALUE"""),-1.40178145653153)</f>
        <v>-1.401781457</v>
      </c>
      <c r="L198" s="165">
        <f>IFERROR(__xludf.DUMMYFUNCTION("""COMPUTED_VALUE"""),0.914144279910815)</f>
        <v>0.9141442799</v>
      </c>
      <c r="M198" s="166">
        <f t="shared" si="2"/>
        <v>0.639263057</v>
      </c>
      <c r="N198" s="167">
        <f t="shared" si="3"/>
        <v>12.25589147</v>
      </c>
      <c r="O198" s="163">
        <f t="shared" ref="O198:Q198" si="202">rank(I198,I:I)</f>
        <v>2361</v>
      </c>
      <c r="P198" s="163">
        <f t="shared" si="202"/>
        <v>1835</v>
      </c>
      <c r="Q198" s="163">
        <f t="shared" si="202"/>
        <v>3253</v>
      </c>
      <c r="R198" s="163">
        <f>IFERROR(__xludf.DUMMYFUNCTION("RANK(M198,filter(M:M,C:C=C198))"),254.0)</f>
        <v>254</v>
      </c>
      <c r="S198" s="161" t="b">
        <f t="shared" si="5"/>
        <v>0</v>
      </c>
      <c r="T198" s="161" t="b">
        <f t="array" ref="T198">index('Query Tool'!B:B,match(H198,'Query Tool'!C:C,0))</f>
        <v>1</v>
      </c>
      <c r="U198" s="161" t="b">
        <f t="array" ref="U198">index('Query Tool'!B:B,match(C198,'Query Tool'!C:C,0))</f>
        <v>0</v>
      </c>
      <c r="V198" s="161" t="b">
        <f>F198&gt;='Query Tool'!C$32</f>
        <v>1</v>
      </c>
      <c r="W198" s="161" t="b">
        <f t="array" ref="W198">index(Dropdowns!B:B,match(I198,Dropdowns!A:A,0))</f>
        <v>1</v>
      </c>
      <c r="X198" s="161" t="b">
        <f t="array" ref="X198">index('Query Tool'!B:B,match(D198,'Query Tool'!C:C,0))</f>
        <v>1</v>
      </c>
      <c r="Y198" s="161" t="str">
        <f t="shared" si="6"/>
        <v>randoan01,2013-14</v>
      </c>
      <c r="Z198" s="168" t="str">
        <f t="array" ref="Z198">iferror(index(I:I,match($A198&amp;","&amp;index('Year Conversion'!$A:$A,match($C198,'Year Conversion'!$B:$B,0)),$Y:$Y,0))-I198,"")</f>
        <v/>
      </c>
      <c r="AA198" s="168" t="str">
        <f t="array" ref="AA198">iferror(index(J:J,match($A198&amp;","&amp;index('Year Conversion'!$A:$A,match($C198,'Year Conversion'!$B:$B,0)),$Y:$Y,0))-J198,"")</f>
        <v/>
      </c>
      <c r="AB198" s="168" t="str">
        <f t="array" ref="AB198">iferror(index(K:K,match($A198&amp;","&amp;index('Year Conversion'!$A:$A,match($C198,'Year Conversion'!$B:$B,0)),$Y:$Y,0))-K198,"")</f>
        <v/>
      </c>
      <c r="AC198" s="168" t="str">
        <f t="shared" si="7"/>
        <v>DEN,2013-14</v>
      </c>
    </row>
    <row r="199">
      <c r="A199" s="161" t="str">
        <f>IFERROR(__xludf.DUMMYFUNCTION("""COMPUTED_VALUE"""),"lopezro01")</f>
        <v>lopezro01</v>
      </c>
      <c r="B199" s="161" t="str">
        <f>IFERROR(__xludf.DUMMYFUNCTION("""COMPUTED_VALUE"""),"Robin Lopez")</f>
        <v>Robin Lopez</v>
      </c>
      <c r="C199" s="162" t="str">
        <f>IFERROR(__xludf.DUMMYFUNCTION("""COMPUTED_VALUE"""),"2013-14")</f>
        <v>2013-14</v>
      </c>
      <c r="D199" s="163" t="str">
        <f>IFERROR(__xludf.DUMMYFUNCTION("""COMPUTED_VALUE"""),"POR")</f>
        <v>POR</v>
      </c>
      <c r="E199" s="164" t="str">
        <f>IFERROR(__xludf.DUMMYFUNCTION("""COMPUTED_VALUE"""),"Roll + Cut Big")</f>
        <v>Roll + Cut Big</v>
      </c>
      <c r="F199" s="164">
        <f>IFERROR(__xludf.DUMMYFUNCTION("""COMPUTED_VALUE"""),2603.61666666667)</f>
        <v>2603.616667</v>
      </c>
      <c r="G199" s="163">
        <f>IFERROR(__xludf.DUMMYFUNCTION("""COMPUTED_VALUE"""),82.0)</f>
        <v>82</v>
      </c>
      <c r="H199" s="163" t="str">
        <f>IFERROR(__xludf.DUMMYFUNCTION("""COMPUTED_VALUE"""),"C")</f>
        <v>C</v>
      </c>
      <c r="I199" s="163">
        <f>IFERROR(__xludf.DUMMYFUNCTION("""COMPUTED_VALUE"""),25.0)</f>
        <v>25</v>
      </c>
      <c r="J199" s="165">
        <f>IFERROR(__xludf.DUMMYFUNCTION("""COMPUTED_VALUE"""),1.28014572198867)</f>
        <v>1.280145722</v>
      </c>
      <c r="K199" s="165">
        <f>IFERROR(__xludf.DUMMYFUNCTION("""COMPUTED_VALUE"""),0.0676703390014441)</f>
        <v>0.067670339</v>
      </c>
      <c r="L199" s="165">
        <f>IFERROR(__xludf.DUMMYFUNCTION("""COMPUTED_VALUE"""),1.21247538298722)</f>
        <v>1.212475383</v>
      </c>
      <c r="M199" s="166">
        <f t="shared" si="2"/>
        <v>6.255887888</v>
      </c>
      <c r="N199" s="167">
        <f t="shared" si="3"/>
        <v>31.75142276</v>
      </c>
      <c r="O199" s="163">
        <f t="shared" ref="O199:Q199" si="203">rank(I199,I:I)</f>
        <v>1995</v>
      </c>
      <c r="P199" s="163">
        <f t="shared" si="203"/>
        <v>536</v>
      </c>
      <c r="Q199" s="163">
        <f t="shared" si="203"/>
        <v>1110</v>
      </c>
      <c r="R199" s="163">
        <f>IFERROR(__xludf.DUMMYFUNCTION("RANK(M199,filter(M:M,C:C=C199))"),47.0)</f>
        <v>47</v>
      </c>
      <c r="S199" s="161" t="b">
        <f t="shared" si="5"/>
        <v>0</v>
      </c>
      <c r="T199" s="161" t="b">
        <f t="array" ref="T199">index('Query Tool'!B:B,match(H199,'Query Tool'!C:C,0))</f>
        <v>1</v>
      </c>
      <c r="U199" s="161" t="b">
        <f t="array" ref="U199">index('Query Tool'!B:B,match(C199,'Query Tool'!C:C,0))</f>
        <v>0</v>
      </c>
      <c r="V199" s="161" t="b">
        <f>F199&gt;='Query Tool'!C$32</f>
        <v>1</v>
      </c>
      <c r="W199" s="161" t="b">
        <f t="array" ref="W199">index(Dropdowns!B:B,match(I199,Dropdowns!A:A,0))</f>
        <v>1</v>
      </c>
      <c r="X199" s="161" t="b">
        <f t="array" ref="X199">index('Query Tool'!B:B,match(D199,'Query Tool'!C:C,0))</f>
        <v>1</v>
      </c>
      <c r="Y199" s="161" t="str">
        <f t="shared" si="6"/>
        <v>lopezro01,2013-14</v>
      </c>
      <c r="Z199" s="168">
        <f t="array" ref="Z199">iferror(index(I:I,match($A199&amp;","&amp;index('Year Conversion'!$A:$A,match($C199,'Year Conversion'!$B:$B,0)),$Y:$Y,0))-I199,"")</f>
        <v>1</v>
      </c>
      <c r="AA199" s="168">
        <f t="array" ref="AA199">iferror(index(J:J,match($A199&amp;","&amp;index('Year Conversion'!$A:$A,match($C199,'Year Conversion'!$B:$B,0)),$Y:$Y,0))-J199,"")</f>
        <v>-0.6654783668</v>
      </c>
      <c r="AB199" s="168">
        <f t="array" ref="AB199">iferror(index(K:K,match($A199&amp;","&amp;index('Year Conversion'!$A:$A,match($C199,'Year Conversion'!$B:$B,0)),$Y:$Y,0))-K199,"")</f>
        <v>-0.6058579652</v>
      </c>
      <c r="AC199" s="168" t="str">
        <f t="shared" si="7"/>
        <v>POR,2013-14</v>
      </c>
    </row>
    <row r="200">
      <c r="A200" s="161" t="str">
        <f>IFERROR(__xludf.DUMMYFUNCTION("""COMPUTED_VALUE"""),"speigma01")</f>
        <v>speigma01</v>
      </c>
      <c r="B200" s="161" t="str">
        <f>IFERROR(__xludf.DUMMYFUNCTION("""COMPUTED_VALUE"""),"Marreese Speights")</f>
        <v>Marreese Speights</v>
      </c>
      <c r="C200" s="162" t="str">
        <f>IFERROR(__xludf.DUMMYFUNCTION("""COMPUTED_VALUE"""),"2013-14")</f>
        <v>2013-14</v>
      </c>
      <c r="D200" s="163" t="str">
        <f>IFERROR(__xludf.DUMMYFUNCTION("""COMPUTED_VALUE"""),"GSW")</f>
        <v>GSW</v>
      </c>
      <c r="E200" s="164" t="str">
        <f>IFERROR(__xludf.DUMMYFUNCTION("""COMPUTED_VALUE"""),"Roll + Cut Big")</f>
        <v>Roll + Cut Big</v>
      </c>
      <c r="F200" s="164">
        <f>IFERROR(__xludf.DUMMYFUNCTION("""COMPUTED_VALUE"""),982.23)</f>
        <v>982.23</v>
      </c>
      <c r="G200" s="163">
        <f>IFERROR(__xludf.DUMMYFUNCTION("""COMPUTED_VALUE"""),79.0)</f>
        <v>79</v>
      </c>
      <c r="H200" s="163" t="str">
        <f>IFERROR(__xludf.DUMMYFUNCTION("""COMPUTED_VALUE"""),"C")</f>
        <v>C</v>
      </c>
      <c r="I200" s="163">
        <f>IFERROR(__xludf.DUMMYFUNCTION("""COMPUTED_VALUE"""),26.0)</f>
        <v>26</v>
      </c>
      <c r="J200" s="165">
        <f>IFERROR(__xludf.DUMMYFUNCTION("""COMPUTED_VALUE"""),-3.15857786942891)</f>
        <v>-3.158577869</v>
      </c>
      <c r="K200" s="165">
        <f>IFERROR(__xludf.DUMMYFUNCTION("""COMPUTED_VALUE"""),-2.2978565608234)</f>
        <v>-2.297856561</v>
      </c>
      <c r="L200" s="165">
        <f>IFERROR(__xludf.DUMMYFUNCTION("""COMPUTED_VALUE"""),-0.860721308605506)</f>
        <v>-0.8607213086</v>
      </c>
      <c r="M200" s="166">
        <f t="shared" si="2"/>
        <v>-0.5488531982</v>
      </c>
      <c r="N200" s="167">
        <f t="shared" si="3"/>
        <v>12.43329114</v>
      </c>
      <c r="O200" s="163">
        <f t="shared" ref="O200:Q200" si="204">rank(I200,I:I)</f>
        <v>1665</v>
      </c>
      <c r="P200" s="163">
        <f t="shared" si="204"/>
        <v>3919</v>
      </c>
      <c r="Q200" s="163">
        <f t="shared" si="204"/>
        <v>3833</v>
      </c>
      <c r="R200" s="163">
        <f>IFERROR(__xludf.DUMMYFUNCTION("RANK(M200,filter(M:M,C:C=C200))"),471.0)</f>
        <v>471</v>
      </c>
      <c r="S200" s="161" t="b">
        <f t="shared" si="5"/>
        <v>0</v>
      </c>
      <c r="T200" s="161" t="b">
        <f t="array" ref="T200">index('Query Tool'!B:B,match(H200,'Query Tool'!C:C,0))</f>
        <v>1</v>
      </c>
      <c r="U200" s="161" t="b">
        <f t="array" ref="U200">index('Query Tool'!B:B,match(C200,'Query Tool'!C:C,0))</f>
        <v>0</v>
      </c>
      <c r="V200" s="161" t="b">
        <f>F200&gt;='Query Tool'!C$32</f>
        <v>1</v>
      </c>
      <c r="W200" s="161" t="b">
        <f t="array" ref="W200">index(Dropdowns!B:B,match(I200,Dropdowns!A:A,0))</f>
        <v>1</v>
      </c>
      <c r="X200" s="161" t="b">
        <f t="array" ref="X200">index('Query Tool'!B:B,match(D200,'Query Tool'!C:C,0))</f>
        <v>1</v>
      </c>
      <c r="Y200" s="161" t="str">
        <f t="shared" si="6"/>
        <v>speigma01,2013-14</v>
      </c>
      <c r="Z200" s="168">
        <f t="array" ref="Z200">iferror(index(I:I,match($A200&amp;","&amp;index('Year Conversion'!$A:$A,match($C200,'Year Conversion'!$B:$B,0)),$Y:$Y,0))-I200,"")</f>
        <v>1</v>
      </c>
      <c r="AA200" s="168">
        <f t="array" ref="AA200">iferror(index(J:J,match($A200&amp;","&amp;index('Year Conversion'!$A:$A,match($C200,'Year Conversion'!$B:$B,0)),$Y:$Y,0))-J200,"")</f>
        <v>2.856109356</v>
      </c>
      <c r="AB200" s="168">
        <f t="array" ref="AB200">iferror(index(K:K,match($A200&amp;","&amp;index('Year Conversion'!$A:$A,match($C200,'Year Conversion'!$B:$B,0)),$Y:$Y,0))-K200,"")</f>
        <v>2.687943392</v>
      </c>
      <c r="AC200" s="168" t="str">
        <f t="shared" si="7"/>
        <v>GSW,2013-14</v>
      </c>
    </row>
    <row r="201">
      <c r="A201" s="161" t="str">
        <f>IFERROR(__xludf.DUMMYFUNCTION("""COMPUTED_VALUE"""),"hibbero01")</f>
        <v>hibbero01</v>
      </c>
      <c r="B201" s="161" t="str">
        <f>IFERROR(__xludf.DUMMYFUNCTION("""COMPUTED_VALUE"""),"Roy Hibbert")</f>
        <v>Roy Hibbert</v>
      </c>
      <c r="C201" s="162" t="str">
        <f>IFERROR(__xludf.DUMMYFUNCTION("""COMPUTED_VALUE"""),"2013-14")</f>
        <v>2013-14</v>
      </c>
      <c r="D201" s="163" t="str">
        <f>IFERROR(__xludf.DUMMYFUNCTION("""COMPUTED_VALUE"""),"IND")</f>
        <v>IND</v>
      </c>
      <c r="E201" s="164" t="str">
        <f>IFERROR(__xludf.DUMMYFUNCTION("""COMPUTED_VALUE"""),"Post Scorer")</f>
        <v>Post Scorer</v>
      </c>
      <c r="F201" s="164">
        <f>IFERROR(__xludf.DUMMYFUNCTION("""COMPUTED_VALUE"""),2408.96166666667)</f>
        <v>2408.961667</v>
      </c>
      <c r="G201" s="163">
        <f>IFERROR(__xludf.DUMMYFUNCTION("""COMPUTED_VALUE"""),81.0)</f>
        <v>81</v>
      </c>
      <c r="H201" s="163" t="str">
        <f>IFERROR(__xludf.DUMMYFUNCTION("""COMPUTED_VALUE"""),"C")</f>
        <v>C</v>
      </c>
      <c r="I201" s="163">
        <f>IFERROR(__xludf.DUMMYFUNCTION("""COMPUTED_VALUE"""),27.0)</f>
        <v>27</v>
      </c>
      <c r="J201" s="165">
        <f>IFERROR(__xludf.DUMMYFUNCTION("""COMPUTED_VALUE"""),1.2477928294665)</f>
        <v>1.247792829</v>
      </c>
      <c r="K201" s="165">
        <f>IFERROR(__xludf.DUMMYFUNCTION("""COMPUTED_VALUE"""),-1.67342717728027)</f>
        <v>-1.673427177</v>
      </c>
      <c r="L201" s="165">
        <f>IFERROR(__xludf.DUMMYFUNCTION("""COMPUTED_VALUE"""),2.92122000674677)</f>
        <v>2.921220007</v>
      </c>
      <c r="M201" s="166">
        <f t="shared" si="2"/>
        <v>5.735981075</v>
      </c>
      <c r="N201" s="167">
        <f t="shared" si="3"/>
        <v>29.74026749</v>
      </c>
      <c r="O201" s="163">
        <f t="shared" ref="O201:Q201" si="205">rank(I201,I:I)</f>
        <v>1366</v>
      </c>
      <c r="P201" s="163">
        <f t="shared" si="205"/>
        <v>549</v>
      </c>
      <c r="Q201" s="163">
        <f t="shared" si="205"/>
        <v>3501</v>
      </c>
      <c r="R201" s="163">
        <f>IFERROR(__xludf.DUMMYFUNCTION("RANK(M201,filter(M:M,C:C=C201))"),54.0)</f>
        <v>54</v>
      </c>
      <c r="S201" s="161" t="b">
        <f t="shared" si="5"/>
        <v>0</v>
      </c>
      <c r="T201" s="161" t="b">
        <f t="array" ref="T201">index('Query Tool'!B:B,match(H201,'Query Tool'!C:C,0))</f>
        <v>1</v>
      </c>
      <c r="U201" s="161" t="b">
        <f t="array" ref="U201">index('Query Tool'!B:B,match(C201,'Query Tool'!C:C,0))</f>
        <v>0</v>
      </c>
      <c r="V201" s="161" t="b">
        <f>F201&gt;='Query Tool'!C$32</f>
        <v>1</v>
      </c>
      <c r="W201" s="161" t="b">
        <f t="array" ref="W201">index(Dropdowns!B:B,match(I201,Dropdowns!A:A,0))</f>
        <v>1</v>
      </c>
      <c r="X201" s="161" t="b">
        <f t="array" ref="X201">index('Query Tool'!B:B,match(D201,'Query Tool'!C:C,0))</f>
        <v>1</v>
      </c>
      <c r="Y201" s="161" t="str">
        <f t="shared" si="6"/>
        <v>hibbero01,2013-14</v>
      </c>
      <c r="Z201" s="168">
        <f t="array" ref="Z201">iferror(index(I:I,match($A201&amp;","&amp;index('Year Conversion'!$A:$A,match($C201,'Year Conversion'!$B:$B,0)),$Y:$Y,0))-I201,"")</f>
        <v>1</v>
      </c>
      <c r="AA201" s="168">
        <f t="array" ref="AA201">iferror(index(J:J,match($A201&amp;","&amp;index('Year Conversion'!$A:$A,match($C201,'Year Conversion'!$B:$B,0)),$Y:$Y,0))-J201,"")</f>
        <v>-1.73754868</v>
      </c>
      <c r="AB201" s="168">
        <f t="array" ref="AB201">iferror(index(K:K,match($A201&amp;","&amp;index('Year Conversion'!$A:$A,match($C201,'Year Conversion'!$B:$B,0)),$Y:$Y,0))-K201,"")</f>
        <v>-0.4509186633</v>
      </c>
      <c r="AC201" s="168" t="str">
        <f t="shared" si="7"/>
        <v>IND,2013-14</v>
      </c>
    </row>
    <row r="202">
      <c r="A202" s="161" t="str">
        <f>IFERROR(__xludf.DUMMYFUNCTION("""COMPUTED_VALUE"""),"mcgeeja01")</f>
        <v>mcgeeja01</v>
      </c>
      <c r="B202" s="161" t="str">
        <f>IFERROR(__xludf.DUMMYFUNCTION("""COMPUTED_VALUE"""),"JaVale McGee")</f>
        <v>JaVale McGee</v>
      </c>
      <c r="C202" s="162" t="str">
        <f>IFERROR(__xludf.DUMMYFUNCTION("""COMPUTED_VALUE"""),"2013-14")</f>
        <v>2013-14</v>
      </c>
      <c r="D202" s="163" t="str">
        <f>IFERROR(__xludf.DUMMYFUNCTION("""COMPUTED_VALUE"""),"DEN")</f>
        <v>DEN</v>
      </c>
      <c r="E202" s="164" t="str">
        <f>IFERROR(__xludf.DUMMYFUNCTION("""COMPUTED_VALUE"""),"Post Scorer")</f>
        <v>Post Scorer</v>
      </c>
      <c r="F202" s="164">
        <f>IFERROR(__xludf.DUMMYFUNCTION("""COMPUTED_VALUE"""),79.49)</f>
        <v>79.49</v>
      </c>
      <c r="G202" s="163">
        <f>IFERROR(__xludf.DUMMYFUNCTION("""COMPUTED_VALUE"""),5.0)</f>
        <v>5</v>
      </c>
      <c r="H202" s="163" t="str">
        <f>IFERROR(__xludf.DUMMYFUNCTION("""COMPUTED_VALUE"""),"C")</f>
        <v>C</v>
      </c>
      <c r="I202" s="163">
        <f>IFERROR(__xludf.DUMMYFUNCTION("""COMPUTED_VALUE"""),26.0)</f>
        <v>26</v>
      </c>
      <c r="J202" s="165">
        <f>IFERROR(__xludf.DUMMYFUNCTION("""COMPUTED_VALUE"""),-0.283414199978096)</f>
        <v>-0.2834142</v>
      </c>
      <c r="K202" s="165">
        <f>IFERROR(__xludf.DUMMYFUNCTION("""COMPUTED_VALUE"""),-0.448988951899974)</f>
        <v>-0.4489889519</v>
      </c>
      <c r="L202" s="165">
        <f>IFERROR(__xludf.DUMMYFUNCTION("""COMPUTED_VALUE"""),0.165574751921877)</f>
        <v>0.1655747519</v>
      </c>
      <c r="M202" s="166">
        <f t="shared" si="2"/>
        <v>0.1073602288</v>
      </c>
      <c r="N202" s="167">
        <f t="shared" si="3"/>
        <v>15.898</v>
      </c>
      <c r="O202" s="163">
        <f t="shared" ref="O202:Q202" si="206">rank(I202,I:I)</f>
        <v>1665</v>
      </c>
      <c r="P202" s="163">
        <f t="shared" si="206"/>
        <v>1593</v>
      </c>
      <c r="Q202" s="163">
        <f t="shared" si="206"/>
        <v>2031</v>
      </c>
      <c r="R202" s="163">
        <f>IFERROR(__xludf.DUMMYFUNCTION("RANK(M202,filter(M:M,C:C=C202))"),356.0)</f>
        <v>356</v>
      </c>
      <c r="S202" s="161" t="b">
        <f t="shared" si="5"/>
        <v>0</v>
      </c>
      <c r="T202" s="161" t="b">
        <f t="array" ref="T202">index('Query Tool'!B:B,match(H202,'Query Tool'!C:C,0))</f>
        <v>1</v>
      </c>
      <c r="U202" s="161" t="b">
        <f t="array" ref="U202">index('Query Tool'!B:B,match(C202,'Query Tool'!C:C,0))</f>
        <v>0</v>
      </c>
      <c r="V202" s="161" t="b">
        <f>F202&gt;='Query Tool'!C$32</f>
        <v>0</v>
      </c>
      <c r="W202" s="161" t="b">
        <f t="array" ref="W202">index(Dropdowns!B:B,match(I202,Dropdowns!A:A,0))</f>
        <v>1</v>
      </c>
      <c r="X202" s="161" t="b">
        <f t="array" ref="X202">index('Query Tool'!B:B,match(D202,'Query Tool'!C:C,0))</f>
        <v>1</v>
      </c>
      <c r="Y202" s="161" t="str">
        <f t="shared" si="6"/>
        <v>mcgeeja01,2013-14</v>
      </c>
      <c r="Z202" s="168">
        <f t="array" ref="Z202">iferror(index(I:I,match($A202&amp;","&amp;index('Year Conversion'!$A:$A,match($C202,'Year Conversion'!$B:$B,0)),$Y:$Y,0))-I202,"")</f>
        <v>1</v>
      </c>
      <c r="AA202" s="168">
        <f t="array" ref="AA202">iferror(index(J:J,match($A202&amp;","&amp;index('Year Conversion'!$A:$A,match($C202,'Year Conversion'!$B:$B,0)),$Y:$Y,0))-J202,"")</f>
        <v>-0.3535749106</v>
      </c>
      <c r="AB202" s="168">
        <f t="array" ref="AB202">iferror(index(K:K,match($A202&amp;","&amp;index('Year Conversion'!$A:$A,match($C202,'Year Conversion'!$B:$B,0)),$Y:$Y,0))-K202,"")</f>
        <v>-0.5373449703</v>
      </c>
      <c r="AC202" s="168" t="str">
        <f t="shared" si="7"/>
        <v>DEN,2013-14</v>
      </c>
    </row>
    <row r="203">
      <c r="A203" s="161" t="str">
        <f>IFERROR(__xludf.DUMMYFUNCTION("""COMPUTED_VALUE"""),"hicksjj01")</f>
        <v>hicksjj01</v>
      </c>
      <c r="B203" s="161" t="str">
        <f>IFERROR(__xludf.DUMMYFUNCTION("""COMPUTED_VALUE"""),"JJ Hickson")</f>
        <v>JJ Hickson</v>
      </c>
      <c r="C203" s="162" t="str">
        <f>IFERROR(__xludf.DUMMYFUNCTION("""COMPUTED_VALUE"""),"2013-14")</f>
        <v>2013-14</v>
      </c>
      <c r="D203" s="163" t="str">
        <f>IFERROR(__xludf.DUMMYFUNCTION("""COMPUTED_VALUE"""),"DEN")</f>
        <v>DEN</v>
      </c>
      <c r="E203" s="164" t="str">
        <f>IFERROR(__xludf.DUMMYFUNCTION("""COMPUTED_VALUE"""),"Post Scorer")</f>
        <v>Post Scorer</v>
      </c>
      <c r="F203" s="164">
        <f>IFERROR(__xludf.DUMMYFUNCTION("""COMPUTED_VALUE"""),1859.445)</f>
        <v>1859.445</v>
      </c>
      <c r="G203" s="163">
        <f>IFERROR(__xludf.DUMMYFUNCTION("""COMPUTED_VALUE"""),69.0)</f>
        <v>69</v>
      </c>
      <c r="H203" s="163" t="str">
        <f>IFERROR(__xludf.DUMMYFUNCTION("""COMPUTED_VALUE"""),"PF")</f>
        <v>PF</v>
      </c>
      <c r="I203" s="163">
        <f>IFERROR(__xludf.DUMMYFUNCTION("""COMPUTED_VALUE"""),25.0)</f>
        <v>25</v>
      </c>
      <c r="J203" s="165">
        <f>IFERROR(__xludf.DUMMYFUNCTION("""COMPUTED_VALUE"""),-1.03769202979432)</f>
        <v>-1.03769203</v>
      </c>
      <c r="K203" s="165">
        <f>IFERROR(__xludf.DUMMYFUNCTION("""COMPUTED_VALUE"""),-1.13999005948566)</f>
        <v>-1.139990059</v>
      </c>
      <c r="L203" s="165">
        <f>IFERROR(__xludf.DUMMYFUNCTION("""COMPUTED_VALUE"""),0.102298029691339)</f>
        <v>0.1022980297</v>
      </c>
      <c r="M203" s="166">
        <f t="shared" si="2"/>
        <v>1.567716514</v>
      </c>
      <c r="N203" s="167">
        <f t="shared" si="3"/>
        <v>26.94847826</v>
      </c>
      <c r="O203" s="163">
        <f t="shared" ref="O203:Q203" si="207">rank(I203,I:I)</f>
        <v>1995</v>
      </c>
      <c r="P203" s="163">
        <f t="shared" si="207"/>
        <v>2541</v>
      </c>
      <c r="Q203" s="163">
        <f t="shared" si="207"/>
        <v>2973</v>
      </c>
      <c r="R203" s="163">
        <f>IFERROR(__xludf.DUMMYFUNCTION("RANK(M203,filter(M:M,C:C=C203))"),179.0)</f>
        <v>179</v>
      </c>
      <c r="S203" s="161" t="b">
        <f t="shared" si="5"/>
        <v>0</v>
      </c>
      <c r="T203" s="161" t="b">
        <f t="array" ref="T203">index('Query Tool'!B:B,match(H203,'Query Tool'!C:C,0))</f>
        <v>1</v>
      </c>
      <c r="U203" s="161" t="b">
        <f t="array" ref="U203">index('Query Tool'!B:B,match(C203,'Query Tool'!C:C,0))</f>
        <v>0</v>
      </c>
      <c r="V203" s="161" t="b">
        <f>F203&gt;='Query Tool'!C$32</f>
        <v>1</v>
      </c>
      <c r="W203" s="161" t="b">
        <f t="array" ref="W203">index(Dropdowns!B:B,match(I203,Dropdowns!A:A,0))</f>
        <v>1</v>
      </c>
      <c r="X203" s="161" t="b">
        <f t="array" ref="X203">index('Query Tool'!B:B,match(D203,'Query Tool'!C:C,0))</f>
        <v>1</v>
      </c>
      <c r="Y203" s="161" t="str">
        <f t="shared" si="6"/>
        <v>hicksjj01,2013-14</v>
      </c>
      <c r="Z203" s="168">
        <f t="array" ref="Z203">iferror(index(I:I,match($A203&amp;","&amp;index('Year Conversion'!$A:$A,match($C203,'Year Conversion'!$B:$B,0)),$Y:$Y,0))-I203,"")</f>
        <v>1</v>
      </c>
      <c r="AA203" s="168">
        <f t="array" ref="AA203">iferror(index(J:J,match($A203&amp;","&amp;index('Year Conversion'!$A:$A,match($C203,'Year Conversion'!$B:$B,0)),$Y:$Y,0))-J203,"")</f>
        <v>-1.582931115</v>
      </c>
      <c r="AB203" s="168">
        <f t="array" ref="AB203">iferror(index(K:K,match($A203&amp;","&amp;index('Year Conversion'!$A:$A,match($C203,'Year Conversion'!$B:$B,0)),$Y:$Y,0))-K203,"")</f>
        <v>-0.6553420396</v>
      </c>
      <c r="AC203" s="168" t="str">
        <f t="shared" si="7"/>
        <v>DEN,2013-14</v>
      </c>
    </row>
    <row r="204">
      <c r="A204" s="161" t="str">
        <f>IFERROR(__xludf.DUMMYFUNCTION("""COMPUTED_VALUE"""),"ajincal01")</f>
        <v>ajincal01</v>
      </c>
      <c r="B204" s="161" t="str">
        <f>IFERROR(__xludf.DUMMYFUNCTION("""COMPUTED_VALUE"""),"Alexis Ajinca")</f>
        <v>Alexis Ajinca</v>
      </c>
      <c r="C204" s="162" t="str">
        <f>IFERROR(__xludf.DUMMYFUNCTION("""COMPUTED_VALUE"""),"2013-14")</f>
        <v>2013-14</v>
      </c>
      <c r="D204" s="163" t="str">
        <f>IFERROR(__xludf.DUMMYFUNCTION("""COMPUTED_VALUE"""),"NOP")</f>
        <v>NOP</v>
      </c>
      <c r="E204" s="164" t="str">
        <f>IFERROR(__xludf.DUMMYFUNCTION("""COMPUTED_VALUE"""),"Roll + Cut Big")</f>
        <v>Roll + Cut Big</v>
      </c>
      <c r="F204" s="164">
        <f>IFERROR(__xludf.DUMMYFUNCTION("""COMPUTED_VALUE"""),950.578333333334)</f>
        <v>950.5783333</v>
      </c>
      <c r="G204" s="163">
        <f>IFERROR(__xludf.DUMMYFUNCTION("""COMPUTED_VALUE"""),56.0)</f>
        <v>56</v>
      </c>
      <c r="H204" s="163" t="str">
        <f>IFERROR(__xludf.DUMMYFUNCTION("""COMPUTED_VALUE"""),"C")</f>
        <v>C</v>
      </c>
      <c r="I204" s="163">
        <f>IFERROR(__xludf.DUMMYFUNCTION("""COMPUTED_VALUE"""),25.0)</f>
        <v>25</v>
      </c>
      <c r="J204" s="165">
        <f>IFERROR(__xludf.DUMMYFUNCTION("""COMPUTED_VALUE"""),-0.736905690936716)</f>
        <v>-0.7369056909</v>
      </c>
      <c r="K204" s="165">
        <f>IFERROR(__xludf.DUMMYFUNCTION("""COMPUTED_VALUE"""),-1.48764949331316)</f>
        <v>-1.487649493</v>
      </c>
      <c r="L204" s="165">
        <f>IFERROR(__xludf.DUMMYFUNCTION("""COMPUTED_VALUE"""),0.750743802376443)</f>
        <v>0.7507438024</v>
      </c>
      <c r="M204" s="166">
        <f t="shared" si="2"/>
        <v>0.9935699463</v>
      </c>
      <c r="N204" s="167">
        <f t="shared" si="3"/>
        <v>16.9746131</v>
      </c>
      <c r="O204" s="163">
        <f t="shared" ref="O204:Q204" si="208">rank(I204,I:I)</f>
        <v>1995</v>
      </c>
      <c r="P204" s="163">
        <f t="shared" si="208"/>
        <v>2194</v>
      </c>
      <c r="Q204" s="163">
        <f t="shared" si="208"/>
        <v>3342</v>
      </c>
      <c r="R204" s="163">
        <f>IFERROR(__xludf.DUMMYFUNCTION("RANK(M204,filter(M:M,C:C=C204))"),225.0)</f>
        <v>225</v>
      </c>
      <c r="S204" s="161" t="b">
        <f t="shared" si="5"/>
        <v>0</v>
      </c>
      <c r="T204" s="161" t="b">
        <f t="array" ref="T204">index('Query Tool'!B:B,match(H204,'Query Tool'!C:C,0))</f>
        <v>1</v>
      </c>
      <c r="U204" s="161" t="b">
        <f t="array" ref="U204">index('Query Tool'!B:B,match(C204,'Query Tool'!C:C,0))</f>
        <v>0</v>
      </c>
      <c r="V204" s="161" t="b">
        <f>F204&gt;='Query Tool'!C$32</f>
        <v>1</v>
      </c>
      <c r="W204" s="161" t="b">
        <f t="array" ref="W204">index(Dropdowns!B:B,match(I204,Dropdowns!A:A,0))</f>
        <v>1</v>
      </c>
      <c r="X204" s="161" t="b">
        <f t="array" ref="X204">index('Query Tool'!B:B,match(D204,'Query Tool'!C:C,0))</f>
        <v>1</v>
      </c>
      <c r="Y204" s="161" t="str">
        <f t="shared" si="6"/>
        <v>ajincal01,2013-14</v>
      </c>
      <c r="Z204" s="168">
        <f t="array" ref="Z204">iferror(index(I:I,match($A204&amp;","&amp;index('Year Conversion'!$A:$A,match($C204,'Year Conversion'!$B:$B,0)),$Y:$Y,0))-I204,"")</f>
        <v>1</v>
      </c>
      <c r="AA204" s="168">
        <f t="array" ref="AA204">iferror(index(J:J,match($A204&amp;","&amp;index('Year Conversion'!$A:$A,match($C204,'Year Conversion'!$B:$B,0)),$Y:$Y,0))-J204,"")</f>
        <v>0.634715223</v>
      </c>
      <c r="AB204" s="168">
        <f t="array" ref="AB204">iferror(index(K:K,match($A204&amp;","&amp;index('Year Conversion'!$A:$A,match($C204,'Year Conversion'!$B:$B,0)),$Y:$Y,0))-K204,"")</f>
        <v>0.7621047046</v>
      </c>
      <c r="AC204" s="168" t="str">
        <f t="shared" si="7"/>
        <v>NOP,2013-14</v>
      </c>
    </row>
    <row r="205">
      <c r="A205" s="161" t="str">
        <f>IFERROR(__xludf.DUMMYFUNCTION("""COMPUTED_VALUE"""),"anderry01")</f>
        <v>anderry01</v>
      </c>
      <c r="B205" s="161" t="str">
        <f>IFERROR(__xludf.DUMMYFUNCTION("""COMPUTED_VALUE"""),"Ryan Anderson")</f>
        <v>Ryan Anderson</v>
      </c>
      <c r="C205" s="162" t="str">
        <f>IFERROR(__xludf.DUMMYFUNCTION("""COMPUTED_VALUE"""),"2013-14")</f>
        <v>2013-14</v>
      </c>
      <c r="D205" s="163" t="str">
        <f>IFERROR(__xludf.DUMMYFUNCTION("""COMPUTED_VALUE"""),"NOP")</f>
        <v>NOP</v>
      </c>
      <c r="E205" s="164" t="str">
        <f>IFERROR(__xludf.DUMMYFUNCTION("""COMPUTED_VALUE"""),"Stretch Big")</f>
        <v>Stretch Big</v>
      </c>
      <c r="F205" s="164">
        <f>IFERROR(__xludf.DUMMYFUNCTION("""COMPUTED_VALUE"""),794.753333333333)</f>
        <v>794.7533333</v>
      </c>
      <c r="G205" s="163">
        <f>IFERROR(__xludf.DUMMYFUNCTION("""COMPUTED_VALUE"""),22.0)</f>
        <v>22</v>
      </c>
      <c r="H205" s="163" t="str">
        <f>IFERROR(__xludf.DUMMYFUNCTION("""COMPUTED_VALUE"""),"PF")</f>
        <v>PF</v>
      </c>
      <c r="I205" s="163">
        <f>IFERROR(__xludf.DUMMYFUNCTION("""COMPUTED_VALUE"""),25.0)</f>
        <v>25</v>
      </c>
      <c r="J205" s="165">
        <f>IFERROR(__xludf.DUMMYFUNCTION("""COMPUTED_VALUE"""),0.4124791458384)</f>
        <v>0.4124791458</v>
      </c>
      <c r="K205" s="165">
        <f>IFERROR(__xludf.DUMMYFUNCTION("""COMPUTED_VALUE"""),2.92747918742695)</f>
        <v>2.927479187</v>
      </c>
      <c r="L205" s="165">
        <f>IFERROR(__xludf.DUMMYFUNCTION("""COMPUTED_VALUE"""),-2.51500004158855)</f>
        <v>-2.515000042</v>
      </c>
      <c r="M205" s="166">
        <f t="shared" si="2"/>
        <v>1.44620485</v>
      </c>
      <c r="N205" s="167">
        <f t="shared" si="3"/>
        <v>36.12515152</v>
      </c>
      <c r="O205" s="163">
        <f t="shared" ref="O205:Q205" si="209">rank(I205,I:I)</f>
        <v>1995</v>
      </c>
      <c r="P205" s="163">
        <f t="shared" si="209"/>
        <v>942</v>
      </c>
      <c r="Q205" s="163">
        <f t="shared" si="209"/>
        <v>127</v>
      </c>
      <c r="R205" s="163">
        <f>IFERROR(__xludf.DUMMYFUNCTION("RANK(M205,filter(M:M,C:C=C205))"),187.0)</f>
        <v>187</v>
      </c>
      <c r="S205" s="161" t="b">
        <f t="shared" si="5"/>
        <v>0</v>
      </c>
      <c r="T205" s="161" t="b">
        <f t="array" ref="T205">index('Query Tool'!B:B,match(H205,'Query Tool'!C:C,0))</f>
        <v>1</v>
      </c>
      <c r="U205" s="161" t="b">
        <f t="array" ref="U205">index('Query Tool'!B:B,match(C205,'Query Tool'!C:C,0))</f>
        <v>0</v>
      </c>
      <c r="V205" s="161" t="b">
        <f>F205&gt;='Query Tool'!C$32</f>
        <v>1</v>
      </c>
      <c r="W205" s="161" t="b">
        <f t="array" ref="W205">index(Dropdowns!B:B,match(I205,Dropdowns!A:A,0))</f>
        <v>1</v>
      </c>
      <c r="X205" s="161" t="b">
        <f t="array" ref="X205">index('Query Tool'!B:B,match(D205,'Query Tool'!C:C,0))</f>
        <v>1</v>
      </c>
      <c r="Y205" s="161" t="str">
        <f t="shared" si="6"/>
        <v>anderry01,2013-14</v>
      </c>
      <c r="Z205" s="168">
        <f t="array" ref="Z205">iferror(index(I:I,match($A205&amp;","&amp;index('Year Conversion'!$A:$A,match($C205,'Year Conversion'!$B:$B,0)),$Y:$Y,0))-I205,"")</f>
        <v>1</v>
      </c>
      <c r="AA205" s="168">
        <f t="array" ref="AA205">iferror(index(J:J,match($A205&amp;","&amp;index('Year Conversion'!$A:$A,match($C205,'Year Conversion'!$B:$B,0)),$Y:$Y,0))-J205,"")</f>
        <v>-1.351638788</v>
      </c>
      <c r="AB205" s="168">
        <f t="array" ref="AB205">iferror(index(K:K,match($A205&amp;","&amp;index('Year Conversion'!$A:$A,match($C205,'Year Conversion'!$B:$B,0)),$Y:$Y,0))-K205,"")</f>
        <v>-0.6632878881</v>
      </c>
      <c r="AC205" s="168" t="str">
        <f t="shared" si="7"/>
        <v>NOP,2013-14</v>
      </c>
    </row>
    <row r="206">
      <c r="A206" s="161" t="str">
        <f>IFERROR(__xludf.DUMMYFUNCTION("""COMPUTED_VALUE"""),"leeco01")</f>
        <v>leeco01</v>
      </c>
      <c r="B206" s="161" t="str">
        <f>IFERROR(__xludf.DUMMYFUNCTION("""COMPUTED_VALUE"""),"Courtney Lee")</f>
        <v>Courtney Lee</v>
      </c>
      <c r="C206" s="162" t="str">
        <f>IFERROR(__xludf.DUMMYFUNCTION("""COMPUTED_VALUE"""),"2013-14")</f>
        <v>2013-14</v>
      </c>
      <c r="D206" s="163" t="str">
        <f>IFERROR(__xludf.DUMMYFUNCTION("""COMPUTED_VALUE"""),"TOT")</f>
        <v>TOT</v>
      </c>
      <c r="E206" s="164" t="str">
        <f>IFERROR(__xludf.DUMMYFUNCTION("""COMPUTED_VALUE"""),"Movement Shooter")</f>
        <v>Movement Shooter</v>
      </c>
      <c r="F206" s="164">
        <f>IFERROR(__xludf.DUMMYFUNCTION("""COMPUTED_VALUE"""),1972.96333333333)</f>
        <v>1972.963333</v>
      </c>
      <c r="G206" s="163">
        <f>IFERROR(__xludf.DUMMYFUNCTION("""COMPUTED_VALUE"""),79.0)</f>
        <v>79</v>
      </c>
      <c r="H206" s="163" t="str">
        <f>IFERROR(__xludf.DUMMYFUNCTION("""COMPUTED_VALUE"""),"SG")</f>
        <v>SG</v>
      </c>
      <c r="I206" s="163">
        <f>IFERROR(__xludf.DUMMYFUNCTION("""COMPUTED_VALUE"""),28.0)</f>
        <v>28</v>
      </c>
      <c r="J206" s="165">
        <f>IFERROR(__xludf.DUMMYFUNCTION("""COMPUTED_VALUE"""),0.377122124684593)</f>
        <v>0.3771221247</v>
      </c>
      <c r="K206" s="165">
        <f>IFERROR(__xludf.DUMMYFUNCTION("""COMPUTED_VALUE"""),0.133816541190627)</f>
        <v>0.1338165412</v>
      </c>
      <c r="L206" s="165">
        <f>IFERROR(__xludf.DUMMYFUNCTION("""COMPUTED_VALUE"""),0.243305583493966)</f>
        <v>0.2433055835</v>
      </c>
      <c r="M206" s="166">
        <f t="shared" si="2"/>
        <v>3.543182389</v>
      </c>
      <c r="N206" s="167">
        <f t="shared" si="3"/>
        <v>24.97421941</v>
      </c>
      <c r="O206" s="163">
        <f t="shared" ref="O206:Q206" si="210">rank(I206,I:I)</f>
        <v>1090</v>
      </c>
      <c r="P206" s="163">
        <f t="shared" si="210"/>
        <v>965</v>
      </c>
      <c r="Q206" s="163">
        <f t="shared" si="210"/>
        <v>1038</v>
      </c>
      <c r="R206" s="163">
        <f>IFERROR(__xludf.DUMMYFUNCTION("RANK(M206,filter(M:M,C:C=C206))"),96.0)</f>
        <v>96</v>
      </c>
      <c r="S206" s="161" t="b">
        <f t="shared" si="5"/>
        <v>0</v>
      </c>
      <c r="T206" s="161" t="b">
        <f t="array" ref="T206">index('Query Tool'!B:B,match(H206,'Query Tool'!C:C,0))</f>
        <v>1</v>
      </c>
      <c r="U206" s="161" t="b">
        <f t="array" ref="U206">index('Query Tool'!B:B,match(C206,'Query Tool'!C:C,0))</f>
        <v>0</v>
      </c>
      <c r="V206" s="161" t="b">
        <f>F206&gt;='Query Tool'!C$32</f>
        <v>1</v>
      </c>
      <c r="W206" s="161" t="b">
        <f t="array" ref="W206">index(Dropdowns!B:B,match(I206,Dropdowns!A:A,0))</f>
        <v>1</v>
      </c>
      <c r="X206" s="161" t="b">
        <f t="array" ref="X206">index('Query Tool'!B:B,match(D206,'Query Tool'!C:C,0))</f>
        <v>1</v>
      </c>
      <c r="Y206" s="161" t="str">
        <f t="shared" si="6"/>
        <v>leeco01,2013-14</v>
      </c>
      <c r="Z206" s="168">
        <f t="array" ref="Z206">iferror(index(I:I,match($A206&amp;","&amp;index('Year Conversion'!$A:$A,match($C206,'Year Conversion'!$B:$B,0)),$Y:$Y,0))-I206,"")</f>
        <v>1</v>
      </c>
      <c r="AA206" s="168">
        <f t="array" ref="AA206">iferror(index(J:J,match($A206&amp;","&amp;index('Year Conversion'!$A:$A,match($C206,'Year Conversion'!$B:$B,0)),$Y:$Y,0))-J206,"")</f>
        <v>-1.068546463</v>
      </c>
      <c r="AB206" s="168">
        <f t="array" ref="AB206">iferror(index(K:K,match($A206&amp;","&amp;index('Year Conversion'!$A:$A,match($C206,'Year Conversion'!$B:$B,0)),$Y:$Y,0))-K206,"")</f>
        <v>-0.39459092</v>
      </c>
      <c r="AC206" s="168" t="str">
        <f t="shared" si="7"/>
        <v>TOT,2013-14</v>
      </c>
    </row>
    <row r="207">
      <c r="A207" s="161" t="str">
        <f>IFERROR(__xludf.DUMMYFUNCTION("""COMPUTED_VALUE"""),"koufoko01")</f>
        <v>koufoko01</v>
      </c>
      <c r="B207" s="161" t="str">
        <f>IFERROR(__xludf.DUMMYFUNCTION("""COMPUTED_VALUE"""),"Kosta Koufos")</f>
        <v>Kosta Koufos</v>
      </c>
      <c r="C207" s="162" t="str">
        <f>IFERROR(__xludf.DUMMYFUNCTION("""COMPUTED_VALUE"""),"2013-14")</f>
        <v>2013-14</v>
      </c>
      <c r="D207" s="163" t="str">
        <f>IFERROR(__xludf.DUMMYFUNCTION("""COMPUTED_VALUE"""),"MEM")</f>
        <v>MEM</v>
      </c>
      <c r="E207" s="164" t="str">
        <f>IFERROR(__xludf.DUMMYFUNCTION("""COMPUTED_VALUE"""),"Post Scorer")</f>
        <v>Post Scorer</v>
      </c>
      <c r="F207" s="164">
        <f>IFERROR(__xludf.DUMMYFUNCTION("""COMPUTED_VALUE"""),1349.365)</f>
        <v>1349.365</v>
      </c>
      <c r="G207" s="163">
        <f>IFERROR(__xludf.DUMMYFUNCTION("""COMPUTED_VALUE"""),80.0)</f>
        <v>80</v>
      </c>
      <c r="H207" s="163" t="str">
        <f>IFERROR(__xludf.DUMMYFUNCTION("""COMPUTED_VALUE"""),"C")</f>
        <v>C</v>
      </c>
      <c r="I207" s="163">
        <f>IFERROR(__xludf.DUMMYFUNCTION("""COMPUTED_VALUE"""),24.0)</f>
        <v>24</v>
      </c>
      <c r="J207" s="165">
        <f>IFERROR(__xludf.DUMMYFUNCTION("""COMPUTED_VALUE"""),0.104144294325882)</f>
        <v>0.1041442943</v>
      </c>
      <c r="K207" s="165">
        <f>IFERROR(__xludf.DUMMYFUNCTION("""COMPUTED_VALUE"""),-1.31193494969255)</f>
        <v>-1.31193495</v>
      </c>
      <c r="L207" s="165">
        <f>IFERROR(__xludf.DUMMYFUNCTION("""COMPUTED_VALUE"""),1.41607924401844)</f>
        <v>1.416079244</v>
      </c>
      <c r="M207" s="166">
        <f t="shared" si="2"/>
        <v>2.175012609</v>
      </c>
      <c r="N207" s="167">
        <f t="shared" si="3"/>
        <v>16.8670625</v>
      </c>
      <c r="O207" s="163">
        <f t="shared" ref="O207:Q207" si="211">rank(I207,I:I)</f>
        <v>2361</v>
      </c>
      <c r="P207" s="163">
        <f t="shared" si="211"/>
        <v>1186</v>
      </c>
      <c r="Q207" s="163">
        <f t="shared" si="211"/>
        <v>3161</v>
      </c>
      <c r="R207" s="163">
        <f>IFERROR(__xludf.DUMMYFUNCTION("RANK(M207,filter(M:M,C:C=C207))"),145.0)</f>
        <v>145</v>
      </c>
      <c r="S207" s="161" t="b">
        <f t="shared" si="5"/>
        <v>0</v>
      </c>
      <c r="T207" s="161" t="b">
        <f t="array" ref="T207">index('Query Tool'!B:B,match(H207,'Query Tool'!C:C,0))</f>
        <v>1</v>
      </c>
      <c r="U207" s="161" t="b">
        <f t="array" ref="U207">index('Query Tool'!B:B,match(C207,'Query Tool'!C:C,0))</f>
        <v>0</v>
      </c>
      <c r="V207" s="161" t="b">
        <f>F207&gt;='Query Tool'!C$32</f>
        <v>1</v>
      </c>
      <c r="W207" s="161" t="b">
        <f t="array" ref="W207">index(Dropdowns!B:B,match(I207,Dropdowns!A:A,0))</f>
        <v>1</v>
      </c>
      <c r="X207" s="161" t="b">
        <f t="array" ref="X207">index('Query Tool'!B:B,match(D207,'Query Tool'!C:C,0))</f>
        <v>1</v>
      </c>
      <c r="Y207" s="161" t="str">
        <f t="shared" si="6"/>
        <v>koufoko01,2013-14</v>
      </c>
      <c r="Z207" s="168">
        <f t="array" ref="Z207">iferror(index(I:I,match($A207&amp;","&amp;index('Year Conversion'!$A:$A,match($C207,'Year Conversion'!$B:$B,0)),$Y:$Y,0))-I207,"")</f>
        <v>1</v>
      </c>
      <c r="AA207" s="168">
        <f t="array" ref="AA207">iferror(index(J:J,match($A207&amp;","&amp;index('Year Conversion'!$A:$A,match($C207,'Year Conversion'!$B:$B,0)),$Y:$Y,0))-J207,"")</f>
        <v>0.4449552392</v>
      </c>
      <c r="AB207" s="168">
        <f t="array" ref="AB207">iferror(index(K:K,match($A207&amp;","&amp;index('Year Conversion'!$A:$A,match($C207,'Year Conversion'!$B:$B,0)),$Y:$Y,0))-K207,"")</f>
        <v>-0.5910376844</v>
      </c>
      <c r="AC207" s="168" t="str">
        <f t="shared" si="7"/>
        <v>MEM,2013-14</v>
      </c>
    </row>
    <row r="208">
      <c r="A208" s="161" t="str">
        <f>IFERROR(__xludf.DUMMYFUNCTION("""COMPUTED_VALUE"""),"ibakase01")</f>
        <v>ibakase01</v>
      </c>
      <c r="B208" s="161" t="str">
        <f>IFERROR(__xludf.DUMMYFUNCTION("""COMPUTED_VALUE"""),"Serge Ibaka")</f>
        <v>Serge Ibaka</v>
      </c>
      <c r="C208" s="162" t="str">
        <f>IFERROR(__xludf.DUMMYFUNCTION("""COMPUTED_VALUE"""),"2013-14")</f>
        <v>2013-14</v>
      </c>
      <c r="D208" s="163" t="str">
        <f>IFERROR(__xludf.DUMMYFUNCTION("""COMPUTED_VALUE"""),"OKC")</f>
        <v>OKC</v>
      </c>
      <c r="E208" s="164" t="str">
        <f>IFERROR(__xludf.DUMMYFUNCTION("""COMPUTED_VALUE"""),"Roll + Cut Big")</f>
        <v>Roll + Cut Big</v>
      </c>
      <c r="F208" s="164">
        <f>IFERROR(__xludf.DUMMYFUNCTION("""COMPUTED_VALUE"""),2665.93333333333)</f>
        <v>2665.933333</v>
      </c>
      <c r="G208" s="163">
        <f>IFERROR(__xludf.DUMMYFUNCTION("""COMPUTED_VALUE"""),81.0)</f>
        <v>81</v>
      </c>
      <c r="H208" s="163" t="str">
        <f>IFERROR(__xludf.DUMMYFUNCTION("""COMPUTED_VALUE"""),"PF")</f>
        <v>PF</v>
      </c>
      <c r="I208" s="163">
        <f>IFERROR(__xludf.DUMMYFUNCTION("""COMPUTED_VALUE"""),24.0)</f>
        <v>24</v>
      </c>
      <c r="J208" s="165">
        <f>IFERROR(__xludf.DUMMYFUNCTION("""COMPUTED_VALUE"""),2.776899689008)</f>
        <v>2.776899689</v>
      </c>
      <c r="K208" s="165">
        <f>IFERROR(__xludf.DUMMYFUNCTION("""COMPUTED_VALUE"""),0.163731086330997)</f>
        <v>0.1637310863</v>
      </c>
      <c r="L208" s="165">
        <f>IFERROR(__xludf.DUMMYFUNCTION("""COMPUTED_VALUE"""),2.613168602677)</f>
        <v>2.613168603</v>
      </c>
      <c r="M208" s="166">
        <f t="shared" si="2"/>
        <v>9.048239309</v>
      </c>
      <c r="N208" s="167">
        <f t="shared" si="3"/>
        <v>32.9127572</v>
      </c>
      <c r="O208" s="163">
        <f t="shared" ref="O208:Q208" si="212">rank(I208,I:I)</f>
        <v>2361</v>
      </c>
      <c r="P208" s="163">
        <f t="shared" si="212"/>
        <v>191</v>
      </c>
      <c r="Q208" s="163">
        <f t="shared" si="212"/>
        <v>1014</v>
      </c>
      <c r="R208" s="163">
        <f>IFERROR(__xludf.DUMMYFUNCTION("RANK(M208,filter(M:M,C:C=C208))"),21.0)</f>
        <v>21</v>
      </c>
      <c r="S208" s="161" t="b">
        <f t="shared" si="5"/>
        <v>0</v>
      </c>
      <c r="T208" s="161" t="b">
        <f t="array" ref="T208">index('Query Tool'!B:B,match(H208,'Query Tool'!C:C,0))</f>
        <v>1</v>
      </c>
      <c r="U208" s="161" t="b">
        <f t="array" ref="U208">index('Query Tool'!B:B,match(C208,'Query Tool'!C:C,0))</f>
        <v>0</v>
      </c>
      <c r="V208" s="161" t="b">
        <f>F208&gt;='Query Tool'!C$32</f>
        <v>1</v>
      </c>
      <c r="W208" s="161" t="b">
        <f t="array" ref="W208">index(Dropdowns!B:B,match(I208,Dropdowns!A:A,0))</f>
        <v>1</v>
      </c>
      <c r="X208" s="161" t="b">
        <f t="array" ref="X208">index('Query Tool'!B:B,match(D208,'Query Tool'!C:C,0))</f>
        <v>1</v>
      </c>
      <c r="Y208" s="161" t="str">
        <f t="shared" si="6"/>
        <v>ibakase01,2013-14</v>
      </c>
      <c r="Z208" s="168">
        <f t="array" ref="Z208">iferror(index(I:I,match($A208&amp;","&amp;index('Year Conversion'!$A:$A,match($C208,'Year Conversion'!$B:$B,0)),$Y:$Y,0))-I208,"")</f>
        <v>1</v>
      </c>
      <c r="AA208" s="168">
        <f t="array" ref="AA208">iferror(index(J:J,match($A208&amp;","&amp;index('Year Conversion'!$A:$A,match($C208,'Year Conversion'!$B:$B,0)),$Y:$Y,0))-J208,"")</f>
        <v>-0.90276639</v>
      </c>
      <c r="AB208" s="168">
        <f t="array" ref="AB208">iferror(index(K:K,match($A208&amp;","&amp;index('Year Conversion'!$A:$A,match($C208,'Year Conversion'!$B:$B,0)),$Y:$Y,0))-K208,"")</f>
        <v>-0.3098486294</v>
      </c>
      <c r="AC208" s="168" t="str">
        <f t="shared" si="7"/>
        <v>OKC,2013-14</v>
      </c>
    </row>
    <row r="209">
      <c r="A209" s="161" t="str">
        <f>IFERROR(__xludf.DUMMYFUNCTION("""COMPUTED_VALUE"""),"batumni01")</f>
        <v>batumni01</v>
      </c>
      <c r="B209" s="161" t="str">
        <f>IFERROR(__xludf.DUMMYFUNCTION("""COMPUTED_VALUE"""),"Nicolas Batum")</f>
        <v>Nicolas Batum</v>
      </c>
      <c r="C209" s="162" t="str">
        <f>IFERROR(__xludf.DUMMYFUNCTION("""COMPUTED_VALUE"""),"2013-14")</f>
        <v>2013-14</v>
      </c>
      <c r="D209" s="163" t="str">
        <f>IFERROR(__xludf.DUMMYFUNCTION("""COMPUTED_VALUE"""),"POR")</f>
        <v>POR</v>
      </c>
      <c r="E209" s="164" t="str">
        <f>IFERROR(__xludf.DUMMYFUNCTION("""COMPUTED_VALUE"""),"Movement Shooter")</f>
        <v>Movement Shooter</v>
      </c>
      <c r="F209" s="164">
        <f>IFERROR(__xludf.DUMMYFUNCTION("""COMPUTED_VALUE"""),2955.97833333333)</f>
        <v>2955.978333</v>
      </c>
      <c r="G209" s="163">
        <f>IFERROR(__xludf.DUMMYFUNCTION("""COMPUTED_VALUE"""),82.0)</f>
        <v>82</v>
      </c>
      <c r="H209" s="163" t="str">
        <f>IFERROR(__xludf.DUMMYFUNCTION("""COMPUTED_VALUE"""),"SF")</f>
        <v>SF</v>
      </c>
      <c r="I209" s="163">
        <f>IFERROR(__xludf.DUMMYFUNCTION("""COMPUTED_VALUE"""),25.0)</f>
        <v>25</v>
      </c>
      <c r="J209" s="165">
        <f>IFERROR(__xludf.DUMMYFUNCTION("""COMPUTED_VALUE"""),2.08146553133346)</f>
        <v>2.081465531</v>
      </c>
      <c r="K209" s="165">
        <f>IFERROR(__xludf.DUMMYFUNCTION("""COMPUTED_VALUE"""),1.69618307040614)</f>
        <v>1.69618307</v>
      </c>
      <c r="L209" s="165">
        <f>IFERROR(__xludf.DUMMYFUNCTION("""COMPUTED_VALUE"""),0.385282460927315)</f>
        <v>0.3852824609</v>
      </c>
      <c r="M209" s="166">
        <f t="shared" si="2"/>
        <v>8.680478671</v>
      </c>
      <c r="N209" s="167">
        <f t="shared" si="3"/>
        <v>36.04851626</v>
      </c>
      <c r="O209" s="163">
        <f t="shared" ref="O209:Q209" si="213">rank(I209,I:I)</f>
        <v>1995</v>
      </c>
      <c r="P209" s="163">
        <f t="shared" si="213"/>
        <v>297</v>
      </c>
      <c r="Q209" s="163">
        <f t="shared" si="213"/>
        <v>270</v>
      </c>
      <c r="R209" s="163">
        <f>IFERROR(__xludf.DUMMYFUNCTION("RANK(M209,filter(M:M,C:C=C209))"),24.0)</f>
        <v>24</v>
      </c>
      <c r="S209" s="161" t="b">
        <f t="shared" si="5"/>
        <v>0</v>
      </c>
      <c r="T209" s="161" t="b">
        <f t="array" ref="T209">index('Query Tool'!B:B,match(H209,'Query Tool'!C:C,0))</f>
        <v>1</v>
      </c>
      <c r="U209" s="161" t="b">
        <f t="array" ref="U209">index('Query Tool'!B:B,match(C209,'Query Tool'!C:C,0))</f>
        <v>0</v>
      </c>
      <c r="V209" s="161" t="b">
        <f>F209&gt;='Query Tool'!C$32</f>
        <v>1</v>
      </c>
      <c r="W209" s="161" t="b">
        <f t="array" ref="W209">index(Dropdowns!B:B,match(I209,Dropdowns!A:A,0))</f>
        <v>1</v>
      </c>
      <c r="X209" s="161" t="b">
        <f t="array" ref="X209">index('Query Tool'!B:B,match(D209,'Query Tool'!C:C,0))</f>
        <v>1</v>
      </c>
      <c r="Y209" s="161" t="str">
        <f t="shared" si="6"/>
        <v>batumni01,2013-14</v>
      </c>
      <c r="Z209" s="168">
        <f t="array" ref="Z209">iferror(index(I:I,match($A209&amp;","&amp;index('Year Conversion'!$A:$A,match($C209,'Year Conversion'!$B:$B,0)),$Y:$Y,0))-I209,"")</f>
        <v>1</v>
      </c>
      <c r="AA209" s="168">
        <f t="array" ref="AA209">iferror(index(J:J,match($A209&amp;","&amp;index('Year Conversion'!$A:$A,match($C209,'Year Conversion'!$B:$B,0)),$Y:$Y,0))-J209,"")</f>
        <v>-0.8423236722</v>
      </c>
      <c r="AB209" s="168">
        <f t="array" ref="AB209">iferror(index(K:K,match($A209&amp;","&amp;index('Year Conversion'!$A:$A,match($C209,'Year Conversion'!$B:$B,0)),$Y:$Y,0))-K209,"")</f>
        <v>-0.9557968908</v>
      </c>
      <c r="AC209" s="168" t="str">
        <f t="shared" si="7"/>
        <v>POR,2013-14</v>
      </c>
    </row>
    <row r="210">
      <c r="A210" s="161" t="str">
        <f>IFERROR(__xludf.DUMMYFUNCTION("""COMPUTED_VALUE"""),"hillge01")</f>
        <v>hillge01</v>
      </c>
      <c r="B210" s="161" t="str">
        <f>IFERROR(__xludf.DUMMYFUNCTION("""COMPUTED_VALUE"""),"George Hill")</f>
        <v>George Hill</v>
      </c>
      <c r="C210" s="162" t="str">
        <f>IFERROR(__xludf.DUMMYFUNCTION("""COMPUTED_VALUE"""),"2013-14")</f>
        <v>2013-14</v>
      </c>
      <c r="D210" s="163" t="str">
        <f>IFERROR(__xludf.DUMMYFUNCTION("""COMPUTED_VALUE"""),"IND")</f>
        <v>IND</v>
      </c>
      <c r="E210" s="164" t="str">
        <f>IFERROR(__xludf.DUMMYFUNCTION("""COMPUTED_VALUE"""),"Primary Ball Handler")</f>
        <v>Primary Ball Handler</v>
      </c>
      <c r="F210" s="164">
        <f>IFERROR(__xludf.DUMMYFUNCTION("""COMPUTED_VALUE"""),2433.68833333333)</f>
        <v>2433.688333</v>
      </c>
      <c r="G210" s="163">
        <f>IFERROR(__xludf.DUMMYFUNCTION("""COMPUTED_VALUE"""),76.0)</f>
        <v>76</v>
      </c>
      <c r="H210" s="163" t="str">
        <f>IFERROR(__xludf.DUMMYFUNCTION("""COMPUTED_VALUE"""),"PG")</f>
        <v>PG</v>
      </c>
      <c r="I210" s="163">
        <f>IFERROR(__xludf.DUMMYFUNCTION("""COMPUTED_VALUE"""),27.0)</f>
        <v>27</v>
      </c>
      <c r="J210" s="165">
        <f>IFERROR(__xludf.DUMMYFUNCTION("""COMPUTED_VALUE"""),1.29177925345142)</f>
        <v>1.291779253</v>
      </c>
      <c r="K210" s="165">
        <f>IFERROR(__xludf.DUMMYFUNCTION("""COMPUTED_VALUE"""),0.588102717362492)</f>
        <v>0.5881027174</v>
      </c>
      <c r="L210" s="165">
        <f>IFERROR(__xludf.DUMMYFUNCTION("""COMPUTED_VALUE"""),0.703676536088924)</f>
        <v>0.7036765361</v>
      </c>
      <c r="M210" s="166">
        <f t="shared" si="2"/>
        <v>5.86654643</v>
      </c>
      <c r="N210" s="167">
        <f t="shared" si="3"/>
        <v>32.02221491</v>
      </c>
      <c r="O210" s="163">
        <f t="shared" ref="O210:Q210" si="214">rank(I210,I:I)</f>
        <v>1366</v>
      </c>
      <c r="P210" s="163">
        <f t="shared" si="214"/>
        <v>530</v>
      </c>
      <c r="Q210" s="163">
        <f t="shared" si="214"/>
        <v>719</v>
      </c>
      <c r="R210" s="163">
        <f>IFERROR(__xludf.DUMMYFUNCTION("RANK(M210,filter(M:M,C:C=C210))"),51.0)</f>
        <v>51</v>
      </c>
      <c r="S210" s="161" t="b">
        <f t="shared" si="5"/>
        <v>0</v>
      </c>
      <c r="T210" s="161" t="b">
        <f t="array" ref="T210">index('Query Tool'!B:B,match(H210,'Query Tool'!C:C,0))</f>
        <v>1</v>
      </c>
      <c r="U210" s="161" t="b">
        <f t="array" ref="U210">index('Query Tool'!B:B,match(C210,'Query Tool'!C:C,0))</f>
        <v>0</v>
      </c>
      <c r="V210" s="161" t="b">
        <f>F210&gt;='Query Tool'!C$32</f>
        <v>1</v>
      </c>
      <c r="W210" s="161" t="b">
        <f t="array" ref="W210">index(Dropdowns!B:B,match(I210,Dropdowns!A:A,0))</f>
        <v>1</v>
      </c>
      <c r="X210" s="161" t="b">
        <f t="array" ref="X210">index('Query Tool'!B:B,match(D210,'Query Tool'!C:C,0))</f>
        <v>1</v>
      </c>
      <c r="Y210" s="161" t="str">
        <f t="shared" si="6"/>
        <v>hillge01,2013-14</v>
      </c>
      <c r="Z210" s="168">
        <f t="array" ref="Z210">iferror(index(I:I,match($A210&amp;","&amp;index('Year Conversion'!$A:$A,match($C210,'Year Conversion'!$B:$B,0)),$Y:$Y,0))-I210,"")</f>
        <v>1</v>
      </c>
      <c r="AA210" s="168">
        <f t="array" ref="AA210">iferror(index(J:J,match($A210&amp;","&amp;index('Year Conversion'!$A:$A,match($C210,'Year Conversion'!$B:$B,0)),$Y:$Y,0))-J210,"")</f>
        <v>1.539418832</v>
      </c>
      <c r="AB210" s="168">
        <f t="array" ref="AB210">iferror(index(K:K,match($A210&amp;","&amp;index('Year Conversion'!$A:$A,match($C210,'Year Conversion'!$B:$B,0)),$Y:$Y,0))-K210,"")</f>
        <v>2.235801319</v>
      </c>
      <c r="AC210" s="168" t="str">
        <f t="shared" si="7"/>
        <v>IND,2013-14</v>
      </c>
    </row>
    <row r="211">
      <c r="A211" s="161" t="str">
        <f>IFERROR(__xludf.DUMMYFUNCTION("""COMPUTED_VALUE"""),"arthuda01")</f>
        <v>arthuda01</v>
      </c>
      <c r="B211" s="161" t="str">
        <f>IFERROR(__xludf.DUMMYFUNCTION("""COMPUTED_VALUE"""),"Darrell Arthur")</f>
        <v>Darrell Arthur</v>
      </c>
      <c r="C211" s="162" t="str">
        <f>IFERROR(__xludf.DUMMYFUNCTION("""COMPUTED_VALUE"""),"2013-14")</f>
        <v>2013-14</v>
      </c>
      <c r="D211" s="163" t="str">
        <f>IFERROR(__xludf.DUMMYFUNCTION("""COMPUTED_VALUE"""),"DEN")</f>
        <v>DEN</v>
      </c>
      <c r="E211" s="164" t="str">
        <f>IFERROR(__xludf.DUMMYFUNCTION("""COMPUTED_VALUE"""),"Roll + Cut Big")</f>
        <v>Roll + Cut Big</v>
      </c>
      <c r="F211" s="164">
        <f>IFERROR(__xludf.DUMMYFUNCTION("""COMPUTED_VALUE"""),1161.105)</f>
        <v>1161.105</v>
      </c>
      <c r="G211" s="163">
        <f>IFERROR(__xludf.DUMMYFUNCTION("""COMPUTED_VALUE"""),68.0)</f>
        <v>68</v>
      </c>
      <c r="H211" s="163" t="str">
        <f>IFERROR(__xludf.DUMMYFUNCTION("""COMPUTED_VALUE"""),"SF")</f>
        <v>SF</v>
      </c>
      <c r="I211" s="163">
        <f>IFERROR(__xludf.DUMMYFUNCTION("""COMPUTED_VALUE"""),25.0)</f>
        <v>25</v>
      </c>
      <c r="J211" s="165">
        <f>IFERROR(__xludf.DUMMYFUNCTION("""COMPUTED_VALUE"""),-1.11258951442114)</f>
        <v>-1.112589514</v>
      </c>
      <c r="K211" s="165">
        <f>IFERROR(__xludf.DUMMYFUNCTION("""COMPUTED_VALUE"""),-2.64991897923784)</f>
        <v>-2.649918979</v>
      </c>
      <c r="L211" s="165">
        <f>IFERROR(__xludf.DUMMYFUNCTION("""COMPUTED_VALUE"""),1.5373294648167)</f>
        <v>1.537329465</v>
      </c>
      <c r="M211" s="166">
        <f t="shared" si="2"/>
        <v>0.9205906512</v>
      </c>
      <c r="N211" s="167">
        <f t="shared" si="3"/>
        <v>17.07507353</v>
      </c>
      <c r="O211" s="163">
        <f t="shared" ref="O211:Q211" si="215">rank(I211,I:I)</f>
        <v>1995</v>
      </c>
      <c r="P211" s="163">
        <f t="shared" si="215"/>
        <v>2632</v>
      </c>
      <c r="Q211" s="163">
        <f t="shared" si="215"/>
        <v>3923</v>
      </c>
      <c r="R211" s="163">
        <f>IFERROR(__xludf.DUMMYFUNCTION("RANK(M211,filter(M:M,C:C=C211))"),231.0)</f>
        <v>231</v>
      </c>
      <c r="S211" s="161" t="b">
        <f t="shared" si="5"/>
        <v>0</v>
      </c>
      <c r="T211" s="161" t="b">
        <f t="array" ref="T211">index('Query Tool'!B:B,match(H211,'Query Tool'!C:C,0))</f>
        <v>1</v>
      </c>
      <c r="U211" s="161" t="b">
        <f t="array" ref="U211">index('Query Tool'!B:B,match(C211,'Query Tool'!C:C,0))</f>
        <v>0</v>
      </c>
      <c r="V211" s="161" t="b">
        <f>F211&gt;='Query Tool'!C$32</f>
        <v>1</v>
      </c>
      <c r="W211" s="161" t="b">
        <f t="array" ref="W211">index(Dropdowns!B:B,match(I211,Dropdowns!A:A,0))</f>
        <v>1</v>
      </c>
      <c r="X211" s="161" t="b">
        <f t="array" ref="X211">index('Query Tool'!B:B,match(D211,'Query Tool'!C:C,0))</f>
        <v>1</v>
      </c>
      <c r="Y211" s="161" t="str">
        <f t="shared" si="6"/>
        <v>arthuda01,2013-14</v>
      </c>
      <c r="Z211" s="168">
        <f t="array" ref="Z211">iferror(index(I:I,match($A211&amp;","&amp;index('Year Conversion'!$A:$A,match($C211,'Year Conversion'!$B:$B,0)),$Y:$Y,0))-I211,"")</f>
        <v>1</v>
      </c>
      <c r="AA211" s="168">
        <f t="array" ref="AA211">iferror(index(J:J,match($A211&amp;","&amp;index('Year Conversion'!$A:$A,match($C211,'Year Conversion'!$B:$B,0)),$Y:$Y,0))-J211,"")</f>
        <v>1.568205304</v>
      </c>
      <c r="AB211" s="168">
        <f t="array" ref="AB211">iferror(index(K:K,match($A211&amp;","&amp;index('Year Conversion'!$A:$A,match($C211,'Year Conversion'!$B:$B,0)),$Y:$Y,0))-K211,"")</f>
        <v>1.839071954</v>
      </c>
      <c r="AC211" s="168" t="str">
        <f t="shared" si="7"/>
        <v>DEN,2013-14</v>
      </c>
    </row>
    <row r="212">
      <c r="A212" s="161" t="str">
        <f>IFERROR(__xludf.DUMMYFUNCTION("""COMPUTED_VALUE"""),"whitedj01")</f>
        <v>whitedj01</v>
      </c>
      <c r="B212" s="161" t="str">
        <f>IFERROR(__xludf.DUMMYFUNCTION("""COMPUTED_VALUE"""),"DJ White")</f>
        <v>DJ White</v>
      </c>
      <c r="C212" s="162" t="str">
        <f>IFERROR(__xludf.DUMMYFUNCTION("""COMPUTED_VALUE"""),"2013-14")</f>
        <v>2013-14</v>
      </c>
      <c r="D212" s="163" t="str">
        <f>IFERROR(__xludf.DUMMYFUNCTION("""COMPUTED_VALUE"""),"CHA")</f>
        <v>CHA</v>
      </c>
      <c r="E212" s="164" t="str">
        <f>IFERROR(__xludf.DUMMYFUNCTION("""COMPUTED_VALUE"""),"Athletic Finisher")</f>
        <v>Athletic Finisher</v>
      </c>
      <c r="F212" s="164">
        <f>IFERROR(__xludf.DUMMYFUNCTION("""COMPUTED_VALUE"""),10.1833333333333)</f>
        <v>10.18333333</v>
      </c>
      <c r="G212" s="163">
        <f>IFERROR(__xludf.DUMMYFUNCTION("""COMPUTED_VALUE"""),2.0)</f>
        <v>2</v>
      </c>
      <c r="H212" s="163" t="str">
        <f>IFERROR(__xludf.DUMMYFUNCTION("""COMPUTED_VALUE"""),"PF")</f>
        <v>PF</v>
      </c>
      <c r="I212" s="163">
        <f>IFERROR(__xludf.DUMMYFUNCTION("""COMPUTED_VALUE"""),27.0)</f>
        <v>27</v>
      </c>
      <c r="J212" s="165">
        <f>IFERROR(__xludf.DUMMYFUNCTION("""COMPUTED_VALUE"""),-0.355129312377239)</f>
        <v>-0.3551293124</v>
      </c>
      <c r="K212" s="165">
        <f>IFERROR(__xludf.DUMMYFUNCTION("""COMPUTED_VALUE"""),-0.287738270836991)</f>
        <v>-0.2877382708</v>
      </c>
      <c r="L212" s="165">
        <f>IFERROR(__xludf.DUMMYFUNCTION("""COMPUTED_VALUE"""),-0.0673910415402477)</f>
        <v>-0.06739104154</v>
      </c>
      <c r="M212" s="166">
        <f t="shared" si="2"/>
        <v>0.01326159247</v>
      </c>
      <c r="N212" s="167">
        <f t="shared" si="3"/>
        <v>5.091666667</v>
      </c>
      <c r="O212" s="163">
        <f t="shared" ref="O212:Q212" si="216">rank(I212,I:I)</f>
        <v>1366</v>
      </c>
      <c r="P212" s="163">
        <f t="shared" si="216"/>
        <v>1676</v>
      </c>
      <c r="Q212" s="163">
        <f t="shared" si="216"/>
        <v>1743</v>
      </c>
      <c r="R212" s="163">
        <f>IFERROR(__xludf.DUMMYFUNCTION("RANK(M212,filter(M:M,C:C=C212))"),421.0)</f>
        <v>421</v>
      </c>
      <c r="S212" s="161" t="b">
        <f t="shared" si="5"/>
        <v>0</v>
      </c>
      <c r="T212" s="161" t="b">
        <f t="array" ref="T212">index('Query Tool'!B:B,match(H212,'Query Tool'!C:C,0))</f>
        <v>1</v>
      </c>
      <c r="U212" s="161" t="b">
        <f t="array" ref="U212">index('Query Tool'!B:B,match(C212,'Query Tool'!C:C,0))</f>
        <v>0</v>
      </c>
      <c r="V212" s="161" t="b">
        <f>F212&gt;='Query Tool'!C$32</f>
        <v>0</v>
      </c>
      <c r="W212" s="161" t="b">
        <f t="array" ref="W212">index(Dropdowns!B:B,match(I212,Dropdowns!A:A,0))</f>
        <v>1</v>
      </c>
      <c r="X212" s="161" t="b">
        <f t="array" ref="X212">index('Query Tool'!B:B,match(D212,'Query Tool'!C:C,0))</f>
        <v>1</v>
      </c>
      <c r="Y212" s="161" t="str">
        <f t="shared" si="6"/>
        <v>whitedj01,2013-14</v>
      </c>
      <c r="Z212" s="168" t="str">
        <f t="array" ref="Z212">iferror(index(I:I,match($A212&amp;","&amp;index('Year Conversion'!$A:$A,match($C212,'Year Conversion'!$B:$B,0)),$Y:$Y,0))-I212,"")</f>
        <v/>
      </c>
      <c r="AA212" s="168" t="str">
        <f t="array" ref="AA212">iferror(index(J:J,match($A212&amp;","&amp;index('Year Conversion'!$A:$A,match($C212,'Year Conversion'!$B:$B,0)),$Y:$Y,0))-J212,"")</f>
        <v/>
      </c>
      <c r="AB212" s="168" t="str">
        <f t="array" ref="AB212">iferror(index(K:K,match($A212&amp;","&amp;index('Year Conversion'!$A:$A,match($C212,'Year Conversion'!$B:$B,0)),$Y:$Y,0))-K212,"")</f>
        <v/>
      </c>
      <c r="AC212" s="168" t="str">
        <f t="shared" si="7"/>
        <v>CHA,2013-14</v>
      </c>
    </row>
    <row r="213">
      <c r="A213" s="161" t="str">
        <f>IFERROR(__xludf.DUMMYFUNCTION("""COMPUTED_VALUE"""),"pekovni01")</f>
        <v>pekovni01</v>
      </c>
      <c r="B213" s="161" t="str">
        <f>IFERROR(__xludf.DUMMYFUNCTION("""COMPUTED_VALUE"""),"Nikola Pekovic")</f>
        <v>Nikola Pekovic</v>
      </c>
      <c r="C213" s="162" t="str">
        <f>IFERROR(__xludf.DUMMYFUNCTION("""COMPUTED_VALUE"""),"2013-14")</f>
        <v>2013-14</v>
      </c>
      <c r="D213" s="163" t="str">
        <f>IFERROR(__xludf.DUMMYFUNCTION("""COMPUTED_VALUE"""),"MIN")</f>
        <v>MIN</v>
      </c>
      <c r="E213" s="164" t="str">
        <f>IFERROR(__xludf.DUMMYFUNCTION("""COMPUTED_VALUE"""),"Post Scorer")</f>
        <v>Post Scorer</v>
      </c>
      <c r="F213" s="164">
        <f>IFERROR(__xludf.DUMMYFUNCTION("""COMPUTED_VALUE"""),1663.43666666667)</f>
        <v>1663.436667</v>
      </c>
      <c r="G213" s="163">
        <f>IFERROR(__xludf.DUMMYFUNCTION("""COMPUTED_VALUE"""),54.0)</f>
        <v>54</v>
      </c>
      <c r="H213" s="163" t="str">
        <f>IFERROR(__xludf.DUMMYFUNCTION("""COMPUTED_VALUE"""),"C")</f>
        <v>C</v>
      </c>
      <c r="I213" s="163">
        <f>IFERROR(__xludf.DUMMYFUNCTION("""COMPUTED_VALUE"""),28.0)</f>
        <v>28</v>
      </c>
      <c r="J213" s="165">
        <f>IFERROR(__xludf.DUMMYFUNCTION("""COMPUTED_VALUE"""),1.13524902409204)</f>
        <v>1.135249024</v>
      </c>
      <c r="K213" s="165">
        <f>IFERROR(__xludf.DUMMYFUNCTION("""COMPUTED_VALUE"""),0.671432151100342)</f>
        <v>0.6714321511</v>
      </c>
      <c r="L213" s="165">
        <f>IFERROR(__xludf.DUMMYFUNCTION("""COMPUTED_VALUE"""),0.463816872991697)</f>
        <v>0.463816873</v>
      </c>
      <c r="M213" s="166">
        <f t="shared" si="2"/>
        <v>3.8353404</v>
      </c>
      <c r="N213" s="167">
        <f t="shared" si="3"/>
        <v>30.80438272</v>
      </c>
      <c r="O213" s="163">
        <f t="shared" ref="O213:Q213" si="217">rank(I213,I:I)</f>
        <v>1090</v>
      </c>
      <c r="P213" s="163">
        <f t="shared" si="217"/>
        <v>601</v>
      </c>
      <c r="Q213" s="163">
        <f t="shared" si="217"/>
        <v>670</v>
      </c>
      <c r="R213" s="163">
        <f>IFERROR(__xludf.DUMMYFUNCTION("RANK(M213,filter(M:M,C:C=C213))"),86.0)</f>
        <v>86</v>
      </c>
      <c r="S213" s="161" t="b">
        <f t="shared" si="5"/>
        <v>0</v>
      </c>
      <c r="T213" s="161" t="b">
        <f t="array" ref="T213">index('Query Tool'!B:B,match(H213,'Query Tool'!C:C,0))</f>
        <v>1</v>
      </c>
      <c r="U213" s="161" t="b">
        <f t="array" ref="U213">index('Query Tool'!B:B,match(C213,'Query Tool'!C:C,0))</f>
        <v>0</v>
      </c>
      <c r="V213" s="161" t="b">
        <f>F213&gt;='Query Tool'!C$32</f>
        <v>1</v>
      </c>
      <c r="W213" s="161" t="b">
        <f t="array" ref="W213">index(Dropdowns!B:B,match(I213,Dropdowns!A:A,0))</f>
        <v>1</v>
      </c>
      <c r="X213" s="161" t="b">
        <f t="array" ref="X213">index('Query Tool'!B:B,match(D213,'Query Tool'!C:C,0))</f>
        <v>1</v>
      </c>
      <c r="Y213" s="161" t="str">
        <f t="shared" si="6"/>
        <v>pekovni01,2013-14</v>
      </c>
      <c r="Z213" s="168">
        <f t="array" ref="Z213">iferror(index(I:I,match($A213&amp;","&amp;index('Year Conversion'!$A:$A,match($C213,'Year Conversion'!$B:$B,0)),$Y:$Y,0))-I213,"")</f>
        <v>1</v>
      </c>
      <c r="AA213" s="168">
        <f t="array" ref="AA213">iferror(index(J:J,match($A213&amp;","&amp;index('Year Conversion'!$A:$A,match($C213,'Year Conversion'!$B:$B,0)),$Y:$Y,0))-J213,"")</f>
        <v>-1.303643714</v>
      </c>
      <c r="AB213" s="168">
        <f t="array" ref="AB213">iferror(index(K:K,match($A213&amp;","&amp;index('Year Conversion'!$A:$A,match($C213,'Year Conversion'!$B:$B,0)),$Y:$Y,0))-K213,"")</f>
        <v>-0.9383965601</v>
      </c>
      <c r="AC213" s="168" t="str">
        <f t="shared" si="7"/>
        <v>MIN,2013-14</v>
      </c>
    </row>
    <row r="214">
      <c r="A214" s="161" t="str">
        <f>IFERROR(__xludf.DUMMYFUNCTION("""COMPUTED_VALUE"""),"chalmma01")</f>
        <v>chalmma01</v>
      </c>
      <c r="B214" s="161" t="str">
        <f>IFERROR(__xludf.DUMMYFUNCTION("""COMPUTED_VALUE"""),"Mario Chalmers")</f>
        <v>Mario Chalmers</v>
      </c>
      <c r="C214" s="162" t="str">
        <f>IFERROR(__xludf.DUMMYFUNCTION("""COMPUTED_VALUE"""),"2013-14")</f>
        <v>2013-14</v>
      </c>
      <c r="D214" s="163" t="str">
        <f>IFERROR(__xludf.DUMMYFUNCTION("""COMPUTED_VALUE"""),"MIA")</f>
        <v>MIA</v>
      </c>
      <c r="E214" s="164" t="str">
        <f>IFERROR(__xludf.DUMMYFUNCTION("""COMPUTED_VALUE"""),"Primary Ball Handler")</f>
        <v>Primary Ball Handler</v>
      </c>
      <c r="F214" s="164">
        <f>IFERROR(__xludf.DUMMYFUNCTION("""COMPUTED_VALUE"""),2178.13666666667)</f>
        <v>2178.136667</v>
      </c>
      <c r="G214" s="163">
        <f>IFERROR(__xludf.DUMMYFUNCTION("""COMPUTED_VALUE"""),73.0)</f>
        <v>73</v>
      </c>
      <c r="H214" s="163" t="str">
        <f>IFERROR(__xludf.DUMMYFUNCTION("""COMPUTED_VALUE"""),"PG")</f>
        <v>PG</v>
      </c>
      <c r="I214" s="163">
        <f>IFERROR(__xludf.DUMMYFUNCTION("""COMPUTED_VALUE"""),27.0)</f>
        <v>27</v>
      </c>
      <c r="J214" s="165">
        <f>IFERROR(__xludf.DUMMYFUNCTION("""COMPUTED_VALUE"""),1.47528659450556)</f>
        <v>1.475286595</v>
      </c>
      <c r="K214" s="165">
        <f>IFERROR(__xludf.DUMMYFUNCTION("""COMPUTED_VALUE"""),0.661445569849166)</f>
        <v>0.6614455698</v>
      </c>
      <c r="L214" s="165">
        <f>IFERROR(__xludf.DUMMYFUNCTION("""COMPUTED_VALUE"""),0.813841024656394)</f>
        <v>0.8138410247</v>
      </c>
      <c r="M214" s="166">
        <f t="shared" si="2"/>
        <v>5.51785937</v>
      </c>
      <c r="N214" s="167">
        <f t="shared" si="3"/>
        <v>29.83748858</v>
      </c>
      <c r="O214" s="163">
        <f t="shared" ref="O214:Q214" si="218">rank(I214,I:I)</f>
        <v>1366</v>
      </c>
      <c r="P214" s="163">
        <f t="shared" si="218"/>
        <v>463</v>
      </c>
      <c r="Q214" s="163">
        <f t="shared" si="218"/>
        <v>672</v>
      </c>
      <c r="R214" s="163">
        <f>IFERROR(__xludf.DUMMYFUNCTION("RANK(M214,filter(M:M,C:C=C214))"),60.0)</f>
        <v>60</v>
      </c>
      <c r="S214" s="161" t="b">
        <f t="shared" si="5"/>
        <v>0</v>
      </c>
      <c r="T214" s="161" t="b">
        <f t="array" ref="T214">index('Query Tool'!B:B,match(H214,'Query Tool'!C:C,0))</f>
        <v>1</v>
      </c>
      <c r="U214" s="161" t="b">
        <f t="array" ref="U214">index('Query Tool'!B:B,match(C214,'Query Tool'!C:C,0))</f>
        <v>0</v>
      </c>
      <c r="V214" s="161" t="b">
        <f>F214&gt;='Query Tool'!C$32</f>
        <v>1</v>
      </c>
      <c r="W214" s="161" t="b">
        <f t="array" ref="W214">index(Dropdowns!B:B,match(I214,Dropdowns!A:A,0))</f>
        <v>1</v>
      </c>
      <c r="X214" s="161" t="b">
        <f t="array" ref="X214">index('Query Tool'!B:B,match(D214,'Query Tool'!C:C,0))</f>
        <v>1</v>
      </c>
      <c r="Y214" s="161" t="str">
        <f t="shared" si="6"/>
        <v>chalmma01,2013-14</v>
      </c>
      <c r="Z214" s="168">
        <f t="array" ref="Z214">iferror(index(I:I,match($A214&amp;","&amp;index('Year Conversion'!$A:$A,match($C214,'Year Conversion'!$B:$B,0)),$Y:$Y,0))-I214,"")</f>
        <v>1</v>
      </c>
      <c r="AA214" s="168">
        <f t="array" ref="AA214">iferror(index(J:J,match($A214&amp;","&amp;index('Year Conversion'!$A:$A,match($C214,'Year Conversion'!$B:$B,0)),$Y:$Y,0))-J214,"")</f>
        <v>-2.260476134</v>
      </c>
      <c r="AB214" s="168">
        <f t="array" ref="AB214">iferror(index(K:K,match($A214&amp;","&amp;index('Year Conversion'!$A:$A,match($C214,'Year Conversion'!$B:$B,0)),$Y:$Y,0))-K214,"")</f>
        <v>-1.363876845</v>
      </c>
      <c r="AC214" s="168" t="str">
        <f t="shared" si="7"/>
        <v>MIA,2013-14</v>
      </c>
    </row>
    <row r="215">
      <c r="A215" s="161" t="str">
        <f>IFERROR(__xludf.DUMMYFUNCTION("""COMPUTED_VALUE"""),"jordade01")</f>
        <v>jordade01</v>
      </c>
      <c r="B215" s="161" t="str">
        <f>IFERROR(__xludf.DUMMYFUNCTION("""COMPUTED_VALUE"""),"DeAndre Jordan")</f>
        <v>DeAndre Jordan</v>
      </c>
      <c r="C215" s="162" t="str">
        <f>IFERROR(__xludf.DUMMYFUNCTION("""COMPUTED_VALUE"""),"2013-14")</f>
        <v>2013-14</v>
      </c>
      <c r="D215" s="163" t="str">
        <f>IFERROR(__xludf.DUMMYFUNCTION("""COMPUTED_VALUE"""),"LAC")</f>
        <v>LAC</v>
      </c>
      <c r="E215" s="164" t="str">
        <f>IFERROR(__xludf.DUMMYFUNCTION("""COMPUTED_VALUE"""),"Roll + Cut Big")</f>
        <v>Roll + Cut Big</v>
      </c>
      <c r="F215" s="164">
        <f>IFERROR(__xludf.DUMMYFUNCTION("""COMPUTED_VALUE"""),2870.435)</f>
        <v>2870.435</v>
      </c>
      <c r="G215" s="163">
        <f>IFERROR(__xludf.DUMMYFUNCTION("""COMPUTED_VALUE"""),82.0)</f>
        <v>82</v>
      </c>
      <c r="H215" s="163" t="str">
        <f>IFERROR(__xludf.DUMMYFUNCTION("""COMPUTED_VALUE"""),"C")</f>
        <v>C</v>
      </c>
      <c r="I215" s="163">
        <f>IFERROR(__xludf.DUMMYFUNCTION("""COMPUTED_VALUE"""),25.0)</f>
        <v>25</v>
      </c>
      <c r="J215" s="165">
        <f>IFERROR(__xludf.DUMMYFUNCTION("""COMPUTED_VALUE"""),3.39205094743335)</f>
        <v>3.392050947</v>
      </c>
      <c r="K215" s="165">
        <f>IFERROR(__xludf.DUMMYFUNCTION("""COMPUTED_VALUE"""),0.481327458441098)</f>
        <v>0.4813274584</v>
      </c>
      <c r="L215" s="165">
        <f>IFERROR(__xludf.DUMMYFUNCTION("""COMPUTED_VALUE"""),2.91072348899225)</f>
        <v>2.910723489</v>
      </c>
      <c r="M215" s="166">
        <f t="shared" si="2"/>
        <v>10.88665741</v>
      </c>
      <c r="N215" s="167">
        <f t="shared" si="3"/>
        <v>35.00530488</v>
      </c>
      <c r="O215" s="163">
        <f t="shared" ref="O215:Q215" si="219">rank(I215,I:I)</f>
        <v>1995</v>
      </c>
      <c r="P215" s="163">
        <f t="shared" si="219"/>
        <v>140</v>
      </c>
      <c r="Q215" s="163">
        <f t="shared" si="219"/>
        <v>775</v>
      </c>
      <c r="R215" s="163">
        <f>IFERROR(__xludf.DUMMYFUNCTION("RANK(M215,filter(M:M,C:C=C215))"),10.0)</f>
        <v>10</v>
      </c>
      <c r="S215" s="161" t="b">
        <f t="shared" si="5"/>
        <v>0</v>
      </c>
      <c r="T215" s="161" t="b">
        <f t="array" ref="T215">index('Query Tool'!B:B,match(H215,'Query Tool'!C:C,0))</f>
        <v>1</v>
      </c>
      <c r="U215" s="161" t="b">
        <f t="array" ref="U215">index('Query Tool'!B:B,match(C215,'Query Tool'!C:C,0))</f>
        <v>0</v>
      </c>
      <c r="V215" s="161" t="b">
        <f>F215&gt;='Query Tool'!C$32</f>
        <v>1</v>
      </c>
      <c r="W215" s="161" t="b">
        <f t="array" ref="W215">index(Dropdowns!B:B,match(I215,Dropdowns!A:A,0))</f>
        <v>1</v>
      </c>
      <c r="X215" s="161" t="b">
        <f t="array" ref="X215">index('Query Tool'!B:B,match(D215,'Query Tool'!C:C,0))</f>
        <v>1</v>
      </c>
      <c r="Y215" s="161" t="str">
        <f t="shared" si="6"/>
        <v>jordade01,2013-14</v>
      </c>
      <c r="Z215" s="168">
        <f t="array" ref="Z215">iferror(index(I:I,match($A215&amp;","&amp;index('Year Conversion'!$A:$A,match($C215,'Year Conversion'!$B:$B,0)),$Y:$Y,0))-I215,"")</f>
        <v>1</v>
      </c>
      <c r="AA215" s="168">
        <f t="array" ref="AA215">iferror(index(J:J,match($A215&amp;","&amp;index('Year Conversion'!$A:$A,match($C215,'Year Conversion'!$B:$B,0)),$Y:$Y,0))-J215,"")</f>
        <v>0.4089245523</v>
      </c>
      <c r="AB215" s="168">
        <f t="array" ref="AB215">iferror(index(K:K,match($A215&amp;","&amp;index('Year Conversion'!$A:$A,match($C215,'Year Conversion'!$B:$B,0)),$Y:$Y,0))-K215,"")</f>
        <v>0.6232804304</v>
      </c>
      <c r="AC215" s="168" t="str">
        <f t="shared" si="7"/>
        <v>LAC,2013-14</v>
      </c>
    </row>
    <row r="216">
      <c r="A216" s="161" t="str">
        <f>IFERROR(__xludf.DUMMYFUNCTION("""COMPUTED_VALUE"""),"asikom01")</f>
        <v>asikom01</v>
      </c>
      <c r="B216" s="161" t="str">
        <f>IFERROR(__xludf.DUMMYFUNCTION("""COMPUTED_VALUE"""),"Omer Asik")</f>
        <v>Omer Asik</v>
      </c>
      <c r="C216" s="162" t="str">
        <f>IFERROR(__xludf.DUMMYFUNCTION("""COMPUTED_VALUE"""),"2013-14")</f>
        <v>2013-14</v>
      </c>
      <c r="D216" s="163" t="str">
        <f>IFERROR(__xludf.DUMMYFUNCTION("""COMPUTED_VALUE"""),"HOU")</f>
        <v>HOU</v>
      </c>
      <c r="E216" s="164" t="str">
        <f>IFERROR(__xludf.DUMMYFUNCTION("""COMPUTED_VALUE"""),"Roll + Cut Big")</f>
        <v>Roll + Cut Big</v>
      </c>
      <c r="F216" s="164">
        <f>IFERROR(__xludf.DUMMYFUNCTION("""COMPUTED_VALUE"""),968.088333333333)</f>
        <v>968.0883333</v>
      </c>
      <c r="G216" s="163">
        <f>IFERROR(__xludf.DUMMYFUNCTION("""COMPUTED_VALUE"""),48.0)</f>
        <v>48</v>
      </c>
      <c r="H216" s="163" t="str">
        <f>IFERROR(__xludf.DUMMYFUNCTION("""COMPUTED_VALUE"""),"C")</f>
        <v>C</v>
      </c>
      <c r="I216" s="163">
        <f>IFERROR(__xludf.DUMMYFUNCTION("""COMPUTED_VALUE"""),27.0)</f>
        <v>27</v>
      </c>
      <c r="J216" s="165">
        <f>IFERROR(__xludf.DUMMYFUNCTION("""COMPUTED_VALUE"""),-0.107208259273236)</f>
        <v>-0.1072082593</v>
      </c>
      <c r="K216" s="165">
        <f>IFERROR(__xludf.DUMMYFUNCTION("""COMPUTED_VALUE"""),-1.94515617234907)</f>
        <v>-1.945156172</v>
      </c>
      <c r="L216" s="165">
        <f>IFERROR(__xludf.DUMMYFUNCTION("""COMPUTED_VALUE"""),1.83794791307583)</f>
        <v>1.837947913</v>
      </c>
      <c r="M216" s="166">
        <f t="shared" si="2"/>
        <v>1.422498449</v>
      </c>
      <c r="N216" s="167">
        <f t="shared" si="3"/>
        <v>20.16850694</v>
      </c>
      <c r="O216" s="163">
        <f t="shared" ref="O216:Q216" si="220">rank(I216,I:I)</f>
        <v>1366</v>
      </c>
      <c r="P216" s="163">
        <f t="shared" si="220"/>
        <v>1391</v>
      </c>
      <c r="Q216" s="163">
        <f t="shared" si="220"/>
        <v>3680</v>
      </c>
      <c r="R216" s="163">
        <f>IFERROR(__xludf.DUMMYFUNCTION("RANK(M216,filter(M:M,C:C=C216))"),190.0)</f>
        <v>190</v>
      </c>
      <c r="S216" s="161" t="b">
        <f t="shared" si="5"/>
        <v>0</v>
      </c>
      <c r="T216" s="161" t="b">
        <f t="array" ref="T216">index('Query Tool'!B:B,match(H216,'Query Tool'!C:C,0))</f>
        <v>1</v>
      </c>
      <c r="U216" s="161" t="b">
        <f t="array" ref="U216">index('Query Tool'!B:B,match(C216,'Query Tool'!C:C,0))</f>
        <v>0</v>
      </c>
      <c r="V216" s="161" t="b">
        <f>F216&gt;='Query Tool'!C$32</f>
        <v>1</v>
      </c>
      <c r="W216" s="161" t="b">
        <f t="array" ref="W216">index(Dropdowns!B:B,match(I216,Dropdowns!A:A,0))</f>
        <v>1</v>
      </c>
      <c r="X216" s="161" t="b">
        <f t="array" ref="X216">index('Query Tool'!B:B,match(D216,'Query Tool'!C:C,0))</f>
        <v>1</v>
      </c>
      <c r="Y216" s="161" t="str">
        <f t="shared" si="6"/>
        <v>asikom01,2013-14</v>
      </c>
      <c r="Z216" s="168">
        <f t="array" ref="Z216">iferror(index(I:I,match($A216&amp;","&amp;index('Year Conversion'!$A:$A,match($C216,'Year Conversion'!$B:$B,0)),$Y:$Y,0))-I216,"")</f>
        <v>1</v>
      </c>
      <c r="AA216" s="168">
        <f t="array" ref="AA216">iferror(index(J:J,match($A216&amp;","&amp;index('Year Conversion'!$A:$A,match($C216,'Year Conversion'!$B:$B,0)),$Y:$Y,0))-J216,"")</f>
        <v>0.08114818285</v>
      </c>
      <c r="AB216" s="168">
        <f t="array" ref="AB216">iferror(index(K:K,match($A216&amp;","&amp;index('Year Conversion'!$A:$A,match($C216,'Year Conversion'!$B:$B,0)),$Y:$Y,0))-K216,"")</f>
        <v>0.5084899845</v>
      </c>
      <c r="AC216" s="168" t="str">
        <f t="shared" si="7"/>
        <v>HOU,2013-14</v>
      </c>
    </row>
    <row r="217">
      <c r="A217" s="161" t="str">
        <f>IFERROR(__xludf.DUMMYFUNCTION("""COMPUTED_VALUE"""),"mbahalu01")</f>
        <v>mbahalu01</v>
      </c>
      <c r="B217" s="161" t="str">
        <f>IFERROR(__xludf.DUMMYFUNCTION("""COMPUTED_VALUE"""),"Luc Mbah a Moute")</f>
        <v>Luc Mbah a Moute</v>
      </c>
      <c r="C217" s="162" t="str">
        <f>IFERROR(__xludf.DUMMYFUNCTION("""COMPUTED_VALUE"""),"2013-14")</f>
        <v>2013-14</v>
      </c>
      <c r="D217" s="163" t="str">
        <f>IFERROR(__xludf.DUMMYFUNCTION("""COMPUTED_VALUE"""),"TOT")</f>
        <v>TOT</v>
      </c>
      <c r="E217" s="164" t="str">
        <f>IFERROR(__xludf.DUMMYFUNCTION("""COMPUTED_VALUE"""),"Roll + Cut Big")</f>
        <v>Roll + Cut Big</v>
      </c>
      <c r="F217" s="164">
        <f>IFERROR(__xludf.DUMMYFUNCTION("""COMPUTED_VALUE"""),1003.02333333333)</f>
        <v>1003.023333</v>
      </c>
      <c r="G217" s="163">
        <f>IFERROR(__xludf.DUMMYFUNCTION("""COMPUTED_VALUE"""),64.0)</f>
        <v>64</v>
      </c>
      <c r="H217" s="163" t="str">
        <f>IFERROR(__xludf.DUMMYFUNCTION("""COMPUTED_VALUE"""),"PF-SF")</f>
        <v>PF-SF</v>
      </c>
      <c r="I217" s="163">
        <f>IFERROR(__xludf.DUMMYFUNCTION("""COMPUTED_VALUE"""),27.0)</f>
        <v>27</v>
      </c>
      <c r="J217" s="165">
        <f>IFERROR(__xludf.DUMMYFUNCTION("""COMPUTED_VALUE"""),-2.59682461046215)</f>
        <v>-2.59682461</v>
      </c>
      <c r="K217" s="165">
        <f>IFERROR(__xludf.DUMMYFUNCTION("""COMPUTED_VALUE"""),-2.03709755415215)</f>
        <v>-2.037097554</v>
      </c>
      <c r="L217" s="165">
        <f>IFERROR(__xludf.DUMMYFUNCTION("""COMPUTED_VALUE"""),-0.559727056310007)</f>
        <v>-0.5597270563</v>
      </c>
      <c r="M217" s="166">
        <f t="shared" si="2"/>
        <v>-0.1934500683</v>
      </c>
      <c r="N217" s="167">
        <f t="shared" si="3"/>
        <v>15.67223958</v>
      </c>
      <c r="O217" s="163">
        <f t="shared" ref="O217:Q217" si="221">rank(I217,I:I)</f>
        <v>1366</v>
      </c>
      <c r="P217" s="163">
        <f t="shared" si="221"/>
        <v>3783</v>
      </c>
      <c r="Q217" s="163">
        <f t="shared" si="221"/>
        <v>3726</v>
      </c>
      <c r="R217" s="163">
        <f>IFERROR(__xludf.DUMMYFUNCTION("RANK(M217,filter(M:M,C:C=C217))"),454.0)</f>
        <v>454</v>
      </c>
      <c r="S217" s="161" t="b">
        <f t="shared" si="5"/>
        <v>0</v>
      </c>
      <c r="T217" s="161" t="str">
        <f t="array" ref="T217">index('Query Tool'!B:B,match(H217,'Query Tool'!C:C,0))</f>
        <v>#N/A</v>
      </c>
      <c r="U217" s="161" t="b">
        <f t="array" ref="U217">index('Query Tool'!B:B,match(C217,'Query Tool'!C:C,0))</f>
        <v>0</v>
      </c>
      <c r="V217" s="161" t="b">
        <f>F217&gt;='Query Tool'!C$32</f>
        <v>1</v>
      </c>
      <c r="W217" s="161" t="b">
        <f t="array" ref="W217">index(Dropdowns!B:B,match(I217,Dropdowns!A:A,0))</f>
        <v>1</v>
      </c>
      <c r="X217" s="161" t="b">
        <f t="array" ref="X217">index('Query Tool'!B:B,match(D217,'Query Tool'!C:C,0))</f>
        <v>1</v>
      </c>
      <c r="Y217" s="161" t="str">
        <f t="shared" si="6"/>
        <v>mbahalu01,2013-14</v>
      </c>
      <c r="Z217" s="168">
        <f t="array" ref="Z217">iferror(index(I:I,match($A217&amp;","&amp;index('Year Conversion'!$A:$A,match($C217,'Year Conversion'!$B:$B,0)),$Y:$Y,0))-I217,"")</f>
        <v>1</v>
      </c>
      <c r="AA217" s="168">
        <f t="array" ref="AA217">iferror(index(J:J,match($A217&amp;","&amp;index('Year Conversion'!$A:$A,match($C217,'Year Conversion'!$B:$B,0)),$Y:$Y,0))-J217,"")</f>
        <v>0.4538433487</v>
      </c>
      <c r="AB217" s="168">
        <f t="array" ref="AB217">iferror(index(K:K,match($A217&amp;","&amp;index('Year Conversion'!$A:$A,match($C217,'Year Conversion'!$B:$B,0)),$Y:$Y,0))-K217,"")</f>
        <v>-0.9254309769</v>
      </c>
      <c r="AC217" s="168" t="str">
        <f t="shared" si="7"/>
        <v>TOT,2013-14</v>
      </c>
    </row>
    <row r="218">
      <c r="A218" s="161" t="str">
        <f>IFERROR(__xludf.DUMMYFUNCTION("""COMPUTED_VALUE"""),"douglch01")</f>
        <v>douglch01</v>
      </c>
      <c r="B218" s="161" t="str">
        <f>IFERROR(__xludf.DUMMYFUNCTION("""COMPUTED_VALUE"""),"Chris Douglas-Roberts")</f>
        <v>Chris Douglas-Roberts</v>
      </c>
      <c r="C218" s="162" t="str">
        <f>IFERROR(__xludf.DUMMYFUNCTION("""COMPUTED_VALUE"""),"2013-14")</f>
        <v>2013-14</v>
      </c>
      <c r="D218" s="163" t="str">
        <f>IFERROR(__xludf.DUMMYFUNCTION("""COMPUTED_VALUE"""),"CHA")</f>
        <v>CHA</v>
      </c>
      <c r="E218" s="164" t="str">
        <f>IFERROR(__xludf.DUMMYFUNCTION("""COMPUTED_VALUE"""),"Stationary Shooter")</f>
        <v>Stationary Shooter</v>
      </c>
      <c r="F218" s="164">
        <f>IFERROR(__xludf.DUMMYFUNCTION("""COMPUTED_VALUE"""),1015.52)</f>
        <v>1015.52</v>
      </c>
      <c r="G218" s="163">
        <f>IFERROR(__xludf.DUMMYFUNCTION("""COMPUTED_VALUE"""),49.0)</f>
        <v>49</v>
      </c>
      <c r="H218" s="163" t="str">
        <f>IFERROR(__xludf.DUMMYFUNCTION("""COMPUTED_VALUE"""),"SF")</f>
        <v>SF</v>
      </c>
      <c r="I218" s="163">
        <f>IFERROR(__xludf.DUMMYFUNCTION("""COMPUTED_VALUE"""),27.0)</f>
        <v>27</v>
      </c>
      <c r="J218" s="165">
        <f>IFERROR(__xludf.DUMMYFUNCTION("""COMPUTED_VALUE"""),-1.47215292352913)</f>
        <v>-1.472152924</v>
      </c>
      <c r="K218" s="165">
        <f>IFERROR(__xludf.DUMMYFUNCTION("""COMPUTED_VALUE"""),-1.16289723571357)</f>
        <v>-1.162897236</v>
      </c>
      <c r="L218" s="165">
        <f>IFERROR(__xludf.DUMMYFUNCTION("""COMPUTED_VALUE"""),-0.309255687815558)</f>
        <v>-0.3092556878</v>
      </c>
      <c r="M218" s="166">
        <f t="shared" si="2"/>
        <v>0.5607026686</v>
      </c>
      <c r="N218" s="167">
        <f t="shared" si="3"/>
        <v>20.72489796</v>
      </c>
      <c r="O218" s="163">
        <f t="shared" ref="O218:Q218" si="222">rank(I218,I:I)</f>
        <v>1366</v>
      </c>
      <c r="P218" s="163">
        <f t="shared" si="222"/>
        <v>3029</v>
      </c>
      <c r="Q218" s="163">
        <f t="shared" si="222"/>
        <v>3000</v>
      </c>
      <c r="R218" s="163">
        <f>IFERROR(__xludf.DUMMYFUNCTION("RANK(M218,filter(M:M,C:C=C218))"),263.0)</f>
        <v>263</v>
      </c>
      <c r="S218" s="161" t="b">
        <f t="shared" si="5"/>
        <v>0</v>
      </c>
      <c r="T218" s="161" t="b">
        <f t="array" ref="T218">index('Query Tool'!B:B,match(H218,'Query Tool'!C:C,0))</f>
        <v>1</v>
      </c>
      <c r="U218" s="161" t="b">
        <f t="array" ref="U218">index('Query Tool'!B:B,match(C218,'Query Tool'!C:C,0))</f>
        <v>0</v>
      </c>
      <c r="V218" s="161" t="b">
        <f>F218&gt;='Query Tool'!C$32</f>
        <v>1</v>
      </c>
      <c r="W218" s="161" t="b">
        <f t="array" ref="W218">index(Dropdowns!B:B,match(I218,Dropdowns!A:A,0))</f>
        <v>1</v>
      </c>
      <c r="X218" s="161" t="b">
        <f t="array" ref="X218">index('Query Tool'!B:B,match(D218,'Query Tool'!C:C,0))</f>
        <v>1</v>
      </c>
      <c r="Y218" s="161" t="str">
        <f t="shared" si="6"/>
        <v>douglch01,2013-14</v>
      </c>
      <c r="Z218" s="168">
        <f t="array" ref="Z218">iferror(index(I:I,match($A218&amp;","&amp;index('Year Conversion'!$A:$A,match($C218,'Year Conversion'!$B:$B,0)),$Y:$Y,0))-I218,"")</f>
        <v>1</v>
      </c>
      <c r="AA218" s="168">
        <f t="array" ref="AA218">iferror(index(J:J,match($A218&amp;","&amp;index('Year Conversion'!$A:$A,match($C218,'Year Conversion'!$B:$B,0)),$Y:$Y,0))-J218,"")</f>
        <v>-0.8653455233</v>
      </c>
      <c r="AB218" s="168">
        <f t="array" ref="AB218">iferror(index(K:K,match($A218&amp;","&amp;index('Year Conversion'!$A:$A,match($C218,'Year Conversion'!$B:$B,0)),$Y:$Y,0))-K218,"")</f>
        <v>-0.09730678415</v>
      </c>
      <c r="AC218" s="168" t="str">
        <f t="shared" si="7"/>
        <v>CHA,2013-14</v>
      </c>
    </row>
    <row r="219">
      <c r="A219" s="161" t="str">
        <f>IFERROR(__xludf.DUMMYFUNCTION("""COMPUTED_VALUE"""),"dragigo01")</f>
        <v>dragigo01</v>
      </c>
      <c r="B219" s="161" t="str">
        <f>IFERROR(__xludf.DUMMYFUNCTION("""COMPUTED_VALUE"""),"Goran Dragic")</f>
        <v>Goran Dragic</v>
      </c>
      <c r="C219" s="162" t="str">
        <f>IFERROR(__xludf.DUMMYFUNCTION("""COMPUTED_VALUE"""),"2013-14")</f>
        <v>2013-14</v>
      </c>
      <c r="D219" s="163" t="str">
        <f>IFERROR(__xludf.DUMMYFUNCTION("""COMPUTED_VALUE"""),"PHO")</f>
        <v>PHO</v>
      </c>
      <c r="E219" s="164" t="str">
        <f>IFERROR(__xludf.DUMMYFUNCTION("""COMPUTED_VALUE"""),"Slasher")</f>
        <v>Slasher</v>
      </c>
      <c r="F219" s="164">
        <f>IFERROR(__xludf.DUMMYFUNCTION("""COMPUTED_VALUE"""),2667.99333333333)</f>
        <v>2667.993333</v>
      </c>
      <c r="G219" s="163">
        <f>IFERROR(__xludf.DUMMYFUNCTION("""COMPUTED_VALUE"""),76.0)</f>
        <v>76</v>
      </c>
      <c r="H219" s="163" t="str">
        <f>IFERROR(__xludf.DUMMYFUNCTION("""COMPUTED_VALUE"""),"SG")</f>
        <v>SG</v>
      </c>
      <c r="I219" s="163">
        <f>IFERROR(__xludf.DUMMYFUNCTION("""COMPUTED_VALUE"""),27.0)</f>
        <v>27</v>
      </c>
      <c r="J219" s="165">
        <f>IFERROR(__xludf.DUMMYFUNCTION("""COMPUTED_VALUE"""),3.22843140161762)</f>
        <v>3.228431402</v>
      </c>
      <c r="K219" s="165">
        <f>IFERROR(__xludf.DUMMYFUNCTION("""COMPUTED_VALUE"""),4.00854183656499)</f>
        <v>4.008541837</v>
      </c>
      <c r="L219" s="165">
        <f>IFERROR(__xludf.DUMMYFUNCTION("""COMPUTED_VALUE"""),-0.780110434947371)</f>
        <v>-0.7801104349</v>
      </c>
      <c r="M219" s="166">
        <f t="shared" si="2"/>
        <v>9.837596255</v>
      </c>
      <c r="N219" s="167">
        <f t="shared" si="3"/>
        <v>35.10517544</v>
      </c>
      <c r="O219" s="163">
        <f t="shared" ref="O219:Q219" si="223">rank(I219,I:I)</f>
        <v>1366</v>
      </c>
      <c r="P219" s="163">
        <f t="shared" si="223"/>
        <v>152</v>
      </c>
      <c r="Q219" s="163">
        <f t="shared" si="223"/>
        <v>62</v>
      </c>
      <c r="R219" s="163">
        <f>IFERROR(__xludf.DUMMYFUNCTION("RANK(M219,filter(M:M,C:C=C219))"),13.0)</f>
        <v>13</v>
      </c>
      <c r="S219" s="161" t="b">
        <f t="shared" si="5"/>
        <v>0</v>
      </c>
      <c r="T219" s="161" t="b">
        <f t="array" ref="T219">index('Query Tool'!B:B,match(H219,'Query Tool'!C:C,0))</f>
        <v>1</v>
      </c>
      <c r="U219" s="161" t="b">
        <f t="array" ref="U219">index('Query Tool'!B:B,match(C219,'Query Tool'!C:C,0))</f>
        <v>0</v>
      </c>
      <c r="V219" s="161" t="b">
        <f>F219&gt;='Query Tool'!C$32</f>
        <v>1</v>
      </c>
      <c r="W219" s="161" t="b">
        <f t="array" ref="W219">index(Dropdowns!B:B,match(I219,Dropdowns!A:A,0))</f>
        <v>1</v>
      </c>
      <c r="X219" s="161" t="b">
        <f t="array" ref="X219">index('Query Tool'!B:B,match(D219,'Query Tool'!C:C,0))</f>
        <v>1</v>
      </c>
      <c r="Y219" s="161" t="str">
        <f t="shared" si="6"/>
        <v>dragigo01,2013-14</v>
      </c>
      <c r="Z219" s="168">
        <f t="array" ref="Z219">iferror(index(I:I,match($A219&amp;","&amp;index('Year Conversion'!$A:$A,match($C219,'Year Conversion'!$B:$B,0)),$Y:$Y,0))-I219,"")</f>
        <v>1</v>
      </c>
      <c r="AA219" s="168">
        <f t="array" ref="AA219">iferror(index(J:J,match($A219&amp;","&amp;index('Year Conversion'!$A:$A,match($C219,'Year Conversion'!$B:$B,0)),$Y:$Y,0))-J219,"")</f>
        <v>-3.423746905</v>
      </c>
      <c r="AB219" s="168">
        <f t="array" ref="AB219">iferror(index(K:K,match($A219&amp;","&amp;index('Year Conversion'!$A:$A,match($C219,'Year Conversion'!$B:$B,0)),$Y:$Y,0))-K219,"")</f>
        <v>-2.719101921</v>
      </c>
      <c r="AC219" s="168" t="str">
        <f t="shared" si="7"/>
        <v>PHO,2013-14</v>
      </c>
    </row>
    <row r="220">
      <c r="A220" s="161" t="str">
        <f>IFERROR(__xludf.DUMMYFUNCTION("""COMPUTED_VALUE"""),"morroan01")</f>
        <v>morroan01</v>
      </c>
      <c r="B220" s="161" t="str">
        <f>IFERROR(__xludf.DUMMYFUNCTION("""COMPUTED_VALUE"""),"Anthony Morrow")</f>
        <v>Anthony Morrow</v>
      </c>
      <c r="C220" s="162" t="str">
        <f>IFERROR(__xludf.DUMMYFUNCTION("""COMPUTED_VALUE"""),"2013-14")</f>
        <v>2013-14</v>
      </c>
      <c r="D220" s="163" t="str">
        <f>IFERROR(__xludf.DUMMYFUNCTION("""COMPUTED_VALUE"""),"NOP")</f>
        <v>NOP</v>
      </c>
      <c r="E220" s="164" t="str">
        <f>IFERROR(__xludf.DUMMYFUNCTION("""COMPUTED_VALUE"""),"Off Screen Shooter")</f>
        <v>Off Screen Shooter</v>
      </c>
      <c r="F220" s="164">
        <f>IFERROR(__xludf.DUMMYFUNCTION("""COMPUTED_VALUE"""),1425.75333333333)</f>
        <v>1425.753333</v>
      </c>
      <c r="G220" s="163">
        <f>IFERROR(__xludf.DUMMYFUNCTION("""COMPUTED_VALUE"""),76.0)</f>
        <v>76</v>
      </c>
      <c r="H220" s="163" t="str">
        <f>IFERROR(__xludf.DUMMYFUNCTION("""COMPUTED_VALUE"""),"SG")</f>
        <v>SG</v>
      </c>
      <c r="I220" s="163">
        <f>IFERROR(__xludf.DUMMYFUNCTION("""COMPUTED_VALUE"""),28.0)</f>
        <v>28</v>
      </c>
      <c r="J220" s="165">
        <f>IFERROR(__xludf.DUMMYFUNCTION("""COMPUTED_VALUE"""),-1.31148038733019)</f>
        <v>-1.311480387</v>
      </c>
      <c r="K220" s="165">
        <f>IFERROR(__xludf.DUMMYFUNCTION("""COMPUTED_VALUE"""),0.181538973156105)</f>
        <v>0.1815389732</v>
      </c>
      <c r="L220" s="165">
        <f>IFERROR(__xludf.DUMMYFUNCTION("""COMPUTED_VALUE"""),-1.4930193604863)</f>
        <v>-1.49301936</v>
      </c>
      <c r="M220" s="166">
        <f t="shared" si="2"/>
        <v>0.9404077394</v>
      </c>
      <c r="N220" s="167">
        <f t="shared" si="3"/>
        <v>18.75991228</v>
      </c>
      <c r="O220" s="163">
        <f t="shared" ref="O220:Q220" si="224">rank(I220,I:I)</f>
        <v>1090</v>
      </c>
      <c r="P220" s="163">
        <f t="shared" si="224"/>
        <v>2873</v>
      </c>
      <c r="Q220" s="163">
        <f t="shared" si="224"/>
        <v>999</v>
      </c>
      <c r="R220" s="163">
        <f>IFERROR(__xludf.DUMMYFUNCTION("RANK(M220,filter(M:M,C:C=C220))"),229.0)</f>
        <v>229</v>
      </c>
      <c r="S220" s="161" t="b">
        <f t="shared" si="5"/>
        <v>0</v>
      </c>
      <c r="T220" s="161" t="b">
        <f t="array" ref="T220">index('Query Tool'!B:B,match(H220,'Query Tool'!C:C,0))</f>
        <v>1</v>
      </c>
      <c r="U220" s="161" t="b">
        <f t="array" ref="U220">index('Query Tool'!B:B,match(C220,'Query Tool'!C:C,0))</f>
        <v>0</v>
      </c>
      <c r="V220" s="161" t="b">
        <f>F220&gt;='Query Tool'!C$32</f>
        <v>1</v>
      </c>
      <c r="W220" s="161" t="b">
        <f t="array" ref="W220">index(Dropdowns!B:B,match(I220,Dropdowns!A:A,0))</f>
        <v>1</v>
      </c>
      <c r="X220" s="161" t="b">
        <f t="array" ref="X220">index('Query Tool'!B:B,match(D220,'Query Tool'!C:C,0))</f>
        <v>1</v>
      </c>
      <c r="Y220" s="161" t="str">
        <f t="shared" si="6"/>
        <v>morroan01,2013-14</v>
      </c>
      <c r="Z220" s="168">
        <f t="array" ref="Z220">iferror(index(I:I,match($A220&amp;","&amp;index('Year Conversion'!$A:$A,match($C220,'Year Conversion'!$B:$B,0)),$Y:$Y,0))-I220,"")</f>
        <v>1</v>
      </c>
      <c r="AA220" s="168">
        <f t="array" ref="AA220">iferror(index(J:J,match($A220&amp;","&amp;index('Year Conversion'!$A:$A,match($C220,'Year Conversion'!$B:$B,0)),$Y:$Y,0))-J220,"")</f>
        <v>0.9201304902</v>
      </c>
      <c r="AB220" s="168">
        <f t="array" ref="AB220">iferror(index(K:K,match($A220&amp;","&amp;index('Year Conversion'!$A:$A,match($C220,'Year Conversion'!$B:$B,0)),$Y:$Y,0))-K220,"")</f>
        <v>0.5712724321</v>
      </c>
      <c r="AC220" s="168" t="str">
        <f t="shared" si="7"/>
        <v>NOP,2013-14</v>
      </c>
    </row>
    <row r="221">
      <c r="A221" s="161" t="str">
        <f>IFERROR(__xludf.DUMMYFUNCTION("""COMPUTED_VALUE"""),"jeffeot01")</f>
        <v>jeffeot01</v>
      </c>
      <c r="B221" s="161" t="str">
        <f>IFERROR(__xludf.DUMMYFUNCTION("""COMPUTED_VALUE"""),"Othyus Jeffers")</f>
        <v>Othyus Jeffers</v>
      </c>
      <c r="C221" s="162" t="str">
        <f>IFERROR(__xludf.DUMMYFUNCTION("""COMPUTED_VALUE"""),"2013-14")</f>
        <v>2013-14</v>
      </c>
      <c r="D221" s="163" t="str">
        <f>IFERROR(__xludf.DUMMYFUNCTION("""COMPUTED_VALUE"""),"TOT")</f>
        <v>TOT</v>
      </c>
      <c r="E221" s="164" t="str">
        <f>IFERROR(__xludf.DUMMYFUNCTION("""COMPUTED_VALUE"""),"Stretch Big")</f>
        <v>Stretch Big</v>
      </c>
      <c r="F221" s="164">
        <f>IFERROR(__xludf.DUMMYFUNCTION("""COMPUTED_VALUE"""),46.7016666666667)</f>
        <v>46.70166667</v>
      </c>
      <c r="G221" s="163">
        <f>IFERROR(__xludf.DUMMYFUNCTION("""COMPUTED_VALUE"""),6.0)</f>
        <v>6</v>
      </c>
      <c r="H221" s="163" t="str">
        <f>IFERROR(__xludf.DUMMYFUNCTION("""COMPUTED_VALUE"""),"SG")</f>
        <v>SG</v>
      </c>
      <c r="I221" s="163">
        <f>IFERROR(__xludf.DUMMYFUNCTION("""COMPUTED_VALUE"""),28.0)</f>
        <v>28</v>
      </c>
      <c r="J221" s="165">
        <f>IFERROR(__xludf.DUMMYFUNCTION("""COMPUTED_VALUE"""),-0.371559088237541)</f>
        <v>-0.3715590882</v>
      </c>
      <c r="K221" s="165">
        <f>IFERROR(__xludf.DUMMYFUNCTION("""COMPUTED_VALUE"""),-0.140404322035327)</f>
        <v>-0.140404322</v>
      </c>
      <c r="L221" s="165">
        <f>IFERROR(__xludf.DUMMYFUNCTION("""COMPUTED_VALUE"""),-0.231154766202214)</f>
        <v>-0.2311547662</v>
      </c>
      <c r="M221" s="166">
        <f t="shared" si="2"/>
        <v>0.06030181524</v>
      </c>
      <c r="N221" s="167">
        <f t="shared" si="3"/>
        <v>7.783611111</v>
      </c>
      <c r="O221" s="163">
        <f t="shared" ref="O221:Q221" si="225">rank(I221,I:I)</f>
        <v>1090</v>
      </c>
      <c r="P221" s="163">
        <f t="shared" si="225"/>
        <v>1696</v>
      </c>
      <c r="Q221" s="163">
        <f t="shared" si="225"/>
        <v>1465</v>
      </c>
      <c r="R221" s="163">
        <f>IFERROR(__xludf.DUMMYFUNCTION("RANK(M221,filter(M:M,C:C=C221))"),381.0)</f>
        <v>381</v>
      </c>
      <c r="S221" s="161" t="b">
        <f t="shared" si="5"/>
        <v>0</v>
      </c>
      <c r="T221" s="161" t="b">
        <f t="array" ref="T221">index('Query Tool'!B:B,match(H221,'Query Tool'!C:C,0))</f>
        <v>1</v>
      </c>
      <c r="U221" s="161" t="b">
        <f t="array" ref="U221">index('Query Tool'!B:B,match(C221,'Query Tool'!C:C,0))</f>
        <v>0</v>
      </c>
      <c r="V221" s="161" t="b">
        <f>F221&gt;='Query Tool'!C$32</f>
        <v>0</v>
      </c>
      <c r="W221" s="161" t="b">
        <f t="array" ref="W221">index(Dropdowns!B:B,match(I221,Dropdowns!A:A,0))</f>
        <v>1</v>
      </c>
      <c r="X221" s="161" t="b">
        <f t="array" ref="X221">index('Query Tool'!B:B,match(D221,'Query Tool'!C:C,0))</f>
        <v>1</v>
      </c>
      <c r="Y221" s="161" t="str">
        <f t="shared" si="6"/>
        <v>jeffeot01,2013-14</v>
      </c>
      <c r="Z221" s="168" t="str">
        <f t="array" ref="Z221">iferror(index(I:I,match($A221&amp;","&amp;index('Year Conversion'!$A:$A,match($C221,'Year Conversion'!$B:$B,0)),$Y:$Y,0))-I221,"")</f>
        <v/>
      </c>
      <c r="AA221" s="168" t="str">
        <f t="array" ref="AA221">iferror(index(J:J,match($A221&amp;","&amp;index('Year Conversion'!$A:$A,match($C221,'Year Conversion'!$B:$B,0)),$Y:$Y,0))-J221,"")</f>
        <v/>
      </c>
      <c r="AB221" s="168" t="str">
        <f t="array" ref="AB221">iferror(index(K:K,match($A221&amp;","&amp;index('Year Conversion'!$A:$A,match($C221,'Year Conversion'!$B:$B,0)),$Y:$Y,0))-K221,"")</f>
        <v/>
      </c>
      <c r="AC221" s="168" t="str">
        <f t="shared" si="7"/>
        <v>TOT,2013-14</v>
      </c>
    </row>
    <row r="222">
      <c r="A222" s="161" t="str">
        <f>IFERROR(__xludf.DUMMYFUNCTION("""COMPUTED_VALUE"""),"martica01")</f>
        <v>martica01</v>
      </c>
      <c r="B222" s="161" t="str">
        <f>IFERROR(__xludf.DUMMYFUNCTION("""COMPUTED_VALUE"""),"Cartier Martin")</f>
        <v>Cartier Martin</v>
      </c>
      <c r="C222" s="162" t="str">
        <f>IFERROR(__xludf.DUMMYFUNCTION("""COMPUTED_VALUE"""),"2013-14")</f>
        <v>2013-14</v>
      </c>
      <c r="D222" s="163" t="str">
        <f>IFERROR(__xludf.DUMMYFUNCTION("""COMPUTED_VALUE"""),"TOT")</f>
        <v>TOT</v>
      </c>
      <c r="E222" s="164" t="str">
        <f>IFERROR(__xludf.DUMMYFUNCTION("""COMPUTED_VALUE"""),"Stationary Shooter")</f>
        <v>Stationary Shooter</v>
      </c>
      <c r="F222" s="164">
        <f>IFERROR(__xludf.DUMMYFUNCTION("""COMPUTED_VALUE"""),869.835)</f>
        <v>869.835</v>
      </c>
      <c r="G222" s="163">
        <f>IFERROR(__xludf.DUMMYFUNCTION("""COMPUTED_VALUE"""),59.0)</f>
        <v>59</v>
      </c>
      <c r="H222" s="163" t="str">
        <f>IFERROR(__xludf.DUMMYFUNCTION("""COMPUTED_VALUE"""),"SF")</f>
        <v>SF</v>
      </c>
      <c r="I222" s="163">
        <f>IFERROR(__xludf.DUMMYFUNCTION("""COMPUTED_VALUE"""),29.0)</f>
        <v>29</v>
      </c>
      <c r="J222" s="165">
        <f>IFERROR(__xludf.DUMMYFUNCTION("""COMPUTED_VALUE"""),-1.42959369026849)</f>
        <v>-1.42959369</v>
      </c>
      <c r="K222" s="165">
        <f>IFERROR(__xludf.DUMMYFUNCTION("""COMPUTED_VALUE"""),-1.05304050952295)</f>
        <v>-1.05304051</v>
      </c>
      <c r="L222" s="165">
        <f>IFERROR(__xludf.DUMMYFUNCTION("""COMPUTED_VALUE"""),-0.376553180745542)</f>
        <v>-0.3765531807</v>
      </c>
      <c r="M222" s="166">
        <f t="shared" si="2"/>
        <v>0.5050055714</v>
      </c>
      <c r="N222" s="167">
        <f t="shared" si="3"/>
        <v>14.7429661</v>
      </c>
      <c r="O222" s="163">
        <f t="shared" ref="O222:Q222" si="226">rank(I222,I:I)</f>
        <v>855</v>
      </c>
      <c r="P222" s="163">
        <f t="shared" si="226"/>
        <v>2989</v>
      </c>
      <c r="Q222" s="163">
        <f t="shared" si="226"/>
        <v>2874</v>
      </c>
      <c r="R222" s="163">
        <f>IFERROR(__xludf.DUMMYFUNCTION("RANK(M222,filter(M:M,C:C=C222))"),271.0)</f>
        <v>271</v>
      </c>
      <c r="S222" s="161" t="b">
        <f t="shared" si="5"/>
        <v>0</v>
      </c>
      <c r="T222" s="161" t="b">
        <f t="array" ref="T222">index('Query Tool'!B:B,match(H222,'Query Tool'!C:C,0))</f>
        <v>1</v>
      </c>
      <c r="U222" s="161" t="b">
        <f t="array" ref="U222">index('Query Tool'!B:B,match(C222,'Query Tool'!C:C,0))</f>
        <v>0</v>
      </c>
      <c r="V222" s="161" t="b">
        <f>F222&gt;='Query Tool'!C$32</f>
        <v>1</v>
      </c>
      <c r="W222" s="161" t="b">
        <f t="array" ref="W222">index(Dropdowns!B:B,match(I222,Dropdowns!A:A,0))</f>
        <v>1</v>
      </c>
      <c r="X222" s="161" t="b">
        <f t="array" ref="X222">index('Query Tool'!B:B,match(D222,'Query Tool'!C:C,0))</f>
        <v>1</v>
      </c>
      <c r="Y222" s="161" t="str">
        <f t="shared" si="6"/>
        <v>martica01,2013-14</v>
      </c>
      <c r="Z222" s="168">
        <f t="array" ref="Z222">iferror(index(I:I,match($A222&amp;","&amp;index('Year Conversion'!$A:$A,match($C222,'Year Conversion'!$B:$B,0)),$Y:$Y,0))-I222,"")</f>
        <v>1</v>
      </c>
      <c r="AA222" s="168">
        <f t="array" ref="AA222">iferror(index(J:J,match($A222&amp;","&amp;index('Year Conversion'!$A:$A,match($C222,'Year Conversion'!$B:$B,0)),$Y:$Y,0))-J222,"")</f>
        <v>-0.01816015686</v>
      </c>
      <c r="AB222" s="168">
        <f t="array" ref="AB222">iferror(index(K:K,match($A222&amp;","&amp;index('Year Conversion'!$A:$A,match($C222,'Year Conversion'!$B:$B,0)),$Y:$Y,0))-K222,"")</f>
        <v>-0.1058197269</v>
      </c>
      <c r="AC222" s="168" t="str">
        <f t="shared" si="7"/>
        <v>TOT,2013-14</v>
      </c>
    </row>
    <row r="223">
      <c r="A223" s="161" t="str">
        <f>IFERROR(__xludf.DUMMYFUNCTION("""COMPUTED_VALUE"""),"stiemgr01")</f>
        <v>stiemgr01</v>
      </c>
      <c r="B223" s="161" t="str">
        <f>IFERROR(__xludf.DUMMYFUNCTION("""COMPUTED_VALUE"""),"Greg Stiemsma")</f>
        <v>Greg Stiemsma</v>
      </c>
      <c r="C223" s="162" t="str">
        <f>IFERROR(__xludf.DUMMYFUNCTION("""COMPUTED_VALUE"""),"2013-14")</f>
        <v>2013-14</v>
      </c>
      <c r="D223" s="163" t="str">
        <f>IFERROR(__xludf.DUMMYFUNCTION("""COMPUTED_VALUE"""),"NOP")</f>
        <v>NOP</v>
      </c>
      <c r="E223" s="164" t="str">
        <f>IFERROR(__xludf.DUMMYFUNCTION("""COMPUTED_VALUE"""),"Roll + Cut Big")</f>
        <v>Roll + Cut Big</v>
      </c>
      <c r="F223" s="164">
        <f>IFERROR(__xludf.DUMMYFUNCTION("""COMPUTED_VALUE"""),1006.50666666667)</f>
        <v>1006.506667</v>
      </c>
      <c r="G223" s="163">
        <f>IFERROR(__xludf.DUMMYFUNCTION("""COMPUTED_VALUE"""),55.0)</f>
        <v>55</v>
      </c>
      <c r="H223" s="163" t="str">
        <f>IFERROR(__xludf.DUMMYFUNCTION("""COMPUTED_VALUE"""),"C")</f>
        <v>C</v>
      </c>
      <c r="I223" s="163">
        <f>IFERROR(__xludf.DUMMYFUNCTION("""COMPUTED_VALUE"""),28.0)</f>
        <v>28</v>
      </c>
      <c r="J223" s="165">
        <f>IFERROR(__xludf.DUMMYFUNCTION("""COMPUTED_VALUE"""),-2.21492082244686)</f>
        <v>-2.214920822</v>
      </c>
      <c r="K223" s="165">
        <f>IFERROR(__xludf.DUMMYFUNCTION("""COMPUTED_VALUE"""),-3.79593606643331)</f>
        <v>-3.795936066</v>
      </c>
      <c r="L223" s="165">
        <f>IFERROR(__xludf.DUMMYFUNCTION("""COMPUTED_VALUE"""),1.58101524398645)</f>
        <v>1.581015244</v>
      </c>
      <c r="M223" s="166">
        <f t="shared" si="2"/>
        <v>0.05886468721</v>
      </c>
      <c r="N223" s="167">
        <f t="shared" si="3"/>
        <v>18.30012121</v>
      </c>
      <c r="O223" s="163">
        <f t="shared" ref="O223:Q223" si="227">rank(I223,I:I)</f>
        <v>1090</v>
      </c>
      <c r="P223" s="163">
        <f t="shared" si="227"/>
        <v>3613</v>
      </c>
      <c r="Q223" s="163">
        <f t="shared" si="227"/>
        <v>4012</v>
      </c>
      <c r="R223" s="163">
        <f>IFERROR(__xludf.DUMMYFUNCTION("RANK(M223,filter(M:M,C:C=C223))"),382.0)</f>
        <v>382</v>
      </c>
      <c r="S223" s="161" t="b">
        <f t="shared" si="5"/>
        <v>0</v>
      </c>
      <c r="T223" s="161" t="b">
        <f t="array" ref="T223">index('Query Tool'!B:B,match(H223,'Query Tool'!C:C,0))</f>
        <v>1</v>
      </c>
      <c r="U223" s="161" t="b">
        <f t="array" ref="U223">index('Query Tool'!B:B,match(C223,'Query Tool'!C:C,0))</f>
        <v>0</v>
      </c>
      <c r="V223" s="161" t="b">
        <f>F223&gt;='Query Tool'!C$32</f>
        <v>1</v>
      </c>
      <c r="W223" s="161" t="b">
        <f t="array" ref="W223">index(Dropdowns!B:B,match(I223,Dropdowns!A:A,0))</f>
        <v>1</v>
      </c>
      <c r="X223" s="161" t="b">
        <f t="array" ref="X223">index('Query Tool'!B:B,match(D223,'Query Tool'!C:C,0))</f>
        <v>1</v>
      </c>
      <c r="Y223" s="161" t="str">
        <f t="shared" si="6"/>
        <v>stiemgr01,2013-14</v>
      </c>
      <c r="Z223" s="168">
        <f t="array" ref="Z223">iferror(index(I:I,match($A223&amp;","&amp;index('Year Conversion'!$A:$A,match($C223,'Year Conversion'!$B:$B,0)),$Y:$Y,0))-I223,"")</f>
        <v>1</v>
      </c>
      <c r="AA223" s="168">
        <f t="array" ref="AA223">iferror(index(J:J,match($A223&amp;","&amp;index('Year Conversion'!$A:$A,match($C223,'Year Conversion'!$B:$B,0)),$Y:$Y,0))-J223,"")</f>
        <v>0.7814915284</v>
      </c>
      <c r="AB223" s="168">
        <f t="array" ref="AB223">iferror(index(K:K,match($A223&amp;","&amp;index('Year Conversion'!$A:$A,match($C223,'Year Conversion'!$B:$B,0)),$Y:$Y,0))-K223,"")</f>
        <v>3.031385467</v>
      </c>
      <c r="AC223" s="168" t="str">
        <f t="shared" si="7"/>
        <v>NOP,2013-14</v>
      </c>
    </row>
    <row r="224">
      <c r="A224" s="161" t="str">
        <f>IFERROR(__xludf.DUMMYFUNCTION("""COMPUTED_VALUE"""),"griffbl01")</f>
        <v>griffbl01</v>
      </c>
      <c r="B224" s="161" t="str">
        <f>IFERROR(__xludf.DUMMYFUNCTION("""COMPUTED_VALUE"""),"Blake Griffin")</f>
        <v>Blake Griffin</v>
      </c>
      <c r="C224" s="162" t="str">
        <f>IFERROR(__xludf.DUMMYFUNCTION("""COMPUTED_VALUE"""),"2013-14")</f>
        <v>2013-14</v>
      </c>
      <c r="D224" s="163" t="str">
        <f>IFERROR(__xludf.DUMMYFUNCTION("""COMPUTED_VALUE"""),"LAC")</f>
        <v>LAC</v>
      </c>
      <c r="E224" s="164" t="str">
        <f>IFERROR(__xludf.DUMMYFUNCTION("""COMPUTED_VALUE"""),"Post Scorer")</f>
        <v>Post Scorer</v>
      </c>
      <c r="F224" s="164">
        <f>IFERROR(__xludf.DUMMYFUNCTION("""COMPUTED_VALUE"""),2863.30166666667)</f>
        <v>2863.301667</v>
      </c>
      <c r="G224" s="163">
        <f>IFERROR(__xludf.DUMMYFUNCTION("""COMPUTED_VALUE"""),80.0)</f>
        <v>80</v>
      </c>
      <c r="H224" s="163" t="str">
        <f>IFERROR(__xludf.DUMMYFUNCTION("""COMPUTED_VALUE"""),"PF")</f>
        <v>PF</v>
      </c>
      <c r="I224" s="163">
        <f>IFERROR(__xludf.DUMMYFUNCTION("""COMPUTED_VALUE"""),24.0)</f>
        <v>24</v>
      </c>
      <c r="J224" s="165">
        <f>IFERROR(__xludf.DUMMYFUNCTION("""COMPUTED_VALUE"""),3.62051795098062)</f>
        <v>3.620517951</v>
      </c>
      <c r="K224" s="165">
        <f>IFERROR(__xludf.DUMMYFUNCTION("""COMPUTED_VALUE"""),2.91962412576825)</f>
        <v>2.919624126</v>
      </c>
      <c r="L224" s="165">
        <f>IFERROR(__xludf.DUMMYFUNCTION("""COMPUTED_VALUE"""),0.700893825212372)</f>
        <v>0.7008938252</v>
      </c>
      <c r="M224" s="166">
        <f t="shared" si="2"/>
        <v>11.27878256</v>
      </c>
      <c r="N224" s="167">
        <f t="shared" si="3"/>
        <v>35.79127083</v>
      </c>
      <c r="O224" s="163">
        <f t="shared" ref="O224:Q224" si="228">rank(I224,I:I)</f>
        <v>2361</v>
      </c>
      <c r="P224" s="163">
        <f t="shared" si="228"/>
        <v>120</v>
      </c>
      <c r="Q224" s="163">
        <f t="shared" si="228"/>
        <v>129</v>
      </c>
      <c r="R224" s="163">
        <f>IFERROR(__xludf.DUMMYFUNCTION("RANK(M224,filter(M:M,C:C=C224))"),9.0)</f>
        <v>9</v>
      </c>
      <c r="S224" s="161" t="b">
        <f t="shared" si="5"/>
        <v>0</v>
      </c>
      <c r="T224" s="161" t="b">
        <f t="array" ref="T224">index('Query Tool'!B:B,match(H224,'Query Tool'!C:C,0))</f>
        <v>1</v>
      </c>
      <c r="U224" s="161" t="b">
        <f t="array" ref="U224">index('Query Tool'!B:B,match(C224,'Query Tool'!C:C,0))</f>
        <v>0</v>
      </c>
      <c r="V224" s="161" t="b">
        <f>F224&gt;='Query Tool'!C$32</f>
        <v>1</v>
      </c>
      <c r="W224" s="161" t="b">
        <f t="array" ref="W224">index(Dropdowns!B:B,match(I224,Dropdowns!A:A,0))</f>
        <v>1</v>
      </c>
      <c r="X224" s="161" t="b">
        <f t="array" ref="X224">index('Query Tool'!B:B,match(D224,'Query Tool'!C:C,0))</f>
        <v>1</v>
      </c>
      <c r="Y224" s="161" t="str">
        <f t="shared" si="6"/>
        <v>griffbl01,2013-14</v>
      </c>
      <c r="Z224" s="168">
        <f t="array" ref="Z224">iferror(index(I:I,match($A224&amp;","&amp;index('Year Conversion'!$A:$A,match($C224,'Year Conversion'!$B:$B,0)),$Y:$Y,0))-I224,"")</f>
        <v>1</v>
      </c>
      <c r="AA224" s="168">
        <f t="array" ref="AA224">iferror(index(J:J,match($A224&amp;","&amp;index('Year Conversion'!$A:$A,match($C224,'Year Conversion'!$B:$B,0)),$Y:$Y,0))-J224,"")</f>
        <v>-1.778588711</v>
      </c>
      <c r="AB224" s="168">
        <f t="array" ref="AB224">iferror(index(K:K,match($A224&amp;","&amp;index('Year Conversion'!$A:$A,match($C224,'Year Conversion'!$B:$B,0)),$Y:$Y,0))-K224,"")</f>
        <v>-0.6599601023</v>
      </c>
      <c r="AC224" s="168" t="str">
        <f t="shared" si="7"/>
        <v>LAC,2013-14</v>
      </c>
    </row>
    <row r="225">
      <c r="A225" s="161" t="str">
        <f>IFERROR(__xludf.DUMMYFUNCTION("""COMPUTED_VALUE"""),"thabeha01")</f>
        <v>thabeha01</v>
      </c>
      <c r="B225" s="161" t="str">
        <f>IFERROR(__xludf.DUMMYFUNCTION("""COMPUTED_VALUE"""),"Hasheem Thabeet")</f>
        <v>Hasheem Thabeet</v>
      </c>
      <c r="C225" s="162" t="str">
        <f>IFERROR(__xludf.DUMMYFUNCTION("""COMPUTED_VALUE"""),"2013-14")</f>
        <v>2013-14</v>
      </c>
      <c r="D225" s="163" t="str">
        <f>IFERROR(__xludf.DUMMYFUNCTION("""COMPUTED_VALUE"""),"OKC")</f>
        <v>OKC</v>
      </c>
      <c r="E225" s="164" t="str">
        <f>IFERROR(__xludf.DUMMYFUNCTION("""COMPUTED_VALUE"""),"Roll + Cut Big")</f>
        <v>Roll + Cut Big</v>
      </c>
      <c r="F225" s="164">
        <f>IFERROR(__xludf.DUMMYFUNCTION("""COMPUTED_VALUE"""),192.413333333333)</f>
        <v>192.4133333</v>
      </c>
      <c r="G225" s="163">
        <f>IFERROR(__xludf.DUMMYFUNCTION("""COMPUTED_VALUE"""),23.0)</f>
        <v>23</v>
      </c>
      <c r="H225" s="163" t="str">
        <f>IFERROR(__xludf.DUMMYFUNCTION("""COMPUTED_VALUE"""),"C")</f>
        <v>C</v>
      </c>
      <c r="I225" s="163">
        <f>IFERROR(__xludf.DUMMYFUNCTION("""COMPUTED_VALUE"""),26.0)</f>
        <v>26</v>
      </c>
      <c r="J225" s="165">
        <f>IFERROR(__xludf.DUMMYFUNCTION("""COMPUTED_VALUE"""),-2.80097797813459)</f>
        <v>-2.800977978</v>
      </c>
      <c r="K225" s="165">
        <f>IFERROR(__xludf.DUMMYFUNCTION("""COMPUTED_VALUE"""),-2.77128325468496)</f>
        <v>-2.771283255</v>
      </c>
      <c r="L225" s="165">
        <f>IFERROR(__xludf.DUMMYFUNCTION("""COMPUTED_VALUE"""),-0.0296947234496266)</f>
        <v>-0.02969472345</v>
      </c>
      <c r="M225" s="166">
        <f t="shared" si="2"/>
        <v>-0.06280525509</v>
      </c>
      <c r="N225" s="167">
        <f t="shared" si="3"/>
        <v>8.365797101</v>
      </c>
      <c r="O225" s="163">
        <f t="shared" ref="O225:Q225" si="229">rank(I225,I:I)</f>
        <v>1665</v>
      </c>
      <c r="P225" s="163">
        <f t="shared" si="229"/>
        <v>3844</v>
      </c>
      <c r="Q225" s="163">
        <f t="shared" si="229"/>
        <v>3947</v>
      </c>
      <c r="R225" s="163">
        <f>IFERROR(__xludf.DUMMYFUNCTION("RANK(M225,filter(M:M,C:C=C225))"),437.0)</f>
        <v>437</v>
      </c>
      <c r="S225" s="161" t="b">
        <f t="shared" si="5"/>
        <v>0</v>
      </c>
      <c r="T225" s="161" t="b">
        <f t="array" ref="T225">index('Query Tool'!B:B,match(H225,'Query Tool'!C:C,0))</f>
        <v>1</v>
      </c>
      <c r="U225" s="161" t="b">
        <f t="array" ref="U225">index('Query Tool'!B:B,match(C225,'Query Tool'!C:C,0))</f>
        <v>0</v>
      </c>
      <c r="V225" s="161" t="b">
        <f>F225&gt;='Query Tool'!C$32</f>
        <v>0</v>
      </c>
      <c r="W225" s="161" t="b">
        <f t="array" ref="W225">index(Dropdowns!B:B,match(I225,Dropdowns!A:A,0))</f>
        <v>1</v>
      </c>
      <c r="X225" s="161" t="b">
        <f t="array" ref="X225">index('Query Tool'!B:B,match(D225,'Query Tool'!C:C,0))</f>
        <v>1</v>
      </c>
      <c r="Y225" s="161" t="str">
        <f t="shared" si="6"/>
        <v>thabeha01,2013-14</v>
      </c>
      <c r="Z225" s="168" t="str">
        <f t="array" ref="Z225">iferror(index(I:I,match($A225&amp;","&amp;index('Year Conversion'!$A:$A,match($C225,'Year Conversion'!$B:$B,0)),$Y:$Y,0))-I225,"")</f>
        <v/>
      </c>
      <c r="AA225" s="168" t="str">
        <f t="array" ref="AA225">iferror(index(J:J,match($A225&amp;","&amp;index('Year Conversion'!$A:$A,match($C225,'Year Conversion'!$B:$B,0)),$Y:$Y,0))-J225,"")</f>
        <v/>
      </c>
      <c r="AB225" s="168" t="str">
        <f t="array" ref="AB225">iferror(index(K:K,match($A225&amp;","&amp;index('Year Conversion'!$A:$A,match($C225,'Year Conversion'!$B:$B,0)),$Y:$Y,0))-K225,"")</f>
        <v/>
      </c>
      <c r="AC225" s="168" t="str">
        <f t="shared" si="7"/>
        <v>OKC,2013-14</v>
      </c>
    </row>
    <row r="226">
      <c r="A226" s="161" t="str">
        <f>IFERROR(__xludf.DUMMYFUNCTION("""COMPUTED_VALUE"""),"hardeja01")</f>
        <v>hardeja01</v>
      </c>
      <c r="B226" s="161" t="str">
        <f>IFERROR(__xludf.DUMMYFUNCTION("""COMPUTED_VALUE"""),"James Harden")</f>
        <v>James Harden</v>
      </c>
      <c r="C226" s="162" t="str">
        <f>IFERROR(__xludf.DUMMYFUNCTION("""COMPUTED_VALUE"""),"2013-14")</f>
        <v>2013-14</v>
      </c>
      <c r="D226" s="163" t="str">
        <f>IFERROR(__xludf.DUMMYFUNCTION("""COMPUTED_VALUE"""),"HOU")</f>
        <v>HOU</v>
      </c>
      <c r="E226" s="164" t="str">
        <f>IFERROR(__xludf.DUMMYFUNCTION("""COMPUTED_VALUE"""),"Shot Creator")</f>
        <v>Shot Creator</v>
      </c>
      <c r="F226" s="164">
        <f>IFERROR(__xludf.DUMMYFUNCTION("""COMPUTED_VALUE"""),2777.46)</f>
        <v>2777.46</v>
      </c>
      <c r="G226" s="163">
        <f>IFERROR(__xludf.DUMMYFUNCTION("""COMPUTED_VALUE"""),73.0)</f>
        <v>73</v>
      </c>
      <c r="H226" s="163" t="str">
        <f>IFERROR(__xludf.DUMMYFUNCTION("""COMPUTED_VALUE"""),"SG")</f>
        <v>SG</v>
      </c>
      <c r="I226" s="163">
        <f>IFERROR(__xludf.DUMMYFUNCTION("""COMPUTED_VALUE"""),24.0)</f>
        <v>24</v>
      </c>
      <c r="J226" s="165">
        <f>IFERROR(__xludf.DUMMYFUNCTION("""COMPUTED_VALUE"""),4.74612823777327)</f>
        <v>4.746128238</v>
      </c>
      <c r="K226" s="165">
        <f>IFERROR(__xludf.DUMMYFUNCTION("""COMPUTED_VALUE"""),5.24974824093418)</f>
        <v>5.249748241</v>
      </c>
      <c r="L226" s="165">
        <f>IFERROR(__xludf.DUMMYFUNCTION("""COMPUTED_VALUE"""),-0.503620003160907)</f>
        <v>-0.5036200032</v>
      </c>
      <c r="M226" s="166">
        <f t="shared" si="2"/>
        <v>12.90114258</v>
      </c>
      <c r="N226" s="167">
        <f t="shared" si="3"/>
        <v>38.04739726</v>
      </c>
      <c r="O226" s="163">
        <f t="shared" ref="O226:Q226" si="230">rank(I226,I:I)</f>
        <v>2361</v>
      </c>
      <c r="P226" s="163">
        <f t="shared" si="230"/>
        <v>57</v>
      </c>
      <c r="Q226" s="163">
        <f t="shared" si="230"/>
        <v>24</v>
      </c>
      <c r="R226" s="163">
        <f>IFERROR(__xludf.DUMMYFUNCTION("RANK(M226,filter(M:M,C:C=C226))"),4.0)</f>
        <v>4</v>
      </c>
      <c r="S226" s="161" t="b">
        <f t="shared" si="5"/>
        <v>0</v>
      </c>
      <c r="T226" s="161" t="b">
        <f t="array" ref="T226">index('Query Tool'!B:B,match(H226,'Query Tool'!C:C,0))</f>
        <v>1</v>
      </c>
      <c r="U226" s="161" t="b">
        <f t="array" ref="U226">index('Query Tool'!B:B,match(C226,'Query Tool'!C:C,0))</f>
        <v>0</v>
      </c>
      <c r="V226" s="161" t="b">
        <f>F226&gt;='Query Tool'!C$32</f>
        <v>1</v>
      </c>
      <c r="W226" s="161" t="b">
        <f t="array" ref="W226">index(Dropdowns!B:B,match(I226,Dropdowns!A:A,0))</f>
        <v>1</v>
      </c>
      <c r="X226" s="161" t="b">
        <f t="array" ref="X226">index('Query Tool'!B:B,match(D226,'Query Tool'!C:C,0))</f>
        <v>1</v>
      </c>
      <c r="Y226" s="161" t="str">
        <f t="shared" si="6"/>
        <v>hardeja01,2013-14</v>
      </c>
      <c r="Z226" s="168">
        <f t="array" ref="Z226">iferror(index(I:I,match($A226&amp;","&amp;index('Year Conversion'!$A:$A,match($C226,'Year Conversion'!$B:$B,0)),$Y:$Y,0))-I226,"")</f>
        <v>1</v>
      </c>
      <c r="AA226" s="168">
        <f t="array" ref="AA226">iferror(index(J:J,match($A226&amp;","&amp;index('Year Conversion'!$A:$A,match($C226,'Year Conversion'!$B:$B,0)),$Y:$Y,0))-J226,"")</f>
        <v>0.5906397613</v>
      </c>
      <c r="AB226" s="168">
        <f t="array" ref="AB226">iferror(index(K:K,match($A226&amp;","&amp;index('Year Conversion'!$A:$A,match($C226,'Year Conversion'!$B:$B,0)),$Y:$Y,0))-K226,"")</f>
        <v>0.4116306395</v>
      </c>
      <c r="AC226" s="168" t="str">
        <f t="shared" si="7"/>
        <v>HOU,2013-14</v>
      </c>
    </row>
    <row r="227">
      <c r="A227" s="161" t="str">
        <f>IFERROR(__xludf.DUMMYFUNCTION("""COMPUTED_VALUE"""),"evansty01")</f>
        <v>evansty01</v>
      </c>
      <c r="B227" s="161" t="str">
        <f>IFERROR(__xludf.DUMMYFUNCTION("""COMPUTED_VALUE"""),"Tyreke Evans")</f>
        <v>Tyreke Evans</v>
      </c>
      <c r="C227" s="162" t="str">
        <f>IFERROR(__xludf.DUMMYFUNCTION("""COMPUTED_VALUE"""),"2013-14")</f>
        <v>2013-14</v>
      </c>
      <c r="D227" s="163" t="str">
        <f>IFERROR(__xludf.DUMMYFUNCTION("""COMPUTED_VALUE"""),"NOP")</f>
        <v>NOP</v>
      </c>
      <c r="E227" s="164" t="str">
        <f>IFERROR(__xludf.DUMMYFUNCTION("""COMPUTED_VALUE"""),"Shot Creator")</f>
        <v>Shot Creator</v>
      </c>
      <c r="F227" s="164">
        <f>IFERROR(__xludf.DUMMYFUNCTION("""COMPUTED_VALUE"""),2027.84166666667)</f>
        <v>2027.841667</v>
      </c>
      <c r="G227" s="163">
        <f>IFERROR(__xludf.DUMMYFUNCTION("""COMPUTED_VALUE"""),72.0)</f>
        <v>72</v>
      </c>
      <c r="H227" s="163" t="str">
        <f>IFERROR(__xludf.DUMMYFUNCTION("""COMPUTED_VALUE"""),"SF")</f>
        <v>SF</v>
      </c>
      <c r="I227" s="163">
        <f>IFERROR(__xludf.DUMMYFUNCTION("""COMPUTED_VALUE"""),24.0)</f>
        <v>24</v>
      </c>
      <c r="J227" s="165">
        <f>IFERROR(__xludf.DUMMYFUNCTION("""COMPUTED_VALUE"""),-0.63950565459121)</f>
        <v>-0.6395056546</v>
      </c>
      <c r="K227" s="165">
        <f>IFERROR(__xludf.DUMMYFUNCTION("""COMPUTED_VALUE"""),1.15740239081411)</f>
        <v>1.157402391</v>
      </c>
      <c r="L227" s="165">
        <f>IFERROR(__xludf.DUMMYFUNCTION("""COMPUTED_VALUE"""),-1.79690804540532)</f>
        <v>-1.796908045</v>
      </c>
      <c r="M227" s="166">
        <f t="shared" si="2"/>
        <v>2.252451998</v>
      </c>
      <c r="N227" s="167">
        <f t="shared" si="3"/>
        <v>28.16446759</v>
      </c>
      <c r="O227" s="163">
        <f t="shared" ref="O227:Q227" si="231">rank(I227,I:I)</f>
        <v>2361</v>
      </c>
      <c r="P227" s="163">
        <f t="shared" si="231"/>
        <v>2044</v>
      </c>
      <c r="Q227" s="163">
        <f t="shared" si="231"/>
        <v>431</v>
      </c>
      <c r="R227" s="163">
        <f>IFERROR(__xludf.DUMMYFUNCTION("RANK(M227,filter(M:M,C:C=C227))"),139.0)</f>
        <v>139</v>
      </c>
      <c r="S227" s="161" t="b">
        <f t="shared" si="5"/>
        <v>0</v>
      </c>
      <c r="T227" s="161" t="b">
        <f t="array" ref="T227">index('Query Tool'!B:B,match(H227,'Query Tool'!C:C,0))</f>
        <v>1</v>
      </c>
      <c r="U227" s="161" t="b">
        <f t="array" ref="U227">index('Query Tool'!B:B,match(C227,'Query Tool'!C:C,0))</f>
        <v>0</v>
      </c>
      <c r="V227" s="161" t="b">
        <f>F227&gt;='Query Tool'!C$32</f>
        <v>1</v>
      </c>
      <c r="W227" s="161" t="b">
        <f t="array" ref="W227">index(Dropdowns!B:B,match(I227,Dropdowns!A:A,0))</f>
        <v>1</v>
      </c>
      <c r="X227" s="161" t="b">
        <f t="array" ref="X227">index('Query Tool'!B:B,match(D227,'Query Tool'!C:C,0))</f>
        <v>1</v>
      </c>
      <c r="Y227" s="161" t="str">
        <f t="shared" si="6"/>
        <v>evansty01,2013-14</v>
      </c>
      <c r="Z227" s="168">
        <f t="array" ref="Z227">iferror(index(I:I,match($A227&amp;","&amp;index('Year Conversion'!$A:$A,match($C227,'Year Conversion'!$B:$B,0)),$Y:$Y,0))-I227,"")</f>
        <v>1</v>
      </c>
      <c r="AA227" s="168">
        <f t="array" ref="AA227">iferror(index(J:J,match($A227&amp;","&amp;index('Year Conversion'!$A:$A,match($C227,'Year Conversion'!$B:$B,0)),$Y:$Y,0))-J227,"")</f>
        <v>1.699893986</v>
      </c>
      <c r="AB227" s="168">
        <f t="array" ref="AB227">iferror(index(K:K,match($A227&amp;","&amp;index('Year Conversion'!$A:$A,match($C227,'Year Conversion'!$B:$B,0)),$Y:$Y,0))-K227,"")</f>
        <v>0.6384350584</v>
      </c>
      <c r="AC227" s="168" t="str">
        <f t="shared" si="7"/>
        <v>NOP,2013-14</v>
      </c>
    </row>
    <row r="228">
      <c r="A228" s="161" t="str">
        <f>IFERROR(__xludf.DUMMYFUNCTION("""COMPUTED_VALUE"""),"rubiori01")</f>
        <v>rubiori01</v>
      </c>
      <c r="B228" s="161" t="str">
        <f>IFERROR(__xludf.DUMMYFUNCTION("""COMPUTED_VALUE"""),"Ricky Rubio")</f>
        <v>Ricky Rubio</v>
      </c>
      <c r="C228" s="162" t="str">
        <f>IFERROR(__xludf.DUMMYFUNCTION("""COMPUTED_VALUE"""),"2013-14")</f>
        <v>2013-14</v>
      </c>
      <c r="D228" s="163" t="str">
        <f>IFERROR(__xludf.DUMMYFUNCTION("""COMPUTED_VALUE"""),"MIN")</f>
        <v>MIN</v>
      </c>
      <c r="E228" s="164" t="str">
        <f>IFERROR(__xludf.DUMMYFUNCTION("""COMPUTED_VALUE"""),"Slasher")</f>
        <v>Slasher</v>
      </c>
      <c r="F228" s="164">
        <f>IFERROR(__xludf.DUMMYFUNCTION("""COMPUTED_VALUE"""),2637.89333333333)</f>
        <v>2637.893333</v>
      </c>
      <c r="G228" s="163">
        <f>IFERROR(__xludf.DUMMYFUNCTION("""COMPUTED_VALUE"""),82.0)</f>
        <v>82</v>
      </c>
      <c r="H228" s="163" t="str">
        <f>IFERROR(__xludf.DUMMYFUNCTION("""COMPUTED_VALUE"""),"PG")</f>
        <v>PG</v>
      </c>
      <c r="I228" s="163">
        <f>IFERROR(__xludf.DUMMYFUNCTION("""COMPUTED_VALUE"""),23.0)</f>
        <v>23</v>
      </c>
      <c r="J228" s="165">
        <f>IFERROR(__xludf.DUMMYFUNCTION("""COMPUTED_VALUE"""),2.89075286015558)</f>
        <v>2.89075286</v>
      </c>
      <c r="K228" s="165">
        <f>IFERROR(__xludf.DUMMYFUNCTION("""COMPUTED_VALUE"""),1.69383223794067)</f>
        <v>1.693832238</v>
      </c>
      <c r="L228" s="165">
        <f>IFERROR(__xludf.DUMMYFUNCTION("""COMPUTED_VALUE"""),1.19692062221491)</f>
        <v>1.196920622</v>
      </c>
      <c r="M228" s="166">
        <f t="shared" si="2"/>
        <v>9.148922668</v>
      </c>
      <c r="N228" s="167">
        <f t="shared" si="3"/>
        <v>32.16943089</v>
      </c>
      <c r="O228" s="163">
        <f t="shared" ref="O228:Q228" si="232">rank(I228,I:I)</f>
        <v>2765</v>
      </c>
      <c r="P228" s="163">
        <f t="shared" si="232"/>
        <v>180</v>
      </c>
      <c r="Q228" s="163">
        <f t="shared" si="232"/>
        <v>271</v>
      </c>
      <c r="R228" s="163">
        <f>IFERROR(__xludf.DUMMYFUNCTION("RANK(M228,filter(M:M,C:C=C228))"),20.0)</f>
        <v>20</v>
      </c>
      <c r="S228" s="161" t="b">
        <f t="shared" si="5"/>
        <v>0</v>
      </c>
      <c r="T228" s="161" t="b">
        <f t="array" ref="T228">index('Query Tool'!B:B,match(H228,'Query Tool'!C:C,0))</f>
        <v>1</v>
      </c>
      <c r="U228" s="161" t="b">
        <f t="array" ref="U228">index('Query Tool'!B:B,match(C228,'Query Tool'!C:C,0))</f>
        <v>0</v>
      </c>
      <c r="V228" s="161" t="b">
        <f>F228&gt;='Query Tool'!C$32</f>
        <v>1</v>
      </c>
      <c r="W228" s="161" t="b">
        <f t="array" ref="W228">index(Dropdowns!B:B,match(I228,Dropdowns!A:A,0))</f>
        <v>1</v>
      </c>
      <c r="X228" s="161" t="b">
        <f t="array" ref="X228">index('Query Tool'!B:B,match(D228,'Query Tool'!C:C,0))</f>
        <v>1</v>
      </c>
      <c r="Y228" s="161" t="str">
        <f t="shared" si="6"/>
        <v>rubiori01,2013-14</v>
      </c>
      <c r="Z228" s="168">
        <f t="array" ref="Z228">iferror(index(I:I,match($A228&amp;","&amp;index('Year Conversion'!$A:$A,match($C228,'Year Conversion'!$B:$B,0)),$Y:$Y,0))-I228,"")</f>
        <v>1</v>
      </c>
      <c r="AA228" s="168">
        <f t="array" ref="AA228">iferror(index(J:J,match($A228&amp;","&amp;index('Year Conversion'!$A:$A,match($C228,'Year Conversion'!$B:$B,0)),$Y:$Y,0))-J228,"")</f>
        <v>0.5413151915</v>
      </c>
      <c r="AB228" s="168">
        <f t="array" ref="AB228">iferror(index(K:K,match($A228&amp;","&amp;index('Year Conversion'!$A:$A,match($C228,'Year Conversion'!$B:$B,0)),$Y:$Y,0))-K228,"")</f>
        <v>-0.09095379268</v>
      </c>
      <c r="AC228" s="168" t="str">
        <f t="shared" si="7"/>
        <v>MIN,2013-14</v>
      </c>
    </row>
    <row r="229">
      <c r="A229" s="161" t="str">
        <f>IFERROR(__xludf.DUMMYFUNCTION("""COMPUTED_VALUE"""),"curryst01")</f>
        <v>curryst01</v>
      </c>
      <c r="B229" s="161" t="str">
        <f>IFERROR(__xludf.DUMMYFUNCTION("""COMPUTED_VALUE"""),"Stephen Curry")</f>
        <v>Stephen Curry</v>
      </c>
      <c r="C229" s="162" t="str">
        <f>IFERROR(__xludf.DUMMYFUNCTION("""COMPUTED_VALUE"""),"2013-14")</f>
        <v>2013-14</v>
      </c>
      <c r="D229" s="163" t="str">
        <f>IFERROR(__xludf.DUMMYFUNCTION("""COMPUTED_VALUE"""),"GSW")</f>
        <v>GSW</v>
      </c>
      <c r="E229" s="164" t="str">
        <f>IFERROR(__xludf.DUMMYFUNCTION("""COMPUTED_VALUE"""),"Shot Creator")</f>
        <v>Shot Creator</v>
      </c>
      <c r="F229" s="164">
        <f>IFERROR(__xludf.DUMMYFUNCTION("""COMPUTED_VALUE"""),2845.85833333333)</f>
        <v>2845.858333</v>
      </c>
      <c r="G229" s="163">
        <f>IFERROR(__xludf.DUMMYFUNCTION("""COMPUTED_VALUE"""),78.0)</f>
        <v>78</v>
      </c>
      <c r="H229" s="163" t="str">
        <f>IFERROR(__xludf.DUMMYFUNCTION("""COMPUTED_VALUE"""),"PG")</f>
        <v>PG</v>
      </c>
      <c r="I229" s="163">
        <f>IFERROR(__xludf.DUMMYFUNCTION("""COMPUTED_VALUE"""),25.0)</f>
        <v>25</v>
      </c>
      <c r="J229" s="165">
        <f>IFERROR(__xludf.DUMMYFUNCTION("""COMPUTED_VALUE"""),5.33819664093627)</f>
        <v>5.338196641</v>
      </c>
      <c r="K229" s="165">
        <f>IFERROR(__xludf.DUMMYFUNCTION("""COMPUTED_VALUE"""),4.74176312901971)</f>
        <v>4.741763129</v>
      </c>
      <c r="L229" s="165">
        <f>IFERROR(__xludf.DUMMYFUNCTION("""COMPUTED_VALUE"""),0.596433511916555)</f>
        <v>0.5964335119</v>
      </c>
      <c r="M229" s="166">
        <f t="shared" si="2"/>
        <v>14.24237182</v>
      </c>
      <c r="N229" s="167">
        <f t="shared" si="3"/>
        <v>36.48536325</v>
      </c>
      <c r="O229" s="163">
        <f t="shared" ref="O229:Q229" si="233">rank(I229,I:I)</f>
        <v>1995</v>
      </c>
      <c r="P229" s="163">
        <f t="shared" si="233"/>
        <v>39</v>
      </c>
      <c r="Q229" s="163">
        <f t="shared" si="233"/>
        <v>37</v>
      </c>
      <c r="R229" s="163">
        <f>IFERROR(__xludf.DUMMYFUNCTION("RANK(M229,filter(M:M,C:C=C229))"),3.0)</f>
        <v>3</v>
      </c>
      <c r="S229" s="161" t="b">
        <f t="shared" si="5"/>
        <v>0</v>
      </c>
      <c r="T229" s="161" t="b">
        <f t="array" ref="T229">index('Query Tool'!B:B,match(H229,'Query Tool'!C:C,0))</f>
        <v>1</v>
      </c>
      <c r="U229" s="161" t="b">
        <f t="array" ref="U229">index('Query Tool'!B:B,match(C229,'Query Tool'!C:C,0))</f>
        <v>0</v>
      </c>
      <c r="V229" s="161" t="b">
        <f>F229&gt;='Query Tool'!C$32</f>
        <v>1</v>
      </c>
      <c r="W229" s="161" t="b">
        <f t="array" ref="W229">index(Dropdowns!B:B,match(I229,Dropdowns!A:A,0))</f>
        <v>1</v>
      </c>
      <c r="X229" s="161" t="b">
        <f t="array" ref="X229">index('Query Tool'!B:B,match(D229,'Query Tool'!C:C,0))</f>
        <v>1</v>
      </c>
      <c r="Y229" s="161" t="str">
        <f t="shared" si="6"/>
        <v>curryst01,2013-14</v>
      </c>
      <c r="Z229" s="168">
        <f t="array" ref="Z229">iferror(index(I:I,match($A229&amp;","&amp;index('Year Conversion'!$A:$A,match($C229,'Year Conversion'!$B:$B,0)),$Y:$Y,0))-I229,"")</f>
        <v>1</v>
      </c>
      <c r="AA229" s="168">
        <f t="array" ref="AA229">iferror(index(J:J,match($A229&amp;","&amp;index('Year Conversion'!$A:$A,match($C229,'Year Conversion'!$B:$B,0)),$Y:$Y,0))-J229,"")</f>
        <v>1.332250802</v>
      </c>
      <c r="AB229" s="168">
        <f t="array" ref="AB229">iferror(index(K:K,match($A229&amp;","&amp;index('Year Conversion'!$A:$A,match($C229,'Year Conversion'!$B:$B,0)),$Y:$Y,0))-K229,"")</f>
        <v>1.008854839</v>
      </c>
      <c r="AC229" s="168" t="str">
        <f t="shared" si="7"/>
        <v>GSW,2013-14</v>
      </c>
    </row>
    <row r="230">
      <c r="A230" s="161" t="str">
        <f>IFERROR(__xludf.DUMMYFUNCTION("""COMPUTED_VALUE"""),"hilljo01")</f>
        <v>hilljo01</v>
      </c>
      <c r="B230" s="161" t="str">
        <f>IFERROR(__xludf.DUMMYFUNCTION("""COMPUTED_VALUE"""),"Jordan Hill")</f>
        <v>Jordan Hill</v>
      </c>
      <c r="C230" s="162" t="str">
        <f>IFERROR(__xludf.DUMMYFUNCTION("""COMPUTED_VALUE"""),"2013-14")</f>
        <v>2013-14</v>
      </c>
      <c r="D230" s="163" t="str">
        <f>IFERROR(__xludf.DUMMYFUNCTION("""COMPUTED_VALUE"""),"LAL")</f>
        <v>LAL</v>
      </c>
      <c r="E230" s="164" t="str">
        <f>IFERROR(__xludf.DUMMYFUNCTION("""COMPUTED_VALUE"""),"Post Scorer")</f>
        <v>Post Scorer</v>
      </c>
      <c r="F230" s="164">
        <f>IFERROR(__xludf.DUMMYFUNCTION("""COMPUTED_VALUE"""),1499.75833333333)</f>
        <v>1499.758333</v>
      </c>
      <c r="G230" s="163">
        <f>IFERROR(__xludf.DUMMYFUNCTION("""COMPUTED_VALUE"""),72.0)</f>
        <v>72</v>
      </c>
      <c r="H230" s="163" t="str">
        <f>IFERROR(__xludf.DUMMYFUNCTION("""COMPUTED_VALUE"""),"PF")</f>
        <v>PF</v>
      </c>
      <c r="I230" s="163">
        <f>IFERROR(__xludf.DUMMYFUNCTION("""COMPUTED_VALUE"""),26.0)</f>
        <v>26</v>
      </c>
      <c r="J230" s="165">
        <f>IFERROR(__xludf.DUMMYFUNCTION("""COMPUTED_VALUE"""),-1.51029706890218)</f>
        <v>-1.510297069</v>
      </c>
      <c r="K230" s="165">
        <f>IFERROR(__xludf.DUMMYFUNCTION("""COMPUTED_VALUE"""),-0.941332793221734)</f>
        <v>-0.9413327932</v>
      </c>
      <c r="L230" s="165">
        <f>IFERROR(__xludf.DUMMYFUNCTION("""COMPUTED_VALUE"""),-0.568964275680444)</f>
        <v>-0.5689642757</v>
      </c>
      <c r="M230" s="166">
        <f t="shared" si="2"/>
        <v>0.789853787</v>
      </c>
      <c r="N230" s="167">
        <f t="shared" si="3"/>
        <v>20.82997685</v>
      </c>
      <c r="O230" s="163">
        <f t="shared" ref="O230:Q230" si="234">rank(I230,I:I)</f>
        <v>1665</v>
      </c>
      <c r="P230" s="163">
        <f t="shared" si="234"/>
        <v>3067</v>
      </c>
      <c r="Q230" s="163">
        <f t="shared" si="234"/>
        <v>2738</v>
      </c>
      <c r="R230" s="163">
        <f>IFERROR(__xludf.DUMMYFUNCTION("RANK(M230,filter(M:M,C:C=C230))"),242.0)</f>
        <v>242</v>
      </c>
      <c r="S230" s="161" t="b">
        <f t="shared" si="5"/>
        <v>0</v>
      </c>
      <c r="T230" s="161" t="b">
        <f t="array" ref="T230">index('Query Tool'!B:B,match(H230,'Query Tool'!C:C,0))</f>
        <v>1</v>
      </c>
      <c r="U230" s="161" t="b">
        <f t="array" ref="U230">index('Query Tool'!B:B,match(C230,'Query Tool'!C:C,0))</f>
        <v>0</v>
      </c>
      <c r="V230" s="161" t="b">
        <f>F230&gt;='Query Tool'!C$32</f>
        <v>1</v>
      </c>
      <c r="W230" s="161" t="b">
        <f t="array" ref="W230">index(Dropdowns!B:B,match(I230,Dropdowns!A:A,0))</f>
        <v>1</v>
      </c>
      <c r="X230" s="161" t="b">
        <f t="array" ref="X230">index('Query Tool'!B:B,match(D230,'Query Tool'!C:C,0))</f>
        <v>1</v>
      </c>
      <c r="Y230" s="161" t="str">
        <f t="shared" si="6"/>
        <v>hilljo01,2013-14</v>
      </c>
      <c r="Z230" s="168">
        <f t="array" ref="Z230">iferror(index(I:I,match($A230&amp;","&amp;index('Year Conversion'!$A:$A,match($C230,'Year Conversion'!$B:$B,0)),$Y:$Y,0))-I230,"")</f>
        <v>1</v>
      </c>
      <c r="AA230" s="168">
        <f t="array" ref="AA230">iferror(index(J:J,match($A230&amp;","&amp;index('Year Conversion'!$A:$A,match($C230,'Year Conversion'!$B:$B,0)),$Y:$Y,0))-J230,"")</f>
        <v>-0.9934193256</v>
      </c>
      <c r="AB230" s="168">
        <f t="array" ref="AB230">iferror(index(K:K,match($A230&amp;","&amp;index('Year Conversion'!$A:$A,match($C230,'Year Conversion'!$B:$B,0)),$Y:$Y,0))-K230,"")</f>
        <v>-0.4080744488</v>
      </c>
      <c r="AC230" s="168" t="str">
        <f t="shared" si="7"/>
        <v>LAL,2013-14</v>
      </c>
    </row>
    <row r="231">
      <c r="A231" s="161" t="str">
        <f>IFERROR(__xludf.DUMMYFUNCTION("""COMPUTED_VALUE"""),"derozde01")</f>
        <v>derozde01</v>
      </c>
      <c r="B231" s="161" t="str">
        <f>IFERROR(__xludf.DUMMYFUNCTION("""COMPUTED_VALUE"""),"DeMar DeRozan")</f>
        <v>DeMar DeRozan</v>
      </c>
      <c r="C231" s="162" t="str">
        <f>IFERROR(__xludf.DUMMYFUNCTION("""COMPUTED_VALUE"""),"2013-14")</f>
        <v>2013-14</v>
      </c>
      <c r="D231" s="163" t="str">
        <f>IFERROR(__xludf.DUMMYFUNCTION("""COMPUTED_VALUE"""),"TOR")</f>
        <v>TOR</v>
      </c>
      <c r="E231" s="164" t="str">
        <f>IFERROR(__xludf.DUMMYFUNCTION("""COMPUTED_VALUE"""),"Shot Creator")</f>
        <v>Shot Creator</v>
      </c>
      <c r="F231" s="164">
        <f>IFERROR(__xludf.DUMMYFUNCTION("""COMPUTED_VALUE"""),3016.62666666667)</f>
        <v>3016.626667</v>
      </c>
      <c r="G231" s="163">
        <f>IFERROR(__xludf.DUMMYFUNCTION("""COMPUTED_VALUE"""),79.0)</f>
        <v>79</v>
      </c>
      <c r="H231" s="163" t="str">
        <f>IFERROR(__xludf.DUMMYFUNCTION("""COMPUTED_VALUE"""),"SG")</f>
        <v>SG</v>
      </c>
      <c r="I231" s="163">
        <f>IFERROR(__xludf.DUMMYFUNCTION("""COMPUTED_VALUE"""),24.0)</f>
        <v>24</v>
      </c>
      <c r="J231" s="165">
        <f>IFERROR(__xludf.DUMMYFUNCTION("""COMPUTED_VALUE"""),1.10931023854736)</f>
        <v>1.109310239</v>
      </c>
      <c r="K231" s="165">
        <f>IFERROR(__xludf.DUMMYFUNCTION("""COMPUTED_VALUE"""),1.81879935101422)</f>
        <v>1.818799351</v>
      </c>
      <c r="L231" s="165">
        <f>IFERROR(__xludf.DUMMYFUNCTION("""COMPUTED_VALUE"""),-0.709489112466851)</f>
        <v>-0.7094891125</v>
      </c>
      <c r="M231" s="166">
        <f t="shared" si="2"/>
        <v>6.902875749</v>
      </c>
      <c r="N231" s="167">
        <f t="shared" si="3"/>
        <v>38.18514768</v>
      </c>
      <c r="O231" s="163">
        <f t="shared" ref="O231:Q231" si="235">rank(I231,I:I)</f>
        <v>2361</v>
      </c>
      <c r="P231" s="163">
        <f t="shared" si="235"/>
        <v>614</v>
      </c>
      <c r="Q231" s="163">
        <f t="shared" si="235"/>
        <v>257</v>
      </c>
      <c r="R231" s="163">
        <f>IFERROR(__xludf.DUMMYFUNCTION("RANK(M231,filter(M:M,C:C=C231))"),41.0)</f>
        <v>41</v>
      </c>
      <c r="S231" s="161" t="b">
        <f t="shared" si="5"/>
        <v>0</v>
      </c>
      <c r="T231" s="161" t="b">
        <f t="array" ref="T231">index('Query Tool'!B:B,match(H231,'Query Tool'!C:C,0))</f>
        <v>1</v>
      </c>
      <c r="U231" s="161" t="b">
        <f t="array" ref="U231">index('Query Tool'!B:B,match(C231,'Query Tool'!C:C,0))</f>
        <v>0</v>
      </c>
      <c r="V231" s="161" t="b">
        <f>F231&gt;='Query Tool'!C$32</f>
        <v>1</v>
      </c>
      <c r="W231" s="161" t="b">
        <f t="array" ref="W231">index(Dropdowns!B:B,match(I231,Dropdowns!A:A,0))</f>
        <v>1</v>
      </c>
      <c r="X231" s="161" t="b">
        <f t="array" ref="X231">index('Query Tool'!B:B,match(D231,'Query Tool'!C:C,0))</f>
        <v>1</v>
      </c>
      <c r="Y231" s="161" t="str">
        <f t="shared" si="6"/>
        <v>derozde01,2013-14</v>
      </c>
      <c r="Z231" s="168">
        <f t="array" ref="Z231">iferror(index(I:I,match($A231&amp;","&amp;index('Year Conversion'!$A:$A,match($C231,'Year Conversion'!$B:$B,0)),$Y:$Y,0))-I231,"")</f>
        <v>1</v>
      </c>
      <c r="AA231" s="168">
        <f t="array" ref="AA231">iferror(index(J:J,match($A231&amp;","&amp;index('Year Conversion'!$A:$A,match($C231,'Year Conversion'!$B:$B,0)),$Y:$Y,0))-J231,"")</f>
        <v>-0.8329872713</v>
      </c>
      <c r="AB231" s="168">
        <f t="array" ref="AB231">iferror(index(K:K,match($A231&amp;","&amp;index('Year Conversion'!$A:$A,match($C231,'Year Conversion'!$B:$B,0)),$Y:$Y,0))-K231,"")</f>
        <v>-0.8886467879</v>
      </c>
      <c r="AC231" s="168" t="str">
        <f t="shared" si="7"/>
        <v>TOR,2013-14</v>
      </c>
    </row>
    <row r="232">
      <c r="A232" s="161" t="str">
        <f>IFERROR(__xludf.DUMMYFUNCTION("""COMPUTED_VALUE"""),"jennibr01")</f>
        <v>jennibr01</v>
      </c>
      <c r="B232" s="161" t="str">
        <f>IFERROR(__xludf.DUMMYFUNCTION("""COMPUTED_VALUE"""),"Brandon Jennings")</f>
        <v>Brandon Jennings</v>
      </c>
      <c r="C232" s="162" t="str">
        <f>IFERROR(__xludf.DUMMYFUNCTION("""COMPUTED_VALUE"""),"2013-14")</f>
        <v>2013-14</v>
      </c>
      <c r="D232" s="163" t="str">
        <f>IFERROR(__xludf.DUMMYFUNCTION("""COMPUTED_VALUE"""),"DET")</f>
        <v>DET</v>
      </c>
      <c r="E232" s="164" t="str">
        <f>IFERROR(__xludf.DUMMYFUNCTION("""COMPUTED_VALUE"""),"Primary Ball Handler")</f>
        <v>Primary Ball Handler</v>
      </c>
      <c r="F232" s="164">
        <f>IFERROR(__xludf.DUMMYFUNCTION("""COMPUTED_VALUE"""),2728.11333333333)</f>
        <v>2728.113333</v>
      </c>
      <c r="G232" s="163">
        <f>IFERROR(__xludf.DUMMYFUNCTION("""COMPUTED_VALUE"""),80.0)</f>
        <v>80</v>
      </c>
      <c r="H232" s="163" t="str">
        <f>IFERROR(__xludf.DUMMYFUNCTION("""COMPUTED_VALUE"""),"PG")</f>
        <v>PG</v>
      </c>
      <c r="I232" s="163">
        <f>IFERROR(__xludf.DUMMYFUNCTION("""COMPUTED_VALUE"""),24.0)</f>
        <v>24</v>
      </c>
      <c r="J232" s="165">
        <f>IFERROR(__xludf.DUMMYFUNCTION("""COMPUTED_VALUE"""),0.634860803371784)</f>
        <v>0.6348608034</v>
      </c>
      <c r="K232" s="165">
        <f>IFERROR(__xludf.DUMMYFUNCTION("""COMPUTED_VALUE"""),2.35611398977891)</f>
        <v>2.35611399</v>
      </c>
      <c r="L232" s="165">
        <f>IFERROR(__xludf.DUMMYFUNCTION("""COMPUTED_VALUE"""),-1.72125318640713)</f>
        <v>-1.721253186</v>
      </c>
      <c r="M232" s="166">
        <f t="shared" si="2"/>
        <v>5.372866069</v>
      </c>
      <c r="N232" s="167">
        <f t="shared" si="3"/>
        <v>34.10141667</v>
      </c>
      <c r="O232" s="163">
        <f t="shared" ref="O232:Q232" si="236">rank(I232,I:I)</f>
        <v>2361</v>
      </c>
      <c r="P232" s="163">
        <f t="shared" si="236"/>
        <v>828</v>
      </c>
      <c r="Q232" s="163">
        <f t="shared" si="236"/>
        <v>173</v>
      </c>
      <c r="R232" s="163">
        <f>IFERROR(__xludf.DUMMYFUNCTION("RANK(M232,filter(M:M,C:C=C232))"),64.0)</f>
        <v>64</v>
      </c>
      <c r="S232" s="161" t="b">
        <f t="shared" si="5"/>
        <v>0</v>
      </c>
      <c r="T232" s="161" t="b">
        <f t="array" ref="T232">index('Query Tool'!B:B,match(H232,'Query Tool'!C:C,0))</f>
        <v>1</v>
      </c>
      <c r="U232" s="161" t="b">
        <f t="array" ref="U232">index('Query Tool'!B:B,match(C232,'Query Tool'!C:C,0))</f>
        <v>0</v>
      </c>
      <c r="V232" s="161" t="b">
        <f>F232&gt;='Query Tool'!C$32</f>
        <v>1</v>
      </c>
      <c r="W232" s="161" t="b">
        <f t="array" ref="W232">index(Dropdowns!B:B,match(I232,Dropdowns!A:A,0))</f>
        <v>1</v>
      </c>
      <c r="X232" s="161" t="b">
        <f t="array" ref="X232">index('Query Tool'!B:B,match(D232,'Query Tool'!C:C,0))</f>
        <v>1</v>
      </c>
      <c r="Y232" s="161" t="str">
        <f t="shared" si="6"/>
        <v>jennibr01,2013-14</v>
      </c>
      <c r="Z232" s="168">
        <f t="array" ref="Z232">iferror(index(I:I,match($A232&amp;","&amp;index('Year Conversion'!$A:$A,match($C232,'Year Conversion'!$B:$B,0)),$Y:$Y,0))-I232,"")</f>
        <v>1</v>
      </c>
      <c r="AA232" s="168">
        <f t="array" ref="AA232">iferror(index(J:J,match($A232&amp;","&amp;index('Year Conversion'!$A:$A,match($C232,'Year Conversion'!$B:$B,0)),$Y:$Y,0))-J232,"")</f>
        <v>0.8272764842</v>
      </c>
      <c r="AB232" s="168">
        <f t="array" ref="AB232">iferror(index(K:K,match($A232&amp;","&amp;index('Year Conversion'!$A:$A,match($C232,'Year Conversion'!$B:$B,0)),$Y:$Y,0))-K232,"")</f>
        <v>-0.04108324659</v>
      </c>
      <c r="AC232" s="168" t="str">
        <f t="shared" si="7"/>
        <v>DET,2013-14</v>
      </c>
    </row>
    <row r="233">
      <c r="A233" s="161" t="str">
        <f>IFERROR(__xludf.DUMMYFUNCTION("""COMPUTED_VALUE"""),"hendege02")</f>
        <v>hendege02</v>
      </c>
      <c r="B233" s="161" t="str">
        <f>IFERROR(__xludf.DUMMYFUNCTION("""COMPUTED_VALUE"""),"Gerald Henderson")</f>
        <v>Gerald Henderson</v>
      </c>
      <c r="C233" s="162" t="str">
        <f>IFERROR(__xludf.DUMMYFUNCTION("""COMPUTED_VALUE"""),"2013-14")</f>
        <v>2013-14</v>
      </c>
      <c r="D233" s="163" t="str">
        <f>IFERROR(__xludf.DUMMYFUNCTION("""COMPUTED_VALUE"""),"CHA")</f>
        <v>CHA</v>
      </c>
      <c r="E233" s="164" t="str">
        <f>IFERROR(__xludf.DUMMYFUNCTION("""COMPUTED_VALUE"""),"Secondary Ball Handler")</f>
        <v>Secondary Ball Handler</v>
      </c>
      <c r="F233" s="164">
        <f>IFERROR(__xludf.DUMMYFUNCTION("""COMPUTED_VALUE"""),2460.62333333333)</f>
        <v>2460.623333</v>
      </c>
      <c r="G233" s="163">
        <f>IFERROR(__xludf.DUMMYFUNCTION("""COMPUTED_VALUE"""),77.0)</f>
        <v>77</v>
      </c>
      <c r="H233" s="163" t="str">
        <f>IFERROR(__xludf.DUMMYFUNCTION("""COMPUTED_VALUE"""),"SG")</f>
        <v>SG</v>
      </c>
      <c r="I233" s="163">
        <f>IFERROR(__xludf.DUMMYFUNCTION("""COMPUTED_VALUE"""),26.0)</f>
        <v>26</v>
      </c>
      <c r="J233" s="165">
        <f>IFERROR(__xludf.DUMMYFUNCTION("""COMPUTED_VALUE"""),-0.931729040430427)</f>
        <v>-0.9317290404</v>
      </c>
      <c r="K233" s="165">
        <f>IFERROR(__xludf.DUMMYFUNCTION("""COMPUTED_VALUE"""),-1.35449697889046)</f>
        <v>-1.354496979</v>
      </c>
      <c r="L233" s="165">
        <f>IFERROR(__xludf.DUMMYFUNCTION("""COMPUTED_VALUE"""),0.422767938460032)</f>
        <v>0.4227679385</v>
      </c>
      <c r="M233" s="166">
        <f t="shared" si="2"/>
        <v>2.249651682</v>
      </c>
      <c r="N233" s="167">
        <f t="shared" si="3"/>
        <v>31.95614719</v>
      </c>
      <c r="O233" s="163">
        <f t="shared" ref="O233:Q233" si="237">rank(I233,I:I)</f>
        <v>1665</v>
      </c>
      <c r="P233" s="163">
        <f t="shared" si="237"/>
        <v>2431</v>
      </c>
      <c r="Q233" s="163">
        <f t="shared" si="237"/>
        <v>3209</v>
      </c>
      <c r="R233" s="163">
        <f>IFERROR(__xludf.DUMMYFUNCTION("RANK(M233,filter(M:M,C:C=C233))"),140.0)</f>
        <v>140</v>
      </c>
      <c r="S233" s="161" t="b">
        <f t="shared" si="5"/>
        <v>0</v>
      </c>
      <c r="T233" s="161" t="b">
        <f t="array" ref="T233">index('Query Tool'!B:B,match(H233,'Query Tool'!C:C,0))</f>
        <v>1</v>
      </c>
      <c r="U233" s="161" t="b">
        <f t="array" ref="U233">index('Query Tool'!B:B,match(C233,'Query Tool'!C:C,0))</f>
        <v>0</v>
      </c>
      <c r="V233" s="161" t="b">
        <f>F233&gt;='Query Tool'!C$32</f>
        <v>1</v>
      </c>
      <c r="W233" s="161" t="b">
        <f t="array" ref="W233">index(Dropdowns!B:B,match(I233,Dropdowns!A:A,0))</f>
        <v>1</v>
      </c>
      <c r="X233" s="161" t="b">
        <f t="array" ref="X233">index('Query Tool'!B:B,match(D233,'Query Tool'!C:C,0))</f>
        <v>1</v>
      </c>
      <c r="Y233" s="161" t="str">
        <f t="shared" si="6"/>
        <v>hendege02,2013-14</v>
      </c>
      <c r="Z233" s="168">
        <f t="array" ref="Z233">iferror(index(I:I,match($A233&amp;","&amp;index('Year Conversion'!$A:$A,match($C233,'Year Conversion'!$B:$B,0)),$Y:$Y,0))-I233,"")</f>
        <v>1</v>
      </c>
      <c r="AA233" s="168">
        <f t="array" ref="AA233">iferror(index(J:J,match($A233&amp;","&amp;index('Year Conversion'!$A:$A,match($C233,'Year Conversion'!$B:$B,0)),$Y:$Y,0))-J233,"")</f>
        <v>0.3765993703</v>
      </c>
      <c r="AB233" s="168">
        <f t="array" ref="AB233">iferror(index(K:K,match($A233&amp;","&amp;index('Year Conversion'!$A:$A,match($C233,'Year Conversion'!$B:$B,0)),$Y:$Y,0))-K233,"")</f>
        <v>0.4394577221</v>
      </c>
      <c r="AC233" s="168" t="str">
        <f t="shared" si="7"/>
        <v>CHA,2013-14</v>
      </c>
    </row>
    <row r="234">
      <c r="A234" s="161" t="str">
        <f>IFERROR(__xludf.DUMMYFUNCTION("""COMPUTED_VALUE"""),"hansbty01")</f>
        <v>hansbty01</v>
      </c>
      <c r="B234" s="161" t="str">
        <f>IFERROR(__xludf.DUMMYFUNCTION("""COMPUTED_VALUE"""),"Tyler Hansbrough")</f>
        <v>Tyler Hansbrough</v>
      </c>
      <c r="C234" s="162" t="str">
        <f>IFERROR(__xludf.DUMMYFUNCTION("""COMPUTED_VALUE"""),"2013-14")</f>
        <v>2013-14</v>
      </c>
      <c r="D234" s="163" t="str">
        <f>IFERROR(__xludf.DUMMYFUNCTION("""COMPUTED_VALUE"""),"TOR")</f>
        <v>TOR</v>
      </c>
      <c r="E234" s="164" t="str">
        <f>IFERROR(__xludf.DUMMYFUNCTION("""COMPUTED_VALUE"""),"Roll + Cut Big")</f>
        <v>Roll + Cut Big</v>
      </c>
      <c r="F234" s="164">
        <f>IFERROR(__xludf.DUMMYFUNCTION("""COMPUTED_VALUE"""),978.03)</f>
        <v>978.03</v>
      </c>
      <c r="G234" s="163">
        <f>IFERROR(__xludf.DUMMYFUNCTION("""COMPUTED_VALUE"""),64.0)</f>
        <v>64</v>
      </c>
      <c r="H234" s="163" t="str">
        <f>IFERROR(__xludf.DUMMYFUNCTION("""COMPUTED_VALUE"""),"PF")</f>
        <v>PF</v>
      </c>
      <c r="I234" s="163">
        <f>IFERROR(__xludf.DUMMYFUNCTION("""COMPUTED_VALUE"""),28.0)</f>
        <v>28</v>
      </c>
      <c r="J234" s="165">
        <f>IFERROR(__xludf.DUMMYFUNCTION("""COMPUTED_VALUE"""),-1.12943628992881)</f>
        <v>-1.12943629</v>
      </c>
      <c r="K234" s="165">
        <f>IFERROR(__xludf.DUMMYFUNCTION("""COMPUTED_VALUE"""),-1.39407273210199)</f>
        <v>-1.394072732</v>
      </c>
      <c r="L234" s="165">
        <f>IFERROR(__xludf.DUMMYFUNCTION("""COMPUTED_VALUE"""),0.26463644217318)</f>
        <v>0.2646364422</v>
      </c>
      <c r="M234" s="166">
        <f t="shared" si="2"/>
        <v>0.7643878742</v>
      </c>
      <c r="N234" s="167">
        <f t="shared" si="3"/>
        <v>15.28171875</v>
      </c>
      <c r="O234" s="163">
        <f t="shared" ref="O234:Q234" si="238">rank(I234,I:I)</f>
        <v>1090</v>
      </c>
      <c r="P234" s="163">
        <f t="shared" si="238"/>
        <v>2658</v>
      </c>
      <c r="Q234" s="163">
        <f t="shared" si="238"/>
        <v>3248</v>
      </c>
      <c r="R234" s="163">
        <f>IFERROR(__xludf.DUMMYFUNCTION("RANK(M234,filter(M:M,C:C=C234))"),244.0)</f>
        <v>244</v>
      </c>
      <c r="S234" s="161" t="b">
        <f t="shared" si="5"/>
        <v>0</v>
      </c>
      <c r="T234" s="161" t="b">
        <f t="array" ref="T234">index('Query Tool'!B:B,match(H234,'Query Tool'!C:C,0))</f>
        <v>1</v>
      </c>
      <c r="U234" s="161" t="b">
        <f t="array" ref="U234">index('Query Tool'!B:B,match(C234,'Query Tool'!C:C,0))</f>
        <v>0</v>
      </c>
      <c r="V234" s="161" t="b">
        <f>F234&gt;='Query Tool'!C$32</f>
        <v>1</v>
      </c>
      <c r="W234" s="161" t="b">
        <f t="array" ref="W234">index(Dropdowns!B:B,match(I234,Dropdowns!A:A,0))</f>
        <v>1</v>
      </c>
      <c r="X234" s="161" t="b">
        <f t="array" ref="X234">index('Query Tool'!B:B,match(D234,'Query Tool'!C:C,0))</f>
        <v>1</v>
      </c>
      <c r="Y234" s="161" t="str">
        <f t="shared" si="6"/>
        <v>hansbty01,2013-14</v>
      </c>
      <c r="Z234" s="168">
        <f t="array" ref="Z234">iferror(index(I:I,match($A234&amp;","&amp;index('Year Conversion'!$A:$A,match($C234,'Year Conversion'!$B:$B,0)),$Y:$Y,0))-I234,"")</f>
        <v>1</v>
      </c>
      <c r="AA234" s="168">
        <f t="array" ref="AA234">iferror(index(J:J,match($A234&amp;","&amp;index('Year Conversion'!$A:$A,match($C234,'Year Conversion'!$B:$B,0)),$Y:$Y,0))-J234,"")</f>
        <v>1.377977033</v>
      </c>
      <c r="AB234" s="168">
        <f t="array" ref="AB234">iferror(index(K:K,match($A234&amp;","&amp;index('Year Conversion'!$A:$A,match($C234,'Year Conversion'!$B:$B,0)),$Y:$Y,0))-K234,"")</f>
        <v>1.289479974</v>
      </c>
      <c r="AC234" s="168" t="str">
        <f t="shared" si="7"/>
        <v>TOR,2013-14</v>
      </c>
    </row>
    <row r="235">
      <c r="A235" s="161" t="str">
        <f>IFERROR(__xludf.DUMMYFUNCTION("""COMPUTED_VALUE"""),"clarkea01")</f>
        <v>clarkea01</v>
      </c>
      <c r="B235" s="161" t="str">
        <f>IFERROR(__xludf.DUMMYFUNCTION("""COMPUTED_VALUE"""),"Earl Clark")</f>
        <v>Earl Clark</v>
      </c>
      <c r="C235" s="162" t="str">
        <f>IFERROR(__xludf.DUMMYFUNCTION("""COMPUTED_VALUE"""),"2013-14")</f>
        <v>2013-14</v>
      </c>
      <c r="D235" s="163" t="str">
        <f>IFERROR(__xludf.DUMMYFUNCTION("""COMPUTED_VALUE"""),"TOT")</f>
        <v>TOT</v>
      </c>
      <c r="E235" s="164" t="str">
        <f>IFERROR(__xludf.DUMMYFUNCTION("""COMPUTED_VALUE"""),"Stationary Shooter")</f>
        <v>Stationary Shooter</v>
      </c>
      <c r="F235" s="164">
        <f>IFERROR(__xludf.DUMMYFUNCTION("""COMPUTED_VALUE"""),768.438333333333)</f>
        <v>768.4383333</v>
      </c>
      <c r="G235" s="163">
        <f>IFERROR(__xludf.DUMMYFUNCTION("""COMPUTED_VALUE"""),54.0)</f>
        <v>54</v>
      </c>
      <c r="H235" s="163" t="str">
        <f>IFERROR(__xludf.DUMMYFUNCTION("""COMPUTED_VALUE"""),"PF")</f>
        <v>PF</v>
      </c>
      <c r="I235" s="163">
        <f>IFERROR(__xludf.DUMMYFUNCTION("""COMPUTED_VALUE"""),26.0)</f>
        <v>26</v>
      </c>
      <c r="J235" s="165">
        <f>IFERROR(__xludf.DUMMYFUNCTION("""COMPUTED_VALUE"""),-2.72113768197222)</f>
        <v>-2.721137682</v>
      </c>
      <c r="K235" s="165">
        <f>IFERROR(__xludf.DUMMYFUNCTION("""COMPUTED_VALUE"""),-2.33233478924564)</f>
        <v>-2.332334789</v>
      </c>
      <c r="L235" s="165">
        <f>IFERROR(__xludf.DUMMYFUNCTION("""COMPUTED_VALUE"""),-0.388802892726587)</f>
        <v>-0.3888028927</v>
      </c>
      <c r="M235" s="166">
        <f t="shared" si="2"/>
        <v>-0.2107482621</v>
      </c>
      <c r="N235" s="167">
        <f t="shared" si="3"/>
        <v>14.23033951</v>
      </c>
      <c r="O235" s="163">
        <f t="shared" ref="O235:Q235" si="239">rank(I235,I:I)</f>
        <v>1665</v>
      </c>
      <c r="P235" s="163">
        <f t="shared" si="239"/>
        <v>3816</v>
      </c>
      <c r="Q235" s="163">
        <f t="shared" si="239"/>
        <v>3844</v>
      </c>
      <c r="R235" s="163">
        <f>IFERROR(__xludf.DUMMYFUNCTION("RANK(M235,filter(M:M,C:C=C235))"),457.0)</f>
        <v>457</v>
      </c>
      <c r="S235" s="161" t="b">
        <f t="shared" si="5"/>
        <v>0</v>
      </c>
      <c r="T235" s="161" t="b">
        <f t="array" ref="T235">index('Query Tool'!B:B,match(H235,'Query Tool'!C:C,0))</f>
        <v>1</v>
      </c>
      <c r="U235" s="161" t="b">
        <f t="array" ref="U235">index('Query Tool'!B:B,match(C235,'Query Tool'!C:C,0))</f>
        <v>0</v>
      </c>
      <c r="V235" s="161" t="b">
        <f>F235&gt;='Query Tool'!C$32</f>
        <v>1</v>
      </c>
      <c r="W235" s="161" t="b">
        <f t="array" ref="W235">index(Dropdowns!B:B,match(I235,Dropdowns!A:A,0))</f>
        <v>1</v>
      </c>
      <c r="X235" s="161" t="b">
        <f t="array" ref="X235">index('Query Tool'!B:B,match(D235,'Query Tool'!C:C,0))</f>
        <v>1</v>
      </c>
      <c r="Y235" s="161" t="str">
        <f t="shared" si="6"/>
        <v>clarkea01,2013-14</v>
      </c>
      <c r="Z235" s="168">
        <f t="array" ref="Z235">iferror(index(I:I,match($A235&amp;","&amp;index('Year Conversion'!$A:$A,match($C235,'Year Conversion'!$B:$B,0)),$Y:$Y,0))-I235,"")</f>
        <v>1</v>
      </c>
      <c r="AA235" s="168">
        <f t="array" ref="AA235">iferror(index(J:J,match($A235&amp;","&amp;index('Year Conversion'!$A:$A,match($C235,'Year Conversion'!$B:$B,0)),$Y:$Y,0))-J235,"")</f>
        <v>2.10799667</v>
      </c>
      <c r="AB235" s="168">
        <f t="array" ref="AB235">iferror(index(K:K,match($A235&amp;","&amp;index('Year Conversion'!$A:$A,match($C235,'Year Conversion'!$B:$B,0)),$Y:$Y,0))-K235,"")</f>
        <v>1.486431769</v>
      </c>
      <c r="AC235" s="168" t="str">
        <f t="shared" si="7"/>
        <v>TOT,2013-14</v>
      </c>
    </row>
    <row r="236">
      <c r="A236" s="161" t="str">
        <f>IFERROR(__xludf.DUMMYFUNCTION("""COMPUTED_VALUE"""),"dayeau01")</f>
        <v>dayeau01</v>
      </c>
      <c r="B236" s="161" t="str">
        <f>IFERROR(__xludf.DUMMYFUNCTION("""COMPUTED_VALUE"""),"Austin Daye")</f>
        <v>Austin Daye</v>
      </c>
      <c r="C236" s="162" t="str">
        <f>IFERROR(__xludf.DUMMYFUNCTION("""COMPUTED_VALUE"""),"2013-14")</f>
        <v>2013-14</v>
      </c>
      <c r="D236" s="163" t="str">
        <f>IFERROR(__xludf.DUMMYFUNCTION("""COMPUTED_VALUE"""),"TOT")</f>
        <v>TOT</v>
      </c>
      <c r="E236" s="164" t="str">
        <f>IFERROR(__xludf.DUMMYFUNCTION("""COMPUTED_VALUE"""),"Stationary Shooter")</f>
        <v>Stationary Shooter</v>
      </c>
      <c r="F236" s="164">
        <f>IFERROR(__xludf.DUMMYFUNCTION("""COMPUTED_VALUE"""),148.223333333333)</f>
        <v>148.2233333</v>
      </c>
      <c r="G236" s="163">
        <f>IFERROR(__xludf.DUMMYFUNCTION("""COMPUTED_VALUE"""),22.0)</f>
        <v>22</v>
      </c>
      <c r="H236" s="163" t="str">
        <f>IFERROR(__xludf.DUMMYFUNCTION("""COMPUTED_VALUE"""),"SF")</f>
        <v>SF</v>
      </c>
      <c r="I236" s="163">
        <f>IFERROR(__xludf.DUMMYFUNCTION("""COMPUTED_VALUE"""),25.0)</f>
        <v>25</v>
      </c>
      <c r="J236" s="165">
        <f>IFERROR(__xludf.DUMMYFUNCTION("""COMPUTED_VALUE"""),-0.721262594633247)</f>
        <v>-0.7212625946</v>
      </c>
      <c r="K236" s="165">
        <f>IFERROR(__xludf.DUMMYFUNCTION("""COMPUTED_VALUE"""),0.0733330801300675)</f>
        <v>0.07333308013</v>
      </c>
      <c r="L236" s="165">
        <f>IFERROR(__xludf.DUMMYFUNCTION("""COMPUTED_VALUE"""),-0.794595674763314)</f>
        <v>-0.7945956748</v>
      </c>
      <c r="M236" s="166">
        <f t="shared" si="2"/>
        <v>0.1564867668</v>
      </c>
      <c r="N236" s="167">
        <f t="shared" si="3"/>
        <v>6.737424242</v>
      </c>
      <c r="O236" s="163">
        <f t="shared" ref="O236:Q236" si="240">rank(I236,I:I)</f>
        <v>1995</v>
      </c>
      <c r="P236" s="163">
        <f t="shared" si="240"/>
        <v>2180</v>
      </c>
      <c r="Q236" s="163">
        <f t="shared" si="240"/>
        <v>1100</v>
      </c>
      <c r="R236" s="163">
        <f>IFERROR(__xludf.DUMMYFUNCTION("RANK(M236,filter(M:M,C:C=C236))"),338.0)</f>
        <v>338</v>
      </c>
      <c r="S236" s="161" t="b">
        <f t="shared" si="5"/>
        <v>0</v>
      </c>
      <c r="T236" s="161" t="b">
        <f t="array" ref="T236">index('Query Tool'!B:B,match(H236,'Query Tool'!C:C,0))</f>
        <v>1</v>
      </c>
      <c r="U236" s="161" t="b">
        <f t="array" ref="U236">index('Query Tool'!B:B,match(C236,'Query Tool'!C:C,0))</f>
        <v>0</v>
      </c>
      <c r="V236" s="161" t="b">
        <f>F236&gt;='Query Tool'!C$32</f>
        <v>0</v>
      </c>
      <c r="W236" s="161" t="b">
        <f t="array" ref="W236">index(Dropdowns!B:B,match(I236,Dropdowns!A:A,0))</f>
        <v>1</v>
      </c>
      <c r="X236" s="161" t="b">
        <f t="array" ref="X236">index('Query Tool'!B:B,match(D236,'Query Tool'!C:C,0))</f>
        <v>1</v>
      </c>
      <c r="Y236" s="161" t="str">
        <f t="shared" si="6"/>
        <v>dayeau01,2013-14</v>
      </c>
      <c r="Z236" s="168">
        <f t="array" ref="Z236">iferror(index(I:I,match($A236&amp;","&amp;index('Year Conversion'!$A:$A,match($C236,'Year Conversion'!$B:$B,0)),$Y:$Y,0))-I236,"")</f>
        <v>1</v>
      </c>
      <c r="AA236" s="168">
        <f t="array" ref="AA236">iferror(index(J:J,match($A236&amp;","&amp;index('Year Conversion'!$A:$A,match($C236,'Year Conversion'!$B:$B,0)),$Y:$Y,0))-J236,"")</f>
        <v>-1.094691296</v>
      </c>
      <c r="AB236" s="168">
        <f t="array" ref="AB236">iferror(index(K:K,match($A236&amp;","&amp;index('Year Conversion'!$A:$A,match($C236,'Year Conversion'!$B:$B,0)),$Y:$Y,0))-K236,"")</f>
        <v>-1.260061223</v>
      </c>
      <c r="AC236" s="168" t="str">
        <f t="shared" si="7"/>
        <v>TOT,2013-14</v>
      </c>
    </row>
    <row r="237">
      <c r="A237" s="161" t="str">
        <f>IFERROR(__xludf.DUMMYFUNCTION("""COMPUTED_VALUE"""),"johnsja01")</f>
        <v>johnsja01</v>
      </c>
      <c r="B237" s="161" t="str">
        <f>IFERROR(__xludf.DUMMYFUNCTION("""COMPUTED_VALUE"""),"James Johnson")</f>
        <v>James Johnson</v>
      </c>
      <c r="C237" s="162" t="str">
        <f>IFERROR(__xludf.DUMMYFUNCTION("""COMPUTED_VALUE"""),"2013-14")</f>
        <v>2013-14</v>
      </c>
      <c r="D237" s="163" t="str">
        <f>IFERROR(__xludf.DUMMYFUNCTION("""COMPUTED_VALUE"""),"MEM")</f>
        <v>MEM</v>
      </c>
      <c r="E237" s="164" t="str">
        <f>IFERROR(__xludf.DUMMYFUNCTION("""COMPUTED_VALUE"""),"Shot Creator")</f>
        <v>Shot Creator</v>
      </c>
      <c r="F237" s="164">
        <f>IFERROR(__xludf.DUMMYFUNCTION("""COMPUTED_VALUE"""),956.316666666666)</f>
        <v>956.3166667</v>
      </c>
      <c r="G237" s="163">
        <f>IFERROR(__xludf.DUMMYFUNCTION("""COMPUTED_VALUE"""),52.0)</f>
        <v>52</v>
      </c>
      <c r="H237" s="163" t="str">
        <f>IFERROR(__xludf.DUMMYFUNCTION("""COMPUTED_VALUE"""),"SF")</f>
        <v>SF</v>
      </c>
      <c r="I237" s="163">
        <f>IFERROR(__xludf.DUMMYFUNCTION("""COMPUTED_VALUE"""),26.0)</f>
        <v>26</v>
      </c>
      <c r="J237" s="165">
        <f>IFERROR(__xludf.DUMMYFUNCTION("""COMPUTED_VALUE"""),2.02582411017002)</f>
        <v>2.02582411</v>
      </c>
      <c r="K237" s="165">
        <f>IFERROR(__xludf.DUMMYFUNCTION("""COMPUTED_VALUE"""),0.840546025865144)</f>
        <v>0.8405460259</v>
      </c>
      <c r="L237" s="165">
        <f>IFERROR(__xludf.DUMMYFUNCTION("""COMPUTED_VALUE"""),1.18527808430487)</f>
        <v>1.185278084</v>
      </c>
      <c r="M237" s="166">
        <f t="shared" si="2"/>
        <v>2.773053306</v>
      </c>
      <c r="N237" s="167">
        <f t="shared" si="3"/>
        <v>18.39070513</v>
      </c>
      <c r="O237" s="163">
        <f t="shared" ref="O237:Q237" si="241">rank(I237,I:I)</f>
        <v>1665</v>
      </c>
      <c r="P237" s="163">
        <f t="shared" si="241"/>
        <v>318</v>
      </c>
      <c r="Q237" s="163">
        <f t="shared" si="241"/>
        <v>586</v>
      </c>
      <c r="R237" s="163">
        <f>IFERROR(__xludf.DUMMYFUNCTION("RANK(M237,filter(M:M,C:C=C237))"),121.0)</f>
        <v>121</v>
      </c>
      <c r="S237" s="161" t="b">
        <f t="shared" si="5"/>
        <v>0</v>
      </c>
      <c r="T237" s="161" t="b">
        <f t="array" ref="T237">index('Query Tool'!B:B,match(H237,'Query Tool'!C:C,0))</f>
        <v>1</v>
      </c>
      <c r="U237" s="161" t="b">
        <f t="array" ref="U237">index('Query Tool'!B:B,match(C237,'Query Tool'!C:C,0))</f>
        <v>0</v>
      </c>
      <c r="V237" s="161" t="b">
        <f>F237&gt;='Query Tool'!C$32</f>
        <v>1</v>
      </c>
      <c r="W237" s="161" t="b">
        <f t="array" ref="W237">index(Dropdowns!B:B,match(I237,Dropdowns!A:A,0))</f>
        <v>1</v>
      </c>
      <c r="X237" s="161" t="b">
        <f t="array" ref="X237">index('Query Tool'!B:B,match(D237,'Query Tool'!C:C,0))</f>
        <v>1</v>
      </c>
      <c r="Y237" s="161" t="str">
        <f t="shared" si="6"/>
        <v>johnsja01,2013-14</v>
      </c>
      <c r="Z237" s="168">
        <f t="array" ref="Z237">iferror(index(I:I,match($A237&amp;","&amp;index('Year Conversion'!$A:$A,match($C237,'Year Conversion'!$B:$B,0)),$Y:$Y,0))-I237,"")</f>
        <v>1</v>
      </c>
      <c r="AA237" s="168">
        <f t="array" ref="AA237">iferror(index(J:J,match($A237&amp;","&amp;index('Year Conversion'!$A:$A,match($C237,'Year Conversion'!$B:$B,0)),$Y:$Y,0))-J237,"")</f>
        <v>-0.8715309046</v>
      </c>
      <c r="AB237" s="168">
        <f t="array" ref="AB237">iferror(index(K:K,match($A237&amp;","&amp;index('Year Conversion'!$A:$A,match($C237,'Year Conversion'!$B:$B,0)),$Y:$Y,0))-K237,"")</f>
        <v>-0.5603563182</v>
      </c>
      <c r="AC237" s="168" t="str">
        <f t="shared" si="7"/>
        <v>MEM,2013-14</v>
      </c>
    </row>
    <row r="238">
      <c r="A238" s="161" t="str">
        <f>IFERROR(__xludf.DUMMYFUNCTION("""COMPUTED_VALUE"""),"holidjr01")</f>
        <v>holidjr01</v>
      </c>
      <c r="B238" s="161" t="str">
        <f>IFERROR(__xludf.DUMMYFUNCTION("""COMPUTED_VALUE"""),"Jrue Holiday")</f>
        <v>Jrue Holiday</v>
      </c>
      <c r="C238" s="162" t="str">
        <f>IFERROR(__xludf.DUMMYFUNCTION("""COMPUTED_VALUE"""),"2013-14")</f>
        <v>2013-14</v>
      </c>
      <c r="D238" s="163" t="str">
        <f>IFERROR(__xludf.DUMMYFUNCTION("""COMPUTED_VALUE"""),"NOP")</f>
        <v>NOP</v>
      </c>
      <c r="E238" s="164" t="str">
        <f>IFERROR(__xludf.DUMMYFUNCTION("""COMPUTED_VALUE"""),"Slasher")</f>
        <v>Slasher</v>
      </c>
      <c r="F238" s="164">
        <f>IFERROR(__xludf.DUMMYFUNCTION("""COMPUTED_VALUE"""),1143.40833333333)</f>
        <v>1143.408333</v>
      </c>
      <c r="G238" s="163">
        <f>IFERROR(__xludf.DUMMYFUNCTION("""COMPUTED_VALUE"""),34.0)</f>
        <v>34</v>
      </c>
      <c r="H238" s="163" t="str">
        <f>IFERROR(__xludf.DUMMYFUNCTION("""COMPUTED_VALUE"""),"PG")</f>
        <v>PG</v>
      </c>
      <c r="I238" s="163">
        <f>IFERROR(__xludf.DUMMYFUNCTION("""COMPUTED_VALUE"""),23.0)</f>
        <v>23</v>
      </c>
      <c r="J238" s="165">
        <f>IFERROR(__xludf.DUMMYFUNCTION("""COMPUTED_VALUE"""),1.16741283299245)</f>
        <v>1.167412833</v>
      </c>
      <c r="K238" s="165">
        <f>IFERROR(__xludf.DUMMYFUNCTION("""COMPUTED_VALUE"""),1.08289675977961)</f>
        <v>1.08289676</v>
      </c>
      <c r="L238" s="165">
        <f>IFERROR(__xludf.DUMMYFUNCTION("""COMPUTED_VALUE"""),0.084516073212842)</f>
        <v>0.08451607321</v>
      </c>
      <c r="M238" s="166">
        <f t="shared" si="2"/>
        <v>2.660983076</v>
      </c>
      <c r="N238" s="167">
        <f t="shared" si="3"/>
        <v>33.62965686</v>
      </c>
      <c r="O238" s="163">
        <f t="shared" ref="O238:Q238" si="242">rank(I238,I:I)</f>
        <v>2765</v>
      </c>
      <c r="P238" s="163">
        <f t="shared" si="242"/>
        <v>584</v>
      </c>
      <c r="Q238" s="163">
        <f t="shared" si="242"/>
        <v>461</v>
      </c>
      <c r="R238" s="163">
        <f>IFERROR(__xludf.DUMMYFUNCTION("RANK(M238,filter(M:M,C:C=C238))"),126.0)</f>
        <v>126</v>
      </c>
      <c r="S238" s="161" t="b">
        <f t="shared" si="5"/>
        <v>0</v>
      </c>
      <c r="T238" s="161" t="b">
        <f t="array" ref="T238">index('Query Tool'!B:B,match(H238,'Query Tool'!C:C,0))</f>
        <v>1</v>
      </c>
      <c r="U238" s="161" t="b">
        <f t="array" ref="U238">index('Query Tool'!B:B,match(C238,'Query Tool'!C:C,0))</f>
        <v>0</v>
      </c>
      <c r="V238" s="161" t="b">
        <f>F238&gt;='Query Tool'!C$32</f>
        <v>1</v>
      </c>
      <c r="W238" s="161" t="b">
        <f t="array" ref="W238">index(Dropdowns!B:B,match(I238,Dropdowns!A:A,0))</f>
        <v>1</v>
      </c>
      <c r="X238" s="161" t="b">
        <f t="array" ref="X238">index('Query Tool'!B:B,match(D238,'Query Tool'!C:C,0))</f>
        <v>1</v>
      </c>
      <c r="Y238" s="161" t="str">
        <f t="shared" si="6"/>
        <v>holidjr01,2013-14</v>
      </c>
      <c r="Z238" s="168">
        <f t="array" ref="Z238">iferror(index(I:I,match($A238&amp;","&amp;index('Year Conversion'!$A:$A,match($C238,'Year Conversion'!$B:$B,0)),$Y:$Y,0))-I238,"")</f>
        <v>1</v>
      </c>
      <c r="AA238" s="168">
        <f t="array" ref="AA238">iferror(index(J:J,match($A238&amp;","&amp;index('Year Conversion'!$A:$A,match($C238,'Year Conversion'!$B:$B,0)),$Y:$Y,0))-J238,"")</f>
        <v>0.736296768</v>
      </c>
      <c r="AB238" s="168">
        <f t="array" ref="AB238">iferror(index(K:K,match($A238&amp;","&amp;index('Year Conversion'!$A:$A,match($C238,'Year Conversion'!$B:$B,0)),$Y:$Y,0))-K238,"")</f>
        <v>0.6952146547</v>
      </c>
      <c r="AC238" s="168" t="str">
        <f t="shared" si="7"/>
        <v>NOP,2013-14</v>
      </c>
    </row>
    <row r="239">
      <c r="A239" s="161" t="str">
        <f>IFERROR(__xludf.DUMMYFUNCTION("""COMPUTED_VALUE"""),"lawsoty01")</f>
        <v>lawsoty01</v>
      </c>
      <c r="B239" s="161" t="str">
        <f>IFERROR(__xludf.DUMMYFUNCTION("""COMPUTED_VALUE"""),"Ty Lawson")</f>
        <v>Ty Lawson</v>
      </c>
      <c r="C239" s="162" t="str">
        <f>IFERROR(__xludf.DUMMYFUNCTION("""COMPUTED_VALUE"""),"2013-14")</f>
        <v>2013-14</v>
      </c>
      <c r="D239" s="163" t="str">
        <f>IFERROR(__xludf.DUMMYFUNCTION("""COMPUTED_VALUE"""),"DEN")</f>
        <v>DEN</v>
      </c>
      <c r="E239" s="164" t="str">
        <f>IFERROR(__xludf.DUMMYFUNCTION("""COMPUTED_VALUE"""),"Shot Creator")</f>
        <v>Shot Creator</v>
      </c>
      <c r="F239" s="164">
        <f>IFERROR(__xludf.DUMMYFUNCTION("""COMPUTED_VALUE"""),2221.50333333333)</f>
        <v>2221.503333</v>
      </c>
      <c r="G239" s="163">
        <f>IFERROR(__xludf.DUMMYFUNCTION("""COMPUTED_VALUE"""),62.0)</f>
        <v>62</v>
      </c>
      <c r="H239" s="163" t="str">
        <f>IFERROR(__xludf.DUMMYFUNCTION("""COMPUTED_VALUE"""),"PG")</f>
        <v>PG</v>
      </c>
      <c r="I239" s="163">
        <f>IFERROR(__xludf.DUMMYFUNCTION("""COMPUTED_VALUE"""),26.0)</f>
        <v>26</v>
      </c>
      <c r="J239" s="165">
        <f>IFERROR(__xludf.DUMMYFUNCTION("""COMPUTED_VALUE"""),2.71065949293604)</f>
        <v>2.710659493</v>
      </c>
      <c r="K239" s="165">
        <f>IFERROR(__xludf.DUMMYFUNCTION("""COMPUTED_VALUE"""),3.20490879678697)</f>
        <v>3.204908797</v>
      </c>
      <c r="L239" s="165">
        <f>IFERROR(__xludf.DUMMYFUNCTION("""COMPUTED_VALUE"""),-0.494249303850924)</f>
        <v>-0.4942493039</v>
      </c>
      <c r="M239" s="166">
        <f t="shared" si="2"/>
        <v>7.443673657</v>
      </c>
      <c r="N239" s="167">
        <f t="shared" si="3"/>
        <v>35.83069892</v>
      </c>
      <c r="O239" s="163">
        <f t="shared" ref="O239:Q239" si="243">rank(I239,I:I)</f>
        <v>1665</v>
      </c>
      <c r="P239" s="163">
        <f t="shared" si="243"/>
        <v>200</v>
      </c>
      <c r="Q239" s="163">
        <f t="shared" si="243"/>
        <v>105</v>
      </c>
      <c r="R239" s="163">
        <f>IFERROR(__xludf.DUMMYFUNCTION("RANK(M239,filter(M:M,C:C=C239))"),35.0)</f>
        <v>35</v>
      </c>
      <c r="S239" s="161" t="b">
        <f t="shared" si="5"/>
        <v>0</v>
      </c>
      <c r="T239" s="161" t="b">
        <f t="array" ref="T239">index('Query Tool'!B:B,match(H239,'Query Tool'!C:C,0))</f>
        <v>1</v>
      </c>
      <c r="U239" s="161" t="b">
        <f t="array" ref="U239">index('Query Tool'!B:B,match(C239,'Query Tool'!C:C,0))</f>
        <v>0</v>
      </c>
      <c r="V239" s="161" t="b">
        <f>F239&gt;='Query Tool'!C$32</f>
        <v>1</v>
      </c>
      <c r="W239" s="161" t="b">
        <f t="array" ref="W239">index(Dropdowns!B:B,match(I239,Dropdowns!A:A,0))</f>
        <v>1</v>
      </c>
      <c r="X239" s="161" t="b">
        <f t="array" ref="X239">index('Query Tool'!B:B,match(D239,'Query Tool'!C:C,0))</f>
        <v>1</v>
      </c>
      <c r="Y239" s="161" t="str">
        <f t="shared" si="6"/>
        <v>lawsoty01,2013-14</v>
      </c>
      <c r="Z239" s="168">
        <f t="array" ref="Z239">iferror(index(I:I,match($A239&amp;","&amp;index('Year Conversion'!$A:$A,match($C239,'Year Conversion'!$B:$B,0)),$Y:$Y,0))-I239,"")</f>
        <v>1</v>
      </c>
      <c r="AA239" s="168">
        <f t="array" ref="AA239">iferror(index(J:J,match($A239&amp;","&amp;index('Year Conversion'!$A:$A,match($C239,'Year Conversion'!$B:$B,0)),$Y:$Y,0))-J239,"")</f>
        <v>-0.6770238704</v>
      </c>
      <c r="AB239" s="168">
        <f t="array" ref="AB239">iferror(index(K:K,match($A239&amp;","&amp;index('Year Conversion'!$A:$A,match($C239,'Year Conversion'!$B:$B,0)),$Y:$Y,0))-K239,"")</f>
        <v>0.218299882</v>
      </c>
      <c r="AC239" s="168" t="str">
        <f t="shared" si="7"/>
        <v>DEN,2013-14</v>
      </c>
    </row>
    <row r="240">
      <c r="A240" s="161" t="str">
        <f>IFERROR(__xludf.DUMMYFUNCTION("""COMPUTED_VALUE"""),"teaguje01")</f>
        <v>teaguje01</v>
      </c>
      <c r="B240" s="161" t="str">
        <f>IFERROR(__xludf.DUMMYFUNCTION("""COMPUTED_VALUE"""),"Jeff Teague")</f>
        <v>Jeff Teague</v>
      </c>
      <c r="C240" s="162" t="str">
        <f>IFERROR(__xludf.DUMMYFUNCTION("""COMPUTED_VALUE"""),"2013-14")</f>
        <v>2013-14</v>
      </c>
      <c r="D240" s="163" t="str">
        <f>IFERROR(__xludf.DUMMYFUNCTION("""COMPUTED_VALUE"""),"ATL")</f>
        <v>ATL</v>
      </c>
      <c r="E240" s="164" t="str">
        <f>IFERROR(__xludf.DUMMYFUNCTION("""COMPUTED_VALUE"""),"Shot Creator")</f>
        <v>Shot Creator</v>
      </c>
      <c r="F240" s="164">
        <f>IFERROR(__xludf.DUMMYFUNCTION("""COMPUTED_VALUE"""),2541.92166666667)</f>
        <v>2541.921667</v>
      </c>
      <c r="G240" s="163">
        <f>IFERROR(__xludf.DUMMYFUNCTION("""COMPUTED_VALUE"""),79.0)</f>
        <v>79</v>
      </c>
      <c r="H240" s="163" t="str">
        <f>IFERROR(__xludf.DUMMYFUNCTION("""COMPUTED_VALUE"""),"PG")</f>
        <v>PG</v>
      </c>
      <c r="I240" s="163">
        <f>IFERROR(__xludf.DUMMYFUNCTION("""COMPUTED_VALUE"""),25.0)</f>
        <v>25</v>
      </c>
      <c r="J240" s="165">
        <f>IFERROR(__xludf.DUMMYFUNCTION("""COMPUTED_VALUE"""),1.06405964434412)</f>
        <v>1.064059644</v>
      </c>
      <c r="K240" s="165">
        <f>IFERROR(__xludf.DUMMYFUNCTION("""COMPUTED_VALUE"""),1.16685908499024)</f>
        <v>1.166859085</v>
      </c>
      <c r="L240" s="165">
        <f>IFERROR(__xludf.DUMMYFUNCTION("""COMPUTED_VALUE"""),-0.102799440646123)</f>
        <v>-0.1027994406</v>
      </c>
      <c r="M240" s="166">
        <f t="shared" si="2"/>
        <v>5.739452279</v>
      </c>
      <c r="N240" s="167">
        <f t="shared" si="3"/>
        <v>32.17622363</v>
      </c>
      <c r="O240" s="163">
        <f t="shared" ref="O240:Q240" si="244">rank(I240,I:I)</f>
        <v>1995</v>
      </c>
      <c r="P240" s="163">
        <f t="shared" si="244"/>
        <v>635</v>
      </c>
      <c r="Q240" s="163">
        <f t="shared" si="244"/>
        <v>430</v>
      </c>
      <c r="R240" s="163">
        <f>IFERROR(__xludf.DUMMYFUNCTION("RANK(M240,filter(M:M,C:C=C240))"),53.0)</f>
        <v>53</v>
      </c>
      <c r="S240" s="161" t="b">
        <f t="shared" si="5"/>
        <v>0</v>
      </c>
      <c r="T240" s="161" t="b">
        <f t="array" ref="T240">index('Query Tool'!B:B,match(H240,'Query Tool'!C:C,0))</f>
        <v>1</v>
      </c>
      <c r="U240" s="161" t="b">
        <f t="array" ref="U240">index('Query Tool'!B:B,match(C240,'Query Tool'!C:C,0))</f>
        <v>0</v>
      </c>
      <c r="V240" s="161" t="b">
        <f>F240&gt;='Query Tool'!C$32</f>
        <v>1</v>
      </c>
      <c r="W240" s="161" t="b">
        <f t="array" ref="W240">index(Dropdowns!B:B,match(I240,Dropdowns!A:A,0))</f>
        <v>1</v>
      </c>
      <c r="X240" s="161" t="b">
        <f t="array" ref="X240">index('Query Tool'!B:B,match(D240,'Query Tool'!C:C,0))</f>
        <v>1</v>
      </c>
      <c r="Y240" s="161" t="str">
        <f t="shared" si="6"/>
        <v>teaguje01,2013-14</v>
      </c>
      <c r="Z240" s="168">
        <f t="array" ref="Z240">iferror(index(I:I,match($A240&amp;","&amp;index('Year Conversion'!$A:$A,match($C240,'Year Conversion'!$B:$B,0)),$Y:$Y,0))-I240,"")</f>
        <v>1</v>
      </c>
      <c r="AA240" s="168">
        <f t="array" ref="AA240">iferror(index(J:J,match($A240&amp;","&amp;index('Year Conversion'!$A:$A,match($C240,'Year Conversion'!$B:$B,0)),$Y:$Y,0))-J240,"")</f>
        <v>0.9980640844</v>
      </c>
      <c r="AB240" s="168">
        <f t="array" ref="AB240">iferror(index(K:K,match($A240&amp;","&amp;index('Year Conversion'!$A:$A,match($C240,'Year Conversion'!$B:$B,0)),$Y:$Y,0))-K240,"")</f>
        <v>0.7504856648</v>
      </c>
      <c r="AC240" s="168" t="str">
        <f t="shared" si="7"/>
        <v>ATL,2013-14</v>
      </c>
    </row>
    <row r="241">
      <c r="A241" s="161" t="str">
        <f>IFERROR(__xludf.DUMMYFUNCTION("""COMPUTED_VALUE"""),"maynoer01")</f>
        <v>maynoer01</v>
      </c>
      <c r="B241" s="161" t="str">
        <f>IFERROR(__xludf.DUMMYFUNCTION("""COMPUTED_VALUE"""),"Eric Maynor")</f>
        <v>Eric Maynor</v>
      </c>
      <c r="C241" s="162" t="str">
        <f>IFERROR(__xludf.DUMMYFUNCTION("""COMPUTED_VALUE"""),"2013-14")</f>
        <v>2013-14</v>
      </c>
      <c r="D241" s="163" t="str">
        <f>IFERROR(__xludf.DUMMYFUNCTION("""COMPUTED_VALUE"""),"TOT")</f>
        <v>TOT</v>
      </c>
      <c r="E241" s="164" t="str">
        <f>IFERROR(__xludf.DUMMYFUNCTION("""COMPUTED_VALUE"""),"Secondary Ball Handler")</f>
        <v>Secondary Ball Handler</v>
      </c>
      <c r="F241" s="164">
        <f>IFERROR(__xludf.DUMMYFUNCTION("""COMPUTED_VALUE"""),326.676666666667)</f>
        <v>326.6766667</v>
      </c>
      <c r="G241" s="163">
        <f>IFERROR(__xludf.DUMMYFUNCTION("""COMPUTED_VALUE"""),31.0)</f>
        <v>31</v>
      </c>
      <c r="H241" s="163" t="str">
        <f>IFERROR(__xludf.DUMMYFUNCTION("""COMPUTED_VALUE"""),"PG")</f>
        <v>PG</v>
      </c>
      <c r="I241" s="163">
        <f>IFERROR(__xludf.DUMMYFUNCTION("""COMPUTED_VALUE"""),26.0)</f>
        <v>26</v>
      </c>
      <c r="J241" s="165">
        <f>IFERROR(__xludf.DUMMYFUNCTION("""COMPUTED_VALUE"""),-2.74871070429548)</f>
        <v>-2.748710704</v>
      </c>
      <c r="K241" s="165">
        <f>IFERROR(__xludf.DUMMYFUNCTION("""COMPUTED_VALUE"""),-1.62010170770004)</f>
        <v>-1.620101708</v>
      </c>
      <c r="L241" s="165">
        <f>IFERROR(__xludf.DUMMYFUNCTION("""COMPUTED_VALUE"""),-1.12860899659544)</f>
        <v>-1.128608997</v>
      </c>
      <c r="M241" s="166">
        <f t="shared" si="2"/>
        <v>-0.09548008991</v>
      </c>
      <c r="N241" s="167">
        <f t="shared" si="3"/>
        <v>10.53795699</v>
      </c>
      <c r="O241" s="163">
        <f t="shared" ref="O241:Q241" si="245">rank(I241,I:I)</f>
        <v>1665</v>
      </c>
      <c r="P241" s="163">
        <f t="shared" si="245"/>
        <v>3830</v>
      </c>
      <c r="Q241" s="163">
        <f t="shared" si="245"/>
        <v>3459</v>
      </c>
      <c r="R241" s="163">
        <f>IFERROR(__xludf.DUMMYFUNCTION("RANK(M241,filter(M:M,C:C=C241))"),442.0)</f>
        <v>442</v>
      </c>
      <c r="S241" s="161" t="b">
        <f t="shared" si="5"/>
        <v>0</v>
      </c>
      <c r="T241" s="161" t="b">
        <f t="array" ref="T241">index('Query Tool'!B:B,match(H241,'Query Tool'!C:C,0))</f>
        <v>1</v>
      </c>
      <c r="U241" s="161" t="b">
        <f t="array" ref="U241">index('Query Tool'!B:B,match(C241,'Query Tool'!C:C,0))</f>
        <v>0</v>
      </c>
      <c r="V241" s="161" t="b">
        <f>F241&gt;='Query Tool'!C$32</f>
        <v>0</v>
      </c>
      <c r="W241" s="161" t="b">
        <f t="array" ref="W241">index(Dropdowns!B:B,match(I241,Dropdowns!A:A,0))</f>
        <v>1</v>
      </c>
      <c r="X241" s="161" t="b">
        <f t="array" ref="X241">index('Query Tool'!B:B,match(D241,'Query Tool'!C:C,0))</f>
        <v>1</v>
      </c>
      <c r="Y241" s="161" t="str">
        <f t="shared" si="6"/>
        <v>maynoer01,2013-14</v>
      </c>
      <c r="Z241" s="168" t="str">
        <f t="array" ref="Z241">iferror(index(I:I,match($A241&amp;","&amp;index('Year Conversion'!$A:$A,match($C241,'Year Conversion'!$B:$B,0)),$Y:$Y,0))-I241,"")</f>
        <v/>
      </c>
      <c r="AA241" s="168" t="str">
        <f t="array" ref="AA241">iferror(index(J:J,match($A241&amp;","&amp;index('Year Conversion'!$A:$A,match($C241,'Year Conversion'!$B:$B,0)),$Y:$Y,0))-J241,"")</f>
        <v/>
      </c>
      <c r="AB241" s="168" t="str">
        <f t="array" ref="AB241">iferror(index(K:K,match($A241&amp;","&amp;index('Year Conversion'!$A:$A,match($C241,'Year Conversion'!$B:$B,0)),$Y:$Y,0))-K241,"")</f>
        <v/>
      </c>
      <c r="AC241" s="168" t="str">
        <f t="shared" si="7"/>
        <v>TOT,2013-14</v>
      </c>
    </row>
    <row r="242">
      <c r="A242" s="161" t="str">
        <f>IFERROR(__xludf.DUMMYFUNCTION("""COMPUTED_VALUE"""),"collida01")</f>
        <v>collida01</v>
      </c>
      <c r="B242" s="161" t="str">
        <f>IFERROR(__xludf.DUMMYFUNCTION("""COMPUTED_VALUE"""),"Darren Collison")</f>
        <v>Darren Collison</v>
      </c>
      <c r="C242" s="162" t="str">
        <f>IFERROR(__xludf.DUMMYFUNCTION("""COMPUTED_VALUE"""),"2013-14")</f>
        <v>2013-14</v>
      </c>
      <c r="D242" s="163" t="str">
        <f>IFERROR(__xludf.DUMMYFUNCTION("""COMPUTED_VALUE"""),"LAC")</f>
        <v>LAC</v>
      </c>
      <c r="E242" s="164" t="str">
        <f>IFERROR(__xludf.DUMMYFUNCTION("""COMPUTED_VALUE"""),"Primary Ball Handler")</f>
        <v>Primary Ball Handler</v>
      </c>
      <c r="F242" s="164">
        <f>IFERROR(__xludf.DUMMYFUNCTION("""COMPUTED_VALUE"""),2069.30666666667)</f>
        <v>2069.306667</v>
      </c>
      <c r="G242" s="163">
        <f>IFERROR(__xludf.DUMMYFUNCTION("""COMPUTED_VALUE"""),80.0)</f>
        <v>80</v>
      </c>
      <c r="H242" s="163" t="str">
        <f>IFERROR(__xludf.DUMMYFUNCTION("""COMPUTED_VALUE"""),"PG")</f>
        <v>PG</v>
      </c>
      <c r="I242" s="163">
        <f>IFERROR(__xludf.DUMMYFUNCTION("""COMPUTED_VALUE"""),26.0)</f>
        <v>26</v>
      </c>
      <c r="J242" s="165">
        <f>IFERROR(__xludf.DUMMYFUNCTION("""COMPUTED_VALUE"""),0.108161885824023)</f>
        <v>0.1081618858</v>
      </c>
      <c r="K242" s="165">
        <f>IFERROR(__xludf.DUMMYFUNCTION("""COMPUTED_VALUE"""),1.11153381005154)</f>
        <v>1.11153381</v>
      </c>
      <c r="L242" s="165">
        <f>IFERROR(__xludf.DUMMYFUNCTION("""COMPUTED_VALUE"""),-1.00337192422752)</f>
        <v>-1.003371924</v>
      </c>
      <c r="M242" s="166">
        <f t="shared" si="2"/>
        <v>3.341075898</v>
      </c>
      <c r="N242" s="167">
        <f t="shared" si="3"/>
        <v>25.86633333</v>
      </c>
      <c r="O242" s="163">
        <f t="shared" ref="O242:Q242" si="246">rank(I242,I:I)</f>
        <v>1665</v>
      </c>
      <c r="P242" s="163">
        <f t="shared" si="246"/>
        <v>1180</v>
      </c>
      <c r="Q242" s="163">
        <f t="shared" si="246"/>
        <v>445</v>
      </c>
      <c r="R242" s="163">
        <f>IFERROR(__xludf.DUMMYFUNCTION("RANK(M242,filter(M:M,C:C=C242))"),103.0)</f>
        <v>103</v>
      </c>
      <c r="S242" s="161" t="b">
        <f t="shared" si="5"/>
        <v>0</v>
      </c>
      <c r="T242" s="161" t="b">
        <f t="array" ref="T242">index('Query Tool'!B:B,match(H242,'Query Tool'!C:C,0))</f>
        <v>1</v>
      </c>
      <c r="U242" s="161" t="b">
        <f t="array" ref="U242">index('Query Tool'!B:B,match(C242,'Query Tool'!C:C,0))</f>
        <v>0</v>
      </c>
      <c r="V242" s="161" t="b">
        <f>F242&gt;='Query Tool'!C$32</f>
        <v>1</v>
      </c>
      <c r="W242" s="161" t="b">
        <f t="array" ref="W242">index(Dropdowns!B:B,match(I242,Dropdowns!A:A,0))</f>
        <v>1</v>
      </c>
      <c r="X242" s="161" t="b">
        <f t="array" ref="X242">index('Query Tool'!B:B,match(D242,'Query Tool'!C:C,0))</f>
        <v>1</v>
      </c>
      <c r="Y242" s="161" t="str">
        <f t="shared" si="6"/>
        <v>collida01,2013-14</v>
      </c>
      <c r="Z242" s="168">
        <f t="array" ref="Z242">iferror(index(I:I,match($A242&amp;","&amp;index('Year Conversion'!$A:$A,match($C242,'Year Conversion'!$B:$B,0)),$Y:$Y,0))-I242,"")</f>
        <v>1</v>
      </c>
      <c r="AA242" s="168">
        <f t="array" ref="AA242">iferror(index(J:J,match($A242&amp;","&amp;index('Year Conversion'!$A:$A,match($C242,'Year Conversion'!$B:$B,0)),$Y:$Y,0))-J242,"")</f>
        <v>1.549749923</v>
      </c>
      <c r="AB242" s="168">
        <f t="array" ref="AB242">iferror(index(K:K,match($A242&amp;","&amp;index('Year Conversion'!$A:$A,match($C242,'Year Conversion'!$B:$B,0)),$Y:$Y,0))-K242,"")</f>
        <v>0.3455531198</v>
      </c>
      <c r="AC242" s="168" t="str">
        <f t="shared" si="7"/>
        <v>LAC,2013-14</v>
      </c>
    </row>
    <row r="243">
      <c r="A243" s="161" t="str">
        <f>IFERROR(__xludf.DUMMYFUNCTION("""COMPUTED_VALUE"""),"casspom01")</f>
        <v>casspom01</v>
      </c>
      <c r="B243" s="161" t="str">
        <f>IFERROR(__xludf.DUMMYFUNCTION("""COMPUTED_VALUE"""),"Omri Casspi")</f>
        <v>Omri Casspi</v>
      </c>
      <c r="C243" s="162" t="str">
        <f>IFERROR(__xludf.DUMMYFUNCTION("""COMPUTED_VALUE"""),"2013-14")</f>
        <v>2013-14</v>
      </c>
      <c r="D243" s="163" t="str">
        <f>IFERROR(__xludf.DUMMYFUNCTION("""COMPUTED_VALUE"""),"HOU")</f>
        <v>HOU</v>
      </c>
      <c r="E243" s="164" t="str">
        <f>IFERROR(__xludf.DUMMYFUNCTION("""COMPUTED_VALUE"""),"Stationary Shooter")</f>
        <v>Stationary Shooter</v>
      </c>
      <c r="F243" s="164">
        <f>IFERROR(__xludf.DUMMYFUNCTION("""COMPUTED_VALUE"""),1282.83333333333)</f>
        <v>1282.833333</v>
      </c>
      <c r="G243" s="163">
        <f>IFERROR(__xludf.DUMMYFUNCTION("""COMPUTED_VALUE"""),71.0)</f>
        <v>71</v>
      </c>
      <c r="H243" s="163" t="str">
        <f>IFERROR(__xludf.DUMMYFUNCTION("""COMPUTED_VALUE"""),"PF")</f>
        <v>PF</v>
      </c>
      <c r="I243" s="163">
        <f>IFERROR(__xludf.DUMMYFUNCTION("""COMPUTED_VALUE"""),25.0)</f>
        <v>25</v>
      </c>
      <c r="J243" s="165">
        <f>IFERROR(__xludf.DUMMYFUNCTION("""COMPUTED_VALUE"""),-0.379705216552084)</f>
        <v>-0.3797052166</v>
      </c>
      <c r="K243" s="165">
        <f>IFERROR(__xludf.DUMMYFUNCTION("""COMPUTED_VALUE"""),0.395088072514375)</f>
        <v>0.3950880725</v>
      </c>
      <c r="L243" s="165">
        <f>IFERROR(__xludf.DUMMYFUNCTION("""COMPUTED_VALUE"""),-0.774793289066459)</f>
        <v>-0.7747932891</v>
      </c>
      <c r="M243" s="166">
        <f t="shared" si="2"/>
        <v>1.649370293</v>
      </c>
      <c r="N243" s="167">
        <f t="shared" si="3"/>
        <v>18.06807512</v>
      </c>
      <c r="O243" s="163">
        <f t="shared" ref="O243:Q243" si="247">rank(I243,I:I)</f>
        <v>1995</v>
      </c>
      <c r="P243" s="163">
        <f t="shared" si="247"/>
        <v>1709</v>
      </c>
      <c r="Q243" s="163">
        <f t="shared" si="247"/>
        <v>834</v>
      </c>
      <c r="R243" s="163">
        <f>IFERROR(__xludf.DUMMYFUNCTION("RANK(M243,filter(M:M,C:C=C243))"),176.0)</f>
        <v>176</v>
      </c>
      <c r="S243" s="161" t="b">
        <f t="shared" si="5"/>
        <v>0</v>
      </c>
      <c r="T243" s="161" t="b">
        <f t="array" ref="T243">index('Query Tool'!B:B,match(H243,'Query Tool'!C:C,0))</f>
        <v>1</v>
      </c>
      <c r="U243" s="161" t="b">
        <f t="array" ref="U243">index('Query Tool'!B:B,match(C243,'Query Tool'!C:C,0))</f>
        <v>0</v>
      </c>
      <c r="V243" s="161" t="b">
        <f>F243&gt;='Query Tool'!C$32</f>
        <v>1</v>
      </c>
      <c r="W243" s="161" t="b">
        <f t="array" ref="W243">index(Dropdowns!B:B,match(I243,Dropdowns!A:A,0))</f>
        <v>1</v>
      </c>
      <c r="X243" s="161" t="b">
        <f t="array" ref="X243">index('Query Tool'!B:B,match(D243,'Query Tool'!C:C,0))</f>
        <v>1</v>
      </c>
      <c r="Y243" s="161" t="str">
        <f t="shared" si="6"/>
        <v>casspom01,2013-14</v>
      </c>
      <c r="Z243" s="168">
        <f t="array" ref="Z243">iferror(index(I:I,match($A243&amp;","&amp;index('Year Conversion'!$A:$A,match($C243,'Year Conversion'!$B:$B,0)),$Y:$Y,0))-I243,"")</f>
        <v>1</v>
      </c>
      <c r="AA243" s="168">
        <f t="array" ref="AA243">iferror(index(J:J,match($A243&amp;","&amp;index('Year Conversion'!$A:$A,match($C243,'Year Conversion'!$B:$B,0)),$Y:$Y,0))-J243,"")</f>
        <v>-1.521013408</v>
      </c>
      <c r="AB243" s="168">
        <f t="array" ref="AB243">iferror(index(K:K,match($A243&amp;","&amp;index('Year Conversion'!$A:$A,match($C243,'Year Conversion'!$B:$B,0)),$Y:$Y,0))-K243,"")</f>
        <v>-0.987055937</v>
      </c>
      <c r="AC243" s="168" t="str">
        <f t="shared" si="7"/>
        <v>HOU,2013-14</v>
      </c>
    </row>
    <row r="244">
      <c r="A244" s="161" t="str">
        <f>IFERROR(__xludf.DUMMYFUNCTION("""COMPUTED_VALUE"""),"mulleby01")</f>
        <v>mulleby01</v>
      </c>
      <c r="B244" s="161" t="str">
        <f>IFERROR(__xludf.DUMMYFUNCTION("""COMPUTED_VALUE"""),"Byron Mullens")</f>
        <v>Byron Mullens</v>
      </c>
      <c r="C244" s="162" t="str">
        <f>IFERROR(__xludf.DUMMYFUNCTION("""COMPUTED_VALUE"""),"2013-14")</f>
        <v>2013-14</v>
      </c>
      <c r="D244" s="163" t="str">
        <f>IFERROR(__xludf.DUMMYFUNCTION("""COMPUTED_VALUE"""),"TOT")</f>
        <v>TOT</v>
      </c>
      <c r="E244" s="164" t="str">
        <f>IFERROR(__xludf.DUMMYFUNCTION("""COMPUTED_VALUE"""),"Stretch Big")</f>
        <v>Stretch Big</v>
      </c>
      <c r="F244" s="164">
        <f>IFERROR(__xludf.DUMMYFUNCTION("""COMPUTED_VALUE"""),414.418333333333)</f>
        <v>414.4183333</v>
      </c>
      <c r="G244" s="163">
        <f>IFERROR(__xludf.DUMMYFUNCTION("""COMPUTED_VALUE"""),45.0)</f>
        <v>45</v>
      </c>
      <c r="H244" s="163" t="str">
        <f>IFERROR(__xludf.DUMMYFUNCTION("""COMPUTED_VALUE"""),"C")</f>
        <v>C</v>
      </c>
      <c r="I244" s="163">
        <f>IFERROR(__xludf.DUMMYFUNCTION("""COMPUTED_VALUE"""),24.0)</f>
        <v>24</v>
      </c>
      <c r="J244" s="165">
        <f>IFERROR(__xludf.DUMMYFUNCTION("""COMPUTED_VALUE"""),-2.13245851279243)</f>
        <v>-2.132458513</v>
      </c>
      <c r="K244" s="165">
        <f>IFERROR(__xludf.DUMMYFUNCTION("""COMPUTED_VALUE"""),-0.773570770707257)</f>
        <v>-0.7735707707</v>
      </c>
      <c r="L244" s="165">
        <f>IFERROR(__xludf.DUMMYFUNCTION("""COMPUTED_VALUE"""),-1.35888774208517)</f>
        <v>-1.358887742</v>
      </c>
      <c r="M244" s="166">
        <f t="shared" si="2"/>
        <v>0.04682873825</v>
      </c>
      <c r="N244" s="167">
        <f t="shared" si="3"/>
        <v>9.209296296</v>
      </c>
      <c r="O244" s="163">
        <f t="shared" ref="O244:Q244" si="248">rank(I244,I:I)</f>
        <v>2361</v>
      </c>
      <c r="P244" s="163">
        <f t="shared" si="248"/>
        <v>3576</v>
      </c>
      <c r="Q244" s="163">
        <f t="shared" si="248"/>
        <v>2518</v>
      </c>
      <c r="R244" s="163">
        <f>IFERROR(__xludf.DUMMYFUNCTION("RANK(M244,filter(M:M,C:C=C244))"),392.0)</f>
        <v>392</v>
      </c>
      <c r="S244" s="161" t="b">
        <f t="shared" si="5"/>
        <v>0</v>
      </c>
      <c r="T244" s="161" t="b">
        <f t="array" ref="T244">index('Query Tool'!B:B,match(H244,'Query Tool'!C:C,0))</f>
        <v>1</v>
      </c>
      <c r="U244" s="161" t="b">
        <f t="array" ref="U244">index('Query Tool'!B:B,match(C244,'Query Tool'!C:C,0))</f>
        <v>0</v>
      </c>
      <c r="V244" s="161" t="b">
        <f>F244&gt;='Query Tool'!C$32</f>
        <v>0</v>
      </c>
      <c r="W244" s="161" t="b">
        <f t="array" ref="W244">index(Dropdowns!B:B,match(I244,Dropdowns!A:A,0))</f>
        <v>1</v>
      </c>
      <c r="X244" s="161" t="b">
        <f t="array" ref="X244">index('Query Tool'!B:B,match(D244,'Query Tool'!C:C,0))</f>
        <v>1</v>
      </c>
      <c r="Y244" s="161" t="str">
        <f t="shared" si="6"/>
        <v>mulleby01,2013-14</v>
      </c>
      <c r="Z244" s="168" t="str">
        <f t="array" ref="Z244">iferror(index(I:I,match($A244&amp;","&amp;index('Year Conversion'!$A:$A,match($C244,'Year Conversion'!$B:$B,0)),$Y:$Y,0))-I244,"")</f>
        <v/>
      </c>
      <c r="AA244" s="168" t="str">
        <f t="array" ref="AA244">iferror(index(J:J,match($A244&amp;","&amp;index('Year Conversion'!$A:$A,match($C244,'Year Conversion'!$B:$B,0)),$Y:$Y,0))-J244,"")</f>
        <v/>
      </c>
      <c r="AB244" s="168" t="str">
        <f t="array" ref="AB244">iferror(index(K:K,match($A244&amp;","&amp;index('Year Conversion'!$A:$A,match($C244,'Year Conversion'!$B:$B,0)),$Y:$Y,0))-K244,"")</f>
        <v/>
      </c>
      <c r="AC244" s="168" t="str">
        <f t="shared" si="7"/>
        <v>TOT,2013-14</v>
      </c>
    </row>
    <row r="245">
      <c r="A245" s="161" t="str">
        <f>IFERROR(__xludf.DUMMYFUNCTION("""COMPUTED_VALUE"""),"gibsota01")</f>
        <v>gibsota01</v>
      </c>
      <c r="B245" s="161" t="str">
        <f>IFERROR(__xludf.DUMMYFUNCTION("""COMPUTED_VALUE"""),"Taj Gibson")</f>
        <v>Taj Gibson</v>
      </c>
      <c r="C245" s="162" t="str">
        <f>IFERROR(__xludf.DUMMYFUNCTION("""COMPUTED_VALUE"""),"2013-14")</f>
        <v>2013-14</v>
      </c>
      <c r="D245" s="163" t="str">
        <f>IFERROR(__xludf.DUMMYFUNCTION("""COMPUTED_VALUE"""),"CHI")</f>
        <v>CHI</v>
      </c>
      <c r="E245" s="164" t="str">
        <f>IFERROR(__xludf.DUMMYFUNCTION("""COMPUTED_VALUE"""),"Post Scorer")</f>
        <v>Post Scorer</v>
      </c>
      <c r="F245" s="164">
        <f>IFERROR(__xludf.DUMMYFUNCTION("""COMPUTED_VALUE"""),2351.11)</f>
        <v>2351.11</v>
      </c>
      <c r="G245" s="163">
        <f>IFERROR(__xludf.DUMMYFUNCTION("""COMPUTED_VALUE"""),82.0)</f>
        <v>82</v>
      </c>
      <c r="H245" s="163" t="str">
        <f>IFERROR(__xludf.DUMMYFUNCTION("""COMPUTED_VALUE"""),"PF")</f>
        <v>PF</v>
      </c>
      <c r="I245" s="163">
        <f>IFERROR(__xludf.DUMMYFUNCTION("""COMPUTED_VALUE"""),28.0)</f>
        <v>28</v>
      </c>
      <c r="J245" s="165">
        <f>IFERROR(__xludf.DUMMYFUNCTION("""COMPUTED_VALUE"""),0.717175257723577)</f>
        <v>0.7171752577</v>
      </c>
      <c r="K245" s="165">
        <f>IFERROR(__xludf.DUMMYFUNCTION("""COMPUTED_VALUE"""),-0.858102851445534)</f>
        <v>-0.8581028514</v>
      </c>
      <c r="L245" s="165">
        <f>IFERROR(__xludf.DUMMYFUNCTION("""COMPUTED_VALUE"""),1.57527810916911)</f>
        <v>1.575278109</v>
      </c>
      <c r="M245" s="166">
        <f t="shared" si="2"/>
        <v>4.760606858</v>
      </c>
      <c r="N245" s="167">
        <f t="shared" si="3"/>
        <v>28.67207317</v>
      </c>
      <c r="O245" s="163">
        <f t="shared" ref="O245:Q245" si="249">rank(I245,I:I)</f>
        <v>1090</v>
      </c>
      <c r="P245" s="163">
        <f t="shared" si="249"/>
        <v>785</v>
      </c>
      <c r="Q245" s="163">
        <f t="shared" si="249"/>
        <v>2632</v>
      </c>
      <c r="R245" s="163">
        <f>IFERROR(__xludf.DUMMYFUNCTION("RANK(M245,filter(M:M,C:C=C245))"),69.0)</f>
        <v>69</v>
      </c>
      <c r="S245" s="161" t="b">
        <f t="shared" si="5"/>
        <v>0</v>
      </c>
      <c r="T245" s="161" t="b">
        <f t="array" ref="T245">index('Query Tool'!B:B,match(H245,'Query Tool'!C:C,0))</f>
        <v>1</v>
      </c>
      <c r="U245" s="161" t="b">
        <f t="array" ref="U245">index('Query Tool'!B:B,match(C245,'Query Tool'!C:C,0))</f>
        <v>0</v>
      </c>
      <c r="V245" s="161" t="b">
        <f>F245&gt;='Query Tool'!C$32</f>
        <v>1</v>
      </c>
      <c r="W245" s="161" t="b">
        <f t="array" ref="W245">index(Dropdowns!B:B,match(I245,Dropdowns!A:A,0))</f>
        <v>1</v>
      </c>
      <c r="X245" s="161" t="b">
        <f t="array" ref="X245">index('Query Tool'!B:B,match(D245,'Query Tool'!C:C,0))</f>
        <v>1</v>
      </c>
      <c r="Y245" s="161" t="str">
        <f t="shared" si="6"/>
        <v>gibsota01,2013-14</v>
      </c>
      <c r="Z245" s="168">
        <f t="array" ref="Z245">iferror(index(I:I,match($A245&amp;","&amp;index('Year Conversion'!$A:$A,match($C245,'Year Conversion'!$B:$B,0)),$Y:$Y,0))-I245,"")</f>
        <v>1</v>
      </c>
      <c r="AA245" s="168">
        <f t="array" ref="AA245">iferror(index(J:J,match($A245&amp;","&amp;index('Year Conversion'!$A:$A,match($C245,'Year Conversion'!$B:$B,0)),$Y:$Y,0))-J245,"")</f>
        <v>-0.9049245225</v>
      </c>
      <c r="AB245" s="168">
        <f t="array" ref="AB245">iferror(index(K:K,match($A245&amp;","&amp;index('Year Conversion'!$A:$A,match($C245,'Year Conversion'!$B:$B,0)),$Y:$Y,0))-K245,"")</f>
        <v>0.08084400991</v>
      </c>
      <c r="AC245" s="168" t="str">
        <f t="shared" si="7"/>
        <v>CHI,2013-14</v>
      </c>
    </row>
    <row r="246">
      <c r="A246" s="161" t="str">
        <f>IFERROR(__xludf.DUMMYFUNCTION("""COMPUTED_VALUE"""),"carrode01")</f>
        <v>carrode01</v>
      </c>
      <c r="B246" s="161" t="str">
        <f>IFERROR(__xludf.DUMMYFUNCTION("""COMPUTED_VALUE"""),"DeMarre Carroll")</f>
        <v>DeMarre Carroll</v>
      </c>
      <c r="C246" s="162" t="str">
        <f>IFERROR(__xludf.DUMMYFUNCTION("""COMPUTED_VALUE"""),"2013-14")</f>
        <v>2013-14</v>
      </c>
      <c r="D246" s="163" t="str">
        <f>IFERROR(__xludf.DUMMYFUNCTION("""COMPUTED_VALUE"""),"ATL")</f>
        <v>ATL</v>
      </c>
      <c r="E246" s="164" t="str">
        <f>IFERROR(__xludf.DUMMYFUNCTION("""COMPUTED_VALUE"""),"Athletic Finisher")</f>
        <v>Athletic Finisher</v>
      </c>
      <c r="F246" s="164">
        <f>IFERROR(__xludf.DUMMYFUNCTION("""COMPUTED_VALUE"""),2340.505)</f>
        <v>2340.505</v>
      </c>
      <c r="G246" s="163">
        <f>IFERROR(__xludf.DUMMYFUNCTION("""COMPUTED_VALUE"""),73.0)</f>
        <v>73</v>
      </c>
      <c r="H246" s="163" t="str">
        <f>IFERROR(__xludf.DUMMYFUNCTION("""COMPUTED_VALUE"""),"SF")</f>
        <v>SF</v>
      </c>
      <c r="I246" s="163">
        <f>IFERROR(__xludf.DUMMYFUNCTION("""COMPUTED_VALUE"""),27.0)</f>
        <v>27</v>
      </c>
      <c r="J246" s="165">
        <f>IFERROR(__xludf.DUMMYFUNCTION("""COMPUTED_VALUE"""),1.30253758907274)</f>
        <v>1.302537589</v>
      </c>
      <c r="K246" s="165">
        <f>IFERROR(__xludf.DUMMYFUNCTION("""COMPUTED_VALUE"""),0.195927711398303)</f>
        <v>0.1959277114</v>
      </c>
      <c r="L246" s="165">
        <f>IFERROR(__xludf.DUMMYFUNCTION("""COMPUTED_VALUE"""),1.10660987767444)</f>
        <v>1.106609878</v>
      </c>
      <c r="M246" s="166">
        <f t="shared" si="2"/>
        <v>5.658780185</v>
      </c>
      <c r="N246" s="167">
        <f t="shared" si="3"/>
        <v>32.06171233</v>
      </c>
      <c r="O246" s="163">
        <f t="shared" ref="O246:Q246" si="250">rank(I246,I:I)</f>
        <v>1366</v>
      </c>
      <c r="P246" s="163">
        <f t="shared" si="250"/>
        <v>524</v>
      </c>
      <c r="Q246" s="163">
        <f t="shared" si="250"/>
        <v>986</v>
      </c>
      <c r="R246" s="163">
        <f>IFERROR(__xludf.DUMMYFUNCTION("RANK(M246,filter(M:M,C:C=C246))"),58.0)</f>
        <v>58</v>
      </c>
      <c r="S246" s="161" t="b">
        <f t="shared" si="5"/>
        <v>0</v>
      </c>
      <c r="T246" s="161" t="b">
        <f t="array" ref="T246">index('Query Tool'!B:B,match(H246,'Query Tool'!C:C,0))</f>
        <v>1</v>
      </c>
      <c r="U246" s="161" t="b">
        <f t="array" ref="U246">index('Query Tool'!B:B,match(C246,'Query Tool'!C:C,0))</f>
        <v>0</v>
      </c>
      <c r="V246" s="161" t="b">
        <f>F246&gt;='Query Tool'!C$32</f>
        <v>1</v>
      </c>
      <c r="W246" s="161" t="b">
        <f t="array" ref="W246">index(Dropdowns!B:B,match(I246,Dropdowns!A:A,0))</f>
        <v>1</v>
      </c>
      <c r="X246" s="161" t="b">
        <f t="array" ref="X246">index('Query Tool'!B:B,match(D246,'Query Tool'!C:C,0))</f>
        <v>1</v>
      </c>
      <c r="Y246" s="161" t="str">
        <f t="shared" si="6"/>
        <v>carrode01,2013-14</v>
      </c>
      <c r="Z246" s="168">
        <f t="array" ref="Z246">iferror(index(I:I,match($A246&amp;","&amp;index('Year Conversion'!$A:$A,match($C246,'Year Conversion'!$B:$B,0)),$Y:$Y,0))-I246,"")</f>
        <v>1</v>
      </c>
      <c r="AA246" s="168">
        <f t="array" ref="AA246">iferror(index(J:J,match($A246&amp;","&amp;index('Year Conversion'!$A:$A,match($C246,'Year Conversion'!$B:$B,0)),$Y:$Y,0))-J246,"")</f>
        <v>-1.190576779</v>
      </c>
      <c r="AB246" s="168">
        <f t="array" ref="AB246">iferror(index(K:K,match($A246&amp;","&amp;index('Year Conversion'!$A:$A,match($C246,'Year Conversion'!$B:$B,0)),$Y:$Y,0))-K246,"")</f>
        <v>0.1335073224</v>
      </c>
      <c r="AC246" s="168" t="str">
        <f t="shared" si="7"/>
        <v>ATL,2013-14</v>
      </c>
    </row>
    <row r="247">
      <c r="A247" s="161" t="str">
        <f>IFERROR(__xludf.DUMMYFUNCTION("""COMPUTED_VALUE"""),"ellinwa01")</f>
        <v>ellinwa01</v>
      </c>
      <c r="B247" s="161" t="str">
        <f>IFERROR(__xludf.DUMMYFUNCTION("""COMPUTED_VALUE"""),"Wayne Ellington")</f>
        <v>Wayne Ellington</v>
      </c>
      <c r="C247" s="162" t="str">
        <f>IFERROR(__xludf.DUMMYFUNCTION("""COMPUTED_VALUE"""),"2013-14")</f>
        <v>2013-14</v>
      </c>
      <c r="D247" s="163" t="str">
        <f>IFERROR(__xludf.DUMMYFUNCTION("""COMPUTED_VALUE"""),"DAL")</f>
        <v>DAL</v>
      </c>
      <c r="E247" s="164" t="str">
        <f>IFERROR(__xludf.DUMMYFUNCTION("""COMPUTED_VALUE"""),"Movement Shooter")</f>
        <v>Movement Shooter</v>
      </c>
      <c r="F247" s="164">
        <f>IFERROR(__xludf.DUMMYFUNCTION("""COMPUTED_VALUE"""),392.95)</f>
        <v>392.95</v>
      </c>
      <c r="G247" s="163">
        <f>IFERROR(__xludf.DUMMYFUNCTION("""COMPUTED_VALUE"""),45.0)</f>
        <v>45</v>
      </c>
      <c r="H247" s="163" t="str">
        <f>IFERROR(__xludf.DUMMYFUNCTION("""COMPUTED_VALUE"""),"SG")</f>
        <v>SG</v>
      </c>
      <c r="I247" s="163">
        <f>IFERROR(__xludf.DUMMYFUNCTION("""COMPUTED_VALUE"""),26.0)</f>
        <v>26</v>
      </c>
      <c r="J247" s="165">
        <f>IFERROR(__xludf.DUMMYFUNCTION("""COMPUTED_VALUE"""),-2.01955012957592)</f>
        <v>-2.01955013</v>
      </c>
      <c r="K247" s="165">
        <f>IFERROR(__xludf.DUMMYFUNCTION("""COMPUTED_VALUE"""),-0.647163187548996)</f>
        <v>-0.6471631875</v>
      </c>
      <c r="L247" s="165">
        <f>IFERROR(__xludf.DUMMYFUNCTION("""COMPUTED_VALUE"""),-1.37238694202693)</f>
        <v>-1.372386942</v>
      </c>
      <c r="M247" s="166">
        <f t="shared" si="2"/>
        <v>0.07378383222</v>
      </c>
      <c r="N247" s="167">
        <f t="shared" si="3"/>
        <v>8.732222222</v>
      </c>
      <c r="O247" s="163">
        <f t="shared" ref="O247:Q247" si="251">rank(I247,I:I)</f>
        <v>1665</v>
      </c>
      <c r="P247" s="163">
        <f t="shared" si="251"/>
        <v>3492</v>
      </c>
      <c r="Q247" s="163">
        <f t="shared" si="251"/>
        <v>2332</v>
      </c>
      <c r="R247" s="163">
        <f>IFERROR(__xludf.DUMMYFUNCTION("RANK(M247,filter(M:M,C:C=C247))"),370.0)</f>
        <v>370</v>
      </c>
      <c r="S247" s="161" t="b">
        <f t="shared" si="5"/>
        <v>0</v>
      </c>
      <c r="T247" s="161" t="b">
        <f t="array" ref="T247">index('Query Tool'!B:B,match(H247,'Query Tool'!C:C,0))</f>
        <v>1</v>
      </c>
      <c r="U247" s="161" t="b">
        <f t="array" ref="U247">index('Query Tool'!B:B,match(C247,'Query Tool'!C:C,0))</f>
        <v>0</v>
      </c>
      <c r="V247" s="161" t="b">
        <f>F247&gt;='Query Tool'!C$32</f>
        <v>0</v>
      </c>
      <c r="W247" s="161" t="b">
        <f t="array" ref="W247">index(Dropdowns!B:B,match(I247,Dropdowns!A:A,0))</f>
        <v>1</v>
      </c>
      <c r="X247" s="161" t="b">
        <f t="array" ref="X247">index('Query Tool'!B:B,match(D247,'Query Tool'!C:C,0))</f>
        <v>1</v>
      </c>
      <c r="Y247" s="161" t="str">
        <f t="shared" si="6"/>
        <v>ellinwa01,2013-14</v>
      </c>
      <c r="Z247" s="168">
        <f t="array" ref="Z247">iferror(index(I:I,match($A247&amp;","&amp;index('Year Conversion'!$A:$A,match($C247,'Year Conversion'!$B:$B,0)),$Y:$Y,0))-I247,"")</f>
        <v>1</v>
      </c>
      <c r="AA247" s="168">
        <f t="array" ref="AA247">iferror(index(J:J,match($A247&amp;","&amp;index('Year Conversion'!$A:$A,match($C247,'Year Conversion'!$B:$B,0)),$Y:$Y,0))-J247,"")</f>
        <v>0.5920596821</v>
      </c>
      <c r="AB247" s="168">
        <f t="array" ref="AB247">iferror(index(K:K,match($A247&amp;","&amp;index('Year Conversion'!$A:$A,match($C247,'Year Conversion'!$B:$B,0)),$Y:$Y,0))-K247,"")</f>
        <v>0.2945260736</v>
      </c>
      <c r="AC247" s="168" t="str">
        <f t="shared" si="7"/>
        <v>DAL,2013-14</v>
      </c>
    </row>
    <row r="248">
      <c r="A248" s="161" t="str">
        <f>IFERROR(__xludf.DUMMYFUNCTION("""COMPUTED_VALUE"""),"douglto01")</f>
        <v>douglto01</v>
      </c>
      <c r="B248" s="161" t="str">
        <f>IFERROR(__xludf.DUMMYFUNCTION("""COMPUTED_VALUE"""),"Toney Douglas")</f>
        <v>Toney Douglas</v>
      </c>
      <c r="C248" s="162" t="str">
        <f>IFERROR(__xludf.DUMMYFUNCTION("""COMPUTED_VALUE"""),"2013-14")</f>
        <v>2013-14</v>
      </c>
      <c r="D248" s="163" t="str">
        <f>IFERROR(__xludf.DUMMYFUNCTION("""COMPUTED_VALUE"""),"TOT")</f>
        <v>TOT</v>
      </c>
      <c r="E248" s="164" t="str">
        <f>IFERROR(__xludf.DUMMYFUNCTION("""COMPUTED_VALUE"""),"Secondary Ball Handler")</f>
        <v>Secondary Ball Handler</v>
      </c>
      <c r="F248" s="164">
        <f>IFERROR(__xludf.DUMMYFUNCTION("""COMPUTED_VALUE"""),674.691666666667)</f>
        <v>674.6916667</v>
      </c>
      <c r="G248" s="163">
        <f>IFERROR(__xludf.DUMMYFUNCTION("""COMPUTED_VALUE"""),51.0)</f>
        <v>51</v>
      </c>
      <c r="H248" s="163" t="str">
        <f>IFERROR(__xludf.DUMMYFUNCTION("""COMPUTED_VALUE"""),"PG")</f>
        <v>PG</v>
      </c>
      <c r="I248" s="163">
        <f>IFERROR(__xludf.DUMMYFUNCTION("""COMPUTED_VALUE"""),27.0)</f>
        <v>27</v>
      </c>
      <c r="J248" s="165">
        <f>IFERROR(__xludf.DUMMYFUNCTION("""COMPUTED_VALUE"""),-1.46785699963446)</f>
        <v>-1.467857</v>
      </c>
      <c r="K248" s="165">
        <f>IFERROR(__xludf.DUMMYFUNCTION("""COMPUTED_VALUE"""),-0.730945955911113)</f>
        <v>-0.7309459559</v>
      </c>
      <c r="L248" s="165">
        <f>IFERROR(__xludf.DUMMYFUNCTION("""COMPUTED_VALUE"""),-0.73691104372335)</f>
        <v>-0.7369110437</v>
      </c>
      <c r="M248" s="166">
        <f t="shared" si="2"/>
        <v>0.3744565039</v>
      </c>
      <c r="N248" s="167">
        <f t="shared" si="3"/>
        <v>13.22924837</v>
      </c>
      <c r="O248" s="163">
        <f t="shared" ref="O248:Q248" si="252">rank(I248,I:I)</f>
        <v>1366</v>
      </c>
      <c r="P248" s="163">
        <f t="shared" si="252"/>
        <v>3025</v>
      </c>
      <c r="Q248" s="163">
        <f t="shared" si="252"/>
        <v>2454</v>
      </c>
      <c r="R248" s="163">
        <f>IFERROR(__xludf.DUMMYFUNCTION("RANK(M248,filter(M:M,C:C=C248))"),291.0)</f>
        <v>291</v>
      </c>
      <c r="S248" s="161" t="b">
        <f t="shared" si="5"/>
        <v>0</v>
      </c>
      <c r="T248" s="161" t="b">
        <f t="array" ref="T248">index('Query Tool'!B:B,match(H248,'Query Tool'!C:C,0))</f>
        <v>1</v>
      </c>
      <c r="U248" s="161" t="b">
        <f t="array" ref="U248">index('Query Tool'!B:B,match(C248,'Query Tool'!C:C,0))</f>
        <v>0</v>
      </c>
      <c r="V248" s="161" t="b">
        <f>F248&gt;='Query Tool'!C$32</f>
        <v>1</v>
      </c>
      <c r="W248" s="161" t="b">
        <f t="array" ref="W248">index(Dropdowns!B:B,match(I248,Dropdowns!A:A,0))</f>
        <v>1</v>
      </c>
      <c r="X248" s="161" t="b">
        <f t="array" ref="X248">index('Query Tool'!B:B,match(D248,'Query Tool'!C:C,0))</f>
        <v>1</v>
      </c>
      <c r="Y248" s="161" t="str">
        <f t="shared" si="6"/>
        <v>douglto01,2013-14</v>
      </c>
      <c r="Z248" s="168">
        <f t="array" ref="Z248">iferror(index(I:I,match($A248&amp;","&amp;index('Year Conversion'!$A:$A,match($C248,'Year Conversion'!$B:$B,0)),$Y:$Y,0))-I248,"")</f>
        <v>1</v>
      </c>
      <c r="AA248" s="168">
        <f t="array" ref="AA248">iferror(index(J:J,match($A248&amp;","&amp;index('Year Conversion'!$A:$A,match($C248,'Year Conversion'!$B:$B,0)),$Y:$Y,0))-J248,"")</f>
        <v>1.147604882</v>
      </c>
      <c r="AB248" s="168">
        <f t="array" ref="AB248">iferror(index(K:K,match($A248&amp;","&amp;index('Year Conversion'!$A:$A,match($C248,'Year Conversion'!$B:$B,0)),$Y:$Y,0))-K248,"")</f>
        <v>0.3653115348</v>
      </c>
      <c r="AC248" s="168" t="str">
        <f t="shared" si="7"/>
        <v>TOT,2013-14</v>
      </c>
    </row>
    <row r="249">
      <c r="A249" s="161" t="str">
        <f>IFERROR(__xludf.DUMMYFUNCTION("""COMPUTED_VALUE"""),"clavevi01")</f>
        <v>clavevi01</v>
      </c>
      <c r="B249" s="161" t="str">
        <f>IFERROR(__xludf.DUMMYFUNCTION("""COMPUTED_VALUE"""),"Victor Claver")</f>
        <v>Victor Claver</v>
      </c>
      <c r="C249" s="162" t="str">
        <f>IFERROR(__xludf.DUMMYFUNCTION("""COMPUTED_VALUE"""),"2013-14")</f>
        <v>2013-14</v>
      </c>
      <c r="D249" s="163" t="str">
        <f>IFERROR(__xludf.DUMMYFUNCTION("""COMPUTED_VALUE"""),"POR")</f>
        <v>POR</v>
      </c>
      <c r="E249" s="164" t="str">
        <f>IFERROR(__xludf.DUMMYFUNCTION("""COMPUTED_VALUE"""),"Stretch Big")</f>
        <v>Stretch Big</v>
      </c>
      <c r="F249" s="164">
        <f>IFERROR(__xludf.DUMMYFUNCTION("""COMPUTED_VALUE"""),183.738333333333)</f>
        <v>183.7383333</v>
      </c>
      <c r="G249" s="163">
        <f>IFERROR(__xludf.DUMMYFUNCTION("""COMPUTED_VALUE"""),21.0)</f>
        <v>21</v>
      </c>
      <c r="H249" s="163" t="str">
        <f>IFERROR(__xludf.DUMMYFUNCTION("""COMPUTED_VALUE"""),"SF")</f>
        <v>SF</v>
      </c>
      <c r="I249" s="163">
        <f>IFERROR(__xludf.DUMMYFUNCTION("""COMPUTED_VALUE"""),25.0)</f>
        <v>25</v>
      </c>
      <c r="J249" s="165">
        <f>IFERROR(__xludf.DUMMYFUNCTION("""COMPUTED_VALUE"""),-1.36750965862721)</f>
        <v>-1.367509659</v>
      </c>
      <c r="K249" s="165">
        <f>IFERROR(__xludf.DUMMYFUNCTION("""COMPUTED_VALUE"""),-1.19659050564255)</f>
        <v>-1.196590506</v>
      </c>
      <c r="L249" s="165">
        <f>IFERROR(__xludf.DUMMYFUNCTION("""COMPUTED_VALUE"""),-0.170919152984663)</f>
        <v>-0.170919153</v>
      </c>
      <c r="M249" s="166">
        <f t="shared" si="2"/>
        <v>0.1143023862</v>
      </c>
      <c r="N249" s="167">
        <f t="shared" si="3"/>
        <v>8.749444444</v>
      </c>
      <c r="O249" s="163">
        <f t="shared" ref="O249:Q249" si="253">rank(I249,I:I)</f>
        <v>1995</v>
      </c>
      <c r="P249" s="163">
        <f t="shared" si="253"/>
        <v>2922</v>
      </c>
      <c r="Q249" s="163">
        <f t="shared" si="253"/>
        <v>3035</v>
      </c>
      <c r="R249" s="163">
        <f>IFERROR(__xludf.DUMMYFUNCTION("RANK(M249,filter(M:M,C:C=C249))"),353.0)</f>
        <v>353</v>
      </c>
      <c r="S249" s="161" t="b">
        <f t="shared" si="5"/>
        <v>0</v>
      </c>
      <c r="T249" s="161" t="b">
        <f t="array" ref="T249">index('Query Tool'!B:B,match(H249,'Query Tool'!C:C,0))</f>
        <v>1</v>
      </c>
      <c r="U249" s="161" t="b">
        <f t="array" ref="U249">index('Query Tool'!B:B,match(C249,'Query Tool'!C:C,0))</f>
        <v>0</v>
      </c>
      <c r="V249" s="161" t="b">
        <f>F249&gt;='Query Tool'!C$32</f>
        <v>0</v>
      </c>
      <c r="W249" s="161" t="b">
        <f t="array" ref="W249">index(Dropdowns!B:B,match(I249,Dropdowns!A:A,0))</f>
        <v>1</v>
      </c>
      <c r="X249" s="161" t="b">
        <f t="array" ref="X249">index('Query Tool'!B:B,match(D249,'Query Tool'!C:C,0))</f>
        <v>1</v>
      </c>
      <c r="Y249" s="161" t="str">
        <f t="shared" si="6"/>
        <v>clavevi01,2013-14</v>
      </c>
      <c r="Z249" s="168">
        <f t="array" ref="Z249">iferror(index(I:I,match($A249&amp;","&amp;index('Year Conversion'!$A:$A,match($C249,'Year Conversion'!$B:$B,0)),$Y:$Y,0))-I249,"")</f>
        <v>1</v>
      </c>
      <c r="AA249" s="168">
        <f t="array" ref="AA249">iferror(index(J:J,match($A249&amp;","&amp;index('Year Conversion'!$A:$A,match($C249,'Year Conversion'!$B:$B,0)),$Y:$Y,0))-J249,"")</f>
        <v>0.7118461283</v>
      </c>
      <c r="AB249" s="168">
        <f t="array" ref="AB249">iferror(index(K:K,match($A249&amp;","&amp;index('Year Conversion'!$A:$A,match($C249,'Year Conversion'!$B:$B,0)),$Y:$Y,0))-K249,"")</f>
        <v>0.5843149364</v>
      </c>
      <c r="AC249" s="168" t="str">
        <f t="shared" si="7"/>
        <v>POR,2013-14</v>
      </c>
    </row>
    <row r="250">
      <c r="A250" s="161" t="str">
        <f>IFERROR(__xludf.DUMMYFUNCTION("""COMPUTED_VALUE"""),"pendeje02")</f>
        <v>pendeje02</v>
      </c>
      <c r="B250" s="161" t="str">
        <f>IFERROR(__xludf.DUMMYFUNCTION("""COMPUTED_VALUE"""),"Jeff Ayres")</f>
        <v>Jeff Ayres</v>
      </c>
      <c r="C250" s="162" t="str">
        <f>IFERROR(__xludf.DUMMYFUNCTION("""COMPUTED_VALUE"""),"2013-14")</f>
        <v>2013-14</v>
      </c>
      <c r="D250" s="163" t="str">
        <f>IFERROR(__xludf.DUMMYFUNCTION("""COMPUTED_VALUE"""),"SAS")</f>
        <v>SAS</v>
      </c>
      <c r="E250" s="164" t="str">
        <f>IFERROR(__xludf.DUMMYFUNCTION("""COMPUTED_VALUE"""),"Roll + Cut Big")</f>
        <v>Roll + Cut Big</v>
      </c>
      <c r="F250" s="164">
        <f>IFERROR(__xludf.DUMMYFUNCTION("""COMPUTED_VALUE"""),952.255)</f>
        <v>952.255</v>
      </c>
      <c r="G250" s="163">
        <f>IFERROR(__xludf.DUMMYFUNCTION("""COMPUTED_VALUE"""),73.0)</f>
        <v>73</v>
      </c>
      <c r="H250" s="163" t="str">
        <f>IFERROR(__xludf.DUMMYFUNCTION("""COMPUTED_VALUE"""),"PF")</f>
        <v>PF</v>
      </c>
      <c r="I250" s="163">
        <f>IFERROR(__xludf.DUMMYFUNCTION("""COMPUTED_VALUE"""),26.0)</f>
        <v>26</v>
      </c>
      <c r="J250" s="165">
        <f>IFERROR(__xludf.DUMMYFUNCTION("""COMPUTED_VALUE"""),-1.80148920237042)</f>
        <v>-1.801489202</v>
      </c>
      <c r="K250" s="165">
        <f>IFERROR(__xludf.DUMMYFUNCTION("""COMPUTED_VALUE"""),-1.58345787140326)</f>
        <v>-1.583457871</v>
      </c>
      <c r="L250" s="165">
        <f>IFERROR(__xludf.DUMMYFUNCTION("""COMPUTED_VALUE"""),-0.218031330967162)</f>
        <v>-0.218031331</v>
      </c>
      <c r="M250" s="166">
        <f t="shared" si="2"/>
        <v>0.3166888251</v>
      </c>
      <c r="N250" s="167">
        <f t="shared" si="3"/>
        <v>13.04458904</v>
      </c>
      <c r="O250" s="163">
        <f t="shared" ref="O250:Q250" si="254">rank(I250,I:I)</f>
        <v>1665</v>
      </c>
      <c r="P250" s="163">
        <f t="shared" si="254"/>
        <v>3331</v>
      </c>
      <c r="Q250" s="163">
        <f t="shared" si="254"/>
        <v>3436</v>
      </c>
      <c r="R250" s="163">
        <f>IFERROR(__xludf.DUMMYFUNCTION("RANK(M250,filter(M:M,C:C=C250))"),298.0)</f>
        <v>298</v>
      </c>
      <c r="S250" s="161" t="b">
        <f t="shared" si="5"/>
        <v>0</v>
      </c>
      <c r="T250" s="161" t="b">
        <f t="array" ref="T250">index('Query Tool'!B:B,match(H250,'Query Tool'!C:C,0))</f>
        <v>1</v>
      </c>
      <c r="U250" s="161" t="b">
        <f t="array" ref="U250">index('Query Tool'!B:B,match(C250,'Query Tool'!C:C,0))</f>
        <v>0</v>
      </c>
      <c r="V250" s="161" t="b">
        <f>F250&gt;='Query Tool'!C$32</f>
        <v>1</v>
      </c>
      <c r="W250" s="161" t="b">
        <f t="array" ref="W250">index(Dropdowns!B:B,match(I250,Dropdowns!A:A,0))</f>
        <v>1</v>
      </c>
      <c r="X250" s="161" t="b">
        <f t="array" ref="X250">index('Query Tool'!B:B,match(D250,'Query Tool'!C:C,0))</f>
        <v>1</v>
      </c>
      <c r="Y250" s="161" t="str">
        <f t="shared" si="6"/>
        <v>pendeje02,2013-14</v>
      </c>
      <c r="Z250" s="168">
        <f t="array" ref="Z250">iferror(index(I:I,match($A250&amp;","&amp;index('Year Conversion'!$A:$A,match($C250,'Year Conversion'!$B:$B,0)),$Y:$Y,0))-I250,"")</f>
        <v>1</v>
      </c>
      <c r="AA250" s="168">
        <f t="array" ref="AA250">iferror(index(J:J,match($A250&amp;","&amp;index('Year Conversion'!$A:$A,match($C250,'Year Conversion'!$B:$B,0)),$Y:$Y,0))-J250,"")</f>
        <v>-0.2757878276</v>
      </c>
      <c r="AB250" s="168">
        <f t="array" ref="AB250">iferror(index(K:K,match($A250&amp;","&amp;index('Year Conversion'!$A:$A,match($C250,'Year Conversion'!$B:$B,0)),$Y:$Y,0))-K250,"")</f>
        <v>0.1421531086</v>
      </c>
      <c r="AC250" s="168" t="str">
        <f t="shared" si="7"/>
        <v>SAS,2013-14</v>
      </c>
    </row>
    <row r="251">
      <c r="A251" s="161" t="str">
        <f>IFERROR(__xludf.DUMMYFUNCTION("""COMPUTED_VALUE"""),"cunnida01")</f>
        <v>cunnida01</v>
      </c>
      <c r="B251" s="161" t="str">
        <f>IFERROR(__xludf.DUMMYFUNCTION("""COMPUTED_VALUE"""),"Dante Cunningham")</f>
        <v>Dante Cunningham</v>
      </c>
      <c r="C251" s="162" t="str">
        <f>IFERROR(__xludf.DUMMYFUNCTION("""COMPUTED_VALUE"""),"2013-14")</f>
        <v>2013-14</v>
      </c>
      <c r="D251" s="163" t="str">
        <f>IFERROR(__xludf.DUMMYFUNCTION("""COMPUTED_VALUE"""),"MIN")</f>
        <v>MIN</v>
      </c>
      <c r="E251" s="164" t="str">
        <f>IFERROR(__xludf.DUMMYFUNCTION("""COMPUTED_VALUE"""),"Roll + Cut Big")</f>
        <v>Roll + Cut Big</v>
      </c>
      <c r="F251" s="164">
        <f>IFERROR(__xludf.DUMMYFUNCTION("""COMPUTED_VALUE"""),1634.84)</f>
        <v>1634.84</v>
      </c>
      <c r="G251" s="163">
        <f>IFERROR(__xludf.DUMMYFUNCTION("""COMPUTED_VALUE"""),81.0)</f>
        <v>81</v>
      </c>
      <c r="H251" s="163" t="str">
        <f>IFERROR(__xludf.DUMMYFUNCTION("""COMPUTED_VALUE"""),"PF")</f>
        <v>PF</v>
      </c>
      <c r="I251" s="163">
        <f>IFERROR(__xludf.DUMMYFUNCTION("""COMPUTED_VALUE"""),26.0)</f>
        <v>26</v>
      </c>
      <c r="J251" s="165">
        <f>IFERROR(__xludf.DUMMYFUNCTION("""COMPUTED_VALUE"""),-0.437194875213634)</f>
        <v>-0.4371948752</v>
      </c>
      <c r="K251" s="165">
        <f>IFERROR(__xludf.DUMMYFUNCTION("""COMPUTED_VALUE"""),-0.75624670111886)</f>
        <v>-0.7562467011</v>
      </c>
      <c r="L251" s="165">
        <f>IFERROR(__xludf.DUMMYFUNCTION("""COMPUTED_VALUE"""),0.319051825905226)</f>
        <v>0.3190518259</v>
      </c>
      <c r="M251" s="166">
        <f t="shared" si="2"/>
        <v>2.03863334</v>
      </c>
      <c r="N251" s="167">
        <f t="shared" si="3"/>
        <v>20.18320988</v>
      </c>
      <c r="O251" s="163">
        <f t="shared" ref="O251:Q251" si="255">rank(I251,I:I)</f>
        <v>1665</v>
      </c>
      <c r="P251" s="163">
        <f t="shared" si="255"/>
        <v>1764</v>
      </c>
      <c r="Q251" s="163">
        <f t="shared" si="255"/>
        <v>2489</v>
      </c>
      <c r="R251" s="163">
        <f>IFERROR(__xludf.DUMMYFUNCTION("RANK(M251,filter(M:M,C:C=C251))"),152.0)</f>
        <v>152</v>
      </c>
      <c r="S251" s="161" t="b">
        <f t="shared" si="5"/>
        <v>0</v>
      </c>
      <c r="T251" s="161" t="b">
        <f t="array" ref="T251">index('Query Tool'!B:B,match(H251,'Query Tool'!C:C,0))</f>
        <v>1</v>
      </c>
      <c r="U251" s="161" t="b">
        <f t="array" ref="U251">index('Query Tool'!B:B,match(C251,'Query Tool'!C:C,0))</f>
        <v>0</v>
      </c>
      <c r="V251" s="161" t="b">
        <f>F251&gt;='Query Tool'!C$32</f>
        <v>1</v>
      </c>
      <c r="W251" s="161" t="b">
        <f t="array" ref="W251">index(Dropdowns!B:B,match(I251,Dropdowns!A:A,0))</f>
        <v>1</v>
      </c>
      <c r="X251" s="161" t="b">
        <f t="array" ref="X251">index('Query Tool'!B:B,match(D251,'Query Tool'!C:C,0))</f>
        <v>1</v>
      </c>
      <c r="Y251" s="161" t="str">
        <f t="shared" si="6"/>
        <v>cunnida01,2013-14</v>
      </c>
      <c r="Z251" s="168">
        <f t="array" ref="Z251">iferror(index(I:I,match($A251&amp;","&amp;index('Year Conversion'!$A:$A,match($C251,'Year Conversion'!$B:$B,0)),$Y:$Y,0))-I251,"")</f>
        <v>1</v>
      </c>
      <c r="AA251" s="168">
        <f t="array" ref="AA251">iferror(index(J:J,match($A251&amp;","&amp;index('Year Conversion'!$A:$A,match($C251,'Year Conversion'!$B:$B,0)),$Y:$Y,0))-J251,"")</f>
        <v>-2.019083503</v>
      </c>
      <c r="AB251" s="168">
        <f t="array" ref="AB251">iferror(index(K:K,match($A251&amp;","&amp;index('Year Conversion'!$A:$A,match($C251,'Year Conversion'!$B:$B,0)),$Y:$Y,0))-K251,"")</f>
        <v>-1.089656062</v>
      </c>
      <c r="AC251" s="168" t="str">
        <f t="shared" si="7"/>
        <v>MIN,2013-14</v>
      </c>
    </row>
    <row r="252">
      <c r="A252" s="161" t="str">
        <f>IFERROR(__xludf.DUMMYFUNCTION("""COMPUTED_VALUE"""),"blairde01")</f>
        <v>blairde01</v>
      </c>
      <c r="B252" s="161" t="str">
        <f>IFERROR(__xludf.DUMMYFUNCTION("""COMPUTED_VALUE"""),"DeJuan Blair")</f>
        <v>DeJuan Blair</v>
      </c>
      <c r="C252" s="162" t="str">
        <f>IFERROR(__xludf.DUMMYFUNCTION("""COMPUTED_VALUE"""),"2013-14")</f>
        <v>2013-14</v>
      </c>
      <c r="D252" s="163" t="str">
        <f>IFERROR(__xludf.DUMMYFUNCTION("""COMPUTED_VALUE"""),"DAL")</f>
        <v>DAL</v>
      </c>
      <c r="E252" s="164" t="str">
        <f>IFERROR(__xludf.DUMMYFUNCTION("""COMPUTED_VALUE"""),"Roll + Cut Big")</f>
        <v>Roll + Cut Big</v>
      </c>
      <c r="F252" s="164">
        <f>IFERROR(__xludf.DUMMYFUNCTION("""COMPUTED_VALUE"""),1213.82333333333)</f>
        <v>1213.823333</v>
      </c>
      <c r="G252" s="163">
        <f>IFERROR(__xludf.DUMMYFUNCTION("""COMPUTED_VALUE"""),78.0)</f>
        <v>78</v>
      </c>
      <c r="H252" s="163" t="str">
        <f>IFERROR(__xludf.DUMMYFUNCTION("""COMPUTED_VALUE"""),"PF")</f>
        <v>PF</v>
      </c>
      <c r="I252" s="163">
        <f>IFERROR(__xludf.DUMMYFUNCTION("""COMPUTED_VALUE"""),24.0)</f>
        <v>24</v>
      </c>
      <c r="J252" s="165">
        <f>IFERROR(__xludf.DUMMYFUNCTION("""COMPUTED_VALUE"""),0.0517121980771863)</f>
        <v>0.05171219808</v>
      </c>
      <c r="K252" s="165">
        <f>IFERROR(__xludf.DUMMYFUNCTION("""COMPUTED_VALUE"""),-0.379963184001786)</f>
        <v>-0.379963184</v>
      </c>
      <c r="L252" s="165">
        <f>IFERROR(__xludf.DUMMYFUNCTION("""COMPUTED_VALUE"""),0.431675382078972)</f>
        <v>0.4316753821</v>
      </c>
      <c r="M252" s="166">
        <f t="shared" si="2"/>
        <v>1.913629354</v>
      </c>
      <c r="N252" s="167">
        <f t="shared" si="3"/>
        <v>15.56183761</v>
      </c>
      <c r="O252" s="163">
        <f t="shared" ref="O252:Q252" si="256">rank(I252,I:I)</f>
        <v>2361</v>
      </c>
      <c r="P252" s="163">
        <f t="shared" si="256"/>
        <v>1238</v>
      </c>
      <c r="Q252" s="163">
        <f t="shared" si="256"/>
        <v>1914</v>
      </c>
      <c r="R252" s="163">
        <f>IFERROR(__xludf.DUMMYFUNCTION("RANK(M252,filter(M:M,C:C=C252))"),160.0)</f>
        <v>160</v>
      </c>
      <c r="S252" s="161" t="b">
        <f t="shared" si="5"/>
        <v>0</v>
      </c>
      <c r="T252" s="161" t="b">
        <f t="array" ref="T252">index('Query Tool'!B:B,match(H252,'Query Tool'!C:C,0))</f>
        <v>1</v>
      </c>
      <c r="U252" s="161" t="b">
        <f t="array" ref="U252">index('Query Tool'!B:B,match(C252,'Query Tool'!C:C,0))</f>
        <v>0</v>
      </c>
      <c r="V252" s="161" t="b">
        <f>F252&gt;='Query Tool'!C$32</f>
        <v>1</v>
      </c>
      <c r="W252" s="161" t="b">
        <f t="array" ref="W252">index(Dropdowns!B:B,match(I252,Dropdowns!A:A,0))</f>
        <v>1</v>
      </c>
      <c r="X252" s="161" t="b">
        <f t="array" ref="X252">index('Query Tool'!B:B,match(D252,'Query Tool'!C:C,0))</f>
        <v>1</v>
      </c>
      <c r="Y252" s="161" t="str">
        <f t="shared" si="6"/>
        <v>blairde01,2013-14</v>
      </c>
      <c r="Z252" s="168">
        <f t="array" ref="Z252">iferror(index(I:I,match($A252&amp;","&amp;index('Year Conversion'!$A:$A,match($C252,'Year Conversion'!$B:$B,0)),$Y:$Y,0))-I252,"")</f>
        <v>1</v>
      </c>
      <c r="AA252" s="168">
        <f t="array" ref="AA252">iferror(index(J:J,match($A252&amp;","&amp;index('Year Conversion'!$A:$A,match($C252,'Year Conversion'!$B:$B,0)),$Y:$Y,0))-J252,"")</f>
        <v>-1.737202254</v>
      </c>
      <c r="AB252" s="168">
        <f t="array" ref="AB252">iferror(index(K:K,match($A252&amp;","&amp;index('Year Conversion'!$A:$A,match($C252,'Year Conversion'!$B:$B,0)),$Y:$Y,0))-K252,"")</f>
        <v>-1.288861164</v>
      </c>
      <c r="AC252" s="168" t="str">
        <f t="shared" si="7"/>
        <v>DAL,2013-14</v>
      </c>
    </row>
    <row r="253">
      <c r="A253" s="161" t="str">
        <f>IFERROR(__xludf.DUMMYFUNCTION("""COMPUTED_VALUE"""),"jerebjo01")</f>
        <v>jerebjo01</v>
      </c>
      <c r="B253" s="161" t="str">
        <f>IFERROR(__xludf.DUMMYFUNCTION("""COMPUTED_VALUE"""),"Jonas Jerebko")</f>
        <v>Jonas Jerebko</v>
      </c>
      <c r="C253" s="162" t="str">
        <f>IFERROR(__xludf.DUMMYFUNCTION("""COMPUTED_VALUE"""),"2013-14")</f>
        <v>2013-14</v>
      </c>
      <c r="D253" s="163" t="str">
        <f>IFERROR(__xludf.DUMMYFUNCTION("""COMPUTED_VALUE"""),"DET")</f>
        <v>DET</v>
      </c>
      <c r="E253" s="164" t="str">
        <f>IFERROR(__xludf.DUMMYFUNCTION("""COMPUTED_VALUE"""),"Stretch Big")</f>
        <v>Stretch Big</v>
      </c>
      <c r="F253" s="164">
        <f>IFERROR(__xludf.DUMMYFUNCTION("""COMPUTED_VALUE"""),741.085)</f>
        <v>741.085</v>
      </c>
      <c r="G253" s="163">
        <f>IFERROR(__xludf.DUMMYFUNCTION("""COMPUTED_VALUE"""),64.0)</f>
        <v>64</v>
      </c>
      <c r="H253" s="163" t="str">
        <f>IFERROR(__xludf.DUMMYFUNCTION("""COMPUTED_VALUE"""),"PF")</f>
        <v>PF</v>
      </c>
      <c r="I253" s="163">
        <f>IFERROR(__xludf.DUMMYFUNCTION("""COMPUTED_VALUE"""),26.0)</f>
        <v>26</v>
      </c>
      <c r="J253" s="165">
        <f>IFERROR(__xludf.DUMMYFUNCTION("""COMPUTED_VALUE"""),-1.11621114753707)</f>
        <v>-1.116211148</v>
      </c>
      <c r="K253" s="165">
        <f>IFERROR(__xludf.DUMMYFUNCTION("""COMPUTED_VALUE"""),-0.622438346089048)</f>
        <v>-0.6224383461</v>
      </c>
      <c r="L253" s="165">
        <f>IFERROR(__xludf.DUMMYFUNCTION("""COMPUTED_VALUE"""),-0.493772801448027)</f>
        <v>-0.4937728014</v>
      </c>
      <c r="M253" s="166">
        <f t="shared" si="2"/>
        <v>0.58577455</v>
      </c>
      <c r="N253" s="167">
        <f t="shared" si="3"/>
        <v>11.57945313</v>
      </c>
      <c r="O253" s="163">
        <f t="shared" ref="O253:Q253" si="257">rank(I253,I:I)</f>
        <v>1665</v>
      </c>
      <c r="P253" s="163">
        <f t="shared" si="257"/>
        <v>2639</v>
      </c>
      <c r="Q253" s="163">
        <f t="shared" si="257"/>
        <v>2296</v>
      </c>
      <c r="R253" s="163">
        <f>IFERROR(__xludf.DUMMYFUNCTION("RANK(M253,filter(M:M,C:C=C253))"),260.0)</f>
        <v>260</v>
      </c>
      <c r="S253" s="161" t="b">
        <f t="shared" si="5"/>
        <v>0</v>
      </c>
      <c r="T253" s="161" t="b">
        <f t="array" ref="T253">index('Query Tool'!B:B,match(H253,'Query Tool'!C:C,0))</f>
        <v>1</v>
      </c>
      <c r="U253" s="161" t="b">
        <f t="array" ref="U253">index('Query Tool'!B:B,match(C253,'Query Tool'!C:C,0))</f>
        <v>0</v>
      </c>
      <c r="V253" s="161" t="b">
        <f>F253&gt;='Query Tool'!C$32</f>
        <v>1</v>
      </c>
      <c r="W253" s="161" t="b">
        <f t="array" ref="W253">index(Dropdowns!B:B,match(I253,Dropdowns!A:A,0))</f>
        <v>1</v>
      </c>
      <c r="X253" s="161" t="b">
        <f t="array" ref="X253">index('Query Tool'!B:B,match(D253,'Query Tool'!C:C,0))</f>
        <v>1</v>
      </c>
      <c r="Y253" s="161" t="str">
        <f t="shared" si="6"/>
        <v>jerebjo01,2013-14</v>
      </c>
      <c r="Z253" s="168">
        <f t="array" ref="Z253">iferror(index(I:I,match($A253&amp;","&amp;index('Year Conversion'!$A:$A,match($C253,'Year Conversion'!$B:$B,0)),$Y:$Y,0))-I253,"")</f>
        <v>1</v>
      </c>
      <c r="AA253" s="168">
        <f t="array" ref="AA253">iferror(index(J:J,match($A253&amp;","&amp;index('Year Conversion'!$A:$A,match($C253,'Year Conversion'!$B:$B,0)),$Y:$Y,0))-J253,"")</f>
        <v>1.967661534</v>
      </c>
      <c r="AB253" s="168">
        <f t="array" ref="AB253">iferror(index(K:K,match($A253&amp;","&amp;index('Year Conversion'!$A:$A,match($C253,'Year Conversion'!$B:$B,0)),$Y:$Y,0))-K253,"")</f>
        <v>1.165997488</v>
      </c>
      <c r="AC253" s="168" t="str">
        <f t="shared" si="7"/>
        <v>DET,2013-14</v>
      </c>
    </row>
    <row r="254">
      <c r="A254" s="161" t="str">
        <f>IFERROR(__xludf.DUMMYFUNCTION("""COMPUTED_VALUE"""),"meeksjo01")</f>
        <v>meeksjo01</v>
      </c>
      <c r="B254" s="161" t="str">
        <f>IFERROR(__xludf.DUMMYFUNCTION("""COMPUTED_VALUE"""),"Jodie Meeks")</f>
        <v>Jodie Meeks</v>
      </c>
      <c r="C254" s="162" t="str">
        <f>IFERROR(__xludf.DUMMYFUNCTION("""COMPUTED_VALUE"""),"2013-14")</f>
        <v>2013-14</v>
      </c>
      <c r="D254" s="163" t="str">
        <f>IFERROR(__xludf.DUMMYFUNCTION("""COMPUTED_VALUE"""),"LAL")</f>
        <v>LAL</v>
      </c>
      <c r="E254" s="164" t="str">
        <f>IFERROR(__xludf.DUMMYFUNCTION("""COMPUTED_VALUE"""),"Stationary Shooter")</f>
        <v>Stationary Shooter</v>
      </c>
      <c r="F254" s="164">
        <f>IFERROR(__xludf.DUMMYFUNCTION("""COMPUTED_VALUE"""),2556.01166666667)</f>
        <v>2556.011667</v>
      </c>
      <c r="G254" s="163">
        <f>IFERROR(__xludf.DUMMYFUNCTION("""COMPUTED_VALUE"""),77.0)</f>
        <v>77</v>
      </c>
      <c r="H254" s="163" t="str">
        <f>IFERROR(__xludf.DUMMYFUNCTION("""COMPUTED_VALUE"""),"SG")</f>
        <v>SG</v>
      </c>
      <c r="I254" s="163">
        <f>IFERROR(__xludf.DUMMYFUNCTION("""COMPUTED_VALUE"""),26.0)</f>
        <v>26</v>
      </c>
      <c r="J254" s="165">
        <f>IFERROR(__xludf.DUMMYFUNCTION("""COMPUTED_VALUE"""),-2.68660942628247)</f>
        <v>-2.686609426</v>
      </c>
      <c r="K254" s="165">
        <f>IFERROR(__xludf.DUMMYFUNCTION("""COMPUTED_VALUE"""),0.200727146251503)</f>
        <v>0.2007271463</v>
      </c>
      <c r="L254" s="165">
        <f>IFERROR(__xludf.DUMMYFUNCTION("""COMPUTED_VALUE"""),-2.88733657253397)</f>
        <v>-2.887336573</v>
      </c>
      <c r="M254" s="166">
        <f t="shared" si="2"/>
        <v>-0.6432761038</v>
      </c>
      <c r="N254" s="167">
        <f t="shared" si="3"/>
        <v>33.19495671</v>
      </c>
      <c r="O254" s="163">
        <f t="shared" ref="O254:Q254" si="258">rank(I254,I:I)</f>
        <v>1665</v>
      </c>
      <c r="P254" s="163">
        <f t="shared" si="258"/>
        <v>3808</v>
      </c>
      <c r="Q254" s="163">
        <f t="shared" si="258"/>
        <v>979</v>
      </c>
      <c r="R254" s="163">
        <f>IFERROR(__xludf.DUMMYFUNCTION("RANK(M254,filter(M:M,C:C=C254))"),473.0)</f>
        <v>473</v>
      </c>
      <c r="S254" s="161" t="b">
        <f t="shared" si="5"/>
        <v>0</v>
      </c>
      <c r="T254" s="161" t="b">
        <f t="array" ref="T254">index('Query Tool'!B:B,match(H254,'Query Tool'!C:C,0))</f>
        <v>1</v>
      </c>
      <c r="U254" s="161" t="b">
        <f t="array" ref="U254">index('Query Tool'!B:B,match(C254,'Query Tool'!C:C,0))</f>
        <v>0</v>
      </c>
      <c r="V254" s="161" t="b">
        <f>F254&gt;='Query Tool'!C$32</f>
        <v>1</v>
      </c>
      <c r="W254" s="161" t="b">
        <f t="array" ref="W254">index(Dropdowns!B:B,match(I254,Dropdowns!A:A,0))</f>
        <v>1</v>
      </c>
      <c r="X254" s="161" t="b">
        <f t="array" ref="X254">index('Query Tool'!B:B,match(D254,'Query Tool'!C:C,0))</f>
        <v>1</v>
      </c>
      <c r="Y254" s="161" t="str">
        <f t="shared" si="6"/>
        <v>meeksjo01,2013-14</v>
      </c>
      <c r="Z254" s="168">
        <f t="array" ref="Z254">iferror(index(I:I,match($A254&amp;","&amp;index('Year Conversion'!$A:$A,match($C254,'Year Conversion'!$B:$B,0)),$Y:$Y,0))-I254,"")</f>
        <v>1</v>
      </c>
      <c r="AA254" s="168">
        <f t="array" ref="AA254">iferror(index(J:J,match($A254&amp;","&amp;index('Year Conversion'!$A:$A,match($C254,'Year Conversion'!$B:$B,0)),$Y:$Y,0))-J254,"")</f>
        <v>1.555319774</v>
      </c>
      <c r="AB254" s="168">
        <f t="array" ref="AB254">iferror(index(K:K,match($A254&amp;","&amp;index('Year Conversion'!$A:$A,match($C254,'Year Conversion'!$B:$B,0)),$Y:$Y,0))-K254,"")</f>
        <v>-0.188839743</v>
      </c>
      <c r="AC254" s="168" t="str">
        <f t="shared" si="7"/>
        <v>LAL,2013-14</v>
      </c>
    </row>
    <row r="255">
      <c r="A255" s="161" t="str">
        <f>IFERROR(__xludf.DUMMYFUNCTION("""COMPUTED_VALUE"""),"beverpa01")</f>
        <v>beverpa01</v>
      </c>
      <c r="B255" s="161" t="str">
        <f>IFERROR(__xludf.DUMMYFUNCTION("""COMPUTED_VALUE"""),"Patrick Beverley")</f>
        <v>Patrick Beverley</v>
      </c>
      <c r="C255" s="162" t="str">
        <f>IFERROR(__xludf.DUMMYFUNCTION("""COMPUTED_VALUE"""),"2013-14")</f>
        <v>2013-14</v>
      </c>
      <c r="D255" s="163" t="str">
        <f>IFERROR(__xludf.DUMMYFUNCTION("""COMPUTED_VALUE"""),"HOU")</f>
        <v>HOU</v>
      </c>
      <c r="E255" s="164" t="str">
        <f>IFERROR(__xludf.DUMMYFUNCTION("""COMPUTED_VALUE"""),"Primary Ball Handler")</f>
        <v>Primary Ball Handler</v>
      </c>
      <c r="F255" s="164">
        <f>IFERROR(__xludf.DUMMYFUNCTION("""COMPUTED_VALUE"""),1750.7)</f>
        <v>1750.7</v>
      </c>
      <c r="G255" s="163">
        <f>IFERROR(__xludf.DUMMYFUNCTION("""COMPUTED_VALUE"""),56.0)</f>
        <v>56</v>
      </c>
      <c r="H255" s="163" t="str">
        <f>IFERROR(__xludf.DUMMYFUNCTION("""COMPUTED_VALUE"""),"PG")</f>
        <v>PG</v>
      </c>
      <c r="I255" s="163">
        <f>IFERROR(__xludf.DUMMYFUNCTION("""COMPUTED_VALUE"""),25.0)</f>
        <v>25</v>
      </c>
      <c r="J255" s="165">
        <f>IFERROR(__xludf.DUMMYFUNCTION("""COMPUTED_VALUE"""),1.28980391806983)</f>
        <v>1.289803918</v>
      </c>
      <c r="K255" s="165">
        <f>IFERROR(__xludf.DUMMYFUNCTION("""COMPUTED_VALUE"""),1.03782247506455)</f>
        <v>1.037822475</v>
      </c>
      <c r="L255" s="165">
        <f>IFERROR(__xludf.DUMMYFUNCTION("""COMPUTED_VALUE"""),0.251981443005277)</f>
        <v>0.251981443</v>
      </c>
      <c r="M255" s="166">
        <f t="shared" si="2"/>
        <v>4.217848184</v>
      </c>
      <c r="N255" s="167">
        <f t="shared" si="3"/>
        <v>31.2625</v>
      </c>
      <c r="O255" s="163">
        <f t="shared" ref="O255:Q255" si="259">rank(I255,I:I)</f>
        <v>1995</v>
      </c>
      <c r="P255" s="163">
        <f t="shared" si="259"/>
        <v>532</v>
      </c>
      <c r="Q255" s="163">
        <f t="shared" si="259"/>
        <v>486</v>
      </c>
      <c r="R255" s="163">
        <f>IFERROR(__xludf.DUMMYFUNCTION("RANK(M255,filter(M:M,C:C=C255))"),79.0)</f>
        <v>79</v>
      </c>
      <c r="S255" s="161" t="b">
        <f t="shared" si="5"/>
        <v>0</v>
      </c>
      <c r="T255" s="161" t="b">
        <f t="array" ref="T255">index('Query Tool'!B:B,match(H255,'Query Tool'!C:C,0))</f>
        <v>1</v>
      </c>
      <c r="U255" s="161" t="b">
        <f t="array" ref="U255">index('Query Tool'!B:B,match(C255,'Query Tool'!C:C,0))</f>
        <v>0</v>
      </c>
      <c r="V255" s="161" t="b">
        <f>F255&gt;='Query Tool'!C$32</f>
        <v>1</v>
      </c>
      <c r="W255" s="161" t="b">
        <f t="array" ref="W255">index(Dropdowns!B:B,match(I255,Dropdowns!A:A,0))</f>
        <v>1</v>
      </c>
      <c r="X255" s="161" t="b">
        <f t="array" ref="X255">index('Query Tool'!B:B,match(D255,'Query Tool'!C:C,0))</f>
        <v>1</v>
      </c>
      <c r="Y255" s="161" t="str">
        <f t="shared" si="6"/>
        <v>beverpa01,2013-14</v>
      </c>
      <c r="Z255" s="168">
        <f t="array" ref="Z255">iferror(index(I:I,match($A255&amp;","&amp;index('Year Conversion'!$A:$A,match($C255,'Year Conversion'!$B:$B,0)),$Y:$Y,0))-I255,"")</f>
        <v>1</v>
      </c>
      <c r="AA255" s="168">
        <f t="array" ref="AA255">iferror(index(J:J,match($A255&amp;","&amp;index('Year Conversion'!$A:$A,match($C255,'Year Conversion'!$B:$B,0)),$Y:$Y,0))-J255,"")</f>
        <v>-1.660384804</v>
      </c>
      <c r="AB255" s="168">
        <f t="array" ref="AB255">iferror(index(K:K,match($A255&amp;","&amp;index('Year Conversion'!$A:$A,match($C255,'Year Conversion'!$B:$B,0)),$Y:$Y,0))-K255,"")</f>
        <v>-1.104442005</v>
      </c>
      <c r="AC255" s="168" t="str">
        <f t="shared" si="7"/>
        <v>HOU,2013-14</v>
      </c>
    </row>
    <row r="256">
      <c r="A256" s="161" t="str">
        <f>IFERROR(__xludf.DUMMYFUNCTION("""COMPUTED_VALUE"""),"thornma01")</f>
        <v>thornma01</v>
      </c>
      <c r="B256" s="161" t="str">
        <f>IFERROR(__xludf.DUMMYFUNCTION("""COMPUTED_VALUE"""),"Marcus Thornton")</f>
        <v>Marcus Thornton</v>
      </c>
      <c r="C256" s="162" t="str">
        <f>IFERROR(__xludf.DUMMYFUNCTION("""COMPUTED_VALUE"""),"2013-14")</f>
        <v>2013-14</v>
      </c>
      <c r="D256" s="163" t="str">
        <f>IFERROR(__xludf.DUMMYFUNCTION("""COMPUTED_VALUE"""),"TOT")</f>
        <v>TOT</v>
      </c>
      <c r="E256" s="164" t="str">
        <f>IFERROR(__xludf.DUMMYFUNCTION("""COMPUTED_VALUE"""),"Movement Shooter")</f>
        <v>Movement Shooter</v>
      </c>
      <c r="F256" s="164">
        <f>IFERROR(__xludf.DUMMYFUNCTION("""COMPUTED_VALUE"""),1740.67333333333)</f>
        <v>1740.673333</v>
      </c>
      <c r="G256" s="163">
        <f>IFERROR(__xludf.DUMMYFUNCTION("""COMPUTED_VALUE"""),72.0)</f>
        <v>72</v>
      </c>
      <c r="H256" s="163" t="str">
        <f>IFERROR(__xludf.DUMMYFUNCTION("""COMPUTED_VALUE"""),"SG")</f>
        <v>SG</v>
      </c>
      <c r="I256" s="163">
        <f>IFERROR(__xludf.DUMMYFUNCTION("""COMPUTED_VALUE"""),26.0)</f>
        <v>26</v>
      </c>
      <c r="J256" s="165">
        <f>IFERROR(__xludf.DUMMYFUNCTION("""COMPUTED_VALUE"""),-0.577881735600972)</f>
        <v>-0.5778817356</v>
      </c>
      <c r="K256" s="165">
        <f>IFERROR(__xludf.DUMMYFUNCTION("""COMPUTED_VALUE"""),0.658322248829207)</f>
        <v>0.6583222488</v>
      </c>
      <c r="L256" s="165">
        <f>IFERROR(__xludf.DUMMYFUNCTION("""COMPUTED_VALUE"""),-1.23620398443018)</f>
        <v>-1.236203984</v>
      </c>
      <c r="M256" s="166">
        <f t="shared" si="2"/>
        <v>2.005682714</v>
      </c>
      <c r="N256" s="167">
        <f t="shared" si="3"/>
        <v>24.17601852</v>
      </c>
      <c r="O256" s="163">
        <f t="shared" ref="O256:Q256" si="260">rank(I256,I:I)</f>
        <v>1665</v>
      </c>
      <c r="P256" s="163">
        <f t="shared" si="260"/>
        <v>1960</v>
      </c>
      <c r="Q256" s="163">
        <f t="shared" si="260"/>
        <v>673</v>
      </c>
      <c r="R256" s="163">
        <f>IFERROR(__xludf.DUMMYFUNCTION("RANK(M256,filter(M:M,C:C=C256))"),154.0)</f>
        <v>154</v>
      </c>
      <c r="S256" s="161" t="b">
        <f t="shared" si="5"/>
        <v>0</v>
      </c>
      <c r="T256" s="161" t="b">
        <f t="array" ref="T256">index('Query Tool'!B:B,match(H256,'Query Tool'!C:C,0))</f>
        <v>1</v>
      </c>
      <c r="U256" s="161" t="b">
        <f t="array" ref="U256">index('Query Tool'!B:B,match(C256,'Query Tool'!C:C,0))</f>
        <v>0</v>
      </c>
      <c r="V256" s="161" t="b">
        <f>F256&gt;='Query Tool'!C$32</f>
        <v>1</v>
      </c>
      <c r="W256" s="161" t="b">
        <f t="array" ref="W256">index(Dropdowns!B:B,match(I256,Dropdowns!A:A,0))</f>
        <v>1</v>
      </c>
      <c r="X256" s="161" t="b">
        <f t="array" ref="X256">index('Query Tool'!B:B,match(D256,'Query Tool'!C:C,0))</f>
        <v>1</v>
      </c>
      <c r="Y256" s="161" t="str">
        <f t="shared" si="6"/>
        <v>thornma01,2013-14</v>
      </c>
      <c r="Z256" s="168">
        <f t="array" ref="Z256">iferror(index(I:I,match($A256&amp;","&amp;index('Year Conversion'!$A:$A,match($C256,'Year Conversion'!$B:$B,0)),$Y:$Y,0))-I256,"")</f>
        <v>1</v>
      </c>
      <c r="AA256" s="168">
        <f t="array" ref="AA256">iferror(index(J:J,match($A256&amp;","&amp;index('Year Conversion'!$A:$A,match($C256,'Year Conversion'!$B:$B,0)),$Y:$Y,0))-J256,"")</f>
        <v>0.109068182</v>
      </c>
      <c r="AB256" s="168">
        <f t="array" ref="AB256">iferror(index(K:K,match($A256&amp;","&amp;index('Year Conversion'!$A:$A,match($C256,'Year Conversion'!$B:$B,0)),$Y:$Y,0))-K256,"")</f>
        <v>-0.3053915903</v>
      </c>
      <c r="AC256" s="168" t="str">
        <f t="shared" si="7"/>
        <v>TOT,2013-14</v>
      </c>
    </row>
    <row r="257">
      <c r="A257" s="161" t="str">
        <f>IFERROR(__xludf.DUMMYFUNCTION("""COMPUTED_VALUE"""),"budinch01")</f>
        <v>budinch01</v>
      </c>
      <c r="B257" s="161" t="str">
        <f>IFERROR(__xludf.DUMMYFUNCTION("""COMPUTED_VALUE"""),"Chase Budinger")</f>
        <v>Chase Budinger</v>
      </c>
      <c r="C257" s="162" t="str">
        <f>IFERROR(__xludf.DUMMYFUNCTION("""COMPUTED_VALUE"""),"2013-14")</f>
        <v>2013-14</v>
      </c>
      <c r="D257" s="163" t="str">
        <f>IFERROR(__xludf.DUMMYFUNCTION("""COMPUTED_VALUE"""),"MIN")</f>
        <v>MIN</v>
      </c>
      <c r="E257" s="164" t="str">
        <f>IFERROR(__xludf.DUMMYFUNCTION("""COMPUTED_VALUE"""),"Off Screen Shooter")</f>
        <v>Off Screen Shooter</v>
      </c>
      <c r="F257" s="164">
        <f>IFERROR(__xludf.DUMMYFUNCTION("""COMPUTED_VALUE"""),750.786666666667)</f>
        <v>750.7866667</v>
      </c>
      <c r="G257" s="163">
        <f>IFERROR(__xludf.DUMMYFUNCTION("""COMPUTED_VALUE"""),41.0)</f>
        <v>41</v>
      </c>
      <c r="H257" s="163" t="str">
        <f>IFERROR(__xludf.DUMMYFUNCTION("""COMPUTED_VALUE"""),"SF")</f>
        <v>SF</v>
      </c>
      <c r="I257" s="163">
        <f>IFERROR(__xludf.DUMMYFUNCTION("""COMPUTED_VALUE"""),25.0)</f>
        <v>25</v>
      </c>
      <c r="J257" s="165">
        <f>IFERROR(__xludf.DUMMYFUNCTION("""COMPUTED_VALUE"""),-1.93599063342863)</f>
        <v>-1.935990633</v>
      </c>
      <c r="K257" s="165">
        <f>IFERROR(__xludf.DUMMYFUNCTION("""COMPUTED_VALUE"""),-0.317624219501388)</f>
        <v>-0.3176242195</v>
      </c>
      <c r="L257" s="165">
        <f>IFERROR(__xludf.DUMMYFUNCTION("""COMPUTED_VALUE"""),-1.61836641392724)</f>
        <v>-1.618366414</v>
      </c>
      <c r="M257" s="166">
        <f t="shared" si="2"/>
        <v>0.1825878302</v>
      </c>
      <c r="N257" s="167">
        <f t="shared" si="3"/>
        <v>18.31186992</v>
      </c>
      <c r="O257" s="163">
        <f t="shared" ref="O257:Q257" si="261">rank(I257,I:I)</f>
        <v>1995</v>
      </c>
      <c r="P257" s="163">
        <f t="shared" si="261"/>
        <v>3437</v>
      </c>
      <c r="Q257" s="163">
        <f t="shared" si="261"/>
        <v>1790</v>
      </c>
      <c r="R257" s="163">
        <f>IFERROR(__xludf.DUMMYFUNCTION("RANK(M257,filter(M:M,C:C=C257))"),331.0)</f>
        <v>331</v>
      </c>
      <c r="S257" s="161" t="b">
        <f t="shared" si="5"/>
        <v>0</v>
      </c>
      <c r="T257" s="161" t="b">
        <f t="array" ref="T257">index('Query Tool'!B:B,match(H257,'Query Tool'!C:C,0))</f>
        <v>1</v>
      </c>
      <c r="U257" s="161" t="b">
        <f t="array" ref="U257">index('Query Tool'!B:B,match(C257,'Query Tool'!C:C,0))</f>
        <v>0</v>
      </c>
      <c r="V257" s="161" t="b">
        <f>F257&gt;='Query Tool'!C$32</f>
        <v>1</v>
      </c>
      <c r="W257" s="161" t="b">
        <f t="array" ref="W257">index(Dropdowns!B:B,match(I257,Dropdowns!A:A,0))</f>
        <v>1</v>
      </c>
      <c r="X257" s="161" t="b">
        <f t="array" ref="X257">index('Query Tool'!B:B,match(D257,'Query Tool'!C:C,0))</f>
        <v>1</v>
      </c>
      <c r="Y257" s="161" t="str">
        <f t="shared" si="6"/>
        <v>budinch01,2013-14</v>
      </c>
      <c r="Z257" s="168">
        <f t="array" ref="Z257">iferror(index(I:I,match($A257&amp;","&amp;index('Year Conversion'!$A:$A,match($C257,'Year Conversion'!$B:$B,0)),$Y:$Y,0))-I257,"")</f>
        <v>1</v>
      </c>
      <c r="AA257" s="168">
        <f t="array" ref="AA257">iferror(index(J:J,match($A257&amp;","&amp;index('Year Conversion'!$A:$A,match($C257,'Year Conversion'!$B:$B,0)),$Y:$Y,0))-J257,"")</f>
        <v>0.1893632347</v>
      </c>
      <c r="AB257" s="168">
        <f t="array" ref="AB257">iferror(index(K:K,match($A257&amp;","&amp;index('Year Conversion'!$A:$A,match($C257,'Year Conversion'!$B:$B,0)),$Y:$Y,0))-K257,"")</f>
        <v>-0.3368765835</v>
      </c>
      <c r="AC257" s="168" t="str">
        <f t="shared" si="7"/>
        <v>MIN,2013-14</v>
      </c>
    </row>
    <row r="258">
      <c r="A258" s="161" t="str">
        <f>IFERROR(__xludf.DUMMYFUNCTION("""COMPUTED_VALUE"""),"calatni01")</f>
        <v>calatni01</v>
      </c>
      <c r="B258" s="161" t="str">
        <f>IFERROR(__xludf.DUMMYFUNCTION("""COMPUTED_VALUE"""),"Nick Calathes")</f>
        <v>Nick Calathes</v>
      </c>
      <c r="C258" s="162" t="str">
        <f>IFERROR(__xludf.DUMMYFUNCTION("""COMPUTED_VALUE"""),"2013-14")</f>
        <v>2013-14</v>
      </c>
      <c r="D258" s="163" t="str">
        <f>IFERROR(__xludf.DUMMYFUNCTION("""COMPUTED_VALUE"""),"MEM")</f>
        <v>MEM</v>
      </c>
      <c r="E258" s="164" t="str">
        <f>IFERROR(__xludf.DUMMYFUNCTION("""COMPUTED_VALUE"""),"Slasher")</f>
        <v>Slasher</v>
      </c>
      <c r="F258" s="164">
        <f>IFERROR(__xludf.DUMMYFUNCTION("""COMPUTED_VALUE"""),1172.575)</f>
        <v>1172.575</v>
      </c>
      <c r="G258" s="163">
        <f>IFERROR(__xludf.DUMMYFUNCTION("""COMPUTED_VALUE"""),71.0)</f>
        <v>71</v>
      </c>
      <c r="H258" s="163" t="str">
        <f>IFERROR(__xludf.DUMMYFUNCTION("""COMPUTED_VALUE"""),"SG")</f>
        <v>SG</v>
      </c>
      <c r="I258" s="163">
        <f>IFERROR(__xludf.DUMMYFUNCTION("""COMPUTED_VALUE"""),24.0)</f>
        <v>24</v>
      </c>
      <c r="J258" s="165">
        <f>IFERROR(__xludf.DUMMYFUNCTION("""COMPUTED_VALUE"""),-0.194576288612057)</f>
        <v>-0.1945762886</v>
      </c>
      <c r="K258" s="165">
        <f>IFERROR(__xludf.DUMMYFUNCTION("""COMPUTED_VALUE"""),-1.24105304596208)</f>
        <v>-1.241053046</v>
      </c>
      <c r="L258" s="165">
        <f>IFERROR(__xludf.DUMMYFUNCTION("""COMPUTED_VALUE"""),1.04647675735003)</f>
        <v>1.046476757</v>
      </c>
      <c r="M258" s="166">
        <f t="shared" si="2"/>
        <v>1.653907907</v>
      </c>
      <c r="N258" s="167">
        <f t="shared" si="3"/>
        <v>16.51514085</v>
      </c>
      <c r="O258" s="163">
        <f t="shared" ref="O258:Q258" si="262">rank(I258,I:I)</f>
        <v>2361</v>
      </c>
      <c r="P258" s="163">
        <f t="shared" si="262"/>
        <v>1504</v>
      </c>
      <c r="Q258" s="163">
        <f t="shared" si="262"/>
        <v>3073</v>
      </c>
      <c r="R258" s="163">
        <f>IFERROR(__xludf.DUMMYFUNCTION("RANK(M258,filter(M:M,C:C=C258))"),175.0)</f>
        <v>175</v>
      </c>
      <c r="S258" s="161" t="b">
        <f t="shared" si="5"/>
        <v>0</v>
      </c>
      <c r="T258" s="161" t="b">
        <f t="array" ref="T258">index('Query Tool'!B:B,match(H258,'Query Tool'!C:C,0))</f>
        <v>1</v>
      </c>
      <c r="U258" s="161" t="b">
        <f t="array" ref="U258">index('Query Tool'!B:B,match(C258,'Query Tool'!C:C,0))</f>
        <v>0</v>
      </c>
      <c r="V258" s="161" t="b">
        <f>F258&gt;='Query Tool'!C$32</f>
        <v>1</v>
      </c>
      <c r="W258" s="161" t="b">
        <f t="array" ref="W258">index(Dropdowns!B:B,match(I258,Dropdowns!A:A,0))</f>
        <v>1</v>
      </c>
      <c r="X258" s="161" t="b">
        <f t="array" ref="X258">index('Query Tool'!B:B,match(D258,'Query Tool'!C:C,0))</f>
        <v>1</v>
      </c>
      <c r="Y258" s="161" t="str">
        <f t="shared" si="6"/>
        <v>calatni01,2013-14</v>
      </c>
      <c r="Z258" s="168">
        <f t="array" ref="Z258">iferror(index(I:I,match($A258&amp;","&amp;index('Year Conversion'!$A:$A,match($C258,'Year Conversion'!$B:$B,0)),$Y:$Y,0))-I258,"")</f>
        <v>1</v>
      </c>
      <c r="AA258" s="168">
        <f t="array" ref="AA258">iferror(index(J:J,match($A258&amp;","&amp;index('Year Conversion'!$A:$A,match($C258,'Year Conversion'!$B:$B,0)),$Y:$Y,0))-J258,"")</f>
        <v>1.166919522</v>
      </c>
      <c r="AB258" s="168">
        <f t="array" ref="AB258">iferror(index(K:K,match($A258&amp;","&amp;index('Year Conversion'!$A:$A,match($C258,'Year Conversion'!$B:$B,0)),$Y:$Y,0))-K258,"")</f>
        <v>0.6829192844</v>
      </c>
      <c r="AC258" s="168" t="str">
        <f t="shared" si="7"/>
        <v>MEM,2013-14</v>
      </c>
    </row>
    <row r="259">
      <c r="A259" s="161" t="str">
        <f>IFERROR(__xludf.DUMMYFUNCTION("""COMPUTED_VALUE"""),"greenda02")</f>
        <v>greenda02</v>
      </c>
      <c r="B259" s="161" t="str">
        <f>IFERROR(__xludf.DUMMYFUNCTION("""COMPUTED_VALUE"""),"Danny Green")</f>
        <v>Danny Green</v>
      </c>
      <c r="C259" s="162" t="str">
        <f>IFERROR(__xludf.DUMMYFUNCTION("""COMPUTED_VALUE"""),"2013-14")</f>
        <v>2013-14</v>
      </c>
      <c r="D259" s="163" t="str">
        <f>IFERROR(__xludf.DUMMYFUNCTION("""COMPUTED_VALUE"""),"SAS")</f>
        <v>SAS</v>
      </c>
      <c r="E259" s="164" t="str">
        <f>IFERROR(__xludf.DUMMYFUNCTION("""COMPUTED_VALUE"""),"Movement Shooter")</f>
        <v>Movement Shooter</v>
      </c>
      <c r="F259" s="164">
        <f>IFERROR(__xludf.DUMMYFUNCTION("""COMPUTED_VALUE"""),1651.1)</f>
        <v>1651.1</v>
      </c>
      <c r="G259" s="163">
        <f>IFERROR(__xludf.DUMMYFUNCTION("""COMPUTED_VALUE"""),68.0)</f>
        <v>68</v>
      </c>
      <c r="H259" s="163" t="str">
        <f>IFERROR(__xludf.DUMMYFUNCTION("""COMPUTED_VALUE"""),"SG")</f>
        <v>SG</v>
      </c>
      <c r="I259" s="163">
        <f>IFERROR(__xludf.DUMMYFUNCTION("""COMPUTED_VALUE"""),26.0)</f>
        <v>26</v>
      </c>
      <c r="J259" s="165">
        <f>IFERROR(__xludf.DUMMYFUNCTION("""COMPUTED_VALUE"""),2.18537885047635)</f>
        <v>2.18537885</v>
      </c>
      <c r="K259" s="165">
        <f>IFERROR(__xludf.DUMMYFUNCTION("""COMPUTED_VALUE"""),-0.12831717806463)</f>
        <v>-0.1283171781</v>
      </c>
      <c r="L259" s="165">
        <f>IFERROR(__xludf.DUMMYFUNCTION("""COMPUTED_VALUE"""),2.31369602854098)</f>
        <v>2.313696029</v>
      </c>
      <c r="M259" s="166">
        <f t="shared" si="2"/>
        <v>4.962098313</v>
      </c>
      <c r="N259" s="167">
        <f t="shared" si="3"/>
        <v>24.28088235</v>
      </c>
      <c r="O259" s="163">
        <f t="shared" ref="O259:Q259" si="263">rank(I259,I:I)</f>
        <v>1665</v>
      </c>
      <c r="P259" s="163">
        <f t="shared" si="263"/>
        <v>275</v>
      </c>
      <c r="Q259" s="163">
        <f t="shared" si="263"/>
        <v>1432</v>
      </c>
      <c r="R259" s="163">
        <f>IFERROR(__xludf.DUMMYFUNCTION("RANK(M259,filter(M:M,C:C=C259))"),67.0)</f>
        <v>67</v>
      </c>
      <c r="S259" s="161" t="b">
        <f t="shared" si="5"/>
        <v>0</v>
      </c>
      <c r="T259" s="161" t="b">
        <f t="array" ref="T259">index('Query Tool'!B:B,match(H259,'Query Tool'!C:C,0))</f>
        <v>1</v>
      </c>
      <c r="U259" s="161" t="b">
        <f t="array" ref="U259">index('Query Tool'!B:B,match(C259,'Query Tool'!C:C,0))</f>
        <v>0</v>
      </c>
      <c r="V259" s="161" t="b">
        <f>F259&gt;='Query Tool'!C$32</f>
        <v>1</v>
      </c>
      <c r="W259" s="161" t="b">
        <f t="array" ref="W259">index(Dropdowns!B:B,match(I259,Dropdowns!A:A,0))</f>
        <v>1</v>
      </c>
      <c r="X259" s="161" t="b">
        <f t="array" ref="X259">index('Query Tool'!B:B,match(D259,'Query Tool'!C:C,0))</f>
        <v>1</v>
      </c>
      <c r="Y259" s="161" t="str">
        <f t="shared" si="6"/>
        <v>greenda02,2013-14</v>
      </c>
      <c r="Z259" s="168">
        <f t="array" ref="Z259">iferror(index(I:I,match($A259&amp;","&amp;index('Year Conversion'!$A:$A,match($C259,'Year Conversion'!$B:$B,0)),$Y:$Y,0))-I259,"")</f>
        <v>1</v>
      </c>
      <c r="AA259" s="168">
        <f t="array" ref="AA259">iferror(index(J:J,match($A259&amp;","&amp;index('Year Conversion'!$A:$A,match($C259,'Year Conversion'!$B:$B,0)),$Y:$Y,0))-J259,"")</f>
        <v>1.245119968</v>
      </c>
      <c r="AB259" s="168">
        <f t="array" ref="AB259">iferror(index(K:K,match($A259&amp;","&amp;index('Year Conversion'!$A:$A,match($C259,'Year Conversion'!$B:$B,0)),$Y:$Y,0))-K259,"")</f>
        <v>1.766535249</v>
      </c>
      <c r="AC259" s="168" t="str">
        <f t="shared" si="7"/>
        <v>SAS,2013-14</v>
      </c>
    </row>
    <row r="260">
      <c r="A260" s="161" t="str">
        <f>IFERROR(__xludf.DUMMYFUNCTION("""COMPUTED_VALUE"""),"priceaj01")</f>
        <v>priceaj01</v>
      </c>
      <c r="B260" s="161" t="str">
        <f>IFERROR(__xludf.DUMMYFUNCTION("""COMPUTED_VALUE"""),"AJ Price")</f>
        <v>AJ Price</v>
      </c>
      <c r="C260" s="162" t="str">
        <f>IFERROR(__xludf.DUMMYFUNCTION("""COMPUTED_VALUE"""),"2013-14")</f>
        <v>2013-14</v>
      </c>
      <c r="D260" s="163" t="str">
        <f>IFERROR(__xludf.DUMMYFUNCTION("""COMPUTED_VALUE"""),"MIN")</f>
        <v>MIN</v>
      </c>
      <c r="E260" s="164" t="str">
        <f>IFERROR(__xludf.DUMMYFUNCTION("""COMPUTED_VALUE"""),"Secondary Ball Handler")</f>
        <v>Secondary Ball Handler</v>
      </c>
      <c r="F260" s="164">
        <f>IFERROR(__xludf.DUMMYFUNCTION("""COMPUTED_VALUE"""),99.3683333333333)</f>
        <v>99.36833333</v>
      </c>
      <c r="G260" s="163">
        <f>IFERROR(__xludf.DUMMYFUNCTION("""COMPUTED_VALUE"""),28.0)</f>
        <v>28</v>
      </c>
      <c r="H260" s="163" t="str">
        <f>IFERROR(__xludf.DUMMYFUNCTION("""COMPUTED_VALUE"""),"SG")</f>
        <v>SG</v>
      </c>
      <c r="I260" s="163">
        <f>IFERROR(__xludf.DUMMYFUNCTION("""COMPUTED_VALUE"""),27.0)</f>
        <v>27</v>
      </c>
      <c r="J260" s="165">
        <f>IFERROR(__xludf.DUMMYFUNCTION("""COMPUTED_VALUE"""),-1.15813812950629)</f>
        <v>-1.15813813</v>
      </c>
      <c r="K260" s="165">
        <f>IFERROR(__xludf.DUMMYFUNCTION("""COMPUTED_VALUE"""),-0.466269714763616)</f>
        <v>-0.4662697148</v>
      </c>
      <c r="L260" s="165">
        <f>IFERROR(__xludf.DUMMYFUNCTION("""COMPUTED_VALUE"""),-0.691868414742672)</f>
        <v>-0.6918684147</v>
      </c>
      <c r="M260" s="166">
        <f t="shared" si="2"/>
        <v>0.07574980783</v>
      </c>
      <c r="N260" s="167">
        <f t="shared" si="3"/>
        <v>3.548869048</v>
      </c>
      <c r="O260" s="163">
        <f t="shared" ref="O260:Q260" si="264">rank(I260,I:I)</f>
        <v>1366</v>
      </c>
      <c r="P260" s="163">
        <f t="shared" si="264"/>
        <v>2691</v>
      </c>
      <c r="Q260" s="163">
        <f t="shared" si="264"/>
        <v>2058</v>
      </c>
      <c r="R260" s="163">
        <f>IFERROR(__xludf.DUMMYFUNCTION("RANK(M260,filter(M:M,C:C=C260))"),369.0)</f>
        <v>369</v>
      </c>
      <c r="S260" s="161" t="b">
        <f t="shared" si="5"/>
        <v>0</v>
      </c>
      <c r="T260" s="161" t="b">
        <f t="array" ref="T260">index('Query Tool'!B:B,match(H260,'Query Tool'!C:C,0))</f>
        <v>1</v>
      </c>
      <c r="U260" s="161" t="b">
        <f t="array" ref="U260">index('Query Tool'!B:B,match(C260,'Query Tool'!C:C,0))</f>
        <v>0</v>
      </c>
      <c r="V260" s="161" t="b">
        <f>F260&gt;='Query Tool'!C$32</f>
        <v>0</v>
      </c>
      <c r="W260" s="161" t="b">
        <f t="array" ref="W260">index(Dropdowns!B:B,match(I260,Dropdowns!A:A,0))</f>
        <v>1</v>
      </c>
      <c r="X260" s="161" t="b">
        <f t="array" ref="X260">index('Query Tool'!B:B,match(D260,'Query Tool'!C:C,0))</f>
        <v>1</v>
      </c>
      <c r="Y260" s="161" t="str">
        <f t="shared" si="6"/>
        <v>priceaj01,2013-14</v>
      </c>
      <c r="Z260" s="168">
        <f t="array" ref="Z260">iferror(index(I:I,match($A260&amp;","&amp;index('Year Conversion'!$A:$A,match($C260,'Year Conversion'!$B:$B,0)),$Y:$Y,0))-I260,"")</f>
        <v>1</v>
      </c>
      <c r="AA260" s="168">
        <f t="array" ref="AA260">iferror(index(J:J,match($A260&amp;","&amp;index('Year Conversion'!$A:$A,match($C260,'Year Conversion'!$B:$B,0)),$Y:$Y,0))-J260,"")</f>
        <v>0.4985308613</v>
      </c>
      <c r="AB260" s="168">
        <f t="array" ref="AB260">iferror(index(K:K,match($A260&amp;","&amp;index('Year Conversion'!$A:$A,match($C260,'Year Conversion'!$B:$B,0)),$Y:$Y,0))-K260,"")</f>
        <v>0.75348331</v>
      </c>
      <c r="AC260" s="168" t="str">
        <f t="shared" si="7"/>
        <v>MIN,2013-14</v>
      </c>
    </row>
    <row r="261">
      <c r="A261" s="161" t="str">
        <f>IFERROR(__xludf.DUMMYFUNCTION("""COMPUTED_VALUE"""),"decolna01")</f>
        <v>decolna01</v>
      </c>
      <c r="B261" s="161" t="str">
        <f>IFERROR(__xludf.DUMMYFUNCTION("""COMPUTED_VALUE"""),"Nando De Colo")</f>
        <v>Nando De Colo</v>
      </c>
      <c r="C261" s="162" t="str">
        <f>IFERROR(__xludf.DUMMYFUNCTION("""COMPUTED_VALUE"""),"2013-14")</f>
        <v>2013-14</v>
      </c>
      <c r="D261" s="163" t="str">
        <f>IFERROR(__xludf.DUMMYFUNCTION("""COMPUTED_VALUE"""),"TOT")</f>
        <v>TOT</v>
      </c>
      <c r="E261" s="164" t="str">
        <f>IFERROR(__xludf.DUMMYFUNCTION("""COMPUTED_VALUE"""),"Movement Shooter")</f>
        <v>Movement Shooter</v>
      </c>
      <c r="F261" s="164">
        <f>IFERROR(__xludf.DUMMYFUNCTION("""COMPUTED_VALUE"""),494.37)</f>
        <v>494.37</v>
      </c>
      <c r="G261" s="163">
        <f>IFERROR(__xludf.DUMMYFUNCTION("""COMPUTED_VALUE"""),47.0)</f>
        <v>47</v>
      </c>
      <c r="H261" s="163" t="str">
        <f>IFERROR(__xludf.DUMMYFUNCTION("""COMPUTED_VALUE"""),"SF")</f>
        <v>SF</v>
      </c>
      <c r="I261" s="163">
        <f>IFERROR(__xludf.DUMMYFUNCTION("""COMPUTED_VALUE"""),26.0)</f>
        <v>26</v>
      </c>
      <c r="J261" s="165">
        <f>IFERROR(__xludf.DUMMYFUNCTION("""COMPUTED_VALUE"""),-0.809582034398856)</f>
        <v>-0.8095820344</v>
      </c>
      <c r="K261" s="165">
        <f>IFERROR(__xludf.DUMMYFUNCTION("""COMPUTED_VALUE"""),0.0105409740330318)</f>
        <v>0.01054097403</v>
      </c>
      <c r="L261" s="165">
        <f>IFERROR(__xludf.DUMMYFUNCTION("""COMPUTED_VALUE"""),-0.820123008431888)</f>
        <v>-0.8201230084</v>
      </c>
      <c r="M261" s="166">
        <f t="shared" si="2"/>
        <v>0.4925661057</v>
      </c>
      <c r="N261" s="167">
        <f t="shared" si="3"/>
        <v>10.51851064</v>
      </c>
      <c r="O261" s="163">
        <f t="shared" ref="O261:Q261" si="265">rank(I261,I:I)</f>
        <v>1665</v>
      </c>
      <c r="P261" s="163">
        <f t="shared" si="265"/>
        <v>2292</v>
      </c>
      <c r="Q261" s="163">
        <f t="shared" si="265"/>
        <v>1187</v>
      </c>
      <c r="R261" s="163">
        <f>IFERROR(__xludf.DUMMYFUNCTION("RANK(M261,filter(M:M,C:C=C261))"),273.0)</f>
        <v>273</v>
      </c>
      <c r="S261" s="161" t="b">
        <f t="shared" si="5"/>
        <v>0</v>
      </c>
      <c r="T261" s="161" t="b">
        <f t="array" ref="T261">index('Query Tool'!B:B,match(H261,'Query Tool'!C:C,0))</f>
        <v>1</v>
      </c>
      <c r="U261" s="161" t="b">
        <f t="array" ref="U261">index('Query Tool'!B:B,match(C261,'Query Tool'!C:C,0))</f>
        <v>0</v>
      </c>
      <c r="V261" s="161" t="b">
        <f>F261&gt;='Query Tool'!C$32</f>
        <v>0</v>
      </c>
      <c r="W261" s="161" t="b">
        <f t="array" ref="W261">index(Dropdowns!B:B,match(I261,Dropdowns!A:A,0))</f>
        <v>1</v>
      </c>
      <c r="X261" s="161" t="b">
        <f t="array" ref="X261">index('Query Tool'!B:B,match(D261,'Query Tool'!C:C,0))</f>
        <v>1</v>
      </c>
      <c r="Y261" s="161" t="str">
        <f t="shared" si="6"/>
        <v>decolna01,2013-14</v>
      </c>
      <c r="Z261" s="168" t="str">
        <f t="array" ref="Z261">iferror(index(I:I,match($A261&amp;","&amp;index('Year Conversion'!$A:$A,match($C261,'Year Conversion'!$B:$B,0)),$Y:$Y,0))-I261,"")</f>
        <v/>
      </c>
      <c r="AA261" s="168" t="str">
        <f t="array" ref="AA261">iferror(index(J:J,match($A261&amp;","&amp;index('Year Conversion'!$A:$A,match($C261,'Year Conversion'!$B:$B,0)),$Y:$Y,0))-J261,"")</f>
        <v/>
      </c>
      <c r="AB261" s="168" t="str">
        <f t="array" ref="AB261">iferror(index(K:K,match($A261&amp;","&amp;index('Year Conversion'!$A:$A,match($C261,'Year Conversion'!$B:$B,0)),$Y:$Y,0))-K261,"")</f>
        <v/>
      </c>
      <c r="AC261" s="168" t="str">
        <f t="shared" si="7"/>
        <v>TOT,2013-14</v>
      </c>
    </row>
    <row r="262">
      <c r="A262" s="161" t="str">
        <f>IFERROR(__xludf.DUMMYFUNCTION("""COMPUTED_VALUE"""),"millspa02")</f>
        <v>millspa02</v>
      </c>
      <c r="B262" s="161" t="str">
        <f>IFERROR(__xludf.DUMMYFUNCTION("""COMPUTED_VALUE"""),"Patty Mills")</f>
        <v>Patty Mills</v>
      </c>
      <c r="C262" s="162" t="str">
        <f>IFERROR(__xludf.DUMMYFUNCTION("""COMPUTED_VALUE"""),"2013-14")</f>
        <v>2013-14</v>
      </c>
      <c r="D262" s="163" t="str">
        <f>IFERROR(__xludf.DUMMYFUNCTION("""COMPUTED_VALUE"""),"SAS")</f>
        <v>SAS</v>
      </c>
      <c r="E262" s="164" t="str">
        <f>IFERROR(__xludf.DUMMYFUNCTION("""COMPUTED_VALUE"""),"Primary Ball Handler")</f>
        <v>Primary Ball Handler</v>
      </c>
      <c r="F262" s="164">
        <f>IFERROR(__xludf.DUMMYFUNCTION("""COMPUTED_VALUE"""),1527.46333333333)</f>
        <v>1527.463333</v>
      </c>
      <c r="G262" s="163">
        <f>IFERROR(__xludf.DUMMYFUNCTION("""COMPUTED_VALUE"""),81.0)</f>
        <v>81</v>
      </c>
      <c r="H262" s="163" t="str">
        <f>IFERROR(__xludf.DUMMYFUNCTION("""COMPUTED_VALUE"""),"PG")</f>
        <v>PG</v>
      </c>
      <c r="I262" s="163">
        <f>IFERROR(__xludf.DUMMYFUNCTION("""COMPUTED_VALUE"""),25.0)</f>
        <v>25</v>
      </c>
      <c r="J262" s="165">
        <f>IFERROR(__xludf.DUMMYFUNCTION("""COMPUTED_VALUE"""),2.04829278281376)</f>
        <v>2.048292783</v>
      </c>
      <c r="K262" s="165">
        <f>IFERROR(__xludf.DUMMYFUNCTION("""COMPUTED_VALUE"""),2.10031811027121)</f>
        <v>2.10031811</v>
      </c>
      <c r="L262" s="165">
        <f>IFERROR(__xludf.DUMMYFUNCTION("""COMPUTED_VALUE"""),-0.0520253274574511)</f>
        <v>-0.05202532746</v>
      </c>
      <c r="M262" s="166">
        <f t="shared" si="2"/>
        <v>4.451963009</v>
      </c>
      <c r="N262" s="167">
        <f t="shared" si="3"/>
        <v>18.85757202</v>
      </c>
      <c r="O262" s="163">
        <f t="shared" ref="O262:Q262" si="266">rank(I262,I:I)</f>
        <v>1995</v>
      </c>
      <c r="P262" s="163">
        <f t="shared" si="266"/>
        <v>306</v>
      </c>
      <c r="Q262" s="163">
        <f t="shared" si="266"/>
        <v>216</v>
      </c>
      <c r="R262" s="163">
        <f>IFERROR(__xludf.DUMMYFUNCTION("RANK(M262,filter(M:M,C:C=C262))"),73.0)</f>
        <v>73</v>
      </c>
      <c r="S262" s="161" t="b">
        <f t="shared" si="5"/>
        <v>0</v>
      </c>
      <c r="T262" s="161" t="b">
        <f t="array" ref="T262">index('Query Tool'!B:B,match(H262,'Query Tool'!C:C,0))</f>
        <v>1</v>
      </c>
      <c r="U262" s="161" t="b">
        <f t="array" ref="U262">index('Query Tool'!B:B,match(C262,'Query Tool'!C:C,0))</f>
        <v>0</v>
      </c>
      <c r="V262" s="161" t="b">
        <f>F262&gt;='Query Tool'!C$32</f>
        <v>1</v>
      </c>
      <c r="W262" s="161" t="b">
        <f t="array" ref="W262">index(Dropdowns!B:B,match(I262,Dropdowns!A:A,0))</f>
        <v>1</v>
      </c>
      <c r="X262" s="161" t="b">
        <f t="array" ref="X262">index('Query Tool'!B:B,match(D262,'Query Tool'!C:C,0))</f>
        <v>1</v>
      </c>
      <c r="Y262" s="161" t="str">
        <f t="shared" si="6"/>
        <v>millspa02,2013-14</v>
      </c>
      <c r="Z262" s="168">
        <f t="array" ref="Z262">iferror(index(I:I,match($A262&amp;","&amp;index('Year Conversion'!$A:$A,match($C262,'Year Conversion'!$B:$B,0)),$Y:$Y,0))-I262,"")</f>
        <v>1</v>
      </c>
      <c r="AA262" s="168">
        <f t="array" ref="AA262">iferror(index(J:J,match($A262&amp;","&amp;index('Year Conversion'!$A:$A,match($C262,'Year Conversion'!$B:$B,0)),$Y:$Y,0))-J262,"")</f>
        <v>-0.93771175</v>
      </c>
      <c r="AB262" s="168">
        <f t="array" ref="AB262">iferror(index(K:K,match($A262&amp;","&amp;index('Year Conversion'!$A:$A,match($C262,'Year Conversion'!$B:$B,0)),$Y:$Y,0))-K262,"")</f>
        <v>-0.7388810427</v>
      </c>
      <c r="AC262" s="168" t="str">
        <f t="shared" si="7"/>
        <v>SAS,2013-14</v>
      </c>
    </row>
    <row r="263">
      <c r="A263" s="161" t="str">
        <f>IFERROR(__xludf.DUMMYFUNCTION("""COMPUTED_VALUE"""),"templga01")</f>
        <v>templga01</v>
      </c>
      <c r="B263" s="161" t="str">
        <f>IFERROR(__xludf.DUMMYFUNCTION("""COMPUTED_VALUE"""),"Garrett Temple")</f>
        <v>Garrett Temple</v>
      </c>
      <c r="C263" s="162" t="str">
        <f>IFERROR(__xludf.DUMMYFUNCTION("""COMPUTED_VALUE"""),"2013-14")</f>
        <v>2013-14</v>
      </c>
      <c r="D263" s="163" t="str">
        <f>IFERROR(__xludf.DUMMYFUNCTION("""COMPUTED_VALUE"""),"WAS")</f>
        <v>WAS</v>
      </c>
      <c r="E263" s="164" t="str">
        <f>IFERROR(__xludf.DUMMYFUNCTION("""COMPUTED_VALUE"""),"Secondary Ball Handler")</f>
        <v>Secondary Ball Handler</v>
      </c>
      <c r="F263" s="164">
        <f>IFERROR(__xludf.DUMMYFUNCTION("""COMPUTED_VALUE"""),638.075)</f>
        <v>638.075</v>
      </c>
      <c r="G263" s="163">
        <f>IFERROR(__xludf.DUMMYFUNCTION("""COMPUTED_VALUE"""),75.0)</f>
        <v>75</v>
      </c>
      <c r="H263" s="163" t="str">
        <f>IFERROR(__xludf.DUMMYFUNCTION("""COMPUTED_VALUE"""),"SG")</f>
        <v>SG</v>
      </c>
      <c r="I263" s="163">
        <f>IFERROR(__xludf.DUMMYFUNCTION("""COMPUTED_VALUE"""),27.0)</f>
        <v>27</v>
      </c>
      <c r="J263" s="165">
        <f>IFERROR(__xludf.DUMMYFUNCTION("""COMPUTED_VALUE"""),-2.17389704635538)</f>
        <v>-2.173897046</v>
      </c>
      <c r="K263" s="165">
        <f>IFERROR(__xludf.DUMMYFUNCTION("""COMPUTED_VALUE"""),-2.26982911283936)</f>
        <v>-2.269829113</v>
      </c>
      <c r="L263" s="165">
        <f>IFERROR(__xludf.DUMMYFUNCTION("""COMPUTED_VALUE"""),0.0959320664839811)</f>
        <v>0.09593206648</v>
      </c>
      <c r="M263" s="166">
        <f t="shared" si="2"/>
        <v>0.05461553285</v>
      </c>
      <c r="N263" s="167">
        <f t="shared" si="3"/>
        <v>8.507666667</v>
      </c>
      <c r="O263" s="163">
        <f t="shared" ref="O263:Q263" si="267">rank(I263,I:I)</f>
        <v>1366</v>
      </c>
      <c r="P263" s="163">
        <f t="shared" si="267"/>
        <v>3596</v>
      </c>
      <c r="Q263" s="163">
        <f t="shared" si="267"/>
        <v>3825</v>
      </c>
      <c r="R263" s="163">
        <f>IFERROR(__xludf.DUMMYFUNCTION("RANK(M263,filter(M:M,C:C=C263))"),386.0)</f>
        <v>386</v>
      </c>
      <c r="S263" s="161" t="b">
        <f t="shared" si="5"/>
        <v>0</v>
      </c>
      <c r="T263" s="161" t="b">
        <f t="array" ref="T263">index('Query Tool'!B:B,match(H263,'Query Tool'!C:C,0))</f>
        <v>1</v>
      </c>
      <c r="U263" s="161" t="b">
        <f t="array" ref="U263">index('Query Tool'!B:B,match(C263,'Query Tool'!C:C,0))</f>
        <v>0</v>
      </c>
      <c r="V263" s="161" t="b">
        <f>F263&gt;='Query Tool'!C$32</f>
        <v>1</v>
      </c>
      <c r="W263" s="161" t="b">
        <f t="array" ref="W263">index(Dropdowns!B:B,match(I263,Dropdowns!A:A,0))</f>
        <v>1</v>
      </c>
      <c r="X263" s="161" t="b">
        <f t="array" ref="X263">index('Query Tool'!B:B,match(D263,'Query Tool'!C:C,0))</f>
        <v>1</v>
      </c>
      <c r="Y263" s="161" t="str">
        <f t="shared" si="6"/>
        <v>templga01,2013-14</v>
      </c>
      <c r="Z263" s="168">
        <f t="array" ref="Z263">iferror(index(I:I,match($A263&amp;","&amp;index('Year Conversion'!$A:$A,match($C263,'Year Conversion'!$B:$B,0)),$Y:$Y,0))-I263,"")</f>
        <v>1</v>
      </c>
      <c r="AA263" s="168">
        <f t="array" ref="AA263">iferror(index(J:J,match($A263&amp;","&amp;index('Year Conversion'!$A:$A,match($C263,'Year Conversion'!$B:$B,0)),$Y:$Y,0))-J263,"")</f>
        <v>1.444618091</v>
      </c>
      <c r="AB263" s="168">
        <f t="array" ref="AB263">iferror(index(K:K,match($A263&amp;","&amp;index('Year Conversion'!$A:$A,match($C263,'Year Conversion'!$B:$B,0)),$Y:$Y,0))-K263,"")</f>
        <v>0.2084685948</v>
      </c>
      <c r="AC263" s="168" t="str">
        <f t="shared" si="7"/>
        <v>WAS,2013-14</v>
      </c>
    </row>
    <row r="264">
      <c r="A264" s="161" t="str">
        <f>IFERROR(__xludf.DUMMYFUNCTION("""COMPUTED_VALUE"""),"matthwe02")</f>
        <v>matthwe02</v>
      </c>
      <c r="B264" s="161" t="str">
        <f>IFERROR(__xludf.DUMMYFUNCTION("""COMPUTED_VALUE"""),"Wesley Matthews")</f>
        <v>Wesley Matthews</v>
      </c>
      <c r="C264" s="162" t="str">
        <f>IFERROR(__xludf.DUMMYFUNCTION("""COMPUTED_VALUE"""),"2013-14")</f>
        <v>2013-14</v>
      </c>
      <c r="D264" s="163" t="str">
        <f>IFERROR(__xludf.DUMMYFUNCTION("""COMPUTED_VALUE"""),"POR")</f>
        <v>POR</v>
      </c>
      <c r="E264" s="164" t="str">
        <f>IFERROR(__xludf.DUMMYFUNCTION("""COMPUTED_VALUE"""),"Shot Creator")</f>
        <v>Shot Creator</v>
      </c>
      <c r="F264" s="164">
        <f>IFERROR(__xludf.DUMMYFUNCTION("""COMPUTED_VALUE"""),2780.26)</f>
        <v>2780.26</v>
      </c>
      <c r="G264" s="163">
        <f>IFERROR(__xludf.DUMMYFUNCTION("""COMPUTED_VALUE"""),82.0)</f>
        <v>82</v>
      </c>
      <c r="H264" s="163" t="str">
        <f>IFERROR(__xludf.DUMMYFUNCTION("""COMPUTED_VALUE"""),"SG")</f>
        <v>SG</v>
      </c>
      <c r="I264" s="163">
        <f>IFERROR(__xludf.DUMMYFUNCTION("""COMPUTED_VALUE"""),27.0)</f>
        <v>27</v>
      </c>
      <c r="J264" s="165">
        <f>IFERROR(__xludf.DUMMYFUNCTION("""COMPUTED_VALUE"""),1.42738558322254)</f>
        <v>1.427385583</v>
      </c>
      <c r="K264" s="165">
        <f>IFERROR(__xludf.DUMMYFUNCTION("""COMPUTED_VALUE"""),2.18767470112042)</f>
        <v>2.187674701</v>
      </c>
      <c r="L264" s="165">
        <f>IFERROR(__xludf.DUMMYFUNCTION("""COMPUTED_VALUE"""),-0.760289117897878)</f>
        <v>-0.7602891179</v>
      </c>
      <c r="M264" s="166">
        <f t="shared" si="2"/>
        <v>6.95421139</v>
      </c>
      <c r="N264" s="167">
        <f t="shared" si="3"/>
        <v>33.90560976</v>
      </c>
      <c r="O264" s="163">
        <f t="shared" ref="O264:Q264" si="268">rank(I264,I:I)</f>
        <v>1366</v>
      </c>
      <c r="P264" s="163">
        <f t="shared" si="268"/>
        <v>481</v>
      </c>
      <c r="Q264" s="163">
        <f t="shared" si="268"/>
        <v>202</v>
      </c>
      <c r="R264" s="163">
        <f>IFERROR(__xludf.DUMMYFUNCTION("RANK(M264,filter(M:M,C:C=C264))"),40.0)</f>
        <v>40</v>
      </c>
      <c r="S264" s="161" t="b">
        <f t="shared" si="5"/>
        <v>0</v>
      </c>
      <c r="T264" s="161" t="b">
        <f t="array" ref="T264">index('Query Tool'!B:B,match(H264,'Query Tool'!C:C,0))</f>
        <v>1</v>
      </c>
      <c r="U264" s="161" t="b">
        <f t="array" ref="U264">index('Query Tool'!B:B,match(C264,'Query Tool'!C:C,0))</f>
        <v>0</v>
      </c>
      <c r="V264" s="161" t="b">
        <f>F264&gt;='Query Tool'!C$32</f>
        <v>1</v>
      </c>
      <c r="W264" s="161" t="b">
        <f t="array" ref="W264">index(Dropdowns!B:B,match(I264,Dropdowns!A:A,0))</f>
        <v>1</v>
      </c>
      <c r="X264" s="161" t="b">
        <f t="array" ref="X264">index('Query Tool'!B:B,match(D264,'Query Tool'!C:C,0))</f>
        <v>1</v>
      </c>
      <c r="Y264" s="161" t="str">
        <f t="shared" si="6"/>
        <v>matthwe02,2013-14</v>
      </c>
      <c r="Z264" s="168">
        <f t="array" ref="Z264">iferror(index(I:I,match($A264&amp;","&amp;index('Year Conversion'!$A:$A,match($C264,'Year Conversion'!$B:$B,0)),$Y:$Y,0))-I264,"")</f>
        <v>1</v>
      </c>
      <c r="AA264" s="168">
        <f t="array" ref="AA264">iferror(index(J:J,match($A264&amp;","&amp;index('Year Conversion'!$A:$A,match($C264,'Year Conversion'!$B:$B,0)),$Y:$Y,0))-J264,"")</f>
        <v>0.2718574827</v>
      </c>
      <c r="AB264" s="168">
        <f t="array" ref="AB264">iferror(index(K:K,match($A264&amp;","&amp;index('Year Conversion'!$A:$A,match($C264,'Year Conversion'!$B:$B,0)),$Y:$Y,0))-K264,"")</f>
        <v>-1.214749189</v>
      </c>
      <c r="AC264" s="168" t="str">
        <f t="shared" si="7"/>
        <v>POR,2013-14</v>
      </c>
    </row>
    <row r="265">
      <c r="A265" s="161" t="str">
        <f>IFERROR(__xludf.DUMMYFUNCTION("""COMPUTED_VALUE"""),"geeal01")</f>
        <v>geeal01</v>
      </c>
      <c r="B265" s="161" t="str">
        <f>IFERROR(__xludf.DUMMYFUNCTION("""COMPUTED_VALUE"""),"Alonzo Gee")</f>
        <v>Alonzo Gee</v>
      </c>
      <c r="C265" s="162" t="str">
        <f>IFERROR(__xludf.DUMMYFUNCTION("""COMPUTED_VALUE"""),"2013-14")</f>
        <v>2013-14</v>
      </c>
      <c r="D265" s="163" t="str">
        <f>IFERROR(__xludf.DUMMYFUNCTION("""COMPUTED_VALUE"""),"CLE")</f>
        <v>CLE</v>
      </c>
      <c r="E265" s="164" t="str">
        <f>IFERROR(__xludf.DUMMYFUNCTION("""COMPUTED_VALUE"""),"Athletic Finisher")</f>
        <v>Athletic Finisher</v>
      </c>
      <c r="F265" s="164">
        <f>IFERROR(__xludf.DUMMYFUNCTION("""COMPUTED_VALUE"""),1019.735)</f>
        <v>1019.735</v>
      </c>
      <c r="G265" s="163">
        <f>IFERROR(__xludf.DUMMYFUNCTION("""COMPUTED_VALUE"""),65.0)</f>
        <v>65</v>
      </c>
      <c r="H265" s="163" t="str">
        <f>IFERROR(__xludf.DUMMYFUNCTION("""COMPUTED_VALUE"""),"SF")</f>
        <v>SF</v>
      </c>
      <c r="I265" s="163">
        <f>IFERROR(__xludf.DUMMYFUNCTION("""COMPUTED_VALUE"""),26.0)</f>
        <v>26</v>
      </c>
      <c r="J265" s="165">
        <f>IFERROR(__xludf.DUMMYFUNCTION("""COMPUTED_VALUE"""),-2.59979276529172)</f>
        <v>-2.599792765</v>
      </c>
      <c r="K265" s="165">
        <f>IFERROR(__xludf.DUMMYFUNCTION("""COMPUTED_VALUE"""),-2.45380480359867)</f>
        <v>-2.453804804</v>
      </c>
      <c r="L265" s="165">
        <f>IFERROR(__xludf.DUMMYFUNCTION("""COMPUTED_VALUE"""),-0.145987961693052)</f>
        <v>-0.1459879617</v>
      </c>
      <c r="M265" s="166">
        <f t="shared" si="2"/>
        <v>-0.1986574317</v>
      </c>
      <c r="N265" s="167">
        <f t="shared" si="3"/>
        <v>15.68823077</v>
      </c>
      <c r="O265" s="163">
        <f t="shared" ref="O265:Q265" si="269">rank(I265,I:I)</f>
        <v>1665</v>
      </c>
      <c r="P265" s="163">
        <f t="shared" si="269"/>
        <v>3785</v>
      </c>
      <c r="Q265" s="163">
        <f t="shared" si="269"/>
        <v>3880</v>
      </c>
      <c r="R265" s="163">
        <f>IFERROR(__xludf.DUMMYFUNCTION("RANK(M265,filter(M:M,C:C=C265))"),455.0)</f>
        <v>455</v>
      </c>
      <c r="S265" s="161" t="b">
        <f t="shared" si="5"/>
        <v>0</v>
      </c>
      <c r="T265" s="161" t="b">
        <f t="array" ref="T265">index('Query Tool'!B:B,match(H265,'Query Tool'!C:C,0))</f>
        <v>1</v>
      </c>
      <c r="U265" s="161" t="b">
        <f t="array" ref="U265">index('Query Tool'!B:B,match(C265,'Query Tool'!C:C,0))</f>
        <v>0</v>
      </c>
      <c r="V265" s="161" t="b">
        <f>F265&gt;='Query Tool'!C$32</f>
        <v>1</v>
      </c>
      <c r="W265" s="161" t="b">
        <f t="array" ref="W265">index(Dropdowns!B:B,match(I265,Dropdowns!A:A,0))</f>
        <v>1</v>
      </c>
      <c r="X265" s="161" t="b">
        <f t="array" ref="X265">index('Query Tool'!B:B,match(D265,'Query Tool'!C:C,0))</f>
        <v>1</v>
      </c>
      <c r="Y265" s="161" t="str">
        <f t="shared" si="6"/>
        <v>geeal01,2013-14</v>
      </c>
      <c r="Z265" s="168">
        <f t="array" ref="Z265">iferror(index(I:I,match($A265&amp;","&amp;index('Year Conversion'!$A:$A,match($C265,'Year Conversion'!$B:$B,0)),$Y:$Y,0))-I265,"")</f>
        <v>1</v>
      </c>
      <c r="AA265" s="168">
        <f t="array" ref="AA265">iferror(index(J:J,match($A265&amp;","&amp;index('Year Conversion'!$A:$A,match($C265,'Year Conversion'!$B:$B,0)),$Y:$Y,0))-J265,"")</f>
        <v>1.001567881</v>
      </c>
      <c r="AB265" s="168">
        <f t="array" ref="AB265">iferror(index(K:K,match($A265&amp;","&amp;index('Year Conversion'!$A:$A,match($C265,'Year Conversion'!$B:$B,0)),$Y:$Y,0))-K265,"")</f>
        <v>1.991665012</v>
      </c>
      <c r="AC265" s="168" t="str">
        <f t="shared" si="7"/>
        <v>CLE,2013-14</v>
      </c>
    </row>
    <row r="266">
      <c r="A266" s="161" t="str">
        <f>IFERROR(__xludf.DUMMYFUNCTION("""COMPUTED_VALUE"""),"chrisdi01")</f>
        <v>chrisdi01</v>
      </c>
      <c r="B266" s="161" t="str">
        <f>IFERROR(__xludf.DUMMYFUNCTION("""COMPUTED_VALUE"""),"Dionte Christmas")</f>
        <v>Dionte Christmas</v>
      </c>
      <c r="C266" s="162" t="str">
        <f>IFERROR(__xludf.DUMMYFUNCTION("""COMPUTED_VALUE"""),"2013-14")</f>
        <v>2013-14</v>
      </c>
      <c r="D266" s="163" t="str">
        <f>IFERROR(__xludf.DUMMYFUNCTION("""COMPUTED_VALUE"""),"PHO")</f>
        <v>PHO</v>
      </c>
      <c r="E266" s="164" t="str">
        <f>IFERROR(__xludf.DUMMYFUNCTION("""COMPUTED_VALUE"""),"Movement Shooter")</f>
        <v>Movement Shooter</v>
      </c>
      <c r="F266" s="164">
        <f>IFERROR(__xludf.DUMMYFUNCTION("""COMPUTED_VALUE"""),197.873333333333)</f>
        <v>197.8733333</v>
      </c>
      <c r="G266" s="163">
        <f>IFERROR(__xludf.DUMMYFUNCTION("""COMPUTED_VALUE"""),31.0)</f>
        <v>31</v>
      </c>
      <c r="H266" s="163" t="str">
        <f>IFERROR(__xludf.DUMMYFUNCTION("""COMPUTED_VALUE"""),"SF")</f>
        <v>SF</v>
      </c>
      <c r="I266" s="163">
        <f>IFERROR(__xludf.DUMMYFUNCTION("""COMPUTED_VALUE"""),27.0)</f>
        <v>27</v>
      </c>
      <c r="J266" s="165">
        <f>IFERROR(__xludf.DUMMYFUNCTION("""COMPUTED_VALUE"""),-0.760989938194486)</f>
        <v>-0.7609899382</v>
      </c>
      <c r="K266" s="165">
        <f>IFERROR(__xludf.DUMMYFUNCTION("""COMPUTED_VALUE"""),0.192435887894294)</f>
        <v>0.1924358879</v>
      </c>
      <c r="L266" s="165">
        <f>IFERROR(__xludf.DUMMYFUNCTION("""COMPUTED_VALUE"""),-0.95342582608878)</f>
        <v>-0.9534258261</v>
      </c>
      <c r="M266" s="166">
        <f t="shared" si="2"/>
        <v>0.2036170707</v>
      </c>
      <c r="N266" s="167">
        <f t="shared" si="3"/>
        <v>6.383010753</v>
      </c>
      <c r="O266" s="163">
        <f t="shared" ref="O266:Q266" si="270">rank(I266,I:I)</f>
        <v>1366</v>
      </c>
      <c r="P266" s="163">
        <f t="shared" si="270"/>
        <v>2226</v>
      </c>
      <c r="Q266" s="163">
        <f t="shared" si="270"/>
        <v>988</v>
      </c>
      <c r="R266" s="163">
        <f>IFERROR(__xludf.DUMMYFUNCTION("RANK(M266,filter(M:M,C:C=C266))"),321.0)</f>
        <v>321</v>
      </c>
      <c r="S266" s="161" t="b">
        <f t="shared" si="5"/>
        <v>0</v>
      </c>
      <c r="T266" s="161" t="b">
        <f t="array" ref="T266">index('Query Tool'!B:B,match(H266,'Query Tool'!C:C,0))</f>
        <v>1</v>
      </c>
      <c r="U266" s="161" t="b">
        <f t="array" ref="U266">index('Query Tool'!B:B,match(C266,'Query Tool'!C:C,0))</f>
        <v>0</v>
      </c>
      <c r="V266" s="161" t="b">
        <f>F266&gt;='Query Tool'!C$32</f>
        <v>0</v>
      </c>
      <c r="W266" s="161" t="b">
        <f t="array" ref="W266">index(Dropdowns!B:B,match(I266,Dropdowns!A:A,0))</f>
        <v>1</v>
      </c>
      <c r="X266" s="161" t="b">
        <f t="array" ref="X266">index('Query Tool'!B:B,match(D266,'Query Tool'!C:C,0))</f>
        <v>1</v>
      </c>
      <c r="Y266" s="161" t="str">
        <f t="shared" si="6"/>
        <v>chrisdi01,2013-14</v>
      </c>
      <c r="Z266" s="168" t="str">
        <f t="array" ref="Z266">iferror(index(I:I,match($A266&amp;","&amp;index('Year Conversion'!$A:$A,match($C266,'Year Conversion'!$B:$B,0)),$Y:$Y,0))-I266,"")</f>
        <v/>
      </c>
      <c r="AA266" s="168" t="str">
        <f t="array" ref="AA266">iferror(index(J:J,match($A266&amp;","&amp;index('Year Conversion'!$A:$A,match($C266,'Year Conversion'!$B:$B,0)),$Y:$Y,0))-J266,"")</f>
        <v/>
      </c>
      <c r="AB266" s="168" t="str">
        <f t="array" ref="AB266">iferror(index(K:K,match($A266&amp;","&amp;index('Year Conversion'!$A:$A,match($C266,'Year Conversion'!$B:$B,0)),$Y:$Y,0))-K266,"")</f>
        <v/>
      </c>
      <c r="AC266" s="168" t="str">
        <f t="shared" si="7"/>
        <v>PHO,2013-14</v>
      </c>
    </row>
    <row r="267">
      <c r="A267" s="161" t="str">
        <f>IFERROR(__xludf.DUMMYFUNCTION("""COMPUTED_VALUE"""),"willire02")</f>
        <v>willire02</v>
      </c>
      <c r="B267" s="161" t="str">
        <f>IFERROR(__xludf.DUMMYFUNCTION("""COMPUTED_VALUE"""),"Reggie Williams")</f>
        <v>Reggie Williams</v>
      </c>
      <c r="C267" s="162" t="str">
        <f>IFERROR(__xludf.DUMMYFUNCTION("""COMPUTED_VALUE"""),"2013-14")</f>
        <v>2013-14</v>
      </c>
      <c r="D267" s="163" t="str">
        <f>IFERROR(__xludf.DUMMYFUNCTION("""COMPUTED_VALUE"""),"OKC")</f>
        <v>OKC</v>
      </c>
      <c r="E267" s="164" t="str">
        <f>IFERROR(__xludf.DUMMYFUNCTION("""COMPUTED_VALUE"""),"Off Screen Shooter")</f>
        <v>Off Screen Shooter</v>
      </c>
      <c r="F267" s="164">
        <f>IFERROR(__xludf.DUMMYFUNCTION("""COMPUTED_VALUE"""),16.6833333333333)</f>
        <v>16.68333333</v>
      </c>
      <c r="G267" s="163">
        <f>IFERROR(__xludf.DUMMYFUNCTION("""COMPUTED_VALUE"""),3.0)</f>
        <v>3</v>
      </c>
      <c r="H267" s="163" t="str">
        <f>IFERROR(__xludf.DUMMYFUNCTION("""COMPUTED_VALUE"""),"SF")</f>
        <v>SF</v>
      </c>
      <c r="I267" s="163">
        <f>IFERROR(__xludf.DUMMYFUNCTION("""COMPUTED_VALUE"""),27.0)</f>
        <v>27</v>
      </c>
      <c r="J267" s="165">
        <f>IFERROR(__xludf.DUMMYFUNCTION("""COMPUTED_VALUE"""),-0.944534458414952)</f>
        <v>-0.9445344584</v>
      </c>
      <c r="K267" s="165">
        <f>IFERROR(__xludf.DUMMYFUNCTION("""COMPUTED_VALUE"""),-0.0965828557099203)</f>
        <v>-0.09658285571</v>
      </c>
      <c r="L267" s="165">
        <f>IFERROR(__xludf.DUMMYFUNCTION("""COMPUTED_VALUE"""),-0.847951602705032)</f>
        <v>-0.8479516027</v>
      </c>
      <c r="M267" s="166">
        <f t="shared" si="2"/>
        <v>0.01510941428</v>
      </c>
      <c r="N267" s="167">
        <f t="shared" si="3"/>
        <v>5.561111111</v>
      </c>
      <c r="O267" s="163">
        <f t="shared" ref="O267:Q267" si="271">rank(I267,I:I)</f>
        <v>1366</v>
      </c>
      <c r="P267" s="163">
        <f t="shared" si="271"/>
        <v>2443</v>
      </c>
      <c r="Q267" s="163">
        <f t="shared" si="271"/>
        <v>1360</v>
      </c>
      <c r="R267" s="163">
        <f>IFERROR(__xludf.DUMMYFUNCTION("RANK(M267,filter(M:M,C:C=C267))"),419.0)</f>
        <v>419</v>
      </c>
      <c r="S267" s="161" t="b">
        <f t="shared" si="5"/>
        <v>0</v>
      </c>
      <c r="T267" s="161" t="b">
        <f t="array" ref="T267">index('Query Tool'!B:B,match(H267,'Query Tool'!C:C,0))</f>
        <v>1</v>
      </c>
      <c r="U267" s="161" t="b">
        <f t="array" ref="U267">index('Query Tool'!B:B,match(C267,'Query Tool'!C:C,0))</f>
        <v>0</v>
      </c>
      <c r="V267" s="161" t="b">
        <f>F267&gt;='Query Tool'!C$32</f>
        <v>0</v>
      </c>
      <c r="W267" s="161" t="b">
        <f t="array" ref="W267">index(Dropdowns!B:B,match(I267,Dropdowns!A:A,0))</f>
        <v>1</v>
      </c>
      <c r="X267" s="161" t="b">
        <f t="array" ref="X267">index('Query Tool'!B:B,match(D267,'Query Tool'!C:C,0))</f>
        <v>1</v>
      </c>
      <c r="Y267" s="161" t="str">
        <f t="shared" si="6"/>
        <v>willire02,2013-14</v>
      </c>
      <c r="Z267" s="168">
        <f t="array" ref="Z267">iferror(index(I:I,match($A267&amp;","&amp;index('Year Conversion'!$A:$A,match($C267,'Year Conversion'!$B:$B,0)),$Y:$Y,0))-I267,"")</f>
        <v>1</v>
      </c>
      <c r="AA267" s="168">
        <f t="array" ref="AA267">iferror(index(J:J,match($A267&amp;","&amp;index('Year Conversion'!$A:$A,match($C267,'Year Conversion'!$B:$B,0)),$Y:$Y,0))-J267,"")</f>
        <v>0.2416107868</v>
      </c>
      <c r="AB267" s="168">
        <f t="array" ref="AB267">iferror(index(K:K,match($A267&amp;","&amp;index('Year Conversion'!$A:$A,match($C267,'Year Conversion'!$B:$B,0)),$Y:$Y,0))-K267,"")</f>
        <v>0.4191944087</v>
      </c>
      <c r="AC267" s="168" t="str">
        <f t="shared" si="7"/>
        <v>OKC,2013-14</v>
      </c>
    </row>
    <row r="268">
      <c r="A268" s="161" t="str">
        <f>IFERROR(__xludf.DUMMYFUNCTION("""COMPUTED_VALUE"""),"edwarsh01")</f>
        <v>edwarsh01</v>
      </c>
      <c r="B268" s="161" t="str">
        <f>IFERROR(__xludf.DUMMYFUNCTION("""COMPUTED_VALUE"""),"Shane Edwards")</f>
        <v>Shane Edwards</v>
      </c>
      <c r="C268" s="162" t="str">
        <f>IFERROR(__xludf.DUMMYFUNCTION("""COMPUTED_VALUE"""),"2013-14")</f>
        <v>2013-14</v>
      </c>
      <c r="D268" s="163" t="str">
        <f>IFERROR(__xludf.DUMMYFUNCTION("""COMPUTED_VALUE"""),"CLE")</f>
        <v>CLE</v>
      </c>
      <c r="E268" s="164" t="str">
        <f>IFERROR(__xludf.DUMMYFUNCTION("""COMPUTED_VALUE"""),"Roll + Cut Big")</f>
        <v>Roll + Cut Big</v>
      </c>
      <c r="F268" s="164">
        <f>IFERROR(__xludf.DUMMYFUNCTION("""COMPUTED_VALUE"""),11.7666666666667)</f>
        <v>11.76666667</v>
      </c>
      <c r="G268" s="163">
        <f>IFERROR(__xludf.DUMMYFUNCTION("""COMPUTED_VALUE"""),2.0)</f>
        <v>2</v>
      </c>
      <c r="H268" s="163" t="str">
        <f>IFERROR(__xludf.DUMMYFUNCTION("""COMPUTED_VALUE"""),"SF")</f>
        <v>SF</v>
      </c>
      <c r="I268" s="163">
        <f>IFERROR(__xludf.DUMMYFUNCTION("""COMPUTED_VALUE"""),26.0)</f>
        <v>26</v>
      </c>
      <c r="J268" s="165">
        <f>IFERROR(__xludf.DUMMYFUNCTION("""COMPUTED_VALUE"""),0.0464079960258599)</f>
        <v>0.04640799603</v>
      </c>
      <c r="K268" s="165">
        <f>IFERROR(__xludf.DUMMYFUNCTION("""COMPUTED_VALUE"""),-0.241192917945046)</f>
        <v>-0.2411929179</v>
      </c>
      <c r="L268" s="165">
        <f>IFERROR(__xludf.DUMMYFUNCTION("""COMPUTED_VALUE"""),0.287600913970906)</f>
        <v>0.287600914</v>
      </c>
      <c r="M268" s="166">
        <f t="shared" si="2"/>
        <v>0.01850842977</v>
      </c>
      <c r="N268" s="167">
        <f t="shared" si="3"/>
        <v>5.883333333</v>
      </c>
      <c r="O268" s="163">
        <f t="shared" ref="O268:Q268" si="272">rank(I268,I:I)</f>
        <v>1665</v>
      </c>
      <c r="P268" s="163">
        <f t="shared" si="272"/>
        <v>1246</v>
      </c>
      <c r="Q268" s="163">
        <f t="shared" si="272"/>
        <v>1647</v>
      </c>
      <c r="R268" s="163">
        <f>IFERROR(__xludf.DUMMYFUNCTION("RANK(M268,filter(M:M,C:C=C268))"),415.0)</f>
        <v>415</v>
      </c>
      <c r="S268" s="161" t="b">
        <f t="shared" si="5"/>
        <v>0</v>
      </c>
      <c r="T268" s="161" t="b">
        <f t="array" ref="T268">index('Query Tool'!B:B,match(H268,'Query Tool'!C:C,0))</f>
        <v>1</v>
      </c>
      <c r="U268" s="161" t="b">
        <f t="array" ref="U268">index('Query Tool'!B:B,match(C268,'Query Tool'!C:C,0))</f>
        <v>0</v>
      </c>
      <c r="V268" s="161" t="b">
        <f>F268&gt;='Query Tool'!C$32</f>
        <v>0</v>
      </c>
      <c r="W268" s="161" t="b">
        <f t="array" ref="W268">index(Dropdowns!B:B,match(I268,Dropdowns!A:A,0))</f>
        <v>1</v>
      </c>
      <c r="X268" s="161" t="b">
        <f t="array" ref="X268">index('Query Tool'!B:B,match(D268,'Query Tool'!C:C,0))</f>
        <v>1</v>
      </c>
      <c r="Y268" s="161" t="str">
        <f t="shared" si="6"/>
        <v>edwarsh01,2013-14</v>
      </c>
      <c r="Z268" s="168" t="str">
        <f t="array" ref="Z268">iferror(index(I:I,match($A268&amp;","&amp;index('Year Conversion'!$A:$A,match($C268,'Year Conversion'!$B:$B,0)),$Y:$Y,0))-I268,"")</f>
        <v/>
      </c>
      <c r="AA268" s="168" t="str">
        <f t="array" ref="AA268">iferror(index(J:J,match($A268&amp;","&amp;index('Year Conversion'!$A:$A,match($C268,'Year Conversion'!$B:$B,0)),$Y:$Y,0))-J268,"")</f>
        <v/>
      </c>
      <c r="AB268" s="168" t="str">
        <f t="array" ref="AB268">iferror(index(K:K,match($A268&amp;","&amp;index('Year Conversion'!$A:$A,match($C268,'Year Conversion'!$B:$B,0)),$Y:$Y,0))-K268,"")</f>
        <v/>
      </c>
      <c r="AC268" s="168" t="str">
        <f t="shared" si="7"/>
        <v>CLE,2013-14</v>
      </c>
    </row>
    <row r="269">
      <c r="A269" s="161" t="str">
        <f>IFERROR(__xludf.DUMMYFUNCTION("""COMPUTED_VALUE"""),"walljo01")</f>
        <v>walljo01</v>
      </c>
      <c r="B269" s="161" t="str">
        <f>IFERROR(__xludf.DUMMYFUNCTION("""COMPUTED_VALUE"""),"John Wall")</f>
        <v>John Wall</v>
      </c>
      <c r="C269" s="162" t="str">
        <f>IFERROR(__xludf.DUMMYFUNCTION("""COMPUTED_VALUE"""),"2013-14")</f>
        <v>2013-14</v>
      </c>
      <c r="D269" s="163" t="str">
        <f>IFERROR(__xludf.DUMMYFUNCTION("""COMPUTED_VALUE"""),"WAS")</f>
        <v>WAS</v>
      </c>
      <c r="E269" s="164" t="str">
        <f>IFERROR(__xludf.DUMMYFUNCTION("""COMPUTED_VALUE"""),"Shot Creator")</f>
        <v>Shot Creator</v>
      </c>
      <c r="F269" s="164">
        <f>IFERROR(__xludf.DUMMYFUNCTION("""COMPUTED_VALUE"""),2979.865)</f>
        <v>2979.865</v>
      </c>
      <c r="G269" s="163">
        <f>IFERROR(__xludf.DUMMYFUNCTION("""COMPUTED_VALUE"""),82.0)</f>
        <v>82</v>
      </c>
      <c r="H269" s="163" t="str">
        <f>IFERROR(__xludf.DUMMYFUNCTION("""COMPUTED_VALUE"""),"PG")</f>
        <v>PG</v>
      </c>
      <c r="I269" s="163">
        <f>IFERROR(__xludf.DUMMYFUNCTION("""COMPUTED_VALUE"""),23.0)</f>
        <v>23</v>
      </c>
      <c r="J269" s="165">
        <f>IFERROR(__xludf.DUMMYFUNCTION("""COMPUTED_VALUE"""),2.41307422939063)</f>
        <v>2.413074229</v>
      </c>
      <c r="K269" s="165">
        <f>IFERROR(__xludf.DUMMYFUNCTION("""COMPUTED_VALUE"""),1.59574368487251)</f>
        <v>1.595743685</v>
      </c>
      <c r="L269" s="165">
        <f>IFERROR(__xludf.DUMMYFUNCTION("""COMPUTED_VALUE"""),0.817330544518127)</f>
        <v>0.8173305445</v>
      </c>
      <c r="M269" s="166">
        <f t="shared" si="2"/>
        <v>9.402973038</v>
      </c>
      <c r="N269" s="167">
        <f t="shared" si="3"/>
        <v>36.33981707</v>
      </c>
      <c r="O269" s="163">
        <f t="shared" ref="O269:Q269" si="273">rank(I269,I:I)</f>
        <v>2765</v>
      </c>
      <c r="P269" s="163">
        <f t="shared" si="273"/>
        <v>236</v>
      </c>
      <c r="Q269" s="163">
        <f t="shared" si="273"/>
        <v>295</v>
      </c>
      <c r="R269" s="163">
        <f>IFERROR(__xludf.DUMMYFUNCTION("RANK(M269,filter(M:M,C:C=C269))"),16.0)</f>
        <v>16</v>
      </c>
      <c r="S269" s="161" t="b">
        <f t="shared" si="5"/>
        <v>0</v>
      </c>
      <c r="T269" s="161" t="b">
        <f t="array" ref="T269">index('Query Tool'!B:B,match(H269,'Query Tool'!C:C,0))</f>
        <v>1</v>
      </c>
      <c r="U269" s="161" t="b">
        <f t="array" ref="U269">index('Query Tool'!B:B,match(C269,'Query Tool'!C:C,0))</f>
        <v>0</v>
      </c>
      <c r="V269" s="161" t="b">
        <f>F269&gt;='Query Tool'!C$32</f>
        <v>1</v>
      </c>
      <c r="W269" s="161" t="b">
        <f t="array" ref="W269">index(Dropdowns!B:B,match(I269,Dropdowns!A:A,0))</f>
        <v>1</v>
      </c>
      <c r="X269" s="161" t="b">
        <f t="array" ref="X269">index('Query Tool'!B:B,match(D269,'Query Tool'!C:C,0))</f>
        <v>1</v>
      </c>
      <c r="Y269" s="161" t="str">
        <f t="shared" si="6"/>
        <v>walljo01,2013-14</v>
      </c>
      <c r="Z269" s="168">
        <f t="array" ref="Z269">iferror(index(I:I,match($A269&amp;","&amp;index('Year Conversion'!$A:$A,match($C269,'Year Conversion'!$B:$B,0)),$Y:$Y,0))-I269,"")</f>
        <v>1</v>
      </c>
      <c r="AA269" s="168">
        <f t="array" ref="AA269">iferror(index(J:J,match($A269&amp;","&amp;index('Year Conversion'!$A:$A,match($C269,'Year Conversion'!$B:$B,0)),$Y:$Y,0))-J269,"")</f>
        <v>0.7621056381</v>
      </c>
      <c r="AB269" s="168">
        <f t="array" ref="AB269">iferror(index(K:K,match($A269&amp;","&amp;index('Year Conversion'!$A:$A,match($C269,'Year Conversion'!$B:$B,0)),$Y:$Y,0))-K269,"")</f>
        <v>0.5075886355</v>
      </c>
      <c r="AC269" s="168" t="str">
        <f t="shared" si="7"/>
        <v>WAS,2013-14</v>
      </c>
    </row>
    <row r="270">
      <c r="A270" s="161" t="str">
        <f>IFERROR(__xludf.DUMMYFUNCTION("""COMPUTED_VALUE"""),"turneev01")</f>
        <v>turneev01</v>
      </c>
      <c r="B270" s="161" t="str">
        <f>IFERROR(__xludf.DUMMYFUNCTION("""COMPUTED_VALUE"""),"Evan Turner")</f>
        <v>Evan Turner</v>
      </c>
      <c r="C270" s="162" t="str">
        <f>IFERROR(__xludf.DUMMYFUNCTION("""COMPUTED_VALUE"""),"2013-14")</f>
        <v>2013-14</v>
      </c>
      <c r="D270" s="163" t="str">
        <f>IFERROR(__xludf.DUMMYFUNCTION("""COMPUTED_VALUE"""),"TOT")</f>
        <v>TOT</v>
      </c>
      <c r="E270" s="164" t="str">
        <f>IFERROR(__xludf.DUMMYFUNCTION("""COMPUTED_VALUE"""),"Shot Creator")</f>
        <v>Shot Creator</v>
      </c>
      <c r="F270" s="164">
        <f>IFERROR(__xludf.DUMMYFUNCTION("""COMPUTED_VALUE"""),2456.96166666667)</f>
        <v>2456.961667</v>
      </c>
      <c r="G270" s="163">
        <f>IFERROR(__xludf.DUMMYFUNCTION("""COMPUTED_VALUE"""),81.0)</f>
        <v>81</v>
      </c>
      <c r="H270" s="163" t="str">
        <f>IFERROR(__xludf.DUMMYFUNCTION("""COMPUTED_VALUE"""),"SF")</f>
        <v>SF</v>
      </c>
      <c r="I270" s="163">
        <f>IFERROR(__xludf.DUMMYFUNCTION("""COMPUTED_VALUE"""),25.0)</f>
        <v>25</v>
      </c>
      <c r="J270" s="165">
        <f>IFERROR(__xludf.DUMMYFUNCTION("""COMPUTED_VALUE"""),-1.74713039071599)</f>
        <v>-1.747130391</v>
      </c>
      <c r="K270" s="165">
        <f>IFERROR(__xludf.DUMMYFUNCTION("""COMPUTED_VALUE"""),-1.45579355281318)</f>
        <v>-1.455793553</v>
      </c>
      <c r="L270" s="165">
        <f>IFERROR(__xludf.DUMMYFUNCTION("""COMPUTED_VALUE"""),-0.291336837902812)</f>
        <v>-0.2913368379</v>
      </c>
      <c r="M270" s="166">
        <f t="shared" si="2"/>
        <v>0.9059768646</v>
      </c>
      <c r="N270" s="167">
        <f t="shared" si="3"/>
        <v>30.33286008</v>
      </c>
      <c r="O270" s="163">
        <f t="shared" ref="O270:Q270" si="274">rank(I270,I:I)</f>
        <v>1995</v>
      </c>
      <c r="P270" s="163">
        <f t="shared" si="274"/>
        <v>3292</v>
      </c>
      <c r="Q270" s="163">
        <f t="shared" si="274"/>
        <v>3305</v>
      </c>
      <c r="R270" s="163">
        <f>IFERROR(__xludf.DUMMYFUNCTION("RANK(M270,filter(M:M,C:C=C270))"),233.0)</f>
        <v>233</v>
      </c>
      <c r="S270" s="161" t="b">
        <f t="shared" si="5"/>
        <v>0</v>
      </c>
      <c r="T270" s="161" t="b">
        <f t="array" ref="T270">index('Query Tool'!B:B,match(H270,'Query Tool'!C:C,0))</f>
        <v>1</v>
      </c>
      <c r="U270" s="161" t="b">
        <f t="array" ref="U270">index('Query Tool'!B:B,match(C270,'Query Tool'!C:C,0))</f>
        <v>0</v>
      </c>
      <c r="V270" s="161" t="b">
        <f>F270&gt;='Query Tool'!C$32</f>
        <v>1</v>
      </c>
      <c r="W270" s="161" t="b">
        <f t="array" ref="W270">index(Dropdowns!B:B,match(I270,Dropdowns!A:A,0))</f>
        <v>1</v>
      </c>
      <c r="X270" s="161" t="b">
        <f t="array" ref="X270">index('Query Tool'!B:B,match(D270,'Query Tool'!C:C,0))</f>
        <v>1</v>
      </c>
      <c r="Y270" s="161" t="str">
        <f t="shared" si="6"/>
        <v>turneev01,2013-14</v>
      </c>
      <c r="Z270" s="168">
        <f t="array" ref="Z270">iferror(index(I:I,match($A270&amp;","&amp;index('Year Conversion'!$A:$A,match($C270,'Year Conversion'!$B:$B,0)),$Y:$Y,0))-I270,"")</f>
        <v>1</v>
      </c>
      <c r="AA270" s="168">
        <f t="array" ref="AA270">iferror(index(J:J,match($A270&amp;","&amp;index('Year Conversion'!$A:$A,match($C270,'Year Conversion'!$B:$B,0)),$Y:$Y,0))-J270,"")</f>
        <v>1.033557872</v>
      </c>
      <c r="AB270" s="168">
        <f t="array" ref="AB270">iferror(index(K:K,match($A270&amp;","&amp;index('Year Conversion'!$A:$A,match($C270,'Year Conversion'!$B:$B,0)),$Y:$Y,0))-K270,"")</f>
        <v>0.8286651066</v>
      </c>
      <c r="AC270" s="168" t="str">
        <f t="shared" si="7"/>
        <v>TOT,2013-14</v>
      </c>
    </row>
    <row r="271">
      <c r="A271" s="161" t="str">
        <f>IFERROR(__xludf.DUMMYFUNCTION("""COMPUTED_VALUE"""),"favorde01")</f>
        <v>favorde01</v>
      </c>
      <c r="B271" s="161" t="str">
        <f>IFERROR(__xludf.DUMMYFUNCTION("""COMPUTED_VALUE"""),"Derrick Favors")</f>
        <v>Derrick Favors</v>
      </c>
      <c r="C271" s="162" t="str">
        <f>IFERROR(__xludf.DUMMYFUNCTION("""COMPUTED_VALUE"""),"2013-14")</f>
        <v>2013-14</v>
      </c>
      <c r="D271" s="163" t="str">
        <f>IFERROR(__xludf.DUMMYFUNCTION("""COMPUTED_VALUE"""),"UTA")</f>
        <v>UTA</v>
      </c>
      <c r="E271" s="164" t="str">
        <f>IFERROR(__xludf.DUMMYFUNCTION("""COMPUTED_VALUE"""),"Post Scorer")</f>
        <v>Post Scorer</v>
      </c>
      <c r="F271" s="164">
        <f>IFERROR(__xludf.DUMMYFUNCTION("""COMPUTED_VALUE"""),2201.19333333333)</f>
        <v>2201.193333</v>
      </c>
      <c r="G271" s="163">
        <f>IFERROR(__xludf.DUMMYFUNCTION("""COMPUTED_VALUE"""),73.0)</f>
        <v>73</v>
      </c>
      <c r="H271" s="163" t="str">
        <f>IFERROR(__xludf.DUMMYFUNCTION("""COMPUTED_VALUE"""),"PF")</f>
        <v>PF</v>
      </c>
      <c r="I271" s="163">
        <f>IFERROR(__xludf.DUMMYFUNCTION("""COMPUTED_VALUE"""),22.0)</f>
        <v>22</v>
      </c>
      <c r="J271" s="165">
        <f>IFERROR(__xludf.DUMMYFUNCTION("""COMPUTED_VALUE"""),-0.116849000976763)</f>
        <v>-0.116849001</v>
      </c>
      <c r="K271" s="165">
        <f>IFERROR(__xludf.DUMMYFUNCTION("""COMPUTED_VALUE"""),-1.09743501483421)</f>
        <v>-1.097435015</v>
      </c>
      <c r="L271" s="165">
        <f>IFERROR(__xludf.DUMMYFUNCTION("""COMPUTED_VALUE"""),0.980586013857443)</f>
        <v>0.9805860139</v>
      </c>
      <c r="M271" s="166">
        <f t="shared" si="2"/>
        <v>3.220103175</v>
      </c>
      <c r="N271" s="167">
        <f t="shared" si="3"/>
        <v>30.15333333</v>
      </c>
      <c r="O271" s="163">
        <f t="shared" ref="O271:Q271" si="275">rank(I271,I:I)</f>
        <v>3178</v>
      </c>
      <c r="P271" s="163">
        <f t="shared" si="275"/>
        <v>1401</v>
      </c>
      <c r="Q271" s="163">
        <f t="shared" si="275"/>
        <v>2926</v>
      </c>
      <c r="R271" s="163">
        <f>IFERROR(__xludf.DUMMYFUNCTION("RANK(M271,filter(M:M,C:C=C271))"),106.0)</f>
        <v>106</v>
      </c>
      <c r="S271" s="161" t="b">
        <f t="shared" si="5"/>
        <v>0</v>
      </c>
      <c r="T271" s="161" t="b">
        <f t="array" ref="T271">index('Query Tool'!B:B,match(H271,'Query Tool'!C:C,0))</f>
        <v>1</v>
      </c>
      <c r="U271" s="161" t="b">
        <f t="array" ref="U271">index('Query Tool'!B:B,match(C271,'Query Tool'!C:C,0))</f>
        <v>0</v>
      </c>
      <c r="V271" s="161" t="b">
        <f>F271&gt;='Query Tool'!C$32</f>
        <v>1</v>
      </c>
      <c r="W271" s="161" t="b">
        <f t="array" ref="W271">index(Dropdowns!B:B,match(I271,Dropdowns!A:A,0))</f>
        <v>1</v>
      </c>
      <c r="X271" s="161" t="b">
        <f t="array" ref="X271">index('Query Tool'!B:B,match(D271,'Query Tool'!C:C,0))</f>
        <v>1</v>
      </c>
      <c r="Y271" s="161" t="str">
        <f t="shared" si="6"/>
        <v>favorde01,2013-14</v>
      </c>
      <c r="Z271" s="168">
        <f t="array" ref="Z271">iferror(index(I:I,match($A271&amp;","&amp;index('Year Conversion'!$A:$A,match($C271,'Year Conversion'!$B:$B,0)),$Y:$Y,0))-I271,"")</f>
        <v>1</v>
      </c>
      <c r="AA271" s="168">
        <f t="array" ref="AA271">iferror(index(J:J,match($A271&amp;","&amp;index('Year Conversion'!$A:$A,match($C271,'Year Conversion'!$B:$B,0)),$Y:$Y,0))-J271,"")</f>
        <v>2.803954955</v>
      </c>
      <c r="AB271" s="168">
        <f t="array" ref="AB271">iferror(index(K:K,match($A271&amp;","&amp;index('Year Conversion'!$A:$A,match($C271,'Year Conversion'!$B:$B,0)),$Y:$Y,0))-K271,"")</f>
        <v>2.064948808</v>
      </c>
      <c r="AC271" s="168" t="str">
        <f t="shared" si="7"/>
        <v>UTA,2013-14</v>
      </c>
    </row>
    <row r="272">
      <c r="A272" s="161" t="str">
        <f>IFERROR(__xludf.DUMMYFUNCTION("""COMPUTED_VALUE"""),"johnswe01")</f>
        <v>johnswe01</v>
      </c>
      <c r="B272" s="161" t="str">
        <f>IFERROR(__xludf.DUMMYFUNCTION("""COMPUTED_VALUE"""),"Wesley Johnson")</f>
        <v>Wesley Johnson</v>
      </c>
      <c r="C272" s="162" t="str">
        <f>IFERROR(__xludf.DUMMYFUNCTION("""COMPUTED_VALUE"""),"2013-14")</f>
        <v>2013-14</v>
      </c>
      <c r="D272" s="163" t="str">
        <f>IFERROR(__xludf.DUMMYFUNCTION("""COMPUTED_VALUE"""),"LAL")</f>
        <v>LAL</v>
      </c>
      <c r="E272" s="164" t="str">
        <f>IFERROR(__xludf.DUMMYFUNCTION("""COMPUTED_VALUE"""),"Stationary Shooter")</f>
        <v>Stationary Shooter</v>
      </c>
      <c r="F272" s="164">
        <f>IFERROR(__xludf.DUMMYFUNCTION("""COMPUTED_VALUE"""),2240.00166666667)</f>
        <v>2240.001667</v>
      </c>
      <c r="G272" s="163">
        <f>IFERROR(__xludf.DUMMYFUNCTION("""COMPUTED_VALUE"""),79.0)</f>
        <v>79</v>
      </c>
      <c r="H272" s="163" t="str">
        <f>IFERROR(__xludf.DUMMYFUNCTION("""COMPUTED_VALUE"""),"SF")</f>
        <v>SF</v>
      </c>
      <c r="I272" s="163">
        <f>IFERROR(__xludf.DUMMYFUNCTION("""COMPUTED_VALUE"""),26.0)</f>
        <v>26</v>
      </c>
      <c r="J272" s="165">
        <f>IFERROR(__xludf.DUMMYFUNCTION("""COMPUTED_VALUE"""),-1.79354722570129)</f>
        <v>-1.793547226</v>
      </c>
      <c r="K272" s="165">
        <f>IFERROR(__xludf.DUMMYFUNCTION("""COMPUTED_VALUE"""),-1.96513985935351)</f>
        <v>-1.965139859</v>
      </c>
      <c r="L272" s="165">
        <f>IFERROR(__xludf.DUMMYFUNCTION("""COMPUTED_VALUE"""),0.171592633652214)</f>
        <v>0.1715926337</v>
      </c>
      <c r="M272" s="166">
        <f t="shared" si="2"/>
        <v>0.7567849855</v>
      </c>
      <c r="N272" s="167">
        <f t="shared" si="3"/>
        <v>28.35445148</v>
      </c>
      <c r="O272" s="163">
        <f t="shared" ref="O272:Q272" si="276">rank(I272,I:I)</f>
        <v>1665</v>
      </c>
      <c r="P272" s="163">
        <f t="shared" si="276"/>
        <v>3322</v>
      </c>
      <c r="Q272" s="163">
        <f t="shared" si="276"/>
        <v>3699</v>
      </c>
      <c r="R272" s="163">
        <f>IFERROR(__xludf.DUMMYFUNCTION("RANK(M272,filter(M:M,C:C=C272))"),246.0)</f>
        <v>246</v>
      </c>
      <c r="S272" s="161" t="b">
        <f t="shared" si="5"/>
        <v>0</v>
      </c>
      <c r="T272" s="161" t="b">
        <f t="array" ref="T272">index('Query Tool'!B:B,match(H272,'Query Tool'!C:C,0))</f>
        <v>1</v>
      </c>
      <c r="U272" s="161" t="b">
        <f t="array" ref="U272">index('Query Tool'!B:B,match(C272,'Query Tool'!C:C,0))</f>
        <v>0</v>
      </c>
      <c r="V272" s="161" t="b">
        <f>F272&gt;='Query Tool'!C$32</f>
        <v>1</v>
      </c>
      <c r="W272" s="161" t="b">
        <f t="array" ref="W272">index(Dropdowns!B:B,match(I272,Dropdowns!A:A,0))</f>
        <v>1</v>
      </c>
      <c r="X272" s="161" t="b">
        <f t="array" ref="X272">index('Query Tool'!B:B,match(D272,'Query Tool'!C:C,0))</f>
        <v>1</v>
      </c>
      <c r="Y272" s="161" t="str">
        <f t="shared" si="6"/>
        <v>johnswe01,2013-14</v>
      </c>
      <c r="Z272" s="168">
        <f t="array" ref="Z272">iferror(index(I:I,match($A272&amp;","&amp;index('Year Conversion'!$A:$A,match($C272,'Year Conversion'!$B:$B,0)),$Y:$Y,0))-I272,"")</f>
        <v>1</v>
      </c>
      <c r="AA272" s="168">
        <f t="array" ref="AA272">iferror(index(J:J,match($A272&amp;","&amp;index('Year Conversion'!$A:$A,match($C272,'Year Conversion'!$B:$B,0)),$Y:$Y,0))-J272,"")</f>
        <v>0.1263842912</v>
      </c>
      <c r="AB272" s="168">
        <f t="array" ref="AB272">iferror(index(K:K,match($A272&amp;","&amp;index('Year Conversion'!$A:$A,match($C272,'Year Conversion'!$B:$B,0)),$Y:$Y,0))-K272,"")</f>
        <v>1.240951289</v>
      </c>
      <c r="AC272" s="168" t="str">
        <f t="shared" si="7"/>
        <v>LAL,2013-14</v>
      </c>
    </row>
    <row r="273">
      <c r="A273" s="161" t="str">
        <f>IFERROR(__xludf.DUMMYFUNCTION("""COMPUTED_VALUE"""),"couside01")</f>
        <v>couside01</v>
      </c>
      <c r="B273" s="161" t="str">
        <f>IFERROR(__xludf.DUMMYFUNCTION("""COMPUTED_VALUE"""),"DeMarcus Cousins")</f>
        <v>DeMarcus Cousins</v>
      </c>
      <c r="C273" s="162" t="str">
        <f>IFERROR(__xludf.DUMMYFUNCTION("""COMPUTED_VALUE"""),"2013-14")</f>
        <v>2013-14</v>
      </c>
      <c r="D273" s="163" t="str">
        <f>IFERROR(__xludf.DUMMYFUNCTION("""COMPUTED_VALUE"""),"SAC")</f>
        <v>SAC</v>
      </c>
      <c r="E273" s="164" t="str">
        <f>IFERROR(__xludf.DUMMYFUNCTION("""COMPUTED_VALUE"""),"Post Scorer")</f>
        <v>Post Scorer</v>
      </c>
      <c r="F273" s="164">
        <f>IFERROR(__xludf.DUMMYFUNCTION("""COMPUTED_VALUE"""),2297.94166666667)</f>
        <v>2297.941667</v>
      </c>
      <c r="G273" s="163">
        <f>IFERROR(__xludf.DUMMYFUNCTION("""COMPUTED_VALUE"""),71.0)</f>
        <v>71</v>
      </c>
      <c r="H273" s="163" t="str">
        <f>IFERROR(__xludf.DUMMYFUNCTION("""COMPUTED_VALUE"""),"C")</f>
        <v>C</v>
      </c>
      <c r="I273" s="163">
        <f>IFERROR(__xludf.DUMMYFUNCTION("""COMPUTED_VALUE"""),23.0)</f>
        <v>23</v>
      </c>
      <c r="J273" s="165">
        <f>IFERROR(__xludf.DUMMYFUNCTION("""COMPUTED_VALUE"""),3.8383066006334)</f>
        <v>3.838306601</v>
      </c>
      <c r="K273" s="165">
        <f>IFERROR(__xludf.DUMMYFUNCTION("""COMPUTED_VALUE"""),1.51776477516215)</f>
        <v>1.517764775</v>
      </c>
      <c r="L273" s="165">
        <f>IFERROR(__xludf.DUMMYFUNCTION("""COMPUTED_VALUE"""),2.32054182547126)</f>
        <v>2.320541825</v>
      </c>
      <c r="M273" s="166">
        <f t="shared" si="2"/>
        <v>9.370359342</v>
      </c>
      <c r="N273" s="167">
        <f t="shared" si="3"/>
        <v>32.36537559</v>
      </c>
      <c r="O273" s="163">
        <f t="shared" ref="O273:Q273" si="277">rank(I273,I:I)</f>
        <v>2765</v>
      </c>
      <c r="P273" s="163">
        <f t="shared" si="277"/>
        <v>106</v>
      </c>
      <c r="Q273" s="163">
        <f t="shared" si="277"/>
        <v>317</v>
      </c>
      <c r="R273" s="163">
        <f>IFERROR(__xludf.DUMMYFUNCTION("RANK(M273,filter(M:M,C:C=C273))"),17.0)</f>
        <v>17</v>
      </c>
      <c r="S273" s="161" t="b">
        <f t="shared" si="5"/>
        <v>0</v>
      </c>
      <c r="T273" s="161" t="b">
        <f t="array" ref="T273">index('Query Tool'!B:B,match(H273,'Query Tool'!C:C,0))</f>
        <v>1</v>
      </c>
      <c r="U273" s="161" t="b">
        <f t="array" ref="U273">index('Query Tool'!B:B,match(C273,'Query Tool'!C:C,0))</f>
        <v>0</v>
      </c>
      <c r="V273" s="161" t="b">
        <f>F273&gt;='Query Tool'!C$32</f>
        <v>1</v>
      </c>
      <c r="W273" s="161" t="b">
        <f t="array" ref="W273">index(Dropdowns!B:B,match(I273,Dropdowns!A:A,0))</f>
        <v>1</v>
      </c>
      <c r="X273" s="161" t="b">
        <f t="array" ref="X273">index('Query Tool'!B:B,match(D273,'Query Tool'!C:C,0))</f>
        <v>1</v>
      </c>
      <c r="Y273" s="161" t="str">
        <f t="shared" si="6"/>
        <v>couside01,2013-14</v>
      </c>
      <c r="Z273" s="168">
        <f t="array" ref="Z273">iferror(index(I:I,match($A273&amp;","&amp;index('Year Conversion'!$A:$A,match($C273,'Year Conversion'!$B:$B,0)),$Y:$Y,0))-I273,"")</f>
        <v>1</v>
      </c>
      <c r="AA273" s="168">
        <f t="array" ref="AA273">iferror(index(J:J,match($A273&amp;","&amp;index('Year Conversion'!$A:$A,match($C273,'Year Conversion'!$B:$B,0)),$Y:$Y,0))-J273,"")</f>
        <v>-0.6358027299</v>
      </c>
      <c r="AB273" s="168">
        <f t="array" ref="AB273">iferror(index(K:K,match($A273&amp;","&amp;index('Year Conversion'!$A:$A,match($C273,'Year Conversion'!$B:$B,0)),$Y:$Y,0))-K273,"")</f>
        <v>-0.6403116114</v>
      </c>
      <c r="AC273" s="168" t="str">
        <f t="shared" si="7"/>
        <v>SAC,2013-14</v>
      </c>
    </row>
    <row r="274">
      <c r="A274" s="161" t="str">
        <f>IFERROR(__xludf.DUMMYFUNCTION("""COMPUTED_VALUE"""),"udohek01")</f>
        <v>udohek01</v>
      </c>
      <c r="B274" s="161" t="str">
        <f>IFERROR(__xludf.DUMMYFUNCTION("""COMPUTED_VALUE"""),"Ekpe Udoh")</f>
        <v>Ekpe Udoh</v>
      </c>
      <c r="C274" s="162" t="str">
        <f>IFERROR(__xludf.DUMMYFUNCTION("""COMPUTED_VALUE"""),"2013-14")</f>
        <v>2013-14</v>
      </c>
      <c r="D274" s="163" t="str">
        <f>IFERROR(__xludf.DUMMYFUNCTION("""COMPUTED_VALUE"""),"MIL")</f>
        <v>MIL</v>
      </c>
      <c r="E274" s="164" t="str">
        <f>IFERROR(__xludf.DUMMYFUNCTION("""COMPUTED_VALUE"""),"Post Scorer")</f>
        <v>Post Scorer</v>
      </c>
      <c r="F274" s="164">
        <f>IFERROR(__xludf.DUMMYFUNCTION("""COMPUTED_VALUE"""),803.783333333333)</f>
        <v>803.7833333</v>
      </c>
      <c r="G274" s="163">
        <f>IFERROR(__xludf.DUMMYFUNCTION("""COMPUTED_VALUE"""),42.0)</f>
        <v>42</v>
      </c>
      <c r="H274" s="163" t="str">
        <f>IFERROR(__xludf.DUMMYFUNCTION("""COMPUTED_VALUE"""),"PF")</f>
        <v>PF</v>
      </c>
      <c r="I274" s="163">
        <f>IFERROR(__xludf.DUMMYFUNCTION("""COMPUTED_VALUE"""),26.0)</f>
        <v>26</v>
      </c>
      <c r="J274" s="165">
        <f>IFERROR(__xludf.DUMMYFUNCTION("""COMPUTED_VALUE"""),-3.2708090808916)</f>
        <v>-3.270809081</v>
      </c>
      <c r="K274" s="165">
        <f>IFERROR(__xludf.DUMMYFUNCTION("""COMPUTED_VALUE"""),-3.31011506375934)</f>
        <v>-3.310115064</v>
      </c>
      <c r="L274" s="165">
        <f>IFERROR(__xludf.DUMMYFUNCTION("""COMPUTED_VALUE"""),0.039305982867746)</f>
        <v>0.03930598287</v>
      </c>
      <c r="M274" s="166">
        <f t="shared" si="2"/>
        <v>-0.5074123133</v>
      </c>
      <c r="N274" s="167">
        <f t="shared" si="3"/>
        <v>19.13769841</v>
      </c>
      <c r="O274" s="163">
        <f t="shared" ref="O274:Q274" si="278">rank(I274,I:I)</f>
        <v>1665</v>
      </c>
      <c r="P274" s="163">
        <f t="shared" si="278"/>
        <v>3939</v>
      </c>
      <c r="Q274" s="163">
        <f t="shared" si="278"/>
        <v>3996</v>
      </c>
      <c r="R274" s="163">
        <f>IFERROR(__xludf.DUMMYFUNCTION("RANK(M274,filter(M:M,C:C=C274))"),469.0)</f>
        <v>469</v>
      </c>
      <c r="S274" s="161" t="b">
        <f t="shared" si="5"/>
        <v>0</v>
      </c>
      <c r="T274" s="161" t="b">
        <f t="array" ref="T274">index('Query Tool'!B:B,match(H274,'Query Tool'!C:C,0))</f>
        <v>1</v>
      </c>
      <c r="U274" s="161" t="b">
        <f t="array" ref="U274">index('Query Tool'!B:B,match(C274,'Query Tool'!C:C,0))</f>
        <v>0</v>
      </c>
      <c r="V274" s="161" t="b">
        <f>F274&gt;='Query Tool'!C$32</f>
        <v>1</v>
      </c>
      <c r="W274" s="161" t="b">
        <f t="array" ref="W274">index(Dropdowns!B:B,match(I274,Dropdowns!A:A,0))</f>
        <v>1</v>
      </c>
      <c r="X274" s="161" t="b">
        <f t="array" ref="X274">index('Query Tool'!B:B,match(D274,'Query Tool'!C:C,0))</f>
        <v>1</v>
      </c>
      <c r="Y274" s="161" t="str">
        <f t="shared" si="6"/>
        <v>udohek01,2013-14</v>
      </c>
      <c r="Z274" s="168">
        <f t="array" ref="Z274">iferror(index(I:I,match($A274&amp;","&amp;index('Year Conversion'!$A:$A,match($C274,'Year Conversion'!$B:$B,0)),$Y:$Y,0))-I274,"")</f>
        <v>1</v>
      </c>
      <c r="AA274" s="168">
        <f t="array" ref="AA274">iferror(index(J:J,match($A274&amp;","&amp;index('Year Conversion'!$A:$A,match($C274,'Year Conversion'!$B:$B,0)),$Y:$Y,0))-J274,"")</f>
        <v>1.276366939</v>
      </c>
      <c r="AB274" s="168">
        <f t="array" ref="AB274">iferror(index(K:K,match($A274&amp;","&amp;index('Year Conversion'!$A:$A,match($C274,'Year Conversion'!$B:$B,0)),$Y:$Y,0))-K274,"")</f>
        <v>1.679059166</v>
      </c>
      <c r="AC274" s="168" t="str">
        <f t="shared" si="7"/>
        <v>MIL,2013-14</v>
      </c>
    </row>
    <row r="275">
      <c r="A275" s="161" t="str">
        <f>IFERROR(__xludf.DUMMYFUNCTION("""COMPUTED_VALUE"""),"monrogr01")</f>
        <v>monrogr01</v>
      </c>
      <c r="B275" s="161" t="str">
        <f>IFERROR(__xludf.DUMMYFUNCTION("""COMPUTED_VALUE"""),"Greg Monroe")</f>
        <v>Greg Monroe</v>
      </c>
      <c r="C275" s="162" t="str">
        <f>IFERROR(__xludf.DUMMYFUNCTION("""COMPUTED_VALUE"""),"2013-14")</f>
        <v>2013-14</v>
      </c>
      <c r="D275" s="163" t="str">
        <f>IFERROR(__xludf.DUMMYFUNCTION("""COMPUTED_VALUE"""),"DET")</f>
        <v>DET</v>
      </c>
      <c r="E275" s="164" t="str">
        <f>IFERROR(__xludf.DUMMYFUNCTION("""COMPUTED_VALUE"""),"Post Scorer")</f>
        <v>Post Scorer</v>
      </c>
      <c r="F275" s="164">
        <f>IFERROR(__xludf.DUMMYFUNCTION("""COMPUTED_VALUE"""),2689.44833333333)</f>
        <v>2689.448333</v>
      </c>
      <c r="G275" s="163">
        <f>IFERROR(__xludf.DUMMYFUNCTION("""COMPUTED_VALUE"""),82.0)</f>
        <v>82</v>
      </c>
      <c r="H275" s="163" t="str">
        <f>IFERROR(__xludf.DUMMYFUNCTION("""COMPUTED_VALUE"""),"PF")</f>
        <v>PF</v>
      </c>
      <c r="I275" s="163">
        <f>IFERROR(__xludf.DUMMYFUNCTION("""COMPUTED_VALUE"""),23.0)</f>
        <v>23</v>
      </c>
      <c r="J275" s="165">
        <f>IFERROR(__xludf.DUMMYFUNCTION("""COMPUTED_VALUE"""),-0.738863891281198)</f>
        <v>-0.7388638913</v>
      </c>
      <c r="K275" s="165">
        <f>IFERROR(__xludf.DUMMYFUNCTION("""COMPUTED_VALUE"""),-0.168620639147453)</f>
        <v>-0.1686206391</v>
      </c>
      <c r="L275" s="165">
        <f>IFERROR(__xludf.DUMMYFUNCTION("""COMPUTED_VALUE"""),-0.570243252133745)</f>
        <v>-0.5702432521</v>
      </c>
      <c r="M275" s="166">
        <f t="shared" si="2"/>
        <v>2.807540904</v>
      </c>
      <c r="N275" s="167">
        <f t="shared" si="3"/>
        <v>32.79815041</v>
      </c>
      <c r="O275" s="163">
        <f t="shared" ref="O275:Q275" si="279">rank(I275,I:I)</f>
        <v>2765</v>
      </c>
      <c r="P275" s="163">
        <f t="shared" si="279"/>
        <v>2200</v>
      </c>
      <c r="Q275" s="163">
        <f t="shared" si="279"/>
        <v>1512</v>
      </c>
      <c r="R275" s="163">
        <f>IFERROR(__xludf.DUMMYFUNCTION("RANK(M275,filter(M:M,C:C=C275))"),119.0)</f>
        <v>119</v>
      </c>
      <c r="S275" s="161" t="b">
        <f t="shared" si="5"/>
        <v>0</v>
      </c>
      <c r="T275" s="161" t="b">
        <f t="array" ref="T275">index('Query Tool'!B:B,match(H275,'Query Tool'!C:C,0))</f>
        <v>1</v>
      </c>
      <c r="U275" s="161" t="b">
        <f t="array" ref="U275">index('Query Tool'!B:B,match(C275,'Query Tool'!C:C,0))</f>
        <v>0</v>
      </c>
      <c r="V275" s="161" t="b">
        <f>F275&gt;='Query Tool'!C$32</f>
        <v>1</v>
      </c>
      <c r="W275" s="161" t="b">
        <f t="array" ref="W275">index(Dropdowns!B:B,match(I275,Dropdowns!A:A,0))</f>
        <v>1</v>
      </c>
      <c r="X275" s="161" t="b">
        <f t="array" ref="X275">index('Query Tool'!B:B,match(D275,'Query Tool'!C:C,0))</f>
        <v>1</v>
      </c>
      <c r="Y275" s="161" t="str">
        <f t="shared" si="6"/>
        <v>monrogr01,2013-14</v>
      </c>
      <c r="Z275" s="168">
        <f t="array" ref="Z275">iferror(index(I:I,match($A275&amp;","&amp;index('Year Conversion'!$A:$A,match($C275,'Year Conversion'!$B:$B,0)),$Y:$Y,0))-I275,"")</f>
        <v>1</v>
      </c>
      <c r="AA275" s="168">
        <f t="array" ref="AA275">iferror(index(J:J,match($A275&amp;","&amp;index('Year Conversion'!$A:$A,match($C275,'Year Conversion'!$B:$B,0)),$Y:$Y,0))-J275,"")</f>
        <v>2.328948423</v>
      </c>
      <c r="AB275" s="168">
        <f t="array" ref="AB275">iferror(index(K:K,match($A275&amp;","&amp;index('Year Conversion'!$A:$A,match($C275,'Year Conversion'!$B:$B,0)),$Y:$Y,0))-K275,"")</f>
        <v>1.105588342</v>
      </c>
      <c r="AC275" s="168" t="str">
        <f t="shared" si="7"/>
        <v>DET,2013-14</v>
      </c>
    </row>
    <row r="276">
      <c r="A276" s="161" t="str">
        <f>IFERROR(__xludf.DUMMYFUNCTION("""COMPUTED_VALUE"""),"aminual01")</f>
        <v>aminual01</v>
      </c>
      <c r="B276" s="161" t="str">
        <f>IFERROR(__xludf.DUMMYFUNCTION("""COMPUTED_VALUE"""),"Al-Farouq Aminu")</f>
        <v>Al-Farouq Aminu</v>
      </c>
      <c r="C276" s="162" t="str">
        <f>IFERROR(__xludf.DUMMYFUNCTION("""COMPUTED_VALUE"""),"2013-14")</f>
        <v>2013-14</v>
      </c>
      <c r="D276" s="163" t="str">
        <f>IFERROR(__xludf.DUMMYFUNCTION("""COMPUTED_VALUE"""),"NOP")</f>
        <v>NOP</v>
      </c>
      <c r="E276" s="164" t="str">
        <f>IFERROR(__xludf.DUMMYFUNCTION("""COMPUTED_VALUE"""),"Roll + Cut Big")</f>
        <v>Roll + Cut Big</v>
      </c>
      <c r="F276" s="164">
        <f>IFERROR(__xludf.DUMMYFUNCTION("""COMPUTED_VALUE"""),2045.42666666667)</f>
        <v>2045.426667</v>
      </c>
      <c r="G276" s="163">
        <f>IFERROR(__xludf.DUMMYFUNCTION("""COMPUTED_VALUE"""),80.0)</f>
        <v>80</v>
      </c>
      <c r="H276" s="163" t="str">
        <f>IFERROR(__xludf.DUMMYFUNCTION("""COMPUTED_VALUE"""),"SF")</f>
        <v>SF</v>
      </c>
      <c r="I276" s="163">
        <f>IFERROR(__xludf.DUMMYFUNCTION("""COMPUTED_VALUE"""),23.0)</f>
        <v>23</v>
      </c>
      <c r="J276" s="165">
        <f>IFERROR(__xludf.DUMMYFUNCTION("""COMPUTED_VALUE"""),-0.536180542011938)</f>
        <v>-0.536180542</v>
      </c>
      <c r="K276" s="165">
        <f>IFERROR(__xludf.DUMMYFUNCTION("""COMPUTED_VALUE"""),-0.535103807062166)</f>
        <v>-0.5351038071</v>
      </c>
      <c r="L276" s="165">
        <f>IFERROR(__xludf.DUMMYFUNCTION("""COMPUTED_VALUE"""),-0.00107673494977156)</f>
        <v>-0.00107673495</v>
      </c>
      <c r="M276" s="166">
        <f t="shared" si="2"/>
        <v>2.414265175</v>
      </c>
      <c r="N276" s="167">
        <f t="shared" si="3"/>
        <v>25.56783333</v>
      </c>
      <c r="O276" s="163">
        <f t="shared" ref="O276:Q276" si="280">rank(I276,I:I)</f>
        <v>2765</v>
      </c>
      <c r="P276" s="163">
        <f t="shared" si="280"/>
        <v>1900</v>
      </c>
      <c r="Q276" s="163">
        <f t="shared" si="280"/>
        <v>2165</v>
      </c>
      <c r="R276" s="163">
        <f>IFERROR(__xludf.DUMMYFUNCTION("RANK(M276,filter(M:M,C:C=C276))"),135.0)</f>
        <v>135</v>
      </c>
      <c r="S276" s="161" t="b">
        <f t="shared" si="5"/>
        <v>0</v>
      </c>
      <c r="T276" s="161" t="b">
        <f t="array" ref="T276">index('Query Tool'!B:B,match(H276,'Query Tool'!C:C,0))</f>
        <v>1</v>
      </c>
      <c r="U276" s="161" t="b">
        <f t="array" ref="U276">index('Query Tool'!B:B,match(C276,'Query Tool'!C:C,0))</f>
        <v>0</v>
      </c>
      <c r="V276" s="161" t="b">
        <f>F276&gt;='Query Tool'!C$32</f>
        <v>1</v>
      </c>
      <c r="W276" s="161" t="b">
        <f t="array" ref="W276">index(Dropdowns!B:B,match(I276,Dropdowns!A:A,0))</f>
        <v>1</v>
      </c>
      <c r="X276" s="161" t="b">
        <f t="array" ref="X276">index('Query Tool'!B:B,match(D276,'Query Tool'!C:C,0))</f>
        <v>1</v>
      </c>
      <c r="Y276" s="161" t="str">
        <f t="shared" si="6"/>
        <v>aminual01,2013-14</v>
      </c>
      <c r="Z276" s="168">
        <f t="array" ref="Z276">iferror(index(I:I,match($A276&amp;","&amp;index('Year Conversion'!$A:$A,match($C276,'Year Conversion'!$B:$B,0)),$Y:$Y,0))-I276,"")</f>
        <v>1</v>
      </c>
      <c r="AA276" s="168">
        <f t="array" ref="AA276">iferror(index(J:J,match($A276&amp;","&amp;index('Year Conversion'!$A:$A,match($C276,'Year Conversion'!$B:$B,0)),$Y:$Y,0))-J276,"")</f>
        <v>3.27181551</v>
      </c>
      <c r="AB276" s="168">
        <f t="array" ref="AB276">iferror(index(K:K,match($A276&amp;","&amp;index('Year Conversion'!$A:$A,match($C276,'Year Conversion'!$B:$B,0)),$Y:$Y,0))-K276,"")</f>
        <v>1.317655065</v>
      </c>
      <c r="AC276" s="168" t="str">
        <f t="shared" si="7"/>
        <v>NOP,2013-14</v>
      </c>
    </row>
    <row r="277">
      <c r="A277" s="161" t="str">
        <f>IFERROR(__xludf.DUMMYFUNCTION("""COMPUTED_VALUE"""),"haywago01")</f>
        <v>haywago01</v>
      </c>
      <c r="B277" s="161" t="str">
        <f>IFERROR(__xludf.DUMMYFUNCTION("""COMPUTED_VALUE"""),"Gordon Hayward")</f>
        <v>Gordon Hayward</v>
      </c>
      <c r="C277" s="162" t="str">
        <f>IFERROR(__xludf.DUMMYFUNCTION("""COMPUTED_VALUE"""),"2013-14")</f>
        <v>2013-14</v>
      </c>
      <c r="D277" s="163" t="str">
        <f>IFERROR(__xludf.DUMMYFUNCTION("""COMPUTED_VALUE"""),"UTA")</f>
        <v>UTA</v>
      </c>
      <c r="E277" s="164" t="str">
        <f>IFERROR(__xludf.DUMMYFUNCTION("""COMPUTED_VALUE"""),"Secondary Ball Handler")</f>
        <v>Secondary Ball Handler</v>
      </c>
      <c r="F277" s="164">
        <f>IFERROR(__xludf.DUMMYFUNCTION("""COMPUTED_VALUE"""),2799.635)</f>
        <v>2799.635</v>
      </c>
      <c r="G277" s="163">
        <f>IFERROR(__xludf.DUMMYFUNCTION("""COMPUTED_VALUE"""),77.0)</f>
        <v>77</v>
      </c>
      <c r="H277" s="163" t="str">
        <f>IFERROR(__xludf.DUMMYFUNCTION("""COMPUTED_VALUE"""),"SF")</f>
        <v>SF</v>
      </c>
      <c r="I277" s="163">
        <f>IFERROR(__xludf.DUMMYFUNCTION("""COMPUTED_VALUE"""),23.0)</f>
        <v>23</v>
      </c>
      <c r="J277" s="165">
        <f>IFERROR(__xludf.DUMMYFUNCTION("""COMPUTED_VALUE"""),0.0621090013431049)</f>
        <v>0.06210900134</v>
      </c>
      <c r="K277" s="165">
        <f>IFERROR(__xludf.DUMMYFUNCTION("""COMPUTED_VALUE"""),0.911216600479638)</f>
        <v>0.9112166005</v>
      </c>
      <c r="L277" s="165">
        <f>IFERROR(__xludf.DUMMYFUNCTION("""COMPUTED_VALUE"""),-0.849107599136533)</f>
        <v>-0.8491075991</v>
      </c>
      <c r="M277" s="166">
        <f t="shared" si="2"/>
        <v>4.433333164</v>
      </c>
      <c r="N277" s="167">
        <f t="shared" si="3"/>
        <v>36.3588961</v>
      </c>
      <c r="O277" s="163">
        <f t="shared" ref="O277:Q277" si="281">rank(I277,I:I)</f>
        <v>2765</v>
      </c>
      <c r="P277" s="163">
        <f t="shared" si="281"/>
        <v>1231</v>
      </c>
      <c r="Q277" s="163">
        <f t="shared" si="281"/>
        <v>547</v>
      </c>
      <c r="R277" s="163">
        <f>IFERROR(__xludf.DUMMYFUNCTION("RANK(M277,filter(M:M,C:C=C277))"),75.0)</f>
        <v>75</v>
      </c>
      <c r="S277" s="161" t="b">
        <f t="shared" si="5"/>
        <v>0</v>
      </c>
      <c r="T277" s="161" t="b">
        <f t="array" ref="T277">index('Query Tool'!B:B,match(H277,'Query Tool'!C:C,0))</f>
        <v>1</v>
      </c>
      <c r="U277" s="161" t="b">
        <f t="array" ref="U277">index('Query Tool'!B:B,match(C277,'Query Tool'!C:C,0))</f>
        <v>0</v>
      </c>
      <c r="V277" s="161" t="b">
        <f>F277&gt;='Query Tool'!C$32</f>
        <v>1</v>
      </c>
      <c r="W277" s="161" t="b">
        <f t="array" ref="W277">index(Dropdowns!B:B,match(I277,Dropdowns!A:A,0))</f>
        <v>1</v>
      </c>
      <c r="X277" s="161" t="b">
        <f t="array" ref="X277">index('Query Tool'!B:B,match(D277,'Query Tool'!C:C,0))</f>
        <v>1</v>
      </c>
      <c r="Y277" s="161" t="str">
        <f t="shared" si="6"/>
        <v>haywago01,2013-14</v>
      </c>
      <c r="Z277" s="168">
        <f t="array" ref="Z277">iferror(index(I:I,match($A277&amp;","&amp;index('Year Conversion'!$A:$A,match($C277,'Year Conversion'!$B:$B,0)),$Y:$Y,0))-I277,"")</f>
        <v>1</v>
      </c>
      <c r="AA277" s="168">
        <f t="array" ref="AA277">iferror(index(J:J,match($A277&amp;","&amp;index('Year Conversion'!$A:$A,match($C277,'Year Conversion'!$B:$B,0)),$Y:$Y,0))-J277,"")</f>
        <v>2.69781017</v>
      </c>
      <c r="AB277" s="168">
        <f t="array" ref="AB277">iferror(index(K:K,match($A277&amp;","&amp;index('Year Conversion'!$A:$A,match($C277,'Year Conversion'!$B:$B,0)),$Y:$Y,0))-K277,"")</f>
        <v>1.593026458</v>
      </c>
      <c r="AC277" s="168" t="str">
        <f t="shared" si="7"/>
        <v>UTA,2013-14</v>
      </c>
    </row>
    <row r="278">
      <c r="A278" s="161" t="str">
        <f>IFERROR(__xludf.DUMMYFUNCTION("""COMPUTED_VALUE"""),"georgpa01")</f>
        <v>georgpa01</v>
      </c>
      <c r="B278" s="161" t="str">
        <f>IFERROR(__xludf.DUMMYFUNCTION("""COMPUTED_VALUE"""),"Paul George")</f>
        <v>Paul George</v>
      </c>
      <c r="C278" s="162" t="str">
        <f>IFERROR(__xludf.DUMMYFUNCTION("""COMPUTED_VALUE"""),"2013-14")</f>
        <v>2013-14</v>
      </c>
      <c r="D278" s="163" t="str">
        <f>IFERROR(__xludf.DUMMYFUNCTION("""COMPUTED_VALUE"""),"IND")</f>
        <v>IND</v>
      </c>
      <c r="E278" s="164" t="str">
        <f>IFERROR(__xludf.DUMMYFUNCTION("""COMPUTED_VALUE"""),"Shot Creator")</f>
        <v>Shot Creator</v>
      </c>
      <c r="F278" s="164">
        <f>IFERROR(__xludf.DUMMYFUNCTION("""COMPUTED_VALUE"""),2898.30833333333)</f>
        <v>2898.308333</v>
      </c>
      <c r="G278" s="163">
        <f>IFERROR(__xludf.DUMMYFUNCTION("""COMPUTED_VALUE"""),80.0)</f>
        <v>80</v>
      </c>
      <c r="H278" s="163" t="str">
        <f>IFERROR(__xludf.DUMMYFUNCTION("""COMPUTED_VALUE"""),"SF")</f>
        <v>SF</v>
      </c>
      <c r="I278" s="163">
        <f>IFERROR(__xludf.DUMMYFUNCTION("""COMPUTED_VALUE"""),23.0)</f>
        <v>23</v>
      </c>
      <c r="J278" s="165">
        <f>IFERROR(__xludf.DUMMYFUNCTION("""COMPUTED_VALUE"""),4.39785852613806)</f>
        <v>4.397858526</v>
      </c>
      <c r="K278" s="165">
        <f>IFERROR(__xludf.DUMMYFUNCTION("""COMPUTED_VALUE"""),1.96887481891958)</f>
        <v>1.968874819</v>
      </c>
      <c r="L278" s="165">
        <f>IFERROR(__xludf.DUMMYFUNCTION("""COMPUTED_VALUE"""),2.42898370721848)</f>
        <v>2.428983707</v>
      </c>
      <c r="M278" s="166">
        <f t="shared" si="2"/>
        <v>12.83798441</v>
      </c>
      <c r="N278" s="167">
        <f t="shared" si="3"/>
        <v>36.22885417</v>
      </c>
      <c r="O278" s="163">
        <f t="shared" ref="O278:Q278" si="282">rank(I278,I:I)</f>
        <v>2765</v>
      </c>
      <c r="P278" s="163">
        <f t="shared" si="282"/>
        <v>74</v>
      </c>
      <c r="Q278" s="163">
        <f t="shared" si="282"/>
        <v>231</v>
      </c>
      <c r="R278" s="163">
        <f>IFERROR(__xludf.DUMMYFUNCTION("RANK(M278,filter(M:M,C:C=C278))"),5.0)</f>
        <v>5</v>
      </c>
      <c r="S278" s="161" t="b">
        <f t="shared" si="5"/>
        <v>0</v>
      </c>
      <c r="T278" s="161" t="b">
        <f t="array" ref="T278">index('Query Tool'!B:B,match(H278,'Query Tool'!C:C,0))</f>
        <v>1</v>
      </c>
      <c r="U278" s="161" t="b">
        <f t="array" ref="U278">index('Query Tool'!B:B,match(C278,'Query Tool'!C:C,0))</f>
        <v>0</v>
      </c>
      <c r="V278" s="161" t="b">
        <f>F278&gt;='Query Tool'!C$32</f>
        <v>1</v>
      </c>
      <c r="W278" s="161" t="b">
        <f t="array" ref="W278">index(Dropdowns!B:B,match(I278,Dropdowns!A:A,0))</f>
        <v>1</v>
      </c>
      <c r="X278" s="161" t="b">
        <f t="array" ref="X278">index('Query Tool'!B:B,match(D278,'Query Tool'!C:C,0))</f>
        <v>1</v>
      </c>
      <c r="Y278" s="161" t="str">
        <f t="shared" si="6"/>
        <v>georgpa01,2013-14</v>
      </c>
      <c r="Z278" s="168">
        <f t="array" ref="Z278">iferror(index(I:I,match($A278&amp;","&amp;index('Year Conversion'!$A:$A,match($C278,'Year Conversion'!$B:$B,0)),$Y:$Y,0))-I278,"")</f>
        <v>1</v>
      </c>
      <c r="AA278" s="168">
        <f t="array" ref="AA278">iferror(index(J:J,match($A278&amp;","&amp;index('Year Conversion'!$A:$A,match($C278,'Year Conversion'!$B:$B,0)),$Y:$Y,0))-J278,"")</f>
        <v>-4.512051614</v>
      </c>
      <c r="AB278" s="168">
        <f t="array" ref="AB278">iferror(index(K:K,match($A278&amp;","&amp;index('Year Conversion'!$A:$A,match($C278,'Year Conversion'!$B:$B,0)),$Y:$Y,0))-K278,"")</f>
        <v>-1.933051248</v>
      </c>
      <c r="AC278" s="168" t="str">
        <f t="shared" si="7"/>
        <v>IND,2013-14</v>
      </c>
    </row>
    <row r="279">
      <c r="A279" s="161" t="str">
        <f>IFERROR(__xludf.DUMMYFUNCTION("""COMPUTED_VALUE"""),"aldrico01")</f>
        <v>aldrico01</v>
      </c>
      <c r="B279" s="161" t="str">
        <f>IFERROR(__xludf.DUMMYFUNCTION("""COMPUTED_VALUE"""),"Cole Aldrich")</f>
        <v>Cole Aldrich</v>
      </c>
      <c r="C279" s="162" t="str">
        <f>IFERROR(__xludf.DUMMYFUNCTION("""COMPUTED_VALUE"""),"2013-14")</f>
        <v>2013-14</v>
      </c>
      <c r="D279" s="163" t="str">
        <f>IFERROR(__xludf.DUMMYFUNCTION("""COMPUTED_VALUE"""),"NYK")</f>
        <v>NYK</v>
      </c>
      <c r="E279" s="164" t="str">
        <f>IFERROR(__xludf.DUMMYFUNCTION("""COMPUTED_VALUE"""),"Roll + Cut Big")</f>
        <v>Roll + Cut Big</v>
      </c>
      <c r="F279" s="164">
        <f>IFERROR(__xludf.DUMMYFUNCTION("""COMPUTED_VALUE"""),330.016666666667)</f>
        <v>330.0166667</v>
      </c>
      <c r="G279" s="163">
        <f>IFERROR(__xludf.DUMMYFUNCTION("""COMPUTED_VALUE"""),46.0)</f>
        <v>46</v>
      </c>
      <c r="H279" s="163" t="str">
        <f>IFERROR(__xludf.DUMMYFUNCTION("""COMPUTED_VALUE"""),"C")</f>
        <v>C</v>
      </c>
      <c r="I279" s="163">
        <f>IFERROR(__xludf.DUMMYFUNCTION("""COMPUTED_VALUE"""),25.0)</f>
        <v>25</v>
      </c>
      <c r="J279" s="165">
        <f>IFERROR(__xludf.DUMMYFUNCTION("""COMPUTED_VALUE"""),2.04657163993725)</f>
        <v>2.04657164</v>
      </c>
      <c r="K279" s="165">
        <f>IFERROR(__xludf.DUMMYFUNCTION("""COMPUTED_VALUE"""),-0.676076645924278)</f>
        <v>-0.6760766459</v>
      </c>
      <c r="L279" s="165">
        <f>IFERROR(__xludf.DUMMYFUNCTION("""COMPUTED_VALUE"""),2.72264828586153)</f>
        <v>2.722648286</v>
      </c>
      <c r="M279" s="166">
        <f t="shared" si="2"/>
        <v>0.9614942166</v>
      </c>
      <c r="N279" s="167">
        <f t="shared" si="3"/>
        <v>7.174275362</v>
      </c>
      <c r="O279" s="163">
        <f t="shared" ref="O279:Q279" si="283">rank(I279,I:I)</f>
        <v>1995</v>
      </c>
      <c r="P279" s="163">
        <f t="shared" si="283"/>
        <v>308</v>
      </c>
      <c r="Q279" s="163">
        <f t="shared" si="283"/>
        <v>2378</v>
      </c>
      <c r="R279" s="163">
        <f>IFERROR(__xludf.DUMMYFUNCTION("RANK(M279,filter(M:M,C:C=C279))"),227.0)</f>
        <v>227</v>
      </c>
      <c r="S279" s="161" t="b">
        <f t="shared" si="5"/>
        <v>0</v>
      </c>
      <c r="T279" s="161" t="b">
        <f t="array" ref="T279">index('Query Tool'!B:B,match(H279,'Query Tool'!C:C,0))</f>
        <v>1</v>
      </c>
      <c r="U279" s="161" t="b">
        <f t="array" ref="U279">index('Query Tool'!B:B,match(C279,'Query Tool'!C:C,0))</f>
        <v>0</v>
      </c>
      <c r="V279" s="161" t="b">
        <f>F279&gt;='Query Tool'!C$32</f>
        <v>0</v>
      </c>
      <c r="W279" s="161" t="b">
        <f t="array" ref="W279">index(Dropdowns!B:B,match(I279,Dropdowns!A:A,0))</f>
        <v>1</v>
      </c>
      <c r="X279" s="161" t="b">
        <f t="array" ref="X279">index('Query Tool'!B:B,match(D279,'Query Tool'!C:C,0))</f>
        <v>1</v>
      </c>
      <c r="Y279" s="161" t="str">
        <f t="shared" si="6"/>
        <v>aldrico01,2013-14</v>
      </c>
      <c r="Z279" s="168">
        <f t="array" ref="Z279">iferror(index(I:I,match($A279&amp;","&amp;index('Year Conversion'!$A:$A,match($C279,'Year Conversion'!$B:$B,0)),$Y:$Y,0))-I279,"")</f>
        <v>1</v>
      </c>
      <c r="AA279" s="168">
        <f t="array" ref="AA279">iferror(index(J:J,match($A279&amp;","&amp;index('Year Conversion'!$A:$A,match($C279,'Year Conversion'!$B:$B,0)),$Y:$Y,0))-J279,"")</f>
        <v>-2.750641308</v>
      </c>
      <c r="AB279" s="168">
        <f t="array" ref="AB279">iferror(index(K:K,match($A279&amp;","&amp;index('Year Conversion'!$A:$A,match($C279,'Year Conversion'!$B:$B,0)),$Y:$Y,0))-K279,"")</f>
        <v>-1.69953273</v>
      </c>
      <c r="AC279" s="168" t="str">
        <f t="shared" si="7"/>
        <v>NYK,2013-14</v>
      </c>
    </row>
    <row r="280">
      <c r="A280" s="161" t="str">
        <f>IFERROR(__xludf.DUMMYFUNCTION("""COMPUTED_VALUE"""),"henryxa01")</f>
        <v>henryxa01</v>
      </c>
      <c r="B280" s="161" t="str">
        <f>IFERROR(__xludf.DUMMYFUNCTION("""COMPUTED_VALUE"""),"Xavier Henry")</f>
        <v>Xavier Henry</v>
      </c>
      <c r="C280" s="162" t="str">
        <f>IFERROR(__xludf.DUMMYFUNCTION("""COMPUTED_VALUE"""),"2013-14")</f>
        <v>2013-14</v>
      </c>
      <c r="D280" s="163" t="str">
        <f>IFERROR(__xludf.DUMMYFUNCTION("""COMPUTED_VALUE"""),"LAL")</f>
        <v>LAL</v>
      </c>
      <c r="E280" s="164" t="str">
        <f>IFERROR(__xludf.DUMMYFUNCTION("""COMPUTED_VALUE"""),"Secondary Ball Handler")</f>
        <v>Secondary Ball Handler</v>
      </c>
      <c r="F280" s="164">
        <f>IFERROR(__xludf.DUMMYFUNCTION("""COMPUTED_VALUE"""),908.176666666667)</f>
        <v>908.1766667</v>
      </c>
      <c r="G280" s="163">
        <f>IFERROR(__xludf.DUMMYFUNCTION("""COMPUTED_VALUE"""),43.0)</f>
        <v>43</v>
      </c>
      <c r="H280" s="163" t="str">
        <f>IFERROR(__xludf.DUMMYFUNCTION("""COMPUTED_VALUE"""),"SF")</f>
        <v>SF</v>
      </c>
      <c r="I280" s="163">
        <f>IFERROR(__xludf.DUMMYFUNCTION("""COMPUTED_VALUE"""),22.0)</f>
        <v>22</v>
      </c>
      <c r="J280" s="165">
        <f>IFERROR(__xludf.DUMMYFUNCTION("""COMPUTED_VALUE"""),-0.257439038190737)</f>
        <v>-0.2574390382</v>
      </c>
      <c r="K280" s="165">
        <f>IFERROR(__xludf.DUMMYFUNCTION("""COMPUTED_VALUE"""),-0.746873994562777)</f>
        <v>-0.7468739946</v>
      </c>
      <c r="L280" s="165">
        <f>IFERROR(__xludf.DUMMYFUNCTION("""COMPUTED_VALUE"""),0.48943495637204)</f>
        <v>0.4894349564</v>
      </c>
      <c r="M280" s="166">
        <f t="shared" si="2"/>
        <v>1.24249454</v>
      </c>
      <c r="N280" s="167">
        <f t="shared" si="3"/>
        <v>21.1203876</v>
      </c>
      <c r="O280" s="163">
        <f t="shared" ref="O280:Q280" si="284">rank(I280,I:I)</f>
        <v>3178</v>
      </c>
      <c r="P280" s="163">
        <f t="shared" si="284"/>
        <v>1568</v>
      </c>
      <c r="Q280" s="163">
        <f t="shared" si="284"/>
        <v>2472</v>
      </c>
      <c r="R280" s="163">
        <f>IFERROR(__xludf.DUMMYFUNCTION("RANK(M280,filter(M:M,C:C=C280))"),208.0)</f>
        <v>208</v>
      </c>
      <c r="S280" s="161" t="b">
        <f t="shared" si="5"/>
        <v>0</v>
      </c>
      <c r="T280" s="161" t="b">
        <f t="array" ref="T280">index('Query Tool'!B:B,match(H280,'Query Tool'!C:C,0))</f>
        <v>1</v>
      </c>
      <c r="U280" s="161" t="b">
        <f t="array" ref="U280">index('Query Tool'!B:B,match(C280,'Query Tool'!C:C,0))</f>
        <v>0</v>
      </c>
      <c r="V280" s="161" t="b">
        <f>F280&gt;='Query Tool'!C$32</f>
        <v>1</v>
      </c>
      <c r="W280" s="161" t="b">
        <f t="array" ref="W280">index(Dropdowns!B:B,match(I280,Dropdowns!A:A,0))</f>
        <v>1</v>
      </c>
      <c r="X280" s="161" t="b">
        <f t="array" ref="X280">index('Query Tool'!B:B,match(D280,'Query Tool'!C:C,0))</f>
        <v>1</v>
      </c>
      <c r="Y280" s="161" t="str">
        <f t="shared" si="6"/>
        <v>henryxa01,2013-14</v>
      </c>
      <c r="Z280" s="168">
        <f t="array" ref="Z280">iferror(index(I:I,match($A280&amp;","&amp;index('Year Conversion'!$A:$A,match($C280,'Year Conversion'!$B:$B,0)),$Y:$Y,0))-I280,"")</f>
        <v>1</v>
      </c>
      <c r="AA280" s="168">
        <f t="array" ref="AA280">iferror(index(J:J,match($A280&amp;","&amp;index('Year Conversion'!$A:$A,match($C280,'Year Conversion'!$B:$B,0)),$Y:$Y,0))-J280,"")</f>
        <v>0.1974411322</v>
      </c>
      <c r="AB280" s="168">
        <f t="array" ref="AB280">iferror(index(K:K,match($A280&amp;","&amp;index('Year Conversion'!$A:$A,match($C280,'Year Conversion'!$B:$B,0)),$Y:$Y,0))-K280,"")</f>
        <v>0.7740576704</v>
      </c>
      <c r="AC280" s="168" t="str">
        <f t="shared" si="7"/>
        <v>LAL,2013-14</v>
      </c>
    </row>
    <row r="281">
      <c r="A281" s="161" t="str">
        <f>IFERROR(__xludf.DUMMYFUNCTION("""COMPUTED_VALUE"""),"davised01")</f>
        <v>davised01</v>
      </c>
      <c r="B281" s="161" t="str">
        <f>IFERROR(__xludf.DUMMYFUNCTION("""COMPUTED_VALUE"""),"Ed Davis")</f>
        <v>Ed Davis</v>
      </c>
      <c r="C281" s="162" t="str">
        <f>IFERROR(__xludf.DUMMYFUNCTION("""COMPUTED_VALUE"""),"2013-14")</f>
        <v>2013-14</v>
      </c>
      <c r="D281" s="163" t="str">
        <f>IFERROR(__xludf.DUMMYFUNCTION("""COMPUTED_VALUE"""),"MEM")</f>
        <v>MEM</v>
      </c>
      <c r="E281" s="164" t="str">
        <f>IFERROR(__xludf.DUMMYFUNCTION("""COMPUTED_VALUE"""),"Post Scorer")</f>
        <v>Post Scorer</v>
      </c>
      <c r="F281" s="164">
        <f>IFERROR(__xludf.DUMMYFUNCTION("""COMPUTED_VALUE"""),956.083333333333)</f>
        <v>956.0833333</v>
      </c>
      <c r="G281" s="163">
        <f>IFERROR(__xludf.DUMMYFUNCTION("""COMPUTED_VALUE"""),63.0)</f>
        <v>63</v>
      </c>
      <c r="H281" s="163" t="str">
        <f>IFERROR(__xludf.DUMMYFUNCTION("""COMPUTED_VALUE"""),"PF")</f>
        <v>PF</v>
      </c>
      <c r="I281" s="163">
        <f>IFERROR(__xludf.DUMMYFUNCTION("""COMPUTED_VALUE"""),24.0)</f>
        <v>24</v>
      </c>
      <c r="J281" s="165">
        <f>IFERROR(__xludf.DUMMYFUNCTION("""COMPUTED_VALUE"""),-0.647488126180622)</f>
        <v>-0.6474881262</v>
      </c>
      <c r="K281" s="165">
        <f>IFERROR(__xludf.DUMMYFUNCTION("""COMPUTED_VALUE"""),-1.09885789377858)</f>
        <v>-1.098857894</v>
      </c>
      <c r="L281" s="165">
        <f>IFERROR(__xludf.DUMMYFUNCTION("""COMPUTED_VALUE"""),0.451369767597956)</f>
        <v>0.4513697676</v>
      </c>
      <c r="M281" s="166">
        <f t="shared" si="2"/>
        <v>1.056845744</v>
      </c>
      <c r="N281" s="167">
        <f t="shared" si="3"/>
        <v>15.17592593</v>
      </c>
      <c r="O281" s="163">
        <f t="shared" ref="O281:Q281" si="285">rank(I281,I:I)</f>
        <v>2361</v>
      </c>
      <c r="P281" s="163">
        <f t="shared" si="285"/>
        <v>2062</v>
      </c>
      <c r="Q281" s="163">
        <f t="shared" si="285"/>
        <v>2929</v>
      </c>
      <c r="R281" s="163">
        <f>IFERROR(__xludf.DUMMYFUNCTION("RANK(M281,filter(M:M,C:C=C281))"),218.0)</f>
        <v>218</v>
      </c>
      <c r="S281" s="161" t="b">
        <f t="shared" si="5"/>
        <v>0</v>
      </c>
      <c r="T281" s="161" t="b">
        <f t="array" ref="T281">index('Query Tool'!B:B,match(H281,'Query Tool'!C:C,0))</f>
        <v>1</v>
      </c>
      <c r="U281" s="161" t="b">
        <f t="array" ref="U281">index('Query Tool'!B:B,match(C281,'Query Tool'!C:C,0))</f>
        <v>0</v>
      </c>
      <c r="V281" s="161" t="b">
        <f>F281&gt;='Query Tool'!C$32</f>
        <v>1</v>
      </c>
      <c r="W281" s="161" t="b">
        <f t="array" ref="W281">index(Dropdowns!B:B,match(I281,Dropdowns!A:A,0))</f>
        <v>1</v>
      </c>
      <c r="X281" s="161" t="b">
        <f t="array" ref="X281">index('Query Tool'!B:B,match(D281,'Query Tool'!C:C,0))</f>
        <v>1</v>
      </c>
      <c r="Y281" s="161" t="str">
        <f t="shared" si="6"/>
        <v>davised01,2013-14</v>
      </c>
      <c r="Z281" s="168">
        <f t="array" ref="Z281">iferror(index(I:I,match($A281&amp;","&amp;index('Year Conversion'!$A:$A,match($C281,'Year Conversion'!$B:$B,0)),$Y:$Y,0))-I281,"")</f>
        <v>1</v>
      </c>
      <c r="AA281" s="168">
        <f t="array" ref="AA281">iferror(index(J:J,match($A281&amp;","&amp;index('Year Conversion'!$A:$A,match($C281,'Year Conversion'!$B:$B,0)),$Y:$Y,0))-J281,"")</f>
        <v>0.8306237423</v>
      </c>
      <c r="AB281" s="168">
        <f t="array" ref="AB281">iferror(index(K:K,match($A281&amp;","&amp;index('Year Conversion'!$A:$A,match($C281,'Year Conversion'!$B:$B,0)),$Y:$Y,0))-K281,"")</f>
        <v>0.9764152963</v>
      </c>
      <c r="AC281" s="168" t="str">
        <f t="shared" si="7"/>
        <v>MEM,2013-14</v>
      </c>
    </row>
    <row r="282">
      <c r="A282" s="161" t="str">
        <f>IFERROR(__xludf.DUMMYFUNCTION("""COMPUTED_VALUE"""),"pattepa01")</f>
        <v>pattepa01</v>
      </c>
      <c r="B282" s="161" t="str">
        <f>IFERROR(__xludf.DUMMYFUNCTION("""COMPUTED_VALUE"""),"Patrick Patterson")</f>
        <v>Patrick Patterson</v>
      </c>
      <c r="C282" s="162" t="str">
        <f>IFERROR(__xludf.DUMMYFUNCTION("""COMPUTED_VALUE"""),"2013-14")</f>
        <v>2013-14</v>
      </c>
      <c r="D282" s="163" t="str">
        <f>IFERROR(__xludf.DUMMYFUNCTION("""COMPUTED_VALUE"""),"TOT")</f>
        <v>TOT</v>
      </c>
      <c r="E282" s="164" t="str">
        <f>IFERROR(__xludf.DUMMYFUNCTION("""COMPUTED_VALUE"""),"Stretch Big")</f>
        <v>Stretch Big</v>
      </c>
      <c r="F282" s="164">
        <f>IFERROR(__xludf.DUMMYFUNCTION("""COMPUTED_VALUE"""),1532.46)</f>
        <v>1532.46</v>
      </c>
      <c r="G282" s="163">
        <f>IFERROR(__xludf.DUMMYFUNCTION("""COMPUTED_VALUE"""),65.0)</f>
        <v>65</v>
      </c>
      <c r="H282" s="163" t="str">
        <f>IFERROR(__xludf.DUMMYFUNCTION("""COMPUTED_VALUE"""),"PF")</f>
        <v>PF</v>
      </c>
      <c r="I282" s="163">
        <f>IFERROR(__xludf.DUMMYFUNCTION("""COMPUTED_VALUE"""),24.0)</f>
        <v>24</v>
      </c>
      <c r="J282" s="165">
        <f>IFERROR(__xludf.DUMMYFUNCTION("""COMPUTED_VALUE"""),1.08957869583721)</f>
        <v>1.089578696</v>
      </c>
      <c r="K282" s="165">
        <f>IFERROR(__xludf.DUMMYFUNCTION("""COMPUTED_VALUE"""),0.326683973464471)</f>
        <v>0.3266839735</v>
      </c>
      <c r="L282" s="165">
        <f>IFERROR(__xludf.DUMMYFUNCTION("""COMPUTED_VALUE"""),0.762894722372737)</f>
        <v>0.7628947224</v>
      </c>
      <c r="M282" s="166">
        <f t="shared" si="2"/>
        <v>3.486408463</v>
      </c>
      <c r="N282" s="167">
        <f t="shared" si="3"/>
        <v>23.57630769</v>
      </c>
      <c r="O282" s="163">
        <f t="shared" ref="O282:Q282" si="286">rank(I282,I:I)</f>
        <v>2361</v>
      </c>
      <c r="P282" s="163">
        <f t="shared" si="286"/>
        <v>624</v>
      </c>
      <c r="Q282" s="163">
        <f t="shared" si="286"/>
        <v>886</v>
      </c>
      <c r="R282" s="163">
        <f>IFERROR(__xludf.DUMMYFUNCTION("RANK(M282,filter(M:M,C:C=C282))"),99.0)</f>
        <v>99</v>
      </c>
      <c r="S282" s="161" t="b">
        <f t="shared" si="5"/>
        <v>0</v>
      </c>
      <c r="T282" s="161" t="b">
        <f t="array" ref="T282">index('Query Tool'!B:B,match(H282,'Query Tool'!C:C,0))</f>
        <v>1</v>
      </c>
      <c r="U282" s="161" t="b">
        <f t="array" ref="U282">index('Query Tool'!B:B,match(C282,'Query Tool'!C:C,0))</f>
        <v>0</v>
      </c>
      <c r="V282" s="161" t="b">
        <f>F282&gt;='Query Tool'!C$32</f>
        <v>1</v>
      </c>
      <c r="W282" s="161" t="b">
        <f t="array" ref="W282">index(Dropdowns!B:B,match(I282,Dropdowns!A:A,0))</f>
        <v>1</v>
      </c>
      <c r="X282" s="161" t="b">
        <f t="array" ref="X282">index('Query Tool'!B:B,match(D282,'Query Tool'!C:C,0))</f>
        <v>1</v>
      </c>
      <c r="Y282" s="161" t="str">
        <f t="shared" si="6"/>
        <v>pattepa01,2013-14</v>
      </c>
      <c r="Z282" s="168">
        <f t="array" ref="Z282">iferror(index(I:I,match($A282&amp;","&amp;index('Year Conversion'!$A:$A,match($C282,'Year Conversion'!$B:$B,0)),$Y:$Y,0))-I282,"")</f>
        <v>1</v>
      </c>
      <c r="AA282" s="168">
        <f t="array" ref="AA282">iferror(index(J:J,match($A282&amp;","&amp;index('Year Conversion'!$A:$A,match($C282,'Year Conversion'!$B:$B,0)),$Y:$Y,0))-J282,"")</f>
        <v>-0.1125777036</v>
      </c>
      <c r="AB282" s="168">
        <f t="array" ref="AB282">iferror(index(K:K,match($A282&amp;","&amp;index('Year Conversion'!$A:$A,match($C282,'Year Conversion'!$B:$B,0)),$Y:$Y,0))-K282,"")</f>
        <v>1.639641803</v>
      </c>
      <c r="AC282" s="168" t="str">
        <f t="shared" si="7"/>
        <v>TOT,2013-14</v>
      </c>
    </row>
    <row r="283">
      <c r="A283" s="161" t="str">
        <f>IFERROR(__xludf.DUMMYFUNCTION("""COMPUTED_VALUE"""),"sandela01")</f>
        <v>sandela01</v>
      </c>
      <c r="B283" s="161" t="str">
        <f>IFERROR(__xludf.DUMMYFUNCTION("""COMPUTED_VALUE"""),"Larry Sanders")</f>
        <v>Larry Sanders</v>
      </c>
      <c r="C283" s="162" t="str">
        <f>IFERROR(__xludf.DUMMYFUNCTION("""COMPUTED_VALUE"""),"2013-14")</f>
        <v>2013-14</v>
      </c>
      <c r="D283" s="163" t="str">
        <f>IFERROR(__xludf.DUMMYFUNCTION("""COMPUTED_VALUE"""),"MIL")</f>
        <v>MIL</v>
      </c>
      <c r="E283" s="164" t="str">
        <f>IFERROR(__xludf.DUMMYFUNCTION("""COMPUTED_VALUE"""),"Post Scorer")</f>
        <v>Post Scorer</v>
      </c>
      <c r="F283" s="164">
        <f>IFERROR(__xludf.DUMMYFUNCTION("""COMPUTED_VALUE"""),584.431666666667)</f>
        <v>584.4316667</v>
      </c>
      <c r="G283" s="163">
        <f>IFERROR(__xludf.DUMMYFUNCTION("""COMPUTED_VALUE"""),23.0)</f>
        <v>23</v>
      </c>
      <c r="H283" s="163" t="str">
        <f>IFERROR(__xludf.DUMMYFUNCTION("""COMPUTED_VALUE"""),"C")</f>
        <v>C</v>
      </c>
      <c r="I283" s="163">
        <f>IFERROR(__xludf.DUMMYFUNCTION("""COMPUTED_VALUE"""),25.0)</f>
        <v>25</v>
      </c>
      <c r="J283" s="165">
        <f>IFERROR(__xludf.DUMMYFUNCTION("""COMPUTED_VALUE"""),0.541682156449073)</f>
        <v>0.5416821564</v>
      </c>
      <c r="K283" s="165">
        <f>IFERROR(__xludf.DUMMYFUNCTION("""COMPUTED_VALUE"""),-1.93962752510131)</f>
        <v>-1.939627525</v>
      </c>
      <c r="L283" s="165">
        <f>IFERROR(__xludf.DUMMYFUNCTION("""COMPUTED_VALUE"""),2.48130968155038)</f>
        <v>2.481309682</v>
      </c>
      <c r="M283" s="166">
        <f t="shared" si="2"/>
        <v>1.114344318</v>
      </c>
      <c r="N283" s="167">
        <f t="shared" si="3"/>
        <v>25.41007246</v>
      </c>
      <c r="O283" s="163">
        <f t="shared" ref="O283:Q283" si="287">rank(I283,I:I)</f>
        <v>1995</v>
      </c>
      <c r="P283" s="163">
        <f t="shared" si="287"/>
        <v>877</v>
      </c>
      <c r="Q283" s="163">
        <f t="shared" si="287"/>
        <v>3678</v>
      </c>
      <c r="R283" s="163">
        <f>IFERROR(__xludf.DUMMYFUNCTION("RANK(M283,filter(M:M,C:C=C283))"),217.0)</f>
        <v>217</v>
      </c>
      <c r="S283" s="161" t="b">
        <f t="shared" si="5"/>
        <v>0</v>
      </c>
      <c r="T283" s="161" t="b">
        <f t="array" ref="T283">index('Query Tool'!B:B,match(H283,'Query Tool'!C:C,0))</f>
        <v>1</v>
      </c>
      <c r="U283" s="161" t="b">
        <f t="array" ref="U283">index('Query Tool'!B:B,match(C283,'Query Tool'!C:C,0))</f>
        <v>0</v>
      </c>
      <c r="V283" s="161" t="b">
        <f>F283&gt;='Query Tool'!C$32</f>
        <v>1</v>
      </c>
      <c r="W283" s="161" t="b">
        <f t="array" ref="W283">index(Dropdowns!B:B,match(I283,Dropdowns!A:A,0))</f>
        <v>1</v>
      </c>
      <c r="X283" s="161" t="b">
        <f t="array" ref="X283">index('Query Tool'!B:B,match(D283,'Query Tool'!C:C,0))</f>
        <v>1</v>
      </c>
      <c r="Y283" s="161" t="str">
        <f t="shared" si="6"/>
        <v>sandela01,2013-14</v>
      </c>
      <c r="Z283" s="168">
        <f t="array" ref="Z283">iferror(index(I:I,match($A283&amp;","&amp;index('Year Conversion'!$A:$A,match($C283,'Year Conversion'!$B:$B,0)),$Y:$Y,0))-I283,"")</f>
        <v>1</v>
      </c>
      <c r="AA283" s="168">
        <f t="array" ref="AA283">iferror(index(J:J,match($A283&amp;","&amp;index('Year Conversion'!$A:$A,match($C283,'Year Conversion'!$B:$B,0)),$Y:$Y,0))-J283,"")</f>
        <v>-0.1549287135</v>
      </c>
      <c r="AB283" s="168">
        <f t="array" ref="AB283">iferror(index(K:K,match($A283&amp;","&amp;index('Year Conversion'!$A:$A,match($C283,'Year Conversion'!$B:$B,0)),$Y:$Y,0))-K283,"")</f>
        <v>0.2267597308</v>
      </c>
      <c r="AC283" s="168" t="str">
        <f t="shared" si="7"/>
        <v>MIL,2013-14</v>
      </c>
    </row>
    <row r="284">
      <c r="A284" s="161" t="str">
        <f>IFERROR(__xludf.DUMMYFUNCTION("""COMPUTED_VALUE"""),"babbilu01")</f>
        <v>babbilu01</v>
      </c>
      <c r="B284" s="161" t="str">
        <f>IFERROR(__xludf.DUMMYFUNCTION("""COMPUTED_VALUE"""),"Luke Babbitt")</f>
        <v>Luke Babbitt</v>
      </c>
      <c r="C284" s="162" t="str">
        <f>IFERROR(__xludf.DUMMYFUNCTION("""COMPUTED_VALUE"""),"2013-14")</f>
        <v>2013-14</v>
      </c>
      <c r="D284" s="163" t="str">
        <f>IFERROR(__xludf.DUMMYFUNCTION("""COMPUTED_VALUE"""),"NOP")</f>
        <v>NOP</v>
      </c>
      <c r="E284" s="164" t="str">
        <f>IFERROR(__xludf.DUMMYFUNCTION("""COMPUTED_VALUE"""),"Stationary Shooter")</f>
        <v>Stationary Shooter</v>
      </c>
      <c r="F284" s="164">
        <f>IFERROR(__xludf.DUMMYFUNCTION("""COMPUTED_VALUE"""),473.39)</f>
        <v>473.39</v>
      </c>
      <c r="G284" s="163">
        <f>IFERROR(__xludf.DUMMYFUNCTION("""COMPUTED_VALUE"""),27.0)</f>
        <v>27</v>
      </c>
      <c r="H284" s="163" t="str">
        <f>IFERROR(__xludf.DUMMYFUNCTION("""COMPUTED_VALUE"""),"PF")</f>
        <v>PF</v>
      </c>
      <c r="I284" s="163">
        <f>IFERROR(__xludf.DUMMYFUNCTION("""COMPUTED_VALUE"""),24.0)</f>
        <v>24</v>
      </c>
      <c r="J284" s="165">
        <f>IFERROR(__xludf.DUMMYFUNCTION("""COMPUTED_VALUE"""),0.622353996104017)</f>
        <v>0.6223539961</v>
      </c>
      <c r="K284" s="165">
        <f>IFERROR(__xludf.DUMMYFUNCTION("""COMPUTED_VALUE"""),1.28943847134791)</f>
        <v>1.289438471</v>
      </c>
      <c r="L284" s="165">
        <f>IFERROR(__xludf.DUMMYFUNCTION("""COMPUTED_VALUE"""),-0.667084475243893)</f>
        <v>-0.6670844752</v>
      </c>
      <c r="M284" s="166">
        <f t="shared" si="2"/>
        <v>0.9283299914</v>
      </c>
      <c r="N284" s="167">
        <f t="shared" si="3"/>
        <v>17.53296296</v>
      </c>
      <c r="O284" s="163">
        <f t="shared" ref="O284:Q284" si="288">rank(I284,I:I)</f>
        <v>2361</v>
      </c>
      <c r="P284" s="163">
        <f t="shared" si="288"/>
        <v>834</v>
      </c>
      <c r="Q284" s="163">
        <f t="shared" si="288"/>
        <v>388</v>
      </c>
      <c r="R284" s="163">
        <f>IFERROR(__xludf.DUMMYFUNCTION("RANK(M284,filter(M:M,C:C=C284))"),230.0)</f>
        <v>230</v>
      </c>
      <c r="S284" s="161" t="b">
        <f t="shared" si="5"/>
        <v>0</v>
      </c>
      <c r="T284" s="161" t="b">
        <f t="array" ref="T284">index('Query Tool'!B:B,match(H284,'Query Tool'!C:C,0))</f>
        <v>1</v>
      </c>
      <c r="U284" s="161" t="b">
        <f t="array" ref="U284">index('Query Tool'!B:B,match(C284,'Query Tool'!C:C,0))</f>
        <v>0</v>
      </c>
      <c r="V284" s="161" t="b">
        <f>F284&gt;='Query Tool'!C$32</f>
        <v>0</v>
      </c>
      <c r="W284" s="161" t="b">
        <f t="array" ref="W284">index(Dropdowns!B:B,match(I284,Dropdowns!A:A,0))</f>
        <v>1</v>
      </c>
      <c r="X284" s="161" t="b">
        <f t="array" ref="X284">index('Query Tool'!B:B,match(D284,'Query Tool'!C:C,0))</f>
        <v>1</v>
      </c>
      <c r="Y284" s="161" t="str">
        <f t="shared" si="6"/>
        <v>babbilu01,2013-14</v>
      </c>
      <c r="Z284" s="168">
        <f t="array" ref="Z284">iferror(index(I:I,match($A284&amp;","&amp;index('Year Conversion'!$A:$A,match($C284,'Year Conversion'!$B:$B,0)),$Y:$Y,0))-I284,"")</f>
        <v>1</v>
      </c>
      <c r="AA284" s="168">
        <f t="array" ref="AA284">iferror(index(J:J,match($A284&amp;","&amp;index('Year Conversion'!$A:$A,match($C284,'Year Conversion'!$B:$B,0)),$Y:$Y,0))-J284,"")</f>
        <v>-3.788124841</v>
      </c>
      <c r="AB284" s="168">
        <f t="array" ref="AB284">iferror(index(K:K,match($A284&amp;","&amp;index('Year Conversion'!$A:$A,match($C284,'Year Conversion'!$B:$B,0)),$Y:$Y,0))-K284,"")</f>
        <v>-3.3695645</v>
      </c>
      <c r="AC284" s="168" t="str">
        <f t="shared" si="7"/>
        <v>NOP,2013-14</v>
      </c>
    </row>
    <row r="285">
      <c r="A285" s="161" t="str">
        <f>IFERROR(__xludf.DUMMYFUNCTION("""COMPUTED_VALUE"""),"serapke01")</f>
        <v>serapke01</v>
      </c>
      <c r="B285" s="161" t="str">
        <f>IFERROR(__xludf.DUMMYFUNCTION("""COMPUTED_VALUE"""),"Kevin Seraphin")</f>
        <v>Kevin Seraphin</v>
      </c>
      <c r="C285" s="162" t="str">
        <f>IFERROR(__xludf.DUMMYFUNCTION("""COMPUTED_VALUE"""),"2013-14")</f>
        <v>2013-14</v>
      </c>
      <c r="D285" s="163" t="str">
        <f>IFERROR(__xludf.DUMMYFUNCTION("""COMPUTED_VALUE"""),"WAS")</f>
        <v>WAS</v>
      </c>
      <c r="E285" s="164" t="str">
        <f>IFERROR(__xludf.DUMMYFUNCTION("""COMPUTED_VALUE"""),"Post Scorer")</f>
        <v>Post Scorer</v>
      </c>
      <c r="F285" s="164">
        <f>IFERROR(__xludf.DUMMYFUNCTION("""COMPUTED_VALUE"""),578.425)</f>
        <v>578.425</v>
      </c>
      <c r="G285" s="163">
        <f>IFERROR(__xludf.DUMMYFUNCTION("""COMPUTED_VALUE"""),53.0)</f>
        <v>53</v>
      </c>
      <c r="H285" s="163" t="str">
        <f>IFERROR(__xludf.DUMMYFUNCTION("""COMPUTED_VALUE"""),"C")</f>
        <v>C</v>
      </c>
      <c r="I285" s="163">
        <f>IFERROR(__xludf.DUMMYFUNCTION("""COMPUTED_VALUE"""),24.0)</f>
        <v>24</v>
      </c>
      <c r="J285" s="165">
        <f>IFERROR(__xludf.DUMMYFUNCTION("""COMPUTED_VALUE"""),-2.72351205608212)</f>
        <v>-2.723512056</v>
      </c>
      <c r="K285" s="165">
        <f>IFERROR(__xludf.DUMMYFUNCTION("""COMPUTED_VALUE"""),-2.62094798074183)</f>
        <v>-2.620947981</v>
      </c>
      <c r="L285" s="165">
        <f>IFERROR(__xludf.DUMMYFUNCTION("""COMPUTED_VALUE"""),-0.102564075340287)</f>
        <v>-0.1025640753</v>
      </c>
      <c r="M285" s="166">
        <f t="shared" si="2"/>
        <v>-0.1595340138</v>
      </c>
      <c r="N285" s="167">
        <f t="shared" si="3"/>
        <v>10.91367925</v>
      </c>
      <c r="O285" s="163">
        <f t="shared" ref="O285:Q285" si="289">rank(I285,I:I)</f>
        <v>2361</v>
      </c>
      <c r="P285" s="163">
        <f t="shared" si="289"/>
        <v>3818</v>
      </c>
      <c r="Q285" s="163">
        <f t="shared" si="289"/>
        <v>3918</v>
      </c>
      <c r="R285" s="163">
        <f>IFERROR(__xludf.DUMMYFUNCTION("RANK(M285,filter(M:M,C:C=C285))"),450.0)</f>
        <v>450</v>
      </c>
      <c r="S285" s="161" t="b">
        <f t="shared" si="5"/>
        <v>0</v>
      </c>
      <c r="T285" s="161" t="b">
        <f t="array" ref="T285">index('Query Tool'!B:B,match(H285,'Query Tool'!C:C,0))</f>
        <v>1</v>
      </c>
      <c r="U285" s="161" t="b">
        <f t="array" ref="U285">index('Query Tool'!B:B,match(C285,'Query Tool'!C:C,0))</f>
        <v>0</v>
      </c>
      <c r="V285" s="161" t="b">
        <f>F285&gt;='Query Tool'!C$32</f>
        <v>1</v>
      </c>
      <c r="W285" s="161" t="b">
        <f t="array" ref="W285">index(Dropdowns!B:B,match(I285,Dropdowns!A:A,0))</f>
        <v>1</v>
      </c>
      <c r="X285" s="161" t="b">
        <f t="array" ref="X285">index('Query Tool'!B:B,match(D285,'Query Tool'!C:C,0))</f>
        <v>1</v>
      </c>
      <c r="Y285" s="161" t="str">
        <f t="shared" si="6"/>
        <v>serapke01,2013-14</v>
      </c>
      <c r="Z285" s="168">
        <f t="array" ref="Z285">iferror(index(I:I,match($A285&amp;","&amp;index('Year Conversion'!$A:$A,match($C285,'Year Conversion'!$B:$B,0)),$Y:$Y,0))-I285,"")</f>
        <v>1</v>
      </c>
      <c r="AA285" s="168">
        <f t="array" ref="AA285">iferror(index(J:J,match($A285&amp;","&amp;index('Year Conversion'!$A:$A,match($C285,'Year Conversion'!$B:$B,0)),$Y:$Y,0))-J285,"")</f>
        <v>0.5791795867</v>
      </c>
      <c r="AB285" s="168">
        <f t="array" ref="AB285">iferror(index(K:K,match($A285&amp;","&amp;index('Year Conversion'!$A:$A,match($C285,'Year Conversion'!$B:$B,0)),$Y:$Y,0))-K285,"")</f>
        <v>0.3242540405</v>
      </c>
      <c r="AC285" s="168" t="str">
        <f t="shared" si="7"/>
        <v>WAS,2013-14</v>
      </c>
    </row>
    <row r="286">
      <c r="A286" s="161" t="str">
        <f>IFERROR(__xludf.DUMMYFUNCTION("""COMPUTED_VALUE"""),"bledser01")</f>
        <v>bledser01</v>
      </c>
      <c r="B286" s="161" t="str">
        <f>IFERROR(__xludf.DUMMYFUNCTION("""COMPUTED_VALUE"""),"Eric Bledsoe")</f>
        <v>Eric Bledsoe</v>
      </c>
      <c r="C286" s="162" t="str">
        <f>IFERROR(__xludf.DUMMYFUNCTION("""COMPUTED_VALUE"""),"2013-14")</f>
        <v>2013-14</v>
      </c>
      <c r="D286" s="163" t="str">
        <f>IFERROR(__xludf.DUMMYFUNCTION("""COMPUTED_VALUE"""),"PHO")</f>
        <v>PHO</v>
      </c>
      <c r="E286" s="164" t="str">
        <f>IFERROR(__xludf.DUMMYFUNCTION("""COMPUTED_VALUE"""),"Slasher")</f>
        <v>Slasher</v>
      </c>
      <c r="F286" s="164">
        <f>IFERROR(__xludf.DUMMYFUNCTION("""COMPUTED_VALUE"""),1416.47333333333)</f>
        <v>1416.473333</v>
      </c>
      <c r="G286" s="163">
        <f>IFERROR(__xludf.DUMMYFUNCTION("""COMPUTED_VALUE"""),43.0)</f>
        <v>43</v>
      </c>
      <c r="H286" s="163" t="str">
        <f>IFERROR(__xludf.DUMMYFUNCTION("""COMPUTED_VALUE"""),"PG")</f>
        <v>PG</v>
      </c>
      <c r="I286" s="163">
        <f>IFERROR(__xludf.DUMMYFUNCTION("""COMPUTED_VALUE"""),24.0)</f>
        <v>24</v>
      </c>
      <c r="J286" s="165">
        <f>IFERROR(__xludf.DUMMYFUNCTION("""COMPUTED_VALUE"""),1.64220735298878)</f>
        <v>1.642207353</v>
      </c>
      <c r="K286" s="165">
        <f>IFERROR(__xludf.DUMMYFUNCTION("""COMPUTED_VALUE"""),0.721618488083035)</f>
        <v>0.7216184881</v>
      </c>
      <c r="L286" s="165">
        <f>IFERROR(__xludf.DUMMYFUNCTION("""COMPUTED_VALUE"""),0.920588864905746)</f>
        <v>0.9205888649</v>
      </c>
      <c r="M286" s="166">
        <f t="shared" si="2"/>
        <v>3.746142485</v>
      </c>
      <c r="N286" s="167">
        <f t="shared" si="3"/>
        <v>32.94124031</v>
      </c>
      <c r="O286" s="163">
        <f t="shared" ref="O286:Q286" si="290">rank(I286,I:I)</f>
        <v>2361</v>
      </c>
      <c r="P286" s="163">
        <f t="shared" si="290"/>
        <v>417</v>
      </c>
      <c r="Q286" s="163">
        <f t="shared" si="290"/>
        <v>638</v>
      </c>
      <c r="R286" s="163">
        <f>IFERROR(__xludf.DUMMYFUNCTION("RANK(M286,filter(M:M,C:C=C286))"),90.0)</f>
        <v>90</v>
      </c>
      <c r="S286" s="161" t="b">
        <f t="shared" si="5"/>
        <v>0</v>
      </c>
      <c r="T286" s="161" t="b">
        <f t="array" ref="T286">index('Query Tool'!B:B,match(H286,'Query Tool'!C:C,0))</f>
        <v>1</v>
      </c>
      <c r="U286" s="161" t="b">
        <f t="array" ref="U286">index('Query Tool'!B:B,match(C286,'Query Tool'!C:C,0))</f>
        <v>0</v>
      </c>
      <c r="V286" s="161" t="b">
        <f>F286&gt;='Query Tool'!C$32</f>
        <v>1</v>
      </c>
      <c r="W286" s="161" t="b">
        <f t="array" ref="W286">index(Dropdowns!B:B,match(I286,Dropdowns!A:A,0))</f>
        <v>1</v>
      </c>
      <c r="X286" s="161" t="b">
        <f t="array" ref="X286">index('Query Tool'!B:B,match(D286,'Query Tool'!C:C,0))</f>
        <v>1</v>
      </c>
      <c r="Y286" s="161" t="str">
        <f t="shared" si="6"/>
        <v>bledser01,2013-14</v>
      </c>
      <c r="Z286" s="168">
        <f t="array" ref="Z286">iferror(index(I:I,match($A286&amp;","&amp;index('Year Conversion'!$A:$A,match($C286,'Year Conversion'!$B:$B,0)),$Y:$Y,0))-I286,"")</f>
        <v>1</v>
      </c>
      <c r="AA286" s="168">
        <f t="array" ref="AA286">iferror(index(J:J,match($A286&amp;","&amp;index('Year Conversion'!$A:$A,match($C286,'Year Conversion'!$B:$B,0)),$Y:$Y,0))-J286,"")</f>
        <v>1.24245773</v>
      </c>
      <c r="AB286" s="168">
        <f t="array" ref="AB286">iferror(index(K:K,match($A286&amp;","&amp;index('Year Conversion'!$A:$A,match($C286,'Year Conversion'!$B:$B,0)),$Y:$Y,0))-K286,"")</f>
        <v>0.6193785783</v>
      </c>
      <c r="AC286" s="168" t="str">
        <f t="shared" si="7"/>
        <v>PHO,2013-14</v>
      </c>
    </row>
    <row r="287">
      <c r="A287" s="161" t="str">
        <f>IFERROR(__xludf.DUMMYFUNCTION("""COMPUTED_VALUE"""),"bradlav01")</f>
        <v>bradlav01</v>
      </c>
      <c r="B287" s="161" t="str">
        <f>IFERROR(__xludf.DUMMYFUNCTION("""COMPUTED_VALUE"""),"Avery Bradley")</f>
        <v>Avery Bradley</v>
      </c>
      <c r="C287" s="162" t="str">
        <f>IFERROR(__xludf.DUMMYFUNCTION("""COMPUTED_VALUE"""),"2013-14")</f>
        <v>2013-14</v>
      </c>
      <c r="D287" s="163" t="str">
        <f>IFERROR(__xludf.DUMMYFUNCTION("""COMPUTED_VALUE"""),"BOS")</f>
        <v>BOS</v>
      </c>
      <c r="E287" s="164" t="str">
        <f>IFERROR(__xludf.DUMMYFUNCTION("""COMPUTED_VALUE"""),"Secondary Ball Handler")</f>
        <v>Secondary Ball Handler</v>
      </c>
      <c r="F287" s="164">
        <f>IFERROR(__xludf.DUMMYFUNCTION("""COMPUTED_VALUE"""),1855.095)</f>
        <v>1855.095</v>
      </c>
      <c r="G287" s="163">
        <f>IFERROR(__xludf.DUMMYFUNCTION("""COMPUTED_VALUE"""),60.0)</f>
        <v>60</v>
      </c>
      <c r="H287" s="163" t="str">
        <f>IFERROR(__xludf.DUMMYFUNCTION("""COMPUTED_VALUE"""),"SG")</f>
        <v>SG</v>
      </c>
      <c r="I287" s="163">
        <f>IFERROR(__xludf.DUMMYFUNCTION("""COMPUTED_VALUE"""),23.0)</f>
        <v>23</v>
      </c>
      <c r="J287" s="165">
        <f>IFERROR(__xludf.DUMMYFUNCTION("""COMPUTED_VALUE"""),-0.903210429908165)</f>
        <v>-0.9032104299</v>
      </c>
      <c r="K287" s="165">
        <f>IFERROR(__xludf.DUMMYFUNCTION("""COMPUTED_VALUE"""),-0.832926849622834)</f>
        <v>-0.8329268496</v>
      </c>
      <c r="L287" s="165">
        <f>IFERROR(__xludf.DUMMYFUNCTION("""COMPUTED_VALUE"""),-0.0702835802853303)</f>
        <v>-0.07028358029</v>
      </c>
      <c r="M287" s="166">
        <f t="shared" si="2"/>
        <v>1.731583797</v>
      </c>
      <c r="N287" s="167">
        <f t="shared" si="3"/>
        <v>30.91825</v>
      </c>
      <c r="O287" s="163">
        <f t="shared" ref="O287:Q287" si="291">rank(I287,I:I)</f>
        <v>2765</v>
      </c>
      <c r="P287" s="163">
        <f t="shared" si="291"/>
        <v>2398</v>
      </c>
      <c r="Q287" s="163">
        <f t="shared" si="291"/>
        <v>2595</v>
      </c>
      <c r="R287" s="163">
        <f>IFERROR(__xludf.DUMMYFUNCTION("RANK(M287,filter(M:M,C:C=C287))"),170.0)</f>
        <v>170</v>
      </c>
      <c r="S287" s="161" t="b">
        <f t="shared" si="5"/>
        <v>0</v>
      </c>
      <c r="T287" s="161" t="b">
        <f t="array" ref="T287">index('Query Tool'!B:B,match(H287,'Query Tool'!C:C,0))</f>
        <v>1</v>
      </c>
      <c r="U287" s="161" t="b">
        <f t="array" ref="U287">index('Query Tool'!B:B,match(C287,'Query Tool'!C:C,0))</f>
        <v>0</v>
      </c>
      <c r="V287" s="161" t="b">
        <f>F287&gt;='Query Tool'!C$32</f>
        <v>1</v>
      </c>
      <c r="W287" s="161" t="b">
        <f t="array" ref="W287">index(Dropdowns!B:B,match(I287,Dropdowns!A:A,0))</f>
        <v>1</v>
      </c>
      <c r="X287" s="161" t="b">
        <f t="array" ref="X287">index('Query Tool'!B:B,match(D287,'Query Tool'!C:C,0))</f>
        <v>1</v>
      </c>
      <c r="Y287" s="161" t="str">
        <f t="shared" si="6"/>
        <v>bradlav01,2013-14</v>
      </c>
      <c r="Z287" s="168">
        <f t="array" ref="Z287">iferror(index(I:I,match($A287&amp;","&amp;index('Year Conversion'!$A:$A,match($C287,'Year Conversion'!$B:$B,0)),$Y:$Y,0))-I287,"")</f>
        <v>1</v>
      </c>
      <c r="AA287" s="168">
        <f t="array" ref="AA287">iferror(index(J:J,match($A287&amp;","&amp;index('Year Conversion'!$A:$A,match($C287,'Year Conversion'!$B:$B,0)),$Y:$Y,0))-J287,"")</f>
        <v>0.4551836727</v>
      </c>
      <c r="AB287" s="168">
        <f t="array" ref="AB287">iferror(index(K:K,match($A287&amp;","&amp;index('Year Conversion'!$A:$A,match($C287,'Year Conversion'!$B:$B,0)),$Y:$Y,0))-K287,"")</f>
        <v>0.2620328415</v>
      </c>
      <c r="AC287" s="168" t="str">
        <f t="shared" si="7"/>
        <v>BOS,2013-14</v>
      </c>
    </row>
    <row r="288">
      <c r="A288" s="161" t="str">
        <f>IFERROR(__xludf.DUMMYFUNCTION("""COMPUTED_VALUE"""),"anderja01")</f>
        <v>anderja01</v>
      </c>
      <c r="B288" s="161" t="str">
        <f>IFERROR(__xludf.DUMMYFUNCTION("""COMPUTED_VALUE"""),"James Anderson")</f>
        <v>James Anderson</v>
      </c>
      <c r="C288" s="162" t="str">
        <f>IFERROR(__xludf.DUMMYFUNCTION("""COMPUTED_VALUE"""),"2013-14")</f>
        <v>2013-14</v>
      </c>
      <c r="D288" s="163" t="str">
        <f>IFERROR(__xludf.DUMMYFUNCTION("""COMPUTED_VALUE"""),"PHI")</f>
        <v>PHI</v>
      </c>
      <c r="E288" s="164" t="str">
        <f>IFERROR(__xludf.DUMMYFUNCTION("""COMPUTED_VALUE"""),"Movement Shooter")</f>
        <v>Movement Shooter</v>
      </c>
      <c r="F288" s="164">
        <f>IFERROR(__xludf.DUMMYFUNCTION("""COMPUTED_VALUE"""),2309.245)</f>
        <v>2309.245</v>
      </c>
      <c r="G288" s="163">
        <f>IFERROR(__xludf.DUMMYFUNCTION("""COMPUTED_VALUE"""),80.0)</f>
        <v>80</v>
      </c>
      <c r="H288" s="163" t="str">
        <f>IFERROR(__xludf.DUMMYFUNCTION("""COMPUTED_VALUE"""),"SG")</f>
        <v>SG</v>
      </c>
      <c r="I288" s="163">
        <f>IFERROR(__xludf.DUMMYFUNCTION("""COMPUTED_VALUE"""),24.0)</f>
        <v>24</v>
      </c>
      <c r="J288" s="165">
        <f>IFERROR(__xludf.DUMMYFUNCTION("""COMPUTED_VALUE"""),-3.6691277593133)</f>
        <v>-3.669127759</v>
      </c>
      <c r="K288" s="165">
        <f>IFERROR(__xludf.DUMMYFUNCTION("""COMPUTED_VALUE"""),-2.18139552245673)</f>
        <v>-2.181395522</v>
      </c>
      <c r="L288" s="165">
        <f>IFERROR(__xludf.DUMMYFUNCTION("""COMPUTED_VALUE"""),-1.48773223685657)</f>
        <v>-1.487732237</v>
      </c>
      <c r="M288" s="166">
        <f t="shared" si="2"/>
        <v>-2.047774048</v>
      </c>
      <c r="N288" s="167">
        <f t="shared" si="3"/>
        <v>28.8655625</v>
      </c>
      <c r="O288" s="163">
        <f t="shared" ref="O288:Q288" si="292">rank(I288,I:I)</f>
        <v>2361</v>
      </c>
      <c r="P288" s="163">
        <f t="shared" si="292"/>
        <v>3980</v>
      </c>
      <c r="Q288" s="163">
        <f t="shared" si="292"/>
        <v>3796</v>
      </c>
      <c r="R288" s="163">
        <f>IFERROR(__xludf.DUMMYFUNCTION("RANK(M288,filter(M:M,C:C=C288))"),482.0)</f>
        <v>482</v>
      </c>
      <c r="S288" s="161" t="b">
        <f t="shared" si="5"/>
        <v>0</v>
      </c>
      <c r="T288" s="161" t="b">
        <f t="array" ref="T288">index('Query Tool'!B:B,match(H288,'Query Tool'!C:C,0))</f>
        <v>1</v>
      </c>
      <c r="U288" s="161" t="b">
        <f t="array" ref="U288">index('Query Tool'!B:B,match(C288,'Query Tool'!C:C,0))</f>
        <v>0</v>
      </c>
      <c r="V288" s="161" t="b">
        <f>F288&gt;='Query Tool'!C$32</f>
        <v>1</v>
      </c>
      <c r="W288" s="161" t="b">
        <f t="array" ref="W288">index(Dropdowns!B:B,match(I288,Dropdowns!A:A,0))</f>
        <v>1</v>
      </c>
      <c r="X288" s="161" t="b">
        <f t="array" ref="X288">index('Query Tool'!B:B,match(D288,'Query Tool'!C:C,0))</f>
        <v>1</v>
      </c>
      <c r="Y288" s="161" t="str">
        <f t="shared" si="6"/>
        <v>anderja01,2013-14</v>
      </c>
      <c r="Z288" s="168" t="str">
        <f t="array" ref="Z288">iferror(index(I:I,match($A288&amp;","&amp;index('Year Conversion'!$A:$A,match($C288,'Year Conversion'!$B:$B,0)),$Y:$Y,0))-I288,"")</f>
        <v/>
      </c>
      <c r="AA288" s="168" t="str">
        <f t="array" ref="AA288">iferror(index(J:J,match($A288&amp;","&amp;index('Year Conversion'!$A:$A,match($C288,'Year Conversion'!$B:$B,0)),$Y:$Y,0))-J288,"")</f>
        <v/>
      </c>
      <c r="AB288" s="168" t="str">
        <f t="array" ref="AB288">iferror(index(K:K,match($A288&amp;","&amp;index('Year Conversion'!$A:$A,match($C288,'Year Conversion'!$B:$B,0)),$Y:$Y,0))-K288,"")</f>
        <v/>
      </c>
      <c r="AC288" s="168" t="str">
        <f t="shared" si="7"/>
        <v>PHI,2013-14</v>
      </c>
    </row>
    <row r="289">
      <c r="A289" s="161" t="str">
        <f>IFERROR(__xludf.DUMMYFUNCTION("""COMPUTED_VALUE"""),"williel01")</f>
        <v>williel01</v>
      </c>
      <c r="B289" s="161" t="str">
        <f>IFERROR(__xludf.DUMMYFUNCTION("""COMPUTED_VALUE"""),"Elliot Williams")</f>
        <v>Elliot Williams</v>
      </c>
      <c r="C289" s="162" t="str">
        <f>IFERROR(__xludf.DUMMYFUNCTION("""COMPUTED_VALUE"""),"2013-14")</f>
        <v>2013-14</v>
      </c>
      <c r="D289" s="163" t="str">
        <f>IFERROR(__xludf.DUMMYFUNCTION("""COMPUTED_VALUE"""),"PHI")</f>
        <v>PHI</v>
      </c>
      <c r="E289" s="164" t="str">
        <f>IFERROR(__xludf.DUMMYFUNCTION("""COMPUTED_VALUE"""),"Movement Shooter")</f>
        <v>Movement Shooter</v>
      </c>
      <c r="F289" s="164">
        <f>IFERROR(__xludf.DUMMYFUNCTION("""COMPUTED_VALUE"""),1157.20166666667)</f>
        <v>1157.201667</v>
      </c>
      <c r="G289" s="163">
        <f>IFERROR(__xludf.DUMMYFUNCTION("""COMPUTED_VALUE"""),67.0)</f>
        <v>67</v>
      </c>
      <c r="H289" s="163" t="str">
        <f>IFERROR(__xludf.DUMMYFUNCTION("""COMPUTED_VALUE"""),"SG")</f>
        <v>SG</v>
      </c>
      <c r="I289" s="163">
        <f>IFERROR(__xludf.DUMMYFUNCTION("""COMPUTED_VALUE"""),24.0)</f>
        <v>24</v>
      </c>
      <c r="J289" s="165">
        <f>IFERROR(__xludf.DUMMYFUNCTION("""COMPUTED_VALUE"""),-4.66835680543513)</f>
        <v>-4.668356805</v>
      </c>
      <c r="K289" s="165">
        <f>IFERROR(__xludf.DUMMYFUNCTION("""COMPUTED_VALUE"""),-2.88245584850083)</f>
        <v>-2.882455849</v>
      </c>
      <c r="L289" s="165">
        <f>IFERROR(__xludf.DUMMYFUNCTION("""COMPUTED_VALUE"""),-1.78590095693429)</f>
        <v>-1.785900957</v>
      </c>
      <c r="M289" s="166">
        <f t="shared" si="2"/>
        <v>-1.751697951</v>
      </c>
      <c r="N289" s="167">
        <f t="shared" si="3"/>
        <v>17.27166667</v>
      </c>
      <c r="O289" s="163">
        <f t="shared" ref="O289:Q289" si="293">rank(I289,I:I)</f>
        <v>2361</v>
      </c>
      <c r="P289" s="163">
        <f t="shared" si="293"/>
        <v>4012</v>
      </c>
      <c r="Q289" s="163">
        <f t="shared" si="293"/>
        <v>3962</v>
      </c>
      <c r="R289" s="163">
        <f>IFERROR(__xludf.DUMMYFUNCTION("RANK(M289,filter(M:M,C:C=C289))"),481.0)</f>
        <v>481</v>
      </c>
      <c r="S289" s="161" t="b">
        <f t="shared" si="5"/>
        <v>0</v>
      </c>
      <c r="T289" s="161" t="b">
        <f t="array" ref="T289">index('Query Tool'!B:B,match(H289,'Query Tool'!C:C,0))</f>
        <v>1</v>
      </c>
      <c r="U289" s="161" t="b">
        <f t="array" ref="U289">index('Query Tool'!B:B,match(C289,'Query Tool'!C:C,0))</f>
        <v>0</v>
      </c>
      <c r="V289" s="161" t="b">
        <f>F289&gt;='Query Tool'!C$32</f>
        <v>1</v>
      </c>
      <c r="W289" s="161" t="b">
        <f t="array" ref="W289">index(Dropdowns!B:B,match(I289,Dropdowns!A:A,0))</f>
        <v>1</v>
      </c>
      <c r="X289" s="161" t="b">
        <f t="array" ref="X289">index('Query Tool'!B:B,match(D289,'Query Tool'!C:C,0))</f>
        <v>1</v>
      </c>
      <c r="Y289" s="161" t="str">
        <f t="shared" si="6"/>
        <v>williel01,2013-14</v>
      </c>
      <c r="Z289" s="168">
        <f t="array" ref="Z289">iferror(index(I:I,match($A289&amp;","&amp;index('Year Conversion'!$A:$A,match($C289,'Year Conversion'!$B:$B,0)),$Y:$Y,0))-I289,"")</f>
        <v>1</v>
      </c>
      <c r="AA289" s="168">
        <f t="array" ref="AA289">iferror(index(J:J,match($A289&amp;","&amp;index('Year Conversion'!$A:$A,match($C289,'Year Conversion'!$B:$B,0)),$Y:$Y,0))-J289,"")</f>
        <v>3.928499349</v>
      </c>
      <c r="AB289" s="168">
        <f t="array" ref="AB289">iferror(index(K:K,match($A289&amp;","&amp;index('Year Conversion'!$A:$A,match($C289,'Year Conversion'!$B:$B,0)),$Y:$Y,0))-K289,"")</f>
        <v>2.550216775</v>
      </c>
      <c r="AC289" s="168" t="str">
        <f t="shared" si="7"/>
        <v>PHI,2013-14</v>
      </c>
    </row>
    <row r="290">
      <c r="A290" s="161" t="str">
        <f>IFERROR(__xludf.DUMMYFUNCTION("""COMPUTED_VALUE"""),"booketr01")</f>
        <v>booketr01</v>
      </c>
      <c r="B290" s="161" t="str">
        <f>IFERROR(__xludf.DUMMYFUNCTION("""COMPUTED_VALUE"""),"Trevor Booker")</f>
        <v>Trevor Booker</v>
      </c>
      <c r="C290" s="162" t="str">
        <f>IFERROR(__xludf.DUMMYFUNCTION("""COMPUTED_VALUE"""),"2013-14")</f>
        <v>2013-14</v>
      </c>
      <c r="D290" s="163" t="str">
        <f>IFERROR(__xludf.DUMMYFUNCTION("""COMPUTED_VALUE"""),"WAS")</f>
        <v>WAS</v>
      </c>
      <c r="E290" s="164" t="str">
        <f>IFERROR(__xludf.DUMMYFUNCTION("""COMPUTED_VALUE"""),"Post Scorer")</f>
        <v>Post Scorer</v>
      </c>
      <c r="F290" s="164">
        <f>IFERROR(__xludf.DUMMYFUNCTION("""COMPUTED_VALUE"""),1553.42166666667)</f>
        <v>1553.421667</v>
      </c>
      <c r="G290" s="163">
        <f>IFERROR(__xludf.DUMMYFUNCTION("""COMPUTED_VALUE"""),72.0)</f>
        <v>72</v>
      </c>
      <c r="H290" s="163" t="str">
        <f>IFERROR(__xludf.DUMMYFUNCTION("""COMPUTED_VALUE"""),"PF")</f>
        <v>PF</v>
      </c>
      <c r="I290" s="163">
        <f>IFERROR(__xludf.DUMMYFUNCTION("""COMPUTED_VALUE"""),26.0)</f>
        <v>26</v>
      </c>
      <c r="J290" s="165">
        <f>IFERROR(__xludf.DUMMYFUNCTION("""COMPUTED_VALUE"""),-2.30517773591835)</f>
        <v>-2.305177736</v>
      </c>
      <c r="K290" s="165">
        <f>IFERROR(__xludf.DUMMYFUNCTION("""COMPUTED_VALUE"""),-1.22486613309508)</f>
        <v>-1.224866133</v>
      </c>
      <c r="L290" s="165">
        <f>IFERROR(__xludf.DUMMYFUNCTION("""COMPUTED_VALUE"""),-1.08031160282326)</f>
        <v>-1.080311603</v>
      </c>
      <c r="M290" s="166">
        <f t="shared" si="2"/>
        <v>-0.0016913333</v>
      </c>
      <c r="N290" s="167">
        <f t="shared" si="3"/>
        <v>21.57530093</v>
      </c>
      <c r="O290" s="163">
        <f t="shared" ref="O290:Q290" si="294">rank(I290,I:I)</f>
        <v>1665</v>
      </c>
      <c r="P290" s="163">
        <f t="shared" si="294"/>
        <v>3659</v>
      </c>
      <c r="Q290" s="163">
        <f t="shared" si="294"/>
        <v>3058</v>
      </c>
      <c r="R290" s="163">
        <f>IFERROR(__xludf.DUMMYFUNCTION("RANK(M290,filter(M:M,C:C=C290))"),432.0)</f>
        <v>432</v>
      </c>
      <c r="S290" s="161" t="b">
        <f t="shared" si="5"/>
        <v>0</v>
      </c>
      <c r="T290" s="161" t="b">
        <f t="array" ref="T290">index('Query Tool'!B:B,match(H290,'Query Tool'!C:C,0))</f>
        <v>1</v>
      </c>
      <c r="U290" s="161" t="b">
        <f t="array" ref="U290">index('Query Tool'!B:B,match(C290,'Query Tool'!C:C,0))</f>
        <v>0</v>
      </c>
      <c r="V290" s="161" t="b">
        <f>F290&gt;='Query Tool'!C$32</f>
        <v>1</v>
      </c>
      <c r="W290" s="161" t="b">
        <f t="array" ref="W290">index(Dropdowns!B:B,match(I290,Dropdowns!A:A,0))</f>
        <v>1</v>
      </c>
      <c r="X290" s="161" t="b">
        <f t="array" ref="X290">index('Query Tool'!B:B,match(D290,'Query Tool'!C:C,0))</f>
        <v>1</v>
      </c>
      <c r="Y290" s="161" t="str">
        <f t="shared" si="6"/>
        <v>booketr01,2013-14</v>
      </c>
      <c r="Z290" s="168">
        <f t="array" ref="Z290">iferror(index(I:I,match($A290&amp;","&amp;index('Year Conversion'!$A:$A,match($C290,'Year Conversion'!$B:$B,0)),$Y:$Y,0))-I290,"")</f>
        <v>1</v>
      </c>
      <c r="AA290" s="168">
        <f t="array" ref="AA290">iferror(index(J:J,match($A290&amp;","&amp;index('Year Conversion'!$A:$A,match($C290,'Year Conversion'!$B:$B,0)),$Y:$Y,0))-J290,"")</f>
        <v>2.343522486</v>
      </c>
      <c r="AB290" s="168">
        <f t="array" ref="AB290">iferror(index(K:K,match($A290&amp;","&amp;index('Year Conversion'!$A:$A,match($C290,'Year Conversion'!$B:$B,0)),$Y:$Y,0))-K290,"")</f>
        <v>1.212872135</v>
      </c>
      <c r="AC290" s="168" t="str">
        <f t="shared" si="7"/>
        <v>WAS,2013-14</v>
      </c>
    </row>
    <row r="291">
      <c r="A291" s="161" t="str">
        <f>IFERROR(__xludf.DUMMYFUNCTION("""COMPUTED_VALUE"""),"jamesda01")</f>
        <v>jamesda01</v>
      </c>
      <c r="B291" s="161" t="str">
        <f>IFERROR(__xludf.DUMMYFUNCTION("""COMPUTED_VALUE"""),"Damion James")</f>
        <v>Damion James</v>
      </c>
      <c r="C291" s="162" t="str">
        <f>IFERROR(__xludf.DUMMYFUNCTION("""COMPUTED_VALUE"""),"2013-14")</f>
        <v>2013-14</v>
      </c>
      <c r="D291" s="163" t="str">
        <f>IFERROR(__xludf.DUMMYFUNCTION("""COMPUTED_VALUE"""),"SAS")</f>
        <v>SAS</v>
      </c>
      <c r="E291" s="164" t="str">
        <f>IFERROR(__xludf.DUMMYFUNCTION("""COMPUTED_VALUE"""),"Off Screen Shooter")</f>
        <v>Off Screen Shooter</v>
      </c>
      <c r="F291" s="164">
        <f>IFERROR(__xludf.DUMMYFUNCTION("""COMPUTED_VALUE"""),50.355)</f>
        <v>50.355</v>
      </c>
      <c r="G291" s="163">
        <f>IFERROR(__xludf.DUMMYFUNCTION("""COMPUTED_VALUE"""),5.0)</f>
        <v>5</v>
      </c>
      <c r="H291" s="163" t="str">
        <f>IFERROR(__xludf.DUMMYFUNCTION("""COMPUTED_VALUE"""),"SF")</f>
        <v>SF</v>
      </c>
      <c r="I291" s="163">
        <f>IFERROR(__xludf.DUMMYFUNCTION("""COMPUTED_VALUE"""),26.0)</f>
        <v>26</v>
      </c>
      <c r="J291" s="165">
        <f>IFERROR(__xludf.DUMMYFUNCTION("""COMPUTED_VALUE"""),-0.761503504040737)</f>
        <v>-0.761503504</v>
      </c>
      <c r="K291" s="165">
        <f>IFERROR(__xludf.DUMMYFUNCTION("""COMPUTED_VALUE"""),-0.205932842565302)</f>
        <v>-0.2059328426</v>
      </c>
      <c r="L291" s="165">
        <f>IFERROR(__xludf.DUMMYFUNCTION("""COMPUTED_VALUE"""),-0.555570661475435)</f>
        <v>-0.5555706615</v>
      </c>
      <c r="M291" s="166">
        <f t="shared" si="2"/>
        <v>0.051799279</v>
      </c>
      <c r="N291" s="167">
        <f t="shared" si="3"/>
        <v>10.071</v>
      </c>
      <c r="O291" s="163">
        <f t="shared" ref="O291:Q291" si="295">rank(I291,I:I)</f>
        <v>1665</v>
      </c>
      <c r="P291" s="163">
        <f t="shared" si="295"/>
        <v>2227</v>
      </c>
      <c r="Q291" s="163">
        <f t="shared" si="295"/>
        <v>1570</v>
      </c>
      <c r="R291" s="163">
        <f>IFERROR(__xludf.DUMMYFUNCTION("RANK(M291,filter(M:M,C:C=C291))"),389.0)</f>
        <v>389</v>
      </c>
      <c r="S291" s="161" t="b">
        <f t="shared" si="5"/>
        <v>0</v>
      </c>
      <c r="T291" s="161" t="b">
        <f t="array" ref="T291">index('Query Tool'!B:B,match(H291,'Query Tool'!C:C,0))</f>
        <v>1</v>
      </c>
      <c r="U291" s="161" t="b">
        <f t="array" ref="U291">index('Query Tool'!B:B,match(C291,'Query Tool'!C:C,0))</f>
        <v>0</v>
      </c>
      <c r="V291" s="161" t="b">
        <f>F291&gt;='Query Tool'!C$32</f>
        <v>0</v>
      </c>
      <c r="W291" s="161" t="b">
        <f t="array" ref="W291">index(Dropdowns!B:B,match(I291,Dropdowns!A:A,0))</f>
        <v>1</v>
      </c>
      <c r="X291" s="161" t="b">
        <f t="array" ref="X291">index('Query Tool'!B:B,match(D291,'Query Tool'!C:C,0))</f>
        <v>1</v>
      </c>
      <c r="Y291" s="161" t="str">
        <f t="shared" si="6"/>
        <v>jamesda01,2013-14</v>
      </c>
      <c r="Z291" s="168" t="str">
        <f t="array" ref="Z291">iferror(index(I:I,match($A291&amp;","&amp;index('Year Conversion'!$A:$A,match($C291,'Year Conversion'!$B:$B,0)),$Y:$Y,0))-I291,"")</f>
        <v/>
      </c>
      <c r="AA291" s="168" t="str">
        <f t="array" ref="AA291">iferror(index(J:J,match($A291&amp;","&amp;index('Year Conversion'!$A:$A,match($C291,'Year Conversion'!$B:$B,0)),$Y:$Y,0))-J291,"")</f>
        <v/>
      </c>
      <c r="AB291" s="168" t="str">
        <f t="array" ref="AB291">iferror(index(K:K,match($A291&amp;","&amp;index('Year Conversion'!$A:$A,match($C291,'Year Conversion'!$B:$B,0)),$Y:$Y,0))-K291,"")</f>
        <v/>
      </c>
      <c r="AC291" s="168" t="str">
        <f t="shared" si="7"/>
        <v>SAS,2013-14</v>
      </c>
    </row>
    <row r="292">
      <c r="A292" s="161" t="str">
        <f>IFERROR(__xludf.DUMMYFUNCTION("""COMPUTED_VALUE"""),"pondequ01")</f>
        <v>pondequ01</v>
      </c>
      <c r="B292" s="161" t="str">
        <f>IFERROR(__xludf.DUMMYFUNCTION("""COMPUTED_VALUE"""),"Quincy Pondexter")</f>
        <v>Quincy Pondexter</v>
      </c>
      <c r="C292" s="162" t="str">
        <f>IFERROR(__xludf.DUMMYFUNCTION("""COMPUTED_VALUE"""),"2013-14")</f>
        <v>2013-14</v>
      </c>
      <c r="D292" s="163" t="str">
        <f>IFERROR(__xludf.DUMMYFUNCTION("""COMPUTED_VALUE"""),"MEM")</f>
        <v>MEM</v>
      </c>
      <c r="E292" s="164" t="str">
        <f>IFERROR(__xludf.DUMMYFUNCTION("""COMPUTED_VALUE"""),"Athletic Finisher")</f>
        <v>Athletic Finisher</v>
      </c>
      <c r="F292" s="164">
        <f>IFERROR(__xludf.DUMMYFUNCTION("""COMPUTED_VALUE"""),270.308333333333)</f>
        <v>270.3083333</v>
      </c>
      <c r="G292" s="163">
        <f>IFERROR(__xludf.DUMMYFUNCTION("""COMPUTED_VALUE"""),15.0)</f>
        <v>15</v>
      </c>
      <c r="H292" s="163" t="str">
        <f>IFERROR(__xludf.DUMMYFUNCTION("""COMPUTED_VALUE"""),"SG")</f>
        <v>SG</v>
      </c>
      <c r="I292" s="163">
        <f>IFERROR(__xludf.DUMMYFUNCTION("""COMPUTED_VALUE"""),25.0)</f>
        <v>25</v>
      </c>
      <c r="J292" s="165">
        <f>IFERROR(__xludf.DUMMYFUNCTION("""COMPUTED_VALUE"""),-2.18172474844725)</f>
        <v>-2.181724748</v>
      </c>
      <c r="K292" s="165">
        <f>IFERROR(__xludf.DUMMYFUNCTION("""COMPUTED_VALUE"""),-0.809753758050787)</f>
        <v>-0.8097537581</v>
      </c>
      <c r="L292" s="165">
        <f>IFERROR(__xludf.DUMMYFUNCTION("""COMPUTED_VALUE"""),-1.37197099039646)</f>
        <v>-1.37197099</v>
      </c>
      <c r="M292" s="166">
        <f t="shared" si="2"/>
        <v>0.02173814779</v>
      </c>
      <c r="N292" s="167">
        <f t="shared" si="3"/>
        <v>18.02055556</v>
      </c>
      <c r="O292" s="163">
        <f t="shared" ref="O292:Q292" si="296">rank(I292,I:I)</f>
        <v>1995</v>
      </c>
      <c r="P292" s="163">
        <f t="shared" si="296"/>
        <v>3602</v>
      </c>
      <c r="Q292" s="163">
        <f t="shared" si="296"/>
        <v>2566</v>
      </c>
      <c r="R292" s="163">
        <f>IFERROR(__xludf.DUMMYFUNCTION("RANK(M292,filter(M:M,C:C=C292))"),413.0)</f>
        <v>413</v>
      </c>
      <c r="S292" s="161" t="b">
        <f t="shared" si="5"/>
        <v>0</v>
      </c>
      <c r="T292" s="161" t="b">
        <f t="array" ref="T292">index('Query Tool'!B:B,match(H292,'Query Tool'!C:C,0))</f>
        <v>1</v>
      </c>
      <c r="U292" s="161" t="b">
        <f t="array" ref="U292">index('Query Tool'!B:B,match(C292,'Query Tool'!C:C,0))</f>
        <v>0</v>
      </c>
      <c r="V292" s="161" t="b">
        <f>F292&gt;='Query Tool'!C$32</f>
        <v>0</v>
      </c>
      <c r="W292" s="161" t="b">
        <f t="array" ref="W292">index(Dropdowns!B:B,match(I292,Dropdowns!A:A,0))</f>
        <v>1</v>
      </c>
      <c r="X292" s="161" t="b">
        <f t="array" ref="X292">index('Query Tool'!B:B,match(D292,'Query Tool'!C:C,0))</f>
        <v>1</v>
      </c>
      <c r="Y292" s="161" t="str">
        <f t="shared" si="6"/>
        <v>pondequ01,2013-14</v>
      </c>
      <c r="Z292" s="168">
        <f t="array" ref="Z292">iferror(index(I:I,match($A292&amp;","&amp;index('Year Conversion'!$A:$A,match($C292,'Year Conversion'!$B:$B,0)),$Y:$Y,0))-I292,"")</f>
        <v>1</v>
      </c>
      <c r="AA292" s="168">
        <f t="array" ref="AA292">iferror(index(J:J,match($A292&amp;","&amp;index('Year Conversion'!$A:$A,match($C292,'Year Conversion'!$B:$B,0)),$Y:$Y,0))-J292,"")</f>
        <v>0.2305634004</v>
      </c>
      <c r="AB292" s="168">
        <f t="array" ref="AB292">iferror(index(K:K,match($A292&amp;","&amp;index('Year Conversion'!$A:$A,match($C292,'Year Conversion'!$B:$B,0)),$Y:$Y,0))-K292,"")</f>
        <v>-0.171989988</v>
      </c>
      <c r="AC292" s="168" t="str">
        <f t="shared" si="7"/>
        <v>MEM,2013-14</v>
      </c>
    </row>
    <row r="293">
      <c r="A293" s="161" t="str">
        <f>IFERROR(__xludf.DUMMYFUNCTION("""COMPUTED_VALUE"""),"crawfjo02")</f>
        <v>crawfjo02</v>
      </c>
      <c r="B293" s="161" t="str">
        <f>IFERROR(__xludf.DUMMYFUNCTION("""COMPUTED_VALUE"""),"Jordan Crawford")</f>
        <v>Jordan Crawford</v>
      </c>
      <c r="C293" s="162" t="str">
        <f>IFERROR(__xludf.DUMMYFUNCTION("""COMPUTED_VALUE"""),"2013-14")</f>
        <v>2013-14</v>
      </c>
      <c r="D293" s="163" t="str">
        <f>IFERROR(__xludf.DUMMYFUNCTION("""COMPUTED_VALUE"""),"TOT")</f>
        <v>TOT</v>
      </c>
      <c r="E293" s="164" t="str">
        <f>IFERROR(__xludf.DUMMYFUNCTION("""COMPUTED_VALUE"""),"Shot Creator")</f>
        <v>Shot Creator</v>
      </c>
      <c r="F293" s="164">
        <f>IFERROR(__xludf.DUMMYFUNCTION("""COMPUTED_VALUE"""),1859.545)</f>
        <v>1859.545</v>
      </c>
      <c r="G293" s="163">
        <f>IFERROR(__xludf.DUMMYFUNCTION("""COMPUTED_VALUE"""),81.0)</f>
        <v>81</v>
      </c>
      <c r="H293" s="163" t="str">
        <f>IFERROR(__xludf.DUMMYFUNCTION("""COMPUTED_VALUE"""),"SG-PG")</f>
        <v>SG-PG</v>
      </c>
      <c r="I293" s="163">
        <f>IFERROR(__xludf.DUMMYFUNCTION("""COMPUTED_VALUE"""),25.0)</f>
        <v>25</v>
      </c>
      <c r="J293" s="165">
        <f>IFERROR(__xludf.DUMMYFUNCTION("""COMPUTED_VALUE"""),-1.24729478663428)</f>
        <v>-1.247294787</v>
      </c>
      <c r="K293" s="165">
        <f>IFERROR(__xludf.DUMMYFUNCTION("""COMPUTED_VALUE"""),0.598674996958299)</f>
        <v>0.598674997</v>
      </c>
      <c r="L293" s="165">
        <f>IFERROR(__xludf.DUMMYFUNCTION("""COMPUTED_VALUE"""),-1.84596978359258)</f>
        <v>-1.845969784</v>
      </c>
      <c r="M293" s="166">
        <f t="shared" si="2"/>
        <v>1.306452949</v>
      </c>
      <c r="N293" s="167">
        <f t="shared" si="3"/>
        <v>22.95734568</v>
      </c>
      <c r="O293" s="163">
        <f t="shared" ref="O293:Q293" si="297">rank(I293,I:I)</f>
        <v>1995</v>
      </c>
      <c r="P293" s="163">
        <f t="shared" si="297"/>
        <v>2813</v>
      </c>
      <c r="Q293" s="163">
        <f t="shared" si="297"/>
        <v>709</v>
      </c>
      <c r="R293" s="163">
        <f>IFERROR(__xludf.DUMMYFUNCTION("RANK(M293,filter(M:M,C:C=C293))"),200.0)</f>
        <v>200</v>
      </c>
      <c r="S293" s="161" t="b">
        <f t="shared" si="5"/>
        <v>0</v>
      </c>
      <c r="T293" s="161" t="str">
        <f t="array" ref="T293">index('Query Tool'!B:B,match(H293,'Query Tool'!C:C,0))</f>
        <v>#N/A</v>
      </c>
      <c r="U293" s="161" t="b">
        <f t="array" ref="U293">index('Query Tool'!B:B,match(C293,'Query Tool'!C:C,0))</f>
        <v>0</v>
      </c>
      <c r="V293" s="161" t="b">
        <f>F293&gt;='Query Tool'!C$32</f>
        <v>1</v>
      </c>
      <c r="W293" s="161" t="b">
        <f t="array" ref="W293">index(Dropdowns!B:B,match(I293,Dropdowns!A:A,0))</f>
        <v>1</v>
      </c>
      <c r="X293" s="161" t="b">
        <f t="array" ref="X293">index('Query Tool'!B:B,match(D293,'Query Tool'!C:C,0))</f>
        <v>1</v>
      </c>
      <c r="Y293" s="161" t="str">
        <f t="shared" si="6"/>
        <v>crawfjo02,2013-14</v>
      </c>
      <c r="Z293" s="168" t="str">
        <f t="array" ref="Z293">iferror(index(I:I,match($A293&amp;","&amp;index('Year Conversion'!$A:$A,match($C293,'Year Conversion'!$B:$B,0)),$Y:$Y,0))-I293,"")</f>
        <v/>
      </c>
      <c r="AA293" s="168" t="str">
        <f t="array" ref="AA293">iferror(index(J:J,match($A293&amp;","&amp;index('Year Conversion'!$A:$A,match($C293,'Year Conversion'!$B:$B,0)),$Y:$Y,0))-J293,"")</f>
        <v/>
      </c>
      <c r="AB293" s="168" t="str">
        <f t="array" ref="AB293">iferror(index(K:K,match($A293&amp;","&amp;index('Year Conversion'!$A:$A,match($C293,'Year Conversion'!$B:$B,0)),$Y:$Y,0))-K293,"")</f>
        <v/>
      </c>
      <c r="AC293" s="168" t="str">
        <f t="shared" si="7"/>
        <v>TOT,2013-14</v>
      </c>
    </row>
    <row r="294">
      <c r="A294" s="161" t="str">
        <f>IFERROR(__xludf.DUMMYFUNCTION("""COMPUTED_VALUE"""),"vasqugr01")</f>
        <v>vasqugr01</v>
      </c>
      <c r="B294" s="161" t="str">
        <f>IFERROR(__xludf.DUMMYFUNCTION("""COMPUTED_VALUE"""),"Greivis Vasquez")</f>
        <v>Greivis Vasquez</v>
      </c>
      <c r="C294" s="162" t="str">
        <f>IFERROR(__xludf.DUMMYFUNCTION("""COMPUTED_VALUE"""),"2013-14")</f>
        <v>2013-14</v>
      </c>
      <c r="D294" s="163" t="str">
        <f>IFERROR(__xludf.DUMMYFUNCTION("""COMPUTED_VALUE"""),"TOT")</f>
        <v>TOT</v>
      </c>
      <c r="E294" s="164" t="str">
        <f>IFERROR(__xludf.DUMMYFUNCTION("""COMPUTED_VALUE"""),"Primary Ball Handler")</f>
        <v>Primary Ball Handler</v>
      </c>
      <c r="F294" s="164">
        <f>IFERROR(__xludf.DUMMYFUNCTION("""COMPUTED_VALUE"""),1778.89833333333)</f>
        <v>1778.898333</v>
      </c>
      <c r="G294" s="163">
        <f>IFERROR(__xludf.DUMMYFUNCTION("""COMPUTED_VALUE"""),79.0)</f>
        <v>79</v>
      </c>
      <c r="H294" s="163" t="str">
        <f>IFERROR(__xludf.DUMMYFUNCTION("""COMPUTED_VALUE"""),"PG")</f>
        <v>PG</v>
      </c>
      <c r="I294" s="163">
        <f>IFERROR(__xludf.DUMMYFUNCTION("""COMPUTED_VALUE"""),27.0)</f>
        <v>27</v>
      </c>
      <c r="J294" s="165">
        <f>IFERROR(__xludf.DUMMYFUNCTION("""COMPUTED_VALUE"""),1.10764322095218)</f>
        <v>1.107643221</v>
      </c>
      <c r="K294" s="165">
        <f>IFERROR(__xludf.DUMMYFUNCTION("""COMPUTED_VALUE"""),0.949847807087133)</f>
        <v>0.9498478071</v>
      </c>
      <c r="L294" s="165">
        <f>IFERROR(__xludf.DUMMYFUNCTION("""COMPUTED_VALUE"""),0.157795413865047)</f>
        <v>0.1577954139</v>
      </c>
      <c r="M294" s="166">
        <f t="shared" si="2"/>
        <v>4.068622081</v>
      </c>
      <c r="N294" s="167">
        <f t="shared" si="3"/>
        <v>22.51770042</v>
      </c>
      <c r="O294" s="163">
        <f t="shared" ref="O294:Q294" si="298">rank(I294,I:I)</f>
        <v>1366</v>
      </c>
      <c r="P294" s="163">
        <f t="shared" si="298"/>
        <v>616</v>
      </c>
      <c r="Q294" s="163">
        <f t="shared" si="298"/>
        <v>528</v>
      </c>
      <c r="R294" s="163">
        <f>IFERROR(__xludf.DUMMYFUNCTION("RANK(M294,filter(M:M,C:C=C294))"),80.0)</f>
        <v>80</v>
      </c>
      <c r="S294" s="161" t="b">
        <f t="shared" si="5"/>
        <v>0</v>
      </c>
      <c r="T294" s="161" t="b">
        <f t="array" ref="T294">index('Query Tool'!B:B,match(H294,'Query Tool'!C:C,0))</f>
        <v>1</v>
      </c>
      <c r="U294" s="161" t="b">
        <f t="array" ref="U294">index('Query Tool'!B:B,match(C294,'Query Tool'!C:C,0))</f>
        <v>0</v>
      </c>
      <c r="V294" s="161" t="b">
        <f>F294&gt;='Query Tool'!C$32</f>
        <v>1</v>
      </c>
      <c r="W294" s="161" t="b">
        <f t="array" ref="W294">index(Dropdowns!B:B,match(I294,Dropdowns!A:A,0))</f>
        <v>1</v>
      </c>
      <c r="X294" s="161" t="b">
        <f t="array" ref="X294">index('Query Tool'!B:B,match(D294,'Query Tool'!C:C,0))</f>
        <v>1</v>
      </c>
      <c r="Y294" s="161" t="str">
        <f t="shared" si="6"/>
        <v>vasqugr01,2013-14</v>
      </c>
      <c r="Z294" s="168">
        <f t="array" ref="Z294">iferror(index(I:I,match($A294&amp;","&amp;index('Year Conversion'!$A:$A,match($C294,'Year Conversion'!$B:$B,0)),$Y:$Y,0))-I294,"")</f>
        <v>1</v>
      </c>
      <c r="AA294" s="168">
        <f t="array" ref="AA294">iferror(index(J:J,match($A294&amp;","&amp;index('Year Conversion'!$A:$A,match($C294,'Year Conversion'!$B:$B,0)),$Y:$Y,0))-J294,"")</f>
        <v>-2.368020719</v>
      </c>
      <c r="AB294" s="168">
        <f t="array" ref="AB294">iferror(index(K:K,match($A294&amp;","&amp;index('Year Conversion'!$A:$A,match($C294,'Year Conversion'!$B:$B,0)),$Y:$Y,0))-K294,"")</f>
        <v>-0.4124194253</v>
      </c>
      <c r="AC294" s="168" t="str">
        <f t="shared" si="7"/>
        <v>TOT,2013-14</v>
      </c>
    </row>
    <row r="295">
      <c r="A295" s="161" t="str">
        <f>IFERROR(__xludf.DUMMYFUNCTION("""COMPUTED_VALUE"""),"ortonda01")</f>
        <v>ortonda01</v>
      </c>
      <c r="B295" s="161" t="str">
        <f>IFERROR(__xludf.DUMMYFUNCTION("""COMPUTED_VALUE"""),"Daniel Orton")</f>
        <v>Daniel Orton</v>
      </c>
      <c r="C295" s="162" t="str">
        <f>IFERROR(__xludf.DUMMYFUNCTION("""COMPUTED_VALUE"""),"2013-14")</f>
        <v>2013-14</v>
      </c>
      <c r="D295" s="163" t="str">
        <f>IFERROR(__xludf.DUMMYFUNCTION("""COMPUTED_VALUE"""),"PHI")</f>
        <v>PHI</v>
      </c>
      <c r="E295" s="164" t="str">
        <f>IFERROR(__xludf.DUMMYFUNCTION("""COMPUTED_VALUE"""),"Post Scorer")</f>
        <v>Post Scorer</v>
      </c>
      <c r="F295" s="164">
        <f>IFERROR(__xludf.DUMMYFUNCTION("""COMPUTED_VALUE"""),250.803333333333)</f>
        <v>250.8033333</v>
      </c>
      <c r="G295" s="163">
        <f>IFERROR(__xludf.DUMMYFUNCTION("""COMPUTED_VALUE"""),22.0)</f>
        <v>22</v>
      </c>
      <c r="H295" s="163" t="str">
        <f>IFERROR(__xludf.DUMMYFUNCTION("""COMPUTED_VALUE"""),"C")</f>
        <v>C</v>
      </c>
      <c r="I295" s="163">
        <f>IFERROR(__xludf.DUMMYFUNCTION("""COMPUTED_VALUE"""),23.0)</f>
        <v>23</v>
      </c>
      <c r="J295" s="165">
        <f>IFERROR(__xludf.DUMMYFUNCTION("""COMPUTED_VALUE"""),-0.635916844399069)</f>
        <v>-0.6359168444</v>
      </c>
      <c r="K295" s="165">
        <f>IFERROR(__xludf.DUMMYFUNCTION("""COMPUTED_VALUE"""),-2.06415067179129)</f>
        <v>-2.064150672</v>
      </c>
      <c r="L295" s="165">
        <f>IFERROR(__xludf.DUMMYFUNCTION("""COMPUTED_VALUE"""),1.42823382739222)</f>
        <v>1.428233827</v>
      </c>
      <c r="M295" s="166">
        <f t="shared" si="2"/>
        <v>0.2791889266</v>
      </c>
      <c r="N295" s="167">
        <f t="shared" si="3"/>
        <v>11.40015152</v>
      </c>
      <c r="O295" s="163">
        <f t="shared" ref="O295:Q295" si="299">rank(I295,I:I)</f>
        <v>2765</v>
      </c>
      <c r="P295" s="163">
        <f t="shared" si="299"/>
        <v>2040</v>
      </c>
      <c r="Q295" s="163">
        <f t="shared" si="299"/>
        <v>3742</v>
      </c>
      <c r="R295" s="163">
        <f>IFERROR(__xludf.DUMMYFUNCTION("RANK(M295,filter(M:M,C:C=C295))"),305.0)</f>
        <v>305</v>
      </c>
      <c r="S295" s="161" t="b">
        <f t="shared" si="5"/>
        <v>0</v>
      </c>
      <c r="T295" s="161" t="b">
        <f t="array" ref="T295">index('Query Tool'!B:B,match(H295,'Query Tool'!C:C,0))</f>
        <v>1</v>
      </c>
      <c r="U295" s="161" t="b">
        <f t="array" ref="U295">index('Query Tool'!B:B,match(C295,'Query Tool'!C:C,0))</f>
        <v>0</v>
      </c>
      <c r="V295" s="161" t="b">
        <f>F295&gt;='Query Tool'!C$32</f>
        <v>0</v>
      </c>
      <c r="W295" s="161" t="b">
        <f t="array" ref="W295">index(Dropdowns!B:B,match(I295,Dropdowns!A:A,0))</f>
        <v>1</v>
      </c>
      <c r="X295" s="161" t="b">
        <f t="array" ref="X295">index('Query Tool'!B:B,match(D295,'Query Tool'!C:C,0))</f>
        <v>1</v>
      </c>
      <c r="Y295" s="161" t="str">
        <f t="shared" si="6"/>
        <v>ortonda01,2013-14</v>
      </c>
      <c r="Z295" s="168" t="str">
        <f t="array" ref="Z295">iferror(index(I:I,match($A295&amp;","&amp;index('Year Conversion'!$A:$A,match($C295,'Year Conversion'!$B:$B,0)),$Y:$Y,0))-I295,"")</f>
        <v/>
      </c>
      <c r="AA295" s="168" t="str">
        <f t="array" ref="AA295">iferror(index(J:J,match($A295&amp;","&amp;index('Year Conversion'!$A:$A,match($C295,'Year Conversion'!$B:$B,0)),$Y:$Y,0))-J295,"")</f>
        <v/>
      </c>
      <c r="AB295" s="168" t="str">
        <f t="array" ref="AB295">iferror(index(K:K,match($A295&amp;","&amp;index('Year Conversion'!$A:$A,match($C295,'Year Conversion'!$B:$B,0)),$Y:$Y,0))-K295,"")</f>
        <v/>
      </c>
      <c r="AC295" s="168" t="str">
        <f t="shared" si="7"/>
        <v>PHI,2013-14</v>
      </c>
    </row>
    <row r="296">
      <c r="A296" s="161" t="str">
        <f>IFERROR(__xludf.DUMMYFUNCTION("""COMPUTED_VALUE"""),"pittmde01")</f>
        <v>pittmde01</v>
      </c>
      <c r="B296" s="161" t="str">
        <f>IFERROR(__xludf.DUMMYFUNCTION("""COMPUTED_VALUE"""),"Dexter Pittman")</f>
        <v>Dexter Pittman</v>
      </c>
      <c r="C296" s="162" t="str">
        <f>IFERROR(__xludf.DUMMYFUNCTION("""COMPUTED_VALUE"""),"2013-14")</f>
        <v>2013-14</v>
      </c>
      <c r="D296" s="163" t="str">
        <f>IFERROR(__xludf.DUMMYFUNCTION("""COMPUTED_VALUE"""),"ATL")</f>
        <v>ATL</v>
      </c>
      <c r="E296" s="164" t="str">
        <f>IFERROR(__xludf.DUMMYFUNCTION("""COMPUTED_VALUE"""),"Roll + Cut Big")</f>
        <v>Roll + Cut Big</v>
      </c>
      <c r="F296" s="164">
        <f>IFERROR(__xludf.DUMMYFUNCTION("""COMPUTED_VALUE"""),2.94)</f>
        <v>2.94</v>
      </c>
      <c r="G296" s="163">
        <f>IFERROR(__xludf.DUMMYFUNCTION("""COMPUTED_VALUE"""),2.0)</f>
        <v>2</v>
      </c>
      <c r="H296" s="163" t="str">
        <f>IFERROR(__xludf.DUMMYFUNCTION("""COMPUTED_VALUE"""),"C")</f>
        <v>C</v>
      </c>
      <c r="I296" s="163">
        <f>IFERROR(__xludf.DUMMYFUNCTION("""COMPUTED_VALUE"""),25.0)</f>
        <v>25</v>
      </c>
      <c r="J296" s="165">
        <f>IFERROR(__xludf.DUMMYFUNCTION("""COMPUTED_VALUE"""),-0.710216423689639)</f>
        <v>-0.7102164237</v>
      </c>
      <c r="K296" s="165">
        <f>IFERROR(__xludf.DUMMYFUNCTION("""COMPUTED_VALUE"""),-0.388326362550994)</f>
        <v>-0.3883263626</v>
      </c>
      <c r="L296" s="165">
        <f>IFERROR(__xludf.DUMMYFUNCTION("""COMPUTED_VALUE"""),-0.321890061138645)</f>
        <v>-0.3218900611</v>
      </c>
      <c r="M296" s="166">
        <f t="shared" si="2"/>
        <v>0.003125752791</v>
      </c>
      <c r="N296" s="167">
        <f t="shared" si="3"/>
        <v>1.47</v>
      </c>
      <c r="O296" s="163">
        <f t="shared" ref="O296:Q296" si="300">rank(I296,I:I)</f>
        <v>1995</v>
      </c>
      <c r="P296" s="163">
        <f t="shared" si="300"/>
        <v>2161</v>
      </c>
      <c r="Q296" s="163">
        <f t="shared" si="300"/>
        <v>1929</v>
      </c>
      <c r="R296" s="163">
        <f>IFERROR(__xludf.DUMMYFUNCTION("RANK(M296,filter(M:M,C:C=C296))"),429.0)</f>
        <v>429</v>
      </c>
      <c r="S296" s="161" t="b">
        <f t="shared" si="5"/>
        <v>0</v>
      </c>
      <c r="T296" s="161" t="b">
        <f t="array" ref="T296">index('Query Tool'!B:B,match(H296,'Query Tool'!C:C,0))</f>
        <v>1</v>
      </c>
      <c r="U296" s="161" t="b">
        <f t="array" ref="U296">index('Query Tool'!B:B,match(C296,'Query Tool'!C:C,0))</f>
        <v>0</v>
      </c>
      <c r="V296" s="161" t="b">
        <f>F296&gt;='Query Tool'!C$32</f>
        <v>0</v>
      </c>
      <c r="W296" s="161" t="b">
        <f t="array" ref="W296">index(Dropdowns!B:B,match(I296,Dropdowns!A:A,0))</f>
        <v>1</v>
      </c>
      <c r="X296" s="161" t="b">
        <f t="array" ref="X296">index('Query Tool'!B:B,match(D296,'Query Tool'!C:C,0))</f>
        <v>1</v>
      </c>
      <c r="Y296" s="161" t="str">
        <f t="shared" si="6"/>
        <v>pittmde01,2013-14</v>
      </c>
      <c r="Z296" s="168" t="str">
        <f t="array" ref="Z296">iferror(index(I:I,match($A296&amp;","&amp;index('Year Conversion'!$A:$A,match($C296,'Year Conversion'!$B:$B,0)),$Y:$Y,0))-I296,"")</f>
        <v/>
      </c>
      <c r="AA296" s="168" t="str">
        <f t="array" ref="AA296">iferror(index(J:J,match($A296&amp;","&amp;index('Year Conversion'!$A:$A,match($C296,'Year Conversion'!$B:$B,0)),$Y:$Y,0))-J296,"")</f>
        <v/>
      </c>
      <c r="AB296" s="168" t="str">
        <f t="array" ref="AB296">iferror(index(K:K,match($A296&amp;","&amp;index('Year Conversion'!$A:$A,match($C296,'Year Conversion'!$B:$B,0)),$Y:$Y,0))-K296,"")</f>
        <v/>
      </c>
      <c r="AC296" s="168" t="str">
        <f t="shared" si="7"/>
        <v>ATL,2013-14</v>
      </c>
    </row>
    <row r="297">
      <c r="A297" s="161" t="str">
        <f>IFERROR(__xludf.DUMMYFUNCTION("""COMPUTED_VALUE"""),"fieldla01")</f>
        <v>fieldla01</v>
      </c>
      <c r="B297" s="161" t="str">
        <f>IFERROR(__xludf.DUMMYFUNCTION("""COMPUTED_VALUE"""),"Landry Fields")</f>
        <v>Landry Fields</v>
      </c>
      <c r="C297" s="162" t="str">
        <f>IFERROR(__xludf.DUMMYFUNCTION("""COMPUTED_VALUE"""),"2013-14")</f>
        <v>2013-14</v>
      </c>
      <c r="D297" s="163" t="str">
        <f>IFERROR(__xludf.DUMMYFUNCTION("""COMPUTED_VALUE"""),"TOR")</f>
        <v>TOR</v>
      </c>
      <c r="E297" s="164" t="str">
        <f>IFERROR(__xludf.DUMMYFUNCTION("""COMPUTED_VALUE"""),"Athletic Finisher")</f>
        <v>Athletic Finisher</v>
      </c>
      <c r="F297" s="164">
        <f>IFERROR(__xludf.DUMMYFUNCTION("""COMPUTED_VALUE"""),322.195)</f>
        <v>322.195</v>
      </c>
      <c r="G297" s="163">
        <f>IFERROR(__xludf.DUMMYFUNCTION("""COMPUTED_VALUE"""),30.0)</f>
        <v>30</v>
      </c>
      <c r="H297" s="163" t="str">
        <f>IFERROR(__xludf.DUMMYFUNCTION("""COMPUTED_VALUE"""),"SF")</f>
        <v>SF</v>
      </c>
      <c r="I297" s="163">
        <f>IFERROR(__xludf.DUMMYFUNCTION("""COMPUTED_VALUE"""),25.0)</f>
        <v>25</v>
      </c>
      <c r="J297" s="165">
        <f>IFERROR(__xludf.DUMMYFUNCTION("""COMPUTED_VALUE"""),-1.5923010042553)</f>
        <v>-1.592301004</v>
      </c>
      <c r="K297" s="165">
        <f>IFERROR(__xludf.DUMMYFUNCTION("""COMPUTED_VALUE"""),-1.36798211941773)</f>
        <v>-1.367982119</v>
      </c>
      <c r="L297" s="165">
        <f>IFERROR(__xludf.DUMMYFUNCTION("""COMPUTED_VALUE"""),-0.224318884837577)</f>
        <v>-0.2243188848</v>
      </c>
      <c r="M297" s="166">
        <f t="shared" si="2"/>
        <v>0.1520498621</v>
      </c>
      <c r="N297" s="167">
        <f t="shared" si="3"/>
        <v>10.73983333</v>
      </c>
      <c r="O297" s="163">
        <f t="shared" ref="O297:Q297" si="301">rank(I297,I:I)</f>
        <v>1995</v>
      </c>
      <c r="P297" s="163">
        <f t="shared" si="301"/>
        <v>3136</v>
      </c>
      <c r="Q297" s="163">
        <f t="shared" si="301"/>
        <v>3222</v>
      </c>
      <c r="R297" s="163">
        <f>IFERROR(__xludf.DUMMYFUNCTION("RANK(M297,filter(M:M,C:C=C297))"),341.0)</f>
        <v>341</v>
      </c>
      <c r="S297" s="161" t="b">
        <f t="shared" si="5"/>
        <v>0</v>
      </c>
      <c r="T297" s="161" t="b">
        <f t="array" ref="T297">index('Query Tool'!B:B,match(H297,'Query Tool'!C:C,0))</f>
        <v>1</v>
      </c>
      <c r="U297" s="161" t="b">
        <f t="array" ref="U297">index('Query Tool'!B:B,match(C297,'Query Tool'!C:C,0))</f>
        <v>0</v>
      </c>
      <c r="V297" s="161" t="b">
        <f>F297&gt;='Query Tool'!C$32</f>
        <v>0</v>
      </c>
      <c r="W297" s="161" t="b">
        <f t="array" ref="W297">index(Dropdowns!B:B,match(I297,Dropdowns!A:A,0))</f>
        <v>1</v>
      </c>
      <c r="X297" s="161" t="b">
        <f t="array" ref="X297">index('Query Tool'!B:B,match(D297,'Query Tool'!C:C,0))</f>
        <v>1</v>
      </c>
      <c r="Y297" s="161" t="str">
        <f t="shared" si="6"/>
        <v>fieldla01,2013-14</v>
      </c>
      <c r="Z297" s="168">
        <f t="array" ref="Z297">iferror(index(I:I,match($A297&amp;","&amp;index('Year Conversion'!$A:$A,match($C297,'Year Conversion'!$B:$B,0)),$Y:$Y,0))-I297,"")</f>
        <v>1</v>
      </c>
      <c r="AA297" s="168">
        <f t="array" ref="AA297">iferror(index(J:J,match($A297&amp;","&amp;index('Year Conversion'!$A:$A,match($C297,'Year Conversion'!$B:$B,0)),$Y:$Y,0))-J297,"")</f>
        <v>-1.182868797</v>
      </c>
      <c r="AB297" s="168">
        <f t="array" ref="AB297">iferror(index(K:K,match($A297&amp;","&amp;index('Year Conversion'!$A:$A,match($C297,'Year Conversion'!$B:$B,0)),$Y:$Y,0))-K297,"")</f>
        <v>-0.6725002202</v>
      </c>
      <c r="AC297" s="168" t="str">
        <f t="shared" si="7"/>
        <v>TOR,2013-14</v>
      </c>
    </row>
    <row r="298">
      <c r="A298" s="161" t="str">
        <f>IFERROR(__xludf.DUMMYFUNCTION("""COMPUTED_VALUE"""),"stephla01")</f>
        <v>stephla01</v>
      </c>
      <c r="B298" s="161" t="str">
        <f>IFERROR(__xludf.DUMMYFUNCTION("""COMPUTED_VALUE"""),"Lance Stephenson")</f>
        <v>Lance Stephenson</v>
      </c>
      <c r="C298" s="162" t="str">
        <f>IFERROR(__xludf.DUMMYFUNCTION("""COMPUTED_VALUE"""),"2013-14")</f>
        <v>2013-14</v>
      </c>
      <c r="D298" s="163" t="str">
        <f>IFERROR(__xludf.DUMMYFUNCTION("""COMPUTED_VALUE"""),"IND")</f>
        <v>IND</v>
      </c>
      <c r="E298" s="164" t="str">
        <f>IFERROR(__xludf.DUMMYFUNCTION("""COMPUTED_VALUE"""),"Shot Creator")</f>
        <v>Shot Creator</v>
      </c>
      <c r="F298" s="164">
        <f>IFERROR(__xludf.DUMMYFUNCTION("""COMPUTED_VALUE"""),2752.04)</f>
        <v>2752.04</v>
      </c>
      <c r="G298" s="163">
        <f>IFERROR(__xludf.DUMMYFUNCTION("""COMPUTED_VALUE"""),78.0)</f>
        <v>78</v>
      </c>
      <c r="H298" s="163" t="str">
        <f>IFERROR(__xludf.DUMMYFUNCTION("""COMPUTED_VALUE"""),"SG")</f>
        <v>SG</v>
      </c>
      <c r="I298" s="163">
        <f>IFERROR(__xludf.DUMMYFUNCTION("""COMPUTED_VALUE"""),23.0)</f>
        <v>23</v>
      </c>
      <c r="J298" s="165">
        <f>IFERROR(__xludf.DUMMYFUNCTION("""COMPUTED_VALUE"""),-0.10122359187565)</f>
        <v>-0.1012235919</v>
      </c>
      <c r="K298" s="165">
        <f>IFERROR(__xludf.DUMMYFUNCTION("""COMPUTED_VALUE"""),-0.417784391655732)</f>
        <v>-0.4177843917</v>
      </c>
      <c r="L298" s="165">
        <f>IFERROR(__xludf.DUMMYFUNCTION("""COMPUTED_VALUE"""),0.316560799780082)</f>
        <v>0.3165607998</v>
      </c>
      <c r="M298" s="166">
        <f t="shared" si="2"/>
        <v>4.054921024</v>
      </c>
      <c r="N298" s="167">
        <f t="shared" si="3"/>
        <v>35.2825641</v>
      </c>
      <c r="O298" s="163">
        <f t="shared" ref="O298:Q298" si="302">rank(I298,I:I)</f>
        <v>2765</v>
      </c>
      <c r="P298" s="163">
        <f t="shared" si="302"/>
        <v>1383</v>
      </c>
      <c r="Q298" s="163">
        <f t="shared" si="302"/>
        <v>1979</v>
      </c>
      <c r="R298" s="163">
        <f>IFERROR(__xludf.DUMMYFUNCTION("RANK(M298,filter(M:M,C:C=C298))"),82.0)</f>
        <v>82</v>
      </c>
      <c r="S298" s="161" t="b">
        <f t="shared" si="5"/>
        <v>0</v>
      </c>
      <c r="T298" s="161" t="b">
        <f t="array" ref="T298">index('Query Tool'!B:B,match(H298,'Query Tool'!C:C,0))</f>
        <v>1</v>
      </c>
      <c r="U298" s="161" t="b">
        <f t="array" ref="U298">index('Query Tool'!B:B,match(C298,'Query Tool'!C:C,0))</f>
        <v>0</v>
      </c>
      <c r="V298" s="161" t="b">
        <f>F298&gt;='Query Tool'!C$32</f>
        <v>1</v>
      </c>
      <c r="W298" s="161" t="b">
        <f t="array" ref="W298">index(Dropdowns!B:B,match(I298,Dropdowns!A:A,0))</f>
        <v>1</v>
      </c>
      <c r="X298" s="161" t="b">
        <f t="array" ref="X298">index('Query Tool'!B:B,match(D298,'Query Tool'!C:C,0))</f>
        <v>1</v>
      </c>
      <c r="Y298" s="161" t="str">
        <f t="shared" si="6"/>
        <v>stephla01,2013-14</v>
      </c>
      <c r="Z298" s="168">
        <f t="array" ref="Z298">iferror(index(I:I,match($A298&amp;","&amp;index('Year Conversion'!$A:$A,match($C298,'Year Conversion'!$B:$B,0)),$Y:$Y,0))-I298,"")</f>
        <v>1</v>
      </c>
      <c r="AA298" s="168">
        <f t="array" ref="AA298">iferror(index(J:J,match($A298&amp;","&amp;index('Year Conversion'!$A:$A,match($C298,'Year Conversion'!$B:$B,0)),$Y:$Y,0))-J298,"")</f>
        <v>-2.052006049</v>
      </c>
      <c r="AB298" s="168">
        <f t="array" ref="AB298">iferror(index(K:K,match($A298&amp;","&amp;index('Year Conversion'!$A:$A,match($C298,'Year Conversion'!$B:$B,0)),$Y:$Y,0))-K298,"")</f>
        <v>-1.932131527</v>
      </c>
      <c r="AC298" s="168" t="str">
        <f t="shared" si="7"/>
        <v>IND,2013-14</v>
      </c>
    </row>
    <row r="299">
      <c r="A299" s="161" t="str">
        <f>IFERROR(__xludf.DUMMYFUNCTION("""COMPUTED_VALUE"""),"varnaja01")</f>
        <v>varnaja01</v>
      </c>
      <c r="B299" s="161" t="str">
        <f>IFERROR(__xludf.DUMMYFUNCTION("""COMPUTED_VALUE"""),"Jarvis Varnado")</f>
        <v>Jarvis Varnado</v>
      </c>
      <c r="C299" s="162" t="str">
        <f>IFERROR(__xludf.DUMMYFUNCTION("""COMPUTED_VALUE"""),"2013-14")</f>
        <v>2013-14</v>
      </c>
      <c r="D299" s="163" t="str">
        <f>IFERROR(__xludf.DUMMYFUNCTION("""COMPUTED_VALUE"""),"TOT")</f>
        <v>TOT</v>
      </c>
      <c r="E299" s="164" t="str">
        <f>IFERROR(__xludf.DUMMYFUNCTION("""COMPUTED_VALUE"""),"Post Scorer")</f>
        <v>Post Scorer</v>
      </c>
      <c r="F299" s="164">
        <f>IFERROR(__xludf.DUMMYFUNCTION("""COMPUTED_VALUE"""),339.34)</f>
        <v>339.34</v>
      </c>
      <c r="G299" s="163">
        <f>IFERROR(__xludf.DUMMYFUNCTION("""COMPUTED_VALUE"""),24.0)</f>
        <v>24</v>
      </c>
      <c r="H299" s="163" t="str">
        <f>IFERROR(__xludf.DUMMYFUNCTION("""COMPUTED_VALUE"""),"PF")</f>
        <v>PF</v>
      </c>
      <c r="I299" s="163">
        <f>IFERROR(__xludf.DUMMYFUNCTION("""COMPUTED_VALUE"""),25.0)</f>
        <v>25</v>
      </c>
      <c r="J299" s="165">
        <f>IFERROR(__xludf.DUMMYFUNCTION("""COMPUTED_VALUE"""),-0.263833411814488)</f>
        <v>-0.2638334118</v>
      </c>
      <c r="K299" s="165">
        <f>IFERROR(__xludf.DUMMYFUNCTION("""COMPUTED_VALUE"""),-1.91994310148743)</f>
        <v>-1.919943101</v>
      </c>
      <c r="L299" s="165">
        <f>IFERROR(__xludf.DUMMYFUNCTION("""COMPUTED_VALUE"""),1.65610968967294)</f>
        <v>1.65610969</v>
      </c>
      <c r="M299" s="166">
        <f t="shared" si="2"/>
        <v>0.4627953077</v>
      </c>
      <c r="N299" s="167">
        <f t="shared" si="3"/>
        <v>14.13916667</v>
      </c>
      <c r="O299" s="163">
        <f t="shared" ref="O299:Q299" si="303">rank(I299,I:I)</f>
        <v>1995</v>
      </c>
      <c r="P299" s="163">
        <f t="shared" si="303"/>
        <v>1575</v>
      </c>
      <c r="Q299" s="163">
        <f t="shared" si="303"/>
        <v>3663</v>
      </c>
      <c r="R299" s="163">
        <f>IFERROR(__xludf.DUMMYFUNCTION("RANK(M299,filter(M:M,C:C=C299))"),283.0)</f>
        <v>283</v>
      </c>
      <c r="S299" s="161" t="b">
        <f t="shared" si="5"/>
        <v>0</v>
      </c>
      <c r="T299" s="161" t="b">
        <f t="array" ref="T299">index('Query Tool'!B:B,match(H299,'Query Tool'!C:C,0))</f>
        <v>1</v>
      </c>
      <c r="U299" s="161" t="b">
        <f t="array" ref="U299">index('Query Tool'!B:B,match(C299,'Query Tool'!C:C,0))</f>
        <v>0</v>
      </c>
      <c r="V299" s="161" t="b">
        <f>F299&gt;='Query Tool'!C$32</f>
        <v>0</v>
      </c>
      <c r="W299" s="161" t="b">
        <f t="array" ref="W299">index(Dropdowns!B:B,match(I299,Dropdowns!A:A,0))</f>
        <v>1</v>
      </c>
      <c r="X299" s="161" t="b">
        <f t="array" ref="X299">index('Query Tool'!B:B,match(D299,'Query Tool'!C:C,0))</f>
        <v>1</v>
      </c>
      <c r="Y299" s="161" t="str">
        <f t="shared" si="6"/>
        <v>varnaja01,2013-14</v>
      </c>
      <c r="Z299" s="168" t="str">
        <f t="array" ref="Z299">iferror(index(I:I,match($A299&amp;","&amp;index('Year Conversion'!$A:$A,match($C299,'Year Conversion'!$B:$B,0)),$Y:$Y,0))-I299,"")</f>
        <v/>
      </c>
      <c r="AA299" s="168" t="str">
        <f t="array" ref="AA299">iferror(index(J:J,match($A299&amp;","&amp;index('Year Conversion'!$A:$A,match($C299,'Year Conversion'!$B:$B,0)),$Y:$Y,0))-J299,"")</f>
        <v/>
      </c>
      <c r="AB299" s="168" t="str">
        <f t="array" ref="AB299">iferror(index(K:K,match($A299&amp;","&amp;index('Year Conversion'!$A:$A,match($C299,'Year Conversion'!$B:$B,0)),$Y:$Y,0))-K299,"")</f>
        <v/>
      </c>
      <c r="AC299" s="168" t="str">
        <f t="shared" si="7"/>
        <v>TOT,2013-14</v>
      </c>
    </row>
    <row r="300">
      <c r="A300" s="161" t="str">
        <f>IFERROR(__xludf.DUMMYFUNCTION("""COMPUTED_VALUE"""),"evansje01")</f>
        <v>evansje01</v>
      </c>
      <c r="B300" s="161" t="str">
        <f>IFERROR(__xludf.DUMMYFUNCTION("""COMPUTED_VALUE"""),"Jeremy Evans")</f>
        <v>Jeremy Evans</v>
      </c>
      <c r="C300" s="162" t="str">
        <f>IFERROR(__xludf.DUMMYFUNCTION("""COMPUTED_VALUE"""),"2013-14")</f>
        <v>2013-14</v>
      </c>
      <c r="D300" s="163" t="str">
        <f>IFERROR(__xludf.DUMMYFUNCTION("""COMPUTED_VALUE"""),"UTA")</f>
        <v>UTA</v>
      </c>
      <c r="E300" s="164" t="str">
        <f>IFERROR(__xludf.DUMMYFUNCTION("""COMPUTED_VALUE"""),"Roll + Cut Big")</f>
        <v>Roll + Cut Big</v>
      </c>
      <c r="F300" s="164">
        <f>IFERROR(__xludf.DUMMYFUNCTION("""COMPUTED_VALUE"""),1209.40666666667)</f>
        <v>1209.406667</v>
      </c>
      <c r="G300" s="163">
        <f>IFERROR(__xludf.DUMMYFUNCTION("""COMPUTED_VALUE"""),66.0)</f>
        <v>66</v>
      </c>
      <c r="H300" s="163" t="str">
        <f>IFERROR(__xludf.DUMMYFUNCTION("""COMPUTED_VALUE"""),"SF")</f>
        <v>SF</v>
      </c>
      <c r="I300" s="163">
        <f>IFERROR(__xludf.DUMMYFUNCTION("""COMPUTED_VALUE"""),26.0)</f>
        <v>26</v>
      </c>
      <c r="J300" s="165">
        <f>IFERROR(__xludf.DUMMYFUNCTION("""COMPUTED_VALUE"""),0.166303610608753)</f>
        <v>0.1663036106</v>
      </c>
      <c r="K300" s="165">
        <f>IFERROR(__xludf.DUMMYFUNCTION("""COMPUTED_VALUE"""),-0.622939176249261)</f>
        <v>-0.6229391762</v>
      </c>
      <c r="L300" s="165">
        <f>IFERROR(__xludf.DUMMYFUNCTION("""COMPUTED_VALUE"""),0.789242786858014)</f>
        <v>0.7892427869</v>
      </c>
      <c r="M300" s="166">
        <f t="shared" si="2"/>
        <v>2.000095653</v>
      </c>
      <c r="N300" s="167">
        <f t="shared" si="3"/>
        <v>18.32434343</v>
      </c>
      <c r="O300" s="163">
        <f t="shared" ref="O300:Q300" si="304">rank(I300,I:I)</f>
        <v>1665</v>
      </c>
      <c r="P300" s="163">
        <f t="shared" si="304"/>
        <v>1115</v>
      </c>
      <c r="Q300" s="163">
        <f t="shared" si="304"/>
        <v>2297</v>
      </c>
      <c r="R300" s="163">
        <f>IFERROR(__xludf.DUMMYFUNCTION("RANK(M300,filter(M:M,C:C=C300))"),155.0)</f>
        <v>155</v>
      </c>
      <c r="S300" s="161" t="b">
        <f t="shared" si="5"/>
        <v>0</v>
      </c>
      <c r="T300" s="161" t="b">
        <f t="array" ref="T300">index('Query Tool'!B:B,match(H300,'Query Tool'!C:C,0))</f>
        <v>1</v>
      </c>
      <c r="U300" s="161" t="b">
        <f t="array" ref="U300">index('Query Tool'!B:B,match(C300,'Query Tool'!C:C,0))</f>
        <v>0</v>
      </c>
      <c r="V300" s="161" t="b">
        <f>F300&gt;='Query Tool'!C$32</f>
        <v>1</v>
      </c>
      <c r="W300" s="161" t="b">
        <f t="array" ref="W300">index(Dropdowns!B:B,match(I300,Dropdowns!A:A,0))</f>
        <v>1</v>
      </c>
      <c r="X300" s="161" t="b">
        <f t="array" ref="X300">index('Query Tool'!B:B,match(D300,'Query Tool'!C:C,0))</f>
        <v>1</v>
      </c>
      <c r="Y300" s="161" t="str">
        <f t="shared" si="6"/>
        <v>evansje01,2013-14</v>
      </c>
      <c r="Z300" s="168">
        <f t="array" ref="Z300">iferror(index(I:I,match($A300&amp;","&amp;index('Year Conversion'!$A:$A,match($C300,'Year Conversion'!$B:$B,0)),$Y:$Y,0))-I300,"")</f>
        <v>1</v>
      </c>
      <c r="AA300" s="168">
        <f t="array" ref="AA300">iferror(index(J:J,match($A300&amp;","&amp;index('Year Conversion'!$A:$A,match($C300,'Year Conversion'!$B:$B,0)),$Y:$Y,0))-J300,"")</f>
        <v>0.6378230569</v>
      </c>
      <c r="AB300" s="168">
        <f t="array" ref="AB300">iferror(index(K:K,match($A300&amp;","&amp;index('Year Conversion'!$A:$A,match($C300,'Year Conversion'!$B:$B,0)),$Y:$Y,0))-K300,"")</f>
        <v>0.495178657</v>
      </c>
      <c r="AC300" s="168" t="str">
        <f t="shared" si="7"/>
        <v>UTA,2013-14</v>
      </c>
    </row>
    <row r="301">
      <c r="A301" s="161" t="str">
        <f>IFERROR(__xludf.DUMMYFUNCTION("""COMPUTED_VALUE"""),"ndiayha01")</f>
        <v>ndiayha01</v>
      </c>
      <c r="B301" s="161" t="str">
        <f>IFERROR(__xludf.DUMMYFUNCTION("""COMPUTED_VALUE"""),"Hamady Ndiaye")</f>
        <v>Hamady Ndiaye</v>
      </c>
      <c r="C301" s="162" t="str">
        <f>IFERROR(__xludf.DUMMYFUNCTION("""COMPUTED_VALUE"""),"2013-14")</f>
        <v>2013-14</v>
      </c>
      <c r="D301" s="163" t="str">
        <f>IFERROR(__xludf.DUMMYFUNCTION("""COMPUTED_VALUE"""),"SAC")</f>
        <v>SAC</v>
      </c>
      <c r="E301" s="164" t="str">
        <f>IFERROR(__xludf.DUMMYFUNCTION("""COMPUTED_VALUE"""),"Post Scorer")</f>
        <v>Post Scorer</v>
      </c>
      <c r="F301" s="164">
        <f>IFERROR(__xludf.DUMMYFUNCTION("""COMPUTED_VALUE"""),74.2533333333333)</f>
        <v>74.25333333</v>
      </c>
      <c r="G301" s="163">
        <f>IFERROR(__xludf.DUMMYFUNCTION("""COMPUTED_VALUE"""),14.0)</f>
        <v>14</v>
      </c>
      <c r="H301" s="163" t="str">
        <f>IFERROR(__xludf.DUMMYFUNCTION("""COMPUTED_VALUE"""),"C")</f>
        <v>C</v>
      </c>
      <c r="I301" s="163">
        <f>IFERROR(__xludf.DUMMYFUNCTION("""COMPUTED_VALUE"""),27.0)</f>
        <v>27</v>
      </c>
      <c r="J301" s="165">
        <f>IFERROR(__xludf.DUMMYFUNCTION("""COMPUTED_VALUE"""),-0.128229884800872)</f>
        <v>-0.1282298848</v>
      </c>
      <c r="K301" s="165">
        <f>IFERROR(__xludf.DUMMYFUNCTION("""COMPUTED_VALUE"""),-0.510332863678496)</f>
        <v>-0.5103328637</v>
      </c>
      <c r="L301" s="165">
        <f>IFERROR(__xludf.DUMMYFUNCTION("""COMPUTED_VALUE"""),0.382102978877624)</f>
        <v>0.3821029789</v>
      </c>
      <c r="M301" s="166">
        <f t="shared" si="2"/>
        <v>0.1080547396</v>
      </c>
      <c r="N301" s="167">
        <f t="shared" si="3"/>
        <v>5.303809524</v>
      </c>
      <c r="O301" s="163">
        <f t="shared" ref="O301:Q301" si="305">rank(I301,I:I)</f>
        <v>1366</v>
      </c>
      <c r="P301" s="163">
        <f t="shared" si="305"/>
        <v>1414</v>
      </c>
      <c r="Q301" s="163">
        <f t="shared" si="305"/>
        <v>2122</v>
      </c>
      <c r="R301" s="163">
        <f>IFERROR(__xludf.DUMMYFUNCTION("RANK(M301,filter(M:M,C:C=C301))"),355.0)</f>
        <v>355</v>
      </c>
      <c r="S301" s="161" t="b">
        <f t="shared" si="5"/>
        <v>0</v>
      </c>
      <c r="T301" s="161" t="b">
        <f t="array" ref="T301">index('Query Tool'!B:B,match(H301,'Query Tool'!C:C,0))</f>
        <v>1</v>
      </c>
      <c r="U301" s="161" t="b">
        <f t="array" ref="U301">index('Query Tool'!B:B,match(C301,'Query Tool'!C:C,0))</f>
        <v>0</v>
      </c>
      <c r="V301" s="161" t="b">
        <f>F301&gt;='Query Tool'!C$32</f>
        <v>0</v>
      </c>
      <c r="W301" s="161" t="b">
        <f t="array" ref="W301">index(Dropdowns!B:B,match(I301,Dropdowns!A:A,0))</f>
        <v>1</v>
      </c>
      <c r="X301" s="161" t="b">
        <f t="array" ref="X301">index('Query Tool'!B:B,match(D301,'Query Tool'!C:C,0))</f>
        <v>1</v>
      </c>
      <c r="Y301" s="161" t="str">
        <f t="shared" si="6"/>
        <v>ndiayha01,2013-14</v>
      </c>
      <c r="Z301" s="168" t="str">
        <f t="array" ref="Z301">iferror(index(I:I,match($A301&amp;","&amp;index('Year Conversion'!$A:$A,match($C301,'Year Conversion'!$B:$B,0)),$Y:$Y,0))-I301,"")</f>
        <v/>
      </c>
      <c r="AA301" s="168" t="str">
        <f t="array" ref="AA301">iferror(index(J:J,match($A301&amp;","&amp;index('Year Conversion'!$A:$A,match($C301,'Year Conversion'!$B:$B,0)),$Y:$Y,0))-J301,"")</f>
        <v/>
      </c>
      <c r="AB301" s="168" t="str">
        <f t="array" ref="AB301">iferror(index(K:K,match($A301&amp;","&amp;index('Year Conversion'!$A:$A,match($C301,'Year Conversion'!$B:$B,0)),$Y:$Y,0))-K301,"")</f>
        <v/>
      </c>
      <c r="AC301" s="168" t="str">
        <f t="shared" si="7"/>
        <v>SAC,2013-14</v>
      </c>
    </row>
    <row r="302">
      <c r="A302" s="161" t="str">
        <f>IFERROR(__xludf.DUMMYFUNCTION("""COMPUTED_VALUE"""),"sloando01")</f>
        <v>sloando01</v>
      </c>
      <c r="B302" s="161" t="str">
        <f>IFERROR(__xludf.DUMMYFUNCTION("""COMPUTED_VALUE"""),"Donald Sloan")</f>
        <v>Donald Sloan</v>
      </c>
      <c r="C302" s="162" t="str">
        <f>IFERROR(__xludf.DUMMYFUNCTION("""COMPUTED_VALUE"""),"2013-14")</f>
        <v>2013-14</v>
      </c>
      <c r="D302" s="163" t="str">
        <f>IFERROR(__xludf.DUMMYFUNCTION("""COMPUTED_VALUE"""),"IND")</f>
        <v>IND</v>
      </c>
      <c r="E302" s="164" t="str">
        <f>IFERROR(__xludf.DUMMYFUNCTION("""COMPUTED_VALUE"""),"Secondary Ball Handler")</f>
        <v>Secondary Ball Handler</v>
      </c>
      <c r="F302" s="164">
        <f>IFERROR(__xludf.DUMMYFUNCTION("""COMPUTED_VALUE"""),392.176666666667)</f>
        <v>392.1766667</v>
      </c>
      <c r="G302" s="163">
        <f>IFERROR(__xludf.DUMMYFUNCTION("""COMPUTED_VALUE"""),48.0)</f>
        <v>48</v>
      </c>
      <c r="H302" s="163" t="str">
        <f>IFERROR(__xludf.DUMMYFUNCTION("""COMPUTED_VALUE"""),"SG")</f>
        <v>SG</v>
      </c>
      <c r="I302" s="163">
        <f>IFERROR(__xludf.DUMMYFUNCTION("""COMPUTED_VALUE"""),26.0)</f>
        <v>26</v>
      </c>
      <c r="J302" s="165">
        <f>IFERROR(__xludf.DUMMYFUNCTION("""COMPUTED_VALUE"""),-2.68698311330776)</f>
        <v>-2.686983113</v>
      </c>
      <c r="K302" s="165">
        <f>IFERROR(__xludf.DUMMYFUNCTION("""COMPUTED_VALUE"""),-1.42549745376194)</f>
        <v>-1.425497454</v>
      </c>
      <c r="L302" s="165">
        <f>IFERROR(__xludf.DUMMYFUNCTION("""COMPUTED_VALUE"""),-1.26148565954582)</f>
        <v>-1.26148566</v>
      </c>
      <c r="M302" s="166">
        <f t="shared" si="2"/>
        <v>-0.0987957042</v>
      </c>
      <c r="N302" s="167">
        <f t="shared" si="3"/>
        <v>8.170347222</v>
      </c>
      <c r="O302" s="163">
        <f t="shared" ref="O302:Q302" si="306">rank(I302,I:I)</f>
        <v>1665</v>
      </c>
      <c r="P302" s="163">
        <f t="shared" si="306"/>
        <v>3810</v>
      </c>
      <c r="Q302" s="163">
        <f t="shared" si="306"/>
        <v>3277</v>
      </c>
      <c r="R302" s="163">
        <f>IFERROR(__xludf.DUMMYFUNCTION("RANK(M302,filter(M:M,C:C=C302))"),445.0)</f>
        <v>445</v>
      </c>
      <c r="S302" s="161" t="b">
        <f t="shared" si="5"/>
        <v>0</v>
      </c>
      <c r="T302" s="161" t="b">
        <f t="array" ref="T302">index('Query Tool'!B:B,match(H302,'Query Tool'!C:C,0))</f>
        <v>1</v>
      </c>
      <c r="U302" s="161" t="b">
        <f t="array" ref="U302">index('Query Tool'!B:B,match(C302,'Query Tool'!C:C,0))</f>
        <v>0</v>
      </c>
      <c r="V302" s="161" t="b">
        <f>F302&gt;='Query Tool'!C$32</f>
        <v>0</v>
      </c>
      <c r="W302" s="161" t="b">
        <f t="array" ref="W302">index(Dropdowns!B:B,match(I302,Dropdowns!A:A,0))</f>
        <v>1</v>
      </c>
      <c r="X302" s="161" t="b">
        <f t="array" ref="X302">index('Query Tool'!B:B,match(D302,'Query Tool'!C:C,0))</f>
        <v>1</v>
      </c>
      <c r="Y302" s="161" t="str">
        <f t="shared" si="6"/>
        <v>sloando01,2013-14</v>
      </c>
      <c r="Z302" s="168">
        <f t="array" ref="Z302">iferror(index(I:I,match($A302&amp;","&amp;index('Year Conversion'!$A:$A,match($C302,'Year Conversion'!$B:$B,0)),$Y:$Y,0))-I302,"")</f>
        <v>1</v>
      </c>
      <c r="AA302" s="168">
        <f t="array" ref="AA302">iferror(index(J:J,match($A302&amp;","&amp;index('Year Conversion'!$A:$A,match($C302,'Year Conversion'!$B:$B,0)),$Y:$Y,0))-J302,"")</f>
        <v>2.359920866</v>
      </c>
      <c r="AB302" s="168">
        <f t="array" ref="AB302">iferror(index(K:K,match($A302&amp;","&amp;index('Year Conversion'!$A:$A,match($C302,'Year Conversion'!$B:$B,0)),$Y:$Y,0))-K302,"")</f>
        <v>1.299350406</v>
      </c>
      <c r="AC302" s="168" t="str">
        <f t="shared" si="7"/>
        <v>IND,2013-14</v>
      </c>
    </row>
    <row r="303">
      <c r="A303" s="161" t="str">
        <f>IFERROR(__xludf.DUMMYFUNCTION("""COMPUTED_VALUE"""),"mozgoti01")</f>
        <v>mozgoti01</v>
      </c>
      <c r="B303" s="161" t="str">
        <f>IFERROR(__xludf.DUMMYFUNCTION("""COMPUTED_VALUE"""),"Timofey Mozgov")</f>
        <v>Timofey Mozgov</v>
      </c>
      <c r="C303" s="162" t="str">
        <f>IFERROR(__xludf.DUMMYFUNCTION("""COMPUTED_VALUE"""),"2013-14")</f>
        <v>2013-14</v>
      </c>
      <c r="D303" s="163" t="str">
        <f>IFERROR(__xludf.DUMMYFUNCTION("""COMPUTED_VALUE"""),"DEN")</f>
        <v>DEN</v>
      </c>
      <c r="E303" s="164" t="str">
        <f>IFERROR(__xludf.DUMMYFUNCTION("""COMPUTED_VALUE"""),"Post Scorer")</f>
        <v>Post Scorer</v>
      </c>
      <c r="F303" s="164">
        <f>IFERROR(__xludf.DUMMYFUNCTION("""COMPUTED_VALUE"""),1770.04)</f>
        <v>1770.04</v>
      </c>
      <c r="G303" s="163">
        <f>IFERROR(__xludf.DUMMYFUNCTION("""COMPUTED_VALUE"""),82.0)</f>
        <v>82</v>
      </c>
      <c r="H303" s="163" t="str">
        <f>IFERROR(__xludf.DUMMYFUNCTION("""COMPUTED_VALUE"""),"C")</f>
        <v>C</v>
      </c>
      <c r="I303" s="163">
        <f>IFERROR(__xludf.DUMMYFUNCTION("""COMPUTED_VALUE"""),27.0)</f>
        <v>27</v>
      </c>
      <c r="J303" s="165">
        <f>IFERROR(__xludf.DUMMYFUNCTION("""COMPUTED_VALUE"""),-0.603479293736056)</f>
        <v>-0.6034792937</v>
      </c>
      <c r="K303" s="165">
        <f>IFERROR(__xludf.DUMMYFUNCTION("""COMPUTED_VALUE"""),-1.14940093604627)</f>
        <v>-1.149400936</v>
      </c>
      <c r="L303" s="165">
        <f>IFERROR(__xludf.DUMMYFUNCTION("""COMPUTED_VALUE"""),0.545921642310211)</f>
        <v>0.5459216423</v>
      </c>
      <c r="M303" s="166">
        <f t="shared" si="2"/>
        <v>2.009018034</v>
      </c>
      <c r="N303" s="167">
        <f t="shared" si="3"/>
        <v>21.58585366</v>
      </c>
      <c r="O303" s="163">
        <f t="shared" ref="O303:Q303" si="307">rank(I303,I:I)</f>
        <v>1366</v>
      </c>
      <c r="P303" s="163">
        <f t="shared" si="307"/>
        <v>2005</v>
      </c>
      <c r="Q303" s="163">
        <f t="shared" si="307"/>
        <v>2986</v>
      </c>
      <c r="R303" s="163">
        <f>IFERROR(__xludf.DUMMYFUNCTION("RANK(M303,filter(M:M,C:C=C303))"),153.0)</f>
        <v>153</v>
      </c>
      <c r="S303" s="161" t="b">
        <f t="shared" si="5"/>
        <v>0</v>
      </c>
      <c r="T303" s="161" t="b">
        <f t="array" ref="T303">index('Query Tool'!B:B,match(H303,'Query Tool'!C:C,0))</f>
        <v>1</v>
      </c>
      <c r="U303" s="161" t="b">
        <f t="array" ref="U303">index('Query Tool'!B:B,match(C303,'Query Tool'!C:C,0))</f>
        <v>0</v>
      </c>
      <c r="V303" s="161" t="b">
        <f>F303&gt;='Query Tool'!C$32</f>
        <v>1</v>
      </c>
      <c r="W303" s="161" t="b">
        <f t="array" ref="W303">index(Dropdowns!B:B,match(I303,Dropdowns!A:A,0))</f>
        <v>1</v>
      </c>
      <c r="X303" s="161" t="b">
        <f t="array" ref="X303">index('Query Tool'!B:B,match(D303,'Query Tool'!C:C,0))</f>
        <v>1</v>
      </c>
      <c r="Y303" s="161" t="str">
        <f t="shared" si="6"/>
        <v>mozgoti01,2013-14</v>
      </c>
      <c r="Z303" s="168">
        <f t="array" ref="Z303">iferror(index(I:I,match($A303&amp;","&amp;index('Year Conversion'!$A:$A,match($C303,'Year Conversion'!$B:$B,0)),$Y:$Y,0))-I303,"")</f>
        <v>1</v>
      </c>
      <c r="AA303" s="168">
        <f t="array" ref="AA303">iferror(index(J:J,match($A303&amp;","&amp;index('Year Conversion'!$A:$A,match($C303,'Year Conversion'!$B:$B,0)),$Y:$Y,0))-J303,"")</f>
        <v>2.037787222</v>
      </c>
      <c r="AB303" s="168">
        <f t="array" ref="AB303">iferror(index(K:K,match($A303&amp;","&amp;index('Year Conversion'!$A:$A,match($C303,'Year Conversion'!$B:$B,0)),$Y:$Y,0))-K303,"")</f>
        <v>0.4214488388</v>
      </c>
      <c r="AC303" s="168" t="str">
        <f t="shared" si="7"/>
        <v>DEN,2013-14</v>
      </c>
    </row>
    <row r="304">
      <c r="A304" s="161" t="str">
        <f>IFERROR(__xludf.DUMMYFUNCTION("""COMPUTED_VALUE"""),"nealga01")</f>
        <v>nealga01</v>
      </c>
      <c r="B304" s="161" t="str">
        <f>IFERROR(__xludf.DUMMYFUNCTION("""COMPUTED_VALUE"""),"Gary Neal")</f>
        <v>Gary Neal</v>
      </c>
      <c r="C304" s="162" t="str">
        <f>IFERROR(__xludf.DUMMYFUNCTION("""COMPUTED_VALUE"""),"2013-14")</f>
        <v>2013-14</v>
      </c>
      <c r="D304" s="163" t="str">
        <f>IFERROR(__xludf.DUMMYFUNCTION("""COMPUTED_VALUE"""),"TOT")</f>
        <v>TOT</v>
      </c>
      <c r="E304" s="164" t="str">
        <f>IFERROR(__xludf.DUMMYFUNCTION("""COMPUTED_VALUE"""),"Off Screen Shooter")</f>
        <v>Off Screen Shooter</v>
      </c>
      <c r="F304" s="164">
        <f>IFERROR(__xludf.DUMMYFUNCTION("""COMPUTED_VALUE"""),1113.48166666667)</f>
        <v>1113.481667</v>
      </c>
      <c r="G304" s="163">
        <f>IFERROR(__xludf.DUMMYFUNCTION("""COMPUTED_VALUE"""),52.0)</f>
        <v>52</v>
      </c>
      <c r="H304" s="163" t="str">
        <f>IFERROR(__xludf.DUMMYFUNCTION("""COMPUTED_VALUE"""),"SG")</f>
        <v>SG</v>
      </c>
      <c r="I304" s="163">
        <f>IFERROR(__xludf.DUMMYFUNCTION("""COMPUTED_VALUE"""),29.0)</f>
        <v>29</v>
      </c>
      <c r="J304" s="165">
        <f>IFERROR(__xludf.DUMMYFUNCTION("""COMPUTED_VALUE"""),-2.86714770644633)</f>
        <v>-2.867147706</v>
      </c>
      <c r="K304" s="165">
        <f>IFERROR(__xludf.DUMMYFUNCTION("""COMPUTED_VALUE"""),-0.373923817974843)</f>
        <v>-0.373923818</v>
      </c>
      <c r="L304" s="165">
        <f>IFERROR(__xludf.DUMMYFUNCTION("""COMPUTED_VALUE"""),-2.49322388847149)</f>
        <v>-2.493223888</v>
      </c>
      <c r="M304" s="166">
        <f t="shared" si="2"/>
        <v>-0.4114963508</v>
      </c>
      <c r="N304" s="167">
        <f t="shared" si="3"/>
        <v>21.41310897</v>
      </c>
      <c r="O304" s="163">
        <f t="shared" ref="O304:Q304" si="308">rank(I304,I:I)</f>
        <v>855</v>
      </c>
      <c r="P304" s="163">
        <f t="shared" si="308"/>
        <v>3859</v>
      </c>
      <c r="Q304" s="163">
        <f t="shared" si="308"/>
        <v>1903</v>
      </c>
      <c r="R304" s="163">
        <f>IFERROR(__xludf.DUMMYFUNCTION("RANK(M304,filter(M:M,C:C=C304))"),467.0)</f>
        <v>467</v>
      </c>
      <c r="S304" s="161" t="b">
        <f t="shared" si="5"/>
        <v>0</v>
      </c>
      <c r="T304" s="161" t="b">
        <f t="array" ref="T304">index('Query Tool'!B:B,match(H304,'Query Tool'!C:C,0))</f>
        <v>1</v>
      </c>
      <c r="U304" s="161" t="b">
        <f t="array" ref="U304">index('Query Tool'!B:B,match(C304,'Query Tool'!C:C,0))</f>
        <v>0</v>
      </c>
      <c r="V304" s="161" t="b">
        <f>F304&gt;='Query Tool'!C$32</f>
        <v>1</v>
      </c>
      <c r="W304" s="161" t="b">
        <f t="array" ref="W304">index(Dropdowns!B:B,match(I304,Dropdowns!A:A,0))</f>
        <v>1</v>
      </c>
      <c r="X304" s="161" t="b">
        <f t="array" ref="X304">index('Query Tool'!B:B,match(D304,'Query Tool'!C:C,0))</f>
        <v>1</v>
      </c>
      <c r="Y304" s="161" t="str">
        <f t="shared" si="6"/>
        <v>nealga01,2013-14</v>
      </c>
      <c r="Z304" s="168">
        <f t="array" ref="Z304">iferror(index(I:I,match($A304&amp;","&amp;index('Year Conversion'!$A:$A,match($C304,'Year Conversion'!$B:$B,0)),$Y:$Y,0))-I304,"")</f>
        <v>1</v>
      </c>
      <c r="AA304" s="168">
        <f t="array" ref="AA304">iferror(index(J:J,match($A304&amp;","&amp;index('Year Conversion'!$A:$A,match($C304,'Year Conversion'!$B:$B,0)),$Y:$Y,0))-J304,"")</f>
        <v>1.155871335</v>
      </c>
      <c r="AB304" s="168">
        <f t="array" ref="AB304">iferror(index(K:K,match($A304&amp;","&amp;index('Year Conversion'!$A:$A,match($C304,'Year Conversion'!$B:$B,0)),$Y:$Y,0))-K304,"")</f>
        <v>0.4095841701</v>
      </c>
      <c r="AC304" s="168" t="str">
        <f t="shared" si="7"/>
        <v>TOT,2013-14</v>
      </c>
    </row>
    <row r="305">
      <c r="A305" s="161" t="str">
        <f>IFERROR(__xludf.DUMMYFUNCTION("""COMPUTED_VALUE"""),"linje01")</f>
        <v>linje01</v>
      </c>
      <c r="B305" s="161" t="str">
        <f>IFERROR(__xludf.DUMMYFUNCTION("""COMPUTED_VALUE"""),"Jeremy Lin")</f>
        <v>Jeremy Lin</v>
      </c>
      <c r="C305" s="162" t="str">
        <f>IFERROR(__xludf.DUMMYFUNCTION("""COMPUTED_VALUE"""),"2013-14")</f>
        <v>2013-14</v>
      </c>
      <c r="D305" s="163" t="str">
        <f>IFERROR(__xludf.DUMMYFUNCTION("""COMPUTED_VALUE"""),"HOU")</f>
        <v>HOU</v>
      </c>
      <c r="E305" s="164" t="str">
        <f>IFERROR(__xludf.DUMMYFUNCTION("""COMPUTED_VALUE"""),"Primary Ball Handler")</f>
        <v>Primary Ball Handler</v>
      </c>
      <c r="F305" s="164">
        <f>IFERROR(__xludf.DUMMYFUNCTION("""COMPUTED_VALUE"""),2054.025)</f>
        <v>2054.025</v>
      </c>
      <c r="G305" s="163">
        <f>IFERROR(__xludf.DUMMYFUNCTION("""COMPUTED_VALUE"""),71.0)</f>
        <v>71</v>
      </c>
      <c r="H305" s="163" t="str">
        <f>IFERROR(__xludf.DUMMYFUNCTION("""COMPUTED_VALUE"""),"PG")</f>
        <v>PG</v>
      </c>
      <c r="I305" s="163">
        <f>IFERROR(__xludf.DUMMYFUNCTION("""COMPUTED_VALUE"""),25.0)</f>
        <v>25</v>
      </c>
      <c r="J305" s="165">
        <f>IFERROR(__xludf.DUMMYFUNCTION("""COMPUTED_VALUE"""),-1.09402656015979)</f>
        <v>-1.09402656</v>
      </c>
      <c r="K305" s="165">
        <f>IFERROR(__xludf.DUMMYFUNCTION("""COMPUTED_VALUE"""),-0.506253448573344)</f>
        <v>-0.5062534486</v>
      </c>
      <c r="L305" s="165">
        <f>IFERROR(__xludf.DUMMYFUNCTION("""COMPUTED_VALUE"""),-0.587773111586447)</f>
        <v>-0.5877731116</v>
      </c>
      <c r="M305" s="166">
        <f t="shared" si="2"/>
        <v>1.654124906</v>
      </c>
      <c r="N305" s="167">
        <f t="shared" si="3"/>
        <v>28.92992958</v>
      </c>
      <c r="O305" s="163">
        <f t="shared" ref="O305:Q305" si="309">rank(I305,I:I)</f>
        <v>1995</v>
      </c>
      <c r="P305" s="163">
        <f t="shared" si="309"/>
        <v>2605</v>
      </c>
      <c r="Q305" s="163">
        <f t="shared" si="309"/>
        <v>2113</v>
      </c>
      <c r="R305" s="163">
        <f>IFERROR(__xludf.DUMMYFUNCTION("RANK(M305,filter(M:M,C:C=C305))"),174.0)</f>
        <v>174</v>
      </c>
      <c r="S305" s="161" t="b">
        <f t="shared" si="5"/>
        <v>0</v>
      </c>
      <c r="T305" s="161" t="b">
        <f t="array" ref="T305">index('Query Tool'!B:B,match(H305,'Query Tool'!C:C,0))</f>
        <v>1</v>
      </c>
      <c r="U305" s="161" t="b">
        <f t="array" ref="U305">index('Query Tool'!B:B,match(C305,'Query Tool'!C:C,0))</f>
        <v>0</v>
      </c>
      <c r="V305" s="161" t="b">
        <f>F305&gt;='Query Tool'!C$32</f>
        <v>1</v>
      </c>
      <c r="W305" s="161" t="b">
        <f t="array" ref="W305">index(Dropdowns!B:B,match(I305,Dropdowns!A:A,0))</f>
        <v>1</v>
      </c>
      <c r="X305" s="161" t="b">
        <f t="array" ref="X305">index('Query Tool'!B:B,match(D305,'Query Tool'!C:C,0))</f>
        <v>1</v>
      </c>
      <c r="Y305" s="161" t="str">
        <f t="shared" si="6"/>
        <v>linje01,2013-14</v>
      </c>
      <c r="Z305" s="168">
        <f t="array" ref="Z305">iferror(index(I:I,match($A305&amp;","&amp;index('Year Conversion'!$A:$A,match($C305,'Year Conversion'!$B:$B,0)),$Y:$Y,0))-I305,"")</f>
        <v>1</v>
      </c>
      <c r="AA305" s="168">
        <f t="array" ref="AA305">iferror(index(J:J,match($A305&amp;","&amp;index('Year Conversion'!$A:$A,match($C305,'Year Conversion'!$B:$B,0)),$Y:$Y,0))-J305,"")</f>
        <v>1.493074405</v>
      </c>
      <c r="AB305" s="168">
        <f t="array" ref="AB305">iferror(index(K:K,match($A305&amp;","&amp;index('Year Conversion'!$A:$A,match($C305,'Year Conversion'!$B:$B,0)),$Y:$Y,0))-K305,"")</f>
        <v>1.043420864</v>
      </c>
      <c r="AC305" s="168" t="str">
        <f t="shared" si="7"/>
        <v>HOU,2013-14</v>
      </c>
    </row>
    <row r="306">
      <c r="A306" s="161" t="str">
        <f>IFERROR(__xludf.DUMMYFUNCTION("""COMPUTED_VALUE"""),"smithis01")</f>
        <v>smithis01</v>
      </c>
      <c r="B306" s="161" t="str">
        <f>IFERROR(__xludf.DUMMYFUNCTION("""COMPUTED_VALUE"""),"Ish Smith")</f>
        <v>Ish Smith</v>
      </c>
      <c r="C306" s="162" t="str">
        <f>IFERROR(__xludf.DUMMYFUNCTION("""COMPUTED_VALUE"""),"2013-14")</f>
        <v>2013-14</v>
      </c>
      <c r="D306" s="163" t="str">
        <f>IFERROR(__xludf.DUMMYFUNCTION("""COMPUTED_VALUE"""),"PHO")</f>
        <v>PHO</v>
      </c>
      <c r="E306" s="164" t="str">
        <f>IFERROR(__xludf.DUMMYFUNCTION("""COMPUTED_VALUE"""),"Slasher")</f>
        <v>Slasher</v>
      </c>
      <c r="F306" s="164">
        <f>IFERROR(__xludf.DUMMYFUNCTION("""COMPUTED_VALUE"""),1006.46666666667)</f>
        <v>1006.466667</v>
      </c>
      <c r="G306" s="163">
        <f>IFERROR(__xludf.DUMMYFUNCTION("""COMPUTED_VALUE"""),70.0)</f>
        <v>70</v>
      </c>
      <c r="H306" s="163" t="str">
        <f>IFERROR(__xludf.DUMMYFUNCTION("""COMPUTED_VALUE"""),"PG")</f>
        <v>PG</v>
      </c>
      <c r="I306" s="163">
        <f>IFERROR(__xludf.DUMMYFUNCTION("""COMPUTED_VALUE"""),25.0)</f>
        <v>25</v>
      </c>
      <c r="J306" s="165">
        <f>IFERROR(__xludf.DUMMYFUNCTION("""COMPUTED_VALUE"""),-0.808367775321721)</f>
        <v>-0.8083677753</v>
      </c>
      <c r="K306" s="165">
        <f>IFERROR(__xludf.DUMMYFUNCTION("""COMPUTED_VALUE"""),-1.00081177882244)</f>
        <v>-1.000811779</v>
      </c>
      <c r="L306" s="165">
        <f>IFERROR(__xludf.DUMMYFUNCTION("""COMPUTED_VALUE"""),0.192444003500723)</f>
        <v>0.1924440035</v>
      </c>
      <c r="M306" s="166">
        <f t="shared" si="2"/>
        <v>1.003615888</v>
      </c>
      <c r="N306" s="167">
        <f t="shared" si="3"/>
        <v>14.37809524</v>
      </c>
      <c r="O306" s="163">
        <f t="shared" ref="O306:Q306" si="310">rank(I306,I:I)</f>
        <v>1995</v>
      </c>
      <c r="P306" s="163">
        <f t="shared" si="310"/>
        <v>2288</v>
      </c>
      <c r="Q306" s="163">
        <f t="shared" si="310"/>
        <v>2804</v>
      </c>
      <c r="R306" s="163">
        <f>IFERROR(__xludf.DUMMYFUNCTION("RANK(M306,filter(M:M,C:C=C306))"),222.0)</f>
        <v>222</v>
      </c>
      <c r="S306" s="161" t="b">
        <f t="shared" si="5"/>
        <v>0</v>
      </c>
      <c r="T306" s="161" t="b">
        <f t="array" ref="T306">index('Query Tool'!B:B,match(H306,'Query Tool'!C:C,0))</f>
        <v>1</v>
      </c>
      <c r="U306" s="161" t="b">
        <f t="array" ref="U306">index('Query Tool'!B:B,match(C306,'Query Tool'!C:C,0))</f>
        <v>0</v>
      </c>
      <c r="V306" s="161" t="b">
        <f>F306&gt;='Query Tool'!C$32</f>
        <v>1</v>
      </c>
      <c r="W306" s="161" t="b">
        <f t="array" ref="W306">index(Dropdowns!B:B,match(I306,Dropdowns!A:A,0))</f>
        <v>1</v>
      </c>
      <c r="X306" s="161" t="b">
        <f t="array" ref="X306">index('Query Tool'!B:B,match(D306,'Query Tool'!C:C,0))</f>
        <v>1</v>
      </c>
      <c r="Y306" s="161" t="str">
        <f t="shared" si="6"/>
        <v>smithis01,2013-14</v>
      </c>
      <c r="Z306" s="168">
        <f t="array" ref="Z306">iferror(index(I:I,match($A306&amp;","&amp;index('Year Conversion'!$A:$A,match($C306,'Year Conversion'!$B:$B,0)),$Y:$Y,0))-I306,"")</f>
        <v>1</v>
      </c>
      <c r="AA306" s="168">
        <f t="array" ref="AA306">iferror(index(J:J,match($A306&amp;","&amp;index('Year Conversion'!$A:$A,match($C306,'Year Conversion'!$B:$B,0)),$Y:$Y,0))-J306,"")</f>
        <v>-0.2486032535</v>
      </c>
      <c r="AB306" s="168">
        <f t="array" ref="AB306">iferror(index(K:K,match($A306&amp;","&amp;index('Year Conversion'!$A:$A,match($C306,'Year Conversion'!$B:$B,0)),$Y:$Y,0))-K306,"")</f>
        <v>0.601597334</v>
      </c>
      <c r="AC306" s="168" t="str">
        <f t="shared" si="7"/>
        <v>PHO,2013-14</v>
      </c>
    </row>
    <row r="307">
      <c r="A307" s="161" t="str">
        <f>IFERROR(__xludf.DUMMYFUNCTION("""COMPUTED_VALUE"""),"adrieje01")</f>
        <v>adrieje01</v>
      </c>
      <c r="B307" s="161" t="str">
        <f>IFERROR(__xludf.DUMMYFUNCTION("""COMPUTED_VALUE"""),"Jeff Adrien")</f>
        <v>Jeff Adrien</v>
      </c>
      <c r="C307" s="162" t="str">
        <f>IFERROR(__xludf.DUMMYFUNCTION("""COMPUTED_VALUE"""),"2013-14")</f>
        <v>2013-14</v>
      </c>
      <c r="D307" s="163" t="str">
        <f>IFERROR(__xludf.DUMMYFUNCTION("""COMPUTED_VALUE"""),"TOT")</f>
        <v>TOT</v>
      </c>
      <c r="E307" s="164" t="str">
        <f>IFERROR(__xludf.DUMMYFUNCTION("""COMPUTED_VALUE"""),"Post Scorer")</f>
        <v>Post Scorer</v>
      </c>
      <c r="F307" s="164">
        <f>IFERROR(__xludf.DUMMYFUNCTION("""COMPUTED_VALUE"""),961.928333333333)</f>
        <v>961.9283333</v>
      </c>
      <c r="G307" s="163">
        <f>IFERROR(__xludf.DUMMYFUNCTION("""COMPUTED_VALUE"""),53.0)</f>
        <v>53</v>
      </c>
      <c r="H307" s="163" t="str">
        <f>IFERROR(__xludf.DUMMYFUNCTION("""COMPUTED_VALUE"""),"PF")</f>
        <v>PF</v>
      </c>
      <c r="I307" s="163">
        <f>IFERROR(__xludf.DUMMYFUNCTION("""COMPUTED_VALUE"""),27.0)</f>
        <v>27</v>
      </c>
      <c r="J307" s="165">
        <f>IFERROR(__xludf.DUMMYFUNCTION("""COMPUTED_VALUE"""),0.396511920163763)</f>
        <v>0.3965119202</v>
      </c>
      <c r="K307" s="165">
        <f>IFERROR(__xludf.DUMMYFUNCTION("""COMPUTED_VALUE"""),0.0911093764629252)</f>
        <v>0.09110937646</v>
      </c>
      <c r="L307" s="165">
        <f>IFERROR(__xludf.DUMMYFUNCTION("""COMPUTED_VALUE"""),0.305402543700837)</f>
        <v>0.3054025437</v>
      </c>
      <c r="M307" s="166">
        <f t="shared" si="2"/>
        <v>1.740063515</v>
      </c>
      <c r="N307" s="167">
        <f t="shared" si="3"/>
        <v>18.14959119</v>
      </c>
      <c r="O307" s="163">
        <f t="shared" ref="O307:Q307" si="311">rank(I307,I:I)</f>
        <v>1366</v>
      </c>
      <c r="P307" s="163">
        <f t="shared" si="311"/>
        <v>950</v>
      </c>
      <c r="Q307" s="163">
        <f t="shared" si="311"/>
        <v>1079</v>
      </c>
      <c r="R307" s="163">
        <f>IFERROR(__xludf.DUMMYFUNCTION("RANK(M307,filter(M:M,C:C=C307))"),169.0)</f>
        <v>169</v>
      </c>
      <c r="S307" s="161" t="b">
        <f t="shared" si="5"/>
        <v>0</v>
      </c>
      <c r="T307" s="161" t="b">
        <f t="array" ref="T307">index('Query Tool'!B:B,match(H307,'Query Tool'!C:C,0))</f>
        <v>1</v>
      </c>
      <c r="U307" s="161" t="b">
        <f t="array" ref="U307">index('Query Tool'!B:B,match(C307,'Query Tool'!C:C,0))</f>
        <v>0</v>
      </c>
      <c r="V307" s="161" t="b">
        <f>F307&gt;='Query Tool'!C$32</f>
        <v>1</v>
      </c>
      <c r="W307" s="161" t="b">
        <f t="array" ref="W307">index(Dropdowns!B:B,match(I307,Dropdowns!A:A,0))</f>
        <v>1</v>
      </c>
      <c r="X307" s="161" t="b">
        <f t="array" ref="X307">index('Query Tool'!B:B,match(D307,'Query Tool'!C:C,0))</f>
        <v>1</v>
      </c>
      <c r="Y307" s="161" t="str">
        <f t="shared" si="6"/>
        <v>adrieje01,2013-14</v>
      </c>
      <c r="Z307" s="168">
        <f t="array" ref="Z307">iferror(index(I:I,match($A307&amp;","&amp;index('Year Conversion'!$A:$A,match($C307,'Year Conversion'!$B:$B,0)),$Y:$Y,0))-I307,"")</f>
        <v>1</v>
      </c>
      <c r="AA307" s="168">
        <f t="array" ref="AA307">iferror(index(J:J,match($A307&amp;","&amp;index('Year Conversion'!$A:$A,match($C307,'Year Conversion'!$B:$B,0)),$Y:$Y,0))-J307,"")</f>
        <v>-0.04649959967</v>
      </c>
      <c r="AB307" s="168">
        <f t="array" ref="AB307">iferror(index(K:K,match($A307&amp;","&amp;index('Year Conversion'!$A:$A,match($C307,'Year Conversion'!$B:$B,0)),$Y:$Y,0))-K307,"")</f>
        <v>-0.4058733612</v>
      </c>
      <c r="AC307" s="168" t="str">
        <f t="shared" si="7"/>
        <v>TOT,2013-14</v>
      </c>
    </row>
    <row r="308">
      <c r="A308" s="161" t="str">
        <f>IFERROR(__xludf.DUMMYFUNCTION("""COMPUTED_VALUE"""),"harrima01")</f>
        <v>harrima01</v>
      </c>
      <c r="B308" s="161" t="str">
        <f>IFERROR(__xludf.DUMMYFUNCTION("""COMPUTED_VALUE"""),"Manny Harris")</f>
        <v>Manny Harris</v>
      </c>
      <c r="C308" s="162" t="str">
        <f>IFERROR(__xludf.DUMMYFUNCTION("""COMPUTED_VALUE"""),"2013-14")</f>
        <v>2013-14</v>
      </c>
      <c r="D308" s="163" t="str">
        <f>IFERROR(__xludf.DUMMYFUNCTION("""COMPUTED_VALUE"""),"LAL")</f>
        <v>LAL</v>
      </c>
      <c r="E308" s="164" t="str">
        <f>IFERROR(__xludf.DUMMYFUNCTION("""COMPUTED_VALUE"""),"Stationary Shooter")</f>
        <v>Stationary Shooter</v>
      </c>
      <c r="F308" s="164">
        <f>IFERROR(__xludf.DUMMYFUNCTION("""COMPUTED_VALUE"""),179.705)</f>
        <v>179.705</v>
      </c>
      <c r="G308" s="163">
        <f>IFERROR(__xludf.DUMMYFUNCTION("""COMPUTED_VALUE"""),9.0)</f>
        <v>9</v>
      </c>
      <c r="H308" s="163" t="str">
        <f>IFERROR(__xludf.DUMMYFUNCTION("""COMPUTED_VALUE"""),"SG")</f>
        <v>SG</v>
      </c>
      <c r="I308" s="163">
        <f>IFERROR(__xludf.DUMMYFUNCTION("""COMPUTED_VALUE"""),24.0)</f>
        <v>24</v>
      </c>
      <c r="J308" s="165">
        <f>IFERROR(__xludf.DUMMYFUNCTION("""COMPUTED_VALUE"""),-1.69983689372227)</f>
        <v>-1.699836894</v>
      </c>
      <c r="K308" s="165">
        <f>IFERROR(__xludf.DUMMYFUNCTION("""COMPUTED_VALUE"""),-0.683270689987679)</f>
        <v>-0.68327069</v>
      </c>
      <c r="L308" s="165">
        <f>IFERROR(__xludf.DUMMYFUNCTION("""COMPUTED_VALUE"""),-1.01656620373459)</f>
        <v>-1.016566204</v>
      </c>
      <c r="M308" s="166">
        <f t="shared" si="2"/>
        <v>0.0719236904</v>
      </c>
      <c r="N308" s="167">
        <f t="shared" si="3"/>
        <v>19.96722222</v>
      </c>
      <c r="O308" s="163">
        <f t="shared" ref="O308:Q308" si="312">rank(I308,I:I)</f>
        <v>2361</v>
      </c>
      <c r="P308" s="163">
        <f t="shared" si="312"/>
        <v>3240</v>
      </c>
      <c r="Q308" s="163">
        <f t="shared" si="312"/>
        <v>2391</v>
      </c>
      <c r="R308" s="163">
        <f>IFERROR(__xludf.DUMMYFUNCTION("RANK(M308,filter(M:M,C:C=C308))"),372.0)</f>
        <v>372</v>
      </c>
      <c r="S308" s="161" t="b">
        <f t="shared" si="5"/>
        <v>0</v>
      </c>
      <c r="T308" s="161" t="b">
        <f t="array" ref="T308">index('Query Tool'!B:B,match(H308,'Query Tool'!C:C,0))</f>
        <v>1</v>
      </c>
      <c r="U308" s="161" t="b">
        <f t="array" ref="U308">index('Query Tool'!B:B,match(C308,'Query Tool'!C:C,0))</f>
        <v>0</v>
      </c>
      <c r="V308" s="161" t="b">
        <f>F308&gt;='Query Tool'!C$32</f>
        <v>0</v>
      </c>
      <c r="W308" s="161" t="b">
        <f t="array" ref="W308">index(Dropdowns!B:B,match(I308,Dropdowns!A:A,0))</f>
        <v>1</v>
      </c>
      <c r="X308" s="161" t="b">
        <f t="array" ref="X308">index('Query Tool'!B:B,match(D308,'Query Tool'!C:C,0))</f>
        <v>1</v>
      </c>
      <c r="Y308" s="161" t="str">
        <f t="shared" si="6"/>
        <v>harrima01,2013-14</v>
      </c>
      <c r="Z308" s="168" t="str">
        <f t="array" ref="Z308">iferror(index(I:I,match($A308&amp;","&amp;index('Year Conversion'!$A:$A,match($C308,'Year Conversion'!$B:$B,0)),$Y:$Y,0))-I308,"")</f>
        <v/>
      </c>
      <c r="AA308" s="168" t="str">
        <f t="array" ref="AA308">iferror(index(J:J,match($A308&amp;","&amp;index('Year Conversion'!$A:$A,match($C308,'Year Conversion'!$B:$B,0)),$Y:$Y,0))-J308,"")</f>
        <v/>
      </c>
      <c r="AB308" s="168" t="str">
        <f t="array" ref="AB308">iferror(index(K:K,match($A308&amp;","&amp;index('Year Conversion'!$A:$A,match($C308,'Year Conversion'!$B:$B,0)),$Y:$Y,0))-K308,"")</f>
        <v/>
      </c>
      <c r="AC308" s="168" t="str">
        <f t="shared" si="7"/>
        <v>LAL,2013-14</v>
      </c>
    </row>
    <row r="309">
      <c r="A309" s="161" t="str">
        <f>IFERROR(__xludf.DUMMYFUNCTION("""COMPUTED_VALUE"""),"thomala01")</f>
        <v>thomala01</v>
      </c>
      <c r="B309" s="161" t="str">
        <f>IFERROR(__xludf.DUMMYFUNCTION("""COMPUTED_VALUE"""),"Lance Thomas")</f>
        <v>Lance Thomas</v>
      </c>
      <c r="C309" s="162" t="str">
        <f>IFERROR(__xludf.DUMMYFUNCTION("""COMPUTED_VALUE"""),"2013-14")</f>
        <v>2013-14</v>
      </c>
      <c r="D309" s="163" t="str">
        <f>IFERROR(__xludf.DUMMYFUNCTION("""COMPUTED_VALUE"""),"NOP")</f>
        <v>NOP</v>
      </c>
      <c r="E309" s="164" t="str">
        <f>IFERROR(__xludf.DUMMYFUNCTION("""COMPUTED_VALUE"""),"Roll + Cut Big")</f>
        <v>Roll + Cut Big</v>
      </c>
      <c r="F309" s="164">
        <f>IFERROR(__xludf.DUMMYFUNCTION("""COMPUTED_VALUE"""),42.2316666666667)</f>
        <v>42.23166667</v>
      </c>
      <c r="G309" s="163">
        <f>IFERROR(__xludf.DUMMYFUNCTION("""COMPUTED_VALUE"""),5.0)</f>
        <v>5</v>
      </c>
      <c r="H309" s="163" t="str">
        <f>IFERROR(__xludf.DUMMYFUNCTION("""COMPUTED_VALUE"""),"SF")</f>
        <v>SF</v>
      </c>
      <c r="I309" s="163">
        <f>IFERROR(__xludf.DUMMYFUNCTION("""COMPUTED_VALUE"""),25.0)</f>
        <v>25</v>
      </c>
      <c r="J309" s="165">
        <f>IFERROR(__xludf.DUMMYFUNCTION("""COMPUTED_VALUE"""),-1.23716296363709)</f>
        <v>-1.237162964</v>
      </c>
      <c r="K309" s="165">
        <f>IFERROR(__xludf.DUMMYFUNCTION("""COMPUTED_VALUE"""),-0.490181555397641)</f>
        <v>-0.4901815554</v>
      </c>
      <c r="L309" s="165">
        <f>IFERROR(__xludf.DUMMYFUNCTION("""COMPUTED_VALUE"""),-0.746981408239448)</f>
        <v>-0.7469814082</v>
      </c>
      <c r="M309" s="166">
        <f t="shared" si="2"/>
        <v>0.02995715744</v>
      </c>
      <c r="N309" s="167">
        <f t="shared" si="3"/>
        <v>8.446333333</v>
      </c>
      <c r="O309" s="163">
        <f t="shared" ref="O309:Q309" si="313">rank(I309,I:I)</f>
        <v>1995</v>
      </c>
      <c r="P309" s="163">
        <f t="shared" si="313"/>
        <v>2798</v>
      </c>
      <c r="Q309" s="163">
        <f t="shared" si="313"/>
        <v>2091</v>
      </c>
      <c r="R309" s="163">
        <f>IFERROR(__xludf.DUMMYFUNCTION("RANK(M309,filter(M:M,C:C=C309))"),402.0)</f>
        <v>402</v>
      </c>
      <c r="S309" s="161" t="b">
        <f t="shared" si="5"/>
        <v>0</v>
      </c>
      <c r="T309" s="161" t="b">
        <f t="array" ref="T309">index('Query Tool'!B:B,match(H309,'Query Tool'!C:C,0))</f>
        <v>1</v>
      </c>
      <c r="U309" s="161" t="b">
        <f t="array" ref="U309">index('Query Tool'!B:B,match(C309,'Query Tool'!C:C,0))</f>
        <v>0</v>
      </c>
      <c r="V309" s="161" t="b">
        <f>F309&gt;='Query Tool'!C$32</f>
        <v>0</v>
      </c>
      <c r="W309" s="161" t="b">
        <f t="array" ref="W309">index(Dropdowns!B:B,match(I309,Dropdowns!A:A,0))</f>
        <v>1</v>
      </c>
      <c r="X309" s="161" t="b">
        <f t="array" ref="X309">index('Query Tool'!B:B,match(D309,'Query Tool'!C:C,0))</f>
        <v>1</v>
      </c>
      <c r="Y309" s="161" t="str">
        <f t="shared" si="6"/>
        <v>thomala01,2013-14</v>
      </c>
      <c r="Z309" s="168">
        <f t="array" ref="Z309">iferror(index(I:I,match($A309&amp;","&amp;index('Year Conversion'!$A:$A,match($C309,'Year Conversion'!$B:$B,0)),$Y:$Y,0))-I309,"")</f>
        <v>1</v>
      </c>
      <c r="AA309" s="168">
        <f t="array" ref="AA309">iferror(index(J:J,match($A309&amp;","&amp;index('Year Conversion'!$A:$A,match($C309,'Year Conversion'!$B:$B,0)),$Y:$Y,0))-J309,"")</f>
        <v>-2.678506646</v>
      </c>
      <c r="AB309" s="168">
        <f t="array" ref="AB309">iferror(index(K:K,match($A309&amp;","&amp;index('Year Conversion'!$A:$A,match($C309,'Year Conversion'!$B:$B,0)),$Y:$Y,0))-K309,"")</f>
        <v>-1.978067605</v>
      </c>
      <c r="AC309" s="168" t="str">
        <f t="shared" si="7"/>
        <v>NOP,2013-14</v>
      </c>
    </row>
    <row r="310">
      <c r="A310" s="161" t="str">
        <f>IFERROR(__xludf.DUMMYFUNCTION("""COMPUTED_VALUE"""),"onuakar01")</f>
        <v>onuakar01</v>
      </c>
      <c r="B310" s="161" t="str">
        <f>IFERROR(__xludf.DUMMYFUNCTION("""COMPUTED_VALUE"""),"Arinze Onuaku")</f>
        <v>Arinze Onuaku</v>
      </c>
      <c r="C310" s="162" t="str">
        <f>IFERROR(__xludf.DUMMYFUNCTION("""COMPUTED_VALUE"""),"2013-14")</f>
        <v>2013-14</v>
      </c>
      <c r="D310" s="163" t="str">
        <f>IFERROR(__xludf.DUMMYFUNCTION("""COMPUTED_VALUE"""),"TOT")</f>
        <v>TOT</v>
      </c>
      <c r="E310" s="164" t="str">
        <f>IFERROR(__xludf.DUMMYFUNCTION("""COMPUTED_VALUE"""),"Roll + Cut Big")</f>
        <v>Roll + Cut Big</v>
      </c>
      <c r="F310" s="164">
        <f>IFERROR(__xludf.DUMMYFUNCTION("""COMPUTED_VALUE"""),30.15)</f>
        <v>30.15</v>
      </c>
      <c r="G310" s="163">
        <f>IFERROR(__xludf.DUMMYFUNCTION("""COMPUTED_VALUE"""),5.0)</f>
        <v>5</v>
      </c>
      <c r="H310" s="163" t="str">
        <f>IFERROR(__xludf.DUMMYFUNCTION("""COMPUTED_VALUE"""),"PF")</f>
        <v>PF</v>
      </c>
      <c r="I310" s="163">
        <f>IFERROR(__xludf.DUMMYFUNCTION("""COMPUTED_VALUE"""),26.0)</f>
        <v>26</v>
      </c>
      <c r="J310" s="165">
        <f>IFERROR(__xludf.DUMMYFUNCTION("""COMPUTED_VALUE"""),-0.566273449018813)</f>
        <v>-0.566273449</v>
      </c>
      <c r="K310" s="165">
        <f>IFERROR(__xludf.DUMMYFUNCTION("""COMPUTED_VALUE"""),-0.183703449257998)</f>
        <v>-0.1837034493</v>
      </c>
      <c r="L310" s="165">
        <f>IFERROR(__xludf.DUMMYFUNCTION("""COMPUTED_VALUE"""),-0.382569999760815)</f>
        <v>-0.3825699998</v>
      </c>
      <c r="M310" s="166">
        <f t="shared" si="2"/>
        <v>0.03497583465</v>
      </c>
      <c r="N310" s="167">
        <f t="shared" si="3"/>
        <v>6.03</v>
      </c>
      <c r="O310" s="163">
        <f t="shared" ref="O310:Q310" si="314">rank(I310,I:I)</f>
        <v>1665</v>
      </c>
      <c r="P310" s="163">
        <f t="shared" si="314"/>
        <v>1945</v>
      </c>
      <c r="Q310" s="163">
        <f t="shared" si="314"/>
        <v>1539</v>
      </c>
      <c r="R310" s="163">
        <f>IFERROR(__xludf.DUMMYFUNCTION("RANK(M310,filter(M:M,C:C=C310))"),401.0)</f>
        <v>401</v>
      </c>
      <c r="S310" s="161" t="b">
        <f t="shared" si="5"/>
        <v>0</v>
      </c>
      <c r="T310" s="161" t="b">
        <f t="array" ref="T310">index('Query Tool'!B:B,match(H310,'Query Tool'!C:C,0))</f>
        <v>1</v>
      </c>
      <c r="U310" s="161" t="b">
        <f t="array" ref="U310">index('Query Tool'!B:B,match(C310,'Query Tool'!C:C,0))</f>
        <v>0</v>
      </c>
      <c r="V310" s="161" t="b">
        <f>F310&gt;='Query Tool'!C$32</f>
        <v>0</v>
      </c>
      <c r="W310" s="161" t="b">
        <f t="array" ref="W310">index(Dropdowns!B:B,match(I310,Dropdowns!A:A,0))</f>
        <v>1</v>
      </c>
      <c r="X310" s="161" t="b">
        <f t="array" ref="X310">index('Query Tool'!B:B,match(D310,'Query Tool'!C:C,0))</f>
        <v>1</v>
      </c>
      <c r="Y310" s="161" t="str">
        <f t="shared" si="6"/>
        <v>onuakar01,2013-14</v>
      </c>
      <c r="Z310" s="168">
        <f t="array" ref="Z310">iferror(index(I:I,match($A310&amp;","&amp;index('Year Conversion'!$A:$A,match($C310,'Year Conversion'!$B:$B,0)),$Y:$Y,0))-I310,"")</f>
        <v>1</v>
      </c>
      <c r="AA310" s="168">
        <f t="array" ref="AA310">iferror(index(J:J,match($A310&amp;","&amp;index('Year Conversion'!$A:$A,match($C310,'Year Conversion'!$B:$B,0)),$Y:$Y,0))-J310,"")</f>
        <v>0.4716540948</v>
      </c>
      <c r="AB310" s="168">
        <f t="array" ref="AB310">iferror(index(K:K,match($A310&amp;","&amp;index('Year Conversion'!$A:$A,match($C310,'Year Conversion'!$B:$B,0)),$Y:$Y,0))-K310,"")</f>
        <v>0.2698152151</v>
      </c>
      <c r="AC310" s="168" t="str">
        <f t="shared" si="7"/>
        <v>TOT,2013-14</v>
      </c>
    </row>
    <row r="311">
      <c r="A311" s="161" t="str">
        <f>IFERROR(__xludf.DUMMYFUNCTION("""COMPUTED_VALUE"""),"irvinky01")</f>
        <v>irvinky01</v>
      </c>
      <c r="B311" s="161" t="str">
        <f>IFERROR(__xludf.DUMMYFUNCTION("""COMPUTED_VALUE"""),"Kyrie Irving")</f>
        <v>Kyrie Irving</v>
      </c>
      <c r="C311" s="162" t="str">
        <f>IFERROR(__xludf.DUMMYFUNCTION("""COMPUTED_VALUE"""),"2013-14")</f>
        <v>2013-14</v>
      </c>
      <c r="D311" s="163" t="str">
        <f>IFERROR(__xludf.DUMMYFUNCTION("""COMPUTED_VALUE"""),"CLE")</f>
        <v>CLE</v>
      </c>
      <c r="E311" s="164" t="str">
        <f>IFERROR(__xludf.DUMMYFUNCTION("""COMPUTED_VALUE"""),"Shot Creator")</f>
        <v>Shot Creator</v>
      </c>
      <c r="F311" s="164">
        <f>IFERROR(__xludf.DUMMYFUNCTION("""COMPUTED_VALUE"""),2495.67)</f>
        <v>2495.67</v>
      </c>
      <c r="G311" s="163">
        <f>IFERROR(__xludf.DUMMYFUNCTION("""COMPUTED_VALUE"""),71.0)</f>
        <v>71</v>
      </c>
      <c r="H311" s="163" t="str">
        <f>IFERROR(__xludf.DUMMYFUNCTION("""COMPUTED_VALUE"""),"PG")</f>
        <v>PG</v>
      </c>
      <c r="I311" s="163">
        <f>IFERROR(__xludf.DUMMYFUNCTION("""COMPUTED_VALUE"""),21.0)</f>
        <v>21</v>
      </c>
      <c r="J311" s="165">
        <f>IFERROR(__xludf.DUMMYFUNCTION("""COMPUTED_VALUE"""),1.09884644373943)</f>
        <v>1.098846444</v>
      </c>
      <c r="K311" s="165">
        <f>IFERROR(__xludf.DUMMYFUNCTION("""COMPUTED_VALUE"""),2.11925884077179)</f>
        <v>2.119258841</v>
      </c>
      <c r="L311" s="165">
        <f>IFERROR(__xludf.DUMMYFUNCTION("""COMPUTED_VALUE"""),-1.02041239703236)</f>
        <v>-1.020412397</v>
      </c>
      <c r="M311" s="166">
        <f t="shared" si="2"/>
        <v>5.693266107</v>
      </c>
      <c r="N311" s="167">
        <f t="shared" si="3"/>
        <v>35.15028169</v>
      </c>
      <c r="O311" s="163">
        <f t="shared" ref="O311:Q311" si="315">rank(I311,I:I)</f>
        <v>3528</v>
      </c>
      <c r="P311" s="163">
        <f t="shared" si="315"/>
        <v>619</v>
      </c>
      <c r="Q311" s="163">
        <f t="shared" si="315"/>
        <v>211</v>
      </c>
      <c r="R311" s="163">
        <f>IFERROR(__xludf.DUMMYFUNCTION("RANK(M311,filter(M:M,C:C=C311))"),56.0)</f>
        <v>56</v>
      </c>
      <c r="S311" s="161" t="b">
        <f t="shared" si="5"/>
        <v>0</v>
      </c>
      <c r="T311" s="161" t="b">
        <f t="array" ref="T311">index('Query Tool'!B:B,match(H311,'Query Tool'!C:C,0))</f>
        <v>1</v>
      </c>
      <c r="U311" s="161" t="b">
        <f t="array" ref="U311">index('Query Tool'!B:B,match(C311,'Query Tool'!C:C,0))</f>
        <v>0</v>
      </c>
      <c r="V311" s="161" t="b">
        <f>F311&gt;='Query Tool'!C$32</f>
        <v>1</v>
      </c>
      <c r="W311" s="161" t="b">
        <f t="array" ref="W311">index(Dropdowns!B:B,match(I311,Dropdowns!A:A,0))</f>
        <v>1</v>
      </c>
      <c r="X311" s="161" t="b">
        <f t="array" ref="X311">index('Query Tool'!B:B,match(D311,'Query Tool'!C:C,0))</f>
        <v>1</v>
      </c>
      <c r="Y311" s="161" t="str">
        <f t="shared" si="6"/>
        <v>irvinky01,2013-14</v>
      </c>
      <c r="Z311" s="168">
        <f t="array" ref="Z311">iferror(index(I:I,match($A311&amp;","&amp;index('Year Conversion'!$A:$A,match($C311,'Year Conversion'!$B:$B,0)),$Y:$Y,0))-I311,"")</f>
        <v>1</v>
      </c>
      <c r="AA311" s="168">
        <f t="array" ref="AA311">iferror(index(J:J,match($A311&amp;","&amp;index('Year Conversion'!$A:$A,match($C311,'Year Conversion'!$B:$B,0)),$Y:$Y,0))-J311,"")</f>
        <v>1.666780355</v>
      </c>
      <c r="AB311" s="168">
        <f t="array" ref="AB311">iferror(index(K:K,match($A311&amp;","&amp;index('Year Conversion'!$A:$A,match($C311,'Year Conversion'!$B:$B,0)),$Y:$Y,0))-K311,"")</f>
        <v>1.427034273</v>
      </c>
      <c r="AC311" s="168" t="str">
        <f t="shared" si="7"/>
        <v>CLE,2013-14</v>
      </c>
    </row>
    <row r="312">
      <c r="A312" s="161" t="str">
        <f>IFERROR(__xludf.DUMMYFUNCTION("""COMPUTED_VALUE"""),"willide02")</f>
        <v>willide02</v>
      </c>
      <c r="B312" s="161" t="str">
        <f>IFERROR(__xludf.DUMMYFUNCTION("""COMPUTED_VALUE"""),"Derrick Williams")</f>
        <v>Derrick Williams</v>
      </c>
      <c r="C312" s="162" t="str">
        <f>IFERROR(__xludf.DUMMYFUNCTION("""COMPUTED_VALUE"""),"2013-14")</f>
        <v>2013-14</v>
      </c>
      <c r="D312" s="163" t="str">
        <f>IFERROR(__xludf.DUMMYFUNCTION("""COMPUTED_VALUE"""),"TOT")</f>
        <v>TOT</v>
      </c>
      <c r="E312" s="164" t="str">
        <f>IFERROR(__xludf.DUMMYFUNCTION("""COMPUTED_VALUE"""),"Roll + Cut Big")</f>
        <v>Roll + Cut Big</v>
      </c>
      <c r="F312" s="164">
        <f>IFERROR(__xludf.DUMMYFUNCTION("""COMPUTED_VALUE"""),1820.20166666667)</f>
        <v>1820.201667</v>
      </c>
      <c r="G312" s="163">
        <f>IFERROR(__xludf.DUMMYFUNCTION("""COMPUTED_VALUE"""),78.0)</f>
        <v>78</v>
      </c>
      <c r="H312" s="163" t="str">
        <f>IFERROR(__xludf.DUMMYFUNCTION("""COMPUTED_VALUE"""),"SF-PF")</f>
        <v>SF-PF</v>
      </c>
      <c r="I312" s="163">
        <f>IFERROR(__xludf.DUMMYFUNCTION("""COMPUTED_VALUE"""),22.0)</f>
        <v>22</v>
      </c>
      <c r="J312" s="165">
        <f>IFERROR(__xludf.DUMMYFUNCTION("""COMPUTED_VALUE"""),-1.69913386443811)</f>
        <v>-1.699133864</v>
      </c>
      <c r="K312" s="165">
        <f>IFERROR(__xludf.DUMMYFUNCTION("""COMPUTED_VALUE"""),-0.663096637356936)</f>
        <v>-0.6630966374</v>
      </c>
      <c r="L312" s="165">
        <f>IFERROR(__xludf.DUMMYFUNCTION("""COMPUTED_VALUE"""),-1.03603722708117)</f>
        <v>-1.036037227</v>
      </c>
      <c r="M312" s="166">
        <f t="shared" si="2"/>
        <v>0.7293553701</v>
      </c>
      <c r="N312" s="167">
        <f t="shared" si="3"/>
        <v>23.3359188</v>
      </c>
      <c r="O312" s="163">
        <f t="shared" ref="O312:Q312" si="316">rank(I312,I:I)</f>
        <v>3178</v>
      </c>
      <c r="P312" s="163">
        <f t="shared" si="316"/>
        <v>3238</v>
      </c>
      <c r="Q312" s="163">
        <f t="shared" si="316"/>
        <v>2355</v>
      </c>
      <c r="R312" s="163">
        <f>IFERROR(__xludf.DUMMYFUNCTION("RANK(M312,filter(M:M,C:C=C312))"),249.0)</f>
        <v>249</v>
      </c>
      <c r="S312" s="161" t="b">
        <f t="shared" si="5"/>
        <v>0</v>
      </c>
      <c r="T312" s="161" t="str">
        <f t="array" ref="T312">index('Query Tool'!B:B,match(H312,'Query Tool'!C:C,0))</f>
        <v>#N/A</v>
      </c>
      <c r="U312" s="161" t="b">
        <f t="array" ref="U312">index('Query Tool'!B:B,match(C312,'Query Tool'!C:C,0))</f>
        <v>0</v>
      </c>
      <c r="V312" s="161" t="b">
        <f>F312&gt;='Query Tool'!C$32</f>
        <v>1</v>
      </c>
      <c r="W312" s="161" t="b">
        <f t="array" ref="W312">index(Dropdowns!B:B,match(I312,Dropdowns!A:A,0))</f>
        <v>1</v>
      </c>
      <c r="X312" s="161" t="b">
        <f t="array" ref="X312">index('Query Tool'!B:B,match(D312,'Query Tool'!C:C,0))</f>
        <v>1</v>
      </c>
      <c r="Y312" s="161" t="str">
        <f t="shared" si="6"/>
        <v>willide02,2013-14</v>
      </c>
      <c r="Z312" s="168">
        <f t="array" ref="Z312">iferror(index(I:I,match($A312&amp;","&amp;index('Year Conversion'!$A:$A,match($C312,'Year Conversion'!$B:$B,0)),$Y:$Y,0))-I312,"")</f>
        <v>1</v>
      </c>
      <c r="AA312" s="168">
        <f t="array" ref="AA312">iferror(index(J:J,match($A312&amp;","&amp;index('Year Conversion'!$A:$A,match($C312,'Year Conversion'!$B:$B,0)),$Y:$Y,0))-J312,"")</f>
        <v>-1.288481214</v>
      </c>
      <c r="AB312" s="168">
        <f t="array" ref="AB312">iferror(index(K:K,match($A312&amp;","&amp;index('Year Conversion'!$A:$A,match($C312,'Year Conversion'!$B:$B,0)),$Y:$Y,0))-K312,"")</f>
        <v>0.07339660535</v>
      </c>
      <c r="AC312" s="168" t="str">
        <f t="shared" si="7"/>
        <v>TOT,2013-14</v>
      </c>
    </row>
    <row r="313">
      <c r="A313" s="161" t="str">
        <f>IFERROR(__xludf.DUMMYFUNCTION("""COMPUTED_VALUE"""),"kanteen01")</f>
        <v>kanteen01</v>
      </c>
      <c r="B313" s="161" t="str">
        <f>IFERROR(__xludf.DUMMYFUNCTION("""COMPUTED_VALUE"""),"Enes Kanter")</f>
        <v>Enes Kanter</v>
      </c>
      <c r="C313" s="162" t="str">
        <f>IFERROR(__xludf.DUMMYFUNCTION("""COMPUTED_VALUE"""),"2013-14")</f>
        <v>2013-14</v>
      </c>
      <c r="D313" s="163" t="str">
        <f>IFERROR(__xludf.DUMMYFUNCTION("""COMPUTED_VALUE"""),"UTA")</f>
        <v>UTA</v>
      </c>
      <c r="E313" s="164" t="str">
        <f>IFERROR(__xludf.DUMMYFUNCTION("""COMPUTED_VALUE"""),"Post Scorer")</f>
        <v>Post Scorer</v>
      </c>
      <c r="F313" s="164">
        <f>IFERROR(__xludf.DUMMYFUNCTION("""COMPUTED_VALUE"""),2138.16)</f>
        <v>2138.16</v>
      </c>
      <c r="G313" s="163">
        <f>IFERROR(__xludf.DUMMYFUNCTION("""COMPUTED_VALUE"""),80.0)</f>
        <v>80</v>
      </c>
      <c r="H313" s="163" t="str">
        <f>IFERROR(__xludf.DUMMYFUNCTION("""COMPUTED_VALUE"""),"C")</f>
        <v>C</v>
      </c>
      <c r="I313" s="163">
        <f>IFERROR(__xludf.DUMMYFUNCTION("""COMPUTED_VALUE"""),21.0)</f>
        <v>21</v>
      </c>
      <c r="J313" s="165">
        <f>IFERROR(__xludf.DUMMYFUNCTION("""COMPUTED_VALUE"""),-3.14308316665274)</f>
        <v>-3.143083167</v>
      </c>
      <c r="K313" s="165">
        <f>IFERROR(__xludf.DUMMYFUNCTION("""COMPUTED_VALUE"""),-1.04569588333845)</f>
        <v>-1.045695883</v>
      </c>
      <c r="L313" s="165">
        <f>IFERROR(__xludf.DUMMYFUNCTION("""COMPUTED_VALUE"""),-2.09738728331429)</f>
        <v>-2.097387283</v>
      </c>
      <c r="M313" s="166">
        <f t="shared" si="2"/>
        <v>-1.173330243</v>
      </c>
      <c r="N313" s="167">
        <f t="shared" si="3"/>
        <v>26.727</v>
      </c>
      <c r="O313" s="163">
        <f t="shared" ref="O313:Q313" si="317">rank(I313,I:I)</f>
        <v>3528</v>
      </c>
      <c r="P313" s="163">
        <f t="shared" si="317"/>
        <v>3917</v>
      </c>
      <c r="Q313" s="163">
        <f t="shared" si="317"/>
        <v>2866</v>
      </c>
      <c r="R313" s="163">
        <f>IFERROR(__xludf.DUMMYFUNCTION("RANK(M313,filter(M:M,C:C=C313))"),478.0)</f>
        <v>478</v>
      </c>
      <c r="S313" s="161" t="b">
        <f t="shared" si="5"/>
        <v>0</v>
      </c>
      <c r="T313" s="161" t="b">
        <f t="array" ref="T313">index('Query Tool'!B:B,match(H313,'Query Tool'!C:C,0))</f>
        <v>1</v>
      </c>
      <c r="U313" s="161" t="b">
        <f t="array" ref="U313">index('Query Tool'!B:B,match(C313,'Query Tool'!C:C,0))</f>
        <v>0</v>
      </c>
      <c r="V313" s="161" t="b">
        <f>F313&gt;='Query Tool'!C$32</f>
        <v>1</v>
      </c>
      <c r="W313" s="161" t="b">
        <f t="array" ref="W313">index(Dropdowns!B:B,match(I313,Dropdowns!A:A,0))</f>
        <v>1</v>
      </c>
      <c r="X313" s="161" t="b">
        <f t="array" ref="X313">index('Query Tool'!B:B,match(D313,'Query Tool'!C:C,0))</f>
        <v>1</v>
      </c>
      <c r="Y313" s="161" t="str">
        <f t="shared" si="6"/>
        <v>kanteen01,2013-14</v>
      </c>
      <c r="Z313" s="168">
        <f t="array" ref="Z313">iferror(index(I:I,match($A313&amp;","&amp;index('Year Conversion'!$A:$A,match($C313,'Year Conversion'!$B:$B,0)),$Y:$Y,0))-I313,"")</f>
        <v>1</v>
      </c>
      <c r="AA313" s="168">
        <f t="array" ref="AA313">iferror(index(J:J,match($A313&amp;","&amp;index('Year Conversion'!$A:$A,match($C313,'Year Conversion'!$B:$B,0)),$Y:$Y,0))-J313,"")</f>
        <v>2.145645043</v>
      </c>
      <c r="AB313" s="168">
        <f t="array" ref="AB313">iferror(index(K:K,match($A313&amp;","&amp;index('Year Conversion'!$A:$A,match($C313,'Year Conversion'!$B:$B,0)),$Y:$Y,0))-K313,"")</f>
        <v>2.040942968</v>
      </c>
      <c r="AC313" s="168" t="str">
        <f t="shared" si="7"/>
        <v>UTA,2013-14</v>
      </c>
    </row>
    <row r="314">
      <c r="A314" s="161" t="str">
        <f>IFERROR(__xludf.DUMMYFUNCTION("""COMPUTED_VALUE"""),"thomptr01")</f>
        <v>thomptr01</v>
      </c>
      <c r="B314" s="161" t="str">
        <f>IFERROR(__xludf.DUMMYFUNCTION("""COMPUTED_VALUE"""),"Tristan Thompson")</f>
        <v>Tristan Thompson</v>
      </c>
      <c r="C314" s="162" t="str">
        <f>IFERROR(__xludf.DUMMYFUNCTION("""COMPUTED_VALUE"""),"2013-14")</f>
        <v>2013-14</v>
      </c>
      <c r="D314" s="163" t="str">
        <f>IFERROR(__xludf.DUMMYFUNCTION("""COMPUTED_VALUE"""),"CLE")</f>
        <v>CLE</v>
      </c>
      <c r="E314" s="164" t="str">
        <f>IFERROR(__xludf.DUMMYFUNCTION("""COMPUTED_VALUE"""),"Post Scorer")</f>
        <v>Post Scorer</v>
      </c>
      <c r="F314" s="164">
        <f>IFERROR(__xludf.DUMMYFUNCTION("""COMPUTED_VALUE"""),2593.61166666667)</f>
        <v>2593.611667</v>
      </c>
      <c r="G314" s="163">
        <f>IFERROR(__xludf.DUMMYFUNCTION("""COMPUTED_VALUE"""),82.0)</f>
        <v>82</v>
      </c>
      <c r="H314" s="163" t="str">
        <f>IFERROR(__xludf.DUMMYFUNCTION("""COMPUTED_VALUE"""),"PF")</f>
        <v>PF</v>
      </c>
      <c r="I314" s="163">
        <f>IFERROR(__xludf.DUMMYFUNCTION("""COMPUTED_VALUE"""),22.0)</f>
        <v>22</v>
      </c>
      <c r="J314" s="165">
        <f>IFERROR(__xludf.DUMMYFUNCTION("""COMPUTED_VALUE"""),-0.803814835762229)</f>
        <v>-0.8038148358</v>
      </c>
      <c r="K314" s="165">
        <f>IFERROR(__xludf.DUMMYFUNCTION("""COMPUTED_VALUE"""),-0.377083969617619)</f>
        <v>-0.3770839696</v>
      </c>
      <c r="L314" s="165">
        <f>IFERROR(__xludf.DUMMYFUNCTION("""COMPUTED_VALUE"""),-0.42673086614461)</f>
        <v>-0.4267308661</v>
      </c>
      <c r="M314" s="166">
        <f t="shared" si="2"/>
        <v>2.594205048</v>
      </c>
      <c r="N314" s="167">
        <f t="shared" si="3"/>
        <v>31.62941057</v>
      </c>
      <c r="O314" s="163">
        <f t="shared" ref="O314:Q314" si="318">rank(I314,I:I)</f>
        <v>3178</v>
      </c>
      <c r="P314" s="163">
        <f t="shared" si="318"/>
        <v>2282</v>
      </c>
      <c r="Q314" s="163">
        <f t="shared" si="318"/>
        <v>1910</v>
      </c>
      <c r="R314" s="163">
        <f>IFERROR(__xludf.DUMMYFUNCTION("RANK(M314,filter(M:M,C:C=C314))"),130.0)</f>
        <v>130</v>
      </c>
      <c r="S314" s="161" t="b">
        <f t="shared" si="5"/>
        <v>0</v>
      </c>
      <c r="T314" s="161" t="b">
        <f t="array" ref="T314">index('Query Tool'!B:B,match(H314,'Query Tool'!C:C,0))</f>
        <v>1</v>
      </c>
      <c r="U314" s="161" t="b">
        <f t="array" ref="U314">index('Query Tool'!B:B,match(C314,'Query Tool'!C:C,0))</f>
        <v>0</v>
      </c>
      <c r="V314" s="161" t="b">
        <f>F314&gt;='Query Tool'!C$32</f>
        <v>1</v>
      </c>
      <c r="W314" s="161" t="b">
        <f t="array" ref="W314">index(Dropdowns!B:B,match(I314,Dropdowns!A:A,0))</f>
        <v>1</v>
      </c>
      <c r="X314" s="161" t="b">
        <f t="array" ref="X314">index('Query Tool'!B:B,match(D314,'Query Tool'!C:C,0))</f>
        <v>1</v>
      </c>
      <c r="Y314" s="161" t="str">
        <f t="shared" si="6"/>
        <v>thomptr01,2013-14</v>
      </c>
      <c r="Z314" s="168">
        <f t="array" ref="Z314">iferror(index(I:I,match($A314&amp;","&amp;index('Year Conversion'!$A:$A,match($C314,'Year Conversion'!$B:$B,0)),$Y:$Y,0))-I314,"")</f>
        <v>1</v>
      </c>
      <c r="AA314" s="168">
        <f t="array" ref="AA314">iferror(index(J:J,match($A314&amp;","&amp;index('Year Conversion'!$A:$A,match($C314,'Year Conversion'!$B:$B,0)),$Y:$Y,0))-J314,"")</f>
        <v>0.6796684902</v>
      </c>
      <c r="AB314" s="168">
        <f t="array" ref="AB314">iferror(index(K:K,match($A314&amp;","&amp;index('Year Conversion'!$A:$A,match($C314,'Year Conversion'!$B:$B,0)),$Y:$Y,0))-K314,"")</f>
        <v>1.000094702</v>
      </c>
      <c r="AC314" s="168" t="str">
        <f t="shared" si="7"/>
        <v>CLE,2013-14</v>
      </c>
    </row>
    <row r="315">
      <c r="A315" s="161" t="str">
        <f>IFERROR(__xludf.DUMMYFUNCTION("""COMPUTED_VALUE"""),"valanjo01")</f>
        <v>valanjo01</v>
      </c>
      <c r="B315" s="161" t="str">
        <f>IFERROR(__xludf.DUMMYFUNCTION("""COMPUTED_VALUE"""),"Jonas Valanciunas")</f>
        <v>Jonas Valanciunas</v>
      </c>
      <c r="C315" s="162" t="str">
        <f>IFERROR(__xludf.DUMMYFUNCTION("""COMPUTED_VALUE"""),"2013-14")</f>
        <v>2013-14</v>
      </c>
      <c r="D315" s="163" t="str">
        <f>IFERROR(__xludf.DUMMYFUNCTION("""COMPUTED_VALUE"""),"TOR")</f>
        <v>TOR</v>
      </c>
      <c r="E315" s="164" t="str">
        <f>IFERROR(__xludf.DUMMYFUNCTION("""COMPUTED_VALUE"""),"Post Scorer")</f>
        <v>Post Scorer</v>
      </c>
      <c r="F315" s="164">
        <f>IFERROR(__xludf.DUMMYFUNCTION("""COMPUTED_VALUE"""),2282.21)</f>
        <v>2282.21</v>
      </c>
      <c r="G315" s="163">
        <f>IFERROR(__xludf.DUMMYFUNCTION("""COMPUTED_VALUE"""),81.0)</f>
        <v>81</v>
      </c>
      <c r="H315" s="163" t="str">
        <f>IFERROR(__xludf.DUMMYFUNCTION("""COMPUTED_VALUE"""),"C")</f>
        <v>C</v>
      </c>
      <c r="I315" s="163">
        <f>IFERROR(__xludf.DUMMYFUNCTION("""COMPUTED_VALUE"""),21.0)</f>
        <v>21</v>
      </c>
      <c r="J315" s="165">
        <f>IFERROR(__xludf.DUMMYFUNCTION("""COMPUTED_VALUE"""),-0.232482242043159)</f>
        <v>-0.232482242</v>
      </c>
      <c r="K315" s="165">
        <f>IFERROR(__xludf.DUMMYFUNCTION("""COMPUTED_VALUE"""),-0.81125255212564)</f>
        <v>-0.8112525521</v>
      </c>
      <c r="L315" s="165">
        <f>IFERROR(__xludf.DUMMYFUNCTION("""COMPUTED_VALUE"""),0.578770310082481)</f>
        <v>0.5787703101</v>
      </c>
      <c r="M315" s="166">
        <f t="shared" si="2"/>
        <v>3.160726825</v>
      </c>
      <c r="N315" s="167">
        <f t="shared" si="3"/>
        <v>28.1754321</v>
      </c>
      <c r="O315" s="163">
        <f t="shared" ref="O315:Q315" si="319">rank(I315,I:I)</f>
        <v>3528</v>
      </c>
      <c r="P315" s="163">
        <f t="shared" si="319"/>
        <v>1539</v>
      </c>
      <c r="Q315" s="163">
        <f t="shared" si="319"/>
        <v>2570</v>
      </c>
      <c r="R315" s="163">
        <f>IFERROR(__xludf.DUMMYFUNCTION("RANK(M315,filter(M:M,C:C=C315))"),108.0)</f>
        <v>108</v>
      </c>
      <c r="S315" s="161" t="b">
        <f t="shared" si="5"/>
        <v>0</v>
      </c>
      <c r="T315" s="161" t="b">
        <f t="array" ref="T315">index('Query Tool'!B:B,match(H315,'Query Tool'!C:C,0))</f>
        <v>1</v>
      </c>
      <c r="U315" s="161" t="b">
        <f t="array" ref="U315">index('Query Tool'!B:B,match(C315,'Query Tool'!C:C,0))</f>
        <v>0</v>
      </c>
      <c r="V315" s="161" t="b">
        <f>F315&gt;='Query Tool'!C$32</f>
        <v>1</v>
      </c>
      <c r="W315" s="161" t="b">
        <f t="array" ref="W315">index(Dropdowns!B:B,match(I315,Dropdowns!A:A,0))</f>
        <v>1</v>
      </c>
      <c r="X315" s="161" t="b">
        <f t="array" ref="X315">index('Query Tool'!B:B,match(D315,'Query Tool'!C:C,0))</f>
        <v>1</v>
      </c>
      <c r="Y315" s="161" t="str">
        <f t="shared" si="6"/>
        <v>valanjo01,2013-14</v>
      </c>
      <c r="Z315" s="168">
        <f t="array" ref="Z315">iferror(index(I:I,match($A315&amp;","&amp;index('Year Conversion'!$A:$A,match($C315,'Year Conversion'!$B:$B,0)),$Y:$Y,0))-I315,"")</f>
        <v>1</v>
      </c>
      <c r="AA315" s="168">
        <f t="array" ref="AA315">iferror(index(J:J,match($A315&amp;","&amp;index('Year Conversion'!$A:$A,match($C315,'Year Conversion'!$B:$B,0)),$Y:$Y,0))-J315,"")</f>
        <v>0.411177305</v>
      </c>
      <c r="AB315" s="168">
        <f t="array" ref="AB315">iferror(index(K:K,match($A315&amp;","&amp;index('Year Conversion'!$A:$A,match($C315,'Year Conversion'!$B:$B,0)),$Y:$Y,0))-K315,"")</f>
        <v>0.1519232917</v>
      </c>
      <c r="AC315" s="168" t="str">
        <f t="shared" si="7"/>
        <v>TOR,2013-14</v>
      </c>
    </row>
    <row r="316">
      <c r="A316" s="161" t="str">
        <f>IFERROR(__xludf.DUMMYFUNCTION("""COMPUTED_VALUE"""),"veselja01")</f>
        <v>veselja01</v>
      </c>
      <c r="B316" s="161" t="str">
        <f>IFERROR(__xludf.DUMMYFUNCTION("""COMPUTED_VALUE"""),"Jan Vesely")</f>
        <v>Jan Vesely</v>
      </c>
      <c r="C316" s="162" t="str">
        <f>IFERROR(__xludf.DUMMYFUNCTION("""COMPUTED_VALUE"""),"2013-14")</f>
        <v>2013-14</v>
      </c>
      <c r="D316" s="163" t="str">
        <f>IFERROR(__xludf.DUMMYFUNCTION("""COMPUTED_VALUE"""),"TOT")</f>
        <v>TOT</v>
      </c>
      <c r="E316" s="164" t="str">
        <f>IFERROR(__xludf.DUMMYFUNCTION("""COMPUTED_VALUE"""),"Roll + Cut Big")</f>
        <v>Roll + Cut Big</v>
      </c>
      <c r="F316" s="164">
        <f>IFERROR(__xludf.DUMMYFUNCTION("""COMPUTED_VALUE"""),776.378333333334)</f>
        <v>776.3783333</v>
      </c>
      <c r="G316" s="163">
        <f>IFERROR(__xludf.DUMMYFUNCTION("""COMPUTED_VALUE"""),54.0)</f>
        <v>54</v>
      </c>
      <c r="H316" s="163" t="str">
        <f>IFERROR(__xludf.DUMMYFUNCTION("""COMPUTED_VALUE"""),"PF")</f>
        <v>PF</v>
      </c>
      <c r="I316" s="163">
        <f>IFERROR(__xludf.DUMMYFUNCTION("""COMPUTED_VALUE"""),23.0)</f>
        <v>23</v>
      </c>
      <c r="J316" s="165">
        <f>IFERROR(__xludf.DUMMYFUNCTION("""COMPUTED_VALUE"""),-0.708843573621856)</f>
        <v>-0.7088435736</v>
      </c>
      <c r="K316" s="165">
        <f>IFERROR(__xludf.DUMMYFUNCTION("""COMPUTED_VALUE"""),-2.32432948939778)</f>
        <v>-2.324329489</v>
      </c>
      <c r="L316" s="165">
        <f>IFERROR(__xludf.DUMMYFUNCTION("""COMPUTED_VALUE"""),1.61548591577593)</f>
        <v>1.615485916</v>
      </c>
      <c r="M316" s="166">
        <f t="shared" si="2"/>
        <v>0.8261479451</v>
      </c>
      <c r="N316" s="167">
        <f t="shared" si="3"/>
        <v>14.37737654</v>
      </c>
      <c r="O316" s="163">
        <f t="shared" ref="O316:Q316" si="320">rank(I316,I:I)</f>
        <v>2765</v>
      </c>
      <c r="P316" s="163">
        <f t="shared" si="320"/>
        <v>2157</v>
      </c>
      <c r="Q316" s="163">
        <f t="shared" si="320"/>
        <v>3842</v>
      </c>
      <c r="R316" s="163">
        <f>IFERROR(__xludf.DUMMYFUNCTION("RANK(M316,filter(M:M,C:C=C316))"),240.0)</f>
        <v>240</v>
      </c>
      <c r="S316" s="161" t="b">
        <f t="shared" si="5"/>
        <v>0</v>
      </c>
      <c r="T316" s="161" t="b">
        <f t="array" ref="T316">index('Query Tool'!B:B,match(H316,'Query Tool'!C:C,0))</f>
        <v>1</v>
      </c>
      <c r="U316" s="161" t="b">
        <f t="array" ref="U316">index('Query Tool'!B:B,match(C316,'Query Tool'!C:C,0))</f>
        <v>0</v>
      </c>
      <c r="V316" s="161" t="b">
        <f>F316&gt;='Query Tool'!C$32</f>
        <v>1</v>
      </c>
      <c r="W316" s="161" t="b">
        <f t="array" ref="W316">index(Dropdowns!B:B,match(I316,Dropdowns!A:A,0))</f>
        <v>1</v>
      </c>
      <c r="X316" s="161" t="b">
        <f t="array" ref="X316">index('Query Tool'!B:B,match(D316,'Query Tool'!C:C,0))</f>
        <v>1</v>
      </c>
      <c r="Y316" s="161" t="str">
        <f t="shared" si="6"/>
        <v>veselja01,2013-14</v>
      </c>
      <c r="Z316" s="168" t="str">
        <f t="array" ref="Z316">iferror(index(I:I,match($A316&amp;","&amp;index('Year Conversion'!$A:$A,match($C316,'Year Conversion'!$B:$B,0)),$Y:$Y,0))-I316,"")</f>
        <v/>
      </c>
      <c r="AA316" s="168" t="str">
        <f t="array" ref="AA316">iferror(index(J:J,match($A316&amp;","&amp;index('Year Conversion'!$A:$A,match($C316,'Year Conversion'!$B:$B,0)),$Y:$Y,0))-J316,"")</f>
        <v/>
      </c>
      <c r="AB316" s="168" t="str">
        <f t="array" ref="AB316">iferror(index(K:K,match($A316&amp;","&amp;index('Year Conversion'!$A:$A,match($C316,'Year Conversion'!$B:$B,0)),$Y:$Y,0))-K316,"")</f>
        <v/>
      </c>
      <c r="AC316" s="168" t="str">
        <f t="shared" si="7"/>
        <v>TOT,2013-14</v>
      </c>
    </row>
    <row r="317">
      <c r="A317" s="161" t="str">
        <f>IFERROR(__xludf.DUMMYFUNCTION("""COMPUTED_VALUE"""),"biyombi01")</f>
        <v>biyombi01</v>
      </c>
      <c r="B317" s="161" t="str">
        <f>IFERROR(__xludf.DUMMYFUNCTION("""COMPUTED_VALUE"""),"Bismack Biyombo")</f>
        <v>Bismack Biyombo</v>
      </c>
      <c r="C317" s="162" t="str">
        <f>IFERROR(__xludf.DUMMYFUNCTION("""COMPUTED_VALUE"""),"2013-14")</f>
        <v>2013-14</v>
      </c>
      <c r="D317" s="163" t="str">
        <f>IFERROR(__xludf.DUMMYFUNCTION("""COMPUTED_VALUE"""),"CHA")</f>
        <v>CHA</v>
      </c>
      <c r="E317" s="164" t="str">
        <f>IFERROR(__xludf.DUMMYFUNCTION("""COMPUTED_VALUE"""),"Roll + Cut Big")</f>
        <v>Roll + Cut Big</v>
      </c>
      <c r="F317" s="164">
        <f>IFERROR(__xludf.DUMMYFUNCTION("""COMPUTED_VALUE"""),1072.45666666667)</f>
        <v>1072.456667</v>
      </c>
      <c r="G317" s="163">
        <f>IFERROR(__xludf.DUMMYFUNCTION("""COMPUTED_VALUE"""),77.0)</f>
        <v>77</v>
      </c>
      <c r="H317" s="163" t="str">
        <f>IFERROR(__xludf.DUMMYFUNCTION("""COMPUTED_VALUE"""),"C")</f>
        <v>C</v>
      </c>
      <c r="I317" s="163">
        <f>IFERROR(__xludf.DUMMYFUNCTION("""COMPUTED_VALUE"""),21.0)</f>
        <v>21</v>
      </c>
      <c r="J317" s="165">
        <f>IFERROR(__xludf.DUMMYFUNCTION("""COMPUTED_VALUE"""),-0.520485096732145)</f>
        <v>-0.5204850967</v>
      </c>
      <c r="K317" s="165">
        <f>IFERROR(__xludf.DUMMYFUNCTION("""COMPUTED_VALUE"""),-3.0591537300444)</f>
        <v>-3.05915373</v>
      </c>
      <c r="L317" s="165">
        <f>IFERROR(__xludf.DUMMYFUNCTION("""COMPUTED_VALUE"""),2.53866863331225)</f>
        <v>2.538668633</v>
      </c>
      <c r="M317" s="166">
        <f t="shared" si="2"/>
        <v>1.277181045</v>
      </c>
      <c r="N317" s="167">
        <f t="shared" si="3"/>
        <v>13.92800866</v>
      </c>
      <c r="O317" s="163">
        <f t="shared" ref="O317:Q317" si="321">rank(I317,I:I)</f>
        <v>3528</v>
      </c>
      <c r="P317" s="163">
        <f t="shared" si="321"/>
        <v>1883</v>
      </c>
      <c r="Q317" s="163">
        <f t="shared" si="321"/>
        <v>3984</v>
      </c>
      <c r="R317" s="163">
        <f>IFERROR(__xludf.DUMMYFUNCTION("RANK(M317,filter(M:M,C:C=C317))"),201.0)</f>
        <v>201</v>
      </c>
      <c r="S317" s="161" t="b">
        <f t="shared" si="5"/>
        <v>0</v>
      </c>
      <c r="T317" s="161" t="b">
        <f t="array" ref="T317">index('Query Tool'!B:B,match(H317,'Query Tool'!C:C,0))</f>
        <v>1</v>
      </c>
      <c r="U317" s="161" t="b">
        <f t="array" ref="U317">index('Query Tool'!B:B,match(C317,'Query Tool'!C:C,0))</f>
        <v>0</v>
      </c>
      <c r="V317" s="161" t="b">
        <f>F317&gt;='Query Tool'!C$32</f>
        <v>1</v>
      </c>
      <c r="W317" s="161" t="b">
        <f t="array" ref="W317">index(Dropdowns!B:B,match(I317,Dropdowns!A:A,0))</f>
        <v>1</v>
      </c>
      <c r="X317" s="161" t="b">
        <f t="array" ref="X317">index('Query Tool'!B:B,match(D317,'Query Tool'!C:C,0))</f>
        <v>1</v>
      </c>
      <c r="Y317" s="161" t="str">
        <f t="shared" si="6"/>
        <v>biyombi01,2013-14</v>
      </c>
      <c r="Z317" s="168">
        <f t="array" ref="Z317">iferror(index(I:I,match($A317&amp;","&amp;index('Year Conversion'!$A:$A,match($C317,'Year Conversion'!$B:$B,0)),$Y:$Y,0))-I317,"")</f>
        <v>1</v>
      </c>
      <c r="AA317" s="168">
        <f t="array" ref="AA317">iferror(index(J:J,match($A317&amp;","&amp;index('Year Conversion'!$A:$A,match($C317,'Year Conversion'!$B:$B,0)),$Y:$Y,0))-J317,"")</f>
        <v>0.7777701895</v>
      </c>
      <c r="AB317" s="168">
        <f t="array" ref="AB317">iferror(index(K:K,match($A317&amp;","&amp;index('Year Conversion'!$A:$A,match($C317,'Year Conversion'!$B:$B,0)),$Y:$Y,0))-K317,"")</f>
        <v>0.5416735425</v>
      </c>
      <c r="AC317" s="168" t="str">
        <f t="shared" si="7"/>
        <v>CHA,2013-14</v>
      </c>
    </row>
    <row r="318">
      <c r="A318" s="161" t="str">
        <f>IFERROR(__xludf.DUMMYFUNCTION("""COMPUTED_VALUE"""),"knighbr03")</f>
        <v>knighbr03</v>
      </c>
      <c r="B318" s="161" t="str">
        <f>IFERROR(__xludf.DUMMYFUNCTION("""COMPUTED_VALUE"""),"Brandon Knight")</f>
        <v>Brandon Knight</v>
      </c>
      <c r="C318" s="162" t="str">
        <f>IFERROR(__xludf.DUMMYFUNCTION("""COMPUTED_VALUE"""),"2013-14")</f>
        <v>2013-14</v>
      </c>
      <c r="D318" s="163" t="str">
        <f>IFERROR(__xludf.DUMMYFUNCTION("""COMPUTED_VALUE"""),"MIL")</f>
        <v>MIL</v>
      </c>
      <c r="E318" s="164" t="str">
        <f>IFERROR(__xludf.DUMMYFUNCTION("""COMPUTED_VALUE"""),"Primary Ball Handler")</f>
        <v>Primary Ball Handler</v>
      </c>
      <c r="F318" s="164">
        <f>IFERROR(__xludf.DUMMYFUNCTION("""COMPUTED_VALUE"""),2400.08333333333)</f>
        <v>2400.083333</v>
      </c>
      <c r="G318" s="163">
        <f>IFERROR(__xludf.DUMMYFUNCTION("""COMPUTED_VALUE"""),72.0)</f>
        <v>72</v>
      </c>
      <c r="H318" s="163" t="str">
        <f>IFERROR(__xludf.DUMMYFUNCTION("""COMPUTED_VALUE"""),"PG")</f>
        <v>PG</v>
      </c>
      <c r="I318" s="163">
        <f>IFERROR(__xludf.DUMMYFUNCTION("""COMPUTED_VALUE"""),22.0)</f>
        <v>22</v>
      </c>
      <c r="J318" s="165">
        <f>IFERROR(__xludf.DUMMYFUNCTION("""COMPUTED_VALUE"""),-0.864947987628337)</f>
        <v>-0.8649479876</v>
      </c>
      <c r="K318" s="165">
        <f>IFERROR(__xludf.DUMMYFUNCTION("""COMPUTED_VALUE"""),1.10507532378929)</f>
        <v>1.105075324</v>
      </c>
      <c r="L318" s="165">
        <f>IFERROR(__xludf.DUMMYFUNCTION("""COMPUTED_VALUE"""),-1.97002331141762)</f>
        <v>-1.970023311</v>
      </c>
      <c r="M318" s="166">
        <f t="shared" si="2"/>
        <v>2.301998749</v>
      </c>
      <c r="N318" s="167">
        <f t="shared" si="3"/>
        <v>33.33449074</v>
      </c>
      <c r="O318" s="163">
        <f t="shared" ref="O318:Q318" si="322">rank(I318,I:I)</f>
        <v>3178</v>
      </c>
      <c r="P318" s="163">
        <f t="shared" si="322"/>
        <v>2355</v>
      </c>
      <c r="Q318" s="163">
        <f t="shared" si="322"/>
        <v>450</v>
      </c>
      <c r="R318" s="163">
        <f>IFERROR(__xludf.DUMMYFUNCTION("RANK(M318,filter(M:M,C:C=C318))"),137.0)</f>
        <v>137</v>
      </c>
      <c r="S318" s="161" t="b">
        <f t="shared" si="5"/>
        <v>0</v>
      </c>
      <c r="T318" s="161" t="b">
        <f t="array" ref="T318">index('Query Tool'!B:B,match(H318,'Query Tool'!C:C,0))</f>
        <v>1</v>
      </c>
      <c r="U318" s="161" t="b">
        <f t="array" ref="U318">index('Query Tool'!B:B,match(C318,'Query Tool'!C:C,0))</f>
        <v>0</v>
      </c>
      <c r="V318" s="161" t="b">
        <f>F318&gt;='Query Tool'!C$32</f>
        <v>1</v>
      </c>
      <c r="W318" s="161" t="b">
        <f t="array" ref="W318">index(Dropdowns!B:B,match(I318,Dropdowns!A:A,0))</f>
        <v>1</v>
      </c>
      <c r="X318" s="161" t="b">
        <f t="array" ref="X318">index('Query Tool'!B:B,match(D318,'Query Tool'!C:C,0))</f>
        <v>1</v>
      </c>
      <c r="Y318" s="161" t="str">
        <f t="shared" si="6"/>
        <v>knighbr03,2013-14</v>
      </c>
      <c r="Z318" s="168">
        <f t="array" ref="Z318">iferror(index(I:I,match($A318&amp;","&amp;index('Year Conversion'!$A:$A,match($C318,'Year Conversion'!$B:$B,0)),$Y:$Y,0))-I318,"")</f>
        <v>1</v>
      </c>
      <c r="AA318" s="168">
        <f t="array" ref="AA318">iferror(index(J:J,match($A318&amp;","&amp;index('Year Conversion'!$A:$A,match($C318,'Year Conversion'!$B:$B,0)),$Y:$Y,0))-J318,"")</f>
        <v>0.7918046507</v>
      </c>
      <c r="AB318" s="168">
        <f t="array" ref="AB318">iferror(index(K:K,match($A318&amp;","&amp;index('Year Conversion'!$A:$A,match($C318,'Year Conversion'!$B:$B,0)),$Y:$Y,0))-K318,"")</f>
        <v>-0.7536669629</v>
      </c>
      <c r="AC318" s="168" t="str">
        <f t="shared" si="7"/>
        <v>MIL,2013-14</v>
      </c>
    </row>
    <row r="319">
      <c r="A319" s="161" t="str">
        <f>IFERROR(__xludf.DUMMYFUNCTION("""COMPUTED_VALUE"""),"walkeke02")</f>
        <v>walkeke02</v>
      </c>
      <c r="B319" s="161" t="str">
        <f>IFERROR(__xludf.DUMMYFUNCTION("""COMPUTED_VALUE"""),"Kemba Walker")</f>
        <v>Kemba Walker</v>
      </c>
      <c r="C319" s="162" t="str">
        <f>IFERROR(__xludf.DUMMYFUNCTION("""COMPUTED_VALUE"""),"2013-14")</f>
        <v>2013-14</v>
      </c>
      <c r="D319" s="163" t="str">
        <f>IFERROR(__xludf.DUMMYFUNCTION("""COMPUTED_VALUE"""),"CHA")</f>
        <v>CHA</v>
      </c>
      <c r="E319" s="164" t="str">
        <f>IFERROR(__xludf.DUMMYFUNCTION("""COMPUTED_VALUE"""),"Slasher")</f>
        <v>Slasher</v>
      </c>
      <c r="F319" s="164">
        <f>IFERROR(__xludf.DUMMYFUNCTION("""COMPUTED_VALUE"""),2613.965)</f>
        <v>2613.965</v>
      </c>
      <c r="G319" s="163">
        <f>IFERROR(__xludf.DUMMYFUNCTION("""COMPUTED_VALUE"""),73.0)</f>
        <v>73</v>
      </c>
      <c r="H319" s="163" t="str">
        <f>IFERROR(__xludf.DUMMYFUNCTION("""COMPUTED_VALUE"""),"PG")</f>
        <v>PG</v>
      </c>
      <c r="I319" s="163">
        <f>IFERROR(__xludf.DUMMYFUNCTION("""COMPUTED_VALUE"""),23.0)</f>
        <v>23</v>
      </c>
      <c r="J319" s="165">
        <f>IFERROR(__xludf.DUMMYFUNCTION("""COMPUTED_VALUE"""),3.17372345430306)</f>
        <v>3.173723454</v>
      </c>
      <c r="K319" s="165">
        <f>IFERROR(__xludf.DUMMYFUNCTION("""COMPUTED_VALUE"""),1.55125121984163)</f>
        <v>1.55125122</v>
      </c>
      <c r="L319" s="165">
        <f>IFERROR(__xludf.DUMMYFUNCTION("""COMPUTED_VALUE"""),1.62247223446143)</f>
        <v>1.622472234</v>
      </c>
      <c r="M319" s="166">
        <f t="shared" si="2"/>
        <v>9.545970378</v>
      </c>
      <c r="N319" s="167">
        <f t="shared" si="3"/>
        <v>35.80773973</v>
      </c>
      <c r="O319" s="163">
        <f t="shared" ref="O319:Q319" si="323">rank(I319,I:I)</f>
        <v>2765</v>
      </c>
      <c r="P319" s="163">
        <f t="shared" si="323"/>
        <v>156</v>
      </c>
      <c r="Q319" s="163">
        <f t="shared" si="323"/>
        <v>304</v>
      </c>
      <c r="R319" s="163">
        <f>IFERROR(__xludf.DUMMYFUNCTION("RANK(M319,filter(M:M,C:C=C319))"),14.0)</f>
        <v>14</v>
      </c>
      <c r="S319" s="161" t="b">
        <f t="shared" si="5"/>
        <v>0</v>
      </c>
      <c r="T319" s="161" t="b">
        <f t="array" ref="T319">index('Query Tool'!B:B,match(H319,'Query Tool'!C:C,0))</f>
        <v>1</v>
      </c>
      <c r="U319" s="161" t="b">
        <f t="array" ref="U319">index('Query Tool'!B:B,match(C319,'Query Tool'!C:C,0))</f>
        <v>0</v>
      </c>
      <c r="V319" s="161" t="b">
        <f>F319&gt;='Query Tool'!C$32</f>
        <v>1</v>
      </c>
      <c r="W319" s="161" t="b">
        <f t="array" ref="W319">index(Dropdowns!B:B,match(I319,Dropdowns!A:A,0))</f>
        <v>1</v>
      </c>
      <c r="X319" s="161" t="b">
        <f t="array" ref="X319">index('Query Tool'!B:B,match(D319,'Query Tool'!C:C,0))</f>
        <v>1</v>
      </c>
      <c r="Y319" s="161" t="str">
        <f t="shared" si="6"/>
        <v>walkeke02,2013-14</v>
      </c>
      <c r="Z319" s="168">
        <f t="array" ref="Z319">iferror(index(I:I,match($A319&amp;","&amp;index('Year Conversion'!$A:$A,match($C319,'Year Conversion'!$B:$B,0)),$Y:$Y,0))-I319,"")</f>
        <v>1</v>
      </c>
      <c r="AA319" s="168">
        <f t="array" ref="AA319">iferror(index(J:J,match($A319&amp;","&amp;index('Year Conversion'!$A:$A,match($C319,'Year Conversion'!$B:$B,0)),$Y:$Y,0))-J319,"")</f>
        <v>-1.621599209</v>
      </c>
      <c r="AB319" s="168">
        <f t="array" ref="AB319">iferror(index(K:K,match($A319&amp;","&amp;index('Year Conversion'!$A:$A,match($C319,'Year Conversion'!$B:$B,0)),$Y:$Y,0))-K319,"")</f>
        <v>0.1335234993</v>
      </c>
      <c r="AC319" s="168" t="str">
        <f t="shared" si="7"/>
        <v>CHA,2013-14</v>
      </c>
    </row>
    <row r="320">
      <c r="A320" s="161" t="str">
        <f>IFERROR(__xludf.DUMMYFUNCTION("""COMPUTED_VALUE"""),"fredeji01")</f>
        <v>fredeji01</v>
      </c>
      <c r="B320" s="161" t="str">
        <f>IFERROR(__xludf.DUMMYFUNCTION("""COMPUTED_VALUE"""),"Jimmer Fredette")</f>
        <v>Jimmer Fredette</v>
      </c>
      <c r="C320" s="162" t="str">
        <f>IFERROR(__xludf.DUMMYFUNCTION("""COMPUTED_VALUE"""),"2013-14")</f>
        <v>2013-14</v>
      </c>
      <c r="D320" s="163" t="str">
        <f>IFERROR(__xludf.DUMMYFUNCTION("""COMPUTED_VALUE"""),"TOT")</f>
        <v>TOT</v>
      </c>
      <c r="E320" s="164" t="str">
        <f>IFERROR(__xludf.DUMMYFUNCTION("""COMPUTED_VALUE"""),"Secondary Ball Handler")</f>
        <v>Secondary Ball Handler</v>
      </c>
      <c r="F320" s="164">
        <f>IFERROR(__xludf.DUMMYFUNCTION("""COMPUTED_VALUE"""),518.655)</f>
        <v>518.655</v>
      </c>
      <c r="G320" s="163">
        <f>IFERROR(__xludf.DUMMYFUNCTION("""COMPUTED_VALUE"""),49.0)</f>
        <v>49</v>
      </c>
      <c r="H320" s="163" t="str">
        <f>IFERROR(__xludf.DUMMYFUNCTION("""COMPUTED_VALUE"""),"SG")</f>
        <v>SG</v>
      </c>
      <c r="I320" s="163">
        <f>IFERROR(__xludf.DUMMYFUNCTION("""COMPUTED_VALUE"""),24.0)</f>
        <v>24</v>
      </c>
      <c r="J320" s="165">
        <f>IFERROR(__xludf.DUMMYFUNCTION("""COMPUTED_VALUE"""),-1.75883533614831)</f>
        <v>-1.758835336</v>
      </c>
      <c r="K320" s="165">
        <f>IFERROR(__xludf.DUMMYFUNCTION("""COMPUTED_VALUE"""),-0.0699366284946102)</f>
        <v>-0.06993662849</v>
      </c>
      <c r="L320" s="165">
        <f>IFERROR(__xludf.DUMMYFUNCTION("""COMPUTED_VALUE"""),-1.6888987076537)</f>
        <v>-1.688898708</v>
      </c>
      <c r="M320" s="166">
        <f t="shared" si="2"/>
        <v>0.1872072557</v>
      </c>
      <c r="N320" s="167">
        <f t="shared" si="3"/>
        <v>10.58479592</v>
      </c>
      <c r="O320" s="163">
        <f t="shared" ref="O320:Q320" si="324">rank(I320,I:I)</f>
        <v>2361</v>
      </c>
      <c r="P320" s="163">
        <f t="shared" si="324"/>
        <v>3299</v>
      </c>
      <c r="Q320" s="163">
        <f t="shared" si="324"/>
        <v>1307</v>
      </c>
      <c r="R320" s="163">
        <f>IFERROR(__xludf.DUMMYFUNCTION("RANK(M320,filter(M:M,C:C=C320))"),329.0)</f>
        <v>329</v>
      </c>
      <c r="S320" s="161" t="b">
        <f t="shared" si="5"/>
        <v>0</v>
      </c>
      <c r="T320" s="161" t="b">
        <f t="array" ref="T320">index('Query Tool'!B:B,match(H320,'Query Tool'!C:C,0))</f>
        <v>1</v>
      </c>
      <c r="U320" s="161" t="b">
        <f t="array" ref="U320">index('Query Tool'!B:B,match(C320,'Query Tool'!C:C,0))</f>
        <v>0</v>
      </c>
      <c r="V320" s="161" t="b">
        <f>F320&gt;='Query Tool'!C$32</f>
        <v>1</v>
      </c>
      <c r="W320" s="161" t="b">
        <f t="array" ref="W320">index(Dropdowns!B:B,match(I320,Dropdowns!A:A,0))</f>
        <v>1</v>
      </c>
      <c r="X320" s="161" t="b">
        <f t="array" ref="X320">index('Query Tool'!B:B,match(D320,'Query Tool'!C:C,0))</f>
        <v>1</v>
      </c>
      <c r="Y320" s="161" t="str">
        <f t="shared" si="6"/>
        <v>fredeji01,2013-14</v>
      </c>
      <c r="Z320" s="168">
        <f t="array" ref="Z320">iferror(index(I:I,match($A320&amp;","&amp;index('Year Conversion'!$A:$A,match($C320,'Year Conversion'!$B:$B,0)),$Y:$Y,0))-I320,"")</f>
        <v>1</v>
      </c>
      <c r="AA320" s="168">
        <f t="array" ref="AA320">iferror(index(J:J,match($A320&amp;","&amp;index('Year Conversion'!$A:$A,match($C320,'Year Conversion'!$B:$B,0)),$Y:$Y,0))-J320,"")</f>
        <v>0.3323688709</v>
      </c>
      <c r="AB320" s="168">
        <f t="array" ref="AB320">iferror(index(K:K,match($A320&amp;","&amp;index('Year Conversion'!$A:$A,match($C320,'Year Conversion'!$B:$B,0)),$Y:$Y,0))-K320,"")</f>
        <v>0.2930409057</v>
      </c>
      <c r="AC320" s="168" t="str">
        <f t="shared" si="7"/>
        <v>TOT,2013-14</v>
      </c>
    </row>
    <row r="321">
      <c r="A321" s="161" t="str">
        <f>IFERROR(__xludf.DUMMYFUNCTION("""COMPUTED_VALUE"""),"thompkl01")</f>
        <v>thompkl01</v>
      </c>
      <c r="B321" s="161" t="str">
        <f>IFERROR(__xludf.DUMMYFUNCTION("""COMPUTED_VALUE"""),"Klay Thompson")</f>
        <v>Klay Thompson</v>
      </c>
      <c r="C321" s="162" t="str">
        <f>IFERROR(__xludf.DUMMYFUNCTION("""COMPUTED_VALUE"""),"2013-14")</f>
        <v>2013-14</v>
      </c>
      <c r="D321" s="163" t="str">
        <f>IFERROR(__xludf.DUMMYFUNCTION("""COMPUTED_VALUE"""),"GSW")</f>
        <v>GSW</v>
      </c>
      <c r="E321" s="164" t="str">
        <f>IFERROR(__xludf.DUMMYFUNCTION("""COMPUTED_VALUE"""),"Shot Creator")</f>
        <v>Shot Creator</v>
      </c>
      <c r="F321" s="164">
        <f>IFERROR(__xludf.DUMMYFUNCTION("""COMPUTED_VALUE"""),2867.78833333333)</f>
        <v>2867.788333</v>
      </c>
      <c r="G321" s="163">
        <f>IFERROR(__xludf.DUMMYFUNCTION("""COMPUTED_VALUE"""),81.0)</f>
        <v>81</v>
      </c>
      <c r="H321" s="163" t="str">
        <f>IFERROR(__xludf.DUMMYFUNCTION("""COMPUTED_VALUE"""),"SG")</f>
        <v>SG</v>
      </c>
      <c r="I321" s="163">
        <f>IFERROR(__xludf.DUMMYFUNCTION("""COMPUTED_VALUE"""),23.0)</f>
        <v>23</v>
      </c>
      <c r="J321" s="165">
        <f>IFERROR(__xludf.DUMMYFUNCTION("""COMPUTED_VALUE"""),1.89078077823688)</f>
        <v>1.890780778</v>
      </c>
      <c r="K321" s="165">
        <f>IFERROR(__xludf.DUMMYFUNCTION("""COMPUTED_VALUE"""),1.45940898121599)</f>
        <v>1.459408981</v>
      </c>
      <c r="L321" s="165">
        <f>IFERROR(__xludf.DUMMYFUNCTION("""COMPUTED_VALUE"""),0.431371797020891)</f>
        <v>0.431371797</v>
      </c>
      <c r="M321" s="166">
        <f t="shared" si="2"/>
        <v>8.058824609</v>
      </c>
      <c r="N321" s="167">
        <f t="shared" si="3"/>
        <v>35.40479424</v>
      </c>
      <c r="O321" s="163">
        <f t="shared" ref="O321:Q321" si="325">rank(I321,I:I)</f>
        <v>2765</v>
      </c>
      <c r="P321" s="163">
        <f t="shared" si="325"/>
        <v>348</v>
      </c>
      <c r="Q321" s="163">
        <f t="shared" si="325"/>
        <v>332</v>
      </c>
      <c r="R321" s="163">
        <f>IFERROR(__xludf.DUMMYFUNCTION("RANK(M321,filter(M:M,C:C=C321))"),29.0)</f>
        <v>29</v>
      </c>
      <c r="S321" s="161" t="b">
        <f t="shared" si="5"/>
        <v>0</v>
      </c>
      <c r="T321" s="161" t="b">
        <f t="array" ref="T321">index('Query Tool'!B:B,match(H321,'Query Tool'!C:C,0))</f>
        <v>1</v>
      </c>
      <c r="U321" s="161" t="b">
        <f t="array" ref="U321">index('Query Tool'!B:B,match(C321,'Query Tool'!C:C,0))</f>
        <v>0</v>
      </c>
      <c r="V321" s="161" t="b">
        <f>F321&gt;='Query Tool'!C$32</f>
        <v>1</v>
      </c>
      <c r="W321" s="161" t="b">
        <f t="array" ref="W321">index(Dropdowns!B:B,match(I321,Dropdowns!A:A,0))</f>
        <v>1</v>
      </c>
      <c r="X321" s="161" t="b">
        <f t="array" ref="X321">index('Query Tool'!B:B,match(D321,'Query Tool'!C:C,0))</f>
        <v>1</v>
      </c>
      <c r="Y321" s="161" t="str">
        <f t="shared" si="6"/>
        <v>thompkl01,2013-14</v>
      </c>
      <c r="Z321" s="168">
        <f t="array" ref="Z321">iferror(index(I:I,match($A321&amp;","&amp;index('Year Conversion'!$A:$A,match($C321,'Year Conversion'!$B:$B,0)),$Y:$Y,0))-I321,"")</f>
        <v>1</v>
      </c>
      <c r="AA321" s="168">
        <f t="array" ref="AA321">iferror(index(J:J,match($A321&amp;","&amp;index('Year Conversion'!$A:$A,match($C321,'Year Conversion'!$B:$B,0)),$Y:$Y,0))-J321,"")</f>
        <v>1.1855411</v>
      </c>
      <c r="AB321" s="168">
        <f t="array" ref="AB321">iferror(index(K:K,match($A321&amp;","&amp;index('Year Conversion'!$A:$A,match($C321,'Year Conversion'!$B:$B,0)),$Y:$Y,0))-K321,"")</f>
        <v>1.775048768</v>
      </c>
      <c r="AC321" s="168" t="str">
        <f t="shared" si="7"/>
        <v>GSW,2013-14</v>
      </c>
    </row>
    <row r="322">
      <c r="A322" s="161" t="str">
        <f>IFERROR(__xludf.DUMMYFUNCTION("""COMPUTED_VALUE"""),"burksal01")</f>
        <v>burksal01</v>
      </c>
      <c r="B322" s="161" t="str">
        <f>IFERROR(__xludf.DUMMYFUNCTION("""COMPUTED_VALUE"""),"Alec Burks")</f>
        <v>Alec Burks</v>
      </c>
      <c r="C322" s="162" t="str">
        <f>IFERROR(__xludf.DUMMYFUNCTION("""COMPUTED_VALUE"""),"2013-14")</f>
        <v>2013-14</v>
      </c>
      <c r="D322" s="163" t="str">
        <f>IFERROR(__xludf.DUMMYFUNCTION("""COMPUTED_VALUE"""),"UTA")</f>
        <v>UTA</v>
      </c>
      <c r="E322" s="164" t="str">
        <f>IFERROR(__xludf.DUMMYFUNCTION("""COMPUTED_VALUE"""),"Secondary Ball Handler")</f>
        <v>Secondary Ball Handler</v>
      </c>
      <c r="F322" s="164">
        <f>IFERROR(__xludf.DUMMYFUNCTION("""COMPUTED_VALUE"""),2193.10833333333)</f>
        <v>2193.108333</v>
      </c>
      <c r="G322" s="163">
        <f>IFERROR(__xludf.DUMMYFUNCTION("""COMPUTED_VALUE"""),78.0)</f>
        <v>78</v>
      </c>
      <c r="H322" s="163" t="str">
        <f>IFERROR(__xludf.DUMMYFUNCTION("""COMPUTED_VALUE"""),"SG")</f>
        <v>SG</v>
      </c>
      <c r="I322" s="163">
        <f>IFERROR(__xludf.DUMMYFUNCTION("""COMPUTED_VALUE"""),22.0)</f>
        <v>22</v>
      </c>
      <c r="J322" s="165">
        <f>IFERROR(__xludf.DUMMYFUNCTION("""COMPUTED_VALUE"""),-1.09480120654425)</f>
        <v>-1.094801207</v>
      </c>
      <c r="K322" s="165">
        <f>IFERROR(__xludf.DUMMYFUNCTION("""COMPUTED_VALUE"""),0.846000836568928)</f>
        <v>0.8460008366</v>
      </c>
      <c r="L322" s="165">
        <f>IFERROR(__xludf.DUMMYFUNCTION("""COMPUTED_VALUE"""),-1.94080204311318)</f>
        <v>-1.940802043</v>
      </c>
      <c r="M322" s="166">
        <f t="shared" si="2"/>
        <v>1.764990301</v>
      </c>
      <c r="N322" s="167">
        <f t="shared" si="3"/>
        <v>28.1167735</v>
      </c>
      <c r="O322" s="163">
        <f t="shared" ref="O322:Q322" si="326">rank(I322,I:I)</f>
        <v>3178</v>
      </c>
      <c r="P322" s="163">
        <f t="shared" si="326"/>
        <v>2607</v>
      </c>
      <c r="Q322" s="163">
        <f t="shared" si="326"/>
        <v>581</v>
      </c>
      <c r="R322" s="163">
        <f>IFERROR(__xludf.DUMMYFUNCTION("RANK(M322,filter(M:M,C:C=C322))"),167.0)</f>
        <v>167</v>
      </c>
      <c r="S322" s="161" t="b">
        <f t="shared" si="5"/>
        <v>0</v>
      </c>
      <c r="T322" s="161" t="b">
        <f t="array" ref="T322">index('Query Tool'!B:B,match(H322,'Query Tool'!C:C,0))</f>
        <v>1</v>
      </c>
      <c r="U322" s="161" t="b">
        <f t="array" ref="U322">index('Query Tool'!B:B,match(C322,'Query Tool'!C:C,0))</f>
        <v>0</v>
      </c>
      <c r="V322" s="161" t="b">
        <f>F322&gt;='Query Tool'!C$32</f>
        <v>1</v>
      </c>
      <c r="W322" s="161" t="b">
        <f t="array" ref="W322">index(Dropdowns!B:B,match(I322,Dropdowns!A:A,0))</f>
        <v>1</v>
      </c>
      <c r="X322" s="161" t="b">
        <f t="array" ref="X322">index('Query Tool'!B:B,match(D322,'Query Tool'!C:C,0))</f>
        <v>1</v>
      </c>
      <c r="Y322" s="161" t="str">
        <f t="shared" si="6"/>
        <v>burksal01,2013-14</v>
      </c>
      <c r="Z322" s="168">
        <f t="array" ref="Z322">iferror(index(I:I,match($A322&amp;","&amp;index('Year Conversion'!$A:$A,match($C322,'Year Conversion'!$B:$B,0)),$Y:$Y,0))-I322,"")</f>
        <v>1</v>
      </c>
      <c r="AA322" s="168">
        <f t="array" ref="AA322">iferror(index(J:J,match($A322&amp;","&amp;index('Year Conversion'!$A:$A,match($C322,'Year Conversion'!$B:$B,0)),$Y:$Y,0))-J322,"")</f>
        <v>-0.6354399449</v>
      </c>
      <c r="AB322" s="168">
        <f t="array" ref="AB322">iferror(index(K:K,match($A322&amp;","&amp;index('Year Conversion'!$A:$A,match($C322,'Year Conversion'!$B:$B,0)),$Y:$Y,0))-K322,"")</f>
        <v>-1.259308215</v>
      </c>
      <c r="AC322" s="168" t="str">
        <f t="shared" si="7"/>
        <v>UTA,2013-14</v>
      </c>
    </row>
    <row r="323">
      <c r="A323" s="161" t="str">
        <f>IFERROR(__xludf.DUMMYFUNCTION("""COMPUTED_VALUE"""),"morrima02")</f>
        <v>morrima02</v>
      </c>
      <c r="B323" s="161" t="str">
        <f>IFERROR(__xludf.DUMMYFUNCTION("""COMPUTED_VALUE"""),"Markieff Morris")</f>
        <v>Markieff Morris</v>
      </c>
      <c r="C323" s="162" t="str">
        <f>IFERROR(__xludf.DUMMYFUNCTION("""COMPUTED_VALUE"""),"2013-14")</f>
        <v>2013-14</v>
      </c>
      <c r="D323" s="163" t="str">
        <f>IFERROR(__xludf.DUMMYFUNCTION("""COMPUTED_VALUE"""),"PHO")</f>
        <v>PHO</v>
      </c>
      <c r="E323" s="164" t="str">
        <f>IFERROR(__xludf.DUMMYFUNCTION("""COMPUTED_VALUE"""),"Post Scorer")</f>
        <v>Post Scorer</v>
      </c>
      <c r="F323" s="164">
        <f>IFERROR(__xludf.DUMMYFUNCTION("""COMPUTED_VALUE"""),2153.1)</f>
        <v>2153.1</v>
      </c>
      <c r="G323" s="163">
        <f>IFERROR(__xludf.DUMMYFUNCTION("""COMPUTED_VALUE"""),81.0)</f>
        <v>81</v>
      </c>
      <c r="H323" s="163" t="str">
        <f>IFERROR(__xludf.DUMMYFUNCTION("""COMPUTED_VALUE"""),"PF")</f>
        <v>PF</v>
      </c>
      <c r="I323" s="163">
        <f>IFERROR(__xludf.DUMMYFUNCTION("""COMPUTED_VALUE"""),24.0)</f>
        <v>24</v>
      </c>
      <c r="J323" s="165">
        <f>IFERROR(__xludf.DUMMYFUNCTION("""COMPUTED_VALUE"""),-0.774240726693181)</f>
        <v>-0.7742407267</v>
      </c>
      <c r="K323" s="165">
        <f>IFERROR(__xludf.DUMMYFUNCTION("""COMPUTED_VALUE"""),0.365850711988724)</f>
        <v>0.365850712</v>
      </c>
      <c r="L323" s="165">
        <f>IFERROR(__xludf.DUMMYFUNCTION("""COMPUTED_VALUE"""),-1.1400914386819)</f>
        <v>-1.140091439</v>
      </c>
      <c r="M323" s="166">
        <f t="shared" si="2"/>
        <v>2.196411114</v>
      </c>
      <c r="N323" s="167">
        <f t="shared" si="3"/>
        <v>26.58148148</v>
      </c>
      <c r="O323" s="163">
        <f t="shared" ref="O323:Q323" si="327">rank(I323,I:I)</f>
        <v>2361</v>
      </c>
      <c r="P323" s="163">
        <f t="shared" si="327"/>
        <v>2241</v>
      </c>
      <c r="Q323" s="163">
        <f t="shared" si="327"/>
        <v>858</v>
      </c>
      <c r="R323" s="163">
        <f>IFERROR(__xludf.DUMMYFUNCTION("RANK(M323,filter(M:M,C:C=C323))"),144.0)</f>
        <v>144</v>
      </c>
      <c r="S323" s="161" t="b">
        <f t="shared" si="5"/>
        <v>0</v>
      </c>
      <c r="T323" s="161" t="b">
        <f t="array" ref="T323">index('Query Tool'!B:B,match(H323,'Query Tool'!C:C,0))</f>
        <v>1</v>
      </c>
      <c r="U323" s="161" t="b">
        <f t="array" ref="U323">index('Query Tool'!B:B,match(C323,'Query Tool'!C:C,0))</f>
        <v>0</v>
      </c>
      <c r="V323" s="161" t="b">
        <f>F323&gt;='Query Tool'!C$32</f>
        <v>1</v>
      </c>
      <c r="W323" s="161" t="b">
        <f t="array" ref="W323">index(Dropdowns!B:B,match(I323,Dropdowns!A:A,0))</f>
        <v>1</v>
      </c>
      <c r="X323" s="161" t="b">
        <f t="array" ref="X323">index('Query Tool'!B:B,match(D323,'Query Tool'!C:C,0))</f>
        <v>1</v>
      </c>
      <c r="Y323" s="161" t="str">
        <f t="shared" si="6"/>
        <v>morrima02,2013-14</v>
      </c>
      <c r="Z323" s="168">
        <f t="array" ref="Z323">iferror(index(I:I,match($A323&amp;","&amp;index('Year Conversion'!$A:$A,match($C323,'Year Conversion'!$B:$B,0)),$Y:$Y,0))-I323,"")</f>
        <v>1</v>
      </c>
      <c r="AA323" s="168">
        <f t="array" ref="AA323">iferror(index(J:J,match($A323&amp;","&amp;index('Year Conversion'!$A:$A,match($C323,'Year Conversion'!$B:$B,0)),$Y:$Y,0))-J323,"")</f>
        <v>2.388013582</v>
      </c>
      <c r="AB323" s="168">
        <f t="array" ref="AB323">iferror(index(K:K,match($A323&amp;","&amp;index('Year Conversion'!$A:$A,match($C323,'Year Conversion'!$B:$B,0)),$Y:$Y,0))-K323,"")</f>
        <v>-0.2012656934</v>
      </c>
      <c r="AC323" s="168" t="str">
        <f t="shared" si="7"/>
        <v>PHO,2013-14</v>
      </c>
    </row>
    <row r="324">
      <c r="A324" s="161" t="str">
        <f>IFERROR(__xludf.DUMMYFUNCTION("""COMPUTED_VALUE"""),"morrima03")</f>
        <v>morrima03</v>
      </c>
      <c r="B324" s="161" t="str">
        <f>IFERROR(__xludf.DUMMYFUNCTION("""COMPUTED_VALUE"""),"Marcus Morris Sr.")</f>
        <v>Marcus Morris Sr.</v>
      </c>
      <c r="C324" s="162" t="str">
        <f>IFERROR(__xludf.DUMMYFUNCTION("""COMPUTED_VALUE"""),"2013-14")</f>
        <v>2013-14</v>
      </c>
      <c r="D324" s="163" t="str">
        <f>IFERROR(__xludf.DUMMYFUNCTION("""COMPUTED_VALUE"""),"PHO")</f>
        <v>PHO</v>
      </c>
      <c r="E324" s="164" t="str">
        <f>IFERROR(__xludf.DUMMYFUNCTION("""COMPUTED_VALUE"""),"Stationary Shooter")</f>
        <v>Stationary Shooter</v>
      </c>
      <c r="F324" s="164">
        <f>IFERROR(__xludf.DUMMYFUNCTION("""COMPUTED_VALUE"""),1799.88166666667)</f>
        <v>1799.881667</v>
      </c>
      <c r="G324" s="163">
        <f>IFERROR(__xludf.DUMMYFUNCTION("""COMPUTED_VALUE"""),82.0)</f>
        <v>82</v>
      </c>
      <c r="H324" s="163" t="str">
        <f>IFERROR(__xludf.DUMMYFUNCTION("""COMPUTED_VALUE"""),"SF")</f>
        <v>SF</v>
      </c>
      <c r="I324" s="163">
        <f>IFERROR(__xludf.DUMMYFUNCTION("""COMPUTED_VALUE"""),24.0)</f>
        <v>24</v>
      </c>
      <c r="J324" s="165">
        <f>IFERROR(__xludf.DUMMYFUNCTION("""COMPUTED_VALUE"""),-0.0044710193791152)</f>
        <v>-0.004471019379</v>
      </c>
      <c r="K324" s="165">
        <f>IFERROR(__xludf.DUMMYFUNCTION("""COMPUTED_VALUE"""),0.501829406990781)</f>
        <v>0.501829407</v>
      </c>
      <c r="L324" s="165">
        <f>IFERROR(__xludf.DUMMYFUNCTION("""COMPUTED_VALUE"""),-0.506300426369896)</f>
        <v>-0.5063004264</v>
      </c>
      <c r="M324" s="166">
        <f t="shared" si="2"/>
        <v>2.769392158</v>
      </c>
      <c r="N324" s="167">
        <f t="shared" si="3"/>
        <v>21.94977642</v>
      </c>
      <c r="O324" s="163">
        <f t="shared" ref="O324:Q324" si="328">rank(I324,I:I)</f>
        <v>2361</v>
      </c>
      <c r="P324" s="163">
        <f t="shared" si="328"/>
        <v>1291</v>
      </c>
      <c r="Q324" s="163">
        <f t="shared" si="328"/>
        <v>766</v>
      </c>
      <c r="R324" s="163">
        <f>IFERROR(__xludf.DUMMYFUNCTION("RANK(M324,filter(M:M,C:C=C324))"),122.0)</f>
        <v>122</v>
      </c>
      <c r="S324" s="161" t="b">
        <f t="shared" si="5"/>
        <v>0</v>
      </c>
      <c r="T324" s="161" t="b">
        <f t="array" ref="T324">index('Query Tool'!B:B,match(H324,'Query Tool'!C:C,0))</f>
        <v>1</v>
      </c>
      <c r="U324" s="161" t="b">
        <f t="array" ref="U324">index('Query Tool'!B:B,match(C324,'Query Tool'!C:C,0))</f>
        <v>0</v>
      </c>
      <c r="V324" s="161" t="b">
        <f>F324&gt;='Query Tool'!C$32</f>
        <v>1</v>
      </c>
      <c r="W324" s="161" t="b">
        <f t="array" ref="W324">index(Dropdowns!B:B,match(I324,Dropdowns!A:A,0))</f>
        <v>1</v>
      </c>
      <c r="X324" s="161" t="b">
        <f t="array" ref="X324">index('Query Tool'!B:B,match(D324,'Query Tool'!C:C,0))</f>
        <v>1</v>
      </c>
      <c r="Y324" s="161" t="str">
        <f t="shared" si="6"/>
        <v>morrima03,2013-14</v>
      </c>
      <c r="Z324" s="168">
        <f t="array" ref="Z324">iferror(index(I:I,match($A324&amp;","&amp;index('Year Conversion'!$A:$A,match($C324,'Year Conversion'!$B:$B,0)),$Y:$Y,0))-I324,"")</f>
        <v>1</v>
      </c>
      <c r="AA324" s="168">
        <f t="array" ref="AA324">iferror(index(J:J,match($A324&amp;","&amp;index('Year Conversion'!$A:$A,match($C324,'Year Conversion'!$B:$B,0)),$Y:$Y,0))-J324,"")</f>
        <v>-1.290350024</v>
      </c>
      <c r="AB324" s="168">
        <f t="array" ref="AB324">iferror(index(K:K,match($A324&amp;","&amp;index('Year Conversion'!$A:$A,match($C324,'Year Conversion'!$B:$B,0)),$Y:$Y,0))-K324,"")</f>
        <v>-0.5679158985</v>
      </c>
      <c r="AC324" s="168" t="str">
        <f t="shared" si="7"/>
        <v>PHO,2013-14</v>
      </c>
    </row>
    <row r="325">
      <c r="A325" s="161" t="str">
        <f>IFERROR(__xludf.DUMMYFUNCTION("""COMPUTED_VALUE"""),"leonaka01")</f>
        <v>leonaka01</v>
      </c>
      <c r="B325" s="161" t="str">
        <f>IFERROR(__xludf.DUMMYFUNCTION("""COMPUTED_VALUE"""),"Kawhi Leonard")</f>
        <v>Kawhi Leonard</v>
      </c>
      <c r="C325" s="162" t="str">
        <f>IFERROR(__xludf.DUMMYFUNCTION("""COMPUTED_VALUE"""),"2013-14")</f>
        <v>2013-14</v>
      </c>
      <c r="D325" s="163" t="str">
        <f>IFERROR(__xludf.DUMMYFUNCTION("""COMPUTED_VALUE"""),"SAS")</f>
        <v>SAS</v>
      </c>
      <c r="E325" s="164" t="str">
        <f>IFERROR(__xludf.DUMMYFUNCTION("""COMPUTED_VALUE"""),"Shot Creator")</f>
        <v>Shot Creator</v>
      </c>
      <c r="F325" s="164">
        <f>IFERROR(__xludf.DUMMYFUNCTION("""COMPUTED_VALUE"""),1922.575)</f>
        <v>1922.575</v>
      </c>
      <c r="G325" s="163">
        <f>IFERROR(__xludf.DUMMYFUNCTION("""COMPUTED_VALUE"""),66.0)</f>
        <v>66</v>
      </c>
      <c r="H325" s="163" t="str">
        <f>IFERROR(__xludf.DUMMYFUNCTION("""COMPUTED_VALUE"""),"SF")</f>
        <v>SF</v>
      </c>
      <c r="I325" s="163">
        <f>IFERROR(__xludf.DUMMYFUNCTION("""COMPUTED_VALUE"""),22.0)</f>
        <v>22</v>
      </c>
      <c r="J325" s="165">
        <f>IFERROR(__xludf.DUMMYFUNCTION("""COMPUTED_VALUE"""),3.84049385232689)</f>
        <v>3.840493852</v>
      </c>
      <c r="K325" s="165">
        <f>IFERROR(__xludf.DUMMYFUNCTION("""COMPUTED_VALUE"""),0.746285253310673)</f>
        <v>0.7462852533</v>
      </c>
      <c r="L325" s="165">
        <f>IFERROR(__xludf.DUMMYFUNCTION("""COMPUTED_VALUE"""),3.09420859901621)</f>
        <v>3.094208599</v>
      </c>
      <c r="M325" s="166">
        <f t="shared" si="2"/>
        <v>7.842387505</v>
      </c>
      <c r="N325" s="167">
        <f t="shared" si="3"/>
        <v>29.12992424</v>
      </c>
      <c r="O325" s="163">
        <f t="shared" ref="O325:Q325" si="329">rank(I325,I:I)</f>
        <v>3178</v>
      </c>
      <c r="P325" s="163">
        <f t="shared" si="329"/>
        <v>105</v>
      </c>
      <c r="Q325" s="163">
        <f t="shared" si="329"/>
        <v>625</v>
      </c>
      <c r="R325" s="163">
        <f>IFERROR(__xludf.DUMMYFUNCTION("RANK(M325,filter(M:M,C:C=C325))"),30.0)</f>
        <v>30</v>
      </c>
      <c r="S325" s="161" t="b">
        <f t="shared" si="5"/>
        <v>0</v>
      </c>
      <c r="T325" s="161" t="b">
        <f t="array" ref="T325">index('Query Tool'!B:B,match(H325,'Query Tool'!C:C,0))</f>
        <v>1</v>
      </c>
      <c r="U325" s="161" t="b">
        <f t="array" ref="U325">index('Query Tool'!B:B,match(C325,'Query Tool'!C:C,0))</f>
        <v>0</v>
      </c>
      <c r="V325" s="161" t="b">
        <f>F325&gt;='Query Tool'!C$32</f>
        <v>1</v>
      </c>
      <c r="W325" s="161" t="b">
        <f t="array" ref="W325">index(Dropdowns!B:B,match(I325,Dropdowns!A:A,0))</f>
        <v>1</v>
      </c>
      <c r="X325" s="161" t="b">
        <f t="array" ref="X325">index('Query Tool'!B:B,match(D325,'Query Tool'!C:C,0))</f>
        <v>1</v>
      </c>
      <c r="Y325" s="161" t="str">
        <f t="shared" si="6"/>
        <v>leonaka01,2013-14</v>
      </c>
      <c r="Z325" s="168">
        <f t="array" ref="Z325">iferror(index(I:I,match($A325&amp;","&amp;index('Year Conversion'!$A:$A,match($C325,'Year Conversion'!$B:$B,0)),$Y:$Y,0))-I325,"")</f>
        <v>1</v>
      </c>
      <c r="AA325" s="168">
        <f t="array" ref="AA325">iferror(index(J:J,match($A325&amp;","&amp;index('Year Conversion'!$A:$A,match($C325,'Year Conversion'!$B:$B,0)),$Y:$Y,0))-J325,"")</f>
        <v>2.162055605</v>
      </c>
      <c r="AB325" s="168">
        <f t="array" ref="AB325">iferror(index(K:K,match($A325&amp;","&amp;index('Year Conversion'!$A:$A,match($C325,'Year Conversion'!$B:$B,0)),$Y:$Y,0))-K325,"")</f>
        <v>1.773141163</v>
      </c>
      <c r="AC325" s="168" t="str">
        <f t="shared" si="7"/>
        <v>SAS,2013-14</v>
      </c>
    </row>
    <row r="326">
      <c r="A326" s="161" t="str">
        <f>IFERROR(__xludf.DUMMYFUNCTION("""COMPUTED_VALUE"""),"vucevni01")</f>
        <v>vucevni01</v>
      </c>
      <c r="B326" s="161" t="str">
        <f>IFERROR(__xludf.DUMMYFUNCTION("""COMPUTED_VALUE"""),"Nikola Vucevic")</f>
        <v>Nikola Vucevic</v>
      </c>
      <c r="C326" s="162" t="str">
        <f>IFERROR(__xludf.DUMMYFUNCTION("""COMPUTED_VALUE"""),"2013-14")</f>
        <v>2013-14</v>
      </c>
      <c r="D326" s="163" t="str">
        <f>IFERROR(__xludf.DUMMYFUNCTION("""COMPUTED_VALUE"""),"ORL")</f>
        <v>ORL</v>
      </c>
      <c r="E326" s="164" t="str">
        <f>IFERROR(__xludf.DUMMYFUNCTION("""COMPUTED_VALUE"""),"Post Scorer")</f>
        <v>Post Scorer</v>
      </c>
      <c r="F326" s="164">
        <f>IFERROR(__xludf.DUMMYFUNCTION("""COMPUTED_VALUE"""),1812.265)</f>
        <v>1812.265</v>
      </c>
      <c r="G326" s="163">
        <f>IFERROR(__xludf.DUMMYFUNCTION("""COMPUTED_VALUE"""),57.0)</f>
        <v>57</v>
      </c>
      <c r="H326" s="163" t="str">
        <f>IFERROR(__xludf.DUMMYFUNCTION("""COMPUTED_VALUE"""),"C")</f>
        <v>C</v>
      </c>
      <c r="I326" s="163">
        <f>IFERROR(__xludf.DUMMYFUNCTION("""COMPUTED_VALUE"""),23.0)</f>
        <v>23</v>
      </c>
      <c r="J326" s="165">
        <f>IFERROR(__xludf.DUMMYFUNCTION("""COMPUTED_VALUE"""),1.17754541441484)</f>
        <v>1.177545414</v>
      </c>
      <c r="K326" s="165">
        <f>IFERROR(__xludf.DUMMYFUNCTION("""COMPUTED_VALUE"""),-0.397376885645231)</f>
        <v>-0.3973768856</v>
      </c>
      <c r="L326" s="165">
        <f>IFERROR(__xludf.DUMMYFUNCTION("""COMPUTED_VALUE"""),1.57492230006007)</f>
        <v>1.5749223</v>
      </c>
      <c r="M326" s="166">
        <f t="shared" si="2"/>
        <v>4.22988102</v>
      </c>
      <c r="N326" s="167">
        <f t="shared" si="3"/>
        <v>31.79412281</v>
      </c>
      <c r="O326" s="163">
        <f t="shared" ref="O326:Q326" si="330">rank(I326,I:I)</f>
        <v>2765</v>
      </c>
      <c r="P326" s="163">
        <f t="shared" si="330"/>
        <v>578</v>
      </c>
      <c r="Q326" s="163">
        <f t="shared" si="330"/>
        <v>1937</v>
      </c>
      <c r="R326" s="163">
        <f>IFERROR(__xludf.DUMMYFUNCTION("RANK(M326,filter(M:M,C:C=C326))"),78.0)</f>
        <v>78</v>
      </c>
      <c r="S326" s="161" t="b">
        <f t="shared" si="5"/>
        <v>0</v>
      </c>
      <c r="T326" s="161" t="b">
        <f t="array" ref="T326">index('Query Tool'!B:B,match(H326,'Query Tool'!C:C,0))</f>
        <v>1</v>
      </c>
      <c r="U326" s="161" t="b">
        <f t="array" ref="U326">index('Query Tool'!B:B,match(C326,'Query Tool'!C:C,0))</f>
        <v>0</v>
      </c>
      <c r="V326" s="161" t="b">
        <f>F326&gt;='Query Tool'!C$32</f>
        <v>1</v>
      </c>
      <c r="W326" s="161" t="b">
        <f t="array" ref="W326">index(Dropdowns!B:B,match(I326,Dropdowns!A:A,0))</f>
        <v>1</v>
      </c>
      <c r="X326" s="161" t="b">
        <f t="array" ref="X326">index('Query Tool'!B:B,match(D326,'Query Tool'!C:C,0))</f>
        <v>1</v>
      </c>
      <c r="Y326" s="161" t="str">
        <f t="shared" si="6"/>
        <v>vucevni01,2013-14</v>
      </c>
      <c r="Z326" s="168">
        <f t="array" ref="Z326">iferror(index(I:I,match($A326&amp;","&amp;index('Year Conversion'!$A:$A,match($C326,'Year Conversion'!$B:$B,0)),$Y:$Y,0))-I326,"")</f>
        <v>1</v>
      </c>
      <c r="AA326" s="168">
        <f t="array" ref="AA326">iferror(index(J:J,match($A326&amp;","&amp;index('Year Conversion'!$A:$A,match($C326,'Year Conversion'!$B:$B,0)),$Y:$Y,0))-J326,"")</f>
        <v>-1.233566164</v>
      </c>
      <c r="AB326" s="168">
        <f t="array" ref="AB326">iferror(index(K:K,match($A326&amp;","&amp;index('Year Conversion'!$A:$A,match($C326,'Year Conversion'!$B:$B,0)),$Y:$Y,0))-K326,"")</f>
        <v>0.1651458686</v>
      </c>
      <c r="AC326" s="168" t="str">
        <f t="shared" si="7"/>
        <v>ORL,2013-14</v>
      </c>
    </row>
    <row r="327">
      <c r="A327" s="161" t="str">
        <f>IFERROR(__xludf.DUMMYFUNCTION("""COMPUTED_VALUE"""),"shumpim01")</f>
        <v>shumpim01</v>
      </c>
      <c r="B327" s="161" t="str">
        <f>IFERROR(__xludf.DUMMYFUNCTION("""COMPUTED_VALUE"""),"Iman Shumpert")</f>
        <v>Iman Shumpert</v>
      </c>
      <c r="C327" s="162" t="str">
        <f>IFERROR(__xludf.DUMMYFUNCTION("""COMPUTED_VALUE"""),"2013-14")</f>
        <v>2013-14</v>
      </c>
      <c r="D327" s="163" t="str">
        <f>IFERROR(__xludf.DUMMYFUNCTION("""COMPUTED_VALUE"""),"NYK")</f>
        <v>NYK</v>
      </c>
      <c r="E327" s="164" t="str">
        <f>IFERROR(__xludf.DUMMYFUNCTION("""COMPUTED_VALUE"""),"Shot Creator")</f>
        <v>Shot Creator</v>
      </c>
      <c r="F327" s="164">
        <f>IFERROR(__xludf.DUMMYFUNCTION("""COMPUTED_VALUE"""),1962.25666666667)</f>
        <v>1962.256667</v>
      </c>
      <c r="G327" s="163">
        <f>IFERROR(__xludf.DUMMYFUNCTION("""COMPUTED_VALUE"""),74.0)</f>
        <v>74</v>
      </c>
      <c r="H327" s="163" t="str">
        <f>IFERROR(__xludf.DUMMYFUNCTION("""COMPUTED_VALUE"""),"SG")</f>
        <v>SG</v>
      </c>
      <c r="I327" s="163">
        <f>IFERROR(__xludf.DUMMYFUNCTION("""COMPUTED_VALUE"""),23.0)</f>
        <v>23</v>
      </c>
      <c r="J327" s="165">
        <f>IFERROR(__xludf.DUMMYFUNCTION("""COMPUTED_VALUE"""),1.16385696005451)</f>
        <v>1.16385696</v>
      </c>
      <c r="K327" s="165">
        <f>IFERROR(__xludf.DUMMYFUNCTION("""COMPUTED_VALUE"""),0.0765591710707757)</f>
        <v>0.07655917107</v>
      </c>
      <c r="L327" s="165">
        <f>IFERROR(__xludf.DUMMYFUNCTION("""COMPUTED_VALUE"""),1.08729778898373)</f>
        <v>1.087297789</v>
      </c>
      <c r="M327" s="166">
        <f t="shared" si="2"/>
        <v>4.561960211</v>
      </c>
      <c r="N327" s="167">
        <f t="shared" si="3"/>
        <v>26.51698198</v>
      </c>
      <c r="O327" s="163">
        <f t="shared" ref="O327:Q327" si="331">rank(I327,I:I)</f>
        <v>2765</v>
      </c>
      <c r="P327" s="163">
        <f t="shared" si="331"/>
        <v>586</v>
      </c>
      <c r="Q327" s="163">
        <f t="shared" si="331"/>
        <v>1097</v>
      </c>
      <c r="R327" s="163">
        <f>IFERROR(__xludf.DUMMYFUNCTION("RANK(M327,filter(M:M,C:C=C327))"),72.0)</f>
        <v>72</v>
      </c>
      <c r="S327" s="161" t="b">
        <f t="shared" si="5"/>
        <v>0</v>
      </c>
      <c r="T327" s="161" t="b">
        <f t="array" ref="T327">index('Query Tool'!B:B,match(H327,'Query Tool'!C:C,0))</f>
        <v>1</v>
      </c>
      <c r="U327" s="161" t="b">
        <f t="array" ref="U327">index('Query Tool'!B:B,match(C327,'Query Tool'!C:C,0))</f>
        <v>0</v>
      </c>
      <c r="V327" s="161" t="b">
        <f>F327&gt;='Query Tool'!C$32</f>
        <v>1</v>
      </c>
      <c r="W327" s="161" t="b">
        <f t="array" ref="W327">index(Dropdowns!B:B,match(I327,Dropdowns!A:A,0))</f>
        <v>1</v>
      </c>
      <c r="X327" s="161" t="b">
        <f t="array" ref="X327">index('Query Tool'!B:B,match(D327,'Query Tool'!C:C,0))</f>
        <v>1</v>
      </c>
      <c r="Y327" s="161" t="str">
        <f t="shared" si="6"/>
        <v>shumpim01,2013-14</v>
      </c>
      <c r="Z327" s="168">
        <f t="array" ref="Z327">iferror(index(I:I,match($A327&amp;","&amp;index('Year Conversion'!$A:$A,match($C327,'Year Conversion'!$B:$B,0)),$Y:$Y,0))-I327,"")</f>
        <v>1</v>
      </c>
      <c r="AA327" s="168">
        <f t="array" ref="AA327">iferror(index(J:J,match($A327&amp;","&amp;index('Year Conversion'!$A:$A,match($C327,'Year Conversion'!$B:$B,0)),$Y:$Y,0))-J327,"")</f>
        <v>-2.220919345</v>
      </c>
      <c r="AB327" s="168">
        <f t="array" ref="AB327">iferror(index(K:K,match($A327&amp;","&amp;index('Year Conversion'!$A:$A,match($C327,'Year Conversion'!$B:$B,0)),$Y:$Y,0))-K327,"")</f>
        <v>-0.8388886875</v>
      </c>
      <c r="AC327" s="168" t="str">
        <f t="shared" si="7"/>
        <v>NYK,2013-14</v>
      </c>
    </row>
    <row r="328">
      <c r="A328" s="161" t="str">
        <f>IFERROR(__xludf.DUMMYFUNCTION("""COMPUTED_VALUE"""),"singlch01")</f>
        <v>singlch01</v>
      </c>
      <c r="B328" s="161" t="str">
        <f>IFERROR(__xludf.DUMMYFUNCTION("""COMPUTED_VALUE"""),"Chris Singleton")</f>
        <v>Chris Singleton</v>
      </c>
      <c r="C328" s="162" t="str">
        <f>IFERROR(__xludf.DUMMYFUNCTION("""COMPUTED_VALUE"""),"2013-14")</f>
        <v>2013-14</v>
      </c>
      <c r="D328" s="163" t="str">
        <f>IFERROR(__xludf.DUMMYFUNCTION("""COMPUTED_VALUE"""),"WAS")</f>
        <v>WAS</v>
      </c>
      <c r="E328" s="164" t="str">
        <f>IFERROR(__xludf.DUMMYFUNCTION("""COMPUTED_VALUE"""),"Athletic Finisher")</f>
        <v>Athletic Finisher</v>
      </c>
      <c r="F328" s="164">
        <f>IFERROR(__xludf.DUMMYFUNCTION("""COMPUTED_VALUE"""),249.968333333333)</f>
        <v>249.9683333</v>
      </c>
      <c r="G328" s="163">
        <f>IFERROR(__xludf.DUMMYFUNCTION("""COMPUTED_VALUE"""),25.0)</f>
        <v>25</v>
      </c>
      <c r="H328" s="163" t="str">
        <f>IFERROR(__xludf.DUMMYFUNCTION("""COMPUTED_VALUE"""),"SF")</f>
        <v>SF</v>
      </c>
      <c r="I328" s="163">
        <f>IFERROR(__xludf.DUMMYFUNCTION("""COMPUTED_VALUE"""),24.0)</f>
        <v>24</v>
      </c>
      <c r="J328" s="165">
        <f>IFERROR(__xludf.DUMMYFUNCTION("""COMPUTED_VALUE"""),-2.60120480730533)</f>
        <v>-2.601204807</v>
      </c>
      <c r="K328" s="165">
        <f>IFERROR(__xludf.DUMMYFUNCTION("""COMPUTED_VALUE"""),-1.9535568777209)</f>
        <v>-1.953556878</v>
      </c>
      <c r="L328" s="165">
        <f>IFERROR(__xludf.DUMMYFUNCTION("""COMPUTED_VALUE"""),-0.64764792958443)</f>
        <v>-0.6476479296</v>
      </c>
      <c r="M328" s="166">
        <f t="shared" si="2"/>
        <v>-0.04892841419</v>
      </c>
      <c r="N328" s="167">
        <f t="shared" si="3"/>
        <v>9.998733333</v>
      </c>
      <c r="O328" s="163">
        <f t="shared" ref="O328:Q328" si="332">rank(I328,I:I)</f>
        <v>2361</v>
      </c>
      <c r="P328" s="163">
        <f t="shared" si="332"/>
        <v>3786</v>
      </c>
      <c r="Q328" s="163">
        <f t="shared" si="332"/>
        <v>3688</v>
      </c>
      <c r="R328" s="163">
        <f>IFERROR(__xludf.DUMMYFUNCTION("RANK(M328,filter(M:M,C:C=C328))"),436.0)</f>
        <v>436</v>
      </c>
      <c r="S328" s="161" t="b">
        <f t="shared" si="5"/>
        <v>0</v>
      </c>
      <c r="T328" s="161" t="b">
        <f t="array" ref="T328">index('Query Tool'!B:B,match(H328,'Query Tool'!C:C,0))</f>
        <v>1</v>
      </c>
      <c r="U328" s="161" t="b">
        <f t="array" ref="U328">index('Query Tool'!B:B,match(C328,'Query Tool'!C:C,0))</f>
        <v>0</v>
      </c>
      <c r="V328" s="161" t="b">
        <f>F328&gt;='Query Tool'!C$32</f>
        <v>0</v>
      </c>
      <c r="W328" s="161" t="b">
        <f t="array" ref="W328">index(Dropdowns!B:B,match(I328,Dropdowns!A:A,0))</f>
        <v>1</v>
      </c>
      <c r="X328" s="161" t="b">
        <f t="array" ref="X328">index('Query Tool'!B:B,match(D328,'Query Tool'!C:C,0))</f>
        <v>1</v>
      </c>
      <c r="Y328" s="161" t="str">
        <f t="shared" si="6"/>
        <v>singlch01,2013-14</v>
      </c>
      <c r="Z328" s="168" t="str">
        <f t="array" ref="Z328">iferror(index(I:I,match($A328&amp;","&amp;index('Year Conversion'!$A:$A,match($C328,'Year Conversion'!$B:$B,0)),$Y:$Y,0))-I328,"")</f>
        <v/>
      </c>
      <c r="AA328" s="168" t="str">
        <f t="array" ref="AA328">iferror(index(J:J,match($A328&amp;","&amp;index('Year Conversion'!$A:$A,match($C328,'Year Conversion'!$B:$B,0)),$Y:$Y,0))-J328,"")</f>
        <v/>
      </c>
      <c r="AB328" s="168" t="str">
        <f t="array" ref="AB328">iferror(index(K:K,match($A328&amp;","&amp;index('Year Conversion'!$A:$A,match($C328,'Year Conversion'!$B:$B,0)),$Y:$Y,0))-K328,"")</f>
        <v/>
      </c>
      <c r="AC328" s="168" t="str">
        <f t="shared" si="7"/>
        <v>WAS,2013-14</v>
      </c>
    </row>
    <row r="329">
      <c r="A329" s="161" t="str">
        <f>IFERROR(__xludf.DUMMYFUNCTION("""COMPUTED_VALUE"""),"harrito02")</f>
        <v>harrito02</v>
      </c>
      <c r="B329" s="161" t="str">
        <f>IFERROR(__xludf.DUMMYFUNCTION("""COMPUTED_VALUE"""),"Tobias Harris")</f>
        <v>Tobias Harris</v>
      </c>
      <c r="C329" s="162" t="str">
        <f>IFERROR(__xludf.DUMMYFUNCTION("""COMPUTED_VALUE"""),"2013-14")</f>
        <v>2013-14</v>
      </c>
      <c r="D329" s="163" t="str">
        <f>IFERROR(__xludf.DUMMYFUNCTION("""COMPUTED_VALUE"""),"ORL")</f>
        <v>ORL</v>
      </c>
      <c r="E329" s="164" t="str">
        <f>IFERROR(__xludf.DUMMYFUNCTION("""COMPUTED_VALUE"""),"Roll + Cut Big")</f>
        <v>Roll + Cut Big</v>
      </c>
      <c r="F329" s="164">
        <f>IFERROR(__xludf.DUMMYFUNCTION("""COMPUTED_VALUE"""),1849.545)</f>
        <v>1849.545</v>
      </c>
      <c r="G329" s="163">
        <f>IFERROR(__xludf.DUMMYFUNCTION("""COMPUTED_VALUE"""),61.0)</f>
        <v>61</v>
      </c>
      <c r="H329" s="163" t="str">
        <f>IFERROR(__xludf.DUMMYFUNCTION("""COMPUTED_VALUE"""),"PF")</f>
        <v>PF</v>
      </c>
      <c r="I329" s="163">
        <f>IFERROR(__xludf.DUMMYFUNCTION("""COMPUTED_VALUE"""),21.0)</f>
        <v>21</v>
      </c>
      <c r="J329" s="165">
        <f>IFERROR(__xludf.DUMMYFUNCTION("""COMPUTED_VALUE"""),-1.18538621091103)</f>
        <v>-1.185386211</v>
      </c>
      <c r="K329" s="165">
        <f>IFERROR(__xludf.DUMMYFUNCTION("""COMPUTED_VALUE"""),0.0726014630530653)</f>
        <v>0.07260146305</v>
      </c>
      <c r="L329" s="165">
        <f>IFERROR(__xludf.DUMMYFUNCTION("""COMPUTED_VALUE"""),-1.25798767396409)</f>
        <v>-1.257987674</v>
      </c>
      <c r="M329" s="166">
        <f t="shared" si="2"/>
        <v>1.376149708</v>
      </c>
      <c r="N329" s="167">
        <f t="shared" si="3"/>
        <v>30.32040984</v>
      </c>
      <c r="O329" s="163">
        <f t="shared" ref="O329:Q329" si="333">rank(I329,I:I)</f>
        <v>3528</v>
      </c>
      <c r="P329" s="163">
        <f t="shared" si="333"/>
        <v>2723</v>
      </c>
      <c r="Q329" s="163">
        <f t="shared" si="333"/>
        <v>1104</v>
      </c>
      <c r="R329" s="163">
        <f>IFERROR(__xludf.DUMMYFUNCTION("RANK(M329,filter(M:M,C:C=C329))"),193.0)</f>
        <v>193</v>
      </c>
      <c r="S329" s="161" t="b">
        <f t="shared" si="5"/>
        <v>0</v>
      </c>
      <c r="T329" s="161" t="b">
        <f t="array" ref="T329">index('Query Tool'!B:B,match(H329,'Query Tool'!C:C,0))</f>
        <v>1</v>
      </c>
      <c r="U329" s="161" t="b">
        <f t="array" ref="U329">index('Query Tool'!B:B,match(C329,'Query Tool'!C:C,0))</f>
        <v>0</v>
      </c>
      <c r="V329" s="161" t="b">
        <f>F329&gt;='Query Tool'!C$32</f>
        <v>1</v>
      </c>
      <c r="W329" s="161" t="b">
        <f t="array" ref="W329">index(Dropdowns!B:B,match(I329,Dropdowns!A:A,0))</f>
        <v>1</v>
      </c>
      <c r="X329" s="161" t="b">
        <f t="array" ref="X329">index('Query Tool'!B:B,match(D329,'Query Tool'!C:C,0))</f>
        <v>1</v>
      </c>
      <c r="Y329" s="161" t="str">
        <f t="shared" si="6"/>
        <v>harrito02,2013-14</v>
      </c>
      <c r="Z329" s="168">
        <f t="array" ref="Z329">iferror(index(I:I,match($A329&amp;","&amp;index('Year Conversion'!$A:$A,match($C329,'Year Conversion'!$B:$B,0)),$Y:$Y,0))-I329,"")</f>
        <v>1</v>
      </c>
      <c r="AA329" s="168">
        <f t="array" ref="AA329">iferror(index(J:J,match($A329&amp;","&amp;index('Year Conversion'!$A:$A,match($C329,'Year Conversion'!$B:$B,0)),$Y:$Y,0))-J329,"")</f>
        <v>0.4332621162</v>
      </c>
      <c r="AB329" s="168">
        <f t="array" ref="AB329">iferror(index(K:K,match($A329&amp;","&amp;index('Year Conversion'!$A:$A,match($C329,'Year Conversion'!$B:$B,0)),$Y:$Y,0))-K329,"")</f>
        <v>-0.2020814757</v>
      </c>
      <c r="AC329" s="168" t="str">
        <f t="shared" si="7"/>
        <v>ORL,2013-14</v>
      </c>
    </row>
    <row r="330">
      <c r="A330" s="161" t="str">
        <f>IFERROR(__xludf.DUMMYFUNCTION("""COMPUTED_VALUE"""),"motiedo01")</f>
        <v>motiedo01</v>
      </c>
      <c r="B330" s="161" t="str">
        <f>IFERROR(__xludf.DUMMYFUNCTION("""COMPUTED_VALUE"""),"Donatas Motiejunas")</f>
        <v>Donatas Motiejunas</v>
      </c>
      <c r="C330" s="162" t="str">
        <f>IFERROR(__xludf.DUMMYFUNCTION("""COMPUTED_VALUE"""),"2013-14")</f>
        <v>2013-14</v>
      </c>
      <c r="D330" s="163" t="str">
        <f>IFERROR(__xludf.DUMMYFUNCTION("""COMPUTED_VALUE"""),"HOU")</f>
        <v>HOU</v>
      </c>
      <c r="E330" s="164" t="str">
        <f>IFERROR(__xludf.DUMMYFUNCTION("""COMPUTED_VALUE"""),"Versatile Big")</f>
        <v>Versatile Big</v>
      </c>
      <c r="F330" s="164">
        <f>IFERROR(__xludf.DUMMYFUNCTION("""COMPUTED_VALUE"""),952.198333333333)</f>
        <v>952.1983333</v>
      </c>
      <c r="G330" s="163">
        <f>IFERROR(__xludf.DUMMYFUNCTION("""COMPUTED_VALUE"""),62.0)</f>
        <v>62</v>
      </c>
      <c r="H330" s="163" t="str">
        <f>IFERROR(__xludf.DUMMYFUNCTION("""COMPUTED_VALUE"""),"PF")</f>
        <v>PF</v>
      </c>
      <c r="I330" s="163">
        <f>IFERROR(__xludf.DUMMYFUNCTION("""COMPUTED_VALUE"""),23.0)</f>
        <v>23</v>
      </c>
      <c r="J330" s="165">
        <f>IFERROR(__xludf.DUMMYFUNCTION("""COMPUTED_VALUE"""),-1.14378117164272)</f>
        <v>-1.143781172</v>
      </c>
      <c r="K330" s="165">
        <f>IFERROR(__xludf.DUMMYFUNCTION("""COMPUTED_VALUE"""),-1.4152368927899)</f>
        <v>-1.415236893</v>
      </c>
      <c r="L330" s="165">
        <f>IFERROR(__xludf.DUMMYFUNCTION("""COMPUTED_VALUE"""),0.271455721147175)</f>
        <v>0.2714557211</v>
      </c>
      <c r="M330" s="166">
        <f t="shared" si="2"/>
        <v>0.7350394388</v>
      </c>
      <c r="N330" s="167">
        <f t="shared" si="3"/>
        <v>15.35803763</v>
      </c>
      <c r="O330" s="163">
        <f t="shared" ref="O330:Q330" si="334">rank(I330,I:I)</f>
        <v>2765</v>
      </c>
      <c r="P330" s="163">
        <f t="shared" si="334"/>
        <v>2674</v>
      </c>
      <c r="Q330" s="163">
        <f t="shared" si="334"/>
        <v>3264</v>
      </c>
      <c r="R330" s="163">
        <f>IFERROR(__xludf.DUMMYFUNCTION("RANK(M330,filter(M:M,C:C=C330))"),247.0)</f>
        <v>247</v>
      </c>
      <c r="S330" s="161" t="b">
        <f t="shared" si="5"/>
        <v>0</v>
      </c>
      <c r="T330" s="161" t="b">
        <f t="array" ref="T330">index('Query Tool'!B:B,match(H330,'Query Tool'!C:C,0))</f>
        <v>1</v>
      </c>
      <c r="U330" s="161" t="b">
        <f t="array" ref="U330">index('Query Tool'!B:B,match(C330,'Query Tool'!C:C,0))</f>
        <v>0</v>
      </c>
      <c r="V330" s="161" t="b">
        <f>F330&gt;='Query Tool'!C$32</f>
        <v>1</v>
      </c>
      <c r="W330" s="161" t="b">
        <f t="array" ref="W330">index(Dropdowns!B:B,match(I330,Dropdowns!A:A,0))</f>
        <v>1</v>
      </c>
      <c r="X330" s="161" t="b">
        <f t="array" ref="X330">index('Query Tool'!B:B,match(D330,'Query Tool'!C:C,0))</f>
        <v>1</v>
      </c>
      <c r="Y330" s="161" t="str">
        <f t="shared" si="6"/>
        <v>motiedo01,2013-14</v>
      </c>
      <c r="Z330" s="168">
        <f t="array" ref="Z330">iferror(index(I:I,match($A330&amp;","&amp;index('Year Conversion'!$A:$A,match($C330,'Year Conversion'!$B:$B,0)),$Y:$Y,0))-I330,"")</f>
        <v>1</v>
      </c>
      <c r="AA330" s="168">
        <f t="array" ref="AA330">iferror(index(J:J,match($A330&amp;","&amp;index('Year Conversion'!$A:$A,match($C330,'Year Conversion'!$B:$B,0)),$Y:$Y,0))-J330,"")</f>
        <v>0.4784872774</v>
      </c>
      <c r="AB330" s="168">
        <f t="array" ref="AB330">iferror(index(K:K,match($A330&amp;","&amp;index('Year Conversion'!$A:$A,match($C330,'Year Conversion'!$B:$B,0)),$Y:$Y,0))-K330,"")</f>
        <v>0.4317285665</v>
      </c>
      <c r="AC330" s="168" t="str">
        <f t="shared" si="7"/>
        <v>HOU,2013-14</v>
      </c>
    </row>
    <row r="331">
      <c r="A331" s="161" t="str">
        <f>IFERROR(__xludf.DUMMYFUNCTION("""COMPUTED_VALUE"""),"farieke01")</f>
        <v>farieke01</v>
      </c>
      <c r="B331" s="161" t="str">
        <f>IFERROR(__xludf.DUMMYFUNCTION("""COMPUTED_VALUE"""),"Kenneth Faried")</f>
        <v>Kenneth Faried</v>
      </c>
      <c r="C331" s="162" t="str">
        <f>IFERROR(__xludf.DUMMYFUNCTION("""COMPUTED_VALUE"""),"2013-14")</f>
        <v>2013-14</v>
      </c>
      <c r="D331" s="163" t="str">
        <f>IFERROR(__xludf.DUMMYFUNCTION("""COMPUTED_VALUE"""),"DEN")</f>
        <v>DEN</v>
      </c>
      <c r="E331" s="164" t="str">
        <f>IFERROR(__xludf.DUMMYFUNCTION("""COMPUTED_VALUE"""),"Post Scorer")</f>
        <v>Post Scorer</v>
      </c>
      <c r="F331" s="164">
        <f>IFERROR(__xludf.DUMMYFUNCTION("""COMPUTED_VALUE"""),2178.07333333333)</f>
        <v>2178.073333</v>
      </c>
      <c r="G331" s="163">
        <f>IFERROR(__xludf.DUMMYFUNCTION("""COMPUTED_VALUE"""),80.0)</f>
        <v>80</v>
      </c>
      <c r="H331" s="163" t="str">
        <f>IFERROR(__xludf.DUMMYFUNCTION("""COMPUTED_VALUE"""),"PF")</f>
        <v>PF</v>
      </c>
      <c r="I331" s="163">
        <f>IFERROR(__xludf.DUMMYFUNCTION("""COMPUTED_VALUE"""),24.0)</f>
        <v>24</v>
      </c>
      <c r="J331" s="165">
        <f>IFERROR(__xludf.DUMMYFUNCTION("""COMPUTED_VALUE"""),0.421990644102515)</f>
        <v>0.4219906441</v>
      </c>
      <c r="K331" s="165">
        <f>IFERROR(__xludf.DUMMYFUNCTION("""COMPUTED_VALUE"""),0.855034582603331)</f>
        <v>0.8550345826</v>
      </c>
      <c r="L331" s="165">
        <f>IFERROR(__xludf.DUMMYFUNCTION("""COMPUTED_VALUE"""),-0.433043938500816)</f>
        <v>-0.4330439385</v>
      </c>
      <c r="M331" s="166">
        <f t="shared" si="2"/>
        <v>3.97737558</v>
      </c>
      <c r="N331" s="167">
        <f t="shared" si="3"/>
        <v>27.22591667</v>
      </c>
      <c r="O331" s="163">
        <f t="shared" ref="O331:Q331" si="335">rank(I331,I:I)</f>
        <v>2361</v>
      </c>
      <c r="P331" s="163">
        <f t="shared" si="335"/>
        <v>939</v>
      </c>
      <c r="Q331" s="163">
        <f t="shared" si="335"/>
        <v>578</v>
      </c>
      <c r="R331" s="163">
        <f>IFERROR(__xludf.DUMMYFUNCTION("RANK(M331,filter(M:M,C:C=C331))"),83.0)</f>
        <v>83</v>
      </c>
      <c r="S331" s="161" t="b">
        <f t="shared" si="5"/>
        <v>0</v>
      </c>
      <c r="T331" s="161" t="b">
        <f t="array" ref="T331">index('Query Tool'!B:B,match(H331,'Query Tool'!C:C,0))</f>
        <v>1</v>
      </c>
      <c r="U331" s="161" t="b">
        <f t="array" ref="U331">index('Query Tool'!B:B,match(C331,'Query Tool'!C:C,0))</f>
        <v>0</v>
      </c>
      <c r="V331" s="161" t="b">
        <f>F331&gt;='Query Tool'!C$32</f>
        <v>1</v>
      </c>
      <c r="W331" s="161" t="b">
        <f t="array" ref="W331">index(Dropdowns!B:B,match(I331,Dropdowns!A:A,0))</f>
        <v>1</v>
      </c>
      <c r="X331" s="161" t="b">
        <f t="array" ref="X331">index('Query Tool'!B:B,match(D331,'Query Tool'!C:C,0))</f>
        <v>1</v>
      </c>
      <c r="Y331" s="161" t="str">
        <f t="shared" si="6"/>
        <v>farieke01,2013-14</v>
      </c>
      <c r="Z331" s="168">
        <f t="array" ref="Z331">iferror(index(I:I,match($A331&amp;","&amp;index('Year Conversion'!$A:$A,match($C331,'Year Conversion'!$B:$B,0)),$Y:$Y,0))-I331,"")</f>
        <v>1</v>
      </c>
      <c r="AA331" s="168">
        <f t="array" ref="AA331">iferror(index(J:J,match($A331&amp;","&amp;index('Year Conversion'!$A:$A,match($C331,'Year Conversion'!$B:$B,0)),$Y:$Y,0))-J331,"")</f>
        <v>0.3025579009</v>
      </c>
      <c r="AB331" s="168">
        <f t="array" ref="AB331">iferror(index(K:K,match($A331&amp;","&amp;index('Year Conversion'!$A:$A,match($C331,'Year Conversion'!$B:$B,0)),$Y:$Y,0))-K331,"")</f>
        <v>-0.2646968967</v>
      </c>
      <c r="AC331" s="168" t="str">
        <f t="shared" si="7"/>
        <v>DEN,2013-14</v>
      </c>
    </row>
    <row r="332">
      <c r="A332" s="161" t="str">
        <f>IFERROR(__xludf.DUMMYFUNCTION("""COMPUTED_VALUE"""),"jacksre01")</f>
        <v>jacksre01</v>
      </c>
      <c r="B332" s="161" t="str">
        <f>IFERROR(__xludf.DUMMYFUNCTION("""COMPUTED_VALUE"""),"Reggie Jackson")</f>
        <v>Reggie Jackson</v>
      </c>
      <c r="C332" s="162" t="str">
        <f>IFERROR(__xludf.DUMMYFUNCTION("""COMPUTED_VALUE"""),"2013-14")</f>
        <v>2013-14</v>
      </c>
      <c r="D332" s="163" t="str">
        <f>IFERROR(__xludf.DUMMYFUNCTION("""COMPUTED_VALUE"""),"OKC")</f>
        <v>OKC</v>
      </c>
      <c r="E332" s="164" t="str">
        <f>IFERROR(__xludf.DUMMYFUNCTION("""COMPUTED_VALUE"""),"Slasher")</f>
        <v>Slasher</v>
      </c>
      <c r="F332" s="164">
        <f>IFERROR(__xludf.DUMMYFUNCTION("""COMPUTED_VALUE"""),2277.47)</f>
        <v>2277.47</v>
      </c>
      <c r="G332" s="163">
        <f>IFERROR(__xludf.DUMMYFUNCTION("""COMPUTED_VALUE"""),80.0)</f>
        <v>80</v>
      </c>
      <c r="H332" s="163" t="str">
        <f>IFERROR(__xludf.DUMMYFUNCTION("""COMPUTED_VALUE"""),"PG")</f>
        <v>PG</v>
      </c>
      <c r="I332" s="163">
        <f>IFERROR(__xludf.DUMMYFUNCTION("""COMPUTED_VALUE"""),23.0)</f>
        <v>23</v>
      </c>
      <c r="J332" s="165">
        <f>IFERROR(__xludf.DUMMYFUNCTION("""COMPUTED_VALUE"""),1.45580923920211)</f>
        <v>1.455809239</v>
      </c>
      <c r="K332" s="165">
        <f>IFERROR(__xludf.DUMMYFUNCTION("""COMPUTED_VALUE"""),1.1796503411294)</f>
        <v>1.179650341</v>
      </c>
      <c r="L332" s="165">
        <f>IFERROR(__xludf.DUMMYFUNCTION("""COMPUTED_VALUE"""),0.276158898072716)</f>
        <v>0.2761588981</v>
      </c>
      <c r="M332" s="166">
        <f t="shared" si="2"/>
        <v>5.739859521</v>
      </c>
      <c r="N332" s="167">
        <f t="shared" si="3"/>
        <v>28.468375</v>
      </c>
      <c r="O332" s="163">
        <f t="shared" ref="O332:Q332" si="336">rank(I332,I:I)</f>
        <v>2765</v>
      </c>
      <c r="P332" s="163">
        <f t="shared" si="336"/>
        <v>471</v>
      </c>
      <c r="Q332" s="163">
        <f t="shared" si="336"/>
        <v>425</v>
      </c>
      <c r="R332" s="163">
        <f>IFERROR(__xludf.DUMMYFUNCTION("RANK(M332,filter(M:M,C:C=C332))"),52.0)</f>
        <v>52</v>
      </c>
      <c r="S332" s="161" t="b">
        <f t="shared" si="5"/>
        <v>0</v>
      </c>
      <c r="T332" s="161" t="b">
        <f t="array" ref="T332">index('Query Tool'!B:B,match(H332,'Query Tool'!C:C,0))</f>
        <v>1</v>
      </c>
      <c r="U332" s="161" t="b">
        <f t="array" ref="U332">index('Query Tool'!B:B,match(C332,'Query Tool'!C:C,0))</f>
        <v>0</v>
      </c>
      <c r="V332" s="161" t="b">
        <f>F332&gt;='Query Tool'!C$32</f>
        <v>1</v>
      </c>
      <c r="W332" s="161" t="b">
        <f t="array" ref="W332">index(Dropdowns!B:B,match(I332,Dropdowns!A:A,0))</f>
        <v>1</v>
      </c>
      <c r="X332" s="161" t="b">
        <f t="array" ref="X332">index('Query Tool'!B:B,match(D332,'Query Tool'!C:C,0))</f>
        <v>1</v>
      </c>
      <c r="Y332" s="161" t="str">
        <f t="shared" si="6"/>
        <v>jacksre01,2013-14</v>
      </c>
      <c r="Z332" s="168">
        <f t="array" ref="Z332">iferror(index(I:I,match($A332&amp;","&amp;index('Year Conversion'!$A:$A,match($C332,'Year Conversion'!$B:$B,0)),$Y:$Y,0))-I332,"")</f>
        <v>1</v>
      </c>
      <c r="AA332" s="168">
        <f t="array" ref="AA332">iferror(index(J:J,match($A332&amp;","&amp;index('Year Conversion'!$A:$A,match($C332,'Year Conversion'!$B:$B,0)),$Y:$Y,0))-J332,"")</f>
        <v>-0.1613772659</v>
      </c>
      <c r="AB332" s="168">
        <f t="array" ref="AB332">iferror(index(K:K,match($A332&amp;","&amp;index('Year Conversion'!$A:$A,match($C332,'Year Conversion'!$B:$B,0)),$Y:$Y,0))-K332,"")</f>
        <v>1.411800544</v>
      </c>
      <c r="AC332" s="168" t="str">
        <f t="shared" si="7"/>
        <v>OKC,2013-14</v>
      </c>
    </row>
    <row r="333">
      <c r="A333" s="161" t="str">
        <f>IFERROR(__xludf.DUMMYFUNCTION("""COMPUTED_VALUE"""),"brookma01")</f>
        <v>brookma01</v>
      </c>
      <c r="B333" s="161" t="str">
        <f>IFERROR(__xludf.DUMMYFUNCTION("""COMPUTED_VALUE"""),"MarShon Brooks")</f>
        <v>MarShon Brooks</v>
      </c>
      <c r="C333" s="162" t="str">
        <f>IFERROR(__xludf.DUMMYFUNCTION("""COMPUTED_VALUE"""),"2013-14")</f>
        <v>2013-14</v>
      </c>
      <c r="D333" s="163" t="str">
        <f>IFERROR(__xludf.DUMMYFUNCTION("""COMPUTED_VALUE"""),"TOT")</f>
        <v>TOT</v>
      </c>
      <c r="E333" s="164" t="str">
        <f>IFERROR(__xludf.DUMMYFUNCTION("""COMPUTED_VALUE"""),"Slasher")</f>
        <v>Slasher</v>
      </c>
      <c r="F333" s="164">
        <f>IFERROR(__xludf.DUMMYFUNCTION("""COMPUTED_VALUE"""),316.61)</f>
        <v>316.61</v>
      </c>
      <c r="G333" s="163">
        <f>IFERROR(__xludf.DUMMYFUNCTION("""COMPUTED_VALUE"""),35.0)</f>
        <v>35</v>
      </c>
      <c r="H333" s="163" t="str">
        <f>IFERROR(__xludf.DUMMYFUNCTION("""COMPUTED_VALUE"""),"SG")</f>
        <v>SG</v>
      </c>
      <c r="I333" s="163">
        <f>IFERROR(__xludf.DUMMYFUNCTION("""COMPUTED_VALUE"""),25.0)</f>
        <v>25</v>
      </c>
      <c r="J333" s="165">
        <f>IFERROR(__xludf.DUMMYFUNCTION("""COMPUTED_VALUE"""),-1.14747427591277)</f>
        <v>-1.147474276</v>
      </c>
      <c r="K333" s="165">
        <f>IFERROR(__xludf.DUMMYFUNCTION("""COMPUTED_VALUE"""),-0.717703374443366)</f>
        <v>-0.7177033744</v>
      </c>
      <c r="L333" s="165">
        <f>IFERROR(__xludf.DUMMYFUNCTION("""COMPUTED_VALUE"""),-0.429770901469401)</f>
        <v>-0.4297709015</v>
      </c>
      <c r="M333" s="166">
        <f t="shared" si="2"/>
        <v>0.2436197267</v>
      </c>
      <c r="N333" s="167">
        <f t="shared" si="3"/>
        <v>9.046</v>
      </c>
      <c r="O333" s="163">
        <f t="shared" ref="O333:Q333" si="337">rank(I333,I:I)</f>
        <v>1995</v>
      </c>
      <c r="P333" s="163">
        <f t="shared" si="337"/>
        <v>2677</v>
      </c>
      <c r="Q333" s="163">
        <f t="shared" si="337"/>
        <v>2442</v>
      </c>
      <c r="R333" s="163">
        <f>IFERROR(__xludf.DUMMYFUNCTION("RANK(M333,filter(M:M,C:C=C333))"),312.0)</f>
        <v>312</v>
      </c>
      <c r="S333" s="161" t="b">
        <f t="shared" si="5"/>
        <v>0</v>
      </c>
      <c r="T333" s="161" t="b">
        <f t="array" ref="T333">index('Query Tool'!B:B,match(H333,'Query Tool'!C:C,0))</f>
        <v>1</v>
      </c>
      <c r="U333" s="161" t="b">
        <f t="array" ref="U333">index('Query Tool'!B:B,match(C333,'Query Tool'!C:C,0))</f>
        <v>0</v>
      </c>
      <c r="V333" s="161" t="b">
        <f>F333&gt;='Query Tool'!C$32</f>
        <v>0</v>
      </c>
      <c r="W333" s="161" t="b">
        <f t="array" ref="W333">index(Dropdowns!B:B,match(I333,Dropdowns!A:A,0))</f>
        <v>1</v>
      </c>
      <c r="X333" s="161" t="b">
        <f t="array" ref="X333">index('Query Tool'!B:B,match(D333,'Query Tool'!C:C,0))</f>
        <v>1</v>
      </c>
      <c r="Y333" s="161" t="str">
        <f t="shared" si="6"/>
        <v>brookma01,2013-14</v>
      </c>
      <c r="Z333" s="168" t="str">
        <f t="array" ref="Z333">iferror(index(I:I,match($A333&amp;","&amp;index('Year Conversion'!$A:$A,match($C333,'Year Conversion'!$B:$B,0)),$Y:$Y,0))-I333,"")</f>
        <v/>
      </c>
      <c r="AA333" s="168" t="str">
        <f t="array" ref="AA333">iferror(index(J:J,match($A333&amp;","&amp;index('Year Conversion'!$A:$A,match($C333,'Year Conversion'!$B:$B,0)),$Y:$Y,0))-J333,"")</f>
        <v/>
      </c>
      <c r="AB333" s="168" t="str">
        <f t="array" ref="AB333">iferror(index(K:K,match($A333&amp;","&amp;index('Year Conversion'!$A:$A,match($C333,'Year Conversion'!$B:$B,0)),$Y:$Y,0))-K333,"")</f>
        <v/>
      </c>
      <c r="AC333" s="168" t="str">
        <f t="shared" si="7"/>
        <v>TOT,2013-14</v>
      </c>
    </row>
    <row r="334">
      <c r="A334" s="161" t="str">
        <f>IFERROR(__xludf.DUMMYFUNCTION("""COMPUTED_VALUE"""),"hamiljo02")</f>
        <v>hamiljo02</v>
      </c>
      <c r="B334" s="161" t="str">
        <f>IFERROR(__xludf.DUMMYFUNCTION("""COMPUTED_VALUE"""),"Jordan Hamilton")</f>
        <v>Jordan Hamilton</v>
      </c>
      <c r="C334" s="162" t="str">
        <f>IFERROR(__xludf.DUMMYFUNCTION("""COMPUTED_VALUE"""),"2013-14")</f>
        <v>2013-14</v>
      </c>
      <c r="D334" s="163" t="str">
        <f>IFERROR(__xludf.DUMMYFUNCTION("""COMPUTED_VALUE"""),"TOT")</f>
        <v>TOT</v>
      </c>
      <c r="E334" s="164" t="str">
        <f>IFERROR(__xludf.DUMMYFUNCTION("""COMPUTED_VALUE"""),"Movement Shooter")</f>
        <v>Movement Shooter</v>
      </c>
      <c r="F334" s="164">
        <f>IFERROR(__xludf.DUMMYFUNCTION("""COMPUTED_VALUE"""),1019.65666666667)</f>
        <v>1019.656667</v>
      </c>
      <c r="G334" s="163">
        <f>IFERROR(__xludf.DUMMYFUNCTION("""COMPUTED_VALUE"""),60.0)</f>
        <v>60</v>
      </c>
      <c r="H334" s="163" t="str">
        <f>IFERROR(__xludf.DUMMYFUNCTION("""COMPUTED_VALUE"""),"SF")</f>
        <v>SF</v>
      </c>
      <c r="I334" s="163">
        <f>IFERROR(__xludf.DUMMYFUNCTION("""COMPUTED_VALUE"""),23.0)</f>
        <v>23</v>
      </c>
      <c r="J334" s="165">
        <f>IFERROR(__xludf.DUMMYFUNCTION("""COMPUTED_VALUE"""),-1.22525360303844)</f>
        <v>-1.225253603</v>
      </c>
      <c r="K334" s="165">
        <f>IFERROR(__xludf.DUMMYFUNCTION("""COMPUTED_VALUE"""),-0.957535289064872)</f>
        <v>-0.9575352891</v>
      </c>
      <c r="L334" s="165">
        <f>IFERROR(__xludf.DUMMYFUNCTION("""COMPUTED_VALUE"""),-0.267718313973566)</f>
        <v>-0.267718314</v>
      </c>
      <c r="M334" s="166">
        <f t="shared" si="2"/>
        <v>0.7314319586</v>
      </c>
      <c r="N334" s="167">
        <f t="shared" si="3"/>
        <v>16.99427778</v>
      </c>
      <c r="O334" s="163">
        <f t="shared" ref="O334:Q334" si="338">rank(I334,I:I)</f>
        <v>2765</v>
      </c>
      <c r="P334" s="163">
        <f t="shared" si="338"/>
        <v>2780</v>
      </c>
      <c r="Q334" s="163">
        <f t="shared" si="338"/>
        <v>2754</v>
      </c>
      <c r="R334" s="163">
        <f>IFERROR(__xludf.DUMMYFUNCTION("RANK(M334,filter(M:M,C:C=C334))"),248.0)</f>
        <v>248</v>
      </c>
      <c r="S334" s="161" t="b">
        <f t="shared" si="5"/>
        <v>0</v>
      </c>
      <c r="T334" s="161" t="b">
        <f t="array" ref="T334">index('Query Tool'!B:B,match(H334,'Query Tool'!C:C,0))</f>
        <v>1</v>
      </c>
      <c r="U334" s="161" t="b">
        <f t="array" ref="U334">index('Query Tool'!B:B,match(C334,'Query Tool'!C:C,0))</f>
        <v>0</v>
      </c>
      <c r="V334" s="161" t="b">
        <f>F334&gt;='Query Tool'!C$32</f>
        <v>1</v>
      </c>
      <c r="W334" s="161" t="b">
        <f t="array" ref="W334">index(Dropdowns!B:B,match(I334,Dropdowns!A:A,0))</f>
        <v>1</v>
      </c>
      <c r="X334" s="161" t="b">
        <f t="array" ref="X334">index('Query Tool'!B:B,match(D334,'Query Tool'!C:C,0))</f>
        <v>1</v>
      </c>
      <c r="Y334" s="161" t="str">
        <f t="shared" si="6"/>
        <v>hamiljo02,2013-14</v>
      </c>
      <c r="Z334" s="168">
        <f t="array" ref="Z334">iferror(index(I:I,match($A334&amp;","&amp;index('Year Conversion'!$A:$A,match($C334,'Year Conversion'!$B:$B,0)),$Y:$Y,0))-I334,"")</f>
        <v>1</v>
      </c>
      <c r="AA334" s="168">
        <f t="array" ref="AA334">iferror(index(J:J,match($A334&amp;","&amp;index('Year Conversion'!$A:$A,match($C334,'Year Conversion'!$B:$B,0)),$Y:$Y,0))-J334,"")</f>
        <v>-1.5277456</v>
      </c>
      <c r="AB334" s="168">
        <f t="array" ref="AB334">iferror(index(K:K,match($A334&amp;","&amp;index('Year Conversion'!$A:$A,match($C334,'Year Conversion'!$B:$B,0)),$Y:$Y,0))-K334,"")</f>
        <v>-0.5571590039</v>
      </c>
      <c r="AC334" s="168" t="str">
        <f t="shared" si="7"/>
        <v>TOT,2013-14</v>
      </c>
    </row>
    <row r="335">
      <c r="A335" s="161" t="str">
        <f>IFERROR(__xludf.DUMMYFUNCTION("""COMPUTED_VALUE"""),"coleno01")</f>
        <v>coleno01</v>
      </c>
      <c r="B335" s="161" t="str">
        <f>IFERROR(__xludf.DUMMYFUNCTION("""COMPUTED_VALUE"""),"Norris Cole")</f>
        <v>Norris Cole</v>
      </c>
      <c r="C335" s="162" t="str">
        <f>IFERROR(__xludf.DUMMYFUNCTION("""COMPUTED_VALUE"""),"2013-14")</f>
        <v>2013-14</v>
      </c>
      <c r="D335" s="163" t="str">
        <f>IFERROR(__xludf.DUMMYFUNCTION("""COMPUTED_VALUE"""),"MIA")</f>
        <v>MIA</v>
      </c>
      <c r="E335" s="164" t="str">
        <f>IFERROR(__xludf.DUMMYFUNCTION("""COMPUTED_VALUE"""),"Primary Ball Handler")</f>
        <v>Primary Ball Handler</v>
      </c>
      <c r="F335" s="164">
        <f>IFERROR(__xludf.DUMMYFUNCTION("""COMPUTED_VALUE"""),2014.34)</f>
        <v>2014.34</v>
      </c>
      <c r="G335" s="163">
        <f>IFERROR(__xludf.DUMMYFUNCTION("""COMPUTED_VALUE"""),82.0)</f>
        <v>82</v>
      </c>
      <c r="H335" s="163" t="str">
        <f>IFERROR(__xludf.DUMMYFUNCTION("""COMPUTED_VALUE"""),"PG")</f>
        <v>PG</v>
      </c>
      <c r="I335" s="163">
        <f>IFERROR(__xludf.DUMMYFUNCTION("""COMPUTED_VALUE"""),25.0)</f>
        <v>25</v>
      </c>
      <c r="J335" s="165">
        <f>IFERROR(__xludf.DUMMYFUNCTION("""COMPUTED_VALUE"""),-2.24053174017445)</f>
        <v>-2.24053174</v>
      </c>
      <c r="K335" s="165">
        <f>IFERROR(__xludf.DUMMYFUNCTION("""COMPUTED_VALUE"""),-0.780230711997876)</f>
        <v>-0.780230712</v>
      </c>
      <c r="L335" s="165">
        <f>IFERROR(__xludf.DUMMYFUNCTION("""COMPUTED_VALUE"""),-1.46030102817658)</f>
        <v>-1.460301028</v>
      </c>
      <c r="M335" s="166">
        <f t="shared" si="2"/>
        <v>0.08373570293</v>
      </c>
      <c r="N335" s="167">
        <f t="shared" si="3"/>
        <v>24.56512195</v>
      </c>
      <c r="O335" s="163">
        <f t="shared" ref="O335:Q335" si="339">rank(I335,I:I)</f>
        <v>1995</v>
      </c>
      <c r="P335" s="163">
        <f t="shared" si="339"/>
        <v>3628</v>
      </c>
      <c r="Q335" s="163">
        <f t="shared" si="339"/>
        <v>2532</v>
      </c>
      <c r="R335" s="163">
        <f>IFERROR(__xludf.DUMMYFUNCTION("RANK(M335,filter(M:M,C:C=C335))"),362.0)</f>
        <v>362</v>
      </c>
      <c r="S335" s="161" t="b">
        <f t="shared" si="5"/>
        <v>0</v>
      </c>
      <c r="T335" s="161" t="b">
        <f t="array" ref="T335">index('Query Tool'!B:B,match(H335,'Query Tool'!C:C,0))</f>
        <v>1</v>
      </c>
      <c r="U335" s="161" t="b">
        <f t="array" ref="U335">index('Query Tool'!B:B,match(C335,'Query Tool'!C:C,0))</f>
        <v>0</v>
      </c>
      <c r="V335" s="161" t="b">
        <f>F335&gt;='Query Tool'!C$32</f>
        <v>1</v>
      </c>
      <c r="W335" s="161" t="b">
        <f t="array" ref="W335">index(Dropdowns!B:B,match(I335,Dropdowns!A:A,0))</f>
        <v>1</v>
      </c>
      <c r="X335" s="161" t="b">
        <f t="array" ref="X335">index('Query Tool'!B:B,match(D335,'Query Tool'!C:C,0))</f>
        <v>1</v>
      </c>
      <c r="Y335" s="161" t="str">
        <f t="shared" si="6"/>
        <v>coleno01,2013-14</v>
      </c>
      <c r="Z335" s="168">
        <f t="array" ref="Z335">iferror(index(I:I,match($A335&amp;","&amp;index('Year Conversion'!$A:$A,match($C335,'Year Conversion'!$B:$B,0)),$Y:$Y,0))-I335,"")</f>
        <v>1</v>
      </c>
      <c r="AA335" s="168">
        <f t="array" ref="AA335">iferror(index(J:J,match($A335&amp;","&amp;index('Year Conversion'!$A:$A,match($C335,'Year Conversion'!$B:$B,0)),$Y:$Y,0))-J335,"")</f>
        <v>-0.2067147148</v>
      </c>
      <c r="AB335" s="168">
        <f t="array" ref="AB335">iferror(index(K:K,match($A335&amp;","&amp;index('Year Conversion'!$A:$A,match($C335,'Year Conversion'!$B:$B,0)),$Y:$Y,0))-K335,"")</f>
        <v>0.01651509416</v>
      </c>
      <c r="AC335" s="168" t="str">
        <f t="shared" si="7"/>
        <v>MIA,2013-14</v>
      </c>
    </row>
    <row r="336">
      <c r="A336" s="161" t="str">
        <f>IFERROR(__xludf.DUMMYFUNCTION("""COMPUTED_VALUE"""),"josepco01")</f>
        <v>josepco01</v>
      </c>
      <c r="B336" s="161" t="str">
        <f>IFERROR(__xludf.DUMMYFUNCTION("""COMPUTED_VALUE"""),"Cory Joseph")</f>
        <v>Cory Joseph</v>
      </c>
      <c r="C336" s="162" t="str">
        <f>IFERROR(__xludf.DUMMYFUNCTION("""COMPUTED_VALUE"""),"2013-14")</f>
        <v>2013-14</v>
      </c>
      <c r="D336" s="163" t="str">
        <f>IFERROR(__xludf.DUMMYFUNCTION("""COMPUTED_VALUE"""),"SAS")</f>
        <v>SAS</v>
      </c>
      <c r="E336" s="164" t="str">
        <f>IFERROR(__xludf.DUMMYFUNCTION("""COMPUTED_VALUE"""),"Secondary Ball Handler")</f>
        <v>Secondary Ball Handler</v>
      </c>
      <c r="F336" s="164">
        <f>IFERROR(__xludf.DUMMYFUNCTION("""COMPUTED_VALUE"""),935.98)</f>
        <v>935.98</v>
      </c>
      <c r="G336" s="163">
        <f>IFERROR(__xludf.DUMMYFUNCTION("""COMPUTED_VALUE"""),68.0)</f>
        <v>68</v>
      </c>
      <c r="H336" s="163" t="str">
        <f>IFERROR(__xludf.DUMMYFUNCTION("""COMPUTED_VALUE"""),"SG")</f>
        <v>SG</v>
      </c>
      <c r="I336" s="163">
        <f>IFERROR(__xludf.DUMMYFUNCTION("""COMPUTED_VALUE"""),22.0)</f>
        <v>22</v>
      </c>
      <c r="J336" s="165">
        <f>IFERROR(__xludf.DUMMYFUNCTION("""COMPUTED_VALUE"""),-1.19326021730116)</f>
        <v>-1.193260217</v>
      </c>
      <c r="K336" s="165">
        <f>IFERROR(__xludf.DUMMYFUNCTION("""COMPUTED_VALUE"""),-0.446939840393826)</f>
        <v>-0.4469398404</v>
      </c>
      <c r="L336" s="165">
        <f>IFERROR(__xludf.DUMMYFUNCTION("""COMPUTED_VALUE"""),-0.746320376907332)</f>
        <v>-0.7463203769</v>
      </c>
      <c r="M336" s="166">
        <f t="shared" si="2"/>
        <v>0.6914742245</v>
      </c>
      <c r="N336" s="167">
        <f t="shared" si="3"/>
        <v>13.76441176</v>
      </c>
      <c r="O336" s="163">
        <f t="shared" ref="O336:Q336" si="340">rank(I336,I:I)</f>
        <v>3178</v>
      </c>
      <c r="P336" s="163">
        <f t="shared" si="340"/>
        <v>2737</v>
      </c>
      <c r="Q336" s="163">
        <f t="shared" si="340"/>
        <v>2026</v>
      </c>
      <c r="R336" s="163">
        <f>IFERROR(__xludf.DUMMYFUNCTION("RANK(M336,filter(M:M,C:C=C336))"),252.0)</f>
        <v>252</v>
      </c>
      <c r="S336" s="161" t="b">
        <f t="shared" si="5"/>
        <v>0</v>
      </c>
      <c r="T336" s="161" t="b">
        <f t="array" ref="T336">index('Query Tool'!B:B,match(H336,'Query Tool'!C:C,0))</f>
        <v>1</v>
      </c>
      <c r="U336" s="161" t="b">
        <f t="array" ref="U336">index('Query Tool'!B:B,match(C336,'Query Tool'!C:C,0))</f>
        <v>0</v>
      </c>
      <c r="V336" s="161" t="b">
        <f>F336&gt;='Query Tool'!C$32</f>
        <v>1</v>
      </c>
      <c r="W336" s="161" t="b">
        <f t="array" ref="W336">index(Dropdowns!B:B,match(I336,Dropdowns!A:A,0))</f>
        <v>1</v>
      </c>
      <c r="X336" s="161" t="b">
        <f t="array" ref="X336">index('Query Tool'!B:B,match(D336,'Query Tool'!C:C,0))</f>
        <v>1</v>
      </c>
      <c r="Y336" s="161" t="str">
        <f t="shared" si="6"/>
        <v>josepco01,2013-14</v>
      </c>
      <c r="Z336" s="168">
        <f t="array" ref="Z336">iferror(index(I:I,match($A336&amp;","&amp;index('Year Conversion'!$A:$A,match($C336,'Year Conversion'!$B:$B,0)),$Y:$Y,0))-I336,"")</f>
        <v>1</v>
      </c>
      <c r="AA336" s="168">
        <f t="array" ref="AA336">iferror(index(J:J,match($A336&amp;","&amp;index('Year Conversion'!$A:$A,match($C336,'Year Conversion'!$B:$B,0)),$Y:$Y,0))-J336,"")</f>
        <v>1.806625037</v>
      </c>
      <c r="AB336" s="168">
        <f t="array" ref="AB336">iferror(index(K:K,match($A336&amp;","&amp;index('Year Conversion'!$A:$A,match($C336,'Year Conversion'!$B:$B,0)),$Y:$Y,0))-K336,"")</f>
        <v>0.4346122645</v>
      </c>
      <c r="AC336" s="168" t="str">
        <f t="shared" si="7"/>
        <v>SAS,2013-14</v>
      </c>
    </row>
    <row r="337">
      <c r="A337" s="161" t="str">
        <f>IFERROR(__xludf.DUMMYFUNCTION("""COMPUTED_VALUE"""),"butleji01")</f>
        <v>butleji01</v>
      </c>
      <c r="B337" s="161" t="str">
        <f>IFERROR(__xludf.DUMMYFUNCTION("""COMPUTED_VALUE"""),"Jimmy Butler")</f>
        <v>Jimmy Butler</v>
      </c>
      <c r="C337" s="162" t="str">
        <f>IFERROR(__xludf.DUMMYFUNCTION("""COMPUTED_VALUE"""),"2013-14")</f>
        <v>2013-14</v>
      </c>
      <c r="D337" s="163" t="str">
        <f>IFERROR(__xludf.DUMMYFUNCTION("""COMPUTED_VALUE"""),"CHI")</f>
        <v>CHI</v>
      </c>
      <c r="E337" s="164" t="str">
        <f>IFERROR(__xludf.DUMMYFUNCTION("""COMPUTED_VALUE"""),"Stationary Shooter")</f>
        <v>Stationary Shooter</v>
      </c>
      <c r="F337" s="164">
        <f>IFERROR(__xludf.DUMMYFUNCTION("""COMPUTED_VALUE"""),2590.49333333333)</f>
        <v>2590.493333</v>
      </c>
      <c r="G337" s="163">
        <f>IFERROR(__xludf.DUMMYFUNCTION("""COMPUTED_VALUE"""),67.0)</f>
        <v>67</v>
      </c>
      <c r="H337" s="163" t="str">
        <f>IFERROR(__xludf.DUMMYFUNCTION("""COMPUTED_VALUE"""),"SG")</f>
        <v>SG</v>
      </c>
      <c r="I337" s="163">
        <f>IFERROR(__xludf.DUMMYFUNCTION("""COMPUTED_VALUE"""),24.0)</f>
        <v>24</v>
      </c>
      <c r="J337" s="165">
        <f>IFERROR(__xludf.DUMMYFUNCTION("""COMPUTED_VALUE"""),2.11971343959573)</f>
        <v>2.11971344</v>
      </c>
      <c r="K337" s="165">
        <f>IFERROR(__xludf.DUMMYFUNCTION("""COMPUTED_VALUE"""),0.473795096592934)</f>
        <v>0.4737950966</v>
      </c>
      <c r="L337" s="165">
        <f>IFERROR(__xludf.DUMMYFUNCTION("""COMPUTED_VALUE"""),1.64591834300279)</f>
        <v>1.645918343</v>
      </c>
      <c r="M337" s="166">
        <f t="shared" si="2"/>
        <v>7.672787089</v>
      </c>
      <c r="N337" s="167">
        <f t="shared" si="3"/>
        <v>38.6640796</v>
      </c>
      <c r="O337" s="163">
        <f t="shared" ref="O337:Q337" si="341">rank(I337,I:I)</f>
        <v>2361</v>
      </c>
      <c r="P337" s="163">
        <f t="shared" si="341"/>
        <v>289</v>
      </c>
      <c r="Q337" s="163">
        <f t="shared" si="341"/>
        <v>781</v>
      </c>
      <c r="R337" s="163">
        <f>IFERROR(__xludf.DUMMYFUNCTION("RANK(M337,filter(M:M,C:C=C337))"),31.0)</f>
        <v>31</v>
      </c>
      <c r="S337" s="161" t="b">
        <f t="shared" si="5"/>
        <v>0</v>
      </c>
      <c r="T337" s="161" t="b">
        <f t="array" ref="T337">index('Query Tool'!B:B,match(H337,'Query Tool'!C:C,0))</f>
        <v>1</v>
      </c>
      <c r="U337" s="161" t="b">
        <f t="array" ref="U337">index('Query Tool'!B:B,match(C337,'Query Tool'!C:C,0))</f>
        <v>0</v>
      </c>
      <c r="V337" s="161" t="b">
        <f>F337&gt;='Query Tool'!C$32</f>
        <v>1</v>
      </c>
      <c r="W337" s="161" t="b">
        <f t="array" ref="W337">index(Dropdowns!B:B,match(I337,Dropdowns!A:A,0))</f>
        <v>1</v>
      </c>
      <c r="X337" s="161" t="b">
        <f t="array" ref="X337">index('Query Tool'!B:B,match(D337,'Query Tool'!C:C,0))</f>
        <v>1</v>
      </c>
      <c r="Y337" s="161" t="str">
        <f t="shared" si="6"/>
        <v>butleji01,2013-14</v>
      </c>
      <c r="Z337" s="168">
        <f t="array" ref="Z337">iferror(index(I:I,match($A337&amp;","&amp;index('Year Conversion'!$A:$A,match($C337,'Year Conversion'!$B:$B,0)),$Y:$Y,0))-I337,"")</f>
        <v>1</v>
      </c>
      <c r="AA337" s="168">
        <f t="array" ref="AA337">iferror(index(J:J,match($A337&amp;","&amp;index('Year Conversion'!$A:$A,match($C337,'Year Conversion'!$B:$B,0)),$Y:$Y,0))-J337,"")</f>
        <v>0.364567123</v>
      </c>
      <c r="AB337" s="168">
        <f t="array" ref="AB337">iferror(index(K:K,match($A337&amp;","&amp;index('Year Conversion'!$A:$A,match($C337,'Year Conversion'!$B:$B,0)),$Y:$Y,0))-K337,"")</f>
        <v>1.880701289</v>
      </c>
      <c r="AC337" s="168" t="str">
        <f t="shared" si="7"/>
        <v>CHI,2013-14</v>
      </c>
    </row>
    <row r="338">
      <c r="A338" s="161" t="str">
        <f>IFERROR(__xludf.DUMMYFUNCTION("""COMPUTED_VALUE"""),"singlky01")</f>
        <v>singlky01</v>
      </c>
      <c r="B338" s="161" t="str">
        <f>IFERROR(__xludf.DUMMYFUNCTION("""COMPUTED_VALUE"""),"Kyle Singler")</f>
        <v>Kyle Singler</v>
      </c>
      <c r="C338" s="162" t="str">
        <f>IFERROR(__xludf.DUMMYFUNCTION("""COMPUTED_VALUE"""),"2013-14")</f>
        <v>2013-14</v>
      </c>
      <c r="D338" s="163" t="str">
        <f>IFERROR(__xludf.DUMMYFUNCTION("""COMPUTED_VALUE"""),"DET")</f>
        <v>DET</v>
      </c>
      <c r="E338" s="164" t="str">
        <f>IFERROR(__xludf.DUMMYFUNCTION("""COMPUTED_VALUE"""),"Athletic Finisher")</f>
        <v>Athletic Finisher</v>
      </c>
      <c r="F338" s="164">
        <f>IFERROR(__xludf.DUMMYFUNCTION("""COMPUTED_VALUE"""),2337.415)</f>
        <v>2337.415</v>
      </c>
      <c r="G338" s="163">
        <f>IFERROR(__xludf.DUMMYFUNCTION("""COMPUTED_VALUE"""),82.0)</f>
        <v>82</v>
      </c>
      <c r="H338" s="163" t="str">
        <f>IFERROR(__xludf.DUMMYFUNCTION("""COMPUTED_VALUE"""),"SF")</f>
        <v>SF</v>
      </c>
      <c r="I338" s="163">
        <f>IFERROR(__xludf.DUMMYFUNCTION("""COMPUTED_VALUE"""),25.0)</f>
        <v>25</v>
      </c>
      <c r="J338" s="165">
        <f>IFERROR(__xludf.DUMMYFUNCTION("""COMPUTED_VALUE"""),-1.98672241343508)</f>
        <v>-1.986722413</v>
      </c>
      <c r="K338" s="165">
        <f>IFERROR(__xludf.DUMMYFUNCTION("""COMPUTED_VALUE"""),-0.823493986127569)</f>
        <v>-0.8234939861</v>
      </c>
      <c r="L338" s="165">
        <f>IFERROR(__xludf.DUMMYFUNCTION("""COMPUTED_VALUE"""),-1.16322842730751)</f>
        <v>-1.163228427</v>
      </c>
      <c r="M338" s="166">
        <f t="shared" si="2"/>
        <v>0.4897704557</v>
      </c>
      <c r="N338" s="167">
        <f t="shared" si="3"/>
        <v>28.50506098</v>
      </c>
      <c r="O338" s="163">
        <f t="shared" ref="O338:Q338" si="342">rank(I338,I:I)</f>
        <v>1995</v>
      </c>
      <c r="P338" s="163">
        <f t="shared" si="342"/>
        <v>3471</v>
      </c>
      <c r="Q338" s="163">
        <f t="shared" si="342"/>
        <v>2586</v>
      </c>
      <c r="R338" s="163">
        <f>IFERROR(__xludf.DUMMYFUNCTION("RANK(M338,filter(M:M,C:C=C338))"),274.0)</f>
        <v>274</v>
      </c>
      <c r="S338" s="161" t="b">
        <f t="shared" si="5"/>
        <v>0</v>
      </c>
      <c r="T338" s="161" t="b">
        <f t="array" ref="T338">index('Query Tool'!B:B,match(H338,'Query Tool'!C:C,0))</f>
        <v>1</v>
      </c>
      <c r="U338" s="161" t="b">
        <f t="array" ref="U338">index('Query Tool'!B:B,match(C338,'Query Tool'!C:C,0))</f>
        <v>0</v>
      </c>
      <c r="V338" s="161" t="b">
        <f>F338&gt;='Query Tool'!C$32</f>
        <v>1</v>
      </c>
      <c r="W338" s="161" t="b">
        <f t="array" ref="W338">index(Dropdowns!B:B,match(I338,Dropdowns!A:A,0))</f>
        <v>1</v>
      </c>
      <c r="X338" s="161" t="b">
        <f t="array" ref="X338">index('Query Tool'!B:B,match(D338,'Query Tool'!C:C,0))</f>
        <v>1</v>
      </c>
      <c r="Y338" s="161" t="str">
        <f t="shared" si="6"/>
        <v>singlky01,2013-14</v>
      </c>
      <c r="Z338" s="168">
        <f t="array" ref="Z338">iferror(index(I:I,match($A338&amp;","&amp;index('Year Conversion'!$A:$A,match($C338,'Year Conversion'!$B:$B,0)),$Y:$Y,0))-I338,"")</f>
        <v>1</v>
      </c>
      <c r="AA338" s="168">
        <f t="array" ref="AA338">iferror(index(J:J,match($A338&amp;","&amp;index('Year Conversion'!$A:$A,match($C338,'Year Conversion'!$B:$B,0)),$Y:$Y,0))-J338,"")</f>
        <v>-0.543233128</v>
      </c>
      <c r="AB338" s="168">
        <f t="array" ref="AB338">iferror(index(K:K,match($A338&amp;","&amp;index('Year Conversion'!$A:$A,match($C338,'Year Conversion'!$B:$B,0)),$Y:$Y,0))-K338,"")</f>
        <v>-0.7296359046</v>
      </c>
      <c r="AC338" s="168" t="str">
        <f t="shared" si="7"/>
        <v>DET,2013-14</v>
      </c>
    </row>
    <row r="339">
      <c r="A339" s="161" t="str">
        <f>IFERROR(__xludf.DUMMYFUNCTION("""COMPUTED_VALUE"""),"macksh01")</f>
        <v>macksh01</v>
      </c>
      <c r="B339" s="161" t="str">
        <f>IFERROR(__xludf.DUMMYFUNCTION("""COMPUTED_VALUE"""),"Shelvin Mack")</f>
        <v>Shelvin Mack</v>
      </c>
      <c r="C339" s="162" t="str">
        <f>IFERROR(__xludf.DUMMYFUNCTION("""COMPUTED_VALUE"""),"2013-14")</f>
        <v>2013-14</v>
      </c>
      <c r="D339" s="163" t="str">
        <f>IFERROR(__xludf.DUMMYFUNCTION("""COMPUTED_VALUE"""),"ATL")</f>
        <v>ATL</v>
      </c>
      <c r="E339" s="164" t="str">
        <f>IFERROR(__xludf.DUMMYFUNCTION("""COMPUTED_VALUE"""),"Primary Ball Handler")</f>
        <v>Primary Ball Handler</v>
      </c>
      <c r="F339" s="164">
        <f>IFERROR(__xludf.DUMMYFUNCTION("""COMPUTED_VALUE"""),1490.40166666667)</f>
        <v>1490.401667</v>
      </c>
      <c r="G339" s="163">
        <f>IFERROR(__xludf.DUMMYFUNCTION("""COMPUTED_VALUE"""),73.0)</f>
        <v>73</v>
      </c>
      <c r="H339" s="163" t="str">
        <f>IFERROR(__xludf.DUMMYFUNCTION("""COMPUTED_VALUE"""),"PG")</f>
        <v>PG</v>
      </c>
      <c r="I339" s="163">
        <f>IFERROR(__xludf.DUMMYFUNCTION("""COMPUTED_VALUE"""),23.0)</f>
        <v>23</v>
      </c>
      <c r="J339" s="165">
        <f>IFERROR(__xludf.DUMMYFUNCTION("""COMPUTED_VALUE"""),-0.94212177216477)</f>
        <v>-0.9421217722</v>
      </c>
      <c r="K339" s="165">
        <f>IFERROR(__xludf.DUMMYFUNCTION("""COMPUTED_VALUE"""),-0.0415527364004059)</f>
        <v>-0.0415527364</v>
      </c>
      <c r="L339" s="165">
        <f>IFERROR(__xludf.DUMMYFUNCTION("""COMPUTED_VALUE"""),-0.900569035764364)</f>
        <v>-0.9005690358</v>
      </c>
      <c r="M339" s="166">
        <f t="shared" si="2"/>
        <v>1.352211309</v>
      </c>
      <c r="N339" s="167">
        <f t="shared" si="3"/>
        <v>20.41646119</v>
      </c>
      <c r="O339" s="163">
        <f t="shared" ref="O339:Q339" si="343">rank(I339,I:I)</f>
        <v>2765</v>
      </c>
      <c r="P339" s="163">
        <f t="shared" si="343"/>
        <v>2441</v>
      </c>
      <c r="Q339" s="163">
        <f t="shared" si="343"/>
        <v>1258</v>
      </c>
      <c r="R339" s="163">
        <f>IFERROR(__xludf.DUMMYFUNCTION("RANK(M339,filter(M:M,C:C=C339))"),196.0)</f>
        <v>196</v>
      </c>
      <c r="S339" s="161" t="b">
        <f t="shared" si="5"/>
        <v>0</v>
      </c>
      <c r="T339" s="161" t="b">
        <f t="array" ref="T339">index('Query Tool'!B:B,match(H339,'Query Tool'!C:C,0))</f>
        <v>1</v>
      </c>
      <c r="U339" s="161" t="b">
        <f t="array" ref="U339">index('Query Tool'!B:B,match(C339,'Query Tool'!C:C,0))</f>
        <v>0</v>
      </c>
      <c r="V339" s="161" t="b">
        <f>F339&gt;='Query Tool'!C$32</f>
        <v>1</v>
      </c>
      <c r="W339" s="161" t="b">
        <f t="array" ref="W339">index(Dropdowns!B:B,match(I339,Dropdowns!A:A,0))</f>
        <v>1</v>
      </c>
      <c r="X339" s="161" t="b">
        <f t="array" ref="X339">index('Query Tool'!B:B,match(D339,'Query Tool'!C:C,0))</f>
        <v>1</v>
      </c>
      <c r="Y339" s="161" t="str">
        <f t="shared" si="6"/>
        <v>macksh01,2013-14</v>
      </c>
      <c r="Z339" s="168">
        <f t="array" ref="Z339">iferror(index(I:I,match($A339&amp;","&amp;index('Year Conversion'!$A:$A,match($C339,'Year Conversion'!$B:$B,0)),$Y:$Y,0))-I339,"")</f>
        <v>1</v>
      </c>
      <c r="AA339" s="168">
        <f t="array" ref="AA339">iferror(index(J:J,match($A339&amp;","&amp;index('Year Conversion'!$A:$A,match($C339,'Year Conversion'!$B:$B,0)),$Y:$Y,0))-J339,"")</f>
        <v>0.005276186728</v>
      </c>
      <c r="AB339" s="168">
        <f t="array" ref="AB339">iferror(index(K:K,match($A339&amp;","&amp;index('Year Conversion'!$A:$A,match($C339,'Year Conversion'!$B:$B,0)),$Y:$Y,0))-K339,"")</f>
        <v>0.2482004919</v>
      </c>
      <c r="AC339" s="168" t="str">
        <f t="shared" si="7"/>
        <v>ATL,2013-14</v>
      </c>
    </row>
    <row r="340">
      <c r="A340" s="161" t="str">
        <f>IFERROR(__xludf.DUMMYFUNCTION("""COMPUTED_VALUE"""),"parsoch01")</f>
        <v>parsoch01</v>
      </c>
      <c r="B340" s="161" t="str">
        <f>IFERROR(__xludf.DUMMYFUNCTION("""COMPUTED_VALUE"""),"Chandler Parsons")</f>
        <v>Chandler Parsons</v>
      </c>
      <c r="C340" s="162" t="str">
        <f>IFERROR(__xludf.DUMMYFUNCTION("""COMPUTED_VALUE"""),"2013-14")</f>
        <v>2013-14</v>
      </c>
      <c r="D340" s="163" t="str">
        <f>IFERROR(__xludf.DUMMYFUNCTION("""COMPUTED_VALUE"""),"HOU")</f>
        <v>HOU</v>
      </c>
      <c r="E340" s="164" t="str">
        <f>IFERROR(__xludf.DUMMYFUNCTION("""COMPUTED_VALUE"""),"Movement Shooter")</f>
        <v>Movement Shooter</v>
      </c>
      <c r="F340" s="164">
        <f>IFERROR(__xludf.DUMMYFUNCTION("""COMPUTED_VALUE"""),2782.57833333333)</f>
        <v>2782.578333</v>
      </c>
      <c r="G340" s="163">
        <f>IFERROR(__xludf.DUMMYFUNCTION("""COMPUTED_VALUE"""),74.0)</f>
        <v>74</v>
      </c>
      <c r="H340" s="163" t="str">
        <f>IFERROR(__xludf.DUMMYFUNCTION("""COMPUTED_VALUE"""),"SF")</f>
        <v>SF</v>
      </c>
      <c r="I340" s="163">
        <f>IFERROR(__xludf.DUMMYFUNCTION("""COMPUTED_VALUE"""),25.0)</f>
        <v>25</v>
      </c>
      <c r="J340" s="165">
        <f>IFERROR(__xludf.DUMMYFUNCTION("""COMPUTED_VALUE"""),1.29048195613448)</f>
        <v>1.290481956</v>
      </c>
      <c r="K340" s="165">
        <f>IFERROR(__xludf.DUMMYFUNCTION("""COMPUTED_VALUE"""),1.40801753721661)</f>
        <v>1.408017537</v>
      </c>
      <c r="L340" s="165">
        <f>IFERROR(__xludf.DUMMYFUNCTION("""COMPUTED_VALUE"""),-0.117535581082133)</f>
        <v>-0.1175355811</v>
      </c>
      <c r="M340" s="166">
        <f t="shared" si="2"/>
        <v>6.705149064</v>
      </c>
      <c r="N340" s="167">
        <f t="shared" si="3"/>
        <v>37.60240991</v>
      </c>
      <c r="O340" s="163">
        <f t="shared" ref="O340:Q340" si="344">rank(I340,I:I)</f>
        <v>1995</v>
      </c>
      <c r="P340" s="163">
        <f t="shared" si="344"/>
        <v>531</v>
      </c>
      <c r="Q340" s="163">
        <f t="shared" si="344"/>
        <v>349</v>
      </c>
      <c r="R340" s="163">
        <f>IFERROR(__xludf.DUMMYFUNCTION("RANK(M340,filter(M:M,C:C=C340))"),42.0)</f>
        <v>42</v>
      </c>
      <c r="S340" s="161" t="b">
        <f t="shared" si="5"/>
        <v>0</v>
      </c>
      <c r="T340" s="161" t="b">
        <f t="array" ref="T340">index('Query Tool'!B:B,match(H340,'Query Tool'!C:C,0))</f>
        <v>1</v>
      </c>
      <c r="U340" s="161" t="b">
        <f t="array" ref="U340">index('Query Tool'!B:B,match(C340,'Query Tool'!C:C,0))</f>
        <v>0</v>
      </c>
      <c r="V340" s="161" t="b">
        <f>F340&gt;='Query Tool'!C$32</f>
        <v>1</v>
      </c>
      <c r="W340" s="161" t="b">
        <f t="array" ref="W340">index(Dropdowns!B:B,match(I340,Dropdowns!A:A,0))</f>
        <v>1</v>
      </c>
      <c r="X340" s="161" t="b">
        <f t="array" ref="X340">index('Query Tool'!B:B,match(D340,'Query Tool'!C:C,0))</f>
        <v>1</v>
      </c>
      <c r="Y340" s="161" t="str">
        <f t="shared" si="6"/>
        <v>parsoch01,2013-14</v>
      </c>
      <c r="Z340" s="168">
        <f t="array" ref="Z340">iferror(index(I:I,match($A340&amp;","&amp;index('Year Conversion'!$A:$A,match($C340,'Year Conversion'!$B:$B,0)),$Y:$Y,0))-I340,"")</f>
        <v>1</v>
      </c>
      <c r="AA340" s="168">
        <f t="array" ref="AA340">iferror(index(J:J,match($A340&amp;","&amp;index('Year Conversion'!$A:$A,match($C340,'Year Conversion'!$B:$B,0)),$Y:$Y,0))-J340,"")</f>
        <v>-0.04632664733</v>
      </c>
      <c r="AB340" s="168">
        <f t="array" ref="AB340">iferror(index(K:K,match($A340&amp;","&amp;index('Year Conversion'!$A:$A,match($C340,'Year Conversion'!$B:$B,0)),$Y:$Y,0))-K340,"")</f>
        <v>0.1316085597</v>
      </c>
      <c r="AC340" s="168" t="str">
        <f t="shared" si="7"/>
        <v>HOU,2013-14</v>
      </c>
    </row>
    <row r="341">
      <c r="A341" s="161" t="str">
        <f>IFERROR(__xludf.DUMMYFUNCTION("""COMPUTED_VALUE"""),"tylerje01")</f>
        <v>tylerje01</v>
      </c>
      <c r="B341" s="161" t="str">
        <f>IFERROR(__xludf.DUMMYFUNCTION("""COMPUTED_VALUE"""),"Jeremy Tyler")</f>
        <v>Jeremy Tyler</v>
      </c>
      <c r="C341" s="162" t="str">
        <f>IFERROR(__xludf.DUMMYFUNCTION("""COMPUTED_VALUE"""),"2013-14")</f>
        <v>2013-14</v>
      </c>
      <c r="D341" s="163" t="str">
        <f>IFERROR(__xludf.DUMMYFUNCTION("""COMPUTED_VALUE"""),"NYK")</f>
        <v>NYK</v>
      </c>
      <c r="E341" s="164" t="str">
        <f>IFERROR(__xludf.DUMMYFUNCTION("""COMPUTED_VALUE"""),"Post Scorer")</f>
        <v>Post Scorer</v>
      </c>
      <c r="F341" s="164">
        <f>IFERROR(__xludf.DUMMYFUNCTION("""COMPUTED_VALUE"""),397.521666666667)</f>
        <v>397.5216667</v>
      </c>
      <c r="G341" s="163">
        <f>IFERROR(__xludf.DUMMYFUNCTION("""COMPUTED_VALUE"""),41.0)</f>
        <v>41</v>
      </c>
      <c r="H341" s="163" t="str">
        <f>IFERROR(__xludf.DUMMYFUNCTION("""COMPUTED_VALUE"""),"C")</f>
        <v>C</v>
      </c>
      <c r="I341" s="163">
        <f>IFERROR(__xludf.DUMMYFUNCTION("""COMPUTED_VALUE"""),22.0)</f>
        <v>22</v>
      </c>
      <c r="J341" s="165">
        <f>IFERROR(__xludf.DUMMYFUNCTION("""COMPUTED_VALUE"""),-1.60651679009403)</f>
        <v>-1.60651679</v>
      </c>
      <c r="K341" s="165">
        <f>IFERROR(__xludf.DUMMYFUNCTION("""COMPUTED_VALUE"""),-1.95647502627182)</f>
        <v>-1.956475026</v>
      </c>
      <c r="L341" s="165">
        <f>IFERROR(__xludf.DUMMYFUNCTION("""COMPUTED_VALUE"""),0.349958236177783)</f>
        <v>0.3499582362</v>
      </c>
      <c r="M341" s="166">
        <f t="shared" si="2"/>
        <v>0.1838283575</v>
      </c>
      <c r="N341" s="167">
        <f t="shared" si="3"/>
        <v>9.695650407</v>
      </c>
      <c r="O341" s="163">
        <f t="shared" ref="O341:Q341" si="345">rank(I341,I:I)</f>
        <v>3178</v>
      </c>
      <c r="P341" s="163">
        <f t="shared" si="345"/>
        <v>3155</v>
      </c>
      <c r="Q341" s="163">
        <f t="shared" si="345"/>
        <v>3693</v>
      </c>
      <c r="R341" s="163">
        <f>IFERROR(__xludf.DUMMYFUNCTION("RANK(M341,filter(M:M,C:C=C341))"),330.0)</f>
        <v>330</v>
      </c>
      <c r="S341" s="161" t="b">
        <f t="shared" si="5"/>
        <v>0</v>
      </c>
      <c r="T341" s="161" t="b">
        <f t="array" ref="T341">index('Query Tool'!B:B,match(H341,'Query Tool'!C:C,0))</f>
        <v>1</v>
      </c>
      <c r="U341" s="161" t="b">
        <f t="array" ref="U341">index('Query Tool'!B:B,match(C341,'Query Tool'!C:C,0))</f>
        <v>0</v>
      </c>
      <c r="V341" s="161" t="b">
        <f>F341&gt;='Query Tool'!C$32</f>
        <v>0</v>
      </c>
      <c r="W341" s="161" t="b">
        <f t="array" ref="W341">index(Dropdowns!B:B,match(I341,Dropdowns!A:A,0))</f>
        <v>1</v>
      </c>
      <c r="X341" s="161" t="b">
        <f t="array" ref="X341">index('Query Tool'!B:B,match(D341,'Query Tool'!C:C,0))</f>
        <v>1</v>
      </c>
      <c r="Y341" s="161" t="str">
        <f t="shared" si="6"/>
        <v>tylerje01,2013-14</v>
      </c>
      <c r="Z341" s="168" t="str">
        <f t="array" ref="Z341">iferror(index(I:I,match($A341&amp;","&amp;index('Year Conversion'!$A:$A,match($C341,'Year Conversion'!$B:$B,0)),$Y:$Y,0))-I341,"")</f>
        <v/>
      </c>
      <c r="AA341" s="168" t="str">
        <f t="array" ref="AA341">iferror(index(J:J,match($A341&amp;","&amp;index('Year Conversion'!$A:$A,match($C341,'Year Conversion'!$B:$B,0)),$Y:$Y,0))-J341,"")</f>
        <v/>
      </c>
      <c r="AB341" s="168" t="str">
        <f t="array" ref="AB341">iferror(index(K:K,match($A341&amp;","&amp;index('Year Conversion'!$A:$A,match($C341,'Year Conversion'!$B:$B,0)),$Y:$Y,0))-K341,"")</f>
        <v/>
      </c>
      <c r="AC341" s="168" t="str">
        <f t="shared" si="7"/>
        <v>NYK,2013-14</v>
      </c>
    </row>
    <row r="342">
      <c r="A342" s="161" t="str">
        <f>IFERROR(__xludf.DUMMYFUNCTION("""COMPUTED_VALUE"""),"leuerjo01")</f>
        <v>leuerjo01</v>
      </c>
      <c r="B342" s="161" t="str">
        <f>IFERROR(__xludf.DUMMYFUNCTION("""COMPUTED_VALUE"""),"Jon Leuer")</f>
        <v>Jon Leuer</v>
      </c>
      <c r="C342" s="162" t="str">
        <f>IFERROR(__xludf.DUMMYFUNCTION("""COMPUTED_VALUE"""),"2013-14")</f>
        <v>2013-14</v>
      </c>
      <c r="D342" s="163" t="str">
        <f>IFERROR(__xludf.DUMMYFUNCTION("""COMPUTED_VALUE"""),"MEM")</f>
        <v>MEM</v>
      </c>
      <c r="E342" s="164" t="str">
        <f>IFERROR(__xludf.DUMMYFUNCTION("""COMPUTED_VALUE"""),"Roll + Cut Big")</f>
        <v>Roll + Cut Big</v>
      </c>
      <c r="F342" s="164">
        <f>IFERROR(__xludf.DUMMYFUNCTION("""COMPUTED_VALUE"""),641.656666666667)</f>
        <v>641.6566667</v>
      </c>
      <c r="G342" s="163">
        <f>IFERROR(__xludf.DUMMYFUNCTION("""COMPUTED_VALUE"""),49.0)</f>
        <v>49</v>
      </c>
      <c r="H342" s="163" t="str">
        <f>IFERROR(__xludf.DUMMYFUNCTION("""COMPUTED_VALUE"""),"PF")</f>
        <v>PF</v>
      </c>
      <c r="I342" s="163">
        <f>IFERROR(__xludf.DUMMYFUNCTION("""COMPUTED_VALUE"""),24.0)</f>
        <v>24</v>
      </c>
      <c r="J342" s="165">
        <f>IFERROR(__xludf.DUMMYFUNCTION("""COMPUTED_VALUE"""),-0.265976100029223)</f>
        <v>-0.2659761</v>
      </c>
      <c r="K342" s="165">
        <f>IFERROR(__xludf.DUMMYFUNCTION("""COMPUTED_VALUE"""),-0.666548427320532)</f>
        <v>-0.6665484273</v>
      </c>
      <c r="L342" s="165">
        <f>IFERROR(__xludf.DUMMYFUNCTION("""COMPUTED_VALUE"""),0.400572327291309)</f>
        <v>0.4005723273</v>
      </c>
      <c r="M342" s="166">
        <f t="shared" si="2"/>
        <v>0.8741711683</v>
      </c>
      <c r="N342" s="167">
        <f t="shared" si="3"/>
        <v>13.09503401</v>
      </c>
      <c r="O342" s="163">
        <f t="shared" ref="O342:Q342" si="346">rank(I342,I:I)</f>
        <v>2361</v>
      </c>
      <c r="P342" s="163">
        <f t="shared" si="346"/>
        <v>1577</v>
      </c>
      <c r="Q342" s="163">
        <f t="shared" si="346"/>
        <v>2367</v>
      </c>
      <c r="R342" s="163">
        <f>IFERROR(__xludf.DUMMYFUNCTION("RANK(M342,filter(M:M,C:C=C342))"),236.0)</f>
        <v>236</v>
      </c>
      <c r="S342" s="161" t="b">
        <f t="shared" si="5"/>
        <v>0</v>
      </c>
      <c r="T342" s="161" t="b">
        <f t="array" ref="T342">index('Query Tool'!B:B,match(H342,'Query Tool'!C:C,0))</f>
        <v>1</v>
      </c>
      <c r="U342" s="161" t="b">
        <f t="array" ref="U342">index('Query Tool'!B:B,match(C342,'Query Tool'!C:C,0))</f>
        <v>0</v>
      </c>
      <c r="V342" s="161" t="b">
        <f>F342&gt;='Query Tool'!C$32</f>
        <v>1</v>
      </c>
      <c r="W342" s="161" t="b">
        <f t="array" ref="W342">index(Dropdowns!B:B,match(I342,Dropdowns!A:A,0))</f>
        <v>1</v>
      </c>
      <c r="X342" s="161" t="b">
        <f t="array" ref="X342">index('Query Tool'!B:B,match(D342,'Query Tool'!C:C,0))</f>
        <v>1</v>
      </c>
      <c r="Y342" s="161" t="str">
        <f t="shared" si="6"/>
        <v>leuerjo01,2013-14</v>
      </c>
      <c r="Z342" s="168">
        <f t="array" ref="Z342">iferror(index(I:I,match($A342&amp;","&amp;index('Year Conversion'!$A:$A,match($C342,'Year Conversion'!$B:$B,0)),$Y:$Y,0))-I342,"")</f>
        <v>1</v>
      </c>
      <c r="AA342" s="168">
        <f t="array" ref="AA342">iferror(index(J:J,match($A342&amp;","&amp;index('Year Conversion'!$A:$A,match($C342,'Year Conversion'!$B:$B,0)),$Y:$Y,0))-J342,"")</f>
        <v>-0.9699421406</v>
      </c>
      <c r="AB342" s="168">
        <f t="array" ref="AB342">iferror(index(K:K,match($A342&amp;","&amp;index('Year Conversion'!$A:$A,match($C342,'Year Conversion'!$B:$B,0)),$Y:$Y,0))-K342,"")</f>
        <v>-0.6635171184</v>
      </c>
      <c r="AC342" s="168" t="str">
        <f t="shared" si="7"/>
        <v>MEM,2013-14</v>
      </c>
    </row>
    <row r="343">
      <c r="A343" s="161" t="str">
        <f>IFERROR(__xludf.DUMMYFUNCTION("""COMPUTED_VALUE"""),"morrida01")</f>
        <v>morrida01</v>
      </c>
      <c r="B343" s="161" t="str">
        <f>IFERROR(__xludf.DUMMYFUNCTION("""COMPUTED_VALUE"""),"Darius Morris")</f>
        <v>Darius Morris</v>
      </c>
      <c r="C343" s="162" t="str">
        <f>IFERROR(__xludf.DUMMYFUNCTION("""COMPUTED_VALUE"""),"2013-14")</f>
        <v>2013-14</v>
      </c>
      <c r="D343" s="163" t="str">
        <f>IFERROR(__xludf.DUMMYFUNCTION("""COMPUTED_VALUE"""),"TOT")</f>
        <v>TOT</v>
      </c>
      <c r="E343" s="164" t="str">
        <f>IFERROR(__xludf.DUMMYFUNCTION("""COMPUTED_VALUE"""),"Shot Creator")</f>
        <v>Shot Creator</v>
      </c>
      <c r="F343" s="164">
        <f>IFERROR(__xludf.DUMMYFUNCTION("""COMPUTED_VALUE"""),312.815)</f>
        <v>312.815</v>
      </c>
      <c r="G343" s="163">
        <f>IFERROR(__xludf.DUMMYFUNCTION("""COMPUTED_VALUE"""),27.0)</f>
        <v>27</v>
      </c>
      <c r="H343" s="163" t="str">
        <f>IFERROR(__xludf.DUMMYFUNCTION("""COMPUTED_VALUE"""),"PG")</f>
        <v>PG</v>
      </c>
      <c r="I343" s="163">
        <f>IFERROR(__xludf.DUMMYFUNCTION("""COMPUTED_VALUE"""),23.0)</f>
        <v>23</v>
      </c>
      <c r="J343" s="165">
        <f>IFERROR(__xludf.DUMMYFUNCTION("""COMPUTED_VALUE"""),-1.475603785044)</f>
        <v>-1.475603785</v>
      </c>
      <c r="K343" s="165">
        <f>IFERROR(__xludf.DUMMYFUNCTION("""COMPUTED_VALUE"""),-1.20186369504091)</f>
        <v>-1.201863695</v>
      </c>
      <c r="L343" s="165">
        <f>IFERROR(__xludf.DUMMYFUNCTION("""COMPUTED_VALUE"""),-0.273740090003085)</f>
        <v>-0.27374009</v>
      </c>
      <c r="M343" s="166">
        <f t="shared" si="2"/>
        <v>0.1719944322</v>
      </c>
      <c r="N343" s="167">
        <f t="shared" si="3"/>
        <v>11.58574074</v>
      </c>
      <c r="O343" s="163">
        <f t="shared" ref="O343:Q343" si="347">rank(I343,I:I)</f>
        <v>2765</v>
      </c>
      <c r="P343" s="163">
        <f t="shared" si="347"/>
        <v>3031</v>
      </c>
      <c r="Q343" s="163">
        <f t="shared" si="347"/>
        <v>3040</v>
      </c>
      <c r="R343" s="163">
        <f>IFERROR(__xludf.DUMMYFUNCTION("RANK(M343,filter(M:M,C:C=C343))"),334.0)</f>
        <v>334</v>
      </c>
      <c r="S343" s="161" t="b">
        <f t="shared" si="5"/>
        <v>0</v>
      </c>
      <c r="T343" s="161" t="b">
        <f t="array" ref="T343">index('Query Tool'!B:B,match(H343,'Query Tool'!C:C,0))</f>
        <v>1</v>
      </c>
      <c r="U343" s="161" t="b">
        <f t="array" ref="U343">index('Query Tool'!B:B,match(C343,'Query Tool'!C:C,0))</f>
        <v>0</v>
      </c>
      <c r="V343" s="161" t="b">
        <f>F343&gt;='Query Tool'!C$32</f>
        <v>0</v>
      </c>
      <c r="W343" s="161" t="b">
        <f t="array" ref="W343">index(Dropdowns!B:B,match(I343,Dropdowns!A:A,0))</f>
        <v>1</v>
      </c>
      <c r="X343" s="161" t="b">
        <f t="array" ref="X343">index('Query Tool'!B:B,match(D343,'Query Tool'!C:C,0))</f>
        <v>1</v>
      </c>
      <c r="Y343" s="161" t="str">
        <f t="shared" si="6"/>
        <v>morrida01,2013-14</v>
      </c>
      <c r="Z343" s="168">
        <f t="array" ref="Z343">iferror(index(I:I,match($A343&amp;","&amp;index('Year Conversion'!$A:$A,match($C343,'Year Conversion'!$B:$B,0)),$Y:$Y,0))-I343,"")</f>
        <v>1</v>
      </c>
      <c r="AA343" s="168">
        <f t="array" ref="AA343">iferror(index(J:J,match($A343&amp;","&amp;index('Year Conversion'!$A:$A,match($C343,'Year Conversion'!$B:$B,0)),$Y:$Y,0))-J343,"")</f>
        <v>-0.8581173372</v>
      </c>
      <c r="AB343" s="168">
        <f t="array" ref="AB343">iferror(index(K:K,match($A343&amp;","&amp;index('Year Conversion'!$A:$A,match($C343,'Year Conversion'!$B:$B,0)),$Y:$Y,0))-K343,"")</f>
        <v>0.2774353558</v>
      </c>
      <c r="AC343" s="168" t="str">
        <f t="shared" si="7"/>
        <v>TOT,2013-14</v>
      </c>
    </row>
    <row r="344">
      <c r="A344" s="161" t="str">
        <f>IFERROR(__xludf.DUMMYFUNCTION("""COMPUTED_VALUE"""),"harrejo01")</f>
        <v>harrejo01</v>
      </c>
      <c r="B344" s="161" t="str">
        <f>IFERROR(__xludf.DUMMYFUNCTION("""COMPUTED_VALUE"""),"Josh Harrellson")</f>
        <v>Josh Harrellson</v>
      </c>
      <c r="C344" s="162" t="str">
        <f>IFERROR(__xludf.DUMMYFUNCTION("""COMPUTED_VALUE"""),"2013-14")</f>
        <v>2013-14</v>
      </c>
      <c r="D344" s="163" t="str">
        <f>IFERROR(__xludf.DUMMYFUNCTION("""COMPUTED_VALUE"""),"DET")</f>
        <v>DET</v>
      </c>
      <c r="E344" s="164" t="str">
        <f>IFERROR(__xludf.DUMMYFUNCTION("""COMPUTED_VALUE"""),"Stretch Big")</f>
        <v>Stretch Big</v>
      </c>
      <c r="F344" s="164">
        <f>IFERROR(__xludf.DUMMYFUNCTION("""COMPUTED_VALUE"""),317.376666666667)</f>
        <v>317.3766667</v>
      </c>
      <c r="G344" s="163">
        <f>IFERROR(__xludf.DUMMYFUNCTION("""COMPUTED_VALUE"""),32.0)</f>
        <v>32</v>
      </c>
      <c r="H344" s="163" t="str">
        <f>IFERROR(__xludf.DUMMYFUNCTION("""COMPUTED_VALUE"""),"C")</f>
        <v>C</v>
      </c>
      <c r="I344" s="163">
        <f>IFERROR(__xludf.DUMMYFUNCTION("""COMPUTED_VALUE"""),24.0)</f>
        <v>24</v>
      </c>
      <c r="J344" s="165">
        <f>IFERROR(__xludf.DUMMYFUNCTION("""COMPUTED_VALUE"""),-0.123219299896148)</f>
        <v>-0.1232192999</v>
      </c>
      <c r="K344" s="165">
        <f>IFERROR(__xludf.DUMMYFUNCTION("""COMPUTED_VALUE"""),-0.919139492362301)</f>
        <v>-0.9191394924</v>
      </c>
      <c r="L344" s="165">
        <f>IFERROR(__xludf.DUMMYFUNCTION("""COMPUTED_VALUE"""),0.795920192466153)</f>
        <v>0.7959201925</v>
      </c>
      <c r="M344" s="166">
        <f t="shared" si="2"/>
        <v>0.4629240895</v>
      </c>
      <c r="N344" s="167">
        <f t="shared" si="3"/>
        <v>9.918020833</v>
      </c>
      <c r="O344" s="163">
        <f t="shared" ref="O344:Q344" si="348">rank(I344,I:I)</f>
        <v>2361</v>
      </c>
      <c r="P344" s="163">
        <f t="shared" si="348"/>
        <v>1407</v>
      </c>
      <c r="Q344" s="163">
        <f t="shared" si="348"/>
        <v>2713</v>
      </c>
      <c r="R344" s="163">
        <f>IFERROR(__xludf.DUMMYFUNCTION("RANK(M344,filter(M:M,C:C=C344))"),282.0)</f>
        <v>282</v>
      </c>
      <c r="S344" s="161" t="b">
        <f t="shared" si="5"/>
        <v>0</v>
      </c>
      <c r="T344" s="161" t="b">
        <f t="array" ref="T344">index('Query Tool'!B:B,match(H344,'Query Tool'!C:C,0))</f>
        <v>1</v>
      </c>
      <c r="U344" s="161" t="b">
        <f t="array" ref="U344">index('Query Tool'!B:B,match(C344,'Query Tool'!C:C,0))</f>
        <v>0</v>
      </c>
      <c r="V344" s="161" t="b">
        <f>F344&gt;='Query Tool'!C$32</f>
        <v>0</v>
      </c>
      <c r="W344" s="161" t="b">
        <f t="array" ref="W344">index(Dropdowns!B:B,match(I344,Dropdowns!A:A,0))</f>
        <v>1</v>
      </c>
      <c r="X344" s="161" t="b">
        <f t="array" ref="X344">index('Query Tool'!B:B,match(D344,'Query Tool'!C:C,0))</f>
        <v>1</v>
      </c>
      <c r="Y344" s="161" t="str">
        <f t="shared" si="6"/>
        <v>harrejo01,2013-14</v>
      </c>
      <c r="Z344" s="168" t="str">
        <f t="array" ref="Z344">iferror(index(I:I,match($A344&amp;","&amp;index('Year Conversion'!$A:$A,match($C344,'Year Conversion'!$B:$B,0)),$Y:$Y,0))-I344,"")</f>
        <v/>
      </c>
      <c r="AA344" s="168" t="str">
        <f t="array" ref="AA344">iferror(index(J:J,match($A344&amp;","&amp;index('Year Conversion'!$A:$A,match($C344,'Year Conversion'!$B:$B,0)),$Y:$Y,0))-J344,"")</f>
        <v/>
      </c>
      <c r="AB344" s="168" t="str">
        <f t="array" ref="AB344">iferror(index(K:K,match($A344&amp;","&amp;index('Year Conversion'!$A:$A,match($C344,'Year Conversion'!$B:$B,0)),$Y:$Y,0))-K344,"")</f>
        <v/>
      </c>
      <c r="AC344" s="168" t="str">
        <f t="shared" si="7"/>
        <v>DET,2013-14</v>
      </c>
    </row>
    <row r="345">
      <c r="A345" s="161" t="str">
        <f>IFERROR(__xludf.DUMMYFUNCTION("""COMPUTED_VALUE"""),"allenla01")</f>
        <v>allenla01</v>
      </c>
      <c r="B345" s="161" t="str">
        <f>IFERROR(__xludf.DUMMYFUNCTION("""COMPUTED_VALUE"""),"Lavoy Allen")</f>
        <v>Lavoy Allen</v>
      </c>
      <c r="C345" s="162" t="str">
        <f>IFERROR(__xludf.DUMMYFUNCTION("""COMPUTED_VALUE"""),"2013-14")</f>
        <v>2013-14</v>
      </c>
      <c r="D345" s="163" t="str">
        <f>IFERROR(__xludf.DUMMYFUNCTION("""COMPUTED_VALUE"""),"TOT")</f>
        <v>TOT</v>
      </c>
      <c r="E345" s="164" t="str">
        <f>IFERROR(__xludf.DUMMYFUNCTION("""COMPUTED_VALUE"""),"Roll + Cut Big")</f>
        <v>Roll + Cut Big</v>
      </c>
      <c r="F345" s="164">
        <f>IFERROR(__xludf.DUMMYFUNCTION("""COMPUTED_VALUE"""),1071.45833333333)</f>
        <v>1071.458333</v>
      </c>
      <c r="G345" s="163">
        <f>IFERROR(__xludf.DUMMYFUNCTION("""COMPUTED_VALUE"""),65.0)</f>
        <v>65</v>
      </c>
      <c r="H345" s="163" t="str">
        <f>IFERROR(__xludf.DUMMYFUNCTION("""COMPUTED_VALUE"""),"PF")</f>
        <v>PF</v>
      </c>
      <c r="I345" s="163">
        <f>IFERROR(__xludf.DUMMYFUNCTION("""COMPUTED_VALUE"""),24.0)</f>
        <v>24</v>
      </c>
      <c r="J345" s="165">
        <f>IFERROR(__xludf.DUMMYFUNCTION("""COMPUTED_VALUE"""),-2.03460775439098)</f>
        <v>-2.034607754</v>
      </c>
      <c r="K345" s="165">
        <f>IFERROR(__xludf.DUMMYFUNCTION("""COMPUTED_VALUE"""),-2.29881654685243)</f>
        <v>-2.298816547</v>
      </c>
      <c r="L345" s="165">
        <f>IFERROR(__xludf.DUMMYFUNCTION("""COMPUTED_VALUE"""),0.264208792461451)</f>
        <v>0.2642087925</v>
      </c>
      <c r="M345" s="166">
        <f t="shared" si="2"/>
        <v>0.1904937156</v>
      </c>
      <c r="N345" s="167">
        <f t="shared" si="3"/>
        <v>16.48397436</v>
      </c>
      <c r="O345" s="163">
        <f t="shared" ref="O345:Q345" si="349">rank(I345,I:I)</f>
        <v>2361</v>
      </c>
      <c r="P345" s="163">
        <f t="shared" si="349"/>
        <v>3507</v>
      </c>
      <c r="Q345" s="163">
        <f t="shared" si="349"/>
        <v>3834</v>
      </c>
      <c r="R345" s="163">
        <f>IFERROR(__xludf.DUMMYFUNCTION("RANK(M345,filter(M:M,C:C=C345))"),326.0)</f>
        <v>326</v>
      </c>
      <c r="S345" s="161" t="b">
        <f t="shared" si="5"/>
        <v>0</v>
      </c>
      <c r="T345" s="161" t="b">
        <f t="array" ref="T345">index('Query Tool'!B:B,match(H345,'Query Tool'!C:C,0))</f>
        <v>1</v>
      </c>
      <c r="U345" s="161" t="b">
        <f t="array" ref="U345">index('Query Tool'!B:B,match(C345,'Query Tool'!C:C,0))</f>
        <v>0</v>
      </c>
      <c r="V345" s="161" t="b">
        <f>F345&gt;='Query Tool'!C$32</f>
        <v>1</v>
      </c>
      <c r="W345" s="161" t="b">
        <f t="array" ref="W345">index(Dropdowns!B:B,match(I345,Dropdowns!A:A,0))</f>
        <v>1</v>
      </c>
      <c r="X345" s="161" t="b">
        <f t="array" ref="X345">index('Query Tool'!B:B,match(D345,'Query Tool'!C:C,0))</f>
        <v>1</v>
      </c>
      <c r="Y345" s="161" t="str">
        <f t="shared" si="6"/>
        <v>allenla01,2013-14</v>
      </c>
      <c r="Z345" s="168">
        <f t="array" ref="Z345">iferror(index(I:I,match($A345&amp;","&amp;index('Year Conversion'!$A:$A,match($C345,'Year Conversion'!$B:$B,0)),$Y:$Y,0))-I345,"")</f>
        <v>1</v>
      </c>
      <c r="AA345" s="168">
        <f t="array" ref="AA345">iferror(index(J:J,match($A345&amp;","&amp;index('Year Conversion'!$A:$A,match($C345,'Year Conversion'!$B:$B,0)),$Y:$Y,0))-J345,"")</f>
        <v>3.3070528</v>
      </c>
      <c r="AB345" s="168">
        <f t="array" ref="AB345">iferror(index(K:K,match($A345&amp;","&amp;index('Year Conversion'!$A:$A,match($C345,'Year Conversion'!$B:$B,0)),$Y:$Y,0))-K345,"")</f>
        <v>2.217441813</v>
      </c>
      <c r="AC345" s="168" t="str">
        <f t="shared" si="7"/>
        <v>TOT,2013-14</v>
      </c>
    </row>
    <row r="346">
      <c r="A346" s="161" t="str">
        <f>IFERROR(__xludf.DUMMYFUNCTION("""COMPUTED_VALUE"""),"liggide01")</f>
        <v>liggide01</v>
      </c>
      <c r="B346" s="161" t="str">
        <f>IFERROR(__xludf.DUMMYFUNCTION("""COMPUTED_VALUE"""),"DeAndre Liggins")</f>
        <v>DeAndre Liggins</v>
      </c>
      <c r="C346" s="162" t="str">
        <f>IFERROR(__xludf.DUMMYFUNCTION("""COMPUTED_VALUE"""),"2013-14")</f>
        <v>2013-14</v>
      </c>
      <c r="D346" s="163" t="str">
        <f>IFERROR(__xludf.DUMMYFUNCTION("""COMPUTED_VALUE"""),"MIA")</f>
        <v>MIA</v>
      </c>
      <c r="E346" s="164" t="str">
        <f>IFERROR(__xludf.DUMMYFUNCTION("""COMPUTED_VALUE"""),"Roll + Cut Big")</f>
        <v>Roll + Cut Big</v>
      </c>
      <c r="F346" s="164">
        <f>IFERROR(__xludf.DUMMYFUNCTION("""COMPUTED_VALUE"""),1.4)</f>
        <v>1.4</v>
      </c>
      <c r="G346" s="163">
        <f>IFERROR(__xludf.DUMMYFUNCTION("""COMPUTED_VALUE"""),1.0)</f>
        <v>1</v>
      </c>
      <c r="H346" s="163" t="str">
        <f>IFERROR(__xludf.DUMMYFUNCTION("""COMPUTED_VALUE"""),"SG")</f>
        <v>SG</v>
      </c>
      <c r="I346" s="163">
        <f>IFERROR(__xludf.DUMMYFUNCTION("""COMPUTED_VALUE"""),25.0)</f>
        <v>25</v>
      </c>
      <c r="J346" s="165">
        <f>IFERROR(__xludf.DUMMYFUNCTION("""COMPUTED_VALUE"""),-0.833347952671109)</f>
        <v>-0.8333479527</v>
      </c>
      <c r="K346" s="165">
        <f>IFERROR(__xludf.DUMMYFUNCTION("""COMPUTED_VALUE"""),-0.101063844671646)</f>
        <v>-0.1010638447</v>
      </c>
      <c r="L346" s="165">
        <f>IFERROR(__xludf.DUMMYFUNCTION("""COMPUTED_VALUE"""),-0.732284107999462)</f>
        <v>-0.732284108</v>
      </c>
      <c r="M346" s="166">
        <f t="shared" si="2"/>
        <v>0.00137252271</v>
      </c>
      <c r="N346" s="167">
        <f t="shared" si="3"/>
        <v>1.4</v>
      </c>
      <c r="O346" s="163">
        <f t="shared" ref="O346:Q346" si="350">rank(I346,I:I)</f>
        <v>1995</v>
      </c>
      <c r="P346" s="163">
        <f t="shared" si="350"/>
        <v>2327</v>
      </c>
      <c r="Q346" s="163">
        <f t="shared" si="350"/>
        <v>1368</v>
      </c>
      <c r="R346" s="163">
        <f>IFERROR(__xludf.DUMMYFUNCTION("RANK(M346,filter(M:M,C:C=C346))"),431.0)</f>
        <v>431</v>
      </c>
      <c r="S346" s="161" t="b">
        <f t="shared" si="5"/>
        <v>0</v>
      </c>
      <c r="T346" s="161" t="b">
        <f t="array" ref="T346">index('Query Tool'!B:B,match(H346,'Query Tool'!C:C,0))</f>
        <v>1</v>
      </c>
      <c r="U346" s="161" t="b">
        <f t="array" ref="U346">index('Query Tool'!B:B,match(C346,'Query Tool'!C:C,0))</f>
        <v>0</v>
      </c>
      <c r="V346" s="161" t="b">
        <f>F346&gt;='Query Tool'!C$32</f>
        <v>0</v>
      </c>
      <c r="W346" s="161" t="b">
        <f t="array" ref="W346">index(Dropdowns!B:B,match(I346,Dropdowns!A:A,0))</f>
        <v>1</v>
      </c>
      <c r="X346" s="161" t="b">
        <f t="array" ref="X346">index('Query Tool'!B:B,match(D346,'Query Tool'!C:C,0))</f>
        <v>1</v>
      </c>
      <c r="Y346" s="161" t="str">
        <f t="shared" si="6"/>
        <v>liggide01,2013-14</v>
      </c>
      <c r="Z346" s="168" t="str">
        <f t="array" ref="Z346">iferror(index(I:I,match($A346&amp;","&amp;index('Year Conversion'!$A:$A,match($C346,'Year Conversion'!$B:$B,0)),$Y:$Y,0))-I346,"")</f>
        <v/>
      </c>
      <c r="AA346" s="168" t="str">
        <f t="array" ref="AA346">iferror(index(J:J,match($A346&amp;","&amp;index('Year Conversion'!$A:$A,match($C346,'Year Conversion'!$B:$B,0)),$Y:$Y,0))-J346,"")</f>
        <v/>
      </c>
      <c r="AB346" s="168" t="str">
        <f t="array" ref="AB346">iferror(index(K:K,match($A346&amp;","&amp;index('Year Conversion'!$A:$A,match($C346,'Year Conversion'!$B:$B,0)),$Y:$Y,0))-K346,"")</f>
        <v/>
      </c>
      <c r="AC346" s="168" t="str">
        <f t="shared" si="7"/>
        <v>MIA,2013-14</v>
      </c>
    </row>
    <row r="347">
      <c r="A347" s="161" t="str">
        <f>IFERROR(__xludf.DUMMYFUNCTION("""COMPUTED_VALUE"""),"mooreet01")</f>
        <v>mooreet01</v>
      </c>
      <c r="B347" s="161" t="str">
        <f>IFERROR(__xludf.DUMMYFUNCTION("""COMPUTED_VALUE"""),"E'Twaun Moore")</f>
        <v>E'Twaun Moore</v>
      </c>
      <c r="C347" s="162" t="str">
        <f>IFERROR(__xludf.DUMMYFUNCTION("""COMPUTED_VALUE"""),"2013-14")</f>
        <v>2013-14</v>
      </c>
      <c r="D347" s="163" t="str">
        <f>IFERROR(__xludf.DUMMYFUNCTION("""COMPUTED_VALUE"""),"ORL")</f>
        <v>ORL</v>
      </c>
      <c r="E347" s="164" t="str">
        <f>IFERROR(__xludf.DUMMYFUNCTION("""COMPUTED_VALUE"""),"Movement Shooter")</f>
        <v>Movement Shooter</v>
      </c>
      <c r="F347" s="164">
        <f>IFERROR(__xludf.DUMMYFUNCTION("""COMPUTED_VALUE"""),1505.72833333333)</f>
        <v>1505.728333</v>
      </c>
      <c r="G347" s="163">
        <f>IFERROR(__xludf.DUMMYFUNCTION("""COMPUTED_VALUE"""),79.0)</f>
        <v>79</v>
      </c>
      <c r="H347" s="163" t="str">
        <f>IFERROR(__xludf.DUMMYFUNCTION("""COMPUTED_VALUE"""),"SG")</f>
        <v>SG</v>
      </c>
      <c r="I347" s="163">
        <f>IFERROR(__xludf.DUMMYFUNCTION("""COMPUTED_VALUE"""),24.0)</f>
        <v>24</v>
      </c>
      <c r="J347" s="165">
        <f>IFERROR(__xludf.DUMMYFUNCTION("""COMPUTED_VALUE"""),-0.811305762254881)</f>
        <v>-0.8113057623</v>
      </c>
      <c r="K347" s="165">
        <f>IFERROR(__xludf.DUMMYFUNCTION("""COMPUTED_VALUE"""),-1.04076092763429)</f>
        <v>-1.040760928</v>
      </c>
      <c r="L347" s="165">
        <f>IFERROR(__xludf.DUMMYFUNCTION("""COMPUTED_VALUE"""),0.229455165379407)</f>
        <v>0.2294551654</v>
      </c>
      <c r="M347" s="166">
        <f t="shared" si="2"/>
        <v>1.498489063</v>
      </c>
      <c r="N347" s="167">
        <f t="shared" si="3"/>
        <v>19.05985232</v>
      </c>
      <c r="O347" s="163">
        <f t="shared" ref="O347:Q347" si="351">rank(I347,I:I)</f>
        <v>2361</v>
      </c>
      <c r="P347" s="163">
        <f t="shared" si="351"/>
        <v>2296</v>
      </c>
      <c r="Q347" s="163">
        <f t="shared" si="351"/>
        <v>2858</v>
      </c>
      <c r="R347" s="163">
        <f>IFERROR(__xludf.DUMMYFUNCTION("RANK(M347,filter(M:M,C:C=C347))"),183.0)</f>
        <v>183</v>
      </c>
      <c r="S347" s="161" t="b">
        <f t="shared" si="5"/>
        <v>0</v>
      </c>
      <c r="T347" s="161" t="b">
        <f t="array" ref="T347">index('Query Tool'!B:B,match(H347,'Query Tool'!C:C,0))</f>
        <v>1</v>
      </c>
      <c r="U347" s="161" t="b">
        <f t="array" ref="U347">index('Query Tool'!B:B,match(C347,'Query Tool'!C:C,0))</f>
        <v>0</v>
      </c>
      <c r="V347" s="161" t="b">
        <f>F347&gt;='Query Tool'!C$32</f>
        <v>1</v>
      </c>
      <c r="W347" s="161" t="b">
        <f t="array" ref="W347">index(Dropdowns!B:B,match(I347,Dropdowns!A:A,0))</f>
        <v>1</v>
      </c>
      <c r="X347" s="161" t="b">
        <f t="array" ref="X347">index('Query Tool'!B:B,match(D347,'Query Tool'!C:C,0))</f>
        <v>1</v>
      </c>
      <c r="Y347" s="161" t="str">
        <f t="shared" si="6"/>
        <v>mooreet01,2013-14</v>
      </c>
      <c r="Z347" s="168">
        <f t="array" ref="Z347">iferror(index(I:I,match($A347&amp;","&amp;index('Year Conversion'!$A:$A,match($C347,'Year Conversion'!$B:$B,0)),$Y:$Y,0))-I347,"")</f>
        <v>1</v>
      </c>
      <c r="AA347" s="168">
        <f t="array" ref="AA347">iferror(index(J:J,match($A347&amp;","&amp;index('Year Conversion'!$A:$A,match($C347,'Year Conversion'!$B:$B,0)),$Y:$Y,0))-J347,"")</f>
        <v>-0.9174692043</v>
      </c>
      <c r="AB347" s="168">
        <f t="array" ref="AB347">iferror(index(K:K,match($A347&amp;","&amp;index('Year Conversion'!$A:$A,match($C347,'Year Conversion'!$B:$B,0)),$Y:$Y,0))-K347,"")</f>
        <v>-0.3133619395</v>
      </c>
      <c r="AC347" s="168" t="str">
        <f t="shared" si="7"/>
        <v>ORL,2013-14</v>
      </c>
    </row>
    <row r="348">
      <c r="A348" s="161" t="str">
        <f>IFERROR(__xludf.DUMMYFUNCTION("""COMPUTED_VALUE"""),"thomais02")</f>
        <v>thomais02</v>
      </c>
      <c r="B348" s="161" t="str">
        <f>IFERROR(__xludf.DUMMYFUNCTION("""COMPUTED_VALUE"""),"Isaiah Thomas")</f>
        <v>Isaiah Thomas</v>
      </c>
      <c r="C348" s="162" t="str">
        <f>IFERROR(__xludf.DUMMYFUNCTION("""COMPUTED_VALUE"""),"2013-14")</f>
        <v>2013-14</v>
      </c>
      <c r="D348" s="163" t="str">
        <f>IFERROR(__xludf.DUMMYFUNCTION("""COMPUTED_VALUE"""),"SAC")</f>
        <v>SAC</v>
      </c>
      <c r="E348" s="164" t="str">
        <f>IFERROR(__xludf.DUMMYFUNCTION("""COMPUTED_VALUE"""),"Primary Ball Handler")</f>
        <v>Primary Ball Handler</v>
      </c>
      <c r="F348" s="164">
        <f>IFERROR(__xludf.DUMMYFUNCTION("""COMPUTED_VALUE"""),2497.285)</f>
        <v>2497.285</v>
      </c>
      <c r="G348" s="163">
        <f>IFERROR(__xludf.DUMMYFUNCTION("""COMPUTED_VALUE"""),72.0)</f>
        <v>72</v>
      </c>
      <c r="H348" s="163" t="str">
        <f>IFERROR(__xludf.DUMMYFUNCTION("""COMPUTED_VALUE"""),"PG")</f>
        <v>PG</v>
      </c>
      <c r="I348" s="163">
        <f>IFERROR(__xludf.DUMMYFUNCTION("""COMPUTED_VALUE"""),24.0)</f>
        <v>24</v>
      </c>
      <c r="J348" s="165">
        <f>IFERROR(__xludf.DUMMYFUNCTION("""COMPUTED_VALUE"""),2.545726636828)</f>
        <v>2.545726637</v>
      </c>
      <c r="K348" s="165">
        <f>IFERROR(__xludf.DUMMYFUNCTION("""COMPUTED_VALUE"""),3.45023256087643)</f>
        <v>3.450232561</v>
      </c>
      <c r="L348" s="165">
        <f>IFERROR(__xludf.DUMMYFUNCTION("""COMPUTED_VALUE"""),-0.904505924048432)</f>
        <v>-0.904505924</v>
      </c>
      <c r="M348" s="166">
        <f t="shared" si="2"/>
        <v>8.097902817</v>
      </c>
      <c r="N348" s="167">
        <f t="shared" si="3"/>
        <v>34.68451389</v>
      </c>
      <c r="O348" s="163">
        <f t="shared" ref="O348:Q348" si="352">rank(I348,I:I)</f>
        <v>2361</v>
      </c>
      <c r="P348" s="163">
        <f t="shared" si="352"/>
        <v>217</v>
      </c>
      <c r="Q348" s="163">
        <f t="shared" si="352"/>
        <v>91</v>
      </c>
      <c r="R348" s="163">
        <f>IFERROR(__xludf.DUMMYFUNCTION("RANK(M348,filter(M:M,C:C=C348))"),28.0)</f>
        <v>28</v>
      </c>
      <c r="S348" s="161" t="b">
        <f t="shared" si="5"/>
        <v>0</v>
      </c>
      <c r="T348" s="161" t="b">
        <f t="array" ref="T348">index('Query Tool'!B:B,match(H348,'Query Tool'!C:C,0))</f>
        <v>1</v>
      </c>
      <c r="U348" s="161" t="b">
        <f t="array" ref="U348">index('Query Tool'!B:B,match(C348,'Query Tool'!C:C,0))</f>
        <v>0</v>
      </c>
      <c r="V348" s="161" t="b">
        <f>F348&gt;='Query Tool'!C$32</f>
        <v>1</v>
      </c>
      <c r="W348" s="161" t="b">
        <f t="array" ref="W348">index(Dropdowns!B:B,match(I348,Dropdowns!A:A,0))</f>
        <v>1</v>
      </c>
      <c r="X348" s="161" t="b">
        <f t="array" ref="X348">index('Query Tool'!B:B,match(D348,'Query Tool'!C:C,0))</f>
        <v>1</v>
      </c>
      <c r="Y348" s="161" t="str">
        <f t="shared" si="6"/>
        <v>thomais02,2013-14</v>
      </c>
      <c r="Z348" s="168">
        <f t="array" ref="Z348">iferror(index(I:I,match($A348&amp;","&amp;index('Year Conversion'!$A:$A,match($C348,'Year Conversion'!$B:$B,0)),$Y:$Y,0))-I348,"")</f>
        <v>1</v>
      </c>
      <c r="AA348" s="168">
        <f t="array" ref="AA348">iferror(index(J:J,match($A348&amp;","&amp;index('Year Conversion'!$A:$A,match($C348,'Year Conversion'!$B:$B,0)),$Y:$Y,0))-J348,"")</f>
        <v>-1.417012113</v>
      </c>
      <c r="AB348" s="168">
        <f t="array" ref="AB348">iferror(index(K:K,match($A348&amp;","&amp;index('Year Conversion'!$A:$A,match($C348,'Year Conversion'!$B:$B,0)),$Y:$Y,0))-K348,"")</f>
        <v>0.1220907346</v>
      </c>
      <c r="AC348" s="168" t="str">
        <f t="shared" si="7"/>
        <v>SAC,2013-14</v>
      </c>
    </row>
    <row r="349">
      <c r="A349" s="161" t="str">
        <f>IFERROR(__xludf.DUMMYFUNCTION("""COMPUTED_VALUE"""),"buyckdw01")</f>
        <v>buyckdw01</v>
      </c>
      <c r="B349" s="161" t="str">
        <f>IFERROR(__xludf.DUMMYFUNCTION("""COMPUTED_VALUE"""),"Dwight Buycks")</f>
        <v>Dwight Buycks</v>
      </c>
      <c r="C349" s="162" t="str">
        <f>IFERROR(__xludf.DUMMYFUNCTION("""COMPUTED_VALUE"""),"2013-14")</f>
        <v>2013-14</v>
      </c>
      <c r="D349" s="163" t="str">
        <f>IFERROR(__xludf.DUMMYFUNCTION("""COMPUTED_VALUE"""),"TOR")</f>
        <v>TOR</v>
      </c>
      <c r="E349" s="164" t="str">
        <f>IFERROR(__xludf.DUMMYFUNCTION("""COMPUTED_VALUE"""),"Shot Creator")</f>
        <v>Shot Creator</v>
      </c>
      <c r="F349" s="164">
        <f>IFERROR(__xludf.DUMMYFUNCTION("""COMPUTED_VALUE"""),146.031666666667)</f>
        <v>146.0316667</v>
      </c>
      <c r="G349" s="163">
        <f>IFERROR(__xludf.DUMMYFUNCTION("""COMPUTED_VALUE"""),14.0)</f>
        <v>14</v>
      </c>
      <c r="H349" s="163" t="str">
        <f>IFERROR(__xludf.DUMMYFUNCTION("""COMPUTED_VALUE"""),"PG")</f>
        <v>PG</v>
      </c>
      <c r="I349" s="163">
        <f>IFERROR(__xludf.DUMMYFUNCTION("""COMPUTED_VALUE"""),24.0)</f>
        <v>24</v>
      </c>
      <c r="J349" s="165">
        <f>IFERROR(__xludf.DUMMYFUNCTION("""COMPUTED_VALUE"""),-0.94709828860103)</f>
        <v>-0.9470982886</v>
      </c>
      <c r="K349" s="165">
        <f>IFERROR(__xludf.DUMMYFUNCTION("""COMPUTED_VALUE"""),-0.434102116746346)</f>
        <v>-0.4341021167</v>
      </c>
      <c r="L349" s="165">
        <f>IFERROR(__xludf.DUMMYFUNCTION("""COMPUTED_VALUE"""),-0.512996171854684)</f>
        <v>-0.5129961719</v>
      </c>
      <c r="M349" s="166">
        <f t="shared" si="2"/>
        <v>0.1320034438</v>
      </c>
      <c r="N349" s="167">
        <f t="shared" si="3"/>
        <v>10.43083333</v>
      </c>
      <c r="O349" s="163">
        <f t="shared" ref="O349:Q349" si="353">rank(I349,I:I)</f>
        <v>2361</v>
      </c>
      <c r="P349" s="163">
        <f t="shared" si="353"/>
        <v>2445</v>
      </c>
      <c r="Q349" s="163">
        <f t="shared" si="353"/>
        <v>2008</v>
      </c>
      <c r="R349" s="163">
        <f>IFERROR(__xludf.DUMMYFUNCTION("RANK(M349,filter(M:M,C:C=C349))"),345.0)</f>
        <v>345</v>
      </c>
      <c r="S349" s="161" t="b">
        <f t="shared" si="5"/>
        <v>0</v>
      </c>
      <c r="T349" s="161" t="b">
        <f t="array" ref="T349">index('Query Tool'!B:B,match(H349,'Query Tool'!C:C,0))</f>
        <v>1</v>
      </c>
      <c r="U349" s="161" t="b">
        <f t="array" ref="U349">index('Query Tool'!B:B,match(C349,'Query Tool'!C:C,0))</f>
        <v>0</v>
      </c>
      <c r="V349" s="161" t="b">
        <f>F349&gt;='Query Tool'!C$32</f>
        <v>0</v>
      </c>
      <c r="W349" s="161" t="b">
        <f t="array" ref="W349">index(Dropdowns!B:B,match(I349,Dropdowns!A:A,0))</f>
        <v>1</v>
      </c>
      <c r="X349" s="161" t="b">
        <f t="array" ref="X349">index('Query Tool'!B:B,match(D349,'Query Tool'!C:C,0))</f>
        <v>1</v>
      </c>
      <c r="Y349" s="161" t="str">
        <f t="shared" si="6"/>
        <v>buyckdw01,2013-14</v>
      </c>
      <c r="Z349" s="168">
        <f t="array" ref="Z349">iferror(index(I:I,match($A349&amp;","&amp;index('Year Conversion'!$A:$A,match($C349,'Year Conversion'!$B:$B,0)),$Y:$Y,0))-I349,"")</f>
        <v>1</v>
      </c>
      <c r="AA349" s="168">
        <f t="array" ref="AA349">iferror(index(J:J,match($A349&amp;","&amp;index('Year Conversion'!$A:$A,match($C349,'Year Conversion'!$B:$B,0)),$Y:$Y,0))-J349,"")</f>
        <v>0.2715090063</v>
      </c>
      <c r="AB349" s="168">
        <f t="array" ref="AB349">iferror(index(K:K,match($A349&amp;","&amp;index('Year Conversion'!$A:$A,match($C349,'Year Conversion'!$B:$B,0)),$Y:$Y,0))-K349,"")</f>
        <v>0.1613761867</v>
      </c>
      <c r="AC349" s="168" t="str">
        <f t="shared" si="7"/>
        <v>TOR,2013-14</v>
      </c>
    </row>
    <row r="350">
      <c r="A350" s="161" t="str">
        <f>IFERROR(__xludf.DUMMYFUNCTION("""COMPUTED_VALUE"""),"wrighch01")</f>
        <v>wrighch01</v>
      </c>
      <c r="B350" s="161" t="str">
        <f>IFERROR(__xludf.DUMMYFUNCTION("""COMPUTED_VALUE"""),"Chris Wright")</f>
        <v>Chris Wright</v>
      </c>
      <c r="C350" s="162" t="str">
        <f>IFERROR(__xludf.DUMMYFUNCTION("""COMPUTED_VALUE"""),"2013-14")</f>
        <v>2013-14</v>
      </c>
      <c r="D350" s="163" t="str">
        <f>IFERROR(__xludf.DUMMYFUNCTION("""COMPUTED_VALUE"""),"MIL")</f>
        <v>MIL</v>
      </c>
      <c r="E350" s="164" t="str">
        <f>IFERROR(__xludf.DUMMYFUNCTION("""COMPUTED_VALUE"""),"Roll + Cut Big")</f>
        <v>Roll + Cut Big</v>
      </c>
      <c r="F350" s="164">
        <f>IFERROR(__xludf.DUMMYFUNCTION("""COMPUTED_VALUE"""),125.506666666667)</f>
        <v>125.5066667</v>
      </c>
      <c r="G350" s="163">
        <f>IFERROR(__xludf.DUMMYFUNCTION("""COMPUTED_VALUE"""),8.0)</f>
        <v>8</v>
      </c>
      <c r="H350" s="163" t="str">
        <f>IFERROR(__xludf.DUMMYFUNCTION("""COMPUTED_VALUE"""),"SF")</f>
        <v>SF</v>
      </c>
      <c r="I350" s="163">
        <f>IFERROR(__xludf.DUMMYFUNCTION("""COMPUTED_VALUE"""),25.0)</f>
        <v>25</v>
      </c>
      <c r="J350" s="165">
        <f>IFERROR(__xludf.DUMMYFUNCTION("""COMPUTED_VALUE"""),0.0754555880812071)</f>
        <v>0.07545558808</v>
      </c>
      <c r="K350" s="165">
        <f>IFERROR(__xludf.DUMMYFUNCTION("""COMPUTED_VALUE"""),-0.0250918979529832)</f>
        <v>-0.02509189795</v>
      </c>
      <c r="L350" s="165">
        <f>IFERROR(__xludf.DUMMYFUNCTION("""COMPUTED_VALUE"""),0.10054748603419)</f>
        <v>0.100547486</v>
      </c>
      <c r="M350" s="166">
        <f t="shared" si="2"/>
        <v>0.1998740924</v>
      </c>
      <c r="N350" s="167">
        <f t="shared" si="3"/>
        <v>15.68833333</v>
      </c>
      <c r="O350" s="163">
        <f t="shared" ref="O350:Q350" si="354">rank(I350,I:I)</f>
        <v>1995</v>
      </c>
      <c r="P350" s="163">
        <f t="shared" si="354"/>
        <v>1219</v>
      </c>
      <c r="Q350" s="163">
        <f t="shared" si="354"/>
        <v>1232</v>
      </c>
      <c r="R350" s="163">
        <f>IFERROR(__xludf.DUMMYFUNCTION("RANK(M350,filter(M:M,C:C=C350))"),323.0)</f>
        <v>323</v>
      </c>
      <c r="S350" s="161" t="b">
        <f t="shared" si="5"/>
        <v>0</v>
      </c>
      <c r="T350" s="161" t="b">
        <f t="array" ref="T350">index('Query Tool'!B:B,match(H350,'Query Tool'!C:C,0))</f>
        <v>1</v>
      </c>
      <c r="U350" s="161" t="b">
        <f t="array" ref="U350">index('Query Tool'!B:B,match(C350,'Query Tool'!C:C,0))</f>
        <v>0</v>
      </c>
      <c r="V350" s="161" t="b">
        <f>F350&gt;='Query Tool'!C$32</f>
        <v>0</v>
      </c>
      <c r="W350" s="161" t="b">
        <f t="array" ref="W350">index(Dropdowns!B:B,match(I350,Dropdowns!A:A,0))</f>
        <v>1</v>
      </c>
      <c r="X350" s="161" t="b">
        <f t="array" ref="X350">index('Query Tool'!B:B,match(D350,'Query Tool'!C:C,0))</f>
        <v>1</v>
      </c>
      <c r="Y350" s="161" t="str">
        <f t="shared" si="6"/>
        <v>wrighch01,2013-14</v>
      </c>
      <c r="Z350" s="168" t="str">
        <f t="array" ref="Z350">iferror(index(I:I,match($A350&amp;","&amp;index('Year Conversion'!$A:$A,match($C350,'Year Conversion'!$B:$B,0)),$Y:$Y,0))-I350,"")</f>
        <v/>
      </c>
      <c r="AA350" s="168" t="str">
        <f t="array" ref="AA350">iferror(index(J:J,match($A350&amp;","&amp;index('Year Conversion'!$A:$A,match($C350,'Year Conversion'!$B:$B,0)),$Y:$Y,0))-J350,"")</f>
        <v/>
      </c>
      <c r="AB350" s="168" t="str">
        <f t="array" ref="AB350">iferror(index(K:K,match($A350&amp;","&amp;index('Year Conversion'!$A:$A,match($C350,'Year Conversion'!$B:$B,0)),$Y:$Y,0))-K350,"")</f>
        <v/>
      </c>
      <c r="AC350" s="168" t="str">
        <f t="shared" si="7"/>
        <v>MIL,2013-14</v>
      </c>
    </row>
    <row r="351">
      <c r="A351" s="161" t="str">
        <f>IFERROR(__xludf.DUMMYFUNCTION("""COMPUTED_VALUE"""),"stoneju01")</f>
        <v>stoneju01</v>
      </c>
      <c r="B351" s="161" t="str">
        <f>IFERROR(__xludf.DUMMYFUNCTION("""COMPUTED_VALUE"""),"Julyan Stone")</f>
        <v>Julyan Stone</v>
      </c>
      <c r="C351" s="162" t="str">
        <f>IFERROR(__xludf.DUMMYFUNCTION("""COMPUTED_VALUE"""),"2013-14")</f>
        <v>2013-14</v>
      </c>
      <c r="D351" s="163" t="str">
        <f>IFERROR(__xludf.DUMMYFUNCTION("""COMPUTED_VALUE"""),"TOR")</f>
        <v>TOR</v>
      </c>
      <c r="E351" s="164" t="str">
        <f>IFERROR(__xludf.DUMMYFUNCTION("""COMPUTED_VALUE"""),"Secondary Ball Handler")</f>
        <v>Secondary Ball Handler</v>
      </c>
      <c r="F351" s="164">
        <f>IFERROR(__xludf.DUMMYFUNCTION("""COMPUTED_VALUE"""),120.073333333333)</f>
        <v>120.0733333</v>
      </c>
      <c r="G351" s="163">
        <f>IFERROR(__xludf.DUMMYFUNCTION("""COMPUTED_VALUE"""),21.0)</f>
        <v>21</v>
      </c>
      <c r="H351" s="163" t="str">
        <f>IFERROR(__xludf.DUMMYFUNCTION("""COMPUTED_VALUE"""),"SG")</f>
        <v>SG</v>
      </c>
      <c r="I351" s="163">
        <f>IFERROR(__xludf.DUMMYFUNCTION("""COMPUTED_VALUE"""),25.0)</f>
        <v>25</v>
      </c>
      <c r="J351" s="165">
        <f>IFERROR(__xludf.DUMMYFUNCTION("""COMPUTED_VALUE"""),-1.5041068073247)</f>
        <v>-1.504106807</v>
      </c>
      <c r="K351" s="165">
        <f>IFERROR(__xludf.DUMMYFUNCTION("""COMPUTED_VALUE"""),-1.10140574243289)</f>
        <v>-1.101405742</v>
      </c>
      <c r="L351" s="165">
        <f>IFERROR(__xludf.DUMMYFUNCTION("""COMPUTED_VALUE"""),-0.402701064891803)</f>
        <v>-0.4027010649</v>
      </c>
      <c r="M351" s="166">
        <f t="shared" si="2"/>
        <v>0.06373350718</v>
      </c>
      <c r="N351" s="167">
        <f t="shared" si="3"/>
        <v>5.717777778</v>
      </c>
      <c r="O351" s="163">
        <f t="shared" ref="O351:Q351" si="355">rank(I351,I:I)</f>
        <v>1995</v>
      </c>
      <c r="P351" s="163">
        <f t="shared" si="355"/>
        <v>3061</v>
      </c>
      <c r="Q351" s="163">
        <f t="shared" si="355"/>
        <v>2932</v>
      </c>
      <c r="R351" s="163">
        <f>IFERROR(__xludf.DUMMYFUNCTION("RANK(M351,filter(M:M,C:C=C351))"),378.0)</f>
        <v>378</v>
      </c>
      <c r="S351" s="161" t="b">
        <f t="shared" si="5"/>
        <v>0</v>
      </c>
      <c r="T351" s="161" t="b">
        <f t="array" ref="T351">index('Query Tool'!B:B,match(H351,'Query Tool'!C:C,0))</f>
        <v>1</v>
      </c>
      <c r="U351" s="161" t="b">
        <f t="array" ref="U351">index('Query Tool'!B:B,match(C351,'Query Tool'!C:C,0))</f>
        <v>0</v>
      </c>
      <c r="V351" s="161" t="b">
        <f>F351&gt;='Query Tool'!C$32</f>
        <v>0</v>
      </c>
      <c r="W351" s="161" t="b">
        <f t="array" ref="W351">index(Dropdowns!B:B,match(I351,Dropdowns!A:A,0))</f>
        <v>1</v>
      </c>
      <c r="X351" s="161" t="b">
        <f t="array" ref="X351">index('Query Tool'!B:B,match(D351,'Query Tool'!C:C,0))</f>
        <v>1</v>
      </c>
      <c r="Y351" s="161" t="str">
        <f t="shared" si="6"/>
        <v>stoneju01,2013-14</v>
      </c>
      <c r="Z351" s="168" t="str">
        <f t="array" ref="Z351">iferror(index(I:I,match($A351&amp;","&amp;index('Year Conversion'!$A:$A,match($C351,'Year Conversion'!$B:$B,0)),$Y:$Y,0))-I351,"")</f>
        <v/>
      </c>
      <c r="AA351" s="168" t="str">
        <f t="array" ref="AA351">iferror(index(J:J,match($A351&amp;","&amp;index('Year Conversion'!$A:$A,match($C351,'Year Conversion'!$B:$B,0)),$Y:$Y,0))-J351,"")</f>
        <v/>
      </c>
      <c r="AB351" s="168" t="str">
        <f t="array" ref="AB351">iferror(index(K:K,match($A351&amp;","&amp;index('Year Conversion'!$A:$A,match($C351,'Year Conversion'!$B:$B,0)),$Y:$Y,0))-K351,"")</f>
        <v/>
      </c>
      <c r="AC351" s="168" t="str">
        <f t="shared" si="7"/>
        <v>TOR,2013-14</v>
      </c>
    </row>
    <row r="352">
      <c r="A352" s="161" t="str">
        <f>IFERROR(__xludf.DUMMYFUNCTION("""COMPUTED_VALUE"""),"thomama01")</f>
        <v>thomama01</v>
      </c>
      <c r="B352" s="161" t="str">
        <f>IFERROR(__xludf.DUMMYFUNCTION("""COMPUTED_VALUE"""),"Malcolm Thomas")</f>
        <v>Malcolm Thomas</v>
      </c>
      <c r="C352" s="162" t="str">
        <f>IFERROR(__xludf.DUMMYFUNCTION("""COMPUTED_VALUE"""),"2013-14")</f>
        <v>2013-14</v>
      </c>
      <c r="D352" s="163" t="str">
        <f>IFERROR(__xludf.DUMMYFUNCTION("""COMPUTED_VALUE"""),"TOT")</f>
        <v>TOT</v>
      </c>
      <c r="E352" s="164" t="str">
        <f>IFERROR(__xludf.DUMMYFUNCTION("""COMPUTED_VALUE"""),"Versatile Big")</f>
        <v>Versatile Big</v>
      </c>
      <c r="F352" s="164">
        <f>IFERROR(__xludf.DUMMYFUNCTION("""COMPUTED_VALUE"""),62.725)</f>
        <v>62.725</v>
      </c>
      <c r="G352" s="163">
        <f>IFERROR(__xludf.DUMMYFUNCTION("""COMPUTED_VALUE"""),8.0)</f>
        <v>8</v>
      </c>
      <c r="H352" s="163" t="str">
        <f>IFERROR(__xludf.DUMMYFUNCTION("""COMPUTED_VALUE"""),"PF")</f>
        <v>PF</v>
      </c>
      <c r="I352" s="163">
        <f>IFERROR(__xludf.DUMMYFUNCTION("""COMPUTED_VALUE"""),25.0)</f>
        <v>25</v>
      </c>
      <c r="J352" s="165">
        <f>IFERROR(__xludf.DUMMYFUNCTION("""COMPUTED_VALUE"""),-0.401453421923002)</f>
        <v>-0.4014534219</v>
      </c>
      <c r="K352" s="165">
        <f>IFERROR(__xludf.DUMMYFUNCTION("""COMPUTED_VALUE"""),-0.166976422222743)</f>
        <v>-0.1669764222</v>
      </c>
      <c r="L352" s="165">
        <f>IFERROR(__xludf.DUMMYFUNCTION("""COMPUTED_VALUE"""),-0.234476999700259)</f>
        <v>-0.2344769997</v>
      </c>
      <c r="M352" s="166">
        <f t="shared" si="2"/>
        <v>0.07972795598</v>
      </c>
      <c r="N352" s="167">
        <f t="shared" si="3"/>
        <v>7.840625</v>
      </c>
      <c r="O352" s="163">
        <f t="shared" ref="O352:Q352" si="356">rank(I352,I:I)</f>
        <v>1995</v>
      </c>
      <c r="P352" s="163">
        <f t="shared" si="356"/>
        <v>1731</v>
      </c>
      <c r="Q352" s="163">
        <f t="shared" si="356"/>
        <v>1506</v>
      </c>
      <c r="R352" s="163">
        <f>IFERROR(__xludf.DUMMYFUNCTION("RANK(M352,filter(M:M,C:C=C352))"),364.0)</f>
        <v>364</v>
      </c>
      <c r="S352" s="161" t="b">
        <f t="shared" si="5"/>
        <v>0</v>
      </c>
      <c r="T352" s="161" t="b">
        <f t="array" ref="T352">index('Query Tool'!B:B,match(H352,'Query Tool'!C:C,0))</f>
        <v>1</v>
      </c>
      <c r="U352" s="161" t="b">
        <f t="array" ref="U352">index('Query Tool'!B:B,match(C352,'Query Tool'!C:C,0))</f>
        <v>0</v>
      </c>
      <c r="V352" s="161" t="b">
        <f>F352&gt;='Query Tool'!C$32</f>
        <v>0</v>
      </c>
      <c r="W352" s="161" t="b">
        <f t="array" ref="W352">index(Dropdowns!B:B,match(I352,Dropdowns!A:A,0))</f>
        <v>1</v>
      </c>
      <c r="X352" s="161" t="b">
        <f t="array" ref="X352">index('Query Tool'!B:B,match(D352,'Query Tool'!C:C,0))</f>
        <v>1</v>
      </c>
      <c r="Y352" s="161" t="str">
        <f t="shared" si="6"/>
        <v>thomama01,2013-14</v>
      </c>
      <c r="Z352" s="168">
        <f t="array" ref="Z352">iferror(index(I:I,match($A352&amp;","&amp;index('Year Conversion'!$A:$A,match($C352,'Year Conversion'!$B:$B,0)),$Y:$Y,0))-I352,"")</f>
        <v>1</v>
      </c>
      <c r="AA352" s="168">
        <f t="array" ref="AA352">iferror(index(J:J,match($A352&amp;","&amp;index('Year Conversion'!$A:$A,match($C352,'Year Conversion'!$B:$B,0)),$Y:$Y,0))-J352,"")</f>
        <v>-2.375085085</v>
      </c>
      <c r="AB352" s="168">
        <f t="array" ref="AB352">iferror(index(K:K,match($A352&amp;","&amp;index('Year Conversion'!$A:$A,match($C352,'Year Conversion'!$B:$B,0)),$Y:$Y,0))-K352,"")</f>
        <v>-1.908224682</v>
      </c>
      <c r="AC352" s="168" t="str">
        <f t="shared" si="7"/>
        <v>TOT,2013-14</v>
      </c>
    </row>
    <row r="353">
      <c r="A353" s="161" t="str">
        <f>IFERROR(__xludf.DUMMYFUNCTION("""COMPUTED_VALUE"""),"smithgr02")</f>
        <v>smithgr02</v>
      </c>
      <c r="B353" s="161" t="str">
        <f>IFERROR(__xludf.DUMMYFUNCTION("""COMPUTED_VALUE"""),"Greg Smith")</f>
        <v>Greg Smith</v>
      </c>
      <c r="C353" s="162" t="str">
        <f>IFERROR(__xludf.DUMMYFUNCTION("""COMPUTED_VALUE"""),"2013-14")</f>
        <v>2013-14</v>
      </c>
      <c r="D353" s="163" t="str">
        <f>IFERROR(__xludf.DUMMYFUNCTION("""COMPUTED_VALUE"""),"HOU")</f>
        <v>HOU</v>
      </c>
      <c r="E353" s="164" t="str">
        <f>IFERROR(__xludf.DUMMYFUNCTION("""COMPUTED_VALUE"""),"Roll + Cut Big")</f>
        <v>Roll + Cut Big</v>
      </c>
      <c r="F353" s="164">
        <f>IFERROR(__xludf.DUMMYFUNCTION("""COMPUTED_VALUE"""),100.295)</f>
        <v>100.295</v>
      </c>
      <c r="G353" s="163">
        <f>IFERROR(__xludf.DUMMYFUNCTION("""COMPUTED_VALUE"""),11.0)</f>
        <v>11</v>
      </c>
      <c r="H353" s="163" t="str">
        <f>IFERROR(__xludf.DUMMYFUNCTION("""COMPUTED_VALUE"""),"C")</f>
        <v>C</v>
      </c>
      <c r="I353" s="163">
        <f>IFERROR(__xludf.DUMMYFUNCTION("""COMPUTED_VALUE"""),23.0)</f>
        <v>23</v>
      </c>
      <c r="J353" s="165">
        <f>IFERROR(__xludf.DUMMYFUNCTION("""COMPUTED_VALUE"""),-1.1099956601147)</f>
        <v>-1.10999566</v>
      </c>
      <c r="K353" s="165">
        <f>IFERROR(__xludf.DUMMYFUNCTION("""COMPUTED_VALUE"""),-0.475068437874639)</f>
        <v>-0.4750684379</v>
      </c>
      <c r="L353" s="165">
        <f>IFERROR(__xludf.DUMMYFUNCTION("""COMPUTED_VALUE"""),-0.634927222240065)</f>
        <v>-0.6349272222</v>
      </c>
      <c r="M353" s="166">
        <f t="shared" si="2"/>
        <v>0.07969412074</v>
      </c>
      <c r="N353" s="167">
        <f t="shared" si="3"/>
        <v>9.117727273</v>
      </c>
      <c r="O353" s="163">
        <f t="shared" ref="O353:Q353" si="357">rank(I353,I:I)</f>
        <v>2765</v>
      </c>
      <c r="P353" s="163">
        <f t="shared" si="357"/>
        <v>2629</v>
      </c>
      <c r="Q353" s="163">
        <f t="shared" si="357"/>
        <v>2078</v>
      </c>
      <c r="R353" s="163">
        <f>IFERROR(__xludf.DUMMYFUNCTION("RANK(M353,filter(M:M,C:C=C353))"),365.0)</f>
        <v>365</v>
      </c>
      <c r="S353" s="161" t="b">
        <f t="shared" si="5"/>
        <v>0</v>
      </c>
      <c r="T353" s="161" t="b">
        <f t="array" ref="T353">index('Query Tool'!B:B,match(H353,'Query Tool'!C:C,0))</f>
        <v>1</v>
      </c>
      <c r="U353" s="161" t="b">
        <f t="array" ref="U353">index('Query Tool'!B:B,match(C353,'Query Tool'!C:C,0))</f>
        <v>0</v>
      </c>
      <c r="V353" s="161" t="b">
        <f>F353&gt;='Query Tool'!C$32</f>
        <v>0</v>
      </c>
      <c r="W353" s="161" t="b">
        <f t="array" ref="W353">index(Dropdowns!B:B,match(I353,Dropdowns!A:A,0))</f>
        <v>1</v>
      </c>
      <c r="X353" s="161" t="b">
        <f t="array" ref="X353">index('Query Tool'!B:B,match(D353,'Query Tool'!C:C,0))</f>
        <v>1</v>
      </c>
      <c r="Y353" s="161" t="str">
        <f t="shared" si="6"/>
        <v>smithgr02,2013-14</v>
      </c>
      <c r="Z353" s="168">
        <f t="array" ref="Z353">iferror(index(I:I,match($A353&amp;","&amp;index('Year Conversion'!$A:$A,match($C353,'Year Conversion'!$B:$B,0)),$Y:$Y,0))-I353,"")</f>
        <v>1</v>
      </c>
      <c r="AA353" s="168">
        <f t="array" ref="AA353">iferror(index(J:J,match($A353&amp;","&amp;index('Year Conversion'!$A:$A,match($C353,'Year Conversion'!$B:$B,0)),$Y:$Y,0))-J353,"")</f>
        <v>-1.393987774</v>
      </c>
      <c r="AB353" s="168">
        <f t="array" ref="AB353">iferror(index(K:K,match($A353&amp;","&amp;index('Year Conversion'!$A:$A,match($C353,'Year Conversion'!$B:$B,0)),$Y:$Y,0))-K353,"")</f>
        <v>-2.731335304</v>
      </c>
      <c r="AC353" s="168" t="str">
        <f t="shared" si="7"/>
        <v>HOU,2013-14</v>
      </c>
    </row>
    <row r="354">
      <c r="A354" s="161" t="str">
        <f>IFERROR(__xludf.DUMMYFUNCTION("""COMPUTED_VALUE"""),"ayongu01")</f>
        <v>ayongu01</v>
      </c>
      <c r="B354" s="161" t="str">
        <f>IFERROR(__xludf.DUMMYFUNCTION("""COMPUTED_VALUE"""),"Gustavo Ayon")</f>
        <v>Gustavo Ayon</v>
      </c>
      <c r="C354" s="162" t="str">
        <f>IFERROR(__xludf.DUMMYFUNCTION("""COMPUTED_VALUE"""),"2013-14")</f>
        <v>2013-14</v>
      </c>
      <c r="D354" s="163" t="str">
        <f>IFERROR(__xludf.DUMMYFUNCTION("""COMPUTED_VALUE"""),"ATL")</f>
        <v>ATL</v>
      </c>
      <c r="E354" s="164" t="str">
        <f>IFERROR(__xludf.DUMMYFUNCTION("""COMPUTED_VALUE"""),"Roll + Cut Big")</f>
        <v>Roll + Cut Big</v>
      </c>
      <c r="F354" s="164">
        <f>IFERROR(__xludf.DUMMYFUNCTION("""COMPUTED_VALUE"""),429.25)</f>
        <v>429.25</v>
      </c>
      <c r="G354" s="163">
        <f>IFERROR(__xludf.DUMMYFUNCTION("""COMPUTED_VALUE"""),26.0)</f>
        <v>26</v>
      </c>
      <c r="H354" s="163" t="str">
        <f>IFERROR(__xludf.DUMMYFUNCTION("""COMPUTED_VALUE"""),"C")</f>
        <v>C</v>
      </c>
      <c r="I354" s="163">
        <f>IFERROR(__xludf.DUMMYFUNCTION("""COMPUTED_VALUE"""),28.0)</f>
        <v>28</v>
      </c>
      <c r="J354" s="165">
        <f>IFERROR(__xludf.DUMMYFUNCTION("""COMPUTED_VALUE"""),-0.705161190386544)</f>
        <v>-0.7051611904</v>
      </c>
      <c r="K354" s="165">
        <f>IFERROR(__xludf.DUMMYFUNCTION("""COMPUTED_VALUE"""),-2.10024343227939)</f>
        <v>-2.100243432</v>
      </c>
      <c r="L354" s="165">
        <f>IFERROR(__xludf.DUMMYFUNCTION("""COMPUTED_VALUE"""),1.39508224189284)</f>
        <v>1.395082242</v>
      </c>
      <c r="M354" s="166">
        <f t="shared" si="2"/>
        <v>0.4578304542</v>
      </c>
      <c r="N354" s="167">
        <f t="shared" si="3"/>
        <v>16.50961538</v>
      </c>
      <c r="O354" s="163">
        <f t="shared" ref="O354:Q354" si="358">rank(I354,I:I)</f>
        <v>1090</v>
      </c>
      <c r="P354" s="163">
        <f t="shared" si="358"/>
        <v>2152</v>
      </c>
      <c r="Q354" s="163">
        <f t="shared" si="358"/>
        <v>3765</v>
      </c>
      <c r="R354" s="163">
        <f>IFERROR(__xludf.DUMMYFUNCTION("RANK(M354,filter(M:M,C:C=C354))"),284.0)</f>
        <v>284</v>
      </c>
      <c r="S354" s="161" t="b">
        <f t="shared" si="5"/>
        <v>0</v>
      </c>
      <c r="T354" s="161" t="b">
        <f t="array" ref="T354">index('Query Tool'!B:B,match(H354,'Query Tool'!C:C,0))</f>
        <v>1</v>
      </c>
      <c r="U354" s="161" t="b">
        <f t="array" ref="U354">index('Query Tool'!B:B,match(C354,'Query Tool'!C:C,0))</f>
        <v>0</v>
      </c>
      <c r="V354" s="161" t="b">
        <f>F354&gt;='Query Tool'!C$32</f>
        <v>0</v>
      </c>
      <c r="W354" s="161" t="b">
        <f t="array" ref="W354">index(Dropdowns!B:B,match(I354,Dropdowns!A:A,0))</f>
        <v>1</v>
      </c>
      <c r="X354" s="161" t="b">
        <f t="array" ref="X354">index('Query Tool'!B:B,match(D354,'Query Tool'!C:C,0))</f>
        <v>1</v>
      </c>
      <c r="Y354" s="161" t="str">
        <f t="shared" si="6"/>
        <v>ayongu01,2013-14</v>
      </c>
      <c r="Z354" s="168" t="str">
        <f t="array" ref="Z354">iferror(index(I:I,match($A354&amp;","&amp;index('Year Conversion'!$A:$A,match($C354,'Year Conversion'!$B:$B,0)),$Y:$Y,0))-I354,"")</f>
        <v/>
      </c>
      <c r="AA354" s="168" t="str">
        <f t="array" ref="AA354">iferror(index(J:J,match($A354&amp;","&amp;index('Year Conversion'!$A:$A,match($C354,'Year Conversion'!$B:$B,0)),$Y:$Y,0))-J354,"")</f>
        <v/>
      </c>
      <c r="AB354" s="168" t="str">
        <f t="array" ref="AB354">iferror(index(K:K,match($A354&amp;","&amp;index('Year Conversion'!$A:$A,match($C354,'Year Conversion'!$B:$B,0)),$Y:$Y,0))-K354,"")</f>
        <v/>
      </c>
      <c r="AC354" s="168" t="str">
        <f t="shared" si="7"/>
        <v>ATL,2013-14</v>
      </c>
    </row>
    <row r="355">
      <c r="A355" s="161" t="str">
        <f>IFERROR(__xludf.DUMMYFUNCTION("""COMPUTED_VALUE"""),"davisan02")</f>
        <v>davisan02</v>
      </c>
      <c r="B355" s="161" t="str">
        <f>IFERROR(__xludf.DUMMYFUNCTION("""COMPUTED_VALUE"""),"Anthony Davis")</f>
        <v>Anthony Davis</v>
      </c>
      <c r="C355" s="162" t="str">
        <f>IFERROR(__xludf.DUMMYFUNCTION("""COMPUTED_VALUE"""),"2013-14")</f>
        <v>2013-14</v>
      </c>
      <c r="D355" s="163" t="str">
        <f>IFERROR(__xludf.DUMMYFUNCTION("""COMPUTED_VALUE"""),"NOP")</f>
        <v>NOP</v>
      </c>
      <c r="E355" s="164" t="str">
        <f>IFERROR(__xludf.DUMMYFUNCTION("""COMPUTED_VALUE"""),"Roll + Cut Big")</f>
        <v>Roll + Cut Big</v>
      </c>
      <c r="F355" s="164">
        <f>IFERROR(__xludf.DUMMYFUNCTION("""COMPUTED_VALUE"""),2357.77166666667)</f>
        <v>2357.771667</v>
      </c>
      <c r="G355" s="163">
        <f>IFERROR(__xludf.DUMMYFUNCTION("""COMPUTED_VALUE"""),67.0)</f>
        <v>67</v>
      </c>
      <c r="H355" s="163" t="str">
        <f>IFERROR(__xludf.DUMMYFUNCTION("""COMPUTED_VALUE"""),"PF")</f>
        <v>PF</v>
      </c>
      <c r="I355" s="163">
        <f>IFERROR(__xludf.DUMMYFUNCTION("""COMPUTED_VALUE"""),20.0)</f>
        <v>20</v>
      </c>
      <c r="J355" s="165">
        <f>IFERROR(__xludf.DUMMYFUNCTION("""COMPUTED_VALUE"""),3.58588104245573)</f>
        <v>3.585881042</v>
      </c>
      <c r="K355" s="165">
        <f>IFERROR(__xludf.DUMMYFUNCTION("""COMPUTED_VALUE"""),2.11424342793526)</f>
        <v>2.114243428</v>
      </c>
      <c r="L355" s="165">
        <f>IFERROR(__xludf.DUMMYFUNCTION("""COMPUTED_VALUE"""),1.47163761452047)</f>
        <v>1.471637615</v>
      </c>
      <c r="M355" s="166">
        <f t="shared" si="2"/>
        <v>9.235274741</v>
      </c>
      <c r="N355" s="167">
        <f t="shared" si="3"/>
        <v>35.19062189</v>
      </c>
      <c r="O355" s="163">
        <f t="shared" ref="O355:Q355" si="359">rank(I355,I:I)</f>
        <v>3770</v>
      </c>
      <c r="P355" s="163">
        <f t="shared" si="359"/>
        <v>122</v>
      </c>
      <c r="Q355" s="163">
        <f t="shared" si="359"/>
        <v>213</v>
      </c>
      <c r="R355" s="163">
        <f>IFERROR(__xludf.DUMMYFUNCTION("RANK(M355,filter(M:M,C:C=C355))"),18.0)</f>
        <v>18</v>
      </c>
      <c r="S355" s="161" t="b">
        <f t="shared" si="5"/>
        <v>0</v>
      </c>
      <c r="T355" s="161" t="b">
        <f t="array" ref="T355">index('Query Tool'!B:B,match(H355,'Query Tool'!C:C,0))</f>
        <v>1</v>
      </c>
      <c r="U355" s="161" t="b">
        <f t="array" ref="U355">index('Query Tool'!B:B,match(C355,'Query Tool'!C:C,0))</f>
        <v>0</v>
      </c>
      <c r="V355" s="161" t="b">
        <f>F355&gt;='Query Tool'!C$32</f>
        <v>1</v>
      </c>
      <c r="W355" s="161" t="b">
        <f t="array" ref="W355">index(Dropdowns!B:B,match(I355,Dropdowns!A:A,0))</f>
        <v>1</v>
      </c>
      <c r="X355" s="161" t="b">
        <f t="array" ref="X355">index('Query Tool'!B:B,match(D355,'Query Tool'!C:C,0))</f>
        <v>1</v>
      </c>
      <c r="Y355" s="161" t="str">
        <f t="shared" si="6"/>
        <v>davisan02,2013-14</v>
      </c>
      <c r="Z355" s="168">
        <f t="array" ref="Z355">iferror(index(I:I,match($A355&amp;","&amp;index('Year Conversion'!$A:$A,match($C355,'Year Conversion'!$B:$B,0)),$Y:$Y,0))-I355,"")</f>
        <v>1</v>
      </c>
      <c r="AA355" s="168">
        <f t="array" ref="AA355">iferror(index(J:J,match($A355&amp;","&amp;index('Year Conversion'!$A:$A,match($C355,'Year Conversion'!$B:$B,0)),$Y:$Y,0))-J355,"")</f>
        <v>3.039516689</v>
      </c>
      <c r="AB355" s="168">
        <f t="array" ref="AB355">iferror(index(K:K,match($A355&amp;","&amp;index('Year Conversion'!$A:$A,match($C355,'Year Conversion'!$B:$B,0)),$Y:$Y,0))-K355,"")</f>
        <v>1.677758299</v>
      </c>
      <c r="AC355" s="168" t="str">
        <f t="shared" si="7"/>
        <v>NOP,2013-14</v>
      </c>
    </row>
    <row r="356">
      <c r="A356" s="161" t="str">
        <f>IFERROR(__xludf.DUMMYFUNCTION("""COMPUTED_VALUE"""),"kiddgmi01")</f>
        <v>kiddgmi01</v>
      </c>
      <c r="B356" s="161" t="str">
        <f>IFERROR(__xludf.DUMMYFUNCTION("""COMPUTED_VALUE"""),"Michael Kidd-Gilchrist")</f>
        <v>Michael Kidd-Gilchrist</v>
      </c>
      <c r="C356" s="162" t="str">
        <f>IFERROR(__xludf.DUMMYFUNCTION("""COMPUTED_VALUE"""),"2013-14")</f>
        <v>2013-14</v>
      </c>
      <c r="D356" s="163" t="str">
        <f>IFERROR(__xludf.DUMMYFUNCTION("""COMPUTED_VALUE"""),"CHA")</f>
        <v>CHA</v>
      </c>
      <c r="E356" s="164" t="str">
        <f>IFERROR(__xludf.DUMMYFUNCTION("""COMPUTED_VALUE"""),"Roll + Cut Big")</f>
        <v>Roll + Cut Big</v>
      </c>
      <c r="F356" s="164">
        <f>IFERROR(__xludf.DUMMYFUNCTION("""COMPUTED_VALUE"""),1502.06833333333)</f>
        <v>1502.068333</v>
      </c>
      <c r="G356" s="163">
        <f>IFERROR(__xludf.DUMMYFUNCTION("""COMPUTED_VALUE"""),62.0)</f>
        <v>62</v>
      </c>
      <c r="H356" s="163" t="str">
        <f>IFERROR(__xludf.DUMMYFUNCTION("""COMPUTED_VALUE"""),"SF")</f>
        <v>SF</v>
      </c>
      <c r="I356" s="163">
        <f>IFERROR(__xludf.DUMMYFUNCTION("""COMPUTED_VALUE"""),20.0)</f>
        <v>20</v>
      </c>
      <c r="J356" s="165">
        <f>IFERROR(__xludf.DUMMYFUNCTION("""COMPUTED_VALUE"""),1.1487014461607)</f>
        <v>1.148701446</v>
      </c>
      <c r="K356" s="165">
        <f>IFERROR(__xludf.DUMMYFUNCTION("""COMPUTED_VALUE"""),-0.843440965257535)</f>
        <v>-0.8434409653</v>
      </c>
      <c r="L356" s="165">
        <f>IFERROR(__xludf.DUMMYFUNCTION("""COMPUTED_VALUE"""),1.99214241141823)</f>
        <v>1.992142411</v>
      </c>
      <c r="M356" s="166">
        <f t="shared" si="2"/>
        <v>3.476827063</v>
      </c>
      <c r="N356" s="167">
        <f t="shared" si="3"/>
        <v>24.2269086</v>
      </c>
      <c r="O356" s="163">
        <f t="shared" ref="O356:Q356" si="360">rank(I356,I:I)</f>
        <v>3770</v>
      </c>
      <c r="P356" s="163">
        <f t="shared" si="360"/>
        <v>596</v>
      </c>
      <c r="Q356" s="163">
        <f t="shared" si="360"/>
        <v>2611</v>
      </c>
      <c r="R356" s="163">
        <f>IFERROR(__xludf.DUMMYFUNCTION("RANK(M356,filter(M:M,C:C=C356))"),100.0)</f>
        <v>100</v>
      </c>
      <c r="S356" s="161" t="b">
        <f t="shared" si="5"/>
        <v>0</v>
      </c>
      <c r="T356" s="161" t="b">
        <f t="array" ref="T356">index('Query Tool'!B:B,match(H356,'Query Tool'!C:C,0))</f>
        <v>1</v>
      </c>
      <c r="U356" s="161" t="b">
        <f t="array" ref="U356">index('Query Tool'!B:B,match(C356,'Query Tool'!C:C,0))</f>
        <v>0</v>
      </c>
      <c r="V356" s="161" t="b">
        <f>F356&gt;='Query Tool'!C$32</f>
        <v>1</v>
      </c>
      <c r="W356" s="161" t="b">
        <f t="array" ref="W356">index(Dropdowns!B:B,match(I356,Dropdowns!A:A,0))</f>
        <v>1</v>
      </c>
      <c r="X356" s="161" t="b">
        <f t="array" ref="X356">index('Query Tool'!B:B,match(D356,'Query Tool'!C:C,0))</f>
        <v>1</v>
      </c>
      <c r="Y356" s="161" t="str">
        <f t="shared" si="6"/>
        <v>kiddgmi01,2013-14</v>
      </c>
      <c r="Z356" s="168">
        <f t="array" ref="Z356">iferror(index(I:I,match($A356&amp;","&amp;index('Year Conversion'!$A:$A,match($C356,'Year Conversion'!$B:$B,0)),$Y:$Y,0))-I356,"")</f>
        <v>1</v>
      </c>
      <c r="AA356" s="168">
        <f t="array" ref="AA356">iferror(index(J:J,match($A356&amp;","&amp;index('Year Conversion'!$A:$A,match($C356,'Year Conversion'!$B:$B,0)),$Y:$Y,0))-J356,"")</f>
        <v>1.00406243</v>
      </c>
      <c r="AB356" s="168">
        <f t="array" ref="AB356">iferror(index(K:K,match($A356&amp;","&amp;index('Year Conversion'!$A:$A,match($C356,'Year Conversion'!$B:$B,0)),$Y:$Y,0))-K356,"")</f>
        <v>0.6399252958</v>
      </c>
      <c r="AC356" s="168" t="str">
        <f t="shared" si="7"/>
        <v>CHA,2013-14</v>
      </c>
    </row>
    <row r="357">
      <c r="A357" s="161" t="str">
        <f>IFERROR(__xludf.DUMMYFUNCTION("""COMPUTED_VALUE"""),"bealbr01")</f>
        <v>bealbr01</v>
      </c>
      <c r="B357" s="161" t="str">
        <f>IFERROR(__xludf.DUMMYFUNCTION("""COMPUTED_VALUE"""),"Bradley Beal")</f>
        <v>Bradley Beal</v>
      </c>
      <c r="C357" s="162" t="str">
        <f>IFERROR(__xludf.DUMMYFUNCTION("""COMPUTED_VALUE"""),"2013-14")</f>
        <v>2013-14</v>
      </c>
      <c r="D357" s="163" t="str">
        <f>IFERROR(__xludf.DUMMYFUNCTION("""COMPUTED_VALUE"""),"WAS")</f>
        <v>WAS</v>
      </c>
      <c r="E357" s="164" t="str">
        <f>IFERROR(__xludf.DUMMYFUNCTION("""COMPUTED_VALUE"""),"Secondary Ball Handler")</f>
        <v>Secondary Ball Handler</v>
      </c>
      <c r="F357" s="164">
        <f>IFERROR(__xludf.DUMMYFUNCTION("""COMPUTED_VALUE"""),2530.01833333333)</f>
        <v>2530.018333</v>
      </c>
      <c r="G357" s="163">
        <f>IFERROR(__xludf.DUMMYFUNCTION("""COMPUTED_VALUE"""),73.0)</f>
        <v>73</v>
      </c>
      <c r="H357" s="163" t="str">
        <f>IFERROR(__xludf.DUMMYFUNCTION("""COMPUTED_VALUE"""),"SG")</f>
        <v>SG</v>
      </c>
      <c r="I357" s="163">
        <f>IFERROR(__xludf.DUMMYFUNCTION("""COMPUTED_VALUE"""),20.0)</f>
        <v>20</v>
      </c>
      <c r="J357" s="165">
        <f>IFERROR(__xludf.DUMMYFUNCTION("""COMPUTED_VALUE"""),-0.808751578968435)</f>
        <v>-0.808751579</v>
      </c>
      <c r="K357" s="165">
        <f>IFERROR(__xludf.DUMMYFUNCTION("""COMPUTED_VALUE"""),0.279947710050245)</f>
        <v>0.2799477101</v>
      </c>
      <c r="L357" s="165">
        <f>IFERROR(__xludf.DUMMYFUNCTION("""COMPUTED_VALUE"""),-1.08869928901868)</f>
        <v>-1.088699289</v>
      </c>
      <c r="M357" s="166">
        <f t="shared" si="2"/>
        <v>2.522199273</v>
      </c>
      <c r="N357" s="167">
        <f t="shared" si="3"/>
        <v>34.65778539</v>
      </c>
      <c r="O357" s="163">
        <f t="shared" ref="O357:Q357" si="361">rank(I357,I:I)</f>
        <v>3770</v>
      </c>
      <c r="P357" s="163">
        <f t="shared" si="361"/>
        <v>2290</v>
      </c>
      <c r="Q357" s="163">
        <f t="shared" si="361"/>
        <v>929</v>
      </c>
      <c r="R357" s="163">
        <f>IFERROR(__xludf.DUMMYFUNCTION("RANK(M357,filter(M:M,C:C=C357))"),132.0)</f>
        <v>132</v>
      </c>
      <c r="S357" s="161" t="b">
        <f t="shared" si="5"/>
        <v>0</v>
      </c>
      <c r="T357" s="161" t="b">
        <f t="array" ref="T357">index('Query Tool'!B:B,match(H357,'Query Tool'!C:C,0))</f>
        <v>1</v>
      </c>
      <c r="U357" s="161" t="b">
        <f t="array" ref="U357">index('Query Tool'!B:B,match(C357,'Query Tool'!C:C,0))</f>
        <v>0</v>
      </c>
      <c r="V357" s="161" t="b">
        <f>F357&gt;='Query Tool'!C$32</f>
        <v>1</v>
      </c>
      <c r="W357" s="161" t="b">
        <f t="array" ref="W357">index(Dropdowns!B:B,match(I357,Dropdowns!A:A,0))</f>
        <v>1</v>
      </c>
      <c r="X357" s="161" t="b">
        <f t="array" ref="X357">index('Query Tool'!B:B,match(D357,'Query Tool'!C:C,0))</f>
        <v>1</v>
      </c>
      <c r="Y357" s="161" t="str">
        <f t="shared" si="6"/>
        <v>bealbr01,2013-14</v>
      </c>
      <c r="Z357" s="168">
        <f t="array" ref="Z357">iferror(index(I:I,match($A357&amp;","&amp;index('Year Conversion'!$A:$A,match($C357,'Year Conversion'!$B:$B,0)),$Y:$Y,0))-I357,"")</f>
        <v>1</v>
      </c>
      <c r="AA357" s="168">
        <f t="array" ref="AA357">iferror(index(J:J,match($A357&amp;","&amp;index('Year Conversion'!$A:$A,match($C357,'Year Conversion'!$B:$B,0)),$Y:$Y,0))-J357,"")</f>
        <v>1.013914031</v>
      </c>
      <c r="AB357" s="168">
        <f t="array" ref="AB357">iferror(index(K:K,match($A357&amp;","&amp;index('Year Conversion'!$A:$A,match($C357,'Year Conversion'!$B:$B,0)),$Y:$Y,0))-K357,"")</f>
        <v>-0.14189932</v>
      </c>
      <c r="AC357" s="168" t="str">
        <f t="shared" si="7"/>
        <v>WAS,2013-14</v>
      </c>
    </row>
    <row r="358">
      <c r="A358" s="161" t="str">
        <f>IFERROR(__xludf.DUMMYFUNCTION("""COMPUTED_VALUE"""),"waitedi01")</f>
        <v>waitedi01</v>
      </c>
      <c r="B358" s="161" t="str">
        <f>IFERROR(__xludf.DUMMYFUNCTION("""COMPUTED_VALUE"""),"Dion Waiters")</f>
        <v>Dion Waiters</v>
      </c>
      <c r="C358" s="162" t="str">
        <f>IFERROR(__xludf.DUMMYFUNCTION("""COMPUTED_VALUE"""),"2013-14")</f>
        <v>2013-14</v>
      </c>
      <c r="D358" s="163" t="str">
        <f>IFERROR(__xludf.DUMMYFUNCTION("""COMPUTED_VALUE"""),"CLE")</f>
        <v>CLE</v>
      </c>
      <c r="E358" s="164" t="str">
        <f>IFERROR(__xludf.DUMMYFUNCTION("""COMPUTED_VALUE"""),"Shot Creator")</f>
        <v>Shot Creator</v>
      </c>
      <c r="F358" s="164">
        <f>IFERROR(__xludf.DUMMYFUNCTION("""COMPUTED_VALUE"""),2072.03)</f>
        <v>2072.03</v>
      </c>
      <c r="G358" s="163">
        <f>IFERROR(__xludf.DUMMYFUNCTION("""COMPUTED_VALUE"""),70.0)</f>
        <v>70</v>
      </c>
      <c r="H358" s="163" t="str">
        <f>IFERROR(__xludf.DUMMYFUNCTION("""COMPUTED_VALUE"""),"SG")</f>
        <v>SG</v>
      </c>
      <c r="I358" s="163">
        <f>IFERROR(__xludf.DUMMYFUNCTION("""COMPUTED_VALUE"""),22.0)</f>
        <v>22</v>
      </c>
      <c r="J358" s="165">
        <f>IFERROR(__xludf.DUMMYFUNCTION("""COMPUTED_VALUE"""),-1.91072386361905)</f>
        <v>-1.910723864</v>
      </c>
      <c r="K358" s="165">
        <f>IFERROR(__xludf.DUMMYFUNCTION("""COMPUTED_VALUE"""),-0.755000284775455)</f>
        <v>-0.7550002848</v>
      </c>
      <c r="L358" s="165">
        <f>IFERROR(__xludf.DUMMYFUNCTION("""COMPUTED_VALUE"""),-1.1557235788436)</f>
        <v>-1.155723579</v>
      </c>
      <c r="M358" s="166">
        <f t="shared" si="2"/>
        <v>0.5386656348</v>
      </c>
      <c r="N358" s="167">
        <f t="shared" si="3"/>
        <v>29.60042857</v>
      </c>
      <c r="O358" s="163">
        <f t="shared" ref="O358:Q358" si="362">rank(I358,I:I)</f>
        <v>3178</v>
      </c>
      <c r="P358" s="163">
        <f t="shared" si="362"/>
        <v>3426</v>
      </c>
      <c r="Q358" s="163">
        <f t="shared" si="362"/>
        <v>2486</v>
      </c>
      <c r="R358" s="163">
        <f>IFERROR(__xludf.DUMMYFUNCTION("RANK(M358,filter(M:M,C:C=C358))"),264.0)</f>
        <v>264</v>
      </c>
      <c r="S358" s="161" t="b">
        <f t="shared" si="5"/>
        <v>0</v>
      </c>
      <c r="T358" s="161" t="b">
        <f t="array" ref="T358">index('Query Tool'!B:B,match(H358,'Query Tool'!C:C,0))</f>
        <v>1</v>
      </c>
      <c r="U358" s="161" t="b">
        <f t="array" ref="U358">index('Query Tool'!B:B,match(C358,'Query Tool'!C:C,0))</f>
        <v>0</v>
      </c>
      <c r="V358" s="161" t="b">
        <f>F358&gt;='Query Tool'!C$32</f>
        <v>1</v>
      </c>
      <c r="W358" s="161" t="b">
        <f t="array" ref="W358">index(Dropdowns!B:B,match(I358,Dropdowns!A:A,0))</f>
        <v>1</v>
      </c>
      <c r="X358" s="161" t="b">
        <f t="array" ref="X358">index('Query Tool'!B:B,match(D358,'Query Tool'!C:C,0))</f>
        <v>1</v>
      </c>
      <c r="Y358" s="161" t="str">
        <f t="shared" si="6"/>
        <v>waitedi01,2013-14</v>
      </c>
      <c r="Z358" s="168">
        <f t="array" ref="Z358">iferror(index(I:I,match($A358&amp;","&amp;index('Year Conversion'!$A:$A,match($C358,'Year Conversion'!$B:$B,0)),$Y:$Y,0))-I358,"")</f>
        <v>1</v>
      </c>
      <c r="AA358" s="168">
        <f t="array" ref="AA358">iferror(index(J:J,match($A358&amp;","&amp;index('Year Conversion'!$A:$A,match($C358,'Year Conversion'!$B:$B,0)),$Y:$Y,0))-J358,"")</f>
        <v>0.7018499918</v>
      </c>
      <c r="AB358" s="168">
        <f t="array" ref="AB358">iferror(index(K:K,match($A358&amp;","&amp;index('Year Conversion'!$A:$A,match($C358,'Year Conversion'!$B:$B,0)),$Y:$Y,0))-K358,"")</f>
        <v>0.1644111354</v>
      </c>
      <c r="AC358" s="168" t="str">
        <f t="shared" si="7"/>
        <v>CLE,2013-14</v>
      </c>
    </row>
    <row r="359">
      <c r="A359" s="161" t="str">
        <f>IFERROR(__xludf.DUMMYFUNCTION("""COMPUTED_VALUE"""),"robinth01")</f>
        <v>robinth01</v>
      </c>
      <c r="B359" s="161" t="str">
        <f>IFERROR(__xludf.DUMMYFUNCTION("""COMPUTED_VALUE"""),"Thomas Robinson")</f>
        <v>Thomas Robinson</v>
      </c>
      <c r="C359" s="162" t="str">
        <f>IFERROR(__xludf.DUMMYFUNCTION("""COMPUTED_VALUE"""),"2013-14")</f>
        <v>2013-14</v>
      </c>
      <c r="D359" s="163" t="str">
        <f>IFERROR(__xludf.DUMMYFUNCTION("""COMPUTED_VALUE"""),"POR")</f>
        <v>POR</v>
      </c>
      <c r="E359" s="164" t="str">
        <f>IFERROR(__xludf.DUMMYFUNCTION("""COMPUTED_VALUE"""),"Roll + Cut Big")</f>
        <v>Roll + Cut Big</v>
      </c>
      <c r="F359" s="164">
        <f>IFERROR(__xludf.DUMMYFUNCTION("""COMPUTED_VALUE"""),872.975)</f>
        <v>872.975</v>
      </c>
      <c r="G359" s="163">
        <f>IFERROR(__xludf.DUMMYFUNCTION("""COMPUTED_VALUE"""),70.0)</f>
        <v>70</v>
      </c>
      <c r="H359" s="163" t="str">
        <f>IFERROR(__xludf.DUMMYFUNCTION("""COMPUTED_VALUE"""),"PF")</f>
        <v>PF</v>
      </c>
      <c r="I359" s="163">
        <f>IFERROR(__xludf.DUMMYFUNCTION("""COMPUTED_VALUE"""),22.0)</f>
        <v>22</v>
      </c>
      <c r="J359" s="165">
        <f>IFERROR(__xludf.DUMMYFUNCTION("""COMPUTED_VALUE"""),-1.46370393407261)</f>
        <v>-1.463703934</v>
      </c>
      <c r="K359" s="165">
        <f>IFERROR(__xludf.DUMMYFUNCTION("""COMPUTED_VALUE"""),-0.774328029760088)</f>
        <v>-0.7743280298</v>
      </c>
      <c r="L359" s="165">
        <f>IFERROR(__xludf.DUMMYFUNCTION("""COMPUTED_VALUE"""),-0.689375904312522)</f>
        <v>-0.6893759043</v>
      </c>
      <c r="M359" s="166">
        <f t="shared" si="2"/>
        <v>0.4869270602</v>
      </c>
      <c r="N359" s="167">
        <f t="shared" si="3"/>
        <v>12.47107143</v>
      </c>
      <c r="O359" s="163">
        <f t="shared" ref="O359:Q359" si="363">rank(I359,I:I)</f>
        <v>3178</v>
      </c>
      <c r="P359" s="163">
        <f t="shared" si="363"/>
        <v>3020</v>
      </c>
      <c r="Q359" s="163">
        <f t="shared" si="363"/>
        <v>2523</v>
      </c>
      <c r="R359" s="163">
        <f>IFERROR(__xludf.DUMMYFUNCTION("RANK(M359,filter(M:M,C:C=C359))"),276.0)</f>
        <v>276</v>
      </c>
      <c r="S359" s="161" t="b">
        <f t="shared" si="5"/>
        <v>0</v>
      </c>
      <c r="T359" s="161" t="b">
        <f t="array" ref="T359">index('Query Tool'!B:B,match(H359,'Query Tool'!C:C,0))</f>
        <v>1</v>
      </c>
      <c r="U359" s="161" t="b">
        <f t="array" ref="U359">index('Query Tool'!B:B,match(C359,'Query Tool'!C:C,0))</f>
        <v>0</v>
      </c>
      <c r="V359" s="161" t="b">
        <f>F359&gt;='Query Tool'!C$32</f>
        <v>1</v>
      </c>
      <c r="W359" s="161" t="b">
        <f t="array" ref="W359">index(Dropdowns!B:B,match(I359,Dropdowns!A:A,0))</f>
        <v>1</v>
      </c>
      <c r="X359" s="161" t="b">
        <f t="array" ref="X359">index('Query Tool'!B:B,match(D359,'Query Tool'!C:C,0))</f>
        <v>1</v>
      </c>
      <c r="Y359" s="161" t="str">
        <f t="shared" si="6"/>
        <v>robinth01,2013-14</v>
      </c>
      <c r="Z359" s="168">
        <f t="array" ref="Z359">iferror(index(I:I,match($A359&amp;","&amp;index('Year Conversion'!$A:$A,match($C359,'Year Conversion'!$B:$B,0)),$Y:$Y,0))-I359,"")</f>
        <v>1</v>
      </c>
      <c r="AA359" s="168">
        <f t="array" ref="AA359">iferror(index(J:J,match($A359&amp;","&amp;index('Year Conversion'!$A:$A,match($C359,'Year Conversion'!$B:$B,0)),$Y:$Y,0))-J359,"")</f>
        <v>1.14069148</v>
      </c>
      <c r="AB359" s="168">
        <f t="array" ref="AB359">iferror(index(K:K,match($A359&amp;","&amp;index('Year Conversion'!$A:$A,match($C359,'Year Conversion'!$B:$B,0)),$Y:$Y,0))-K359,"")</f>
        <v>-0.3498504251</v>
      </c>
      <c r="AC359" s="168" t="str">
        <f t="shared" si="7"/>
        <v>POR,2013-14</v>
      </c>
    </row>
    <row r="360">
      <c r="A360" s="161" t="str">
        <f>IFERROR(__xludf.DUMMYFUNCTION("""COMPUTED_VALUE"""),"lillada01")</f>
        <v>lillada01</v>
      </c>
      <c r="B360" s="161" t="str">
        <f>IFERROR(__xludf.DUMMYFUNCTION("""COMPUTED_VALUE"""),"Damian Lillard")</f>
        <v>Damian Lillard</v>
      </c>
      <c r="C360" s="162" t="str">
        <f>IFERROR(__xludf.DUMMYFUNCTION("""COMPUTED_VALUE"""),"2013-14")</f>
        <v>2013-14</v>
      </c>
      <c r="D360" s="163" t="str">
        <f>IFERROR(__xludf.DUMMYFUNCTION("""COMPUTED_VALUE"""),"POR")</f>
        <v>POR</v>
      </c>
      <c r="E360" s="164" t="str">
        <f>IFERROR(__xludf.DUMMYFUNCTION("""COMPUTED_VALUE"""),"Primary Ball Handler")</f>
        <v>Primary Ball Handler</v>
      </c>
      <c r="F360" s="164">
        <f>IFERROR(__xludf.DUMMYFUNCTION("""COMPUTED_VALUE"""),2936.615)</f>
        <v>2936.615</v>
      </c>
      <c r="G360" s="163">
        <f>IFERROR(__xludf.DUMMYFUNCTION("""COMPUTED_VALUE"""),82.0)</f>
        <v>82</v>
      </c>
      <c r="H360" s="163" t="str">
        <f>IFERROR(__xludf.DUMMYFUNCTION("""COMPUTED_VALUE"""),"PG")</f>
        <v>PG</v>
      </c>
      <c r="I360" s="163">
        <f>IFERROR(__xludf.DUMMYFUNCTION("""COMPUTED_VALUE"""),23.0)</f>
        <v>23</v>
      </c>
      <c r="J360" s="165">
        <f>IFERROR(__xludf.DUMMYFUNCTION("""COMPUTED_VALUE"""),2.20220307926873)</f>
        <v>2.202203079</v>
      </c>
      <c r="K360" s="165">
        <f>IFERROR(__xludf.DUMMYFUNCTION("""COMPUTED_VALUE"""),3.00257761169669)</f>
        <v>3.002577612</v>
      </c>
      <c r="L360" s="165">
        <f>IFERROR(__xludf.DUMMYFUNCTION("""COMPUTED_VALUE"""),-0.800374532427957)</f>
        <v>-0.8003745324</v>
      </c>
      <c r="M360" s="166">
        <f t="shared" si="2"/>
        <v>8.858143444</v>
      </c>
      <c r="N360" s="167">
        <f t="shared" si="3"/>
        <v>35.81237805</v>
      </c>
      <c r="O360" s="163">
        <f t="shared" ref="O360:Q360" si="364">rank(I360,I:I)</f>
        <v>2765</v>
      </c>
      <c r="P360" s="163">
        <f t="shared" si="364"/>
        <v>271</v>
      </c>
      <c r="Q360" s="163">
        <f t="shared" si="364"/>
        <v>124</v>
      </c>
      <c r="R360" s="163">
        <f>IFERROR(__xludf.DUMMYFUNCTION("RANK(M360,filter(M:M,C:C=C360))"),22.0)</f>
        <v>22</v>
      </c>
      <c r="S360" s="161" t="b">
        <f t="shared" si="5"/>
        <v>0</v>
      </c>
      <c r="T360" s="161" t="b">
        <f t="array" ref="T360">index('Query Tool'!B:B,match(H360,'Query Tool'!C:C,0))</f>
        <v>1</v>
      </c>
      <c r="U360" s="161" t="b">
        <f t="array" ref="U360">index('Query Tool'!B:B,match(C360,'Query Tool'!C:C,0))</f>
        <v>0</v>
      </c>
      <c r="V360" s="161" t="b">
        <f>F360&gt;='Query Tool'!C$32</f>
        <v>1</v>
      </c>
      <c r="W360" s="161" t="b">
        <f t="array" ref="W360">index(Dropdowns!B:B,match(I360,Dropdowns!A:A,0))</f>
        <v>1</v>
      </c>
      <c r="X360" s="161" t="b">
        <f t="array" ref="X360">index('Query Tool'!B:B,match(D360,'Query Tool'!C:C,0))</f>
        <v>1</v>
      </c>
      <c r="Y360" s="161" t="str">
        <f t="shared" si="6"/>
        <v>lillada01,2013-14</v>
      </c>
      <c r="Z360" s="168">
        <f t="array" ref="Z360">iferror(index(I:I,match($A360&amp;","&amp;index('Year Conversion'!$A:$A,match($C360,'Year Conversion'!$B:$B,0)),$Y:$Y,0))-I360,"")</f>
        <v>1</v>
      </c>
      <c r="AA360" s="168">
        <f t="array" ref="AA360">iferror(index(J:J,match($A360&amp;","&amp;index('Year Conversion'!$A:$A,match($C360,'Year Conversion'!$B:$B,0)),$Y:$Y,0))-J360,"")</f>
        <v>1.343638055</v>
      </c>
      <c r="AB360" s="168">
        <f t="array" ref="AB360">iferror(index(K:K,match($A360&amp;","&amp;index('Year Conversion'!$A:$A,match($C360,'Year Conversion'!$B:$B,0)),$Y:$Y,0))-K360,"")</f>
        <v>0.7624884948</v>
      </c>
      <c r="AC360" s="168" t="str">
        <f t="shared" si="7"/>
        <v>POR,2013-14</v>
      </c>
    </row>
    <row r="361">
      <c r="A361" s="161" t="str">
        <f>IFERROR(__xludf.DUMMYFUNCTION("""COMPUTED_VALUE"""),"rosste01")</f>
        <v>rosste01</v>
      </c>
      <c r="B361" s="161" t="str">
        <f>IFERROR(__xludf.DUMMYFUNCTION("""COMPUTED_VALUE"""),"Terrence Ross")</f>
        <v>Terrence Ross</v>
      </c>
      <c r="C361" s="162" t="str">
        <f>IFERROR(__xludf.DUMMYFUNCTION("""COMPUTED_VALUE"""),"2013-14")</f>
        <v>2013-14</v>
      </c>
      <c r="D361" s="163" t="str">
        <f>IFERROR(__xludf.DUMMYFUNCTION("""COMPUTED_VALUE"""),"TOR")</f>
        <v>TOR</v>
      </c>
      <c r="E361" s="164" t="str">
        <f>IFERROR(__xludf.DUMMYFUNCTION("""COMPUTED_VALUE"""),"Movement Shooter")</f>
        <v>Movement Shooter</v>
      </c>
      <c r="F361" s="164">
        <f>IFERROR(__xludf.DUMMYFUNCTION("""COMPUTED_VALUE"""),2159.09166666667)</f>
        <v>2159.091667</v>
      </c>
      <c r="G361" s="163">
        <f>IFERROR(__xludf.DUMMYFUNCTION("""COMPUTED_VALUE"""),81.0)</f>
        <v>81</v>
      </c>
      <c r="H361" s="163" t="str">
        <f>IFERROR(__xludf.DUMMYFUNCTION("""COMPUTED_VALUE"""),"SG")</f>
        <v>SG</v>
      </c>
      <c r="I361" s="163">
        <f>IFERROR(__xludf.DUMMYFUNCTION("""COMPUTED_VALUE"""),22.0)</f>
        <v>22</v>
      </c>
      <c r="J361" s="165">
        <f>IFERROR(__xludf.DUMMYFUNCTION("""COMPUTED_VALUE"""),-0.335623109828961)</f>
        <v>-0.3356231098</v>
      </c>
      <c r="K361" s="165">
        <f>IFERROR(__xludf.DUMMYFUNCTION("""COMPUTED_VALUE"""),-0.182905222640202)</f>
        <v>-0.1829052226</v>
      </c>
      <c r="L361" s="165">
        <f>IFERROR(__xludf.DUMMYFUNCTION("""COMPUTED_VALUE"""),-0.152717887188759)</f>
        <v>-0.1527178872</v>
      </c>
      <c r="M361" s="166">
        <f t="shared" si="2"/>
        <v>2.840130465</v>
      </c>
      <c r="N361" s="167">
        <f t="shared" si="3"/>
        <v>26.65545267</v>
      </c>
      <c r="O361" s="163">
        <f t="shared" ref="O361:Q361" si="365">rank(I361,I:I)</f>
        <v>3178</v>
      </c>
      <c r="P361" s="163">
        <f t="shared" si="365"/>
        <v>1653</v>
      </c>
      <c r="Q361" s="163">
        <f t="shared" si="365"/>
        <v>1538</v>
      </c>
      <c r="R361" s="163">
        <f>IFERROR(__xludf.DUMMYFUNCTION("RANK(M361,filter(M:M,C:C=C361))"),118.0)</f>
        <v>118</v>
      </c>
      <c r="S361" s="161" t="b">
        <f t="shared" si="5"/>
        <v>0</v>
      </c>
      <c r="T361" s="161" t="b">
        <f t="array" ref="T361">index('Query Tool'!B:B,match(H361,'Query Tool'!C:C,0))</f>
        <v>1</v>
      </c>
      <c r="U361" s="161" t="b">
        <f t="array" ref="U361">index('Query Tool'!B:B,match(C361,'Query Tool'!C:C,0))</f>
        <v>0</v>
      </c>
      <c r="V361" s="161" t="b">
        <f>F361&gt;='Query Tool'!C$32</f>
        <v>1</v>
      </c>
      <c r="W361" s="161" t="b">
        <f t="array" ref="W361">index(Dropdowns!B:B,match(I361,Dropdowns!A:A,0))</f>
        <v>1</v>
      </c>
      <c r="X361" s="161" t="b">
        <f t="array" ref="X361">index('Query Tool'!B:B,match(D361,'Query Tool'!C:C,0))</f>
        <v>1</v>
      </c>
      <c r="Y361" s="161" t="str">
        <f t="shared" si="6"/>
        <v>rosste01,2013-14</v>
      </c>
      <c r="Z361" s="168">
        <f t="array" ref="Z361">iferror(index(I:I,match($A361&amp;","&amp;index('Year Conversion'!$A:$A,match($C361,'Year Conversion'!$B:$B,0)),$Y:$Y,0))-I361,"")</f>
        <v>1</v>
      </c>
      <c r="AA361" s="168">
        <f t="array" ref="AA361">iferror(index(J:J,match($A361&amp;","&amp;index('Year Conversion'!$A:$A,match($C361,'Year Conversion'!$B:$B,0)),$Y:$Y,0))-J361,"")</f>
        <v>-0.7485222973</v>
      </c>
      <c r="AB361" s="168">
        <f t="array" ref="AB361">iferror(index(K:K,match($A361&amp;","&amp;index('Year Conversion'!$A:$A,match($C361,'Year Conversion'!$B:$B,0)),$Y:$Y,0))-K361,"")</f>
        <v>1.037262616</v>
      </c>
      <c r="AC361" s="168" t="str">
        <f t="shared" si="7"/>
        <v>TOR,2013-14</v>
      </c>
    </row>
    <row r="362">
      <c r="A362" s="161" t="str">
        <f>IFERROR(__xludf.DUMMYFUNCTION("""COMPUTED_VALUE"""),"drumman01")</f>
        <v>drumman01</v>
      </c>
      <c r="B362" s="161" t="str">
        <f>IFERROR(__xludf.DUMMYFUNCTION("""COMPUTED_VALUE"""),"Andre Drummond")</f>
        <v>Andre Drummond</v>
      </c>
      <c r="C362" s="162" t="str">
        <f>IFERROR(__xludf.DUMMYFUNCTION("""COMPUTED_VALUE"""),"2013-14")</f>
        <v>2013-14</v>
      </c>
      <c r="D362" s="163" t="str">
        <f>IFERROR(__xludf.DUMMYFUNCTION("""COMPUTED_VALUE"""),"DET")</f>
        <v>DET</v>
      </c>
      <c r="E362" s="164" t="str">
        <f>IFERROR(__xludf.DUMMYFUNCTION("""COMPUTED_VALUE"""),"Roll + Cut Big")</f>
        <v>Roll + Cut Big</v>
      </c>
      <c r="F362" s="164">
        <f>IFERROR(__xludf.DUMMYFUNCTION("""COMPUTED_VALUE"""),2619.07833333333)</f>
        <v>2619.078333</v>
      </c>
      <c r="G362" s="163">
        <f>IFERROR(__xludf.DUMMYFUNCTION("""COMPUTED_VALUE"""),81.0)</f>
        <v>81</v>
      </c>
      <c r="H362" s="163" t="str">
        <f>IFERROR(__xludf.DUMMYFUNCTION("""COMPUTED_VALUE"""),"C")</f>
        <v>C</v>
      </c>
      <c r="I362" s="163">
        <f>IFERROR(__xludf.DUMMYFUNCTION("""COMPUTED_VALUE"""),20.0)</f>
        <v>20</v>
      </c>
      <c r="J362" s="165">
        <f>IFERROR(__xludf.DUMMYFUNCTION("""COMPUTED_VALUE"""),2.02918409836507)</f>
        <v>2.029184098</v>
      </c>
      <c r="K362" s="165">
        <f>IFERROR(__xludf.DUMMYFUNCTION("""COMPUTED_VALUE"""),1.17577592061554)</f>
        <v>1.175775921</v>
      </c>
      <c r="L362" s="165">
        <f>IFERROR(__xludf.DUMMYFUNCTION("""COMPUTED_VALUE"""),0.853408177749537)</f>
        <v>0.8534081777</v>
      </c>
      <c r="M362" s="166">
        <f t="shared" si="2"/>
        <v>7.600433757</v>
      </c>
      <c r="N362" s="167">
        <f t="shared" si="3"/>
        <v>32.33430041</v>
      </c>
      <c r="O362" s="163">
        <f t="shared" ref="O362:Q362" si="366">rank(I362,I:I)</f>
        <v>3770</v>
      </c>
      <c r="P362" s="163">
        <f t="shared" si="366"/>
        <v>316</v>
      </c>
      <c r="Q362" s="163">
        <f t="shared" si="366"/>
        <v>428</v>
      </c>
      <c r="R362" s="163">
        <f>IFERROR(__xludf.DUMMYFUNCTION("RANK(M362,filter(M:M,C:C=C362))"),34.0)</f>
        <v>34</v>
      </c>
      <c r="S362" s="161" t="b">
        <f t="shared" si="5"/>
        <v>0</v>
      </c>
      <c r="T362" s="161" t="b">
        <f t="array" ref="T362">index('Query Tool'!B:B,match(H362,'Query Tool'!C:C,0))</f>
        <v>1</v>
      </c>
      <c r="U362" s="161" t="b">
        <f t="array" ref="U362">index('Query Tool'!B:B,match(C362,'Query Tool'!C:C,0))</f>
        <v>0</v>
      </c>
      <c r="V362" s="161" t="b">
        <f>F362&gt;='Query Tool'!C$32</f>
        <v>1</v>
      </c>
      <c r="W362" s="161" t="b">
        <f t="array" ref="W362">index(Dropdowns!B:B,match(I362,Dropdowns!A:A,0))</f>
        <v>1</v>
      </c>
      <c r="X362" s="161" t="b">
        <f t="array" ref="X362">index('Query Tool'!B:B,match(D362,'Query Tool'!C:C,0))</f>
        <v>1</v>
      </c>
      <c r="Y362" s="161" t="str">
        <f t="shared" si="6"/>
        <v>drumman01,2013-14</v>
      </c>
      <c r="Z362" s="168">
        <f t="array" ref="Z362">iferror(index(I:I,match($A362&amp;","&amp;index('Year Conversion'!$A:$A,match($C362,'Year Conversion'!$B:$B,0)),$Y:$Y,0))-I362,"")</f>
        <v>1</v>
      </c>
      <c r="AA362" s="168">
        <f t="array" ref="AA362">iferror(index(J:J,match($A362&amp;","&amp;index('Year Conversion'!$A:$A,match($C362,'Year Conversion'!$B:$B,0)),$Y:$Y,0))-J362,"")</f>
        <v>-0.81428341</v>
      </c>
      <c r="AB362" s="168">
        <f t="array" ref="AB362">iferror(index(K:K,match($A362&amp;","&amp;index('Year Conversion'!$A:$A,match($C362,'Year Conversion'!$B:$B,0)),$Y:$Y,0))-K362,"")</f>
        <v>-1.527409577</v>
      </c>
      <c r="AC362" s="168" t="str">
        <f t="shared" si="7"/>
        <v>DET,2013-14</v>
      </c>
    </row>
    <row r="363">
      <c r="A363" s="161" t="str">
        <f>IFERROR(__xludf.DUMMYFUNCTION("""COMPUTED_VALUE"""),"barneha02")</f>
        <v>barneha02</v>
      </c>
      <c r="B363" s="161" t="str">
        <f>IFERROR(__xludf.DUMMYFUNCTION("""COMPUTED_VALUE"""),"Harrison Barnes")</f>
        <v>Harrison Barnes</v>
      </c>
      <c r="C363" s="162" t="str">
        <f>IFERROR(__xludf.DUMMYFUNCTION("""COMPUTED_VALUE"""),"2013-14")</f>
        <v>2013-14</v>
      </c>
      <c r="D363" s="163" t="str">
        <f>IFERROR(__xludf.DUMMYFUNCTION("""COMPUTED_VALUE"""),"GSW")</f>
        <v>GSW</v>
      </c>
      <c r="E363" s="164" t="str">
        <f>IFERROR(__xludf.DUMMYFUNCTION("""COMPUTED_VALUE"""),"Shot Creator")</f>
        <v>Shot Creator</v>
      </c>
      <c r="F363" s="164">
        <f>IFERROR(__xludf.DUMMYFUNCTION("""COMPUTED_VALUE"""),2203.75666666667)</f>
        <v>2203.756667</v>
      </c>
      <c r="G363" s="163">
        <f>IFERROR(__xludf.DUMMYFUNCTION("""COMPUTED_VALUE"""),78.0)</f>
        <v>78</v>
      </c>
      <c r="H363" s="163" t="str">
        <f>IFERROR(__xludf.DUMMYFUNCTION("""COMPUTED_VALUE"""),"SF")</f>
        <v>SF</v>
      </c>
      <c r="I363" s="163">
        <f>IFERROR(__xludf.DUMMYFUNCTION("""COMPUTED_VALUE"""),21.0)</f>
        <v>21</v>
      </c>
      <c r="J363" s="165">
        <f>IFERROR(__xludf.DUMMYFUNCTION("""COMPUTED_VALUE"""),-2.13574078576506)</f>
        <v>-2.135740786</v>
      </c>
      <c r="K363" s="165">
        <f>IFERROR(__xludf.DUMMYFUNCTION("""COMPUTED_VALUE"""),-1.5634508573536)</f>
        <v>-1.563450857</v>
      </c>
      <c r="L363" s="165">
        <f>IFERROR(__xludf.DUMMYFUNCTION("""COMPUTED_VALUE"""),-0.572289928411457)</f>
        <v>-0.5722899284</v>
      </c>
      <c r="M363" s="166">
        <f t="shared" si="2"/>
        <v>0.2442364341</v>
      </c>
      <c r="N363" s="167">
        <f t="shared" si="3"/>
        <v>28.2532906</v>
      </c>
      <c r="O363" s="163">
        <f t="shared" ref="O363:Q363" si="367">rank(I363,I:I)</f>
        <v>3528</v>
      </c>
      <c r="P363" s="163">
        <f t="shared" si="367"/>
        <v>3579</v>
      </c>
      <c r="Q363" s="163">
        <f t="shared" si="367"/>
        <v>3417</v>
      </c>
      <c r="R363" s="163">
        <f>IFERROR(__xludf.DUMMYFUNCTION("RANK(M363,filter(M:M,C:C=C363))"),311.0)</f>
        <v>311</v>
      </c>
      <c r="S363" s="161" t="b">
        <f t="shared" si="5"/>
        <v>0</v>
      </c>
      <c r="T363" s="161" t="b">
        <f t="array" ref="T363">index('Query Tool'!B:B,match(H363,'Query Tool'!C:C,0))</f>
        <v>1</v>
      </c>
      <c r="U363" s="161" t="b">
        <f t="array" ref="U363">index('Query Tool'!B:B,match(C363,'Query Tool'!C:C,0))</f>
        <v>0</v>
      </c>
      <c r="V363" s="161" t="b">
        <f>F363&gt;='Query Tool'!C$32</f>
        <v>1</v>
      </c>
      <c r="W363" s="161" t="b">
        <f t="array" ref="W363">index(Dropdowns!B:B,match(I363,Dropdowns!A:A,0))</f>
        <v>1</v>
      </c>
      <c r="X363" s="161" t="b">
        <f t="array" ref="X363">index('Query Tool'!B:B,match(D363,'Query Tool'!C:C,0))</f>
        <v>1</v>
      </c>
      <c r="Y363" s="161" t="str">
        <f t="shared" si="6"/>
        <v>barneha02,2013-14</v>
      </c>
      <c r="Z363" s="168">
        <f t="array" ref="Z363">iferror(index(I:I,match($A363&amp;","&amp;index('Year Conversion'!$A:$A,match($C363,'Year Conversion'!$B:$B,0)),$Y:$Y,0))-I363,"")</f>
        <v>1</v>
      </c>
      <c r="AA363" s="168">
        <f t="array" ref="AA363">iferror(index(J:J,match($A363&amp;","&amp;index('Year Conversion'!$A:$A,match($C363,'Year Conversion'!$B:$B,0)),$Y:$Y,0))-J363,"")</f>
        <v>2.748126953</v>
      </c>
      <c r="AB363" s="168">
        <f t="array" ref="AB363">iferror(index(K:K,match($A363&amp;","&amp;index('Year Conversion'!$A:$A,match($C363,'Year Conversion'!$B:$B,0)),$Y:$Y,0))-K363,"")</f>
        <v>1.288348821</v>
      </c>
      <c r="AC363" s="168" t="str">
        <f t="shared" si="7"/>
        <v>GSW,2013-14</v>
      </c>
    </row>
    <row r="364">
      <c r="A364" s="161" t="str">
        <f>IFERROR(__xludf.DUMMYFUNCTION("""COMPUTED_VALUE"""),"riverau01")</f>
        <v>riverau01</v>
      </c>
      <c r="B364" s="161" t="str">
        <f>IFERROR(__xludf.DUMMYFUNCTION("""COMPUTED_VALUE"""),"Austin Rivers")</f>
        <v>Austin Rivers</v>
      </c>
      <c r="C364" s="162" t="str">
        <f>IFERROR(__xludf.DUMMYFUNCTION("""COMPUTED_VALUE"""),"2013-14")</f>
        <v>2013-14</v>
      </c>
      <c r="D364" s="163" t="str">
        <f>IFERROR(__xludf.DUMMYFUNCTION("""COMPUTED_VALUE"""),"NOP")</f>
        <v>NOP</v>
      </c>
      <c r="E364" s="164" t="str">
        <f>IFERROR(__xludf.DUMMYFUNCTION("""COMPUTED_VALUE"""),"Shot Creator")</f>
        <v>Shot Creator</v>
      </c>
      <c r="F364" s="164">
        <f>IFERROR(__xludf.DUMMYFUNCTION("""COMPUTED_VALUE"""),1338.685)</f>
        <v>1338.685</v>
      </c>
      <c r="G364" s="163">
        <f>IFERROR(__xludf.DUMMYFUNCTION("""COMPUTED_VALUE"""),69.0)</f>
        <v>69</v>
      </c>
      <c r="H364" s="163" t="str">
        <f>IFERROR(__xludf.DUMMYFUNCTION("""COMPUTED_VALUE"""),"PG")</f>
        <v>PG</v>
      </c>
      <c r="I364" s="163">
        <f>IFERROR(__xludf.DUMMYFUNCTION("""COMPUTED_VALUE"""),21.0)</f>
        <v>21</v>
      </c>
      <c r="J364" s="165">
        <f>IFERROR(__xludf.DUMMYFUNCTION("""COMPUTED_VALUE"""),-0.224454825664078)</f>
        <v>-0.2244548257</v>
      </c>
      <c r="K364" s="165">
        <f>IFERROR(__xludf.DUMMYFUNCTION("""COMPUTED_VALUE"""),0.827286157810932)</f>
        <v>0.8272861578</v>
      </c>
      <c r="L364" s="165">
        <f>IFERROR(__xludf.DUMMYFUNCTION("""COMPUTED_VALUE"""),-1.05174098347501)</f>
        <v>-1.051740983</v>
      </c>
      <c r="M364" s="166">
        <f t="shared" si="2"/>
        <v>1.8612435</v>
      </c>
      <c r="N364" s="167">
        <f t="shared" si="3"/>
        <v>19.40123188</v>
      </c>
      <c r="O364" s="163">
        <f t="shared" ref="O364:Q364" si="368">rank(I364,I:I)</f>
        <v>3528</v>
      </c>
      <c r="P364" s="163">
        <f t="shared" si="368"/>
        <v>1529</v>
      </c>
      <c r="Q364" s="163">
        <f t="shared" si="368"/>
        <v>591</v>
      </c>
      <c r="R364" s="163">
        <f>IFERROR(__xludf.DUMMYFUNCTION("RANK(M364,filter(M:M,C:C=C364))"),162.0)</f>
        <v>162</v>
      </c>
      <c r="S364" s="161" t="b">
        <f t="shared" si="5"/>
        <v>0</v>
      </c>
      <c r="T364" s="161" t="b">
        <f t="array" ref="T364">index('Query Tool'!B:B,match(H364,'Query Tool'!C:C,0))</f>
        <v>1</v>
      </c>
      <c r="U364" s="161" t="b">
        <f t="array" ref="U364">index('Query Tool'!B:B,match(C364,'Query Tool'!C:C,0))</f>
        <v>0</v>
      </c>
      <c r="V364" s="161" t="b">
        <f>F364&gt;='Query Tool'!C$32</f>
        <v>1</v>
      </c>
      <c r="W364" s="161" t="b">
        <f t="array" ref="W364">index(Dropdowns!B:B,match(I364,Dropdowns!A:A,0))</f>
        <v>1</v>
      </c>
      <c r="X364" s="161" t="b">
        <f t="array" ref="X364">index('Query Tool'!B:B,match(D364,'Query Tool'!C:C,0))</f>
        <v>1</v>
      </c>
      <c r="Y364" s="161" t="str">
        <f t="shared" si="6"/>
        <v>riverau01,2013-14</v>
      </c>
      <c r="Z364" s="168">
        <f t="array" ref="Z364">iferror(index(I:I,match($A364&amp;","&amp;index('Year Conversion'!$A:$A,match($C364,'Year Conversion'!$B:$B,0)),$Y:$Y,0))-I364,"")</f>
        <v>1</v>
      </c>
      <c r="AA364" s="168">
        <f t="array" ref="AA364">iferror(index(J:J,match($A364&amp;","&amp;index('Year Conversion'!$A:$A,match($C364,'Year Conversion'!$B:$B,0)),$Y:$Y,0))-J364,"")</f>
        <v>-1.874949174</v>
      </c>
      <c r="AB364" s="168">
        <f t="array" ref="AB364">iferror(index(K:K,match($A364&amp;","&amp;index('Year Conversion'!$A:$A,match($C364,'Year Conversion'!$B:$B,0)),$Y:$Y,0))-K364,"")</f>
        <v>-1.512465931</v>
      </c>
      <c r="AC364" s="168" t="str">
        <f t="shared" si="7"/>
        <v>NOP,2013-14</v>
      </c>
    </row>
    <row r="365">
      <c r="A365" s="161" t="str">
        <f>IFERROR(__xludf.DUMMYFUNCTION("""COMPUTED_VALUE"""),"leoname01")</f>
        <v>leoname01</v>
      </c>
      <c r="B365" s="161" t="str">
        <f>IFERROR(__xludf.DUMMYFUNCTION("""COMPUTED_VALUE"""),"Meyers Leonard")</f>
        <v>Meyers Leonard</v>
      </c>
      <c r="C365" s="162" t="str">
        <f>IFERROR(__xludf.DUMMYFUNCTION("""COMPUTED_VALUE"""),"2013-14")</f>
        <v>2013-14</v>
      </c>
      <c r="D365" s="163" t="str">
        <f>IFERROR(__xludf.DUMMYFUNCTION("""COMPUTED_VALUE"""),"POR")</f>
        <v>POR</v>
      </c>
      <c r="E365" s="164" t="str">
        <f>IFERROR(__xludf.DUMMYFUNCTION("""COMPUTED_VALUE"""),"Roll + Cut Big")</f>
        <v>Roll + Cut Big</v>
      </c>
      <c r="F365" s="164">
        <f>IFERROR(__xludf.DUMMYFUNCTION("""COMPUTED_VALUE"""),355.211666666667)</f>
        <v>355.2116667</v>
      </c>
      <c r="G365" s="163">
        <f>IFERROR(__xludf.DUMMYFUNCTION("""COMPUTED_VALUE"""),40.0)</f>
        <v>40</v>
      </c>
      <c r="H365" s="163" t="str">
        <f>IFERROR(__xludf.DUMMYFUNCTION("""COMPUTED_VALUE"""),"C")</f>
        <v>C</v>
      </c>
      <c r="I365" s="163">
        <f>IFERROR(__xludf.DUMMYFUNCTION("""COMPUTED_VALUE"""),21.0)</f>
        <v>21</v>
      </c>
      <c r="J365" s="165">
        <f>IFERROR(__xludf.DUMMYFUNCTION("""COMPUTED_VALUE"""),-2.72626483242764)</f>
        <v>-2.726264832</v>
      </c>
      <c r="K365" s="165">
        <f>IFERROR(__xludf.DUMMYFUNCTION("""COMPUTED_VALUE"""),-2.78694377618494)</f>
        <v>-2.786943776</v>
      </c>
      <c r="L365" s="165">
        <f>IFERROR(__xludf.DUMMYFUNCTION("""COMPUTED_VALUE"""),0.0606789437572928)</f>
        <v>0.06067894376</v>
      </c>
      <c r="M365" s="166">
        <f t="shared" si="2"/>
        <v>-0.09860932726</v>
      </c>
      <c r="N365" s="167">
        <f t="shared" si="3"/>
        <v>8.880291667</v>
      </c>
      <c r="O365" s="163">
        <f t="shared" ref="O365:Q365" si="369">rank(I365,I:I)</f>
        <v>3528</v>
      </c>
      <c r="P365" s="163">
        <f t="shared" si="369"/>
        <v>3820</v>
      </c>
      <c r="Q365" s="163">
        <f t="shared" si="369"/>
        <v>3951</v>
      </c>
      <c r="R365" s="163">
        <f>IFERROR(__xludf.DUMMYFUNCTION("RANK(M365,filter(M:M,C:C=C365))"),444.0)</f>
        <v>444</v>
      </c>
      <c r="S365" s="161" t="b">
        <f t="shared" si="5"/>
        <v>0</v>
      </c>
      <c r="T365" s="161" t="b">
        <f t="array" ref="T365">index('Query Tool'!B:B,match(H365,'Query Tool'!C:C,0))</f>
        <v>1</v>
      </c>
      <c r="U365" s="161" t="b">
        <f t="array" ref="U365">index('Query Tool'!B:B,match(C365,'Query Tool'!C:C,0))</f>
        <v>0</v>
      </c>
      <c r="V365" s="161" t="b">
        <f>F365&gt;='Query Tool'!C$32</f>
        <v>0</v>
      </c>
      <c r="W365" s="161" t="b">
        <f t="array" ref="W365">index(Dropdowns!B:B,match(I365,Dropdowns!A:A,0))</f>
        <v>1</v>
      </c>
      <c r="X365" s="161" t="b">
        <f t="array" ref="X365">index('Query Tool'!B:B,match(D365,'Query Tool'!C:C,0))</f>
        <v>1</v>
      </c>
      <c r="Y365" s="161" t="str">
        <f t="shared" si="6"/>
        <v>leoname01,2013-14</v>
      </c>
      <c r="Z365" s="168">
        <f t="array" ref="Z365">iferror(index(I:I,match($A365&amp;","&amp;index('Year Conversion'!$A:$A,match($C365,'Year Conversion'!$B:$B,0)),$Y:$Y,0))-I365,"")</f>
        <v>1</v>
      </c>
      <c r="AA365" s="168">
        <f t="array" ref="AA365">iferror(index(J:J,match($A365&amp;","&amp;index('Year Conversion'!$A:$A,match($C365,'Year Conversion'!$B:$B,0)),$Y:$Y,0))-J365,"")</f>
        <v>1.664408057</v>
      </c>
      <c r="AB365" s="168">
        <f t="array" ref="AB365">iferror(index(K:K,match($A365&amp;","&amp;index('Year Conversion'!$A:$A,match($C365,'Year Conversion'!$B:$B,0)),$Y:$Y,0))-K365,"")</f>
        <v>0.9386694752</v>
      </c>
      <c r="AC365" s="168" t="str">
        <f t="shared" si="7"/>
        <v>POR,2013-14</v>
      </c>
    </row>
    <row r="366">
      <c r="A366" s="161" t="str">
        <f>IFERROR(__xludf.DUMMYFUNCTION("""COMPUTED_VALUE"""),"lambje01")</f>
        <v>lambje01</v>
      </c>
      <c r="B366" s="161" t="str">
        <f>IFERROR(__xludf.DUMMYFUNCTION("""COMPUTED_VALUE"""),"Jeremy Lamb")</f>
        <v>Jeremy Lamb</v>
      </c>
      <c r="C366" s="162" t="str">
        <f>IFERROR(__xludf.DUMMYFUNCTION("""COMPUTED_VALUE"""),"2013-14")</f>
        <v>2013-14</v>
      </c>
      <c r="D366" s="163" t="str">
        <f>IFERROR(__xludf.DUMMYFUNCTION("""COMPUTED_VALUE"""),"OKC")</f>
        <v>OKC</v>
      </c>
      <c r="E366" s="164" t="str">
        <f>IFERROR(__xludf.DUMMYFUNCTION("""COMPUTED_VALUE"""),"Movement Shooter")</f>
        <v>Movement Shooter</v>
      </c>
      <c r="F366" s="164">
        <f>IFERROR(__xludf.DUMMYFUNCTION("""COMPUTED_VALUE"""),1537.855)</f>
        <v>1537.855</v>
      </c>
      <c r="G366" s="163">
        <f>IFERROR(__xludf.DUMMYFUNCTION("""COMPUTED_VALUE"""),78.0)</f>
        <v>78</v>
      </c>
      <c r="H366" s="163" t="str">
        <f>IFERROR(__xludf.DUMMYFUNCTION("""COMPUTED_VALUE"""),"SG")</f>
        <v>SG</v>
      </c>
      <c r="I366" s="163">
        <f>IFERROR(__xludf.DUMMYFUNCTION("""COMPUTED_VALUE"""),21.0)</f>
        <v>21</v>
      </c>
      <c r="J366" s="165">
        <f>IFERROR(__xludf.DUMMYFUNCTION("""COMPUTED_VALUE"""),-1.0137081995471)</f>
        <v>-1.0137082</v>
      </c>
      <c r="K366" s="165">
        <f>IFERROR(__xludf.DUMMYFUNCTION("""COMPUTED_VALUE"""),-0.51827763797646)</f>
        <v>-0.518277638</v>
      </c>
      <c r="L366" s="165">
        <f>IFERROR(__xludf.DUMMYFUNCTION("""COMPUTED_VALUE"""),-0.495430561570638)</f>
        <v>-0.4954305616</v>
      </c>
      <c r="M366" s="166">
        <f t="shared" si="2"/>
        <v>1.321338665</v>
      </c>
      <c r="N366" s="167">
        <f t="shared" si="3"/>
        <v>19.71608974</v>
      </c>
      <c r="O366" s="163">
        <f t="shared" ref="O366:Q366" si="370">rank(I366,I:I)</f>
        <v>3528</v>
      </c>
      <c r="P366" s="163">
        <f t="shared" si="370"/>
        <v>2517</v>
      </c>
      <c r="Q366" s="163">
        <f t="shared" si="370"/>
        <v>2135</v>
      </c>
      <c r="R366" s="163">
        <f>IFERROR(__xludf.DUMMYFUNCTION("RANK(M366,filter(M:M,C:C=C366))"),199.0)</f>
        <v>199</v>
      </c>
      <c r="S366" s="161" t="b">
        <f t="shared" si="5"/>
        <v>0</v>
      </c>
      <c r="T366" s="161" t="b">
        <f t="array" ref="T366">index('Query Tool'!B:B,match(H366,'Query Tool'!C:C,0))</f>
        <v>1</v>
      </c>
      <c r="U366" s="161" t="b">
        <f t="array" ref="U366">index('Query Tool'!B:B,match(C366,'Query Tool'!C:C,0))</f>
        <v>0</v>
      </c>
      <c r="V366" s="161" t="b">
        <f>F366&gt;='Query Tool'!C$32</f>
        <v>1</v>
      </c>
      <c r="W366" s="161" t="b">
        <f t="array" ref="W366">index(Dropdowns!B:B,match(I366,Dropdowns!A:A,0))</f>
        <v>1</v>
      </c>
      <c r="X366" s="161" t="b">
        <f t="array" ref="X366">index('Query Tool'!B:B,match(D366,'Query Tool'!C:C,0))</f>
        <v>1</v>
      </c>
      <c r="Y366" s="161" t="str">
        <f t="shared" si="6"/>
        <v>lambje01,2013-14</v>
      </c>
      <c r="Z366" s="168">
        <f t="array" ref="Z366">iferror(index(I:I,match($A366&amp;","&amp;index('Year Conversion'!$A:$A,match($C366,'Year Conversion'!$B:$B,0)),$Y:$Y,0))-I366,"")</f>
        <v>1</v>
      </c>
      <c r="AA366" s="168">
        <f t="array" ref="AA366">iferror(index(J:J,match($A366&amp;","&amp;index('Year Conversion'!$A:$A,match($C366,'Year Conversion'!$B:$B,0)),$Y:$Y,0))-J366,"")</f>
        <v>-0.08702264447</v>
      </c>
      <c r="AB366" s="168">
        <f t="array" ref="AB366">iferror(index(K:K,match($A366&amp;","&amp;index('Year Conversion'!$A:$A,match($C366,'Year Conversion'!$B:$B,0)),$Y:$Y,0))-K366,"")</f>
        <v>0.7181531931</v>
      </c>
      <c r="AC366" s="168" t="str">
        <f t="shared" si="7"/>
        <v>OKC,2013-14</v>
      </c>
    </row>
    <row r="367">
      <c r="A367" s="161" t="str">
        <f>IFERROR(__xludf.DUMMYFUNCTION("""COMPUTED_VALUE"""),"marshke01")</f>
        <v>marshke01</v>
      </c>
      <c r="B367" s="161" t="str">
        <f>IFERROR(__xludf.DUMMYFUNCTION("""COMPUTED_VALUE"""),"Kendall Marshall")</f>
        <v>Kendall Marshall</v>
      </c>
      <c r="C367" s="162" t="str">
        <f>IFERROR(__xludf.DUMMYFUNCTION("""COMPUTED_VALUE"""),"2013-14")</f>
        <v>2013-14</v>
      </c>
      <c r="D367" s="163" t="str">
        <f>IFERROR(__xludf.DUMMYFUNCTION("""COMPUTED_VALUE"""),"LAL")</f>
        <v>LAL</v>
      </c>
      <c r="E367" s="164" t="str">
        <f>IFERROR(__xludf.DUMMYFUNCTION("""COMPUTED_VALUE"""),"Primary Ball Handler")</f>
        <v>Primary Ball Handler</v>
      </c>
      <c r="F367" s="164">
        <f>IFERROR(__xludf.DUMMYFUNCTION("""COMPUTED_VALUE"""),1563.84666666667)</f>
        <v>1563.846667</v>
      </c>
      <c r="G367" s="163">
        <f>IFERROR(__xludf.DUMMYFUNCTION("""COMPUTED_VALUE"""),54.0)</f>
        <v>54</v>
      </c>
      <c r="H367" s="163" t="str">
        <f>IFERROR(__xludf.DUMMYFUNCTION("""COMPUTED_VALUE"""),"PG")</f>
        <v>PG</v>
      </c>
      <c r="I367" s="163">
        <f>IFERROR(__xludf.DUMMYFUNCTION("""COMPUTED_VALUE"""),22.0)</f>
        <v>22</v>
      </c>
      <c r="J367" s="165">
        <f>IFERROR(__xludf.DUMMYFUNCTION("""COMPUTED_VALUE"""),-0.603629086205566)</f>
        <v>-0.6036290862</v>
      </c>
      <c r="K367" s="165">
        <f>IFERROR(__xludf.DUMMYFUNCTION("""COMPUTED_VALUE"""),0.787414314972323)</f>
        <v>0.787414315</v>
      </c>
      <c r="L367" s="165">
        <f>IFERROR(__xludf.DUMMYFUNCTION("""COMPUTED_VALUE"""),-1.39104340117789)</f>
        <v>-1.391043401</v>
      </c>
      <c r="M367" s="166">
        <f t="shared" si="2"/>
        <v>1.774828273</v>
      </c>
      <c r="N367" s="167">
        <f t="shared" si="3"/>
        <v>28.96012346</v>
      </c>
      <c r="O367" s="163">
        <f t="shared" ref="O367:Q367" si="371">rank(I367,I:I)</f>
        <v>3178</v>
      </c>
      <c r="P367" s="163">
        <f t="shared" si="371"/>
        <v>2006</v>
      </c>
      <c r="Q367" s="163">
        <f t="shared" si="371"/>
        <v>604</v>
      </c>
      <c r="R367" s="163">
        <f>IFERROR(__xludf.DUMMYFUNCTION("RANK(M367,filter(M:M,C:C=C367))"),166.0)</f>
        <v>166</v>
      </c>
      <c r="S367" s="161" t="b">
        <f t="shared" si="5"/>
        <v>0</v>
      </c>
      <c r="T367" s="161" t="b">
        <f t="array" ref="T367">index('Query Tool'!B:B,match(H367,'Query Tool'!C:C,0))</f>
        <v>1</v>
      </c>
      <c r="U367" s="161" t="b">
        <f t="array" ref="U367">index('Query Tool'!B:B,match(C367,'Query Tool'!C:C,0))</f>
        <v>0</v>
      </c>
      <c r="V367" s="161" t="b">
        <f>F367&gt;='Query Tool'!C$32</f>
        <v>1</v>
      </c>
      <c r="W367" s="161" t="b">
        <f t="array" ref="W367">index(Dropdowns!B:B,match(I367,Dropdowns!A:A,0))</f>
        <v>1</v>
      </c>
      <c r="X367" s="161" t="b">
        <f t="array" ref="X367">index('Query Tool'!B:B,match(D367,'Query Tool'!C:C,0))</f>
        <v>1</v>
      </c>
      <c r="Y367" s="161" t="str">
        <f t="shared" si="6"/>
        <v>marshke01,2013-14</v>
      </c>
      <c r="Z367" s="168">
        <f t="array" ref="Z367">iferror(index(I:I,match($A367&amp;","&amp;index('Year Conversion'!$A:$A,match($C367,'Year Conversion'!$B:$B,0)),$Y:$Y,0))-I367,"")</f>
        <v>1</v>
      </c>
      <c r="AA367" s="168">
        <f t="array" ref="AA367">iferror(index(J:J,match($A367&amp;","&amp;index('Year Conversion'!$A:$A,match($C367,'Year Conversion'!$B:$B,0)),$Y:$Y,0))-J367,"")</f>
        <v>-0.2952876346</v>
      </c>
      <c r="AB367" s="168">
        <f t="array" ref="AB367">iferror(index(K:K,match($A367&amp;","&amp;index('Year Conversion'!$A:$A,match($C367,'Year Conversion'!$B:$B,0)),$Y:$Y,0))-K367,"")</f>
        <v>-0.9264134239</v>
      </c>
      <c r="AC367" s="168" t="str">
        <f t="shared" si="7"/>
        <v>LAL,2013-14</v>
      </c>
    </row>
    <row r="368">
      <c r="A368" s="161" t="str">
        <f>IFERROR(__xludf.DUMMYFUNCTION("""COMPUTED_VALUE"""),"hensojo01")</f>
        <v>hensojo01</v>
      </c>
      <c r="B368" s="161" t="str">
        <f>IFERROR(__xludf.DUMMYFUNCTION("""COMPUTED_VALUE"""),"John Henson")</f>
        <v>John Henson</v>
      </c>
      <c r="C368" s="162" t="str">
        <f>IFERROR(__xludf.DUMMYFUNCTION("""COMPUTED_VALUE"""),"2013-14")</f>
        <v>2013-14</v>
      </c>
      <c r="D368" s="163" t="str">
        <f>IFERROR(__xludf.DUMMYFUNCTION("""COMPUTED_VALUE"""),"MIL")</f>
        <v>MIL</v>
      </c>
      <c r="E368" s="164" t="str">
        <f>IFERROR(__xludf.DUMMYFUNCTION("""COMPUTED_VALUE"""),"Post Scorer")</f>
        <v>Post Scorer</v>
      </c>
      <c r="F368" s="164">
        <f>IFERROR(__xludf.DUMMYFUNCTION("""COMPUTED_VALUE"""),1856.37333333333)</f>
        <v>1856.373333</v>
      </c>
      <c r="G368" s="163">
        <f>IFERROR(__xludf.DUMMYFUNCTION("""COMPUTED_VALUE"""),70.0)</f>
        <v>70</v>
      </c>
      <c r="H368" s="163" t="str">
        <f>IFERROR(__xludf.DUMMYFUNCTION("""COMPUTED_VALUE"""),"PF")</f>
        <v>PF</v>
      </c>
      <c r="I368" s="163">
        <f>IFERROR(__xludf.DUMMYFUNCTION("""COMPUTED_VALUE"""),23.0)</f>
        <v>23</v>
      </c>
      <c r="J368" s="165">
        <f>IFERROR(__xludf.DUMMYFUNCTION("""COMPUTED_VALUE"""),-2.37099565979808)</f>
        <v>-2.37099566</v>
      </c>
      <c r="K368" s="165">
        <f>IFERROR(__xludf.DUMMYFUNCTION("""COMPUTED_VALUE"""),-1.45292648948977)</f>
        <v>-1.452926489</v>
      </c>
      <c r="L368" s="165">
        <f>IFERROR(__xludf.DUMMYFUNCTION("""COMPUTED_VALUE"""),-0.91806917030831)</f>
        <v>-0.9180691703</v>
      </c>
      <c r="M368" s="166">
        <f t="shared" si="2"/>
        <v>-0.08254673986</v>
      </c>
      <c r="N368" s="167">
        <f t="shared" si="3"/>
        <v>26.51961905</v>
      </c>
      <c r="O368" s="163">
        <f t="shared" ref="O368:Q368" si="372">rank(I368,I:I)</f>
        <v>2765</v>
      </c>
      <c r="P368" s="163">
        <f t="shared" si="372"/>
        <v>3694</v>
      </c>
      <c r="Q368" s="163">
        <f t="shared" si="372"/>
        <v>3301</v>
      </c>
      <c r="R368" s="163">
        <f>IFERROR(__xludf.DUMMYFUNCTION("RANK(M368,filter(M:M,C:C=C368))"),440.0)</f>
        <v>440</v>
      </c>
      <c r="S368" s="161" t="b">
        <f t="shared" si="5"/>
        <v>0</v>
      </c>
      <c r="T368" s="161" t="b">
        <f t="array" ref="T368">index('Query Tool'!B:B,match(H368,'Query Tool'!C:C,0))</f>
        <v>1</v>
      </c>
      <c r="U368" s="161" t="b">
        <f t="array" ref="U368">index('Query Tool'!B:B,match(C368,'Query Tool'!C:C,0))</f>
        <v>0</v>
      </c>
      <c r="V368" s="161" t="b">
        <f>F368&gt;='Query Tool'!C$32</f>
        <v>1</v>
      </c>
      <c r="W368" s="161" t="b">
        <f t="array" ref="W368">index(Dropdowns!B:B,match(I368,Dropdowns!A:A,0))</f>
        <v>1</v>
      </c>
      <c r="X368" s="161" t="b">
        <f t="array" ref="X368">index('Query Tool'!B:B,match(D368,'Query Tool'!C:C,0))</f>
        <v>1</v>
      </c>
      <c r="Y368" s="161" t="str">
        <f t="shared" si="6"/>
        <v>hensojo01,2013-14</v>
      </c>
      <c r="Z368" s="168">
        <f t="array" ref="Z368">iferror(index(I:I,match($A368&amp;","&amp;index('Year Conversion'!$A:$A,match($C368,'Year Conversion'!$B:$B,0)),$Y:$Y,0))-I368,"")</f>
        <v>1</v>
      </c>
      <c r="AA368" s="168">
        <f t="array" ref="AA368">iferror(index(J:J,match($A368&amp;","&amp;index('Year Conversion'!$A:$A,match($C368,'Year Conversion'!$B:$B,0)),$Y:$Y,0))-J368,"")</f>
        <v>2.388753689</v>
      </c>
      <c r="AB368" s="168">
        <f t="array" ref="AB368">iferror(index(K:K,match($A368&amp;","&amp;index('Year Conversion'!$A:$A,match($C368,'Year Conversion'!$B:$B,0)),$Y:$Y,0))-K368,"")</f>
        <v>-0.5422095463</v>
      </c>
      <c r="AC368" s="168" t="str">
        <f t="shared" si="7"/>
        <v>MIL,2013-14</v>
      </c>
    </row>
    <row r="369">
      <c r="A369" s="161" t="str">
        <f>IFERROR(__xludf.DUMMYFUNCTION("""COMPUTED_VALUE"""),"harklma01")</f>
        <v>harklma01</v>
      </c>
      <c r="B369" s="161" t="str">
        <f>IFERROR(__xludf.DUMMYFUNCTION("""COMPUTED_VALUE"""),"Maurice Harkless")</f>
        <v>Maurice Harkless</v>
      </c>
      <c r="C369" s="162" t="str">
        <f>IFERROR(__xludf.DUMMYFUNCTION("""COMPUTED_VALUE"""),"2013-14")</f>
        <v>2013-14</v>
      </c>
      <c r="D369" s="163" t="str">
        <f>IFERROR(__xludf.DUMMYFUNCTION("""COMPUTED_VALUE"""),"ORL")</f>
        <v>ORL</v>
      </c>
      <c r="E369" s="164" t="str">
        <f>IFERROR(__xludf.DUMMYFUNCTION("""COMPUTED_VALUE"""),"Athletic Finisher")</f>
        <v>Athletic Finisher</v>
      </c>
      <c r="F369" s="164">
        <f>IFERROR(__xludf.DUMMYFUNCTION("""COMPUTED_VALUE"""),1949.60666666667)</f>
        <v>1949.606667</v>
      </c>
      <c r="G369" s="163">
        <f>IFERROR(__xludf.DUMMYFUNCTION("""COMPUTED_VALUE"""),80.0)</f>
        <v>80</v>
      </c>
      <c r="H369" s="163" t="str">
        <f>IFERROR(__xludf.DUMMYFUNCTION("""COMPUTED_VALUE"""),"SF")</f>
        <v>SF</v>
      </c>
      <c r="I369" s="163">
        <f>IFERROR(__xludf.DUMMYFUNCTION("""COMPUTED_VALUE"""),20.0)</f>
        <v>20</v>
      </c>
      <c r="J369" s="165">
        <f>IFERROR(__xludf.DUMMYFUNCTION("""COMPUTED_VALUE"""),-1.026276278043)</f>
        <v>-1.026276278</v>
      </c>
      <c r="K369" s="165">
        <f>IFERROR(__xludf.DUMMYFUNCTION("""COMPUTED_VALUE"""),-1.3103642391134)</f>
        <v>-1.310364239</v>
      </c>
      <c r="L369" s="165">
        <f>IFERROR(__xludf.DUMMYFUNCTION("""COMPUTED_VALUE"""),0.284087961070394)</f>
        <v>0.2840879611</v>
      </c>
      <c r="M369" s="166">
        <f t="shared" si="2"/>
        <v>1.658671227</v>
      </c>
      <c r="N369" s="167">
        <f t="shared" si="3"/>
        <v>24.37008333</v>
      </c>
      <c r="O369" s="163">
        <f t="shared" ref="O369:Q369" si="373">rank(I369,I:I)</f>
        <v>3770</v>
      </c>
      <c r="P369" s="163">
        <f t="shared" si="373"/>
        <v>2533</v>
      </c>
      <c r="Q369" s="163">
        <f t="shared" si="373"/>
        <v>3158</v>
      </c>
      <c r="R369" s="163">
        <f>IFERROR(__xludf.DUMMYFUNCTION("RANK(M369,filter(M:M,C:C=C369))"),173.0)</f>
        <v>173</v>
      </c>
      <c r="S369" s="161" t="b">
        <f t="shared" si="5"/>
        <v>0</v>
      </c>
      <c r="T369" s="161" t="b">
        <f t="array" ref="T369">index('Query Tool'!B:B,match(H369,'Query Tool'!C:C,0))</f>
        <v>1</v>
      </c>
      <c r="U369" s="161" t="b">
        <f t="array" ref="U369">index('Query Tool'!B:B,match(C369,'Query Tool'!C:C,0))</f>
        <v>0</v>
      </c>
      <c r="V369" s="161" t="b">
        <f>F369&gt;='Query Tool'!C$32</f>
        <v>1</v>
      </c>
      <c r="W369" s="161" t="b">
        <f t="array" ref="W369">index(Dropdowns!B:B,match(I369,Dropdowns!A:A,0))</f>
        <v>1</v>
      </c>
      <c r="X369" s="161" t="b">
        <f t="array" ref="X369">index('Query Tool'!B:B,match(D369,'Query Tool'!C:C,0))</f>
        <v>1</v>
      </c>
      <c r="Y369" s="161" t="str">
        <f t="shared" si="6"/>
        <v>harklma01,2013-14</v>
      </c>
      <c r="Z369" s="168">
        <f t="array" ref="Z369">iferror(index(I:I,match($A369&amp;","&amp;index('Year Conversion'!$A:$A,match($C369,'Year Conversion'!$B:$B,0)),$Y:$Y,0))-I369,"")</f>
        <v>1</v>
      </c>
      <c r="AA369" s="168">
        <f t="array" ref="AA369">iferror(index(J:J,match($A369&amp;","&amp;index('Year Conversion'!$A:$A,match($C369,'Year Conversion'!$B:$B,0)),$Y:$Y,0))-J369,"")</f>
        <v>0.8808115679</v>
      </c>
      <c r="AB369" s="168">
        <f t="array" ref="AB369">iferror(index(K:K,match($A369&amp;","&amp;index('Year Conversion'!$A:$A,match($C369,'Year Conversion'!$B:$B,0)),$Y:$Y,0))-K369,"")</f>
        <v>0.3293285537</v>
      </c>
      <c r="AC369" s="168" t="str">
        <f t="shared" si="7"/>
        <v>ORL,2013-14</v>
      </c>
    </row>
    <row r="370">
      <c r="A370" s="161" t="str">
        <f>IFERROR(__xludf.DUMMYFUNCTION("""COMPUTED_VALUE"""),"whitero03")</f>
        <v>whitero03</v>
      </c>
      <c r="B370" s="161" t="str">
        <f>IFERROR(__xludf.DUMMYFUNCTION("""COMPUTED_VALUE"""),"Royce White")</f>
        <v>Royce White</v>
      </c>
      <c r="C370" s="162" t="str">
        <f>IFERROR(__xludf.DUMMYFUNCTION("""COMPUTED_VALUE"""),"2013-14")</f>
        <v>2013-14</v>
      </c>
      <c r="D370" s="163" t="str">
        <f>IFERROR(__xludf.DUMMYFUNCTION("""COMPUTED_VALUE"""),"SAC")</f>
        <v>SAC</v>
      </c>
      <c r="E370" s="164" t="str">
        <f>IFERROR(__xludf.DUMMYFUNCTION("""COMPUTED_VALUE"""),"Post Scorer")</f>
        <v>Post Scorer</v>
      </c>
      <c r="F370" s="164">
        <f>IFERROR(__xludf.DUMMYFUNCTION("""COMPUTED_VALUE"""),8.90666666666667)</f>
        <v>8.906666667</v>
      </c>
      <c r="G370" s="163">
        <f>IFERROR(__xludf.DUMMYFUNCTION("""COMPUTED_VALUE"""),3.0)</f>
        <v>3</v>
      </c>
      <c r="H370" s="163" t="str">
        <f>IFERROR(__xludf.DUMMYFUNCTION("""COMPUTED_VALUE"""),"PF")</f>
        <v>PF</v>
      </c>
      <c r="I370" s="163">
        <f>IFERROR(__xludf.DUMMYFUNCTION("""COMPUTED_VALUE"""),22.0)</f>
        <v>22</v>
      </c>
      <c r="J370" s="165">
        <f>IFERROR(__xludf.DUMMYFUNCTION("""COMPUTED_VALUE"""),0.0543378378827483)</f>
        <v>0.05433783788</v>
      </c>
      <c r="K370" s="165">
        <f>IFERROR(__xludf.DUMMYFUNCTION("""COMPUTED_VALUE"""),-0.00368736435102095)</f>
        <v>-0.003687364351</v>
      </c>
      <c r="L370" s="165">
        <f>IFERROR(__xludf.DUMMYFUNCTION("""COMPUTED_VALUE"""),0.0580252022337693)</f>
        <v>0.05802520223</v>
      </c>
      <c r="M370" s="166">
        <f t="shared" si="2"/>
        <v>0.01405739675</v>
      </c>
      <c r="N370" s="167">
        <f t="shared" si="3"/>
        <v>2.968888889</v>
      </c>
      <c r="O370" s="163">
        <f t="shared" ref="O370:Q370" si="374">rank(I370,I:I)</f>
        <v>3178</v>
      </c>
      <c r="P370" s="163">
        <f t="shared" si="374"/>
        <v>1236</v>
      </c>
      <c r="Q370" s="163">
        <f t="shared" si="374"/>
        <v>1207</v>
      </c>
      <c r="R370" s="163">
        <f>IFERROR(__xludf.DUMMYFUNCTION("RANK(M370,filter(M:M,C:C=C370))"),420.0)</f>
        <v>420</v>
      </c>
      <c r="S370" s="161" t="b">
        <f t="shared" si="5"/>
        <v>0</v>
      </c>
      <c r="T370" s="161" t="b">
        <f t="array" ref="T370">index('Query Tool'!B:B,match(H370,'Query Tool'!C:C,0))</f>
        <v>1</v>
      </c>
      <c r="U370" s="161" t="b">
        <f t="array" ref="U370">index('Query Tool'!B:B,match(C370,'Query Tool'!C:C,0))</f>
        <v>0</v>
      </c>
      <c r="V370" s="161" t="b">
        <f>F370&gt;='Query Tool'!C$32</f>
        <v>0</v>
      </c>
      <c r="W370" s="161" t="b">
        <f t="array" ref="W370">index(Dropdowns!B:B,match(I370,Dropdowns!A:A,0))</f>
        <v>1</v>
      </c>
      <c r="X370" s="161" t="b">
        <f t="array" ref="X370">index('Query Tool'!B:B,match(D370,'Query Tool'!C:C,0))</f>
        <v>1</v>
      </c>
      <c r="Y370" s="161" t="str">
        <f t="shared" si="6"/>
        <v>whitero03,2013-14</v>
      </c>
      <c r="Z370" s="168" t="str">
        <f t="array" ref="Z370">iferror(index(I:I,match($A370&amp;","&amp;index('Year Conversion'!$A:$A,match($C370,'Year Conversion'!$B:$B,0)),$Y:$Y,0))-I370,"")</f>
        <v/>
      </c>
      <c r="AA370" s="168" t="str">
        <f t="array" ref="AA370">iferror(index(J:J,match($A370&amp;","&amp;index('Year Conversion'!$A:$A,match($C370,'Year Conversion'!$B:$B,0)),$Y:$Y,0))-J370,"")</f>
        <v/>
      </c>
      <c r="AB370" s="168" t="str">
        <f t="array" ref="AB370">iferror(index(K:K,match($A370&amp;","&amp;index('Year Conversion'!$A:$A,match($C370,'Year Conversion'!$B:$B,0)),$Y:$Y,0))-K370,"")</f>
        <v/>
      </c>
      <c r="AC370" s="168" t="str">
        <f t="shared" si="7"/>
        <v>SAC,2013-14</v>
      </c>
    </row>
    <row r="371">
      <c r="A371" s="161" t="str">
        <f>IFERROR(__xludf.DUMMYFUNCTION("""COMPUTED_VALUE"""),"zellety01")</f>
        <v>zellety01</v>
      </c>
      <c r="B371" s="161" t="str">
        <f>IFERROR(__xludf.DUMMYFUNCTION("""COMPUTED_VALUE"""),"Tyler Zeller")</f>
        <v>Tyler Zeller</v>
      </c>
      <c r="C371" s="162" t="str">
        <f>IFERROR(__xludf.DUMMYFUNCTION("""COMPUTED_VALUE"""),"2013-14")</f>
        <v>2013-14</v>
      </c>
      <c r="D371" s="163" t="str">
        <f>IFERROR(__xludf.DUMMYFUNCTION("""COMPUTED_VALUE"""),"CLE")</f>
        <v>CLE</v>
      </c>
      <c r="E371" s="164" t="str">
        <f>IFERROR(__xludf.DUMMYFUNCTION("""COMPUTED_VALUE"""),"Roll + Cut Big")</f>
        <v>Roll + Cut Big</v>
      </c>
      <c r="F371" s="164">
        <f>IFERROR(__xludf.DUMMYFUNCTION("""COMPUTED_VALUE"""),1049.40833333333)</f>
        <v>1049.408333</v>
      </c>
      <c r="G371" s="163">
        <f>IFERROR(__xludf.DUMMYFUNCTION("""COMPUTED_VALUE"""),70.0)</f>
        <v>70</v>
      </c>
      <c r="H371" s="163" t="str">
        <f>IFERROR(__xludf.DUMMYFUNCTION("""COMPUTED_VALUE"""),"C")</f>
        <v>C</v>
      </c>
      <c r="I371" s="163">
        <f>IFERROR(__xludf.DUMMYFUNCTION("""COMPUTED_VALUE"""),24.0)</f>
        <v>24</v>
      </c>
      <c r="J371" s="165">
        <f>IFERROR(__xludf.DUMMYFUNCTION("""COMPUTED_VALUE"""),-0.542593385565155)</f>
        <v>-0.5425933856</v>
      </c>
      <c r="K371" s="165">
        <f>IFERROR(__xludf.DUMMYFUNCTION("""COMPUTED_VALUE"""),-1.47440521826456)</f>
        <v>-1.474405218</v>
      </c>
      <c r="L371" s="165">
        <f>IFERROR(__xludf.DUMMYFUNCTION("""COMPUTED_VALUE"""),0.93181183269941)</f>
        <v>0.9318118327</v>
      </c>
      <c r="M371" s="166">
        <f t="shared" si="2"/>
        <v>1.234109731</v>
      </c>
      <c r="N371" s="167">
        <f t="shared" si="3"/>
        <v>14.99154762</v>
      </c>
      <c r="O371" s="163">
        <f t="shared" ref="O371:Q371" si="375">rank(I371,I:I)</f>
        <v>2361</v>
      </c>
      <c r="P371" s="163">
        <f t="shared" si="375"/>
        <v>1906</v>
      </c>
      <c r="Q371" s="163">
        <f t="shared" si="375"/>
        <v>3330</v>
      </c>
      <c r="R371" s="163">
        <f>IFERROR(__xludf.DUMMYFUNCTION("RANK(M371,filter(M:M,C:C=C371))"),210.0)</f>
        <v>210</v>
      </c>
      <c r="S371" s="161" t="b">
        <f t="shared" si="5"/>
        <v>0</v>
      </c>
      <c r="T371" s="161" t="b">
        <f t="array" ref="T371">index('Query Tool'!B:B,match(H371,'Query Tool'!C:C,0))</f>
        <v>1</v>
      </c>
      <c r="U371" s="161" t="b">
        <f t="array" ref="U371">index('Query Tool'!B:B,match(C371,'Query Tool'!C:C,0))</f>
        <v>0</v>
      </c>
      <c r="V371" s="161" t="b">
        <f>F371&gt;='Query Tool'!C$32</f>
        <v>1</v>
      </c>
      <c r="W371" s="161" t="b">
        <f t="array" ref="W371">index(Dropdowns!B:B,match(I371,Dropdowns!A:A,0))</f>
        <v>1</v>
      </c>
      <c r="X371" s="161" t="b">
        <f t="array" ref="X371">index('Query Tool'!B:B,match(D371,'Query Tool'!C:C,0))</f>
        <v>1</v>
      </c>
      <c r="Y371" s="161" t="str">
        <f t="shared" si="6"/>
        <v>zellety01,2013-14</v>
      </c>
      <c r="Z371" s="168">
        <f t="array" ref="Z371">iferror(index(I:I,match($A371&amp;","&amp;index('Year Conversion'!$A:$A,match($C371,'Year Conversion'!$B:$B,0)),$Y:$Y,0))-I371,"")</f>
        <v>1</v>
      </c>
      <c r="AA371" s="168">
        <f t="array" ref="AA371">iferror(index(J:J,match($A371&amp;","&amp;index('Year Conversion'!$A:$A,match($C371,'Year Conversion'!$B:$B,0)),$Y:$Y,0))-J371,"")</f>
        <v>0.03724163272</v>
      </c>
      <c r="AB371" s="168">
        <f t="array" ref="AB371">iferror(index(K:K,match($A371&amp;","&amp;index('Year Conversion'!$A:$A,match($C371,'Year Conversion'!$B:$B,0)),$Y:$Y,0))-K371,"")</f>
        <v>0.5210840917</v>
      </c>
      <c r="AC371" s="168" t="str">
        <f t="shared" si="7"/>
        <v>CLE,2013-14</v>
      </c>
    </row>
    <row r="372">
      <c r="A372" s="161" t="str">
        <f>IFERROR(__xludf.DUMMYFUNCTION("""COMPUTED_VALUE"""),"joneste01")</f>
        <v>joneste01</v>
      </c>
      <c r="B372" s="161" t="str">
        <f>IFERROR(__xludf.DUMMYFUNCTION("""COMPUTED_VALUE"""),"Terrence Jones")</f>
        <v>Terrence Jones</v>
      </c>
      <c r="C372" s="162" t="str">
        <f>IFERROR(__xludf.DUMMYFUNCTION("""COMPUTED_VALUE"""),"2013-14")</f>
        <v>2013-14</v>
      </c>
      <c r="D372" s="163" t="str">
        <f>IFERROR(__xludf.DUMMYFUNCTION("""COMPUTED_VALUE"""),"HOU")</f>
        <v>HOU</v>
      </c>
      <c r="E372" s="164" t="str">
        <f>IFERROR(__xludf.DUMMYFUNCTION("""COMPUTED_VALUE"""),"Roll + Cut Big")</f>
        <v>Roll + Cut Big</v>
      </c>
      <c r="F372" s="164">
        <f>IFERROR(__xludf.DUMMYFUNCTION("""COMPUTED_VALUE"""),2078.06)</f>
        <v>2078.06</v>
      </c>
      <c r="G372" s="163">
        <f>IFERROR(__xludf.DUMMYFUNCTION("""COMPUTED_VALUE"""),76.0)</f>
        <v>76</v>
      </c>
      <c r="H372" s="163" t="str">
        <f>IFERROR(__xludf.DUMMYFUNCTION("""COMPUTED_VALUE"""),"PF")</f>
        <v>PF</v>
      </c>
      <c r="I372" s="163">
        <f>IFERROR(__xludf.DUMMYFUNCTION("""COMPUTED_VALUE"""),22.0)</f>
        <v>22</v>
      </c>
      <c r="J372" s="165">
        <f>IFERROR(__xludf.DUMMYFUNCTION("""COMPUTED_VALUE"""),0.773551629617799)</f>
        <v>0.7735516296</v>
      </c>
      <c r="K372" s="165">
        <f>IFERROR(__xludf.DUMMYFUNCTION("""COMPUTED_VALUE"""),0.707422823003892)</f>
        <v>0.707422823</v>
      </c>
      <c r="L372" s="165">
        <f>IFERROR(__xludf.DUMMYFUNCTION("""COMPUTED_VALUE"""),0.0661288066139065)</f>
        <v>0.06612880661</v>
      </c>
      <c r="M372" s="166">
        <f t="shared" si="2"/>
        <v>4.286527011</v>
      </c>
      <c r="N372" s="167">
        <f t="shared" si="3"/>
        <v>27.34289474</v>
      </c>
      <c r="O372" s="163">
        <f t="shared" ref="O372:Q372" si="376">rank(I372,I:I)</f>
        <v>3178</v>
      </c>
      <c r="P372" s="163">
        <f t="shared" si="376"/>
        <v>760</v>
      </c>
      <c r="Q372" s="163">
        <f t="shared" si="376"/>
        <v>647</v>
      </c>
      <c r="R372" s="163">
        <f>IFERROR(__xludf.DUMMYFUNCTION("RANK(M372,filter(M:M,C:C=C372))"),77.0)</f>
        <v>77</v>
      </c>
      <c r="S372" s="161" t="b">
        <f t="shared" si="5"/>
        <v>0</v>
      </c>
      <c r="T372" s="161" t="b">
        <f t="array" ref="T372">index('Query Tool'!B:B,match(H372,'Query Tool'!C:C,0))</f>
        <v>1</v>
      </c>
      <c r="U372" s="161" t="b">
        <f t="array" ref="U372">index('Query Tool'!B:B,match(C372,'Query Tool'!C:C,0))</f>
        <v>0</v>
      </c>
      <c r="V372" s="161" t="b">
        <f>F372&gt;='Query Tool'!C$32</f>
        <v>1</v>
      </c>
      <c r="W372" s="161" t="b">
        <f t="array" ref="W372">index(Dropdowns!B:B,match(I372,Dropdowns!A:A,0))</f>
        <v>1</v>
      </c>
      <c r="X372" s="161" t="b">
        <f t="array" ref="X372">index('Query Tool'!B:B,match(D372,'Query Tool'!C:C,0))</f>
        <v>1</v>
      </c>
      <c r="Y372" s="161" t="str">
        <f t="shared" si="6"/>
        <v>joneste01,2013-14</v>
      </c>
      <c r="Z372" s="168">
        <f t="array" ref="Z372">iferror(index(I:I,match($A372&amp;","&amp;index('Year Conversion'!$A:$A,match($C372,'Year Conversion'!$B:$B,0)),$Y:$Y,0))-I372,"")</f>
        <v>1</v>
      </c>
      <c r="AA372" s="168">
        <f t="array" ref="AA372">iferror(index(J:J,match($A372&amp;","&amp;index('Year Conversion'!$A:$A,match($C372,'Year Conversion'!$B:$B,0)),$Y:$Y,0))-J372,"")</f>
        <v>-0.4952204495</v>
      </c>
      <c r="AB372" s="168">
        <f t="array" ref="AB372">iferror(index(K:K,match($A372&amp;","&amp;index('Year Conversion'!$A:$A,match($C372,'Year Conversion'!$B:$B,0)),$Y:$Y,0))-K372,"")</f>
        <v>-1.226117768</v>
      </c>
      <c r="AC372" s="168" t="str">
        <f t="shared" si="7"/>
        <v>HOU,2013-14</v>
      </c>
    </row>
    <row r="373">
      <c r="A373" s="161" t="str">
        <f>IFERROR(__xludf.DUMMYFUNCTION("""COMPUTED_VALUE"""),"nichoan01")</f>
        <v>nichoan01</v>
      </c>
      <c r="B373" s="161" t="str">
        <f>IFERROR(__xludf.DUMMYFUNCTION("""COMPUTED_VALUE"""),"Andrew Nicholson")</f>
        <v>Andrew Nicholson</v>
      </c>
      <c r="C373" s="162" t="str">
        <f>IFERROR(__xludf.DUMMYFUNCTION("""COMPUTED_VALUE"""),"2013-14")</f>
        <v>2013-14</v>
      </c>
      <c r="D373" s="163" t="str">
        <f>IFERROR(__xludf.DUMMYFUNCTION("""COMPUTED_VALUE"""),"ORL")</f>
        <v>ORL</v>
      </c>
      <c r="E373" s="164" t="str">
        <f>IFERROR(__xludf.DUMMYFUNCTION("""COMPUTED_VALUE"""),"Post Scorer")</f>
        <v>Post Scorer</v>
      </c>
      <c r="F373" s="164">
        <f>IFERROR(__xludf.DUMMYFUNCTION("""COMPUTED_VALUE"""),1173.53333333333)</f>
        <v>1173.533333</v>
      </c>
      <c r="G373" s="163">
        <f>IFERROR(__xludf.DUMMYFUNCTION("""COMPUTED_VALUE"""),76.0)</f>
        <v>76</v>
      </c>
      <c r="H373" s="163" t="str">
        <f>IFERROR(__xludf.DUMMYFUNCTION("""COMPUTED_VALUE"""),"PF")</f>
        <v>PF</v>
      </c>
      <c r="I373" s="163">
        <f>IFERROR(__xludf.DUMMYFUNCTION("""COMPUTED_VALUE"""),24.0)</f>
        <v>24</v>
      </c>
      <c r="J373" s="165">
        <f>IFERROR(__xludf.DUMMYFUNCTION("""COMPUTED_VALUE"""),-2.56937146045185)</f>
        <v>-2.56937146</v>
      </c>
      <c r="K373" s="165">
        <f>IFERROR(__xludf.DUMMYFUNCTION("""COMPUTED_VALUE"""),-2.6818688815461)</f>
        <v>-2.681868882</v>
      </c>
      <c r="L373" s="165">
        <f>IFERROR(__xludf.DUMMYFUNCTION("""COMPUTED_VALUE"""),0.112497421094245)</f>
        <v>0.1124974211</v>
      </c>
      <c r="M373" s="166">
        <f t="shared" si="2"/>
        <v>-0.2052083168</v>
      </c>
      <c r="N373" s="167">
        <f t="shared" si="3"/>
        <v>15.44122807</v>
      </c>
      <c r="O373" s="163">
        <f t="shared" ref="O373:Q373" si="377">rank(I373,I:I)</f>
        <v>2361</v>
      </c>
      <c r="P373" s="163">
        <f t="shared" si="377"/>
        <v>3776</v>
      </c>
      <c r="Q373" s="163">
        <f t="shared" si="377"/>
        <v>3926</v>
      </c>
      <c r="R373" s="163">
        <f>IFERROR(__xludf.DUMMYFUNCTION("RANK(M373,filter(M:M,C:C=C373))"),456.0)</f>
        <v>456</v>
      </c>
      <c r="S373" s="161" t="b">
        <f t="shared" si="5"/>
        <v>0</v>
      </c>
      <c r="T373" s="161" t="b">
        <f t="array" ref="T373">index('Query Tool'!B:B,match(H373,'Query Tool'!C:C,0))</f>
        <v>1</v>
      </c>
      <c r="U373" s="161" t="b">
        <f t="array" ref="U373">index('Query Tool'!B:B,match(C373,'Query Tool'!C:C,0))</f>
        <v>0</v>
      </c>
      <c r="V373" s="161" t="b">
        <f>F373&gt;='Query Tool'!C$32</f>
        <v>1</v>
      </c>
      <c r="W373" s="161" t="b">
        <f t="array" ref="W373">index(Dropdowns!B:B,match(I373,Dropdowns!A:A,0))</f>
        <v>1</v>
      </c>
      <c r="X373" s="161" t="b">
        <f t="array" ref="X373">index('Query Tool'!B:B,match(D373,'Query Tool'!C:C,0))</f>
        <v>1</v>
      </c>
      <c r="Y373" s="161" t="str">
        <f t="shared" si="6"/>
        <v>nichoan01,2013-14</v>
      </c>
      <c r="Z373" s="168">
        <f t="array" ref="Z373">iferror(index(I:I,match($A373&amp;","&amp;index('Year Conversion'!$A:$A,match($C373,'Year Conversion'!$B:$B,0)),$Y:$Y,0))-I373,"")</f>
        <v>1</v>
      </c>
      <c r="AA373" s="168">
        <f t="array" ref="AA373">iferror(index(J:J,match($A373&amp;","&amp;index('Year Conversion'!$A:$A,match($C373,'Year Conversion'!$B:$B,0)),$Y:$Y,0))-J373,"")</f>
        <v>1.018718986</v>
      </c>
      <c r="AB373" s="168">
        <f t="array" ref="AB373">iferror(index(K:K,match($A373&amp;","&amp;index('Year Conversion'!$A:$A,match($C373,'Year Conversion'!$B:$B,0)),$Y:$Y,0))-K373,"")</f>
        <v>1.182056978</v>
      </c>
      <c r="AC373" s="168" t="str">
        <f t="shared" si="7"/>
        <v>ORL,2013-14</v>
      </c>
    </row>
    <row r="374">
      <c r="A374" s="161" t="str">
        <f>IFERROR(__xludf.DUMMYFUNCTION("""COMPUTED_VALUE"""),"fournev01")</f>
        <v>fournev01</v>
      </c>
      <c r="B374" s="161" t="str">
        <f>IFERROR(__xludf.DUMMYFUNCTION("""COMPUTED_VALUE"""),"Evan Fournier")</f>
        <v>Evan Fournier</v>
      </c>
      <c r="C374" s="162" t="str">
        <f>IFERROR(__xludf.DUMMYFUNCTION("""COMPUTED_VALUE"""),"2013-14")</f>
        <v>2013-14</v>
      </c>
      <c r="D374" s="163" t="str">
        <f>IFERROR(__xludf.DUMMYFUNCTION("""COMPUTED_VALUE"""),"DEN")</f>
        <v>DEN</v>
      </c>
      <c r="E374" s="164" t="str">
        <f>IFERROR(__xludf.DUMMYFUNCTION("""COMPUTED_VALUE"""),"Secondary Ball Handler")</f>
        <v>Secondary Ball Handler</v>
      </c>
      <c r="F374" s="164">
        <f>IFERROR(__xludf.DUMMYFUNCTION("""COMPUTED_VALUE"""),1503.48)</f>
        <v>1503.48</v>
      </c>
      <c r="G374" s="163">
        <f>IFERROR(__xludf.DUMMYFUNCTION("""COMPUTED_VALUE"""),76.0)</f>
        <v>76</v>
      </c>
      <c r="H374" s="163" t="str">
        <f>IFERROR(__xludf.DUMMYFUNCTION("""COMPUTED_VALUE"""),"SG")</f>
        <v>SG</v>
      </c>
      <c r="I374" s="163">
        <f>IFERROR(__xludf.DUMMYFUNCTION("""COMPUTED_VALUE"""),21.0)</f>
        <v>21</v>
      </c>
      <c r="J374" s="165">
        <f>IFERROR(__xludf.DUMMYFUNCTION("""COMPUTED_VALUE"""),-1.61893503140318)</f>
        <v>-1.618935031</v>
      </c>
      <c r="K374" s="165">
        <f>IFERROR(__xludf.DUMMYFUNCTION("""COMPUTED_VALUE"""),-0.908544179047384)</f>
        <v>-0.908544179</v>
      </c>
      <c r="L374" s="165">
        <f>IFERROR(__xludf.DUMMYFUNCTION("""COMPUTED_VALUE"""),-0.710390852355799)</f>
        <v>-0.7103908524</v>
      </c>
      <c r="M374" s="166">
        <f t="shared" si="2"/>
        <v>0.6828113331</v>
      </c>
      <c r="N374" s="167">
        <f t="shared" si="3"/>
        <v>19.78263158</v>
      </c>
      <c r="O374" s="163">
        <f t="shared" ref="O374:Q374" si="378">rank(I374,I:I)</f>
        <v>3528</v>
      </c>
      <c r="P374" s="163">
        <f t="shared" si="378"/>
        <v>3166</v>
      </c>
      <c r="Q374" s="163">
        <f t="shared" si="378"/>
        <v>2701</v>
      </c>
      <c r="R374" s="163">
        <f>IFERROR(__xludf.DUMMYFUNCTION("RANK(M374,filter(M:M,C:C=C374))"),253.0)</f>
        <v>253</v>
      </c>
      <c r="S374" s="161" t="b">
        <f t="shared" si="5"/>
        <v>0</v>
      </c>
      <c r="T374" s="161" t="b">
        <f t="array" ref="T374">index('Query Tool'!B:B,match(H374,'Query Tool'!C:C,0))</f>
        <v>1</v>
      </c>
      <c r="U374" s="161" t="b">
        <f t="array" ref="U374">index('Query Tool'!B:B,match(C374,'Query Tool'!C:C,0))</f>
        <v>0</v>
      </c>
      <c r="V374" s="161" t="b">
        <f>F374&gt;='Query Tool'!C$32</f>
        <v>1</v>
      </c>
      <c r="W374" s="161" t="b">
        <f t="array" ref="W374">index(Dropdowns!B:B,match(I374,Dropdowns!A:A,0))</f>
        <v>1</v>
      </c>
      <c r="X374" s="161" t="b">
        <f t="array" ref="X374">index('Query Tool'!B:B,match(D374,'Query Tool'!C:C,0))</f>
        <v>1</v>
      </c>
      <c r="Y374" s="161" t="str">
        <f t="shared" si="6"/>
        <v>fournev01,2013-14</v>
      </c>
      <c r="Z374" s="168">
        <f t="array" ref="Z374">iferror(index(I:I,match($A374&amp;","&amp;index('Year Conversion'!$A:$A,match($C374,'Year Conversion'!$B:$B,0)),$Y:$Y,0))-I374,"")</f>
        <v>1</v>
      </c>
      <c r="AA374" s="168">
        <f t="array" ref="AA374">iferror(index(J:J,match($A374&amp;","&amp;index('Year Conversion'!$A:$A,match($C374,'Year Conversion'!$B:$B,0)),$Y:$Y,0))-J374,"")</f>
        <v>-0.09074332381</v>
      </c>
      <c r="AB374" s="168">
        <f t="array" ref="AB374">iferror(index(K:K,match($A374&amp;","&amp;index('Year Conversion'!$A:$A,match($C374,'Year Conversion'!$B:$B,0)),$Y:$Y,0))-K374,"")</f>
        <v>0.846968469</v>
      </c>
      <c r="AC374" s="168" t="str">
        <f t="shared" si="7"/>
        <v>DEN,2013-14</v>
      </c>
    </row>
    <row r="375">
      <c r="A375" s="161" t="str">
        <f>IFERROR(__xludf.DUMMYFUNCTION("""COMPUTED_VALUE"""),"sullija01")</f>
        <v>sullija01</v>
      </c>
      <c r="B375" s="161" t="str">
        <f>IFERROR(__xludf.DUMMYFUNCTION("""COMPUTED_VALUE"""),"Jared Sullinger")</f>
        <v>Jared Sullinger</v>
      </c>
      <c r="C375" s="162" t="str">
        <f>IFERROR(__xludf.DUMMYFUNCTION("""COMPUTED_VALUE"""),"2013-14")</f>
        <v>2013-14</v>
      </c>
      <c r="D375" s="163" t="str">
        <f>IFERROR(__xludf.DUMMYFUNCTION("""COMPUTED_VALUE"""),"BOS")</f>
        <v>BOS</v>
      </c>
      <c r="E375" s="164" t="str">
        <f>IFERROR(__xludf.DUMMYFUNCTION("""COMPUTED_VALUE"""),"Post Scorer")</f>
        <v>Post Scorer</v>
      </c>
      <c r="F375" s="164">
        <f>IFERROR(__xludf.DUMMYFUNCTION("""COMPUTED_VALUE"""),2041.23166666667)</f>
        <v>2041.231667</v>
      </c>
      <c r="G375" s="163">
        <f>IFERROR(__xludf.DUMMYFUNCTION("""COMPUTED_VALUE"""),74.0)</f>
        <v>74</v>
      </c>
      <c r="H375" s="163" t="str">
        <f>IFERROR(__xludf.DUMMYFUNCTION("""COMPUTED_VALUE"""),"PF")</f>
        <v>PF</v>
      </c>
      <c r="I375" s="163">
        <f>IFERROR(__xludf.DUMMYFUNCTION("""COMPUTED_VALUE"""),21.0)</f>
        <v>21</v>
      </c>
      <c r="J375" s="165">
        <f>IFERROR(__xludf.DUMMYFUNCTION("""COMPUTED_VALUE"""),0.161650505572218)</f>
        <v>0.1616505056</v>
      </c>
      <c r="K375" s="165">
        <f>IFERROR(__xludf.DUMMYFUNCTION("""COMPUTED_VALUE"""),-0.22114306647711)</f>
        <v>-0.2211430665</v>
      </c>
      <c r="L375" s="165">
        <f>IFERROR(__xludf.DUMMYFUNCTION("""COMPUTED_VALUE"""),0.382793572049328)</f>
        <v>0.382793572</v>
      </c>
      <c r="M375" s="166">
        <f t="shared" si="2"/>
        <v>3.369350549</v>
      </c>
      <c r="N375" s="167">
        <f t="shared" si="3"/>
        <v>27.58421171</v>
      </c>
      <c r="O375" s="163">
        <f t="shared" ref="O375:Q375" si="379">rank(I375,I:I)</f>
        <v>3528</v>
      </c>
      <c r="P375" s="163">
        <f t="shared" si="379"/>
        <v>1118</v>
      </c>
      <c r="Q375" s="163">
        <f t="shared" si="379"/>
        <v>1601</v>
      </c>
      <c r="R375" s="163">
        <f>IFERROR(__xludf.DUMMYFUNCTION("RANK(M375,filter(M:M,C:C=C375))"),102.0)</f>
        <v>102</v>
      </c>
      <c r="S375" s="161" t="b">
        <f t="shared" si="5"/>
        <v>0</v>
      </c>
      <c r="T375" s="161" t="b">
        <f t="array" ref="T375">index('Query Tool'!B:B,match(H375,'Query Tool'!C:C,0))</f>
        <v>1</v>
      </c>
      <c r="U375" s="161" t="b">
        <f t="array" ref="U375">index('Query Tool'!B:B,match(C375,'Query Tool'!C:C,0))</f>
        <v>0</v>
      </c>
      <c r="V375" s="161" t="b">
        <f>F375&gt;='Query Tool'!C$32</f>
        <v>1</v>
      </c>
      <c r="W375" s="161" t="b">
        <f t="array" ref="W375">index(Dropdowns!B:B,match(I375,Dropdowns!A:A,0))</f>
        <v>1</v>
      </c>
      <c r="X375" s="161" t="b">
        <f t="array" ref="X375">index('Query Tool'!B:B,match(D375,'Query Tool'!C:C,0))</f>
        <v>1</v>
      </c>
      <c r="Y375" s="161" t="str">
        <f t="shared" si="6"/>
        <v>sullija01,2013-14</v>
      </c>
      <c r="Z375" s="168">
        <f t="array" ref="Z375">iferror(index(I:I,match($A375&amp;","&amp;index('Year Conversion'!$A:$A,match($C375,'Year Conversion'!$B:$B,0)),$Y:$Y,0))-I375,"")</f>
        <v>1</v>
      </c>
      <c r="AA375" s="168">
        <f t="array" ref="AA375">iferror(index(J:J,match($A375&amp;","&amp;index('Year Conversion'!$A:$A,match($C375,'Year Conversion'!$B:$B,0)),$Y:$Y,0))-J375,"")</f>
        <v>0.5184569296</v>
      </c>
      <c r="AB375" s="168">
        <f t="array" ref="AB375">iferror(index(K:K,match($A375&amp;","&amp;index('Year Conversion'!$A:$A,match($C375,'Year Conversion'!$B:$B,0)),$Y:$Y,0))-K375,"")</f>
        <v>0.9246537065</v>
      </c>
      <c r="AC375" s="168" t="str">
        <f t="shared" si="7"/>
        <v>BOS,2013-14</v>
      </c>
    </row>
    <row r="376">
      <c r="A376" s="161" t="str">
        <f>IFERROR(__xludf.DUMMYFUNCTION("""COMPUTED_VALUE"""),"jenkijo01")</f>
        <v>jenkijo01</v>
      </c>
      <c r="B376" s="161" t="str">
        <f>IFERROR(__xludf.DUMMYFUNCTION("""COMPUTED_VALUE"""),"John Jenkins")</f>
        <v>John Jenkins</v>
      </c>
      <c r="C376" s="162" t="str">
        <f>IFERROR(__xludf.DUMMYFUNCTION("""COMPUTED_VALUE"""),"2013-14")</f>
        <v>2013-14</v>
      </c>
      <c r="D376" s="163" t="str">
        <f>IFERROR(__xludf.DUMMYFUNCTION("""COMPUTED_VALUE"""),"ATL")</f>
        <v>ATL</v>
      </c>
      <c r="E376" s="164" t="str">
        <f>IFERROR(__xludf.DUMMYFUNCTION("""COMPUTED_VALUE"""),"Movement Shooter")</f>
        <v>Movement Shooter</v>
      </c>
      <c r="F376" s="164">
        <f>IFERROR(__xludf.DUMMYFUNCTION("""COMPUTED_VALUE"""),157.556666666667)</f>
        <v>157.5566667</v>
      </c>
      <c r="G376" s="163">
        <f>IFERROR(__xludf.DUMMYFUNCTION("""COMPUTED_VALUE"""),13.0)</f>
        <v>13</v>
      </c>
      <c r="H376" s="163" t="str">
        <f>IFERROR(__xludf.DUMMYFUNCTION("""COMPUTED_VALUE"""),"SG")</f>
        <v>SG</v>
      </c>
      <c r="I376" s="163">
        <f>IFERROR(__xludf.DUMMYFUNCTION("""COMPUTED_VALUE"""),22.0)</f>
        <v>22</v>
      </c>
      <c r="J376" s="165">
        <f>IFERROR(__xludf.DUMMYFUNCTION("""COMPUTED_VALUE"""),-1.56816855169052)</f>
        <v>-1.568168552</v>
      </c>
      <c r="K376" s="165">
        <f>IFERROR(__xludf.DUMMYFUNCTION("""COMPUTED_VALUE"""),-1.29800066816145)</f>
        <v>-1.298000668</v>
      </c>
      <c r="L376" s="165">
        <f>IFERROR(__xludf.DUMMYFUNCTION("""COMPUTED_VALUE"""),-0.270167883529075)</f>
        <v>-0.2701678835</v>
      </c>
      <c r="M376" s="166">
        <f t="shared" si="2"/>
        <v>0.07689087503</v>
      </c>
      <c r="N376" s="167">
        <f t="shared" si="3"/>
        <v>12.11974359</v>
      </c>
      <c r="O376" s="163">
        <f t="shared" ref="O376:Q376" si="380">rank(I376,I:I)</f>
        <v>3178</v>
      </c>
      <c r="P376" s="163">
        <f t="shared" si="380"/>
        <v>3115</v>
      </c>
      <c r="Q376" s="163">
        <f t="shared" si="380"/>
        <v>3143</v>
      </c>
      <c r="R376" s="163">
        <f>IFERROR(__xludf.DUMMYFUNCTION("RANK(M376,filter(M:M,C:C=C376))"),368.0)</f>
        <v>368</v>
      </c>
      <c r="S376" s="161" t="b">
        <f t="shared" si="5"/>
        <v>0</v>
      </c>
      <c r="T376" s="161" t="b">
        <f t="array" ref="T376">index('Query Tool'!B:B,match(H376,'Query Tool'!C:C,0))</f>
        <v>1</v>
      </c>
      <c r="U376" s="161" t="b">
        <f t="array" ref="U376">index('Query Tool'!B:B,match(C376,'Query Tool'!C:C,0))</f>
        <v>0</v>
      </c>
      <c r="V376" s="161" t="b">
        <f>F376&gt;='Query Tool'!C$32</f>
        <v>0</v>
      </c>
      <c r="W376" s="161" t="b">
        <f t="array" ref="W376">index(Dropdowns!B:B,match(I376,Dropdowns!A:A,0))</f>
        <v>1</v>
      </c>
      <c r="X376" s="161" t="b">
        <f t="array" ref="X376">index('Query Tool'!B:B,match(D376,'Query Tool'!C:C,0))</f>
        <v>1</v>
      </c>
      <c r="Y376" s="161" t="str">
        <f t="shared" si="6"/>
        <v>jenkijo01,2013-14</v>
      </c>
      <c r="Z376" s="168">
        <f t="array" ref="Z376">iferror(index(I:I,match($A376&amp;","&amp;index('Year Conversion'!$A:$A,match($C376,'Year Conversion'!$B:$B,0)),$Y:$Y,0))-I376,"")</f>
        <v>1</v>
      </c>
      <c r="AA376" s="168">
        <f t="array" ref="AA376">iferror(index(J:J,match($A376&amp;","&amp;index('Year Conversion'!$A:$A,match($C376,'Year Conversion'!$B:$B,0)),$Y:$Y,0))-J376,"")</f>
        <v>0.3792559584</v>
      </c>
      <c r="AB376" s="168">
        <f t="array" ref="AB376">iferror(index(K:K,match($A376&amp;","&amp;index('Year Conversion'!$A:$A,match($C376,'Year Conversion'!$B:$B,0)),$Y:$Y,0))-K376,"")</f>
        <v>0.7536250943</v>
      </c>
      <c r="AC376" s="168" t="str">
        <f t="shared" si="7"/>
        <v>ATL,2013-14</v>
      </c>
    </row>
    <row r="377">
      <c r="A377" s="161" t="str">
        <f>IFERROR(__xludf.DUMMYFUNCTION("""COMPUTED_VALUE"""),"cunnija01")</f>
        <v>cunnija01</v>
      </c>
      <c r="B377" s="161" t="str">
        <f>IFERROR(__xludf.DUMMYFUNCTION("""COMPUTED_VALUE"""),"Jared Cunningham")</f>
        <v>Jared Cunningham</v>
      </c>
      <c r="C377" s="162" t="str">
        <f>IFERROR(__xludf.DUMMYFUNCTION("""COMPUTED_VALUE"""),"2013-14")</f>
        <v>2013-14</v>
      </c>
      <c r="D377" s="163" t="str">
        <f>IFERROR(__xludf.DUMMYFUNCTION("""COMPUTED_VALUE"""),"TOT")</f>
        <v>TOT</v>
      </c>
      <c r="E377" s="164" t="str">
        <f>IFERROR(__xludf.DUMMYFUNCTION("""COMPUTED_VALUE"""),"Secondary Ball Handler")</f>
        <v>Secondary Ball Handler</v>
      </c>
      <c r="F377" s="164">
        <f>IFERROR(__xludf.DUMMYFUNCTION("""COMPUTED_VALUE"""),80.145)</f>
        <v>80.145</v>
      </c>
      <c r="G377" s="163">
        <f>IFERROR(__xludf.DUMMYFUNCTION("""COMPUTED_VALUE"""),13.0)</f>
        <v>13</v>
      </c>
      <c r="H377" s="163" t="str">
        <f>IFERROR(__xludf.DUMMYFUNCTION("""COMPUTED_VALUE"""),"SG")</f>
        <v>SG</v>
      </c>
      <c r="I377" s="163">
        <f>IFERROR(__xludf.DUMMYFUNCTION("""COMPUTED_VALUE"""),22.0)</f>
        <v>22</v>
      </c>
      <c r="J377" s="165">
        <f>IFERROR(__xludf.DUMMYFUNCTION("""COMPUTED_VALUE"""),-0.162789243439084)</f>
        <v>-0.1627892434</v>
      </c>
      <c r="K377" s="165">
        <f>IFERROR(__xludf.DUMMYFUNCTION("""COMPUTED_VALUE"""),-0.237257593665001)</f>
        <v>-0.2372575937</v>
      </c>
      <c r="L377" s="165">
        <f>IFERROR(__xludf.DUMMYFUNCTION("""COMPUTED_VALUE"""),0.0744683502259173)</f>
        <v>0.07446835023</v>
      </c>
      <c r="M377" s="166">
        <f t="shared" si="2"/>
        <v>0.1147612169</v>
      </c>
      <c r="N377" s="167">
        <f t="shared" si="3"/>
        <v>6.165</v>
      </c>
      <c r="O377" s="163">
        <f t="shared" ref="O377:Q377" si="381">rank(I377,I:I)</f>
        <v>3178</v>
      </c>
      <c r="P377" s="163">
        <f t="shared" si="381"/>
        <v>1461</v>
      </c>
      <c r="Q377" s="163">
        <f t="shared" si="381"/>
        <v>1638</v>
      </c>
      <c r="R377" s="163">
        <f>IFERROR(__xludf.DUMMYFUNCTION("RANK(M377,filter(M:M,C:C=C377))"),352.0)</f>
        <v>352</v>
      </c>
      <c r="S377" s="161" t="b">
        <f t="shared" si="5"/>
        <v>0</v>
      </c>
      <c r="T377" s="161" t="b">
        <f t="array" ref="T377">index('Query Tool'!B:B,match(H377,'Query Tool'!C:C,0))</f>
        <v>1</v>
      </c>
      <c r="U377" s="161" t="b">
        <f t="array" ref="U377">index('Query Tool'!B:B,match(C377,'Query Tool'!C:C,0))</f>
        <v>0</v>
      </c>
      <c r="V377" s="161" t="b">
        <f>F377&gt;='Query Tool'!C$32</f>
        <v>0</v>
      </c>
      <c r="W377" s="161" t="b">
        <f t="array" ref="W377">index(Dropdowns!B:B,match(I377,Dropdowns!A:A,0))</f>
        <v>1</v>
      </c>
      <c r="X377" s="161" t="b">
        <f t="array" ref="X377">index('Query Tool'!B:B,match(D377,'Query Tool'!C:C,0))</f>
        <v>1</v>
      </c>
      <c r="Y377" s="161" t="str">
        <f t="shared" si="6"/>
        <v>cunnija01,2013-14</v>
      </c>
      <c r="Z377" s="168">
        <f t="array" ref="Z377">iferror(index(I:I,match($A377&amp;","&amp;index('Year Conversion'!$A:$A,match($C377,'Year Conversion'!$B:$B,0)),$Y:$Y,0))-I377,"")</f>
        <v>1</v>
      </c>
      <c r="AA377" s="168">
        <f t="array" ref="AA377">iferror(index(J:J,match($A377&amp;","&amp;index('Year Conversion'!$A:$A,match($C377,'Year Conversion'!$B:$B,0)),$Y:$Y,0))-J377,"")</f>
        <v>-1.707241006</v>
      </c>
      <c r="AB377" s="168">
        <f t="array" ref="AB377">iferror(index(K:K,match($A377&amp;","&amp;index('Year Conversion'!$A:$A,match($C377,'Year Conversion'!$B:$B,0)),$Y:$Y,0))-K377,"")</f>
        <v>-0.6547711221</v>
      </c>
      <c r="AC377" s="168" t="str">
        <f t="shared" si="7"/>
        <v>TOT,2013-14</v>
      </c>
    </row>
    <row r="378">
      <c r="A378" s="161" t="str">
        <f>IFERROR(__xludf.DUMMYFUNCTION("""COMPUTED_VALUE"""),"wroteto01")</f>
        <v>wroteto01</v>
      </c>
      <c r="B378" s="161" t="str">
        <f>IFERROR(__xludf.DUMMYFUNCTION("""COMPUTED_VALUE"""),"Tony Wroten")</f>
        <v>Tony Wroten</v>
      </c>
      <c r="C378" s="162" t="str">
        <f>IFERROR(__xludf.DUMMYFUNCTION("""COMPUTED_VALUE"""),"2013-14")</f>
        <v>2013-14</v>
      </c>
      <c r="D378" s="163" t="str">
        <f>IFERROR(__xludf.DUMMYFUNCTION("""COMPUTED_VALUE"""),"PHI")</f>
        <v>PHI</v>
      </c>
      <c r="E378" s="164" t="str">
        <f>IFERROR(__xludf.DUMMYFUNCTION("""COMPUTED_VALUE"""),"Slasher")</f>
        <v>Slasher</v>
      </c>
      <c r="F378" s="164">
        <f>IFERROR(__xludf.DUMMYFUNCTION("""COMPUTED_VALUE"""),1764.66833333333)</f>
        <v>1764.668333</v>
      </c>
      <c r="G378" s="163">
        <f>IFERROR(__xludf.DUMMYFUNCTION("""COMPUTED_VALUE"""),72.0)</f>
        <v>72</v>
      </c>
      <c r="H378" s="163" t="str">
        <f>IFERROR(__xludf.DUMMYFUNCTION("""COMPUTED_VALUE"""),"PG")</f>
        <v>PG</v>
      </c>
      <c r="I378" s="163">
        <f>IFERROR(__xludf.DUMMYFUNCTION("""COMPUTED_VALUE"""),20.0)</f>
        <v>20</v>
      </c>
      <c r="J378" s="165">
        <f>IFERROR(__xludf.DUMMYFUNCTION("""COMPUTED_VALUE"""),-3.23376241215873)</f>
        <v>-3.233762412</v>
      </c>
      <c r="K378" s="165">
        <f>IFERROR(__xludf.DUMMYFUNCTION("""COMPUTED_VALUE"""),-1.41820994063746)</f>
        <v>-1.418209941</v>
      </c>
      <c r="L378" s="165">
        <f>IFERROR(__xludf.DUMMYFUNCTION("""COMPUTED_VALUE"""),-1.81555247152127)</f>
        <v>-1.815552472</v>
      </c>
      <c r="M378" s="166">
        <f t="shared" si="2"/>
        <v>-1.071811901</v>
      </c>
      <c r="N378" s="167">
        <f t="shared" si="3"/>
        <v>24.50928241</v>
      </c>
      <c r="O378" s="163">
        <f t="shared" ref="O378:Q378" si="382">rank(I378,I:I)</f>
        <v>3770</v>
      </c>
      <c r="P378" s="163">
        <f t="shared" si="382"/>
        <v>3932</v>
      </c>
      <c r="Q378" s="163">
        <f t="shared" si="382"/>
        <v>3268</v>
      </c>
      <c r="R378" s="163">
        <f>IFERROR(__xludf.DUMMYFUNCTION("RANK(M378,filter(M:M,C:C=C378))"),476.0)</f>
        <v>476</v>
      </c>
      <c r="S378" s="161" t="b">
        <f t="shared" si="5"/>
        <v>0</v>
      </c>
      <c r="T378" s="161" t="b">
        <f t="array" ref="T378">index('Query Tool'!B:B,match(H378,'Query Tool'!C:C,0))</f>
        <v>1</v>
      </c>
      <c r="U378" s="161" t="b">
        <f t="array" ref="U378">index('Query Tool'!B:B,match(C378,'Query Tool'!C:C,0))</f>
        <v>0</v>
      </c>
      <c r="V378" s="161" t="b">
        <f>F378&gt;='Query Tool'!C$32</f>
        <v>1</v>
      </c>
      <c r="W378" s="161" t="b">
        <f t="array" ref="W378">index(Dropdowns!B:B,match(I378,Dropdowns!A:A,0))</f>
        <v>1</v>
      </c>
      <c r="X378" s="161" t="b">
        <f t="array" ref="X378">index('Query Tool'!B:B,match(D378,'Query Tool'!C:C,0))</f>
        <v>1</v>
      </c>
      <c r="Y378" s="161" t="str">
        <f t="shared" si="6"/>
        <v>wroteto01,2013-14</v>
      </c>
      <c r="Z378" s="168">
        <f t="array" ref="Z378">iferror(index(I:I,match($A378&amp;","&amp;index('Year Conversion'!$A:$A,match($C378,'Year Conversion'!$B:$B,0)),$Y:$Y,0))-I378,"")</f>
        <v>1</v>
      </c>
      <c r="AA378" s="168">
        <f t="array" ref="AA378">iferror(index(J:J,match($A378&amp;","&amp;index('Year Conversion'!$A:$A,match($C378,'Year Conversion'!$B:$B,0)),$Y:$Y,0))-J378,"")</f>
        <v>1.508808097</v>
      </c>
      <c r="AB378" s="168">
        <f t="array" ref="AB378">iferror(index(K:K,match($A378&amp;","&amp;index('Year Conversion'!$A:$A,match($C378,'Year Conversion'!$B:$B,0)),$Y:$Y,0))-K378,"")</f>
        <v>1.69996905</v>
      </c>
      <c r="AC378" s="168" t="str">
        <f t="shared" si="7"/>
        <v>PHI,2013-14</v>
      </c>
    </row>
    <row r="379">
      <c r="A379" s="161" t="str">
        <f>IFERROR(__xludf.DUMMYFUNCTION("""COMPUTED_VALUE"""),"plumlmi01")</f>
        <v>plumlmi01</v>
      </c>
      <c r="B379" s="161" t="str">
        <f>IFERROR(__xludf.DUMMYFUNCTION("""COMPUTED_VALUE"""),"Miles Plumlee")</f>
        <v>Miles Plumlee</v>
      </c>
      <c r="C379" s="162" t="str">
        <f>IFERROR(__xludf.DUMMYFUNCTION("""COMPUTED_VALUE"""),"2013-14")</f>
        <v>2013-14</v>
      </c>
      <c r="D379" s="163" t="str">
        <f>IFERROR(__xludf.DUMMYFUNCTION("""COMPUTED_VALUE"""),"PHO")</f>
        <v>PHO</v>
      </c>
      <c r="E379" s="164" t="str">
        <f>IFERROR(__xludf.DUMMYFUNCTION("""COMPUTED_VALUE"""),"Post Scorer")</f>
        <v>Post Scorer</v>
      </c>
      <c r="F379" s="164">
        <f>IFERROR(__xludf.DUMMYFUNCTION("""COMPUTED_VALUE"""),1963.71833333333)</f>
        <v>1963.718333</v>
      </c>
      <c r="G379" s="163">
        <f>IFERROR(__xludf.DUMMYFUNCTION("""COMPUTED_VALUE"""),80.0)</f>
        <v>80</v>
      </c>
      <c r="H379" s="163" t="str">
        <f>IFERROR(__xludf.DUMMYFUNCTION("""COMPUTED_VALUE"""),"C")</f>
        <v>C</v>
      </c>
      <c r="I379" s="163">
        <f>IFERROR(__xludf.DUMMYFUNCTION("""COMPUTED_VALUE"""),25.0)</f>
        <v>25</v>
      </c>
      <c r="J379" s="165">
        <f>IFERROR(__xludf.DUMMYFUNCTION("""COMPUTED_VALUE"""),-0.0515678491593372)</f>
        <v>-0.05156784916</v>
      </c>
      <c r="K379" s="165">
        <f>IFERROR(__xludf.DUMMYFUNCTION("""COMPUTED_VALUE"""),-1.61163294608686)</f>
        <v>-1.611632946</v>
      </c>
      <c r="L379" s="165">
        <f>IFERROR(__xludf.DUMMYFUNCTION("""COMPUTED_VALUE"""),1.56006509692752)</f>
        <v>1.560065097</v>
      </c>
      <c r="M379" s="166">
        <f t="shared" si="2"/>
        <v>2.959127699</v>
      </c>
      <c r="N379" s="167">
        <f t="shared" si="3"/>
        <v>24.54647917</v>
      </c>
      <c r="O379" s="163">
        <f t="shared" ref="O379:Q379" si="383">rank(I379,I:I)</f>
        <v>1995</v>
      </c>
      <c r="P379" s="163">
        <f t="shared" si="383"/>
        <v>1331</v>
      </c>
      <c r="Q379" s="163">
        <f t="shared" si="383"/>
        <v>3453</v>
      </c>
      <c r="R379" s="163">
        <f>IFERROR(__xludf.DUMMYFUNCTION("RANK(M379,filter(M:M,C:C=C379))"),113.0)</f>
        <v>113</v>
      </c>
      <c r="S379" s="161" t="b">
        <f t="shared" si="5"/>
        <v>0</v>
      </c>
      <c r="T379" s="161" t="b">
        <f t="array" ref="T379">index('Query Tool'!B:B,match(H379,'Query Tool'!C:C,0))</f>
        <v>1</v>
      </c>
      <c r="U379" s="161" t="b">
        <f t="array" ref="U379">index('Query Tool'!B:B,match(C379,'Query Tool'!C:C,0))</f>
        <v>0</v>
      </c>
      <c r="V379" s="161" t="b">
        <f>F379&gt;='Query Tool'!C$32</f>
        <v>1</v>
      </c>
      <c r="W379" s="161" t="b">
        <f t="array" ref="W379">index(Dropdowns!B:B,match(I379,Dropdowns!A:A,0))</f>
        <v>1</v>
      </c>
      <c r="X379" s="161" t="b">
        <f t="array" ref="X379">index('Query Tool'!B:B,match(D379,'Query Tool'!C:C,0))</f>
        <v>1</v>
      </c>
      <c r="Y379" s="161" t="str">
        <f t="shared" si="6"/>
        <v>plumlmi01,2013-14</v>
      </c>
      <c r="Z379" s="168">
        <f t="array" ref="Z379">iferror(index(I:I,match($A379&amp;","&amp;index('Year Conversion'!$A:$A,match($C379,'Year Conversion'!$B:$B,0)),$Y:$Y,0))-I379,"")</f>
        <v>1</v>
      </c>
      <c r="AA379" s="168">
        <f t="array" ref="AA379">iferror(index(J:J,match($A379&amp;","&amp;index('Year Conversion'!$A:$A,match($C379,'Year Conversion'!$B:$B,0)),$Y:$Y,0))-J379,"")</f>
        <v>-1.107265387</v>
      </c>
      <c r="AB379" s="168">
        <f t="array" ref="AB379">iferror(index(K:K,match($A379&amp;","&amp;index('Year Conversion'!$A:$A,match($C379,'Year Conversion'!$B:$B,0)),$Y:$Y,0))-K379,"")</f>
        <v>-0.7615223108</v>
      </c>
      <c r="AC379" s="168" t="str">
        <f t="shared" si="7"/>
        <v>PHO,2013-14</v>
      </c>
    </row>
    <row r="380">
      <c r="A380" s="161" t="str">
        <f>IFERROR(__xludf.DUMMYFUNCTION("""COMPUTED_VALUE"""),"moultar01")</f>
        <v>moultar01</v>
      </c>
      <c r="B380" s="161" t="str">
        <f>IFERROR(__xludf.DUMMYFUNCTION("""COMPUTED_VALUE"""),"Arnett Moultrie")</f>
        <v>Arnett Moultrie</v>
      </c>
      <c r="C380" s="162" t="str">
        <f>IFERROR(__xludf.DUMMYFUNCTION("""COMPUTED_VALUE"""),"2013-14")</f>
        <v>2013-14</v>
      </c>
      <c r="D380" s="163" t="str">
        <f>IFERROR(__xludf.DUMMYFUNCTION("""COMPUTED_VALUE"""),"PHI")</f>
        <v>PHI</v>
      </c>
      <c r="E380" s="164" t="str">
        <f>IFERROR(__xludf.DUMMYFUNCTION("""COMPUTED_VALUE"""),"Roll + Cut Big")</f>
        <v>Roll + Cut Big</v>
      </c>
      <c r="F380" s="164">
        <f>IFERROR(__xludf.DUMMYFUNCTION("""COMPUTED_VALUE"""),187.06)</f>
        <v>187.06</v>
      </c>
      <c r="G380" s="163">
        <f>IFERROR(__xludf.DUMMYFUNCTION("""COMPUTED_VALUE"""),12.0)</f>
        <v>12</v>
      </c>
      <c r="H380" s="163" t="str">
        <f>IFERROR(__xludf.DUMMYFUNCTION("""COMPUTED_VALUE"""),"PF")</f>
        <v>PF</v>
      </c>
      <c r="I380" s="163">
        <f>IFERROR(__xludf.DUMMYFUNCTION("""COMPUTED_VALUE"""),23.0)</f>
        <v>23</v>
      </c>
      <c r="J380" s="165">
        <f>IFERROR(__xludf.DUMMYFUNCTION("""COMPUTED_VALUE"""),-1.06337513238457)</f>
        <v>-1.063375132</v>
      </c>
      <c r="K380" s="165">
        <f>IFERROR(__xludf.DUMMYFUNCTION("""COMPUTED_VALUE"""),-1.1295524062981)</f>
        <v>-1.129552406</v>
      </c>
      <c r="L380" s="165">
        <f>IFERROR(__xludf.DUMMYFUNCTION("""COMPUTED_VALUE"""),0.0661772739135286)</f>
        <v>0.06617727391</v>
      </c>
      <c r="M380" s="166">
        <f t="shared" si="2"/>
        <v>0.1544879957</v>
      </c>
      <c r="N380" s="167">
        <f t="shared" si="3"/>
        <v>15.58833333</v>
      </c>
      <c r="O380" s="163">
        <f t="shared" ref="O380:Q380" si="384">rank(I380,I:I)</f>
        <v>2765</v>
      </c>
      <c r="P380" s="163">
        <f t="shared" si="384"/>
        <v>2569</v>
      </c>
      <c r="Q380" s="163">
        <f t="shared" si="384"/>
        <v>2957</v>
      </c>
      <c r="R380" s="163">
        <f>IFERROR(__xludf.DUMMYFUNCTION("RANK(M380,filter(M:M,C:C=C380))"),340.0)</f>
        <v>340</v>
      </c>
      <c r="S380" s="161" t="b">
        <f t="shared" si="5"/>
        <v>0</v>
      </c>
      <c r="T380" s="161" t="b">
        <f t="array" ref="T380">index('Query Tool'!B:B,match(H380,'Query Tool'!C:C,0))</f>
        <v>1</v>
      </c>
      <c r="U380" s="161" t="b">
        <f t="array" ref="U380">index('Query Tool'!B:B,match(C380,'Query Tool'!C:C,0))</f>
        <v>0</v>
      </c>
      <c r="V380" s="161" t="b">
        <f>F380&gt;='Query Tool'!C$32</f>
        <v>0</v>
      </c>
      <c r="W380" s="161" t="b">
        <f t="array" ref="W380">index(Dropdowns!B:B,match(I380,Dropdowns!A:A,0))</f>
        <v>1</v>
      </c>
      <c r="X380" s="161" t="b">
        <f t="array" ref="X380">index('Query Tool'!B:B,match(D380,'Query Tool'!C:C,0))</f>
        <v>1</v>
      </c>
      <c r="Y380" s="161" t="str">
        <f t="shared" si="6"/>
        <v>moultar01,2013-14</v>
      </c>
      <c r="Z380" s="168" t="str">
        <f t="array" ref="Z380">iferror(index(I:I,match($A380&amp;","&amp;index('Year Conversion'!$A:$A,match($C380,'Year Conversion'!$B:$B,0)),$Y:$Y,0))-I380,"")</f>
        <v/>
      </c>
      <c r="AA380" s="168" t="str">
        <f t="array" ref="AA380">iferror(index(J:J,match($A380&amp;","&amp;index('Year Conversion'!$A:$A,match($C380,'Year Conversion'!$B:$B,0)),$Y:$Y,0))-J380,"")</f>
        <v/>
      </c>
      <c r="AB380" s="168" t="str">
        <f t="array" ref="AB380">iferror(index(K:K,match($A380&amp;","&amp;index('Year Conversion'!$A:$A,match($C380,'Year Conversion'!$B:$B,0)),$Y:$Y,0))-K380,"")</f>
        <v/>
      </c>
      <c r="AC380" s="168" t="str">
        <f t="shared" si="7"/>
        <v>PHI,2013-14</v>
      </c>
    </row>
    <row r="381">
      <c r="A381" s="161" t="str">
        <f>IFERROR(__xludf.DUMMYFUNCTION("""COMPUTED_VALUE"""),"jonespe01")</f>
        <v>jonespe01</v>
      </c>
      <c r="B381" s="161" t="str">
        <f>IFERROR(__xludf.DUMMYFUNCTION("""COMPUTED_VALUE"""),"Perry Jones III")</f>
        <v>Perry Jones III</v>
      </c>
      <c r="C381" s="162" t="str">
        <f>IFERROR(__xludf.DUMMYFUNCTION("""COMPUTED_VALUE"""),"2013-14")</f>
        <v>2013-14</v>
      </c>
      <c r="D381" s="163" t="str">
        <f>IFERROR(__xludf.DUMMYFUNCTION("""COMPUTED_VALUE"""),"OKC")</f>
        <v>OKC</v>
      </c>
      <c r="E381" s="164" t="str">
        <f>IFERROR(__xludf.DUMMYFUNCTION("""COMPUTED_VALUE"""),"Athletic Finisher")</f>
        <v>Athletic Finisher</v>
      </c>
      <c r="F381" s="164">
        <f>IFERROR(__xludf.DUMMYFUNCTION("""COMPUTED_VALUE"""),764.486666666667)</f>
        <v>764.4866667</v>
      </c>
      <c r="G381" s="163">
        <f>IFERROR(__xludf.DUMMYFUNCTION("""COMPUTED_VALUE"""),62.0)</f>
        <v>62</v>
      </c>
      <c r="H381" s="163" t="str">
        <f>IFERROR(__xludf.DUMMYFUNCTION("""COMPUTED_VALUE"""),"PF")</f>
        <v>PF</v>
      </c>
      <c r="I381" s="163">
        <f>IFERROR(__xludf.DUMMYFUNCTION("""COMPUTED_VALUE"""),22.0)</f>
        <v>22</v>
      </c>
      <c r="J381" s="165">
        <f>IFERROR(__xludf.DUMMYFUNCTION("""COMPUTED_VALUE"""),-1.73546314400684)</f>
        <v>-1.735463144</v>
      </c>
      <c r="K381" s="165">
        <f>IFERROR(__xludf.DUMMYFUNCTION("""COMPUTED_VALUE"""),-1.30629824764398)</f>
        <v>-1.306298248</v>
      </c>
      <c r="L381" s="165">
        <f>IFERROR(__xludf.DUMMYFUNCTION("""COMPUTED_VALUE"""),-0.429164896362866)</f>
        <v>-0.4291648964</v>
      </c>
      <c r="M381" s="166">
        <f t="shared" si="2"/>
        <v>0.287833875</v>
      </c>
      <c r="N381" s="167">
        <f t="shared" si="3"/>
        <v>12.33043011</v>
      </c>
      <c r="O381" s="163">
        <f t="shared" ref="O381:Q381" si="385">rank(I381,I:I)</f>
        <v>3178</v>
      </c>
      <c r="P381" s="163">
        <f t="shared" si="385"/>
        <v>3279</v>
      </c>
      <c r="Q381" s="163">
        <f t="shared" si="385"/>
        <v>3154</v>
      </c>
      <c r="R381" s="163">
        <f>IFERROR(__xludf.DUMMYFUNCTION("RANK(M381,filter(M:M,C:C=C381))"),303.0)</f>
        <v>303</v>
      </c>
      <c r="S381" s="161" t="b">
        <f t="shared" si="5"/>
        <v>0</v>
      </c>
      <c r="T381" s="161" t="b">
        <f t="array" ref="T381">index('Query Tool'!B:B,match(H381,'Query Tool'!C:C,0))</f>
        <v>1</v>
      </c>
      <c r="U381" s="161" t="b">
        <f t="array" ref="U381">index('Query Tool'!B:B,match(C381,'Query Tool'!C:C,0))</f>
        <v>0</v>
      </c>
      <c r="V381" s="161" t="b">
        <f>F381&gt;='Query Tool'!C$32</f>
        <v>1</v>
      </c>
      <c r="W381" s="161" t="b">
        <f t="array" ref="W381">index(Dropdowns!B:B,match(I381,Dropdowns!A:A,0))</f>
        <v>1</v>
      </c>
      <c r="X381" s="161" t="b">
        <f t="array" ref="X381">index('Query Tool'!B:B,match(D381,'Query Tool'!C:C,0))</f>
        <v>1</v>
      </c>
      <c r="Y381" s="161" t="str">
        <f t="shared" si="6"/>
        <v>jonespe01,2013-14</v>
      </c>
      <c r="Z381" s="168">
        <f t="array" ref="Z381">iferror(index(I:I,match($A381&amp;","&amp;index('Year Conversion'!$A:$A,match($C381,'Year Conversion'!$B:$B,0)),$Y:$Y,0))-I381,"")</f>
        <v>1</v>
      </c>
      <c r="AA381" s="168">
        <f t="array" ref="AA381">iferror(index(J:J,match($A381&amp;","&amp;index('Year Conversion'!$A:$A,match($C381,'Year Conversion'!$B:$B,0)),$Y:$Y,0))-J381,"")</f>
        <v>-1.399341948</v>
      </c>
      <c r="AB381" s="168">
        <f t="array" ref="AB381">iferror(index(K:K,match($A381&amp;","&amp;index('Year Conversion'!$A:$A,match($C381,'Year Conversion'!$B:$B,0)),$Y:$Y,0))-K381,"")</f>
        <v>-0.787473143</v>
      </c>
      <c r="AC381" s="168" t="str">
        <f t="shared" si="7"/>
        <v>OKC,2013-14</v>
      </c>
    </row>
    <row r="382">
      <c r="A382" s="161" t="str">
        <f>IFERROR(__xludf.DUMMYFUNCTION("""COMPUTED_VALUE"""),"teaguma01")</f>
        <v>teaguma01</v>
      </c>
      <c r="B382" s="161" t="str">
        <f>IFERROR(__xludf.DUMMYFUNCTION("""COMPUTED_VALUE"""),"Marquis Teague")</f>
        <v>Marquis Teague</v>
      </c>
      <c r="C382" s="162" t="str">
        <f>IFERROR(__xludf.DUMMYFUNCTION("""COMPUTED_VALUE"""),"2013-14")</f>
        <v>2013-14</v>
      </c>
      <c r="D382" s="163" t="str">
        <f>IFERROR(__xludf.DUMMYFUNCTION("""COMPUTED_VALUE"""),"TOT")</f>
        <v>TOT</v>
      </c>
      <c r="E382" s="164" t="str">
        <f>IFERROR(__xludf.DUMMYFUNCTION("""COMPUTED_VALUE"""),"Shot Creator")</f>
        <v>Shot Creator</v>
      </c>
      <c r="F382" s="164">
        <f>IFERROR(__xludf.DUMMYFUNCTION("""COMPUTED_VALUE"""),442.415)</f>
        <v>442.415</v>
      </c>
      <c r="G382" s="163">
        <f>IFERROR(__xludf.DUMMYFUNCTION("""COMPUTED_VALUE"""),40.0)</f>
        <v>40</v>
      </c>
      <c r="H382" s="163" t="str">
        <f>IFERROR(__xludf.DUMMYFUNCTION("""COMPUTED_VALUE"""),"SG")</f>
        <v>SG</v>
      </c>
      <c r="I382" s="163">
        <f>IFERROR(__xludf.DUMMYFUNCTION("""COMPUTED_VALUE"""),20.0)</f>
        <v>20</v>
      </c>
      <c r="J382" s="165">
        <f>IFERROR(__xludf.DUMMYFUNCTION("""COMPUTED_VALUE"""),-2.72735408842645)</f>
        <v>-2.727354088</v>
      </c>
      <c r="K382" s="165">
        <f>IFERROR(__xludf.DUMMYFUNCTION("""COMPUTED_VALUE"""),-2.05991537842793)</f>
        <v>-2.059915378</v>
      </c>
      <c r="L382" s="165">
        <f>IFERROR(__xludf.DUMMYFUNCTION("""COMPUTED_VALUE"""),-0.66743870999852)</f>
        <v>-0.66743871</v>
      </c>
      <c r="M382" s="166">
        <f t="shared" si="2"/>
        <v>-0.1231326336</v>
      </c>
      <c r="N382" s="167">
        <f t="shared" si="3"/>
        <v>11.060375</v>
      </c>
      <c r="O382" s="163">
        <f t="shared" ref="O382:Q382" si="386">rank(I382,I:I)</f>
        <v>3770</v>
      </c>
      <c r="P382" s="163">
        <f t="shared" si="386"/>
        <v>3821</v>
      </c>
      <c r="Q382" s="163">
        <f t="shared" si="386"/>
        <v>3739</v>
      </c>
      <c r="R382" s="163">
        <f>IFERROR(__xludf.DUMMYFUNCTION("RANK(M382,filter(M:M,C:C=C382))"),448.0)</f>
        <v>448</v>
      </c>
      <c r="S382" s="161" t="b">
        <f t="shared" si="5"/>
        <v>0</v>
      </c>
      <c r="T382" s="161" t="b">
        <f t="array" ref="T382">index('Query Tool'!B:B,match(H382,'Query Tool'!C:C,0))</f>
        <v>1</v>
      </c>
      <c r="U382" s="161" t="b">
        <f t="array" ref="U382">index('Query Tool'!B:B,match(C382,'Query Tool'!C:C,0))</f>
        <v>0</v>
      </c>
      <c r="V382" s="161" t="b">
        <f>F382&gt;='Query Tool'!C$32</f>
        <v>0</v>
      </c>
      <c r="W382" s="161" t="b">
        <f t="array" ref="W382">index(Dropdowns!B:B,match(I382,Dropdowns!A:A,0))</f>
        <v>1</v>
      </c>
      <c r="X382" s="161" t="b">
        <f t="array" ref="X382">index('Query Tool'!B:B,match(D382,'Query Tool'!C:C,0))</f>
        <v>1</v>
      </c>
      <c r="Y382" s="161" t="str">
        <f t="shared" si="6"/>
        <v>teaguma01,2013-14</v>
      </c>
      <c r="Z382" s="168" t="str">
        <f t="array" ref="Z382">iferror(index(I:I,match($A382&amp;","&amp;index('Year Conversion'!$A:$A,match($C382,'Year Conversion'!$B:$B,0)),$Y:$Y,0))-I382,"")</f>
        <v/>
      </c>
      <c r="AA382" s="168" t="str">
        <f t="array" ref="AA382">iferror(index(J:J,match($A382&amp;","&amp;index('Year Conversion'!$A:$A,match($C382,'Year Conversion'!$B:$B,0)),$Y:$Y,0))-J382,"")</f>
        <v/>
      </c>
      <c r="AB382" s="168" t="str">
        <f t="array" ref="AB382">iferror(index(K:K,match($A382&amp;","&amp;index('Year Conversion'!$A:$A,match($C382,'Year Conversion'!$B:$B,0)),$Y:$Y,0))-K382,"")</f>
        <v/>
      </c>
      <c r="AC382" s="168" t="str">
        <f t="shared" si="7"/>
        <v>TOT,2013-14</v>
      </c>
    </row>
    <row r="383">
      <c r="A383" s="161" t="str">
        <f>IFERROR(__xludf.DUMMYFUNCTION("""COMPUTED_VALUE"""),"tayloje03")</f>
        <v>tayloje03</v>
      </c>
      <c r="B383" s="161" t="str">
        <f>IFERROR(__xludf.DUMMYFUNCTION("""COMPUTED_VALUE"""),"Jeffery Taylor")</f>
        <v>Jeffery Taylor</v>
      </c>
      <c r="C383" s="162" t="str">
        <f>IFERROR(__xludf.DUMMYFUNCTION("""COMPUTED_VALUE"""),"2013-14")</f>
        <v>2013-14</v>
      </c>
      <c r="D383" s="163" t="str">
        <f>IFERROR(__xludf.DUMMYFUNCTION("""COMPUTED_VALUE"""),"CHA")</f>
        <v>CHA</v>
      </c>
      <c r="E383" s="164" t="str">
        <f>IFERROR(__xludf.DUMMYFUNCTION("""COMPUTED_VALUE"""),"Athletic Finisher")</f>
        <v>Athletic Finisher</v>
      </c>
      <c r="F383" s="164">
        <f>IFERROR(__xludf.DUMMYFUNCTION("""COMPUTED_VALUE"""),629.203333333333)</f>
        <v>629.2033333</v>
      </c>
      <c r="G383" s="163">
        <f>IFERROR(__xludf.DUMMYFUNCTION("""COMPUTED_VALUE"""),26.0)</f>
        <v>26</v>
      </c>
      <c r="H383" s="163" t="str">
        <f>IFERROR(__xludf.DUMMYFUNCTION("""COMPUTED_VALUE"""),"SF")</f>
        <v>SF</v>
      </c>
      <c r="I383" s="163">
        <f>IFERROR(__xludf.DUMMYFUNCTION("""COMPUTED_VALUE"""),24.0)</f>
        <v>24</v>
      </c>
      <c r="J383" s="165">
        <f>IFERROR(__xludf.DUMMYFUNCTION("""COMPUTED_VALUE"""),-2.92932999715006)</f>
        <v>-2.929329997</v>
      </c>
      <c r="K383" s="165">
        <f>IFERROR(__xludf.DUMMYFUNCTION("""COMPUTED_VALUE"""),-2.33463013878167)</f>
        <v>-2.334630139</v>
      </c>
      <c r="L383" s="165">
        <f>IFERROR(__xludf.DUMMYFUNCTION("""COMPUTED_VALUE"""),-0.594699858368393)</f>
        <v>-0.5946998584</v>
      </c>
      <c r="M383" s="166">
        <f t="shared" si="2"/>
        <v>-0.2580028247</v>
      </c>
      <c r="N383" s="167">
        <f t="shared" si="3"/>
        <v>24.20012821</v>
      </c>
      <c r="O383" s="163">
        <f t="shared" ref="O383:Q383" si="387">rank(I383,I:I)</f>
        <v>2361</v>
      </c>
      <c r="P383" s="163">
        <f t="shared" si="387"/>
        <v>3874</v>
      </c>
      <c r="Q383" s="163">
        <f t="shared" si="387"/>
        <v>3846</v>
      </c>
      <c r="R383" s="163">
        <f>IFERROR(__xludf.DUMMYFUNCTION("RANK(M383,filter(M:M,C:C=C383))"),461.0)</f>
        <v>461</v>
      </c>
      <c r="S383" s="161" t="b">
        <f t="shared" si="5"/>
        <v>0</v>
      </c>
      <c r="T383" s="161" t="b">
        <f t="array" ref="T383">index('Query Tool'!B:B,match(H383,'Query Tool'!C:C,0))</f>
        <v>1</v>
      </c>
      <c r="U383" s="161" t="b">
        <f t="array" ref="U383">index('Query Tool'!B:B,match(C383,'Query Tool'!C:C,0))</f>
        <v>0</v>
      </c>
      <c r="V383" s="161" t="b">
        <f>F383&gt;='Query Tool'!C$32</f>
        <v>1</v>
      </c>
      <c r="W383" s="161" t="b">
        <f t="array" ref="W383">index(Dropdowns!B:B,match(I383,Dropdowns!A:A,0))</f>
        <v>1</v>
      </c>
      <c r="X383" s="161" t="b">
        <f t="array" ref="X383">index('Query Tool'!B:B,match(D383,'Query Tool'!C:C,0))</f>
        <v>1</v>
      </c>
      <c r="Y383" s="161" t="str">
        <f t="shared" si="6"/>
        <v>tayloje03,2013-14</v>
      </c>
      <c r="Z383" s="168">
        <f t="array" ref="Z383">iferror(index(I:I,match($A383&amp;","&amp;index('Year Conversion'!$A:$A,match($C383,'Year Conversion'!$B:$B,0)),$Y:$Y,0))-I383,"")</f>
        <v>1</v>
      </c>
      <c r="AA383" s="168">
        <f t="array" ref="AA383">iferror(index(J:J,match($A383&amp;","&amp;index('Year Conversion'!$A:$A,match($C383,'Year Conversion'!$B:$B,0)),$Y:$Y,0))-J383,"")</f>
        <v>0.2230628965</v>
      </c>
      <c r="AB383" s="168">
        <f t="array" ref="AB383">iferror(index(K:K,match($A383&amp;","&amp;index('Year Conversion'!$A:$A,match($C383,'Year Conversion'!$B:$B,0)),$Y:$Y,0))-K383,"")</f>
        <v>0.1431321974</v>
      </c>
      <c r="AC383" s="168" t="str">
        <f t="shared" si="7"/>
        <v>CHA,2013-14</v>
      </c>
    </row>
    <row r="384">
      <c r="A384" s="161" t="str">
        <f>IFERROR(__xludf.DUMMYFUNCTION("""COMPUTED_VALUE"""),"jamesbe01")</f>
        <v>jamesbe01</v>
      </c>
      <c r="B384" s="161" t="str">
        <f>IFERROR(__xludf.DUMMYFUNCTION("""COMPUTED_VALUE"""),"Bernard James")</f>
        <v>Bernard James</v>
      </c>
      <c r="C384" s="162" t="str">
        <f>IFERROR(__xludf.DUMMYFUNCTION("""COMPUTED_VALUE"""),"2013-14")</f>
        <v>2013-14</v>
      </c>
      <c r="D384" s="163" t="str">
        <f>IFERROR(__xludf.DUMMYFUNCTION("""COMPUTED_VALUE"""),"DAL")</f>
        <v>DAL</v>
      </c>
      <c r="E384" s="164" t="str">
        <f>IFERROR(__xludf.DUMMYFUNCTION("""COMPUTED_VALUE"""),"Roll + Cut Big")</f>
        <v>Roll + Cut Big</v>
      </c>
      <c r="F384" s="164">
        <f>IFERROR(__xludf.DUMMYFUNCTION("""COMPUTED_VALUE"""),146.005)</f>
        <v>146.005</v>
      </c>
      <c r="G384" s="163">
        <f>IFERROR(__xludf.DUMMYFUNCTION("""COMPUTED_VALUE"""),30.0)</f>
        <v>30</v>
      </c>
      <c r="H384" s="163" t="str">
        <f>IFERROR(__xludf.DUMMYFUNCTION("""COMPUTED_VALUE"""),"C")</f>
        <v>C</v>
      </c>
      <c r="I384" s="163">
        <f>IFERROR(__xludf.DUMMYFUNCTION("""COMPUTED_VALUE"""),28.0)</f>
        <v>28</v>
      </c>
      <c r="J384" s="165">
        <f>IFERROR(__xludf.DUMMYFUNCTION("""COMPUTED_VALUE"""),-1.74122278032165)</f>
        <v>-1.74122278</v>
      </c>
      <c r="K384" s="165">
        <f>IFERROR(__xludf.DUMMYFUNCTION("""COMPUTED_VALUE"""),-1.82919905859271)</f>
        <v>-1.829199059</v>
      </c>
      <c r="L384" s="165">
        <f>IFERROR(__xludf.DUMMYFUNCTION("""COMPUTED_VALUE"""),0.0879762782710611)</f>
        <v>0.08797627827</v>
      </c>
      <c r="M384" s="166">
        <f t="shared" si="2"/>
        <v>0.05441189992</v>
      </c>
      <c r="N384" s="167">
        <f t="shared" si="3"/>
        <v>4.866833333</v>
      </c>
      <c r="O384" s="163">
        <f t="shared" ref="O384:Q384" si="388">rank(I384,I:I)</f>
        <v>1090</v>
      </c>
      <c r="P384" s="163">
        <f t="shared" si="388"/>
        <v>3283</v>
      </c>
      <c r="Q384" s="163">
        <f t="shared" si="388"/>
        <v>3592</v>
      </c>
      <c r="R384" s="163">
        <f>IFERROR(__xludf.DUMMYFUNCTION("RANK(M384,filter(M:M,C:C=C384))"),388.0)</f>
        <v>388</v>
      </c>
      <c r="S384" s="161" t="b">
        <f t="shared" si="5"/>
        <v>0</v>
      </c>
      <c r="T384" s="161" t="b">
        <f t="array" ref="T384">index('Query Tool'!B:B,match(H384,'Query Tool'!C:C,0))</f>
        <v>1</v>
      </c>
      <c r="U384" s="161" t="b">
        <f t="array" ref="U384">index('Query Tool'!B:B,match(C384,'Query Tool'!C:C,0))</f>
        <v>0</v>
      </c>
      <c r="V384" s="161" t="b">
        <f>F384&gt;='Query Tool'!C$32</f>
        <v>0</v>
      </c>
      <c r="W384" s="161" t="b">
        <f t="array" ref="W384">index(Dropdowns!B:B,match(I384,Dropdowns!A:A,0))</f>
        <v>1</v>
      </c>
      <c r="X384" s="161" t="b">
        <f t="array" ref="X384">index('Query Tool'!B:B,match(D384,'Query Tool'!C:C,0))</f>
        <v>1</v>
      </c>
      <c r="Y384" s="161" t="str">
        <f t="shared" si="6"/>
        <v>jamesbe01,2013-14</v>
      </c>
      <c r="Z384" s="168">
        <f t="array" ref="Z384">iferror(index(I:I,match($A384&amp;","&amp;index('Year Conversion'!$A:$A,match($C384,'Year Conversion'!$B:$B,0)),$Y:$Y,0))-I384,"")</f>
        <v>1</v>
      </c>
      <c r="AA384" s="168">
        <f t="array" ref="AA384">iferror(index(J:J,match($A384&amp;","&amp;index('Year Conversion'!$A:$A,match($C384,'Year Conversion'!$B:$B,0)),$Y:$Y,0))-J384,"")</f>
        <v>1.399798964</v>
      </c>
      <c r="AB384" s="168">
        <f t="array" ref="AB384">iferror(index(K:K,match($A384&amp;","&amp;index('Year Conversion'!$A:$A,match($C384,'Year Conversion'!$B:$B,0)),$Y:$Y,0))-K384,"")</f>
        <v>0.9353903557</v>
      </c>
      <c r="AC384" s="168" t="str">
        <f t="shared" si="7"/>
        <v>DAL,2013-14</v>
      </c>
    </row>
    <row r="385">
      <c r="A385" s="161" t="str">
        <f>IFERROR(__xludf.DUMMYFUNCTION("""COMPUTED_VALUE"""),"crowdja01")</f>
        <v>crowdja01</v>
      </c>
      <c r="B385" s="161" t="str">
        <f>IFERROR(__xludf.DUMMYFUNCTION("""COMPUTED_VALUE"""),"Jae Crowder")</f>
        <v>Jae Crowder</v>
      </c>
      <c r="C385" s="162" t="str">
        <f>IFERROR(__xludf.DUMMYFUNCTION("""COMPUTED_VALUE"""),"2013-14")</f>
        <v>2013-14</v>
      </c>
      <c r="D385" s="163" t="str">
        <f>IFERROR(__xludf.DUMMYFUNCTION("""COMPUTED_VALUE"""),"DAL")</f>
        <v>DAL</v>
      </c>
      <c r="E385" s="164" t="str">
        <f>IFERROR(__xludf.DUMMYFUNCTION("""COMPUTED_VALUE"""),"Stationary Shooter")</f>
        <v>Stationary Shooter</v>
      </c>
      <c r="F385" s="164">
        <f>IFERROR(__xludf.DUMMYFUNCTION("""COMPUTED_VALUE"""),1253.5)</f>
        <v>1253.5</v>
      </c>
      <c r="G385" s="163">
        <f>IFERROR(__xludf.DUMMYFUNCTION("""COMPUTED_VALUE"""),78.0)</f>
        <v>78</v>
      </c>
      <c r="H385" s="163" t="str">
        <f>IFERROR(__xludf.DUMMYFUNCTION("""COMPUTED_VALUE"""),"SF")</f>
        <v>SF</v>
      </c>
      <c r="I385" s="163">
        <f>IFERROR(__xludf.DUMMYFUNCTION("""COMPUTED_VALUE"""),23.0)</f>
        <v>23</v>
      </c>
      <c r="J385" s="165">
        <f>IFERROR(__xludf.DUMMYFUNCTION("""COMPUTED_VALUE"""),1.13456705770583)</f>
        <v>1.134567058</v>
      </c>
      <c r="K385" s="165">
        <f>IFERROR(__xludf.DUMMYFUNCTION("""COMPUTED_VALUE"""),-0.195152623705091)</f>
        <v>-0.1951526237</v>
      </c>
      <c r="L385" s="165">
        <f>IFERROR(__xludf.DUMMYFUNCTION("""COMPUTED_VALUE"""),1.32971968141092)</f>
        <v>1.329719681</v>
      </c>
      <c r="M385" s="166">
        <f t="shared" si="2"/>
        <v>2.889587401</v>
      </c>
      <c r="N385" s="167">
        <f t="shared" si="3"/>
        <v>16.07051282</v>
      </c>
      <c r="O385" s="163">
        <f t="shared" ref="O385:Q385" si="389">rank(I385,I:I)</f>
        <v>2765</v>
      </c>
      <c r="P385" s="163">
        <f t="shared" si="389"/>
        <v>602</v>
      </c>
      <c r="Q385" s="163">
        <f t="shared" si="389"/>
        <v>1556</v>
      </c>
      <c r="R385" s="163">
        <f>IFERROR(__xludf.DUMMYFUNCTION("RANK(M385,filter(M:M,C:C=C385))"),115.0)</f>
        <v>115</v>
      </c>
      <c r="S385" s="161" t="b">
        <f t="shared" si="5"/>
        <v>0</v>
      </c>
      <c r="T385" s="161" t="b">
        <f t="array" ref="T385">index('Query Tool'!B:B,match(H385,'Query Tool'!C:C,0))</f>
        <v>1</v>
      </c>
      <c r="U385" s="161" t="b">
        <f t="array" ref="U385">index('Query Tool'!B:B,match(C385,'Query Tool'!C:C,0))</f>
        <v>0</v>
      </c>
      <c r="V385" s="161" t="b">
        <f>F385&gt;='Query Tool'!C$32</f>
        <v>1</v>
      </c>
      <c r="W385" s="161" t="b">
        <f t="array" ref="W385">index(Dropdowns!B:B,match(I385,Dropdowns!A:A,0))</f>
        <v>1</v>
      </c>
      <c r="X385" s="161" t="b">
        <f t="array" ref="X385">index('Query Tool'!B:B,match(D385,'Query Tool'!C:C,0))</f>
        <v>1</v>
      </c>
      <c r="Y385" s="161" t="str">
        <f t="shared" si="6"/>
        <v>crowdja01,2013-14</v>
      </c>
      <c r="Z385" s="168">
        <f t="array" ref="Z385">iferror(index(I:I,match($A385&amp;","&amp;index('Year Conversion'!$A:$A,match($C385,'Year Conversion'!$B:$B,0)),$Y:$Y,0))-I385,"")</f>
        <v>1</v>
      </c>
      <c r="AA385" s="168">
        <f t="array" ref="AA385">iferror(index(J:J,match($A385&amp;","&amp;index('Year Conversion'!$A:$A,match($C385,'Year Conversion'!$B:$B,0)),$Y:$Y,0))-J385,"")</f>
        <v>-0.8279860096</v>
      </c>
      <c r="AB385" s="168">
        <f t="array" ref="AB385">iferror(index(K:K,match($A385&amp;","&amp;index('Year Conversion'!$A:$A,match($C385,'Year Conversion'!$B:$B,0)),$Y:$Y,0))-K385,"")</f>
        <v>1.239909652</v>
      </c>
      <c r="AC385" s="168" t="str">
        <f t="shared" si="7"/>
        <v>DAL,2013-14</v>
      </c>
    </row>
    <row r="386">
      <c r="A386" s="161" t="str">
        <f>IFERROR(__xludf.DUMMYFUNCTION("""COMPUTED_VALUE"""),"greendr01")</f>
        <v>greendr01</v>
      </c>
      <c r="B386" s="161" t="str">
        <f>IFERROR(__xludf.DUMMYFUNCTION("""COMPUTED_VALUE"""),"Draymond Green")</f>
        <v>Draymond Green</v>
      </c>
      <c r="C386" s="162" t="str">
        <f>IFERROR(__xludf.DUMMYFUNCTION("""COMPUTED_VALUE"""),"2013-14")</f>
        <v>2013-14</v>
      </c>
      <c r="D386" s="163" t="str">
        <f>IFERROR(__xludf.DUMMYFUNCTION("""COMPUTED_VALUE"""),"GSW")</f>
        <v>GSW</v>
      </c>
      <c r="E386" s="164" t="str">
        <f>IFERROR(__xludf.DUMMYFUNCTION("""COMPUTED_VALUE"""),"Stretch Big")</f>
        <v>Stretch Big</v>
      </c>
      <c r="F386" s="164">
        <f>IFERROR(__xludf.DUMMYFUNCTION("""COMPUTED_VALUE"""),1796.74166666667)</f>
        <v>1796.741667</v>
      </c>
      <c r="G386" s="163">
        <f>IFERROR(__xludf.DUMMYFUNCTION("""COMPUTED_VALUE"""),82.0)</f>
        <v>82</v>
      </c>
      <c r="H386" s="163" t="str">
        <f>IFERROR(__xludf.DUMMYFUNCTION("""COMPUTED_VALUE"""),"SF")</f>
        <v>SF</v>
      </c>
      <c r="I386" s="163">
        <f>IFERROR(__xludf.DUMMYFUNCTION("""COMPUTED_VALUE"""),23.0)</f>
        <v>23</v>
      </c>
      <c r="J386" s="165">
        <f>IFERROR(__xludf.DUMMYFUNCTION("""COMPUTED_VALUE"""),2.13343396099347)</f>
        <v>2.133433961</v>
      </c>
      <c r="K386" s="165">
        <f>IFERROR(__xludf.DUMMYFUNCTION("""COMPUTED_VALUE"""),-0.549031972064394)</f>
        <v>-0.5490319721</v>
      </c>
      <c r="L386" s="165">
        <f>IFERROR(__xludf.DUMMYFUNCTION("""COMPUTED_VALUE"""),2.68246593305786)</f>
        <v>2.682465933</v>
      </c>
      <c r="M386" s="166">
        <f t="shared" si="2"/>
        <v>5.338083457</v>
      </c>
      <c r="N386" s="167">
        <f t="shared" si="3"/>
        <v>21.91148374</v>
      </c>
      <c r="O386" s="163">
        <f t="shared" ref="O386:Q386" si="390">rank(I386,I:I)</f>
        <v>2765</v>
      </c>
      <c r="P386" s="163">
        <f t="shared" si="390"/>
        <v>285</v>
      </c>
      <c r="Q386" s="163">
        <f t="shared" si="390"/>
        <v>2188</v>
      </c>
      <c r="R386" s="163">
        <f>IFERROR(__xludf.DUMMYFUNCTION("RANK(M386,filter(M:M,C:C=C386))"),65.0)</f>
        <v>65</v>
      </c>
      <c r="S386" s="161" t="b">
        <f t="shared" si="5"/>
        <v>0</v>
      </c>
      <c r="T386" s="161" t="b">
        <f t="array" ref="T386">index('Query Tool'!B:B,match(H386,'Query Tool'!C:C,0))</f>
        <v>1</v>
      </c>
      <c r="U386" s="161" t="b">
        <f t="array" ref="U386">index('Query Tool'!B:B,match(C386,'Query Tool'!C:C,0))</f>
        <v>0</v>
      </c>
      <c r="V386" s="161" t="b">
        <f>F386&gt;='Query Tool'!C$32</f>
        <v>1</v>
      </c>
      <c r="W386" s="161" t="b">
        <f t="array" ref="W386">index(Dropdowns!B:B,match(I386,Dropdowns!A:A,0))</f>
        <v>1</v>
      </c>
      <c r="X386" s="161" t="b">
        <f t="array" ref="X386">index('Query Tool'!B:B,match(D386,'Query Tool'!C:C,0))</f>
        <v>1</v>
      </c>
      <c r="Y386" s="161" t="str">
        <f t="shared" si="6"/>
        <v>greendr01,2013-14</v>
      </c>
      <c r="Z386" s="168">
        <f t="array" ref="Z386">iferror(index(I:I,match($A386&amp;","&amp;index('Year Conversion'!$A:$A,match($C386,'Year Conversion'!$B:$B,0)),$Y:$Y,0))-I386,"")</f>
        <v>1</v>
      </c>
      <c r="AA386" s="168">
        <f t="array" ref="AA386">iferror(index(J:J,match($A386&amp;","&amp;index('Year Conversion'!$A:$A,match($C386,'Year Conversion'!$B:$B,0)),$Y:$Y,0))-J386,"")</f>
        <v>2.05675943</v>
      </c>
      <c r="AB386" s="168">
        <f t="array" ref="AB386">iferror(index(K:K,match($A386&amp;","&amp;index('Year Conversion'!$A:$A,match($C386,'Year Conversion'!$B:$B,0)),$Y:$Y,0))-K386,"")</f>
        <v>1.337112654</v>
      </c>
      <c r="AC386" s="168" t="str">
        <f t="shared" si="7"/>
        <v>GSW,2013-14</v>
      </c>
    </row>
    <row r="387">
      <c r="A387" s="161" t="str">
        <f>IFERROR(__xludf.DUMMYFUNCTION("""COMPUTED_VALUE"""),"johnsor01")</f>
        <v>johnsor01</v>
      </c>
      <c r="B387" s="161" t="str">
        <f>IFERROR(__xludf.DUMMYFUNCTION("""COMPUTED_VALUE"""),"Orlando Johnson")</f>
        <v>Orlando Johnson</v>
      </c>
      <c r="C387" s="162" t="str">
        <f>IFERROR(__xludf.DUMMYFUNCTION("""COMPUTED_VALUE"""),"2013-14")</f>
        <v>2013-14</v>
      </c>
      <c r="D387" s="163" t="str">
        <f>IFERROR(__xludf.DUMMYFUNCTION("""COMPUTED_VALUE"""),"TOT")</f>
        <v>TOT</v>
      </c>
      <c r="E387" s="164" t="str">
        <f>IFERROR(__xludf.DUMMYFUNCTION("""COMPUTED_VALUE"""),"Movement Shooter")</f>
        <v>Movement Shooter</v>
      </c>
      <c r="F387" s="164">
        <f>IFERROR(__xludf.DUMMYFUNCTION("""COMPUTED_VALUE"""),392.375)</f>
        <v>392.375</v>
      </c>
      <c r="G387" s="163">
        <f>IFERROR(__xludf.DUMMYFUNCTION("""COMPUTED_VALUE"""),45.0)</f>
        <v>45</v>
      </c>
      <c r="H387" s="163" t="str">
        <f>IFERROR(__xludf.DUMMYFUNCTION("""COMPUTED_VALUE"""),"SG")</f>
        <v>SG</v>
      </c>
      <c r="I387" s="163">
        <f>IFERROR(__xludf.DUMMYFUNCTION("""COMPUTED_VALUE"""),24.0)</f>
        <v>24</v>
      </c>
      <c r="J387" s="165">
        <f>IFERROR(__xludf.DUMMYFUNCTION("""COMPUTED_VALUE"""),-2.12197261853306)</f>
        <v>-2.121972619</v>
      </c>
      <c r="K387" s="165">
        <f>IFERROR(__xludf.DUMMYFUNCTION("""COMPUTED_VALUE"""),-1.32341309493205)</f>
        <v>-1.323413095</v>
      </c>
      <c r="L387" s="165">
        <f>IFERROR(__xludf.DUMMYFUNCTION("""COMPUTED_VALUE"""),-0.798559523601013)</f>
        <v>-0.7985595236</v>
      </c>
      <c r="M387" s="166">
        <f t="shared" si="2"/>
        <v>0.04706009659</v>
      </c>
      <c r="N387" s="167">
        <f t="shared" si="3"/>
        <v>8.719444444</v>
      </c>
      <c r="O387" s="163">
        <f t="shared" ref="O387:Q387" si="391">rank(I387,I:I)</f>
        <v>2361</v>
      </c>
      <c r="P387" s="163">
        <f t="shared" si="391"/>
        <v>3572</v>
      </c>
      <c r="Q387" s="163">
        <f t="shared" si="391"/>
        <v>3175</v>
      </c>
      <c r="R387" s="163">
        <f>IFERROR(__xludf.DUMMYFUNCTION("RANK(M387,filter(M:M,C:C=C387))"),391.0)</f>
        <v>391</v>
      </c>
      <c r="S387" s="161" t="b">
        <f t="shared" si="5"/>
        <v>0</v>
      </c>
      <c r="T387" s="161" t="b">
        <f t="array" ref="T387">index('Query Tool'!B:B,match(H387,'Query Tool'!C:C,0))</f>
        <v>1</v>
      </c>
      <c r="U387" s="161" t="b">
        <f t="array" ref="U387">index('Query Tool'!B:B,match(C387,'Query Tool'!C:C,0))</f>
        <v>0</v>
      </c>
      <c r="V387" s="161" t="b">
        <f>F387&gt;='Query Tool'!C$32</f>
        <v>0</v>
      </c>
      <c r="W387" s="161" t="b">
        <f t="array" ref="W387">index(Dropdowns!B:B,match(I387,Dropdowns!A:A,0))</f>
        <v>1</v>
      </c>
      <c r="X387" s="161" t="b">
        <f t="array" ref="X387">index('Query Tool'!B:B,match(D387,'Query Tool'!C:C,0))</f>
        <v>1</v>
      </c>
      <c r="Y387" s="161" t="str">
        <f t="shared" si="6"/>
        <v>johnsor01,2013-14</v>
      </c>
      <c r="Z387" s="168" t="str">
        <f t="array" ref="Z387">iferror(index(I:I,match($A387&amp;","&amp;index('Year Conversion'!$A:$A,match($C387,'Year Conversion'!$B:$B,0)),$Y:$Y,0))-I387,"")</f>
        <v/>
      </c>
      <c r="AA387" s="168" t="str">
        <f t="array" ref="AA387">iferror(index(J:J,match($A387&amp;","&amp;index('Year Conversion'!$A:$A,match($C387,'Year Conversion'!$B:$B,0)),$Y:$Y,0))-J387,"")</f>
        <v/>
      </c>
      <c r="AB387" s="168" t="str">
        <f t="array" ref="AB387">iferror(index(K:K,match($A387&amp;","&amp;index('Year Conversion'!$A:$A,match($C387,'Year Conversion'!$B:$B,0)),$Y:$Y,0))-K387,"")</f>
        <v/>
      </c>
      <c r="AC387" s="168" t="str">
        <f t="shared" si="7"/>
        <v>TOT,2013-14</v>
      </c>
    </row>
    <row r="388">
      <c r="A388" s="161" t="str">
        <f>IFERROR(__xludf.DUMMYFUNCTION("""COMPUTED_VALUE"""),"acyqu01")</f>
        <v>acyqu01</v>
      </c>
      <c r="B388" s="161" t="str">
        <f>IFERROR(__xludf.DUMMYFUNCTION("""COMPUTED_VALUE"""),"Quincy Acy")</f>
        <v>Quincy Acy</v>
      </c>
      <c r="C388" s="162" t="str">
        <f>IFERROR(__xludf.DUMMYFUNCTION("""COMPUTED_VALUE"""),"2013-14")</f>
        <v>2013-14</v>
      </c>
      <c r="D388" s="163" t="str">
        <f>IFERROR(__xludf.DUMMYFUNCTION("""COMPUTED_VALUE"""),"TOT")</f>
        <v>TOT</v>
      </c>
      <c r="E388" s="164" t="str">
        <f>IFERROR(__xludf.DUMMYFUNCTION("""COMPUTED_VALUE"""),"Roll + Cut Big")</f>
        <v>Roll + Cut Big</v>
      </c>
      <c r="F388" s="164">
        <f>IFERROR(__xludf.DUMMYFUNCTION("""COMPUTED_VALUE"""),847.695)</f>
        <v>847.695</v>
      </c>
      <c r="G388" s="163">
        <f>IFERROR(__xludf.DUMMYFUNCTION("""COMPUTED_VALUE"""),63.0)</f>
        <v>63</v>
      </c>
      <c r="H388" s="163" t="str">
        <f>IFERROR(__xludf.DUMMYFUNCTION("""COMPUTED_VALUE"""),"SF")</f>
        <v>SF</v>
      </c>
      <c r="I388" s="163">
        <f>IFERROR(__xludf.DUMMYFUNCTION("""COMPUTED_VALUE"""),23.0)</f>
        <v>23</v>
      </c>
      <c r="J388" s="165">
        <f>IFERROR(__xludf.DUMMYFUNCTION("""COMPUTED_VALUE"""),-1.81535606726712)</f>
        <v>-1.815356067</v>
      </c>
      <c r="K388" s="165">
        <f>IFERROR(__xludf.DUMMYFUNCTION("""COMPUTED_VALUE"""),-1.43434861956571)</f>
        <v>-1.43434862</v>
      </c>
      <c r="L388" s="165">
        <f>IFERROR(__xludf.DUMMYFUNCTION("""COMPUTED_VALUE"""),-0.381007447701412)</f>
        <v>-0.3810074477</v>
      </c>
      <c r="M388" s="166">
        <f t="shared" si="2"/>
        <v>0.2740976214</v>
      </c>
      <c r="N388" s="167">
        <f t="shared" si="3"/>
        <v>13.45547619</v>
      </c>
      <c r="O388" s="163">
        <f t="shared" ref="O388:Q388" si="392">rank(I388,I:I)</f>
        <v>2765</v>
      </c>
      <c r="P388" s="163">
        <f t="shared" si="392"/>
        <v>3344</v>
      </c>
      <c r="Q388" s="163">
        <f t="shared" si="392"/>
        <v>3284</v>
      </c>
      <c r="R388" s="163">
        <f>IFERROR(__xludf.DUMMYFUNCTION("RANK(M388,filter(M:M,C:C=C388))"),307.0)</f>
        <v>307</v>
      </c>
      <c r="S388" s="161" t="b">
        <f t="shared" si="5"/>
        <v>0</v>
      </c>
      <c r="T388" s="161" t="b">
        <f t="array" ref="T388">index('Query Tool'!B:B,match(H388,'Query Tool'!C:C,0))</f>
        <v>1</v>
      </c>
      <c r="U388" s="161" t="b">
        <f t="array" ref="U388">index('Query Tool'!B:B,match(C388,'Query Tool'!C:C,0))</f>
        <v>0</v>
      </c>
      <c r="V388" s="161" t="b">
        <f>F388&gt;='Query Tool'!C$32</f>
        <v>1</v>
      </c>
      <c r="W388" s="161" t="b">
        <f t="array" ref="W388">index(Dropdowns!B:B,match(I388,Dropdowns!A:A,0))</f>
        <v>1</v>
      </c>
      <c r="X388" s="161" t="b">
        <f t="array" ref="X388">index('Query Tool'!B:B,match(D388,'Query Tool'!C:C,0))</f>
        <v>1</v>
      </c>
      <c r="Y388" s="161" t="str">
        <f t="shared" si="6"/>
        <v>acyqu01,2013-14</v>
      </c>
      <c r="Z388" s="168">
        <f t="array" ref="Z388">iferror(index(I:I,match($A388&amp;","&amp;index('Year Conversion'!$A:$A,match($C388,'Year Conversion'!$B:$B,0)),$Y:$Y,0))-I388,"")</f>
        <v>1</v>
      </c>
      <c r="AA388" s="168">
        <f t="array" ref="AA388">iferror(index(J:J,match($A388&amp;","&amp;index('Year Conversion'!$A:$A,match($C388,'Year Conversion'!$B:$B,0)),$Y:$Y,0))-J388,"")</f>
        <v>-0.3749858941</v>
      </c>
      <c r="AB388" s="168">
        <f t="array" ref="AB388">iferror(index(K:K,match($A388&amp;","&amp;index('Year Conversion'!$A:$A,match($C388,'Year Conversion'!$B:$B,0)),$Y:$Y,0))-K388,"")</f>
        <v>-1.141984151</v>
      </c>
      <c r="AC388" s="168" t="str">
        <f t="shared" si="7"/>
        <v>TOT,2013-14</v>
      </c>
    </row>
    <row r="389">
      <c r="A389" s="161" t="str">
        <f>IFERROR(__xludf.DUMMYFUNCTION("""COMPUTED_VALUE"""),"millequ01")</f>
        <v>millequ01</v>
      </c>
      <c r="B389" s="161" t="str">
        <f>IFERROR(__xludf.DUMMYFUNCTION("""COMPUTED_VALUE"""),"Quincy Miller")</f>
        <v>Quincy Miller</v>
      </c>
      <c r="C389" s="162" t="str">
        <f>IFERROR(__xludf.DUMMYFUNCTION("""COMPUTED_VALUE"""),"2013-14")</f>
        <v>2013-14</v>
      </c>
      <c r="D389" s="163" t="str">
        <f>IFERROR(__xludf.DUMMYFUNCTION("""COMPUTED_VALUE"""),"DEN")</f>
        <v>DEN</v>
      </c>
      <c r="E389" s="164" t="str">
        <f>IFERROR(__xludf.DUMMYFUNCTION("""COMPUTED_VALUE"""),"Shot Creator")</f>
        <v>Shot Creator</v>
      </c>
      <c r="F389" s="164">
        <f>IFERROR(__xludf.DUMMYFUNCTION("""COMPUTED_VALUE"""),789.101666666666)</f>
        <v>789.1016667</v>
      </c>
      <c r="G389" s="163">
        <f>IFERROR(__xludf.DUMMYFUNCTION("""COMPUTED_VALUE"""),52.0)</f>
        <v>52</v>
      </c>
      <c r="H389" s="163" t="str">
        <f>IFERROR(__xludf.DUMMYFUNCTION("""COMPUTED_VALUE"""),"PF")</f>
        <v>PF</v>
      </c>
      <c r="I389" s="163">
        <f>IFERROR(__xludf.DUMMYFUNCTION("""COMPUTED_VALUE"""),21.0)</f>
        <v>21</v>
      </c>
      <c r="J389" s="165">
        <f>IFERROR(__xludf.DUMMYFUNCTION("""COMPUTED_VALUE"""),-1.90490707313998)</f>
        <v>-1.904907073</v>
      </c>
      <c r="K389" s="165">
        <f>IFERROR(__xludf.DUMMYFUNCTION("""COMPUTED_VALUE"""),-1.62571540198641)</f>
        <v>-1.625715402</v>
      </c>
      <c r="L389" s="165">
        <f>IFERROR(__xludf.DUMMYFUNCTION("""COMPUTED_VALUE"""),-0.279191671153566)</f>
        <v>-0.2791916712</v>
      </c>
      <c r="M389" s="166">
        <f t="shared" si="2"/>
        <v>0.2081908449</v>
      </c>
      <c r="N389" s="167">
        <f t="shared" si="3"/>
        <v>15.17503205</v>
      </c>
      <c r="O389" s="163">
        <f t="shared" ref="O389:Q389" si="393">rank(I389,I:I)</f>
        <v>3528</v>
      </c>
      <c r="P389" s="163">
        <f t="shared" si="393"/>
        <v>3420</v>
      </c>
      <c r="Q389" s="163">
        <f t="shared" si="393"/>
        <v>3464</v>
      </c>
      <c r="R389" s="163">
        <f>IFERROR(__xludf.DUMMYFUNCTION("RANK(M389,filter(M:M,C:C=C389))"),318.0)</f>
        <v>318</v>
      </c>
      <c r="S389" s="161" t="b">
        <f t="shared" si="5"/>
        <v>0</v>
      </c>
      <c r="T389" s="161" t="b">
        <f t="array" ref="T389">index('Query Tool'!B:B,match(H389,'Query Tool'!C:C,0))</f>
        <v>1</v>
      </c>
      <c r="U389" s="161" t="b">
        <f t="array" ref="U389">index('Query Tool'!B:B,match(C389,'Query Tool'!C:C,0))</f>
        <v>0</v>
      </c>
      <c r="V389" s="161" t="b">
        <f>F389&gt;='Query Tool'!C$32</f>
        <v>1</v>
      </c>
      <c r="W389" s="161" t="b">
        <f t="array" ref="W389">index(Dropdowns!B:B,match(I389,Dropdowns!A:A,0))</f>
        <v>1</v>
      </c>
      <c r="X389" s="161" t="b">
        <f t="array" ref="X389">index('Query Tool'!B:B,match(D389,'Query Tool'!C:C,0))</f>
        <v>1</v>
      </c>
      <c r="Y389" s="161" t="str">
        <f t="shared" si="6"/>
        <v>millequ01,2013-14</v>
      </c>
      <c r="Z389" s="168">
        <f t="array" ref="Z389">iferror(index(I:I,match($A389&amp;","&amp;index('Year Conversion'!$A:$A,match($C389,'Year Conversion'!$B:$B,0)),$Y:$Y,0))-I389,"")</f>
        <v>1</v>
      </c>
      <c r="AA389" s="168">
        <f t="array" ref="AA389">iferror(index(J:J,match($A389&amp;","&amp;index('Year Conversion'!$A:$A,match($C389,'Year Conversion'!$B:$B,0)),$Y:$Y,0))-J389,"")</f>
        <v>2.448500289</v>
      </c>
      <c r="AB389" s="168">
        <f t="array" ref="AB389">iferror(index(K:K,match($A389&amp;","&amp;index('Year Conversion'!$A:$A,match($C389,'Year Conversion'!$B:$B,0)),$Y:$Y,0))-K389,"")</f>
        <v>1.67411761</v>
      </c>
      <c r="AC389" s="168" t="str">
        <f t="shared" si="7"/>
        <v>DEN,2013-14</v>
      </c>
    </row>
    <row r="390">
      <c r="A390" s="161" t="str">
        <f>IFERROR(__xludf.DUMMYFUNCTION("""COMPUTED_VALUE"""),"middlkh01")</f>
        <v>middlkh01</v>
      </c>
      <c r="B390" s="161" t="str">
        <f>IFERROR(__xludf.DUMMYFUNCTION("""COMPUTED_VALUE"""),"Khris Middleton")</f>
        <v>Khris Middleton</v>
      </c>
      <c r="C390" s="162" t="str">
        <f>IFERROR(__xludf.DUMMYFUNCTION("""COMPUTED_VALUE"""),"2013-14")</f>
        <v>2013-14</v>
      </c>
      <c r="D390" s="163" t="str">
        <f>IFERROR(__xludf.DUMMYFUNCTION("""COMPUTED_VALUE"""),"MIL")</f>
        <v>MIL</v>
      </c>
      <c r="E390" s="164" t="str">
        <f>IFERROR(__xludf.DUMMYFUNCTION("""COMPUTED_VALUE"""),"Off Screen Shooter")</f>
        <v>Off Screen Shooter</v>
      </c>
      <c r="F390" s="164">
        <f>IFERROR(__xludf.DUMMYFUNCTION("""COMPUTED_VALUE"""),2460.38666666667)</f>
        <v>2460.386667</v>
      </c>
      <c r="G390" s="163">
        <f>IFERROR(__xludf.DUMMYFUNCTION("""COMPUTED_VALUE"""),82.0)</f>
        <v>82</v>
      </c>
      <c r="H390" s="163" t="str">
        <f>IFERROR(__xludf.DUMMYFUNCTION("""COMPUTED_VALUE"""),"SF")</f>
        <v>SF</v>
      </c>
      <c r="I390" s="163">
        <f>IFERROR(__xludf.DUMMYFUNCTION("""COMPUTED_VALUE"""),22.0)</f>
        <v>22</v>
      </c>
      <c r="J390" s="165">
        <f>IFERROR(__xludf.DUMMYFUNCTION("""COMPUTED_VALUE"""),-1.22978750568606)</f>
        <v>-1.229787506</v>
      </c>
      <c r="K390" s="165">
        <f>IFERROR(__xludf.DUMMYFUNCTION("""COMPUTED_VALUE"""),-0.128603017314135)</f>
        <v>-0.1286030173</v>
      </c>
      <c r="L390" s="165">
        <f>IFERROR(__xludf.DUMMYFUNCTION("""COMPUTED_VALUE"""),-1.10118448837193)</f>
        <v>-1.101184488</v>
      </c>
      <c r="M390" s="166">
        <f t="shared" si="2"/>
        <v>1.757439469</v>
      </c>
      <c r="N390" s="167">
        <f t="shared" si="3"/>
        <v>30.00471545</v>
      </c>
      <c r="O390" s="163">
        <f t="shared" ref="O390:Q390" si="394">rank(I390,I:I)</f>
        <v>3178</v>
      </c>
      <c r="P390" s="163">
        <f t="shared" si="394"/>
        <v>2790</v>
      </c>
      <c r="Q390" s="163">
        <f t="shared" si="394"/>
        <v>1434</v>
      </c>
      <c r="R390" s="163">
        <f>IFERROR(__xludf.DUMMYFUNCTION("RANK(M390,filter(M:M,C:C=C390))"),168.0)</f>
        <v>168</v>
      </c>
      <c r="S390" s="161" t="b">
        <f t="shared" si="5"/>
        <v>0</v>
      </c>
      <c r="T390" s="161" t="b">
        <f t="array" ref="T390">index('Query Tool'!B:B,match(H390,'Query Tool'!C:C,0))</f>
        <v>1</v>
      </c>
      <c r="U390" s="161" t="b">
        <f t="array" ref="U390">index('Query Tool'!B:B,match(C390,'Query Tool'!C:C,0))</f>
        <v>0</v>
      </c>
      <c r="V390" s="161" t="b">
        <f>F390&gt;='Query Tool'!C$32</f>
        <v>1</v>
      </c>
      <c r="W390" s="161" t="b">
        <f t="array" ref="W390">index(Dropdowns!B:B,match(I390,Dropdowns!A:A,0))</f>
        <v>1</v>
      </c>
      <c r="X390" s="161" t="b">
        <f t="array" ref="X390">index('Query Tool'!B:B,match(D390,'Query Tool'!C:C,0))</f>
        <v>1</v>
      </c>
      <c r="Y390" s="161" t="str">
        <f t="shared" si="6"/>
        <v>middlkh01,2013-14</v>
      </c>
      <c r="Z390" s="168">
        <f t="array" ref="Z390">iferror(index(I:I,match($A390&amp;","&amp;index('Year Conversion'!$A:$A,match($C390,'Year Conversion'!$B:$B,0)),$Y:$Y,0))-I390,"")</f>
        <v>1</v>
      </c>
      <c r="AA390" s="168">
        <f t="array" ref="AA390">iferror(index(J:J,match($A390&amp;","&amp;index('Year Conversion'!$A:$A,match($C390,'Year Conversion'!$B:$B,0)),$Y:$Y,0))-J390,"")</f>
        <v>3.422221186</v>
      </c>
      <c r="AB390" s="168">
        <f t="array" ref="AB390">iferror(index(K:K,match($A390&amp;","&amp;index('Year Conversion'!$A:$A,match($C390,'Year Conversion'!$B:$B,0)),$Y:$Y,0))-K390,"")</f>
        <v>0.3355992866</v>
      </c>
      <c r="AC390" s="168" t="str">
        <f t="shared" si="7"/>
        <v>MIL,2013-14</v>
      </c>
    </row>
    <row r="391">
      <c r="A391" s="161" t="str">
        <f>IFERROR(__xludf.DUMMYFUNCTION("""COMPUTED_VALUE"""),"bartowi01")</f>
        <v>bartowi01</v>
      </c>
      <c r="B391" s="161" t="str">
        <f>IFERROR(__xludf.DUMMYFUNCTION("""COMPUTED_VALUE"""),"Will Barton")</f>
        <v>Will Barton</v>
      </c>
      <c r="C391" s="162" t="str">
        <f>IFERROR(__xludf.DUMMYFUNCTION("""COMPUTED_VALUE"""),"2013-14")</f>
        <v>2013-14</v>
      </c>
      <c r="D391" s="163" t="str">
        <f>IFERROR(__xludf.DUMMYFUNCTION("""COMPUTED_VALUE"""),"POR")</f>
        <v>POR</v>
      </c>
      <c r="E391" s="164" t="str">
        <f>IFERROR(__xludf.DUMMYFUNCTION("""COMPUTED_VALUE"""),"Athletic Finisher")</f>
        <v>Athletic Finisher</v>
      </c>
      <c r="F391" s="164">
        <f>IFERROR(__xludf.DUMMYFUNCTION("""COMPUTED_VALUE"""),386.636666666667)</f>
        <v>386.6366667</v>
      </c>
      <c r="G391" s="163">
        <f>IFERROR(__xludf.DUMMYFUNCTION("""COMPUTED_VALUE"""),41.0)</f>
        <v>41</v>
      </c>
      <c r="H391" s="163" t="str">
        <f>IFERROR(__xludf.DUMMYFUNCTION("""COMPUTED_VALUE"""),"SG")</f>
        <v>SG</v>
      </c>
      <c r="I391" s="163">
        <f>IFERROR(__xludf.DUMMYFUNCTION("""COMPUTED_VALUE"""),23.0)</f>
        <v>23</v>
      </c>
      <c r="J391" s="165">
        <f>IFERROR(__xludf.DUMMYFUNCTION("""COMPUTED_VALUE"""),-1.89543741058193)</f>
        <v>-1.895437411</v>
      </c>
      <c r="K391" s="165">
        <f>IFERROR(__xludf.DUMMYFUNCTION("""COMPUTED_VALUE"""),-1.1348499212049)</f>
        <v>-1.134849921</v>
      </c>
      <c r="L391" s="165">
        <f>IFERROR(__xludf.DUMMYFUNCTION("""COMPUTED_VALUE"""),-0.760587489377028)</f>
        <v>-0.7605874894</v>
      </c>
      <c r="M391" s="166">
        <f t="shared" si="2"/>
        <v>0.1044390549</v>
      </c>
      <c r="N391" s="167">
        <f t="shared" si="3"/>
        <v>9.430162602</v>
      </c>
      <c r="O391" s="163">
        <f t="shared" ref="O391:Q391" si="395">rank(I391,I:I)</f>
        <v>2765</v>
      </c>
      <c r="P391" s="163">
        <f t="shared" si="395"/>
        <v>3413</v>
      </c>
      <c r="Q391" s="163">
        <f t="shared" si="395"/>
        <v>2967</v>
      </c>
      <c r="R391" s="163">
        <f>IFERROR(__xludf.DUMMYFUNCTION("RANK(M391,filter(M:M,C:C=C391))"),358.0)</f>
        <v>358</v>
      </c>
      <c r="S391" s="161" t="b">
        <f t="shared" si="5"/>
        <v>0</v>
      </c>
      <c r="T391" s="161" t="b">
        <f t="array" ref="T391">index('Query Tool'!B:B,match(H391,'Query Tool'!C:C,0))</f>
        <v>1</v>
      </c>
      <c r="U391" s="161" t="b">
        <f t="array" ref="U391">index('Query Tool'!B:B,match(C391,'Query Tool'!C:C,0))</f>
        <v>0</v>
      </c>
      <c r="V391" s="161" t="b">
        <f>F391&gt;='Query Tool'!C$32</f>
        <v>0</v>
      </c>
      <c r="W391" s="161" t="b">
        <f t="array" ref="W391">index(Dropdowns!B:B,match(I391,Dropdowns!A:A,0))</f>
        <v>1</v>
      </c>
      <c r="X391" s="161" t="b">
        <f t="array" ref="X391">index('Query Tool'!B:B,match(D391,'Query Tool'!C:C,0))</f>
        <v>1</v>
      </c>
      <c r="Y391" s="161" t="str">
        <f t="shared" si="6"/>
        <v>bartowi01,2013-14</v>
      </c>
      <c r="Z391" s="168">
        <f t="array" ref="Z391">iferror(index(I:I,match($A391&amp;","&amp;index('Year Conversion'!$A:$A,match($C391,'Year Conversion'!$B:$B,0)),$Y:$Y,0))-I391,"")</f>
        <v>1</v>
      </c>
      <c r="AA391" s="168">
        <f t="array" ref="AA391">iferror(index(J:J,match($A391&amp;","&amp;index('Year Conversion'!$A:$A,match($C391,'Year Conversion'!$B:$B,0)),$Y:$Y,0))-J391,"")</f>
        <v>1.884871348</v>
      </c>
      <c r="AB391" s="168">
        <f t="array" ref="AB391">iferror(index(K:K,match($A391&amp;","&amp;index('Year Conversion'!$A:$A,match($C391,'Year Conversion'!$B:$B,0)),$Y:$Y,0))-K391,"")</f>
        <v>0.9157050119</v>
      </c>
      <c r="AC391" s="168" t="str">
        <f t="shared" si="7"/>
        <v>POR,2013-14</v>
      </c>
    </row>
    <row r="392">
      <c r="A392" s="161" t="str">
        <f>IFERROR(__xludf.DUMMYFUNCTION("""COMPUTED_VALUE"""),"tayloty01")</f>
        <v>tayloty01</v>
      </c>
      <c r="B392" s="161" t="str">
        <f>IFERROR(__xludf.DUMMYFUNCTION("""COMPUTED_VALUE"""),"Tyshawn Taylor")</f>
        <v>Tyshawn Taylor</v>
      </c>
      <c r="C392" s="162" t="str">
        <f>IFERROR(__xludf.DUMMYFUNCTION("""COMPUTED_VALUE"""),"2013-14")</f>
        <v>2013-14</v>
      </c>
      <c r="D392" s="163" t="str">
        <f>IFERROR(__xludf.DUMMYFUNCTION("""COMPUTED_VALUE"""),"BRK")</f>
        <v>BRK</v>
      </c>
      <c r="E392" s="164" t="str">
        <f>IFERROR(__xludf.DUMMYFUNCTION("""COMPUTED_VALUE"""),"Slasher")</f>
        <v>Slasher</v>
      </c>
      <c r="F392" s="164">
        <f>IFERROR(__xludf.DUMMYFUNCTION("""COMPUTED_VALUE"""),270.191666666667)</f>
        <v>270.1916667</v>
      </c>
      <c r="G392" s="163">
        <f>IFERROR(__xludf.DUMMYFUNCTION("""COMPUTED_VALUE"""),23.0)</f>
        <v>23</v>
      </c>
      <c r="H392" s="163" t="str">
        <f>IFERROR(__xludf.DUMMYFUNCTION("""COMPUTED_VALUE"""),"PG")</f>
        <v>PG</v>
      </c>
      <c r="I392" s="163">
        <f>IFERROR(__xludf.DUMMYFUNCTION("""COMPUTED_VALUE"""),23.0)</f>
        <v>23</v>
      </c>
      <c r="J392" s="165">
        <f>IFERROR(__xludf.DUMMYFUNCTION("""COMPUTED_VALUE"""),-3.5403833750524)</f>
        <v>-3.540383375</v>
      </c>
      <c r="K392" s="165">
        <f>IFERROR(__xludf.DUMMYFUNCTION("""COMPUTED_VALUE"""),-2.02967085476116)</f>
        <v>-2.029670855</v>
      </c>
      <c r="L392" s="165">
        <f>IFERROR(__xludf.DUMMYFUNCTION("""COMPUTED_VALUE"""),-1.51071252029124)</f>
        <v>-1.51071252</v>
      </c>
      <c r="M392" s="166">
        <f t="shared" si="2"/>
        <v>-0.2173720578</v>
      </c>
      <c r="N392" s="167">
        <f t="shared" si="3"/>
        <v>11.74746377</v>
      </c>
      <c r="O392" s="163">
        <f t="shared" ref="O392:Q392" si="396">rank(I392,I:I)</f>
        <v>2765</v>
      </c>
      <c r="P392" s="163">
        <f t="shared" si="396"/>
        <v>3970</v>
      </c>
      <c r="Q392" s="163">
        <f t="shared" si="396"/>
        <v>3721</v>
      </c>
      <c r="R392" s="163">
        <f>IFERROR(__xludf.DUMMYFUNCTION("RANK(M392,filter(M:M,C:C=C392))"),459.0)</f>
        <v>459</v>
      </c>
      <c r="S392" s="161" t="b">
        <f t="shared" si="5"/>
        <v>0</v>
      </c>
      <c r="T392" s="161" t="b">
        <f t="array" ref="T392">index('Query Tool'!B:B,match(H392,'Query Tool'!C:C,0))</f>
        <v>1</v>
      </c>
      <c r="U392" s="161" t="b">
        <f t="array" ref="U392">index('Query Tool'!B:B,match(C392,'Query Tool'!C:C,0))</f>
        <v>0</v>
      </c>
      <c r="V392" s="161" t="b">
        <f>F392&gt;='Query Tool'!C$32</f>
        <v>0</v>
      </c>
      <c r="W392" s="161" t="b">
        <f t="array" ref="W392">index(Dropdowns!B:B,match(I392,Dropdowns!A:A,0))</f>
        <v>1</v>
      </c>
      <c r="X392" s="161" t="b">
        <f t="array" ref="X392">index('Query Tool'!B:B,match(D392,'Query Tool'!C:C,0))</f>
        <v>1</v>
      </c>
      <c r="Y392" s="161" t="str">
        <f t="shared" si="6"/>
        <v>tayloty01,2013-14</v>
      </c>
      <c r="Z392" s="168" t="str">
        <f t="array" ref="Z392">iferror(index(I:I,match($A392&amp;","&amp;index('Year Conversion'!$A:$A,match($C392,'Year Conversion'!$B:$B,0)),$Y:$Y,0))-I392,"")</f>
        <v/>
      </c>
      <c r="AA392" s="168" t="str">
        <f t="array" ref="AA392">iferror(index(J:J,match($A392&amp;","&amp;index('Year Conversion'!$A:$A,match($C392,'Year Conversion'!$B:$B,0)),$Y:$Y,0))-J392,"")</f>
        <v/>
      </c>
      <c r="AB392" s="168" t="str">
        <f t="array" ref="AB392">iferror(index(K:K,match($A392&amp;","&amp;index('Year Conversion'!$A:$A,match($C392,'Year Conversion'!$B:$B,0)),$Y:$Y,0))-K392,"")</f>
        <v/>
      </c>
      <c r="AC392" s="168" t="str">
        <f t="shared" si="7"/>
        <v>BRK,2013-14</v>
      </c>
    </row>
    <row r="393">
      <c r="A393" s="161" t="str">
        <f>IFERROR(__xludf.DUMMYFUNCTION("""COMPUTED_VALUE"""),"lambdo01")</f>
        <v>lambdo01</v>
      </c>
      <c r="B393" s="161" t="str">
        <f>IFERROR(__xludf.DUMMYFUNCTION("""COMPUTED_VALUE"""),"Doron Lamb")</f>
        <v>Doron Lamb</v>
      </c>
      <c r="C393" s="162" t="str">
        <f>IFERROR(__xludf.DUMMYFUNCTION("""COMPUTED_VALUE"""),"2013-14")</f>
        <v>2013-14</v>
      </c>
      <c r="D393" s="163" t="str">
        <f>IFERROR(__xludf.DUMMYFUNCTION("""COMPUTED_VALUE"""),"ORL")</f>
        <v>ORL</v>
      </c>
      <c r="E393" s="164" t="str">
        <f>IFERROR(__xludf.DUMMYFUNCTION("""COMPUTED_VALUE"""),"Movement Shooter")</f>
        <v>Movement Shooter</v>
      </c>
      <c r="F393" s="164">
        <f>IFERROR(__xludf.DUMMYFUNCTION("""COMPUTED_VALUE"""),694.81)</f>
        <v>694.81</v>
      </c>
      <c r="G393" s="163">
        <f>IFERROR(__xludf.DUMMYFUNCTION("""COMPUTED_VALUE"""),53.0)</f>
        <v>53</v>
      </c>
      <c r="H393" s="163" t="str">
        <f>IFERROR(__xludf.DUMMYFUNCTION("""COMPUTED_VALUE"""),"SG")</f>
        <v>SG</v>
      </c>
      <c r="I393" s="163">
        <f>IFERROR(__xludf.DUMMYFUNCTION("""COMPUTED_VALUE"""),22.0)</f>
        <v>22</v>
      </c>
      <c r="J393" s="165">
        <f>IFERROR(__xludf.DUMMYFUNCTION("""COMPUTED_VALUE"""),-2.40185425016759)</f>
        <v>-2.40185425</v>
      </c>
      <c r="K393" s="165">
        <f>IFERROR(__xludf.DUMMYFUNCTION("""COMPUTED_VALUE"""),-1.29177387184902)</f>
        <v>-1.291773872</v>
      </c>
      <c r="L393" s="165">
        <f>IFERROR(__xludf.DUMMYFUNCTION("""COMPUTED_VALUE"""),-1.11008037831858)</f>
        <v>-1.110080378</v>
      </c>
      <c r="M393" s="166">
        <f t="shared" si="2"/>
        <v>-0.04501335006</v>
      </c>
      <c r="N393" s="167">
        <f t="shared" si="3"/>
        <v>13.10962264</v>
      </c>
      <c r="O393" s="163">
        <f t="shared" ref="O393:Q393" si="397">rank(I393,I:I)</f>
        <v>3178</v>
      </c>
      <c r="P393" s="163">
        <f t="shared" si="397"/>
        <v>3718</v>
      </c>
      <c r="Q393" s="163">
        <f t="shared" si="397"/>
        <v>3135</v>
      </c>
      <c r="R393" s="163">
        <f>IFERROR(__xludf.DUMMYFUNCTION("RANK(M393,filter(M:M,C:C=C393))"),435.0)</f>
        <v>435</v>
      </c>
      <c r="S393" s="161" t="b">
        <f t="shared" si="5"/>
        <v>0</v>
      </c>
      <c r="T393" s="161" t="b">
        <f t="array" ref="T393">index('Query Tool'!B:B,match(H393,'Query Tool'!C:C,0))</f>
        <v>1</v>
      </c>
      <c r="U393" s="161" t="b">
        <f t="array" ref="U393">index('Query Tool'!B:B,match(C393,'Query Tool'!C:C,0))</f>
        <v>0</v>
      </c>
      <c r="V393" s="161" t="b">
        <f>F393&gt;='Query Tool'!C$32</f>
        <v>1</v>
      </c>
      <c r="W393" s="161" t="b">
        <f t="array" ref="W393">index(Dropdowns!B:B,match(I393,Dropdowns!A:A,0))</f>
        <v>1</v>
      </c>
      <c r="X393" s="161" t="b">
        <f t="array" ref="X393">index('Query Tool'!B:B,match(D393,'Query Tool'!C:C,0))</f>
        <v>1</v>
      </c>
      <c r="Y393" s="161" t="str">
        <f t="shared" si="6"/>
        <v>lambdo01,2013-14</v>
      </c>
      <c r="Z393" s="168" t="str">
        <f t="array" ref="Z393">iferror(index(I:I,match($A393&amp;","&amp;index('Year Conversion'!$A:$A,match($C393,'Year Conversion'!$B:$B,0)),$Y:$Y,0))-I393,"")</f>
        <v/>
      </c>
      <c r="AA393" s="168" t="str">
        <f t="array" ref="AA393">iferror(index(J:J,match($A393&amp;","&amp;index('Year Conversion'!$A:$A,match($C393,'Year Conversion'!$B:$B,0)),$Y:$Y,0))-J393,"")</f>
        <v/>
      </c>
      <c r="AB393" s="168" t="str">
        <f t="array" ref="AB393">iferror(index(K:K,match($A393&amp;","&amp;index('Year Conversion'!$A:$A,match($C393,'Year Conversion'!$B:$B,0)),$Y:$Y,0))-K393,"")</f>
        <v/>
      </c>
      <c r="AC393" s="168" t="str">
        <f t="shared" si="7"/>
        <v>ORL,2013-14</v>
      </c>
    </row>
    <row r="394">
      <c r="A394" s="161" t="str">
        <f>IFERROR(__xludf.DUMMYFUNCTION("""COMPUTED_VALUE"""),"scottmi01")</f>
        <v>scottmi01</v>
      </c>
      <c r="B394" s="161" t="str">
        <f>IFERROR(__xludf.DUMMYFUNCTION("""COMPUTED_VALUE"""),"Mike Scott")</f>
        <v>Mike Scott</v>
      </c>
      <c r="C394" s="162" t="str">
        <f>IFERROR(__xludf.DUMMYFUNCTION("""COMPUTED_VALUE"""),"2013-14")</f>
        <v>2013-14</v>
      </c>
      <c r="D394" s="163" t="str">
        <f>IFERROR(__xludf.DUMMYFUNCTION("""COMPUTED_VALUE"""),"ATL")</f>
        <v>ATL</v>
      </c>
      <c r="E394" s="164" t="str">
        <f>IFERROR(__xludf.DUMMYFUNCTION("""COMPUTED_VALUE"""),"Stretch Big")</f>
        <v>Stretch Big</v>
      </c>
      <c r="F394" s="164">
        <f>IFERROR(__xludf.DUMMYFUNCTION("""COMPUTED_VALUE"""),1481.815)</f>
        <v>1481.815</v>
      </c>
      <c r="G394" s="163">
        <f>IFERROR(__xludf.DUMMYFUNCTION("""COMPUTED_VALUE"""),80.0)</f>
        <v>80</v>
      </c>
      <c r="H394" s="163" t="str">
        <f>IFERROR(__xludf.DUMMYFUNCTION("""COMPUTED_VALUE"""),"PF")</f>
        <v>PF</v>
      </c>
      <c r="I394" s="163">
        <f>IFERROR(__xludf.DUMMYFUNCTION("""COMPUTED_VALUE"""),25.0)</f>
        <v>25</v>
      </c>
      <c r="J394" s="165">
        <f>IFERROR(__xludf.DUMMYFUNCTION("""COMPUTED_VALUE"""),-2.23687563231507)</f>
        <v>-2.236875632</v>
      </c>
      <c r="K394" s="165">
        <f>IFERROR(__xludf.DUMMYFUNCTION("""COMPUTED_VALUE"""),-0.443148201930847)</f>
        <v>-0.4431482019</v>
      </c>
      <c r="L394" s="165">
        <f>IFERROR(__xludf.DUMMYFUNCTION("""COMPUTED_VALUE"""),-1.79372743038422)</f>
        <v>-1.79372743</v>
      </c>
      <c r="M394" s="166">
        <f t="shared" si="2"/>
        <v>0.06517604615</v>
      </c>
      <c r="N394" s="167">
        <f t="shared" si="3"/>
        <v>18.5226875</v>
      </c>
      <c r="O394" s="163">
        <f t="shared" ref="O394:Q394" si="398">rank(I394,I:I)</f>
        <v>1995</v>
      </c>
      <c r="P394" s="163">
        <f t="shared" si="398"/>
        <v>3626</v>
      </c>
      <c r="Q394" s="163">
        <f t="shared" si="398"/>
        <v>2023</v>
      </c>
      <c r="R394" s="163">
        <f>IFERROR(__xludf.DUMMYFUNCTION("RANK(M394,filter(M:M,C:C=C394))"),377.0)</f>
        <v>377</v>
      </c>
      <c r="S394" s="161" t="b">
        <f t="shared" si="5"/>
        <v>0</v>
      </c>
      <c r="T394" s="161" t="b">
        <f t="array" ref="T394">index('Query Tool'!B:B,match(H394,'Query Tool'!C:C,0))</f>
        <v>1</v>
      </c>
      <c r="U394" s="161" t="b">
        <f t="array" ref="U394">index('Query Tool'!B:B,match(C394,'Query Tool'!C:C,0))</f>
        <v>0</v>
      </c>
      <c r="V394" s="161" t="b">
        <f>F394&gt;='Query Tool'!C$32</f>
        <v>1</v>
      </c>
      <c r="W394" s="161" t="b">
        <f t="array" ref="W394">index(Dropdowns!B:B,match(I394,Dropdowns!A:A,0))</f>
        <v>1</v>
      </c>
      <c r="X394" s="161" t="b">
        <f t="array" ref="X394">index('Query Tool'!B:B,match(D394,'Query Tool'!C:C,0))</f>
        <v>1</v>
      </c>
      <c r="Y394" s="161" t="str">
        <f t="shared" si="6"/>
        <v>scottmi01,2013-14</v>
      </c>
      <c r="Z394" s="168">
        <f t="array" ref="Z394">iferror(index(I:I,match($A394&amp;","&amp;index('Year Conversion'!$A:$A,match($C394,'Year Conversion'!$B:$B,0)),$Y:$Y,0))-I394,"")</f>
        <v>1</v>
      </c>
      <c r="AA394" s="168">
        <f t="array" ref="AA394">iferror(index(J:J,match($A394&amp;","&amp;index('Year Conversion'!$A:$A,match($C394,'Year Conversion'!$B:$B,0)),$Y:$Y,0))-J394,"")</f>
        <v>1.12574332</v>
      </c>
      <c r="AB394" s="168">
        <f t="array" ref="AB394">iferror(index(K:K,match($A394&amp;","&amp;index('Year Conversion'!$A:$A,match($C394,'Year Conversion'!$B:$B,0)),$Y:$Y,0))-K394,"")</f>
        <v>0.564175813</v>
      </c>
      <c r="AC394" s="168" t="str">
        <f t="shared" si="7"/>
        <v>ATL,2013-14</v>
      </c>
    </row>
    <row r="395">
      <c r="A395" s="161" t="str">
        <f>IFERROR(__xludf.DUMMYFUNCTION("""COMPUTED_VALUE"""),"hamilju01")</f>
        <v>hamilju01</v>
      </c>
      <c r="B395" s="161" t="str">
        <f>IFERROR(__xludf.DUMMYFUNCTION("""COMPUTED_VALUE"""),"Justin Hamilton")</f>
        <v>Justin Hamilton</v>
      </c>
      <c r="C395" s="162" t="str">
        <f>IFERROR(__xludf.DUMMYFUNCTION("""COMPUTED_VALUE"""),"2013-14")</f>
        <v>2013-14</v>
      </c>
      <c r="D395" s="163" t="str">
        <f>IFERROR(__xludf.DUMMYFUNCTION("""COMPUTED_VALUE"""),"TOT")</f>
        <v>TOT</v>
      </c>
      <c r="E395" s="164" t="str">
        <f>IFERROR(__xludf.DUMMYFUNCTION("""COMPUTED_VALUE"""),"Stretch Big")</f>
        <v>Stretch Big</v>
      </c>
      <c r="F395" s="164">
        <f>IFERROR(__xludf.DUMMYFUNCTION("""COMPUTED_VALUE"""),72.1466666666666)</f>
        <v>72.14666667</v>
      </c>
      <c r="G395" s="163">
        <f>IFERROR(__xludf.DUMMYFUNCTION("""COMPUTED_VALUE"""),8.0)</f>
        <v>8</v>
      </c>
      <c r="H395" s="163" t="str">
        <f>IFERROR(__xludf.DUMMYFUNCTION("""COMPUTED_VALUE"""),"C")</f>
        <v>C</v>
      </c>
      <c r="I395" s="163">
        <f>IFERROR(__xludf.DUMMYFUNCTION("""COMPUTED_VALUE"""),23.0)</f>
        <v>23</v>
      </c>
      <c r="J395" s="165">
        <f>IFERROR(__xludf.DUMMYFUNCTION("""COMPUTED_VALUE"""),-1.36509006887385)</f>
        <v>-1.365090069</v>
      </c>
      <c r="K395" s="165">
        <f>IFERROR(__xludf.DUMMYFUNCTION("""COMPUTED_VALUE"""),-0.397364062135358)</f>
        <v>-0.3973640621</v>
      </c>
      <c r="L395" s="165">
        <f>IFERROR(__xludf.DUMMYFUNCTION("""COMPUTED_VALUE"""),-0.967726006738494)</f>
        <v>-0.9677260067</v>
      </c>
      <c r="M395" s="166">
        <f t="shared" si="2"/>
        <v>0.04499873725</v>
      </c>
      <c r="N395" s="167">
        <f t="shared" si="3"/>
        <v>9.018333333</v>
      </c>
      <c r="O395" s="163">
        <f t="shared" ref="O395:Q395" si="399">rank(I395,I:I)</f>
        <v>2765</v>
      </c>
      <c r="P395" s="163">
        <f t="shared" si="399"/>
        <v>2920</v>
      </c>
      <c r="Q395" s="163">
        <f t="shared" si="399"/>
        <v>1936</v>
      </c>
      <c r="R395" s="163">
        <f>IFERROR(__xludf.DUMMYFUNCTION("RANK(M395,filter(M:M,C:C=C395))"),393.0)</f>
        <v>393</v>
      </c>
      <c r="S395" s="161" t="b">
        <f t="shared" si="5"/>
        <v>0</v>
      </c>
      <c r="T395" s="161" t="b">
        <f t="array" ref="T395">index('Query Tool'!B:B,match(H395,'Query Tool'!C:C,0))</f>
        <v>1</v>
      </c>
      <c r="U395" s="161" t="b">
        <f t="array" ref="U395">index('Query Tool'!B:B,match(C395,'Query Tool'!C:C,0))</f>
        <v>0</v>
      </c>
      <c r="V395" s="161" t="b">
        <f>F395&gt;='Query Tool'!C$32</f>
        <v>0</v>
      </c>
      <c r="W395" s="161" t="b">
        <f t="array" ref="W395">index(Dropdowns!B:B,match(I395,Dropdowns!A:A,0))</f>
        <v>1</v>
      </c>
      <c r="X395" s="161" t="b">
        <f t="array" ref="X395">index('Query Tool'!B:B,match(D395,'Query Tool'!C:C,0))</f>
        <v>1</v>
      </c>
      <c r="Y395" s="161" t="str">
        <f t="shared" si="6"/>
        <v>hamilju01,2013-14</v>
      </c>
      <c r="Z395" s="168">
        <f t="array" ref="Z395">iferror(index(I:I,match($A395&amp;","&amp;index('Year Conversion'!$A:$A,match($C395,'Year Conversion'!$B:$B,0)),$Y:$Y,0))-I395,"")</f>
        <v>1</v>
      </c>
      <c r="AA395" s="168">
        <f t="array" ref="AA395">iferror(index(J:J,match($A395&amp;","&amp;index('Year Conversion'!$A:$A,match($C395,'Year Conversion'!$B:$B,0)),$Y:$Y,0))-J395,"")</f>
        <v>0.2626229661</v>
      </c>
      <c r="AB395" s="168">
        <f t="array" ref="AB395">iferror(index(K:K,match($A395&amp;","&amp;index('Year Conversion'!$A:$A,match($C395,'Year Conversion'!$B:$B,0)),$Y:$Y,0))-K395,"")</f>
        <v>-0.6001811301</v>
      </c>
      <c r="AC395" s="168" t="str">
        <f t="shared" si="7"/>
        <v>TOT,2013-14</v>
      </c>
    </row>
    <row r="396">
      <c r="A396" s="161" t="str">
        <f>IFERROR(__xludf.DUMMYFUNCTION("""COMPUTED_VALUE"""),"milleda01")</f>
        <v>milleda01</v>
      </c>
      <c r="B396" s="161" t="str">
        <f>IFERROR(__xludf.DUMMYFUNCTION("""COMPUTED_VALUE"""),"Darius Miller")</f>
        <v>Darius Miller</v>
      </c>
      <c r="C396" s="162" t="str">
        <f>IFERROR(__xludf.DUMMYFUNCTION("""COMPUTED_VALUE"""),"2013-14")</f>
        <v>2013-14</v>
      </c>
      <c r="D396" s="163" t="str">
        <f>IFERROR(__xludf.DUMMYFUNCTION("""COMPUTED_VALUE"""),"NOP")</f>
        <v>NOP</v>
      </c>
      <c r="E396" s="164" t="str">
        <f>IFERROR(__xludf.DUMMYFUNCTION("""COMPUTED_VALUE"""),"Movement Shooter")</f>
        <v>Movement Shooter</v>
      </c>
      <c r="F396" s="164">
        <f>IFERROR(__xludf.DUMMYFUNCTION("""COMPUTED_VALUE"""),722.763333333333)</f>
        <v>722.7633333</v>
      </c>
      <c r="G396" s="163">
        <f>IFERROR(__xludf.DUMMYFUNCTION("""COMPUTED_VALUE"""),45.0)</f>
        <v>45</v>
      </c>
      <c r="H396" s="163" t="str">
        <f>IFERROR(__xludf.DUMMYFUNCTION("""COMPUTED_VALUE"""),"SF")</f>
        <v>SF</v>
      </c>
      <c r="I396" s="163">
        <f>IFERROR(__xludf.DUMMYFUNCTION("""COMPUTED_VALUE"""),23.0)</f>
        <v>23</v>
      </c>
      <c r="J396" s="165">
        <f>IFERROR(__xludf.DUMMYFUNCTION("""COMPUTED_VALUE"""),-0.558354793132706)</f>
        <v>-0.5583547931</v>
      </c>
      <c r="K396" s="165">
        <f>IFERROR(__xludf.DUMMYFUNCTION("""COMPUTED_VALUE"""),-0.268730087589073)</f>
        <v>-0.2687300876</v>
      </c>
      <c r="L396" s="165">
        <f>IFERROR(__xludf.DUMMYFUNCTION("""COMPUTED_VALUE"""),-0.289624705543632)</f>
        <v>-0.2896247055</v>
      </c>
      <c r="M396" s="166">
        <f t="shared" si="2"/>
        <v>0.8423029671</v>
      </c>
      <c r="N396" s="167">
        <f t="shared" si="3"/>
        <v>16.06140741</v>
      </c>
      <c r="O396" s="163">
        <f t="shared" ref="O396:Q396" si="400">rank(I396,I:I)</f>
        <v>2765</v>
      </c>
      <c r="P396" s="163">
        <f t="shared" si="400"/>
        <v>1929</v>
      </c>
      <c r="Q396" s="163">
        <f t="shared" si="400"/>
        <v>1698</v>
      </c>
      <c r="R396" s="163">
        <f>IFERROR(__xludf.DUMMYFUNCTION("RANK(M396,filter(M:M,C:C=C396))"),239.0)</f>
        <v>239</v>
      </c>
      <c r="S396" s="161" t="b">
        <f t="shared" si="5"/>
        <v>0</v>
      </c>
      <c r="T396" s="161" t="b">
        <f t="array" ref="T396">index('Query Tool'!B:B,match(H396,'Query Tool'!C:C,0))</f>
        <v>1</v>
      </c>
      <c r="U396" s="161" t="b">
        <f t="array" ref="U396">index('Query Tool'!B:B,match(C396,'Query Tool'!C:C,0))</f>
        <v>0</v>
      </c>
      <c r="V396" s="161" t="b">
        <f>F396&gt;='Query Tool'!C$32</f>
        <v>1</v>
      </c>
      <c r="W396" s="161" t="b">
        <f t="array" ref="W396">index(Dropdowns!B:B,match(I396,Dropdowns!A:A,0))</f>
        <v>1</v>
      </c>
      <c r="X396" s="161" t="b">
        <f t="array" ref="X396">index('Query Tool'!B:B,match(D396,'Query Tool'!C:C,0))</f>
        <v>1</v>
      </c>
      <c r="Y396" s="161" t="str">
        <f t="shared" si="6"/>
        <v>milleda01,2013-14</v>
      </c>
      <c r="Z396" s="168">
        <f t="array" ref="Z396">iferror(index(I:I,match($A396&amp;","&amp;index('Year Conversion'!$A:$A,match($C396,'Year Conversion'!$B:$B,0)),$Y:$Y,0))-I396,"")</f>
        <v>1</v>
      </c>
      <c r="AA396" s="168">
        <f t="array" ref="AA396">iferror(index(J:J,match($A396&amp;","&amp;index('Year Conversion'!$A:$A,match($C396,'Year Conversion'!$B:$B,0)),$Y:$Y,0))-J396,"")</f>
        <v>-0.8753675214</v>
      </c>
      <c r="AB396" s="168">
        <f t="array" ref="AB396">iferror(index(K:K,match($A396&amp;","&amp;index('Year Conversion'!$A:$A,match($C396,'Year Conversion'!$B:$B,0)),$Y:$Y,0))-K396,"")</f>
        <v>-0.6547273978</v>
      </c>
      <c r="AC396" s="168" t="str">
        <f t="shared" si="7"/>
        <v>NOP,2013-14</v>
      </c>
    </row>
    <row r="397">
      <c r="A397" s="161" t="str">
        <f>IFERROR(__xludf.DUMMYFUNCTION("""COMPUTED_VALUE"""),"oquinky01")</f>
        <v>oquinky01</v>
      </c>
      <c r="B397" s="161" t="str">
        <f>IFERROR(__xludf.DUMMYFUNCTION("""COMPUTED_VALUE"""),"Kyle O'Quinn")</f>
        <v>Kyle O'Quinn</v>
      </c>
      <c r="C397" s="162" t="str">
        <f>IFERROR(__xludf.DUMMYFUNCTION("""COMPUTED_VALUE"""),"2013-14")</f>
        <v>2013-14</v>
      </c>
      <c r="D397" s="163" t="str">
        <f>IFERROR(__xludf.DUMMYFUNCTION("""COMPUTED_VALUE"""),"ORL")</f>
        <v>ORL</v>
      </c>
      <c r="E397" s="164" t="str">
        <f>IFERROR(__xludf.DUMMYFUNCTION("""COMPUTED_VALUE"""),"Roll + Cut Big")</f>
        <v>Roll + Cut Big</v>
      </c>
      <c r="F397" s="164">
        <f>IFERROR(__xludf.DUMMYFUNCTION("""COMPUTED_VALUE"""),1188.075)</f>
        <v>1188.075</v>
      </c>
      <c r="G397" s="163">
        <f>IFERROR(__xludf.DUMMYFUNCTION("""COMPUTED_VALUE"""),69.0)</f>
        <v>69</v>
      </c>
      <c r="H397" s="163" t="str">
        <f>IFERROR(__xludf.DUMMYFUNCTION("""COMPUTED_VALUE"""),"C")</f>
        <v>C</v>
      </c>
      <c r="I397" s="163">
        <f>IFERROR(__xludf.DUMMYFUNCTION("""COMPUTED_VALUE"""),23.0)</f>
        <v>23</v>
      </c>
      <c r="J397" s="165">
        <f>IFERROR(__xludf.DUMMYFUNCTION("""COMPUTED_VALUE"""),1.2735859519908)</f>
        <v>1.273585952</v>
      </c>
      <c r="K397" s="165">
        <f>IFERROR(__xludf.DUMMYFUNCTION("""COMPUTED_VALUE"""),-1.3318004983329)</f>
        <v>-1.331800498</v>
      </c>
      <c r="L397" s="165">
        <f>IFERROR(__xludf.DUMMYFUNCTION("""COMPUTED_VALUE"""),2.60538645032369)</f>
        <v>2.60538645</v>
      </c>
      <c r="M397" s="166">
        <f t="shared" si="2"/>
        <v>2.849450326</v>
      </c>
      <c r="N397" s="167">
        <f t="shared" si="3"/>
        <v>17.21847826</v>
      </c>
      <c r="O397" s="163">
        <f t="shared" ref="O397:Q397" si="401">rank(I397,I:I)</f>
        <v>2765</v>
      </c>
      <c r="P397" s="163">
        <f t="shared" si="401"/>
        <v>537</v>
      </c>
      <c r="Q397" s="163">
        <f t="shared" si="401"/>
        <v>3183</v>
      </c>
      <c r="R397" s="163">
        <f>IFERROR(__xludf.DUMMYFUNCTION("RANK(M397,filter(M:M,C:C=C397))"),116.0)</f>
        <v>116</v>
      </c>
      <c r="S397" s="161" t="b">
        <f t="shared" si="5"/>
        <v>0</v>
      </c>
      <c r="T397" s="161" t="b">
        <f t="array" ref="T397">index('Query Tool'!B:B,match(H397,'Query Tool'!C:C,0))</f>
        <v>1</v>
      </c>
      <c r="U397" s="161" t="b">
        <f t="array" ref="U397">index('Query Tool'!B:B,match(C397,'Query Tool'!C:C,0))</f>
        <v>0</v>
      </c>
      <c r="V397" s="161" t="b">
        <f>F397&gt;='Query Tool'!C$32</f>
        <v>1</v>
      </c>
      <c r="W397" s="161" t="b">
        <f t="array" ref="W397">index(Dropdowns!B:B,match(I397,Dropdowns!A:A,0))</f>
        <v>1</v>
      </c>
      <c r="X397" s="161" t="b">
        <f t="array" ref="X397">index('Query Tool'!B:B,match(D397,'Query Tool'!C:C,0))</f>
        <v>1</v>
      </c>
      <c r="Y397" s="161" t="str">
        <f t="shared" si="6"/>
        <v>oquinky01,2013-14</v>
      </c>
      <c r="Z397" s="168">
        <f t="array" ref="Z397">iferror(index(I:I,match($A397&amp;","&amp;index('Year Conversion'!$A:$A,match($C397,'Year Conversion'!$B:$B,0)),$Y:$Y,0))-I397,"")</f>
        <v>1</v>
      </c>
      <c r="AA397" s="168">
        <f t="array" ref="AA397">iferror(index(J:J,match($A397&amp;","&amp;index('Year Conversion'!$A:$A,match($C397,'Year Conversion'!$B:$B,0)),$Y:$Y,0))-J397,"")</f>
        <v>-1.255841234</v>
      </c>
      <c r="AB397" s="168">
        <f t="array" ref="AB397">iferror(index(K:K,match($A397&amp;","&amp;index('Year Conversion'!$A:$A,match($C397,'Year Conversion'!$B:$B,0)),$Y:$Y,0))-K397,"")</f>
        <v>-0.3433757072</v>
      </c>
      <c r="AC397" s="168" t="str">
        <f t="shared" si="7"/>
        <v>ORL,2013-14</v>
      </c>
    </row>
    <row r="398">
      <c r="A398" s="161" t="str">
        <f>IFERROR(__xludf.DUMMYFUNCTION("""COMPUTED_VALUE"""),"shengto01")</f>
        <v>shengto01</v>
      </c>
      <c r="B398" s="161" t="str">
        <f>IFERROR(__xludf.DUMMYFUNCTION("""COMPUTED_VALUE"""),"Tornike Shengelia")</f>
        <v>Tornike Shengelia</v>
      </c>
      <c r="C398" s="162" t="str">
        <f>IFERROR(__xludf.DUMMYFUNCTION("""COMPUTED_VALUE"""),"2013-14")</f>
        <v>2013-14</v>
      </c>
      <c r="D398" s="163" t="str">
        <f>IFERROR(__xludf.DUMMYFUNCTION("""COMPUTED_VALUE"""),"TOT")</f>
        <v>TOT</v>
      </c>
      <c r="E398" s="164" t="str">
        <f>IFERROR(__xludf.DUMMYFUNCTION("""COMPUTED_VALUE"""),"Slasher")</f>
        <v>Slasher</v>
      </c>
      <c r="F398" s="164">
        <f>IFERROR(__xludf.DUMMYFUNCTION("""COMPUTED_VALUE"""),154.806666666667)</f>
        <v>154.8066667</v>
      </c>
      <c r="G398" s="163">
        <f>IFERROR(__xludf.DUMMYFUNCTION("""COMPUTED_VALUE"""),26.0)</f>
        <v>26</v>
      </c>
      <c r="H398" s="163" t="str">
        <f>IFERROR(__xludf.DUMMYFUNCTION("""COMPUTED_VALUE"""),"SF")</f>
        <v>SF</v>
      </c>
      <c r="I398" s="163">
        <f>IFERROR(__xludf.DUMMYFUNCTION("""COMPUTED_VALUE"""),22.0)</f>
        <v>22</v>
      </c>
      <c r="J398" s="165">
        <f>IFERROR(__xludf.DUMMYFUNCTION("""COMPUTED_VALUE"""),-1.88686671834502)</f>
        <v>-1.886866718</v>
      </c>
      <c r="K398" s="165">
        <f>IFERROR(__xludf.DUMMYFUNCTION("""COMPUTED_VALUE"""),-1.11919969343746)</f>
        <v>-1.119199693</v>
      </c>
      <c r="L398" s="165">
        <f>IFERROR(__xludf.DUMMYFUNCTION("""COMPUTED_VALUE"""),-0.767667024907556)</f>
        <v>-0.7676670249</v>
      </c>
      <c r="M398" s="166">
        <f t="shared" si="2"/>
        <v>0.042697994</v>
      </c>
      <c r="N398" s="167">
        <f t="shared" si="3"/>
        <v>5.954102564</v>
      </c>
      <c r="O398" s="163">
        <f t="shared" ref="O398:Q398" si="402">rank(I398,I:I)</f>
        <v>3178</v>
      </c>
      <c r="P398" s="163">
        <f t="shared" si="402"/>
        <v>3408</v>
      </c>
      <c r="Q398" s="163">
        <f t="shared" si="402"/>
        <v>2947</v>
      </c>
      <c r="R398" s="163">
        <f>IFERROR(__xludf.DUMMYFUNCTION("RANK(M398,filter(M:M,C:C=C398))"),394.0)</f>
        <v>394</v>
      </c>
      <c r="S398" s="161" t="b">
        <f t="shared" si="5"/>
        <v>0</v>
      </c>
      <c r="T398" s="161" t="b">
        <f t="array" ref="T398">index('Query Tool'!B:B,match(H398,'Query Tool'!C:C,0))</f>
        <v>1</v>
      </c>
      <c r="U398" s="161" t="b">
        <f t="array" ref="U398">index('Query Tool'!B:B,match(C398,'Query Tool'!C:C,0))</f>
        <v>0</v>
      </c>
      <c r="V398" s="161" t="b">
        <f>F398&gt;='Query Tool'!C$32</f>
        <v>0</v>
      </c>
      <c r="W398" s="161" t="b">
        <f t="array" ref="W398">index(Dropdowns!B:B,match(I398,Dropdowns!A:A,0))</f>
        <v>1</v>
      </c>
      <c r="X398" s="161" t="b">
        <f t="array" ref="X398">index('Query Tool'!B:B,match(D398,'Query Tool'!C:C,0))</f>
        <v>1</v>
      </c>
      <c r="Y398" s="161" t="str">
        <f t="shared" si="6"/>
        <v>shengto01,2013-14</v>
      </c>
      <c r="Z398" s="168" t="str">
        <f t="array" ref="Z398">iferror(index(I:I,match($A398&amp;","&amp;index('Year Conversion'!$A:$A,match($C398,'Year Conversion'!$B:$B,0)),$Y:$Y,0))-I398,"")</f>
        <v/>
      </c>
      <c r="AA398" s="168" t="str">
        <f t="array" ref="AA398">iferror(index(J:J,match($A398&amp;","&amp;index('Year Conversion'!$A:$A,match($C398,'Year Conversion'!$B:$B,0)),$Y:$Y,0))-J398,"")</f>
        <v/>
      </c>
      <c r="AB398" s="168" t="str">
        <f t="array" ref="AB398">iferror(index(K:K,match($A398&amp;","&amp;index('Year Conversion'!$A:$A,match($C398,'Year Conversion'!$B:$B,0)),$Y:$Y,0))-K398,"")</f>
        <v/>
      </c>
      <c r="AC398" s="168" t="str">
        <f t="shared" si="7"/>
        <v>TOT,2013-14</v>
      </c>
    </row>
    <row r="399">
      <c r="A399" s="161" t="str">
        <f>IFERROR(__xludf.DUMMYFUNCTION("""COMPUTED_VALUE"""),"johnsda03")</f>
        <v>johnsda03</v>
      </c>
      <c r="B399" s="161" t="str">
        <f>IFERROR(__xludf.DUMMYFUNCTION("""COMPUTED_VALUE"""),"Darius Johnson-Odom")</f>
        <v>Darius Johnson-Odom</v>
      </c>
      <c r="C399" s="162" t="str">
        <f>IFERROR(__xludf.DUMMYFUNCTION("""COMPUTED_VALUE"""),"2013-14")</f>
        <v>2013-14</v>
      </c>
      <c r="D399" s="163" t="str">
        <f>IFERROR(__xludf.DUMMYFUNCTION("""COMPUTED_VALUE"""),"PHI")</f>
        <v>PHI</v>
      </c>
      <c r="E399" s="164" t="str">
        <f>IFERROR(__xludf.DUMMYFUNCTION("""COMPUTED_VALUE"""),"Movement Shooter")</f>
        <v>Movement Shooter</v>
      </c>
      <c r="F399" s="164">
        <f>IFERROR(__xludf.DUMMYFUNCTION("""COMPUTED_VALUE"""),15.295)</f>
        <v>15.295</v>
      </c>
      <c r="G399" s="163">
        <f>IFERROR(__xludf.DUMMYFUNCTION("""COMPUTED_VALUE"""),3.0)</f>
        <v>3</v>
      </c>
      <c r="H399" s="163" t="str">
        <f>IFERROR(__xludf.DUMMYFUNCTION("""COMPUTED_VALUE"""),"SG")</f>
        <v>SG</v>
      </c>
      <c r="I399" s="163">
        <f>IFERROR(__xludf.DUMMYFUNCTION("""COMPUTED_VALUE"""),24.0)</f>
        <v>24</v>
      </c>
      <c r="J399" s="165">
        <f>IFERROR(__xludf.DUMMYFUNCTION("""COMPUTED_VALUE"""),0.13844242848709)</f>
        <v>0.1384424285</v>
      </c>
      <c r="K399" s="165">
        <f>IFERROR(__xludf.DUMMYFUNCTION("""COMPUTED_VALUE"""),-0.115400240187844)</f>
        <v>-0.1154002402</v>
      </c>
      <c r="L399" s="165">
        <f>IFERROR(__xludf.DUMMYFUNCTION("""COMPUTED_VALUE"""),0.253842668674933)</f>
        <v>0.2538426687</v>
      </c>
      <c r="M399" s="166">
        <f t="shared" si="2"/>
        <v>0.02500733505</v>
      </c>
      <c r="N399" s="167">
        <f t="shared" si="3"/>
        <v>5.098333333</v>
      </c>
      <c r="O399" s="163">
        <f t="shared" ref="O399:Q399" si="403">rank(I399,I:I)</f>
        <v>2361</v>
      </c>
      <c r="P399" s="163">
        <f t="shared" si="403"/>
        <v>1146</v>
      </c>
      <c r="Q399" s="163">
        <f t="shared" si="403"/>
        <v>1398</v>
      </c>
      <c r="R399" s="163">
        <f>IFERROR(__xludf.DUMMYFUNCTION("RANK(M399,filter(M:M,C:C=C399))"),408.0)</f>
        <v>408</v>
      </c>
      <c r="S399" s="161" t="b">
        <f t="shared" si="5"/>
        <v>0</v>
      </c>
      <c r="T399" s="161" t="b">
        <f t="array" ref="T399">index('Query Tool'!B:B,match(H399,'Query Tool'!C:C,0))</f>
        <v>1</v>
      </c>
      <c r="U399" s="161" t="b">
        <f t="array" ref="U399">index('Query Tool'!B:B,match(C399,'Query Tool'!C:C,0))</f>
        <v>0</v>
      </c>
      <c r="V399" s="161" t="b">
        <f>F399&gt;='Query Tool'!C$32</f>
        <v>0</v>
      </c>
      <c r="W399" s="161" t="b">
        <f t="array" ref="W399">index(Dropdowns!B:B,match(I399,Dropdowns!A:A,0))</f>
        <v>1</v>
      </c>
      <c r="X399" s="161" t="b">
        <f t="array" ref="X399">index('Query Tool'!B:B,match(D399,'Query Tool'!C:C,0))</f>
        <v>1</v>
      </c>
      <c r="Y399" s="161" t="str">
        <f t="shared" si="6"/>
        <v>johnsda03,2013-14</v>
      </c>
      <c r="Z399" s="168" t="str">
        <f t="array" ref="Z399">iferror(index(I:I,match($A399&amp;","&amp;index('Year Conversion'!$A:$A,match($C399,'Year Conversion'!$B:$B,0)),$Y:$Y,0))-I399,"")</f>
        <v/>
      </c>
      <c r="AA399" s="168" t="str">
        <f t="array" ref="AA399">iferror(index(J:J,match($A399&amp;","&amp;index('Year Conversion'!$A:$A,match($C399,'Year Conversion'!$B:$B,0)),$Y:$Y,0))-J399,"")</f>
        <v/>
      </c>
      <c r="AB399" s="168" t="str">
        <f t="array" ref="AB399">iferror(index(K:K,match($A399&amp;","&amp;index('Year Conversion'!$A:$A,match($C399,'Year Conversion'!$B:$B,0)),$Y:$Y,0))-K399,"")</f>
        <v/>
      </c>
      <c r="AC399" s="168" t="str">
        <f t="shared" si="7"/>
        <v>PHI,2013-14</v>
      </c>
    </row>
    <row r="400">
      <c r="A400" s="161" t="str">
        <f>IFERROR(__xludf.DUMMYFUNCTION("""COMPUTED_VALUE"""),"hummero01")</f>
        <v>hummero01</v>
      </c>
      <c r="B400" s="161" t="str">
        <f>IFERROR(__xludf.DUMMYFUNCTION("""COMPUTED_VALUE"""),"Robbie Hummel")</f>
        <v>Robbie Hummel</v>
      </c>
      <c r="C400" s="162" t="str">
        <f>IFERROR(__xludf.DUMMYFUNCTION("""COMPUTED_VALUE"""),"2013-14")</f>
        <v>2013-14</v>
      </c>
      <c r="D400" s="163" t="str">
        <f>IFERROR(__xludf.DUMMYFUNCTION("""COMPUTED_VALUE"""),"MIN")</f>
        <v>MIN</v>
      </c>
      <c r="E400" s="164" t="str">
        <f>IFERROR(__xludf.DUMMYFUNCTION("""COMPUTED_VALUE"""),"Stationary Shooter")</f>
        <v>Stationary Shooter</v>
      </c>
      <c r="F400" s="164">
        <f>IFERROR(__xludf.DUMMYFUNCTION("""COMPUTED_VALUE"""),655.153333333334)</f>
        <v>655.1533333</v>
      </c>
      <c r="G400" s="163">
        <f>IFERROR(__xludf.DUMMYFUNCTION("""COMPUTED_VALUE"""),53.0)</f>
        <v>53</v>
      </c>
      <c r="H400" s="163" t="str">
        <f>IFERROR(__xludf.DUMMYFUNCTION("""COMPUTED_VALUE"""),"SF")</f>
        <v>SF</v>
      </c>
      <c r="I400" s="163">
        <f>IFERROR(__xludf.DUMMYFUNCTION("""COMPUTED_VALUE"""),24.0)</f>
        <v>24</v>
      </c>
      <c r="J400" s="165">
        <f>IFERROR(__xludf.DUMMYFUNCTION("""COMPUTED_VALUE"""),-1.2130689844842)</f>
        <v>-1.213068984</v>
      </c>
      <c r="K400" s="165">
        <f>IFERROR(__xludf.DUMMYFUNCTION("""COMPUTED_VALUE"""),-0.583928214133871)</f>
        <v>-0.5839282141</v>
      </c>
      <c r="L400" s="165">
        <f>IFERROR(__xludf.DUMMYFUNCTION("""COMPUTED_VALUE"""),-0.629140770350325)</f>
        <v>-0.6291407704</v>
      </c>
      <c r="M400" s="166">
        <f t="shared" si="2"/>
        <v>0.4753109123</v>
      </c>
      <c r="N400" s="167">
        <f t="shared" si="3"/>
        <v>12.36138365</v>
      </c>
      <c r="O400" s="163">
        <f t="shared" ref="O400:Q400" si="404">rank(I400,I:I)</f>
        <v>2361</v>
      </c>
      <c r="P400" s="163">
        <f t="shared" si="404"/>
        <v>2762</v>
      </c>
      <c r="Q400" s="163">
        <f t="shared" si="404"/>
        <v>2237</v>
      </c>
      <c r="R400" s="163">
        <f>IFERROR(__xludf.DUMMYFUNCTION("RANK(M400,filter(M:M,C:C=C400))"),279.0)</f>
        <v>279</v>
      </c>
      <c r="S400" s="161" t="b">
        <f t="shared" si="5"/>
        <v>0</v>
      </c>
      <c r="T400" s="161" t="b">
        <f t="array" ref="T400">index('Query Tool'!B:B,match(H400,'Query Tool'!C:C,0))</f>
        <v>1</v>
      </c>
      <c r="U400" s="161" t="b">
        <f t="array" ref="U400">index('Query Tool'!B:B,match(C400,'Query Tool'!C:C,0))</f>
        <v>0</v>
      </c>
      <c r="V400" s="161" t="b">
        <f>F400&gt;='Query Tool'!C$32</f>
        <v>1</v>
      </c>
      <c r="W400" s="161" t="b">
        <f t="array" ref="W400">index(Dropdowns!B:B,match(I400,Dropdowns!A:A,0))</f>
        <v>1</v>
      </c>
      <c r="X400" s="161" t="b">
        <f t="array" ref="X400">index('Query Tool'!B:B,match(D400,'Query Tool'!C:C,0))</f>
        <v>1</v>
      </c>
      <c r="Y400" s="161" t="str">
        <f t="shared" si="6"/>
        <v>hummero01,2013-14</v>
      </c>
      <c r="Z400" s="168">
        <f t="array" ref="Z400">iferror(index(I:I,match($A400&amp;","&amp;index('Year Conversion'!$A:$A,match($C400,'Year Conversion'!$B:$B,0)),$Y:$Y,0))-I400,"")</f>
        <v>1</v>
      </c>
      <c r="AA400" s="168">
        <f t="array" ref="AA400">iferror(index(J:J,match($A400&amp;","&amp;index('Year Conversion'!$A:$A,match($C400,'Year Conversion'!$B:$B,0)),$Y:$Y,0))-J400,"")</f>
        <v>-0.6278397507</v>
      </c>
      <c r="AB400" s="168">
        <f t="array" ref="AB400">iferror(index(K:K,match($A400&amp;","&amp;index('Year Conversion'!$A:$A,match($C400,'Year Conversion'!$B:$B,0)),$Y:$Y,0))-K400,"")</f>
        <v>-0.4641033413</v>
      </c>
      <c r="AC400" s="168" t="str">
        <f t="shared" si="7"/>
        <v>MIN,2013-14</v>
      </c>
    </row>
    <row r="401">
      <c r="A401" s="161" t="str">
        <f>IFERROR(__xludf.DUMMYFUNCTION("""COMPUTED_VALUE"""),"sacrero01")</f>
        <v>sacrero01</v>
      </c>
      <c r="B401" s="161" t="str">
        <f>IFERROR(__xludf.DUMMYFUNCTION("""COMPUTED_VALUE"""),"Robert Sacre")</f>
        <v>Robert Sacre</v>
      </c>
      <c r="C401" s="162" t="str">
        <f>IFERROR(__xludf.DUMMYFUNCTION("""COMPUTED_VALUE"""),"2013-14")</f>
        <v>2013-14</v>
      </c>
      <c r="D401" s="163" t="str">
        <f>IFERROR(__xludf.DUMMYFUNCTION("""COMPUTED_VALUE"""),"LAL")</f>
        <v>LAL</v>
      </c>
      <c r="E401" s="164" t="str">
        <f>IFERROR(__xludf.DUMMYFUNCTION("""COMPUTED_VALUE"""),"Roll + Cut Big")</f>
        <v>Roll + Cut Big</v>
      </c>
      <c r="F401" s="164">
        <f>IFERROR(__xludf.DUMMYFUNCTION("""COMPUTED_VALUE"""),1088.8)</f>
        <v>1088.8</v>
      </c>
      <c r="G401" s="163">
        <f>IFERROR(__xludf.DUMMYFUNCTION("""COMPUTED_VALUE"""),65.0)</f>
        <v>65</v>
      </c>
      <c r="H401" s="163" t="str">
        <f>IFERROR(__xludf.DUMMYFUNCTION("""COMPUTED_VALUE"""),"C")</f>
        <v>C</v>
      </c>
      <c r="I401" s="163">
        <f>IFERROR(__xludf.DUMMYFUNCTION("""COMPUTED_VALUE"""),24.0)</f>
        <v>24</v>
      </c>
      <c r="J401" s="165">
        <f>IFERROR(__xludf.DUMMYFUNCTION("""COMPUTED_VALUE"""),-2.02326704302757)</f>
        <v>-2.023267043</v>
      </c>
      <c r="K401" s="165">
        <f>IFERROR(__xludf.DUMMYFUNCTION("""COMPUTED_VALUE"""),-2.55046415591209)</f>
        <v>-2.550464156</v>
      </c>
      <c r="L401" s="165">
        <f>IFERROR(__xludf.DUMMYFUNCTION("""COMPUTED_VALUE"""),0.527197112884521)</f>
        <v>0.5271971129</v>
      </c>
      <c r="M401" s="166">
        <f t="shared" si="2"/>
        <v>0.2017604089</v>
      </c>
      <c r="N401" s="167">
        <f t="shared" si="3"/>
        <v>16.75076923</v>
      </c>
      <c r="O401" s="163">
        <f t="shared" ref="O401:Q401" si="405">rank(I401,I:I)</f>
        <v>2361</v>
      </c>
      <c r="P401" s="163">
        <f t="shared" si="405"/>
        <v>3497</v>
      </c>
      <c r="Q401" s="163">
        <f t="shared" si="405"/>
        <v>3902</v>
      </c>
      <c r="R401" s="163">
        <f>IFERROR(__xludf.DUMMYFUNCTION("RANK(M401,filter(M:M,C:C=C401))"),322.0)</f>
        <v>322</v>
      </c>
      <c r="S401" s="161" t="b">
        <f t="shared" si="5"/>
        <v>0</v>
      </c>
      <c r="T401" s="161" t="b">
        <f t="array" ref="T401">index('Query Tool'!B:B,match(H401,'Query Tool'!C:C,0))</f>
        <v>1</v>
      </c>
      <c r="U401" s="161" t="b">
        <f t="array" ref="U401">index('Query Tool'!B:B,match(C401,'Query Tool'!C:C,0))</f>
        <v>0</v>
      </c>
      <c r="V401" s="161" t="b">
        <f>F401&gt;='Query Tool'!C$32</f>
        <v>1</v>
      </c>
      <c r="W401" s="161" t="b">
        <f t="array" ref="W401">index(Dropdowns!B:B,match(I401,Dropdowns!A:A,0))</f>
        <v>1</v>
      </c>
      <c r="X401" s="161" t="b">
        <f t="array" ref="X401">index('Query Tool'!B:B,match(D401,'Query Tool'!C:C,0))</f>
        <v>1</v>
      </c>
      <c r="Y401" s="161" t="str">
        <f t="shared" si="6"/>
        <v>sacrero01,2013-14</v>
      </c>
      <c r="Z401" s="168">
        <f t="array" ref="Z401">iferror(index(I:I,match($A401&amp;","&amp;index('Year Conversion'!$A:$A,match($C401,'Year Conversion'!$B:$B,0)),$Y:$Y,0))-I401,"")</f>
        <v>1</v>
      </c>
      <c r="AA401" s="168">
        <f t="array" ref="AA401">iferror(index(J:J,match($A401&amp;","&amp;index('Year Conversion'!$A:$A,match($C401,'Year Conversion'!$B:$B,0)),$Y:$Y,0))-J401,"")</f>
        <v>-0.1436940042</v>
      </c>
      <c r="AB401" s="168">
        <f t="array" ref="AB401">iferror(index(K:K,match($A401&amp;","&amp;index('Year Conversion'!$A:$A,match($C401,'Year Conversion'!$B:$B,0)),$Y:$Y,0))-K401,"")</f>
        <v>0.1844772505</v>
      </c>
      <c r="AC401" s="168" t="str">
        <f t="shared" si="7"/>
        <v>LAL,2013-14</v>
      </c>
    </row>
    <row r="402">
      <c r="A402" s="161" t="str">
        <f>IFERROR(__xludf.DUMMYFUNCTION("""COMPUTED_VALUE"""),"kuzmiog01")</f>
        <v>kuzmiog01</v>
      </c>
      <c r="B402" s="161" t="str">
        <f>IFERROR(__xludf.DUMMYFUNCTION("""COMPUTED_VALUE"""),"Ognjen Kuzmic")</f>
        <v>Ognjen Kuzmic</v>
      </c>
      <c r="C402" s="162" t="str">
        <f>IFERROR(__xludf.DUMMYFUNCTION("""COMPUTED_VALUE"""),"2013-14")</f>
        <v>2013-14</v>
      </c>
      <c r="D402" s="163" t="str">
        <f>IFERROR(__xludf.DUMMYFUNCTION("""COMPUTED_VALUE"""),"GSW")</f>
        <v>GSW</v>
      </c>
      <c r="E402" s="164" t="str">
        <f>IFERROR(__xludf.DUMMYFUNCTION("""COMPUTED_VALUE"""),"Post Scorer")</f>
        <v>Post Scorer</v>
      </c>
      <c r="F402" s="164">
        <f>IFERROR(__xludf.DUMMYFUNCTION("""COMPUTED_VALUE"""),92.4666666666667)</f>
        <v>92.46666667</v>
      </c>
      <c r="G402" s="163">
        <f>IFERROR(__xludf.DUMMYFUNCTION("""COMPUTED_VALUE"""),21.0)</f>
        <v>21</v>
      </c>
      <c r="H402" s="163" t="str">
        <f>IFERROR(__xludf.DUMMYFUNCTION("""COMPUTED_VALUE"""),"C")</f>
        <v>C</v>
      </c>
      <c r="I402" s="163">
        <f>IFERROR(__xludf.DUMMYFUNCTION("""COMPUTED_VALUE"""),23.0)</f>
        <v>23</v>
      </c>
      <c r="J402" s="165">
        <f>IFERROR(__xludf.DUMMYFUNCTION("""COMPUTED_VALUE"""),-1.69980706146785)</f>
        <v>-1.699807061</v>
      </c>
      <c r="K402" s="165">
        <f>IFERROR(__xludf.DUMMYFUNCTION("""COMPUTED_VALUE"""),-1.02671415282027)</f>
        <v>-1.026714153</v>
      </c>
      <c r="L402" s="165">
        <f>IFERROR(__xludf.DUMMYFUNCTION("""COMPUTED_VALUE"""),-0.673092908647577)</f>
        <v>-0.6730929086</v>
      </c>
      <c r="M402" s="166">
        <f t="shared" si="2"/>
        <v>0.03700995587</v>
      </c>
      <c r="N402" s="167">
        <f t="shared" si="3"/>
        <v>4.403174603</v>
      </c>
      <c r="O402" s="163">
        <f t="shared" ref="O402:Q402" si="406">rank(I402,I:I)</f>
        <v>2765</v>
      </c>
      <c r="P402" s="163">
        <f t="shared" si="406"/>
        <v>3239</v>
      </c>
      <c r="Q402" s="163">
        <f t="shared" si="406"/>
        <v>2836</v>
      </c>
      <c r="R402" s="163">
        <f>IFERROR(__xludf.DUMMYFUNCTION("RANK(M402,filter(M:M,C:C=C402))"),398.0)</f>
        <v>398</v>
      </c>
      <c r="S402" s="161" t="b">
        <f t="shared" si="5"/>
        <v>0</v>
      </c>
      <c r="T402" s="161" t="b">
        <f t="array" ref="T402">index('Query Tool'!B:B,match(H402,'Query Tool'!C:C,0))</f>
        <v>1</v>
      </c>
      <c r="U402" s="161" t="b">
        <f t="array" ref="U402">index('Query Tool'!B:B,match(C402,'Query Tool'!C:C,0))</f>
        <v>0</v>
      </c>
      <c r="V402" s="161" t="b">
        <f>F402&gt;='Query Tool'!C$32</f>
        <v>0</v>
      </c>
      <c r="W402" s="161" t="b">
        <f t="array" ref="W402">index(Dropdowns!B:B,match(I402,Dropdowns!A:A,0))</f>
        <v>1</v>
      </c>
      <c r="X402" s="161" t="b">
        <f t="array" ref="X402">index('Query Tool'!B:B,match(D402,'Query Tool'!C:C,0))</f>
        <v>1</v>
      </c>
      <c r="Y402" s="161" t="str">
        <f t="shared" si="6"/>
        <v>kuzmiog01,2013-14</v>
      </c>
      <c r="Z402" s="168">
        <f t="array" ref="Z402">iferror(index(I:I,match($A402&amp;","&amp;index('Year Conversion'!$A:$A,match($C402,'Year Conversion'!$B:$B,0)),$Y:$Y,0))-I402,"")</f>
        <v>1</v>
      </c>
      <c r="AA402" s="168">
        <f t="array" ref="AA402">iferror(index(J:J,match($A402&amp;","&amp;index('Year Conversion'!$A:$A,match($C402,'Year Conversion'!$B:$B,0)),$Y:$Y,0))-J402,"")</f>
        <v>-0.4968854364</v>
      </c>
      <c r="AB402" s="168">
        <f t="array" ref="AB402">iferror(index(K:K,match($A402&amp;","&amp;index('Year Conversion'!$A:$A,match($C402,'Year Conversion'!$B:$B,0)),$Y:$Y,0))-K402,"")</f>
        <v>-0.007790231225</v>
      </c>
      <c r="AC402" s="168" t="str">
        <f t="shared" si="7"/>
        <v>GSW,2013-14</v>
      </c>
    </row>
    <row r="403">
      <c r="A403" s="161" t="str">
        <f>IFERROR(__xludf.DUMMYFUNCTION("""COMPUTED_VALUE"""),"thompho01")</f>
        <v>thompho01</v>
      </c>
      <c r="B403" s="161" t="str">
        <f>IFERROR(__xludf.DUMMYFUNCTION("""COMPUTED_VALUE"""),"Hollis Thompson")</f>
        <v>Hollis Thompson</v>
      </c>
      <c r="C403" s="162" t="str">
        <f>IFERROR(__xludf.DUMMYFUNCTION("""COMPUTED_VALUE"""),"2013-14")</f>
        <v>2013-14</v>
      </c>
      <c r="D403" s="163" t="str">
        <f>IFERROR(__xludf.DUMMYFUNCTION("""COMPUTED_VALUE"""),"PHI")</f>
        <v>PHI</v>
      </c>
      <c r="E403" s="164" t="str">
        <f>IFERROR(__xludf.DUMMYFUNCTION("""COMPUTED_VALUE"""),"Athletic Finisher")</f>
        <v>Athletic Finisher</v>
      </c>
      <c r="F403" s="164">
        <f>IFERROR(__xludf.DUMMYFUNCTION("""COMPUTED_VALUE"""),1741.695)</f>
        <v>1741.695</v>
      </c>
      <c r="G403" s="163">
        <f>IFERROR(__xludf.DUMMYFUNCTION("""COMPUTED_VALUE"""),77.0)</f>
        <v>77</v>
      </c>
      <c r="H403" s="163" t="str">
        <f>IFERROR(__xludf.DUMMYFUNCTION("""COMPUTED_VALUE"""),"SF")</f>
        <v>SF</v>
      </c>
      <c r="I403" s="163">
        <f>IFERROR(__xludf.DUMMYFUNCTION("""COMPUTED_VALUE"""),22.0)</f>
        <v>22</v>
      </c>
      <c r="J403" s="165">
        <f>IFERROR(__xludf.DUMMYFUNCTION("""COMPUTED_VALUE"""),-3.5296219891109)</f>
        <v>-3.529621989</v>
      </c>
      <c r="K403" s="165">
        <f>IFERROR(__xludf.DUMMYFUNCTION("""COMPUTED_VALUE"""),-2.08266501706923)</f>
        <v>-2.082665017</v>
      </c>
      <c r="L403" s="165">
        <f>IFERROR(__xludf.DUMMYFUNCTION("""COMPUTED_VALUE"""),-1.44695697204167)</f>
        <v>-1.446956972</v>
      </c>
      <c r="M403" s="166">
        <f t="shared" si="2"/>
        <v>-1.389211649</v>
      </c>
      <c r="N403" s="167">
        <f t="shared" si="3"/>
        <v>22.61941558</v>
      </c>
      <c r="O403" s="163">
        <f t="shared" ref="O403:Q403" si="407">rank(I403,I:I)</f>
        <v>3178</v>
      </c>
      <c r="P403" s="163">
        <f t="shared" si="407"/>
        <v>3966</v>
      </c>
      <c r="Q403" s="163">
        <f t="shared" si="407"/>
        <v>3754</v>
      </c>
      <c r="R403" s="163">
        <f>IFERROR(__xludf.DUMMYFUNCTION("RANK(M403,filter(M:M,C:C=C403))"),480.0)</f>
        <v>480</v>
      </c>
      <c r="S403" s="161" t="b">
        <f t="shared" si="5"/>
        <v>0</v>
      </c>
      <c r="T403" s="161" t="b">
        <f t="array" ref="T403">index('Query Tool'!B:B,match(H403,'Query Tool'!C:C,0))</f>
        <v>1</v>
      </c>
      <c r="U403" s="161" t="b">
        <f t="array" ref="U403">index('Query Tool'!B:B,match(C403,'Query Tool'!C:C,0))</f>
        <v>0</v>
      </c>
      <c r="V403" s="161" t="b">
        <f>F403&gt;='Query Tool'!C$32</f>
        <v>1</v>
      </c>
      <c r="W403" s="161" t="b">
        <f t="array" ref="W403">index(Dropdowns!B:B,match(I403,Dropdowns!A:A,0))</f>
        <v>1</v>
      </c>
      <c r="X403" s="161" t="b">
        <f t="array" ref="X403">index('Query Tool'!B:B,match(D403,'Query Tool'!C:C,0))</f>
        <v>1</v>
      </c>
      <c r="Y403" s="161" t="str">
        <f t="shared" si="6"/>
        <v>thompho01,2013-14</v>
      </c>
      <c r="Z403" s="168">
        <f t="array" ref="Z403">iferror(index(I:I,match($A403&amp;","&amp;index('Year Conversion'!$A:$A,match($C403,'Year Conversion'!$B:$B,0)),$Y:$Y,0))-I403,"")</f>
        <v>1</v>
      </c>
      <c r="AA403" s="168">
        <f t="array" ref="AA403">iferror(index(J:J,match($A403&amp;","&amp;index('Year Conversion'!$A:$A,match($C403,'Year Conversion'!$B:$B,0)),$Y:$Y,0))-J403,"")</f>
        <v>0.1028362084</v>
      </c>
      <c r="AB403" s="168">
        <f t="array" ref="AB403">iferror(index(K:K,match($A403&amp;","&amp;index('Year Conversion'!$A:$A,match($C403,'Year Conversion'!$B:$B,0)),$Y:$Y,0))-K403,"")</f>
        <v>-0.03281660387</v>
      </c>
      <c r="AC403" s="168" t="str">
        <f t="shared" si="7"/>
        <v>PHI,2013-14</v>
      </c>
    </row>
    <row r="404">
      <c r="A404" s="161" t="str">
        <f>IFERROR(__xludf.DUMMYFUNCTION("""COMPUTED_VALUE"""),"kravtvi01")</f>
        <v>kravtvi01</v>
      </c>
      <c r="B404" s="161" t="str">
        <f>IFERROR(__xludf.DUMMYFUNCTION("""COMPUTED_VALUE"""),"Viacheslav Kravtsov")</f>
        <v>Viacheslav Kravtsov</v>
      </c>
      <c r="C404" s="162" t="str">
        <f>IFERROR(__xludf.DUMMYFUNCTION("""COMPUTED_VALUE"""),"2013-14")</f>
        <v>2013-14</v>
      </c>
      <c r="D404" s="163" t="str">
        <f>IFERROR(__xludf.DUMMYFUNCTION("""COMPUTED_VALUE"""),"PHO")</f>
        <v>PHO</v>
      </c>
      <c r="E404" s="164" t="str">
        <f>IFERROR(__xludf.DUMMYFUNCTION("""COMPUTED_VALUE"""),"Post Scorer")</f>
        <v>Post Scorer</v>
      </c>
      <c r="F404" s="164">
        <f>IFERROR(__xludf.DUMMYFUNCTION("""COMPUTED_VALUE"""),59.4666666666667)</f>
        <v>59.46666667</v>
      </c>
      <c r="G404" s="163">
        <f>IFERROR(__xludf.DUMMYFUNCTION("""COMPUTED_VALUE"""),20.0)</f>
        <v>20</v>
      </c>
      <c r="H404" s="163" t="str">
        <f>IFERROR(__xludf.DUMMYFUNCTION("""COMPUTED_VALUE"""),"C")</f>
        <v>C</v>
      </c>
      <c r="I404" s="163">
        <f>IFERROR(__xludf.DUMMYFUNCTION("""COMPUTED_VALUE"""),26.0)</f>
        <v>26</v>
      </c>
      <c r="J404" s="165">
        <f>IFERROR(__xludf.DUMMYFUNCTION("""COMPUTED_VALUE"""),-1.06620244855096)</f>
        <v>-1.066202449</v>
      </c>
      <c r="K404" s="165">
        <f>IFERROR(__xludf.DUMMYFUNCTION("""COMPUTED_VALUE"""),-0.351272779287461)</f>
        <v>-0.3512727793</v>
      </c>
      <c r="L404" s="165">
        <f>IFERROR(__xludf.DUMMYFUNCTION("""COMPUTED_VALUE"""),-0.714929669263494)</f>
        <v>-0.7149296693</v>
      </c>
      <c r="M404" s="166">
        <f t="shared" si="2"/>
        <v>0.0489991572</v>
      </c>
      <c r="N404" s="167">
        <f t="shared" si="3"/>
        <v>2.973333333</v>
      </c>
      <c r="O404" s="163">
        <f t="shared" ref="O404:Q404" si="408">rank(I404,I:I)</f>
        <v>1665</v>
      </c>
      <c r="P404" s="163">
        <f t="shared" si="408"/>
        <v>2572</v>
      </c>
      <c r="Q404" s="163">
        <f t="shared" si="408"/>
        <v>1854</v>
      </c>
      <c r="R404" s="163">
        <f>IFERROR(__xludf.DUMMYFUNCTION("RANK(M404,filter(M:M,C:C=C404))"),390.0)</f>
        <v>390</v>
      </c>
      <c r="S404" s="161" t="b">
        <f t="shared" si="5"/>
        <v>0</v>
      </c>
      <c r="T404" s="161" t="b">
        <f t="array" ref="T404">index('Query Tool'!B:B,match(H404,'Query Tool'!C:C,0))</f>
        <v>1</v>
      </c>
      <c r="U404" s="161" t="b">
        <f t="array" ref="U404">index('Query Tool'!B:B,match(C404,'Query Tool'!C:C,0))</f>
        <v>0</v>
      </c>
      <c r="V404" s="161" t="b">
        <f>F404&gt;='Query Tool'!C$32</f>
        <v>0</v>
      </c>
      <c r="W404" s="161" t="b">
        <f t="array" ref="W404">index(Dropdowns!B:B,match(I404,Dropdowns!A:A,0))</f>
        <v>1</v>
      </c>
      <c r="X404" s="161" t="b">
        <f t="array" ref="X404">index('Query Tool'!B:B,match(D404,'Query Tool'!C:C,0))</f>
        <v>1</v>
      </c>
      <c r="Y404" s="161" t="str">
        <f t="shared" si="6"/>
        <v>kravtvi01,2013-14</v>
      </c>
      <c r="Z404" s="168" t="str">
        <f t="array" ref="Z404">iferror(index(I:I,match($A404&amp;","&amp;index('Year Conversion'!$A:$A,match($C404,'Year Conversion'!$B:$B,0)),$Y:$Y,0))-I404,"")</f>
        <v/>
      </c>
      <c r="AA404" s="168" t="str">
        <f t="array" ref="AA404">iferror(index(J:J,match($A404&amp;","&amp;index('Year Conversion'!$A:$A,match($C404,'Year Conversion'!$B:$B,0)),$Y:$Y,0))-J404,"")</f>
        <v/>
      </c>
      <c r="AB404" s="168" t="str">
        <f t="array" ref="AB404">iferror(index(K:K,match($A404&amp;","&amp;index('Year Conversion'!$A:$A,match($C404,'Year Conversion'!$B:$B,0)),$Y:$Y,0))-K404,"")</f>
        <v/>
      </c>
      <c r="AC404" s="168" t="str">
        <f t="shared" si="7"/>
        <v>PHO,2013-14</v>
      </c>
    </row>
    <row r="405">
      <c r="A405" s="161" t="str">
        <f>IFERROR(__xludf.DUMMYFUNCTION("""COMPUTED_VALUE"""),"teletmi01")</f>
        <v>teletmi01</v>
      </c>
      <c r="B405" s="161" t="str">
        <f>IFERROR(__xludf.DUMMYFUNCTION("""COMPUTED_VALUE"""),"Mirza Teletovic")</f>
        <v>Mirza Teletovic</v>
      </c>
      <c r="C405" s="162" t="str">
        <f>IFERROR(__xludf.DUMMYFUNCTION("""COMPUTED_VALUE"""),"2013-14")</f>
        <v>2013-14</v>
      </c>
      <c r="D405" s="163" t="str">
        <f>IFERROR(__xludf.DUMMYFUNCTION("""COMPUTED_VALUE"""),"BRK")</f>
        <v>BRK</v>
      </c>
      <c r="E405" s="164" t="str">
        <f>IFERROR(__xludf.DUMMYFUNCTION("""COMPUTED_VALUE"""),"Movement Shooter")</f>
        <v>Movement Shooter</v>
      </c>
      <c r="F405" s="164">
        <f>IFERROR(__xludf.DUMMYFUNCTION("""COMPUTED_VALUE"""),1395.58833333333)</f>
        <v>1395.588333</v>
      </c>
      <c r="G405" s="163">
        <f>IFERROR(__xludf.DUMMYFUNCTION("""COMPUTED_VALUE"""),72.0)</f>
        <v>72</v>
      </c>
      <c r="H405" s="163" t="str">
        <f>IFERROR(__xludf.DUMMYFUNCTION("""COMPUTED_VALUE"""),"SF")</f>
        <v>SF</v>
      </c>
      <c r="I405" s="163">
        <f>IFERROR(__xludf.DUMMYFUNCTION("""COMPUTED_VALUE"""),28.0)</f>
        <v>28</v>
      </c>
      <c r="J405" s="165">
        <f>IFERROR(__xludf.DUMMYFUNCTION("""COMPUTED_VALUE"""),-0.955776552184805)</f>
        <v>-0.9557765522</v>
      </c>
      <c r="K405" s="165">
        <f>IFERROR(__xludf.DUMMYFUNCTION("""COMPUTED_VALUE"""),1.15255447996816)</f>
        <v>1.15255448</v>
      </c>
      <c r="L405" s="165">
        <f>IFERROR(__xludf.DUMMYFUNCTION("""COMPUTED_VALUE"""),-2.10833103215296)</f>
        <v>-2.108331032</v>
      </c>
      <c r="M405" s="166">
        <f t="shared" si="2"/>
        <v>1.253389519</v>
      </c>
      <c r="N405" s="167">
        <f t="shared" si="3"/>
        <v>19.3831713</v>
      </c>
      <c r="O405" s="163">
        <f t="shared" ref="O405:Q405" si="409">rank(I405,I:I)</f>
        <v>1090</v>
      </c>
      <c r="P405" s="163">
        <f t="shared" si="409"/>
        <v>2458</v>
      </c>
      <c r="Q405" s="163">
        <f t="shared" si="409"/>
        <v>433</v>
      </c>
      <c r="R405" s="163">
        <f>IFERROR(__xludf.DUMMYFUNCTION("RANK(M405,filter(M:M,C:C=C405))"),206.0)</f>
        <v>206</v>
      </c>
      <c r="S405" s="161" t="b">
        <f t="shared" si="5"/>
        <v>0</v>
      </c>
      <c r="T405" s="161" t="b">
        <f t="array" ref="T405">index('Query Tool'!B:B,match(H405,'Query Tool'!C:C,0))</f>
        <v>1</v>
      </c>
      <c r="U405" s="161" t="b">
        <f t="array" ref="U405">index('Query Tool'!B:B,match(C405,'Query Tool'!C:C,0))</f>
        <v>0</v>
      </c>
      <c r="V405" s="161" t="b">
        <f>F405&gt;='Query Tool'!C$32</f>
        <v>1</v>
      </c>
      <c r="W405" s="161" t="b">
        <f t="array" ref="W405">index(Dropdowns!B:B,match(I405,Dropdowns!A:A,0))</f>
        <v>1</v>
      </c>
      <c r="X405" s="161" t="b">
        <f t="array" ref="X405">index('Query Tool'!B:B,match(D405,'Query Tool'!C:C,0))</f>
        <v>1</v>
      </c>
      <c r="Y405" s="161" t="str">
        <f t="shared" si="6"/>
        <v>teletmi01,2013-14</v>
      </c>
      <c r="Z405" s="168">
        <f t="array" ref="Z405">iferror(index(I:I,match($A405&amp;","&amp;index('Year Conversion'!$A:$A,match($C405,'Year Conversion'!$B:$B,0)),$Y:$Y,0))-I405,"")</f>
        <v>1</v>
      </c>
      <c r="AA405" s="168">
        <f t="array" ref="AA405">iferror(index(J:J,match($A405&amp;","&amp;index('Year Conversion'!$A:$A,match($C405,'Year Conversion'!$B:$B,0)),$Y:$Y,0))-J405,"")</f>
        <v>0.9014193046</v>
      </c>
      <c r="AB405" s="168">
        <f t="array" ref="AB405">iferror(index(K:K,match($A405&amp;","&amp;index('Year Conversion'!$A:$A,match($C405,'Year Conversion'!$B:$B,0)),$Y:$Y,0))-K405,"")</f>
        <v>-1.498405259</v>
      </c>
      <c r="AC405" s="168" t="str">
        <f t="shared" si="7"/>
        <v>BRK,2013-14</v>
      </c>
    </row>
    <row r="406">
      <c r="A406" s="161" t="str">
        <f>IFERROR(__xludf.DUMMYFUNCTION("""COMPUTED_VALUE"""),"copelch01")</f>
        <v>copelch01</v>
      </c>
      <c r="B406" s="161" t="str">
        <f>IFERROR(__xludf.DUMMYFUNCTION("""COMPUTED_VALUE"""),"Chris Copeland")</f>
        <v>Chris Copeland</v>
      </c>
      <c r="C406" s="162" t="str">
        <f>IFERROR(__xludf.DUMMYFUNCTION("""COMPUTED_VALUE"""),"2013-14")</f>
        <v>2013-14</v>
      </c>
      <c r="D406" s="163" t="str">
        <f>IFERROR(__xludf.DUMMYFUNCTION("""COMPUTED_VALUE"""),"IND")</f>
        <v>IND</v>
      </c>
      <c r="E406" s="164" t="str">
        <f>IFERROR(__xludf.DUMMYFUNCTION("""COMPUTED_VALUE"""),"Stationary Shooter")</f>
        <v>Stationary Shooter</v>
      </c>
      <c r="F406" s="164">
        <f>IFERROR(__xludf.DUMMYFUNCTION("""COMPUTED_VALUE"""),264.61)</f>
        <v>264.61</v>
      </c>
      <c r="G406" s="163">
        <f>IFERROR(__xludf.DUMMYFUNCTION("""COMPUTED_VALUE"""),41.0)</f>
        <v>41</v>
      </c>
      <c r="H406" s="163" t="str">
        <f>IFERROR(__xludf.DUMMYFUNCTION("""COMPUTED_VALUE"""),"SF")</f>
        <v>SF</v>
      </c>
      <c r="I406" s="163">
        <f>IFERROR(__xludf.DUMMYFUNCTION("""COMPUTED_VALUE"""),29.0)</f>
        <v>29</v>
      </c>
      <c r="J406" s="165">
        <f>IFERROR(__xludf.DUMMYFUNCTION("""COMPUTED_VALUE"""),-0.483075477431015)</f>
        <v>-0.4830754774</v>
      </c>
      <c r="K406" s="165">
        <f>IFERROR(__xludf.DUMMYFUNCTION("""COMPUTED_VALUE"""),1.0091184241208)</f>
        <v>1.009118424</v>
      </c>
      <c r="L406" s="165">
        <f>IFERROR(__xludf.DUMMYFUNCTION("""COMPUTED_VALUE"""),-1.49219390155181)</f>
        <v>-1.492193902</v>
      </c>
      <c r="M406" s="166">
        <f t="shared" si="2"/>
        <v>0.3217889504</v>
      </c>
      <c r="N406" s="167">
        <f t="shared" si="3"/>
        <v>6.453902439</v>
      </c>
      <c r="O406" s="163">
        <f t="shared" ref="O406:Q406" si="410">rank(I406,I:I)</f>
        <v>855</v>
      </c>
      <c r="P406" s="163">
        <f t="shared" si="410"/>
        <v>1829</v>
      </c>
      <c r="Q406" s="163">
        <f t="shared" si="410"/>
        <v>501</v>
      </c>
      <c r="R406" s="163">
        <f>IFERROR(__xludf.DUMMYFUNCTION("RANK(M406,filter(M:M,C:C=C406))"),296.0)</f>
        <v>296</v>
      </c>
      <c r="S406" s="161" t="b">
        <f t="shared" si="5"/>
        <v>0</v>
      </c>
      <c r="T406" s="161" t="b">
        <f t="array" ref="T406">index('Query Tool'!B:B,match(H406,'Query Tool'!C:C,0))</f>
        <v>1</v>
      </c>
      <c r="U406" s="161" t="b">
        <f t="array" ref="U406">index('Query Tool'!B:B,match(C406,'Query Tool'!C:C,0))</f>
        <v>0</v>
      </c>
      <c r="V406" s="161" t="b">
        <f>F406&gt;='Query Tool'!C$32</f>
        <v>0</v>
      </c>
      <c r="W406" s="161" t="b">
        <f t="array" ref="W406">index(Dropdowns!B:B,match(I406,Dropdowns!A:A,0))</f>
        <v>1</v>
      </c>
      <c r="X406" s="161" t="b">
        <f t="array" ref="X406">index('Query Tool'!B:B,match(D406,'Query Tool'!C:C,0))</f>
        <v>1</v>
      </c>
      <c r="Y406" s="161" t="str">
        <f t="shared" si="6"/>
        <v>copelch01,2013-14</v>
      </c>
      <c r="Z406" s="168">
        <f t="array" ref="Z406">iferror(index(I:I,match($A406&amp;","&amp;index('Year Conversion'!$A:$A,match($C406,'Year Conversion'!$B:$B,0)),$Y:$Y,0))-I406,"")</f>
        <v>1</v>
      </c>
      <c r="AA406" s="168">
        <f t="array" ref="AA406">iferror(index(J:J,match($A406&amp;","&amp;index('Year Conversion'!$A:$A,match($C406,'Year Conversion'!$B:$B,0)),$Y:$Y,0))-J406,"")</f>
        <v>-1.626538765</v>
      </c>
      <c r="AB406" s="168">
        <f t="array" ref="AB406">iferror(index(K:K,match($A406&amp;","&amp;index('Year Conversion'!$A:$A,match($C406,'Year Conversion'!$B:$B,0)),$Y:$Y,0))-K406,"")</f>
        <v>-1.842894836</v>
      </c>
      <c r="AC406" s="168" t="str">
        <f t="shared" si="7"/>
        <v>IND,2013-14</v>
      </c>
    </row>
    <row r="407">
      <c r="A407" s="161" t="str">
        <f>IFERROR(__xludf.DUMMYFUNCTION("""COMPUTED_VALUE"""),"prigipa01")</f>
        <v>prigipa01</v>
      </c>
      <c r="B407" s="161" t="str">
        <f>IFERROR(__xludf.DUMMYFUNCTION("""COMPUTED_VALUE"""),"Pablo Prigioni")</f>
        <v>Pablo Prigioni</v>
      </c>
      <c r="C407" s="162" t="str">
        <f>IFERROR(__xludf.DUMMYFUNCTION("""COMPUTED_VALUE"""),"2013-14")</f>
        <v>2013-14</v>
      </c>
      <c r="D407" s="163" t="str">
        <f>IFERROR(__xludf.DUMMYFUNCTION("""COMPUTED_VALUE"""),"NYK")</f>
        <v>NYK</v>
      </c>
      <c r="E407" s="164" t="str">
        <f>IFERROR(__xludf.DUMMYFUNCTION("""COMPUTED_VALUE"""),"Primary Ball Handler")</f>
        <v>Primary Ball Handler</v>
      </c>
      <c r="F407" s="164">
        <f>IFERROR(__xludf.DUMMYFUNCTION("""COMPUTED_VALUE"""),1282.52333333333)</f>
        <v>1282.523333</v>
      </c>
      <c r="G407" s="163">
        <f>IFERROR(__xludf.DUMMYFUNCTION("""COMPUTED_VALUE"""),66.0)</f>
        <v>66</v>
      </c>
      <c r="H407" s="163" t="str">
        <f>IFERROR(__xludf.DUMMYFUNCTION("""COMPUTED_VALUE"""),"PG")</f>
        <v>PG</v>
      </c>
      <c r="I407" s="163">
        <f>IFERROR(__xludf.DUMMYFUNCTION("""COMPUTED_VALUE"""),36.0)</f>
        <v>36</v>
      </c>
      <c r="J407" s="165">
        <f>IFERROR(__xludf.DUMMYFUNCTION("""COMPUTED_VALUE"""),0.631087787990845)</f>
        <v>0.631087788</v>
      </c>
      <c r="K407" s="165">
        <f>IFERROR(__xludf.DUMMYFUNCTION("""COMPUTED_VALUE"""),0.0732465264838619)</f>
        <v>0.07324652648</v>
      </c>
      <c r="L407" s="165">
        <f>IFERROR(__xludf.DUMMYFUNCTION("""COMPUTED_VALUE"""),0.557841261506983)</f>
        <v>0.5578412615</v>
      </c>
      <c r="M407" s="166">
        <f t="shared" si="2"/>
        <v>2.522600762</v>
      </c>
      <c r="N407" s="167">
        <f t="shared" si="3"/>
        <v>19.43217172</v>
      </c>
      <c r="O407" s="163">
        <f t="shared" ref="O407:Q407" si="411">rank(I407,I:I)</f>
        <v>65</v>
      </c>
      <c r="P407" s="163">
        <f t="shared" si="411"/>
        <v>830</v>
      </c>
      <c r="Q407" s="163">
        <f t="shared" si="411"/>
        <v>1101</v>
      </c>
      <c r="R407" s="163">
        <f>IFERROR(__xludf.DUMMYFUNCTION("RANK(M407,filter(M:M,C:C=C407))"),131.0)</f>
        <v>131</v>
      </c>
      <c r="S407" s="161" t="b">
        <f t="shared" si="5"/>
        <v>0</v>
      </c>
      <c r="T407" s="161" t="b">
        <f t="array" ref="T407">index('Query Tool'!B:B,match(H407,'Query Tool'!C:C,0))</f>
        <v>1</v>
      </c>
      <c r="U407" s="161" t="b">
        <f t="array" ref="U407">index('Query Tool'!B:B,match(C407,'Query Tool'!C:C,0))</f>
        <v>0</v>
      </c>
      <c r="V407" s="161" t="b">
        <f>F407&gt;='Query Tool'!C$32</f>
        <v>1</v>
      </c>
      <c r="W407" s="161" t="b">
        <f t="array" ref="W407">index(Dropdowns!B:B,match(I407,Dropdowns!A:A,0))</f>
        <v>1</v>
      </c>
      <c r="X407" s="161" t="b">
        <f t="array" ref="X407">index('Query Tool'!B:B,match(D407,'Query Tool'!C:C,0))</f>
        <v>1</v>
      </c>
      <c r="Y407" s="161" t="str">
        <f t="shared" si="6"/>
        <v>prigipa01,2013-14</v>
      </c>
      <c r="Z407" s="168">
        <f t="array" ref="Z407">iferror(index(I:I,match($A407&amp;","&amp;index('Year Conversion'!$A:$A,match($C407,'Year Conversion'!$B:$B,0)),$Y:$Y,0))-I407,"")</f>
        <v>1</v>
      </c>
      <c r="AA407" s="168">
        <f t="array" ref="AA407">iferror(index(J:J,match($A407&amp;","&amp;index('Year Conversion'!$A:$A,match($C407,'Year Conversion'!$B:$B,0)),$Y:$Y,0))-J407,"")</f>
        <v>-0.153620662</v>
      </c>
      <c r="AB407" s="168">
        <f t="array" ref="AB407">iferror(index(K:K,match($A407&amp;","&amp;index('Year Conversion'!$A:$A,match($C407,'Year Conversion'!$B:$B,0)),$Y:$Y,0))-K407,"")</f>
        <v>0.09434539802</v>
      </c>
      <c r="AC407" s="168" t="str">
        <f t="shared" si="7"/>
        <v>NYK,2013-14</v>
      </c>
    </row>
    <row r="408">
      <c r="A408" s="161" t="str">
        <f>IFERROR(__xludf.DUMMYFUNCTION("""COMPUTED_VALUE"""),"shvedal01")</f>
        <v>shvedal01</v>
      </c>
      <c r="B408" s="161" t="str">
        <f>IFERROR(__xludf.DUMMYFUNCTION("""COMPUTED_VALUE"""),"Alexey Shved")</f>
        <v>Alexey Shved</v>
      </c>
      <c r="C408" s="162" t="str">
        <f>IFERROR(__xludf.DUMMYFUNCTION("""COMPUTED_VALUE"""),"2013-14")</f>
        <v>2013-14</v>
      </c>
      <c r="D408" s="163" t="str">
        <f>IFERROR(__xludf.DUMMYFUNCTION("""COMPUTED_VALUE"""),"MIN")</f>
        <v>MIN</v>
      </c>
      <c r="E408" s="164" t="str">
        <f>IFERROR(__xludf.DUMMYFUNCTION("""COMPUTED_VALUE"""),"Secondary Ball Handler")</f>
        <v>Secondary Ball Handler</v>
      </c>
      <c r="F408" s="164">
        <f>IFERROR(__xludf.DUMMYFUNCTION("""COMPUTED_VALUE"""),664.056666666667)</f>
        <v>664.0566667</v>
      </c>
      <c r="G408" s="163">
        <f>IFERROR(__xludf.DUMMYFUNCTION("""COMPUTED_VALUE"""),63.0)</f>
        <v>63</v>
      </c>
      <c r="H408" s="163" t="str">
        <f>IFERROR(__xludf.DUMMYFUNCTION("""COMPUTED_VALUE"""),"SG")</f>
        <v>SG</v>
      </c>
      <c r="I408" s="163">
        <f>IFERROR(__xludf.DUMMYFUNCTION("""COMPUTED_VALUE"""),25.0)</f>
        <v>25</v>
      </c>
      <c r="J408" s="165">
        <f>IFERROR(__xludf.DUMMYFUNCTION("""COMPUTED_VALUE"""),-1.1009878788894)</f>
        <v>-1.100987879</v>
      </c>
      <c r="K408" s="165">
        <f>IFERROR(__xludf.DUMMYFUNCTION("""COMPUTED_VALUE"""),-0.815812452344798)</f>
        <v>-0.8158124523</v>
      </c>
      <c r="L408" s="165">
        <f>IFERROR(__xludf.DUMMYFUNCTION("""COMPUTED_VALUE"""),-0.2851754265446)</f>
        <v>-0.2851754265</v>
      </c>
      <c r="M408" s="166">
        <f t="shared" si="2"/>
        <v>0.5316698473</v>
      </c>
      <c r="N408" s="167">
        <f t="shared" si="3"/>
        <v>10.54058201</v>
      </c>
      <c r="O408" s="163">
        <f t="shared" ref="O408:Q408" si="412">rank(I408,I:I)</f>
        <v>1995</v>
      </c>
      <c r="P408" s="163">
        <f t="shared" si="412"/>
        <v>2614</v>
      </c>
      <c r="Q408" s="163">
        <f t="shared" si="412"/>
        <v>2575</v>
      </c>
      <c r="R408" s="163">
        <f>IFERROR(__xludf.DUMMYFUNCTION("RANK(M408,filter(M:M,C:C=C408))"),267.0)</f>
        <v>267</v>
      </c>
      <c r="S408" s="161" t="b">
        <f t="shared" si="5"/>
        <v>0</v>
      </c>
      <c r="T408" s="161" t="b">
        <f t="array" ref="T408">index('Query Tool'!B:B,match(H408,'Query Tool'!C:C,0))</f>
        <v>1</v>
      </c>
      <c r="U408" s="161" t="b">
        <f t="array" ref="U408">index('Query Tool'!B:B,match(C408,'Query Tool'!C:C,0))</f>
        <v>0</v>
      </c>
      <c r="V408" s="161" t="b">
        <f>F408&gt;='Query Tool'!C$32</f>
        <v>1</v>
      </c>
      <c r="W408" s="161" t="b">
        <f t="array" ref="W408">index(Dropdowns!B:B,match(I408,Dropdowns!A:A,0))</f>
        <v>1</v>
      </c>
      <c r="X408" s="161" t="b">
        <f t="array" ref="X408">index('Query Tool'!B:B,match(D408,'Query Tool'!C:C,0))</f>
        <v>1</v>
      </c>
      <c r="Y408" s="161" t="str">
        <f t="shared" si="6"/>
        <v>shvedal01,2013-14</v>
      </c>
      <c r="Z408" s="168">
        <f t="array" ref="Z408">iferror(index(I:I,match($A408&amp;","&amp;index('Year Conversion'!$A:$A,match($C408,'Year Conversion'!$B:$B,0)),$Y:$Y,0))-I408,"")</f>
        <v>1</v>
      </c>
      <c r="AA408" s="168">
        <f t="array" ref="AA408">iferror(index(J:J,match($A408&amp;","&amp;index('Year Conversion'!$A:$A,match($C408,'Year Conversion'!$B:$B,0)),$Y:$Y,0))-J408,"")</f>
        <v>2.219743642</v>
      </c>
      <c r="AB408" s="168">
        <f t="array" ref="AB408">iferror(index(K:K,match($A408&amp;","&amp;index('Year Conversion'!$A:$A,match($C408,'Year Conversion'!$B:$B,0)),$Y:$Y,0))-K408,"")</f>
        <v>2.439961134</v>
      </c>
      <c r="AC408" s="168" t="str">
        <f t="shared" si="7"/>
        <v>MIN,2013-14</v>
      </c>
    </row>
    <row r="409">
      <c r="A409" s="161" t="str">
        <f>IFERROR(__xludf.DUMMYFUNCTION("""COMPUTED_VALUE"""),"bazemke01")</f>
        <v>bazemke01</v>
      </c>
      <c r="B409" s="161" t="str">
        <f>IFERROR(__xludf.DUMMYFUNCTION("""COMPUTED_VALUE"""),"Kent Bazemore")</f>
        <v>Kent Bazemore</v>
      </c>
      <c r="C409" s="162" t="str">
        <f>IFERROR(__xludf.DUMMYFUNCTION("""COMPUTED_VALUE"""),"2013-14")</f>
        <v>2013-14</v>
      </c>
      <c r="D409" s="163" t="str">
        <f>IFERROR(__xludf.DUMMYFUNCTION("""COMPUTED_VALUE"""),"TOT")</f>
        <v>TOT</v>
      </c>
      <c r="E409" s="164" t="str">
        <f>IFERROR(__xludf.DUMMYFUNCTION("""COMPUTED_VALUE"""),"Secondary Ball Handler")</f>
        <v>Secondary Ball Handler</v>
      </c>
      <c r="F409" s="164">
        <f>IFERROR(__xludf.DUMMYFUNCTION("""COMPUTED_VALUE"""),911.151666666667)</f>
        <v>911.1516667</v>
      </c>
      <c r="G409" s="163">
        <f>IFERROR(__xludf.DUMMYFUNCTION("""COMPUTED_VALUE"""),67.0)</f>
        <v>67</v>
      </c>
      <c r="H409" s="163" t="str">
        <f>IFERROR(__xludf.DUMMYFUNCTION("""COMPUTED_VALUE"""),"SG")</f>
        <v>SG</v>
      </c>
      <c r="I409" s="163">
        <f>IFERROR(__xludf.DUMMYFUNCTION("""COMPUTED_VALUE"""),24.0)</f>
        <v>24</v>
      </c>
      <c r="J409" s="165">
        <f>IFERROR(__xludf.DUMMYFUNCTION("""COMPUTED_VALUE"""),-2.50972934043571)</f>
        <v>-2.50972934</v>
      </c>
      <c r="K409" s="165">
        <f>IFERROR(__xludf.DUMMYFUNCTION("""COMPUTED_VALUE"""),-1.74939811514914)</f>
        <v>-1.749398115</v>
      </c>
      <c r="L409" s="165">
        <f>IFERROR(__xludf.DUMMYFUNCTION("""COMPUTED_VALUE"""),-0.760331225286567)</f>
        <v>-0.7603312253</v>
      </c>
      <c r="M409" s="166">
        <f t="shared" si="2"/>
        <v>-0.1236572313</v>
      </c>
      <c r="N409" s="167">
        <f t="shared" si="3"/>
        <v>13.59927861</v>
      </c>
      <c r="O409" s="163">
        <f t="shared" ref="O409:Q409" si="413">rank(I409,I:I)</f>
        <v>2361</v>
      </c>
      <c r="P409" s="163">
        <f t="shared" si="413"/>
        <v>3758</v>
      </c>
      <c r="Q409" s="163">
        <f t="shared" si="413"/>
        <v>3550</v>
      </c>
      <c r="R409" s="163">
        <f>IFERROR(__xludf.DUMMYFUNCTION("RANK(M409,filter(M:M,C:C=C409))"),449.0)</f>
        <v>449</v>
      </c>
      <c r="S409" s="161" t="b">
        <f t="shared" si="5"/>
        <v>0</v>
      </c>
      <c r="T409" s="161" t="b">
        <f t="array" ref="T409">index('Query Tool'!B:B,match(H409,'Query Tool'!C:C,0))</f>
        <v>1</v>
      </c>
      <c r="U409" s="161" t="b">
        <f t="array" ref="U409">index('Query Tool'!B:B,match(C409,'Query Tool'!C:C,0))</f>
        <v>0</v>
      </c>
      <c r="V409" s="161" t="b">
        <f>F409&gt;='Query Tool'!C$32</f>
        <v>1</v>
      </c>
      <c r="W409" s="161" t="b">
        <f t="array" ref="W409">index(Dropdowns!B:B,match(I409,Dropdowns!A:A,0))</f>
        <v>1</v>
      </c>
      <c r="X409" s="161" t="b">
        <f t="array" ref="X409">index('Query Tool'!B:B,match(D409,'Query Tool'!C:C,0))</f>
        <v>1</v>
      </c>
      <c r="Y409" s="161" t="str">
        <f t="shared" si="6"/>
        <v>bazemke01,2013-14</v>
      </c>
      <c r="Z409" s="168">
        <f t="array" ref="Z409">iferror(index(I:I,match($A409&amp;","&amp;index('Year Conversion'!$A:$A,match($C409,'Year Conversion'!$B:$B,0)),$Y:$Y,0))-I409,"")</f>
        <v>1</v>
      </c>
      <c r="AA409" s="168">
        <f t="array" ref="AA409">iferror(index(J:J,match($A409&amp;","&amp;index('Year Conversion'!$A:$A,match($C409,'Year Conversion'!$B:$B,0)),$Y:$Y,0))-J409,"")</f>
        <v>0.9033505281</v>
      </c>
      <c r="AB409" s="168">
        <f t="array" ref="AB409">iferror(index(K:K,match($A409&amp;","&amp;index('Year Conversion'!$A:$A,match($C409,'Year Conversion'!$B:$B,0)),$Y:$Y,0))-K409,"")</f>
        <v>-0.6699850847</v>
      </c>
      <c r="AC409" s="168" t="str">
        <f t="shared" si="7"/>
        <v>TOT,2013-14</v>
      </c>
    </row>
    <row r="410">
      <c r="A410" s="161" t="str">
        <f>IFERROR(__xludf.DUMMYFUNCTION("""COMPUTED_VALUE"""),"waynsma01")</f>
        <v>waynsma01</v>
      </c>
      <c r="B410" s="161" t="str">
        <f>IFERROR(__xludf.DUMMYFUNCTION("""COMPUTED_VALUE"""),"Maalik Wayns")</f>
        <v>Maalik Wayns</v>
      </c>
      <c r="C410" s="162" t="str">
        <f>IFERROR(__xludf.DUMMYFUNCTION("""COMPUTED_VALUE"""),"2013-14")</f>
        <v>2013-14</v>
      </c>
      <c r="D410" s="163" t="str">
        <f>IFERROR(__xludf.DUMMYFUNCTION("""COMPUTED_VALUE"""),"LAC")</f>
        <v>LAC</v>
      </c>
      <c r="E410" s="164" t="str">
        <f>IFERROR(__xludf.DUMMYFUNCTION("""COMPUTED_VALUE"""),"Off Screen Shooter")</f>
        <v>Off Screen Shooter</v>
      </c>
      <c r="F410" s="164">
        <f>IFERROR(__xludf.DUMMYFUNCTION("""COMPUTED_VALUE"""),9.37333333333334)</f>
        <v>9.373333333</v>
      </c>
      <c r="G410" s="163">
        <f>IFERROR(__xludf.DUMMYFUNCTION("""COMPUTED_VALUE"""),2.0)</f>
        <v>2</v>
      </c>
      <c r="H410" s="163" t="str">
        <f>IFERROR(__xludf.DUMMYFUNCTION("""COMPUTED_VALUE"""),"PG")</f>
        <v>PG</v>
      </c>
      <c r="I410" s="163">
        <f>IFERROR(__xludf.DUMMYFUNCTION("""COMPUTED_VALUE"""),22.0)</f>
        <v>22</v>
      </c>
      <c r="J410" s="165">
        <f>IFERROR(__xludf.DUMMYFUNCTION("""COMPUTED_VALUE"""),-1.64671193695378)</f>
        <v>-1.646711937</v>
      </c>
      <c r="K410" s="165">
        <f>IFERROR(__xludf.DUMMYFUNCTION("""COMPUTED_VALUE"""),-0.668949491034608)</f>
        <v>-0.668949491</v>
      </c>
      <c r="L410" s="165">
        <f>IFERROR(__xludf.DUMMYFUNCTION("""COMPUTED_VALUE"""),-0.977762445919169)</f>
        <v>-0.9777624459</v>
      </c>
      <c r="M410" s="166">
        <f t="shared" si="2"/>
        <v>0.004083338619</v>
      </c>
      <c r="N410" s="167">
        <f t="shared" si="3"/>
        <v>4.686666667</v>
      </c>
      <c r="O410" s="163">
        <f t="shared" ref="O410:Q410" si="414">rank(I410,I:I)</f>
        <v>3178</v>
      </c>
      <c r="P410" s="163">
        <f t="shared" si="414"/>
        <v>3193</v>
      </c>
      <c r="Q410" s="163">
        <f t="shared" si="414"/>
        <v>2372</v>
      </c>
      <c r="R410" s="163">
        <f>IFERROR(__xludf.DUMMYFUNCTION("RANK(M410,filter(M:M,C:C=C410))"),427.0)</f>
        <v>427</v>
      </c>
      <c r="S410" s="161" t="b">
        <f t="shared" si="5"/>
        <v>0</v>
      </c>
      <c r="T410" s="161" t="b">
        <f t="array" ref="T410">index('Query Tool'!B:B,match(H410,'Query Tool'!C:C,0))</f>
        <v>1</v>
      </c>
      <c r="U410" s="161" t="b">
        <f t="array" ref="U410">index('Query Tool'!B:B,match(C410,'Query Tool'!C:C,0))</f>
        <v>0</v>
      </c>
      <c r="V410" s="161" t="b">
        <f>F410&gt;='Query Tool'!C$32</f>
        <v>0</v>
      </c>
      <c r="W410" s="161" t="b">
        <f t="array" ref="W410">index(Dropdowns!B:B,match(I410,Dropdowns!A:A,0))</f>
        <v>1</v>
      </c>
      <c r="X410" s="161" t="b">
        <f t="array" ref="X410">index('Query Tool'!B:B,match(D410,'Query Tool'!C:C,0))</f>
        <v>1</v>
      </c>
      <c r="Y410" s="161" t="str">
        <f t="shared" si="6"/>
        <v>waynsma01,2013-14</v>
      </c>
      <c r="Z410" s="168" t="str">
        <f t="array" ref="Z410">iferror(index(I:I,match($A410&amp;","&amp;index('Year Conversion'!$A:$A,match($C410,'Year Conversion'!$B:$B,0)),$Y:$Y,0))-I410,"")</f>
        <v/>
      </c>
      <c r="AA410" s="168" t="str">
        <f t="array" ref="AA410">iferror(index(J:J,match($A410&amp;","&amp;index('Year Conversion'!$A:$A,match($C410,'Year Conversion'!$B:$B,0)),$Y:$Y,0))-J410,"")</f>
        <v/>
      </c>
      <c r="AB410" s="168" t="str">
        <f t="array" ref="AB410">iferror(index(K:K,match($A410&amp;","&amp;index('Year Conversion'!$A:$A,match($C410,'Year Conversion'!$B:$B,0)),$Y:$Y,0))-K410,"")</f>
        <v/>
      </c>
      <c r="AC410" s="168" t="str">
        <f t="shared" si="7"/>
        <v>LAC,2013-14</v>
      </c>
    </row>
    <row r="411">
      <c r="A411" s="161" t="str">
        <f>IFERROR(__xludf.DUMMYFUNCTION("""COMPUTED_VALUE"""),"smithch05")</f>
        <v>smithch05</v>
      </c>
      <c r="B411" s="161" t="str">
        <f>IFERROR(__xludf.DUMMYFUNCTION("""COMPUTED_VALUE"""),"Chris Smith")</f>
        <v>Chris Smith</v>
      </c>
      <c r="C411" s="162" t="str">
        <f>IFERROR(__xludf.DUMMYFUNCTION("""COMPUTED_VALUE"""),"2013-14")</f>
        <v>2013-14</v>
      </c>
      <c r="D411" s="163" t="str">
        <f>IFERROR(__xludf.DUMMYFUNCTION("""COMPUTED_VALUE"""),"NYK")</f>
        <v>NYK</v>
      </c>
      <c r="E411" s="164" t="str">
        <f>IFERROR(__xludf.DUMMYFUNCTION("""COMPUTED_VALUE"""),"Low Minutes")</f>
        <v>Low Minutes</v>
      </c>
      <c r="F411" s="164">
        <f>IFERROR(__xludf.DUMMYFUNCTION("""COMPUTED_VALUE"""),1.95666666666667)</f>
        <v>1.956666667</v>
      </c>
      <c r="G411" s="163">
        <f>IFERROR(__xludf.DUMMYFUNCTION("""COMPUTED_VALUE"""),2.0)</f>
        <v>2</v>
      </c>
      <c r="H411" s="163" t="str">
        <f>IFERROR(__xludf.DUMMYFUNCTION("""COMPUTED_VALUE"""),"PG")</f>
        <v>PG</v>
      </c>
      <c r="I411" s="163">
        <f>IFERROR(__xludf.DUMMYFUNCTION("""COMPUTED_VALUE"""),26.0)</f>
        <v>26</v>
      </c>
      <c r="J411" s="165">
        <f>IFERROR(__xludf.DUMMYFUNCTION("""COMPUTED_VALUE"""),-0.271314185540544)</f>
        <v>-0.2713141855</v>
      </c>
      <c r="K411" s="165">
        <f>IFERROR(__xludf.DUMMYFUNCTION("""COMPUTED_VALUE"""),-0.116270074385948)</f>
        <v>-0.1162700744</v>
      </c>
      <c r="L411" s="165">
        <f>IFERROR(__xludf.DUMMYFUNCTION("""COMPUTED_VALUE"""),-0.155044111154596)</f>
        <v>-0.1550441112</v>
      </c>
      <c r="M411" s="166">
        <f t="shared" si="2"/>
        <v>0.002658656266</v>
      </c>
      <c r="N411" s="167">
        <f t="shared" si="3"/>
        <v>0.9783333333</v>
      </c>
      <c r="O411" s="163">
        <f t="shared" ref="O411:Q411" si="415">rank(I411,I:I)</f>
        <v>1665</v>
      </c>
      <c r="P411" s="163">
        <f t="shared" si="415"/>
        <v>1580</v>
      </c>
      <c r="Q411" s="163">
        <f t="shared" si="415"/>
        <v>1400</v>
      </c>
      <c r="R411" s="163">
        <f>IFERROR(__xludf.DUMMYFUNCTION("RANK(M411,filter(M:M,C:C=C411))"),430.0)</f>
        <v>430</v>
      </c>
      <c r="S411" s="161" t="b">
        <f t="shared" si="5"/>
        <v>0</v>
      </c>
      <c r="T411" s="161" t="b">
        <f t="array" ref="T411">index('Query Tool'!B:B,match(H411,'Query Tool'!C:C,0))</f>
        <v>1</v>
      </c>
      <c r="U411" s="161" t="b">
        <f t="array" ref="U411">index('Query Tool'!B:B,match(C411,'Query Tool'!C:C,0))</f>
        <v>0</v>
      </c>
      <c r="V411" s="161" t="b">
        <f>F411&gt;='Query Tool'!C$32</f>
        <v>0</v>
      </c>
      <c r="W411" s="161" t="b">
        <f t="array" ref="W411">index(Dropdowns!B:B,match(I411,Dropdowns!A:A,0))</f>
        <v>1</v>
      </c>
      <c r="X411" s="161" t="b">
        <f t="array" ref="X411">index('Query Tool'!B:B,match(D411,'Query Tool'!C:C,0))</f>
        <v>1</v>
      </c>
      <c r="Y411" s="161" t="str">
        <f t="shared" si="6"/>
        <v>smithch05,2013-14</v>
      </c>
      <c r="Z411" s="168" t="str">
        <f t="array" ref="Z411">iferror(index(I:I,match($A411&amp;","&amp;index('Year Conversion'!$A:$A,match($C411,'Year Conversion'!$B:$B,0)),$Y:$Y,0))-I411,"")</f>
        <v/>
      </c>
      <c r="AA411" s="168" t="str">
        <f t="array" ref="AA411">iferror(index(J:J,match($A411&amp;","&amp;index('Year Conversion'!$A:$A,match($C411,'Year Conversion'!$B:$B,0)),$Y:$Y,0))-J411,"")</f>
        <v/>
      </c>
      <c r="AB411" s="168" t="str">
        <f t="array" ref="AB411">iferror(index(K:K,match($A411&amp;","&amp;index('Year Conversion'!$A:$A,match($C411,'Year Conversion'!$B:$B,0)),$Y:$Y,0))-K411,"")</f>
        <v/>
      </c>
      <c r="AC411" s="168" t="str">
        <f t="shared" si="7"/>
        <v>NYK,2013-14</v>
      </c>
    </row>
    <row r="412">
      <c r="A412" s="161" t="str">
        <f>IFERROR(__xludf.DUMMYFUNCTION("""COMPUTED_VALUE"""),"roberbr01")</f>
        <v>roberbr01</v>
      </c>
      <c r="B412" s="161" t="str">
        <f>IFERROR(__xludf.DUMMYFUNCTION("""COMPUTED_VALUE"""),"Brian Roberts")</f>
        <v>Brian Roberts</v>
      </c>
      <c r="C412" s="162" t="str">
        <f>IFERROR(__xludf.DUMMYFUNCTION("""COMPUTED_VALUE"""),"2013-14")</f>
        <v>2013-14</v>
      </c>
      <c r="D412" s="163" t="str">
        <f>IFERROR(__xludf.DUMMYFUNCTION("""COMPUTED_VALUE"""),"NOP")</f>
        <v>NOP</v>
      </c>
      <c r="E412" s="164" t="str">
        <f>IFERROR(__xludf.DUMMYFUNCTION("""COMPUTED_VALUE"""),"Primary Ball Handler")</f>
        <v>Primary Ball Handler</v>
      </c>
      <c r="F412" s="164">
        <f>IFERROR(__xludf.DUMMYFUNCTION("""COMPUTED_VALUE"""),1666.80833333333)</f>
        <v>1666.808333</v>
      </c>
      <c r="G412" s="163">
        <f>IFERROR(__xludf.DUMMYFUNCTION("""COMPUTED_VALUE"""),72.0)</f>
        <v>72</v>
      </c>
      <c r="H412" s="163" t="str">
        <f>IFERROR(__xludf.DUMMYFUNCTION("""COMPUTED_VALUE"""),"PG")</f>
        <v>PG</v>
      </c>
      <c r="I412" s="163">
        <f>IFERROR(__xludf.DUMMYFUNCTION("""COMPUTED_VALUE"""),28.0)</f>
        <v>28</v>
      </c>
      <c r="J412" s="165">
        <f>IFERROR(__xludf.DUMMYFUNCTION("""COMPUTED_VALUE"""),-2.21704771182495)</f>
        <v>-2.217047712</v>
      </c>
      <c r="K412" s="165">
        <f>IFERROR(__xludf.DUMMYFUNCTION("""COMPUTED_VALUE"""),-0.0745695534885221)</f>
        <v>-0.07456955349</v>
      </c>
      <c r="L412" s="165">
        <f>IFERROR(__xludf.DUMMYFUNCTION("""COMPUTED_VALUE"""),-2.14247815833643)</f>
        <v>-2.142478158</v>
      </c>
      <c r="M412" s="166">
        <f t="shared" si="2"/>
        <v>0.0951400425</v>
      </c>
      <c r="N412" s="167">
        <f t="shared" si="3"/>
        <v>23.15011574</v>
      </c>
      <c r="O412" s="163">
        <f t="shared" ref="O412:Q412" si="416">rank(I412,I:I)</f>
        <v>1090</v>
      </c>
      <c r="P412" s="163">
        <f t="shared" si="416"/>
        <v>3614</v>
      </c>
      <c r="Q412" s="163">
        <f t="shared" si="416"/>
        <v>1315</v>
      </c>
      <c r="R412" s="163">
        <f>IFERROR(__xludf.DUMMYFUNCTION("RANK(M412,filter(M:M,C:C=C412))"),361.0)</f>
        <v>361</v>
      </c>
      <c r="S412" s="161" t="b">
        <f t="shared" si="5"/>
        <v>0</v>
      </c>
      <c r="T412" s="161" t="b">
        <f t="array" ref="T412">index('Query Tool'!B:B,match(H412,'Query Tool'!C:C,0))</f>
        <v>1</v>
      </c>
      <c r="U412" s="161" t="b">
        <f t="array" ref="U412">index('Query Tool'!B:B,match(C412,'Query Tool'!C:C,0))</f>
        <v>0</v>
      </c>
      <c r="V412" s="161" t="b">
        <f>F412&gt;='Query Tool'!C$32</f>
        <v>1</v>
      </c>
      <c r="W412" s="161" t="b">
        <f t="array" ref="W412">index(Dropdowns!B:B,match(I412,Dropdowns!A:A,0))</f>
        <v>1</v>
      </c>
      <c r="X412" s="161" t="b">
        <f t="array" ref="X412">index('Query Tool'!B:B,match(D412,'Query Tool'!C:C,0))</f>
        <v>1</v>
      </c>
      <c r="Y412" s="161" t="str">
        <f t="shared" si="6"/>
        <v>roberbr01,2013-14</v>
      </c>
      <c r="Z412" s="168">
        <f t="array" ref="Z412">iferror(index(I:I,match($A412&amp;","&amp;index('Year Conversion'!$A:$A,match($C412,'Year Conversion'!$B:$B,0)),$Y:$Y,0))-I412,"")</f>
        <v>1</v>
      </c>
      <c r="AA412" s="168">
        <f t="array" ref="AA412">iferror(index(J:J,match($A412&amp;","&amp;index('Year Conversion'!$A:$A,match($C412,'Year Conversion'!$B:$B,0)),$Y:$Y,0))-J412,"")</f>
        <v>0.5885944659</v>
      </c>
      <c r="AB412" s="168">
        <f t="array" ref="AB412">iferror(index(K:K,match($A412&amp;","&amp;index('Year Conversion'!$A:$A,match($C412,'Year Conversion'!$B:$B,0)),$Y:$Y,0))-K412,"")</f>
        <v>-0.5805400314</v>
      </c>
      <c r="AC412" s="168" t="str">
        <f t="shared" si="7"/>
        <v>NOP,2013-14</v>
      </c>
    </row>
    <row r="413">
      <c r="A413" s="161" t="str">
        <f>IFERROR(__xludf.DUMMYFUNCTION("""COMPUTED_VALUE"""),"simshe01")</f>
        <v>simshe01</v>
      </c>
      <c r="B413" s="161" t="str">
        <f>IFERROR(__xludf.DUMMYFUNCTION("""COMPUTED_VALUE"""),"Henry Sims")</f>
        <v>Henry Sims</v>
      </c>
      <c r="C413" s="162" t="str">
        <f>IFERROR(__xludf.DUMMYFUNCTION("""COMPUTED_VALUE"""),"2013-14")</f>
        <v>2013-14</v>
      </c>
      <c r="D413" s="163" t="str">
        <f>IFERROR(__xludf.DUMMYFUNCTION("""COMPUTED_VALUE"""),"TOT")</f>
        <v>TOT</v>
      </c>
      <c r="E413" s="164" t="str">
        <f>IFERROR(__xludf.DUMMYFUNCTION("""COMPUTED_VALUE"""),"Post Scorer")</f>
        <v>Post Scorer</v>
      </c>
      <c r="F413" s="164">
        <f>IFERROR(__xludf.DUMMYFUNCTION("""COMPUTED_VALUE"""),875.033333333333)</f>
        <v>875.0333333</v>
      </c>
      <c r="G413" s="163">
        <f>IFERROR(__xludf.DUMMYFUNCTION("""COMPUTED_VALUE"""),46.0)</f>
        <v>46</v>
      </c>
      <c r="H413" s="163" t="str">
        <f>IFERROR(__xludf.DUMMYFUNCTION("""COMPUTED_VALUE"""),"C")</f>
        <v>C</v>
      </c>
      <c r="I413" s="163">
        <f>IFERROR(__xludf.DUMMYFUNCTION("""COMPUTED_VALUE"""),23.0)</f>
        <v>23</v>
      </c>
      <c r="J413" s="165">
        <f>IFERROR(__xludf.DUMMYFUNCTION("""COMPUTED_VALUE"""),-0.15013125335986)</f>
        <v>-0.1501312534</v>
      </c>
      <c r="K413" s="165">
        <f>IFERROR(__xludf.DUMMYFUNCTION("""COMPUTED_VALUE"""),-0.632011561538346)</f>
        <v>-0.6320115615</v>
      </c>
      <c r="L413" s="165">
        <f>IFERROR(__xludf.DUMMYFUNCTION("""COMPUTED_VALUE"""),0.481880308178486)</f>
        <v>0.4818803082</v>
      </c>
      <c r="M413" s="166">
        <f t="shared" si="2"/>
        <v>1.26044428</v>
      </c>
      <c r="N413" s="167">
        <f t="shared" si="3"/>
        <v>19.02246377</v>
      </c>
      <c r="O413" s="163">
        <f t="shared" ref="O413:Q413" si="417">rank(I413,I:I)</f>
        <v>2765</v>
      </c>
      <c r="P413" s="163">
        <f t="shared" si="417"/>
        <v>1442</v>
      </c>
      <c r="Q413" s="163">
        <f t="shared" si="417"/>
        <v>2307</v>
      </c>
      <c r="R413" s="163">
        <f>IFERROR(__xludf.DUMMYFUNCTION("RANK(M413,filter(M:M,C:C=C413))"),204.0)</f>
        <v>204</v>
      </c>
      <c r="S413" s="161" t="b">
        <f t="shared" si="5"/>
        <v>0</v>
      </c>
      <c r="T413" s="161" t="b">
        <f t="array" ref="T413">index('Query Tool'!B:B,match(H413,'Query Tool'!C:C,0))</f>
        <v>1</v>
      </c>
      <c r="U413" s="161" t="b">
        <f t="array" ref="U413">index('Query Tool'!B:B,match(C413,'Query Tool'!C:C,0))</f>
        <v>0</v>
      </c>
      <c r="V413" s="161" t="b">
        <f>F413&gt;='Query Tool'!C$32</f>
        <v>1</v>
      </c>
      <c r="W413" s="161" t="b">
        <f t="array" ref="W413">index(Dropdowns!B:B,match(I413,Dropdowns!A:A,0))</f>
        <v>1</v>
      </c>
      <c r="X413" s="161" t="b">
        <f t="array" ref="X413">index('Query Tool'!B:B,match(D413,'Query Tool'!C:C,0))</f>
        <v>1</v>
      </c>
      <c r="Y413" s="161" t="str">
        <f t="shared" si="6"/>
        <v>simshe01,2013-14</v>
      </c>
      <c r="Z413" s="168">
        <f t="array" ref="Z413">iferror(index(I:I,match($A413&amp;","&amp;index('Year Conversion'!$A:$A,match($C413,'Year Conversion'!$B:$B,0)),$Y:$Y,0))-I413,"")</f>
        <v>1</v>
      </c>
      <c r="AA413" s="168">
        <f t="array" ref="AA413">iferror(index(J:J,match($A413&amp;","&amp;index('Year Conversion'!$A:$A,match($C413,'Year Conversion'!$B:$B,0)),$Y:$Y,0))-J413,"")</f>
        <v>-3.544796437</v>
      </c>
      <c r="AB413" s="168">
        <f t="array" ref="AB413">iferror(index(K:K,match($A413&amp;","&amp;index('Year Conversion'!$A:$A,match($C413,'Year Conversion'!$B:$B,0)),$Y:$Y,0))-K413,"")</f>
        <v>-1.762271521</v>
      </c>
      <c r="AC413" s="168" t="str">
        <f t="shared" si="7"/>
        <v>TOT,2013-14</v>
      </c>
    </row>
    <row r="414">
      <c r="A414" s="161" t="str">
        <f>IFERROR(__xludf.DUMMYFUNCTION("""COMPUTED_VALUE"""),"mitchto03")</f>
        <v>mitchto03</v>
      </c>
      <c r="B414" s="161" t="str">
        <f>IFERROR(__xludf.DUMMYFUNCTION("""COMPUTED_VALUE"""),"Tony Mitchell")</f>
        <v>Tony Mitchell</v>
      </c>
      <c r="C414" s="162" t="str">
        <f>IFERROR(__xludf.DUMMYFUNCTION("""COMPUTED_VALUE"""),"2013-14")</f>
        <v>2013-14</v>
      </c>
      <c r="D414" s="163" t="str">
        <f>IFERROR(__xludf.DUMMYFUNCTION("""COMPUTED_VALUE"""),"MIL")</f>
        <v>MIL</v>
      </c>
      <c r="E414" s="164" t="str">
        <f>IFERROR(__xludf.DUMMYFUNCTION("""COMPUTED_VALUE"""),"Low Minutes")</f>
        <v>Low Minutes</v>
      </c>
      <c r="F414" s="164">
        <f>IFERROR(__xludf.DUMMYFUNCTION("""COMPUTED_VALUE"""),9.75)</f>
        <v>9.75</v>
      </c>
      <c r="G414" s="163">
        <f>IFERROR(__xludf.DUMMYFUNCTION("""COMPUTED_VALUE"""),3.0)</f>
        <v>3</v>
      </c>
      <c r="H414" s="163" t="str">
        <f>IFERROR(__xludf.DUMMYFUNCTION("""COMPUTED_VALUE"""),"SF")</f>
        <v>SF</v>
      </c>
      <c r="I414" s="163">
        <f>IFERROR(__xludf.DUMMYFUNCTION("""COMPUTED_VALUE"""),24.0)</f>
        <v>24</v>
      </c>
      <c r="J414" s="165">
        <f>IFERROR(__xludf.DUMMYFUNCTION("""COMPUTED_VALUE"""),0.0782539337471042)</f>
        <v>0.07825393375</v>
      </c>
      <c r="K414" s="165">
        <f>IFERROR(__xludf.DUMMYFUNCTION("""COMPUTED_VALUE"""),0.0600943930419125)</f>
        <v>0.06009439304</v>
      </c>
      <c r="L414" s="165">
        <f>IFERROR(__xludf.DUMMYFUNCTION("""COMPUTED_VALUE"""),0.0181595407051918)</f>
        <v>0.01815954071</v>
      </c>
      <c r="M414" s="166">
        <f t="shared" si="2"/>
        <v>0.01554563617</v>
      </c>
      <c r="N414" s="167">
        <f t="shared" si="3"/>
        <v>3.25</v>
      </c>
      <c r="O414" s="163">
        <f t="shared" ref="O414:Q414" si="418">rank(I414,I:I)</f>
        <v>2361</v>
      </c>
      <c r="P414" s="163">
        <f t="shared" si="418"/>
        <v>1214</v>
      </c>
      <c r="Q414" s="163">
        <f t="shared" si="418"/>
        <v>1119</v>
      </c>
      <c r="R414" s="163">
        <f>IFERROR(__xludf.DUMMYFUNCTION("RANK(M414,filter(M:M,C:C=C414))"),418.0)</f>
        <v>418</v>
      </c>
      <c r="S414" s="161" t="b">
        <f t="shared" si="5"/>
        <v>0</v>
      </c>
      <c r="T414" s="161" t="b">
        <f t="array" ref="T414">index('Query Tool'!B:B,match(H414,'Query Tool'!C:C,0))</f>
        <v>1</v>
      </c>
      <c r="U414" s="161" t="b">
        <f t="array" ref="U414">index('Query Tool'!B:B,match(C414,'Query Tool'!C:C,0))</f>
        <v>0</v>
      </c>
      <c r="V414" s="161" t="b">
        <f>F414&gt;='Query Tool'!C$32</f>
        <v>0</v>
      </c>
      <c r="W414" s="161" t="b">
        <f t="array" ref="W414">index(Dropdowns!B:B,match(I414,Dropdowns!A:A,0))</f>
        <v>1</v>
      </c>
      <c r="X414" s="161" t="b">
        <f t="array" ref="X414">index('Query Tool'!B:B,match(D414,'Query Tool'!C:C,0))</f>
        <v>1</v>
      </c>
      <c r="Y414" s="161" t="str">
        <f t="shared" si="6"/>
        <v>mitchto03,2013-14</v>
      </c>
      <c r="Z414" s="168" t="str">
        <f t="array" ref="Z414">iferror(index(I:I,match($A414&amp;","&amp;index('Year Conversion'!$A:$A,match($C414,'Year Conversion'!$B:$B,0)),$Y:$Y,0))-I414,"")</f>
        <v/>
      </c>
      <c r="AA414" s="168" t="str">
        <f t="array" ref="AA414">iferror(index(J:J,match($A414&amp;","&amp;index('Year Conversion'!$A:$A,match($C414,'Year Conversion'!$B:$B,0)),$Y:$Y,0))-J414,"")</f>
        <v/>
      </c>
      <c r="AB414" s="168" t="str">
        <f t="array" ref="AB414">iferror(index(K:K,match($A414&amp;","&amp;index('Year Conversion'!$A:$A,match($C414,'Year Conversion'!$B:$B,0)),$Y:$Y,0))-K414,"")</f>
        <v/>
      </c>
      <c r="AC414" s="168" t="str">
        <f t="shared" si="7"/>
        <v>MIL,2013-14</v>
      </c>
    </row>
    <row r="415">
      <c r="A415" s="161" t="str">
        <f>IFERROR(__xludf.DUMMYFUNCTION("""COMPUTED_VALUE"""),"johnsch04")</f>
        <v>johnsch04</v>
      </c>
      <c r="B415" s="161" t="str">
        <f>IFERROR(__xludf.DUMMYFUNCTION("""COMPUTED_VALUE"""),"Chris Johnson")</f>
        <v>Chris Johnson</v>
      </c>
      <c r="C415" s="162" t="str">
        <f>IFERROR(__xludf.DUMMYFUNCTION("""COMPUTED_VALUE"""),"2013-14")</f>
        <v>2013-14</v>
      </c>
      <c r="D415" s="163" t="str">
        <f>IFERROR(__xludf.DUMMYFUNCTION("""COMPUTED_VALUE"""),"BOS")</f>
        <v>BOS</v>
      </c>
      <c r="E415" s="164" t="str">
        <f>IFERROR(__xludf.DUMMYFUNCTION("""COMPUTED_VALUE"""),"Movement Shooter")</f>
        <v>Movement Shooter</v>
      </c>
      <c r="F415" s="164">
        <f>IFERROR(__xludf.DUMMYFUNCTION("""COMPUTED_VALUE"""),789.148333333334)</f>
        <v>789.1483333</v>
      </c>
      <c r="G415" s="163">
        <f>IFERROR(__xludf.DUMMYFUNCTION("""COMPUTED_VALUE"""),40.0)</f>
        <v>40</v>
      </c>
      <c r="H415" s="163" t="str">
        <f>IFERROR(__xludf.DUMMYFUNCTION("""COMPUTED_VALUE"""),"SF")</f>
        <v>SF</v>
      </c>
      <c r="I415" s="163">
        <f>IFERROR(__xludf.DUMMYFUNCTION("""COMPUTED_VALUE"""),23.0)</f>
        <v>23</v>
      </c>
      <c r="J415" s="165">
        <f>IFERROR(__xludf.DUMMYFUNCTION("""COMPUTED_VALUE"""),-1.36320394068392)</f>
        <v>-1.363203941</v>
      </c>
      <c r="K415" s="165">
        <f>IFERROR(__xludf.DUMMYFUNCTION("""COMPUTED_VALUE"""),-0.384850291585161)</f>
        <v>-0.3848502916</v>
      </c>
      <c r="L415" s="165">
        <f>IFERROR(__xludf.DUMMYFUNCTION("""COMPUTED_VALUE"""),-0.978353649098754)</f>
        <v>-0.9783536491</v>
      </c>
      <c r="M415" s="166">
        <f t="shared" si="2"/>
        <v>0.4931969811</v>
      </c>
      <c r="N415" s="167">
        <f t="shared" si="3"/>
        <v>19.72870833</v>
      </c>
      <c r="O415" s="163">
        <f t="shared" ref="O415:Q415" si="419">rank(I415,I:I)</f>
        <v>2765</v>
      </c>
      <c r="P415" s="163">
        <f t="shared" si="419"/>
        <v>2916</v>
      </c>
      <c r="Q415" s="163">
        <f t="shared" si="419"/>
        <v>1924</v>
      </c>
      <c r="R415" s="163">
        <f>IFERROR(__xludf.DUMMYFUNCTION("RANK(M415,filter(M:M,C:C=C415))"),272.0)</f>
        <v>272</v>
      </c>
      <c r="S415" s="161" t="b">
        <f t="shared" si="5"/>
        <v>0</v>
      </c>
      <c r="T415" s="161" t="b">
        <f t="array" ref="T415">index('Query Tool'!B:B,match(H415,'Query Tool'!C:C,0))</f>
        <v>1</v>
      </c>
      <c r="U415" s="161" t="b">
        <f t="array" ref="U415">index('Query Tool'!B:B,match(C415,'Query Tool'!C:C,0))</f>
        <v>0</v>
      </c>
      <c r="V415" s="161" t="b">
        <f>F415&gt;='Query Tool'!C$32</f>
        <v>1</v>
      </c>
      <c r="W415" s="161" t="b">
        <f t="array" ref="W415">index(Dropdowns!B:B,match(I415,Dropdowns!A:A,0))</f>
        <v>1</v>
      </c>
      <c r="X415" s="161" t="b">
        <f t="array" ref="X415">index('Query Tool'!B:B,match(D415,'Query Tool'!C:C,0))</f>
        <v>1</v>
      </c>
      <c r="Y415" s="161" t="str">
        <f t="shared" si="6"/>
        <v>johnsch04,2013-14</v>
      </c>
      <c r="Z415" s="168">
        <f t="array" ref="Z415">iferror(index(I:I,match($A415&amp;","&amp;index('Year Conversion'!$A:$A,match($C415,'Year Conversion'!$B:$B,0)),$Y:$Y,0))-I415,"")</f>
        <v>1</v>
      </c>
      <c r="AA415" s="168">
        <f t="array" ref="AA415">iferror(index(J:J,match($A415&amp;","&amp;index('Year Conversion'!$A:$A,match($C415,'Year Conversion'!$B:$B,0)),$Y:$Y,0))-J415,"")</f>
        <v>1.307752682</v>
      </c>
      <c r="AB415" s="168">
        <f t="array" ref="AB415">iferror(index(K:K,match($A415&amp;","&amp;index('Year Conversion'!$A:$A,match($C415,'Year Conversion'!$B:$B,0)),$Y:$Y,0))-K415,"")</f>
        <v>0.1155177468</v>
      </c>
      <c r="AC415" s="168" t="str">
        <f t="shared" si="7"/>
        <v>BOS,2013-14</v>
      </c>
    </row>
    <row r="416">
      <c r="A416" s="161" t="str">
        <f>IFERROR(__xludf.DUMMYFUNCTION("""COMPUTED_VALUE"""),"garredi02")</f>
        <v>garredi02</v>
      </c>
      <c r="B416" s="161" t="str">
        <f>IFERROR(__xludf.DUMMYFUNCTION("""COMPUTED_VALUE"""),"Diante Garrett")</f>
        <v>Diante Garrett</v>
      </c>
      <c r="C416" s="162" t="str">
        <f>IFERROR(__xludf.DUMMYFUNCTION("""COMPUTED_VALUE"""),"2013-14")</f>
        <v>2013-14</v>
      </c>
      <c r="D416" s="163" t="str">
        <f>IFERROR(__xludf.DUMMYFUNCTION("""COMPUTED_VALUE"""),"UTA")</f>
        <v>UTA</v>
      </c>
      <c r="E416" s="164" t="str">
        <f>IFERROR(__xludf.DUMMYFUNCTION("""COMPUTED_VALUE"""),"Primary Ball Handler")</f>
        <v>Primary Ball Handler</v>
      </c>
      <c r="F416" s="164">
        <f>IFERROR(__xludf.DUMMYFUNCTION("""COMPUTED_VALUE"""),1047.57166666667)</f>
        <v>1047.571667</v>
      </c>
      <c r="G416" s="163">
        <f>IFERROR(__xludf.DUMMYFUNCTION("""COMPUTED_VALUE"""),71.0)</f>
        <v>71</v>
      </c>
      <c r="H416" s="163" t="str">
        <f>IFERROR(__xludf.DUMMYFUNCTION("""COMPUTED_VALUE"""),"PG")</f>
        <v>PG</v>
      </c>
      <c r="I416" s="163">
        <f>IFERROR(__xludf.DUMMYFUNCTION("""COMPUTED_VALUE"""),25.0)</f>
        <v>25</v>
      </c>
      <c r="J416" s="165">
        <f>IFERROR(__xludf.DUMMYFUNCTION("""COMPUTED_VALUE"""),-3.10521292063983)</f>
        <v>-3.105212921</v>
      </c>
      <c r="K416" s="165">
        <f>IFERROR(__xludf.DUMMYFUNCTION("""COMPUTED_VALUE"""),-2.14545650441352)</f>
        <v>-2.145456504</v>
      </c>
      <c r="L416" s="165">
        <f>IFERROR(__xludf.DUMMYFUNCTION("""COMPUTED_VALUE"""),-0.959756416226301)</f>
        <v>-0.9597564162</v>
      </c>
      <c r="M416" s="166">
        <f t="shared" si="2"/>
        <v>-0.5491751422</v>
      </c>
      <c r="N416" s="167">
        <f t="shared" si="3"/>
        <v>14.75453052</v>
      </c>
      <c r="O416" s="163">
        <f t="shared" ref="O416:Q416" si="420">rank(I416,I:I)</f>
        <v>1995</v>
      </c>
      <c r="P416" s="163">
        <f t="shared" si="420"/>
        <v>3907</v>
      </c>
      <c r="Q416" s="163">
        <f t="shared" si="420"/>
        <v>3781</v>
      </c>
      <c r="R416" s="163">
        <f>IFERROR(__xludf.DUMMYFUNCTION("RANK(M416,filter(M:M,C:C=C416))"),472.0)</f>
        <v>472</v>
      </c>
      <c r="S416" s="161" t="b">
        <f t="shared" si="5"/>
        <v>0</v>
      </c>
      <c r="T416" s="161" t="b">
        <f t="array" ref="T416">index('Query Tool'!B:B,match(H416,'Query Tool'!C:C,0))</f>
        <v>1</v>
      </c>
      <c r="U416" s="161" t="b">
        <f t="array" ref="U416">index('Query Tool'!B:B,match(C416,'Query Tool'!C:C,0))</f>
        <v>0</v>
      </c>
      <c r="V416" s="161" t="b">
        <f>F416&gt;='Query Tool'!C$32</f>
        <v>1</v>
      </c>
      <c r="W416" s="161" t="b">
        <f t="array" ref="W416">index(Dropdowns!B:B,match(I416,Dropdowns!A:A,0))</f>
        <v>1</v>
      </c>
      <c r="X416" s="161" t="b">
        <f t="array" ref="X416">index('Query Tool'!B:B,match(D416,'Query Tool'!C:C,0))</f>
        <v>1</v>
      </c>
      <c r="Y416" s="161" t="str">
        <f t="shared" si="6"/>
        <v>garredi02,2013-14</v>
      </c>
      <c r="Z416" s="168" t="str">
        <f t="array" ref="Z416">iferror(index(I:I,match($A416&amp;","&amp;index('Year Conversion'!$A:$A,match($C416,'Year Conversion'!$B:$B,0)),$Y:$Y,0))-I416,"")</f>
        <v/>
      </c>
      <c r="AA416" s="168" t="str">
        <f t="array" ref="AA416">iferror(index(J:J,match($A416&amp;","&amp;index('Year Conversion'!$A:$A,match($C416,'Year Conversion'!$B:$B,0)),$Y:$Y,0))-J416,"")</f>
        <v/>
      </c>
      <c r="AB416" s="168" t="str">
        <f t="array" ref="AB416">iferror(index(K:K,match($A416&amp;","&amp;index('Year Conversion'!$A:$A,match($C416,'Year Conversion'!$B:$B,0)),$Y:$Y,0))-K416,"")</f>
        <v/>
      </c>
      <c r="AC416" s="168" t="str">
        <f t="shared" si="7"/>
        <v>UTA,2013-14</v>
      </c>
    </row>
    <row r="417">
      <c r="A417" s="161" t="str">
        <f>IFERROR(__xludf.DUMMYFUNCTION("""COMPUTED_VALUE"""),"nunnaja01")</f>
        <v>nunnaja01</v>
      </c>
      <c r="B417" s="161" t="str">
        <f>IFERROR(__xludf.DUMMYFUNCTION("""COMPUTED_VALUE"""),"James Nunnally")</f>
        <v>James Nunnally</v>
      </c>
      <c r="C417" s="162" t="str">
        <f>IFERROR(__xludf.DUMMYFUNCTION("""COMPUTED_VALUE"""),"2013-14")</f>
        <v>2013-14</v>
      </c>
      <c r="D417" s="163" t="str">
        <f>IFERROR(__xludf.DUMMYFUNCTION("""COMPUTED_VALUE"""),"TOT")</f>
        <v>TOT</v>
      </c>
      <c r="E417" s="164" t="str">
        <f>IFERROR(__xludf.DUMMYFUNCTION("""COMPUTED_VALUE"""),"Movement Shooter")</f>
        <v>Movement Shooter</v>
      </c>
      <c r="F417" s="164">
        <f>IFERROR(__xludf.DUMMYFUNCTION("""COMPUTED_VALUE"""),165.451666666667)</f>
        <v>165.4516667</v>
      </c>
      <c r="G417" s="163">
        <f>IFERROR(__xludf.DUMMYFUNCTION("""COMPUTED_VALUE"""),13.0)</f>
        <v>13</v>
      </c>
      <c r="H417" s="163" t="str">
        <f>IFERROR(__xludf.DUMMYFUNCTION("""COMPUTED_VALUE"""),"SF")</f>
        <v>SF</v>
      </c>
      <c r="I417" s="163">
        <f>IFERROR(__xludf.DUMMYFUNCTION("""COMPUTED_VALUE"""),23.0)</f>
        <v>23</v>
      </c>
      <c r="J417" s="165">
        <f>IFERROR(__xludf.DUMMYFUNCTION("""COMPUTED_VALUE"""),-0.703241912154635)</f>
        <v>-0.7032419122</v>
      </c>
      <c r="K417" s="165">
        <f>IFERROR(__xludf.DUMMYFUNCTION("""COMPUTED_VALUE"""),-0.867399727334634)</f>
        <v>-0.8673997273</v>
      </c>
      <c r="L417" s="165">
        <f>IFERROR(__xludf.DUMMYFUNCTION("""COMPUTED_VALUE"""),0.164157815179999)</f>
        <v>0.1641578152</v>
      </c>
      <c r="M417" s="166">
        <f t="shared" si="2"/>
        <v>0.1766814656</v>
      </c>
      <c r="N417" s="167">
        <f t="shared" si="3"/>
        <v>12.72705128</v>
      </c>
      <c r="O417" s="163">
        <f t="shared" ref="O417:Q417" si="421">rank(I417,I:I)</f>
        <v>2765</v>
      </c>
      <c r="P417" s="163">
        <f t="shared" si="421"/>
        <v>2147</v>
      </c>
      <c r="Q417" s="163">
        <f t="shared" si="421"/>
        <v>2644</v>
      </c>
      <c r="R417" s="163">
        <f>IFERROR(__xludf.DUMMYFUNCTION("RANK(M417,filter(M:M,C:C=C417))"),333.0)</f>
        <v>333</v>
      </c>
      <c r="S417" s="161" t="b">
        <f t="shared" si="5"/>
        <v>0</v>
      </c>
      <c r="T417" s="161" t="b">
        <f t="array" ref="T417">index('Query Tool'!B:B,match(H417,'Query Tool'!C:C,0))</f>
        <v>1</v>
      </c>
      <c r="U417" s="161" t="b">
        <f t="array" ref="U417">index('Query Tool'!B:B,match(C417,'Query Tool'!C:C,0))</f>
        <v>0</v>
      </c>
      <c r="V417" s="161" t="b">
        <f>F417&gt;='Query Tool'!C$32</f>
        <v>0</v>
      </c>
      <c r="W417" s="161" t="b">
        <f t="array" ref="W417">index(Dropdowns!B:B,match(I417,Dropdowns!A:A,0))</f>
        <v>1</v>
      </c>
      <c r="X417" s="161" t="b">
        <f t="array" ref="X417">index('Query Tool'!B:B,match(D417,'Query Tool'!C:C,0))</f>
        <v>1</v>
      </c>
      <c r="Y417" s="161" t="str">
        <f t="shared" si="6"/>
        <v>nunnaja01,2013-14</v>
      </c>
      <c r="Z417" s="168" t="str">
        <f t="array" ref="Z417">iferror(index(I:I,match($A417&amp;","&amp;index('Year Conversion'!$A:$A,match($C417,'Year Conversion'!$B:$B,0)),$Y:$Y,0))-I417,"")</f>
        <v/>
      </c>
      <c r="AA417" s="168" t="str">
        <f t="array" ref="AA417">iferror(index(J:J,match($A417&amp;","&amp;index('Year Conversion'!$A:$A,match($C417,'Year Conversion'!$B:$B,0)),$Y:$Y,0))-J417,"")</f>
        <v/>
      </c>
      <c r="AB417" s="168" t="str">
        <f t="array" ref="AB417">iferror(index(K:K,match($A417&amp;","&amp;index('Year Conversion'!$A:$A,match($C417,'Year Conversion'!$B:$B,0)),$Y:$Y,0))-K417,"")</f>
        <v/>
      </c>
      <c r="AC417" s="168" t="str">
        <f t="shared" si="7"/>
        <v>TOT,2013-14</v>
      </c>
    </row>
    <row r="418">
      <c r="A418" s="161" t="str">
        <f>IFERROR(__xludf.DUMMYFUNCTION("""COMPUTED_VALUE"""),"gutiejo01")</f>
        <v>gutiejo01</v>
      </c>
      <c r="B418" s="161" t="str">
        <f>IFERROR(__xludf.DUMMYFUNCTION("""COMPUTED_VALUE"""),"Jorge Gutierrez")</f>
        <v>Jorge Gutierrez</v>
      </c>
      <c r="C418" s="162" t="str">
        <f>IFERROR(__xludf.DUMMYFUNCTION("""COMPUTED_VALUE"""),"2013-14")</f>
        <v>2013-14</v>
      </c>
      <c r="D418" s="163" t="str">
        <f>IFERROR(__xludf.DUMMYFUNCTION("""COMPUTED_VALUE"""),"BRK")</f>
        <v>BRK</v>
      </c>
      <c r="E418" s="164" t="str">
        <f>IFERROR(__xludf.DUMMYFUNCTION("""COMPUTED_VALUE"""),"Athletic Finisher")</f>
        <v>Athletic Finisher</v>
      </c>
      <c r="F418" s="164">
        <f>IFERROR(__xludf.DUMMYFUNCTION("""COMPUTED_VALUE"""),244.036666666667)</f>
        <v>244.0366667</v>
      </c>
      <c r="G418" s="163">
        <f>IFERROR(__xludf.DUMMYFUNCTION("""COMPUTED_VALUE"""),15.0)</f>
        <v>15</v>
      </c>
      <c r="H418" s="163" t="str">
        <f>IFERROR(__xludf.DUMMYFUNCTION("""COMPUTED_VALUE"""),"PG")</f>
        <v>PG</v>
      </c>
      <c r="I418" s="163">
        <f>IFERROR(__xludf.DUMMYFUNCTION("""COMPUTED_VALUE"""),25.0)</f>
        <v>25</v>
      </c>
      <c r="J418" s="165">
        <f>IFERROR(__xludf.DUMMYFUNCTION("""COMPUTED_VALUE"""),-2.16384631362939)</f>
        <v>-2.163846314</v>
      </c>
      <c r="K418" s="165">
        <f>IFERROR(__xludf.DUMMYFUNCTION("""COMPUTED_VALUE"""),-1.42930727010051)</f>
        <v>-1.42930727</v>
      </c>
      <c r="L418" s="165">
        <f>IFERROR(__xludf.DUMMYFUNCTION("""COMPUTED_VALUE"""),-0.734539043528878)</f>
        <v>-0.7345390435</v>
      </c>
      <c r="M418" s="166">
        <f t="shared" si="2"/>
        <v>0.02250974598</v>
      </c>
      <c r="N418" s="167">
        <f t="shared" si="3"/>
        <v>16.26911111</v>
      </c>
      <c r="O418" s="163">
        <f t="shared" ref="O418:Q418" si="422">rank(I418,I:I)</f>
        <v>1995</v>
      </c>
      <c r="P418" s="163">
        <f t="shared" si="422"/>
        <v>3591</v>
      </c>
      <c r="Q418" s="163">
        <f t="shared" si="422"/>
        <v>3280</v>
      </c>
      <c r="R418" s="163">
        <f>IFERROR(__xludf.DUMMYFUNCTION("RANK(M418,filter(M:M,C:C=C418))"),410.0)</f>
        <v>410</v>
      </c>
      <c r="S418" s="161" t="b">
        <f t="shared" si="5"/>
        <v>0</v>
      </c>
      <c r="T418" s="161" t="b">
        <f t="array" ref="T418">index('Query Tool'!B:B,match(H418,'Query Tool'!C:C,0))</f>
        <v>1</v>
      </c>
      <c r="U418" s="161" t="b">
        <f t="array" ref="U418">index('Query Tool'!B:B,match(C418,'Query Tool'!C:C,0))</f>
        <v>0</v>
      </c>
      <c r="V418" s="161" t="b">
        <f>F418&gt;='Query Tool'!C$32</f>
        <v>0</v>
      </c>
      <c r="W418" s="161" t="b">
        <f t="array" ref="W418">index(Dropdowns!B:B,match(I418,Dropdowns!A:A,0))</f>
        <v>1</v>
      </c>
      <c r="X418" s="161" t="b">
        <f t="array" ref="X418">index('Query Tool'!B:B,match(D418,'Query Tool'!C:C,0))</f>
        <v>1</v>
      </c>
      <c r="Y418" s="161" t="str">
        <f t="shared" si="6"/>
        <v>gutiejo01,2013-14</v>
      </c>
      <c r="Z418" s="168">
        <f t="array" ref="Z418">iferror(index(I:I,match($A418&amp;","&amp;index('Year Conversion'!$A:$A,match($C418,'Year Conversion'!$B:$B,0)),$Y:$Y,0))-I418,"")</f>
        <v>1</v>
      </c>
      <c r="AA418" s="168">
        <f t="array" ref="AA418">iferror(index(J:J,match($A418&amp;","&amp;index('Year Conversion'!$A:$A,match($C418,'Year Conversion'!$B:$B,0)),$Y:$Y,0))-J418,"")</f>
        <v>1.265317598</v>
      </c>
      <c r="AB418" s="168">
        <f t="array" ref="AB418">iferror(index(K:K,match($A418&amp;","&amp;index('Year Conversion'!$A:$A,match($C418,'Year Conversion'!$B:$B,0)),$Y:$Y,0))-K418,"")</f>
        <v>0.7260077749</v>
      </c>
      <c r="AC418" s="168" t="str">
        <f t="shared" si="7"/>
        <v>BRK,2013-14</v>
      </c>
    </row>
    <row r="419">
      <c r="A419" s="161" t="str">
        <f>IFERROR(__xludf.DUMMYFUNCTION("""COMPUTED_VALUE"""),"murryto01")</f>
        <v>murryto01</v>
      </c>
      <c r="B419" s="161" t="str">
        <f>IFERROR(__xludf.DUMMYFUNCTION("""COMPUTED_VALUE"""),"Toure' Murry")</f>
        <v>Toure' Murry</v>
      </c>
      <c r="C419" s="162" t="str">
        <f>IFERROR(__xludf.DUMMYFUNCTION("""COMPUTED_VALUE"""),"2013-14")</f>
        <v>2013-14</v>
      </c>
      <c r="D419" s="163" t="str">
        <f>IFERROR(__xludf.DUMMYFUNCTION("""COMPUTED_VALUE"""),"NYK")</f>
        <v>NYK</v>
      </c>
      <c r="E419" s="164" t="str">
        <f>IFERROR(__xludf.DUMMYFUNCTION("""COMPUTED_VALUE"""),"Slasher")</f>
        <v>Slasher</v>
      </c>
      <c r="F419" s="164">
        <f>IFERROR(__xludf.DUMMYFUNCTION("""COMPUTED_VALUE"""),372.441666666667)</f>
        <v>372.4416667</v>
      </c>
      <c r="G419" s="163">
        <f>IFERROR(__xludf.DUMMYFUNCTION("""COMPUTED_VALUE"""),51.0)</f>
        <v>51</v>
      </c>
      <c r="H419" s="163" t="str">
        <f>IFERROR(__xludf.DUMMYFUNCTION("""COMPUTED_VALUE"""),"PG")</f>
        <v>PG</v>
      </c>
      <c r="I419" s="163">
        <f>IFERROR(__xludf.DUMMYFUNCTION("""COMPUTED_VALUE"""),24.0)</f>
        <v>24</v>
      </c>
      <c r="J419" s="165">
        <f>IFERROR(__xludf.DUMMYFUNCTION("""COMPUTED_VALUE"""),-2.02165294760099)</f>
        <v>-2.021652948</v>
      </c>
      <c r="K419" s="165">
        <f>IFERROR(__xludf.DUMMYFUNCTION("""COMPUTED_VALUE"""),-1.30771210978122)</f>
        <v>-1.30771211</v>
      </c>
      <c r="L419" s="165">
        <f>IFERROR(__xludf.DUMMYFUNCTION("""COMPUTED_VALUE"""),-0.713940837819768)</f>
        <v>-0.7139408378</v>
      </c>
      <c r="M419" s="166">
        <f t="shared" si="2"/>
        <v>0.06941387638</v>
      </c>
      <c r="N419" s="167">
        <f t="shared" si="3"/>
        <v>7.302777778</v>
      </c>
      <c r="O419" s="163">
        <f t="shared" ref="O419:Q419" si="423">rank(I419,I:I)</f>
        <v>2361</v>
      </c>
      <c r="P419" s="163">
        <f t="shared" si="423"/>
        <v>3496</v>
      </c>
      <c r="Q419" s="163">
        <f t="shared" si="423"/>
        <v>3156</v>
      </c>
      <c r="R419" s="163">
        <f>IFERROR(__xludf.DUMMYFUNCTION("RANK(M419,filter(M:M,C:C=C419))"),374.0)</f>
        <v>374</v>
      </c>
      <c r="S419" s="161" t="b">
        <f t="shared" si="5"/>
        <v>0</v>
      </c>
      <c r="T419" s="161" t="b">
        <f t="array" ref="T419">index('Query Tool'!B:B,match(H419,'Query Tool'!C:C,0))</f>
        <v>1</v>
      </c>
      <c r="U419" s="161" t="b">
        <f t="array" ref="U419">index('Query Tool'!B:B,match(C419,'Query Tool'!C:C,0))</f>
        <v>0</v>
      </c>
      <c r="V419" s="161" t="b">
        <f>F419&gt;='Query Tool'!C$32</f>
        <v>0</v>
      </c>
      <c r="W419" s="161" t="b">
        <f t="array" ref="W419">index(Dropdowns!B:B,match(I419,Dropdowns!A:A,0))</f>
        <v>1</v>
      </c>
      <c r="X419" s="161" t="b">
        <f t="array" ref="X419">index('Query Tool'!B:B,match(D419,'Query Tool'!C:C,0))</f>
        <v>1</v>
      </c>
      <c r="Y419" s="161" t="str">
        <f t="shared" si="6"/>
        <v>murryto01,2013-14</v>
      </c>
      <c r="Z419" s="168">
        <f t="array" ref="Z419">iferror(index(I:I,match($A419&amp;","&amp;index('Year Conversion'!$A:$A,match($C419,'Year Conversion'!$B:$B,0)),$Y:$Y,0))-I419,"")</f>
        <v>1</v>
      </c>
      <c r="AA419" s="168">
        <f t="array" ref="AA419">iferror(index(J:J,match($A419&amp;","&amp;index('Year Conversion'!$A:$A,match($C419,'Year Conversion'!$B:$B,0)),$Y:$Y,0))-J419,"")</f>
        <v>1.828098039</v>
      </c>
      <c r="AB419" s="168">
        <f t="array" ref="AB419">iferror(index(K:K,match($A419&amp;","&amp;index('Year Conversion'!$A:$A,match($C419,'Year Conversion'!$B:$B,0)),$Y:$Y,0))-K419,"")</f>
        <v>1.154941162</v>
      </c>
      <c r="AC419" s="168" t="str">
        <f t="shared" si="7"/>
        <v>NYK,2013-14</v>
      </c>
    </row>
    <row r="420">
      <c r="A420" s="161" t="str">
        <f>IFERROR(__xludf.DUMMYFUNCTION("""COMPUTED_VALUE"""),"ricegl02")</f>
        <v>ricegl02</v>
      </c>
      <c r="B420" s="161" t="str">
        <f>IFERROR(__xludf.DUMMYFUNCTION("""COMPUTED_VALUE"""),"Glen Rice")</f>
        <v>Glen Rice</v>
      </c>
      <c r="C420" s="162" t="str">
        <f>IFERROR(__xludf.DUMMYFUNCTION("""COMPUTED_VALUE"""),"2013-14")</f>
        <v>2013-14</v>
      </c>
      <c r="D420" s="163" t="str">
        <f>IFERROR(__xludf.DUMMYFUNCTION("""COMPUTED_VALUE"""),"WAS")</f>
        <v>WAS</v>
      </c>
      <c r="E420" s="164" t="str">
        <f>IFERROR(__xludf.DUMMYFUNCTION("""COMPUTED_VALUE"""),"Movement Shooter")</f>
        <v>Movement Shooter</v>
      </c>
      <c r="F420" s="164">
        <f>IFERROR(__xludf.DUMMYFUNCTION("""COMPUTED_VALUE"""),108.63)</f>
        <v>108.63</v>
      </c>
      <c r="G420" s="163">
        <f>IFERROR(__xludf.DUMMYFUNCTION("""COMPUTED_VALUE"""),11.0)</f>
        <v>11</v>
      </c>
      <c r="H420" s="163" t="str">
        <f>IFERROR(__xludf.DUMMYFUNCTION("""COMPUTED_VALUE"""),"SG")</f>
        <v>SG</v>
      </c>
      <c r="I420" s="163">
        <f>IFERROR(__xludf.DUMMYFUNCTION("""COMPUTED_VALUE"""),23.0)</f>
        <v>23</v>
      </c>
      <c r="J420" s="165">
        <f>IFERROR(__xludf.DUMMYFUNCTION("""COMPUTED_VALUE"""),-0.527896258045577)</f>
        <v>-0.527896258</v>
      </c>
      <c r="K420" s="165">
        <f>IFERROR(__xludf.DUMMYFUNCTION("""COMPUTED_VALUE"""),-0.589858411433779)</f>
        <v>-0.5898584114</v>
      </c>
      <c r="L420" s="165">
        <f>IFERROR(__xludf.DUMMYFUNCTION("""COMPUTED_VALUE"""),0.0619621533882015)</f>
        <v>0.06196215339</v>
      </c>
      <c r="M420" s="166">
        <f t="shared" si="2"/>
        <v>0.1288245454</v>
      </c>
      <c r="N420" s="167">
        <f t="shared" si="3"/>
        <v>9.875454545</v>
      </c>
      <c r="O420" s="163">
        <f t="shared" ref="O420:Q420" si="424">rank(I420,I:I)</f>
        <v>2765</v>
      </c>
      <c r="P420" s="163">
        <f t="shared" si="424"/>
        <v>1892</v>
      </c>
      <c r="Q420" s="163">
        <f t="shared" si="424"/>
        <v>2251</v>
      </c>
      <c r="R420" s="163">
        <f>IFERROR(__xludf.DUMMYFUNCTION("RANK(M420,filter(M:M,C:C=C420))"),347.0)</f>
        <v>347</v>
      </c>
      <c r="S420" s="161" t="b">
        <f t="shared" si="5"/>
        <v>0</v>
      </c>
      <c r="T420" s="161" t="b">
        <f t="array" ref="T420">index('Query Tool'!B:B,match(H420,'Query Tool'!C:C,0))</f>
        <v>1</v>
      </c>
      <c r="U420" s="161" t="b">
        <f t="array" ref="U420">index('Query Tool'!B:B,match(C420,'Query Tool'!C:C,0))</f>
        <v>0</v>
      </c>
      <c r="V420" s="161" t="b">
        <f>F420&gt;='Query Tool'!C$32</f>
        <v>0</v>
      </c>
      <c r="W420" s="161" t="b">
        <f t="array" ref="W420">index(Dropdowns!B:B,match(I420,Dropdowns!A:A,0))</f>
        <v>1</v>
      </c>
      <c r="X420" s="161" t="b">
        <f t="array" ref="X420">index('Query Tool'!B:B,match(D420,'Query Tool'!C:C,0))</f>
        <v>1</v>
      </c>
      <c r="Y420" s="161" t="str">
        <f t="shared" si="6"/>
        <v>ricegl02,2013-14</v>
      </c>
      <c r="Z420" s="168">
        <f t="array" ref="Z420">iferror(index(I:I,match($A420&amp;","&amp;index('Year Conversion'!$A:$A,match($C420,'Year Conversion'!$B:$B,0)),$Y:$Y,0))-I420,"")</f>
        <v>1</v>
      </c>
      <c r="AA420" s="168">
        <f t="array" ref="AA420">iferror(index(J:J,match($A420&amp;","&amp;index('Year Conversion'!$A:$A,match($C420,'Year Conversion'!$B:$B,0)),$Y:$Y,0))-J420,"")</f>
        <v>0.1100883958</v>
      </c>
      <c r="AB420" s="168">
        <f t="array" ref="AB420">iferror(index(K:K,match($A420&amp;","&amp;index('Year Conversion'!$A:$A,match($C420,'Year Conversion'!$B:$B,0)),$Y:$Y,0))-K420,"")</f>
        <v>0.4101869224</v>
      </c>
      <c r="AC420" s="168" t="str">
        <f t="shared" si="7"/>
        <v>WAS,2013-14</v>
      </c>
    </row>
    <row r="421">
      <c r="A421" s="161" t="str">
        <f>IFERROR(__xludf.DUMMYFUNCTION("""COMPUTED_VALUE"""),"baynear01")</f>
        <v>baynear01</v>
      </c>
      <c r="B421" s="161" t="str">
        <f>IFERROR(__xludf.DUMMYFUNCTION("""COMPUTED_VALUE"""),"Aron Baynes")</f>
        <v>Aron Baynes</v>
      </c>
      <c r="C421" s="162" t="str">
        <f>IFERROR(__xludf.DUMMYFUNCTION("""COMPUTED_VALUE"""),"2013-14")</f>
        <v>2013-14</v>
      </c>
      <c r="D421" s="163" t="str">
        <f>IFERROR(__xludf.DUMMYFUNCTION("""COMPUTED_VALUE"""),"SAS")</f>
        <v>SAS</v>
      </c>
      <c r="E421" s="164" t="str">
        <f>IFERROR(__xludf.DUMMYFUNCTION("""COMPUTED_VALUE"""),"Post Scorer")</f>
        <v>Post Scorer</v>
      </c>
      <c r="F421" s="164">
        <f>IFERROR(__xludf.DUMMYFUNCTION("""COMPUTED_VALUE"""),490.808333333333)</f>
        <v>490.8083333</v>
      </c>
      <c r="G421" s="163">
        <f>IFERROR(__xludf.DUMMYFUNCTION("""COMPUTED_VALUE"""),53.0)</f>
        <v>53</v>
      </c>
      <c r="H421" s="163" t="str">
        <f>IFERROR(__xludf.DUMMYFUNCTION("""COMPUTED_VALUE"""),"C")</f>
        <v>C</v>
      </c>
      <c r="I421" s="163">
        <f>IFERROR(__xludf.DUMMYFUNCTION("""COMPUTED_VALUE"""),27.0)</f>
        <v>27</v>
      </c>
      <c r="J421" s="165">
        <f>IFERROR(__xludf.DUMMYFUNCTION("""COMPUTED_VALUE"""),-3.23495084723257)</f>
        <v>-3.234950847</v>
      </c>
      <c r="K421" s="165">
        <f>IFERROR(__xludf.DUMMYFUNCTION("""COMPUTED_VALUE"""),-1.8984466506865)</f>
        <v>-1.898446651</v>
      </c>
      <c r="L421" s="165">
        <f>IFERROR(__xludf.DUMMYFUNCTION("""COMPUTED_VALUE"""),-1.33650419654608)</f>
        <v>-1.336504197</v>
      </c>
      <c r="M421" s="166">
        <f t="shared" si="2"/>
        <v>-0.2984803215</v>
      </c>
      <c r="N421" s="167">
        <f t="shared" si="3"/>
        <v>9.260534591</v>
      </c>
      <c r="O421" s="163">
        <f t="shared" ref="O421:Q421" si="425">rank(I421,I:I)</f>
        <v>1366</v>
      </c>
      <c r="P421" s="163">
        <f t="shared" si="425"/>
        <v>3933</v>
      </c>
      <c r="Q421" s="163">
        <f t="shared" si="425"/>
        <v>3644</v>
      </c>
      <c r="R421" s="163">
        <f>IFERROR(__xludf.DUMMYFUNCTION("RANK(M421,filter(M:M,C:C=C421))"),463.0)</f>
        <v>463</v>
      </c>
      <c r="S421" s="161" t="b">
        <f t="shared" si="5"/>
        <v>0</v>
      </c>
      <c r="T421" s="161" t="b">
        <f t="array" ref="T421">index('Query Tool'!B:B,match(H421,'Query Tool'!C:C,0))</f>
        <v>1</v>
      </c>
      <c r="U421" s="161" t="b">
        <f t="array" ref="U421">index('Query Tool'!B:B,match(C421,'Query Tool'!C:C,0))</f>
        <v>0</v>
      </c>
      <c r="V421" s="161" t="b">
        <f>F421&gt;='Query Tool'!C$32</f>
        <v>0</v>
      </c>
      <c r="W421" s="161" t="b">
        <f t="array" ref="W421">index(Dropdowns!B:B,match(I421,Dropdowns!A:A,0))</f>
        <v>1</v>
      </c>
      <c r="X421" s="161" t="b">
        <f t="array" ref="X421">index('Query Tool'!B:B,match(D421,'Query Tool'!C:C,0))</f>
        <v>1</v>
      </c>
      <c r="Y421" s="161" t="str">
        <f t="shared" si="6"/>
        <v>baynear01,2013-14</v>
      </c>
      <c r="Z421" s="168">
        <f t="array" ref="Z421">iferror(index(I:I,match($A421&amp;","&amp;index('Year Conversion'!$A:$A,match($C421,'Year Conversion'!$B:$B,0)),$Y:$Y,0))-I421,"")</f>
        <v>1</v>
      </c>
      <c r="AA421" s="168">
        <f t="array" ref="AA421">iferror(index(J:J,match($A421&amp;","&amp;index('Year Conversion'!$A:$A,match($C421,'Year Conversion'!$B:$B,0)),$Y:$Y,0))-J421,"")</f>
        <v>3.302040942</v>
      </c>
      <c r="AB421" s="168">
        <f t="array" ref="AB421">iferror(index(K:K,match($A421&amp;","&amp;index('Year Conversion'!$A:$A,match($C421,'Year Conversion'!$B:$B,0)),$Y:$Y,0))-K421,"")</f>
        <v>1.279303534</v>
      </c>
      <c r="AC421" s="168" t="str">
        <f t="shared" si="7"/>
        <v>SAS,2013-14</v>
      </c>
    </row>
    <row r="422">
      <c r="A422" s="161" t="str">
        <f>IFERROR(__xludf.DUMMYFUNCTION("""COMPUTED_VALUE"""),"lenal01")</f>
        <v>lenal01</v>
      </c>
      <c r="B422" s="161" t="str">
        <f>IFERROR(__xludf.DUMMYFUNCTION("""COMPUTED_VALUE"""),"Alex Len")</f>
        <v>Alex Len</v>
      </c>
      <c r="C422" s="162" t="str">
        <f>IFERROR(__xludf.DUMMYFUNCTION("""COMPUTED_VALUE"""),"2013-14")</f>
        <v>2013-14</v>
      </c>
      <c r="D422" s="163" t="str">
        <f>IFERROR(__xludf.DUMMYFUNCTION("""COMPUTED_VALUE"""),"PHO")</f>
        <v>PHO</v>
      </c>
      <c r="E422" s="164" t="str">
        <f>IFERROR(__xludf.DUMMYFUNCTION("""COMPUTED_VALUE"""),"Post Scorer")</f>
        <v>Post Scorer</v>
      </c>
      <c r="F422" s="164">
        <f>IFERROR(__xludf.DUMMYFUNCTION("""COMPUTED_VALUE"""),362.283333333333)</f>
        <v>362.2833333</v>
      </c>
      <c r="G422" s="163">
        <f>IFERROR(__xludf.DUMMYFUNCTION("""COMPUTED_VALUE"""),42.0)</f>
        <v>42</v>
      </c>
      <c r="H422" s="163" t="str">
        <f>IFERROR(__xludf.DUMMYFUNCTION("""COMPUTED_VALUE"""),"C")</f>
        <v>C</v>
      </c>
      <c r="I422" s="163">
        <f>IFERROR(__xludf.DUMMYFUNCTION("""COMPUTED_VALUE"""),20.0)</f>
        <v>20</v>
      </c>
      <c r="J422" s="165">
        <f>IFERROR(__xludf.DUMMYFUNCTION("""COMPUTED_VALUE"""),-3.20593417453324)</f>
        <v>-3.205934175</v>
      </c>
      <c r="K422" s="165">
        <f>IFERROR(__xludf.DUMMYFUNCTION("""COMPUTED_VALUE"""),-3.02543556777521)</f>
        <v>-3.025435568</v>
      </c>
      <c r="L422" s="165">
        <f>IFERROR(__xludf.DUMMYFUNCTION("""COMPUTED_VALUE"""),-0.180498606758033)</f>
        <v>-0.1804986068</v>
      </c>
      <c r="M422" s="166">
        <f t="shared" si="2"/>
        <v>-0.2135295713</v>
      </c>
      <c r="N422" s="167">
        <f t="shared" si="3"/>
        <v>8.625793651</v>
      </c>
      <c r="O422" s="163">
        <f t="shared" ref="O422:Q422" si="426">rank(I422,I:I)</f>
        <v>3770</v>
      </c>
      <c r="P422" s="163">
        <f t="shared" si="426"/>
        <v>3927</v>
      </c>
      <c r="Q422" s="163">
        <f t="shared" si="426"/>
        <v>3982</v>
      </c>
      <c r="R422" s="163">
        <f>IFERROR(__xludf.DUMMYFUNCTION("RANK(M422,filter(M:M,C:C=C422))"),458.0)</f>
        <v>458</v>
      </c>
      <c r="S422" s="161" t="b">
        <f t="shared" si="5"/>
        <v>0</v>
      </c>
      <c r="T422" s="161" t="b">
        <f t="array" ref="T422">index('Query Tool'!B:B,match(H422,'Query Tool'!C:C,0))</f>
        <v>1</v>
      </c>
      <c r="U422" s="161" t="b">
        <f t="array" ref="U422">index('Query Tool'!B:B,match(C422,'Query Tool'!C:C,0))</f>
        <v>0</v>
      </c>
      <c r="V422" s="161" t="b">
        <f>F422&gt;='Query Tool'!C$32</f>
        <v>0</v>
      </c>
      <c r="W422" s="161" t="b">
        <f t="array" ref="W422">index(Dropdowns!B:B,match(I422,Dropdowns!A:A,0))</f>
        <v>1</v>
      </c>
      <c r="X422" s="161" t="b">
        <f t="array" ref="X422">index('Query Tool'!B:B,match(D422,'Query Tool'!C:C,0))</f>
        <v>1</v>
      </c>
      <c r="Y422" s="161" t="str">
        <f t="shared" si="6"/>
        <v>lenal01,2013-14</v>
      </c>
      <c r="Z422" s="168">
        <f t="array" ref="Z422">iferror(index(I:I,match($A422&amp;","&amp;index('Year Conversion'!$A:$A,match($C422,'Year Conversion'!$B:$B,0)),$Y:$Y,0))-I422,"")</f>
        <v>1</v>
      </c>
      <c r="AA422" s="168">
        <f t="array" ref="AA422">iferror(index(J:J,match($A422&amp;","&amp;index('Year Conversion'!$A:$A,match($C422,'Year Conversion'!$B:$B,0)),$Y:$Y,0))-J422,"")</f>
        <v>2.887851483</v>
      </c>
      <c r="AB422" s="168">
        <f t="array" ref="AB422">iferror(index(K:K,match($A422&amp;","&amp;index('Year Conversion'!$A:$A,match($C422,'Year Conversion'!$B:$B,0)),$Y:$Y,0))-K422,"")</f>
        <v>0.6470003545</v>
      </c>
      <c r="AC422" s="168" t="str">
        <f t="shared" si="7"/>
        <v>PHO,2013-14</v>
      </c>
    </row>
    <row r="423">
      <c r="A423" s="161" t="str">
        <f>IFERROR(__xludf.DUMMYFUNCTION("""COMPUTED_VALUE"""),"crabbal01")</f>
        <v>crabbal01</v>
      </c>
      <c r="B423" s="161" t="str">
        <f>IFERROR(__xludf.DUMMYFUNCTION("""COMPUTED_VALUE"""),"Allen Crabbe")</f>
        <v>Allen Crabbe</v>
      </c>
      <c r="C423" s="162" t="str">
        <f>IFERROR(__xludf.DUMMYFUNCTION("""COMPUTED_VALUE"""),"2013-14")</f>
        <v>2013-14</v>
      </c>
      <c r="D423" s="163" t="str">
        <f>IFERROR(__xludf.DUMMYFUNCTION("""COMPUTED_VALUE"""),"POR")</f>
        <v>POR</v>
      </c>
      <c r="E423" s="164" t="str">
        <f>IFERROR(__xludf.DUMMYFUNCTION("""COMPUTED_VALUE"""),"Stationary Shooter")</f>
        <v>Stationary Shooter</v>
      </c>
      <c r="F423" s="164">
        <f>IFERROR(__xludf.DUMMYFUNCTION("""COMPUTED_VALUE"""),99.7783333333333)</f>
        <v>99.77833333</v>
      </c>
      <c r="G423" s="163">
        <f>IFERROR(__xludf.DUMMYFUNCTION("""COMPUTED_VALUE"""),15.0)</f>
        <v>15</v>
      </c>
      <c r="H423" s="163" t="str">
        <f>IFERROR(__xludf.DUMMYFUNCTION("""COMPUTED_VALUE"""),"SG")</f>
        <v>SG</v>
      </c>
      <c r="I423" s="163">
        <f>IFERROR(__xludf.DUMMYFUNCTION("""COMPUTED_VALUE"""),21.0)</f>
        <v>21</v>
      </c>
      <c r="J423" s="165">
        <f>IFERROR(__xludf.DUMMYFUNCTION("""COMPUTED_VALUE"""),-1.4603976536591)</f>
        <v>-1.460397654</v>
      </c>
      <c r="K423" s="165">
        <f>IFERROR(__xludf.DUMMYFUNCTION("""COMPUTED_VALUE"""),-0.929062266419608)</f>
        <v>-0.9290622664</v>
      </c>
      <c r="L423" s="165">
        <f>IFERROR(__xludf.DUMMYFUNCTION("""COMPUTED_VALUE"""),-0.531335387239492)</f>
        <v>-0.5313353872</v>
      </c>
      <c r="M423" s="166">
        <f t="shared" si="2"/>
        <v>0.05587469414</v>
      </c>
      <c r="N423" s="167">
        <f t="shared" si="3"/>
        <v>6.651888889</v>
      </c>
      <c r="O423" s="163">
        <f t="shared" ref="O423:Q423" si="427">rank(I423,I:I)</f>
        <v>3528</v>
      </c>
      <c r="P423" s="163">
        <f t="shared" si="427"/>
        <v>3015</v>
      </c>
      <c r="Q423" s="163">
        <f t="shared" si="427"/>
        <v>2723</v>
      </c>
      <c r="R423" s="163">
        <f>IFERROR(__xludf.DUMMYFUNCTION("RANK(M423,filter(M:M,C:C=C423))"),385.0)</f>
        <v>385</v>
      </c>
      <c r="S423" s="161" t="b">
        <f t="shared" si="5"/>
        <v>0</v>
      </c>
      <c r="T423" s="161" t="b">
        <f t="array" ref="T423">index('Query Tool'!B:B,match(H423,'Query Tool'!C:C,0))</f>
        <v>1</v>
      </c>
      <c r="U423" s="161" t="b">
        <f t="array" ref="U423">index('Query Tool'!B:B,match(C423,'Query Tool'!C:C,0))</f>
        <v>0</v>
      </c>
      <c r="V423" s="161" t="b">
        <f>F423&gt;='Query Tool'!C$32</f>
        <v>0</v>
      </c>
      <c r="W423" s="161" t="b">
        <f t="array" ref="W423">index(Dropdowns!B:B,match(I423,Dropdowns!A:A,0))</f>
        <v>1</v>
      </c>
      <c r="X423" s="161" t="b">
        <f t="array" ref="X423">index('Query Tool'!B:B,match(D423,'Query Tool'!C:C,0))</f>
        <v>1</v>
      </c>
      <c r="Y423" s="161" t="str">
        <f t="shared" si="6"/>
        <v>crabbal01,2013-14</v>
      </c>
      <c r="Z423" s="168">
        <f t="array" ref="Z423">iferror(index(I:I,match($A423&amp;","&amp;index('Year Conversion'!$A:$A,match($C423,'Year Conversion'!$B:$B,0)),$Y:$Y,0))-I423,"")</f>
        <v>1</v>
      </c>
      <c r="AA423" s="168">
        <f t="array" ref="AA423">iferror(index(J:J,match($A423&amp;","&amp;index('Year Conversion'!$A:$A,match($C423,'Year Conversion'!$B:$B,0)),$Y:$Y,0))-J423,"")</f>
        <v>-1.054379392</v>
      </c>
      <c r="AB423" s="168">
        <f t="array" ref="AB423">iferror(index(K:K,match($A423&amp;","&amp;index('Year Conversion'!$A:$A,match($C423,'Year Conversion'!$B:$B,0)),$Y:$Y,0))-K423,"")</f>
        <v>-0.8921834114</v>
      </c>
      <c r="AC423" s="168" t="str">
        <f t="shared" si="7"/>
        <v>POR,2013-14</v>
      </c>
    </row>
    <row r="424">
      <c r="A424" s="161" t="str">
        <f>IFERROR(__xludf.DUMMYFUNCTION("""COMPUTED_VALUE"""),"roberan03")</f>
        <v>roberan03</v>
      </c>
      <c r="B424" s="161" t="str">
        <f>IFERROR(__xludf.DUMMYFUNCTION("""COMPUTED_VALUE"""),"Andre Roberson")</f>
        <v>Andre Roberson</v>
      </c>
      <c r="C424" s="162" t="str">
        <f>IFERROR(__xludf.DUMMYFUNCTION("""COMPUTED_VALUE"""),"2013-14")</f>
        <v>2013-14</v>
      </c>
      <c r="D424" s="163" t="str">
        <f>IFERROR(__xludf.DUMMYFUNCTION("""COMPUTED_VALUE"""),"OKC")</f>
        <v>OKC</v>
      </c>
      <c r="E424" s="164" t="str">
        <f>IFERROR(__xludf.DUMMYFUNCTION("""COMPUTED_VALUE"""),"Athletic Finisher")</f>
        <v>Athletic Finisher</v>
      </c>
      <c r="F424" s="164">
        <f>IFERROR(__xludf.DUMMYFUNCTION("""COMPUTED_VALUE"""),399.043333333334)</f>
        <v>399.0433333</v>
      </c>
      <c r="G424" s="163">
        <f>IFERROR(__xludf.DUMMYFUNCTION("""COMPUTED_VALUE"""),40.0)</f>
        <v>40</v>
      </c>
      <c r="H424" s="163" t="str">
        <f>IFERROR(__xludf.DUMMYFUNCTION("""COMPUTED_VALUE"""),"SG")</f>
        <v>SG</v>
      </c>
      <c r="I424" s="163">
        <f>IFERROR(__xludf.DUMMYFUNCTION("""COMPUTED_VALUE"""),22.0)</f>
        <v>22</v>
      </c>
      <c r="J424" s="165">
        <f>IFERROR(__xludf.DUMMYFUNCTION("""COMPUTED_VALUE"""),-2.55595555918846)</f>
        <v>-2.555955559</v>
      </c>
      <c r="K424" s="165">
        <f>IFERROR(__xludf.DUMMYFUNCTION("""COMPUTED_VALUE"""),-2.55336604458178)</f>
        <v>-2.553366045</v>
      </c>
      <c r="L424" s="165">
        <f>IFERROR(__xludf.DUMMYFUNCTION("""COMPUTED_VALUE"""),-0.00258951460668277)</f>
        <v>-0.002589514607</v>
      </c>
      <c r="M424" s="166">
        <f t="shared" si="2"/>
        <v>-0.0662658926</v>
      </c>
      <c r="N424" s="167">
        <f t="shared" si="3"/>
        <v>9.976083333</v>
      </c>
      <c r="O424" s="163">
        <f t="shared" ref="O424:Q424" si="428">rank(I424,I:I)</f>
        <v>3178</v>
      </c>
      <c r="P424" s="163">
        <f t="shared" si="428"/>
        <v>3774</v>
      </c>
      <c r="Q424" s="163">
        <f t="shared" si="428"/>
        <v>3903</v>
      </c>
      <c r="R424" s="163">
        <f>IFERROR(__xludf.DUMMYFUNCTION("RANK(M424,filter(M:M,C:C=C424))"),438.0)</f>
        <v>438</v>
      </c>
      <c r="S424" s="161" t="b">
        <f t="shared" si="5"/>
        <v>0</v>
      </c>
      <c r="T424" s="161" t="b">
        <f t="array" ref="T424">index('Query Tool'!B:B,match(H424,'Query Tool'!C:C,0))</f>
        <v>1</v>
      </c>
      <c r="U424" s="161" t="b">
        <f t="array" ref="U424">index('Query Tool'!B:B,match(C424,'Query Tool'!C:C,0))</f>
        <v>0</v>
      </c>
      <c r="V424" s="161" t="b">
        <f>F424&gt;='Query Tool'!C$32</f>
        <v>0</v>
      </c>
      <c r="W424" s="161" t="b">
        <f t="array" ref="W424">index(Dropdowns!B:B,match(I424,Dropdowns!A:A,0))</f>
        <v>1</v>
      </c>
      <c r="X424" s="161" t="b">
        <f t="array" ref="X424">index('Query Tool'!B:B,match(D424,'Query Tool'!C:C,0))</f>
        <v>1</v>
      </c>
      <c r="Y424" s="161" t="str">
        <f t="shared" si="6"/>
        <v>roberan03,2013-14</v>
      </c>
      <c r="Z424" s="168">
        <f t="array" ref="Z424">iferror(index(I:I,match($A424&amp;","&amp;index('Year Conversion'!$A:$A,match($C424,'Year Conversion'!$B:$B,0)),$Y:$Y,0))-I424,"")</f>
        <v>1</v>
      </c>
      <c r="AA424" s="168">
        <f t="array" ref="AA424">iferror(index(J:J,match($A424&amp;","&amp;index('Year Conversion'!$A:$A,match($C424,'Year Conversion'!$B:$B,0)),$Y:$Y,0))-J424,"")</f>
        <v>3.767831774</v>
      </c>
      <c r="AB424" s="168">
        <f t="array" ref="AB424">iferror(index(K:K,match($A424&amp;","&amp;index('Year Conversion'!$A:$A,match($C424,'Year Conversion'!$B:$B,0)),$Y:$Y,0))-K424,"")</f>
        <v>1.242480518</v>
      </c>
      <c r="AC424" s="168" t="str">
        <f t="shared" si="7"/>
        <v>OKC,2013-14</v>
      </c>
    </row>
    <row r="425">
      <c r="A425" s="161" t="str">
        <f>IFERROR(__xludf.DUMMYFUNCTION("""COMPUTED_VALUE"""),"bennean01")</f>
        <v>bennean01</v>
      </c>
      <c r="B425" s="161" t="str">
        <f>IFERROR(__xludf.DUMMYFUNCTION("""COMPUTED_VALUE"""),"Anthony Bennett")</f>
        <v>Anthony Bennett</v>
      </c>
      <c r="C425" s="162" t="str">
        <f>IFERROR(__xludf.DUMMYFUNCTION("""COMPUTED_VALUE"""),"2013-14")</f>
        <v>2013-14</v>
      </c>
      <c r="D425" s="163" t="str">
        <f>IFERROR(__xludf.DUMMYFUNCTION("""COMPUTED_VALUE"""),"CLE")</f>
        <v>CLE</v>
      </c>
      <c r="E425" s="164" t="str">
        <f>IFERROR(__xludf.DUMMYFUNCTION("""COMPUTED_VALUE"""),"Roll + Cut Big")</f>
        <v>Roll + Cut Big</v>
      </c>
      <c r="F425" s="164">
        <f>IFERROR(__xludf.DUMMYFUNCTION("""COMPUTED_VALUE"""),662.638333333333)</f>
        <v>662.6383333</v>
      </c>
      <c r="G425" s="163">
        <f>IFERROR(__xludf.DUMMYFUNCTION("""COMPUTED_VALUE"""),52.0)</f>
        <v>52</v>
      </c>
      <c r="H425" s="163" t="str">
        <f>IFERROR(__xludf.DUMMYFUNCTION("""COMPUTED_VALUE"""),"PF")</f>
        <v>PF</v>
      </c>
      <c r="I425" s="163">
        <f>IFERROR(__xludf.DUMMYFUNCTION("""COMPUTED_VALUE"""),20.0)</f>
        <v>20</v>
      </c>
      <c r="J425" s="165">
        <f>IFERROR(__xludf.DUMMYFUNCTION("""COMPUTED_VALUE"""),-2.84302151870097)</f>
        <v>-2.843021519</v>
      </c>
      <c r="K425" s="165">
        <f>IFERROR(__xludf.DUMMYFUNCTION("""COMPUTED_VALUE"""),-2.37236463459318)</f>
        <v>-2.372364635</v>
      </c>
      <c r="L425" s="165">
        <f>IFERROR(__xludf.DUMMYFUNCTION("""COMPUTED_VALUE"""),-0.47065688410779)</f>
        <v>-0.4706568841</v>
      </c>
      <c r="M425" s="166">
        <f t="shared" si="2"/>
        <v>-0.2344632827</v>
      </c>
      <c r="N425" s="167">
        <f t="shared" si="3"/>
        <v>12.74304487</v>
      </c>
      <c r="O425" s="163">
        <f t="shared" ref="O425:Q425" si="429">rank(I425,I:I)</f>
        <v>3770</v>
      </c>
      <c r="P425" s="163">
        <f t="shared" si="429"/>
        <v>3855</v>
      </c>
      <c r="Q425" s="163">
        <f t="shared" si="429"/>
        <v>3858</v>
      </c>
      <c r="R425" s="163">
        <f>IFERROR(__xludf.DUMMYFUNCTION("RANK(M425,filter(M:M,C:C=C425))"),460.0)</f>
        <v>460</v>
      </c>
      <c r="S425" s="161" t="b">
        <f t="shared" si="5"/>
        <v>0</v>
      </c>
      <c r="T425" s="161" t="b">
        <f t="array" ref="T425">index('Query Tool'!B:B,match(H425,'Query Tool'!C:C,0))</f>
        <v>1</v>
      </c>
      <c r="U425" s="161" t="b">
        <f t="array" ref="U425">index('Query Tool'!B:B,match(C425,'Query Tool'!C:C,0))</f>
        <v>0</v>
      </c>
      <c r="V425" s="161" t="b">
        <f>F425&gt;='Query Tool'!C$32</f>
        <v>1</v>
      </c>
      <c r="W425" s="161" t="b">
        <f t="array" ref="W425">index(Dropdowns!B:B,match(I425,Dropdowns!A:A,0))</f>
        <v>1</v>
      </c>
      <c r="X425" s="161" t="b">
        <f t="array" ref="X425">index('Query Tool'!B:B,match(D425,'Query Tool'!C:C,0))</f>
        <v>1</v>
      </c>
      <c r="Y425" s="161" t="str">
        <f t="shared" si="6"/>
        <v>bennean01,2013-14</v>
      </c>
      <c r="Z425" s="168">
        <f t="array" ref="Z425">iferror(index(I:I,match($A425&amp;","&amp;index('Year Conversion'!$A:$A,match($C425,'Year Conversion'!$B:$B,0)),$Y:$Y,0))-I425,"")</f>
        <v>1</v>
      </c>
      <c r="AA425" s="168">
        <f t="array" ref="AA425">iferror(index(J:J,match($A425&amp;","&amp;index('Year Conversion'!$A:$A,match($C425,'Year Conversion'!$B:$B,0)),$Y:$Y,0))-J425,"")</f>
        <v>-0.3339232376</v>
      </c>
      <c r="AB425" s="168">
        <f t="array" ref="AB425">iferror(index(K:K,match($A425&amp;","&amp;index('Year Conversion'!$A:$A,match($C425,'Year Conversion'!$B:$B,0)),$Y:$Y,0))-K425,"")</f>
        <v>0.2780609903</v>
      </c>
      <c r="AC425" s="168" t="str">
        <f t="shared" si="7"/>
        <v>CLE,2013-14</v>
      </c>
    </row>
    <row r="426">
      <c r="A426" s="161" t="str">
        <f>IFERROR(__xludf.DUMMYFUNCTION("""COMPUTED_VALUE"""),"goodwar01")</f>
        <v>goodwar01</v>
      </c>
      <c r="B426" s="161" t="str">
        <f>IFERROR(__xludf.DUMMYFUNCTION("""COMPUTED_VALUE"""),"Archie Goodwin")</f>
        <v>Archie Goodwin</v>
      </c>
      <c r="C426" s="162" t="str">
        <f>IFERROR(__xludf.DUMMYFUNCTION("""COMPUTED_VALUE"""),"2013-14")</f>
        <v>2013-14</v>
      </c>
      <c r="D426" s="163" t="str">
        <f>IFERROR(__xludf.DUMMYFUNCTION("""COMPUTED_VALUE"""),"PHO")</f>
        <v>PHO</v>
      </c>
      <c r="E426" s="164" t="str">
        <f>IFERROR(__xludf.DUMMYFUNCTION("""COMPUTED_VALUE"""),"Secondary Ball Handler")</f>
        <v>Secondary Ball Handler</v>
      </c>
      <c r="F426" s="164">
        <f>IFERROR(__xludf.DUMMYFUNCTION("""COMPUTED_VALUE"""),532.88)</f>
        <v>532.88</v>
      </c>
      <c r="G426" s="163">
        <f>IFERROR(__xludf.DUMMYFUNCTION("""COMPUTED_VALUE"""),52.0)</f>
        <v>52</v>
      </c>
      <c r="H426" s="163" t="str">
        <f>IFERROR(__xludf.DUMMYFUNCTION("""COMPUTED_VALUE"""),"SG")</f>
        <v>SG</v>
      </c>
      <c r="I426" s="163">
        <f>IFERROR(__xludf.DUMMYFUNCTION("""COMPUTED_VALUE"""),19.0)</f>
        <v>19</v>
      </c>
      <c r="J426" s="165">
        <f>IFERROR(__xludf.DUMMYFUNCTION("""COMPUTED_VALUE"""),-3.37363545380695)</f>
        <v>-3.373635454</v>
      </c>
      <c r="K426" s="165">
        <f>IFERROR(__xludf.DUMMYFUNCTION("""COMPUTED_VALUE"""),-2.38707265741894)</f>
        <v>-2.387072657</v>
      </c>
      <c r="L426" s="165">
        <f>IFERROR(__xludf.DUMMYFUNCTION("""COMPUTED_VALUE"""),-0.986562796388016)</f>
        <v>-0.9865627964</v>
      </c>
      <c r="M426" s="166">
        <f t="shared" si="2"/>
        <v>-0.3716894137</v>
      </c>
      <c r="N426" s="167">
        <f t="shared" si="3"/>
        <v>10.24769231</v>
      </c>
      <c r="O426" s="163">
        <f t="shared" ref="O426:Q426" si="430">rank(I426,I:I)</f>
        <v>3945</v>
      </c>
      <c r="P426" s="163">
        <f t="shared" si="430"/>
        <v>3948</v>
      </c>
      <c r="Q426" s="163">
        <f t="shared" si="430"/>
        <v>3863</v>
      </c>
      <c r="R426" s="163">
        <f>IFERROR(__xludf.DUMMYFUNCTION("RANK(M426,filter(M:M,C:C=C426))"),466.0)</f>
        <v>466</v>
      </c>
      <c r="S426" s="161" t="b">
        <f t="shared" si="5"/>
        <v>0</v>
      </c>
      <c r="T426" s="161" t="b">
        <f t="array" ref="T426">index('Query Tool'!B:B,match(H426,'Query Tool'!C:C,0))</f>
        <v>1</v>
      </c>
      <c r="U426" s="161" t="b">
        <f t="array" ref="U426">index('Query Tool'!B:B,match(C426,'Query Tool'!C:C,0))</f>
        <v>0</v>
      </c>
      <c r="V426" s="161" t="b">
        <f>F426&gt;='Query Tool'!C$32</f>
        <v>1</v>
      </c>
      <c r="W426" s="161" t="b">
        <f t="array" ref="W426">index(Dropdowns!B:B,match(I426,Dropdowns!A:A,0))</f>
        <v>1</v>
      </c>
      <c r="X426" s="161" t="b">
        <f t="array" ref="X426">index('Query Tool'!B:B,match(D426,'Query Tool'!C:C,0))</f>
        <v>1</v>
      </c>
      <c r="Y426" s="161" t="str">
        <f t="shared" si="6"/>
        <v>goodwar01,2013-14</v>
      </c>
      <c r="Z426" s="168">
        <f t="array" ref="Z426">iferror(index(I:I,match($A426&amp;","&amp;index('Year Conversion'!$A:$A,match($C426,'Year Conversion'!$B:$B,0)),$Y:$Y,0))-I426,"")</f>
        <v>1</v>
      </c>
      <c r="AA426" s="168">
        <f t="array" ref="AA426">iferror(index(J:J,match($A426&amp;","&amp;index('Year Conversion'!$A:$A,match($C426,'Year Conversion'!$B:$B,0)),$Y:$Y,0))-J426,"")</f>
        <v>0.2959188766</v>
      </c>
      <c r="AB426" s="168">
        <f t="array" ref="AB426">iferror(index(K:K,match($A426&amp;","&amp;index('Year Conversion'!$A:$A,match($C426,'Year Conversion'!$B:$B,0)),$Y:$Y,0))-K426,"")</f>
        <v>0.9059132701</v>
      </c>
      <c r="AC426" s="168" t="str">
        <f t="shared" si="7"/>
        <v>PHO,2013-14</v>
      </c>
    </row>
    <row r="427">
      <c r="A427" s="161" t="str">
        <f>IFERROR(__xludf.DUMMYFUNCTION("""COMPUTED_VALUE"""),"mclembe01")</f>
        <v>mclembe01</v>
      </c>
      <c r="B427" s="161" t="str">
        <f>IFERROR(__xludf.DUMMYFUNCTION("""COMPUTED_VALUE"""),"Ben McLemore")</f>
        <v>Ben McLemore</v>
      </c>
      <c r="C427" s="162" t="str">
        <f>IFERROR(__xludf.DUMMYFUNCTION("""COMPUTED_VALUE"""),"2013-14")</f>
        <v>2013-14</v>
      </c>
      <c r="D427" s="163" t="str">
        <f>IFERROR(__xludf.DUMMYFUNCTION("""COMPUTED_VALUE"""),"SAC")</f>
        <v>SAC</v>
      </c>
      <c r="E427" s="164" t="str">
        <f>IFERROR(__xludf.DUMMYFUNCTION("""COMPUTED_VALUE"""),"Off Screen Shooter")</f>
        <v>Off Screen Shooter</v>
      </c>
      <c r="F427" s="164">
        <f>IFERROR(__xludf.DUMMYFUNCTION("""COMPUTED_VALUE"""),2186.90666666667)</f>
        <v>2186.906667</v>
      </c>
      <c r="G427" s="163">
        <f>IFERROR(__xludf.DUMMYFUNCTION("""COMPUTED_VALUE"""),82.0)</f>
        <v>82</v>
      </c>
      <c r="H427" s="163" t="str">
        <f>IFERROR(__xludf.DUMMYFUNCTION("""COMPUTED_VALUE"""),"SG")</f>
        <v>SG</v>
      </c>
      <c r="I427" s="163">
        <f>IFERROR(__xludf.DUMMYFUNCTION("""COMPUTED_VALUE"""),20.0)</f>
        <v>20</v>
      </c>
      <c r="J427" s="165">
        <f>IFERROR(__xludf.DUMMYFUNCTION("""COMPUTED_VALUE"""),-2.38227830725608)</f>
        <v>-2.382278307</v>
      </c>
      <c r="K427" s="165">
        <f>IFERROR(__xludf.DUMMYFUNCTION("""COMPUTED_VALUE"""),-1.37589185456536)</f>
        <v>-1.375891855</v>
      </c>
      <c r="L427" s="165">
        <f>IFERROR(__xludf.DUMMYFUNCTION("""COMPUTED_VALUE"""),-1.00638645269071)</f>
        <v>-1.006386453</v>
      </c>
      <c r="M427" s="166">
        <f t="shared" si="2"/>
        <v>-0.1134939426</v>
      </c>
      <c r="N427" s="167">
        <f t="shared" si="3"/>
        <v>26.6695935</v>
      </c>
      <c r="O427" s="163">
        <f t="shared" ref="O427:Q427" si="431">rank(I427,I:I)</f>
        <v>3770</v>
      </c>
      <c r="P427" s="163">
        <f t="shared" si="431"/>
        <v>3704</v>
      </c>
      <c r="Q427" s="163">
        <f t="shared" si="431"/>
        <v>3226</v>
      </c>
      <c r="R427" s="163">
        <f>IFERROR(__xludf.DUMMYFUNCTION("RANK(M427,filter(M:M,C:C=C427))"),446.0)</f>
        <v>446</v>
      </c>
      <c r="S427" s="161" t="b">
        <f t="shared" si="5"/>
        <v>0</v>
      </c>
      <c r="T427" s="161" t="b">
        <f t="array" ref="T427">index('Query Tool'!B:B,match(H427,'Query Tool'!C:C,0))</f>
        <v>1</v>
      </c>
      <c r="U427" s="161" t="b">
        <f t="array" ref="U427">index('Query Tool'!B:B,match(C427,'Query Tool'!C:C,0))</f>
        <v>0</v>
      </c>
      <c r="V427" s="161" t="b">
        <f>F427&gt;='Query Tool'!C$32</f>
        <v>1</v>
      </c>
      <c r="W427" s="161" t="b">
        <f t="array" ref="W427">index(Dropdowns!B:B,match(I427,Dropdowns!A:A,0))</f>
        <v>1</v>
      </c>
      <c r="X427" s="161" t="b">
        <f t="array" ref="X427">index('Query Tool'!B:B,match(D427,'Query Tool'!C:C,0))</f>
        <v>1</v>
      </c>
      <c r="Y427" s="161" t="str">
        <f t="shared" si="6"/>
        <v>mclembe01,2013-14</v>
      </c>
      <c r="Z427" s="168">
        <f t="array" ref="Z427">iferror(index(I:I,match($A427&amp;","&amp;index('Year Conversion'!$A:$A,match($C427,'Year Conversion'!$B:$B,0)),$Y:$Y,0))-I427,"")</f>
        <v>1</v>
      </c>
      <c r="AA427" s="168">
        <f t="array" ref="AA427">iferror(index(J:J,match($A427&amp;","&amp;index('Year Conversion'!$A:$A,match($C427,'Year Conversion'!$B:$B,0)),$Y:$Y,0))-J427,"")</f>
        <v>1.81271992</v>
      </c>
      <c r="AB427" s="168">
        <f t="array" ref="AB427">iferror(index(K:K,match($A427&amp;","&amp;index('Year Conversion'!$A:$A,match($C427,'Year Conversion'!$B:$B,0)),$Y:$Y,0))-K427,"")</f>
        <v>1.226914327</v>
      </c>
      <c r="AC427" s="168" t="str">
        <f t="shared" si="7"/>
        <v>SAC,2013-14</v>
      </c>
    </row>
    <row r="428">
      <c r="A428" s="161" t="str">
        <f>IFERROR(__xludf.DUMMYFUNCTION("""COMPUTED_VALUE"""),"felixca01")</f>
        <v>felixca01</v>
      </c>
      <c r="B428" s="161" t="str">
        <f>IFERROR(__xludf.DUMMYFUNCTION("""COMPUTED_VALUE"""),"Carrick Felix")</f>
        <v>Carrick Felix</v>
      </c>
      <c r="C428" s="162" t="str">
        <f>IFERROR(__xludf.DUMMYFUNCTION("""COMPUTED_VALUE"""),"2013-14")</f>
        <v>2013-14</v>
      </c>
      <c r="D428" s="163" t="str">
        <f>IFERROR(__xludf.DUMMYFUNCTION("""COMPUTED_VALUE"""),"CLE")</f>
        <v>CLE</v>
      </c>
      <c r="E428" s="164" t="str">
        <f>IFERROR(__xludf.DUMMYFUNCTION("""COMPUTED_VALUE"""),"Movement Shooter")</f>
        <v>Movement Shooter</v>
      </c>
      <c r="F428" s="164">
        <f>IFERROR(__xludf.DUMMYFUNCTION("""COMPUTED_VALUE"""),38.1)</f>
        <v>38.1</v>
      </c>
      <c r="G428" s="163">
        <f>IFERROR(__xludf.DUMMYFUNCTION("""COMPUTED_VALUE"""),7.0)</f>
        <v>7</v>
      </c>
      <c r="H428" s="163" t="str">
        <f>IFERROR(__xludf.DUMMYFUNCTION("""COMPUTED_VALUE"""),"SG")</f>
        <v>SG</v>
      </c>
      <c r="I428" s="163">
        <f>IFERROR(__xludf.DUMMYFUNCTION("""COMPUTED_VALUE"""),23.0)</f>
        <v>23</v>
      </c>
      <c r="J428" s="165">
        <f>IFERROR(__xludf.DUMMYFUNCTION("""COMPUTED_VALUE"""),0.370704343758208)</f>
        <v>0.3707043438</v>
      </c>
      <c r="K428" s="165">
        <f>IFERROR(__xludf.DUMMYFUNCTION("""COMPUTED_VALUE"""),0.0639349765272922)</f>
        <v>0.06393497653</v>
      </c>
      <c r="L428" s="165">
        <f>IFERROR(__xludf.DUMMYFUNCTION("""COMPUTED_VALUE"""),0.306769367230916)</f>
        <v>0.3067693672</v>
      </c>
      <c r="M428" s="166">
        <f t="shared" si="2"/>
        <v>0.06825782865</v>
      </c>
      <c r="N428" s="167">
        <f t="shared" si="3"/>
        <v>5.442857143</v>
      </c>
      <c r="O428" s="163">
        <f t="shared" ref="O428:Q428" si="432">rank(I428,I:I)</f>
        <v>2765</v>
      </c>
      <c r="P428" s="163">
        <f t="shared" si="432"/>
        <v>970</v>
      </c>
      <c r="Q428" s="163">
        <f t="shared" si="432"/>
        <v>1115</v>
      </c>
      <c r="R428" s="163">
        <f>IFERROR(__xludf.DUMMYFUNCTION("RANK(M428,filter(M:M,C:C=C428))"),376.0)</f>
        <v>376</v>
      </c>
      <c r="S428" s="161" t="b">
        <f t="shared" si="5"/>
        <v>0</v>
      </c>
      <c r="T428" s="161" t="b">
        <f t="array" ref="T428">index('Query Tool'!B:B,match(H428,'Query Tool'!C:C,0))</f>
        <v>1</v>
      </c>
      <c r="U428" s="161" t="b">
        <f t="array" ref="U428">index('Query Tool'!B:B,match(C428,'Query Tool'!C:C,0))</f>
        <v>0</v>
      </c>
      <c r="V428" s="161" t="b">
        <f>F428&gt;='Query Tool'!C$32</f>
        <v>0</v>
      </c>
      <c r="W428" s="161" t="b">
        <f t="array" ref="W428">index(Dropdowns!B:B,match(I428,Dropdowns!A:A,0))</f>
        <v>1</v>
      </c>
      <c r="X428" s="161" t="b">
        <f t="array" ref="X428">index('Query Tool'!B:B,match(D428,'Query Tool'!C:C,0))</f>
        <v>1</v>
      </c>
      <c r="Y428" s="161" t="str">
        <f t="shared" si="6"/>
        <v>felixca01,2013-14</v>
      </c>
      <c r="Z428" s="168" t="str">
        <f t="array" ref="Z428">iferror(index(I:I,match($A428&amp;","&amp;index('Year Conversion'!$A:$A,match($C428,'Year Conversion'!$B:$B,0)),$Y:$Y,0))-I428,"")</f>
        <v/>
      </c>
      <c r="AA428" s="168" t="str">
        <f t="array" ref="AA428">iferror(index(J:J,match($A428&amp;","&amp;index('Year Conversion'!$A:$A,match($C428,'Year Conversion'!$B:$B,0)),$Y:$Y,0))-J428,"")</f>
        <v/>
      </c>
      <c r="AB428" s="168" t="str">
        <f t="array" ref="AB428">iferror(index(K:K,match($A428&amp;","&amp;index('Year Conversion'!$A:$A,match($C428,'Year Conversion'!$B:$B,0)),$Y:$Y,0))-K428,"")</f>
        <v/>
      </c>
      <c r="AC428" s="168" t="str">
        <f t="shared" si="7"/>
        <v>CLE,2013-14</v>
      </c>
    </row>
    <row r="429">
      <c r="A429" s="161" t="str">
        <f>IFERROR(__xludf.DUMMYFUNCTION("""COMPUTED_VALUE"""),"mccolcj01")</f>
        <v>mccolcj01</v>
      </c>
      <c r="B429" s="161" t="str">
        <f>IFERROR(__xludf.DUMMYFUNCTION("""COMPUTED_VALUE"""),"CJ McCollum")</f>
        <v>CJ McCollum</v>
      </c>
      <c r="C429" s="162" t="str">
        <f>IFERROR(__xludf.DUMMYFUNCTION("""COMPUTED_VALUE"""),"2013-14")</f>
        <v>2013-14</v>
      </c>
      <c r="D429" s="163" t="str">
        <f>IFERROR(__xludf.DUMMYFUNCTION("""COMPUTED_VALUE"""),"POR")</f>
        <v>POR</v>
      </c>
      <c r="E429" s="164" t="str">
        <f>IFERROR(__xludf.DUMMYFUNCTION("""COMPUTED_VALUE"""),"Secondary Ball Handler")</f>
        <v>Secondary Ball Handler</v>
      </c>
      <c r="F429" s="164">
        <f>IFERROR(__xludf.DUMMYFUNCTION("""COMPUTED_VALUE"""),475.74)</f>
        <v>475.74</v>
      </c>
      <c r="G429" s="163">
        <f>IFERROR(__xludf.DUMMYFUNCTION("""COMPUTED_VALUE"""),38.0)</f>
        <v>38</v>
      </c>
      <c r="H429" s="163" t="str">
        <f>IFERROR(__xludf.DUMMYFUNCTION("""COMPUTED_VALUE"""),"SG")</f>
        <v>SG</v>
      </c>
      <c r="I429" s="163">
        <f>IFERROR(__xludf.DUMMYFUNCTION("""COMPUTED_VALUE"""),22.0)</f>
        <v>22</v>
      </c>
      <c r="J429" s="165">
        <f>IFERROR(__xludf.DUMMYFUNCTION("""COMPUTED_VALUE"""),-2.53014137069673)</f>
        <v>-2.530141371</v>
      </c>
      <c r="K429" s="165">
        <f>IFERROR(__xludf.DUMMYFUNCTION("""COMPUTED_VALUE"""),-1.08695530601302)</f>
        <v>-1.086955306</v>
      </c>
      <c r="L429" s="165">
        <f>IFERROR(__xludf.DUMMYFUNCTION("""COMPUTED_VALUE"""),-1.4431860646837)</f>
        <v>-1.443186065</v>
      </c>
      <c r="M429" s="166">
        <f t="shared" si="2"/>
        <v>-0.07094188129</v>
      </c>
      <c r="N429" s="167">
        <f t="shared" si="3"/>
        <v>12.51947368</v>
      </c>
      <c r="O429" s="163">
        <f t="shared" ref="O429:Q429" si="433">rank(I429,I:I)</f>
        <v>3178</v>
      </c>
      <c r="P429" s="163">
        <f t="shared" si="433"/>
        <v>3767</v>
      </c>
      <c r="Q429" s="163">
        <f t="shared" si="433"/>
        <v>2918</v>
      </c>
      <c r="R429" s="163">
        <f>IFERROR(__xludf.DUMMYFUNCTION("RANK(M429,filter(M:M,C:C=C429))"),439.0)</f>
        <v>439</v>
      </c>
      <c r="S429" s="161" t="b">
        <f t="shared" si="5"/>
        <v>0</v>
      </c>
      <c r="T429" s="161" t="b">
        <f t="array" ref="T429">index('Query Tool'!B:B,match(H429,'Query Tool'!C:C,0))</f>
        <v>1</v>
      </c>
      <c r="U429" s="161" t="b">
        <f t="array" ref="U429">index('Query Tool'!B:B,match(C429,'Query Tool'!C:C,0))</f>
        <v>0</v>
      </c>
      <c r="V429" s="161" t="b">
        <f>F429&gt;='Query Tool'!C$32</f>
        <v>0</v>
      </c>
      <c r="W429" s="161" t="b">
        <f t="array" ref="W429">index(Dropdowns!B:B,match(I429,Dropdowns!A:A,0))</f>
        <v>1</v>
      </c>
      <c r="X429" s="161" t="b">
        <f t="array" ref="X429">index('Query Tool'!B:B,match(D429,'Query Tool'!C:C,0))</f>
        <v>1</v>
      </c>
      <c r="Y429" s="161" t="str">
        <f t="shared" si="6"/>
        <v>mccolcj01,2013-14</v>
      </c>
      <c r="Z429" s="168">
        <f t="array" ref="Z429">iferror(index(I:I,match($A429&amp;","&amp;index('Year Conversion'!$A:$A,match($C429,'Year Conversion'!$B:$B,0)),$Y:$Y,0))-I429,"")</f>
        <v>1</v>
      </c>
      <c r="AA429" s="168">
        <f t="array" ref="AA429">iferror(index(J:J,match($A429&amp;","&amp;index('Year Conversion'!$A:$A,match($C429,'Year Conversion'!$B:$B,0)),$Y:$Y,0))-J429,"")</f>
        <v>2.391212977</v>
      </c>
      <c r="AB429" s="168">
        <f t="array" ref="AB429">iferror(index(K:K,match($A429&amp;","&amp;index('Year Conversion'!$A:$A,match($C429,'Year Conversion'!$B:$B,0)),$Y:$Y,0))-K429,"")</f>
        <v>0.5254319961</v>
      </c>
      <c r="AC429" s="168" t="str">
        <f t="shared" si="7"/>
        <v>POR,2013-14</v>
      </c>
    </row>
    <row r="430">
      <c r="A430" s="161" t="str">
        <f>IFERROR(__xludf.DUMMYFUNCTION("""COMPUTED_VALUE"""),"zelleco01")</f>
        <v>zelleco01</v>
      </c>
      <c r="B430" s="161" t="str">
        <f>IFERROR(__xludf.DUMMYFUNCTION("""COMPUTED_VALUE"""),"Cody Zeller")</f>
        <v>Cody Zeller</v>
      </c>
      <c r="C430" s="162" t="str">
        <f>IFERROR(__xludf.DUMMYFUNCTION("""COMPUTED_VALUE"""),"2013-14")</f>
        <v>2013-14</v>
      </c>
      <c r="D430" s="163" t="str">
        <f>IFERROR(__xludf.DUMMYFUNCTION("""COMPUTED_VALUE"""),"CHA")</f>
        <v>CHA</v>
      </c>
      <c r="E430" s="164" t="str">
        <f>IFERROR(__xludf.DUMMYFUNCTION("""COMPUTED_VALUE"""),"Roll + Cut Big")</f>
        <v>Roll + Cut Big</v>
      </c>
      <c r="F430" s="164">
        <f>IFERROR(__xludf.DUMMYFUNCTION("""COMPUTED_VALUE"""),1416.68166666667)</f>
        <v>1416.681667</v>
      </c>
      <c r="G430" s="163">
        <f>IFERROR(__xludf.DUMMYFUNCTION("""COMPUTED_VALUE"""),82.0)</f>
        <v>82</v>
      </c>
      <c r="H430" s="163" t="str">
        <f>IFERROR(__xludf.DUMMYFUNCTION("""COMPUTED_VALUE"""),"C")</f>
        <v>C</v>
      </c>
      <c r="I430" s="163">
        <f>IFERROR(__xludf.DUMMYFUNCTION("""COMPUTED_VALUE"""),21.0)</f>
        <v>21</v>
      </c>
      <c r="J430" s="165">
        <f>IFERROR(__xludf.DUMMYFUNCTION("""COMPUTED_VALUE"""),-1.25018912847743)</f>
        <v>-1.250189128</v>
      </c>
      <c r="K430" s="165">
        <f>IFERROR(__xludf.DUMMYFUNCTION("""COMPUTED_VALUE"""),-2.00884213251339)</f>
        <v>-2.008842133</v>
      </c>
      <c r="L430" s="165">
        <f>IFERROR(__xludf.DUMMYFUNCTION("""COMPUTED_VALUE"""),0.758653004035966)</f>
        <v>0.758653004</v>
      </c>
      <c r="M430" s="166">
        <f t="shared" si="2"/>
        <v>0.9925657286</v>
      </c>
      <c r="N430" s="167">
        <f t="shared" si="3"/>
        <v>17.27660569</v>
      </c>
      <c r="O430" s="163">
        <f t="shared" ref="O430:Q430" si="434">rank(I430,I:I)</f>
        <v>3528</v>
      </c>
      <c r="P430" s="163">
        <f t="shared" si="434"/>
        <v>2816</v>
      </c>
      <c r="Q430" s="163">
        <f t="shared" si="434"/>
        <v>3713</v>
      </c>
      <c r="R430" s="163">
        <f>IFERROR(__xludf.DUMMYFUNCTION("RANK(M430,filter(M:M,C:C=C430))"),226.0)</f>
        <v>226</v>
      </c>
      <c r="S430" s="161" t="b">
        <f t="shared" si="5"/>
        <v>0</v>
      </c>
      <c r="T430" s="161" t="b">
        <f t="array" ref="T430">index('Query Tool'!B:B,match(H430,'Query Tool'!C:C,0))</f>
        <v>1</v>
      </c>
      <c r="U430" s="161" t="b">
        <f t="array" ref="U430">index('Query Tool'!B:B,match(C430,'Query Tool'!C:C,0))</f>
        <v>0</v>
      </c>
      <c r="V430" s="161" t="b">
        <f>F430&gt;='Query Tool'!C$32</f>
        <v>1</v>
      </c>
      <c r="W430" s="161" t="b">
        <f t="array" ref="W430">index(Dropdowns!B:B,match(I430,Dropdowns!A:A,0))</f>
        <v>1</v>
      </c>
      <c r="X430" s="161" t="b">
        <f t="array" ref="X430">index('Query Tool'!B:B,match(D430,'Query Tool'!C:C,0))</f>
        <v>1</v>
      </c>
      <c r="Y430" s="161" t="str">
        <f t="shared" si="6"/>
        <v>zelleco01,2013-14</v>
      </c>
      <c r="Z430" s="168">
        <f t="array" ref="Z430">iferror(index(I:I,match($A430&amp;","&amp;index('Year Conversion'!$A:$A,match($C430,'Year Conversion'!$B:$B,0)),$Y:$Y,0))-I430,"")</f>
        <v>1</v>
      </c>
      <c r="AA430" s="168">
        <f t="array" ref="AA430">iferror(index(J:J,match($A430&amp;","&amp;index('Year Conversion'!$A:$A,match($C430,'Year Conversion'!$B:$B,0)),$Y:$Y,0))-J430,"")</f>
        <v>2.48445063</v>
      </c>
      <c r="AB430" s="168">
        <f t="array" ref="AB430">iferror(index(K:K,match($A430&amp;","&amp;index('Year Conversion'!$A:$A,match($C430,'Year Conversion'!$B:$B,0)),$Y:$Y,0))-K430,"")</f>
        <v>1.421332305</v>
      </c>
      <c r="AC430" s="168" t="str">
        <f t="shared" si="7"/>
        <v>CHA,2013-14</v>
      </c>
    </row>
    <row r="431">
      <c r="A431" s="161" t="str">
        <f>IFERROR(__xludf.DUMMYFUNCTION("""COMPUTED_VALUE"""),"schrode01")</f>
        <v>schrode01</v>
      </c>
      <c r="B431" s="161" t="str">
        <f>IFERROR(__xludf.DUMMYFUNCTION("""COMPUTED_VALUE"""),"Dennis Schroder")</f>
        <v>Dennis Schroder</v>
      </c>
      <c r="C431" s="162" t="str">
        <f>IFERROR(__xludf.DUMMYFUNCTION("""COMPUTED_VALUE"""),"2013-14")</f>
        <v>2013-14</v>
      </c>
      <c r="D431" s="163" t="str">
        <f>IFERROR(__xludf.DUMMYFUNCTION("""COMPUTED_VALUE"""),"ATL")</f>
        <v>ATL</v>
      </c>
      <c r="E431" s="164" t="str">
        <f>IFERROR(__xludf.DUMMYFUNCTION("""COMPUTED_VALUE"""),"Slasher")</f>
        <v>Slasher</v>
      </c>
      <c r="F431" s="164">
        <f>IFERROR(__xludf.DUMMYFUNCTION("""COMPUTED_VALUE"""),641.408333333333)</f>
        <v>641.4083333</v>
      </c>
      <c r="G431" s="163">
        <f>IFERROR(__xludf.DUMMYFUNCTION("""COMPUTED_VALUE"""),49.0)</f>
        <v>49</v>
      </c>
      <c r="H431" s="163" t="str">
        <f>IFERROR(__xludf.DUMMYFUNCTION("""COMPUTED_VALUE"""),"PG")</f>
        <v>PG</v>
      </c>
      <c r="I431" s="163">
        <f>IFERROR(__xludf.DUMMYFUNCTION("""COMPUTED_VALUE"""),20.0)</f>
        <v>20</v>
      </c>
      <c r="J431" s="165">
        <f>IFERROR(__xludf.DUMMYFUNCTION("""COMPUTED_VALUE"""),-4.24501328563689)</f>
        <v>-4.245013286</v>
      </c>
      <c r="K431" s="165">
        <f>IFERROR(__xludf.DUMMYFUNCTION("""COMPUTED_VALUE"""),-2.39180455155777)</f>
        <v>-2.391804552</v>
      </c>
      <c r="L431" s="165">
        <f>IFERROR(__xludf.DUMMYFUNCTION("""COMPUTED_VALUE"""),-1.85320873407912)</f>
        <v>-1.853208734</v>
      </c>
      <c r="M431" s="166">
        <f t="shared" si="2"/>
        <v>-0.8022209467</v>
      </c>
      <c r="N431" s="167">
        <f t="shared" si="3"/>
        <v>13.08996599</v>
      </c>
      <c r="O431" s="163">
        <f t="shared" ref="O431:Q431" si="435">rank(I431,I:I)</f>
        <v>3770</v>
      </c>
      <c r="P431" s="163">
        <f t="shared" si="435"/>
        <v>4005</v>
      </c>
      <c r="Q431" s="163">
        <f t="shared" si="435"/>
        <v>3864</v>
      </c>
      <c r="R431" s="163">
        <f>IFERROR(__xludf.DUMMYFUNCTION("RANK(M431,filter(M:M,C:C=C431))"),475.0)</f>
        <v>475</v>
      </c>
      <c r="S431" s="161" t="b">
        <f t="shared" si="5"/>
        <v>0</v>
      </c>
      <c r="T431" s="161" t="b">
        <f t="array" ref="T431">index('Query Tool'!B:B,match(H431,'Query Tool'!C:C,0))</f>
        <v>1</v>
      </c>
      <c r="U431" s="161" t="b">
        <f t="array" ref="U431">index('Query Tool'!B:B,match(C431,'Query Tool'!C:C,0))</f>
        <v>0</v>
      </c>
      <c r="V431" s="161" t="b">
        <f>F431&gt;='Query Tool'!C$32</f>
        <v>1</v>
      </c>
      <c r="W431" s="161" t="b">
        <f t="array" ref="W431">index(Dropdowns!B:B,match(I431,Dropdowns!A:A,0))</f>
        <v>1</v>
      </c>
      <c r="X431" s="161" t="b">
        <f t="array" ref="X431">index('Query Tool'!B:B,match(D431,'Query Tool'!C:C,0))</f>
        <v>1</v>
      </c>
      <c r="Y431" s="161" t="str">
        <f t="shared" si="6"/>
        <v>schrode01,2013-14</v>
      </c>
      <c r="Z431" s="168">
        <f t="array" ref="Z431">iferror(index(I:I,match($A431&amp;","&amp;index('Year Conversion'!$A:$A,match($C431,'Year Conversion'!$B:$B,0)),$Y:$Y,0))-I431,"")</f>
        <v>1</v>
      </c>
      <c r="AA431" s="168">
        <f t="array" ref="AA431">iferror(index(J:J,match($A431&amp;","&amp;index('Year Conversion'!$A:$A,match($C431,'Year Conversion'!$B:$B,0)),$Y:$Y,0))-J431,"")</f>
        <v>3.547873514</v>
      </c>
      <c r="AB431" s="168">
        <f t="array" ref="AB431">iferror(index(K:K,match($A431&amp;","&amp;index('Year Conversion'!$A:$A,match($C431,'Year Conversion'!$B:$B,0)),$Y:$Y,0))-K431,"")</f>
        <v>2.376257382</v>
      </c>
      <c r="AC431" s="168" t="str">
        <f t="shared" si="7"/>
        <v>ATL,2013-14</v>
      </c>
    </row>
    <row r="432">
      <c r="A432" s="161" t="str">
        <f>IFERROR(__xludf.DUMMYFUNCTION("""COMPUTED_VALUE"""),"dedmode01")</f>
        <v>dedmode01</v>
      </c>
      <c r="B432" s="161" t="str">
        <f>IFERROR(__xludf.DUMMYFUNCTION("""COMPUTED_VALUE"""),"Dewayne Dedmon")</f>
        <v>Dewayne Dedmon</v>
      </c>
      <c r="C432" s="162" t="str">
        <f>IFERROR(__xludf.DUMMYFUNCTION("""COMPUTED_VALUE"""),"2013-14")</f>
        <v>2013-14</v>
      </c>
      <c r="D432" s="163" t="str">
        <f>IFERROR(__xludf.DUMMYFUNCTION("""COMPUTED_VALUE"""),"TOT")</f>
        <v>TOT</v>
      </c>
      <c r="E432" s="164" t="str">
        <f>IFERROR(__xludf.DUMMYFUNCTION("""COMPUTED_VALUE"""),"Roll + Cut Big")</f>
        <v>Roll + Cut Big</v>
      </c>
      <c r="F432" s="164">
        <f>IFERROR(__xludf.DUMMYFUNCTION("""COMPUTED_VALUE"""),390.423333333333)</f>
        <v>390.4233333</v>
      </c>
      <c r="G432" s="163">
        <f>IFERROR(__xludf.DUMMYFUNCTION("""COMPUTED_VALUE"""),31.0)</f>
        <v>31</v>
      </c>
      <c r="H432" s="163" t="str">
        <f>IFERROR(__xludf.DUMMYFUNCTION("""COMPUTED_VALUE"""),"C")</f>
        <v>C</v>
      </c>
      <c r="I432" s="163">
        <f>IFERROR(__xludf.DUMMYFUNCTION("""COMPUTED_VALUE"""),24.0)</f>
        <v>24</v>
      </c>
      <c r="J432" s="165">
        <f>IFERROR(__xludf.DUMMYFUNCTION("""COMPUTED_VALUE"""),-0.246562434868431)</f>
        <v>-0.2465624349</v>
      </c>
      <c r="K432" s="165">
        <f>IFERROR(__xludf.DUMMYFUNCTION("""COMPUTED_VALUE"""),-1.09843639449974)</f>
        <v>-1.098436394</v>
      </c>
      <c r="L432" s="165">
        <f>IFERROR(__xludf.DUMMYFUNCTION("""COMPUTED_VALUE"""),0.851873959631304)</f>
        <v>0.8518739596</v>
      </c>
      <c r="M432" s="166">
        <f t="shared" si="2"/>
        <v>0.5370080945</v>
      </c>
      <c r="N432" s="167">
        <f t="shared" si="3"/>
        <v>12.59430108</v>
      </c>
      <c r="O432" s="163">
        <f t="shared" ref="O432:Q432" si="436">rank(I432,I:I)</f>
        <v>2361</v>
      </c>
      <c r="P432" s="163">
        <f t="shared" si="436"/>
        <v>1554</v>
      </c>
      <c r="Q432" s="163">
        <f t="shared" si="436"/>
        <v>2928</v>
      </c>
      <c r="R432" s="163">
        <f>IFERROR(__xludf.DUMMYFUNCTION("RANK(M432,filter(M:M,C:C=C432))"),265.0)</f>
        <v>265</v>
      </c>
      <c r="S432" s="161" t="b">
        <f t="shared" si="5"/>
        <v>0</v>
      </c>
      <c r="T432" s="161" t="b">
        <f t="array" ref="T432">index('Query Tool'!B:B,match(H432,'Query Tool'!C:C,0))</f>
        <v>1</v>
      </c>
      <c r="U432" s="161" t="b">
        <f t="array" ref="U432">index('Query Tool'!B:B,match(C432,'Query Tool'!C:C,0))</f>
        <v>0</v>
      </c>
      <c r="V432" s="161" t="b">
        <f>F432&gt;='Query Tool'!C$32</f>
        <v>0</v>
      </c>
      <c r="W432" s="161" t="b">
        <f t="array" ref="W432">index(Dropdowns!B:B,match(I432,Dropdowns!A:A,0))</f>
        <v>1</v>
      </c>
      <c r="X432" s="161" t="b">
        <f t="array" ref="X432">index('Query Tool'!B:B,match(D432,'Query Tool'!C:C,0))</f>
        <v>1</v>
      </c>
      <c r="Y432" s="161" t="str">
        <f t="shared" si="6"/>
        <v>dedmode01,2013-14</v>
      </c>
      <c r="Z432" s="168">
        <f t="array" ref="Z432">iferror(index(I:I,match($A432&amp;","&amp;index('Year Conversion'!$A:$A,match($C432,'Year Conversion'!$B:$B,0)),$Y:$Y,0))-I432,"")</f>
        <v>1</v>
      </c>
      <c r="AA432" s="168">
        <f t="array" ref="AA432">iferror(index(J:J,match($A432&amp;","&amp;index('Year Conversion'!$A:$A,match($C432,'Year Conversion'!$B:$B,0)),$Y:$Y,0))-J432,"")</f>
        <v>0.358131336</v>
      </c>
      <c r="AB432" s="168">
        <f t="array" ref="AB432">iferror(index(K:K,match($A432&amp;","&amp;index('Year Conversion'!$A:$A,match($C432,'Year Conversion'!$B:$B,0)),$Y:$Y,0))-K432,"")</f>
        <v>-0.7585263984</v>
      </c>
      <c r="AC432" s="168" t="str">
        <f t="shared" si="7"/>
        <v>TOT,2013-14</v>
      </c>
    </row>
    <row r="433">
      <c r="A433" s="161" t="str">
        <f>IFERROR(__xludf.DUMMYFUNCTION("""COMPUTED_VALUE"""),"stephdj01")</f>
        <v>stephdj01</v>
      </c>
      <c r="B433" s="161" t="str">
        <f>IFERROR(__xludf.DUMMYFUNCTION("""COMPUTED_VALUE"""),"DJ Stephens")</f>
        <v>DJ Stephens</v>
      </c>
      <c r="C433" s="162" t="str">
        <f>IFERROR(__xludf.DUMMYFUNCTION("""COMPUTED_VALUE"""),"2013-14")</f>
        <v>2013-14</v>
      </c>
      <c r="D433" s="163" t="str">
        <f>IFERROR(__xludf.DUMMYFUNCTION("""COMPUTED_VALUE"""),"MIL")</f>
        <v>MIL</v>
      </c>
      <c r="E433" s="164" t="str">
        <f>IFERROR(__xludf.DUMMYFUNCTION("""COMPUTED_VALUE"""),"Athletic Finisher")</f>
        <v>Athletic Finisher</v>
      </c>
      <c r="F433" s="164">
        <f>IFERROR(__xludf.DUMMYFUNCTION("""COMPUTED_VALUE"""),14.6316666666667)</f>
        <v>14.63166667</v>
      </c>
      <c r="G433" s="163">
        <f>IFERROR(__xludf.DUMMYFUNCTION("""COMPUTED_VALUE"""),3.0)</f>
        <v>3</v>
      </c>
      <c r="H433" s="163" t="str">
        <f>IFERROR(__xludf.DUMMYFUNCTION("""COMPUTED_VALUE"""),"SG")</f>
        <v>SG</v>
      </c>
      <c r="I433" s="163">
        <f>IFERROR(__xludf.DUMMYFUNCTION("""COMPUTED_VALUE"""),23.0)</f>
        <v>23</v>
      </c>
      <c r="J433" s="165">
        <f>IFERROR(__xludf.DUMMYFUNCTION("""COMPUTED_VALUE"""),-0.0359301020051733)</f>
        <v>-0.03593010201</v>
      </c>
      <c r="K433" s="165">
        <f>IFERROR(__xludf.DUMMYFUNCTION("""COMPUTED_VALUE"""),-0.0936846185085218)</f>
        <v>-0.09368461851</v>
      </c>
      <c r="L433" s="165">
        <f>IFERROR(__xludf.DUMMYFUNCTION("""COMPUTED_VALUE"""),0.0577545165033485)</f>
        <v>0.0577545165</v>
      </c>
      <c r="M433" s="166">
        <f t="shared" si="2"/>
        <v>0.02220272018</v>
      </c>
      <c r="N433" s="167">
        <f t="shared" si="3"/>
        <v>4.877222222</v>
      </c>
      <c r="O433" s="163">
        <f t="shared" ref="O433:Q433" si="437">rank(I433,I:I)</f>
        <v>2765</v>
      </c>
      <c r="P433" s="163">
        <f t="shared" si="437"/>
        <v>1323</v>
      </c>
      <c r="Q433" s="163">
        <f t="shared" si="437"/>
        <v>1350</v>
      </c>
      <c r="R433" s="163">
        <f>IFERROR(__xludf.DUMMYFUNCTION("RANK(M433,filter(M:M,C:C=C433))"),411.0)</f>
        <v>411</v>
      </c>
      <c r="S433" s="161" t="b">
        <f t="shared" si="5"/>
        <v>0</v>
      </c>
      <c r="T433" s="161" t="b">
        <f t="array" ref="T433">index('Query Tool'!B:B,match(H433,'Query Tool'!C:C,0))</f>
        <v>1</v>
      </c>
      <c r="U433" s="161" t="b">
        <f t="array" ref="U433">index('Query Tool'!B:B,match(C433,'Query Tool'!C:C,0))</f>
        <v>0</v>
      </c>
      <c r="V433" s="161" t="b">
        <f>F433&gt;='Query Tool'!C$32</f>
        <v>0</v>
      </c>
      <c r="W433" s="161" t="b">
        <f t="array" ref="W433">index(Dropdowns!B:B,match(I433,Dropdowns!A:A,0))</f>
        <v>1</v>
      </c>
      <c r="X433" s="161" t="b">
        <f t="array" ref="X433">index('Query Tool'!B:B,match(D433,'Query Tool'!C:C,0))</f>
        <v>1</v>
      </c>
      <c r="Y433" s="161" t="str">
        <f t="shared" si="6"/>
        <v>stephdj01,2013-14</v>
      </c>
      <c r="Z433" s="168" t="str">
        <f t="array" ref="Z433">iferror(index(I:I,match($A433&amp;","&amp;index('Year Conversion'!$A:$A,match($C433,'Year Conversion'!$B:$B,0)),$Y:$Y,0))-I433,"")</f>
        <v/>
      </c>
      <c r="AA433" s="168" t="str">
        <f t="array" ref="AA433">iferror(index(J:J,match($A433&amp;","&amp;index('Year Conversion'!$A:$A,match($C433,'Year Conversion'!$B:$B,0)),$Y:$Y,0))-J433,"")</f>
        <v/>
      </c>
      <c r="AB433" s="168" t="str">
        <f t="array" ref="AB433">iferror(index(K:K,match($A433&amp;","&amp;index('Year Conversion'!$A:$A,match($C433,'Year Conversion'!$B:$B,0)),$Y:$Y,0))-K433,"")</f>
        <v/>
      </c>
      <c r="AC433" s="168" t="str">
        <f t="shared" si="7"/>
        <v>MIL,2013-14</v>
      </c>
    </row>
    <row r="434">
      <c r="A434" s="161" t="str">
        <f>IFERROR(__xludf.DUMMYFUNCTION("""COMPUTED_VALUE"""),"dienggo01")</f>
        <v>dienggo01</v>
      </c>
      <c r="B434" s="161" t="str">
        <f>IFERROR(__xludf.DUMMYFUNCTION("""COMPUTED_VALUE"""),"Gorgui Dieng")</f>
        <v>Gorgui Dieng</v>
      </c>
      <c r="C434" s="162" t="str">
        <f>IFERROR(__xludf.DUMMYFUNCTION("""COMPUTED_VALUE"""),"2013-14")</f>
        <v>2013-14</v>
      </c>
      <c r="D434" s="163" t="str">
        <f>IFERROR(__xludf.DUMMYFUNCTION("""COMPUTED_VALUE"""),"MIN")</f>
        <v>MIN</v>
      </c>
      <c r="E434" s="164" t="str">
        <f>IFERROR(__xludf.DUMMYFUNCTION("""COMPUTED_VALUE"""),"Post Scorer")</f>
        <v>Post Scorer</v>
      </c>
      <c r="F434" s="164">
        <f>IFERROR(__xludf.DUMMYFUNCTION("""COMPUTED_VALUE"""),817.823333333333)</f>
        <v>817.8233333</v>
      </c>
      <c r="G434" s="163">
        <f>IFERROR(__xludf.DUMMYFUNCTION("""COMPUTED_VALUE"""),60.0)</f>
        <v>60</v>
      </c>
      <c r="H434" s="163" t="str">
        <f>IFERROR(__xludf.DUMMYFUNCTION("""COMPUTED_VALUE"""),"C")</f>
        <v>C</v>
      </c>
      <c r="I434" s="163">
        <f>IFERROR(__xludf.DUMMYFUNCTION("""COMPUTED_VALUE"""),24.0)</f>
        <v>24</v>
      </c>
      <c r="J434" s="165">
        <f>IFERROR(__xludf.DUMMYFUNCTION("""COMPUTED_VALUE"""),-0.458146082001791)</f>
        <v>-0.458146082</v>
      </c>
      <c r="K434" s="165">
        <f>IFERROR(__xludf.DUMMYFUNCTION("""COMPUTED_VALUE"""),-1.54987854210527)</f>
        <v>-1.549878542</v>
      </c>
      <c r="L434" s="165">
        <f>IFERROR(__xludf.DUMMYFUNCTION("""COMPUTED_VALUE"""),1.09173246010348)</f>
        <v>1.09173246</v>
      </c>
      <c r="M434" s="166">
        <f t="shared" si="2"/>
        <v>1.00827744</v>
      </c>
      <c r="N434" s="167">
        <f t="shared" si="3"/>
        <v>13.63038889</v>
      </c>
      <c r="O434" s="163">
        <f t="shared" ref="O434:Q434" si="438">rank(I434,I:I)</f>
        <v>2361</v>
      </c>
      <c r="P434" s="163">
        <f t="shared" si="438"/>
        <v>1790</v>
      </c>
      <c r="Q434" s="163">
        <f t="shared" si="438"/>
        <v>3402</v>
      </c>
      <c r="R434" s="163">
        <f>IFERROR(__xludf.DUMMYFUNCTION("RANK(M434,filter(M:M,C:C=C434))"),221.0)</f>
        <v>221</v>
      </c>
      <c r="S434" s="161" t="b">
        <f t="shared" si="5"/>
        <v>0</v>
      </c>
      <c r="T434" s="161" t="b">
        <f t="array" ref="T434">index('Query Tool'!B:B,match(H434,'Query Tool'!C:C,0))</f>
        <v>1</v>
      </c>
      <c r="U434" s="161" t="b">
        <f t="array" ref="U434">index('Query Tool'!B:B,match(C434,'Query Tool'!C:C,0))</f>
        <v>0</v>
      </c>
      <c r="V434" s="161" t="b">
        <f>F434&gt;='Query Tool'!C$32</f>
        <v>1</v>
      </c>
      <c r="W434" s="161" t="b">
        <f t="array" ref="W434">index(Dropdowns!B:B,match(I434,Dropdowns!A:A,0))</f>
        <v>1</v>
      </c>
      <c r="X434" s="161" t="b">
        <f t="array" ref="X434">index('Query Tool'!B:B,match(D434,'Query Tool'!C:C,0))</f>
        <v>1</v>
      </c>
      <c r="Y434" s="161" t="str">
        <f t="shared" si="6"/>
        <v>dienggo01,2013-14</v>
      </c>
      <c r="Z434" s="168">
        <f t="array" ref="Z434">iferror(index(I:I,match($A434&amp;","&amp;index('Year Conversion'!$A:$A,match($C434,'Year Conversion'!$B:$B,0)),$Y:$Y,0))-I434,"")</f>
        <v>1</v>
      </c>
      <c r="AA434" s="168">
        <f t="array" ref="AA434">iferror(index(J:J,match($A434&amp;","&amp;index('Year Conversion'!$A:$A,match($C434,'Year Conversion'!$B:$B,0)),$Y:$Y,0))-J434,"")</f>
        <v>-0.05509836955</v>
      </c>
      <c r="AB434" s="168">
        <f t="array" ref="AB434">iferror(index(K:K,match($A434&amp;","&amp;index('Year Conversion'!$A:$A,match($C434,'Year Conversion'!$B:$B,0)),$Y:$Y,0))-K434,"")</f>
        <v>0.313012262</v>
      </c>
      <c r="AC434" s="168" t="str">
        <f t="shared" si="7"/>
        <v>MIN,2013-14</v>
      </c>
    </row>
    <row r="435">
      <c r="A435" s="161" t="str">
        <f>IFERROR(__xludf.DUMMYFUNCTION("""COMPUTED_VALUE"""),"canaais01")</f>
        <v>canaais01</v>
      </c>
      <c r="B435" s="161" t="str">
        <f>IFERROR(__xludf.DUMMYFUNCTION("""COMPUTED_VALUE"""),"Isaiah Canaan")</f>
        <v>Isaiah Canaan</v>
      </c>
      <c r="C435" s="162" t="str">
        <f>IFERROR(__xludf.DUMMYFUNCTION("""COMPUTED_VALUE"""),"2013-14")</f>
        <v>2013-14</v>
      </c>
      <c r="D435" s="163" t="str">
        <f>IFERROR(__xludf.DUMMYFUNCTION("""COMPUTED_VALUE"""),"HOU")</f>
        <v>HOU</v>
      </c>
      <c r="E435" s="164" t="str">
        <f>IFERROR(__xludf.DUMMYFUNCTION("""COMPUTED_VALUE"""),"Shot Creator")</f>
        <v>Shot Creator</v>
      </c>
      <c r="F435" s="164">
        <f>IFERROR(__xludf.DUMMYFUNCTION("""COMPUTED_VALUE"""),252.245)</f>
        <v>252.245</v>
      </c>
      <c r="G435" s="163">
        <f>IFERROR(__xludf.DUMMYFUNCTION("""COMPUTED_VALUE"""),22.0)</f>
        <v>22</v>
      </c>
      <c r="H435" s="163" t="str">
        <f>IFERROR(__xludf.DUMMYFUNCTION("""COMPUTED_VALUE"""),"PG")</f>
        <v>PG</v>
      </c>
      <c r="I435" s="163">
        <f>IFERROR(__xludf.DUMMYFUNCTION("""COMPUTED_VALUE"""),22.0)</f>
        <v>22</v>
      </c>
      <c r="J435" s="165">
        <f>IFERROR(__xludf.DUMMYFUNCTION("""COMPUTED_VALUE"""),-1.23713905616564)</f>
        <v>-1.237139056</v>
      </c>
      <c r="K435" s="165">
        <f>IFERROR(__xludf.DUMMYFUNCTION("""COMPUTED_VALUE"""),0.0820359182350955)</f>
        <v>0.08203591824</v>
      </c>
      <c r="L435" s="165">
        <f>IFERROR(__xludf.DUMMYFUNCTION("""COMPUTED_VALUE"""),-1.31917497440074)</f>
        <v>-1.319174974</v>
      </c>
      <c r="M435" s="166">
        <f t="shared" si="2"/>
        <v>0.1789347754</v>
      </c>
      <c r="N435" s="167">
        <f t="shared" si="3"/>
        <v>11.46568182</v>
      </c>
      <c r="O435" s="163">
        <f t="shared" ref="O435:Q435" si="439">rank(I435,I:I)</f>
        <v>3178</v>
      </c>
      <c r="P435" s="163">
        <f t="shared" si="439"/>
        <v>2797</v>
      </c>
      <c r="Q435" s="163">
        <f t="shared" si="439"/>
        <v>1091</v>
      </c>
      <c r="R435" s="163">
        <f>IFERROR(__xludf.DUMMYFUNCTION("RANK(M435,filter(M:M,C:C=C435))"),332.0)</f>
        <v>332</v>
      </c>
      <c r="S435" s="161" t="b">
        <f t="shared" si="5"/>
        <v>0</v>
      </c>
      <c r="T435" s="161" t="b">
        <f t="array" ref="T435">index('Query Tool'!B:B,match(H435,'Query Tool'!C:C,0))</f>
        <v>1</v>
      </c>
      <c r="U435" s="161" t="b">
        <f t="array" ref="U435">index('Query Tool'!B:B,match(C435,'Query Tool'!C:C,0))</f>
        <v>0</v>
      </c>
      <c r="V435" s="161" t="b">
        <f>F435&gt;='Query Tool'!C$32</f>
        <v>0</v>
      </c>
      <c r="W435" s="161" t="b">
        <f t="array" ref="W435">index(Dropdowns!B:B,match(I435,Dropdowns!A:A,0))</f>
        <v>1</v>
      </c>
      <c r="X435" s="161" t="b">
        <f t="array" ref="X435">index('Query Tool'!B:B,match(D435,'Query Tool'!C:C,0))</f>
        <v>1</v>
      </c>
      <c r="Y435" s="161" t="str">
        <f t="shared" si="6"/>
        <v>canaais01,2013-14</v>
      </c>
      <c r="Z435" s="168">
        <f t="array" ref="Z435">iferror(index(I:I,match($A435&amp;","&amp;index('Year Conversion'!$A:$A,match($C435,'Year Conversion'!$B:$B,0)),$Y:$Y,0))-I435,"")</f>
        <v>1</v>
      </c>
      <c r="AA435" s="168">
        <f t="array" ref="AA435">iferror(index(J:J,match($A435&amp;","&amp;index('Year Conversion'!$A:$A,match($C435,'Year Conversion'!$B:$B,0)),$Y:$Y,0))-J435,"")</f>
        <v>-0.1748078479</v>
      </c>
      <c r="AB435" s="168">
        <f t="array" ref="AB435">iferror(index(K:K,match($A435&amp;","&amp;index('Year Conversion'!$A:$A,match($C435,'Year Conversion'!$B:$B,0)),$Y:$Y,0))-K435,"")</f>
        <v>-0.5226103924</v>
      </c>
      <c r="AC435" s="168" t="str">
        <f t="shared" si="7"/>
        <v>HOU,2013-14</v>
      </c>
    </row>
    <row r="436">
      <c r="A436" s="161" t="str">
        <f>IFERROR(__xludf.DUMMYFUNCTION("""COMPUTED_VALUE"""),"frankja01")</f>
        <v>frankja01</v>
      </c>
      <c r="B436" s="161" t="str">
        <f>IFERROR(__xludf.DUMMYFUNCTION("""COMPUTED_VALUE"""),"Jamaal Franklin")</f>
        <v>Jamaal Franklin</v>
      </c>
      <c r="C436" s="162" t="str">
        <f>IFERROR(__xludf.DUMMYFUNCTION("""COMPUTED_VALUE"""),"2013-14")</f>
        <v>2013-14</v>
      </c>
      <c r="D436" s="163" t="str">
        <f>IFERROR(__xludf.DUMMYFUNCTION("""COMPUTED_VALUE"""),"MEM")</f>
        <v>MEM</v>
      </c>
      <c r="E436" s="164" t="str">
        <f>IFERROR(__xludf.DUMMYFUNCTION("""COMPUTED_VALUE"""),"Stationary Shooter")</f>
        <v>Stationary Shooter</v>
      </c>
      <c r="F436" s="164">
        <f>IFERROR(__xludf.DUMMYFUNCTION("""COMPUTED_VALUE"""),161.523333333333)</f>
        <v>161.5233333</v>
      </c>
      <c r="G436" s="163">
        <f>IFERROR(__xludf.DUMMYFUNCTION("""COMPUTED_VALUE"""),21.0)</f>
        <v>21</v>
      </c>
      <c r="H436" s="163" t="str">
        <f>IFERROR(__xludf.DUMMYFUNCTION("""COMPUTED_VALUE"""),"SG")</f>
        <v>SG</v>
      </c>
      <c r="I436" s="163">
        <f>IFERROR(__xludf.DUMMYFUNCTION("""COMPUTED_VALUE"""),22.0)</f>
        <v>22</v>
      </c>
      <c r="J436" s="165">
        <f>IFERROR(__xludf.DUMMYFUNCTION("""COMPUTED_VALUE"""),-1.34692324471309)</f>
        <v>-1.346923245</v>
      </c>
      <c r="K436" s="165">
        <f>IFERROR(__xludf.DUMMYFUNCTION("""COMPUTED_VALUE"""),-1.23257515538623)</f>
        <v>-1.232575155</v>
      </c>
      <c r="L436" s="165">
        <f>IFERROR(__xludf.DUMMYFUNCTION("""COMPUTED_VALUE"""),-0.114348089326858)</f>
        <v>-0.1143480893</v>
      </c>
      <c r="M436" s="166">
        <f t="shared" si="2"/>
        <v>0.1027072675</v>
      </c>
      <c r="N436" s="167">
        <f t="shared" si="3"/>
        <v>7.691587302</v>
      </c>
      <c r="O436" s="163">
        <f t="shared" ref="O436:Q436" si="440">rank(I436,I:I)</f>
        <v>3178</v>
      </c>
      <c r="P436" s="163">
        <f t="shared" si="440"/>
        <v>2906</v>
      </c>
      <c r="Q436" s="163">
        <f t="shared" si="440"/>
        <v>3068</v>
      </c>
      <c r="R436" s="163">
        <f>IFERROR(__xludf.DUMMYFUNCTION("RANK(M436,filter(M:M,C:C=C436))"),359.0)</f>
        <v>359</v>
      </c>
      <c r="S436" s="161" t="b">
        <f t="shared" si="5"/>
        <v>0</v>
      </c>
      <c r="T436" s="161" t="b">
        <f t="array" ref="T436">index('Query Tool'!B:B,match(H436,'Query Tool'!C:C,0))</f>
        <v>1</v>
      </c>
      <c r="U436" s="161" t="b">
        <f t="array" ref="U436">index('Query Tool'!B:B,match(C436,'Query Tool'!C:C,0))</f>
        <v>0</v>
      </c>
      <c r="V436" s="161" t="b">
        <f>F436&gt;='Query Tool'!C$32</f>
        <v>0</v>
      </c>
      <c r="W436" s="161" t="b">
        <f t="array" ref="W436">index(Dropdowns!B:B,match(I436,Dropdowns!A:A,0))</f>
        <v>1</v>
      </c>
      <c r="X436" s="161" t="b">
        <f t="array" ref="X436">index('Query Tool'!B:B,match(D436,'Query Tool'!C:C,0))</f>
        <v>1</v>
      </c>
      <c r="Y436" s="161" t="str">
        <f t="shared" si="6"/>
        <v>frankja01,2013-14</v>
      </c>
      <c r="Z436" s="168">
        <f t="array" ref="Z436">iferror(index(I:I,match($A436&amp;","&amp;index('Year Conversion'!$A:$A,match($C436,'Year Conversion'!$B:$B,0)),$Y:$Y,0))-I436,"")</f>
        <v>1</v>
      </c>
      <c r="AA436" s="168">
        <f t="array" ref="AA436">iferror(index(J:J,match($A436&amp;","&amp;index('Year Conversion'!$A:$A,match($C436,'Year Conversion'!$B:$B,0)),$Y:$Y,0))-J436,"")</f>
        <v>0.9492577006</v>
      </c>
      <c r="AB436" s="168">
        <f t="array" ref="AB436">iferror(index(K:K,match($A436&amp;","&amp;index('Year Conversion'!$A:$A,match($C436,'Year Conversion'!$B:$B,0)),$Y:$Y,0))-K436,"")</f>
        <v>1.076957153</v>
      </c>
      <c r="AC436" s="168" t="str">
        <f t="shared" si="7"/>
        <v>MEM,2013-14</v>
      </c>
    </row>
    <row r="437">
      <c r="A437" s="161" t="str">
        <f>IFERROR(__xludf.DUMMYFUNCTION("""COMPUTED_VALUE"""),"southja01")</f>
        <v>southja01</v>
      </c>
      <c r="B437" s="161" t="str">
        <f>IFERROR(__xludf.DUMMYFUNCTION("""COMPUTED_VALUE"""),"James Southerland")</f>
        <v>James Southerland</v>
      </c>
      <c r="C437" s="162" t="str">
        <f>IFERROR(__xludf.DUMMYFUNCTION("""COMPUTED_VALUE"""),"2013-14")</f>
        <v>2013-14</v>
      </c>
      <c r="D437" s="163" t="str">
        <f>IFERROR(__xludf.DUMMYFUNCTION("""COMPUTED_VALUE"""),"TOT")</f>
        <v>TOT</v>
      </c>
      <c r="E437" s="164" t="str">
        <f>IFERROR(__xludf.DUMMYFUNCTION("""COMPUTED_VALUE"""),"Stationary Shooter")</f>
        <v>Stationary Shooter</v>
      </c>
      <c r="F437" s="164">
        <f>IFERROR(__xludf.DUMMYFUNCTION("""COMPUTED_VALUE"""),29.9333333333333)</f>
        <v>29.93333333</v>
      </c>
      <c r="G437" s="163">
        <f>IFERROR(__xludf.DUMMYFUNCTION("""COMPUTED_VALUE"""),4.0)</f>
        <v>4</v>
      </c>
      <c r="H437" s="163" t="str">
        <f>IFERROR(__xludf.DUMMYFUNCTION("""COMPUTED_VALUE"""),"SF")</f>
        <v>SF</v>
      </c>
      <c r="I437" s="163">
        <f>IFERROR(__xludf.DUMMYFUNCTION("""COMPUTED_VALUE"""),23.0)</f>
        <v>23</v>
      </c>
      <c r="J437" s="165">
        <f>IFERROR(__xludf.DUMMYFUNCTION("""COMPUTED_VALUE"""),-0.462866011664447)</f>
        <v>-0.4628660117</v>
      </c>
      <c r="K437" s="165">
        <f>IFERROR(__xludf.DUMMYFUNCTION("""COMPUTED_VALUE"""),-0.072883057523242)</f>
        <v>-0.07288305752</v>
      </c>
      <c r="L437" s="165">
        <f>IFERROR(__xludf.DUMMYFUNCTION("""COMPUTED_VALUE"""),-0.389982954141205)</f>
        <v>-0.3899829541</v>
      </c>
      <c r="M437" s="166">
        <f t="shared" si="2"/>
        <v>0.03680901878</v>
      </c>
      <c r="N437" s="167">
        <f t="shared" si="3"/>
        <v>7.483333333</v>
      </c>
      <c r="O437" s="163">
        <f t="shared" ref="O437:Q437" si="441">rank(I437,I:I)</f>
        <v>2765</v>
      </c>
      <c r="P437" s="163">
        <f t="shared" si="441"/>
        <v>1795</v>
      </c>
      <c r="Q437" s="163">
        <f t="shared" si="441"/>
        <v>1310</v>
      </c>
      <c r="R437" s="163">
        <f>IFERROR(__xludf.DUMMYFUNCTION("RANK(M437,filter(M:M,C:C=C437))"),399.0)</f>
        <v>399</v>
      </c>
      <c r="S437" s="161" t="b">
        <f t="shared" si="5"/>
        <v>0</v>
      </c>
      <c r="T437" s="161" t="b">
        <f t="array" ref="T437">index('Query Tool'!B:B,match(H437,'Query Tool'!C:C,0))</f>
        <v>1</v>
      </c>
      <c r="U437" s="161" t="b">
        <f t="array" ref="U437">index('Query Tool'!B:B,match(C437,'Query Tool'!C:C,0))</f>
        <v>0</v>
      </c>
      <c r="V437" s="161" t="b">
        <f>F437&gt;='Query Tool'!C$32</f>
        <v>0</v>
      </c>
      <c r="W437" s="161" t="b">
        <f t="array" ref="W437">index(Dropdowns!B:B,match(I437,Dropdowns!A:A,0))</f>
        <v>1</v>
      </c>
      <c r="X437" s="161" t="b">
        <f t="array" ref="X437">index('Query Tool'!B:B,match(D437,'Query Tool'!C:C,0))</f>
        <v>1</v>
      </c>
      <c r="Y437" s="161" t="str">
        <f t="shared" si="6"/>
        <v>southja01,2013-14</v>
      </c>
      <c r="Z437" s="168" t="str">
        <f t="array" ref="Z437">iferror(index(I:I,match($A437&amp;","&amp;index('Year Conversion'!$A:$A,match($C437,'Year Conversion'!$B:$B,0)),$Y:$Y,0))-I437,"")</f>
        <v/>
      </c>
      <c r="AA437" s="168" t="str">
        <f t="array" ref="AA437">iferror(index(J:J,match($A437&amp;","&amp;index('Year Conversion'!$A:$A,match($C437,'Year Conversion'!$B:$B,0)),$Y:$Y,0))-J437,"")</f>
        <v/>
      </c>
      <c r="AB437" s="168" t="str">
        <f t="array" ref="AB437">iferror(index(K:K,match($A437&amp;","&amp;index('Year Conversion'!$A:$A,match($C437,'Year Conversion'!$B:$B,0)),$Y:$Y,0))-K437,"")</f>
        <v/>
      </c>
      <c r="AC437" s="168" t="str">
        <f t="shared" si="7"/>
        <v>TOT,2013-14</v>
      </c>
    </row>
    <row r="438">
      <c r="A438" s="161" t="str">
        <f>IFERROR(__xludf.DUMMYFUNCTION("""COMPUTED_VALUE"""),"witheje01")</f>
        <v>witheje01</v>
      </c>
      <c r="B438" s="161" t="str">
        <f>IFERROR(__xludf.DUMMYFUNCTION("""COMPUTED_VALUE"""),"Jeff Withey")</f>
        <v>Jeff Withey</v>
      </c>
      <c r="C438" s="162" t="str">
        <f>IFERROR(__xludf.DUMMYFUNCTION("""COMPUTED_VALUE"""),"2013-14")</f>
        <v>2013-14</v>
      </c>
      <c r="D438" s="163" t="str">
        <f>IFERROR(__xludf.DUMMYFUNCTION("""COMPUTED_VALUE"""),"NOP")</f>
        <v>NOP</v>
      </c>
      <c r="E438" s="164" t="str">
        <f>IFERROR(__xludf.DUMMYFUNCTION("""COMPUTED_VALUE"""),"Roll + Cut Big")</f>
        <v>Roll + Cut Big</v>
      </c>
      <c r="F438" s="164">
        <f>IFERROR(__xludf.DUMMYFUNCTION("""COMPUTED_VALUE"""),684.413333333333)</f>
        <v>684.4133333</v>
      </c>
      <c r="G438" s="163">
        <f>IFERROR(__xludf.DUMMYFUNCTION("""COMPUTED_VALUE"""),58.0)</f>
        <v>58</v>
      </c>
      <c r="H438" s="163" t="str">
        <f>IFERROR(__xludf.DUMMYFUNCTION("""COMPUTED_VALUE"""),"C")</f>
        <v>C</v>
      </c>
      <c r="I438" s="163">
        <f>IFERROR(__xludf.DUMMYFUNCTION("""COMPUTED_VALUE"""),23.0)</f>
        <v>23</v>
      </c>
      <c r="J438" s="165">
        <f>IFERROR(__xludf.DUMMYFUNCTION("""COMPUTED_VALUE"""),0.971097803491478)</f>
        <v>0.9710978035</v>
      </c>
      <c r="K438" s="165">
        <f>IFERROR(__xludf.DUMMYFUNCTION("""COMPUTED_VALUE"""),-0.561628748490768)</f>
        <v>-0.5616287485</v>
      </c>
      <c r="L438" s="165">
        <f>IFERROR(__xludf.DUMMYFUNCTION("""COMPUTED_VALUE"""),1.53272655198225)</f>
        <v>1.532726552</v>
      </c>
      <c r="M438" s="166">
        <f t="shared" si="2"/>
        <v>1.502639446</v>
      </c>
      <c r="N438" s="167">
        <f t="shared" si="3"/>
        <v>11.80022989</v>
      </c>
      <c r="O438" s="163">
        <f t="shared" ref="O438:Q438" si="442">rank(I438,I:I)</f>
        <v>2765</v>
      </c>
      <c r="P438" s="163">
        <f t="shared" si="442"/>
        <v>669</v>
      </c>
      <c r="Q438" s="163">
        <f t="shared" si="442"/>
        <v>2206</v>
      </c>
      <c r="R438" s="163">
        <f>IFERROR(__xludf.DUMMYFUNCTION("RANK(M438,filter(M:M,C:C=C438))"),182.0)</f>
        <v>182</v>
      </c>
      <c r="S438" s="161" t="b">
        <f t="shared" si="5"/>
        <v>0</v>
      </c>
      <c r="T438" s="161" t="b">
        <f t="array" ref="T438">index('Query Tool'!B:B,match(H438,'Query Tool'!C:C,0))</f>
        <v>1</v>
      </c>
      <c r="U438" s="161" t="b">
        <f t="array" ref="U438">index('Query Tool'!B:B,match(C438,'Query Tool'!C:C,0))</f>
        <v>0</v>
      </c>
      <c r="V438" s="161" t="b">
        <f>F438&gt;='Query Tool'!C$32</f>
        <v>1</v>
      </c>
      <c r="W438" s="161" t="b">
        <f t="array" ref="W438">index(Dropdowns!B:B,match(I438,Dropdowns!A:A,0))</f>
        <v>1</v>
      </c>
      <c r="X438" s="161" t="b">
        <f t="array" ref="X438">index('Query Tool'!B:B,match(D438,'Query Tool'!C:C,0))</f>
        <v>1</v>
      </c>
      <c r="Y438" s="161" t="str">
        <f t="shared" si="6"/>
        <v>witheje01,2013-14</v>
      </c>
      <c r="Z438" s="168">
        <f t="array" ref="Z438">iferror(index(I:I,match($A438&amp;","&amp;index('Year Conversion'!$A:$A,match($C438,'Year Conversion'!$B:$B,0)),$Y:$Y,0))-I438,"")</f>
        <v>1</v>
      </c>
      <c r="AA438" s="168">
        <f t="array" ref="AA438">iferror(index(J:J,match($A438&amp;","&amp;index('Year Conversion'!$A:$A,match($C438,'Year Conversion'!$B:$B,0)),$Y:$Y,0))-J438,"")</f>
        <v>-1.180655281</v>
      </c>
      <c r="AB438" s="168">
        <f t="array" ref="AB438">iferror(index(K:K,match($A438&amp;","&amp;index('Year Conversion'!$A:$A,match($C438,'Year Conversion'!$B:$B,0)),$Y:$Y,0))-K438,"")</f>
        <v>0.05765210867</v>
      </c>
      <c r="AC438" s="168" t="str">
        <f t="shared" si="7"/>
        <v>NOP,2013-14</v>
      </c>
    </row>
    <row r="439">
      <c r="A439" s="161" t="str">
        <f>IFERROR(__xludf.DUMMYFUNCTION("""COMPUTED_VALUE"""),"olynyke01")</f>
        <v>olynyke01</v>
      </c>
      <c r="B439" s="161" t="str">
        <f>IFERROR(__xludf.DUMMYFUNCTION("""COMPUTED_VALUE"""),"Kelly Olynyk")</f>
        <v>Kelly Olynyk</v>
      </c>
      <c r="C439" s="162" t="str">
        <f>IFERROR(__xludf.DUMMYFUNCTION("""COMPUTED_VALUE"""),"2013-14")</f>
        <v>2013-14</v>
      </c>
      <c r="D439" s="163" t="str">
        <f>IFERROR(__xludf.DUMMYFUNCTION("""COMPUTED_VALUE"""),"BOS")</f>
        <v>BOS</v>
      </c>
      <c r="E439" s="164" t="str">
        <f>IFERROR(__xludf.DUMMYFUNCTION("""COMPUTED_VALUE"""),"Roll + Cut Big")</f>
        <v>Roll + Cut Big</v>
      </c>
      <c r="F439" s="164">
        <f>IFERROR(__xludf.DUMMYFUNCTION("""COMPUTED_VALUE"""),1399.955)</f>
        <v>1399.955</v>
      </c>
      <c r="G439" s="163">
        <f>IFERROR(__xludf.DUMMYFUNCTION("""COMPUTED_VALUE"""),70.0)</f>
        <v>70</v>
      </c>
      <c r="H439" s="163" t="str">
        <f>IFERROR(__xludf.DUMMYFUNCTION("""COMPUTED_VALUE"""),"C")</f>
        <v>C</v>
      </c>
      <c r="I439" s="163">
        <f>IFERROR(__xludf.DUMMYFUNCTION("""COMPUTED_VALUE"""),22.0)</f>
        <v>22</v>
      </c>
      <c r="J439" s="165">
        <f>IFERROR(__xludf.DUMMYFUNCTION("""COMPUTED_VALUE"""),-1.67821153378631)</f>
        <v>-1.678211534</v>
      </c>
      <c r="K439" s="165">
        <f>IFERROR(__xludf.DUMMYFUNCTION("""COMPUTED_VALUE"""),-0.471110616650819)</f>
        <v>-0.4711106167</v>
      </c>
      <c r="L439" s="165">
        <f>IFERROR(__xludf.DUMMYFUNCTION("""COMPUTED_VALUE"""),-1.20710091713549)</f>
        <v>-1.207100917</v>
      </c>
      <c r="M439" s="166">
        <f t="shared" si="2"/>
        <v>0.5804767965</v>
      </c>
      <c r="N439" s="167">
        <f t="shared" si="3"/>
        <v>19.99935714</v>
      </c>
      <c r="O439" s="163">
        <f t="shared" ref="O439:Q439" si="443">rank(I439,I:I)</f>
        <v>3178</v>
      </c>
      <c r="P439" s="163">
        <f t="shared" si="443"/>
        <v>3220</v>
      </c>
      <c r="Q439" s="163">
        <f t="shared" si="443"/>
        <v>2067</v>
      </c>
      <c r="R439" s="163">
        <f>IFERROR(__xludf.DUMMYFUNCTION("RANK(M439,filter(M:M,C:C=C439))"),262.0)</f>
        <v>262</v>
      </c>
      <c r="S439" s="161" t="b">
        <f t="shared" si="5"/>
        <v>0</v>
      </c>
      <c r="T439" s="161" t="b">
        <f t="array" ref="T439">index('Query Tool'!B:B,match(H439,'Query Tool'!C:C,0))</f>
        <v>1</v>
      </c>
      <c r="U439" s="161" t="b">
        <f t="array" ref="U439">index('Query Tool'!B:B,match(C439,'Query Tool'!C:C,0))</f>
        <v>0</v>
      </c>
      <c r="V439" s="161" t="b">
        <f>F439&gt;='Query Tool'!C$32</f>
        <v>1</v>
      </c>
      <c r="W439" s="161" t="b">
        <f t="array" ref="W439">index(Dropdowns!B:B,match(I439,Dropdowns!A:A,0))</f>
        <v>1</v>
      </c>
      <c r="X439" s="161" t="b">
        <f t="array" ref="X439">index('Query Tool'!B:B,match(D439,'Query Tool'!C:C,0))</f>
        <v>1</v>
      </c>
      <c r="Y439" s="161" t="str">
        <f t="shared" si="6"/>
        <v>olynyke01,2013-14</v>
      </c>
      <c r="Z439" s="168">
        <f t="array" ref="Z439">iferror(index(I:I,match($A439&amp;","&amp;index('Year Conversion'!$A:$A,match($C439,'Year Conversion'!$B:$B,0)),$Y:$Y,0))-I439,"")</f>
        <v>1</v>
      </c>
      <c r="AA439" s="168">
        <f t="array" ref="AA439">iferror(index(J:J,match($A439&amp;","&amp;index('Year Conversion'!$A:$A,match($C439,'Year Conversion'!$B:$B,0)),$Y:$Y,0))-J439,"")</f>
        <v>3.610033252</v>
      </c>
      <c r="AB439" s="168">
        <f t="array" ref="AB439">iferror(index(K:K,match($A439&amp;","&amp;index('Year Conversion'!$A:$A,match($C439,'Year Conversion'!$B:$B,0)),$Y:$Y,0))-K439,"")</f>
        <v>1.449830669</v>
      </c>
      <c r="AC439" s="168" t="str">
        <f t="shared" si="7"/>
        <v>BOS,2013-14</v>
      </c>
    </row>
    <row r="440">
      <c r="A440" s="161" t="str">
        <f>IFERROR(__xludf.DUMMYFUNCTION("""COMPUTED_VALUE"""),"caldwke01")</f>
        <v>caldwke01</v>
      </c>
      <c r="B440" s="161" t="str">
        <f>IFERROR(__xludf.DUMMYFUNCTION("""COMPUTED_VALUE"""),"Kentavious Caldwell-Pope")</f>
        <v>Kentavious Caldwell-Pope</v>
      </c>
      <c r="C440" s="162" t="str">
        <f>IFERROR(__xludf.DUMMYFUNCTION("""COMPUTED_VALUE"""),"2013-14")</f>
        <v>2013-14</v>
      </c>
      <c r="D440" s="163" t="str">
        <f>IFERROR(__xludf.DUMMYFUNCTION("""COMPUTED_VALUE"""),"DET")</f>
        <v>DET</v>
      </c>
      <c r="E440" s="164" t="str">
        <f>IFERROR(__xludf.DUMMYFUNCTION("""COMPUTED_VALUE"""),"Stationary Shooter")</f>
        <v>Stationary Shooter</v>
      </c>
      <c r="F440" s="164">
        <f>IFERROR(__xludf.DUMMYFUNCTION("""COMPUTED_VALUE"""),1582.51333333333)</f>
        <v>1582.513333</v>
      </c>
      <c r="G440" s="163">
        <f>IFERROR(__xludf.DUMMYFUNCTION("""COMPUTED_VALUE"""),80.0)</f>
        <v>80</v>
      </c>
      <c r="H440" s="163" t="str">
        <f>IFERROR(__xludf.DUMMYFUNCTION("""COMPUTED_VALUE"""),"SG")</f>
        <v>SG</v>
      </c>
      <c r="I440" s="163">
        <f>IFERROR(__xludf.DUMMYFUNCTION("""COMPUTED_VALUE"""),20.0)</f>
        <v>20</v>
      </c>
      <c r="J440" s="165">
        <f>IFERROR(__xludf.DUMMYFUNCTION("""COMPUTED_VALUE"""),-0.273582735648881)</f>
        <v>-0.2735827356</v>
      </c>
      <c r="K440" s="165">
        <f>IFERROR(__xludf.DUMMYFUNCTION("""COMPUTED_VALUE"""),-0.592313276334265)</f>
        <v>-0.5923132763</v>
      </c>
      <c r="L440" s="165">
        <f>IFERROR(__xludf.DUMMYFUNCTION("""COMPUTED_VALUE"""),0.318730540685383)</f>
        <v>0.3187305407</v>
      </c>
      <c r="M440" s="166">
        <f t="shared" si="2"/>
        <v>2.147849049</v>
      </c>
      <c r="N440" s="167">
        <f t="shared" si="3"/>
        <v>19.78141667</v>
      </c>
      <c r="O440" s="163">
        <f t="shared" ref="O440:Q440" si="444">rank(I440,I:I)</f>
        <v>3770</v>
      </c>
      <c r="P440" s="163">
        <f t="shared" si="444"/>
        <v>1582</v>
      </c>
      <c r="Q440" s="163">
        <f t="shared" si="444"/>
        <v>2256</v>
      </c>
      <c r="R440" s="163">
        <f>IFERROR(__xludf.DUMMYFUNCTION("RANK(M440,filter(M:M,C:C=C440))"),146.0)</f>
        <v>146</v>
      </c>
      <c r="S440" s="161" t="b">
        <f t="shared" si="5"/>
        <v>0</v>
      </c>
      <c r="T440" s="161" t="b">
        <f t="array" ref="T440">index('Query Tool'!B:B,match(H440,'Query Tool'!C:C,0))</f>
        <v>1</v>
      </c>
      <c r="U440" s="161" t="b">
        <f t="array" ref="U440">index('Query Tool'!B:B,match(C440,'Query Tool'!C:C,0))</f>
        <v>0</v>
      </c>
      <c r="V440" s="161" t="b">
        <f>F440&gt;='Query Tool'!C$32</f>
        <v>1</v>
      </c>
      <c r="W440" s="161" t="b">
        <f t="array" ref="W440">index(Dropdowns!B:B,match(I440,Dropdowns!A:A,0))</f>
        <v>1</v>
      </c>
      <c r="X440" s="161" t="b">
        <f t="array" ref="X440">index('Query Tool'!B:B,match(D440,'Query Tool'!C:C,0))</f>
        <v>1</v>
      </c>
      <c r="Y440" s="161" t="str">
        <f t="shared" si="6"/>
        <v>caldwke01,2013-14</v>
      </c>
      <c r="Z440" s="168">
        <f t="array" ref="Z440">iferror(index(I:I,match($A440&amp;","&amp;index('Year Conversion'!$A:$A,match($C440,'Year Conversion'!$B:$B,0)),$Y:$Y,0))-I440,"")</f>
        <v>1</v>
      </c>
      <c r="AA440" s="168">
        <f t="array" ref="AA440">iferror(index(J:J,match($A440&amp;","&amp;index('Year Conversion'!$A:$A,match($C440,'Year Conversion'!$B:$B,0)),$Y:$Y,0))-J440,"")</f>
        <v>0.3109442316</v>
      </c>
      <c r="AB440" s="168">
        <f t="array" ref="AB440">iferror(index(K:K,match($A440&amp;","&amp;index('Year Conversion'!$A:$A,match($C440,'Year Conversion'!$B:$B,0)),$Y:$Y,0))-K440,"")</f>
        <v>1.046160811</v>
      </c>
      <c r="AC440" s="168" t="str">
        <f t="shared" si="7"/>
        <v>DET,2013-14</v>
      </c>
    </row>
    <row r="441">
      <c r="A441" s="161" t="str">
        <f>IFERROR(__xludf.DUMMYFUNCTION("""COMPUTED_VALUE"""),"brownlo01")</f>
        <v>brownlo01</v>
      </c>
      <c r="B441" s="161" t="str">
        <f>IFERROR(__xludf.DUMMYFUNCTION("""COMPUTED_VALUE"""),"Lorenzo Brown")</f>
        <v>Lorenzo Brown</v>
      </c>
      <c r="C441" s="162" t="str">
        <f>IFERROR(__xludf.DUMMYFUNCTION("""COMPUTED_VALUE"""),"2013-14")</f>
        <v>2013-14</v>
      </c>
      <c r="D441" s="163" t="str">
        <f>IFERROR(__xludf.DUMMYFUNCTION("""COMPUTED_VALUE"""),"PHI")</f>
        <v>PHI</v>
      </c>
      <c r="E441" s="164" t="str">
        <f>IFERROR(__xludf.DUMMYFUNCTION("""COMPUTED_VALUE"""),"Secondary Ball Handler")</f>
        <v>Secondary Ball Handler</v>
      </c>
      <c r="F441" s="164">
        <f>IFERROR(__xludf.DUMMYFUNCTION("""COMPUTED_VALUE"""),223.75)</f>
        <v>223.75</v>
      </c>
      <c r="G441" s="163">
        <f>IFERROR(__xludf.DUMMYFUNCTION("""COMPUTED_VALUE"""),26.0)</f>
        <v>26</v>
      </c>
      <c r="H441" s="163" t="str">
        <f>IFERROR(__xludf.DUMMYFUNCTION("""COMPUTED_VALUE"""),"PG")</f>
        <v>PG</v>
      </c>
      <c r="I441" s="163">
        <f>IFERROR(__xludf.DUMMYFUNCTION("""COMPUTED_VALUE"""),23.0)</f>
        <v>23</v>
      </c>
      <c r="J441" s="165">
        <f>IFERROR(__xludf.DUMMYFUNCTION("""COMPUTED_VALUE"""),0.165091416954688)</f>
        <v>0.165091417</v>
      </c>
      <c r="K441" s="165">
        <f>IFERROR(__xludf.DUMMYFUNCTION("""COMPUTED_VALUE"""),-0.0308288486308293)</f>
        <v>-0.03082884863</v>
      </c>
      <c r="L441" s="165">
        <f>IFERROR(__xludf.DUMMYFUNCTION("""COMPUTED_VALUE"""),0.195920265585517)</f>
        <v>0.1959202656</v>
      </c>
      <c r="M441" s="166">
        <f t="shared" si="2"/>
        <v>0.3698510093</v>
      </c>
      <c r="N441" s="167">
        <f t="shared" si="3"/>
        <v>8.605769231</v>
      </c>
      <c r="O441" s="163">
        <f t="shared" ref="O441:Q441" si="445">rank(I441,I:I)</f>
        <v>2765</v>
      </c>
      <c r="P441" s="163">
        <f t="shared" si="445"/>
        <v>1116</v>
      </c>
      <c r="Q441" s="163">
        <f t="shared" si="445"/>
        <v>1239</v>
      </c>
      <c r="R441" s="163">
        <f>IFERROR(__xludf.DUMMYFUNCTION("RANK(M441,filter(M:M,C:C=C441))"),292.0)</f>
        <v>292</v>
      </c>
      <c r="S441" s="161" t="b">
        <f t="shared" si="5"/>
        <v>0</v>
      </c>
      <c r="T441" s="161" t="b">
        <f t="array" ref="T441">index('Query Tool'!B:B,match(H441,'Query Tool'!C:C,0))</f>
        <v>1</v>
      </c>
      <c r="U441" s="161" t="b">
        <f t="array" ref="U441">index('Query Tool'!B:B,match(C441,'Query Tool'!C:C,0))</f>
        <v>0</v>
      </c>
      <c r="V441" s="161" t="b">
        <f>F441&gt;='Query Tool'!C$32</f>
        <v>0</v>
      </c>
      <c r="W441" s="161" t="b">
        <f t="array" ref="W441">index(Dropdowns!B:B,match(I441,Dropdowns!A:A,0))</f>
        <v>1</v>
      </c>
      <c r="X441" s="161" t="b">
        <f t="array" ref="X441">index('Query Tool'!B:B,match(D441,'Query Tool'!C:C,0))</f>
        <v>1</v>
      </c>
      <c r="Y441" s="161" t="str">
        <f t="shared" si="6"/>
        <v>brownlo01,2013-14</v>
      </c>
      <c r="Z441" s="168">
        <f t="array" ref="Z441">iferror(index(I:I,match($A441&amp;","&amp;index('Year Conversion'!$A:$A,match($C441,'Year Conversion'!$B:$B,0)),$Y:$Y,0))-I441,"")</f>
        <v>1</v>
      </c>
      <c r="AA441" s="168">
        <f t="array" ref="AA441">iferror(index(J:J,match($A441&amp;","&amp;index('Year Conversion'!$A:$A,match($C441,'Year Conversion'!$B:$B,0)),$Y:$Y,0))-J441,"")</f>
        <v>-1.075361971</v>
      </c>
      <c r="AB441" s="168">
        <f t="array" ref="AB441">iferror(index(K:K,match($A441&amp;","&amp;index('Year Conversion'!$A:$A,match($C441,'Year Conversion'!$B:$B,0)),$Y:$Y,0))-K441,"")</f>
        <v>-0.780098891</v>
      </c>
      <c r="AC441" s="168" t="str">
        <f t="shared" si="7"/>
        <v>PHI,2013-14</v>
      </c>
    </row>
    <row r="442">
      <c r="A442" s="161" t="str">
        <f>IFERROR(__xludf.DUMMYFUNCTION("""COMPUTED_VALUE"""),"plumlma01")</f>
        <v>plumlma01</v>
      </c>
      <c r="B442" s="161" t="str">
        <f>IFERROR(__xludf.DUMMYFUNCTION("""COMPUTED_VALUE"""),"Mason Plumlee")</f>
        <v>Mason Plumlee</v>
      </c>
      <c r="C442" s="162" t="str">
        <f>IFERROR(__xludf.DUMMYFUNCTION("""COMPUTED_VALUE"""),"2013-14")</f>
        <v>2013-14</v>
      </c>
      <c r="D442" s="163" t="str">
        <f>IFERROR(__xludf.DUMMYFUNCTION("""COMPUTED_VALUE"""),"BRK")</f>
        <v>BRK</v>
      </c>
      <c r="E442" s="164" t="str">
        <f>IFERROR(__xludf.DUMMYFUNCTION("""COMPUTED_VALUE"""),"Roll + Cut Big")</f>
        <v>Roll + Cut Big</v>
      </c>
      <c r="F442" s="164">
        <f>IFERROR(__xludf.DUMMYFUNCTION("""COMPUTED_VALUE"""),1274.76166666667)</f>
        <v>1274.761667</v>
      </c>
      <c r="G442" s="163">
        <f>IFERROR(__xludf.DUMMYFUNCTION("""COMPUTED_VALUE"""),70.0)</f>
        <v>70</v>
      </c>
      <c r="H442" s="163" t="str">
        <f>IFERROR(__xludf.DUMMYFUNCTION("""COMPUTED_VALUE"""),"C")</f>
        <v>C</v>
      </c>
      <c r="I442" s="163">
        <f>IFERROR(__xludf.DUMMYFUNCTION("""COMPUTED_VALUE"""),23.0)</f>
        <v>23</v>
      </c>
      <c r="J442" s="165">
        <f>IFERROR(__xludf.DUMMYFUNCTION("""COMPUTED_VALUE"""),0.321558789223548)</f>
        <v>0.3215587892</v>
      </c>
      <c r="K442" s="165">
        <f>IFERROR(__xludf.DUMMYFUNCTION("""COMPUTED_VALUE"""),-0.310771784255356)</f>
        <v>-0.3107717843</v>
      </c>
      <c r="L442" s="165">
        <f>IFERROR(__xludf.DUMMYFUNCTION("""COMPUTED_VALUE"""),0.632330573478904)</f>
        <v>0.6323305735</v>
      </c>
      <c r="M442" s="166">
        <f t="shared" si="2"/>
        <v>2.241575578</v>
      </c>
      <c r="N442" s="167">
        <f t="shared" si="3"/>
        <v>18.21088095</v>
      </c>
      <c r="O442" s="163">
        <f t="shared" ref="O442:Q442" si="446">rank(I442,I:I)</f>
        <v>2765</v>
      </c>
      <c r="P442" s="163">
        <f t="shared" si="446"/>
        <v>1005</v>
      </c>
      <c r="Q442" s="163">
        <f t="shared" si="446"/>
        <v>1774</v>
      </c>
      <c r="R442" s="163">
        <f>IFERROR(__xludf.DUMMYFUNCTION("RANK(M442,filter(M:M,C:C=C442))"),141.0)</f>
        <v>141</v>
      </c>
      <c r="S442" s="161" t="b">
        <f t="shared" si="5"/>
        <v>0</v>
      </c>
      <c r="T442" s="161" t="b">
        <f t="array" ref="T442">index('Query Tool'!B:B,match(H442,'Query Tool'!C:C,0))</f>
        <v>1</v>
      </c>
      <c r="U442" s="161" t="b">
        <f t="array" ref="U442">index('Query Tool'!B:B,match(C442,'Query Tool'!C:C,0))</f>
        <v>0</v>
      </c>
      <c r="V442" s="161" t="b">
        <f>F442&gt;='Query Tool'!C$32</f>
        <v>1</v>
      </c>
      <c r="W442" s="161" t="b">
        <f t="array" ref="W442">index(Dropdowns!B:B,match(I442,Dropdowns!A:A,0))</f>
        <v>1</v>
      </c>
      <c r="X442" s="161" t="b">
        <f t="array" ref="X442">index('Query Tool'!B:B,match(D442,'Query Tool'!C:C,0))</f>
        <v>1</v>
      </c>
      <c r="Y442" s="161" t="str">
        <f t="shared" si="6"/>
        <v>plumlma01,2013-14</v>
      </c>
      <c r="Z442" s="168">
        <f t="array" ref="Z442">iferror(index(I:I,match($A442&amp;","&amp;index('Year Conversion'!$A:$A,match($C442,'Year Conversion'!$B:$B,0)),$Y:$Y,0))-I442,"")</f>
        <v>1</v>
      </c>
      <c r="AA442" s="168">
        <f t="array" ref="AA442">iferror(index(J:J,match($A442&amp;","&amp;index('Year Conversion'!$A:$A,match($C442,'Year Conversion'!$B:$B,0)),$Y:$Y,0))-J442,"")</f>
        <v>-0.339032437</v>
      </c>
      <c r="AB442" s="168">
        <f t="array" ref="AB442">iferror(index(K:K,match($A442&amp;","&amp;index('Year Conversion'!$A:$A,match($C442,'Year Conversion'!$B:$B,0)),$Y:$Y,0))-K442,"")</f>
        <v>0.01835579061</v>
      </c>
      <c r="AC442" s="168" t="str">
        <f t="shared" si="7"/>
        <v>BRK,2013-14</v>
      </c>
    </row>
    <row r="443">
      <c r="A443" s="161" t="str">
        <f>IFERROR(__xludf.DUMMYFUNCTION("""COMPUTED_VALUE"""),"cartemi01")</f>
        <v>cartemi01</v>
      </c>
      <c r="B443" s="161" t="str">
        <f>IFERROR(__xludf.DUMMYFUNCTION("""COMPUTED_VALUE"""),"Michael Carter-Williams")</f>
        <v>Michael Carter-Williams</v>
      </c>
      <c r="C443" s="162" t="str">
        <f>IFERROR(__xludf.DUMMYFUNCTION("""COMPUTED_VALUE"""),"2013-14")</f>
        <v>2013-14</v>
      </c>
      <c r="D443" s="163" t="str">
        <f>IFERROR(__xludf.DUMMYFUNCTION("""COMPUTED_VALUE"""),"PHI")</f>
        <v>PHI</v>
      </c>
      <c r="E443" s="164" t="str">
        <f>IFERROR(__xludf.DUMMYFUNCTION("""COMPUTED_VALUE"""),"Slasher")</f>
        <v>Slasher</v>
      </c>
      <c r="F443" s="164">
        <f>IFERROR(__xludf.DUMMYFUNCTION("""COMPUTED_VALUE"""),2413.91333333333)</f>
        <v>2413.913333</v>
      </c>
      <c r="G443" s="163">
        <f>IFERROR(__xludf.DUMMYFUNCTION("""COMPUTED_VALUE"""),70.0)</f>
        <v>70</v>
      </c>
      <c r="H443" s="163" t="str">
        <f>IFERROR(__xludf.DUMMYFUNCTION("""COMPUTED_VALUE"""),"PG")</f>
        <v>PG</v>
      </c>
      <c r="I443" s="163">
        <f>IFERROR(__xludf.DUMMYFUNCTION("""COMPUTED_VALUE"""),22.0)</f>
        <v>22</v>
      </c>
      <c r="J443" s="165">
        <f>IFERROR(__xludf.DUMMYFUNCTION("""COMPUTED_VALUE"""),-0.0322060735039575)</f>
        <v>-0.0322060735</v>
      </c>
      <c r="K443" s="165">
        <f>IFERROR(__xludf.DUMMYFUNCTION("""COMPUTED_VALUE"""),0.0204438094367652)</f>
        <v>0.02044380944</v>
      </c>
      <c r="L443" s="165">
        <f>IFERROR(__xludf.DUMMYFUNCTION("""COMPUTED_VALUE"""),-0.0526498829407227)</f>
        <v>-0.05264988294</v>
      </c>
      <c r="M443" s="166">
        <f t="shared" si="2"/>
        <v>3.669036481</v>
      </c>
      <c r="N443" s="167">
        <f t="shared" si="3"/>
        <v>34.48447619</v>
      </c>
      <c r="O443" s="163">
        <f t="shared" ref="O443:Q443" si="447">rank(I443,I:I)</f>
        <v>3178</v>
      </c>
      <c r="P443" s="163">
        <f t="shared" si="447"/>
        <v>1318</v>
      </c>
      <c r="Q443" s="163">
        <f t="shared" si="447"/>
        <v>1173</v>
      </c>
      <c r="R443" s="163">
        <f>IFERROR(__xludf.DUMMYFUNCTION("RANK(M443,filter(M:M,C:C=C443))"),94.0)</f>
        <v>94</v>
      </c>
      <c r="S443" s="161" t="b">
        <f t="shared" si="5"/>
        <v>0</v>
      </c>
      <c r="T443" s="161" t="b">
        <f t="array" ref="T443">index('Query Tool'!B:B,match(H443,'Query Tool'!C:C,0))</f>
        <v>1</v>
      </c>
      <c r="U443" s="161" t="b">
        <f t="array" ref="U443">index('Query Tool'!B:B,match(C443,'Query Tool'!C:C,0))</f>
        <v>0</v>
      </c>
      <c r="V443" s="161" t="b">
        <f>F443&gt;='Query Tool'!C$32</f>
        <v>1</v>
      </c>
      <c r="W443" s="161" t="b">
        <f t="array" ref="W443">index(Dropdowns!B:B,match(I443,Dropdowns!A:A,0))</f>
        <v>1</v>
      </c>
      <c r="X443" s="161" t="b">
        <f t="array" ref="X443">index('Query Tool'!B:B,match(D443,'Query Tool'!C:C,0))</f>
        <v>1</v>
      </c>
      <c r="Y443" s="161" t="str">
        <f t="shared" si="6"/>
        <v>cartemi01,2013-14</v>
      </c>
      <c r="Z443" s="168">
        <f t="array" ref="Z443">iferror(index(I:I,match($A443&amp;","&amp;index('Year Conversion'!$A:$A,match($C443,'Year Conversion'!$B:$B,0)),$Y:$Y,0))-I443,"")</f>
        <v>1</v>
      </c>
      <c r="AA443" s="168">
        <f t="array" ref="AA443">iferror(index(J:J,match($A443&amp;","&amp;index('Year Conversion'!$A:$A,match($C443,'Year Conversion'!$B:$B,0)),$Y:$Y,0))-J443,"")</f>
        <v>0.1742443184</v>
      </c>
      <c r="AB443" s="168">
        <f t="array" ref="AB443">iferror(index(K:K,match($A443&amp;","&amp;index('Year Conversion'!$A:$A,match($C443,'Year Conversion'!$B:$B,0)),$Y:$Y,0))-K443,"")</f>
        <v>-0.6937383098</v>
      </c>
      <c r="AC443" s="168" t="str">
        <f t="shared" si="7"/>
        <v>PHI,2013-14</v>
      </c>
    </row>
    <row r="444">
      <c r="A444" s="161" t="str">
        <f>IFERROR(__xludf.DUMMYFUNCTION("""COMPUTED_VALUE"""),"muscami01")</f>
        <v>muscami01</v>
      </c>
      <c r="B444" s="161" t="str">
        <f>IFERROR(__xludf.DUMMYFUNCTION("""COMPUTED_VALUE"""),"Mike Muscala")</f>
        <v>Mike Muscala</v>
      </c>
      <c r="C444" s="162" t="str">
        <f>IFERROR(__xludf.DUMMYFUNCTION("""COMPUTED_VALUE"""),"2013-14")</f>
        <v>2013-14</v>
      </c>
      <c r="D444" s="163" t="str">
        <f>IFERROR(__xludf.DUMMYFUNCTION("""COMPUTED_VALUE"""),"ATL")</f>
        <v>ATL</v>
      </c>
      <c r="E444" s="164" t="str">
        <f>IFERROR(__xludf.DUMMYFUNCTION("""COMPUTED_VALUE"""),"Roll + Cut Big")</f>
        <v>Roll + Cut Big</v>
      </c>
      <c r="F444" s="164">
        <f>IFERROR(__xludf.DUMMYFUNCTION("""COMPUTED_VALUE"""),214.97)</f>
        <v>214.97</v>
      </c>
      <c r="G444" s="163">
        <f>IFERROR(__xludf.DUMMYFUNCTION("""COMPUTED_VALUE"""),20.0)</f>
        <v>20</v>
      </c>
      <c r="H444" s="163" t="str">
        <f>IFERROR(__xludf.DUMMYFUNCTION("""COMPUTED_VALUE"""),"PF")</f>
        <v>PF</v>
      </c>
      <c r="I444" s="163">
        <f>IFERROR(__xludf.DUMMYFUNCTION("""COMPUTED_VALUE"""),22.0)</f>
        <v>22</v>
      </c>
      <c r="J444" s="165">
        <f>IFERROR(__xludf.DUMMYFUNCTION("""COMPUTED_VALUE"""),-1.89492794576296)</f>
        <v>-1.894927946</v>
      </c>
      <c r="K444" s="165">
        <f>IFERROR(__xludf.DUMMYFUNCTION("""COMPUTED_VALUE"""),-1.458301791845)</f>
        <v>-1.458301792</v>
      </c>
      <c r="L444" s="165">
        <f>IFERROR(__xludf.DUMMYFUNCTION("""COMPUTED_VALUE"""),-0.436626153917961)</f>
        <v>-0.4366261539</v>
      </c>
      <c r="M444" s="166">
        <f t="shared" si="2"/>
        <v>0.05814086081</v>
      </c>
      <c r="N444" s="167">
        <f t="shared" si="3"/>
        <v>10.7485</v>
      </c>
      <c r="O444" s="163">
        <f t="shared" ref="O444:Q444" si="448">rank(I444,I:I)</f>
        <v>3178</v>
      </c>
      <c r="P444" s="163">
        <f t="shared" si="448"/>
        <v>3412</v>
      </c>
      <c r="Q444" s="163">
        <f t="shared" si="448"/>
        <v>3308</v>
      </c>
      <c r="R444" s="163">
        <f>IFERROR(__xludf.DUMMYFUNCTION("RANK(M444,filter(M:M,C:C=C444))"),384.0)</f>
        <v>384</v>
      </c>
      <c r="S444" s="161" t="b">
        <f t="shared" si="5"/>
        <v>0</v>
      </c>
      <c r="T444" s="161" t="b">
        <f t="array" ref="T444">index('Query Tool'!B:B,match(H444,'Query Tool'!C:C,0))</f>
        <v>1</v>
      </c>
      <c r="U444" s="161" t="b">
        <f t="array" ref="U444">index('Query Tool'!B:B,match(C444,'Query Tool'!C:C,0))</f>
        <v>0</v>
      </c>
      <c r="V444" s="161" t="b">
        <f>F444&gt;='Query Tool'!C$32</f>
        <v>0</v>
      </c>
      <c r="W444" s="161" t="b">
        <f t="array" ref="W444">index(Dropdowns!B:B,match(I444,Dropdowns!A:A,0))</f>
        <v>1</v>
      </c>
      <c r="X444" s="161" t="b">
        <f t="array" ref="X444">index('Query Tool'!B:B,match(D444,'Query Tool'!C:C,0))</f>
        <v>1</v>
      </c>
      <c r="Y444" s="161" t="str">
        <f t="shared" si="6"/>
        <v>muscami01,2013-14</v>
      </c>
      <c r="Z444" s="168">
        <f t="array" ref="Z444">iferror(index(I:I,match($A444&amp;","&amp;index('Year Conversion'!$A:$A,match($C444,'Year Conversion'!$B:$B,0)),$Y:$Y,0))-I444,"")</f>
        <v>1</v>
      </c>
      <c r="AA444" s="168">
        <f t="array" ref="AA444">iferror(index(J:J,match($A444&amp;","&amp;index('Year Conversion'!$A:$A,match($C444,'Year Conversion'!$B:$B,0)),$Y:$Y,0))-J444,"")</f>
        <v>1.06837274</v>
      </c>
      <c r="AB444" s="168">
        <f t="array" ref="AB444">iferror(index(K:K,match($A444&amp;","&amp;index('Year Conversion'!$A:$A,match($C444,'Year Conversion'!$B:$B,0)),$Y:$Y,0))-K444,"")</f>
        <v>0.944900164</v>
      </c>
      <c r="AC444" s="168" t="str">
        <f t="shared" si="7"/>
        <v>ATL,2013-14</v>
      </c>
    </row>
    <row r="445">
      <c r="A445" s="161" t="str">
        <f>IFERROR(__xludf.DUMMYFUNCTION("""COMPUTED_VALUE"""),"woltena01")</f>
        <v>woltena01</v>
      </c>
      <c r="B445" s="161" t="str">
        <f>IFERROR(__xludf.DUMMYFUNCTION("""COMPUTED_VALUE"""),"Nate Wolters")</f>
        <v>Nate Wolters</v>
      </c>
      <c r="C445" s="162" t="str">
        <f>IFERROR(__xludf.DUMMYFUNCTION("""COMPUTED_VALUE"""),"2013-14")</f>
        <v>2013-14</v>
      </c>
      <c r="D445" s="163" t="str">
        <f>IFERROR(__xludf.DUMMYFUNCTION("""COMPUTED_VALUE"""),"MIL")</f>
        <v>MIL</v>
      </c>
      <c r="E445" s="164" t="str">
        <f>IFERROR(__xludf.DUMMYFUNCTION("""COMPUTED_VALUE"""),"Primary Ball Handler")</f>
        <v>Primary Ball Handler</v>
      </c>
      <c r="F445" s="164">
        <f>IFERROR(__xludf.DUMMYFUNCTION("""COMPUTED_VALUE"""),1309.35833333333)</f>
        <v>1309.358333</v>
      </c>
      <c r="G445" s="163">
        <f>IFERROR(__xludf.DUMMYFUNCTION("""COMPUTED_VALUE"""),58.0)</f>
        <v>58</v>
      </c>
      <c r="H445" s="163" t="str">
        <f>IFERROR(__xludf.DUMMYFUNCTION("""COMPUTED_VALUE"""),"PG")</f>
        <v>PG</v>
      </c>
      <c r="I445" s="163">
        <f>IFERROR(__xludf.DUMMYFUNCTION("""COMPUTED_VALUE"""),22.0)</f>
        <v>22</v>
      </c>
      <c r="J445" s="165">
        <f>IFERROR(__xludf.DUMMYFUNCTION("""COMPUTED_VALUE"""),-0.391302597885027)</f>
        <v>-0.3913025979</v>
      </c>
      <c r="K445" s="165">
        <f>IFERROR(__xludf.DUMMYFUNCTION("""COMPUTED_VALUE"""),-0.768785358089599)</f>
        <v>-0.7687853581</v>
      </c>
      <c r="L445" s="165">
        <f>IFERROR(__xludf.DUMMYFUNCTION("""COMPUTED_VALUE"""),0.377482760204572)</f>
        <v>0.3774827602</v>
      </c>
      <c r="M445" s="166">
        <f t="shared" si="2"/>
        <v>1.673242816</v>
      </c>
      <c r="N445" s="167">
        <f t="shared" si="3"/>
        <v>22.57514368</v>
      </c>
      <c r="O445" s="163">
        <f t="shared" ref="O445:Q445" si="449">rank(I445,I:I)</f>
        <v>3178</v>
      </c>
      <c r="P445" s="163">
        <f t="shared" si="449"/>
        <v>1718</v>
      </c>
      <c r="Q445" s="163">
        <f t="shared" si="449"/>
        <v>2513</v>
      </c>
      <c r="R445" s="163">
        <f>IFERROR(__xludf.DUMMYFUNCTION("RANK(M445,filter(M:M,C:C=C445))"),172.0)</f>
        <v>172</v>
      </c>
      <c r="S445" s="161" t="b">
        <f t="shared" si="5"/>
        <v>0</v>
      </c>
      <c r="T445" s="161" t="b">
        <f t="array" ref="T445">index('Query Tool'!B:B,match(H445,'Query Tool'!C:C,0))</f>
        <v>1</v>
      </c>
      <c r="U445" s="161" t="b">
        <f t="array" ref="U445">index('Query Tool'!B:B,match(C445,'Query Tool'!C:C,0))</f>
        <v>0</v>
      </c>
      <c r="V445" s="161" t="b">
        <f>F445&gt;='Query Tool'!C$32</f>
        <v>1</v>
      </c>
      <c r="W445" s="161" t="b">
        <f t="array" ref="W445">index(Dropdowns!B:B,match(I445,Dropdowns!A:A,0))</f>
        <v>1</v>
      </c>
      <c r="X445" s="161" t="b">
        <f t="array" ref="X445">index('Query Tool'!B:B,match(D445,'Query Tool'!C:C,0))</f>
        <v>1</v>
      </c>
      <c r="Y445" s="161" t="str">
        <f t="shared" si="6"/>
        <v>woltena01,2013-14</v>
      </c>
      <c r="Z445" s="168">
        <f t="array" ref="Z445">iferror(index(I:I,match($A445&amp;","&amp;index('Year Conversion'!$A:$A,match($C445,'Year Conversion'!$B:$B,0)),$Y:$Y,0))-I445,"")</f>
        <v>1</v>
      </c>
      <c r="AA445" s="168">
        <f t="array" ref="AA445">iferror(index(J:J,match($A445&amp;","&amp;index('Year Conversion'!$A:$A,match($C445,'Year Conversion'!$B:$B,0)),$Y:$Y,0))-J445,"")</f>
        <v>-0.8344182321</v>
      </c>
      <c r="AB445" s="168">
        <f t="array" ref="AB445">iferror(index(K:K,match($A445&amp;","&amp;index('Year Conversion'!$A:$A,match($C445,'Year Conversion'!$B:$B,0)),$Y:$Y,0))-K445,"")</f>
        <v>-0.1310597507</v>
      </c>
      <c r="AC445" s="168" t="str">
        <f t="shared" si="7"/>
        <v>MIL,2013-14</v>
      </c>
    </row>
    <row r="446">
      <c r="A446" s="161" t="str">
        <f>IFERROR(__xludf.DUMMYFUNCTION("""COMPUTED_VALUE"""),"porteot01")</f>
        <v>porteot01</v>
      </c>
      <c r="B446" s="161" t="str">
        <f>IFERROR(__xludf.DUMMYFUNCTION("""COMPUTED_VALUE"""),"Otto Porter Jr.")</f>
        <v>Otto Porter Jr.</v>
      </c>
      <c r="C446" s="162" t="str">
        <f>IFERROR(__xludf.DUMMYFUNCTION("""COMPUTED_VALUE"""),"2013-14")</f>
        <v>2013-14</v>
      </c>
      <c r="D446" s="163" t="str">
        <f>IFERROR(__xludf.DUMMYFUNCTION("""COMPUTED_VALUE"""),"WAS")</f>
        <v>WAS</v>
      </c>
      <c r="E446" s="164" t="str">
        <f>IFERROR(__xludf.DUMMYFUNCTION("""COMPUTED_VALUE"""),"Athletic Finisher")</f>
        <v>Athletic Finisher</v>
      </c>
      <c r="F446" s="164">
        <f>IFERROR(__xludf.DUMMYFUNCTION("""COMPUTED_VALUE"""),318.953333333333)</f>
        <v>318.9533333</v>
      </c>
      <c r="G446" s="163">
        <f>IFERROR(__xludf.DUMMYFUNCTION("""COMPUTED_VALUE"""),37.0)</f>
        <v>37</v>
      </c>
      <c r="H446" s="163" t="str">
        <f>IFERROR(__xludf.DUMMYFUNCTION("""COMPUTED_VALUE"""),"SF")</f>
        <v>SF</v>
      </c>
      <c r="I446" s="163">
        <f>IFERROR(__xludf.DUMMYFUNCTION("""COMPUTED_VALUE"""),20.0)</f>
        <v>20</v>
      </c>
      <c r="J446" s="165">
        <f>IFERROR(__xludf.DUMMYFUNCTION("""COMPUTED_VALUE"""),-2.44277340730665)</f>
        <v>-2.442773407</v>
      </c>
      <c r="K446" s="165">
        <f>IFERROR(__xludf.DUMMYFUNCTION("""COMPUTED_VALUE"""),-1.88663369203837)</f>
        <v>-1.886633692</v>
      </c>
      <c r="L446" s="165">
        <f>IFERROR(__xludf.DUMMYFUNCTION("""COMPUTED_VALUE"""),-0.556139715268275)</f>
        <v>-0.5561397153</v>
      </c>
      <c r="M446" s="166">
        <f t="shared" si="2"/>
        <v>-0.0292507642</v>
      </c>
      <c r="N446" s="167">
        <f t="shared" si="3"/>
        <v>8.62036036</v>
      </c>
      <c r="O446" s="163">
        <f t="shared" ref="O446:Q446" si="450">rank(I446,I:I)</f>
        <v>3770</v>
      </c>
      <c r="P446" s="163">
        <f t="shared" si="450"/>
        <v>3734</v>
      </c>
      <c r="Q446" s="163">
        <f t="shared" si="450"/>
        <v>3635</v>
      </c>
      <c r="R446" s="163">
        <f>IFERROR(__xludf.DUMMYFUNCTION("RANK(M446,filter(M:M,C:C=C446))"),433.0)</f>
        <v>433</v>
      </c>
      <c r="S446" s="161" t="b">
        <f t="shared" si="5"/>
        <v>0</v>
      </c>
      <c r="T446" s="161" t="b">
        <f t="array" ref="T446">index('Query Tool'!B:B,match(H446,'Query Tool'!C:C,0))</f>
        <v>1</v>
      </c>
      <c r="U446" s="161" t="b">
        <f t="array" ref="U446">index('Query Tool'!B:B,match(C446,'Query Tool'!C:C,0))</f>
        <v>0</v>
      </c>
      <c r="V446" s="161" t="b">
        <f>F446&gt;='Query Tool'!C$32</f>
        <v>0</v>
      </c>
      <c r="W446" s="161" t="b">
        <f t="array" ref="W446">index(Dropdowns!B:B,match(I446,Dropdowns!A:A,0))</f>
        <v>1</v>
      </c>
      <c r="X446" s="161" t="b">
        <f t="array" ref="X446">index('Query Tool'!B:B,match(D446,'Query Tool'!C:C,0))</f>
        <v>1</v>
      </c>
      <c r="Y446" s="161" t="str">
        <f t="shared" si="6"/>
        <v>porteot01,2013-14</v>
      </c>
      <c r="Z446" s="168">
        <f t="array" ref="Z446">iferror(index(I:I,match($A446&amp;","&amp;index('Year Conversion'!$A:$A,match($C446,'Year Conversion'!$B:$B,0)),$Y:$Y,0))-I446,"")</f>
        <v>1</v>
      </c>
      <c r="AA446" s="168">
        <f t="array" ref="AA446">iferror(index(J:J,match($A446&amp;","&amp;index('Year Conversion'!$A:$A,match($C446,'Year Conversion'!$B:$B,0)),$Y:$Y,0))-J446,"")</f>
        <v>1.630974218</v>
      </c>
      <c r="AB446" s="168">
        <f t="array" ref="AB446">iferror(index(K:K,match($A446&amp;","&amp;index('Year Conversion'!$A:$A,match($C446,'Year Conversion'!$B:$B,0)),$Y:$Y,0))-K446,"")</f>
        <v>2.150824186</v>
      </c>
      <c r="AC446" s="168" t="str">
        <f t="shared" si="7"/>
        <v>WAS,2013-14</v>
      </c>
    </row>
    <row r="447">
      <c r="A447" s="161" t="str">
        <f>IFERROR(__xludf.DUMMYFUNCTION("""COMPUTED_VALUE"""),"sivape01")</f>
        <v>sivape01</v>
      </c>
      <c r="B447" s="161" t="str">
        <f>IFERROR(__xludf.DUMMYFUNCTION("""COMPUTED_VALUE"""),"Peyton Siva")</f>
        <v>Peyton Siva</v>
      </c>
      <c r="C447" s="162" t="str">
        <f>IFERROR(__xludf.DUMMYFUNCTION("""COMPUTED_VALUE"""),"2013-14")</f>
        <v>2013-14</v>
      </c>
      <c r="D447" s="163" t="str">
        <f>IFERROR(__xludf.DUMMYFUNCTION("""COMPUTED_VALUE"""),"DET")</f>
        <v>DET</v>
      </c>
      <c r="E447" s="164" t="str">
        <f>IFERROR(__xludf.DUMMYFUNCTION("""COMPUTED_VALUE"""),"Secondary Ball Handler")</f>
        <v>Secondary Ball Handler</v>
      </c>
      <c r="F447" s="164">
        <f>IFERROR(__xludf.DUMMYFUNCTION("""COMPUTED_VALUE"""),224.34)</f>
        <v>224.34</v>
      </c>
      <c r="G447" s="163">
        <f>IFERROR(__xludf.DUMMYFUNCTION("""COMPUTED_VALUE"""),24.0)</f>
        <v>24</v>
      </c>
      <c r="H447" s="163" t="str">
        <f>IFERROR(__xludf.DUMMYFUNCTION("""COMPUTED_VALUE"""),"SG")</f>
        <v>SG</v>
      </c>
      <c r="I447" s="163">
        <f>IFERROR(__xludf.DUMMYFUNCTION("""COMPUTED_VALUE"""),23.0)</f>
        <v>23</v>
      </c>
      <c r="J447" s="165">
        <f>IFERROR(__xludf.DUMMYFUNCTION("""COMPUTED_VALUE"""),-1.42535056275819)</f>
        <v>-1.425350563</v>
      </c>
      <c r="K447" s="165">
        <f>IFERROR(__xludf.DUMMYFUNCTION("""COMPUTED_VALUE"""),-0.931938607153643)</f>
        <v>-0.9319386072</v>
      </c>
      <c r="L447" s="165">
        <f>IFERROR(__xludf.DUMMYFUNCTION("""COMPUTED_VALUE"""),-0.493411955604547)</f>
        <v>-0.4934119556</v>
      </c>
      <c r="M447" s="166">
        <f t="shared" si="2"/>
        <v>0.1308828276</v>
      </c>
      <c r="N447" s="167">
        <f t="shared" si="3"/>
        <v>9.3475</v>
      </c>
      <c r="O447" s="163">
        <f t="shared" ref="O447:Q447" si="451">rank(I447,I:I)</f>
        <v>2765</v>
      </c>
      <c r="P447" s="163">
        <f t="shared" si="451"/>
        <v>2982</v>
      </c>
      <c r="Q447" s="163">
        <f t="shared" si="451"/>
        <v>2727</v>
      </c>
      <c r="R447" s="163">
        <f>IFERROR(__xludf.DUMMYFUNCTION("RANK(M447,filter(M:M,C:C=C447))"),346.0)</f>
        <v>346</v>
      </c>
      <c r="S447" s="161" t="b">
        <f t="shared" si="5"/>
        <v>0</v>
      </c>
      <c r="T447" s="161" t="b">
        <f t="array" ref="T447">index('Query Tool'!B:B,match(H447,'Query Tool'!C:C,0))</f>
        <v>1</v>
      </c>
      <c r="U447" s="161" t="b">
        <f t="array" ref="U447">index('Query Tool'!B:B,match(C447,'Query Tool'!C:C,0))</f>
        <v>0</v>
      </c>
      <c r="V447" s="161" t="b">
        <f>F447&gt;='Query Tool'!C$32</f>
        <v>0</v>
      </c>
      <c r="W447" s="161" t="b">
        <f t="array" ref="W447">index(Dropdowns!B:B,match(I447,Dropdowns!A:A,0))</f>
        <v>1</v>
      </c>
      <c r="X447" s="161" t="b">
        <f t="array" ref="X447">index('Query Tool'!B:B,match(D447,'Query Tool'!C:C,0))</f>
        <v>1</v>
      </c>
      <c r="Y447" s="161" t="str">
        <f t="shared" si="6"/>
        <v>sivape01,2013-14</v>
      </c>
      <c r="Z447" s="168" t="str">
        <f t="array" ref="Z447">iferror(index(I:I,match($A447&amp;","&amp;index('Year Conversion'!$A:$A,match($C447,'Year Conversion'!$B:$B,0)),$Y:$Y,0))-I447,"")</f>
        <v/>
      </c>
      <c r="AA447" s="168" t="str">
        <f t="array" ref="AA447">iferror(index(J:J,match($A447&amp;","&amp;index('Year Conversion'!$A:$A,match($C447,'Year Conversion'!$B:$B,0)),$Y:$Y,0))-J447,"")</f>
        <v/>
      </c>
      <c r="AB447" s="168" t="str">
        <f t="array" ref="AB447">iferror(index(K:K,match($A447&amp;","&amp;index('Year Conversion'!$A:$A,match($C447,'Year Conversion'!$B:$B,0)),$Y:$Y,0))-K447,"")</f>
        <v/>
      </c>
      <c r="AC447" s="168" t="str">
        <f t="shared" si="7"/>
        <v>DET,2013-14</v>
      </c>
    </row>
    <row r="448">
      <c r="A448" s="161" t="str">
        <f>IFERROR(__xludf.DUMMYFUNCTION("""COMPUTED_VALUE"""),"mccalra01")</f>
        <v>mccalra01</v>
      </c>
      <c r="B448" s="161" t="str">
        <f>IFERROR(__xludf.DUMMYFUNCTION("""COMPUTED_VALUE"""),"Ray McCallum")</f>
        <v>Ray McCallum</v>
      </c>
      <c r="C448" s="162" t="str">
        <f>IFERROR(__xludf.DUMMYFUNCTION("""COMPUTED_VALUE"""),"2013-14")</f>
        <v>2013-14</v>
      </c>
      <c r="D448" s="163" t="str">
        <f>IFERROR(__xludf.DUMMYFUNCTION("""COMPUTED_VALUE"""),"SAC")</f>
        <v>SAC</v>
      </c>
      <c r="E448" s="164" t="str">
        <f>IFERROR(__xludf.DUMMYFUNCTION("""COMPUTED_VALUE"""),"Primary Ball Handler")</f>
        <v>Primary Ball Handler</v>
      </c>
      <c r="F448" s="164">
        <f>IFERROR(__xludf.DUMMYFUNCTION("""COMPUTED_VALUE"""),896.705)</f>
        <v>896.705</v>
      </c>
      <c r="G448" s="163">
        <f>IFERROR(__xludf.DUMMYFUNCTION("""COMPUTED_VALUE"""),45.0)</f>
        <v>45</v>
      </c>
      <c r="H448" s="163" t="str">
        <f>IFERROR(__xludf.DUMMYFUNCTION("""COMPUTED_VALUE"""),"PG")</f>
        <v>PG</v>
      </c>
      <c r="I448" s="163">
        <f>IFERROR(__xludf.DUMMYFUNCTION("""COMPUTED_VALUE"""),22.0)</f>
        <v>22</v>
      </c>
      <c r="J448" s="165">
        <f>IFERROR(__xludf.DUMMYFUNCTION("""COMPUTED_VALUE"""),-1.50748701536614)</f>
        <v>-1.507487015</v>
      </c>
      <c r="K448" s="165">
        <f>IFERROR(__xludf.DUMMYFUNCTION("""COMPUTED_VALUE"""),-0.614225228622316)</f>
        <v>-0.6142252286</v>
      </c>
      <c r="L448" s="165">
        <f>IFERROR(__xludf.DUMMYFUNCTION("""COMPUTED_VALUE"""),-0.893261786743822)</f>
        <v>-0.8932617867</v>
      </c>
      <c r="M448" s="166">
        <f t="shared" si="2"/>
        <v>0.4739361101</v>
      </c>
      <c r="N448" s="167">
        <f t="shared" si="3"/>
        <v>19.92677778</v>
      </c>
      <c r="O448" s="163">
        <f t="shared" ref="O448:Q448" si="452">rank(I448,I:I)</f>
        <v>3178</v>
      </c>
      <c r="P448" s="163">
        <f t="shared" si="452"/>
        <v>3064</v>
      </c>
      <c r="Q448" s="163">
        <f t="shared" si="452"/>
        <v>2281</v>
      </c>
      <c r="R448" s="163">
        <f>IFERROR(__xludf.DUMMYFUNCTION("RANK(M448,filter(M:M,C:C=C448))"),280.0)</f>
        <v>280</v>
      </c>
      <c r="S448" s="161" t="b">
        <f t="shared" si="5"/>
        <v>0</v>
      </c>
      <c r="T448" s="161" t="b">
        <f t="array" ref="T448">index('Query Tool'!B:B,match(H448,'Query Tool'!C:C,0))</f>
        <v>1</v>
      </c>
      <c r="U448" s="161" t="b">
        <f t="array" ref="U448">index('Query Tool'!B:B,match(C448,'Query Tool'!C:C,0))</f>
        <v>0</v>
      </c>
      <c r="V448" s="161" t="b">
        <f>F448&gt;='Query Tool'!C$32</f>
        <v>1</v>
      </c>
      <c r="W448" s="161" t="b">
        <f t="array" ref="W448">index(Dropdowns!B:B,match(I448,Dropdowns!A:A,0))</f>
        <v>1</v>
      </c>
      <c r="X448" s="161" t="b">
        <f t="array" ref="X448">index('Query Tool'!B:B,match(D448,'Query Tool'!C:C,0))</f>
        <v>1</v>
      </c>
      <c r="Y448" s="161" t="str">
        <f t="shared" si="6"/>
        <v>mccalra01,2013-14</v>
      </c>
      <c r="Z448" s="168">
        <f t="array" ref="Z448">iferror(index(I:I,match($A448&amp;","&amp;index('Year Conversion'!$A:$A,match($C448,'Year Conversion'!$B:$B,0)),$Y:$Y,0))-I448,"")</f>
        <v>1</v>
      </c>
      <c r="AA448" s="168">
        <f t="array" ref="AA448">iferror(index(J:J,match($A448&amp;","&amp;index('Year Conversion'!$A:$A,match($C448,'Year Conversion'!$B:$B,0)),$Y:$Y,0))-J448,"")</f>
        <v>-0.7249233425</v>
      </c>
      <c r="AB448" s="168">
        <f t="array" ref="AB448">iferror(index(K:K,match($A448&amp;","&amp;index('Year Conversion'!$A:$A,match($C448,'Year Conversion'!$B:$B,0)),$Y:$Y,0))-K448,"")</f>
        <v>0.5098998346</v>
      </c>
      <c r="AC448" s="168" t="str">
        <f t="shared" si="7"/>
        <v>SAC,2013-14</v>
      </c>
    </row>
    <row r="449">
      <c r="A449" s="161" t="str">
        <f>IFERROR(__xludf.DUMMYFUNCTION("""COMPUTED_VALUE"""),"bullore01")</f>
        <v>bullore01</v>
      </c>
      <c r="B449" s="161" t="str">
        <f>IFERROR(__xludf.DUMMYFUNCTION("""COMPUTED_VALUE"""),"Reggie Bullock")</f>
        <v>Reggie Bullock</v>
      </c>
      <c r="C449" s="162" t="str">
        <f>IFERROR(__xludf.DUMMYFUNCTION("""COMPUTED_VALUE"""),"2013-14")</f>
        <v>2013-14</v>
      </c>
      <c r="D449" s="163" t="str">
        <f>IFERROR(__xludf.DUMMYFUNCTION("""COMPUTED_VALUE"""),"LAC")</f>
        <v>LAC</v>
      </c>
      <c r="E449" s="164" t="str">
        <f>IFERROR(__xludf.DUMMYFUNCTION("""COMPUTED_VALUE"""),"Off Screen Shooter")</f>
        <v>Off Screen Shooter</v>
      </c>
      <c r="F449" s="164">
        <f>IFERROR(__xludf.DUMMYFUNCTION("""COMPUTED_VALUE"""),395.573333333333)</f>
        <v>395.5733333</v>
      </c>
      <c r="G449" s="163">
        <f>IFERROR(__xludf.DUMMYFUNCTION("""COMPUTED_VALUE"""),43.0)</f>
        <v>43</v>
      </c>
      <c r="H449" s="163" t="str">
        <f>IFERROR(__xludf.DUMMYFUNCTION("""COMPUTED_VALUE"""),"SF")</f>
        <v>SF</v>
      </c>
      <c r="I449" s="163">
        <f>IFERROR(__xludf.DUMMYFUNCTION("""COMPUTED_VALUE"""),22.0)</f>
        <v>22</v>
      </c>
      <c r="J449" s="165">
        <f>IFERROR(__xludf.DUMMYFUNCTION("""COMPUTED_VALUE"""),-2.75370953470327)</f>
        <v>-2.753709535</v>
      </c>
      <c r="K449" s="165">
        <f>IFERROR(__xludf.DUMMYFUNCTION("""COMPUTED_VALUE"""),-1.39155855984807)</f>
        <v>-1.39155856</v>
      </c>
      <c r="L449" s="165">
        <f>IFERROR(__xludf.DUMMYFUNCTION("""COMPUTED_VALUE"""),-1.3621509748552)</f>
        <v>-1.362150975</v>
      </c>
      <c r="M449" s="166">
        <f t="shared" si="2"/>
        <v>-0.1169089624</v>
      </c>
      <c r="N449" s="167">
        <f t="shared" si="3"/>
        <v>9.199379845</v>
      </c>
      <c r="O449" s="163">
        <f t="shared" ref="O449:Q449" si="453">rank(I449,I:I)</f>
        <v>3178</v>
      </c>
      <c r="P449" s="163">
        <f t="shared" si="453"/>
        <v>3833</v>
      </c>
      <c r="Q449" s="163">
        <f t="shared" si="453"/>
        <v>3245</v>
      </c>
      <c r="R449" s="163">
        <f>IFERROR(__xludf.DUMMYFUNCTION("RANK(M449,filter(M:M,C:C=C449))"),447.0)</f>
        <v>447</v>
      </c>
      <c r="S449" s="161" t="b">
        <f t="shared" si="5"/>
        <v>0</v>
      </c>
      <c r="T449" s="161" t="b">
        <f t="array" ref="T449">index('Query Tool'!B:B,match(H449,'Query Tool'!C:C,0))</f>
        <v>1</v>
      </c>
      <c r="U449" s="161" t="b">
        <f t="array" ref="U449">index('Query Tool'!B:B,match(C449,'Query Tool'!C:C,0))</f>
        <v>0</v>
      </c>
      <c r="V449" s="161" t="b">
        <f>F449&gt;='Query Tool'!C$32</f>
        <v>0</v>
      </c>
      <c r="W449" s="161" t="b">
        <f t="array" ref="W449">index(Dropdowns!B:B,match(I449,Dropdowns!A:A,0))</f>
        <v>1</v>
      </c>
      <c r="X449" s="161" t="b">
        <f t="array" ref="X449">index('Query Tool'!B:B,match(D449,'Query Tool'!C:C,0))</f>
        <v>1</v>
      </c>
      <c r="Y449" s="161" t="str">
        <f t="shared" si="6"/>
        <v>bullore01,2013-14</v>
      </c>
      <c r="Z449" s="168">
        <f t="array" ref="Z449">iferror(index(I:I,match($A449&amp;","&amp;index('Year Conversion'!$A:$A,match($C449,'Year Conversion'!$B:$B,0)),$Y:$Y,0))-I449,"")</f>
        <v>1</v>
      </c>
      <c r="AA449" s="168">
        <f t="array" ref="AA449">iferror(index(J:J,match($A449&amp;","&amp;index('Year Conversion'!$A:$A,match($C449,'Year Conversion'!$B:$B,0)),$Y:$Y,0))-J449,"")</f>
        <v>1.043822762</v>
      </c>
      <c r="AB449" s="168">
        <f t="array" ref="AB449">iferror(index(K:K,match($A449&amp;","&amp;index('Year Conversion'!$A:$A,match($C449,'Year Conversion'!$B:$B,0)),$Y:$Y,0))-K449,"")</f>
        <v>-0.07935555236</v>
      </c>
      <c r="AC449" s="168" t="str">
        <f t="shared" si="7"/>
        <v>LAC,2013-14</v>
      </c>
    </row>
    <row r="450">
      <c r="A450" s="161" t="str">
        <f>IFERROR(__xludf.DUMMYFUNCTION("""COMPUTED_VALUE"""),"ledori01")</f>
        <v>ledori01</v>
      </c>
      <c r="B450" s="161" t="str">
        <f>IFERROR(__xludf.DUMMYFUNCTION("""COMPUTED_VALUE"""),"Ricky Ledo")</f>
        <v>Ricky Ledo</v>
      </c>
      <c r="C450" s="162" t="str">
        <f>IFERROR(__xludf.DUMMYFUNCTION("""COMPUTED_VALUE"""),"2013-14")</f>
        <v>2013-14</v>
      </c>
      <c r="D450" s="163" t="str">
        <f>IFERROR(__xludf.DUMMYFUNCTION("""COMPUTED_VALUE"""),"DAL")</f>
        <v>DAL</v>
      </c>
      <c r="E450" s="164" t="str">
        <f>IFERROR(__xludf.DUMMYFUNCTION("""COMPUTED_VALUE"""),"Secondary Ball Handler")</f>
        <v>Secondary Ball Handler</v>
      </c>
      <c r="F450" s="164">
        <f>IFERROR(__xludf.DUMMYFUNCTION("""COMPUTED_VALUE"""),33.18)</f>
        <v>33.18</v>
      </c>
      <c r="G450" s="163">
        <f>IFERROR(__xludf.DUMMYFUNCTION("""COMPUTED_VALUE"""),11.0)</f>
        <v>11</v>
      </c>
      <c r="H450" s="163" t="str">
        <f>IFERROR(__xludf.DUMMYFUNCTION("""COMPUTED_VALUE"""),"SG")</f>
        <v>SG</v>
      </c>
      <c r="I450" s="163">
        <f>IFERROR(__xludf.DUMMYFUNCTION("""COMPUTED_VALUE"""),21.0)</f>
        <v>21</v>
      </c>
      <c r="J450" s="165">
        <f>IFERROR(__xludf.DUMMYFUNCTION("""COMPUTED_VALUE"""),-0.980971602209129)</f>
        <v>-0.9809716022</v>
      </c>
      <c r="K450" s="165">
        <f>IFERROR(__xludf.DUMMYFUNCTION("""COMPUTED_VALUE"""),-0.417341551281766)</f>
        <v>-0.4173415513</v>
      </c>
      <c r="L450" s="165">
        <f>IFERROR(__xludf.DUMMYFUNCTION("""COMPUTED_VALUE"""),-0.563630050927363)</f>
        <v>-0.5636300509</v>
      </c>
      <c r="M450" s="166">
        <f t="shared" si="2"/>
        <v>0.02923782804</v>
      </c>
      <c r="N450" s="167">
        <f t="shared" si="3"/>
        <v>3.016363636</v>
      </c>
      <c r="O450" s="163">
        <f t="shared" ref="O450:Q450" si="454">rank(I450,I:I)</f>
        <v>3528</v>
      </c>
      <c r="P450" s="163">
        <f t="shared" si="454"/>
        <v>2482</v>
      </c>
      <c r="Q450" s="163">
        <f t="shared" si="454"/>
        <v>1978</v>
      </c>
      <c r="R450" s="163">
        <f>IFERROR(__xludf.DUMMYFUNCTION("RANK(M450,filter(M:M,C:C=C450))"),405.0)</f>
        <v>405</v>
      </c>
      <c r="S450" s="161" t="b">
        <f t="shared" si="5"/>
        <v>0</v>
      </c>
      <c r="T450" s="161" t="b">
        <f t="array" ref="T450">index('Query Tool'!B:B,match(H450,'Query Tool'!C:C,0))</f>
        <v>1</v>
      </c>
      <c r="U450" s="161" t="b">
        <f t="array" ref="U450">index('Query Tool'!B:B,match(C450,'Query Tool'!C:C,0))</f>
        <v>0</v>
      </c>
      <c r="V450" s="161" t="b">
        <f>F450&gt;='Query Tool'!C$32</f>
        <v>0</v>
      </c>
      <c r="W450" s="161" t="b">
        <f t="array" ref="W450">index(Dropdowns!B:B,match(I450,Dropdowns!A:A,0))</f>
        <v>1</v>
      </c>
      <c r="X450" s="161" t="b">
        <f t="array" ref="X450">index('Query Tool'!B:B,match(D450,'Query Tool'!C:C,0))</f>
        <v>1</v>
      </c>
      <c r="Y450" s="161" t="str">
        <f t="shared" si="6"/>
        <v>ledori01,2013-14</v>
      </c>
      <c r="Z450" s="168">
        <f t="array" ref="Z450">iferror(index(I:I,match($A450&amp;","&amp;index('Year Conversion'!$A:$A,match($C450,'Year Conversion'!$B:$B,0)),$Y:$Y,0))-I450,"")</f>
        <v>1</v>
      </c>
      <c r="AA450" s="168">
        <f t="array" ref="AA450">iferror(index(J:J,match($A450&amp;","&amp;index('Year Conversion'!$A:$A,match($C450,'Year Conversion'!$B:$B,0)),$Y:$Y,0))-J450,"")</f>
        <v>-0.8882374696</v>
      </c>
      <c r="AB450" s="168">
        <f t="array" ref="AB450">iferror(index(K:K,match($A450&amp;","&amp;index('Year Conversion'!$A:$A,match($C450,'Year Conversion'!$B:$B,0)),$Y:$Y,0))-K450,"")</f>
        <v>-0.250468753</v>
      </c>
      <c r="AC450" s="168" t="str">
        <f t="shared" si="7"/>
        <v>DAL,2013-14</v>
      </c>
    </row>
    <row r="451">
      <c r="A451" s="161" t="str">
        <f>IFERROR(__xludf.DUMMYFUNCTION("""COMPUTED_VALUE"""),"covinro01")</f>
        <v>covinro01</v>
      </c>
      <c r="B451" s="161" t="str">
        <f>IFERROR(__xludf.DUMMYFUNCTION("""COMPUTED_VALUE"""),"Robert Covington")</f>
        <v>Robert Covington</v>
      </c>
      <c r="C451" s="162" t="str">
        <f>IFERROR(__xludf.DUMMYFUNCTION("""COMPUTED_VALUE"""),"2013-14")</f>
        <v>2013-14</v>
      </c>
      <c r="D451" s="163" t="str">
        <f>IFERROR(__xludf.DUMMYFUNCTION("""COMPUTED_VALUE"""),"HOU")</f>
        <v>HOU</v>
      </c>
      <c r="E451" s="164" t="str">
        <f>IFERROR(__xludf.DUMMYFUNCTION("""COMPUTED_VALUE"""),"Movement Shooter")</f>
        <v>Movement Shooter</v>
      </c>
      <c r="F451" s="164">
        <f>IFERROR(__xludf.DUMMYFUNCTION("""COMPUTED_VALUE"""),33.8299999999999)</f>
        <v>33.83</v>
      </c>
      <c r="G451" s="163">
        <f>IFERROR(__xludf.DUMMYFUNCTION("""COMPUTED_VALUE"""),7.0)</f>
        <v>7</v>
      </c>
      <c r="H451" s="163" t="str">
        <f>IFERROR(__xludf.DUMMYFUNCTION("""COMPUTED_VALUE"""),"SF")</f>
        <v>SF</v>
      </c>
      <c r="I451" s="163">
        <f>IFERROR(__xludf.DUMMYFUNCTION("""COMPUTED_VALUE"""),23.0)</f>
        <v>23</v>
      </c>
      <c r="J451" s="165">
        <f>IFERROR(__xludf.DUMMYFUNCTION("""COMPUTED_VALUE"""),-0.712095571684939)</f>
        <v>-0.7120955717</v>
      </c>
      <c r="K451" s="165">
        <f>IFERROR(__xludf.DUMMYFUNCTION("""COMPUTED_VALUE"""),0.0133090053602368)</f>
        <v>0.01330900536</v>
      </c>
      <c r="L451" s="165">
        <f>IFERROR(__xludf.DUMMYFUNCTION("""COMPUTED_VALUE"""),-0.725404577045176)</f>
        <v>-0.725404577</v>
      </c>
      <c r="M451" s="166">
        <f t="shared" si="2"/>
        <v>0.03592465162</v>
      </c>
      <c r="N451" s="167">
        <f t="shared" si="3"/>
        <v>4.832857143</v>
      </c>
      <c r="O451" s="163">
        <f t="shared" ref="O451:Q451" si="455">rank(I451,I:I)</f>
        <v>2765</v>
      </c>
      <c r="P451" s="163">
        <f t="shared" si="455"/>
        <v>2165</v>
      </c>
      <c r="Q451" s="163">
        <f t="shared" si="455"/>
        <v>1180</v>
      </c>
      <c r="R451" s="163">
        <f>IFERROR(__xludf.DUMMYFUNCTION("RANK(M451,filter(M:M,C:C=C451))"),400.0)</f>
        <v>400</v>
      </c>
      <c r="S451" s="161" t="b">
        <f t="shared" si="5"/>
        <v>0</v>
      </c>
      <c r="T451" s="161" t="b">
        <f t="array" ref="T451">index('Query Tool'!B:B,match(H451,'Query Tool'!C:C,0))</f>
        <v>1</v>
      </c>
      <c r="U451" s="161" t="b">
        <f t="array" ref="U451">index('Query Tool'!B:B,match(C451,'Query Tool'!C:C,0))</f>
        <v>0</v>
      </c>
      <c r="V451" s="161" t="b">
        <f>F451&gt;='Query Tool'!C$32</f>
        <v>0</v>
      </c>
      <c r="W451" s="161" t="b">
        <f t="array" ref="W451">index(Dropdowns!B:B,match(I451,Dropdowns!A:A,0))</f>
        <v>1</v>
      </c>
      <c r="X451" s="161" t="b">
        <f t="array" ref="X451">index('Query Tool'!B:B,match(D451,'Query Tool'!C:C,0))</f>
        <v>1</v>
      </c>
      <c r="Y451" s="161" t="str">
        <f t="shared" si="6"/>
        <v>covinro01,2013-14</v>
      </c>
      <c r="Z451" s="168">
        <f t="array" ref="Z451">iferror(index(I:I,match($A451&amp;","&amp;index('Year Conversion'!$A:$A,match($C451,'Year Conversion'!$B:$B,0)),$Y:$Y,0))-I451,"")</f>
        <v>1</v>
      </c>
      <c r="AA451" s="168">
        <f t="array" ref="AA451">iferror(index(J:J,match($A451&amp;","&amp;index('Year Conversion'!$A:$A,match($C451,'Year Conversion'!$B:$B,0)),$Y:$Y,0))-J451,"")</f>
        <v>1.66739955</v>
      </c>
      <c r="AB451" s="168">
        <f t="array" ref="AB451">iferror(index(K:K,match($A451&amp;","&amp;index('Year Conversion'!$A:$A,match($C451,'Year Conversion'!$B:$B,0)),$Y:$Y,0))-K451,"")</f>
        <v>0.5623309567</v>
      </c>
      <c r="AC451" s="168" t="str">
        <f t="shared" si="7"/>
        <v>HOU,2013-14</v>
      </c>
    </row>
    <row r="452">
      <c r="A452" s="161" t="str">
        <f>IFERROR(__xludf.DUMMYFUNCTION("""COMPUTED_VALUE"""),"goberru01")</f>
        <v>goberru01</v>
      </c>
      <c r="B452" s="161" t="str">
        <f>IFERROR(__xludf.DUMMYFUNCTION("""COMPUTED_VALUE"""),"Rudy Gobert")</f>
        <v>Rudy Gobert</v>
      </c>
      <c r="C452" s="162" t="str">
        <f>IFERROR(__xludf.DUMMYFUNCTION("""COMPUTED_VALUE"""),"2013-14")</f>
        <v>2013-14</v>
      </c>
      <c r="D452" s="163" t="str">
        <f>IFERROR(__xludf.DUMMYFUNCTION("""COMPUTED_VALUE"""),"UTA")</f>
        <v>UTA</v>
      </c>
      <c r="E452" s="164" t="str">
        <f>IFERROR(__xludf.DUMMYFUNCTION("""COMPUTED_VALUE"""),"Roll + Cut Big")</f>
        <v>Roll + Cut Big</v>
      </c>
      <c r="F452" s="164">
        <f>IFERROR(__xludf.DUMMYFUNCTION("""COMPUTED_VALUE"""),433.691666666667)</f>
        <v>433.6916667</v>
      </c>
      <c r="G452" s="163">
        <f>IFERROR(__xludf.DUMMYFUNCTION("""COMPUTED_VALUE"""),45.0)</f>
        <v>45</v>
      </c>
      <c r="H452" s="163" t="str">
        <f>IFERROR(__xludf.DUMMYFUNCTION("""COMPUTED_VALUE"""),"C")</f>
        <v>C</v>
      </c>
      <c r="I452" s="163">
        <f>IFERROR(__xludf.DUMMYFUNCTION("""COMPUTED_VALUE"""),21.0)</f>
        <v>21</v>
      </c>
      <c r="J452" s="165">
        <f>IFERROR(__xludf.DUMMYFUNCTION("""COMPUTED_VALUE"""),0.799644018245251)</f>
        <v>0.7996440182</v>
      </c>
      <c r="K452" s="165">
        <f>IFERROR(__xludf.DUMMYFUNCTION("""COMPUTED_VALUE"""),-2.24328498581843)</f>
        <v>-2.243284986</v>
      </c>
      <c r="L452" s="165">
        <f>IFERROR(__xludf.DUMMYFUNCTION("""COMPUTED_VALUE"""),3.04292900406368)</f>
        <v>3.042929004</v>
      </c>
      <c r="M452" s="166">
        <f t="shared" si="2"/>
        <v>0.9022088367</v>
      </c>
      <c r="N452" s="167">
        <f t="shared" si="3"/>
        <v>9.637592593</v>
      </c>
      <c r="O452" s="163">
        <f t="shared" ref="O452:Q452" si="456">rank(I452,I:I)</f>
        <v>3528</v>
      </c>
      <c r="P452" s="163">
        <f t="shared" si="456"/>
        <v>746</v>
      </c>
      <c r="Q452" s="163">
        <f t="shared" si="456"/>
        <v>3817</v>
      </c>
      <c r="R452" s="163">
        <f>IFERROR(__xludf.DUMMYFUNCTION("RANK(M452,filter(M:M,C:C=C452))"),234.0)</f>
        <v>234</v>
      </c>
      <c r="S452" s="161" t="b">
        <f t="shared" si="5"/>
        <v>0</v>
      </c>
      <c r="T452" s="161" t="b">
        <f t="array" ref="T452">index('Query Tool'!B:B,match(H452,'Query Tool'!C:C,0))</f>
        <v>1</v>
      </c>
      <c r="U452" s="161" t="b">
        <f t="array" ref="U452">index('Query Tool'!B:B,match(C452,'Query Tool'!C:C,0))</f>
        <v>0</v>
      </c>
      <c r="V452" s="161" t="b">
        <f>F452&gt;='Query Tool'!C$32</f>
        <v>0</v>
      </c>
      <c r="W452" s="161" t="b">
        <f t="array" ref="W452">index(Dropdowns!B:B,match(I452,Dropdowns!A:A,0))</f>
        <v>1</v>
      </c>
      <c r="X452" s="161" t="b">
        <f t="array" ref="X452">index('Query Tool'!B:B,match(D452,'Query Tool'!C:C,0))</f>
        <v>1</v>
      </c>
      <c r="Y452" s="161" t="str">
        <f t="shared" si="6"/>
        <v>goberru01,2013-14</v>
      </c>
      <c r="Z452" s="168">
        <f t="array" ref="Z452">iferror(index(I:I,match($A452&amp;","&amp;index('Year Conversion'!$A:$A,match($C452,'Year Conversion'!$B:$B,0)),$Y:$Y,0))-I452,"")</f>
        <v>1</v>
      </c>
      <c r="AA452" s="168">
        <f t="array" ref="AA452">iferror(index(J:J,match($A452&amp;","&amp;index('Year Conversion'!$A:$A,match($C452,'Year Conversion'!$B:$B,0)),$Y:$Y,0))-J452,"")</f>
        <v>2.074939203</v>
      </c>
      <c r="AB452" s="168">
        <f t="array" ref="AB452">iferror(index(K:K,match($A452&amp;","&amp;index('Year Conversion'!$A:$A,match($C452,'Year Conversion'!$B:$B,0)),$Y:$Y,0))-K452,"")</f>
        <v>1.596632699</v>
      </c>
      <c r="AC452" s="168" t="str">
        <f t="shared" si="7"/>
        <v>UTA,2013-14</v>
      </c>
    </row>
    <row r="453">
      <c r="A453" s="161" t="str">
        <f>IFERROR(__xludf.DUMMYFUNCTION("""COMPUTED_VALUE"""),"muhamsh01")</f>
        <v>muhamsh01</v>
      </c>
      <c r="B453" s="161" t="str">
        <f>IFERROR(__xludf.DUMMYFUNCTION("""COMPUTED_VALUE"""),"Shabazz Muhammad")</f>
        <v>Shabazz Muhammad</v>
      </c>
      <c r="C453" s="162" t="str">
        <f>IFERROR(__xludf.DUMMYFUNCTION("""COMPUTED_VALUE"""),"2013-14")</f>
        <v>2013-14</v>
      </c>
      <c r="D453" s="163" t="str">
        <f>IFERROR(__xludf.DUMMYFUNCTION("""COMPUTED_VALUE"""),"MIN")</f>
        <v>MIN</v>
      </c>
      <c r="E453" s="164" t="str">
        <f>IFERROR(__xludf.DUMMYFUNCTION("""COMPUTED_VALUE"""),"Post Scorer")</f>
        <v>Post Scorer</v>
      </c>
      <c r="F453" s="164">
        <f>IFERROR(__xludf.DUMMYFUNCTION("""COMPUTED_VALUE"""),289.948333333333)</f>
        <v>289.9483333</v>
      </c>
      <c r="G453" s="163">
        <f>IFERROR(__xludf.DUMMYFUNCTION("""COMPUTED_VALUE"""),37.0)</f>
        <v>37</v>
      </c>
      <c r="H453" s="163" t="str">
        <f>IFERROR(__xludf.DUMMYFUNCTION("""COMPUTED_VALUE"""),"SG")</f>
        <v>SG</v>
      </c>
      <c r="I453" s="163">
        <f>IFERROR(__xludf.DUMMYFUNCTION("""COMPUTED_VALUE"""),21.0)</f>
        <v>21</v>
      </c>
      <c r="J453" s="165">
        <f>IFERROR(__xludf.DUMMYFUNCTION("""COMPUTED_VALUE"""),-3.19637231701611)</f>
        <v>-3.196372317</v>
      </c>
      <c r="K453" s="165">
        <f>IFERROR(__xludf.DUMMYFUNCTION("""COMPUTED_VALUE"""),-1.09389258839727)</f>
        <v>-1.093892588</v>
      </c>
      <c r="L453" s="165">
        <f>IFERROR(__xludf.DUMMYFUNCTION("""COMPUTED_VALUE"""),-2.10247972861883)</f>
        <v>-2.102479729</v>
      </c>
      <c r="M453" s="166">
        <f t="shared" si="2"/>
        <v>-0.1691038247</v>
      </c>
      <c r="N453" s="167">
        <f t="shared" si="3"/>
        <v>7.836441441</v>
      </c>
      <c r="O453" s="163">
        <f t="shared" ref="O453:Q453" si="457">rank(I453,I:I)</f>
        <v>3528</v>
      </c>
      <c r="P453" s="163">
        <f t="shared" si="457"/>
        <v>3926</v>
      </c>
      <c r="Q453" s="163">
        <f t="shared" si="457"/>
        <v>2922</v>
      </c>
      <c r="R453" s="163">
        <f>IFERROR(__xludf.DUMMYFUNCTION("RANK(M453,filter(M:M,C:C=C453))"),451.0)</f>
        <v>451</v>
      </c>
      <c r="S453" s="161" t="b">
        <f t="shared" si="5"/>
        <v>0</v>
      </c>
      <c r="T453" s="161" t="b">
        <f t="array" ref="T453">index('Query Tool'!B:B,match(H453,'Query Tool'!C:C,0))</f>
        <v>1</v>
      </c>
      <c r="U453" s="161" t="b">
        <f t="array" ref="U453">index('Query Tool'!B:B,match(C453,'Query Tool'!C:C,0))</f>
        <v>0</v>
      </c>
      <c r="V453" s="161" t="b">
        <f>F453&gt;='Query Tool'!C$32</f>
        <v>0</v>
      </c>
      <c r="W453" s="161" t="b">
        <f t="array" ref="W453">index(Dropdowns!B:B,match(I453,Dropdowns!A:A,0))</f>
        <v>1</v>
      </c>
      <c r="X453" s="161" t="b">
        <f t="array" ref="X453">index('Query Tool'!B:B,match(D453,'Query Tool'!C:C,0))</f>
        <v>1</v>
      </c>
      <c r="Y453" s="161" t="str">
        <f t="shared" si="6"/>
        <v>muhamsh01,2013-14</v>
      </c>
      <c r="Z453" s="168">
        <f t="array" ref="Z453">iferror(index(I:I,match($A453&amp;","&amp;index('Year Conversion'!$A:$A,match($C453,'Year Conversion'!$B:$B,0)),$Y:$Y,0))-I453,"")</f>
        <v>1</v>
      </c>
      <c r="AA453" s="168">
        <f t="array" ref="AA453">iferror(index(J:J,match($A453&amp;","&amp;index('Year Conversion'!$A:$A,match($C453,'Year Conversion'!$B:$B,0)),$Y:$Y,0))-J453,"")</f>
        <v>1.609724726</v>
      </c>
      <c r="AB453" s="168">
        <f t="array" ref="AB453">iferror(index(K:K,match($A453&amp;","&amp;index('Year Conversion'!$A:$A,match($C453,'Year Conversion'!$B:$B,0)),$Y:$Y,0))-K453,"")</f>
        <v>1.969743789</v>
      </c>
      <c r="AC453" s="168" t="str">
        <f t="shared" si="7"/>
        <v>MIN,2013-14</v>
      </c>
    </row>
    <row r="454">
      <c r="A454" s="161" t="str">
        <f>IFERROR(__xludf.DUMMYFUNCTION("""COMPUTED_VALUE"""),"larkish01")</f>
        <v>larkish01</v>
      </c>
      <c r="B454" s="161" t="str">
        <f>IFERROR(__xludf.DUMMYFUNCTION("""COMPUTED_VALUE"""),"Shane Larkin")</f>
        <v>Shane Larkin</v>
      </c>
      <c r="C454" s="162" t="str">
        <f>IFERROR(__xludf.DUMMYFUNCTION("""COMPUTED_VALUE"""),"2013-14")</f>
        <v>2013-14</v>
      </c>
      <c r="D454" s="163" t="str">
        <f>IFERROR(__xludf.DUMMYFUNCTION("""COMPUTED_VALUE"""),"DAL")</f>
        <v>DAL</v>
      </c>
      <c r="E454" s="164" t="str">
        <f>IFERROR(__xludf.DUMMYFUNCTION("""COMPUTED_VALUE"""),"Secondary Ball Handler")</f>
        <v>Secondary Ball Handler</v>
      </c>
      <c r="F454" s="164">
        <f>IFERROR(__xludf.DUMMYFUNCTION("""COMPUTED_VALUE"""),489.438333333334)</f>
        <v>489.4383333</v>
      </c>
      <c r="G454" s="163">
        <f>IFERROR(__xludf.DUMMYFUNCTION("""COMPUTED_VALUE"""),48.0)</f>
        <v>48</v>
      </c>
      <c r="H454" s="163" t="str">
        <f>IFERROR(__xludf.DUMMYFUNCTION("""COMPUTED_VALUE"""),"PG")</f>
        <v>PG</v>
      </c>
      <c r="I454" s="163">
        <f>IFERROR(__xludf.DUMMYFUNCTION("""COMPUTED_VALUE"""),21.0)</f>
        <v>21</v>
      </c>
      <c r="J454" s="165">
        <f>IFERROR(__xludf.DUMMYFUNCTION("""COMPUTED_VALUE"""),-2.17625076626146)</f>
        <v>-2.176250766</v>
      </c>
      <c r="K454" s="165">
        <f>IFERROR(__xludf.DUMMYFUNCTION("""COMPUTED_VALUE"""),-1.60802408128529)</f>
        <v>-1.608024081</v>
      </c>
      <c r="L454" s="165">
        <f>IFERROR(__xludf.DUMMYFUNCTION("""COMPUTED_VALUE"""),-0.568226684976169)</f>
        <v>-0.568226685</v>
      </c>
      <c r="M454" s="166">
        <f t="shared" si="2"/>
        <v>0.04113154043</v>
      </c>
      <c r="N454" s="167">
        <f t="shared" si="3"/>
        <v>10.19663194</v>
      </c>
      <c r="O454" s="163">
        <f t="shared" ref="O454:Q454" si="458">rank(I454,I:I)</f>
        <v>3528</v>
      </c>
      <c r="P454" s="163">
        <f t="shared" si="458"/>
        <v>3598</v>
      </c>
      <c r="Q454" s="163">
        <f t="shared" si="458"/>
        <v>3449</v>
      </c>
      <c r="R454" s="163">
        <f>IFERROR(__xludf.DUMMYFUNCTION("RANK(M454,filter(M:M,C:C=C454))"),395.0)</f>
        <v>395</v>
      </c>
      <c r="S454" s="161" t="b">
        <f t="shared" si="5"/>
        <v>0</v>
      </c>
      <c r="T454" s="161" t="b">
        <f t="array" ref="T454">index('Query Tool'!B:B,match(H454,'Query Tool'!C:C,0))</f>
        <v>1</v>
      </c>
      <c r="U454" s="161" t="b">
        <f t="array" ref="U454">index('Query Tool'!B:B,match(C454,'Query Tool'!C:C,0))</f>
        <v>0</v>
      </c>
      <c r="V454" s="161" t="b">
        <f>F454&gt;='Query Tool'!C$32</f>
        <v>0</v>
      </c>
      <c r="W454" s="161" t="b">
        <f t="array" ref="W454">index(Dropdowns!B:B,match(I454,Dropdowns!A:A,0))</f>
        <v>1</v>
      </c>
      <c r="X454" s="161" t="b">
        <f t="array" ref="X454">index('Query Tool'!B:B,match(D454,'Query Tool'!C:C,0))</f>
        <v>1</v>
      </c>
      <c r="Y454" s="161" t="str">
        <f t="shared" si="6"/>
        <v>larkish01,2013-14</v>
      </c>
      <c r="Z454" s="168">
        <f t="array" ref="Z454">iferror(index(I:I,match($A454&amp;","&amp;index('Year Conversion'!$A:$A,match($C454,'Year Conversion'!$B:$B,0)),$Y:$Y,0))-I454,"")</f>
        <v>1</v>
      </c>
      <c r="AA454" s="168">
        <f t="array" ref="AA454">iferror(index(J:J,match($A454&amp;","&amp;index('Year Conversion'!$A:$A,match($C454,'Year Conversion'!$B:$B,0)),$Y:$Y,0))-J454,"")</f>
        <v>-0.6442257873</v>
      </c>
      <c r="AB454" s="168">
        <f t="array" ref="AB454">iferror(index(K:K,match($A454&amp;","&amp;index('Year Conversion'!$A:$A,match($C454,'Year Conversion'!$B:$B,0)),$Y:$Y,0))-K454,"")</f>
        <v>-0.5678282178</v>
      </c>
      <c r="AC454" s="168" t="str">
        <f t="shared" si="7"/>
        <v>DAL,2013-14</v>
      </c>
    </row>
    <row r="455">
      <c r="A455" s="161" t="str">
        <f>IFERROR(__xludf.DUMMYFUNCTION("""COMPUTED_VALUE"""),"adamsst01")</f>
        <v>adamsst01</v>
      </c>
      <c r="B455" s="161" t="str">
        <f>IFERROR(__xludf.DUMMYFUNCTION("""COMPUTED_VALUE"""),"Steven Adams")</f>
        <v>Steven Adams</v>
      </c>
      <c r="C455" s="162" t="str">
        <f>IFERROR(__xludf.DUMMYFUNCTION("""COMPUTED_VALUE"""),"2013-14")</f>
        <v>2013-14</v>
      </c>
      <c r="D455" s="163" t="str">
        <f>IFERROR(__xludf.DUMMYFUNCTION("""COMPUTED_VALUE"""),"OKC")</f>
        <v>OKC</v>
      </c>
      <c r="E455" s="164" t="str">
        <f>IFERROR(__xludf.DUMMYFUNCTION("""COMPUTED_VALUE"""),"Roll + Cut Big")</f>
        <v>Roll + Cut Big</v>
      </c>
      <c r="F455" s="164">
        <f>IFERROR(__xludf.DUMMYFUNCTION("""COMPUTED_VALUE"""),1197.32333333333)</f>
        <v>1197.323333</v>
      </c>
      <c r="G455" s="163">
        <f>IFERROR(__xludf.DUMMYFUNCTION("""COMPUTED_VALUE"""),81.0)</f>
        <v>81</v>
      </c>
      <c r="H455" s="163" t="str">
        <f>IFERROR(__xludf.DUMMYFUNCTION("""COMPUTED_VALUE"""),"C")</f>
        <v>C</v>
      </c>
      <c r="I455" s="163">
        <f>IFERROR(__xludf.DUMMYFUNCTION("""COMPUTED_VALUE"""),20.0)</f>
        <v>20</v>
      </c>
      <c r="J455" s="165">
        <f>IFERROR(__xludf.DUMMYFUNCTION("""COMPUTED_VALUE"""),-1.02471490678803)</f>
        <v>-1.024714907</v>
      </c>
      <c r="K455" s="165">
        <f>IFERROR(__xludf.DUMMYFUNCTION("""COMPUTED_VALUE"""),-1.82649804294618)</f>
        <v>-1.826498043</v>
      </c>
      <c r="L455" s="165">
        <f>IFERROR(__xludf.DUMMYFUNCTION("""COMPUTED_VALUE"""),0.801783136158151)</f>
        <v>0.8017831362</v>
      </c>
      <c r="M455" s="166">
        <f t="shared" si="2"/>
        <v>1.019904319</v>
      </c>
      <c r="N455" s="167">
        <f t="shared" si="3"/>
        <v>14.78176955</v>
      </c>
      <c r="O455" s="163">
        <f t="shared" ref="O455:Q455" si="459">rank(I455,I:I)</f>
        <v>3770</v>
      </c>
      <c r="P455" s="163">
        <f t="shared" si="459"/>
        <v>2531</v>
      </c>
      <c r="Q455" s="163">
        <f t="shared" si="459"/>
        <v>3588</v>
      </c>
      <c r="R455" s="163">
        <f>IFERROR(__xludf.DUMMYFUNCTION("RANK(M455,filter(M:M,C:C=C455))"),220.0)</f>
        <v>220</v>
      </c>
      <c r="S455" s="161" t="b">
        <f t="shared" si="5"/>
        <v>0</v>
      </c>
      <c r="T455" s="161" t="b">
        <f t="array" ref="T455">index('Query Tool'!B:B,match(H455,'Query Tool'!C:C,0))</f>
        <v>1</v>
      </c>
      <c r="U455" s="161" t="b">
        <f t="array" ref="U455">index('Query Tool'!B:B,match(C455,'Query Tool'!C:C,0))</f>
        <v>0</v>
      </c>
      <c r="V455" s="161" t="b">
        <f>F455&gt;='Query Tool'!C$32</f>
        <v>1</v>
      </c>
      <c r="W455" s="161" t="b">
        <f t="array" ref="W455">index(Dropdowns!B:B,match(I455,Dropdowns!A:A,0))</f>
        <v>1</v>
      </c>
      <c r="X455" s="161" t="b">
        <f t="array" ref="X455">index('Query Tool'!B:B,match(D455,'Query Tool'!C:C,0))</f>
        <v>1</v>
      </c>
      <c r="Y455" s="161" t="str">
        <f t="shared" si="6"/>
        <v>adamsst01,2013-14</v>
      </c>
      <c r="Z455" s="168">
        <f t="array" ref="Z455">iferror(index(I:I,match($A455&amp;","&amp;index('Year Conversion'!$A:$A,match($C455,'Year Conversion'!$B:$B,0)),$Y:$Y,0))-I455,"")</f>
        <v>1</v>
      </c>
      <c r="AA455" s="168">
        <f t="array" ref="AA455">iferror(index(J:J,match($A455&amp;","&amp;index('Year Conversion'!$A:$A,match($C455,'Year Conversion'!$B:$B,0)),$Y:$Y,0))-J455,"")</f>
        <v>0.7707180264</v>
      </c>
      <c r="AB455" s="168">
        <f t="array" ref="AB455">iferror(index(K:K,match($A455&amp;","&amp;index('Year Conversion'!$A:$A,match($C455,'Year Conversion'!$B:$B,0)),$Y:$Y,0))-K455,"")</f>
        <v>-0.007868468736</v>
      </c>
      <c r="AC455" s="168" t="str">
        <f t="shared" si="7"/>
        <v>OKC,2013-14</v>
      </c>
    </row>
    <row r="456">
      <c r="A456" s="161" t="str">
        <f>IFERROR(__xludf.DUMMYFUNCTION("""COMPUTED_VALUE"""),"hardati02")</f>
        <v>hardati02</v>
      </c>
      <c r="B456" s="161" t="str">
        <f>IFERROR(__xludf.DUMMYFUNCTION("""COMPUTED_VALUE"""),"Tim Hardaway Jr.")</f>
        <v>Tim Hardaway Jr.</v>
      </c>
      <c r="C456" s="162" t="str">
        <f>IFERROR(__xludf.DUMMYFUNCTION("""COMPUTED_VALUE"""),"2013-14")</f>
        <v>2013-14</v>
      </c>
      <c r="D456" s="163" t="str">
        <f>IFERROR(__xludf.DUMMYFUNCTION("""COMPUTED_VALUE"""),"NYK")</f>
        <v>NYK</v>
      </c>
      <c r="E456" s="164" t="str">
        <f>IFERROR(__xludf.DUMMYFUNCTION("""COMPUTED_VALUE"""),"Stationary Shooter")</f>
        <v>Stationary Shooter</v>
      </c>
      <c r="F456" s="164">
        <f>IFERROR(__xludf.DUMMYFUNCTION("""COMPUTED_VALUE"""),1875.47833333333)</f>
        <v>1875.478333</v>
      </c>
      <c r="G456" s="163">
        <f>IFERROR(__xludf.DUMMYFUNCTION("""COMPUTED_VALUE"""),81.0)</f>
        <v>81</v>
      </c>
      <c r="H456" s="163" t="str">
        <f>IFERROR(__xludf.DUMMYFUNCTION("""COMPUTED_VALUE"""),"SG")</f>
        <v>SG</v>
      </c>
      <c r="I456" s="163">
        <f>IFERROR(__xludf.DUMMYFUNCTION("""COMPUTED_VALUE"""),21.0)</f>
        <v>21</v>
      </c>
      <c r="J456" s="165">
        <f>IFERROR(__xludf.DUMMYFUNCTION("""COMPUTED_VALUE"""),-2.91909392008803)</f>
        <v>-2.91909392</v>
      </c>
      <c r="K456" s="165">
        <f>IFERROR(__xludf.DUMMYFUNCTION("""COMPUTED_VALUE"""),-0.332972794483028)</f>
        <v>-0.3329727945</v>
      </c>
      <c r="L456" s="165">
        <f>IFERROR(__xludf.DUMMYFUNCTION("""COMPUTED_VALUE"""),-2.58612112560501)</f>
        <v>-2.586121126</v>
      </c>
      <c r="M456" s="166">
        <f t="shared" si="2"/>
        <v>-0.7565416602</v>
      </c>
      <c r="N456" s="167">
        <f t="shared" si="3"/>
        <v>23.1540535</v>
      </c>
      <c r="O456" s="163">
        <f t="shared" ref="O456:Q456" si="460">rank(I456,I:I)</f>
        <v>3528</v>
      </c>
      <c r="P456" s="163">
        <f t="shared" si="460"/>
        <v>3872</v>
      </c>
      <c r="Q456" s="163">
        <f t="shared" si="460"/>
        <v>1817</v>
      </c>
      <c r="R456" s="163">
        <f>IFERROR(__xludf.DUMMYFUNCTION("RANK(M456,filter(M:M,C:C=C456))"),474.0)</f>
        <v>474</v>
      </c>
      <c r="S456" s="161" t="b">
        <f t="shared" si="5"/>
        <v>0</v>
      </c>
      <c r="T456" s="161" t="b">
        <f t="array" ref="T456">index('Query Tool'!B:B,match(H456,'Query Tool'!C:C,0))</f>
        <v>1</v>
      </c>
      <c r="U456" s="161" t="b">
        <f t="array" ref="U456">index('Query Tool'!B:B,match(C456,'Query Tool'!C:C,0))</f>
        <v>0</v>
      </c>
      <c r="V456" s="161" t="b">
        <f>F456&gt;='Query Tool'!C$32</f>
        <v>1</v>
      </c>
      <c r="W456" s="161" t="b">
        <f t="array" ref="W456">index(Dropdowns!B:B,match(I456,Dropdowns!A:A,0))</f>
        <v>1</v>
      </c>
      <c r="X456" s="161" t="b">
        <f t="array" ref="X456">index('Query Tool'!B:B,match(D456,'Query Tool'!C:C,0))</f>
        <v>1</v>
      </c>
      <c r="Y456" s="161" t="str">
        <f t="shared" si="6"/>
        <v>hardati02,2013-14</v>
      </c>
      <c r="Z456" s="168">
        <f t="array" ref="Z456">iferror(index(I:I,match($A456&amp;","&amp;index('Year Conversion'!$A:$A,match($C456,'Year Conversion'!$B:$B,0)),$Y:$Y,0))-I456,"")</f>
        <v>1</v>
      </c>
      <c r="AA456" s="168">
        <f t="array" ref="AA456">iferror(index(J:J,match($A456&amp;","&amp;index('Year Conversion'!$A:$A,match($C456,'Year Conversion'!$B:$B,0)),$Y:$Y,0))-J456,"")</f>
        <v>0.2093786568</v>
      </c>
      <c r="AB456" s="168">
        <f t="array" ref="AB456">iferror(index(K:K,match($A456&amp;","&amp;index('Year Conversion'!$A:$A,match($C456,'Year Conversion'!$B:$B,0)),$Y:$Y,0))-K456,"")</f>
        <v>-0.02019354782</v>
      </c>
      <c r="AC456" s="168" t="str">
        <f t="shared" si="7"/>
        <v>NYK,2013-14</v>
      </c>
    </row>
    <row r="457">
      <c r="A457" s="161" t="str">
        <f>IFERROR(__xludf.DUMMYFUNCTION("""COMPUTED_VALUE"""),"mitchto02")</f>
        <v>mitchto02</v>
      </c>
      <c r="B457" s="161" t="str">
        <f>IFERROR(__xludf.DUMMYFUNCTION("""COMPUTED_VALUE"""),"Tony Mitchell")</f>
        <v>Tony Mitchell</v>
      </c>
      <c r="C457" s="162" t="str">
        <f>IFERROR(__xludf.DUMMYFUNCTION("""COMPUTED_VALUE"""),"2013-14")</f>
        <v>2013-14</v>
      </c>
      <c r="D457" s="163" t="str">
        <f>IFERROR(__xludf.DUMMYFUNCTION("""COMPUTED_VALUE"""),"DET")</f>
        <v>DET</v>
      </c>
      <c r="E457" s="164" t="str">
        <f>IFERROR(__xludf.DUMMYFUNCTION("""COMPUTED_VALUE"""),"Low Minutes")</f>
        <v>Low Minutes</v>
      </c>
      <c r="F457" s="164">
        <f>IFERROR(__xludf.DUMMYFUNCTION("""COMPUTED_VALUE"""),79.1283333333334)</f>
        <v>79.12833333</v>
      </c>
      <c r="G457" s="163">
        <f>IFERROR(__xludf.DUMMYFUNCTION("""COMPUTED_VALUE"""),21.0)</f>
        <v>21</v>
      </c>
      <c r="H457" s="163" t="str">
        <f>IFERROR(__xludf.DUMMYFUNCTION("""COMPUTED_VALUE"""),"PF")</f>
        <v>PF</v>
      </c>
      <c r="I457" s="163">
        <f>IFERROR(__xludf.DUMMYFUNCTION("""COMPUTED_VALUE"""),21.0)</f>
        <v>21</v>
      </c>
      <c r="J457" s="165">
        <f>IFERROR(__xludf.DUMMYFUNCTION("""COMPUTED_VALUE"""),0.112872054529523)</f>
        <v>0.1128720545</v>
      </c>
      <c r="K457" s="165">
        <f>IFERROR(__xludf.DUMMYFUNCTION("""COMPUTED_VALUE"""),-0.0690345389169647)</f>
        <v>-0.06903453892</v>
      </c>
      <c r="L457" s="165">
        <f>IFERROR(__xludf.DUMMYFUNCTION("""COMPUTED_VALUE"""),0.181906593446488)</f>
        <v>0.1819065934</v>
      </c>
      <c r="M457" s="166">
        <f t="shared" si="2"/>
        <v>0.1280108511</v>
      </c>
      <c r="N457" s="167">
        <f t="shared" si="3"/>
        <v>3.768015873</v>
      </c>
      <c r="O457" s="163">
        <f t="shared" ref="O457:Q457" si="461">rank(I457,I:I)</f>
        <v>3528</v>
      </c>
      <c r="P457" s="163">
        <f t="shared" si="461"/>
        <v>1172</v>
      </c>
      <c r="Q457" s="163">
        <f t="shared" si="461"/>
        <v>1304</v>
      </c>
      <c r="R457" s="163">
        <f>IFERROR(__xludf.DUMMYFUNCTION("RANK(M457,filter(M:M,C:C=C457))"),348.0)</f>
        <v>348</v>
      </c>
      <c r="S457" s="161" t="b">
        <f t="shared" si="5"/>
        <v>0</v>
      </c>
      <c r="T457" s="161" t="b">
        <f t="array" ref="T457">index('Query Tool'!B:B,match(H457,'Query Tool'!C:C,0))</f>
        <v>1</v>
      </c>
      <c r="U457" s="161" t="b">
        <f t="array" ref="U457">index('Query Tool'!B:B,match(C457,'Query Tool'!C:C,0))</f>
        <v>0</v>
      </c>
      <c r="V457" s="161" t="b">
        <f>F457&gt;='Query Tool'!C$32</f>
        <v>0</v>
      </c>
      <c r="W457" s="161" t="b">
        <f t="array" ref="W457">index(Dropdowns!B:B,match(I457,Dropdowns!A:A,0))</f>
        <v>1</v>
      </c>
      <c r="X457" s="161" t="b">
        <f t="array" ref="X457">index('Query Tool'!B:B,match(D457,'Query Tool'!C:C,0))</f>
        <v>1</v>
      </c>
      <c r="Y457" s="161" t="str">
        <f t="shared" si="6"/>
        <v>mitchto02,2013-14</v>
      </c>
      <c r="Z457" s="168" t="str">
        <f t="array" ref="Z457">iferror(index(I:I,match($A457&amp;","&amp;index('Year Conversion'!$A:$A,match($C457,'Year Conversion'!$B:$B,0)),$Y:$Y,0))-I457,"")</f>
        <v/>
      </c>
      <c r="AA457" s="168" t="str">
        <f t="array" ref="AA457">iferror(index(J:J,match($A457&amp;","&amp;index('Year Conversion'!$A:$A,match($C457,'Year Conversion'!$B:$B,0)),$Y:$Y,0))-J457,"")</f>
        <v/>
      </c>
      <c r="AB457" s="168" t="str">
        <f t="array" ref="AB457">iferror(index(K:K,match($A457&amp;","&amp;index('Year Conversion'!$A:$A,match($C457,'Year Conversion'!$B:$B,0)),$Y:$Y,0))-K457,"")</f>
        <v/>
      </c>
      <c r="AC457" s="168" t="str">
        <f t="shared" si="7"/>
        <v>DET,2013-14</v>
      </c>
    </row>
    <row r="458">
      <c r="A458" s="161" t="str">
        <f>IFERROR(__xludf.DUMMYFUNCTION("""COMPUTED_VALUE"""),"snellto01")</f>
        <v>snellto01</v>
      </c>
      <c r="B458" s="161" t="str">
        <f>IFERROR(__xludf.DUMMYFUNCTION("""COMPUTED_VALUE"""),"Tony Snell")</f>
        <v>Tony Snell</v>
      </c>
      <c r="C458" s="162" t="str">
        <f>IFERROR(__xludf.DUMMYFUNCTION("""COMPUTED_VALUE"""),"2013-14")</f>
        <v>2013-14</v>
      </c>
      <c r="D458" s="163" t="str">
        <f>IFERROR(__xludf.DUMMYFUNCTION("""COMPUTED_VALUE"""),"CHI")</f>
        <v>CHI</v>
      </c>
      <c r="E458" s="164" t="str">
        <f>IFERROR(__xludf.DUMMYFUNCTION("""COMPUTED_VALUE"""),"Movement Shooter")</f>
        <v>Movement Shooter</v>
      </c>
      <c r="F458" s="164">
        <f>IFERROR(__xludf.DUMMYFUNCTION("""COMPUTED_VALUE"""),1230.70666666667)</f>
        <v>1230.706667</v>
      </c>
      <c r="G458" s="163">
        <f>IFERROR(__xludf.DUMMYFUNCTION("""COMPUTED_VALUE"""),77.0)</f>
        <v>77</v>
      </c>
      <c r="H458" s="163" t="str">
        <f>IFERROR(__xludf.DUMMYFUNCTION("""COMPUTED_VALUE"""),"SG")</f>
        <v>SG</v>
      </c>
      <c r="I458" s="163">
        <f>IFERROR(__xludf.DUMMYFUNCTION("""COMPUTED_VALUE"""),22.0)</f>
        <v>22</v>
      </c>
      <c r="J458" s="165">
        <f>IFERROR(__xludf.DUMMYFUNCTION("""COMPUTED_VALUE"""),-2.7169214032359)</f>
        <v>-2.716921403</v>
      </c>
      <c r="K458" s="165">
        <f>IFERROR(__xludf.DUMMYFUNCTION("""COMPUTED_VALUE"""),-2.0741575011466)</f>
        <v>-2.074157501</v>
      </c>
      <c r="L458" s="165">
        <f>IFERROR(__xludf.DUMMYFUNCTION("""COMPUTED_VALUE"""),-0.642763902089304)</f>
        <v>-0.6427639021</v>
      </c>
      <c r="M458" s="166">
        <f t="shared" si="2"/>
        <v>-0.3341350339</v>
      </c>
      <c r="N458" s="167">
        <f t="shared" si="3"/>
        <v>15.98320346</v>
      </c>
      <c r="O458" s="163">
        <f t="shared" ref="O458:Q458" si="462">rank(I458,I:I)</f>
        <v>3178</v>
      </c>
      <c r="P458" s="163">
        <f t="shared" si="462"/>
        <v>3815</v>
      </c>
      <c r="Q458" s="163">
        <f t="shared" si="462"/>
        <v>3746</v>
      </c>
      <c r="R458" s="163">
        <f>IFERROR(__xludf.DUMMYFUNCTION("RANK(M458,filter(M:M,C:C=C458))"),464.0)</f>
        <v>464</v>
      </c>
      <c r="S458" s="161" t="b">
        <f t="shared" si="5"/>
        <v>0</v>
      </c>
      <c r="T458" s="161" t="b">
        <f t="array" ref="T458">index('Query Tool'!B:B,match(H458,'Query Tool'!C:C,0))</f>
        <v>1</v>
      </c>
      <c r="U458" s="161" t="b">
        <f t="array" ref="U458">index('Query Tool'!B:B,match(C458,'Query Tool'!C:C,0))</f>
        <v>0</v>
      </c>
      <c r="V458" s="161" t="b">
        <f>F458&gt;='Query Tool'!C$32</f>
        <v>1</v>
      </c>
      <c r="W458" s="161" t="b">
        <f t="array" ref="W458">index(Dropdowns!B:B,match(I458,Dropdowns!A:A,0))</f>
        <v>1</v>
      </c>
      <c r="X458" s="161" t="b">
        <f t="array" ref="X458">index('Query Tool'!B:B,match(D458,'Query Tool'!C:C,0))</f>
        <v>1</v>
      </c>
      <c r="Y458" s="161" t="str">
        <f t="shared" si="6"/>
        <v>snellto01,2013-14</v>
      </c>
      <c r="Z458" s="168">
        <f t="array" ref="Z458">iferror(index(I:I,match($A458&amp;","&amp;index('Year Conversion'!$A:$A,match($C458,'Year Conversion'!$B:$B,0)),$Y:$Y,0))-I458,"")</f>
        <v>1</v>
      </c>
      <c r="AA458" s="168">
        <f t="array" ref="AA458">iferror(index(J:J,match($A458&amp;","&amp;index('Year Conversion'!$A:$A,match($C458,'Year Conversion'!$B:$B,0)),$Y:$Y,0))-J458,"")</f>
        <v>1.231477931</v>
      </c>
      <c r="AB458" s="168">
        <f t="array" ref="AB458">iferror(index(K:K,match($A458&amp;","&amp;index('Year Conversion'!$A:$A,match($C458,'Year Conversion'!$B:$B,0)),$Y:$Y,0))-K458,"")</f>
        <v>1.555192212</v>
      </c>
      <c r="AC458" s="168" t="str">
        <f t="shared" si="7"/>
        <v>CHI,2013-14</v>
      </c>
    </row>
    <row r="459">
      <c r="A459" s="161" t="str">
        <f>IFERROR(__xludf.DUMMYFUNCTION("""COMPUTED_VALUE"""),"burketr01")</f>
        <v>burketr01</v>
      </c>
      <c r="B459" s="161" t="str">
        <f>IFERROR(__xludf.DUMMYFUNCTION("""COMPUTED_VALUE"""),"Trey Burke")</f>
        <v>Trey Burke</v>
      </c>
      <c r="C459" s="162" t="str">
        <f>IFERROR(__xludf.DUMMYFUNCTION("""COMPUTED_VALUE"""),"2013-14")</f>
        <v>2013-14</v>
      </c>
      <c r="D459" s="163" t="str">
        <f>IFERROR(__xludf.DUMMYFUNCTION("""COMPUTED_VALUE"""),"UTA")</f>
        <v>UTA</v>
      </c>
      <c r="E459" s="164" t="str">
        <f>IFERROR(__xludf.DUMMYFUNCTION("""COMPUTED_VALUE"""),"Primary Ball Handler")</f>
        <v>Primary Ball Handler</v>
      </c>
      <c r="F459" s="164">
        <f>IFERROR(__xludf.DUMMYFUNCTION("""COMPUTED_VALUE"""),2262.43)</f>
        <v>2262.43</v>
      </c>
      <c r="G459" s="163">
        <f>IFERROR(__xludf.DUMMYFUNCTION("""COMPUTED_VALUE"""),70.0)</f>
        <v>70</v>
      </c>
      <c r="H459" s="163" t="str">
        <f>IFERROR(__xludf.DUMMYFUNCTION("""COMPUTED_VALUE"""),"PG")</f>
        <v>PG</v>
      </c>
      <c r="I459" s="163">
        <f>IFERROR(__xludf.DUMMYFUNCTION("""COMPUTED_VALUE"""),21.0)</f>
        <v>21</v>
      </c>
      <c r="J459" s="165">
        <f>IFERROR(__xludf.DUMMYFUNCTION("""COMPUTED_VALUE"""),-0.491515378893607)</f>
        <v>-0.4915153789</v>
      </c>
      <c r="K459" s="165">
        <f>IFERROR(__xludf.DUMMYFUNCTION("""COMPUTED_VALUE"""),1.43978231638023)</f>
        <v>1.439782316</v>
      </c>
      <c r="L459" s="165">
        <f>IFERROR(__xludf.DUMMYFUNCTION("""COMPUTED_VALUE"""),-1.93129769527384)</f>
        <v>-1.931297695</v>
      </c>
      <c r="M459" s="166">
        <f t="shared" si="2"/>
        <v>2.738452448</v>
      </c>
      <c r="N459" s="167">
        <f t="shared" si="3"/>
        <v>32.32042857</v>
      </c>
      <c r="O459" s="163">
        <f t="shared" ref="O459:Q459" si="463">rank(I459,I:I)</f>
        <v>3528</v>
      </c>
      <c r="P459" s="163">
        <f t="shared" si="463"/>
        <v>1844</v>
      </c>
      <c r="Q459" s="163">
        <f t="shared" si="463"/>
        <v>339</v>
      </c>
      <c r="R459" s="163">
        <f>IFERROR(__xludf.DUMMYFUNCTION("RANK(M459,filter(M:M,C:C=C459))"),123.0)</f>
        <v>123</v>
      </c>
      <c r="S459" s="161" t="b">
        <f t="shared" si="5"/>
        <v>0</v>
      </c>
      <c r="T459" s="161" t="b">
        <f t="array" ref="T459">index('Query Tool'!B:B,match(H459,'Query Tool'!C:C,0))</f>
        <v>1</v>
      </c>
      <c r="U459" s="161" t="b">
        <f t="array" ref="U459">index('Query Tool'!B:B,match(C459,'Query Tool'!C:C,0))</f>
        <v>0</v>
      </c>
      <c r="V459" s="161" t="b">
        <f>F459&gt;='Query Tool'!C$32</f>
        <v>1</v>
      </c>
      <c r="W459" s="161" t="b">
        <f t="array" ref="W459">index(Dropdowns!B:B,match(I459,Dropdowns!A:A,0))</f>
        <v>1</v>
      </c>
      <c r="X459" s="161" t="b">
        <f t="array" ref="X459">index('Query Tool'!B:B,match(D459,'Query Tool'!C:C,0))</f>
        <v>1</v>
      </c>
      <c r="Y459" s="161" t="str">
        <f t="shared" si="6"/>
        <v>burketr01,2013-14</v>
      </c>
      <c r="Z459" s="168">
        <f t="array" ref="Z459">iferror(index(I:I,match($A459&amp;","&amp;index('Year Conversion'!$A:$A,match($C459,'Year Conversion'!$B:$B,0)),$Y:$Y,0))-I459,"")</f>
        <v>1</v>
      </c>
      <c r="AA459" s="168">
        <f t="array" ref="AA459">iferror(index(J:J,match($A459&amp;","&amp;index('Year Conversion'!$A:$A,match($C459,'Year Conversion'!$B:$B,0)),$Y:$Y,0))-J459,"")</f>
        <v>-0.8275990594</v>
      </c>
      <c r="AB459" s="168">
        <f t="array" ref="AB459">iferror(index(K:K,match($A459&amp;","&amp;index('Year Conversion'!$A:$A,match($C459,'Year Conversion'!$B:$B,0)),$Y:$Y,0))-K459,"")</f>
        <v>-0.9379974628</v>
      </c>
      <c r="AC459" s="168" t="str">
        <f t="shared" si="7"/>
        <v>UTA,2013-14</v>
      </c>
    </row>
    <row r="460">
      <c r="A460" s="161" t="str">
        <f>IFERROR(__xludf.DUMMYFUNCTION("""COMPUTED_VALUE"""),"blueva01")</f>
        <v>blueva01</v>
      </c>
      <c r="B460" s="161" t="str">
        <f>IFERROR(__xludf.DUMMYFUNCTION("""COMPUTED_VALUE"""),"Vander Blue")</f>
        <v>Vander Blue</v>
      </c>
      <c r="C460" s="162" t="str">
        <f>IFERROR(__xludf.DUMMYFUNCTION("""COMPUTED_VALUE"""),"2013-14")</f>
        <v>2013-14</v>
      </c>
      <c r="D460" s="163" t="str">
        <f>IFERROR(__xludf.DUMMYFUNCTION("""COMPUTED_VALUE"""),"BOS")</f>
        <v>BOS</v>
      </c>
      <c r="E460" s="164" t="str">
        <f>IFERROR(__xludf.DUMMYFUNCTION("""COMPUTED_VALUE"""),"Stationary Shooter")</f>
        <v>Stationary Shooter</v>
      </c>
      <c r="F460" s="164">
        <f>IFERROR(__xludf.DUMMYFUNCTION("""COMPUTED_VALUE"""),14.6666666666667)</f>
        <v>14.66666667</v>
      </c>
      <c r="G460" s="163">
        <f>IFERROR(__xludf.DUMMYFUNCTION("""COMPUTED_VALUE"""),3.0)</f>
        <v>3</v>
      </c>
      <c r="H460" s="163" t="str">
        <f>IFERROR(__xludf.DUMMYFUNCTION("""COMPUTED_VALUE"""),"SG")</f>
        <v>SG</v>
      </c>
      <c r="I460" s="163">
        <f>IFERROR(__xludf.DUMMYFUNCTION("""COMPUTED_VALUE"""),21.0)</f>
        <v>21</v>
      </c>
      <c r="J460" s="165">
        <f>IFERROR(__xludf.DUMMYFUNCTION("""COMPUTED_VALUE"""),0.154764940476554)</f>
        <v>0.1547649405</v>
      </c>
      <c r="K460" s="165">
        <f>IFERROR(__xludf.DUMMYFUNCTION("""COMPUTED_VALUE"""),0.00413917184798489)</f>
        <v>0.004139171848</v>
      </c>
      <c r="L460" s="165">
        <f>IFERROR(__xludf.DUMMYFUNCTION("""COMPUTED_VALUE"""),0.150625768628569)</f>
        <v>0.1506257686</v>
      </c>
      <c r="M460" s="166">
        <f t="shared" si="2"/>
        <v>0.02414139408</v>
      </c>
      <c r="N460" s="167">
        <f t="shared" si="3"/>
        <v>4.888888889</v>
      </c>
      <c r="O460" s="163">
        <f t="shared" ref="O460:Q460" si="464">rank(I460,I:I)</f>
        <v>3528</v>
      </c>
      <c r="P460" s="163">
        <f t="shared" si="464"/>
        <v>1126</v>
      </c>
      <c r="Q460" s="163">
        <f t="shared" si="464"/>
        <v>1195</v>
      </c>
      <c r="R460" s="163">
        <f>IFERROR(__xludf.DUMMYFUNCTION("RANK(M460,filter(M:M,C:C=C460))"),409.0)</f>
        <v>409</v>
      </c>
      <c r="S460" s="161" t="b">
        <f t="shared" si="5"/>
        <v>0</v>
      </c>
      <c r="T460" s="161" t="b">
        <f t="array" ref="T460">index('Query Tool'!B:B,match(H460,'Query Tool'!C:C,0))</f>
        <v>1</v>
      </c>
      <c r="U460" s="161" t="b">
        <f t="array" ref="U460">index('Query Tool'!B:B,match(C460,'Query Tool'!C:C,0))</f>
        <v>0</v>
      </c>
      <c r="V460" s="161" t="b">
        <f>F460&gt;='Query Tool'!C$32</f>
        <v>0</v>
      </c>
      <c r="W460" s="161" t="b">
        <f t="array" ref="W460">index(Dropdowns!B:B,match(I460,Dropdowns!A:A,0))</f>
        <v>1</v>
      </c>
      <c r="X460" s="161" t="b">
        <f t="array" ref="X460">index('Query Tool'!B:B,match(D460,'Query Tool'!C:C,0))</f>
        <v>1</v>
      </c>
      <c r="Y460" s="161" t="str">
        <f t="shared" si="6"/>
        <v>blueva01,2013-14</v>
      </c>
      <c r="Z460" s="168">
        <f t="array" ref="Z460">iferror(index(I:I,match($A460&amp;","&amp;index('Year Conversion'!$A:$A,match($C460,'Year Conversion'!$B:$B,0)),$Y:$Y,0))-I460,"")</f>
        <v>1</v>
      </c>
      <c r="AA460" s="168">
        <f t="array" ref="AA460">iferror(index(J:J,match($A460&amp;","&amp;index('Year Conversion'!$A:$A,match($C460,'Year Conversion'!$B:$B,0)),$Y:$Y,0))-J460,"")</f>
        <v>-0.7579733621</v>
      </c>
      <c r="AB460" s="168">
        <f t="array" ref="AB460">iferror(index(K:K,match($A460&amp;","&amp;index('Year Conversion'!$A:$A,match($C460,'Year Conversion'!$B:$B,0)),$Y:$Y,0))-K460,"")</f>
        <v>-0.1951532352</v>
      </c>
      <c r="AC460" s="168" t="str">
        <f t="shared" si="7"/>
        <v>BOS,2013-14</v>
      </c>
    </row>
    <row r="461">
      <c r="A461" s="161" t="str">
        <f>IFERROR(__xludf.DUMMYFUNCTION("""COMPUTED_VALUE"""),"oladivi01")</f>
        <v>oladivi01</v>
      </c>
      <c r="B461" s="161" t="str">
        <f>IFERROR(__xludf.DUMMYFUNCTION("""COMPUTED_VALUE"""),"Victor Oladipo")</f>
        <v>Victor Oladipo</v>
      </c>
      <c r="C461" s="162" t="str">
        <f>IFERROR(__xludf.DUMMYFUNCTION("""COMPUTED_VALUE"""),"2013-14")</f>
        <v>2013-14</v>
      </c>
      <c r="D461" s="163" t="str">
        <f>IFERROR(__xludf.DUMMYFUNCTION("""COMPUTED_VALUE"""),"ORL")</f>
        <v>ORL</v>
      </c>
      <c r="E461" s="164" t="str">
        <f>IFERROR(__xludf.DUMMYFUNCTION("""COMPUTED_VALUE"""),"Primary Ball Handler")</f>
        <v>Primary Ball Handler</v>
      </c>
      <c r="F461" s="164">
        <f>IFERROR(__xludf.DUMMYFUNCTION("""COMPUTED_VALUE"""),2486.49333333333)</f>
        <v>2486.493333</v>
      </c>
      <c r="G461" s="163">
        <f>IFERROR(__xludf.DUMMYFUNCTION("""COMPUTED_VALUE"""),80.0)</f>
        <v>80</v>
      </c>
      <c r="H461" s="163" t="str">
        <f>IFERROR(__xludf.DUMMYFUNCTION("""COMPUTED_VALUE"""),"PG")</f>
        <v>PG</v>
      </c>
      <c r="I461" s="163">
        <f>IFERROR(__xludf.DUMMYFUNCTION("""COMPUTED_VALUE"""),21.0)</f>
        <v>21</v>
      </c>
      <c r="J461" s="165">
        <f>IFERROR(__xludf.DUMMYFUNCTION("""COMPUTED_VALUE"""),-1.01285696500419)</f>
        <v>-1.012856965</v>
      </c>
      <c r="K461" s="165">
        <f>IFERROR(__xludf.DUMMYFUNCTION("""COMPUTED_VALUE"""),-1.81727690560117)</f>
        <v>-1.817276906</v>
      </c>
      <c r="L461" s="165">
        <f>IFERROR(__xludf.DUMMYFUNCTION("""COMPUTED_VALUE"""),0.804419940596975)</f>
        <v>0.8044199406</v>
      </c>
      <c r="M461" s="166">
        <f t="shared" si="2"/>
        <v>2.137838034</v>
      </c>
      <c r="N461" s="167">
        <f t="shared" si="3"/>
        <v>31.08116667</v>
      </c>
      <c r="O461" s="163">
        <f t="shared" ref="O461:Q461" si="465">rank(I461,I:I)</f>
        <v>3528</v>
      </c>
      <c r="P461" s="163">
        <f t="shared" si="465"/>
        <v>2516</v>
      </c>
      <c r="Q461" s="163">
        <f t="shared" si="465"/>
        <v>3583</v>
      </c>
      <c r="R461" s="163">
        <f>IFERROR(__xludf.DUMMYFUNCTION("RANK(M461,filter(M:M,C:C=C461))"),148.0)</f>
        <v>148</v>
      </c>
      <c r="S461" s="161" t="b">
        <f t="shared" si="5"/>
        <v>0</v>
      </c>
      <c r="T461" s="161" t="b">
        <f t="array" ref="T461">index('Query Tool'!B:B,match(H461,'Query Tool'!C:C,0))</f>
        <v>1</v>
      </c>
      <c r="U461" s="161" t="b">
        <f t="array" ref="U461">index('Query Tool'!B:B,match(C461,'Query Tool'!C:C,0))</f>
        <v>0</v>
      </c>
      <c r="V461" s="161" t="b">
        <f>F461&gt;='Query Tool'!C$32</f>
        <v>1</v>
      </c>
      <c r="W461" s="161" t="b">
        <f t="array" ref="W461">index(Dropdowns!B:B,match(I461,Dropdowns!A:A,0))</f>
        <v>1</v>
      </c>
      <c r="X461" s="161" t="b">
        <f t="array" ref="X461">index('Query Tool'!B:B,match(D461,'Query Tool'!C:C,0))</f>
        <v>1</v>
      </c>
      <c r="Y461" s="161" t="str">
        <f t="shared" si="6"/>
        <v>oladivi01,2013-14</v>
      </c>
      <c r="Z461" s="168">
        <f t="array" ref="Z461">iferror(index(I:I,match($A461&amp;","&amp;index('Year Conversion'!$A:$A,match($C461,'Year Conversion'!$B:$B,0)),$Y:$Y,0))-I461,"")</f>
        <v>1</v>
      </c>
      <c r="AA461" s="168">
        <f t="array" ref="AA461">iferror(index(J:J,match($A461&amp;","&amp;index('Year Conversion'!$A:$A,match($C461,'Year Conversion'!$B:$B,0)),$Y:$Y,0))-J461,"")</f>
        <v>1.306866031</v>
      </c>
      <c r="AB461" s="168">
        <f t="array" ref="AB461">iferror(index(K:K,match($A461&amp;","&amp;index('Year Conversion'!$A:$A,match($C461,'Year Conversion'!$B:$B,0)),$Y:$Y,0))-K461,"")</f>
        <v>2.402352244</v>
      </c>
      <c r="AC461" s="168" t="str">
        <f t="shared" si="7"/>
        <v>ORL,2013-14</v>
      </c>
    </row>
    <row r="462">
      <c r="A462" s="161" t="str">
        <f>IFERROR(__xludf.DUMMYFUNCTION("""COMPUTED_VALUE"""),"antetgi01")</f>
        <v>antetgi01</v>
      </c>
      <c r="B462" s="161" t="str">
        <f>IFERROR(__xludf.DUMMYFUNCTION("""COMPUTED_VALUE"""),"Giannis Antetokounmpo")</f>
        <v>Giannis Antetokounmpo</v>
      </c>
      <c r="C462" s="162" t="str">
        <f>IFERROR(__xludf.DUMMYFUNCTION("""COMPUTED_VALUE"""),"2013-14")</f>
        <v>2013-14</v>
      </c>
      <c r="D462" s="163" t="str">
        <f>IFERROR(__xludf.DUMMYFUNCTION("""COMPUTED_VALUE"""),"MIL")</f>
        <v>MIL</v>
      </c>
      <c r="E462" s="164" t="str">
        <f>IFERROR(__xludf.DUMMYFUNCTION("""COMPUTED_VALUE"""),"Athletic Finisher")</f>
        <v>Athletic Finisher</v>
      </c>
      <c r="F462" s="164">
        <f>IFERROR(__xludf.DUMMYFUNCTION("""COMPUTED_VALUE"""),1896.80833333333)</f>
        <v>1896.808333</v>
      </c>
      <c r="G462" s="163">
        <f>IFERROR(__xludf.DUMMYFUNCTION("""COMPUTED_VALUE"""),77.0)</f>
        <v>77</v>
      </c>
      <c r="H462" s="163" t="str">
        <f>IFERROR(__xludf.DUMMYFUNCTION("""COMPUTED_VALUE"""),"SF")</f>
        <v>SF</v>
      </c>
      <c r="I462" s="163">
        <f>IFERROR(__xludf.DUMMYFUNCTION("""COMPUTED_VALUE"""),19.0)</f>
        <v>19</v>
      </c>
      <c r="J462" s="165">
        <f>IFERROR(__xludf.DUMMYFUNCTION("""COMPUTED_VALUE"""),-0.35559650878805)</f>
        <v>-0.3555965088</v>
      </c>
      <c r="K462" s="165">
        <f>IFERROR(__xludf.DUMMYFUNCTION("""COMPUTED_VALUE"""),-0.216016859517271)</f>
        <v>-0.2160168595</v>
      </c>
      <c r="L462" s="165">
        <f>IFERROR(__xludf.DUMMYFUNCTION("""COMPUTED_VALUE"""),-0.13957964927078)</f>
        <v>-0.1395796493</v>
      </c>
      <c r="M462" s="166">
        <f t="shared" si="2"/>
        <v>2.469586078</v>
      </c>
      <c r="N462" s="167">
        <f t="shared" si="3"/>
        <v>24.63387446</v>
      </c>
      <c r="O462" s="163">
        <f t="shared" ref="O462:Q462" si="466">rank(I462,I:I)</f>
        <v>3945</v>
      </c>
      <c r="P462" s="163">
        <f t="shared" si="466"/>
        <v>1677</v>
      </c>
      <c r="Q462" s="163">
        <f t="shared" si="466"/>
        <v>1590</v>
      </c>
      <c r="R462" s="163">
        <f>IFERROR(__xludf.DUMMYFUNCTION("RANK(M462,filter(M:M,C:C=C462))"),134.0)</f>
        <v>134</v>
      </c>
      <c r="S462" s="161" t="b">
        <f t="shared" si="5"/>
        <v>0</v>
      </c>
      <c r="T462" s="161" t="b">
        <f t="array" ref="T462">index('Query Tool'!B:B,match(H462,'Query Tool'!C:C,0))</f>
        <v>1</v>
      </c>
      <c r="U462" s="161" t="b">
        <f t="array" ref="U462">index('Query Tool'!B:B,match(C462,'Query Tool'!C:C,0))</f>
        <v>0</v>
      </c>
      <c r="V462" s="161" t="b">
        <f>F462&gt;='Query Tool'!C$32</f>
        <v>1</v>
      </c>
      <c r="W462" s="161" t="b">
        <f t="array" ref="W462">index(Dropdowns!B:B,match(I462,Dropdowns!A:A,0))</f>
        <v>1</v>
      </c>
      <c r="X462" s="161" t="b">
        <f t="array" ref="X462">index('Query Tool'!B:B,match(D462,'Query Tool'!C:C,0))</f>
        <v>1</v>
      </c>
      <c r="Y462" s="161" t="str">
        <f t="shared" si="6"/>
        <v>antetgi01,2013-14</v>
      </c>
      <c r="Z462" s="168">
        <f t="array" ref="Z462">iferror(index(I:I,match($A462&amp;","&amp;index('Year Conversion'!$A:$A,match($C462,'Year Conversion'!$B:$B,0)),$Y:$Y,0))-I462,"")</f>
        <v>1</v>
      </c>
      <c r="AA462" s="168">
        <f t="array" ref="AA462">iferror(index(J:J,match($A462&amp;","&amp;index('Year Conversion'!$A:$A,match($C462,'Year Conversion'!$B:$B,0)),$Y:$Y,0))-J462,"")</f>
        <v>0.9065287002</v>
      </c>
      <c r="AB462" s="168">
        <f t="array" ref="AB462">iferror(index(K:K,match($A462&amp;","&amp;index('Year Conversion'!$A:$A,match($C462,'Year Conversion'!$B:$B,0)),$Y:$Y,0))-K462,"")</f>
        <v>-0.7332295414</v>
      </c>
      <c r="AC462" s="168" t="str">
        <f t="shared" si="7"/>
        <v>MIL,2013-14</v>
      </c>
    </row>
    <row r="463">
      <c r="A463" s="161" t="str">
        <f>IFERROR(__xludf.DUMMYFUNCTION("""COMPUTED_VALUE"""),"karasse01")</f>
        <v>karasse01</v>
      </c>
      <c r="B463" s="161" t="str">
        <f>IFERROR(__xludf.DUMMYFUNCTION("""COMPUTED_VALUE"""),"Sergey Karasev")</f>
        <v>Sergey Karasev</v>
      </c>
      <c r="C463" s="162" t="str">
        <f>IFERROR(__xludf.DUMMYFUNCTION("""COMPUTED_VALUE"""),"2013-14")</f>
        <v>2013-14</v>
      </c>
      <c r="D463" s="163" t="str">
        <f>IFERROR(__xludf.DUMMYFUNCTION("""COMPUTED_VALUE"""),"CLE")</f>
        <v>CLE</v>
      </c>
      <c r="E463" s="164" t="str">
        <f>IFERROR(__xludf.DUMMYFUNCTION("""COMPUTED_VALUE"""),"Movement Shooter")</f>
        <v>Movement Shooter</v>
      </c>
      <c r="F463" s="164">
        <f>IFERROR(__xludf.DUMMYFUNCTION("""COMPUTED_VALUE"""),155.823333333333)</f>
        <v>155.8233333</v>
      </c>
      <c r="G463" s="163">
        <f>IFERROR(__xludf.DUMMYFUNCTION("""COMPUTED_VALUE"""),22.0)</f>
        <v>22</v>
      </c>
      <c r="H463" s="163" t="str">
        <f>IFERROR(__xludf.DUMMYFUNCTION("""COMPUTED_VALUE"""),"SF")</f>
        <v>SF</v>
      </c>
      <c r="I463" s="163">
        <f>IFERROR(__xludf.DUMMYFUNCTION("""COMPUTED_VALUE"""),20.0)</f>
        <v>20</v>
      </c>
      <c r="J463" s="165">
        <f>IFERROR(__xludf.DUMMYFUNCTION("""COMPUTED_VALUE"""),-1.25568574998255)</f>
        <v>-1.25568575</v>
      </c>
      <c r="K463" s="165">
        <f>IFERROR(__xludf.DUMMYFUNCTION("""COMPUTED_VALUE"""),-1.56166840945934)</f>
        <v>-1.561668409</v>
      </c>
      <c r="L463" s="165">
        <f>IFERROR(__xludf.DUMMYFUNCTION("""COMPUTED_VALUE"""),0.305982659476784)</f>
        <v>0.3059826595</v>
      </c>
      <c r="M463" s="166">
        <f t="shared" si="2"/>
        <v>0.1086003845</v>
      </c>
      <c r="N463" s="167">
        <f t="shared" si="3"/>
        <v>7.082878788</v>
      </c>
      <c r="O463" s="163">
        <f t="shared" ref="O463:Q463" si="467">rank(I463,I:I)</f>
        <v>3770</v>
      </c>
      <c r="P463" s="163">
        <f t="shared" si="467"/>
        <v>2821</v>
      </c>
      <c r="Q463" s="163">
        <f t="shared" si="467"/>
        <v>3414</v>
      </c>
      <c r="R463" s="163">
        <f>IFERROR(__xludf.DUMMYFUNCTION("RANK(M463,filter(M:M,C:C=C463))"),354.0)</f>
        <v>354</v>
      </c>
      <c r="S463" s="161" t="b">
        <f t="shared" si="5"/>
        <v>0</v>
      </c>
      <c r="T463" s="161" t="b">
        <f t="array" ref="T463">index('Query Tool'!B:B,match(H463,'Query Tool'!C:C,0))</f>
        <v>1</v>
      </c>
      <c r="U463" s="161" t="b">
        <f t="array" ref="U463">index('Query Tool'!B:B,match(C463,'Query Tool'!C:C,0))</f>
        <v>0</v>
      </c>
      <c r="V463" s="161" t="b">
        <f>F463&gt;='Query Tool'!C$32</f>
        <v>0</v>
      </c>
      <c r="W463" s="161" t="b">
        <f t="array" ref="W463">index(Dropdowns!B:B,match(I463,Dropdowns!A:A,0))</f>
        <v>1</v>
      </c>
      <c r="X463" s="161" t="b">
        <f t="array" ref="X463">index('Query Tool'!B:B,match(D463,'Query Tool'!C:C,0))</f>
        <v>1</v>
      </c>
      <c r="Y463" s="161" t="str">
        <f t="shared" si="6"/>
        <v>karasse01,2013-14</v>
      </c>
      <c r="Z463" s="168">
        <f t="array" ref="Z463">iferror(index(I:I,match($A463&amp;","&amp;index('Year Conversion'!$A:$A,match($C463,'Year Conversion'!$B:$B,0)),$Y:$Y,0))-I463,"")</f>
        <v>1</v>
      </c>
      <c r="AA463" s="168">
        <f t="array" ref="AA463">iferror(index(J:J,match($A463&amp;","&amp;index('Year Conversion'!$A:$A,match($C463,'Year Conversion'!$B:$B,0)),$Y:$Y,0))-J463,"")</f>
        <v>0.880713804</v>
      </c>
      <c r="AB463" s="168">
        <f t="array" ref="AB463">iferror(index(K:K,match($A463&amp;","&amp;index('Year Conversion'!$A:$A,match($C463,'Year Conversion'!$B:$B,0)),$Y:$Y,0))-K463,"")</f>
        <v>1.08465054</v>
      </c>
      <c r="AC463" s="168" t="str">
        <f t="shared" si="7"/>
        <v>CLE,2013-14</v>
      </c>
    </row>
    <row r="464">
      <c r="A464" s="161" t="str">
        <f>IFERROR(__xludf.DUMMYFUNCTION("""COMPUTED_VALUE"""),"murpher01")</f>
        <v>murpher01</v>
      </c>
      <c r="B464" s="161" t="str">
        <f>IFERROR(__xludf.DUMMYFUNCTION("""COMPUTED_VALUE"""),"Erik Murphy")</f>
        <v>Erik Murphy</v>
      </c>
      <c r="C464" s="162" t="str">
        <f>IFERROR(__xludf.DUMMYFUNCTION("""COMPUTED_VALUE"""),"2013-14")</f>
        <v>2013-14</v>
      </c>
      <c r="D464" s="163" t="str">
        <f>IFERROR(__xludf.DUMMYFUNCTION("""COMPUTED_VALUE"""),"CHI")</f>
        <v>CHI</v>
      </c>
      <c r="E464" s="164" t="str">
        <f>IFERROR(__xludf.DUMMYFUNCTION("""COMPUTED_VALUE"""),"Roll + Cut Big")</f>
        <v>Roll + Cut Big</v>
      </c>
      <c r="F464" s="164">
        <f>IFERROR(__xludf.DUMMYFUNCTION("""COMPUTED_VALUE"""),62.1516666666667)</f>
        <v>62.15166667</v>
      </c>
      <c r="G464" s="163">
        <f>IFERROR(__xludf.DUMMYFUNCTION("""COMPUTED_VALUE"""),24.0)</f>
        <v>24</v>
      </c>
      <c r="H464" s="163" t="str">
        <f>IFERROR(__xludf.DUMMYFUNCTION("""COMPUTED_VALUE"""),"C")</f>
        <v>C</v>
      </c>
      <c r="I464" s="163">
        <f>IFERROR(__xludf.DUMMYFUNCTION("""COMPUTED_VALUE"""),23.0)</f>
        <v>23</v>
      </c>
      <c r="J464" s="165">
        <f>IFERROR(__xludf.DUMMYFUNCTION("""COMPUTED_VALUE"""),-1.39412289303064)</f>
        <v>-1.394122893</v>
      </c>
      <c r="K464" s="165">
        <f>IFERROR(__xludf.DUMMYFUNCTION("""COMPUTED_VALUE"""),-0.899367524785359)</f>
        <v>-0.8993675248</v>
      </c>
      <c r="L464" s="165">
        <f>IFERROR(__xludf.DUMMYFUNCTION("""COMPUTED_VALUE"""),-0.494755368245278)</f>
        <v>-0.4947553682</v>
      </c>
      <c r="M464" s="166">
        <f t="shared" si="2"/>
        <v>0.03755780181</v>
      </c>
      <c r="N464" s="167">
        <f t="shared" si="3"/>
        <v>2.589652778</v>
      </c>
      <c r="O464" s="163">
        <f t="shared" ref="O464:Q464" si="468">rank(I464,I:I)</f>
        <v>2765</v>
      </c>
      <c r="P464" s="163">
        <f t="shared" si="468"/>
        <v>2943</v>
      </c>
      <c r="Q464" s="163">
        <f t="shared" si="468"/>
        <v>2688</v>
      </c>
      <c r="R464" s="163">
        <f>IFERROR(__xludf.DUMMYFUNCTION("RANK(M464,filter(M:M,C:C=C464))"),396.0)</f>
        <v>396</v>
      </c>
      <c r="S464" s="161" t="b">
        <f t="shared" si="5"/>
        <v>0</v>
      </c>
      <c r="T464" s="161" t="b">
        <f t="array" ref="T464">index('Query Tool'!B:B,match(H464,'Query Tool'!C:C,0))</f>
        <v>1</v>
      </c>
      <c r="U464" s="161" t="b">
        <f t="array" ref="U464">index('Query Tool'!B:B,match(C464,'Query Tool'!C:C,0))</f>
        <v>0</v>
      </c>
      <c r="V464" s="161" t="b">
        <f>F464&gt;='Query Tool'!C$32</f>
        <v>0</v>
      </c>
      <c r="W464" s="161" t="b">
        <f t="array" ref="W464">index(Dropdowns!B:B,match(I464,Dropdowns!A:A,0))</f>
        <v>1</v>
      </c>
      <c r="X464" s="161" t="b">
        <f t="array" ref="X464">index('Query Tool'!B:B,match(D464,'Query Tool'!C:C,0))</f>
        <v>1</v>
      </c>
      <c r="Y464" s="161" t="str">
        <f t="shared" si="6"/>
        <v>murpher01,2013-14</v>
      </c>
      <c r="Z464" s="168" t="str">
        <f t="array" ref="Z464">iferror(index(I:I,match($A464&amp;","&amp;index('Year Conversion'!$A:$A,match($C464,'Year Conversion'!$B:$B,0)),$Y:$Y,0))-I464,"")</f>
        <v/>
      </c>
      <c r="AA464" s="168" t="str">
        <f t="array" ref="AA464">iferror(index(J:J,match($A464&amp;","&amp;index('Year Conversion'!$A:$A,match($C464,'Year Conversion'!$B:$B,0)),$Y:$Y,0))-J464,"")</f>
        <v/>
      </c>
      <c r="AB464" s="168" t="str">
        <f t="array" ref="AB464">iferror(index(K:K,match($A464&amp;","&amp;index('Year Conversion'!$A:$A,match($C464,'Year Conversion'!$B:$B,0)),$Y:$Y,0))-K464,"")</f>
        <v/>
      </c>
      <c r="AC464" s="168" t="str">
        <f t="shared" si="7"/>
        <v>CHI,2013-14</v>
      </c>
    </row>
    <row r="465">
      <c r="A465" s="161" t="str">
        <f>IFERROR(__xludf.DUMMYFUNCTION("""COMPUTED_VALUE"""),"pressph01")</f>
        <v>pressph01</v>
      </c>
      <c r="B465" s="161" t="str">
        <f>IFERROR(__xludf.DUMMYFUNCTION("""COMPUTED_VALUE"""),"Phil Pressey")</f>
        <v>Phil Pressey</v>
      </c>
      <c r="C465" s="162" t="str">
        <f>IFERROR(__xludf.DUMMYFUNCTION("""COMPUTED_VALUE"""),"2013-14")</f>
        <v>2013-14</v>
      </c>
      <c r="D465" s="163" t="str">
        <f>IFERROR(__xludf.DUMMYFUNCTION("""COMPUTED_VALUE"""),"BOS")</f>
        <v>BOS</v>
      </c>
      <c r="E465" s="164" t="str">
        <f>IFERROR(__xludf.DUMMYFUNCTION("""COMPUTED_VALUE"""),"Primary Ball Handler")</f>
        <v>Primary Ball Handler</v>
      </c>
      <c r="F465" s="164">
        <f>IFERROR(__xludf.DUMMYFUNCTION("""COMPUTED_VALUE"""),1131.64666666667)</f>
        <v>1131.646667</v>
      </c>
      <c r="G465" s="163">
        <f>IFERROR(__xludf.DUMMYFUNCTION("""COMPUTED_VALUE"""),75.0)</f>
        <v>75</v>
      </c>
      <c r="H465" s="163" t="str">
        <f>IFERROR(__xludf.DUMMYFUNCTION("""COMPUTED_VALUE"""),"PG")</f>
        <v>PG</v>
      </c>
      <c r="I465" s="163">
        <f>IFERROR(__xludf.DUMMYFUNCTION("""COMPUTED_VALUE"""),22.0)</f>
        <v>22</v>
      </c>
      <c r="J465" s="165">
        <f>IFERROR(__xludf.DUMMYFUNCTION("""COMPUTED_VALUE"""),-0.498271333624418)</f>
        <v>-0.4982713336</v>
      </c>
      <c r="K465" s="165">
        <f>IFERROR(__xludf.DUMMYFUNCTION("""COMPUTED_VALUE"""),-0.659602871982779)</f>
        <v>-0.659602872</v>
      </c>
      <c r="L465" s="165">
        <f>IFERROR(__xludf.DUMMYFUNCTION("""COMPUTED_VALUE"""),0.161331538358361)</f>
        <v>0.1613315384</v>
      </c>
      <c r="M465" s="166">
        <f t="shared" si="2"/>
        <v>1.364599553</v>
      </c>
      <c r="N465" s="167">
        <f t="shared" si="3"/>
        <v>15.08862222</v>
      </c>
      <c r="O465" s="163">
        <f t="shared" ref="O465:Q465" si="469">rank(I465,I:I)</f>
        <v>3178</v>
      </c>
      <c r="P465" s="163">
        <f t="shared" si="469"/>
        <v>1853</v>
      </c>
      <c r="Q465" s="163">
        <f t="shared" si="469"/>
        <v>2349</v>
      </c>
      <c r="R465" s="163">
        <f>IFERROR(__xludf.DUMMYFUNCTION("RANK(M465,filter(M:M,C:C=C465))"),194.0)</f>
        <v>194</v>
      </c>
      <c r="S465" s="161" t="b">
        <f t="shared" si="5"/>
        <v>0</v>
      </c>
      <c r="T465" s="161" t="b">
        <f t="array" ref="T465">index('Query Tool'!B:B,match(H465,'Query Tool'!C:C,0))</f>
        <v>1</v>
      </c>
      <c r="U465" s="161" t="b">
        <f t="array" ref="U465">index('Query Tool'!B:B,match(C465,'Query Tool'!C:C,0))</f>
        <v>0</v>
      </c>
      <c r="V465" s="161" t="b">
        <f>F465&gt;='Query Tool'!C$32</f>
        <v>1</v>
      </c>
      <c r="W465" s="161" t="b">
        <f t="array" ref="W465">index(Dropdowns!B:B,match(I465,Dropdowns!A:A,0))</f>
        <v>1</v>
      </c>
      <c r="X465" s="161" t="b">
        <f t="array" ref="X465">index('Query Tool'!B:B,match(D465,'Query Tool'!C:C,0))</f>
        <v>1</v>
      </c>
      <c r="Y465" s="161" t="str">
        <f t="shared" si="6"/>
        <v>pressph01,2013-14</v>
      </c>
      <c r="Z465" s="168">
        <f t="array" ref="Z465">iferror(index(I:I,match($A465&amp;","&amp;index('Year Conversion'!$A:$A,match($C465,'Year Conversion'!$B:$B,0)),$Y:$Y,0))-I465,"")</f>
        <v>1</v>
      </c>
      <c r="AA465" s="168">
        <f t="array" ref="AA465">iferror(index(J:J,match($A465&amp;","&amp;index('Year Conversion'!$A:$A,match($C465,'Year Conversion'!$B:$B,0)),$Y:$Y,0))-J465,"")</f>
        <v>0.7346077743</v>
      </c>
      <c r="AB465" s="168">
        <f t="array" ref="AB465">iferror(index(K:K,match($A465&amp;","&amp;index('Year Conversion'!$A:$A,match($C465,'Year Conversion'!$B:$B,0)),$Y:$Y,0))-K465,"")</f>
        <v>0.4189612624</v>
      </c>
      <c r="AC465" s="168" t="str">
        <f t="shared" si="7"/>
        <v>BOS,2013-14</v>
      </c>
    </row>
    <row r="466">
      <c r="A466" s="161" t="str">
        <f>IFERROR(__xludf.DUMMYFUNCTION("""COMPUTED_VALUE"""),"nedovne01")</f>
        <v>nedovne01</v>
      </c>
      <c r="B466" s="161" t="str">
        <f>IFERROR(__xludf.DUMMYFUNCTION("""COMPUTED_VALUE"""),"Nemanja Nedovic")</f>
        <v>Nemanja Nedovic</v>
      </c>
      <c r="C466" s="162" t="str">
        <f>IFERROR(__xludf.DUMMYFUNCTION("""COMPUTED_VALUE"""),"2013-14")</f>
        <v>2013-14</v>
      </c>
      <c r="D466" s="163" t="str">
        <f>IFERROR(__xludf.DUMMYFUNCTION("""COMPUTED_VALUE"""),"GSW")</f>
        <v>GSW</v>
      </c>
      <c r="E466" s="164" t="str">
        <f>IFERROR(__xludf.DUMMYFUNCTION("""COMPUTED_VALUE"""),"Stationary Shooter")</f>
        <v>Stationary Shooter</v>
      </c>
      <c r="F466" s="164">
        <f>IFERROR(__xludf.DUMMYFUNCTION("""COMPUTED_VALUE"""),142.356666666667)</f>
        <v>142.3566667</v>
      </c>
      <c r="G466" s="163">
        <f>IFERROR(__xludf.DUMMYFUNCTION("""COMPUTED_VALUE"""),24.0)</f>
        <v>24</v>
      </c>
      <c r="H466" s="163" t="str">
        <f>IFERROR(__xludf.DUMMYFUNCTION("""COMPUTED_VALUE"""),"SG")</f>
        <v>SG</v>
      </c>
      <c r="I466" s="163">
        <f>IFERROR(__xludf.DUMMYFUNCTION("""COMPUTED_VALUE"""),22.0)</f>
        <v>22</v>
      </c>
      <c r="J466" s="165">
        <f>IFERROR(__xludf.DUMMYFUNCTION("""COMPUTED_VALUE"""),-2.06938231826701)</f>
        <v>-2.069382318</v>
      </c>
      <c r="K466" s="165">
        <f>IFERROR(__xludf.DUMMYFUNCTION("""COMPUTED_VALUE"""),-1.08856560368775)</f>
        <v>-1.088565604</v>
      </c>
      <c r="L466" s="165">
        <f>IFERROR(__xludf.DUMMYFUNCTION("""COMPUTED_VALUE"""),-0.980816714579261)</f>
        <v>-0.9808167146</v>
      </c>
      <c r="M466" s="166">
        <f t="shared" si="2"/>
        <v>0.02202986577</v>
      </c>
      <c r="N466" s="167">
        <f t="shared" si="3"/>
        <v>5.931527778</v>
      </c>
      <c r="O466" s="163">
        <f t="shared" ref="O466:Q466" si="470">rank(I466,I:I)</f>
        <v>3178</v>
      </c>
      <c r="P466" s="163">
        <f t="shared" si="470"/>
        <v>3532</v>
      </c>
      <c r="Q466" s="163">
        <f t="shared" si="470"/>
        <v>2919</v>
      </c>
      <c r="R466" s="163">
        <f>IFERROR(__xludf.DUMMYFUNCTION("RANK(M466,filter(M:M,C:C=C466))"),412.0)</f>
        <v>412</v>
      </c>
      <c r="S466" s="161" t="b">
        <f t="shared" si="5"/>
        <v>0</v>
      </c>
      <c r="T466" s="161" t="b">
        <f t="array" ref="T466">index('Query Tool'!B:B,match(H466,'Query Tool'!C:C,0))</f>
        <v>1</v>
      </c>
      <c r="U466" s="161" t="b">
        <f t="array" ref="U466">index('Query Tool'!B:B,match(C466,'Query Tool'!C:C,0))</f>
        <v>0</v>
      </c>
      <c r="V466" s="161" t="b">
        <f>F466&gt;='Query Tool'!C$32</f>
        <v>0</v>
      </c>
      <c r="W466" s="161" t="b">
        <f t="array" ref="W466">index(Dropdowns!B:B,match(I466,Dropdowns!A:A,0))</f>
        <v>1</v>
      </c>
      <c r="X466" s="161" t="b">
        <f t="array" ref="X466">index('Query Tool'!B:B,match(D466,'Query Tool'!C:C,0))</f>
        <v>1</v>
      </c>
      <c r="Y466" s="161" t="str">
        <f t="shared" si="6"/>
        <v>nedovne01,2013-14</v>
      </c>
      <c r="Z466" s="168" t="str">
        <f t="array" ref="Z466">iferror(index(I:I,match($A466&amp;","&amp;index('Year Conversion'!$A:$A,match($C466,'Year Conversion'!$B:$B,0)),$Y:$Y,0))-I466,"")</f>
        <v/>
      </c>
      <c r="AA466" s="168" t="str">
        <f t="array" ref="AA466">iferror(index(J:J,match($A466&amp;","&amp;index('Year Conversion'!$A:$A,match($C466,'Year Conversion'!$B:$B,0)),$Y:$Y,0))-J466,"")</f>
        <v/>
      </c>
      <c r="AB466" s="168" t="str">
        <f t="array" ref="AB466">iferror(index(K:K,match($A466&amp;","&amp;index('Year Conversion'!$A:$A,match($C466,'Year Conversion'!$B:$B,0)),$Y:$Y,0))-K466,"")</f>
        <v/>
      </c>
      <c r="AC466" s="168" t="str">
        <f t="shared" si="7"/>
        <v>GSW,2013-14</v>
      </c>
    </row>
    <row r="467">
      <c r="A467" s="161" t="str">
        <f>IFERROR(__xludf.DUMMYFUNCTION("""COMPUTED_VALUE"""),"thomaad01")</f>
        <v>thomaad01</v>
      </c>
      <c r="B467" s="161" t="str">
        <f>IFERROR(__xludf.DUMMYFUNCTION("""COMPUTED_VALUE"""),"Adonis Thomas")</f>
        <v>Adonis Thomas</v>
      </c>
      <c r="C467" s="162" t="str">
        <f>IFERROR(__xludf.DUMMYFUNCTION("""COMPUTED_VALUE"""),"2013-14")</f>
        <v>2013-14</v>
      </c>
      <c r="D467" s="163" t="str">
        <f>IFERROR(__xludf.DUMMYFUNCTION("""COMPUTED_VALUE"""),"TOT")</f>
        <v>TOT</v>
      </c>
      <c r="E467" s="164" t="str">
        <f>IFERROR(__xludf.DUMMYFUNCTION("""COMPUTED_VALUE"""),"Stationary Shooter")</f>
        <v>Stationary Shooter</v>
      </c>
      <c r="F467" s="164">
        <f>IFERROR(__xludf.DUMMYFUNCTION("""COMPUTED_VALUE"""),37.5833333333333)</f>
        <v>37.58333333</v>
      </c>
      <c r="G467" s="163">
        <f>IFERROR(__xludf.DUMMYFUNCTION("""COMPUTED_VALUE"""),6.0)</f>
        <v>6</v>
      </c>
      <c r="H467" s="163" t="str">
        <f>IFERROR(__xludf.DUMMYFUNCTION("""COMPUTED_VALUE"""),"SF")</f>
        <v>SF</v>
      </c>
      <c r="I467" s="163">
        <f>IFERROR(__xludf.DUMMYFUNCTION("""COMPUTED_VALUE"""),20.0)</f>
        <v>20</v>
      </c>
      <c r="J467" s="165">
        <f>IFERROR(__xludf.DUMMYFUNCTION("""COMPUTED_VALUE"""),0.201534375416153)</f>
        <v>0.2015343754</v>
      </c>
      <c r="K467" s="165">
        <f>IFERROR(__xludf.DUMMYFUNCTION("""COMPUTED_VALUE"""),0.0323800682832563)</f>
        <v>0.03238006828</v>
      </c>
      <c r="L467" s="165">
        <f>IFERROR(__xludf.DUMMYFUNCTION("""COMPUTED_VALUE"""),0.169154307132897)</f>
        <v>0.1691543071</v>
      </c>
      <c r="M467" s="166">
        <f t="shared" si="2"/>
        <v>0.06304722269</v>
      </c>
      <c r="N467" s="167">
        <f t="shared" si="3"/>
        <v>6.263888889</v>
      </c>
      <c r="O467" s="163">
        <f t="shared" ref="O467:Q467" si="471">rank(I467,I:I)</f>
        <v>3770</v>
      </c>
      <c r="P467" s="163">
        <f t="shared" si="471"/>
        <v>1090</v>
      </c>
      <c r="Q467" s="163">
        <f t="shared" si="471"/>
        <v>1152</v>
      </c>
      <c r="R467" s="163">
        <f>IFERROR(__xludf.DUMMYFUNCTION("RANK(M467,filter(M:M,C:C=C467))"),380.0)</f>
        <v>380</v>
      </c>
      <c r="S467" s="161" t="b">
        <f t="shared" si="5"/>
        <v>0</v>
      </c>
      <c r="T467" s="161" t="b">
        <f t="array" ref="T467">index('Query Tool'!B:B,match(H467,'Query Tool'!C:C,0))</f>
        <v>1</v>
      </c>
      <c r="U467" s="161" t="b">
        <f t="array" ref="U467">index('Query Tool'!B:B,match(C467,'Query Tool'!C:C,0))</f>
        <v>0</v>
      </c>
      <c r="V467" s="161" t="b">
        <f>F467&gt;='Query Tool'!C$32</f>
        <v>0</v>
      </c>
      <c r="W467" s="161" t="b">
        <f t="array" ref="W467">index(Dropdowns!B:B,match(I467,Dropdowns!A:A,0))</f>
        <v>1</v>
      </c>
      <c r="X467" s="161" t="b">
        <f t="array" ref="X467">index('Query Tool'!B:B,match(D467,'Query Tool'!C:C,0))</f>
        <v>1</v>
      </c>
      <c r="Y467" s="161" t="str">
        <f t="shared" si="6"/>
        <v>thomaad01,2013-14</v>
      </c>
      <c r="Z467" s="168" t="str">
        <f t="array" ref="Z467">iferror(index(I:I,match($A467&amp;","&amp;index('Year Conversion'!$A:$A,match($C467,'Year Conversion'!$B:$B,0)),$Y:$Y,0))-I467,"")</f>
        <v/>
      </c>
      <c r="AA467" s="168" t="str">
        <f t="array" ref="AA467">iferror(index(J:J,match($A467&amp;","&amp;index('Year Conversion'!$A:$A,match($C467,'Year Conversion'!$B:$B,0)),$Y:$Y,0))-J467,"")</f>
        <v/>
      </c>
      <c r="AB467" s="168" t="str">
        <f t="array" ref="AB467">iferror(index(K:K,match($A467&amp;","&amp;index('Year Conversion'!$A:$A,match($C467,'Year Conversion'!$B:$B,0)),$Y:$Y,0))-K467,"")</f>
        <v/>
      </c>
      <c r="AC467" s="168" t="str">
        <f t="shared" si="7"/>
        <v>TOT,2013-14</v>
      </c>
    </row>
    <row r="468">
      <c r="A468" s="161" t="str">
        <f>IFERROR(__xludf.DUMMYFUNCTION("""COMPUTED_VALUE"""),"dellama01")</f>
        <v>dellama01</v>
      </c>
      <c r="B468" s="161" t="str">
        <f>IFERROR(__xludf.DUMMYFUNCTION("""COMPUTED_VALUE"""),"Matthew Dellavedova")</f>
        <v>Matthew Dellavedova</v>
      </c>
      <c r="C468" s="162" t="str">
        <f>IFERROR(__xludf.DUMMYFUNCTION("""COMPUTED_VALUE"""),"2013-14")</f>
        <v>2013-14</v>
      </c>
      <c r="D468" s="163" t="str">
        <f>IFERROR(__xludf.DUMMYFUNCTION("""COMPUTED_VALUE"""),"CLE")</f>
        <v>CLE</v>
      </c>
      <c r="E468" s="164" t="str">
        <f>IFERROR(__xludf.DUMMYFUNCTION("""COMPUTED_VALUE"""),"Secondary Ball Handler")</f>
        <v>Secondary Ball Handler</v>
      </c>
      <c r="F468" s="164">
        <f>IFERROR(__xludf.DUMMYFUNCTION("""COMPUTED_VALUE"""),1271.07)</f>
        <v>1271.07</v>
      </c>
      <c r="G468" s="163">
        <f>IFERROR(__xludf.DUMMYFUNCTION("""COMPUTED_VALUE"""),72.0)</f>
        <v>72</v>
      </c>
      <c r="H468" s="163" t="str">
        <f>IFERROR(__xludf.DUMMYFUNCTION("""COMPUTED_VALUE"""),"SG")</f>
        <v>SG</v>
      </c>
      <c r="I468" s="163">
        <f>IFERROR(__xludf.DUMMYFUNCTION("""COMPUTED_VALUE"""),23.0)</f>
        <v>23</v>
      </c>
      <c r="J468" s="165">
        <f>IFERROR(__xludf.DUMMYFUNCTION("""COMPUTED_VALUE"""),1.3826129834784)</f>
        <v>1.382612983</v>
      </c>
      <c r="K468" s="165">
        <f>IFERROR(__xludf.DUMMYFUNCTION("""COMPUTED_VALUE"""),0.897839712928597)</f>
        <v>0.8978397129</v>
      </c>
      <c r="L468" s="165">
        <f>IFERROR(__xludf.DUMMYFUNCTION("""COMPUTED_VALUE"""),0.484773270549806)</f>
        <v>0.4847732705</v>
      </c>
      <c r="M468" s="166">
        <f t="shared" si="2"/>
        <v>3.141249592</v>
      </c>
      <c r="N468" s="167">
        <f t="shared" si="3"/>
        <v>17.65375</v>
      </c>
      <c r="O468" s="163">
        <f t="shared" ref="O468:Q468" si="472">rank(I468,I:I)</f>
        <v>2765</v>
      </c>
      <c r="P468" s="163">
        <f t="shared" si="472"/>
        <v>499</v>
      </c>
      <c r="Q468" s="163">
        <f t="shared" si="472"/>
        <v>555</v>
      </c>
      <c r="R468" s="163">
        <f>IFERROR(__xludf.DUMMYFUNCTION("RANK(M468,filter(M:M,C:C=C468))"),109.0)</f>
        <v>109</v>
      </c>
      <c r="S468" s="161" t="b">
        <f t="shared" si="5"/>
        <v>0</v>
      </c>
      <c r="T468" s="161" t="b">
        <f t="array" ref="T468">index('Query Tool'!B:B,match(H468,'Query Tool'!C:C,0))</f>
        <v>1</v>
      </c>
      <c r="U468" s="161" t="b">
        <f t="array" ref="U468">index('Query Tool'!B:B,match(C468,'Query Tool'!C:C,0))</f>
        <v>0</v>
      </c>
      <c r="V468" s="161" t="b">
        <f>F468&gt;='Query Tool'!C$32</f>
        <v>1</v>
      </c>
      <c r="W468" s="161" t="b">
        <f t="array" ref="W468">index(Dropdowns!B:B,match(I468,Dropdowns!A:A,0))</f>
        <v>1</v>
      </c>
      <c r="X468" s="161" t="b">
        <f t="array" ref="X468">index('Query Tool'!B:B,match(D468,'Query Tool'!C:C,0))</f>
        <v>1</v>
      </c>
      <c r="Y468" s="161" t="str">
        <f t="shared" si="6"/>
        <v>dellama01,2013-14</v>
      </c>
      <c r="Z468" s="168">
        <f t="array" ref="Z468">iferror(index(I:I,match($A468&amp;","&amp;index('Year Conversion'!$A:$A,match($C468,'Year Conversion'!$B:$B,0)),$Y:$Y,0))-I468,"")</f>
        <v>1</v>
      </c>
      <c r="AA468" s="168">
        <f t="array" ref="AA468">iferror(index(J:J,match($A468&amp;","&amp;index('Year Conversion'!$A:$A,match($C468,'Year Conversion'!$B:$B,0)),$Y:$Y,0))-J468,"")</f>
        <v>-3.467550126</v>
      </c>
      <c r="AB468" s="168">
        <f t="array" ref="AB468">iferror(index(K:K,match($A468&amp;","&amp;index('Year Conversion'!$A:$A,match($C468,'Year Conversion'!$B:$B,0)),$Y:$Y,0))-K468,"")</f>
        <v>-1.386063572</v>
      </c>
      <c r="AC468" s="168" t="str">
        <f t="shared" si="7"/>
        <v>CLE,2013-14</v>
      </c>
    </row>
    <row r="469">
      <c r="A469" s="161" t="str">
        <f>IFERROR(__xludf.DUMMYFUNCTION("""COMPUTED_VALUE"""),"hillso01")</f>
        <v>hillso01</v>
      </c>
      <c r="B469" s="161" t="str">
        <f>IFERROR(__xludf.DUMMYFUNCTION("""COMPUTED_VALUE"""),"Solomon Hill")</f>
        <v>Solomon Hill</v>
      </c>
      <c r="C469" s="162" t="str">
        <f>IFERROR(__xludf.DUMMYFUNCTION("""COMPUTED_VALUE"""),"2013-14")</f>
        <v>2013-14</v>
      </c>
      <c r="D469" s="163" t="str">
        <f>IFERROR(__xludf.DUMMYFUNCTION("""COMPUTED_VALUE"""),"IND")</f>
        <v>IND</v>
      </c>
      <c r="E469" s="164" t="str">
        <f>IFERROR(__xludf.DUMMYFUNCTION("""COMPUTED_VALUE"""),"Stationary Shooter")</f>
        <v>Stationary Shooter</v>
      </c>
      <c r="F469" s="164">
        <f>IFERROR(__xludf.DUMMYFUNCTION("""COMPUTED_VALUE"""),225.59)</f>
        <v>225.59</v>
      </c>
      <c r="G469" s="163">
        <f>IFERROR(__xludf.DUMMYFUNCTION("""COMPUTED_VALUE"""),28.0)</f>
        <v>28</v>
      </c>
      <c r="H469" s="163" t="str">
        <f>IFERROR(__xludf.DUMMYFUNCTION("""COMPUTED_VALUE"""),"SF")</f>
        <v>SF</v>
      </c>
      <c r="I469" s="163">
        <f>IFERROR(__xludf.DUMMYFUNCTION("""COMPUTED_VALUE"""),22.0)</f>
        <v>22</v>
      </c>
      <c r="J469" s="165">
        <f>IFERROR(__xludf.DUMMYFUNCTION("""COMPUTED_VALUE"""),-1.31242969403713)</f>
        <v>-1.312429694</v>
      </c>
      <c r="K469" s="165">
        <f>IFERROR(__xludf.DUMMYFUNCTION("""COMPUTED_VALUE"""),-0.827302221551701)</f>
        <v>-0.8273022216</v>
      </c>
      <c r="L469" s="165">
        <f>IFERROR(__xludf.DUMMYFUNCTION("""COMPUTED_VALUE"""),-0.485127472485426)</f>
        <v>-0.4851274725</v>
      </c>
      <c r="M469" s="166">
        <f t="shared" si="2"/>
        <v>0.1486527828</v>
      </c>
      <c r="N469" s="167">
        <f t="shared" si="3"/>
        <v>8.056785714</v>
      </c>
      <c r="O469" s="163">
        <f t="shared" ref="O469:Q469" si="473">rank(I469,I:I)</f>
        <v>3178</v>
      </c>
      <c r="P469" s="163">
        <f t="shared" si="473"/>
        <v>2876</v>
      </c>
      <c r="Q469" s="163">
        <f t="shared" si="473"/>
        <v>2588</v>
      </c>
      <c r="R469" s="163">
        <f>IFERROR(__xludf.DUMMYFUNCTION("RANK(M469,filter(M:M,C:C=C469))"),342.0)</f>
        <v>342</v>
      </c>
      <c r="S469" s="161" t="b">
        <f t="shared" si="5"/>
        <v>0</v>
      </c>
      <c r="T469" s="161" t="b">
        <f t="array" ref="T469">index('Query Tool'!B:B,match(H469,'Query Tool'!C:C,0))</f>
        <v>1</v>
      </c>
      <c r="U469" s="161" t="b">
        <f t="array" ref="U469">index('Query Tool'!B:B,match(C469,'Query Tool'!C:C,0))</f>
        <v>0</v>
      </c>
      <c r="V469" s="161" t="b">
        <f>F469&gt;='Query Tool'!C$32</f>
        <v>0</v>
      </c>
      <c r="W469" s="161" t="b">
        <f t="array" ref="W469">index(Dropdowns!B:B,match(I469,Dropdowns!A:A,0))</f>
        <v>1</v>
      </c>
      <c r="X469" s="161" t="b">
        <f t="array" ref="X469">index('Query Tool'!B:B,match(D469,'Query Tool'!C:C,0))</f>
        <v>1</v>
      </c>
      <c r="Y469" s="161" t="str">
        <f t="shared" si="6"/>
        <v>hillso01,2013-14</v>
      </c>
      <c r="Z469" s="168">
        <f t="array" ref="Z469">iferror(index(I:I,match($A469&amp;","&amp;index('Year Conversion'!$A:$A,match($C469,'Year Conversion'!$B:$B,0)),$Y:$Y,0))-I469,"")</f>
        <v>1</v>
      </c>
      <c r="AA469" s="168">
        <f t="array" ref="AA469">iferror(index(J:J,match($A469&amp;","&amp;index('Year Conversion'!$A:$A,match($C469,'Year Conversion'!$B:$B,0)),$Y:$Y,0))-J469,"")</f>
        <v>0.3819540736</v>
      </c>
      <c r="AB469" s="168">
        <f t="array" ref="AB469">iferror(index(K:K,match($A469&amp;","&amp;index('Year Conversion'!$A:$A,match($C469,'Year Conversion'!$B:$B,0)),$Y:$Y,0))-K469,"")</f>
        <v>-0.07393859038</v>
      </c>
      <c r="AC469" s="168" t="str">
        <f t="shared" si="7"/>
        <v>IND,2013-14</v>
      </c>
    </row>
    <row r="470">
      <c r="A470" s="161" t="str">
        <f>IFERROR(__xludf.DUMMYFUNCTION("""COMPUTED_VALUE"""),"kellyry01")</f>
        <v>kellyry01</v>
      </c>
      <c r="B470" s="161" t="str">
        <f>IFERROR(__xludf.DUMMYFUNCTION("""COMPUTED_VALUE"""),"Ryan Kelly")</f>
        <v>Ryan Kelly</v>
      </c>
      <c r="C470" s="162" t="str">
        <f>IFERROR(__xludf.DUMMYFUNCTION("""COMPUTED_VALUE"""),"2013-14")</f>
        <v>2013-14</v>
      </c>
      <c r="D470" s="163" t="str">
        <f>IFERROR(__xludf.DUMMYFUNCTION("""COMPUTED_VALUE"""),"LAL")</f>
        <v>LAL</v>
      </c>
      <c r="E470" s="164" t="str">
        <f>IFERROR(__xludf.DUMMYFUNCTION("""COMPUTED_VALUE"""),"Stationary Shooter")</f>
        <v>Stationary Shooter</v>
      </c>
      <c r="F470" s="164">
        <f>IFERROR(__xludf.DUMMYFUNCTION("""COMPUTED_VALUE"""),1311.86666666667)</f>
        <v>1311.866667</v>
      </c>
      <c r="G470" s="163">
        <f>IFERROR(__xludf.DUMMYFUNCTION("""COMPUTED_VALUE"""),59.0)</f>
        <v>59</v>
      </c>
      <c r="H470" s="163" t="str">
        <f>IFERROR(__xludf.DUMMYFUNCTION("""COMPUTED_VALUE"""),"PF")</f>
        <v>PF</v>
      </c>
      <c r="I470" s="163">
        <f>IFERROR(__xludf.DUMMYFUNCTION("""COMPUTED_VALUE"""),22.0)</f>
        <v>22</v>
      </c>
      <c r="J470" s="165">
        <f>IFERROR(__xludf.DUMMYFUNCTION("""COMPUTED_VALUE"""),-0.563027815377097)</f>
        <v>-0.5630278154</v>
      </c>
      <c r="K470" s="165">
        <f>IFERROR(__xludf.DUMMYFUNCTION("""COMPUTED_VALUE"""),-0.216790689472375)</f>
        <v>-0.2167906895</v>
      </c>
      <c r="L470" s="165">
        <f>IFERROR(__xludf.DUMMYFUNCTION("""COMPUTED_VALUE"""),-0.346237125904721)</f>
        <v>-0.3462371259</v>
      </c>
      <c r="M470" s="166">
        <f t="shared" si="2"/>
        <v>1.524711942</v>
      </c>
      <c r="N470" s="167">
        <f t="shared" si="3"/>
        <v>22.23502825</v>
      </c>
      <c r="O470" s="163">
        <f t="shared" ref="O470:Q470" si="474">rank(I470,I:I)</f>
        <v>3178</v>
      </c>
      <c r="P470" s="163">
        <f t="shared" si="474"/>
        <v>1938</v>
      </c>
      <c r="Q470" s="163">
        <f t="shared" si="474"/>
        <v>1593</v>
      </c>
      <c r="R470" s="163">
        <f>IFERROR(__xludf.DUMMYFUNCTION("RANK(M470,filter(M:M,C:C=C470))"),181.0)</f>
        <v>181</v>
      </c>
      <c r="S470" s="161" t="b">
        <f t="shared" si="5"/>
        <v>0</v>
      </c>
      <c r="T470" s="161" t="b">
        <f t="array" ref="T470">index('Query Tool'!B:B,match(H470,'Query Tool'!C:C,0))</f>
        <v>1</v>
      </c>
      <c r="U470" s="161" t="b">
        <f t="array" ref="U470">index('Query Tool'!B:B,match(C470,'Query Tool'!C:C,0))</f>
        <v>0</v>
      </c>
      <c r="V470" s="161" t="b">
        <f>F470&gt;='Query Tool'!C$32</f>
        <v>1</v>
      </c>
      <c r="W470" s="161" t="b">
        <f t="array" ref="W470">index(Dropdowns!B:B,match(I470,Dropdowns!A:A,0))</f>
        <v>1</v>
      </c>
      <c r="X470" s="161" t="b">
        <f t="array" ref="X470">index('Query Tool'!B:B,match(D470,'Query Tool'!C:C,0))</f>
        <v>1</v>
      </c>
      <c r="Y470" s="161" t="str">
        <f t="shared" si="6"/>
        <v>kellyry01,2013-14</v>
      </c>
      <c r="Z470" s="168">
        <f t="array" ref="Z470">iferror(index(I:I,match($A470&amp;","&amp;index('Year Conversion'!$A:$A,match($C470,'Year Conversion'!$B:$B,0)),$Y:$Y,0))-I470,"")</f>
        <v>1</v>
      </c>
      <c r="AA470" s="168">
        <f t="array" ref="AA470">iferror(index(J:J,match($A470&amp;","&amp;index('Year Conversion'!$A:$A,match($C470,'Year Conversion'!$B:$B,0)),$Y:$Y,0))-J470,"")</f>
        <v>-0.5679579157</v>
      </c>
      <c r="AB470" s="168">
        <f t="array" ref="AB470">iferror(index(K:K,match($A470&amp;","&amp;index('Year Conversion'!$A:$A,match($C470,'Year Conversion'!$B:$B,0)),$Y:$Y,0))-K470,"")</f>
        <v>-1.073516829</v>
      </c>
      <c r="AC470" s="168" t="str">
        <f t="shared" si="7"/>
        <v>LAL,2013-14</v>
      </c>
    </row>
    <row r="471">
      <c r="A471" s="161" t="str">
        <f>IFERROR(__xludf.DUMMYFUNCTION("""COMPUTED_VALUE"""),"mekelga01")</f>
        <v>mekelga01</v>
      </c>
      <c r="B471" s="161" t="str">
        <f>IFERROR(__xludf.DUMMYFUNCTION("""COMPUTED_VALUE"""),"Gal Mekel")</f>
        <v>Gal Mekel</v>
      </c>
      <c r="C471" s="162" t="str">
        <f>IFERROR(__xludf.DUMMYFUNCTION("""COMPUTED_VALUE"""),"2013-14")</f>
        <v>2013-14</v>
      </c>
      <c r="D471" s="163" t="str">
        <f>IFERROR(__xludf.DUMMYFUNCTION("""COMPUTED_VALUE"""),"DAL")</f>
        <v>DAL</v>
      </c>
      <c r="E471" s="164" t="str">
        <f>IFERROR(__xludf.DUMMYFUNCTION("""COMPUTED_VALUE"""),"Slasher")</f>
        <v>Slasher</v>
      </c>
      <c r="F471" s="164">
        <f>IFERROR(__xludf.DUMMYFUNCTION("""COMPUTED_VALUE"""),291.691666666667)</f>
        <v>291.6916667</v>
      </c>
      <c r="G471" s="163">
        <f>IFERROR(__xludf.DUMMYFUNCTION("""COMPUTED_VALUE"""),31.0)</f>
        <v>31</v>
      </c>
      <c r="H471" s="163" t="str">
        <f>IFERROR(__xludf.DUMMYFUNCTION("""COMPUTED_VALUE"""),"PG")</f>
        <v>PG</v>
      </c>
      <c r="I471" s="163">
        <f>IFERROR(__xludf.DUMMYFUNCTION("""COMPUTED_VALUE"""),25.0)</f>
        <v>25</v>
      </c>
      <c r="J471" s="165">
        <f>IFERROR(__xludf.DUMMYFUNCTION("""COMPUTED_VALUE"""),-2.80565534177841)</f>
        <v>-2.805655342</v>
      </c>
      <c r="K471" s="165">
        <f>IFERROR(__xludf.DUMMYFUNCTION("""COMPUTED_VALUE"""),-1.62259584716559)</f>
        <v>-1.622595847</v>
      </c>
      <c r="L471" s="165">
        <f>IFERROR(__xludf.DUMMYFUNCTION("""COMPUTED_VALUE"""),-1.18305949461282)</f>
        <v>-1.183059495</v>
      </c>
      <c r="M471" s="166">
        <f t="shared" si="2"/>
        <v>-0.09610084767</v>
      </c>
      <c r="N471" s="167">
        <f t="shared" si="3"/>
        <v>9.409408602</v>
      </c>
      <c r="O471" s="163">
        <f t="shared" ref="O471:Q471" si="475">rank(I471,I:I)</f>
        <v>1995</v>
      </c>
      <c r="P471" s="163">
        <f t="shared" si="475"/>
        <v>3846</v>
      </c>
      <c r="Q471" s="163">
        <f t="shared" si="475"/>
        <v>3462</v>
      </c>
      <c r="R471" s="163">
        <f>IFERROR(__xludf.DUMMYFUNCTION("RANK(M471,filter(M:M,C:C=C471))"),443.0)</f>
        <v>443</v>
      </c>
      <c r="S471" s="161" t="b">
        <f t="shared" si="5"/>
        <v>0</v>
      </c>
      <c r="T471" s="161" t="b">
        <f t="array" ref="T471">index('Query Tool'!B:B,match(H471,'Query Tool'!C:C,0))</f>
        <v>1</v>
      </c>
      <c r="U471" s="161" t="b">
        <f t="array" ref="U471">index('Query Tool'!B:B,match(C471,'Query Tool'!C:C,0))</f>
        <v>0</v>
      </c>
      <c r="V471" s="161" t="b">
        <f>F471&gt;='Query Tool'!C$32</f>
        <v>0</v>
      </c>
      <c r="W471" s="161" t="b">
        <f t="array" ref="W471">index(Dropdowns!B:B,match(I471,Dropdowns!A:A,0))</f>
        <v>1</v>
      </c>
      <c r="X471" s="161" t="b">
        <f t="array" ref="X471">index('Query Tool'!B:B,match(D471,'Query Tool'!C:C,0))</f>
        <v>1</v>
      </c>
      <c r="Y471" s="161" t="str">
        <f t="shared" si="6"/>
        <v>mekelga01,2013-14</v>
      </c>
      <c r="Z471" s="168">
        <f t="array" ref="Z471">iferror(index(I:I,match($A471&amp;","&amp;index('Year Conversion'!$A:$A,match($C471,'Year Conversion'!$B:$B,0)),$Y:$Y,0))-I471,"")</f>
        <v>1</v>
      </c>
      <c r="AA471" s="168">
        <f t="array" ref="AA471">iferror(index(J:J,match($A471&amp;","&amp;index('Year Conversion'!$A:$A,match($C471,'Year Conversion'!$B:$B,0)),$Y:$Y,0))-J471,"")</f>
        <v>2.105699314</v>
      </c>
      <c r="AB471" s="168">
        <f t="array" ref="AB471">iferror(index(K:K,match($A471&amp;","&amp;index('Year Conversion'!$A:$A,match($C471,'Year Conversion'!$B:$B,0)),$Y:$Y,0))-K471,"")</f>
        <v>1.509907762</v>
      </c>
      <c r="AC471" s="168" t="str">
        <f t="shared" si="7"/>
        <v>DAL,2013-14</v>
      </c>
    </row>
    <row r="472">
      <c r="A472" s="161" t="str">
        <f>IFERROR(__xludf.DUMMYFUNCTION("""COMPUTED_VALUE"""),"datomlu01")</f>
        <v>datomlu01</v>
      </c>
      <c r="B472" s="161" t="str">
        <f>IFERROR(__xludf.DUMMYFUNCTION("""COMPUTED_VALUE"""),"Gigi Datome")</f>
        <v>Gigi Datome</v>
      </c>
      <c r="C472" s="162" t="str">
        <f>IFERROR(__xludf.DUMMYFUNCTION("""COMPUTED_VALUE"""),"2013-14")</f>
        <v>2013-14</v>
      </c>
      <c r="D472" s="163" t="str">
        <f>IFERROR(__xludf.DUMMYFUNCTION("""COMPUTED_VALUE"""),"DET")</f>
        <v>DET</v>
      </c>
      <c r="E472" s="164" t="str">
        <f>IFERROR(__xludf.DUMMYFUNCTION("""COMPUTED_VALUE"""),"Stationary Shooter")</f>
        <v>Stationary Shooter</v>
      </c>
      <c r="F472" s="164">
        <f>IFERROR(__xludf.DUMMYFUNCTION("""COMPUTED_VALUE"""),237.546666666667)</f>
        <v>237.5466667</v>
      </c>
      <c r="G472" s="163">
        <f>IFERROR(__xludf.DUMMYFUNCTION("""COMPUTED_VALUE"""),34.0)</f>
        <v>34</v>
      </c>
      <c r="H472" s="163" t="str">
        <f>IFERROR(__xludf.DUMMYFUNCTION("""COMPUTED_VALUE"""),"SF")</f>
        <v>SF</v>
      </c>
      <c r="I472" s="163">
        <f>IFERROR(__xludf.DUMMYFUNCTION("""COMPUTED_VALUE"""),26.0)</f>
        <v>26</v>
      </c>
      <c r="J472" s="165">
        <f>IFERROR(__xludf.DUMMYFUNCTION("""COMPUTED_VALUE"""),-0.320227826320344)</f>
        <v>-0.3202278263</v>
      </c>
      <c r="K472" s="165">
        <f>IFERROR(__xludf.DUMMYFUNCTION("""COMPUTED_VALUE"""),0.0979072274297485)</f>
        <v>0.09790722743</v>
      </c>
      <c r="L472" s="165">
        <f>IFERROR(__xludf.DUMMYFUNCTION("""COMPUTED_VALUE"""),-0.418135053750093)</f>
        <v>-0.4181350538</v>
      </c>
      <c r="M472" s="166">
        <f t="shared" si="2"/>
        <v>0.3149401017</v>
      </c>
      <c r="N472" s="167">
        <f t="shared" si="3"/>
        <v>6.986666667</v>
      </c>
      <c r="O472" s="163">
        <f t="shared" ref="O472:Q472" si="476">rank(I472,I:I)</f>
        <v>1665</v>
      </c>
      <c r="P472" s="163">
        <f t="shared" si="476"/>
        <v>1639</v>
      </c>
      <c r="Q472" s="163">
        <f t="shared" si="476"/>
        <v>1070</v>
      </c>
      <c r="R472" s="163">
        <f>IFERROR(__xludf.DUMMYFUNCTION("RANK(M472,filter(M:M,C:C=C472))"),299.0)</f>
        <v>299</v>
      </c>
      <c r="S472" s="161" t="b">
        <f t="shared" si="5"/>
        <v>0</v>
      </c>
      <c r="T472" s="161" t="b">
        <f t="array" ref="T472">index('Query Tool'!B:B,match(H472,'Query Tool'!C:C,0))</f>
        <v>1</v>
      </c>
      <c r="U472" s="161" t="b">
        <f t="array" ref="U472">index('Query Tool'!B:B,match(C472,'Query Tool'!C:C,0))</f>
        <v>0</v>
      </c>
      <c r="V472" s="161" t="b">
        <f>F472&gt;='Query Tool'!C$32</f>
        <v>0</v>
      </c>
      <c r="W472" s="161" t="b">
        <f t="array" ref="W472">index(Dropdowns!B:B,match(I472,Dropdowns!A:A,0))</f>
        <v>1</v>
      </c>
      <c r="X472" s="161" t="b">
        <f t="array" ref="X472">index('Query Tool'!B:B,match(D472,'Query Tool'!C:C,0))</f>
        <v>1</v>
      </c>
      <c r="Y472" s="161" t="str">
        <f t="shared" si="6"/>
        <v>datomlu01,2013-14</v>
      </c>
      <c r="Z472" s="168">
        <f t="array" ref="Z472">iferror(index(I:I,match($A472&amp;","&amp;index('Year Conversion'!$A:$A,match($C472,'Year Conversion'!$B:$B,0)),$Y:$Y,0))-I472,"")</f>
        <v>1</v>
      </c>
      <c r="AA472" s="168">
        <f t="array" ref="AA472">iferror(index(J:J,match($A472&amp;","&amp;index('Year Conversion'!$A:$A,match($C472,'Year Conversion'!$B:$B,0)),$Y:$Y,0))-J472,"")</f>
        <v>0.09999639559</v>
      </c>
      <c r="AB472" s="168">
        <f t="array" ref="AB472">iferror(index(K:K,match($A472&amp;","&amp;index('Year Conversion'!$A:$A,match($C472,'Year Conversion'!$B:$B,0)),$Y:$Y,0))-K472,"")</f>
        <v>-0.3917540889</v>
      </c>
      <c r="AC472" s="168" t="str">
        <f t="shared" si="7"/>
        <v>DET,2013-14</v>
      </c>
    </row>
    <row r="473">
      <c r="A473" s="161" t="str">
        <f>IFERROR(__xludf.DUMMYFUNCTION("""COMPUTED_VALUE"""),"favervi01")</f>
        <v>favervi01</v>
      </c>
      <c r="B473" s="161" t="str">
        <f>IFERROR(__xludf.DUMMYFUNCTION("""COMPUTED_VALUE"""),"Vitor Faverani")</f>
        <v>Vitor Faverani</v>
      </c>
      <c r="C473" s="162" t="str">
        <f>IFERROR(__xludf.DUMMYFUNCTION("""COMPUTED_VALUE"""),"2013-14")</f>
        <v>2013-14</v>
      </c>
      <c r="D473" s="163" t="str">
        <f>IFERROR(__xludf.DUMMYFUNCTION("""COMPUTED_VALUE"""),"BOS")</f>
        <v>BOS</v>
      </c>
      <c r="E473" s="164" t="str">
        <f>IFERROR(__xludf.DUMMYFUNCTION("""COMPUTED_VALUE"""),"Versatile Big")</f>
        <v>Versatile Big</v>
      </c>
      <c r="F473" s="164">
        <f>IFERROR(__xludf.DUMMYFUNCTION("""COMPUTED_VALUE"""),487.615)</f>
        <v>487.615</v>
      </c>
      <c r="G473" s="163">
        <f>IFERROR(__xludf.DUMMYFUNCTION("""COMPUTED_VALUE"""),37.0)</f>
        <v>37</v>
      </c>
      <c r="H473" s="163" t="str">
        <f>IFERROR(__xludf.DUMMYFUNCTION("""COMPUTED_VALUE"""),"C")</f>
        <v>C</v>
      </c>
      <c r="I473" s="163">
        <f>IFERROR(__xludf.DUMMYFUNCTION("""COMPUTED_VALUE"""),25.0)</f>
        <v>25</v>
      </c>
      <c r="J473" s="165">
        <f>IFERROR(__xludf.DUMMYFUNCTION("""COMPUTED_VALUE"""),-1.14896810035)</f>
        <v>-1.1489681</v>
      </c>
      <c r="K473" s="165">
        <f>IFERROR(__xludf.DUMMYFUNCTION("""COMPUTED_VALUE"""),-1.94945911307229)</f>
        <v>-1.949459113</v>
      </c>
      <c r="L473" s="165">
        <f>IFERROR(__xludf.DUMMYFUNCTION("""COMPUTED_VALUE"""),0.800491012722282)</f>
        <v>0.8004910127</v>
      </c>
      <c r="M473" s="166">
        <f t="shared" si="2"/>
        <v>0.3747133731</v>
      </c>
      <c r="N473" s="167">
        <f t="shared" si="3"/>
        <v>13.17878378</v>
      </c>
      <c r="O473" s="163">
        <f t="shared" ref="O473:Q473" si="477">rank(I473,I:I)</f>
        <v>1995</v>
      </c>
      <c r="P473" s="163">
        <f t="shared" si="477"/>
        <v>2679</v>
      </c>
      <c r="Q473" s="163">
        <f t="shared" si="477"/>
        <v>3685</v>
      </c>
      <c r="R473" s="163">
        <f>IFERROR(__xludf.DUMMYFUNCTION("RANK(M473,filter(M:M,C:C=C473))"),290.0)</f>
        <v>290</v>
      </c>
      <c r="S473" s="161" t="b">
        <f t="shared" si="5"/>
        <v>0</v>
      </c>
      <c r="T473" s="161" t="b">
        <f t="array" ref="T473">index('Query Tool'!B:B,match(H473,'Query Tool'!C:C,0))</f>
        <v>1</v>
      </c>
      <c r="U473" s="161" t="b">
        <f t="array" ref="U473">index('Query Tool'!B:B,match(C473,'Query Tool'!C:C,0))</f>
        <v>0</v>
      </c>
      <c r="V473" s="161" t="b">
        <f>F473&gt;='Query Tool'!C$32</f>
        <v>0</v>
      </c>
      <c r="W473" s="161" t="b">
        <f t="array" ref="W473">index(Dropdowns!B:B,match(I473,Dropdowns!A:A,0))</f>
        <v>1</v>
      </c>
      <c r="X473" s="161" t="b">
        <f t="array" ref="X473">index('Query Tool'!B:B,match(D473,'Query Tool'!C:C,0))</f>
        <v>1</v>
      </c>
      <c r="Y473" s="161" t="str">
        <f t="shared" si="6"/>
        <v>favervi01,2013-14</v>
      </c>
      <c r="Z473" s="168" t="str">
        <f t="array" ref="Z473">iferror(index(I:I,match($A473&amp;","&amp;index('Year Conversion'!$A:$A,match($C473,'Year Conversion'!$B:$B,0)),$Y:$Y,0))-I473,"")</f>
        <v/>
      </c>
      <c r="AA473" s="168" t="str">
        <f t="array" ref="AA473">iferror(index(J:J,match($A473&amp;","&amp;index('Year Conversion'!$A:$A,match($C473,'Year Conversion'!$B:$B,0)),$Y:$Y,0))-J473,"")</f>
        <v/>
      </c>
      <c r="AB473" s="168" t="str">
        <f t="array" ref="AB473">iferror(index(K:K,match($A473&amp;","&amp;index('Year Conversion'!$A:$A,match($C473,'Year Conversion'!$B:$B,0)),$Y:$Y,0))-K473,"")</f>
        <v/>
      </c>
      <c r="AC473" s="168" t="str">
        <f t="shared" si="7"/>
        <v>BOS,2013-14</v>
      </c>
    </row>
    <row r="474">
      <c r="A474" s="161" t="str">
        <f>IFERROR(__xludf.DUMMYFUNCTION("""COMPUTED_VALUE"""),"anticpe01")</f>
        <v>anticpe01</v>
      </c>
      <c r="B474" s="161" t="str">
        <f>IFERROR(__xludf.DUMMYFUNCTION("""COMPUTED_VALUE"""),"Pero Antic")</f>
        <v>Pero Antic</v>
      </c>
      <c r="C474" s="162" t="str">
        <f>IFERROR(__xludf.DUMMYFUNCTION("""COMPUTED_VALUE"""),"2013-14")</f>
        <v>2013-14</v>
      </c>
      <c r="D474" s="163" t="str">
        <f>IFERROR(__xludf.DUMMYFUNCTION("""COMPUTED_VALUE"""),"ATL")</f>
        <v>ATL</v>
      </c>
      <c r="E474" s="164" t="str">
        <f>IFERROR(__xludf.DUMMYFUNCTION("""COMPUTED_VALUE"""),"Stretch Big")</f>
        <v>Stretch Big</v>
      </c>
      <c r="F474" s="164">
        <f>IFERROR(__xludf.DUMMYFUNCTION("""COMPUTED_VALUE"""),924.808333333333)</f>
        <v>924.8083333</v>
      </c>
      <c r="G474" s="163">
        <f>IFERROR(__xludf.DUMMYFUNCTION("""COMPUTED_VALUE"""),50.0)</f>
        <v>50</v>
      </c>
      <c r="H474" s="163" t="str">
        <f>IFERROR(__xludf.DUMMYFUNCTION("""COMPUTED_VALUE"""),"C")</f>
        <v>C</v>
      </c>
      <c r="I474" s="163">
        <f>IFERROR(__xludf.DUMMYFUNCTION("""COMPUTED_VALUE"""),31.0)</f>
        <v>31</v>
      </c>
      <c r="J474" s="165">
        <f>IFERROR(__xludf.DUMMYFUNCTION("""COMPUTED_VALUE"""),0.0937843120674892)</f>
        <v>0.09378431207</v>
      </c>
      <c r="K474" s="165">
        <f>IFERROR(__xludf.DUMMYFUNCTION("""COMPUTED_VALUE"""),-0.127159464668343)</f>
        <v>-0.1271594647</v>
      </c>
      <c r="L474" s="165">
        <f>IFERROR(__xludf.DUMMYFUNCTION("""COMPUTED_VALUE"""),0.220943776735832)</f>
        <v>0.2209437767</v>
      </c>
      <c r="M474" s="166">
        <f t="shared" si="2"/>
        <v>1.484219643</v>
      </c>
      <c r="N474" s="167">
        <f t="shared" si="3"/>
        <v>18.49616667</v>
      </c>
      <c r="O474" s="163">
        <f t="shared" ref="O474:Q474" si="478">rank(I474,I:I)</f>
        <v>490</v>
      </c>
      <c r="P474" s="163">
        <f t="shared" si="478"/>
        <v>1194</v>
      </c>
      <c r="Q474" s="163">
        <f t="shared" si="478"/>
        <v>1428</v>
      </c>
      <c r="R474" s="163">
        <f>IFERROR(__xludf.DUMMYFUNCTION("RANK(M474,filter(M:M,C:C=C474))"),186.0)</f>
        <v>186</v>
      </c>
      <c r="S474" s="161" t="b">
        <f t="shared" si="5"/>
        <v>0</v>
      </c>
      <c r="T474" s="161" t="b">
        <f t="array" ref="T474">index('Query Tool'!B:B,match(H474,'Query Tool'!C:C,0))</f>
        <v>1</v>
      </c>
      <c r="U474" s="161" t="b">
        <f t="array" ref="U474">index('Query Tool'!B:B,match(C474,'Query Tool'!C:C,0))</f>
        <v>0</v>
      </c>
      <c r="V474" s="161" t="b">
        <f>F474&gt;='Query Tool'!C$32</f>
        <v>1</v>
      </c>
      <c r="W474" s="161" t="b">
        <f t="array" ref="W474">index(Dropdowns!B:B,match(I474,Dropdowns!A:A,0))</f>
        <v>1</v>
      </c>
      <c r="X474" s="161" t="b">
        <f t="array" ref="X474">index('Query Tool'!B:B,match(D474,'Query Tool'!C:C,0))</f>
        <v>1</v>
      </c>
      <c r="Y474" s="161" t="str">
        <f t="shared" si="6"/>
        <v>anticpe01,2013-14</v>
      </c>
      <c r="Z474" s="168">
        <f t="array" ref="Z474">iferror(index(I:I,match($A474&amp;","&amp;index('Year Conversion'!$A:$A,match($C474,'Year Conversion'!$B:$B,0)),$Y:$Y,0))-I474,"")</f>
        <v>1</v>
      </c>
      <c r="AA474" s="168">
        <f t="array" ref="AA474">iferror(index(J:J,match($A474&amp;","&amp;index('Year Conversion'!$A:$A,match($C474,'Year Conversion'!$B:$B,0)),$Y:$Y,0))-J474,"")</f>
        <v>0.2349535609</v>
      </c>
      <c r="AB474" s="168">
        <f t="array" ref="AB474">iferror(index(K:K,match($A474&amp;","&amp;index('Year Conversion'!$A:$A,match($C474,'Year Conversion'!$B:$B,0)),$Y:$Y,0))-K474,"")</f>
        <v>0.1768208708</v>
      </c>
      <c r="AC474" s="168" t="str">
        <f t="shared" si="7"/>
        <v>ATL,2013-14</v>
      </c>
    </row>
    <row r="475">
      <c r="A475" s="161" t="str">
        <f>IFERROR(__xludf.DUMMYFUNCTION("""COMPUTED_VALUE"""),"radulmi01")</f>
        <v>radulmi01</v>
      </c>
      <c r="B475" s="161" t="str">
        <f>IFERROR(__xludf.DUMMYFUNCTION("""COMPUTED_VALUE"""),"Miroslav Raduljica")</f>
        <v>Miroslav Raduljica</v>
      </c>
      <c r="C475" s="162" t="str">
        <f>IFERROR(__xludf.DUMMYFUNCTION("""COMPUTED_VALUE"""),"2013-14")</f>
        <v>2013-14</v>
      </c>
      <c r="D475" s="163" t="str">
        <f>IFERROR(__xludf.DUMMYFUNCTION("""COMPUTED_VALUE"""),"MIL")</f>
        <v>MIL</v>
      </c>
      <c r="E475" s="164" t="str">
        <f>IFERROR(__xludf.DUMMYFUNCTION("""COMPUTED_VALUE"""),"Post Scorer")</f>
        <v>Post Scorer</v>
      </c>
      <c r="F475" s="164">
        <f>IFERROR(__xludf.DUMMYFUNCTION("""COMPUTED_VALUE"""),464.546666666667)</f>
        <v>464.5466667</v>
      </c>
      <c r="G475" s="163">
        <f>IFERROR(__xludf.DUMMYFUNCTION("""COMPUTED_VALUE"""),48.0)</f>
        <v>48</v>
      </c>
      <c r="H475" s="163" t="str">
        <f>IFERROR(__xludf.DUMMYFUNCTION("""COMPUTED_VALUE"""),"C")</f>
        <v>C</v>
      </c>
      <c r="I475" s="163">
        <f>IFERROR(__xludf.DUMMYFUNCTION("""COMPUTED_VALUE"""),26.0)</f>
        <v>26</v>
      </c>
      <c r="J475" s="165">
        <f>IFERROR(__xludf.DUMMYFUNCTION("""COMPUTED_VALUE"""),-0.740343262732017)</f>
        <v>-0.7403432627</v>
      </c>
      <c r="K475" s="165">
        <f>IFERROR(__xludf.DUMMYFUNCTION("""COMPUTED_VALUE"""),-0.412180018417956)</f>
        <v>-0.4121800184</v>
      </c>
      <c r="L475" s="165">
        <f>IFERROR(__xludf.DUMMYFUNCTION("""COMPUTED_VALUE"""),-0.328163244314061)</f>
        <v>-0.3281632443</v>
      </c>
      <c r="M475" s="166">
        <f t="shared" si="2"/>
        <v>0.4844824463</v>
      </c>
      <c r="N475" s="167">
        <f t="shared" si="3"/>
        <v>9.678055556</v>
      </c>
      <c r="O475" s="163">
        <f t="shared" ref="O475:Q475" si="479">rank(I475,I:I)</f>
        <v>1665</v>
      </c>
      <c r="P475" s="163">
        <f t="shared" si="479"/>
        <v>2202</v>
      </c>
      <c r="Q475" s="163">
        <f t="shared" si="479"/>
        <v>1966</v>
      </c>
      <c r="R475" s="163">
        <f>IFERROR(__xludf.DUMMYFUNCTION("RANK(M475,filter(M:M,C:C=C475))"),277.0)</f>
        <v>277</v>
      </c>
      <c r="S475" s="161" t="b">
        <f t="shared" si="5"/>
        <v>0</v>
      </c>
      <c r="T475" s="161" t="b">
        <f t="array" ref="T475">index('Query Tool'!B:B,match(H475,'Query Tool'!C:C,0))</f>
        <v>1</v>
      </c>
      <c r="U475" s="161" t="b">
        <f t="array" ref="U475">index('Query Tool'!B:B,match(C475,'Query Tool'!C:C,0))</f>
        <v>0</v>
      </c>
      <c r="V475" s="161" t="b">
        <f>F475&gt;='Query Tool'!C$32</f>
        <v>0</v>
      </c>
      <c r="W475" s="161" t="b">
        <f t="array" ref="W475">index(Dropdowns!B:B,match(I475,Dropdowns!A:A,0))</f>
        <v>1</v>
      </c>
      <c r="X475" s="161" t="b">
        <f t="array" ref="X475">index('Query Tool'!B:B,match(D475,'Query Tool'!C:C,0))</f>
        <v>1</v>
      </c>
      <c r="Y475" s="161" t="str">
        <f t="shared" si="6"/>
        <v>radulmi01,2013-14</v>
      </c>
      <c r="Z475" s="168">
        <f t="array" ref="Z475">iferror(index(I:I,match($A475&amp;","&amp;index('Year Conversion'!$A:$A,match($C475,'Year Conversion'!$B:$B,0)),$Y:$Y,0))-I475,"")</f>
        <v>1</v>
      </c>
      <c r="AA475" s="168">
        <f t="array" ref="AA475">iferror(index(J:J,match($A475&amp;","&amp;index('Year Conversion'!$A:$A,match($C475,'Year Conversion'!$B:$B,0)),$Y:$Y,0))-J475,"")</f>
        <v>0.5712845008</v>
      </c>
      <c r="AB475" s="168">
        <f t="array" ref="AB475">iferror(index(K:K,match($A475&amp;","&amp;index('Year Conversion'!$A:$A,match($C475,'Year Conversion'!$B:$B,0)),$Y:$Y,0))-K475,"")</f>
        <v>0.2775874454</v>
      </c>
      <c r="AC475" s="168" t="str">
        <f t="shared" si="7"/>
        <v>MIL,2013-14</v>
      </c>
    </row>
    <row r="476">
      <c r="A476" s="161" t="str">
        <f>IFERROR(__xludf.DUMMYFUNCTION("""COMPUTED_VALUE"""),"clarkia01")</f>
        <v>clarkia01</v>
      </c>
      <c r="B476" s="161" t="str">
        <f>IFERROR(__xludf.DUMMYFUNCTION("""COMPUTED_VALUE"""),"Ian Clark")</f>
        <v>Ian Clark</v>
      </c>
      <c r="C476" s="162" t="str">
        <f>IFERROR(__xludf.DUMMYFUNCTION("""COMPUTED_VALUE"""),"2013-14")</f>
        <v>2013-14</v>
      </c>
      <c r="D476" s="163" t="str">
        <f>IFERROR(__xludf.DUMMYFUNCTION("""COMPUTED_VALUE"""),"UTA")</f>
        <v>UTA</v>
      </c>
      <c r="E476" s="164" t="str">
        <f>IFERROR(__xludf.DUMMYFUNCTION("""COMPUTED_VALUE"""),"Movement Shooter")</f>
        <v>Movement Shooter</v>
      </c>
      <c r="F476" s="164">
        <f>IFERROR(__xludf.DUMMYFUNCTION("""COMPUTED_VALUE"""),171.596666666667)</f>
        <v>171.5966667</v>
      </c>
      <c r="G476" s="163">
        <f>IFERROR(__xludf.DUMMYFUNCTION("""COMPUTED_VALUE"""),23.0)</f>
        <v>23</v>
      </c>
      <c r="H476" s="163" t="str">
        <f>IFERROR(__xludf.DUMMYFUNCTION("""COMPUTED_VALUE"""),"SG")</f>
        <v>SG</v>
      </c>
      <c r="I476" s="163">
        <f>IFERROR(__xludf.DUMMYFUNCTION("""COMPUTED_VALUE"""),22.0)</f>
        <v>22</v>
      </c>
      <c r="J476" s="165">
        <f>IFERROR(__xludf.DUMMYFUNCTION("""COMPUTED_VALUE"""),-0.327714717327872)</f>
        <v>-0.3277147173</v>
      </c>
      <c r="K476" s="165">
        <f>IFERROR(__xludf.DUMMYFUNCTION("""COMPUTED_VALUE"""),-0.0696604819600496)</f>
        <v>-0.06966048196</v>
      </c>
      <c r="L476" s="165">
        <f>IFERROR(__xludf.DUMMYFUNCTION("""COMPUTED_VALUE"""),-0.258054235367822)</f>
        <v>-0.2580542354</v>
      </c>
      <c r="M476" s="166">
        <f t="shared" si="2"/>
        <v>0.2266376187</v>
      </c>
      <c r="N476" s="167">
        <f t="shared" si="3"/>
        <v>7.460724638</v>
      </c>
      <c r="O476" s="163">
        <f t="shared" ref="O476:Q476" si="480">rank(I476,I:I)</f>
        <v>3178</v>
      </c>
      <c r="P476" s="163">
        <f t="shared" si="480"/>
        <v>1649</v>
      </c>
      <c r="Q476" s="163">
        <f t="shared" si="480"/>
        <v>1306</v>
      </c>
      <c r="R476" s="163">
        <f>IFERROR(__xludf.DUMMYFUNCTION("RANK(M476,filter(M:M,C:C=C476))"),314.0)</f>
        <v>314</v>
      </c>
      <c r="S476" s="161" t="b">
        <f t="shared" si="5"/>
        <v>0</v>
      </c>
      <c r="T476" s="161" t="b">
        <f t="array" ref="T476">index('Query Tool'!B:B,match(H476,'Query Tool'!C:C,0))</f>
        <v>1</v>
      </c>
      <c r="U476" s="161" t="b">
        <f t="array" ref="U476">index('Query Tool'!B:B,match(C476,'Query Tool'!C:C,0))</f>
        <v>0</v>
      </c>
      <c r="V476" s="161" t="b">
        <f>F476&gt;='Query Tool'!C$32</f>
        <v>0</v>
      </c>
      <c r="W476" s="161" t="b">
        <f t="array" ref="W476">index(Dropdowns!B:B,match(I476,Dropdowns!A:A,0))</f>
        <v>1</v>
      </c>
      <c r="X476" s="161" t="b">
        <f t="array" ref="X476">index('Query Tool'!B:B,match(D476,'Query Tool'!C:C,0))</f>
        <v>1</v>
      </c>
      <c r="Y476" s="161" t="str">
        <f t="shared" si="6"/>
        <v>clarkia01,2013-14</v>
      </c>
      <c r="Z476" s="168">
        <f t="array" ref="Z476">iferror(index(I:I,match($A476&amp;","&amp;index('Year Conversion'!$A:$A,match($C476,'Year Conversion'!$B:$B,0)),$Y:$Y,0))-I476,"")</f>
        <v>1</v>
      </c>
      <c r="AA476" s="168">
        <f t="array" ref="AA476">iferror(index(J:J,match($A476&amp;","&amp;index('Year Conversion'!$A:$A,match($C476,'Year Conversion'!$B:$B,0)),$Y:$Y,0))-J476,"")</f>
        <v>-0.8381860224</v>
      </c>
      <c r="AB476" s="168">
        <f t="array" ref="AB476">iferror(index(K:K,match($A476&amp;","&amp;index('Year Conversion'!$A:$A,match($C476,'Year Conversion'!$B:$B,0)),$Y:$Y,0))-K476,"")</f>
        <v>-0.4394921848</v>
      </c>
      <c r="AC476" s="168" t="str">
        <f t="shared" si="7"/>
        <v>UTA,2013-14</v>
      </c>
    </row>
    <row r="477">
      <c r="A477" s="161" t="str">
        <f>IFERROR(__xludf.DUMMYFUNCTION("""COMPUTED_VALUE"""),"harriel01")</f>
        <v>harriel01</v>
      </c>
      <c r="B477" s="161" t="str">
        <f>IFERROR(__xludf.DUMMYFUNCTION("""COMPUTED_VALUE"""),"Elias Harris")</f>
        <v>Elias Harris</v>
      </c>
      <c r="C477" s="162" t="str">
        <f>IFERROR(__xludf.DUMMYFUNCTION("""COMPUTED_VALUE"""),"2013-14")</f>
        <v>2013-14</v>
      </c>
      <c r="D477" s="163" t="str">
        <f>IFERROR(__xludf.DUMMYFUNCTION("""COMPUTED_VALUE"""),"LAL")</f>
        <v>LAL</v>
      </c>
      <c r="E477" s="164" t="str">
        <f>IFERROR(__xludf.DUMMYFUNCTION("""COMPUTED_VALUE"""),"Secondary Ball Handler")</f>
        <v>Secondary Ball Handler</v>
      </c>
      <c r="F477" s="164">
        <f>IFERROR(__xludf.DUMMYFUNCTION("""COMPUTED_VALUE"""),11.3833333333333)</f>
        <v>11.38333333</v>
      </c>
      <c r="G477" s="163">
        <f>IFERROR(__xludf.DUMMYFUNCTION("""COMPUTED_VALUE"""),2.0)</f>
        <v>2</v>
      </c>
      <c r="H477" s="163" t="str">
        <f>IFERROR(__xludf.DUMMYFUNCTION("""COMPUTED_VALUE"""),"SF")</f>
        <v>SF</v>
      </c>
      <c r="I477" s="163">
        <f>IFERROR(__xludf.DUMMYFUNCTION("""COMPUTED_VALUE"""),24.0)</f>
        <v>24</v>
      </c>
      <c r="J477" s="165">
        <f>IFERROR(__xludf.DUMMYFUNCTION("""COMPUTED_VALUE"""),-0.727108657101703)</f>
        <v>-0.7271086571</v>
      </c>
      <c r="K477" s="165">
        <f>IFERROR(__xludf.DUMMYFUNCTION("""COMPUTED_VALUE"""),-0.307913956719713)</f>
        <v>-0.3079139567</v>
      </c>
      <c r="L477" s="165">
        <f>IFERROR(__xludf.DUMMYFUNCTION("""COMPUTED_VALUE"""),-0.41919470038199)</f>
        <v>-0.4191947004</v>
      </c>
      <c r="M477" s="166">
        <f t="shared" si="2"/>
        <v>0.01197318498</v>
      </c>
      <c r="N477" s="167">
        <f t="shared" si="3"/>
        <v>5.691666667</v>
      </c>
      <c r="O477" s="163">
        <f t="shared" ref="O477:Q477" si="481">rank(I477,I:I)</f>
        <v>2361</v>
      </c>
      <c r="P477" s="163">
        <f t="shared" si="481"/>
        <v>2184</v>
      </c>
      <c r="Q477" s="163">
        <f t="shared" si="481"/>
        <v>1772</v>
      </c>
      <c r="R477" s="163">
        <f>IFERROR(__xludf.DUMMYFUNCTION("RANK(M477,filter(M:M,C:C=C477))"),422.0)</f>
        <v>422</v>
      </c>
      <c r="S477" s="161" t="b">
        <f t="shared" si="5"/>
        <v>0</v>
      </c>
      <c r="T477" s="161" t="b">
        <f t="array" ref="T477">index('Query Tool'!B:B,match(H477,'Query Tool'!C:C,0))</f>
        <v>1</v>
      </c>
      <c r="U477" s="161" t="b">
        <f t="array" ref="U477">index('Query Tool'!B:B,match(C477,'Query Tool'!C:C,0))</f>
        <v>0</v>
      </c>
      <c r="V477" s="161" t="b">
        <f>F477&gt;='Query Tool'!C$32</f>
        <v>0</v>
      </c>
      <c r="W477" s="161" t="b">
        <f t="array" ref="W477">index(Dropdowns!B:B,match(I477,Dropdowns!A:A,0))</f>
        <v>1</v>
      </c>
      <c r="X477" s="161" t="b">
        <f t="array" ref="X477">index('Query Tool'!B:B,match(D477,'Query Tool'!C:C,0))</f>
        <v>1</v>
      </c>
      <c r="Y477" s="161" t="str">
        <f t="shared" si="6"/>
        <v>harriel01,2013-14</v>
      </c>
      <c r="Z477" s="168" t="str">
        <f t="array" ref="Z477">iferror(index(I:I,match($A477&amp;","&amp;index('Year Conversion'!$A:$A,match($C477,'Year Conversion'!$B:$B,0)),$Y:$Y,0))-I477,"")</f>
        <v/>
      </c>
      <c r="AA477" s="168" t="str">
        <f t="array" ref="AA477">iferror(index(J:J,match($A477&amp;","&amp;index('Year Conversion'!$A:$A,match($C477,'Year Conversion'!$B:$B,0)),$Y:$Y,0))-J477,"")</f>
        <v/>
      </c>
      <c r="AB477" s="168" t="str">
        <f t="array" ref="AB477">iferror(index(K:K,match($A477&amp;","&amp;index('Year Conversion'!$A:$A,match($C477,'Year Conversion'!$B:$B,0)),$Y:$Y,0))-K477,"")</f>
        <v/>
      </c>
      <c r="AC477" s="168" t="str">
        <f t="shared" si="7"/>
        <v>LAL,2013-14</v>
      </c>
    </row>
    <row r="478">
      <c r="A478" s="161" t="str">
        <f>IFERROR(__xludf.DUMMYFUNCTION("""COMPUTED_VALUE"""),"curryse01")</f>
        <v>curryse01</v>
      </c>
      <c r="B478" s="161" t="str">
        <f>IFERROR(__xludf.DUMMYFUNCTION("""COMPUTED_VALUE"""),"Seth Curry")</f>
        <v>Seth Curry</v>
      </c>
      <c r="C478" s="162" t="str">
        <f>IFERROR(__xludf.DUMMYFUNCTION("""COMPUTED_VALUE"""),"2013-14")</f>
        <v>2013-14</v>
      </c>
      <c r="D478" s="163" t="str">
        <f>IFERROR(__xludf.DUMMYFUNCTION("""COMPUTED_VALUE"""),"TOT")</f>
        <v>TOT</v>
      </c>
      <c r="E478" s="164" t="str">
        <f>IFERROR(__xludf.DUMMYFUNCTION("""COMPUTED_VALUE"""),"Stationary Shooter")</f>
        <v>Stationary Shooter</v>
      </c>
      <c r="F478" s="164">
        <f>IFERROR(__xludf.DUMMYFUNCTION("""COMPUTED_VALUE"""),12.9166666666667)</f>
        <v>12.91666667</v>
      </c>
      <c r="G478" s="163">
        <f>IFERROR(__xludf.DUMMYFUNCTION("""COMPUTED_VALUE"""),2.0)</f>
        <v>2</v>
      </c>
      <c r="H478" s="163" t="str">
        <f>IFERROR(__xludf.DUMMYFUNCTION("""COMPUTED_VALUE"""),"PG")</f>
        <v>PG</v>
      </c>
      <c r="I478" s="163">
        <f>IFERROR(__xludf.DUMMYFUNCTION("""COMPUTED_VALUE"""),23.0)</f>
        <v>23</v>
      </c>
      <c r="J478" s="165">
        <f>IFERROR(__xludf.DUMMYFUNCTION("""COMPUTED_VALUE"""),0.0196423302458247)</f>
        <v>0.01964233025</v>
      </c>
      <c r="K478" s="165">
        <f>IFERROR(__xludf.DUMMYFUNCTION("""COMPUTED_VALUE"""),-0.218560706486734)</f>
        <v>-0.2185607065</v>
      </c>
      <c r="L478" s="165">
        <f>IFERROR(__xludf.DUMMYFUNCTION("""COMPUTED_VALUE"""),0.238203036732559)</f>
        <v>0.2382030367</v>
      </c>
      <c r="M478" s="166">
        <f t="shared" si="2"/>
        <v>0.02008424536</v>
      </c>
      <c r="N478" s="167">
        <f t="shared" si="3"/>
        <v>6.458333333</v>
      </c>
      <c r="O478" s="163">
        <f t="shared" ref="O478:Q478" si="482">rank(I478,I:I)</f>
        <v>2765</v>
      </c>
      <c r="P478" s="163">
        <f t="shared" si="482"/>
        <v>1270</v>
      </c>
      <c r="Q478" s="163">
        <f t="shared" si="482"/>
        <v>1596</v>
      </c>
      <c r="R478" s="163">
        <f>IFERROR(__xludf.DUMMYFUNCTION("RANK(M478,filter(M:M,C:C=C478))"),414.0)</f>
        <v>414</v>
      </c>
      <c r="S478" s="161" t="b">
        <f t="shared" si="5"/>
        <v>0</v>
      </c>
      <c r="T478" s="161" t="b">
        <f t="array" ref="T478">index('Query Tool'!B:B,match(H478,'Query Tool'!C:C,0))</f>
        <v>1</v>
      </c>
      <c r="U478" s="161" t="b">
        <f t="array" ref="U478">index('Query Tool'!B:B,match(C478,'Query Tool'!C:C,0))</f>
        <v>0</v>
      </c>
      <c r="V478" s="161" t="b">
        <f>F478&gt;='Query Tool'!C$32</f>
        <v>0</v>
      </c>
      <c r="W478" s="161" t="b">
        <f t="array" ref="W478">index(Dropdowns!B:B,match(I478,Dropdowns!A:A,0))</f>
        <v>1</v>
      </c>
      <c r="X478" s="161" t="b">
        <f t="array" ref="X478">index('Query Tool'!B:B,match(D478,'Query Tool'!C:C,0))</f>
        <v>1</v>
      </c>
      <c r="Y478" s="161" t="str">
        <f t="shared" si="6"/>
        <v>curryse01,2013-14</v>
      </c>
      <c r="Z478" s="168">
        <f t="array" ref="Z478">iferror(index(I:I,match($A478&amp;","&amp;index('Year Conversion'!$A:$A,match($C478,'Year Conversion'!$B:$B,0)),$Y:$Y,0))-I478,"")</f>
        <v>1</v>
      </c>
      <c r="AA478" s="168">
        <f t="array" ref="AA478">iferror(index(J:J,match($A478&amp;","&amp;index('Year Conversion'!$A:$A,match($C478,'Year Conversion'!$B:$B,0)),$Y:$Y,0))-J478,"")</f>
        <v>-0.2676029945</v>
      </c>
      <c r="AB478" s="168">
        <f t="array" ref="AB478">iferror(index(K:K,match($A478&amp;","&amp;index('Year Conversion'!$A:$A,match($C478,'Year Conversion'!$B:$B,0)),$Y:$Y,0))-K478,"")</f>
        <v>0.247341606</v>
      </c>
      <c r="AC478" s="168" t="str">
        <f t="shared" si="7"/>
        <v>TOT,2013-14</v>
      </c>
    </row>
    <row r="479">
      <c r="A479" s="161" t="str">
        <f>IFERROR(__xludf.DUMMYFUNCTION("""COMPUTED_VALUE"""),"daviebr01")</f>
        <v>daviebr01</v>
      </c>
      <c r="B479" s="161" t="str">
        <f>IFERROR(__xludf.DUMMYFUNCTION("""COMPUTED_VALUE"""),"Brandon Davies")</f>
        <v>Brandon Davies</v>
      </c>
      <c r="C479" s="162" t="str">
        <f>IFERROR(__xludf.DUMMYFUNCTION("""COMPUTED_VALUE"""),"2013-14")</f>
        <v>2013-14</v>
      </c>
      <c r="D479" s="163" t="str">
        <f>IFERROR(__xludf.DUMMYFUNCTION("""COMPUTED_VALUE"""),"PHI")</f>
        <v>PHI</v>
      </c>
      <c r="E479" s="164" t="str">
        <f>IFERROR(__xludf.DUMMYFUNCTION("""COMPUTED_VALUE"""),"Post Scorer")</f>
        <v>Post Scorer</v>
      </c>
      <c r="F479" s="164">
        <f>IFERROR(__xludf.DUMMYFUNCTION("""COMPUTED_VALUE"""),575.028333333333)</f>
        <v>575.0283333</v>
      </c>
      <c r="G479" s="163">
        <f>IFERROR(__xludf.DUMMYFUNCTION("""COMPUTED_VALUE"""),51.0)</f>
        <v>51</v>
      </c>
      <c r="H479" s="163" t="str">
        <f>IFERROR(__xludf.DUMMYFUNCTION("""COMPUTED_VALUE"""),"PF")</f>
        <v>PF</v>
      </c>
      <c r="I479" s="163">
        <f>IFERROR(__xludf.DUMMYFUNCTION("""COMPUTED_VALUE"""),22.0)</f>
        <v>22</v>
      </c>
      <c r="J479" s="165">
        <f>IFERROR(__xludf.DUMMYFUNCTION("""COMPUTED_VALUE"""),-2.5263105911644)</f>
        <v>-2.526310591</v>
      </c>
      <c r="K479" s="165">
        <f>IFERROR(__xludf.DUMMYFUNCTION("""COMPUTED_VALUE"""),-2.94417219964789)</f>
        <v>-2.9441722</v>
      </c>
      <c r="L479" s="165">
        <f>IFERROR(__xludf.DUMMYFUNCTION("""COMPUTED_VALUE"""),0.417861608483494)</f>
        <v>0.4178616085</v>
      </c>
      <c r="M479" s="166">
        <f t="shared" si="2"/>
        <v>-0.08430142094</v>
      </c>
      <c r="N479" s="167">
        <f t="shared" si="3"/>
        <v>11.27506536</v>
      </c>
      <c r="O479" s="163">
        <f t="shared" ref="O479:Q479" si="483">rank(I479,I:I)</f>
        <v>3178</v>
      </c>
      <c r="P479" s="163">
        <f t="shared" si="483"/>
        <v>3763</v>
      </c>
      <c r="Q479" s="163">
        <f t="shared" si="483"/>
        <v>3972</v>
      </c>
      <c r="R479" s="163">
        <f>IFERROR(__xludf.DUMMYFUNCTION("RANK(M479,filter(M:M,C:C=C479))"),441.0)</f>
        <v>441</v>
      </c>
      <c r="S479" s="161" t="b">
        <f t="shared" si="5"/>
        <v>0</v>
      </c>
      <c r="T479" s="161" t="b">
        <f t="array" ref="T479">index('Query Tool'!B:B,match(H479,'Query Tool'!C:C,0))</f>
        <v>1</v>
      </c>
      <c r="U479" s="161" t="b">
        <f t="array" ref="U479">index('Query Tool'!B:B,match(C479,'Query Tool'!C:C,0))</f>
        <v>0</v>
      </c>
      <c r="V479" s="161" t="b">
        <f>F479&gt;='Query Tool'!C$32</f>
        <v>1</v>
      </c>
      <c r="W479" s="161" t="b">
        <f t="array" ref="W479">index(Dropdowns!B:B,match(I479,Dropdowns!A:A,0))</f>
        <v>1</v>
      </c>
      <c r="X479" s="161" t="b">
        <f t="array" ref="X479">index('Query Tool'!B:B,match(D479,'Query Tool'!C:C,0))</f>
        <v>1</v>
      </c>
      <c r="Y479" s="161" t="str">
        <f t="shared" si="6"/>
        <v>daviebr01,2013-14</v>
      </c>
      <c r="Z479" s="168">
        <f t="array" ref="Z479">iferror(index(I:I,match($A479&amp;","&amp;index('Year Conversion'!$A:$A,match($C479,'Year Conversion'!$B:$B,0)),$Y:$Y,0))-I479,"")</f>
        <v>1</v>
      </c>
      <c r="AA479" s="168">
        <f t="array" ref="AA479">iferror(index(J:J,match($A479&amp;","&amp;index('Year Conversion'!$A:$A,match($C479,'Year Conversion'!$B:$B,0)),$Y:$Y,0))-J479,"")</f>
        <v>0.4172713042</v>
      </c>
      <c r="AB479" s="168">
        <f t="array" ref="AB479">iferror(index(K:K,match($A479&amp;","&amp;index('Year Conversion'!$A:$A,match($C479,'Year Conversion'!$B:$B,0)),$Y:$Y,0))-K479,"")</f>
        <v>1.538806178</v>
      </c>
      <c r="AC479" s="168" t="str">
        <f t="shared" si="7"/>
        <v>PHI,2013-14</v>
      </c>
    </row>
    <row r="480">
      <c r="A480" s="161" t="str">
        <f>IFERROR(__xludf.DUMMYFUNCTION("""COMPUTED_VALUE"""),"babbch01")</f>
        <v>babbch01</v>
      </c>
      <c r="B480" s="161" t="str">
        <f>IFERROR(__xludf.DUMMYFUNCTION("""COMPUTED_VALUE"""),"Chris Babb")</f>
        <v>Chris Babb</v>
      </c>
      <c r="C480" s="162" t="str">
        <f>IFERROR(__xludf.DUMMYFUNCTION("""COMPUTED_VALUE"""),"2013-14")</f>
        <v>2013-14</v>
      </c>
      <c r="D480" s="163" t="str">
        <f>IFERROR(__xludf.DUMMYFUNCTION("""COMPUTED_VALUE"""),"BOS")</f>
        <v>BOS</v>
      </c>
      <c r="E480" s="164" t="str">
        <f>IFERROR(__xludf.DUMMYFUNCTION("""COMPUTED_VALUE"""),"Off Screen Shooter")</f>
        <v>Off Screen Shooter</v>
      </c>
      <c r="F480" s="164">
        <f>IFERROR(__xludf.DUMMYFUNCTION("""COMPUTED_VALUE"""),132.33)</f>
        <v>132.33</v>
      </c>
      <c r="G480" s="163">
        <f>IFERROR(__xludf.DUMMYFUNCTION("""COMPUTED_VALUE"""),14.0)</f>
        <v>14</v>
      </c>
      <c r="H480" s="163" t="str">
        <f>IFERROR(__xludf.DUMMYFUNCTION("""COMPUTED_VALUE"""),"SG")</f>
        <v>SG</v>
      </c>
      <c r="I480" s="163">
        <f>IFERROR(__xludf.DUMMYFUNCTION("""COMPUTED_VALUE"""),23.0)</f>
        <v>23</v>
      </c>
      <c r="J480" s="165">
        <f>IFERROR(__xludf.DUMMYFUNCTION("""COMPUTED_VALUE"""),-0.908163951306981)</f>
        <v>-0.9081639513</v>
      </c>
      <c r="K480" s="165">
        <f>IFERROR(__xludf.DUMMYFUNCTION("""COMPUTED_VALUE"""),-0.448035803264842)</f>
        <v>-0.4480358033</v>
      </c>
      <c r="L480" s="165">
        <f>IFERROR(__xludf.DUMMYFUNCTION("""COMPUTED_VALUE"""),-0.46012814804214)</f>
        <v>-0.460128148</v>
      </c>
      <c r="M480" s="166">
        <f t="shared" si="2"/>
        <v>0.1230791178</v>
      </c>
      <c r="N480" s="167">
        <f t="shared" si="3"/>
        <v>9.452142857</v>
      </c>
      <c r="O480" s="163">
        <f t="shared" ref="O480:Q480" si="484">rank(I480,I:I)</f>
        <v>2765</v>
      </c>
      <c r="P480" s="163">
        <f t="shared" si="484"/>
        <v>2401</v>
      </c>
      <c r="Q480" s="163">
        <f t="shared" si="484"/>
        <v>2029</v>
      </c>
      <c r="R480" s="163">
        <f>IFERROR(__xludf.DUMMYFUNCTION("RANK(M480,filter(M:M,C:C=C480))"),350.0)</f>
        <v>350</v>
      </c>
      <c r="S480" s="161" t="b">
        <f t="shared" si="5"/>
        <v>0</v>
      </c>
      <c r="T480" s="161" t="b">
        <f t="array" ref="T480">index('Query Tool'!B:B,match(H480,'Query Tool'!C:C,0))</f>
        <v>1</v>
      </c>
      <c r="U480" s="161" t="b">
        <f t="array" ref="U480">index('Query Tool'!B:B,match(C480,'Query Tool'!C:C,0))</f>
        <v>0</v>
      </c>
      <c r="V480" s="161" t="b">
        <f>F480&gt;='Query Tool'!C$32</f>
        <v>0</v>
      </c>
      <c r="W480" s="161" t="b">
        <f t="array" ref="W480">index(Dropdowns!B:B,match(I480,Dropdowns!A:A,0))</f>
        <v>1</v>
      </c>
      <c r="X480" s="161" t="b">
        <f t="array" ref="X480">index('Query Tool'!B:B,match(D480,'Query Tool'!C:C,0))</f>
        <v>1</v>
      </c>
      <c r="Y480" s="161" t="str">
        <f t="shared" si="6"/>
        <v>babbch01,2013-14</v>
      </c>
      <c r="Z480" s="168" t="str">
        <f t="array" ref="Z480">iferror(index(I:I,match($A480&amp;","&amp;index('Year Conversion'!$A:$A,match($C480,'Year Conversion'!$B:$B,0)),$Y:$Y,0))-I480,"")</f>
        <v/>
      </c>
      <c r="AA480" s="168" t="str">
        <f t="array" ref="AA480">iferror(index(J:J,match($A480&amp;","&amp;index('Year Conversion'!$A:$A,match($C480,'Year Conversion'!$B:$B,0)),$Y:$Y,0))-J480,"")</f>
        <v/>
      </c>
      <c r="AB480" s="168" t="str">
        <f t="array" ref="AB480">iferror(index(K:K,match($A480&amp;","&amp;index('Year Conversion'!$A:$A,match($C480,'Year Conversion'!$B:$B,0)),$Y:$Y,0))-K480,"")</f>
        <v/>
      </c>
      <c r="AC480" s="168" t="str">
        <f t="shared" si="7"/>
        <v>BOS,2013-14</v>
      </c>
    </row>
    <row r="481">
      <c r="A481" s="161" t="str">
        <f>IFERROR(__xludf.DUMMYFUNCTION("""COMPUTED_VALUE"""),"danietr01")</f>
        <v>danietr01</v>
      </c>
      <c r="B481" s="161" t="str">
        <f>IFERROR(__xludf.DUMMYFUNCTION("""COMPUTED_VALUE"""),"Troy Daniels")</f>
        <v>Troy Daniels</v>
      </c>
      <c r="C481" s="162" t="str">
        <f>IFERROR(__xludf.DUMMYFUNCTION("""COMPUTED_VALUE"""),"2013-14")</f>
        <v>2013-14</v>
      </c>
      <c r="D481" s="163" t="str">
        <f>IFERROR(__xludf.DUMMYFUNCTION("""COMPUTED_VALUE"""),"HOU")</f>
        <v>HOU</v>
      </c>
      <c r="E481" s="164" t="str">
        <f>IFERROR(__xludf.DUMMYFUNCTION("""COMPUTED_VALUE"""),"Movement Shooter")</f>
        <v>Movement Shooter</v>
      </c>
      <c r="F481" s="164">
        <f>IFERROR(__xludf.DUMMYFUNCTION("""COMPUTED_VALUE"""),74.8)</f>
        <v>74.8</v>
      </c>
      <c r="G481" s="163">
        <f>IFERROR(__xludf.DUMMYFUNCTION("""COMPUTED_VALUE"""),5.0)</f>
        <v>5</v>
      </c>
      <c r="H481" s="163" t="str">
        <f>IFERROR(__xludf.DUMMYFUNCTION("""COMPUTED_VALUE"""),"SG")</f>
        <v>SG</v>
      </c>
      <c r="I481" s="163">
        <f>IFERROR(__xludf.DUMMYFUNCTION("""COMPUTED_VALUE"""),22.0)</f>
        <v>22</v>
      </c>
      <c r="J481" s="165">
        <f>IFERROR(__xludf.DUMMYFUNCTION("""COMPUTED_VALUE"""),-0.925859706001375)</f>
        <v>-0.925859706</v>
      </c>
      <c r="K481" s="165">
        <f>IFERROR(__xludf.DUMMYFUNCTION("""COMPUTED_VALUE"""),0.206191567551269)</f>
        <v>0.2061915676</v>
      </c>
      <c r="L481" s="165">
        <f>IFERROR(__xludf.DUMMYFUNCTION("""COMPUTED_VALUE"""),-1.13205127355264)</f>
        <v>-1.132051274</v>
      </c>
      <c r="M481" s="166">
        <f t="shared" si="2"/>
        <v>0.06868164008</v>
      </c>
      <c r="N481" s="167">
        <f t="shared" si="3"/>
        <v>14.96</v>
      </c>
      <c r="O481" s="163">
        <f t="shared" ref="O481:Q481" si="485">rank(I481,I:I)</f>
        <v>3178</v>
      </c>
      <c r="P481" s="163">
        <f t="shared" si="485"/>
        <v>2426</v>
      </c>
      <c r="Q481" s="163">
        <f t="shared" si="485"/>
        <v>978</v>
      </c>
      <c r="R481" s="163">
        <f>IFERROR(__xludf.DUMMYFUNCTION("RANK(M481,filter(M:M,C:C=C481))"),375.0)</f>
        <v>375</v>
      </c>
      <c r="S481" s="161" t="b">
        <f t="shared" si="5"/>
        <v>0</v>
      </c>
      <c r="T481" s="161" t="b">
        <f t="array" ref="T481">index('Query Tool'!B:B,match(H481,'Query Tool'!C:C,0))</f>
        <v>1</v>
      </c>
      <c r="U481" s="161" t="b">
        <f t="array" ref="U481">index('Query Tool'!B:B,match(C481,'Query Tool'!C:C,0))</f>
        <v>0</v>
      </c>
      <c r="V481" s="161" t="b">
        <f>F481&gt;='Query Tool'!C$32</f>
        <v>0</v>
      </c>
      <c r="W481" s="161" t="b">
        <f t="array" ref="W481">index(Dropdowns!B:B,match(I481,Dropdowns!A:A,0))</f>
        <v>1</v>
      </c>
      <c r="X481" s="161" t="b">
        <f t="array" ref="X481">index('Query Tool'!B:B,match(D481,'Query Tool'!C:C,0))</f>
        <v>1</v>
      </c>
      <c r="Y481" s="161" t="str">
        <f t="shared" si="6"/>
        <v>danietr01,2013-14</v>
      </c>
      <c r="Z481" s="168">
        <f t="array" ref="Z481">iferror(index(I:I,match($A481&amp;","&amp;index('Year Conversion'!$A:$A,match($C481,'Year Conversion'!$B:$B,0)),$Y:$Y,0))-I481,"")</f>
        <v>1</v>
      </c>
      <c r="AA481" s="168">
        <f t="array" ref="AA481">iferror(index(J:J,match($A481&amp;","&amp;index('Year Conversion'!$A:$A,match($C481,'Year Conversion'!$B:$B,0)),$Y:$Y,0))-J481,"")</f>
        <v>0.3811488862</v>
      </c>
      <c r="AB481" s="168">
        <f t="array" ref="AB481">iferror(index(K:K,match($A481&amp;","&amp;index('Year Conversion'!$A:$A,match($C481,'Year Conversion'!$B:$B,0)),$Y:$Y,0))-K481,"")</f>
        <v>-0.09270278067</v>
      </c>
      <c r="AC481" s="168" t="str">
        <f t="shared" si="7"/>
        <v>HOU,2013-14</v>
      </c>
    </row>
    <row r="482">
      <c r="A482" s="161" t="str">
        <f>IFERROR(__xludf.DUMMYFUNCTION("""COMPUTED_VALUE"""),"wareca01")</f>
        <v>wareca01</v>
      </c>
      <c r="B482" s="161" t="str">
        <f>IFERROR(__xludf.DUMMYFUNCTION("""COMPUTED_VALUE"""),"Casper Ware")</f>
        <v>Casper Ware</v>
      </c>
      <c r="C482" s="162" t="str">
        <f>IFERROR(__xludf.DUMMYFUNCTION("""COMPUTED_VALUE"""),"2013-14")</f>
        <v>2013-14</v>
      </c>
      <c r="D482" s="163" t="str">
        <f>IFERROR(__xludf.DUMMYFUNCTION("""COMPUTED_VALUE"""),"PHI")</f>
        <v>PHI</v>
      </c>
      <c r="E482" s="164" t="str">
        <f>IFERROR(__xludf.DUMMYFUNCTION("""COMPUTED_VALUE"""),"Secondary Ball Handler")</f>
        <v>Secondary Ball Handler</v>
      </c>
      <c r="F482" s="164">
        <f>IFERROR(__xludf.DUMMYFUNCTION("""COMPUTED_VALUE"""),115.763333333333)</f>
        <v>115.7633333</v>
      </c>
      <c r="G482" s="163">
        <f>IFERROR(__xludf.DUMMYFUNCTION("""COMPUTED_VALUE"""),9.0)</f>
        <v>9</v>
      </c>
      <c r="H482" s="163" t="str">
        <f>IFERROR(__xludf.DUMMYFUNCTION("""COMPUTED_VALUE"""),"PG")</f>
        <v>PG</v>
      </c>
      <c r="I482" s="163">
        <f>IFERROR(__xludf.DUMMYFUNCTION("""COMPUTED_VALUE"""),24.0)</f>
        <v>24</v>
      </c>
      <c r="J482" s="165">
        <f>IFERROR(__xludf.DUMMYFUNCTION("""COMPUTED_VALUE"""),-0.175949798700936)</f>
        <v>-0.1759497987</v>
      </c>
      <c r="K482" s="165">
        <f>IFERROR(__xludf.DUMMYFUNCTION("""COMPUTED_VALUE"""),-0.211971675662472)</f>
        <v>-0.2119716757</v>
      </c>
      <c r="L482" s="165">
        <f>IFERROR(__xludf.DUMMYFUNCTION("""COMPUTED_VALUE"""),0.0360218769615361)</f>
        <v>0.03602187696</v>
      </c>
      <c r="M482" s="166">
        <f t="shared" si="2"/>
        <v>0.1647368038</v>
      </c>
      <c r="N482" s="167">
        <f t="shared" si="3"/>
        <v>12.86259259</v>
      </c>
      <c r="O482" s="163">
        <f t="shared" ref="O482:Q482" si="486">rank(I482,I:I)</f>
        <v>2361</v>
      </c>
      <c r="P482" s="163">
        <f t="shared" si="486"/>
        <v>1480</v>
      </c>
      <c r="Q482" s="163">
        <f t="shared" si="486"/>
        <v>1586</v>
      </c>
      <c r="R482" s="163">
        <f>IFERROR(__xludf.DUMMYFUNCTION("RANK(M482,filter(M:M,C:C=C482))"),337.0)</f>
        <v>337</v>
      </c>
      <c r="S482" s="161" t="b">
        <f t="shared" si="5"/>
        <v>0</v>
      </c>
      <c r="T482" s="161" t="b">
        <f t="array" ref="T482">index('Query Tool'!B:B,match(H482,'Query Tool'!C:C,0))</f>
        <v>1</v>
      </c>
      <c r="U482" s="161" t="b">
        <f t="array" ref="U482">index('Query Tool'!B:B,match(C482,'Query Tool'!C:C,0))</f>
        <v>0</v>
      </c>
      <c r="V482" s="161" t="b">
        <f>F482&gt;='Query Tool'!C$32</f>
        <v>0</v>
      </c>
      <c r="W482" s="161" t="b">
        <f t="array" ref="W482">index(Dropdowns!B:B,match(I482,Dropdowns!A:A,0))</f>
        <v>1</v>
      </c>
      <c r="X482" s="161" t="b">
        <f t="array" ref="X482">index('Query Tool'!B:B,match(D482,'Query Tool'!C:C,0))</f>
        <v>1</v>
      </c>
      <c r="Y482" s="161" t="str">
        <f t="shared" si="6"/>
        <v>wareca01,2013-14</v>
      </c>
      <c r="Z482" s="168" t="str">
        <f t="array" ref="Z482">iferror(index(I:I,match($A482&amp;","&amp;index('Year Conversion'!$A:$A,match($C482,'Year Conversion'!$B:$B,0)),$Y:$Y,0))-I482,"")</f>
        <v/>
      </c>
      <c r="AA482" s="168" t="str">
        <f t="array" ref="AA482">iferror(index(J:J,match($A482&amp;","&amp;index('Year Conversion'!$A:$A,match($C482,'Year Conversion'!$B:$B,0)),$Y:$Y,0))-J482,"")</f>
        <v/>
      </c>
      <c r="AB482" s="168" t="str">
        <f t="array" ref="AB482">iferror(index(K:K,match($A482&amp;","&amp;index('Year Conversion'!$A:$A,match($C482,'Year Conversion'!$B:$B,0)),$Y:$Y,0))-K482,"")</f>
        <v/>
      </c>
      <c r="AC482" s="168" t="str">
        <f t="shared" si="7"/>
        <v>PHI,2013-14</v>
      </c>
    </row>
    <row r="483">
      <c r="A483" s="161" t="str">
        <f>IFERROR(__xludf.DUMMYFUNCTION("""COMPUTED_VALUE"""),"hopsosc01")</f>
        <v>hopsosc01</v>
      </c>
      <c r="B483" s="161" t="str">
        <f>IFERROR(__xludf.DUMMYFUNCTION("""COMPUTED_VALUE"""),"Scotty Hopson")</f>
        <v>Scotty Hopson</v>
      </c>
      <c r="C483" s="162" t="str">
        <f>IFERROR(__xludf.DUMMYFUNCTION("""COMPUTED_VALUE"""),"2013-14")</f>
        <v>2013-14</v>
      </c>
      <c r="D483" s="163" t="str">
        <f>IFERROR(__xludf.DUMMYFUNCTION("""COMPUTED_VALUE"""),"CLE")</f>
        <v>CLE</v>
      </c>
      <c r="E483" s="164" t="str">
        <f>IFERROR(__xludf.DUMMYFUNCTION("""COMPUTED_VALUE"""),"Secondary Ball Handler")</f>
        <v>Secondary Ball Handler</v>
      </c>
      <c r="F483" s="164">
        <f>IFERROR(__xludf.DUMMYFUNCTION("""COMPUTED_VALUE"""),6.76666666666667)</f>
        <v>6.766666667</v>
      </c>
      <c r="G483" s="163">
        <f>IFERROR(__xludf.DUMMYFUNCTION("""COMPUTED_VALUE"""),2.0)</f>
        <v>2</v>
      </c>
      <c r="H483" s="163" t="str">
        <f>IFERROR(__xludf.DUMMYFUNCTION("""COMPUTED_VALUE"""),"SG")</f>
        <v>SG</v>
      </c>
      <c r="I483" s="163">
        <f>IFERROR(__xludf.DUMMYFUNCTION("""COMPUTED_VALUE"""),24.0)</f>
        <v>24</v>
      </c>
      <c r="J483" s="165">
        <f>IFERROR(__xludf.DUMMYFUNCTION("""COMPUTED_VALUE"""),0.117905816287837)</f>
        <v>0.1179058163</v>
      </c>
      <c r="K483" s="165">
        <f>IFERROR(__xludf.DUMMYFUNCTION("""COMPUTED_VALUE"""),-0.155018037239099)</f>
        <v>-0.1550180372</v>
      </c>
      <c r="L483" s="165">
        <f>IFERROR(__xludf.DUMMYFUNCTION("""COMPUTED_VALUE"""),0.272923853526936)</f>
        <v>0.2729238535</v>
      </c>
      <c r="M483" s="166">
        <f t="shared" si="2"/>
        <v>0.01096982248</v>
      </c>
      <c r="N483" s="167">
        <f t="shared" si="3"/>
        <v>3.383333333</v>
      </c>
      <c r="O483" s="163">
        <f t="shared" ref="O483:Q483" si="487">rank(I483,I:I)</f>
        <v>2361</v>
      </c>
      <c r="P483" s="163">
        <f t="shared" si="487"/>
        <v>1165</v>
      </c>
      <c r="Q483" s="163">
        <f t="shared" si="487"/>
        <v>1487</v>
      </c>
      <c r="R483" s="163">
        <f>IFERROR(__xludf.DUMMYFUNCTION("RANK(M483,filter(M:M,C:C=C483))"),423.0)</f>
        <v>423</v>
      </c>
      <c r="S483" s="161" t="b">
        <f t="shared" si="5"/>
        <v>0</v>
      </c>
      <c r="T483" s="161" t="b">
        <f t="array" ref="T483">index('Query Tool'!B:B,match(H483,'Query Tool'!C:C,0))</f>
        <v>1</v>
      </c>
      <c r="U483" s="161" t="b">
        <f t="array" ref="U483">index('Query Tool'!B:B,match(C483,'Query Tool'!C:C,0))</f>
        <v>0</v>
      </c>
      <c r="V483" s="161" t="b">
        <f>F483&gt;='Query Tool'!C$32</f>
        <v>0</v>
      </c>
      <c r="W483" s="161" t="b">
        <f t="array" ref="W483">index(Dropdowns!B:B,match(I483,Dropdowns!A:A,0))</f>
        <v>1</v>
      </c>
      <c r="X483" s="161" t="b">
        <f t="array" ref="X483">index('Query Tool'!B:B,match(D483,'Query Tool'!C:C,0))</f>
        <v>1</v>
      </c>
      <c r="Y483" s="161" t="str">
        <f t="shared" si="6"/>
        <v>hopsosc01,2013-14</v>
      </c>
      <c r="Z483" s="168" t="str">
        <f t="array" ref="Z483">iferror(index(I:I,match($A483&amp;","&amp;index('Year Conversion'!$A:$A,match($C483,'Year Conversion'!$B:$B,0)),$Y:$Y,0))-I483,"")</f>
        <v/>
      </c>
      <c r="AA483" s="168" t="str">
        <f t="array" ref="AA483">iferror(index(J:J,match($A483&amp;","&amp;index('Year Conversion'!$A:$A,match($C483,'Year Conversion'!$B:$B,0)),$Y:$Y,0))-J483,"")</f>
        <v/>
      </c>
      <c r="AB483" s="168" t="str">
        <f t="array" ref="AB483">iferror(index(K:K,match($A483&amp;","&amp;index('Year Conversion'!$A:$A,match($C483,'Year Conversion'!$B:$B,0)),$Y:$Y,0))-K483,"")</f>
        <v/>
      </c>
      <c r="AC483" s="168" t="str">
        <f t="shared" si="7"/>
        <v>CLE,2013-14</v>
      </c>
    </row>
    <row r="484">
      <c r="A484" s="161" t="str">
        <f>IFERROR(__xludf.DUMMYFUNCTION("""COMPUTED_VALUE"""),"garneke01")</f>
        <v>garneke01</v>
      </c>
      <c r="B484" s="161" t="str">
        <f>IFERROR(__xludf.DUMMYFUNCTION("""COMPUTED_VALUE"""),"Kevin Garnett")</f>
        <v>Kevin Garnett</v>
      </c>
      <c r="C484" s="162" t="str">
        <f>IFERROR(__xludf.DUMMYFUNCTION("""COMPUTED_VALUE"""),"2014-15")</f>
        <v>2014-15</v>
      </c>
      <c r="D484" s="163" t="str">
        <f>IFERROR(__xludf.DUMMYFUNCTION("""COMPUTED_VALUE"""),"TOT")</f>
        <v>TOT</v>
      </c>
      <c r="E484" s="164" t="str">
        <f>IFERROR(__xludf.DUMMYFUNCTION("""COMPUTED_VALUE"""),"Post Scorer")</f>
        <v>Post Scorer</v>
      </c>
      <c r="F484" s="164">
        <f>IFERROR(__xludf.DUMMYFUNCTION("""COMPUTED_VALUE"""),952.461666666667)</f>
        <v>952.4616667</v>
      </c>
      <c r="G484" s="163">
        <f>IFERROR(__xludf.DUMMYFUNCTION("""COMPUTED_VALUE"""),47.0)</f>
        <v>47</v>
      </c>
      <c r="H484" s="163" t="str">
        <f>IFERROR(__xludf.DUMMYFUNCTION("""COMPUTED_VALUE"""),"PF")</f>
        <v>PF</v>
      </c>
      <c r="I484" s="163">
        <f>IFERROR(__xludf.DUMMYFUNCTION("""COMPUTED_VALUE"""),38.0)</f>
        <v>38</v>
      </c>
      <c r="J484" s="165">
        <f>IFERROR(__xludf.DUMMYFUNCTION("""COMPUTED_VALUE"""),2.40269498486219)</f>
        <v>2.402694985</v>
      </c>
      <c r="K484" s="165">
        <f>IFERROR(__xludf.DUMMYFUNCTION("""COMPUTED_VALUE"""),-0.821308622609599)</f>
        <v>-0.8213086226</v>
      </c>
      <c r="L484" s="165">
        <f>IFERROR(__xludf.DUMMYFUNCTION("""COMPUTED_VALUE"""),3.22400360747178)</f>
        <v>3.224003607</v>
      </c>
      <c r="M484" s="166">
        <f t="shared" si="2"/>
        <v>2.99898924</v>
      </c>
      <c r="N484" s="167">
        <f t="shared" si="3"/>
        <v>20.26514184</v>
      </c>
      <c r="O484" s="163">
        <f t="shared" ref="O484:Q484" si="488">rank(I484,I:I)</f>
        <v>20</v>
      </c>
      <c r="P484" s="163">
        <f t="shared" si="488"/>
        <v>240</v>
      </c>
      <c r="Q484" s="163">
        <f t="shared" si="488"/>
        <v>2582</v>
      </c>
      <c r="R484" s="163">
        <f>IFERROR(__xludf.DUMMYFUNCTION("RANK(M484,filter(M:M,C:C=C484))"),119.0)</f>
        <v>119</v>
      </c>
      <c r="S484" s="161" t="b">
        <f t="shared" si="5"/>
        <v>0</v>
      </c>
      <c r="T484" s="161" t="b">
        <f t="array" ref="T484">index('Query Tool'!B:B,match(H484,'Query Tool'!C:C,0))</f>
        <v>1</v>
      </c>
      <c r="U484" s="161" t="b">
        <f t="array" ref="U484">index('Query Tool'!B:B,match(C484,'Query Tool'!C:C,0))</f>
        <v>0</v>
      </c>
      <c r="V484" s="161" t="b">
        <f>F484&gt;='Query Tool'!C$32</f>
        <v>1</v>
      </c>
      <c r="W484" s="161" t="b">
        <f t="array" ref="W484">index(Dropdowns!B:B,match(I484,Dropdowns!A:A,0))</f>
        <v>1</v>
      </c>
      <c r="X484" s="161" t="b">
        <f t="array" ref="X484">index('Query Tool'!B:B,match(D484,'Query Tool'!C:C,0))</f>
        <v>1</v>
      </c>
      <c r="Y484" s="161" t="str">
        <f t="shared" si="6"/>
        <v>garneke01,2014-15</v>
      </c>
      <c r="Z484" s="168">
        <f t="array" ref="Z484">iferror(index(I:I,match($A484&amp;","&amp;index('Year Conversion'!$A:$A,match($C484,'Year Conversion'!$B:$B,0)),$Y:$Y,0))-I484,"")</f>
        <v>1</v>
      </c>
      <c r="AA484" s="168">
        <f t="array" ref="AA484">iferror(index(J:J,match($A484&amp;","&amp;index('Year Conversion'!$A:$A,match($C484,'Year Conversion'!$B:$B,0)),$Y:$Y,0))-J484,"")</f>
        <v>-0.2000040972</v>
      </c>
      <c r="AB484" s="168">
        <f t="array" ref="AB484">iferror(index(K:K,match($A484&amp;","&amp;index('Year Conversion'!$A:$A,match($C484,'Year Conversion'!$B:$B,0)),$Y:$Y,0))-K484,"")</f>
        <v>-0.5330944677</v>
      </c>
      <c r="AC484" s="168" t="str">
        <f t="shared" si="7"/>
        <v>TOT,2014-15</v>
      </c>
    </row>
    <row r="485">
      <c r="A485" s="161" t="str">
        <f>IFERROR(__xludf.DUMMYFUNCTION("""COMPUTED_VALUE"""),"bryanko01")</f>
        <v>bryanko01</v>
      </c>
      <c r="B485" s="161" t="str">
        <f>IFERROR(__xludf.DUMMYFUNCTION("""COMPUTED_VALUE"""),"Kobe Bryant")</f>
        <v>Kobe Bryant</v>
      </c>
      <c r="C485" s="162" t="str">
        <f>IFERROR(__xludf.DUMMYFUNCTION("""COMPUTED_VALUE"""),"2014-15")</f>
        <v>2014-15</v>
      </c>
      <c r="D485" s="163" t="str">
        <f>IFERROR(__xludf.DUMMYFUNCTION("""COMPUTED_VALUE"""),"LAL")</f>
        <v>LAL</v>
      </c>
      <c r="E485" s="164" t="str">
        <f>IFERROR(__xludf.DUMMYFUNCTION("""COMPUTED_VALUE"""),"Shot Creator")</f>
        <v>Shot Creator</v>
      </c>
      <c r="F485" s="164">
        <f>IFERROR(__xludf.DUMMYFUNCTION("""COMPUTED_VALUE"""),1206.86833333333)</f>
        <v>1206.868333</v>
      </c>
      <c r="G485" s="163">
        <f>IFERROR(__xludf.DUMMYFUNCTION("""COMPUTED_VALUE"""),35.0)</f>
        <v>35</v>
      </c>
      <c r="H485" s="163" t="str">
        <f>IFERROR(__xludf.DUMMYFUNCTION("""COMPUTED_VALUE"""),"SG")</f>
        <v>SG</v>
      </c>
      <c r="I485" s="163">
        <f>IFERROR(__xludf.DUMMYFUNCTION("""COMPUTED_VALUE"""),36.0)</f>
        <v>36</v>
      </c>
      <c r="J485" s="165">
        <f>IFERROR(__xludf.DUMMYFUNCTION("""COMPUTED_VALUE"""),-7.47542583206195E-4)</f>
        <v>-0.0007475425832</v>
      </c>
      <c r="K485" s="165">
        <f>IFERROR(__xludf.DUMMYFUNCTION("""COMPUTED_VALUE"""),1.85320267292095)</f>
        <v>1.853202673</v>
      </c>
      <c r="L485" s="165">
        <f>IFERROR(__xludf.DUMMYFUNCTION("""COMPUTED_VALUE"""),-1.85395021550416)</f>
        <v>-1.853950216</v>
      </c>
      <c r="M485" s="166">
        <f t="shared" si="2"/>
        <v>1.859980436</v>
      </c>
      <c r="N485" s="167">
        <f t="shared" si="3"/>
        <v>34.48195238</v>
      </c>
      <c r="O485" s="163">
        <f t="shared" ref="O485:Q485" si="489">rank(I485,I:I)</f>
        <v>65</v>
      </c>
      <c r="P485" s="163">
        <f t="shared" si="489"/>
        <v>1283</v>
      </c>
      <c r="Q485" s="163">
        <f t="shared" si="489"/>
        <v>251</v>
      </c>
      <c r="R485" s="163">
        <f>IFERROR(__xludf.DUMMYFUNCTION("RANK(M485,filter(M:M,C:C=C485))"),171.0)</f>
        <v>171</v>
      </c>
      <c r="S485" s="161" t="b">
        <f t="shared" si="5"/>
        <v>0</v>
      </c>
      <c r="T485" s="161" t="b">
        <f t="array" ref="T485">index('Query Tool'!B:B,match(H485,'Query Tool'!C:C,0))</f>
        <v>1</v>
      </c>
      <c r="U485" s="161" t="b">
        <f t="array" ref="U485">index('Query Tool'!B:B,match(C485,'Query Tool'!C:C,0))</f>
        <v>0</v>
      </c>
      <c r="V485" s="161" t="b">
        <f>F485&gt;='Query Tool'!C$32</f>
        <v>1</v>
      </c>
      <c r="W485" s="161" t="b">
        <f t="array" ref="W485">index(Dropdowns!B:B,match(I485,Dropdowns!A:A,0))</f>
        <v>1</v>
      </c>
      <c r="X485" s="161" t="b">
        <f t="array" ref="X485">index('Query Tool'!B:B,match(D485,'Query Tool'!C:C,0))</f>
        <v>1</v>
      </c>
      <c r="Y485" s="161" t="str">
        <f t="shared" si="6"/>
        <v>bryanko01,2014-15</v>
      </c>
      <c r="Z485" s="168">
        <f t="array" ref="Z485">iferror(index(I:I,match($A485&amp;","&amp;index('Year Conversion'!$A:$A,match($C485,'Year Conversion'!$B:$B,0)),$Y:$Y,0))-I485,"")</f>
        <v>1</v>
      </c>
      <c r="AA485" s="168">
        <f t="array" ref="AA485">iferror(index(J:J,match($A485&amp;","&amp;index('Year Conversion'!$A:$A,match($C485,'Year Conversion'!$B:$B,0)),$Y:$Y,0))-J485,"")</f>
        <v>-1.049574224</v>
      </c>
      <c r="AB485" s="168">
        <f t="array" ref="AB485">iferror(index(K:K,match($A485&amp;","&amp;index('Year Conversion'!$A:$A,match($C485,'Year Conversion'!$B:$B,0)),$Y:$Y,0))-K485,"")</f>
        <v>-0.5267710676</v>
      </c>
      <c r="AC485" s="168" t="str">
        <f t="shared" si="7"/>
        <v>LAL,2014-15</v>
      </c>
    </row>
    <row r="486">
      <c r="A486" s="161" t="str">
        <f>IFERROR(__xludf.DUMMYFUNCTION("""COMPUTED_VALUE"""),"duncati01")</f>
        <v>duncati01</v>
      </c>
      <c r="B486" s="161" t="str">
        <f>IFERROR(__xludf.DUMMYFUNCTION("""COMPUTED_VALUE"""),"Tim Duncan")</f>
        <v>Tim Duncan</v>
      </c>
      <c r="C486" s="162" t="str">
        <f>IFERROR(__xludf.DUMMYFUNCTION("""COMPUTED_VALUE"""),"2014-15")</f>
        <v>2014-15</v>
      </c>
      <c r="D486" s="163" t="str">
        <f>IFERROR(__xludf.DUMMYFUNCTION("""COMPUTED_VALUE"""),"SAS")</f>
        <v>SAS</v>
      </c>
      <c r="E486" s="164" t="str">
        <f>IFERROR(__xludf.DUMMYFUNCTION("""COMPUTED_VALUE"""),"Post Scorer")</f>
        <v>Post Scorer</v>
      </c>
      <c r="F486" s="164">
        <f>IFERROR(__xludf.DUMMYFUNCTION("""COMPUTED_VALUE"""),2226.80166666667)</f>
        <v>2226.801667</v>
      </c>
      <c r="G486" s="163">
        <f>IFERROR(__xludf.DUMMYFUNCTION("""COMPUTED_VALUE"""),77.0)</f>
        <v>77</v>
      </c>
      <c r="H486" s="163" t="str">
        <f>IFERROR(__xludf.DUMMYFUNCTION("""COMPUTED_VALUE"""),"C")</f>
        <v>C</v>
      </c>
      <c r="I486" s="163">
        <f>IFERROR(__xludf.DUMMYFUNCTION("""COMPUTED_VALUE"""),38.0)</f>
        <v>38</v>
      </c>
      <c r="J486" s="165">
        <f>IFERROR(__xludf.DUMMYFUNCTION("""COMPUTED_VALUE"""),4.05810363887016)</f>
        <v>4.058103639</v>
      </c>
      <c r="K486" s="165">
        <f>IFERROR(__xludf.DUMMYFUNCTION("""COMPUTED_VALUE"""),0.45715118153585)</f>
        <v>0.4571511815</v>
      </c>
      <c r="L486" s="165">
        <f>IFERROR(__xludf.DUMMYFUNCTION("""COMPUTED_VALUE"""),3.60095245733431)</f>
        <v>3.600952457</v>
      </c>
      <c r="M486" s="166">
        <f t="shared" si="2"/>
        <v>9.389700833</v>
      </c>
      <c r="N486" s="167">
        <f t="shared" si="3"/>
        <v>28.91950216</v>
      </c>
      <c r="O486" s="163">
        <f t="shared" ref="O486:Q486" si="490">rank(I486,I:I)</f>
        <v>20</v>
      </c>
      <c r="P486" s="163">
        <f t="shared" si="490"/>
        <v>92</v>
      </c>
      <c r="Q486" s="163">
        <f t="shared" si="490"/>
        <v>797</v>
      </c>
      <c r="R486" s="163">
        <f>IFERROR(__xludf.DUMMYFUNCTION("RANK(M486,filter(M:M,C:C=C486))"),16.0)</f>
        <v>16</v>
      </c>
      <c r="S486" s="161" t="b">
        <f t="shared" si="5"/>
        <v>0</v>
      </c>
      <c r="T486" s="161" t="b">
        <f t="array" ref="T486">index('Query Tool'!B:B,match(H486,'Query Tool'!C:C,0))</f>
        <v>1</v>
      </c>
      <c r="U486" s="161" t="b">
        <f t="array" ref="U486">index('Query Tool'!B:B,match(C486,'Query Tool'!C:C,0))</f>
        <v>0</v>
      </c>
      <c r="V486" s="161" t="b">
        <f>F486&gt;='Query Tool'!C$32</f>
        <v>1</v>
      </c>
      <c r="W486" s="161" t="b">
        <f t="array" ref="W486">index(Dropdowns!B:B,match(I486,Dropdowns!A:A,0))</f>
        <v>1</v>
      </c>
      <c r="X486" s="161" t="b">
        <f t="array" ref="X486">index('Query Tool'!B:B,match(D486,'Query Tool'!C:C,0))</f>
        <v>1</v>
      </c>
      <c r="Y486" s="161" t="str">
        <f t="shared" si="6"/>
        <v>duncati01,2014-15</v>
      </c>
      <c r="Z486" s="168">
        <f t="array" ref="Z486">iferror(index(I:I,match($A486&amp;","&amp;index('Year Conversion'!$A:$A,match($C486,'Year Conversion'!$B:$B,0)),$Y:$Y,0))-I486,"")</f>
        <v>1</v>
      </c>
      <c r="AA486" s="168">
        <f t="array" ref="AA486">iferror(index(J:J,match($A486&amp;","&amp;index('Year Conversion'!$A:$A,match($C486,'Year Conversion'!$B:$B,0)),$Y:$Y,0))-J486,"")</f>
        <v>-0.7545531108</v>
      </c>
      <c r="AB486" s="168">
        <f t="array" ref="AB486">iferror(index(K:K,match($A486&amp;","&amp;index('Year Conversion'!$A:$A,match($C486,'Year Conversion'!$B:$B,0)),$Y:$Y,0))-K486,"")</f>
        <v>-0.7126301725</v>
      </c>
      <c r="AC486" s="168" t="str">
        <f t="shared" si="7"/>
        <v>SAS,2014-15</v>
      </c>
    </row>
    <row r="487">
      <c r="A487" s="161" t="str">
        <f>IFERROR(__xludf.DUMMYFUNCTION("""COMPUTED_VALUE"""),"cartevi01")</f>
        <v>cartevi01</v>
      </c>
      <c r="B487" s="161" t="str">
        <f>IFERROR(__xludf.DUMMYFUNCTION("""COMPUTED_VALUE"""),"Vince Carter")</f>
        <v>Vince Carter</v>
      </c>
      <c r="C487" s="162" t="str">
        <f>IFERROR(__xludf.DUMMYFUNCTION("""COMPUTED_VALUE"""),"2014-15")</f>
        <v>2014-15</v>
      </c>
      <c r="D487" s="163" t="str">
        <f>IFERROR(__xludf.DUMMYFUNCTION("""COMPUTED_VALUE"""),"MEM")</f>
        <v>MEM</v>
      </c>
      <c r="E487" s="164" t="str">
        <f>IFERROR(__xludf.DUMMYFUNCTION("""COMPUTED_VALUE"""),"Secondary Ball Handler")</f>
        <v>Secondary Ball Handler</v>
      </c>
      <c r="F487" s="164">
        <f>IFERROR(__xludf.DUMMYFUNCTION("""COMPUTED_VALUE"""),1091.24333333333)</f>
        <v>1091.243333</v>
      </c>
      <c r="G487" s="163">
        <f>IFERROR(__xludf.DUMMYFUNCTION("""COMPUTED_VALUE"""),66.0)</f>
        <v>66</v>
      </c>
      <c r="H487" s="163" t="str">
        <f>IFERROR(__xludf.DUMMYFUNCTION("""COMPUTED_VALUE"""),"SG")</f>
        <v>SG</v>
      </c>
      <c r="I487" s="163">
        <f>IFERROR(__xludf.DUMMYFUNCTION("""COMPUTED_VALUE"""),38.0)</f>
        <v>38</v>
      </c>
      <c r="J487" s="165">
        <f>IFERROR(__xludf.DUMMYFUNCTION("""COMPUTED_VALUE"""),-0.208062937318091)</f>
        <v>-0.2080629373</v>
      </c>
      <c r="K487" s="165">
        <f>IFERROR(__xludf.DUMMYFUNCTION("""COMPUTED_VALUE"""),0.0211013769447047)</f>
        <v>0.02110137694</v>
      </c>
      <c r="L487" s="165">
        <f>IFERROR(__xludf.DUMMYFUNCTION("""COMPUTED_VALUE"""),-0.229164314262795)</f>
        <v>-0.2291643143</v>
      </c>
      <c r="M487" s="166">
        <f t="shared" si="2"/>
        <v>1.529269704</v>
      </c>
      <c r="N487" s="167">
        <f t="shared" si="3"/>
        <v>16.5339899</v>
      </c>
      <c r="O487" s="163">
        <f t="shared" ref="O487:Q487" si="491">rank(I487,I:I)</f>
        <v>20</v>
      </c>
      <c r="P487" s="163">
        <f t="shared" si="491"/>
        <v>1513</v>
      </c>
      <c r="Q487" s="163">
        <f t="shared" si="491"/>
        <v>1170</v>
      </c>
      <c r="R487" s="163">
        <f>IFERROR(__xludf.DUMMYFUNCTION("RANK(M487,filter(M:M,C:C=C487))"),194.0)</f>
        <v>194</v>
      </c>
      <c r="S487" s="161" t="b">
        <f t="shared" si="5"/>
        <v>0</v>
      </c>
      <c r="T487" s="161" t="b">
        <f t="array" ref="T487">index('Query Tool'!B:B,match(H487,'Query Tool'!C:C,0))</f>
        <v>1</v>
      </c>
      <c r="U487" s="161" t="b">
        <f t="array" ref="U487">index('Query Tool'!B:B,match(C487,'Query Tool'!C:C,0))</f>
        <v>0</v>
      </c>
      <c r="V487" s="161" t="b">
        <f>F487&gt;='Query Tool'!C$32</f>
        <v>1</v>
      </c>
      <c r="W487" s="161" t="b">
        <f t="array" ref="W487">index(Dropdowns!B:B,match(I487,Dropdowns!A:A,0))</f>
        <v>1</v>
      </c>
      <c r="X487" s="161" t="b">
        <f t="array" ref="X487">index('Query Tool'!B:B,match(D487,'Query Tool'!C:C,0))</f>
        <v>1</v>
      </c>
      <c r="Y487" s="161" t="str">
        <f t="shared" si="6"/>
        <v>cartevi01,2014-15</v>
      </c>
      <c r="Z487" s="168">
        <f t="array" ref="Z487">iferror(index(I:I,match($A487&amp;","&amp;index('Year Conversion'!$A:$A,match($C487,'Year Conversion'!$B:$B,0)),$Y:$Y,0))-I487,"")</f>
        <v>1</v>
      </c>
      <c r="AA487" s="168">
        <f t="array" ref="AA487">iferror(index(J:J,match($A487&amp;","&amp;index('Year Conversion'!$A:$A,match($C487,'Year Conversion'!$B:$B,0)),$Y:$Y,0))-J487,"")</f>
        <v>0.3587993734</v>
      </c>
      <c r="AB487" s="168">
        <f t="array" ref="AB487">iferror(index(K:K,match($A487&amp;","&amp;index('Year Conversion'!$A:$A,match($C487,'Year Conversion'!$B:$B,0)),$Y:$Y,0))-K487,"")</f>
        <v>0.5675642933</v>
      </c>
      <c r="AC487" s="168" t="str">
        <f t="shared" si="7"/>
        <v>MEM,2014-15</v>
      </c>
    </row>
    <row r="488">
      <c r="A488" s="161" t="str">
        <f>IFERROR(__xludf.DUMMYFUNCTION("""COMPUTED_VALUE"""),"nowitdi01")</f>
        <v>nowitdi01</v>
      </c>
      <c r="B488" s="161" t="str">
        <f>IFERROR(__xludf.DUMMYFUNCTION("""COMPUTED_VALUE"""),"Dirk Nowitzki")</f>
        <v>Dirk Nowitzki</v>
      </c>
      <c r="C488" s="162" t="str">
        <f>IFERROR(__xludf.DUMMYFUNCTION("""COMPUTED_VALUE"""),"2014-15")</f>
        <v>2014-15</v>
      </c>
      <c r="D488" s="163" t="str">
        <f>IFERROR(__xludf.DUMMYFUNCTION("""COMPUTED_VALUE"""),"DAL")</f>
        <v>DAL</v>
      </c>
      <c r="E488" s="164" t="str">
        <f>IFERROR(__xludf.DUMMYFUNCTION("""COMPUTED_VALUE"""),"Versatile Big")</f>
        <v>Versatile Big</v>
      </c>
      <c r="F488" s="164">
        <f>IFERROR(__xludf.DUMMYFUNCTION("""COMPUTED_VALUE"""),2281.625)</f>
        <v>2281.625</v>
      </c>
      <c r="G488" s="163">
        <f>IFERROR(__xludf.DUMMYFUNCTION("""COMPUTED_VALUE"""),77.0)</f>
        <v>77</v>
      </c>
      <c r="H488" s="163" t="str">
        <f>IFERROR(__xludf.DUMMYFUNCTION("""COMPUTED_VALUE"""),"PF")</f>
        <v>PF</v>
      </c>
      <c r="I488" s="163">
        <f>IFERROR(__xludf.DUMMYFUNCTION("""COMPUTED_VALUE"""),36.0)</f>
        <v>36</v>
      </c>
      <c r="J488" s="165">
        <f>IFERROR(__xludf.DUMMYFUNCTION("""COMPUTED_VALUE"""),1.99758485786927)</f>
        <v>1.997584858</v>
      </c>
      <c r="K488" s="165">
        <f>IFERROR(__xludf.DUMMYFUNCTION("""COMPUTED_VALUE"""),1.68046841590231)</f>
        <v>1.680468416</v>
      </c>
      <c r="L488" s="165">
        <f>IFERROR(__xludf.DUMMYFUNCTION("""COMPUTED_VALUE"""),0.317116441966964)</f>
        <v>0.317116442</v>
      </c>
      <c r="M488" s="166">
        <f t="shared" si="2"/>
        <v>6.573365709</v>
      </c>
      <c r="N488" s="167">
        <f t="shared" si="3"/>
        <v>29.63149351</v>
      </c>
      <c r="O488" s="163">
        <f t="shared" ref="O488:Q488" si="492">rank(I488,I:I)</f>
        <v>65</v>
      </c>
      <c r="P488" s="163">
        <f t="shared" si="492"/>
        <v>325</v>
      </c>
      <c r="Q488" s="163">
        <f t="shared" si="492"/>
        <v>276</v>
      </c>
      <c r="R488" s="163">
        <f>IFERROR(__xludf.DUMMYFUNCTION("RANK(M488,filter(M:M,C:C=C488))"),34.0)</f>
        <v>34</v>
      </c>
      <c r="S488" s="161" t="b">
        <f t="shared" si="5"/>
        <v>0</v>
      </c>
      <c r="T488" s="161" t="b">
        <f t="array" ref="T488">index('Query Tool'!B:B,match(H488,'Query Tool'!C:C,0))</f>
        <v>1</v>
      </c>
      <c r="U488" s="161" t="b">
        <f t="array" ref="U488">index('Query Tool'!B:B,match(C488,'Query Tool'!C:C,0))</f>
        <v>0</v>
      </c>
      <c r="V488" s="161" t="b">
        <f>F488&gt;='Query Tool'!C$32</f>
        <v>1</v>
      </c>
      <c r="W488" s="161" t="b">
        <f t="array" ref="W488">index(Dropdowns!B:B,match(I488,Dropdowns!A:A,0))</f>
        <v>1</v>
      </c>
      <c r="X488" s="161" t="b">
        <f t="array" ref="X488">index('Query Tool'!B:B,match(D488,'Query Tool'!C:C,0))</f>
        <v>1</v>
      </c>
      <c r="Y488" s="161" t="str">
        <f t="shared" si="6"/>
        <v>nowitdi01,2014-15</v>
      </c>
      <c r="Z488" s="168">
        <f t="array" ref="Z488">iferror(index(I:I,match($A488&amp;","&amp;index('Year Conversion'!$A:$A,match($C488,'Year Conversion'!$B:$B,0)),$Y:$Y,0))-I488,"")</f>
        <v>1</v>
      </c>
      <c r="AA488" s="168">
        <f t="array" ref="AA488">iferror(index(J:J,match($A488&amp;","&amp;index('Year Conversion'!$A:$A,match($C488,'Year Conversion'!$B:$B,0)),$Y:$Y,0))-J488,"")</f>
        <v>0.4120311914</v>
      </c>
      <c r="AB488" s="168">
        <f t="array" ref="AB488">iferror(index(K:K,match($A488&amp;","&amp;index('Year Conversion'!$A:$A,match($C488,'Year Conversion'!$B:$B,0)),$Y:$Y,0))-K488,"")</f>
        <v>0.01294820762</v>
      </c>
      <c r="AC488" s="168" t="str">
        <f t="shared" si="7"/>
        <v>DAL,2014-15</v>
      </c>
    </row>
    <row r="489">
      <c r="A489" s="161" t="str">
        <f>IFERROR(__xludf.DUMMYFUNCTION("""COMPUTED_VALUE"""),"piercpa01")</f>
        <v>piercpa01</v>
      </c>
      <c r="B489" s="161" t="str">
        <f>IFERROR(__xludf.DUMMYFUNCTION("""COMPUTED_VALUE"""),"Paul Pierce")</f>
        <v>Paul Pierce</v>
      </c>
      <c r="C489" s="162" t="str">
        <f>IFERROR(__xludf.DUMMYFUNCTION("""COMPUTED_VALUE"""),"2014-15")</f>
        <v>2014-15</v>
      </c>
      <c r="D489" s="163" t="str">
        <f>IFERROR(__xludf.DUMMYFUNCTION("""COMPUTED_VALUE"""),"WAS")</f>
        <v>WAS</v>
      </c>
      <c r="E489" s="164" t="str">
        <f>IFERROR(__xludf.DUMMYFUNCTION("""COMPUTED_VALUE"""),"Movement Shooter")</f>
        <v>Movement Shooter</v>
      </c>
      <c r="F489" s="164">
        <f>IFERROR(__xludf.DUMMYFUNCTION("""COMPUTED_VALUE"""),1913.665)</f>
        <v>1913.665</v>
      </c>
      <c r="G489" s="163">
        <f>IFERROR(__xludf.DUMMYFUNCTION("""COMPUTED_VALUE"""),73.0)</f>
        <v>73</v>
      </c>
      <c r="H489" s="163" t="str">
        <f>IFERROR(__xludf.DUMMYFUNCTION("""COMPUTED_VALUE"""),"SF")</f>
        <v>SF</v>
      </c>
      <c r="I489" s="163">
        <f>IFERROR(__xludf.DUMMYFUNCTION("""COMPUTED_VALUE"""),37.0)</f>
        <v>37</v>
      </c>
      <c r="J489" s="165">
        <f>IFERROR(__xludf.DUMMYFUNCTION("""COMPUTED_VALUE"""),1.16344575697413)</f>
        <v>1.163445757</v>
      </c>
      <c r="K489" s="165">
        <f>IFERROR(__xludf.DUMMYFUNCTION("""COMPUTED_VALUE"""),0.459523177691841)</f>
        <v>0.4595231777</v>
      </c>
      <c r="L489" s="165">
        <f>IFERROR(__xludf.DUMMYFUNCTION("""COMPUTED_VALUE"""),0.703922579282293)</f>
        <v>0.7039225793</v>
      </c>
      <c r="M489" s="166">
        <f t="shared" si="2"/>
        <v>4.448464141</v>
      </c>
      <c r="N489" s="167">
        <f t="shared" si="3"/>
        <v>26.21458904</v>
      </c>
      <c r="O489" s="163">
        <f t="shared" ref="O489:Q489" si="493">rank(I489,I:I)</f>
        <v>38</v>
      </c>
      <c r="P489" s="163">
        <f t="shared" si="493"/>
        <v>587</v>
      </c>
      <c r="Q489" s="163">
        <f t="shared" si="493"/>
        <v>792</v>
      </c>
      <c r="R489" s="163">
        <f>IFERROR(__xludf.DUMMYFUNCTION("RANK(M489,filter(M:M,C:C=C489))"),70.0)</f>
        <v>70</v>
      </c>
      <c r="S489" s="161" t="b">
        <f t="shared" si="5"/>
        <v>0</v>
      </c>
      <c r="T489" s="161" t="b">
        <f t="array" ref="T489">index('Query Tool'!B:B,match(H489,'Query Tool'!C:C,0))</f>
        <v>1</v>
      </c>
      <c r="U489" s="161" t="b">
        <f t="array" ref="U489">index('Query Tool'!B:B,match(C489,'Query Tool'!C:C,0))</f>
        <v>0</v>
      </c>
      <c r="V489" s="161" t="b">
        <f>F489&gt;='Query Tool'!C$32</f>
        <v>1</v>
      </c>
      <c r="W489" s="161" t="b">
        <f t="array" ref="W489">index(Dropdowns!B:B,match(I489,Dropdowns!A:A,0))</f>
        <v>1</v>
      </c>
      <c r="X489" s="161" t="b">
        <f t="array" ref="X489">index('Query Tool'!B:B,match(D489,'Query Tool'!C:C,0))</f>
        <v>1</v>
      </c>
      <c r="Y489" s="161" t="str">
        <f t="shared" si="6"/>
        <v>piercpa01,2014-15</v>
      </c>
      <c r="Z489" s="168">
        <f t="array" ref="Z489">iferror(index(I:I,match($A489&amp;","&amp;index('Year Conversion'!$A:$A,match($C489,'Year Conversion'!$B:$B,0)),$Y:$Y,0))-I489,"")</f>
        <v>1</v>
      </c>
      <c r="AA489" s="168">
        <f t="array" ref="AA489">iferror(index(J:J,match($A489&amp;","&amp;index('Year Conversion'!$A:$A,match($C489,'Year Conversion'!$B:$B,0)),$Y:$Y,0))-J489,"")</f>
        <v>-2.757796096</v>
      </c>
      <c r="AB489" s="168">
        <f t="array" ref="AB489">iferror(index(K:K,match($A489&amp;","&amp;index('Year Conversion'!$A:$A,match($C489,'Year Conversion'!$B:$B,0)),$Y:$Y,0))-K489,"")</f>
        <v>-1.689760902</v>
      </c>
      <c r="AC489" s="168" t="str">
        <f t="shared" si="7"/>
        <v>WAS,2014-15</v>
      </c>
    </row>
    <row r="490">
      <c r="A490" s="161" t="str">
        <f>IFERROR(__xludf.DUMMYFUNCTION("""COMPUTED_VALUE"""),"mohamna01")</f>
        <v>mohamna01</v>
      </c>
      <c r="B490" s="161" t="str">
        <f>IFERROR(__xludf.DUMMYFUNCTION("""COMPUTED_VALUE"""),"Nazr Mohammed")</f>
        <v>Nazr Mohammed</v>
      </c>
      <c r="C490" s="162" t="str">
        <f>IFERROR(__xludf.DUMMYFUNCTION("""COMPUTED_VALUE"""),"2014-15")</f>
        <v>2014-15</v>
      </c>
      <c r="D490" s="163" t="str">
        <f>IFERROR(__xludf.DUMMYFUNCTION("""COMPUTED_VALUE"""),"CHI")</f>
        <v>CHI</v>
      </c>
      <c r="E490" s="164" t="str">
        <f>IFERROR(__xludf.DUMMYFUNCTION("""COMPUTED_VALUE"""),"Roll + Cut Big")</f>
        <v>Roll + Cut Big</v>
      </c>
      <c r="F490" s="164">
        <f>IFERROR(__xludf.DUMMYFUNCTION("""COMPUTED_VALUE"""),128.043333333333)</f>
        <v>128.0433333</v>
      </c>
      <c r="G490" s="163">
        <f>IFERROR(__xludf.DUMMYFUNCTION("""COMPUTED_VALUE"""),23.0)</f>
        <v>23</v>
      </c>
      <c r="H490" s="163" t="str">
        <f>IFERROR(__xludf.DUMMYFUNCTION("""COMPUTED_VALUE"""),"C")</f>
        <v>C</v>
      </c>
      <c r="I490" s="163">
        <f>IFERROR(__xludf.DUMMYFUNCTION("""COMPUTED_VALUE"""),37.0)</f>
        <v>37</v>
      </c>
      <c r="J490" s="165">
        <f>IFERROR(__xludf.DUMMYFUNCTION("""COMPUTED_VALUE"""),-0.995322734576142)</f>
        <v>-0.9953227346</v>
      </c>
      <c r="K490" s="165">
        <f>IFERROR(__xludf.DUMMYFUNCTION("""COMPUTED_VALUE"""),-1.03056484341935)</f>
        <v>-1.030564843</v>
      </c>
      <c r="L490" s="165">
        <f>IFERROR(__xludf.DUMMYFUNCTION("""COMPUTED_VALUE"""),0.0352421088432128)</f>
        <v>0.03524210884</v>
      </c>
      <c r="M490" s="166">
        <f t="shared" si="2"/>
        <v>0.1115964472</v>
      </c>
      <c r="N490" s="167">
        <f t="shared" si="3"/>
        <v>5.567101449</v>
      </c>
      <c r="O490" s="163">
        <f t="shared" ref="O490:Q490" si="494">rank(I490,I:I)</f>
        <v>38</v>
      </c>
      <c r="P490" s="163">
        <f t="shared" si="494"/>
        <v>2497</v>
      </c>
      <c r="Q490" s="163">
        <f t="shared" si="494"/>
        <v>2842</v>
      </c>
      <c r="R490" s="163">
        <f>IFERROR(__xludf.DUMMYFUNCTION("RANK(M490,filter(M:M,C:C=C490))"),373.0)</f>
        <v>373</v>
      </c>
      <c r="S490" s="161" t="b">
        <f t="shared" si="5"/>
        <v>0</v>
      </c>
      <c r="T490" s="161" t="b">
        <f t="array" ref="T490">index('Query Tool'!B:B,match(H490,'Query Tool'!C:C,0))</f>
        <v>1</v>
      </c>
      <c r="U490" s="161" t="b">
        <f t="array" ref="U490">index('Query Tool'!B:B,match(C490,'Query Tool'!C:C,0))</f>
        <v>0</v>
      </c>
      <c r="V490" s="161" t="b">
        <f>F490&gt;='Query Tool'!C$32</f>
        <v>0</v>
      </c>
      <c r="W490" s="161" t="b">
        <f t="array" ref="W490">index(Dropdowns!B:B,match(I490,Dropdowns!A:A,0))</f>
        <v>1</v>
      </c>
      <c r="X490" s="161" t="b">
        <f t="array" ref="X490">index('Query Tool'!B:B,match(D490,'Query Tool'!C:C,0))</f>
        <v>1</v>
      </c>
      <c r="Y490" s="161" t="str">
        <f t="shared" si="6"/>
        <v>mohamna01,2014-15</v>
      </c>
      <c r="Z490" s="168">
        <f t="array" ref="Z490">iferror(index(I:I,match($A490&amp;","&amp;index('Year Conversion'!$A:$A,match($C490,'Year Conversion'!$B:$B,0)),$Y:$Y,0))-I490,"")</f>
        <v>1</v>
      </c>
      <c r="AA490" s="168">
        <f t="array" ref="AA490">iferror(index(J:J,match($A490&amp;","&amp;index('Year Conversion'!$A:$A,match($C490,'Year Conversion'!$B:$B,0)),$Y:$Y,0))-J490,"")</f>
        <v>-0.08673727165</v>
      </c>
      <c r="AB490" s="168">
        <f t="array" ref="AB490">iferror(index(K:K,match($A490&amp;","&amp;index('Year Conversion'!$A:$A,match($C490,'Year Conversion'!$B:$B,0)),$Y:$Y,0))-K490,"")</f>
        <v>0.5833745241</v>
      </c>
      <c r="AC490" s="168" t="str">
        <f t="shared" si="7"/>
        <v>CHI,2014-15</v>
      </c>
    </row>
    <row r="491">
      <c r="A491" s="161" t="str">
        <f>IFERROR(__xludf.DUMMYFUNCTION("""COMPUTED_VALUE"""),"brandel01")</f>
        <v>brandel01</v>
      </c>
      <c r="B491" s="161" t="str">
        <f>IFERROR(__xludf.DUMMYFUNCTION("""COMPUTED_VALUE"""),"Elton Brand")</f>
        <v>Elton Brand</v>
      </c>
      <c r="C491" s="162" t="str">
        <f>IFERROR(__xludf.DUMMYFUNCTION("""COMPUTED_VALUE"""),"2014-15")</f>
        <v>2014-15</v>
      </c>
      <c r="D491" s="163" t="str">
        <f>IFERROR(__xludf.DUMMYFUNCTION("""COMPUTED_VALUE"""),"ATL")</f>
        <v>ATL</v>
      </c>
      <c r="E491" s="164" t="str">
        <f>IFERROR(__xludf.DUMMYFUNCTION("""COMPUTED_VALUE"""),"Roll + Cut Big")</f>
        <v>Roll + Cut Big</v>
      </c>
      <c r="F491" s="164">
        <f>IFERROR(__xludf.DUMMYFUNCTION("""COMPUTED_VALUE"""),485.673333333333)</f>
        <v>485.6733333</v>
      </c>
      <c r="G491" s="163">
        <f>IFERROR(__xludf.DUMMYFUNCTION("""COMPUTED_VALUE"""),36.0)</f>
        <v>36</v>
      </c>
      <c r="H491" s="163" t="str">
        <f>IFERROR(__xludf.DUMMYFUNCTION("""COMPUTED_VALUE"""),"C")</f>
        <v>C</v>
      </c>
      <c r="I491" s="163">
        <f>IFERROR(__xludf.DUMMYFUNCTION("""COMPUTED_VALUE"""),35.0)</f>
        <v>35</v>
      </c>
      <c r="J491" s="165">
        <f>IFERROR(__xludf.DUMMYFUNCTION("""COMPUTED_VALUE"""),-1.61659599005109)</f>
        <v>-1.61659599</v>
      </c>
      <c r="K491" s="165">
        <f>IFERROR(__xludf.DUMMYFUNCTION("""COMPUTED_VALUE"""),-2.91952774190876)</f>
        <v>-2.919527742</v>
      </c>
      <c r="L491" s="165">
        <f>IFERROR(__xludf.DUMMYFUNCTION("""COMPUTED_VALUE"""),1.30293175185767)</f>
        <v>1.302931752</v>
      </c>
      <c r="M491" s="166">
        <f t="shared" si="2"/>
        <v>0.2213280403</v>
      </c>
      <c r="N491" s="167">
        <f t="shared" si="3"/>
        <v>13.49092593</v>
      </c>
      <c r="O491" s="163">
        <f t="shared" ref="O491:Q491" si="495">rank(I491,I:I)</f>
        <v>104</v>
      </c>
      <c r="P491" s="163">
        <f t="shared" si="495"/>
        <v>3165</v>
      </c>
      <c r="Q491" s="163">
        <f t="shared" si="495"/>
        <v>3968</v>
      </c>
      <c r="R491" s="163">
        <f>IFERROR(__xludf.DUMMYFUNCTION("RANK(M491,filter(M:M,C:C=C491))"),330.0)</f>
        <v>330</v>
      </c>
      <c r="S491" s="161" t="b">
        <f t="shared" si="5"/>
        <v>0</v>
      </c>
      <c r="T491" s="161" t="b">
        <f t="array" ref="T491">index('Query Tool'!B:B,match(H491,'Query Tool'!C:C,0))</f>
        <v>1</v>
      </c>
      <c r="U491" s="161" t="b">
        <f t="array" ref="U491">index('Query Tool'!B:B,match(C491,'Query Tool'!C:C,0))</f>
        <v>0</v>
      </c>
      <c r="V491" s="161" t="b">
        <f>F491&gt;='Query Tool'!C$32</f>
        <v>0</v>
      </c>
      <c r="W491" s="161" t="b">
        <f t="array" ref="W491">index(Dropdowns!B:B,match(I491,Dropdowns!A:A,0))</f>
        <v>1</v>
      </c>
      <c r="X491" s="161" t="b">
        <f t="array" ref="X491">index('Query Tool'!B:B,match(D491,'Query Tool'!C:C,0))</f>
        <v>1</v>
      </c>
      <c r="Y491" s="161" t="str">
        <f t="shared" si="6"/>
        <v>brandel01,2014-15</v>
      </c>
      <c r="Z491" s="168">
        <f t="array" ref="Z491">iferror(index(I:I,match($A491&amp;","&amp;index('Year Conversion'!$A:$A,match($C491,'Year Conversion'!$B:$B,0)),$Y:$Y,0))-I491,"")</f>
        <v>1</v>
      </c>
      <c r="AA491" s="168">
        <f t="array" ref="AA491">iferror(index(J:J,match($A491&amp;","&amp;index('Year Conversion'!$A:$A,match($C491,'Year Conversion'!$B:$B,0)),$Y:$Y,0))-J491,"")</f>
        <v>1.521424309</v>
      </c>
      <c r="AB491" s="168">
        <f t="array" ref="AB491">iferror(index(K:K,match($A491&amp;","&amp;index('Year Conversion'!$A:$A,match($C491,'Year Conversion'!$B:$B,0)),$Y:$Y,0))-K491,"")</f>
        <v>1.535588658</v>
      </c>
      <c r="AC491" s="168" t="str">
        <f t="shared" si="7"/>
        <v>ATL,2014-15</v>
      </c>
    </row>
    <row r="492">
      <c r="A492" s="161" t="str">
        <f>IFERROR(__xludf.DUMMYFUNCTION("""COMPUTED_VALUE"""),"millean02")</f>
        <v>millean02</v>
      </c>
      <c r="B492" s="161" t="str">
        <f>IFERROR(__xludf.DUMMYFUNCTION("""COMPUTED_VALUE"""),"Andre Miller")</f>
        <v>Andre Miller</v>
      </c>
      <c r="C492" s="162" t="str">
        <f>IFERROR(__xludf.DUMMYFUNCTION("""COMPUTED_VALUE"""),"2014-15")</f>
        <v>2014-15</v>
      </c>
      <c r="D492" s="163" t="str">
        <f>IFERROR(__xludf.DUMMYFUNCTION("""COMPUTED_VALUE"""),"TOT")</f>
        <v>TOT</v>
      </c>
      <c r="E492" s="164" t="str">
        <f>IFERROR(__xludf.DUMMYFUNCTION("""COMPUTED_VALUE"""),"Shot Creator")</f>
        <v>Shot Creator</v>
      </c>
      <c r="F492" s="164">
        <f>IFERROR(__xludf.DUMMYFUNCTION("""COMPUTED_VALUE"""),1253.27166666667)</f>
        <v>1253.271667</v>
      </c>
      <c r="G492" s="163">
        <f>IFERROR(__xludf.DUMMYFUNCTION("""COMPUTED_VALUE"""),81.0)</f>
        <v>81</v>
      </c>
      <c r="H492" s="163" t="str">
        <f>IFERROR(__xludf.DUMMYFUNCTION("""COMPUTED_VALUE"""),"PG")</f>
        <v>PG</v>
      </c>
      <c r="I492" s="163">
        <f>IFERROR(__xludf.DUMMYFUNCTION("""COMPUTED_VALUE"""),38.0)</f>
        <v>38</v>
      </c>
      <c r="J492" s="165">
        <f>IFERROR(__xludf.DUMMYFUNCTION("""COMPUTED_VALUE"""),-0.612043787030638)</f>
        <v>-0.612043787</v>
      </c>
      <c r="K492" s="165">
        <f>IFERROR(__xludf.DUMMYFUNCTION("""COMPUTED_VALUE"""),0.0595429176835809)</f>
        <v>0.05954291768</v>
      </c>
      <c r="L492" s="165">
        <f>IFERROR(__xludf.DUMMYFUNCTION("""COMPUTED_VALUE"""),-0.671586704714219)</f>
        <v>-0.6715867047</v>
      </c>
      <c r="M492" s="166">
        <f t="shared" si="2"/>
        <v>1.415253988</v>
      </c>
      <c r="N492" s="167">
        <f t="shared" si="3"/>
        <v>15.47248971</v>
      </c>
      <c r="O492" s="163">
        <f t="shared" ref="O492:Q492" si="496">rank(I492,I:I)</f>
        <v>20</v>
      </c>
      <c r="P492" s="163">
        <f t="shared" si="496"/>
        <v>2013</v>
      </c>
      <c r="Q492" s="163">
        <f t="shared" si="496"/>
        <v>1121</v>
      </c>
      <c r="R492" s="163">
        <f>IFERROR(__xludf.DUMMYFUNCTION("RANK(M492,filter(M:M,C:C=C492))"),205.0)</f>
        <v>205</v>
      </c>
      <c r="S492" s="161" t="b">
        <f t="shared" si="5"/>
        <v>0</v>
      </c>
      <c r="T492" s="161" t="b">
        <f t="array" ref="T492">index('Query Tool'!B:B,match(H492,'Query Tool'!C:C,0))</f>
        <v>1</v>
      </c>
      <c r="U492" s="161" t="b">
        <f t="array" ref="U492">index('Query Tool'!B:B,match(C492,'Query Tool'!C:C,0))</f>
        <v>0</v>
      </c>
      <c r="V492" s="161" t="b">
        <f>F492&gt;='Query Tool'!C$32</f>
        <v>1</v>
      </c>
      <c r="W492" s="161" t="b">
        <f t="array" ref="W492">index(Dropdowns!B:B,match(I492,Dropdowns!A:A,0))</f>
        <v>1</v>
      </c>
      <c r="X492" s="161" t="b">
        <f t="array" ref="X492">index('Query Tool'!B:B,match(D492,'Query Tool'!C:C,0))</f>
        <v>1</v>
      </c>
      <c r="Y492" s="161" t="str">
        <f t="shared" si="6"/>
        <v>millean02,2014-15</v>
      </c>
      <c r="Z492" s="168">
        <f t="array" ref="Z492">iferror(index(I:I,match($A492&amp;","&amp;index('Year Conversion'!$A:$A,match($C492,'Year Conversion'!$B:$B,0)),$Y:$Y,0))-I492,"")</f>
        <v>1</v>
      </c>
      <c r="AA492" s="168">
        <f t="array" ref="AA492">iferror(index(J:J,match($A492&amp;","&amp;index('Year Conversion'!$A:$A,match($C492,'Year Conversion'!$B:$B,0)),$Y:$Y,0))-J492,"")</f>
        <v>-0.4973605355</v>
      </c>
      <c r="AB492" s="168">
        <f t="array" ref="AB492">iferror(index(K:K,match($A492&amp;","&amp;index('Year Conversion'!$A:$A,match($C492,'Year Conversion'!$B:$B,0)),$Y:$Y,0))-K492,"")</f>
        <v>0.07900541195</v>
      </c>
      <c r="AC492" s="168" t="str">
        <f t="shared" si="7"/>
        <v>TOT,2014-15</v>
      </c>
    </row>
    <row r="493">
      <c r="A493" s="161" t="str">
        <f>IFERROR(__xludf.DUMMYFUNCTION("""COMPUTED_VALUE"""),"mariosh01")</f>
        <v>mariosh01</v>
      </c>
      <c r="B493" s="161" t="str">
        <f>IFERROR(__xludf.DUMMYFUNCTION("""COMPUTED_VALUE"""),"Shawn Marion")</f>
        <v>Shawn Marion</v>
      </c>
      <c r="C493" s="162" t="str">
        <f>IFERROR(__xludf.DUMMYFUNCTION("""COMPUTED_VALUE"""),"2014-15")</f>
        <v>2014-15</v>
      </c>
      <c r="D493" s="163" t="str">
        <f>IFERROR(__xludf.DUMMYFUNCTION("""COMPUTED_VALUE"""),"CLE")</f>
        <v>CLE</v>
      </c>
      <c r="E493" s="164" t="str">
        <f>IFERROR(__xludf.DUMMYFUNCTION("""COMPUTED_VALUE"""),"Roll + Cut Big")</f>
        <v>Roll + Cut Big</v>
      </c>
      <c r="F493" s="164">
        <f>IFERROR(__xludf.DUMMYFUNCTION("""COMPUTED_VALUE"""),1100.83833333333)</f>
        <v>1100.838333</v>
      </c>
      <c r="G493" s="163">
        <f>IFERROR(__xludf.DUMMYFUNCTION("""COMPUTED_VALUE"""),57.0)</f>
        <v>57</v>
      </c>
      <c r="H493" s="163" t="str">
        <f>IFERROR(__xludf.DUMMYFUNCTION("""COMPUTED_VALUE"""),"SF")</f>
        <v>SF</v>
      </c>
      <c r="I493" s="163">
        <f>IFERROR(__xludf.DUMMYFUNCTION("""COMPUTED_VALUE"""),36.0)</f>
        <v>36</v>
      </c>
      <c r="J493" s="165">
        <f>IFERROR(__xludf.DUMMYFUNCTION("""COMPUTED_VALUE"""),-1.32586556373823)</f>
        <v>-1.325865564</v>
      </c>
      <c r="K493" s="165">
        <f>IFERROR(__xludf.DUMMYFUNCTION("""COMPUTED_VALUE"""),-0.897611233624375)</f>
        <v>-0.8976112336</v>
      </c>
      <c r="L493" s="165">
        <f>IFERROR(__xludf.DUMMYFUNCTION("""COMPUTED_VALUE"""),-0.428254330113856)</f>
        <v>-0.4282543301</v>
      </c>
      <c r="M493" s="166">
        <f t="shared" si="2"/>
        <v>0.7154988675</v>
      </c>
      <c r="N493" s="167">
        <f t="shared" si="3"/>
        <v>19.31295322</v>
      </c>
      <c r="O493" s="163">
        <f t="shared" ref="O493:Q493" si="497">rank(I493,I:I)</f>
        <v>65</v>
      </c>
      <c r="P493" s="163">
        <f t="shared" si="497"/>
        <v>2892</v>
      </c>
      <c r="Q493" s="163">
        <f t="shared" si="497"/>
        <v>2686</v>
      </c>
      <c r="R493" s="163">
        <f>IFERROR(__xludf.DUMMYFUNCTION("RANK(M493,filter(M:M,C:C=C493))"),259.0)</f>
        <v>259</v>
      </c>
      <c r="S493" s="161" t="b">
        <f t="shared" si="5"/>
        <v>0</v>
      </c>
      <c r="T493" s="161" t="b">
        <f t="array" ref="T493">index('Query Tool'!B:B,match(H493,'Query Tool'!C:C,0))</f>
        <v>1</v>
      </c>
      <c r="U493" s="161" t="b">
        <f t="array" ref="U493">index('Query Tool'!B:B,match(C493,'Query Tool'!C:C,0))</f>
        <v>0</v>
      </c>
      <c r="V493" s="161" t="b">
        <f>F493&gt;='Query Tool'!C$32</f>
        <v>1</v>
      </c>
      <c r="W493" s="161" t="b">
        <f t="array" ref="W493">index(Dropdowns!B:B,match(I493,Dropdowns!A:A,0))</f>
        <v>1</v>
      </c>
      <c r="X493" s="161" t="b">
        <f t="array" ref="X493">index('Query Tool'!B:B,match(D493,'Query Tool'!C:C,0))</f>
        <v>1</v>
      </c>
      <c r="Y493" s="161" t="str">
        <f t="shared" si="6"/>
        <v>mariosh01,2014-15</v>
      </c>
      <c r="Z493" s="168" t="str">
        <f t="array" ref="Z493">iferror(index(I:I,match($A493&amp;","&amp;index('Year Conversion'!$A:$A,match($C493,'Year Conversion'!$B:$B,0)),$Y:$Y,0))-I493,"")</f>
        <v/>
      </c>
      <c r="AA493" s="168" t="str">
        <f t="array" ref="AA493">iferror(index(J:J,match($A493&amp;","&amp;index('Year Conversion'!$A:$A,match($C493,'Year Conversion'!$B:$B,0)),$Y:$Y,0))-J493,"")</f>
        <v/>
      </c>
      <c r="AB493" s="168" t="str">
        <f t="array" ref="AB493">iferror(index(K:K,match($A493&amp;","&amp;index('Year Conversion'!$A:$A,match($C493,'Year Conversion'!$B:$B,0)),$Y:$Y,0))-K493,"")</f>
        <v/>
      </c>
      <c r="AC493" s="168" t="str">
        <f t="shared" si="7"/>
        <v>CLE,2014-15</v>
      </c>
    </row>
    <row r="494">
      <c r="A494" s="161" t="str">
        <f>IFERROR(__xludf.DUMMYFUNCTION("""COMPUTED_VALUE"""),"terryja01")</f>
        <v>terryja01</v>
      </c>
      <c r="B494" s="161" t="str">
        <f>IFERROR(__xludf.DUMMYFUNCTION("""COMPUTED_VALUE"""),"Jason Terry")</f>
        <v>Jason Terry</v>
      </c>
      <c r="C494" s="162" t="str">
        <f>IFERROR(__xludf.DUMMYFUNCTION("""COMPUTED_VALUE"""),"2014-15")</f>
        <v>2014-15</v>
      </c>
      <c r="D494" s="163" t="str">
        <f>IFERROR(__xludf.DUMMYFUNCTION("""COMPUTED_VALUE"""),"HOU")</f>
        <v>HOU</v>
      </c>
      <c r="E494" s="164" t="str">
        <f>IFERROR(__xludf.DUMMYFUNCTION("""COMPUTED_VALUE"""),"Primary Ball Handler")</f>
        <v>Primary Ball Handler</v>
      </c>
      <c r="F494" s="164">
        <f>IFERROR(__xludf.DUMMYFUNCTION("""COMPUTED_VALUE"""),1641.26)</f>
        <v>1641.26</v>
      </c>
      <c r="G494" s="163">
        <f>IFERROR(__xludf.DUMMYFUNCTION("""COMPUTED_VALUE"""),77.0)</f>
        <v>77</v>
      </c>
      <c r="H494" s="163" t="str">
        <f>IFERROR(__xludf.DUMMYFUNCTION("""COMPUTED_VALUE"""),"SG")</f>
        <v>SG</v>
      </c>
      <c r="I494" s="163">
        <f>IFERROR(__xludf.DUMMYFUNCTION("""COMPUTED_VALUE"""),37.0)</f>
        <v>37</v>
      </c>
      <c r="J494" s="165">
        <f>IFERROR(__xludf.DUMMYFUNCTION("""COMPUTED_VALUE"""),-0.979284265931265)</f>
        <v>-0.9792842659</v>
      </c>
      <c r="K494" s="165">
        <f>IFERROR(__xludf.DUMMYFUNCTION("""COMPUTED_VALUE"""),-0.423137047130596)</f>
        <v>-0.4231370471</v>
      </c>
      <c r="L494" s="165">
        <f>IFERROR(__xludf.DUMMYFUNCTION("""COMPUTED_VALUE"""),-0.556147218800669)</f>
        <v>-0.5561472188</v>
      </c>
      <c r="M494" s="166">
        <f t="shared" si="2"/>
        <v>1.448118739</v>
      </c>
      <c r="N494" s="167">
        <f t="shared" si="3"/>
        <v>21.31506494</v>
      </c>
      <c r="O494" s="163">
        <f t="shared" ref="O494:Q494" si="498">rank(I494,I:I)</f>
        <v>38</v>
      </c>
      <c r="P494" s="163">
        <f t="shared" si="498"/>
        <v>2480</v>
      </c>
      <c r="Q494" s="163">
        <f t="shared" si="498"/>
        <v>1985</v>
      </c>
      <c r="R494" s="163">
        <f>IFERROR(__xludf.DUMMYFUNCTION("RANK(M494,filter(M:M,C:C=C494))"),201.0)</f>
        <v>201</v>
      </c>
      <c r="S494" s="161" t="b">
        <f t="shared" si="5"/>
        <v>0</v>
      </c>
      <c r="T494" s="161" t="b">
        <f t="array" ref="T494">index('Query Tool'!B:B,match(H494,'Query Tool'!C:C,0))</f>
        <v>1</v>
      </c>
      <c r="U494" s="161" t="b">
        <f t="array" ref="U494">index('Query Tool'!B:B,match(C494,'Query Tool'!C:C,0))</f>
        <v>0</v>
      </c>
      <c r="V494" s="161" t="b">
        <f>F494&gt;='Query Tool'!C$32</f>
        <v>1</v>
      </c>
      <c r="W494" s="161" t="b">
        <f t="array" ref="W494">index(Dropdowns!B:B,match(I494,Dropdowns!A:A,0))</f>
        <v>1</v>
      </c>
      <c r="X494" s="161" t="b">
        <f t="array" ref="X494">index('Query Tool'!B:B,match(D494,'Query Tool'!C:C,0))</f>
        <v>1</v>
      </c>
      <c r="Y494" s="161" t="str">
        <f t="shared" si="6"/>
        <v>terryja01,2014-15</v>
      </c>
      <c r="Z494" s="168">
        <f t="array" ref="Z494">iferror(index(I:I,match($A494&amp;","&amp;index('Year Conversion'!$A:$A,match($C494,'Year Conversion'!$B:$B,0)),$Y:$Y,0))-I494,"")</f>
        <v>1</v>
      </c>
      <c r="AA494" s="168">
        <f t="array" ref="AA494">iferror(index(J:J,match($A494&amp;","&amp;index('Year Conversion'!$A:$A,match($C494,'Year Conversion'!$B:$B,0)),$Y:$Y,0))-J494,"")</f>
        <v>-1.101092534</v>
      </c>
      <c r="AB494" s="168">
        <f t="array" ref="AB494">iferror(index(K:K,match($A494&amp;","&amp;index('Year Conversion'!$A:$A,match($C494,'Year Conversion'!$B:$B,0)),$Y:$Y,0))-K494,"")</f>
        <v>0.4862216027</v>
      </c>
      <c r="AC494" s="168" t="str">
        <f t="shared" si="7"/>
        <v>HOU,2014-15</v>
      </c>
    </row>
    <row r="495">
      <c r="A495" s="161" t="str">
        <f>IFERROR(__xludf.DUMMYFUNCTION("""COMPUTED_VALUE"""),"kirilan01")</f>
        <v>kirilan01</v>
      </c>
      <c r="B495" s="161" t="str">
        <f>IFERROR(__xludf.DUMMYFUNCTION("""COMPUTED_VALUE"""),"Andrei Kirilenko")</f>
        <v>Andrei Kirilenko</v>
      </c>
      <c r="C495" s="162" t="str">
        <f>IFERROR(__xludf.DUMMYFUNCTION("""COMPUTED_VALUE"""),"2014-15")</f>
        <v>2014-15</v>
      </c>
      <c r="D495" s="163" t="str">
        <f>IFERROR(__xludf.DUMMYFUNCTION("""COMPUTED_VALUE"""),"BRK")</f>
        <v>BRK</v>
      </c>
      <c r="E495" s="164" t="str">
        <f>IFERROR(__xludf.DUMMYFUNCTION("""COMPUTED_VALUE"""),"Athletic Finisher")</f>
        <v>Athletic Finisher</v>
      </c>
      <c r="F495" s="164">
        <f>IFERROR(__xludf.DUMMYFUNCTION("""COMPUTED_VALUE"""),36.3966666666666)</f>
        <v>36.39666667</v>
      </c>
      <c r="G495" s="163">
        <f>IFERROR(__xludf.DUMMYFUNCTION("""COMPUTED_VALUE"""),7.0)</f>
        <v>7</v>
      </c>
      <c r="H495" s="163" t="str">
        <f>IFERROR(__xludf.DUMMYFUNCTION("""COMPUTED_VALUE"""),"SF")</f>
        <v>SF</v>
      </c>
      <c r="I495" s="163">
        <f>IFERROR(__xludf.DUMMYFUNCTION("""COMPUTED_VALUE"""),33.0)</f>
        <v>33</v>
      </c>
      <c r="J495" s="165">
        <f>IFERROR(__xludf.DUMMYFUNCTION("""COMPUTED_VALUE"""),-0.292977100529968)</f>
        <v>-0.2929771005</v>
      </c>
      <c r="K495" s="165">
        <f>IFERROR(__xludf.DUMMYFUNCTION("""COMPUTED_VALUE"""),-0.151414788387242)</f>
        <v>-0.1514147884</v>
      </c>
      <c r="L495" s="165">
        <f>IFERROR(__xludf.DUMMYFUNCTION("""COMPUTED_VALUE"""),-0.141562312142726)</f>
        <v>-0.1415623121</v>
      </c>
      <c r="M495" s="166">
        <f t="shared" si="2"/>
        <v>0.04892323605</v>
      </c>
      <c r="N495" s="167">
        <f t="shared" si="3"/>
        <v>5.19952381</v>
      </c>
      <c r="O495" s="163">
        <f t="shared" ref="O495:Q495" si="499">rank(I495,I:I)</f>
        <v>246</v>
      </c>
      <c r="P495" s="163">
        <f t="shared" si="499"/>
        <v>1601</v>
      </c>
      <c r="Q495" s="163">
        <f t="shared" si="499"/>
        <v>1480</v>
      </c>
      <c r="R495" s="163">
        <f>IFERROR(__xludf.DUMMYFUNCTION("RANK(M495,filter(M:M,C:C=C495))"),409.0)</f>
        <v>409</v>
      </c>
      <c r="S495" s="161" t="b">
        <f t="shared" si="5"/>
        <v>0</v>
      </c>
      <c r="T495" s="161" t="b">
        <f t="array" ref="T495">index('Query Tool'!B:B,match(H495,'Query Tool'!C:C,0))</f>
        <v>1</v>
      </c>
      <c r="U495" s="161" t="b">
        <f t="array" ref="U495">index('Query Tool'!B:B,match(C495,'Query Tool'!C:C,0))</f>
        <v>0</v>
      </c>
      <c r="V495" s="161" t="b">
        <f>F495&gt;='Query Tool'!C$32</f>
        <v>0</v>
      </c>
      <c r="W495" s="161" t="b">
        <f t="array" ref="W495">index(Dropdowns!B:B,match(I495,Dropdowns!A:A,0))</f>
        <v>1</v>
      </c>
      <c r="X495" s="161" t="b">
        <f t="array" ref="X495">index('Query Tool'!B:B,match(D495,'Query Tool'!C:C,0))</f>
        <v>1</v>
      </c>
      <c r="Y495" s="161" t="str">
        <f t="shared" si="6"/>
        <v>kirilan01,2014-15</v>
      </c>
      <c r="Z495" s="168" t="str">
        <f t="array" ref="Z495">iferror(index(I:I,match($A495&amp;","&amp;index('Year Conversion'!$A:$A,match($C495,'Year Conversion'!$B:$B,0)),$Y:$Y,0))-I495,"")</f>
        <v/>
      </c>
      <c r="AA495" s="168" t="str">
        <f t="array" ref="AA495">iferror(index(J:J,match($A495&amp;","&amp;index('Year Conversion'!$A:$A,match($C495,'Year Conversion'!$B:$B,0)),$Y:$Y,0))-J495,"")</f>
        <v/>
      </c>
      <c r="AB495" s="168" t="str">
        <f t="array" ref="AB495">iferror(index(K:K,match($A495&amp;","&amp;index('Year Conversion'!$A:$A,match($C495,'Year Conversion'!$B:$B,0)),$Y:$Y,0))-K495,"")</f>
        <v/>
      </c>
      <c r="AC495" s="168" t="str">
        <f t="shared" si="7"/>
        <v>BRK,2014-15</v>
      </c>
    </row>
    <row r="496">
      <c r="A496" s="161" t="str">
        <f>IFERROR(__xludf.DUMMYFUNCTION("""COMPUTED_VALUE"""),"ginobma01")</f>
        <v>ginobma01</v>
      </c>
      <c r="B496" s="161" t="str">
        <f>IFERROR(__xludf.DUMMYFUNCTION("""COMPUTED_VALUE"""),"Manu Ginobili")</f>
        <v>Manu Ginobili</v>
      </c>
      <c r="C496" s="162" t="str">
        <f>IFERROR(__xludf.DUMMYFUNCTION("""COMPUTED_VALUE"""),"2014-15")</f>
        <v>2014-15</v>
      </c>
      <c r="D496" s="163" t="str">
        <f>IFERROR(__xludf.DUMMYFUNCTION("""COMPUTED_VALUE"""),"SAS")</f>
        <v>SAS</v>
      </c>
      <c r="E496" s="164" t="str">
        <f>IFERROR(__xludf.DUMMYFUNCTION("""COMPUTED_VALUE"""),"Secondary Ball Handler")</f>
        <v>Secondary Ball Handler</v>
      </c>
      <c r="F496" s="164">
        <f>IFERROR(__xludf.DUMMYFUNCTION("""COMPUTED_VALUE"""),1586.86833333333)</f>
        <v>1586.868333</v>
      </c>
      <c r="G496" s="163">
        <f>IFERROR(__xludf.DUMMYFUNCTION("""COMPUTED_VALUE"""),70.0)</f>
        <v>70</v>
      </c>
      <c r="H496" s="163" t="str">
        <f>IFERROR(__xludf.DUMMYFUNCTION("""COMPUTED_VALUE"""),"SG")</f>
        <v>SG</v>
      </c>
      <c r="I496" s="163">
        <f>IFERROR(__xludf.DUMMYFUNCTION("""COMPUTED_VALUE"""),37.0)</f>
        <v>37</v>
      </c>
      <c r="J496" s="165">
        <f>IFERROR(__xludf.DUMMYFUNCTION("""COMPUTED_VALUE"""),1.88036788097895)</f>
        <v>1.880367881</v>
      </c>
      <c r="K496" s="165">
        <f>IFERROR(__xludf.DUMMYFUNCTION("""COMPUTED_VALUE"""),0.647661158595073)</f>
        <v>0.6476611586</v>
      </c>
      <c r="L496" s="165">
        <f>IFERROR(__xludf.DUMMYFUNCTION("""COMPUTED_VALUE"""),1.23270672238387)</f>
        <v>1.232706722</v>
      </c>
      <c r="M496" s="166">
        <f t="shared" si="2"/>
        <v>4.448311028</v>
      </c>
      <c r="N496" s="167">
        <f t="shared" si="3"/>
        <v>22.66954762</v>
      </c>
      <c r="O496" s="163">
        <f t="shared" ref="O496:Q496" si="500">rank(I496,I:I)</f>
        <v>38</v>
      </c>
      <c r="P496" s="163">
        <f t="shared" si="500"/>
        <v>350</v>
      </c>
      <c r="Q496" s="163">
        <f t="shared" si="500"/>
        <v>681</v>
      </c>
      <c r="R496" s="163">
        <f>IFERROR(__xludf.DUMMYFUNCTION("RANK(M496,filter(M:M,C:C=C496))"),71.0)</f>
        <v>71</v>
      </c>
      <c r="S496" s="161" t="b">
        <f t="shared" si="5"/>
        <v>0</v>
      </c>
      <c r="T496" s="161" t="b">
        <f t="array" ref="T496">index('Query Tool'!B:B,match(H496,'Query Tool'!C:C,0))</f>
        <v>1</v>
      </c>
      <c r="U496" s="161" t="b">
        <f t="array" ref="U496">index('Query Tool'!B:B,match(C496,'Query Tool'!C:C,0))</f>
        <v>0</v>
      </c>
      <c r="V496" s="161" t="b">
        <f>F496&gt;='Query Tool'!C$32</f>
        <v>1</v>
      </c>
      <c r="W496" s="161" t="b">
        <f t="array" ref="W496">index(Dropdowns!B:B,match(I496,Dropdowns!A:A,0))</f>
        <v>1</v>
      </c>
      <c r="X496" s="161" t="b">
        <f t="array" ref="X496">index('Query Tool'!B:B,match(D496,'Query Tool'!C:C,0))</f>
        <v>1</v>
      </c>
      <c r="Y496" s="161" t="str">
        <f t="shared" si="6"/>
        <v>ginobma01,2014-15</v>
      </c>
      <c r="Z496" s="168">
        <f t="array" ref="Z496">iferror(index(I:I,match($A496&amp;","&amp;index('Year Conversion'!$A:$A,match($C496,'Year Conversion'!$B:$B,0)),$Y:$Y,0))-I496,"")</f>
        <v>1</v>
      </c>
      <c r="AA496" s="168">
        <f t="array" ref="AA496">iferror(index(J:J,match($A496&amp;","&amp;index('Year Conversion'!$A:$A,match($C496,'Year Conversion'!$B:$B,0)),$Y:$Y,0))-J496,"")</f>
        <v>0.116452884</v>
      </c>
      <c r="AB496" s="168">
        <f t="array" ref="AB496">iferror(index(K:K,match($A496&amp;","&amp;index('Year Conversion'!$A:$A,match($C496,'Year Conversion'!$B:$B,0)),$Y:$Y,0))-K496,"")</f>
        <v>0.7818743909</v>
      </c>
      <c r="AC496" s="168" t="str">
        <f t="shared" si="7"/>
        <v>SAS,2014-15</v>
      </c>
    </row>
    <row r="497">
      <c r="A497" s="161" t="str">
        <f>IFERROR(__xludf.DUMMYFUNCTION("""COMPUTED_VALUE"""),"martike01")</f>
        <v>martike01</v>
      </c>
      <c r="B497" s="161" t="str">
        <f>IFERROR(__xludf.DUMMYFUNCTION("""COMPUTED_VALUE"""),"Kenyon Martin")</f>
        <v>Kenyon Martin</v>
      </c>
      <c r="C497" s="162" t="str">
        <f>IFERROR(__xludf.DUMMYFUNCTION("""COMPUTED_VALUE"""),"2014-15")</f>
        <v>2014-15</v>
      </c>
      <c r="D497" s="163" t="str">
        <f>IFERROR(__xludf.DUMMYFUNCTION("""COMPUTED_VALUE"""),"MIL")</f>
        <v>MIL</v>
      </c>
      <c r="E497" s="164" t="str">
        <f>IFERROR(__xludf.DUMMYFUNCTION("""COMPUTED_VALUE"""),"Roll + Cut Big")</f>
        <v>Roll + Cut Big</v>
      </c>
      <c r="F497" s="164">
        <f>IFERROR(__xludf.DUMMYFUNCTION("""COMPUTED_VALUE"""),104.065)</f>
        <v>104.065</v>
      </c>
      <c r="G497" s="163">
        <f>IFERROR(__xludf.DUMMYFUNCTION("""COMPUTED_VALUE"""),11.0)</f>
        <v>11</v>
      </c>
      <c r="H497" s="163" t="str">
        <f>IFERROR(__xludf.DUMMYFUNCTION("""COMPUTED_VALUE"""),"PF")</f>
        <v>PF</v>
      </c>
      <c r="I497" s="163">
        <f>IFERROR(__xludf.DUMMYFUNCTION("""COMPUTED_VALUE"""),37.0)</f>
        <v>37</v>
      </c>
      <c r="J497" s="165">
        <f>IFERROR(__xludf.DUMMYFUNCTION("""COMPUTED_VALUE"""),-0.737280773823722)</f>
        <v>-0.7372807738</v>
      </c>
      <c r="K497" s="165">
        <f>IFERROR(__xludf.DUMMYFUNCTION("""COMPUTED_VALUE"""),-0.801865629765924)</f>
        <v>-0.8018656298</v>
      </c>
      <c r="L497" s="165">
        <f>IFERROR(__xludf.DUMMYFUNCTION("""COMPUTED_VALUE"""),0.0645848559422016)</f>
        <v>0.06458485594</v>
      </c>
      <c r="M497" s="166">
        <f t="shared" si="2"/>
        <v>0.1087452704</v>
      </c>
      <c r="N497" s="167">
        <f t="shared" si="3"/>
        <v>9.460454545</v>
      </c>
      <c r="O497" s="163">
        <f t="shared" ref="O497:Q497" si="501">rank(I497,I:I)</f>
        <v>38</v>
      </c>
      <c r="P497" s="163">
        <f t="shared" si="501"/>
        <v>2195</v>
      </c>
      <c r="Q497" s="163">
        <f t="shared" si="501"/>
        <v>2559</v>
      </c>
      <c r="R497" s="163">
        <f>IFERROR(__xludf.DUMMYFUNCTION("RANK(M497,filter(M:M,C:C=C497))"),376.0)</f>
        <v>376</v>
      </c>
      <c r="S497" s="161" t="b">
        <f t="shared" si="5"/>
        <v>0</v>
      </c>
      <c r="T497" s="161" t="b">
        <f t="array" ref="T497">index('Query Tool'!B:B,match(H497,'Query Tool'!C:C,0))</f>
        <v>1</v>
      </c>
      <c r="U497" s="161" t="b">
        <f t="array" ref="U497">index('Query Tool'!B:B,match(C497,'Query Tool'!C:C,0))</f>
        <v>0</v>
      </c>
      <c r="V497" s="161" t="b">
        <f>F497&gt;='Query Tool'!C$32</f>
        <v>0</v>
      </c>
      <c r="W497" s="161" t="b">
        <f t="array" ref="W497">index(Dropdowns!B:B,match(I497,Dropdowns!A:A,0))</f>
        <v>1</v>
      </c>
      <c r="X497" s="161" t="b">
        <f t="array" ref="X497">index('Query Tool'!B:B,match(D497,'Query Tool'!C:C,0))</f>
        <v>1</v>
      </c>
      <c r="Y497" s="161" t="str">
        <f t="shared" si="6"/>
        <v>martike01,2014-15</v>
      </c>
      <c r="Z497" s="168" t="str">
        <f t="array" ref="Z497">iferror(index(I:I,match($A497&amp;","&amp;index('Year Conversion'!$A:$A,match($C497,'Year Conversion'!$B:$B,0)),$Y:$Y,0))-I497,"")</f>
        <v/>
      </c>
      <c r="AA497" s="168" t="str">
        <f t="array" ref="AA497">iferror(index(J:J,match($A497&amp;","&amp;index('Year Conversion'!$A:$A,match($C497,'Year Conversion'!$B:$B,0)),$Y:$Y,0))-J497,"")</f>
        <v/>
      </c>
      <c r="AB497" s="168" t="str">
        <f t="array" ref="AB497">iferror(index(K:K,match($A497&amp;","&amp;index('Year Conversion'!$A:$A,match($C497,'Year Conversion'!$B:$B,0)),$Y:$Y,0))-K497,"")</f>
        <v/>
      </c>
      <c r="AC497" s="168" t="str">
        <f t="shared" si="7"/>
        <v>MIL,2014-15</v>
      </c>
    </row>
    <row r="498">
      <c r="A498" s="161" t="str">
        <f>IFERROR(__xludf.DUMMYFUNCTION("""COMPUTED_VALUE"""),"millemi01")</f>
        <v>millemi01</v>
      </c>
      <c r="B498" s="161" t="str">
        <f>IFERROR(__xludf.DUMMYFUNCTION("""COMPUTED_VALUE"""),"Mike Miller")</f>
        <v>Mike Miller</v>
      </c>
      <c r="C498" s="162" t="str">
        <f>IFERROR(__xludf.DUMMYFUNCTION("""COMPUTED_VALUE"""),"2014-15")</f>
        <v>2014-15</v>
      </c>
      <c r="D498" s="163" t="str">
        <f>IFERROR(__xludf.DUMMYFUNCTION("""COMPUTED_VALUE"""),"CLE")</f>
        <v>CLE</v>
      </c>
      <c r="E498" s="164" t="str">
        <f>IFERROR(__xludf.DUMMYFUNCTION("""COMPUTED_VALUE"""),"Stationary Shooter")</f>
        <v>Stationary Shooter</v>
      </c>
      <c r="F498" s="164">
        <f>IFERROR(__xludf.DUMMYFUNCTION("""COMPUTED_VALUE"""),701.18)</f>
        <v>701.18</v>
      </c>
      <c r="G498" s="163">
        <f>IFERROR(__xludf.DUMMYFUNCTION("""COMPUTED_VALUE"""),52.0)</f>
        <v>52</v>
      </c>
      <c r="H498" s="163" t="str">
        <f>IFERROR(__xludf.DUMMYFUNCTION("""COMPUTED_VALUE"""),"SF")</f>
        <v>SF</v>
      </c>
      <c r="I498" s="163">
        <f>IFERROR(__xludf.DUMMYFUNCTION("""COMPUTED_VALUE"""),34.0)</f>
        <v>34</v>
      </c>
      <c r="J498" s="165">
        <f>IFERROR(__xludf.DUMMYFUNCTION("""COMPUTED_VALUE"""),-2.5992810534545)</f>
        <v>-2.599281053</v>
      </c>
      <c r="K498" s="165">
        <f>IFERROR(__xludf.DUMMYFUNCTION("""COMPUTED_VALUE"""),-2.33976409254015)</f>
        <v>-2.339764093</v>
      </c>
      <c r="L498" s="165">
        <f>IFERROR(__xludf.DUMMYFUNCTION("""COMPUTED_VALUE"""),-0.259516960914347)</f>
        <v>-0.2595169609</v>
      </c>
      <c r="M498" s="166">
        <f t="shared" si="2"/>
        <v>-0.1363636261</v>
      </c>
      <c r="N498" s="167">
        <f t="shared" si="3"/>
        <v>13.48423077</v>
      </c>
      <c r="O498" s="163">
        <f t="shared" ref="O498:Q498" si="502">rank(I498,I:I)</f>
        <v>164</v>
      </c>
      <c r="P498" s="163">
        <f t="shared" si="502"/>
        <v>3784</v>
      </c>
      <c r="Q498" s="163">
        <f t="shared" si="502"/>
        <v>3848</v>
      </c>
      <c r="R498" s="163">
        <f>IFERROR(__xludf.DUMMYFUNCTION("RANK(M498,filter(M:M,C:C=C498))"),458.0)</f>
        <v>458</v>
      </c>
      <c r="S498" s="161" t="b">
        <f t="shared" si="5"/>
        <v>0</v>
      </c>
      <c r="T498" s="161" t="b">
        <f t="array" ref="T498">index('Query Tool'!B:B,match(H498,'Query Tool'!C:C,0))</f>
        <v>1</v>
      </c>
      <c r="U498" s="161" t="b">
        <f t="array" ref="U498">index('Query Tool'!B:B,match(C498,'Query Tool'!C:C,0))</f>
        <v>0</v>
      </c>
      <c r="V498" s="161" t="b">
        <f>F498&gt;='Query Tool'!C$32</f>
        <v>1</v>
      </c>
      <c r="W498" s="161" t="b">
        <f t="array" ref="W498">index(Dropdowns!B:B,match(I498,Dropdowns!A:A,0))</f>
        <v>1</v>
      </c>
      <c r="X498" s="161" t="b">
        <f t="array" ref="X498">index('Query Tool'!B:B,match(D498,'Query Tool'!C:C,0))</f>
        <v>1</v>
      </c>
      <c r="Y498" s="161" t="str">
        <f t="shared" si="6"/>
        <v>millemi01,2014-15</v>
      </c>
      <c r="Z498" s="168">
        <f t="array" ref="Z498">iferror(index(I:I,match($A498&amp;","&amp;index('Year Conversion'!$A:$A,match($C498,'Year Conversion'!$B:$B,0)),$Y:$Y,0))-I498,"")</f>
        <v>1</v>
      </c>
      <c r="AA498" s="168">
        <f t="array" ref="AA498">iferror(index(J:J,match($A498&amp;","&amp;index('Year Conversion'!$A:$A,match($C498,'Year Conversion'!$B:$B,0)),$Y:$Y,0))-J498,"")</f>
        <v>0.2890774105</v>
      </c>
      <c r="AB498" s="168">
        <f t="array" ref="AB498">iferror(index(K:K,match($A498&amp;","&amp;index('Year Conversion'!$A:$A,match($C498,'Year Conversion'!$B:$B,0)),$Y:$Y,0))-K498,"")</f>
        <v>-0.07346939639</v>
      </c>
      <c r="AC498" s="168" t="str">
        <f t="shared" si="7"/>
        <v>CLE,2014-15</v>
      </c>
    </row>
    <row r="499">
      <c r="A499" s="161" t="str">
        <f>IFERROR(__xludf.DUMMYFUNCTION("""COMPUTED_VALUE"""),"crawfja01")</f>
        <v>crawfja01</v>
      </c>
      <c r="B499" s="161" t="str">
        <f>IFERROR(__xludf.DUMMYFUNCTION("""COMPUTED_VALUE"""),"Jamal Crawford")</f>
        <v>Jamal Crawford</v>
      </c>
      <c r="C499" s="162" t="str">
        <f>IFERROR(__xludf.DUMMYFUNCTION("""COMPUTED_VALUE"""),"2014-15")</f>
        <v>2014-15</v>
      </c>
      <c r="D499" s="163" t="str">
        <f>IFERROR(__xludf.DUMMYFUNCTION("""COMPUTED_VALUE"""),"LAC")</f>
        <v>LAC</v>
      </c>
      <c r="E499" s="164" t="str">
        <f>IFERROR(__xludf.DUMMYFUNCTION("""COMPUTED_VALUE"""),"Shot Creator")</f>
        <v>Shot Creator</v>
      </c>
      <c r="F499" s="164">
        <f>IFERROR(__xludf.DUMMYFUNCTION("""COMPUTED_VALUE"""),1703.03666666667)</f>
        <v>1703.036667</v>
      </c>
      <c r="G499" s="163">
        <f>IFERROR(__xludf.DUMMYFUNCTION("""COMPUTED_VALUE"""),64.0)</f>
        <v>64</v>
      </c>
      <c r="H499" s="163" t="str">
        <f>IFERROR(__xludf.DUMMYFUNCTION("""COMPUTED_VALUE"""),"SG")</f>
        <v>SG</v>
      </c>
      <c r="I499" s="163">
        <f>IFERROR(__xludf.DUMMYFUNCTION("""COMPUTED_VALUE"""),34.0)</f>
        <v>34</v>
      </c>
      <c r="J499" s="165">
        <f>IFERROR(__xludf.DUMMYFUNCTION("""COMPUTED_VALUE"""),-0.778422511800075)</f>
        <v>-0.7784225118</v>
      </c>
      <c r="K499" s="165">
        <f>IFERROR(__xludf.DUMMYFUNCTION("""COMPUTED_VALUE"""),1.83802477865164)</f>
        <v>1.838024779</v>
      </c>
      <c r="L499" s="165">
        <f>IFERROR(__xludf.DUMMYFUNCTION("""COMPUTED_VALUE"""),-2.61644729045172)</f>
        <v>-2.61644729</v>
      </c>
      <c r="M499" s="166">
        <f t="shared" si="2"/>
        <v>1.732505081</v>
      </c>
      <c r="N499" s="167">
        <f t="shared" si="3"/>
        <v>26.60994792</v>
      </c>
      <c r="O499" s="163">
        <f t="shared" ref="O499:Q499" si="503">rank(I499,I:I)</f>
        <v>164</v>
      </c>
      <c r="P499" s="163">
        <f t="shared" si="503"/>
        <v>2244</v>
      </c>
      <c r="Q499" s="163">
        <f t="shared" si="503"/>
        <v>254</v>
      </c>
      <c r="R499" s="163">
        <f>IFERROR(__xludf.DUMMYFUNCTION("RANK(M499,filter(M:M,C:C=C499))"),183.0)</f>
        <v>183</v>
      </c>
      <c r="S499" s="161" t="b">
        <f t="shared" si="5"/>
        <v>0</v>
      </c>
      <c r="T499" s="161" t="b">
        <f t="array" ref="T499">index('Query Tool'!B:B,match(H499,'Query Tool'!C:C,0))</f>
        <v>1</v>
      </c>
      <c r="U499" s="161" t="b">
        <f t="array" ref="U499">index('Query Tool'!B:B,match(C499,'Query Tool'!C:C,0))</f>
        <v>0</v>
      </c>
      <c r="V499" s="161" t="b">
        <f>F499&gt;='Query Tool'!C$32</f>
        <v>1</v>
      </c>
      <c r="W499" s="161" t="b">
        <f t="array" ref="W499">index(Dropdowns!B:B,match(I499,Dropdowns!A:A,0))</f>
        <v>1</v>
      </c>
      <c r="X499" s="161" t="b">
        <f t="array" ref="X499">index('Query Tool'!B:B,match(D499,'Query Tool'!C:C,0))</f>
        <v>1</v>
      </c>
      <c r="Y499" s="161" t="str">
        <f t="shared" si="6"/>
        <v>crawfja01,2014-15</v>
      </c>
      <c r="Z499" s="168">
        <f t="array" ref="Z499">iferror(index(I:I,match($A499&amp;","&amp;index('Year Conversion'!$A:$A,match($C499,'Year Conversion'!$B:$B,0)),$Y:$Y,0))-I499,"")</f>
        <v>1</v>
      </c>
      <c r="AA499" s="168">
        <f t="array" ref="AA499">iferror(index(J:J,match($A499&amp;","&amp;index('Year Conversion'!$A:$A,match($C499,'Year Conversion'!$B:$B,0)),$Y:$Y,0))-J499,"")</f>
        <v>-0.5594053821</v>
      </c>
      <c r="AB499" s="168">
        <f t="array" ref="AB499">iferror(index(K:K,match($A499&amp;","&amp;index('Year Conversion'!$A:$A,match($C499,'Year Conversion'!$B:$B,0)),$Y:$Y,0))-K499,"")</f>
        <v>-1.496321398</v>
      </c>
      <c r="AC499" s="168" t="str">
        <f t="shared" si="7"/>
        <v>LAC,2014-15</v>
      </c>
    </row>
    <row r="500">
      <c r="A500" s="161" t="str">
        <f>IFERROR(__xludf.DUMMYFUNCTION("""COMPUTED_VALUE"""),"turkohe01")</f>
        <v>turkohe01</v>
      </c>
      <c r="B500" s="161" t="str">
        <f>IFERROR(__xludf.DUMMYFUNCTION("""COMPUTED_VALUE"""),"Hedo Turkoglu")</f>
        <v>Hedo Turkoglu</v>
      </c>
      <c r="C500" s="162" t="str">
        <f>IFERROR(__xludf.DUMMYFUNCTION("""COMPUTED_VALUE"""),"2014-15")</f>
        <v>2014-15</v>
      </c>
      <c r="D500" s="163" t="str">
        <f>IFERROR(__xludf.DUMMYFUNCTION("""COMPUTED_VALUE"""),"LAC")</f>
        <v>LAC</v>
      </c>
      <c r="E500" s="164" t="str">
        <f>IFERROR(__xludf.DUMMYFUNCTION("""COMPUTED_VALUE"""),"Stationary Shooter")</f>
        <v>Stationary Shooter</v>
      </c>
      <c r="F500" s="164">
        <f>IFERROR(__xludf.DUMMYFUNCTION("""COMPUTED_VALUE"""),704.608333333334)</f>
        <v>704.6083333</v>
      </c>
      <c r="G500" s="163">
        <f>IFERROR(__xludf.DUMMYFUNCTION("""COMPUTED_VALUE"""),62.0)</f>
        <v>62</v>
      </c>
      <c r="H500" s="163" t="str">
        <f>IFERROR(__xludf.DUMMYFUNCTION("""COMPUTED_VALUE"""),"SF")</f>
        <v>SF</v>
      </c>
      <c r="I500" s="163">
        <f>IFERROR(__xludf.DUMMYFUNCTION("""COMPUTED_VALUE"""),35.0)</f>
        <v>35</v>
      </c>
      <c r="J500" s="165">
        <f>IFERROR(__xludf.DUMMYFUNCTION("""COMPUTED_VALUE"""),-2.0019375080589)</f>
        <v>-2.001937508</v>
      </c>
      <c r="K500" s="165">
        <f>IFERROR(__xludf.DUMMYFUNCTION("""COMPUTED_VALUE"""),-1.41367540413848)</f>
        <v>-1.413675404</v>
      </c>
      <c r="L500" s="165">
        <f>IFERROR(__xludf.DUMMYFUNCTION("""COMPUTED_VALUE"""),-0.58826210392042)</f>
        <v>-0.5882621039</v>
      </c>
      <c r="M500" s="166">
        <f t="shared" si="2"/>
        <v>0.1405308916</v>
      </c>
      <c r="N500" s="167">
        <f t="shared" si="3"/>
        <v>11.36465054</v>
      </c>
      <c r="O500" s="163">
        <f t="shared" ref="O500:Q500" si="504">rank(I500,I:I)</f>
        <v>104</v>
      </c>
      <c r="P500" s="163">
        <f t="shared" si="504"/>
        <v>3481</v>
      </c>
      <c r="Q500" s="163">
        <f t="shared" si="504"/>
        <v>3262</v>
      </c>
      <c r="R500" s="163">
        <f>IFERROR(__xludf.DUMMYFUNCTION("RANK(M500,filter(M:M,C:C=C500))"),357.0)</f>
        <v>357</v>
      </c>
      <c r="S500" s="161" t="b">
        <f t="shared" si="5"/>
        <v>0</v>
      </c>
      <c r="T500" s="161" t="b">
        <f t="array" ref="T500">index('Query Tool'!B:B,match(H500,'Query Tool'!C:C,0))</f>
        <v>1</v>
      </c>
      <c r="U500" s="161" t="b">
        <f t="array" ref="U500">index('Query Tool'!B:B,match(C500,'Query Tool'!C:C,0))</f>
        <v>0</v>
      </c>
      <c r="V500" s="161" t="b">
        <f>F500&gt;='Query Tool'!C$32</f>
        <v>1</v>
      </c>
      <c r="W500" s="161" t="b">
        <f t="array" ref="W500">index(Dropdowns!B:B,match(I500,Dropdowns!A:A,0))</f>
        <v>1</v>
      </c>
      <c r="X500" s="161" t="b">
        <f t="array" ref="X500">index('Query Tool'!B:B,match(D500,'Query Tool'!C:C,0))</f>
        <v>1</v>
      </c>
      <c r="Y500" s="161" t="str">
        <f t="shared" si="6"/>
        <v>turkohe01,2014-15</v>
      </c>
      <c r="Z500" s="168" t="str">
        <f t="array" ref="Z500">iferror(index(I:I,match($A500&amp;","&amp;index('Year Conversion'!$A:$A,match($C500,'Year Conversion'!$B:$B,0)),$Y:$Y,0))-I500,"")</f>
        <v/>
      </c>
      <c r="AA500" s="168" t="str">
        <f t="array" ref="AA500">iferror(index(J:J,match($A500&amp;","&amp;index('Year Conversion'!$A:$A,match($C500,'Year Conversion'!$B:$B,0)),$Y:$Y,0))-J500,"")</f>
        <v/>
      </c>
      <c r="AB500" s="168" t="str">
        <f t="array" ref="AB500">iferror(index(K:K,match($A500&amp;","&amp;index('Year Conversion'!$A:$A,match($C500,'Year Conversion'!$B:$B,0)),$Y:$Y,0))-K500,"")</f>
        <v/>
      </c>
      <c r="AC500" s="168" t="str">
        <f t="shared" si="7"/>
        <v>LAC,2014-15</v>
      </c>
    </row>
    <row r="501">
      <c r="A501" s="161" t="str">
        <f>IFERROR(__xludf.DUMMYFUNCTION("""COMPUTED_VALUE"""),"chandty01")</f>
        <v>chandty01</v>
      </c>
      <c r="B501" s="161" t="str">
        <f>IFERROR(__xludf.DUMMYFUNCTION("""COMPUTED_VALUE"""),"Tyson Chandler")</f>
        <v>Tyson Chandler</v>
      </c>
      <c r="C501" s="162" t="str">
        <f>IFERROR(__xludf.DUMMYFUNCTION("""COMPUTED_VALUE"""),"2014-15")</f>
        <v>2014-15</v>
      </c>
      <c r="D501" s="163" t="str">
        <f>IFERROR(__xludf.DUMMYFUNCTION("""COMPUTED_VALUE"""),"DAL")</f>
        <v>DAL</v>
      </c>
      <c r="E501" s="164" t="str">
        <f>IFERROR(__xludf.DUMMYFUNCTION("""COMPUTED_VALUE"""),"Roll + Cut Big")</f>
        <v>Roll + Cut Big</v>
      </c>
      <c r="F501" s="164">
        <f>IFERROR(__xludf.DUMMYFUNCTION("""COMPUTED_VALUE"""),2285.84)</f>
        <v>2285.84</v>
      </c>
      <c r="G501" s="163">
        <f>IFERROR(__xludf.DUMMYFUNCTION("""COMPUTED_VALUE"""),75.0)</f>
        <v>75</v>
      </c>
      <c r="H501" s="163" t="str">
        <f>IFERROR(__xludf.DUMMYFUNCTION("""COMPUTED_VALUE"""),"C")</f>
        <v>C</v>
      </c>
      <c r="I501" s="163">
        <f>IFERROR(__xludf.DUMMYFUNCTION("""COMPUTED_VALUE"""),32.0)</f>
        <v>32</v>
      </c>
      <c r="J501" s="165">
        <f>IFERROR(__xludf.DUMMYFUNCTION("""COMPUTED_VALUE"""),1.69762941650786)</f>
        <v>1.697629417</v>
      </c>
      <c r="K501" s="165">
        <f>IFERROR(__xludf.DUMMYFUNCTION("""COMPUTED_VALUE"""),-0.342757806955583)</f>
        <v>-0.342757807</v>
      </c>
      <c r="L501" s="165">
        <f>IFERROR(__xludf.DUMMYFUNCTION("""COMPUTED_VALUE"""),2.04038722346344)</f>
        <v>2.040387223</v>
      </c>
      <c r="M501" s="166">
        <f t="shared" si="2"/>
        <v>6.129779033</v>
      </c>
      <c r="N501" s="167">
        <f t="shared" si="3"/>
        <v>30.47786667</v>
      </c>
      <c r="O501" s="163">
        <f t="shared" ref="O501:Q501" si="505">rank(I501,I:I)</f>
        <v>359</v>
      </c>
      <c r="P501" s="163">
        <f t="shared" si="505"/>
        <v>397</v>
      </c>
      <c r="Q501" s="163">
        <f t="shared" si="505"/>
        <v>1836</v>
      </c>
      <c r="R501" s="163">
        <f>IFERROR(__xludf.DUMMYFUNCTION("RANK(M501,filter(M:M,C:C=C501))"),38.0)</f>
        <v>38</v>
      </c>
      <c r="S501" s="161" t="b">
        <f t="shared" si="5"/>
        <v>0</v>
      </c>
      <c r="T501" s="161" t="b">
        <f t="array" ref="T501">index('Query Tool'!B:B,match(H501,'Query Tool'!C:C,0))</f>
        <v>1</v>
      </c>
      <c r="U501" s="161" t="b">
        <f t="array" ref="U501">index('Query Tool'!B:B,match(C501,'Query Tool'!C:C,0))</f>
        <v>0</v>
      </c>
      <c r="V501" s="161" t="b">
        <f>F501&gt;='Query Tool'!C$32</f>
        <v>1</v>
      </c>
      <c r="W501" s="161" t="b">
        <f t="array" ref="W501">index(Dropdowns!B:B,match(I501,Dropdowns!A:A,0))</f>
        <v>1</v>
      </c>
      <c r="X501" s="161" t="b">
        <f t="array" ref="X501">index('Query Tool'!B:B,match(D501,'Query Tool'!C:C,0))</f>
        <v>1</v>
      </c>
      <c r="Y501" s="161" t="str">
        <f t="shared" si="6"/>
        <v>chandty01,2014-15</v>
      </c>
      <c r="Z501" s="168">
        <f t="array" ref="Z501">iferror(index(I:I,match($A501&amp;","&amp;index('Year Conversion'!$A:$A,match($C501,'Year Conversion'!$B:$B,0)),$Y:$Y,0))-I501,"")</f>
        <v>1</v>
      </c>
      <c r="AA501" s="168">
        <f t="array" ref="AA501">iferror(index(J:J,match($A501&amp;","&amp;index('Year Conversion'!$A:$A,match($C501,'Year Conversion'!$B:$B,0)),$Y:$Y,0))-J501,"")</f>
        <v>-2.483949205</v>
      </c>
      <c r="AB501" s="168">
        <f t="array" ref="AB501">iferror(index(K:K,match($A501&amp;","&amp;index('Year Conversion'!$A:$A,match($C501,'Year Conversion'!$B:$B,0)),$Y:$Y,0))-K501,"")</f>
        <v>-2.098955766</v>
      </c>
      <c r="AC501" s="168" t="str">
        <f t="shared" si="7"/>
        <v>DAL,2014-15</v>
      </c>
    </row>
    <row r="502">
      <c r="A502" s="161" t="str">
        <f>IFERROR(__xludf.DUMMYFUNCTION("""COMPUTED_VALUE"""),"gasolpa01")</f>
        <v>gasolpa01</v>
      </c>
      <c r="B502" s="161" t="str">
        <f>IFERROR(__xludf.DUMMYFUNCTION("""COMPUTED_VALUE"""),"Pau Gasol")</f>
        <v>Pau Gasol</v>
      </c>
      <c r="C502" s="162" t="str">
        <f>IFERROR(__xludf.DUMMYFUNCTION("""COMPUTED_VALUE"""),"2014-15")</f>
        <v>2014-15</v>
      </c>
      <c r="D502" s="163" t="str">
        <f>IFERROR(__xludf.DUMMYFUNCTION("""COMPUTED_VALUE"""),"CHI")</f>
        <v>CHI</v>
      </c>
      <c r="E502" s="164" t="str">
        <f>IFERROR(__xludf.DUMMYFUNCTION("""COMPUTED_VALUE"""),"Post Scorer")</f>
        <v>Post Scorer</v>
      </c>
      <c r="F502" s="164">
        <f>IFERROR(__xludf.DUMMYFUNCTION("""COMPUTED_VALUE"""),2680.74333333333)</f>
        <v>2680.743333</v>
      </c>
      <c r="G502" s="163">
        <f>IFERROR(__xludf.DUMMYFUNCTION("""COMPUTED_VALUE"""),78.0)</f>
        <v>78</v>
      </c>
      <c r="H502" s="163" t="str">
        <f>IFERROR(__xludf.DUMMYFUNCTION("""COMPUTED_VALUE"""),"PF")</f>
        <v>PF</v>
      </c>
      <c r="I502" s="163">
        <f>IFERROR(__xludf.DUMMYFUNCTION("""COMPUTED_VALUE"""),34.0)</f>
        <v>34</v>
      </c>
      <c r="J502" s="165">
        <f>IFERROR(__xludf.DUMMYFUNCTION("""COMPUTED_VALUE"""),1.80381717857848)</f>
        <v>1.803817179</v>
      </c>
      <c r="K502" s="165">
        <f>IFERROR(__xludf.DUMMYFUNCTION("""COMPUTED_VALUE"""),0.879384637733566)</f>
        <v>0.8793846377</v>
      </c>
      <c r="L502" s="165">
        <f>IFERROR(__xludf.DUMMYFUNCTION("""COMPUTED_VALUE"""),0.924432540844916)</f>
        <v>0.9244325408</v>
      </c>
      <c r="M502" s="166">
        <f t="shared" si="2"/>
        <v>7.378248794</v>
      </c>
      <c r="N502" s="167">
        <f t="shared" si="3"/>
        <v>34.36850427</v>
      </c>
      <c r="O502" s="163">
        <f t="shared" ref="O502:Q502" si="506">rank(I502,I:I)</f>
        <v>164</v>
      </c>
      <c r="P502" s="163">
        <f t="shared" si="506"/>
        <v>371</v>
      </c>
      <c r="Q502" s="163">
        <f t="shared" si="506"/>
        <v>560</v>
      </c>
      <c r="R502" s="163">
        <f>IFERROR(__xludf.DUMMYFUNCTION("RANK(M502,filter(M:M,C:C=C502))"),28.0)</f>
        <v>28</v>
      </c>
      <c r="S502" s="161" t="b">
        <f t="shared" si="5"/>
        <v>0</v>
      </c>
      <c r="T502" s="161" t="b">
        <f t="array" ref="T502">index('Query Tool'!B:B,match(H502,'Query Tool'!C:C,0))</f>
        <v>1</v>
      </c>
      <c r="U502" s="161" t="b">
        <f t="array" ref="U502">index('Query Tool'!B:B,match(C502,'Query Tool'!C:C,0))</f>
        <v>0</v>
      </c>
      <c r="V502" s="161" t="b">
        <f>F502&gt;='Query Tool'!C$32</f>
        <v>1</v>
      </c>
      <c r="W502" s="161" t="b">
        <f t="array" ref="W502">index(Dropdowns!B:B,match(I502,Dropdowns!A:A,0))</f>
        <v>1</v>
      </c>
      <c r="X502" s="161" t="b">
        <f t="array" ref="X502">index('Query Tool'!B:B,match(D502,'Query Tool'!C:C,0))</f>
        <v>1</v>
      </c>
      <c r="Y502" s="161" t="str">
        <f t="shared" si="6"/>
        <v>gasolpa01,2014-15</v>
      </c>
      <c r="Z502" s="168">
        <f t="array" ref="Z502">iferror(index(I:I,match($A502&amp;","&amp;index('Year Conversion'!$A:$A,match($C502,'Year Conversion'!$B:$B,0)),$Y:$Y,0))-I502,"")</f>
        <v>1</v>
      </c>
      <c r="AA502" s="168">
        <f t="array" ref="AA502">iferror(index(J:J,match($A502&amp;","&amp;index('Year Conversion'!$A:$A,match($C502,'Year Conversion'!$B:$B,0)),$Y:$Y,0))-J502,"")</f>
        <v>0.6375358368</v>
      </c>
      <c r="AB502" s="168">
        <f t="array" ref="AB502">iferror(index(K:K,match($A502&amp;","&amp;index('Year Conversion'!$A:$A,match($C502,'Year Conversion'!$B:$B,0)),$Y:$Y,0))-K502,"")</f>
        <v>-0.1173614691</v>
      </c>
      <c r="AC502" s="168" t="str">
        <f t="shared" si="7"/>
        <v>CHI,2014-15</v>
      </c>
    </row>
    <row r="503">
      <c r="A503" s="161" t="str">
        <f>IFERROR(__xludf.DUMMYFUNCTION("""COMPUTED_VALUE"""),"richaja01")</f>
        <v>richaja01</v>
      </c>
      <c r="B503" s="161" t="str">
        <f>IFERROR(__xludf.DUMMYFUNCTION("""COMPUTED_VALUE"""),"Jason Richardson")</f>
        <v>Jason Richardson</v>
      </c>
      <c r="C503" s="162" t="str">
        <f>IFERROR(__xludf.DUMMYFUNCTION("""COMPUTED_VALUE"""),"2014-15")</f>
        <v>2014-15</v>
      </c>
      <c r="D503" s="163" t="str">
        <f>IFERROR(__xludf.DUMMYFUNCTION("""COMPUTED_VALUE"""),"PHI")</f>
        <v>PHI</v>
      </c>
      <c r="E503" s="164" t="str">
        <f>IFERROR(__xludf.DUMMYFUNCTION("""COMPUTED_VALUE"""),"Movement Shooter")</f>
        <v>Movement Shooter</v>
      </c>
      <c r="F503" s="164">
        <f>IFERROR(__xludf.DUMMYFUNCTION("""COMPUTED_VALUE"""),416.461666666667)</f>
        <v>416.4616667</v>
      </c>
      <c r="G503" s="163">
        <f>IFERROR(__xludf.DUMMYFUNCTION("""COMPUTED_VALUE"""),19.0)</f>
        <v>19</v>
      </c>
      <c r="H503" s="163" t="str">
        <f>IFERROR(__xludf.DUMMYFUNCTION("""COMPUTED_VALUE"""),"SG")</f>
        <v>SG</v>
      </c>
      <c r="I503" s="163">
        <f>IFERROR(__xludf.DUMMYFUNCTION("""COMPUTED_VALUE"""),34.0)</f>
        <v>34</v>
      </c>
      <c r="J503" s="165">
        <f>IFERROR(__xludf.DUMMYFUNCTION("""COMPUTED_VALUE"""),-0.455294103109212)</f>
        <v>-0.4552941031</v>
      </c>
      <c r="K503" s="165">
        <f>IFERROR(__xludf.DUMMYFUNCTION("""COMPUTED_VALUE"""),0.219129372408846)</f>
        <v>0.2191293724</v>
      </c>
      <c r="L503" s="165">
        <f>IFERROR(__xludf.DUMMYFUNCTION("""COMPUTED_VALUE"""),-0.674423475518058)</f>
        <v>-0.6744234755</v>
      </c>
      <c r="M503" s="166">
        <f t="shared" si="2"/>
        <v>0.514247025</v>
      </c>
      <c r="N503" s="167">
        <f t="shared" si="3"/>
        <v>21.91903509</v>
      </c>
      <c r="O503" s="163">
        <f t="shared" ref="O503:Q503" si="507">rank(I503,I:I)</f>
        <v>164</v>
      </c>
      <c r="P503" s="163">
        <f t="shared" si="507"/>
        <v>1784</v>
      </c>
      <c r="Q503" s="163">
        <f t="shared" si="507"/>
        <v>972</v>
      </c>
      <c r="R503" s="163">
        <f>IFERROR(__xludf.DUMMYFUNCTION("RANK(M503,filter(M:M,C:C=C503))"),282.0)</f>
        <v>282</v>
      </c>
      <c r="S503" s="161" t="b">
        <f t="shared" si="5"/>
        <v>0</v>
      </c>
      <c r="T503" s="161" t="b">
        <f t="array" ref="T503">index('Query Tool'!B:B,match(H503,'Query Tool'!C:C,0))</f>
        <v>1</v>
      </c>
      <c r="U503" s="161" t="b">
        <f t="array" ref="U503">index('Query Tool'!B:B,match(C503,'Query Tool'!C:C,0))</f>
        <v>0</v>
      </c>
      <c r="V503" s="161" t="b">
        <f>F503&gt;='Query Tool'!C$32</f>
        <v>0</v>
      </c>
      <c r="W503" s="161" t="b">
        <f t="array" ref="W503">index(Dropdowns!B:B,match(I503,Dropdowns!A:A,0))</f>
        <v>1</v>
      </c>
      <c r="X503" s="161" t="b">
        <f t="array" ref="X503">index('Query Tool'!B:B,match(D503,'Query Tool'!C:C,0))</f>
        <v>1</v>
      </c>
      <c r="Y503" s="161" t="str">
        <f t="shared" si="6"/>
        <v>richaja01,2014-15</v>
      </c>
      <c r="Z503" s="168" t="str">
        <f t="array" ref="Z503">iferror(index(I:I,match($A503&amp;","&amp;index('Year Conversion'!$A:$A,match($C503,'Year Conversion'!$B:$B,0)),$Y:$Y,0))-I503,"")</f>
        <v/>
      </c>
      <c r="AA503" s="168" t="str">
        <f t="array" ref="AA503">iferror(index(J:J,match($A503&amp;","&amp;index('Year Conversion'!$A:$A,match($C503,'Year Conversion'!$B:$B,0)),$Y:$Y,0))-J503,"")</f>
        <v/>
      </c>
      <c r="AB503" s="168" t="str">
        <f t="array" ref="AB503">iferror(index(K:K,match($A503&amp;","&amp;index('Year Conversion'!$A:$A,match($C503,'Year Conversion'!$B:$B,0)),$Y:$Y,0))-K503,"")</f>
        <v/>
      </c>
      <c r="AC503" s="168" t="str">
        <f t="shared" si="7"/>
        <v>PHI,2014-15</v>
      </c>
    </row>
    <row r="504">
      <c r="A504" s="161" t="str">
        <f>IFERROR(__xludf.DUMMYFUNCTION("""COMPUTED_VALUE"""),"johnsjo02")</f>
        <v>johnsjo02</v>
      </c>
      <c r="B504" s="161" t="str">
        <f>IFERROR(__xludf.DUMMYFUNCTION("""COMPUTED_VALUE"""),"Joe Johnson")</f>
        <v>Joe Johnson</v>
      </c>
      <c r="C504" s="162" t="str">
        <f>IFERROR(__xludf.DUMMYFUNCTION("""COMPUTED_VALUE"""),"2014-15")</f>
        <v>2014-15</v>
      </c>
      <c r="D504" s="163" t="str">
        <f>IFERROR(__xludf.DUMMYFUNCTION("""COMPUTED_VALUE"""),"BRK")</f>
        <v>BRK</v>
      </c>
      <c r="E504" s="164" t="str">
        <f>IFERROR(__xludf.DUMMYFUNCTION("""COMPUTED_VALUE"""),"Shot Creator")</f>
        <v>Shot Creator</v>
      </c>
      <c r="F504" s="164">
        <f>IFERROR(__xludf.DUMMYFUNCTION("""COMPUTED_VALUE"""),2790.87333333333)</f>
        <v>2790.873333</v>
      </c>
      <c r="G504" s="163">
        <f>IFERROR(__xludf.DUMMYFUNCTION("""COMPUTED_VALUE"""),80.0)</f>
        <v>80</v>
      </c>
      <c r="H504" s="163" t="str">
        <f>IFERROR(__xludf.DUMMYFUNCTION("""COMPUTED_VALUE"""),"SG")</f>
        <v>SG</v>
      </c>
      <c r="I504" s="163">
        <f>IFERROR(__xludf.DUMMYFUNCTION("""COMPUTED_VALUE"""),33.0)</f>
        <v>33</v>
      </c>
      <c r="J504" s="165">
        <f>IFERROR(__xludf.DUMMYFUNCTION("""COMPUTED_VALUE"""),0.725391207510249)</f>
        <v>0.7253912075</v>
      </c>
      <c r="K504" s="165">
        <f>IFERROR(__xludf.DUMMYFUNCTION("""COMPUTED_VALUE"""),1.45589988533125)</f>
        <v>1.455899885</v>
      </c>
      <c r="L504" s="165">
        <f>IFERROR(__xludf.DUMMYFUNCTION("""COMPUTED_VALUE"""),-0.730508677820998)</f>
        <v>-0.7305086778</v>
      </c>
      <c r="M504" s="166">
        <f t="shared" si="2"/>
        <v>5.666479978</v>
      </c>
      <c r="N504" s="167">
        <f t="shared" si="3"/>
        <v>34.88591667</v>
      </c>
      <c r="O504" s="163">
        <f t="shared" ref="O504:Q504" si="508">rank(I504,I:I)</f>
        <v>246</v>
      </c>
      <c r="P504" s="163">
        <f t="shared" si="508"/>
        <v>775</v>
      </c>
      <c r="Q504" s="163">
        <f t="shared" si="508"/>
        <v>336</v>
      </c>
      <c r="R504" s="163">
        <f>IFERROR(__xludf.DUMMYFUNCTION("RANK(M504,filter(M:M,C:C=C504))"),46.0)</f>
        <v>46</v>
      </c>
      <c r="S504" s="161" t="b">
        <f t="shared" si="5"/>
        <v>0</v>
      </c>
      <c r="T504" s="161" t="b">
        <f t="array" ref="T504">index('Query Tool'!B:B,match(H504,'Query Tool'!C:C,0))</f>
        <v>1</v>
      </c>
      <c r="U504" s="161" t="b">
        <f t="array" ref="U504">index('Query Tool'!B:B,match(C504,'Query Tool'!C:C,0))</f>
        <v>0</v>
      </c>
      <c r="V504" s="161" t="b">
        <f>F504&gt;='Query Tool'!C$32</f>
        <v>1</v>
      </c>
      <c r="W504" s="161" t="b">
        <f t="array" ref="W504">index(Dropdowns!B:B,match(I504,Dropdowns!A:A,0))</f>
        <v>1</v>
      </c>
      <c r="X504" s="161" t="b">
        <f t="array" ref="X504">index('Query Tool'!B:B,match(D504,'Query Tool'!C:C,0))</f>
        <v>1</v>
      </c>
      <c r="Y504" s="161" t="str">
        <f t="shared" si="6"/>
        <v>johnsjo02,2014-15</v>
      </c>
      <c r="Z504" s="168">
        <f t="array" ref="Z504">iferror(index(I:I,match($A504&amp;","&amp;index('Year Conversion'!$A:$A,match($C504,'Year Conversion'!$B:$B,0)),$Y:$Y,0))-I504,"")</f>
        <v>1</v>
      </c>
      <c r="AA504" s="168">
        <f t="array" ref="AA504">iferror(index(J:J,match($A504&amp;","&amp;index('Year Conversion'!$A:$A,match($C504,'Year Conversion'!$B:$B,0)),$Y:$Y,0))-J504,"")</f>
        <v>-1.101737511</v>
      </c>
      <c r="AB504" s="168">
        <f t="array" ref="AB504">iferror(index(K:K,match($A504&amp;","&amp;index('Year Conversion'!$A:$A,match($C504,'Year Conversion'!$B:$B,0)),$Y:$Y,0))-K504,"")</f>
        <v>-1.121961696</v>
      </c>
      <c r="AC504" s="168" t="str">
        <f t="shared" si="7"/>
        <v>BRK,2014-15</v>
      </c>
    </row>
    <row r="505">
      <c r="A505" s="161" t="str">
        <f>IFERROR(__xludf.DUMMYFUNCTION("""COMPUTED_VALUE"""),"jefferi01")</f>
        <v>jefferi01</v>
      </c>
      <c r="B505" s="161" t="str">
        <f>IFERROR(__xludf.DUMMYFUNCTION("""COMPUTED_VALUE"""),"Richard Jefferson")</f>
        <v>Richard Jefferson</v>
      </c>
      <c r="C505" s="162" t="str">
        <f>IFERROR(__xludf.DUMMYFUNCTION("""COMPUTED_VALUE"""),"2014-15")</f>
        <v>2014-15</v>
      </c>
      <c r="D505" s="163" t="str">
        <f>IFERROR(__xludf.DUMMYFUNCTION("""COMPUTED_VALUE"""),"DAL")</f>
        <v>DAL</v>
      </c>
      <c r="E505" s="164" t="str">
        <f>IFERROR(__xludf.DUMMYFUNCTION("""COMPUTED_VALUE"""),"Stationary Shooter")</f>
        <v>Stationary Shooter</v>
      </c>
      <c r="F505" s="164">
        <f>IFERROR(__xludf.DUMMYFUNCTION("""COMPUTED_VALUE"""),1244.14833333333)</f>
        <v>1244.148333</v>
      </c>
      <c r="G505" s="163">
        <f>IFERROR(__xludf.DUMMYFUNCTION("""COMPUTED_VALUE"""),74.0)</f>
        <v>74</v>
      </c>
      <c r="H505" s="163" t="str">
        <f>IFERROR(__xludf.DUMMYFUNCTION("""COMPUTED_VALUE"""),"SF")</f>
        <v>SF</v>
      </c>
      <c r="I505" s="163">
        <f>IFERROR(__xludf.DUMMYFUNCTION("""COMPUTED_VALUE"""),34.0)</f>
        <v>34</v>
      </c>
      <c r="J505" s="165">
        <f>IFERROR(__xludf.DUMMYFUNCTION("""COMPUTED_VALUE"""),-1.4916413840294)</f>
        <v>-1.491641384</v>
      </c>
      <c r="K505" s="165">
        <f>IFERROR(__xludf.DUMMYFUNCTION("""COMPUTED_VALUE"""),-0.88707743699613)</f>
        <v>-0.887077437</v>
      </c>
      <c r="L505" s="165">
        <f>IFERROR(__xludf.DUMMYFUNCTION("""COMPUTED_VALUE"""),-0.604563947033268)</f>
        <v>-0.604563947</v>
      </c>
      <c r="M505" s="166">
        <f t="shared" si="2"/>
        <v>0.6707379775</v>
      </c>
      <c r="N505" s="167">
        <f t="shared" si="3"/>
        <v>16.81281532</v>
      </c>
      <c r="O505" s="163">
        <f t="shared" ref="O505:Q505" si="509">rank(I505,I:I)</f>
        <v>164</v>
      </c>
      <c r="P505" s="163">
        <f t="shared" si="509"/>
        <v>3045</v>
      </c>
      <c r="Q505" s="163">
        <f t="shared" si="509"/>
        <v>2678</v>
      </c>
      <c r="R505" s="163">
        <f>IFERROR(__xludf.DUMMYFUNCTION("RANK(M505,filter(M:M,C:C=C505))"),266.0)</f>
        <v>266</v>
      </c>
      <c r="S505" s="161" t="b">
        <f t="shared" si="5"/>
        <v>0</v>
      </c>
      <c r="T505" s="161" t="b">
        <f t="array" ref="T505">index('Query Tool'!B:B,match(H505,'Query Tool'!C:C,0))</f>
        <v>1</v>
      </c>
      <c r="U505" s="161" t="b">
        <f t="array" ref="U505">index('Query Tool'!B:B,match(C505,'Query Tool'!C:C,0))</f>
        <v>0</v>
      </c>
      <c r="V505" s="161" t="b">
        <f>F505&gt;='Query Tool'!C$32</f>
        <v>1</v>
      </c>
      <c r="W505" s="161" t="b">
        <f t="array" ref="W505">index(Dropdowns!B:B,match(I505,Dropdowns!A:A,0))</f>
        <v>1</v>
      </c>
      <c r="X505" s="161" t="b">
        <f t="array" ref="X505">index('Query Tool'!B:B,match(D505,'Query Tool'!C:C,0))</f>
        <v>1</v>
      </c>
      <c r="Y505" s="161" t="str">
        <f t="shared" si="6"/>
        <v>jefferi01,2014-15</v>
      </c>
      <c r="Z505" s="168">
        <f t="array" ref="Z505">iferror(index(I:I,match($A505&amp;","&amp;index('Year Conversion'!$A:$A,match($C505,'Year Conversion'!$B:$B,0)),$Y:$Y,0))-I505,"")</f>
        <v>1</v>
      </c>
      <c r="AA505" s="168">
        <f t="array" ref="AA505">iferror(index(J:J,match($A505&amp;","&amp;index('Year Conversion'!$A:$A,match($C505,'Year Conversion'!$B:$B,0)),$Y:$Y,0))-J505,"")</f>
        <v>-0.4053946545</v>
      </c>
      <c r="AB505" s="168">
        <f t="array" ref="AB505">iferror(index(K:K,match($A505&amp;","&amp;index('Year Conversion'!$A:$A,match($C505,'Year Conversion'!$B:$B,0)),$Y:$Y,0))-K505,"")</f>
        <v>-0.796457377</v>
      </c>
      <c r="AC505" s="168" t="str">
        <f t="shared" si="7"/>
        <v>DAL,2014-15</v>
      </c>
    </row>
    <row r="506">
      <c r="A506" s="161" t="str">
        <f>IFERROR(__xludf.DUMMYFUNCTION("""COMPUTED_VALUE"""),"randoza01")</f>
        <v>randoza01</v>
      </c>
      <c r="B506" s="161" t="str">
        <f>IFERROR(__xludf.DUMMYFUNCTION("""COMPUTED_VALUE"""),"Zach Randolph")</f>
        <v>Zach Randolph</v>
      </c>
      <c r="C506" s="162" t="str">
        <f>IFERROR(__xludf.DUMMYFUNCTION("""COMPUTED_VALUE"""),"2014-15")</f>
        <v>2014-15</v>
      </c>
      <c r="D506" s="163" t="str">
        <f>IFERROR(__xludf.DUMMYFUNCTION("""COMPUTED_VALUE"""),"MEM")</f>
        <v>MEM</v>
      </c>
      <c r="E506" s="164" t="str">
        <f>IFERROR(__xludf.DUMMYFUNCTION("""COMPUTED_VALUE"""),"Post Scorer")</f>
        <v>Post Scorer</v>
      </c>
      <c r="F506" s="164">
        <f>IFERROR(__xludf.DUMMYFUNCTION("""COMPUTED_VALUE"""),2303.59)</f>
        <v>2303.59</v>
      </c>
      <c r="G506" s="163">
        <f>IFERROR(__xludf.DUMMYFUNCTION("""COMPUTED_VALUE"""),71.0)</f>
        <v>71</v>
      </c>
      <c r="H506" s="163" t="str">
        <f>IFERROR(__xludf.DUMMYFUNCTION("""COMPUTED_VALUE"""),"PF")</f>
        <v>PF</v>
      </c>
      <c r="I506" s="163">
        <f>IFERROR(__xludf.DUMMYFUNCTION("""COMPUTED_VALUE"""),33.0)</f>
        <v>33</v>
      </c>
      <c r="J506" s="165">
        <f>IFERROR(__xludf.DUMMYFUNCTION("""COMPUTED_VALUE"""),2.37992321537441)</f>
        <v>2.379923215</v>
      </c>
      <c r="K506" s="165">
        <f>IFERROR(__xludf.DUMMYFUNCTION("""COMPUTED_VALUE"""),0.903251518410798)</f>
        <v>0.9032515184</v>
      </c>
      <c r="L506" s="165">
        <f>IFERROR(__xludf.DUMMYFUNCTION("""COMPUTED_VALUE"""),1.47667169696361)</f>
        <v>1.476671697</v>
      </c>
      <c r="M506" s="166">
        <f t="shared" si="2"/>
        <v>7.218712785</v>
      </c>
      <c r="N506" s="167">
        <f t="shared" si="3"/>
        <v>32.44492958</v>
      </c>
      <c r="O506" s="163">
        <f t="shared" ref="O506:Q506" si="510">rank(I506,I:I)</f>
        <v>246</v>
      </c>
      <c r="P506" s="163">
        <f t="shared" si="510"/>
        <v>243</v>
      </c>
      <c r="Q506" s="163">
        <f t="shared" si="510"/>
        <v>548</v>
      </c>
      <c r="R506" s="163">
        <f>IFERROR(__xludf.DUMMYFUNCTION("RANK(M506,filter(M:M,C:C=C506))"),29.0)</f>
        <v>29</v>
      </c>
      <c r="S506" s="161" t="b">
        <f t="shared" si="5"/>
        <v>0</v>
      </c>
      <c r="T506" s="161" t="b">
        <f t="array" ref="T506">index('Query Tool'!B:B,match(H506,'Query Tool'!C:C,0))</f>
        <v>1</v>
      </c>
      <c r="U506" s="161" t="b">
        <f t="array" ref="U506">index('Query Tool'!B:B,match(C506,'Query Tool'!C:C,0))</f>
        <v>0</v>
      </c>
      <c r="V506" s="161" t="b">
        <f>F506&gt;='Query Tool'!C$32</f>
        <v>1</v>
      </c>
      <c r="W506" s="161" t="b">
        <f t="array" ref="W506">index(Dropdowns!B:B,match(I506,Dropdowns!A:A,0))</f>
        <v>1</v>
      </c>
      <c r="X506" s="161" t="b">
        <f t="array" ref="X506">index('Query Tool'!B:B,match(D506,'Query Tool'!C:C,0))</f>
        <v>1</v>
      </c>
      <c r="Y506" s="161" t="str">
        <f t="shared" si="6"/>
        <v>randoza01,2014-15</v>
      </c>
      <c r="Z506" s="168">
        <f t="array" ref="Z506">iferror(index(I:I,match($A506&amp;","&amp;index('Year Conversion'!$A:$A,match($C506,'Year Conversion'!$B:$B,0)),$Y:$Y,0))-I506,"")</f>
        <v>1</v>
      </c>
      <c r="AA506" s="168">
        <f t="array" ref="AA506">iferror(index(J:J,match($A506&amp;","&amp;index('Year Conversion'!$A:$A,match($C506,'Year Conversion'!$B:$B,0)),$Y:$Y,0))-J506,"")</f>
        <v>-2.268865831</v>
      </c>
      <c r="AB506" s="168">
        <f t="array" ref="AB506">iferror(index(K:K,match($A506&amp;","&amp;index('Year Conversion'!$A:$A,match($C506,'Year Conversion'!$B:$B,0)),$Y:$Y,0))-K506,"")</f>
        <v>0.1384907423</v>
      </c>
      <c r="AC506" s="168" t="str">
        <f t="shared" si="7"/>
        <v>MEM,2014-15</v>
      </c>
    </row>
    <row r="507">
      <c r="A507" s="161" t="str">
        <f>IFERROR(__xludf.DUMMYFUNCTION("""COMPUTED_VALUE"""),"haywobr01")</f>
        <v>haywobr01</v>
      </c>
      <c r="B507" s="161" t="str">
        <f>IFERROR(__xludf.DUMMYFUNCTION("""COMPUTED_VALUE"""),"Brendan Haywood")</f>
        <v>Brendan Haywood</v>
      </c>
      <c r="C507" s="162" t="str">
        <f>IFERROR(__xludf.DUMMYFUNCTION("""COMPUTED_VALUE"""),"2014-15")</f>
        <v>2014-15</v>
      </c>
      <c r="D507" s="163" t="str">
        <f>IFERROR(__xludf.DUMMYFUNCTION("""COMPUTED_VALUE"""),"CLE")</f>
        <v>CLE</v>
      </c>
      <c r="E507" s="164" t="str">
        <f>IFERROR(__xludf.DUMMYFUNCTION("""COMPUTED_VALUE"""),"Post Scorer")</f>
        <v>Post Scorer</v>
      </c>
      <c r="F507" s="164">
        <f>IFERROR(__xludf.DUMMYFUNCTION("""COMPUTED_VALUE"""),119.03)</f>
        <v>119.03</v>
      </c>
      <c r="G507" s="163">
        <f>IFERROR(__xludf.DUMMYFUNCTION("""COMPUTED_VALUE"""),22.0)</f>
        <v>22</v>
      </c>
      <c r="H507" s="163" t="str">
        <f>IFERROR(__xludf.DUMMYFUNCTION("""COMPUTED_VALUE"""),"C")</f>
        <v>C</v>
      </c>
      <c r="I507" s="163">
        <f>IFERROR(__xludf.DUMMYFUNCTION("""COMPUTED_VALUE"""),35.0)</f>
        <v>35</v>
      </c>
      <c r="J507" s="165">
        <f>IFERROR(__xludf.DUMMYFUNCTION("""COMPUTED_VALUE"""),-1.46891664110699)</f>
        <v>-1.468916641</v>
      </c>
      <c r="K507" s="165">
        <f>IFERROR(__xludf.DUMMYFUNCTION("""COMPUTED_VALUE"""),-1.56545645990395)</f>
        <v>-1.56545646</v>
      </c>
      <c r="L507" s="165">
        <f>IFERROR(__xludf.DUMMYFUNCTION("""COMPUTED_VALUE"""),0.0965398187969629)</f>
        <v>0.0965398188</v>
      </c>
      <c r="M507" s="166">
        <f t="shared" si="2"/>
        <v>0.06597783839</v>
      </c>
      <c r="N507" s="167">
        <f t="shared" si="3"/>
        <v>5.410454545</v>
      </c>
      <c r="O507" s="163">
        <f t="shared" ref="O507:Q507" si="511">rank(I507,I:I)</f>
        <v>104</v>
      </c>
      <c r="P507" s="163">
        <f t="shared" si="511"/>
        <v>3026</v>
      </c>
      <c r="Q507" s="163">
        <f t="shared" si="511"/>
        <v>3420</v>
      </c>
      <c r="R507" s="163">
        <f>IFERROR(__xludf.DUMMYFUNCTION("RANK(M507,filter(M:M,C:C=C507))"),401.0)</f>
        <v>401</v>
      </c>
      <c r="S507" s="161" t="b">
        <f t="shared" si="5"/>
        <v>0</v>
      </c>
      <c r="T507" s="161" t="b">
        <f t="array" ref="T507">index('Query Tool'!B:B,match(H507,'Query Tool'!C:C,0))</f>
        <v>1</v>
      </c>
      <c r="U507" s="161" t="b">
        <f t="array" ref="U507">index('Query Tool'!B:B,match(C507,'Query Tool'!C:C,0))</f>
        <v>0</v>
      </c>
      <c r="V507" s="161" t="b">
        <f>F507&gt;='Query Tool'!C$32</f>
        <v>0</v>
      </c>
      <c r="W507" s="161" t="b">
        <f t="array" ref="W507">index(Dropdowns!B:B,match(I507,Dropdowns!A:A,0))</f>
        <v>1</v>
      </c>
      <c r="X507" s="161" t="b">
        <f t="array" ref="X507">index('Query Tool'!B:B,match(D507,'Query Tool'!C:C,0))</f>
        <v>1</v>
      </c>
      <c r="Y507" s="161" t="str">
        <f t="shared" si="6"/>
        <v>haywobr01,2014-15</v>
      </c>
      <c r="Z507" s="168" t="str">
        <f t="array" ref="Z507">iferror(index(I:I,match($A507&amp;","&amp;index('Year Conversion'!$A:$A,match($C507,'Year Conversion'!$B:$B,0)),$Y:$Y,0))-I507,"")</f>
        <v/>
      </c>
      <c r="AA507" s="168" t="str">
        <f t="array" ref="AA507">iferror(index(J:J,match($A507&amp;","&amp;index('Year Conversion'!$A:$A,match($C507,'Year Conversion'!$B:$B,0)),$Y:$Y,0))-J507,"")</f>
        <v/>
      </c>
      <c r="AB507" s="168" t="str">
        <f t="array" ref="AB507">iferror(index(K:K,match($A507&amp;","&amp;index('Year Conversion'!$A:$A,match($C507,'Year Conversion'!$B:$B,0)),$Y:$Y,0))-K507,"")</f>
        <v/>
      </c>
      <c r="AC507" s="168" t="str">
        <f t="shared" si="7"/>
        <v>CLE,2014-15</v>
      </c>
    </row>
    <row r="508">
      <c r="A508" s="161" t="str">
        <f>IFERROR(__xludf.DUMMYFUNCTION("""COMPUTED_VALUE"""),"wallage01")</f>
        <v>wallage01</v>
      </c>
      <c r="B508" s="161" t="str">
        <f>IFERROR(__xludf.DUMMYFUNCTION("""COMPUTED_VALUE"""),"Gerald Wallace")</f>
        <v>Gerald Wallace</v>
      </c>
      <c r="C508" s="162" t="str">
        <f>IFERROR(__xludf.DUMMYFUNCTION("""COMPUTED_VALUE"""),"2014-15")</f>
        <v>2014-15</v>
      </c>
      <c r="D508" s="163" t="str">
        <f>IFERROR(__xludf.DUMMYFUNCTION("""COMPUTED_VALUE"""),"BOS")</f>
        <v>BOS</v>
      </c>
      <c r="E508" s="164" t="str">
        <f>IFERROR(__xludf.DUMMYFUNCTION("""COMPUTED_VALUE"""),"Athletic Finisher")</f>
        <v>Athletic Finisher</v>
      </c>
      <c r="F508" s="164">
        <f>IFERROR(__xludf.DUMMYFUNCTION("""COMPUTED_VALUE"""),286.148333333333)</f>
        <v>286.1483333</v>
      </c>
      <c r="G508" s="163">
        <f>IFERROR(__xludf.DUMMYFUNCTION("""COMPUTED_VALUE"""),32.0)</f>
        <v>32</v>
      </c>
      <c r="H508" s="163" t="str">
        <f>IFERROR(__xludf.DUMMYFUNCTION("""COMPUTED_VALUE"""),"SF")</f>
        <v>SF</v>
      </c>
      <c r="I508" s="163">
        <f>IFERROR(__xludf.DUMMYFUNCTION("""COMPUTED_VALUE"""),32.0)</f>
        <v>32</v>
      </c>
      <c r="J508" s="165">
        <f>IFERROR(__xludf.DUMMYFUNCTION("""COMPUTED_VALUE"""),-1.85225015926523)</f>
        <v>-1.852250159</v>
      </c>
      <c r="K508" s="165">
        <f>IFERROR(__xludf.DUMMYFUNCTION("""COMPUTED_VALUE"""),-2.05830664252461)</f>
        <v>-2.058306643</v>
      </c>
      <c r="L508" s="165">
        <f>IFERROR(__xludf.DUMMYFUNCTION("""COMPUTED_VALUE"""),0.206056483259382)</f>
        <v>0.2060564833</v>
      </c>
      <c r="M508" s="166">
        <f t="shared" si="2"/>
        <v>0.08550581147</v>
      </c>
      <c r="N508" s="167">
        <f t="shared" si="3"/>
        <v>8.942135417</v>
      </c>
      <c r="O508" s="163">
        <f t="shared" ref="O508:Q508" si="512">rank(I508,I:I)</f>
        <v>359</v>
      </c>
      <c r="P508" s="163">
        <f t="shared" si="512"/>
        <v>3381</v>
      </c>
      <c r="Q508" s="163">
        <f t="shared" si="512"/>
        <v>3737</v>
      </c>
      <c r="R508" s="163">
        <f>IFERROR(__xludf.DUMMYFUNCTION("RANK(M508,filter(M:M,C:C=C508))"),388.0)</f>
        <v>388</v>
      </c>
      <c r="S508" s="161" t="b">
        <f t="shared" si="5"/>
        <v>0</v>
      </c>
      <c r="T508" s="161" t="b">
        <f t="array" ref="T508">index('Query Tool'!B:B,match(H508,'Query Tool'!C:C,0))</f>
        <v>1</v>
      </c>
      <c r="U508" s="161" t="b">
        <f t="array" ref="U508">index('Query Tool'!B:B,match(C508,'Query Tool'!C:C,0))</f>
        <v>0</v>
      </c>
      <c r="V508" s="161" t="b">
        <f>F508&gt;='Query Tool'!C$32</f>
        <v>0</v>
      </c>
      <c r="W508" s="161" t="b">
        <f t="array" ref="W508">index(Dropdowns!B:B,match(I508,Dropdowns!A:A,0))</f>
        <v>1</v>
      </c>
      <c r="X508" s="161" t="b">
        <f t="array" ref="X508">index('Query Tool'!B:B,match(D508,'Query Tool'!C:C,0))</f>
        <v>1</v>
      </c>
      <c r="Y508" s="161" t="str">
        <f t="shared" si="6"/>
        <v>wallage01,2014-15</v>
      </c>
      <c r="Z508" s="168" t="str">
        <f t="array" ref="Z508">iferror(index(I:I,match($A508&amp;","&amp;index('Year Conversion'!$A:$A,match($C508,'Year Conversion'!$B:$B,0)),$Y:$Y,0))-I508,"")</f>
        <v/>
      </c>
      <c r="AA508" s="168" t="str">
        <f t="array" ref="AA508">iferror(index(J:J,match($A508&amp;","&amp;index('Year Conversion'!$A:$A,match($C508,'Year Conversion'!$B:$B,0)),$Y:$Y,0))-J508,"")</f>
        <v/>
      </c>
      <c r="AB508" s="168" t="str">
        <f t="array" ref="AB508">iferror(index(K:K,match($A508&amp;","&amp;index('Year Conversion'!$A:$A,match($C508,'Year Conversion'!$B:$B,0)),$Y:$Y,0))-K508,"")</f>
        <v/>
      </c>
      <c r="AC508" s="168" t="str">
        <f t="shared" si="7"/>
        <v>BOS,2014-15</v>
      </c>
    </row>
    <row r="509">
      <c r="A509" s="161" t="str">
        <f>IFERROR(__xludf.DUMMYFUNCTION("""COMPUTED_VALUE"""),"dalemsa01")</f>
        <v>dalemsa01</v>
      </c>
      <c r="B509" s="161" t="str">
        <f>IFERROR(__xludf.DUMMYFUNCTION("""COMPUTED_VALUE"""),"Samuel Dalembert")</f>
        <v>Samuel Dalembert</v>
      </c>
      <c r="C509" s="162" t="str">
        <f>IFERROR(__xludf.DUMMYFUNCTION("""COMPUTED_VALUE"""),"2014-15")</f>
        <v>2014-15</v>
      </c>
      <c r="D509" s="163" t="str">
        <f>IFERROR(__xludf.DUMMYFUNCTION("""COMPUTED_VALUE"""),"NYK")</f>
        <v>NYK</v>
      </c>
      <c r="E509" s="164" t="str">
        <f>IFERROR(__xludf.DUMMYFUNCTION("""COMPUTED_VALUE"""),"Roll + Cut Big")</f>
        <v>Roll + Cut Big</v>
      </c>
      <c r="F509" s="164">
        <f>IFERROR(__xludf.DUMMYFUNCTION("""COMPUTED_VALUE"""),543.583333333333)</f>
        <v>543.5833333</v>
      </c>
      <c r="G509" s="163">
        <f>IFERROR(__xludf.DUMMYFUNCTION("""COMPUTED_VALUE"""),32.0)</f>
        <v>32</v>
      </c>
      <c r="H509" s="163" t="str">
        <f>IFERROR(__xludf.DUMMYFUNCTION("""COMPUTED_VALUE"""),"C")</f>
        <v>C</v>
      </c>
      <c r="I509" s="163">
        <f>IFERROR(__xludf.DUMMYFUNCTION("""COMPUTED_VALUE"""),33.0)</f>
        <v>33</v>
      </c>
      <c r="J509" s="165">
        <f>IFERROR(__xludf.DUMMYFUNCTION("""COMPUTED_VALUE"""),-0.82578888076325)</f>
        <v>-0.8257888808</v>
      </c>
      <c r="K509" s="165">
        <f>IFERROR(__xludf.DUMMYFUNCTION("""COMPUTED_VALUE"""),-2.93777545002828)</f>
        <v>-2.93777545</v>
      </c>
      <c r="L509" s="165">
        <f>IFERROR(__xludf.DUMMYFUNCTION("""COMPUTED_VALUE"""),2.11198656926503)</f>
        <v>2.111986569</v>
      </c>
      <c r="M509" s="166">
        <f t="shared" si="2"/>
        <v>0.5356769274</v>
      </c>
      <c r="N509" s="167">
        <f t="shared" si="3"/>
        <v>16.98697917</v>
      </c>
      <c r="O509" s="163">
        <f t="shared" ref="O509:Q509" si="513">rank(I509,I:I)</f>
        <v>246</v>
      </c>
      <c r="P509" s="163">
        <f t="shared" si="513"/>
        <v>2319</v>
      </c>
      <c r="Q509" s="163">
        <f t="shared" si="513"/>
        <v>3970</v>
      </c>
      <c r="R509" s="163">
        <f>IFERROR(__xludf.DUMMYFUNCTION("RANK(M509,filter(M:M,C:C=C509))"),280.0)</f>
        <v>280</v>
      </c>
      <c r="S509" s="161" t="b">
        <f t="shared" si="5"/>
        <v>0</v>
      </c>
      <c r="T509" s="161" t="b">
        <f t="array" ref="T509">index('Query Tool'!B:B,match(H509,'Query Tool'!C:C,0))</f>
        <v>1</v>
      </c>
      <c r="U509" s="161" t="b">
        <f t="array" ref="U509">index('Query Tool'!B:B,match(C509,'Query Tool'!C:C,0))</f>
        <v>0</v>
      </c>
      <c r="V509" s="161" t="b">
        <f>F509&gt;='Query Tool'!C$32</f>
        <v>1</v>
      </c>
      <c r="W509" s="161" t="b">
        <f t="array" ref="W509">index(Dropdowns!B:B,match(I509,Dropdowns!A:A,0))</f>
        <v>1</v>
      </c>
      <c r="X509" s="161" t="b">
        <f t="array" ref="X509">index('Query Tool'!B:B,match(D509,'Query Tool'!C:C,0))</f>
        <v>1</v>
      </c>
      <c r="Y509" s="161" t="str">
        <f t="shared" si="6"/>
        <v>dalemsa01,2014-15</v>
      </c>
      <c r="Z509" s="168" t="str">
        <f t="array" ref="Z509">iferror(index(I:I,match($A509&amp;","&amp;index('Year Conversion'!$A:$A,match($C509,'Year Conversion'!$B:$B,0)),$Y:$Y,0))-I509,"")</f>
        <v/>
      </c>
      <c r="AA509" s="168" t="str">
        <f t="array" ref="AA509">iferror(index(J:J,match($A509&amp;","&amp;index('Year Conversion'!$A:$A,match($C509,'Year Conversion'!$B:$B,0)),$Y:$Y,0))-J509,"")</f>
        <v/>
      </c>
      <c r="AB509" s="168" t="str">
        <f t="array" ref="AB509">iferror(index(K:K,match($A509&amp;","&amp;index('Year Conversion'!$A:$A,match($C509,'Year Conversion'!$B:$B,0)),$Y:$Y,0))-K509,"")</f>
        <v/>
      </c>
      <c r="AC509" s="168" t="str">
        <f t="shared" si="7"/>
        <v>NYK,2014-15</v>
      </c>
    </row>
    <row r="510">
      <c r="A510" s="161" t="str">
        <f>IFERROR(__xludf.DUMMYFUNCTION("""COMPUTED_VALUE"""),"parketo01")</f>
        <v>parketo01</v>
      </c>
      <c r="B510" s="161" t="str">
        <f>IFERROR(__xludf.DUMMYFUNCTION("""COMPUTED_VALUE"""),"Tony Parker")</f>
        <v>Tony Parker</v>
      </c>
      <c r="C510" s="162" t="str">
        <f>IFERROR(__xludf.DUMMYFUNCTION("""COMPUTED_VALUE"""),"2014-15")</f>
        <v>2014-15</v>
      </c>
      <c r="D510" s="163" t="str">
        <f>IFERROR(__xludf.DUMMYFUNCTION("""COMPUTED_VALUE"""),"SAS")</f>
        <v>SAS</v>
      </c>
      <c r="E510" s="164" t="str">
        <f>IFERROR(__xludf.DUMMYFUNCTION("""COMPUTED_VALUE"""),"Slasher")</f>
        <v>Slasher</v>
      </c>
      <c r="F510" s="164">
        <f>IFERROR(__xludf.DUMMYFUNCTION("""COMPUTED_VALUE"""),1952.615)</f>
        <v>1952.615</v>
      </c>
      <c r="G510" s="163">
        <f>IFERROR(__xludf.DUMMYFUNCTION("""COMPUTED_VALUE"""),68.0)</f>
        <v>68</v>
      </c>
      <c r="H510" s="163" t="str">
        <f>IFERROR(__xludf.DUMMYFUNCTION("""COMPUTED_VALUE"""),"PG")</f>
        <v>PG</v>
      </c>
      <c r="I510" s="163">
        <f>IFERROR(__xludf.DUMMYFUNCTION("""COMPUTED_VALUE"""),32.0)</f>
        <v>32</v>
      </c>
      <c r="J510" s="165">
        <f>IFERROR(__xludf.DUMMYFUNCTION("""COMPUTED_VALUE"""),-1.15916442909403)</f>
        <v>-1.159164429</v>
      </c>
      <c r="K510" s="165">
        <f>IFERROR(__xludf.DUMMYFUNCTION("""COMPUTED_VALUE"""),0.300548286479664)</f>
        <v>0.3005482865</v>
      </c>
      <c r="L510" s="165">
        <f>IFERROR(__xludf.DUMMYFUNCTION("""COMPUTED_VALUE"""),-1.45971271557369)</f>
        <v>-1.459712716</v>
      </c>
      <c r="M510" s="166">
        <f t="shared" si="2"/>
        <v>1.487160973</v>
      </c>
      <c r="N510" s="167">
        <f t="shared" si="3"/>
        <v>28.71492647</v>
      </c>
      <c r="O510" s="163">
        <f t="shared" ref="O510:Q510" si="514">rank(I510,I:I)</f>
        <v>359</v>
      </c>
      <c r="P510" s="163">
        <f t="shared" si="514"/>
        <v>2695</v>
      </c>
      <c r="Q510" s="163">
        <f t="shared" si="514"/>
        <v>911</v>
      </c>
      <c r="R510" s="163">
        <f>IFERROR(__xludf.DUMMYFUNCTION("RANK(M510,filter(M:M,C:C=C510))"),198.0)</f>
        <v>198</v>
      </c>
      <c r="S510" s="161" t="b">
        <f t="shared" si="5"/>
        <v>0</v>
      </c>
      <c r="T510" s="161" t="b">
        <f t="array" ref="T510">index('Query Tool'!B:B,match(H510,'Query Tool'!C:C,0))</f>
        <v>1</v>
      </c>
      <c r="U510" s="161" t="b">
        <f t="array" ref="U510">index('Query Tool'!B:B,match(C510,'Query Tool'!C:C,0))</f>
        <v>0</v>
      </c>
      <c r="V510" s="161" t="b">
        <f>F510&gt;='Query Tool'!C$32</f>
        <v>1</v>
      </c>
      <c r="W510" s="161" t="b">
        <f t="array" ref="W510">index(Dropdowns!B:B,match(I510,Dropdowns!A:A,0))</f>
        <v>1</v>
      </c>
      <c r="X510" s="161" t="b">
        <f t="array" ref="X510">index('Query Tool'!B:B,match(D510,'Query Tool'!C:C,0))</f>
        <v>1</v>
      </c>
      <c r="Y510" s="161" t="str">
        <f t="shared" si="6"/>
        <v>parketo01,2014-15</v>
      </c>
      <c r="Z510" s="168">
        <f t="array" ref="Z510">iferror(index(I:I,match($A510&amp;","&amp;index('Year Conversion'!$A:$A,match($C510,'Year Conversion'!$B:$B,0)),$Y:$Y,0))-I510,"")</f>
        <v>1</v>
      </c>
      <c r="AA510" s="168">
        <f t="array" ref="AA510">iferror(index(J:J,match($A510&amp;","&amp;index('Year Conversion'!$A:$A,match($C510,'Year Conversion'!$B:$B,0)),$Y:$Y,0))-J510,"")</f>
        <v>1.509815093</v>
      </c>
      <c r="AB510" s="168">
        <f t="array" ref="AB510">iferror(index(K:K,match($A510&amp;","&amp;index('Year Conversion'!$A:$A,match($C510,'Year Conversion'!$B:$B,0)),$Y:$Y,0))-K510,"")</f>
        <v>-0.1200100519</v>
      </c>
      <c r="AC510" s="168" t="str">
        <f t="shared" si="7"/>
        <v>SAS,2014-15</v>
      </c>
    </row>
    <row r="511">
      <c r="A511" s="161" t="str">
        <f>IFERROR(__xludf.DUMMYFUNCTION("""COMPUTED_VALUE"""),"anderch01")</f>
        <v>anderch01</v>
      </c>
      <c r="B511" s="161" t="str">
        <f>IFERROR(__xludf.DUMMYFUNCTION("""COMPUTED_VALUE"""),"Chris Andersen")</f>
        <v>Chris Andersen</v>
      </c>
      <c r="C511" s="162" t="str">
        <f>IFERROR(__xludf.DUMMYFUNCTION("""COMPUTED_VALUE"""),"2014-15")</f>
        <v>2014-15</v>
      </c>
      <c r="D511" s="163" t="str">
        <f>IFERROR(__xludf.DUMMYFUNCTION("""COMPUTED_VALUE"""),"MIA")</f>
        <v>MIA</v>
      </c>
      <c r="E511" s="164" t="str">
        <f>IFERROR(__xludf.DUMMYFUNCTION("""COMPUTED_VALUE"""),"Roll + Cut Big")</f>
        <v>Roll + Cut Big</v>
      </c>
      <c r="F511" s="164">
        <f>IFERROR(__xludf.DUMMYFUNCTION("""COMPUTED_VALUE"""),1131.71)</f>
        <v>1131.71</v>
      </c>
      <c r="G511" s="163">
        <f>IFERROR(__xludf.DUMMYFUNCTION("""COMPUTED_VALUE"""),60.0)</f>
        <v>60</v>
      </c>
      <c r="H511" s="163" t="str">
        <f>IFERROR(__xludf.DUMMYFUNCTION("""COMPUTED_VALUE"""),"C")</f>
        <v>C</v>
      </c>
      <c r="I511" s="163">
        <f>IFERROR(__xludf.DUMMYFUNCTION("""COMPUTED_VALUE"""),36.0)</f>
        <v>36</v>
      </c>
      <c r="J511" s="165">
        <f>IFERROR(__xludf.DUMMYFUNCTION("""COMPUTED_VALUE"""),0.379497991511811)</f>
        <v>0.3794979915</v>
      </c>
      <c r="K511" s="165">
        <f>IFERROR(__xludf.DUMMYFUNCTION("""COMPUTED_VALUE"""),-1.74317388385354)</f>
        <v>-1.743173884</v>
      </c>
      <c r="L511" s="165">
        <f>IFERROR(__xludf.DUMMYFUNCTION("""COMPUTED_VALUE"""),2.12267187536535)</f>
        <v>2.122671875</v>
      </c>
      <c r="M511" s="166">
        <f t="shared" si="2"/>
        <v>2.034213836</v>
      </c>
      <c r="N511" s="167">
        <f t="shared" si="3"/>
        <v>18.86183333</v>
      </c>
      <c r="O511" s="163">
        <f t="shared" ref="O511:Q511" si="515">rank(I511,I:I)</f>
        <v>65</v>
      </c>
      <c r="P511" s="163">
        <f t="shared" si="515"/>
        <v>963</v>
      </c>
      <c r="Q511" s="163">
        <f t="shared" si="515"/>
        <v>3546</v>
      </c>
      <c r="R511" s="163">
        <f>IFERROR(__xludf.DUMMYFUNCTION("RANK(M511,filter(M:M,C:C=C511))"),166.0)</f>
        <v>166</v>
      </c>
      <c r="S511" s="161" t="b">
        <f t="shared" si="5"/>
        <v>0</v>
      </c>
      <c r="T511" s="161" t="b">
        <f t="array" ref="T511">index('Query Tool'!B:B,match(H511,'Query Tool'!C:C,0))</f>
        <v>1</v>
      </c>
      <c r="U511" s="161" t="b">
        <f t="array" ref="U511">index('Query Tool'!B:B,match(C511,'Query Tool'!C:C,0))</f>
        <v>0</v>
      </c>
      <c r="V511" s="161" t="b">
        <f>F511&gt;='Query Tool'!C$32</f>
        <v>1</v>
      </c>
      <c r="W511" s="161" t="b">
        <f t="array" ref="W511">index(Dropdowns!B:B,match(I511,Dropdowns!A:A,0))</f>
        <v>1</v>
      </c>
      <c r="X511" s="161" t="b">
        <f t="array" ref="X511">index('Query Tool'!B:B,match(D511,'Query Tool'!C:C,0))</f>
        <v>1</v>
      </c>
      <c r="Y511" s="161" t="str">
        <f t="shared" si="6"/>
        <v>anderch01,2014-15</v>
      </c>
      <c r="Z511" s="168">
        <f t="array" ref="Z511">iferror(index(I:I,match($A511&amp;","&amp;index('Year Conversion'!$A:$A,match($C511,'Year Conversion'!$B:$B,0)),$Y:$Y,0))-I511,"")</f>
        <v>1</v>
      </c>
      <c r="AA511" s="168">
        <f t="array" ref="AA511">iferror(index(J:J,match($A511&amp;","&amp;index('Year Conversion'!$A:$A,match($C511,'Year Conversion'!$B:$B,0)),$Y:$Y,0))-J511,"")</f>
        <v>-0.2102893586</v>
      </c>
      <c r="AB511" s="168">
        <f t="array" ref="AB511">iferror(index(K:K,match($A511&amp;","&amp;index('Year Conversion'!$A:$A,match($C511,'Year Conversion'!$B:$B,0)),$Y:$Y,0))-K511,"")</f>
        <v>1.166235933</v>
      </c>
      <c r="AC511" s="168" t="str">
        <f t="shared" si="7"/>
        <v>MIA,2014-15</v>
      </c>
    </row>
    <row r="512">
      <c r="A512" s="161" t="str">
        <f>IFERROR(__xludf.DUMMYFUNCTION("""COMPUTED_VALUE"""),"dunlemi02")</f>
        <v>dunlemi02</v>
      </c>
      <c r="B512" s="161" t="str">
        <f>IFERROR(__xludf.DUMMYFUNCTION("""COMPUTED_VALUE"""),"Mike Dunleavy")</f>
        <v>Mike Dunleavy</v>
      </c>
      <c r="C512" s="162" t="str">
        <f>IFERROR(__xludf.DUMMYFUNCTION("""COMPUTED_VALUE"""),"2014-15")</f>
        <v>2014-15</v>
      </c>
      <c r="D512" s="163" t="str">
        <f>IFERROR(__xludf.DUMMYFUNCTION("""COMPUTED_VALUE"""),"CHI")</f>
        <v>CHI</v>
      </c>
      <c r="E512" s="164" t="str">
        <f>IFERROR(__xludf.DUMMYFUNCTION("""COMPUTED_VALUE"""),"Off Screen Shooter")</f>
        <v>Off Screen Shooter</v>
      </c>
      <c r="F512" s="164">
        <f>IFERROR(__xludf.DUMMYFUNCTION("""COMPUTED_VALUE"""),1837.79666666667)</f>
        <v>1837.796667</v>
      </c>
      <c r="G512" s="163">
        <f>IFERROR(__xludf.DUMMYFUNCTION("""COMPUTED_VALUE"""),63.0)</f>
        <v>63</v>
      </c>
      <c r="H512" s="163" t="str">
        <f>IFERROR(__xludf.DUMMYFUNCTION("""COMPUTED_VALUE"""),"SF")</f>
        <v>SF</v>
      </c>
      <c r="I512" s="163">
        <f>IFERROR(__xludf.DUMMYFUNCTION("""COMPUTED_VALUE"""),34.0)</f>
        <v>34</v>
      </c>
      <c r="J512" s="165">
        <f>IFERROR(__xludf.DUMMYFUNCTION("""COMPUTED_VALUE"""),1.57640209374042)</f>
        <v>1.576402094</v>
      </c>
      <c r="K512" s="165">
        <f>IFERROR(__xludf.DUMMYFUNCTION("""COMPUTED_VALUE"""),0.341427601230481)</f>
        <v>0.3414276012</v>
      </c>
      <c r="L512" s="165">
        <f>IFERROR(__xludf.DUMMYFUNCTION("""COMPUTED_VALUE"""),1.23497449250994)</f>
        <v>1.234974493</v>
      </c>
      <c r="M512" s="166">
        <f t="shared" si="2"/>
        <v>4.779754539</v>
      </c>
      <c r="N512" s="167">
        <f t="shared" si="3"/>
        <v>29.17137566</v>
      </c>
      <c r="O512" s="163">
        <f t="shared" ref="O512:Q512" si="516">rank(I512,I:I)</f>
        <v>164</v>
      </c>
      <c r="P512" s="163">
        <f t="shared" si="516"/>
        <v>438</v>
      </c>
      <c r="Q512" s="163">
        <f t="shared" si="516"/>
        <v>873</v>
      </c>
      <c r="R512" s="163">
        <f>IFERROR(__xludf.DUMMYFUNCTION("RANK(M512,filter(M:M,C:C=C512))"),63.0)</f>
        <v>63</v>
      </c>
      <c r="S512" s="161" t="b">
        <f t="shared" si="5"/>
        <v>0</v>
      </c>
      <c r="T512" s="161" t="b">
        <f t="array" ref="T512">index('Query Tool'!B:B,match(H512,'Query Tool'!C:C,0))</f>
        <v>1</v>
      </c>
      <c r="U512" s="161" t="b">
        <f t="array" ref="U512">index('Query Tool'!B:B,match(C512,'Query Tool'!C:C,0))</f>
        <v>0</v>
      </c>
      <c r="V512" s="161" t="b">
        <f>F512&gt;='Query Tool'!C$32</f>
        <v>1</v>
      </c>
      <c r="W512" s="161" t="b">
        <f t="array" ref="W512">index(Dropdowns!B:B,match(I512,Dropdowns!A:A,0))</f>
        <v>1</v>
      </c>
      <c r="X512" s="161" t="b">
        <f t="array" ref="X512">index('Query Tool'!B:B,match(D512,'Query Tool'!C:C,0))</f>
        <v>1</v>
      </c>
      <c r="Y512" s="161" t="str">
        <f t="shared" si="6"/>
        <v>dunlemi02,2014-15</v>
      </c>
      <c r="Z512" s="168">
        <f t="array" ref="Z512">iferror(index(I:I,match($A512&amp;","&amp;index('Year Conversion'!$A:$A,match($C512,'Year Conversion'!$B:$B,0)),$Y:$Y,0))-I512,"")</f>
        <v>1</v>
      </c>
      <c r="AA512" s="168">
        <f t="array" ref="AA512">iferror(index(J:J,match($A512&amp;","&amp;index('Year Conversion'!$A:$A,match($C512,'Year Conversion'!$B:$B,0)),$Y:$Y,0))-J512,"")</f>
        <v>-2.781835979</v>
      </c>
      <c r="AB512" s="168">
        <f t="array" ref="AB512">iferror(index(K:K,match($A512&amp;","&amp;index('Year Conversion'!$A:$A,match($C512,'Year Conversion'!$B:$B,0)),$Y:$Y,0))-K512,"")</f>
        <v>-0.9595007985</v>
      </c>
      <c r="AC512" s="168" t="str">
        <f t="shared" si="7"/>
        <v>CHI,2014-15</v>
      </c>
    </row>
    <row r="513">
      <c r="A513" s="161" t="str">
        <f>IFERROR(__xludf.DUMMYFUNCTION("""COMPUTED_VALUE"""),"goodedr01")</f>
        <v>goodedr01</v>
      </c>
      <c r="B513" s="161" t="str">
        <f>IFERROR(__xludf.DUMMYFUNCTION("""COMPUTED_VALUE"""),"Drew Gooden")</f>
        <v>Drew Gooden</v>
      </c>
      <c r="C513" s="162" t="str">
        <f>IFERROR(__xludf.DUMMYFUNCTION("""COMPUTED_VALUE"""),"2014-15")</f>
        <v>2014-15</v>
      </c>
      <c r="D513" s="163" t="str">
        <f>IFERROR(__xludf.DUMMYFUNCTION("""COMPUTED_VALUE"""),"WAS")</f>
        <v>WAS</v>
      </c>
      <c r="E513" s="164" t="str">
        <f>IFERROR(__xludf.DUMMYFUNCTION("""COMPUTED_VALUE"""),"Roll + Cut Big")</f>
        <v>Roll + Cut Big</v>
      </c>
      <c r="F513" s="164">
        <f>IFERROR(__xludf.DUMMYFUNCTION("""COMPUTED_VALUE"""),863.73)</f>
        <v>863.73</v>
      </c>
      <c r="G513" s="163">
        <f>IFERROR(__xludf.DUMMYFUNCTION("""COMPUTED_VALUE"""),51.0)</f>
        <v>51</v>
      </c>
      <c r="H513" s="163" t="str">
        <f>IFERROR(__xludf.DUMMYFUNCTION("""COMPUTED_VALUE"""),"PF")</f>
        <v>PF</v>
      </c>
      <c r="I513" s="163">
        <f>IFERROR(__xludf.DUMMYFUNCTION("""COMPUTED_VALUE"""),33.0)</f>
        <v>33</v>
      </c>
      <c r="J513" s="165">
        <f>IFERROR(__xludf.DUMMYFUNCTION("""COMPUTED_VALUE"""),-0.151919749790285)</f>
        <v>-0.1519197498</v>
      </c>
      <c r="K513" s="165">
        <f>IFERROR(__xludf.DUMMYFUNCTION("""COMPUTED_VALUE"""),-0.756130601610175)</f>
        <v>-0.7561306016</v>
      </c>
      <c r="L513" s="165">
        <f>IFERROR(__xludf.DUMMYFUNCTION("""COMPUTED_VALUE"""),0.60421085181989)</f>
        <v>0.6042108518</v>
      </c>
      <c r="M513" s="166">
        <f t="shared" si="2"/>
        <v>1.243120986</v>
      </c>
      <c r="N513" s="167">
        <f t="shared" si="3"/>
        <v>16.93588235</v>
      </c>
      <c r="O513" s="163">
        <f t="shared" ref="O513:Q513" si="517">rank(I513,I:I)</f>
        <v>246</v>
      </c>
      <c r="P513" s="163">
        <f t="shared" si="517"/>
        <v>1443</v>
      </c>
      <c r="Q513" s="163">
        <f t="shared" si="517"/>
        <v>2488</v>
      </c>
      <c r="R513" s="163">
        <f>IFERROR(__xludf.DUMMYFUNCTION("RANK(M513,filter(M:M,C:C=C513))"),218.0)</f>
        <v>218</v>
      </c>
      <c r="S513" s="161" t="b">
        <f t="shared" si="5"/>
        <v>0</v>
      </c>
      <c r="T513" s="161" t="b">
        <f t="array" ref="T513">index('Query Tool'!B:B,match(H513,'Query Tool'!C:C,0))</f>
        <v>1</v>
      </c>
      <c r="U513" s="161" t="b">
        <f t="array" ref="U513">index('Query Tool'!B:B,match(C513,'Query Tool'!C:C,0))</f>
        <v>0</v>
      </c>
      <c r="V513" s="161" t="b">
        <f>F513&gt;='Query Tool'!C$32</f>
        <v>1</v>
      </c>
      <c r="W513" s="161" t="b">
        <f t="array" ref="W513">index(Dropdowns!B:B,match(I513,Dropdowns!A:A,0))</f>
        <v>1</v>
      </c>
      <c r="X513" s="161" t="b">
        <f t="array" ref="X513">index('Query Tool'!B:B,match(D513,'Query Tool'!C:C,0))</f>
        <v>1</v>
      </c>
      <c r="Y513" s="161" t="str">
        <f t="shared" si="6"/>
        <v>goodedr01,2014-15</v>
      </c>
      <c r="Z513" s="168">
        <f t="array" ref="Z513">iferror(index(I:I,match($A513&amp;","&amp;index('Year Conversion'!$A:$A,match($C513,'Year Conversion'!$B:$B,0)),$Y:$Y,0))-I513,"")</f>
        <v>1</v>
      </c>
      <c r="AA513" s="168">
        <f t="array" ref="AA513">iferror(index(J:J,match($A513&amp;","&amp;index('Year Conversion'!$A:$A,match($C513,'Year Conversion'!$B:$B,0)),$Y:$Y,0))-J513,"")</f>
        <v>-1.040000125</v>
      </c>
      <c r="AB513" s="168">
        <f t="array" ref="AB513">iferror(index(K:K,match($A513&amp;","&amp;index('Year Conversion'!$A:$A,match($C513,'Year Conversion'!$B:$B,0)),$Y:$Y,0))-K513,"")</f>
        <v>-0.260214413</v>
      </c>
      <c r="AC513" s="168" t="str">
        <f t="shared" si="7"/>
        <v>WAS,2014-15</v>
      </c>
    </row>
    <row r="514">
      <c r="A514" s="161" t="str">
        <f>IFERROR(__xludf.DUMMYFUNCTION("""COMPUTED_VALUE"""),"hilarne01")</f>
        <v>hilarne01</v>
      </c>
      <c r="B514" s="161" t="str">
        <f>IFERROR(__xludf.DUMMYFUNCTION("""COMPUTED_VALUE"""),"Nene")</f>
        <v>Nene</v>
      </c>
      <c r="C514" s="162" t="str">
        <f>IFERROR(__xludf.DUMMYFUNCTION("""COMPUTED_VALUE"""),"2014-15")</f>
        <v>2014-15</v>
      </c>
      <c r="D514" s="163" t="str">
        <f>IFERROR(__xludf.DUMMYFUNCTION("""COMPUTED_VALUE"""),"WAS")</f>
        <v>WAS</v>
      </c>
      <c r="E514" s="164" t="str">
        <f>IFERROR(__xludf.DUMMYFUNCTION("""COMPUTED_VALUE"""),"Post Scorer")</f>
        <v>Post Scorer</v>
      </c>
      <c r="F514" s="164">
        <f>IFERROR(__xludf.DUMMYFUNCTION("""COMPUTED_VALUE"""),1693.47333333333)</f>
        <v>1693.473333</v>
      </c>
      <c r="G514" s="163">
        <f>IFERROR(__xludf.DUMMYFUNCTION("""COMPUTED_VALUE"""),67.0)</f>
        <v>67</v>
      </c>
      <c r="H514" s="163" t="str">
        <f>IFERROR(__xludf.DUMMYFUNCTION("""COMPUTED_VALUE"""),"PF")</f>
        <v>PF</v>
      </c>
      <c r="I514" s="163">
        <f>IFERROR(__xludf.DUMMYFUNCTION("""COMPUTED_VALUE"""),32.0)</f>
        <v>32</v>
      </c>
      <c r="J514" s="165">
        <f>IFERROR(__xludf.DUMMYFUNCTION("""COMPUTED_VALUE"""),-0.161734611909608)</f>
        <v>-0.1617346119</v>
      </c>
      <c r="K514" s="165">
        <f>IFERROR(__xludf.DUMMYFUNCTION("""COMPUTED_VALUE"""),-1.1251790641864)</f>
        <v>-1.125179064</v>
      </c>
      <c r="L514" s="165">
        <f>IFERROR(__xludf.DUMMYFUNCTION("""COMPUTED_VALUE"""),0.963444452276794)</f>
        <v>0.9634444523</v>
      </c>
      <c r="M514" s="166">
        <f t="shared" si="2"/>
        <v>2.426122058</v>
      </c>
      <c r="N514" s="167">
        <f t="shared" si="3"/>
        <v>25.27572139</v>
      </c>
      <c r="O514" s="163">
        <f t="shared" ref="O514:Q514" si="518">rank(I514,I:I)</f>
        <v>359</v>
      </c>
      <c r="P514" s="163">
        <f t="shared" si="518"/>
        <v>1456</v>
      </c>
      <c r="Q514" s="163">
        <f t="shared" si="518"/>
        <v>2953</v>
      </c>
      <c r="R514" s="163">
        <f>IFERROR(__xludf.DUMMYFUNCTION("RANK(M514,filter(M:M,C:C=C514))"),144.0)</f>
        <v>144</v>
      </c>
      <c r="S514" s="161" t="b">
        <f t="shared" si="5"/>
        <v>0</v>
      </c>
      <c r="T514" s="161" t="b">
        <f t="array" ref="T514">index('Query Tool'!B:B,match(H514,'Query Tool'!C:C,0))</f>
        <v>1</v>
      </c>
      <c r="U514" s="161" t="b">
        <f t="array" ref="U514">index('Query Tool'!B:B,match(C514,'Query Tool'!C:C,0))</f>
        <v>0</v>
      </c>
      <c r="V514" s="161" t="b">
        <f>F514&gt;='Query Tool'!C$32</f>
        <v>1</v>
      </c>
      <c r="W514" s="161" t="b">
        <f t="array" ref="W514">index(Dropdowns!B:B,match(I514,Dropdowns!A:A,0))</f>
        <v>1</v>
      </c>
      <c r="X514" s="161" t="b">
        <f t="array" ref="X514">index('Query Tool'!B:B,match(D514,'Query Tool'!C:C,0))</f>
        <v>1</v>
      </c>
      <c r="Y514" s="161" t="str">
        <f t="shared" si="6"/>
        <v>hilarne01,2014-15</v>
      </c>
      <c r="Z514" s="168">
        <f t="array" ref="Z514">iferror(index(I:I,match($A514&amp;","&amp;index('Year Conversion'!$A:$A,match($C514,'Year Conversion'!$B:$B,0)),$Y:$Y,0))-I514,"")</f>
        <v>1</v>
      </c>
      <c r="AA514" s="168">
        <f t="array" ref="AA514">iferror(index(J:J,match($A514&amp;","&amp;index('Year Conversion'!$A:$A,match($C514,'Year Conversion'!$B:$B,0)),$Y:$Y,0))-J514,"")</f>
        <v>0.6893886063</v>
      </c>
      <c r="AB514" s="168">
        <f t="array" ref="AB514">iferror(index(K:K,match($A514&amp;","&amp;index('Year Conversion'!$A:$A,match($C514,'Year Conversion'!$B:$B,0)),$Y:$Y,0))-K514,"")</f>
        <v>0.2295306125</v>
      </c>
      <c r="AC514" s="168" t="str">
        <f t="shared" si="7"/>
        <v>WAS,2014-15</v>
      </c>
    </row>
    <row r="515">
      <c r="A515" s="161" t="str">
        <f>IFERROR(__xludf.DUMMYFUNCTION("""COMPUTED_VALUE"""),"stoudam01")</f>
        <v>stoudam01</v>
      </c>
      <c r="B515" s="161" t="str">
        <f>IFERROR(__xludf.DUMMYFUNCTION("""COMPUTED_VALUE"""),"Amar'e Stoudemire")</f>
        <v>Amar'e Stoudemire</v>
      </c>
      <c r="C515" s="162" t="str">
        <f>IFERROR(__xludf.DUMMYFUNCTION("""COMPUTED_VALUE"""),"2014-15")</f>
        <v>2014-15</v>
      </c>
      <c r="D515" s="163" t="str">
        <f>IFERROR(__xludf.DUMMYFUNCTION("""COMPUTED_VALUE"""),"TOT")</f>
        <v>TOT</v>
      </c>
      <c r="E515" s="164" t="str">
        <f>IFERROR(__xludf.DUMMYFUNCTION("""COMPUTED_VALUE"""),"Post Scorer")</f>
        <v>Post Scorer</v>
      </c>
      <c r="F515" s="164">
        <f>IFERROR(__xludf.DUMMYFUNCTION("""COMPUTED_VALUE"""),1244.375)</f>
        <v>1244.375</v>
      </c>
      <c r="G515" s="163">
        <f>IFERROR(__xludf.DUMMYFUNCTION("""COMPUTED_VALUE"""),59.0)</f>
        <v>59</v>
      </c>
      <c r="H515" s="163" t="str">
        <f>IFERROR(__xludf.DUMMYFUNCTION("""COMPUTED_VALUE"""),"PF")</f>
        <v>PF</v>
      </c>
      <c r="I515" s="163">
        <f>IFERROR(__xludf.DUMMYFUNCTION("""COMPUTED_VALUE"""),32.0)</f>
        <v>32</v>
      </c>
      <c r="J515" s="165">
        <f>IFERROR(__xludf.DUMMYFUNCTION("""COMPUTED_VALUE"""),-0.248711765022045)</f>
        <v>-0.248711765</v>
      </c>
      <c r="K515" s="165">
        <f>IFERROR(__xludf.DUMMYFUNCTION("""COMPUTED_VALUE"""),0.153153573305822)</f>
        <v>0.1531535733</v>
      </c>
      <c r="L515" s="165">
        <f>IFERROR(__xludf.DUMMYFUNCTION("""COMPUTED_VALUE"""),-0.401865338327868)</f>
        <v>-0.4018653383</v>
      </c>
      <c r="M515" s="166">
        <f t="shared" si="2"/>
        <v>1.709773907</v>
      </c>
      <c r="N515" s="167">
        <f t="shared" si="3"/>
        <v>21.09110169</v>
      </c>
      <c r="O515" s="163">
        <f t="shared" ref="O515:Q515" si="519">rank(I515,I:I)</f>
        <v>359</v>
      </c>
      <c r="P515" s="163">
        <f t="shared" si="519"/>
        <v>1559</v>
      </c>
      <c r="Q515" s="163">
        <f t="shared" si="519"/>
        <v>1024</v>
      </c>
      <c r="R515" s="163">
        <f>IFERROR(__xludf.DUMMYFUNCTION("RANK(M515,filter(M:M,C:C=C515))"),184.0)</f>
        <v>184</v>
      </c>
      <c r="S515" s="161" t="b">
        <f t="shared" si="5"/>
        <v>0</v>
      </c>
      <c r="T515" s="161" t="b">
        <f t="array" ref="T515">index('Query Tool'!B:B,match(H515,'Query Tool'!C:C,0))</f>
        <v>1</v>
      </c>
      <c r="U515" s="161" t="b">
        <f t="array" ref="U515">index('Query Tool'!B:B,match(C515,'Query Tool'!C:C,0))</f>
        <v>0</v>
      </c>
      <c r="V515" s="161" t="b">
        <f>F515&gt;='Query Tool'!C$32</f>
        <v>1</v>
      </c>
      <c r="W515" s="161" t="b">
        <f t="array" ref="W515">index(Dropdowns!B:B,match(I515,Dropdowns!A:A,0))</f>
        <v>1</v>
      </c>
      <c r="X515" s="161" t="b">
        <f t="array" ref="X515">index('Query Tool'!B:B,match(D515,'Query Tool'!C:C,0))</f>
        <v>1</v>
      </c>
      <c r="Y515" s="161" t="str">
        <f t="shared" si="6"/>
        <v>stoudam01,2014-15</v>
      </c>
      <c r="Z515" s="168">
        <f t="array" ref="Z515">iferror(index(I:I,match($A515&amp;","&amp;index('Year Conversion'!$A:$A,match($C515,'Year Conversion'!$B:$B,0)),$Y:$Y,0))-I515,"")</f>
        <v>1</v>
      </c>
      <c r="AA515" s="168">
        <f t="array" ref="AA515">iferror(index(J:J,match($A515&amp;","&amp;index('Year Conversion'!$A:$A,match($C515,'Year Conversion'!$B:$B,0)),$Y:$Y,0))-J515,"")</f>
        <v>0.3959818759</v>
      </c>
      <c r="AB515" s="168">
        <f t="array" ref="AB515">iferror(index(K:K,match($A515&amp;","&amp;index('Year Conversion'!$A:$A,match($C515,'Year Conversion'!$B:$B,0)),$Y:$Y,0))-K515,"")</f>
        <v>-1.596414875</v>
      </c>
      <c r="AC515" s="168" t="str">
        <f t="shared" si="7"/>
        <v>TOT,2014-15</v>
      </c>
    </row>
    <row r="516">
      <c r="A516" s="161" t="str">
        <f>IFERROR(__xludf.DUMMYFUNCTION("""COMPUTED_VALUE"""),"butleca01")</f>
        <v>butleca01</v>
      </c>
      <c r="B516" s="161" t="str">
        <f>IFERROR(__xludf.DUMMYFUNCTION("""COMPUTED_VALUE"""),"Caron Butler")</f>
        <v>Caron Butler</v>
      </c>
      <c r="C516" s="162" t="str">
        <f>IFERROR(__xludf.DUMMYFUNCTION("""COMPUTED_VALUE"""),"2014-15")</f>
        <v>2014-15</v>
      </c>
      <c r="D516" s="163" t="str">
        <f>IFERROR(__xludf.DUMMYFUNCTION("""COMPUTED_VALUE"""),"DET")</f>
        <v>DET</v>
      </c>
      <c r="E516" s="164" t="str">
        <f>IFERROR(__xludf.DUMMYFUNCTION("""COMPUTED_VALUE"""),"Movement Shooter")</f>
        <v>Movement Shooter</v>
      </c>
      <c r="F516" s="164">
        <f>IFERROR(__xludf.DUMMYFUNCTION("""COMPUTED_VALUE"""),1623.45833333333)</f>
        <v>1623.458333</v>
      </c>
      <c r="G516" s="163">
        <f>IFERROR(__xludf.DUMMYFUNCTION("""COMPUTED_VALUE"""),78.0)</f>
        <v>78</v>
      </c>
      <c r="H516" s="163" t="str">
        <f>IFERROR(__xludf.DUMMYFUNCTION("""COMPUTED_VALUE"""),"SF")</f>
        <v>SF</v>
      </c>
      <c r="I516" s="163">
        <f>IFERROR(__xludf.DUMMYFUNCTION("""COMPUTED_VALUE"""),34.0)</f>
        <v>34</v>
      </c>
      <c r="J516" s="165">
        <f>IFERROR(__xludf.DUMMYFUNCTION("""COMPUTED_VALUE"""),-0.962646930267215)</f>
        <v>-0.9626469303</v>
      </c>
      <c r="K516" s="165">
        <f>IFERROR(__xludf.DUMMYFUNCTION("""COMPUTED_VALUE"""),-0.988876396423651)</f>
        <v>-0.9888763964</v>
      </c>
      <c r="L516" s="165">
        <f>IFERROR(__xludf.DUMMYFUNCTION("""COMPUTED_VALUE"""),0.0262294661564355)</f>
        <v>0.02622946616</v>
      </c>
      <c r="M516" s="166">
        <f t="shared" si="2"/>
        <v>1.450550467</v>
      </c>
      <c r="N516" s="167">
        <f t="shared" si="3"/>
        <v>20.81356838</v>
      </c>
      <c r="O516" s="163">
        <f t="shared" ref="O516:Q516" si="520">rank(I516,I:I)</f>
        <v>164</v>
      </c>
      <c r="P516" s="163">
        <f t="shared" si="520"/>
        <v>2466</v>
      </c>
      <c r="Q516" s="163">
        <f t="shared" si="520"/>
        <v>2786</v>
      </c>
      <c r="R516" s="163">
        <f>IFERROR(__xludf.DUMMYFUNCTION("RANK(M516,filter(M:M,C:C=C516))"),200.0)</f>
        <v>200</v>
      </c>
      <c r="S516" s="161" t="b">
        <f t="shared" si="5"/>
        <v>0</v>
      </c>
      <c r="T516" s="161" t="b">
        <f t="array" ref="T516">index('Query Tool'!B:B,match(H516,'Query Tool'!C:C,0))</f>
        <v>1</v>
      </c>
      <c r="U516" s="161" t="b">
        <f t="array" ref="U516">index('Query Tool'!B:B,match(C516,'Query Tool'!C:C,0))</f>
        <v>0</v>
      </c>
      <c r="V516" s="161" t="b">
        <f>F516&gt;='Query Tool'!C$32</f>
        <v>1</v>
      </c>
      <c r="W516" s="161" t="b">
        <f t="array" ref="W516">index(Dropdowns!B:B,match(I516,Dropdowns!A:A,0))</f>
        <v>1</v>
      </c>
      <c r="X516" s="161" t="b">
        <f t="array" ref="X516">index('Query Tool'!B:B,match(D516,'Query Tool'!C:C,0))</f>
        <v>1</v>
      </c>
      <c r="Y516" s="161" t="str">
        <f t="shared" si="6"/>
        <v>butleca01,2014-15</v>
      </c>
      <c r="Z516" s="168">
        <f t="array" ref="Z516">iferror(index(I:I,match($A516&amp;","&amp;index('Year Conversion'!$A:$A,match($C516,'Year Conversion'!$B:$B,0)),$Y:$Y,0))-I516,"")</f>
        <v>1</v>
      </c>
      <c r="AA516" s="168">
        <f t="array" ref="AA516">iferror(index(J:J,match($A516&amp;","&amp;index('Year Conversion'!$A:$A,match($C516,'Year Conversion'!$B:$B,0)),$Y:$Y,0))-J516,"")</f>
        <v>0.04995983683</v>
      </c>
      <c r="AB516" s="168">
        <f t="array" ref="AB516">iferror(index(K:K,match($A516&amp;","&amp;index('Year Conversion'!$A:$A,match($C516,'Year Conversion'!$B:$B,0)),$Y:$Y,0))-K516,"")</f>
        <v>0.3121041849</v>
      </c>
      <c r="AC516" s="168" t="str">
        <f t="shared" si="7"/>
        <v>DET,2014-15</v>
      </c>
    </row>
    <row r="517">
      <c r="A517" s="161" t="str">
        <f>IFERROR(__xludf.DUMMYFUNCTION("""COMPUTED_VALUE"""),"princta01")</f>
        <v>princta01</v>
      </c>
      <c r="B517" s="161" t="str">
        <f>IFERROR(__xludf.DUMMYFUNCTION("""COMPUTED_VALUE"""),"Tayshaun Prince")</f>
        <v>Tayshaun Prince</v>
      </c>
      <c r="C517" s="162" t="str">
        <f>IFERROR(__xludf.DUMMYFUNCTION("""COMPUTED_VALUE"""),"2014-15")</f>
        <v>2014-15</v>
      </c>
      <c r="D517" s="163" t="str">
        <f>IFERROR(__xludf.DUMMYFUNCTION("""COMPUTED_VALUE"""),"TOT")</f>
        <v>TOT</v>
      </c>
      <c r="E517" s="164" t="str">
        <f>IFERROR(__xludf.DUMMYFUNCTION("""COMPUTED_VALUE"""),"Athletic Finisher")</f>
        <v>Athletic Finisher</v>
      </c>
      <c r="F517" s="164">
        <f>IFERROR(__xludf.DUMMYFUNCTION("""COMPUTED_VALUE"""),1396.74166666667)</f>
        <v>1396.741667</v>
      </c>
      <c r="G517" s="163">
        <f>IFERROR(__xludf.DUMMYFUNCTION("""COMPUTED_VALUE"""),58.0)</f>
        <v>58</v>
      </c>
      <c r="H517" s="163" t="str">
        <f>IFERROR(__xludf.DUMMYFUNCTION("""COMPUTED_VALUE"""),"SF")</f>
        <v>SF</v>
      </c>
      <c r="I517" s="163">
        <f>IFERROR(__xludf.DUMMYFUNCTION("""COMPUTED_VALUE"""),34.0)</f>
        <v>34</v>
      </c>
      <c r="J517" s="165">
        <f>IFERROR(__xludf.DUMMYFUNCTION("""COMPUTED_VALUE"""),-2.45808710217309)</f>
        <v>-2.458087102</v>
      </c>
      <c r="K517" s="165">
        <f>IFERROR(__xludf.DUMMYFUNCTION("""COMPUTED_VALUE"""),-1.58935607525172)</f>
        <v>-1.589356075</v>
      </c>
      <c r="L517" s="165">
        <f>IFERROR(__xludf.DUMMYFUNCTION("""COMPUTED_VALUE"""),-0.86873102692137)</f>
        <v>-0.8687310269</v>
      </c>
      <c r="M517" s="166">
        <f t="shared" si="2"/>
        <v>-0.1421587142</v>
      </c>
      <c r="N517" s="167">
        <f t="shared" si="3"/>
        <v>24.08175287</v>
      </c>
      <c r="O517" s="163">
        <f t="shared" ref="O517:Q517" si="521">rank(I517,I:I)</f>
        <v>164</v>
      </c>
      <c r="P517" s="163">
        <f t="shared" si="521"/>
        <v>3742</v>
      </c>
      <c r="Q517" s="163">
        <f t="shared" si="521"/>
        <v>3438</v>
      </c>
      <c r="R517" s="163">
        <f>IFERROR(__xludf.DUMMYFUNCTION("RANK(M517,filter(M:M,C:C=C517))"),459.0)</f>
        <v>459</v>
      </c>
      <c r="S517" s="161" t="b">
        <f t="shared" si="5"/>
        <v>0</v>
      </c>
      <c r="T517" s="161" t="b">
        <f t="array" ref="T517">index('Query Tool'!B:B,match(H517,'Query Tool'!C:C,0))</f>
        <v>1</v>
      </c>
      <c r="U517" s="161" t="b">
        <f t="array" ref="U517">index('Query Tool'!B:B,match(C517,'Query Tool'!C:C,0))</f>
        <v>0</v>
      </c>
      <c r="V517" s="161" t="b">
        <f>F517&gt;='Query Tool'!C$32</f>
        <v>1</v>
      </c>
      <c r="W517" s="161" t="b">
        <f t="array" ref="W517">index(Dropdowns!B:B,match(I517,Dropdowns!A:A,0))</f>
        <v>1</v>
      </c>
      <c r="X517" s="161" t="b">
        <f t="array" ref="X517">index('Query Tool'!B:B,match(D517,'Query Tool'!C:C,0))</f>
        <v>1</v>
      </c>
      <c r="Y517" s="161" t="str">
        <f t="shared" si="6"/>
        <v>princta01,2014-15</v>
      </c>
      <c r="Z517" s="168">
        <f t="array" ref="Z517">iferror(index(I:I,match($A517&amp;","&amp;index('Year Conversion'!$A:$A,match($C517,'Year Conversion'!$B:$B,0)),$Y:$Y,0))-I517,"")</f>
        <v>1</v>
      </c>
      <c r="AA517" s="168">
        <f t="array" ref="AA517">iferror(index(J:J,match($A517&amp;","&amp;index('Year Conversion'!$A:$A,match($C517,'Year Conversion'!$B:$B,0)),$Y:$Y,0))-J517,"")</f>
        <v>-0.6164137615</v>
      </c>
      <c r="AB517" s="168">
        <f t="array" ref="AB517">iferror(index(K:K,match($A517&amp;","&amp;index('Year Conversion'!$A:$A,match($C517,'Year Conversion'!$B:$B,0)),$Y:$Y,0))-K517,"")</f>
        <v>-0.8567074625</v>
      </c>
      <c r="AC517" s="168" t="str">
        <f t="shared" si="7"/>
        <v>TOT,2014-15</v>
      </c>
    </row>
    <row r="518">
      <c r="A518" s="161" t="str">
        <f>IFERROR(__xludf.DUMMYFUNCTION("""COMPUTED_VALUE"""),"salmojo01")</f>
        <v>salmojo01</v>
      </c>
      <c r="B518" s="161" t="str">
        <f>IFERROR(__xludf.DUMMYFUNCTION("""COMPUTED_VALUE"""),"John Salmons")</f>
        <v>John Salmons</v>
      </c>
      <c r="C518" s="162" t="str">
        <f>IFERROR(__xludf.DUMMYFUNCTION("""COMPUTED_VALUE"""),"2014-15")</f>
        <v>2014-15</v>
      </c>
      <c r="D518" s="163" t="str">
        <f>IFERROR(__xludf.DUMMYFUNCTION("""COMPUTED_VALUE"""),"NOP")</f>
        <v>NOP</v>
      </c>
      <c r="E518" s="164" t="str">
        <f>IFERROR(__xludf.DUMMYFUNCTION("""COMPUTED_VALUE"""),"Stationary Shooter")</f>
        <v>Stationary Shooter</v>
      </c>
      <c r="F518" s="164">
        <f>IFERROR(__xludf.DUMMYFUNCTION("""COMPUTED_VALUE"""),269.695)</f>
        <v>269.695</v>
      </c>
      <c r="G518" s="163">
        <f>IFERROR(__xludf.DUMMYFUNCTION("""COMPUTED_VALUE"""),21.0)</f>
        <v>21</v>
      </c>
      <c r="H518" s="163" t="str">
        <f>IFERROR(__xludf.DUMMYFUNCTION("""COMPUTED_VALUE"""),"SF")</f>
        <v>SF</v>
      </c>
      <c r="I518" s="163">
        <f>IFERROR(__xludf.DUMMYFUNCTION("""COMPUTED_VALUE"""),35.0)</f>
        <v>35</v>
      </c>
      <c r="J518" s="165">
        <f>IFERROR(__xludf.DUMMYFUNCTION("""COMPUTED_VALUE"""),-1.99562718951228)</f>
        <v>-1.99562719</v>
      </c>
      <c r="K518" s="165">
        <f>IFERROR(__xludf.DUMMYFUNCTION("""COMPUTED_VALUE"""),-1.53036626837172)</f>
        <v>-1.530366268</v>
      </c>
      <c r="L518" s="165">
        <f>IFERROR(__xludf.DUMMYFUNCTION("""COMPUTED_VALUE"""),-0.46526092114056)</f>
        <v>-0.4652609211</v>
      </c>
      <c r="M518" s="166">
        <f t="shared" si="2"/>
        <v>0.0549179109</v>
      </c>
      <c r="N518" s="167">
        <f t="shared" si="3"/>
        <v>12.84261905</v>
      </c>
      <c r="O518" s="163">
        <f t="shared" ref="O518:Q518" si="522">rank(I518,I:I)</f>
        <v>104</v>
      </c>
      <c r="P518" s="163">
        <f t="shared" si="522"/>
        <v>3478</v>
      </c>
      <c r="Q518" s="163">
        <f t="shared" si="522"/>
        <v>3390</v>
      </c>
      <c r="R518" s="163">
        <f>IFERROR(__xludf.DUMMYFUNCTION("RANK(M518,filter(M:M,C:C=C518))"),406.0)</f>
        <v>406</v>
      </c>
      <c r="S518" s="161" t="b">
        <f t="shared" si="5"/>
        <v>0</v>
      </c>
      <c r="T518" s="161" t="b">
        <f t="array" ref="T518">index('Query Tool'!B:B,match(H518,'Query Tool'!C:C,0))</f>
        <v>1</v>
      </c>
      <c r="U518" s="161" t="b">
        <f t="array" ref="U518">index('Query Tool'!B:B,match(C518,'Query Tool'!C:C,0))</f>
        <v>0</v>
      </c>
      <c r="V518" s="161" t="b">
        <f>F518&gt;='Query Tool'!C$32</f>
        <v>0</v>
      </c>
      <c r="W518" s="161" t="b">
        <f t="array" ref="W518">index(Dropdowns!B:B,match(I518,Dropdowns!A:A,0))</f>
        <v>1</v>
      </c>
      <c r="X518" s="161" t="b">
        <f t="array" ref="X518">index('Query Tool'!B:B,match(D518,'Query Tool'!C:C,0))</f>
        <v>1</v>
      </c>
      <c r="Y518" s="161" t="str">
        <f t="shared" si="6"/>
        <v>salmojo01,2014-15</v>
      </c>
      <c r="Z518" s="168" t="str">
        <f t="array" ref="Z518">iferror(index(I:I,match($A518&amp;","&amp;index('Year Conversion'!$A:$A,match($C518,'Year Conversion'!$B:$B,0)),$Y:$Y,0))-I518,"")</f>
        <v/>
      </c>
      <c r="AA518" s="168" t="str">
        <f t="array" ref="AA518">iferror(index(J:J,match($A518&amp;","&amp;index('Year Conversion'!$A:$A,match($C518,'Year Conversion'!$B:$B,0)),$Y:$Y,0))-J518,"")</f>
        <v/>
      </c>
      <c r="AB518" s="168" t="str">
        <f t="array" ref="AB518">iferror(index(K:K,match($A518&amp;","&amp;index('Year Conversion'!$A:$A,match($C518,'Year Conversion'!$B:$B,0)),$Y:$Y,0))-K518,"")</f>
        <v/>
      </c>
      <c r="AC518" s="168" t="str">
        <f t="shared" si="7"/>
        <v>NOP,2014-15</v>
      </c>
    </row>
    <row r="519">
      <c r="A519" s="161" t="str">
        <f>IFERROR(__xludf.DUMMYFUNCTION("""COMPUTED_VALUE"""),"boozeca01")</f>
        <v>boozeca01</v>
      </c>
      <c r="B519" s="161" t="str">
        <f>IFERROR(__xludf.DUMMYFUNCTION("""COMPUTED_VALUE"""),"Carlos Boozer")</f>
        <v>Carlos Boozer</v>
      </c>
      <c r="C519" s="162" t="str">
        <f>IFERROR(__xludf.DUMMYFUNCTION("""COMPUTED_VALUE"""),"2014-15")</f>
        <v>2014-15</v>
      </c>
      <c r="D519" s="163" t="str">
        <f>IFERROR(__xludf.DUMMYFUNCTION("""COMPUTED_VALUE"""),"LAL")</f>
        <v>LAL</v>
      </c>
      <c r="E519" s="164" t="str">
        <f>IFERROR(__xludf.DUMMYFUNCTION("""COMPUTED_VALUE"""),"Post Scorer")</f>
        <v>Post Scorer</v>
      </c>
      <c r="F519" s="164">
        <f>IFERROR(__xludf.DUMMYFUNCTION("""COMPUTED_VALUE"""),1691.71)</f>
        <v>1691.71</v>
      </c>
      <c r="G519" s="163">
        <f>IFERROR(__xludf.DUMMYFUNCTION("""COMPUTED_VALUE"""),71.0)</f>
        <v>71</v>
      </c>
      <c r="H519" s="163" t="str">
        <f>IFERROR(__xludf.DUMMYFUNCTION("""COMPUTED_VALUE"""),"PF")</f>
        <v>PF</v>
      </c>
      <c r="I519" s="163">
        <f>IFERROR(__xludf.DUMMYFUNCTION("""COMPUTED_VALUE"""),33.0)</f>
        <v>33</v>
      </c>
      <c r="J519" s="165">
        <f>IFERROR(__xludf.DUMMYFUNCTION("""COMPUTED_VALUE"""),-2.44951146764321)</f>
        <v>-2.449511468</v>
      </c>
      <c r="K519" s="165">
        <f>IFERROR(__xludf.DUMMYFUNCTION("""COMPUTED_VALUE"""),-1.16674084075604)</f>
        <v>-1.166740841</v>
      </c>
      <c r="L519" s="165">
        <f>IFERROR(__xludf.DUMMYFUNCTION("""COMPUTED_VALUE"""),-1.28277062688717)</f>
        <v>-1.282770627</v>
      </c>
      <c r="M519" s="166">
        <f t="shared" si="2"/>
        <v>-0.1626408368</v>
      </c>
      <c r="N519" s="167">
        <f t="shared" si="3"/>
        <v>23.82690141</v>
      </c>
      <c r="O519" s="163">
        <f t="shared" ref="O519:Q519" si="523">rank(I519,I:I)</f>
        <v>246</v>
      </c>
      <c r="P519" s="163">
        <f t="shared" si="523"/>
        <v>3738</v>
      </c>
      <c r="Q519" s="163">
        <f t="shared" si="523"/>
        <v>3005</v>
      </c>
      <c r="R519" s="163">
        <f>IFERROR(__xludf.DUMMYFUNCTION("RANK(M519,filter(M:M,C:C=C519))"),460.0)</f>
        <v>460</v>
      </c>
      <c r="S519" s="161" t="b">
        <f t="shared" si="5"/>
        <v>0</v>
      </c>
      <c r="T519" s="161" t="b">
        <f t="array" ref="T519">index('Query Tool'!B:B,match(H519,'Query Tool'!C:C,0))</f>
        <v>1</v>
      </c>
      <c r="U519" s="161" t="b">
        <f t="array" ref="U519">index('Query Tool'!B:B,match(C519,'Query Tool'!C:C,0))</f>
        <v>0</v>
      </c>
      <c r="V519" s="161" t="b">
        <f>F519&gt;='Query Tool'!C$32</f>
        <v>1</v>
      </c>
      <c r="W519" s="161" t="b">
        <f t="array" ref="W519">index(Dropdowns!B:B,match(I519,Dropdowns!A:A,0))</f>
        <v>1</v>
      </c>
      <c r="X519" s="161" t="b">
        <f t="array" ref="X519">index('Query Tool'!B:B,match(D519,'Query Tool'!C:C,0))</f>
        <v>1</v>
      </c>
      <c r="Y519" s="161" t="str">
        <f t="shared" si="6"/>
        <v>boozeca01,2014-15</v>
      </c>
      <c r="Z519" s="168" t="str">
        <f t="array" ref="Z519">iferror(index(I:I,match($A519&amp;","&amp;index('Year Conversion'!$A:$A,match($C519,'Year Conversion'!$B:$B,0)),$Y:$Y,0))-I519,"")</f>
        <v/>
      </c>
      <c r="AA519" s="168" t="str">
        <f t="array" ref="AA519">iferror(index(J:J,match($A519&amp;","&amp;index('Year Conversion'!$A:$A,match($C519,'Year Conversion'!$B:$B,0)),$Y:$Y,0))-J519,"")</f>
        <v/>
      </c>
      <c r="AB519" s="168" t="str">
        <f t="array" ref="AB519">iferror(index(K:K,match($A519&amp;","&amp;index('Year Conversion'!$A:$A,match($C519,'Year Conversion'!$B:$B,0)),$Y:$Y,0))-K519,"")</f>
        <v/>
      </c>
      <c r="AC519" s="168" t="str">
        <f t="shared" si="7"/>
        <v>LAL,2014-15</v>
      </c>
    </row>
    <row r="520">
      <c r="A520" s="161" t="str">
        <f>IFERROR(__xludf.DUMMYFUNCTION("""COMPUTED_VALUE"""),"barnema02")</f>
        <v>barnema02</v>
      </c>
      <c r="B520" s="161" t="str">
        <f>IFERROR(__xludf.DUMMYFUNCTION("""COMPUTED_VALUE"""),"Matt Barnes")</f>
        <v>Matt Barnes</v>
      </c>
      <c r="C520" s="162" t="str">
        <f>IFERROR(__xludf.DUMMYFUNCTION("""COMPUTED_VALUE"""),"2014-15")</f>
        <v>2014-15</v>
      </c>
      <c r="D520" s="163" t="str">
        <f>IFERROR(__xludf.DUMMYFUNCTION("""COMPUTED_VALUE"""),"LAC")</f>
        <v>LAC</v>
      </c>
      <c r="E520" s="164" t="str">
        <f>IFERROR(__xludf.DUMMYFUNCTION("""COMPUTED_VALUE"""),"Stationary Shooter")</f>
        <v>Stationary Shooter</v>
      </c>
      <c r="F520" s="164">
        <f>IFERROR(__xludf.DUMMYFUNCTION("""COMPUTED_VALUE"""),2271.22333333333)</f>
        <v>2271.223333</v>
      </c>
      <c r="G520" s="163">
        <f>IFERROR(__xludf.DUMMYFUNCTION("""COMPUTED_VALUE"""),76.0)</f>
        <v>76</v>
      </c>
      <c r="H520" s="163" t="str">
        <f>IFERROR(__xludf.DUMMYFUNCTION("""COMPUTED_VALUE"""),"SF")</f>
        <v>SF</v>
      </c>
      <c r="I520" s="163">
        <f>IFERROR(__xludf.DUMMYFUNCTION("""COMPUTED_VALUE"""),34.0)</f>
        <v>34</v>
      </c>
      <c r="J520" s="165">
        <f>IFERROR(__xludf.DUMMYFUNCTION("""COMPUTED_VALUE"""),1.42942277948866)</f>
        <v>1.429422779</v>
      </c>
      <c r="K520" s="165">
        <f>IFERROR(__xludf.DUMMYFUNCTION("""COMPUTED_VALUE"""),0.52204215718774)</f>
        <v>0.5220421572</v>
      </c>
      <c r="L520" s="165">
        <f>IFERROR(__xludf.DUMMYFUNCTION("""COMPUTED_VALUE"""),0.907380622300917)</f>
        <v>0.9073806223</v>
      </c>
      <c r="M520" s="166">
        <f t="shared" si="2"/>
        <v>5.684060721</v>
      </c>
      <c r="N520" s="167">
        <f t="shared" si="3"/>
        <v>29.88451754</v>
      </c>
      <c r="O520" s="163">
        <f t="shared" ref="O520:Q520" si="524">rank(I520,I:I)</f>
        <v>164</v>
      </c>
      <c r="P520" s="163">
        <f t="shared" si="524"/>
        <v>480</v>
      </c>
      <c r="Q520" s="163">
        <f t="shared" si="524"/>
        <v>759</v>
      </c>
      <c r="R520" s="163">
        <f>IFERROR(__xludf.DUMMYFUNCTION("RANK(M520,filter(M:M,C:C=C520))"),45.0)</f>
        <v>45</v>
      </c>
      <c r="S520" s="161" t="b">
        <f t="shared" si="5"/>
        <v>0</v>
      </c>
      <c r="T520" s="161" t="b">
        <f t="array" ref="T520">index('Query Tool'!B:B,match(H520,'Query Tool'!C:C,0))</f>
        <v>1</v>
      </c>
      <c r="U520" s="161" t="b">
        <f t="array" ref="U520">index('Query Tool'!B:B,match(C520,'Query Tool'!C:C,0))</f>
        <v>0</v>
      </c>
      <c r="V520" s="161" t="b">
        <f>F520&gt;='Query Tool'!C$32</f>
        <v>1</v>
      </c>
      <c r="W520" s="161" t="b">
        <f t="array" ref="W520">index(Dropdowns!B:B,match(I520,Dropdowns!A:A,0))</f>
        <v>1</v>
      </c>
      <c r="X520" s="161" t="b">
        <f t="array" ref="X520">index('Query Tool'!B:B,match(D520,'Query Tool'!C:C,0))</f>
        <v>1</v>
      </c>
      <c r="Y520" s="161" t="str">
        <f t="shared" si="6"/>
        <v>barnema02,2014-15</v>
      </c>
      <c r="Z520" s="168">
        <f t="array" ref="Z520">iferror(index(I:I,match($A520&amp;","&amp;index('Year Conversion'!$A:$A,match($C520,'Year Conversion'!$B:$B,0)),$Y:$Y,0))-I520,"")</f>
        <v>1</v>
      </c>
      <c r="AA520" s="168">
        <f t="array" ref="AA520">iferror(index(J:J,match($A520&amp;","&amp;index('Year Conversion'!$A:$A,match($C520,'Year Conversion'!$B:$B,0)),$Y:$Y,0))-J520,"")</f>
        <v>-3.006330087</v>
      </c>
      <c r="AB520" s="168">
        <f t="array" ref="AB520">iferror(index(K:K,match($A520&amp;","&amp;index('Year Conversion'!$A:$A,match($C520,'Year Conversion'!$B:$B,0)),$Y:$Y,0))-K520,"")</f>
        <v>-1.307588355</v>
      </c>
      <c r="AC520" s="168" t="str">
        <f t="shared" si="7"/>
        <v>LAC,2014-15</v>
      </c>
    </row>
    <row r="521">
      <c r="A521" s="161" t="str">
        <f>IFERROR(__xludf.DUMMYFUNCTION("""COMPUTED_VALUE"""),"butlera01")</f>
        <v>butlera01</v>
      </c>
      <c r="B521" s="161" t="str">
        <f>IFERROR(__xludf.DUMMYFUNCTION("""COMPUTED_VALUE"""),"Rasual Butler")</f>
        <v>Rasual Butler</v>
      </c>
      <c r="C521" s="162" t="str">
        <f>IFERROR(__xludf.DUMMYFUNCTION("""COMPUTED_VALUE"""),"2014-15")</f>
        <v>2014-15</v>
      </c>
      <c r="D521" s="163" t="str">
        <f>IFERROR(__xludf.DUMMYFUNCTION("""COMPUTED_VALUE"""),"WAS")</f>
        <v>WAS</v>
      </c>
      <c r="E521" s="164" t="str">
        <f>IFERROR(__xludf.DUMMYFUNCTION("""COMPUTED_VALUE"""),"Off Screen Shooter")</f>
        <v>Off Screen Shooter</v>
      </c>
      <c r="F521" s="164">
        <f>IFERROR(__xludf.DUMMYFUNCTION("""COMPUTED_VALUE"""),1504.63166666667)</f>
        <v>1504.631667</v>
      </c>
      <c r="G521" s="163">
        <f>IFERROR(__xludf.DUMMYFUNCTION("""COMPUTED_VALUE"""),75.0)</f>
        <v>75</v>
      </c>
      <c r="H521" s="163" t="str">
        <f>IFERROR(__xludf.DUMMYFUNCTION("""COMPUTED_VALUE"""),"SF")</f>
        <v>SF</v>
      </c>
      <c r="I521" s="163">
        <f>IFERROR(__xludf.DUMMYFUNCTION("""COMPUTED_VALUE"""),35.0)</f>
        <v>35</v>
      </c>
      <c r="J521" s="165">
        <f>IFERROR(__xludf.DUMMYFUNCTION("""COMPUTED_VALUE"""),-2.05611420415593)</f>
        <v>-2.056114204</v>
      </c>
      <c r="K521" s="165">
        <f>IFERROR(__xludf.DUMMYFUNCTION("""COMPUTED_VALUE"""),-0.727805599241797)</f>
        <v>-0.7278055992</v>
      </c>
      <c r="L521" s="165">
        <f>IFERROR(__xludf.DUMMYFUNCTION("""COMPUTED_VALUE"""),-1.32830860491413)</f>
        <v>-1.328308605</v>
      </c>
      <c r="M521" s="166">
        <f t="shared" si="2"/>
        <v>0.2460669547</v>
      </c>
      <c r="N521" s="167">
        <f t="shared" si="3"/>
        <v>20.06175556</v>
      </c>
      <c r="O521" s="163">
        <f t="shared" ref="O521:Q521" si="525">rank(I521,I:I)</f>
        <v>104</v>
      </c>
      <c r="P521" s="163">
        <f t="shared" si="525"/>
        <v>3522</v>
      </c>
      <c r="Q521" s="163">
        <f t="shared" si="525"/>
        <v>2449</v>
      </c>
      <c r="R521" s="163">
        <f>IFERROR(__xludf.DUMMYFUNCTION("RANK(M521,filter(M:M,C:C=C521))"),322.0)</f>
        <v>322</v>
      </c>
      <c r="S521" s="161" t="b">
        <f t="shared" si="5"/>
        <v>0</v>
      </c>
      <c r="T521" s="161" t="b">
        <f t="array" ref="T521">index('Query Tool'!B:B,match(H521,'Query Tool'!C:C,0))</f>
        <v>1</v>
      </c>
      <c r="U521" s="161" t="b">
        <f t="array" ref="U521">index('Query Tool'!B:B,match(C521,'Query Tool'!C:C,0))</f>
        <v>0</v>
      </c>
      <c r="V521" s="161" t="b">
        <f>F521&gt;='Query Tool'!C$32</f>
        <v>1</v>
      </c>
      <c r="W521" s="161" t="b">
        <f t="array" ref="W521">index(Dropdowns!B:B,match(I521,Dropdowns!A:A,0))</f>
        <v>1</v>
      </c>
      <c r="X521" s="161" t="b">
        <f t="array" ref="X521">index('Query Tool'!B:B,match(D521,'Query Tool'!C:C,0))</f>
        <v>1</v>
      </c>
      <c r="Y521" s="161" t="str">
        <f t="shared" si="6"/>
        <v>butlera01,2014-15</v>
      </c>
      <c r="Z521" s="168">
        <f t="array" ref="Z521">iferror(index(I:I,match($A521&amp;","&amp;index('Year Conversion'!$A:$A,match($C521,'Year Conversion'!$B:$B,0)),$Y:$Y,0))-I521,"")</f>
        <v>1</v>
      </c>
      <c r="AA521" s="168">
        <f t="array" ref="AA521">iferror(index(J:J,match($A521&amp;","&amp;index('Year Conversion'!$A:$A,match($C521,'Year Conversion'!$B:$B,0)),$Y:$Y,0))-J521,"")</f>
        <v>2.100323042</v>
      </c>
      <c r="AB521" s="168">
        <f t="array" ref="AB521">iferror(index(K:K,match($A521&amp;","&amp;index('Year Conversion'!$A:$A,match($C521,'Year Conversion'!$B:$B,0)),$Y:$Y,0))-K521,"")</f>
        <v>0.344876383</v>
      </c>
      <c r="AC521" s="168" t="str">
        <f t="shared" si="7"/>
        <v>WAS,2014-15</v>
      </c>
    </row>
    <row r="522">
      <c r="A522" s="161" t="str">
        <f>IFERROR(__xludf.DUMMYFUNCTION("""COMPUTED_VALUE"""),"scolalu01")</f>
        <v>scolalu01</v>
      </c>
      <c r="B522" s="161" t="str">
        <f>IFERROR(__xludf.DUMMYFUNCTION("""COMPUTED_VALUE"""),"Luis Scola")</f>
        <v>Luis Scola</v>
      </c>
      <c r="C522" s="162" t="str">
        <f>IFERROR(__xludf.DUMMYFUNCTION("""COMPUTED_VALUE"""),"2014-15")</f>
        <v>2014-15</v>
      </c>
      <c r="D522" s="163" t="str">
        <f>IFERROR(__xludf.DUMMYFUNCTION("""COMPUTED_VALUE"""),"IND")</f>
        <v>IND</v>
      </c>
      <c r="E522" s="164" t="str">
        <f>IFERROR(__xludf.DUMMYFUNCTION("""COMPUTED_VALUE"""),"Post Scorer")</f>
        <v>Post Scorer</v>
      </c>
      <c r="F522" s="164">
        <f>IFERROR(__xludf.DUMMYFUNCTION("""COMPUTED_VALUE"""),1659.06333333333)</f>
        <v>1659.063333</v>
      </c>
      <c r="G522" s="163">
        <f>IFERROR(__xludf.DUMMYFUNCTION("""COMPUTED_VALUE"""),81.0)</f>
        <v>81</v>
      </c>
      <c r="H522" s="163" t="str">
        <f>IFERROR(__xludf.DUMMYFUNCTION("""COMPUTED_VALUE"""),"PF")</f>
        <v>PF</v>
      </c>
      <c r="I522" s="163">
        <f>IFERROR(__xludf.DUMMYFUNCTION("""COMPUTED_VALUE"""),34.0)</f>
        <v>34</v>
      </c>
      <c r="J522" s="165">
        <f>IFERROR(__xludf.DUMMYFUNCTION("""COMPUTED_VALUE"""),-0.26218128720823)</f>
        <v>-0.2621812872</v>
      </c>
      <c r="K522" s="165">
        <f>IFERROR(__xludf.DUMMYFUNCTION("""COMPUTED_VALUE"""),-0.48737879797679)</f>
        <v>-0.487378798</v>
      </c>
      <c r="L522" s="165">
        <f>IFERROR(__xludf.DUMMYFUNCTION("""COMPUTED_VALUE"""),0.22519751076856)</f>
        <v>0.2251975108</v>
      </c>
      <c r="M522" s="166">
        <f t="shared" si="2"/>
        <v>2.264494681</v>
      </c>
      <c r="N522" s="167">
        <f t="shared" si="3"/>
        <v>20.48226337</v>
      </c>
      <c r="O522" s="163">
        <f t="shared" ref="O522:Q522" si="526">rank(I522,I:I)</f>
        <v>164</v>
      </c>
      <c r="P522" s="163">
        <f t="shared" si="526"/>
        <v>1573</v>
      </c>
      <c r="Q522" s="163">
        <f t="shared" si="526"/>
        <v>2089</v>
      </c>
      <c r="R522" s="163">
        <f>IFERROR(__xludf.DUMMYFUNCTION("RANK(M522,filter(M:M,C:C=C522))"),154.0)</f>
        <v>154</v>
      </c>
      <c r="S522" s="161" t="b">
        <f t="shared" si="5"/>
        <v>0</v>
      </c>
      <c r="T522" s="161" t="b">
        <f t="array" ref="T522">index('Query Tool'!B:B,match(H522,'Query Tool'!C:C,0))</f>
        <v>1</v>
      </c>
      <c r="U522" s="161" t="b">
        <f t="array" ref="U522">index('Query Tool'!B:B,match(C522,'Query Tool'!C:C,0))</f>
        <v>0</v>
      </c>
      <c r="V522" s="161" t="b">
        <f>F522&gt;='Query Tool'!C$32</f>
        <v>1</v>
      </c>
      <c r="W522" s="161" t="b">
        <f t="array" ref="W522">index(Dropdowns!B:B,match(I522,Dropdowns!A:A,0))</f>
        <v>1</v>
      </c>
      <c r="X522" s="161" t="b">
        <f t="array" ref="X522">index('Query Tool'!B:B,match(D522,'Query Tool'!C:C,0))</f>
        <v>1</v>
      </c>
      <c r="Y522" s="161" t="str">
        <f t="shared" si="6"/>
        <v>scolalu01,2014-15</v>
      </c>
      <c r="Z522" s="168">
        <f t="array" ref="Z522">iferror(index(I:I,match($A522&amp;","&amp;index('Year Conversion'!$A:$A,match($C522,'Year Conversion'!$B:$B,0)),$Y:$Y,0))-I522,"")</f>
        <v>1</v>
      </c>
      <c r="AA522" s="168">
        <f t="array" ref="AA522">iferror(index(J:J,match($A522&amp;","&amp;index('Year Conversion'!$A:$A,match($C522,'Year Conversion'!$B:$B,0)),$Y:$Y,0))-J522,"")</f>
        <v>-1.465681877</v>
      </c>
      <c r="AB522" s="168">
        <f t="array" ref="AB522">iferror(index(K:K,match($A522&amp;","&amp;index('Year Conversion'!$A:$A,match($C522,'Year Conversion'!$B:$B,0)),$Y:$Y,0))-K522,"")</f>
        <v>-1.475902089</v>
      </c>
      <c r="AC522" s="168" t="str">
        <f t="shared" si="7"/>
        <v>IND,2014-15</v>
      </c>
    </row>
    <row r="523">
      <c r="A523" s="161" t="str">
        <f>IFERROR(__xludf.DUMMYFUNCTION("""COMPUTED_VALUE"""),"pargoja01")</f>
        <v>pargoja01</v>
      </c>
      <c r="B523" s="161" t="str">
        <f>IFERROR(__xludf.DUMMYFUNCTION("""COMPUTED_VALUE"""),"Jannero Pargo")</f>
        <v>Jannero Pargo</v>
      </c>
      <c r="C523" s="162" t="str">
        <f>IFERROR(__xludf.DUMMYFUNCTION("""COMPUTED_VALUE"""),"2014-15")</f>
        <v>2014-15</v>
      </c>
      <c r="D523" s="163" t="str">
        <f>IFERROR(__xludf.DUMMYFUNCTION("""COMPUTED_VALUE"""),"CHO")</f>
        <v>CHO</v>
      </c>
      <c r="E523" s="164" t="str">
        <f>IFERROR(__xludf.DUMMYFUNCTION("""COMPUTED_VALUE"""),"Secondary Ball Handler")</f>
        <v>Secondary Ball Handler</v>
      </c>
      <c r="F523" s="164">
        <f>IFERROR(__xludf.DUMMYFUNCTION("""COMPUTED_VALUE"""),73.185)</f>
        <v>73.185</v>
      </c>
      <c r="G523" s="163">
        <f>IFERROR(__xludf.DUMMYFUNCTION("""COMPUTED_VALUE"""),9.0)</f>
        <v>9</v>
      </c>
      <c r="H523" s="163" t="str">
        <f>IFERROR(__xludf.DUMMYFUNCTION("""COMPUTED_VALUE"""),"PG")</f>
        <v>PG</v>
      </c>
      <c r="I523" s="163">
        <f>IFERROR(__xludf.DUMMYFUNCTION("""COMPUTED_VALUE"""),35.0)</f>
        <v>35</v>
      </c>
      <c r="J523" s="165">
        <f>IFERROR(__xludf.DUMMYFUNCTION("""COMPUTED_VALUE"""),0.10909569661699)</f>
        <v>0.1090956966</v>
      </c>
      <c r="K523" s="165">
        <f>IFERROR(__xludf.DUMMYFUNCTION("""COMPUTED_VALUE"""),0.173356680228633)</f>
        <v>0.1733566802</v>
      </c>
      <c r="L523" s="165">
        <f>IFERROR(__xludf.DUMMYFUNCTION("""COMPUTED_VALUE"""),-0.0642609836116435)</f>
        <v>-0.06426098361</v>
      </c>
      <c r="M523" s="166">
        <f t="shared" si="2"/>
        <v>0.1182096311</v>
      </c>
      <c r="N523" s="167">
        <f t="shared" si="3"/>
        <v>8.131666667</v>
      </c>
      <c r="O523" s="163">
        <f t="shared" ref="O523:Q523" si="527">rank(I523,I:I)</f>
        <v>104</v>
      </c>
      <c r="P523" s="163">
        <f t="shared" si="527"/>
        <v>1178</v>
      </c>
      <c r="Q523" s="163">
        <f t="shared" si="527"/>
        <v>1007</v>
      </c>
      <c r="R523" s="163">
        <f>IFERROR(__xludf.DUMMYFUNCTION("RANK(M523,filter(M:M,C:C=C523))"),369.0)</f>
        <v>369</v>
      </c>
      <c r="S523" s="161" t="b">
        <f t="shared" si="5"/>
        <v>0</v>
      </c>
      <c r="T523" s="161" t="b">
        <f t="array" ref="T523">index('Query Tool'!B:B,match(H523,'Query Tool'!C:C,0))</f>
        <v>1</v>
      </c>
      <c r="U523" s="161" t="b">
        <f t="array" ref="U523">index('Query Tool'!B:B,match(C523,'Query Tool'!C:C,0))</f>
        <v>0</v>
      </c>
      <c r="V523" s="161" t="b">
        <f>F523&gt;='Query Tool'!C$32</f>
        <v>0</v>
      </c>
      <c r="W523" s="161" t="b">
        <f t="array" ref="W523">index(Dropdowns!B:B,match(I523,Dropdowns!A:A,0))</f>
        <v>1</v>
      </c>
      <c r="X523" s="161" t="b">
        <f t="array" ref="X523">index('Query Tool'!B:B,match(D523,'Query Tool'!C:C,0))</f>
        <v>1</v>
      </c>
      <c r="Y523" s="161" t="str">
        <f t="shared" si="6"/>
        <v>pargoja01,2014-15</v>
      </c>
      <c r="Z523" s="168" t="str">
        <f t="array" ref="Z523">iferror(index(I:I,match($A523&amp;","&amp;index('Year Conversion'!$A:$A,match($C523,'Year Conversion'!$B:$B,0)),$Y:$Y,0))-I523,"")</f>
        <v/>
      </c>
      <c r="AA523" s="168" t="str">
        <f t="array" ref="AA523">iferror(index(J:J,match($A523&amp;","&amp;index('Year Conversion'!$A:$A,match($C523,'Year Conversion'!$B:$B,0)),$Y:$Y,0))-J523,"")</f>
        <v/>
      </c>
      <c r="AB523" s="168" t="str">
        <f t="array" ref="AB523">iferror(index(K:K,match($A523&amp;","&amp;index('Year Conversion'!$A:$A,match($C523,'Year Conversion'!$B:$B,0)),$Y:$Y,0))-K523,"")</f>
        <v/>
      </c>
      <c r="AC523" s="168" t="str">
        <f t="shared" si="7"/>
        <v>CHO,2014-15</v>
      </c>
    </row>
    <row r="524">
      <c r="A524" s="161" t="str">
        <f>IFERROR(__xludf.DUMMYFUNCTION("""COMPUTED_VALUE"""),"evansre01")</f>
        <v>evansre01</v>
      </c>
      <c r="B524" s="161" t="str">
        <f>IFERROR(__xludf.DUMMYFUNCTION("""COMPUTED_VALUE"""),"Reggie Evans")</f>
        <v>Reggie Evans</v>
      </c>
      <c r="C524" s="162" t="str">
        <f>IFERROR(__xludf.DUMMYFUNCTION("""COMPUTED_VALUE"""),"2014-15")</f>
        <v>2014-15</v>
      </c>
      <c r="D524" s="163" t="str">
        <f>IFERROR(__xludf.DUMMYFUNCTION("""COMPUTED_VALUE"""),"SAC")</f>
        <v>SAC</v>
      </c>
      <c r="E524" s="164" t="str">
        <f>IFERROR(__xludf.DUMMYFUNCTION("""COMPUTED_VALUE"""),"Post Scorer")</f>
        <v>Post Scorer</v>
      </c>
      <c r="F524" s="164">
        <f>IFERROR(__xludf.DUMMYFUNCTION("""COMPUTED_VALUE"""),763.841666666667)</f>
        <v>763.8416667</v>
      </c>
      <c r="G524" s="163">
        <f>IFERROR(__xludf.DUMMYFUNCTION("""COMPUTED_VALUE"""),47.0)</f>
        <v>47</v>
      </c>
      <c r="H524" s="163" t="str">
        <f>IFERROR(__xludf.DUMMYFUNCTION("""COMPUTED_VALUE"""),"PF")</f>
        <v>PF</v>
      </c>
      <c r="I524" s="163">
        <f>IFERROR(__xludf.DUMMYFUNCTION("""COMPUTED_VALUE"""),34.0)</f>
        <v>34</v>
      </c>
      <c r="J524" s="165">
        <f>IFERROR(__xludf.DUMMYFUNCTION("""COMPUTED_VALUE"""),-1.67707881100801)</f>
        <v>-1.677078811</v>
      </c>
      <c r="K524" s="165">
        <f>IFERROR(__xludf.DUMMYFUNCTION("""COMPUTED_VALUE"""),-1.30148243227429)</f>
        <v>-1.301482432</v>
      </c>
      <c r="L524" s="165">
        <f>IFERROR(__xludf.DUMMYFUNCTION("""COMPUTED_VALUE"""),-0.375596378733722)</f>
        <v>-0.3755963787</v>
      </c>
      <c r="M524" s="166">
        <f t="shared" si="2"/>
        <v>0.3172955455</v>
      </c>
      <c r="N524" s="167">
        <f t="shared" si="3"/>
        <v>16.25195035</v>
      </c>
      <c r="O524" s="163">
        <f t="shared" ref="O524:Q524" si="528">rank(I524,I:I)</f>
        <v>164</v>
      </c>
      <c r="P524" s="163">
        <f t="shared" si="528"/>
        <v>3219</v>
      </c>
      <c r="Q524" s="163">
        <f t="shared" si="528"/>
        <v>3150</v>
      </c>
      <c r="R524" s="163">
        <f>IFERROR(__xludf.DUMMYFUNCTION("RANK(M524,filter(M:M,C:C=C524))"),308.0)</f>
        <v>308</v>
      </c>
      <c r="S524" s="161" t="b">
        <f t="shared" si="5"/>
        <v>0</v>
      </c>
      <c r="T524" s="161" t="b">
        <f t="array" ref="T524">index('Query Tool'!B:B,match(H524,'Query Tool'!C:C,0))</f>
        <v>1</v>
      </c>
      <c r="U524" s="161" t="b">
        <f t="array" ref="U524">index('Query Tool'!B:B,match(C524,'Query Tool'!C:C,0))</f>
        <v>0</v>
      </c>
      <c r="V524" s="161" t="b">
        <f>F524&gt;='Query Tool'!C$32</f>
        <v>1</v>
      </c>
      <c r="W524" s="161" t="b">
        <f t="array" ref="W524">index(Dropdowns!B:B,match(I524,Dropdowns!A:A,0))</f>
        <v>1</v>
      </c>
      <c r="X524" s="161" t="b">
        <f t="array" ref="X524">index('Query Tool'!B:B,match(D524,'Query Tool'!C:C,0))</f>
        <v>1</v>
      </c>
      <c r="Y524" s="161" t="str">
        <f t="shared" si="6"/>
        <v>evansre01,2014-15</v>
      </c>
      <c r="Z524" s="168" t="str">
        <f t="array" ref="Z524">iferror(index(I:I,match($A524&amp;","&amp;index('Year Conversion'!$A:$A,match($C524,'Year Conversion'!$B:$B,0)),$Y:$Y,0))-I524,"")</f>
        <v/>
      </c>
      <c r="AA524" s="168" t="str">
        <f t="array" ref="AA524">iferror(index(J:J,match($A524&amp;","&amp;index('Year Conversion'!$A:$A,match($C524,'Year Conversion'!$B:$B,0)),$Y:$Y,0))-J524,"")</f>
        <v/>
      </c>
      <c r="AB524" s="168" t="str">
        <f t="array" ref="AB524">iferror(index(K:K,match($A524&amp;","&amp;index('Year Conversion'!$A:$A,match($C524,'Year Conversion'!$B:$B,0)),$Y:$Y,0))-K524,"")</f>
        <v/>
      </c>
      <c r="AC524" s="168" t="str">
        <f t="shared" si="7"/>
        <v>SAC,2014-15</v>
      </c>
    </row>
    <row r="525">
      <c r="A525" s="161" t="str">
        <f>IFERROR(__xludf.DUMMYFUNCTION("""COMPUTED_VALUE"""),"jamesle01")</f>
        <v>jamesle01</v>
      </c>
      <c r="B525" s="161" t="str">
        <f>IFERROR(__xludf.DUMMYFUNCTION("""COMPUTED_VALUE"""),"LeBron James")</f>
        <v>LeBron James</v>
      </c>
      <c r="C525" s="162" t="str">
        <f>IFERROR(__xludf.DUMMYFUNCTION("""COMPUTED_VALUE"""),"2014-15")</f>
        <v>2014-15</v>
      </c>
      <c r="D525" s="163" t="str">
        <f>IFERROR(__xludf.DUMMYFUNCTION("""COMPUTED_VALUE"""),"CLE")</f>
        <v>CLE</v>
      </c>
      <c r="E525" s="164" t="str">
        <f>IFERROR(__xludf.DUMMYFUNCTION("""COMPUTED_VALUE"""),"Shot Creator")</f>
        <v>Shot Creator</v>
      </c>
      <c r="F525" s="164">
        <f>IFERROR(__xludf.DUMMYFUNCTION("""COMPUTED_VALUE"""),2493.42166666667)</f>
        <v>2493.421667</v>
      </c>
      <c r="G525" s="163">
        <f>IFERROR(__xludf.DUMMYFUNCTION("""COMPUTED_VALUE"""),69.0)</f>
        <v>69</v>
      </c>
      <c r="H525" s="163" t="str">
        <f>IFERROR(__xludf.DUMMYFUNCTION("""COMPUTED_VALUE"""),"SF")</f>
        <v>SF</v>
      </c>
      <c r="I525" s="163">
        <f>IFERROR(__xludf.DUMMYFUNCTION("""COMPUTED_VALUE"""),30.0)</f>
        <v>30</v>
      </c>
      <c r="J525" s="165">
        <f>IFERROR(__xludf.DUMMYFUNCTION("""COMPUTED_VALUE"""),5.43966115265791)</f>
        <v>5.439661153</v>
      </c>
      <c r="K525" s="165">
        <f>IFERROR(__xludf.DUMMYFUNCTION("""COMPUTED_VALUE"""),4.42518288271887)</f>
        <v>4.425182883</v>
      </c>
      <c r="L525" s="165">
        <f>IFERROR(__xludf.DUMMYFUNCTION("""COMPUTED_VALUE"""),1.01447826993904)</f>
        <v>1.01447827</v>
      </c>
      <c r="M525" s="166">
        <f t="shared" si="2"/>
        <v>12.63004543</v>
      </c>
      <c r="N525" s="167">
        <f t="shared" si="3"/>
        <v>36.13654589</v>
      </c>
      <c r="O525" s="163">
        <f t="shared" ref="O525:Q525" si="529">rank(I525,I:I)</f>
        <v>655</v>
      </c>
      <c r="P525" s="163">
        <f t="shared" si="529"/>
        <v>33</v>
      </c>
      <c r="Q525" s="163">
        <f t="shared" si="529"/>
        <v>45</v>
      </c>
      <c r="R525" s="163">
        <f>IFERROR(__xludf.DUMMYFUNCTION("RANK(M525,filter(M:M,C:C=C525))"),5.0)</f>
        <v>5</v>
      </c>
      <c r="S525" s="161" t="b">
        <f t="shared" si="5"/>
        <v>0</v>
      </c>
      <c r="T525" s="161" t="b">
        <f t="array" ref="T525">index('Query Tool'!B:B,match(H525,'Query Tool'!C:C,0))</f>
        <v>1</v>
      </c>
      <c r="U525" s="161" t="b">
        <f t="array" ref="U525">index('Query Tool'!B:B,match(C525,'Query Tool'!C:C,0))</f>
        <v>0</v>
      </c>
      <c r="V525" s="161" t="b">
        <f>F525&gt;='Query Tool'!C$32</f>
        <v>1</v>
      </c>
      <c r="W525" s="161" t="b">
        <f t="array" ref="W525">index(Dropdowns!B:B,match(I525,Dropdowns!A:A,0))</f>
        <v>1</v>
      </c>
      <c r="X525" s="161" t="b">
        <f t="array" ref="X525">index('Query Tool'!B:B,match(D525,'Query Tool'!C:C,0))</f>
        <v>1</v>
      </c>
      <c r="Y525" s="161" t="str">
        <f t="shared" si="6"/>
        <v>jamesle01,2014-15</v>
      </c>
      <c r="Z525" s="168">
        <f t="array" ref="Z525">iferror(index(I:I,match($A525&amp;","&amp;index('Year Conversion'!$A:$A,match($C525,'Year Conversion'!$B:$B,0)),$Y:$Y,0))-I525,"")</f>
        <v>1</v>
      </c>
      <c r="AA525" s="168">
        <f t="array" ref="AA525">iferror(index(J:J,match($A525&amp;","&amp;index('Year Conversion'!$A:$A,match($C525,'Year Conversion'!$B:$B,0)),$Y:$Y,0))-J525,"")</f>
        <v>1.416794833</v>
      </c>
      <c r="AB525" s="168">
        <f t="array" ref="AB525">iferror(index(K:K,match($A525&amp;","&amp;index('Year Conversion'!$A:$A,match($C525,'Year Conversion'!$B:$B,0)),$Y:$Y,0))-K525,"")</f>
        <v>0.9318338032</v>
      </c>
      <c r="AC525" s="168" t="str">
        <f t="shared" si="7"/>
        <v>CLE,2014-15</v>
      </c>
    </row>
    <row r="526">
      <c r="A526" s="161" t="str">
        <f>IFERROR(__xludf.DUMMYFUNCTION("""COMPUTED_VALUE"""),"anthoca01")</f>
        <v>anthoca01</v>
      </c>
      <c r="B526" s="161" t="str">
        <f>IFERROR(__xludf.DUMMYFUNCTION("""COMPUTED_VALUE"""),"Carmelo Anthony")</f>
        <v>Carmelo Anthony</v>
      </c>
      <c r="C526" s="162" t="str">
        <f>IFERROR(__xludf.DUMMYFUNCTION("""COMPUTED_VALUE"""),"2014-15")</f>
        <v>2014-15</v>
      </c>
      <c r="D526" s="163" t="str">
        <f>IFERROR(__xludf.DUMMYFUNCTION("""COMPUTED_VALUE"""),"NYK")</f>
        <v>NYK</v>
      </c>
      <c r="E526" s="164" t="str">
        <f>IFERROR(__xludf.DUMMYFUNCTION("""COMPUTED_VALUE"""),"Shot Creator")</f>
        <v>Shot Creator</v>
      </c>
      <c r="F526" s="164">
        <f>IFERROR(__xludf.DUMMYFUNCTION("""COMPUTED_VALUE"""),1427.625)</f>
        <v>1427.625</v>
      </c>
      <c r="G526" s="163">
        <f>IFERROR(__xludf.DUMMYFUNCTION("""COMPUTED_VALUE"""),40.0)</f>
        <v>40</v>
      </c>
      <c r="H526" s="163" t="str">
        <f>IFERROR(__xludf.DUMMYFUNCTION("""COMPUTED_VALUE"""),"SF")</f>
        <v>SF</v>
      </c>
      <c r="I526" s="163">
        <f>IFERROR(__xludf.DUMMYFUNCTION("""COMPUTED_VALUE"""),30.0)</f>
        <v>30</v>
      </c>
      <c r="J526" s="165">
        <f>IFERROR(__xludf.DUMMYFUNCTION("""COMPUTED_VALUE"""),1.15402684683312)</f>
        <v>1.154026847</v>
      </c>
      <c r="K526" s="165">
        <f>IFERROR(__xludf.DUMMYFUNCTION("""COMPUTED_VALUE"""),2.75210786057032)</f>
        <v>2.752107861</v>
      </c>
      <c r="L526" s="165">
        <f>IFERROR(__xludf.DUMMYFUNCTION("""COMPUTED_VALUE"""),-1.5980810137372)</f>
        <v>-1.598081014</v>
      </c>
      <c r="M526" s="166">
        <f t="shared" si="2"/>
        <v>3.309611033</v>
      </c>
      <c r="N526" s="167">
        <f t="shared" si="3"/>
        <v>35.690625</v>
      </c>
      <c r="O526" s="163">
        <f t="shared" ref="O526:Q526" si="530">rank(I526,I:I)</f>
        <v>655</v>
      </c>
      <c r="P526" s="163">
        <f t="shared" si="530"/>
        <v>592</v>
      </c>
      <c r="Q526" s="163">
        <f t="shared" si="530"/>
        <v>139</v>
      </c>
      <c r="R526" s="163">
        <f>IFERROR(__xludf.DUMMYFUNCTION("RANK(M526,filter(M:M,C:C=C526))"),104.0)</f>
        <v>104</v>
      </c>
      <c r="S526" s="161" t="b">
        <f t="shared" si="5"/>
        <v>0</v>
      </c>
      <c r="T526" s="161" t="b">
        <f t="array" ref="T526">index('Query Tool'!B:B,match(H526,'Query Tool'!C:C,0))</f>
        <v>1</v>
      </c>
      <c r="U526" s="161" t="b">
        <f t="array" ref="U526">index('Query Tool'!B:B,match(C526,'Query Tool'!C:C,0))</f>
        <v>0</v>
      </c>
      <c r="V526" s="161" t="b">
        <f>F526&gt;='Query Tool'!C$32</f>
        <v>1</v>
      </c>
      <c r="W526" s="161" t="b">
        <f t="array" ref="W526">index(Dropdowns!B:B,match(I526,Dropdowns!A:A,0))</f>
        <v>1</v>
      </c>
      <c r="X526" s="161" t="b">
        <f t="array" ref="X526">index('Query Tool'!B:B,match(D526,'Query Tool'!C:C,0))</f>
        <v>1</v>
      </c>
      <c r="Y526" s="161" t="str">
        <f t="shared" si="6"/>
        <v>anthoca01,2014-15</v>
      </c>
      <c r="Z526" s="168">
        <f t="array" ref="Z526">iferror(index(I:I,match($A526&amp;","&amp;index('Year Conversion'!$A:$A,match($C526,'Year Conversion'!$B:$B,0)),$Y:$Y,0))-I526,"")</f>
        <v>1</v>
      </c>
      <c r="AA526" s="168">
        <f t="array" ref="AA526">iferror(index(J:J,match($A526&amp;","&amp;index('Year Conversion'!$A:$A,match($C526,'Year Conversion'!$B:$B,0)),$Y:$Y,0))-J526,"")</f>
        <v>0.8570318083</v>
      </c>
      <c r="AB526" s="168">
        <f t="array" ref="AB526">iferror(index(K:K,match($A526&amp;","&amp;index('Year Conversion'!$A:$A,match($C526,'Year Conversion'!$B:$B,0)),$Y:$Y,0))-K526,"")</f>
        <v>-0.3041356844</v>
      </c>
      <c r="AC526" s="168" t="str">
        <f t="shared" si="7"/>
        <v>NYK,2014-15</v>
      </c>
    </row>
    <row r="527">
      <c r="A527" s="161" t="str">
        <f>IFERROR(__xludf.DUMMYFUNCTION("""COMPUTED_VALUE"""),"boshch01")</f>
        <v>boshch01</v>
      </c>
      <c r="B527" s="161" t="str">
        <f>IFERROR(__xludf.DUMMYFUNCTION("""COMPUTED_VALUE"""),"Chris Bosh")</f>
        <v>Chris Bosh</v>
      </c>
      <c r="C527" s="162" t="str">
        <f>IFERROR(__xludf.DUMMYFUNCTION("""COMPUTED_VALUE"""),"2014-15")</f>
        <v>2014-15</v>
      </c>
      <c r="D527" s="163" t="str">
        <f>IFERROR(__xludf.DUMMYFUNCTION("""COMPUTED_VALUE"""),"MIA")</f>
        <v>MIA</v>
      </c>
      <c r="E527" s="164" t="str">
        <f>IFERROR(__xludf.DUMMYFUNCTION("""COMPUTED_VALUE"""),"Post Scorer")</f>
        <v>Post Scorer</v>
      </c>
      <c r="F527" s="164">
        <f>IFERROR(__xludf.DUMMYFUNCTION("""COMPUTED_VALUE"""),1555.965)</f>
        <v>1555.965</v>
      </c>
      <c r="G527" s="163">
        <f>IFERROR(__xludf.DUMMYFUNCTION("""COMPUTED_VALUE"""),44.0)</f>
        <v>44</v>
      </c>
      <c r="H527" s="163" t="str">
        <f>IFERROR(__xludf.DUMMYFUNCTION("""COMPUTED_VALUE"""),"C")</f>
        <v>C</v>
      </c>
      <c r="I527" s="163">
        <f>IFERROR(__xludf.DUMMYFUNCTION("""COMPUTED_VALUE"""),30.0)</f>
        <v>30</v>
      </c>
      <c r="J527" s="165">
        <f>IFERROR(__xludf.DUMMYFUNCTION("""COMPUTED_VALUE"""),0.490274384290615)</f>
        <v>0.4902743843</v>
      </c>
      <c r="K527" s="165">
        <f>IFERROR(__xludf.DUMMYFUNCTION("""COMPUTED_VALUE"""),0.633870542224936)</f>
        <v>0.6338705422</v>
      </c>
      <c r="L527" s="165">
        <f>IFERROR(__xludf.DUMMYFUNCTION("""COMPUTED_VALUE"""),-0.14359615793432)</f>
        <v>-0.1435961579</v>
      </c>
      <c r="M527" s="166">
        <f t="shared" si="2"/>
        <v>2.912913263</v>
      </c>
      <c r="N527" s="167">
        <f t="shared" si="3"/>
        <v>35.36284091</v>
      </c>
      <c r="O527" s="163">
        <f t="shared" ref="O527:Q527" si="531">rank(I527,I:I)</f>
        <v>655</v>
      </c>
      <c r="P527" s="163">
        <f t="shared" si="531"/>
        <v>904</v>
      </c>
      <c r="Q527" s="163">
        <f t="shared" si="531"/>
        <v>689</v>
      </c>
      <c r="R527" s="163">
        <f>IFERROR(__xludf.DUMMYFUNCTION("RANK(M527,filter(M:M,C:C=C527))"),121.0)</f>
        <v>121</v>
      </c>
      <c r="S527" s="161" t="b">
        <f t="shared" si="5"/>
        <v>0</v>
      </c>
      <c r="T527" s="161" t="b">
        <f t="array" ref="T527">index('Query Tool'!B:B,match(H527,'Query Tool'!C:C,0))</f>
        <v>1</v>
      </c>
      <c r="U527" s="161" t="b">
        <f t="array" ref="U527">index('Query Tool'!B:B,match(C527,'Query Tool'!C:C,0))</f>
        <v>0</v>
      </c>
      <c r="V527" s="161" t="b">
        <f>F527&gt;='Query Tool'!C$32</f>
        <v>1</v>
      </c>
      <c r="W527" s="161" t="b">
        <f t="array" ref="W527">index(Dropdowns!B:B,match(I527,Dropdowns!A:A,0))</f>
        <v>1</v>
      </c>
      <c r="X527" s="161" t="b">
        <f t="array" ref="X527">index('Query Tool'!B:B,match(D527,'Query Tool'!C:C,0))</f>
        <v>1</v>
      </c>
      <c r="Y527" s="161" t="str">
        <f t="shared" si="6"/>
        <v>boshch01,2014-15</v>
      </c>
      <c r="Z527" s="168">
        <f t="array" ref="Z527">iferror(index(I:I,match($A527&amp;","&amp;index('Year Conversion'!$A:$A,match($C527,'Year Conversion'!$B:$B,0)),$Y:$Y,0))-I527,"")</f>
        <v>1</v>
      </c>
      <c r="AA527" s="168">
        <f t="array" ref="AA527">iferror(index(J:J,match($A527&amp;","&amp;index('Year Conversion'!$A:$A,match($C527,'Year Conversion'!$B:$B,0)),$Y:$Y,0))-J527,"")</f>
        <v>1.855578186</v>
      </c>
      <c r="AB527" s="168">
        <f t="array" ref="AB527">iferror(index(K:K,match($A527&amp;","&amp;index('Year Conversion'!$A:$A,match($C527,'Year Conversion'!$B:$B,0)),$Y:$Y,0))-K527,"")</f>
        <v>0.6773845658</v>
      </c>
      <c r="AC527" s="168" t="str">
        <f t="shared" si="7"/>
        <v>MIA,2014-15</v>
      </c>
    </row>
    <row r="528">
      <c r="A528" s="161" t="str">
        <f>IFERROR(__xludf.DUMMYFUNCTION("""COMPUTED_VALUE"""),"wadedw01")</f>
        <v>wadedw01</v>
      </c>
      <c r="B528" s="161" t="str">
        <f>IFERROR(__xludf.DUMMYFUNCTION("""COMPUTED_VALUE"""),"Dwyane Wade")</f>
        <v>Dwyane Wade</v>
      </c>
      <c r="C528" s="162" t="str">
        <f>IFERROR(__xludf.DUMMYFUNCTION("""COMPUTED_VALUE"""),"2014-15")</f>
        <v>2014-15</v>
      </c>
      <c r="D528" s="163" t="str">
        <f>IFERROR(__xludf.DUMMYFUNCTION("""COMPUTED_VALUE"""),"MIA")</f>
        <v>MIA</v>
      </c>
      <c r="E528" s="164" t="str">
        <f>IFERROR(__xludf.DUMMYFUNCTION("""COMPUTED_VALUE"""),"Shot Creator")</f>
        <v>Shot Creator</v>
      </c>
      <c r="F528" s="164">
        <f>IFERROR(__xludf.DUMMYFUNCTION("""COMPUTED_VALUE"""),1970.87666666667)</f>
        <v>1970.876667</v>
      </c>
      <c r="G528" s="163">
        <f>IFERROR(__xludf.DUMMYFUNCTION("""COMPUTED_VALUE"""),62.0)</f>
        <v>62</v>
      </c>
      <c r="H528" s="163" t="str">
        <f>IFERROR(__xludf.DUMMYFUNCTION("""COMPUTED_VALUE"""),"SG")</f>
        <v>SG</v>
      </c>
      <c r="I528" s="163">
        <f>IFERROR(__xludf.DUMMYFUNCTION("""COMPUTED_VALUE"""),33.0)</f>
        <v>33</v>
      </c>
      <c r="J528" s="165">
        <f>IFERROR(__xludf.DUMMYFUNCTION("""COMPUTED_VALUE"""),0.184687624314104)</f>
        <v>0.1846876243</v>
      </c>
      <c r="K528" s="165">
        <f>IFERROR(__xludf.DUMMYFUNCTION("""COMPUTED_VALUE"""),2.24317194875719)</f>
        <v>2.243171949</v>
      </c>
      <c r="L528" s="165">
        <f>IFERROR(__xludf.DUMMYFUNCTION("""COMPUTED_VALUE"""),-2.05848432444309)</f>
        <v>-2.058484324</v>
      </c>
      <c r="M528" s="166">
        <f t="shared" si="2"/>
        <v>3.283825986</v>
      </c>
      <c r="N528" s="167">
        <f t="shared" si="3"/>
        <v>31.78833333</v>
      </c>
      <c r="O528" s="163">
        <f t="shared" ref="O528:Q528" si="532">rank(I528,I:I)</f>
        <v>246</v>
      </c>
      <c r="P528" s="163">
        <f t="shared" si="532"/>
        <v>1104</v>
      </c>
      <c r="Q528" s="163">
        <f t="shared" si="532"/>
        <v>190</v>
      </c>
      <c r="R528" s="163">
        <f>IFERROR(__xludf.DUMMYFUNCTION("RANK(M528,filter(M:M,C:C=C528))"),105.0)</f>
        <v>105</v>
      </c>
      <c r="S528" s="161" t="b">
        <f t="shared" si="5"/>
        <v>0</v>
      </c>
      <c r="T528" s="161" t="b">
        <f t="array" ref="T528">index('Query Tool'!B:B,match(H528,'Query Tool'!C:C,0))</f>
        <v>1</v>
      </c>
      <c r="U528" s="161" t="b">
        <f t="array" ref="U528">index('Query Tool'!B:B,match(C528,'Query Tool'!C:C,0))</f>
        <v>0</v>
      </c>
      <c r="V528" s="161" t="b">
        <f>F528&gt;='Query Tool'!C$32</f>
        <v>1</v>
      </c>
      <c r="W528" s="161" t="b">
        <f t="array" ref="W528">index(Dropdowns!B:B,match(I528,Dropdowns!A:A,0))</f>
        <v>1</v>
      </c>
      <c r="X528" s="161" t="b">
        <f t="array" ref="X528">index('Query Tool'!B:B,match(D528,'Query Tool'!C:C,0))</f>
        <v>1</v>
      </c>
      <c r="Y528" s="161" t="str">
        <f t="shared" si="6"/>
        <v>wadedw01,2014-15</v>
      </c>
      <c r="Z528" s="168">
        <f t="array" ref="Z528">iferror(index(I:I,match($A528&amp;","&amp;index('Year Conversion'!$A:$A,match($C528,'Year Conversion'!$B:$B,0)),$Y:$Y,0))-I528,"")</f>
        <v>1</v>
      </c>
      <c r="AA528" s="168">
        <f t="array" ref="AA528">iferror(index(J:J,match($A528&amp;","&amp;index('Year Conversion'!$A:$A,match($C528,'Year Conversion'!$B:$B,0)),$Y:$Y,0))-J528,"")</f>
        <v>-0.2546144395</v>
      </c>
      <c r="AB528" s="168">
        <f t="array" ref="AB528">iferror(index(K:K,match($A528&amp;","&amp;index('Year Conversion'!$A:$A,match($C528,'Year Conversion'!$B:$B,0)),$Y:$Y,0))-K528,"")</f>
        <v>-1.30653185</v>
      </c>
      <c r="AC528" s="168" t="str">
        <f t="shared" si="7"/>
        <v>MIA,2014-15</v>
      </c>
    </row>
    <row r="529">
      <c r="A529" s="161" t="str">
        <f>IFERROR(__xludf.DUMMYFUNCTION("""COMPUTED_VALUE"""),"kamanch01")</f>
        <v>kamanch01</v>
      </c>
      <c r="B529" s="161" t="str">
        <f>IFERROR(__xludf.DUMMYFUNCTION("""COMPUTED_VALUE"""),"Chris Kaman")</f>
        <v>Chris Kaman</v>
      </c>
      <c r="C529" s="162" t="str">
        <f>IFERROR(__xludf.DUMMYFUNCTION("""COMPUTED_VALUE"""),"2014-15")</f>
        <v>2014-15</v>
      </c>
      <c r="D529" s="163" t="str">
        <f>IFERROR(__xludf.DUMMYFUNCTION("""COMPUTED_VALUE"""),"POR")</f>
        <v>POR</v>
      </c>
      <c r="E529" s="164" t="str">
        <f>IFERROR(__xludf.DUMMYFUNCTION("""COMPUTED_VALUE"""),"Post Scorer")</f>
        <v>Post Scorer</v>
      </c>
      <c r="F529" s="164">
        <f>IFERROR(__xludf.DUMMYFUNCTION("""COMPUTED_VALUE"""),1398.17166666667)</f>
        <v>1398.171667</v>
      </c>
      <c r="G529" s="163">
        <f>IFERROR(__xludf.DUMMYFUNCTION("""COMPUTED_VALUE"""),74.0)</f>
        <v>74</v>
      </c>
      <c r="H529" s="163" t="str">
        <f>IFERROR(__xludf.DUMMYFUNCTION("""COMPUTED_VALUE"""),"C")</f>
        <v>C</v>
      </c>
      <c r="I529" s="163">
        <f>IFERROR(__xludf.DUMMYFUNCTION("""COMPUTED_VALUE"""),32.0)</f>
        <v>32</v>
      </c>
      <c r="J529" s="165">
        <f>IFERROR(__xludf.DUMMYFUNCTION("""COMPUTED_VALUE"""),-1.56998867256604)</f>
        <v>-1.569988673</v>
      </c>
      <c r="K529" s="165">
        <f>IFERROR(__xludf.DUMMYFUNCTION("""COMPUTED_VALUE"""),-1.60860882216771)</f>
        <v>-1.608608822</v>
      </c>
      <c r="L529" s="165">
        <f>IFERROR(__xludf.DUMMYFUNCTION("""COMPUTED_VALUE"""),0.038620149601669)</f>
        <v>0.0386201496</v>
      </c>
      <c r="M529" s="166">
        <f t="shared" si="2"/>
        <v>0.6806381414</v>
      </c>
      <c r="N529" s="167">
        <f t="shared" si="3"/>
        <v>18.89421171</v>
      </c>
      <c r="O529" s="163">
        <f t="shared" ref="O529:Q529" si="533">rank(I529,I:I)</f>
        <v>359</v>
      </c>
      <c r="P529" s="163">
        <f t="shared" si="533"/>
        <v>3117</v>
      </c>
      <c r="Q529" s="163">
        <f t="shared" si="533"/>
        <v>3450</v>
      </c>
      <c r="R529" s="163">
        <f>IFERROR(__xludf.DUMMYFUNCTION("RANK(M529,filter(M:M,C:C=C529))"),264.0)</f>
        <v>264</v>
      </c>
      <c r="S529" s="161" t="b">
        <f t="shared" si="5"/>
        <v>0</v>
      </c>
      <c r="T529" s="161" t="b">
        <f t="array" ref="T529">index('Query Tool'!B:B,match(H529,'Query Tool'!C:C,0))</f>
        <v>1</v>
      </c>
      <c r="U529" s="161" t="b">
        <f t="array" ref="U529">index('Query Tool'!B:B,match(C529,'Query Tool'!C:C,0))</f>
        <v>0</v>
      </c>
      <c r="V529" s="161" t="b">
        <f>F529&gt;='Query Tool'!C$32</f>
        <v>1</v>
      </c>
      <c r="W529" s="161" t="b">
        <f t="array" ref="W529">index(Dropdowns!B:B,match(I529,Dropdowns!A:A,0))</f>
        <v>1</v>
      </c>
      <c r="X529" s="161" t="b">
        <f t="array" ref="X529">index('Query Tool'!B:B,match(D529,'Query Tool'!C:C,0))</f>
        <v>1</v>
      </c>
      <c r="Y529" s="161" t="str">
        <f t="shared" si="6"/>
        <v>kamanch01,2014-15</v>
      </c>
      <c r="Z529" s="168">
        <f t="array" ref="Z529">iferror(index(I:I,match($A529&amp;","&amp;index('Year Conversion'!$A:$A,match($C529,'Year Conversion'!$B:$B,0)),$Y:$Y,0))-I529,"")</f>
        <v>1</v>
      </c>
      <c r="AA529" s="168">
        <f t="array" ref="AA529">iferror(index(J:J,match($A529&amp;","&amp;index('Year Conversion'!$A:$A,match($C529,'Year Conversion'!$B:$B,0)),$Y:$Y,0))-J529,"")</f>
        <v>0.5465871581</v>
      </c>
      <c r="AB529" s="168">
        <f t="array" ref="AB529">iferror(index(K:K,match($A529&amp;","&amp;index('Year Conversion'!$A:$A,match($C529,'Year Conversion'!$B:$B,0)),$Y:$Y,0))-K529,"")</f>
        <v>0.9673691282</v>
      </c>
      <c r="AC529" s="168" t="str">
        <f t="shared" si="7"/>
        <v>POR,2014-15</v>
      </c>
    </row>
    <row r="530">
      <c r="A530" s="161" t="str">
        <f>IFERROR(__xludf.DUMMYFUNCTION("""COMPUTED_VALUE"""),"hinriki01")</f>
        <v>hinriki01</v>
      </c>
      <c r="B530" s="161" t="str">
        <f>IFERROR(__xludf.DUMMYFUNCTION("""COMPUTED_VALUE"""),"Kirk Hinrich")</f>
        <v>Kirk Hinrich</v>
      </c>
      <c r="C530" s="162" t="str">
        <f>IFERROR(__xludf.DUMMYFUNCTION("""COMPUTED_VALUE"""),"2014-15")</f>
        <v>2014-15</v>
      </c>
      <c r="D530" s="163" t="str">
        <f>IFERROR(__xludf.DUMMYFUNCTION("""COMPUTED_VALUE"""),"CHI")</f>
        <v>CHI</v>
      </c>
      <c r="E530" s="164" t="str">
        <f>IFERROR(__xludf.DUMMYFUNCTION("""COMPUTED_VALUE"""),"Primary Ball Handler")</f>
        <v>Primary Ball Handler</v>
      </c>
      <c r="F530" s="164">
        <f>IFERROR(__xludf.DUMMYFUNCTION("""COMPUTED_VALUE"""),1609.96666666667)</f>
        <v>1609.966667</v>
      </c>
      <c r="G530" s="163">
        <f>IFERROR(__xludf.DUMMYFUNCTION("""COMPUTED_VALUE"""),66.0)</f>
        <v>66</v>
      </c>
      <c r="H530" s="163" t="str">
        <f>IFERROR(__xludf.DUMMYFUNCTION("""COMPUTED_VALUE"""),"SG")</f>
        <v>SG</v>
      </c>
      <c r="I530" s="163">
        <f>IFERROR(__xludf.DUMMYFUNCTION("""COMPUTED_VALUE"""),34.0)</f>
        <v>34</v>
      </c>
      <c r="J530" s="165">
        <f>IFERROR(__xludf.DUMMYFUNCTION("""COMPUTED_VALUE"""),-2.53487463658159)</f>
        <v>-2.534874637</v>
      </c>
      <c r="K530" s="165">
        <f>IFERROR(__xludf.DUMMYFUNCTION("""COMPUTED_VALUE"""),-1.92445566141852)</f>
        <v>-1.924455661</v>
      </c>
      <c r="L530" s="165">
        <f>IFERROR(__xludf.DUMMYFUNCTION("""COMPUTED_VALUE"""),-0.610418975163067)</f>
        <v>-0.6104189752</v>
      </c>
      <c r="M530" s="166">
        <f t="shared" si="2"/>
        <v>-0.2450793256</v>
      </c>
      <c r="N530" s="167">
        <f t="shared" si="3"/>
        <v>24.39343434</v>
      </c>
      <c r="O530" s="163">
        <f t="shared" ref="O530:Q530" si="534">rank(I530,I:I)</f>
        <v>164</v>
      </c>
      <c r="P530" s="163">
        <f t="shared" si="534"/>
        <v>3770</v>
      </c>
      <c r="Q530" s="163">
        <f t="shared" si="534"/>
        <v>3668</v>
      </c>
      <c r="R530" s="163">
        <f>IFERROR(__xludf.DUMMYFUNCTION("RANK(M530,filter(M:M,C:C=C530))"),464.0)</f>
        <v>464</v>
      </c>
      <c r="S530" s="161" t="b">
        <f t="shared" si="5"/>
        <v>0</v>
      </c>
      <c r="T530" s="161" t="b">
        <f t="array" ref="T530">index('Query Tool'!B:B,match(H530,'Query Tool'!C:C,0))</f>
        <v>1</v>
      </c>
      <c r="U530" s="161" t="b">
        <f t="array" ref="U530">index('Query Tool'!B:B,match(C530,'Query Tool'!C:C,0))</f>
        <v>0</v>
      </c>
      <c r="V530" s="161" t="b">
        <f>F530&gt;='Query Tool'!C$32</f>
        <v>1</v>
      </c>
      <c r="W530" s="161" t="b">
        <f t="array" ref="W530">index(Dropdowns!B:B,match(I530,Dropdowns!A:A,0))</f>
        <v>1</v>
      </c>
      <c r="X530" s="161" t="b">
        <f t="array" ref="X530">index('Query Tool'!B:B,match(D530,'Query Tool'!C:C,0))</f>
        <v>1</v>
      </c>
      <c r="Y530" s="161" t="str">
        <f t="shared" si="6"/>
        <v>hinriki01,2014-15</v>
      </c>
      <c r="Z530" s="168">
        <f t="array" ref="Z530">iferror(index(I:I,match($A530&amp;","&amp;index('Year Conversion'!$A:$A,match($C530,'Year Conversion'!$B:$B,0)),$Y:$Y,0))-I530,"")</f>
        <v>1</v>
      </c>
      <c r="AA530" s="168">
        <f t="array" ref="AA530">iferror(index(J:J,match($A530&amp;","&amp;index('Year Conversion'!$A:$A,match($C530,'Year Conversion'!$B:$B,0)),$Y:$Y,0))-J530,"")</f>
        <v>0.3103038186</v>
      </c>
      <c r="AB530" s="168">
        <f t="array" ref="AB530">iferror(index(K:K,match($A530&amp;","&amp;index('Year Conversion'!$A:$A,match($C530,'Year Conversion'!$B:$B,0)),$Y:$Y,0))-K530,"")</f>
        <v>-0.1969979502</v>
      </c>
      <c r="AC530" s="168" t="str">
        <f t="shared" si="7"/>
        <v>CHI,2014-15</v>
      </c>
    </row>
    <row r="531">
      <c r="A531" s="161" t="str">
        <f>IFERROR(__xludf.DUMMYFUNCTION("""COMPUTED_VALUE"""),"collini01")</f>
        <v>collini01</v>
      </c>
      <c r="B531" s="161" t="str">
        <f>IFERROR(__xludf.DUMMYFUNCTION("""COMPUTED_VALUE"""),"Nick Collison")</f>
        <v>Nick Collison</v>
      </c>
      <c r="C531" s="162" t="str">
        <f>IFERROR(__xludf.DUMMYFUNCTION("""COMPUTED_VALUE"""),"2014-15")</f>
        <v>2014-15</v>
      </c>
      <c r="D531" s="163" t="str">
        <f>IFERROR(__xludf.DUMMYFUNCTION("""COMPUTED_VALUE"""),"OKC")</f>
        <v>OKC</v>
      </c>
      <c r="E531" s="164" t="str">
        <f>IFERROR(__xludf.DUMMYFUNCTION("""COMPUTED_VALUE"""),"Roll + Cut Big")</f>
        <v>Roll + Cut Big</v>
      </c>
      <c r="F531" s="164">
        <f>IFERROR(__xludf.DUMMYFUNCTION("""COMPUTED_VALUE"""),1100.73333333333)</f>
        <v>1100.733333</v>
      </c>
      <c r="G531" s="163">
        <f>IFERROR(__xludf.DUMMYFUNCTION("""COMPUTED_VALUE"""),66.0)</f>
        <v>66</v>
      </c>
      <c r="H531" s="163" t="str">
        <f>IFERROR(__xludf.DUMMYFUNCTION("""COMPUTED_VALUE"""),"PF")</f>
        <v>PF</v>
      </c>
      <c r="I531" s="163">
        <f>IFERROR(__xludf.DUMMYFUNCTION("""COMPUTED_VALUE"""),34.0)</f>
        <v>34</v>
      </c>
      <c r="J531" s="165">
        <f>IFERROR(__xludf.DUMMYFUNCTION("""COMPUTED_VALUE"""),-0.103833182536941)</f>
        <v>-0.1038331825</v>
      </c>
      <c r="K531" s="165">
        <f>IFERROR(__xludf.DUMMYFUNCTION("""COMPUTED_VALUE"""),-1.15719626686405)</f>
        <v>-1.157196267</v>
      </c>
      <c r="L531" s="165">
        <f>IFERROR(__xludf.DUMMYFUNCTION("""COMPUTED_VALUE"""),1.05336308432711)</f>
        <v>1.053363084</v>
      </c>
      <c r="M531" s="166">
        <f t="shared" si="2"/>
        <v>1.619910106</v>
      </c>
      <c r="N531" s="167">
        <f t="shared" si="3"/>
        <v>16.67777778</v>
      </c>
      <c r="O531" s="163">
        <f t="shared" ref="O531:Q531" si="535">rank(I531,I:I)</f>
        <v>164</v>
      </c>
      <c r="P531" s="163">
        <f t="shared" si="535"/>
        <v>1388</v>
      </c>
      <c r="Q531" s="163">
        <f t="shared" si="535"/>
        <v>2992</v>
      </c>
      <c r="R531" s="163">
        <f>IFERROR(__xludf.DUMMYFUNCTION("RANK(M531,filter(M:M,C:C=C531))"),190.0)</f>
        <v>190</v>
      </c>
      <c r="S531" s="161" t="b">
        <f t="shared" si="5"/>
        <v>0</v>
      </c>
      <c r="T531" s="161" t="b">
        <f t="array" ref="T531">index('Query Tool'!B:B,match(H531,'Query Tool'!C:C,0))</f>
        <v>1</v>
      </c>
      <c r="U531" s="161" t="b">
        <f t="array" ref="U531">index('Query Tool'!B:B,match(C531,'Query Tool'!C:C,0))</f>
        <v>0</v>
      </c>
      <c r="V531" s="161" t="b">
        <f>F531&gt;='Query Tool'!C$32</f>
        <v>1</v>
      </c>
      <c r="W531" s="161" t="b">
        <f t="array" ref="W531">index(Dropdowns!B:B,match(I531,Dropdowns!A:A,0))</f>
        <v>1</v>
      </c>
      <c r="X531" s="161" t="b">
        <f t="array" ref="X531">index('Query Tool'!B:B,match(D531,'Query Tool'!C:C,0))</f>
        <v>1</v>
      </c>
      <c r="Y531" s="161" t="str">
        <f t="shared" si="6"/>
        <v>collini01,2014-15</v>
      </c>
      <c r="Z531" s="168">
        <f t="array" ref="Z531">iferror(index(I:I,match($A531&amp;","&amp;index('Year Conversion'!$A:$A,match($C531,'Year Conversion'!$B:$B,0)),$Y:$Y,0))-I531,"")</f>
        <v>1</v>
      </c>
      <c r="AA531" s="168">
        <f t="array" ref="AA531">iferror(index(J:J,match($A531&amp;","&amp;index('Year Conversion'!$A:$A,match($C531,'Year Conversion'!$B:$B,0)),$Y:$Y,0))-J531,"")</f>
        <v>-2.215901096</v>
      </c>
      <c r="AB531" s="168">
        <f t="array" ref="AB531">iferror(index(K:K,match($A531&amp;","&amp;index('Year Conversion'!$A:$A,match($C531,'Year Conversion'!$B:$B,0)),$Y:$Y,0))-K531,"")</f>
        <v>-1.538751608</v>
      </c>
      <c r="AC531" s="168" t="str">
        <f t="shared" si="7"/>
        <v>OKC,2014-15</v>
      </c>
    </row>
    <row r="532">
      <c r="A532" s="161" t="str">
        <f>IFERROR(__xludf.DUMMYFUNCTION("""COMPUTED_VALUE"""),"ridnolu01")</f>
        <v>ridnolu01</v>
      </c>
      <c r="B532" s="161" t="str">
        <f>IFERROR(__xludf.DUMMYFUNCTION("""COMPUTED_VALUE"""),"Luke Ridnour")</f>
        <v>Luke Ridnour</v>
      </c>
      <c r="C532" s="162" t="str">
        <f>IFERROR(__xludf.DUMMYFUNCTION("""COMPUTED_VALUE"""),"2014-15")</f>
        <v>2014-15</v>
      </c>
      <c r="D532" s="163" t="str">
        <f>IFERROR(__xludf.DUMMYFUNCTION("""COMPUTED_VALUE"""),"ORL")</f>
        <v>ORL</v>
      </c>
      <c r="E532" s="164" t="str">
        <f>IFERROR(__xludf.DUMMYFUNCTION("""COMPUTED_VALUE"""),"Secondary Ball Handler")</f>
        <v>Secondary Ball Handler</v>
      </c>
      <c r="F532" s="164">
        <f>IFERROR(__xludf.DUMMYFUNCTION("""COMPUTED_VALUE"""),682.925)</f>
        <v>682.925</v>
      </c>
      <c r="G532" s="163">
        <f>IFERROR(__xludf.DUMMYFUNCTION("""COMPUTED_VALUE"""),47.0)</f>
        <v>47</v>
      </c>
      <c r="H532" s="163" t="str">
        <f>IFERROR(__xludf.DUMMYFUNCTION("""COMPUTED_VALUE"""),"PG")</f>
        <v>PG</v>
      </c>
      <c r="I532" s="163">
        <f>IFERROR(__xludf.DUMMYFUNCTION("""COMPUTED_VALUE"""),33.0)</f>
        <v>33</v>
      </c>
      <c r="J532" s="165">
        <f>IFERROR(__xludf.DUMMYFUNCTION("""COMPUTED_VALUE"""),-1.73194310596486)</f>
        <v>-1.731943106</v>
      </c>
      <c r="K532" s="165">
        <f>IFERROR(__xludf.DUMMYFUNCTION("""COMPUTED_VALUE"""),-1.21878613752043)</f>
        <v>-1.218786138</v>
      </c>
      <c r="L532" s="165">
        <f>IFERROR(__xludf.DUMMYFUNCTION("""COMPUTED_VALUE"""),-0.513156968444427)</f>
        <v>-0.5131569684</v>
      </c>
      <c r="M532" s="166">
        <f t="shared" si="2"/>
        <v>0.2587259779</v>
      </c>
      <c r="N532" s="167">
        <f t="shared" si="3"/>
        <v>14.53031915</v>
      </c>
      <c r="O532" s="163">
        <f t="shared" ref="O532:Q532" si="536">rank(I532,I:I)</f>
        <v>246</v>
      </c>
      <c r="P532" s="163">
        <f t="shared" si="536"/>
        <v>3273</v>
      </c>
      <c r="Q532" s="163">
        <f t="shared" si="536"/>
        <v>3050</v>
      </c>
      <c r="R532" s="163">
        <f>IFERROR(__xludf.DUMMYFUNCTION("RANK(M532,filter(M:M,C:C=C532))"),319.0)</f>
        <v>319</v>
      </c>
      <c r="S532" s="161" t="b">
        <f t="shared" si="5"/>
        <v>0</v>
      </c>
      <c r="T532" s="161" t="b">
        <f t="array" ref="T532">index('Query Tool'!B:B,match(H532,'Query Tool'!C:C,0))</f>
        <v>1</v>
      </c>
      <c r="U532" s="161" t="b">
        <f t="array" ref="U532">index('Query Tool'!B:B,match(C532,'Query Tool'!C:C,0))</f>
        <v>0</v>
      </c>
      <c r="V532" s="161" t="b">
        <f>F532&gt;='Query Tool'!C$32</f>
        <v>1</v>
      </c>
      <c r="W532" s="161" t="b">
        <f t="array" ref="W532">index(Dropdowns!B:B,match(I532,Dropdowns!A:A,0))</f>
        <v>1</v>
      </c>
      <c r="X532" s="161" t="b">
        <f t="array" ref="X532">index('Query Tool'!B:B,match(D532,'Query Tool'!C:C,0))</f>
        <v>1</v>
      </c>
      <c r="Y532" s="161" t="str">
        <f t="shared" si="6"/>
        <v>ridnolu01,2014-15</v>
      </c>
      <c r="Z532" s="168" t="str">
        <f t="array" ref="Z532">iferror(index(I:I,match($A532&amp;","&amp;index('Year Conversion'!$A:$A,match($C532,'Year Conversion'!$B:$B,0)),$Y:$Y,0))-I532,"")</f>
        <v/>
      </c>
      <c r="AA532" s="168" t="str">
        <f t="array" ref="AA532">iferror(index(J:J,match($A532&amp;","&amp;index('Year Conversion'!$A:$A,match($C532,'Year Conversion'!$B:$B,0)),$Y:$Y,0))-J532,"")</f>
        <v/>
      </c>
      <c r="AB532" s="168" t="str">
        <f t="array" ref="AB532">iferror(index(K:K,match($A532&amp;","&amp;index('Year Conversion'!$A:$A,match($C532,'Year Conversion'!$B:$B,0)),$Y:$Y,0))-K532,"")</f>
        <v/>
      </c>
      <c r="AC532" s="168" t="str">
        <f t="shared" si="7"/>
        <v>ORL,2014-15</v>
      </c>
    </row>
    <row r="533">
      <c r="A533" s="161" t="str">
        <f>IFERROR(__xludf.DUMMYFUNCTION("""COMPUTED_VALUE"""),"westda01")</f>
        <v>westda01</v>
      </c>
      <c r="B533" s="161" t="str">
        <f>IFERROR(__xludf.DUMMYFUNCTION("""COMPUTED_VALUE"""),"David West")</f>
        <v>David West</v>
      </c>
      <c r="C533" s="162" t="str">
        <f>IFERROR(__xludf.DUMMYFUNCTION("""COMPUTED_VALUE"""),"2014-15")</f>
        <v>2014-15</v>
      </c>
      <c r="D533" s="163" t="str">
        <f>IFERROR(__xludf.DUMMYFUNCTION("""COMPUTED_VALUE"""),"IND")</f>
        <v>IND</v>
      </c>
      <c r="E533" s="164" t="str">
        <f>IFERROR(__xludf.DUMMYFUNCTION("""COMPUTED_VALUE"""),"Post Scorer")</f>
        <v>Post Scorer</v>
      </c>
      <c r="F533" s="164">
        <f>IFERROR(__xludf.DUMMYFUNCTION("""COMPUTED_VALUE"""),1895.31)</f>
        <v>1895.31</v>
      </c>
      <c r="G533" s="163">
        <f>IFERROR(__xludf.DUMMYFUNCTION("""COMPUTED_VALUE"""),66.0)</f>
        <v>66</v>
      </c>
      <c r="H533" s="163" t="str">
        <f>IFERROR(__xludf.DUMMYFUNCTION("""COMPUTED_VALUE"""),"PF")</f>
        <v>PF</v>
      </c>
      <c r="I533" s="163">
        <f>IFERROR(__xludf.DUMMYFUNCTION("""COMPUTED_VALUE"""),34.0)</f>
        <v>34</v>
      </c>
      <c r="J533" s="165">
        <f>IFERROR(__xludf.DUMMYFUNCTION("""COMPUTED_VALUE"""),1.13768839771669)</f>
        <v>1.137688398</v>
      </c>
      <c r="K533" s="165">
        <f>IFERROR(__xludf.DUMMYFUNCTION("""COMPUTED_VALUE"""),-0.495442512536424)</f>
        <v>-0.4954425125</v>
      </c>
      <c r="L533" s="165">
        <f>IFERROR(__xludf.DUMMYFUNCTION("""COMPUTED_VALUE"""),1.63313091025311)</f>
        <v>1.63313091</v>
      </c>
      <c r="M533" s="166">
        <f t="shared" si="2"/>
        <v>4.373064709</v>
      </c>
      <c r="N533" s="167">
        <f t="shared" si="3"/>
        <v>28.71681818</v>
      </c>
      <c r="O533" s="163">
        <f t="shared" ref="O533:Q533" si="537">rank(I533,I:I)</f>
        <v>164</v>
      </c>
      <c r="P533" s="163">
        <f t="shared" si="537"/>
        <v>598</v>
      </c>
      <c r="Q533" s="163">
        <f t="shared" si="537"/>
        <v>2102</v>
      </c>
      <c r="R533" s="163">
        <f>IFERROR(__xludf.DUMMYFUNCTION("RANK(M533,filter(M:M,C:C=C533))"),74.0)</f>
        <v>74</v>
      </c>
      <c r="S533" s="161" t="b">
        <f t="shared" si="5"/>
        <v>0</v>
      </c>
      <c r="T533" s="161" t="b">
        <f t="array" ref="T533">index('Query Tool'!B:B,match(H533,'Query Tool'!C:C,0))</f>
        <v>1</v>
      </c>
      <c r="U533" s="161" t="b">
        <f t="array" ref="U533">index('Query Tool'!B:B,match(C533,'Query Tool'!C:C,0))</f>
        <v>0</v>
      </c>
      <c r="V533" s="161" t="b">
        <f>F533&gt;='Query Tool'!C$32</f>
        <v>1</v>
      </c>
      <c r="W533" s="161" t="b">
        <f t="array" ref="W533">index(Dropdowns!B:B,match(I533,Dropdowns!A:A,0))</f>
        <v>1</v>
      </c>
      <c r="X533" s="161" t="b">
        <f t="array" ref="X533">index('Query Tool'!B:B,match(D533,'Query Tool'!C:C,0))</f>
        <v>1</v>
      </c>
      <c r="Y533" s="161" t="str">
        <f t="shared" si="6"/>
        <v>westda01,2014-15</v>
      </c>
      <c r="Z533" s="168">
        <f t="array" ref="Z533">iferror(index(I:I,match($A533&amp;","&amp;index('Year Conversion'!$A:$A,match($C533,'Year Conversion'!$B:$B,0)),$Y:$Y,0))-I533,"")</f>
        <v>1</v>
      </c>
      <c r="AA533" s="168">
        <f t="array" ref="AA533">iferror(index(J:J,match($A533&amp;","&amp;index('Year Conversion'!$A:$A,match($C533,'Year Conversion'!$B:$B,0)),$Y:$Y,0))-J533,"")</f>
        <v>0.2713103331</v>
      </c>
      <c r="AB533" s="168">
        <f t="array" ref="AB533">iferror(index(K:K,match($A533&amp;","&amp;index('Year Conversion'!$A:$A,match($C533,'Year Conversion'!$B:$B,0)),$Y:$Y,0))-K533,"")</f>
        <v>0.2653814921</v>
      </c>
      <c r="AC533" s="168" t="str">
        <f t="shared" si="7"/>
        <v>IND,2014-15</v>
      </c>
    </row>
    <row r="534">
      <c r="A534" s="161" t="str">
        <f>IFERROR(__xludf.DUMMYFUNCTION("""COMPUTED_VALUE"""),"jonesda02")</f>
        <v>jonesda02</v>
      </c>
      <c r="B534" s="161" t="str">
        <f>IFERROR(__xludf.DUMMYFUNCTION("""COMPUTED_VALUE"""),"Dahntay Jones")</f>
        <v>Dahntay Jones</v>
      </c>
      <c r="C534" s="162" t="str">
        <f>IFERROR(__xludf.DUMMYFUNCTION("""COMPUTED_VALUE"""),"2014-15")</f>
        <v>2014-15</v>
      </c>
      <c r="D534" s="163" t="str">
        <f>IFERROR(__xludf.DUMMYFUNCTION("""COMPUTED_VALUE"""),"LAC")</f>
        <v>LAC</v>
      </c>
      <c r="E534" s="164" t="str">
        <f>IFERROR(__xludf.DUMMYFUNCTION("""COMPUTED_VALUE"""),"Athletic Finisher")</f>
        <v>Athletic Finisher</v>
      </c>
      <c r="F534" s="164">
        <f>IFERROR(__xludf.DUMMYFUNCTION("""COMPUTED_VALUE"""),123.33)</f>
        <v>123.33</v>
      </c>
      <c r="G534" s="163">
        <f>IFERROR(__xludf.DUMMYFUNCTION("""COMPUTED_VALUE"""),33.0)</f>
        <v>33</v>
      </c>
      <c r="H534" s="163" t="str">
        <f>IFERROR(__xludf.DUMMYFUNCTION("""COMPUTED_VALUE"""),"SF")</f>
        <v>SF</v>
      </c>
      <c r="I534" s="163">
        <f>IFERROR(__xludf.DUMMYFUNCTION("""COMPUTED_VALUE"""),34.0)</f>
        <v>34</v>
      </c>
      <c r="J534" s="165">
        <f>IFERROR(__xludf.DUMMYFUNCTION("""COMPUTED_VALUE"""),-2.91445705703759)</f>
        <v>-2.914457057</v>
      </c>
      <c r="K534" s="165">
        <f>IFERROR(__xludf.DUMMYFUNCTION("""COMPUTED_VALUE"""),-1.74253861642365)</f>
        <v>-1.742538616</v>
      </c>
      <c r="L534" s="165">
        <f>IFERROR(__xludf.DUMMYFUNCTION("""COMPUTED_VALUE"""),-1.17191844061394)</f>
        <v>-1.171918441</v>
      </c>
      <c r="M534" s="166">
        <f t="shared" si="2"/>
        <v>-0.04937740127</v>
      </c>
      <c r="N534" s="167">
        <f t="shared" si="3"/>
        <v>3.737272727</v>
      </c>
      <c r="O534" s="163">
        <f t="shared" ref="O534:Q534" si="538">rank(I534,I:I)</f>
        <v>164</v>
      </c>
      <c r="P534" s="163">
        <f t="shared" si="538"/>
        <v>3870</v>
      </c>
      <c r="Q534" s="163">
        <f t="shared" si="538"/>
        <v>3545</v>
      </c>
      <c r="R534" s="163">
        <f>IFERROR(__xludf.DUMMYFUNCTION("RANK(M534,filter(M:M,C:C=C534))"),447.0)</f>
        <v>447</v>
      </c>
      <c r="S534" s="161" t="b">
        <f t="shared" si="5"/>
        <v>0</v>
      </c>
      <c r="T534" s="161" t="b">
        <f t="array" ref="T534">index('Query Tool'!B:B,match(H534,'Query Tool'!C:C,0))</f>
        <v>1</v>
      </c>
      <c r="U534" s="161" t="b">
        <f t="array" ref="U534">index('Query Tool'!B:B,match(C534,'Query Tool'!C:C,0))</f>
        <v>0</v>
      </c>
      <c r="V534" s="161" t="b">
        <f>F534&gt;='Query Tool'!C$32</f>
        <v>0</v>
      </c>
      <c r="W534" s="161" t="b">
        <f t="array" ref="W534">index(Dropdowns!B:B,match(I534,Dropdowns!A:A,0))</f>
        <v>1</v>
      </c>
      <c r="X534" s="161" t="b">
        <f t="array" ref="X534">index('Query Tool'!B:B,match(D534,'Query Tool'!C:C,0))</f>
        <v>1</v>
      </c>
      <c r="Y534" s="161" t="str">
        <f t="shared" si="6"/>
        <v>jonesda02,2014-15</v>
      </c>
      <c r="Z534" s="168">
        <f t="array" ref="Z534">iferror(index(I:I,match($A534&amp;","&amp;index('Year Conversion'!$A:$A,match($C534,'Year Conversion'!$B:$B,0)),$Y:$Y,0))-I534,"")</f>
        <v>1</v>
      </c>
      <c r="AA534" s="168">
        <f t="array" ref="AA534">iferror(index(J:J,match($A534&amp;","&amp;index('Year Conversion'!$A:$A,match($C534,'Year Conversion'!$B:$B,0)),$Y:$Y,0))-J534,"")</f>
        <v>2.06932205</v>
      </c>
      <c r="AB534" s="168">
        <f t="array" ref="AB534">iferror(index(K:K,match($A534&amp;","&amp;index('Year Conversion'!$A:$A,match($C534,'Year Conversion'!$B:$B,0)),$Y:$Y,0))-K534,"")</f>
        <v>1.235664231</v>
      </c>
      <c r="AC534" s="168" t="str">
        <f t="shared" si="7"/>
        <v>LAC,2014-15</v>
      </c>
    </row>
    <row r="535">
      <c r="A535" s="161" t="str">
        <f>IFERROR(__xludf.DUMMYFUNCTION("""COMPUTED_VALUE"""),"diawbo01")</f>
        <v>diawbo01</v>
      </c>
      <c r="B535" s="161" t="str">
        <f>IFERROR(__xludf.DUMMYFUNCTION("""COMPUTED_VALUE"""),"Boris Diaw")</f>
        <v>Boris Diaw</v>
      </c>
      <c r="C535" s="162" t="str">
        <f>IFERROR(__xludf.DUMMYFUNCTION("""COMPUTED_VALUE"""),"2014-15")</f>
        <v>2014-15</v>
      </c>
      <c r="D535" s="163" t="str">
        <f>IFERROR(__xludf.DUMMYFUNCTION("""COMPUTED_VALUE"""),"SAS")</f>
        <v>SAS</v>
      </c>
      <c r="E535" s="164" t="str">
        <f>IFERROR(__xludf.DUMMYFUNCTION("""COMPUTED_VALUE"""),"Versatile Big")</f>
        <v>Versatile Big</v>
      </c>
      <c r="F535" s="164">
        <f>IFERROR(__xludf.DUMMYFUNCTION("""COMPUTED_VALUE"""),1984.3)</f>
        <v>1984.3</v>
      </c>
      <c r="G535" s="163">
        <f>IFERROR(__xludf.DUMMYFUNCTION("""COMPUTED_VALUE"""),81.0)</f>
        <v>81</v>
      </c>
      <c r="H535" s="163" t="str">
        <f>IFERROR(__xludf.DUMMYFUNCTION("""COMPUTED_VALUE"""),"PF")</f>
        <v>PF</v>
      </c>
      <c r="I535" s="163">
        <f>IFERROR(__xludf.DUMMYFUNCTION("""COMPUTED_VALUE"""),32.0)</f>
        <v>32</v>
      </c>
      <c r="J535" s="165">
        <f>IFERROR(__xludf.DUMMYFUNCTION("""COMPUTED_VALUE"""),-0.497818249741247)</f>
        <v>-0.4978182497</v>
      </c>
      <c r="K535" s="165">
        <f>IFERROR(__xludf.DUMMYFUNCTION("""COMPUTED_VALUE"""),-0.603840285712053)</f>
        <v>-0.6038402857</v>
      </c>
      <c r="L535" s="165">
        <f>IFERROR(__xludf.DUMMYFUNCTION("""COMPUTED_VALUE"""),0.106022035970806)</f>
        <v>0.106022036</v>
      </c>
      <c r="M535" s="166">
        <f t="shared" si="2"/>
        <v>2.393379658</v>
      </c>
      <c r="N535" s="167">
        <f t="shared" si="3"/>
        <v>24.49753086</v>
      </c>
      <c r="O535" s="163">
        <f t="shared" ref="O535:Q535" si="539">rank(I535,I:I)</f>
        <v>359</v>
      </c>
      <c r="P535" s="163">
        <f t="shared" si="539"/>
        <v>1852</v>
      </c>
      <c r="Q535" s="163">
        <f t="shared" si="539"/>
        <v>2268</v>
      </c>
      <c r="R535" s="163">
        <f>IFERROR(__xludf.DUMMYFUNCTION("RANK(M535,filter(M:M,C:C=C535))"),149.0)</f>
        <v>149</v>
      </c>
      <c r="S535" s="161" t="b">
        <f t="shared" si="5"/>
        <v>0</v>
      </c>
      <c r="T535" s="161" t="b">
        <f t="array" ref="T535">index('Query Tool'!B:B,match(H535,'Query Tool'!C:C,0))</f>
        <v>1</v>
      </c>
      <c r="U535" s="161" t="b">
        <f t="array" ref="U535">index('Query Tool'!B:B,match(C535,'Query Tool'!C:C,0))</f>
        <v>0</v>
      </c>
      <c r="V535" s="161" t="b">
        <f>F535&gt;='Query Tool'!C$32</f>
        <v>1</v>
      </c>
      <c r="W535" s="161" t="b">
        <f t="array" ref="W535">index(Dropdowns!B:B,match(I535,Dropdowns!A:A,0))</f>
        <v>1</v>
      </c>
      <c r="X535" s="161" t="b">
        <f t="array" ref="X535">index('Query Tool'!B:B,match(D535,'Query Tool'!C:C,0))</f>
        <v>1</v>
      </c>
      <c r="Y535" s="161" t="str">
        <f t="shared" si="6"/>
        <v>diawbo01,2014-15</v>
      </c>
      <c r="Z535" s="168">
        <f t="array" ref="Z535">iferror(index(I:I,match($A535&amp;","&amp;index('Year Conversion'!$A:$A,match($C535,'Year Conversion'!$B:$B,0)),$Y:$Y,0))-I535,"")</f>
        <v>1</v>
      </c>
      <c r="AA535" s="168">
        <f t="array" ref="AA535">iferror(index(J:J,match($A535&amp;","&amp;index('Year Conversion'!$A:$A,match($C535,'Year Conversion'!$B:$B,0)),$Y:$Y,0))-J535,"")</f>
        <v>-0.1339203646</v>
      </c>
      <c r="AB535" s="168">
        <f t="array" ref="AB535">iferror(index(K:K,match($A535&amp;","&amp;index('Year Conversion'!$A:$A,match($C535,'Year Conversion'!$B:$B,0)),$Y:$Y,0))-K535,"")</f>
        <v>-0.274203356</v>
      </c>
      <c r="AC535" s="168" t="str">
        <f t="shared" si="7"/>
        <v>SAS,2014-15</v>
      </c>
    </row>
    <row r="536">
      <c r="A536" s="161" t="str">
        <f>IFERROR(__xludf.DUMMYFUNCTION("""COMPUTED_VALUE"""),"perkike01")</f>
        <v>perkike01</v>
      </c>
      <c r="B536" s="161" t="str">
        <f>IFERROR(__xludf.DUMMYFUNCTION("""COMPUTED_VALUE"""),"Kendrick Perkins")</f>
        <v>Kendrick Perkins</v>
      </c>
      <c r="C536" s="162" t="str">
        <f>IFERROR(__xludf.DUMMYFUNCTION("""COMPUTED_VALUE"""),"2014-15")</f>
        <v>2014-15</v>
      </c>
      <c r="D536" s="163" t="str">
        <f>IFERROR(__xludf.DUMMYFUNCTION("""COMPUTED_VALUE"""),"TOT")</f>
        <v>TOT</v>
      </c>
      <c r="E536" s="164" t="str">
        <f>IFERROR(__xludf.DUMMYFUNCTION("""COMPUTED_VALUE"""),"Post Scorer")</f>
        <v>Post Scorer</v>
      </c>
      <c r="F536" s="164">
        <f>IFERROR(__xludf.DUMMYFUNCTION("""COMPUTED_VALUE"""),1148.29333333333)</f>
        <v>1148.293333</v>
      </c>
      <c r="G536" s="163">
        <f>IFERROR(__xludf.DUMMYFUNCTION("""COMPUTED_VALUE"""),68.0)</f>
        <v>68</v>
      </c>
      <c r="H536" s="163" t="str">
        <f>IFERROR(__xludf.DUMMYFUNCTION("""COMPUTED_VALUE"""),"C")</f>
        <v>C</v>
      </c>
      <c r="I536" s="163">
        <f>IFERROR(__xludf.DUMMYFUNCTION("""COMPUTED_VALUE"""),30.0)</f>
        <v>30</v>
      </c>
      <c r="J536" s="165">
        <f>IFERROR(__xludf.DUMMYFUNCTION("""COMPUTED_VALUE"""),-2.73107718335754)</f>
        <v>-2.731077183</v>
      </c>
      <c r="K536" s="165">
        <f>IFERROR(__xludf.DUMMYFUNCTION("""COMPUTED_VALUE"""),-2.96912463635107)</f>
        <v>-2.969124636</v>
      </c>
      <c r="L536" s="165">
        <f>IFERROR(__xludf.DUMMYFUNCTION("""COMPUTED_VALUE"""),0.238047452993522)</f>
        <v>0.238047453</v>
      </c>
      <c r="M536" s="166">
        <f t="shared" si="2"/>
        <v>-0.3223868393</v>
      </c>
      <c r="N536" s="167">
        <f t="shared" si="3"/>
        <v>16.88666667</v>
      </c>
      <c r="O536" s="163">
        <f t="shared" ref="O536:Q536" si="540">rank(I536,I:I)</f>
        <v>655</v>
      </c>
      <c r="P536" s="163">
        <f t="shared" si="540"/>
        <v>3823</v>
      </c>
      <c r="Q536" s="163">
        <f t="shared" si="540"/>
        <v>3978</v>
      </c>
      <c r="R536" s="163">
        <f>IFERROR(__xludf.DUMMYFUNCTION("RANK(M536,filter(M:M,C:C=C536))"),474.0)</f>
        <v>474</v>
      </c>
      <c r="S536" s="161" t="b">
        <f t="shared" si="5"/>
        <v>0</v>
      </c>
      <c r="T536" s="161" t="b">
        <f t="array" ref="T536">index('Query Tool'!B:B,match(H536,'Query Tool'!C:C,0))</f>
        <v>1</v>
      </c>
      <c r="U536" s="161" t="b">
        <f t="array" ref="U536">index('Query Tool'!B:B,match(C536,'Query Tool'!C:C,0))</f>
        <v>0</v>
      </c>
      <c r="V536" s="161" t="b">
        <f>F536&gt;='Query Tool'!C$32</f>
        <v>1</v>
      </c>
      <c r="W536" s="161" t="b">
        <f t="array" ref="W536">index(Dropdowns!B:B,match(I536,Dropdowns!A:A,0))</f>
        <v>1</v>
      </c>
      <c r="X536" s="161" t="b">
        <f t="array" ref="X536">index('Query Tool'!B:B,match(D536,'Query Tool'!C:C,0))</f>
        <v>1</v>
      </c>
      <c r="Y536" s="161" t="str">
        <f t="shared" si="6"/>
        <v>perkike01,2014-15</v>
      </c>
      <c r="Z536" s="168">
        <f t="array" ref="Z536">iferror(index(I:I,match($A536&amp;","&amp;index('Year Conversion'!$A:$A,match($C536,'Year Conversion'!$B:$B,0)),$Y:$Y,0))-I536,"")</f>
        <v>1</v>
      </c>
      <c r="AA536" s="168">
        <f t="array" ref="AA536">iferror(index(J:J,match($A536&amp;","&amp;index('Year Conversion'!$A:$A,match($C536,'Year Conversion'!$B:$B,0)),$Y:$Y,0))-J536,"")</f>
        <v>-0.3141523715</v>
      </c>
      <c r="AB536" s="168">
        <f t="array" ref="AB536">iferror(index(K:K,match($A536&amp;","&amp;index('Year Conversion'!$A:$A,match($C536,'Year Conversion'!$B:$B,0)),$Y:$Y,0))-K536,"")</f>
        <v>-0.3685482588</v>
      </c>
      <c r="AC536" s="168" t="str">
        <f t="shared" si="7"/>
        <v>TOT,2014-15</v>
      </c>
    </row>
    <row r="537">
      <c r="A537" s="161" t="str">
        <f>IFERROR(__xludf.DUMMYFUNCTION("""COMPUTED_VALUE"""),"barbole01")</f>
        <v>barbole01</v>
      </c>
      <c r="B537" s="161" t="str">
        <f>IFERROR(__xludf.DUMMYFUNCTION("""COMPUTED_VALUE"""),"Leandro Barbosa")</f>
        <v>Leandro Barbosa</v>
      </c>
      <c r="C537" s="162" t="str">
        <f>IFERROR(__xludf.DUMMYFUNCTION("""COMPUTED_VALUE"""),"2014-15")</f>
        <v>2014-15</v>
      </c>
      <c r="D537" s="163" t="str">
        <f>IFERROR(__xludf.DUMMYFUNCTION("""COMPUTED_VALUE"""),"GSW")</f>
        <v>GSW</v>
      </c>
      <c r="E537" s="164" t="str">
        <f>IFERROR(__xludf.DUMMYFUNCTION("""COMPUTED_VALUE"""),"Stationary Shooter")</f>
        <v>Stationary Shooter</v>
      </c>
      <c r="F537" s="164">
        <f>IFERROR(__xludf.DUMMYFUNCTION("""COMPUTED_VALUE"""),982.156666666667)</f>
        <v>982.1566667</v>
      </c>
      <c r="G537" s="163">
        <f>IFERROR(__xludf.DUMMYFUNCTION("""COMPUTED_VALUE"""),66.0)</f>
        <v>66</v>
      </c>
      <c r="H537" s="163" t="str">
        <f>IFERROR(__xludf.DUMMYFUNCTION("""COMPUTED_VALUE"""),"SG")</f>
        <v>SG</v>
      </c>
      <c r="I537" s="163">
        <f>IFERROR(__xludf.DUMMYFUNCTION("""COMPUTED_VALUE"""),32.0)</f>
        <v>32</v>
      </c>
      <c r="J537" s="165">
        <f>IFERROR(__xludf.DUMMYFUNCTION("""COMPUTED_VALUE"""),-1.71249137712571)</f>
        <v>-1.712491377</v>
      </c>
      <c r="K537" s="165">
        <f>IFERROR(__xludf.DUMMYFUNCTION("""COMPUTED_VALUE"""),-0.444143834079104)</f>
        <v>-0.4441438341</v>
      </c>
      <c r="L537" s="165">
        <f>IFERROR(__xludf.DUMMYFUNCTION("""COMPUTED_VALUE"""),-1.2683475430466)</f>
        <v>-1.268347543</v>
      </c>
      <c r="M537" s="166">
        <f t="shared" si="2"/>
        <v>0.3848120685</v>
      </c>
      <c r="N537" s="167">
        <f t="shared" si="3"/>
        <v>14.88116162</v>
      </c>
      <c r="O537" s="163">
        <f t="shared" ref="O537:Q537" si="541">rank(I537,I:I)</f>
        <v>359</v>
      </c>
      <c r="P537" s="163">
        <f t="shared" si="541"/>
        <v>3257</v>
      </c>
      <c r="Q537" s="163">
        <f t="shared" si="541"/>
        <v>2024</v>
      </c>
      <c r="R537" s="163">
        <f>IFERROR(__xludf.DUMMYFUNCTION("RANK(M537,filter(M:M,C:C=C537))"),297.0)</f>
        <v>297</v>
      </c>
      <c r="S537" s="161" t="b">
        <f t="shared" si="5"/>
        <v>0</v>
      </c>
      <c r="T537" s="161" t="b">
        <f t="array" ref="T537">index('Query Tool'!B:B,match(H537,'Query Tool'!C:C,0))</f>
        <v>1</v>
      </c>
      <c r="U537" s="161" t="b">
        <f t="array" ref="U537">index('Query Tool'!B:B,match(C537,'Query Tool'!C:C,0))</f>
        <v>0</v>
      </c>
      <c r="V537" s="161" t="b">
        <f>F537&gt;='Query Tool'!C$32</f>
        <v>1</v>
      </c>
      <c r="W537" s="161" t="b">
        <f t="array" ref="W537">index(Dropdowns!B:B,match(I537,Dropdowns!A:A,0))</f>
        <v>1</v>
      </c>
      <c r="X537" s="161" t="b">
        <f t="array" ref="X537">index('Query Tool'!B:B,match(D537,'Query Tool'!C:C,0))</f>
        <v>1</v>
      </c>
      <c r="Y537" s="161" t="str">
        <f t="shared" si="6"/>
        <v>barbole01,2014-15</v>
      </c>
      <c r="Z537" s="168">
        <f t="array" ref="Z537">iferror(index(I:I,match($A537&amp;","&amp;index('Year Conversion'!$A:$A,match($C537,'Year Conversion'!$B:$B,0)),$Y:$Y,0))-I537,"")</f>
        <v>1</v>
      </c>
      <c r="AA537" s="168">
        <f t="array" ref="AA537">iferror(index(J:J,match($A537&amp;","&amp;index('Year Conversion'!$A:$A,match($C537,'Year Conversion'!$B:$B,0)),$Y:$Y,0))-J537,"")</f>
        <v>0.06367540259</v>
      </c>
      <c r="AB537" s="168">
        <f t="array" ref="AB537">iferror(index(K:K,match($A537&amp;","&amp;index('Year Conversion'!$A:$A,match($C537,'Year Conversion'!$B:$B,0)),$Y:$Y,0))-K537,"")</f>
        <v>-0.4069343634</v>
      </c>
      <c r="AC537" s="168" t="str">
        <f t="shared" si="7"/>
        <v>GSW,2014-15</v>
      </c>
    </row>
    <row r="538">
      <c r="A538" s="161" t="str">
        <f>IFERROR(__xludf.DUMMYFUNCTION("""COMPUTED_VALUE"""),"blakest01")</f>
        <v>blakest01</v>
      </c>
      <c r="B538" s="161" t="str">
        <f>IFERROR(__xludf.DUMMYFUNCTION("""COMPUTED_VALUE"""),"Steve Blake")</f>
        <v>Steve Blake</v>
      </c>
      <c r="C538" s="162" t="str">
        <f>IFERROR(__xludf.DUMMYFUNCTION("""COMPUTED_VALUE"""),"2014-15")</f>
        <v>2014-15</v>
      </c>
      <c r="D538" s="163" t="str">
        <f>IFERROR(__xludf.DUMMYFUNCTION("""COMPUTED_VALUE"""),"POR")</f>
        <v>POR</v>
      </c>
      <c r="E538" s="164" t="str">
        <f>IFERROR(__xludf.DUMMYFUNCTION("""COMPUTED_VALUE"""),"Primary Ball Handler")</f>
        <v>Primary Ball Handler</v>
      </c>
      <c r="F538" s="164">
        <f>IFERROR(__xludf.DUMMYFUNCTION("""COMPUTED_VALUE"""),1529.18166666667)</f>
        <v>1529.181667</v>
      </c>
      <c r="G538" s="163">
        <f>IFERROR(__xludf.DUMMYFUNCTION("""COMPUTED_VALUE"""),81.0)</f>
        <v>81</v>
      </c>
      <c r="H538" s="163" t="str">
        <f>IFERROR(__xludf.DUMMYFUNCTION("""COMPUTED_VALUE"""),"PG")</f>
        <v>PG</v>
      </c>
      <c r="I538" s="163">
        <f>IFERROR(__xludf.DUMMYFUNCTION("""COMPUTED_VALUE"""),34.0)</f>
        <v>34</v>
      </c>
      <c r="J538" s="165">
        <f>IFERROR(__xludf.DUMMYFUNCTION("""COMPUTED_VALUE"""),-0.286045361123263)</f>
        <v>-0.2860453611</v>
      </c>
      <c r="K538" s="165">
        <f>IFERROR(__xludf.DUMMYFUNCTION("""COMPUTED_VALUE"""),0.137414417949925)</f>
        <v>0.1374144179</v>
      </c>
      <c r="L538" s="165">
        <f>IFERROR(__xludf.DUMMYFUNCTION("""COMPUTED_VALUE"""),-0.423459779073188)</f>
        <v>-0.4234597791</v>
      </c>
      <c r="M538" s="166">
        <f t="shared" si="2"/>
        <v>2.062620963</v>
      </c>
      <c r="N538" s="167">
        <f t="shared" si="3"/>
        <v>18.87878601</v>
      </c>
      <c r="O538" s="163">
        <f t="shared" ref="O538:Q538" si="542">rank(I538,I:I)</f>
        <v>164</v>
      </c>
      <c r="P538" s="163">
        <f t="shared" si="542"/>
        <v>1594</v>
      </c>
      <c r="Q538" s="163">
        <f t="shared" si="542"/>
        <v>1034</v>
      </c>
      <c r="R538" s="163">
        <f>IFERROR(__xludf.DUMMYFUNCTION("RANK(M538,filter(M:M,C:C=C538))"),165.0)</f>
        <v>165</v>
      </c>
      <c r="S538" s="161" t="b">
        <f t="shared" si="5"/>
        <v>0</v>
      </c>
      <c r="T538" s="161" t="b">
        <f t="array" ref="T538">index('Query Tool'!B:B,match(H538,'Query Tool'!C:C,0))</f>
        <v>1</v>
      </c>
      <c r="U538" s="161" t="b">
        <f t="array" ref="U538">index('Query Tool'!B:B,match(C538,'Query Tool'!C:C,0))</f>
        <v>0</v>
      </c>
      <c r="V538" s="161" t="b">
        <f>F538&gt;='Query Tool'!C$32</f>
        <v>1</v>
      </c>
      <c r="W538" s="161" t="b">
        <f t="array" ref="W538">index(Dropdowns!B:B,match(I538,Dropdowns!A:A,0))</f>
        <v>1</v>
      </c>
      <c r="X538" s="161" t="b">
        <f t="array" ref="X538">index('Query Tool'!B:B,match(D538,'Query Tool'!C:C,0))</f>
        <v>1</v>
      </c>
      <c r="Y538" s="161" t="str">
        <f t="shared" si="6"/>
        <v>blakest01,2014-15</v>
      </c>
      <c r="Z538" s="168">
        <f t="array" ref="Z538">iferror(index(I:I,match($A538&amp;","&amp;index('Year Conversion'!$A:$A,match($C538,'Year Conversion'!$B:$B,0)),$Y:$Y,0))-I538,"")</f>
        <v>1</v>
      </c>
      <c r="AA538" s="168">
        <f t="array" ref="AA538">iferror(index(J:J,match($A538&amp;","&amp;index('Year Conversion'!$A:$A,match($C538,'Year Conversion'!$B:$B,0)),$Y:$Y,0))-J538,"")</f>
        <v>-0.9604762823</v>
      </c>
      <c r="AB538" s="168">
        <f t="array" ref="AB538">iferror(index(K:K,match($A538&amp;","&amp;index('Year Conversion'!$A:$A,match($C538,'Year Conversion'!$B:$B,0)),$Y:$Y,0))-K538,"")</f>
        <v>-1.127797815</v>
      </c>
      <c r="AC538" s="168" t="str">
        <f t="shared" si="7"/>
        <v>POR,2014-15</v>
      </c>
    </row>
    <row r="539">
      <c r="A539" s="161" t="str">
        <f>IFERROR(__xludf.DUMMYFUNCTION("""COMPUTED_VALUE"""),"greenwi01")</f>
        <v>greenwi01</v>
      </c>
      <c r="B539" s="161" t="str">
        <f>IFERROR(__xludf.DUMMYFUNCTION("""COMPUTED_VALUE"""),"Willie Green")</f>
        <v>Willie Green</v>
      </c>
      <c r="C539" s="162" t="str">
        <f>IFERROR(__xludf.DUMMYFUNCTION("""COMPUTED_VALUE"""),"2014-15")</f>
        <v>2014-15</v>
      </c>
      <c r="D539" s="163" t="str">
        <f>IFERROR(__xludf.DUMMYFUNCTION("""COMPUTED_VALUE"""),"ORL")</f>
        <v>ORL</v>
      </c>
      <c r="E539" s="164" t="str">
        <f>IFERROR(__xludf.DUMMYFUNCTION("""COMPUTED_VALUE"""),"Secondary Ball Handler")</f>
        <v>Secondary Ball Handler</v>
      </c>
      <c r="F539" s="164">
        <f>IFERROR(__xludf.DUMMYFUNCTION("""COMPUTED_VALUE"""),951.196666666667)</f>
        <v>951.1966667</v>
      </c>
      <c r="G539" s="163">
        <f>IFERROR(__xludf.DUMMYFUNCTION("""COMPUTED_VALUE"""),52.0)</f>
        <v>52</v>
      </c>
      <c r="H539" s="163" t="str">
        <f>IFERROR(__xludf.DUMMYFUNCTION("""COMPUTED_VALUE"""),"SG")</f>
        <v>SG</v>
      </c>
      <c r="I539" s="163">
        <f>IFERROR(__xludf.DUMMYFUNCTION("""COMPUTED_VALUE"""),33.0)</f>
        <v>33</v>
      </c>
      <c r="J539" s="165">
        <f>IFERROR(__xludf.DUMMYFUNCTION("""COMPUTED_VALUE"""),-2.23646500922883)</f>
        <v>-2.236465009</v>
      </c>
      <c r="K539" s="165">
        <f>IFERROR(__xludf.DUMMYFUNCTION("""COMPUTED_VALUE"""),-1.85562393572736)</f>
        <v>-1.855623936</v>
      </c>
      <c r="L539" s="165">
        <f>IFERROR(__xludf.DUMMYFUNCTION("""COMPUTED_VALUE"""),-0.380841073501476)</f>
        <v>-0.3808410735</v>
      </c>
      <c r="M539" s="166">
        <f t="shared" si="2"/>
        <v>0.04209527934</v>
      </c>
      <c r="N539" s="167">
        <f t="shared" si="3"/>
        <v>18.29224359</v>
      </c>
      <c r="O539" s="163">
        <f t="shared" ref="O539:Q539" si="543">rank(I539,I:I)</f>
        <v>246</v>
      </c>
      <c r="P539" s="163">
        <f t="shared" si="543"/>
        <v>3625</v>
      </c>
      <c r="Q539" s="163">
        <f t="shared" si="543"/>
        <v>3610</v>
      </c>
      <c r="R539" s="163">
        <f>IFERROR(__xludf.DUMMYFUNCTION("RANK(M539,filter(M:M,C:C=C539))"),415.0)</f>
        <v>415</v>
      </c>
      <c r="S539" s="161" t="b">
        <f t="shared" si="5"/>
        <v>0</v>
      </c>
      <c r="T539" s="161" t="b">
        <f t="array" ref="T539">index('Query Tool'!B:B,match(H539,'Query Tool'!C:C,0))</f>
        <v>1</v>
      </c>
      <c r="U539" s="161" t="b">
        <f t="array" ref="U539">index('Query Tool'!B:B,match(C539,'Query Tool'!C:C,0))</f>
        <v>0</v>
      </c>
      <c r="V539" s="161" t="b">
        <f>F539&gt;='Query Tool'!C$32</f>
        <v>1</v>
      </c>
      <c r="W539" s="161" t="b">
        <f t="array" ref="W539">index(Dropdowns!B:B,match(I539,Dropdowns!A:A,0))</f>
        <v>1</v>
      </c>
      <c r="X539" s="161" t="b">
        <f t="array" ref="X539">index('Query Tool'!B:B,match(D539,'Query Tool'!C:C,0))</f>
        <v>1</v>
      </c>
      <c r="Y539" s="161" t="str">
        <f t="shared" si="6"/>
        <v>greenwi01,2014-15</v>
      </c>
      <c r="Z539" s="168" t="str">
        <f t="array" ref="Z539">iferror(index(I:I,match($A539&amp;","&amp;index('Year Conversion'!$A:$A,match($C539,'Year Conversion'!$B:$B,0)),$Y:$Y,0))-I539,"")</f>
        <v/>
      </c>
      <c r="AA539" s="168" t="str">
        <f t="array" ref="AA539">iferror(index(J:J,match($A539&amp;","&amp;index('Year Conversion'!$A:$A,match($C539,'Year Conversion'!$B:$B,0)),$Y:$Y,0))-J539,"")</f>
        <v/>
      </c>
      <c r="AB539" s="168" t="str">
        <f t="array" ref="AB539">iferror(index(K:K,match($A539&amp;","&amp;index('Year Conversion'!$A:$A,match($C539,'Year Conversion'!$B:$B,0)),$Y:$Y,0))-K539,"")</f>
        <v/>
      </c>
      <c r="AC539" s="168" t="str">
        <f t="shared" si="7"/>
        <v>ORL,2014-15</v>
      </c>
    </row>
    <row r="540">
      <c r="A540" s="161" t="str">
        <f>IFERROR(__xludf.DUMMYFUNCTION("""COMPUTED_VALUE"""),"pachuza01")</f>
        <v>pachuza01</v>
      </c>
      <c r="B540" s="161" t="str">
        <f>IFERROR(__xludf.DUMMYFUNCTION("""COMPUTED_VALUE"""),"Zaza Pachulia")</f>
        <v>Zaza Pachulia</v>
      </c>
      <c r="C540" s="162" t="str">
        <f>IFERROR(__xludf.DUMMYFUNCTION("""COMPUTED_VALUE"""),"2014-15")</f>
        <v>2014-15</v>
      </c>
      <c r="D540" s="163" t="str">
        <f>IFERROR(__xludf.DUMMYFUNCTION("""COMPUTED_VALUE"""),"MIL")</f>
        <v>MIL</v>
      </c>
      <c r="E540" s="164" t="str">
        <f>IFERROR(__xludf.DUMMYFUNCTION("""COMPUTED_VALUE"""),"Roll + Cut Big")</f>
        <v>Roll + Cut Big</v>
      </c>
      <c r="F540" s="164">
        <f>IFERROR(__xludf.DUMMYFUNCTION("""COMPUTED_VALUE"""),1729.66666666667)</f>
        <v>1729.666667</v>
      </c>
      <c r="G540" s="163">
        <f>IFERROR(__xludf.DUMMYFUNCTION("""COMPUTED_VALUE"""),73.0)</f>
        <v>73</v>
      </c>
      <c r="H540" s="163" t="str">
        <f>IFERROR(__xludf.DUMMYFUNCTION("""COMPUTED_VALUE"""),"C")</f>
        <v>C</v>
      </c>
      <c r="I540" s="163">
        <f>IFERROR(__xludf.DUMMYFUNCTION("""COMPUTED_VALUE"""),30.0)</f>
        <v>30</v>
      </c>
      <c r="J540" s="165">
        <f>IFERROR(__xludf.DUMMYFUNCTION("""COMPUTED_VALUE"""),1.52440607175859)</f>
        <v>1.524406072</v>
      </c>
      <c r="K540" s="165">
        <f>IFERROR(__xludf.DUMMYFUNCTION("""COMPUTED_VALUE"""),-0.282084140539352)</f>
        <v>-0.2820841405</v>
      </c>
      <c r="L540" s="165">
        <f>IFERROR(__xludf.DUMMYFUNCTION("""COMPUTED_VALUE"""),1.80649021229794)</f>
        <v>1.806490212</v>
      </c>
      <c r="M540" s="166">
        <f t="shared" si="2"/>
        <v>4.438498924</v>
      </c>
      <c r="N540" s="167">
        <f t="shared" si="3"/>
        <v>23.69406393</v>
      </c>
      <c r="O540" s="163">
        <f t="shared" ref="O540:Q540" si="544">rank(I540,I:I)</f>
        <v>655</v>
      </c>
      <c r="P540" s="163">
        <f t="shared" si="544"/>
        <v>451</v>
      </c>
      <c r="Q540" s="163">
        <f t="shared" si="544"/>
        <v>1731</v>
      </c>
      <c r="R540" s="163">
        <f>IFERROR(__xludf.DUMMYFUNCTION("RANK(M540,filter(M:M,C:C=C540))"),72.0)</f>
        <v>72</v>
      </c>
      <c r="S540" s="161" t="b">
        <f t="shared" si="5"/>
        <v>0</v>
      </c>
      <c r="T540" s="161" t="b">
        <f t="array" ref="T540">index('Query Tool'!B:B,match(H540,'Query Tool'!C:C,0))</f>
        <v>1</v>
      </c>
      <c r="U540" s="161" t="b">
        <f t="array" ref="U540">index('Query Tool'!B:B,match(C540,'Query Tool'!C:C,0))</f>
        <v>0</v>
      </c>
      <c r="V540" s="161" t="b">
        <f>F540&gt;='Query Tool'!C$32</f>
        <v>1</v>
      </c>
      <c r="W540" s="161" t="b">
        <f t="array" ref="W540">index(Dropdowns!B:B,match(I540,Dropdowns!A:A,0))</f>
        <v>1</v>
      </c>
      <c r="X540" s="161" t="b">
        <f t="array" ref="X540">index('Query Tool'!B:B,match(D540,'Query Tool'!C:C,0))</f>
        <v>1</v>
      </c>
      <c r="Y540" s="161" t="str">
        <f t="shared" si="6"/>
        <v>pachuza01,2014-15</v>
      </c>
      <c r="Z540" s="168">
        <f t="array" ref="Z540">iferror(index(I:I,match($A540&amp;","&amp;index('Year Conversion'!$A:$A,match($C540,'Year Conversion'!$B:$B,0)),$Y:$Y,0))-I540,"")</f>
        <v>1</v>
      </c>
      <c r="AA540" s="168">
        <f t="array" ref="AA540">iferror(index(J:J,match($A540&amp;","&amp;index('Year Conversion'!$A:$A,match($C540,'Year Conversion'!$B:$B,0)),$Y:$Y,0))-J540,"")</f>
        <v>-1.40113141</v>
      </c>
      <c r="AB540" s="168">
        <f t="array" ref="AB540">iferror(index(K:K,match($A540&amp;","&amp;index('Year Conversion'!$A:$A,match($C540,'Year Conversion'!$B:$B,0)),$Y:$Y,0))-K540,"")</f>
        <v>-0.9600007352</v>
      </c>
      <c r="AC540" s="168" t="str">
        <f t="shared" si="7"/>
        <v>MIL,2014-15</v>
      </c>
    </row>
    <row r="541">
      <c r="A541" s="161" t="str">
        <f>IFERROR(__xludf.DUMMYFUNCTION("""COMPUTED_VALUE"""),"bonnema01")</f>
        <v>bonnema01</v>
      </c>
      <c r="B541" s="161" t="str">
        <f>IFERROR(__xludf.DUMMYFUNCTION("""COMPUTED_VALUE"""),"Matt Bonner")</f>
        <v>Matt Bonner</v>
      </c>
      <c r="C541" s="162" t="str">
        <f>IFERROR(__xludf.DUMMYFUNCTION("""COMPUTED_VALUE"""),"2014-15")</f>
        <v>2014-15</v>
      </c>
      <c r="D541" s="163" t="str">
        <f>IFERROR(__xludf.DUMMYFUNCTION("""COMPUTED_VALUE"""),"SAS")</f>
        <v>SAS</v>
      </c>
      <c r="E541" s="164" t="str">
        <f>IFERROR(__xludf.DUMMYFUNCTION("""COMPUTED_VALUE"""),"Stationary Shooter")</f>
        <v>Stationary Shooter</v>
      </c>
      <c r="F541" s="164">
        <f>IFERROR(__xludf.DUMMYFUNCTION("""COMPUTED_VALUE"""),935.465)</f>
        <v>935.465</v>
      </c>
      <c r="G541" s="163">
        <f>IFERROR(__xludf.DUMMYFUNCTION("""COMPUTED_VALUE"""),72.0)</f>
        <v>72</v>
      </c>
      <c r="H541" s="163" t="str">
        <f>IFERROR(__xludf.DUMMYFUNCTION("""COMPUTED_VALUE"""),"PF")</f>
        <v>PF</v>
      </c>
      <c r="I541" s="163">
        <f>IFERROR(__xludf.DUMMYFUNCTION("""COMPUTED_VALUE"""),34.0)</f>
        <v>34</v>
      </c>
      <c r="J541" s="165">
        <f>IFERROR(__xludf.DUMMYFUNCTION("""COMPUTED_VALUE"""),-1.20574266552323)</f>
        <v>-1.205742666</v>
      </c>
      <c r="K541" s="165">
        <f>IFERROR(__xludf.DUMMYFUNCTION("""COMPUTED_VALUE"""),-0.472680884951259)</f>
        <v>-0.472680885</v>
      </c>
      <c r="L541" s="165">
        <f>IFERROR(__xludf.DUMMYFUNCTION("""COMPUTED_VALUE"""),-0.733061780571972)</f>
        <v>-0.7330617806</v>
      </c>
      <c r="M541" s="166">
        <f t="shared" si="2"/>
        <v>0.6832683332</v>
      </c>
      <c r="N541" s="167">
        <f t="shared" si="3"/>
        <v>12.99256944</v>
      </c>
      <c r="O541" s="163">
        <f t="shared" ref="O541:Q541" si="545">rank(I541,I:I)</f>
        <v>164</v>
      </c>
      <c r="P541" s="163">
        <f t="shared" si="545"/>
        <v>2752</v>
      </c>
      <c r="Q541" s="163">
        <f t="shared" si="545"/>
        <v>2074</v>
      </c>
      <c r="R541" s="163">
        <f>IFERROR(__xludf.DUMMYFUNCTION("RANK(M541,filter(M:M,C:C=C541))"),263.0)</f>
        <v>263</v>
      </c>
      <c r="S541" s="161" t="b">
        <f t="shared" si="5"/>
        <v>0</v>
      </c>
      <c r="T541" s="161" t="b">
        <f t="array" ref="T541">index('Query Tool'!B:B,match(H541,'Query Tool'!C:C,0))</f>
        <v>1</v>
      </c>
      <c r="U541" s="161" t="b">
        <f t="array" ref="U541">index('Query Tool'!B:B,match(C541,'Query Tool'!C:C,0))</f>
        <v>0</v>
      </c>
      <c r="V541" s="161" t="b">
        <f>F541&gt;='Query Tool'!C$32</f>
        <v>1</v>
      </c>
      <c r="W541" s="161" t="b">
        <f t="array" ref="W541">index(Dropdowns!B:B,match(I541,Dropdowns!A:A,0))</f>
        <v>1</v>
      </c>
      <c r="X541" s="161" t="b">
        <f t="array" ref="X541">index('Query Tool'!B:B,match(D541,'Query Tool'!C:C,0))</f>
        <v>1</v>
      </c>
      <c r="Y541" s="161" t="str">
        <f t="shared" si="6"/>
        <v>bonnema01,2014-15</v>
      </c>
      <c r="Z541" s="168">
        <f t="array" ref="Z541">iferror(index(I:I,match($A541&amp;","&amp;index('Year Conversion'!$A:$A,match($C541,'Year Conversion'!$B:$B,0)),$Y:$Y,0))-I541,"")</f>
        <v>1</v>
      </c>
      <c r="AA541" s="168">
        <f t="array" ref="AA541">iferror(index(J:J,match($A541&amp;","&amp;index('Year Conversion'!$A:$A,match($C541,'Year Conversion'!$B:$B,0)),$Y:$Y,0))-J541,"")</f>
        <v>0.7460680109</v>
      </c>
      <c r="AB541" s="168">
        <f t="array" ref="AB541">iferror(index(K:K,match($A541&amp;","&amp;index('Year Conversion'!$A:$A,match($C541,'Year Conversion'!$B:$B,0)),$Y:$Y,0))-K541,"")</f>
        <v>0.6060774563</v>
      </c>
      <c r="AC541" s="168" t="str">
        <f t="shared" si="7"/>
        <v>SAS,2014-15</v>
      </c>
    </row>
    <row r="542">
      <c r="A542" s="161" t="str">
        <f>IFERROR(__xludf.DUMMYFUNCTION("""COMPUTED_VALUE"""),"willima01")</f>
        <v>willima01</v>
      </c>
      <c r="B542" s="161" t="str">
        <f>IFERROR(__xludf.DUMMYFUNCTION("""COMPUTED_VALUE"""),"Mo Williams")</f>
        <v>Mo Williams</v>
      </c>
      <c r="C542" s="162" t="str">
        <f>IFERROR(__xludf.DUMMYFUNCTION("""COMPUTED_VALUE"""),"2014-15")</f>
        <v>2014-15</v>
      </c>
      <c r="D542" s="163" t="str">
        <f>IFERROR(__xludf.DUMMYFUNCTION("""COMPUTED_VALUE"""),"TOT")</f>
        <v>TOT</v>
      </c>
      <c r="E542" s="164" t="str">
        <f>IFERROR(__xludf.DUMMYFUNCTION("""COMPUTED_VALUE"""),"Primary Ball Handler")</f>
        <v>Primary Ball Handler</v>
      </c>
      <c r="F542" s="164">
        <f>IFERROR(__xludf.DUMMYFUNCTION("""COMPUTED_VALUE"""),1980.16666666667)</f>
        <v>1980.166667</v>
      </c>
      <c r="G542" s="163">
        <f>IFERROR(__xludf.DUMMYFUNCTION("""COMPUTED_VALUE"""),68.0)</f>
        <v>68</v>
      </c>
      <c r="H542" s="163" t="str">
        <f>IFERROR(__xludf.DUMMYFUNCTION("""COMPUTED_VALUE"""),"PG")</f>
        <v>PG</v>
      </c>
      <c r="I542" s="163">
        <f>IFERROR(__xludf.DUMMYFUNCTION("""COMPUTED_VALUE"""),32.0)</f>
        <v>32</v>
      </c>
      <c r="J542" s="165">
        <f>IFERROR(__xludf.DUMMYFUNCTION("""COMPUTED_VALUE"""),-0.337334611511752)</f>
        <v>-0.3373346115</v>
      </c>
      <c r="K542" s="165">
        <f>IFERROR(__xludf.DUMMYFUNCTION("""COMPUTED_VALUE"""),0.872219341425718)</f>
        <v>0.8722193414</v>
      </c>
      <c r="L542" s="165">
        <f>IFERROR(__xludf.DUMMYFUNCTION("""COMPUTED_VALUE"""),-1.20955395293747)</f>
        <v>-1.209553953</v>
      </c>
      <c r="M542" s="166">
        <f t="shared" si="2"/>
        <v>2.60248365</v>
      </c>
      <c r="N542" s="167">
        <f t="shared" si="3"/>
        <v>29.12009804</v>
      </c>
      <c r="O542" s="163">
        <f t="shared" ref="O542:Q542" si="546">rank(I542,I:I)</f>
        <v>359</v>
      </c>
      <c r="P542" s="163">
        <f t="shared" si="546"/>
        <v>1656</v>
      </c>
      <c r="Q542" s="163">
        <f t="shared" si="546"/>
        <v>565</v>
      </c>
      <c r="R542" s="163">
        <f>IFERROR(__xludf.DUMMYFUNCTION("RANK(M542,filter(M:M,C:C=C542))"),134.0)</f>
        <v>134</v>
      </c>
      <c r="S542" s="161" t="b">
        <f t="shared" si="5"/>
        <v>0</v>
      </c>
      <c r="T542" s="161" t="b">
        <f t="array" ref="T542">index('Query Tool'!B:B,match(H542,'Query Tool'!C:C,0))</f>
        <v>1</v>
      </c>
      <c r="U542" s="161" t="b">
        <f t="array" ref="U542">index('Query Tool'!B:B,match(C542,'Query Tool'!C:C,0))</f>
        <v>0</v>
      </c>
      <c r="V542" s="161" t="b">
        <f>F542&gt;='Query Tool'!C$32</f>
        <v>1</v>
      </c>
      <c r="W542" s="161" t="b">
        <f t="array" ref="W542">index(Dropdowns!B:B,match(I542,Dropdowns!A:A,0))</f>
        <v>1</v>
      </c>
      <c r="X542" s="161" t="b">
        <f t="array" ref="X542">index('Query Tool'!B:B,match(D542,'Query Tool'!C:C,0))</f>
        <v>1</v>
      </c>
      <c r="Y542" s="161" t="str">
        <f t="shared" si="6"/>
        <v>willima01,2014-15</v>
      </c>
      <c r="Z542" s="168">
        <f t="array" ref="Z542">iferror(index(I:I,match($A542&amp;","&amp;index('Year Conversion'!$A:$A,match($C542,'Year Conversion'!$B:$B,0)),$Y:$Y,0))-I542,"")</f>
        <v>1</v>
      </c>
      <c r="AA542" s="168">
        <f t="array" ref="AA542">iferror(index(J:J,match($A542&amp;","&amp;index('Year Conversion'!$A:$A,match($C542,'Year Conversion'!$B:$B,0)),$Y:$Y,0))-J542,"")</f>
        <v>-1.945405025</v>
      </c>
      <c r="AB542" s="168">
        <f t="array" ref="AB542">iferror(index(K:K,match($A542&amp;","&amp;index('Year Conversion'!$A:$A,match($C542,'Year Conversion'!$B:$B,0)),$Y:$Y,0))-K542,"")</f>
        <v>-1.886194693</v>
      </c>
      <c r="AC542" s="168" t="str">
        <f t="shared" si="7"/>
        <v>TOT,2014-15</v>
      </c>
    </row>
    <row r="543">
      <c r="A543" s="161" t="str">
        <f>IFERROR(__xludf.DUMMYFUNCTION("""COMPUTED_VALUE"""),"jonesja02")</f>
        <v>jonesja02</v>
      </c>
      <c r="B543" s="161" t="str">
        <f>IFERROR(__xludf.DUMMYFUNCTION("""COMPUTED_VALUE"""),"James Jones")</f>
        <v>James Jones</v>
      </c>
      <c r="C543" s="162" t="str">
        <f>IFERROR(__xludf.DUMMYFUNCTION("""COMPUTED_VALUE"""),"2014-15")</f>
        <v>2014-15</v>
      </c>
      <c r="D543" s="163" t="str">
        <f>IFERROR(__xludf.DUMMYFUNCTION("""COMPUTED_VALUE"""),"CLE")</f>
        <v>CLE</v>
      </c>
      <c r="E543" s="164" t="str">
        <f>IFERROR(__xludf.DUMMYFUNCTION("""COMPUTED_VALUE"""),"Stationary Shooter")</f>
        <v>Stationary Shooter</v>
      </c>
      <c r="F543" s="164">
        <f>IFERROR(__xludf.DUMMYFUNCTION("""COMPUTED_VALUE"""),669.371666666667)</f>
        <v>669.3716667</v>
      </c>
      <c r="G543" s="163">
        <f>IFERROR(__xludf.DUMMYFUNCTION("""COMPUTED_VALUE"""),57.0)</f>
        <v>57</v>
      </c>
      <c r="H543" s="163" t="str">
        <f>IFERROR(__xludf.DUMMYFUNCTION("""COMPUTED_VALUE"""),"SF")</f>
        <v>SF</v>
      </c>
      <c r="I543" s="163">
        <f>IFERROR(__xludf.DUMMYFUNCTION("""COMPUTED_VALUE"""),34.0)</f>
        <v>34</v>
      </c>
      <c r="J543" s="165">
        <f>IFERROR(__xludf.DUMMYFUNCTION("""COMPUTED_VALUE"""),-2.02790752174831)</f>
        <v>-2.027907522</v>
      </c>
      <c r="K543" s="165">
        <f>IFERROR(__xludf.DUMMYFUNCTION("""COMPUTED_VALUE"""),-0.0679041824480894)</f>
        <v>-0.06790418245</v>
      </c>
      <c r="L543" s="165">
        <f>IFERROR(__xludf.DUMMYFUNCTION("""COMPUTED_VALUE"""),-1.96000333930022)</f>
        <v>-1.960003339</v>
      </c>
      <c r="M543" s="166">
        <f t="shared" si="2"/>
        <v>0.1219793505</v>
      </c>
      <c r="N543" s="167">
        <f t="shared" si="3"/>
        <v>11.74336257</v>
      </c>
      <c r="O543" s="163">
        <f t="shared" ref="O543:Q543" si="547">rank(I543,I:I)</f>
        <v>164</v>
      </c>
      <c r="P543" s="163">
        <f t="shared" si="547"/>
        <v>3502</v>
      </c>
      <c r="Q543" s="163">
        <f t="shared" si="547"/>
        <v>1302</v>
      </c>
      <c r="R543" s="163">
        <f>IFERROR(__xludf.DUMMYFUNCTION("RANK(M543,filter(M:M,C:C=C543))"),366.0)</f>
        <v>366</v>
      </c>
      <c r="S543" s="161" t="b">
        <f t="shared" si="5"/>
        <v>0</v>
      </c>
      <c r="T543" s="161" t="b">
        <f t="array" ref="T543">index('Query Tool'!B:B,match(H543,'Query Tool'!C:C,0))</f>
        <v>1</v>
      </c>
      <c r="U543" s="161" t="b">
        <f t="array" ref="U543">index('Query Tool'!B:B,match(C543,'Query Tool'!C:C,0))</f>
        <v>0</v>
      </c>
      <c r="V543" s="161" t="b">
        <f>F543&gt;='Query Tool'!C$32</f>
        <v>1</v>
      </c>
      <c r="W543" s="161" t="b">
        <f t="array" ref="W543">index(Dropdowns!B:B,match(I543,Dropdowns!A:A,0))</f>
        <v>1</v>
      </c>
      <c r="X543" s="161" t="b">
        <f t="array" ref="X543">index('Query Tool'!B:B,match(D543,'Query Tool'!C:C,0))</f>
        <v>1</v>
      </c>
      <c r="Y543" s="161" t="str">
        <f t="shared" si="6"/>
        <v>jonesja02,2014-15</v>
      </c>
      <c r="Z543" s="168">
        <f t="array" ref="Z543">iferror(index(I:I,match($A543&amp;","&amp;index('Year Conversion'!$A:$A,match($C543,'Year Conversion'!$B:$B,0)),$Y:$Y,0))-I543,"")</f>
        <v>1</v>
      </c>
      <c r="AA543" s="168">
        <f t="array" ref="AA543">iferror(index(J:J,match($A543&amp;","&amp;index('Year Conversion'!$A:$A,match($C543,'Year Conversion'!$B:$B,0)),$Y:$Y,0))-J543,"")</f>
        <v>-0.03667483822</v>
      </c>
      <c r="AB543" s="168">
        <f t="array" ref="AB543">iferror(index(K:K,match($A543&amp;","&amp;index('Year Conversion'!$A:$A,match($C543,'Year Conversion'!$B:$B,0)),$Y:$Y,0))-K543,"")</f>
        <v>-1.179046146</v>
      </c>
      <c r="AC543" s="168" t="str">
        <f t="shared" si="7"/>
        <v>CLE,2014-15</v>
      </c>
    </row>
    <row r="544">
      <c r="A544" s="161" t="str">
        <f>IFERROR(__xludf.DUMMYFUNCTION("""COMPUTED_VALUE"""),"korveky01")</f>
        <v>korveky01</v>
      </c>
      <c r="B544" s="161" t="str">
        <f>IFERROR(__xludf.DUMMYFUNCTION("""COMPUTED_VALUE"""),"Kyle Korver")</f>
        <v>Kyle Korver</v>
      </c>
      <c r="C544" s="162" t="str">
        <f>IFERROR(__xludf.DUMMYFUNCTION("""COMPUTED_VALUE"""),"2014-15")</f>
        <v>2014-15</v>
      </c>
      <c r="D544" s="163" t="str">
        <f>IFERROR(__xludf.DUMMYFUNCTION("""COMPUTED_VALUE"""),"ATL")</f>
        <v>ATL</v>
      </c>
      <c r="E544" s="164" t="str">
        <f>IFERROR(__xludf.DUMMYFUNCTION("""COMPUTED_VALUE"""),"Off Screen Shooter")</f>
        <v>Off Screen Shooter</v>
      </c>
      <c r="F544" s="164">
        <f>IFERROR(__xludf.DUMMYFUNCTION("""COMPUTED_VALUE"""),2417.78166666667)</f>
        <v>2417.781667</v>
      </c>
      <c r="G544" s="163">
        <f>IFERROR(__xludf.DUMMYFUNCTION("""COMPUTED_VALUE"""),75.0)</f>
        <v>75</v>
      </c>
      <c r="H544" s="163" t="str">
        <f>IFERROR(__xludf.DUMMYFUNCTION("""COMPUTED_VALUE"""),"SG")</f>
        <v>SG</v>
      </c>
      <c r="I544" s="163">
        <f>IFERROR(__xludf.DUMMYFUNCTION("""COMPUTED_VALUE"""),33.0)</f>
        <v>33</v>
      </c>
      <c r="J544" s="165">
        <f>IFERROR(__xludf.DUMMYFUNCTION("""COMPUTED_VALUE"""),1.85185615016694)</f>
        <v>1.85185615</v>
      </c>
      <c r="K544" s="165">
        <f>IFERROR(__xludf.DUMMYFUNCTION("""COMPUTED_VALUE"""),1.52304862851836)</f>
        <v>1.523048629</v>
      </c>
      <c r="L544" s="165">
        <f>IFERROR(__xludf.DUMMYFUNCTION("""COMPUTED_VALUE"""),0.32880752164858)</f>
        <v>0.3288075216</v>
      </c>
      <c r="M544" s="166">
        <f t="shared" si="2"/>
        <v>6.731720863</v>
      </c>
      <c r="N544" s="167">
        <f t="shared" si="3"/>
        <v>32.23708889</v>
      </c>
      <c r="O544" s="163">
        <f t="shared" ref="O544:Q544" si="548">rank(I544,I:I)</f>
        <v>246</v>
      </c>
      <c r="P544" s="163">
        <f t="shared" si="548"/>
        <v>357</v>
      </c>
      <c r="Q544" s="163">
        <f t="shared" si="548"/>
        <v>313</v>
      </c>
      <c r="R544" s="163">
        <f>IFERROR(__xludf.DUMMYFUNCTION("RANK(M544,filter(M:M,C:C=C544))"),32.0)</f>
        <v>32</v>
      </c>
      <c r="S544" s="161" t="b">
        <f t="shared" si="5"/>
        <v>0</v>
      </c>
      <c r="T544" s="161" t="b">
        <f t="array" ref="T544">index('Query Tool'!B:B,match(H544,'Query Tool'!C:C,0))</f>
        <v>1</v>
      </c>
      <c r="U544" s="161" t="b">
        <f t="array" ref="U544">index('Query Tool'!B:B,match(C544,'Query Tool'!C:C,0))</f>
        <v>0</v>
      </c>
      <c r="V544" s="161" t="b">
        <f>F544&gt;='Query Tool'!C$32</f>
        <v>1</v>
      </c>
      <c r="W544" s="161" t="b">
        <f t="array" ref="W544">index(Dropdowns!B:B,match(I544,Dropdowns!A:A,0))</f>
        <v>1</v>
      </c>
      <c r="X544" s="161" t="b">
        <f t="array" ref="X544">index('Query Tool'!B:B,match(D544,'Query Tool'!C:C,0))</f>
        <v>1</v>
      </c>
      <c r="Y544" s="161" t="str">
        <f t="shared" si="6"/>
        <v>korveky01,2014-15</v>
      </c>
      <c r="Z544" s="168">
        <f t="array" ref="Z544">iferror(index(I:I,match($A544&amp;","&amp;index('Year Conversion'!$A:$A,match($C544,'Year Conversion'!$B:$B,0)),$Y:$Y,0))-I544,"")</f>
        <v>1</v>
      </c>
      <c r="AA544" s="168">
        <f t="array" ref="AA544">iferror(index(J:J,match($A544&amp;","&amp;index('Year Conversion'!$A:$A,match($C544,'Year Conversion'!$B:$B,0)),$Y:$Y,0))-J544,"")</f>
        <v>-1.322025561</v>
      </c>
      <c r="AB544" s="168">
        <f t="array" ref="AB544">iferror(index(K:K,match($A544&amp;","&amp;index('Year Conversion'!$A:$A,match($C544,'Year Conversion'!$B:$B,0)),$Y:$Y,0))-K544,"")</f>
        <v>-1.869409788</v>
      </c>
      <c r="AC544" s="168" t="str">
        <f t="shared" si="7"/>
        <v>ATL,2014-15</v>
      </c>
    </row>
    <row r="545">
      <c r="A545" s="161" t="str">
        <f>IFERROR(__xludf.DUMMYFUNCTION("""COMPUTED_VALUE"""),"hasleud01")</f>
        <v>hasleud01</v>
      </c>
      <c r="B545" s="161" t="str">
        <f>IFERROR(__xludf.DUMMYFUNCTION("""COMPUTED_VALUE"""),"Udonis Haslem")</f>
        <v>Udonis Haslem</v>
      </c>
      <c r="C545" s="162" t="str">
        <f>IFERROR(__xludf.DUMMYFUNCTION("""COMPUTED_VALUE"""),"2014-15")</f>
        <v>2014-15</v>
      </c>
      <c r="D545" s="163" t="str">
        <f>IFERROR(__xludf.DUMMYFUNCTION("""COMPUTED_VALUE"""),"MIA")</f>
        <v>MIA</v>
      </c>
      <c r="E545" s="164" t="str">
        <f>IFERROR(__xludf.DUMMYFUNCTION("""COMPUTED_VALUE"""),"Roll + Cut Big")</f>
        <v>Roll + Cut Big</v>
      </c>
      <c r="F545" s="164">
        <f>IFERROR(__xludf.DUMMYFUNCTION("""COMPUTED_VALUE"""),994.811666666667)</f>
        <v>994.8116667</v>
      </c>
      <c r="G545" s="163">
        <f>IFERROR(__xludf.DUMMYFUNCTION("""COMPUTED_VALUE"""),62.0)</f>
        <v>62</v>
      </c>
      <c r="H545" s="163" t="str">
        <f>IFERROR(__xludf.DUMMYFUNCTION("""COMPUTED_VALUE"""),"PF")</f>
        <v>PF</v>
      </c>
      <c r="I545" s="163">
        <f>IFERROR(__xludf.DUMMYFUNCTION("""COMPUTED_VALUE"""),34.0)</f>
        <v>34</v>
      </c>
      <c r="J545" s="165">
        <f>IFERROR(__xludf.DUMMYFUNCTION("""COMPUTED_VALUE"""),-1.90529873359622)</f>
        <v>-1.905298734</v>
      </c>
      <c r="K545" s="165">
        <f>IFERROR(__xludf.DUMMYFUNCTION("""COMPUTED_VALUE"""),-1.93194140606761)</f>
        <v>-1.931941406</v>
      </c>
      <c r="L545" s="165">
        <f>IFERROR(__xludf.DUMMYFUNCTION("""COMPUTED_VALUE"""),0.0266426724713889)</f>
        <v>0.02664267247</v>
      </c>
      <c r="M545" s="166">
        <f t="shared" si="2"/>
        <v>0.2622051253</v>
      </c>
      <c r="N545" s="167">
        <f t="shared" si="3"/>
        <v>16.04534946</v>
      </c>
      <c r="O545" s="163">
        <f t="shared" ref="O545:Q545" si="549">rank(I545,I:I)</f>
        <v>164</v>
      </c>
      <c r="P545" s="163">
        <f t="shared" si="549"/>
        <v>3421</v>
      </c>
      <c r="Q545" s="163">
        <f t="shared" si="549"/>
        <v>3673</v>
      </c>
      <c r="R545" s="163">
        <f>IFERROR(__xludf.DUMMYFUNCTION("RANK(M545,filter(M:M,C:C=C545))"),318.0)</f>
        <v>318</v>
      </c>
      <c r="S545" s="161" t="b">
        <f t="shared" si="5"/>
        <v>0</v>
      </c>
      <c r="T545" s="161" t="b">
        <f t="array" ref="T545">index('Query Tool'!B:B,match(H545,'Query Tool'!C:C,0))</f>
        <v>1</v>
      </c>
      <c r="U545" s="161" t="b">
        <f t="array" ref="U545">index('Query Tool'!B:B,match(C545,'Query Tool'!C:C,0))</f>
        <v>0</v>
      </c>
      <c r="V545" s="161" t="b">
        <f>F545&gt;='Query Tool'!C$32</f>
        <v>1</v>
      </c>
      <c r="W545" s="161" t="b">
        <f t="array" ref="W545">index(Dropdowns!B:B,match(I545,Dropdowns!A:A,0))</f>
        <v>1</v>
      </c>
      <c r="X545" s="161" t="b">
        <f t="array" ref="X545">index('Query Tool'!B:B,match(D545,'Query Tool'!C:C,0))</f>
        <v>1</v>
      </c>
      <c r="Y545" s="161" t="str">
        <f t="shared" si="6"/>
        <v>hasleud01,2014-15</v>
      </c>
      <c r="Z545" s="168">
        <f t="array" ref="Z545">iferror(index(I:I,match($A545&amp;","&amp;index('Year Conversion'!$A:$A,match($C545,'Year Conversion'!$B:$B,0)),$Y:$Y,0))-I545,"")</f>
        <v>1</v>
      </c>
      <c r="AA545" s="168">
        <f t="array" ref="AA545">iferror(index(J:J,match($A545&amp;","&amp;index('Year Conversion'!$A:$A,match($C545,'Year Conversion'!$B:$B,0)),$Y:$Y,0))-J545,"")</f>
        <v>1.211400281</v>
      </c>
      <c r="AB545" s="168">
        <f t="array" ref="AB545">iferror(index(K:K,match($A545&amp;","&amp;index('Year Conversion'!$A:$A,match($C545,'Year Conversion'!$B:$B,0)),$Y:$Y,0))-K545,"")</f>
        <v>0.9187937683</v>
      </c>
      <c r="AC545" s="168" t="str">
        <f t="shared" si="7"/>
        <v>MIA,2014-15</v>
      </c>
    </row>
    <row r="546">
      <c r="A546" s="161" t="str">
        <f>IFERROR(__xludf.DUMMYFUNCTION("""COMPUTED_VALUE"""),"howardw01")</f>
        <v>howardw01</v>
      </c>
      <c r="B546" s="161" t="str">
        <f>IFERROR(__xludf.DUMMYFUNCTION("""COMPUTED_VALUE"""),"Dwight Howard")</f>
        <v>Dwight Howard</v>
      </c>
      <c r="C546" s="162" t="str">
        <f>IFERROR(__xludf.DUMMYFUNCTION("""COMPUTED_VALUE"""),"2014-15")</f>
        <v>2014-15</v>
      </c>
      <c r="D546" s="163" t="str">
        <f>IFERROR(__xludf.DUMMYFUNCTION("""COMPUTED_VALUE"""),"HOU")</f>
        <v>HOU</v>
      </c>
      <c r="E546" s="164" t="str">
        <f>IFERROR(__xludf.DUMMYFUNCTION("""COMPUTED_VALUE"""),"Post Scorer")</f>
        <v>Post Scorer</v>
      </c>
      <c r="F546" s="164">
        <f>IFERROR(__xludf.DUMMYFUNCTION("""COMPUTED_VALUE"""),1222.77333333333)</f>
        <v>1222.773333</v>
      </c>
      <c r="G546" s="163">
        <f>IFERROR(__xludf.DUMMYFUNCTION("""COMPUTED_VALUE"""),41.0)</f>
        <v>41</v>
      </c>
      <c r="H546" s="163" t="str">
        <f>IFERROR(__xludf.DUMMYFUNCTION("""COMPUTED_VALUE"""),"C")</f>
        <v>C</v>
      </c>
      <c r="I546" s="163">
        <f>IFERROR(__xludf.DUMMYFUNCTION("""COMPUTED_VALUE"""),29.0)</f>
        <v>29</v>
      </c>
      <c r="J546" s="165">
        <f>IFERROR(__xludf.DUMMYFUNCTION("""COMPUTED_VALUE"""),1.02635231991917)</f>
        <v>1.02635232</v>
      </c>
      <c r="K546" s="165">
        <f>IFERROR(__xludf.DUMMYFUNCTION("""COMPUTED_VALUE"""),-0.620248707748469)</f>
        <v>-0.6202487077</v>
      </c>
      <c r="L546" s="165">
        <f>IFERROR(__xludf.DUMMYFUNCTION("""COMPUTED_VALUE"""),1.64660102766764)</f>
        <v>1.646601028</v>
      </c>
      <c r="M546" s="166">
        <f t="shared" si="2"/>
        <v>2.729978586</v>
      </c>
      <c r="N546" s="167">
        <f t="shared" si="3"/>
        <v>29.82373984</v>
      </c>
      <c r="O546" s="163">
        <f t="shared" ref="O546:Q546" si="550">rank(I546,I:I)</f>
        <v>855</v>
      </c>
      <c r="P546" s="163">
        <f t="shared" si="550"/>
        <v>649</v>
      </c>
      <c r="Q546" s="163">
        <f t="shared" si="550"/>
        <v>2293</v>
      </c>
      <c r="R546" s="163">
        <f>IFERROR(__xludf.DUMMYFUNCTION("RANK(M546,filter(M:M,C:C=C546))"),126.0)</f>
        <v>126</v>
      </c>
      <c r="S546" s="161" t="b">
        <f t="shared" si="5"/>
        <v>0</v>
      </c>
      <c r="T546" s="161" t="b">
        <f t="array" ref="T546">index('Query Tool'!B:B,match(H546,'Query Tool'!C:C,0))</f>
        <v>1</v>
      </c>
      <c r="U546" s="161" t="b">
        <f t="array" ref="U546">index('Query Tool'!B:B,match(C546,'Query Tool'!C:C,0))</f>
        <v>0</v>
      </c>
      <c r="V546" s="161" t="b">
        <f>F546&gt;='Query Tool'!C$32</f>
        <v>1</v>
      </c>
      <c r="W546" s="161" t="b">
        <f t="array" ref="W546">index(Dropdowns!B:B,match(I546,Dropdowns!A:A,0))</f>
        <v>1</v>
      </c>
      <c r="X546" s="161" t="b">
        <f t="array" ref="X546">index('Query Tool'!B:B,match(D546,'Query Tool'!C:C,0))</f>
        <v>1</v>
      </c>
      <c r="Y546" s="161" t="str">
        <f t="shared" si="6"/>
        <v>howardw01,2014-15</v>
      </c>
      <c r="Z546" s="168">
        <f t="array" ref="Z546">iferror(index(I:I,match($A546&amp;","&amp;index('Year Conversion'!$A:$A,match($C546,'Year Conversion'!$B:$B,0)),$Y:$Y,0))-I546,"")</f>
        <v>1</v>
      </c>
      <c r="AA546" s="168">
        <f t="array" ref="AA546">iferror(index(J:J,match($A546&amp;","&amp;index('Year Conversion'!$A:$A,match($C546,'Year Conversion'!$B:$B,0)),$Y:$Y,0))-J546,"")</f>
        <v>0.6677225537</v>
      </c>
      <c r="AB546" s="168">
        <f t="array" ref="AB546">iferror(index(K:K,match($A546&amp;","&amp;index('Year Conversion'!$A:$A,match($C546,'Year Conversion'!$B:$B,0)),$Y:$Y,0))-K546,"")</f>
        <v>0.3825325883</v>
      </c>
      <c r="AC546" s="168" t="str">
        <f t="shared" si="7"/>
        <v>HOU,2014-15</v>
      </c>
    </row>
    <row r="547">
      <c r="A547" s="161" t="str">
        <f>IFERROR(__xludf.DUMMYFUNCTION("""COMPUTED_VALUE"""),"gordobe01")</f>
        <v>gordobe01</v>
      </c>
      <c r="B547" s="161" t="str">
        <f>IFERROR(__xludf.DUMMYFUNCTION("""COMPUTED_VALUE"""),"Ben Gordon")</f>
        <v>Ben Gordon</v>
      </c>
      <c r="C547" s="162" t="str">
        <f>IFERROR(__xludf.DUMMYFUNCTION("""COMPUTED_VALUE"""),"2014-15")</f>
        <v>2014-15</v>
      </c>
      <c r="D547" s="163" t="str">
        <f>IFERROR(__xludf.DUMMYFUNCTION("""COMPUTED_VALUE"""),"ORL")</f>
        <v>ORL</v>
      </c>
      <c r="E547" s="164" t="str">
        <f>IFERROR(__xludf.DUMMYFUNCTION("""COMPUTED_VALUE"""),"Secondary Ball Handler")</f>
        <v>Secondary Ball Handler</v>
      </c>
      <c r="F547" s="164">
        <f>IFERROR(__xludf.DUMMYFUNCTION("""COMPUTED_VALUE"""),790.371666666667)</f>
        <v>790.3716667</v>
      </c>
      <c r="G547" s="163">
        <f>IFERROR(__xludf.DUMMYFUNCTION("""COMPUTED_VALUE"""),56.0)</f>
        <v>56</v>
      </c>
      <c r="H547" s="163" t="str">
        <f>IFERROR(__xludf.DUMMYFUNCTION("""COMPUTED_VALUE"""),"SG")</f>
        <v>SG</v>
      </c>
      <c r="I547" s="163">
        <f>IFERROR(__xludf.DUMMYFUNCTION("""COMPUTED_VALUE"""),31.0)</f>
        <v>31</v>
      </c>
      <c r="J547" s="165">
        <f>IFERROR(__xludf.DUMMYFUNCTION("""COMPUTED_VALUE"""),-3.92437192413025)</f>
        <v>-3.924371924</v>
      </c>
      <c r="K547" s="165">
        <f>IFERROR(__xludf.DUMMYFUNCTION("""COMPUTED_VALUE"""),-1.33534522838656)</f>
        <v>-1.335345228</v>
      </c>
      <c r="L547" s="165">
        <f>IFERROR(__xludf.DUMMYFUNCTION("""COMPUTED_VALUE"""),-2.58902669574369)</f>
        <v>-2.589026696</v>
      </c>
      <c r="M547" s="166">
        <f t="shared" si="2"/>
        <v>-0.8290314121</v>
      </c>
      <c r="N547" s="167">
        <f t="shared" si="3"/>
        <v>14.11377976</v>
      </c>
      <c r="O547" s="163">
        <f t="shared" ref="O547:Q547" si="551">rank(I547,I:I)</f>
        <v>490</v>
      </c>
      <c r="P547" s="163">
        <f t="shared" si="551"/>
        <v>3994</v>
      </c>
      <c r="Q547" s="163">
        <f t="shared" si="551"/>
        <v>3188</v>
      </c>
      <c r="R547" s="163">
        <f>IFERROR(__xludf.DUMMYFUNCTION("RANK(M547,filter(M:M,C:C=C547))"),487.0)</f>
        <v>487</v>
      </c>
      <c r="S547" s="161" t="b">
        <f t="shared" si="5"/>
        <v>0</v>
      </c>
      <c r="T547" s="161" t="b">
        <f t="array" ref="T547">index('Query Tool'!B:B,match(H547,'Query Tool'!C:C,0))</f>
        <v>1</v>
      </c>
      <c r="U547" s="161" t="b">
        <f t="array" ref="U547">index('Query Tool'!B:B,match(C547,'Query Tool'!C:C,0))</f>
        <v>0</v>
      </c>
      <c r="V547" s="161" t="b">
        <f>F547&gt;='Query Tool'!C$32</f>
        <v>1</v>
      </c>
      <c r="W547" s="161" t="b">
        <f t="array" ref="W547">index(Dropdowns!B:B,match(I547,Dropdowns!A:A,0))</f>
        <v>1</v>
      </c>
      <c r="X547" s="161" t="b">
        <f t="array" ref="X547">index('Query Tool'!B:B,match(D547,'Query Tool'!C:C,0))</f>
        <v>1</v>
      </c>
      <c r="Y547" s="161" t="str">
        <f t="shared" si="6"/>
        <v>gordobe01,2014-15</v>
      </c>
      <c r="Z547" s="168" t="str">
        <f t="array" ref="Z547">iferror(index(I:I,match($A547&amp;","&amp;index('Year Conversion'!$A:$A,match($C547,'Year Conversion'!$B:$B,0)),$Y:$Y,0))-I547,"")</f>
        <v/>
      </c>
      <c r="AA547" s="168" t="str">
        <f t="array" ref="AA547">iferror(index(J:J,match($A547&amp;","&amp;index('Year Conversion'!$A:$A,match($C547,'Year Conversion'!$B:$B,0)),$Y:$Y,0))-J547,"")</f>
        <v/>
      </c>
      <c r="AB547" s="168" t="str">
        <f t="array" ref="AB547">iferror(index(K:K,match($A547&amp;","&amp;index('Year Conversion'!$A:$A,match($C547,'Year Conversion'!$B:$B,0)),$Y:$Y,0))-K547,"")</f>
        <v/>
      </c>
      <c r="AC547" s="168" t="str">
        <f t="shared" si="7"/>
        <v>ORL,2014-15</v>
      </c>
    </row>
    <row r="548">
      <c r="A548" s="161" t="str">
        <f>IFERROR(__xludf.DUMMYFUNCTION("""COMPUTED_VALUE"""),"livinsh01")</f>
        <v>livinsh01</v>
      </c>
      <c r="B548" s="161" t="str">
        <f>IFERROR(__xludf.DUMMYFUNCTION("""COMPUTED_VALUE"""),"Shaun Livingston")</f>
        <v>Shaun Livingston</v>
      </c>
      <c r="C548" s="162" t="str">
        <f>IFERROR(__xludf.DUMMYFUNCTION("""COMPUTED_VALUE"""),"2014-15")</f>
        <v>2014-15</v>
      </c>
      <c r="D548" s="163" t="str">
        <f>IFERROR(__xludf.DUMMYFUNCTION("""COMPUTED_VALUE"""),"GSW")</f>
        <v>GSW</v>
      </c>
      <c r="E548" s="164" t="str">
        <f>IFERROR(__xludf.DUMMYFUNCTION("""COMPUTED_VALUE"""),"Post Scorer")</f>
        <v>Post Scorer</v>
      </c>
      <c r="F548" s="164">
        <f>IFERROR(__xludf.DUMMYFUNCTION("""COMPUTED_VALUE"""),1468.22833333333)</f>
        <v>1468.228333</v>
      </c>
      <c r="G548" s="163">
        <f>IFERROR(__xludf.DUMMYFUNCTION("""COMPUTED_VALUE"""),78.0)</f>
        <v>78</v>
      </c>
      <c r="H548" s="163" t="str">
        <f>IFERROR(__xludf.DUMMYFUNCTION("""COMPUTED_VALUE"""),"PG")</f>
        <v>PG</v>
      </c>
      <c r="I548" s="163">
        <f>IFERROR(__xludf.DUMMYFUNCTION("""COMPUTED_VALUE"""),29.0)</f>
        <v>29</v>
      </c>
      <c r="J548" s="165">
        <f>IFERROR(__xludf.DUMMYFUNCTION("""COMPUTED_VALUE"""),-2.06954410656759)</f>
        <v>-2.069544107</v>
      </c>
      <c r="K548" s="165">
        <f>IFERROR(__xludf.DUMMYFUNCTION("""COMPUTED_VALUE"""),-1.81882971407856)</f>
        <v>-1.818829714</v>
      </c>
      <c r="L548" s="165">
        <f>IFERROR(__xludf.DUMMYFUNCTION("""COMPUTED_VALUE"""),-0.250714392489028)</f>
        <v>-0.2507143925</v>
      </c>
      <c r="M548" s="166">
        <f t="shared" si="2"/>
        <v>0.2270527808</v>
      </c>
      <c r="N548" s="167">
        <f t="shared" si="3"/>
        <v>18.82344017</v>
      </c>
      <c r="O548" s="163">
        <f t="shared" ref="O548:Q548" si="552">rank(I548,I:I)</f>
        <v>855</v>
      </c>
      <c r="P548" s="163">
        <f t="shared" si="552"/>
        <v>3534</v>
      </c>
      <c r="Q548" s="163">
        <f t="shared" si="552"/>
        <v>3584</v>
      </c>
      <c r="R548" s="163">
        <f>IFERROR(__xludf.DUMMYFUNCTION("RANK(M548,filter(M:M,C:C=C548))"),328.0)</f>
        <v>328</v>
      </c>
      <c r="S548" s="161" t="b">
        <f t="shared" si="5"/>
        <v>0</v>
      </c>
      <c r="T548" s="161" t="b">
        <f t="array" ref="T548">index('Query Tool'!B:B,match(H548,'Query Tool'!C:C,0))</f>
        <v>1</v>
      </c>
      <c r="U548" s="161" t="b">
        <f t="array" ref="U548">index('Query Tool'!B:B,match(C548,'Query Tool'!C:C,0))</f>
        <v>0</v>
      </c>
      <c r="V548" s="161" t="b">
        <f>F548&gt;='Query Tool'!C$32</f>
        <v>1</v>
      </c>
      <c r="W548" s="161" t="b">
        <f t="array" ref="W548">index(Dropdowns!B:B,match(I548,Dropdowns!A:A,0))</f>
        <v>1</v>
      </c>
      <c r="X548" s="161" t="b">
        <f t="array" ref="X548">index('Query Tool'!B:B,match(D548,'Query Tool'!C:C,0))</f>
        <v>1</v>
      </c>
      <c r="Y548" s="161" t="str">
        <f t="shared" si="6"/>
        <v>livinsh01,2014-15</v>
      </c>
      <c r="Z548" s="168">
        <f t="array" ref="Z548">iferror(index(I:I,match($A548&amp;","&amp;index('Year Conversion'!$A:$A,match($C548,'Year Conversion'!$B:$B,0)),$Y:$Y,0))-I548,"")</f>
        <v>1</v>
      </c>
      <c r="AA548" s="168">
        <f t="array" ref="AA548">iferror(index(J:J,match($A548&amp;","&amp;index('Year Conversion'!$A:$A,match($C548,'Year Conversion'!$B:$B,0)),$Y:$Y,0))-J548,"")</f>
        <v>1.380405034</v>
      </c>
      <c r="AB548" s="168">
        <f t="array" ref="AB548">iferror(index(K:K,match($A548&amp;","&amp;index('Year Conversion'!$A:$A,match($C548,'Year Conversion'!$B:$B,0)),$Y:$Y,0))-K548,"")</f>
        <v>1.684639023</v>
      </c>
      <c r="AC548" s="168" t="str">
        <f t="shared" si="7"/>
        <v>GSW,2014-15</v>
      </c>
    </row>
    <row r="549">
      <c r="A549" s="161" t="str">
        <f>IFERROR(__xludf.DUMMYFUNCTION("""COMPUTED_VALUE"""),"harride01")</f>
        <v>harride01</v>
      </c>
      <c r="B549" s="161" t="str">
        <f>IFERROR(__xludf.DUMMYFUNCTION("""COMPUTED_VALUE"""),"Devin Harris")</f>
        <v>Devin Harris</v>
      </c>
      <c r="C549" s="162" t="str">
        <f>IFERROR(__xludf.DUMMYFUNCTION("""COMPUTED_VALUE"""),"2014-15")</f>
        <v>2014-15</v>
      </c>
      <c r="D549" s="163" t="str">
        <f>IFERROR(__xludf.DUMMYFUNCTION("""COMPUTED_VALUE"""),"DAL")</f>
        <v>DAL</v>
      </c>
      <c r="E549" s="164" t="str">
        <f>IFERROR(__xludf.DUMMYFUNCTION("""COMPUTED_VALUE"""),"Primary Ball Handler")</f>
        <v>Primary Ball Handler</v>
      </c>
      <c r="F549" s="164">
        <f>IFERROR(__xludf.DUMMYFUNCTION("""COMPUTED_VALUE"""),1685.15)</f>
        <v>1685.15</v>
      </c>
      <c r="G549" s="163">
        <f>IFERROR(__xludf.DUMMYFUNCTION("""COMPUTED_VALUE"""),76.0)</f>
        <v>76</v>
      </c>
      <c r="H549" s="163" t="str">
        <f>IFERROR(__xludf.DUMMYFUNCTION("""COMPUTED_VALUE"""),"PG")</f>
        <v>PG</v>
      </c>
      <c r="I549" s="163">
        <f>IFERROR(__xludf.DUMMYFUNCTION("""COMPUTED_VALUE"""),31.0)</f>
        <v>31</v>
      </c>
      <c r="J549" s="165">
        <f>IFERROR(__xludf.DUMMYFUNCTION("""COMPUTED_VALUE"""),1.20351348832267)</f>
        <v>1.203513488</v>
      </c>
      <c r="K549" s="165">
        <f>IFERROR(__xludf.DUMMYFUNCTION("""COMPUTED_VALUE"""),1.64840588324252)</f>
        <v>1.648405883</v>
      </c>
      <c r="L549" s="165">
        <f>IFERROR(__xludf.DUMMYFUNCTION("""COMPUTED_VALUE"""),-0.444892394919849)</f>
        <v>-0.4448923949</v>
      </c>
      <c r="M549" s="166">
        <f t="shared" si="2"/>
        <v>3.962519807</v>
      </c>
      <c r="N549" s="167">
        <f t="shared" si="3"/>
        <v>22.17302632</v>
      </c>
      <c r="O549" s="163">
        <f t="shared" ref="O549:Q549" si="553">rank(I549,I:I)</f>
        <v>490</v>
      </c>
      <c r="P549" s="163">
        <f t="shared" si="553"/>
        <v>571</v>
      </c>
      <c r="Q549" s="163">
        <f t="shared" si="553"/>
        <v>281</v>
      </c>
      <c r="R549" s="163">
        <f>IFERROR(__xludf.DUMMYFUNCTION("RANK(M549,filter(M:M,C:C=C549))"),90.0)</f>
        <v>90</v>
      </c>
      <c r="S549" s="161" t="b">
        <f t="shared" si="5"/>
        <v>0</v>
      </c>
      <c r="T549" s="161" t="b">
        <f t="array" ref="T549">index('Query Tool'!B:B,match(H549,'Query Tool'!C:C,0))</f>
        <v>1</v>
      </c>
      <c r="U549" s="161" t="b">
        <f t="array" ref="U549">index('Query Tool'!B:B,match(C549,'Query Tool'!C:C,0))</f>
        <v>0</v>
      </c>
      <c r="V549" s="161" t="b">
        <f>F549&gt;='Query Tool'!C$32</f>
        <v>1</v>
      </c>
      <c r="W549" s="161" t="b">
        <f t="array" ref="W549">index(Dropdowns!B:B,match(I549,Dropdowns!A:A,0))</f>
        <v>1</v>
      </c>
      <c r="X549" s="161" t="b">
        <f t="array" ref="X549">index('Query Tool'!B:B,match(D549,'Query Tool'!C:C,0))</f>
        <v>1</v>
      </c>
      <c r="Y549" s="161" t="str">
        <f t="shared" si="6"/>
        <v>harride01,2014-15</v>
      </c>
      <c r="Z549" s="168">
        <f t="array" ref="Z549">iferror(index(I:I,match($A549&amp;","&amp;index('Year Conversion'!$A:$A,match($C549,'Year Conversion'!$B:$B,0)),$Y:$Y,0))-I549,"")</f>
        <v>1</v>
      </c>
      <c r="AA549" s="168">
        <f t="array" ref="AA549">iferror(index(J:J,match($A549&amp;","&amp;index('Year Conversion'!$A:$A,match($C549,'Year Conversion'!$B:$B,0)),$Y:$Y,0))-J549,"")</f>
        <v>-1.014527377</v>
      </c>
      <c r="AB549" s="168">
        <f t="array" ref="AB549">iferror(index(K:K,match($A549&amp;","&amp;index('Year Conversion'!$A:$A,match($C549,'Year Conversion'!$B:$B,0)),$Y:$Y,0))-K549,"")</f>
        <v>-1.541862872</v>
      </c>
      <c r="AC549" s="168" t="str">
        <f t="shared" si="7"/>
        <v>DAL,2014-15</v>
      </c>
    </row>
    <row r="550">
      <c r="A550" s="161" t="str">
        <f>IFERROR(__xludf.DUMMYFUNCTION("""COMPUTED_VALUE"""),"denglu01")</f>
        <v>denglu01</v>
      </c>
      <c r="B550" s="161" t="str">
        <f>IFERROR(__xludf.DUMMYFUNCTION("""COMPUTED_VALUE"""),"Luol Deng")</f>
        <v>Luol Deng</v>
      </c>
      <c r="C550" s="162" t="str">
        <f>IFERROR(__xludf.DUMMYFUNCTION("""COMPUTED_VALUE"""),"2014-15")</f>
        <v>2014-15</v>
      </c>
      <c r="D550" s="163" t="str">
        <f>IFERROR(__xludf.DUMMYFUNCTION("""COMPUTED_VALUE"""),"MIA")</f>
        <v>MIA</v>
      </c>
      <c r="E550" s="164" t="str">
        <f>IFERROR(__xludf.DUMMYFUNCTION("""COMPUTED_VALUE"""),"Shot Creator")</f>
        <v>Shot Creator</v>
      </c>
      <c r="F550" s="164">
        <f>IFERROR(__xludf.DUMMYFUNCTION("""COMPUTED_VALUE"""),2420.55666666667)</f>
        <v>2420.556667</v>
      </c>
      <c r="G550" s="163">
        <f>IFERROR(__xludf.DUMMYFUNCTION("""COMPUTED_VALUE"""),72.0)</f>
        <v>72</v>
      </c>
      <c r="H550" s="163" t="str">
        <f>IFERROR(__xludf.DUMMYFUNCTION("""COMPUTED_VALUE"""),"SF")</f>
        <v>SF</v>
      </c>
      <c r="I550" s="163">
        <f>IFERROR(__xludf.DUMMYFUNCTION("""COMPUTED_VALUE"""),29.0)</f>
        <v>29</v>
      </c>
      <c r="J550" s="165">
        <f>IFERROR(__xludf.DUMMYFUNCTION("""COMPUTED_VALUE"""),0.146924791111016)</f>
        <v>0.1469247911</v>
      </c>
      <c r="K550" s="165">
        <f>IFERROR(__xludf.DUMMYFUNCTION("""COMPUTED_VALUE"""),1.40459469952861)</f>
        <v>1.4045947</v>
      </c>
      <c r="L550" s="165">
        <f>IFERROR(__xludf.DUMMYFUNCTION("""COMPUTED_VALUE"""),-1.2576699084176)</f>
        <v>-1.257669908</v>
      </c>
      <c r="M550" s="166">
        <f t="shared" si="2"/>
        <v>3.971453057</v>
      </c>
      <c r="N550" s="167">
        <f t="shared" si="3"/>
        <v>33.61884259</v>
      </c>
      <c r="O550" s="163">
        <f t="shared" ref="O550:Q550" si="554">rank(I550,I:I)</f>
        <v>855</v>
      </c>
      <c r="P550" s="163">
        <f t="shared" si="554"/>
        <v>1140</v>
      </c>
      <c r="Q550" s="163">
        <f t="shared" si="554"/>
        <v>351</v>
      </c>
      <c r="R550" s="163">
        <f>IFERROR(__xludf.DUMMYFUNCTION("RANK(M550,filter(M:M,C:C=C550))"),89.0)</f>
        <v>89</v>
      </c>
      <c r="S550" s="161" t="b">
        <f t="shared" si="5"/>
        <v>0</v>
      </c>
      <c r="T550" s="161" t="b">
        <f t="array" ref="T550">index('Query Tool'!B:B,match(H550,'Query Tool'!C:C,0))</f>
        <v>1</v>
      </c>
      <c r="U550" s="161" t="b">
        <f t="array" ref="U550">index('Query Tool'!B:B,match(C550,'Query Tool'!C:C,0))</f>
        <v>0</v>
      </c>
      <c r="V550" s="161" t="b">
        <f>F550&gt;='Query Tool'!C$32</f>
        <v>1</v>
      </c>
      <c r="W550" s="161" t="b">
        <f t="array" ref="W550">index(Dropdowns!B:B,match(I550,Dropdowns!A:A,0))</f>
        <v>1</v>
      </c>
      <c r="X550" s="161" t="b">
        <f t="array" ref="X550">index('Query Tool'!B:B,match(D550,'Query Tool'!C:C,0))</f>
        <v>1</v>
      </c>
      <c r="Y550" s="161" t="str">
        <f t="shared" si="6"/>
        <v>denglu01,2014-15</v>
      </c>
      <c r="Z550" s="168">
        <f t="array" ref="Z550">iferror(index(I:I,match($A550&amp;","&amp;index('Year Conversion'!$A:$A,match($C550,'Year Conversion'!$B:$B,0)),$Y:$Y,0))-I550,"")</f>
        <v>1</v>
      </c>
      <c r="AA550" s="168">
        <f t="array" ref="AA550">iferror(index(J:J,match($A550&amp;","&amp;index('Year Conversion'!$A:$A,match($C550,'Year Conversion'!$B:$B,0)),$Y:$Y,0))-J550,"")</f>
        <v>-0.15033139</v>
      </c>
      <c r="AB550" s="168">
        <f t="array" ref="AB550">iferror(index(K:K,match($A550&amp;","&amp;index('Year Conversion'!$A:$A,match($C550,'Year Conversion'!$B:$B,0)),$Y:$Y,0))-K550,"")</f>
        <v>-1.204033466</v>
      </c>
      <c r="AC550" s="168" t="str">
        <f t="shared" si="7"/>
        <v>MIA,2014-15</v>
      </c>
    </row>
    <row r="551">
      <c r="A551" s="161" t="str">
        <f>IFERROR(__xludf.DUMMYFUNCTION("""COMPUTED_VALUE"""),"iguodan01")</f>
        <v>iguodan01</v>
      </c>
      <c r="B551" s="161" t="str">
        <f>IFERROR(__xludf.DUMMYFUNCTION("""COMPUTED_VALUE"""),"Andre Iguodala")</f>
        <v>Andre Iguodala</v>
      </c>
      <c r="C551" s="162" t="str">
        <f>IFERROR(__xludf.DUMMYFUNCTION("""COMPUTED_VALUE"""),"2014-15")</f>
        <v>2014-15</v>
      </c>
      <c r="D551" s="163" t="str">
        <f>IFERROR(__xludf.DUMMYFUNCTION("""COMPUTED_VALUE"""),"GSW")</f>
        <v>GSW</v>
      </c>
      <c r="E551" s="164" t="str">
        <f>IFERROR(__xludf.DUMMYFUNCTION("""COMPUTED_VALUE"""),"Stationary Shooter")</f>
        <v>Stationary Shooter</v>
      </c>
      <c r="F551" s="164">
        <f>IFERROR(__xludf.DUMMYFUNCTION("""COMPUTED_VALUE"""),2068.59333333333)</f>
        <v>2068.593333</v>
      </c>
      <c r="G551" s="163">
        <f>IFERROR(__xludf.DUMMYFUNCTION("""COMPUTED_VALUE"""),77.0)</f>
        <v>77</v>
      </c>
      <c r="H551" s="163" t="str">
        <f>IFERROR(__xludf.DUMMYFUNCTION("""COMPUTED_VALUE"""),"SF")</f>
        <v>SF</v>
      </c>
      <c r="I551" s="163">
        <f>IFERROR(__xludf.DUMMYFUNCTION("""COMPUTED_VALUE"""),31.0)</f>
        <v>31</v>
      </c>
      <c r="J551" s="165">
        <f>IFERROR(__xludf.DUMMYFUNCTION("""COMPUTED_VALUE"""),1.06982870880444)</f>
        <v>1.069828709</v>
      </c>
      <c r="K551" s="165">
        <f>IFERROR(__xludf.DUMMYFUNCTION("""COMPUTED_VALUE"""),-0.0486741079873322)</f>
        <v>-0.04867410799</v>
      </c>
      <c r="L551" s="165">
        <f>IFERROR(__xludf.DUMMYFUNCTION("""COMPUTED_VALUE"""),1.11850281679177)</f>
        <v>1.118502817</v>
      </c>
      <c r="M551" s="166">
        <f t="shared" si="2"/>
        <v>4.678723048</v>
      </c>
      <c r="N551" s="167">
        <f t="shared" si="3"/>
        <v>26.86484848</v>
      </c>
      <c r="O551" s="163">
        <f t="shared" ref="O551:Q551" si="555">rank(I551,I:I)</f>
        <v>490</v>
      </c>
      <c r="P551" s="163">
        <f t="shared" si="555"/>
        <v>633</v>
      </c>
      <c r="Q551" s="163">
        <f t="shared" si="555"/>
        <v>1275</v>
      </c>
      <c r="R551" s="163">
        <f>IFERROR(__xludf.DUMMYFUNCTION("RANK(M551,filter(M:M,C:C=C551))"),66.0)</f>
        <v>66</v>
      </c>
      <c r="S551" s="161" t="b">
        <f t="shared" si="5"/>
        <v>0</v>
      </c>
      <c r="T551" s="161" t="b">
        <f t="array" ref="T551">index('Query Tool'!B:B,match(H551,'Query Tool'!C:C,0))</f>
        <v>1</v>
      </c>
      <c r="U551" s="161" t="b">
        <f t="array" ref="U551">index('Query Tool'!B:B,match(C551,'Query Tool'!C:C,0))</f>
        <v>0</v>
      </c>
      <c r="V551" s="161" t="b">
        <f>F551&gt;='Query Tool'!C$32</f>
        <v>1</v>
      </c>
      <c r="W551" s="161" t="b">
        <f t="array" ref="W551">index(Dropdowns!B:B,match(I551,Dropdowns!A:A,0))</f>
        <v>1</v>
      </c>
      <c r="X551" s="161" t="b">
        <f t="array" ref="X551">index('Query Tool'!B:B,match(D551,'Query Tool'!C:C,0))</f>
        <v>1</v>
      </c>
      <c r="Y551" s="161" t="str">
        <f t="shared" si="6"/>
        <v>iguodan01,2014-15</v>
      </c>
      <c r="Z551" s="168">
        <f t="array" ref="Z551">iferror(index(I:I,match($A551&amp;","&amp;index('Year Conversion'!$A:$A,match($C551,'Year Conversion'!$B:$B,0)),$Y:$Y,0))-I551,"")</f>
        <v>1</v>
      </c>
      <c r="AA551" s="168">
        <f t="array" ref="AA551">iferror(index(J:J,match($A551&amp;","&amp;index('Year Conversion'!$A:$A,match($C551,'Year Conversion'!$B:$B,0)),$Y:$Y,0))-J551,"")</f>
        <v>-0.9023399294</v>
      </c>
      <c r="AB551" s="168">
        <f t="array" ref="AB551">iferror(index(K:K,match($A551&amp;","&amp;index('Year Conversion'!$A:$A,match($C551,'Year Conversion'!$B:$B,0)),$Y:$Y,0))-K551,"")</f>
        <v>0.04621332066</v>
      </c>
      <c r="AC551" s="168" t="str">
        <f t="shared" si="7"/>
        <v>GSW,2014-15</v>
      </c>
    </row>
    <row r="552">
      <c r="A552" s="161" t="str">
        <f>IFERROR(__xludf.DUMMYFUNCTION("""COMPUTED_VALUE"""),"telfase01")</f>
        <v>telfase01</v>
      </c>
      <c r="B552" s="161" t="str">
        <f>IFERROR(__xludf.DUMMYFUNCTION("""COMPUTED_VALUE"""),"Sebastian Telfair")</f>
        <v>Sebastian Telfair</v>
      </c>
      <c r="C552" s="162" t="str">
        <f>IFERROR(__xludf.DUMMYFUNCTION("""COMPUTED_VALUE"""),"2014-15")</f>
        <v>2014-15</v>
      </c>
      <c r="D552" s="163" t="str">
        <f>IFERROR(__xludf.DUMMYFUNCTION("""COMPUTED_VALUE"""),"OKC")</f>
        <v>OKC</v>
      </c>
      <c r="E552" s="164" t="str">
        <f>IFERROR(__xludf.DUMMYFUNCTION("""COMPUTED_VALUE"""),"Secondary Ball Handler")</f>
        <v>Secondary Ball Handler</v>
      </c>
      <c r="F552" s="164">
        <f>IFERROR(__xludf.DUMMYFUNCTION("""COMPUTED_VALUE"""),327.083333333333)</f>
        <v>327.0833333</v>
      </c>
      <c r="G552" s="163">
        <f>IFERROR(__xludf.DUMMYFUNCTION("""COMPUTED_VALUE"""),16.0)</f>
        <v>16</v>
      </c>
      <c r="H552" s="163" t="str">
        <f>IFERROR(__xludf.DUMMYFUNCTION("""COMPUTED_VALUE"""),"PG")</f>
        <v>PG</v>
      </c>
      <c r="I552" s="163">
        <f>IFERROR(__xludf.DUMMYFUNCTION("""COMPUTED_VALUE"""),29.0)</f>
        <v>29</v>
      </c>
      <c r="J552" s="165">
        <f>IFERROR(__xludf.DUMMYFUNCTION("""COMPUTED_VALUE"""),-1.92396368917992)</f>
        <v>-1.923963689</v>
      </c>
      <c r="K552" s="165">
        <f>IFERROR(__xludf.DUMMYFUNCTION("""COMPUTED_VALUE"""),-0.334585729493887)</f>
        <v>-0.3345857295</v>
      </c>
      <c r="L552" s="165">
        <f>IFERROR(__xludf.DUMMYFUNCTION("""COMPUTED_VALUE"""),-1.58937795968604)</f>
        <v>-1.58937796</v>
      </c>
      <c r="M552" s="166">
        <f t="shared" si="2"/>
        <v>0.08215653547</v>
      </c>
      <c r="N552" s="167">
        <f t="shared" si="3"/>
        <v>20.44270833</v>
      </c>
      <c r="O552" s="163">
        <f t="shared" ref="O552:Q552" si="556">rank(I552,I:I)</f>
        <v>855</v>
      </c>
      <c r="P552" s="163">
        <f t="shared" si="556"/>
        <v>3430</v>
      </c>
      <c r="Q552" s="163">
        <f t="shared" si="556"/>
        <v>1821</v>
      </c>
      <c r="R552" s="163">
        <f>IFERROR(__xludf.DUMMYFUNCTION("RANK(M552,filter(M:M,C:C=C552))"),393.0)</f>
        <v>393</v>
      </c>
      <c r="S552" s="161" t="b">
        <f t="shared" si="5"/>
        <v>0</v>
      </c>
      <c r="T552" s="161" t="b">
        <f t="array" ref="T552">index('Query Tool'!B:B,match(H552,'Query Tool'!C:C,0))</f>
        <v>1</v>
      </c>
      <c r="U552" s="161" t="b">
        <f t="array" ref="U552">index('Query Tool'!B:B,match(C552,'Query Tool'!C:C,0))</f>
        <v>0</v>
      </c>
      <c r="V552" s="161" t="b">
        <f>F552&gt;='Query Tool'!C$32</f>
        <v>0</v>
      </c>
      <c r="W552" s="161" t="b">
        <f t="array" ref="W552">index(Dropdowns!B:B,match(I552,Dropdowns!A:A,0))</f>
        <v>1</v>
      </c>
      <c r="X552" s="161" t="b">
        <f t="array" ref="X552">index('Query Tool'!B:B,match(D552,'Query Tool'!C:C,0))</f>
        <v>1</v>
      </c>
      <c r="Y552" s="161" t="str">
        <f t="shared" si="6"/>
        <v>telfase01,2014-15</v>
      </c>
      <c r="Z552" s="168" t="str">
        <f t="array" ref="Z552">iferror(index(I:I,match($A552&amp;","&amp;index('Year Conversion'!$A:$A,match($C552,'Year Conversion'!$B:$B,0)),$Y:$Y,0))-I552,"")</f>
        <v/>
      </c>
      <c r="AA552" s="168" t="str">
        <f t="array" ref="AA552">iferror(index(J:J,match($A552&amp;","&amp;index('Year Conversion'!$A:$A,match($C552,'Year Conversion'!$B:$B,0)),$Y:$Y,0))-J552,"")</f>
        <v/>
      </c>
      <c r="AB552" s="168" t="str">
        <f t="array" ref="AB552">iferror(index(K:K,match($A552&amp;","&amp;index('Year Conversion'!$A:$A,match($C552,'Year Conversion'!$B:$B,0)),$Y:$Y,0))-K552,"")</f>
        <v/>
      </c>
      <c r="AC552" s="168" t="str">
        <f t="shared" si="7"/>
        <v>OKC,2014-15</v>
      </c>
    </row>
    <row r="553">
      <c r="A553" s="161" t="str">
        <f>IFERROR(__xludf.DUMMYFUNCTION("""COMPUTED_VALUE"""),"humphkr01")</f>
        <v>humphkr01</v>
      </c>
      <c r="B553" s="161" t="str">
        <f>IFERROR(__xludf.DUMMYFUNCTION("""COMPUTED_VALUE"""),"Kris Humphries")</f>
        <v>Kris Humphries</v>
      </c>
      <c r="C553" s="162" t="str">
        <f>IFERROR(__xludf.DUMMYFUNCTION("""COMPUTED_VALUE"""),"2014-15")</f>
        <v>2014-15</v>
      </c>
      <c r="D553" s="163" t="str">
        <f>IFERROR(__xludf.DUMMYFUNCTION("""COMPUTED_VALUE"""),"WAS")</f>
        <v>WAS</v>
      </c>
      <c r="E553" s="164" t="str">
        <f>IFERROR(__xludf.DUMMYFUNCTION("""COMPUTED_VALUE"""),"Roll + Cut Big")</f>
        <v>Roll + Cut Big</v>
      </c>
      <c r="F553" s="164">
        <f>IFERROR(__xludf.DUMMYFUNCTION("""COMPUTED_VALUE"""),1344.95666666667)</f>
        <v>1344.956667</v>
      </c>
      <c r="G553" s="163">
        <f>IFERROR(__xludf.DUMMYFUNCTION("""COMPUTED_VALUE"""),64.0)</f>
        <v>64</v>
      </c>
      <c r="H553" s="163" t="str">
        <f>IFERROR(__xludf.DUMMYFUNCTION("""COMPUTED_VALUE"""),"PF")</f>
        <v>PF</v>
      </c>
      <c r="I553" s="163">
        <f>IFERROR(__xludf.DUMMYFUNCTION("""COMPUTED_VALUE"""),29.0)</f>
        <v>29</v>
      </c>
      <c r="J553" s="165">
        <f>IFERROR(__xludf.DUMMYFUNCTION("""COMPUTED_VALUE"""),-0.982849727385036)</f>
        <v>-0.9828497274</v>
      </c>
      <c r="K553" s="165">
        <f>IFERROR(__xludf.DUMMYFUNCTION("""COMPUTED_VALUE"""),-1.42670817497745)</f>
        <v>-1.426708175</v>
      </c>
      <c r="L553" s="165">
        <f>IFERROR(__xludf.DUMMYFUNCTION("""COMPUTED_VALUE"""),0.443858447592411)</f>
        <v>0.4438584476</v>
      </c>
      <c r="M553" s="166">
        <f t="shared" si="2"/>
        <v>1.183463912</v>
      </c>
      <c r="N553" s="167">
        <f t="shared" si="3"/>
        <v>21.01494792</v>
      </c>
      <c r="O553" s="163">
        <f t="shared" ref="O553:Q553" si="557">rank(I553,I:I)</f>
        <v>855</v>
      </c>
      <c r="P553" s="163">
        <f t="shared" si="557"/>
        <v>2487</v>
      </c>
      <c r="Q553" s="163">
        <f t="shared" si="557"/>
        <v>3278</v>
      </c>
      <c r="R553" s="163">
        <f>IFERROR(__xludf.DUMMYFUNCTION("RANK(M553,filter(M:M,C:C=C553))"),220.0)</f>
        <v>220</v>
      </c>
      <c r="S553" s="161" t="b">
        <f t="shared" si="5"/>
        <v>0</v>
      </c>
      <c r="T553" s="161" t="b">
        <f t="array" ref="T553">index('Query Tool'!B:B,match(H553,'Query Tool'!C:C,0))</f>
        <v>1</v>
      </c>
      <c r="U553" s="161" t="b">
        <f t="array" ref="U553">index('Query Tool'!B:B,match(C553,'Query Tool'!C:C,0))</f>
        <v>0</v>
      </c>
      <c r="V553" s="161" t="b">
        <f>F553&gt;='Query Tool'!C$32</f>
        <v>1</v>
      </c>
      <c r="W553" s="161" t="b">
        <f t="array" ref="W553">index(Dropdowns!B:B,match(I553,Dropdowns!A:A,0))</f>
        <v>1</v>
      </c>
      <c r="X553" s="161" t="b">
        <f t="array" ref="X553">index('Query Tool'!B:B,match(D553,'Query Tool'!C:C,0))</f>
        <v>1</v>
      </c>
      <c r="Y553" s="161" t="str">
        <f t="shared" si="6"/>
        <v>humphkr01,2014-15</v>
      </c>
      <c r="Z553" s="168">
        <f t="array" ref="Z553">iferror(index(I:I,match($A553&amp;","&amp;index('Year Conversion'!$A:$A,match($C553,'Year Conversion'!$B:$B,0)),$Y:$Y,0))-I553,"")</f>
        <v>1</v>
      </c>
      <c r="AA553" s="168">
        <f t="array" ref="AA553">iferror(index(J:J,match($A553&amp;","&amp;index('Year Conversion'!$A:$A,match($C553,'Year Conversion'!$B:$B,0)),$Y:$Y,0))-J553,"")</f>
        <v>-0.02444676658</v>
      </c>
      <c r="AB553" s="168">
        <f t="array" ref="AB553">iferror(index(K:K,match($A553&amp;","&amp;index('Year Conversion'!$A:$A,match($C553,'Year Conversion'!$B:$B,0)),$Y:$Y,0))-K553,"")</f>
        <v>0.6750805375</v>
      </c>
      <c r="AC553" s="168" t="str">
        <f t="shared" si="7"/>
        <v>WAS,2014-15</v>
      </c>
    </row>
    <row r="554">
      <c r="A554" s="161" t="str">
        <f>IFERROR(__xludf.DUMMYFUNCTION("""COMPUTED_VALUE"""),"jeffeal01")</f>
        <v>jeffeal01</v>
      </c>
      <c r="B554" s="161" t="str">
        <f>IFERROR(__xludf.DUMMYFUNCTION("""COMPUTED_VALUE"""),"Al Jefferson")</f>
        <v>Al Jefferson</v>
      </c>
      <c r="C554" s="162" t="str">
        <f>IFERROR(__xludf.DUMMYFUNCTION("""COMPUTED_VALUE"""),"2014-15")</f>
        <v>2014-15</v>
      </c>
      <c r="D554" s="163" t="str">
        <f>IFERROR(__xludf.DUMMYFUNCTION("""COMPUTED_VALUE"""),"CHO")</f>
        <v>CHO</v>
      </c>
      <c r="E554" s="164" t="str">
        <f>IFERROR(__xludf.DUMMYFUNCTION("""COMPUTED_VALUE"""),"Post Scorer")</f>
        <v>Post Scorer</v>
      </c>
      <c r="F554" s="164">
        <f>IFERROR(__xludf.DUMMYFUNCTION("""COMPUTED_VALUE"""),1991.77333333333)</f>
        <v>1991.773333</v>
      </c>
      <c r="G554" s="163">
        <f>IFERROR(__xludf.DUMMYFUNCTION("""COMPUTED_VALUE"""),65.0)</f>
        <v>65</v>
      </c>
      <c r="H554" s="163" t="str">
        <f>IFERROR(__xludf.DUMMYFUNCTION("""COMPUTED_VALUE"""),"C")</f>
        <v>C</v>
      </c>
      <c r="I554" s="163">
        <f>IFERROR(__xludf.DUMMYFUNCTION("""COMPUTED_VALUE"""),30.0)</f>
        <v>30</v>
      </c>
      <c r="J554" s="165">
        <f>IFERROR(__xludf.DUMMYFUNCTION("""COMPUTED_VALUE"""),0.964673694677073)</f>
        <v>0.9646736947</v>
      </c>
      <c r="K554" s="165">
        <f>IFERROR(__xludf.DUMMYFUNCTION("""COMPUTED_VALUE"""),-0.677260203155883)</f>
        <v>-0.6772602032</v>
      </c>
      <c r="L554" s="165">
        <f>IFERROR(__xludf.DUMMYFUNCTION("""COMPUTED_VALUE"""),1.64193389783296)</f>
        <v>1.641933898</v>
      </c>
      <c r="M554" s="166">
        <f t="shared" si="2"/>
        <v>4.36437446</v>
      </c>
      <c r="N554" s="167">
        <f t="shared" si="3"/>
        <v>30.64266667</v>
      </c>
      <c r="O554" s="163">
        <f t="shared" ref="O554:Q554" si="558">rank(I554,I:I)</f>
        <v>655</v>
      </c>
      <c r="P554" s="163">
        <f t="shared" si="558"/>
        <v>672</v>
      </c>
      <c r="Q554" s="163">
        <f t="shared" si="558"/>
        <v>2381</v>
      </c>
      <c r="R554" s="163">
        <f>IFERROR(__xludf.DUMMYFUNCTION("RANK(M554,filter(M:M,C:C=C554))"),75.0)</f>
        <v>75</v>
      </c>
      <c r="S554" s="161" t="b">
        <f t="shared" si="5"/>
        <v>0</v>
      </c>
      <c r="T554" s="161" t="b">
        <f t="array" ref="T554">index('Query Tool'!B:B,match(H554,'Query Tool'!C:C,0))</f>
        <v>1</v>
      </c>
      <c r="U554" s="161" t="b">
        <f t="array" ref="U554">index('Query Tool'!B:B,match(C554,'Query Tool'!C:C,0))</f>
        <v>0</v>
      </c>
      <c r="V554" s="161" t="b">
        <f>F554&gt;='Query Tool'!C$32</f>
        <v>1</v>
      </c>
      <c r="W554" s="161" t="b">
        <f t="array" ref="W554">index(Dropdowns!B:B,match(I554,Dropdowns!A:A,0))</f>
        <v>1</v>
      </c>
      <c r="X554" s="161" t="b">
        <f t="array" ref="X554">index('Query Tool'!B:B,match(D554,'Query Tool'!C:C,0))</f>
        <v>1</v>
      </c>
      <c r="Y554" s="161" t="str">
        <f t="shared" si="6"/>
        <v>jeffeal01,2014-15</v>
      </c>
      <c r="Z554" s="168">
        <f t="array" ref="Z554">iferror(index(I:I,match($A554&amp;","&amp;index('Year Conversion'!$A:$A,match($C554,'Year Conversion'!$B:$B,0)),$Y:$Y,0))-I554,"")</f>
        <v>1</v>
      </c>
      <c r="AA554" s="168">
        <f t="array" ref="AA554">iferror(index(J:J,match($A554&amp;","&amp;index('Year Conversion'!$A:$A,match($C554,'Year Conversion'!$B:$B,0)),$Y:$Y,0))-J554,"")</f>
        <v>-0.7544182692</v>
      </c>
      <c r="AB554" s="168">
        <f t="array" ref="AB554">iferror(index(K:K,match($A554&amp;","&amp;index('Year Conversion'!$A:$A,match($C554,'Year Conversion'!$B:$B,0)),$Y:$Y,0))-K554,"")</f>
        <v>-0.07166246281</v>
      </c>
      <c r="AC554" s="168" t="str">
        <f t="shared" si="7"/>
        <v>CHO,2014-15</v>
      </c>
    </row>
    <row r="555">
      <c r="A555" s="161" t="str">
        <f>IFERROR(__xludf.DUMMYFUNCTION("""COMPUTED_VALUE"""),"smithjo03")</f>
        <v>smithjo03</v>
      </c>
      <c r="B555" s="161" t="str">
        <f>IFERROR(__xludf.DUMMYFUNCTION("""COMPUTED_VALUE"""),"Josh Smith")</f>
        <v>Josh Smith</v>
      </c>
      <c r="C555" s="162" t="str">
        <f>IFERROR(__xludf.DUMMYFUNCTION("""COMPUTED_VALUE"""),"2014-15")</f>
        <v>2014-15</v>
      </c>
      <c r="D555" s="163" t="str">
        <f>IFERROR(__xludf.DUMMYFUNCTION("""COMPUTED_VALUE"""),"TOT")</f>
        <v>TOT</v>
      </c>
      <c r="E555" s="164" t="str">
        <f>IFERROR(__xludf.DUMMYFUNCTION("""COMPUTED_VALUE"""),"Roll + Cut Big")</f>
        <v>Roll + Cut Big</v>
      </c>
      <c r="F555" s="164">
        <f>IFERROR(__xludf.DUMMYFUNCTION("""COMPUTED_VALUE"""),2300.52166666667)</f>
        <v>2300.521667</v>
      </c>
      <c r="G555" s="163">
        <f>IFERROR(__xludf.DUMMYFUNCTION("""COMPUTED_VALUE"""),83.0)</f>
        <v>83</v>
      </c>
      <c r="H555" s="163" t="str">
        <f>IFERROR(__xludf.DUMMYFUNCTION("""COMPUTED_VALUE"""),"PF")</f>
        <v>PF</v>
      </c>
      <c r="I555" s="163">
        <f>IFERROR(__xludf.DUMMYFUNCTION("""COMPUTED_VALUE"""),29.0)</f>
        <v>29</v>
      </c>
      <c r="J555" s="165">
        <f>IFERROR(__xludf.DUMMYFUNCTION("""COMPUTED_VALUE"""),-0.593033471153151)</f>
        <v>-0.5930334712</v>
      </c>
      <c r="K555" s="165">
        <f>IFERROR(__xludf.DUMMYFUNCTION("""COMPUTED_VALUE"""),-1.41036155626007)</f>
        <v>-1.410361556</v>
      </c>
      <c r="L555" s="165">
        <f>IFERROR(__xludf.DUMMYFUNCTION("""COMPUTED_VALUE"""),0.817328085106923)</f>
        <v>0.8173280851</v>
      </c>
      <c r="M555" s="166">
        <f t="shared" si="2"/>
        <v>2.627298715</v>
      </c>
      <c r="N555" s="167">
        <f t="shared" si="3"/>
        <v>27.71712851</v>
      </c>
      <c r="O555" s="163">
        <f t="shared" ref="O555:Q555" si="559">rank(I555,I:I)</f>
        <v>855</v>
      </c>
      <c r="P555" s="163">
        <f t="shared" si="559"/>
        <v>1984</v>
      </c>
      <c r="Q555" s="163">
        <f t="shared" si="559"/>
        <v>3259</v>
      </c>
      <c r="R555" s="163">
        <f>IFERROR(__xludf.DUMMYFUNCTION("RANK(M555,filter(M:M,C:C=C555))"),131.0)</f>
        <v>131</v>
      </c>
      <c r="S555" s="161" t="b">
        <f t="shared" si="5"/>
        <v>0</v>
      </c>
      <c r="T555" s="161" t="b">
        <f t="array" ref="T555">index('Query Tool'!B:B,match(H555,'Query Tool'!C:C,0))</f>
        <v>1</v>
      </c>
      <c r="U555" s="161" t="b">
        <f t="array" ref="U555">index('Query Tool'!B:B,match(C555,'Query Tool'!C:C,0))</f>
        <v>0</v>
      </c>
      <c r="V555" s="161" t="b">
        <f>F555&gt;='Query Tool'!C$32</f>
        <v>1</v>
      </c>
      <c r="W555" s="161" t="b">
        <f t="array" ref="W555">index(Dropdowns!B:B,match(I555,Dropdowns!A:A,0))</f>
        <v>1</v>
      </c>
      <c r="X555" s="161" t="b">
        <f t="array" ref="X555">index('Query Tool'!B:B,match(D555,'Query Tool'!C:C,0))</f>
        <v>1</v>
      </c>
      <c r="Y555" s="161" t="str">
        <f t="shared" si="6"/>
        <v>smithjo03,2014-15</v>
      </c>
      <c r="Z555" s="168">
        <f t="array" ref="Z555">iferror(index(I:I,match($A555&amp;","&amp;index('Year Conversion'!$A:$A,match($C555,'Year Conversion'!$B:$B,0)),$Y:$Y,0))-I555,"")</f>
        <v>1</v>
      </c>
      <c r="AA555" s="168">
        <f t="array" ref="AA555">iferror(index(J:J,match($A555&amp;","&amp;index('Year Conversion'!$A:$A,match($C555,'Year Conversion'!$B:$B,0)),$Y:$Y,0))-J555,"")</f>
        <v>0.4671680298</v>
      </c>
      <c r="AB555" s="168">
        <f t="array" ref="AB555">iferror(index(K:K,match($A555&amp;","&amp;index('Year Conversion'!$A:$A,match($C555,'Year Conversion'!$B:$B,0)),$Y:$Y,0))-K555,"")</f>
        <v>0.1189886784</v>
      </c>
      <c r="AC555" s="168" t="str">
        <f t="shared" si="7"/>
        <v>TOT,2014-15</v>
      </c>
    </row>
    <row r="556">
      <c r="A556" s="161" t="str">
        <f>IFERROR(__xludf.DUMMYFUNCTION("""COMPUTED_VALUE"""),"smithjr01")</f>
        <v>smithjr01</v>
      </c>
      <c r="B556" s="161" t="str">
        <f>IFERROR(__xludf.DUMMYFUNCTION("""COMPUTED_VALUE"""),"JR Smith")</f>
        <v>JR Smith</v>
      </c>
      <c r="C556" s="162" t="str">
        <f>IFERROR(__xludf.DUMMYFUNCTION("""COMPUTED_VALUE"""),"2014-15")</f>
        <v>2014-15</v>
      </c>
      <c r="D556" s="163" t="str">
        <f>IFERROR(__xludf.DUMMYFUNCTION("""COMPUTED_VALUE"""),"TOT")</f>
        <v>TOT</v>
      </c>
      <c r="E556" s="164" t="str">
        <f>IFERROR(__xludf.DUMMYFUNCTION("""COMPUTED_VALUE"""),"Shot Creator")</f>
        <v>Shot Creator</v>
      </c>
      <c r="F556" s="164">
        <f>IFERROR(__xludf.DUMMYFUNCTION("""COMPUTED_VALUE"""),2079.45666666667)</f>
        <v>2079.456667</v>
      </c>
      <c r="G556" s="163">
        <f>IFERROR(__xludf.DUMMYFUNCTION("""COMPUTED_VALUE"""),70.0)</f>
        <v>70</v>
      </c>
      <c r="H556" s="163" t="str">
        <f>IFERROR(__xludf.DUMMYFUNCTION("""COMPUTED_VALUE"""),"SG")</f>
        <v>SG</v>
      </c>
      <c r="I556" s="163">
        <f>IFERROR(__xludf.DUMMYFUNCTION("""COMPUTED_VALUE"""),29.0)</f>
        <v>29</v>
      </c>
      <c r="J556" s="165">
        <f>IFERROR(__xludf.DUMMYFUNCTION("""COMPUTED_VALUE"""),-3.21405185328194E-4)</f>
        <v>-0.0003214051853</v>
      </c>
      <c r="K556" s="165">
        <f>IFERROR(__xludf.DUMMYFUNCTION("""COMPUTED_VALUE"""),0.58016812360028)</f>
        <v>0.5801681236</v>
      </c>
      <c r="L556" s="165">
        <f>IFERROR(__xludf.DUMMYFUNCTION("""COMPUTED_VALUE"""),-0.580489528785608)</f>
        <v>-0.5804895288</v>
      </c>
      <c r="M556" s="166">
        <f t="shared" si="2"/>
        <v>3.205378434</v>
      </c>
      <c r="N556" s="167">
        <f t="shared" si="3"/>
        <v>29.70652381</v>
      </c>
      <c r="O556" s="163">
        <f t="shared" ref="O556:Q556" si="560">rank(I556,I:I)</f>
        <v>855</v>
      </c>
      <c r="P556" s="163">
        <f t="shared" si="560"/>
        <v>1282</v>
      </c>
      <c r="Q556" s="163">
        <f t="shared" si="560"/>
        <v>725</v>
      </c>
      <c r="R556" s="163">
        <f>IFERROR(__xludf.DUMMYFUNCTION("RANK(M556,filter(M:M,C:C=C556))"),106.0)</f>
        <v>106</v>
      </c>
      <c r="S556" s="161" t="b">
        <f t="shared" si="5"/>
        <v>0</v>
      </c>
      <c r="T556" s="161" t="b">
        <f t="array" ref="T556">index('Query Tool'!B:B,match(H556,'Query Tool'!C:C,0))</f>
        <v>1</v>
      </c>
      <c r="U556" s="161" t="b">
        <f t="array" ref="U556">index('Query Tool'!B:B,match(C556,'Query Tool'!C:C,0))</f>
        <v>0</v>
      </c>
      <c r="V556" s="161" t="b">
        <f>F556&gt;='Query Tool'!C$32</f>
        <v>1</v>
      </c>
      <c r="W556" s="161" t="b">
        <f t="array" ref="W556">index(Dropdowns!B:B,match(I556,Dropdowns!A:A,0))</f>
        <v>1</v>
      </c>
      <c r="X556" s="161" t="b">
        <f t="array" ref="X556">index('Query Tool'!B:B,match(D556,'Query Tool'!C:C,0))</f>
        <v>1</v>
      </c>
      <c r="Y556" s="161" t="str">
        <f t="shared" si="6"/>
        <v>smithjr01,2014-15</v>
      </c>
      <c r="Z556" s="168">
        <f t="array" ref="Z556">iferror(index(I:I,match($A556&amp;","&amp;index('Year Conversion'!$A:$A,match($C556,'Year Conversion'!$B:$B,0)),$Y:$Y,0))-I556,"")</f>
        <v>1</v>
      </c>
      <c r="AA556" s="168">
        <f t="array" ref="AA556">iferror(index(J:J,match($A556&amp;","&amp;index('Year Conversion'!$A:$A,match($C556,'Year Conversion'!$B:$B,0)),$Y:$Y,0))-J556,"")</f>
        <v>0.4413859268</v>
      </c>
      <c r="AB556" s="168">
        <f t="array" ref="AB556">iferror(index(K:K,match($A556&amp;","&amp;index('Year Conversion'!$A:$A,match($C556,'Year Conversion'!$B:$B,0)),$Y:$Y,0))-K556,"")</f>
        <v>0.09849099264</v>
      </c>
      <c r="AC556" s="168" t="str">
        <f t="shared" si="7"/>
        <v>TOT,2014-15</v>
      </c>
    </row>
    <row r="557">
      <c r="A557" s="161" t="str">
        <f>IFERROR(__xludf.DUMMYFUNCTION("""COMPUTED_VALUE"""),"wrighdo01")</f>
        <v>wrighdo01</v>
      </c>
      <c r="B557" s="161" t="str">
        <f>IFERROR(__xludf.DUMMYFUNCTION("""COMPUTED_VALUE"""),"Dorell Wright")</f>
        <v>Dorell Wright</v>
      </c>
      <c r="C557" s="162" t="str">
        <f>IFERROR(__xludf.DUMMYFUNCTION("""COMPUTED_VALUE"""),"2014-15")</f>
        <v>2014-15</v>
      </c>
      <c r="D557" s="163" t="str">
        <f>IFERROR(__xludf.DUMMYFUNCTION("""COMPUTED_VALUE"""),"POR")</f>
        <v>POR</v>
      </c>
      <c r="E557" s="164" t="str">
        <f>IFERROR(__xludf.DUMMYFUNCTION("""COMPUTED_VALUE"""),"Stationary Shooter")</f>
        <v>Stationary Shooter</v>
      </c>
      <c r="F557" s="164">
        <f>IFERROR(__xludf.DUMMYFUNCTION("""COMPUTED_VALUE"""),592.486666666667)</f>
        <v>592.4866667</v>
      </c>
      <c r="G557" s="163">
        <f>IFERROR(__xludf.DUMMYFUNCTION("""COMPUTED_VALUE"""),48.0)</f>
        <v>48</v>
      </c>
      <c r="H557" s="163" t="str">
        <f>IFERROR(__xludf.DUMMYFUNCTION("""COMPUTED_VALUE"""),"SF")</f>
        <v>SF</v>
      </c>
      <c r="I557" s="163">
        <f>IFERROR(__xludf.DUMMYFUNCTION("""COMPUTED_VALUE"""),29.0)</f>
        <v>29</v>
      </c>
      <c r="J557" s="165">
        <f>IFERROR(__xludf.DUMMYFUNCTION("""COMPUTED_VALUE"""),0.966950447072237)</f>
        <v>0.9669504471</v>
      </c>
      <c r="K557" s="165">
        <f>IFERROR(__xludf.DUMMYFUNCTION("""COMPUTED_VALUE"""),0.481206883696228)</f>
        <v>0.4812068837</v>
      </c>
      <c r="L557" s="165">
        <f>IFERROR(__xludf.DUMMYFUNCTION("""COMPUTED_VALUE"""),0.485743563376009)</f>
        <v>0.4857435634</v>
      </c>
      <c r="M557" s="166">
        <f t="shared" si="2"/>
        <v>1.299162921</v>
      </c>
      <c r="N557" s="167">
        <f t="shared" si="3"/>
        <v>12.34347222</v>
      </c>
      <c r="O557" s="163">
        <f t="shared" ref="O557:Q557" si="561">rank(I557,I:I)</f>
        <v>855</v>
      </c>
      <c r="P557" s="163">
        <f t="shared" si="561"/>
        <v>670</v>
      </c>
      <c r="Q557" s="163">
        <f t="shared" si="561"/>
        <v>776</v>
      </c>
      <c r="R557" s="163">
        <f>IFERROR(__xludf.DUMMYFUNCTION("RANK(M557,filter(M:M,C:C=C557))"),214.0)</f>
        <v>214</v>
      </c>
      <c r="S557" s="161" t="b">
        <f t="shared" si="5"/>
        <v>0</v>
      </c>
      <c r="T557" s="161" t="b">
        <f t="array" ref="T557">index('Query Tool'!B:B,match(H557,'Query Tool'!C:C,0))</f>
        <v>1</v>
      </c>
      <c r="U557" s="161" t="b">
        <f t="array" ref="U557">index('Query Tool'!B:B,match(C557,'Query Tool'!C:C,0))</f>
        <v>0</v>
      </c>
      <c r="V557" s="161" t="b">
        <f>F557&gt;='Query Tool'!C$32</f>
        <v>1</v>
      </c>
      <c r="W557" s="161" t="b">
        <f t="array" ref="W557">index(Dropdowns!B:B,match(I557,Dropdowns!A:A,0))</f>
        <v>1</v>
      </c>
      <c r="X557" s="161" t="b">
        <f t="array" ref="X557">index('Query Tool'!B:B,match(D557,'Query Tool'!C:C,0))</f>
        <v>1</v>
      </c>
      <c r="Y557" s="161" t="str">
        <f t="shared" si="6"/>
        <v>wrighdo01,2014-15</v>
      </c>
      <c r="Z557" s="168" t="str">
        <f t="array" ref="Z557">iferror(index(I:I,match($A557&amp;","&amp;index('Year Conversion'!$A:$A,match($C557,'Year Conversion'!$B:$B,0)),$Y:$Y,0))-I557,"")</f>
        <v/>
      </c>
      <c r="AA557" s="168" t="str">
        <f t="array" ref="AA557">iferror(index(J:J,match($A557&amp;","&amp;index('Year Conversion'!$A:$A,match($C557,'Year Conversion'!$B:$B,0)),$Y:$Y,0))-J557,"")</f>
        <v/>
      </c>
      <c r="AB557" s="168" t="str">
        <f t="array" ref="AB557">iferror(index(K:K,match($A557&amp;","&amp;index('Year Conversion'!$A:$A,match($C557,'Year Conversion'!$B:$B,0)),$Y:$Y,0))-K557,"")</f>
        <v/>
      </c>
      <c r="AC557" s="168" t="str">
        <f t="shared" si="7"/>
        <v>POR,2014-15</v>
      </c>
    </row>
    <row r="558">
      <c r="A558" s="161" t="str">
        <f>IFERROR(__xludf.DUMMYFUNCTION("""COMPUTED_VALUE"""),"nelsoja01")</f>
        <v>nelsoja01</v>
      </c>
      <c r="B558" s="161" t="str">
        <f>IFERROR(__xludf.DUMMYFUNCTION("""COMPUTED_VALUE"""),"Jameer Nelson")</f>
        <v>Jameer Nelson</v>
      </c>
      <c r="C558" s="162" t="str">
        <f>IFERROR(__xludf.DUMMYFUNCTION("""COMPUTED_VALUE"""),"2014-15")</f>
        <v>2014-15</v>
      </c>
      <c r="D558" s="163" t="str">
        <f>IFERROR(__xludf.DUMMYFUNCTION("""COMPUTED_VALUE"""),"TOT")</f>
        <v>TOT</v>
      </c>
      <c r="E558" s="164" t="str">
        <f>IFERROR(__xludf.DUMMYFUNCTION("""COMPUTED_VALUE"""),"Secondary Ball Handler")</f>
        <v>Secondary Ball Handler</v>
      </c>
      <c r="F558" s="164">
        <f>IFERROR(__xludf.DUMMYFUNCTION("""COMPUTED_VALUE"""),1406.015)</f>
        <v>1406.015</v>
      </c>
      <c r="G558" s="163">
        <f>IFERROR(__xludf.DUMMYFUNCTION("""COMPUTED_VALUE"""),63.0)</f>
        <v>63</v>
      </c>
      <c r="H558" s="163" t="str">
        <f>IFERROR(__xludf.DUMMYFUNCTION("""COMPUTED_VALUE"""),"PG")</f>
        <v>PG</v>
      </c>
      <c r="I558" s="163">
        <f>IFERROR(__xludf.DUMMYFUNCTION("""COMPUTED_VALUE"""),32.0)</f>
        <v>32</v>
      </c>
      <c r="J558" s="165">
        <f>IFERROR(__xludf.DUMMYFUNCTION("""COMPUTED_VALUE"""),-0.252330782738463)</f>
        <v>-0.2523307827</v>
      </c>
      <c r="K558" s="165">
        <f>IFERROR(__xludf.DUMMYFUNCTION("""COMPUTED_VALUE"""),0.675410457545045)</f>
        <v>0.6754104575</v>
      </c>
      <c r="L558" s="165">
        <f>IFERROR(__xludf.DUMMYFUNCTION("""COMPUTED_VALUE"""),-0.927741240283508)</f>
        <v>-0.9277412403</v>
      </c>
      <c r="M558" s="166">
        <f t="shared" si="2"/>
        <v>1.928437966</v>
      </c>
      <c r="N558" s="167">
        <f t="shared" si="3"/>
        <v>22.31769841</v>
      </c>
      <c r="O558" s="163">
        <f t="shared" ref="O558:Q558" si="562">rank(I558,I:I)</f>
        <v>359</v>
      </c>
      <c r="P558" s="163">
        <f t="shared" si="562"/>
        <v>1560</v>
      </c>
      <c r="Q558" s="163">
        <f t="shared" si="562"/>
        <v>666</v>
      </c>
      <c r="R558" s="163">
        <f>IFERROR(__xludf.DUMMYFUNCTION("RANK(M558,filter(M:M,C:C=C558))"),169.0)</f>
        <v>169</v>
      </c>
      <c r="S558" s="161" t="b">
        <f t="shared" si="5"/>
        <v>0</v>
      </c>
      <c r="T558" s="161" t="b">
        <f t="array" ref="T558">index('Query Tool'!B:B,match(H558,'Query Tool'!C:C,0))</f>
        <v>1</v>
      </c>
      <c r="U558" s="161" t="b">
        <f t="array" ref="U558">index('Query Tool'!B:B,match(C558,'Query Tool'!C:C,0))</f>
        <v>0</v>
      </c>
      <c r="V558" s="161" t="b">
        <f>F558&gt;='Query Tool'!C$32</f>
        <v>1</v>
      </c>
      <c r="W558" s="161" t="b">
        <f t="array" ref="W558">index(Dropdowns!B:B,match(I558,Dropdowns!A:A,0))</f>
        <v>1</v>
      </c>
      <c r="X558" s="161" t="b">
        <f t="array" ref="X558">index('Query Tool'!B:B,match(D558,'Query Tool'!C:C,0))</f>
        <v>1</v>
      </c>
      <c r="Y558" s="161" t="str">
        <f t="shared" si="6"/>
        <v>nelsoja01,2014-15</v>
      </c>
      <c r="Z558" s="168">
        <f t="array" ref="Z558">iferror(index(I:I,match($A558&amp;","&amp;index('Year Conversion'!$A:$A,match($C558,'Year Conversion'!$B:$B,0)),$Y:$Y,0))-I558,"")</f>
        <v>1</v>
      </c>
      <c r="AA558" s="168">
        <f t="array" ref="AA558">iferror(index(J:J,match($A558&amp;","&amp;index('Year Conversion'!$A:$A,match($C558,'Year Conversion'!$B:$B,0)),$Y:$Y,0))-J558,"")</f>
        <v>-0.8810510621</v>
      </c>
      <c r="AB558" s="168">
        <f t="array" ref="AB558">iferror(index(K:K,match($A558&amp;","&amp;index('Year Conversion'!$A:$A,match($C558,'Year Conversion'!$B:$B,0)),$Y:$Y,0))-K558,"")</f>
        <v>-1.103591731</v>
      </c>
      <c r="AC558" s="168" t="str">
        <f t="shared" si="7"/>
        <v>TOT,2014-15</v>
      </c>
    </row>
    <row r="559">
      <c r="A559" s="161" t="str">
        <f>IFERROR(__xludf.DUMMYFUNCTION("""COMPUTED_VALUE"""),"allento01")</f>
        <v>allento01</v>
      </c>
      <c r="B559" s="161" t="str">
        <f>IFERROR(__xludf.DUMMYFUNCTION("""COMPUTED_VALUE"""),"Tony Allen")</f>
        <v>Tony Allen</v>
      </c>
      <c r="C559" s="162" t="str">
        <f>IFERROR(__xludf.DUMMYFUNCTION("""COMPUTED_VALUE"""),"2014-15")</f>
        <v>2014-15</v>
      </c>
      <c r="D559" s="163" t="str">
        <f>IFERROR(__xludf.DUMMYFUNCTION("""COMPUTED_VALUE"""),"MEM")</f>
        <v>MEM</v>
      </c>
      <c r="E559" s="164" t="str">
        <f>IFERROR(__xludf.DUMMYFUNCTION("""COMPUTED_VALUE"""),"Roll + Cut Big")</f>
        <v>Roll + Cut Big</v>
      </c>
      <c r="F559" s="164">
        <f>IFERROR(__xludf.DUMMYFUNCTION("""COMPUTED_VALUE"""),1647.69833333333)</f>
        <v>1647.698333</v>
      </c>
      <c r="G559" s="163">
        <f>IFERROR(__xludf.DUMMYFUNCTION("""COMPUTED_VALUE"""),63.0)</f>
        <v>63</v>
      </c>
      <c r="H559" s="163" t="str">
        <f>IFERROR(__xludf.DUMMYFUNCTION("""COMPUTED_VALUE"""),"SG")</f>
        <v>SG</v>
      </c>
      <c r="I559" s="163">
        <f>IFERROR(__xludf.DUMMYFUNCTION("""COMPUTED_VALUE"""),33.0)</f>
        <v>33</v>
      </c>
      <c r="J559" s="165">
        <f>IFERROR(__xludf.DUMMYFUNCTION("""COMPUTED_VALUE"""),2.19552870100132)</f>
        <v>2.195528701</v>
      </c>
      <c r="K559" s="165">
        <f>IFERROR(__xludf.DUMMYFUNCTION("""COMPUTED_VALUE"""),-1.11294122238171)</f>
        <v>-1.112941222</v>
      </c>
      <c r="L559" s="165">
        <f>IFERROR(__xludf.DUMMYFUNCTION("""COMPUTED_VALUE"""),3.30846992338303)</f>
        <v>3.308469923</v>
      </c>
      <c r="M559" s="166">
        <f t="shared" si="2"/>
        <v>4.962927769</v>
      </c>
      <c r="N559" s="167">
        <f t="shared" si="3"/>
        <v>26.1539418</v>
      </c>
      <c r="O559" s="163">
        <f t="shared" ref="O559:Q559" si="563">rank(I559,I:I)</f>
        <v>246</v>
      </c>
      <c r="P559" s="163">
        <f t="shared" si="563"/>
        <v>273</v>
      </c>
      <c r="Q559" s="163">
        <f t="shared" si="563"/>
        <v>2942</v>
      </c>
      <c r="R559" s="163">
        <f>IFERROR(__xludf.DUMMYFUNCTION("RANK(M559,filter(M:M,C:C=C559))"),58.0)</f>
        <v>58</v>
      </c>
      <c r="S559" s="161" t="b">
        <f t="shared" si="5"/>
        <v>0</v>
      </c>
      <c r="T559" s="161" t="b">
        <f t="array" ref="T559">index('Query Tool'!B:B,match(H559,'Query Tool'!C:C,0))</f>
        <v>1</v>
      </c>
      <c r="U559" s="161" t="b">
        <f t="array" ref="U559">index('Query Tool'!B:B,match(C559,'Query Tool'!C:C,0))</f>
        <v>0</v>
      </c>
      <c r="V559" s="161" t="b">
        <f>F559&gt;='Query Tool'!C$32</f>
        <v>1</v>
      </c>
      <c r="W559" s="161" t="b">
        <f t="array" ref="W559">index(Dropdowns!B:B,match(I559,Dropdowns!A:A,0))</f>
        <v>1</v>
      </c>
      <c r="X559" s="161" t="b">
        <f t="array" ref="X559">index('Query Tool'!B:B,match(D559,'Query Tool'!C:C,0))</f>
        <v>1</v>
      </c>
      <c r="Y559" s="161" t="str">
        <f t="shared" si="6"/>
        <v>allento01,2014-15</v>
      </c>
      <c r="Z559" s="168">
        <f t="array" ref="Z559">iferror(index(I:I,match($A559&amp;","&amp;index('Year Conversion'!$A:$A,match($C559,'Year Conversion'!$B:$B,0)),$Y:$Y,0))-I559,"")</f>
        <v>1</v>
      </c>
      <c r="AA559" s="168">
        <f t="array" ref="AA559">iferror(index(J:J,match($A559&amp;","&amp;index('Year Conversion'!$A:$A,match($C559,'Year Conversion'!$B:$B,0)),$Y:$Y,0))-J559,"")</f>
        <v>-2.325243795</v>
      </c>
      <c r="AB559" s="168">
        <f t="array" ref="AB559">iferror(index(K:K,match($A559&amp;","&amp;index('Year Conversion'!$A:$A,match($C559,'Year Conversion'!$B:$B,0)),$Y:$Y,0))-K559,"")</f>
        <v>0.0004363180004</v>
      </c>
      <c r="AC559" s="168" t="str">
        <f t="shared" si="7"/>
        <v>MEM,2014-15</v>
      </c>
    </row>
    <row r="560">
      <c r="A560" s="161" t="str">
        <f>IFERROR(__xludf.DUMMYFUNCTION("""COMPUTED_VALUE"""),"martike02")</f>
        <v>martike02</v>
      </c>
      <c r="B560" s="161" t="str">
        <f>IFERROR(__xludf.DUMMYFUNCTION("""COMPUTED_VALUE"""),"Kevin Martin")</f>
        <v>Kevin Martin</v>
      </c>
      <c r="C560" s="162" t="str">
        <f>IFERROR(__xludf.DUMMYFUNCTION("""COMPUTED_VALUE"""),"2014-15")</f>
        <v>2014-15</v>
      </c>
      <c r="D560" s="163" t="str">
        <f>IFERROR(__xludf.DUMMYFUNCTION("""COMPUTED_VALUE"""),"MIN")</f>
        <v>MIN</v>
      </c>
      <c r="E560" s="164" t="str">
        <f>IFERROR(__xludf.DUMMYFUNCTION("""COMPUTED_VALUE"""),"Shot Creator")</f>
        <v>Shot Creator</v>
      </c>
      <c r="F560" s="164">
        <f>IFERROR(__xludf.DUMMYFUNCTION("""COMPUTED_VALUE"""),1302.46666666667)</f>
        <v>1302.466667</v>
      </c>
      <c r="G560" s="163">
        <f>IFERROR(__xludf.DUMMYFUNCTION("""COMPUTED_VALUE"""),39.0)</f>
        <v>39</v>
      </c>
      <c r="H560" s="163" t="str">
        <f>IFERROR(__xludf.DUMMYFUNCTION("""COMPUTED_VALUE"""),"SG")</f>
        <v>SG</v>
      </c>
      <c r="I560" s="163">
        <f>IFERROR(__xludf.DUMMYFUNCTION("""COMPUTED_VALUE"""),31.0)</f>
        <v>31</v>
      </c>
      <c r="J560" s="165">
        <f>IFERROR(__xludf.DUMMYFUNCTION("""COMPUTED_VALUE"""),-2.00688966407711)</f>
        <v>-2.006889664</v>
      </c>
      <c r="K560" s="165">
        <f>IFERROR(__xludf.DUMMYFUNCTION("""COMPUTED_VALUE"""),0.722512144066143)</f>
        <v>0.7225121441</v>
      </c>
      <c r="L560" s="165">
        <f>IFERROR(__xludf.DUMMYFUNCTION("""COMPUTED_VALUE"""),-2.72940180814325)</f>
        <v>-2.729401808</v>
      </c>
      <c r="M560" s="166">
        <f t="shared" si="2"/>
        <v>0.2554944581</v>
      </c>
      <c r="N560" s="167">
        <f t="shared" si="3"/>
        <v>33.3965812</v>
      </c>
      <c r="O560" s="163">
        <f t="shared" ref="O560:Q560" si="564">rank(I560,I:I)</f>
        <v>490</v>
      </c>
      <c r="P560" s="163">
        <f t="shared" si="564"/>
        <v>3485</v>
      </c>
      <c r="Q560" s="163">
        <f t="shared" si="564"/>
        <v>636</v>
      </c>
      <c r="R560" s="163">
        <f>IFERROR(__xludf.DUMMYFUNCTION("RANK(M560,filter(M:M,C:C=C560))"),320.0)</f>
        <v>320</v>
      </c>
      <c r="S560" s="161" t="b">
        <f t="shared" si="5"/>
        <v>0</v>
      </c>
      <c r="T560" s="161" t="b">
        <f t="array" ref="T560">index('Query Tool'!B:B,match(H560,'Query Tool'!C:C,0))</f>
        <v>1</v>
      </c>
      <c r="U560" s="161" t="b">
        <f t="array" ref="U560">index('Query Tool'!B:B,match(C560,'Query Tool'!C:C,0))</f>
        <v>0</v>
      </c>
      <c r="V560" s="161" t="b">
        <f>F560&gt;='Query Tool'!C$32</f>
        <v>1</v>
      </c>
      <c r="W560" s="161" t="b">
        <f t="array" ref="W560">index(Dropdowns!B:B,match(I560,Dropdowns!A:A,0))</f>
        <v>1</v>
      </c>
      <c r="X560" s="161" t="b">
        <f t="array" ref="X560">index('Query Tool'!B:B,match(D560,'Query Tool'!C:C,0))</f>
        <v>1</v>
      </c>
      <c r="Y560" s="161" t="str">
        <f t="shared" si="6"/>
        <v>martike02,2014-15</v>
      </c>
      <c r="Z560" s="168">
        <f t="array" ref="Z560">iferror(index(I:I,match($A560&amp;","&amp;index('Year Conversion'!$A:$A,match($C560,'Year Conversion'!$B:$B,0)),$Y:$Y,0))-I560,"")</f>
        <v>1</v>
      </c>
      <c r="AA560" s="168">
        <f t="array" ref="AA560">iferror(index(J:J,match($A560&amp;","&amp;index('Year Conversion'!$A:$A,match($C560,'Year Conversion'!$B:$B,0)),$Y:$Y,0))-J560,"")</f>
        <v>-0.3933676302</v>
      </c>
      <c r="AB560" s="168">
        <f t="array" ref="AB560">iferror(index(K:K,match($A560&amp;","&amp;index('Year Conversion'!$A:$A,match($C560,'Year Conversion'!$B:$B,0)),$Y:$Y,0))-K560,"")</f>
        <v>-1.773184057</v>
      </c>
      <c r="AC560" s="168" t="str">
        <f t="shared" si="7"/>
        <v>MIN,2014-15</v>
      </c>
    </row>
    <row r="561">
      <c r="A561" s="161" t="str">
        <f>IFERROR(__xludf.DUMMYFUNCTION("""COMPUTED_VALUE"""),"udrihbe01")</f>
        <v>udrihbe01</v>
      </c>
      <c r="B561" s="161" t="str">
        <f>IFERROR(__xludf.DUMMYFUNCTION("""COMPUTED_VALUE"""),"Beno Udrih")</f>
        <v>Beno Udrih</v>
      </c>
      <c r="C561" s="162" t="str">
        <f>IFERROR(__xludf.DUMMYFUNCTION("""COMPUTED_VALUE"""),"2014-15")</f>
        <v>2014-15</v>
      </c>
      <c r="D561" s="163" t="str">
        <f>IFERROR(__xludf.DUMMYFUNCTION("""COMPUTED_VALUE"""),"MEM")</f>
        <v>MEM</v>
      </c>
      <c r="E561" s="164" t="str">
        <f>IFERROR(__xludf.DUMMYFUNCTION("""COMPUTED_VALUE"""),"Primary Ball Handler")</f>
        <v>Primary Ball Handler</v>
      </c>
      <c r="F561" s="164">
        <f>IFERROR(__xludf.DUMMYFUNCTION("""COMPUTED_VALUE"""),1494.46666666667)</f>
        <v>1494.466667</v>
      </c>
      <c r="G561" s="163">
        <f>IFERROR(__xludf.DUMMYFUNCTION("""COMPUTED_VALUE"""),79.0)</f>
        <v>79</v>
      </c>
      <c r="H561" s="163" t="str">
        <f>IFERROR(__xludf.DUMMYFUNCTION("""COMPUTED_VALUE"""),"PG")</f>
        <v>PG</v>
      </c>
      <c r="I561" s="163">
        <f>IFERROR(__xludf.DUMMYFUNCTION("""COMPUTED_VALUE"""),32.0)</f>
        <v>32</v>
      </c>
      <c r="J561" s="165">
        <f>IFERROR(__xludf.DUMMYFUNCTION("""COMPUTED_VALUE"""),-0.149433710970498)</f>
        <v>-0.149433711</v>
      </c>
      <c r="K561" s="165">
        <f>IFERROR(__xludf.DUMMYFUNCTION("""COMPUTED_VALUE"""),0.514936175645342)</f>
        <v>0.5149361756</v>
      </c>
      <c r="L561" s="165">
        <f>IFERROR(__xludf.DUMMYFUNCTION("""COMPUTED_VALUE"""),-0.664369886615841)</f>
        <v>-0.6643698866</v>
      </c>
      <c r="M561" s="166">
        <f t="shared" si="2"/>
        <v>2.153411551</v>
      </c>
      <c r="N561" s="167">
        <f t="shared" si="3"/>
        <v>18.91729958</v>
      </c>
      <c r="O561" s="163">
        <f t="shared" ref="O561:Q561" si="565">rank(I561,I:I)</f>
        <v>359</v>
      </c>
      <c r="P561" s="163">
        <f t="shared" si="565"/>
        <v>1441</v>
      </c>
      <c r="Q561" s="163">
        <f t="shared" si="565"/>
        <v>762</v>
      </c>
      <c r="R561" s="163">
        <f>IFERROR(__xludf.DUMMYFUNCTION("RANK(M561,filter(M:M,C:C=C561))"),161.0)</f>
        <v>161</v>
      </c>
      <c r="S561" s="161" t="b">
        <f t="shared" si="5"/>
        <v>0</v>
      </c>
      <c r="T561" s="161" t="b">
        <f t="array" ref="T561">index('Query Tool'!B:B,match(H561,'Query Tool'!C:C,0))</f>
        <v>1</v>
      </c>
      <c r="U561" s="161" t="b">
        <f t="array" ref="U561">index('Query Tool'!B:B,match(C561,'Query Tool'!C:C,0))</f>
        <v>0</v>
      </c>
      <c r="V561" s="161" t="b">
        <f>F561&gt;='Query Tool'!C$32</f>
        <v>1</v>
      </c>
      <c r="W561" s="161" t="b">
        <f t="array" ref="W561">index(Dropdowns!B:B,match(I561,Dropdowns!A:A,0))</f>
        <v>1</v>
      </c>
      <c r="X561" s="161" t="b">
        <f t="array" ref="X561">index('Query Tool'!B:B,match(D561,'Query Tool'!C:C,0))</f>
        <v>1</v>
      </c>
      <c r="Y561" s="161" t="str">
        <f t="shared" si="6"/>
        <v>udrihbe01,2014-15</v>
      </c>
      <c r="Z561" s="168">
        <f t="array" ref="Z561">iferror(index(I:I,match($A561&amp;","&amp;index('Year Conversion'!$A:$A,match($C561,'Year Conversion'!$B:$B,0)),$Y:$Y,0))-I561,"")</f>
        <v>1</v>
      </c>
      <c r="AA561" s="168">
        <f t="array" ref="AA561">iferror(index(J:J,match($A561&amp;","&amp;index('Year Conversion'!$A:$A,match($C561,'Year Conversion'!$B:$B,0)),$Y:$Y,0))-J561,"")</f>
        <v>-2.198717847</v>
      </c>
      <c r="AB561" s="168">
        <f t="array" ref="AB561">iferror(index(K:K,match($A561&amp;","&amp;index('Year Conversion'!$A:$A,match($C561,'Year Conversion'!$B:$B,0)),$Y:$Y,0))-K561,"")</f>
        <v>-1.899732757</v>
      </c>
      <c r="AC561" s="168" t="str">
        <f t="shared" si="7"/>
        <v>MEM,2014-15</v>
      </c>
    </row>
    <row r="562">
      <c r="A562" s="161" t="str">
        <f>IFERROR(__xludf.DUMMYFUNCTION("""COMPUTED_VALUE"""),"varejan01")</f>
        <v>varejan01</v>
      </c>
      <c r="B562" s="161" t="str">
        <f>IFERROR(__xludf.DUMMYFUNCTION("""COMPUTED_VALUE"""),"Anderson Varejao")</f>
        <v>Anderson Varejao</v>
      </c>
      <c r="C562" s="162" t="str">
        <f>IFERROR(__xludf.DUMMYFUNCTION("""COMPUTED_VALUE"""),"2014-15")</f>
        <v>2014-15</v>
      </c>
      <c r="D562" s="163" t="str">
        <f>IFERROR(__xludf.DUMMYFUNCTION("""COMPUTED_VALUE"""),"CLE")</f>
        <v>CLE</v>
      </c>
      <c r="E562" s="164" t="str">
        <f>IFERROR(__xludf.DUMMYFUNCTION("""COMPUTED_VALUE"""),"Roll + Cut Big")</f>
        <v>Roll + Cut Big</v>
      </c>
      <c r="F562" s="164">
        <f>IFERROR(__xludf.DUMMYFUNCTION("""COMPUTED_VALUE"""),635.601666666666)</f>
        <v>635.6016667</v>
      </c>
      <c r="G562" s="163">
        <f>IFERROR(__xludf.DUMMYFUNCTION("""COMPUTED_VALUE"""),26.0)</f>
        <v>26</v>
      </c>
      <c r="H562" s="163" t="str">
        <f>IFERROR(__xludf.DUMMYFUNCTION("""COMPUTED_VALUE"""),"C")</f>
        <v>C</v>
      </c>
      <c r="I562" s="163">
        <f>IFERROR(__xludf.DUMMYFUNCTION("""COMPUTED_VALUE"""),32.0)</f>
        <v>32</v>
      </c>
      <c r="J562" s="165">
        <f>IFERROR(__xludf.DUMMYFUNCTION("""COMPUTED_VALUE"""),-1.14058789578059)</f>
        <v>-1.140587896</v>
      </c>
      <c r="K562" s="165">
        <f>IFERROR(__xludf.DUMMYFUNCTION("""COMPUTED_VALUE"""),-1.26628790246703)</f>
        <v>-1.266287902</v>
      </c>
      <c r="L562" s="165">
        <f>IFERROR(__xludf.DUMMYFUNCTION("""COMPUTED_VALUE"""),0.125700006686441)</f>
        <v>0.1257000067</v>
      </c>
      <c r="M562" s="166">
        <f t="shared" si="2"/>
        <v>0.4920069458</v>
      </c>
      <c r="N562" s="167">
        <f t="shared" si="3"/>
        <v>24.44621795</v>
      </c>
      <c r="O562" s="163">
        <f t="shared" ref="O562:Q562" si="566">rank(I562,I:I)</f>
        <v>359</v>
      </c>
      <c r="P562" s="163">
        <f t="shared" si="566"/>
        <v>2671</v>
      </c>
      <c r="Q562" s="163">
        <f t="shared" si="566"/>
        <v>3104</v>
      </c>
      <c r="R562" s="163">
        <f>IFERROR(__xludf.DUMMYFUNCTION("RANK(M562,filter(M:M,C:C=C562))"),286.0)</f>
        <v>286</v>
      </c>
      <c r="S562" s="161" t="b">
        <f t="shared" si="5"/>
        <v>0</v>
      </c>
      <c r="T562" s="161" t="b">
        <f t="array" ref="T562">index('Query Tool'!B:B,match(H562,'Query Tool'!C:C,0))</f>
        <v>1</v>
      </c>
      <c r="U562" s="161" t="b">
        <f t="array" ref="U562">index('Query Tool'!B:B,match(C562,'Query Tool'!C:C,0))</f>
        <v>0</v>
      </c>
      <c r="V562" s="161" t="b">
        <f>F562&gt;='Query Tool'!C$32</f>
        <v>1</v>
      </c>
      <c r="W562" s="161" t="b">
        <f t="array" ref="W562">index(Dropdowns!B:B,match(I562,Dropdowns!A:A,0))</f>
        <v>1</v>
      </c>
      <c r="X562" s="161" t="b">
        <f t="array" ref="X562">index('Query Tool'!B:B,match(D562,'Query Tool'!C:C,0))</f>
        <v>1</v>
      </c>
      <c r="Y562" s="161" t="str">
        <f t="shared" si="6"/>
        <v>varejan01,2014-15</v>
      </c>
      <c r="Z562" s="168">
        <f t="array" ref="Z562">iferror(index(I:I,match($A562&amp;","&amp;index('Year Conversion'!$A:$A,match($C562,'Year Conversion'!$B:$B,0)),$Y:$Y,0))-I562,"")</f>
        <v>1</v>
      </c>
      <c r="AA562" s="168">
        <f t="array" ref="AA562">iferror(index(J:J,match($A562&amp;","&amp;index('Year Conversion'!$A:$A,match($C562,'Year Conversion'!$B:$B,0)),$Y:$Y,0))-J562,"")</f>
        <v>0.2896696322</v>
      </c>
      <c r="AB562" s="168">
        <f t="array" ref="AB562">iferror(index(K:K,match($A562&amp;","&amp;index('Year Conversion'!$A:$A,match($C562,'Year Conversion'!$B:$B,0)),$Y:$Y,0))-K562,"")</f>
        <v>0.1312542283</v>
      </c>
      <c r="AC562" s="168" t="str">
        <f t="shared" si="7"/>
        <v>CLE,2014-15</v>
      </c>
    </row>
    <row r="563">
      <c r="A563" s="161" t="str">
        <f>IFERROR(__xludf.DUMMYFUNCTION("""COMPUTED_VALUE"""),"arizatr01")</f>
        <v>arizatr01</v>
      </c>
      <c r="B563" s="161" t="str">
        <f>IFERROR(__xludf.DUMMYFUNCTION("""COMPUTED_VALUE"""),"Trevor Ariza")</f>
        <v>Trevor Ariza</v>
      </c>
      <c r="C563" s="162" t="str">
        <f>IFERROR(__xludf.DUMMYFUNCTION("""COMPUTED_VALUE"""),"2014-15")</f>
        <v>2014-15</v>
      </c>
      <c r="D563" s="163" t="str">
        <f>IFERROR(__xludf.DUMMYFUNCTION("""COMPUTED_VALUE"""),"HOU")</f>
        <v>HOU</v>
      </c>
      <c r="E563" s="164" t="str">
        <f>IFERROR(__xludf.DUMMYFUNCTION("""COMPUTED_VALUE"""),"Movement Shooter")</f>
        <v>Movement Shooter</v>
      </c>
      <c r="F563" s="164">
        <f>IFERROR(__xludf.DUMMYFUNCTION("""COMPUTED_VALUE"""),2930.12)</f>
        <v>2930.12</v>
      </c>
      <c r="G563" s="163">
        <f>IFERROR(__xludf.DUMMYFUNCTION("""COMPUTED_VALUE"""),82.0)</f>
        <v>82</v>
      </c>
      <c r="H563" s="163" t="str">
        <f>IFERROR(__xludf.DUMMYFUNCTION("""COMPUTED_VALUE"""),"SF")</f>
        <v>SF</v>
      </c>
      <c r="I563" s="163">
        <f>IFERROR(__xludf.DUMMYFUNCTION("""COMPUTED_VALUE"""),29.0)</f>
        <v>29</v>
      </c>
      <c r="J563" s="165">
        <f>IFERROR(__xludf.DUMMYFUNCTION("""COMPUTED_VALUE"""),0.888641128295823)</f>
        <v>0.8886411283</v>
      </c>
      <c r="K563" s="165">
        <f>IFERROR(__xludf.DUMMYFUNCTION("""COMPUTED_VALUE"""),0.00928938758011494)</f>
        <v>0.00928938758</v>
      </c>
      <c r="L563" s="165">
        <f>IFERROR(__xludf.DUMMYFUNCTION("""COMPUTED_VALUE"""),0.879351740715708)</f>
        <v>0.8793517407</v>
      </c>
      <c r="M563" s="166">
        <f t="shared" si="2"/>
        <v>6.270817479</v>
      </c>
      <c r="N563" s="167">
        <f t="shared" si="3"/>
        <v>35.73317073</v>
      </c>
      <c r="O563" s="163">
        <f t="shared" ref="O563:Q563" si="567">rank(I563,I:I)</f>
        <v>855</v>
      </c>
      <c r="P563" s="163">
        <f t="shared" si="567"/>
        <v>702</v>
      </c>
      <c r="Q563" s="163">
        <f t="shared" si="567"/>
        <v>1189</v>
      </c>
      <c r="R563" s="163">
        <f>IFERROR(__xludf.DUMMYFUNCTION("RANK(M563,filter(M:M,C:C=C563))"),37.0)</f>
        <v>37</v>
      </c>
      <c r="S563" s="161" t="b">
        <f t="shared" si="5"/>
        <v>0</v>
      </c>
      <c r="T563" s="161" t="b">
        <f t="array" ref="T563">index('Query Tool'!B:B,match(H563,'Query Tool'!C:C,0))</f>
        <v>1</v>
      </c>
      <c r="U563" s="161" t="b">
        <f t="array" ref="U563">index('Query Tool'!B:B,match(C563,'Query Tool'!C:C,0))</f>
        <v>0</v>
      </c>
      <c r="V563" s="161" t="b">
        <f>F563&gt;='Query Tool'!C$32</f>
        <v>1</v>
      </c>
      <c r="W563" s="161" t="b">
        <f t="array" ref="W563">index(Dropdowns!B:B,match(I563,Dropdowns!A:A,0))</f>
        <v>1</v>
      </c>
      <c r="X563" s="161" t="b">
        <f t="array" ref="X563">index('Query Tool'!B:B,match(D563,'Query Tool'!C:C,0))</f>
        <v>1</v>
      </c>
      <c r="Y563" s="161" t="str">
        <f t="shared" si="6"/>
        <v>arizatr01,2014-15</v>
      </c>
      <c r="Z563" s="168">
        <f t="array" ref="Z563">iferror(index(I:I,match($A563&amp;","&amp;index('Year Conversion'!$A:$A,match($C563,'Year Conversion'!$B:$B,0)),$Y:$Y,0))-I563,"")</f>
        <v>1</v>
      </c>
      <c r="AA563" s="168">
        <f t="array" ref="AA563">iferror(index(J:J,match($A563&amp;","&amp;index('Year Conversion'!$A:$A,match($C563,'Year Conversion'!$B:$B,0)),$Y:$Y,0))-J563,"")</f>
        <v>-0.3077721992</v>
      </c>
      <c r="AB563" s="168">
        <f t="array" ref="AB563">iferror(index(K:K,match($A563&amp;","&amp;index('Year Conversion'!$A:$A,match($C563,'Year Conversion'!$B:$B,0)),$Y:$Y,0))-K563,"")</f>
        <v>0.8058448928</v>
      </c>
      <c r="AC563" s="168" t="str">
        <f t="shared" si="7"/>
        <v>HOU,2014-15</v>
      </c>
    </row>
    <row r="564">
      <c r="A564" s="161" t="str">
        <f>IFERROR(__xludf.DUMMYFUNCTION("""COMPUTED_VALUE"""),"barroea01")</f>
        <v>barroea01</v>
      </c>
      <c r="B564" s="161" t="str">
        <f>IFERROR(__xludf.DUMMYFUNCTION("""COMPUTED_VALUE"""),"Earl Barron")</f>
        <v>Earl Barron</v>
      </c>
      <c r="C564" s="162" t="str">
        <f>IFERROR(__xludf.DUMMYFUNCTION("""COMPUTED_VALUE"""),"2014-15")</f>
        <v>2014-15</v>
      </c>
      <c r="D564" s="163" t="str">
        <f>IFERROR(__xludf.DUMMYFUNCTION("""COMPUTED_VALUE"""),"PHO")</f>
        <v>PHO</v>
      </c>
      <c r="E564" s="164" t="str">
        <f>IFERROR(__xludf.DUMMYFUNCTION("""COMPUTED_VALUE"""),"Roll + Cut Big")</f>
        <v>Roll + Cut Big</v>
      </c>
      <c r="F564" s="164">
        <f>IFERROR(__xludf.DUMMYFUNCTION("""COMPUTED_VALUE"""),142.838333333333)</f>
        <v>142.8383333</v>
      </c>
      <c r="G564" s="163">
        <f>IFERROR(__xludf.DUMMYFUNCTION("""COMPUTED_VALUE"""),16.0)</f>
        <v>16</v>
      </c>
      <c r="H564" s="163" t="str">
        <f>IFERROR(__xludf.DUMMYFUNCTION("""COMPUTED_VALUE"""),"C")</f>
        <v>C</v>
      </c>
      <c r="I564" s="163">
        <f>IFERROR(__xludf.DUMMYFUNCTION("""COMPUTED_VALUE"""),33.0)</f>
        <v>33</v>
      </c>
      <c r="J564" s="165">
        <f>IFERROR(__xludf.DUMMYFUNCTION("""COMPUTED_VALUE"""),-1.33419511590595)</f>
        <v>-1.334195116</v>
      </c>
      <c r="K564" s="165">
        <f>IFERROR(__xludf.DUMMYFUNCTION("""COMPUTED_VALUE"""),-1.12984813699945)</f>
        <v>-1.129848137</v>
      </c>
      <c r="L564" s="165">
        <f>IFERROR(__xludf.DUMMYFUNCTION("""COMPUTED_VALUE"""),-0.204346978906496)</f>
        <v>-0.2043469789</v>
      </c>
      <c r="M564" s="166">
        <f t="shared" si="2"/>
        <v>0.09204268921</v>
      </c>
      <c r="N564" s="167">
        <f t="shared" si="3"/>
        <v>8.927395833</v>
      </c>
      <c r="O564" s="163">
        <f t="shared" ref="O564:Q564" si="568">rank(I564,I:I)</f>
        <v>246</v>
      </c>
      <c r="P564" s="163">
        <f t="shared" si="568"/>
        <v>2898</v>
      </c>
      <c r="Q564" s="163">
        <f t="shared" si="568"/>
        <v>2958</v>
      </c>
      <c r="R564" s="163">
        <f>IFERROR(__xludf.DUMMYFUNCTION("RANK(M564,filter(M:M,C:C=C564))"),386.0)</f>
        <v>386</v>
      </c>
      <c r="S564" s="161" t="b">
        <f t="shared" si="5"/>
        <v>0</v>
      </c>
      <c r="T564" s="161" t="b">
        <f t="array" ref="T564">index('Query Tool'!B:B,match(H564,'Query Tool'!C:C,0))</f>
        <v>1</v>
      </c>
      <c r="U564" s="161" t="b">
        <f t="array" ref="U564">index('Query Tool'!B:B,match(C564,'Query Tool'!C:C,0))</f>
        <v>0</v>
      </c>
      <c r="V564" s="161" t="b">
        <f>F564&gt;='Query Tool'!C$32</f>
        <v>0</v>
      </c>
      <c r="W564" s="161" t="b">
        <f t="array" ref="W564">index(Dropdowns!B:B,match(I564,Dropdowns!A:A,0))</f>
        <v>1</v>
      </c>
      <c r="X564" s="161" t="b">
        <f t="array" ref="X564">index('Query Tool'!B:B,match(D564,'Query Tool'!C:C,0))</f>
        <v>1</v>
      </c>
      <c r="Y564" s="161" t="str">
        <f t="shared" si="6"/>
        <v>barroea01,2014-15</v>
      </c>
      <c r="Z564" s="168" t="str">
        <f t="array" ref="Z564">iferror(index(I:I,match($A564&amp;","&amp;index('Year Conversion'!$A:$A,match($C564,'Year Conversion'!$B:$B,0)),$Y:$Y,0))-I564,"")</f>
        <v/>
      </c>
      <c r="AA564" s="168" t="str">
        <f t="array" ref="AA564">iferror(index(J:J,match($A564&amp;","&amp;index('Year Conversion'!$A:$A,match($C564,'Year Conversion'!$B:$B,0)),$Y:$Y,0))-J564,"")</f>
        <v/>
      </c>
      <c r="AB564" s="168" t="str">
        <f t="array" ref="AB564">iferror(index(K:K,match($A564&amp;","&amp;index('Year Conversion'!$A:$A,match($C564,'Year Conversion'!$B:$B,0)),$Y:$Y,0))-K564,"")</f>
        <v/>
      </c>
      <c r="AC564" s="168" t="str">
        <f t="shared" si="7"/>
        <v>PHO,2014-15</v>
      </c>
    </row>
    <row r="565">
      <c r="A565" s="161" t="str">
        <f>IFERROR(__xludf.DUMMYFUNCTION("""COMPUTED_VALUE"""),"bogutan01")</f>
        <v>bogutan01</v>
      </c>
      <c r="B565" s="161" t="str">
        <f>IFERROR(__xludf.DUMMYFUNCTION("""COMPUTED_VALUE"""),"Andrew Bogut")</f>
        <v>Andrew Bogut</v>
      </c>
      <c r="C565" s="162" t="str">
        <f>IFERROR(__xludf.DUMMYFUNCTION("""COMPUTED_VALUE"""),"2014-15")</f>
        <v>2014-15</v>
      </c>
      <c r="D565" s="163" t="str">
        <f>IFERROR(__xludf.DUMMYFUNCTION("""COMPUTED_VALUE"""),"GSW")</f>
        <v>GSW</v>
      </c>
      <c r="E565" s="164" t="str">
        <f>IFERROR(__xludf.DUMMYFUNCTION("""COMPUTED_VALUE"""),"Roll + Cut Big")</f>
        <v>Roll + Cut Big</v>
      </c>
      <c r="F565" s="164">
        <f>IFERROR(__xludf.DUMMYFUNCTION("""COMPUTED_VALUE"""),1582.53333333333)</f>
        <v>1582.533333</v>
      </c>
      <c r="G565" s="163">
        <f>IFERROR(__xludf.DUMMYFUNCTION("""COMPUTED_VALUE"""),67.0)</f>
        <v>67</v>
      </c>
      <c r="H565" s="163" t="str">
        <f>IFERROR(__xludf.DUMMYFUNCTION("""COMPUTED_VALUE"""),"C")</f>
        <v>C</v>
      </c>
      <c r="I565" s="163">
        <f>IFERROR(__xludf.DUMMYFUNCTION("""COMPUTED_VALUE"""),30.0)</f>
        <v>30</v>
      </c>
      <c r="J565" s="165">
        <f>IFERROR(__xludf.DUMMYFUNCTION("""COMPUTED_VALUE"""),2.36359109617361)</f>
        <v>2.363591096</v>
      </c>
      <c r="K565" s="165">
        <f>IFERROR(__xludf.DUMMYFUNCTION("""COMPUTED_VALUE"""),-1.68175970286822)</f>
        <v>-1.681759703</v>
      </c>
      <c r="L565" s="165">
        <f>IFERROR(__xludf.DUMMYFUNCTION("""COMPUTED_VALUE"""),4.04535079904182)</f>
        <v>4.045350799</v>
      </c>
      <c r="M565" s="166">
        <f t="shared" si="2"/>
        <v>4.942129311</v>
      </c>
      <c r="N565" s="167">
        <f t="shared" si="3"/>
        <v>23.6199005</v>
      </c>
      <c r="O565" s="163">
        <f t="shared" ref="O565:Q565" si="569">rank(I565,I:I)</f>
        <v>655</v>
      </c>
      <c r="P565" s="163">
        <f t="shared" si="569"/>
        <v>244</v>
      </c>
      <c r="Q565" s="163">
        <f t="shared" si="569"/>
        <v>3507</v>
      </c>
      <c r="R565" s="163">
        <f>IFERROR(__xludf.DUMMYFUNCTION("RANK(M565,filter(M:M,C:C=C565))"),59.0)</f>
        <v>59</v>
      </c>
      <c r="S565" s="161" t="b">
        <f t="shared" si="5"/>
        <v>0</v>
      </c>
      <c r="T565" s="161" t="b">
        <f t="array" ref="T565">index('Query Tool'!B:B,match(H565,'Query Tool'!C:C,0))</f>
        <v>1</v>
      </c>
      <c r="U565" s="161" t="b">
        <f t="array" ref="U565">index('Query Tool'!B:B,match(C565,'Query Tool'!C:C,0))</f>
        <v>0</v>
      </c>
      <c r="V565" s="161" t="b">
        <f>F565&gt;='Query Tool'!C$32</f>
        <v>1</v>
      </c>
      <c r="W565" s="161" t="b">
        <f t="array" ref="W565">index(Dropdowns!B:B,match(I565,Dropdowns!A:A,0))</f>
        <v>1</v>
      </c>
      <c r="X565" s="161" t="b">
        <f t="array" ref="X565">index('Query Tool'!B:B,match(D565,'Query Tool'!C:C,0))</f>
        <v>1</v>
      </c>
      <c r="Y565" s="161" t="str">
        <f t="shared" si="6"/>
        <v>bogutan01,2014-15</v>
      </c>
      <c r="Z565" s="168">
        <f t="array" ref="Z565">iferror(index(I:I,match($A565&amp;","&amp;index('Year Conversion'!$A:$A,match($C565,'Year Conversion'!$B:$B,0)),$Y:$Y,0))-I565,"")</f>
        <v>1</v>
      </c>
      <c r="AA565" s="168">
        <f t="array" ref="AA565">iferror(index(J:J,match($A565&amp;","&amp;index('Year Conversion'!$A:$A,match($C565,'Year Conversion'!$B:$B,0)),$Y:$Y,0))-J565,"")</f>
        <v>-1.143872353</v>
      </c>
      <c r="AB565" s="168">
        <f t="array" ref="AB565">iferror(index(K:K,match($A565&amp;","&amp;index('Year Conversion'!$A:$A,match($C565,'Year Conversion'!$B:$B,0)),$Y:$Y,0))-K565,"")</f>
        <v>-0.3496537514</v>
      </c>
      <c r="AC565" s="168" t="str">
        <f t="shared" si="7"/>
        <v>GSW,2014-15</v>
      </c>
    </row>
    <row r="566">
      <c r="A566" s="161" t="str">
        <f>IFERROR(__xludf.DUMMYFUNCTION("""COMPUTED_VALUE"""),"willima02")</f>
        <v>willima02</v>
      </c>
      <c r="B566" s="161" t="str">
        <f>IFERROR(__xludf.DUMMYFUNCTION("""COMPUTED_VALUE"""),"Marvin Williams")</f>
        <v>Marvin Williams</v>
      </c>
      <c r="C566" s="162" t="str">
        <f>IFERROR(__xludf.DUMMYFUNCTION("""COMPUTED_VALUE"""),"2014-15")</f>
        <v>2014-15</v>
      </c>
      <c r="D566" s="163" t="str">
        <f>IFERROR(__xludf.DUMMYFUNCTION("""COMPUTED_VALUE"""),"CHO")</f>
        <v>CHO</v>
      </c>
      <c r="E566" s="164" t="str">
        <f>IFERROR(__xludf.DUMMYFUNCTION("""COMPUTED_VALUE"""),"Stretch Big")</f>
        <v>Stretch Big</v>
      </c>
      <c r="F566" s="164">
        <f>IFERROR(__xludf.DUMMYFUNCTION("""COMPUTED_VALUE"""),2034.69166666667)</f>
        <v>2034.691667</v>
      </c>
      <c r="G566" s="163">
        <f>IFERROR(__xludf.DUMMYFUNCTION("""COMPUTED_VALUE"""),78.0)</f>
        <v>78</v>
      </c>
      <c r="H566" s="163" t="str">
        <f>IFERROR(__xludf.DUMMYFUNCTION("""COMPUTED_VALUE"""),"PF")</f>
        <v>PF</v>
      </c>
      <c r="I566" s="163">
        <f>IFERROR(__xludf.DUMMYFUNCTION("""COMPUTED_VALUE"""),28.0)</f>
        <v>28</v>
      </c>
      <c r="J566" s="165">
        <f>IFERROR(__xludf.DUMMYFUNCTION("""COMPUTED_VALUE"""),-1.0682544812432)</f>
        <v>-1.068254481</v>
      </c>
      <c r="K566" s="165">
        <f>IFERROR(__xludf.DUMMYFUNCTION("""COMPUTED_VALUE"""),-1.15860575282191)</f>
        <v>-1.158605753</v>
      </c>
      <c r="L566" s="165">
        <f>IFERROR(__xludf.DUMMYFUNCTION("""COMPUTED_VALUE"""),0.0903512715787032)</f>
        <v>0.09035127158</v>
      </c>
      <c r="M566" s="166">
        <f t="shared" si="2"/>
        <v>1.673737254</v>
      </c>
      <c r="N566" s="167">
        <f t="shared" si="3"/>
        <v>26.0857906</v>
      </c>
      <c r="O566" s="163">
        <f t="shared" ref="O566:Q566" si="570">rank(I566,I:I)</f>
        <v>1090</v>
      </c>
      <c r="P566" s="163">
        <f t="shared" si="570"/>
        <v>2575</v>
      </c>
      <c r="Q566" s="163">
        <f t="shared" si="570"/>
        <v>2994</v>
      </c>
      <c r="R566" s="163">
        <f>IFERROR(__xludf.DUMMYFUNCTION("RANK(M566,filter(M:M,C:C=C566))"),188.0)</f>
        <v>188</v>
      </c>
      <c r="S566" s="161" t="b">
        <f t="shared" si="5"/>
        <v>0</v>
      </c>
      <c r="T566" s="161" t="b">
        <f t="array" ref="T566">index('Query Tool'!B:B,match(H566,'Query Tool'!C:C,0))</f>
        <v>1</v>
      </c>
      <c r="U566" s="161" t="b">
        <f t="array" ref="U566">index('Query Tool'!B:B,match(C566,'Query Tool'!C:C,0))</f>
        <v>0</v>
      </c>
      <c r="V566" s="161" t="b">
        <f>F566&gt;='Query Tool'!C$32</f>
        <v>1</v>
      </c>
      <c r="W566" s="161" t="b">
        <f t="array" ref="W566">index(Dropdowns!B:B,match(I566,Dropdowns!A:A,0))</f>
        <v>1</v>
      </c>
      <c r="X566" s="161" t="b">
        <f t="array" ref="X566">index('Query Tool'!B:B,match(D566,'Query Tool'!C:C,0))</f>
        <v>1</v>
      </c>
      <c r="Y566" s="161" t="str">
        <f t="shared" si="6"/>
        <v>willima02,2014-15</v>
      </c>
      <c r="Z566" s="168">
        <f t="array" ref="Z566">iferror(index(I:I,match($A566&amp;","&amp;index('Year Conversion'!$A:$A,match($C566,'Year Conversion'!$B:$B,0)),$Y:$Y,0))-I566,"")</f>
        <v>1</v>
      </c>
      <c r="AA566" s="168">
        <f t="array" ref="AA566">iferror(index(J:J,match($A566&amp;","&amp;index('Year Conversion'!$A:$A,match($C566,'Year Conversion'!$B:$B,0)),$Y:$Y,0))-J566,"")</f>
        <v>2.445734977</v>
      </c>
      <c r="AB566" s="168">
        <f t="array" ref="AB566">iferror(index(K:K,match($A566&amp;","&amp;index('Year Conversion'!$A:$A,match($C566,'Year Conversion'!$B:$B,0)),$Y:$Y,0))-K566,"")</f>
        <v>1.720738258</v>
      </c>
      <c r="AC566" s="168" t="str">
        <f t="shared" si="7"/>
        <v>CHO,2014-15</v>
      </c>
    </row>
    <row r="567">
      <c r="A567" s="161" t="str">
        <f>IFERROR(__xludf.DUMMYFUNCTION("""COMPUTED_VALUE"""),"paulch01")</f>
        <v>paulch01</v>
      </c>
      <c r="B567" s="161" t="str">
        <f>IFERROR(__xludf.DUMMYFUNCTION("""COMPUTED_VALUE"""),"Chris Paul")</f>
        <v>Chris Paul</v>
      </c>
      <c r="C567" s="162" t="str">
        <f>IFERROR(__xludf.DUMMYFUNCTION("""COMPUTED_VALUE"""),"2014-15")</f>
        <v>2014-15</v>
      </c>
      <c r="D567" s="163" t="str">
        <f>IFERROR(__xludf.DUMMYFUNCTION("""COMPUTED_VALUE"""),"LAC")</f>
        <v>LAC</v>
      </c>
      <c r="E567" s="164" t="str">
        <f>IFERROR(__xludf.DUMMYFUNCTION("""COMPUTED_VALUE"""),"Shot Creator")</f>
        <v>Shot Creator</v>
      </c>
      <c r="F567" s="164">
        <f>IFERROR(__xludf.DUMMYFUNCTION("""COMPUTED_VALUE"""),2857.24333333333)</f>
        <v>2857.243333</v>
      </c>
      <c r="G567" s="163">
        <f>IFERROR(__xludf.DUMMYFUNCTION("""COMPUTED_VALUE"""),82.0)</f>
        <v>82</v>
      </c>
      <c r="H567" s="163" t="str">
        <f>IFERROR(__xludf.DUMMYFUNCTION("""COMPUTED_VALUE"""),"PG")</f>
        <v>PG</v>
      </c>
      <c r="I567" s="163">
        <f>IFERROR(__xludf.DUMMYFUNCTION("""COMPUTED_VALUE"""),29.0)</f>
        <v>29</v>
      </c>
      <c r="J567" s="165">
        <f>IFERROR(__xludf.DUMMYFUNCTION("""COMPUTED_VALUE"""),5.7745154571168)</f>
        <v>5.774515457</v>
      </c>
      <c r="K567" s="165">
        <f>IFERROR(__xludf.DUMMYFUNCTION("""COMPUTED_VALUE"""),5.22398267800598)</f>
        <v>5.223982678</v>
      </c>
      <c r="L567" s="165">
        <f>IFERROR(__xludf.DUMMYFUNCTION("""COMPUTED_VALUE"""),0.55053277911082)</f>
        <v>0.5505327791</v>
      </c>
      <c r="M567" s="166">
        <f t="shared" si="2"/>
        <v>15.04028949</v>
      </c>
      <c r="N567" s="167">
        <f t="shared" si="3"/>
        <v>34.84443089</v>
      </c>
      <c r="O567" s="163">
        <f t="shared" ref="O567:Q567" si="571">rank(I567,I:I)</f>
        <v>855</v>
      </c>
      <c r="P567" s="163">
        <f t="shared" si="571"/>
        <v>24</v>
      </c>
      <c r="Q567" s="163">
        <f t="shared" si="571"/>
        <v>25</v>
      </c>
      <c r="R567" s="163">
        <f>IFERROR(__xludf.DUMMYFUNCTION("RANK(M567,filter(M:M,C:C=C567))"),2.0)</f>
        <v>2</v>
      </c>
      <c r="S567" s="161" t="b">
        <f t="shared" si="5"/>
        <v>0</v>
      </c>
      <c r="T567" s="161" t="b">
        <f t="array" ref="T567">index('Query Tool'!B:B,match(H567,'Query Tool'!C:C,0))</f>
        <v>1</v>
      </c>
      <c r="U567" s="161" t="b">
        <f t="array" ref="U567">index('Query Tool'!B:B,match(C567,'Query Tool'!C:C,0))</f>
        <v>0</v>
      </c>
      <c r="V567" s="161" t="b">
        <f>F567&gt;='Query Tool'!C$32</f>
        <v>1</v>
      </c>
      <c r="W567" s="161" t="b">
        <f t="array" ref="W567">index(Dropdowns!B:B,match(I567,Dropdowns!A:A,0))</f>
        <v>1</v>
      </c>
      <c r="X567" s="161" t="b">
        <f t="array" ref="X567">index('Query Tool'!B:B,match(D567,'Query Tool'!C:C,0))</f>
        <v>1</v>
      </c>
      <c r="Y567" s="161" t="str">
        <f t="shared" si="6"/>
        <v>paulch01,2014-15</v>
      </c>
      <c r="Z567" s="168">
        <f t="array" ref="Z567">iferror(index(I:I,match($A567&amp;","&amp;index('Year Conversion'!$A:$A,match($C567,'Year Conversion'!$B:$B,0)),$Y:$Y,0))-I567,"")</f>
        <v>1</v>
      </c>
      <c r="AA567" s="168">
        <f t="array" ref="AA567">iferror(index(J:J,match($A567&amp;","&amp;index('Year Conversion'!$A:$A,match($C567,'Year Conversion'!$B:$B,0)),$Y:$Y,0))-J567,"")</f>
        <v>0.31358746</v>
      </c>
      <c r="AB567" s="168">
        <f t="array" ref="AB567">iferror(index(K:K,match($A567&amp;","&amp;index('Year Conversion'!$A:$A,match($C567,'Year Conversion'!$B:$B,0)),$Y:$Y,0))-K567,"")</f>
        <v>-0.308517269</v>
      </c>
      <c r="AC567" s="168" t="str">
        <f t="shared" si="7"/>
        <v>LAC,2014-15</v>
      </c>
    </row>
    <row r="568">
      <c r="A568" s="161" t="str">
        <f>IFERROR(__xludf.DUMMYFUNCTION("""COMPUTED_VALUE"""),"feltora01")</f>
        <v>feltora01</v>
      </c>
      <c r="B568" s="161" t="str">
        <f>IFERROR(__xludf.DUMMYFUNCTION("""COMPUTED_VALUE"""),"Raymond Felton")</f>
        <v>Raymond Felton</v>
      </c>
      <c r="C568" s="162" t="str">
        <f>IFERROR(__xludf.DUMMYFUNCTION("""COMPUTED_VALUE"""),"2014-15")</f>
        <v>2014-15</v>
      </c>
      <c r="D568" s="163" t="str">
        <f>IFERROR(__xludf.DUMMYFUNCTION("""COMPUTED_VALUE"""),"DAL")</f>
        <v>DAL</v>
      </c>
      <c r="E568" s="164" t="str">
        <f>IFERROR(__xludf.DUMMYFUNCTION("""COMPUTED_VALUE"""),"Secondary Ball Handler")</f>
        <v>Secondary Ball Handler</v>
      </c>
      <c r="F568" s="164">
        <f>IFERROR(__xludf.DUMMYFUNCTION("""COMPUTED_VALUE"""),281.39)</f>
        <v>281.39</v>
      </c>
      <c r="G568" s="163">
        <f>IFERROR(__xludf.DUMMYFUNCTION("""COMPUTED_VALUE"""),29.0)</f>
        <v>29</v>
      </c>
      <c r="H568" s="163" t="str">
        <f>IFERROR(__xludf.DUMMYFUNCTION("""COMPUTED_VALUE"""),"PG")</f>
        <v>PG</v>
      </c>
      <c r="I568" s="163">
        <f>IFERROR(__xludf.DUMMYFUNCTION("""COMPUTED_VALUE"""),30.0)</f>
        <v>30</v>
      </c>
      <c r="J568" s="165">
        <f>IFERROR(__xludf.DUMMYFUNCTION("""COMPUTED_VALUE"""),-1.50187554213246)</f>
        <v>-1.501875542</v>
      </c>
      <c r="K568" s="165">
        <f>IFERROR(__xludf.DUMMYFUNCTION("""COMPUTED_VALUE"""),-0.573418277624372)</f>
        <v>-0.5734182776</v>
      </c>
      <c r="L568" s="165">
        <f>IFERROR(__xludf.DUMMYFUNCTION("""COMPUTED_VALUE"""),-0.92845726450809)</f>
        <v>-0.9284572645</v>
      </c>
      <c r="M568" s="166">
        <f t="shared" si="2"/>
        <v>0.1497778223</v>
      </c>
      <c r="N568" s="167">
        <f t="shared" si="3"/>
        <v>9.703103448</v>
      </c>
      <c r="O568" s="163">
        <f t="shared" ref="O568:Q568" si="572">rank(I568,I:I)</f>
        <v>655</v>
      </c>
      <c r="P568" s="163">
        <f t="shared" si="572"/>
        <v>3058</v>
      </c>
      <c r="Q568" s="163">
        <f t="shared" si="572"/>
        <v>2221</v>
      </c>
      <c r="R568" s="163">
        <f>IFERROR(__xludf.DUMMYFUNCTION("RANK(M568,filter(M:M,C:C=C568))"),353.0)</f>
        <v>353</v>
      </c>
      <c r="S568" s="161" t="b">
        <f t="shared" si="5"/>
        <v>0</v>
      </c>
      <c r="T568" s="161" t="b">
        <f t="array" ref="T568">index('Query Tool'!B:B,match(H568,'Query Tool'!C:C,0))</f>
        <v>1</v>
      </c>
      <c r="U568" s="161" t="b">
        <f t="array" ref="U568">index('Query Tool'!B:B,match(C568,'Query Tool'!C:C,0))</f>
        <v>0</v>
      </c>
      <c r="V568" s="161" t="b">
        <f>F568&gt;='Query Tool'!C$32</f>
        <v>0</v>
      </c>
      <c r="W568" s="161" t="b">
        <f t="array" ref="W568">index(Dropdowns!B:B,match(I568,Dropdowns!A:A,0))</f>
        <v>1</v>
      </c>
      <c r="X568" s="161" t="b">
        <f t="array" ref="X568">index('Query Tool'!B:B,match(D568,'Query Tool'!C:C,0))</f>
        <v>1</v>
      </c>
      <c r="Y568" s="161" t="str">
        <f t="shared" si="6"/>
        <v>feltora01,2014-15</v>
      </c>
      <c r="Z568" s="168">
        <f t="array" ref="Z568">iferror(index(I:I,match($A568&amp;","&amp;index('Year Conversion'!$A:$A,match($C568,'Year Conversion'!$B:$B,0)),$Y:$Y,0))-I568,"")</f>
        <v>1</v>
      </c>
      <c r="AA568" s="168">
        <f t="array" ref="AA568">iferror(index(J:J,match($A568&amp;","&amp;index('Year Conversion'!$A:$A,match($C568,'Year Conversion'!$B:$B,0)),$Y:$Y,0))-J568,"")</f>
        <v>-0.4854208402</v>
      </c>
      <c r="AB568" s="168">
        <f t="array" ref="AB568">iferror(index(K:K,match($A568&amp;","&amp;index('Year Conversion'!$A:$A,match($C568,'Year Conversion'!$B:$B,0)),$Y:$Y,0))-K568,"")</f>
        <v>0.4244926239</v>
      </c>
      <c r="AC568" s="168" t="str">
        <f t="shared" si="7"/>
        <v>DAL,2014-15</v>
      </c>
    </row>
    <row r="569">
      <c r="A569" s="161" t="str">
        <f>IFERROR(__xludf.DUMMYFUNCTION("""COMPUTED_VALUE"""),"webstma02")</f>
        <v>webstma02</v>
      </c>
      <c r="B569" s="161" t="str">
        <f>IFERROR(__xludf.DUMMYFUNCTION("""COMPUTED_VALUE"""),"Martell Webster")</f>
        <v>Martell Webster</v>
      </c>
      <c r="C569" s="162" t="str">
        <f>IFERROR(__xludf.DUMMYFUNCTION("""COMPUTED_VALUE"""),"2014-15")</f>
        <v>2014-15</v>
      </c>
      <c r="D569" s="163" t="str">
        <f>IFERROR(__xludf.DUMMYFUNCTION("""COMPUTED_VALUE"""),"WAS")</f>
        <v>WAS</v>
      </c>
      <c r="E569" s="164" t="str">
        <f>IFERROR(__xludf.DUMMYFUNCTION("""COMPUTED_VALUE"""),"Movement Shooter")</f>
        <v>Movement Shooter</v>
      </c>
      <c r="F569" s="164">
        <f>IFERROR(__xludf.DUMMYFUNCTION("""COMPUTED_VALUE"""),351.628333333333)</f>
        <v>351.6283333</v>
      </c>
      <c r="G569" s="163">
        <f>IFERROR(__xludf.DUMMYFUNCTION("""COMPUTED_VALUE"""),32.0)</f>
        <v>32</v>
      </c>
      <c r="H569" s="163" t="str">
        <f>IFERROR(__xludf.DUMMYFUNCTION("""COMPUTED_VALUE"""),"SF")</f>
        <v>SF</v>
      </c>
      <c r="I569" s="163">
        <f>IFERROR(__xludf.DUMMYFUNCTION("""COMPUTED_VALUE"""),28.0)</f>
        <v>28</v>
      </c>
      <c r="J569" s="165">
        <f>IFERROR(__xludf.DUMMYFUNCTION("""COMPUTED_VALUE"""),-1.70388001675542)</f>
        <v>-1.703880017</v>
      </c>
      <c r="K569" s="165">
        <f>IFERROR(__xludf.DUMMYFUNCTION("""COMPUTED_VALUE"""),-1.14402378024164)</f>
        <v>-1.14402378</v>
      </c>
      <c r="L569" s="165">
        <f>IFERROR(__xludf.DUMMYFUNCTION("""COMPUTED_VALUE"""),-0.559856236513775)</f>
        <v>-0.5598562365</v>
      </c>
      <c r="M569" s="166">
        <f t="shared" si="2"/>
        <v>0.1397859061</v>
      </c>
      <c r="N569" s="167">
        <f t="shared" si="3"/>
        <v>10.98838542</v>
      </c>
      <c r="O569" s="163">
        <f t="shared" ref="O569:Q569" si="573">rank(I569,I:I)</f>
        <v>1090</v>
      </c>
      <c r="P569" s="163">
        <f t="shared" si="573"/>
        <v>3246</v>
      </c>
      <c r="Q569" s="163">
        <f t="shared" si="573"/>
        <v>2979</v>
      </c>
      <c r="R569" s="163">
        <f>IFERROR(__xludf.DUMMYFUNCTION("RANK(M569,filter(M:M,C:C=C569))"),358.0)</f>
        <v>358</v>
      </c>
      <c r="S569" s="161" t="b">
        <f t="shared" si="5"/>
        <v>0</v>
      </c>
      <c r="T569" s="161" t="b">
        <f t="array" ref="T569">index('Query Tool'!B:B,match(H569,'Query Tool'!C:C,0))</f>
        <v>1</v>
      </c>
      <c r="U569" s="161" t="b">
        <f t="array" ref="U569">index('Query Tool'!B:B,match(C569,'Query Tool'!C:C,0))</f>
        <v>0</v>
      </c>
      <c r="V569" s="161" t="b">
        <f>F569&gt;='Query Tool'!C$32</f>
        <v>0</v>
      </c>
      <c r="W569" s="161" t="b">
        <f t="array" ref="W569">index(Dropdowns!B:B,match(I569,Dropdowns!A:A,0))</f>
        <v>1</v>
      </c>
      <c r="X569" s="161" t="b">
        <f t="array" ref="X569">index('Query Tool'!B:B,match(D569,'Query Tool'!C:C,0))</f>
        <v>1</v>
      </c>
      <c r="Y569" s="161" t="str">
        <f t="shared" si="6"/>
        <v>webstma02,2014-15</v>
      </c>
      <c r="Z569" s="168" t="str">
        <f t="array" ref="Z569">iferror(index(I:I,match($A569&amp;","&amp;index('Year Conversion'!$A:$A,match($C569,'Year Conversion'!$B:$B,0)),$Y:$Y,0))-I569,"")</f>
        <v/>
      </c>
      <c r="AA569" s="168" t="str">
        <f t="array" ref="AA569">iferror(index(J:J,match($A569&amp;","&amp;index('Year Conversion'!$A:$A,match($C569,'Year Conversion'!$B:$B,0)),$Y:$Y,0))-J569,"")</f>
        <v/>
      </c>
      <c r="AB569" s="168" t="str">
        <f t="array" ref="AB569">iferror(index(K:K,match($A569&amp;","&amp;index('Year Conversion'!$A:$A,match($C569,'Year Conversion'!$B:$B,0)),$Y:$Y,0))-K569,"")</f>
        <v/>
      </c>
      <c r="AC569" s="168" t="str">
        <f t="shared" si="7"/>
        <v>WAS,2014-15</v>
      </c>
    </row>
    <row r="570">
      <c r="A570" s="161" t="str">
        <f>IFERROR(__xludf.DUMMYFUNCTION("""COMPUTED_VALUE"""),"villach01")</f>
        <v>villach01</v>
      </c>
      <c r="B570" s="161" t="str">
        <f>IFERROR(__xludf.DUMMYFUNCTION("""COMPUTED_VALUE"""),"Charlie Villanueva")</f>
        <v>Charlie Villanueva</v>
      </c>
      <c r="C570" s="162" t="str">
        <f>IFERROR(__xludf.DUMMYFUNCTION("""COMPUTED_VALUE"""),"2014-15")</f>
        <v>2014-15</v>
      </c>
      <c r="D570" s="163" t="str">
        <f>IFERROR(__xludf.DUMMYFUNCTION("""COMPUTED_VALUE"""),"DAL")</f>
        <v>DAL</v>
      </c>
      <c r="E570" s="164" t="str">
        <f>IFERROR(__xludf.DUMMYFUNCTION("""COMPUTED_VALUE"""),"Movement Shooter")</f>
        <v>Movement Shooter</v>
      </c>
      <c r="F570" s="164">
        <f>IFERROR(__xludf.DUMMYFUNCTION("""COMPUTED_VALUE"""),678.1)</f>
        <v>678.1</v>
      </c>
      <c r="G570" s="163">
        <f>IFERROR(__xludf.DUMMYFUNCTION("""COMPUTED_VALUE"""),64.0)</f>
        <v>64</v>
      </c>
      <c r="H570" s="163" t="str">
        <f>IFERROR(__xludf.DUMMYFUNCTION("""COMPUTED_VALUE"""),"PF")</f>
        <v>PF</v>
      </c>
      <c r="I570" s="163">
        <f>IFERROR(__xludf.DUMMYFUNCTION("""COMPUTED_VALUE"""),30.0)</f>
        <v>30</v>
      </c>
      <c r="J570" s="165">
        <f>IFERROR(__xludf.DUMMYFUNCTION("""COMPUTED_VALUE"""),-0.202466372885622)</f>
        <v>-0.2024663729</v>
      </c>
      <c r="K570" s="165">
        <f>IFERROR(__xludf.DUMMYFUNCTION("""COMPUTED_VALUE"""),1.50973904394535)</f>
        <v>1.509739044</v>
      </c>
      <c r="L570" s="165">
        <f>IFERROR(__xludf.DUMMYFUNCTION("""COMPUTED_VALUE"""),-1.71220541683098)</f>
        <v>-1.712205417</v>
      </c>
      <c r="M570" s="166">
        <f t="shared" si="2"/>
        <v>0.9528482676</v>
      </c>
      <c r="N570" s="167">
        <f t="shared" si="3"/>
        <v>10.5953125</v>
      </c>
      <c r="O570" s="163">
        <f t="shared" ref="O570:Q570" si="574">rank(I570,I:I)</f>
        <v>655</v>
      </c>
      <c r="P570" s="163">
        <f t="shared" si="574"/>
        <v>1510</v>
      </c>
      <c r="Q570" s="163">
        <f t="shared" si="574"/>
        <v>319</v>
      </c>
      <c r="R570" s="163">
        <f>IFERROR(__xludf.DUMMYFUNCTION("RANK(M570,filter(M:M,C:C=C570))"),236.0)</f>
        <v>236</v>
      </c>
      <c r="S570" s="161" t="b">
        <f t="shared" si="5"/>
        <v>0</v>
      </c>
      <c r="T570" s="161" t="b">
        <f t="array" ref="T570">index('Query Tool'!B:B,match(H570,'Query Tool'!C:C,0))</f>
        <v>1</v>
      </c>
      <c r="U570" s="161" t="b">
        <f t="array" ref="U570">index('Query Tool'!B:B,match(C570,'Query Tool'!C:C,0))</f>
        <v>0</v>
      </c>
      <c r="V570" s="161" t="b">
        <f>F570&gt;='Query Tool'!C$32</f>
        <v>1</v>
      </c>
      <c r="W570" s="161" t="b">
        <f t="array" ref="W570">index(Dropdowns!B:B,match(I570,Dropdowns!A:A,0))</f>
        <v>1</v>
      </c>
      <c r="X570" s="161" t="b">
        <f t="array" ref="X570">index('Query Tool'!B:B,match(D570,'Query Tool'!C:C,0))</f>
        <v>1</v>
      </c>
      <c r="Y570" s="161" t="str">
        <f t="shared" si="6"/>
        <v>villach01,2014-15</v>
      </c>
      <c r="Z570" s="168">
        <f t="array" ref="Z570">iferror(index(I:I,match($A570&amp;","&amp;index('Year Conversion'!$A:$A,match($C570,'Year Conversion'!$B:$B,0)),$Y:$Y,0))-I570,"")</f>
        <v>1</v>
      </c>
      <c r="AA570" s="168">
        <f t="array" ref="AA570">iferror(index(J:J,match($A570&amp;","&amp;index('Year Conversion'!$A:$A,match($C570,'Year Conversion'!$B:$B,0)),$Y:$Y,0))-J570,"")</f>
        <v>-0.2356570826</v>
      </c>
      <c r="AB570" s="168">
        <f t="array" ref="AB570">iferror(index(K:K,match($A570&amp;","&amp;index('Year Conversion'!$A:$A,match($C570,'Year Conversion'!$B:$B,0)),$Y:$Y,0))-K570,"")</f>
        <v>-1.081989073</v>
      </c>
      <c r="AC570" s="168" t="str">
        <f t="shared" si="7"/>
        <v>DAL,2014-15</v>
      </c>
    </row>
    <row r="571">
      <c r="A571" s="161" t="str">
        <f>IFERROR(__xludf.DUMMYFUNCTION("""COMPUTED_VALUE"""),"fryech01")</f>
        <v>fryech01</v>
      </c>
      <c r="B571" s="161" t="str">
        <f>IFERROR(__xludf.DUMMYFUNCTION("""COMPUTED_VALUE"""),"Channing Frye")</f>
        <v>Channing Frye</v>
      </c>
      <c r="C571" s="162" t="str">
        <f>IFERROR(__xludf.DUMMYFUNCTION("""COMPUTED_VALUE"""),"2014-15")</f>
        <v>2014-15</v>
      </c>
      <c r="D571" s="163" t="str">
        <f>IFERROR(__xludf.DUMMYFUNCTION("""COMPUTED_VALUE"""),"ORL")</f>
        <v>ORL</v>
      </c>
      <c r="E571" s="164" t="str">
        <f>IFERROR(__xludf.DUMMYFUNCTION("""COMPUTED_VALUE"""),"Movement Shooter")</f>
        <v>Movement Shooter</v>
      </c>
      <c r="F571" s="164">
        <f>IFERROR(__xludf.DUMMYFUNCTION("""COMPUTED_VALUE"""),1869.71666666667)</f>
        <v>1869.716667</v>
      </c>
      <c r="G571" s="163">
        <f>IFERROR(__xludf.DUMMYFUNCTION("""COMPUTED_VALUE"""),75.0)</f>
        <v>75</v>
      </c>
      <c r="H571" s="163" t="str">
        <f>IFERROR(__xludf.DUMMYFUNCTION("""COMPUTED_VALUE"""),"PF")</f>
        <v>PF</v>
      </c>
      <c r="I571" s="163">
        <f>IFERROR(__xludf.DUMMYFUNCTION("""COMPUTED_VALUE"""),31.0)</f>
        <v>31</v>
      </c>
      <c r="J571" s="165">
        <f>IFERROR(__xludf.DUMMYFUNCTION("""COMPUTED_VALUE"""),-1.70203214934158)</f>
        <v>-1.702032149</v>
      </c>
      <c r="K571" s="165">
        <f>IFERROR(__xludf.DUMMYFUNCTION("""COMPUTED_VALUE"""),-1.29945882355874)</f>
        <v>-1.299458824</v>
      </c>
      <c r="L571" s="165">
        <f>IFERROR(__xludf.DUMMYFUNCTION("""COMPUTED_VALUE"""),-0.402573325782838)</f>
        <v>-0.4025733258</v>
      </c>
      <c r="M571" s="166">
        <f t="shared" si="2"/>
        <v>0.7455863125</v>
      </c>
      <c r="N571" s="167">
        <f t="shared" si="3"/>
        <v>24.92955556</v>
      </c>
      <c r="O571" s="163">
        <f t="shared" ref="O571:Q571" si="575">rank(I571,I:I)</f>
        <v>490</v>
      </c>
      <c r="P571" s="163">
        <f t="shared" si="575"/>
        <v>3243</v>
      </c>
      <c r="Q571" s="163">
        <f t="shared" si="575"/>
        <v>3144</v>
      </c>
      <c r="R571" s="163">
        <f>IFERROR(__xludf.DUMMYFUNCTION("RANK(M571,filter(M:M,C:C=C571))"),255.0)</f>
        <v>255</v>
      </c>
      <c r="S571" s="161" t="b">
        <f t="shared" si="5"/>
        <v>0</v>
      </c>
      <c r="T571" s="161" t="b">
        <f t="array" ref="T571">index('Query Tool'!B:B,match(H571,'Query Tool'!C:C,0))</f>
        <v>1</v>
      </c>
      <c r="U571" s="161" t="b">
        <f t="array" ref="U571">index('Query Tool'!B:B,match(C571,'Query Tool'!C:C,0))</f>
        <v>0</v>
      </c>
      <c r="V571" s="161" t="b">
        <f>F571&gt;='Query Tool'!C$32</f>
        <v>1</v>
      </c>
      <c r="W571" s="161" t="b">
        <f t="array" ref="W571">index(Dropdowns!B:B,match(I571,Dropdowns!A:A,0))</f>
        <v>1</v>
      </c>
      <c r="X571" s="161" t="b">
        <f t="array" ref="X571">index('Query Tool'!B:B,match(D571,'Query Tool'!C:C,0))</f>
        <v>1</v>
      </c>
      <c r="Y571" s="161" t="str">
        <f t="shared" si="6"/>
        <v>fryech01,2014-15</v>
      </c>
      <c r="Z571" s="168">
        <f t="array" ref="Z571">iferror(index(I:I,match($A571&amp;","&amp;index('Year Conversion'!$A:$A,match($C571,'Year Conversion'!$B:$B,0)),$Y:$Y,0))-I571,"")</f>
        <v>1</v>
      </c>
      <c r="AA571" s="168">
        <f t="array" ref="AA571">iferror(index(J:J,match($A571&amp;","&amp;index('Year Conversion'!$A:$A,match($C571,'Year Conversion'!$B:$B,0)),$Y:$Y,0))-J571,"")</f>
        <v>2.661954966</v>
      </c>
      <c r="AB571" s="168">
        <f t="array" ref="AB571">iferror(index(K:K,match($A571&amp;","&amp;index('Year Conversion'!$A:$A,match($C571,'Year Conversion'!$B:$B,0)),$Y:$Y,0))-K571,"")</f>
        <v>1.834101044</v>
      </c>
      <c r="AC571" s="168" t="str">
        <f t="shared" si="7"/>
        <v>ORL,2014-15</v>
      </c>
    </row>
    <row r="572">
      <c r="A572" s="161" t="str">
        <f>IFERROR(__xludf.DUMMYFUNCTION("""COMPUTED_VALUE"""),"willide01")</f>
        <v>willide01</v>
      </c>
      <c r="B572" s="161" t="str">
        <f>IFERROR(__xludf.DUMMYFUNCTION("""COMPUTED_VALUE"""),"Deron Williams")</f>
        <v>Deron Williams</v>
      </c>
      <c r="C572" s="162" t="str">
        <f>IFERROR(__xludf.DUMMYFUNCTION("""COMPUTED_VALUE"""),"2014-15")</f>
        <v>2014-15</v>
      </c>
      <c r="D572" s="163" t="str">
        <f>IFERROR(__xludf.DUMMYFUNCTION("""COMPUTED_VALUE"""),"BRK")</f>
        <v>BRK</v>
      </c>
      <c r="E572" s="164" t="str">
        <f>IFERROR(__xludf.DUMMYFUNCTION("""COMPUTED_VALUE"""),"Primary Ball Handler")</f>
        <v>Primary Ball Handler</v>
      </c>
      <c r="F572" s="164">
        <f>IFERROR(__xludf.DUMMYFUNCTION("""COMPUTED_VALUE"""),2114.03666666667)</f>
        <v>2114.036667</v>
      </c>
      <c r="G572" s="163">
        <f>IFERROR(__xludf.DUMMYFUNCTION("""COMPUTED_VALUE"""),68.0)</f>
        <v>68</v>
      </c>
      <c r="H572" s="163" t="str">
        <f>IFERROR(__xludf.DUMMYFUNCTION("""COMPUTED_VALUE"""),"PG")</f>
        <v>PG</v>
      </c>
      <c r="I572" s="163">
        <f>IFERROR(__xludf.DUMMYFUNCTION("""COMPUTED_VALUE"""),30.0)</f>
        <v>30</v>
      </c>
      <c r="J572" s="165">
        <f>IFERROR(__xludf.DUMMYFUNCTION("""COMPUTED_VALUE"""),1.25842816031268)</f>
        <v>1.25842816</v>
      </c>
      <c r="K572" s="165">
        <f>IFERROR(__xludf.DUMMYFUNCTION("""COMPUTED_VALUE"""),1.50096329575501)</f>
        <v>1.500963296</v>
      </c>
      <c r="L572" s="165">
        <f>IFERROR(__xludf.DUMMYFUNCTION("""COMPUTED_VALUE"""),-0.242535135442331)</f>
        <v>-0.2425351354</v>
      </c>
      <c r="M572" s="166">
        <f t="shared" si="2"/>
        <v>5.048794222</v>
      </c>
      <c r="N572" s="167">
        <f t="shared" si="3"/>
        <v>31.08877451</v>
      </c>
      <c r="O572" s="163">
        <f t="shared" ref="O572:Q572" si="576">rank(I572,I:I)</f>
        <v>655</v>
      </c>
      <c r="P572" s="163">
        <f t="shared" si="576"/>
        <v>543</v>
      </c>
      <c r="Q572" s="163">
        <f t="shared" si="576"/>
        <v>323</v>
      </c>
      <c r="R572" s="163">
        <f>IFERROR(__xludf.DUMMYFUNCTION("RANK(M572,filter(M:M,C:C=C572))"),57.0)</f>
        <v>57</v>
      </c>
      <c r="S572" s="161" t="b">
        <f t="shared" si="5"/>
        <v>0</v>
      </c>
      <c r="T572" s="161" t="b">
        <f t="array" ref="T572">index('Query Tool'!B:B,match(H572,'Query Tool'!C:C,0))</f>
        <v>1</v>
      </c>
      <c r="U572" s="161" t="b">
        <f t="array" ref="U572">index('Query Tool'!B:B,match(C572,'Query Tool'!C:C,0))</f>
        <v>0</v>
      </c>
      <c r="V572" s="161" t="b">
        <f>F572&gt;='Query Tool'!C$32</f>
        <v>1</v>
      </c>
      <c r="W572" s="161" t="b">
        <f t="array" ref="W572">index(Dropdowns!B:B,match(I572,Dropdowns!A:A,0))</f>
        <v>1</v>
      </c>
      <c r="X572" s="161" t="b">
        <f t="array" ref="X572">index('Query Tool'!B:B,match(D572,'Query Tool'!C:C,0))</f>
        <v>1</v>
      </c>
      <c r="Y572" s="161" t="str">
        <f t="shared" si="6"/>
        <v>willide01,2014-15</v>
      </c>
      <c r="Z572" s="168">
        <f t="array" ref="Z572">iferror(index(I:I,match($A572&amp;","&amp;index('Year Conversion'!$A:$A,match($C572,'Year Conversion'!$B:$B,0)),$Y:$Y,0))-I572,"")</f>
        <v>1</v>
      </c>
      <c r="AA572" s="168">
        <f t="array" ref="AA572">iferror(index(J:J,match($A572&amp;","&amp;index('Year Conversion'!$A:$A,match($C572,'Year Conversion'!$B:$B,0)),$Y:$Y,0))-J572,"")</f>
        <v>-1.292378942</v>
      </c>
      <c r="AB572" s="168">
        <f t="array" ref="AB572">iferror(index(K:K,match($A572&amp;","&amp;index('Year Conversion'!$A:$A,match($C572,'Year Conversion'!$B:$B,0)),$Y:$Y,0))-K572,"")</f>
        <v>-1.037858245</v>
      </c>
      <c r="AC572" s="168" t="str">
        <f t="shared" si="7"/>
        <v>BRK,2014-15</v>
      </c>
    </row>
    <row r="573">
      <c r="A573" s="161" t="str">
        <f>IFERROR(__xludf.DUMMYFUNCTION("""COMPUTED_VALUE"""),"grangda01")</f>
        <v>grangda01</v>
      </c>
      <c r="B573" s="161" t="str">
        <f>IFERROR(__xludf.DUMMYFUNCTION("""COMPUTED_VALUE"""),"Danny Granger")</f>
        <v>Danny Granger</v>
      </c>
      <c r="C573" s="162" t="str">
        <f>IFERROR(__xludf.DUMMYFUNCTION("""COMPUTED_VALUE"""),"2014-15")</f>
        <v>2014-15</v>
      </c>
      <c r="D573" s="163" t="str">
        <f>IFERROR(__xludf.DUMMYFUNCTION("""COMPUTED_VALUE"""),"MIA")</f>
        <v>MIA</v>
      </c>
      <c r="E573" s="164" t="str">
        <f>IFERROR(__xludf.DUMMYFUNCTION("""COMPUTED_VALUE"""),"Stationary Shooter")</f>
        <v>Stationary Shooter</v>
      </c>
      <c r="F573" s="164">
        <f>IFERROR(__xludf.DUMMYFUNCTION("""COMPUTED_VALUE"""),612.741666666667)</f>
        <v>612.7416667</v>
      </c>
      <c r="G573" s="163">
        <f>IFERROR(__xludf.DUMMYFUNCTION("""COMPUTED_VALUE"""),30.0)</f>
        <v>30</v>
      </c>
      <c r="H573" s="163" t="str">
        <f>IFERROR(__xludf.DUMMYFUNCTION("""COMPUTED_VALUE"""),"SF")</f>
        <v>SF</v>
      </c>
      <c r="I573" s="163">
        <f>IFERROR(__xludf.DUMMYFUNCTION("""COMPUTED_VALUE"""),31.0)</f>
        <v>31</v>
      </c>
      <c r="J573" s="165">
        <f>IFERROR(__xludf.DUMMYFUNCTION("""COMPUTED_VALUE"""),-2.067519281428)</f>
        <v>-2.067519281</v>
      </c>
      <c r="K573" s="165">
        <f>IFERROR(__xludf.DUMMYFUNCTION("""COMPUTED_VALUE"""),-1.16666936919649)</f>
        <v>-1.166669369</v>
      </c>
      <c r="L573" s="165">
        <f>IFERROR(__xludf.DUMMYFUNCTION("""COMPUTED_VALUE"""),-0.900849912231507)</f>
        <v>-0.9008499122</v>
      </c>
      <c r="M573" s="166">
        <f t="shared" si="2"/>
        <v>0.09557857792</v>
      </c>
      <c r="N573" s="167">
        <f t="shared" si="3"/>
        <v>20.42472222</v>
      </c>
      <c r="O573" s="163">
        <f t="shared" ref="O573:Q573" si="577">rank(I573,I:I)</f>
        <v>490</v>
      </c>
      <c r="P573" s="163">
        <f t="shared" si="577"/>
        <v>3530</v>
      </c>
      <c r="Q573" s="163">
        <f t="shared" si="577"/>
        <v>3004</v>
      </c>
      <c r="R573" s="163">
        <f>IFERROR(__xludf.DUMMYFUNCTION("RANK(M573,filter(M:M,C:C=C573))"),385.0)</f>
        <v>385</v>
      </c>
      <c r="S573" s="161" t="b">
        <f t="shared" si="5"/>
        <v>0</v>
      </c>
      <c r="T573" s="161" t="b">
        <f t="array" ref="T573">index('Query Tool'!B:B,match(H573,'Query Tool'!C:C,0))</f>
        <v>1</v>
      </c>
      <c r="U573" s="161" t="b">
        <f t="array" ref="U573">index('Query Tool'!B:B,match(C573,'Query Tool'!C:C,0))</f>
        <v>0</v>
      </c>
      <c r="V573" s="161" t="b">
        <f>F573&gt;='Query Tool'!C$32</f>
        <v>1</v>
      </c>
      <c r="W573" s="161" t="b">
        <f t="array" ref="W573">index(Dropdowns!B:B,match(I573,Dropdowns!A:A,0))</f>
        <v>1</v>
      </c>
      <c r="X573" s="161" t="b">
        <f t="array" ref="X573">index('Query Tool'!B:B,match(D573,'Query Tool'!C:C,0))</f>
        <v>1</v>
      </c>
      <c r="Y573" s="161" t="str">
        <f t="shared" si="6"/>
        <v>grangda01,2014-15</v>
      </c>
      <c r="Z573" s="168" t="str">
        <f t="array" ref="Z573">iferror(index(I:I,match($A573&amp;","&amp;index('Year Conversion'!$A:$A,match($C573,'Year Conversion'!$B:$B,0)),$Y:$Y,0))-I573,"")</f>
        <v/>
      </c>
      <c r="AA573" s="168" t="str">
        <f t="array" ref="AA573">iferror(index(J:J,match($A573&amp;","&amp;index('Year Conversion'!$A:$A,match($C573,'Year Conversion'!$B:$B,0)),$Y:$Y,0))-J573,"")</f>
        <v/>
      </c>
      <c r="AB573" s="168" t="str">
        <f t="array" ref="AB573">iferror(index(K:K,match($A573&amp;","&amp;index('Year Conversion'!$A:$A,match($C573,'Year Conversion'!$B:$B,0)),$Y:$Y,0))-K573,"")</f>
        <v/>
      </c>
      <c r="AC573" s="168" t="str">
        <f t="shared" si="7"/>
        <v>MIA,2014-15</v>
      </c>
    </row>
    <row r="574">
      <c r="A574" s="161" t="str">
        <f>IFERROR(__xludf.DUMMYFUNCTION("""COMPUTED_VALUE"""),"greenge01")</f>
        <v>greenge01</v>
      </c>
      <c r="B574" s="161" t="str">
        <f>IFERROR(__xludf.DUMMYFUNCTION("""COMPUTED_VALUE"""),"Gerald Green")</f>
        <v>Gerald Green</v>
      </c>
      <c r="C574" s="162" t="str">
        <f>IFERROR(__xludf.DUMMYFUNCTION("""COMPUTED_VALUE"""),"2014-15")</f>
        <v>2014-15</v>
      </c>
      <c r="D574" s="163" t="str">
        <f>IFERROR(__xludf.DUMMYFUNCTION("""COMPUTED_VALUE"""),"PHO")</f>
        <v>PHO</v>
      </c>
      <c r="E574" s="164" t="str">
        <f>IFERROR(__xludf.DUMMYFUNCTION("""COMPUTED_VALUE"""),"Shot Creator")</f>
        <v>Shot Creator</v>
      </c>
      <c r="F574" s="164">
        <f>IFERROR(__xludf.DUMMYFUNCTION("""COMPUTED_VALUE"""),1446.18333333333)</f>
        <v>1446.183333</v>
      </c>
      <c r="G574" s="163">
        <f>IFERROR(__xludf.DUMMYFUNCTION("""COMPUTED_VALUE"""),74.0)</f>
        <v>74</v>
      </c>
      <c r="H574" s="163" t="str">
        <f>IFERROR(__xludf.DUMMYFUNCTION("""COMPUTED_VALUE"""),"SG")</f>
        <v>SG</v>
      </c>
      <c r="I574" s="163">
        <f>IFERROR(__xludf.DUMMYFUNCTION("""COMPUTED_VALUE"""),29.0)</f>
        <v>29</v>
      </c>
      <c r="J574" s="165">
        <f>IFERROR(__xludf.DUMMYFUNCTION("""COMPUTED_VALUE"""),-1.15543069110143)</f>
        <v>-1.155430691</v>
      </c>
      <c r="K574" s="165">
        <f>IFERROR(__xludf.DUMMYFUNCTION("""COMPUTED_VALUE"""),0.869647852313854)</f>
        <v>0.8696478523</v>
      </c>
      <c r="L574" s="165">
        <f>IFERROR(__xludf.DUMMYFUNCTION("""COMPUTED_VALUE"""),-2.02507854341528)</f>
        <v>-2.025078543</v>
      </c>
      <c r="M574" s="166">
        <f t="shared" si="2"/>
        <v>1.105069964</v>
      </c>
      <c r="N574" s="167">
        <f t="shared" si="3"/>
        <v>19.54301802</v>
      </c>
      <c r="O574" s="163">
        <f t="shared" ref="O574:Q574" si="578">rank(I574,I:I)</f>
        <v>855</v>
      </c>
      <c r="P574" s="163">
        <f t="shared" si="578"/>
        <v>2688</v>
      </c>
      <c r="Q574" s="163">
        <f t="shared" si="578"/>
        <v>566</v>
      </c>
      <c r="R574" s="163">
        <f>IFERROR(__xludf.DUMMYFUNCTION("RANK(M574,filter(M:M,C:C=C574))"),226.0)</f>
        <v>226</v>
      </c>
      <c r="S574" s="161" t="b">
        <f t="shared" si="5"/>
        <v>0</v>
      </c>
      <c r="T574" s="161" t="b">
        <f t="array" ref="T574">index('Query Tool'!B:B,match(H574,'Query Tool'!C:C,0))</f>
        <v>1</v>
      </c>
      <c r="U574" s="161" t="b">
        <f t="array" ref="U574">index('Query Tool'!B:B,match(C574,'Query Tool'!C:C,0))</f>
        <v>0</v>
      </c>
      <c r="V574" s="161" t="b">
        <f>F574&gt;='Query Tool'!C$32</f>
        <v>1</v>
      </c>
      <c r="W574" s="161" t="b">
        <f t="array" ref="W574">index(Dropdowns!B:B,match(I574,Dropdowns!A:A,0))</f>
        <v>1</v>
      </c>
      <c r="X574" s="161" t="b">
        <f t="array" ref="X574">index('Query Tool'!B:B,match(D574,'Query Tool'!C:C,0))</f>
        <v>1</v>
      </c>
      <c r="Y574" s="161" t="str">
        <f t="shared" si="6"/>
        <v>greenge01,2014-15</v>
      </c>
      <c r="Z574" s="168">
        <f t="array" ref="Z574">iferror(index(I:I,match($A574&amp;","&amp;index('Year Conversion'!$A:$A,match($C574,'Year Conversion'!$B:$B,0)),$Y:$Y,0))-I574,"")</f>
        <v>1</v>
      </c>
      <c r="AA574" s="168">
        <f t="array" ref="AA574">iferror(index(J:J,match($A574&amp;","&amp;index('Year Conversion'!$A:$A,match($C574,'Year Conversion'!$B:$B,0)),$Y:$Y,0))-J574,"")</f>
        <v>-0.4504348126</v>
      </c>
      <c r="AB574" s="168">
        <f t="array" ref="AB574">iferror(index(K:K,match($A574&amp;","&amp;index('Year Conversion'!$A:$A,match($C574,'Year Conversion'!$B:$B,0)),$Y:$Y,0))-K574,"")</f>
        <v>-1.101024133</v>
      </c>
      <c r="AC574" s="168" t="str">
        <f t="shared" si="7"/>
        <v>PHO,2014-15</v>
      </c>
    </row>
    <row r="575">
      <c r="A575" s="161" t="str">
        <f>IFERROR(__xludf.DUMMYFUNCTION("""COMPUTED_VALUE"""),"robinna01")</f>
        <v>robinna01</v>
      </c>
      <c r="B575" s="161" t="str">
        <f>IFERROR(__xludf.DUMMYFUNCTION("""COMPUTED_VALUE"""),"Nate Robinson")</f>
        <v>Nate Robinson</v>
      </c>
      <c r="C575" s="162" t="str">
        <f>IFERROR(__xludf.DUMMYFUNCTION("""COMPUTED_VALUE"""),"2014-15")</f>
        <v>2014-15</v>
      </c>
      <c r="D575" s="163" t="str">
        <f>IFERROR(__xludf.DUMMYFUNCTION("""COMPUTED_VALUE"""),"TOT")</f>
        <v>TOT</v>
      </c>
      <c r="E575" s="164" t="str">
        <f>IFERROR(__xludf.DUMMYFUNCTION("""COMPUTED_VALUE"""),"Secondary Ball Handler")</f>
        <v>Secondary Ball Handler</v>
      </c>
      <c r="F575" s="164">
        <f>IFERROR(__xludf.DUMMYFUNCTION("""COMPUTED_VALUE"""),590.933333333333)</f>
        <v>590.9333333</v>
      </c>
      <c r="G575" s="163">
        <f>IFERROR(__xludf.DUMMYFUNCTION("""COMPUTED_VALUE"""),42.0)</f>
        <v>42</v>
      </c>
      <c r="H575" s="163" t="str">
        <f>IFERROR(__xludf.DUMMYFUNCTION("""COMPUTED_VALUE"""),"PG")</f>
        <v>PG</v>
      </c>
      <c r="I575" s="163">
        <f>IFERROR(__xludf.DUMMYFUNCTION("""COMPUTED_VALUE"""),30.0)</f>
        <v>30</v>
      </c>
      <c r="J575" s="165">
        <f>IFERROR(__xludf.DUMMYFUNCTION("""COMPUTED_VALUE"""),-1.48816783441263)</f>
        <v>-1.488167834</v>
      </c>
      <c r="K575" s="165">
        <f>IFERROR(__xludf.DUMMYFUNCTION("""COMPUTED_VALUE"""),-0.564317978260481)</f>
        <v>-0.5643179783</v>
      </c>
      <c r="L575" s="165">
        <f>IFERROR(__xludf.DUMMYFUNCTION("""COMPUTED_VALUE"""),-0.92384985615215)</f>
        <v>-0.9238498562</v>
      </c>
      <c r="M575" s="166">
        <f t="shared" si="2"/>
        <v>0.3199516671</v>
      </c>
      <c r="N575" s="167">
        <f t="shared" si="3"/>
        <v>14.06984127</v>
      </c>
      <c r="O575" s="163">
        <f t="shared" ref="O575:Q575" si="579">rank(I575,I:I)</f>
        <v>655</v>
      </c>
      <c r="P575" s="163">
        <f t="shared" si="579"/>
        <v>3042</v>
      </c>
      <c r="Q575" s="163">
        <f t="shared" si="579"/>
        <v>2209</v>
      </c>
      <c r="R575" s="163">
        <f>IFERROR(__xludf.DUMMYFUNCTION("RANK(M575,filter(M:M,C:C=C575))"),307.0)</f>
        <v>307</v>
      </c>
      <c r="S575" s="161" t="b">
        <f t="shared" si="5"/>
        <v>0</v>
      </c>
      <c r="T575" s="161" t="b">
        <f t="array" ref="T575">index('Query Tool'!B:B,match(H575,'Query Tool'!C:C,0))</f>
        <v>1</v>
      </c>
      <c r="U575" s="161" t="b">
        <f t="array" ref="U575">index('Query Tool'!B:B,match(C575,'Query Tool'!C:C,0))</f>
        <v>0</v>
      </c>
      <c r="V575" s="161" t="b">
        <f>F575&gt;='Query Tool'!C$32</f>
        <v>1</v>
      </c>
      <c r="W575" s="161" t="b">
        <f t="array" ref="W575">index(Dropdowns!B:B,match(I575,Dropdowns!A:A,0))</f>
        <v>1</v>
      </c>
      <c r="X575" s="161" t="b">
        <f t="array" ref="X575">index('Query Tool'!B:B,match(D575,'Query Tool'!C:C,0))</f>
        <v>1</v>
      </c>
      <c r="Y575" s="161" t="str">
        <f t="shared" si="6"/>
        <v>robinna01,2014-15</v>
      </c>
      <c r="Z575" s="168">
        <f t="array" ref="Z575">iferror(index(I:I,match($A575&amp;","&amp;index('Year Conversion'!$A:$A,match($C575,'Year Conversion'!$B:$B,0)),$Y:$Y,0))-I575,"")</f>
        <v>1</v>
      </c>
      <c r="AA575" s="168">
        <f t="array" ref="AA575">iferror(index(J:J,match($A575&amp;","&amp;index('Year Conversion'!$A:$A,match($C575,'Year Conversion'!$B:$B,0)),$Y:$Y,0))-J575,"")</f>
        <v>1.327780348</v>
      </c>
      <c r="AB575" s="168">
        <f t="array" ref="AB575">iferror(index(K:K,match($A575&amp;","&amp;index('Year Conversion'!$A:$A,match($C575,'Year Conversion'!$B:$B,0)),$Y:$Y,0))-K575,"")</f>
        <v>0.2951273684</v>
      </c>
      <c r="AC575" s="168" t="str">
        <f t="shared" si="7"/>
        <v>TOT,2014-15</v>
      </c>
    </row>
    <row r="576">
      <c r="A576" s="161" t="str">
        <f>IFERROR(__xludf.DUMMYFUNCTION("""COMPUTED_VALUE"""),"jackja01")</f>
        <v>jackja01</v>
      </c>
      <c r="B576" s="161" t="str">
        <f>IFERROR(__xludf.DUMMYFUNCTION("""COMPUTED_VALUE"""),"Jarrett Jack")</f>
        <v>Jarrett Jack</v>
      </c>
      <c r="C576" s="162" t="str">
        <f>IFERROR(__xludf.DUMMYFUNCTION("""COMPUTED_VALUE"""),"2014-15")</f>
        <v>2014-15</v>
      </c>
      <c r="D576" s="163" t="str">
        <f>IFERROR(__xludf.DUMMYFUNCTION("""COMPUTED_VALUE"""),"BRK")</f>
        <v>BRK</v>
      </c>
      <c r="E576" s="164" t="str">
        <f>IFERROR(__xludf.DUMMYFUNCTION("""COMPUTED_VALUE"""),"Slasher")</f>
        <v>Slasher</v>
      </c>
      <c r="F576" s="164">
        <f>IFERROR(__xludf.DUMMYFUNCTION("""COMPUTED_VALUE"""),2240.87833333333)</f>
        <v>2240.878333</v>
      </c>
      <c r="G576" s="163">
        <f>IFERROR(__xludf.DUMMYFUNCTION("""COMPUTED_VALUE"""),80.0)</f>
        <v>80</v>
      </c>
      <c r="H576" s="163" t="str">
        <f>IFERROR(__xludf.DUMMYFUNCTION("""COMPUTED_VALUE"""),"PG")</f>
        <v>PG</v>
      </c>
      <c r="I576" s="163">
        <f>IFERROR(__xludf.DUMMYFUNCTION("""COMPUTED_VALUE"""),31.0)</f>
        <v>31</v>
      </c>
      <c r="J576" s="165">
        <f>IFERROR(__xludf.DUMMYFUNCTION("""COMPUTED_VALUE"""),-2.78066695263565)</f>
        <v>-2.780666953</v>
      </c>
      <c r="K576" s="165">
        <f>IFERROR(__xludf.DUMMYFUNCTION("""COMPUTED_VALUE"""),-0.839815078483902)</f>
        <v>-0.8398150785</v>
      </c>
      <c r="L576" s="165">
        <f>IFERROR(__xludf.DUMMYFUNCTION("""COMPUTED_VALUE"""),-1.94085187415175)</f>
        <v>-1.940851874</v>
      </c>
      <c r="M576" s="166">
        <f t="shared" si="2"/>
        <v>-0.7017301524</v>
      </c>
      <c r="N576" s="167">
        <f t="shared" si="3"/>
        <v>28.01097917</v>
      </c>
      <c r="O576" s="163">
        <f t="shared" ref="O576:Q576" si="580">rank(I576,I:I)</f>
        <v>490</v>
      </c>
      <c r="P576" s="163">
        <f t="shared" si="580"/>
        <v>3840</v>
      </c>
      <c r="Q576" s="163">
        <f t="shared" si="580"/>
        <v>2603</v>
      </c>
      <c r="R576" s="163">
        <f>IFERROR(__xludf.DUMMYFUNCTION("RANK(M576,filter(M:M,C:C=C576))"),486.0)</f>
        <v>486</v>
      </c>
      <c r="S576" s="161" t="b">
        <f t="shared" si="5"/>
        <v>0</v>
      </c>
      <c r="T576" s="161" t="b">
        <f t="array" ref="T576">index('Query Tool'!B:B,match(H576,'Query Tool'!C:C,0))</f>
        <v>1</v>
      </c>
      <c r="U576" s="161" t="b">
        <f t="array" ref="U576">index('Query Tool'!B:B,match(C576,'Query Tool'!C:C,0))</f>
        <v>0</v>
      </c>
      <c r="V576" s="161" t="b">
        <f>F576&gt;='Query Tool'!C$32</f>
        <v>1</v>
      </c>
      <c r="W576" s="161" t="b">
        <f t="array" ref="W576">index(Dropdowns!B:B,match(I576,Dropdowns!A:A,0))</f>
        <v>1</v>
      </c>
      <c r="X576" s="161" t="b">
        <f t="array" ref="X576">index('Query Tool'!B:B,match(D576,'Query Tool'!C:C,0))</f>
        <v>1</v>
      </c>
      <c r="Y576" s="161" t="str">
        <f t="shared" si="6"/>
        <v>jackja01,2014-15</v>
      </c>
      <c r="Z576" s="168">
        <f t="array" ref="Z576">iferror(index(I:I,match($A576&amp;","&amp;index('Year Conversion'!$A:$A,match($C576,'Year Conversion'!$B:$B,0)),$Y:$Y,0))-I576,"")</f>
        <v>1</v>
      </c>
      <c r="AA576" s="168">
        <f t="array" ref="AA576">iferror(index(J:J,match($A576&amp;","&amp;index('Year Conversion'!$A:$A,match($C576,'Year Conversion'!$B:$B,0)),$Y:$Y,0))-J576,"")</f>
        <v>3.155127939</v>
      </c>
      <c r="AB576" s="168">
        <f t="array" ref="AB576">iferror(index(K:K,match($A576&amp;","&amp;index('Year Conversion'!$A:$A,match($C576,'Year Conversion'!$B:$B,0)),$Y:$Y,0))-K576,"")</f>
        <v>1.304671982</v>
      </c>
      <c r="AC576" s="168" t="str">
        <f t="shared" si="7"/>
        <v>BRK,2014-15</v>
      </c>
    </row>
    <row r="577">
      <c r="A577" s="161" t="str">
        <f>IFERROR(__xludf.DUMMYFUNCTION("""COMPUTED_VALUE"""),"garcifr01")</f>
        <v>garcifr01</v>
      </c>
      <c r="B577" s="161" t="str">
        <f>IFERROR(__xludf.DUMMYFUNCTION("""COMPUTED_VALUE"""),"Francisco Garcia")</f>
        <v>Francisco Garcia</v>
      </c>
      <c r="C577" s="162" t="str">
        <f>IFERROR(__xludf.DUMMYFUNCTION("""COMPUTED_VALUE"""),"2014-15")</f>
        <v>2014-15</v>
      </c>
      <c r="D577" s="163" t="str">
        <f>IFERROR(__xludf.DUMMYFUNCTION("""COMPUTED_VALUE"""),"HOU")</f>
        <v>HOU</v>
      </c>
      <c r="E577" s="164" t="str">
        <f>IFERROR(__xludf.DUMMYFUNCTION("""COMPUTED_VALUE"""),"Stationary Shooter")</f>
        <v>Stationary Shooter</v>
      </c>
      <c r="F577" s="164">
        <f>IFERROR(__xludf.DUMMYFUNCTION("""COMPUTED_VALUE"""),200.401666666667)</f>
        <v>200.4016667</v>
      </c>
      <c r="G577" s="163">
        <f>IFERROR(__xludf.DUMMYFUNCTION("""COMPUTED_VALUE"""),14.0)</f>
        <v>14</v>
      </c>
      <c r="H577" s="163" t="str">
        <f>IFERROR(__xludf.DUMMYFUNCTION("""COMPUTED_VALUE"""),"SF")</f>
        <v>SF</v>
      </c>
      <c r="I577" s="163">
        <f>IFERROR(__xludf.DUMMYFUNCTION("""COMPUTED_VALUE"""),33.0)</f>
        <v>33</v>
      </c>
      <c r="J577" s="165">
        <f>IFERROR(__xludf.DUMMYFUNCTION("""COMPUTED_VALUE"""),-0.701197606984264)</f>
        <v>-0.701197607</v>
      </c>
      <c r="K577" s="165">
        <f>IFERROR(__xludf.DUMMYFUNCTION("""COMPUTED_VALUE"""),-0.285290768264379)</f>
        <v>-0.2852907683</v>
      </c>
      <c r="L577" s="165">
        <f>IFERROR(__xludf.DUMMYFUNCTION("""COMPUTED_VALUE"""),-0.415906838719886)</f>
        <v>-0.4159068387</v>
      </c>
      <c r="M577" s="166">
        <f t="shared" si="2"/>
        <v>0.2142792843</v>
      </c>
      <c r="N577" s="167">
        <f t="shared" si="3"/>
        <v>14.31440476</v>
      </c>
      <c r="O577" s="163">
        <f t="shared" ref="O577:Q577" si="581">rank(I577,I:I)</f>
        <v>246</v>
      </c>
      <c r="P577" s="163">
        <f t="shared" si="581"/>
        <v>2143</v>
      </c>
      <c r="Q577" s="163">
        <f t="shared" si="581"/>
        <v>1737</v>
      </c>
      <c r="R577" s="163">
        <f>IFERROR(__xludf.DUMMYFUNCTION("RANK(M577,filter(M:M,C:C=C577))"),333.0)</f>
        <v>333</v>
      </c>
      <c r="S577" s="161" t="b">
        <f t="shared" si="5"/>
        <v>0</v>
      </c>
      <c r="T577" s="161" t="b">
        <f t="array" ref="T577">index('Query Tool'!B:B,match(H577,'Query Tool'!C:C,0))</f>
        <v>1</v>
      </c>
      <c r="U577" s="161" t="b">
        <f t="array" ref="U577">index('Query Tool'!B:B,match(C577,'Query Tool'!C:C,0))</f>
        <v>0</v>
      </c>
      <c r="V577" s="161" t="b">
        <f>F577&gt;='Query Tool'!C$32</f>
        <v>0</v>
      </c>
      <c r="W577" s="161" t="b">
        <f t="array" ref="W577">index(Dropdowns!B:B,match(I577,Dropdowns!A:A,0))</f>
        <v>1</v>
      </c>
      <c r="X577" s="161" t="b">
        <f t="array" ref="X577">index('Query Tool'!B:B,match(D577,'Query Tool'!C:C,0))</f>
        <v>1</v>
      </c>
      <c r="Y577" s="161" t="str">
        <f t="shared" si="6"/>
        <v>garcifr01,2014-15</v>
      </c>
      <c r="Z577" s="168" t="str">
        <f t="array" ref="Z577">iferror(index(I:I,match($A577&amp;","&amp;index('Year Conversion'!$A:$A,match($C577,'Year Conversion'!$B:$B,0)),$Y:$Y,0))-I577,"")</f>
        <v/>
      </c>
      <c r="AA577" s="168" t="str">
        <f t="array" ref="AA577">iferror(index(J:J,match($A577&amp;","&amp;index('Year Conversion'!$A:$A,match($C577,'Year Conversion'!$B:$B,0)),$Y:$Y,0))-J577,"")</f>
        <v/>
      </c>
      <c r="AB577" s="168" t="str">
        <f t="array" ref="AB577">iferror(index(K:K,match($A577&amp;","&amp;index('Year Conversion'!$A:$A,match($C577,'Year Conversion'!$B:$B,0)),$Y:$Y,0))-K577,"")</f>
        <v/>
      </c>
      <c r="AC577" s="168" t="str">
        <f t="shared" si="7"/>
        <v>HOU,2014-15</v>
      </c>
    </row>
    <row r="578">
      <c r="A578" s="161" t="str">
        <f>IFERROR(__xludf.DUMMYFUNCTION("""COMPUTED_VALUE"""),"maxieja01")</f>
        <v>maxieja01</v>
      </c>
      <c r="B578" s="161" t="str">
        <f>IFERROR(__xludf.DUMMYFUNCTION("""COMPUTED_VALUE"""),"Jason Maxiell")</f>
        <v>Jason Maxiell</v>
      </c>
      <c r="C578" s="162" t="str">
        <f>IFERROR(__xludf.DUMMYFUNCTION("""COMPUTED_VALUE"""),"2014-15")</f>
        <v>2014-15</v>
      </c>
      <c r="D578" s="163" t="str">
        <f>IFERROR(__xludf.DUMMYFUNCTION("""COMPUTED_VALUE"""),"CHO")</f>
        <v>CHO</v>
      </c>
      <c r="E578" s="164" t="str">
        <f>IFERROR(__xludf.DUMMYFUNCTION("""COMPUTED_VALUE"""),"Roll + Cut Big")</f>
        <v>Roll + Cut Big</v>
      </c>
      <c r="F578" s="164">
        <f>IFERROR(__xludf.DUMMYFUNCTION("""COMPUTED_VALUE"""),877.903333333334)</f>
        <v>877.9033333</v>
      </c>
      <c r="G578" s="163">
        <f>IFERROR(__xludf.DUMMYFUNCTION("""COMPUTED_VALUE"""),61.0)</f>
        <v>61</v>
      </c>
      <c r="H578" s="163" t="str">
        <f>IFERROR(__xludf.DUMMYFUNCTION("""COMPUTED_VALUE"""),"PF")</f>
        <v>PF</v>
      </c>
      <c r="I578" s="163">
        <f>IFERROR(__xludf.DUMMYFUNCTION("""COMPUTED_VALUE"""),31.0)</f>
        <v>31</v>
      </c>
      <c r="J578" s="165">
        <f>IFERROR(__xludf.DUMMYFUNCTION("""COMPUTED_VALUE"""),-1.07629545746279)</f>
        <v>-1.076295457</v>
      </c>
      <c r="K578" s="165">
        <f>IFERROR(__xludf.DUMMYFUNCTION("""COMPUTED_VALUE"""),-2.2431417063865)</f>
        <v>-2.243141706</v>
      </c>
      <c r="L578" s="165">
        <f>IFERROR(__xludf.DUMMYFUNCTION("""COMPUTED_VALUE"""),1.16684624892371)</f>
        <v>1.166846249</v>
      </c>
      <c r="M578" s="166">
        <f t="shared" si="2"/>
        <v>0.717426726</v>
      </c>
      <c r="N578" s="167">
        <f t="shared" si="3"/>
        <v>14.39185792</v>
      </c>
      <c r="O578" s="163">
        <f t="shared" ref="O578:Q578" si="582">rank(I578,I:I)</f>
        <v>490</v>
      </c>
      <c r="P578" s="163">
        <f t="shared" si="582"/>
        <v>2585</v>
      </c>
      <c r="Q578" s="163">
        <f t="shared" si="582"/>
        <v>3816</v>
      </c>
      <c r="R578" s="163">
        <f>IFERROR(__xludf.DUMMYFUNCTION("RANK(M578,filter(M:M,C:C=C578))"),257.0)</f>
        <v>257</v>
      </c>
      <c r="S578" s="161" t="b">
        <f t="shared" si="5"/>
        <v>0</v>
      </c>
      <c r="T578" s="161" t="b">
        <f t="array" ref="T578">index('Query Tool'!B:B,match(H578,'Query Tool'!C:C,0))</f>
        <v>1</v>
      </c>
      <c r="U578" s="161" t="b">
        <f t="array" ref="U578">index('Query Tool'!B:B,match(C578,'Query Tool'!C:C,0))</f>
        <v>0</v>
      </c>
      <c r="V578" s="161" t="b">
        <f>F578&gt;='Query Tool'!C$32</f>
        <v>1</v>
      </c>
      <c r="W578" s="161" t="b">
        <f t="array" ref="W578">index(Dropdowns!B:B,match(I578,Dropdowns!A:A,0))</f>
        <v>1</v>
      </c>
      <c r="X578" s="161" t="b">
        <f t="array" ref="X578">index('Query Tool'!B:B,match(D578,'Query Tool'!C:C,0))</f>
        <v>1</v>
      </c>
      <c r="Y578" s="161" t="str">
        <f t="shared" si="6"/>
        <v>maxieja01,2014-15</v>
      </c>
      <c r="Z578" s="168" t="str">
        <f t="array" ref="Z578">iferror(index(I:I,match($A578&amp;","&amp;index('Year Conversion'!$A:$A,match($C578,'Year Conversion'!$B:$B,0)),$Y:$Y,0))-I578,"")</f>
        <v/>
      </c>
      <c r="AA578" s="168" t="str">
        <f t="array" ref="AA578">iferror(index(J:J,match($A578&amp;","&amp;index('Year Conversion'!$A:$A,match($C578,'Year Conversion'!$B:$B,0)),$Y:$Y,0))-J578,"")</f>
        <v/>
      </c>
      <c r="AB578" s="168" t="str">
        <f t="array" ref="AB578">iferror(index(K:K,match($A578&amp;","&amp;index('Year Conversion'!$A:$A,match($C578,'Year Conversion'!$B:$B,0)),$Y:$Y,0))-K578,"")</f>
        <v/>
      </c>
      <c r="AC578" s="168" t="str">
        <f t="shared" si="7"/>
        <v>CHO,2014-15</v>
      </c>
    </row>
    <row r="579">
      <c r="A579" s="161" t="str">
        <f>IFERROR(__xludf.DUMMYFUNCTION("""COMPUTED_VALUE"""),"mahinia01")</f>
        <v>mahinia01</v>
      </c>
      <c r="B579" s="161" t="str">
        <f>IFERROR(__xludf.DUMMYFUNCTION("""COMPUTED_VALUE"""),"Ian Mahinmi")</f>
        <v>Ian Mahinmi</v>
      </c>
      <c r="C579" s="162" t="str">
        <f>IFERROR(__xludf.DUMMYFUNCTION("""COMPUTED_VALUE"""),"2014-15")</f>
        <v>2014-15</v>
      </c>
      <c r="D579" s="163" t="str">
        <f>IFERROR(__xludf.DUMMYFUNCTION("""COMPUTED_VALUE"""),"IND")</f>
        <v>IND</v>
      </c>
      <c r="E579" s="164" t="str">
        <f>IFERROR(__xludf.DUMMYFUNCTION("""COMPUTED_VALUE"""),"Post Scorer")</f>
        <v>Post Scorer</v>
      </c>
      <c r="F579" s="164">
        <f>IFERROR(__xludf.DUMMYFUNCTION("""COMPUTED_VALUE"""),1145.85166666667)</f>
        <v>1145.851667</v>
      </c>
      <c r="G579" s="163">
        <f>IFERROR(__xludf.DUMMYFUNCTION("""COMPUTED_VALUE"""),61.0)</f>
        <v>61</v>
      </c>
      <c r="H579" s="163" t="str">
        <f>IFERROR(__xludf.DUMMYFUNCTION("""COMPUTED_VALUE"""),"C")</f>
        <v>C</v>
      </c>
      <c r="I579" s="163">
        <f>IFERROR(__xludf.DUMMYFUNCTION("""COMPUTED_VALUE"""),28.0)</f>
        <v>28</v>
      </c>
      <c r="J579" s="165">
        <f>IFERROR(__xludf.DUMMYFUNCTION("""COMPUTED_VALUE"""),-0.111956990452585)</f>
        <v>-0.1119569905</v>
      </c>
      <c r="K579" s="165">
        <f>IFERROR(__xludf.DUMMYFUNCTION("""COMPUTED_VALUE"""),-2.20780380962151)</f>
        <v>-2.20780381</v>
      </c>
      <c r="L579" s="165">
        <f>IFERROR(__xludf.DUMMYFUNCTION("""COMPUTED_VALUE"""),2.09584681916893)</f>
        <v>2.095846819</v>
      </c>
      <c r="M579" s="166">
        <f t="shared" si="2"/>
        <v>1.680033641</v>
      </c>
      <c r="N579" s="167">
        <f t="shared" si="3"/>
        <v>18.78445355</v>
      </c>
      <c r="O579" s="163">
        <f t="shared" ref="O579:Q579" si="583">rank(I579,I:I)</f>
        <v>1090</v>
      </c>
      <c r="P579" s="163">
        <f t="shared" si="583"/>
        <v>1395</v>
      </c>
      <c r="Q579" s="163">
        <f t="shared" si="583"/>
        <v>3805</v>
      </c>
      <c r="R579" s="163">
        <f>IFERROR(__xludf.DUMMYFUNCTION("RANK(M579,filter(M:M,C:C=C579))"),187.0)</f>
        <v>187</v>
      </c>
      <c r="S579" s="161" t="b">
        <f t="shared" si="5"/>
        <v>0</v>
      </c>
      <c r="T579" s="161" t="b">
        <f t="array" ref="T579">index('Query Tool'!B:B,match(H579,'Query Tool'!C:C,0))</f>
        <v>1</v>
      </c>
      <c r="U579" s="161" t="b">
        <f t="array" ref="U579">index('Query Tool'!B:B,match(C579,'Query Tool'!C:C,0))</f>
        <v>0</v>
      </c>
      <c r="V579" s="161" t="b">
        <f>F579&gt;='Query Tool'!C$32</f>
        <v>1</v>
      </c>
      <c r="W579" s="161" t="b">
        <f t="array" ref="W579">index(Dropdowns!B:B,match(I579,Dropdowns!A:A,0))</f>
        <v>1</v>
      </c>
      <c r="X579" s="161" t="b">
        <f t="array" ref="X579">index('Query Tool'!B:B,match(D579,'Query Tool'!C:C,0))</f>
        <v>1</v>
      </c>
      <c r="Y579" s="161" t="str">
        <f t="shared" si="6"/>
        <v>mahinia01,2014-15</v>
      </c>
      <c r="Z579" s="168">
        <f t="array" ref="Z579">iferror(index(I:I,match($A579&amp;","&amp;index('Year Conversion'!$A:$A,match($C579,'Year Conversion'!$B:$B,0)),$Y:$Y,0))-I579,"")</f>
        <v>1</v>
      </c>
      <c r="AA579" s="168">
        <f t="array" ref="AA579">iferror(index(J:J,match($A579&amp;","&amp;index('Year Conversion'!$A:$A,match($C579,'Year Conversion'!$B:$B,0)),$Y:$Y,0))-J579,"")</f>
        <v>1.440244388</v>
      </c>
      <c r="AB579" s="168">
        <f t="array" ref="AB579">iferror(index(K:K,match($A579&amp;","&amp;index('Year Conversion'!$A:$A,match($C579,'Year Conversion'!$B:$B,0)),$Y:$Y,0))-K579,"")</f>
        <v>0.7286077797</v>
      </c>
      <c r="AC579" s="168" t="str">
        <f t="shared" si="7"/>
        <v>IND,2014-15</v>
      </c>
    </row>
    <row r="580">
      <c r="A580" s="161" t="str">
        <f>IFERROR(__xludf.DUMMYFUNCTION("""COMPUTED_VALUE"""),"leeda02")</f>
        <v>leeda02</v>
      </c>
      <c r="B580" s="161" t="str">
        <f>IFERROR(__xludf.DUMMYFUNCTION("""COMPUTED_VALUE"""),"David Lee")</f>
        <v>David Lee</v>
      </c>
      <c r="C580" s="162" t="str">
        <f>IFERROR(__xludf.DUMMYFUNCTION("""COMPUTED_VALUE"""),"2014-15")</f>
        <v>2014-15</v>
      </c>
      <c r="D580" s="163" t="str">
        <f>IFERROR(__xludf.DUMMYFUNCTION("""COMPUTED_VALUE"""),"GSW")</f>
        <v>GSW</v>
      </c>
      <c r="E580" s="164" t="str">
        <f>IFERROR(__xludf.DUMMYFUNCTION("""COMPUTED_VALUE"""),"Post Scorer")</f>
        <v>Post Scorer</v>
      </c>
      <c r="F580" s="164">
        <f>IFERROR(__xludf.DUMMYFUNCTION("""COMPUTED_VALUE"""),904.373333333334)</f>
        <v>904.3733333</v>
      </c>
      <c r="G580" s="163">
        <f>IFERROR(__xludf.DUMMYFUNCTION("""COMPUTED_VALUE"""),49.0)</f>
        <v>49</v>
      </c>
      <c r="H580" s="163" t="str">
        <f>IFERROR(__xludf.DUMMYFUNCTION("""COMPUTED_VALUE"""),"PF")</f>
        <v>PF</v>
      </c>
      <c r="I580" s="163">
        <f>IFERROR(__xludf.DUMMYFUNCTION("""COMPUTED_VALUE"""),31.0)</f>
        <v>31</v>
      </c>
      <c r="J580" s="165">
        <f>IFERROR(__xludf.DUMMYFUNCTION("""COMPUTED_VALUE"""),0.0837719126840925)</f>
        <v>0.08377191268</v>
      </c>
      <c r="K580" s="165">
        <f>IFERROR(__xludf.DUMMYFUNCTION("""COMPUTED_VALUE"""),-0.0434066006612861)</f>
        <v>-0.04340660066</v>
      </c>
      <c r="L580" s="165">
        <f>IFERROR(__xludf.DUMMYFUNCTION("""COMPUTED_VALUE"""),0.127178513345379)</f>
        <v>0.1271785133</v>
      </c>
      <c r="M580" s="166">
        <f t="shared" si="2"/>
        <v>1.445319075</v>
      </c>
      <c r="N580" s="167">
        <f t="shared" si="3"/>
        <v>18.45659864</v>
      </c>
      <c r="O580" s="163">
        <f t="shared" ref="O580:Q580" si="584">rank(I580,I:I)</f>
        <v>490</v>
      </c>
      <c r="P580" s="163">
        <f t="shared" si="584"/>
        <v>1209</v>
      </c>
      <c r="Q580" s="163">
        <f t="shared" si="584"/>
        <v>1262</v>
      </c>
      <c r="R580" s="163">
        <f>IFERROR(__xludf.DUMMYFUNCTION("RANK(M580,filter(M:M,C:C=C580))"),202.0)</f>
        <v>202</v>
      </c>
      <c r="S580" s="161" t="b">
        <f t="shared" si="5"/>
        <v>0</v>
      </c>
      <c r="T580" s="161" t="b">
        <f t="array" ref="T580">index('Query Tool'!B:B,match(H580,'Query Tool'!C:C,0))</f>
        <v>1</v>
      </c>
      <c r="U580" s="161" t="b">
        <f t="array" ref="U580">index('Query Tool'!B:B,match(C580,'Query Tool'!C:C,0))</f>
        <v>0</v>
      </c>
      <c r="V580" s="161" t="b">
        <f>F580&gt;='Query Tool'!C$32</f>
        <v>1</v>
      </c>
      <c r="W580" s="161" t="b">
        <f t="array" ref="W580">index(Dropdowns!B:B,match(I580,Dropdowns!A:A,0))</f>
        <v>1</v>
      </c>
      <c r="X580" s="161" t="b">
        <f t="array" ref="X580">index('Query Tool'!B:B,match(D580,'Query Tool'!C:C,0))</f>
        <v>1</v>
      </c>
      <c r="Y580" s="161" t="str">
        <f t="shared" si="6"/>
        <v>leeda02,2014-15</v>
      </c>
      <c r="Z580" s="168">
        <f t="array" ref="Z580">iferror(index(I:I,match($A580&amp;","&amp;index('Year Conversion'!$A:$A,match($C580,'Year Conversion'!$B:$B,0)),$Y:$Y,0))-I580,"")</f>
        <v>1</v>
      </c>
      <c r="AA580" s="168">
        <f t="array" ref="AA580">iferror(index(J:J,match($A580&amp;","&amp;index('Year Conversion'!$A:$A,match($C580,'Year Conversion'!$B:$B,0)),$Y:$Y,0))-J580,"")</f>
        <v>0.006693215611</v>
      </c>
      <c r="AB580" s="168">
        <f t="array" ref="AB580">iferror(index(K:K,match($A580&amp;","&amp;index('Year Conversion'!$A:$A,match($C580,'Year Conversion'!$B:$B,0)),$Y:$Y,0))-K580,"")</f>
        <v>-0.4071632887</v>
      </c>
      <c r="AC580" s="168" t="str">
        <f t="shared" si="7"/>
        <v>GSW,2014-15</v>
      </c>
    </row>
    <row r="581">
      <c r="A581" s="161" t="str">
        <f>IFERROR(__xludf.DUMMYFUNCTION("""COMPUTED_VALUE"""),"bassbr01")</f>
        <v>bassbr01</v>
      </c>
      <c r="B581" s="161" t="str">
        <f>IFERROR(__xludf.DUMMYFUNCTION("""COMPUTED_VALUE"""),"Brandon Bass")</f>
        <v>Brandon Bass</v>
      </c>
      <c r="C581" s="162" t="str">
        <f>IFERROR(__xludf.DUMMYFUNCTION("""COMPUTED_VALUE"""),"2014-15")</f>
        <v>2014-15</v>
      </c>
      <c r="D581" s="163" t="str">
        <f>IFERROR(__xludf.DUMMYFUNCTION("""COMPUTED_VALUE"""),"BOS")</f>
        <v>BOS</v>
      </c>
      <c r="E581" s="164" t="str">
        <f>IFERROR(__xludf.DUMMYFUNCTION("""COMPUTED_VALUE"""),"Roll + Cut Big")</f>
        <v>Roll + Cut Big</v>
      </c>
      <c r="F581" s="164">
        <f>IFERROR(__xludf.DUMMYFUNCTION("""COMPUTED_VALUE"""),1928.67)</f>
        <v>1928.67</v>
      </c>
      <c r="G581" s="163">
        <f>IFERROR(__xludf.DUMMYFUNCTION("""COMPUTED_VALUE"""),82.0)</f>
        <v>82</v>
      </c>
      <c r="H581" s="163" t="str">
        <f>IFERROR(__xludf.DUMMYFUNCTION("""COMPUTED_VALUE"""),"PF")</f>
        <v>PF</v>
      </c>
      <c r="I581" s="163">
        <f>IFERROR(__xludf.DUMMYFUNCTION("""COMPUTED_VALUE"""),29.0)</f>
        <v>29</v>
      </c>
      <c r="J581" s="165">
        <f>IFERROR(__xludf.DUMMYFUNCTION("""COMPUTED_VALUE"""),-0.450356911027059)</f>
        <v>-0.450356911</v>
      </c>
      <c r="K581" s="165">
        <f>IFERROR(__xludf.DUMMYFUNCTION("""COMPUTED_VALUE"""),-0.39769157251904)</f>
        <v>-0.3976915725</v>
      </c>
      <c r="L581" s="165">
        <f>IFERROR(__xludf.DUMMYFUNCTION("""COMPUTED_VALUE"""),-0.0526653385080197)</f>
        <v>-0.05266533851</v>
      </c>
      <c r="M581" s="166">
        <f t="shared" si="2"/>
        <v>2.387936749</v>
      </c>
      <c r="N581" s="167">
        <f t="shared" si="3"/>
        <v>23.52036585</v>
      </c>
      <c r="O581" s="163">
        <f t="shared" ref="O581:Q581" si="585">rank(I581,I:I)</f>
        <v>855</v>
      </c>
      <c r="P581" s="163">
        <f t="shared" si="585"/>
        <v>1776</v>
      </c>
      <c r="Q581" s="163">
        <f t="shared" si="585"/>
        <v>1938</v>
      </c>
      <c r="R581" s="163">
        <f>IFERROR(__xludf.DUMMYFUNCTION("RANK(M581,filter(M:M,C:C=C581))"),150.0)</f>
        <v>150</v>
      </c>
      <c r="S581" s="161" t="b">
        <f t="shared" si="5"/>
        <v>0</v>
      </c>
      <c r="T581" s="161" t="b">
        <f t="array" ref="T581">index('Query Tool'!B:B,match(H581,'Query Tool'!C:C,0))</f>
        <v>1</v>
      </c>
      <c r="U581" s="161" t="b">
        <f t="array" ref="U581">index('Query Tool'!B:B,match(C581,'Query Tool'!C:C,0))</f>
        <v>0</v>
      </c>
      <c r="V581" s="161" t="b">
        <f>F581&gt;='Query Tool'!C$32</f>
        <v>1</v>
      </c>
      <c r="W581" s="161" t="b">
        <f t="array" ref="W581">index(Dropdowns!B:B,match(I581,Dropdowns!A:A,0))</f>
        <v>1</v>
      </c>
      <c r="X581" s="161" t="b">
        <f t="array" ref="X581">index('Query Tool'!B:B,match(D581,'Query Tool'!C:C,0))</f>
        <v>1</v>
      </c>
      <c r="Y581" s="161" t="str">
        <f t="shared" si="6"/>
        <v>bassbr01,2014-15</v>
      </c>
      <c r="Z581" s="168">
        <f t="array" ref="Z581">iferror(index(I:I,match($A581&amp;","&amp;index('Year Conversion'!$A:$A,match($C581,'Year Conversion'!$B:$B,0)),$Y:$Y,0))-I581,"")</f>
        <v>1</v>
      </c>
      <c r="AA581" s="168">
        <f t="array" ref="AA581">iferror(index(J:J,match($A581&amp;","&amp;index('Year Conversion'!$A:$A,match($C581,'Year Conversion'!$B:$B,0)),$Y:$Y,0))-J581,"")</f>
        <v>1.117577286</v>
      </c>
      <c r="AB581" s="168">
        <f t="array" ref="AB581">iferror(index(K:K,match($A581&amp;","&amp;index('Year Conversion'!$A:$A,match($C581,'Year Conversion'!$B:$B,0)),$Y:$Y,0))-K581,"")</f>
        <v>1.338396496</v>
      </c>
      <c r="AC581" s="168" t="str">
        <f t="shared" si="7"/>
        <v>BOS,2014-15</v>
      </c>
    </row>
    <row r="582">
      <c r="A582" s="161" t="str">
        <f>IFERROR(__xludf.DUMMYFUNCTION("""COMPUTED_VALUE"""),"milescj01")</f>
        <v>milescj01</v>
      </c>
      <c r="B582" s="161" t="str">
        <f>IFERROR(__xludf.DUMMYFUNCTION("""COMPUTED_VALUE"""),"CJ Miles")</f>
        <v>CJ Miles</v>
      </c>
      <c r="C582" s="162" t="str">
        <f>IFERROR(__xludf.DUMMYFUNCTION("""COMPUTED_VALUE"""),"2014-15")</f>
        <v>2014-15</v>
      </c>
      <c r="D582" s="163" t="str">
        <f>IFERROR(__xludf.DUMMYFUNCTION("""COMPUTED_VALUE"""),"IND")</f>
        <v>IND</v>
      </c>
      <c r="E582" s="164" t="str">
        <f>IFERROR(__xludf.DUMMYFUNCTION("""COMPUTED_VALUE"""),"Off Screen Shooter")</f>
        <v>Off Screen Shooter</v>
      </c>
      <c r="F582" s="164">
        <f>IFERROR(__xludf.DUMMYFUNCTION("""COMPUTED_VALUE"""),1841.06166666667)</f>
        <v>1841.061667</v>
      </c>
      <c r="G582" s="163">
        <f>IFERROR(__xludf.DUMMYFUNCTION("""COMPUTED_VALUE"""),70.0)</f>
        <v>70</v>
      </c>
      <c r="H582" s="163" t="str">
        <f>IFERROR(__xludf.DUMMYFUNCTION("""COMPUTED_VALUE"""),"SG")</f>
        <v>SG</v>
      </c>
      <c r="I582" s="163">
        <f>IFERROR(__xludf.DUMMYFUNCTION("""COMPUTED_VALUE"""),27.0)</f>
        <v>27</v>
      </c>
      <c r="J582" s="165">
        <f>IFERROR(__xludf.DUMMYFUNCTION("""COMPUTED_VALUE"""),1.63637502365562)</f>
        <v>1.636375024</v>
      </c>
      <c r="K582" s="165">
        <f>IFERROR(__xludf.DUMMYFUNCTION("""COMPUTED_VALUE"""),1.09160874375313)</f>
        <v>1.091608744</v>
      </c>
      <c r="L582" s="165">
        <f>IFERROR(__xludf.DUMMYFUNCTION("""COMPUTED_VALUE"""),0.54476627990249)</f>
        <v>0.5447662799</v>
      </c>
      <c r="M582" s="166">
        <f t="shared" si="2"/>
        <v>4.861891131</v>
      </c>
      <c r="N582" s="167">
        <f t="shared" si="3"/>
        <v>26.30088095</v>
      </c>
      <c r="O582" s="163">
        <f t="shared" ref="O582:Q582" si="586">rank(I582,I:I)</f>
        <v>1366</v>
      </c>
      <c r="P582" s="163">
        <f t="shared" si="586"/>
        <v>420</v>
      </c>
      <c r="Q582" s="163">
        <f t="shared" si="586"/>
        <v>456</v>
      </c>
      <c r="R582" s="163">
        <f>IFERROR(__xludf.DUMMYFUNCTION("RANK(M582,filter(M:M,C:C=C582))"),60.0)</f>
        <v>60</v>
      </c>
      <c r="S582" s="161" t="b">
        <f t="shared" si="5"/>
        <v>0</v>
      </c>
      <c r="T582" s="161" t="b">
        <f t="array" ref="T582">index('Query Tool'!B:B,match(H582,'Query Tool'!C:C,0))</f>
        <v>1</v>
      </c>
      <c r="U582" s="161" t="b">
        <f t="array" ref="U582">index('Query Tool'!B:B,match(C582,'Query Tool'!C:C,0))</f>
        <v>0</v>
      </c>
      <c r="V582" s="161" t="b">
        <f>F582&gt;='Query Tool'!C$32</f>
        <v>1</v>
      </c>
      <c r="W582" s="161" t="b">
        <f t="array" ref="W582">index(Dropdowns!B:B,match(I582,Dropdowns!A:A,0))</f>
        <v>1</v>
      </c>
      <c r="X582" s="161" t="b">
        <f t="array" ref="X582">index('Query Tool'!B:B,match(D582,'Query Tool'!C:C,0))</f>
        <v>1</v>
      </c>
      <c r="Y582" s="161" t="str">
        <f t="shared" si="6"/>
        <v>milescj01,2014-15</v>
      </c>
      <c r="Z582" s="168">
        <f t="array" ref="Z582">iferror(index(I:I,match($A582&amp;","&amp;index('Year Conversion'!$A:$A,match($C582,'Year Conversion'!$B:$B,0)),$Y:$Y,0))-I582,"")</f>
        <v>1</v>
      </c>
      <c r="AA582" s="168">
        <f t="array" ref="AA582">iferror(index(J:J,match($A582&amp;","&amp;index('Year Conversion'!$A:$A,match($C582,'Year Conversion'!$B:$B,0)),$Y:$Y,0))-J582,"")</f>
        <v>-2.302993658</v>
      </c>
      <c r="AB582" s="168">
        <f t="array" ref="AB582">iferror(index(K:K,match($A582&amp;","&amp;index('Year Conversion'!$A:$A,match($C582,'Year Conversion'!$B:$B,0)),$Y:$Y,0))-K582,"")</f>
        <v>-0.8785347439</v>
      </c>
      <c r="AC582" s="168" t="str">
        <f t="shared" si="7"/>
        <v>IND,2014-15</v>
      </c>
    </row>
    <row r="583">
      <c r="A583" s="161" t="str">
        <f>IFERROR(__xludf.DUMMYFUNCTION("""COMPUTED_VALUE"""),"ilyaser01")</f>
        <v>ilyaser01</v>
      </c>
      <c r="B583" s="161" t="str">
        <f>IFERROR(__xludf.DUMMYFUNCTION("""COMPUTED_VALUE"""),"Ersan Ilyasova")</f>
        <v>Ersan Ilyasova</v>
      </c>
      <c r="C583" s="162" t="str">
        <f>IFERROR(__xludf.DUMMYFUNCTION("""COMPUTED_VALUE"""),"2014-15")</f>
        <v>2014-15</v>
      </c>
      <c r="D583" s="163" t="str">
        <f>IFERROR(__xludf.DUMMYFUNCTION("""COMPUTED_VALUE"""),"MIL")</f>
        <v>MIL</v>
      </c>
      <c r="E583" s="164" t="str">
        <f>IFERROR(__xludf.DUMMYFUNCTION("""COMPUTED_VALUE"""),"Stretch Big")</f>
        <v>Stretch Big</v>
      </c>
      <c r="F583" s="164">
        <f>IFERROR(__xludf.DUMMYFUNCTION("""COMPUTED_VALUE"""),1319.00666666667)</f>
        <v>1319.006667</v>
      </c>
      <c r="G583" s="163">
        <f>IFERROR(__xludf.DUMMYFUNCTION("""COMPUTED_VALUE"""),58.0)</f>
        <v>58</v>
      </c>
      <c r="H583" s="163" t="str">
        <f>IFERROR(__xludf.DUMMYFUNCTION("""COMPUTED_VALUE"""),"PF")</f>
        <v>PF</v>
      </c>
      <c r="I583" s="163">
        <f>IFERROR(__xludf.DUMMYFUNCTION("""COMPUTED_VALUE"""),27.0)</f>
        <v>27</v>
      </c>
      <c r="J583" s="165">
        <f>IFERROR(__xludf.DUMMYFUNCTION("""COMPUTED_VALUE"""),0.632359395713583)</f>
        <v>0.6323593957</v>
      </c>
      <c r="K583" s="165">
        <f>IFERROR(__xludf.DUMMYFUNCTION("""COMPUTED_VALUE"""),0.757408765197928)</f>
        <v>0.7574087652</v>
      </c>
      <c r="L583" s="165">
        <f>IFERROR(__xludf.DUMMYFUNCTION("""COMPUTED_VALUE"""),-0.125049369484346)</f>
        <v>-0.1250493695</v>
      </c>
      <c r="M583" s="166">
        <f t="shared" si="2"/>
        <v>2.595488902</v>
      </c>
      <c r="N583" s="167">
        <f t="shared" si="3"/>
        <v>22.74149425</v>
      </c>
      <c r="O583" s="163">
        <f t="shared" ref="O583:Q583" si="587">rank(I583,I:I)</f>
        <v>1366</v>
      </c>
      <c r="P583" s="163">
        <f t="shared" si="587"/>
        <v>829</v>
      </c>
      <c r="Q583" s="163">
        <f t="shared" si="587"/>
        <v>620</v>
      </c>
      <c r="R583" s="163">
        <f>IFERROR(__xludf.DUMMYFUNCTION("RANK(M583,filter(M:M,C:C=C583))"),136.0)</f>
        <v>136</v>
      </c>
      <c r="S583" s="161" t="b">
        <f t="shared" si="5"/>
        <v>0</v>
      </c>
      <c r="T583" s="161" t="b">
        <f t="array" ref="T583">index('Query Tool'!B:B,match(H583,'Query Tool'!C:C,0))</f>
        <v>1</v>
      </c>
      <c r="U583" s="161" t="b">
        <f t="array" ref="U583">index('Query Tool'!B:B,match(C583,'Query Tool'!C:C,0))</f>
        <v>0</v>
      </c>
      <c r="V583" s="161" t="b">
        <f>F583&gt;='Query Tool'!C$32</f>
        <v>1</v>
      </c>
      <c r="W583" s="161" t="b">
        <f t="array" ref="W583">index(Dropdowns!B:B,match(I583,Dropdowns!A:A,0))</f>
        <v>1</v>
      </c>
      <c r="X583" s="161" t="b">
        <f t="array" ref="X583">index('Query Tool'!B:B,match(D583,'Query Tool'!C:C,0))</f>
        <v>1</v>
      </c>
      <c r="Y583" s="161" t="str">
        <f t="shared" si="6"/>
        <v>ilyaser01,2014-15</v>
      </c>
      <c r="Z583" s="168">
        <f t="array" ref="Z583">iferror(index(I:I,match($A583&amp;","&amp;index('Year Conversion'!$A:$A,match($C583,'Year Conversion'!$B:$B,0)),$Y:$Y,0))-I583,"")</f>
        <v>1</v>
      </c>
      <c r="AA583" s="168">
        <f t="array" ref="AA583">iferror(index(J:J,match($A583&amp;","&amp;index('Year Conversion'!$A:$A,match($C583,'Year Conversion'!$B:$B,0)),$Y:$Y,0))-J583,"")</f>
        <v>-2.234563494</v>
      </c>
      <c r="AB583" s="168">
        <f t="array" ref="AB583">iferror(index(K:K,match($A583&amp;","&amp;index('Year Conversion'!$A:$A,match($C583,'Year Conversion'!$B:$B,0)),$Y:$Y,0))-K583,"")</f>
        <v>-1.791083552</v>
      </c>
      <c r="AC583" s="168" t="str">
        <f t="shared" si="7"/>
        <v>MIL,2014-15</v>
      </c>
    </row>
    <row r="584">
      <c r="A584" s="161" t="str">
        <f>IFERROR(__xludf.DUMMYFUNCTION("""COMPUTED_VALUE"""),"turiaro01")</f>
        <v>turiaro01</v>
      </c>
      <c r="B584" s="161" t="str">
        <f>IFERROR(__xludf.DUMMYFUNCTION("""COMPUTED_VALUE"""),"Ronny Turiaf")</f>
        <v>Ronny Turiaf</v>
      </c>
      <c r="C584" s="162" t="str">
        <f>IFERROR(__xludf.DUMMYFUNCTION("""COMPUTED_VALUE"""),"2014-15")</f>
        <v>2014-15</v>
      </c>
      <c r="D584" s="163" t="str">
        <f>IFERROR(__xludf.DUMMYFUNCTION("""COMPUTED_VALUE"""),"MIN")</f>
        <v>MIN</v>
      </c>
      <c r="E584" s="164" t="str">
        <f>IFERROR(__xludf.DUMMYFUNCTION("""COMPUTED_VALUE"""),"Roll + Cut Big")</f>
        <v>Roll + Cut Big</v>
      </c>
      <c r="F584" s="164">
        <f>IFERROR(__xludf.DUMMYFUNCTION("""COMPUTED_VALUE"""),19.3666666666667)</f>
        <v>19.36666667</v>
      </c>
      <c r="G584" s="163">
        <f>IFERROR(__xludf.DUMMYFUNCTION("""COMPUTED_VALUE"""),2.0)</f>
        <v>2</v>
      </c>
      <c r="H584" s="163" t="str">
        <f>IFERROR(__xludf.DUMMYFUNCTION("""COMPUTED_VALUE"""),"C")</f>
        <v>C</v>
      </c>
      <c r="I584" s="163">
        <f>IFERROR(__xludf.DUMMYFUNCTION("""COMPUTED_VALUE"""),32.0)</f>
        <v>32</v>
      </c>
      <c r="J584" s="165">
        <f>IFERROR(__xludf.DUMMYFUNCTION("""COMPUTED_VALUE"""),-0.0908303030129084)</f>
        <v>-0.09083030301</v>
      </c>
      <c r="K584" s="165">
        <f>IFERROR(__xludf.DUMMYFUNCTION("""COMPUTED_VALUE"""),-0.0967677399514221)</f>
        <v>-0.09676773995</v>
      </c>
      <c r="L584" s="165">
        <f>IFERROR(__xludf.DUMMYFUNCTION("""COMPUTED_VALUE"""),0.0059374369385137)</f>
        <v>0.005937436939</v>
      </c>
      <c r="M584" s="166">
        <f t="shared" si="2"/>
        <v>0.02867100408</v>
      </c>
      <c r="N584" s="167">
        <f t="shared" si="3"/>
        <v>9.683333333</v>
      </c>
      <c r="O584" s="163">
        <f t="shared" ref="O584:Q584" si="588">rank(I584,I:I)</f>
        <v>359</v>
      </c>
      <c r="P584" s="163">
        <f t="shared" si="588"/>
        <v>1377</v>
      </c>
      <c r="Q584" s="163">
        <f t="shared" si="588"/>
        <v>1362</v>
      </c>
      <c r="R584" s="163">
        <f>IFERROR(__xludf.DUMMYFUNCTION("RANK(M584,filter(M:M,C:C=C584))"),420.0)</f>
        <v>420</v>
      </c>
      <c r="S584" s="161" t="b">
        <f t="shared" si="5"/>
        <v>0</v>
      </c>
      <c r="T584" s="161" t="b">
        <f t="array" ref="T584">index('Query Tool'!B:B,match(H584,'Query Tool'!C:C,0))</f>
        <v>1</v>
      </c>
      <c r="U584" s="161" t="b">
        <f t="array" ref="U584">index('Query Tool'!B:B,match(C584,'Query Tool'!C:C,0))</f>
        <v>0</v>
      </c>
      <c r="V584" s="161" t="b">
        <f>F584&gt;='Query Tool'!C$32</f>
        <v>0</v>
      </c>
      <c r="W584" s="161" t="b">
        <f t="array" ref="W584">index(Dropdowns!B:B,match(I584,Dropdowns!A:A,0))</f>
        <v>1</v>
      </c>
      <c r="X584" s="161" t="b">
        <f t="array" ref="X584">index('Query Tool'!B:B,match(D584,'Query Tool'!C:C,0))</f>
        <v>1</v>
      </c>
      <c r="Y584" s="161" t="str">
        <f t="shared" si="6"/>
        <v>turiaro01,2014-15</v>
      </c>
      <c r="Z584" s="168" t="str">
        <f t="array" ref="Z584">iferror(index(I:I,match($A584&amp;","&amp;index('Year Conversion'!$A:$A,match($C584,'Year Conversion'!$B:$B,0)),$Y:$Y,0))-I584,"")</f>
        <v/>
      </c>
      <c r="AA584" s="168" t="str">
        <f t="array" ref="AA584">iferror(index(J:J,match($A584&amp;","&amp;index('Year Conversion'!$A:$A,match($C584,'Year Conversion'!$B:$B,0)),$Y:$Y,0))-J584,"")</f>
        <v/>
      </c>
      <c r="AB584" s="168" t="str">
        <f t="array" ref="AB584">iferror(index(K:K,match($A584&amp;","&amp;index('Year Conversion'!$A:$A,match($C584,'Year Conversion'!$B:$B,0)),$Y:$Y,0))-K584,"")</f>
        <v/>
      </c>
      <c r="AC584" s="168" t="str">
        <f t="shared" si="7"/>
        <v>MIN,2014-15</v>
      </c>
    </row>
    <row r="585">
      <c r="A585" s="161" t="str">
        <f>IFERROR(__xludf.DUMMYFUNCTION("""COMPUTED_VALUE"""),"ellismo01")</f>
        <v>ellismo01</v>
      </c>
      <c r="B585" s="161" t="str">
        <f>IFERROR(__xludf.DUMMYFUNCTION("""COMPUTED_VALUE"""),"Monta Ellis")</f>
        <v>Monta Ellis</v>
      </c>
      <c r="C585" s="162" t="str">
        <f>IFERROR(__xludf.DUMMYFUNCTION("""COMPUTED_VALUE"""),"2014-15")</f>
        <v>2014-15</v>
      </c>
      <c r="D585" s="163" t="str">
        <f>IFERROR(__xludf.DUMMYFUNCTION("""COMPUTED_VALUE"""),"DAL")</f>
        <v>DAL</v>
      </c>
      <c r="E585" s="164" t="str">
        <f>IFERROR(__xludf.DUMMYFUNCTION("""COMPUTED_VALUE"""),"Slasher")</f>
        <v>Slasher</v>
      </c>
      <c r="F585" s="164">
        <f>IFERROR(__xludf.DUMMYFUNCTION("""COMPUTED_VALUE"""),2699.245)</f>
        <v>2699.245</v>
      </c>
      <c r="G585" s="163">
        <f>IFERROR(__xludf.DUMMYFUNCTION("""COMPUTED_VALUE"""),80.0)</f>
        <v>80</v>
      </c>
      <c r="H585" s="163" t="str">
        <f>IFERROR(__xludf.DUMMYFUNCTION("""COMPUTED_VALUE"""),"SG")</f>
        <v>SG</v>
      </c>
      <c r="I585" s="163">
        <f>IFERROR(__xludf.DUMMYFUNCTION("""COMPUTED_VALUE"""),29.0)</f>
        <v>29</v>
      </c>
      <c r="J585" s="165">
        <f>IFERROR(__xludf.DUMMYFUNCTION("""COMPUTED_VALUE"""),0.378262546855772)</f>
        <v>0.3782625469</v>
      </c>
      <c r="K585" s="165">
        <f>IFERROR(__xludf.DUMMYFUNCTION("""COMPUTED_VALUE"""),0.976408580226418)</f>
        <v>0.9764085802</v>
      </c>
      <c r="L585" s="165">
        <f>IFERROR(__xludf.DUMMYFUNCTION("""COMPUTED_VALUE"""),-0.598146033370646)</f>
        <v>-0.5981460334</v>
      </c>
      <c r="M585" s="166">
        <f t="shared" si="2"/>
        <v>4.849562752</v>
      </c>
      <c r="N585" s="167">
        <f t="shared" si="3"/>
        <v>33.7405625</v>
      </c>
      <c r="O585" s="163">
        <f t="shared" ref="O585:Q585" si="589">rank(I585,I:I)</f>
        <v>855</v>
      </c>
      <c r="P585" s="163">
        <f t="shared" si="589"/>
        <v>964</v>
      </c>
      <c r="Q585" s="163">
        <f t="shared" si="589"/>
        <v>514</v>
      </c>
      <c r="R585" s="163">
        <f>IFERROR(__xludf.DUMMYFUNCTION("RANK(M585,filter(M:M,C:C=C585))"),62.0)</f>
        <v>62</v>
      </c>
      <c r="S585" s="161" t="b">
        <f t="shared" si="5"/>
        <v>0</v>
      </c>
      <c r="T585" s="161" t="b">
        <f t="array" ref="T585">index('Query Tool'!B:B,match(H585,'Query Tool'!C:C,0))</f>
        <v>1</v>
      </c>
      <c r="U585" s="161" t="b">
        <f t="array" ref="U585">index('Query Tool'!B:B,match(C585,'Query Tool'!C:C,0))</f>
        <v>0</v>
      </c>
      <c r="V585" s="161" t="b">
        <f>F585&gt;='Query Tool'!C$32</f>
        <v>1</v>
      </c>
      <c r="W585" s="161" t="b">
        <f t="array" ref="W585">index(Dropdowns!B:B,match(I585,Dropdowns!A:A,0))</f>
        <v>1</v>
      </c>
      <c r="X585" s="161" t="b">
        <f t="array" ref="X585">index('Query Tool'!B:B,match(D585,'Query Tool'!C:C,0))</f>
        <v>1</v>
      </c>
      <c r="Y585" s="161" t="str">
        <f t="shared" si="6"/>
        <v>ellismo01,2014-15</v>
      </c>
      <c r="Z585" s="168">
        <f t="array" ref="Z585">iferror(index(I:I,match($A585&amp;","&amp;index('Year Conversion'!$A:$A,match($C585,'Year Conversion'!$B:$B,0)),$Y:$Y,0))-I585,"")</f>
        <v>1</v>
      </c>
      <c r="AA585" s="168">
        <f t="array" ref="AA585">iferror(index(J:J,match($A585&amp;","&amp;index('Year Conversion'!$A:$A,match($C585,'Year Conversion'!$B:$B,0)),$Y:$Y,0))-J585,"")</f>
        <v>-0.3682538733</v>
      </c>
      <c r="AB585" s="168">
        <f t="array" ref="AB585">iferror(index(K:K,match($A585&amp;","&amp;index('Year Conversion'!$A:$A,match($C585,'Year Conversion'!$B:$B,0)),$Y:$Y,0))-K585,"")</f>
        <v>-1.533473009</v>
      </c>
      <c r="AC585" s="168" t="str">
        <f t="shared" si="7"/>
        <v>DAL,2014-15</v>
      </c>
    </row>
    <row r="586">
      <c r="A586" s="161" t="str">
        <f>IFERROR(__xludf.DUMMYFUNCTION("""COMPUTED_VALUE"""),"willilo02")</f>
        <v>willilo02</v>
      </c>
      <c r="B586" s="161" t="str">
        <f>IFERROR(__xludf.DUMMYFUNCTION("""COMPUTED_VALUE"""),"Lou Williams")</f>
        <v>Lou Williams</v>
      </c>
      <c r="C586" s="162" t="str">
        <f>IFERROR(__xludf.DUMMYFUNCTION("""COMPUTED_VALUE"""),"2014-15")</f>
        <v>2014-15</v>
      </c>
      <c r="D586" s="163" t="str">
        <f>IFERROR(__xludf.DUMMYFUNCTION("""COMPUTED_VALUE"""),"TOR")</f>
        <v>TOR</v>
      </c>
      <c r="E586" s="164" t="str">
        <f>IFERROR(__xludf.DUMMYFUNCTION("""COMPUTED_VALUE"""),"Shot Creator")</f>
        <v>Shot Creator</v>
      </c>
      <c r="F586" s="164">
        <f>IFERROR(__xludf.DUMMYFUNCTION("""COMPUTED_VALUE"""),2015.515)</f>
        <v>2015.515</v>
      </c>
      <c r="G586" s="163">
        <f>IFERROR(__xludf.DUMMYFUNCTION("""COMPUTED_VALUE"""),80.0)</f>
        <v>80</v>
      </c>
      <c r="H586" s="163" t="str">
        <f>IFERROR(__xludf.DUMMYFUNCTION("""COMPUTED_VALUE"""),"SG")</f>
        <v>SG</v>
      </c>
      <c r="I586" s="163">
        <f>IFERROR(__xludf.DUMMYFUNCTION("""COMPUTED_VALUE"""),28.0)</f>
        <v>28</v>
      </c>
      <c r="J586" s="165">
        <f>IFERROR(__xludf.DUMMYFUNCTION("""COMPUTED_VALUE"""),2.15614826732596)</f>
        <v>2.156148267</v>
      </c>
      <c r="K586" s="165">
        <f>IFERROR(__xludf.DUMMYFUNCTION("""COMPUTED_VALUE"""),3.95886084964865)</f>
        <v>3.95886085</v>
      </c>
      <c r="L586" s="165">
        <f>IFERROR(__xludf.DUMMYFUNCTION("""COMPUTED_VALUE"""),-1.80271258232269)</f>
        <v>-1.802712582</v>
      </c>
      <c r="M586" s="166">
        <f t="shared" si="2"/>
        <v>6.01833548</v>
      </c>
      <c r="N586" s="167">
        <f t="shared" si="3"/>
        <v>25.1939375</v>
      </c>
      <c r="O586" s="163">
        <f t="shared" ref="O586:Q586" si="590">rank(I586,I:I)</f>
        <v>1090</v>
      </c>
      <c r="P586" s="163">
        <f t="shared" si="590"/>
        <v>280</v>
      </c>
      <c r="Q586" s="163">
        <f t="shared" si="590"/>
        <v>63</v>
      </c>
      <c r="R586" s="163">
        <f>IFERROR(__xludf.DUMMYFUNCTION("RANK(M586,filter(M:M,C:C=C586))"),41.0)</f>
        <v>41</v>
      </c>
      <c r="S586" s="161" t="b">
        <f t="shared" si="5"/>
        <v>0</v>
      </c>
      <c r="T586" s="161" t="b">
        <f t="array" ref="T586">index('Query Tool'!B:B,match(H586,'Query Tool'!C:C,0))</f>
        <v>1</v>
      </c>
      <c r="U586" s="161" t="b">
        <f t="array" ref="U586">index('Query Tool'!B:B,match(C586,'Query Tool'!C:C,0))</f>
        <v>0</v>
      </c>
      <c r="V586" s="161" t="b">
        <f>F586&gt;='Query Tool'!C$32</f>
        <v>1</v>
      </c>
      <c r="W586" s="161" t="b">
        <f t="array" ref="W586">index(Dropdowns!B:B,match(I586,Dropdowns!A:A,0))</f>
        <v>1</v>
      </c>
      <c r="X586" s="161" t="b">
        <f t="array" ref="X586">index('Query Tool'!B:B,match(D586,'Query Tool'!C:C,0))</f>
        <v>1</v>
      </c>
      <c r="Y586" s="161" t="str">
        <f t="shared" si="6"/>
        <v>willilo02,2014-15</v>
      </c>
      <c r="Z586" s="168">
        <f t="array" ref="Z586">iferror(index(I:I,match($A586&amp;","&amp;index('Year Conversion'!$A:$A,match($C586,'Year Conversion'!$B:$B,0)),$Y:$Y,0))-I586,"")</f>
        <v>1</v>
      </c>
      <c r="AA586" s="168">
        <f t="array" ref="AA586">iferror(index(J:J,match($A586&amp;","&amp;index('Year Conversion'!$A:$A,match($C586,'Year Conversion'!$B:$B,0)),$Y:$Y,0))-J586,"")</f>
        <v>-2.611951585</v>
      </c>
      <c r="AB586" s="168">
        <f t="array" ref="AB586">iferror(index(K:K,match($A586&amp;","&amp;index('Year Conversion'!$A:$A,match($C586,'Year Conversion'!$B:$B,0)),$Y:$Y,0))-K586,"")</f>
        <v>-2.043838823</v>
      </c>
      <c r="AC586" s="168" t="str">
        <f t="shared" si="7"/>
        <v>TOR,2014-15</v>
      </c>
    </row>
    <row r="587">
      <c r="A587" s="161" t="str">
        <f>IFERROR(__xludf.DUMMYFUNCTION("""COMPUTED_VALUE"""),"johnsam01")</f>
        <v>johnsam01</v>
      </c>
      <c r="B587" s="161" t="str">
        <f>IFERROR(__xludf.DUMMYFUNCTION("""COMPUTED_VALUE"""),"Amir Johnson")</f>
        <v>Amir Johnson</v>
      </c>
      <c r="C587" s="162" t="str">
        <f>IFERROR(__xludf.DUMMYFUNCTION("""COMPUTED_VALUE"""),"2014-15")</f>
        <v>2014-15</v>
      </c>
      <c r="D587" s="163" t="str">
        <f>IFERROR(__xludf.DUMMYFUNCTION("""COMPUTED_VALUE"""),"TOR")</f>
        <v>TOR</v>
      </c>
      <c r="E587" s="164" t="str">
        <f>IFERROR(__xludf.DUMMYFUNCTION("""COMPUTED_VALUE"""),"Roll + Cut Big")</f>
        <v>Roll + Cut Big</v>
      </c>
      <c r="F587" s="164">
        <f>IFERROR(__xludf.DUMMYFUNCTION("""COMPUTED_VALUE"""),1978.75)</f>
        <v>1978.75</v>
      </c>
      <c r="G587" s="163">
        <f>IFERROR(__xludf.DUMMYFUNCTION("""COMPUTED_VALUE"""),75.0)</f>
        <v>75</v>
      </c>
      <c r="H587" s="163" t="str">
        <f>IFERROR(__xludf.DUMMYFUNCTION("""COMPUTED_VALUE"""),"PF")</f>
        <v>PF</v>
      </c>
      <c r="I587" s="163">
        <f>IFERROR(__xludf.DUMMYFUNCTION("""COMPUTED_VALUE"""),27.0)</f>
        <v>27</v>
      </c>
      <c r="J587" s="165">
        <f>IFERROR(__xludf.DUMMYFUNCTION("""COMPUTED_VALUE"""),-0.65438569414831)</f>
        <v>-0.6543856941</v>
      </c>
      <c r="K587" s="165">
        <f>IFERROR(__xludf.DUMMYFUNCTION("""COMPUTED_VALUE"""),-0.660217157730081)</f>
        <v>-0.6602171577</v>
      </c>
      <c r="L587" s="165">
        <f>IFERROR(__xludf.DUMMYFUNCTION("""COMPUTED_VALUE"""),0.00583146358177089)</f>
        <v>0.005831463582</v>
      </c>
      <c r="M587" s="166">
        <f t="shared" si="2"/>
        <v>2.178106603</v>
      </c>
      <c r="N587" s="167">
        <f t="shared" si="3"/>
        <v>26.38333333</v>
      </c>
      <c r="O587" s="163">
        <f t="shared" ref="O587:Q587" si="591">rank(I587,I:I)</f>
        <v>1366</v>
      </c>
      <c r="P587" s="163">
        <f t="shared" si="591"/>
        <v>2070</v>
      </c>
      <c r="Q587" s="163">
        <f t="shared" si="591"/>
        <v>2350</v>
      </c>
      <c r="R587" s="163">
        <f>IFERROR(__xludf.DUMMYFUNCTION("RANK(M587,filter(M:M,C:C=C587))"),160.0)</f>
        <v>160</v>
      </c>
      <c r="S587" s="161" t="b">
        <f t="shared" si="5"/>
        <v>0</v>
      </c>
      <c r="T587" s="161" t="b">
        <f t="array" ref="T587">index('Query Tool'!B:B,match(H587,'Query Tool'!C:C,0))</f>
        <v>1</v>
      </c>
      <c r="U587" s="161" t="b">
        <f t="array" ref="U587">index('Query Tool'!B:B,match(C587,'Query Tool'!C:C,0))</f>
        <v>0</v>
      </c>
      <c r="V587" s="161" t="b">
        <f>F587&gt;='Query Tool'!C$32</f>
        <v>1</v>
      </c>
      <c r="W587" s="161" t="b">
        <f t="array" ref="W587">index(Dropdowns!B:B,match(I587,Dropdowns!A:A,0))</f>
        <v>1</v>
      </c>
      <c r="X587" s="161" t="b">
        <f t="array" ref="X587">index('Query Tool'!B:B,match(D587,'Query Tool'!C:C,0))</f>
        <v>1</v>
      </c>
      <c r="Y587" s="161" t="str">
        <f t="shared" si="6"/>
        <v>johnsam01,2014-15</v>
      </c>
      <c r="Z587" s="168">
        <f t="array" ref="Z587">iferror(index(I:I,match($A587&amp;","&amp;index('Year Conversion'!$A:$A,match($C587,'Year Conversion'!$B:$B,0)),$Y:$Y,0))-I587,"")</f>
        <v>1</v>
      </c>
      <c r="AA587" s="168">
        <f t="array" ref="AA587">iferror(index(J:J,match($A587&amp;","&amp;index('Year Conversion'!$A:$A,match($C587,'Year Conversion'!$B:$B,0)),$Y:$Y,0))-J587,"")</f>
        <v>2.452083191</v>
      </c>
      <c r="AB587" s="168">
        <f t="array" ref="AB587">iferror(index(K:K,match($A587&amp;","&amp;index('Year Conversion'!$A:$A,match($C587,'Year Conversion'!$B:$B,0)),$Y:$Y,0))-K587,"")</f>
        <v>0.4634101282</v>
      </c>
      <c r="AC587" s="168" t="str">
        <f t="shared" si="7"/>
        <v>TOR,2014-15</v>
      </c>
    </row>
    <row r="588">
      <c r="A588" s="161" t="str">
        <f>IFERROR(__xludf.DUMMYFUNCTION("""COMPUTED_VALUE"""),"gortama01")</f>
        <v>gortama01</v>
      </c>
      <c r="B588" s="161" t="str">
        <f>IFERROR(__xludf.DUMMYFUNCTION("""COMPUTED_VALUE"""),"Marcin Gortat")</f>
        <v>Marcin Gortat</v>
      </c>
      <c r="C588" s="162" t="str">
        <f>IFERROR(__xludf.DUMMYFUNCTION("""COMPUTED_VALUE"""),"2014-15")</f>
        <v>2014-15</v>
      </c>
      <c r="D588" s="163" t="str">
        <f>IFERROR(__xludf.DUMMYFUNCTION("""COMPUTED_VALUE"""),"WAS")</f>
        <v>WAS</v>
      </c>
      <c r="E588" s="164" t="str">
        <f>IFERROR(__xludf.DUMMYFUNCTION("""COMPUTED_VALUE"""),"Post Scorer")</f>
        <v>Post Scorer</v>
      </c>
      <c r="F588" s="164">
        <f>IFERROR(__xludf.DUMMYFUNCTION("""COMPUTED_VALUE"""),2452.71666666667)</f>
        <v>2452.716667</v>
      </c>
      <c r="G588" s="163">
        <f>IFERROR(__xludf.DUMMYFUNCTION("""COMPUTED_VALUE"""),82.0)</f>
        <v>82</v>
      </c>
      <c r="H588" s="163" t="str">
        <f>IFERROR(__xludf.DUMMYFUNCTION("""COMPUTED_VALUE"""),"C")</f>
        <v>C</v>
      </c>
      <c r="I588" s="163">
        <f>IFERROR(__xludf.DUMMYFUNCTION("""COMPUTED_VALUE"""),30.0)</f>
        <v>30</v>
      </c>
      <c r="J588" s="165">
        <f>IFERROR(__xludf.DUMMYFUNCTION("""COMPUTED_VALUE"""),1.72304131743402)</f>
        <v>1.723041317</v>
      </c>
      <c r="K588" s="165">
        <f>IFERROR(__xludf.DUMMYFUNCTION("""COMPUTED_VALUE"""),-0.581462639977581)</f>
        <v>-0.58146264</v>
      </c>
      <c r="L588" s="165">
        <f>IFERROR(__xludf.DUMMYFUNCTION("""COMPUTED_VALUE"""),2.3045039574116)</f>
        <v>2.304503957</v>
      </c>
      <c r="M588" s="166">
        <f t="shared" si="2"/>
        <v>6.618793515</v>
      </c>
      <c r="N588" s="167">
        <f t="shared" si="3"/>
        <v>29.91117886</v>
      </c>
      <c r="O588" s="163">
        <f t="shared" ref="O588:Q588" si="592">rank(I588,I:I)</f>
        <v>655</v>
      </c>
      <c r="P588" s="163">
        <f t="shared" si="592"/>
        <v>389</v>
      </c>
      <c r="Q588" s="163">
        <f t="shared" si="592"/>
        <v>2235</v>
      </c>
      <c r="R588" s="163">
        <f>IFERROR(__xludf.DUMMYFUNCTION("RANK(M588,filter(M:M,C:C=C588))"),33.0)</f>
        <v>33</v>
      </c>
      <c r="S588" s="161" t="b">
        <f t="shared" si="5"/>
        <v>0</v>
      </c>
      <c r="T588" s="161" t="b">
        <f t="array" ref="T588">index('Query Tool'!B:B,match(H588,'Query Tool'!C:C,0))</f>
        <v>1</v>
      </c>
      <c r="U588" s="161" t="b">
        <f t="array" ref="U588">index('Query Tool'!B:B,match(C588,'Query Tool'!C:C,0))</f>
        <v>0</v>
      </c>
      <c r="V588" s="161" t="b">
        <f>F588&gt;='Query Tool'!C$32</f>
        <v>1</v>
      </c>
      <c r="W588" s="161" t="b">
        <f t="array" ref="W588">index(Dropdowns!B:B,match(I588,Dropdowns!A:A,0))</f>
        <v>1</v>
      </c>
      <c r="X588" s="161" t="b">
        <f t="array" ref="X588">index('Query Tool'!B:B,match(D588,'Query Tool'!C:C,0))</f>
        <v>1</v>
      </c>
      <c r="Y588" s="161" t="str">
        <f t="shared" si="6"/>
        <v>gortama01,2014-15</v>
      </c>
      <c r="Z588" s="168">
        <f t="array" ref="Z588">iferror(index(I:I,match($A588&amp;","&amp;index('Year Conversion'!$A:$A,match($C588,'Year Conversion'!$B:$B,0)),$Y:$Y,0))-I588,"")</f>
        <v>1</v>
      </c>
      <c r="AA588" s="168">
        <f t="array" ref="AA588">iferror(index(J:J,match($A588&amp;","&amp;index('Year Conversion'!$A:$A,match($C588,'Year Conversion'!$B:$B,0)),$Y:$Y,0))-J588,"")</f>
        <v>-0.08392429783</v>
      </c>
      <c r="AB588" s="168">
        <f t="array" ref="AB588">iferror(index(K:K,match($A588&amp;","&amp;index('Year Conversion'!$A:$A,match($C588,'Year Conversion'!$B:$B,0)),$Y:$Y,0))-K588,"")</f>
        <v>0.3246685129</v>
      </c>
      <c r="AC588" s="168" t="str">
        <f t="shared" si="7"/>
        <v>WAS,2014-15</v>
      </c>
    </row>
    <row r="589">
      <c r="A589" s="161" t="str">
        <f>IFERROR(__xludf.DUMMYFUNCTION("""COMPUTED_VALUE"""),"pricero01")</f>
        <v>pricero01</v>
      </c>
      <c r="B589" s="161" t="str">
        <f>IFERROR(__xludf.DUMMYFUNCTION("""COMPUTED_VALUE"""),"Ronnie Price")</f>
        <v>Ronnie Price</v>
      </c>
      <c r="C589" s="162" t="str">
        <f>IFERROR(__xludf.DUMMYFUNCTION("""COMPUTED_VALUE"""),"2014-15")</f>
        <v>2014-15</v>
      </c>
      <c r="D589" s="163" t="str">
        <f>IFERROR(__xludf.DUMMYFUNCTION("""COMPUTED_VALUE"""),"LAL")</f>
        <v>LAL</v>
      </c>
      <c r="E589" s="164" t="str">
        <f>IFERROR(__xludf.DUMMYFUNCTION("""COMPUTED_VALUE"""),"Primary Ball Handler")</f>
        <v>Primary Ball Handler</v>
      </c>
      <c r="F589" s="164">
        <f>IFERROR(__xludf.DUMMYFUNCTION("""COMPUTED_VALUE"""),982.073333333333)</f>
        <v>982.0733333</v>
      </c>
      <c r="G589" s="163">
        <f>IFERROR(__xludf.DUMMYFUNCTION("""COMPUTED_VALUE"""),43.0)</f>
        <v>43</v>
      </c>
      <c r="H589" s="163" t="str">
        <f>IFERROR(__xludf.DUMMYFUNCTION("""COMPUTED_VALUE"""),"PG")</f>
        <v>PG</v>
      </c>
      <c r="I589" s="163">
        <f>IFERROR(__xludf.DUMMYFUNCTION("""COMPUTED_VALUE"""),31.0)</f>
        <v>31</v>
      </c>
      <c r="J589" s="165">
        <f>IFERROR(__xludf.DUMMYFUNCTION("""COMPUTED_VALUE"""),0.253610927996927)</f>
        <v>0.253610928</v>
      </c>
      <c r="K589" s="165">
        <f>IFERROR(__xludf.DUMMYFUNCTION("""COMPUTED_VALUE"""),-0.426170114916877)</f>
        <v>-0.4261701149</v>
      </c>
      <c r="L589" s="165">
        <f>IFERROR(__xludf.DUMMYFUNCTION("""COMPUTED_VALUE"""),0.679781042913804)</f>
        <v>0.6797810429</v>
      </c>
      <c r="M589" s="166">
        <f t="shared" si="2"/>
        <v>1.681931489</v>
      </c>
      <c r="N589" s="167">
        <f t="shared" si="3"/>
        <v>22.83891473</v>
      </c>
      <c r="O589" s="163">
        <f t="shared" ref="O589:Q589" si="593">rank(I589,I:I)</f>
        <v>490</v>
      </c>
      <c r="P589" s="163">
        <f t="shared" si="593"/>
        <v>1053</v>
      </c>
      <c r="Q589" s="163">
        <f t="shared" si="593"/>
        <v>1994</v>
      </c>
      <c r="R589" s="163">
        <f>IFERROR(__xludf.DUMMYFUNCTION("RANK(M589,filter(M:M,C:C=C589))"),186.0)</f>
        <v>186</v>
      </c>
      <c r="S589" s="161" t="b">
        <f t="shared" si="5"/>
        <v>0</v>
      </c>
      <c r="T589" s="161" t="b">
        <f t="array" ref="T589">index('Query Tool'!B:B,match(H589,'Query Tool'!C:C,0))</f>
        <v>1</v>
      </c>
      <c r="U589" s="161" t="b">
        <f t="array" ref="U589">index('Query Tool'!B:B,match(C589,'Query Tool'!C:C,0))</f>
        <v>0</v>
      </c>
      <c r="V589" s="161" t="b">
        <f>F589&gt;='Query Tool'!C$32</f>
        <v>1</v>
      </c>
      <c r="W589" s="161" t="b">
        <f t="array" ref="W589">index(Dropdowns!B:B,match(I589,Dropdowns!A:A,0))</f>
        <v>1</v>
      </c>
      <c r="X589" s="161" t="b">
        <f t="array" ref="X589">index('Query Tool'!B:B,match(D589,'Query Tool'!C:C,0))</f>
        <v>1</v>
      </c>
      <c r="Y589" s="161" t="str">
        <f t="shared" si="6"/>
        <v>pricero01,2014-15</v>
      </c>
      <c r="Z589" s="168">
        <f t="array" ref="Z589">iferror(index(I:I,match($A589&amp;","&amp;index('Year Conversion'!$A:$A,match($C589,'Year Conversion'!$B:$B,0)),$Y:$Y,0))-I589,"")</f>
        <v>1</v>
      </c>
      <c r="AA589" s="168">
        <f t="array" ref="AA589">iferror(index(J:J,match($A589&amp;","&amp;index('Year Conversion'!$A:$A,match($C589,'Year Conversion'!$B:$B,0)),$Y:$Y,0))-J589,"")</f>
        <v>-0.719280779</v>
      </c>
      <c r="AB589" s="168">
        <f t="array" ref="AB589">iferror(index(K:K,match($A589&amp;","&amp;index('Year Conversion'!$A:$A,match($C589,'Year Conversion'!$B:$B,0)),$Y:$Y,0))-K589,"")</f>
        <v>-1.134147908</v>
      </c>
      <c r="AC589" s="168" t="str">
        <f t="shared" si="7"/>
        <v>LAL,2014-15</v>
      </c>
    </row>
    <row r="590">
      <c r="A590" s="161" t="str">
        <f>IFERROR(__xludf.DUMMYFUNCTION("""COMPUTED_VALUE"""),"caldejo01")</f>
        <v>caldejo01</v>
      </c>
      <c r="B590" s="161" t="str">
        <f>IFERROR(__xludf.DUMMYFUNCTION("""COMPUTED_VALUE"""),"Jose Calderon")</f>
        <v>Jose Calderon</v>
      </c>
      <c r="C590" s="162" t="str">
        <f>IFERROR(__xludf.DUMMYFUNCTION("""COMPUTED_VALUE"""),"2014-15")</f>
        <v>2014-15</v>
      </c>
      <c r="D590" s="163" t="str">
        <f>IFERROR(__xludf.DUMMYFUNCTION("""COMPUTED_VALUE"""),"NYK")</f>
        <v>NYK</v>
      </c>
      <c r="E590" s="164" t="str">
        <f>IFERROR(__xludf.DUMMYFUNCTION("""COMPUTED_VALUE"""),"Primary Ball Handler")</f>
        <v>Primary Ball Handler</v>
      </c>
      <c r="F590" s="164">
        <f>IFERROR(__xludf.DUMMYFUNCTION("""COMPUTED_VALUE"""),1270.22833333333)</f>
        <v>1270.228333</v>
      </c>
      <c r="G590" s="163">
        <f>IFERROR(__xludf.DUMMYFUNCTION("""COMPUTED_VALUE"""),42.0)</f>
        <v>42</v>
      </c>
      <c r="H590" s="163" t="str">
        <f>IFERROR(__xludf.DUMMYFUNCTION("""COMPUTED_VALUE"""),"PG")</f>
        <v>PG</v>
      </c>
      <c r="I590" s="163">
        <f>IFERROR(__xludf.DUMMYFUNCTION("""COMPUTED_VALUE"""),33.0)</f>
        <v>33</v>
      </c>
      <c r="J590" s="165">
        <f>IFERROR(__xludf.DUMMYFUNCTION("""COMPUTED_VALUE"""),-2.05448156536483)</f>
        <v>-2.054481565</v>
      </c>
      <c r="K590" s="165">
        <f>IFERROR(__xludf.DUMMYFUNCTION("""COMPUTED_VALUE"""),-0.860833373328286)</f>
        <v>-0.8608333733</v>
      </c>
      <c r="L590" s="165">
        <f>IFERROR(__xludf.DUMMYFUNCTION("""COMPUTED_VALUE"""),-1.19364819203654)</f>
        <v>-1.193648192</v>
      </c>
      <c r="M590" s="166">
        <f t="shared" si="2"/>
        <v>0.2091065351</v>
      </c>
      <c r="N590" s="167">
        <f t="shared" si="3"/>
        <v>30.24353175</v>
      </c>
      <c r="O590" s="163">
        <f t="shared" ref="O590:Q590" si="594">rank(I590,I:I)</f>
        <v>246</v>
      </c>
      <c r="P590" s="163">
        <f t="shared" si="594"/>
        <v>3520</v>
      </c>
      <c r="Q590" s="163">
        <f t="shared" si="594"/>
        <v>2634</v>
      </c>
      <c r="R590" s="163">
        <f>IFERROR(__xludf.DUMMYFUNCTION("RANK(M590,filter(M:M,C:C=C590))"),335.0)</f>
        <v>335</v>
      </c>
      <c r="S590" s="161" t="b">
        <f t="shared" si="5"/>
        <v>0</v>
      </c>
      <c r="T590" s="161" t="b">
        <f t="array" ref="T590">index('Query Tool'!B:B,match(H590,'Query Tool'!C:C,0))</f>
        <v>1</v>
      </c>
      <c r="U590" s="161" t="b">
        <f t="array" ref="U590">index('Query Tool'!B:B,match(C590,'Query Tool'!C:C,0))</f>
        <v>0</v>
      </c>
      <c r="V590" s="161" t="b">
        <f>F590&gt;='Query Tool'!C$32</f>
        <v>1</v>
      </c>
      <c r="W590" s="161" t="b">
        <f t="array" ref="W590">index(Dropdowns!B:B,match(I590,Dropdowns!A:A,0))</f>
        <v>1</v>
      </c>
      <c r="X590" s="161" t="b">
        <f t="array" ref="X590">index('Query Tool'!B:B,match(D590,'Query Tool'!C:C,0))</f>
        <v>1</v>
      </c>
      <c r="Y590" s="161" t="str">
        <f t="shared" si="6"/>
        <v>caldejo01,2014-15</v>
      </c>
      <c r="Z590" s="168">
        <f t="array" ref="Z590">iferror(index(I:I,match($A590&amp;","&amp;index('Year Conversion'!$A:$A,match($C590,'Year Conversion'!$B:$B,0)),$Y:$Y,0))-I590,"")</f>
        <v>1</v>
      </c>
      <c r="AA590" s="168">
        <f t="array" ref="AA590">iferror(index(J:J,match($A590&amp;","&amp;index('Year Conversion'!$A:$A,match($C590,'Year Conversion'!$B:$B,0)),$Y:$Y,0))-J590,"")</f>
        <v>1.501268092</v>
      </c>
      <c r="AB590" s="168">
        <f t="array" ref="AB590">iferror(index(K:K,match($A590&amp;","&amp;index('Year Conversion'!$A:$A,match($C590,'Year Conversion'!$B:$B,0)),$Y:$Y,0))-K590,"")</f>
        <v>0.9980277163</v>
      </c>
      <c r="AC590" s="168" t="str">
        <f t="shared" si="7"/>
        <v>NYK,2014-15</v>
      </c>
    </row>
    <row r="591">
      <c r="A591" s="161" t="str">
        <f>IFERROR(__xludf.DUMMYFUNCTION("""COMPUTED_VALUE"""),"randosh01")</f>
        <v>randosh01</v>
      </c>
      <c r="B591" s="161" t="str">
        <f>IFERROR(__xludf.DUMMYFUNCTION("""COMPUTED_VALUE"""),"Shavlik Randolph")</f>
        <v>Shavlik Randolph</v>
      </c>
      <c r="C591" s="162" t="str">
        <f>IFERROR(__xludf.DUMMYFUNCTION("""COMPUTED_VALUE"""),"2014-15")</f>
        <v>2014-15</v>
      </c>
      <c r="D591" s="163" t="str">
        <f>IFERROR(__xludf.DUMMYFUNCTION("""COMPUTED_VALUE"""),"TOT")</f>
        <v>TOT</v>
      </c>
      <c r="E591" s="164" t="str">
        <f>IFERROR(__xludf.DUMMYFUNCTION("""COMPUTED_VALUE"""),"Roll + Cut Big")</f>
        <v>Roll + Cut Big</v>
      </c>
      <c r="F591" s="164">
        <f>IFERROR(__xludf.DUMMYFUNCTION("""COMPUTED_VALUE"""),126.246666666667)</f>
        <v>126.2466667</v>
      </c>
      <c r="G591" s="163">
        <f>IFERROR(__xludf.DUMMYFUNCTION("""COMPUTED_VALUE"""),21.0)</f>
        <v>21</v>
      </c>
      <c r="H591" s="163" t="str">
        <f>IFERROR(__xludf.DUMMYFUNCTION("""COMPUTED_VALUE"""),"PF")</f>
        <v>PF</v>
      </c>
      <c r="I591" s="163">
        <f>IFERROR(__xludf.DUMMYFUNCTION("""COMPUTED_VALUE"""),31.0)</f>
        <v>31</v>
      </c>
      <c r="J591" s="165">
        <f>IFERROR(__xludf.DUMMYFUNCTION("""COMPUTED_VALUE"""),-0.496749033668386)</f>
        <v>-0.4967490337</v>
      </c>
      <c r="K591" s="165">
        <f>IFERROR(__xludf.DUMMYFUNCTION("""COMPUTED_VALUE"""),-0.463673823638215)</f>
        <v>-0.4636738236</v>
      </c>
      <c r="L591" s="165">
        <f>IFERROR(__xludf.DUMMYFUNCTION("""COMPUTED_VALUE"""),-0.0330752100301705)</f>
        <v>-0.03307521003</v>
      </c>
      <c r="M591" s="166">
        <f t="shared" si="2"/>
        <v>0.1523643603</v>
      </c>
      <c r="N591" s="167">
        <f t="shared" si="3"/>
        <v>6.011746032</v>
      </c>
      <c r="O591" s="163">
        <f t="shared" ref="O591:Q591" si="595">rank(I591,I:I)</f>
        <v>490</v>
      </c>
      <c r="P591" s="163">
        <f t="shared" si="595"/>
        <v>1851</v>
      </c>
      <c r="Q591" s="163">
        <f t="shared" si="595"/>
        <v>2055</v>
      </c>
      <c r="R591" s="163">
        <f>IFERROR(__xludf.DUMMYFUNCTION("RANK(M591,filter(M:M,C:C=C591))"),351.0)</f>
        <v>351</v>
      </c>
      <c r="S591" s="161" t="b">
        <f t="shared" si="5"/>
        <v>0</v>
      </c>
      <c r="T591" s="161" t="b">
        <f t="array" ref="T591">index('Query Tool'!B:B,match(H591,'Query Tool'!C:C,0))</f>
        <v>1</v>
      </c>
      <c r="U591" s="161" t="b">
        <f t="array" ref="U591">index('Query Tool'!B:B,match(C591,'Query Tool'!C:C,0))</f>
        <v>0</v>
      </c>
      <c r="V591" s="161" t="b">
        <f>F591&gt;='Query Tool'!C$32</f>
        <v>0</v>
      </c>
      <c r="W591" s="161" t="b">
        <f t="array" ref="W591">index(Dropdowns!B:B,match(I591,Dropdowns!A:A,0))</f>
        <v>1</v>
      </c>
      <c r="X591" s="161" t="b">
        <f t="array" ref="X591">index('Query Tool'!B:B,match(D591,'Query Tool'!C:C,0))</f>
        <v>1</v>
      </c>
      <c r="Y591" s="161" t="str">
        <f t="shared" si="6"/>
        <v>randosh01,2014-15</v>
      </c>
      <c r="Z591" s="168" t="str">
        <f t="array" ref="Z591">iferror(index(I:I,match($A591&amp;","&amp;index('Year Conversion'!$A:$A,match($C591,'Year Conversion'!$B:$B,0)),$Y:$Y,0))-I591,"")</f>
        <v/>
      </c>
      <c r="AA591" s="168" t="str">
        <f t="array" ref="AA591">iferror(index(J:J,match($A591&amp;","&amp;index('Year Conversion'!$A:$A,match($C591,'Year Conversion'!$B:$B,0)),$Y:$Y,0))-J591,"")</f>
        <v/>
      </c>
      <c r="AB591" s="168" t="str">
        <f t="array" ref="AB591">iferror(index(K:K,match($A591&amp;","&amp;index('Year Conversion'!$A:$A,match($C591,'Year Conversion'!$B:$B,0)),$Y:$Y,0))-K591,"")</f>
        <v/>
      </c>
      <c r="AC591" s="168" t="str">
        <f t="shared" si="7"/>
        <v>TOT,2014-15</v>
      </c>
    </row>
    <row r="592">
      <c r="A592" s="161" t="str">
        <f>IFERROR(__xludf.DUMMYFUNCTION("""COMPUTED_VALUE"""),"anderal01")</f>
        <v>anderal01</v>
      </c>
      <c r="B592" s="161" t="str">
        <f>IFERROR(__xludf.DUMMYFUNCTION("""COMPUTED_VALUE"""),"Alan Anderson")</f>
        <v>Alan Anderson</v>
      </c>
      <c r="C592" s="162" t="str">
        <f>IFERROR(__xludf.DUMMYFUNCTION("""COMPUTED_VALUE"""),"2014-15")</f>
        <v>2014-15</v>
      </c>
      <c r="D592" s="163" t="str">
        <f>IFERROR(__xludf.DUMMYFUNCTION("""COMPUTED_VALUE"""),"BRK")</f>
        <v>BRK</v>
      </c>
      <c r="E592" s="164" t="str">
        <f>IFERROR(__xludf.DUMMYFUNCTION("""COMPUTED_VALUE"""),"Stationary Shooter")</f>
        <v>Stationary Shooter</v>
      </c>
      <c r="F592" s="164">
        <f>IFERROR(__xludf.DUMMYFUNCTION("""COMPUTED_VALUE"""),1744.29833333333)</f>
        <v>1744.298333</v>
      </c>
      <c r="G592" s="163">
        <f>IFERROR(__xludf.DUMMYFUNCTION("""COMPUTED_VALUE"""),74.0)</f>
        <v>74</v>
      </c>
      <c r="H592" s="163" t="str">
        <f>IFERROR(__xludf.DUMMYFUNCTION("""COMPUTED_VALUE"""),"SG")</f>
        <v>SG</v>
      </c>
      <c r="I592" s="163">
        <f>IFERROR(__xludf.DUMMYFUNCTION("""COMPUTED_VALUE"""),32.0)</f>
        <v>32</v>
      </c>
      <c r="J592" s="165">
        <f>IFERROR(__xludf.DUMMYFUNCTION("""COMPUTED_VALUE"""),-1.23616311920339)</f>
        <v>-1.236163119</v>
      </c>
      <c r="K592" s="165">
        <f>IFERROR(__xludf.DUMMYFUNCTION("""COMPUTED_VALUE"""),-1.07163054730205)</f>
        <v>-1.071630547</v>
      </c>
      <c r="L592" s="165">
        <f>IFERROR(__xludf.DUMMYFUNCTION("""COMPUTED_VALUE"""),-0.16453257190134)</f>
        <v>-0.1645325719</v>
      </c>
      <c r="M592" s="166">
        <f t="shared" si="2"/>
        <v>1.238491516</v>
      </c>
      <c r="N592" s="167">
        <f t="shared" si="3"/>
        <v>23.5715991</v>
      </c>
      <c r="O592" s="163">
        <f t="shared" ref="O592:Q592" si="596">rank(I592,I:I)</f>
        <v>359</v>
      </c>
      <c r="P592" s="163">
        <f t="shared" si="596"/>
        <v>2796</v>
      </c>
      <c r="Q592" s="163">
        <f t="shared" si="596"/>
        <v>2899</v>
      </c>
      <c r="R592" s="163">
        <f>IFERROR(__xludf.DUMMYFUNCTION("RANK(M592,filter(M:M,C:C=C592))"),219.0)</f>
        <v>219</v>
      </c>
      <c r="S592" s="161" t="b">
        <f t="shared" si="5"/>
        <v>0</v>
      </c>
      <c r="T592" s="161" t="b">
        <f t="array" ref="T592">index('Query Tool'!B:B,match(H592,'Query Tool'!C:C,0))</f>
        <v>1</v>
      </c>
      <c r="U592" s="161" t="b">
        <f t="array" ref="U592">index('Query Tool'!B:B,match(C592,'Query Tool'!C:C,0))</f>
        <v>0</v>
      </c>
      <c r="V592" s="161" t="b">
        <f>F592&gt;='Query Tool'!C$32</f>
        <v>1</v>
      </c>
      <c r="W592" s="161" t="b">
        <f t="array" ref="W592">index(Dropdowns!B:B,match(I592,Dropdowns!A:A,0))</f>
        <v>1</v>
      </c>
      <c r="X592" s="161" t="b">
        <f t="array" ref="X592">index('Query Tool'!B:B,match(D592,'Query Tool'!C:C,0))</f>
        <v>1</v>
      </c>
      <c r="Y592" s="161" t="str">
        <f t="shared" si="6"/>
        <v>anderal01,2014-15</v>
      </c>
      <c r="Z592" s="168">
        <f t="array" ref="Z592">iferror(index(I:I,match($A592&amp;","&amp;index('Year Conversion'!$A:$A,match($C592,'Year Conversion'!$B:$B,0)),$Y:$Y,0))-I592,"")</f>
        <v>1</v>
      </c>
      <c r="AA592" s="168">
        <f t="array" ref="AA592">iferror(index(J:J,match($A592&amp;","&amp;index('Year Conversion'!$A:$A,match($C592,'Year Conversion'!$B:$B,0)),$Y:$Y,0))-J592,"")</f>
        <v>1.570725767</v>
      </c>
      <c r="AB592" s="168">
        <f t="array" ref="AB592">iferror(index(K:K,match($A592&amp;","&amp;index('Year Conversion'!$A:$A,match($C592,'Year Conversion'!$B:$B,0)),$Y:$Y,0))-K592,"")</f>
        <v>1.108745543</v>
      </c>
      <c r="AC592" s="168" t="str">
        <f t="shared" si="7"/>
        <v>BRK,2014-15</v>
      </c>
    </row>
    <row r="593">
      <c r="A593" s="161" t="str">
        <f>IFERROR(__xludf.DUMMYFUNCTION("""COMPUTED_VALUE"""),"bynumwi01")</f>
        <v>bynumwi01</v>
      </c>
      <c r="B593" s="161" t="str">
        <f>IFERROR(__xludf.DUMMYFUNCTION("""COMPUTED_VALUE"""),"Will Bynum")</f>
        <v>Will Bynum</v>
      </c>
      <c r="C593" s="162" t="str">
        <f>IFERROR(__xludf.DUMMYFUNCTION("""COMPUTED_VALUE"""),"2014-15")</f>
        <v>2014-15</v>
      </c>
      <c r="D593" s="163" t="str">
        <f>IFERROR(__xludf.DUMMYFUNCTION("""COMPUTED_VALUE"""),"WAS")</f>
        <v>WAS</v>
      </c>
      <c r="E593" s="164" t="str">
        <f>IFERROR(__xludf.DUMMYFUNCTION("""COMPUTED_VALUE"""),"Slasher")</f>
        <v>Slasher</v>
      </c>
      <c r="F593" s="164">
        <f>IFERROR(__xludf.DUMMYFUNCTION("""COMPUTED_VALUE"""),66.6866666666667)</f>
        <v>66.68666667</v>
      </c>
      <c r="G593" s="163">
        <f>IFERROR(__xludf.DUMMYFUNCTION("""COMPUTED_VALUE"""),7.0)</f>
        <v>7</v>
      </c>
      <c r="H593" s="163" t="str">
        <f>IFERROR(__xludf.DUMMYFUNCTION("""COMPUTED_VALUE"""),"SG")</f>
        <v>SG</v>
      </c>
      <c r="I593" s="163">
        <f>IFERROR(__xludf.DUMMYFUNCTION("""COMPUTED_VALUE"""),32.0)</f>
        <v>32</v>
      </c>
      <c r="J593" s="165">
        <f>IFERROR(__xludf.DUMMYFUNCTION("""COMPUTED_VALUE"""),-0.301654000682381)</f>
        <v>-0.3016540007</v>
      </c>
      <c r="K593" s="165">
        <f>IFERROR(__xludf.DUMMYFUNCTION("""COMPUTED_VALUE"""),0.251602468893151)</f>
        <v>0.2516024689</v>
      </c>
      <c r="L593" s="165">
        <f>IFERROR(__xludf.DUMMYFUNCTION("""COMPUTED_VALUE"""),-0.553256469575532)</f>
        <v>-0.5532564696</v>
      </c>
      <c r="M593" s="166">
        <f t="shared" si="2"/>
        <v>0.0892481208</v>
      </c>
      <c r="N593" s="167">
        <f t="shared" si="3"/>
        <v>9.526666667</v>
      </c>
      <c r="O593" s="163">
        <f t="shared" ref="O593:Q593" si="597">rank(I593,I:I)</f>
        <v>359</v>
      </c>
      <c r="P593" s="163">
        <f t="shared" si="597"/>
        <v>1615</v>
      </c>
      <c r="Q593" s="163">
        <f t="shared" si="597"/>
        <v>945</v>
      </c>
      <c r="R593" s="163">
        <f>IFERROR(__xludf.DUMMYFUNCTION("RANK(M593,filter(M:M,C:C=C593))"),387.0)</f>
        <v>387</v>
      </c>
      <c r="S593" s="161" t="b">
        <f t="shared" si="5"/>
        <v>0</v>
      </c>
      <c r="T593" s="161" t="b">
        <f t="array" ref="T593">index('Query Tool'!B:B,match(H593,'Query Tool'!C:C,0))</f>
        <v>1</v>
      </c>
      <c r="U593" s="161" t="b">
        <f t="array" ref="U593">index('Query Tool'!B:B,match(C593,'Query Tool'!C:C,0))</f>
        <v>0</v>
      </c>
      <c r="V593" s="161" t="b">
        <f>F593&gt;='Query Tool'!C$32</f>
        <v>0</v>
      </c>
      <c r="W593" s="161" t="b">
        <f t="array" ref="W593">index(Dropdowns!B:B,match(I593,Dropdowns!A:A,0))</f>
        <v>1</v>
      </c>
      <c r="X593" s="161" t="b">
        <f t="array" ref="X593">index('Query Tool'!B:B,match(D593,'Query Tool'!C:C,0))</f>
        <v>1</v>
      </c>
      <c r="Y593" s="161" t="str">
        <f t="shared" si="6"/>
        <v>bynumwi01,2014-15</v>
      </c>
      <c r="Z593" s="168" t="str">
        <f t="array" ref="Z593">iferror(index(I:I,match($A593&amp;","&amp;index('Year Conversion'!$A:$A,match($C593,'Year Conversion'!$B:$B,0)),$Y:$Y,0))-I593,"")</f>
        <v/>
      </c>
      <c r="AA593" s="168" t="str">
        <f t="array" ref="AA593">iferror(index(J:J,match($A593&amp;","&amp;index('Year Conversion'!$A:$A,match($C593,'Year Conversion'!$B:$B,0)),$Y:$Y,0))-J593,"")</f>
        <v/>
      </c>
      <c r="AB593" s="168" t="str">
        <f t="array" ref="AB593">iferror(index(K:K,match($A593&amp;","&amp;index('Year Conversion'!$A:$A,match($C593,'Year Conversion'!$B:$B,0)),$Y:$Y,0))-K593,"")</f>
        <v/>
      </c>
      <c r="AC593" s="168" t="str">
        <f t="shared" si="7"/>
        <v>WAS,2014-15</v>
      </c>
    </row>
    <row r="594">
      <c r="A594" s="161" t="str">
        <f>IFERROR(__xludf.DUMMYFUNCTION("""COMPUTED_VALUE"""),"hayesch01")</f>
        <v>hayesch01</v>
      </c>
      <c r="B594" s="161" t="str">
        <f>IFERROR(__xludf.DUMMYFUNCTION("""COMPUTED_VALUE"""),"Chuck Hayes")</f>
        <v>Chuck Hayes</v>
      </c>
      <c r="C594" s="162" t="str">
        <f>IFERROR(__xludf.DUMMYFUNCTION("""COMPUTED_VALUE"""),"2014-15")</f>
        <v>2014-15</v>
      </c>
      <c r="D594" s="163" t="str">
        <f>IFERROR(__xludf.DUMMYFUNCTION("""COMPUTED_VALUE"""),"TOR")</f>
        <v>TOR</v>
      </c>
      <c r="E594" s="164" t="str">
        <f>IFERROR(__xludf.DUMMYFUNCTION("""COMPUTED_VALUE"""),"Roll + Cut Big")</f>
        <v>Roll + Cut Big</v>
      </c>
      <c r="F594" s="164">
        <f>IFERROR(__xludf.DUMMYFUNCTION("""COMPUTED_VALUE"""),255.351666666667)</f>
        <v>255.3516667</v>
      </c>
      <c r="G594" s="163">
        <f>IFERROR(__xludf.DUMMYFUNCTION("""COMPUTED_VALUE"""),29.0)</f>
        <v>29</v>
      </c>
      <c r="H594" s="163" t="str">
        <f>IFERROR(__xludf.DUMMYFUNCTION("""COMPUTED_VALUE"""),"C")</f>
        <v>C</v>
      </c>
      <c r="I594" s="163">
        <f>IFERROR(__xludf.DUMMYFUNCTION("""COMPUTED_VALUE"""),31.0)</f>
        <v>31</v>
      </c>
      <c r="J594" s="165">
        <f>IFERROR(__xludf.DUMMYFUNCTION("""COMPUTED_VALUE"""),-0.755583843525855)</f>
        <v>-0.7555838435</v>
      </c>
      <c r="K594" s="165">
        <f>IFERROR(__xludf.DUMMYFUNCTION("""COMPUTED_VALUE"""),-1.203011610131)</f>
        <v>-1.20301161</v>
      </c>
      <c r="L594" s="165">
        <f>IFERROR(__xludf.DUMMYFUNCTION("""COMPUTED_VALUE"""),0.447427766605149)</f>
        <v>0.4474277666</v>
      </c>
      <c r="M594" s="166">
        <f t="shared" si="2"/>
        <v>0.2636923096</v>
      </c>
      <c r="N594" s="167">
        <f t="shared" si="3"/>
        <v>8.805229885</v>
      </c>
      <c r="O594" s="163">
        <f t="shared" ref="O594:Q594" si="598">rank(I594,I:I)</f>
        <v>490</v>
      </c>
      <c r="P594" s="163">
        <f t="shared" si="598"/>
        <v>2222</v>
      </c>
      <c r="Q594" s="163">
        <f t="shared" si="598"/>
        <v>3041</v>
      </c>
      <c r="R594" s="163">
        <f>IFERROR(__xludf.DUMMYFUNCTION("RANK(M594,filter(M:M,C:C=C594))"),317.0)</f>
        <v>317</v>
      </c>
      <c r="S594" s="161" t="b">
        <f t="shared" si="5"/>
        <v>0</v>
      </c>
      <c r="T594" s="161" t="b">
        <f t="array" ref="T594">index('Query Tool'!B:B,match(H594,'Query Tool'!C:C,0))</f>
        <v>1</v>
      </c>
      <c r="U594" s="161" t="b">
        <f t="array" ref="U594">index('Query Tool'!B:B,match(C594,'Query Tool'!C:C,0))</f>
        <v>0</v>
      </c>
      <c r="V594" s="161" t="b">
        <f>F594&gt;='Query Tool'!C$32</f>
        <v>0</v>
      </c>
      <c r="W594" s="161" t="b">
        <f t="array" ref="W594">index(Dropdowns!B:B,match(I594,Dropdowns!A:A,0))</f>
        <v>1</v>
      </c>
      <c r="X594" s="161" t="b">
        <f t="array" ref="X594">index('Query Tool'!B:B,match(D594,'Query Tool'!C:C,0))</f>
        <v>1</v>
      </c>
      <c r="Y594" s="161" t="str">
        <f t="shared" si="6"/>
        <v>hayesch01,2014-15</v>
      </c>
      <c r="Z594" s="168">
        <f t="array" ref="Z594">iferror(index(I:I,match($A594&amp;","&amp;index('Year Conversion'!$A:$A,match($C594,'Year Conversion'!$B:$B,0)),$Y:$Y,0))-I594,"")</f>
        <v>1</v>
      </c>
      <c r="AA594" s="168">
        <f t="array" ref="AA594">iferror(index(J:J,match($A594&amp;","&amp;index('Year Conversion'!$A:$A,match($C594,'Year Conversion'!$B:$B,0)),$Y:$Y,0))-J594,"")</f>
        <v>-0.2944315816</v>
      </c>
      <c r="AB594" s="168">
        <f t="array" ref="AB594">iferror(index(K:K,match($A594&amp;","&amp;index('Year Conversion'!$A:$A,match($C594,'Year Conversion'!$B:$B,0)),$Y:$Y,0))-K594,"")</f>
        <v>0.6679738983</v>
      </c>
      <c r="AC594" s="168" t="str">
        <f t="shared" si="7"/>
        <v>TOR,2014-15</v>
      </c>
    </row>
    <row r="595">
      <c r="A595" s="161" t="str">
        <f>IFERROR(__xludf.DUMMYFUNCTION("""COMPUTED_VALUE"""),"lucasjo02")</f>
        <v>lucasjo02</v>
      </c>
      <c r="B595" s="161" t="str">
        <f>IFERROR(__xludf.DUMMYFUNCTION("""COMPUTED_VALUE"""),"John Lucas III")</f>
        <v>John Lucas III</v>
      </c>
      <c r="C595" s="162" t="str">
        <f>IFERROR(__xludf.DUMMYFUNCTION("""COMPUTED_VALUE"""),"2014-15")</f>
        <v>2014-15</v>
      </c>
      <c r="D595" s="163" t="str">
        <f>IFERROR(__xludf.DUMMYFUNCTION("""COMPUTED_VALUE"""),"DET")</f>
        <v>DET</v>
      </c>
      <c r="E595" s="164" t="str">
        <f>IFERROR(__xludf.DUMMYFUNCTION("""COMPUTED_VALUE"""),"Secondary Ball Handler")</f>
        <v>Secondary Ball Handler</v>
      </c>
      <c r="F595" s="164">
        <f>IFERROR(__xludf.DUMMYFUNCTION("""COMPUTED_VALUE"""),271.735)</f>
        <v>271.735</v>
      </c>
      <c r="G595" s="163">
        <f>IFERROR(__xludf.DUMMYFUNCTION("""COMPUTED_VALUE"""),21.0)</f>
        <v>21</v>
      </c>
      <c r="H595" s="163" t="str">
        <f>IFERROR(__xludf.DUMMYFUNCTION("""COMPUTED_VALUE"""),"PG")</f>
        <v>PG</v>
      </c>
      <c r="I595" s="163">
        <f>IFERROR(__xludf.DUMMYFUNCTION("""COMPUTED_VALUE"""),32.0)</f>
        <v>32</v>
      </c>
      <c r="J595" s="165">
        <f>IFERROR(__xludf.DUMMYFUNCTION("""COMPUTED_VALUE"""),-1.06021376555398)</f>
        <v>-1.060213766</v>
      </c>
      <c r="K595" s="165">
        <f>IFERROR(__xludf.DUMMYFUNCTION("""COMPUTED_VALUE"""),-0.12097174816173)</f>
        <v>-0.1209717482</v>
      </c>
      <c r="L595" s="165">
        <f>IFERROR(__xludf.DUMMYFUNCTION("""COMPUTED_VALUE"""),-0.939242017392252)</f>
        <v>-0.9392420174</v>
      </c>
      <c r="M595" s="166">
        <f t="shared" si="2"/>
        <v>0.2249953317</v>
      </c>
      <c r="N595" s="167">
        <f t="shared" si="3"/>
        <v>12.9397619</v>
      </c>
      <c r="O595" s="163">
        <f t="shared" ref="O595:Q595" si="599">rank(I595,I:I)</f>
        <v>359</v>
      </c>
      <c r="P595" s="163">
        <f t="shared" si="599"/>
        <v>2564</v>
      </c>
      <c r="Q595" s="163">
        <f t="shared" si="599"/>
        <v>1407</v>
      </c>
      <c r="R595" s="163">
        <f>IFERROR(__xludf.DUMMYFUNCTION("RANK(M595,filter(M:M,C:C=C595))"),329.0)</f>
        <v>329</v>
      </c>
      <c r="S595" s="161" t="b">
        <f t="shared" si="5"/>
        <v>0</v>
      </c>
      <c r="T595" s="161" t="b">
        <f t="array" ref="T595">index('Query Tool'!B:B,match(H595,'Query Tool'!C:C,0))</f>
        <v>1</v>
      </c>
      <c r="U595" s="161" t="b">
        <f t="array" ref="U595">index('Query Tool'!B:B,match(C595,'Query Tool'!C:C,0))</f>
        <v>0</v>
      </c>
      <c r="V595" s="161" t="b">
        <f>F595&gt;='Query Tool'!C$32</f>
        <v>0</v>
      </c>
      <c r="W595" s="161" t="b">
        <f t="array" ref="W595">index(Dropdowns!B:B,match(I595,Dropdowns!A:A,0))</f>
        <v>1</v>
      </c>
      <c r="X595" s="161" t="b">
        <f t="array" ref="X595">index('Query Tool'!B:B,match(D595,'Query Tool'!C:C,0))</f>
        <v>1</v>
      </c>
      <c r="Y595" s="161" t="str">
        <f t="shared" si="6"/>
        <v>lucasjo02,2014-15</v>
      </c>
      <c r="Z595" s="168" t="str">
        <f t="array" ref="Z595">iferror(index(I:I,match($A595&amp;","&amp;index('Year Conversion'!$A:$A,match($C595,'Year Conversion'!$B:$B,0)),$Y:$Y,0))-I595,"")</f>
        <v/>
      </c>
      <c r="AA595" s="168" t="str">
        <f t="array" ref="AA595">iferror(index(J:J,match($A595&amp;","&amp;index('Year Conversion'!$A:$A,match($C595,'Year Conversion'!$B:$B,0)),$Y:$Y,0))-J595,"")</f>
        <v/>
      </c>
      <c r="AB595" s="168" t="str">
        <f t="array" ref="AB595">iferror(index(K:K,match($A595&amp;","&amp;index('Year Conversion'!$A:$A,match($C595,'Year Conversion'!$B:$B,0)),$Y:$Y,0))-K595,"")</f>
        <v/>
      </c>
      <c r="AC595" s="168" t="str">
        <f t="shared" si="7"/>
        <v>DET,2014-15</v>
      </c>
    </row>
    <row r="596">
      <c r="A596" s="161" t="str">
        <f>IFERROR(__xludf.DUMMYFUNCTION("""COMPUTED_VALUE"""),"bargnan01")</f>
        <v>bargnan01</v>
      </c>
      <c r="B596" s="161" t="str">
        <f>IFERROR(__xludf.DUMMYFUNCTION("""COMPUTED_VALUE"""),"Andrea Bargnani")</f>
        <v>Andrea Bargnani</v>
      </c>
      <c r="C596" s="162" t="str">
        <f>IFERROR(__xludf.DUMMYFUNCTION("""COMPUTED_VALUE"""),"2014-15")</f>
        <v>2014-15</v>
      </c>
      <c r="D596" s="163" t="str">
        <f>IFERROR(__xludf.DUMMYFUNCTION("""COMPUTED_VALUE"""),"NYK")</f>
        <v>NYK</v>
      </c>
      <c r="E596" s="164" t="str">
        <f>IFERROR(__xludf.DUMMYFUNCTION("""COMPUTED_VALUE"""),"Post Scorer")</f>
        <v>Post Scorer</v>
      </c>
      <c r="F596" s="164">
        <f>IFERROR(__xludf.DUMMYFUNCTION("""COMPUTED_VALUE"""),785.341666666667)</f>
        <v>785.3416667</v>
      </c>
      <c r="G596" s="163">
        <f>IFERROR(__xludf.DUMMYFUNCTION("""COMPUTED_VALUE"""),29.0)</f>
        <v>29</v>
      </c>
      <c r="H596" s="163" t="str">
        <f>IFERROR(__xludf.DUMMYFUNCTION("""COMPUTED_VALUE"""),"C")</f>
        <v>C</v>
      </c>
      <c r="I596" s="163">
        <f>IFERROR(__xludf.DUMMYFUNCTION("""COMPUTED_VALUE"""),29.0)</f>
        <v>29</v>
      </c>
      <c r="J596" s="165">
        <f>IFERROR(__xludf.DUMMYFUNCTION("""COMPUTED_VALUE"""),-1.77378171036995)</f>
        <v>-1.77378171</v>
      </c>
      <c r="K596" s="165">
        <f>IFERROR(__xludf.DUMMYFUNCTION("""COMPUTED_VALUE"""),-0.439546433117907)</f>
        <v>-0.4395464331</v>
      </c>
      <c r="L596" s="165">
        <f>IFERROR(__xludf.DUMMYFUNCTION("""COMPUTED_VALUE"""),-1.33423527725204)</f>
        <v>-1.334235277</v>
      </c>
      <c r="M596" s="166">
        <f t="shared" si="2"/>
        <v>0.2756555209</v>
      </c>
      <c r="N596" s="167">
        <f t="shared" si="3"/>
        <v>27.08074713</v>
      </c>
      <c r="O596" s="163">
        <f t="shared" ref="O596:Q596" si="600">rank(I596,I:I)</f>
        <v>855</v>
      </c>
      <c r="P596" s="163">
        <f t="shared" si="600"/>
        <v>3308</v>
      </c>
      <c r="Q596" s="163">
        <f t="shared" si="600"/>
        <v>2013</v>
      </c>
      <c r="R596" s="163">
        <f>IFERROR(__xludf.DUMMYFUNCTION("RANK(M596,filter(M:M,C:C=C596))"),315.0)</f>
        <v>315</v>
      </c>
      <c r="S596" s="161" t="b">
        <f t="shared" si="5"/>
        <v>0</v>
      </c>
      <c r="T596" s="161" t="b">
        <f t="array" ref="T596">index('Query Tool'!B:B,match(H596,'Query Tool'!C:C,0))</f>
        <v>1</v>
      </c>
      <c r="U596" s="161" t="b">
        <f t="array" ref="U596">index('Query Tool'!B:B,match(C596,'Query Tool'!C:C,0))</f>
        <v>0</v>
      </c>
      <c r="V596" s="161" t="b">
        <f>F596&gt;='Query Tool'!C$32</f>
        <v>1</v>
      </c>
      <c r="W596" s="161" t="b">
        <f t="array" ref="W596">index(Dropdowns!B:B,match(I596,Dropdowns!A:A,0))</f>
        <v>1</v>
      </c>
      <c r="X596" s="161" t="b">
        <f t="array" ref="X596">index('Query Tool'!B:B,match(D596,'Query Tool'!C:C,0))</f>
        <v>1</v>
      </c>
      <c r="Y596" s="161" t="str">
        <f t="shared" si="6"/>
        <v>bargnan01,2014-15</v>
      </c>
      <c r="Z596" s="168">
        <f t="array" ref="Z596">iferror(index(I:I,match($A596&amp;","&amp;index('Year Conversion'!$A:$A,match($C596,'Year Conversion'!$B:$B,0)),$Y:$Y,0))-I596,"")</f>
        <v>1</v>
      </c>
      <c r="AA596" s="168">
        <f t="array" ref="AA596">iferror(index(J:J,match($A596&amp;","&amp;index('Year Conversion'!$A:$A,match($C596,'Year Conversion'!$B:$B,0)),$Y:$Y,0))-J596,"")</f>
        <v>-1.779114511</v>
      </c>
      <c r="AB596" s="168">
        <f t="array" ref="AB596">iferror(index(K:K,match($A596&amp;","&amp;index('Year Conversion'!$A:$A,match($C596,'Year Conversion'!$B:$B,0)),$Y:$Y,0))-K596,"")</f>
        <v>-1.151243364</v>
      </c>
      <c r="AC596" s="168" t="str">
        <f t="shared" si="7"/>
        <v>NYK,2014-15</v>
      </c>
    </row>
    <row r="597">
      <c r="A597" s="161" t="str">
        <f>IFERROR(__xludf.DUMMYFUNCTION("""COMPUTED_VALUE"""),"aldrila01")</f>
        <v>aldrila01</v>
      </c>
      <c r="B597" s="161" t="str">
        <f>IFERROR(__xludf.DUMMYFUNCTION("""COMPUTED_VALUE"""),"LaMarcus Aldridge")</f>
        <v>LaMarcus Aldridge</v>
      </c>
      <c r="C597" s="162" t="str">
        <f>IFERROR(__xludf.DUMMYFUNCTION("""COMPUTED_VALUE"""),"2014-15")</f>
        <v>2014-15</v>
      </c>
      <c r="D597" s="163" t="str">
        <f>IFERROR(__xludf.DUMMYFUNCTION("""COMPUTED_VALUE"""),"POR")</f>
        <v>POR</v>
      </c>
      <c r="E597" s="164" t="str">
        <f>IFERROR(__xludf.DUMMYFUNCTION("""COMPUTED_VALUE"""),"Post Scorer")</f>
        <v>Post Scorer</v>
      </c>
      <c r="F597" s="164">
        <f>IFERROR(__xludf.DUMMYFUNCTION("""COMPUTED_VALUE"""),2511.58833333333)</f>
        <v>2511.588333</v>
      </c>
      <c r="G597" s="163">
        <f>IFERROR(__xludf.DUMMYFUNCTION("""COMPUTED_VALUE"""),71.0)</f>
        <v>71</v>
      </c>
      <c r="H597" s="163" t="str">
        <f>IFERROR(__xludf.DUMMYFUNCTION("""COMPUTED_VALUE"""),"PF")</f>
        <v>PF</v>
      </c>
      <c r="I597" s="163">
        <f>IFERROR(__xludf.DUMMYFUNCTION("""COMPUTED_VALUE"""),29.0)</f>
        <v>29</v>
      </c>
      <c r="J597" s="165">
        <f>IFERROR(__xludf.DUMMYFUNCTION("""COMPUTED_VALUE"""),3.63010748208774)</f>
        <v>3.630107482</v>
      </c>
      <c r="K597" s="165">
        <f>IFERROR(__xludf.DUMMYFUNCTION("""COMPUTED_VALUE"""),2.9262315887704)</f>
        <v>2.926231589</v>
      </c>
      <c r="L597" s="165">
        <f>IFERROR(__xludf.DUMMYFUNCTION("""COMPUTED_VALUE"""),0.703875893317347)</f>
        <v>0.7038758933</v>
      </c>
      <c r="M597" s="166">
        <f t="shared" si="2"/>
        <v>9.908734441</v>
      </c>
      <c r="N597" s="167">
        <f t="shared" si="3"/>
        <v>35.37448357</v>
      </c>
      <c r="O597" s="163">
        <f t="shared" ref="O597:Q597" si="601">rank(I597,I:I)</f>
        <v>855</v>
      </c>
      <c r="P597" s="163">
        <f t="shared" si="601"/>
        <v>119</v>
      </c>
      <c r="Q597" s="163">
        <f t="shared" si="601"/>
        <v>128</v>
      </c>
      <c r="R597" s="163">
        <f>IFERROR(__xludf.DUMMYFUNCTION("RANK(M597,filter(M:M,C:C=C597))"),13.0)</f>
        <v>13</v>
      </c>
      <c r="S597" s="161" t="b">
        <f t="shared" si="5"/>
        <v>0</v>
      </c>
      <c r="T597" s="161" t="b">
        <f t="array" ref="T597">index('Query Tool'!B:B,match(H597,'Query Tool'!C:C,0))</f>
        <v>1</v>
      </c>
      <c r="U597" s="161" t="b">
        <f t="array" ref="U597">index('Query Tool'!B:B,match(C597,'Query Tool'!C:C,0))</f>
        <v>0</v>
      </c>
      <c r="V597" s="161" t="b">
        <f>F597&gt;='Query Tool'!C$32</f>
        <v>1</v>
      </c>
      <c r="W597" s="161" t="b">
        <f t="array" ref="W597">index(Dropdowns!B:B,match(I597,Dropdowns!A:A,0))</f>
        <v>1</v>
      </c>
      <c r="X597" s="161" t="b">
        <f t="array" ref="X597">index('Query Tool'!B:B,match(D597,'Query Tool'!C:C,0))</f>
        <v>1</v>
      </c>
      <c r="Y597" s="161" t="str">
        <f t="shared" si="6"/>
        <v>aldrila01,2014-15</v>
      </c>
      <c r="Z597" s="168">
        <f t="array" ref="Z597">iferror(index(I:I,match($A597&amp;","&amp;index('Year Conversion'!$A:$A,match($C597,'Year Conversion'!$B:$B,0)),$Y:$Y,0))-I597,"")</f>
        <v>1</v>
      </c>
      <c r="AA597" s="168">
        <f t="array" ref="AA597">iferror(index(J:J,match($A597&amp;","&amp;index('Year Conversion'!$A:$A,match($C597,'Year Conversion'!$B:$B,0)),$Y:$Y,0))-J597,"")</f>
        <v>-1.120781563</v>
      </c>
      <c r="AB597" s="168">
        <f t="array" ref="AB597">iferror(index(K:K,match($A597&amp;","&amp;index('Year Conversion'!$A:$A,match($C597,'Year Conversion'!$B:$B,0)),$Y:$Y,0))-K597,"")</f>
        <v>-1.775989253</v>
      </c>
      <c r="AC597" s="168" t="str">
        <f t="shared" si="7"/>
        <v>POR,2014-15</v>
      </c>
    </row>
    <row r="598">
      <c r="A598" s="161" t="str">
        <f>IFERROR(__xludf.DUMMYFUNCTION("""COMPUTED_VALUE"""),"thomaty01")</f>
        <v>thomaty01</v>
      </c>
      <c r="B598" s="161" t="str">
        <f>IFERROR(__xludf.DUMMYFUNCTION("""COMPUTED_VALUE"""),"Tyrus Thomas")</f>
        <v>Tyrus Thomas</v>
      </c>
      <c r="C598" s="162" t="str">
        <f>IFERROR(__xludf.DUMMYFUNCTION("""COMPUTED_VALUE"""),"2014-15")</f>
        <v>2014-15</v>
      </c>
      <c r="D598" s="163" t="str">
        <f>IFERROR(__xludf.DUMMYFUNCTION("""COMPUTED_VALUE"""),"MEM")</f>
        <v>MEM</v>
      </c>
      <c r="E598" s="164" t="str">
        <f>IFERROR(__xludf.DUMMYFUNCTION("""COMPUTED_VALUE"""),"Roll + Cut Big")</f>
        <v>Roll + Cut Big</v>
      </c>
      <c r="F598" s="164">
        <f>IFERROR(__xludf.DUMMYFUNCTION("""COMPUTED_VALUE"""),6.51666666666667)</f>
        <v>6.516666667</v>
      </c>
      <c r="G598" s="163">
        <f>IFERROR(__xludf.DUMMYFUNCTION("""COMPUTED_VALUE"""),2.0)</f>
        <v>2</v>
      </c>
      <c r="H598" s="163" t="str">
        <f>IFERROR(__xludf.DUMMYFUNCTION("""COMPUTED_VALUE"""),"PF")</f>
        <v>PF</v>
      </c>
      <c r="I598" s="163">
        <f>IFERROR(__xludf.DUMMYFUNCTION("""COMPUTED_VALUE"""),28.0)</f>
        <v>28</v>
      </c>
      <c r="J598" s="165">
        <f>IFERROR(__xludf.DUMMYFUNCTION("""COMPUTED_VALUE"""),-0.668518218098015)</f>
        <v>-0.6685182181</v>
      </c>
      <c r="K598" s="165">
        <f>IFERROR(__xludf.DUMMYFUNCTION("""COMPUTED_VALUE"""),-0.126387760644132)</f>
        <v>-0.1263877606</v>
      </c>
      <c r="L598" s="165">
        <f>IFERROR(__xludf.DUMMYFUNCTION("""COMPUTED_VALUE"""),-0.542130457453883)</f>
        <v>-0.5421304575</v>
      </c>
      <c r="M598" s="166">
        <f t="shared" si="2"/>
        <v>0.00711123499</v>
      </c>
      <c r="N598" s="167">
        <f t="shared" si="3"/>
        <v>3.258333333</v>
      </c>
      <c r="O598" s="163">
        <f t="shared" ref="O598:Q598" si="602">rank(I598,I:I)</f>
        <v>1090</v>
      </c>
      <c r="P598" s="163">
        <f t="shared" si="602"/>
        <v>2094</v>
      </c>
      <c r="Q598" s="163">
        <f t="shared" si="602"/>
        <v>1424</v>
      </c>
      <c r="R598" s="163">
        <f>IFERROR(__xludf.DUMMYFUNCTION("RANK(M598,filter(M:M,C:C=C598))"),434.0)</f>
        <v>434</v>
      </c>
      <c r="S598" s="161" t="b">
        <f t="shared" si="5"/>
        <v>0</v>
      </c>
      <c r="T598" s="161" t="b">
        <f t="array" ref="T598">index('Query Tool'!B:B,match(H598,'Query Tool'!C:C,0))</f>
        <v>1</v>
      </c>
      <c r="U598" s="161" t="b">
        <f t="array" ref="U598">index('Query Tool'!B:B,match(C598,'Query Tool'!C:C,0))</f>
        <v>0</v>
      </c>
      <c r="V598" s="161" t="b">
        <f>F598&gt;='Query Tool'!C$32</f>
        <v>0</v>
      </c>
      <c r="W598" s="161" t="b">
        <f t="array" ref="W598">index(Dropdowns!B:B,match(I598,Dropdowns!A:A,0))</f>
        <v>1</v>
      </c>
      <c r="X598" s="161" t="b">
        <f t="array" ref="X598">index('Query Tool'!B:B,match(D598,'Query Tool'!C:C,0))</f>
        <v>1</v>
      </c>
      <c r="Y598" s="161" t="str">
        <f t="shared" si="6"/>
        <v>thomaty01,2014-15</v>
      </c>
      <c r="Z598" s="168" t="str">
        <f t="array" ref="Z598">iferror(index(I:I,match($A598&amp;","&amp;index('Year Conversion'!$A:$A,match($C598,'Year Conversion'!$B:$B,0)),$Y:$Y,0))-I598,"")</f>
        <v/>
      </c>
      <c r="AA598" s="168" t="str">
        <f t="array" ref="AA598">iferror(index(J:J,match($A598&amp;","&amp;index('Year Conversion'!$A:$A,match($C598,'Year Conversion'!$B:$B,0)),$Y:$Y,0))-J598,"")</f>
        <v/>
      </c>
      <c r="AB598" s="168" t="str">
        <f t="array" ref="AB598">iferror(index(K:K,match($A598&amp;","&amp;index('Year Conversion'!$A:$A,match($C598,'Year Conversion'!$B:$B,0)),$Y:$Y,0))-K598,"")</f>
        <v/>
      </c>
      <c r="AC598" s="168" t="str">
        <f t="shared" si="7"/>
        <v>MEM,2014-15</v>
      </c>
    </row>
    <row r="599">
      <c r="A599" s="161" t="str">
        <f>IFERROR(__xludf.DUMMYFUNCTION("""COMPUTED_VALUE"""),"foyera01")</f>
        <v>foyera01</v>
      </c>
      <c r="B599" s="161" t="str">
        <f>IFERROR(__xludf.DUMMYFUNCTION("""COMPUTED_VALUE"""),"Randy Foye")</f>
        <v>Randy Foye</v>
      </c>
      <c r="C599" s="162" t="str">
        <f>IFERROR(__xludf.DUMMYFUNCTION("""COMPUTED_VALUE"""),"2014-15")</f>
        <v>2014-15</v>
      </c>
      <c r="D599" s="163" t="str">
        <f>IFERROR(__xludf.DUMMYFUNCTION("""COMPUTED_VALUE"""),"DEN")</f>
        <v>DEN</v>
      </c>
      <c r="E599" s="164" t="str">
        <f>IFERROR(__xludf.DUMMYFUNCTION("""COMPUTED_VALUE"""),"Secondary Ball Handler")</f>
        <v>Secondary Ball Handler</v>
      </c>
      <c r="F599" s="164">
        <f>IFERROR(__xludf.DUMMYFUNCTION("""COMPUTED_VALUE"""),1086.48)</f>
        <v>1086.48</v>
      </c>
      <c r="G599" s="163">
        <f>IFERROR(__xludf.DUMMYFUNCTION("""COMPUTED_VALUE"""),50.0)</f>
        <v>50</v>
      </c>
      <c r="H599" s="163" t="str">
        <f>IFERROR(__xludf.DUMMYFUNCTION("""COMPUTED_VALUE"""),"SG")</f>
        <v>SG</v>
      </c>
      <c r="I599" s="163">
        <f>IFERROR(__xludf.DUMMYFUNCTION("""COMPUTED_VALUE"""),31.0)</f>
        <v>31</v>
      </c>
      <c r="J599" s="165">
        <f>IFERROR(__xludf.DUMMYFUNCTION("""COMPUTED_VALUE"""),-1.26204141130132)</f>
        <v>-1.262041411</v>
      </c>
      <c r="K599" s="165">
        <f>IFERROR(__xludf.DUMMYFUNCTION("""COMPUTED_VALUE"""),-0.376829741751156)</f>
        <v>-0.3768297418</v>
      </c>
      <c r="L599" s="165">
        <f>IFERROR(__xludf.DUMMYFUNCTION("""COMPUTED_VALUE"""),-0.885211669550165)</f>
        <v>-0.8852116696</v>
      </c>
      <c r="M599" s="166">
        <f t="shared" si="2"/>
        <v>0.7525925715</v>
      </c>
      <c r="N599" s="167">
        <f t="shared" si="3"/>
        <v>21.7296</v>
      </c>
      <c r="O599" s="163">
        <f t="shared" ref="O599:Q599" si="603">rank(I599,I:I)</f>
        <v>490</v>
      </c>
      <c r="P599" s="163">
        <f t="shared" si="603"/>
        <v>2828</v>
      </c>
      <c r="Q599" s="163">
        <f t="shared" si="603"/>
        <v>1909</v>
      </c>
      <c r="R599" s="163">
        <f>IFERROR(__xludf.DUMMYFUNCTION("RANK(M599,filter(M:M,C:C=C599))"),254.0)</f>
        <v>254</v>
      </c>
      <c r="S599" s="161" t="b">
        <f t="shared" si="5"/>
        <v>0</v>
      </c>
      <c r="T599" s="161" t="b">
        <f t="array" ref="T599">index('Query Tool'!B:B,match(H599,'Query Tool'!C:C,0))</f>
        <v>1</v>
      </c>
      <c r="U599" s="161" t="b">
        <f t="array" ref="U599">index('Query Tool'!B:B,match(C599,'Query Tool'!C:C,0))</f>
        <v>0</v>
      </c>
      <c r="V599" s="161" t="b">
        <f>F599&gt;='Query Tool'!C$32</f>
        <v>1</v>
      </c>
      <c r="W599" s="161" t="b">
        <f t="array" ref="W599">index(Dropdowns!B:B,match(I599,Dropdowns!A:A,0))</f>
        <v>1</v>
      </c>
      <c r="X599" s="161" t="b">
        <f t="array" ref="X599">index('Query Tool'!B:B,match(D599,'Query Tool'!C:C,0))</f>
        <v>1</v>
      </c>
      <c r="Y599" s="161" t="str">
        <f t="shared" si="6"/>
        <v>foyera01,2014-15</v>
      </c>
      <c r="Z599" s="168">
        <f t="array" ref="Z599">iferror(index(I:I,match($A599&amp;","&amp;index('Year Conversion'!$A:$A,match($C599,'Year Conversion'!$B:$B,0)),$Y:$Y,0))-I599,"")</f>
        <v>1</v>
      </c>
      <c r="AA599" s="168">
        <f t="array" ref="AA599">iferror(index(J:J,match($A599&amp;","&amp;index('Year Conversion'!$A:$A,match($C599,'Year Conversion'!$B:$B,0)),$Y:$Y,0))-J599,"")</f>
        <v>-0.08175700632</v>
      </c>
      <c r="AB599" s="168">
        <f t="array" ref="AB599">iferror(index(K:K,match($A599&amp;","&amp;index('Year Conversion'!$A:$A,match($C599,'Year Conversion'!$B:$B,0)),$Y:$Y,0))-K599,"")</f>
        <v>-0.3734101431</v>
      </c>
      <c r="AC599" s="168" t="str">
        <f t="shared" si="7"/>
        <v>DEN,2014-15</v>
      </c>
    </row>
    <row r="600">
      <c r="A600" s="161" t="str">
        <f>IFERROR(__xludf.DUMMYFUNCTION("""COMPUTED_VALUE"""),"gayru01")</f>
        <v>gayru01</v>
      </c>
      <c r="B600" s="161" t="str">
        <f>IFERROR(__xludf.DUMMYFUNCTION("""COMPUTED_VALUE"""),"Rudy Gay")</f>
        <v>Rudy Gay</v>
      </c>
      <c r="C600" s="162" t="str">
        <f>IFERROR(__xludf.DUMMYFUNCTION("""COMPUTED_VALUE"""),"2014-15")</f>
        <v>2014-15</v>
      </c>
      <c r="D600" s="163" t="str">
        <f>IFERROR(__xludf.DUMMYFUNCTION("""COMPUTED_VALUE"""),"SAC")</f>
        <v>SAC</v>
      </c>
      <c r="E600" s="164" t="str">
        <f>IFERROR(__xludf.DUMMYFUNCTION("""COMPUTED_VALUE"""),"Shot Creator")</f>
        <v>Shot Creator</v>
      </c>
      <c r="F600" s="164">
        <f>IFERROR(__xludf.DUMMYFUNCTION("""COMPUTED_VALUE"""),2408.24833333333)</f>
        <v>2408.248333</v>
      </c>
      <c r="G600" s="163">
        <f>IFERROR(__xludf.DUMMYFUNCTION("""COMPUTED_VALUE"""),68.0)</f>
        <v>68</v>
      </c>
      <c r="H600" s="163" t="str">
        <f>IFERROR(__xludf.DUMMYFUNCTION("""COMPUTED_VALUE"""),"SF")</f>
        <v>SF</v>
      </c>
      <c r="I600" s="163">
        <f>IFERROR(__xludf.DUMMYFUNCTION("""COMPUTED_VALUE"""),28.0)</f>
        <v>28</v>
      </c>
      <c r="J600" s="165">
        <f>IFERROR(__xludf.DUMMYFUNCTION("""COMPUTED_VALUE"""),0.293278541297057)</f>
        <v>0.2932785413</v>
      </c>
      <c r="K600" s="165">
        <f>IFERROR(__xludf.DUMMYFUNCTION("""COMPUTED_VALUE"""),1.90687359711332)</f>
        <v>1.906873597</v>
      </c>
      <c r="L600" s="165">
        <f>IFERROR(__xludf.DUMMYFUNCTION("""COMPUTED_VALUE"""),-1.61359505581626)</f>
        <v>-1.613595056</v>
      </c>
      <c r="M600" s="166">
        <f t="shared" si="2"/>
        <v>4.188831171</v>
      </c>
      <c r="N600" s="167">
        <f t="shared" si="3"/>
        <v>35.41541667</v>
      </c>
      <c r="O600" s="163">
        <f t="shared" ref="O600:Q600" si="604">rank(I600,I:I)</f>
        <v>1090</v>
      </c>
      <c r="P600" s="163">
        <f t="shared" si="604"/>
        <v>1025</v>
      </c>
      <c r="Q600" s="163">
        <f t="shared" si="604"/>
        <v>243</v>
      </c>
      <c r="R600" s="163">
        <f>IFERROR(__xludf.DUMMYFUNCTION("RANK(M600,filter(M:M,C:C=C600))"),81.0)</f>
        <v>81</v>
      </c>
      <c r="S600" s="161" t="b">
        <f t="shared" si="5"/>
        <v>0</v>
      </c>
      <c r="T600" s="161" t="b">
        <f t="array" ref="T600">index('Query Tool'!B:B,match(H600,'Query Tool'!C:C,0))</f>
        <v>1</v>
      </c>
      <c r="U600" s="161" t="b">
        <f t="array" ref="U600">index('Query Tool'!B:B,match(C600,'Query Tool'!C:C,0))</f>
        <v>0</v>
      </c>
      <c r="V600" s="161" t="b">
        <f>F600&gt;='Query Tool'!C$32</f>
        <v>1</v>
      </c>
      <c r="W600" s="161" t="b">
        <f t="array" ref="W600">index(Dropdowns!B:B,match(I600,Dropdowns!A:A,0))</f>
        <v>1</v>
      </c>
      <c r="X600" s="161" t="b">
        <f t="array" ref="X600">index('Query Tool'!B:B,match(D600,'Query Tool'!C:C,0))</f>
        <v>1</v>
      </c>
      <c r="Y600" s="161" t="str">
        <f t="shared" si="6"/>
        <v>gayru01,2014-15</v>
      </c>
      <c r="Z600" s="168">
        <f t="array" ref="Z600">iferror(index(I:I,match($A600&amp;","&amp;index('Year Conversion'!$A:$A,match($C600,'Year Conversion'!$B:$B,0)),$Y:$Y,0))-I600,"")</f>
        <v>1</v>
      </c>
      <c r="AA600" s="168">
        <f t="array" ref="AA600">iferror(index(J:J,match($A600&amp;","&amp;index('Year Conversion'!$A:$A,match($C600,'Year Conversion'!$B:$B,0)),$Y:$Y,0))-J600,"")</f>
        <v>-0.08506458632</v>
      </c>
      <c r="AB600" s="168">
        <f t="array" ref="AB600">iferror(index(K:K,match($A600&amp;","&amp;index('Year Conversion'!$A:$A,match($C600,'Year Conversion'!$B:$B,0)),$Y:$Y,0))-K600,"")</f>
        <v>-1.761271216</v>
      </c>
      <c r="AC600" s="168" t="str">
        <f t="shared" si="7"/>
        <v>SAC,2014-15</v>
      </c>
    </row>
    <row r="601">
      <c r="A601" s="161" t="str">
        <f>IFERROR(__xludf.DUMMYFUNCTION("""COMPUTED_VALUE"""),"redicjj01")</f>
        <v>redicjj01</v>
      </c>
      <c r="B601" s="161" t="str">
        <f>IFERROR(__xludf.DUMMYFUNCTION("""COMPUTED_VALUE"""),"JJ Redick")</f>
        <v>JJ Redick</v>
      </c>
      <c r="C601" s="162" t="str">
        <f>IFERROR(__xludf.DUMMYFUNCTION("""COMPUTED_VALUE"""),"2014-15")</f>
        <v>2014-15</v>
      </c>
      <c r="D601" s="163" t="str">
        <f>IFERROR(__xludf.DUMMYFUNCTION("""COMPUTED_VALUE"""),"LAC")</f>
        <v>LAC</v>
      </c>
      <c r="E601" s="164" t="str">
        <f>IFERROR(__xludf.DUMMYFUNCTION("""COMPUTED_VALUE"""),"Off Screen Shooter")</f>
        <v>Off Screen Shooter</v>
      </c>
      <c r="F601" s="164">
        <f>IFERROR(__xludf.DUMMYFUNCTION("""COMPUTED_VALUE"""),2409.07833333333)</f>
        <v>2409.078333</v>
      </c>
      <c r="G601" s="163">
        <f>IFERROR(__xludf.DUMMYFUNCTION("""COMPUTED_VALUE"""),78.0)</f>
        <v>78</v>
      </c>
      <c r="H601" s="163" t="str">
        <f>IFERROR(__xludf.DUMMYFUNCTION("""COMPUTED_VALUE"""),"SG")</f>
        <v>SG</v>
      </c>
      <c r="I601" s="163">
        <f>IFERROR(__xludf.DUMMYFUNCTION("""COMPUTED_VALUE"""),30.0)</f>
        <v>30</v>
      </c>
      <c r="J601" s="165">
        <f>IFERROR(__xludf.DUMMYFUNCTION("""COMPUTED_VALUE"""),0.94344993108656)</f>
        <v>0.9434499311</v>
      </c>
      <c r="K601" s="165">
        <f>IFERROR(__xludf.DUMMYFUNCTION("""COMPUTED_VALUE"""),1.93551739874362)</f>
        <v>1.935517399</v>
      </c>
      <c r="L601" s="165">
        <f>IFERROR(__xludf.DUMMYFUNCTION("""COMPUTED_VALUE"""),-0.992067467657065)</f>
        <v>-0.9920674677</v>
      </c>
      <c r="M601" s="166">
        <f t="shared" si="2"/>
        <v>5.24443264</v>
      </c>
      <c r="N601" s="167">
        <f t="shared" si="3"/>
        <v>30.88561966</v>
      </c>
      <c r="O601" s="163">
        <f t="shared" ref="O601:Q601" si="605">rank(I601,I:I)</f>
        <v>655</v>
      </c>
      <c r="P601" s="163">
        <f t="shared" si="605"/>
        <v>682</v>
      </c>
      <c r="Q601" s="163">
        <f t="shared" si="605"/>
        <v>236</v>
      </c>
      <c r="R601" s="163">
        <f>IFERROR(__xludf.DUMMYFUNCTION("RANK(M601,filter(M:M,C:C=C601))"),53.0)</f>
        <v>53</v>
      </c>
      <c r="S601" s="161" t="b">
        <f t="shared" si="5"/>
        <v>0</v>
      </c>
      <c r="T601" s="161" t="b">
        <f t="array" ref="T601">index('Query Tool'!B:B,match(H601,'Query Tool'!C:C,0))</f>
        <v>1</v>
      </c>
      <c r="U601" s="161" t="b">
        <f t="array" ref="U601">index('Query Tool'!B:B,match(C601,'Query Tool'!C:C,0))</f>
        <v>0</v>
      </c>
      <c r="V601" s="161" t="b">
        <f>F601&gt;='Query Tool'!C$32</f>
        <v>1</v>
      </c>
      <c r="W601" s="161" t="b">
        <f t="array" ref="W601">index(Dropdowns!B:B,match(I601,Dropdowns!A:A,0))</f>
        <v>1</v>
      </c>
      <c r="X601" s="161" t="b">
        <f t="array" ref="X601">index('Query Tool'!B:B,match(D601,'Query Tool'!C:C,0))</f>
        <v>1</v>
      </c>
      <c r="Y601" s="161" t="str">
        <f t="shared" si="6"/>
        <v>redicjj01,2014-15</v>
      </c>
      <c r="Z601" s="168">
        <f t="array" ref="Z601">iferror(index(I:I,match($A601&amp;","&amp;index('Year Conversion'!$A:$A,match($C601,'Year Conversion'!$B:$B,0)),$Y:$Y,0))-I601,"")</f>
        <v>1</v>
      </c>
      <c r="AA601" s="168">
        <f t="array" ref="AA601">iferror(index(J:J,match($A601&amp;","&amp;index('Year Conversion'!$A:$A,match($C601,'Year Conversion'!$B:$B,0)),$Y:$Y,0))-J601,"")</f>
        <v>0.1886979481</v>
      </c>
      <c r="AB601" s="168">
        <f t="array" ref="AB601">iferror(index(K:K,match($A601&amp;","&amp;index('Year Conversion'!$A:$A,match($C601,'Year Conversion'!$B:$B,0)),$Y:$Y,0))-K601,"")</f>
        <v>-0.05430411189</v>
      </c>
      <c r="AC601" s="168" t="str">
        <f t="shared" si="7"/>
        <v>LAC,2014-15</v>
      </c>
    </row>
    <row r="602">
      <c r="A602" s="161" t="str">
        <f>IFERROR(__xludf.DUMMYFUNCTION("""COMPUTED_VALUE"""),"sefolth01")</f>
        <v>sefolth01</v>
      </c>
      <c r="B602" s="161" t="str">
        <f>IFERROR(__xludf.DUMMYFUNCTION("""COMPUTED_VALUE"""),"Thabo Sefolosha")</f>
        <v>Thabo Sefolosha</v>
      </c>
      <c r="C602" s="162" t="str">
        <f>IFERROR(__xludf.DUMMYFUNCTION("""COMPUTED_VALUE"""),"2014-15")</f>
        <v>2014-15</v>
      </c>
      <c r="D602" s="163" t="str">
        <f>IFERROR(__xludf.DUMMYFUNCTION("""COMPUTED_VALUE"""),"ATL")</f>
        <v>ATL</v>
      </c>
      <c r="E602" s="164" t="str">
        <f>IFERROR(__xludf.DUMMYFUNCTION("""COMPUTED_VALUE"""),"Athletic Finisher")</f>
        <v>Athletic Finisher</v>
      </c>
      <c r="F602" s="164">
        <f>IFERROR(__xludf.DUMMYFUNCTION("""COMPUTED_VALUE"""),975.656666666667)</f>
        <v>975.6566667</v>
      </c>
      <c r="G602" s="163">
        <f>IFERROR(__xludf.DUMMYFUNCTION("""COMPUTED_VALUE"""),52.0)</f>
        <v>52</v>
      </c>
      <c r="H602" s="163" t="str">
        <f>IFERROR(__xludf.DUMMYFUNCTION("""COMPUTED_VALUE"""),"SF")</f>
        <v>SF</v>
      </c>
      <c r="I602" s="163">
        <f>IFERROR(__xludf.DUMMYFUNCTION("""COMPUTED_VALUE"""),30.0)</f>
        <v>30</v>
      </c>
      <c r="J602" s="165">
        <f>IFERROR(__xludf.DUMMYFUNCTION("""COMPUTED_VALUE"""),1.71499114877257)</f>
        <v>1.714991149</v>
      </c>
      <c r="K602" s="165">
        <f>IFERROR(__xludf.DUMMYFUNCTION("""COMPUTED_VALUE"""),-0.2305082315358)</f>
        <v>-0.2305082315</v>
      </c>
      <c r="L602" s="165">
        <f>IFERROR(__xludf.DUMMYFUNCTION("""COMPUTED_VALUE"""),1.94549938030837)</f>
        <v>1.94549938</v>
      </c>
      <c r="M602" s="166">
        <f t="shared" si="2"/>
        <v>2.627633705</v>
      </c>
      <c r="N602" s="167">
        <f t="shared" si="3"/>
        <v>18.76262821</v>
      </c>
      <c r="O602" s="163">
        <f t="shared" ref="O602:Q602" si="606">rank(I602,I:I)</f>
        <v>655</v>
      </c>
      <c r="P602" s="163">
        <f t="shared" si="606"/>
        <v>392</v>
      </c>
      <c r="Q602" s="163">
        <f t="shared" si="606"/>
        <v>1625</v>
      </c>
      <c r="R602" s="163">
        <f>IFERROR(__xludf.DUMMYFUNCTION("RANK(M602,filter(M:M,C:C=C602))"),130.0)</f>
        <v>130</v>
      </c>
      <c r="S602" s="161" t="b">
        <f t="shared" si="5"/>
        <v>0</v>
      </c>
      <c r="T602" s="161" t="b">
        <f t="array" ref="T602">index('Query Tool'!B:B,match(H602,'Query Tool'!C:C,0))</f>
        <v>1</v>
      </c>
      <c r="U602" s="161" t="b">
        <f t="array" ref="U602">index('Query Tool'!B:B,match(C602,'Query Tool'!C:C,0))</f>
        <v>0</v>
      </c>
      <c r="V602" s="161" t="b">
        <f>F602&gt;='Query Tool'!C$32</f>
        <v>1</v>
      </c>
      <c r="W602" s="161" t="b">
        <f t="array" ref="W602">index(Dropdowns!B:B,match(I602,Dropdowns!A:A,0))</f>
        <v>1</v>
      </c>
      <c r="X602" s="161" t="b">
        <f t="array" ref="X602">index('Query Tool'!B:B,match(D602,'Query Tool'!C:C,0))</f>
        <v>1</v>
      </c>
      <c r="Y602" s="161" t="str">
        <f t="shared" si="6"/>
        <v>sefolth01,2014-15</v>
      </c>
      <c r="Z602" s="168">
        <f t="array" ref="Z602">iferror(index(I:I,match($A602&amp;","&amp;index('Year Conversion'!$A:$A,match($C602,'Year Conversion'!$B:$B,0)),$Y:$Y,0))-I602,"")</f>
        <v>1</v>
      </c>
      <c r="AA602" s="168">
        <f t="array" ref="AA602">iferror(index(J:J,match($A602&amp;","&amp;index('Year Conversion'!$A:$A,match($C602,'Year Conversion'!$B:$B,0)),$Y:$Y,0))-J602,"")</f>
        <v>-2.196890658</v>
      </c>
      <c r="AB602" s="168">
        <f t="array" ref="AB602">iferror(index(K:K,match($A602&amp;","&amp;index('Year Conversion'!$A:$A,match($C602,'Year Conversion'!$B:$B,0)),$Y:$Y,0))-K602,"")</f>
        <v>-1.871452082</v>
      </c>
      <c r="AC602" s="168" t="str">
        <f t="shared" si="7"/>
        <v>ATL,2014-15</v>
      </c>
    </row>
    <row r="603">
      <c r="A603" s="161" t="str">
        <f>IFERROR(__xludf.DUMMYFUNCTION("""COMPUTED_VALUE"""),"willish03")</f>
        <v>willish03</v>
      </c>
      <c r="B603" s="161" t="str">
        <f>IFERROR(__xludf.DUMMYFUNCTION("""COMPUTED_VALUE"""),"Shawne Williams")</f>
        <v>Shawne Williams</v>
      </c>
      <c r="C603" s="162" t="str">
        <f>IFERROR(__xludf.DUMMYFUNCTION("""COMPUTED_VALUE"""),"2014-15")</f>
        <v>2014-15</v>
      </c>
      <c r="D603" s="163" t="str">
        <f>IFERROR(__xludf.DUMMYFUNCTION("""COMPUTED_VALUE"""),"TOT")</f>
        <v>TOT</v>
      </c>
      <c r="E603" s="164" t="str">
        <f>IFERROR(__xludf.DUMMYFUNCTION("""COMPUTED_VALUE"""),"Stationary Shooter")</f>
        <v>Stationary Shooter</v>
      </c>
      <c r="F603" s="164">
        <f>IFERROR(__xludf.DUMMYFUNCTION("""COMPUTED_VALUE"""),1086.69666666667)</f>
        <v>1086.696667</v>
      </c>
      <c r="G603" s="163">
        <f>IFERROR(__xludf.DUMMYFUNCTION("""COMPUTED_VALUE"""),63.0)</f>
        <v>63</v>
      </c>
      <c r="H603" s="163" t="str">
        <f>IFERROR(__xludf.DUMMYFUNCTION("""COMPUTED_VALUE"""),"SF")</f>
        <v>SF</v>
      </c>
      <c r="I603" s="163">
        <f>IFERROR(__xludf.DUMMYFUNCTION("""COMPUTED_VALUE"""),28.0)</f>
        <v>28</v>
      </c>
      <c r="J603" s="165">
        <f>IFERROR(__xludf.DUMMYFUNCTION("""COMPUTED_VALUE"""),-0.759067189152805)</f>
        <v>-0.7590671892</v>
      </c>
      <c r="K603" s="165">
        <f>IFERROR(__xludf.DUMMYFUNCTION("""COMPUTED_VALUE"""),-0.492354686461068)</f>
        <v>-0.4923546865</v>
      </c>
      <c r="L603" s="165">
        <f>IFERROR(__xludf.DUMMYFUNCTION("""COMPUTED_VALUE"""),-0.266712502691737)</f>
        <v>-0.2667125027</v>
      </c>
      <c r="M603" s="166">
        <f t="shared" si="2"/>
        <v>1.119645882</v>
      </c>
      <c r="N603" s="167">
        <f t="shared" si="3"/>
        <v>17.24915344</v>
      </c>
      <c r="O603" s="163">
        <f t="shared" ref="O603:Q603" si="607">rank(I603,I:I)</f>
        <v>1090</v>
      </c>
      <c r="P603" s="163">
        <f t="shared" si="607"/>
        <v>2224</v>
      </c>
      <c r="Q603" s="163">
        <f t="shared" si="607"/>
        <v>2096</v>
      </c>
      <c r="R603" s="163">
        <f>IFERROR(__xludf.DUMMYFUNCTION("RANK(M603,filter(M:M,C:C=C603))"),224.0)</f>
        <v>224</v>
      </c>
      <c r="S603" s="161" t="b">
        <f t="shared" si="5"/>
        <v>0</v>
      </c>
      <c r="T603" s="161" t="b">
        <f t="array" ref="T603">index('Query Tool'!B:B,match(H603,'Query Tool'!C:C,0))</f>
        <v>1</v>
      </c>
      <c r="U603" s="161" t="b">
        <f t="array" ref="U603">index('Query Tool'!B:B,match(C603,'Query Tool'!C:C,0))</f>
        <v>0</v>
      </c>
      <c r="V603" s="161" t="b">
        <f>F603&gt;='Query Tool'!C$32</f>
        <v>1</v>
      </c>
      <c r="W603" s="161" t="b">
        <f t="array" ref="W603">index(Dropdowns!B:B,match(I603,Dropdowns!A:A,0))</f>
        <v>1</v>
      </c>
      <c r="X603" s="161" t="b">
        <f t="array" ref="X603">index('Query Tool'!B:B,match(D603,'Query Tool'!C:C,0))</f>
        <v>1</v>
      </c>
      <c r="Y603" s="161" t="str">
        <f t="shared" si="6"/>
        <v>willish03,2014-15</v>
      </c>
      <c r="Z603" s="168" t="str">
        <f t="array" ref="Z603">iferror(index(I:I,match($A603&amp;","&amp;index('Year Conversion'!$A:$A,match($C603,'Year Conversion'!$B:$B,0)),$Y:$Y,0))-I603,"")</f>
        <v/>
      </c>
      <c r="AA603" s="168" t="str">
        <f t="array" ref="AA603">iferror(index(J:J,match($A603&amp;","&amp;index('Year Conversion'!$A:$A,match($C603,'Year Conversion'!$B:$B,0)),$Y:$Y,0))-J603,"")</f>
        <v/>
      </c>
      <c r="AB603" s="168" t="str">
        <f t="array" ref="AB603">iferror(index(K:K,match($A603&amp;","&amp;index('Year Conversion'!$A:$A,match($C603,'Year Conversion'!$B:$B,0)),$Y:$Y,0))-K603,"")</f>
        <v/>
      </c>
      <c r="AC603" s="168" t="str">
        <f t="shared" si="7"/>
        <v>TOT,2014-15</v>
      </c>
    </row>
    <row r="604">
      <c r="A604" s="161" t="str">
        <f>IFERROR(__xludf.DUMMYFUNCTION("""COMPUTED_VALUE"""),"rondora01")</f>
        <v>rondora01</v>
      </c>
      <c r="B604" s="161" t="str">
        <f>IFERROR(__xludf.DUMMYFUNCTION("""COMPUTED_VALUE"""),"Rajon Rondo")</f>
        <v>Rajon Rondo</v>
      </c>
      <c r="C604" s="162" t="str">
        <f>IFERROR(__xludf.DUMMYFUNCTION("""COMPUTED_VALUE"""),"2014-15")</f>
        <v>2014-15</v>
      </c>
      <c r="D604" s="163" t="str">
        <f>IFERROR(__xludf.DUMMYFUNCTION("""COMPUTED_VALUE"""),"TOT")</f>
        <v>TOT</v>
      </c>
      <c r="E604" s="164" t="str">
        <f>IFERROR(__xludf.DUMMYFUNCTION("""COMPUTED_VALUE"""),"Slasher")</f>
        <v>Slasher</v>
      </c>
      <c r="F604" s="164">
        <f>IFERROR(__xludf.DUMMYFUNCTION("""COMPUTED_VALUE"""),2018.82166666667)</f>
        <v>2018.821667</v>
      </c>
      <c r="G604" s="163">
        <f>IFERROR(__xludf.DUMMYFUNCTION("""COMPUTED_VALUE"""),68.0)</f>
        <v>68</v>
      </c>
      <c r="H604" s="163" t="str">
        <f>IFERROR(__xludf.DUMMYFUNCTION("""COMPUTED_VALUE"""),"PG")</f>
        <v>PG</v>
      </c>
      <c r="I604" s="163">
        <f>IFERROR(__xludf.DUMMYFUNCTION("""COMPUTED_VALUE"""),28.0)</f>
        <v>28</v>
      </c>
      <c r="J604" s="165">
        <f>IFERROR(__xludf.DUMMYFUNCTION("""COMPUTED_VALUE"""),-0.539823073728066)</f>
        <v>-0.5398230737</v>
      </c>
      <c r="K604" s="165">
        <f>IFERROR(__xludf.DUMMYFUNCTION("""COMPUTED_VALUE"""),-1.4386547277258)</f>
        <v>-1.438654728</v>
      </c>
      <c r="L604" s="165">
        <f>IFERROR(__xludf.DUMMYFUNCTION("""COMPUTED_VALUE"""),0.898831653997739)</f>
        <v>0.898831654</v>
      </c>
      <c r="M604" s="166">
        <f t="shared" si="2"/>
        <v>2.377910906</v>
      </c>
      <c r="N604" s="167">
        <f t="shared" si="3"/>
        <v>29.68855392</v>
      </c>
      <c r="O604" s="163">
        <f t="shared" ref="O604:Q604" si="608">rank(I604,I:I)</f>
        <v>1090</v>
      </c>
      <c r="P604" s="163">
        <f t="shared" si="608"/>
        <v>1903</v>
      </c>
      <c r="Q604" s="163">
        <f t="shared" si="608"/>
        <v>3286</v>
      </c>
      <c r="R604" s="163">
        <f>IFERROR(__xludf.DUMMYFUNCTION("RANK(M604,filter(M:M,C:C=C604))"),151.0)</f>
        <v>151</v>
      </c>
      <c r="S604" s="161" t="b">
        <f t="shared" si="5"/>
        <v>0</v>
      </c>
      <c r="T604" s="161" t="b">
        <f t="array" ref="T604">index('Query Tool'!B:B,match(H604,'Query Tool'!C:C,0))</f>
        <v>1</v>
      </c>
      <c r="U604" s="161" t="b">
        <f t="array" ref="U604">index('Query Tool'!B:B,match(C604,'Query Tool'!C:C,0))</f>
        <v>0</v>
      </c>
      <c r="V604" s="161" t="b">
        <f>F604&gt;='Query Tool'!C$32</f>
        <v>1</v>
      </c>
      <c r="W604" s="161" t="b">
        <f t="array" ref="W604">index(Dropdowns!B:B,match(I604,Dropdowns!A:A,0))</f>
        <v>1</v>
      </c>
      <c r="X604" s="161" t="b">
        <f t="array" ref="X604">index('Query Tool'!B:B,match(D604,'Query Tool'!C:C,0))</f>
        <v>1</v>
      </c>
      <c r="Y604" s="161" t="str">
        <f t="shared" si="6"/>
        <v>rondora01,2014-15</v>
      </c>
      <c r="Z604" s="168">
        <f t="array" ref="Z604">iferror(index(I:I,match($A604&amp;","&amp;index('Year Conversion'!$A:$A,match($C604,'Year Conversion'!$B:$B,0)),$Y:$Y,0))-I604,"")</f>
        <v>1</v>
      </c>
      <c r="AA604" s="168">
        <f t="array" ref="AA604">iferror(index(J:J,match($A604&amp;","&amp;index('Year Conversion'!$A:$A,match($C604,'Year Conversion'!$B:$B,0)),$Y:$Y,0))-J604,"")</f>
        <v>0.2617240055</v>
      </c>
      <c r="AB604" s="168">
        <f t="array" ref="AB604">iferror(index(K:K,match($A604&amp;","&amp;index('Year Conversion'!$A:$A,match($C604,'Year Conversion'!$B:$B,0)),$Y:$Y,0))-K604,"")</f>
        <v>1.579152628</v>
      </c>
      <c r="AC604" s="168" t="str">
        <f t="shared" si="7"/>
        <v>TOT,2014-15</v>
      </c>
    </row>
    <row r="605">
      <c r="A605" s="161" t="str">
        <f>IFERROR(__xludf.DUMMYFUNCTION("""COMPUTED_VALUE"""),"lowryky01")</f>
        <v>lowryky01</v>
      </c>
      <c r="B605" s="161" t="str">
        <f>IFERROR(__xludf.DUMMYFUNCTION("""COMPUTED_VALUE"""),"Kyle Lowry")</f>
        <v>Kyle Lowry</v>
      </c>
      <c r="C605" s="162" t="str">
        <f>IFERROR(__xludf.DUMMYFUNCTION("""COMPUTED_VALUE"""),"2014-15")</f>
        <v>2014-15</v>
      </c>
      <c r="D605" s="163" t="str">
        <f>IFERROR(__xludf.DUMMYFUNCTION("""COMPUTED_VALUE"""),"TOR")</f>
        <v>TOR</v>
      </c>
      <c r="E605" s="164" t="str">
        <f>IFERROR(__xludf.DUMMYFUNCTION("""COMPUTED_VALUE"""),"Primary Ball Handler")</f>
        <v>Primary Ball Handler</v>
      </c>
      <c r="F605" s="164">
        <f>IFERROR(__xludf.DUMMYFUNCTION("""COMPUTED_VALUE"""),2414.4)</f>
        <v>2414.4</v>
      </c>
      <c r="G605" s="163">
        <f>IFERROR(__xludf.DUMMYFUNCTION("""COMPUTED_VALUE"""),70.0)</f>
        <v>70</v>
      </c>
      <c r="H605" s="163" t="str">
        <f>IFERROR(__xludf.DUMMYFUNCTION("""COMPUTED_VALUE"""),"PG")</f>
        <v>PG</v>
      </c>
      <c r="I605" s="163">
        <f>IFERROR(__xludf.DUMMYFUNCTION("""COMPUTED_VALUE"""),28.0)</f>
        <v>28</v>
      </c>
      <c r="J605" s="165">
        <f>IFERROR(__xludf.DUMMYFUNCTION("""COMPUTED_VALUE"""),3.54102826055714)</f>
        <v>3.541028261</v>
      </c>
      <c r="K605" s="165">
        <f>IFERROR(__xludf.DUMMYFUNCTION("""COMPUTED_VALUE"""),3.17363928528656)</f>
        <v>3.173639285</v>
      </c>
      <c r="L605" s="165">
        <f>IFERROR(__xludf.DUMMYFUNCTION("""COMPUTED_VALUE"""),0.367388975270578)</f>
        <v>0.3673889753</v>
      </c>
      <c r="M605" s="166">
        <f t="shared" si="2"/>
        <v>9.387807102</v>
      </c>
      <c r="N605" s="167">
        <f t="shared" si="3"/>
        <v>34.49142857</v>
      </c>
      <c r="O605" s="163">
        <f t="shared" ref="O605:Q605" si="609">rank(I605,I:I)</f>
        <v>1090</v>
      </c>
      <c r="P605" s="163">
        <f t="shared" si="609"/>
        <v>130</v>
      </c>
      <c r="Q605" s="163">
        <f t="shared" si="609"/>
        <v>107</v>
      </c>
      <c r="R605" s="163">
        <f>IFERROR(__xludf.DUMMYFUNCTION("RANK(M605,filter(M:M,C:C=C605))"),17.0)</f>
        <v>17</v>
      </c>
      <c r="S605" s="161" t="b">
        <f t="shared" si="5"/>
        <v>0</v>
      </c>
      <c r="T605" s="161" t="b">
        <f t="array" ref="T605">index('Query Tool'!B:B,match(H605,'Query Tool'!C:C,0))</f>
        <v>1</v>
      </c>
      <c r="U605" s="161" t="b">
        <f t="array" ref="U605">index('Query Tool'!B:B,match(C605,'Query Tool'!C:C,0))</f>
        <v>0</v>
      </c>
      <c r="V605" s="161" t="b">
        <f>F605&gt;='Query Tool'!C$32</f>
        <v>1</v>
      </c>
      <c r="W605" s="161" t="b">
        <f t="array" ref="W605">index(Dropdowns!B:B,match(I605,Dropdowns!A:A,0))</f>
        <v>1</v>
      </c>
      <c r="X605" s="161" t="b">
        <f t="array" ref="X605">index('Query Tool'!B:B,match(D605,'Query Tool'!C:C,0))</f>
        <v>1</v>
      </c>
      <c r="Y605" s="161" t="str">
        <f t="shared" si="6"/>
        <v>lowryky01,2014-15</v>
      </c>
      <c r="Z605" s="168">
        <f t="array" ref="Z605">iferror(index(I:I,match($A605&amp;","&amp;index('Year Conversion'!$A:$A,match($C605,'Year Conversion'!$B:$B,0)),$Y:$Y,0))-I605,"")</f>
        <v>1</v>
      </c>
      <c r="AA605" s="168">
        <f t="array" ref="AA605">iferror(index(J:J,match($A605&amp;","&amp;index('Year Conversion'!$A:$A,match($C605,'Year Conversion'!$B:$B,0)),$Y:$Y,0))-J605,"")</f>
        <v>1.390149846</v>
      </c>
      <c r="AB605" s="168">
        <f t="array" ref="AB605">iferror(index(K:K,match($A605&amp;","&amp;index('Year Conversion'!$A:$A,match($C605,'Year Conversion'!$B:$B,0)),$Y:$Y,0))-K605,"")</f>
        <v>0.5858484707</v>
      </c>
      <c r="AC605" s="168" t="str">
        <f t="shared" si="7"/>
        <v>TOR,2014-15</v>
      </c>
    </row>
    <row r="606">
      <c r="A606" s="161" t="str">
        <f>IFERROR(__xludf.DUMMYFUNCTION("""COMPUTED_VALUE"""),"brownsh01")</f>
        <v>brownsh01</v>
      </c>
      <c r="B606" s="161" t="str">
        <f>IFERROR(__xludf.DUMMYFUNCTION("""COMPUTED_VALUE"""),"Shannon Brown")</f>
        <v>Shannon Brown</v>
      </c>
      <c r="C606" s="162" t="str">
        <f>IFERROR(__xludf.DUMMYFUNCTION("""COMPUTED_VALUE"""),"2014-15")</f>
        <v>2014-15</v>
      </c>
      <c r="D606" s="163" t="str">
        <f>IFERROR(__xludf.DUMMYFUNCTION("""COMPUTED_VALUE"""),"MIA")</f>
        <v>MIA</v>
      </c>
      <c r="E606" s="164" t="str">
        <f>IFERROR(__xludf.DUMMYFUNCTION("""COMPUTED_VALUE"""),"Secondary Ball Handler")</f>
        <v>Secondary Ball Handler</v>
      </c>
      <c r="F606" s="164">
        <f>IFERROR(__xludf.DUMMYFUNCTION("""COMPUTED_VALUE"""),88.7599999999999)</f>
        <v>88.76</v>
      </c>
      <c r="G606" s="163">
        <f>IFERROR(__xludf.DUMMYFUNCTION("""COMPUTED_VALUE"""),5.0)</f>
        <v>5</v>
      </c>
      <c r="H606" s="163" t="str">
        <f>IFERROR(__xludf.DUMMYFUNCTION("""COMPUTED_VALUE"""),"SG")</f>
        <v>SG</v>
      </c>
      <c r="I606" s="163">
        <f>IFERROR(__xludf.DUMMYFUNCTION("""COMPUTED_VALUE"""),29.0)</f>
        <v>29</v>
      </c>
      <c r="J606" s="165">
        <f>IFERROR(__xludf.DUMMYFUNCTION("""COMPUTED_VALUE"""),-1.33424839791753)</f>
        <v>-1.334248398</v>
      </c>
      <c r="K606" s="165">
        <f>IFERROR(__xludf.DUMMYFUNCTION("""COMPUTED_VALUE"""),-0.589451274724291)</f>
        <v>-0.5894512747</v>
      </c>
      <c r="L606" s="165">
        <f>IFERROR(__xludf.DUMMYFUNCTION("""COMPUTED_VALUE"""),-0.744797123193242)</f>
        <v>-0.7447971232</v>
      </c>
      <c r="M606" s="166">
        <f t="shared" si="2"/>
        <v>0.05719232948</v>
      </c>
      <c r="N606" s="167">
        <f t="shared" si="3"/>
        <v>17.752</v>
      </c>
      <c r="O606" s="163">
        <f t="shared" ref="O606:Q606" si="610">rank(I606,I:I)</f>
        <v>855</v>
      </c>
      <c r="P606" s="163">
        <f t="shared" si="610"/>
        <v>2899</v>
      </c>
      <c r="Q606" s="163">
        <f t="shared" si="610"/>
        <v>2245</v>
      </c>
      <c r="R606" s="163">
        <f>IFERROR(__xludf.DUMMYFUNCTION("RANK(M606,filter(M:M,C:C=C606))"),404.0)</f>
        <v>404</v>
      </c>
      <c r="S606" s="161" t="b">
        <f t="shared" si="5"/>
        <v>0</v>
      </c>
      <c r="T606" s="161" t="b">
        <f t="array" ref="T606">index('Query Tool'!B:B,match(H606,'Query Tool'!C:C,0))</f>
        <v>1</v>
      </c>
      <c r="U606" s="161" t="b">
        <f t="array" ref="U606">index('Query Tool'!B:B,match(C606,'Query Tool'!C:C,0))</f>
        <v>0</v>
      </c>
      <c r="V606" s="161" t="b">
        <f>F606&gt;='Query Tool'!C$32</f>
        <v>0</v>
      </c>
      <c r="W606" s="161" t="b">
        <f t="array" ref="W606">index(Dropdowns!B:B,match(I606,Dropdowns!A:A,0))</f>
        <v>1</v>
      </c>
      <c r="X606" s="161" t="b">
        <f t="array" ref="X606">index('Query Tool'!B:B,match(D606,'Query Tool'!C:C,0))</f>
        <v>1</v>
      </c>
      <c r="Y606" s="161" t="str">
        <f t="shared" si="6"/>
        <v>brownsh01,2014-15</v>
      </c>
      <c r="Z606" s="168" t="str">
        <f t="array" ref="Z606">iferror(index(I:I,match($A606&amp;","&amp;index('Year Conversion'!$A:$A,match($C606,'Year Conversion'!$B:$B,0)),$Y:$Y,0))-I606,"")</f>
        <v/>
      </c>
      <c r="AA606" s="168" t="str">
        <f t="array" ref="AA606">iferror(index(J:J,match($A606&amp;","&amp;index('Year Conversion'!$A:$A,match($C606,'Year Conversion'!$B:$B,0)),$Y:$Y,0))-J606,"")</f>
        <v/>
      </c>
      <c r="AB606" s="168" t="str">
        <f t="array" ref="AB606">iferror(index(K:K,match($A606&amp;","&amp;index('Year Conversion'!$A:$A,match($C606,'Year Conversion'!$B:$B,0)),$Y:$Y,0))-K606,"")</f>
        <v/>
      </c>
      <c r="AC606" s="168" t="str">
        <f t="shared" si="7"/>
        <v>MIA,2014-15</v>
      </c>
    </row>
    <row r="607">
      <c r="A607" s="161" t="str">
        <f>IFERROR(__xludf.DUMMYFUNCTION("""COMPUTED_VALUE"""),"farmajo01")</f>
        <v>farmajo01</v>
      </c>
      <c r="B607" s="161" t="str">
        <f>IFERROR(__xludf.DUMMYFUNCTION("""COMPUTED_VALUE"""),"Jordan Farmar")</f>
        <v>Jordan Farmar</v>
      </c>
      <c r="C607" s="162" t="str">
        <f>IFERROR(__xludf.DUMMYFUNCTION("""COMPUTED_VALUE"""),"2014-15")</f>
        <v>2014-15</v>
      </c>
      <c r="D607" s="163" t="str">
        <f>IFERROR(__xludf.DUMMYFUNCTION("""COMPUTED_VALUE"""),"LAC")</f>
        <v>LAC</v>
      </c>
      <c r="E607" s="164" t="str">
        <f>IFERROR(__xludf.DUMMYFUNCTION("""COMPUTED_VALUE"""),"Secondary Ball Handler")</f>
        <v>Secondary Ball Handler</v>
      </c>
      <c r="F607" s="164">
        <f>IFERROR(__xludf.DUMMYFUNCTION("""COMPUTED_VALUE"""),529.44)</f>
        <v>529.44</v>
      </c>
      <c r="G607" s="163">
        <f>IFERROR(__xludf.DUMMYFUNCTION("""COMPUTED_VALUE"""),36.0)</f>
        <v>36</v>
      </c>
      <c r="H607" s="163" t="str">
        <f>IFERROR(__xludf.DUMMYFUNCTION("""COMPUTED_VALUE"""),"PG")</f>
        <v>PG</v>
      </c>
      <c r="I607" s="163">
        <f>IFERROR(__xludf.DUMMYFUNCTION("""COMPUTED_VALUE"""),28.0)</f>
        <v>28</v>
      </c>
      <c r="J607" s="165">
        <f>IFERROR(__xludf.DUMMYFUNCTION("""COMPUTED_VALUE"""),-2.6099152941107)</f>
        <v>-2.609915294</v>
      </c>
      <c r="K607" s="165">
        <f>IFERROR(__xludf.DUMMYFUNCTION("""COMPUTED_VALUE"""),-1.31600216306823)</f>
        <v>-1.316002163</v>
      </c>
      <c r="L607" s="165">
        <f>IFERROR(__xludf.DUMMYFUNCTION("""COMPUTED_VALUE"""),-1.29391313104246)</f>
        <v>-1.293913131</v>
      </c>
      <c r="M607" s="166">
        <f t="shared" si="2"/>
        <v>-0.1066545742</v>
      </c>
      <c r="N607" s="167">
        <f t="shared" si="3"/>
        <v>14.70666667</v>
      </c>
      <c r="O607" s="163">
        <f t="shared" ref="O607:Q607" si="611">rank(I607,I:I)</f>
        <v>1090</v>
      </c>
      <c r="P607" s="163">
        <f t="shared" si="611"/>
        <v>3787</v>
      </c>
      <c r="Q607" s="163">
        <f t="shared" si="611"/>
        <v>3168</v>
      </c>
      <c r="R607" s="163">
        <f>IFERROR(__xludf.DUMMYFUNCTION("RANK(M607,filter(M:M,C:C=C607))"),454.0)</f>
        <v>454</v>
      </c>
      <c r="S607" s="161" t="b">
        <f t="shared" si="5"/>
        <v>0</v>
      </c>
      <c r="T607" s="161" t="b">
        <f t="array" ref="T607">index('Query Tool'!B:B,match(H607,'Query Tool'!C:C,0))</f>
        <v>1</v>
      </c>
      <c r="U607" s="161" t="b">
        <f t="array" ref="U607">index('Query Tool'!B:B,match(C607,'Query Tool'!C:C,0))</f>
        <v>0</v>
      </c>
      <c r="V607" s="161" t="b">
        <f>F607&gt;='Query Tool'!C$32</f>
        <v>1</v>
      </c>
      <c r="W607" s="161" t="b">
        <f t="array" ref="W607">index(Dropdowns!B:B,match(I607,Dropdowns!A:A,0))</f>
        <v>1</v>
      </c>
      <c r="X607" s="161" t="b">
        <f t="array" ref="X607">index('Query Tool'!B:B,match(D607,'Query Tool'!C:C,0))</f>
        <v>1</v>
      </c>
      <c r="Y607" s="161" t="str">
        <f t="shared" si="6"/>
        <v>farmajo01,2014-15</v>
      </c>
      <c r="Z607" s="168">
        <f t="array" ref="Z607">iferror(index(I:I,match($A607&amp;","&amp;index('Year Conversion'!$A:$A,match($C607,'Year Conversion'!$B:$B,0)),$Y:$Y,0))-I607,"")</f>
        <v>1</v>
      </c>
      <c r="AA607" s="168">
        <f t="array" ref="AA607">iferror(index(J:J,match($A607&amp;","&amp;index('Year Conversion'!$A:$A,match($C607,'Year Conversion'!$B:$B,0)),$Y:$Y,0))-J607,"")</f>
        <v>1.915127777</v>
      </c>
      <c r="AB607" s="168">
        <f t="array" ref="AB607">iferror(index(K:K,match($A607&amp;","&amp;index('Year Conversion'!$A:$A,match($C607,'Year Conversion'!$B:$B,0)),$Y:$Y,0))-K607,"")</f>
        <v>1.189519973</v>
      </c>
      <c r="AC607" s="168" t="str">
        <f t="shared" si="7"/>
        <v>LAC,2014-15</v>
      </c>
    </row>
    <row r="608">
      <c r="A608" s="161" t="str">
        <f>IFERROR(__xludf.DUMMYFUNCTION("""COMPUTED_VALUE"""),"freeljo01")</f>
        <v>freeljo01</v>
      </c>
      <c r="B608" s="161" t="str">
        <f>IFERROR(__xludf.DUMMYFUNCTION("""COMPUTED_VALUE"""),"Joel Freeland")</f>
        <v>Joel Freeland</v>
      </c>
      <c r="C608" s="162" t="str">
        <f>IFERROR(__xludf.DUMMYFUNCTION("""COMPUTED_VALUE"""),"2014-15")</f>
        <v>2014-15</v>
      </c>
      <c r="D608" s="163" t="str">
        <f>IFERROR(__xludf.DUMMYFUNCTION("""COMPUTED_VALUE"""),"POR")</f>
        <v>POR</v>
      </c>
      <c r="E608" s="164" t="str">
        <f>IFERROR(__xludf.DUMMYFUNCTION("""COMPUTED_VALUE"""),"Roll + Cut Big")</f>
        <v>Roll + Cut Big</v>
      </c>
      <c r="F608" s="164">
        <f>IFERROR(__xludf.DUMMYFUNCTION("""COMPUTED_VALUE"""),616.655)</f>
        <v>616.655</v>
      </c>
      <c r="G608" s="163">
        <f>IFERROR(__xludf.DUMMYFUNCTION("""COMPUTED_VALUE"""),48.0)</f>
        <v>48</v>
      </c>
      <c r="H608" s="163" t="str">
        <f>IFERROR(__xludf.DUMMYFUNCTION("""COMPUTED_VALUE"""),"C")</f>
        <v>C</v>
      </c>
      <c r="I608" s="163">
        <f>IFERROR(__xludf.DUMMYFUNCTION("""COMPUTED_VALUE"""),27.0)</f>
        <v>27</v>
      </c>
      <c r="J608" s="165">
        <f>IFERROR(__xludf.DUMMYFUNCTION("""COMPUTED_VALUE"""),-1.18992337426233)</f>
        <v>-1.189923374</v>
      </c>
      <c r="K608" s="165">
        <f>IFERROR(__xludf.DUMMYFUNCTION("""COMPUTED_VALUE"""),-1.93044180058226)</f>
        <v>-1.930441801</v>
      </c>
      <c r="L608" s="165">
        <f>IFERROR(__xludf.DUMMYFUNCTION("""COMPUTED_VALUE"""),0.740518426319931)</f>
        <v>0.7405184263</v>
      </c>
      <c r="M608" s="166">
        <f t="shared" si="2"/>
        <v>0.4569454894</v>
      </c>
      <c r="N608" s="167">
        <f t="shared" si="3"/>
        <v>12.84697917</v>
      </c>
      <c r="O608" s="163">
        <f t="shared" ref="O608:Q608" si="612">rank(I608,I:I)</f>
        <v>1366</v>
      </c>
      <c r="P608" s="163">
        <f t="shared" si="612"/>
        <v>2729</v>
      </c>
      <c r="Q608" s="163">
        <f t="shared" si="612"/>
        <v>3671</v>
      </c>
      <c r="R608" s="163">
        <f>IFERROR(__xludf.DUMMYFUNCTION("RANK(M608,filter(M:M,C:C=C608))"),291.0)</f>
        <v>291</v>
      </c>
      <c r="S608" s="161" t="b">
        <f t="shared" si="5"/>
        <v>0</v>
      </c>
      <c r="T608" s="161" t="b">
        <f t="array" ref="T608">index('Query Tool'!B:B,match(H608,'Query Tool'!C:C,0))</f>
        <v>1</v>
      </c>
      <c r="U608" s="161" t="b">
        <f t="array" ref="U608">index('Query Tool'!B:B,match(C608,'Query Tool'!C:C,0))</f>
        <v>0</v>
      </c>
      <c r="V608" s="161" t="b">
        <f>F608&gt;='Query Tool'!C$32</f>
        <v>1</v>
      </c>
      <c r="W608" s="161" t="b">
        <f t="array" ref="W608">index(Dropdowns!B:B,match(I608,Dropdowns!A:A,0))</f>
        <v>1</v>
      </c>
      <c r="X608" s="161" t="b">
        <f t="array" ref="X608">index('Query Tool'!B:B,match(D608,'Query Tool'!C:C,0))</f>
        <v>1</v>
      </c>
      <c r="Y608" s="161" t="str">
        <f t="shared" si="6"/>
        <v>freeljo01,2014-15</v>
      </c>
      <c r="Z608" s="168" t="str">
        <f t="array" ref="Z608">iferror(index(I:I,match($A608&amp;","&amp;index('Year Conversion'!$A:$A,match($C608,'Year Conversion'!$B:$B,0)),$Y:$Y,0))-I608,"")</f>
        <v/>
      </c>
      <c r="AA608" s="168" t="str">
        <f t="array" ref="AA608">iferror(index(J:J,match($A608&amp;","&amp;index('Year Conversion'!$A:$A,match($C608,'Year Conversion'!$B:$B,0)),$Y:$Y,0))-J608,"")</f>
        <v/>
      </c>
      <c r="AB608" s="168" t="str">
        <f t="array" ref="AB608">iferror(index(K:K,match($A608&amp;","&amp;index('Year Conversion'!$A:$A,match($C608,'Year Conversion'!$B:$B,0)),$Y:$Y,0))-K608,"")</f>
        <v/>
      </c>
      <c r="AC608" s="168" t="str">
        <f t="shared" si="7"/>
        <v>POR,2014-15</v>
      </c>
    </row>
    <row r="609">
      <c r="A609" s="161" t="str">
        <f>IFERROR(__xludf.DUMMYFUNCTION("""COMPUTED_VALUE"""),"novakst01")</f>
        <v>novakst01</v>
      </c>
      <c r="B609" s="161" t="str">
        <f>IFERROR(__xludf.DUMMYFUNCTION("""COMPUTED_VALUE"""),"Steve Novak")</f>
        <v>Steve Novak</v>
      </c>
      <c r="C609" s="162" t="str">
        <f>IFERROR(__xludf.DUMMYFUNCTION("""COMPUTED_VALUE"""),"2014-15")</f>
        <v>2014-15</v>
      </c>
      <c r="D609" s="163" t="str">
        <f>IFERROR(__xludf.DUMMYFUNCTION("""COMPUTED_VALUE"""),"TOT")</f>
        <v>TOT</v>
      </c>
      <c r="E609" s="164" t="str">
        <f>IFERROR(__xludf.DUMMYFUNCTION("""COMPUTED_VALUE"""),"Stationary Shooter")</f>
        <v>Stationary Shooter</v>
      </c>
      <c r="F609" s="164">
        <f>IFERROR(__xludf.DUMMYFUNCTION("""COMPUTED_VALUE"""),197.145)</f>
        <v>197.145</v>
      </c>
      <c r="G609" s="163">
        <f>IFERROR(__xludf.DUMMYFUNCTION("""COMPUTED_VALUE"""),35.0)</f>
        <v>35</v>
      </c>
      <c r="H609" s="163" t="str">
        <f>IFERROR(__xludf.DUMMYFUNCTION("""COMPUTED_VALUE"""),"SF-PF")</f>
        <v>SF-PF</v>
      </c>
      <c r="I609" s="163">
        <f>IFERROR(__xludf.DUMMYFUNCTION("""COMPUTED_VALUE"""),31.0)</f>
        <v>31</v>
      </c>
      <c r="J609" s="165">
        <f>IFERROR(__xludf.DUMMYFUNCTION("""COMPUTED_VALUE"""),-1.38338652262387)</f>
        <v>-1.383386523</v>
      </c>
      <c r="K609" s="165">
        <f>IFERROR(__xludf.DUMMYFUNCTION("""COMPUTED_VALUE"""),-0.21036216923228)</f>
        <v>-0.2103621692</v>
      </c>
      <c r="L609" s="165">
        <f>IFERROR(__xludf.DUMMYFUNCTION("""COMPUTED_VALUE"""),-1.17302435339159)</f>
        <v>-1.173024353</v>
      </c>
      <c r="M609" s="166">
        <f t="shared" si="2"/>
        <v>0.120548891</v>
      </c>
      <c r="N609" s="167">
        <f t="shared" si="3"/>
        <v>5.632714286</v>
      </c>
      <c r="O609" s="163">
        <f t="shared" ref="O609:Q609" si="613">rank(I609,I:I)</f>
        <v>490</v>
      </c>
      <c r="P609" s="163">
        <f t="shared" si="613"/>
        <v>2936</v>
      </c>
      <c r="Q609" s="163">
        <f t="shared" si="613"/>
        <v>1582</v>
      </c>
      <c r="R609" s="163">
        <f>IFERROR(__xludf.DUMMYFUNCTION("RANK(M609,filter(M:M,C:C=C609))"),367.0)</f>
        <v>367</v>
      </c>
      <c r="S609" s="161" t="b">
        <f t="shared" si="5"/>
        <v>0</v>
      </c>
      <c r="T609" s="161" t="str">
        <f t="array" ref="T609">index('Query Tool'!B:B,match(H609,'Query Tool'!C:C,0))</f>
        <v>#N/A</v>
      </c>
      <c r="U609" s="161" t="b">
        <f t="array" ref="U609">index('Query Tool'!B:B,match(C609,'Query Tool'!C:C,0))</f>
        <v>0</v>
      </c>
      <c r="V609" s="161" t="b">
        <f>F609&gt;='Query Tool'!C$32</f>
        <v>0</v>
      </c>
      <c r="W609" s="161" t="b">
        <f t="array" ref="W609">index(Dropdowns!B:B,match(I609,Dropdowns!A:A,0))</f>
        <v>1</v>
      </c>
      <c r="X609" s="161" t="b">
        <f t="array" ref="X609">index('Query Tool'!B:B,match(D609,'Query Tool'!C:C,0))</f>
        <v>1</v>
      </c>
      <c r="Y609" s="161" t="str">
        <f t="shared" si="6"/>
        <v>novakst01,2014-15</v>
      </c>
      <c r="Z609" s="168">
        <f t="array" ref="Z609">iferror(index(I:I,match($A609&amp;","&amp;index('Year Conversion'!$A:$A,match($C609,'Year Conversion'!$B:$B,0)),$Y:$Y,0))-I609,"")</f>
        <v>1</v>
      </c>
      <c r="AA609" s="168">
        <f t="array" ref="AA609">iferror(index(J:J,match($A609&amp;","&amp;index('Year Conversion'!$A:$A,match($C609,'Year Conversion'!$B:$B,0)),$Y:$Y,0))-J609,"")</f>
        <v>0.9492926548</v>
      </c>
      <c r="AB609" s="168">
        <f t="array" ref="AB609">iferror(index(K:K,match($A609&amp;","&amp;index('Year Conversion'!$A:$A,match($C609,'Year Conversion'!$B:$B,0)),$Y:$Y,0))-K609,"")</f>
        <v>0.2642235987</v>
      </c>
      <c r="AC609" s="168" t="str">
        <f t="shared" si="7"/>
        <v>TOT,2014-15</v>
      </c>
    </row>
    <row r="610">
      <c r="A610" s="161" t="str">
        <f>IFERROR(__xludf.DUMMYFUNCTION("""COMPUTED_VALUE"""),"tuckepj01")</f>
        <v>tuckepj01</v>
      </c>
      <c r="B610" s="161" t="str">
        <f>IFERROR(__xludf.DUMMYFUNCTION("""COMPUTED_VALUE"""),"P.J. Tucker")</f>
        <v>P.J. Tucker</v>
      </c>
      <c r="C610" s="162" t="str">
        <f>IFERROR(__xludf.DUMMYFUNCTION("""COMPUTED_VALUE"""),"2014-15")</f>
        <v>2014-15</v>
      </c>
      <c r="D610" s="163" t="str">
        <f>IFERROR(__xludf.DUMMYFUNCTION("""COMPUTED_VALUE"""),"PHO")</f>
        <v>PHO</v>
      </c>
      <c r="E610" s="164" t="str">
        <f>IFERROR(__xludf.DUMMYFUNCTION("""COMPUTED_VALUE"""),"Stationary Shooter")</f>
        <v>Stationary Shooter</v>
      </c>
      <c r="F610" s="164">
        <f>IFERROR(__xludf.DUMMYFUNCTION("""COMPUTED_VALUE"""),2383.45)</f>
        <v>2383.45</v>
      </c>
      <c r="G610" s="163">
        <f>IFERROR(__xludf.DUMMYFUNCTION("""COMPUTED_VALUE"""),78.0)</f>
        <v>78</v>
      </c>
      <c r="H610" s="163" t="str">
        <f>IFERROR(__xludf.DUMMYFUNCTION("""COMPUTED_VALUE"""),"SF")</f>
        <v>SF</v>
      </c>
      <c r="I610" s="163">
        <f>IFERROR(__xludf.DUMMYFUNCTION("""COMPUTED_VALUE"""),29.0)</f>
        <v>29</v>
      </c>
      <c r="J610" s="165">
        <f>IFERROR(__xludf.DUMMYFUNCTION("""COMPUTED_VALUE"""),0.192435461927276)</f>
        <v>0.1924354619</v>
      </c>
      <c r="K610" s="165">
        <f>IFERROR(__xludf.DUMMYFUNCTION("""COMPUTED_VALUE"""),-0.235966299513934)</f>
        <v>-0.2359662995</v>
      </c>
      <c r="L610" s="165">
        <f>IFERROR(__xludf.DUMMYFUNCTION("""COMPUTED_VALUE"""),0.42840176144121)</f>
        <v>0.4284017614</v>
      </c>
      <c r="M610" s="166">
        <f t="shared" si="2"/>
        <v>3.983693614</v>
      </c>
      <c r="N610" s="167">
        <f t="shared" si="3"/>
        <v>30.55705128</v>
      </c>
      <c r="O610" s="163">
        <f t="shared" ref="O610:Q610" si="614">rank(I610,I:I)</f>
        <v>855</v>
      </c>
      <c r="P610" s="163">
        <f t="shared" si="614"/>
        <v>1098</v>
      </c>
      <c r="Q610" s="163">
        <f t="shared" si="614"/>
        <v>1636</v>
      </c>
      <c r="R610" s="163">
        <f>IFERROR(__xludf.DUMMYFUNCTION("RANK(M610,filter(M:M,C:C=C610))"),87.0)</f>
        <v>87</v>
      </c>
      <c r="S610" s="161" t="b">
        <f t="shared" si="5"/>
        <v>0</v>
      </c>
      <c r="T610" s="161" t="b">
        <f t="array" ref="T610">index('Query Tool'!B:B,match(H610,'Query Tool'!C:C,0))</f>
        <v>1</v>
      </c>
      <c r="U610" s="161" t="b">
        <f t="array" ref="U610">index('Query Tool'!B:B,match(C610,'Query Tool'!C:C,0))</f>
        <v>0</v>
      </c>
      <c r="V610" s="161" t="b">
        <f>F610&gt;='Query Tool'!C$32</f>
        <v>1</v>
      </c>
      <c r="W610" s="161" t="b">
        <f t="array" ref="W610">index(Dropdowns!B:B,match(I610,Dropdowns!A:A,0))</f>
        <v>1</v>
      </c>
      <c r="X610" s="161" t="b">
        <f t="array" ref="X610">index('Query Tool'!B:B,match(D610,'Query Tool'!C:C,0))</f>
        <v>1</v>
      </c>
      <c r="Y610" s="161" t="str">
        <f t="shared" si="6"/>
        <v>tuckepj01,2014-15</v>
      </c>
      <c r="Z610" s="168">
        <f t="array" ref="Z610">iferror(index(I:I,match($A610&amp;","&amp;index('Year Conversion'!$A:$A,match($C610,'Year Conversion'!$B:$B,0)),$Y:$Y,0))-I610,"")</f>
        <v>1</v>
      </c>
      <c r="AA610" s="168">
        <f t="array" ref="AA610">iferror(index(J:J,match($A610&amp;","&amp;index('Year Conversion'!$A:$A,match($C610,'Year Conversion'!$B:$B,0)),$Y:$Y,0))-J610,"")</f>
        <v>-1.331337873</v>
      </c>
      <c r="AB610" s="168">
        <f t="array" ref="AB610">iferror(index(K:K,match($A610&amp;","&amp;index('Year Conversion'!$A:$A,match($C610,'Year Conversion'!$B:$B,0)),$Y:$Y,0))-K610,"")</f>
        <v>-1.232037316</v>
      </c>
      <c r="AC610" s="168" t="str">
        <f t="shared" si="7"/>
        <v>PHO,2014-15</v>
      </c>
    </row>
    <row r="611">
      <c r="A611" s="161" t="str">
        <f>IFERROR(__xludf.DUMMYFUNCTION("""COMPUTED_VALUE"""),"millspa01")</f>
        <v>millspa01</v>
      </c>
      <c r="B611" s="161" t="str">
        <f>IFERROR(__xludf.DUMMYFUNCTION("""COMPUTED_VALUE"""),"Paul Millsap")</f>
        <v>Paul Millsap</v>
      </c>
      <c r="C611" s="162" t="str">
        <f>IFERROR(__xludf.DUMMYFUNCTION("""COMPUTED_VALUE"""),"2014-15")</f>
        <v>2014-15</v>
      </c>
      <c r="D611" s="163" t="str">
        <f>IFERROR(__xludf.DUMMYFUNCTION("""COMPUTED_VALUE"""),"ATL")</f>
        <v>ATL</v>
      </c>
      <c r="E611" s="164" t="str">
        <f>IFERROR(__xludf.DUMMYFUNCTION("""COMPUTED_VALUE"""),"Roll + Cut Big")</f>
        <v>Roll + Cut Big</v>
      </c>
      <c r="F611" s="164">
        <f>IFERROR(__xludf.DUMMYFUNCTION("""COMPUTED_VALUE"""),2389.53333333333)</f>
        <v>2389.533333</v>
      </c>
      <c r="G611" s="163">
        <f>IFERROR(__xludf.DUMMYFUNCTION("""COMPUTED_VALUE"""),73.0)</f>
        <v>73</v>
      </c>
      <c r="H611" s="163" t="str">
        <f>IFERROR(__xludf.DUMMYFUNCTION("""COMPUTED_VALUE"""),"PF")</f>
        <v>PF</v>
      </c>
      <c r="I611" s="163">
        <f>IFERROR(__xludf.DUMMYFUNCTION("""COMPUTED_VALUE"""),29.0)</f>
        <v>29</v>
      </c>
      <c r="J611" s="165">
        <f>IFERROR(__xludf.DUMMYFUNCTION("""COMPUTED_VALUE"""),3.894902942927)</f>
        <v>3.894902943</v>
      </c>
      <c r="K611" s="165">
        <f>IFERROR(__xludf.DUMMYFUNCTION("""COMPUTED_VALUE"""),1.61641626240627)</f>
        <v>1.616416262</v>
      </c>
      <c r="L611" s="165">
        <f>IFERROR(__xludf.DUMMYFUNCTION("""COMPUTED_VALUE"""),2.27848668052073)</f>
        <v>2.278486681</v>
      </c>
      <c r="M611" s="166">
        <f t="shared" si="2"/>
        <v>9.829567334</v>
      </c>
      <c r="N611" s="167">
        <f t="shared" si="3"/>
        <v>32.73333333</v>
      </c>
      <c r="O611" s="163">
        <f t="shared" ref="O611:Q611" si="615">rank(I611,I:I)</f>
        <v>855</v>
      </c>
      <c r="P611" s="163">
        <f t="shared" si="615"/>
        <v>99</v>
      </c>
      <c r="Q611" s="163">
        <f t="shared" si="615"/>
        <v>291</v>
      </c>
      <c r="R611" s="163">
        <f>IFERROR(__xludf.DUMMYFUNCTION("RANK(M611,filter(M:M,C:C=C611))"),14.0)</f>
        <v>14</v>
      </c>
      <c r="S611" s="161" t="b">
        <f t="shared" si="5"/>
        <v>0</v>
      </c>
      <c r="T611" s="161" t="b">
        <f t="array" ref="T611">index('Query Tool'!B:B,match(H611,'Query Tool'!C:C,0))</f>
        <v>1</v>
      </c>
      <c r="U611" s="161" t="b">
        <f t="array" ref="U611">index('Query Tool'!B:B,match(C611,'Query Tool'!C:C,0))</f>
        <v>0</v>
      </c>
      <c r="V611" s="161" t="b">
        <f>F611&gt;='Query Tool'!C$32</f>
        <v>1</v>
      </c>
      <c r="W611" s="161" t="b">
        <f t="array" ref="W611">index(Dropdowns!B:B,match(I611,Dropdowns!A:A,0))</f>
        <v>1</v>
      </c>
      <c r="X611" s="161" t="b">
        <f t="array" ref="X611">index('Query Tool'!B:B,match(D611,'Query Tool'!C:C,0))</f>
        <v>1</v>
      </c>
      <c r="Y611" s="161" t="str">
        <f t="shared" si="6"/>
        <v>millspa01,2014-15</v>
      </c>
      <c r="Z611" s="168">
        <f t="array" ref="Z611">iferror(index(I:I,match($A611&amp;","&amp;index('Year Conversion'!$A:$A,match($C611,'Year Conversion'!$B:$B,0)),$Y:$Y,0))-I611,"")</f>
        <v>1</v>
      </c>
      <c r="AA611" s="168">
        <f t="array" ref="AA611">iferror(index(J:J,match($A611&amp;","&amp;index('Year Conversion'!$A:$A,match($C611,'Year Conversion'!$B:$B,0)),$Y:$Y,0))-J611,"")</f>
        <v>-0.7556900615</v>
      </c>
      <c r="AB611" s="168">
        <f t="array" ref="AB611">iferror(index(K:K,match($A611&amp;","&amp;index('Year Conversion'!$A:$A,match($C611,'Year Conversion'!$B:$B,0)),$Y:$Y,0))-K611,"")</f>
        <v>-0.3492431834</v>
      </c>
      <c r="AC611" s="168" t="str">
        <f t="shared" si="7"/>
        <v>ATL,2014-15</v>
      </c>
    </row>
    <row r="612">
      <c r="A612" s="161" t="str">
        <f>IFERROR(__xludf.DUMMYFUNCTION("""COMPUTED_VALUE"""),"holliry01")</f>
        <v>holliry01</v>
      </c>
      <c r="B612" s="161" t="str">
        <f>IFERROR(__xludf.DUMMYFUNCTION("""COMPUTED_VALUE"""),"Ryan Hollins")</f>
        <v>Ryan Hollins</v>
      </c>
      <c r="C612" s="162" t="str">
        <f>IFERROR(__xludf.DUMMYFUNCTION("""COMPUTED_VALUE"""),"2014-15")</f>
        <v>2014-15</v>
      </c>
      <c r="D612" s="163" t="str">
        <f>IFERROR(__xludf.DUMMYFUNCTION("""COMPUTED_VALUE"""),"SAC")</f>
        <v>SAC</v>
      </c>
      <c r="E612" s="164" t="str">
        <f>IFERROR(__xludf.DUMMYFUNCTION("""COMPUTED_VALUE"""),"Roll + Cut Big")</f>
        <v>Roll + Cut Big</v>
      </c>
      <c r="F612" s="164">
        <f>IFERROR(__xludf.DUMMYFUNCTION("""COMPUTED_VALUE"""),441.078333333333)</f>
        <v>441.0783333</v>
      </c>
      <c r="G612" s="163">
        <f>IFERROR(__xludf.DUMMYFUNCTION("""COMPUTED_VALUE"""),46.0)</f>
        <v>46</v>
      </c>
      <c r="H612" s="163" t="str">
        <f>IFERROR(__xludf.DUMMYFUNCTION("""COMPUTED_VALUE"""),"C")</f>
        <v>C</v>
      </c>
      <c r="I612" s="163">
        <f>IFERROR(__xludf.DUMMYFUNCTION("""COMPUTED_VALUE"""),30.0)</f>
        <v>30</v>
      </c>
      <c r="J612" s="165">
        <f>IFERROR(__xludf.DUMMYFUNCTION("""COMPUTED_VALUE"""),-0.377066159987951)</f>
        <v>-0.37706616</v>
      </c>
      <c r="K612" s="165">
        <f>IFERROR(__xludf.DUMMYFUNCTION("""COMPUTED_VALUE"""),-1.35754656240494)</f>
        <v>-1.357546562</v>
      </c>
      <c r="L612" s="165">
        <f>IFERROR(__xludf.DUMMYFUNCTION("""COMPUTED_VALUE"""),0.98048040241699)</f>
        <v>0.9804804024</v>
      </c>
      <c r="M612" s="166">
        <f t="shared" si="2"/>
        <v>0.5678895453</v>
      </c>
      <c r="N612" s="167">
        <f t="shared" si="3"/>
        <v>9.58865942</v>
      </c>
      <c r="O612" s="163">
        <f t="shared" ref="O612:Q612" si="616">rank(I612,I:I)</f>
        <v>655</v>
      </c>
      <c r="P612" s="163">
        <f t="shared" si="616"/>
        <v>1704</v>
      </c>
      <c r="Q612" s="163">
        <f t="shared" si="616"/>
        <v>3213</v>
      </c>
      <c r="R612" s="163">
        <f>IFERROR(__xludf.DUMMYFUNCTION("RANK(M612,filter(M:M,C:C=C612))"),277.0)</f>
        <v>277</v>
      </c>
      <c r="S612" s="161" t="b">
        <f t="shared" si="5"/>
        <v>0</v>
      </c>
      <c r="T612" s="161" t="b">
        <f t="array" ref="T612">index('Query Tool'!B:B,match(H612,'Query Tool'!C:C,0))</f>
        <v>1</v>
      </c>
      <c r="U612" s="161" t="b">
        <f t="array" ref="U612">index('Query Tool'!B:B,match(C612,'Query Tool'!C:C,0))</f>
        <v>0</v>
      </c>
      <c r="V612" s="161" t="b">
        <f>F612&gt;='Query Tool'!C$32</f>
        <v>0</v>
      </c>
      <c r="W612" s="161" t="b">
        <f t="array" ref="W612">index(Dropdowns!B:B,match(I612,Dropdowns!A:A,0))</f>
        <v>1</v>
      </c>
      <c r="X612" s="161" t="b">
        <f t="array" ref="X612">index('Query Tool'!B:B,match(D612,'Query Tool'!C:C,0))</f>
        <v>1</v>
      </c>
      <c r="Y612" s="161" t="str">
        <f t="shared" si="6"/>
        <v>holliry01,2014-15</v>
      </c>
      <c r="Z612" s="168">
        <f t="array" ref="Z612">iferror(index(I:I,match($A612&amp;","&amp;index('Year Conversion'!$A:$A,match($C612,'Year Conversion'!$B:$B,0)),$Y:$Y,0))-I612,"")</f>
        <v>1</v>
      </c>
      <c r="AA612" s="168">
        <f t="array" ref="AA612">iferror(index(J:J,match($A612&amp;","&amp;index('Year Conversion'!$A:$A,match($C612,'Year Conversion'!$B:$B,0)),$Y:$Y,0))-J612,"")</f>
        <v>-2.11660782</v>
      </c>
      <c r="AB612" s="168">
        <f t="array" ref="AB612">iferror(index(K:K,match($A612&amp;","&amp;index('Year Conversion'!$A:$A,match($C612,'Year Conversion'!$B:$B,0)),$Y:$Y,0))-K612,"")</f>
        <v>-0.9692710007</v>
      </c>
      <c r="AC612" s="168" t="str">
        <f t="shared" si="7"/>
        <v>SAC,2014-15</v>
      </c>
    </row>
    <row r="613">
      <c r="A613" s="161" t="str">
        <f>IFERROR(__xludf.DUMMYFUNCTION("""COMPUTED_VALUE"""),"amundlo01")</f>
        <v>amundlo01</v>
      </c>
      <c r="B613" s="161" t="str">
        <f>IFERROR(__xludf.DUMMYFUNCTION("""COMPUTED_VALUE"""),"Lou Amundson")</f>
        <v>Lou Amundson</v>
      </c>
      <c r="C613" s="162" t="str">
        <f>IFERROR(__xludf.DUMMYFUNCTION("""COMPUTED_VALUE"""),"2014-15")</f>
        <v>2014-15</v>
      </c>
      <c r="D613" s="163" t="str">
        <f>IFERROR(__xludf.DUMMYFUNCTION("""COMPUTED_VALUE"""),"TOT")</f>
        <v>TOT</v>
      </c>
      <c r="E613" s="164" t="str">
        <f>IFERROR(__xludf.DUMMYFUNCTION("""COMPUTED_VALUE"""),"Post Scorer")</f>
        <v>Post Scorer</v>
      </c>
      <c r="F613" s="164">
        <f>IFERROR(__xludf.DUMMYFUNCTION("""COMPUTED_VALUE"""),937.251666666666)</f>
        <v>937.2516667</v>
      </c>
      <c r="G613" s="163">
        <f>IFERROR(__xludf.DUMMYFUNCTION("""COMPUTED_VALUE"""),53.0)</f>
        <v>53</v>
      </c>
      <c r="H613" s="163" t="str">
        <f>IFERROR(__xludf.DUMMYFUNCTION("""COMPUTED_VALUE"""),"PF")</f>
        <v>PF</v>
      </c>
      <c r="I613" s="163">
        <f>IFERROR(__xludf.DUMMYFUNCTION("""COMPUTED_VALUE"""),32.0)</f>
        <v>32</v>
      </c>
      <c r="J613" s="165">
        <f>IFERROR(__xludf.DUMMYFUNCTION("""COMPUTED_VALUE"""),-0.0226934571463291)</f>
        <v>-0.02269345715</v>
      </c>
      <c r="K613" s="165">
        <f>IFERROR(__xludf.DUMMYFUNCTION("""COMPUTED_VALUE"""),-2.02279082305999)</f>
        <v>-2.022790823</v>
      </c>
      <c r="L613" s="165">
        <f>IFERROR(__xludf.DUMMYFUNCTION("""COMPUTED_VALUE"""),2.00009736591366)</f>
        <v>2.000097366</v>
      </c>
      <c r="M613" s="166">
        <f t="shared" si="2"/>
        <v>1.430589996</v>
      </c>
      <c r="N613" s="167">
        <f t="shared" si="3"/>
        <v>17.68399371</v>
      </c>
      <c r="O613" s="163">
        <f t="shared" ref="O613:Q613" si="617">rank(I613,I:I)</f>
        <v>359</v>
      </c>
      <c r="P613" s="163">
        <f t="shared" si="617"/>
        <v>1306</v>
      </c>
      <c r="Q613" s="163">
        <f t="shared" si="617"/>
        <v>3719</v>
      </c>
      <c r="R613" s="163">
        <f>IFERROR(__xludf.DUMMYFUNCTION("RANK(M613,filter(M:M,C:C=C613))"),203.0)</f>
        <v>203</v>
      </c>
      <c r="S613" s="161" t="b">
        <f t="shared" si="5"/>
        <v>0</v>
      </c>
      <c r="T613" s="161" t="b">
        <f t="array" ref="T613">index('Query Tool'!B:B,match(H613,'Query Tool'!C:C,0))</f>
        <v>1</v>
      </c>
      <c r="U613" s="161" t="b">
        <f t="array" ref="U613">index('Query Tool'!B:B,match(C613,'Query Tool'!C:C,0))</f>
        <v>0</v>
      </c>
      <c r="V613" s="161" t="b">
        <f>F613&gt;='Query Tool'!C$32</f>
        <v>1</v>
      </c>
      <c r="W613" s="161" t="b">
        <f t="array" ref="W613">index(Dropdowns!B:B,match(I613,Dropdowns!A:A,0))</f>
        <v>1</v>
      </c>
      <c r="X613" s="161" t="b">
        <f t="array" ref="X613">index('Query Tool'!B:B,match(D613,'Query Tool'!C:C,0))</f>
        <v>1</v>
      </c>
      <c r="Y613" s="161" t="str">
        <f t="shared" si="6"/>
        <v>amundlo01,2014-15</v>
      </c>
      <c r="Z613" s="168">
        <f t="array" ref="Z613">iferror(index(I:I,match($A613&amp;","&amp;index('Year Conversion'!$A:$A,match($C613,'Year Conversion'!$B:$B,0)),$Y:$Y,0))-I613,"")</f>
        <v>1</v>
      </c>
      <c r="AA613" s="168">
        <f t="array" ref="AA613">iferror(index(J:J,match($A613&amp;","&amp;index('Year Conversion'!$A:$A,match($C613,'Year Conversion'!$B:$B,0)),$Y:$Y,0))-J613,"")</f>
        <v>-1.375504118</v>
      </c>
      <c r="AB613" s="168">
        <f t="array" ref="AB613">iferror(index(K:K,match($A613&amp;","&amp;index('Year Conversion'!$A:$A,match($C613,'Year Conversion'!$B:$B,0)),$Y:$Y,0))-K613,"")</f>
        <v>0.758807933</v>
      </c>
      <c r="AC613" s="168" t="str">
        <f t="shared" si="7"/>
        <v>TOT,2014-15</v>
      </c>
    </row>
    <row r="614">
      <c r="A614" s="161" t="str">
        <f>IFERROR(__xludf.DUMMYFUNCTION("""COMPUTED_VALUE"""),"bareajo01")</f>
        <v>bareajo01</v>
      </c>
      <c r="B614" s="161" t="str">
        <f>IFERROR(__xludf.DUMMYFUNCTION("""COMPUTED_VALUE"""),"J.J. Barea")</f>
        <v>J.J. Barea</v>
      </c>
      <c r="C614" s="162" t="str">
        <f>IFERROR(__xludf.DUMMYFUNCTION("""COMPUTED_VALUE"""),"2014-15")</f>
        <v>2014-15</v>
      </c>
      <c r="D614" s="163" t="str">
        <f>IFERROR(__xludf.DUMMYFUNCTION("""COMPUTED_VALUE"""),"DAL")</f>
        <v>DAL</v>
      </c>
      <c r="E614" s="164" t="str">
        <f>IFERROR(__xludf.DUMMYFUNCTION("""COMPUTED_VALUE"""),"Primary Ball Handler")</f>
        <v>Primary Ball Handler</v>
      </c>
      <c r="F614" s="164">
        <f>IFERROR(__xludf.DUMMYFUNCTION("""COMPUTED_VALUE"""),1361.685)</f>
        <v>1361.685</v>
      </c>
      <c r="G614" s="163">
        <f>IFERROR(__xludf.DUMMYFUNCTION("""COMPUTED_VALUE"""),77.0)</f>
        <v>77</v>
      </c>
      <c r="H614" s="163" t="str">
        <f>IFERROR(__xludf.DUMMYFUNCTION("""COMPUTED_VALUE"""),"PG")</f>
        <v>PG</v>
      </c>
      <c r="I614" s="163">
        <f>IFERROR(__xludf.DUMMYFUNCTION("""COMPUTED_VALUE"""),30.0)</f>
        <v>30</v>
      </c>
      <c r="J614" s="165">
        <f>IFERROR(__xludf.DUMMYFUNCTION("""COMPUTED_VALUE"""),1.02672457307524)</f>
        <v>1.026724573</v>
      </c>
      <c r="K614" s="165">
        <f>IFERROR(__xludf.DUMMYFUNCTION("""COMPUTED_VALUE"""),2.20017668017313)</f>
        <v>2.20017668</v>
      </c>
      <c r="L614" s="165">
        <f>IFERROR(__xludf.DUMMYFUNCTION("""COMPUTED_VALUE"""),-1.17345210709789)</f>
        <v>-1.173452107</v>
      </c>
      <c r="M614" s="166">
        <f t="shared" si="2"/>
        <v>3.040454703</v>
      </c>
      <c r="N614" s="167">
        <f t="shared" si="3"/>
        <v>17.68422078</v>
      </c>
      <c r="O614" s="163">
        <f t="shared" ref="O614:Q614" si="618">rank(I614,I:I)</f>
        <v>655</v>
      </c>
      <c r="P614" s="163">
        <f t="shared" si="618"/>
        <v>648</v>
      </c>
      <c r="Q614" s="163">
        <f t="shared" si="618"/>
        <v>199</v>
      </c>
      <c r="R614" s="163">
        <f>IFERROR(__xludf.DUMMYFUNCTION("RANK(M614,filter(M:M,C:C=C614))"),113.0)</f>
        <v>113</v>
      </c>
      <c r="S614" s="161" t="b">
        <f t="shared" si="5"/>
        <v>0</v>
      </c>
      <c r="T614" s="161" t="b">
        <f t="array" ref="T614">index('Query Tool'!B:B,match(H614,'Query Tool'!C:C,0))</f>
        <v>1</v>
      </c>
      <c r="U614" s="161" t="b">
        <f t="array" ref="U614">index('Query Tool'!B:B,match(C614,'Query Tool'!C:C,0))</f>
        <v>0</v>
      </c>
      <c r="V614" s="161" t="b">
        <f>F614&gt;='Query Tool'!C$32</f>
        <v>1</v>
      </c>
      <c r="W614" s="161" t="b">
        <f t="array" ref="W614">index(Dropdowns!B:B,match(I614,Dropdowns!A:A,0))</f>
        <v>1</v>
      </c>
      <c r="X614" s="161" t="b">
        <f t="array" ref="X614">index('Query Tool'!B:B,match(D614,'Query Tool'!C:C,0))</f>
        <v>1</v>
      </c>
      <c r="Y614" s="161" t="str">
        <f t="shared" si="6"/>
        <v>bareajo01,2014-15</v>
      </c>
      <c r="Z614" s="168">
        <f t="array" ref="Z614">iferror(index(I:I,match($A614&amp;","&amp;index('Year Conversion'!$A:$A,match($C614,'Year Conversion'!$B:$B,0)),$Y:$Y,0))-I614,"")</f>
        <v>1</v>
      </c>
      <c r="AA614" s="168">
        <f t="array" ref="AA614">iferror(index(J:J,match($A614&amp;","&amp;index('Year Conversion'!$A:$A,match($C614,'Year Conversion'!$B:$B,0)),$Y:$Y,0))-J614,"")</f>
        <v>-1.6406443</v>
      </c>
      <c r="AB614" s="168">
        <f t="array" ref="AB614">iferror(index(K:K,match($A614&amp;","&amp;index('Year Conversion'!$A:$A,match($C614,'Year Conversion'!$B:$B,0)),$Y:$Y,0))-K614,"")</f>
        <v>-0.8145768747</v>
      </c>
      <c r="AC614" s="168" t="str">
        <f t="shared" si="7"/>
        <v>DAL,2014-15</v>
      </c>
    </row>
    <row r="615">
      <c r="A615" s="161" t="str">
        <f>IFERROR(__xludf.DUMMYFUNCTION("""COMPUTED_VALUE"""),"duranke01")</f>
        <v>duranke01</v>
      </c>
      <c r="B615" s="161" t="str">
        <f>IFERROR(__xludf.DUMMYFUNCTION("""COMPUTED_VALUE"""),"Kevin Durant")</f>
        <v>Kevin Durant</v>
      </c>
      <c r="C615" s="162" t="str">
        <f>IFERROR(__xludf.DUMMYFUNCTION("""COMPUTED_VALUE"""),"2014-15")</f>
        <v>2014-15</v>
      </c>
      <c r="D615" s="163" t="str">
        <f>IFERROR(__xludf.DUMMYFUNCTION("""COMPUTED_VALUE"""),"OKC")</f>
        <v>OKC</v>
      </c>
      <c r="E615" s="164" t="str">
        <f>IFERROR(__xludf.DUMMYFUNCTION("""COMPUTED_VALUE"""),"Shot Creator")</f>
        <v>Shot Creator</v>
      </c>
      <c r="F615" s="164">
        <f>IFERROR(__xludf.DUMMYFUNCTION("""COMPUTED_VALUE"""),912.615)</f>
        <v>912.615</v>
      </c>
      <c r="G615" s="163">
        <f>IFERROR(__xludf.DUMMYFUNCTION("""COMPUTED_VALUE"""),27.0)</f>
        <v>27</v>
      </c>
      <c r="H615" s="163" t="str">
        <f>IFERROR(__xludf.DUMMYFUNCTION("""COMPUTED_VALUE"""),"SF")</f>
        <v>SF</v>
      </c>
      <c r="I615" s="163">
        <f>IFERROR(__xludf.DUMMYFUNCTION("""COMPUTED_VALUE"""),26.0)</f>
        <v>26</v>
      </c>
      <c r="J615" s="165">
        <f>IFERROR(__xludf.DUMMYFUNCTION("""COMPUTED_VALUE"""),4.57139663778622)</f>
        <v>4.571396638</v>
      </c>
      <c r="K615" s="165">
        <f>IFERROR(__xludf.DUMMYFUNCTION("""COMPUTED_VALUE"""),3.60603907722296)</f>
        <v>3.606039077</v>
      </c>
      <c r="L615" s="165">
        <f>IFERROR(__xludf.DUMMYFUNCTION("""COMPUTED_VALUE"""),0.965357560563255)</f>
        <v>0.9653575606</v>
      </c>
      <c r="M615" s="166">
        <f t="shared" si="2"/>
        <v>4.140705076</v>
      </c>
      <c r="N615" s="167">
        <f t="shared" si="3"/>
        <v>33.80055556</v>
      </c>
      <c r="O615" s="163">
        <f t="shared" ref="O615:Q615" si="619">rank(I615,I:I)</f>
        <v>1665</v>
      </c>
      <c r="P615" s="163">
        <f t="shared" si="619"/>
        <v>67</v>
      </c>
      <c r="Q615" s="163">
        <f t="shared" si="619"/>
        <v>82</v>
      </c>
      <c r="R615" s="163">
        <f>IFERROR(__xludf.DUMMYFUNCTION("RANK(M615,filter(M:M,C:C=C615))"),83.0)</f>
        <v>83</v>
      </c>
      <c r="S615" s="161" t="b">
        <f t="shared" si="5"/>
        <v>0</v>
      </c>
      <c r="T615" s="161" t="b">
        <f t="array" ref="T615">index('Query Tool'!B:B,match(H615,'Query Tool'!C:C,0))</f>
        <v>1</v>
      </c>
      <c r="U615" s="161" t="b">
        <f t="array" ref="U615">index('Query Tool'!B:B,match(C615,'Query Tool'!C:C,0))</f>
        <v>0</v>
      </c>
      <c r="V615" s="161" t="b">
        <f>F615&gt;='Query Tool'!C$32</f>
        <v>1</v>
      </c>
      <c r="W615" s="161" t="b">
        <f t="array" ref="W615">index(Dropdowns!B:B,match(I615,Dropdowns!A:A,0))</f>
        <v>1</v>
      </c>
      <c r="X615" s="161" t="b">
        <f t="array" ref="X615">index('Query Tool'!B:B,match(D615,'Query Tool'!C:C,0))</f>
        <v>1</v>
      </c>
      <c r="Y615" s="161" t="str">
        <f t="shared" si="6"/>
        <v>duranke01,2014-15</v>
      </c>
      <c r="Z615" s="168">
        <f t="array" ref="Z615">iferror(index(I:I,match($A615&amp;","&amp;index('Year Conversion'!$A:$A,match($C615,'Year Conversion'!$B:$B,0)),$Y:$Y,0))-I615,"")</f>
        <v>1</v>
      </c>
      <c r="AA615" s="168">
        <f t="array" ref="AA615">iferror(index(J:J,match($A615&amp;","&amp;index('Year Conversion'!$A:$A,match($C615,'Year Conversion'!$B:$B,0)),$Y:$Y,0))-J615,"")</f>
        <v>0.4496958699</v>
      </c>
      <c r="AB615" s="168">
        <f t="array" ref="AB615">iferror(index(K:K,match($A615&amp;","&amp;index('Year Conversion'!$A:$A,match($C615,'Year Conversion'!$B:$B,0)),$Y:$Y,0))-K615,"")</f>
        <v>1.359220398</v>
      </c>
      <c r="AC615" s="168" t="str">
        <f t="shared" si="7"/>
        <v>OKC,2014-15</v>
      </c>
    </row>
    <row r="616">
      <c r="A616" s="161" t="str">
        <f>IFERROR(__xludf.DUMMYFUNCTION("""COMPUTED_VALUE"""),"horfoal01")</f>
        <v>horfoal01</v>
      </c>
      <c r="B616" s="161" t="str">
        <f>IFERROR(__xludf.DUMMYFUNCTION("""COMPUTED_VALUE"""),"Al Horford")</f>
        <v>Al Horford</v>
      </c>
      <c r="C616" s="162" t="str">
        <f>IFERROR(__xludf.DUMMYFUNCTION("""COMPUTED_VALUE"""),"2014-15")</f>
        <v>2014-15</v>
      </c>
      <c r="D616" s="163" t="str">
        <f>IFERROR(__xludf.DUMMYFUNCTION("""COMPUTED_VALUE"""),"ATL")</f>
        <v>ATL</v>
      </c>
      <c r="E616" s="164" t="str">
        <f>IFERROR(__xludf.DUMMYFUNCTION("""COMPUTED_VALUE"""),"Post Scorer")</f>
        <v>Post Scorer</v>
      </c>
      <c r="F616" s="164">
        <f>IFERROR(__xludf.DUMMYFUNCTION("""COMPUTED_VALUE"""),2318.16666666667)</f>
        <v>2318.166667</v>
      </c>
      <c r="G616" s="163">
        <f>IFERROR(__xludf.DUMMYFUNCTION("""COMPUTED_VALUE"""),76.0)</f>
        <v>76</v>
      </c>
      <c r="H616" s="163" t="str">
        <f>IFERROR(__xludf.DUMMYFUNCTION("""COMPUTED_VALUE"""),"C")</f>
        <v>C</v>
      </c>
      <c r="I616" s="163">
        <f>IFERROR(__xludf.DUMMYFUNCTION("""COMPUTED_VALUE"""),28.0)</f>
        <v>28</v>
      </c>
      <c r="J616" s="165">
        <f>IFERROR(__xludf.DUMMYFUNCTION("""COMPUTED_VALUE"""),0.528859392581647)</f>
        <v>0.5288593926</v>
      </c>
      <c r="K616" s="165">
        <f>IFERROR(__xludf.DUMMYFUNCTION("""COMPUTED_VALUE"""),0.322923818152473)</f>
        <v>0.3229238182</v>
      </c>
      <c r="L616" s="165">
        <f>IFERROR(__xludf.DUMMYFUNCTION("""COMPUTED_VALUE"""),0.205935574429175)</f>
        <v>0.2059355744</v>
      </c>
      <c r="M616" s="166">
        <f t="shared" si="2"/>
        <v>4.40006535</v>
      </c>
      <c r="N616" s="167">
        <f t="shared" si="3"/>
        <v>30.50219298</v>
      </c>
      <c r="O616" s="163">
        <f t="shared" ref="O616:Q616" si="620">rank(I616,I:I)</f>
        <v>1090</v>
      </c>
      <c r="P616" s="163">
        <f t="shared" si="620"/>
        <v>884</v>
      </c>
      <c r="Q616" s="163">
        <f t="shared" si="620"/>
        <v>892</v>
      </c>
      <c r="R616" s="163">
        <f>IFERROR(__xludf.DUMMYFUNCTION("RANK(M616,filter(M:M,C:C=C616))"),73.0)</f>
        <v>73</v>
      </c>
      <c r="S616" s="161" t="b">
        <f t="shared" si="5"/>
        <v>0</v>
      </c>
      <c r="T616" s="161" t="b">
        <f t="array" ref="T616">index('Query Tool'!B:B,match(H616,'Query Tool'!C:C,0))</f>
        <v>1</v>
      </c>
      <c r="U616" s="161" t="b">
        <f t="array" ref="U616">index('Query Tool'!B:B,match(C616,'Query Tool'!C:C,0))</f>
        <v>0</v>
      </c>
      <c r="V616" s="161" t="b">
        <f>F616&gt;='Query Tool'!C$32</f>
        <v>1</v>
      </c>
      <c r="W616" s="161" t="b">
        <f t="array" ref="W616">index(Dropdowns!B:B,match(I616,Dropdowns!A:A,0))</f>
        <v>1</v>
      </c>
      <c r="X616" s="161" t="b">
        <f t="array" ref="X616">index('Query Tool'!B:B,match(D616,'Query Tool'!C:C,0))</f>
        <v>1</v>
      </c>
      <c r="Y616" s="161" t="str">
        <f t="shared" si="6"/>
        <v>horfoal01,2014-15</v>
      </c>
      <c r="Z616" s="168">
        <f t="array" ref="Z616">iferror(index(I:I,match($A616&amp;","&amp;index('Year Conversion'!$A:$A,match($C616,'Year Conversion'!$B:$B,0)),$Y:$Y,0))-I616,"")</f>
        <v>1</v>
      </c>
      <c r="AA616" s="168">
        <f t="array" ref="AA616">iferror(index(J:J,match($A616&amp;","&amp;index('Year Conversion'!$A:$A,match($C616,'Year Conversion'!$B:$B,0)),$Y:$Y,0))-J616,"")</f>
        <v>1.584004206</v>
      </c>
      <c r="AB616" s="168">
        <f t="array" ref="AB616">iferror(index(K:K,match($A616&amp;","&amp;index('Year Conversion'!$A:$A,match($C616,'Year Conversion'!$B:$B,0)),$Y:$Y,0))-K616,"")</f>
        <v>0.09126056172</v>
      </c>
      <c r="AC616" s="168" t="str">
        <f t="shared" si="7"/>
        <v>ATL,2014-15</v>
      </c>
    </row>
    <row r="617">
      <c r="A617" s="161" t="str">
        <f>IFERROR(__xludf.DUMMYFUNCTION("""COMPUTED_VALUE"""),"conlemi01")</f>
        <v>conlemi01</v>
      </c>
      <c r="B617" s="161" t="str">
        <f>IFERROR(__xludf.DUMMYFUNCTION("""COMPUTED_VALUE"""),"Mike Conley")</f>
        <v>Mike Conley</v>
      </c>
      <c r="C617" s="162" t="str">
        <f>IFERROR(__xludf.DUMMYFUNCTION("""COMPUTED_VALUE"""),"2014-15")</f>
        <v>2014-15</v>
      </c>
      <c r="D617" s="163" t="str">
        <f>IFERROR(__xludf.DUMMYFUNCTION("""COMPUTED_VALUE"""),"MEM")</f>
        <v>MEM</v>
      </c>
      <c r="E617" s="164" t="str">
        <f>IFERROR(__xludf.DUMMYFUNCTION("""COMPUTED_VALUE"""),"Primary Ball Handler")</f>
        <v>Primary Ball Handler</v>
      </c>
      <c r="F617" s="164">
        <f>IFERROR(__xludf.DUMMYFUNCTION("""COMPUTED_VALUE"""),2224.985)</f>
        <v>2224.985</v>
      </c>
      <c r="G617" s="163">
        <f>IFERROR(__xludf.DUMMYFUNCTION("""COMPUTED_VALUE"""),70.0)</f>
        <v>70</v>
      </c>
      <c r="H617" s="163" t="str">
        <f>IFERROR(__xludf.DUMMYFUNCTION("""COMPUTED_VALUE"""),"PG")</f>
        <v>PG</v>
      </c>
      <c r="I617" s="163">
        <f>IFERROR(__xludf.DUMMYFUNCTION("""COMPUTED_VALUE"""),27.0)</f>
        <v>27</v>
      </c>
      <c r="J617" s="165">
        <f>IFERROR(__xludf.DUMMYFUNCTION("""COMPUTED_VALUE"""),1.76332810565814)</f>
        <v>1.763328106</v>
      </c>
      <c r="K617" s="165">
        <f>IFERROR(__xludf.DUMMYFUNCTION("""COMPUTED_VALUE"""),1.5063191704906)</f>
        <v>1.50631917</v>
      </c>
      <c r="L617" s="165">
        <f>IFERROR(__xludf.DUMMYFUNCTION("""COMPUTED_VALUE"""),0.25700893516754)</f>
        <v>0.2570089352</v>
      </c>
      <c r="M617" s="166">
        <f t="shared" si="2"/>
        <v>6.063920583</v>
      </c>
      <c r="N617" s="167">
        <f t="shared" si="3"/>
        <v>31.7855</v>
      </c>
      <c r="O617" s="163">
        <f t="shared" ref="O617:Q617" si="621">rank(I617,I:I)</f>
        <v>1366</v>
      </c>
      <c r="P617" s="163">
        <f t="shared" si="621"/>
        <v>383</v>
      </c>
      <c r="Q617" s="163">
        <f t="shared" si="621"/>
        <v>322</v>
      </c>
      <c r="R617" s="163">
        <f>IFERROR(__xludf.DUMMYFUNCTION("RANK(M617,filter(M:M,C:C=C617))"),40.0)</f>
        <v>40</v>
      </c>
      <c r="S617" s="161" t="b">
        <f t="shared" si="5"/>
        <v>0</v>
      </c>
      <c r="T617" s="161" t="b">
        <f t="array" ref="T617">index('Query Tool'!B:B,match(H617,'Query Tool'!C:C,0))</f>
        <v>1</v>
      </c>
      <c r="U617" s="161" t="b">
        <f t="array" ref="U617">index('Query Tool'!B:B,match(C617,'Query Tool'!C:C,0))</f>
        <v>0</v>
      </c>
      <c r="V617" s="161" t="b">
        <f>F617&gt;='Query Tool'!C$32</f>
        <v>1</v>
      </c>
      <c r="W617" s="161" t="b">
        <f t="array" ref="W617">index(Dropdowns!B:B,match(I617,Dropdowns!A:A,0))</f>
        <v>1</v>
      </c>
      <c r="X617" s="161" t="b">
        <f t="array" ref="X617">index('Query Tool'!B:B,match(D617,'Query Tool'!C:C,0))</f>
        <v>1</v>
      </c>
      <c r="Y617" s="161" t="str">
        <f t="shared" si="6"/>
        <v>conlemi01,2014-15</v>
      </c>
      <c r="Z617" s="168">
        <f t="array" ref="Z617">iferror(index(I:I,match($A617&amp;","&amp;index('Year Conversion'!$A:$A,match($C617,'Year Conversion'!$B:$B,0)),$Y:$Y,0))-I617,"")</f>
        <v>1</v>
      </c>
      <c r="AA617" s="168">
        <f t="array" ref="AA617">iferror(index(J:J,match($A617&amp;","&amp;index('Year Conversion'!$A:$A,match($C617,'Year Conversion'!$B:$B,0)),$Y:$Y,0))-J617,"")</f>
        <v>0.9951636096</v>
      </c>
      <c r="AB617" s="168">
        <f t="array" ref="AB617">iferror(index(K:K,match($A617&amp;","&amp;index('Year Conversion'!$A:$A,match($C617,'Year Conversion'!$B:$B,0)),$Y:$Y,0))-K617,"")</f>
        <v>1.087483394</v>
      </c>
      <c r="AC617" s="168" t="str">
        <f t="shared" si="7"/>
        <v>MEM,2014-15</v>
      </c>
    </row>
    <row r="618">
      <c r="A618" s="161" t="str">
        <f>IFERROR(__xludf.DUMMYFUNCTION("""COMPUTED_VALUE"""),"greenje02")</f>
        <v>greenje02</v>
      </c>
      <c r="B618" s="161" t="str">
        <f>IFERROR(__xludf.DUMMYFUNCTION("""COMPUTED_VALUE"""),"Jeff Green")</f>
        <v>Jeff Green</v>
      </c>
      <c r="C618" s="162" t="str">
        <f>IFERROR(__xludf.DUMMYFUNCTION("""COMPUTED_VALUE"""),"2014-15")</f>
        <v>2014-15</v>
      </c>
      <c r="D618" s="163" t="str">
        <f>IFERROR(__xludf.DUMMYFUNCTION("""COMPUTED_VALUE"""),"TOT")</f>
        <v>TOT</v>
      </c>
      <c r="E618" s="164" t="str">
        <f>IFERROR(__xludf.DUMMYFUNCTION("""COMPUTED_VALUE"""),"Shot Creator")</f>
        <v>Shot Creator</v>
      </c>
      <c r="F618" s="164">
        <f>IFERROR(__xludf.DUMMYFUNCTION("""COMPUTED_VALUE"""),2454.77333333333)</f>
        <v>2454.773333</v>
      </c>
      <c r="G618" s="163">
        <f>IFERROR(__xludf.DUMMYFUNCTION("""COMPUTED_VALUE"""),78.0)</f>
        <v>78</v>
      </c>
      <c r="H618" s="163" t="str">
        <f>IFERROR(__xludf.DUMMYFUNCTION("""COMPUTED_VALUE"""),"SF")</f>
        <v>SF</v>
      </c>
      <c r="I618" s="163">
        <f>IFERROR(__xludf.DUMMYFUNCTION("""COMPUTED_VALUE"""),28.0)</f>
        <v>28</v>
      </c>
      <c r="J618" s="165">
        <f>IFERROR(__xludf.DUMMYFUNCTION("""COMPUTED_VALUE"""),-1.18446318586357)</f>
        <v>-1.184463186</v>
      </c>
      <c r="K618" s="165">
        <f>IFERROR(__xludf.DUMMYFUNCTION("""COMPUTED_VALUE"""),-0.491568442368658)</f>
        <v>-0.4915684424</v>
      </c>
      <c r="L618" s="165">
        <f>IFERROR(__xludf.DUMMYFUNCTION("""COMPUTED_VALUE"""),-0.692894743494914)</f>
        <v>-0.6928947435</v>
      </c>
      <c r="M618" s="166">
        <f t="shared" si="2"/>
        <v>1.827987146</v>
      </c>
      <c r="N618" s="167">
        <f t="shared" si="3"/>
        <v>31.47145299</v>
      </c>
      <c r="O618" s="163">
        <f t="shared" ref="O618:Q618" si="622">rank(I618,I:I)</f>
        <v>1090</v>
      </c>
      <c r="P618" s="163">
        <f t="shared" si="622"/>
        <v>2721</v>
      </c>
      <c r="Q618" s="163">
        <f t="shared" si="622"/>
        <v>2093</v>
      </c>
      <c r="R618" s="163">
        <f>IFERROR(__xludf.DUMMYFUNCTION("RANK(M618,filter(M:M,C:C=C618))"),177.0)</f>
        <v>177</v>
      </c>
      <c r="S618" s="161" t="b">
        <f t="shared" si="5"/>
        <v>0</v>
      </c>
      <c r="T618" s="161" t="b">
        <f t="array" ref="T618">index('Query Tool'!B:B,match(H618,'Query Tool'!C:C,0))</f>
        <v>1</v>
      </c>
      <c r="U618" s="161" t="b">
        <f t="array" ref="U618">index('Query Tool'!B:B,match(C618,'Query Tool'!C:C,0))</f>
        <v>0</v>
      </c>
      <c r="V618" s="161" t="b">
        <f>F618&gt;='Query Tool'!C$32</f>
        <v>1</v>
      </c>
      <c r="W618" s="161" t="b">
        <f t="array" ref="W618">index(Dropdowns!B:B,match(I618,Dropdowns!A:A,0))</f>
        <v>1</v>
      </c>
      <c r="X618" s="161" t="b">
        <f t="array" ref="X618">index('Query Tool'!B:B,match(D618,'Query Tool'!C:C,0))</f>
        <v>1</v>
      </c>
      <c r="Y618" s="161" t="str">
        <f t="shared" si="6"/>
        <v>greenje02,2014-15</v>
      </c>
      <c r="Z618" s="168">
        <f t="array" ref="Z618">iferror(index(I:I,match($A618&amp;","&amp;index('Year Conversion'!$A:$A,match($C618,'Year Conversion'!$B:$B,0)),$Y:$Y,0))-I618,"")</f>
        <v>1</v>
      </c>
      <c r="AA618" s="168">
        <f t="array" ref="AA618">iferror(index(J:J,match($A618&amp;","&amp;index('Year Conversion'!$A:$A,match($C618,'Year Conversion'!$B:$B,0)),$Y:$Y,0))-J618,"")</f>
        <v>-0.4786739668</v>
      </c>
      <c r="AB618" s="168">
        <f t="array" ref="AB618">iferror(index(K:K,match($A618&amp;","&amp;index('Year Conversion'!$A:$A,match($C618,'Year Conversion'!$B:$B,0)),$Y:$Y,0))-K618,"")</f>
        <v>-0.5251507196</v>
      </c>
      <c r="AC618" s="168" t="str">
        <f t="shared" si="7"/>
        <v>TOT,2014-15</v>
      </c>
    </row>
    <row r="619">
      <c r="A619" s="161" t="str">
        <f>IFERROR(__xludf.DUMMYFUNCTION("""COMPUTED_VALUE"""),"breweco01")</f>
        <v>breweco01</v>
      </c>
      <c r="B619" s="161" t="str">
        <f>IFERROR(__xludf.DUMMYFUNCTION("""COMPUTED_VALUE"""),"Corey Brewer")</f>
        <v>Corey Brewer</v>
      </c>
      <c r="C619" s="162" t="str">
        <f>IFERROR(__xludf.DUMMYFUNCTION("""COMPUTED_VALUE"""),"2014-15")</f>
        <v>2014-15</v>
      </c>
      <c r="D619" s="163" t="str">
        <f>IFERROR(__xludf.DUMMYFUNCTION("""COMPUTED_VALUE"""),"TOT")</f>
        <v>TOT</v>
      </c>
      <c r="E619" s="164" t="str">
        <f>IFERROR(__xludf.DUMMYFUNCTION("""COMPUTED_VALUE"""),"Stationary Shooter")</f>
        <v>Stationary Shooter</v>
      </c>
      <c r="F619" s="164">
        <f>IFERROR(__xludf.DUMMYFUNCTION("""COMPUTED_VALUE"""),2087.385)</f>
        <v>2087.385</v>
      </c>
      <c r="G619" s="163">
        <f>IFERROR(__xludf.DUMMYFUNCTION("""COMPUTED_VALUE"""),80.0)</f>
        <v>80</v>
      </c>
      <c r="H619" s="163" t="str">
        <f>IFERROR(__xludf.DUMMYFUNCTION("""COMPUTED_VALUE"""),"SF")</f>
        <v>SF</v>
      </c>
      <c r="I619" s="163">
        <f>IFERROR(__xludf.DUMMYFUNCTION("""COMPUTED_VALUE"""),28.0)</f>
        <v>28</v>
      </c>
      <c r="J619" s="165">
        <f>IFERROR(__xludf.DUMMYFUNCTION("""COMPUTED_VALUE"""),0.137952107172791)</f>
        <v>0.1379521072</v>
      </c>
      <c r="K619" s="165">
        <f>IFERROR(__xludf.DUMMYFUNCTION("""COMPUTED_VALUE"""),0.15649349918713)</f>
        <v>0.1564934992</v>
      </c>
      <c r="L619" s="165">
        <f>IFERROR(__xludf.DUMMYFUNCTION("""COMPUTED_VALUE"""),-0.0185413920143389)</f>
        <v>-0.01854139201</v>
      </c>
      <c r="M619" s="166">
        <f t="shared" si="2"/>
        <v>3.412185875</v>
      </c>
      <c r="N619" s="167">
        <f t="shared" si="3"/>
        <v>26.0923125</v>
      </c>
      <c r="O619" s="163">
        <f t="shared" ref="O619:Q619" si="623">rank(I619,I:I)</f>
        <v>1090</v>
      </c>
      <c r="P619" s="163">
        <f t="shared" si="623"/>
        <v>1147</v>
      </c>
      <c r="Q619" s="163">
        <f t="shared" si="623"/>
        <v>1022</v>
      </c>
      <c r="R619" s="163">
        <f>IFERROR(__xludf.DUMMYFUNCTION("RANK(M619,filter(M:M,C:C=C619))"),103.0)</f>
        <v>103</v>
      </c>
      <c r="S619" s="161" t="b">
        <f t="shared" si="5"/>
        <v>0</v>
      </c>
      <c r="T619" s="161" t="b">
        <f t="array" ref="T619">index('Query Tool'!B:B,match(H619,'Query Tool'!C:C,0))</f>
        <v>1</v>
      </c>
      <c r="U619" s="161" t="b">
        <f t="array" ref="U619">index('Query Tool'!B:B,match(C619,'Query Tool'!C:C,0))</f>
        <v>0</v>
      </c>
      <c r="V619" s="161" t="b">
        <f>F619&gt;='Query Tool'!C$32</f>
        <v>1</v>
      </c>
      <c r="W619" s="161" t="b">
        <f t="array" ref="W619">index(Dropdowns!B:B,match(I619,Dropdowns!A:A,0))</f>
        <v>1</v>
      </c>
      <c r="X619" s="161" t="b">
        <f t="array" ref="X619">index('Query Tool'!B:B,match(D619,'Query Tool'!C:C,0))</f>
        <v>1</v>
      </c>
      <c r="Y619" s="161" t="str">
        <f t="shared" si="6"/>
        <v>breweco01,2014-15</v>
      </c>
      <c r="Z619" s="168">
        <f t="array" ref="Z619">iferror(index(I:I,match($A619&amp;","&amp;index('Year Conversion'!$A:$A,match($C619,'Year Conversion'!$B:$B,0)),$Y:$Y,0))-I619,"")</f>
        <v>1</v>
      </c>
      <c r="AA619" s="168">
        <f t="array" ref="AA619">iferror(index(J:J,match($A619&amp;","&amp;index('Year Conversion'!$A:$A,match($C619,'Year Conversion'!$B:$B,0)),$Y:$Y,0))-J619,"")</f>
        <v>-1.364590321</v>
      </c>
      <c r="AB619" s="168">
        <f t="array" ref="AB619">iferror(index(K:K,match($A619&amp;","&amp;index('Year Conversion'!$A:$A,match($C619,'Year Conversion'!$B:$B,0)),$Y:$Y,0))-K619,"")</f>
        <v>-0.8899874282</v>
      </c>
      <c r="AC619" s="168" t="str">
        <f t="shared" si="7"/>
        <v>TOT,2014-15</v>
      </c>
    </row>
    <row r="620">
      <c r="A620" s="161" t="str">
        <f>IFERROR(__xludf.DUMMYFUNCTION("""COMPUTED_VALUE"""),"wrighbr03")</f>
        <v>wrighbr03</v>
      </c>
      <c r="B620" s="161" t="str">
        <f>IFERROR(__xludf.DUMMYFUNCTION("""COMPUTED_VALUE"""),"Brandan Wright")</f>
        <v>Brandan Wright</v>
      </c>
      <c r="C620" s="162" t="str">
        <f>IFERROR(__xludf.DUMMYFUNCTION("""COMPUTED_VALUE"""),"2014-15")</f>
        <v>2014-15</v>
      </c>
      <c r="D620" s="163" t="str">
        <f>IFERROR(__xludf.DUMMYFUNCTION("""COMPUTED_VALUE"""),"TOT")</f>
        <v>TOT</v>
      </c>
      <c r="E620" s="164" t="str">
        <f>IFERROR(__xludf.DUMMYFUNCTION("""COMPUTED_VALUE"""),"Roll + Cut Big")</f>
        <v>Roll + Cut Big</v>
      </c>
      <c r="F620" s="164">
        <f>IFERROR(__xludf.DUMMYFUNCTION("""COMPUTED_VALUE"""),1448.57333333333)</f>
        <v>1448.573333</v>
      </c>
      <c r="G620" s="163">
        <f>IFERROR(__xludf.DUMMYFUNCTION("""COMPUTED_VALUE"""),75.0)</f>
        <v>75</v>
      </c>
      <c r="H620" s="163" t="str">
        <f>IFERROR(__xludf.DUMMYFUNCTION("""COMPUTED_VALUE"""),"PF")</f>
        <v>PF</v>
      </c>
      <c r="I620" s="163">
        <f>IFERROR(__xludf.DUMMYFUNCTION("""COMPUTED_VALUE"""),27.0)</f>
        <v>27</v>
      </c>
      <c r="J620" s="165">
        <f>IFERROR(__xludf.DUMMYFUNCTION("""COMPUTED_VALUE"""),1.38448458556193)</f>
        <v>1.384484586</v>
      </c>
      <c r="K620" s="165">
        <f>IFERROR(__xludf.DUMMYFUNCTION("""COMPUTED_VALUE"""),0.328903516769096)</f>
        <v>0.3289035168</v>
      </c>
      <c r="L620" s="165">
        <f>IFERROR(__xludf.DUMMYFUNCTION("""COMPUTED_VALUE"""),1.05558106879283)</f>
        <v>1.055581069</v>
      </c>
      <c r="M620" s="166">
        <f t="shared" si="2"/>
        <v>3.58173449</v>
      </c>
      <c r="N620" s="167">
        <f t="shared" si="3"/>
        <v>19.31431111</v>
      </c>
      <c r="O620" s="163">
        <f t="shared" ref="O620:Q620" si="624">rank(I620,I:I)</f>
        <v>1366</v>
      </c>
      <c r="P620" s="163">
        <f t="shared" si="624"/>
        <v>497</v>
      </c>
      <c r="Q620" s="163">
        <f t="shared" si="624"/>
        <v>883</v>
      </c>
      <c r="R620" s="163">
        <f>IFERROR(__xludf.DUMMYFUNCTION("RANK(M620,filter(M:M,C:C=C620))"),96.0)</f>
        <v>96</v>
      </c>
      <c r="S620" s="161" t="b">
        <f t="shared" si="5"/>
        <v>0</v>
      </c>
      <c r="T620" s="161" t="b">
        <f t="array" ref="T620">index('Query Tool'!B:B,match(H620,'Query Tool'!C:C,0))</f>
        <v>1</v>
      </c>
      <c r="U620" s="161" t="b">
        <f t="array" ref="U620">index('Query Tool'!B:B,match(C620,'Query Tool'!C:C,0))</f>
        <v>0</v>
      </c>
      <c r="V620" s="161" t="b">
        <f>F620&gt;='Query Tool'!C$32</f>
        <v>1</v>
      </c>
      <c r="W620" s="161" t="b">
        <f t="array" ref="W620">index(Dropdowns!B:B,match(I620,Dropdowns!A:A,0))</f>
        <v>1</v>
      </c>
      <c r="X620" s="161" t="b">
        <f t="array" ref="X620">index('Query Tool'!B:B,match(D620,'Query Tool'!C:C,0))</f>
        <v>1</v>
      </c>
      <c r="Y620" s="161" t="str">
        <f t="shared" si="6"/>
        <v>wrighbr03,2014-15</v>
      </c>
      <c r="Z620" s="168">
        <f t="array" ref="Z620">iferror(index(I:I,match($A620&amp;","&amp;index('Year Conversion'!$A:$A,match($C620,'Year Conversion'!$B:$B,0)),$Y:$Y,0))-I620,"")</f>
        <v>1</v>
      </c>
      <c r="AA620" s="168">
        <f t="array" ref="AA620">iferror(index(J:J,match($A620&amp;","&amp;index('Year Conversion'!$A:$A,match($C620,'Year Conversion'!$B:$B,0)),$Y:$Y,0))-J620,"")</f>
        <v>-2.032250974</v>
      </c>
      <c r="AB620" s="168">
        <f t="array" ref="AB620">iferror(index(K:K,match($A620&amp;","&amp;index('Year Conversion'!$A:$A,match($C620,'Year Conversion'!$B:$B,0)),$Y:$Y,0))-K620,"")</f>
        <v>-1.290866027</v>
      </c>
      <c r="AC620" s="168" t="str">
        <f t="shared" si="7"/>
        <v>TOT,2014-15</v>
      </c>
    </row>
    <row r="621">
      <c r="A621" s="161" t="str">
        <f>IFERROR(__xludf.DUMMYFUNCTION("""COMPUTED_VALUE"""),"noahjo01")</f>
        <v>noahjo01</v>
      </c>
      <c r="B621" s="161" t="str">
        <f>IFERROR(__xludf.DUMMYFUNCTION("""COMPUTED_VALUE"""),"Joakim Noah")</f>
        <v>Joakim Noah</v>
      </c>
      <c r="C621" s="162" t="str">
        <f>IFERROR(__xludf.DUMMYFUNCTION("""COMPUTED_VALUE"""),"2014-15")</f>
        <v>2014-15</v>
      </c>
      <c r="D621" s="163" t="str">
        <f>IFERROR(__xludf.DUMMYFUNCTION("""COMPUTED_VALUE"""),"CHI")</f>
        <v>CHI</v>
      </c>
      <c r="E621" s="164" t="str">
        <f>IFERROR(__xludf.DUMMYFUNCTION("""COMPUTED_VALUE"""),"Roll + Cut Big")</f>
        <v>Roll + Cut Big</v>
      </c>
      <c r="F621" s="164">
        <f>IFERROR(__xludf.DUMMYFUNCTION("""COMPUTED_VALUE"""),2048.645)</f>
        <v>2048.645</v>
      </c>
      <c r="G621" s="163">
        <f>IFERROR(__xludf.DUMMYFUNCTION("""COMPUTED_VALUE"""),67.0)</f>
        <v>67</v>
      </c>
      <c r="H621" s="163" t="str">
        <f>IFERROR(__xludf.DUMMYFUNCTION("""COMPUTED_VALUE"""),"C")</f>
        <v>C</v>
      </c>
      <c r="I621" s="163">
        <f>IFERROR(__xludf.DUMMYFUNCTION("""COMPUTED_VALUE"""),29.0)</f>
        <v>29</v>
      </c>
      <c r="J621" s="165">
        <f>IFERROR(__xludf.DUMMYFUNCTION("""COMPUTED_VALUE"""),1.49203797801745)</f>
        <v>1.492037978</v>
      </c>
      <c r="K621" s="165">
        <f>IFERROR(__xludf.DUMMYFUNCTION("""COMPUTED_VALUE"""),-0.297301523749662)</f>
        <v>-0.2973015237</v>
      </c>
      <c r="L621" s="165">
        <f>IFERROR(__xludf.DUMMYFUNCTION("""COMPUTED_VALUE"""),1.78933950176711)</f>
        <v>1.789339502</v>
      </c>
      <c r="M621" s="166">
        <f t="shared" si="2"/>
        <v>5.212744615</v>
      </c>
      <c r="N621" s="167">
        <f t="shared" si="3"/>
        <v>30.57679104</v>
      </c>
      <c r="O621" s="163">
        <f t="shared" ref="O621:Q621" si="625">rank(I621,I:I)</f>
        <v>855</v>
      </c>
      <c r="P621" s="163">
        <f t="shared" si="625"/>
        <v>456</v>
      </c>
      <c r="Q621" s="163">
        <f t="shared" si="625"/>
        <v>1759</v>
      </c>
      <c r="R621" s="163">
        <f>IFERROR(__xludf.DUMMYFUNCTION("RANK(M621,filter(M:M,C:C=C621))"),54.0)</f>
        <v>54</v>
      </c>
      <c r="S621" s="161" t="b">
        <f t="shared" si="5"/>
        <v>0</v>
      </c>
      <c r="T621" s="161" t="b">
        <f t="array" ref="T621">index('Query Tool'!B:B,match(H621,'Query Tool'!C:C,0))</f>
        <v>1</v>
      </c>
      <c r="U621" s="161" t="b">
        <f t="array" ref="U621">index('Query Tool'!B:B,match(C621,'Query Tool'!C:C,0))</f>
        <v>0</v>
      </c>
      <c r="V621" s="161" t="b">
        <f>F621&gt;='Query Tool'!C$32</f>
        <v>1</v>
      </c>
      <c r="W621" s="161" t="b">
        <f t="array" ref="W621">index(Dropdowns!B:B,match(I621,Dropdowns!A:A,0))</f>
        <v>1</v>
      </c>
      <c r="X621" s="161" t="b">
        <f t="array" ref="X621">index('Query Tool'!B:B,match(D621,'Query Tool'!C:C,0))</f>
        <v>1</v>
      </c>
      <c r="Y621" s="161" t="str">
        <f t="shared" si="6"/>
        <v>noahjo01,2014-15</v>
      </c>
      <c r="Z621" s="168">
        <f t="array" ref="Z621">iferror(index(I:I,match($A621&amp;","&amp;index('Year Conversion'!$A:$A,match($C621,'Year Conversion'!$B:$B,0)),$Y:$Y,0))-I621,"")</f>
        <v>1</v>
      </c>
      <c r="AA621" s="168">
        <f t="array" ref="AA621">iferror(index(J:J,match($A621&amp;","&amp;index('Year Conversion'!$A:$A,match($C621,'Year Conversion'!$B:$B,0)),$Y:$Y,0))-J621,"")</f>
        <v>-0.68167798</v>
      </c>
      <c r="AB621" s="168">
        <f t="array" ref="AB621">iferror(index(K:K,match($A621&amp;","&amp;index('Year Conversion'!$A:$A,match($C621,'Year Conversion'!$B:$B,0)),$Y:$Y,0))-K621,"")</f>
        <v>-0.7008795612</v>
      </c>
      <c r="AC621" s="168" t="str">
        <f t="shared" si="7"/>
        <v>CHI,2014-15</v>
      </c>
    </row>
    <row r="622">
      <c r="A622" s="161" t="str">
        <f>IFERROR(__xludf.DUMMYFUNCTION("""COMPUTED_VALUE"""),"hawessp01")</f>
        <v>hawessp01</v>
      </c>
      <c r="B622" s="161" t="str">
        <f>IFERROR(__xludf.DUMMYFUNCTION("""COMPUTED_VALUE"""),"Spencer Hawes")</f>
        <v>Spencer Hawes</v>
      </c>
      <c r="C622" s="162" t="str">
        <f>IFERROR(__xludf.DUMMYFUNCTION("""COMPUTED_VALUE"""),"2014-15")</f>
        <v>2014-15</v>
      </c>
      <c r="D622" s="163" t="str">
        <f>IFERROR(__xludf.DUMMYFUNCTION("""COMPUTED_VALUE"""),"LAC")</f>
        <v>LAC</v>
      </c>
      <c r="E622" s="164" t="str">
        <f>IFERROR(__xludf.DUMMYFUNCTION("""COMPUTED_VALUE"""),"Stretch Big")</f>
        <v>Stretch Big</v>
      </c>
      <c r="F622" s="164">
        <f>IFERROR(__xludf.DUMMYFUNCTION("""COMPUTED_VALUE"""),1274.02)</f>
        <v>1274.02</v>
      </c>
      <c r="G622" s="163">
        <f>IFERROR(__xludf.DUMMYFUNCTION("""COMPUTED_VALUE"""),73.0)</f>
        <v>73</v>
      </c>
      <c r="H622" s="163" t="str">
        <f>IFERROR(__xludf.DUMMYFUNCTION("""COMPUTED_VALUE"""),"PF")</f>
        <v>PF</v>
      </c>
      <c r="I622" s="163">
        <f>IFERROR(__xludf.DUMMYFUNCTION("""COMPUTED_VALUE"""),26.0)</f>
        <v>26</v>
      </c>
      <c r="J622" s="165">
        <f>IFERROR(__xludf.DUMMYFUNCTION("""COMPUTED_VALUE"""),-1.29421245047428)</f>
        <v>-1.29421245</v>
      </c>
      <c r="K622" s="165">
        <f>IFERROR(__xludf.DUMMYFUNCTION("""COMPUTED_VALUE"""),-1.65153278041759)</f>
        <v>-1.65153278</v>
      </c>
      <c r="L622" s="165">
        <f>IFERROR(__xludf.DUMMYFUNCTION("""COMPUTED_VALUE"""),0.35732032994331)</f>
        <v>0.3573203299</v>
      </c>
      <c r="M622" s="166">
        <f t="shared" si="2"/>
        <v>0.8550540119</v>
      </c>
      <c r="N622" s="167">
        <f t="shared" si="3"/>
        <v>17.45232877</v>
      </c>
      <c r="O622" s="163">
        <f t="shared" ref="O622:Q622" si="626">rank(I622,I:I)</f>
        <v>1665</v>
      </c>
      <c r="P622" s="163">
        <f t="shared" si="626"/>
        <v>2854</v>
      </c>
      <c r="Q622" s="163">
        <f t="shared" si="626"/>
        <v>3486</v>
      </c>
      <c r="R622" s="163">
        <f>IFERROR(__xludf.DUMMYFUNCTION("RANK(M622,filter(M:M,C:C=C622))"),244.0)</f>
        <v>244</v>
      </c>
      <c r="S622" s="161" t="b">
        <f t="shared" si="5"/>
        <v>0</v>
      </c>
      <c r="T622" s="161" t="b">
        <f t="array" ref="T622">index('Query Tool'!B:B,match(H622,'Query Tool'!C:C,0))</f>
        <v>1</v>
      </c>
      <c r="U622" s="161" t="b">
        <f t="array" ref="U622">index('Query Tool'!B:B,match(C622,'Query Tool'!C:C,0))</f>
        <v>0</v>
      </c>
      <c r="V622" s="161" t="b">
        <f>F622&gt;='Query Tool'!C$32</f>
        <v>1</v>
      </c>
      <c r="W622" s="161" t="b">
        <f t="array" ref="W622">index(Dropdowns!B:B,match(I622,Dropdowns!A:A,0))</f>
        <v>1</v>
      </c>
      <c r="X622" s="161" t="b">
        <f t="array" ref="X622">index('Query Tool'!B:B,match(D622,'Query Tool'!C:C,0))</f>
        <v>1</v>
      </c>
      <c r="Y622" s="161" t="str">
        <f t="shared" si="6"/>
        <v>hawessp01,2014-15</v>
      </c>
      <c r="Z622" s="168">
        <f t="array" ref="Z622">iferror(index(I:I,match($A622&amp;","&amp;index('Year Conversion'!$A:$A,match($C622,'Year Conversion'!$B:$B,0)),$Y:$Y,0))-I622,"")</f>
        <v>1</v>
      </c>
      <c r="AA622" s="168">
        <f t="array" ref="AA622">iferror(index(J:J,match($A622&amp;","&amp;index('Year Conversion'!$A:$A,match($C622,'Year Conversion'!$B:$B,0)),$Y:$Y,0))-J622,"")</f>
        <v>0.436632671</v>
      </c>
      <c r="AB622" s="168">
        <f t="array" ref="AB622">iferror(index(K:K,match($A622&amp;","&amp;index('Year Conversion'!$A:$A,match($C622,'Year Conversion'!$B:$B,0)),$Y:$Y,0))-K622,"")</f>
        <v>-0.08012549562</v>
      </c>
      <c r="AC622" s="168" t="str">
        <f t="shared" si="7"/>
        <v>LAC,2014-15</v>
      </c>
    </row>
    <row r="623">
      <c r="A623" s="161" t="str">
        <f>IFERROR(__xludf.DUMMYFUNCTION("""COMPUTED_VALUE"""),"youngth01")</f>
        <v>youngth01</v>
      </c>
      <c r="B623" s="161" t="str">
        <f>IFERROR(__xludf.DUMMYFUNCTION("""COMPUTED_VALUE"""),"Thaddeus Young")</f>
        <v>Thaddeus Young</v>
      </c>
      <c r="C623" s="162" t="str">
        <f>IFERROR(__xludf.DUMMYFUNCTION("""COMPUTED_VALUE"""),"2014-15")</f>
        <v>2014-15</v>
      </c>
      <c r="D623" s="163" t="str">
        <f>IFERROR(__xludf.DUMMYFUNCTION("""COMPUTED_VALUE"""),"TOT")</f>
        <v>TOT</v>
      </c>
      <c r="E623" s="164" t="str">
        <f>IFERROR(__xludf.DUMMYFUNCTION("""COMPUTED_VALUE"""),"Roll + Cut Big")</f>
        <v>Roll + Cut Big</v>
      </c>
      <c r="F623" s="164">
        <f>IFERROR(__xludf.DUMMYFUNCTION("""COMPUTED_VALUE"""),2433.98166666667)</f>
        <v>2433.981667</v>
      </c>
      <c r="G623" s="163">
        <f>IFERROR(__xludf.DUMMYFUNCTION("""COMPUTED_VALUE"""),76.0)</f>
        <v>76</v>
      </c>
      <c r="H623" s="163" t="str">
        <f>IFERROR(__xludf.DUMMYFUNCTION("""COMPUTED_VALUE"""),"PF")</f>
        <v>PF</v>
      </c>
      <c r="I623" s="163">
        <f>IFERROR(__xludf.DUMMYFUNCTION("""COMPUTED_VALUE"""),26.0)</f>
        <v>26</v>
      </c>
      <c r="J623" s="165">
        <f>IFERROR(__xludf.DUMMYFUNCTION("""COMPUTED_VALUE"""),0.0525136580579982)</f>
        <v>0.05251365806</v>
      </c>
      <c r="K623" s="165">
        <f>IFERROR(__xludf.DUMMYFUNCTION("""COMPUTED_VALUE"""),0.0110518762626854)</f>
        <v>0.01105187626</v>
      </c>
      <c r="L623" s="165">
        <f>IFERROR(__xludf.DUMMYFUNCTION("""COMPUTED_VALUE"""),0.0414617817953128)</f>
        <v>0.0414617818</v>
      </c>
      <c r="M623" s="166">
        <f t="shared" si="2"/>
        <v>3.838561182</v>
      </c>
      <c r="N623" s="167">
        <f t="shared" si="3"/>
        <v>32.02607456</v>
      </c>
      <c r="O623" s="163">
        <f t="shared" ref="O623:Q623" si="627">rank(I623,I:I)</f>
        <v>1665</v>
      </c>
      <c r="P623" s="163">
        <f t="shared" si="627"/>
        <v>1237</v>
      </c>
      <c r="Q623" s="163">
        <f t="shared" si="627"/>
        <v>1184</v>
      </c>
      <c r="R623" s="163">
        <f>IFERROR(__xludf.DUMMYFUNCTION("RANK(M623,filter(M:M,C:C=C623))"),91.0)</f>
        <v>91</v>
      </c>
      <c r="S623" s="161" t="b">
        <f t="shared" si="5"/>
        <v>0</v>
      </c>
      <c r="T623" s="161" t="b">
        <f t="array" ref="T623">index('Query Tool'!B:B,match(H623,'Query Tool'!C:C,0))</f>
        <v>1</v>
      </c>
      <c r="U623" s="161" t="b">
        <f t="array" ref="U623">index('Query Tool'!B:B,match(C623,'Query Tool'!C:C,0))</f>
        <v>0</v>
      </c>
      <c r="V623" s="161" t="b">
        <f>F623&gt;='Query Tool'!C$32</f>
        <v>1</v>
      </c>
      <c r="W623" s="161" t="b">
        <f t="array" ref="W623">index(Dropdowns!B:B,match(I623,Dropdowns!A:A,0))</f>
        <v>1</v>
      </c>
      <c r="X623" s="161" t="b">
        <f t="array" ref="X623">index('Query Tool'!B:B,match(D623,'Query Tool'!C:C,0))</f>
        <v>1</v>
      </c>
      <c r="Y623" s="161" t="str">
        <f t="shared" si="6"/>
        <v>youngth01,2014-15</v>
      </c>
      <c r="Z623" s="168">
        <f t="array" ref="Z623">iferror(index(I:I,match($A623&amp;","&amp;index('Year Conversion'!$A:$A,match($C623,'Year Conversion'!$B:$B,0)),$Y:$Y,0))-I623,"")</f>
        <v>1</v>
      </c>
      <c r="AA623" s="168">
        <f t="array" ref="AA623">iferror(index(J:J,match($A623&amp;","&amp;index('Year Conversion'!$A:$A,match($C623,'Year Conversion'!$B:$B,0)),$Y:$Y,0))-J623,"")</f>
        <v>-0.5859583869</v>
      </c>
      <c r="AB623" s="168">
        <f t="array" ref="AB623">iferror(index(K:K,match($A623&amp;","&amp;index('Year Conversion'!$A:$A,match($C623,'Year Conversion'!$B:$B,0)),$Y:$Y,0))-K623,"")</f>
        <v>-0.3028795757</v>
      </c>
      <c r="AC623" s="168" t="str">
        <f t="shared" si="7"/>
        <v>TOT,2014-15</v>
      </c>
    </row>
    <row r="624">
      <c r="A624" s="161" t="str">
        <f>IFERROR(__xludf.DUMMYFUNCTION("""COMPUTED_VALUE"""),"stuckro01")</f>
        <v>stuckro01</v>
      </c>
      <c r="B624" s="161" t="str">
        <f>IFERROR(__xludf.DUMMYFUNCTION("""COMPUTED_VALUE"""),"Rodney Stuckey")</f>
        <v>Rodney Stuckey</v>
      </c>
      <c r="C624" s="162" t="str">
        <f>IFERROR(__xludf.DUMMYFUNCTION("""COMPUTED_VALUE"""),"2014-15")</f>
        <v>2014-15</v>
      </c>
      <c r="D624" s="163" t="str">
        <f>IFERROR(__xludf.DUMMYFUNCTION("""COMPUTED_VALUE"""),"IND")</f>
        <v>IND</v>
      </c>
      <c r="E624" s="164" t="str">
        <f>IFERROR(__xludf.DUMMYFUNCTION("""COMPUTED_VALUE"""),"Secondary Ball Handler")</f>
        <v>Secondary Ball Handler</v>
      </c>
      <c r="F624" s="164">
        <f>IFERROR(__xludf.DUMMYFUNCTION("""COMPUTED_VALUE"""),1873.50333333333)</f>
        <v>1873.503333</v>
      </c>
      <c r="G624" s="163">
        <f>IFERROR(__xludf.DUMMYFUNCTION("""COMPUTED_VALUE"""),71.0)</f>
        <v>71</v>
      </c>
      <c r="H624" s="163" t="str">
        <f>IFERROR(__xludf.DUMMYFUNCTION("""COMPUTED_VALUE"""),"PG")</f>
        <v>PG</v>
      </c>
      <c r="I624" s="163">
        <f>IFERROR(__xludf.DUMMYFUNCTION("""COMPUTED_VALUE"""),28.0)</f>
        <v>28</v>
      </c>
      <c r="J624" s="165">
        <f>IFERROR(__xludf.DUMMYFUNCTION("""COMPUTED_VALUE"""),-0.653453523161887)</f>
        <v>-0.6534535232</v>
      </c>
      <c r="K624" s="165">
        <f>IFERROR(__xludf.DUMMYFUNCTION("""COMPUTED_VALUE"""),-0.601707047884128)</f>
        <v>-0.6017070479</v>
      </c>
      <c r="L624" s="165">
        <f>IFERROR(__xludf.DUMMYFUNCTION("""COMPUTED_VALUE"""),-0.0517464752777592)</f>
        <v>-0.05174647528</v>
      </c>
      <c r="M624" s="166">
        <f t="shared" si="2"/>
        <v>2.063431792</v>
      </c>
      <c r="N624" s="167">
        <f t="shared" si="3"/>
        <v>26.38737089</v>
      </c>
      <c r="O624" s="163">
        <f t="shared" ref="O624:Q624" si="628">rank(I624,I:I)</f>
        <v>1090</v>
      </c>
      <c r="P624" s="163">
        <f t="shared" si="628"/>
        <v>2069</v>
      </c>
      <c r="Q624" s="163">
        <f t="shared" si="628"/>
        <v>2265</v>
      </c>
      <c r="R624" s="163">
        <f>IFERROR(__xludf.DUMMYFUNCTION("RANK(M624,filter(M:M,C:C=C624))"),164.0)</f>
        <v>164</v>
      </c>
      <c r="S624" s="161" t="b">
        <f t="shared" si="5"/>
        <v>0</v>
      </c>
      <c r="T624" s="161" t="b">
        <f t="array" ref="T624">index('Query Tool'!B:B,match(H624,'Query Tool'!C:C,0))</f>
        <v>1</v>
      </c>
      <c r="U624" s="161" t="b">
        <f t="array" ref="U624">index('Query Tool'!B:B,match(C624,'Query Tool'!C:C,0))</f>
        <v>0</v>
      </c>
      <c r="V624" s="161" t="b">
        <f>F624&gt;='Query Tool'!C$32</f>
        <v>1</v>
      </c>
      <c r="W624" s="161" t="b">
        <f t="array" ref="W624">index(Dropdowns!B:B,match(I624,Dropdowns!A:A,0))</f>
        <v>1</v>
      </c>
      <c r="X624" s="161" t="b">
        <f t="array" ref="X624">index('Query Tool'!B:B,match(D624,'Query Tool'!C:C,0))</f>
        <v>1</v>
      </c>
      <c r="Y624" s="161" t="str">
        <f t="shared" si="6"/>
        <v>stuckro01,2014-15</v>
      </c>
      <c r="Z624" s="168">
        <f t="array" ref="Z624">iferror(index(I:I,match($A624&amp;","&amp;index('Year Conversion'!$A:$A,match($C624,'Year Conversion'!$B:$B,0)),$Y:$Y,0))-I624,"")</f>
        <v>1</v>
      </c>
      <c r="AA624" s="168">
        <f t="array" ref="AA624">iferror(index(J:J,match($A624&amp;","&amp;index('Year Conversion'!$A:$A,match($C624,'Year Conversion'!$B:$B,0)),$Y:$Y,0))-J624,"")</f>
        <v>-0.780376454</v>
      </c>
      <c r="AB624" s="168">
        <f t="array" ref="AB624">iferror(index(K:K,match($A624&amp;","&amp;index('Year Conversion'!$A:$A,match($C624,'Year Conversion'!$B:$B,0)),$Y:$Y,0))-K624,"")</f>
        <v>-0.2597233835</v>
      </c>
      <c r="AC624" s="168" t="str">
        <f t="shared" si="7"/>
        <v>IND,2014-15</v>
      </c>
    </row>
    <row r="625">
      <c r="A625" s="161" t="str">
        <f>IFERROR(__xludf.DUMMYFUNCTION("""COMPUTED_VALUE"""),"youngni01")</f>
        <v>youngni01</v>
      </c>
      <c r="B625" s="161" t="str">
        <f>IFERROR(__xludf.DUMMYFUNCTION("""COMPUTED_VALUE"""),"Nick Young")</f>
        <v>Nick Young</v>
      </c>
      <c r="C625" s="162" t="str">
        <f>IFERROR(__xludf.DUMMYFUNCTION("""COMPUTED_VALUE"""),"2014-15")</f>
        <v>2014-15</v>
      </c>
      <c r="D625" s="163" t="str">
        <f>IFERROR(__xludf.DUMMYFUNCTION("""COMPUTED_VALUE"""),"LAL")</f>
        <v>LAL</v>
      </c>
      <c r="E625" s="164" t="str">
        <f>IFERROR(__xludf.DUMMYFUNCTION("""COMPUTED_VALUE"""),"Shot Creator")</f>
        <v>Shot Creator</v>
      </c>
      <c r="F625" s="164">
        <f>IFERROR(__xludf.DUMMYFUNCTION("""COMPUTED_VALUE"""),1000.18)</f>
        <v>1000.18</v>
      </c>
      <c r="G625" s="163">
        <f>IFERROR(__xludf.DUMMYFUNCTION("""COMPUTED_VALUE"""),42.0)</f>
        <v>42</v>
      </c>
      <c r="H625" s="163" t="str">
        <f>IFERROR(__xludf.DUMMYFUNCTION("""COMPUTED_VALUE"""),"SG")</f>
        <v>SG</v>
      </c>
      <c r="I625" s="163">
        <f>IFERROR(__xludf.DUMMYFUNCTION("""COMPUTED_VALUE"""),29.0)</f>
        <v>29</v>
      </c>
      <c r="J625" s="165">
        <f>IFERROR(__xludf.DUMMYFUNCTION("""COMPUTED_VALUE"""),-0.237716164272148)</f>
        <v>-0.2377161643</v>
      </c>
      <c r="K625" s="165">
        <f>IFERROR(__xludf.DUMMYFUNCTION("""COMPUTED_VALUE"""),0.891970500712304)</f>
        <v>0.8919705007</v>
      </c>
      <c r="L625" s="165">
        <f>IFERROR(__xludf.DUMMYFUNCTION("""COMPUTED_VALUE"""),-1.12968666498445)</f>
        <v>-1.129686665</v>
      </c>
      <c r="M625" s="166">
        <f t="shared" si="2"/>
        <v>1.381662084</v>
      </c>
      <c r="N625" s="167">
        <f t="shared" si="3"/>
        <v>23.81380952</v>
      </c>
      <c r="O625" s="163">
        <f t="shared" ref="O625:Q625" si="629">rank(I625,I:I)</f>
        <v>855</v>
      </c>
      <c r="P625" s="163">
        <f t="shared" si="629"/>
        <v>1542</v>
      </c>
      <c r="Q625" s="163">
        <f t="shared" si="629"/>
        <v>557</v>
      </c>
      <c r="R625" s="163">
        <f>IFERROR(__xludf.DUMMYFUNCTION("RANK(M625,filter(M:M,C:C=C625))"),209.0)</f>
        <v>209</v>
      </c>
      <c r="S625" s="161" t="b">
        <f t="shared" si="5"/>
        <v>0</v>
      </c>
      <c r="T625" s="161" t="b">
        <f t="array" ref="T625">index('Query Tool'!B:B,match(H625,'Query Tool'!C:C,0))</f>
        <v>1</v>
      </c>
      <c r="U625" s="161" t="b">
        <f t="array" ref="U625">index('Query Tool'!B:B,match(C625,'Query Tool'!C:C,0))</f>
        <v>0</v>
      </c>
      <c r="V625" s="161" t="b">
        <f>F625&gt;='Query Tool'!C$32</f>
        <v>1</v>
      </c>
      <c r="W625" s="161" t="b">
        <f t="array" ref="W625">index(Dropdowns!B:B,match(I625,Dropdowns!A:A,0))</f>
        <v>1</v>
      </c>
      <c r="X625" s="161" t="b">
        <f t="array" ref="X625">index('Query Tool'!B:B,match(D625,'Query Tool'!C:C,0))</f>
        <v>1</v>
      </c>
      <c r="Y625" s="161" t="str">
        <f t="shared" si="6"/>
        <v>youngni01,2014-15</v>
      </c>
      <c r="Z625" s="168">
        <f t="array" ref="Z625">iferror(index(I:I,match($A625&amp;","&amp;index('Year Conversion'!$A:$A,match($C625,'Year Conversion'!$B:$B,0)),$Y:$Y,0))-I625,"")</f>
        <v>1</v>
      </c>
      <c r="AA625" s="168">
        <f t="array" ref="AA625">iferror(index(J:J,match($A625&amp;","&amp;index('Year Conversion'!$A:$A,match($C625,'Year Conversion'!$B:$B,0)),$Y:$Y,0))-J625,"")</f>
        <v>-1.809688973</v>
      </c>
      <c r="AB625" s="168">
        <f t="array" ref="AB625">iferror(index(K:K,match($A625&amp;","&amp;index('Year Conversion'!$A:$A,match($C625,'Year Conversion'!$B:$B,0)),$Y:$Y,0))-K625,"")</f>
        <v>-0.995413593</v>
      </c>
      <c r="AC625" s="168" t="str">
        <f t="shared" si="7"/>
        <v>LAL,2014-15</v>
      </c>
    </row>
    <row r="626">
      <c r="A626" s="161" t="str">
        <f>IFERROR(__xludf.DUMMYFUNCTION("""COMPUTED_VALUE"""),"belinma01")</f>
        <v>belinma01</v>
      </c>
      <c r="B626" s="161" t="str">
        <f>IFERROR(__xludf.DUMMYFUNCTION("""COMPUTED_VALUE"""),"Marco Belinelli")</f>
        <v>Marco Belinelli</v>
      </c>
      <c r="C626" s="162" t="str">
        <f>IFERROR(__xludf.DUMMYFUNCTION("""COMPUTED_VALUE"""),"2014-15")</f>
        <v>2014-15</v>
      </c>
      <c r="D626" s="163" t="str">
        <f>IFERROR(__xludf.DUMMYFUNCTION("""COMPUTED_VALUE"""),"SAS")</f>
        <v>SAS</v>
      </c>
      <c r="E626" s="164" t="str">
        <f>IFERROR(__xludf.DUMMYFUNCTION("""COMPUTED_VALUE"""),"Movement Shooter")</f>
        <v>Movement Shooter</v>
      </c>
      <c r="F626" s="164">
        <f>IFERROR(__xludf.DUMMYFUNCTION("""COMPUTED_VALUE"""),1388.34333333333)</f>
        <v>1388.343333</v>
      </c>
      <c r="G626" s="163">
        <f>IFERROR(__xludf.DUMMYFUNCTION("""COMPUTED_VALUE"""),62.0)</f>
        <v>62</v>
      </c>
      <c r="H626" s="163" t="str">
        <f>IFERROR(__xludf.DUMMYFUNCTION("""COMPUTED_VALUE"""),"SG")</f>
        <v>SG</v>
      </c>
      <c r="I626" s="163">
        <f>IFERROR(__xludf.DUMMYFUNCTION("""COMPUTED_VALUE"""),28.0)</f>
        <v>28</v>
      </c>
      <c r="J626" s="165">
        <f>IFERROR(__xludf.DUMMYFUNCTION("""COMPUTED_VALUE"""),-1.43589586416613)</f>
        <v>-1.435895864</v>
      </c>
      <c r="K626" s="165">
        <f>IFERROR(__xludf.DUMMYFUNCTION("""COMPUTED_VALUE"""),0.416644887260449)</f>
        <v>0.4166448873</v>
      </c>
      <c r="L626" s="165">
        <f>IFERROR(__xludf.DUMMYFUNCTION("""COMPUTED_VALUE"""),-1.85254075142658)</f>
        <v>-1.852540751</v>
      </c>
      <c r="M626" s="166">
        <f t="shared" si="2"/>
        <v>0.8001905128</v>
      </c>
      <c r="N626" s="167">
        <f t="shared" si="3"/>
        <v>22.39263441</v>
      </c>
      <c r="O626" s="163">
        <f t="shared" ref="O626:Q626" si="630">rank(I626,I:I)</f>
        <v>1090</v>
      </c>
      <c r="P626" s="163">
        <f t="shared" si="630"/>
        <v>2998</v>
      </c>
      <c r="Q626" s="163">
        <f t="shared" si="630"/>
        <v>820</v>
      </c>
      <c r="R626" s="163">
        <f>IFERROR(__xludf.DUMMYFUNCTION("RANK(M626,filter(M:M,C:C=C626))"),249.0)</f>
        <v>249</v>
      </c>
      <c r="S626" s="161" t="b">
        <f t="shared" si="5"/>
        <v>0</v>
      </c>
      <c r="T626" s="161" t="b">
        <f t="array" ref="T626">index('Query Tool'!B:B,match(H626,'Query Tool'!C:C,0))</f>
        <v>1</v>
      </c>
      <c r="U626" s="161" t="b">
        <f t="array" ref="U626">index('Query Tool'!B:B,match(C626,'Query Tool'!C:C,0))</f>
        <v>0</v>
      </c>
      <c r="V626" s="161" t="b">
        <f>F626&gt;='Query Tool'!C$32</f>
        <v>1</v>
      </c>
      <c r="W626" s="161" t="b">
        <f t="array" ref="W626">index(Dropdowns!B:B,match(I626,Dropdowns!A:A,0))</f>
        <v>1</v>
      </c>
      <c r="X626" s="161" t="b">
        <f t="array" ref="X626">index('Query Tool'!B:B,match(D626,'Query Tool'!C:C,0))</f>
        <v>1</v>
      </c>
      <c r="Y626" s="161" t="str">
        <f t="shared" si="6"/>
        <v>belinma01,2014-15</v>
      </c>
      <c r="Z626" s="168">
        <f t="array" ref="Z626">iferror(index(I:I,match($A626&amp;","&amp;index('Year Conversion'!$A:$A,match($C626,'Year Conversion'!$B:$B,0)),$Y:$Y,0))-I626,"")</f>
        <v>1</v>
      </c>
      <c r="AA626" s="168">
        <f t="array" ref="AA626">iferror(index(J:J,match($A626&amp;","&amp;index('Year Conversion'!$A:$A,match($C626,'Year Conversion'!$B:$B,0)),$Y:$Y,0))-J626,"")</f>
        <v>-2.087329404</v>
      </c>
      <c r="AB626" s="168">
        <f t="array" ref="AB626">iferror(index(K:K,match($A626&amp;","&amp;index('Year Conversion'!$A:$A,match($C626,'Year Conversion'!$B:$B,0)),$Y:$Y,0))-K626,"")</f>
        <v>-1.973009711</v>
      </c>
      <c r="AC626" s="168" t="str">
        <f t="shared" si="7"/>
        <v>SAS,2014-15</v>
      </c>
    </row>
    <row r="627">
      <c r="A627" s="161" t="str">
        <f>IFERROR(__xludf.DUMMYFUNCTION("""COMPUTED_VALUE"""),"smithja02")</f>
        <v>smithja02</v>
      </c>
      <c r="B627" s="161" t="str">
        <f>IFERROR(__xludf.DUMMYFUNCTION("""COMPUTED_VALUE"""),"Jason Smith")</f>
        <v>Jason Smith</v>
      </c>
      <c r="C627" s="162" t="str">
        <f>IFERROR(__xludf.DUMMYFUNCTION("""COMPUTED_VALUE"""),"2014-15")</f>
        <v>2014-15</v>
      </c>
      <c r="D627" s="163" t="str">
        <f>IFERROR(__xludf.DUMMYFUNCTION("""COMPUTED_VALUE"""),"NYK")</f>
        <v>NYK</v>
      </c>
      <c r="E627" s="164" t="str">
        <f>IFERROR(__xludf.DUMMYFUNCTION("""COMPUTED_VALUE"""),"Post Scorer")</f>
        <v>Post Scorer</v>
      </c>
      <c r="F627" s="164">
        <f>IFERROR(__xludf.DUMMYFUNCTION("""COMPUTED_VALUE"""),1784.86666666667)</f>
        <v>1784.866667</v>
      </c>
      <c r="G627" s="163">
        <f>IFERROR(__xludf.DUMMYFUNCTION("""COMPUTED_VALUE"""),82.0)</f>
        <v>82</v>
      </c>
      <c r="H627" s="163" t="str">
        <f>IFERROR(__xludf.DUMMYFUNCTION("""COMPUTED_VALUE"""),"C")</f>
        <v>C</v>
      </c>
      <c r="I627" s="163">
        <f>IFERROR(__xludf.DUMMYFUNCTION("""COMPUTED_VALUE"""),28.0)</f>
        <v>28</v>
      </c>
      <c r="J627" s="165">
        <f>IFERROR(__xludf.DUMMYFUNCTION("""COMPUTED_VALUE"""),-3.47306913951982)</f>
        <v>-3.47306914</v>
      </c>
      <c r="K627" s="165">
        <f>IFERROR(__xludf.DUMMYFUNCTION("""COMPUTED_VALUE"""),-1.91506440276398)</f>
        <v>-1.915064403</v>
      </c>
      <c r="L627" s="165">
        <f>IFERROR(__xludf.DUMMYFUNCTION("""COMPUTED_VALUE"""),-1.55800473675584)</f>
        <v>-1.558004737</v>
      </c>
      <c r="M627" s="166">
        <f t="shared" si="2"/>
        <v>-1.358956164</v>
      </c>
      <c r="N627" s="167">
        <f t="shared" si="3"/>
        <v>21.76666667</v>
      </c>
      <c r="O627" s="163">
        <f t="shared" ref="O627:Q627" si="631">rank(I627,I:I)</f>
        <v>1090</v>
      </c>
      <c r="P627" s="163">
        <f t="shared" si="631"/>
        <v>3958</v>
      </c>
      <c r="Q627" s="163">
        <f t="shared" si="631"/>
        <v>3659</v>
      </c>
      <c r="R627" s="163">
        <f>IFERROR(__xludf.DUMMYFUNCTION("RANK(M627,filter(M:M,C:C=C627))"),490.0)</f>
        <v>490</v>
      </c>
      <c r="S627" s="161" t="b">
        <f t="shared" si="5"/>
        <v>0</v>
      </c>
      <c r="T627" s="161" t="b">
        <f t="array" ref="T627">index('Query Tool'!B:B,match(H627,'Query Tool'!C:C,0))</f>
        <v>1</v>
      </c>
      <c r="U627" s="161" t="b">
        <f t="array" ref="U627">index('Query Tool'!B:B,match(C627,'Query Tool'!C:C,0))</f>
        <v>0</v>
      </c>
      <c r="V627" s="161" t="b">
        <f>F627&gt;='Query Tool'!C$32</f>
        <v>1</v>
      </c>
      <c r="W627" s="161" t="b">
        <f t="array" ref="W627">index(Dropdowns!B:B,match(I627,Dropdowns!A:A,0))</f>
        <v>1</v>
      </c>
      <c r="X627" s="161" t="b">
        <f t="array" ref="X627">index('Query Tool'!B:B,match(D627,'Query Tool'!C:C,0))</f>
        <v>1</v>
      </c>
      <c r="Y627" s="161" t="str">
        <f t="shared" si="6"/>
        <v>smithja02,2014-15</v>
      </c>
      <c r="Z627" s="168">
        <f t="array" ref="Z627">iferror(index(I:I,match($A627&amp;","&amp;index('Year Conversion'!$A:$A,match($C627,'Year Conversion'!$B:$B,0)),$Y:$Y,0))-I627,"")</f>
        <v>1</v>
      </c>
      <c r="AA627" s="168">
        <f t="array" ref="AA627">iferror(index(J:J,match($A627&amp;","&amp;index('Year Conversion'!$A:$A,match($C627,'Year Conversion'!$B:$B,0)),$Y:$Y,0))-J627,"")</f>
        <v>2.372129228</v>
      </c>
      <c r="AB627" s="168">
        <f t="array" ref="AB627">iferror(index(K:K,match($A627&amp;","&amp;index('Year Conversion'!$A:$A,match($C627,'Year Conversion'!$B:$B,0)),$Y:$Y,0))-K627,"")</f>
        <v>0.2065094454</v>
      </c>
      <c r="AC627" s="168" t="str">
        <f t="shared" si="7"/>
        <v>NYK,2014-15</v>
      </c>
    </row>
    <row r="628">
      <c r="A628" s="161" t="str">
        <f>IFERROR(__xludf.DUMMYFUNCTION("""COMPUTED_VALUE"""),"dudleja01")</f>
        <v>dudleja01</v>
      </c>
      <c r="B628" s="161" t="str">
        <f>IFERROR(__xludf.DUMMYFUNCTION("""COMPUTED_VALUE"""),"Jared Dudley")</f>
        <v>Jared Dudley</v>
      </c>
      <c r="C628" s="162" t="str">
        <f>IFERROR(__xludf.DUMMYFUNCTION("""COMPUTED_VALUE"""),"2014-15")</f>
        <v>2014-15</v>
      </c>
      <c r="D628" s="163" t="str">
        <f>IFERROR(__xludf.DUMMYFUNCTION("""COMPUTED_VALUE"""),"MIL")</f>
        <v>MIL</v>
      </c>
      <c r="E628" s="164" t="str">
        <f>IFERROR(__xludf.DUMMYFUNCTION("""COMPUTED_VALUE"""),"Stationary Shooter")</f>
        <v>Stationary Shooter</v>
      </c>
      <c r="F628" s="164">
        <f>IFERROR(__xludf.DUMMYFUNCTION("""COMPUTED_VALUE"""),1716.75333333333)</f>
        <v>1716.753333</v>
      </c>
      <c r="G628" s="163">
        <f>IFERROR(__xludf.DUMMYFUNCTION("""COMPUTED_VALUE"""),72.0)</f>
        <v>72</v>
      </c>
      <c r="H628" s="163" t="str">
        <f>IFERROR(__xludf.DUMMYFUNCTION("""COMPUTED_VALUE"""),"SG")</f>
        <v>SG</v>
      </c>
      <c r="I628" s="163">
        <f>IFERROR(__xludf.DUMMYFUNCTION("""COMPUTED_VALUE"""),29.0)</f>
        <v>29</v>
      </c>
      <c r="J628" s="165">
        <f>IFERROR(__xludf.DUMMYFUNCTION("""COMPUTED_VALUE"""),0.217769900621062)</f>
        <v>0.2177699006</v>
      </c>
      <c r="K628" s="165">
        <f>IFERROR(__xludf.DUMMYFUNCTION("""COMPUTED_VALUE"""),-0.960378676965326)</f>
        <v>-0.960378677</v>
      </c>
      <c r="L628" s="165">
        <f>IFERROR(__xludf.DUMMYFUNCTION("""COMPUTED_VALUE"""),1.17814857758639)</f>
        <v>1.178148578</v>
      </c>
      <c r="M628" s="166">
        <f t="shared" si="2"/>
        <v>2.898695503</v>
      </c>
      <c r="N628" s="167">
        <f t="shared" si="3"/>
        <v>23.8437963</v>
      </c>
      <c r="O628" s="163">
        <f t="shared" ref="O628:Q628" si="632">rank(I628,I:I)</f>
        <v>855</v>
      </c>
      <c r="P628" s="163">
        <f t="shared" si="632"/>
        <v>1074</v>
      </c>
      <c r="Q628" s="163">
        <f t="shared" si="632"/>
        <v>2760</v>
      </c>
      <c r="R628" s="163">
        <f>IFERROR(__xludf.DUMMYFUNCTION("RANK(M628,filter(M:M,C:C=C628))"),122.0)</f>
        <v>122</v>
      </c>
      <c r="S628" s="161" t="b">
        <f t="shared" si="5"/>
        <v>0</v>
      </c>
      <c r="T628" s="161" t="b">
        <f t="array" ref="T628">index('Query Tool'!B:B,match(H628,'Query Tool'!C:C,0))</f>
        <v>1</v>
      </c>
      <c r="U628" s="161" t="b">
        <f t="array" ref="U628">index('Query Tool'!B:B,match(C628,'Query Tool'!C:C,0))</f>
        <v>0</v>
      </c>
      <c r="V628" s="161" t="b">
        <f>F628&gt;='Query Tool'!C$32</f>
        <v>1</v>
      </c>
      <c r="W628" s="161" t="b">
        <f t="array" ref="W628">index(Dropdowns!B:B,match(I628,Dropdowns!A:A,0))</f>
        <v>1</v>
      </c>
      <c r="X628" s="161" t="b">
        <f t="array" ref="X628">index('Query Tool'!B:B,match(D628,'Query Tool'!C:C,0))</f>
        <v>1</v>
      </c>
      <c r="Y628" s="161" t="str">
        <f t="shared" si="6"/>
        <v>dudleja01,2014-15</v>
      </c>
      <c r="Z628" s="168">
        <f t="array" ref="Z628">iferror(index(I:I,match($A628&amp;","&amp;index('Year Conversion'!$A:$A,match($C628,'Year Conversion'!$B:$B,0)),$Y:$Y,0))-I628,"")</f>
        <v>1</v>
      </c>
      <c r="AA628" s="168">
        <f t="array" ref="AA628">iferror(index(J:J,match($A628&amp;","&amp;index('Year Conversion'!$A:$A,match($C628,'Year Conversion'!$B:$B,0)),$Y:$Y,0))-J628,"")</f>
        <v>0.2748086027</v>
      </c>
      <c r="AB628" s="168">
        <f t="array" ref="AB628">iferror(index(K:K,match($A628&amp;","&amp;index('Year Conversion'!$A:$A,match($C628,'Year Conversion'!$B:$B,0)),$Y:$Y,0))-K628,"")</f>
        <v>0.6310641686</v>
      </c>
      <c r="AC628" s="168" t="str">
        <f t="shared" si="7"/>
        <v>MIL,2014-15</v>
      </c>
    </row>
    <row r="629">
      <c r="A629" s="161" t="str">
        <f>IFERROR(__xludf.DUMMYFUNCTION("""COMPUTED_VALUE"""),"chandwi01")</f>
        <v>chandwi01</v>
      </c>
      <c r="B629" s="161" t="str">
        <f>IFERROR(__xludf.DUMMYFUNCTION("""COMPUTED_VALUE"""),"Wilson Chandler")</f>
        <v>Wilson Chandler</v>
      </c>
      <c r="C629" s="162" t="str">
        <f>IFERROR(__xludf.DUMMYFUNCTION("""COMPUTED_VALUE"""),"2014-15")</f>
        <v>2014-15</v>
      </c>
      <c r="D629" s="163" t="str">
        <f>IFERROR(__xludf.DUMMYFUNCTION("""COMPUTED_VALUE"""),"DEN")</f>
        <v>DEN</v>
      </c>
      <c r="E629" s="164" t="str">
        <f>IFERROR(__xludf.DUMMYFUNCTION("""COMPUTED_VALUE"""),"Shot Creator")</f>
        <v>Shot Creator</v>
      </c>
      <c r="F629" s="164">
        <f>IFERROR(__xludf.DUMMYFUNCTION("""COMPUTED_VALUE"""),2471.15166666667)</f>
        <v>2471.151667</v>
      </c>
      <c r="G629" s="163">
        <f>IFERROR(__xludf.DUMMYFUNCTION("""COMPUTED_VALUE"""),78.0)</f>
        <v>78</v>
      </c>
      <c r="H629" s="163" t="str">
        <f>IFERROR(__xludf.DUMMYFUNCTION("""COMPUTED_VALUE"""),"SF")</f>
        <v>SF</v>
      </c>
      <c r="I629" s="163">
        <f>IFERROR(__xludf.DUMMYFUNCTION("""COMPUTED_VALUE"""),27.0)</f>
        <v>27</v>
      </c>
      <c r="J629" s="165">
        <f>IFERROR(__xludf.DUMMYFUNCTION("""COMPUTED_VALUE"""),-1.17549555234548)</f>
        <v>-1.175495552</v>
      </c>
      <c r="K629" s="165">
        <f>IFERROR(__xludf.DUMMYFUNCTION("""COMPUTED_VALUE"""),0.0245458259505721)</f>
        <v>0.02454582595</v>
      </c>
      <c r="L629" s="165">
        <f>IFERROR(__xludf.DUMMYFUNCTION("""COMPUTED_VALUE"""),-1.20004137829605)</f>
        <v>-1.200041378</v>
      </c>
      <c r="M629" s="166">
        <f t="shared" si="2"/>
        <v>1.855037483</v>
      </c>
      <c r="N629" s="167">
        <f t="shared" si="3"/>
        <v>31.68143162</v>
      </c>
      <c r="O629" s="163">
        <f t="shared" ref="O629:Q629" si="633">rank(I629,I:I)</f>
        <v>1366</v>
      </c>
      <c r="P629" s="163">
        <f t="shared" si="633"/>
        <v>2711</v>
      </c>
      <c r="Q629" s="163">
        <f t="shared" si="633"/>
        <v>1166</v>
      </c>
      <c r="R629" s="163">
        <f>IFERROR(__xludf.DUMMYFUNCTION("RANK(M629,filter(M:M,C:C=C629))"),173.0)</f>
        <v>173</v>
      </c>
      <c r="S629" s="161" t="b">
        <f t="shared" si="5"/>
        <v>0</v>
      </c>
      <c r="T629" s="161" t="b">
        <f t="array" ref="T629">index('Query Tool'!B:B,match(H629,'Query Tool'!C:C,0))</f>
        <v>1</v>
      </c>
      <c r="U629" s="161" t="b">
        <f t="array" ref="U629">index('Query Tool'!B:B,match(C629,'Query Tool'!C:C,0))</f>
        <v>0</v>
      </c>
      <c r="V629" s="161" t="b">
        <f>F629&gt;='Query Tool'!C$32</f>
        <v>1</v>
      </c>
      <c r="W629" s="161" t="b">
        <f t="array" ref="W629">index(Dropdowns!B:B,match(I629,Dropdowns!A:A,0))</f>
        <v>1</v>
      </c>
      <c r="X629" s="161" t="b">
        <f t="array" ref="X629">index('Query Tool'!B:B,match(D629,'Query Tool'!C:C,0))</f>
        <v>1</v>
      </c>
      <c r="Y629" s="161" t="str">
        <f t="shared" si="6"/>
        <v>chandwi01,2014-15</v>
      </c>
      <c r="Z629" s="168" t="str">
        <f t="array" ref="Z629">iferror(index(I:I,match($A629&amp;","&amp;index('Year Conversion'!$A:$A,match($C629,'Year Conversion'!$B:$B,0)),$Y:$Y,0))-I629,"")</f>
        <v/>
      </c>
      <c r="AA629" s="168" t="str">
        <f t="array" ref="AA629">iferror(index(J:J,match($A629&amp;","&amp;index('Year Conversion'!$A:$A,match($C629,'Year Conversion'!$B:$B,0)),$Y:$Y,0))-J629,"")</f>
        <v/>
      </c>
      <c r="AB629" s="168" t="str">
        <f t="array" ref="AB629">iferror(index(K:K,match($A629&amp;","&amp;index('Year Conversion'!$A:$A,match($C629,'Year Conversion'!$B:$B,0)),$Y:$Y,0))-K629,"")</f>
        <v/>
      </c>
      <c r="AC629" s="168" t="str">
        <f t="shared" si="7"/>
        <v>DEN,2014-15</v>
      </c>
    </row>
    <row r="630">
      <c r="A630" s="161" t="str">
        <f>IFERROR(__xludf.DUMMYFUNCTION("""COMPUTED_VALUE"""),"brookaa01")</f>
        <v>brookaa01</v>
      </c>
      <c r="B630" s="161" t="str">
        <f>IFERROR(__xludf.DUMMYFUNCTION("""COMPUTED_VALUE"""),"Aaron Brooks")</f>
        <v>Aaron Brooks</v>
      </c>
      <c r="C630" s="162" t="str">
        <f>IFERROR(__xludf.DUMMYFUNCTION("""COMPUTED_VALUE"""),"2014-15")</f>
        <v>2014-15</v>
      </c>
      <c r="D630" s="163" t="str">
        <f>IFERROR(__xludf.DUMMYFUNCTION("""COMPUTED_VALUE"""),"CHI")</f>
        <v>CHI</v>
      </c>
      <c r="E630" s="164" t="str">
        <f>IFERROR(__xludf.DUMMYFUNCTION("""COMPUTED_VALUE"""),"Primary Ball Handler")</f>
        <v>Primary Ball Handler</v>
      </c>
      <c r="F630" s="164">
        <f>IFERROR(__xludf.DUMMYFUNCTION("""COMPUTED_VALUE"""),1884.61333333333)</f>
        <v>1884.613333</v>
      </c>
      <c r="G630" s="163">
        <f>IFERROR(__xludf.DUMMYFUNCTION("""COMPUTED_VALUE"""),82.0)</f>
        <v>82</v>
      </c>
      <c r="H630" s="163" t="str">
        <f>IFERROR(__xludf.DUMMYFUNCTION("""COMPUTED_VALUE"""),"PG")</f>
        <v>PG</v>
      </c>
      <c r="I630" s="163">
        <f>IFERROR(__xludf.DUMMYFUNCTION("""COMPUTED_VALUE"""),30.0)</f>
        <v>30</v>
      </c>
      <c r="J630" s="165">
        <f>IFERROR(__xludf.DUMMYFUNCTION("""COMPUTED_VALUE"""),-0.768916162080838)</f>
        <v>-0.7689161621</v>
      </c>
      <c r="K630" s="165">
        <f>IFERROR(__xludf.DUMMYFUNCTION("""COMPUTED_VALUE"""),0.785453867668638)</f>
        <v>0.7854538677</v>
      </c>
      <c r="L630" s="165">
        <f>IFERROR(__xludf.DUMMYFUNCTION("""COMPUTED_VALUE"""),-1.55437002974948)</f>
        <v>-1.55437003</v>
      </c>
      <c r="M630" s="166">
        <f t="shared" si="2"/>
        <v>1.929272215</v>
      </c>
      <c r="N630" s="167">
        <f t="shared" si="3"/>
        <v>22.98308943</v>
      </c>
      <c r="O630" s="163">
        <f t="shared" ref="O630:Q630" si="634">rank(I630,I:I)</f>
        <v>655</v>
      </c>
      <c r="P630" s="163">
        <f t="shared" si="634"/>
        <v>2236</v>
      </c>
      <c r="Q630" s="163">
        <f t="shared" si="634"/>
        <v>606</v>
      </c>
      <c r="R630" s="163">
        <f>IFERROR(__xludf.DUMMYFUNCTION("RANK(M630,filter(M:M,C:C=C630))"),168.0)</f>
        <v>168</v>
      </c>
      <c r="S630" s="161" t="b">
        <f t="shared" si="5"/>
        <v>0</v>
      </c>
      <c r="T630" s="161" t="b">
        <f t="array" ref="T630">index('Query Tool'!B:B,match(H630,'Query Tool'!C:C,0))</f>
        <v>1</v>
      </c>
      <c r="U630" s="161" t="b">
        <f t="array" ref="U630">index('Query Tool'!B:B,match(C630,'Query Tool'!C:C,0))</f>
        <v>0</v>
      </c>
      <c r="V630" s="161" t="b">
        <f>F630&gt;='Query Tool'!C$32</f>
        <v>1</v>
      </c>
      <c r="W630" s="161" t="b">
        <f t="array" ref="W630">index(Dropdowns!B:B,match(I630,Dropdowns!A:A,0))</f>
        <v>1</v>
      </c>
      <c r="X630" s="161" t="b">
        <f t="array" ref="X630">index('Query Tool'!B:B,match(D630,'Query Tool'!C:C,0))</f>
        <v>1</v>
      </c>
      <c r="Y630" s="161" t="str">
        <f t="shared" si="6"/>
        <v>brookaa01,2014-15</v>
      </c>
      <c r="Z630" s="168">
        <f t="array" ref="Z630">iferror(index(I:I,match($A630&amp;","&amp;index('Year Conversion'!$A:$A,match($C630,'Year Conversion'!$B:$B,0)),$Y:$Y,0))-I630,"")</f>
        <v>1</v>
      </c>
      <c r="AA630" s="168">
        <f t="array" ref="AA630">iferror(index(J:J,match($A630&amp;","&amp;index('Year Conversion'!$A:$A,match($C630,'Year Conversion'!$B:$B,0)),$Y:$Y,0))-J630,"")</f>
        <v>-0.8441187568</v>
      </c>
      <c r="AB630" s="168">
        <f t="array" ref="AB630">iferror(index(K:K,match($A630&amp;","&amp;index('Year Conversion'!$A:$A,match($C630,'Year Conversion'!$B:$B,0)),$Y:$Y,0))-K630,"")</f>
        <v>-0.8618743986</v>
      </c>
      <c r="AC630" s="168" t="str">
        <f t="shared" si="7"/>
        <v>CHI,2014-15</v>
      </c>
    </row>
    <row r="631">
      <c r="A631" s="161" t="str">
        <f>IFERROR(__xludf.DUMMYFUNCTION("""COMPUTED_VALUE"""),"afflaar01")</f>
        <v>afflaar01</v>
      </c>
      <c r="B631" s="161" t="str">
        <f>IFERROR(__xludf.DUMMYFUNCTION("""COMPUTED_VALUE"""),"Arron Afflalo")</f>
        <v>Arron Afflalo</v>
      </c>
      <c r="C631" s="162" t="str">
        <f>IFERROR(__xludf.DUMMYFUNCTION("""COMPUTED_VALUE"""),"2014-15")</f>
        <v>2014-15</v>
      </c>
      <c r="D631" s="163" t="str">
        <f>IFERROR(__xludf.DUMMYFUNCTION("""COMPUTED_VALUE"""),"TOT")</f>
        <v>TOT</v>
      </c>
      <c r="E631" s="164" t="str">
        <f>IFERROR(__xludf.DUMMYFUNCTION("""COMPUTED_VALUE"""),"Shot Creator")</f>
        <v>Shot Creator</v>
      </c>
      <c r="F631" s="164">
        <f>IFERROR(__xludf.DUMMYFUNCTION("""COMPUTED_VALUE"""),2501.54833333333)</f>
        <v>2501.548333</v>
      </c>
      <c r="G631" s="163">
        <f>IFERROR(__xludf.DUMMYFUNCTION("""COMPUTED_VALUE"""),78.0)</f>
        <v>78</v>
      </c>
      <c r="H631" s="163" t="str">
        <f>IFERROR(__xludf.DUMMYFUNCTION("""COMPUTED_VALUE"""),"SG")</f>
        <v>SG</v>
      </c>
      <c r="I631" s="163">
        <f>IFERROR(__xludf.DUMMYFUNCTION("""COMPUTED_VALUE"""),29.0)</f>
        <v>29</v>
      </c>
      <c r="J631" s="165">
        <f>IFERROR(__xludf.DUMMYFUNCTION("""COMPUTED_VALUE"""),-1.99249342286289)</f>
        <v>-1.992493423</v>
      </c>
      <c r="K631" s="165">
        <f>IFERROR(__xludf.DUMMYFUNCTION("""COMPUTED_VALUE"""),-0.700340206144001)</f>
        <v>-0.7003402061</v>
      </c>
      <c r="L631" s="165">
        <f>IFERROR(__xludf.DUMMYFUNCTION("""COMPUTED_VALUE"""),-1.29215321671889)</f>
        <v>-1.292153217</v>
      </c>
      <c r="M631" s="166">
        <f t="shared" si="2"/>
        <v>0.5145880565</v>
      </c>
      <c r="N631" s="167">
        <f t="shared" si="3"/>
        <v>32.07113248</v>
      </c>
      <c r="O631" s="163">
        <f t="shared" ref="O631:Q631" si="635">rank(I631,I:I)</f>
        <v>855</v>
      </c>
      <c r="P631" s="163">
        <f t="shared" si="635"/>
        <v>3475</v>
      </c>
      <c r="Q631" s="163">
        <f t="shared" si="635"/>
        <v>2417</v>
      </c>
      <c r="R631" s="163">
        <f>IFERROR(__xludf.DUMMYFUNCTION("RANK(M631,filter(M:M,C:C=C631))"),281.0)</f>
        <v>281</v>
      </c>
      <c r="S631" s="161" t="b">
        <f t="shared" si="5"/>
        <v>0</v>
      </c>
      <c r="T631" s="161" t="b">
        <f t="array" ref="T631">index('Query Tool'!B:B,match(H631,'Query Tool'!C:C,0))</f>
        <v>1</v>
      </c>
      <c r="U631" s="161" t="b">
        <f t="array" ref="U631">index('Query Tool'!B:B,match(C631,'Query Tool'!C:C,0))</f>
        <v>0</v>
      </c>
      <c r="V631" s="161" t="b">
        <f>F631&gt;='Query Tool'!C$32</f>
        <v>1</v>
      </c>
      <c r="W631" s="161" t="b">
        <f t="array" ref="W631">index(Dropdowns!B:B,match(I631,Dropdowns!A:A,0))</f>
        <v>1</v>
      </c>
      <c r="X631" s="161" t="b">
        <f t="array" ref="X631">index('Query Tool'!B:B,match(D631,'Query Tool'!C:C,0))</f>
        <v>1</v>
      </c>
      <c r="Y631" s="161" t="str">
        <f t="shared" si="6"/>
        <v>afflaar01,2014-15</v>
      </c>
      <c r="Z631" s="168">
        <f t="array" ref="Z631">iferror(index(I:I,match($A631&amp;","&amp;index('Year Conversion'!$A:$A,match($C631,'Year Conversion'!$B:$B,0)),$Y:$Y,0))-I631,"")</f>
        <v>1</v>
      </c>
      <c r="AA631" s="168">
        <f t="array" ref="AA631">iferror(index(J:J,match($A631&amp;","&amp;index('Year Conversion'!$A:$A,match($C631,'Year Conversion'!$B:$B,0)),$Y:$Y,0))-J631,"")</f>
        <v>-1.004065722</v>
      </c>
      <c r="AB631" s="168">
        <f t="array" ref="AB631">iferror(index(K:K,match($A631&amp;","&amp;index('Year Conversion'!$A:$A,match($C631,'Year Conversion'!$B:$B,0)),$Y:$Y,0))-K631,"")</f>
        <v>0.02569950616</v>
      </c>
      <c r="AC631" s="168" t="str">
        <f t="shared" si="7"/>
        <v>TOT,2014-15</v>
      </c>
    </row>
    <row r="632">
      <c r="A632" s="161" t="str">
        <f>IFERROR(__xludf.DUMMYFUNCTION("""COMPUTED_VALUE"""),"splitti01")</f>
        <v>splitti01</v>
      </c>
      <c r="B632" s="161" t="str">
        <f>IFERROR(__xludf.DUMMYFUNCTION("""COMPUTED_VALUE"""),"Tiago Splitter")</f>
        <v>Tiago Splitter</v>
      </c>
      <c r="C632" s="162" t="str">
        <f>IFERROR(__xludf.DUMMYFUNCTION("""COMPUTED_VALUE"""),"2014-15")</f>
        <v>2014-15</v>
      </c>
      <c r="D632" s="163" t="str">
        <f>IFERROR(__xludf.DUMMYFUNCTION("""COMPUTED_VALUE"""),"SAS")</f>
        <v>SAS</v>
      </c>
      <c r="E632" s="164" t="str">
        <f>IFERROR(__xludf.DUMMYFUNCTION("""COMPUTED_VALUE"""),"Post Scorer")</f>
        <v>Post Scorer</v>
      </c>
      <c r="F632" s="164">
        <f>IFERROR(__xludf.DUMMYFUNCTION("""COMPUTED_VALUE"""),1029.815)</f>
        <v>1029.815</v>
      </c>
      <c r="G632" s="163">
        <f>IFERROR(__xludf.DUMMYFUNCTION("""COMPUTED_VALUE"""),52.0)</f>
        <v>52</v>
      </c>
      <c r="H632" s="163" t="str">
        <f>IFERROR(__xludf.DUMMYFUNCTION("""COMPUTED_VALUE"""),"C")</f>
        <v>C</v>
      </c>
      <c r="I632" s="163">
        <f>IFERROR(__xludf.DUMMYFUNCTION("""COMPUTED_VALUE"""),30.0)</f>
        <v>30</v>
      </c>
      <c r="J632" s="165">
        <f>IFERROR(__xludf.DUMMYFUNCTION("""COMPUTED_VALUE"""),1.67156686845569)</f>
        <v>1.671566868</v>
      </c>
      <c r="K632" s="165">
        <f>IFERROR(__xludf.DUMMYFUNCTION("""COMPUTED_VALUE"""),0.264114429930118)</f>
        <v>0.2641144299</v>
      </c>
      <c r="L632" s="165">
        <f>IFERROR(__xludf.DUMMYFUNCTION("""COMPUTED_VALUE"""),1.40745243852557)</f>
        <v>1.407452439</v>
      </c>
      <c r="M632" s="166">
        <f t="shared" si="2"/>
        <v>2.743701014</v>
      </c>
      <c r="N632" s="167">
        <f t="shared" si="3"/>
        <v>19.80413462</v>
      </c>
      <c r="O632" s="163">
        <f t="shared" ref="O632:Q632" si="636">rank(I632,I:I)</f>
        <v>655</v>
      </c>
      <c r="P632" s="163">
        <f t="shared" si="636"/>
        <v>406</v>
      </c>
      <c r="Q632" s="163">
        <f t="shared" si="636"/>
        <v>939</v>
      </c>
      <c r="R632" s="163">
        <f>IFERROR(__xludf.DUMMYFUNCTION("RANK(M632,filter(M:M,C:C=C632))"),125.0)</f>
        <v>125</v>
      </c>
      <c r="S632" s="161" t="b">
        <f t="shared" si="5"/>
        <v>0</v>
      </c>
      <c r="T632" s="161" t="b">
        <f t="array" ref="T632">index('Query Tool'!B:B,match(H632,'Query Tool'!C:C,0))</f>
        <v>1</v>
      </c>
      <c r="U632" s="161" t="b">
        <f t="array" ref="U632">index('Query Tool'!B:B,match(C632,'Query Tool'!C:C,0))</f>
        <v>0</v>
      </c>
      <c r="V632" s="161" t="b">
        <f>F632&gt;='Query Tool'!C$32</f>
        <v>1</v>
      </c>
      <c r="W632" s="161" t="b">
        <f t="array" ref="W632">index(Dropdowns!B:B,match(I632,Dropdowns!A:A,0))</f>
        <v>1</v>
      </c>
      <c r="X632" s="161" t="b">
        <f t="array" ref="X632">index('Query Tool'!B:B,match(D632,'Query Tool'!C:C,0))</f>
        <v>1</v>
      </c>
      <c r="Y632" s="161" t="str">
        <f t="shared" si="6"/>
        <v>splitti01,2014-15</v>
      </c>
      <c r="Z632" s="168">
        <f t="array" ref="Z632">iferror(index(I:I,match($A632&amp;","&amp;index('Year Conversion'!$A:$A,match($C632,'Year Conversion'!$B:$B,0)),$Y:$Y,0))-I632,"")</f>
        <v>1</v>
      </c>
      <c r="AA632" s="168">
        <f t="array" ref="AA632">iferror(index(J:J,match($A632&amp;","&amp;index('Year Conversion'!$A:$A,match($C632,'Year Conversion'!$B:$B,0)),$Y:$Y,0))-J632,"")</f>
        <v>-2.536591767</v>
      </c>
      <c r="AB632" s="168">
        <f t="array" ref="AB632">iferror(index(K:K,match($A632&amp;","&amp;index('Year Conversion'!$A:$A,match($C632,'Year Conversion'!$B:$B,0)),$Y:$Y,0))-K632,"")</f>
        <v>-1.239652198</v>
      </c>
      <c r="AC632" s="168" t="str">
        <f t="shared" si="7"/>
        <v>SAS,2014-15</v>
      </c>
    </row>
    <row r="633">
      <c r="A633" s="161" t="str">
        <f>IFERROR(__xludf.DUMMYFUNCTION("""COMPUTED_VALUE"""),"landrca01")</f>
        <v>landrca01</v>
      </c>
      <c r="B633" s="161" t="str">
        <f>IFERROR(__xludf.DUMMYFUNCTION("""COMPUTED_VALUE"""),"Carl Landry")</f>
        <v>Carl Landry</v>
      </c>
      <c r="C633" s="162" t="str">
        <f>IFERROR(__xludf.DUMMYFUNCTION("""COMPUTED_VALUE"""),"2014-15")</f>
        <v>2014-15</v>
      </c>
      <c r="D633" s="163" t="str">
        <f>IFERROR(__xludf.DUMMYFUNCTION("""COMPUTED_VALUE"""),"SAC")</f>
        <v>SAC</v>
      </c>
      <c r="E633" s="164" t="str">
        <f>IFERROR(__xludf.DUMMYFUNCTION("""COMPUTED_VALUE"""),"Post Scorer")</f>
        <v>Post Scorer</v>
      </c>
      <c r="F633" s="164">
        <f>IFERROR(__xludf.DUMMYFUNCTION("""COMPUTED_VALUE"""),1191.71333333333)</f>
        <v>1191.713333</v>
      </c>
      <c r="G633" s="163">
        <f>IFERROR(__xludf.DUMMYFUNCTION("""COMPUTED_VALUE"""),70.0)</f>
        <v>70</v>
      </c>
      <c r="H633" s="163" t="str">
        <f>IFERROR(__xludf.DUMMYFUNCTION("""COMPUTED_VALUE"""),"PF")</f>
        <v>PF</v>
      </c>
      <c r="I633" s="163">
        <f>IFERROR(__xludf.DUMMYFUNCTION("""COMPUTED_VALUE"""),31.0)</f>
        <v>31</v>
      </c>
      <c r="J633" s="165">
        <f>IFERROR(__xludf.DUMMYFUNCTION("""COMPUTED_VALUE"""),-2.30592367848293)</f>
        <v>-2.305923678</v>
      </c>
      <c r="K633" s="165">
        <f>IFERROR(__xludf.DUMMYFUNCTION("""COMPUTED_VALUE"""),-1.17364307318364)</f>
        <v>-1.173643073</v>
      </c>
      <c r="L633" s="165">
        <f>IFERROR(__xludf.DUMMYFUNCTION("""COMPUTED_VALUE"""),-1.13228060529929)</f>
        <v>-1.132280605</v>
      </c>
      <c r="M633" s="166">
        <f t="shared" si="2"/>
        <v>-0.001883750126</v>
      </c>
      <c r="N633" s="167">
        <f t="shared" si="3"/>
        <v>17.02447619</v>
      </c>
      <c r="O633" s="163">
        <f t="shared" ref="O633:Q633" si="637">rank(I633,I:I)</f>
        <v>490</v>
      </c>
      <c r="P633" s="163">
        <f t="shared" si="637"/>
        <v>3660</v>
      </c>
      <c r="Q633" s="163">
        <f t="shared" si="637"/>
        <v>3009</v>
      </c>
      <c r="R633" s="163">
        <f>IFERROR(__xludf.DUMMYFUNCTION("RANK(M633,filter(M:M,C:C=C633))"),442.0)</f>
        <v>442</v>
      </c>
      <c r="S633" s="161" t="b">
        <f t="shared" si="5"/>
        <v>0</v>
      </c>
      <c r="T633" s="161" t="b">
        <f t="array" ref="T633">index('Query Tool'!B:B,match(H633,'Query Tool'!C:C,0))</f>
        <v>1</v>
      </c>
      <c r="U633" s="161" t="b">
        <f t="array" ref="U633">index('Query Tool'!B:B,match(C633,'Query Tool'!C:C,0))</f>
        <v>0</v>
      </c>
      <c r="V633" s="161" t="b">
        <f>F633&gt;='Query Tool'!C$32</f>
        <v>1</v>
      </c>
      <c r="W633" s="161" t="b">
        <f t="array" ref="W633">index(Dropdowns!B:B,match(I633,Dropdowns!A:A,0))</f>
        <v>1</v>
      </c>
      <c r="X633" s="161" t="b">
        <f t="array" ref="X633">index('Query Tool'!B:B,match(D633,'Query Tool'!C:C,0))</f>
        <v>1</v>
      </c>
      <c r="Y633" s="161" t="str">
        <f t="shared" si="6"/>
        <v>landrca01,2014-15</v>
      </c>
      <c r="Z633" s="168">
        <f t="array" ref="Z633">iferror(index(I:I,match($A633&amp;","&amp;index('Year Conversion'!$A:$A,match($C633,'Year Conversion'!$B:$B,0)),$Y:$Y,0))-I633,"")</f>
        <v>1</v>
      </c>
      <c r="AA633" s="168">
        <f t="array" ref="AA633">iferror(index(J:J,match($A633&amp;","&amp;index('Year Conversion'!$A:$A,match($C633,'Year Conversion'!$B:$B,0)),$Y:$Y,0))-J633,"")</f>
        <v>2.249141235</v>
      </c>
      <c r="AB633" s="168">
        <f t="array" ref="AB633">iferror(index(K:K,match($A633&amp;","&amp;index('Year Conversion'!$A:$A,match($C633,'Year Conversion'!$B:$B,0)),$Y:$Y,0))-K633,"")</f>
        <v>2.109821095</v>
      </c>
      <c r="AC633" s="168" t="str">
        <f t="shared" si="7"/>
        <v>SAC,2014-15</v>
      </c>
    </row>
    <row r="634">
      <c r="A634" s="161" t="str">
        <f>IFERROR(__xludf.DUMMYFUNCTION("""COMPUTED_VALUE"""),"davisgl01")</f>
        <v>davisgl01</v>
      </c>
      <c r="B634" s="161" t="str">
        <f>IFERROR(__xludf.DUMMYFUNCTION("""COMPUTED_VALUE"""),"Glen Davis")</f>
        <v>Glen Davis</v>
      </c>
      <c r="C634" s="162" t="str">
        <f>IFERROR(__xludf.DUMMYFUNCTION("""COMPUTED_VALUE"""),"2014-15")</f>
        <v>2014-15</v>
      </c>
      <c r="D634" s="163" t="str">
        <f>IFERROR(__xludf.DUMMYFUNCTION("""COMPUTED_VALUE"""),"LAC")</f>
        <v>LAC</v>
      </c>
      <c r="E634" s="164" t="str">
        <f>IFERROR(__xludf.DUMMYFUNCTION("""COMPUTED_VALUE"""),"Post Scorer")</f>
        <v>Post Scorer</v>
      </c>
      <c r="F634" s="164">
        <f>IFERROR(__xludf.DUMMYFUNCTION("""COMPUTED_VALUE"""),904.038333333333)</f>
        <v>904.0383333</v>
      </c>
      <c r="G634" s="163">
        <f>IFERROR(__xludf.DUMMYFUNCTION("""COMPUTED_VALUE"""),74.0)</f>
        <v>74</v>
      </c>
      <c r="H634" s="163" t="str">
        <f>IFERROR(__xludf.DUMMYFUNCTION("""COMPUTED_VALUE"""),"PF")</f>
        <v>PF</v>
      </c>
      <c r="I634" s="163">
        <f>IFERROR(__xludf.DUMMYFUNCTION("""COMPUTED_VALUE"""),29.0)</f>
        <v>29</v>
      </c>
      <c r="J634" s="165">
        <f>IFERROR(__xludf.DUMMYFUNCTION("""COMPUTED_VALUE"""),-1.51696603274279)</f>
        <v>-1.516966033</v>
      </c>
      <c r="K634" s="165">
        <f>IFERROR(__xludf.DUMMYFUNCTION("""COMPUTED_VALUE"""),-2.31579896302376)</f>
        <v>-2.315798963</v>
      </c>
      <c r="L634" s="165">
        <f>IFERROR(__xludf.DUMMYFUNCTION("""COMPUTED_VALUE"""),0.798832930280966)</f>
        <v>0.7988329303</v>
      </c>
      <c r="M634" s="166">
        <f t="shared" si="2"/>
        <v>0.4720893172</v>
      </c>
      <c r="N634" s="167">
        <f t="shared" si="3"/>
        <v>12.21673423</v>
      </c>
      <c r="O634" s="163">
        <f t="shared" ref="O634:Q634" si="638">rank(I634,I:I)</f>
        <v>855</v>
      </c>
      <c r="P634" s="163">
        <f t="shared" si="638"/>
        <v>3070</v>
      </c>
      <c r="Q634" s="163">
        <f t="shared" si="638"/>
        <v>3840</v>
      </c>
      <c r="R634" s="163">
        <f>IFERROR(__xludf.DUMMYFUNCTION("RANK(M634,filter(M:M,C:C=C634))"),288.0)</f>
        <v>288</v>
      </c>
      <c r="S634" s="161" t="b">
        <f t="shared" si="5"/>
        <v>0</v>
      </c>
      <c r="T634" s="161" t="b">
        <f t="array" ref="T634">index('Query Tool'!B:B,match(H634,'Query Tool'!C:C,0))</f>
        <v>1</v>
      </c>
      <c r="U634" s="161" t="b">
        <f t="array" ref="U634">index('Query Tool'!B:B,match(C634,'Query Tool'!C:C,0))</f>
        <v>0</v>
      </c>
      <c r="V634" s="161" t="b">
        <f>F634&gt;='Query Tool'!C$32</f>
        <v>1</v>
      </c>
      <c r="W634" s="161" t="b">
        <f t="array" ref="W634">index(Dropdowns!B:B,match(I634,Dropdowns!A:A,0))</f>
        <v>1</v>
      </c>
      <c r="X634" s="161" t="b">
        <f t="array" ref="X634">index('Query Tool'!B:B,match(D634,'Query Tool'!C:C,0))</f>
        <v>1</v>
      </c>
      <c r="Y634" s="161" t="str">
        <f t="shared" si="6"/>
        <v>davisgl01,2014-15</v>
      </c>
      <c r="Z634" s="168" t="str">
        <f t="array" ref="Z634">iferror(index(I:I,match($A634&amp;","&amp;index('Year Conversion'!$A:$A,match($C634,'Year Conversion'!$B:$B,0)),$Y:$Y,0))-I634,"")</f>
        <v/>
      </c>
      <c r="AA634" s="168" t="str">
        <f t="array" ref="AA634">iferror(index(J:J,match($A634&amp;","&amp;index('Year Conversion'!$A:$A,match($C634,'Year Conversion'!$B:$B,0)),$Y:$Y,0))-J634,"")</f>
        <v/>
      </c>
      <c r="AB634" s="168" t="str">
        <f t="array" ref="AB634">iferror(index(K:K,match($A634&amp;","&amp;index('Year Conversion'!$A:$A,match($C634,'Year Conversion'!$B:$B,0)),$Y:$Y,0))-K634,"")</f>
        <v/>
      </c>
      <c r="AC634" s="168" t="str">
        <f t="shared" si="7"/>
        <v>LAC,2014-15</v>
      </c>
    </row>
    <row r="635">
      <c r="A635" s="161" t="str">
        <f>IFERROR(__xludf.DUMMYFUNCTION("""COMPUTED_VALUE"""),"mcrobjo01")</f>
        <v>mcrobjo01</v>
      </c>
      <c r="B635" s="161" t="str">
        <f>IFERROR(__xludf.DUMMYFUNCTION("""COMPUTED_VALUE"""),"Josh McRoberts")</f>
        <v>Josh McRoberts</v>
      </c>
      <c r="C635" s="162" t="str">
        <f>IFERROR(__xludf.DUMMYFUNCTION("""COMPUTED_VALUE"""),"2014-15")</f>
        <v>2014-15</v>
      </c>
      <c r="D635" s="163" t="str">
        <f>IFERROR(__xludf.DUMMYFUNCTION("""COMPUTED_VALUE"""),"MIA")</f>
        <v>MIA</v>
      </c>
      <c r="E635" s="164" t="str">
        <f>IFERROR(__xludf.DUMMYFUNCTION("""COMPUTED_VALUE"""),"Athletic Finisher")</f>
        <v>Athletic Finisher</v>
      </c>
      <c r="F635" s="164">
        <f>IFERROR(__xludf.DUMMYFUNCTION("""COMPUTED_VALUE"""),295.893333333333)</f>
        <v>295.8933333</v>
      </c>
      <c r="G635" s="163">
        <f>IFERROR(__xludf.DUMMYFUNCTION("""COMPUTED_VALUE"""),17.0)</f>
        <v>17</v>
      </c>
      <c r="H635" s="163" t="str">
        <f>IFERROR(__xludf.DUMMYFUNCTION("""COMPUTED_VALUE"""),"PF")</f>
        <v>PF</v>
      </c>
      <c r="I635" s="163">
        <f>IFERROR(__xludf.DUMMYFUNCTION("""COMPUTED_VALUE"""),27.0)</f>
        <v>27</v>
      </c>
      <c r="J635" s="165">
        <f>IFERROR(__xludf.DUMMYFUNCTION("""COMPUTED_VALUE"""),-1.01977072575632)</f>
        <v>-1.019770726</v>
      </c>
      <c r="K635" s="165">
        <f>IFERROR(__xludf.DUMMYFUNCTION("""COMPUTED_VALUE"""),-1.21936090873625)</f>
        <v>-1.219360909</v>
      </c>
      <c r="L635" s="165">
        <f>IFERROR(__xludf.DUMMYFUNCTION("""COMPUTED_VALUE"""),0.199590182979927)</f>
        <v>0.199590183</v>
      </c>
      <c r="M635" s="166">
        <f t="shared" si="2"/>
        <v>0.2530299707</v>
      </c>
      <c r="N635" s="167">
        <f t="shared" si="3"/>
        <v>17.4054902</v>
      </c>
      <c r="O635" s="163">
        <f t="shared" ref="O635:Q635" si="639">rank(I635,I:I)</f>
        <v>1366</v>
      </c>
      <c r="P635" s="163">
        <f t="shared" si="639"/>
        <v>2524</v>
      </c>
      <c r="Q635" s="163">
        <f t="shared" si="639"/>
        <v>3051</v>
      </c>
      <c r="R635" s="163">
        <f>IFERROR(__xludf.DUMMYFUNCTION("RANK(M635,filter(M:M,C:C=C635))"),321.0)</f>
        <v>321</v>
      </c>
      <c r="S635" s="161" t="b">
        <f t="shared" si="5"/>
        <v>0</v>
      </c>
      <c r="T635" s="161" t="b">
        <f t="array" ref="T635">index('Query Tool'!B:B,match(H635,'Query Tool'!C:C,0))</f>
        <v>1</v>
      </c>
      <c r="U635" s="161" t="b">
        <f t="array" ref="U635">index('Query Tool'!B:B,match(C635,'Query Tool'!C:C,0))</f>
        <v>0</v>
      </c>
      <c r="V635" s="161" t="b">
        <f>F635&gt;='Query Tool'!C$32</f>
        <v>0</v>
      </c>
      <c r="W635" s="161" t="b">
        <f t="array" ref="W635">index(Dropdowns!B:B,match(I635,Dropdowns!A:A,0))</f>
        <v>1</v>
      </c>
      <c r="X635" s="161" t="b">
        <f t="array" ref="X635">index('Query Tool'!B:B,match(D635,'Query Tool'!C:C,0))</f>
        <v>1</v>
      </c>
      <c r="Y635" s="161" t="str">
        <f t="shared" si="6"/>
        <v>mcrobjo01,2014-15</v>
      </c>
      <c r="Z635" s="168">
        <f t="array" ref="Z635">iferror(index(I:I,match($A635&amp;","&amp;index('Year Conversion'!$A:$A,match($C635,'Year Conversion'!$B:$B,0)),$Y:$Y,0))-I635,"")</f>
        <v>1</v>
      </c>
      <c r="AA635" s="168">
        <f t="array" ref="AA635">iferror(index(J:J,match($A635&amp;","&amp;index('Year Conversion'!$A:$A,match($C635,'Year Conversion'!$B:$B,0)),$Y:$Y,0))-J635,"")</f>
        <v>0.7114992816</v>
      </c>
      <c r="AB635" s="168">
        <f t="array" ref="AB635">iferror(index(K:K,match($A635&amp;","&amp;index('Year Conversion'!$A:$A,match($C635,'Year Conversion'!$B:$B,0)),$Y:$Y,0))-K635,"")</f>
        <v>1.085188324</v>
      </c>
      <c r="AC635" s="168" t="str">
        <f t="shared" si="7"/>
        <v>MIA,2014-15</v>
      </c>
    </row>
    <row r="636">
      <c r="A636" s="161" t="str">
        <f>IFERROR(__xludf.DUMMYFUNCTION("""COMPUTED_VALUE"""),"gasolma01")</f>
        <v>gasolma01</v>
      </c>
      <c r="B636" s="161" t="str">
        <f>IFERROR(__xludf.DUMMYFUNCTION("""COMPUTED_VALUE"""),"Marc Gasol")</f>
        <v>Marc Gasol</v>
      </c>
      <c r="C636" s="162" t="str">
        <f>IFERROR(__xludf.DUMMYFUNCTION("""COMPUTED_VALUE"""),"2014-15")</f>
        <v>2014-15</v>
      </c>
      <c r="D636" s="163" t="str">
        <f>IFERROR(__xludf.DUMMYFUNCTION("""COMPUTED_VALUE"""),"MEM")</f>
        <v>MEM</v>
      </c>
      <c r="E636" s="164" t="str">
        <f>IFERROR(__xludf.DUMMYFUNCTION("""COMPUTED_VALUE"""),"Post Scorer")</f>
        <v>Post Scorer</v>
      </c>
      <c r="F636" s="164">
        <f>IFERROR(__xludf.DUMMYFUNCTION("""COMPUTED_VALUE"""),2687.03)</f>
        <v>2687.03</v>
      </c>
      <c r="G636" s="163">
        <f>IFERROR(__xludf.DUMMYFUNCTION("""COMPUTED_VALUE"""),81.0)</f>
        <v>81</v>
      </c>
      <c r="H636" s="163" t="str">
        <f>IFERROR(__xludf.DUMMYFUNCTION("""COMPUTED_VALUE"""),"C")</f>
        <v>C</v>
      </c>
      <c r="I636" s="163">
        <f>IFERROR(__xludf.DUMMYFUNCTION("""COMPUTED_VALUE"""),30.0)</f>
        <v>30</v>
      </c>
      <c r="J636" s="165">
        <f>IFERROR(__xludf.DUMMYFUNCTION("""COMPUTED_VALUE"""),3.56309186114164)</f>
        <v>3.563091861</v>
      </c>
      <c r="K636" s="165">
        <f>IFERROR(__xludf.DUMMYFUNCTION("""COMPUTED_VALUE"""),1.54373699375402)</f>
        <v>1.543736994</v>
      </c>
      <c r="L636" s="165">
        <f>IFERROR(__xludf.DUMMYFUNCTION("""COMPUTED_VALUE"""),2.01935486738762)</f>
        <v>2.019354867</v>
      </c>
      <c r="M636" s="166">
        <f t="shared" si="2"/>
        <v>10.48580191</v>
      </c>
      <c r="N636" s="167">
        <f t="shared" si="3"/>
        <v>33.17320988</v>
      </c>
      <c r="O636" s="163">
        <f t="shared" ref="O636:Q636" si="640">rank(I636,I:I)</f>
        <v>655</v>
      </c>
      <c r="P636" s="163">
        <f t="shared" si="640"/>
        <v>128</v>
      </c>
      <c r="Q636" s="163">
        <f t="shared" si="640"/>
        <v>305</v>
      </c>
      <c r="R636" s="163">
        <f>IFERROR(__xludf.DUMMYFUNCTION("RANK(M636,filter(M:M,C:C=C636))"),11.0)</f>
        <v>11</v>
      </c>
      <c r="S636" s="161" t="b">
        <f t="shared" si="5"/>
        <v>0</v>
      </c>
      <c r="T636" s="161" t="b">
        <f t="array" ref="T636">index('Query Tool'!B:B,match(H636,'Query Tool'!C:C,0))</f>
        <v>1</v>
      </c>
      <c r="U636" s="161" t="b">
        <f t="array" ref="U636">index('Query Tool'!B:B,match(C636,'Query Tool'!C:C,0))</f>
        <v>0</v>
      </c>
      <c r="V636" s="161" t="b">
        <f>F636&gt;='Query Tool'!C$32</f>
        <v>1</v>
      </c>
      <c r="W636" s="161" t="b">
        <f t="array" ref="W636">index(Dropdowns!B:B,match(I636,Dropdowns!A:A,0))</f>
        <v>1</v>
      </c>
      <c r="X636" s="161" t="b">
        <f t="array" ref="X636">index('Query Tool'!B:B,match(D636,'Query Tool'!C:C,0))</f>
        <v>1</v>
      </c>
      <c r="Y636" s="161" t="str">
        <f t="shared" si="6"/>
        <v>gasolma01,2014-15</v>
      </c>
      <c r="Z636" s="168">
        <f t="array" ref="Z636">iferror(index(I:I,match($A636&amp;","&amp;index('Year Conversion'!$A:$A,match($C636,'Year Conversion'!$B:$B,0)),$Y:$Y,0))-I636,"")</f>
        <v>1</v>
      </c>
      <c r="AA636" s="168">
        <f t="array" ref="AA636">iferror(index(J:J,match($A636&amp;","&amp;index('Year Conversion'!$A:$A,match($C636,'Year Conversion'!$B:$B,0)),$Y:$Y,0))-J636,"")</f>
        <v>-2.668054962</v>
      </c>
      <c r="AB636" s="168">
        <f t="array" ref="AB636">iferror(index(K:K,match($A636&amp;","&amp;index('Year Conversion'!$A:$A,match($C636,'Year Conversion'!$B:$B,0)),$Y:$Y,0))-K636,"")</f>
        <v>-2.309175735</v>
      </c>
      <c r="AC636" s="168" t="str">
        <f t="shared" si="7"/>
        <v>MEM,2014-15</v>
      </c>
    </row>
    <row r="637">
      <c r="A637" s="161" t="str">
        <f>IFERROR(__xludf.DUMMYFUNCTION("""COMPUTED_VALUE"""),"sessira01")</f>
        <v>sessira01</v>
      </c>
      <c r="B637" s="161" t="str">
        <f>IFERROR(__xludf.DUMMYFUNCTION("""COMPUTED_VALUE"""),"Ramon Sessions")</f>
        <v>Ramon Sessions</v>
      </c>
      <c r="C637" s="162" t="str">
        <f>IFERROR(__xludf.DUMMYFUNCTION("""COMPUTED_VALUE"""),"2014-15")</f>
        <v>2014-15</v>
      </c>
      <c r="D637" s="163" t="str">
        <f>IFERROR(__xludf.DUMMYFUNCTION("""COMPUTED_VALUE"""),"TOT")</f>
        <v>TOT</v>
      </c>
      <c r="E637" s="164" t="str">
        <f>IFERROR(__xludf.DUMMYFUNCTION("""COMPUTED_VALUE"""),"Slasher")</f>
        <v>Slasher</v>
      </c>
      <c r="F637" s="164">
        <f>IFERROR(__xludf.DUMMYFUNCTION("""COMPUTED_VALUE"""),1188.07333333333)</f>
        <v>1188.073333</v>
      </c>
      <c r="G637" s="163">
        <f>IFERROR(__xludf.DUMMYFUNCTION("""COMPUTED_VALUE"""),64.0)</f>
        <v>64</v>
      </c>
      <c r="H637" s="163" t="str">
        <f>IFERROR(__xludf.DUMMYFUNCTION("""COMPUTED_VALUE"""),"PG")</f>
        <v>PG</v>
      </c>
      <c r="I637" s="163">
        <f>IFERROR(__xludf.DUMMYFUNCTION("""COMPUTED_VALUE"""),28.0)</f>
        <v>28</v>
      </c>
      <c r="J637" s="165">
        <f>IFERROR(__xludf.DUMMYFUNCTION("""COMPUTED_VALUE"""),-2.36993412640052)</f>
        <v>-2.369934126</v>
      </c>
      <c r="K637" s="165">
        <f>IFERROR(__xludf.DUMMYFUNCTION("""COMPUTED_VALUE"""),-1.83610255495895)</f>
        <v>-1.836102555</v>
      </c>
      <c r="L637" s="165">
        <f>IFERROR(__xludf.DUMMYFUNCTION("""COMPUTED_VALUE"""),-0.533831571441568)</f>
        <v>-0.5338315714</v>
      </c>
      <c r="M637" s="166">
        <f t="shared" si="2"/>
        <v>-0.05199899566</v>
      </c>
      <c r="N637" s="167">
        <f t="shared" si="3"/>
        <v>18.56364583</v>
      </c>
      <c r="O637" s="163">
        <f t="shared" ref="O637:Q637" si="641">rank(I637,I:I)</f>
        <v>1090</v>
      </c>
      <c r="P637" s="163">
        <f t="shared" si="641"/>
        <v>3693</v>
      </c>
      <c r="Q637" s="163">
        <f t="shared" si="641"/>
        <v>3597</v>
      </c>
      <c r="R637" s="163">
        <f>IFERROR(__xludf.DUMMYFUNCTION("RANK(M637,filter(M:M,C:C=C637))"),448.0)</f>
        <v>448</v>
      </c>
      <c r="S637" s="161" t="b">
        <f t="shared" si="5"/>
        <v>0</v>
      </c>
      <c r="T637" s="161" t="b">
        <f t="array" ref="T637">index('Query Tool'!B:B,match(H637,'Query Tool'!C:C,0))</f>
        <v>1</v>
      </c>
      <c r="U637" s="161" t="b">
        <f t="array" ref="U637">index('Query Tool'!B:B,match(C637,'Query Tool'!C:C,0))</f>
        <v>0</v>
      </c>
      <c r="V637" s="161" t="b">
        <f>F637&gt;='Query Tool'!C$32</f>
        <v>1</v>
      </c>
      <c r="W637" s="161" t="b">
        <f t="array" ref="W637">index(Dropdowns!B:B,match(I637,Dropdowns!A:A,0))</f>
        <v>1</v>
      </c>
      <c r="X637" s="161" t="b">
        <f t="array" ref="X637">index('Query Tool'!B:B,match(D637,'Query Tool'!C:C,0))</f>
        <v>1</v>
      </c>
      <c r="Y637" s="161" t="str">
        <f t="shared" si="6"/>
        <v>sessira01,2014-15</v>
      </c>
      <c r="Z637" s="168">
        <f t="array" ref="Z637">iferror(index(I:I,match($A637&amp;","&amp;index('Year Conversion'!$A:$A,match($C637,'Year Conversion'!$B:$B,0)),$Y:$Y,0))-I637,"")</f>
        <v>1</v>
      </c>
      <c r="AA637" s="168">
        <f t="array" ref="AA637">iferror(index(J:J,match($A637&amp;","&amp;index('Year Conversion'!$A:$A,match($C637,'Year Conversion'!$B:$B,0)),$Y:$Y,0))-J637,"")</f>
        <v>1.021584856</v>
      </c>
      <c r="AB637" s="168">
        <f t="array" ref="AB637">iferror(index(K:K,match($A637&amp;","&amp;index('Year Conversion'!$A:$A,match($C637,'Year Conversion'!$B:$B,0)),$Y:$Y,0))-K637,"")</f>
        <v>2.356038177</v>
      </c>
      <c r="AC637" s="168" t="str">
        <f t="shared" si="7"/>
        <v>TOT,2014-15</v>
      </c>
    </row>
    <row r="638">
      <c r="A638" s="161" t="str">
        <f>IFERROR(__xludf.DUMMYFUNCTION("""COMPUTED_VALUE"""),"anthojo01")</f>
        <v>anthojo01</v>
      </c>
      <c r="B638" s="161" t="str">
        <f>IFERROR(__xludf.DUMMYFUNCTION("""COMPUTED_VALUE"""),"Joel Anthony")</f>
        <v>Joel Anthony</v>
      </c>
      <c r="C638" s="162" t="str">
        <f>IFERROR(__xludf.DUMMYFUNCTION("""COMPUTED_VALUE"""),"2014-15")</f>
        <v>2014-15</v>
      </c>
      <c r="D638" s="163" t="str">
        <f>IFERROR(__xludf.DUMMYFUNCTION("""COMPUTED_VALUE"""),"DET")</f>
        <v>DET</v>
      </c>
      <c r="E638" s="164" t="str">
        <f>IFERROR(__xludf.DUMMYFUNCTION("""COMPUTED_VALUE"""),"Roll + Cut Big")</f>
        <v>Roll + Cut Big</v>
      </c>
      <c r="F638" s="164">
        <f>IFERROR(__xludf.DUMMYFUNCTION("""COMPUTED_VALUE"""),406.44)</f>
        <v>406.44</v>
      </c>
      <c r="G638" s="163">
        <f>IFERROR(__xludf.DUMMYFUNCTION("""COMPUTED_VALUE"""),49.0)</f>
        <v>49</v>
      </c>
      <c r="H638" s="163" t="str">
        <f>IFERROR(__xludf.DUMMYFUNCTION("""COMPUTED_VALUE"""),"C")</f>
        <v>C</v>
      </c>
      <c r="I638" s="163">
        <f>IFERROR(__xludf.DUMMYFUNCTION("""COMPUTED_VALUE"""),32.0)</f>
        <v>32</v>
      </c>
      <c r="J638" s="165">
        <f>IFERROR(__xludf.DUMMYFUNCTION("""COMPUTED_VALUE"""),0.693430878011174)</f>
        <v>0.693430878</v>
      </c>
      <c r="K638" s="165">
        <f>IFERROR(__xludf.DUMMYFUNCTION("""COMPUTED_VALUE"""),-2.59719957179563)</f>
        <v>-2.597199572</v>
      </c>
      <c r="L638" s="165">
        <f>IFERROR(__xludf.DUMMYFUNCTION("""COMPUTED_VALUE"""),3.29063044980681)</f>
        <v>3.29063045</v>
      </c>
      <c r="M638" s="166">
        <f t="shared" si="2"/>
        <v>0.8164805168</v>
      </c>
      <c r="N638" s="167">
        <f t="shared" si="3"/>
        <v>8.294693878</v>
      </c>
      <c r="O638" s="163">
        <f t="shared" ref="O638:Q638" si="642">rank(I638,I:I)</f>
        <v>359</v>
      </c>
      <c r="P638" s="163">
        <f t="shared" si="642"/>
        <v>802</v>
      </c>
      <c r="Q638" s="163">
        <f t="shared" si="642"/>
        <v>3914</v>
      </c>
      <c r="R638" s="163">
        <f>IFERROR(__xludf.DUMMYFUNCTION("RANK(M638,filter(M:M,C:C=C638))"),247.0)</f>
        <v>247</v>
      </c>
      <c r="S638" s="161" t="b">
        <f t="shared" si="5"/>
        <v>0</v>
      </c>
      <c r="T638" s="161" t="b">
        <f t="array" ref="T638">index('Query Tool'!B:B,match(H638,'Query Tool'!C:C,0))</f>
        <v>1</v>
      </c>
      <c r="U638" s="161" t="b">
        <f t="array" ref="U638">index('Query Tool'!B:B,match(C638,'Query Tool'!C:C,0))</f>
        <v>0</v>
      </c>
      <c r="V638" s="161" t="b">
        <f>F638&gt;='Query Tool'!C$32</f>
        <v>0</v>
      </c>
      <c r="W638" s="161" t="b">
        <f t="array" ref="W638">index(Dropdowns!B:B,match(I638,Dropdowns!A:A,0))</f>
        <v>1</v>
      </c>
      <c r="X638" s="161" t="b">
        <f t="array" ref="X638">index('Query Tool'!B:B,match(D638,'Query Tool'!C:C,0))</f>
        <v>1</v>
      </c>
      <c r="Y638" s="161" t="str">
        <f t="shared" si="6"/>
        <v>anthojo01,2014-15</v>
      </c>
      <c r="Z638" s="168">
        <f t="array" ref="Z638">iferror(index(I:I,match($A638&amp;","&amp;index('Year Conversion'!$A:$A,match($C638,'Year Conversion'!$B:$B,0)),$Y:$Y,0))-I638,"")</f>
        <v>1</v>
      </c>
      <c r="AA638" s="168">
        <f t="array" ref="AA638">iferror(index(J:J,match($A638&amp;","&amp;index('Year Conversion'!$A:$A,match($C638,'Year Conversion'!$B:$B,0)),$Y:$Y,0))-J638,"")</f>
        <v>-0.5753187918</v>
      </c>
      <c r="AB638" s="168">
        <f t="array" ref="AB638">iferror(index(K:K,match($A638&amp;","&amp;index('Year Conversion'!$A:$A,match($C638,'Year Conversion'!$B:$B,0)),$Y:$Y,0))-K638,"")</f>
        <v>2.002281723</v>
      </c>
      <c r="AC638" s="168" t="str">
        <f t="shared" si="7"/>
        <v>DET,2014-15</v>
      </c>
    </row>
    <row r="639">
      <c r="A639" s="161" t="str">
        <f>IFERROR(__xludf.DUMMYFUNCTION("""COMPUTED_VALUE"""),"watsocj01")</f>
        <v>watsocj01</v>
      </c>
      <c r="B639" s="161" t="str">
        <f>IFERROR(__xludf.DUMMYFUNCTION("""COMPUTED_VALUE"""),"C.J. Watson")</f>
        <v>C.J. Watson</v>
      </c>
      <c r="C639" s="162" t="str">
        <f>IFERROR(__xludf.DUMMYFUNCTION("""COMPUTED_VALUE"""),"2014-15")</f>
        <v>2014-15</v>
      </c>
      <c r="D639" s="163" t="str">
        <f>IFERROR(__xludf.DUMMYFUNCTION("""COMPUTED_VALUE"""),"IND")</f>
        <v>IND</v>
      </c>
      <c r="E639" s="164" t="str">
        <f>IFERROR(__xludf.DUMMYFUNCTION("""COMPUTED_VALUE"""),"Primary Ball Handler")</f>
        <v>Primary Ball Handler</v>
      </c>
      <c r="F639" s="164">
        <f>IFERROR(__xludf.DUMMYFUNCTION("""COMPUTED_VALUE"""),1421.95166666667)</f>
        <v>1421.951667</v>
      </c>
      <c r="G639" s="163">
        <f>IFERROR(__xludf.DUMMYFUNCTION("""COMPUTED_VALUE"""),57.0)</f>
        <v>57</v>
      </c>
      <c r="H639" s="163" t="str">
        <f>IFERROR(__xludf.DUMMYFUNCTION("""COMPUTED_VALUE"""),"PG")</f>
        <v>PG</v>
      </c>
      <c r="I639" s="163">
        <f>IFERROR(__xludf.DUMMYFUNCTION("""COMPUTED_VALUE"""),30.0)</f>
        <v>30</v>
      </c>
      <c r="J639" s="165">
        <f>IFERROR(__xludf.DUMMYFUNCTION("""COMPUTED_VALUE"""),0.221149505037586)</f>
        <v>0.221149505</v>
      </c>
      <c r="K639" s="165">
        <f>IFERROR(__xludf.DUMMYFUNCTION("""COMPUTED_VALUE"""),0.250256012626013)</f>
        <v>0.2502560126</v>
      </c>
      <c r="L639" s="165">
        <f>IFERROR(__xludf.DUMMYFUNCTION("""COMPUTED_VALUE"""),-0.0291065075884272)</f>
        <v>-0.02910650759</v>
      </c>
      <c r="M639" s="166">
        <f t="shared" si="2"/>
        <v>2.404169447</v>
      </c>
      <c r="N639" s="167">
        <f t="shared" si="3"/>
        <v>24.94652047</v>
      </c>
      <c r="O639" s="163">
        <f t="shared" ref="O639:Q639" si="643">rank(I639,I:I)</f>
        <v>655</v>
      </c>
      <c r="P639" s="163">
        <f t="shared" si="643"/>
        <v>1072</v>
      </c>
      <c r="Q639" s="163">
        <f t="shared" si="643"/>
        <v>947</v>
      </c>
      <c r="R639" s="163">
        <f>IFERROR(__xludf.DUMMYFUNCTION("RANK(M639,filter(M:M,C:C=C639))"),145.0)</f>
        <v>145</v>
      </c>
      <c r="S639" s="161" t="b">
        <f t="shared" si="5"/>
        <v>0</v>
      </c>
      <c r="T639" s="161" t="b">
        <f t="array" ref="T639">index('Query Tool'!B:B,match(H639,'Query Tool'!C:C,0))</f>
        <v>1</v>
      </c>
      <c r="U639" s="161" t="b">
        <f t="array" ref="U639">index('Query Tool'!B:B,match(C639,'Query Tool'!C:C,0))</f>
        <v>0</v>
      </c>
      <c r="V639" s="161" t="b">
        <f>F639&gt;='Query Tool'!C$32</f>
        <v>1</v>
      </c>
      <c r="W639" s="161" t="b">
        <f t="array" ref="W639">index(Dropdowns!B:B,match(I639,Dropdowns!A:A,0))</f>
        <v>1</v>
      </c>
      <c r="X639" s="161" t="b">
        <f t="array" ref="X639">index('Query Tool'!B:B,match(D639,'Query Tool'!C:C,0))</f>
        <v>1</v>
      </c>
      <c r="Y639" s="161" t="str">
        <f t="shared" si="6"/>
        <v>watsocj01,2014-15</v>
      </c>
      <c r="Z639" s="168">
        <f t="array" ref="Z639">iferror(index(I:I,match($A639&amp;","&amp;index('Year Conversion'!$A:$A,match($C639,'Year Conversion'!$B:$B,0)),$Y:$Y,0))-I639,"")</f>
        <v>1</v>
      </c>
      <c r="AA639" s="168">
        <f t="array" ref="AA639">iferror(index(J:J,match($A639&amp;","&amp;index('Year Conversion'!$A:$A,match($C639,'Year Conversion'!$B:$B,0)),$Y:$Y,0))-J639,"")</f>
        <v>-1.872686928</v>
      </c>
      <c r="AB639" s="168">
        <f t="array" ref="AB639">iferror(index(K:K,match($A639&amp;","&amp;index('Year Conversion'!$A:$A,match($C639,'Year Conversion'!$B:$B,0)),$Y:$Y,0))-K639,"")</f>
        <v>-0.9277330586</v>
      </c>
      <c r="AC639" s="168" t="str">
        <f t="shared" si="7"/>
        <v>IND,2014-15</v>
      </c>
    </row>
    <row r="640">
      <c r="A640" s="161" t="str">
        <f>IFERROR(__xludf.DUMMYFUNCTION("""COMPUTED_VALUE"""),"tollian01")</f>
        <v>tollian01</v>
      </c>
      <c r="B640" s="161" t="str">
        <f>IFERROR(__xludf.DUMMYFUNCTION("""COMPUTED_VALUE"""),"Anthony Tolliver")</f>
        <v>Anthony Tolliver</v>
      </c>
      <c r="C640" s="162" t="str">
        <f>IFERROR(__xludf.DUMMYFUNCTION("""COMPUTED_VALUE"""),"2014-15")</f>
        <v>2014-15</v>
      </c>
      <c r="D640" s="163" t="str">
        <f>IFERROR(__xludf.DUMMYFUNCTION("""COMPUTED_VALUE"""),"TOT")</f>
        <v>TOT</v>
      </c>
      <c r="E640" s="164" t="str">
        <f>IFERROR(__xludf.DUMMYFUNCTION("""COMPUTED_VALUE"""),"Movement Shooter")</f>
        <v>Movement Shooter</v>
      </c>
      <c r="F640" s="164">
        <f>IFERROR(__xludf.DUMMYFUNCTION("""COMPUTED_VALUE"""),1432.785)</f>
        <v>1432.785</v>
      </c>
      <c r="G640" s="163">
        <f>IFERROR(__xludf.DUMMYFUNCTION("""COMPUTED_VALUE"""),76.0)</f>
        <v>76</v>
      </c>
      <c r="H640" s="163" t="str">
        <f>IFERROR(__xludf.DUMMYFUNCTION("""COMPUTED_VALUE"""),"PF")</f>
        <v>PF</v>
      </c>
      <c r="I640" s="163">
        <f>IFERROR(__xludf.DUMMYFUNCTION("""COMPUTED_VALUE"""),29.0)</f>
        <v>29</v>
      </c>
      <c r="J640" s="165">
        <f>IFERROR(__xludf.DUMMYFUNCTION("""COMPUTED_VALUE"""),0.282960190717835)</f>
        <v>0.2829601907</v>
      </c>
      <c r="K640" s="165">
        <f>IFERROR(__xludf.DUMMYFUNCTION("""COMPUTED_VALUE"""),0.5525364848648)</f>
        <v>0.5525364849</v>
      </c>
      <c r="L640" s="165">
        <f>IFERROR(__xludf.DUMMYFUNCTION("""COMPUTED_VALUE"""),-0.269576294146966)</f>
        <v>-0.2695762941</v>
      </c>
      <c r="M640" s="166">
        <f t="shared" si="2"/>
        <v>2.482177265</v>
      </c>
      <c r="N640" s="167">
        <f t="shared" si="3"/>
        <v>18.85243421</v>
      </c>
      <c r="O640" s="163">
        <f t="shared" ref="O640:Q640" si="644">rank(I640,I:I)</f>
        <v>855</v>
      </c>
      <c r="P640" s="163">
        <f t="shared" si="644"/>
        <v>1030</v>
      </c>
      <c r="Q640" s="163">
        <f t="shared" si="644"/>
        <v>740</v>
      </c>
      <c r="R640" s="163">
        <f>IFERROR(__xludf.DUMMYFUNCTION("RANK(M640,filter(M:M,C:C=C640))"),140.0)</f>
        <v>140</v>
      </c>
      <c r="S640" s="161" t="b">
        <f t="shared" si="5"/>
        <v>0</v>
      </c>
      <c r="T640" s="161" t="b">
        <f t="array" ref="T640">index('Query Tool'!B:B,match(H640,'Query Tool'!C:C,0))</f>
        <v>1</v>
      </c>
      <c r="U640" s="161" t="b">
        <f t="array" ref="U640">index('Query Tool'!B:B,match(C640,'Query Tool'!C:C,0))</f>
        <v>0</v>
      </c>
      <c r="V640" s="161" t="b">
        <f>F640&gt;='Query Tool'!C$32</f>
        <v>1</v>
      </c>
      <c r="W640" s="161" t="b">
        <f t="array" ref="W640">index(Dropdowns!B:B,match(I640,Dropdowns!A:A,0))</f>
        <v>1</v>
      </c>
      <c r="X640" s="161" t="b">
        <f t="array" ref="X640">index('Query Tool'!B:B,match(D640,'Query Tool'!C:C,0))</f>
        <v>1</v>
      </c>
      <c r="Y640" s="161" t="str">
        <f t="shared" si="6"/>
        <v>tollian01,2014-15</v>
      </c>
      <c r="Z640" s="168">
        <f t="array" ref="Z640">iferror(index(I:I,match($A640&amp;","&amp;index('Year Conversion'!$A:$A,match($C640,'Year Conversion'!$B:$B,0)),$Y:$Y,0))-I640,"")</f>
        <v>1</v>
      </c>
      <c r="AA640" s="168">
        <f t="array" ref="AA640">iferror(index(J:J,match($A640&amp;","&amp;index('Year Conversion'!$A:$A,match($C640,'Year Conversion'!$B:$B,0)),$Y:$Y,0))-J640,"")</f>
        <v>0.1640362684</v>
      </c>
      <c r="AB640" s="168">
        <f t="array" ref="AB640">iferror(index(K:K,match($A640&amp;","&amp;index('Year Conversion'!$A:$A,match($C640,'Year Conversion'!$B:$B,0)),$Y:$Y,0))-K640,"")</f>
        <v>-0.52712839</v>
      </c>
      <c r="AC640" s="168" t="str">
        <f t="shared" si="7"/>
        <v>TOT,2014-15</v>
      </c>
    </row>
    <row r="641">
      <c r="A641" s="161" t="str">
        <f>IFERROR(__xludf.DUMMYFUNCTION("""COMPUTED_VALUE"""),"beaslmi01")</f>
        <v>beaslmi01</v>
      </c>
      <c r="B641" s="161" t="str">
        <f>IFERROR(__xludf.DUMMYFUNCTION("""COMPUTED_VALUE"""),"Michael Beasley")</f>
        <v>Michael Beasley</v>
      </c>
      <c r="C641" s="162" t="str">
        <f>IFERROR(__xludf.DUMMYFUNCTION("""COMPUTED_VALUE"""),"2014-15")</f>
        <v>2014-15</v>
      </c>
      <c r="D641" s="163" t="str">
        <f>IFERROR(__xludf.DUMMYFUNCTION("""COMPUTED_VALUE"""),"MIA")</f>
        <v>MIA</v>
      </c>
      <c r="E641" s="164" t="str">
        <f>IFERROR(__xludf.DUMMYFUNCTION("""COMPUTED_VALUE"""),"Roll + Cut Big")</f>
        <v>Roll + Cut Big</v>
      </c>
      <c r="F641" s="164">
        <f>IFERROR(__xludf.DUMMYFUNCTION("""COMPUTED_VALUE"""),504.805)</f>
        <v>504.805</v>
      </c>
      <c r="G641" s="163">
        <f>IFERROR(__xludf.DUMMYFUNCTION("""COMPUTED_VALUE"""),24.0)</f>
        <v>24</v>
      </c>
      <c r="H641" s="163" t="str">
        <f>IFERROR(__xludf.DUMMYFUNCTION("""COMPUTED_VALUE"""),"PF")</f>
        <v>PF</v>
      </c>
      <c r="I641" s="163">
        <f>IFERROR(__xludf.DUMMYFUNCTION("""COMPUTED_VALUE"""),26.0)</f>
        <v>26</v>
      </c>
      <c r="J641" s="165">
        <f>IFERROR(__xludf.DUMMYFUNCTION("""COMPUTED_VALUE"""),-2.05499926336311)</f>
        <v>-2.054999263</v>
      </c>
      <c r="K641" s="165">
        <f>IFERROR(__xludf.DUMMYFUNCTION("""COMPUTED_VALUE"""),-1.94521186109749)</f>
        <v>-1.945211861</v>
      </c>
      <c r="L641" s="165">
        <f>IFERROR(__xludf.DUMMYFUNCTION("""COMPUTED_VALUE"""),-0.109787402265623)</f>
        <v>-0.1097874023</v>
      </c>
      <c r="M641" s="166">
        <f t="shared" si="2"/>
        <v>0.08292848759</v>
      </c>
      <c r="N641" s="167">
        <f t="shared" si="3"/>
        <v>21.03354167</v>
      </c>
      <c r="O641" s="163">
        <f t="shared" ref="O641:Q641" si="645">rank(I641,I:I)</f>
        <v>1665</v>
      </c>
      <c r="P641" s="163">
        <f t="shared" si="645"/>
        <v>3521</v>
      </c>
      <c r="Q641" s="163">
        <f t="shared" si="645"/>
        <v>3681</v>
      </c>
      <c r="R641" s="163">
        <f>IFERROR(__xludf.DUMMYFUNCTION("RANK(M641,filter(M:M,C:C=C641))"),392.0)</f>
        <v>392</v>
      </c>
      <c r="S641" s="161" t="b">
        <f t="shared" si="5"/>
        <v>0</v>
      </c>
      <c r="T641" s="161" t="b">
        <f t="array" ref="T641">index('Query Tool'!B:B,match(H641,'Query Tool'!C:C,0))</f>
        <v>1</v>
      </c>
      <c r="U641" s="161" t="b">
        <f t="array" ref="U641">index('Query Tool'!B:B,match(C641,'Query Tool'!C:C,0))</f>
        <v>0</v>
      </c>
      <c r="V641" s="161" t="b">
        <f>F641&gt;='Query Tool'!C$32</f>
        <v>1</v>
      </c>
      <c r="W641" s="161" t="b">
        <f t="array" ref="W641">index(Dropdowns!B:B,match(I641,Dropdowns!A:A,0))</f>
        <v>1</v>
      </c>
      <c r="X641" s="161" t="b">
        <f t="array" ref="X641">index('Query Tool'!B:B,match(D641,'Query Tool'!C:C,0))</f>
        <v>1</v>
      </c>
      <c r="Y641" s="161" t="str">
        <f t="shared" si="6"/>
        <v>beaslmi01,2014-15</v>
      </c>
      <c r="Z641" s="168">
        <f t="array" ref="Z641">iferror(index(I:I,match($A641&amp;","&amp;index('Year Conversion'!$A:$A,match($C641,'Year Conversion'!$B:$B,0)),$Y:$Y,0))-I641,"")</f>
        <v>1</v>
      </c>
      <c r="AA641" s="168">
        <f t="array" ref="AA641">iferror(index(J:J,match($A641&amp;","&amp;index('Year Conversion'!$A:$A,match($C641,'Year Conversion'!$B:$B,0)),$Y:$Y,0))-J641,"")</f>
        <v>0.6308670037</v>
      </c>
      <c r="AB641" s="168">
        <f t="array" ref="AB641">iferror(index(K:K,match($A641&amp;","&amp;index('Year Conversion'!$A:$A,match($C641,'Year Conversion'!$B:$B,0)),$Y:$Y,0))-K641,"")</f>
        <v>2.04579723</v>
      </c>
      <c r="AC641" s="168" t="str">
        <f t="shared" si="7"/>
        <v>MIA,2014-15</v>
      </c>
    </row>
    <row r="642">
      <c r="A642" s="161" t="str">
        <f>IFERROR(__xludf.DUMMYFUNCTION("""COMPUTED_VALUE"""),"mayooj01")</f>
        <v>mayooj01</v>
      </c>
      <c r="B642" s="161" t="str">
        <f>IFERROR(__xludf.DUMMYFUNCTION("""COMPUTED_VALUE"""),"O.J. Mayo")</f>
        <v>O.J. Mayo</v>
      </c>
      <c r="C642" s="162" t="str">
        <f>IFERROR(__xludf.DUMMYFUNCTION("""COMPUTED_VALUE"""),"2014-15")</f>
        <v>2014-15</v>
      </c>
      <c r="D642" s="163" t="str">
        <f>IFERROR(__xludf.DUMMYFUNCTION("""COMPUTED_VALUE"""),"MIL")</f>
        <v>MIL</v>
      </c>
      <c r="E642" s="164" t="str">
        <f>IFERROR(__xludf.DUMMYFUNCTION("""COMPUTED_VALUE"""),"Movement Shooter")</f>
        <v>Movement Shooter</v>
      </c>
      <c r="F642" s="164">
        <f>IFERROR(__xludf.DUMMYFUNCTION("""COMPUTED_VALUE"""),1697.365)</f>
        <v>1697.365</v>
      </c>
      <c r="G642" s="163">
        <f>IFERROR(__xludf.DUMMYFUNCTION("""COMPUTED_VALUE"""),71.0)</f>
        <v>71</v>
      </c>
      <c r="H642" s="163" t="str">
        <f>IFERROR(__xludf.DUMMYFUNCTION("""COMPUTED_VALUE"""),"SG")</f>
        <v>SG</v>
      </c>
      <c r="I642" s="163">
        <f>IFERROR(__xludf.DUMMYFUNCTION("""COMPUTED_VALUE"""),27.0)</f>
        <v>27</v>
      </c>
      <c r="J642" s="165">
        <f>IFERROR(__xludf.DUMMYFUNCTION("""COMPUTED_VALUE"""),-2.23587996121059)</f>
        <v>-2.235879961</v>
      </c>
      <c r="K642" s="165">
        <f>IFERROR(__xludf.DUMMYFUNCTION("""COMPUTED_VALUE"""),-0.257911355373073)</f>
        <v>-0.2579113554</v>
      </c>
      <c r="L642" s="165">
        <f>IFERROR(__xludf.DUMMYFUNCTION("""COMPUTED_VALUE"""),-1.97796860583752)</f>
        <v>-1.977968606</v>
      </c>
      <c r="M642" s="166">
        <f t="shared" si="2"/>
        <v>0.07577275101</v>
      </c>
      <c r="N642" s="167">
        <f t="shared" si="3"/>
        <v>23.9065493</v>
      </c>
      <c r="O642" s="163">
        <f t="shared" ref="O642:Q642" si="646">rank(I642,I:I)</f>
        <v>1366</v>
      </c>
      <c r="P642" s="163">
        <f t="shared" si="646"/>
        <v>3624</v>
      </c>
      <c r="Q642" s="163">
        <f t="shared" si="646"/>
        <v>1687</v>
      </c>
      <c r="R642" s="163">
        <f>IFERROR(__xludf.DUMMYFUNCTION("RANK(M642,filter(M:M,C:C=C642))"),394.0)</f>
        <v>394</v>
      </c>
      <c r="S642" s="161" t="b">
        <f t="shared" si="5"/>
        <v>0</v>
      </c>
      <c r="T642" s="161" t="b">
        <f t="array" ref="T642">index('Query Tool'!B:B,match(H642,'Query Tool'!C:C,0))</f>
        <v>1</v>
      </c>
      <c r="U642" s="161" t="b">
        <f t="array" ref="U642">index('Query Tool'!B:B,match(C642,'Query Tool'!C:C,0))</f>
        <v>0</v>
      </c>
      <c r="V642" s="161" t="b">
        <f>F642&gt;='Query Tool'!C$32</f>
        <v>1</v>
      </c>
      <c r="W642" s="161" t="b">
        <f t="array" ref="W642">index(Dropdowns!B:B,match(I642,Dropdowns!A:A,0))</f>
        <v>1</v>
      </c>
      <c r="X642" s="161" t="b">
        <f t="array" ref="X642">index('Query Tool'!B:B,match(D642,'Query Tool'!C:C,0))</f>
        <v>1</v>
      </c>
      <c r="Y642" s="161" t="str">
        <f t="shared" si="6"/>
        <v>mayooj01,2014-15</v>
      </c>
      <c r="Z642" s="168">
        <f t="array" ref="Z642">iferror(index(I:I,match($A642&amp;","&amp;index('Year Conversion'!$A:$A,match($C642,'Year Conversion'!$B:$B,0)),$Y:$Y,0))-I642,"")</f>
        <v>1</v>
      </c>
      <c r="AA642" s="168">
        <f t="array" ref="AA642">iferror(index(J:J,match($A642&amp;","&amp;index('Year Conversion'!$A:$A,match($C642,'Year Conversion'!$B:$B,0)),$Y:$Y,0))-J642,"")</f>
        <v>0.6040620987</v>
      </c>
      <c r="AB642" s="168">
        <f t="array" ref="AB642">iferror(index(K:K,match($A642&amp;","&amp;index('Year Conversion'!$A:$A,match($C642,'Year Conversion'!$B:$B,0)),$Y:$Y,0))-K642,"")</f>
        <v>-1.333155842</v>
      </c>
      <c r="AC642" s="168" t="str">
        <f t="shared" si="7"/>
        <v>MIL,2014-15</v>
      </c>
    </row>
    <row r="643">
      <c r="A643" s="161" t="str">
        <f>IFERROR(__xludf.DUMMYFUNCTION("""COMPUTED_VALUE"""),"rosede01")</f>
        <v>rosede01</v>
      </c>
      <c r="B643" s="161" t="str">
        <f>IFERROR(__xludf.DUMMYFUNCTION("""COMPUTED_VALUE"""),"Derrick Rose")</f>
        <v>Derrick Rose</v>
      </c>
      <c r="C643" s="162" t="str">
        <f>IFERROR(__xludf.DUMMYFUNCTION("""COMPUTED_VALUE"""),"2014-15")</f>
        <v>2014-15</v>
      </c>
      <c r="D643" s="163" t="str">
        <f>IFERROR(__xludf.DUMMYFUNCTION("""COMPUTED_VALUE"""),"CHI")</f>
        <v>CHI</v>
      </c>
      <c r="E643" s="164" t="str">
        <f>IFERROR(__xludf.DUMMYFUNCTION("""COMPUTED_VALUE"""),"Primary Ball Handler")</f>
        <v>Primary Ball Handler</v>
      </c>
      <c r="F643" s="164">
        <f>IFERROR(__xludf.DUMMYFUNCTION("""COMPUTED_VALUE"""),1529.88166666667)</f>
        <v>1529.881667</v>
      </c>
      <c r="G643" s="163">
        <f>IFERROR(__xludf.DUMMYFUNCTION("""COMPUTED_VALUE"""),51.0)</f>
        <v>51</v>
      </c>
      <c r="H643" s="163" t="str">
        <f>IFERROR(__xludf.DUMMYFUNCTION("""COMPUTED_VALUE"""),"PG")</f>
        <v>PG</v>
      </c>
      <c r="I643" s="163">
        <f>IFERROR(__xludf.DUMMYFUNCTION("""COMPUTED_VALUE"""),26.0)</f>
        <v>26</v>
      </c>
      <c r="J643" s="165">
        <f>IFERROR(__xludf.DUMMYFUNCTION("""COMPUTED_VALUE"""),0.25860323002043)</f>
        <v>0.25860323</v>
      </c>
      <c r="K643" s="165">
        <f>IFERROR(__xludf.DUMMYFUNCTION("""COMPUTED_VALUE"""),1.29370630433401)</f>
        <v>1.293706304</v>
      </c>
      <c r="L643" s="165">
        <f>IFERROR(__xludf.DUMMYFUNCTION("""COMPUTED_VALUE"""),-1.03510307431358)</f>
        <v>-1.035103074</v>
      </c>
      <c r="M643" s="166">
        <f t="shared" si="2"/>
        <v>2.625274087</v>
      </c>
      <c r="N643" s="167">
        <f t="shared" si="3"/>
        <v>29.99767974</v>
      </c>
      <c r="O643" s="163">
        <f t="shared" ref="O643:Q643" si="647">rank(I643,I:I)</f>
        <v>1665</v>
      </c>
      <c r="P643" s="163">
        <f t="shared" si="647"/>
        <v>1048</v>
      </c>
      <c r="Q643" s="163">
        <f t="shared" si="647"/>
        <v>385</v>
      </c>
      <c r="R643" s="163">
        <f>IFERROR(__xludf.DUMMYFUNCTION("RANK(M643,filter(M:M,C:C=C643))"),132.0)</f>
        <v>132</v>
      </c>
      <c r="S643" s="161" t="b">
        <f t="shared" si="5"/>
        <v>0</v>
      </c>
      <c r="T643" s="161" t="b">
        <f t="array" ref="T643">index('Query Tool'!B:B,match(H643,'Query Tool'!C:C,0))</f>
        <v>1</v>
      </c>
      <c r="U643" s="161" t="b">
        <f t="array" ref="U643">index('Query Tool'!B:B,match(C643,'Query Tool'!C:C,0))</f>
        <v>0</v>
      </c>
      <c r="V643" s="161" t="b">
        <f>F643&gt;='Query Tool'!C$32</f>
        <v>1</v>
      </c>
      <c r="W643" s="161" t="b">
        <f t="array" ref="W643">index(Dropdowns!B:B,match(I643,Dropdowns!A:A,0))</f>
        <v>1</v>
      </c>
      <c r="X643" s="161" t="b">
        <f t="array" ref="X643">index('Query Tool'!B:B,match(D643,'Query Tool'!C:C,0))</f>
        <v>1</v>
      </c>
      <c r="Y643" s="161" t="str">
        <f t="shared" si="6"/>
        <v>rosede01,2014-15</v>
      </c>
      <c r="Z643" s="168">
        <f t="array" ref="Z643">iferror(index(I:I,match($A643&amp;","&amp;index('Year Conversion'!$A:$A,match($C643,'Year Conversion'!$B:$B,0)),$Y:$Y,0))-I643,"")</f>
        <v>1</v>
      </c>
      <c r="AA643" s="168">
        <f t="array" ref="AA643">iferror(index(J:J,match($A643&amp;","&amp;index('Year Conversion'!$A:$A,match($C643,'Year Conversion'!$B:$B,0)),$Y:$Y,0))-J643,"")</f>
        <v>-3.022711082</v>
      </c>
      <c r="AB643" s="168">
        <f t="array" ref="AB643">iferror(index(K:K,match($A643&amp;","&amp;index('Year Conversion'!$A:$A,match($C643,'Year Conversion'!$B:$B,0)),$Y:$Y,0))-K643,"")</f>
        <v>-1.957051652</v>
      </c>
      <c r="AC643" s="168" t="str">
        <f t="shared" si="7"/>
        <v>CHI,2014-15</v>
      </c>
    </row>
    <row r="644">
      <c r="A644" s="161" t="str">
        <f>IFERROR(__xludf.DUMMYFUNCTION("""COMPUTED_VALUE"""),"westbru01")</f>
        <v>westbru01</v>
      </c>
      <c r="B644" s="161" t="str">
        <f>IFERROR(__xludf.DUMMYFUNCTION("""COMPUTED_VALUE"""),"Russell Westbrook")</f>
        <v>Russell Westbrook</v>
      </c>
      <c r="C644" s="162" t="str">
        <f>IFERROR(__xludf.DUMMYFUNCTION("""COMPUTED_VALUE"""),"2014-15")</f>
        <v>2014-15</v>
      </c>
      <c r="D644" s="163" t="str">
        <f>IFERROR(__xludf.DUMMYFUNCTION("""COMPUTED_VALUE"""),"OKC")</f>
        <v>OKC</v>
      </c>
      <c r="E644" s="164" t="str">
        <f>IFERROR(__xludf.DUMMYFUNCTION("""COMPUTED_VALUE"""),"Shot Creator")</f>
        <v>Shot Creator</v>
      </c>
      <c r="F644" s="164">
        <f>IFERROR(__xludf.DUMMYFUNCTION("""COMPUTED_VALUE"""),2301.82333333333)</f>
        <v>2301.823333</v>
      </c>
      <c r="G644" s="163">
        <f>IFERROR(__xludf.DUMMYFUNCTION("""COMPUTED_VALUE"""),67.0)</f>
        <v>67</v>
      </c>
      <c r="H644" s="163" t="str">
        <f>IFERROR(__xludf.DUMMYFUNCTION("""COMPUTED_VALUE"""),"PG")</f>
        <v>PG</v>
      </c>
      <c r="I644" s="163">
        <f>IFERROR(__xludf.DUMMYFUNCTION("""COMPUTED_VALUE"""),26.0)</f>
        <v>26</v>
      </c>
      <c r="J644" s="165">
        <f>IFERROR(__xludf.DUMMYFUNCTION("""COMPUTED_VALUE"""),5.69831662605072)</f>
        <v>5.698316626</v>
      </c>
      <c r="K644" s="165">
        <f>IFERROR(__xludf.DUMMYFUNCTION("""COMPUTED_VALUE"""),6.17560366953316)</f>
        <v>6.17560367</v>
      </c>
      <c r="L644" s="165">
        <f>IFERROR(__xludf.DUMMYFUNCTION("""COMPUTED_VALUE"""),-0.477287043482438)</f>
        <v>-0.4772870435</v>
      </c>
      <c r="M644" s="166">
        <f t="shared" si="2"/>
        <v>12.01319973</v>
      </c>
      <c r="N644" s="167">
        <f t="shared" si="3"/>
        <v>34.35557214</v>
      </c>
      <c r="O644" s="163">
        <f t="shared" ref="O644:Q644" si="648">rank(I644,I:I)</f>
        <v>1665</v>
      </c>
      <c r="P644" s="163">
        <f t="shared" si="648"/>
        <v>27</v>
      </c>
      <c r="Q644" s="163">
        <f t="shared" si="648"/>
        <v>8</v>
      </c>
      <c r="R644" s="163">
        <f>IFERROR(__xludf.DUMMYFUNCTION("RANK(M644,filter(M:M,C:C=C644))"),6.0)</f>
        <v>6</v>
      </c>
      <c r="S644" s="161" t="b">
        <f t="shared" si="5"/>
        <v>0</v>
      </c>
      <c r="T644" s="161" t="b">
        <f t="array" ref="T644">index('Query Tool'!B:B,match(H644,'Query Tool'!C:C,0))</f>
        <v>1</v>
      </c>
      <c r="U644" s="161" t="b">
        <f t="array" ref="U644">index('Query Tool'!B:B,match(C644,'Query Tool'!C:C,0))</f>
        <v>0</v>
      </c>
      <c r="V644" s="161" t="b">
        <f>F644&gt;='Query Tool'!C$32</f>
        <v>1</v>
      </c>
      <c r="W644" s="161" t="b">
        <f t="array" ref="W644">index(Dropdowns!B:B,match(I644,Dropdowns!A:A,0))</f>
        <v>1</v>
      </c>
      <c r="X644" s="161" t="b">
        <f t="array" ref="X644">index('Query Tool'!B:B,match(D644,'Query Tool'!C:C,0))</f>
        <v>1</v>
      </c>
      <c r="Y644" s="161" t="str">
        <f t="shared" si="6"/>
        <v>westbru01,2014-15</v>
      </c>
      <c r="Z644" s="168">
        <f t="array" ref="Z644">iferror(index(I:I,match($A644&amp;","&amp;index('Year Conversion'!$A:$A,match($C644,'Year Conversion'!$B:$B,0)),$Y:$Y,0))-I644,"")</f>
        <v>1</v>
      </c>
      <c r="AA644" s="168">
        <f t="array" ref="AA644">iferror(index(J:J,match($A644&amp;","&amp;index('Year Conversion'!$A:$A,match($C644,'Year Conversion'!$B:$B,0)),$Y:$Y,0))-J644,"")</f>
        <v>0.8922227148</v>
      </c>
      <c r="AB644" s="168">
        <f t="array" ref="AB644">iferror(index(K:K,match($A644&amp;","&amp;index('Year Conversion'!$A:$A,match($C644,'Year Conversion'!$B:$B,0)),$Y:$Y,0))-K644,"")</f>
        <v>-0.08094240148</v>
      </c>
      <c r="AC644" s="168" t="str">
        <f t="shared" si="7"/>
        <v>OKC,2014-15</v>
      </c>
    </row>
    <row r="645">
      <c r="A645" s="161" t="str">
        <f>IFERROR(__xludf.DUMMYFUNCTION("""COMPUTED_VALUE"""),"loveke01")</f>
        <v>loveke01</v>
      </c>
      <c r="B645" s="161" t="str">
        <f>IFERROR(__xludf.DUMMYFUNCTION("""COMPUTED_VALUE"""),"Kevin Love")</f>
        <v>Kevin Love</v>
      </c>
      <c r="C645" s="162" t="str">
        <f>IFERROR(__xludf.DUMMYFUNCTION("""COMPUTED_VALUE"""),"2014-15")</f>
        <v>2014-15</v>
      </c>
      <c r="D645" s="163" t="str">
        <f>IFERROR(__xludf.DUMMYFUNCTION("""COMPUTED_VALUE"""),"CLE")</f>
        <v>CLE</v>
      </c>
      <c r="E645" s="164" t="str">
        <f>IFERROR(__xludf.DUMMYFUNCTION("""COMPUTED_VALUE"""),"Versatile Big")</f>
        <v>Versatile Big</v>
      </c>
      <c r="F645" s="164">
        <f>IFERROR(__xludf.DUMMYFUNCTION("""COMPUTED_VALUE"""),2531.765)</f>
        <v>2531.765</v>
      </c>
      <c r="G645" s="163">
        <f>IFERROR(__xludf.DUMMYFUNCTION("""COMPUTED_VALUE"""),75.0)</f>
        <v>75</v>
      </c>
      <c r="H645" s="163" t="str">
        <f>IFERROR(__xludf.DUMMYFUNCTION("""COMPUTED_VALUE"""),"PF")</f>
        <v>PF</v>
      </c>
      <c r="I645" s="163">
        <f>IFERROR(__xludf.DUMMYFUNCTION("""COMPUTED_VALUE"""),26.0)</f>
        <v>26</v>
      </c>
      <c r="J645" s="165">
        <f>IFERROR(__xludf.DUMMYFUNCTION("""COMPUTED_VALUE"""),2.63338435374861)</f>
        <v>2.633384354</v>
      </c>
      <c r="K645" s="165">
        <f>IFERROR(__xludf.DUMMYFUNCTION("""COMPUTED_VALUE"""),2.25113350549813)</f>
        <v>2.251133505</v>
      </c>
      <c r="L645" s="165">
        <f>IFERROR(__xludf.DUMMYFUNCTION("""COMPUTED_VALUE"""),0.382250848250476)</f>
        <v>0.3822508483</v>
      </c>
      <c r="M645" s="166">
        <f t="shared" si="2"/>
        <v>8.355227318</v>
      </c>
      <c r="N645" s="167">
        <f t="shared" si="3"/>
        <v>33.75686667</v>
      </c>
      <c r="O645" s="163">
        <f t="shared" ref="O645:Q645" si="649">rank(I645,I:I)</f>
        <v>1665</v>
      </c>
      <c r="P645" s="163">
        <f t="shared" si="649"/>
        <v>205</v>
      </c>
      <c r="Q645" s="163">
        <f t="shared" si="649"/>
        <v>187</v>
      </c>
      <c r="R645" s="163">
        <f>IFERROR(__xludf.DUMMYFUNCTION("RANK(M645,filter(M:M,C:C=C645))"),22.0)</f>
        <v>22</v>
      </c>
      <c r="S645" s="161" t="b">
        <f t="shared" si="5"/>
        <v>0</v>
      </c>
      <c r="T645" s="161" t="b">
        <f t="array" ref="T645">index('Query Tool'!B:B,match(H645,'Query Tool'!C:C,0))</f>
        <v>1</v>
      </c>
      <c r="U645" s="161" t="b">
        <f t="array" ref="U645">index('Query Tool'!B:B,match(C645,'Query Tool'!C:C,0))</f>
        <v>0</v>
      </c>
      <c r="V645" s="161" t="b">
        <f>F645&gt;='Query Tool'!C$32</f>
        <v>1</v>
      </c>
      <c r="W645" s="161" t="b">
        <f t="array" ref="W645">index(Dropdowns!B:B,match(I645,Dropdowns!A:A,0))</f>
        <v>1</v>
      </c>
      <c r="X645" s="161" t="b">
        <f t="array" ref="X645">index('Query Tool'!B:B,match(D645,'Query Tool'!C:C,0))</f>
        <v>1</v>
      </c>
      <c r="Y645" s="161" t="str">
        <f t="shared" si="6"/>
        <v>loveke01,2014-15</v>
      </c>
      <c r="Z645" s="168">
        <f t="array" ref="Z645">iferror(index(I:I,match($A645&amp;","&amp;index('Year Conversion'!$A:$A,match($C645,'Year Conversion'!$B:$B,0)),$Y:$Y,0))-I645,"")</f>
        <v>1</v>
      </c>
      <c r="AA645" s="168">
        <f t="array" ref="AA645">iferror(index(J:J,match($A645&amp;","&amp;index('Year Conversion'!$A:$A,match($C645,'Year Conversion'!$B:$B,0)),$Y:$Y,0))-J645,"")</f>
        <v>0.6478850577</v>
      </c>
      <c r="AB645" s="168">
        <f t="array" ref="AB645">iferror(index(K:K,match($A645&amp;","&amp;index('Year Conversion'!$A:$A,match($C645,'Year Conversion'!$B:$B,0)),$Y:$Y,0))-K645,"")</f>
        <v>0.02938113471</v>
      </c>
      <c r="AC645" s="168" t="str">
        <f t="shared" si="7"/>
        <v>CLE,2014-15</v>
      </c>
    </row>
    <row r="646">
      <c r="A646" s="161" t="str">
        <f>IFERROR(__xludf.DUMMYFUNCTION("""COMPUTED_VALUE"""),"gallida01")</f>
        <v>gallida01</v>
      </c>
      <c r="B646" s="161" t="str">
        <f>IFERROR(__xludf.DUMMYFUNCTION("""COMPUTED_VALUE"""),"Danilo Gallinari")</f>
        <v>Danilo Gallinari</v>
      </c>
      <c r="C646" s="162" t="str">
        <f>IFERROR(__xludf.DUMMYFUNCTION("""COMPUTED_VALUE"""),"2014-15")</f>
        <v>2014-15</v>
      </c>
      <c r="D646" s="163" t="str">
        <f>IFERROR(__xludf.DUMMYFUNCTION("""COMPUTED_VALUE"""),"DEN")</f>
        <v>DEN</v>
      </c>
      <c r="E646" s="164" t="str">
        <f>IFERROR(__xludf.DUMMYFUNCTION("""COMPUTED_VALUE"""),"Shot Creator")</f>
        <v>Shot Creator</v>
      </c>
      <c r="F646" s="164">
        <f>IFERROR(__xludf.DUMMYFUNCTION("""COMPUTED_VALUE"""),1425.83166666667)</f>
        <v>1425.831667</v>
      </c>
      <c r="G646" s="163">
        <f>IFERROR(__xludf.DUMMYFUNCTION("""COMPUTED_VALUE"""),59.0)</f>
        <v>59</v>
      </c>
      <c r="H646" s="163" t="str">
        <f>IFERROR(__xludf.DUMMYFUNCTION("""COMPUTED_VALUE"""),"SF")</f>
        <v>SF</v>
      </c>
      <c r="I646" s="163">
        <f>IFERROR(__xludf.DUMMYFUNCTION("""COMPUTED_VALUE"""),26.0)</f>
        <v>26</v>
      </c>
      <c r="J646" s="165">
        <f>IFERROR(__xludf.DUMMYFUNCTION("""COMPUTED_VALUE"""),0.856889461206533)</f>
        <v>0.8568894612</v>
      </c>
      <c r="K646" s="165">
        <f>IFERROR(__xludf.DUMMYFUNCTION("""COMPUTED_VALUE"""),1.31534573355748)</f>
        <v>1.315345734</v>
      </c>
      <c r="L646" s="165">
        <f>IFERROR(__xludf.DUMMYFUNCTION("""COMPUTED_VALUE"""),-0.458456272350951)</f>
        <v>-0.4584562724</v>
      </c>
      <c r="M646" s="166">
        <f t="shared" si="2"/>
        <v>3.021029696</v>
      </c>
      <c r="N646" s="167">
        <f t="shared" si="3"/>
        <v>24.16663842</v>
      </c>
      <c r="O646" s="163">
        <f t="shared" ref="O646:Q646" si="650">rank(I646,I:I)</f>
        <v>1665</v>
      </c>
      <c r="P646" s="163">
        <f t="shared" si="650"/>
        <v>709</v>
      </c>
      <c r="Q646" s="163">
        <f t="shared" si="650"/>
        <v>377</v>
      </c>
      <c r="R646" s="163">
        <f>IFERROR(__xludf.DUMMYFUNCTION("RANK(M646,filter(M:M,C:C=C646))"),116.0)</f>
        <v>116</v>
      </c>
      <c r="S646" s="161" t="b">
        <f t="shared" si="5"/>
        <v>0</v>
      </c>
      <c r="T646" s="161" t="b">
        <f t="array" ref="T646">index('Query Tool'!B:B,match(H646,'Query Tool'!C:C,0))</f>
        <v>1</v>
      </c>
      <c r="U646" s="161" t="b">
        <f t="array" ref="U646">index('Query Tool'!B:B,match(C646,'Query Tool'!C:C,0))</f>
        <v>0</v>
      </c>
      <c r="V646" s="161" t="b">
        <f>F646&gt;='Query Tool'!C$32</f>
        <v>1</v>
      </c>
      <c r="W646" s="161" t="b">
        <f t="array" ref="W646">index(Dropdowns!B:B,match(I646,Dropdowns!A:A,0))</f>
        <v>1</v>
      </c>
      <c r="X646" s="161" t="b">
        <f t="array" ref="X646">index('Query Tool'!B:B,match(D646,'Query Tool'!C:C,0))</f>
        <v>1</v>
      </c>
      <c r="Y646" s="161" t="str">
        <f t="shared" si="6"/>
        <v>gallida01,2014-15</v>
      </c>
      <c r="Z646" s="168">
        <f t="array" ref="Z646">iferror(index(I:I,match($A646&amp;","&amp;index('Year Conversion'!$A:$A,match($C646,'Year Conversion'!$B:$B,0)),$Y:$Y,0))-I646,"")</f>
        <v>1</v>
      </c>
      <c r="AA646" s="168">
        <f t="array" ref="AA646">iferror(index(J:J,match($A646&amp;","&amp;index('Year Conversion'!$A:$A,match($C646,'Year Conversion'!$B:$B,0)),$Y:$Y,0))-J646,"")</f>
        <v>0.8498066108</v>
      </c>
      <c r="AB646" s="168">
        <f t="array" ref="AB646">iferror(index(K:K,match($A646&amp;","&amp;index('Year Conversion'!$A:$A,match($C646,'Year Conversion'!$B:$B,0)),$Y:$Y,0))-K646,"")</f>
        <v>0.5836261428</v>
      </c>
      <c r="AC646" s="168" t="str">
        <f t="shared" si="7"/>
        <v>DEN,2014-15</v>
      </c>
    </row>
    <row r="647">
      <c r="A647" s="161" t="str">
        <f>IFERROR(__xludf.DUMMYFUNCTION("""COMPUTED_VALUE"""),"gordoer01")</f>
        <v>gordoer01</v>
      </c>
      <c r="B647" s="161" t="str">
        <f>IFERROR(__xludf.DUMMYFUNCTION("""COMPUTED_VALUE"""),"Eric Gordon")</f>
        <v>Eric Gordon</v>
      </c>
      <c r="C647" s="162" t="str">
        <f>IFERROR(__xludf.DUMMYFUNCTION("""COMPUTED_VALUE"""),"2014-15")</f>
        <v>2014-15</v>
      </c>
      <c r="D647" s="163" t="str">
        <f>IFERROR(__xludf.DUMMYFUNCTION("""COMPUTED_VALUE"""),"NOP")</f>
        <v>NOP</v>
      </c>
      <c r="E647" s="164" t="str">
        <f>IFERROR(__xludf.DUMMYFUNCTION("""COMPUTED_VALUE"""),"Secondary Ball Handler")</f>
        <v>Secondary Ball Handler</v>
      </c>
      <c r="F647" s="164">
        <f>IFERROR(__xludf.DUMMYFUNCTION("""COMPUTED_VALUE"""),2018.11166666667)</f>
        <v>2018.111667</v>
      </c>
      <c r="G647" s="163">
        <f>IFERROR(__xludf.DUMMYFUNCTION("""COMPUTED_VALUE"""),61.0)</f>
        <v>61</v>
      </c>
      <c r="H647" s="163" t="str">
        <f>IFERROR(__xludf.DUMMYFUNCTION("""COMPUTED_VALUE"""),"SG")</f>
        <v>SG</v>
      </c>
      <c r="I647" s="163">
        <f>IFERROR(__xludf.DUMMYFUNCTION("""COMPUTED_VALUE"""),26.0)</f>
        <v>26</v>
      </c>
      <c r="J647" s="165">
        <f>IFERROR(__xludf.DUMMYFUNCTION("""COMPUTED_VALUE"""),-2.10227827265657)</f>
        <v>-2.102278273</v>
      </c>
      <c r="K647" s="165">
        <f>IFERROR(__xludf.DUMMYFUNCTION("""COMPUTED_VALUE"""),-0.606611191584691)</f>
        <v>-0.6066111916</v>
      </c>
      <c r="L647" s="165">
        <f>IFERROR(__xludf.DUMMYFUNCTION("""COMPUTED_VALUE"""),-1.49566708107188)</f>
        <v>-1.495667081</v>
      </c>
      <c r="M647" s="166">
        <f t="shared" si="2"/>
        <v>0.2683491604</v>
      </c>
      <c r="N647" s="167">
        <f t="shared" si="3"/>
        <v>33.08379781</v>
      </c>
      <c r="O647" s="163">
        <f t="shared" ref="O647:Q647" si="651">rank(I647,I:I)</f>
        <v>1665</v>
      </c>
      <c r="P647" s="163">
        <f t="shared" si="651"/>
        <v>3552</v>
      </c>
      <c r="Q647" s="163">
        <f t="shared" si="651"/>
        <v>2270</v>
      </c>
      <c r="R647" s="163">
        <f>IFERROR(__xludf.DUMMYFUNCTION("RANK(M647,filter(M:M,C:C=C647))"),316.0)</f>
        <v>316</v>
      </c>
      <c r="S647" s="161" t="b">
        <f t="shared" si="5"/>
        <v>0</v>
      </c>
      <c r="T647" s="161" t="b">
        <f t="array" ref="T647">index('Query Tool'!B:B,match(H647,'Query Tool'!C:C,0))</f>
        <v>1</v>
      </c>
      <c r="U647" s="161" t="b">
        <f t="array" ref="U647">index('Query Tool'!B:B,match(C647,'Query Tool'!C:C,0))</f>
        <v>0</v>
      </c>
      <c r="V647" s="161" t="b">
        <f>F647&gt;='Query Tool'!C$32</f>
        <v>1</v>
      </c>
      <c r="W647" s="161" t="b">
        <f t="array" ref="W647">index(Dropdowns!B:B,match(I647,Dropdowns!A:A,0))</f>
        <v>1</v>
      </c>
      <c r="X647" s="161" t="b">
        <f t="array" ref="X647">index('Query Tool'!B:B,match(D647,'Query Tool'!C:C,0))</f>
        <v>1</v>
      </c>
      <c r="Y647" s="161" t="str">
        <f t="shared" si="6"/>
        <v>gordoer01,2014-15</v>
      </c>
      <c r="Z647" s="168">
        <f t="array" ref="Z647">iferror(index(I:I,match($A647&amp;","&amp;index('Year Conversion'!$A:$A,match($C647,'Year Conversion'!$B:$B,0)),$Y:$Y,0))-I647,"")</f>
        <v>1</v>
      </c>
      <c r="AA647" s="168">
        <f t="array" ref="AA647">iferror(index(J:J,match($A647&amp;","&amp;index('Year Conversion'!$A:$A,match($C647,'Year Conversion'!$B:$B,0)),$Y:$Y,0))-J647,"")</f>
        <v>1.558686344</v>
      </c>
      <c r="AB647" s="168">
        <f t="array" ref="AB647">iferror(index(K:K,match($A647&amp;","&amp;index('Year Conversion'!$A:$A,match($C647,'Year Conversion'!$B:$B,0)),$Y:$Y,0))-K647,"")</f>
        <v>0.5510715201</v>
      </c>
      <c r="AC647" s="168" t="str">
        <f t="shared" si="7"/>
        <v>NOP,2014-15</v>
      </c>
    </row>
    <row r="648">
      <c r="A648" s="161" t="str">
        <f>IFERROR(__xludf.DUMMYFUNCTION("""COMPUTED_VALUE"""),"augusdj01")</f>
        <v>augusdj01</v>
      </c>
      <c r="B648" s="161" t="str">
        <f>IFERROR(__xludf.DUMMYFUNCTION("""COMPUTED_VALUE"""),"D.J. Augustin")</f>
        <v>D.J. Augustin</v>
      </c>
      <c r="C648" s="162" t="str">
        <f>IFERROR(__xludf.DUMMYFUNCTION("""COMPUTED_VALUE"""),"2014-15")</f>
        <v>2014-15</v>
      </c>
      <c r="D648" s="163" t="str">
        <f>IFERROR(__xludf.DUMMYFUNCTION("""COMPUTED_VALUE"""),"TOT")</f>
        <v>TOT</v>
      </c>
      <c r="E648" s="164" t="str">
        <f>IFERROR(__xludf.DUMMYFUNCTION("""COMPUTED_VALUE"""),"Primary Ball Handler")</f>
        <v>Primary Ball Handler</v>
      </c>
      <c r="F648" s="164">
        <f>IFERROR(__xludf.DUMMYFUNCTION("""COMPUTED_VALUE"""),1963.785)</f>
        <v>1963.785</v>
      </c>
      <c r="G648" s="163">
        <f>IFERROR(__xludf.DUMMYFUNCTION("""COMPUTED_VALUE"""),82.0)</f>
        <v>82</v>
      </c>
      <c r="H648" s="163" t="str">
        <f>IFERROR(__xludf.DUMMYFUNCTION("""COMPUTED_VALUE"""),"PG")</f>
        <v>PG</v>
      </c>
      <c r="I648" s="163">
        <f>IFERROR(__xludf.DUMMYFUNCTION("""COMPUTED_VALUE"""),27.0)</f>
        <v>27</v>
      </c>
      <c r="J648" s="165">
        <f>IFERROR(__xludf.DUMMYFUNCTION("""COMPUTED_VALUE"""),-1.81553045224295)</f>
        <v>-1.815530452</v>
      </c>
      <c r="K648" s="165">
        <f>IFERROR(__xludf.DUMMYFUNCTION("""COMPUTED_VALUE"""),0.299251585936441)</f>
        <v>0.2992515859</v>
      </c>
      <c r="L648" s="165">
        <f>IFERROR(__xludf.DUMMYFUNCTION("""COMPUTED_VALUE"""),-2.11478203817939)</f>
        <v>-2.114782038</v>
      </c>
      <c r="M648" s="166">
        <f t="shared" si="2"/>
        <v>0.6347515864</v>
      </c>
      <c r="N648" s="167">
        <f t="shared" si="3"/>
        <v>23.94859756</v>
      </c>
      <c r="O648" s="163">
        <f t="shared" ref="O648:Q648" si="652">rank(I648,I:I)</f>
        <v>1366</v>
      </c>
      <c r="P648" s="163">
        <f t="shared" si="652"/>
        <v>3345</v>
      </c>
      <c r="Q648" s="163">
        <f t="shared" si="652"/>
        <v>912</v>
      </c>
      <c r="R648" s="163">
        <f>IFERROR(__xludf.DUMMYFUNCTION("RANK(M648,filter(M:M,C:C=C648))"),270.0)</f>
        <v>270</v>
      </c>
      <c r="S648" s="161" t="b">
        <f t="shared" si="5"/>
        <v>0</v>
      </c>
      <c r="T648" s="161" t="b">
        <f t="array" ref="T648">index('Query Tool'!B:B,match(H648,'Query Tool'!C:C,0))</f>
        <v>1</v>
      </c>
      <c r="U648" s="161" t="b">
        <f t="array" ref="U648">index('Query Tool'!B:B,match(C648,'Query Tool'!C:C,0))</f>
        <v>0</v>
      </c>
      <c r="V648" s="161" t="b">
        <f>F648&gt;='Query Tool'!C$32</f>
        <v>1</v>
      </c>
      <c r="W648" s="161" t="b">
        <f t="array" ref="W648">index(Dropdowns!B:B,match(I648,Dropdowns!A:A,0))</f>
        <v>1</v>
      </c>
      <c r="X648" s="161" t="b">
        <f t="array" ref="X648">index('Query Tool'!B:B,match(D648,'Query Tool'!C:C,0))</f>
        <v>1</v>
      </c>
      <c r="Y648" s="161" t="str">
        <f t="shared" si="6"/>
        <v>augusdj01,2014-15</v>
      </c>
      <c r="Z648" s="168">
        <f t="array" ref="Z648">iferror(index(I:I,match($A648&amp;","&amp;index('Year Conversion'!$A:$A,match($C648,'Year Conversion'!$B:$B,0)),$Y:$Y,0))-I648,"")</f>
        <v>1</v>
      </c>
      <c r="AA648" s="168">
        <f t="array" ref="AA648">iferror(index(J:J,match($A648&amp;","&amp;index('Year Conversion'!$A:$A,match($C648,'Year Conversion'!$B:$B,0)),$Y:$Y,0))-J648,"")</f>
        <v>1.00185354</v>
      </c>
      <c r="AB648" s="168">
        <f t="array" ref="AB648">iferror(index(K:K,match($A648&amp;","&amp;index('Year Conversion'!$A:$A,match($C648,'Year Conversion'!$B:$B,0)),$Y:$Y,0))-K648,"")</f>
        <v>0.188617142</v>
      </c>
      <c r="AC648" s="168" t="str">
        <f t="shared" si="7"/>
        <v>TOT,2014-15</v>
      </c>
    </row>
    <row r="649">
      <c r="A649" s="161" t="str">
        <f>IFERROR(__xludf.DUMMYFUNCTION("""COMPUTED_VALUE"""),"lopezbr01")</f>
        <v>lopezbr01</v>
      </c>
      <c r="B649" s="161" t="str">
        <f>IFERROR(__xludf.DUMMYFUNCTION("""COMPUTED_VALUE"""),"Brook Lopez")</f>
        <v>Brook Lopez</v>
      </c>
      <c r="C649" s="162" t="str">
        <f>IFERROR(__xludf.DUMMYFUNCTION("""COMPUTED_VALUE"""),"2014-15")</f>
        <v>2014-15</v>
      </c>
      <c r="D649" s="163" t="str">
        <f>IFERROR(__xludf.DUMMYFUNCTION("""COMPUTED_VALUE"""),"BRK")</f>
        <v>BRK</v>
      </c>
      <c r="E649" s="164" t="str">
        <f>IFERROR(__xludf.DUMMYFUNCTION("""COMPUTED_VALUE"""),"Post Scorer")</f>
        <v>Post Scorer</v>
      </c>
      <c r="F649" s="164">
        <f>IFERROR(__xludf.DUMMYFUNCTION("""COMPUTED_VALUE"""),2100.275)</f>
        <v>2100.275</v>
      </c>
      <c r="G649" s="163">
        <f>IFERROR(__xludf.DUMMYFUNCTION("""COMPUTED_VALUE"""),72.0)</f>
        <v>72</v>
      </c>
      <c r="H649" s="163" t="str">
        <f>IFERROR(__xludf.DUMMYFUNCTION("""COMPUTED_VALUE"""),"C")</f>
        <v>C</v>
      </c>
      <c r="I649" s="163">
        <f>IFERROR(__xludf.DUMMYFUNCTION("""COMPUTED_VALUE"""),26.0)</f>
        <v>26</v>
      </c>
      <c r="J649" s="165">
        <f>IFERROR(__xludf.DUMMYFUNCTION("""COMPUTED_VALUE"""),0.542428754550956)</f>
        <v>0.5424287546</v>
      </c>
      <c r="K649" s="165">
        <f>IFERROR(__xludf.DUMMYFUNCTION("""COMPUTED_VALUE"""),0.741235084525188)</f>
        <v>0.7412350845</v>
      </c>
      <c r="L649" s="165">
        <f>IFERROR(__xludf.DUMMYFUNCTION("""COMPUTED_VALUE"""),-0.198806329974232)</f>
        <v>-0.19880633</v>
      </c>
      <c r="M649" s="166">
        <f t="shared" si="2"/>
        <v>4.005680618</v>
      </c>
      <c r="N649" s="167">
        <f t="shared" si="3"/>
        <v>29.17048611</v>
      </c>
      <c r="O649" s="163">
        <f t="shared" ref="O649:Q649" si="653">rank(I649,I:I)</f>
        <v>1665</v>
      </c>
      <c r="P649" s="163">
        <f t="shared" si="653"/>
        <v>875</v>
      </c>
      <c r="Q649" s="163">
        <f t="shared" si="653"/>
        <v>627</v>
      </c>
      <c r="R649" s="163">
        <f>IFERROR(__xludf.DUMMYFUNCTION("RANK(M649,filter(M:M,C:C=C649))"),86.0)</f>
        <v>86</v>
      </c>
      <c r="S649" s="161" t="b">
        <f t="shared" si="5"/>
        <v>0</v>
      </c>
      <c r="T649" s="161" t="b">
        <f t="array" ref="T649">index('Query Tool'!B:B,match(H649,'Query Tool'!C:C,0))</f>
        <v>1</v>
      </c>
      <c r="U649" s="161" t="b">
        <f t="array" ref="U649">index('Query Tool'!B:B,match(C649,'Query Tool'!C:C,0))</f>
        <v>0</v>
      </c>
      <c r="V649" s="161" t="b">
        <f>F649&gt;='Query Tool'!C$32</f>
        <v>1</v>
      </c>
      <c r="W649" s="161" t="b">
        <f t="array" ref="W649">index(Dropdowns!B:B,match(I649,Dropdowns!A:A,0))</f>
        <v>1</v>
      </c>
      <c r="X649" s="161" t="b">
        <f t="array" ref="X649">index('Query Tool'!B:B,match(D649,'Query Tool'!C:C,0))</f>
        <v>1</v>
      </c>
      <c r="Y649" s="161" t="str">
        <f t="shared" si="6"/>
        <v>lopezbr01,2014-15</v>
      </c>
      <c r="Z649" s="168">
        <f t="array" ref="Z649">iferror(index(I:I,match($A649&amp;","&amp;index('Year Conversion'!$A:$A,match($C649,'Year Conversion'!$B:$B,0)),$Y:$Y,0))-I649,"")</f>
        <v>1</v>
      </c>
      <c r="AA649" s="168">
        <f t="array" ref="AA649">iferror(index(J:J,match($A649&amp;","&amp;index('Year Conversion'!$A:$A,match($C649,'Year Conversion'!$B:$B,0)),$Y:$Y,0))-J649,"")</f>
        <v>1.276834625</v>
      </c>
      <c r="AB649" s="168">
        <f t="array" ref="AB649">iferror(index(K:K,match($A649&amp;","&amp;index('Year Conversion'!$A:$A,match($C649,'Year Conversion'!$B:$B,0)),$Y:$Y,0))-K649,"")</f>
        <v>-0.6766928276</v>
      </c>
      <c r="AC649" s="168" t="str">
        <f t="shared" si="7"/>
        <v>BRK,2014-15</v>
      </c>
    </row>
    <row r="650">
      <c r="A650" s="161" t="str">
        <f>IFERROR(__xludf.DUMMYFUNCTION("""COMPUTED_VALUE"""),"bayleje01")</f>
        <v>bayleje01</v>
      </c>
      <c r="B650" s="161" t="str">
        <f>IFERROR(__xludf.DUMMYFUNCTION("""COMPUTED_VALUE"""),"Jerryd Bayless")</f>
        <v>Jerryd Bayless</v>
      </c>
      <c r="C650" s="162" t="str">
        <f>IFERROR(__xludf.DUMMYFUNCTION("""COMPUTED_VALUE"""),"2014-15")</f>
        <v>2014-15</v>
      </c>
      <c r="D650" s="163" t="str">
        <f>IFERROR(__xludf.DUMMYFUNCTION("""COMPUTED_VALUE"""),"MIL")</f>
        <v>MIL</v>
      </c>
      <c r="E650" s="164" t="str">
        <f>IFERROR(__xludf.DUMMYFUNCTION("""COMPUTED_VALUE"""),"Shot Creator")</f>
        <v>Shot Creator</v>
      </c>
      <c r="F650" s="164">
        <f>IFERROR(__xludf.DUMMYFUNCTION("""COMPUTED_VALUE"""),1717.37833333333)</f>
        <v>1717.378333</v>
      </c>
      <c r="G650" s="163">
        <f>IFERROR(__xludf.DUMMYFUNCTION("""COMPUTED_VALUE"""),77.0)</f>
        <v>77</v>
      </c>
      <c r="H650" s="163" t="str">
        <f>IFERROR(__xludf.DUMMYFUNCTION("""COMPUTED_VALUE"""),"PG")</f>
        <v>PG</v>
      </c>
      <c r="I650" s="163">
        <f>IFERROR(__xludf.DUMMYFUNCTION("""COMPUTED_VALUE"""),26.0)</f>
        <v>26</v>
      </c>
      <c r="J650" s="165">
        <f>IFERROR(__xludf.DUMMYFUNCTION("""COMPUTED_VALUE"""),-2.19844453581663)</f>
        <v>-2.198444536</v>
      </c>
      <c r="K650" s="165">
        <f>IFERROR(__xludf.DUMMYFUNCTION("""COMPUTED_VALUE"""),-1.3894979633162)</f>
        <v>-1.389497963</v>
      </c>
      <c r="L650" s="165">
        <f>IFERROR(__xludf.DUMMYFUNCTION("""COMPUTED_VALUE"""),-0.808946572500433)</f>
        <v>-0.8089465725</v>
      </c>
      <c r="M650" s="166">
        <f t="shared" si="2"/>
        <v>0.1191343244</v>
      </c>
      <c r="N650" s="167">
        <f t="shared" si="3"/>
        <v>22.30361472</v>
      </c>
      <c r="O650" s="163">
        <f t="shared" ref="O650:Q650" si="654">rank(I650,I:I)</f>
        <v>1665</v>
      </c>
      <c r="P650" s="163">
        <f t="shared" si="654"/>
        <v>3609</v>
      </c>
      <c r="Q650" s="163">
        <f t="shared" si="654"/>
        <v>3241</v>
      </c>
      <c r="R650" s="163">
        <f>IFERROR(__xludf.DUMMYFUNCTION("RANK(M650,filter(M:M,C:C=C650))"),368.0)</f>
        <v>368</v>
      </c>
      <c r="S650" s="161" t="b">
        <f t="shared" si="5"/>
        <v>0</v>
      </c>
      <c r="T650" s="161" t="b">
        <f t="array" ref="T650">index('Query Tool'!B:B,match(H650,'Query Tool'!C:C,0))</f>
        <v>1</v>
      </c>
      <c r="U650" s="161" t="b">
        <f t="array" ref="U650">index('Query Tool'!B:B,match(C650,'Query Tool'!C:C,0))</f>
        <v>0</v>
      </c>
      <c r="V650" s="161" t="b">
        <f>F650&gt;='Query Tool'!C$32</f>
        <v>1</v>
      </c>
      <c r="W650" s="161" t="b">
        <f t="array" ref="W650">index(Dropdowns!B:B,match(I650,Dropdowns!A:A,0))</f>
        <v>1</v>
      </c>
      <c r="X650" s="161" t="b">
        <f t="array" ref="X650">index('Query Tool'!B:B,match(D650,'Query Tool'!C:C,0))</f>
        <v>1</v>
      </c>
      <c r="Y650" s="161" t="str">
        <f t="shared" si="6"/>
        <v>bayleje01,2014-15</v>
      </c>
      <c r="Z650" s="168">
        <f t="array" ref="Z650">iferror(index(I:I,match($A650&amp;","&amp;index('Year Conversion'!$A:$A,match($C650,'Year Conversion'!$B:$B,0)),$Y:$Y,0))-I650,"")</f>
        <v>1</v>
      </c>
      <c r="AA650" s="168">
        <f t="array" ref="AA650">iferror(index(J:J,match($A650&amp;","&amp;index('Year Conversion'!$A:$A,match($C650,'Year Conversion'!$B:$B,0)),$Y:$Y,0))-J650,"")</f>
        <v>-0.4497776109</v>
      </c>
      <c r="AB650" s="168">
        <f t="array" ref="AB650">iferror(index(K:K,match($A650&amp;","&amp;index('Year Conversion'!$A:$A,match($C650,'Year Conversion'!$B:$B,0)),$Y:$Y,0))-K650,"")</f>
        <v>0.364547572</v>
      </c>
      <c r="AC650" s="168" t="str">
        <f t="shared" si="7"/>
        <v>MIL,2014-15</v>
      </c>
    </row>
    <row r="651">
      <c r="A651" s="161" t="str">
        <f>IFERROR(__xludf.DUMMYFUNCTION("""COMPUTED_VALUE"""),"thompja02")</f>
        <v>thompja02</v>
      </c>
      <c r="B651" s="161" t="str">
        <f>IFERROR(__xludf.DUMMYFUNCTION("""COMPUTED_VALUE"""),"Jason Thompson")</f>
        <v>Jason Thompson</v>
      </c>
      <c r="C651" s="162" t="str">
        <f>IFERROR(__xludf.DUMMYFUNCTION("""COMPUTED_VALUE"""),"2014-15")</f>
        <v>2014-15</v>
      </c>
      <c r="D651" s="163" t="str">
        <f>IFERROR(__xludf.DUMMYFUNCTION("""COMPUTED_VALUE"""),"SAC")</f>
        <v>SAC</v>
      </c>
      <c r="E651" s="164" t="str">
        <f>IFERROR(__xludf.DUMMYFUNCTION("""COMPUTED_VALUE"""),"Post Scorer")</f>
        <v>Post Scorer</v>
      </c>
      <c r="F651" s="164">
        <f>IFERROR(__xludf.DUMMYFUNCTION("""COMPUTED_VALUE"""),1990.995)</f>
        <v>1990.995</v>
      </c>
      <c r="G651" s="163">
        <f>IFERROR(__xludf.DUMMYFUNCTION("""COMPUTED_VALUE"""),81.0)</f>
        <v>81</v>
      </c>
      <c r="H651" s="163" t="str">
        <f>IFERROR(__xludf.DUMMYFUNCTION("""COMPUTED_VALUE"""),"PF")</f>
        <v>PF</v>
      </c>
      <c r="I651" s="163">
        <f>IFERROR(__xludf.DUMMYFUNCTION("""COMPUTED_VALUE"""),28.0)</f>
        <v>28</v>
      </c>
      <c r="J651" s="165">
        <f>IFERROR(__xludf.DUMMYFUNCTION("""COMPUTED_VALUE"""),-1.61246951407607)</f>
        <v>-1.612469514</v>
      </c>
      <c r="K651" s="165">
        <f>IFERROR(__xludf.DUMMYFUNCTION("""COMPUTED_VALUE"""),-1.73168675484716)</f>
        <v>-1.731686755</v>
      </c>
      <c r="L651" s="165">
        <f>IFERROR(__xludf.DUMMYFUNCTION("""COMPUTED_VALUE"""),0.119217240771083)</f>
        <v>0.1192172408</v>
      </c>
      <c r="M651" s="166">
        <f t="shared" si="2"/>
        <v>0.91280316</v>
      </c>
      <c r="N651" s="167">
        <f t="shared" si="3"/>
        <v>24.58018519</v>
      </c>
      <c r="O651" s="163">
        <f t="shared" ref="O651:Q651" si="655">rank(I651,I:I)</f>
        <v>1090</v>
      </c>
      <c r="P651" s="163">
        <f t="shared" si="655"/>
        <v>3158</v>
      </c>
      <c r="Q651" s="163">
        <f t="shared" si="655"/>
        <v>3540</v>
      </c>
      <c r="R651" s="163">
        <f>IFERROR(__xludf.DUMMYFUNCTION("RANK(M651,filter(M:M,C:C=C651))"),240.0)</f>
        <v>240</v>
      </c>
      <c r="S651" s="161" t="b">
        <f t="shared" si="5"/>
        <v>0</v>
      </c>
      <c r="T651" s="161" t="b">
        <f t="array" ref="T651">index('Query Tool'!B:B,match(H651,'Query Tool'!C:C,0))</f>
        <v>1</v>
      </c>
      <c r="U651" s="161" t="b">
        <f t="array" ref="U651">index('Query Tool'!B:B,match(C651,'Query Tool'!C:C,0))</f>
        <v>0</v>
      </c>
      <c r="V651" s="161" t="b">
        <f>F651&gt;='Query Tool'!C$32</f>
        <v>1</v>
      </c>
      <c r="W651" s="161" t="b">
        <f t="array" ref="W651">index(Dropdowns!B:B,match(I651,Dropdowns!A:A,0))</f>
        <v>1</v>
      </c>
      <c r="X651" s="161" t="b">
        <f t="array" ref="X651">index('Query Tool'!B:B,match(D651,'Query Tool'!C:C,0))</f>
        <v>1</v>
      </c>
      <c r="Y651" s="161" t="str">
        <f t="shared" si="6"/>
        <v>thompja02,2014-15</v>
      </c>
      <c r="Z651" s="168">
        <f t="array" ref="Z651">iferror(index(I:I,match($A651&amp;","&amp;index('Year Conversion'!$A:$A,match($C651,'Year Conversion'!$B:$B,0)),$Y:$Y,0))-I651,"")</f>
        <v>1</v>
      </c>
      <c r="AA651" s="168">
        <f t="array" ref="AA651">iferror(index(J:J,match($A651&amp;","&amp;index('Year Conversion'!$A:$A,match($C651,'Year Conversion'!$B:$B,0)),$Y:$Y,0))-J651,"")</f>
        <v>0.7419432449</v>
      </c>
      <c r="AB651" s="168">
        <f t="array" ref="AB651">iferror(index(K:K,match($A651&amp;","&amp;index('Year Conversion'!$A:$A,match($C651,'Year Conversion'!$B:$B,0)),$Y:$Y,0))-K651,"")</f>
        <v>0.797595518</v>
      </c>
      <c r="AC651" s="168" t="str">
        <f t="shared" si="7"/>
        <v>SAC,2014-15</v>
      </c>
    </row>
    <row r="652">
      <c r="A652" s="161" t="str">
        <f>IFERROR(__xludf.DUMMYFUNCTION("""COMPUTED_VALUE"""),"rushbr01")</f>
        <v>rushbr01</v>
      </c>
      <c r="B652" s="161" t="str">
        <f>IFERROR(__xludf.DUMMYFUNCTION("""COMPUTED_VALUE"""),"Brandon Rush")</f>
        <v>Brandon Rush</v>
      </c>
      <c r="C652" s="162" t="str">
        <f>IFERROR(__xludf.DUMMYFUNCTION("""COMPUTED_VALUE"""),"2014-15")</f>
        <v>2014-15</v>
      </c>
      <c r="D652" s="163" t="str">
        <f>IFERROR(__xludf.DUMMYFUNCTION("""COMPUTED_VALUE"""),"GSW")</f>
        <v>GSW</v>
      </c>
      <c r="E652" s="164" t="str">
        <f>IFERROR(__xludf.DUMMYFUNCTION("""COMPUTED_VALUE"""),"Movement Shooter")</f>
        <v>Movement Shooter</v>
      </c>
      <c r="F652" s="164">
        <f>IFERROR(__xludf.DUMMYFUNCTION("""COMPUTED_VALUE"""),271.063333333333)</f>
        <v>271.0633333</v>
      </c>
      <c r="G652" s="163">
        <f>IFERROR(__xludf.DUMMYFUNCTION("""COMPUTED_VALUE"""),33.0)</f>
        <v>33</v>
      </c>
      <c r="H652" s="163" t="str">
        <f>IFERROR(__xludf.DUMMYFUNCTION("""COMPUTED_VALUE"""),"SG")</f>
        <v>SG</v>
      </c>
      <c r="I652" s="163">
        <f>IFERROR(__xludf.DUMMYFUNCTION("""COMPUTED_VALUE"""),29.0)</f>
        <v>29</v>
      </c>
      <c r="J652" s="165">
        <f>IFERROR(__xludf.DUMMYFUNCTION("""COMPUTED_VALUE"""),-4.06617587859026)</f>
        <v>-4.066175879</v>
      </c>
      <c r="K652" s="165">
        <f>IFERROR(__xludf.DUMMYFUNCTION("""COMPUTED_VALUE"""),-2.81115914780547)</f>
        <v>-2.811159148</v>
      </c>
      <c r="L652" s="165">
        <f>IFERROR(__xludf.DUMMYFUNCTION("""COMPUTED_VALUE"""),-1.2550167307848)</f>
        <v>-1.255016731</v>
      </c>
      <c r="M652" s="166">
        <f t="shared" si="2"/>
        <v>-0.3085858086</v>
      </c>
      <c r="N652" s="167">
        <f t="shared" si="3"/>
        <v>8.214040404</v>
      </c>
      <c r="O652" s="163">
        <f t="shared" ref="O652:Q652" si="656">rank(I652,I:I)</f>
        <v>855</v>
      </c>
      <c r="P652" s="163">
        <f t="shared" si="656"/>
        <v>3999</v>
      </c>
      <c r="Q652" s="163">
        <f t="shared" si="656"/>
        <v>3953</v>
      </c>
      <c r="R652" s="163">
        <f>IFERROR(__xludf.DUMMYFUNCTION("RANK(M652,filter(M:M,C:C=C652))"),471.0)</f>
        <v>471</v>
      </c>
      <c r="S652" s="161" t="b">
        <f t="shared" si="5"/>
        <v>0</v>
      </c>
      <c r="T652" s="161" t="b">
        <f t="array" ref="T652">index('Query Tool'!B:B,match(H652,'Query Tool'!C:C,0))</f>
        <v>1</v>
      </c>
      <c r="U652" s="161" t="b">
        <f t="array" ref="U652">index('Query Tool'!B:B,match(C652,'Query Tool'!C:C,0))</f>
        <v>0</v>
      </c>
      <c r="V652" s="161" t="b">
        <f>F652&gt;='Query Tool'!C$32</f>
        <v>0</v>
      </c>
      <c r="W652" s="161" t="b">
        <f t="array" ref="W652">index(Dropdowns!B:B,match(I652,Dropdowns!A:A,0))</f>
        <v>1</v>
      </c>
      <c r="X652" s="161" t="b">
        <f t="array" ref="X652">index('Query Tool'!B:B,match(D652,'Query Tool'!C:C,0))</f>
        <v>1</v>
      </c>
      <c r="Y652" s="161" t="str">
        <f t="shared" si="6"/>
        <v>rushbr01,2014-15</v>
      </c>
      <c r="Z652" s="168">
        <f t="array" ref="Z652">iferror(index(I:I,match($A652&amp;","&amp;index('Year Conversion'!$A:$A,match($C652,'Year Conversion'!$B:$B,0)),$Y:$Y,0))-I652,"")</f>
        <v>1</v>
      </c>
      <c r="AA652" s="168">
        <f t="array" ref="AA652">iferror(index(J:J,match($A652&amp;","&amp;index('Year Conversion'!$A:$A,match($C652,'Year Conversion'!$B:$B,0)),$Y:$Y,0))-J652,"")</f>
        <v>1.599570591</v>
      </c>
      <c r="AB652" s="168">
        <f t="array" ref="AB652">iferror(index(K:K,match($A652&amp;","&amp;index('Year Conversion'!$A:$A,match($C652,'Year Conversion'!$B:$B,0)),$Y:$Y,0))-K652,"")</f>
        <v>1.962745014</v>
      </c>
      <c r="AC652" s="168" t="str">
        <f t="shared" si="7"/>
        <v>GSW,2014-15</v>
      </c>
    </row>
    <row r="653">
      <c r="A653" s="161" t="str">
        <f>IFERROR(__xludf.DUMMYFUNCTION("""COMPUTED_VALUE"""),"lopezro01")</f>
        <v>lopezro01</v>
      </c>
      <c r="B653" s="161" t="str">
        <f>IFERROR(__xludf.DUMMYFUNCTION("""COMPUTED_VALUE"""),"Robin Lopez")</f>
        <v>Robin Lopez</v>
      </c>
      <c r="C653" s="162" t="str">
        <f>IFERROR(__xludf.DUMMYFUNCTION("""COMPUTED_VALUE"""),"2014-15")</f>
        <v>2014-15</v>
      </c>
      <c r="D653" s="163" t="str">
        <f>IFERROR(__xludf.DUMMYFUNCTION("""COMPUTED_VALUE"""),"POR")</f>
        <v>POR</v>
      </c>
      <c r="E653" s="164" t="str">
        <f>IFERROR(__xludf.DUMMYFUNCTION("""COMPUTED_VALUE"""),"Roll + Cut Big")</f>
        <v>Roll + Cut Big</v>
      </c>
      <c r="F653" s="164">
        <f>IFERROR(__xludf.DUMMYFUNCTION("""COMPUTED_VALUE"""),1637.85833333333)</f>
        <v>1637.858333</v>
      </c>
      <c r="G653" s="163">
        <f>IFERROR(__xludf.DUMMYFUNCTION("""COMPUTED_VALUE"""),59.0)</f>
        <v>59</v>
      </c>
      <c r="H653" s="163" t="str">
        <f>IFERROR(__xludf.DUMMYFUNCTION("""COMPUTED_VALUE"""),"C")</f>
        <v>C</v>
      </c>
      <c r="I653" s="163">
        <f>IFERROR(__xludf.DUMMYFUNCTION("""COMPUTED_VALUE"""),26.0)</f>
        <v>26</v>
      </c>
      <c r="J653" s="165">
        <f>IFERROR(__xludf.DUMMYFUNCTION("""COMPUTED_VALUE"""),0.614667355236059)</f>
        <v>0.6146673552</v>
      </c>
      <c r="K653" s="165">
        <f>IFERROR(__xludf.DUMMYFUNCTION("""COMPUTED_VALUE"""),-0.538187626177288)</f>
        <v>-0.5381876262</v>
      </c>
      <c r="L653" s="165">
        <f>IFERROR(__xludf.DUMMYFUNCTION("""COMPUTED_VALUE"""),1.15285498141335)</f>
        <v>1.152854981</v>
      </c>
      <c r="M653" s="166">
        <f t="shared" si="2"/>
        <v>3.203408125</v>
      </c>
      <c r="N653" s="167">
        <f t="shared" si="3"/>
        <v>27.76031073</v>
      </c>
      <c r="O653" s="163">
        <f t="shared" ref="O653:Q653" si="657">rank(I653,I:I)</f>
        <v>1665</v>
      </c>
      <c r="P653" s="163">
        <f t="shared" si="657"/>
        <v>837</v>
      </c>
      <c r="Q653" s="163">
        <f t="shared" si="657"/>
        <v>2170</v>
      </c>
      <c r="R653" s="163">
        <f>IFERROR(__xludf.DUMMYFUNCTION("RANK(M653,filter(M:M,C:C=C653))"),107.0)</f>
        <v>107</v>
      </c>
      <c r="S653" s="161" t="b">
        <f t="shared" si="5"/>
        <v>0</v>
      </c>
      <c r="T653" s="161" t="b">
        <f t="array" ref="T653">index('Query Tool'!B:B,match(H653,'Query Tool'!C:C,0))</f>
        <v>1</v>
      </c>
      <c r="U653" s="161" t="b">
        <f t="array" ref="U653">index('Query Tool'!B:B,match(C653,'Query Tool'!C:C,0))</f>
        <v>0</v>
      </c>
      <c r="V653" s="161" t="b">
        <f>F653&gt;='Query Tool'!C$32</f>
        <v>1</v>
      </c>
      <c r="W653" s="161" t="b">
        <f t="array" ref="W653">index(Dropdowns!B:B,match(I653,Dropdowns!A:A,0))</f>
        <v>1</v>
      </c>
      <c r="X653" s="161" t="b">
        <f t="array" ref="X653">index('Query Tool'!B:B,match(D653,'Query Tool'!C:C,0))</f>
        <v>1</v>
      </c>
      <c r="Y653" s="161" t="str">
        <f t="shared" si="6"/>
        <v>lopezro01,2014-15</v>
      </c>
      <c r="Z653" s="168">
        <f t="array" ref="Z653">iferror(index(I:I,match($A653&amp;","&amp;index('Year Conversion'!$A:$A,match($C653,'Year Conversion'!$B:$B,0)),$Y:$Y,0))-I653,"")</f>
        <v>1</v>
      </c>
      <c r="AA653" s="168">
        <f t="array" ref="AA653">iferror(index(J:J,match($A653&amp;","&amp;index('Year Conversion'!$A:$A,match($C653,'Year Conversion'!$B:$B,0)),$Y:$Y,0))-J653,"")</f>
        <v>-1.165633525</v>
      </c>
      <c r="AB653" s="168">
        <f t="array" ref="AB653">iferror(index(K:K,match($A653&amp;","&amp;index('Year Conversion'!$A:$A,match($C653,'Year Conversion'!$B:$B,0)),$Y:$Y,0))-K653,"")</f>
        <v>-0.4137045407</v>
      </c>
      <c r="AC653" s="168" t="str">
        <f t="shared" si="7"/>
        <v>POR,2014-15</v>
      </c>
    </row>
    <row r="654">
      <c r="A654" s="161" t="str">
        <f>IFERROR(__xludf.DUMMYFUNCTION("""COMPUTED_VALUE"""),"speigma01")</f>
        <v>speigma01</v>
      </c>
      <c r="B654" s="161" t="str">
        <f>IFERROR(__xludf.DUMMYFUNCTION("""COMPUTED_VALUE"""),"Marreese Speights")</f>
        <v>Marreese Speights</v>
      </c>
      <c r="C654" s="162" t="str">
        <f>IFERROR(__xludf.DUMMYFUNCTION("""COMPUTED_VALUE"""),"2014-15")</f>
        <v>2014-15</v>
      </c>
      <c r="D654" s="163" t="str">
        <f>IFERROR(__xludf.DUMMYFUNCTION("""COMPUTED_VALUE"""),"GSW")</f>
        <v>GSW</v>
      </c>
      <c r="E654" s="164" t="str">
        <f>IFERROR(__xludf.DUMMYFUNCTION("""COMPUTED_VALUE"""),"Roll + Cut Big")</f>
        <v>Roll + Cut Big</v>
      </c>
      <c r="F654" s="164">
        <f>IFERROR(__xludf.DUMMYFUNCTION("""COMPUTED_VALUE"""),1206.95333333333)</f>
        <v>1206.953333</v>
      </c>
      <c r="G654" s="163">
        <f>IFERROR(__xludf.DUMMYFUNCTION("""COMPUTED_VALUE"""),76.0)</f>
        <v>76</v>
      </c>
      <c r="H654" s="163" t="str">
        <f>IFERROR(__xludf.DUMMYFUNCTION("""COMPUTED_VALUE"""),"C")</f>
        <v>C</v>
      </c>
      <c r="I654" s="163">
        <f>IFERROR(__xludf.DUMMYFUNCTION("""COMPUTED_VALUE"""),27.0)</f>
        <v>27</v>
      </c>
      <c r="J654" s="165">
        <f>IFERROR(__xludf.DUMMYFUNCTION("""COMPUTED_VALUE"""),-0.302468513413009)</f>
        <v>-0.3024685134</v>
      </c>
      <c r="K654" s="165">
        <f>IFERROR(__xludf.DUMMYFUNCTION("""COMPUTED_VALUE"""),0.390086830817325)</f>
        <v>0.3900868308</v>
      </c>
      <c r="L654" s="165">
        <f>IFERROR(__xludf.DUMMYFUNCTION("""COMPUTED_VALUE"""),-0.692555344230333)</f>
        <v>-0.6925553442</v>
      </c>
      <c r="M654" s="166">
        <f t="shared" si="2"/>
        <v>1.614627636</v>
      </c>
      <c r="N654" s="167">
        <f t="shared" si="3"/>
        <v>15.88096491</v>
      </c>
      <c r="O654" s="163">
        <f t="shared" ref="O654:Q654" si="658">rank(I654,I:I)</f>
        <v>1366</v>
      </c>
      <c r="P654" s="163">
        <f t="shared" si="658"/>
        <v>1617</v>
      </c>
      <c r="Q654" s="163">
        <f t="shared" si="658"/>
        <v>841</v>
      </c>
      <c r="R654" s="163">
        <f>IFERROR(__xludf.DUMMYFUNCTION("RANK(M654,filter(M:M,C:C=C654))"),191.0)</f>
        <v>191</v>
      </c>
      <c r="S654" s="161" t="b">
        <f t="shared" si="5"/>
        <v>0</v>
      </c>
      <c r="T654" s="161" t="b">
        <f t="array" ref="T654">index('Query Tool'!B:B,match(H654,'Query Tool'!C:C,0))</f>
        <v>1</v>
      </c>
      <c r="U654" s="161" t="b">
        <f t="array" ref="U654">index('Query Tool'!B:B,match(C654,'Query Tool'!C:C,0))</f>
        <v>0</v>
      </c>
      <c r="V654" s="161" t="b">
        <f>F654&gt;='Query Tool'!C$32</f>
        <v>1</v>
      </c>
      <c r="W654" s="161" t="b">
        <f t="array" ref="W654">index(Dropdowns!B:B,match(I654,Dropdowns!A:A,0))</f>
        <v>1</v>
      </c>
      <c r="X654" s="161" t="b">
        <f t="array" ref="X654">index('Query Tool'!B:B,match(D654,'Query Tool'!C:C,0))</f>
        <v>1</v>
      </c>
      <c r="Y654" s="161" t="str">
        <f t="shared" si="6"/>
        <v>speigma01,2014-15</v>
      </c>
      <c r="Z654" s="168">
        <f t="array" ref="Z654">iferror(index(I:I,match($A654&amp;","&amp;index('Year Conversion'!$A:$A,match($C654,'Year Conversion'!$B:$B,0)),$Y:$Y,0))-I654,"")</f>
        <v>1</v>
      </c>
      <c r="AA654" s="168">
        <f t="array" ref="AA654">iferror(index(J:J,match($A654&amp;","&amp;index('Year Conversion'!$A:$A,match($C654,'Year Conversion'!$B:$B,0)),$Y:$Y,0))-J654,"")</f>
        <v>-1.290737088</v>
      </c>
      <c r="AB654" s="168">
        <f t="array" ref="AB654">iferror(index(K:K,match($A654&amp;","&amp;index('Year Conversion'!$A:$A,match($C654,'Year Conversion'!$B:$B,0)),$Y:$Y,0))-K654,"")</f>
        <v>-1.026683539</v>
      </c>
      <c r="AC654" s="168" t="str">
        <f t="shared" si="7"/>
        <v>GSW,2014-15</v>
      </c>
    </row>
    <row r="655">
      <c r="A655" s="161" t="str">
        <f>IFERROR(__xludf.DUMMYFUNCTION("""COMPUTED_VALUE"""),"hibbero01")</f>
        <v>hibbero01</v>
      </c>
      <c r="B655" s="161" t="str">
        <f>IFERROR(__xludf.DUMMYFUNCTION("""COMPUTED_VALUE"""),"Roy Hibbert")</f>
        <v>Roy Hibbert</v>
      </c>
      <c r="C655" s="162" t="str">
        <f>IFERROR(__xludf.DUMMYFUNCTION("""COMPUTED_VALUE"""),"2014-15")</f>
        <v>2014-15</v>
      </c>
      <c r="D655" s="163" t="str">
        <f>IFERROR(__xludf.DUMMYFUNCTION("""COMPUTED_VALUE"""),"IND")</f>
        <v>IND</v>
      </c>
      <c r="E655" s="164" t="str">
        <f>IFERROR(__xludf.DUMMYFUNCTION("""COMPUTED_VALUE"""),"Post Scorer")</f>
        <v>Post Scorer</v>
      </c>
      <c r="F655" s="164">
        <f>IFERROR(__xludf.DUMMYFUNCTION("""COMPUTED_VALUE"""),1926.425)</f>
        <v>1926.425</v>
      </c>
      <c r="G655" s="163">
        <f>IFERROR(__xludf.DUMMYFUNCTION("""COMPUTED_VALUE"""),76.0)</f>
        <v>76</v>
      </c>
      <c r="H655" s="163" t="str">
        <f>IFERROR(__xludf.DUMMYFUNCTION("""COMPUTED_VALUE"""),"C")</f>
        <v>C</v>
      </c>
      <c r="I655" s="163">
        <f>IFERROR(__xludf.DUMMYFUNCTION("""COMPUTED_VALUE"""),28.0)</f>
        <v>28</v>
      </c>
      <c r="J655" s="165">
        <f>IFERROR(__xludf.DUMMYFUNCTION("""COMPUTED_VALUE"""),-0.489755850723682)</f>
        <v>-0.4897558507</v>
      </c>
      <c r="K655" s="165">
        <f>IFERROR(__xludf.DUMMYFUNCTION("""COMPUTED_VALUE"""),-2.12434584053684)</f>
        <v>-2.124345841</v>
      </c>
      <c r="L655" s="165">
        <f>IFERROR(__xludf.DUMMYFUNCTION("""COMPUTED_VALUE"""),1.63458998981315)</f>
        <v>1.63458999</v>
      </c>
      <c r="M655" s="166">
        <f t="shared" si="2"/>
        <v>2.334033872</v>
      </c>
      <c r="N655" s="167">
        <f t="shared" si="3"/>
        <v>25.34769737</v>
      </c>
      <c r="O655" s="163">
        <f t="shared" ref="O655:Q655" si="659">rank(I655,I:I)</f>
        <v>1090</v>
      </c>
      <c r="P655" s="163">
        <f t="shared" si="659"/>
        <v>1838</v>
      </c>
      <c r="Q655" s="163">
        <f t="shared" si="659"/>
        <v>3775</v>
      </c>
      <c r="R655" s="163">
        <f>IFERROR(__xludf.DUMMYFUNCTION("RANK(M655,filter(M:M,C:C=C655))"),152.0)</f>
        <v>152</v>
      </c>
      <c r="S655" s="161" t="b">
        <f t="shared" si="5"/>
        <v>0</v>
      </c>
      <c r="T655" s="161" t="b">
        <f t="array" ref="T655">index('Query Tool'!B:B,match(H655,'Query Tool'!C:C,0))</f>
        <v>1</v>
      </c>
      <c r="U655" s="161" t="b">
        <f t="array" ref="U655">index('Query Tool'!B:B,match(C655,'Query Tool'!C:C,0))</f>
        <v>0</v>
      </c>
      <c r="V655" s="161" t="b">
        <f>F655&gt;='Query Tool'!C$32</f>
        <v>1</v>
      </c>
      <c r="W655" s="161" t="b">
        <f t="array" ref="W655">index(Dropdowns!B:B,match(I655,Dropdowns!A:A,0))</f>
        <v>1</v>
      </c>
      <c r="X655" s="161" t="b">
        <f t="array" ref="X655">index('Query Tool'!B:B,match(D655,'Query Tool'!C:C,0))</f>
        <v>1</v>
      </c>
      <c r="Y655" s="161" t="str">
        <f t="shared" si="6"/>
        <v>hibbero01,2014-15</v>
      </c>
      <c r="Z655" s="168">
        <f t="array" ref="Z655">iferror(index(I:I,match($A655&amp;","&amp;index('Year Conversion'!$A:$A,match($C655,'Year Conversion'!$B:$B,0)),$Y:$Y,0))-I655,"")</f>
        <v>1</v>
      </c>
      <c r="AA655" s="168">
        <f t="array" ref="AA655">iferror(index(J:J,match($A655&amp;","&amp;index('Year Conversion'!$A:$A,match($C655,'Year Conversion'!$B:$B,0)),$Y:$Y,0))-J655,"")</f>
        <v>-3.019977165</v>
      </c>
      <c r="AB655" s="168">
        <f t="array" ref="AB655">iferror(index(K:K,match($A655&amp;","&amp;index('Year Conversion'!$A:$A,match($C655,'Year Conversion'!$B:$B,0)),$Y:$Y,0))-K655,"")</f>
        <v>-2.197673204</v>
      </c>
      <c r="AC655" s="168" t="str">
        <f t="shared" si="7"/>
        <v>IND,2014-15</v>
      </c>
    </row>
    <row r="656">
      <c r="A656" s="161" t="str">
        <f>IFERROR(__xludf.DUMMYFUNCTION("""COMPUTED_VALUE"""),"mcgeeja01")</f>
        <v>mcgeeja01</v>
      </c>
      <c r="B656" s="161" t="str">
        <f>IFERROR(__xludf.DUMMYFUNCTION("""COMPUTED_VALUE"""),"JaVale McGee")</f>
        <v>JaVale McGee</v>
      </c>
      <c r="C656" s="162" t="str">
        <f>IFERROR(__xludf.DUMMYFUNCTION("""COMPUTED_VALUE"""),"2014-15")</f>
        <v>2014-15</v>
      </c>
      <c r="D656" s="163" t="str">
        <f>IFERROR(__xludf.DUMMYFUNCTION("""COMPUTED_VALUE"""),"TOT")</f>
        <v>TOT</v>
      </c>
      <c r="E656" s="164" t="str">
        <f>IFERROR(__xludf.DUMMYFUNCTION("""COMPUTED_VALUE"""),"Post Scorer")</f>
        <v>Post Scorer</v>
      </c>
      <c r="F656" s="164">
        <f>IFERROR(__xludf.DUMMYFUNCTION("""COMPUTED_VALUE"""),256.021666666667)</f>
        <v>256.0216667</v>
      </c>
      <c r="G656" s="163">
        <f>IFERROR(__xludf.DUMMYFUNCTION("""COMPUTED_VALUE"""),23.0)</f>
        <v>23</v>
      </c>
      <c r="H656" s="163" t="str">
        <f>IFERROR(__xludf.DUMMYFUNCTION("""COMPUTED_VALUE"""),"C")</f>
        <v>C</v>
      </c>
      <c r="I656" s="163">
        <f>IFERROR(__xludf.DUMMYFUNCTION("""COMPUTED_VALUE"""),27.0)</f>
        <v>27</v>
      </c>
      <c r="J656" s="165">
        <f>IFERROR(__xludf.DUMMYFUNCTION("""COMPUTED_VALUE"""),-0.636989110622223)</f>
        <v>-0.6369891106</v>
      </c>
      <c r="K656" s="165">
        <f>IFERROR(__xludf.DUMMYFUNCTION("""COMPUTED_VALUE"""),-0.986333922194)</f>
        <v>-0.9863339222</v>
      </c>
      <c r="L656" s="165">
        <f>IFERROR(__xludf.DUMMYFUNCTION("""COMPUTED_VALUE"""),0.349344811571777)</f>
        <v>0.3493448116</v>
      </c>
      <c r="M656" s="166">
        <f t="shared" si="2"/>
        <v>0.2848130953</v>
      </c>
      <c r="N656" s="167">
        <f t="shared" si="3"/>
        <v>11.13137681</v>
      </c>
      <c r="O656" s="163">
        <f t="shared" ref="O656:Q656" si="660">rank(I656,I:I)</f>
        <v>1366</v>
      </c>
      <c r="P656" s="163">
        <f t="shared" si="660"/>
        <v>2041</v>
      </c>
      <c r="Q656" s="163">
        <f t="shared" si="660"/>
        <v>2781</v>
      </c>
      <c r="R656" s="163">
        <f>IFERROR(__xludf.DUMMYFUNCTION("RANK(M656,filter(M:M,C:C=C656))"),314.0)</f>
        <v>314</v>
      </c>
      <c r="S656" s="161" t="b">
        <f t="shared" si="5"/>
        <v>0</v>
      </c>
      <c r="T656" s="161" t="b">
        <f t="array" ref="T656">index('Query Tool'!B:B,match(H656,'Query Tool'!C:C,0))</f>
        <v>1</v>
      </c>
      <c r="U656" s="161" t="b">
        <f t="array" ref="U656">index('Query Tool'!B:B,match(C656,'Query Tool'!C:C,0))</f>
        <v>0</v>
      </c>
      <c r="V656" s="161" t="b">
        <f>F656&gt;='Query Tool'!C$32</f>
        <v>0</v>
      </c>
      <c r="W656" s="161" t="b">
        <f t="array" ref="W656">index(Dropdowns!B:B,match(I656,Dropdowns!A:A,0))</f>
        <v>1</v>
      </c>
      <c r="X656" s="161" t="b">
        <f t="array" ref="X656">index('Query Tool'!B:B,match(D656,'Query Tool'!C:C,0))</f>
        <v>1</v>
      </c>
      <c r="Y656" s="161" t="str">
        <f t="shared" si="6"/>
        <v>mcgeeja01,2014-15</v>
      </c>
      <c r="Z656" s="168">
        <f t="array" ref="Z656">iferror(index(I:I,match($A656&amp;","&amp;index('Year Conversion'!$A:$A,match($C656,'Year Conversion'!$B:$B,0)),$Y:$Y,0))-I656,"")</f>
        <v>1</v>
      </c>
      <c r="AA656" s="168">
        <f t="array" ref="AA656">iferror(index(J:J,match($A656&amp;","&amp;index('Year Conversion'!$A:$A,match($C656,'Year Conversion'!$B:$B,0)),$Y:$Y,0))-J656,"")</f>
        <v>-0.02241547651</v>
      </c>
      <c r="AB656" s="168">
        <f t="array" ref="AB656">iferror(index(K:K,match($A656&amp;","&amp;index('Year Conversion'!$A:$A,match($C656,'Year Conversion'!$B:$B,0)),$Y:$Y,0))-K656,"")</f>
        <v>-0.0828319059</v>
      </c>
      <c r="AC656" s="168" t="str">
        <f t="shared" si="7"/>
        <v>TOT,2014-15</v>
      </c>
    </row>
    <row r="657">
      <c r="A657" s="161" t="str">
        <f>IFERROR(__xludf.DUMMYFUNCTION("""COMPUTED_VALUE"""),"hicksjj01")</f>
        <v>hicksjj01</v>
      </c>
      <c r="B657" s="161" t="str">
        <f>IFERROR(__xludf.DUMMYFUNCTION("""COMPUTED_VALUE"""),"JJ Hickson")</f>
        <v>JJ Hickson</v>
      </c>
      <c r="C657" s="162" t="str">
        <f>IFERROR(__xludf.DUMMYFUNCTION("""COMPUTED_VALUE"""),"2014-15")</f>
        <v>2014-15</v>
      </c>
      <c r="D657" s="163" t="str">
        <f>IFERROR(__xludf.DUMMYFUNCTION("""COMPUTED_VALUE"""),"DEN")</f>
        <v>DEN</v>
      </c>
      <c r="E657" s="164" t="str">
        <f>IFERROR(__xludf.DUMMYFUNCTION("""COMPUTED_VALUE"""),"Post Scorer")</f>
        <v>Post Scorer</v>
      </c>
      <c r="F657" s="164">
        <f>IFERROR(__xludf.DUMMYFUNCTION("""COMPUTED_VALUE"""),1411.27333333333)</f>
        <v>1411.273333</v>
      </c>
      <c r="G657" s="163">
        <f>IFERROR(__xludf.DUMMYFUNCTION("""COMPUTED_VALUE"""),73.0)</f>
        <v>73</v>
      </c>
      <c r="H657" s="163" t="str">
        <f>IFERROR(__xludf.DUMMYFUNCTION("""COMPUTED_VALUE"""),"C")</f>
        <v>C</v>
      </c>
      <c r="I657" s="163">
        <f>IFERROR(__xludf.DUMMYFUNCTION("""COMPUTED_VALUE"""),26.0)</f>
        <v>26</v>
      </c>
      <c r="J657" s="165">
        <f>IFERROR(__xludf.DUMMYFUNCTION("""COMPUTED_VALUE"""),-2.62062314523828)</f>
        <v>-2.620623145</v>
      </c>
      <c r="K657" s="165">
        <f>IFERROR(__xludf.DUMMYFUNCTION("""COMPUTED_VALUE"""),-1.79533209907739)</f>
        <v>-1.795332099</v>
      </c>
      <c r="L657" s="165">
        <f>IFERROR(__xludf.DUMMYFUNCTION("""COMPUTED_VALUE"""),-0.825291046160898)</f>
        <v>-0.8252910462</v>
      </c>
      <c r="M657" s="166">
        <f t="shared" si="2"/>
        <v>-0.2942012109</v>
      </c>
      <c r="N657" s="167">
        <f t="shared" si="3"/>
        <v>19.33251142</v>
      </c>
      <c r="O657" s="163">
        <f t="shared" ref="O657:Q657" si="661">rank(I657,I:I)</f>
        <v>1665</v>
      </c>
      <c r="P657" s="163">
        <f t="shared" si="661"/>
        <v>3793</v>
      </c>
      <c r="Q657" s="163">
        <f t="shared" si="661"/>
        <v>3573</v>
      </c>
      <c r="R657" s="163">
        <f>IFERROR(__xludf.DUMMYFUNCTION("RANK(M657,filter(M:M,C:C=C657))"),469.0)</f>
        <v>469</v>
      </c>
      <c r="S657" s="161" t="b">
        <f t="shared" si="5"/>
        <v>0</v>
      </c>
      <c r="T657" s="161" t="b">
        <f t="array" ref="T657">index('Query Tool'!B:B,match(H657,'Query Tool'!C:C,0))</f>
        <v>1</v>
      </c>
      <c r="U657" s="161" t="b">
        <f t="array" ref="U657">index('Query Tool'!B:B,match(C657,'Query Tool'!C:C,0))</f>
        <v>0</v>
      </c>
      <c r="V657" s="161" t="b">
        <f>F657&gt;='Query Tool'!C$32</f>
        <v>1</v>
      </c>
      <c r="W657" s="161" t="b">
        <f t="array" ref="W657">index(Dropdowns!B:B,match(I657,Dropdowns!A:A,0))</f>
        <v>1</v>
      </c>
      <c r="X657" s="161" t="b">
        <f t="array" ref="X657">index('Query Tool'!B:B,match(D657,'Query Tool'!C:C,0))</f>
        <v>1</v>
      </c>
      <c r="Y657" s="161" t="str">
        <f t="shared" si="6"/>
        <v>hicksjj01,2014-15</v>
      </c>
      <c r="Z657" s="168">
        <f t="array" ref="Z657">iferror(index(I:I,match($A657&amp;","&amp;index('Year Conversion'!$A:$A,match($C657,'Year Conversion'!$B:$B,0)),$Y:$Y,0))-I657,"")</f>
        <v>1</v>
      </c>
      <c r="AA657" s="168">
        <f t="array" ref="AA657">iferror(index(J:J,match($A657&amp;","&amp;index('Year Conversion'!$A:$A,match($C657,'Year Conversion'!$B:$B,0)),$Y:$Y,0))-J657,"")</f>
        <v>2.775829748</v>
      </c>
      <c r="AB657" s="168">
        <f t="array" ref="AB657">iferror(index(K:K,match($A657&amp;","&amp;index('Year Conversion'!$A:$A,match($C657,'Year Conversion'!$B:$B,0)),$Y:$Y,0))-K657,"")</f>
        <v>1.262616365</v>
      </c>
      <c r="AC657" s="168" t="str">
        <f t="shared" si="7"/>
        <v>DEN,2014-15</v>
      </c>
    </row>
    <row r="658">
      <c r="A658" s="161" t="str">
        <f>IFERROR(__xludf.DUMMYFUNCTION("""COMPUTED_VALUE"""),"ajincal01")</f>
        <v>ajincal01</v>
      </c>
      <c r="B658" s="161" t="str">
        <f>IFERROR(__xludf.DUMMYFUNCTION("""COMPUTED_VALUE"""),"Alexis Ajinca")</f>
        <v>Alexis Ajinca</v>
      </c>
      <c r="C658" s="162" t="str">
        <f>IFERROR(__xludf.DUMMYFUNCTION("""COMPUTED_VALUE"""),"2014-15")</f>
        <v>2014-15</v>
      </c>
      <c r="D658" s="163" t="str">
        <f>IFERROR(__xludf.DUMMYFUNCTION("""COMPUTED_VALUE"""),"NOP")</f>
        <v>NOP</v>
      </c>
      <c r="E658" s="164" t="str">
        <f>IFERROR(__xludf.DUMMYFUNCTION("""COMPUTED_VALUE"""),"Post Scorer")</f>
        <v>Post Scorer</v>
      </c>
      <c r="F658" s="164">
        <f>IFERROR(__xludf.DUMMYFUNCTION("""COMPUTED_VALUE"""),956.536666666667)</f>
        <v>956.5366667</v>
      </c>
      <c r="G658" s="163">
        <f>IFERROR(__xludf.DUMMYFUNCTION("""COMPUTED_VALUE"""),68.0)</f>
        <v>68</v>
      </c>
      <c r="H658" s="163" t="str">
        <f>IFERROR(__xludf.DUMMYFUNCTION("""COMPUTED_VALUE"""),"C")</f>
        <v>C</v>
      </c>
      <c r="I658" s="163">
        <f>IFERROR(__xludf.DUMMYFUNCTION("""COMPUTED_VALUE"""),26.0)</f>
        <v>26</v>
      </c>
      <c r="J658" s="165">
        <f>IFERROR(__xludf.DUMMYFUNCTION("""COMPUTED_VALUE"""),-0.102190467964689)</f>
        <v>-0.102190468</v>
      </c>
      <c r="K658" s="165">
        <f>IFERROR(__xludf.DUMMYFUNCTION("""COMPUTED_VALUE"""),-0.725544788729007)</f>
        <v>-0.7255447887</v>
      </c>
      <c r="L658" s="165">
        <f>IFERROR(__xludf.DUMMYFUNCTION("""COMPUTED_VALUE"""),0.623354320764318)</f>
        <v>0.6233543208</v>
      </c>
      <c r="M658" s="166">
        <f t="shared" si="2"/>
        <v>1.408760318</v>
      </c>
      <c r="N658" s="167">
        <f t="shared" si="3"/>
        <v>14.06671569</v>
      </c>
      <c r="O658" s="163">
        <f t="shared" ref="O658:Q658" si="662">rank(I658,I:I)</f>
        <v>1665</v>
      </c>
      <c r="P658" s="163">
        <f t="shared" si="662"/>
        <v>1385</v>
      </c>
      <c r="Q658" s="163">
        <f t="shared" si="662"/>
        <v>2447</v>
      </c>
      <c r="R658" s="163">
        <f>IFERROR(__xludf.DUMMYFUNCTION("RANK(M658,filter(M:M,C:C=C658))"),207.0)</f>
        <v>207</v>
      </c>
      <c r="S658" s="161" t="b">
        <f t="shared" si="5"/>
        <v>0</v>
      </c>
      <c r="T658" s="161" t="b">
        <f t="array" ref="T658">index('Query Tool'!B:B,match(H658,'Query Tool'!C:C,0))</f>
        <v>1</v>
      </c>
      <c r="U658" s="161" t="b">
        <f t="array" ref="U658">index('Query Tool'!B:B,match(C658,'Query Tool'!C:C,0))</f>
        <v>0</v>
      </c>
      <c r="V658" s="161" t="b">
        <f>F658&gt;='Query Tool'!C$32</f>
        <v>1</v>
      </c>
      <c r="W658" s="161" t="b">
        <f t="array" ref="W658">index(Dropdowns!B:B,match(I658,Dropdowns!A:A,0))</f>
        <v>1</v>
      </c>
      <c r="X658" s="161" t="b">
        <f t="array" ref="X658">index('Query Tool'!B:B,match(D658,'Query Tool'!C:C,0))</f>
        <v>1</v>
      </c>
      <c r="Y658" s="161" t="str">
        <f t="shared" si="6"/>
        <v>ajincal01,2014-15</v>
      </c>
      <c r="Z658" s="168">
        <f t="array" ref="Z658">iferror(index(I:I,match($A658&amp;","&amp;index('Year Conversion'!$A:$A,match($C658,'Year Conversion'!$B:$B,0)),$Y:$Y,0))-I658,"")</f>
        <v>1</v>
      </c>
      <c r="AA658" s="168">
        <f t="array" ref="AA658">iferror(index(J:J,match($A658&amp;","&amp;index('Year Conversion'!$A:$A,match($C658,'Year Conversion'!$B:$B,0)),$Y:$Y,0))-J658,"")</f>
        <v>-1.097348424</v>
      </c>
      <c r="AB658" s="168">
        <f t="array" ref="AB658">iferror(index(K:K,match($A658&amp;","&amp;index('Year Conversion'!$A:$A,match($C658,'Year Conversion'!$B:$B,0)),$Y:$Y,0))-K658,"")</f>
        <v>-2.055704612</v>
      </c>
      <c r="AC658" s="168" t="str">
        <f t="shared" si="7"/>
        <v>NOP,2014-15</v>
      </c>
    </row>
    <row r="659">
      <c r="A659" s="161" t="str">
        <f>IFERROR(__xludf.DUMMYFUNCTION("""COMPUTED_VALUE"""),"anderry01")</f>
        <v>anderry01</v>
      </c>
      <c r="B659" s="161" t="str">
        <f>IFERROR(__xludf.DUMMYFUNCTION("""COMPUTED_VALUE"""),"Ryan Anderson")</f>
        <v>Ryan Anderson</v>
      </c>
      <c r="C659" s="162" t="str">
        <f>IFERROR(__xludf.DUMMYFUNCTION("""COMPUTED_VALUE"""),"2014-15")</f>
        <v>2014-15</v>
      </c>
      <c r="D659" s="163" t="str">
        <f>IFERROR(__xludf.DUMMYFUNCTION("""COMPUTED_VALUE"""),"NOP")</f>
        <v>NOP</v>
      </c>
      <c r="E659" s="164" t="str">
        <f>IFERROR(__xludf.DUMMYFUNCTION("""COMPUTED_VALUE"""),"Stretch Big")</f>
        <v>Stretch Big</v>
      </c>
      <c r="F659" s="164">
        <f>IFERROR(__xludf.DUMMYFUNCTION("""COMPUTED_VALUE"""),1674.66)</f>
        <v>1674.66</v>
      </c>
      <c r="G659" s="163">
        <f>IFERROR(__xludf.DUMMYFUNCTION("""COMPUTED_VALUE"""),61.0)</f>
        <v>61</v>
      </c>
      <c r="H659" s="163" t="str">
        <f>IFERROR(__xludf.DUMMYFUNCTION("""COMPUTED_VALUE"""),"PF")</f>
        <v>PF</v>
      </c>
      <c r="I659" s="163">
        <f>IFERROR(__xludf.DUMMYFUNCTION("""COMPUTED_VALUE"""),26.0)</f>
        <v>26</v>
      </c>
      <c r="J659" s="165">
        <f>IFERROR(__xludf.DUMMYFUNCTION("""COMPUTED_VALUE"""),-0.939159642448927)</f>
        <v>-0.9391596424</v>
      </c>
      <c r="K659" s="165">
        <f>IFERROR(__xludf.DUMMYFUNCTION("""COMPUTED_VALUE"""),2.26419129934663)</f>
        <v>2.264191299</v>
      </c>
      <c r="L659" s="165">
        <f>IFERROR(__xludf.DUMMYFUNCTION("""COMPUTED_VALUE"""),-3.20335094179555)</f>
        <v>-3.203350942</v>
      </c>
      <c r="M659" s="166">
        <f t="shared" si="2"/>
        <v>1.522717228</v>
      </c>
      <c r="N659" s="167">
        <f t="shared" si="3"/>
        <v>27.45344262</v>
      </c>
      <c r="O659" s="163">
        <f t="shared" ref="O659:Q659" si="663">rank(I659,I:I)</f>
        <v>1665</v>
      </c>
      <c r="P659" s="163">
        <f t="shared" si="663"/>
        <v>2435</v>
      </c>
      <c r="Q659" s="163">
        <f t="shared" si="663"/>
        <v>183</v>
      </c>
      <c r="R659" s="163">
        <f>IFERROR(__xludf.DUMMYFUNCTION("RANK(M659,filter(M:M,C:C=C659))"),195.0)</f>
        <v>195</v>
      </c>
      <c r="S659" s="161" t="b">
        <f t="shared" si="5"/>
        <v>0</v>
      </c>
      <c r="T659" s="161" t="b">
        <f t="array" ref="T659">index('Query Tool'!B:B,match(H659,'Query Tool'!C:C,0))</f>
        <v>1</v>
      </c>
      <c r="U659" s="161" t="b">
        <f t="array" ref="U659">index('Query Tool'!B:B,match(C659,'Query Tool'!C:C,0))</f>
        <v>0</v>
      </c>
      <c r="V659" s="161" t="b">
        <f>F659&gt;='Query Tool'!C$32</f>
        <v>1</v>
      </c>
      <c r="W659" s="161" t="b">
        <f t="array" ref="W659">index(Dropdowns!B:B,match(I659,Dropdowns!A:A,0))</f>
        <v>1</v>
      </c>
      <c r="X659" s="161" t="b">
        <f t="array" ref="X659">index('Query Tool'!B:B,match(D659,'Query Tool'!C:C,0))</f>
        <v>1</v>
      </c>
      <c r="Y659" s="161" t="str">
        <f t="shared" si="6"/>
        <v>anderry01,2014-15</v>
      </c>
      <c r="Z659" s="168">
        <f t="array" ref="Z659">iferror(index(I:I,match($A659&amp;","&amp;index('Year Conversion'!$A:$A,match($C659,'Year Conversion'!$B:$B,0)),$Y:$Y,0))-I659,"")</f>
        <v>1</v>
      </c>
      <c r="AA659" s="168">
        <f t="array" ref="AA659">iferror(index(J:J,match($A659&amp;","&amp;index('Year Conversion'!$A:$A,match($C659,'Year Conversion'!$B:$B,0)),$Y:$Y,0))-J659,"")</f>
        <v>0.8920977294</v>
      </c>
      <c r="AB659" s="168">
        <f t="array" ref="AB659">iferror(index(K:K,match($A659&amp;","&amp;index('Year Conversion'!$A:$A,match($C659,'Year Conversion'!$B:$B,0)),$Y:$Y,0))-K659,"")</f>
        <v>-0.5902350355</v>
      </c>
      <c r="AC659" s="168" t="str">
        <f t="shared" si="7"/>
        <v>NOP,2014-15</v>
      </c>
    </row>
    <row r="660">
      <c r="A660" s="161" t="str">
        <f>IFERROR(__xludf.DUMMYFUNCTION("""COMPUTED_VALUE"""),"leeco01")</f>
        <v>leeco01</v>
      </c>
      <c r="B660" s="161" t="str">
        <f>IFERROR(__xludf.DUMMYFUNCTION("""COMPUTED_VALUE"""),"Courtney Lee")</f>
        <v>Courtney Lee</v>
      </c>
      <c r="C660" s="162" t="str">
        <f>IFERROR(__xludf.DUMMYFUNCTION("""COMPUTED_VALUE"""),"2014-15")</f>
        <v>2014-15</v>
      </c>
      <c r="D660" s="163" t="str">
        <f>IFERROR(__xludf.DUMMYFUNCTION("""COMPUTED_VALUE"""),"MEM")</f>
        <v>MEM</v>
      </c>
      <c r="E660" s="164" t="str">
        <f>IFERROR(__xludf.DUMMYFUNCTION("""COMPUTED_VALUE"""),"Movement Shooter")</f>
        <v>Movement Shooter</v>
      </c>
      <c r="F660" s="164">
        <f>IFERROR(__xludf.DUMMYFUNCTION("""COMPUTED_VALUE"""),2354.42666666667)</f>
        <v>2354.426667</v>
      </c>
      <c r="G660" s="163">
        <f>IFERROR(__xludf.DUMMYFUNCTION("""COMPUTED_VALUE"""),77.0)</f>
        <v>77</v>
      </c>
      <c r="H660" s="163" t="str">
        <f>IFERROR(__xludf.DUMMYFUNCTION("""COMPUTED_VALUE"""),"SG")</f>
        <v>SG</v>
      </c>
      <c r="I660" s="163">
        <f>IFERROR(__xludf.DUMMYFUNCTION("""COMPUTED_VALUE"""),29.0)</f>
        <v>29</v>
      </c>
      <c r="J660" s="165">
        <f>IFERROR(__xludf.DUMMYFUNCTION("""COMPUTED_VALUE"""),-0.691424338103466)</f>
        <v>-0.6914243381</v>
      </c>
      <c r="K660" s="165">
        <f>IFERROR(__xludf.DUMMYFUNCTION("""COMPUTED_VALUE"""),-0.260774378777403)</f>
        <v>-0.2607743788</v>
      </c>
      <c r="L660" s="165">
        <f>IFERROR(__xludf.DUMMYFUNCTION("""COMPUTED_VALUE"""),-0.430649959326063)</f>
        <v>-0.4306499593</v>
      </c>
      <c r="M660" s="166">
        <f t="shared" si="2"/>
        <v>2.532950492</v>
      </c>
      <c r="N660" s="167">
        <f t="shared" si="3"/>
        <v>30.5769697</v>
      </c>
      <c r="O660" s="163">
        <f t="shared" ref="O660:Q660" si="664">rank(I660,I:I)</f>
        <v>855</v>
      </c>
      <c r="P660" s="163">
        <f t="shared" si="664"/>
        <v>2129</v>
      </c>
      <c r="Q660" s="163">
        <f t="shared" si="664"/>
        <v>1691</v>
      </c>
      <c r="R660" s="163">
        <f>IFERROR(__xludf.DUMMYFUNCTION("RANK(M660,filter(M:M,C:C=C660))"),139.0)</f>
        <v>139</v>
      </c>
      <c r="S660" s="161" t="b">
        <f t="shared" si="5"/>
        <v>0</v>
      </c>
      <c r="T660" s="161" t="b">
        <f t="array" ref="T660">index('Query Tool'!B:B,match(H660,'Query Tool'!C:C,0))</f>
        <v>1</v>
      </c>
      <c r="U660" s="161" t="b">
        <f t="array" ref="U660">index('Query Tool'!B:B,match(C660,'Query Tool'!C:C,0))</f>
        <v>0</v>
      </c>
      <c r="V660" s="161" t="b">
        <f>F660&gt;='Query Tool'!C$32</f>
        <v>1</v>
      </c>
      <c r="W660" s="161" t="b">
        <f t="array" ref="W660">index(Dropdowns!B:B,match(I660,Dropdowns!A:A,0))</f>
        <v>1</v>
      </c>
      <c r="X660" s="161" t="b">
        <f t="array" ref="X660">index('Query Tool'!B:B,match(D660,'Query Tool'!C:C,0))</f>
        <v>1</v>
      </c>
      <c r="Y660" s="161" t="str">
        <f t="shared" si="6"/>
        <v>leeco01,2014-15</v>
      </c>
      <c r="Z660" s="168">
        <f t="array" ref="Z660">iferror(index(I:I,match($A660&amp;","&amp;index('Year Conversion'!$A:$A,match($C660,'Year Conversion'!$B:$B,0)),$Y:$Y,0))-I660,"")</f>
        <v>1</v>
      </c>
      <c r="AA660" s="168">
        <f t="array" ref="AA660">iferror(index(J:J,match($A660&amp;","&amp;index('Year Conversion'!$A:$A,match($C660,'Year Conversion'!$B:$B,0)),$Y:$Y,0))-J660,"")</f>
        <v>0.07566120181</v>
      </c>
      <c r="AB660" s="168">
        <f t="array" ref="AB660">iferror(index(K:K,match($A660&amp;","&amp;index('Year Conversion'!$A:$A,match($C660,'Year Conversion'!$B:$B,0)),$Y:$Y,0))-K660,"")</f>
        <v>-0.2222634182</v>
      </c>
      <c r="AC660" s="168" t="str">
        <f t="shared" si="7"/>
        <v>MEM,2014-15</v>
      </c>
    </row>
    <row r="661">
      <c r="A661" s="161" t="str">
        <f>IFERROR(__xludf.DUMMYFUNCTION("""COMPUTED_VALUE"""),"koufoko01")</f>
        <v>koufoko01</v>
      </c>
      <c r="B661" s="161" t="str">
        <f>IFERROR(__xludf.DUMMYFUNCTION("""COMPUTED_VALUE"""),"Kosta Koufos")</f>
        <v>Kosta Koufos</v>
      </c>
      <c r="C661" s="162" t="str">
        <f>IFERROR(__xludf.DUMMYFUNCTION("""COMPUTED_VALUE"""),"2014-15")</f>
        <v>2014-15</v>
      </c>
      <c r="D661" s="163" t="str">
        <f>IFERROR(__xludf.DUMMYFUNCTION("""COMPUTED_VALUE"""),"MEM")</f>
        <v>MEM</v>
      </c>
      <c r="E661" s="164" t="str">
        <f>IFERROR(__xludf.DUMMYFUNCTION("""COMPUTED_VALUE"""),"Post Scorer")</f>
        <v>Post Scorer</v>
      </c>
      <c r="F661" s="164">
        <f>IFERROR(__xludf.DUMMYFUNCTION("""COMPUTED_VALUE"""),1348.24666666667)</f>
        <v>1348.246667</v>
      </c>
      <c r="G661" s="163">
        <f>IFERROR(__xludf.DUMMYFUNCTION("""COMPUTED_VALUE"""),81.0)</f>
        <v>81</v>
      </c>
      <c r="H661" s="163" t="str">
        <f>IFERROR(__xludf.DUMMYFUNCTION("""COMPUTED_VALUE"""),"C")</f>
        <v>C</v>
      </c>
      <c r="I661" s="163">
        <f>IFERROR(__xludf.DUMMYFUNCTION("""COMPUTED_VALUE"""),25.0)</f>
        <v>25</v>
      </c>
      <c r="J661" s="165">
        <f>IFERROR(__xludf.DUMMYFUNCTION("""COMPUTED_VALUE"""),0.549099533494926)</f>
        <v>0.5490995335</v>
      </c>
      <c r="K661" s="165">
        <f>IFERROR(__xludf.DUMMYFUNCTION("""COMPUTED_VALUE"""),-1.90297263409642)</f>
        <v>-1.902972634</v>
      </c>
      <c r="L661" s="165">
        <f>IFERROR(__xludf.DUMMYFUNCTION("""COMPUTED_VALUE"""),2.45207216759134)</f>
        <v>2.452072168</v>
      </c>
      <c r="M661" s="166">
        <f t="shared" si="2"/>
        <v>2.577455286</v>
      </c>
      <c r="N661" s="167">
        <f t="shared" si="3"/>
        <v>16.64502058</v>
      </c>
      <c r="O661" s="163">
        <f t="shared" ref="O661:Q661" si="665">rank(I661,I:I)</f>
        <v>1995</v>
      </c>
      <c r="P661" s="163">
        <f t="shared" si="665"/>
        <v>870</v>
      </c>
      <c r="Q661" s="163">
        <f t="shared" si="665"/>
        <v>3649</v>
      </c>
      <c r="R661" s="163">
        <f>IFERROR(__xludf.DUMMYFUNCTION("RANK(M661,filter(M:M,C:C=C661))"),137.0)</f>
        <v>137</v>
      </c>
      <c r="S661" s="161" t="b">
        <f t="shared" si="5"/>
        <v>0</v>
      </c>
      <c r="T661" s="161" t="b">
        <f t="array" ref="T661">index('Query Tool'!B:B,match(H661,'Query Tool'!C:C,0))</f>
        <v>1</v>
      </c>
      <c r="U661" s="161" t="b">
        <f t="array" ref="U661">index('Query Tool'!B:B,match(C661,'Query Tool'!C:C,0))</f>
        <v>0</v>
      </c>
      <c r="V661" s="161" t="b">
        <f>F661&gt;='Query Tool'!C$32</f>
        <v>1</v>
      </c>
      <c r="W661" s="161" t="b">
        <f t="array" ref="W661">index(Dropdowns!B:B,match(I661,Dropdowns!A:A,0))</f>
        <v>1</v>
      </c>
      <c r="X661" s="161" t="b">
        <f t="array" ref="X661">index('Query Tool'!B:B,match(D661,'Query Tool'!C:C,0))</f>
        <v>1</v>
      </c>
      <c r="Y661" s="161" t="str">
        <f t="shared" si="6"/>
        <v>koufoko01,2014-15</v>
      </c>
      <c r="Z661" s="168">
        <f t="array" ref="Z661">iferror(index(I:I,match($A661&amp;","&amp;index('Year Conversion'!$A:$A,match($C661,'Year Conversion'!$B:$B,0)),$Y:$Y,0))-I661,"")</f>
        <v>1</v>
      </c>
      <c r="AA661" s="168">
        <f t="array" ref="AA661">iferror(index(J:J,match($A661&amp;","&amp;index('Year Conversion'!$A:$A,match($C661,'Year Conversion'!$B:$B,0)),$Y:$Y,0))-J661,"")</f>
        <v>-2.312208865</v>
      </c>
      <c r="AB661" s="168">
        <f t="array" ref="AB661">iferror(index(K:K,match($A661&amp;","&amp;index('Year Conversion'!$A:$A,match($C661,'Year Conversion'!$B:$B,0)),$Y:$Y,0))-K661,"")</f>
        <v>0.1176704714</v>
      </c>
      <c r="AC661" s="168" t="str">
        <f t="shared" si="7"/>
        <v>MEM,2014-15</v>
      </c>
    </row>
    <row r="662">
      <c r="A662" s="161" t="str">
        <f>IFERROR(__xludf.DUMMYFUNCTION("""COMPUTED_VALUE"""),"ibakase01")</f>
        <v>ibakase01</v>
      </c>
      <c r="B662" s="161" t="str">
        <f>IFERROR(__xludf.DUMMYFUNCTION("""COMPUTED_VALUE"""),"Serge Ibaka")</f>
        <v>Serge Ibaka</v>
      </c>
      <c r="C662" s="162" t="str">
        <f>IFERROR(__xludf.DUMMYFUNCTION("""COMPUTED_VALUE"""),"2014-15")</f>
        <v>2014-15</v>
      </c>
      <c r="D662" s="163" t="str">
        <f>IFERROR(__xludf.DUMMYFUNCTION("""COMPUTED_VALUE"""),"OKC")</f>
        <v>OKC</v>
      </c>
      <c r="E662" s="164" t="str">
        <f>IFERROR(__xludf.DUMMYFUNCTION("""COMPUTED_VALUE"""),"Stretch Big")</f>
        <v>Stretch Big</v>
      </c>
      <c r="F662" s="164">
        <f>IFERROR(__xludf.DUMMYFUNCTION("""COMPUTED_VALUE"""),2115.785)</f>
        <v>2115.785</v>
      </c>
      <c r="G662" s="163">
        <f>IFERROR(__xludf.DUMMYFUNCTION("""COMPUTED_VALUE"""),64.0)</f>
        <v>64</v>
      </c>
      <c r="H662" s="163" t="str">
        <f>IFERROR(__xludf.DUMMYFUNCTION("""COMPUTED_VALUE"""),"PF")</f>
        <v>PF</v>
      </c>
      <c r="I662" s="163">
        <f>IFERROR(__xludf.DUMMYFUNCTION("""COMPUTED_VALUE"""),25.0)</f>
        <v>25</v>
      </c>
      <c r="J662" s="165">
        <f>IFERROR(__xludf.DUMMYFUNCTION("""COMPUTED_VALUE"""),1.87413329899599)</f>
        <v>1.874133299</v>
      </c>
      <c r="K662" s="165">
        <f>IFERROR(__xludf.DUMMYFUNCTION("""COMPUTED_VALUE"""),-0.146117543102271)</f>
        <v>-0.1461175431</v>
      </c>
      <c r="L662" s="165">
        <f>IFERROR(__xludf.DUMMYFUNCTION("""COMPUTED_VALUE"""),2.02025084209826)</f>
        <v>2.020250842</v>
      </c>
      <c r="M662" s="166">
        <f t="shared" si="2"/>
        <v>5.922206886</v>
      </c>
      <c r="N662" s="167">
        <f t="shared" si="3"/>
        <v>33.05914063</v>
      </c>
      <c r="O662" s="163">
        <f t="shared" ref="O662:Q662" si="666">rank(I662,I:I)</f>
        <v>1995</v>
      </c>
      <c r="P662" s="163">
        <f t="shared" si="666"/>
        <v>351</v>
      </c>
      <c r="Q662" s="163">
        <f t="shared" si="666"/>
        <v>1469</v>
      </c>
      <c r="R662" s="163">
        <f>IFERROR(__xludf.DUMMYFUNCTION("RANK(M662,filter(M:M,C:C=C662))"),42.0)</f>
        <v>42</v>
      </c>
      <c r="S662" s="161" t="b">
        <f t="shared" si="5"/>
        <v>0</v>
      </c>
      <c r="T662" s="161" t="b">
        <f t="array" ref="T662">index('Query Tool'!B:B,match(H662,'Query Tool'!C:C,0))</f>
        <v>1</v>
      </c>
      <c r="U662" s="161" t="b">
        <f t="array" ref="U662">index('Query Tool'!B:B,match(C662,'Query Tool'!C:C,0))</f>
        <v>0</v>
      </c>
      <c r="V662" s="161" t="b">
        <f>F662&gt;='Query Tool'!C$32</f>
        <v>1</v>
      </c>
      <c r="W662" s="161" t="b">
        <f t="array" ref="W662">index(Dropdowns!B:B,match(I662,Dropdowns!A:A,0))</f>
        <v>1</v>
      </c>
      <c r="X662" s="161" t="b">
        <f t="array" ref="X662">index('Query Tool'!B:B,match(D662,'Query Tool'!C:C,0))</f>
        <v>1</v>
      </c>
      <c r="Y662" s="161" t="str">
        <f t="shared" si="6"/>
        <v>ibakase01,2014-15</v>
      </c>
      <c r="Z662" s="168">
        <f t="array" ref="Z662">iferror(index(I:I,match($A662&amp;","&amp;index('Year Conversion'!$A:$A,match($C662,'Year Conversion'!$B:$B,0)),$Y:$Y,0))-I662,"")</f>
        <v>1</v>
      </c>
      <c r="AA662" s="168">
        <f t="array" ref="AA662">iferror(index(J:J,match($A662&amp;","&amp;index('Year Conversion'!$A:$A,match($C662,'Year Conversion'!$B:$B,0)),$Y:$Y,0))-J662,"")</f>
        <v>-0.6833941383</v>
      </c>
      <c r="AB662" s="168">
        <f t="array" ref="AB662">iferror(index(K:K,match($A662&amp;","&amp;index('Year Conversion'!$A:$A,match($C662,'Year Conversion'!$B:$B,0)),$Y:$Y,0))-K662,"")</f>
        <v>0.07303761413</v>
      </c>
      <c r="AC662" s="168" t="str">
        <f t="shared" si="7"/>
        <v>OKC,2014-15</v>
      </c>
    </row>
    <row r="663">
      <c r="A663" s="161" t="str">
        <f>IFERROR(__xludf.DUMMYFUNCTION("""COMPUTED_VALUE"""),"batumni01")</f>
        <v>batumni01</v>
      </c>
      <c r="B663" s="161" t="str">
        <f>IFERROR(__xludf.DUMMYFUNCTION("""COMPUTED_VALUE"""),"Nicolas Batum")</f>
        <v>Nicolas Batum</v>
      </c>
      <c r="C663" s="162" t="str">
        <f>IFERROR(__xludf.DUMMYFUNCTION("""COMPUTED_VALUE"""),"2014-15")</f>
        <v>2014-15</v>
      </c>
      <c r="D663" s="163" t="str">
        <f>IFERROR(__xludf.DUMMYFUNCTION("""COMPUTED_VALUE"""),"POR")</f>
        <v>POR</v>
      </c>
      <c r="E663" s="164" t="str">
        <f>IFERROR(__xludf.DUMMYFUNCTION("""COMPUTED_VALUE"""),"Movement Shooter")</f>
        <v>Movement Shooter</v>
      </c>
      <c r="F663" s="164">
        <f>IFERROR(__xludf.DUMMYFUNCTION("""COMPUTED_VALUE"""),2380.09333333333)</f>
        <v>2380.093333</v>
      </c>
      <c r="G663" s="163">
        <f>IFERROR(__xludf.DUMMYFUNCTION("""COMPUTED_VALUE"""),71.0)</f>
        <v>71</v>
      </c>
      <c r="H663" s="163" t="str">
        <f>IFERROR(__xludf.DUMMYFUNCTION("""COMPUTED_VALUE"""),"SF")</f>
        <v>SF</v>
      </c>
      <c r="I663" s="163">
        <f>IFERROR(__xludf.DUMMYFUNCTION("""COMPUTED_VALUE"""),26.0)</f>
        <v>26</v>
      </c>
      <c r="J663" s="165">
        <f>IFERROR(__xludf.DUMMYFUNCTION("""COMPUTED_VALUE"""),1.23914185916475)</f>
        <v>1.239141859</v>
      </c>
      <c r="K663" s="165">
        <f>IFERROR(__xludf.DUMMYFUNCTION("""COMPUTED_VALUE"""),0.740386179559286)</f>
        <v>0.7403861796</v>
      </c>
      <c r="L663" s="165">
        <f>IFERROR(__xludf.DUMMYFUNCTION("""COMPUTED_VALUE"""),0.498755679605464)</f>
        <v>0.4987556796</v>
      </c>
      <c r="M663" s="166">
        <f t="shared" si="2"/>
        <v>5.653450081</v>
      </c>
      <c r="N663" s="167">
        <f t="shared" si="3"/>
        <v>33.52244131</v>
      </c>
      <c r="O663" s="163">
        <f t="shared" ref="O663:Q663" si="667">rank(I663,I:I)</f>
        <v>1665</v>
      </c>
      <c r="P663" s="163">
        <f t="shared" si="667"/>
        <v>554</v>
      </c>
      <c r="Q663" s="163">
        <f t="shared" si="667"/>
        <v>628</v>
      </c>
      <c r="R663" s="163">
        <f>IFERROR(__xludf.DUMMYFUNCTION("RANK(M663,filter(M:M,C:C=C663))"),47.0)</f>
        <v>47</v>
      </c>
      <c r="S663" s="161" t="b">
        <f t="shared" si="5"/>
        <v>0</v>
      </c>
      <c r="T663" s="161" t="b">
        <f t="array" ref="T663">index('Query Tool'!B:B,match(H663,'Query Tool'!C:C,0))</f>
        <v>1</v>
      </c>
      <c r="U663" s="161" t="b">
        <f t="array" ref="U663">index('Query Tool'!B:B,match(C663,'Query Tool'!C:C,0))</f>
        <v>0</v>
      </c>
      <c r="V663" s="161" t="b">
        <f>F663&gt;='Query Tool'!C$32</f>
        <v>1</v>
      </c>
      <c r="W663" s="161" t="b">
        <f t="array" ref="W663">index(Dropdowns!B:B,match(I663,Dropdowns!A:A,0))</f>
        <v>1</v>
      </c>
      <c r="X663" s="161" t="b">
        <f t="array" ref="X663">index('Query Tool'!B:B,match(D663,'Query Tool'!C:C,0))</f>
        <v>1</v>
      </c>
      <c r="Y663" s="161" t="str">
        <f t="shared" si="6"/>
        <v>batumni01,2014-15</v>
      </c>
      <c r="Z663" s="168">
        <f t="array" ref="Z663">iferror(index(I:I,match($A663&amp;","&amp;index('Year Conversion'!$A:$A,match($C663,'Year Conversion'!$B:$B,0)),$Y:$Y,0))-I663,"")</f>
        <v>1</v>
      </c>
      <c r="AA663" s="168">
        <f t="array" ref="AA663">iferror(index(J:J,match($A663&amp;","&amp;index('Year Conversion'!$A:$A,match($C663,'Year Conversion'!$B:$B,0)),$Y:$Y,0))-J663,"")</f>
        <v>-0.5316697836</v>
      </c>
      <c r="AB663" s="168">
        <f t="array" ref="AB663">iferror(index(K:K,match($A663&amp;","&amp;index('Year Conversion'!$A:$A,match($C663,'Year Conversion'!$B:$B,0)),$Y:$Y,0))-K663,"")</f>
        <v>0.1149495098</v>
      </c>
      <c r="AC663" s="168" t="str">
        <f t="shared" si="7"/>
        <v>POR,2014-15</v>
      </c>
    </row>
    <row r="664">
      <c r="A664" s="161" t="str">
        <f>IFERROR(__xludf.DUMMYFUNCTION("""COMPUTED_VALUE"""),"hillge01")</f>
        <v>hillge01</v>
      </c>
      <c r="B664" s="161" t="str">
        <f>IFERROR(__xludf.DUMMYFUNCTION("""COMPUTED_VALUE"""),"George Hill")</f>
        <v>George Hill</v>
      </c>
      <c r="C664" s="162" t="str">
        <f>IFERROR(__xludf.DUMMYFUNCTION("""COMPUTED_VALUE"""),"2014-15")</f>
        <v>2014-15</v>
      </c>
      <c r="D664" s="163" t="str">
        <f>IFERROR(__xludf.DUMMYFUNCTION("""COMPUTED_VALUE"""),"IND")</f>
        <v>IND</v>
      </c>
      <c r="E664" s="164" t="str">
        <f>IFERROR(__xludf.DUMMYFUNCTION("""COMPUTED_VALUE"""),"Primary Ball Handler")</f>
        <v>Primary Ball Handler</v>
      </c>
      <c r="F664" s="164">
        <f>IFERROR(__xludf.DUMMYFUNCTION("""COMPUTED_VALUE"""),1267.12833333333)</f>
        <v>1267.128333</v>
      </c>
      <c r="G664" s="163">
        <f>IFERROR(__xludf.DUMMYFUNCTION("""COMPUTED_VALUE"""),43.0)</f>
        <v>43</v>
      </c>
      <c r="H664" s="163" t="str">
        <f>IFERROR(__xludf.DUMMYFUNCTION("""COMPUTED_VALUE"""),"PG")</f>
        <v>PG</v>
      </c>
      <c r="I664" s="163">
        <f>IFERROR(__xludf.DUMMYFUNCTION("""COMPUTED_VALUE"""),28.0)</f>
        <v>28</v>
      </c>
      <c r="J664" s="165">
        <f>IFERROR(__xludf.DUMMYFUNCTION("""COMPUTED_VALUE"""),2.83119808510341)</f>
        <v>2.831198085</v>
      </c>
      <c r="K664" s="165">
        <f>IFERROR(__xludf.DUMMYFUNCTION("""COMPUTED_VALUE"""),2.82390403594284)</f>
        <v>2.823904036</v>
      </c>
      <c r="L664" s="165">
        <f>IFERROR(__xludf.DUMMYFUNCTION("""COMPUTED_VALUE"""),0.00729404916056398)</f>
        <v>0.007294049161</v>
      </c>
      <c r="M664" s="166">
        <f t="shared" si="2"/>
        <v>4.345561624</v>
      </c>
      <c r="N664" s="167">
        <f t="shared" si="3"/>
        <v>29.46810078</v>
      </c>
      <c r="O664" s="163">
        <f t="shared" ref="O664:Q664" si="668">rank(I664,I:I)</f>
        <v>1090</v>
      </c>
      <c r="P664" s="163">
        <f t="shared" si="668"/>
        <v>187</v>
      </c>
      <c r="Q664" s="163">
        <f t="shared" si="668"/>
        <v>135</v>
      </c>
      <c r="R664" s="163">
        <f>IFERROR(__xludf.DUMMYFUNCTION("RANK(M664,filter(M:M,C:C=C664))"),76.0)</f>
        <v>76</v>
      </c>
      <c r="S664" s="161" t="b">
        <f t="shared" si="5"/>
        <v>0</v>
      </c>
      <c r="T664" s="161" t="b">
        <f t="array" ref="T664">index('Query Tool'!B:B,match(H664,'Query Tool'!C:C,0))</f>
        <v>1</v>
      </c>
      <c r="U664" s="161" t="b">
        <f t="array" ref="U664">index('Query Tool'!B:B,match(C664,'Query Tool'!C:C,0))</f>
        <v>0</v>
      </c>
      <c r="V664" s="161" t="b">
        <f>F664&gt;='Query Tool'!C$32</f>
        <v>1</v>
      </c>
      <c r="W664" s="161" t="b">
        <f t="array" ref="W664">index(Dropdowns!B:B,match(I664,Dropdowns!A:A,0))</f>
        <v>1</v>
      </c>
      <c r="X664" s="161" t="b">
        <f t="array" ref="X664">index('Query Tool'!B:B,match(D664,'Query Tool'!C:C,0))</f>
        <v>1</v>
      </c>
      <c r="Y664" s="161" t="str">
        <f t="shared" si="6"/>
        <v>hillge01,2014-15</v>
      </c>
      <c r="Z664" s="168">
        <f t="array" ref="Z664">iferror(index(I:I,match($A664&amp;","&amp;index('Year Conversion'!$A:$A,match($C664,'Year Conversion'!$B:$B,0)),$Y:$Y,0))-I664,"")</f>
        <v>1</v>
      </c>
      <c r="AA664" s="168">
        <f t="array" ref="AA664">iferror(index(J:J,match($A664&amp;","&amp;index('Year Conversion'!$A:$A,match($C664,'Year Conversion'!$B:$B,0)),$Y:$Y,0))-J664,"")</f>
        <v>-1.771802427</v>
      </c>
      <c r="AB664" s="168">
        <f t="array" ref="AB664">iferror(index(K:K,match($A664&amp;","&amp;index('Year Conversion'!$A:$A,match($C664,'Year Conversion'!$B:$B,0)),$Y:$Y,0))-K664,"")</f>
        <v>-2.71916109</v>
      </c>
      <c r="AC664" s="168" t="str">
        <f t="shared" si="7"/>
        <v>IND,2014-15</v>
      </c>
    </row>
    <row r="665">
      <c r="A665" s="161" t="str">
        <f>IFERROR(__xludf.DUMMYFUNCTION("""COMPUTED_VALUE"""),"arthuda01")</f>
        <v>arthuda01</v>
      </c>
      <c r="B665" s="161" t="str">
        <f>IFERROR(__xludf.DUMMYFUNCTION("""COMPUTED_VALUE"""),"Darrell Arthur")</f>
        <v>Darrell Arthur</v>
      </c>
      <c r="C665" s="162" t="str">
        <f>IFERROR(__xludf.DUMMYFUNCTION("""COMPUTED_VALUE"""),"2014-15")</f>
        <v>2014-15</v>
      </c>
      <c r="D665" s="163" t="str">
        <f>IFERROR(__xludf.DUMMYFUNCTION("""COMPUTED_VALUE"""),"DEN")</f>
        <v>DEN</v>
      </c>
      <c r="E665" s="164" t="str">
        <f>IFERROR(__xludf.DUMMYFUNCTION("""COMPUTED_VALUE"""),"Stretch Big")</f>
        <v>Stretch Big</v>
      </c>
      <c r="F665" s="164">
        <f>IFERROR(__xludf.DUMMYFUNCTION("""COMPUTED_VALUE"""),987.855)</f>
        <v>987.855</v>
      </c>
      <c r="G665" s="163">
        <f>IFERROR(__xludf.DUMMYFUNCTION("""COMPUTED_VALUE"""),58.0)</f>
        <v>58</v>
      </c>
      <c r="H665" s="163" t="str">
        <f>IFERROR(__xludf.DUMMYFUNCTION("""COMPUTED_VALUE"""),"PF")</f>
        <v>PF</v>
      </c>
      <c r="I665" s="163">
        <f>IFERROR(__xludf.DUMMYFUNCTION("""COMPUTED_VALUE"""),26.0)</f>
        <v>26</v>
      </c>
      <c r="J665" s="165">
        <f>IFERROR(__xludf.DUMMYFUNCTION("""COMPUTED_VALUE"""),0.455615789524311)</f>
        <v>0.4556157895</v>
      </c>
      <c r="K665" s="165">
        <f>IFERROR(__xludf.DUMMYFUNCTION("""COMPUTED_VALUE"""),-0.810847024787324)</f>
        <v>-0.8108470248</v>
      </c>
      <c r="L665" s="165">
        <f>IFERROR(__xludf.DUMMYFUNCTION("""COMPUTED_VALUE"""),1.26646281431163)</f>
        <v>1.266462814</v>
      </c>
      <c r="M665" s="166">
        <f t="shared" si="2"/>
        <v>1.826296577</v>
      </c>
      <c r="N665" s="167">
        <f t="shared" si="3"/>
        <v>17.03198276</v>
      </c>
      <c r="O665" s="163">
        <f t="shared" ref="O665:Q665" si="669">rank(I665,I:I)</f>
        <v>1665</v>
      </c>
      <c r="P665" s="163">
        <f t="shared" si="669"/>
        <v>924</v>
      </c>
      <c r="Q665" s="163">
        <f t="shared" si="669"/>
        <v>2568</v>
      </c>
      <c r="R665" s="163">
        <f>IFERROR(__xludf.DUMMYFUNCTION("RANK(M665,filter(M:M,C:C=C665))"),178.0)</f>
        <v>178</v>
      </c>
      <c r="S665" s="161" t="b">
        <f t="shared" si="5"/>
        <v>0</v>
      </c>
      <c r="T665" s="161" t="b">
        <f t="array" ref="T665">index('Query Tool'!B:B,match(H665,'Query Tool'!C:C,0))</f>
        <v>1</v>
      </c>
      <c r="U665" s="161" t="b">
        <f t="array" ref="U665">index('Query Tool'!B:B,match(C665,'Query Tool'!C:C,0))</f>
        <v>0</v>
      </c>
      <c r="V665" s="161" t="b">
        <f>F665&gt;='Query Tool'!C$32</f>
        <v>1</v>
      </c>
      <c r="W665" s="161" t="b">
        <f t="array" ref="W665">index(Dropdowns!B:B,match(I665,Dropdowns!A:A,0))</f>
        <v>1</v>
      </c>
      <c r="X665" s="161" t="b">
        <f t="array" ref="X665">index('Query Tool'!B:B,match(D665,'Query Tool'!C:C,0))</f>
        <v>1</v>
      </c>
      <c r="Y665" s="161" t="str">
        <f t="shared" si="6"/>
        <v>arthuda01,2014-15</v>
      </c>
      <c r="Z665" s="168">
        <f t="array" ref="Z665">iferror(index(I:I,match($A665&amp;","&amp;index('Year Conversion'!$A:$A,match($C665,'Year Conversion'!$B:$B,0)),$Y:$Y,0))-I665,"")</f>
        <v>1</v>
      </c>
      <c r="AA665" s="168">
        <f t="array" ref="AA665">iferror(index(J:J,match($A665&amp;","&amp;index('Year Conversion'!$A:$A,match($C665,'Year Conversion'!$B:$B,0)),$Y:$Y,0))-J665,"")</f>
        <v>-1.012129939</v>
      </c>
      <c r="AB665" s="168">
        <f t="array" ref="AB665">iferror(index(K:K,match($A665&amp;","&amp;index('Year Conversion'!$A:$A,match($C665,'Year Conversion'!$B:$B,0)),$Y:$Y,0))-K665,"")</f>
        <v>-0.8576665971</v>
      </c>
      <c r="AC665" s="168" t="str">
        <f t="shared" si="7"/>
        <v>DEN,2014-15</v>
      </c>
    </row>
    <row r="666">
      <c r="A666" s="161" t="str">
        <f>IFERROR(__xludf.DUMMYFUNCTION("""COMPUTED_VALUE"""),"pekovni01")</f>
        <v>pekovni01</v>
      </c>
      <c r="B666" s="161" t="str">
        <f>IFERROR(__xludf.DUMMYFUNCTION("""COMPUTED_VALUE"""),"Nikola Pekovic")</f>
        <v>Nikola Pekovic</v>
      </c>
      <c r="C666" s="162" t="str">
        <f>IFERROR(__xludf.DUMMYFUNCTION("""COMPUTED_VALUE"""),"2014-15")</f>
        <v>2014-15</v>
      </c>
      <c r="D666" s="163" t="str">
        <f>IFERROR(__xludf.DUMMYFUNCTION("""COMPUTED_VALUE"""),"MIN")</f>
        <v>MIN</v>
      </c>
      <c r="E666" s="164" t="str">
        <f>IFERROR(__xludf.DUMMYFUNCTION("""COMPUTED_VALUE"""),"Post Scorer")</f>
        <v>Post Scorer</v>
      </c>
      <c r="F666" s="164">
        <f>IFERROR(__xludf.DUMMYFUNCTION("""COMPUTED_VALUE"""),815.061666666667)</f>
        <v>815.0616667</v>
      </c>
      <c r="G666" s="163">
        <f>IFERROR(__xludf.DUMMYFUNCTION("""COMPUTED_VALUE"""),31.0)</f>
        <v>31</v>
      </c>
      <c r="H666" s="163" t="str">
        <f>IFERROR(__xludf.DUMMYFUNCTION("""COMPUTED_VALUE"""),"C")</f>
        <v>C</v>
      </c>
      <c r="I666" s="163">
        <f>IFERROR(__xludf.DUMMYFUNCTION("""COMPUTED_VALUE"""),29.0)</f>
        <v>29</v>
      </c>
      <c r="J666" s="165">
        <f>IFERROR(__xludf.DUMMYFUNCTION("""COMPUTED_VALUE"""),-0.168394690125338)</f>
        <v>-0.1683946901</v>
      </c>
      <c r="K666" s="165">
        <f>IFERROR(__xludf.DUMMYFUNCTION("""COMPUTED_VALUE"""),-0.266964409040963)</f>
        <v>-0.266964409</v>
      </c>
      <c r="L666" s="165">
        <f>IFERROR(__xludf.DUMMYFUNCTION("""COMPUTED_VALUE"""),0.0985697189156255)</f>
        <v>0.09856971892</v>
      </c>
      <c r="M666" s="166">
        <f t="shared" si="2"/>
        <v>1.164023109</v>
      </c>
      <c r="N666" s="167">
        <f t="shared" si="3"/>
        <v>26.29231183</v>
      </c>
      <c r="O666" s="163">
        <f t="shared" ref="O666:Q666" si="670">rank(I666,I:I)</f>
        <v>855</v>
      </c>
      <c r="P666" s="163">
        <f t="shared" si="670"/>
        <v>1464</v>
      </c>
      <c r="Q666" s="163">
        <f t="shared" si="670"/>
        <v>1696</v>
      </c>
      <c r="R666" s="163">
        <f>IFERROR(__xludf.DUMMYFUNCTION("RANK(M666,filter(M:M,C:C=C666))"),221.0)</f>
        <v>221</v>
      </c>
      <c r="S666" s="161" t="b">
        <f t="shared" si="5"/>
        <v>0</v>
      </c>
      <c r="T666" s="161" t="b">
        <f t="array" ref="T666">index('Query Tool'!B:B,match(H666,'Query Tool'!C:C,0))</f>
        <v>1</v>
      </c>
      <c r="U666" s="161" t="b">
        <f t="array" ref="U666">index('Query Tool'!B:B,match(C666,'Query Tool'!C:C,0))</f>
        <v>0</v>
      </c>
      <c r="V666" s="161" t="b">
        <f>F666&gt;='Query Tool'!C$32</f>
        <v>1</v>
      </c>
      <c r="W666" s="161" t="b">
        <f t="array" ref="W666">index(Dropdowns!B:B,match(I666,Dropdowns!A:A,0))</f>
        <v>1</v>
      </c>
      <c r="X666" s="161" t="b">
        <f t="array" ref="X666">index('Query Tool'!B:B,match(D666,'Query Tool'!C:C,0))</f>
        <v>1</v>
      </c>
      <c r="Y666" s="161" t="str">
        <f t="shared" si="6"/>
        <v>pekovni01,2014-15</v>
      </c>
      <c r="Z666" s="168">
        <f t="array" ref="Z666">iferror(index(I:I,match($A666&amp;","&amp;index('Year Conversion'!$A:$A,match($C666,'Year Conversion'!$B:$B,0)),$Y:$Y,0))-I666,"")</f>
        <v>1</v>
      </c>
      <c r="AA666" s="168">
        <f t="array" ref="AA666">iferror(index(J:J,match($A666&amp;","&amp;index('Year Conversion'!$A:$A,match($C666,'Year Conversion'!$B:$B,0)),$Y:$Y,0))-J666,"")</f>
        <v>-1.710727173</v>
      </c>
      <c r="AB666" s="168">
        <f t="array" ref="AB666">iferror(index(K:K,match($A666&amp;","&amp;index('Year Conversion'!$A:$A,match($C666,'Year Conversion'!$B:$B,0)),$Y:$Y,0))-K666,"")</f>
        <v>-0.8822730415</v>
      </c>
      <c r="AC666" s="168" t="str">
        <f t="shared" si="7"/>
        <v>MIN,2014-15</v>
      </c>
    </row>
    <row r="667">
      <c r="A667" s="161" t="str">
        <f>IFERROR(__xludf.DUMMYFUNCTION("""COMPUTED_VALUE"""),"dorsejo01")</f>
        <v>dorsejo01</v>
      </c>
      <c r="B667" s="161" t="str">
        <f>IFERROR(__xludf.DUMMYFUNCTION("""COMPUTED_VALUE"""),"Joey Dorsey")</f>
        <v>Joey Dorsey</v>
      </c>
      <c r="C667" s="162" t="str">
        <f>IFERROR(__xludf.DUMMYFUNCTION("""COMPUTED_VALUE"""),"2014-15")</f>
        <v>2014-15</v>
      </c>
      <c r="D667" s="163" t="str">
        <f>IFERROR(__xludf.DUMMYFUNCTION("""COMPUTED_VALUE"""),"HOU")</f>
        <v>HOU</v>
      </c>
      <c r="E667" s="164" t="str">
        <f>IFERROR(__xludf.DUMMYFUNCTION("""COMPUTED_VALUE"""),"Roll + Cut Big")</f>
        <v>Roll + Cut Big</v>
      </c>
      <c r="F667" s="164">
        <f>IFERROR(__xludf.DUMMYFUNCTION("""COMPUTED_VALUE"""),854.33)</f>
        <v>854.33</v>
      </c>
      <c r="G667" s="163">
        <f>IFERROR(__xludf.DUMMYFUNCTION("""COMPUTED_VALUE"""),69.0)</f>
        <v>69</v>
      </c>
      <c r="H667" s="163" t="str">
        <f>IFERROR(__xludf.DUMMYFUNCTION("""COMPUTED_VALUE"""),"PF")</f>
        <v>PF</v>
      </c>
      <c r="I667" s="163">
        <f>IFERROR(__xludf.DUMMYFUNCTION("""COMPUTED_VALUE"""),31.0)</f>
        <v>31</v>
      </c>
      <c r="J667" s="165">
        <f>IFERROR(__xludf.DUMMYFUNCTION("""COMPUTED_VALUE"""),-0.378820434509491)</f>
        <v>-0.3788204345</v>
      </c>
      <c r="K667" s="165">
        <f>IFERROR(__xludf.DUMMYFUNCTION("""COMPUTED_VALUE"""),-1.52420081801833)</f>
        <v>-1.524200818</v>
      </c>
      <c r="L667" s="165">
        <f>IFERROR(__xludf.DUMMYFUNCTION("""COMPUTED_VALUE"""),1.14538038350884)</f>
        <v>1.145380384</v>
      </c>
      <c r="M667" s="166">
        <f t="shared" si="2"/>
        <v>1.098942355</v>
      </c>
      <c r="N667" s="167">
        <f t="shared" si="3"/>
        <v>12.3815942</v>
      </c>
      <c r="O667" s="163">
        <f t="shared" ref="O667:Q667" si="671">rank(I667,I:I)</f>
        <v>490</v>
      </c>
      <c r="P667" s="163">
        <f t="shared" si="671"/>
        <v>1705</v>
      </c>
      <c r="Q667" s="163">
        <f t="shared" si="671"/>
        <v>3382</v>
      </c>
      <c r="R667" s="163">
        <f>IFERROR(__xludf.DUMMYFUNCTION("RANK(M667,filter(M:M,C:C=C667))"),227.0)</f>
        <v>227</v>
      </c>
      <c r="S667" s="161" t="b">
        <f t="shared" si="5"/>
        <v>0</v>
      </c>
      <c r="T667" s="161" t="b">
        <f t="array" ref="T667">index('Query Tool'!B:B,match(H667,'Query Tool'!C:C,0))</f>
        <v>1</v>
      </c>
      <c r="U667" s="161" t="b">
        <f t="array" ref="U667">index('Query Tool'!B:B,match(C667,'Query Tool'!C:C,0))</f>
        <v>0</v>
      </c>
      <c r="V667" s="161" t="b">
        <f>F667&gt;='Query Tool'!C$32</f>
        <v>1</v>
      </c>
      <c r="W667" s="161" t="b">
        <f t="array" ref="W667">index(Dropdowns!B:B,match(I667,Dropdowns!A:A,0))</f>
        <v>1</v>
      </c>
      <c r="X667" s="161" t="b">
        <f t="array" ref="X667">index('Query Tool'!B:B,match(D667,'Query Tool'!C:C,0))</f>
        <v>1</v>
      </c>
      <c r="Y667" s="161" t="str">
        <f t="shared" si="6"/>
        <v>dorsejo01,2014-15</v>
      </c>
      <c r="Z667" s="168" t="str">
        <f t="array" ref="Z667">iferror(index(I:I,match($A667&amp;","&amp;index('Year Conversion'!$A:$A,match($C667,'Year Conversion'!$B:$B,0)),$Y:$Y,0))-I667,"")</f>
        <v/>
      </c>
      <c r="AA667" s="168" t="str">
        <f t="array" ref="AA667">iferror(index(J:J,match($A667&amp;","&amp;index('Year Conversion'!$A:$A,match($C667,'Year Conversion'!$B:$B,0)),$Y:$Y,0))-J667,"")</f>
        <v/>
      </c>
      <c r="AB667" s="168" t="str">
        <f t="array" ref="AB667">iferror(index(K:K,match($A667&amp;","&amp;index('Year Conversion'!$A:$A,match($C667,'Year Conversion'!$B:$B,0)),$Y:$Y,0))-K667,"")</f>
        <v/>
      </c>
      <c r="AC667" s="168" t="str">
        <f t="shared" si="7"/>
        <v>HOU,2014-15</v>
      </c>
    </row>
    <row r="668">
      <c r="A668" s="161" t="str">
        <f>IFERROR(__xludf.DUMMYFUNCTION("""COMPUTED_VALUE"""),"chalmma01")</f>
        <v>chalmma01</v>
      </c>
      <c r="B668" s="161" t="str">
        <f>IFERROR(__xludf.DUMMYFUNCTION("""COMPUTED_VALUE"""),"Mario Chalmers")</f>
        <v>Mario Chalmers</v>
      </c>
      <c r="C668" s="162" t="str">
        <f>IFERROR(__xludf.DUMMYFUNCTION("""COMPUTED_VALUE"""),"2014-15")</f>
        <v>2014-15</v>
      </c>
      <c r="D668" s="163" t="str">
        <f>IFERROR(__xludf.DUMMYFUNCTION("""COMPUTED_VALUE"""),"MIA")</f>
        <v>MIA</v>
      </c>
      <c r="E668" s="164" t="str">
        <f>IFERROR(__xludf.DUMMYFUNCTION("""COMPUTED_VALUE"""),"Primary Ball Handler")</f>
        <v>Primary Ball Handler</v>
      </c>
      <c r="F668" s="164">
        <f>IFERROR(__xludf.DUMMYFUNCTION("""COMPUTED_VALUE"""),2368.35833333333)</f>
        <v>2368.358333</v>
      </c>
      <c r="G668" s="163">
        <f>IFERROR(__xludf.DUMMYFUNCTION("""COMPUTED_VALUE"""),80.0)</f>
        <v>80</v>
      </c>
      <c r="H668" s="163" t="str">
        <f>IFERROR(__xludf.DUMMYFUNCTION("""COMPUTED_VALUE"""),"PG")</f>
        <v>PG</v>
      </c>
      <c r="I668" s="163">
        <f>IFERROR(__xludf.DUMMYFUNCTION("""COMPUTED_VALUE"""),28.0)</f>
        <v>28</v>
      </c>
      <c r="J668" s="165">
        <f>IFERROR(__xludf.DUMMYFUNCTION("""COMPUTED_VALUE"""),-0.785189539909759)</f>
        <v>-0.7851895399</v>
      </c>
      <c r="K668" s="165">
        <f>IFERROR(__xludf.DUMMYFUNCTION("""COMPUTED_VALUE"""),-0.70243127479216)</f>
        <v>-0.7024312748</v>
      </c>
      <c r="L668" s="165">
        <f>IFERROR(__xludf.DUMMYFUNCTION("""COMPUTED_VALUE"""),-0.0827582651175991)</f>
        <v>-0.08275826512</v>
      </c>
      <c r="M668" s="166">
        <f t="shared" si="2"/>
        <v>2.398561517</v>
      </c>
      <c r="N668" s="167">
        <f t="shared" si="3"/>
        <v>29.60447917</v>
      </c>
      <c r="O668" s="163">
        <f t="shared" ref="O668:Q668" si="672">rank(I668,I:I)</f>
        <v>1090</v>
      </c>
      <c r="P668" s="163">
        <f t="shared" si="672"/>
        <v>2254</v>
      </c>
      <c r="Q668" s="163">
        <f t="shared" si="672"/>
        <v>2419</v>
      </c>
      <c r="R668" s="163">
        <f>IFERROR(__xludf.DUMMYFUNCTION("RANK(M668,filter(M:M,C:C=C668))"),146.0)</f>
        <v>146</v>
      </c>
      <c r="S668" s="161" t="b">
        <f t="shared" si="5"/>
        <v>0</v>
      </c>
      <c r="T668" s="161" t="b">
        <f t="array" ref="T668">index('Query Tool'!B:B,match(H668,'Query Tool'!C:C,0))</f>
        <v>1</v>
      </c>
      <c r="U668" s="161" t="b">
        <f t="array" ref="U668">index('Query Tool'!B:B,match(C668,'Query Tool'!C:C,0))</f>
        <v>0</v>
      </c>
      <c r="V668" s="161" t="b">
        <f>F668&gt;='Query Tool'!C$32</f>
        <v>1</v>
      </c>
      <c r="W668" s="161" t="b">
        <f t="array" ref="W668">index(Dropdowns!B:B,match(I668,Dropdowns!A:A,0))</f>
        <v>1</v>
      </c>
      <c r="X668" s="161" t="b">
        <f t="array" ref="X668">index('Query Tool'!B:B,match(D668,'Query Tool'!C:C,0))</f>
        <v>1</v>
      </c>
      <c r="Y668" s="161" t="str">
        <f t="shared" si="6"/>
        <v>chalmma01,2014-15</v>
      </c>
      <c r="Z668" s="168">
        <f t="array" ref="Z668">iferror(index(I:I,match($A668&amp;","&amp;index('Year Conversion'!$A:$A,match($C668,'Year Conversion'!$B:$B,0)),$Y:$Y,0))-I668,"")</f>
        <v>1</v>
      </c>
      <c r="AA668" s="168">
        <f t="array" ref="AA668">iferror(index(J:J,match($A668&amp;","&amp;index('Year Conversion'!$A:$A,match($C668,'Year Conversion'!$B:$B,0)),$Y:$Y,0))-J668,"")</f>
        <v>2.190864399</v>
      </c>
      <c r="AB668" s="168">
        <f t="array" ref="AB668">iferror(index(K:K,match($A668&amp;","&amp;index('Year Conversion'!$A:$A,match($C668,'Year Conversion'!$B:$B,0)),$Y:$Y,0))-K668,"")</f>
        <v>1.603653109</v>
      </c>
      <c r="AC668" s="168" t="str">
        <f t="shared" si="7"/>
        <v>MIA,2014-15</v>
      </c>
    </row>
    <row r="669">
      <c r="A669" s="161" t="str">
        <f>IFERROR(__xludf.DUMMYFUNCTION("""COMPUTED_VALUE"""),"jordade01")</f>
        <v>jordade01</v>
      </c>
      <c r="B669" s="161" t="str">
        <f>IFERROR(__xludf.DUMMYFUNCTION("""COMPUTED_VALUE"""),"DeAndre Jordan")</f>
        <v>DeAndre Jordan</v>
      </c>
      <c r="C669" s="162" t="str">
        <f>IFERROR(__xludf.DUMMYFUNCTION("""COMPUTED_VALUE"""),"2014-15")</f>
        <v>2014-15</v>
      </c>
      <c r="D669" s="163" t="str">
        <f>IFERROR(__xludf.DUMMYFUNCTION("""COMPUTED_VALUE"""),"LAC")</f>
        <v>LAC</v>
      </c>
      <c r="E669" s="164" t="str">
        <f>IFERROR(__xludf.DUMMYFUNCTION("""COMPUTED_VALUE"""),"Roll + Cut Big")</f>
        <v>Roll + Cut Big</v>
      </c>
      <c r="F669" s="164">
        <f>IFERROR(__xludf.DUMMYFUNCTION("""COMPUTED_VALUE"""),2820.04166666667)</f>
        <v>2820.041667</v>
      </c>
      <c r="G669" s="163">
        <f>IFERROR(__xludf.DUMMYFUNCTION("""COMPUTED_VALUE"""),82.0)</f>
        <v>82</v>
      </c>
      <c r="H669" s="163" t="str">
        <f>IFERROR(__xludf.DUMMYFUNCTION("""COMPUTED_VALUE"""),"C")</f>
        <v>C</v>
      </c>
      <c r="I669" s="163">
        <f>IFERROR(__xludf.DUMMYFUNCTION("""COMPUTED_VALUE"""),26.0)</f>
        <v>26</v>
      </c>
      <c r="J669" s="165">
        <f>IFERROR(__xludf.DUMMYFUNCTION("""COMPUTED_VALUE"""),3.80097549977361)</f>
        <v>3.8009755</v>
      </c>
      <c r="K669" s="165">
        <f>IFERROR(__xludf.DUMMYFUNCTION("""COMPUTED_VALUE"""),1.10460788880836)</f>
        <v>1.104607889</v>
      </c>
      <c r="L669" s="165">
        <f>IFERROR(__xludf.DUMMYFUNCTION("""COMPUTED_VALUE"""),2.69636761096525)</f>
        <v>2.696367611</v>
      </c>
      <c r="M669" s="166">
        <f t="shared" si="2"/>
        <v>11.43250755</v>
      </c>
      <c r="N669" s="167">
        <f t="shared" si="3"/>
        <v>34.39075203</v>
      </c>
      <c r="O669" s="163">
        <f t="shared" ref="O669:Q669" si="673">rank(I669,I:I)</f>
        <v>1665</v>
      </c>
      <c r="P669" s="163">
        <f t="shared" si="673"/>
        <v>107</v>
      </c>
      <c r="Q669" s="163">
        <f t="shared" si="673"/>
        <v>451</v>
      </c>
      <c r="R669" s="163">
        <f>IFERROR(__xludf.DUMMYFUNCTION("RANK(M669,filter(M:M,C:C=C669))"),7.0)</f>
        <v>7</v>
      </c>
      <c r="S669" s="161" t="b">
        <f t="shared" si="5"/>
        <v>0</v>
      </c>
      <c r="T669" s="161" t="b">
        <f t="array" ref="T669">index('Query Tool'!B:B,match(H669,'Query Tool'!C:C,0))</f>
        <v>1</v>
      </c>
      <c r="U669" s="161" t="b">
        <f t="array" ref="U669">index('Query Tool'!B:B,match(C669,'Query Tool'!C:C,0))</f>
        <v>0</v>
      </c>
      <c r="V669" s="161" t="b">
        <f>F669&gt;='Query Tool'!C$32</f>
        <v>1</v>
      </c>
      <c r="W669" s="161" t="b">
        <f t="array" ref="W669">index(Dropdowns!B:B,match(I669,Dropdowns!A:A,0))</f>
        <v>1</v>
      </c>
      <c r="X669" s="161" t="b">
        <f t="array" ref="X669">index('Query Tool'!B:B,match(D669,'Query Tool'!C:C,0))</f>
        <v>1</v>
      </c>
      <c r="Y669" s="161" t="str">
        <f t="shared" si="6"/>
        <v>jordade01,2014-15</v>
      </c>
      <c r="Z669" s="168">
        <f t="array" ref="Z669">iferror(index(I:I,match($A669&amp;","&amp;index('Year Conversion'!$A:$A,match($C669,'Year Conversion'!$B:$B,0)),$Y:$Y,0))-I669,"")</f>
        <v>1</v>
      </c>
      <c r="AA669" s="168">
        <f t="array" ref="AA669">iferror(index(J:J,match($A669&amp;","&amp;index('Year Conversion'!$A:$A,match($C669,'Year Conversion'!$B:$B,0)),$Y:$Y,0))-J669,"")</f>
        <v>0.8708321386</v>
      </c>
      <c r="AB669" s="168">
        <f t="array" ref="AB669">iferror(index(K:K,match($A669&amp;","&amp;index('Year Conversion'!$A:$A,match($C669,'Year Conversion'!$B:$B,0)),$Y:$Y,0))-K669,"")</f>
        <v>-0.02948066476</v>
      </c>
      <c r="AC669" s="168" t="str">
        <f t="shared" si="7"/>
        <v>LAC,2014-15</v>
      </c>
    </row>
    <row r="670">
      <c r="A670" s="161" t="str">
        <f>IFERROR(__xludf.DUMMYFUNCTION("""COMPUTED_VALUE"""),"asikom01")</f>
        <v>asikom01</v>
      </c>
      <c r="B670" s="161" t="str">
        <f>IFERROR(__xludf.DUMMYFUNCTION("""COMPUTED_VALUE"""),"Omer Asik")</f>
        <v>Omer Asik</v>
      </c>
      <c r="C670" s="162" t="str">
        <f>IFERROR(__xludf.DUMMYFUNCTION("""COMPUTED_VALUE"""),"2014-15")</f>
        <v>2014-15</v>
      </c>
      <c r="D670" s="163" t="str">
        <f>IFERROR(__xludf.DUMMYFUNCTION("""COMPUTED_VALUE"""),"NOP")</f>
        <v>NOP</v>
      </c>
      <c r="E670" s="164" t="str">
        <f>IFERROR(__xludf.DUMMYFUNCTION("""COMPUTED_VALUE"""),"Roll + Cut Big")</f>
        <v>Roll + Cut Big</v>
      </c>
      <c r="F670" s="164">
        <f>IFERROR(__xludf.DUMMYFUNCTION("""COMPUTED_VALUE"""),1981.80833333333)</f>
        <v>1981.808333</v>
      </c>
      <c r="G670" s="163">
        <f>IFERROR(__xludf.DUMMYFUNCTION("""COMPUTED_VALUE"""),76.0)</f>
        <v>76</v>
      </c>
      <c r="H670" s="163" t="str">
        <f>IFERROR(__xludf.DUMMYFUNCTION("""COMPUTED_VALUE"""),"C")</f>
        <v>C</v>
      </c>
      <c r="I670" s="163">
        <f>IFERROR(__xludf.DUMMYFUNCTION("""COMPUTED_VALUE"""),28.0)</f>
        <v>28</v>
      </c>
      <c r="J670" s="165">
        <f>IFERROR(__xludf.DUMMYFUNCTION("""COMPUTED_VALUE"""),-0.0260600764281036)</f>
        <v>-0.02606007643</v>
      </c>
      <c r="K670" s="165">
        <f>IFERROR(__xludf.DUMMYFUNCTION("""COMPUTED_VALUE"""),-1.43666618783351)</f>
        <v>-1.436666188</v>
      </c>
      <c r="L670" s="165">
        <f>IFERROR(__xludf.DUMMYFUNCTION("""COMPUTED_VALUE"""),1.4106061114054)</f>
        <v>1.410606111</v>
      </c>
      <c r="M670" s="166">
        <f t="shared" si="2"/>
        <v>3.020468621</v>
      </c>
      <c r="N670" s="167">
        <f t="shared" si="3"/>
        <v>26.07642544</v>
      </c>
      <c r="O670" s="163">
        <f t="shared" ref="O670:Q670" si="674">rank(I670,I:I)</f>
        <v>1090</v>
      </c>
      <c r="P670" s="163">
        <f t="shared" si="674"/>
        <v>1310</v>
      </c>
      <c r="Q670" s="163">
        <f t="shared" si="674"/>
        <v>3285</v>
      </c>
      <c r="R670" s="163">
        <f>IFERROR(__xludf.DUMMYFUNCTION("RANK(M670,filter(M:M,C:C=C670))"),117.0)</f>
        <v>117</v>
      </c>
      <c r="S670" s="161" t="b">
        <f t="shared" si="5"/>
        <v>0</v>
      </c>
      <c r="T670" s="161" t="b">
        <f t="array" ref="T670">index('Query Tool'!B:B,match(H670,'Query Tool'!C:C,0))</f>
        <v>1</v>
      </c>
      <c r="U670" s="161" t="b">
        <f t="array" ref="U670">index('Query Tool'!B:B,match(C670,'Query Tool'!C:C,0))</f>
        <v>0</v>
      </c>
      <c r="V670" s="161" t="b">
        <f>F670&gt;='Query Tool'!C$32</f>
        <v>1</v>
      </c>
      <c r="W670" s="161" t="b">
        <f t="array" ref="W670">index(Dropdowns!B:B,match(I670,Dropdowns!A:A,0))</f>
        <v>1</v>
      </c>
      <c r="X670" s="161" t="b">
        <f t="array" ref="X670">index('Query Tool'!B:B,match(D670,'Query Tool'!C:C,0))</f>
        <v>1</v>
      </c>
      <c r="Y670" s="161" t="str">
        <f t="shared" si="6"/>
        <v>asikom01,2014-15</v>
      </c>
      <c r="Z670" s="168">
        <f t="array" ref="Z670">iferror(index(I:I,match($A670&amp;","&amp;index('Year Conversion'!$A:$A,match($C670,'Year Conversion'!$B:$B,0)),$Y:$Y,0))-I670,"")</f>
        <v>1</v>
      </c>
      <c r="AA670" s="168">
        <f t="array" ref="AA670">iferror(index(J:J,match($A670&amp;","&amp;index('Year Conversion'!$A:$A,match($C670,'Year Conversion'!$B:$B,0)),$Y:$Y,0))-J670,"")</f>
        <v>-1.256215627</v>
      </c>
      <c r="AB670" s="168">
        <f t="array" ref="AB670">iferror(index(K:K,match($A670&amp;","&amp;index('Year Conversion'!$A:$A,match($C670,'Year Conversion'!$B:$B,0)),$Y:$Y,0))-K670,"")</f>
        <v>-1.141096552</v>
      </c>
      <c r="AC670" s="168" t="str">
        <f t="shared" si="7"/>
        <v>NOP,2014-15</v>
      </c>
    </row>
    <row r="671">
      <c r="A671" s="161" t="str">
        <f>IFERROR(__xludf.DUMMYFUNCTION("""COMPUTED_VALUE"""),"mbahalu01")</f>
        <v>mbahalu01</v>
      </c>
      <c r="B671" s="161" t="str">
        <f>IFERROR(__xludf.DUMMYFUNCTION("""COMPUTED_VALUE"""),"Luc Mbah a Moute")</f>
        <v>Luc Mbah a Moute</v>
      </c>
      <c r="C671" s="162" t="str">
        <f>IFERROR(__xludf.DUMMYFUNCTION("""COMPUTED_VALUE"""),"2014-15")</f>
        <v>2014-15</v>
      </c>
      <c r="D671" s="163" t="str">
        <f>IFERROR(__xludf.DUMMYFUNCTION("""COMPUTED_VALUE"""),"PHI")</f>
        <v>PHI</v>
      </c>
      <c r="E671" s="164" t="str">
        <f>IFERROR(__xludf.DUMMYFUNCTION("""COMPUTED_VALUE"""),"Stretch Big")</f>
        <v>Stretch Big</v>
      </c>
      <c r="F671" s="164">
        <f>IFERROR(__xludf.DUMMYFUNCTION("""COMPUTED_VALUE"""),1916.37666666667)</f>
        <v>1916.376667</v>
      </c>
      <c r="G671" s="163">
        <f>IFERROR(__xludf.DUMMYFUNCTION("""COMPUTED_VALUE"""),67.0)</f>
        <v>67</v>
      </c>
      <c r="H671" s="163" t="str">
        <f>IFERROR(__xludf.DUMMYFUNCTION("""COMPUTED_VALUE"""),"PF")</f>
        <v>PF</v>
      </c>
      <c r="I671" s="163">
        <f>IFERROR(__xludf.DUMMYFUNCTION("""COMPUTED_VALUE"""),28.0)</f>
        <v>28</v>
      </c>
      <c r="J671" s="165">
        <f>IFERROR(__xludf.DUMMYFUNCTION("""COMPUTED_VALUE"""),-2.14298126174387)</f>
        <v>-2.142981262</v>
      </c>
      <c r="K671" s="165">
        <f>IFERROR(__xludf.DUMMYFUNCTION("""COMPUTED_VALUE"""),-2.96252853103787)</f>
        <v>-2.962528531</v>
      </c>
      <c r="L671" s="165">
        <f>IFERROR(__xludf.DUMMYFUNCTION("""COMPUTED_VALUE"""),0.819547269293999)</f>
        <v>0.8195472693</v>
      </c>
      <c r="M671" s="166">
        <f t="shared" si="2"/>
        <v>0.2032083686</v>
      </c>
      <c r="N671" s="167">
        <f t="shared" si="3"/>
        <v>28.60263682</v>
      </c>
      <c r="O671" s="163">
        <f t="shared" ref="O671:Q671" si="675">rank(I671,I:I)</f>
        <v>1090</v>
      </c>
      <c r="P671" s="163">
        <f t="shared" si="675"/>
        <v>3583</v>
      </c>
      <c r="Q671" s="163">
        <f t="shared" si="675"/>
        <v>3977</v>
      </c>
      <c r="R671" s="163">
        <f>IFERROR(__xludf.DUMMYFUNCTION("RANK(M671,filter(M:M,C:C=C671))"),337.0)</f>
        <v>337</v>
      </c>
      <c r="S671" s="161" t="b">
        <f t="shared" si="5"/>
        <v>0</v>
      </c>
      <c r="T671" s="161" t="b">
        <f t="array" ref="T671">index('Query Tool'!B:B,match(H671,'Query Tool'!C:C,0))</f>
        <v>1</v>
      </c>
      <c r="U671" s="161" t="b">
        <f t="array" ref="U671">index('Query Tool'!B:B,match(C671,'Query Tool'!C:C,0))</f>
        <v>0</v>
      </c>
      <c r="V671" s="161" t="b">
        <f>F671&gt;='Query Tool'!C$32</f>
        <v>1</v>
      </c>
      <c r="W671" s="161" t="b">
        <f t="array" ref="W671">index(Dropdowns!B:B,match(I671,Dropdowns!A:A,0))</f>
        <v>1</v>
      </c>
      <c r="X671" s="161" t="b">
        <f t="array" ref="X671">index('Query Tool'!B:B,match(D671,'Query Tool'!C:C,0))</f>
        <v>1</v>
      </c>
      <c r="Y671" s="161" t="str">
        <f t="shared" si="6"/>
        <v>mbahalu01,2014-15</v>
      </c>
      <c r="Z671" s="168">
        <f t="array" ref="Z671">iferror(index(I:I,match($A671&amp;","&amp;index('Year Conversion'!$A:$A,match($C671,'Year Conversion'!$B:$B,0)),$Y:$Y,0))-I671,"")</f>
        <v>1</v>
      </c>
      <c r="AA671" s="168">
        <f t="array" ref="AA671">iferror(index(J:J,match($A671&amp;","&amp;index('Year Conversion'!$A:$A,match($C671,'Year Conversion'!$B:$B,0)),$Y:$Y,0))-J671,"")</f>
        <v>0.5594691528</v>
      </c>
      <c r="AB671" s="168">
        <f t="array" ref="AB671">iferror(index(K:K,match($A671&amp;","&amp;index('Year Conversion'!$A:$A,match($C671,'Year Conversion'!$B:$B,0)),$Y:$Y,0))-K671,"")</f>
        <v>0.6176554784</v>
      </c>
      <c r="AC671" s="168" t="str">
        <f t="shared" si="7"/>
        <v>PHI,2014-15</v>
      </c>
    </row>
    <row r="672">
      <c r="A672" s="161" t="str">
        <f>IFERROR(__xludf.DUMMYFUNCTION("""COMPUTED_VALUE"""),"douglch01")</f>
        <v>douglch01</v>
      </c>
      <c r="B672" s="161" t="str">
        <f>IFERROR(__xludf.DUMMYFUNCTION("""COMPUTED_VALUE"""),"Chris Douglas-Roberts")</f>
        <v>Chris Douglas-Roberts</v>
      </c>
      <c r="C672" s="162" t="str">
        <f>IFERROR(__xludf.DUMMYFUNCTION("""COMPUTED_VALUE"""),"2014-15")</f>
        <v>2014-15</v>
      </c>
      <c r="D672" s="163" t="str">
        <f>IFERROR(__xludf.DUMMYFUNCTION("""COMPUTED_VALUE"""),"LAC")</f>
        <v>LAC</v>
      </c>
      <c r="E672" s="164" t="str">
        <f>IFERROR(__xludf.DUMMYFUNCTION("""COMPUTED_VALUE"""),"Stationary Shooter")</f>
        <v>Stationary Shooter</v>
      </c>
      <c r="F672" s="164">
        <f>IFERROR(__xludf.DUMMYFUNCTION("""COMPUTED_VALUE"""),102.538333333333)</f>
        <v>102.5383333</v>
      </c>
      <c r="G672" s="163">
        <f>IFERROR(__xludf.DUMMYFUNCTION("""COMPUTED_VALUE"""),12.0)</f>
        <v>12</v>
      </c>
      <c r="H672" s="163" t="str">
        <f>IFERROR(__xludf.DUMMYFUNCTION("""COMPUTED_VALUE"""),"SG")</f>
        <v>SG</v>
      </c>
      <c r="I672" s="163">
        <f>IFERROR(__xludf.DUMMYFUNCTION("""COMPUTED_VALUE"""),28.0)</f>
        <v>28</v>
      </c>
      <c r="J672" s="165">
        <f>IFERROR(__xludf.DUMMYFUNCTION("""COMPUTED_VALUE"""),-2.33749844678171)</f>
        <v>-2.337498447</v>
      </c>
      <c r="K672" s="165">
        <f>IFERROR(__xludf.DUMMYFUNCTION("""COMPUTED_VALUE"""),-1.26020401986127)</f>
        <v>-1.26020402</v>
      </c>
      <c r="L672" s="165">
        <f>IFERROR(__xludf.DUMMYFUNCTION("""COMPUTED_VALUE"""),-1.07729442692044)</f>
        <v>-1.077294427</v>
      </c>
      <c r="M672" s="166">
        <f t="shared" si="2"/>
        <v>-0.002296544153</v>
      </c>
      <c r="N672" s="167">
        <f t="shared" si="3"/>
        <v>8.544861111</v>
      </c>
      <c r="O672" s="163">
        <f t="shared" ref="O672:Q672" si="676">rank(I672,I:I)</f>
        <v>1090</v>
      </c>
      <c r="P672" s="163">
        <f t="shared" si="676"/>
        <v>3676</v>
      </c>
      <c r="Q672" s="163">
        <f t="shared" si="676"/>
        <v>3093</v>
      </c>
      <c r="R672" s="163">
        <f>IFERROR(__xludf.DUMMYFUNCTION("RANK(M672,filter(M:M,C:C=C672))"),443.0)</f>
        <v>443</v>
      </c>
      <c r="S672" s="161" t="b">
        <f t="shared" si="5"/>
        <v>0</v>
      </c>
      <c r="T672" s="161" t="b">
        <f t="array" ref="T672">index('Query Tool'!B:B,match(H672,'Query Tool'!C:C,0))</f>
        <v>1</v>
      </c>
      <c r="U672" s="161" t="b">
        <f t="array" ref="U672">index('Query Tool'!B:B,match(C672,'Query Tool'!C:C,0))</f>
        <v>0</v>
      </c>
      <c r="V672" s="161" t="b">
        <f>F672&gt;='Query Tool'!C$32</f>
        <v>0</v>
      </c>
      <c r="W672" s="161" t="b">
        <f t="array" ref="W672">index(Dropdowns!B:B,match(I672,Dropdowns!A:A,0))</f>
        <v>1</v>
      </c>
      <c r="X672" s="161" t="b">
        <f t="array" ref="X672">index('Query Tool'!B:B,match(D672,'Query Tool'!C:C,0))</f>
        <v>1</v>
      </c>
      <c r="Y672" s="161" t="str">
        <f t="shared" si="6"/>
        <v>douglch01,2014-15</v>
      </c>
      <c r="Z672" s="168" t="str">
        <f t="array" ref="Z672">iferror(index(I:I,match($A672&amp;","&amp;index('Year Conversion'!$A:$A,match($C672,'Year Conversion'!$B:$B,0)),$Y:$Y,0))-I672,"")</f>
        <v/>
      </c>
      <c r="AA672" s="168" t="str">
        <f t="array" ref="AA672">iferror(index(J:J,match($A672&amp;","&amp;index('Year Conversion'!$A:$A,match($C672,'Year Conversion'!$B:$B,0)),$Y:$Y,0))-J672,"")</f>
        <v/>
      </c>
      <c r="AB672" s="168" t="str">
        <f t="array" ref="AB672">iferror(index(K:K,match($A672&amp;","&amp;index('Year Conversion'!$A:$A,match($C672,'Year Conversion'!$B:$B,0)),$Y:$Y,0))-K672,"")</f>
        <v/>
      </c>
      <c r="AC672" s="168" t="str">
        <f t="shared" si="7"/>
        <v>LAC,2014-15</v>
      </c>
    </row>
    <row r="673">
      <c r="A673" s="161" t="str">
        <f>IFERROR(__xludf.DUMMYFUNCTION("""COMPUTED_VALUE"""),"dragigo01")</f>
        <v>dragigo01</v>
      </c>
      <c r="B673" s="161" t="str">
        <f>IFERROR(__xludf.DUMMYFUNCTION("""COMPUTED_VALUE"""),"Goran Dragic")</f>
        <v>Goran Dragic</v>
      </c>
      <c r="C673" s="162" t="str">
        <f>IFERROR(__xludf.DUMMYFUNCTION("""COMPUTED_VALUE"""),"2014-15")</f>
        <v>2014-15</v>
      </c>
      <c r="D673" s="163" t="str">
        <f>IFERROR(__xludf.DUMMYFUNCTION("""COMPUTED_VALUE"""),"TOT")</f>
        <v>TOT</v>
      </c>
      <c r="E673" s="164" t="str">
        <f>IFERROR(__xludf.DUMMYFUNCTION("""COMPUTED_VALUE"""),"Slasher")</f>
        <v>Slasher</v>
      </c>
      <c r="F673" s="164">
        <f>IFERROR(__xludf.DUMMYFUNCTION("""COMPUTED_VALUE"""),2640.02333333333)</f>
        <v>2640.023333</v>
      </c>
      <c r="G673" s="163">
        <f>IFERROR(__xludf.DUMMYFUNCTION("""COMPUTED_VALUE"""),78.0)</f>
        <v>78</v>
      </c>
      <c r="H673" s="163" t="str">
        <f>IFERROR(__xludf.DUMMYFUNCTION("""COMPUTED_VALUE"""),"SG-PG")</f>
        <v>SG-PG</v>
      </c>
      <c r="I673" s="163">
        <f>IFERROR(__xludf.DUMMYFUNCTION("""COMPUTED_VALUE"""),28.0)</f>
        <v>28</v>
      </c>
      <c r="J673" s="165">
        <f>IFERROR(__xludf.DUMMYFUNCTION("""COMPUTED_VALUE"""),-0.195315503563015)</f>
        <v>-0.1953155036</v>
      </c>
      <c r="K673" s="165">
        <f>IFERROR(__xludf.DUMMYFUNCTION("""COMPUTED_VALUE"""),1.2894399151514)</f>
        <v>1.289439915</v>
      </c>
      <c r="L673" s="165">
        <f>IFERROR(__xludf.DUMMYFUNCTION("""COMPUTED_VALUE"""),-1.48475541871441)</f>
        <v>-1.484755419</v>
      </c>
      <c r="M673" s="166">
        <f t="shared" si="2"/>
        <v>3.722416852</v>
      </c>
      <c r="N673" s="167">
        <f t="shared" si="3"/>
        <v>33.84645299</v>
      </c>
      <c r="O673" s="163">
        <f t="shared" ref="O673:Q673" si="677">rank(I673,I:I)</f>
        <v>1090</v>
      </c>
      <c r="P673" s="163">
        <f t="shared" si="677"/>
        <v>1505</v>
      </c>
      <c r="Q673" s="163">
        <f t="shared" si="677"/>
        <v>387</v>
      </c>
      <c r="R673" s="163">
        <f>IFERROR(__xludf.DUMMYFUNCTION("RANK(M673,filter(M:M,C:C=C673))"),93.0)</f>
        <v>93</v>
      </c>
      <c r="S673" s="161" t="b">
        <f t="shared" si="5"/>
        <v>0</v>
      </c>
      <c r="T673" s="161" t="str">
        <f t="array" ref="T673">index('Query Tool'!B:B,match(H673,'Query Tool'!C:C,0))</f>
        <v>#N/A</v>
      </c>
      <c r="U673" s="161" t="b">
        <f t="array" ref="U673">index('Query Tool'!B:B,match(C673,'Query Tool'!C:C,0))</f>
        <v>0</v>
      </c>
      <c r="V673" s="161" t="b">
        <f>F673&gt;='Query Tool'!C$32</f>
        <v>1</v>
      </c>
      <c r="W673" s="161" t="b">
        <f t="array" ref="W673">index(Dropdowns!B:B,match(I673,Dropdowns!A:A,0))</f>
        <v>1</v>
      </c>
      <c r="X673" s="161" t="b">
        <f t="array" ref="X673">index('Query Tool'!B:B,match(D673,'Query Tool'!C:C,0))</f>
        <v>1</v>
      </c>
      <c r="Y673" s="161" t="str">
        <f t="shared" si="6"/>
        <v>dragigo01,2014-15</v>
      </c>
      <c r="Z673" s="168">
        <f t="array" ref="Z673">iferror(index(I:I,match($A673&amp;","&amp;index('Year Conversion'!$A:$A,match($C673,'Year Conversion'!$B:$B,0)),$Y:$Y,0))-I673,"")</f>
        <v>1</v>
      </c>
      <c r="AA673" s="168">
        <f t="array" ref="AA673">iferror(index(J:J,match($A673&amp;","&amp;index('Year Conversion'!$A:$A,match($C673,'Year Conversion'!$B:$B,0)),$Y:$Y,0))-J673,"")</f>
        <v>1.345422214</v>
      </c>
      <c r="AB673" s="168">
        <f t="array" ref="AB673">iferror(index(K:K,match($A673&amp;","&amp;index('Year Conversion'!$A:$A,match($C673,'Year Conversion'!$B:$B,0)),$Y:$Y,0))-K673,"")</f>
        <v>0.5800393949</v>
      </c>
      <c r="AC673" s="168" t="str">
        <f t="shared" si="7"/>
        <v>TOT,2014-15</v>
      </c>
    </row>
    <row r="674">
      <c r="A674" s="161" t="str">
        <f>IFERROR(__xludf.DUMMYFUNCTION("""COMPUTED_VALUE"""),"walkebi01")</f>
        <v>walkebi01</v>
      </c>
      <c r="B674" s="161" t="str">
        <f>IFERROR(__xludf.DUMMYFUNCTION("""COMPUTED_VALUE"""),"Henry Walker")</f>
        <v>Henry Walker</v>
      </c>
      <c r="C674" s="162" t="str">
        <f>IFERROR(__xludf.DUMMYFUNCTION("""COMPUTED_VALUE"""),"2014-15")</f>
        <v>2014-15</v>
      </c>
      <c r="D674" s="163" t="str">
        <f>IFERROR(__xludf.DUMMYFUNCTION("""COMPUTED_VALUE"""),"MIA")</f>
        <v>MIA</v>
      </c>
      <c r="E674" s="164" t="str">
        <f>IFERROR(__xludf.DUMMYFUNCTION("""COMPUTED_VALUE"""),"Stationary Shooter")</f>
        <v>Stationary Shooter</v>
      </c>
      <c r="F674" s="164">
        <f>IFERROR(__xludf.DUMMYFUNCTION("""COMPUTED_VALUE"""),627.548333333333)</f>
        <v>627.5483333</v>
      </c>
      <c r="G674" s="163">
        <f>IFERROR(__xludf.DUMMYFUNCTION("""COMPUTED_VALUE"""),24.0)</f>
        <v>24</v>
      </c>
      <c r="H674" s="163" t="str">
        <f>IFERROR(__xludf.DUMMYFUNCTION("""COMPUTED_VALUE"""),"SF")</f>
        <v>SF</v>
      </c>
      <c r="I674" s="163">
        <f>IFERROR(__xludf.DUMMYFUNCTION("""COMPUTED_VALUE"""),27.0)</f>
        <v>27</v>
      </c>
      <c r="J674" s="165">
        <f>IFERROR(__xludf.DUMMYFUNCTION("""COMPUTED_VALUE"""),-0.811177560240635)</f>
        <v>-0.8111775602</v>
      </c>
      <c r="K674" s="165">
        <f>IFERROR(__xludf.DUMMYFUNCTION("""COMPUTED_VALUE"""),-0.878572526256141)</f>
        <v>-0.8785725263</v>
      </c>
      <c r="L674" s="165">
        <f>IFERROR(__xludf.DUMMYFUNCTION("""COMPUTED_VALUE"""),0.0673949660155066)</f>
        <v>0.06739496602</v>
      </c>
      <c r="M674" s="166">
        <f t="shared" si="2"/>
        <v>0.6245852864</v>
      </c>
      <c r="N674" s="167">
        <f t="shared" si="3"/>
        <v>26.14784722</v>
      </c>
      <c r="O674" s="163">
        <f t="shared" ref="O674:Q674" si="678">rank(I674,I:I)</f>
        <v>1366</v>
      </c>
      <c r="P674" s="163">
        <f t="shared" si="678"/>
        <v>2295</v>
      </c>
      <c r="Q674" s="163">
        <f t="shared" si="678"/>
        <v>2662</v>
      </c>
      <c r="R674" s="163">
        <f>IFERROR(__xludf.DUMMYFUNCTION("RANK(M674,filter(M:M,C:C=C674))"),271.0)</f>
        <v>271</v>
      </c>
      <c r="S674" s="161" t="b">
        <f t="shared" si="5"/>
        <v>0</v>
      </c>
      <c r="T674" s="161" t="b">
        <f t="array" ref="T674">index('Query Tool'!B:B,match(H674,'Query Tool'!C:C,0))</f>
        <v>1</v>
      </c>
      <c r="U674" s="161" t="b">
        <f t="array" ref="U674">index('Query Tool'!B:B,match(C674,'Query Tool'!C:C,0))</f>
        <v>0</v>
      </c>
      <c r="V674" s="161" t="b">
        <f>F674&gt;='Query Tool'!C$32</f>
        <v>1</v>
      </c>
      <c r="W674" s="161" t="b">
        <f t="array" ref="W674">index(Dropdowns!B:B,match(I674,Dropdowns!A:A,0))</f>
        <v>1</v>
      </c>
      <c r="X674" s="161" t="b">
        <f t="array" ref="X674">index('Query Tool'!B:B,match(D674,'Query Tool'!C:C,0))</f>
        <v>1</v>
      </c>
      <c r="Y674" s="161" t="str">
        <f t="shared" si="6"/>
        <v>walkebi01,2014-15</v>
      </c>
      <c r="Z674" s="168" t="str">
        <f t="array" ref="Z674">iferror(index(I:I,match($A674&amp;","&amp;index('Year Conversion'!$A:$A,match($C674,'Year Conversion'!$B:$B,0)),$Y:$Y,0))-I674,"")</f>
        <v/>
      </c>
      <c r="AA674" s="168" t="str">
        <f t="array" ref="AA674">iferror(index(J:J,match($A674&amp;","&amp;index('Year Conversion'!$A:$A,match($C674,'Year Conversion'!$B:$B,0)),$Y:$Y,0))-J674,"")</f>
        <v/>
      </c>
      <c r="AB674" s="168" t="str">
        <f t="array" ref="AB674">iferror(index(K:K,match($A674&amp;","&amp;index('Year Conversion'!$A:$A,match($C674,'Year Conversion'!$B:$B,0)),$Y:$Y,0))-K674,"")</f>
        <v/>
      </c>
      <c r="AC674" s="168" t="str">
        <f t="shared" si="7"/>
        <v>MIA,2014-15</v>
      </c>
    </row>
    <row r="675">
      <c r="A675" s="161" t="str">
        <f>IFERROR(__xludf.DUMMYFUNCTION("""COMPUTED_VALUE"""),"morroan01")</f>
        <v>morroan01</v>
      </c>
      <c r="B675" s="161" t="str">
        <f>IFERROR(__xludf.DUMMYFUNCTION("""COMPUTED_VALUE"""),"Anthony Morrow")</f>
        <v>Anthony Morrow</v>
      </c>
      <c r="C675" s="162" t="str">
        <f>IFERROR(__xludf.DUMMYFUNCTION("""COMPUTED_VALUE"""),"2014-15")</f>
        <v>2014-15</v>
      </c>
      <c r="D675" s="163" t="str">
        <f>IFERROR(__xludf.DUMMYFUNCTION("""COMPUTED_VALUE"""),"OKC")</f>
        <v>OKC</v>
      </c>
      <c r="E675" s="164" t="str">
        <f>IFERROR(__xludf.DUMMYFUNCTION("""COMPUTED_VALUE"""),"Stationary Shooter")</f>
        <v>Stationary Shooter</v>
      </c>
      <c r="F675" s="164">
        <f>IFERROR(__xludf.DUMMYFUNCTION("""COMPUTED_VALUE"""),1805.61333333333)</f>
        <v>1805.613333</v>
      </c>
      <c r="G675" s="163">
        <f>IFERROR(__xludf.DUMMYFUNCTION("""COMPUTED_VALUE"""),74.0)</f>
        <v>74</v>
      </c>
      <c r="H675" s="163" t="str">
        <f>IFERROR(__xludf.DUMMYFUNCTION("""COMPUTED_VALUE"""),"SG")</f>
        <v>SG</v>
      </c>
      <c r="I675" s="163">
        <f>IFERROR(__xludf.DUMMYFUNCTION("""COMPUTED_VALUE"""),29.0)</f>
        <v>29</v>
      </c>
      <c r="J675" s="165">
        <f>IFERROR(__xludf.DUMMYFUNCTION("""COMPUTED_VALUE"""),-0.391349897150025)</f>
        <v>-0.3913498972</v>
      </c>
      <c r="K675" s="165">
        <f>IFERROR(__xludf.DUMMYFUNCTION("""COMPUTED_VALUE"""),0.752811405208614)</f>
        <v>0.7528114052</v>
      </c>
      <c r="L675" s="165">
        <f>IFERROR(__xludf.DUMMYFUNCTION("""COMPUTED_VALUE"""),-1.14416130235864)</f>
        <v>-1.144161302</v>
      </c>
      <c r="M675" s="166">
        <f t="shared" si="2"/>
        <v>2.30735477</v>
      </c>
      <c r="N675" s="167">
        <f t="shared" si="3"/>
        <v>24.40018018</v>
      </c>
      <c r="O675" s="163">
        <f t="shared" ref="O675:Q675" si="679">rank(I675,I:I)</f>
        <v>855</v>
      </c>
      <c r="P675" s="163">
        <f t="shared" si="679"/>
        <v>1719</v>
      </c>
      <c r="Q675" s="163">
        <f t="shared" si="679"/>
        <v>623</v>
      </c>
      <c r="R675" s="163">
        <f>IFERROR(__xludf.DUMMYFUNCTION("RANK(M675,filter(M:M,C:C=C675))"),153.0)</f>
        <v>153</v>
      </c>
      <c r="S675" s="161" t="b">
        <f t="shared" si="5"/>
        <v>0</v>
      </c>
      <c r="T675" s="161" t="b">
        <f t="array" ref="T675">index('Query Tool'!B:B,match(H675,'Query Tool'!C:C,0))</f>
        <v>1</v>
      </c>
      <c r="U675" s="161" t="b">
        <f t="array" ref="U675">index('Query Tool'!B:B,match(C675,'Query Tool'!C:C,0))</f>
        <v>0</v>
      </c>
      <c r="V675" s="161" t="b">
        <f>F675&gt;='Query Tool'!C$32</f>
        <v>1</v>
      </c>
      <c r="W675" s="161" t="b">
        <f t="array" ref="W675">index(Dropdowns!B:B,match(I675,Dropdowns!A:A,0))</f>
        <v>1</v>
      </c>
      <c r="X675" s="161" t="b">
        <f t="array" ref="X675">index('Query Tool'!B:B,match(D675,'Query Tool'!C:C,0))</f>
        <v>1</v>
      </c>
      <c r="Y675" s="161" t="str">
        <f t="shared" si="6"/>
        <v>morroan01,2014-15</v>
      </c>
      <c r="Z675" s="168">
        <f t="array" ref="Z675">iferror(index(I:I,match($A675&amp;","&amp;index('Year Conversion'!$A:$A,match($C675,'Year Conversion'!$B:$B,0)),$Y:$Y,0))-I675,"")</f>
        <v>1</v>
      </c>
      <c r="AA675" s="168">
        <f t="array" ref="AA675">iferror(index(J:J,match($A675&amp;","&amp;index('Year Conversion'!$A:$A,match($C675,'Year Conversion'!$B:$B,0)),$Y:$Y,0))-J675,"")</f>
        <v>-1.789324996</v>
      </c>
      <c r="AB675" s="168">
        <f t="array" ref="AB675">iferror(index(K:K,match($A675&amp;","&amp;index('Year Conversion'!$A:$A,match($C675,'Year Conversion'!$B:$B,0)),$Y:$Y,0))-K675,"")</f>
        <v>-0.7173579372</v>
      </c>
      <c r="AC675" s="168" t="str">
        <f t="shared" si="7"/>
        <v>OKC,2014-15</v>
      </c>
    </row>
    <row r="676">
      <c r="A676" s="161" t="str">
        <f>IFERROR(__xludf.DUMMYFUNCTION("""COMPUTED_VALUE"""),"martica01")</f>
        <v>martica01</v>
      </c>
      <c r="B676" s="161" t="str">
        <f>IFERROR(__xludf.DUMMYFUNCTION("""COMPUTED_VALUE"""),"Cartier Martin")</f>
        <v>Cartier Martin</v>
      </c>
      <c r="C676" s="162" t="str">
        <f>IFERROR(__xludf.DUMMYFUNCTION("""COMPUTED_VALUE"""),"2014-15")</f>
        <v>2014-15</v>
      </c>
      <c r="D676" s="163" t="str">
        <f>IFERROR(__xludf.DUMMYFUNCTION("""COMPUTED_VALUE"""),"DET")</f>
        <v>DET</v>
      </c>
      <c r="E676" s="164" t="str">
        <f>IFERROR(__xludf.DUMMYFUNCTION("""COMPUTED_VALUE"""),"Movement Shooter")</f>
        <v>Movement Shooter</v>
      </c>
      <c r="F676" s="164">
        <f>IFERROR(__xludf.DUMMYFUNCTION("""COMPUTED_VALUE"""),198.206666666667)</f>
        <v>198.2066667</v>
      </c>
      <c r="G676" s="163">
        <f>IFERROR(__xludf.DUMMYFUNCTION("""COMPUTED_VALUE"""),23.0)</f>
        <v>23</v>
      </c>
      <c r="H676" s="163" t="str">
        <f>IFERROR(__xludf.DUMMYFUNCTION("""COMPUTED_VALUE"""),"SF")</f>
        <v>SF</v>
      </c>
      <c r="I676" s="163">
        <f>IFERROR(__xludf.DUMMYFUNCTION("""COMPUTED_VALUE"""),30.0)</f>
        <v>30</v>
      </c>
      <c r="J676" s="165">
        <f>IFERROR(__xludf.DUMMYFUNCTION("""COMPUTED_VALUE"""),-1.44775384713229)</f>
        <v>-1.447753847</v>
      </c>
      <c r="K676" s="165">
        <f>IFERROR(__xludf.DUMMYFUNCTION("""COMPUTED_VALUE"""),-1.15886023643292)</f>
        <v>-1.158860236</v>
      </c>
      <c r="L676" s="165">
        <f>IFERROR(__xludf.DUMMYFUNCTION("""COMPUTED_VALUE"""),-0.288893610699369)</f>
        <v>-0.2888936107</v>
      </c>
      <c r="M676" s="166">
        <f t="shared" si="2"/>
        <v>0.1126681812</v>
      </c>
      <c r="N676" s="167">
        <f t="shared" si="3"/>
        <v>8.617681159</v>
      </c>
      <c r="O676" s="163">
        <f t="shared" ref="O676:Q676" si="680">rank(I676,I:I)</f>
        <v>655</v>
      </c>
      <c r="P676" s="163">
        <f t="shared" si="680"/>
        <v>3006</v>
      </c>
      <c r="Q676" s="163">
        <f t="shared" si="680"/>
        <v>2996</v>
      </c>
      <c r="R676" s="163">
        <f>IFERROR(__xludf.DUMMYFUNCTION("RANK(M676,filter(M:M,C:C=C676))"),371.0)</f>
        <v>371</v>
      </c>
      <c r="S676" s="161" t="b">
        <f t="shared" si="5"/>
        <v>0</v>
      </c>
      <c r="T676" s="161" t="b">
        <f t="array" ref="T676">index('Query Tool'!B:B,match(H676,'Query Tool'!C:C,0))</f>
        <v>1</v>
      </c>
      <c r="U676" s="161" t="b">
        <f t="array" ref="U676">index('Query Tool'!B:B,match(C676,'Query Tool'!C:C,0))</f>
        <v>0</v>
      </c>
      <c r="V676" s="161" t="b">
        <f>F676&gt;='Query Tool'!C$32</f>
        <v>0</v>
      </c>
      <c r="W676" s="161" t="b">
        <f t="array" ref="W676">index(Dropdowns!B:B,match(I676,Dropdowns!A:A,0))</f>
        <v>1</v>
      </c>
      <c r="X676" s="161" t="b">
        <f t="array" ref="X676">index('Query Tool'!B:B,match(D676,'Query Tool'!C:C,0))</f>
        <v>1</v>
      </c>
      <c r="Y676" s="161" t="str">
        <f t="shared" si="6"/>
        <v>martica01,2014-15</v>
      </c>
      <c r="Z676" s="168" t="str">
        <f t="array" ref="Z676">iferror(index(I:I,match($A676&amp;","&amp;index('Year Conversion'!$A:$A,match($C676,'Year Conversion'!$B:$B,0)),$Y:$Y,0))-I676,"")</f>
        <v/>
      </c>
      <c r="AA676" s="168" t="str">
        <f t="array" ref="AA676">iferror(index(J:J,match($A676&amp;","&amp;index('Year Conversion'!$A:$A,match($C676,'Year Conversion'!$B:$B,0)),$Y:$Y,0))-J676,"")</f>
        <v/>
      </c>
      <c r="AB676" s="168" t="str">
        <f t="array" ref="AB676">iferror(index(K:K,match($A676&amp;","&amp;index('Year Conversion'!$A:$A,match($C676,'Year Conversion'!$B:$B,0)),$Y:$Y,0))-K676,"")</f>
        <v/>
      </c>
      <c r="AC676" s="168" t="str">
        <f t="shared" si="7"/>
        <v>DET,2014-15</v>
      </c>
    </row>
    <row r="677">
      <c r="A677" s="161" t="str">
        <f>IFERROR(__xludf.DUMMYFUNCTION("""COMPUTED_VALUE"""),"stiemgr01")</f>
        <v>stiemgr01</v>
      </c>
      <c r="B677" s="161" t="str">
        <f>IFERROR(__xludf.DUMMYFUNCTION("""COMPUTED_VALUE"""),"Greg Stiemsma")</f>
        <v>Greg Stiemsma</v>
      </c>
      <c r="C677" s="162" t="str">
        <f>IFERROR(__xludf.DUMMYFUNCTION("""COMPUTED_VALUE"""),"2014-15")</f>
        <v>2014-15</v>
      </c>
      <c r="D677" s="163" t="str">
        <f>IFERROR(__xludf.DUMMYFUNCTION("""COMPUTED_VALUE"""),"TOR")</f>
        <v>TOR</v>
      </c>
      <c r="E677" s="164" t="str">
        <f>IFERROR(__xludf.DUMMYFUNCTION("""COMPUTED_VALUE"""),"Roll + Cut Big")</f>
        <v>Roll + Cut Big</v>
      </c>
      <c r="F677" s="164">
        <f>IFERROR(__xludf.DUMMYFUNCTION("""COMPUTED_VALUE"""),65.6016666666667)</f>
        <v>65.60166667</v>
      </c>
      <c r="G677" s="163">
        <f>IFERROR(__xludf.DUMMYFUNCTION("""COMPUTED_VALUE"""),17.0)</f>
        <v>17</v>
      </c>
      <c r="H677" s="163" t="str">
        <f>IFERROR(__xludf.DUMMYFUNCTION("""COMPUTED_VALUE"""),"C")</f>
        <v>C</v>
      </c>
      <c r="I677" s="163">
        <f>IFERROR(__xludf.DUMMYFUNCTION("""COMPUTED_VALUE"""),29.0)</f>
        <v>29</v>
      </c>
      <c r="J677" s="165">
        <f>IFERROR(__xludf.DUMMYFUNCTION("""COMPUTED_VALUE"""),-1.43342929400779)</f>
        <v>-1.433429294</v>
      </c>
      <c r="K677" s="165">
        <f>IFERROR(__xludf.DUMMYFUNCTION("""COMPUTED_VALUE"""),-0.76455059952428)</f>
        <v>-0.7645505995</v>
      </c>
      <c r="L677" s="165">
        <f>IFERROR(__xludf.DUMMYFUNCTION("""COMPUTED_VALUE"""),-0.668878694483514)</f>
        <v>-0.6688786945</v>
      </c>
      <c r="M677" s="166">
        <f t="shared" si="2"/>
        <v>0.0379185714</v>
      </c>
      <c r="N677" s="167">
        <f t="shared" si="3"/>
        <v>3.858921569</v>
      </c>
      <c r="O677" s="163">
        <f t="shared" ref="O677:Q677" si="681">rank(I677,I:I)</f>
        <v>855</v>
      </c>
      <c r="P677" s="163">
        <f t="shared" si="681"/>
        <v>2995</v>
      </c>
      <c r="Q677" s="163">
        <f t="shared" si="681"/>
        <v>2506</v>
      </c>
      <c r="R677" s="163">
        <f>IFERROR(__xludf.DUMMYFUNCTION("RANK(M677,filter(M:M,C:C=C677))"),417.0)</f>
        <v>417</v>
      </c>
      <c r="S677" s="161" t="b">
        <f t="shared" si="5"/>
        <v>0</v>
      </c>
      <c r="T677" s="161" t="b">
        <f t="array" ref="T677">index('Query Tool'!B:B,match(H677,'Query Tool'!C:C,0))</f>
        <v>1</v>
      </c>
      <c r="U677" s="161" t="b">
        <f t="array" ref="U677">index('Query Tool'!B:B,match(C677,'Query Tool'!C:C,0))</f>
        <v>0</v>
      </c>
      <c r="V677" s="161" t="b">
        <f>F677&gt;='Query Tool'!C$32</f>
        <v>0</v>
      </c>
      <c r="W677" s="161" t="b">
        <f t="array" ref="W677">index(Dropdowns!B:B,match(I677,Dropdowns!A:A,0))</f>
        <v>1</v>
      </c>
      <c r="X677" s="161" t="b">
        <f t="array" ref="X677">index('Query Tool'!B:B,match(D677,'Query Tool'!C:C,0))</f>
        <v>1</v>
      </c>
      <c r="Y677" s="161" t="str">
        <f t="shared" si="6"/>
        <v>stiemgr01,2014-15</v>
      </c>
      <c r="Z677" s="168" t="str">
        <f t="array" ref="Z677">iferror(index(I:I,match($A677&amp;","&amp;index('Year Conversion'!$A:$A,match($C677,'Year Conversion'!$B:$B,0)),$Y:$Y,0))-I677,"")</f>
        <v/>
      </c>
      <c r="AA677" s="168" t="str">
        <f t="array" ref="AA677">iferror(index(J:J,match($A677&amp;","&amp;index('Year Conversion'!$A:$A,match($C677,'Year Conversion'!$B:$B,0)),$Y:$Y,0))-J677,"")</f>
        <v/>
      </c>
      <c r="AB677" s="168" t="str">
        <f t="array" ref="AB677">iferror(index(K:K,match($A677&amp;","&amp;index('Year Conversion'!$A:$A,match($C677,'Year Conversion'!$B:$B,0)),$Y:$Y,0))-K677,"")</f>
        <v/>
      </c>
      <c r="AC677" s="168" t="str">
        <f t="shared" si="7"/>
        <v>TOR,2014-15</v>
      </c>
    </row>
    <row r="678">
      <c r="A678" s="161" t="str">
        <f>IFERROR(__xludf.DUMMYFUNCTION("""COMPUTED_VALUE"""),"griffbl01")</f>
        <v>griffbl01</v>
      </c>
      <c r="B678" s="161" t="str">
        <f>IFERROR(__xludf.DUMMYFUNCTION("""COMPUTED_VALUE"""),"Blake Griffin")</f>
        <v>Blake Griffin</v>
      </c>
      <c r="C678" s="162" t="str">
        <f>IFERROR(__xludf.DUMMYFUNCTION("""COMPUTED_VALUE"""),"2014-15")</f>
        <v>2014-15</v>
      </c>
      <c r="D678" s="163" t="str">
        <f>IFERROR(__xludf.DUMMYFUNCTION("""COMPUTED_VALUE"""),"LAC")</f>
        <v>LAC</v>
      </c>
      <c r="E678" s="164" t="str">
        <f>IFERROR(__xludf.DUMMYFUNCTION("""COMPUTED_VALUE"""),"Post Scorer")</f>
        <v>Post Scorer</v>
      </c>
      <c r="F678" s="164">
        <f>IFERROR(__xludf.DUMMYFUNCTION("""COMPUTED_VALUE"""),2355.78833333333)</f>
        <v>2355.788333</v>
      </c>
      <c r="G678" s="163">
        <f>IFERROR(__xludf.DUMMYFUNCTION("""COMPUTED_VALUE"""),67.0)</f>
        <v>67</v>
      </c>
      <c r="H678" s="163" t="str">
        <f>IFERROR(__xludf.DUMMYFUNCTION("""COMPUTED_VALUE"""),"PF")</f>
        <v>PF</v>
      </c>
      <c r="I678" s="163">
        <f>IFERROR(__xludf.DUMMYFUNCTION("""COMPUTED_VALUE"""),25.0)</f>
        <v>25</v>
      </c>
      <c r="J678" s="165">
        <f>IFERROR(__xludf.DUMMYFUNCTION("""COMPUTED_VALUE"""),1.84192923962444)</f>
        <v>1.84192924</v>
      </c>
      <c r="K678" s="165">
        <f>IFERROR(__xludf.DUMMYFUNCTION("""COMPUTED_VALUE"""),2.25966402344712)</f>
        <v>2.259664023</v>
      </c>
      <c r="L678" s="165">
        <f>IFERROR(__xludf.DUMMYFUNCTION("""COMPUTED_VALUE"""),-0.41773478382268)</f>
        <v>-0.4177347838</v>
      </c>
      <c r="M678" s="166">
        <f t="shared" si="2"/>
        <v>6.543571235</v>
      </c>
      <c r="N678" s="167">
        <f t="shared" si="3"/>
        <v>35.1610199</v>
      </c>
      <c r="O678" s="163">
        <f t="shared" ref="O678:Q678" si="682">rank(I678,I:I)</f>
        <v>1995</v>
      </c>
      <c r="P678" s="163">
        <f t="shared" si="682"/>
        <v>363</v>
      </c>
      <c r="Q678" s="163">
        <f t="shared" si="682"/>
        <v>185</v>
      </c>
      <c r="R678" s="163">
        <f>IFERROR(__xludf.DUMMYFUNCTION("RANK(M678,filter(M:M,C:C=C678))"),35.0)</f>
        <v>35</v>
      </c>
      <c r="S678" s="161" t="b">
        <f t="shared" si="5"/>
        <v>0</v>
      </c>
      <c r="T678" s="161" t="b">
        <f t="array" ref="T678">index('Query Tool'!B:B,match(H678,'Query Tool'!C:C,0))</f>
        <v>1</v>
      </c>
      <c r="U678" s="161" t="b">
        <f t="array" ref="U678">index('Query Tool'!B:B,match(C678,'Query Tool'!C:C,0))</f>
        <v>0</v>
      </c>
      <c r="V678" s="161" t="b">
        <f>F678&gt;='Query Tool'!C$32</f>
        <v>1</v>
      </c>
      <c r="W678" s="161" t="b">
        <f t="array" ref="W678">index(Dropdowns!B:B,match(I678,Dropdowns!A:A,0))</f>
        <v>1</v>
      </c>
      <c r="X678" s="161" t="b">
        <f t="array" ref="X678">index('Query Tool'!B:B,match(D678,'Query Tool'!C:C,0))</f>
        <v>1</v>
      </c>
      <c r="Y678" s="161" t="str">
        <f t="shared" si="6"/>
        <v>griffbl01,2014-15</v>
      </c>
      <c r="Z678" s="168">
        <f t="array" ref="Z678">iferror(index(I:I,match($A678&amp;","&amp;index('Year Conversion'!$A:$A,match($C678,'Year Conversion'!$B:$B,0)),$Y:$Y,0))-I678,"")</f>
        <v>1</v>
      </c>
      <c r="AA678" s="168">
        <f t="array" ref="AA678">iferror(index(J:J,match($A678&amp;","&amp;index('Year Conversion'!$A:$A,match($C678,'Year Conversion'!$B:$B,0)),$Y:$Y,0))-J678,"")</f>
        <v>-0.8202015667</v>
      </c>
      <c r="AB678" s="168">
        <f t="array" ref="AB678">iferror(index(K:K,match($A678&amp;","&amp;index('Year Conversion'!$A:$A,match($C678,'Year Conversion'!$B:$B,0)),$Y:$Y,0))-K678,"")</f>
        <v>-1.430313168</v>
      </c>
      <c r="AC678" s="168" t="str">
        <f t="shared" si="7"/>
        <v>LAC,2014-15</v>
      </c>
    </row>
    <row r="679">
      <c r="A679" s="161" t="str">
        <f>IFERROR(__xludf.DUMMYFUNCTION("""COMPUTED_VALUE"""),"hardeja01")</f>
        <v>hardeja01</v>
      </c>
      <c r="B679" s="161" t="str">
        <f>IFERROR(__xludf.DUMMYFUNCTION("""COMPUTED_VALUE"""),"James Harden")</f>
        <v>James Harden</v>
      </c>
      <c r="C679" s="162" t="str">
        <f>IFERROR(__xludf.DUMMYFUNCTION("""COMPUTED_VALUE"""),"2014-15")</f>
        <v>2014-15</v>
      </c>
      <c r="D679" s="163" t="str">
        <f>IFERROR(__xludf.DUMMYFUNCTION("""COMPUTED_VALUE"""),"HOU")</f>
        <v>HOU</v>
      </c>
      <c r="E679" s="164" t="str">
        <f>IFERROR(__xludf.DUMMYFUNCTION("""COMPUTED_VALUE"""),"Shot Creator")</f>
        <v>Shot Creator</v>
      </c>
      <c r="F679" s="164">
        <f>IFERROR(__xludf.DUMMYFUNCTION("""COMPUTED_VALUE"""),2980.865)</f>
        <v>2980.865</v>
      </c>
      <c r="G679" s="163">
        <f>IFERROR(__xludf.DUMMYFUNCTION("""COMPUTED_VALUE"""),81.0)</f>
        <v>81</v>
      </c>
      <c r="H679" s="163" t="str">
        <f>IFERROR(__xludf.DUMMYFUNCTION("""COMPUTED_VALUE"""),"SG")</f>
        <v>SG</v>
      </c>
      <c r="I679" s="163">
        <f>IFERROR(__xludf.DUMMYFUNCTION("""COMPUTED_VALUE"""),25.0)</f>
        <v>25</v>
      </c>
      <c r="J679" s="165">
        <f>IFERROR(__xludf.DUMMYFUNCTION("""COMPUTED_VALUE"""),5.33676799910378)</f>
        <v>5.336767999</v>
      </c>
      <c r="K679" s="165">
        <f>IFERROR(__xludf.DUMMYFUNCTION("""COMPUTED_VALUE"""),5.66137888044175)</f>
        <v>5.66137888</v>
      </c>
      <c r="L679" s="165">
        <f>IFERROR(__xludf.DUMMYFUNCTION("""COMPUTED_VALUE"""),-0.324610881337971)</f>
        <v>-0.3246108813</v>
      </c>
      <c r="M679" s="166">
        <f t="shared" si="2"/>
        <v>14.91547024</v>
      </c>
      <c r="N679" s="167">
        <f t="shared" si="3"/>
        <v>36.80080247</v>
      </c>
      <c r="O679" s="163">
        <f t="shared" ref="O679:Q679" si="683">rank(I679,I:I)</f>
        <v>1995</v>
      </c>
      <c r="P679" s="163">
        <f t="shared" si="683"/>
        <v>40</v>
      </c>
      <c r="Q679" s="163">
        <f t="shared" si="683"/>
        <v>18</v>
      </c>
      <c r="R679" s="163">
        <f>IFERROR(__xludf.DUMMYFUNCTION("RANK(M679,filter(M:M,C:C=C679))"),3.0)</f>
        <v>3</v>
      </c>
      <c r="S679" s="161" t="b">
        <f t="shared" si="5"/>
        <v>0</v>
      </c>
      <c r="T679" s="161" t="b">
        <f t="array" ref="T679">index('Query Tool'!B:B,match(H679,'Query Tool'!C:C,0))</f>
        <v>1</v>
      </c>
      <c r="U679" s="161" t="b">
        <f t="array" ref="U679">index('Query Tool'!B:B,match(C679,'Query Tool'!C:C,0))</f>
        <v>0</v>
      </c>
      <c r="V679" s="161" t="b">
        <f>F679&gt;='Query Tool'!C$32</f>
        <v>1</v>
      </c>
      <c r="W679" s="161" t="b">
        <f t="array" ref="W679">index(Dropdowns!B:B,match(I679,Dropdowns!A:A,0))</f>
        <v>1</v>
      </c>
      <c r="X679" s="161" t="b">
        <f t="array" ref="X679">index('Query Tool'!B:B,match(D679,'Query Tool'!C:C,0))</f>
        <v>1</v>
      </c>
      <c r="Y679" s="161" t="str">
        <f t="shared" si="6"/>
        <v>hardeja01,2014-15</v>
      </c>
      <c r="Z679" s="168">
        <f t="array" ref="Z679">iferror(index(I:I,match($A679&amp;","&amp;index('Year Conversion'!$A:$A,match($C679,'Year Conversion'!$B:$B,0)),$Y:$Y,0))-I679,"")</f>
        <v>1</v>
      </c>
      <c r="AA679" s="168">
        <f t="array" ref="AA679">iferror(index(J:J,match($A679&amp;","&amp;index('Year Conversion'!$A:$A,match($C679,'Year Conversion'!$B:$B,0)),$Y:$Y,0))-J679,"")</f>
        <v>-1.041057907</v>
      </c>
      <c r="AB679" s="168">
        <f t="array" ref="AB679">iferror(index(K:K,match($A679&amp;","&amp;index('Year Conversion'!$A:$A,match($C679,'Year Conversion'!$B:$B,0)),$Y:$Y,0))-K679,"")</f>
        <v>-0.9034150106</v>
      </c>
      <c r="AC679" s="168" t="str">
        <f t="shared" si="7"/>
        <v>HOU,2014-15</v>
      </c>
    </row>
    <row r="680">
      <c r="A680" s="161" t="str">
        <f>IFERROR(__xludf.DUMMYFUNCTION("""COMPUTED_VALUE"""),"evansty01")</f>
        <v>evansty01</v>
      </c>
      <c r="B680" s="161" t="str">
        <f>IFERROR(__xludf.DUMMYFUNCTION("""COMPUTED_VALUE"""),"Tyreke Evans")</f>
        <v>Tyreke Evans</v>
      </c>
      <c r="C680" s="162" t="str">
        <f>IFERROR(__xludf.DUMMYFUNCTION("""COMPUTED_VALUE"""),"2014-15")</f>
        <v>2014-15</v>
      </c>
      <c r="D680" s="163" t="str">
        <f>IFERROR(__xludf.DUMMYFUNCTION("""COMPUTED_VALUE"""),"NOP")</f>
        <v>NOP</v>
      </c>
      <c r="E680" s="164" t="str">
        <f>IFERROR(__xludf.DUMMYFUNCTION("""COMPUTED_VALUE"""),"Shot Creator")</f>
        <v>Shot Creator</v>
      </c>
      <c r="F680" s="164">
        <f>IFERROR(__xludf.DUMMYFUNCTION("""COMPUTED_VALUE"""),2689.81666666667)</f>
        <v>2689.816667</v>
      </c>
      <c r="G680" s="163">
        <f>IFERROR(__xludf.DUMMYFUNCTION("""COMPUTED_VALUE"""),79.0)</f>
        <v>79</v>
      </c>
      <c r="H680" s="163" t="str">
        <f>IFERROR(__xludf.DUMMYFUNCTION("""COMPUTED_VALUE"""),"SG")</f>
        <v>SG</v>
      </c>
      <c r="I680" s="163">
        <f>IFERROR(__xludf.DUMMYFUNCTION("""COMPUTED_VALUE"""),25.0)</f>
        <v>25</v>
      </c>
      <c r="J680" s="165">
        <f>IFERROR(__xludf.DUMMYFUNCTION("""COMPUTED_VALUE"""),1.06038833120071)</f>
        <v>1.060388331</v>
      </c>
      <c r="K680" s="165">
        <f>IFERROR(__xludf.DUMMYFUNCTION("""COMPUTED_VALUE"""),1.7958374492354)</f>
        <v>1.795837449</v>
      </c>
      <c r="L680" s="165">
        <f>IFERROR(__xludf.DUMMYFUNCTION("""COMPUTED_VALUE"""),-0.735449118034681)</f>
        <v>-0.735449118</v>
      </c>
      <c r="M680" s="166">
        <f t="shared" si="2"/>
        <v>6.066760632</v>
      </c>
      <c r="N680" s="167">
        <f t="shared" si="3"/>
        <v>34.04831224</v>
      </c>
      <c r="O680" s="163">
        <f t="shared" ref="O680:Q680" si="684">rank(I680,I:I)</f>
        <v>1995</v>
      </c>
      <c r="P680" s="163">
        <f t="shared" si="684"/>
        <v>636</v>
      </c>
      <c r="Q680" s="163">
        <f t="shared" si="684"/>
        <v>260</v>
      </c>
      <c r="R680" s="163">
        <f>IFERROR(__xludf.DUMMYFUNCTION("RANK(M680,filter(M:M,C:C=C680))"),39.0)</f>
        <v>39</v>
      </c>
      <c r="S680" s="161" t="b">
        <f t="shared" si="5"/>
        <v>0</v>
      </c>
      <c r="T680" s="161" t="b">
        <f t="array" ref="T680">index('Query Tool'!B:B,match(H680,'Query Tool'!C:C,0))</f>
        <v>1</v>
      </c>
      <c r="U680" s="161" t="b">
        <f t="array" ref="U680">index('Query Tool'!B:B,match(C680,'Query Tool'!C:C,0))</f>
        <v>0</v>
      </c>
      <c r="V680" s="161" t="b">
        <f>F680&gt;='Query Tool'!C$32</f>
        <v>1</v>
      </c>
      <c r="W680" s="161" t="b">
        <f t="array" ref="W680">index(Dropdowns!B:B,match(I680,Dropdowns!A:A,0))</f>
        <v>1</v>
      </c>
      <c r="X680" s="161" t="b">
        <f t="array" ref="X680">index('Query Tool'!B:B,match(D680,'Query Tool'!C:C,0))</f>
        <v>1</v>
      </c>
      <c r="Y680" s="161" t="str">
        <f t="shared" si="6"/>
        <v>evansty01,2014-15</v>
      </c>
      <c r="Z680" s="168">
        <f t="array" ref="Z680">iferror(index(I:I,match($A680&amp;","&amp;index('Year Conversion'!$A:$A,match($C680,'Year Conversion'!$B:$B,0)),$Y:$Y,0))-I680,"")</f>
        <v>1</v>
      </c>
      <c r="AA680" s="168">
        <f t="array" ref="AA680">iferror(index(J:J,match($A680&amp;","&amp;index('Year Conversion'!$A:$A,match($C680,'Year Conversion'!$B:$B,0)),$Y:$Y,0))-J680,"")</f>
        <v>-0.1935869536</v>
      </c>
      <c r="AB680" s="168">
        <f t="array" ref="AB680">iferror(index(K:K,match($A680&amp;","&amp;index('Year Conversion'!$A:$A,match($C680,'Year Conversion'!$B:$B,0)),$Y:$Y,0))-K680,"")</f>
        <v>-0.7464727838</v>
      </c>
      <c r="AC680" s="168" t="str">
        <f t="shared" si="7"/>
        <v>NOP,2014-15</v>
      </c>
    </row>
    <row r="681">
      <c r="A681" s="161" t="str">
        <f>IFERROR(__xludf.DUMMYFUNCTION("""COMPUTED_VALUE"""),"rubiori01")</f>
        <v>rubiori01</v>
      </c>
      <c r="B681" s="161" t="str">
        <f>IFERROR(__xludf.DUMMYFUNCTION("""COMPUTED_VALUE"""),"Ricky Rubio")</f>
        <v>Ricky Rubio</v>
      </c>
      <c r="C681" s="162" t="str">
        <f>IFERROR(__xludf.DUMMYFUNCTION("""COMPUTED_VALUE"""),"2014-15")</f>
        <v>2014-15</v>
      </c>
      <c r="D681" s="163" t="str">
        <f>IFERROR(__xludf.DUMMYFUNCTION("""COMPUTED_VALUE"""),"MIN")</f>
        <v>MIN</v>
      </c>
      <c r="E681" s="164" t="str">
        <f>IFERROR(__xludf.DUMMYFUNCTION("""COMPUTED_VALUE"""),"Primary Ball Handler")</f>
        <v>Primary Ball Handler</v>
      </c>
      <c r="F681" s="164">
        <f>IFERROR(__xludf.DUMMYFUNCTION("""COMPUTED_VALUE"""),692.126666666667)</f>
        <v>692.1266667</v>
      </c>
      <c r="G681" s="163">
        <f>IFERROR(__xludf.DUMMYFUNCTION("""COMPUTED_VALUE"""),22.0)</f>
        <v>22</v>
      </c>
      <c r="H681" s="163" t="str">
        <f>IFERROR(__xludf.DUMMYFUNCTION("""COMPUTED_VALUE"""),"PG")</f>
        <v>PG</v>
      </c>
      <c r="I681" s="163">
        <f>IFERROR(__xludf.DUMMYFUNCTION("""COMPUTED_VALUE"""),24.0)</f>
        <v>24</v>
      </c>
      <c r="J681" s="165">
        <f>IFERROR(__xludf.DUMMYFUNCTION("""COMPUTED_VALUE"""),3.43206805169959)</f>
        <v>3.432068052</v>
      </c>
      <c r="K681" s="165">
        <f>IFERROR(__xludf.DUMMYFUNCTION("""COMPUTED_VALUE"""),1.6028784452615)</f>
        <v>1.602878445</v>
      </c>
      <c r="L681" s="165">
        <f>IFERROR(__xludf.DUMMYFUNCTION("""COMPUTED_VALUE"""),1.82918960643809)</f>
        <v>1.829189606</v>
      </c>
      <c r="M681" s="166">
        <f t="shared" si="2"/>
        <v>2.642814239</v>
      </c>
      <c r="N681" s="167">
        <f t="shared" si="3"/>
        <v>31.46030303</v>
      </c>
      <c r="O681" s="163">
        <f t="shared" ref="O681:Q681" si="685">rank(I681,I:I)</f>
        <v>2361</v>
      </c>
      <c r="P681" s="163">
        <f t="shared" si="685"/>
        <v>133</v>
      </c>
      <c r="Q681" s="163">
        <f t="shared" si="685"/>
        <v>293</v>
      </c>
      <c r="R681" s="163">
        <f>IFERROR(__xludf.DUMMYFUNCTION("RANK(M681,filter(M:M,C:C=C681))"),129.0)</f>
        <v>129</v>
      </c>
      <c r="S681" s="161" t="b">
        <f t="shared" si="5"/>
        <v>0</v>
      </c>
      <c r="T681" s="161" t="b">
        <f t="array" ref="T681">index('Query Tool'!B:B,match(H681,'Query Tool'!C:C,0))</f>
        <v>1</v>
      </c>
      <c r="U681" s="161" t="b">
        <f t="array" ref="U681">index('Query Tool'!B:B,match(C681,'Query Tool'!C:C,0))</f>
        <v>0</v>
      </c>
      <c r="V681" s="161" t="b">
        <f>F681&gt;='Query Tool'!C$32</f>
        <v>1</v>
      </c>
      <c r="W681" s="161" t="b">
        <f t="array" ref="W681">index(Dropdowns!B:B,match(I681,Dropdowns!A:A,0))</f>
        <v>1</v>
      </c>
      <c r="X681" s="161" t="b">
        <f t="array" ref="X681">index('Query Tool'!B:B,match(D681,'Query Tool'!C:C,0))</f>
        <v>1</v>
      </c>
      <c r="Y681" s="161" t="str">
        <f t="shared" si="6"/>
        <v>rubiori01,2014-15</v>
      </c>
      <c r="Z681" s="168">
        <f t="array" ref="Z681">iferror(index(I:I,match($A681&amp;","&amp;index('Year Conversion'!$A:$A,match($C681,'Year Conversion'!$B:$B,0)),$Y:$Y,0))-I681,"")</f>
        <v>1</v>
      </c>
      <c r="AA681" s="168">
        <f t="array" ref="AA681">iferror(index(J:J,match($A681&amp;","&amp;index('Year Conversion'!$A:$A,match($C681,'Year Conversion'!$B:$B,0)),$Y:$Y,0))-J681,"")</f>
        <v>0.1346054364</v>
      </c>
      <c r="AB681" s="168">
        <f t="array" ref="AB681">iferror(index(K:K,match($A681&amp;","&amp;index('Year Conversion'!$A:$A,match($C681,'Year Conversion'!$B:$B,0)),$Y:$Y,0))-K681,"")</f>
        <v>0.8023487474</v>
      </c>
      <c r="AC681" s="168" t="str">
        <f t="shared" si="7"/>
        <v>MIN,2014-15</v>
      </c>
    </row>
    <row r="682">
      <c r="A682" s="161" t="str">
        <f>IFERROR(__xludf.DUMMYFUNCTION("""COMPUTED_VALUE"""),"curryst01")</f>
        <v>curryst01</v>
      </c>
      <c r="B682" s="161" t="str">
        <f>IFERROR(__xludf.DUMMYFUNCTION("""COMPUTED_VALUE"""),"Stephen Curry")</f>
        <v>Stephen Curry</v>
      </c>
      <c r="C682" s="162" t="str">
        <f>IFERROR(__xludf.DUMMYFUNCTION("""COMPUTED_VALUE"""),"2014-15")</f>
        <v>2014-15</v>
      </c>
      <c r="D682" s="163" t="str">
        <f>IFERROR(__xludf.DUMMYFUNCTION("""COMPUTED_VALUE"""),"GSW")</f>
        <v>GSW</v>
      </c>
      <c r="E682" s="164" t="str">
        <f>IFERROR(__xludf.DUMMYFUNCTION("""COMPUTED_VALUE"""),"Primary Ball Handler")</f>
        <v>Primary Ball Handler</v>
      </c>
      <c r="F682" s="164">
        <f>IFERROR(__xludf.DUMMYFUNCTION("""COMPUTED_VALUE"""),2613.2)</f>
        <v>2613.2</v>
      </c>
      <c r="G682" s="163">
        <f>IFERROR(__xludf.DUMMYFUNCTION("""COMPUTED_VALUE"""),80.0)</f>
        <v>80</v>
      </c>
      <c r="H682" s="163" t="str">
        <f>IFERROR(__xludf.DUMMYFUNCTION("""COMPUTED_VALUE"""),"PG")</f>
        <v>PG</v>
      </c>
      <c r="I682" s="163">
        <f>IFERROR(__xludf.DUMMYFUNCTION("""COMPUTED_VALUE"""),26.0)</f>
        <v>26</v>
      </c>
      <c r="J682" s="165">
        <f>IFERROR(__xludf.DUMMYFUNCTION("""COMPUTED_VALUE"""),6.67044744314617)</f>
        <v>6.670447443</v>
      </c>
      <c r="K682" s="165">
        <f>IFERROR(__xludf.DUMMYFUNCTION("""COMPUTED_VALUE"""),5.75061796821578)</f>
        <v>5.750617968</v>
      </c>
      <c r="L682" s="165">
        <f>IFERROR(__xludf.DUMMYFUNCTION("""COMPUTED_VALUE"""),0.919829474930389)</f>
        <v>0.9198294749</v>
      </c>
      <c r="M682" s="166">
        <f t="shared" si="2"/>
        <v>15.10422763</v>
      </c>
      <c r="N682" s="167">
        <f t="shared" si="3"/>
        <v>32.665</v>
      </c>
      <c r="O682" s="163">
        <f t="shared" ref="O682:Q682" si="686">rank(I682,I:I)</f>
        <v>1665</v>
      </c>
      <c r="P682" s="163">
        <f t="shared" si="686"/>
        <v>8</v>
      </c>
      <c r="Q682" s="163">
        <f t="shared" si="686"/>
        <v>13</v>
      </c>
      <c r="R682" s="163">
        <f>IFERROR(__xludf.DUMMYFUNCTION("RANK(M682,filter(M:M,C:C=C682))"),1.0)</f>
        <v>1</v>
      </c>
      <c r="S682" s="161" t="b">
        <f t="shared" si="5"/>
        <v>0</v>
      </c>
      <c r="T682" s="161" t="b">
        <f t="array" ref="T682">index('Query Tool'!B:B,match(H682,'Query Tool'!C:C,0))</f>
        <v>1</v>
      </c>
      <c r="U682" s="161" t="b">
        <f t="array" ref="U682">index('Query Tool'!B:B,match(C682,'Query Tool'!C:C,0))</f>
        <v>0</v>
      </c>
      <c r="V682" s="161" t="b">
        <f>F682&gt;='Query Tool'!C$32</f>
        <v>1</v>
      </c>
      <c r="W682" s="161" t="b">
        <f t="array" ref="W682">index(Dropdowns!B:B,match(I682,Dropdowns!A:A,0))</f>
        <v>1</v>
      </c>
      <c r="X682" s="161" t="b">
        <f t="array" ref="X682">index('Query Tool'!B:B,match(D682,'Query Tool'!C:C,0))</f>
        <v>1</v>
      </c>
      <c r="Y682" s="161" t="str">
        <f t="shared" si="6"/>
        <v>curryst01,2014-15</v>
      </c>
      <c r="Z682" s="168">
        <f t="array" ref="Z682">iferror(index(I:I,match($A682&amp;","&amp;index('Year Conversion'!$A:$A,match($C682,'Year Conversion'!$B:$B,0)),$Y:$Y,0))-I682,"")</f>
        <v>1</v>
      </c>
      <c r="AA682" s="168">
        <f t="array" ref="AA682">iferror(index(J:J,match($A682&amp;","&amp;index('Year Conversion'!$A:$A,match($C682,'Year Conversion'!$B:$B,0)),$Y:$Y,0))-J682,"")</f>
        <v>0.06539465975</v>
      </c>
      <c r="AB682" s="168">
        <f t="array" ref="AB682">iferror(index(K:K,match($A682&amp;","&amp;index('Year Conversion'!$A:$A,match($C682,'Year Conversion'!$B:$B,0)),$Y:$Y,0))-K682,"")</f>
        <v>0.968208187</v>
      </c>
      <c r="AC682" s="168" t="str">
        <f t="shared" si="7"/>
        <v>GSW,2014-15</v>
      </c>
    </row>
    <row r="683">
      <c r="A683" s="161" t="str">
        <f>IFERROR(__xludf.DUMMYFUNCTION("""COMPUTED_VALUE"""),"hilljo01")</f>
        <v>hilljo01</v>
      </c>
      <c r="B683" s="161" t="str">
        <f>IFERROR(__xludf.DUMMYFUNCTION("""COMPUTED_VALUE"""),"Jordan Hill")</f>
        <v>Jordan Hill</v>
      </c>
      <c r="C683" s="162" t="str">
        <f>IFERROR(__xludf.DUMMYFUNCTION("""COMPUTED_VALUE"""),"2014-15")</f>
        <v>2014-15</v>
      </c>
      <c r="D683" s="163" t="str">
        <f>IFERROR(__xludf.DUMMYFUNCTION("""COMPUTED_VALUE"""),"LAL")</f>
        <v>LAL</v>
      </c>
      <c r="E683" s="164" t="str">
        <f>IFERROR(__xludf.DUMMYFUNCTION("""COMPUTED_VALUE"""),"Post Scorer")</f>
        <v>Post Scorer</v>
      </c>
      <c r="F683" s="164">
        <f>IFERROR(__xludf.DUMMYFUNCTION("""COMPUTED_VALUE"""),1874.29)</f>
        <v>1874.29</v>
      </c>
      <c r="G683" s="163">
        <f>IFERROR(__xludf.DUMMYFUNCTION("""COMPUTED_VALUE"""),70.0)</f>
        <v>70</v>
      </c>
      <c r="H683" s="163" t="str">
        <f>IFERROR(__xludf.DUMMYFUNCTION("""COMPUTED_VALUE"""),"C")</f>
        <v>C</v>
      </c>
      <c r="I683" s="163">
        <f>IFERROR(__xludf.DUMMYFUNCTION("""COMPUTED_VALUE"""),27.0)</f>
        <v>27</v>
      </c>
      <c r="J683" s="165">
        <f>IFERROR(__xludf.DUMMYFUNCTION("""COMPUTED_VALUE"""),-2.5037163945156)</f>
        <v>-2.503716395</v>
      </c>
      <c r="K683" s="165">
        <f>IFERROR(__xludf.DUMMYFUNCTION("""COMPUTED_VALUE"""),-1.34940724205765)</f>
        <v>-1.349407242</v>
      </c>
      <c r="L683" s="165">
        <f>IFERROR(__xludf.DUMMYFUNCTION("""COMPUTED_VALUE"""),-1.15430915245795)</f>
        <v>-1.154309152</v>
      </c>
      <c r="M683" s="166">
        <f t="shared" si="2"/>
        <v>-0.2469672875</v>
      </c>
      <c r="N683" s="167">
        <f t="shared" si="3"/>
        <v>26.77557143</v>
      </c>
      <c r="O683" s="163">
        <f t="shared" ref="O683:Q683" si="687">rank(I683,I:I)</f>
        <v>1366</v>
      </c>
      <c r="P683" s="163">
        <f t="shared" si="687"/>
        <v>3753</v>
      </c>
      <c r="Q683" s="163">
        <f t="shared" si="687"/>
        <v>3201</v>
      </c>
      <c r="R683" s="163">
        <f>IFERROR(__xludf.DUMMYFUNCTION("RANK(M683,filter(M:M,C:C=C683))"),465.0)</f>
        <v>465</v>
      </c>
      <c r="S683" s="161" t="b">
        <f t="shared" si="5"/>
        <v>0</v>
      </c>
      <c r="T683" s="161" t="b">
        <f t="array" ref="T683">index('Query Tool'!B:B,match(H683,'Query Tool'!C:C,0))</f>
        <v>1</v>
      </c>
      <c r="U683" s="161" t="b">
        <f t="array" ref="U683">index('Query Tool'!B:B,match(C683,'Query Tool'!C:C,0))</f>
        <v>0</v>
      </c>
      <c r="V683" s="161" t="b">
        <f>F683&gt;='Query Tool'!C$32</f>
        <v>1</v>
      </c>
      <c r="W683" s="161" t="b">
        <f t="array" ref="W683">index(Dropdowns!B:B,match(I683,Dropdowns!A:A,0))</f>
        <v>1</v>
      </c>
      <c r="X683" s="161" t="b">
        <f t="array" ref="X683">index('Query Tool'!B:B,match(D683,'Query Tool'!C:C,0))</f>
        <v>1</v>
      </c>
      <c r="Y683" s="161" t="str">
        <f t="shared" si="6"/>
        <v>hilljo01,2014-15</v>
      </c>
      <c r="Z683" s="168">
        <f t="array" ref="Z683">iferror(index(I:I,match($A683&amp;","&amp;index('Year Conversion'!$A:$A,match($C683,'Year Conversion'!$B:$B,0)),$Y:$Y,0))-I683,"")</f>
        <v>1</v>
      </c>
      <c r="AA683" s="168">
        <f t="array" ref="AA683">iferror(index(J:J,match($A683&amp;","&amp;index('Year Conversion'!$A:$A,match($C683,'Year Conversion'!$B:$B,0)),$Y:$Y,0))-J683,"")</f>
        <v>0.5981127384</v>
      </c>
      <c r="AB683" s="168">
        <f t="array" ref="AB683">iferror(index(K:K,match($A683&amp;","&amp;index('Year Conversion'!$A:$A,match($C683,'Year Conversion'!$B:$B,0)),$Y:$Y,0))-K683,"")</f>
        <v>-0.03029585641</v>
      </c>
      <c r="AC683" s="168" t="str">
        <f t="shared" si="7"/>
        <v>LAL,2014-15</v>
      </c>
    </row>
    <row r="684">
      <c r="A684" s="161" t="str">
        <f>IFERROR(__xludf.DUMMYFUNCTION("""COMPUTED_VALUE"""),"derozde01")</f>
        <v>derozde01</v>
      </c>
      <c r="B684" s="161" t="str">
        <f>IFERROR(__xludf.DUMMYFUNCTION("""COMPUTED_VALUE"""),"DeMar DeRozan")</f>
        <v>DeMar DeRozan</v>
      </c>
      <c r="C684" s="162" t="str">
        <f>IFERROR(__xludf.DUMMYFUNCTION("""COMPUTED_VALUE"""),"2014-15")</f>
        <v>2014-15</v>
      </c>
      <c r="D684" s="163" t="str">
        <f>IFERROR(__xludf.DUMMYFUNCTION("""COMPUTED_VALUE"""),"TOR")</f>
        <v>TOR</v>
      </c>
      <c r="E684" s="164" t="str">
        <f>IFERROR(__xludf.DUMMYFUNCTION("""COMPUTED_VALUE"""),"Shot Creator")</f>
        <v>Shot Creator</v>
      </c>
      <c r="F684" s="164">
        <f>IFERROR(__xludf.DUMMYFUNCTION("""COMPUTED_VALUE"""),2100.27166666667)</f>
        <v>2100.271667</v>
      </c>
      <c r="G684" s="163">
        <f>IFERROR(__xludf.DUMMYFUNCTION("""COMPUTED_VALUE"""),60.0)</f>
        <v>60</v>
      </c>
      <c r="H684" s="163" t="str">
        <f>IFERROR(__xludf.DUMMYFUNCTION("""COMPUTED_VALUE"""),"SG")</f>
        <v>SG</v>
      </c>
      <c r="I684" s="163">
        <f>IFERROR(__xludf.DUMMYFUNCTION("""COMPUTED_VALUE"""),25.0)</f>
        <v>25</v>
      </c>
      <c r="J684" s="165">
        <f>IFERROR(__xludf.DUMMYFUNCTION("""COMPUTED_VALUE"""),0.276322967211831)</f>
        <v>0.2763229672</v>
      </c>
      <c r="K684" s="165">
        <f>IFERROR(__xludf.DUMMYFUNCTION("""COMPUTED_VALUE"""),0.930152563103472)</f>
        <v>0.9301525631</v>
      </c>
      <c r="L684" s="165">
        <f>IFERROR(__xludf.DUMMYFUNCTION("""COMPUTED_VALUE"""),-0.65382959589164)</f>
        <v>-0.6538295959</v>
      </c>
      <c r="M684" s="166">
        <f t="shared" si="2"/>
        <v>3.629145606</v>
      </c>
      <c r="N684" s="167">
        <f t="shared" si="3"/>
        <v>35.00452778</v>
      </c>
      <c r="O684" s="163">
        <f t="shared" ref="O684:Q684" si="688">rank(I684,I:I)</f>
        <v>1995</v>
      </c>
      <c r="P684" s="163">
        <f t="shared" si="688"/>
        <v>1036</v>
      </c>
      <c r="Q684" s="163">
        <f t="shared" si="688"/>
        <v>541</v>
      </c>
      <c r="R684" s="163">
        <f>IFERROR(__xludf.DUMMYFUNCTION("RANK(M684,filter(M:M,C:C=C684))"),95.0)</f>
        <v>95</v>
      </c>
      <c r="S684" s="161" t="b">
        <f t="shared" si="5"/>
        <v>0</v>
      </c>
      <c r="T684" s="161" t="b">
        <f t="array" ref="T684">index('Query Tool'!B:B,match(H684,'Query Tool'!C:C,0))</f>
        <v>1</v>
      </c>
      <c r="U684" s="161" t="b">
        <f t="array" ref="U684">index('Query Tool'!B:B,match(C684,'Query Tool'!C:C,0))</f>
        <v>0</v>
      </c>
      <c r="V684" s="161" t="b">
        <f>F684&gt;='Query Tool'!C$32</f>
        <v>1</v>
      </c>
      <c r="W684" s="161" t="b">
        <f t="array" ref="W684">index(Dropdowns!B:B,match(I684,Dropdowns!A:A,0))</f>
        <v>1</v>
      </c>
      <c r="X684" s="161" t="b">
        <f t="array" ref="X684">index('Query Tool'!B:B,match(D684,'Query Tool'!C:C,0))</f>
        <v>1</v>
      </c>
      <c r="Y684" s="161" t="str">
        <f t="shared" si="6"/>
        <v>derozde01,2014-15</v>
      </c>
      <c r="Z684" s="168">
        <f t="array" ref="Z684">iferror(index(I:I,match($A684&amp;","&amp;index('Year Conversion'!$A:$A,match($C684,'Year Conversion'!$B:$B,0)),$Y:$Y,0))-I684,"")</f>
        <v>1</v>
      </c>
      <c r="AA684" s="168">
        <f t="array" ref="AA684">iferror(index(J:J,match($A684&amp;","&amp;index('Year Conversion'!$A:$A,match($C684,'Year Conversion'!$B:$B,0)),$Y:$Y,0))-J684,"")</f>
        <v>0.8071997812</v>
      </c>
      <c r="AB684" s="168">
        <f t="array" ref="AB684">iferror(index(K:K,match($A684&amp;","&amp;index('Year Conversion'!$A:$A,match($C684,'Year Conversion'!$B:$B,0)),$Y:$Y,0))-K684,"")</f>
        <v>1.295425121</v>
      </c>
      <c r="AC684" s="168" t="str">
        <f t="shared" si="7"/>
        <v>TOR,2014-15</v>
      </c>
    </row>
    <row r="685">
      <c r="A685" s="161" t="str">
        <f>IFERROR(__xludf.DUMMYFUNCTION("""COMPUTED_VALUE"""),"jennibr01")</f>
        <v>jennibr01</v>
      </c>
      <c r="B685" s="161" t="str">
        <f>IFERROR(__xludf.DUMMYFUNCTION("""COMPUTED_VALUE"""),"Brandon Jennings")</f>
        <v>Brandon Jennings</v>
      </c>
      <c r="C685" s="162" t="str">
        <f>IFERROR(__xludf.DUMMYFUNCTION("""COMPUTED_VALUE"""),"2014-15")</f>
        <v>2014-15</v>
      </c>
      <c r="D685" s="163" t="str">
        <f>IFERROR(__xludf.DUMMYFUNCTION("""COMPUTED_VALUE"""),"DET")</f>
        <v>DET</v>
      </c>
      <c r="E685" s="164" t="str">
        <f>IFERROR(__xludf.DUMMYFUNCTION("""COMPUTED_VALUE"""),"Primary Ball Handler")</f>
        <v>Primary Ball Handler</v>
      </c>
      <c r="F685" s="164">
        <f>IFERROR(__xludf.DUMMYFUNCTION("""COMPUTED_VALUE"""),1172.80666666667)</f>
        <v>1172.806667</v>
      </c>
      <c r="G685" s="163">
        <f>IFERROR(__xludf.DUMMYFUNCTION("""COMPUTED_VALUE"""),41.0)</f>
        <v>41</v>
      </c>
      <c r="H685" s="163" t="str">
        <f>IFERROR(__xludf.DUMMYFUNCTION("""COMPUTED_VALUE"""),"PG")</f>
        <v>PG</v>
      </c>
      <c r="I685" s="163">
        <f>IFERROR(__xludf.DUMMYFUNCTION("""COMPUTED_VALUE"""),25.0)</f>
        <v>25</v>
      </c>
      <c r="J685" s="165">
        <f>IFERROR(__xludf.DUMMYFUNCTION("""COMPUTED_VALUE"""),1.46213728756317)</f>
        <v>1.462137288</v>
      </c>
      <c r="K685" s="165">
        <f>IFERROR(__xludf.DUMMYFUNCTION("""COMPUTED_VALUE"""),2.31503074318796)</f>
        <v>2.315030743</v>
      </c>
      <c r="L685" s="165">
        <f>IFERROR(__xludf.DUMMYFUNCTION("""COMPUTED_VALUE"""),-0.852893455624788)</f>
        <v>-0.8528934556</v>
      </c>
      <c r="M685" s="166">
        <f t="shared" si="2"/>
        <v>2.960759288</v>
      </c>
      <c r="N685" s="167">
        <f t="shared" si="3"/>
        <v>28.60504065</v>
      </c>
      <c r="O685" s="163">
        <f t="shared" ref="O685:Q685" si="689">rank(I685,I:I)</f>
        <v>1995</v>
      </c>
      <c r="P685" s="163">
        <f t="shared" si="689"/>
        <v>468</v>
      </c>
      <c r="Q685" s="163">
        <f t="shared" si="689"/>
        <v>176</v>
      </c>
      <c r="R685" s="163">
        <f>IFERROR(__xludf.DUMMYFUNCTION("RANK(M685,filter(M:M,C:C=C685))"),120.0)</f>
        <v>120</v>
      </c>
      <c r="S685" s="161" t="b">
        <f t="shared" si="5"/>
        <v>0</v>
      </c>
      <c r="T685" s="161" t="b">
        <f t="array" ref="T685">index('Query Tool'!B:B,match(H685,'Query Tool'!C:C,0))</f>
        <v>1</v>
      </c>
      <c r="U685" s="161" t="b">
        <f t="array" ref="U685">index('Query Tool'!B:B,match(C685,'Query Tool'!C:C,0))</f>
        <v>0</v>
      </c>
      <c r="V685" s="161" t="b">
        <f>F685&gt;='Query Tool'!C$32</f>
        <v>1</v>
      </c>
      <c r="W685" s="161" t="b">
        <f t="array" ref="W685">index(Dropdowns!B:B,match(I685,Dropdowns!A:A,0))</f>
        <v>1</v>
      </c>
      <c r="X685" s="161" t="b">
        <f t="array" ref="X685">index('Query Tool'!B:B,match(D685,'Query Tool'!C:C,0))</f>
        <v>1</v>
      </c>
      <c r="Y685" s="161" t="str">
        <f t="shared" si="6"/>
        <v>jennibr01,2014-15</v>
      </c>
      <c r="Z685" s="168">
        <f t="array" ref="Z685">iferror(index(I:I,match($A685&amp;","&amp;index('Year Conversion'!$A:$A,match($C685,'Year Conversion'!$B:$B,0)),$Y:$Y,0))-I685,"")</f>
        <v>1</v>
      </c>
      <c r="AA685" s="168">
        <f t="array" ref="AA685">iferror(index(J:J,match($A685&amp;","&amp;index('Year Conversion'!$A:$A,match($C685,'Year Conversion'!$B:$B,0)),$Y:$Y,0))-J685,"")</f>
        <v>-0.4617634009</v>
      </c>
      <c r="AB685" s="168">
        <f t="array" ref="AB685">iferror(index(K:K,match($A685&amp;","&amp;index('Year Conversion'!$A:$A,match($C685,'Year Conversion'!$B:$B,0)),$Y:$Y,0))-K685,"")</f>
        <v>-1.107747562</v>
      </c>
      <c r="AC685" s="168" t="str">
        <f t="shared" si="7"/>
        <v>DET,2014-15</v>
      </c>
    </row>
    <row r="686">
      <c r="A686" s="161" t="str">
        <f>IFERROR(__xludf.DUMMYFUNCTION("""COMPUTED_VALUE"""),"hendege02")</f>
        <v>hendege02</v>
      </c>
      <c r="B686" s="161" t="str">
        <f>IFERROR(__xludf.DUMMYFUNCTION("""COMPUTED_VALUE"""),"Gerald Henderson")</f>
        <v>Gerald Henderson</v>
      </c>
      <c r="C686" s="162" t="str">
        <f>IFERROR(__xludf.DUMMYFUNCTION("""COMPUTED_VALUE"""),"2014-15")</f>
        <v>2014-15</v>
      </c>
      <c r="D686" s="163" t="str">
        <f>IFERROR(__xludf.DUMMYFUNCTION("""COMPUTED_VALUE"""),"CHO")</f>
        <v>CHO</v>
      </c>
      <c r="E686" s="164" t="str">
        <f>IFERROR(__xludf.DUMMYFUNCTION("""COMPUTED_VALUE"""),"Shot Creator")</f>
        <v>Shot Creator</v>
      </c>
      <c r="F686" s="164">
        <f>IFERROR(__xludf.DUMMYFUNCTION("""COMPUTED_VALUE"""),2315.055)</f>
        <v>2315.055</v>
      </c>
      <c r="G686" s="163">
        <f>IFERROR(__xludf.DUMMYFUNCTION("""COMPUTED_VALUE"""),80.0)</f>
        <v>80</v>
      </c>
      <c r="H686" s="163" t="str">
        <f>IFERROR(__xludf.DUMMYFUNCTION("""COMPUTED_VALUE"""),"SG")</f>
        <v>SG</v>
      </c>
      <c r="I686" s="163">
        <f>IFERROR(__xludf.DUMMYFUNCTION("""COMPUTED_VALUE"""),27.0)</f>
        <v>27</v>
      </c>
      <c r="J686" s="165">
        <f>IFERROR(__xludf.DUMMYFUNCTION("""COMPUTED_VALUE"""),-0.555129670132203)</f>
        <v>-0.5551296701</v>
      </c>
      <c r="K686" s="165">
        <f>IFERROR(__xludf.DUMMYFUNCTION("""COMPUTED_VALUE"""),-0.915039256774196)</f>
        <v>-0.9150392568</v>
      </c>
      <c r="L686" s="165">
        <f>IFERROR(__xludf.DUMMYFUNCTION("""COMPUTED_VALUE"""),0.359909586641992)</f>
        <v>0.3599095866</v>
      </c>
      <c r="M686" s="166">
        <f t="shared" si="2"/>
        <v>2.702974963</v>
      </c>
      <c r="N686" s="167">
        <f t="shared" si="3"/>
        <v>28.9381875</v>
      </c>
      <c r="O686" s="163">
        <f t="shared" ref="O686:Q686" si="690">rank(I686,I:I)</f>
        <v>1366</v>
      </c>
      <c r="P686" s="163">
        <f t="shared" si="690"/>
        <v>1926</v>
      </c>
      <c r="Q686" s="163">
        <f t="shared" si="690"/>
        <v>2709</v>
      </c>
      <c r="R686" s="163">
        <f>IFERROR(__xludf.DUMMYFUNCTION("RANK(M686,filter(M:M,C:C=C686))"),127.0)</f>
        <v>127</v>
      </c>
      <c r="S686" s="161" t="b">
        <f t="shared" si="5"/>
        <v>0</v>
      </c>
      <c r="T686" s="161" t="b">
        <f t="array" ref="T686">index('Query Tool'!B:B,match(H686,'Query Tool'!C:C,0))</f>
        <v>1</v>
      </c>
      <c r="U686" s="161" t="b">
        <f t="array" ref="U686">index('Query Tool'!B:B,match(C686,'Query Tool'!C:C,0))</f>
        <v>0</v>
      </c>
      <c r="V686" s="161" t="b">
        <f>F686&gt;='Query Tool'!C$32</f>
        <v>1</v>
      </c>
      <c r="W686" s="161" t="b">
        <f t="array" ref="W686">index(Dropdowns!B:B,match(I686,Dropdowns!A:A,0))</f>
        <v>1</v>
      </c>
      <c r="X686" s="161" t="b">
        <f t="array" ref="X686">index('Query Tool'!B:B,match(D686,'Query Tool'!C:C,0))</f>
        <v>1</v>
      </c>
      <c r="Y686" s="161" t="str">
        <f t="shared" si="6"/>
        <v>hendege02,2014-15</v>
      </c>
      <c r="Z686" s="168">
        <f t="array" ref="Z686">iferror(index(I:I,match($A686&amp;","&amp;index('Year Conversion'!$A:$A,match($C686,'Year Conversion'!$B:$B,0)),$Y:$Y,0))-I686,"")</f>
        <v>1</v>
      </c>
      <c r="AA686" s="168">
        <f t="array" ref="AA686">iferror(index(J:J,match($A686&amp;","&amp;index('Year Conversion'!$A:$A,match($C686,'Year Conversion'!$B:$B,0)),$Y:$Y,0))-J686,"")</f>
        <v>0.3930846132</v>
      </c>
      <c r="AB686" s="168">
        <f t="array" ref="AB686">iferror(index(K:K,match($A686&amp;","&amp;index('Year Conversion'!$A:$A,match($C686,'Year Conversion'!$B:$B,0)),$Y:$Y,0))-K686,"")</f>
        <v>0.8679943616</v>
      </c>
      <c r="AC686" s="168" t="str">
        <f t="shared" si="7"/>
        <v>CHO,2014-15</v>
      </c>
    </row>
    <row r="687">
      <c r="A687" s="161" t="str">
        <f>IFERROR(__xludf.DUMMYFUNCTION("""COMPUTED_VALUE"""),"hansbty01")</f>
        <v>hansbty01</v>
      </c>
      <c r="B687" s="161" t="str">
        <f>IFERROR(__xludf.DUMMYFUNCTION("""COMPUTED_VALUE"""),"Tyler Hansbrough")</f>
        <v>Tyler Hansbrough</v>
      </c>
      <c r="C687" s="162" t="str">
        <f>IFERROR(__xludf.DUMMYFUNCTION("""COMPUTED_VALUE"""),"2014-15")</f>
        <v>2014-15</v>
      </c>
      <c r="D687" s="163" t="str">
        <f>IFERROR(__xludf.DUMMYFUNCTION("""COMPUTED_VALUE"""),"TOR")</f>
        <v>TOR</v>
      </c>
      <c r="E687" s="164" t="str">
        <f>IFERROR(__xludf.DUMMYFUNCTION("""COMPUTED_VALUE"""),"Roll + Cut Big")</f>
        <v>Roll + Cut Big</v>
      </c>
      <c r="F687" s="164">
        <f>IFERROR(__xludf.DUMMYFUNCTION("""COMPUTED_VALUE"""),1057.6)</f>
        <v>1057.6</v>
      </c>
      <c r="G687" s="163">
        <f>IFERROR(__xludf.DUMMYFUNCTION("""COMPUTED_VALUE"""),74.0)</f>
        <v>74</v>
      </c>
      <c r="H687" s="163" t="str">
        <f>IFERROR(__xludf.DUMMYFUNCTION("""COMPUTED_VALUE"""),"PF")</f>
        <v>PF</v>
      </c>
      <c r="I687" s="163">
        <f>IFERROR(__xludf.DUMMYFUNCTION("""COMPUTED_VALUE"""),29.0)</f>
        <v>29</v>
      </c>
      <c r="J687" s="165">
        <f>IFERROR(__xludf.DUMMYFUNCTION("""COMPUTED_VALUE"""),0.248540743251903)</f>
        <v>0.2485407433</v>
      </c>
      <c r="K687" s="165">
        <f>IFERROR(__xludf.DUMMYFUNCTION("""COMPUTED_VALUE"""),-0.104592758008327)</f>
        <v>-0.104592758</v>
      </c>
      <c r="L687" s="165">
        <f>IFERROR(__xludf.DUMMYFUNCTION("""COMPUTED_VALUE"""),0.35313350126023)</f>
        <v>0.3531335013</v>
      </c>
      <c r="M687" s="166">
        <f t="shared" si="2"/>
        <v>1.807666764</v>
      </c>
      <c r="N687" s="167">
        <f t="shared" si="3"/>
        <v>14.29189189</v>
      </c>
      <c r="O687" s="163">
        <f t="shared" ref="O687:Q687" si="691">rank(I687,I:I)</f>
        <v>855</v>
      </c>
      <c r="P687" s="163">
        <f t="shared" si="691"/>
        <v>1056</v>
      </c>
      <c r="Q687" s="163">
        <f t="shared" si="691"/>
        <v>1376</v>
      </c>
      <c r="R687" s="163">
        <f>IFERROR(__xludf.DUMMYFUNCTION("RANK(M687,filter(M:M,C:C=C687))"),179.0)</f>
        <v>179</v>
      </c>
      <c r="S687" s="161" t="b">
        <f t="shared" si="5"/>
        <v>0</v>
      </c>
      <c r="T687" s="161" t="b">
        <f t="array" ref="T687">index('Query Tool'!B:B,match(H687,'Query Tool'!C:C,0))</f>
        <v>1</v>
      </c>
      <c r="U687" s="161" t="b">
        <f t="array" ref="U687">index('Query Tool'!B:B,match(C687,'Query Tool'!C:C,0))</f>
        <v>0</v>
      </c>
      <c r="V687" s="161" t="b">
        <f>F687&gt;='Query Tool'!C$32</f>
        <v>1</v>
      </c>
      <c r="W687" s="161" t="b">
        <f t="array" ref="W687">index(Dropdowns!B:B,match(I687,Dropdowns!A:A,0))</f>
        <v>1</v>
      </c>
      <c r="X687" s="161" t="b">
        <f t="array" ref="X687">index('Query Tool'!B:B,match(D687,'Query Tool'!C:C,0))</f>
        <v>1</v>
      </c>
      <c r="Y687" s="161" t="str">
        <f t="shared" si="6"/>
        <v>hansbty01,2014-15</v>
      </c>
      <c r="Z687" s="168">
        <f t="array" ref="Z687">iferror(index(I:I,match($A687&amp;","&amp;index('Year Conversion'!$A:$A,match($C687,'Year Conversion'!$B:$B,0)),$Y:$Y,0))-I687,"")</f>
        <v>1</v>
      </c>
      <c r="AA687" s="168">
        <f t="array" ref="AA687">iferror(index(J:J,match($A687&amp;","&amp;index('Year Conversion'!$A:$A,match($C687,'Year Conversion'!$B:$B,0)),$Y:$Y,0))-J687,"")</f>
        <v>-1.616263438</v>
      </c>
      <c r="AB687" s="168">
        <f t="array" ref="AB687">iferror(index(K:K,match($A687&amp;","&amp;index('Year Conversion'!$A:$A,match($C687,'Year Conversion'!$B:$B,0)),$Y:$Y,0))-K687,"")</f>
        <v>-1.180275514</v>
      </c>
      <c r="AC687" s="168" t="str">
        <f t="shared" si="7"/>
        <v>TOR,2014-15</v>
      </c>
    </row>
    <row r="688">
      <c r="A688" s="161" t="str">
        <f>IFERROR(__xludf.DUMMYFUNCTION("""COMPUTED_VALUE"""),"clarkea01")</f>
        <v>clarkea01</v>
      </c>
      <c r="B688" s="161" t="str">
        <f>IFERROR(__xludf.DUMMYFUNCTION("""COMPUTED_VALUE"""),"Earl Clark")</f>
        <v>Earl Clark</v>
      </c>
      <c r="C688" s="162" t="str">
        <f>IFERROR(__xludf.DUMMYFUNCTION("""COMPUTED_VALUE"""),"2014-15")</f>
        <v>2014-15</v>
      </c>
      <c r="D688" s="163" t="str">
        <f>IFERROR(__xludf.DUMMYFUNCTION("""COMPUTED_VALUE"""),"BRK")</f>
        <v>BRK</v>
      </c>
      <c r="E688" s="164" t="str">
        <f>IFERROR(__xludf.DUMMYFUNCTION("""COMPUTED_VALUE"""),"Stationary Shooter")</f>
        <v>Stationary Shooter</v>
      </c>
      <c r="F688" s="164">
        <f>IFERROR(__xludf.DUMMYFUNCTION("""COMPUTED_VALUE"""),93.1166666666667)</f>
        <v>93.11666667</v>
      </c>
      <c r="G688" s="163">
        <f>IFERROR(__xludf.DUMMYFUNCTION("""COMPUTED_VALUE"""),10.0)</f>
        <v>10</v>
      </c>
      <c r="H688" s="163" t="str">
        <f>IFERROR(__xludf.DUMMYFUNCTION("""COMPUTED_VALUE"""),"PF")</f>
        <v>PF</v>
      </c>
      <c r="I688" s="163">
        <f>IFERROR(__xludf.DUMMYFUNCTION("""COMPUTED_VALUE"""),27.0)</f>
        <v>27</v>
      </c>
      <c r="J688" s="165">
        <f>IFERROR(__xludf.DUMMYFUNCTION("""COMPUTED_VALUE"""),-0.613141012401433)</f>
        <v>-0.6131410124</v>
      </c>
      <c r="K688" s="165">
        <f>IFERROR(__xludf.DUMMYFUNCTION("""COMPUTED_VALUE"""),-0.845903020444635)</f>
        <v>-0.8459030204</v>
      </c>
      <c r="L688" s="165">
        <f>IFERROR(__xludf.DUMMYFUNCTION("""COMPUTED_VALUE"""),0.232762008043202)</f>
        <v>0.232762008</v>
      </c>
      <c r="M688" s="166">
        <f t="shared" si="2"/>
        <v>0.1050829955</v>
      </c>
      <c r="N688" s="167">
        <f t="shared" si="3"/>
        <v>9.311666667</v>
      </c>
      <c r="O688" s="163">
        <f t="shared" ref="O688:Q688" si="692">rank(I688,I:I)</f>
        <v>1366</v>
      </c>
      <c r="P688" s="163">
        <f t="shared" si="692"/>
        <v>2017</v>
      </c>
      <c r="Q688" s="163">
        <f t="shared" si="692"/>
        <v>2615</v>
      </c>
      <c r="R688" s="163">
        <f>IFERROR(__xludf.DUMMYFUNCTION("RANK(M688,filter(M:M,C:C=C688))"),378.0)</f>
        <v>378</v>
      </c>
      <c r="S688" s="161" t="b">
        <f t="shared" si="5"/>
        <v>0</v>
      </c>
      <c r="T688" s="161" t="b">
        <f t="array" ref="T688">index('Query Tool'!B:B,match(H688,'Query Tool'!C:C,0))</f>
        <v>1</v>
      </c>
      <c r="U688" s="161" t="b">
        <f t="array" ref="U688">index('Query Tool'!B:B,match(C688,'Query Tool'!C:C,0))</f>
        <v>0</v>
      </c>
      <c r="V688" s="161" t="b">
        <f>F688&gt;='Query Tool'!C$32</f>
        <v>0</v>
      </c>
      <c r="W688" s="161" t="b">
        <f t="array" ref="W688">index(Dropdowns!B:B,match(I688,Dropdowns!A:A,0))</f>
        <v>1</v>
      </c>
      <c r="X688" s="161" t="b">
        <f t="array" ref="X688">index('Query Tool'!B:B,match(D688,'Query Tool'!C:C,0))</f>
        <v>1</v>
      </c>
      <c r="Y688" s="161" t="str">
        <f t="shared" si="6"/>
        <v>clarkea01,2014-15</v>
      </c>
      <c r="Z688" s="168" t="str">
        <f t="array" ref="Z688">iferror(index(I:I,match($A688&amp;","&amp;index('Year Conversion'!$A:$A,match($C688,'Year Conversion'!$B:$B,0)),$Y:$Y,0))-I688,"")</f>
        <v/>
      </c>
      <c r="AA688" s="168" t="str">
        <f t="array" ref="AA688">iferror(index(J:J,match($A688&amp;","&amp;index('Year Conversion'!$A:$A,match($C688,'Year Conversion'!$B:$B,0)),$Y:$Y,0))-J688,"")</f>
        <v/>
      </c>
      <c r="AB688" s="168" t="str">
        <f t="array" ref="AB688">iferror(index(K:K,match($A688&amp;","&amp;index('Year Conversion'!$A:$A,match($C688,'Year Conversion'!$B:$B,0)),$Y:$Y,0))-K688,"")</f>
        <v/>
      </c>
      <c r="AC688" s="168" t="str">
        <f t="shared" si="7"/>
        <v>BRK,2014-15</v>
      </c>
    </row>
    <row r="689">
      <c r="A689" s="161" t="str">
        <f>IFERROR(__xludf.DUMMYFUNCTION("""COMPUTED_VALUE"""),"dayeau01")</f>
        <v>dayeau01</v>
      </c>
      <c r="B689" s="161" t="str">
        <f>IFERROR(__xludf.DUMMYFUNCTION("""COMPUTED_VALUE"""),"Austin Daye")</f>
        <v>Austin Daye</v>
      </c>
      <c r="C689" s="162" t="str">
        <f>IFERROR(__xludf.DUMMYFUNCTION("""COMPUTED_VALUE"""),"2014-15")</f>
        <v>2014-15</v>
      </c>
      <c r="D689" s="163" t="str">
        <f>IFERROR(__xludf.DUMMYFUNCTION("""COMPUTED_VALUE"""),"TOT")</f>
        <v>TOT</v>
      </c>
      <c r="E689" s="164" t="str">
        <f>IFERROR(__xludf.DUMMYFUNCTION("""COMPUTED_VALUE"""),"Stationary Shooter")</f>
        <v>Stationary Shooter</v>
      </c>
      <c r="F689" s="164">
        <f>IFERROR(__xludf.DUMMYFUNCTION("""COMPUTED_VALUE"""),343.993333333333)</f>
        <v>343.9933333</v>
      </c>
      <c r="G689" s="163">
        <f>IFERROR(__xludf.DUMMYFUNCTION("""COMPUTED_VALUE"""),34.0)</f>
        <v>34</v>
      </c>
      <c r="H689" s="163" t="str">
        <f>IFERROR(__xludf.DUMMYFUNCTION("""COMPUTED_VALUE"""),"SF")</f>
        <v>SF</v>
      </c>
      <c r="I689" s="163">
        <f>IFERROR(__xludf.DUMMYFUNCTION("""COMPUTED_VALUE"""),26.0)</f>
        <v>26</v>
      </c>
      <c r="J689" s="165">
        <f>IFERROR(__xludf.DUMMYFUNCTION("""COMPUTED_VALUE"""),-1.81595389015836)</f>
        <v>-1.81595389</v>
      </c>
      <c r="K689" s="165">
        <f>IFERROR(__xludf.DUMMYFUNCTION("""COMPUTED_VALUE"""),-1.1867281426019)</f>
        <v>-1.186728143</v>
      </c>
      <c r="L689" s="165">
        <f>IFERROR(__xludf.DUMMYFUNCTION("""COMPUTED_VALUE"""),-0.629225747556453)</f>
        <v>-0.6292257476</v>
      </c>
      <c r="M689" s="166">
        <f t="shared" si="2"/>
        <v>0.1110916375</v>
      </c>
      <c r="N689" s="167">
        <f t="shared" si="3"/>
        <v>10.11745098</v>
      </c>
      <c r="O689" s="163">
        <f t="shared" ref="O689:Q689" si="693">rank(I689,I:I)</f>
        <v>1665</v>
      </c>
      <c r="P689" s="163">
        <f t="shared" si="693"/>
        <v>3347</v>
      </c>
      <c r="Q689" s="163">
        <f t="shared" si="693"/>
        <v>3023</v>
      </c>
      <c r="R689" s="163">
        <f>IFERROR(__xludf.DUMMYFUNCTION("RANK(M689,filter(M:M,C:C=C689))"),374.0)</f>
        <v>374</v>
      </c>
      <c r="S689" s="161" t="b">
        <f t="shared" si="5"/>
        <v>0</v>
      </c>
      <c r="T689" s="161" t="b">
        <f t="array" ref="T689">index('Query Tool'!B:B,match(H689,'Query Tool'!C:C,0))</f>
        <v>1</v>
      </c>
      <c r="U689" s="161" t="b">
        <f t="array" ref="U689">index('Query Tool'!B:B,match(C689,'Query Tool'!C:C,0))</f>
        <v>0</v>
      </c>
      <c r="V689" s="161" t="b">
        <f>F689&gt;='Query Tool'!C$32</f>
        <v>0</v>
      </c>
      <c r="W689" s="161" t="b">
        <f t="array" ref="W689">index(Dropdowns!B:B,match(I689,Dropdowns!A:A,0))</f>
        <v>1</v>
      </c>
      <c r="X689" s="161" t="b">
        <f t="array" ref="X689">index('Query Tool'!B:B,match(D689,'Query Tool'!C:C,0))</f>
        <v>1</v>
      </c>
      <c r="Y689" s="161" t="str">
        <f t="shared" si="6"/>
        <v>dayeau01,2014-15</v>
      </c>
      <c r="Z689" s="168" t="str">
        <f t="array" ref="Z689">iferror(index(I:I,match($A689&amp;","&amp;index('Year Conversion'!$A:$A,match($C689,'Year Conversion'!$B:$B,0)),$Y:$Y,0))-I689,"")</f>
        <v/>
      </c>
      <c r="AA689" s="168" t="str">
        <f t="array" ref="AA689">iferror(index(J:J,match($A689&amp;","&amp;index('Year Conversion'!$A:$A,match($C689,'Year Conversion'!$B:$B,0)),$Y:$Y,0))-J689,"")</f>
        <v/>
      </c>
      <c r="AB689" s="168" t="str">
        <f t="array" ref="AB689">iferror(index(K:K,match($A689&amp;","&amp;index('Year Conversion'!$A:$A,match($C689,'Year Conversion'!$B:$B,0)),$Y:$Y,0))-K689,"")</f>
        <v/>
      </c>
      <c r="AC689" s="168" t="str">
        <f t="shared" si="7"/>
        <v>TOT,2014-15</v>
      </c>
    </row>
    <row r="690">
      <c r="A690" s="161" t="str">
        <f>IFERROR(__xludf.DUMMYFUNCTION("""COMPUTED_VALUE"""),"johnsja01")</f>
        <v>johnsja01</v>
      </c>
      <c r="B690" s="161" t="str">
        <f>IFERROR(__xludf.DUMMYFUNCTION("""COMPUTED_VALUE"""),"James Johnson")</f>
        <v>James Johnson</v>
      </c>
      <c r="C690" s="162" t="str">
        <f>IFERROR(__xludf.DUMMYFUNCTION("""COMPUTED_VALUE"""),"2014-15")</f>
        <v>2014-15</v>
      </c>
      <c r="D690" s="163" t="str">
        <f>IFERROR(__xludf.DUMMYFUNCTION("""COMPUTED_VALUE"""),"TOR")</f>
        <v>TOR</v>
      </c>
      <c r="E690" s="164" t="str">
        <f>IFERROR(__xludf.DUMMYFUNCTION("""COMPUTED_VALUE"""),"Shot Creator")</f>
        <v>Shot Creator</v>
      </c>
      <c r="F690" s="164">
        <f>IFERROR(__xludf.DUMMYFUNCTION("""COMPUTED_VALUE"""),1369.95333333333)</f>
        <v>1369.953333</v>
      </c>
      <c r="G690" s="163">
        <f>IFERROR(__xludf.DUMMYFUNCTION("""COMPUTED_VALUE"""),70.0)</f>
        <v>70</v>
      </c>
      <c r="H690" s="163" t="str">
        <f>IFERROR(__xludf.DUMMYFUNCTION("""COMPUTED_VALUE"""),"PF")</f>
        <v>PF</v>
      </c>
      <c r="I690" s="163">
        <f>IFERROR(__xludf.DUMMYFUNCTION("""COMPUTED_VALUE"""),27.0)</f>
        <v>27</v>
      </c>
      <c r="J690" s="165">
        <f>IFERROR(__xludf.DUMMYFUNCTION("""COMPUTED_VALUE"""),1.15429320555402)</f>
        <v>1.154293206</v>
      </c>
      <c r="K690" s="165">
        <f>IFERROR(__xludf.DUMMYFUNCTION("""COMPUTED_VALUE"""),0.280189707650007)</f>
        <v>0.2801897077</v>
      </c>
      <c r="L690" s="165">
        <f>IFERROR(__xludf.DUMMYFUNCTION("""COMPUTED_VALUE"""),0.874103497904013)</f>
        <v>0.8741034979</v>
      </c>
      <c r="M690" s="166">
        <f t="shared" si="2"/>
        <v>3.176157559</v>
      </c>
      <c r="N690" s="167">
        <f t="shared" si="3"/>
        <v>19.5707619</v>
      </c>
      <c r="O690" s="163">
        <f t="shared" ref="O690:Q690" si="694">rank(I690,I:I)</f>
        <v>1366</v>
      </c>
      <c r="P690" s="163">
        <f t="shared" si="694"/>
        <v>591</v>
      </c>
      <c r="Q690" s="163">
        <f t="shared" si="694"/>
        <v>928</v>
      </c>
      <c r="R690" s="163">
        <f>IFERROR(__xludf.DUMMYFUNCTION("RANK(M690,filter(M:M,C:C=C690))"),109.0)</f>
        <v>109</v>
      </c>
      <c r="S690" s="161" t="b">
        <f t="shared" si="5"/>
        <v>0</v>
      </c>
      <c r="T690" s="161" t="b">
        <f t="array" ref="T690">index('Query Tool'!B:B,match(H690,'Query Tool'!C:C,0))</f>
        <v>1</v>
      </c>
      <c r="U690" s="161" t="b">
        <f t="array" ref="U690">index('Query Tool'!B:B,match(C690,'Query Tool'!C:C,0))</f>
        <v>0</v>
      </c>
      <c r="V690" s="161" t="b">
        <f>F690&gt;='Query Tool'!C$32</f>
        <v>1</v>
      </c>
      <c r="W690" s="161" t="b">
        <f t="array" ref="W690">index(Dropdowns!B:B,match(I690,Dropdowns!A:A,0))</f>
        <v>1</v>
      </c>
      <c r="X690" s="161" t="b">
        <f t="array" ref="X690">index('Query Tool'!B:B,match(D690,'Query Tool'!C:C,0))</f>
        <v>1</v>
      </c>
      <c r="Y690" s="161" t="str">
        <f t="shared" si="6"/>
        <v>johnsja01,2014-15</v>
      </c>
      <c r="Z690" s="168">
        <f t="array" ref="Z690">iferror(index(I:I,match($A690&amp;","&amp;index('Year Conversion'!$A:$A,match($C690,'Year Conversion'!$B:$B,0)),$Y:$Y,0))-I690,"")</f>
        <v>1</v>
      </c>
      <c r="AA690" s="168">
        <f t="array" ref="AA690">iferror(index(J:J,match($A690&amp;","&amp;index('Year Conversion'!$A:$A,match($C690,'Year Conversion'!$B:$B,0)),$Y:$Y,0))-J690,"")</f>
        <v>-2.495213311</v>
      </c>
      <c r="AB690" s="168">
        <f t="array" ref="AB690">iferror(index(K:K,match($A690&amp;","&amp;index('Year Conversion'!$A:$A,match($C690,'Year Conversion'!$B:$B,0)),$Y:$Y,0))-K690,"")</f>
        <v>-1.621123881</v>
      </c>
      <c r="AC690" s="168" t="str">
        <f t="shared" si="7"/>
        <v>TOR,2014-15</v>
      </c>
    </row>
    <row r="691">
      <c r="A691" s="161" t="str">
        <f>IFERROR(__xludf.DUMMYFUNCTION("""COMPUTED_VALUE"""),"holidjr01")</f>
        <v>holidjr01</v>
      </c>
      <c r="B691" s="161" t="str">
        <f>IFERROR(__xludf.DUMMYFUNCTION("""COMPUTED_VALUE"""),"Jrue Holiday")</f>
        <v>Jrue Holiday</v>
      </c>
      <c r="C691" s="162" t="str">
        <f>IFERROR(__xludf.DUMMYFUNCTION("""COMPUTED_VALUE"""),"2014-15")</f>
        <v>2014-15</v>
      </c>
      <c r="D691" s="163" t="str">
        <f>IFERROR(__xludf.DUMMYFUNCTION("""COMPUTED_VALUE"""),"NOP")</f>
        <v>NOP</v>
      </c>
      <c r="E691" s="164" t="str">
        <f>IFERROR(__xludf.DUMMYFUNCTION("""COMPUTED_VALUE"""),"Slasher")</f>
        <v>Slasher</v>
      </c>
      <c r="F691" s="164">
        <f>IFERROR(__xludf.DUMMYFUNCTION("""COMPUTED_VALUE"""),1303.00333333333)</f>
        <v>1303.003333</v>
      </c>
      <c r="G691" s="163">
        <f>IFERROR(__xludf.DUMMYFUNCTION("""COMPUTED_VALUE"""),40.0)</f>
        <v>40</v>
      </c>
      <c r="H691" s="163" t="str">
        <f>IFERROR(__xludf.DUMMYFUNCTION("""COMPUTED_VALUE"""),"PG")</f>
        <v>PG</v>
      </c>
      <c r="I691" s="163">
        <f>IFERROR(__xludf.DUMMYFUNCTION("""COMPUTED_VALUE"""),24.0)</f>
        <v>24</v>
      </c>
      <c r="J691" s="165">
        <f>IFERROR(__xludf.DUMMYFUNCTION("""COMPUTED_VALUE"""),1.90370960096824)</f>
        <v>1.903709601</v>
      </c>
      <c r="K691" s="165">
        <f>IFERROR(__xludf.DUMMYFUNCTION("""COMPUTED_VALUE"""),1.7781114145092)</f>
        <v>1.778111415</v>
      </c>
      <c r="L691" s="165">
        <f>IFERROR(__xludf.DUMMYFUNCTION("""COMPUTED_VALUE"""),0.125598186459036)</f>
        <v>0.1255981865</v>
      </c>
      <c r="M691" s="166">
        <f t="shared" si="2"/>
        <v>3.672782482</v>
      </c>
      <c r="N691" s="167">
        <f t="shared" si="3"/>
        <v>32.57508333</v>
      </c>
      <c r="O691" s="163">
        <f t="shared" ref="O691:Q691" si="695">rank(I691,I:I)</f>
        <v>2361</v>
      </c>
      <c r="P691" s="163">
        <f t="shared" si="695"/>
        <v>344</v>
      </c>
      <c r="Q691" s="163">
        <f t="shared" si="695"/>
        <v>264</v>
      </c>
      <c r="R691" s="163">
        <f>IFERROR(__xludf.DUMMYFUNCTION("RANK(M691,filter(M:M,C:C=C691))"),94.0)</f>
        <v>94</v>
      </c>
      <c r="S691" s="161" t="b">
        <f t="shared" si="5"/>
        <v>0</v>
      </c>
      <c r="T691" s="161" t="b">
        <f t="array" ref="T691">index('Query Tool'!B:B,match(H691,'Query Tool'!C:C,0))</f>
        <v>1</v>
      </c>
      <c r="U691" s="161" t="b">
        <f t="array" ref="U691">index('Query Tool'!B:B,match(C691,'Query Tool'!C:C,0))</f>
        <v>0</v>
      </c>
      <c r="V691" s="161" t="b">
        <f>F691&gt;='Query Tool'!C$32</f>
        <v>1</v>
      </c>
      <c r="W691" s="161" t="b">
        <f t="array" ref="W691">index(Dropdowns!B:B,match(I691,Dropdowns!A:A,0))</f>
        <v>1</v>
      </c>
      <c r="X691" s="161" t="b">
        <f t="array" ref="X691">index('Query Tool'!B:B,match(D691,'Query Tool'!C:C,0))</f>
        <v>1</v>
      </c>
      <c r="Y691" s="161" t="str">
        <f t="shared" si="6"/>
        <v>holidjr01,2014-15</v>
      </c>
      <c r="Z691" s="168">
        <f t="array" ref="Z691">iferror(index(I:I,match($A691&amp;","&amp;index('Year Conversion'!$A:$A,match($C691,'Year Conversion'!$B:$B,0)),$Y:$Y,0))-I691,"")</f>
        <v>1</v>
      </c>
      <c r="AA691" s="168">
        <f t="array" ref="AA691">iferror(index(J:J,match($A691&amp;","&amp;index('Year Conversion'!$A:$A,match($C691,'Year Conversion'!$B:$B,0)),$Y:$Y,0))-J691,"")</f>
        <v>-0.2468719463</v>
      </c>
      <c r="AB691" s="168">
        <f t="array" ref="AB691">iferror(index(K:K,match($A691&amp;","&amp;index('Year Conversion'!$A:$A,match($C691,'Year Conversion'!$B:$B,0)),$Y:$Y,0))-K691,"")</f>
        <v>0.3179619826</v>
      </c>
      <c r="AC691" s="168" t="str">
        <f t="shared" si="7"/>
        <v>NOP,2014-15</v>
      </c>
    </row>
    <row r="692">
      <c r="A692" s="161" t="str">
        <f>IFERROR(__xludf.DUMMYFUNCTION("""COMPUTED_VALUE"""),"lawsoty01")</f>
        <v>lawsoty01</v>
      </c>
      <c r="B692" s="161" t="str">
        <f>IFERROR(__xludf.DUMMYFUNCTION("""COMPUTED_VALUE"""),"Ty Lawson")</f>
        <v>Ty Lawson</v>
      </c>
      <c r="C692" s="162" t="str">
        <f>IFERROR(__xludf.DUMMYFUNCTION("""COMPUTED_VALUE"""),"2014-15")</f>
        <v>2014-15</v>
      </c>
      <c r="D692" s="163" t="str">
        <f>IFERROR(__xludf.DUMMYFUNCTION("""COMPUTED_VALUE"""),"DEN")</f>
        <v>DEN</v>
      </c>
      <c r="E692" s="164" t="str">
        <f>IFERROR(__xludf.DUMMYFUNCTION("""COMPUTED_VALUE"""),"Shot Creator")</f>
        <v>Shot Creator</v>
      </c>
      <c r="F692" s="164">
        <f>IFERROR(__xludf.DUMMYFUNCTION("""COMPUTED_VALUE"""),2665.41166666667)</f>
        <v>2665.411667</v>
      </c>
      <c r="G692" s="163">
        <f>IFERROR(__xludf.DUMMYFUNCTION("""COMPUTED_VALUE"""),75.0)</f>
        <v>75</v>
      </c>
      <c r="H692" s="163" t="str">
        <f>IFERROR(__xludf.DUMMYFUNCTION("""COMPUTED_VALUE"""),"PG")</f>
        <v>PG</v>
      </c>
      <c r="I692" s="163">
        <f>IFERROR(__xludf.DUMMYFUNCTION("""COMPUTED_VALUE"""),27.0)</f>
        <v>27</v>
      </c>
      <c r="J692" s="165">
        <f>IFERROR(__xludf.DUMMYFUNCTION("""COMPUTED_VALUE"""),2.03363562249751)</f>
        <v>2.033635622</v>
      </c>
      <c r="K692" s="165">
        <f>IFERROR(__xludf.DUMMYFUNCTION("""COMPUTED_VALUE"""),3.42320867879488)</f>
        <v>3.423208679</v>
      </c>
      <c r="L692" s="165">
        <f>IFERROR(__xludf.DUMMYFUNCTION("""COMPUTED_VALUE"""),-1.38957305629737)</f>
        <v>-1.389573056</v>
      </c>
      <c r="M692" s="166">
        <f t="shared" si="2"/>
        <v>7.742754109</v>
      </c>
      <c r="N692" s="167">
        <f t="shared" si="3"/>
        <v>35.53882222</v>
      </c>
      <c r="O692" s="163">
        <f t="shared" ref="O692:Q692" si="696">rank(I692,I:I)</f>
        <v>1366</v>
      </c>
      <c r="P692" s="163">
        <f t="shared" si="696"/>
        <v>313</v>
      </c>
      <c r="Q692" s="163">
        <f t="shared" si="696"/>
        <v>95</v>
      </c>
      <c r="R692" s="163">
        <f>IFERROR(__xludf.DUMMYFUNCTION("RANK(M692,filter(M:M,C:C=C692))"),24.0)</f>
        <v>24</v>
      </c>
      <c r="S692" s="161" t="b">
        <f t="shared" si="5"/>
        <v>0</v>
      </c>
      <c r="T692" s="161" t="b">
        <f t="array" ref="T692">index('Query Tool'!B:B,match(H692,'Query Tool'!C:C,0))</f>
        <v>1</v>
      </c>
      <c r="U692" s="161" t="b">
        <f t="array" ref="U692">index('Query Tool'!B:B,match(C692,'Query Tool'!C:C,0))</f>
        <v>0</v>
      </c>
      <c r="V692" s="161" t="b">
        <f>F692&gt;='Query Tool'!C$32</f>
        <v>1</v>
      </c>
      <c r="W692" s="161" t="b">
        <f t="array" ref="W692">index(Dropdowns!B:B,match(I692,Dropdowns!A:A,0))</f>
        <v>1</v>
      </c>
      <c r="X692" s="161" t="b">
        <f t="array" ref="X692">index('Query Tool'!B:B,match(D692,'Query Tool'!C:C,0))</f>
        <v>1</v>
      </c>
      <c r="Y692" s="161" t="str">
        <f t="shared" si="6"/>
        <v>lawsoty01,2014-15</v>
      </c>
      <c r="Z692" s="168">
        <f t="array" ref="Z692">iferror(index(I:I,match($A692&amp;","&amp;index('Year Conversion'!$A:$A,match($C692,'Year Conversion'!$B:$B,0)),$Y:$Y,0))-I692,"")</f>
        <v>1</v>
      </c>
      <c r="AA692" s="168">
        <f t="array" ref="AA692">iferror(index(J:J,match($A692&amp;","&amp;index('Year Conversion'!$A:$A,match($C692,'Year Conversion'!$B:$B,0)),$Y:$Y,0))-J692,"")</f>
        <v>-5.573739158</v>
      </c>
      <c r="AB692" s="168">
        <f t="array" ref="AB692">iferror(index(K:K,match($A692&amp;","&amp;index('Year Conversion'!$A:$A,match($C692,'Year Conversion'!$B:$B,0)),$Y:$Y,0))-K692,"")</f>
        <v>-5.627108598</v>
      </c>
      <c r="AC692" s="168" t="str">
        <f t="shared" si="7"/>
        <v>DEN,2014-15</v>
      </c>
    </row>
    <row r="693">
      <c r="A693" s="161" t="str">
        <f>IFERROR(__xludf.DUMMYFUNCTION("""COMPUTED_VALUE"""),"teaguje01")</f>
        <v>teaguje01</v>
      </c>
      <c r="B693" s="161" t="str">
        <f>IFERROR(__xludf.DUMMYFUNCTION("""COMPUTED_VALUE"""),"Jeff Teague")</f>
        <v>Jeff Teague</v>
      </c>
      <c r="C693" s="162" t="str">
        <f>IFERROR(__xludf.DUMMYFUNCTION("""COMPUTED_VALUE"""),"2014-15")</f>
        <v>2014-15</v>
      </c>
      <c r="D693" s="163" t="str">
        <f>IFERROR(__xludf.DUMMYFUNCTION("""COMPUTED_VALUE"""),"ATL")</f>
        <v>ATL</v>
      </c>
      <c r="E693" s="164" t="str">
        <f>IFERROR(__xludf.DUMMYFUNCTION("""COMPUTED_VALUE"""),"Shot Creator")</f>
        <v>Shot Creator</v>
      </c>
      <c r="F693" s="164">
        <f>IFERROR(__xludf.DUMMYFUNCTION("""COMPUTED_VALUE"""),2227.86166666667)</f>
        <v>2227.861667</v>
      </c>
      <c r="G693" s="163">
        <f>IFERROR(__xludf.DUMMYFUNCTION("""COMPUTED_VALUE"""),73.0)</f>
        <v>73</v>
      </c>
      <c r="H693" s="163" t="str">
        <f>IFERROR(__xludf.DUMMYFUNCTION("""COMPUTED_VALUE"""),"PG")</f>
        <v>PG</v>
      </c>
      <c r="I693" s="163">
        <f>IFERROR(__xludf.DUMMYFUNCTION("""COMPUTED_VALUE"""),26.0)</f>
        <v>26</v>
      </c>
      <c r="J693" s="165">
        <f>IFERROR(__xludf.DUMMYFUNCTION("""COMPUTED_VALUE"""),2.06212372871416)</f>
        <v>2.062123729</v>
      </c>
      <c r="K693" s="165">
        <f>IFERROR(__xludf.DUMMYFUNCTION("""COMPUTED_VALUE"""),1.91734474979733)</f>
        <v>1.91734475</v>
      </c>
      <c r="L693" s="165">
        <f>IFERROR(__xludf.DUMMYFUNCTION("""COMPUTED_VALUE"""),0.144778978916828)</f>
        <v>0.1447789789</v>
      </c>
      <c r="M693" s="166">
        <f t="shared" si="2"/>
        <v>6.513765068</v>
      </c>
      <c r="N693" s="167">
        <f t="shared" si="3"/>
        <v>30.51865297</v>
      </c>
      <c r="O693" s="163">
        <f t="shared" ref="O693:Q693" si="697">rank(I693,I:I)</f>
        <v>1665</v>
      </c>
      <c r="P693" s="163">
        <f t="shared" si="697"/>
        <v>300</v>
      </c>
      <c r="Q693" s="163">
        <f t="shared" si="697"/>
        <v>241</v>
      </c>
      <c r="R693" s="163">
        <f>IFERROR(__xludf.DUMMYFUNCTION("RANK(M693,filter(M:M,C:C=C693))"),36.0)</f>
        <v>36</v>
      </c>
      <c r="S693" s="161" t="b">
        <f t="shared" si="5"/>
        <v>0</v>
      </c>
      <c r="T693" s="161" t="b">
        <f t="array" ref="T693">index('Query Tool'!B:B,match(H693,'Query Tool'!C:C,0))</f>
        <v>1</v>
      </c>
      <c r="U693" s="161" t="b">
        <f t="array" ref="U693">index('Query Tool'!B:B,match(C693,'Query Tool'!C:C,0))</f>
        <v>0</v>
      </c>
      <c r="V693" s="161" t="b">
        <f>F693&gt;='Query Tool'!C$32</f>
        <v>1</v>
      </c>
      <c r="W693" s="161" t="b">
        <f t="array" ref="W693">index(Dropdowns!B:B,match(I693,Dropdowns!A:A,0))</f>
        <v>1</v>
      </c>
      <c r="X693" s="161" t="b">
        <f t="array" ref="X693">index('Query Tool'!B:B,match(D693,'Query Tool'!C:C,0))</f>
        <v>1</v>
      </c>
      <c r="Y693" s="161" t="str">
        <f t="shared" si="6"/>
        <v>teaguje01,2014-15</v>
      </c>
      <c r="Z693" s="168">
        <f t="array" ref="Z693">iferror(index(I:I,match($A693&amp;","&amp;index('Year Conversion'!$A:$A,match($C693,'Year Conversion'!$B:$B,0)),$Y:$Y,0))-I693,"")</f>
        <v>1</v>
      </c>
      <c r="AA693" s="168">
        <f t="array" ref="AA693">iferror(index(J:J,match($A693&amp;","&amp;index('Year Conversion'!$A:$A,match($C693,'Year Conversion'!$B:$B,0)),$Y:$Y,0))-J693,"")</f>
        <v>-1.904014731</v>
      </c>
      <c r="AB693" s="168">
        <f t="array" ref="AB693">iferror(index(K:K,match($A693&amp;","&amp;index('Year Conversion'!$A:$A,match($C693,'Year Conversion'!$B:$B,0)),$Y:$Y,0))-K693,"")</f>
        <v>-1.271032684</v>
      </c>
      <c r="AC693" s="168" t="str">
        <f t="shared" si="7"/>
        <v>ATL,2014-15</v>
      </c>
    </row>
    <row r="694">
      <c r="A694" s="161" t="str">
        <f>IFERROR(__xludf.DUMMYFUNCTION("""COMPUTED_VALUE"""),"collida01")</f>
        <v>collida01</v>
      </c>
      <c r="B694" s="161" t="str">
        <f>IFERROR(__xludf.DUMMYFUNCTION("""COMPUTED_VALUE"""),"Darren Collison")</f>
        <v>Darren Collison</v>
      </c>
      <c r="C694" s="162" t="str">
        <f>IFERROR(__xludf.DUMMYFUNCTION("""COMPUTED_VALUE"""),"2014-15")</f>
        <v>2014-15</v>
      </c>
      <c r="D694" s="163" t="str">
        <f>IFERROR(__xludf.DUMMYFUNCTION("""COMPUTED_VALUE"""),"SAC")</f>
        <v>SAC</v>
      </c>
      <c r="E694" s="164" t="str">
        <f>IFERROR(__xludf.DUMMYFUNCTION("""COMPUTED_VALUE"""),"Primary Ball Handler")</f>
        <v>Primary Ball Handler</v>
      </c>
      <c r="F694" s="164">
        <f>IFERROR(__xludf.DUMMYFUNCTION("""COMPUTED_VALUE"""),1564.72333333333)</f>
        <v>1564.723333</v>
      </c>
      <c r="G694" s="163">
        <f>IFERROR(__xludf.DUMMYFUNCTION("""COMPUTED_VALUE"""),45.0)</f>
        <v>45</v>
      </c>
      <c r="H694" s="163" t="str">
        <f>IFERROR(__xludf.DUMMYFUNCTION("""COMPUTED_VALUE"""),"PG")</f>
        <v>PG</v>
      </c>
      <c r="I694" s="163">
        <f>IFERROR(__xludf.DUMMYFUNCTION("""COMPUTED_VALUE"""),27.0)</f>
        <v>27</v>
      </c>
      <c r="J694" s="165">
        <f>IFERROR(__xludf.DUMMYFUNCTION("""COMPUTED_VALUE"""),1.65791180861206)</f>
        <v>1.657911809</v>
      </c>
      <c r="K694" s="165">
        <f>IFERROR(__xludf.DUMMYFUNCTION("""COMPUTED_VALUE"""),1.4570869298436)</f>
        <v>1.45708693</v>
      </c>
      <c r="L694" s="165">
        <f>IFERROR(__xludf.DUMMYFUNCTION("""COMPUTED_VALUE"""),0.200824878768458)</f>
        <v>0.2008248788</v>
      </c>
      <c r="M694" s="166">
        <f t="shared" si="2"/>
        <v>4.154599162</v>
      </c>
      <c r="N694" s="167">
        <f t="shared" si="3"/>
        <v>34.77162963</v>
      </c>
      <c r="O694" s="163">
        <f t="shared" ref="O694:Q694" si="698">rank(I694,I:I)</f>
        <v>1366</v>
      </c>
      <c r="P694" s="163">
        <f t="shared" si="698"/>
        <v>411</v>
      </c>
      <c r="Q694" s="163">
        <f t="shared" si="698"/>
        <v>335</v>
      </c>
      <c r="R694" s="163">
        <f>IFERROR(__xludf.DUMMYFUNCTION("RANK(M694,filter(M:M,C:C=C694))"),82.0)</f>
        <v>82</v>
      </c>
      <c r="S694" s="161" t="b">
        <f t="shared" si="5"/>
        <v>0</v>
      </c>
      <c r="T694" s="161" t="b">
        <f t="array" ref="T694">index('Query Tool'!B:B,match(H694,'Query Tool'!C:C,0))</f>
        <v>1</v>
      </c>
      <c r="U694" s="161" t="b">
        <f t="array" ref="U694">index('Query Tool'!B:B,match(C694,'Query Tool'!C:C,0))</f>
        <v>0</v>
      </c>
      <c r="V694" s="161" t="b">
        <f>F694&gt;='Query Tool'!C$32</f>
        <v>1</v>
      </c>
      <c r="W694" s="161" t="b">
        <f t="array" ref="W694">index(Dropdowns!B:B,match(I694,Dropdowns!A:A,0))</f>
        <v>1</v>
      </c>
      <c r="X694" s="161" t="b">
        <f t="array" ref="X694">index('Query Tool'!B:B,match(D694,'Query Tool'!C:C,0))</f>
        <v>1</v>
      </c>
      <c r="Y694" s="161" t="str">
        <f t="shared" si="6"/>
        <v>collida01,2014-15</v>
      </c>
      <c r="Z694" s="168">
        <f t="array" ref="Z694">iferror(index(I:I,match($A694&amp;","&amp;index('Year Conversion'!$A:$A,match($C694,'Year Conversion'!$B:$B,0)),$Y:$Y,0))-I694,"")</f>
        <v>1</v>
      </c>
      <c r="AA694" s="168">
        <f t="array" ref="AA694">iferror(index(J:J,match($A694&amp;","&amp;index('Year Conversion'!$A:$A,match($C694,'Year Conversion'!$B:$B,0)),$Y:$Y,0))-J694,"")</f>
        <v>-1.530307787</v>
      </c>
      <c r="AB694" s="168">
        <f t="array" ref="AB694">iferror(index(K:K,match($A694&amp;","&amp;index('Year Conversion'!$A:$A,match($C694,'Year Conversion'!$B:$B,0)),$Y:$Y,0))-K694,"")</f>
        <v>0.2665186513</v>
      </c>
      <c r="AC694" s="168" t="str">
        <f t="shared" si="7"/>
        <v>SAC,2014-15</v>
      </c>
    </row>
    <row r="695">
      <c r="A695" s="161" t="str">
        <f>IFERROR(__xludf.DUMMYFUNCTION("""COMPUTED_VALUE"""),"casspom01")</f>
        <v>casspom01</v>
      </c>
      <c r="B695" s="161" t="str">
        <f>IFERROR(__xludf.DUMMYFUNCTION("""COMPUTED_VALUE"""),"Omri Casspi")</f>
        <v>Omri Casspi</v>
      </c>
      <c r="C695" s="162" t="str">
        <f>IFERROR(__xludf.DUMMYFUNCTION("""COMPUTED_VALUE"""),"2014-15")</f>
        <v>2014-15</v>
      </c>
      <c r="D695" s="163" t="str">
        <f>IFERROR(__xludf.DUMMYFUNCTION("""COMPUTED_VALUE"""),"SAC")</f>
        <v>SAC</v>
      </c>
      <c r="E695" s="164" t="str">
        <f>IFERROR(__xludf.DUMMYFUNCTION("""COMPUTED_VALUE"""),"Athletic Finisher")</f>
        <v>Athletic Finisher</v>
      </c>
      <c r="F695" s="164">
        <f>IFERROR(__xludf.DUMMYFUNCTION("""COMPUTED_VALUE"""),1416.38166666667)</f>
        <v>1416.381667</v>
      </c>
      <c r="G695" s="163">
        <f>IFERROR(__xludf.DUMMYFUNCTION("""COMPUTED_VALUE"""),67.0)</f>
        <v>67</v>
      </c>
      <c r="H695" s="163" t="str">
        <f>IFERROR(__xludf.DUMMYFUNCTION("""COMPUTED_VALUE"""),"SF")</f>
        <v>SF</v>
      </c>
      <c r="I695" s="163">
        <f>IFERROR(__xludf.DUMMYFUNCTION("""COMPUTED_VALUE"""),26.0)</f>
        <v>26</v>
      </c>
      <c r="J695" s="165">
        <f>IFERROR(__xludf.DUMMYFUNCTION("""COMPUTED_VALUE"""),-1.90071862448355)</f>
        <v>-1.900718624</v>
      </c>
      <c r="K695" s="165">
        <f>IFERROR(__xludf.DUMMYFUNCTION("""COMPUTED_VALUE"""),-0.591967864494865)</f>
        <v>-0.5919678645</v>
      </c>
      <c r="L695" s="165">
        <f>IFERROR(__xludf.DUMMYFUNCTION("""COMPUTED_VALUE"""),-1.30875075998869)</f>
        <v>-1.30875076</v>
      </c>
      <c r="M695" s="166">
        <f t="shared" si="2"/>
        <v>0.377627679</v>
      </c>
      <c r="N695" s="167">
        <f t="shared" si="3"/>
        <v>21.14002488</v>
      </c>
      <c r="O695" s="163">
        <f t="shared" ref="O695:Q695" si="699">rank(I695,I:I)</f>
        <v>1665</v>
      </c>
      <c r="P695" s="163">
        <f t="shared" si="699"/>
        <v>3417</v>
      </c>
      <c r="Q695" s="163">
        <f t="shared" si="699"/>
        <v>2254</v>
      </c>
      <c r="R695" s="163">
        <f>IFERROR(__xludf.DUMMYFUNCTION("RANK(M695,filter(M:M,C:C=C695))"),299.0)</f>
        <v>299</v>
      </c>
      <c r="S695" s="161" t="b">
        <f t="shared" si="5"/>
        <v>0</v>
      </c>
      <c r="T695" s="161" t="b">
        <f t="array" ref="T695">index('Query Tool'!B:B,match(H695,'Query Tool'!C:C,0))</f>
        <v>1</v>
      </c>
      <c r="U695" s="161" t="b">
        <f t="array" ref="U695">index('Query Tool'!B:B,match(C695,'Query Tool'!C:C,0))</f>
        <v>0</v>
      </c>
      <c r="V695" s="161" t="b">
        <f>F695&gt;='Query Tool'!C$32</f>
        <v>1</v>
      </c>
      <c r="W695" s="161" t="b">
        <f t="array" ref="W695">index(Dropdowns!B:B,match(I695,Dropdowns!A:A,0))</f>
        <v>1</v>
      </c>
      <c r="X695" s="161" t="b">
        <f t="array" ref="X695">index('Query Tool'!B:B,match(D695,'Query Tool'!C:C,0))</f>
        <v>1</v>
      </c>
      <c r="Y695" s="161" t="str">
        <f t="shared" si="6"/>
        <v>casspom01,2014-15</v>
      </c>
      <c r="Z695" s="168">
        <f t="array" ref="Z695">iferror(index(I:I,match($A695&amp;","&amp;index('Year Conversion'!$A:$A,match($C695,'Year Conversion'!$B:$B,0)),$Y:$Y,0))-I695,"")</f>
        <v>1</v>
      </c>
      <c r="AA695" s="168">
        <f t="array" ref="AA695">iferror(index(J:J,match($A695&amp;","&amp;index('Year Conversion'!$A:$A,match($C695,'Year Conversion'!$B:$B,0)),$Y:$Y,0))-J695,"")</f>
        <v>2.037826203</v>
      </c>
      <c r="AB695" s="168">
        <f t="array" ref="AB695">iferror(index(K:K,match($A695&amp;","&amp;index('Year Conversion'!$A:$A,match($C695,'Year Conversion'!$B:$B,0)),$Y:$Y,0))-K695,"")</f>
        <v>0.9372288159</v>
      </c>
      <c r="AC695" s="168" t="str">
        <f t="shared" si="7"/>
        <v>SAC,2014-15</v>
      </c>
    </row>
    <row r="696">
      <c r="A696" s="161" t="str">
        <f>IFERROR(__xludf.DUMMYFUNCTION("""COMPUTED_VALUE"""),"gibsota01")</f>
        <v>gibsota01</v>
      </c>
      <c r="B696" s="161" t="str">
        <f>IFERROR(__xludf.DUMMYFUNCTION("""COMPUTED_VALUE"""),"Taj Gibson")</f>
        <v>Taj Gibson</v>
      </c>
      <c r="C696" s="162" t="str">
        <f>IFERROR(__xludf.DUMMYFUNCTION("""COMPUTED_VALUE"""),"2014-15")</f>
        <v>2014-15</v>
      </c>
      <c r="D696" s="163" t="str">
        <f>IFERROR(__xludf.DUMMYFUNCTION("""COMPUTED_VALUE"""),"CHI")</f>
        <v>CHI</v>
      </c>
      <c r="E696" s="164" t="str">
        <f>IFERROR(__xludf.DUMMYFUNCTION("""COMPUTED_VALUE"""),"Post Scorer")</f>
        <v>Post Scorer</v>
      </c>
      <c r="F696" s="164">
        <f>IFERROR(__xludf.DUMMYFUNCTION("""COMPUTED_VALUE"""),1691.90333333333)</f>
        <v>1691.903333</v>
      </c>
      <c r="G696" s="163">
        <f>IFERROR(__xludf.DUMMYFUNCTION("""COMPUTED_VALUE"""),62.0)</f>
        <v>62</v>
      </c>
      <c r="H696" s="163" t="str">
        <f>IFERROR(__xludf.DUMMYFUNCTION("""COMPUTED_VALUE"""),"PF")</f>
        <v>PF</v>
      </c>
      <c r="I696" s="163">
        <f>IFERROR(__xludf.DUMMYFUNCTION("""COMPUTED_VALUE"""),29.0)</f>
        <v>29</v>
      </c>
      <c r="J696" s="165">
        <f>IFERROR(__xludf.DUMMYFUNCTION("""COMPUTED_VALUE"""),-0.187749264822877)</f>
        <v>-0.1877492648</v>
      </c>
      <c r="K696" s="165">
        <f>IFERROR(__xludf.DUMMYFUNCTION("""COMPUTED_VALUE"""),-0.777258841537277)</f>
        <v>-0.7772588415</v>
      </c>
      <c r="L696" s="165">
        <f>IFERROR(__xludf.DUMMYFUNCTION("""COMPUTED_VALUE"""),0.5895095767144)</f>
        <v>0.5895095767</v>
      </c>
      <c r="M696" s="166">
        <f t="shared" si="2"/>
        <v>2.394202632</v>
      </c>
      <c r="N696" s="167">
        <f t="shared" si="3"/>
        <v>27.28876344</v>
      </c>
      <c r="O696" s="163">
        <f t="shared" ref="O696:Q696" si="700">rank(I696,I:I)</f>
        <v>855</v>
      </c>
      <c r="P696" s="163">
        <f t="shared" si="700"/>
        <v>1492</v>
      </c>
      <c r="Q696" s="163">
        <f t="shared" si="700"/>
        <v>2528</v>
      </c>
      <c r="R696" s="163">
        <f>IFERROR(__xludf.DUMMYFUNCTION("RANK(M696,filter(M:M,C:C=C696))"),148.0)</f>
        <v>148</v>
      </c>
      <c r="S696" s="161" t="b">
        <f t="shared" si="5"/>
        <v>0</v>
      </c>
      <c r="T696" s="161" t="b">
        <f t="array" ref="T696">index('Query Tool'!B:B,match(H696,'Query Tool'!C:C,0))</f>
        <v>1</v>
      </c>
      <c r="U696" s="161" t="b">
        <f t="array" ref="U696">index('Query Tool'!B:B,match(C696,'Query Tool'!C:C,0))</f>
        <v>0</v>
      </c>
      <c r="V696" s="161" t="b">
        <f>F696&gt;='Query Tool'!C$32</f>
        <v>1</v>
      </c>
      <c r="W696" s="161" t="b">
        <f t="array" ref="W696">index(Dropdowns!B:B,match(I696,Dropdowns!A:A,0))</f>
        <v>1</v>
      </c>
      <c r="X696" s="161" t="b">
        <f t="array" ref="X696">index('Query Tool'!B:B,match(D696,'Query Tool'!C:C,0))</f>
        <v>1</v>
      </c>
      <c r="Y696" s="161" t="str">
        <f t="shared" si="6"/>
        <v>gibsota01,2014-15</v>
      </c>
      <c r="Z696" s="168">
        <f t="array" ref="Z696">iferror(index(I:I,match($A696&amp;","&amp;index('Year Conversion'!$A:$A,match($C696,'Year Conversion'!$B:$B,0)),$Y:$Y,0))-I696,"")</f>
        <v>1</v>
      </c>
      <c r="AA696" s="168">
        <f t="array" ref="AA696">iferror(index(J:J,match($A696&amp;","&amp;index('Year Conversion'!$A:$A,match($C696,'Year Conversion'!$B:$B,0)),$Y:$Y,0))-J696,"")</f>
        <v>-0.2533002338</v>
      </c>
      <c r="AB696" s="168">
        <f t="array" ref="AB696">iferror(index(K:K,match($A696&amp;","&amp;index('Year Conversion'!$A:$A,match($C696,'Year Conversion'!$B:$B,0)),$Y:$Y,0))-K696,"")</f>
        <v>-0.03586155444</v>
      </c>
      <c r="AC696" s="168" t="str">
        <f t="shared" si="7"/>
        <v>CHI,2014-15</v>
      </c>
    </row>
    <row r="697">
      <c r="A697" s="161" t="str">
        <f>IFERROR(__xludf.DUMMYFUNCTION("""COMPUTED_VALUE"""),"carrode01")</f>
        <v>carrode01</v>
      </c>
      <c r="B697" s="161" t="str">
        <f>IFERROR(__xludf.DUMMYFUNCTION("""COMPUTED_VALUE"""),"DeMarre Carroll")</f>
        <v>DeMarre Carroll</v>
      </c>
      <c r="C697" s="162" t="str">
        <f>IFERROR(__xludf.DUMMYFUNCTION("""COMPUTED_VALUE"""),"2014-15")</f>
        <v>2014-15</v>
      </c>
      <c r="D697" s="163" t="str">
        <f>IFERROR(__xludf.DUMMYFUNCTION("""COMPUTED_VALUE"""),"ATL")</f>
        <v>ATL</v>
      </c>
      <c r="E697" s="164" t="str">
        <f>IFERROR(__xludf.DUMMYFUNCTION("""COMPUTED_VALUE"""),"Athletic Finisher")</f>
        <v>Athletic Finisher</v>
      </c>
      <c r="F697" s="164">
        <f>IFERROR(__xludf.DUMMYFUNCTION("""COMPUTED_VALUE"""),2188.54833333333)</f>
        <v>2188.548333</v>
      </c>
      <c r="G697" s="163">
        <f>IFERROR(__xludf.DUMMYFUNCTION("""COMPUTED_VALUE"""),70.0)</f>
        <v>70</v>
      </c>
      <c r="H697" s="163" t="str">
        <f>IFERROR(__xludf.DUMMYFUNCTION("""COMPUTED_VALUE"""),"SF")</f>
        <v>SF</v>
      </c>
      <c r="I697" s="163">
        <f>IFERROR(__xludf.DUMMYFUNCTION("""COMPUTED_VALUE"""),28.0)</f>
        <v>28</v>
      </c>
      <c r="J697" s="165">
        <f>IFERROR(__xludf.DUMMYFUNCTION("""COMPUTED_VALUE"""),0.111960809613723)</f>
        <v>0.1119608096</v>
      </c>
      <c r="K697" s="165">
        <f>IFERROR(__xludf.DUMMYFUNCTION("""COMPUTED_VALUE"""),0.329435033767268)</f>
        <v>0.3294350338</v>
      </c>
      <c r="L697" s="165">
        <f>IFERROR(__xludf.DUMMYFUNCTION("""COMPUTED_VALUE"""),-0.217474224153545)</f>
        <v>-0.2174742242</v>
      </c>
      <c r="M697" s="166">
        <f t="shared" si="2"/>
        <v>3.539206975</v>
      </c>
      <c r="N697" s="167">
        <f t="shared" si="3"/>
        <v>31.26497619</v>
      </c>
      <c r="O697" s="163">
        <f t="shared" ref="O697:Q697" si="701">rank(I697,I:I)</f>
        <v>1090</v>
      </c>
      <c r="P697" s="163">
        <f t="shared" si="701"/>
        <v>1173</v>
      </c>
      <c r="Q697" s="163">
        <f t="shared" si="701"/>
        <v>882</v>
      </c>
      <c r="R697" s="163">
        <f>IFERROR(__xludf.DUMMYFUNCTION("RANK(M697,filter(M:M,C:C=C697))"),98.0)</f>
        <v>98</v>
      </c>
      <c r="S697" s="161" t="b">
        <f t="shared" si="5"/>
        <v>0</v>
      </c>
      <c r="T697" s="161" t="b">
        <f t="array" ref="T697">index('Query Tool'!B:B,match(H697,'Query Tool'!C:C,0))</f>
        <v>1</v>
      </c>
      <c r="U697" s="161" t="b">
        <f t="array" ref="U697">index('Query Tool'!B:B,match(C697,'Query Tool'!C:C,0))</f>
        <v>0</v>
      </c>
      <c r="V697" s="161" t="b">
        <f>F697&gt;='Query Tool'!C$32</f>
        <v>1</v>
      </c>
      <c r="W697" s="161" t="b">
        <f t="array" ref="W697">index(Dropdowns!B:B,match(I697,Dropdowns!A:A,0))</f>
        <v>1</v>
      </c>
      <c r="X697" s="161" t="b">
        <f t="array" ref="X697">index('Query Tool'!B:B,match(D697,'Query Tool'!C:C,0))</f>
        <v>1</v>
      </c>
      <c r="Y697" s="161" t="str">
        <f t="shared" si="6"/>
        <v>carrode01,2014-15</v>
      </c>
      <c r="Z697" s="168">
        <f t="array" ref="Z697">iferror(index(I:I,match($A697&amp;","&amp;index('Year Conversion'!$A:$A,match($C697,'Year Conversion'!$B:$B,0)),$Y:$Y,0))-I697,"")</f>
        <v>1</v>
      </c>
      <c r="AA697" s="168">
        <f t="array" ref="AA697">iferror(index(J:J,match($A697&amp;","&amp;index('Year Conversion'!$A:$A,match($C697,'Year Conversion'!$B:$B,0)),$Y:$Y,0))-J697,"")</f>
        <v>-0.9314485938</v>
      </c>
      <c r="AB697" s="168">
        <f t="array" ref="AB697">iferror(index(K:K,match($A697&amp;","&amp;index('Year Conversion'!$A:$A,match($C697,'Year Conversion'!$B:$B,0)),$Y:$Y,0))-K697,"")</f>
        <v>-1.557803215</v>
      </c>
      <c r="AC697" s="168" t="str">
        <f t="shared" si="7"/>
        <v>ATL,2014-15</v>
      </c>
    </row>
    <row r="698">
      <c r="A698" s="161" t="str">
        <f>IFERROR(__xludf.DUMMYFUNCTION("""COMPUTED_VALUE"""),"ellinwa01")</f>
        <v>ellinwa01</v>
      </c>
      <c r="B698" s="161" t="str">
        <f>IFERROR(__xludf.DUMMYFUNCTION("""COMPUTED_VALUE"""),"Wayne Ellington")</f>
        <v>Wayne Ellington</v>
      </c>
      <c r="C698" s="162" t="str">
        <f>IFERROR(__xludf.DUMMYFUNCTION("""COMPUTED_VALUE"""),"2014-15")</f>
        <v>2014-15</v>
      </c>
      <c r="D698" s="163" t="str">
        <f>IFERROR(__xludf.DUMMYFUNCTION("""COMPUTED_VALUE"""),"LAL")</f>
        <v>LAL</v>
      </c>
      <c r="E698" s="164" t="str">
        <f>IFERROR(__xludf.DUMMYFUNCTION("""COMPUTED_VALUE"""),"Secondary Ball Handler")</f>
        <v>Secondary Ball Handler</v>
      </c>
      <c r="F698" s="164">
        <f>IFERROR(__xludf.DUMMYFUNCTION("""COMPUTED_VALUE"""),1674.63833333333)</f>
        <v>1674.638333</v>
      </c>
      <c r="G698" s="163">
        <f>IFERROR(__xludf.DUMMYFUNCTION("""COMPUTED_VALUE"""),65.0)</f>
        <v>65</v>
      </c>
      <c r="H698" s="163" t="str">
        <f>IFERROR(__xludf.DUMMYFUNCTION("""COMPUTED_VALUE"""),"SG")</f>
        <v>SG</v>
      </c>
      <c r="I698" s="163">
        <f>IFERROR(__xludf.DUMMYFUNCTION("""COMPUTED_VALUE"""),27.0)</f>
        <v>27</v>
      </c>
      <c r="J698" s="165">
        <f>IFERROR(__xludf.DUMMYFUNCTION("""COMPUTED_VALUE"""),-1.42749044745506)</f>
        <v>-1.427490447</v>
      </c>
      <c r="K698" s="165">
        <f>IFERROR(__xludf.DUMMYFUNCTION("""COMPUTED_VALUE"""),-0.352637113941846)</f>
        <v>-0.3526371139</v>
      </c>
      <c r="L698" s="165">
        <f>IFERROR(__xludf.DUMMYFUNCTION("""COMPUTED_VALUE"""),-1.07485333351322)</f>
        <v>-1.074853334</v>
      </c>
      <c r="M698" s="166">
        <f t="shared" si="2"/>
        <v>0.9746098293</v>
      </c>
      <c r="N698" s="167">
        <f t="shared" si="3"/>
        <v>25.76366667</v>
      </c>
      <c r="O698" s="163">
        <f t="shared" ref="O698:Q698" si="702">rank(I698,I:I)</f>
        <v>1366</v>
      </c>
      <c r="P698" s="163">
        <f t="shared" si="702"/>
        <v>2987</v>
      </c>
      <c r="Q698" s="163">
        <f t="shared" si="702"/>
        <v>1860</v>
      </c>
      <c r="R698" s="163">
        <f>IFERROR(__xludf.DUMMYFUNCTION("RANK(M698,filter(M:M,C:C=C698))"),232.0)</f>
        <v>232</v>
      </c>
      <c r="S698" s="161" t="b">
        <f t="shared" si="5"/>
        <v>0</v>
      </c>
      <c r="T698" s="161" t="b">
        <f t="array" ref="T698">index('Query Tool'!B:B,match(H698,'Query Tool'!C:C,0))</f>
        <v>1</v>
      </c>
      <c r="U698" s="161" t="b">
        <f t="array" ref="U698">index('Query Tool'!B:B,match(C698,'Query Tool'!C:C,0))</f>
        <v>0</v>
      </c>
      <c r="V698" s="161" t="b">
        <f>F698&gt;='Query Tool'!C$32</f>
        <v>1</v>
      </c>
      <c r="W698" s="161" t="b">
        <f t="array" ref="W698">index(Dropdowns!B:B,match(I698,Dropdowns!A:A,0))</f>
        <v>1</v>
      </c>
      <c r="X698" s="161" t="b">
        <f t="array" ref="X698">index('Query Tool'!B:B,match(D698,'Query Tool'!C:C,0))</f>
        <v>1</v>
      </c>
      <c r="Y698" s="161" t="str">
        <f t="shared" si="6"/>
        <v>ellinwa01,2014-15</v>
      </c>
      <c r="Z698" s="168">
        <f t="array" ref="Z698">iferror(index(I:I,match($A698&amp;","&amp;index('Year Conversion'!$A:$A,match($C698,'Year Conversion'!$B:$B,0)),$Y:$Y,0))-I698,"")</f>
        <v>1</v>
      </c>
      <c r="AA698" s="168">
        <f t="array" ref="AA698">iferror(index(J:J,match($A698&amp;","&amp;index('Year Conversion'!$A:$A,match($C698,'Year Conversion'!$B:$B,0)),$Y:$Y,0))-J698,"")</f>
        <v>-2.01119138</v>
      </c>
      <c r="AB698" s="168">
        <f t="array" ref="AB698">iferror(index(K:K,match($A698&amp;","&amp;index('Year Conversion'!$A:$A,match($C698,'Year Conversion'!$B:$B,0)),$Y:$Y,0))-K698,"")</f>
        <v>-1.727672451</v>
      </c>
      <c r="AC698" s="168" t="str">
        <f t="shared" si="7"/>
        <v>LAL,2014-15</v>
      </c>
    </row>
    <row r="699">
      <c r="A699" s="161" t="str">
        <f>IFERROR(__xludf.DUMMYFUNCTION("""COMPUTED_VALUE"""),"douglto01")</f>
        <v>douglto01</v>
      </c>
      <c r="B699" s="161" t="str">
        <f>IFERROR(__xludf.DUMMYFUNCTION("""COMPUTED_VALUE"""),"Toney Douglas")</f>
        <v>Toney Douglas</v>
      </c>
      <c r="C699" s="162" t="str">
        <f>IFERROR(__xludf.DUMMYFUNCTION("""COMPUTED_VALUE"""),"2014-15")</f>
        <v>2014-15</v>
      </c>
      <c r="D699" s="163" t="str">
        <f>IFERROR(__xludf.DUMMYFUNCTION("""COMPUTED_VALUE"""),"NOP")</f>
        <v>NOP</v>
      </c>
      <c r="E699" s="164" t="str">
        <f>IFERROR(__xludf.DUMMYFUNCTION("""COMPUTED_VALUE"""),"Secondary Ball Handler")</f>
        <v>Secondary Ball Handler</v>
      </c>
      <c r="F699" s="164">
        <f>IFERROR(__xludf.DUMMYFUNCTION("""COMPUTED_VALUE"""),176.566666666666)</f>
        <v>176.5666667</v>
      </c>
      <c r="G699" s="163">
        <f>IFERROR(__xludf.DUMMYFUNCTION("""COMPUTED_VALUE"""),12.0)</f>
        <v>12</v>
      </c>
      <c r="H699" s="163" t="str">
        <f>IFERROR(__xludf.DUMMYFUNCTION("""COMPUTED_VALUE"""),"SG")</f>
        <v>SG</v>
      </c>
      <c r="I699" s="163">
        <f>IFERROR(__xludf.DUMMYFUNCTION("""COMPUTED_VALUE"""),28.0)</f>
        <v>28</v>
      </c>
      <c r="J699" s="165">
        <f>IFERROR(__xludf.DUMMYFUNCTION("""COMPUTED_VALUE"""),-0.320252117917914)</f>
        <v>-0.3202521179</v>
      </c>
      <c r="K699" s="165">
        <f>IFERROR(__xludf.DUMMYFUNCTION("""COMPUTED_VALUE"""),-0.365634421142168)</f>
        <v>-0.3656344211</v>
      </c>
      <c r="L699" s="165">
        <f>IFERROR(__xludf.DUMMYFUNCTION("""COMPUTED_VALUE"""),0.0453823032242542)</f>
        <v>0.04538230322</v>
      </c>
      <c r="M699" s="166">
        <f t="shared" si="2"/>
        <v>0.2340897396</v>
      </c>
      <c r="N699" s="167">
        <f t="shared" si="3"/>
        <v>14.71388889</v>
      </c>
      <c r="O699" s="163">
        <f t="shared" ref="O699:Q699" si="703">rank(I699,I:I)</f>
        <v>1090</v>
      </c>
      <c r="P699" s="163">
        <f t="shared" si="703"/>
        <v>1640</v>
      </c>
      <c r="Q699" s="163">
        <f t="shared" si="703"/>
        <v>1882</v>
      </c>
      <c r="R699" s="163">
        <f>IFERROR(__xludf.DUMMYFUNCTION("RANK(M699,filter(M:M,C:C=C699))"),324.0)</f>
        <v>324</v>
      </c>
      <c r="S699" s="161" t="b">
        <f t="shared" si="5"/>
        <v>0</v>
      </c>
      <c r="T699" s="161" t="b">
        <f t="array" ref="T699">index('Query Tool'!B:B,match(H699,'Query Tool'!C:C,0))</f>
        <v>1</v>
      </c>
      <c r="U699" s="161" t="b">
        <f t="array" ref="U699">index('Query Tool'!B:B,match(C699,'Query Tool'!C:C,0))</f>
        <v>0</v>
      </c>
      <c r="V699" s="161" t="b">
        <f>F699&gt;='Query Tool'!C$32</f>
        <v>0</v>
      </c>
      <c r="W699" s="161" t="b">
        <f t="array" ref="W699">index(Dropdowns!B:B,match(I699,Dropdowns!A:A,0))</f>
        <v>1</v>
      </c>
      <c r="X699" s="161" t="b">
        <f t="array" ref="X699">index('Query Tool'!B:B,match(D699,'Query Tool'!C:C,0))</f>
        <v>1</v>
      </c>
      <c r="Y699" s="161" t="str">
        <f t="shared" si="6"/>
        <v>douglto01,2014-15</v>
      </c>
      <c r="Z699" s="168">
        <f t="array" ref="Z699">iferror(index(I:I,match($A699&amp;","&amp;index('Year Conversion'!$A:$A,match($C699,'Year Conversion'!$B:$B,0)),$Y:$Y,0))-I699,"")</f>
        <v>1</v>
      </c>
      <c r="AA699" s="168">
        <f t="array" ref="AA699">iferror(index(J:J,match($A699&amp;","&amp;index('Year Conversion'!$A:$A,match($C699,'Year Conversion'!$B:$B,0)),$Y:$Y,0))-J699,"")</f>
        <v>0.01259451128</v>
      </c>
      <c r="AB699" s="168">
        <f t="array" ref="AB699">iferror(index(K:K,match($A699&amp;","&amp;index('Year Conversion'!$A:$A,match($C699,'Year Conversion'!$B:$B,0)),$Y:$Y,0))-K699,"")</f>
        <v>1.04545247</v>
      </c>
      <c r="AC699" s="168" t="str">
        <f t="shared" si="7"/>
        <v>NOP,2014-15</v>
      </c>
    </row>
    <row r="700">
      <c r="A700" s="161" t="str">
        <f>IFERROR(__xludf.DUMMYFUNCTION("""COMPUTED_VALUE"""),"clavevi01")</f>
        <v>clavevi01</v>
      </c>
      <c r="B700" s="161" t="str">
        <f>IFERROR(__xludf.DUMMYFUNCTION("""COMPUTED_VALUE"""),"Victor Claver")</f>
        <v>Victor Claver</v>
      </c>
      <c r="C700" s="162" t="str">
        <f>IFERROR(__xludf.DUMMYFUNCTION("""COMPUTED_VALUE"""),"2014-15")</f>
        <v>2014-15</v>
      </c>
      <c r="D700" s="163" t="str">
        <f>IFERROR(__xludf.DUMMYFUNCTION("""COMPUTED_VALUE"""),"POR")</f>
        <v>POR</v>
      </c>
      <c r="E700" s="164" t="str">
        <f>IFERROR(__xludf.DUMMYFUNCTION("""COMPUTED_VALUE"""),"Stationary Shooter")</f>
        <v>Stationary Shooter</v>
      </c>
      <c r="F700" s="164">
        <f>IFERROR(__xludf.DUMMYFUNCTION("""COMPUTED_VALUE"""),75.9833333333333)</f>
        <v>75.98333333</v>
      </c>
      <c r="G700" s="163">
        <f>IFERROR(__xludf.DUMMYFUNCTION("""COMPUTED_VALUE"""),10.0)</f>
        <v>10</v>
      </c>
      <c r="H700" s="163" t="str">
        <f>IFERROR(__xludf.DUMMYFUNCTION("""COMPUTED_VALUE"""),"SF")</f>
        <v>SF</v>
      </c>
      <c r="I700" s="163">
        <f>IFERROR(__xludf.DUMMYFUNCTION("""COMPUTED_VALUE"""),26.0)</f>
        <v>26</v>
      </c>
      <c r="J700" s="165">
        <f>IFERROR(__xludf.DUMMYFUNCTION("""COMPUTED_VALUE"""),-0.655663530367431)</f>
        <v>-0.6556635304</v>
      </c>
      <c r="K700" s="165">
        <f>IFERROR(__xludf.DUMMYFUNCTION("""COMPUTED_VALUE"""),-0.612275569198619)</f>
        <v>-0.6122755692</v>
      </c>
      <c r="L700" s="165">
        <f>IFERROR(__xludf.DUMMYFUNCTION("""COMPUTED_VALUE"""),-0.0433879611688125)</f>
        <v>-0.04338796117</v>
      </c>
      <c r="M700" s="166">
        <f t="shared" si="2"/>
        <v>0.08357321666</v>
      </c>
      <c r="N700" s="167">
        <f t="shared" si="3"/>
        <v>7.598333333</v>
      </c>
      <c r="O700" s="163">
        <f t="shared" ref="O700:Q700" si="704">rank(I700,I:I)</f>
        <v>1665</v>
      </c>
      <c r="P700" s="163">
        <f t="shared" si="704"/>
        <v>2072</v>
      </c>
      <c r="Q700" s="163">
        <f t="shared" si="704"/>
        <v>2277</v>
      </c>
      <c r="R700" s="163">
        <f>IFERROR(__xludf.DUMMYFUNCTION("RANK(M700,filter(M:M,C:C=C700))"),390.0)</f>
        <v>390</v>
      </c>
      <c r="S700" s="161" t="b">
        <f t="shared" si="5"/>
        <v>0</v>
      </c>
      <c r="T700" s="161" t="b">
        <f t="array" ref="T700">index('Query Tool'!B:B,match(H700,'Query Tool'!C:C,0))</f>
        <v>1</v>
      </c>
      <c r="U700" s="161" t="b">
        <f t="array" ref="U700">index('Query Tool'!B:B,match(C700,'Query Tool'!C:C,0))</f>
        <v>0</v>
      </c>
      <c r="V700" s="161" t="b">
        <f>F700&gt;='Query Tool'!C$32</f>
        <v>0</v>
      </c>
      <c r="W700" s="161" t="b">
        <f t="array" ref="W700">index(Dropdowns!B:B,match(I700,Dropdowns!A:A,0))</f>
        <v>1</v>
      </c>
      <c r="X700" s="161" t="b">
        <f t="array" ref="X700">index('Query Tool'!B:B,match(D700,'Query Tool'!C:C,0))</f>
        <v>1</v>
      </c>
      <c r="Y700" s="161" t="str">
        <f t="shared" si="6"/>
        <v>clavevi01,2014-15</v>
      </c>
      <c r="Z700" s="168" t="str">
        <f t="array" ref="Z700">iferror(index(I:I,match($A700&amp;","&amp;index('Year Conversion'!$A:$A,match($C700,'Year Conversion'!$B:$B,0)),$Y:$Y,0))-I700,"")</f>
        <v/>
      </c>
      <c r="AA700" s="168" t="str">
        <f t="array" ref="AA700">iferror(index(J:J,match($A700&amp;","&amp;index('Year Conversion'!$A:$A,match($C700,'Year Conversion'!$B:$B,0)),$Y:$Y,0))-J700,"")</f>
        <v/>
      </c>
      <c r="AB700" s="168" t="str">
        <f t="array" ref="AB700">iferror(index(K:K,match($A700&amp;","&amp;index('Year Conversion'!$A:$A,match($C700,'Year Conversion'!$B:$B,0)),$Y:$Y,0))-K700,"")</f>
        <v/>
      </c>
      <c r="AC700" s="168" t="str">
        <f t="shared" si="7"/>
        <v>POR,2014-15</v>
      </c>
    </row>
    <row r="701">
      <c r="A701" s="161" t="str">
        <f>IFERROR(__xludf.DUMMYFUNCTION("""COMPUTED_VALUE"""),"pendeje02")</f>
        <v>pendeje02</v>
      </c>
      <c r="B701" s="161" t="str">
        <f>IFERROR(__xludf.DUMMYFUNCTION("""COMPUTED_VALUE"""),"Jeff Ayres")</f>
        <v>Jeff Ayres</v>
      </c>
      <c r="C701" s="162" t="str">
        <f>IFERROR(__xludf.DUMMYFUNCTION("""COMPUTED_VALUE"""),"2014-15")</f>
        <v>2014-15</v>
      </c>
      <c r="D701" s="163" t="str">
        <f>IFERROR(__xludf.DUMMYFUNCTION("""COMPUTED_VALUE"""),"SAS")</f>
        <v>SAS</v>
      </c>
      <c r="E701" s="164" t="str">
        <f>IFERROR(__xludf.DUMMYFUNCTION("""COMPUTED_VALUE"""),"Roll + Cut Big")</f>
        <v>Roll + Cut Big</v>
      </c>
      <c r="F701" s="164">
        <f>IFERROR(__xludf.DUMMYFUNCTION("""COMPUTED_VALUE"""),382.77)</f>
        <v>382.77</v>
      </c>
      <c r="G701" s="163">
        <f>IFERROR(__xludf.DUMMYFUNCTION("""COMPUTED_VALUE"""),51.0)</f>
        <v>51</v>
      </c>
      <c r="H701" s="163" t="str">
        <f>IFERROR(__xludf.DUMMYFUNCTION("""COMPUTED_VALUE"""),"PF")</f>
        <v>PF</v>
      </c>
      <c r="I701" s="163">
        <f>IFERROR(__xludf.DUMMYFUNCTION("""COMPUTED_VALUE"""),27.0)</f>
        <v>27</v>
      </c>
      <c r="J701" s="165">
        <f>IFERROR(__xludf.DUMMYFUNCTION("""COMPUTED_VALUE"""),-2.07727702996617)</f>
        <v>-2.07727703</v>
      </c>
      <c r="K701" s="165">
        <f>IFERROR(__xludf.DUMMYFUNCTION("""COMPUTED_VALUE"""),-1.44130476283833)</f>
        <v>-1.441304763</v>
      </c>
      <c r="L701" s="165">
        <f>IFERROR(__xludf.DUMMYFUNCTION("""COMPUTED_VALUE"""),-0.635972267127845)</f>
        <v>-0.6359722671</v>
      </c>
      <c r="M701" s="166">
        <f t="shared" si="2"/>
        <v>0.05723288036</v>
      </c>
      <c r="N701" s="167">
        <f t="shared" si="3"/>
        <v>7.505294118</v>
      </c>
      <c r="O701" s="163">
        <f t="shared" ref="O701:Q701" si="705">rank(I701,I:I)</f>
        <v>1366</v>
      </c>
      <c r="P701" s="163">
        <f t="shared" si="705"/>
        <v>3541</v>
      </c>
      <c r="Q701" s="163">
        <f t="shared" si="705"/>
        <v>3292</v>
      </c>
      <c r="R701" s="163">
        <f>IFERROR(__xludf.DUMMYFUNCTION("RANK(M701,filter(M:M,C:C=C701))"),403.0)</f>
        <v>403</v>
      </c>
      <c r="S701" s="161" t="b">
        <f t="shared" si="5"/>
        <v>0</v>
      </c>
      <c r="T701" s="161" t="b">
        <f t="array" ref="T701">index('Query Tool'!B:B,match(H701,'Query Tool'!C:C,0))</f>
        <v>1</v>
      </c>
      <c r="U701" s="161" t="b">
        <f t="array" ref="U701">index('Query Tool'!B:B,match(C701,'Query Tool'!C:C,0))</f>
        <v>0</v>
      </c>
      <c r="V701" s="161" t="b">
        <f>F701&gt;='Query Tool'!C$32</f>
        <v>0</v>
      </c>
      <c r="W701" s="161" t="b">
        <f t="array" ref="W701">index(Dropdowns!B:B,match(I701,Dropdowns!A:A,0))</f>
        <v>1</v>
      </c>
      <c r="X701" s="161" t="b">
        <f t="array" ref="X701">index('Query Tool'!B:B,match(D701,'Query Tool'!C:C,0))</f>
        <v>1</v>
      </c>
      <c r="Y701" s="161" t="str">
        <f t="shared" si="6"/>
        <v>pendeje02,2014-15</v>
      </c>
      <c r="Z701" s="168">
        <f t="array" ref="Z701">iferror(index(I:I,match($A701&amp;","&amp;index('Year Conversion'!$A:$A,match($C701,'Year Conversion'!$B:$B,0)),$Y:$Y,0))-I701,"")</f>
        <v>1</v>
      </c>
      <c r="AA701" s="168">
        <f t="array" ref="AA701">iferror(index(J:J,match($A701&amp;","&amp;index('Year Conversion'!$A:$A,match($C701,'Year Conversion'!$B:$B,0)),$Y:$Y,0))-J701,"")</f>
        <v>0.2097491227</v>
      </c>
      <c r="AB701" s="168">
        <f t="array" ref="AB701">iferror(index(K:K,match($A701&amp;","&amp;index('Year Conversion'!$A:$A,match($C701,'Year Conversion'!$B:$B,0)),$Y:$Y,0))-K701,"")</f>
        <v>0.2852123154</v>
      </c>
      <c r="AC701" s="168" t="str">
        <f t="shared" si="7"/>
        <v>SAS,2014-15</v>
      </c>
    </row>
    <row r="702">
      <c r="A702" s="161" t="str">
        <f>IFERROR(__xludf.DUMMYFUNCTION("""COMPUTED_VALUE"""),"cunnida01")</f>
        <v>cunnida01</v>
      </c>
      <c r="B702" s="161" t="str">
        <f>IFERROR(__xludf.DUMMYFUNCTION("""COMPUTED_VALUE"""),"Dante Cunningham")</f>
        <v>Dante Cunningham</v>
      </c>
      <c r="C702" s="162" t="str">
        <f>IFERROR(__xludf.DUMMYFUNCTION("""COMPUTED_VALUE"""),"2014-15")</f>
        <v>2014-15</v>
      </c>
      <c r="D702" s="163" t="str">
        <f>IFERROR(__xludf.DUMMYFUNCTION("""COMPUTED_VALUE"""),"NOP")</f>
        <v>NOP</v>
      </c>
      <c r="E702" s="164" t="str">
        <f>IFERROR(__xludf.DUMMYFUNCTION("""COMPUTED_VALUE"""),"Athletic Finisher")</f>
        <v>Athletic Finisher</v>
      </c>
      <c r="F702" s="164">
        <f>IFERROR(__xludf.DUMMYFUNCTION("""COMPUTED_VALUE"""),1652.185)</f>
        <v>1652.185</v>
      </c>
      <c r="G702" s="163">
        <f>IFERROR(__xludf.DUMMYFUNCTION("""COMPUTED_VALUE"""),66.0)</f>
        <v>66</v>
      </c>
      <c r="H702" s="163" t="str">
        <f>IFERROR(__xludf.DUMMYFUNCTION("""COMPUTED_VALUE"""),"PF")</f>
        <v>PF</v>
      </c>
      <c r="I702" s="163">
        <f>IFERROR(__xludf.DUMMYFUNCTION("""COMPUTED_VALUE"""),27.0)</f>
        <v>27</v>
      </c>
      <c r="J702" s="165">
        <f>IFERROR(__xludf.DUMMYFUNCTION("""COMPUTED_VALUE"""),-2.45627837779416)</f>
        <v>-2.456278378</v>
      </c>
      <c r="K702" s="165">
        <f>IFERROR(__xludf.DUMMYFUNCTION("""COMPUTED_VALUE"""),-1.84590276334522)</f>
        <v>-1.845902763</v>
      </c>
      <c r="L702" s="165">
        <f>IFERROR(__xludf.DUMMYFUNCTION("""COMPUTED_VALUE"""),-0.610375614448938)</f>
        <v>-0.6103756144</v>
      </c>
      <c r="M702" s="166">
        <f t="shared" si="2"/>
        <v>-0.1661925801</v>
      </c>
      <c r="N702" s="167">
        <f t="shared" si="3"/>
        <v>25.03310606</v>
      </c>
      <c r="O702" s="163">
        <f t="shared" ref="O702:Q702" si="706">rank(I702,I:I)</f>
        <v>1366</v>
      </c>
      <c r="P702" s="163">
        <f t="shared" si="706"/>
        <v>3739</v>
      </c>
      <c r="Q702" s="163">
        <f t="shared" si="706"/>
        <v>3603</v>
      </c>
      <c r="R702" s="163">
        <f>IFERROR(__xludf.DUMMYFUNCTION("RANK(M702,filter(M:M,C:C=C702))"),461.0)</f>
        <v>461</v>
      </c>
      <c r="S702" s="161" t="b">
        <f t="shared" si="5"/>
        <v>0</v>
      </c>
      <c r="T702" s="161" t="b">
        <f t="array" ref="T702">index('Query Tool'!B:B,match(H702,'Query Tool'!C:C,0))</f>
        <v>1</v>
      </c>
      <c r="U702" s="161" t="b">
        <f t="array" ref="U702">index('Query Tool'!B:B,match(C702,'Query Tool'!C:C,0))</f>
        <v>0</v>
      </c>
      <c r="V702" s="161" t="b">
        <f>F702&gt;='Query Tool'!C$32</f>
        <v>1</v>
      </c>
      <c r="W702" s="161" t="b">
        <f t="array" ref="W702">index(Dropdowns!B:B,match(I702,Dropdowns!A:A,0))</f>
        <v>1</v>
      </c>
      <c r="X702" s="161" t="b">
        <f t="array" ref="X702">index('Query Tool'!B:B,match(D702,'Query Tool'!C:C,0))</f>
        <v>1</v>
      </c>
      <c r="Y702" s="161" t="str">
        <f t="shared" si="6"/>
        <v>cunnida01,2014-15</v>
      </c>
      <c r="Z702" s="168">
        <f t="array" ref="Z702">iferror(index(I:I,match($A702&amp;","&amp;index('Year Conversion'!$A:$A,match($C702,'Year Conversion'!$B:$B,0)),$Y:$Y,0))-I702,"")</f>
        <v>1</v>
      </c>
      <c r="AA702" s="168">
        <f t="array" ref="AA702">iferror(index(J:J,match($A702&amp;","&amp;index('Year Conversion'!$A:$A,match($C702,'Year Conversion'!$B:$B,0)),$Y:$Y,0))-J702,"")</f>
        <v>0.7140350184</v>
      </c>
      <c r="AB702" s="168">
        <f t="array" ref="AB702">iferror(index(K:K,match($A702&amp;","&amp;index('Year Conversion'!$A:$A,match($C702,'Year Conversion'!$B:$B,0)),$Y:$Y,0))-K702,"")</f>
        <v>0.5432252748</v>
      </c>
      <c r="AC702" s="168" t="str">
        <f t="shared" si="7"/>
        <v>NOP,2014-15</v>
      </c>
    </row>
    <row r="703">
      <c r="A703" s="161" t="str">
        <f>IFERROR(__xludf.DUMMYFUNCTION("""COMPUTED_VALUE"""),"blairde01")</f>
        <v>blairde01</v>
      </c>
      <c r="B703" s="161" t="str">
        <f>IFERROR(__xludf.DUMMYFUNCTION("""COMPUTED_VALUE"""),"DeJuan Blair")</f>
        <v>DeJuan Blair</v>
      </c>
      <c r="C703" s="162" t="str">
        <f>IFERROR(__xludf.DUMMYFUNCTION("""COMPUTED_VALUE"""),"2014-15")</f>
        <v>2014-15</v>
      </c>
      <c r="D703" s="163" t="str">
        <f>IFERROR(__xludf.DUMMYFUNCTION("""COMPUTED_VALUE"""),"WAS")</f>
        <v>WAS</v>
      </c>
      <c r="E703" s="164" t="str">
        <f>IFERROR(__xludf.DUMMYFUNCTION("""COMPUTED_VALUE"""),"Roll + Cut Big")</f>
        <v>Roll + Cut Big</v>
      </c>
      <c r="F703" s="164">
        <f>IFERROR(__xludf.DUMMYFUNCTION("""COMPUTED_VALUE"""),180.368333333333)</f>
        <v>180.3683333</v>
      </c>
      <c r="G703" s="163">
        <f>IFERROR(__xludf.DUMMYFUNCTION("""COMPUTED_VALUE"""),29.0)</f>
        <v>29</v>
      </c>
      <c r="H703" s="163" t="str">
        <f>IFERROR(__xludf.DUMMYFUNCTION("""COMPUTED_VALUE"""),"PF")</f>
        <v>PF</v>
      </c>
      <c r="I703" s="163">
        <f>IFERROR(__xludf.DUMMYFUNCTION("""COMPUTED_VALUE"""),25.0)</f>
        <v>25</v>
      </c>
      <c r="J703" s="165">
        <f>IFERROR(__xludf.DUMMYFUNCTION("""COMPUTED_VALUE"""),-1.6854900557647)</f>
        <v>-1.685490056</v>
      </c>
      <c r="K703" s="165">
        <f>IFERROR(__xludf.DUMMYFUNCTION("""COMPUTED_VALUE"""),-1.66882434770523)</f>
        <v>-1.668824348</v>
      </c>
      <c r="L703" s="165">
        <f>IFERROR(__xludf.DUMMYFUNCTION("""COMPUTED_VALUE"""),-0.0166657080594715)</f>
        <v>-0.01666570806</v>
      </c>
      <c r="M703" s="166">
        <f t="shared" si="2"/>
        <v>0.07391312164</v>
      </c>
      <c r="N703" s="167">
        <f t="shared" si="3"/>
        <v>6.219597701</v>
      </c>
      <c r="O703" s="163">
        <f t="shared" ref="O703:Q703" si="707">rank(I703,I:I)</f>
        <v>1995</v>
      </c>
      <c r="P703" s="163">
        <f t="shared" si="707"/>
        <v>3229</v>
      </c>
      <c r="Q703" s="163">
        <f t="shared" si="707"/>
        <v>3497</v>
      </c>
      <c r="R703" s="163">
        <f>IFERROR(__xludf.DUMMYFUNCTION("RANK(M703,filter(M:M,C:C=C703))"),397.0)</f>
        <v>397</v>
      </c>
      <c r="S703" s="161" t="b">
        <f t="shared" si="5"/>
        <v>0</v>
      </c>
      <c r="T703" s="161" t="b">
        <f t="array" ref="T703">index('Query Tool'!B:B,match(H703,'Query Tool'!C:C,0))</f>
        <v>1</v>
      </c>
      <c r="U703" s="161" t="b">
        <f t="array" ref="U703">index('Query Tool'!B:B,match(C703,'Query Tool'!C:C,0))</f>
        <v>0</v>
      </c>
      <c r="V703" s="161" t="b">
        <f>F703&gt;='Query Tool'!C$32</f>
        <v>0</v>
      </c>
      <c r="W703" s="161" t="b">
        <f t="array" ref="W703">index(Dropdowns!B:B,match(I703,Dropdowns!A:A,0))</f>
        <v>1</v>
      </c>
      <c r="X703" s="161" t="b">
        <f t="array" ref="X703">index('Query Tool'!B:B,match(D703,'Query Tool'!C:C,0))</f>
        <v>1</v>
      </c>
      <c r="Y703" s="161" t="str">
        <f t="shared" si="6"/>
        <v>blairde01,2014-15</v>
      </c>
      <c r="Z703" s="168">
        <f t="array" ref="Z703">iferror(index(I:I,match($A703&amp;","&amp;index('Year Conversion'!$A:$A,match($C703,'Year Conversion'!$B:$B,0)),$Y:$Y,0))-I703,"")</f>
        <v>1</v>
      </c>
      <c r="AA703" s="168">
        <f t="array" ref="AA703">iferror(index(J:J,match($A703&amp;","&amp;index('Year Conversion'!$A:$A,match($C703,'Year Conversion'!$B:$B,0)),$Y:$Y,0))-J703,"")</f>
        <v>0.1470327915</v>
      </c>
      <c r="AB703" s="168">
        <f t="array" ref="AB703">iferror(index(K:K,match($A703&amp;","&amp;index('Year Conversion'!$A:$A,match($C703,'Year Conversion'!$B:$B,0)),$Y:$Y,0))-K703,"")</f>
        <v>0.1413236465</v>
      </c>
      <c r="AC703" s="168" t="str">
        <f t="shared" si="7"/>
        <v>WAS,2014-15</v>
      </c>
    </row>
    <row r="704">
      <c r="A704" s="161" t="str">
        <f>IFERROR(__xludf.DUMMYFUNCTION("""COMPUTED_VALUE"""),"jerebjo01")</f>
        <v>jerebjo01</v>
      </c>
      <c r="B704" s="161" t="str">
        <f>IFERROR(__xludf.DUMMYFUNCTION("""COMPUTED_VALUE"""),"Jonas Jerebko")</f>
        <v>Jonas Jerebko</v>
      </c>
      <c r="C704" s="162" t="str">
        <f>IFERROR(__xludf.DUMMYFUNCTION("""COMPUTED_VALUE"""),"2014-15")</f>
        <v>2014-15</v>
      </c>
      <c r="D704" s="163" t="str">
        <f>IFERROR(__xludf.DUMMYFUNCTION("""COMPUTED_VALUE"""),"TOT")</f>
        <v>TOT</v>
      </c>
      <c r="E704" s="164" t="str">
        <f>IFERROR(__xludf.DUMMYFUNCTION("""COMPUTED_VALUE"""),"Stretch Big")</f>
        <v>Stretch Big</v>
      </c>
      <c r="F704" s="164">
        <f>IFERROR(__xludf.DUMMYFUNCTION("""COMPUTED_VALUE"""),1230.16)</f>
        <v>1230.16</v>
      </c>
      <c r="G704" s="163">
        <f>IFERROR(__xludf.DUMMYFUNCTION("""COMPUTED_VALUE"""),75.0)</f>
        <v>75</v>
      </c>
      <c r="H704" s="163" t="str">
        <f>IFERROR(__xludf.DUMMYFUNCTION("""COMPUTED_VALUE"""),"PF")</f>
        <v>PF</v>
      </c>
      <c r="I704" s="163">
        <f>IFERROR(__xludf.DUMMYFUNCTION("""COMPUTED_VALUE"""),27.0)</f>
        <v>27</v>
      </c>
      <c r="J704" s="165">
        <f>IFERROR(__xludf.DUMMYFUNCTION("""COMPUTED_VALUE"""),0.851450386001094)</f>
        <v>0.851450386</v>
      </c>
      <c r="K704" s="165">
        <f>IFERROR(__xludf.DUMMYFUNCTION("""COMPUTED_VALUE"""),0.543559141503917)</f>
        <v>0.5435591415</v>
      </c>
      <c r="L704" s="165">
        <f>IFERROR(__xludf.DUMMYFUNCTION("""COMPUTED_VALUE"""),0.307891244497177)</f>
        <v>0.3078912445</v>
      </c>
      <c r="M704" s="166">
        <f t="shared" si="2"/>
        <v>2.601946378</v>
      </c>
      <c r="N704" s="167">
        <f t="shared" si="3"/>
        <v>16.40213333</v>
      </c>
      <c r="O704" s="163">
        <f t="shared" ref="O704:Q704" si="708">rank(I704,I:I)</f>
        <v>1366</v>
      </c>
      <c r="P704" s="163">
        <f t="shared" si="708"/>
        <v>712</v>
      </c>
      <c r="Q704" s="163">
        <f t="shared" si="708"/>
        <v>744</v>
      </c>
      <c r="R704" s="163">
        <f>IFERROR(__xludf.DUMMYFUNCTION("RANK(M704,filter(M:M,C:C=C704))"),135.0)</f>
        <v>135</v>
      </c>
      <c r="S704" s="161" t="b">
        <f t="shared" si="5"/>
        <v>0</v>
      </c>
      <c r="T704" s="161" t="b">
        <f t="array" ref="T704">index('Query Tool'!B:B,match(H704,'Query Tool'!C:C,0))</f>
        <v>1</v>
      </c>
      <c r="U704" s="161" t="b">
        <f t="array" ref="U704">index('Query Tool'!B:B,match(C704,'Query Tool'!C:C,0))</f>
        <v>0</v>
      </c>
      <c r="V704" s="161" t="b">
        <f>F704&gt;='Query Tool'!C$32</f>
        <v>1</v>
      </c>
      <c r="W704" s="161" t="b">
        <f t="array" ref="W704">index(Dropdowns!B:B,match(I704,Dropdowns!A:A,0))</f>
        <v>1</v>
      </c>
      <c r="X704" s="161" t="b">
        <f t="array" ref="X704">index('Query Tool'!B:B,match(D704,'Query Tool'!C:C,0))</f>
        <v>1</v>
      </c>
      <c r="Y704" s="161" t="str">
        <f t="shared" si="6"/>
        <v>jerebjo01,2014-15</v>
      </c>
      <c r="Z704" s="168">
        <f t="array" ref="Z704">iferror(index(I:I,match($A704&amp;","&amp;index('Year Conversion'!$A:$A,match($C704,'Year Conversion'!$B:$B,0)),$Y:$Y,0))-I704,"")</f>
        <v>1</v>
      </c>
      <c r="AA704" s="168">
        <f t="array" ref="AA704">iferror(index(J:J,match($A704&amp;","&amp;index('Year Conversion'!$A:$A,match($C704,'Year Conversion'!$B:$B,0)),$Y:$Y,0))-J704,"")</f>
        <v>-2.303897085</v>
      </c>
      <c r="AB704" s="168">
        <f t="array" ref="AB704">iferror(index(K:K,match($A704&amp;","&amp;index('Year Conversion'!$A:$A,match($C704,'Year Conversion'!$B:$B,0)),$Y:$Y,0))-K704,"")</f>
        <v>-2.326852283</v>
      </c>
      <c r="AC704" s="168" t="str">
        <f t="shared" si="7"/>
        <v>TOT,2014-15</v>
      </c>
    </row>
    <row r="705">
      <c r="A705" s="161" t="str">
        <f>IFERROR(__xludf.DUMMYFUNCTION("""COMPUTED_VALUE"""),"meeksjo01")</f>
        <v>meeksjo01</v>
      </c>
      <c r="B705" s="161" t="str">
        <f>IFERROR(__xludf.DUMMYFUNCTION("""COMPUTED_VALUE"""),"Jodie Meeks")</f>
        <v>Jodie Meeks</v>
      </c>
      <c r="C705" s="162" t="str">
        <f>IFERROR(__xludf.DUMMYFUNCTION("""COMPUTED_VALUE"""),"2014-15")</f>
        <v>2014-15</v>
      </c>
      <c r="D705" s="163" t="str">
        <f>IFERROR(__xludf.DUMMYFUNCTION("""COMPUTED_VALUE"""),"DET")</f>
        <v>DET</v>
      </c>
      <c r="E705" s="164" t="str">
        <f>IFERROR(__xludf.DUMMYFUNCTION("""COMPUTED_VALUE"""),"Off Screen Shooter")</f>
        <v>Off Screen Shooter</v>
      </c>
      <c r="F705" s="164">
        <f>IFERROR(__xludf.DUMMYFUNCTION("""COMPUTED_VALUE"""),1462.37166666667)</f>
        <v>1462.371667</v>
      </c>
      <c r="G705" s="163">
        <f>IFERROR(__xludf.DUMMYFUNCTION("""COMPUTED_VALUE"""),60.0)</f>
        <v>60</v>
      </c>
      <c r="H705" s="163" t="str">
        <f>IFERROR(__xludf.DUMMYFUNCTION("""COMPUTED_VALUE"""),"SG")</f>
        <v>SG</v>
      </c>
      <c r="I705" s="163">
        <f>IFERROR(__xludf.DUMMYFUNCTION("""COMPUTED_VALUE"""),27.0)</f>
        <v>27</v>
      </c>
      <c r="J705" s="165">
        <f>IFERROR(__xludf.DUMMYFUNCTION("""COMPUTED_VALUE"""),-1.13128965203933)</f>
        <v>-1.131289652</v>
      </c>
      <c r="K705" s="165">
        <f>IFERROR(__xludf.DUMMYFUNCTION("""COMPUTED_VALUE"""),0.0118874032680085)</f>
        <v>0.01188740327</v>
      </c>
      <c r="L705" s="165">
        <f>IFERROR(__xludf.DUMMYFUNCTION("""COMPUTED_VALUE"""),-1.14317705530733)</f>
        <v>-1.143177055</v>
      </c>
      <c r="M705" s="166">
        <f t="shared" si="2"/>
        <v>1.141111763</v>
      </c>
      <c r="N705" s="167">
        <f t="shared" si="3"/>
        <v>24.37286111</v>
      </c>
      <c r="O705" s="163">
        <f t="shared" ref="O705:Q705" si="709">rank(I705,I:I)</f>
        <v>1366</v>
      </c>
      <c r="P705" s="163">
        <f t="shared" si="709"/>
        <v>2662</v>
      </c>
      <c r="Q705" s="163">
        <f t="shared" si="709"/>
        <v>1182</v>
      </c>
      <c r="R705" s="163">
        <f>IFERROR(__xludf.DUMMYFUNCTION("RANK(M705,filter(M:M,C:C=C705))"),223.0)</f>
        <v>223</v>
      </c>
      <c r="S705" s="161" t="b">
        <f t="shared" si="5"/>
        <v>0</v>
      </c>
      <c r="T705" s="161" t="b">
        <f t="array" ref="T705">index('Query Tool'!B:B,match(H705,'Query Tool'!C:C,0))</f>
        <v>1</v>
      </c>
      <c r="U705" s="161" t="b">
        <f t="array" ref="U705">index('Query Tool'!B:B,match(C705,'Query Tool'!C:C,0))</f>
        <v>0</v>
      </c>
      <c r="V705" s="161" t="b">
        <f>F705&gt;='Query Tool'!C$32</f>
        <v>1</v>
      </c>
      <c r="W705" s="161" t="b">
        <f t="array" ref="W705">index(Dropdowns!B:B,match(I705,Dropdowns!A:A,0))</f>
        <v>1</v>
      </c>
      <c r="X705" s="161" t="b">
        <f t="array" ref="X705">index('Query Tool'!B:B,match(D705,'Query Tool'!C:C,0))</f>
        <v>1</v>
      </c>
      <c r="Y705" s="161" t="str">
        <f t="shared" si="6"/>
        <v>meeksjo01,2014-15</v>
      </c>
      <c r="Z705" s="168">
        <f t="array" ref="Z705">iferror(index(I:I,match($A705&amp;","&amp;index('Year Conversion'!$A:$A,match($C705,'Year Conversion'!$B:$B,0)),$Y:$Y,0))-I705,"")</f>
        <v>1</v>
      </c>
      <c r="AA705" s="168">
        <f t="array" ref="AA705">iferror(index(J:J,match($A705&amp;","&amp;index('Year Conversion'!$A:$A,match($C705,'Year Conversion'!$B:$B,0)),$Y:$Y,0))-J705,"")</f>
        <v>0.9778708741</v>
      </c>
      <c r="AB705" s="168">
        <f t="array" ref="AB705">iferror(index(K:K,match($A705&amp;","&amp;index('Year Conversion'!$A:$A,match($C705,'Year Conversion'!$B:$B,0)),$Y:$Y,0))-K705,"")</f>
        <v>-0.2407624615</v>
      </c>
      <c r="AC705" s="168" t="str">
        <f t="shared" si="7"/>
        <v>DET,2014-15</v>
      </c>
    </row>
    <row r="706">
      <c r="A706" s="161" t="str">
        <f>IFERROR(__xludf.DUMMYFUNCTION("""COMPUTED_VALUE"""),"beverpa01")</f>
        <v>beverpa01</v>
      </c>
      <c r="B706" s="161" t="str">
        <f>IFERROR(__xludf.DUMMYFUNCTION("""COMPUTED_VALUE"""),"Patrick Beverley")</f>
        <v>Patrick Beverley</v>
      </c>
      <c r="C706" s="162" t="str">
        <f>IFERROR(__xludf.DUMMYFUNCTION("""COMPUTED_VALUE"""),"2014-15")</f>
        <v>2014-15</v>
      </c>
      <c r="D706" s="163" t="str">
        <f>IFERROR(__xludf.DUMMYFUNCTION("""COMPUTED_VALUE"""),"HOU")</f>
        <v>HOU</v>
      </c>
      <c r="E706" s="164" t="str">
        <f>IFERROR(__xludf.DUMMYFUNCTION("""COMPUTED_VALUE"""),"Primary Ball Handler")</f>
        <v>Primary Ball Handler</v>
      </c>
      <c r="F706" s="164">
        <f>IFERROR(__xludf.DUMMYFUNCTION("""COMPUTED_VALUE"""),1726.67833333333)</f>
        <v>1726.678333</v>
      </c>
      <c r="G706" s="163">
        <f>IFERROR(__xludf.DUMMYFUNCTION("""COMPUTED_VALUE"""),56.0)</f>
        <v>56</v>
      </c>
      <c r="H706" s="163" t="str">
        <f>IFERROR(__xludf.DUMMYFUNCTION("""COMPUTED_VALUE"""),"PG")</f>
        <v>PG</v>
      </c>
      <c r="I706" s="163">
        <f>IFERROR(__xludf.DUMMYFUNCTION("""COMPUTED_VALUE"""),26.0)</f>
        <v>26</v>
      </c>
      <c r="J706" s="165">
        <f>IFERROR(__xludf.DUMMYFUNCTION("""COMPUTED_VALUE"""),-0.370580886263133)</f>
        <v>-0.3705808863</v>
      </c>
      <c r="K706" s="165">
        <f>IFERROR(__xludf.DUMMYFUNCTION("""COMPUTED_VALUE"""),-0.0666195295785321)</f>
        <v>-0.06661952958</v>
      </c>
      <c r="L706" s="165">
        <f>IFERROR(__xludf.DUMMYFUNCTION("""COMPUTED_VALUE"""),-0.303961356684601)</f>
        <v>-0.3039613567</v>
      </c>
      <c r="M706" s="166">
        <f t="shared" si="2"/>
        <v>2.230648187</v>
      </c>
      <c r="N706" s="167">
        <f t="shared" si="3"/>
        <v>30.83354167</v>
      </c>
      <c r="O706" s="163">
        <f t="shared" ref="O706:Q706" si="710">rank(I706,I:I)</f>
        <v>1665</v>
      </c>
      <c r="P706" s="163">
        <f t="shared" si="710"/>
        <v>1694</v>
      </c>
      <c r="Q706" s="163">
        <f t="shared" si="710"/>
        <v>1300</v>
      </c>
      <c r="R706" s="163">
        <f>IFERROR(__xludf.DUMMYFUNCTION("RANK(M706,filter(M:M,C:C=C706))"),156.0)</f>
        <v>156</v>
      </c>
      <c r="S706" s="161" t="b">
        <f t="shared" si="5"/>
        <v>0</v>
      </c>
      <c r="T706" s="161" t="b">
        <f t="array" ref="T706">index('Query Tool'!B:B,match(H706,'Query Tool'!C:C,0))</f>
        <v>1</v>
      </c>
      <c r="U706" s="161" t="b">
        <f t="array" ref="U706">index('Query Tool'!B:B,match(C706,'Query Tool'!C:C,0))</f>
        <v>0</v>
      </c>
      <c r="V706" s="161" t="b">
        <f>F706&gt;='Query Tool'!C$32</f>
        <v>1</v>
      </c>
      <c r="W706" s="161" t="b">
        <f t="array" ref="W706">index(Dropdowns!B:B,match(I706,Dropdowns!A:A,0))</f>
        <v>1</v>
      </c>
      <c r="X706" s="161" t="b">
        <f t="array" ref="X706">index('Query Tool'!B:B,match(D706,'Query Tool'!C:C,0))</f>
        <v>1</v>
      </c>
      <c r="Y706" s="161" t="str">
        <f t="shared" si="6"/>
        <v>beverpa01,2014-15</v>
      </c>
      <c r="Z706" s="168">
        <f t="array" ref="Z706">iferror(index(I:I,match($A706&amp;","&amp;index('Year Conversion'!$A:$A,match($C706,'Year Conversion'!$B:$B,0)),$Y:$Y,0))-I706,"")</f>
        <v>1</v>
      </c>
      <c r="AA706" s="168">
        <f t="array" ref="AA706">iferror(index(J:J,match($A706&amp;","&amp;index('Year Conversion'!$A:$A,match($C706,'Year Conversion'!$B:$B,0)),$Y:$Y,0))-J706,"")</f>
        <v>0.7599301396</v>
      </c>
      <c r="AB706" s="168">
        <f t="array" ref="AB706">iferror(index(K:K,match($A706&amp;","&amp;index('Year Conversion'!$A:$A,match($C706,'Year Conversion'!$B:$B,0)),$Y:$Y,0))-K706,"")</f>
        <v>0.7741004814</v>
      </c>
      <c r="AC706" s="168" t="str">
        <f t="shared" si="7"/>
        <v>HOU,2014-15</v>
      </c>
    </row>
    <row r="707">
      <c r="A707" s="161" t="str">
        <f>IFERROR(__xludf.DUMMYFUNCTION("""COMPUTED_VALUE"""),"thornma01")</f>
        <v>thornma01</v>
      </c>
      <c r="B707" s="161" t="str">
        <f>IFERROR(__xludf.DUMMYFUNCTION("""COMPUTED_VALUE"""),"Marcus Thornton")</f>
        <v>Marcus Thornton</v>
      </c>
      <c r="C707" s="162" t="str">
        <f>IFERROR(__xludf.DUMMYFUNCTION("""COMPUTED_VALUE"""),"2014-15")</f>
        <v>2014-15</v>
      </c>
      <c r="D707" s="163" t="str">
        <f>IFERROR(__xludf.DUMMYFUNCTION("""COMPUTED_VALUE"""),"TOT")</f>
        <v>TOT</v>
      </c>
      <c r="E707" s="164" t="str">
        <f>IFERROR(__xludf.DUMMYFUNCTION("""COMPUTED_VALUE"""),"Movement Shooter")</f>
        <v>Movement Shooter</v>
      </c>
      <c r="F707" s="164">
        <f>IFERROR(__xludf.DUMMYFUNCTION("""COMPUTED_VALUE"""),720.591666666666)</f>
        <v>720.5916667</v>
      </c>
      <c r="G707" s="163">
        <f>IFERROR(__xludf.DUMMYFUNCTION("""COMPUTED_VALUE"""),48.0)</f>
        <v>48</v>
      </c>
      <c r="H707" s="163" t="str">
        <f>IFERROR(__xludf.DUMMYFUNCTION("""COMPUTED_VALUE"""),"SG")</f>
        <v>SG</v>
      </c>
      <c r="I707" s="163">
        <f>IFERROR(__xludf.DUMMYFUNCTION("""COMPUTED_VALUE"""),27.0)</f>
        <v>27</v>
      </c>
      <c r="J707" s="165">
        <f>IFERROR(__xludf.DUMMYFUNCTION("""COMPUTED_VALUE"""),-0.468813553595346)</f>
        <v>-0.4688135536</v>
      </c>
      <c r="K707" s="165">
        <f>IFERROR(__xludf.DUMMYFUNCTION("""COMPUTED_VALUE"""),0.352930658568036)</f>
        <v>0.3529306586</v>
      </c>
      <c r="L707" s="165">
        <f>IFERROR(__xludf.DUMMYFUNCTION("""COMPUTED_VALUE"""),-0.821744212163382)</f>
        <v>-0.8217442122</v>
      </c>
      <c r="M707" s="166">
        <f t="shared" si="2"/>
        <v>0.8832247464</v>
      </c>
      <c r="N707" s="167">
        <f t="shared" si="3"/>
        <v>15.01232639</v>
      </c>
      <c r="O707" s="163">
        <f t="shared" ref="O707:Q707" si="711">rank(I707,I:I)</f>
        <v>1366</v>
      </c>
      <c r="P707" s="163">
        <f t="shared" si="711"/>
        <v>1807</v>
      </c>
      <c r="Q707" s="163">
        <f t="shared" si="711"/>
        <v>866</v>
      </c>
      <c r="R707" s="163">
        <f>IFERROR(__xludf.DUMMYFUNCTION("RANK(M707,filter(M:M,C:C=C707))"),243.0)</f>
        <v>243</v>
      </c>
      <c r="S707" s="161" t="b">
        <f t="shared" si="5"/>
        <v>0</v>
      </c>
      <c r="T707" s="161" t="b">
        <f t="array" ref="T707">index('Query Tool'!B:B,match(H707,'Query Tool'!C:C,0))</f>
        <v>1</v>
      </c>
      <c r="U707" s="161" t="b">
        <f t="array" ref="U707">index('Query Tool'!B:B,match(C707,'Query Tool'!C:C,0))</f>
        <v>0</v>
      </c>
      <c r="V707" s="161" t="b">
        <f>F707&gt;='Query Tool'!C$32</f>
        <v>1</v>
      </c>
      <c r="W707" s="161" t="b">
        <f t="array" ref="W707">index(Dropdowns!B:B,match(I707,Dropdowns!A:A,0))</f>
        <v>1</v>
      </c>
      <c r="X707" s="161" t="b">
        <f t="array" ref="X707">index('Query Tool'!B:B,match(D707,'Query Tool'!C:C,0))</f>
        <v>1</v>
      </c>
      <c r="Y707" s="161" t="str">
        <f t="shared" si="6"/>
        <v>thornma01,2014-15</v>
      </c>
      <c r="Z707" s="168">
        <f t="array" ref="Z707">iferror(index(I:I,match($A707&amp;","&amp;index('Year Conversion'!$A:$A,match($C707,'Year Conversion'!$B:$B,0)),$Y:$Y,0))-I707,"")</f>
        <v>1</v>
      </c>
      <c r="AA707" s="168">
        <f t="array" ref="AA707">iferror(index(J:J,match($A707&amp;","&amp;index('Year Conversion'!$A:$A,match($C707,'Year Conversion'!$B:$B,0)),$Y:$Y,0))-J707,"")</f>
        <v>-0.9875060231</v>
      </c>
      <c r="AB707" s="168">
        <f t="array" ref="AB707">iferror(index(K:K,match($A707&amp;","&amp;index('Year Conversion'!$A:$A,match($C707,'Year Conversion'!$B:$B,0)),$Y:$Y,0))-K707,"")</f>
        <v>0.3444192123</v>
      </c>
      <c r="AC707" s="168" t="str">
        <f t="shared" si="7"/>
        <v>TOT,2014-15</v>
      </c>
    </row>
    <row r="708">
      <c r="A708" s="161" t="str">
        <f>IFERROR(__xludf.DUMMYFUNCTION("""COMPUTED_VALUE"""),"budinch01")</f>
        <v>budinch01</v>
      </c>
      <c r="B708" s="161" t="str">
        <f>IFERROR(__xludf.DUMMYFUNCTION("""COMPUTED_VALUE"""),"Chase Budinger")</f>
        <v>Chase Budinger</v>
      </c>
      <c r="C708" s="162" t="str">
        <f>IFERROR(__xludf.DUMMYFUNCTION("""COMPUTED_VALUE"""),"2014-15")</f>
        <v>2014-15</v>
      </c>
      <c r="D708" s="163" t="str">
        <f>IFERROR(__xludf.DUMMYFUNCTION("""COMPUTED_VALUE"""),"MIN")</f>
        <v>MIN</v>
      </c>
      <c r="E708" s="164" t="str">
        <f>IFERROR(__xludf.DUMMYFUNCTION("""COMPUTED_VALUE"""),"Off Screen Shooter")</f>
        <v>Off Screen Shooter</v>
      </c>
      <c r="F708" s="164">
        <f>IFERROR(__xludf.DUMMYFUNCTION("""COMPUTED_VALUE"""),1285.88)</f>
        <v>1285.88</v>
      </c>
      <c r="G708" s="163">
        <f>IFERROR(__xludf.DUMMYFUNCTION("""COMPUTED_VALUE"""),67.0)</f>
        <v>67</v>
      </c>
      <c r="H708" s="163" t="str">
        <f>IFERROR(__xludf.DUMMYFUNCTION("""COMPUTED_VALUE"""),"SF")</f>
        <v>SF</v>
      </c>
      <c r="I708" s="163">
        <f>IFERROR(__xludf.DUMMYFUNCTION("""COMPUTED_VALUE"""),26.0)</f>
        <v>26</v>
      </c>
      <c r="J708" s="165">
        <f>IFERROR(__xludf.DUMMYFUNCTION("""COMPUTED_VALUE"""),-1.7466273987448)</f>
        <v>-1.746627399</v>
      </c>
      <c r="K708" s="165">
        <f>IFERROR(__xludf.DUMMYFUNCTION("""COMPUTED_VALUE"""),-0.654500803028354)</f>
        <v>-0.654500803</v>
      </c>
      <c r="L708" s="165">
        <f>IFERROR(__xludf.DUMMYFUNCTION("""COMPUTED_VALUE"""),-1.09212659571644)</f>
        <v>-1.092126596</v>
      </c>
      <c r="M708" s="166">
        <f t="shared" si="2"/>
        <v>0.4745842851</v>
      </c>
      <c r="N708" s="167">
        <f t="shared" si="3"/>
        <v>19.19223881</v>
      </c>
      <c r="O708" s="163">
        <f t="shared" ref="O708:Q708" si="712">rank(I708,I:I)</f>
        <v>1665</v>
      </c>
      <c r="P708" s="163">
        <f t="shared" si="712"/>
        <v>3290</v>
      </c>
      <c r="Q708" s="163">
        <f t="shared" si="712"/>
        <v>2338</v>
      </c>
      <c r="R708" s="163">
        <f>IFERROR(__xludf.DUMMYFUNCTION("RANK(M708,filter(M:M,C:C=C708))"),287.0)</f>
        <v>287</v>
      </c>
      <c r="S708" s="161" t="b">
        <f t="shared" si="5"/>
        <v>0</v>
      </c>
      <c r="T708" s="161" t="b">
        <f t="array" ref="T708">index('Query Tool'!B:B,match(H708,'Query Tool'!C:C,0))</f>
        <v>1</v>
      </c>
      <c r="U708" s="161" t="b">
        <f t="array" ref="U708">index('Query Tool'!B:B,match(C708,'Query Tool'!C:C,0))</f>
        <v>0</v>
      </c>
      <c r="V708" s="161" t="b">
        <f>F708&gt;='Query Tool'!C$32</f>
        <v>1</v>
      </c>
      <c r="W708" s="161" t="b">
        <f t="array" ref="W708">index(Dropdowns!B:B,match(I708,Dropdowns!A:A,0))</f>
        <v>1</v>
      </c>
      <c r="X708" s="161" t="b">
        <f t="array" ref="X708">index('Query Tool'!B:B,match(D708,'Query Tool'!C:C,0))</f>
        <v>1</v>
      </c>
      <c r="Y708" s="161" t="str">
        <f t="shared" si="6"/>
        <v>budinch01,2014-15</v>
      </c>
      <c r="Z708" s="168">
        <f t="array" ref="Z708">iferror(index(I:I,match($A708&amp;","&amp;index('Year Conversion'!$A:$A,match($C708,'Year Conversion'!$B:$B,0)),$Y:$Y,0))-I708,"")</f>
        <v>1</v>
      </c>
      <c r="AA708" s="168">
        <f t="array" ref="AA708">iferror(index(J:J,match($A708&amp;","&amp;index('Year Conversion'!$A:$A,match($C708,'Year Conversion'!$B:$B,0)),$Y:$Y,0))-J708,"")</f>
        <v>1.390647649</v>
      </c>
      <c r="AB708" s="168">
        <f t="array" ref="AB708">iferror(index(K:K,match($A708&amp;","&amp;index('Year Conversion'!$A:$A,match($C708,'Year Conversion'!$B:$B,0)),$Y:$Y,0))-K708,"")</f>
        <v>0.4443567984</v>
      </c>
      <c r="AC708" s="168" t="str">
        <f t="shared" si="7"/>
        <v>MIN,2014-15</v>
      </c>
    </row>
    <row r="709">
      <c r="A709" s="161" t="str">
        <f>IFERROR(__xludf.DUMMYFUNCTION("""COMPUTED_VALUE"""),"calatni01")</f>
        <v>calatni01</v>
      </c>
      <c r="B709" s="161" t="str">
        <f>IFERROR(__xludf.DUMMYFUNCTION("""COMPUTED_VALUE"""),"Nick Calathes")</f>
        <v>Nick Calathes</v>
      </c>
      <c r="C709" s="162" t="str">
        <f>IFERROR(__xludf.DUMMYFUNCTION("""COMPUTED_VALUE"""),"2014-15")</f>
        <v>2014-15</v>
      </c>
      <c r="D709" s="163" t="str">
        <f>IFERROR(__xludf.DUMMYFUNCTION("""COMPUTED_VALUE"""),"MEM")</f>
        <v>MEM</v>
      </c>
      <c r="E709" s="164" t="str">
        <f>IFERROR(__xludf.DUMMYFUNCTION("""COMPUTED_VALUE"""),"Secondary Ball Handler")</f>
        <v>Secondary Ball Handler</v>
      </c>
      <c r="F709" s="164">
        <f>IFERROR(__xludf.DUMMYFUNCTION("""COMPUTED_VALUE"""),837.936666666667)</f>
        <v>837.9366667</v>
      </c>
      <c r="G709" s="163">
        <f>IFERROR(__xludf.DUMMYFUNCTION("""COMPUTED_VALUE"""),58.0)</f>
        <v>58</v>
      </c>
      <c r="H709" s="163" t="str">
        <f>IFERROR(__xludf.DUMMYFUNCTION("""COMPUTED_VALUE"""),"SG")</f>
        <v>SG</v>
      </c>
      <c r="I709" s="163">
        <f>IFERROR(__xludf.DUMMYFUNCTION("""COMPUTED_VALUE"""),25.0)</f>
        <v>25</v>
      </c>
      <c r="J709" s="165">
        <f>IFERROR(__xludf.DUMMYFUNCTION("""COMPUTED_VALUE"""),0.97234323379794)</f>
        <v>0.9723432338</v>
      </c>
      <c r="K709" s="165">
        <f>IFERROR(__xludf.DUMMYFUNCTION("""COMPUTED_VALUE"""),-0.558133761604634)</f>
        <v>-0.5581337616</v>
      </c>
      <c r="L709" s="165">
        <f>IFERROR(__xludf.DUMMYFUNCTION("""COMPUTED_VALUE"""),1.53047699540257)</f>
        <v>1.530476995</v>
      </c>
      <c r="M709" s="166">
        <f t="shared" si="2"/>
        <v>1.840402978</v>
      </c>
      <c r="N709" s="167">
        <f t="shared" si="3"/>
        <v>14.44718391</v>
      </c>
      <c r="O709" s="163">
        <f t="shared" ref="O709:Q709" si="713">rank(I709,I:I)</f>
        <v>1995</v>
      </c>
      <c r="P709" s="163">
        <f t="shared" si="713"/>
        <v>668</v>
      </c>
      <c r="Q709" s="163">
        <f t="shared" si="713"/>
        <v>2199</v>
      </c>
      <c r="R709" s="163">
        <f>IFERROR(__xludf.DUMMYFUNCTION("RANK(M709,filter(M:M,C:C=C709))"),174.0)</f>
        <v>174</v>
      </c>
      <c r="S709" s="161" t="b">
        <f t="shared" si="5"/>
        <v>0</v>
      </c>
      <c r="T709" s="161" t="b">
        <f t="array" ref="T709">index('Query Tool'!B:B,match(H709,'Query Tool'!C:C,0))</f>
        <v>1</v>
      </c>
      <c r="U709" s="161" t="b">
        <f t="array" ref="U709">index('Query Tool'!B:B,match(C709,'Query Tool'!C:C,0))</f>
        <v>0</v>
      </c>
      <c r="V709" s="161" t="b">
        <f>F709&gt;='Query Tool'!C$32</f>
        <v>1</v>
      </c>
      <c r="W709" s="161" t="b">
        <f t="array" ref="W709">index(Dropdowns!B:B,match(I709,Dropdowns!A:A,0))</f>
        <v>1</v>
      </c>
      <c r="X709" s="161" t="b">
        <f t="array" ref="X709">index('Query Tool'!B:B,match(D709,'Query Tool'!C:C,0))</f>
        <v>1</v>
      </c>
      <c r="Y709" s="161" t="str">
        <f t="shared" si="6"/>
        <v>calatni01,2014-15</v>
      </c>
      <c r="Z709" s="168" t="str">
        <f t="array" ref="Z709">iferror(index(I:I,match($A709&amp;","&amp;index('Year Conversion'!$A:$A,match($C709,'Year Conversion'!$B:$B,0)),$Y:$Y,0))-I709,"")</f>
        <v/>
      </c>
      <c r="AA709" s="168" t="str">
        <f t="array" ref="AA709">iferror(index(J:J,match($A709&amp;","&amp;index('Year Conversion'!$A:$A,match($C709,'Year Conversion'!$B:$B,0)),$Y:$Y,0))-J709,"")</f>
        <v/>
      </c>
      <c r="AB709" s="168" t="str">
        <f t="array" ref="AB709">iferror(index(K:K,match($A709&amp;","&amp;index('Year Conversion'!$A:$A,match($C709,'Year Conversion'!$B:$B,0)),$Y:$Y,0))-K709,"")</f>
        <v/>
      </c>
      <c r="AC709" s="168" t="str">
        <f t="shared" si="7"/>
        <v>MEM,2014-15</v>
      </c>
    </row>
    <row r="710">
      <c r="A710" s="161" t="str">
        <f>IFERROR(__xludf.DUMMYFUNCTION("""COMPUTED_VALUE"""),"greenda02")</f>
        <v>greenda02</v>
      </c>
      <c r="B710" s="161" t="str">
        <f>IFERROR(__xludf.DUMMYFUNCTION("""COMPUTED_VALUE"""),"Danny Green")</f>
        <v>Danny Green</v>
      </c>
      <c r="C710" s="162" t="str">
        <f>IFERROR(__xludf.DUMMYFUNCTION("""COMPUTED_VALUE"""),"2014-15")</f>
        <v>2014-15</v>
      </c>
      <c r="D710" s="163" t="str">
        <f>IFERROR(__xludf.DUMMYFUNCTION("""COMPUTED_VALUE"""),"SAS")</f>
        <v>SAS</v>
      </c>
      <c r="E710" s="164" t="str">
        <f>IFERROR(__xludf.DUMMYFUNCTION("""COMPUTED_VALUE"""),"Movement Shooter")</f>
        <v>Movement Shooter</v>
      </c>
      <c r="F710" s="164">
        <f>IFERROR(__xludf.DUMMYFUNCTION("""COMPUTED_VALUE"""),2311.48833333333)</f>
        <v>2311.488333</v>
      </c>
      <c r="G710" s="163">
        <f>IFERROR(__xludf.DUMMYFUNCTION("""COMPUTED_VALUE"""),81.0)</f>
        <v>81</v>
      </c>
      <c r="H710" s="163" t="str">
        <f>IFERROR(__xludf.DUMMYFUNCTION("""COMPUTED_VALUE"""),"SG")</f>
        <v>SG</v>
      </c>
      <c r="I710" s="163">
        <f>IFERROR(__xludf.DUMMYFUNCTION("""COMPUTED_VALUE"""),27.0)</f>
        <v>27</v>
      </c>
      <c r="J710" s="165">
        <f>IFERROR(__xludf.DUMMYFUNCTION("""COMPUTED_VALUE"""),3.43049881885195)</f>
        <v>3.430498819</v>
      </c>
      <c r="K710" s="165">
        <f>IFERROR(__xludf.DUMMYFUNCTION("""COMPUTED_VALUE"""),1.63821807057664)</f>
        <v>1.638218071</v>
      </c>
      <c r="L710" s="165">
        <f>IFERROR(__xludf.DUMMYFUNCTION("""COMPUTED_VALUE"""),1.7922807482753)</f>
        <v>1.792280748</v>
      </c>
      <c r="M710" s="166">
        <f t="shared" si="2"/>
        <v>8.823850339</v>
      </c>
      <c r="N710" s="167">
        <f t="shared" si="3"/>
        <v>28.536893</v>
      </c>
      <c r="O710" s="163">
        <f t="shared" ref="O710:Q710" si="714">rank(I710,I:I)</f>
        <v>1366</v>
      </c>
      <c r="P710" s="163">
        <f t="shared" si="714"/>
        <v>134</v>
      </c>
      <c r="Q710" s="163">
        <f t="shared" si="714"/>
        <v>284</v>
      </c>
      <c r="R710" s="163">
        <f>IFERROR(__xludf.DUMMYFUNCTION("RANK(M710,filter(M:M,C:C=C710))"),20.0)</f>
        <v>20</v>
      </c>
      <c r="S710" s="161" t="b">
        <f t="shared" si="5"/>
        <v>0</v>
      </c>
      <c r="T710" s="161" t="b">
        <f t="array" ref="T710">index('Query Tool'!B:B,match(H710,'Query Tool'!C:C,0))</f>
        <v>1</v>
      </c>
      <c r="U710" s="161" t="b">
        <f t="array" ref="U710">index('Query Tool'!B:B,match(C710,'Query Tool'!C:C,0))</f>
        <v>0</v>
      </c>
      <c r="V710" s="161" t="b">
        <f>F710&gt;='Query Tool'!C$32</f>
        <v>1</v>
      </c>
      <c r="W710" s="161" t="b">
        <f t="array" ref="W710">index(Dropdowns!B:B,match(I710,Dropdowns!A:A,0))</f>
        <v>1</v>
      </c>
      <c r="X710" s="161" t="b">
        <f t="array" ref="X710">index('Query Tool'!B:B,match(D710,'Query Tool'!C:C,0))</f>
        <v>1</v>
      </c>
      <c r="Y710" s="161" t="str">
        <f t="shared" si="6"/>
        <v>greenda02,2014-15</v>
      </c>
      <c r="Z710" s="168">
        <f t="array" ref="Z710">iferror(index(I:I,match($A710&amp;","&amp;index('Year Conversion'!$A:$A,match($C710,'Year Conversion'!$B:$B,0)),$Y:$Y,0))-I710,"")</f>
        <v>1</v>
      </c>
      <c r="AA710" s="168">
        <f t="array" ref="AA710">iferror(index(J:J,match($A710&amp;","&amp;index('Year Conversion'!$A:$A,match($C710,'Year Conversion'!$B:$B,0)),$Y:$Y,0))-J710,"")</f>
        <v>-1.234039864</v>
      </c>
      <c r="AB710" s="168">
        <f t="array" ref="AB710">iferror(index(K:K,match($A710&amp;","&amp;index('Year Conversion'!$A:$A,match($C710,'Year Conversion'!$B:$B,0)),$Y:$Y,0))-K710,"")</f>
        <v>-1.54846445</v>
      </c>
      <c r="AC710" s="168" t="str">
        <f t="shared" si="7"/>
        <v>SAS,2014-15</v>
      </c>
    </row>
    <row r="711">
      <c r="A711" s="161" t="str">
        <f>IFERROR(__xludf.DUMMYFUNCTION("""COMPUTED_VALUE"""),"priceaj01")</f>
        <v>priceaj01</v>
      </c>
      <c r="B711" s="161" t="str">
        <f>IFERROR(__xludf.DUMMYFUNCTION("""COMPUTED_VALUE"""),"AJ Price")</f>
        <v>AJ Price</v>
      </c>
      <c r="C711" s="162" t="str">
        <f>IFERROR(__xludf.DUMMYFUNCTION("""COMPUTED_VALUE"""),"2014-15")</f>
        <v>2014-15</v>
      </c>
      <c r="D711" s="163" t="str">
        <f>IFERROR(__xludf.DUMMYFUNCTION("""COMPUTED_VALUE"""),"TOT")</f>
        <v>TOT</v>
      </c>
      <c r="E711" s="164" t="str">
        <f>IFERROR(__xludf.DUMMYFUNCTION("""COMPUTED_VALUE"""),"Secondary Ball Handler")</f>
        <v>Secondary Ball Handler</v>
      </c>
      <c r="F711" s="164">
        <f>IFERROR(__xludf.DUMMYFUNCTION("""COMPUTED_VALUE"""),323.49)</f>
        <v>323.49</v>
      </c>
      <c r="G711" s="163">
        <f>IFERROR(__xludf.DUMMYFUNCTION("""COMPUTED_VALUE"""),26.0)</f>
        <v>26</v>
      </c>
      <c r="H711" s="163" t="str">
        <f>IFERROR(__xludf.DUMMYFUNCTION("""COMPUTED_VALUE"""),"PG")</f>
        <v>PG</v>
      </c>
      <c r="I711" s="163">
        <f>IFERROR(__xludf.DUMMYFUNCTION("""COMPUTED_VALUE"""),28.0)</f>
        <v>28</v>
      </c>
      <c r="J711" s="165">
        <f>IFERROR(__xludf.DUMMYFUNCTION("""COMPUTED_VALUE"""),-0.659607268158596)</f>
        <v>-0.6596072682</v>
      </c>
      <c r="K711" s="165">
        <f>IFERROR(__xludf.DUMMYFUNCTION("""COMPUTED_VALUE"""),0.287213595215627)</f>
        <v>0.2872135952</v>
      </c>
      <c r="L711" s="165">
        <f>IFERROR(__xludf.DUMMYFUNCTION("""COMPUTED_VALUE"""),-0.946820863374223)</f>
        <v>-0.9468208634</v>
      </c>
      <c r="M711" s="166">
        <f t="shared" si="2"/>
        <v>0.3549444693</v>
      </c>
      <c r="N711" s="167">
        <f t="shared" si="3"/>
        <v>12.44192308</v>
      </c>
      <c r="O711" s="163">
        <f t="shared" ref="O711:Q711" si="715">rank(I711,I:I)</f>
        <v>1090</v>
      </c>
      <c r="P711" s="163">
        <f t="shared" si="715"/>
        <v>2077</v>
      </c>
      <c r="Q711" s="163">
        <f t="shared" si="715"/>
        <v>920</v>
      </c>
      <c r="R711" s="163">
        <f>IFERROR(__xludf.DUMMYFUNCTION("RANK(M711,filter(M:M,C:C=C711))"),302.0)</f>
        <v>302</v>
      </c>
      <c r="S711" s="161" t="b">
        <f t="shared" si="5"/>
        <v>0</v>
      </c>
      <c r="T711" s="161" t="b">
        <f t="array" ref="T711">index('Query Tool'!B:B,match(H711,'Query Tool'!C:C,0))</f>
        <v>1</v>
      </c>
      <c r="U711" s="161" t="b">
        <f t="array" ref="U711">index('Query Tool'!B:B,match(C711,'Query Tool'!C:C,0))</f>
        <v>0</v>
      </c>
      <c r="V711" s="161" t="b">
        <f>F711&gt;='Query Tool'!C$32</f>
        <v>0</v>
      </c>
      <c r="W711" s="161" t="b">
        <f t="array" ref="W711">index(Dropdowns!B:B,match(I711,Dropdowns!A:A,0))</f>
        <v>1</v>
      </c>
      <c r="X711" s="161" t="b">
        <f t="array" ref="X711">index('Query Tool'!B:B,match(D711,'Query Tool'!C:C,0))</f>
        <v>1</v>
      </c>
      <c r="Y711" s="161" t="str">
        <f t="shared" si="6"/>
        <v>priceaj01,2014-15</v>
      </c>
      <c r="Z711" s="168" t="str">
        <f t="array" ref="Z711">iferror(index(I:I,match($A711&amp;","&amp;index('Year Conversion'!$A:$A,match($C711,'Year Conversion'!$B:$B,0)),$Y:$Y,0))-I711,"")</f>
        <v/>
      </c>
      <c r="AA711" s="168" t="str">
        <f t="array" ref="AA711">iferror(index(J:J,match($A711&amp;","&amp;index('Year Conversion'!$A:$A,match($C711,'Year Conversion'!$B:$B,0)),$Y:$Y,0))-J711,"")</f>
        <v/>
      </c>
      <c r="AB711" s="168" t="str">
        <f t="array" ref="AB711">iferror(index(K:K,match($A711&amp;","&amp;index('Year Conversion'!$A:$A,match($C711,'Year Conversion'!$B:$B,0)),$Y:$Y,0))-K711,"")</f>
        <v/>
      </c>
      <c r="AC711" s="168" t="str">
        <f t="shared" si="7"/>
        <v>TOT,2014-15</v>
      </c>
    </row>
    <row r="712">
      <c r="A712" s="161" t="str">
        <f>IFERROR(__xludf.DUMMYFUNCTION("""COMPUTED_VALUE"""),"millspa02")</f>
        <v>millspa02</v>
      </c>
      <c r="B712" s="161" t="str">
        <f>IFERROR(__xludf.DUMMYFUNCTION("""COMPUTED_VALUE"""),"Patty Mills")</f>
        <v>Patty Mills</v>
      </c>
      <c r="C712" s="162" t="str">
        <f>IFERROR(__xludf.DUMMYFUNCTION("""COMPUTED_VALUE"""),"2014-15")</f>
        <v>2014-15</v>
      </c>
      <c r="D712" s="163" t="str">
        <f>IFERROR(__xludf.DUMMYFUNCTION("""COMPUTED_VALUE"""),"SAS")</f>
        <v>SAS</v>
      </c>
      <c r="E712" s="164" t="str">
        <f>IFERROR(__xludf.DUMMYFUNCTION("""COMPUTED_VALUE"""),"Secondary Ball Handler")</f>
        <v>Secondary Ball Handler</v>
      </c>
      <c r="F712" s="164">
        <f>IFERROR(__xludf.DUMMYFUNCTION("""COMPUTED_VALUE"""),801.33)</f>
        <v>801.33</v>
      </c>
      <c r="G712" s="163">
        <f>IFERROR(__xludf.DUMMYFUNCTION("""COMPUTED_VALUE"""),51.0)</f>
        <v>51</v>
      </c>
      <c r="H712" s="163" t="str">
        <f>IFERROR(__xludf.DUMMYFUNCTION("""COMPUTED_VALUE"""),"PG")</f>
        <v>PG</v>
      </c>
      <c r="I712" s="163">
        <f>IFERROR(__xludf.DUMMYFUNCTION("""COMPUTED_VALUE"""),26.0)</f>
        <v>26</v>
      </c>
      <c r="J712" s="165">
        <f>IFERROR(__xludf.DUMMYFUNCTION("""COMPUTED_VALUE"""),1.11058103284233)</f>
        <v>1.110581033</v>
      </c>
      <c r="K712" s="165">
        <f>IFERROR(__xludf.DUMMYFUNCTION("""COMPUTED_VALUE"""),1.36143706759384)</f>
        <v>1.361437068</v>
      </c>
      <c r="L712" s="165">
        <f>IFERROR(__xludf.DUMMYFUNCTION("""COMPUTED_VALUE"""),-0.25085603475151)</f>
        <v>-0.2508560348</v>
      </c>
      <c r="M712" s="166">
        <f t="shared" si="2"/>
        <v>1.834347597</v>
      </c>
      <c r="N712" s="167">
        <f t="shared" si="3"/>
        <v>15.71235294</v>
      </c>
      <c r="O712" s="163">
        <f t="shared" ref="O712:Q712" si="716">rank(I712,I:I)</f>
        <v>1665</v>
      </c>
      <c r="P712" s="163">
        <f t="shared" si="716"/>
        <v>613</v>
      </c>
      <c r="Q712" s="163">
        <f t="shared" si="716"/>
        <v>367</v>
      </c>
      <c r="R712" s="163">
        <f>IFERROR(__xludf.DUMMYFUNCTION("RANK(M712,filter(M:M,C:C=C712))"),175.0)</f>
        <v>175</v>
      </c>
      <c r="S712" s="161" t="b">
        <f t="shared" si="5"/>
        <v>0</v>
      </c>
      <c r="T712" s="161" t="b">
        <f t="array" ref="T712">index('Query Tool'!B:B,match(H712,'Query Tool'!C:C,0))</f>
        <v>1</v>
      </c>
      <c r="U712" s="161" t="b">
        <f t="array" ref="U712">index('Query Tool'!B:B,match(C712,'Query Tool'!C:C,0))</f>
        <v>0</v>
      </c>
      <c r="V712" s="161" t="b">
        <f>F712&gt;='Query Tool'!C$32</f>
        <v>1</v>
      </c>
      <c r="W712" s="161" t="b">
        <f t="array" ref="W712">index(Dropdowns!B:B,match(I712,Dropdowns!A:A,0))</f>
        <v>1</v>
      </c>
      <c r="X712" s="161" t="b">
        <f t="array" ref="X712">index('Query Tool'!B:B,match(D712,'Query Tool'!C:C,0))</f>
        <v>1</v>
      </c>
      <c r="Y712" s="161" t="str">
        <f t="shared" si="6"/>
        <v>millspa02,2014-15</v>
      </c>
      <c r="Z712" s="168">
        <f t="array" ref="Z712">iferror(index(I:I,match($A712&amp;","&amp;index('Year Conversion'!$A:$A,match($C712,'Year Conversion'!$B:$B,0)),$Y:$Y,0))-I712,"")</f>
        <v>1</v>
      </c>
      <c r="AA712" s="168">
        <f t="array" ref="AA712">iferror(index(J:J,match($A712&amp;","&amp;index('Year Conversion'!$A:$A,match($C712,'Year Conversion'!$B:$B,0)),$Y:$Y,0))-J712,"")</f>
        <v>0.9944319795</v>
      </c>
      <c r="AB712" s="168">
        <f t="array" ref="AB712">iferror(index(K:K,match($A712&amp;","&amp;index('Year Conversion'!$A:$A,match($C712,'Year Conversion'!$B:$B,0)),$Y:$Y,0))-K712,"")</f>
        <v>0.2224894411</v>
      </c>
      <c r="AC712" s="168" t="str">
        <f t="shared" si="7"/>
        <v>SAS,2014-15</v>
      </c>
    </row>
    <row r="713">
      <c r="A713" s="161" t="str">
        <f>IFERROR(__xludf.DUMMYFUNCTION("""COMPUTED_VALUE"""),"hudsole01")</f>
        <v>hudsole01</v>
      </c>
      <c r="B713" s="161" t="str">
        <f>IFERROR(__xludf.DUMMYFUNCTION("""COMPUTED_VALUE"""),"Lester Hudson")</f>
        <v>Lester Hudson</v>
      </c>
      <c r="C713" s="162" t="str">
        <f>IFERROR(__xludf.DUMMYFUNCTION("""COMPUTED_VALUE"""),"2014-15")</f>
        <v>2014-15</v>
      </c>
      <c r="D713" s="163" t="str">
        <f>IFERROR(__xludf.DUMMYFUNCTION("""COMPUTED_VALUE"""),"LAC")</f>
        <v>LAC</v>
      </c>
      <c r="E713" s="164" t="str">
        <f>IFERROR(__xludf.DUMMYFUNCTION("""COMPUTED_VALUE"""),"Secondary Ball Handler")</f>
        <v>Secondary Ball Handler</v>
      </c>
      <c r="F713" s="164">
        <f>IFERROR(__xludf.DUMMYFUNCTION("""COMPUTED_VALUE"""),55.5533333333333)</f>
        <v>55.55333333</v>
      </c>
      <c r="G713" s="163">
        <f>IFERROR(__xludf.DUMMYFUNCTION("""COMPUTED_VALUE"""),5.0)</f>
        <v>5</v>
      </c>
      <c r="H713" s="163" t="str">
        <f>IFERROR(__xludf.DUMMYFUNCTION("""COMPUTED_VALUE"""),"SG")</f>
        <v>SG</v>
      </c>
      <c r="I713" s="163">
        <f>IFERROR(__xludf.DUMMYFUNCTION("""COMPUTED_VALUE"""),30.0)</f>
        <v>30</v>
      </c>
      <c r="J713" s="165">
        <f>IFERROR(__xludf.DUMMYFUNCTION("""COMPUTED_VALUE"""),-1.48090170752323)</f>
        <v>-1.480901708</v>
      </c>
      <c r="K713" s="165">
        <f>IFERROR(__xludf.DUMMYFUNCTION("""COMPUTED_VALUE"""),-0.911641912662989)</f>
        <v>-0.9116419127</v>
      </c>
      <c r="L713" s="165">
        <f>IFERROR(__xludf.DUMMYFUNCTION("""COMPUTED_VALUE"""),-0.569259794860245)</f>
        <v>-0.5692597949</v>
      </c>
      <c r="M713" s="166">
        <f t="shared" si="2"/>
        <v>0.03034814623</v>
      </c>
      <c r="N713" s="167">
        <f t="shared" si="3"/>
        <v>11.11066667</v>
      </c>
      <c r="O713" s="163">
        <f t="shared" ref="O713:Q713" si="717">rank(I713,I:I)</f>
        <v>655</v>
      </c>
      <c r="P713" s="163">
        <f t="shared" si="717"/>
        <v>3035</v>
      </c>
      <c r="Q713" s="163">
        <f t="shared" si="717"/>
        <v>2704</v>
      </c>
      <c r="R713" s="163">
        <f>IFERROR(__xludf.DUMMYFUNCTION("RANK(M713,filter(M:M,C:C=C713))"),419.0)</f>
        <v>419</v>
      </c>
      <c r="S713" s="161" t="b">
        <f t="shared" si="5"/>
        <v>0</v>
      </c>
      <c r="T713" s="161" t="b">
        <f t="array" ref="T713">index('Query Tool'!B:B,match(H713,'Query Tool'!C:C,0))</f>
        <v>1</v>
      </c>
      <c r="U713" s="161" t="b">
        <f t="array" ref="U713">index('Query Tool'!B:B,match(C713,'Query Tool'!C:C,0))</f>
        <v>0</v>
      </c>
      <c r="V713" s="161" t="b">
        <f>F713&gt;='Query Tool'!C$32</f>
        <v>0</v>
      </c>
      <c r="W713" s="161" t="b">
        <f t="array" ref="W713">index(Dropdowns!B:B,match(I713,Dropdowns!A:A,0))</f>
        <v>1</v>
      </c>
      <c r="X713" s="161" t="b">
        <f t="array" ref="X713">index('Query Tool'!B:B,match(D713,'Query Tool'!C:C,0))</f>
        <v>1</v>
      </c>
      <c r="Y713" s="161" t="str">
        <f t="shared" si="6"/>
        <v>hudsole01,2014-15</v>
      </c>
      <c r="Z713" s="168" t="str">
        <f t="array" ref="Z713">iferror(index(I:I,match($A713&amp;","&amp;index('Year Conversion'!$A:$A,match($C713,'Year Conversion'!$B:$B,0)),$Y:$Y,0))-I713,"")</f>
        <v/>
      </c>
      <c r="AA713" s="168" t="str">
        <f t="array" ref="AA713">iferror(index(J:J,match($A713&amp;","&amp;index('Year Conversion'!$A:$A,match($C713,'Year Conversion'!$B:$B,0)),$Y:$Y,0))-J713,"")</f>
        <v/>
      </c>
      <c r="AB713" s="168" t="str">
        <f t="array" ref="AB713">iferror(index(K:K,match($A713&amp;","&amp;index('Year Conversion'!$A:$A,match($C713,'Year Conversion'!$B:$B,0)),$Y:$Y,0))-K713,"")</f>
        <v/>
      </c>
      <c r="AC713" s="168" t="str">
        <f t="shared" si="7"/>
        <v>LAC,2014-15</v>
      </c>
    </row>
    <row r="714">
      <c r="A714" s="161" t="str">
        <f>IFERROR(__xludf.DUMMYFUNCTION("""COMPUTED_VALUE"""),"templga01")</f>
        <v>templga01</v>
      </c>
      <c r="B714" s="161" t="str">
        <f>IFERROR(__xludf.DUMMYFUNCTION("""COMPUTED_VALUE"""),"Garrett Temple")</f>
        <v>Garrett Temple</v>
      </c>
      <c r="C714" s="162" t="str">
        <f>IFERROR(__xludf.DUMMYFUNCTION("""COMPUTED_VALUE"""),"2014-15")</f>
        <v>2014-15</v>
      </c>
      <c r="D714" s="163" t="str">
        <f>IFERROR(__xludf.DUMMYFUNCTION("""COMPUTED_VALUE"""),"WAS")</f>
        <v>WAS</v>
      </c>
      <c r="E714" s="164" t="str">
        <f>IFERROR(__xludf.DUMMYFUNCTION("""COMPUTED_VALUE"""),"Stationary Shooter")</f>
        <v>Stationary Shooter</v>
      </c>
      <c r="F714" s="164">
        <f>IFERROR(__xludf.DUMMYFUNCTION("""COMPUTED_VALUE"""),735.48)</f>
        <v>735.48</v>
      </c>
      <c r="G714" s="163">
        <f>IFERROR(__xludf.DUMMYFUNCTION("""COMPUTED_VALUE"""),52.0)</f>
        <v>52</v>
      </c>
      <c r="H714" s="163" t="str">
        <f>IFERROR(__xludf.DUMMYFUNCTION("""COMPUTED_VALUE"""),"SG")</f>
        <v>SG</v>
      </c>
      <c r="I714" s="163">
        <f>IFERROR(__xludf.DUMMYFUNCTION("""COMPUTED_VALUE"""),28.0)</f>
        <v>28</v>
      </c>
      <c r="J714" s="165">
        <f>IFERROR(__xludf.DUMMYFUNCTION("""COMPUTED_VALUE"""),-0.729278955819046)</f>
        <v>-0.7292789558</v>
      </c>
      <c r="K714" s="165">
        <f>IFERROR(__xludf.DUMMYFUNCTION("""COMPUTED_VALUE"""),-2.06136051801435)</f>
        <v>-2.061360518</v>
      </c>
      <c r="L714" s="165">
        <f>IFERROR(__xludf.DUMMYFUNCTION("""COMPUTED_VALUE"""),1.33208156219531)</f>
        <v>1.332081562</v>
      </c>
      <c r="M714" s="166">
        <f t="shared" si="2"/>
        <v>0.7725166873</v>
      </c>
      <c r="N714" s="167">
        <f t="shared" si="3"/>
        <v>14.14384615</v>
      </c>
      <c r="O714" s="163">
        <f t="shared" ref="O714:Q714" si="718">rank(I714,I:I)</f>
        <v>1090</v>
      </c>
      <c r="P714" s="163">
        <f t="shared" si="718"/>
        <v>2186</v>
      </c>
      <c r="Q714" s="163">
        <f t="shared" si="718"/>
        <v>3740</v>
      </c>
      <c r="R714" s="163">
        <f>IFERROR(__xludf.DUMMYFUNCTION("RANK(M714,filter(M:M,C:C=C714))"),251.0)</f>
        <v>251</v>
      </c>
      <c r="S714" s="161" t="b">
        <f t="shared" si="5"/>
        <v>0</v>
      </c>
      <c r="T714" s="161" t="b">
        <f t="array" ref="T714">index('Query Tool'!B:B,match(H714,'Query Tool'!C:C,0))</f>
        <v>1</v>
      </c>
      <c r="U714" s="161" t="b">
        <f t="array" ref="U714">index('Query Tool'!B:B,match(C714,'Query Tool'!C:C,0))</f>
        <v>0</v>
      </c>
      <c r="V714" s="161" t="b">
        <f>F714&gt;='Query Tool'!C$32</f>
        <v>1</v>
      </c>
      <c r="W714" s="161" t="b">
        <f t="array" ref="W714">index(Dropdowns!B:B,match(I714,Dropdowns!A:A,0))</f>
        <v>1</v>
      </c>
      <c r="X714" s="161" t="b">
        <f t="array" ref="X714">index('Query Tool'!B:B,match(D714,'Query Tool'!C:C,0))</f>
        <v>1</v>
      </c>
      <c r="Y714" s="161" t="str">
        <f t="shared" si="6"/>
        <v>templga01,2014-15</v>
      </c>
      <c r="Z714" s="168">
        <f t="array" ref="Z714">iferror(index(I:I,match($A714&amp;","&amp;index('Year Conversion'!$A:$A,match($C714,'Year Conversion'!$B:$B,0)),$Y:$Y,0))-I714,"")</f>
        <v>1</v>
      </c>
      <c r="AA714" s="168">
        <f t="array" ref="AA714">iferror(index(J:J,match($A714&amp;","&amp;index('Year Conversion'!$A:$A,match($C714,'Year Conversion'!$B:$B,0)),$Y:$Y,0))-J714,"")</f>
        <v>0.04897185466</v>
      </c>
      <c r="AB714" s="168">
        <f t="array" ref="AB714">iferror(index(K:K,match($A714&amp;","&amp;index('Year Conversion'!$A:$A,match($C714,'Year Conversion'!$B:$B,0)),$Y:$Y,0))-K714,"")</f>
        <v>0.7808167178</v>
      </c>
      <c r="AC714" s="168" t="str">
        <f t="shared" si="7"/>
        <v>WAS,2014-15</v>
      </c>
    </row>
    <row r="715">
      <c r="A715" s="161" t="str">
        <f>IFERROR(__xludf.DUMMYFUNCTION("""COMPUTED_VALUE"""),"mcneaje01")</f>
        <v>mcneaje01</v>
      </c>
      <c r="B715" s="161" t="str">
        <f>IFERROR(__xludf.DUMMYFUNCTION("""COMPUTED_VALUE"""),"Jerel McNeal")</f>
        <v>Jerel McNeal</v>
      </c>
      <c r="C715" s="162" t="str">
        <f>IFERROR(__xludf.DUMMYFUNCTION("""COMPUTED_VALUE"""),"2014-15")</f>
        <v>2014-15</v>
      </c>
      <c r="D715" s="163" t="str">
        <f>IFERROR(__xludf.DUMMYFUNCTION("""COMPUTED_VALUE"""),"PHO")</f>
        <v>PHO</v>
      </c>
      <c r="E715" s="164" t="str">
        <f>IFERROR(__xludf.DUMMYFUNCTION("""COMPUTED_VALUE"""),"Slasher")</f>
        <v>Slasher</v>
      </c>
      <c r="F715" s="164">
        <f>IFERROR(__xludf.DUMMYFUNCTION("""COMPUTED_VALUE"""),36.3333333333334)</f>
        <v>36.33333333</v>
      </c>
      <c r="G715" s="163">
        <f>IFERROR(__xludf.DUMMYFUNCTION("""COMPUTED_VALUE"""),6.0)</f>
        <v>6</v>
      </c>
      <c r="H715" s="163" t="str">
        <f>IFERROR(__xludf.DUMMYFUNCTION("""COMPUTED_VALUE"""),"PG")</f>
        <v>PG</v>
      </c>
      <c r="I715" s="163">
        <f>IFERROR(__xludf.DUMMYFUNCTION("""COMPUTED_VALUE"""),27.0)</f>
        <v>27</v>
      </c>
      <c r="J715" s="165">
        <f>IFERROR(__xludf.DUMMYFUNCTION("""COMPUTED_VALUE"""),-0.30979908049515)</f>
        <v>-0.3097990805</v>
      </c>
      <c r="K715" s="165">
        <f>IFERROR(__xludf.DUMMYFUNCTION("""COMPUTED_VALUE"""),-0.25189124071412)</f>
        <v>-0.2518912407</v>
      </c>
      <c r="L715" s="165">
        <f>IFERROR(__xludf.DUMMYFUNCTION("""COMPUTED_VALUE"""),-0.0579078397810301)</f>
        <v>-0.05790783978</v>
      </c>
      <c r="M715" s="166">
        <f t="shared" si="2"/>
        <v>0.04842619753</v>
      </c>
      <c r="N715" s="167">
        <f t="shared" si="3"/>
        <v>6.055555556</v>
      </c>
      <c r="O715" s="163">
        <f t="shared" ref="O715:Q715" si="719">rank(I715,I:I)</f>
        <v>1366</v>
      </c>
      <c r="P715" s="163">
        <f t="shared" si="719"/>
        <v>1629</v>
      </c>
      <c r="Q715" s="163">
        <f t="shared" si="719"/>
        <v>1668</v>
      </c>
      <c r="R715" s="163">
        <f>IFERROR(__xludf.DUMMYFUNCTION("RANK(M715,filter(M:M,C:C=C715))"),411.0)</f>
        <v>411</v>
      </c>
      <c r="S715" s="161" t="b">
        <f t="shared" si="5"/>
        <v>0</v>
      </c>
      <c r="T715" s="161" t="b">
        <f t="array" ref="T715">index('Query Tool'!B:B,match(H715,'Query Tool'!C:C,0))</f>
        <v>1</v>
      </c>
      <c r="U715" s="161" t="b">
        <f t="array" ref="U715">index('Query Tool'!B:B,match(C715,'Query Tool'!C:C,0))</f>
        <v>0</v>
      </c>
      <c r="V715" s="161" t="b">
        <f>F715&gt;='Query Tool'!C$32</f>
        <v>0</v>
      </c>
      <c r="W715" s="161" t="b">
        <f t="array" ref="W715">index(Dropdowns!B:B,match(I715,Dropdowns!A:A,0))</f>
        <v>1</v>
      </c>
      <c r="X715" s="161" t="b">
        <f t="array" ref="X715">index('Query Tool'!B:B,match(D715,'Query Tool'!C:C,0))</f>
        <v>1</v>
      </c>
      <c r="Y715" s="161" t="str">
        <f t="shared" si="6"/>
        <v>mcneaje01,2014-15</v>
      </c>
      <c r="Z715" s="168" t="str">
        <f t="array" ref="Z715">iferror(index(I:I,match($A715&amp;","&amp;index('Year Conversion'!$A:$A,match($C715,'Year Conversion'!$B:$B,0)),$Y:$Y,0))-I715,"")</f>
        <v/>
      </c>
      <c r="AA715" s="168" t="str">
        <f t="array" ref="AA715">iferror(index(J:J,match($A715&amp;","&amp;index('Year Conversion'!$A:$A,match($C715,'Year Conversion'!$B:$B,0)),$Y:$Y,0))-J715,"")</f>
        <v/>
      </c>
      <c r="AB715" s="168" t="str">
        <f t="array" ref="AB715">iferror(index(K:K,match($A715&amp;","&amp;index('Year Conversion'!$A:$A,match($C715,'Year Conversion'!$B:$B,0)),$Y:$Y,0))-K715,"")</f>
        <v/>
      </c>
      <c r="AC715" s="168" t="str">
        <f t="shared" si="7"/>
        <v>PHO,2014-15</v>
      </c>
    </row>
    <row r="716">
      <c r="A716" s="161" t="str">
        <f>IFERROR(__xludf.DUMMYFUNCTION("""COMPUTED_VALUE"""),"matthwe02")</f>
        <v>matthwe02</v>
      </c>
      <c r="B716" s="161" t="str">
        <f>IFERROR(__xludf.DUMMYFUNCTION("""COMPUTED_VALUE"""),"Wesley Matthews")</f>
        <v>Wesley Matthews</v>
      </c>
      <c r="C716" s="162" t="str">
        <f>IFERROR(__xludf.DUMMYFUNCTION("""COMPUTED_VALUE"""),"2014-15")</f>
        <v>2014-15</v>
      </c>
      <c r="D716" s="163" t="str">
        <f>IFERROR(__xludf.DUMMYFUNCTION("""COMPUTED_VALUE"""),"POR")</f>
        <v>POR</v>
      </c>
      <c r="E716" s="164" t="str">
        <f>IFERROR(__xludf.DUMMYFUNCTION("""COMPUTED_VALUE"""),"Shot Creator")</f>
        <v>Shot Creator</v>
      </c>
      <c r="F716" s="164">
        <f>IFERROR(__xludf.DUMMYFUNCTION("""COMPUTED_VALUE"""),2024.17166666667)</f>
        <v>2024.171667</v>
      </c>
      <c r="G716" s="163">
        <f>IFERROR(__xludf.DUMMYFUNCTION("""COMPUTED_VALUE"""),60.0)</f>
        <v>60</v>
      </c>
      <c r="H716" s="163" t="str">
        <f>IFERROR(__xludf.DUMMYFUNCTION("""COMPUTED_VALUE"""),"SG")</f>
        <v>SG</v>
      </c>
      <c r="I716" s="163">
        <f>IFERROR(__xludf.DUMMYFUNCTION("""COMPUTED_VALUE"""),28.0)</f>
        <v>28</v>
      </c>
      <c r="J716" s="165">
        <f>IFERROR(__xludf.DUMMYFUNCTION("""COMPUTED_VALUE"""),1.69924306591481)</f>
        <v>1.699243066</v>
      </c>
      <c r="K716" s="165">
        <f>IFERROR(__xludf.DUMMYFUNCTION("""COMPUTED_VALUE"""),0.972925512161539)</f>
        <v>0.9729255122</v>
      </c>
      <c r="L716" s="165">
        <f>IFERROR(__xludf.DUMMYFUNCTION("""COMPUTED_VALUE"""),0.726317553753276)</f>
        <v>0.7263175538</v>
      </c>
      <c r="M716" s="166">
        <f t="shared" si="2"/>
        <v>5.430257006</v>
      </c>
      <c r="N716" s="167">
        <f t="shared" si="3"/>
        <v>33.73619444</v>
      </c>
      <c r="O716" s="163">
        <f t="shared" ref="O716:Q716" si="720">rank(I716,I:I)</f>
        <v>1090</v>
      </c>
      <c r="P716" s="163">
        <f t="shared" si="720"/>
        <v>396</v>
      </c>
      <c r="Q716" s="163">
        <f t="shared" si="720"/>
        <v>515</v>
      </c>
      <c r="R716" s="163">
        <f>IFERROR(__xludf.DUMMYFUNCTION("RANK(M716,filter(M:M,C:C=C716))"),52.0)</f>
        <v>52</v>
      </c>
      <c r="S716" s="161" t="b">
        <f t="shared" si="5"/>
        <v>0</v>
      </c>
      <c r="T716" s="161" t="b">
        <f t="array" ref="T716">index('Query Tool'!B:B,match(H716,'Query Tool'!C:C,0))</f>
        <v>1</v>
      </c>
      <c r="U716" s="161" t="b">
        <f t="array" ref="U716">index('Query Tool'!B:B,match(C716,'Query Tool'!C:C,0))</f>
        <v>0</v>
      </c>
      <c r="V716" s="161" t="b">
        <f>F716&gt;='Query Tool'!C$32</f>
        <v>1</v>
      </c>
      <c r="W716" s="161" t="b">
        <f t="array" ref="W716">index(Dropdowns!B:B,match(I716,Dropdowns!A:A,0))</f>
        <v>1</v>
      </c>
      <c r="X716" s="161" t="b">
        <f t="array" ref="X716">index('Query Tool'!B:B,match(D716,'Query Tool'!C:C,0))</f>
        <v>1</v>
      </c>
      <c r="Y716" s="161" t="str">
        <f t="shared" si="6"/>
        <v>matthwe02,2014-15</v>
      </c>
      <c r="Z716" s="168">
        <f t="array" ref="Z716">iferror(index(I:I,match($A716&amp;","&amp;index('Year Conversion'!$A:$A,match($C716,'Year Conversion'!$B:$B,0)),$Y:$Y,0))-I716,"")</f>
        <v>1</v>
      </c>
      <c r="AA716" s="168">
        <f t="array" ref="AA716">iferror(index(J:J,match($A716&amp;","&amp;index('Year Conversion'!$A:$A,match($C716,'Year Conversion'!$B:$B,0)),$Y:$Y,0))-J716,"")</f>
        <v>-1.699189112</v>
      </c>
      <c r="AB716" s="168">
        <f t="array" ref="AB716">iferror(index(K:K,match($A716&amp;","&amp;index('Year Conversion'!$A:$A,match($C716,'Year Conversion'!$B:$B,0)),$Y:$Y,0))-K716,"")</f>
        <v>-0.008387385628</v>
      </c>
      <c r="AC716" s="168" t="str">
        <f t="shared" si="7"/>
        <v>POR,2014-15</v>
      </c>
    </row>
    <row r="717">
      <c r="A717" s="161" t="str">
        <f>IFERROR(__xludf.DUMMYFUNCTION("""COMPUTED_VALUE"""),"geeal01")</f>
        <v>geeal01</v>
      </c>
      <c r="B717" s="161" t="str">
        <f>IFERROR(__xludf.DUMMYFUNCTION("""COMPUTED_VALUE"""),"Alonzo Gee")</f>
        <v>Alonzo Gee</v>
      </c>
      <c r="C717" s="162" t="str">
        <f>IFERROR(__xludf.DUMMYFUNCTION("""COMPUTED_VALUE"""),"2014-15")</f>
        <v>2014-15</v>
      </c>
      <c r="D717" s="163" t="str">
        <f>IFERROR(__xludf.DUMMYFUNCTION("""COMPUTED_VALUE"""),"TOT")</f>
        <v>TOT</v>
      </c>
      <c r="E717" s="164" t="str">
        <f>IFERROR(__xludf.DUMMYFUNCTION("""COMPUTED_VALUE"""),"Athletic Finisher")</f>
        <v>Athletic Finisher</v>
      </c>
      <c r="F717" s="164">
        <f>IFERROR(__xludf.DUMMYFUNCTION("""COMPUTED_VALUE"""),661.486666666667)</f>
        <v>661.4866667</v>
      </c>
      <c r="G717" s="163">
        <f>IFERROR(__xludf.DUMMYFUNCTION("""COMPUTED_VALUE"""),54.0)</f>
        <v>54</v>
      </c>
      <c r="H717" s="163" t="str">
        <f>IFERROR(__xludf.DUMMYFUNCTION("""COMPUTED_VALUE"""),"SF")</f>
        <v>SF</v>
      </c>
      <c r="I717" s="163">
        <f>IFERROR(__xludf.DUMMYFUNCTION("""COMPUTED_VALUE"""),27.0)</f>
        <v>27</v>
      </c>
      <c r="J717" s="165">
        <f>IFERROR(__xludf.DUMMYFUNCTION("""COMPUTED_VALUE"""),-1.59822488442096)</f>
        <v>-1.598224884</v>
      </c>
      <c r="K717" s="165">
        <f>IFERROR(__xludf.DUMMYFUNCTION("""COMPUTED_VALUE"""),-0.462139792045095)</f>
        <v>-0.462139792</v>
      </c>
      <c r="L717" s="165">
        <f>IFERROR(__xludf.DUMMYFUNCTION("""COMPUTED_VALUE"""),-1.13608509237587)</f>
        <v>-1.136085092</v>
      </c>
      <c r="M717" s="166">
        <f t="shared" si="2"/>
        <v>0.3095539261</v>
      </c>
      <c r="N717" s="167">
        <f t="shared" si="3"/>
        <v>12.24975309</v>
      </c>
      <c r="O717" s="163">
        <f t="shared" ref="O717:Q717" si="721">rank(I717,I:I)</f>
        <v>1366</v>
      </c>
      <c r="P717" s="163">
        <f t="shared" si="721"/>
        <v>3141</v>
      </c>
      <c r="Q717" s="163">
        <f t="shared" si="721"/>
        <v>2053</v>
      </c>
      <c r="R717" s="163">
        <f>IFERROR(__xludf.DUMMYFUNCTION("RANK(M717,filter(M:M,C:C=C717))"),309.0)</f>
        <v>309</v>
      </c>
      <c r="S717" s="161" t="b">
        <f t="shared" si="5"/>
        <v>0</v>
      </c>
      <c r="T717" s="161" t="b">
        <f t="array" ref="T717">index('Query Tool'!B:B,match(H717,'Query Tool'!C:C,0))</f>
        <v>1</v>
      </c>
      <c r="U717" s="161" t="b">
        <f t="array" ref="U717">index('Query Tool'!B:B,match(C717,'Query Tool'!C:C,0))</f>
        <v>0</v>
      </c>
      <c r="V717" s="161" t="b">
        <f>F717&gt;='Query Tool'!C$32</f>
        <v>1</v>
      </c>
      <c r="W717" s="161" t="b">
        <f t="array" ref="W717">index(Dropdowns!B:B,match(I717,Dropdowns!A:A,0))</f>
        <v>1</v>
      </c>
      <c r="X717" s="161" t="b">
        <f t="array" ref="X717">index('Query Tool'!B:B,match(D717,'Query Tool'!C:C,0))</f>
        <v>1</v>
      </c>
      <c r="Y717" s="161" t="str">
        <f t="shared" si="6"/>
        <v>geeal01,2014-15</v>
      </c>
      <c r="Z717" s="168">
        <f t="array" ref="Z717">iferror(index(I:I,match($A717&amp;","&amp;index('Year Conversion'!$A:$A,match($C717,'Year Conversion'!$B:$B,0)),$Y:$Y,0))-I717,"")</f>
        <v>1</v>
      </c>
      <c r="AA717" s="168">
        <f t="array" ref="AA717">iferror(index(J:J,match($A717&amp;","&amp;index('Year Conversion'!$A:$A,match($C717,'Year Conversion'!$B:$B,0)),$Y:$Y,0))-J717,"")</f>
        <v>-0.5640935566</v>
      </c>
      <c r="AB717" s="168">
        <f t="array" ref="AB717">iferror(index(K:K,match($A717&amp;","&amp;index('Year Conversion'!$A:$A,match($C717,'Year Conversion'!$B:$B,0)),$Y:$Y,0))-K717,"")</f>
        <v>-2.313851486</v>
      </c>
      <c r="AC717" s="168" t="str">
        <f t="shared" si="7"/>
        <v>TOT,2014-15</v>
      </c>
    </row>
    <row r="718">
      <c r="A718" s="161" t="str">
        <f>IFERROR(__xludf.DUMMYFUNCTION("""COMPUTED_VALUE"""),"willire02")</f>
        <v>willire02</v>
      </c>
      <c r="B718" s="161" t="str">
        <f>IFERROR(__xludf.DUMMYFUNCTION("""COMPUTED_VALUE"""),"Reggie Williams")</f>
        <v>Reggie Williams</v>
      </c>
      <c r="C718" s="162" t="str">
        <f>IFERROR(__xludf.DUMMYFUNCTION("""COMPUTED_VALUE"""),"2014-15")</f>
        <v>2014-15</v>
      </c>
      <c r="D718" s="163" t="str">
        <f>IFERROR(__xludf.DUMMYFUNCTION("""COMPUTED_VALUE"""),"SAS")</f>
        <v>SAS</v>
      </c>
      <c r="E718" s="164" t="str">
        <f>IFERROR(__xludf.DUMMYFUNCTION("""COMPUTED_VALUE"""),"Movement Shooter")</f>
        <v>Movement Shooter</v>
      </c>
      <c r="F718" s="164">
        <f>IFERROR(__xludf.DUMMYFUNCTION("""COMPUTED_VALUE"""),105.065)</f>
        <v>105.065</v>
      </c>
      <c r="G718" s="163">
        <f>IFERROR(__xludf.DUMMYFUNCTION("""COMPUTED_VALUE"""),20.0)</f>
        <v>20</v>
      </c>
      <c r="H718" s="163" t="str">
        <f>IFERROR(__xludf.DUMMYFUNCTION("""COMPUTED_VALUE"""),"SF")</f>
        <v>SF</v>
      </c>
      <c r="I718" s="163">
        <f>IFERROR(__xludf.DUMMYFUNCTION("""COMPUTED_VALUE"""),28.0)</f>
        <v>28</v>
      </c>
      <c r="J718" s="165">
        <f>IFERROR(__xludf.DUMMYFUNCTION("""COMPUTED_VALUE"""),-0.702923671621306)</f>
        <v>-0.7029236716</v>
      </c>
      <c r="K718" s="165">
        <f>IFERROR(__xludf.DUMMYFUNCTION("""COMPUTED_VALUE"""),0.322611552993932)</f>
        <v>0.322611553</v>
      </c>
      <c r="L718" s="165">
        <f>IFERROR(__xludf.DUMMYFUNCTION("""COMPUTED_VALUE"""),-1.02553522461524)</f>
        <v>-1.025535225</v>
      </c>
      <c r="M718" s="166">
        <f t="shared" si="2"/>
        <v>0.1122186347</v>
      </c>
      <c r="N718" s="167">
        <f t="shared" si="3"/>
        <v>5.25325</v>
      </c>
      <c r="O718" s="163">
        <f t="shared" ref="O718:Q718" si="722">rank(I718,I:I)</f>
        <v>1090</v>
      </c>
      <c r="P718" s="163">
        <f t="shared" si="722"/>
        <v>2146</v>
      </c>
      <c r="Q718" s="163">
        <f t="shared" si="722"/>
        <v>893</v>
      </c>
      <c r="R718" s="163">
        <f>IFERROR(__xludf.DUMMYFUNCTION("RANK(M718,filter(M:M,C:C=C718))"),372.0)</f>
        <v>372</v>
      </c>
      <c r="S718" s="161" t="b">
        <f t="shared" si="5"/>
        <v>0</v>
      </c>
      <c r="T718" s="161" t="b">
        <f t="array" ref="T718">index('Query Tool'!B:B,match(H718,'Query Tool'!C:C,0))</f>
        <v>1</v>
      </c>
      <c r="U718" s="161" t="b">
        <f t="array" ref="U718">index('Query Tool'!B:B,match(C718,'Query Tool'!C:C,0))</f>
        <v>0</v>
      </c>
      <c r="V718" s="161" t="b">
        <f>F718&gt;='Query Tool'!C$32</f>
        <v>0</v>
      </c>
      <c r="W718" s="161" t="b">
        <f t="array" ref="W718">index(Dropdowns!B:B,match(I718,Dropdowns!A:A,0))</f>
        <v>1</v>
      </c>
      <c r="X718" s="161" t="b">
        <f t="array" ref="X718">index('Query Tool'!B:B,match(D718,'Query Tool'!C:C,0))</f>
        <v>1</v>
      </c>
      <c r="Y718" s="161" t="str">
        <f t="shared" si="6"/>
        <v>willire02,2014-15</v>
      </c>
      <c r="Z718" s="168" t="str">
        <f t="array" ref="Z718">iferror(index(I:I,match($A718&amp;","&amp;index('Year Conversion'!$A:$A,match($C718,'Year Conversion'!$B:$B,0)),$Y:$Y,0))-I718,"")</f>
        <v/>
      </c>
      <c r="AA718" s="168" t="str">
        <f t="array" ref="AA718">iferror(index(J:J,match($A718&amp;","&amp;index('Year Conversion'!$A:$A,match($C718,'Year Conversion'!$B:$B,0)),$Y:$Y,0))-J718,"")</f>
        <v/>
      </c>
      <c r="AB718" s="168" t="str">
        <f t="array" ref="AB718">iferror(index(K:K,match($A718&amp;","&amp;index('Year Conversion'!$A:$A,match($C718,'Year Conversion'!$B:$B,0)),$Y:$Y,0))-K718,"")</f>
        <v/>
      </c>
      <c r="AC718" s="168" t="str">
        <f t="shared" si="7"/>
        <v>SAS,2014-15</v>
      </c>
    </row>
    <row r="719">
      <c r="A719" s="161" t="str">
        <f>IFERROR(__xludf.DUMMYFUNCTION("""COMPUTED_VALUE"""),"walljo01")</f>
        <v>walljo01</v>
      </c>
      <c r="B719" s="161" t="str">
        <f>IFERROR(__xludf.DUMMYFUNCTION("""COMPUTED_VALUE"""),"John Wall")</f>
        <v>John Wall</v>
      </c>
      <c r="C719" s="162" t="str">
        <f>IFERROR(__xludf.DUMMYFUNCTION("""COMPUTED_VALUE"""),"2014-15")</f>
        <v>2014-15</v>
      </c>
      <c r="D719" s="163" t="str">
        <f>IFERROR(__xludf.DUMMYFUNCTION("""COMPUTED_VALUE"""),"WAS")</f>
        <v>WAS</v>
      </c>
      <c r="E719" s="164" t="str">
        <f>IFERROR(__xludf.DUMMYFUNCTION("""COMPUTED_VALUE"""),"Slasher")</f>
        <v>Slasher</v>
      </c>
      <c r="F719" s="164">
        <f>IFERROR(__xludf.DUMMYFUNCTION("""COMPUTED_VALUE"""),2836.53333333333)</f>
        <v>2836.533333</v>
      </c>
      <c r="G719" s="163">
        <f>IFERROR(__xludf.DUMMYFUNCTION("""COMPUTED_VALUE"""),79.0)</f>
        <v>79</v>
      </c>
      <c r="H719" s="163" t="str">
        <f>IFERROR(__xludf.DUMMYFUNCTION("""COMPUTED_VALUE"""),"PG")</f>
        <v>PG</v>
      </c>
      <c r="I719" s="163">
        <f>IFERROR(__xludf.DUMMYFUNCTION("""COMPUTED_VALUE"""),24.0)</f>
        <v>24</v>
      </c>
      <c r="J719" s="165">
        <f>IFERROR(__xludf.DUMMYFUNCTION("""COMPUTED_VALUE"""),3.17517986747472)</f>
        <v>3.175179867</v>
      </c>
      <c r="K719" s="165">
        <f>IFERROR(__xludf.DUMMYFUNCTION("""COMPUTED_VALUE"""),2.10333232035394)</f>
        <v>2.10333232</v>
      </c>
      <c r="L719" s="165">
        <f>IFERROR(__xludf.DUMMYFUNCTION("""COMPUTED_VALUE"""),1.07184754712077)</f>
        <v>1.071847547</v>
      </c>
      <c r="M719" s="166">
        <f t="shared" si="2"/>
        <v>10.36144178</v>
      </c>
      <c r="N719" s="167">
        <f t="shared" si="3"/>
        <v>35.90548523</v>
      </c>
      <c r="O719" s="163">
        <f t="shared" ref="O719:Q719" si="723">rank(I719,I:I)</f>
        <v>2361</v>
      </c>
      <c r="P719" s="163">
        <f t="shared" si="723"/>
        <v>155</v>
      </c>
      <c r="Q719" s="163">
        <f t="shared" si="723"/>
        <v>215</v>
      </c>
      <c r="R719" s="163">
        <f>IFERROR(__xludf.DUMMYFUNCTION("RANK(M719,filter(M:M,C:C=C719))"),12.0)</f>
        <v>12</v>
      </c>
      <c r="S719" s="161" t="b">
        <f t="shared" si="5"/>
        <v>0</v>
      </c>
      <c r="T719" s="161" t="b">
        <f t="array" ref="T719">index('Query Tool'!B:B,match(H719,'Query Tool'!C:C,0))</f>
        <v>1</v>
      </c>
      <c r="U719" s="161" t="b">
        <f t="array" ref="U719">index('Query Tool'!B:B,match(C719,'Query Tool'!C:C,0))</f>
        <v>0</v>
      </c>
      <c r="V719" s="161" t="b">
        <f>F719&gt;='Query Tool'!C$32</f>
        <v>1</v>
      </c>
      <c r="W719" s="161" t="b">
        <f t="array" ref="W719">index(Dropdowns!B:B,match(I719,Dropdowns!A:A,0))</f>
        <v>1</v>
      </c>
      <c r="X719" s="161" t="b">
        <f t="array" ref="X719">index('Query Tool'!B:B,match(D719,'Query Tool'!C:C,0))</f>
        <v>1</v>
      </c>
      <c r="Y719" s="161" t="str">
        <f t="shared" si="6"/>
        <v>walljo01,2014-15</v>
      </c>
      <c r="Z719" s="168">
        <f t="array" ref="Z719">iferror(index(I:I,match($A719&amp;","&amp;index('Year Conversion'!$A:$A,match($C719,'Year Conversion'!$B:$B,0)),$Y:$Y,0))-I719,"")</f>
        <v>1</v>
      </c>
      <c r="AA719" s="168">
        <f t="array" ref="AA719">iferror(index(J:J,match($A719&amp;","&amp;index('Year Conversion'!$A:$A,match($C719,'Year Conversion'!$B:$B,0)),$Y:$Y,0))-J719,"")</f>
        <v>-0.3974609251</v>
      </c>
      <c r="AB719" s="168">
        <f t="array" ref="AB719">iferror(index(K:K,match($A719&amp;","&amp;index('Year Conversion'!$A:$A,match($C719,'Year Conversion'!$B:$B,0)),$Y:$Y,0))-K719,"")</f>
        <v>-0.6832219783</v>
      </c>
      <c r="AC719" s="168" t="str">
        <f t="shared" si="7"/>
        <v>WAS,2014-15</v>
      </c>
    </row>
    <row r="720">
      <c r="A720" s="161" t="str">
        <f>IFERROR(__xludf.DUMMYFUNCTION("""COMPUTED_VALUE"""),"turneev01")</f>
        <v>turneev01</v>
      </c>
      <c r="B720" s="161" t="str">
        <f>IFERROR(__xludf.DUMMYFUNCTION("""COMPUTED_VALUE"""),"Evan Turner")</f>
        <v>Evan Turner</v>
      </c>
      <c r="C720" s="162" t="str">
        <f>IFERROR(__xludf.DUMMYFUNCTION("""COMPUTED_VALUE"""),"2014-15")</f>
        <v>2014-15</v>
      </c>
      <c r="D720" s="163" t="str">
        <f>IFERROR(__xludf.DUMMYFUNCTION("""COMPUTED_VALUE"""),"BOS")</f>
        <v>BOS</v>
      </c>
      <c r="E720" s="164" t="str">
        <f>IFERROR(__xludf.DUMMYFUNCTION("""COMPUTED_VALUE"""),"Primary Ball Handler")</f>
        <v>Primary Ball Handler</v>
      </c>
      <c r="F720" s="164">
        <f>IFERROR(__xludf.DUMMYFUNCTION("""COMPUTED_VALUE"""),2259.71666666667)</f>
        <v>2259.716667</v>
      </c>
      <c r="G720" s="163">
        <f>IFERROR(__xludf.DUMMYFUNCTION("""COMPUTED_VALUE"""),82.0)</f>
        <v>82</v>
      </c>
      <c r="H720" s="163" t="str">
        <f>IFERROR(__xludf.DUMMYFUNCTION("""COMPUTED_VALUE"""),"SG")</f>
        <v>SG</v>
      </c>
      <c r="I720" s="163">
        <f>IFERROR(__xludf.DUMMYFUNCTION("""COMPUTED_VALUE"""),26.0)</f>
        <v>26</v>
      </c>
      <c r="J720" s="165">
        <f>IFERROR(__xludf.DUMMYFUNCTION("""COMPUTED_VALUE"""),-0.713572519167096)</f>
        <v>-0.7135725192</v>
      </c>
      <c r="K720" s="165">
        <f>IFERROR(__xludf.DUMMYFUNCTION("""COMPUTED_VALUE"""),-0.627128446187791)</f>
        <v>-0.6271284462</v>
      </c>
      <c r="L720" s="165">
        <f>IFERROR(__xludf.DUMMYFUNCTION("""COMPUTED_VALUE"""),-0.0864440729793052)</f>
        <v>-0.08644407298</v>
      </c>
      <c r="M720" s="166">
        <f t="shared" si="2"/>
        <v>2.397386172</v>
      </c>
      <c r="N720" s="167">
        <f t="shared" si="3"/>
        <v>27.55752033</v>
      </c>
      <c r="O720" s="163">
        <f t="shared" ref="O720:Q720" si="724">rank(I720,I:I)</f>
        <v>1665</v>
      </c>
      <c r="P720" s="163">
        <f t="shared" si="724"/>
        <v>2167</v>
      </c>
      <c r="Q720" s="163">
        <f t="shared" si="724"/>
        <v>2304</v>
      </c>
      <c r="R720" s="163">
        <f>IFERROR(__xludf.DUMMYFUNCTION("RANK(M720,filter(M:M,C:C=C720))"),147.0)</f>
        <v>147</v>
      </c>
      <c r="S720" s="161" t="b">
        <f t="shared" si="5"/>
        <v>0</v>
      </c>
      <c r="T720" s="161" t="b">
        <f t="array" ref="T720">index('Query Tool'!B:B,match(H720,'Query Tool'!C:C,0))</f>
        <v>1</v>
      </c>
      <c r="U720" s="161" t="b">
        <f t="array" ref="U720">index('Query Tool'!B:B,match(C720,'Query Tool'!C:C,0))</f>
        <v>0</v>
      </c>
      <c r="V720" s="161" t="b">
        <f>F720&gt;='Query Tool'!C$32</f>
        <v>1</v>
      </c>
      <c r="W720" s="161" t="b">
        <f t="array" ref="W720">index(Dropdowns!B:B,match(I720,Dropdowns!A:A,0))</f>
        <v>1</v>
      </c>
      <c r="X720" s="161" t="b">
        <f t="array" ref="X720">index('Query Tool'!B:B,match(D720,'Query Tool'!C:C,0))</f>
        <v>1</v>
      </c>
      <c r="Y720" s="161" t="str">
        <f t="shared" si="6"/>
        <v>turneev01,2014-15</v>
      </c>
      <c r="Z720" s="168">
        <f t="array" ref="Z720">iferror(index(I:I,match($A720&amp;","&amp;index('Year Conversion'!$A:$A,match($C720,'Year Conversion'!$B:$B,0)),$Y:$Y,0))-I720,"")</f>
        <v>1</v>
      </c>
      <c r="AA720" s="168">
        <f t="array" ref="AA720">iferror(index(J:J,match($A720&amp;","&amp;index('Year Conversion'!$A:$A,match($C720,'Year Conversion'!$B:$B,0)),$Y:$Y,0))-J720,"")</f>
        <v>-0.002901697819</v>
      </c>
      <c r="AB720" s="168">
        <f t="array" ref="AB720">iferror(index(K:K,match($A720&amp;","&amp;index('Year Conversion'!$A:$A,match($C720,'Year Conversion'!$B:$B,0)),$Y:$Y,0))-K720,"")</f>
        <v>-0.3782812539</v>
      </c>
      <c r="AC720" s="168" t="str">
        <f t="shared" si="7"/>
        <v>BOS,2014-15</v>
      </c>
    </row>
    <row r="721">
      <c r="A721" s="161" t="str">
        <f>IFERROR(__xludf.DUMMYFUNCTION("""COMPUTED_VALUE"""),"favorde01")</f>
        <v>favorde01</v>
      </c>
      <c r="B721" s="161" t="str">
        <f>IFERROR(__xludf.DUMMYFUNCTION("""COMPUTED_VALUE"""),"Derrick Favors")</f>
        <v>Derrick Favors</v>
      </c>
      <c r="C721" s="162" t="str">
        <f>IFERROR(__xludf.DUMMYFUNCTION("""COMPUTED_VALUE"""),"2014-15")</f>
        <v>2014-15</v>
      </c>
      <c r="D721" s="163" t="str">
        <f>IFERROR(__xludf.DUMMYFUNCTION("""COMPUTED_VALUE"""),"UTA")</f>
        <v>UTA</v>
      </c>
      <c r="E721" s="164" t="str">
        <f>IFERROR(__xludf.DUMMYFUNCTION("""COMPUTED_VALUE"""),"Post Scorer")</f>
        <v>Post Scorer</v>
      </c>
      <c r="F721" s="164">
        <f>IFERROR(__xludf.DUMMYFUNCTION("""COMPUTED_VALUE"""),2279.61)</f>
        <v>2279.61</v>
      </c>
      <c r="G721" s="163">
        <f>IFERROR(__xludf.DUMMYFUNCTION("""COMPUTED_VALUE"""),74.0)</f>
        <v>74</v>
      </c>
      <c r="H721" s="163" t="str">
        <f>IFERROR(__xludf.DUMMYFUNCTION("""COMPUTED_VALUE"""),"PF")</f>
        <v>PF</v>
      </c>
      <c r="I721" s="163">
        <f>IFERROR(__xludf.DUMMYFUNCTION("""COMPUTED_VALUE"""),23.0)</f>
        <v>23</v>
      </c>
      <c r="J721" s="165">
        <f>IFERROR(__xludf.DUMMYFUNCTION("""COMPUTED_VALUE"""),2.6871059537507)</f>
        <v>2.687105954</v>
      </c>
      <c r="K721" s="165">
        <f>IFERROR(__xludf.DUMMYFUNCTION("""COMPUTED_VALUE"""),0.967513793653591)</f>
        <v>0.9675137937</v>
      </c>
      <c r="L721" s="165">
        <f>IFERROR(__xludf.DUMMYFUNCTION("""COMPUTED_VALUE"""),1.71959216009711)</f>
        <v>1.71959216</v>
      </c>
      <c r="M721" s="166">
        <f t="shared" si="2"/>
        <v>7.603251694</v>
      </c>
      <c r="N721" s="167">
        <f t="shared" si="3"/>
        <v>30.80554054</v>
      </c>
      <c r="O721" s="163">
        <f t="shared" ref="O721:Q721" si="725">rank(I721,I:I)</f>
        <v>2765</v>
      </c>
      <c r="P721" s="163">
        <f t="shared" si="725"/>
        <v>201</v>
      </c>
      <c r="Q721" s="163">
        <f t="shared" si="725"/>
        <v>517</v>
      </c>
      <c r="R721" s="163">
        <f>IFERROR(__xludf.DUMMYFUNCTION("RANK(M721,filter(M:M,C:C=C721))"),25.0)</f>
        <v>25</v>
      </c>
      <c r="S721" s="161" t="b">
        <f t="shared" si="5"/>
        <v>0</v>
      </c>
      <c r="T721" s="161" t="b">
        <f t="array" ref="T721">index('Query Tool'!B:B,match(H721,'Query Tool'!C:C,0))</f>
        <v>1</v>
      </c>
      <c r="U721" s="161" t="b">
        <f t="array" ref="U721">index('Query Tool'!B:B,match(C721,'Query Tool'!C:C,0))</f>
        <v>0</v>
      </c>
      <c r="V721" s="161" t="b">
        <f>F721&gt;='Query Tool'!C$32</f>
        <v>1</v>
      </c>
      <c r="W721" s="161" t="b">
        <f t="array" ref="W721">index(Dropdowns!B:B,match(I721,Dropdowns!A:A,0))</f>
        <v>1</v>
      </c>
      <c r="X721" s="161" t="b">
        <f t="array" ref="X721">index('Query Tool'!B:B,match(D721,'Query Tool'!C:C,0))</f>
        <v>1</v>
      </c>
      <c r="Y721" s="161" t="str">
        <f t="shared" si="6"/>
        <v>favorde01,2014-15</v>
      </c>
      <c r="Z721" s="168">
        <f t="array" ref="Z721">iferror(index(I:I,match($A721&amp;","&amp;index('Year Conversion'!$A:$A,match($C721,'Year Conversion'!$B:$B,0)),$Y:$Y,0))-I721,"")</f>
        <v>1</v>
      </c>
      <c r="AA721" s="168">
        <f t="array" ref="AA721">iferror(index(J:J,match($A721&amp;","&amp;index('Year Conversion'!$A:$A,match($C721,'Year Conversion'!$B:$B,0)),$Y:$Y,0))-J721,"")</f>
        <v>-0.7227341323</v>
      </c>
      <c r="AB721" s="168">
        <f t="array" ref="AB721">iferror(index(K:K,match($A721&amp;","&amp;index('Year Conversion'!$A:$A,match($C721,'Year Conversion'!$B:$B,0)),$Y:$Y,0))-K721,"")</f>
        <v>-0.4798432361</v>
      </c>
      <c r="AC721" s="168" t="str">
        <f t="shared" si="7"/>
        <v>UTA,2014-15</v>
      </c>
    </row>
    <row r="722">
      <c r="A722" s="161" t="str">
        <f>IFERROR(__xludf.DUMMYFUNCTION("""COMPUTED_VALUE"""),"johnswe01")</f>
        <v>johnswe01</v>
      </c>
      <c r="B722" s="161" t="str">
        <f>IFERROR(__xludf.DUMMYFUNCTION("""COMPUTED_VALUE"""),"Wesley Johnson")</f>
        <v>Wesley Johnson</v>
      </c>
      <c r="C722" s="162" t="str">
        <f>IFERROR(__xludf.DUMMYFUNCTION("""COMPUTED_VALUE"""),"2014-15")</f>
        <v>2014-15</v>
      </c>
      <c r="D722" s="163" t="str">
        <f>IFERROR(__xludf.DUMMYFUNCTION("""COMPUTED_VALUE"""),"LAL")</f>
        <v>LAL</v>
      </c>
      <c r="E722" s="164" t="str">
        <f>IFERROR(__xludf.DUMMYFUNCTION("""COMPUTED_VALUE"""),"Movement Shooter")</f>
        <v>Movement Shooter</v>
      </c>
      <c r="F722" s="164">
        <f>IFERROR(__xludf.DUMMYFUNCTION("""COMPUTED_VALUE"""),2244.56333333333)</f>
        <v>2244.563333</v>
      </c>
      <c r="G722" s="163">
        <f>IFERROR(__xludf.DUMMYFUNCTION("""COMPUTED_VALUE"""),76.0)</f>
        <v>76</v>
      </c>
      <c r="H722" s="163" t="str">
        <f>IFERROR(__xludf.DUMMYFUNCTION("""COMPUTED_VALUE"""),"SF")</f>
        <v>SF</v>
      </c>
      <c r="I722" s="163">
        <f>IFERROR(__xludf.DUMMYFUNCTION("""COMPUTED_VALUE"""),27.0)</f>
        <v>27</v>
      </c>
      <c r="J722" s="165">
        <f>IFERROR(__xludf.DUMMYFUNCTION("""COMPUTED_VALUE"""),-1.66716293453741)</f>
        <v>-1.667162935</v>
      </c>
      <c r="K722" s="165">
        <f>IFERROR(__xludf.DUMMYFUNCTION("""COMPUTED_VALUE"""),-0.724188570007456)</f>
        <v>-0.72418857</v>
      </c>
      <c r="L722" s="165">
        <f>IFERROR(__xludf.DUMMYFUNCTION("""COMPUTED_VALUE"""),-0.942974364529957)</f>
        <v>-0.9429743645</v>
      </c>
      <c r="M722" s="166">
        <f t="shared" si="2"/>
        <v>0.9472108378</v>
      </c>
      <c r="N722" s="167">
        <f t="shared" si="3"/>
        <v>29.53372807</v>
      </c>
      <c r="O722" s="163">
        <f t="shared" ref="O722:Q722" si="726">rank(I722,I:I)</f>
        <v>1366</v>
      </c>
      <c r="P722" s="163">
        <f t="shared" si="726"/>
        <v>3210</v>
      </c>
      <c r="Q722" s="163">
        <f t="shared" si="726"/>
        <v>2446</v>
      </c>
      <c r="R722" s="163">
        <f>IFERROR(__xludf.DUMMYFUNCTION("RANK(M722,filter(M:M,C:C=C722))"),238.0)</f>
        <v>238</v>
      </c>
      <c r="S722" s="161" t="b">
        <f t="shared" si="5"/>
        <v>0</v>
      </c>
      <c r="T722" s="161" t="b">
        <f t="array" ref="T722">index('Query Tool'!B:B,match(H722,'Query Tool'!C:C,0))</f>
        <v>1</v>
      </c>
      <c r="U722" s="161" t="b">
        <f t="array" ref="U722">index('Query Tool'!B:B,match(C722,'Query Tool'!C:C,0))</f>
        <v>0</v>
      </c>
      <c r="V722" s="161" t="b">
        <f>F722&gt;='Query Tool'!C$32</f>
        <v>1</v>
      </c>
      <c r="W722" s="161" t="b">
        <f t="array" ref="W722">index(Dropdowns!B:B,match(I722,Dropdowns!A:A,0))</f>
        <v>1</v>
      </c>
      <c r="X722" s="161" t="b">
        <f t="array" ref="X722">index('Query Tool'!B:B,match(D722,'Query Tool'!C:C,0))</f>
        <v>1</v>
      </c>
      <c r="Y722" s="161" t="str">
        <f t="shared" si="6"/>
        <v>johnswe01,2014-15</v>
      </c>
      <c r="Z722" s="168">
        <f t="array" ref="Z722">iferror(index(I:I,match($A722&amp;","&amp;index('Year Conversion'!$A:$A,match($C722,'Year Conversion'!$B:$B,0)),$Y:$Y,0))-I722,"")</f>
        <v>1</v>
      </c>
      <c r="AA722" s="168">
        <f t="array" ref="AA722">iferror(index(J:J,match($A722&amp;","&amp;index('Year Conversion'!$A:$A,match($C722,'Year Conversion'!$B:$B,0)),$Y:$Y,0))-J722,"")</f>
        <v>1.449642195</v>
      </c>
      <c r="AB722" s="168">
        <f t="array" ref="AB722">iferror(index(K:K,match($A722&amp;","&amp;index('Year Conversion'!$A:$A,match($C722,'Year Conversion'!$B:$B,0)),$Y:$Y,0))-K722,"")</f>
        <v>-0.8345529151</v>
      </c>
      <c r="AC722" s="168" t="str">
        <f t="shared" si="7"/>
        <v>LAL,2014-15</v>
      </c>
    </row>
    <row r="723">
      <c r="A723" s="161" t="str">
        <f>IFERROR(__xludf.DUMMYFUNCTION("""COMPUTED_VALUE"""),"couside01")</f>
        <v>couside01</v>
      </c>
      <c r="B723" s="161" t="str">
        <f>IFERROR(__xludf.DUMMYFUNCTION("""COMPUTED_VALUE"""),"DeMarcus Cousins")</f>
        <v>DeMarcus Cousins</v>
      </c>
      <c r="C723" s="162" t="str">
        <f>IFERROR(__xludf.DUMMYFUNCTION("""COMPUTED_VALUE"""),"2014-15")</f>
        <v>2014-15</v>
      </c>
      <c r="D723" s="163" t="str">
        <f>IFERROR(__xludf.DUMMYFUNCTION("""COMPUTED_VALUE"""),"SAC")</f>
        <v>SAC</v>
      </c>
      <c r="E723" s="164" t="str">
        <f>IFERROR(__xludf.DUMMYFUNCTION("""COMPUTED_VALUE"""),"Post Scorer")</f>
        <v>Post Scorer</v>
      </c>
      <c r="F723" s="164">
        <f>IFERROR(__xludf.DUMMYFUNCTION("""COMPUTED_VALUE"""),2013.18166666667)</f>
        <v>2013.181667</v>
      </c>
      <c r="G723" s="163">
        <f>IFERROR(__xludf.DUMMYFUNCTION("""COMPUTED_VALUE"""),59.0)</f>
        <v>59</v>
      </c>
      <c r="H723" s="163" t="str">
        <f>IFERROR(__xludf.DUMMYFUNCTION("""COMPUTED_VALUE"""),"C")</f>
        <v>C</v>
      </c>
      <c r="I723" s="163">
        <f>IFERROR(__xludf.DUMMYFUNCTION("""COMPUTED_VALUE"""),24.0)</f>
        <v>24</v>
      </c>
      <c r="J723" s="165">
        <f>IFERROR(__xludf.DUMMYFUNCTION("""COMPUTED_VALUE"""),3.20250387076248)</f>
        <v>3.202503871</v>
      </c>
      <c r="K723" s="165">
        <f>IFERROR(__xludf.DUMMYFUNCTION("""COMPUTED_VALUE"""),0.877453163729287)</f>
        <v>0.8774531637</v>
      </c>
      <c r="L723" s="165">
        <f>IFERROR(__xludf.DUMMYFUNCTION("""COMPUTED_VALUE"""),2.3250507070332)</f>
        <v>2.325050707</v>
      </c>
      <c r="M723" s="166">
        <f t="shared" si="2"/>
        <v>7.389416005</v>
      </c>
      <c r="N723" s="167">
        <f t="shared" si="3"/>
        <v>34.12172316</v>
      </c>
      <c r="O723" s="163">
        <f t="shared" ref="O723:Q723" si="727">rank(I723,I:I)</f>
        <v>2361</v>
      </c>
      <c r="P723" s="163">
        <f t="shared" si="727"/>
        <v>154</v>
      </c>
      <c r="Q723" s="163">
        <f t="shared" si="727"/>
        <v>562</v>
      </c>
      <c r="R723" s="163">
        <f>IFERROR(__xludf.DUMMYFUNCTION("RANK(M723,filter(M:M,C:C=C723))"),27.0)</f>
        <v>27</v>
      </c>
      <c r="S723" s="161" t="b">
        <f t="shared" si="5"/>
        <v>0</v>
      </c>
      <c r="T723" s="161" t="b">
        <f t="array" ref="T723">index('Query Tool'!B:B,match(H723,'Query Tool'!C:C,0))</f>
        <v>1</v>
      </c>
      <c r="U723" s="161" t="b">
        <f t="array" ref="U723">index('Query Tool'!B:B,match(C723,'Query Tool'!C:C,0))</f>
        <v>0</v>
      </c>
      <c r="V723" s="161" t="b">
        <f>F723&gt;='Query Tool'!C$32</f>
        <v>1</v>
      </c>
      <c r="W723" s="161" t="b">
        <f t="array" ref="W723">index(Dropdowns!B:B,match(I723,Dropdowns!A:A,0))</f>
        <v>1</v>
      </c>
      <c r="X723" s="161" t="b">
        <f t="array" ref="X723">index('Query Tool'!B:B,match(D723,'Query Tool'!C:C,0))</f>
        <v>1</v>
      </c>
      <c r="Y723" s="161" t="str">
        <f t="shared" si="6"/>
        <v>couside01,2014-15</v>
      </c>
      <c r="Z723" s="168">
        <f t="array" ref="Z723">iferror(index(I:I,match($A723&amp;","&amp;index('Year Conversion'!$A:$A,match($C723,'Year Conversion'!$B:$B,0)),$Y:$Y,0))-I723,"")</f>
        <v>1</v>
      </c>
      <c r="AA723" s="168">
        <f t="array" ref="AA723">iferror(index(J:J,match($A723&amp;","&amp;index('Year Conversion'!$A:$A,match($C723,'Year Conversion'!$B:$B,0)),$Y:$Y,0))-J723,"")</f>
        <v>0.5328932266</v>
      </c>
      <c r="AB723" s="168">
        <f t="array" ref="AB723">iferror(index(K:K,match($A723&amp;","&amp;index('Year Conversion'!$A:$A,match($C723,'Year Conversion'!$B:$B,0)),$Y:$Y,0))-K723,"")</f>
        <v>0.9005964671</v>
      </c>
      <c r="AC723" s="168" t="str">
        <f t="shared" si="7"/>
        <v>SAC,2014-15</v>
      </c>
    </row>
    <row r="724">
      <c r="A724" s="161" t="str">
        <f>IFERROR(__xludf.DUMMYFUNCTION("""COMPUTED_VALUE"""),"udohek01")</f>
        <v>udohek01</v>
      </c>
      <c r="B724" s="161" t="str">
        <f>IFERROR(__xludf.DUMMYFUNCTION("""COMPUTED_VALUE"""),"Ekpe Udoh")</f>
        <v>Ekpe Udoh</v>
      </c>
      <c r="C724" s="162" t="str">
        <f>IFERROR(__xludf.DUMMYFUNCTION("""COMPUTED_VALUE"""),"2014-15")</f>
        <v>2014-15</v>
      </c>
      <c r="D724" s="163" t="str">
        <f>IFERROR(__xludf.DUMMYFUNCTION("""COMPUTED_VALUE"""),"LAC")</f>
        <v>LAC</v>
      </c>
      <c r="E724" s="164" t="str">
        <f>IFERROR(__xludf.DUMMYFUNCTION("""COMPUTED_VALUE"""),"Post Scorer")</f>
        <v>Post Scorer</v>
      </c>
      <c r="F724" s="164">
        <f>IFERROR(__xludf.DUMMYFUNCTION("""COMPUTED_VALUE"""),128.45)</f>
        <v>128.45</v>
      </c>
      <c r="G724" s="163">
        <f>IFERROR(__xludf.DUMMYFUNCTION("""COMPUTED_VALUE"""),33.0)</f>
        <v>33</v>
      </c>
      <c r="H724" s="163" t="str">
        <f>IFERROR(__xludf.DUMMYFUNCTION("""COMPUTED_VALUE"""),"PF")</f>
        <v>PF</v>
      </c>
      <c r="I724" s="163">
        <f>IFERROR(__xludf.DUMMYFUNCTION("""COMPUTED_VALUE"""),27.0)</f>
        <v>27</v>
      </c>
      <c r="J724" s="165">
        <f>IFERROR(__xludf.DUMMYFUNCTION("""COMPUTED_VALUE"""),-1.99444214232998)</f>
        <v>-1.994442142</v>
      </c>
      <c r="K724" s="165">
        <f>IFERROR(__xludf.DUMMYFUNCTION("""COMPUTED_VALUE"""),-1.63105589790446)</f>
        <v>-1.631055898</v>
      </c>
      <c r="L724" s="165">
        <f>IFERROR(__xludf.DUMMYFUNCTION("""COMPUTED_VALUE"""),-0.363386244425518)</f>
        <v>-0.3633862444</v>
      </c>
      <c r="M724" s="166">
        <f t="shared" si="2"/>
        <v>0.0262571755</v>
      </c>
      <c r="N724" s="167">
        <f t="shared" si="3"/>
        <v>3.892424242</v>
      </c>
      <c r="O724" s="163">
        <f t="shared" ref="O724:Q724" si="728">rank(I724,I:I)</f>
        <v>1366</v>
      </c>
      <c r="P724" s="163">
        <f t="shared" si="728"/>
        <v>3476</v>
      </c>
      <c r="Q724" s="163">
        <f t="shared" si="728"/>
        <v>3468</v>
      </c>
      <c r="R724" s="163">
        <f>IFERROR(__xludf.DUMMYFUNCTION("RANK(M724,filter(M:M,C:C=C724))"),421.0)</f>
        <v>421</v>
      </c>
      <c r="S724" s="161" t="b">
        <f t="shared" si="5"/>
        <v>0</v>
      </c>
      <c r="T724" s="161" t="b">
        <f t="array" ref="T724">index('Query Tool'!B:B,match(H724,'Query Tool'!C:C,0))</f>
        <v>1</v>
      </c>
      <c r="U724" s="161" t="b">
        <f t="array" ref="U724">index('Query Tool'!B:B,match(C724,'Query Tool'!C:C,0))</f>
        <v>0</v>
      </c>
      <c r="V724" s="161" t="b">
        <f>F724&gt;='Query Tool'!C$32</f>
        <v>0</v>
      </c>
      <c r="W724" s="161" t="b">
        <f t="array" ref="W724">index(Dropdowns!B:B,match(I724,Dropdowns!A:A,0))</f>
        <v>1</v>
      </c>
      <c r="X724" s="161" t="b">
        <f t="array" ref="X724">index('Query Tool'!B:B,match(D724,'Query Tool'!C:C,0))</f>
        <v>1</v>
      </c>
      <c r="Y724" s="161" t="str">
        <f t="shared" si="6"/>
        <v>udohek01,2014-15</v>
      </c>
      <c r="Z724" s="168" t="str">
        <f t="array" ref="Z724">iferror(index(I:I,match($A724&amp;","&amp;index('Year Conversion'!$A:$A,match($C724,'Year Conversion'!$B:$B,0)),$Y:$Y,0))-I724,"")</f>
        <v/>
      </c>
      <c r="AA724" s="168" t="str">
        <f t="array" ref="AA724">iferror(index(J:J,match($A724&amp;","&amp;index('Year Conversion'!$A:$A,match($C724,'Year Conversion'!$B:$B,0)),$Y:$Y,0))-J724,"")</f>
        <v/>
      </c>
      <c r="AB724" s="168" t="str">
        <f t="array" ref="AB724">iferror(index(K:K,match($A724&amp;","&amp;index('Year Conversion'!$A:$A,match($C724,'Year Conversion'!$B:$B,0)),$Y:$Y,0))-K724,"")</f>
        <v/>
      </c>
      <c r="AC724" s="168" t="str">
        <f t="shared" si="7"/>
        <v>LAC,2014-15</v>
      </c>
    </row>
    <row r="725">
      <c r="A725" s="161" t="str">
        <f>IFERROR(__xludf.DUMMYFUNCTION("""COMPUTED_VALUE"""),"monrogr01")</f>
        <v>monrogr01</v>
      </c>
      <c r="B725" s="161" t="str">
        <f>IFERROR(__xludf.DUMMYFUNCTION("""COMPUTED_VALUE"""),"Greg Monroe")</f>
        <v>Greg Monroe</v>
      </c>
      <c r="C725" s="162" t="str">
        <f>IFERROR(__xludf.DUMMYFUNCTION("""COMPUTED_VALUE"""),"2014-15")</f>
        <v>2014-15</v>
      </c>
      <c r="D725" s="163" t="str">
        <f>IFERROR(__xludf.DUMMYFUNCTION("""COMPUTED_VALUE"""),"DET")</f>
        <v>DET</v>
      </c>
      <c r="E725" s="164" t="str">
        <f>IFERROR(__xludf.DUMMYFUNCTION("""COMPUTED_VALUE"""),"Post Scorer")</f>
        <v>Post Scorer</v>
      </c>
      <c r="F725" s="164">
        <f>IFERROR(__xludf.DUMMYFUNCTION("""COMPUTED_VALUE"""),2137.19666666667)</f>
        <v>2137.196667</v>
      </c>
      <c r="G725" s="163">
        <f>IFERROR(__xludf.DUMMYFUNCTION("""COMPUTED_VALUE"""),69.0)</f>
        <v>69</v>
      </c>
      <c r="H725" s="163" t="str">
        <f>IFERROR(__xludf.DUMMYFUNCTION("""COMPUTED_VALUE"""),"PF")</f>
        <v>PF</v>
      </c>
      <c r="I725" s="163">
        <f>IFERROR(__xludf.DUMMYFUNCTION("""COMPUTED_VALUE"""),24.0)</f>
        <v>24</v>
      </c>
      <c r="J725" s="165">
        <f>IFERROR(__xludf.DUMMYFUNCTION("""COMPUTED_VALUE"""),1.59008453137009)</f>
        <v>1.590084531</v>
      </c>
      <c r="K725" s="165">
        <f>IFERROR(__xludf.DUMMYFUNCTION("""COMPUTED_VALUE"""),0.936967702923959)</f>
        <v>0.9369677029</v>
      </c>
      <c r="L725" s="165">
        <f>IFERROR(__xludf.DUMMYFUNCTION("""COMPUTED_VALUE"""),0.65311682844613)</f>
        <v>0.6531168284</v>
      </c>
      <c r="M725" s="166">
        <f t="shared" si="2"/>
        <v>5.57794634</v>
      </c>
      <c r="N725" s="167">
        <f t="shared" si="3"/>
        <v>30.97386473</v>
      </c>
      <c r="O725" s="163">
        <f t="shared" ref="O725:Q725" si="729">rank(I725,I:I)</f>
        <v>2361</v>
      </c>
      <c r="P725" s="163">
        <f t="shared" si="729"/>
        <v>433</v>
      </c>
      <c r="Q725" s="163">
        <f t="shared" si="729"/>
        <v>533</v>
      </c>
      <c r="R725" s="163">
        <f>IFERROR(__xludf.DUMMYFUNCTION("RANK(M725,filter(M:M,C:C=C725))"),48.0)</f>
        <v>48</v>
      </c>
      <c r="S725" s="161" t="b">
        <f t="shared" si="5"/>
        <v>0</v>
      </c>
      <c r="T725" s="161" t="b">
        <f t="array" ref="T725">index('Query Tool'!B:B,match(H725,'Query Tool'!C:C,0))</f>
        <v>1</v>
      </c>
      <c r="U725" s="161" t="b">
        <f t="array" ref="U725">index('Query Tool'!B:B,match(C725,'Query Tool'!C:C,0))</f>
        <v>0</v>
      </c>
      <c r="V725" s="161" t="b">
        <f>F725&gt;='Query Tool'!C$32</f>
        <v>1</v>
      </c>
      <c r="W725" s="161" t="b">
        <f t="array" ref="W725">index(Dropdowns!B:B,match(I725,Dropdowns!A:A,0))</f>
        <v>1</v>
      </c>
      <c r="X725" s="161" t="b">
        <f t="array" ref="X725">index('Query Tool'!B:B,match(D725,'Query Tool'!C:C,0))</f>
        <v>1</v>
      </c>
      <c r="Y725" s="161" t="str">
        <f t="shared" si="6"/>
        <v>monrogr01,2014-15</v>
      </c>
      <c r="Z725" s="168">
        <f t="array" ref="Z725">iferror(index(I:I,match($A725&amp;","&amp;index('Year Conversion'!$A:$A,match($C725,'Year Conversion'!$B:$B,0)),$Y:$Y,0))-I725,"")</f>
        <v>1</v>
      </c>
      <c r="AA725" s="168">
        <f t="array" ref="AA725">iferror(index(J:J,match($A725&amp;","&amp;index('Year Conversion'!$A:$A,match($C725,'Year Conversion'!$B:$B,0)),$Y:$Y,0))-J725,"")</f>
        <v>-0.6621232548</v>
      </c>
      <c r="AB725" s="168">
        <f t="array" ref="AB725">iferror(index(K:K,match($A725&amp;","&amp;index('Year Conversion'!$A:$A,match($C725,'Year Conversion'!$B:$B,0)),$Y:$Y,0))-K725,"")</f>
        <v>0.2562842264</v>
      </c>
      <c r="AC725" s="168" t="str">
        <f t="shared" si="7"/>
        <v>DET,2014-15</v>
      </c>
    </row>
    <row r="726">
      <c r="A726" s="161" t="str">
        <f>IFERROR(__xludf.DUMMYFUNCTION("""COMPUTED_VALUE"""),"aminual01")</f>
        <v>aminual01</v>
      </c>
      <c r="B726" s="161" t="str">
        <f>IFERROR(__xludf.DUMMYFUNCTION("""COMPUTED_VALUE"""),"Al-Farouq Aminu")</f>
        <v>Al-Farouq Aminu</v>
      </c>
      <c r="C726" s="162" t="str">
        <f>IFERROR(__xludf.DUMMYFUNCTION("""COMPUTED_VALUE"""),"2014-15")</f>
        <v>2014-15</v>
      </c>
      <c r="D726" s="163" t="str">
        <f>IFERROR(__xludf.DUMMYFUNCTION("""COMPUTED_VALUE"""),"DAL")</f>
        <v>DAL</v>
      </c>
      <c r="E726" s="164" t="str">
        <f>IFERROR(__xludf.DUMMYFUNCTION("""COMPUTED_VALUE"""),"Athletic Finisher")</f>
        <v>Athletic Finisher</v>
      </c>
      <c r="F726" s="164">
        <f>IFERROR(__xludf.DUMMYFUNCTION("""COMPUTED_VALUE"""),1365.78833333333)</f>
        <v>1365.788333</v>
      </c>
      <c r="G726" s="163">
        <f>IFERROR(__xludf.DUMMYFUNCTION("""COMPUTED_VALUE"""),74.0)</f>
        <v>74</v>
      </c>
      <c r="H726" s="163" t="str">
        <f>IFERROR(__xludf.DUMMYFUNCTION("""COMPUTED_VALUE"""),"SF")</f>
        <v>SF</v>
      </c>
      <c r="I726" s="163">
        <f>IFERROR(__xludf.DUMMYFUNCTION("""COMPUTED_VALUE"""),24.0)</f>
        <v>24</v>
      </c>
      <c r="J726" s="165">
        <f>IFERROR(__xludf.DUMMYFUNCTION("""COMPUTED_VALUE"""),2.73563496817129)</f>
        <v>2.735634968</v>
      </c>
      <c r="K726" s="165">
        <f>IFERROR(__xludf.DUMMYFUNCTION("""COMPUTED_VALUE"""),0.782551257623503)</f>
        <v>0.7825512576</v>
      </c>
      <c r="L726" s="165">
        <f>IFERROR(__xludf.DUMMYFUNCTION("""COMPUTED_VALUE"""),1.95308371054779)</f>
        <v>1.953083711</v>
      </c>
      <c r="M726" s="166">
        <f t="shared" si="2"/>
        <v>4.59869871</v>
      </c>
      <c r="N726" s="167">
        <f t="shared" si="3"/>
        <v>18.4565991</v>
      </c>
      <c r="O726" s="163">
        <f t="shared" ref="O726:Q726" si="730">rank(I726,I:I)</f>
        <v>2361</v>
      </c>
      <c r="P726" s="163">
        <f t="shared" si="730"/>
        <v>198</v>
      </c>
      <c r="Q726" s="163">
        <f t="shared" si="730"/>
        <v>608</v>
      </c>
      <c r="R726" s="163">
        <f>IFERROR(__xludf.DUMMYFUNCTION("RANK(M726,filter(M:M,C:C=C726))"),67.0)</f>
        <v>67</v>
      </c>
      <c r="S726" s="161" t="b">
        <f t="shared" si="5"/>
        <v>0</v>
      </c>
      <c r="T726" s="161" t="b">
        <f t="array" ref="T726">index('Query Tool'!B:B,match(H726,'Query Tool'!C:C,0))</f>
        <v>1</v>
      </c>
      <c r="U726" s="161" t="b">
        <f t="array" ref="U726">index('Query Tool'!B:B,match(C726,'Query Tool'!C:C,0))</f>
        <v>0</v>
      </c>
      <c r="V726" s="161" t="b">
        <f>F726&gt;='Query Tool'!C$32</f>
        <v>1</v>
      </c>
      <c r="W726" s="161" t="b">
        <f t="array" ref="W726">index(Dropdowns!B:B,match(I726,Dropdowns!A:A,0))</f>
        <v>1</v>
      </c>
      <c r="X726" s="161" t="b">
        <f t="array" ref="X726">index('Query Tool'!B:B,match(D726,'Query Tool'!C:C,0))</f>
        <v>1</v>
      </c>
      <c r="Y726" s="161" t="str">
        <f t="shared" si="6"/>
        <v>aminual01,2014-15</v>
      </c>
      <c r="Z726" s="168">
        <f t="array" ref="Z726">iferror(index(I:I,match($A726&amp;","&amp;index('Year Conversion'!$A:$A,match($C726,'Year Conversion'!$B:$B,0)),$Y:$Y,0))-I726,"")</f>
        <v>1</v>
      </c>
      <c r="AA726" s="168">
        <f t="array" ref="AA726">iferror(index(J:J,match($A726&amp;","&amp;index('Year Conversion'!$A:$A,match($C726,'Year Conversion'!$B:$B,0)),$Y:$Y,0))-J726,"")</f>
        <v>-3.163463911</v>
      </c>
      <c r="AB726" s="168">
        <f t="array" ref="AB726">iferror(index(K:K,match($A726&amp;","&amp;index('Year Conversion'!$A:$A,match($C726,'Year Conversion'!$B:$B,0)),$Y:$Y,0))-K726,"")</f>
        <v>-1.63359938</v>
      </c>
      <c r="AC726" s="168" t="str">
        <f t="shared" si="7"/>
        <v>DAL,2014-15</v>
      </c>
    </row>
    <row r="727">
      <c r="A727" s="161" t="str">
        <f>IFERROR(__xludf.DUMMYFUNCTION("""COMPUTED_VALUE"""),"haywago01")</f>
        <v>haywago01</v>
      </c>
      <c r="B727" s="161" t="str">
        <f>IFERROR(__xludf.DUMMYFUNCTION("""COMPUTED_VALUE"""),"Gordon Hayward")</f>
        <v>Gordon Hayward</v>
      </c>
      <c r="C727" s="162" t="str">
        <f>IFERROR(__xludf.DUMMYFUNCTION("""COMPUTED_VALUE"""),"2014-15")</f>
        <v>2014-15</v>
      </c>
      <c r="D727" s="163" t="str">
        <f>IFERROR(__xludf.DUMMYFUNCTION("""COMPUTED_VALUE"""),"UTA")</f>
        <v>UTA</v>
      </c>
      <c r="E727" s="164" t="str">
        <f>IFERROR(__xludf.DUMMYFUNCTION("""COMPUTED_VALUE"""),"Secondary Ball Handler")</f>
        <v>Secondary Ball Handler</v>
      </c>
      <c r="F727" s="164">
        <f>IFERROR(__xludf.DUMMYFUNCTION("""COMPUTED_VALUE"""),2617.51)</f>
        <v>2617.51</v>
      </c>
      <c r="G727" s="163">
        <f>IFERROR(__xludf.DUMMYFUNCTION("""COMPUTED_VALUE"""),76.0)</f>
        <v>76</v>
      </c>
      <c r="H727" s="163" t="str">
        <f>IFERROR(__xludf.DUMMYFUNCTION("""COMPUTED_VALUE"""),"SF")</f>
        <v>SF</v>
      </c>
      <c r="I727" s="163">
        <f>IFERROR(__xludf.DUMMYFUNCTION("""COMPUTED_VALUE"""),24.0)</f>
        <v>24</v>
      </c>
      <c r="J727" s="165">
        <f>IFERROR(__xludf.DUMMYFUNCTION("""COMPUTED_VALUE"""),2.75991917173142)</f>
        <v>2.759919172</v>
      </c>
      <c r="K727" s="165">
        <f>IFERROR(__xludf.DUMMYFUNCTION("""COMPUTED_VALUE"""),2.50424305850464)</f>
        <v>2.504243059</v>
      </c>
      <c r="L727" s="165">
        <f>IFERROR(__xludf.DUMMYFUNCTION("""COMPUTED_VALUE"""),0.255676113226775)</f>
        <v>0.2556761132</v>
      </c>
      <c r="M727" s="166">
        <f t="shared" si="2"/>
        <v>8.854861046</v>
      </c>
      <c r="N727" s="167">
        <f t="shared" si="3"/>
        <v>34.44092105</v>
      </c>
      <c r="O727" s="163">
        <f t="shared" ref="O727:Q727" si="731">rank(I727,I:I)</f>
        <v>2361</v>
      </c>
      <c r="P727" s="163">
        <f t="shared" si="731"/>
        <v>196</v>
      </c>
      <c r="Q727" s="163">
        <f t="shared" si="731"/>
        <v>156</v>
      </c>
      <c r="R727" s="163">
        <f>IFERROR(__xludf.DUMMYFUNCTION("RANK(M727,filter(M:M,C:C=C727))"),19.0)</f>
        <v>19</v>
      </c>
      <c r="S727" s="161" t="b">
        <f t="shared" si="5"/>
        <v>0</v>
      </c>
      <c r="T727" s="161" t="b">
        <f t="array" ref="T727">index('Query Tool'!B:B,match(H727,'Query Tool'!C:C,0))</f>
        <v>1</v>
      </c>
      <c r="U727" s="161" t="b">
        <f t="array" ref="U727">index('Query Tool'!B:B,match(C727,'Query Tool'!C:C,0))</f>
        <v>0</v>
      </c>
      <c r="V727" s="161" t="b">
        <f>F727&gt;='Query Tool'!C$32</f>
        <v>1</v>
      </c>
      <c r="W727" s="161" t="b">
        <f t="array" ref="W727">index(Dropdowns!B:B,match(I727,Dropdowns!A:A,0))</f>
        <v>1</v>
      </c>
      <c r="X727" s="161" t="b">
        <f t="array" ref="X727">index('Query Tool'!B:B,match(D727,'Query Tool'!C:C,0))</f>
        <v>1</v>
      </c>
      <c r="Y727" s="161" t="str">
        <f t="shared" si="6"/>
        <v>haywago01,2014-15</v>
      </c>
      <c r="Z727" s="168">
        <f t="array" ref="Z727">iferror(index(I:I,match($A727&amp;","&amp;index('Year Conversion'!$A:$A,match($C727,'Year Conversion'!$B:$B,0)),$Y:$Y,0))-I727,"")</f>
        <v>1</v>
      </c>
      <c r="AA727" s="168">
        <f t="array" ref="AA727">iferror(index(J:J,match($A727&amp;","&amp;index('Year Conversion'!$A:$A,match($C727,'Year Conversion'!$B:$B,0)),$Y:$Y,0))-J727,"")</f>
        <v>-0.132682473</v>
      </c>
      <c r="AB727" s="168">
        <f t="array" ref="AB727">iferror(index(K:K,match($A727&amp;","&amp;index('Year Conversion'!$A:$A,match($C727,'Year Conversion'!$B:$B,0)),$Y:$Y,0))-K727,"")</f>
        <v>-0.1270409448</v>
      </c>
      <c r="AC727" s="168" t="str">
        <f t="shared" si="7"/>
        <v>UTA,2014-15</v>
      </c>
    </row>
    <row r="728">
      <c r="A728" s="161" t="str">
        <f>IFERROR(__xludf.DUMMYFUNCTION("""COMPUTED_VALUE"""),"georgpa01")</f>
        <v>georgpa01</v>
      </c>
      <c r="B728" s="161" t="str">
        <f>IFERROR(__xludf.DUMMYFUNCTION("""COMPUTED_VALUE"""),"Paul George")</f>
        <v>Paul George</v>
      </c>
      <c r="C728" s="162" t="str">
        <f>IFERROR(__xludf.DUMMYFUNCTION("""COMPUTED_VALUE"""),"2014-15")</f>
        <v>2014-15</v>
      </c>
      <c r="D728" s="163" t="str">
        <f>IFERROR(__xludf.DUMMYFUNCTION("""COMPUTED_VALUE"""),"IND")</f>
        <v>IND</v>
      </c>
      <c r="E728" s="164" t="str">
        <f>IFERROR(__xludf.DUMMYFUNCTION("""COMPUTED_VALUE"""),"Secondary Ball Handler")</f>
        <v>Secondary Ball Handler</v>
      </c>
      <c r="F728" s="164">
        <f>IFERROR(__xludf.DUMMYFUNCTION("""COMPUTED_VALUE"""),90.9166666666668)</f>
        <v>90.91666667</v>
      </c>
      <c r="G728" s="163">
        <f>IFERROR(__xludf.DUMMYFUNCTION("""COMPUTED_VALUE"""),6.0)</f>
        <v>6</v>
      </c>
      <c r="H728" s="163" t="str">
        <f>IFERROR(__xludf.DUMMYFUNCTION("""COMPUTED_VALUE"""),"SF")</f>
        <v>SF</v>
      </c>
      <c r="I728" s="163">
        <f>IFERROR(__xludf.DUMMYFUNCTION("""COMPUTED_VALUE"""),24.0)</f>
        <v>24</v>
      </c>
      <c r="J728" s="165">
        <f>IFERROR(__xludf.DUMMYFUNCTION("""COMPUTED_VALUE"""),-0.114193087724571)</f>
        <v>-0.1141930877</v>
      </c>
      <c r="K728" s="165">
        <f>IFERROR(__xludf.DUMMYFUNCTION("""COMPUTED_VALUE"""),0.0358235710020701)</f>
        <v>0.035823571</v>
      </c>
      <c r="L728" s="165">
        <f>IFERROR(__xludf.DUMMYFUNCTION("""COMPUTED_VALUE"""),-0.150016658726641)</f>
        <v>-0.1500166587</v>
      </c>
      <c r="M728" s="166">
        <f t="shared" si="2"/>
        <v>0.1331638456</v>
      </c>
      <c r="N728" s="167">
        <f t="shared" si="3"/>
        <v>15.15277778</v>
      </c>
      <c r="O728" s="163">
        <f t="shared" ref="O728:Q728" si="732">rank(I728,I:I)</f>
        <v>2361</v>
      </c>
      <c r="P728" s="163">
        <f t="shared" si="732"/>
        <v>1399</v>
      </c>
      <c r="Q728" s="163">
        <f t="shared" si="732"/>
        <v>1146</v>
      </c>
      <c r="R728" s="163">
        <f>IFERROR(__xludf.DUMMYFUNCTION("RANK(M728,filter(M:M,C:C=C728))"),360.0)</f>
        <v>360</v>
      </c>
      <c r="S728" s="161" t="b">
        <f t="shared" si="5"/>
        <v>0</v>
      </c>
      <c r="T728" s="161" t="b">
        <f t="array" ref="T728">index('Query Tool'!B:B,match(H728,'Query Tool'!C:C,0))</f>
        <v>1</v>
      </c>
      <c r="U728" s="161" t="b">
        <f t="array" ref="U728">index('Query Tool'!B:B,match(C728,'Query Tool'!C:C,0))</f>
        <v>0</v>
      </c>
      <c r="V728" s="161" t="b">
        <f>F728&gt;='Query Tool'!C$32</f>
        <v>0</v>
      </c>
      <c r="W728" s="161" t="b">
        <f t="array" ref="W728">index(Dropdowns!B:B,match(I728,Dropdowns!A:A,0))</f>
        <v>1</v>
      </c>
      <c r="X728" s="161" t="b">
        <f t="array" ref="X728">index('Query Tool'!B:B,match(D728,'Query Tool'!C:C,0))</f>
        <v>1</v>
      </c>
      <c r="Y728" s="161" t="str">
        <f t="shared" si="6"/>
        <v>georgpa01,2014-15</v>
      </c>
      <c r="Z728" s="168">
        <f t="array" ref="Z728">iferror(index(I:I,match($A728&amp;","&amp;index('Year Conversion'!$A:$A,match($C728,'Year Conversion'!$B:$B,0)),$Y:$Y,0))-I728,"")</f>
        <v>1</v>
      </c>
      <c r="AA728" s="168">
        <f t="array" ref="AA728">iferror(index(J:J,match($A728&amp;","&amp;index('Year Conversion'!$A:$A,match($C728,'Year Conversion'!$B:$B,0)),$Y:$Y,0))-J728,"")</f>
        <v>2.725128312</v>
      </c>
      <c r="AB728" s="168">
        <f t="array" ref="AB728">iferror(index(K:K,match($A728&amp;","&amp;index('Year Conversion'!$A:$A,match($C728,'Year Conversion'!$B:$B,0)),$Y:$Y,0))-K728,"")</f>
        <v>2.202339638</v>
      </c>
      <c r="AC728" s="168" t="str">
        <f t="shared" si="7"/>
        <v>IND,2014-15</v>
      </c>
    </row>
    <row r="729">
      <c r="A729" s="161" t="str">
        <f>IFERROR(__xludf.DUMMYFUNCTION("""COMPUTED_VALUE"""),"aldrico01")</f>
        <v>aldrico01</v>
      </c>
      <c r="B729" s="161" t="str">
        <f>IFERROR(__xludf.DUMMYFUNCTION("""COMPUTED_VALUE"""),"Cole Aldrich")</f>
        <v>Cole Aldrich</v>
      </c>
      <c r="C729" s="162" t="str">
        <f>IFERROR(__xludf.DUMMYFUNCTION("""COMPUTED_VALUE"""),"2014-15")</f>
        <v>2014-15</v>
      </c>
      <c r="D729" s="163" t="str">
        <f>IFERROR(__xludf.DUMMYFUNCTION("""COMPUTED_VALUE"""),"NYK")</f>
        <v>NYK</v>
      </c>
      <c r="E729" s="164" t="str">
        <f>IFERROR(__xludf.DUMMYFUNCTION("""COMPUTED_VALUE"""),"Post Scorer")</f>
        <v>Post Scorer</v>
      </c>
      <c r="F729" s="164">
        <f>IFERROR(__xludf.DUMMYFUNCTION("""COMPUTED_VALUE"""),976.298333333333)</f>
        <v>976.2983333</v>
      </c>
      <c r="G729" s="163">
        <f>IFERROR(__xludf.DUMMYFUNCTION("""COMPUTED_VALUE"""),61.0)</f>
        <v>61</v>
      </c>
      <c r="H729" s="163" t="str">
        <f>IFERROR(__xludf.DUMMYFUNCTION("""COMPUTED_VALUE"""),"C")</f>
        <v>C</v>
      </c>
      <c r="I729" s="163">
        <f>IFERROR(__xludf.DUMMYFUNCTION("""COMPUTED_VALUE"""),26.0)</f>
        <v>26</v>
      </c>
      <c r="J729" s="165">
        <f>IFERROR(__xludf.DUMMYFUNCTION("""COMPUTED_VALUE"""),-0.70406966759635)</f>
        <v>-0.7040696676</v>
      </c>
      <c r="K729" s="165">
        <f>IFERROR(__xludf.DUMMYFUNCTION("""COMPUTED_VALUE"""),-2.37560937596933)</f>
        <v>-2.375609376</v>
      </c>
      <c r="L729" s="165">
        <f>IFERROR(__xludf.DUMMYFUNCTION("""COMPUTED_VALUE"""),1.67153970837298)</f>
        <v>1.671539708</v>
      </c>
      <c r="M729" s="166">
        <f t="shared" si="2"/>
        <v>1.042019493</v>
      </c>
      <c r="N729" s="167">
        <f t="shared" si="3"/>
        <v>16.00489071</v>
      </c>
      <c r="O729" s="163">
        <f t="shared" ref="O729:Q729" si="733">rank(I729,I:I)</f>
        <v>1665</v>
      </c>
      <c r="P729" s="163">
        <f t="shared" si="733"/>
        <v>2151</v>
      </c>
      <c r="Q729" s="163">
        <f t="shared" si="733"/>
        <v>3860</v>
      </c>
      <c r="R729" s="163">
        <f>IFERROR(__xludf.DUMMYFUNCTION("RANK(M729,filter(M:M,C:C=C729))"),230.0)</f>
        <v>230</v>
      </c>
      <c r="S729" s="161" t="b">
        <f t="shared" si="5"/>
        <v>0</v>
      </c>
      <c r="T729" s="161" t="b">
        <f t="array" ref="T729">index('Query Tool'!B:B,match(H729,'Query Tool'!C:C,0))</f>
        <v>1</v>
      </c>
      <c r="U729" s="161" t="b">
        <f t="array" ref="U729">index('Query Tool'!B:B,match(C729,'Query Tool'!C:C,0))</f>
        <v>0</v>
      </c>
      <c r="V729" s="161" t="b">
        <f>F729&gt;='Query Tool'!C$32</f>
        <v>1</v>
      </c>
      <c r="W729" s="161" t="b">
        <f t="array" ref="W729">index(Dropdowns!B:B,match(I729,Dropdowns!A:A,0))</f>
        <v>1</v>
      </c>
      <c r="X729" s="161" t="b">
        <f t="array" ref="X729">index('Query Tool'!B:B,match(D729,'Query Tool'!C:C,0))</f>
        <v>1</v>
      </c>
      <c r="Y729" s="161" t="str">
        <f t="shared" si="6"/>
        <v>aldrico01,2014-15</v>
      </c>
      <c r="Z729" s="168">
        <f t="array" ref="Z729">iferror(index(I:I,match($A729&amp;","&amp;index('Year Conversion'!$A:$A,match($C729,'Year Conversion'!$B:$B,0)),$Y:$Y,0))-I729,"")</f>
        <v>1</v>
      </c>
      <c r="AA729" s="168">
        <f t="array" ref="AA729">iferror(index(J:J,match($A729&amp;","&amp;index('Year Conversion'!$A:$A,match($C729,'Year Conversion'!$B:$B,0)),$Y:$Y,0))-J729,"")</f>
        <v>2.145829243</v>
      </c>
      <c r="AB729" s="168">
        <f t="array" ref="AB729">iferror(index(K:K,match($A729&amp;","&amp;index('Year Conversion'!$A:$A,match($C729,'Year Conversion'!$B:$B,0)),$Y:$Y,0))-K729,"")</f>
        <v>1.458447289</v>
      </c>
      <c r="AC729" s="168" t="str">
        <f t="shared" si="7"/>
        <v>NYK,2014-15</v>
      </c>
    </row>
    <row r="730">
      <c r="A730" s="161" t="str">
        <f>IFERROR(__xludf.DUMMYFUNCTION("""COMPUTED_VALUE"""),"henryxa01")</f>
        <v>henryxa01</v>
      </c>
      <c r="B730" s="161" t="str">
        <f>IFERROR(__xludf.DUMMYFUNCTION("""COMPUTED_VALUE"""),"Xavier Henry")</f>
        <v>Xavier Henry</v>
      </c>
      <c r="C730" s="162" t="str">
        <f>IFERROR(__xludf.DUMMYFUNCTION("""COMPUTED_VALUE"""),"2014-15")</f>
        <v>2014-15</v>
      </c>
      <c r="D730" s="163" t="str">
        <f>IFERROR(__xludf.DUMMYFUNCTION("""COMPUTED_VALUE"""),"LAL")</f>
        <v>LAL</v>
      </c>
      <c r="E730" s="164" t="str">
        <f>IFERROR(__xludf.DUMMYFUNCTION("""COMPUTED_VALUE"""),"Athletic Finisher")</f>
        <v>Athletic Finisher</v>
      </c>
      <c r="F730" s="164">
        <f>IFERROR(__xludf.DUMMYFUNCTION("""COMPUTED_VALUE"""),85.5666666666667)</f>
        <v>85.56666667</v>
      </c>
      <c r="G730" s="163">
        <f>IFERROR(__xludf.DUMMYFUNCTION("""COMPUTED_VALUE"""),9.0)</f>
        <v>9</v>
      </c>
      <c r="H730" s="163" t="str">
        <f>IFERROR(__xludf.DUMMYFUNCTION("""COMPUTED_VALUE"""),"SF")</f>
        <v>SF</v>
      </c>
      <c r="I730" s="163">
        <f>IFERROR(__xludf.DUMMYFUNCTION("""COMPUTED_VALUE"""),23.0)</f>
        <v>23</v>
      </c>
      <c r="J730" s="165">
        <f>IFERROR(__xludf.DUMMYFUNCTION("""COMPUTED_VALUE"""),-0.0599979059620689)</f>
        <v>-0.05999790596</v>
      </c>
      <c r="K730" s="165">
        <f>IFERROR(__xludf.DUMMYFUNCTION("""COMPUTED_VALUE"""),0.0271836758828243)</f>
        <v>0.02718367588</v>
      </c>
      <c r="L730" s="165">
        <f>IFERROR(__xludf.DUMMYFUNCTION("""COMPUTED_VALUE"""),-0.0871815818448932)</f>
        <v>-0.08718158184</v>
      </c>
      <c r="M730" s="166">
        <f t="shared" si="2"/>
        <v>0.1284541254</v>
      </c>
      <c r="N730" s="167">
        <f t="shared" si="3"/>
        <v>9.507407407</v>
      </c>
      <c r="O730" s="163">
        <f t="shared" ref="O730:Q730" si="734">rank(I730,I:I)</f>
        <v>2765</v>
      </c>
      <c r="P730" s="163">
        <f t="shared" si="734"/>
        <v>1347</v>
      </c>
      <c r="Q730" s="163">
        <f t="shared" si="734"/>
        <v>1160</v>
      </c>
      <c r="R730" s="163">
        <f>IFERROR(__xludf.DUMMYFUNCTION("RANK(M730,filter(M:M,C:C=C730))"),363.0)</f>
        <v>363</v>
      </c>
      <c r="S730" s="161" t="b">
        <f t="shared" si="5"/>
        <v>0</v>
      </c>
      <c r="T730" s="161" t="b">
        <f t="array" ref="T730">index('Query Tool'!B:B,match(H730,'Query Tool'!C:C,0))</f>
        <v>1</v>
      </c>
      <c r="U730" s="161" t="b">
        <f t="array" ref="U730">index('Query Tool'!B:B,match(C730,'Query Tool'!C:C,0))</f>
        <v>0</v>
      </c>
      <c r="V730" s="161" t="b">
        <f>F730&gt;='Query Tool'!C$32</f>
        <v>0</v>
      </c>
      <c r="W730" s="161" t="b">
        <f t="array" ref="W730">index(Dropdowns!B:B,match(I730,Dropdowns!A:A,0))</f>
        <v>1</v>
      </c>
      <c r="X730" s="161" t="b">
        <f t="array" ref="X730">index('Query Tool'!B:B,match(D730,'Query Tool'!C:C,0))</f>
        <v>1</v>
      </c>
      <c r="Y730" s="161" t="str">
        <f t="shared" si="6"/>
        <v>henryxa01,2014-15</v>
      </c>
      <c r="Z730" s="168" t="str">
        <f t="array" ref="Z730">iferror(index(I:I,match($A730&amp;","&amp;index('Year Conversion'!$A:$A,match($C730,'Year Conversion'!$B:$B,0)),$Y:$Y,0))-I730,"")</f>
        <v/>
      </c>
      <c r="AA730" s="168" t="str">
        <f t="array" ref="AA730">iferror(index(J:J,match($A730&amp;","&amp;index('Year Conversion'!$A:$A,match($C730,'Year Conversion'!$B:$B,0)),$Y:$Y,0))-J730,"")</f>
        <v/>
      </c>
      <c r="AB730" s="168" t="str">
        <f t="array" ref="AB730">iferror(index(K:K,match($A730&amp;","&amp;index('Year Conversion'!$A:$A,match($C730,'Year Conversion'!$B:$B,0)),$Y:$Y,0))-K730,"")</f>
        <v/>
      </c>
      <c r="AC730" s="168" t="str">
        <f t="shared" si="7"/>
        <v>LAL,2014-15</v>
      </c>
    </row>
    <row r="731">
      <c r="A731" s="161" t="str">
        <f>IFERROR(__xludf.DUMMYFUNCTION("""COMPUTED_VALUE"""),"davised01")</f>
        <v>davised01</v>
      </c>
      <c r="B731" s="161" t="str">
        <f>IFERROR(__xludf.DUMMYFUNCTION("""COMPUTED_VALUE"""),"Ed Davis")</f>
        <v>Ed Davis</v>
      </c>
      <c r="C731" s="162" t="str">
        <f>IFERROR(__xludf.DUMMYFUNCTION("""COMPUTED_VALUE"""),"2014-15")</f>
        <v>2014-15</v>
      </c>
      <c r="D731" s="163" t="str">
        <f>IFERROR(__xludf.DUMMYFUNCTION("""COMPUTED_VALUE"""),"LAL")</f>
        <v>LAL</v>
      </c>
      <c r="E731" s="164" t="str">
        <f>IFERROR(__xludf.DUMMYFUNCTION("""COMPUTED_VALUE"""),"Roll + Cut Big")</f>
        <v>Roll + Cut Big</v>
      </c>
      <c r="F731" s="164">
        <f>IFERROR(__xludf.DUMMYFUNCTION("""COMPUTED_VALUE"""),1840.03333333333)</f>
        <v>1840.033333</v>
      </c>
      <c r="G731" s="163">
        <f>IFERROR(__xludf.DUMMYFUNCTION("""COMPUTED_VALUE"""),79.0)</f>
        <v>79</v>
      </c>
      <c r="H731" s="163" t="str">
        <f>IFERROR(__xludf.DUMMYFUNCTION("""COMPUTED_VALUE"""),"PF")</f>
        <v>PF</v>
      </c>
      <c r="I731" s="163">
        <f>IFERROR(__xludf.DUMMYFUNCTION("""COMPUTED_VALUE"""),25.0)</f>
        <v>25</v>
      </c>
      <c r="J731" s="165">
        <f>IFERROR(__xludf.DUMMYFUNCTION("""COMPUTED_VALUE"""),0.183135616094724)</f>
        <v>0.1831356161</v>
      </c>
      <c r="K731" s="165">
        <f>IFERROR(__xludf.DUMMYFUNCTION("""COMPUTED_VALUE"""),-0.12244259751818)</f>
        <v>-0.1224425975</v>
      </c>
      <c r="L731" s="165">
        <f>IFERROR(__xludf.DUMMYFUNCTION("""COMPUTED_VALUE"""),0.305578213612904)</f>
        <v>0.3055782136</v>
      </c>
      <c r="M731" s="166">
        <f t="shared" si="2"/>
        <v>3.063893014</v>
      </c>
      <c r="N731" s="167">
        <f t="shared" si="3"/>
        <v>23.29156118</v>
      </c>
      <c r="O731" s="163">
        <f t="shared" ref="O731:Q731" si="735">rank(I731,I:I)</f>
        <v>1995</v>
      </c>
      <c r="P731" s="163">
        <f t="shared" si="735"/>
        <v>1105</v>
      </c>
      <c r="Q731" s="163">
        <f t="shared" si="735"/>
        <v>1412</v>
      </c>
      <c r="R731" s="163">
        <f>IFERROR(__xludf.DUMMYFUNCTION("RANK(M731,filter(M:M,C:C=C731))"),112.0)</f>
        <v>112</v>
      </c>
      <c r="S731" s="161" t="b">
        <f t="shared" si="5"/>
        <v>0</v>
      </c>
      <c r="T731" s="161" t="b">
        <f t="array" ref="T731">index('Query Tool'!B:B,match(H731,'Query Tool'!C:C,0))</f>
        <v>1</v>
      </c>
      <c r="U731" s="161" t="b">
        <f t="array" ref="U731">index('Query Tool'!B:B,match(C731,'Query Tool'!C:C,0))</f>
        <v>0</v>
      </c>
      <c r="V731" s="161" t="b">
        <f>F731&gt;='Query Tool'!C$32</f>
        <v>1</v>
      </c>
      <c r="W731" s="161" t="b">
        <f t="array" ref="W731">index(Dropdowns!B:B,match(I731,Dropdowns!A:A,0))</f>
        <v>1</v>
      </c>
      <c r="X731" s="161" t="b">
        <f t="array" ref="X731">index('Query Tool'!B:B,match(D731,'Query Tool'!C:C,0))</f>
        <v>1</v>
      </c>
      <c r="Y731" s="161" t="str">
        <f t="shared" si="6"/>
        <v>davised01,2014-15</v>
      </c>
      <c r="Z731" s="168">
        <f t="array" ref="Z731">iferror(index(I:I,match($A731&amp;","&amp;index('Year Conversion'!$A:$A,match($C731,'Year Conversion'!$B:$B,0)),$Y:$Y,0))-I731,"")</f>
        <v>1</v>
      </c>
      <c r="AA731" s="168">
        <f t="array" ref="AA731">iferror(index(J:J,match($A731&amp;","&amp;index('Year Conversion'!$A:$A,match($C731,'Year Conversion'!$B:$B,0)),$Y:$Y,0))-J731,"")</f>
        <v>2.135417026</v>
      </c>
      <c r="AB731" s="168">
        <f t="array" ref="AB731">iferror(index(K:K,match($A731&amp;","&amp;index('Year Conversion'!$A:$A,match($C731,'Year Conversion'!$B:$B,0)),$Y:$Y,0))-K731,"")</f>
        <v>0.4578362792</v>
      </c>
      <c r="AC731" s="168" t="str">
        <f t="shared" si="7"/>
        <v>LAL,2014-15</v>
      </c>
    </row>
    <row r="732">
      <c r="A732" s="161" t="str">
        <f>IFERROR(__xludf.DUMMYFUNCTION("""COMPUTED_VALUE"""),"pattepa01")</f>
        <v>pattepa01</v>
      </c>
      <c r="B732" s="161" t="str">
        <f>IFERROR(__xludf.DUMMYFUNCTION("""COMPUTED_VALUE"""),"Patrick Patterson")</f>
        <v>Patrick Patterson</v>
      </c>
      <c r="C732" s="162" t="str">
        <f>IFERROR(__xludf.DUMMYFUNCTION("""COMPUTED_VALUE"""),"2014-15")</f>
        <v>2014-15</v>
      </c>
      <c r="D732" s="163" t="str">
        <f>IFERROR(__xludf.DUMMYFUNCTION("""COMPUTED_VALUE"""),"TOR")</f>
        <v>TOR</v>
      </c>
      <c r="E732" s="164" t="str">
        <f>IFERROR(__xludf.DUMMYFUNCTION("""COMPUTED_VALUE"""),"Stretch Big")</f>
        <v>Stretch Big</v>
      </c>
      <c r="F732" s="164">
        <f>IFERROR(__xludf.DUMMYFUNCTION("""COMPUTED_VALUE"""),2156.29)</f>
        <v>2156.29</v>
      </c>
      <c r="G732" s="163">
        <f>IFERROR(__xludf.DUMMYFUNCTION("""COMPUTED_VALUE"""),81.0)</f>
        <v>81</v>
      </c>
      <c r="H732" s="163" t="str">
        <f>IFERROR(__xludf.DUMMYFUNCTION("""COMPUTED_VALUE"""),"PF")</f>
        <v>PF</v>
      </c>
      <c r="I732" s="163">
        <f>IFERROR(__xludf.DUMMYFUNCTION("""COMPUTED_VALUE"""),25.0)</f>
        <v>25</v>
      </c>
      <c r="J732" s="165">
        <f>IFERROR(__xludf.DUMMYFUNCTION("""COMPUTED_VALUE"""),0.977000992262437)</f>
        <v>0.9770009923</v>
      </c>
      <c r="K732" s="165">
        <f>IFERROR(__xludf.DUMMYFUNCTION("""COMPUTED_VALUE"""),1.96632577653722)</f>
        <v>1.966325777</v>
      </c>
      <c r="L732" s="165">
        <f>IFERROR(__xludf.DUMMYFUNCTION("""COMPUTED_VALUE"""),-0.98932478427478)</f>
        <v>-0.9893247843</v>
      </c>
      <c r="M732" s="166">
        <f t="shared" si="2"/>
        <v>4.742714023</v>
      </c>
      <c r="N732" s="167">
        <f t="shared" si="3"/>
        <v>26.6208642</v>
      </c>
      <c r="O732" s="163">
        <f t="shared" ref="O732:Q732" si="736">rank(I732,I:I)</f>
        <v>1995</v>
      </c>
      <c r="P732" s="163">
        <f t="shared" si="736"/>
        <v>665</v>
      </c>
      <c r="Q732" s="163">
        <f t="shared" si="736"/>
        <v>232</v>
      </c>
      <c r="R732" s="163">
        <f>IFERROR(__xludf.DUMMYFUNCTION("RANK(M732,filter(M:M,C:C=C732))"),64.0)</f>
        <v>64</v>
      </c>
      <c r="S732" s="161" t="b">
        <f t="shared" si="5"/>
        <v>0</v>
      </c>
      <c r="T732" s="161" t="b">
        <f t="array" ref="T732">index('Query Tool'!B:B,match(H732,'Query Tool'!C:C,0))</f>
        <v>1</v>
      </c>
      <c r="U732" s="161" t="b">
        <f t="array" ref="U732">index('Query Tool'!B:B,match(C732,'Query Tool'!C:C,0))</f>
        <v>0</v>
      </c>
      <c r="V732" s="161" t="b">
        <f>F732&gt;='Query Tool'!C$32</f>
        <v>1</v>
      </c>
      <c r="W732" s="161" t="b">
        <f t="array" ref="W732">index(Dropdowns!B:B,match(I732,Dropdowns!A:A,0))</f>
        <v>1</v>
      </c>
      <c r="X732" s="161" t="b">
        <f t="array" ref="X732">index('Query Tool'!B:B,match(D732,'Query Tool'!C:C,0))</f>
        <v>1</v>
      </c>
      <c r="Y732" s="161" t="str">
        <f t="shared" si="6"/>
        <v>pattepa01,2014-15</v>
      </c>
      <c r="Z732" s="168">
        <f t="array" ref="Z732">iferror(index(I:I,match($A732&amp;","&amp;index('Year Conversion'!$A:$A,match($C732,'Year Conversion'!$B:$B,0)),$Y:$Y,0))-I732,"")</f>
        <v>1</v>
      </c>
      <c r="AA732" s="168">
        <f t="array" ref="AA732">iferror(index(J:J,match($A732&amp;","&amp;index('Year Conversion'!$A:$A,match($C732,'Year Conversion'!$B:$B,0)),$Y:$Y,0))-J732,"")</f>
        <v>0.407076067</v>
      </c>
      <c r="AB732" s="168">
        <f t="array" ref="AB732">iferror(index(K:K,match($A732&amp;","&amp;index('Year Conversion'!$A:$A,match($C732,'Year Conversion'!$B:$B,0)),$Y:$Y,0))-K732,"")</f>
        <v>-0.8288356</v>
      </c>
      <c r="AC732" s="168" t="str">
        <f t="shared" si="7"/>
        <v>TOR,2014-15</v>
      </c>
    </row>
    <row r="733">
      <c r="A733" s="161" t="str">
        <f>IFERROR(__xludf.DUMMYFUNCTION("""COMPUTED_VALUE"""),"sandela01")</f>
        <v>sandela01</v>
      </c>
      <c r="B733" s="161" t="str">
        <f>IFERROR(__xludf.DUMMYFUNCTION("""COMPUTED_VALUE"""),"Larry Sanders")</f>
        <v>Larry Sanders</v>
      </c>
      <c r="C733" s="162" t="str">
        <f>IFERROR(__xludf.DUMMYFUNCTION("""COMPUTED_VALUE"""),"2014-15")</f>
        <v>2014-15</v>
      </c>
      <c r="D733" s="163" t="str">
        <f>IFERROR(__xludf.DUMMYFUNCTION("""COMPUTED_VALUE"""),"MIL")</f>
        <v>MIL</v>
      </c>
      <c r="E733" s="164" t="str">
        <f>IFERROR(__xludf.DUMMYFUNCTION("""COMPUTED_VALUE"""),"Roll + Cut Big")</f>
        <v>Roll + Cut Big</v>
      </c>
      <c r="F733" s="164">
        <f>IFERROR(__xludf.DUMMYFUNCTION("""COMPUTED_VALUE"""),585.561666666666)</f>
        <v>585.5616667</v>
      </c>
      <c r="G733" s="163">
        <f>IFERROR(__xludf.DUMMYFUNCTION("""COMPUTED_VALUE"""),27.0)</f>
        <v>27</v>
      </c>
      <c r="H733" s="163" t="str">
        <f>IFERROR(__xludf.DUMMYFUNCTION("""COMPUTED_VALUE"""),"C")</f>
        <v>C</v>
      </c>
      <c r="I733" s="163">
        <f>IFERROR(__xludf.DUMMYFUNCTION("""COMPUTED_VALUE"""),26.0)</f>
        <v>26</v>
      </c>
      <c r="J733" s="165">
        <f>IFERROR(__xludf.DUMMYFUNCTION("""COMPUTED_VALUE"""),0.386753442959941)</f>
        <v>0.386753443</v>
      </c>
      <c r="K733" s="165">
        <f>IFERROR(__xludf.DUMMYFUNCTION("""COMPUTED_VALUE"""),-1.71286779430234)</f>
        <v>-1.712867794</v>
      </c>
      <c r="L733" s="165">
        <f>IFERROR(__xludf.DUMMYFUNCTION("""COMPUTED_VALUE"""),2.09962123726228)</f>
        <v>2.099621237</v>
      </c>
      <c r="M733" s="166">
        <f t="shared" si="2"/>
        <v>1.055391597</v>
      </c>
      <c r="N733" s="167">
        <f t="shared" si="3"/>
        <v>21.68746914</v>
      </c>
      <c r="O733" s="163">
        <f t="shared" ref="O733:Q733" si="737">rank(I733,I:I)</f>
        <v>1665</v>
      </c>
      <c r="P733" s="163">
        <f t="shared" si="737"/>
        <v>957</v>
      </c>
      <c r="Q733" s="163">
        <f t="shared" si="737"/>
        <v>3527</v>
      </c>
      <c r="R733" s="163">
        <f>IFERROR(__xludf.DUMMYFUNCTION("RANK(M733,filter(M:M,C:C=C733))"),229.0)</f>
        <v>229</v>
      </c>
      <c r="S733" s="161" t="b">
        <f t="shared" si="5"/>
        <v>0</v>
      </c>
      <c r="T733" s="161" t="b">
        <f t="array" ref="T733">index('Query Tool'!B:B,match(H733,'Query Tool'!C:C,0))</f>
        <v>1</v>
      </c>
      <c r="U733" s="161" t="b">
        <f t="array" ref="U733">index('Query Tool'!B:B,match(C733,'Query Tool'!C:C,0))</f>
        <v>0</v>
      </c>
      <c r="V733" s="161" t="b">
        <f>F733&gt;='Query Tool'!C$32</f>
        <v>1</v>
      </c>
      <c r="W733" s="161" t="b">
        <f t="array" ref="W733">index(Dropdowns!B:B,match(I733,Dropdowns!A:A,0))</f>
        <v>1</v>
      </c>
      <c r="X733" s="161" t="b">
        <f t="array" ref="X733">index('Query Tool'!B:B,match(D733,'Query Tool'!C:C,0))</f>
        <v>1</v>
      </c>
      <c r="Y733" s="161" t="str">
        <f t="shared" si="6"/>
        <v>sandela01,2014-15</v>
      </c>
      <c r="Z733" s="168" t="str">
        <f t="array" ref="Z733">iferror(index(I:I,match($A733&amp;","&amp;index('Year Conversion'!$A:$A,match($C733,'Year Conversion'!$B:$B,0)),$Y:$Y,0))-I733,"")</f>
        <v/>
      </c>
      <c r="AA733" s="168" t="str">
        <f t="array" ref="AA733">iferror(index(J:J,match($A733&amp;","&amp;index('Year Conversion'!$A:$A,match($C733,'Year Conversion'!$B:$B,0)),$Y:$Y,0))-J733,"")</f>
        <v/>
      </c>
      <c r="AB733" s="168" t="str">
        <f t="array" ref="AB733">iferror(index(K:K,match($A733&amp;","&amp;index('Year Conversion'!$A:$A,match($C733,'Year Conversion'!$B:$B,0)),$Y:$Y,0))-K733,"")</f>
        <v/>
      </c>
      <c r="AC733" s="168" t="str">
        <f t="shared" si="7"/>
        <v>MIL,2014-15</v>
      </c>
    </row>
    <row r="734">
      <c r="A734" s="161" t="str">
        <f>IFERROR(__xludf.DUMMYFUNCTION("""COMPUTED_VALUE"""),"babbilu01")</f>
        <v>babbilu01</v>
      </c>
      <c r="B734" s="161" t="str">
        <f>IFERROR(__xludf.DUMMYFUNCTION("""COMPUTED_VALUE"""),"Luke Babbitt")</f>
        <v>Luke Babbitt</v>
      </c>
      <c r="C734" s="162" t="str">
        <f>IFERROR(__xludf.DUMMYFUNCTION("""COMPUTED_VALUE"""),"2014-15")</f>
        <v>2014-15</v>
      </c>
      <c r="D734" s="163" t="str">
        <f>IFERROR(__xludf.DUMMYFUNCTION("""COMPUTED_VALUE"""),"NOP")</f>
        <v>NOP</v>
      </c>
      <c r="E734" s="164" t="str">
        <f>IFERROR(__xludf.DUMMYFUNCTION("""COMPUTED_VALUE"""),"Stationary Shooter")</f>
        <v>Stationary Shooter</v>
      </c>
      <c r="F734" s="164">
        <f>IFERROR(__xludf.DUMMYFUNCTION("""COMPUTED_VALUE"""),829.573333333333)</f>
        <v>829.5733333</v>
      </c>
      <c r="G734" s="163">
        <f>IFERROR(__xludf.DUMMYFUNCTION("""COMPUTED_VALUE"""),63.0)</f>
        <v>63</v>
      </c>
      <c r="H734" s="163" t="str">
        <f>IFERROR(__xludf.DUMMYFUNCTION("""COMPUTED_VALUE"""),"SF")</f>
        <v>SF</v>
      </c>
      <c r="I734" s="163">
        <f>IFERROR(__xludf.DUMMYFUNCTION("""COMPUTED_VALUE"""),25.0)</f>
        <v>25</v>
      </c>
      <c r="J734" s="165">
        <f>IFERROR(__xludf.DUMMYFUNCTION("""COMPUTED_VALUE"""),-3.16577084466434)</f>
        <v>-3.165770845</v>
      </c>
      <c r="K734" s="165">
        <f>IFERROR(__xludf.DUMMYFUNCTION("""COMPUTED_VALUE"""),-2.08012602864489)</f>
        <v>-2.080126029</v>
      </c>
      <c r="L734" s="165">
        <f>IFERROR(__xludf.DUMMYFUNCTION("""COMPUTED_VALUE"""),-1.08564481601945)</f>
        <v>-1.085644816</v>
      </c>
      <c r="M734" s="166">
        <f t="shared" si="2"/>
        <v>-0.4674111331</v>
      </c>
      <c r="N734" s="167">
        <f t="shared" si="3"/>
        <v>13.16783069</v>
      </c>
      <c r="O734" s="163">
        <f t="shared" ref="O734:Q734" si="738">rank(I734,I:I)</f>
        <v>1995</v>
      </c>
      <c r="P734" s="163">
        <f t="shared" si="738"/>
        <v>3921</v>
      </c>
      <c r="Q734" s="163">
        <f t="shared" si="738"/>
        <v>3750</v>
      </c>
      <c r="R734" s="163">
        <f>IFERROR(__xludf.DUMMYFUNCTION("RANK(M734,filter(M:M,C:C=C734))"),479.0)</f>
        <v>479</v>
      </c>
      <c r="S734" s="161" t="b">
        <f t="shared" si="5"/>
        <v>0</v>
      </c>
      <c r="T734" s="161" t="b">
        <f t="array" ref="T734">index('Query Tool'!B:B,match(H734,'Query Tool'!C:C,0))</f>
        <v>1</v>
      </c>
      <c r="U734" s="161" t="b">
        <f t="array" ref="U734">index('Query Tool'!B:B,match(C734,'Query Tool'!C:C,0))</f>
        <v>0</v>
      </c>
      <c r="V734" s="161" t="b">
        <f>F734&gt;='Query Tool'!C$32</f>
        <v>1</v>
      </c>
      <c r="W734" s="161" t="b">
        <f t="array" ref="W734">index(Dropdowns!B:B,match(I734,Dropdowns!A:A,0))</f>
        <v>1</v>
      </c>
      <c r="X734" s="161" t="b">
        <f t="array" ref="X734">index('Query Tool'!B:B,match(D734,'Query Tool'!C:C,0))</f>
        <v>1</v>
      </c>
      <c r="Y734" s="161" t="str">
        <f t="shared" si="6"/>
        <v>babbilu01,2014-15</v>
      </c>
      <c r="Z734" s="168">
        <f t="array" ref="Z734">iferror(index(I:I,match($A734&amp;","&amp;index('Year Conversion'!$A:$A,match($C734,'Year Conversion'!$B:$B,0)),$Y:$Y,0))-I734,"")</f>
        <v>1</v>
      </c>
      <c r="AA734" s="168">
        <f t="array" ref="AA734">iferror(index(J:J,match($A734&amp;","&amp;index('Year Conversion'!$A:$A,match($C734,'Year Conversion'!$B:$B,0)),$Y:$Y,0))-J734,"")</f>
        <v>1.61841444</v>
      </c>
      <c r="AB734" s="168">
        <f t="array" ref="AB734">iferror(index(K:K,match($A734&amp;","&amp;index('Year Conversion'!$A:$A,match($C734,'Year Conversion'!$B:$B,0)),$Y:$Y,0))-K734,"")</f>
        <v>1.647610673</v>
      </c>
      <c r="AC734" s="168" t="str">
        <f t="shared" si="7"/>
        <v>NOP,2014-15</v>
      </c>
    </row>
    <row r="735">
      <c r="A735" s="161" t="str">
        <f>IFERROR(__xludf.DUMMYFUNCTION("""COMPUTED_VALUE"""),"serapke01")</f>
        <v>serapke01</v>
      </c>
      <c r="B735" s="161" t="str">
        <f>IFERROR(__xludf.DUMMYFUNCTION("""COMPUTED_VALUE"""),"Kevin Seraphin")</f>
        <v>Kevin Seraphin</v>
      </c>
      <c r="C735" s="162" t="str">
        <f>IFERROR(__xludf.DUMMYFUNCTION("""COMPUTED_VALUE"""),"2014-15")</f>
        <v>2014-15</v>
      </c>
      <c r="D735" s="163" t="str">
        <f>IFERROR(__xludf.DUMMYFUNCTION("""COMPUTED_VALUE"""),"WAS")</f>
        <v>WAS</v>
      </c>
      <c r="E735" s="164" t="str">
        <f>IFERROR(__xludf.DUMMYFUNCTION("""COMPUTED_VALUE"""),"Post Scorer")</f>
        <v>Post Scorer</v>
      </c>
      <c r="F735" s="164">
        <f>IFERROR(__xludf.DUMMYFUNCTION("""COMPUTED_VALUE"""),1235.13666666667)</f>
        <v>1235.136667</v>
      </c>
      <c r="G735" s="163">
        <f>IFERROR(__xludf.DUMMYFUNCTION("""COMPUTED_VALUE"""),79.0)</f>
        <v>79</v>
      </c>
      <c r="H735" s="163" t="str">
        <f>IFERROR(__xludf.DUMMYFUNCTION("""COMPUTED_VALUE"""),"C")</f>
        <v>C</v>
      </c>
      <c r="I735" s="163">
        <f>IFERROR(__xludf.DUMMYFUNCTION("""COMPUTED_VALUE"""),25.0)</f>
        <v>25</v>
      </c>
      <c r="J735" s="165">
        <f>IFERROR(__xludf.DUMMYFUNCTION("""COMPUTED_VALUE"""),-2.14433246939199)</f>
        <v>-2.144332469</v>
      </c>
      <c r="K735" s="165">
        <f>IFERROR(__xludf.DUMMYFUNCTION("""COMPUTED_VALUE"""),-2.29669394024588)</f>
        <v>-2.29669394</v>
      </c>
      <c r="L735" s="165">
        <f>IFERROR(__xludf.DUMMYFUNCTION("""COMPUTED_VALUE"""),0.152361470853891)</f>
        <v>0.1523614709</v>
      </c>
      <c r="M735" s="166">
        <f t="shared" si="2"/>
        <v>0.1298672803</v>
      </c>
      <c r="N735" s="167">
        <f t="shared" si="3"/>
        <v>15.63464135</v>
      </c>
      <c r="O735" s="163">
        <f t="shared" ref="O735:Q735" si="739">rank(I735,I:I)</f>
        <v>1995</v>
      </c>
      <c r="P735" s="163">
        <f t="shared" si="739"/>
        <v>3585</v>
      </c>
      <c r="Q735" s="163">
        <f t="shared" si="739"/>
        <v>3832</v>
      </c>
      <c r="R735" s="163">
        <f>IFERROR(__xludf.DUMMYFUNCTION("RANK(M735,filter(M:M,C:C=C735))"),362.0)</f>
        <v>362</v>
      </c>
      <c r="S735" s="161" t="b">
        <f t="shared" si="5"/>
        <v>0</v>
      </c>
      <c r="T735" s="161" t="b">
        <f t="array" ref="T735">index('Query Tool'!B:B,match(H735,'Query Tool'!C:C,0))</f>
        <v>1</v>
      </c>
      <c r="U735" s="161" t="b">
        <f t="array" ref="U735">index('Query Tool'!B:B,match(C735,'Query Tool'!C:C,0))</f>
        <v>0</v>
      </c>
      <c r="V735" s="161" t="b">
        <f>F735&gt;='Query Tool'!C$32</f>
        <v>1</v>
      </c>
      <c r="W735" s="161" t="b">
        <f t="array" ref="W735">index(Dropdowns!B:B,match(I735,Dropdowns!A:A,0))</f>
        <v>1</v>
      </c>
      <c r="X735" s="161" t="b">
        <f t="array" ref="X735">index('Query Tool'!B:B,match(D735,'Query Tool'!C:C,0))</f>
        <v>1</v>
      </c>
      <c r="Y735" s="161" t="str">
        <f t="shared" si="6"/>
        <v>serapke01,2014-15</v>
      </c>
      <c r="Z735" s="168">
        <f t="array" ref="Z735">iferror(index(I:I,match($A735&amp;","&amp;index('Year Conversion'!$A:$A,match($C735,'Year Conversion'!$B:$B,0)),$Y:$Y,0))-I735,"")</f>
        <v>1</v>
      </c>
      <c r="AA735" s="168">
        <f t="array" ref="AA735">iferror(index(J:J,match($A735&amp;","&amp;index('Year Conversion'!$A:$A,match($C735,'Year Conversion'!$B:$B,0)),$Y:$Y,0))-J735,"")</f>
        <v>0.3975471213</v>
      </c>
      <c r="AB735" s="168">
        <f t="array" ref="AB735">iferror(index(K:K,match($A735&amp;","&amp;index('Year Conversion'!$A:$A,match($C735,'Year Conversion'!$B:$B,0)),$Y:$Y,0))-K735,"")</f>
        <v>-0.8851590324</v>
      </c>
      <c r="AC735" s="168" t="str">
        <f t="shared" si="7"/>
        <v>WAS,2014-15</v>
      </c>
    </row>
    <row r="736">
      <c r="A736" s="161" t="str">
        <f>IFERROR(__xludf.DUMMYFUNCTION("""COMPUTED_VALUE"""),"bledser01")</f>
        <v>bledser01</v>
      </c>
      <c r="B736" s="161" t="str">
        <f>IFERROR(__xludf.DUMMYFUNCTION("""COMPUTED_VALUE"""),"Eric Bledsoe")</f>
        <v>Eric Bledsoe</v>
      </c>
      <c r="C736" s="162" t="str">
        <f>IFERROR(__xludf.DUMMYFUNCTION("""COMPUTED_VALUE"""),"2014-15")</f>
        <v>2014-15</v>
      </c>
      <c r="D736" s="163" t="str">
        <f>IFERROR(__xludf.DUMMYFUNCTION("""COMPUTED_VALUE"""),"PHO")</f>
        <v>PHO</v>
      </c>
      <c r="E736" s="164" t="str">
        <f>IFERROR(__xludf.DUMMYFUNCTION("""COMPUTED_VALUE"""),"Slasher")</f>
        <v>Slasher</v>
      </c>
      <c r="F736" s="164">
        <f>IFERROR(__xludf.DUMMYFUNCTION("""COMPUTED_VALUE"""),2799.57333333333)</f>
        <v>2799.573333</v>
      </c>
      <c r="G736" s="163">
        <f>IFERROR(__xludf.DUMMYFUNCTION("""COMPUTED_VALUE"""),81.0)</f>
        <v>81</v>
      </c>
      <c r="H736" s="163" t="str">
        <f>IFERROR(__xludf.DUMMYFUNCTION("""COMPUTED_VALUE"""),"PG")</f>
        <v>PG</v>
      </c>
      <c r="I736" s="163">
        <f>IFERROR(__xludf.DUMMYFUNCTION("""COMPUTED_VALUE"""),25.0)</f>
        <v>25</v>
      </c>
      <c r="J736" s="165">
        <f>IFERROR(__xludf.DUMMYFUNCTION("""COMPUTED_VALUE"""),2.88466508264954)</f>
        <v>2.884665083</v>
      </c>
      <c r="K736" s="165">
        <f>IFERROR(__xludf.DUMMYFUNCTION("""COMPUTED_VALUE"""),1.34099706636779)</f>
        <v>1.340997066</v>
      </c>
      <c r="L736" s="165">
        <f>IFERROR(__xludf.DUMMYFUNCTION("""COMPUTED_VALUE"""),1.54366801628175)</f>
        <v>1.543668016</v>
      </c>
      <c r="M736" s="166">
        <f t="shared" si="2"/>
        <v>9.698572268</v>
      </c>
      <c r="N736" s="167">
        <f t="shared" si="3"/>
        <v>34.56263374</v>
      </c>
      <c r="O736" s="163">
        <f t="shared" ref="O736:Q736" si="740">rank(I736,I:I)</f>
        <v>1995</v>
      </c>
      <c r="P736" s="163">
        <f t="shared" si="740"/>
        <v>182</v>
      </c>
      <c r="Q736" s="163">
        <f t="shared" si="740"/>
        <v>374</v>
      </c>
      <c r="R736" s="163">
        <f>IFERROR(__xludf.DUMMYFUNCTION("RANK(M736,filter(M:M,C:C=C736))"),15.0)</f>
        <v>15</v>
      </c>
      <c r="S736" s="161" t="b">
        <f t="shared" si="5"/>
        <v>0</v>
      </c>
      <c r="T736" s="161" t="b">
        <f t="array" ref="T736">index('Query Tool'!B:B,match(H736,'Query Tool'!C:C,0))</f>
        <v>1</v>
      </c>
      <c r="U736" s="161" t="b">
        <f t="array" ref="U736">index('Query Tool'!B:B,match(C736,'Query Tool'!C:C,0))</f>
        <v>0</v>
      </c>
      <c r="V736" s="161" t="b">
        <f>F736&gt;='Query Tool'!C$32</f>
        <v>1</v>
      </c>
      <c r="W736" s="161" t="b">
        <f t="array" ref="W736">index(Dropdowns!B:B,match(I736,Dropdowns!A:A,0))</f>
        <v>1</v>
      </c>
      <c r="X736" s="161" t="b">
        <f t="array" ref="X736">index('Query Tool'!B:B,match(D736,'Query Tool'!C:C,0))</f>
        <v>1</v>
      </c>
      <c r="Y736" s="161" t="str">
        <f t="shared" si="6"/>
        <v>bledser01,2014-15</v>
      </c>
      <c r="Z736" s="168">
        <f t="array" ref="Z736">iferror(index(I:I,match($A736&amp;","&amp;index('Year Conversion'!$A:$A,match($C736,'Year Conversion'!$B:$B,0)),$Y:$Y,0))-I736,"")</f>
        <v>1</v>
      </c>
      <c r="AA736" s="168">
        <f t="array" ref="AA736">iferror(index(J:J,match($A736&amp;","&amp;index('Year Conversion'!$A:$A,match($C736,'Year Conversion'!$B:$B,0)),$Y:$Y,0))-J736,"")</f>
        <v>-1.240249668</v>
      </c>
      <c r="AB736" s="168">
        <f t="array" ref="AB736">iferror(index(K:K,match($A736&amp;","&amp;index('Year Conversion'!$A:$A,match($C736,'Year Conversion'!$B:$B,0)),$Y:$Y,0))-K736,"")</f>
        <v>-0.5538624776</v>
      </c>
      <c r="AC736" s="168" t="str">
        <f t="shared" si="7"/>
        <v>PHO,2014-15</v>
      </c>
    </row>
    <row r="737">
      <c r="A737" s="161" t="str">
        <f>IFERROR(__xludf.DUMMYFUNCTION("""COMPUTED_VALUE"""),"bradlav01")</f>
        <v>bradlav01</v>
      </c>
      <c r="B737" s="161" t="str">
        <f>IFERROR(__xludf.DUMMYFUNCTION("""COMPUTED_VALUE"""),"Avery Bradley")</f>
        <v>Avery Bradley</v>
      </c>
      <c r="C737" s="162" t="str">
        <f>IFERROR(__xludf.DUMMYFUNCTION("""COMPUTED_VALUE"""),"2014-15")</f>
        <v>2014-15</v>
      </c>
      <c r="D737" s="163" t="str">
        <f>IFERROR(__xludf.DUMMYFUNCTION("""COMPUTED_VALUE"""),"BOS")</f>
        <v>BOS</v>
      </c>
      <c r="E737" s="164" t="str">
        <f>IFERROR(__xludf.DUMMYFUNCTION("""COMPUTED_VALUE"""),"Stationary Shooter")</f>
        <v>Stationary Shooter</v>
      </c>
      <c r="F737" s="164">
        <f>IFERROR(__xludf.DUMMYFUNCTION("""COMPUTED_VALUE"""),2427.54666666667)</f>
        <v>2427.546667</v>
      </c>
      <c r="G737" s="163">
        <f>IFERROR(__xludf.DUMMYFUNCTION("""COMPUTED_VALUE"""),77.0)</f>
        <v>77</v>
      </c>
      <c r="H737" s="163" t="str">
        <f>IFERROR(__xludf.DUMMYFUNCTION("""COMPUTED_VALUE"""),"SG")</f>
        <v>SG</v>
      </c>
      <c r="I737" s="163">
        <f>IFERROR(__xludf.DUMMYFUNCTION("""COMPUTED_VALUE"""),24.0)</f>
        <v>24</v>
      </c>
      <c r="J737" s="165">
        <f>IFERROR(__xludf.DUMMYFUNCTION("""COMPUTED_VALUE"""),-0.44802675718857)</f>
        <v>-0.4480267572</v>
      </c>
      <c r="K737" s="165">
        <f>IFERROR(__xludf.DUMMYFUNCTION("""COMPUTED_VALUE"""),-0.570894008105121)</f>
        <v>-0.5708940081</v>
      </c>
      <c r="L737" s="165">
        <f>IFERROR(__xludf.DUMMYFUNCTION("""COMPUTED_VALUE"""),0.122867250916551)</f>
        <v>0.1228672509</v>
      </c>
      <c r="M737" s="166">
        <f t="shared" si="2"/>
        <v>3.009419381</v>
      </c>
      <c r="N737" s="167">
        <f t="shared" si="3"/>
        <v>31.52658009</v>
      </c>
      <c r="O737" s="163">
        <f t="shared" ref="O737:Q737" si="741">rank(I737,I:I)</f>
        <v>2361</v>
      </c>
      <c r="P737" s="163">
        <f t="shared" si="741"/>
        <v>1772</v>
      </c>
      <c r="Q737" s="163">
        <f t="shared" si="741"/>
        <v>2216</v>
      </c>
      <c r="R737" s="163">
        <f>IFERROR(__xludf.DUMMYFUNCTION("RANK(M737,filter(M:M,C:C=C737))"),118.0)</f>
        <v>118</v>
      </c>
      <c r="S737" s="161" t="b">
        <f t="shared" si="5"/>
        <v>0</v>
      </c>
      <c r="T737" s="161" t="b">
        <f t="array" ref="T737">index('Query Tool'!B:B,match(H737,'Query Tool'!C:C,0))</f>
        <v>1</v>
      </c>
      <c r="U737" s="161" t="b">
        <f t="array" ref="U737">index('Query Tool'!B:B,match(C737,'Query Tool'!C:C,0))</f>
        <v>0</v>
      </c>
      <c r="V737" s="161" t="b">
        <f>F737&gt;='Query Tool'!C$32</f>
        <v>1</v>
      </c>
      <c r="W737" s="161" t="b">
        <f t="array" ref="W737">index(Dropdowns!B:B,match(I737,Dropdowns!A:A,0))</f>
        <v>1</v>
      </c>
      <c r="X737" s="161" t="b">
        <f t="array" ref="X737">index('Query Tool'!B:B,match(D737,'Query Tool'!C:C,0))</f>
        <v>1</v>
      </c>
      <c r="Y737" s="161" t="str">
        <f t="shared" si="6"/>
        <v>bradlav01,2014-15</v>
      </c>
      <c r="Z737" s="168">
        <f t="array" ref="Z737">iferror(index(I:I,match($A737&amp;","&amp;index('Year Conversion'!$A:$A,match($C737,'Year Conversion'!$B:$B,0)),$Y:$Y,0))-I737,"")</f>
        <v>1</v>
      </c>
      <c r="AA737" s="168">
        <f t="array" ref="AA737">iferror(index(J:J,match($A737&amp;","&amp;index('Year Conversion'!$A:$A,match($C737,'Year Conversion'!$B:$B,0)),$Y:$Y,0))-J737,"")</f>
        <v>0.615721148</v>
      </c>
      <c r="AB737" s="168">
        <f t="array" ref="AB737">iferror(index(K:K,match($A737&amp;","&amp;index('Year Conversion'!$A:$A,match($C737,'Year Conversion'!$B:$B,0)),$Y:$Y,0))-K737,"")</f>
        <v>1.004651814</v>
      </c>
      <c r="AC737" s="168" t="str">
        <f t="shared" si="7"/>
        <v>BOS,2014-15</v>
      </c>
    </row>
    <row r="738">
      <c r="A738" s="161" t="str">
        <f>IFERROR(__xludf.DUMMYFUNCTION("""COMPUTED_VALUE"""),"williel01")</f>
        <v>williel01</v>
      </c>
      <c r="B738" s="161" t="str">
        <f>IFERROR(__xludf.DUMMYFUNCTION("""COMPUTED_VALUE"""),"Elliot Williams")</f>
        <v>Elliot Williams</v>
      </c>
      <c r="C738" s="162" t="str">
        <f>IFERROR(__xludf.DUMMYFUNCTION("""COMPUTED_VALUE"""),"2014-15")</f>
        <v>2014-15</v>
      </c>
      <c r="D738" s="163" t="str">
        <f>IFERROR(__xludf.DUMMYFUNCTION("""COMPUTED_VALUE"""),"TOT")</f>
        <v>TOT</v>
      </c>
      <c r="E738" s="164" t="str">
        <f>IFERROR(__xludf.DUMMYFUNCTION("""COMPUTED_VALUE"""),"Stationary Shooter")</f>
        <v>Stationary Shooter</v>
      </c>
      <c r="F738" s="164">
        <f>IFERROR(__xludf.DUMMYFUNCTION("""COMPUTED_VALUE"""),118.755)</f>
        <v>118.755</v>
      </c>
      <c r="G738" s="163">
        <f>IFERROR(__xludf.DUMMYFUNCTION("""COMPUTED_VALUE"""),13.0)</f>
        <v>13</v>
      </c>
      <c r="H738" s="163" t="str">
        <f>IFERROR(__xludf.DUMMYFUNCTION("""COMPUTED_VALUE"""),"SG")</f>
        <v>SG</v>
      </c>
      <c r="I738" s="163">
        <f>IFERROR(__xludf.DUMMYFUNCTION("""COMPUTED_VALUE"""),25.0)</f>
        <v>25</v>
      </c>
      <c r="J738" s="165">
        <f>IFERROR(__xludf.DUMMYFUNCTION("""COMPUTED_VALUE"""),-0.739857456893289)</f>
        <v>-0.7398574569</v>
      </c>
      <c r="K738" s="165">
        <f>IFERROR(__xludf.DUMMYFUNCTION("""COMPUTED_VALUE"""),-0.332239073022799)</f>
        <v>-0.332239073</v>
      </c>
      <c r="L738" s="165">
        <f>IFERROR(__xludf.DUMMYFUNCTION("""COMPUTED_VALUE"""),-0.40761838387049)</f>
        <v>-0.4076183839</v>
      </c>
      <c r="M738" s="166">
        <f t="shared" si="2"/>
        <v>0.123890116</v>
      </c>
      <c r="N738" s="167">
        <f t="shared" si="3"/>
        <v>9.135</v>
      </c>
      <c r="O738" s="163">
        <f t="shared" ref="O738:Q738" si="742">rank(I738,I:I)</f>
        <v>1995</v>
      </c>
      <c r="P738" s="163">
        <f t="shared" si="742"/>
        <v>2201</v>
      </c>
      <c r="Q738" s="163">
        <f t="shared" si="742"/>
        <v>1816</v>
      </c>
      <c r="R738" s="163">
        <f>IFERROR(__xludf.DUMMYFUNCTION("RANK(M738,filter(M:M,C:C=C738))"),365.0)</f>
        <v>365</v>
      </c>
      <c r="S738" s="161" t="b">
        <f t="shared" si="5"/>
        <v>0</v>
      </c>
      <c r="T738" s="161" t="b">
        <f t="array" ref="T738">index('Query Tool'!B:B,match(H738,'Query Tool'!C:C,0))</f>
        <v>1</v>
      </c>
      <c r="U738" s="161" t="b">
        <f t="array" ref="U738">index('Query Tool'!B:B,match(C738,'Query Tool'!C:C,0))</f>
        <v>0</v>
      </c>
      <c r="V738" s="161" t="b">
        <f>F738&gt;='Query Tool'!C$32</f>
        <v>0</v>
      </c>
      <c r="W738" s="161" t="b">
        <f t="array" ref="W738">index(Dropdowns!B:B,match(I738,Dropdowns!A:A,0))</f>
        <v>1</v>
      </c>
      <c r="X738" s="161" t="b">
        <f t="array" ref="X738">index('Query Tool'!B:B,match(D738,'Query Tool'!C:C,0))</f>
        <v>1</v>
      </c>
      <c r="Y738" s="161" t="str">
        <f t="shared" si="6"/>
        <v>williel01,2014-15</v>
      </c>
      <c r="Z738" s="168">
        <f t="array" ref="Z738">iferror(index(I:I,match($A738&amp;","&amp;index('Year Conversion'!$A:$A,match($C738,'Year Conversion'!$B:$B,0)),$Y:$Y,0))-I738,"")</f>
        <v>1</v>
      </c>
      <c r="AA738" s="168">
        <f t="array" ref="AA738">iferror(index(J:J,match($A738&amp;","&amp;index('Year Conversion'!$A:$A,match($C738,'Year Conversion'!$B:$B,0)),$Y:$Y,0))-J738,"")</f>
        <v>0.4007742173</v>
      </c>
      <c r="AB738" s="168">
        <f t="array" ref="AB738">iferror(index(K:K,match($A738&amp;","&amp;index('Year Conversion'!$A:$A,match($C738,'Year Conversion'!$B:$B,0)),$Y:$Y,0))-K738,"")</f>
        <v>0.1062851559</v>
      </c>
      <c r="AC738" s="168" t="str">
        <f t="shared" si="7"/>
        <v>TOT,2014-15</v>
      </c>
    </row>
    <row r="739">
      <c r="A739" s="161" t="str">
        <f>IFERROR(__xludf.DUMMYFUNCTION("""COMPUTED_VALUE"""),"booketr01")</f>
        <v>booketr01</v>
      </c>
      <c r="B739" s="161" t="str">
        <f>IFERROR(__xludf.DUMMYFUNCTION("""COMPUTED_VALUE"""),"Trevor Booker")</f>
        <v>Trevor Booker</v>
      </c>
      <c r="C739" s="162" t="str">
        <f>IFERROR(__xludf.DUMMYFUNCTION("""COMPUTED_VALUE"""),"2014-15")</f>
        <v>2014-15</v>
      </c>
      <c r="D739" s="163" t="str">
        <f>IFERROR(__xludf.DUMMYFUNCTION("""COMPUTED_VALUE"""),"UTA")</f>
        <v>UTA</v>
      </c>
      <c r="E739" s="164" t="str">
        <f>IFERROR(__xludf.DUMMYFUNCTION("""COMPUTED_VALUE"""),"Roll + Cut Big")</f>
        <v>Roll + Cut Big</v>
      </c>
      <c r="F739" s="164">
        <f>IFERROR(__xludf.DUMMYFUNCTION("""COMPUTED_VALUE"""),1563.83333333333)</f>
        <v>1563.833333</v>
      </c>
      <c r="G739" s="163">
        <f>IFERROR(__xludf.DUMMYFUNCTION("""COMPUTED_VALUE"""),79.0)</f>
        <v>79</v>
      </c>
      <c r="H739" s="163" t="str">
        <f>IFERROR(__xludf.DUMMYFUNCTION("""COMPUTED_VALUE"""),"PF")</f>
        <v>PF</v>
      </c>
      <c r="I739" s="163">
        <f>IFERROR(__xludf.DUMMYFUNCTION("""COMPUTED_VALUE"""),27.0)</f>
        <v>27</v>
      </c>
      <c r="J739" s="165">
        <f>IFERROR(__xludf.DUMMYFUNCTION("""COMPUTED_VALUE"""),0.0383447498930106)</f>
        <v>0.03834474989</v>
      </c>
      <c r="K739" s="165">
        <f>IFERROR(__xludf.DUMMYFUNCTION("""COMPUTED_VALUE"""),-0.011993997772849)</f>
        <v>-0.01199399777</v>
      </c>
      <c r="L739" s="165">
        <f>IFERROR(__xludf.DUMMYFUNCTION("""COMPUTED_VALUE"""),0.0503387476658596)</f>
        <v>0.05033874767</v>
      </c>
      <c r="M739" s="166">
        <f t="shared" si="2"/>
        <v>2.451337296</v>
      </c>
      <c r="N739" s="167">
        <f t="shared" si="3"/>
        <v>19.79535865</v>
      </c>
      <c r="O739" s="163">
        <f t="shared" ref="O739:Q739" si="743">rank(I739,I:I)</f>
        <v>1366</v>
      </c>
      <c r="P739" s="163">
        <f t="shared" si="743"/>
        <v>1255</v>
      </c>
      <c r="Q739" s="163">
        <f t="shared" si="743"/>
        <v>1217</v>
      </c>
      <c r="R739" s="163">
        <f>IFERROR(__xludf.DUMMYFUNCTION("RANK(M739,filter(M:M,C:C=C739))"),142.0)</f>
        <v>142</v>
      </c>
      <c r="S739" s="161" t="b">
        <f t="shared" si="5"/>
        <v>0</v>
      </c>
      <c r="T739" s="161" t="b">
        <f t="array" ref="T739">index('Query Tool'!B:B,match(H739,'Query Tool'!C:C,0))</f>
        <v>1</v>
      </c>
      <c r="U739" s="161" t="b">
        <f t="array" ref="U739">index('Query Tool'!B:B,match(C739,'Query Tool'!C:C,0))</f>
        <v>0</v>
      </c>
      <c r="V739" s="161" t="b">
        <f>F739&gt;='Query Tool'!C$32</f>
        <v>1</v>
      </c>
      <c r="W739" s="161" t="b">
        <f t="array" ref="W739">index(Dropdowns!B:B,match(I739,Dropdowns!A:A,0))</f>
        <v>1</v>
      </c>
      <c r="X739" s="161" t="b">
        <f t="array" ref="X739">index('Query Tool'!B:B,match(D739,'Query Tool'!C:C,0))</f>
        <v>1</v>
      </c>
      <c r="Y739" s="161" t="str">
        <f t="shared" si="6"/>
        <v>booketr01,2014-15</v>
      </c>
      <c r="Z739" s="168">
        <f t="array" ref="Z739">iferror(index(I:I,match($A739&amp;","&amp;index('Year Conversion'!$A:$A,match($C739,'Year Conversion'!$B:$B,0)),$Y:$Y,0))-I739,"")</f>
        <v>1</v>
      </c>
      <c r="AA739" s="168">
        <f t="array" ref="AA739">iferror(index(J:J,match($A739&amp;","&amp;index('Year Conversion'!$A:$A,match($C739,'Year Conversion'!$B:$B,0)),$Y:$Y,0))-J739,"")</f>
        <v>0.1578313467</v>
      </c>
      <c r="AB739" s="168">
        <f t="array" ref="AB739">iferror(index(K:K,match($A739&amp;","&amp;index('Year Conversion'!$A:$A,match($C739,'Year Conversion'!$B:$B,0)),$Y:$Y,0))-K739,"")</f>
        <v>-0.6524092204</v>
      </c>
      <c r="AC739" s="168" t="str">
        <f t="shared" si="7"/>
        <v>UTA,2014-15</v>
      </c>
    </row>
    <row r="740">
      <c r="A740" s="161" t="str">
        <f>IFERROR(__xludf.DUMMYFUNCTION("""COMPUTED_VALUE"""),"pondequ01")</f>
        <v>pondequ01</v>
      </c>
      <c r="B740" s="161" t="str">
        <f>IFERROR(__xludf.DUMMYFUNCTION("""COMPUTED_VALUE"""),"Quincy Pondexter")</f>
        <v>Quincy Pondexter</v>
      </c>
      <c r="C740" s="162" t="str">
        <f>IFERROR(__xludf.DUMMYFUNCTION("""COMPUTED_VALUE"""),"2014-15")</f>
        <v>2014-15</v>
      </c>
      <c r="D740" s="163" t="str">
        <f>IFERROR(__xludf.DUMMYFUNCTION("""COMPUTED_VALUE"""),"TOT")</f>
        <v>TOT</v>
      </c>
      <c r="E740" s="164" t="str">
        <f>IFERROR(__xludf.DUMMYFUNCTION("""COMPUTED_VALUE"""),"Movement Shooter")</f>
        <v>Movement Shooter</v>
      </c>
      <c r="F740" s="164">
        <f>IFERROR(__xludf.DUMMYFUNCTION("""COMPUTED_VALUE"""),1793.47666666667)</f>
        <v>1793.476667</v>
      </c>
      <c r="G740" s="163">
        <f>IFERROR(__xludf.DUMMYFUNCTION("""COMPUTED_VALUE"""),75.0)</f>
        <v>75</v>
      </c>
      <c r="H740" s="163" t="str">
        <f>IFERROR(__xludf.DUMMYFUNCTION("""COMPUTED_VALUE"""),"SF-SG")</f>
        <v>SF-SG</v>
      </c>
      <c r="I740" s="163">
        <f>IFERROR(__xludf.DUMMYFUNCTION("""COMPUTED_VALUE"""),26.0)</f>
        <v>26</v>
      </c>
      <c r="J740" s="165">
        <f>IFERROR(__xludf.DUMMYFUNCTION("""COMPUTED_VALUE"""),-1.95116134808439)</f>
        <v>-1.951161348</v>
      </c>
      <c r="K740" s="165">
        <f>IFERROR(__xludf.DUMMYFUNCTION("""COMPUTED_VALUE"""),-0.981743746088849)</f>
        <v>-0.9817437461</v>
      </c>
      <c r="L740" s="165">
        <f>IFERROR(__xludf.DUMMYFUNCTION("""COMPUTED_VALUE"""),-0.969417601995544)</f>
        <v>-0.969417602</v>
      </c>
      <c r="M740" s="166">
        <f t="shared" si="2"/>
        <v>0.4181074056</v>
      </c>
      <c r="N740" s="167">
        <f t="shared" si="3"/>
        <v>23.91302222</v>
      </c>
      <c r="O740" s="163">
        <f t="shared" ref="O740:Q740" si="744">rank(I740,I:I)</f>
        <v>1665</v>
      </c>
      <c r="P740" s="163">
        <f t="shared" si="744"/>
        <v>3448</v>
      </c>
      <c r="Q740" s="163">
        <f t="shared" si="744"/>
        <v>2777</v>
      </c>
      <c r="R740" s="163">
        <f>IFERROR(__xludf.DUMMYFUNCTION("RANK(M740,filter(M:M,C:C=C740))"),292.0)</f>
        <v>292</v>
      </c>
      <c r="S740" s="161" t="b">
        <f t="shared" si="5"/>
        <v>0</v>
      </c>
      <c r="T740" s="161" t="str">
        <f t="array" ref="T740">index('Query Tool'!B:B,match(H740,'Query Tool'!C:C,0))</f>
        <v>#N/A</v>
      </c>
      <c r="U740" s="161" t="b">
        <f t="array" ref="U740">index('Query Tool'!B:B,match(C740,'Query Tool'!C:C,0))</f>
        <v>0</v>
      </c>
      <c r="V740" s="161" t="b">
        <f>F740&gt;='Query Tool'!C$32</f>
        <v>1</v>
      </c>
      <c r="W740" s="161" t="b">
        <f t="array" ref="W740">index(Dropdowns!B:B,match(I740,Dropdowns!A:A,0))</f>
        <v>1</v>
      </c>
      <c r="X740" s="161" t="b">
        <f t="array" ref="X740">index('Query Tool'!B:B,match(D740,'Query Tool'!C:C,0))</f>
        <v>1</v>
      </c>
      <c r="Y740" s="161" t="str">
        <f t="shared" si="6"/>
        <v>pondequ01,2014-15</v>
      </c>
      <c r="Z740" s="168" t="str">
        <f t="array" ref="Z740">iferror(index(I:I,match($A740&amp;","&amp;index('Year Conversion'!$A:$A,match($C740,'Year Conversion'!$B:$B,0)),$Y:$Y,0))-I740,"")</f>
        <v/>
      </c>
      <c r="AA740" s="168" t="str">
        <f t="array" ref="AA740">iferror(index(J:J,match($A740&amp;","&amp;index('Year Conversion'!$A:$A,match($C740,'Year Conversion'!$B:$B,0)),$Y:$Y,0))-J740,"")</f>
        <v/>
      </c>
      <c r="AB740" s="168" t="str">
        <f t="array" ref="AB740">iferror(index(K:K,match($A740&amp;","&amp;index('Year Conversion'!$A:$A,match($C740,'Year Conversion'!$B:$B,0)),$Y:$Y,0))-K740,"")</f>
        <v/>
      </c>
      <c r="AC740" s="168" t="str">
        <f t="shared" si="7"/>
        <v>TOT,2014-15</v>
      </c>
    </row>
    <row r="741">
      <c r="A741" s="161" t="str">
        <f>IFERROR(__xludf.DUMMYFUNCTION("""COMPUTED_VALUE"""),"vasqugr01")</f>
        <v>vasqugr01</v>
      </c>
      <c r="B741" s="161" t="str">
        <f>IFERROR(__xludf.DUMMYFUNCTION("""COMPUTED_VALUE"""),"Greivis Vasquez")</f>
        <v>Greivis Vasquez</v>
      </c>
      <c r="C741" s="162" t="str">
        <f>IFERROR(__xludf.DUMMYFUNCTION("""COMPUTED_VALUE"""),"2014-15")</f>
        <v>2014-15</v>
      </c>
      <c r="D741" s="163" t="str">
        <f>IFERROR(__xludf.DUMMYFUNCTION("""COMPUTED_VALUE"""),"TOR")</f>
        <v>TOR</v>
      </c>
      <c r="E741" s="164" t="str">
        <f>IFERROR(__xludf.DUMMYFUNCTION("""COMPUTED_VALUE"""),"Primary Ball Handler")</f>
        <v>Primary Ball Handler</v>
      </c>
      <c r="F741" s="164">
        <f>IFERROR(__xludf.DUMMYFUNCTION("""COMPUTED_VALUE"""),1990.645)</f>
        <v>1990.645</v>
      </c>
      <c r="G741" s="163">
        <f>IFERROR(__xludf.DUMMYFUNCTION("""COMPUTED_VALUE"""),82.0)</f>
        <v>82</v>
      </c>
      <c r="H741" s="163" t="str">
        <f>IFERROR(__xludf.DUMMYFUNCTION("""COMPUTED_VALUE"""),"PG")</f>
        <v>PG</v>
      </c>
      <c r="I741" s="163">
        <f>IFERROR(__xludf.DUMMYFUNCTION("""COMPUTED_VALUE"""),28.0)</f>
        <v>28</v>
      </c>
      <c r="J741" s="165">
        <f>IFERROR(__xludf.DUMMYFUNCTION("""COMPUTED_VALUE"""),-1.26037749759987)</f>
        <v>-1.260377498</v>
      </c>
      <c r="K741" s="165">
        <f>IFERROR(__xludf.DUMMYFUNCTION("""COMPUTED_VALUE"""),0.537428381820606)</f>
        <v>0.5374283818</v>
      </c>
      <c r="L741" s="165">
        <f>IFERROR(__xludf.DUMMYFUNCTION("""COMPUTED_VALUE"""),-1.79780587942048)</f>
        <v>-1.797805879</v>
      </c>
      <c r="M741" s="166">
        <f t="shared" si="2"/>
        <v>1.381115932</v>
      </c>
      <c r="N741" s="167">
        <f t="shared" si="3"/>
        <v>24.27615854</v>
      </c>
      <c r="O741" s="163">
        <f t="shared" ref="O741:Q741" si="745">rank(I741,I:I)</f>
        <v>1090</v>
      </c>
      <c r="P741" s="163">
        <f t="shared" si="745"/>
        <v>2825</v>
      </c>
      <c r="Q741" s="163">
        <f t="shared" si="745"/>
        <v>748</v>
      </c>
      <c r="R741" s="163">
        <f>IFERROR(__xludf.DUMMYFUNCTION("RANK(M741,filter(M:M,C:C=C741))"),210.0)</f>
        <v>210</v>
      </c>
      <c r="S741" s="161" t="b">
        <f t="shared" si="5"/>
        <v>0</v>
      </c>
      <c r="T741" s="161" t="b">
        <f t="array" ref="T741">index('Query Tool'!B:B,match(H741,'Query Tool'!C:C,0))</f>
        <v>1</v>
      </c>
      <c r="U741" s="161" t="b">
        <f t="array" ref="U741">index('Query Tool'!B:B,match(C741,'Query Tool'!C:C,0))</f>
        <v>0</v>
      </c>
      <c r="V741" s="161" t="b">
        <f>F741&gt;='Query Tool'!C$32</f>
        <v>1</v>
      </c>
      <c r="W741" s="161" t="b">
        <f t="array" ref="W741">index(Dropdowns!B:B,match(I741,Dropdowns!A:A,0))</f>
        <v>1</v>
      </c>
      <c r="X741" s="161" t="b">
        <f t="array" ref="X741">index('Query Tool'!B:B,match(D741,'Query Tool'!C:C,0))</f>
        <v>1</v>
      </c>
      <c r="Y741" s="161" t="str">
        <f t="shared" si="6"/>
        <v>vasqugr01,2014-15</v>
      </c>
      <c r="Z741" s="168">
        <f t="array" ref="Z741">iferror(index(I:I,match($A741&amp;","&amp;index('Year Conversion'!$A:$A,match($C741,'Year Conversion'!$B:$B,0)),$Y:$Y,0))-I741,"")</f>
        <v>1</v>
      </c>
      <c r="AA741" s="168">
        <f t="array" ref="AA741">iferror(index(J:J,match($A741&amp;","&amp;index('Year Conversion'!$A:$A,match($C741,'Year Conversion'!$B:$B,0)),$Y:$Y,0))-J741,"")</f>
        <v>-1.200057382</v>
      </c>
      <c r="AB741" s="168">
        <f t="array" ref="AB741">iferror(index(K:K,match($A741&amp;","&amp;index('Year Conversion'!$A:$A,match($C741,'Year Conversion'!$B:$B,0)),$Y:$Y,0))-K741,"")</f>
        <v>-0.9064751835</v>
      </c>
      <c r="AC741" s="168" t="str">
        <f t="shared" si="7"/>
        <v>TOR,2014-15</v>
      </c>
    </row>
    <row r="742">
      <c r="A742" s="161" t="str">
        <f>IFERROR(__xludf.DUMMYFUNCTION("""COMPUTED_VALUE"""),"whiteha01")</f>
        <v>whiteha01</v>
      </c>
      <c r="B742" s="161" t="str">
        <f>IFERROR(__xludf.DUMMYFUNCTION("""COMPUTED_VALUE"""),"Hassan Whiteside")</f>
        <v>Hassan Whiteside</v>
      </c>
      <c r="C742" s="162" t="str">
        <f>IFERROR(__xludf.DUMMYFUNCTION("""COMPUTED_VALUE"""),"2014-15")</f>
        <v>2014-15</v>
      </c>
      <c r="D742" s="163" t="str">
        <f>IFERROR(__xludf.DUMMYFUNCTION("""COMPUTED_VALUE"""),"MIA")</f>
        <v>MIA</v>
      </c>
      <c r="E742" s="164" t="str">
        <f>IFERROR(__xludf.DUMMYFUNCTION("""COMPUTED_VALUE"""),"Post Scorer")</f>
        <v>Post Scorer</v>
      </c>
      <c r="F742" s="164">
        <f>IFERROR(__xludf.DUMMYFUNCTION("""COMPUTED_VALUE"""),1142.20666666667)</f>
        <v>1142.206667</v>
      </c>
      <c r="G742" s="163">
        <f>IFERROR(__xludf.DUMMYFUNCTION("""COMPUTED_VALUE"""),48.0)</f>
        <v>48</v>
      </c>
      <c r="H742" s="163" t="str">
        <f>IFERROR(__xludf.DUMMYFUNCTION("""COMPUTED_VALUE"""),"C")</f>
        <v>C</v>
      </c>
      <c r="I742" s="163">
        <f>IFERROR(__xludf.DUMMYFUNCTION("""COMPUTED_VALUE"""),25.0)</f>
        <v>25</v>
      </c>
      <c r="J742" s="165">
        <f>IFERROR(__xludf.DUMMYFUNCTION("""COMPUTED_VALUE"""),3.32981450390864)</f>
        <v>3.329814504</v>
      </c>
      <c r="K742" s="165">
        <f>IFERROR(__xludf.DUMMYFUNCTION("""COMPUTED_VALUE"""),0.808306971998426)</f>
        <v>0.808306972</v>
      </c>
      <c r="L742" s="165">
        <f>IFERROR(__xludf.DUMMYFUNCTION("""COMPUTED_VALUE"""),2.52150753191022)</f>
        <v>2.521507532</v>
      </c>
      <c r="M742" s="166">
        <f t="shared" si="2"/>
        <v>4.286292116</v>
      </c>
      <c r="N742" s="167">
        <f t="shared" si="3"/>
        <v>23.79597222</v>
      </c>
      <c r="O742" s="163">
        <f t="shared" ref="O742:Q742" si="746">rank(I742,I:I)</f>
        <v>1995</v>
      </c>
      <c r="P742" s="163">
        <f t="shared" si="746"/>
        <v>144</v>
      </c>
      <c r="Q742" s="163">
        <f t="shared" si="746"/>
        <v>599</v>
      </c>
      <c r="R742" s="163">
        <f>IFERROR(__xludf.DUMMYFUNCTION("RANK(M742,filter(M:M,C:C=C742))"),77.0)</f>
        <v>77</v>
      </c>
      <c r="S742" s="161" t="b">
        <f t="shared" si="5"/>
        <v>0</v>
      </c>
      <c r="T742" s="161" t="b">
        <f t="array" ref="T742">index('Query Tool'!B:B,match(H742,'Query Tool'!C:C,0))</f>
        <v>1</v>
      </c>
      <c r="U742" s="161" t="b">
        <f t="array" ref="U742">index('Query Tool'!B:B,match(C742,'Query Tool'!C:C,0))</f>
        <v>0</v>
      </c>
      <c r="V742" s="161" t="b">
        <f>F742&gt;='Query Tool'!C$32</f>
        <v>1</v>
      </c>
      <c r="W742" s="161" t="b">
        <f t="array" ref="W742">index(Dropdowns!B:B,match(I742,Dropdowns!A:A,0))</f>
        <v>1</v>
      </c>
      <c r="X742" s="161" t="b">
        <f t="array" ref="X742">index('Query Tool'!B:B,match(D742,'Query Tool'!C:C,0))</f>
        <v>1</v>
      </c>
      <c r="Y742" s="161" t="str">
        <f t="shared" si="6"/>
        <v>whiteha01,2014-15</v>
      </c>
      <c r="Z742" s="168">
        <f t="array" ref="Z742">iferror(index(I:I,match($A742&amp;","&amp;index('Year Conversion'!$A:$A,match($C742,'Year Conversion'!$B:$B,0)),$Y:$Y,0))-I742,"")</f>
        <v>1</v>
      </c>
      <c r="AA742" s="168">
        <f t="array" ref="AA742">iferror(index(J:J,match($A742&amp;","&amp;index('Year Conversion'!$A:$A,match($C742,'Year Conversion'!$B:$B,0)),$Y:$Y,0))-J742,"")</f>
        <v>0.3884316158</v>
      </c>
      <c r="AB742" s="168">
        <f t="array" ref="AB742">iferror(index(K:K,match($A742&amp;","&amp;index('Year Conversion'!$A:$A,match($C742,'Year Conversion'!$B:$B,0)),$Y:$Y,0))-K742,"")</f>
        <v>-0.2828938479</v>
      </c>
      <c r="AC742" s="168" t="str">
        <f t="shared" si="7"/>
        <v>MIA,2014-15</v>
      </c>
    </row>
    <row r="743">
      <c r="A743" s="161" t="str">
        <f>IFERROR(__xludf.DUMMYFUNCTION("""COMPUTED_VALUE"""),"fieldla01")</f>
        <v>fieldla01</v>
      </c>
      <c r="B743" s="161" t="str">
        <f>IFERROR(__xludf.DUMMYFUNCTION("""COMPUTED_VALUE"""),"Landry Fields")</f>
        <v>Landry Fields</v>
      </c>
      <c r="C743" s="162" t="str">
        <f>IFERROR(__xludf.DUMMYFUNCTION("""COMPUTED_VALUE"""),"2014-15")</f>
        <v>2014-15</v>
      </c>
      <c r="D743" s="163" t="str">
        <f>IFERROR(__xludf.DUMMYFUNCTION("""COMPUTED_VALUE"""),"TOR")</f>
        <v>TOR</v>
      </c>
      <c r="E743" s="164" t="str">
        <f>IFERROR(__xludf.DUMMYFUNCTION("""COMPUTED_VALUE"""),"Athletic Finisher")</f>
        <v>Athletic Finisher</v>
      </c>
      <c r="F743" s="164">
        <f>IFERROR(__xludf.DUMMYFUNCTION("""COMPUTED_VALUE"""),216.473333333334)</f>
        <v>216.4733333</v>
      </c>
      <c r="G743" s="163">
        <f>IFERROR(__xludf.DUMMYFUNCTION("""COMPUTED_VALUE"""),26.0)</f>
        <v>26</v>
      </c>
      <c r="H743" s="163" t="str">
        <f>IFERROR(__xludf.DUMMYFUNCTION("""COMPUTED_VALUE"""),"SF")</f>
        <v>SF</v>
      </c>
      <c r="I743" s="163">
        <f>IFERROR(__xludf.DUMMYFUNCTION("""COMPUTED_VALUE"""),26.0)</f>
        <v>26</v>
      </c>
      <c r="J743" s="165">
        <f>IFERROR(__xludf.DUMMYFUNCTION("""COMPUTED_VALUE"""),-2.77516980148244)</f>
        <v>-2.775169801</v>
      </c>
      <c r="K743" s="165">
        <f>IFERROR(__xludf.DUMMYFUNCTION("""COMPUTED_VALUE"""),-2.0404823395685)</f>
        <v>-2.04048234</v>
      </c>
      <c r="L743" s="165">
        <f>IFERROR(__xludf.DUMMYFUNCTION("""COMPUTED_VALUE"""),-0.734687461913945)</f>
        <v>-0.7346874619</v>
      </c>
      <c r="M743" s="166">
        <f t="shared" si="2"/>
        <v>-0.06701152019</v>
      </c>
      <c r="N743" s="167">
        <f t="shared" si="3"/>
        <v>8.325897436</v>
      </c>
      <c r="O743" s="163">
        <f t="shared" ref="O743:Q743" si="747">rank(I743,I:I)</f>
        <v>1665</v>
      </c>
      <c r="P743" s="163">
        <f t="shared" si="747"/>
        <v>3838</v>
      </c>
      <c r="Q743" s="163">
        <f t="shared" si="747"/>
        <v>3729</v>
      </c>
      <c r="R743" s="163">
        <f>IFERROR(__xludf.DUMMYFUNCTION("RANK(M743,filter(M:M,C:C=C743))"),450.0)</f>
        <v>450</v>
      </c>
      <c r="S743" s="161" t="b">
        <f t="shared" si="5"/>
        <v>0</v>
      </c>
      <c r="T743" s="161" t="b">
        <f t="array" ref="T743">index('Query Tool'!B:B,match(H743,'Query Tool'!C:C,0))</f>
        <v>1</v>
      </c>
      <c r="U743" s="161" t="b">
        <f t="array" ref="U743">index('Query Tool'!B:B,match(C743,'Query Tool'!C:C,0))</f>
        <v>0</v>
      </c>
      <c r="V743" s="161" t="b">
        <f>F743&gt;='Query Tool'!C$32</f>
        <v>0</v>
      </c>
      <c r="W743" s="161" t="b">
        <f t="array" ref="W743">index(Dropdowns!B:B,match(I743,Dropdowns!A:A,0))</f>
        <v>1</v>
      </c>
      <c r="X743" s="161" t="b">
        <f t="array" ref="X743">index('Query Tool'!B:B,match(D743,'Query Tool'!C:C,0))</f>
        <v>1</v>
      </c>
      <c r="Y743" s="161" t="str">
        <f t="shared" si="6"/>
        <v>fieldla01,2014-15</v>
      </c>
      <c r="Z743" s="168" t="str">
        <f t="array" ref="Z743">iferror(index(I:I,match($A743&amp;","&amp;index('Year Conversion'!$A:$A,match($C743,'Year Conversion'!$B:$B,0)),$Y:$Y,0))-I743,"")</f>
        <v/>
      </c>
      <c r="AA743" s="168" t="str">
        <f t="array" ref="AA743">iferror(index(J:J,match($A743&amp;","&amp;index('Year Conversion'!$A:$A,match($C743,'Year Conversion'!$B:$B,0)),$Y:$Y,0))-J743,"")</f>
        <v/>
      </c>
      <c r="AB743" s="168" t="str">
        <f t="array" ref="AB743">iferror(index(K:K,match($A743&amp;","&amp;index('Year Conversion'!$A:$A,match($C743,'Year Conversion'!$B:$B,0)),$Y:$Y,0))-K743,"")</f>
        <v/>
      </c>
      <c r="AC743" s="168" t="str">
        <f t="shared" si="7"/>
        <v>TOR,2014-15</v>
      </c>
    </row>
    <row r="744">
      <c r="A744" s="161" t="str">
        <f>IFERROR(__xludf.DUMMYFUNCTION("""COMPUTED_VALUE"""),"stephla01")</f>
        <v>stephla01</v>
      </c>
      <c r="B744" s="161" t="str">
        <f>IFERROR(__xludf.DUMMYFUNCTION("""COMPUTED_VALUE"""),"Lance Stephenson")</f>
        <v>Lance Stephenson</v>
      </c>
      <c r="C744" s="162" t="str">
        <f>IFERROR(__xludf.DUMMYFUNCTION("""COMPUTED_VALUE"""),"2014-15")</f>
        <v>2014-15</v>
      </c>
      <c r="D744" s="163" t="str">
        <f>IFERROR(__xludf.DUMMYFUNCTION("""COMPUTED_VALUE"""),"CHO")</f>
        <v>CHO</v>
      </c>
      <c r="E744" s="164" t="str">
        <f>IFERROR(__xludf.DUMMYFUNCTION("""COMPUTED_VALUE"""),"Secondary Ball Handler")</f>
        <v>Secondary Ball Handler</v>
      </c>
      <c r="F744" s="164">
        <f>IFERROR(__xludf.DUMMYFUNCTION("""COMPUTED_VALUE"""),1573.23833333333)</f>
        <v>1573.238333</v>
      </c>
      <c r="G744" s="163">
        <f>IFERROR(__xludf.DUMMYFUNCTION("""COMPUTED_VALUE"""),61.0)</f>
        <v>61</v>
      </c>
      <c r="H744" s="163" t="str">
        <f>IFERROR(__xludf.DUMMYFUNCTION("""COMPUTED_VALUE"""),"SG")</f>
        <v>SG</v>
      </c>
      <c r="I744" s="163">
        <f>IFERROR(__xludf.DUMMYFUNCTION("""COMPUTED_VALUE"""),24.0)</f>
        <v>24</v>
      </c>
      <c r="J744" s="165">
        <f>IFERROR(__xludf.DUMMYFUNCTION("""COMPUTED_VALUE"""),-2.1532296411908)</f>
        <v>-2.153229641</v>
      </c>
      <c r="K744" s="165">
        <f>IFERROR(__xludf.DUMMYFUNCTION("""COMPUTED_VALUE"""),-2.34991591891125)</f>
        <v>-2.349915919</v>
      </c>
      <c r="L744" s="165">
        <f>IFERROR(__xludf.DUMMYFUNCTION("""COMPUTED_VALUE"""),0.196686277720451)</f>
        <v>0.1966862777</v>
      </c>
      <c r="M744" s="166">
        <f t="shared" si="2"/>
        <v>0.1561590676</v>
      </c>
      <c r="N744" s="167">
        <f t="shared" si="3"/>
        <v>25.79079235</v>
      </c>
      <c r="O744" s="163">
        <f t="shared" ref="O744:Q744" si="748">rank(I744,I:I)</f>
        <v>2361</v>
      </c>
      <c r="P744" s="163">
        <f t="shared" si="748"/>
        <v>3586</v>
      </c>
      <c r="Q744" s="163">
        <f t="shared" si="748"/>
        <v>3850</v>
      </c>
      <c r="R744" s="163">
        <f>IFERROR(__xludf.DUMMYFUNCTION("RANK(M744,filter(M:M,C:C=C744))"),348.0)</f>
        <v>348</v>
      </c>
      <c r="S744" s="161" t="b">
        <f t="shared" si="5"/>
        <v>0</v>
      </c>
      <c r="T744" s="161" t="b">
        <f t="array" ref="T744">index('Query Tool'!B:B,match(H744,'Query Tool'!C:C,0))</f>
        <v>1</v>
      </c>
      <c r="U744" s="161" t="b">
        <f t="array" ref="U744">index('Query Tool'!B:B,match(C744,'Query Tool'!C:C,0))</f>
        <v>0</v>
      </c>
      <c r="V744" s="161" t="b">
        <f>F744&gt;='Query Tool'!C$32</f>
        <v>1</v>
      </c>
      <c r="W744" s="161" t="b">
        <f t="array" ref="W744">index(Dropdowns!B:B,match(I744,Dropdowns!A:A,0))</f>
        <v>1</v>
      </c>
      <c r="X744" s="161" t="b">
        <f t="array" ref="X744">index('Query Tool'!B:B,match(D744,'Query Tool'!C:C,0))</f>
        <v>1</v>
      </c>
      <c r="Y744" s="161" t="str">
        <f t="shared" si="6"/>
        <v>stephla01,2014-15</v>
      </c>
      <c r="Z744" s="168">
        <f t="array" ref="Z744">iferror(index(I:I,match($A744&amp;","&amp;index('Year Conversion'!$A:$A,match($C744,'Year Conversion'!$B:$B,0)),$Y:$Y,0))-I744,"")</f>
        <v>1</v>
      </c>
      <c r="AA744" s="168">
        <f t="array" ref="AA744">iferror(index(J:J,match($A744&amp;","&amp;index('Year Conversion'!$A:$A,match($C744,'Year Conversion'!$B:$B,0)),$Y:$Y,0))-J744,"")</f>
        <v>-0.2197195095</v>
      </c>
      <c r="AB744" s="168">
        <f t="array" ref="AB744">iferror(index(K:K,match($A744&amp;","&amp;index('Year Conversion'!$A:$A,match($C744,'Year Conversion'!$B:$B,0)),$Y:$Y,0))-K744,"")</f>
        <v>1.710511522</v>
      </c>
      <c r="AC744" s="168" t="str">
        <f t="shared" si="7"/>
        <v>CHO,2014-15</v>
      </c>
    </row>
    <row r="745">
      <c r="A745" s="161" t="str">
        <f>IFERROR(__xludf.DUMMYFUNCTION("""COMPUTED_VALUE"""),"jordaje01")</f>
        <v>jordaje01</v>
      </c>
      <c r="B745" s="161" t="str">
        <f>IFERROR(__xludf.DUMMYFUNCTION("""COMPUTED_VALUE"""),"Jerome Jordan")</f>
        <v>Jerome Jordan</v>
      </c>
      <c r="C745" s="162" t="str">
        <f>IFERROR(__xludf.DUMMYFUNCTION("""COMPUTED_VALUE"""),"2014-15")</f>
        <v>2014-15</v>
      </c>
      <c r="D745" s="163" t="str">
        <f>IFERROR(__xludf.DUMMYFUNCTION("""COMPUTED_VALUE"""),"BRK")</f>
        <v>BRK</v>
      </c>
      <c r="E745" s="164" t="str">
        <f>IFERROR(__xludf.DUMMYFUNCTION("""COMPUTED_VALUE"""),"Roll + Cut Big")</f>
        <v>Roll + Cut Big</v>
      </c>
      <c r="F745" s="164">
        <f>IFERROR(__xludf.DUMMYFUNCTION("""COMPUTED_VALUE"""),383.006666666667)</f>
        <v>383.0066667</v>
      </c>
      <c r="G745" s="163">
        <f>IFERROR(__xludf.DUMMYFUNCTION("""COMPUTED_VALUE"""),44.0)</f>
        <v>44</v>
      </c>
      <c r="H745" s="163" t="str">
        <f>IFERROR(__xludf.DUMMYFUNCTION("""COMPUTED_VALUE"""),"C")</f>
        <v>C</v>
      </c>
      <c r="I745" s="163">
        <f>IFERROR(__xludf.DUMMYFUNCTION("""COMPUTED_VALUE"""),28.0)</f>
        <v>28</v>
      </c>
      <c r="J745" s="165">
        <f>IFERROR(__xludf.DUMMYFUNCTION("""COMPUTED_VALUE"""),-1.70240394383626)</f>
        <v>-1.702403944</v>
      </c>
      <c r="K745" s="165">
        <f>IFERROR(__xludf.DUMMYFUNCTION("""COMPUTED_VALUE"""),-1.26154309534039)</f>
        <v>-1.261543095</v>
      </c>
      <c r="L745" s="165">
        <f>IFERROR(__xludf.DUMMYFUNCTION("""COMPUTED_VALUE"""),-0.440860848495874)</f>
        <v>-0.4408608485</v>
      </c>
      <c r="M745" s="166">
        <f t="shared" si="2"/>
        <v>0.1526365906</v>
      </c>
      <c r="N745" s="167">
        <f t="shared" si="3"/>
        <v>8.70469697</v>
      </c>
      <c r="O745" s="163">
        <f t="shared" ref="O745:Q745" si="749">rank(I745,I:I)</f>
        <v>1090</v>
      </c>
      <c r="P745" s="163">
        <f t="shared" si="749"/>
        <v>3244</v>
      </c>
      <c r="Q745" s="163">
        <f t="shared" si="749"/>
        <v>3095</v>
      </c>
      <c r="R745" s="163">
        <f>IFERROR(__xludf.DUMMYFUNCTION("RANK(M745,filter(M:M,C:C=C745))"),350.0)</f>
        <v>350</v>
      </c>
      <c r="S745" s="161" t="b">
        <f t="shared" si="5"/>
        <v>0</v>
      </c>
      <c r="T745" s="161" t="b">
        <f t="array" ref="T745">index('Query Tool'!B:B,match(H745,'Query Tool'!C:C,0))</f>
        <v>1</v>
      </c>
      <c r="U745" s="161" t="b">
        <f t="array" ref="U745">index('Query Tool'!B:B,match(C745,'Query Tool'!C:C,0))</f>
        <v>0</v>
      </c>
      <c r="V745" s="161" t="b">
        <f>F745&gt;='Query Tool'!C$32</f>
        <v>0</v>
      </c>
      <c r="W745" s="161" t="b">
        <f t="array" ref="W745">index(Dropdowns!B:B,match(I745,Dropdowns!A:A,0))</f>
        <v>1</v>
      </c>
      <c r="X745" s="161" t="b">
        <f t="array" ref="X745">index('Query Tool'!B:B,match(D745,'Query Tool'!C:C,0))</f>
        <v>1</v>
      </c>
      <c r="Y745" s="161" t="str">
        <f t="shared" si="6"/>
        <v>jordaje01,2014-15</v>
      </c>
      <c r="Z745" s="168" t="str">
        <f t="array" ref="Z745">iferror(index(I:I,match($A745&amp;","&amp;index('Year Conversion'!$A:$A,match($C745,'Year Conversion'!$B:$B,0)),$Y:$Y,0))-I745,"")</f>
        <v/>
      </c>
      <c r="AA745" s="168" t="str">
        <f t="array" ref="AA745">iferror(index(J:J,match($A745&amp;","&amp;index('Year Conversion'!$A:$A,match($C745,'Year Conversion'!$B:$B,0)),$Y:$Y,0))-J745,"")</f>
        <v/>
      </c>
      <c r="AB745" s="168" t="str">
        <f t="array" ref="AB745">iferror(index(K:K,match($A745&amp;","&amp;index('Year Conversion'!$A:$A,match($C745,'Year Conversion'!$B:$B,0)),$Y:$Y,0))-K745,"")</f>
        <v/>
      </c>
      <c r="AC745" s="168" t="str">
        <f t="shared" si="7"/>
        <v>BRK,2014-15</v>
      </c>
    </row>
    <row r="746">
      <c r="A746" s="161" t="str">
        <f>IFERROR(__xludf.DUMMYFUNCTION("""COMPUTED_VALUE"""),"evansje01")</f>
        <v>evansje01</v>
      </c>
      <c r="B746" s="161" t="str">
        <f>IFERROR(__xludf.DUMMYFUNCTION("""COMPUTED_VALUE"""),"Jeremy Evans")</f>
        <v>Jeremy Evans</v>
      </c>
      <c r="C746" s="162" t="str">
        <f>IFERROR(__xludf.DUMMYFUNCTION("""COMPUTED_VALUE"""),"2014-15")</f>
        <v>2014-15</v>
      </c>
      <c r="D746" s="163" t="str">
        <f>IFERROR(__xludf.DUMMYFUNCTION("""COMPUTED_VALUE"""),"UTA")</f>
        <v>UTA</v>
      </c>
      <c r="E746" s="164" t="str">
        <f>IFERROR(__xludf.DUMMYFUNCTION("""COMPUTED_VALUE"""),"Roll + Cut Big")</f>
        <v>Roll + Cut Big</v>
      </c>
      <c r="F746" s="164">
        <f>IFERROR(__xludf.DUMMYFUNCTION("""COMPUTED_VALUE"""),265.813333333333)</f>
        <v>265.8133333</v>
      </c>
      <c r="G746" s="163">
        <f>IFERROR(__xludf.DUMMYFUNCTION("""COMPUTED_VALUE"""),38.0)</f>
        <v>38</v>
      </c>
      <c r="H746" s="163" t="str">
        <f>IFERROR(__xludf.DUMMYFUNCTION("""COMPUTED_VALUE"""),"SF")</f>
        <v>SF</v>
      </c>
      <c r="I746" s="163">
        <f>IFERROR(__xludf.DUMMYFUNCTION("""COMPUTED_VALUE"""),27.0)</f>
        <v>27</v>
      </c>
      <c r="J746" s="165">
        <f>IFERROR(__xludf.DUMMYFUNCTION("""COMPUTED_VALUE"""),0.804126667469254)</f>
        <v>0.8041266675</v>
      </c>
      <c r="K746" s="165">
        <f>IFERROR(__xludf.DUMMYFUNCTION("""COMPUTED_VALUE"""),-0.127760519254828)</f>
        <v>-0.1277605193</v>
      </c>
      <c r="L746" s="165">
        <f>IFERROR(__xludf.DUMMYFUNCTION("""COMPUTED_VALUE"""),0.931887186724082)</f>
        <v>0.9318871867</v>
      </c>
      <c r="M746" s="166">
        <f t="shared" si="2"/>
        <v>0.5537726962</v>
      </c>
      <c r="N746" s="167">
        <f t="shared" si="3"/>
        <v>6.995087719</v>
      </c>
      <c r="O746" s="163">
        <f t="shared" ref="O746:Q746" si="750">rank(I746,I:I)</f>
        <v>1366</v>
      </c>
      <c r="P746" s="163">
        <f t="shared" si="750"/>
        <v>740</v>
      </c>
      <c r="Q746" s="163">
        <f t="shared" si="750"/>
        <v>1430</v>
      </c>
      <c r="R746" s="163">
        <f>IFERROR(__xludf.DUMMYFUNCTION("RANK(M746,filter(M:M,C:C=C746))"),279.0)</f>
        <v>279</v>
      </c>
      <c r="S746" s="161" t="b">
        <f t="shared" si="5"/>
        <v>0</v>
      </c>
      <c r="T746" s="161" t="b">
        <f t="array" ref="T746">index('Query Tool'!B:B,match(H746,'Query Tool'!C:C,0))</f>
        <v>1</v>
      </c>
      <c r="U746" s="161" t="b">
        <f t="array" ref="U746">index('Query Tool'!B:B,match(C746,'Query Tool'!C:C,0))</f>
        <v>0</v>
      </c>
      <c r="V746" s="161" t="b">
        <f>F746&gt;='Query Tool'!C$32</f>
        <v>0</v>
      </c>
      <c r="W746" s="161" t="b">
        <f t="array" ref="W746">index(Dropdowns!B:B,match(I746,Dropdowns!A:A,0))</f>
        <v>1</v>
      </c>
      <c r="X746" s="161" t="b">
        <f t="array" ref="X746">index('Query Tool'!B:B,match(D746,'Query Tool'!C:C,0))</f>
        <v>1</v>
      </c>
      <c r="Y746" s="161" t="str">
        <f t="shared" si="6"/>
        <v>evansje01,2014-15</v>
      </c>
      <c r="Z746" s="168">
        <f t="array" ref="Z746">iferror(index(I:I,match($A746&amp;","&amp;index('Year Conversion'!$A:$A,match($C746,'Year Conversion'!$B:$B,0)),$Y:$Y,0))-I746,"")</f>
        <v>1</v>
      </c>
      <c r="AA746" s="168">
        <f t="array" ref="AA746">iferror(index(J:J,match($A746&amp;","&amp;index('Year Conversion'!$A:$A,match($C746,'Year Conversion'!$B:$B,0)),$Y:$Y,0))-J746,"")</f>
        <v>-1.702008292</v>
      </c>
      <c r="AB746" s="168">
        <f t="array" ref="AB746">iferror(index(K:K,match($A746&amp;","&amp;index('Year Conversion'!$A:$A,match($C746,'Year Conversion'!$B:$B,0)),$Y:$Y,0))-K746,"")</f>
        <v>-1.297210887</v>
      </c>
      <c r="AC746" s="168" t="str">
        <f t="shared" si="7"/>
        <v>UTA,2014-15</v>
      </c>
    </row>
    <row r="747">
      <c r="A747" s="161" t="str">
        <f>IFERROR(__xludf.DUMMYFUNCTION("""COMPUTED_VALUE"""),"sloando01")</f>
        <v>sloando01</v>
      </c>
      <c r="B747" s="161" t="str">
        <f>IFERROR(__xludf.DUMMYFUNCTION("""COMPUTED_VALUE"""),"Donald Sloan")</f>
        <v>Donald Sloan</v>
      </c>
      <c r="C747" s="162" t="str">
        <f>IFERROR(__xludf.DUMMYFUNCTION("""COMPUTED_VALUE"""),"2014-15")</f>
        <v>2014-15</v>
      </c>
      <c r="D747" s="163" t="str">
        <f>IFERROR(__xludf.DUMMYFUNCTION("""COMPUTED_VALUE"""),"IND")</f>
        <v>IND</v>
      </c>
      <c r="E747" s="164" t="str">
        <f>IFERROR(__xludf.DUMMYFUNCTION("""COMPUTED_VALUE"""),"Primary Ball Handler")</f>
        <v>Primary Ball Handler</v>
      </c>
      <c r="F747" s="164">
        <f>IFERROR(__xludf.DUMMYFUNCTION("""COMPUTED_VALUE"""),1106.74)</f>
        <v>1106.74</v>
      </c>
      <c r="G747" s="163">
        <f>IFERROR(__xludf.DUMMYFUNCTION("""COMPUTED_VALUE"""),53.0)</f>
        <v>53</v>
      </c>
      <c r="H747" s="163" t="str">
        <f>IFERROR(__xludf.DUMMYFUNCTION("""COMPUTED_VALUE"""),"PG")</f>
        <v>PG</v>
      </c>
      <c r="I747" s="163">
        <f>IFERROR(__xludf.DUMMYFUNCTION("""COMPUTED_VALUE"""),27.0)</f>
        <v>27</v>
      </c>
      <c r="J747" s="165">
        <f>IFERROR(__xludf.DUMMYFUNCTION("""COMPUTED_VALUE"""),-0.327062247061286)</f>
        <v>-0.3270622471</v>
      </c>
      <c r="K747" s="165">
        <f>IFERROR(__xludf.DUMMYFUNCTION("""COMPUTED_VALUE"""),-0.126147048052792)</f>
        <v>-0.1261470481</v>
      </c>
      <c r="L747" s="165">
        <f>IFERROR(__xludf.DUMMYFUNCTION("""COMPUTED_VALUE"""),-0.200915199008494)</f>
        <v>-0.200915199</v>
      </c>
      <c r="M747" s="166">
        <f t="shared" si="2"/>
        <v>1.462222001</v>
      </c>
      <c r="N747" s="167">
        <f t="shared" si="3"/>
        <v>20.88188679</v>
      </c>
      <c r="O747" s="163">
        <f t="shared" ref="O747:Q747" si="751">rank(I747,I:I)</f>
        <v>1366</v>
      </c>
      <c r="P747" s="163">
        <f t="shared" si="751"/>
        <v>1647</v>
      </c>
      <c r="Q747" s="163">
        <f t="shared" si="751"/>
        <v>1423</v>
      </c>
      <c r="R747" s="163">
        <f>IFERROR(__xludf.DUMMYFUNCTION("RANK(M747,filter(M:M,C:C=C747))"),199.0)</f>
        <v>199</v>
      </c>
      <c r="S747" s="161" t="b">
        <f t="shared" si="5"/>
        <v>0</v>
      </c>
      <c r="T747" s="161" t="b">
        <f t="array" ref="T747">index('Query Tool'!B:B,match(H747,'Query Tool'!C:C,0))</f>
        <v>1</v>
      </c>
      <c r="U747" s="161" t="b">
        <f t="array" ref="U747">index('Query Tool'!B:B,match(C747,'Query Tool'!C:C,0))</f>
        <v>0</v>
      </c>
      <c r="V747" s="161" t="b">
        <f>F747&gt;='Query Tool'!C$32</f>
        <v>1</v>
      </c>
      <c r="W747" s="161" t="b">
        <f t="array" ref="W747">index(Dropdowns!B:B,match(I747,Dropdowns!A:A,0))</f>
        <v>1</v>
      </c>
      <c r="X747" s="161" t="b">
        <f t="array" ref="X747">index('Query Tool'!B:B,match(D747,'Query Tool'!C:C,0))</f>
        <v>1</v>
      </c>
      <c r="Y747" s="161" t="str">
        <f t="shared" si="6"/>
        <v>sloando01,2014-15</v>
      </c>
      <c r="Z747" s="168">
        <f t="array" ref="Z747">iferror(index(I:I,match($A747&amp;","&amp;index('Year Conversion'!$A:$A,match($C747,'Year Conversion'!$B:$B,0)),$Y:$Y,0))-I747,"")</f>
        <v>1</v>
      </c>
      <c r="AA747" s="168">
        <f t="array" ref="AA747">iferror(index(J:J,match($A747&amp;","&amp;index('Year Conversion'!$A:$A,match($C747,'Year Conversion'!$B:$B,0)),$Y:$Y,0))-J747,"")</f>
        <v>-0.3527408213</v>
      </c>
      <c r="AB747" s="168">
        <f t="array" ref="AB747">iferror(index(K:K,match($A747&amp;","&amp;index('Year Conversion'!$A:$A,match($C747,'Year Conversion'!$B:$B,0)),$Y:$Y,0))-K747,"")</f>
        <v>0.06223933947</v>
      </c>
      <c r="AC747" s="168" t="str">
        <f t="shared" si="7"/>
        <v>IND,2014-15</v>
      </c>
    </row>
    <row r="748">
      <c r="A748" s="161" t="str">
        <f>IFERROR(__xludf.DUMMYFUNCTION("""COMPUTED_VALUE"""),"mozgoti01")</f>
        <v>mozgoti01</v>
      </c>
      <c r="B748" s="161" t="str">
        <f>IFERROR(__xludf.DUMMYFUNCTION("""COMPUTED_VALUE"""),"Timofey Mozgov")</f>
        <v>Timofey Mozgov</v>
      </c>
      <c r="C748" s="162" t="str">
        <f>IFERROR(__xludf.DUMMYFUNCTION("""COMPUTED_VALUE"""),"2014-15")</f>
        <v>2014-15</v>
      </c>
      <c r="D748" s="163" t="str">
        <f>IFERROR(__xludf.DUMMYFUNCTION("""COMPUTED_VALUE"""),"TOT")</f>
        <v>TOT</v>
      </c>
      <c r="E748" s="164" t="str">
        <f>IFERROR(__xludf.DUMMYFUNCTION("""COMPUTED_VALUE"""),"Post Scorer")</f>
        <v>Post Scorer</v>
      </c>
      <c r="F748" s="164">
        <f>IFERROR(__xludf.DUMMYFUNCTION("""COMPUTED_VALUE"""),2045.53)</f>
        <v>2045.53</v>
      </c>
      <c r="G748" s="163">
        <f>IFERROR(__xludf.DUMMYFUNCTION("""COMPUTED_VALUE"""),81.0)</f>
        <v>81</v>
      </c>
      <c r="H748" s="163" t="str">
        <f>IFERROR(__xludf.DUMMYFUNCTION("""COMPUTED_VALUE"""),"C")</f>
        <v>C</v>
      </c>
      <c r="I748" s="163">
        <f>IFERROR(__xludf.DUMMYFUNCTION("""COMPUTED_VALUE"""),28.0)</f>
        <v>28</v>
      </c>
      <c r="J748" s="165">
        <f>IFERROR(__xludf.DUMMYFUNCTION("""COMPUTED_VALUE"""),1.43430792798722)</f>
        <v>1.434307928</v>
      </c>
      <c r="K748" s="165">
        <f>IFERROR(__xludf.DUMMYFUNCTION("""COMPUTED_VALUE"""),-0.727952097201375)</f>
        <v>-0.7279520972</v>
      </c>
      <c r="L748" s="165">
        <f>IFERROR(__xludf.DUMMYFUNCTION("""COMPUTED_VALUE"""),2.16226002518859)</f>
        <v>2.162260025</v>
      </c>
      <c r="M748" s="166">
        <f t="shared" si="2"/>
        <v>5.125910676</v>
      </c>
      <c r="N748" s="167">
        <f t="shared" si="3"/>
        <v>25.25345679</v>
      </c>
      <c r="O748" s="163">
        <f t="shared" ref="O748:Q748" si="752">rank(I748,I:I)</f>
        <v>1090</v>
      </c>
      <c r="P748" s="163">
        <f t="shared" si="752"/>
        <v>478</v>
      </c>
      <c r="Q748" s="163">
        <f t="shared" si="752"/>
        <v>2450</v>
      </c>
      <c r="R748" s="163">
        <f>IFERROR(__xludf.DUMMYFUNCTION("RANK(M748,filter(M:M,C:C=C748))"),56.0)</f>
        <v>56</v>
      </c>
      <c r="S748" s="161" t="b">
        <f t="shared" si="5"/>
        <v>0</v>
      </c>
      <c r="T748" s="161" t="b">
        <f t="array" ref="T748">index('Query Tool'!B:B,match(H748,'Query Tool'!C:C,0))</f>
        <v>1</v>
      </c>
      <c r="U748" s="161" t="b">
        <f t="array" ref="U748">index('Query Tool'!B:B,match(C748,'Query Tool'!C:C,0))</f>
        <v>0</v>
      </c>
      <c r="V748" s="161" t="b">
        <f>F748&gt;='Query Tool'!C$32</f>
        <v>1</v>
      </c>
      <c r="W748" s="161" t="b">
        <f t="array" ref="W748">index(Dropdowns!B:B,match(I748,Dropdowns!A:A,0))</f>
        <v>1</v>
      </c>
      <c r="X748" s="161" t="b">
        <f t="array" ref="X748">index('Query Tool'!B:B,match(D748,'Query Tool'!C:C,0))</f>
        <v>1</v>
      </c>
      <c r="Y748" s="161" t="str">
        <f t="shared" si="6"/>
        <v>mozgoti01,2014-15</v>
      </c>
      <c r="Z748" s="168">
        <f t="array" ref="Z748">iferror(index(I:I,match($A748&amp;","&amp;index('Year Conversion'!$A:$A,match($C748,'Year Conversion'!$B:$B,0)),$Y:$Y,0))-I748,"")</f>
        <v>1</v>
      </c>
      <c r="AA748" s="168">
        <f t="array" ref="AA748">iferror(index(J:J,match($A748&amp;","&amp;index('Year Conversion'!$A:$A,match($C748,'Year Conversion'!$B:$B,0)),$Y:$Y,0))-J748,"")</f>
        <v>-2.662116019</v>
      </c>
      <c r="AB748" s="168">
        <f t="array" ref="AB748">iferror(index(K:K,match($A748&amp;","&amp;index('Year Conversion'!$A:$A,match($C748,'Year Conversion'!$B:$B,0)),$Y:$Y,0))-K748,"")</f>
        <v>-1.223791499</v>
      </c>
      <c r="AC748" s="168" t="str">
        <f t="shared" si="7"/>
        <v>TOT,2014-15</v>
      </c>
    </row>
    <row r="749">
      <c r="A749" s="161" t="str">
        <f>IFERROR(__xludf.DUMMYFUNCTION("""COMPUTED_VALUE"""),"nealga01")</f>
        <v>nealga01</v>
      </c>
      <c r="B749" s="161" t="str">
        <f>IFERROR(__xludf.DUMMYFUNCTION("""COMPUTED_VALUE"""),"Gary Neal")</f>
        <v>Gary Neal</v>
      </c>
      <c r="C749" s="162" t="str">
        <f>IFERROR(__xludf.DUMMYFUNCTION("""COMPUTED_VALUE"""),"2014-15")</f>
        <v>2014-15</v>
      </c>
      <c r="D749" s="163" t="str">
        <f>IFERROR(__xludf.DUMMYFUNCTION("""COMPUTED_VALUE"""),"TOT")</f>
        <v>TOT</v>
      </c>
      <c r="E749" s="164" t="str">
        <f>IFERROR(__xludf.DUMMYFUNCTION("""COMPUTED_VALUE"""),"Secondary Ball Handler")</f>
        <v>Secondary Ball Handler</v>
      </c>
      <c r="F749" s="164">
        <f>IFERROR(__xludf.DUMMYFUNCTION("""COMPUTED_VALUE"""),1192.32666666667)</f>
        <v>1192.326667</v>
      </c>
      <c r="G749" s="163">
        <f>IFERROR(__xludf.DUMMYFUNCTION("""COMPUTED_VALUE"""),54.0)</f>
        <v>54</v>
      </c>
      <c r="H749" s="163" t="str">
        <f>IFERROR(__xludf.DUMMYFUNCTION("""COMPUTED_VALUE"""),"SG")</f>
        <v>SG</v>
      </c>
      <c r="I749" s="163">
        <f>IFERROR(__xludf.DUMMYFUNCTION("""COMPUTED_VALUE"""),30.0)</f>
        <v>30</v>
      </c>
      <c r="J749" s="165">
        <f>IFERROR(__xludf.DUMMYFUNCTION("""COMPUTED_VALUE"""),-1.7112763712116)</f>
        <v>-1.711276371</v>
      </c>
      <c r="K749" s="165">
        <f>IFERROR(__xludf.DUMMYFUNCTION("""COMPUTED_VALUE"""),0.0356603520980365)</f>
        <v>0.0356603521</v>
      </c>
      <c r="L749" s="165">
        <f>IFERROR(__xludf.DUMMYFUNCTION("""COMPUTED_VALUE"""),-1.74693672330964)</f>
        <v>-1.746936723</v>
      </c>
      <c r="M749" s="166">
        <f t="shared" si="2"/>
        <v>0.4681221907</v>
      </c>
      <c r="N749" s="167">
        <f t="shared" si="3"/>
        <v>22.08012346</v>
      </c>
      <c r="O749" s="163">
        <f t="shared" ref="O749:Q749" si="753">rank(I749,I:I)</f>
        <v>655</v>
      </c>
      <c r="P749" s="163">
        <f t="shared" si="753"/>
        <v>3255</v>
      </c>
      <c r="Q749" s="163">
        <f t="shared" si="753"/>
        <v>1147</v>
      </c>
      <c r="R749" s="163">
        <f>IFERROR(__xludf.DUMMYFUNCTION("RANK(M749,filter(M:M,C:C=C749))"),289.0)</f>
        <v>289</v>
      </c>
      <c r="S749" s="161" t="b">
        <f t="shared" si="5"/>
        <v>0</v>
      </c>
      <c r="T749" s="161" t="b">
        <f t="array" ref="T749">index('Query Tool'!B:B,match(H749,'Query Tool'!C:C,0))</f>
        <v>1</v>
      </c>
      <c r="U749" s="161" t="b">
        <f t="array" ref="U749">index('Query Tool'!B:B,match(C749,'Query Tool'!C:C,0))</f>
        <v>0</v>
      </c>
      <c r="V749" s="161" t="b">
        <f>F749&gt;='Query Tool'!C$32</f>
        <v>1</v>
      </c>
      <c r="W749" s="161" t="b">
        <f t="array" ref="W749">index(Dropdowns!B:B,match(I749,Dropdowns!A:A,0))</f>
        <v>1</v>
      </c>
      <c r="X749" s="161" t="b">
        <f t="array" ref="X749">index('Query Tool'!B:B,match(D749,'Query Tool'!C:C,0))</f>
        <v>1</v>
      </c>
      <c r="Y749" s="161" t="str">
        <f t="shared" si="6"/>
        <v>nealga01,2014-15</v>
      </c>
      <c r="Z749" s="168">
        <f t="array" ref="Z749">iferror(index(I:I,match($A749&amp;","&amp;index('Year Conversion'!$A:$A,match($C749,'Year Conversion'!$B:$B,0)),$Y:$Y,0))-I749,"")</f>
        <v>1</v>
      </c>
      <c r="AA749" s="168">
        <f t="array" ref="AA749">iferror(index(J:J,match($A749&amp;","&amp;index('Year Conversion'!$A:$A,match($C749,'Year Conversion'!$B:$B,0)),$Y:$Y,0))-J749,"")</f>
        <v>-0.7069218016</v>
      </c>
      <c r="AB749" s="168">
        <f t="array" ref="AB749">iferror(index(K:K,match($A749&amp;","&amp;index('Year Conversion'!$A:$A,match($C749,'Year Conversion'!$B:$B,0)),$Y:$Y,0))-K749,"")</f>
        <v>-0.6685973652</v>
      </c>
      <c r="AC749" s="168" t="str">
        <f t="shared" si="7"/>
        <v>TOT,2014-15</v>
      </c>
    </row>
    <row r="750">
      <c r="A750" s="161" t="str">
        <f>IFERROR(__xludf.DUMMYFUNCTION("""COMPUTED_VALUE"""),"linje01")</f>
        <v>linje01</v>
      </c>
      <c r="B750" s="161" t="str">
        <f>IFERROR(__xludf.DUMMYFUNCTION("""COMPUTED_VALUE"""),"Jeremy Lin")</f>
        <v>Jeremy Lin</v>
      </c>
      <c r="C750" s="162" t="str">
        <f>IFERROR(__xludf.DUMMYFUNCTION("""COMPUTED_VALUE"""),"2014-15")</f>
        <v>2014-15</v>
      </c>
      <c r="D750" s="163" t="str">
        <f>IFERROR(__xludf.DUMMYFUNCTION("""COMPUTED_VALUE"""),"LAL")</f>
        <v>LAL</v>
      </c>
      <c r="E750" s="164" t="str">
        <f>IFERROR(__xludf.DUMMYFUNCTION("""COMPUTED_VALUE"""),"Slasher")</f>
        <v>Slasher</v>
      </c>
      <c r="F750" s="164">
        <f>IFERROR(__xludf.DUMMYFUNCTION("""COMPUTED_VALUE"""),1906.72333333333)</f>
        <v>1906.723333</v>
      </c>
      <c r="G750" s="163">
        <f>IFERROR(__xludf.DUMMYFUNCTION("""COMPUTED_VALUE"""),74.0)</f>
        <v>74</v>
      </c>
      <c r="H750" s="163" t="str">
        <f>IFERROR(__xludf.DUMMYFUNCTION("""COMPUTED_VALUE"""),"PG")</f>
        <v>PG</v>
      </c>
      <c r="I750" s="163">
        <f>IFERROR(__xludf.DUMMYFUNCTION("""COMPUTED_VALUE"""),26.0)</f>
        <v>26</v>
      </c>
      <c r="J750" s="165">
        <f>IFERROR(__xludf.DUMMYFUNCTION("""COMPUTED_VALUE"""),0.39904784525982)</f>
        <v>0.3990478453</v>
      </c>
      <c r="K750" s="165">
        <f>IFERROR(__xludf.DUMMYFUNCTION("""COMPUTED_VALUE"""),0.537167415486317)</f>
        <v>0.5371674155</v>
      </c>
      <c r="L750" s="165">
        <f>IFERROR(__xludf.DUMMYFUNCTION("""COMPUTED_VALUE"""),-0.138119570226497)</f>
        <v>-0.1381195702</v>
      </c>
      <c r="M750" s="166">
        <f t="shared" si="2"/>
        <v>3.452391752</v>
      </c>
      <c r="N750" s="167">
        <f t="shared" si="3"/>
        <v>25.76653153</v>
      </c>
      <c r="O750" s="163">
        <f t="shared" ref="O750:Q750" si="754">rank(I750,I:I)</f>
        <v>1665</v>
      </c>
      <c r="P750" s="163">
        <f t="shared" si="754"/>
        <v>949</v>
      </c>
      <c r="Q750" s="163">
        <f t="shared" si="754"/>
        <v>749</v>
      </c>
      <c r="R750" s="163">
        <f>IFERROR(__xludf.DUMMYFUNCTION("RANK(M750,filter(M:M,C:C=C750))"),102.0)</f>
        <v>102</v>
      </c>
      <c r="S750" s="161" t="b">
        <f t="shared" si="5"/>
        <v>0</v>
      </c>
      <c r="T750" s="161" t="b">
        <f t="array" ref="T750">index('Query Tool'!B:B,match(H750,'Query Tool'!C:C,0))</f>
        <v>1</v>
      </c>
      <c r="U750" s="161" t="b">
        <f t="array" ref="U750">index('Query Tool'!B:B,match(C750,'Query Tool'!C:C,0))</f>
        <v>0</v>
      </c>
      <c r="V750" s="161" t="b">
        <f>F750&gt;='Query Tool'!C$32</f>
        <v>1</v>
      </c>
      <c r="W750" s="161" t="b">
        <f t="array" ref="W750">index(Dropdowns!B:B,match(I750,Dropdowns!A:A,0))</f>
        <v>1</v>
      </c>
      <c r="X750" s="161" t="b">
        <f t="array" ref="X750">index('Query Tool'!B:B,match(D750,'Query Tool'!C:C,0))</f>
        <v>1</v>
      </c>
      <c r="Y750" s="161" t="str">
        <f t="shared" si="6"/>
        <v>linje01,2014-15</v>
      </c>
      <c r="Z750" s="168">
        <f t="array" ref="Z750">iferror(index(I:I,match($A750&amp;","&amp;index('Year Conversion'!$A:$A,match($C750,'Year Conversion'!$B:$B,0)),$Y:$Y,0))-I750,"")</f>
        <v>1</v>
      </c>
      <c r="AA750" s="168">
        <f t="array" ref="AA750">iferror(index(J:J,match($A750&amp;","&amp;index('Year Conversion'!$A:$A,match($C750,'Year Conversion'!$B:$B,0)),$Y:$Y,0))-J750,"")</f>
        <v>-0.4118914563</v>
      </c>
      <c r="AB750" s="168">
        <f t="array" ref="AB750">iferror(index(K:K,match($A750&amp;","&amp;index('Year Conversion'!$A:$A,match($C750,'Year Conversion'!$B:$B,0)),$Y:$Y,0))-K750,"")</f>
        <v>-0.9699376131</v>
      </c>
      <c r="AC750" s="168" t="str">
        <f t="shared" si="7"/>
        <v>LAL,2014-15</v>
      </c>
    </row>
    <row r="751">
      <c r="A751" s="161" t="str">
        <f>IFERROR(__xludf.DUMMYFUNCTION("""COMPUTED_VALUE"""),"smithis01")</f>
        <v>smithis01</v>
      </c>
      <c r="B751" s="161" t="str">
        <f>IFERROR(__xludf.DUMMYFUNCTION("""COMPUTED_VALUE"""),"Ish Smith")</f>
        <v>Ish Smith</v>
      </c>
      <c r="C751" s="162" t="str">
        <f>IFERROR(__xludf.DUMMYFUNCTION("""COMPUTED_VALUE"""),"2014-15")</f>
        <v>2014-15</v>
      </c>
      <c r="D751" s="163" t="str">
        <f>IFERROR(__xludf.DUMMYFUNCTION("""COMPUTED_VALUE"""),"TOT")</f>
        <v>TOT</v>
      </c>
      <c r="E751" s="164" t="str">
        <f>IFERROR(__xludf.DUMMYFUNCTION("""COMPUTED_VALUE"""),"Slasher")</f>
        <v>Slasher</v>
      </c>
      <c r="F751" s="164">
        <f>IFERROR(__xludf.DUMMYFUNCTION("""COMPUTED_VALUE"""),831.456666666667)</f>
        <v>831.4566667</v>
      </c>
      <c r="G751" s="163">
        <f>IFERROR(__xludf.DUMMYFUNCTION("""COMPUTED_VALUE"""),55.0)</f>
        <v>55</v>
      </c>
      <c r="H751" s="163" t="str">
        <f>IFERROR(__xludf.DUMMYFUNCTION("""COMPUTED_VALUE"""),"PG")</f>
        <v>PG</v>
      </c>
      <c r="I751" s="163">
        <f>IFERROR(__xludf.DUMMYFUNCTION("""COMPUTED_VALUE"""),26.0)</f>
        <v>26</v>
      </c>
      <c r="J751" s="165">
        <f>IFERROR(__xludf.DUMMYFUNCTION("""COMPUTED_VALUE"""),-1.05697102883025)</f>
        <v>-1.056971029</v>
      </c>
      <c r="K751" s="165">
        <f>IFERROR(__xludf.DUMMYFUNCTION("""COMPUTED_VALUE"""),-0.399214444866699)</f>
        <v>-0.3992144449</v>
      </c>
      <c r="L751" s="165">
        <f>IFERROR(__xludf.DUMMYFUNCTION("""COMPUTED_VALUE"""),-0.657756583963552)</f>
        <v>-0.657756584</v>
      </c>
      <c r="M751" s="166">
        <f t="shared" si="2"/>
        <v>0.6902515848</v>
      </c>
      <c r="N751" s="167">
        <f t="shared" si="3"/>
        <v>15.11739394</v>
      </c>
      <c r="O751" s="163">
        <f t="shared" ref="O751:Q751" si="755">rank(I751,I:I)</f>
        <v>1665</v>
      </c>
      <c r="P751" s="163">
        <f t="shared" si="755"/>
        <v>2560</v>
      </c>
      <c r="Q751" s="163">
        <f t="shared" si="755"/>
        <v>1942</v>
      </c>
      <c r="R751" s="163">
        <f>IFERROR(__xludf.DUMMYFUNCTION("RANK(M751,filter(M:M,C:C=C751))"),261.0)</f>
        <v>261</v>
      </c>
      <c r="S751" s="161" t="b">
        <f t="shared" si="5"/>
        <v>0</v>
      </c>
      <c r="T751" s="161" t="b">
        <f t="array" ref="T751">index('Query Tool'!B:B,match(H751,'Query Tool'!C:C,0))</f>
        <v>1</v>
      </c>
      <c r="U751" s="161" t="b">
        <f t="array" ref="U751">index('Query Tool'!B:B,match(C751,'Query Tool'!C:C,0))</f>
        <v>0</v>
      </c>
      <c r="V751" s="161" t="b">
        <f>F751&gt;='Query Tool'!C$32</f>
        <v>1</v>
      </c>
      <c r="W751" s="161" t="b">
        <f t="array" ref="W751">index(Dropdowns!B:B,match(I751,Dropdowns!A:A,0))</f>
        <v>1</v>
      </c>
      <c r="X751" s="161" t="b">
        <f t="array" ref="X751">index('Query Tool'!B:B,match(D751,'Query Tool'!C:C,0))</f>
        <v>1</v>
      </c>
      <c r="Y751" s="161" t="str">
        <f t="shared" si="6"/>
        <v>smithis01,2014-15</v>
      </c>
      <c r="Z751" s="168">
        <f t="array" ref="Z751">iferror(index(I:I,match($A751&amp;","&amp;index('Year Conversion'!$A:$A,match($C751,'Year Conversion'!$B:$B,0)),$Y:$Y,0))-I751,"")</f>
        <v>1</v>
      </c>
      <c r="AA751" s="168">
        <f t="array" ref="AA751">iferror(index(J:J,match($A751&amp;","&amp;index('Year Conversion'!$A:$A,match($C751,'Year Conversion'!$B:$B,0)),$Y:$Y,0))-J751,"")</f>
        <v>1.492546182</v>
      </c>
      <c r="AB751" s="168">
        <f t="array" ref="AB751">iferror(index(K:K,match($A751&amp;","&amp;index('Year Conversion'!$A:$A,match($C751,'Year Conversion'!$B:$B,0)),$Y:$Y,0))-K751,"")</f>
        <v>1.223342381</v>
      </c>
      <c r="AC751" s="168" t="str">
        <f t="shared" si="7"/>
        <v>TOT,2014-15</v>
      </c>
    </row>
    <row r="752">
      <c r="A752" s="161" t="str">
        <f>IFERROR(__xludf.DUMMYFUNCTION("""COMPUTED_VALUE"""),"adrieje01")</f>
        <v>adrieje01</v>
      </c>
      <c r="B752" s="161" t="str">
        <f>IFERROR(__xludf.DUMMYFUNCTION("""COMPUTED_VALUE"""),"Jeff Adrien")</f>
        <v>Jeff Adrien</v>
      </c>
      <c r="C752" s="162" t="str">
        <f>IFERROR(__xludf.DUMMYFUNCTION("""COMPUTED_VALUE"""),"2014-15")</f>
        <v>2014-15</v>
      </c>
      <c r="D752" s="163" t="str">
        <f>IFERROR(__xludf.DUMMYFUNCTION("""COMPUTED_VALUE"""),"MIN")</f>
        <v>MIN</v>
      </c>
      <c r="E752" s="164" t="str">
        <f>IFERROR(__xludf.DUMMYFUNCTION("""COMPUTED_VALUE"""),"Roll + Cut Big")</f>
        <v>Roll + Cut Big</v>
      </c>
      <c r="F752" s="164">
        <f>IFERROR(__xludf.DUMMYFUNCTION("""COMPUTED_VALUE"""),215.331666666667)</f>
        <v>215.3316667</v>
      </c>
      <c r="G752" s="163">
        <f>IFERROR(__xludf.DUMMYFUNCTION("""COMPUTED_VALUE"""),17.0)</f>
        <v>17</v>
      </c>
      <c r="H752" s="163" t="str">
        <f>IFERROR(__xludf.DUMMYFUNCTION("""COMPUTED_VALUE"""),"PF")</f>
        <v>PF</v>
      </c>
      <c r="I752" s="163">
        <f>IFERROR(__xludf.DUMMYFUNCTION("""COMPUTED_VALUE"""),28.0)</f>
        <v>28</v>
      </c>
      <c r="J752" s="165">
        <f>IFERROR(__xludf.DUMMYFUNCTION("""COMPUTED_VALUE"""),0.350012320491614)</f>
        <v>0.3500123205</v>
      </c>
      <c r="K752" s="165">
        <f>IFERROR(__xludf.DUMMYFUNCTION("""COMPUTED_VALUE"""),-0.314763984768104)</f>
        <v>-0.3147639848</v>
      </c>
      <c r="L752" s="165">
        <f>IFERROR(__xludf.DUMMYFUNCTION("""COMPUTED_VALUE"""),0.664776305259718)</f>
        <v>0.6647763053</v>
      </c>
      <c r="M752" s="166">
        <f t="shared" si="2"/>
        <v>0.3827738413</v>
      </c>
      <c r="N752" s="167">
        <f t="shared" si="3"/>
        <v>12.66656863</v>
      </c>
      <c r="O752" s="163">
        <f t="shared" ref="O752:Q752" si="756">rank(I752,I:I)</f>
        <v>1090</v>
      </c>
      <c r="P752" s="163">
        <f t="shared" si="756"/>
        <v>984</v>
      </c>
      <c r="Q752" s="163">
        <f t="shared" si="756"/>
        <v>1785</v>
      </c>
      <c r="R752" s="163">
        <f>IFERROR(__xludf.DUMMYFUNCTION("RANK(M752,filter(M:M,C:C=C752))"),298.0)</f>
        <v>298</v>
      </c>
      <c r="S752" s="161" t="b">
        <f t="shared" si="5"/>
        <v>0</v>
      </c>
      <c r="T752" s="161" t="b">
        <f t="array" ref="T752">index('Query Tool'!B:B,match(H752,'Query Tool'!C:C,0))</f>
        <v>1</v>
      </c>
      <c r="U752" s="161" t="b">
        <f t="array" ref="U752">index('Query Tool'!B:B,match(C752,'Query Tool'!C:C,0))</f>
        <v>0</v>
      </c>
      <c r="V752" s="161" t="b">
        <f>F752&gt;='Query Tool'!C$32</f>
        <v>0</v>
      </c>
      <c r="W752" s="161" t="b">
        <f t="array" ref="W752">index(Dropdowns!B:B,match(I752,Dropdowns!A:A,0))</f>
        <v>1</v>
      </c>
      <c r="X752" s="161" t="b">
        <f t="array" ref="X752">index('Query Tool'!B:B,match(D752,'Query Tool'!C:C,0))</f>
        <v>1</v>
      </c>
      <c r="Y752" s="161" t="str">
        <f t="shared" si="6"/>
        <v>adrieje01,2014-15</v>
      </c>
      <c r="Z752" s="168" t="str">
        <f t="array" ref="Z752">iferror(index(I:I,match($A752&amp;","&amp;index('Year Conversion'!$A:$A,match($C752,'Year Conversion'!$B:$B,0)),$Y:$Y,0))-I752,"")</f>
        <v/>
      </c>
      <c r="AA752" s="168" t="str">
        <f t="array" ref="AA752">iferror(index(J:J,match($A752&amp;","&amp;index('Year Conversion'!$A:$A,match($C752,'Year Conversion'!$B:$B,0)),$Y:$Y,0))-J752,"")</f>
        <v/>
      </c>
      <c r="AB752" s="168" t="str">
        <f t="array" ref="AB752">iferror(index(K:K,match($A752&amp;","&amp;index('Year Conversion'!$A:$A,match($C752,'Year Conversion'!$B:$B,0)),$Y:$Y,0))-K752,"")</f>
        <v/>
      </c>
      <c r="AC752" s="168" t="str">
        <f t="shared" si="7"/>
        <v>MIN,2014-15</v>
      </c>
    </row>
    <row r="753">
      <c r="A753" s="161" t="str">
        <f>IFERROR(__xludf.DUMMYFUNCTION("""COMPUTED_VALUE"""),"millsel01")</f>
        <v>millsel01</v>
      </c>
      <c r="B753" s="161" t="str">
        <f>IFERROR(__xludf.DUMMYFUNCTION("""COMPUTED_VALUE"""),"Elijah Millsap")</f>
        <v>Elijah Millsap</v>
      </c>
      <c r="C753" s="162" t="str">
        <f>IFERROR(__xludf.DUMMYFUNCTION("""COMPUTED_VALUE"""),"2014-15")</f>
        <v>2014-15</v>
      </c>
      <c r="D753" s="163" t="str">
        <f>IFERROR(__xludf.DUMMYFUNCTION("""COMPUTED_VALUE"""),"UTA")</f>
        <v>UTA</v>
      </c>
      <c r="E753" s="164" t="str">
        <f>IFERROR(__xludf.DUMMYFUNCTION("""COMPUTED_VALUE"""),"Stationary Shooter")</f>
        <v>Stationary Shooter</v>
      </c>
      <c r="F753" s="164">
        <f>IFERROR(__xludf.DUMMYFUNCTION("""COMPUTED_VALUE"""),923.598333333334)</f>
        <v>923.5983333</v>
      </c>
      <c r="G753" s="163">
        <f>IFERROR(__xludf.DUMMYFUNCTION("""COMPUTED_VALUE"""),47.0)</f>
        <v>47</v>
      </c>
      <c r="H753" s="163" t="str">
        <f>IFERROR(__xludf.DUMMYFUNCTION("""COMPUTED_VALUE"""),"SG")</f>
        <v>SG</v>
      </c>
      <c r="I753" s="163">
        <f>IFERROR(__xludf.DUMMYFUNCTION("""COMPUTED_VALUE"""),27.0)</f>
        <v>27</v>
      </c>
      <c r="J753" s="165">
        <f>IFERROR(__xludf.DUMMYFUNCTION("""COMPUTED_VALUE"""),-0.239712709395741)</f>
        <v>-0.2397127094</v>
      </c>
      <c r="K753" s="165">
        <f>IFERROR(__xludf.DUMMYFUNCTION("""COMPUTED_VALUE"""),-1.57448722259673)</f>
        <v>-1.574487223</v>
      </c>
      <c r="L753" s="165">
        <f>IFERROR(__xludf.DUMMYFUNCTION("""COMPUTED_VALUE"""),1.33477451320099)</f>
        <v>1.334774513</v>
      </c>
      <c r="M753" s="166">
        <f t="shared" si="2"/>
        <v>1.274628227</v>
      </c>
      <c r="N753" s="167">
        <f t="shared" si="3"/>
        <v>19.65102837</v>
      </c>
      <c r="O753" s="163">
        <f t="shared" ref="O753:Q753" si="757">rank(I753,I:I)</f>
        <v>1366</v>
      </c>
      <c r="P753" s="163">
        <f t="shared" si="757"/>
        <v>1544</v>
      </c>
      <c r="Q753" s="163">
        <f t="shared" si="757"/>
        <v>3427</v>
      </c>
      <c r="R753" s="163">
        <f>IFERROR(__xludf.DUMMYFUNCTION("RANK(M753,filter(M:M,C:C=C753))"),217.0)</f>
        <v>217</v>
      </c>
      <c r="S753" s="161" t="b">
        <f t="shared" si="5"/>
        <v>0</v>
      </c>
      <c r="T753" s="161" t="b">
        <f t="array" ref="T753">index('Query Tool'!B:B,match(H753,'Query Tool'!C:C,0))</f>
        <v>1</v>
      </c>
      <c r="U753" s="161" t="b">
        <f t="array" ref="U753">index('Query Tool'!B:B,match(C753,'Query Tool'!C:C,0))</f>
        <v>0</v>
      </c>
      <c r="V753" s="161" t="b">
        <f>F753&gt;='Query Tool'!C$32</f>
        <v>1</v>
      </c>
      <c r="W753" s="161" t="b">
        <f t="array" ref="W753">index(Dropdowns!B:B,match(I753,Dropdowns!A:A,0))</f>
        <v>1</v>
      </c>
      <c r="X753" s="161" t="b">
        <f t="array" ref="X753">index('Query Tool'!B:B,match(D753,'Query Tool'!C:C,0))</f>
        <v>1</v>
      </c>
      <c r="Y753" s="161" t="str">
        <f t="shared" si="6"/>
        <v>millsel01,2014-15</v>
      </c>
      <c r="Z753" s="168">
        <f t="array" ref="Z753">iferror(index(I:I,match($A753&amp;","&amp;index('Year Conversion'!$A:$A,match($C753,'Year Conversion'!$B:$B,0)),$Y:$Y,0))-I753,"")</f>
        <v>1</v>
      </c>
      <c r="AA753" s="168">
        <f t="array" ref="AA753">iferror(index(J:J,match($A753&amp;","&amp;index('Year Conversion'!$A:$A,match($C753,'Year Conversion'!$B:$B,0)),$Y:$Y,0))-J753,"")</f>
        <v>0.04639264378</v>
      </c>
      <c r="AB753" s="168">
        <f t="array" ref="AB753">iferror(index(K:K,match($A753&amp;","&amp;index('Year Conversion'!$A:$A,match($C753,'Year Conversion'!$B:$B,0)),$Y:$Y,0))-K753,"")</f>
        <v>1.114297095</v>
      </c>
      <c r="AC753" s="168" t="str">
        <f t="shared" si="7"/>
        <v>UTA,2014-15</v>
      </c>
    </row>
    <row r="754">
      <c r="A754" s="161" t="str">
        <f>IFERROR(__xludf.DUMMYFUNCTION("""COMPUTED_VALUE"""),"thomala01")</f>
        <v>thomala01</v>
      </c>
      <c r="B754" s="161" t="str">
        <f>IFERROR(__xludf.DUMMYFUNCTION("""COMPUTED_VALUE"""),"Lance Thomas")</f>
        <v>Lance Thomas</v>
      </c>
      <c r="C754" s="162" t="str">
        <f>IFERROR(__xludf.DUMMYFUNCTION("""COMPUTED_VALUE"""),"2014-15")</f>
        <v>2014-15</v>
      </c>
      <c r="D754" s="163" t="str">
        <f>IFERROR(__xludf.DUMMYFUNCTION("""COMPUTED_VALUE"""),"TOT")</f>
        <v>TOT</v>
      </c>
      <c r="E754" s="164" t="str">
        <f>IFERROR(__xludf.DUMMYFUNCTION("""COMPUTED_VALUE"""),"Athletic Finisher")</f>
        <v>Athletic Finisher</v>
      </c>
      <c r="F754" s="164">
        <f>IFERROR(__xludf.DUMMYFUNCTION("""COMPUTED_VALUE"""),1490.645)</f>
        <v>1490.645</v>
      </c>
      <c r="G754" s="163">
        <f>IFERROR(__xludf.DUMMYFUNCTION("""COMPUTED_VALUE"""),62.0)</f>
        <v>62</v>
      </c>
      <c r="H754" s="163" t="str">
        <f>IFERROR(__xludf.DUMMYFUNCTION("""COMPUTED_VALUE"""),"PF-SF")</f>
        <v>PF-SF</v>
      </c>
      <c r="I754" s="163">
        <f>IFERROR(__xludf.DUMMYFUNCTION("""COMPUTED_VALUE"""),26.0)</f>
        <v>26</v>
      </c>
      <c r="J754" s="165">
        <f>IFERROR(__xludf.DUMMYFUNCTION("""COMPUTED_VALUE"""),-3.91566960999529)</f>
        <v>-3.91566961</v>
      </c>
      <c r="K754" s="165">
        <f>IFERROR(__xludf.DUMMYFUNCTION("""COMPUTED_VALUE"""),-2.46824916036131)</f>
        <v>-2.46824916</v>
      </c>
      <c r="L754" s="165">
        <f>IFERROR(__xludf.DUMMYFUNCTION("""COMPUTED_VALUE"""),-1.44742044963398)</f>
        <v>-1.44742045</v>
      </c>
      <c r="M754" s="166">
        <f t="shared" si="2"/>
        <v>-1.555348907</v>
      </c>
      <c r="N754" s="167">
        <f t="shared" si="3"/>
        <v>24.04266129</v>
      </c>
      <c r="O754" s="163">
        <f t="shared" ref="O754:Q754" si="758">rank(I754,I:I)</f>
        <v>1665</v>
      </c>
      <c r="P754" s="163">
        <f t="shared" si="758"/>
        <v>3993</v>
      </c>
      <c r="Q754" s="163">
        <f t="shared" si="758"/>
        <v>3883</v>
      </c>
      <c r="R754" s="163">
        <f>IFERROR(__xludf.DUMMYFUNCTION("RANK(M754,filter(M:M,C:C=C754))"),491.0)</f>
        <v>491</v>
      </c>
      <c r="S754" s="161" t="b">
        <f t="shared" si="5"/>
        <v>0</v>
      </c>
      <c r="T754" s="161" t="str">
        <f t="array" ref="T754">index('Query Tool'!B:B,match(H754,'Query Tool'!C:C,0))</f>
        <v>#N/A</v>
      </c>
      <c r="U754" s="161" t="b">
        <f t="array" ref="U754">index('Query Tool'!B:B,match(C754,'Query Tool'!C:C,0))</f>
        <v>0</v>
      </c>
      <c r="V754" s="161" t="b">
        <f>F754&gt;='Query Tool'!C$32</f>
        <v>1</v>
      </c>
      <c r="W754" s="161" t="b">
        <f t="array" ref="W754">index(Dropdowns!B:B,match(I754,Dropdowns!A:A,0))</f>
        <v>1</v>
      </c>
      <c r="X754" s="161" t="b">
        <f t="array" ref="X754">index('Query Tool'!B:B,match(D754,'Query Tool'!C:C,0))</f>
        <v>1</v>
      </c>
      <c r="Y754" s="161" t="str">
        <f t="shared" si="6"/>
        <v>thomala01,2014-15</v>
      </c>
      <c r="Z754" s="168">
        <f t="array" ref="Z754">iferror(index(I:I,match($A754&amp;","&amp;index('Year Conversion'!$A:$A,match($C754,'Year Conversion'!$B:$B,0)),$Y:$Y,0))-I754,"")</f>
        <v>1</v>
      </c>
      <c r="AA754" s="168">
        <f t="array" ref="AA754">iferror(index(J:J,match($A754&amp;","&amp;index('Year Conversion'!$A:$A,match($C754,'Year Conversion'!$B:$B,0)),$Y:$Y,0))-J754,"")</f>
        <v>1.935481079</v>
      </c>
      <c r="AB754" s="168">
        <f t="array" ref="AB754">iferror(index(K:K,match($A754&amp;","&amp;index('Year Conversion'!$A:$A,match($C754,'Year Conversion'!$B:$B,0)),$Y:$Y,0))-K754,"")</f>
        <v>1.841232236</v>
      </c>
      <c r="AC754" s="168" t="str">
        <f t="shared" si="7"/>
        <v>TOT,2014-15</v>
      </c>
    </row>
    <row r="755">
      <c r="A755" s="161" t="str">
        <f>IFERROR(__xludf.DUMMYFUNCTION("""COMPUTED_VALUE"""),"onuakar01")</f>
        <v>onuakar01</v>
      </c>
      <c r="B755" s="161" t="str">
        <f>IFERROR(__xludf.DUMMYFUNCTION("""COMPUTED_VALUE"""),"Arinze Onuaku")</f>
        <v>Arinze Onuaku</v>
      </c>
      <c r="C755" s="162" t="str">
        <f>IFERROR(__xludf.DUMMYFUNCTION("""COMPUTED_VALUE"""),"2014-15")</f>
        <v>2014-15</v>
      </c>
      <c r="D755" s="163" t="str">
        <f>IFERROR(__xludf.DUMMYFUNCTION("""COMPUTED_VALUE"""),"MIN")</f>
        <v>MIN</v>
      </c>
      <c r="E755" s="164" t="str">
        <f>IFERROR(__xludf.DUMMYFUNCTION("""COMPUTED_VALUE"""),"Post Scorer")</f>
        <v>Post Scorer</v>
      </c>
      <c r="F755" s="164">
        <f>IFERROR(__xludf.DUMMYFUNCTION("""COMPUTED_VALUE"""),68.2583333333333)</f>
        <v>68.25833333</v>
      </c>
      <c r="G755" s="163">
        <f>IFERROR(__xludf.DUMMYFUNCTION("""COMPUTED_VALUE"""),6.0)</f>
        <v>6</v>
      </c>
      <c r="H755" s="163" t="str">
        <f>IFERROR(__xludf.DUMMYFUNCTION("""COMPUTED_VALUE"""),"C")</f>
        <v>C</v>
      </c>
      <c r="I755" s="163">
        <f>IFERROR(__xludf.DUMMYFUNCTION("""COMPUTED_VALUE"""),27.0)</f>
        <v>27</v>
      </c>
      <c r="J755" s="165">
        <f>IFERROR(__xludf.DUMMYFUNCTION("""COMPUTED_VALUE"""),-0.0946193542566499)</f>
        <v>-0.09461935426</v>
      </c>
      <c r="K755" s="165">
        <f>IFERROR(__xludf.DUMMYFUNCTION("""COMPUTED_VALUE"""),0.0861117658741812)</f>
        <v>0.08611176587</v>
      </c>
      <c r="L755" s="165">
        <f>IFERROR(__xludf.DUMMYFUNCTION("""COMPUTED_VALUE"""),-0.180731120130831)</f>
        <v>-0.1807311201</v>
      </c>
      <c r="M755" s="166">
        <f t="shared" si="2"/>
        <v>0.1008773564</v>
      </c>
      <c r="N755" s="167">
        <f t="shared" si="3"/>
        <v>11.37638889</v>
      </c>
      <c r="O755" s="163">
        <f t="shared" ref="O755:Q755" si="759">rank(I755,I:I)</f>
        <v>1366</v>
      </c>
      <c r="P755" s="163">
        <f t="shared" si="759"/>
        <v>1379</v>
      </c>
      <c r="Q755" s="163">
        <f t="shared" si="759"/>
        <v>1087</v>
      </c>
      <c r="R755" s="163">
        <f>IFERROR(__xludf.DUMMYFUNCTION("RANK(M755,filter(M:M,C:C=C755))"),382.0)</f>
        <v>382</v>
      </c>
      <c r="S755" s="161" t="b">
        <f t="shared" si="5"/>
        <v>0</v>
      </c>
      <c r="T755" s="161" t="b">
        <f t="array" ref="T755">index('Query Tool'!B:B,match(H755,'Query Tool'!C:C,0))</f>
        <v>1</v>
      </c>
      <c r="U755" s="161" t="b">
        <f t="array" ref="U755">index('Query Tool'!B:B,match(C755,'Query Tool'!C:C,0))</f>
        <v>0</v>
      </c>
      <c r="V755" s="161" t="b">
        <f>F755&gt;='Query Tool'!C$32</f>
        <v>0</v>
      </c>
      <c r="W755" s="161" t="b">
        <f t="array" ref="W755">index(Dropdowns!B:B,match(I755,Dropdowns!A:A,0))</f>
        <v>1</v>
      </c>
      <c r="X755" s="161" t="b">
        <f t="array" ref="X755">index('Query Tool'!B:B,match(D755,'Query Tool'!C:C,0))</f>
        <v>1</v>
      </c>
      <c r="Y755" s="161" t="str">
        <f t="shared" si="6"/>
        <v>onuakar01,2014-15</v>
      </c>
      <c r="Z755" s="168" t="str">
        <f t="array" ref="Z755">iferror(index(I:I,match($A755&amp;","&amp;index('Year Conversion'!$A:$A,match($C755,'Year Conversion'!$B:$B,0)),$Y:$Y,0))-I755,"")</f>
        <v/>
      </c>
      <c r="AA755" s="168" t="str">
        <f t="array" ref="AA755">iferror(index(J:J,match($A755&amp;","&amp;index('Year Conversion'!$A:$A,match($C755,'Year Conversion'!$B:$B,0)),$Y:$Y,0))-J755,"")</f>
        <v/>
      </c>
      <c r="AB755" s="168" t="str">
        <f t="array" ref="AB755">iferror(index(K:K,match($A755&amp;","&amp;index('Year Conversion'!$A:$A,match($C755,'Year Conversion'!$B:$B,0)),$Y:$Y,0))-K755,"")</f>
        <v/>
      </c>
      <c r="AC755" s="168" t="str">
        <f t="shared" si="7"/>
        <v>MIN,2014-15</v>
      </c>
    </row>
    <row r="756">
      <c r="A756" s="161" t="str">
        <f>IFERROR(__xludf.DUMMYFUNCTION("""COMPUTED_VALUE"""),"irvinky01")</f>
        <v>irvinky01</v>
      </c>
      <c r="B756" s="161" t="str">
        <f>IFERROR(__xludf.DUMMYFUNCTION("""COMPUTED_VALUE"""),"Kyrie Irving")</f>
        <v>Kyrie Irving</v>
      </c>
      <c r="C756" s="162" t="str">
        <f>IFERROR(__xludf.DUMMYFUNCTION("""COMPUTED_VALUE"""),"2014-15")</f>
        <v>2014-15</v>
      </c>
      <c r="D756" s="163" t="str">
        <f>IFERROR(__xludf.DUMMYFUNCTION("""COMPUTED_VALUE"""),"CLE")</f>
        <v>CLE</v>
      </c>
      <c r="E756" s="164" t="str">
        <f>IFERROR(__xludf.DUMMYFUNCTION("""COMPUTED_VALUE"""),"Shot Creator")</f>
        <v>Shot Creator</v>
      </c>
      <c r="F756" s="164">
        <f>IFERROR(__xludf.DUMMYFUNCTION("""COMPUTED_VALUE"""),2729.86333333333)</f>
        <v>2729.863333</v>
      </c>
      <c r="G756" s="163">
        <f>IFERROR(__xludf.DUMMYFUNCTION("""COMPUTED_VALUE"""),75.0)</f>
        <v>75</v>
      </c>
      <c r="H756" s="163" t="str">
        <f>IFERROR(__xludf.DUMMYFUNCTION("""COMPUTED_VALUE"""),"PG")</f>
        <v>PG</v>
      </c>
      <c r="I756" s="163">
        <f>IFERROR(__xludf.DUMMYFUNCTION("""COMPUTED_VALUE"""),22.0)</f>
        <v>22</v>
      </c>
      <c r="J756" s="165">
        <f>IFERROR(__xludf.DUMMYFUNCTION("""COMPUTED_VALUE"""),2.76562679904036)</f>
        <v>2.765626799</v>
      </c>
      <c r="K756" s="165">
        <f>IFERROR(__xludf.DUMMYFUNCTION("""COMPUTED_VALUE"""),3.54629311365993)</f>
        <v>3.546293114</v>
      </c>
      <c r="L756" s="165">
        <f>IFERROR(__xludf.DUMMYFUNCTION("""COMPUTED_VALUE"""),-0.780666314619569)</f>
        <v>-0.7806663146</v>
      </c>
      <c r="M756" s="166">
        <f t="shared" si="2"/>
        <v>9.245122217</v>
      </c>
      <c r="N756" s="167">
        <f t="shared" si="3"/>
        <v>36.39817778</v>
      </c>
      <c r="O756" s="163">
        <f t="shared" ref="O756:Q756" si="760">rank(I756,I:I)</f>
        <v>3178</v>
      </c>
      <c r="P756" s="163">
        <f t="shared" si="760"/>
        <v>195</v>
      </c>
      <c r="Q756" s="163">
        <f t="shared" si="760"/>
        <v>88</v>
      </c>
      <c r="R756" s="163">
        <f>IFERROR(__xludf.DUMMYFUNCTION("RANK(M756,filter(M:M,C:C=C756))"),18.0)</f>
        <v>18</v>
      </c>
      <c r="S756" s="161" t="b">
        <f t="shared" si="5"/>
        <v>0</v>
      </c>
      <c r="T756" s="161" t="b">
        <f t="array" ref="T756">index('Query Tool'!B:B,match(H756,'Query Tool'!C:C,0))</f>
        <v>1</v>
      </c>
      <c r="U756" s="161" t="b">
        <f t="array" ref="U756">index('Query Tool'!B:B,match(C756,'Query Tool'!C:C,0))</f>
        <v>0</v>
      </c>
      <c r="V756" s="161" t="b">
        <f>F756&gt;='Query Tool'!C$32</f>
        <v>1</v>
      </c>
      <c r="W756" s="161" t="b">
        <f t="array" ref="W756">index(Dropdowns!B:B,match(I756,Dropdowns!A:A,0))</f>
        <v>1</v>
      </c>
      <c r="X756" s="161" t="b">
        <f t="array" ref="X756">index('Query Tool'!B:B,match(D756,'Query Tool'!C:C,0))</f>
        <v>1</v>
      </c>
      <c r="Y756" s="161" t="str">
        <f t="shared" si="6"/>
        <v>irvinky01,2014-15</v>
      </c>
      <c r="Z756" s="168">
        <f t="array" ref="Z756">iferror(index(I:I,match($A756&amp;","&amp;index('Year Conversion'!$A:$A,match($C756,'Year Conversion'!$B:$B,0)),$Y:$Y,0))-I756,"")</f>
        <v>1</v>
      </c>
      <c r="AA756" s="168">
        <f t="array" ref="AA756">iferror(index(J:J,match($A756&amp;","&amp;index('Year Conversion'!$A:$A,match($C756,'Year Conversion'!$B:$B,0)),$Y:$Y,0))-J756,"")</f>
        <v>-1.566609605</v>
      </c>
      <c r="AB756" s="168">
        <f t="array" ref="AB756">iferror(index(K:K,match($A756&amp;","&amp;index('Year Conversion'!$A:$A,match($C756,'Year Conversion'!$B:$B,0)),$Y:$Y,0))-K756,"")</f>
        <v>-0.4882952779</v>
      </c>
      <c r="AC756" s="168" t="str">
        <f t="shared" si="7"/>
        <v>CLE,2014-15</v>
      </c>
    </row>
    <row r="757">
      <c r="A757" s="161" t="str">
        <f>IFERROR(__xludf.DUMMYFUNCTION("""COMPUTED_VALUE"""),"willide02")</f>
        <v>willide02</v>
      </c>
      <c r="B757" s="161" t="str">
        <f>IFERROR(__xludf.DUMMYFUNCTION("""COMPUTED_VALUE"""),"Derrick Williams")</f>
        <v>Derrick Williams</v>
      </c>
      <c r="C757" s="162" t="str">
        <f>IFERROR(__xludf.DUMMYFUNCTION("""COMPUTED_VALUE"""),"2014-15")</f>
        <v>2014-15</v>
      </c>
      <c r="D757" s="163" t="str">
        <f>IFERROR(__xludf.DUMMYFUNCTION("""COMPUTED_VALUE"""),"SAC")</f>
        <v>SAC</v>
      </c>
      <c r="E757" s="164" t="str">
        <f>IFERROR(__xludf.DUMMYFUNCTION("""COMPUTED_VALUE"""),"Athletic Finisher")</f>
        <v>Athletic Finisher</v>
      </c>
      <c r="F757" s="164">
        <f>IFERROR(__xludf.DUMMYFUNCTION("""COMPUTED_VALUE"""),1461.67)</f>
        <v>1461.67</v>
      </c>
      <c r="G757" s="163">
        <f>IFERROR(__xludf.DUMMYFUNCTION("""COMPUTED_VALUE"""),74.0)</f>
        <v>74</v>
      </c>
      <c r="H757" s="163" t="str">
        <f>IFERROR(__xludf.DUMMYFUNCTION("""COMPUTED_VALUE"""),"PF")</f>
        <v>PF</v>
      </c>
      <c r="I757" s="163">
        <f>IFERROR(__xludf.DUMMYFUNCTION("""COMPUTED_VALUE"""),23.0)</f>
        <v>23</v>
      </c>
      <c r="J757" s="165">
        <f>IFERROR(__xludf.DUMMYFUNCTION("""COMPUTED_VALUE"""),-2.98761507875086)</f>
        <v>-2.987615079</v>
      </c>
      <c r="K757" s="165">
        <f>IFERROR(__xludf.DUMMYFUNCTION("""COMPUTED_VALUE"""),-0.589700032010393)</f>
        <v>-0.589700032</v>
      </c>
      <c r="L757" s="165">
        <f>IFERROR(__xludf.DUMMYFUNCTION("""COMPUTED_VALUE"""),-2.39791504674046)</f>
        <v>-2.397915047</v>
      </c>
      <c r="M757" s="166">
        <f t="shared" si="2"/>
        <v>-0.6547443988</v>
      </c>
      <c r="N757" s="167">
        <f t="shared" si="3"/>
        <v>19.7522973</v>
      </c>
      <c r="O757" s="163">
        <f t="shared" ref="O757:Q757" si="761">rank(I757,I:I)</f>
        <v>2765</v>
      </c>
      <c r="P757" s="163">
        <f t="shared" si="761"/>
        <v>3884</v>
      </c>
      <c r="Q757" s="163">
        <f t="shared" si="761"/>
        <v>2249</v>
      </c>
      <c r="R757" s="163">
        <f>IFERROR(__xludf.DUMMYFUNCTION("RANK(M757,filter(M:M,C:C=C757))"),484.0)</f>
        <v>484</v>
      </c>
      <c r="S757" s="161" t="b">
        <f t="shared" si="5"/>
        <v>0</v>
      </c>
      <c r="T757" s="161" t="b">
        <f t="array" ref="T757">index('Query Tool'!B:B,match(H757,'Query Tool'!C:C,0))</f>
        <v>1</v>
      </c>
      <c r="U757" s="161" t="b">
        <f t="array" ref="U757">index('Query Tool'!B:B,match(C757,'Query Tool'!C:C,0))</f>
        <v>0</v>
      </c>
      <c r="V757" s="161" t="b">
        <f>F757&gt;='Query Tool'!C$32</f>
        <v>1</v>
      </c>
      <c r="W757" s="161" t="b">
        <f t="array" ref="W757">index(Dropdowns!B:B,match(I757,Dropdowns!A:A,0))</f>
        <v>1</v>
      </c>
      <c r="X757" s="161" t="b">
        <f t="array" ref="X757">index('Query Tool'!B:B,match(D757,'Query Tool'!C:C,0))</f>
        <v>1</v>
      </c>
      <c r="Y757" s="161" t="str">
        <f t="shared" si="6"/>
        <v>willide02,2014-15</v>
      </c>
      <c r="Z757" s="168">
        <f t="array" ref="Z757">iferror(index(I:I,match($A757&amp;","&amp;index('Year Conversion'!$A:$A,match($C757,'Year Conversion'!$B:$B,0)),$Y:$Y,0))-I757,"")</f>
        <v>1</v>
      </c>
      <c r="AA757" s="168">
        <f t="array" ref="AA757">iferror(index(J:J,match($A757&amp;","&amp;index('Year Conversion'!$A:$A,match($C757,'Year Conversion'!$B:$B,0)),$Y:$Y,0))-J757,"")</f>
        <v>1.453329257</v>
      </c>
      <c r="AB757" s="168">
        <f t="array" ref="AB757">iferror(index(K:K,match($A757&amp;","&amp;index('Year Conversion'!$A:$A,match($C757,'Year Conversion'!$B:$B,0)),$Y:$Y,0))-K757,"")</f>
        <v>0.592382238</v>
      </c>
      <c r="AC757" s="168" t="str">
        <f t="shared" si="7"/>
        <v>SAC,2014-15</v>
      </c>
    </row>
    <row r="758">
      <c r="A758" s="161" t="str">
        <f>IFERROR(__xludf.DUMMYFUNCTION("""COMPUTED_VALUE"""),"kanteen01")</f>
        <v>kanteen01</v>
      </c>
      <c r="B758" s="161" t="str">
        <f>IFERROR(__xludf.DUMMYFUNCTION("""COMPUTED_VALUE"""),"Enes Kanter")</f>
        <v>Enes Kanter</v>
      </c>
      <c r="C758" s="162" t="str">
        <f>IFERROR(__xludf.DUMMYFUNCTION("""COMPUTED_VALUE"""),"2014-15")</f>
        <v>2014-15</v>
      </c>
      <c r="D758" s="163" t="str">
        <f>IFERROR(__xludf.DUMMYFUNCTION("""COMPUTED_VALUE"""),"TOT")</f>
        <v>TOT</v>
      </c>
      <c r="E758" s="164" t="str">
        <f>IFERROR(__xludf.DUMMYFUNCTION("""COMPUTED_VALUE"""),"Post Scorer")</f>
        <v>Post Scorer</v>
      </c>
      <c r="F758" s="164">
        <f>IFERROR(__xludf.DUMMYFUNCTION("""COMPUTED_VALUE"""),2135.64)</f>
        <v>2135.64</v>
      </c>
      <c r="G758" s="163">
        <f>IFERROR(__xludf.DUMMYFUNCTION("""COMPUTED_VALUE"""),75.0)</f>
        <v>75</v>
      </c>
      <c r="H758" s="163" t="str">
        <f>IFERROR(__xludf.DUMMYFUNCTION("""COMPUTED_VALUE"""),"C")</f>
        <v>C</v>
      </c>
      <c r="I758" s="163">
        <f>IFERROR(__xludf.DUMMYFUNCTION("""COMPUTED_VALUE"""),22.0)</f>
        <v>22</v>
      </c>
      <c r="J758" s="165">
        <f>IFERROR(__xludf.DUMMYFUNCTION("""COMPUTED_VALUE"""),-0.997438124107747)</f>
        <v>-0.9974381241</v>
      </c>
      <c r="K758" s="165">
        <f>IFERROR(__xludf.DUMMYFUNCTION("""COMPUTED_VALUE"""),0.995247085054112)</f>
        <v>0.9952470851</v>
      </c>
      <c r="L758" s="165">
        <f>IFERROR(__xludf.DUMMYFUNCTION("""COMPUTED_VALUE"""),-1.99268520916186)</f>
        <v>-1.992685209</v>
      </c>
      <c r="M758" s="166">
        <f t="shared" si="2"/>
        <v>1.858288485</v>
      </c>
      <c r="N758" s="167">
        <f t="shared" si="3"/>
        <v>28.4752</v>
      </c>
      <c r="O758" s="163">
        <f t="shared" ref="O758:Q758" si="762">rank(I758,I:I)</f>
        <v>3178</v>
      </c>
      <c r="P758" s="163">
        <f t="shared" si="762"/>
        <v>2500</v>
      </c>
      <c r="Q758" s="163">
        <f t="shared" si="762"/>
        <v>509</v>
      </c>
      <c r="R758" s="163">
        <f>IFERROR(__xludf.DUMMYFUNCTION("RANK(M758,filter(M:M,C:C=C758))"),172.0)</f>
        <v>172</v>
      </c>
      <c r="S758" s="161" t="b">
        <f t="shared" si="5"/>
        <v>0</v>
      </c>
      <c r="T758" s="161" t="b">
        <f t="array" ref="T758">index('Query Tool'!B:B,match(H758,'Query Tool'!C:C,0))</f>
        <v>1</v>
      </c>
      <c r="U758" s="161" t="b">
        <f t="array" ref="U758">index('Query Tool'!B:B,match(C758,'Query Tool'!C:C,0))</f>
        <v>0</v>
      </c>
      <c r="V758" s="161" t="b">
        <f>F758&gt;='Query Tool'!C$32</f>
        <v>1</v>
      </c>
      <c r="W758" s="161" t="b">
        <f t="array" ref="W758">index(Dropdowns!B:B,match(I758,Dropdowns!A:A,0))</f>
        <v>1</v>
      </c>
      <c r="X758" s="161" t="b">
        <f t="array" ref="X758">index('Query Tool'!B:B,match(D758,'Query Tool'!C:C,0))</f>
        <v>1</v>
      </c>
      <c r="Y758" s="161" t="str">
        <f t="shared" si="6"/>
        <v>kanteen01,2014-15</v>
      </c>
      <c r="Z758" s="168">
        <f t="array" ref="Z758">iferror(index(I:I,match($A758&amp;","&amp;index('Year Conversion'!$A:$A,match($C758,'Year Conversion'!$B:$B,0)),$Y:$Y,0))-I758,"")</f>
        <v>1</v>
      </c>
      <c r="AA758" s="168">
        <f t="array" ref="AA758">iferror(index(J:J,match($A758&amp;","&amp;index('Year Conversion'!$A:$A,match($C758,'Year Conversion'!$B:$B,0)),$Y:$Y,0))-J758,"")</f>
        <v>1.695160536</v>
      </c>
      <c r="AB758" s="168">
        <f t="array" ref="AB758">iferror(index(K:K,match($A758&amp;","&amp;index('Year Conversion'!$A:$A,match($C758,'Year Conversion'!$B:$B,0)),$Y:$Y,0))-K758,"")</f>
        <v>1.050358292</v>
      </c>
      <c r="AC758" s="168" t="str">
        <f t="shared" si="7"/>
        <v>TOT,2014-15</v>
      </c>
    </row>
    <row r="759">
      <c r="A759" s="161" t="str">
        <f>IFERROR(__xludf.DUMMYFUNCTION("""COMPUTED_VALUE"""),"thomptr01")</f>
        <v>thomptr01</v>
      </c>
      <c r="B759" s="161" t="str">
        <f>IFERROR(__xludf.DUMMYFUNCTION("""COMPUTED_VALUE"""),"Tristan Thompson")</f>
        <v>Tristan Thompson</v>
      </c>
      <c r="C759" s="162" t="str">
        <f>IFERROR(__xludf.DUMMYFUNCTION("""COMPUTED_VALUE"""),"2014-15")</f>
        <v>2014-15</v>
      </c>
      <c r="D759" s="163" t="str">
        <f>IFERROR(__xludf.DUMMYFUNCTION("""COMPUTED_VALUE"""),"CLE")</f>
        <v>CLE</v>
      </c>
      <c r="E759" s="164" t="str">
        <f>IFERROR(__xludf.DUMMYFUNCTION("""COMPUTED_VALUE"""),"Roll + Cut Big")</f>
        <v>Roll + Cut Big</v>
      </c>
      <c r="F759" s="164">
        <f>IFERROR(__xludf.DUMMYFUNCTION("""COMPUTED_VALUE"""),2193.93833333333)</f>
        <v>2193.938333</v>
      </c>
      <c r="G759" s="163">
        <f>IFERROR(__xludf.DUMMYFUNCTION("""COMPUTED_VALUE"""),82.0)</f>
        <v>82</v>
      </c>
      <c r="H759" s="163" t="str">
        <f>IFERROR(__xludf.DUMMYFUNCTION("""COMPUTED_VALUE"""),"PF")</f>
        <v>PF</v>
      </c>
      <c r="I759" s="163">
        <f>IFERROR(__xludf.DUMMYFUNCTION("""COMPUTED_VALUE"""),23.0)</f>
        <v>23</v>
      </c>
      <c r="J759" s="165">
        <f>IFERROR(__xludf.DUMMYFUNCTION("""COMPUTED_VALUE"""),-0.124146345534448)</f>
        <v>-0.1241463455</v>
      </c>
      <c r="K759" s="165">
        <f>IFERROR(__xludf.DUMMYFUNCTION("""COMPUTED_VALUE"""),0.623010732665007)</f>
        <v>0.6230107327</v>
      </c>
      <c r="L759" s="165">
        <f>IFERROR(__xludf.DUMMYFUNCTION("""COMPUTED_VALUE"""),-0.747157078199455)</f>
        <v>-0.7471570782</v>
      </c>
      <c r="M759" s="166">
        <f t="shared" si="2"/>
        <v>3.198696836</v>
      </c>
      <c r="N759" s="167">
        <f t="shared" si="3"/>
        <v>26.75534553</v>
      </c>
      <c r="O759" s="163">
        <f t="shared" ref="O759:Q759" si="763">rank(I759,I:I)</f>
        <v>2765</v>
      </c>
      <c r="P759" s="163">
        <f t="shared" si="763"/>
        <v>1410</v>
      </c>
      <c r="Q759" s="163">
        <f t="shared" si="763"/>
        <v>693</v>
      </c>
      <c r="R759" s="163">
        <f>IFERROR(__xludf.DUMMYFUNCTION("RANK(M759,filter(M:M,C:C=C759))"),108.0)</f>
        <v>108</v>
      </c>
      <c r="S759" s="161" t="b">
        <f t="shared" si="5"/>
        <v>0</v>
      </c>
      <c r="T759" s="161" t="b">
        <f t="array" ref="T759">index('Query Tool'!B:B,match(H759,'Query Tool'!C:C,0))</f>
        <v>1</v>
      </c>
      <c r="U759" s="161" t="b">
        <f t="array" ref="U759">index('Query Tool'!B:B,match(C759,'Query Tool'!C:C,0))</f>
        <v>0</v>
      </c>
      <c r="V759" s="161" t="b">
        <f>F759&gt;='Query Tool'!C$32</f>
        <v>1</v>
      </c>
      <c r="W759" s="161" t="b">
        <f t="array" ref="W759">index(Dropdowns!B:B,match(I759,Dropdowns!A:A,0))</f>
        <v>1</v>
      </c>
      <c r="X759" s="161" t="b">
        <f t="array" ref="X759">index('Query Tool'!B:B,match(D759,'Query Tool'!C:C,0))</f>
        <v>1</v>
      </c>
      <c r="Y759" s="161" t="str">
        <f t="shared" si="6"/>
        <v>thomptr01,2014-15</v>
      </c>
      <c r="Z759" s="168">
        <f t="array" ref="Z759">iferror(index(I:I,match($A759&amp;","&amp;index('Year Conversion'!$A:$A,match($C759,'Year Conversion'!$B:$B,0)),$Y:$Y,0))-I759,"")</f>
        <v>1</v>
      </c>
      <c r="AA759" s="168">
        <f t="array" ref="AA759">iferror(index(J:J,match($A759&amp;","&amp;index('Year Conversion'!$A:$A,match($C759,'Year Conversion'!$B:$B,0)),$Y:$Y,0))-J759,"")</f>
        <v>1.181444139</v>
      </c>
      <c r="AB759" s="168">
        <f t="array" ref="AB759">iferror(index(K:K,match($A759&amp;","&amp;index('Year Conversion'!$A:$A,match($C759,'Year Conversion'!$B:$B,0)),$Y:$Y,0))-K759,"")</f>
        <v>-0.4020297431</v>
      </c>
      <c r="AC759" s="168" t="str">
        <f t="shared" si="7"/>
        <v>CLE,2014-15</v>
      </c>
    </row>
    <row r="760">
      <c r="A760" s="161" t="str">
        <f>IFERROR(__xludf.DUMMYFUNCTION("""COMPUTED_VALUE"""),"valanjo01")</f>
        <v>valanjo01</v>
      </c>
      <c r="B760" s="161" t="str">
        <f>IFERROR(__xludf.DUMMYFUNCTION("""COMPUTED_VALUE"""),"Jonas Valanciunas")</f>
        <v>Jonas Valanciunas</v>
      </c>
      <c r="C760" s="162" t="str">
        <f>IFERROR(__xludf.DUMMYFUNCTION("""COMPUTED_VALUE"""),"2014-15")</f>
        <v>2014-15</v>
      </c>
      <c r="D760" s="163" t="str">
        <f>IFERROR(__xludf.DUMMYFUNCTION("""COMPUTED_VALUE"""),"TOR")</f>
        <v>TOR</v>
      </c>
      <c r="E760" s="164" t="str">
        <f>IFERROR(__xludf.DUMMYFUNCTION("""COMPUTED_VALUE"""),"Post Scorer")</f>
        <v>Post Scorer</v>
      </c>
      <c r="F760" s="164">
        <f>IFERROR(__xludf.DUMMYFUNCTION("""COMPUTED_VALUE"""),2095.91333333333)</f>
        <v>2095.913333</v>
      </c>
      <c r="G760" s="163">
        <f>IFERROR(__xludf.DUMMYFUNCTION("""COMPUTED_VALUE"""),80.0)</f>
        <v>80</v>
      </c>
      <c r="H760" s="163" t="str">
        <f>IFERROR(__xludf.DUMMYFUNCTION("""COMPUTED_VALUE"""),"C")</f>
        <v>C</v>
      </c>
      <c r="I760" s="163">
        <f>IFERROR(__xludf.DUMMYFUNCTION("""COMPUTED_VALUE"""),22.0)</f>
        <v>22</v>
      </c>
      <c r="J760" s="165">
        <f>IFERROR(__xludf.DUMMYFUNCTION("""COMPUTED_VALUE"""),0.178695062968852)</f>
        <v>0.178695063</v>
      </c>
      <c r="K760" s="165">
        <f>IFERROR(__xludf.DUMMYFUNCTION("""COMPUTED_VALUE"""),-0.659329260415711)</f>
        <v>-0.6593292604</v>
      </c>
      <c r="L760" s="165">
        <f>IFERROR(__xludf.DUMMYFUNCTION("""COMPUTED_VALUE"""),0.838024323384563)</f>
        <v>0.8380243234</v>
      </c>
      <c r="M760" s="166">
        <f t="shared" si="2"/>
        <v>3.483692405</v>
      </c>
      <c r="N760" s="167">
        <f t="shared" si="3"/>
        <v>26.19891667</v>
      </c>
      <c r="O760" s="163">
        <f t="shared" ref="O760:Q760" si="764">rank(I760,I:I)</f>
        <v>3178</v>
      </c>
      <c r="P760" s="163">
        <f t="shared" si="764"/>
        <v>1106</v>
      </c>
      <c r="Q760" s="163">
        <f t="shared" si="764"/>
        <v>2346</v>
      </c>
      <c r="R760" s="163">
        <f>IFERROR(__xludf.DUMMYFUNCTION("RANK(M760,filter(M:M,C:C=C760))"),101.0)</f>
        <v>101</v>
      </c>
      <c r="S760" s="161" t="b">
        <f t="shared" si="5"/>
        <v>0</v>
      </c>
      <c r="T760" s="161" t="b">
        <f t="array" ref="T760">index('Query Tool'!B:B,match(H760,'Query Tool'!C:C,0))</f>
        <v>1</v>
      </c>
      <c r="U760" s="161" t="b">
        <f t="array" ref="U760">index('Query Tool'!B:B,match(C760,'Query Tool'!C:C,0))</f>
        <v>0</v>
      </c>
      <c r="V760" s="161" t="b">
        <f>F760&gt;='Query Tool'!C$32</f>
        <v>1</v>
      </c>
      <c r="W760" s="161" t="b">
        <f t="array" ref="W760">index(Dropdowns!B:B,match(I760,Dropdowns!A:A,0))</f>
        <v>1</v>
      </c>
      <c r="X760" s="161" t="b">
        <f t="array" ref="X760">index('Query Tool'!B:B,match(D760,'Query Tool'!C:C,0))</f>
        <v>1</v>
      </c>
      <c r="Y760" s="161" t="str">
        <f t="shared" si="6"/>
        <v>valanjo01,2014-15</v>
      </c>
      <c r="Z760" s="168">
        <f t="array" ref="Z760">iferror(index(I:I,match($A760&amp;","&amp;index('Year Conversion'!$A:$A,match($C760,'Year Conversion'!$B:$B,0)),$Y:$Y,0))-I760,"")</f>
        <v>1</v>
      </c>
      <c r="AA760" s="168">
        <f t="array" ref="AA760">iferror(index(J:J,match($A760&amp;","&amp;index('Year Conversion'!$A:$A,match($C760,'Year Conversion'!$B:$B,0)),$Y:$Y,0))-J760,"")</f>
        <v>1.23906194</v>
      </c>
      <c r="AB760" s="168">
        <f t="array" ref="AB760">iferror(index(K:K,match($A760&amp;","&amp;index('Year Conversion'!$A:$A,match($C760,'Year Conversion'!$B:$B,0)),$Y:$Y,0))-K760,"")</f>
        <v>1.523497534</v>
      </c>
      <c r="AC760" s="168" t="str">
        <f t="shared" si="7"/>
        <v>TOR,2014-15</v>
      </c>
    </row>
    <row r="761">
      <c r="A761" s="161" t="str">
        <f>IFERROR(__xludf.DUMMYFUNCTION("""COMPUTED_VALUE"""),"biyombi01")</f>
        <v>biyombi01</v>
      </c>
      <c r="B761" s="161" t="str">
        <f>IFERROR(__xludf.DUMMYFUNCTION("""COMPUTED_VALUE"""),"Bismack Biyombo")</f>
        <v>Bismack Biyombo</v>
      </c>
      <c r="C761" s="162" t="str">
        <f>IFERROR(__xludf.DUMMYFUNCTION("""COMPUTED_VALUE"""),"2014-15")</f>
        <v>2014-15</v>
      </c>
      <c r="D761" s="163" t="str">
        <f>IFERROR(__xludf.DUMMYFUNCTION("""COMPUTED_VALUE"""),"CHO")</f>
        <v>CHO</v>
      </c>
      <c r="E761" s="164" t="str">
        <f>IFERROR(__xludf.DUMMYFUNCTION("""COMPUTED_VALUE"""),"Roll + Cut Big")</f>
        <v>Roll + Cut Big</v>
      </c>
      <c r="F761" s="164">
        <f>IFERROR(__xludf.DUMMYFUNCTION("""COMPUTED_VALUE"""),1243.10166666667)</f>
        <v>1243.101667</v>
      </c>
      <c r="G761" s="163">
        <f>IFERROR(__xludf.DUMMYFUNCTION("""COMPUTED_VALUE"""),64.0)</f>
        <v>64</v>
      </c>
      <c r="H761" s="163" t="str">
        <f>IFERROR(__xludf.DUMMYFUNCTION("""COMPUTED_VALUE"""),"C")</f>
        <v>C</v>
      </c>
      <c r="I761" s="163">
        <f>IFERROR(__xludf.DUMMYFUNCTION("""COMPUTED_VALUE"""),22.0)</f>
        <v>22</v>
      </c>
      <c r="J761" s="165">
        <f>IFERROR(__xludf.DUMMYFUNCTION("""COMPUTED_VALUE"""),0.257285092781487)</f>
        <v>0.2572850928</v>
      </c>
      <c r="K761" s="165">
        <f>IFERROR(__xludf.DUMMYFUNCTION("""COMPUTED_VALUE"""),-2.51748018752755)</f>
        <v>-2.517480188</v>
      </c>
      <c r="L761" s="165">
        <f>IFERROR(__xludf.DUMMYFUNCTION("""COMPUTED_VALUE"""),2.77476528030903)</f>
        <v>2.77476528</v>
      </c>
      <c r="M761" s="166">
        <f t="shared" si="2"/>
        <v>2.132055735</v>
      </c>
      <c r="N761" s="167">
        <f t="shared" si="3"/>
        <v>19.42346354</v>
      </c>
      <c r="O761" s="163">
        <f t="shared" ref="O761:Q761" si="765">rank(I761,I:I)</f>
        <v>3178</v>
      </c>
      <c r="P761" s="163">
        <f t="shared" si="765"/>
        <v>1051</v>
      </c>
      <c r="Q761" s="163">
        <f t="shared" si="765"/>
        <v>3892</v>
      </c>
      <c r="R761" s="163">
        <f>IFERROR(__xludf.DUMMYFUNCTION("RANK(M761,filter(M:M,C:C=C761))"),162.0)</f>
        <v>162</v>
      </c>
      <c r="S761" s="161" t="b">
        <f t="shared" si="5"/>
        <v>0</v>
      </c>
      <c r="T761" s="161" t="b">
        <f t="array" ref="T761">index('Query Tool'!B:B,match(H761,'Query Tool'!C:C,0))</f>
        <v>1</v>
      </c>
      <c r="U761" s="161" t="b">
        <f t="array" ref="U761">index('Query Tool'!B:B,match(C761,'Query Tool'!C:C,0))</f>
        <v>0</v>
      </c>
      <c r="V761" s="161" t="b">
        <f>F761&gt;='Query Tool'!C$32</f>
        <v>1</v>
      </c>
      <c r="W761" s="161" t="b">
        <f t="array" ref="W761">index(Dropdowns!B:B,match(I761,Dropdowns!A:A,0))</f>
        <v>1</v>
      </c>
      <c r="X761" s="161" t="b">
        <f t="array" ref="X761">index('Query Tool'!B:B,match(D761,'Query Tool'!C:C,0))</f>
        <v>1</v>
      </c>
      <c r="Y761" s="161" t="str">
        <f t="shared" si="6"/>
        <v>biyombi01,2014-15</v>
      </c>
      <c r="Z761" s="168">
        <f t="array" ref="Z761">iferror(index(I:I,match($A761&amp;","&amp;index('Year Conversion'!$A:$A,match($C761,'Year Conversion'!$B:$B,0)),$Y:$Y,0))-I761,"")</f>
        <v>1</v>
      </c>
      <c r="AA761" s="168">
        <f t="array" ref="AA761">iferror(index(J:J,match($A761&amp;","&amp;index('Year Conversion'!$A:$A,match($C761,'Year Conversion'!$B:$B,0)),$Y:$Y,0))-J761,"")</f>
        <v>0.3937328783</v>
      </c>
      <c r="AB761" s="168">
        <f t="array" ref="AB761">iferror(index(K:K,match($A761&amp;","&amp;index('Year Conversion'!$A:$A,match($C761,'Year Conversion'!$B:$B,0)),$Y:$Y,0))-K761,"")</f>
        <v>0.4137601093</v>
      </c>
      <c r="AC761" s="168" t="str">
        <f t="shared" si="7"/>
        <v>CHO,2014-15</v>
      </c>
    </row>
    <row r="762">
      <c r="A762" s="161" t="str">
        <f>IFERROR(__xludf.DUMMYFUNCTION("""COMPUTED_VALUE"""),"knighbr03")</f>
        <v>knighbr03</v>
      </c>
      <c r="B762" s="161" t="str">
        <f>IFERROR(__xludf.DUMMYFUNCTION("""COMPUTED_VALUE"""),"Brandon Knight")</f>
        <v>Brandon Knight</v>
      </c>
      <c r="C762" s="162" t="str">
        <f>IFERROR(__xludf.DUMMYFUNCTION("""COMPUTED_VALUE"""),"2014-15")</f>
        <v>2014-15</v>
      </c>
      <c r="D762" s="163" t="str">
        <f>IFERROR(__xludf.DUMMYFUNCTION("""COMPUTED_VALUE"""),"TOT")</f>
        <v>TOT</v>
      </c>
      <c r="E762" s="164" t="str">
        <f>IFERROR(__xludf.DUMMYFUNCTION("""COMPUTED_VALUE"""),"Primary Ball Handler")</f>
        <v>Primary Ball Handler</v>
      </c>
      <c r="F762" s="164">
        <f>IFERROR(__xludf.DUMMYFUNCTION("""COMPUTED_VALUE"""),2035.19166666667)</f>
        <v>2035.191667</v>
      </c>
      <c r="G762" s="163">
        <f>IFERROR(__xludf.DUMMYFUNCTION("""COMPUTED_VALUE"""),63.0)</f>
        <v>63</v>
      </c>
      <c r="H762" s="163" t="str">
        <f>IFERROR(__xludf.DUMMYFUNCTION("""COMPUTED_VALUE"""),"PG-SG")</f>
        <v>PG-SG</v>
      </c>
      <c r="I762" s="163">
        <f>IFERROR(__xludf.DUMMYFUNCTION("""COMPUTED_VALUE"""),23.0)</f>
        <v>23</v>
      </c>
      <c r="J762" s="165">
        <f>IFERROR(__xludf.DUMMYFUNCTION("""COMPUTED_VALUE"""),-0.0731433369608717)</f>
        <v>-0.07314333696</v>
      </c>
      <c r="K762" s="165">
        <f>IFERROR(__xludf.DUMMYFUNCTION("""COMPUTED_VALUE"""),0.351408360851031)</f>
        <v>0.3514083609</v>
      </c>
      <c r="L762" s="165">
        <f>IFERROR(__xludf.DUMMYFUNCTION("""COMPUTED_VALUE"""),-0.424551697811903)</f>
        <v>-0.4245516978</v>
      </c>
      <c r="M762" s="166">
        <f t="shared" si="2"/>
        <v>3.037227524</v>
      </c>
      <c r="N762" s="167">
        <f t="shared" si="3"/>
        <v>32.30462963</v>
      </c>
      <c r="O762" s="163">
        <f t="shared" ref="O762:Q762" si="766">rank(I762,I:I)</f>
        <v>2765</v>
      </c>
      <c r="P762" s="163">
        <f t="shared" si="766"/>
        <v>1361</v>
      </c>
      <c r="Q762" s="163">
        <f t="shared" si="766"/>
        <v>867</v>
      </c>
      <c r="R762" s="163">
        <f>IFERROR(__xludf.DUMMYFUNCTION("RANK(M762,filter(M:M,C:C=C762))"),114.0)</f>
        <v>114</v>
      </c>
      <c r="S762" s="161" t="b">
        <f t="shared" si="5"/>
        <v>0</v>
      </c>
      <c r="T762" s="161" t="str">
        <f t="array" ref="T762">index('Query Tool'!B:B,match(H762,'Query Tool'!C:C,0))</f>
        <v>#N/A</v>
      </c>
      <c r="U762" s="161" t="b">
        <f t="array" ref="U762">index('Query Tool'!B:B,match(C762,'Query Tool'!C:C,0))</f>
        <v>0</v>
      </c>
      <c r="V762" s="161" t="b">
        <f>F762&gt;='Query Tool'!C$32</f>
        <v>1</v>
      </c>
      <c r="W762" s="161" t="b">
        <f t="array" ref="W762">index(Dropdowns!B:B,match(I762,Dropdowns!A:A,0))</f>
        <v>1</v>
      </c>
      <c r="X762" s="161" t="b">
        <f t="array" ref="X762">index('Query Tool'!B:B,match(D762,'Query Tool'!C:C,0))</f>
        <v>1</v>
      </c>
      <c r="Y762" s="161" t="str">
        <f t="shared" si="6"/>
        <v>knighbr03,2014-15</v>
      </c>
      <c r="Z762" s="168">
        <f t="array" ref="Z762">iferror(index(I:I,match($A762&amp;","&amp;index('Year Conversion'!$A:$A,match($C762,'Year Conversion'!$B:$B,0)),$Y:$Y,0))-I762,"")</f>
        <v>1</v>
      </c>
      <c r="AA762" s="168">
        <f t="array" ref="AA762">iferror(index(J:J,match($A762&amp;","&amp;index('Year Conversion'!$A:$A,match($C762,'Year Conversion'!$B:$B,0)),$Y:$Y,0))-J762,"")</f>
        <v>-0.4535834694</v>
      </c>
      <c r="AB762" s="168">
        <f t="array" ref="AB762">iferror(index(K:K,match($A762&amp;","&amp;index('Year Conversion'!$A:$A,match($C762,'Year Conversion'!$B:$B,0)),$Y:$Y,0))-K762,"")</f>
        <v>0.1015665982</v>
      </c>
      <c r="AC762" s="168" t="str">
        <f t="shared" si="7"/>
        <v>TOT,2014-15</v>
      </c>
    </row>
    <row r="763">
      <c r="A763" s="161" t="str">
        <f>IFERROR(__xludf.DUMMYFUNCTION("""COMPUTED_VALUE"""),"walkeke02")</f>
        <v>walkeke02</v>
      </c>
      <c r="B763" s="161" t="str">
        <f>IFERROR(__xludf.DUMMYFUNCTION("""COMPUTED_VALUE"""),"Kemba Walker")</f>
        <v>Kemba Walker</v>
      </c>
      <c r="C763" s="162" t="str">
        <f>IFERROR(__xludf.DUMMYFUNCTION("""COMPUTED_VALUE"""),"2014-15")</f>
        <v>2014-15</v>
      </c>
      <c r="D763" s="163" t="str">
        <f>IFERROR(__xludf.DUMMYFUNCTION("""COMPUTED_VALUE"""),"CHO")</f>
        <v>CHO</v>
      </c>
      <c r="E763" s="164" t="str">
        <f>IFERROR(__xludf.DUMMYFUNCTION("""COMPUTED_VALUE"""),"Slasher")</f>
        <v>Slasher</v>
      </c>
      <c r="F763" s="164">
        <f>IFERROR(__xludf.DUMMYFUNCTION("""COMPUTED_VALUE"""),2118.60333333333)</f>
        <v>2118.603333</v>
      </c>
      <c r="G763" s="163">
        <f>IFERROR(__xludf.DUMMYFUNCTION("""COMPUTED_VALUE"""),62.0)</f>
        <v>62</v>
      </c>
      <c r="H763" s="163" t="str">
        <f>IFERROR(__xludf.DUMMYFUNCTION("""COMPUTED_VALUE"""),"PG")</f>
        <v>PG</v>
      </c>
      <c r="I763" s="163">
        <f>IFERROR(__xludf.DUMMYFUNCTION("""COMPUTED_VALUE"""),24.0)</f>
        <v>24</v>
      </c>
      <c r="J763" s="165">
        <f>IFERROR(__xludf.DUMMYFUNCTION("""COMPUTED_VALUE"""),1.55212424516478)</f>
        <v>1.552124245</v>
      </c>
      <c r="K763" s="165">
        <f>IFERROR(__xludf.DUMMYFUNCTION("""COMPUTED_VALUE"""),1.68477471911575)</f>
        <v>1.684774719</v>
      </c>
      <c r="L763" s="165">
        <f>IFERROR(__xludf.DUMMYFUNCTION("""COMPUTED_VALUE"""),-0.132650473950978)</f>
        <v>-0.132650474</v>
      </c>
      <c r="M763" s="166">
        <f t="shared" si="2"/>
        <v>5.475752703</v>
      </c>
      <c r="N763" s="167">
        <f t="shared" si="3"/>
        <v>34.17102151</v>
      </c>
      <c r="O763" s="163">
        <f t="shared" ref="O763:Q763" si="767">rank(I763,I:I)</f>
        <v>2361</v>
      </c>
      <c r="P763" s="163">
        <f t="shared" si="767"/>
        <v>442</v>
      </c>
      <c r="Q763" s="163">
        <f t="shared" si="767"/>
        <v>274</v>
      </c>
      <c r="R763" s="163">
        <f>IFERROR(__xludf.DUMMYFUNCTION("RANK(M763,filter(M:M,C:C=C763))"),49.0)</f>
        <v>49</v>
      </c>
      <c r="S763" s="161" t="b">
        <f t="shared" si="5"/>
        <v>0</v>
      </c>
      <c r="T763" s="161" t="b">
        <f t="array" ref="T763">index('Query Tool'!B:B,match(H763,'Query Tool'!C:C,0))</f>
        <v>1</v>
      </c>
      <c r="U763" s="161" t="b">
        <f t="array" ref="U763">index('Query Tool'!B:B,match(C763,'Query Tool'!C:C,0))</f>
        <v>0</v>
      </c>
      <c r="V763" s="161" t="b">
        <f>F763&gt;='Query Tool'!C$32</f>
        <v>1</v>
      </c>
      <c r="W763" s="161" t="b">
        <f t="array" ref="W763">index(Dropdowns!B:B,match(I763,Dropdowns!A:A,0))</f>
        <v>1</v>
      </c>
      <c r="X763" s="161" t="b">
        <f t="array" ref="X763">index('Query Tool'!B:B,match(D763,'Query Tool'!C:C,0))</f>
        <v>1</v>
      </c>
      <c r="Y763" s="161" t="str">
        <f t="shared" si="6"/>
        <v>walkeke02,2014-15</v>
      </c>
      <c r="Z763" s="168">
        <f t="array" ref="Z763">iferror(index(I:I,match($A763&amp;","&amp;index('Year Conversion'!$A:$A,match($C763,'Year Conversion'!$B:$B,0)),$Y:$Y,0))-I763,"")</f>
        <v>1</v>
      </c>
      <c r="AA763" s="168">
        <f t="array" ref="AA763">iferror(index(J:J,match($A763&amp;","&amp;index('Year Conversion'!$A:$A,match($C763,'Year Conversion'!$B:$B,0)),$Y:$Y,0))-J763,"")</f>
        <v>0.9646114516</v>
      </c>
      <c r="AB763" s="168">
        <f t="array" ref="AB763">iferror(index(K:K,match($A763&amp;","&amp;index('Year Conversion'!$A:$A,match($C763,'Year Conversion'!$B:$B,0)),$Y:$Y,0))-K763,"")</f>
        <v>0.8000109026</v>
      </c>
      <c r="AC763" s="168" t="str">
        <f t="shared" si="7"/>
        <v>CHO,2014-15</v>
      </c>
    </row>
    <row r="764">
      <c r="A764" s="161" t="str">
        <f>IFERROR(__xludf.DUMMYFUNCTION("""COMPUTED_VALUE"""),"fredeji01")</f>
        <v>fredeji01</v>
      </c>
      <c r="B764" s="161" t="str">
        <f>IFERROR(__xludf.DUMMYFUNCTION("""COMPUTED_VALUE"""),"Jimmer Fredette")</f>
        <v>Jimmer Fredette</v>
      </c>
      <c r="C764" s="162" t="str">
        <f>IFERROR(__xludf.DUMMYFUNCTION("""COMPUTED_VALUE"""),"2014-15")</f>
        <v>2014-15</v>
      </c>
      <c r="D764" s="163" t="str">
        <f>IFERROR(__xludf.DUMMYFUNCTION("""COMPUTED_VALUE"""),"NOP")</f>
        <v>NOP</v>
      </c>
      <c r="E764" s="164" t="str">
        <f>IFERROR(__xludf.DUMMYFUNCTION("""COMPUTED_VALUE"""),"Secondary Ball Handler")</f>
        <v>Secondary Ball Handler</v>
      </c>
      <c r="F764" s="164">
        <f>IFERROR(__xludf.DUMMYFUNCTION("""COMPUTED_VALUE"""),508.963333333333)</f>
        <v>508.9633333</v>
      </c>
      <c r="G764" s="163">
        <f>IFERROR(__xludf.DUMMYFUNCTION("""COMPUTED_VALUE"""),50.0)</f>
        <v>50</v>
      </c>
      <c r="H764" s="163" t="str">
        <f>IFERROR(__xludf.DUMMYFUNCTION("""COMPUTED_VALUE"""),"PG")</f>
        <v>PG</v>
      </c>
      <c r="I764" s="163">
        <f>IFERROR(__xludf.DUMMYFUNCTION("""COMPUTED_VALUE"""),25.0)</f>
        <v>25</v>
      </c>
      <c r="J764" s="165">
        <f>IFERROR(__xludf.DUMMYFUNCTION("""COMPUTED_VALUE"""),-1.42646646528347)</f>
        <v>-1.426466465</v>
      </c>
      <c r="K764" s="165">
        <f>IFERROR(__xludf.DUMMYFUNCTION("""COMPUTED_VALUE"""),0.2231042772136)</f>
        <v>0.2231042772</v>
      </c>
      <c r="L764" s="165">
        <f>IFERROR(__xludf.DUMMYFUNCTION("""COMPUTED_VALUE"""),-1.64957074249708)</f>
        <v>-1.649570742</v>
      </c>
      <c r="M764" s="166">
        <f t="shared" si="2"/>
        <v>0.2965560414</v>
      </c>
      <c r="N764" s="167">
        <f t="shared" si="3"/>
        <v>10.17926667</v>
      </c>
      <c r="O764" s="163">
        <f t="shared" ref="O764:Q764" si="768">rank(I764,I:I)</f>
        <v>1995</v>
      </c>
      <c r="P764" s="163">
        <f t="shared" si="768"/>
        <v>2983</v>
      </c>
      <c r="Q764" s="163">
        <f t="shared" si="768"/>
        <v>966</v>
      </c>
      <c r="R764" s="163">
        <f>IFERROR(__xludf.DUMMYFUNCTION("RANK(M764,filter(M:M,C:C=C764))"),310.0)</f>
        <v>310</v>
      </c>
      <c r="S764" s="161" t="b">
        <f t="shared" si="5"/>
        <v>0</v>
      </c>
      <c r="T764" s="161" t="b">
        <f t="array" ref="T764">index('Query Tool'!B:B,match(H764,'Query Tool'!C:C,0))</f>
        <v>1</v>
      </c>
      <c r="U764" s="161" t="b">
        <f t="array" ref="U764">index('Query Tool'!B:B,match(C764,'Query Tool'!C:C,0))</f>
        <v>0</v>
      </c>
      <c r="V764" s="161" t="b">
        <f>F764&gt;='Query Tool'!C$32</f>
        <v>1</v>
      </c>
      <c r="W764" s="161" t="b">
        <f t="array" ref="W764">index(Dropdowns!B:B,match(I764,Dropdowns!A:A,0))</f>
        <v>1</v>
      </c>
      <c r="X764" s="161" t="b">
        <f t="array" ref="X764">index('Query Tool'!B:B,match(D764,'Query Tool'!C:C,0))</f>
        <v>1</v>
      </c>
      <c r="Y764" s="161" t="str">
        <f t="shared" si="6"/>
        <v>fredeji01,2014-15</v>
      </c>
      <c r="Z764" s="168">
        <f t="array" ref="Z764">iferror(index(I:I,match($A764&amp;","&amp;index('Year Conversion'!$A:$A,match($C764,'Year Conversion'!$B:$B,0)),$Y:$Y,0))-I764,"")</f>
        <v>1</v>
      </c>
      <c r="AA764" s="168">
        <f t="array" ref="AA764">iferror(index(J:J,match($A764&amp;","&amp;index('Year Conversion'!$A:$A,match($C764,'Year Conversion'!$B:$B,0)),$Y:$Y,0))-J764,"")</f>
        <v>1.041836319</v>
      </c>
      <c r="AB764" s="168">
        <f t="array" ref="AB764">iferror(index(K:K,match($A764&amp;","&amp;index('Year Conversion'!$A:$A,match($C764,'Year Conversion'!$B:$B,0)),$Y:$Y,0))-K764,"")</f>
        <v>-0.5939024788</v>
      </c>
      <c r="AC764" s="168" t="str">
        <f t="shared" si="7"/>
        <v>NOP,2014-15</v>
      </c>
    </row>
    <row r="765">
      <c r="A765" s="161" t="str">
        <f>IFERROR(__xludf.DUMMYFUNCTION("""COMPUTED_VALUE"""),"thompkl01")</f>
        <v>thompkl01</v>
      </c>
      <c r="B765" s="161" t="str">
        <f>IFERROR(__xludf.DUMMYFUNCTION("""COMPUTED_VALUE"""),"Klay Thompson")</f>
        <v>Klay Thompson</v>
      </c>
      <c r="C765" s="162" t="str">
        <f>IFERROR(__xludf.DUMMYFUNCTION("""COMPUTED_VALUE"""),"2014-15")</f>
        <v>2014-15</v>
      </c>
      <c r="D765" s="163" t="str">
        <f>IFERROR(__xludf.DUMMYFUNCTION("""COMPUTED_VALUE"""),"GSW")</f>
        <v>GSW</v>
      </c>
      <c r="E765" s="164" t="str">
        <f>IFERROR(__xludf.DUMMYFUNCTION("""COMPUTED_VALUE"""),"Off Screen Shooter")</f>
        <v>Off Screen Shooter</v>
      </c>
      <c r="F765" s="164">
        <f>IFERROR(__xludf.DUMMYFUNCTION("""COMPUTED_VALUE"""),2454.59)</f>
        <v>2454.59</v>
      </c>
      <c r="G765" s="163">
        <f>IFERROR(__xludf.DUMMYFUNCTION("""COMPUTED_VALUE"""),77.0)</f>
        <v>77</v>
      </c>
      <c r="H765" s="163" t="str">
        <f>IFERROR(__xludf.DUMMYFUNCTION("""COMPUTED_VALUE"""),"SG")</f>
        <v>SG</v>
      </c>
      <c r="I765" s="163">
        <f>IFERROR(__xludf.DUMMYFUNCTION("""COMPUTED_VALUE"""),24.0)</f>
        <v>24</v>
      </c>
      <c r="J765" s="165">
        <f>IFERROR(__xludf.DUMMYFUNCTION("""COMPUTED_VALUE"""),3.07632187808764)</f>
        <v>3.076321878</v>
      </c>
      <c r="K765" s="165">
        <f>IFERROR(__xludf.DUMMYFUNCTION("""COMPUTED_VALUE"""),3.23445774954415)</f>
        <v>3.23445775</v>
      </c>
      <c r="L765" s="165">
        <f>IFERROR(__xludf.DUMMYFUNCTION("""COMPUTED_VALUE"""),-0.15813587145651)</f>
        <v>-0.1581358715</v>
      </c>
      <c r="M765" s="166">
        <f t="shared" si="2"/>
        <v>8.809147998</v>
      </c>
      <c r="N765" s="167">
        <f t="shared" si="3"/>
        <v>31.87779221</v>
      </c>
      <c r="O765" s="163">
        <f t="shared" ref="O765:Q765" si="769">rank(I765,I:I)</f>
        <v>2361</v>
      </c>
      <c r="P765" s="163">
        <f t="shared" si="769"/>
        <v>167</v>
      </c>
      <c r="Q765" s="163">
        <f t="shared" si="769"/>
        <v>104</v>
      </c>
      <c r="R765" s="163">
        <f>IFERROR(__xludf.DUMMYFUNCTION("RANK(M765,filter(M:M,C:C=C765))"),21.0)</f>
        <v>21</v>
      </c>
      <c r="S765" s="161" t="b">
        <f t="shared" si="5"/>
        <v>0</v>
      </c>
      <c r="T765" s="161" t="b">
        <f t="array" ref="T765">index('Query Tool'!B:B,match(H765,'Query Tool'!C:C,0))</f>
        <v>1</v>
      </c>
      <c r="U765" s="161" t="b">
        <f t="array" ref="U765">index('Query Tool'!B:B,match(C765,'Query Tool'!C:C,0))</f>
        <v>0</v>
      </c>
      <c r="V765" s="161" t="b">
        <f>F765&gt;='Query Tool'!C$32</f>
        <v>1</v>
      </c>
      <c r="W765" s="161" t="b">
        <f t="array" ref="W765">index(Dropdowns!B:B,match(I765,Dropdowns!A:A,0))</f>
        <v>1</v>
      </c>
      <c r="X765" s="161" t="b">
        <f t="array" ref="X765">index('Query Tool'!B:B,match(D765,'Query Tool'!C:C,0))</f>
        <v>1</v>
      </c>
      <c r="Y765" s="161" t="str">
        <f t="shared" si="6"/>
        <v>thompkl01,2014-15</v>
      </c>
      <c r="Z765" s="168">
        <f t="array" ref="Z765">iferror(index(I:I,match($A765&amp;","&amp;index('Year Conversion'!$A:$A,match($C765,'Year Conversion'!$B:$B,0)),$Y:$Y,0))-I765,"")</f>
        <v>1</v>
      </c>
      <c r="AA765" s="168">
        <f t="array" ref="AA765">iferror(index(J:J,match($A765&amp;","&amp;index('Year Conversion'!$A:$A,match($C765,'Year Conversion'!$B:$B,0)),$Y:$Y,0))-J765,"")</f>
        <v>-1.322172645</v>
      </c>
      <c r="AB765" s="168">
        <f t="array" ref="AB765">iferror(index(K:K,match($A765&amp;","&amp;index('Year Conversion'!$A:$A,match($C765,'Year Conversion'!$B:$B,0)),$Y:$Y,0))-K765,"")</f>
        <v>-0.9852789876</v>
      </c>
      <c r="AC765" s="168" t="str">
        <f t="shared" si="7"/>
        <v>GSW,2014-15</v>
      </c>
    </row>
    <row r="766">
      <c r="A766" s="161" t="str">
        <f>IFERROR(__xludf.DUMMYFUNCTION("""COMPUTED_VALUE"""),"burksal01")</f>
        <v>burksal01</v>
      </c>
      <c r="B766" s="161" t="str">
        <f>IFERROR(__xludf.DUMMYFUNCTION("""COMPUTED_VALUE"""),"Alec Burks")</f>
        <v>Alec Burks</v>
      </c>
      <c r="C766" s="162" t="str">
        <f>IFERROR(__xludf.DUMMYFUNCTION("""COMPUTED_VALUE"""),"2014-15")</f>
        <v>2014-15</v>
      </c>
      <c r="D766" s="163" t="str">
        <f>IFERROR(__xludf.DUMMYFUNCTION("""COMPUTED_VALUE"""),"UTA")</f>
        <v>UTA</v>
      </c>
      <c r="E766" s="164" t="str">
        <f>IFERROR(__xludf.DUMMYFUNCTION("""COMPUTED_VALUE"""),"Secondary Ball Handler")</f>
        <v>Secondary Ball Handler</v>
      </c>
      <c r="F766" s="164">
        <f>IFERROR(__xludf.DUMMYFUNCTION("""COMPUTED_VALUE"""),899.071666666667)</f>
        <v>899.0716667</v>
      </c>
      <c r="G766" s="163">
        <f>IFERROR(__xludf.DUMMYFUNCTION("""COMPUTED_VALUE"""),27.0)</f>
        <v>27</v>
      </c>
      <c r="H766" s="163" t="str">
        <f>IFERROR(__xludf.DUMMYFUNCTION("""COMPUTED_VALUE"""),"SG")</f>
        <v>SG</v>
      </c>
      <c r="I766" s="163">
        <f>IFERROR(__xludf.DUMMYFUNCTION("""COMPUTED_VALUE"""),23.0)</f>
        <v>23</v>
      </c>
      <c r="J766" s="165">
        <f>IFERROR(__xludf.DUMMYFUNCTION("""COMPUTED_VALUE"""),-1.73024115147015)</f>
        <v>-1.730241151</v>
      </c>
      <c r="K766" s="165">
        <f>IFERROR(__xludf.DUMMYFUNCTION("""COMPUTED_VALUE"""),-0.413307378387631)</f>
        <v>-0.4133073784</v>
      </c>
      <c r="L766" s="165">
        <f>IFERROR(__xludf.DUMMYFUNCTION("""COMPUTED_VALUE"""),-1.31693377308252)</f>
        <v>-1.316933773</v>
      </c>
      <c r="M766" s="166">
        <f t="shared" si="2"/>
        <v>0.341631946</v>
      </c>
      <c r="N766" s="167">
        <f t="shared" si="3"/>
        <v>33.29895062</v>
      </c>
      <c r="O766" s="163">
        <f t="shared" ref="O766:Q766" si="770">rank(I766,I:I)</f>
        <v>2765</v>
      </c>
      <c r="P766" s="163">
        <f t="shared" si="770"/>
        <v>3272</v>
      </c>
      <c r="Q766" s="163">
        <f t="shared" si="770"/>
        <v>1969</v>
      </c>
      <c r="R766" s="163">
        <f>IFERROR(__xludf.DUMMYFUNCTION("RANK(M766,filter(M:M,C:C=C766))"),305.0)</f>
        <v>305</v>
      </c>
      <c r="S766" s="161" t="b">
        <f t="shared" si="5"/>
        <v>0</v>
      </c>
      <c r="T766" s="161" t="b">
        <f t="array" ref="T766">index('Query Tool'!B:B,match(H766,'Query Tool'!C:C,0))</f>
        <v>1</v>
      </c>
      <c r="U766" s="161" t="b">
        <f t="array" ref="U766">index('Query Tool'!B:B,match(C766,'Query Tool'!C:C,0))</f>
        <v>0</v>
      </c>
      <c r="V766" s="161" t="b">
        <f>F766&gt;='Query Tool'!C$32</f>
        <v>1</v>
      </c>
      <c r="W766" s="161" t="b">
        <f t="array" ref="W766">index(Dropdowns!B:B,match(I766,Dropdowns!A:A,0))</f>
        <v>1</v>
      </c>
      <c r="X766" s="161" t="b">
        <f t="array" ref="X766">index('Query Tool'!B:B,match(D766,'Query Tool'!C:C,0))</f>
        <v>1</v>
      </c>
      <c r="Y766" s="161" t="str">
        <f t="shared" si="6"/>
        <v>burksal01,2014-15</v>
      </c>
      <c r="Z766" s="168">
        <f t="array" ref="Z766">iferror(index(I:I,match($A766&amp;","&amp;index('Year Conversion'!$A:$A,match($C766,'Year Conversion'!$B:$B,0)),$Y:$Y,0))-I766,"")</f>
        <v>1</v>
      </c>
      <c r="AA766" s="168">
        <f t="array" ref="AA766">iferror(index(J:J,match($A766&amp;","&amp;index('Year Conversion'!$A:$A,match($C766,'Year Conversion'!$B:$B,0)),$Y:$Y,0))-J766,"")</f>
        <v>1.205489498</v>
      </c>
      <c r="AB766" s="168">
        <f t="array" ref="AB766">iferror(index(K:K,match($A766&amp;","&amp;index('Year Conversion'!$A:$A,match($C766,'Year Conversion'!$B:$B,0)),$Y:$Y,0))-K766,"")</f>
        <v>0.1612809621</v>
      </c>
      <c r="AC766" s="168" t="str">
        <f t="shared" si="7"/>
        <v>UTA,2014-15</v>
      </c>
    </row>
    <row r="767">
      <c r="A767" s="161" t="str">
        <f>IFERROR(__xludf.DUMMYFUNCTION("""COMPUTED_VALUE"""),"morrima02")</f>
        <v>morrima02</v>
      </c>
      <c r="B767" s="161" t="str">
        <f>IFERROR(__xludf.DUMMYFUNCTION("""COMPUTED_VALUE"""),"Markieff Morris")</f>
        <v>Markieff Morris</v>
      </c>
      <c r="C767" s="162" t="str">
        <f>IFERROR(__xludf.DUMMYFUNCTION("""COMPUTED_VALUE"""),"2014-15")</f>
        <v>2014-15</v>
      </c>
      <c r="D767" s="163" t="str">
        <f>IFERROR(__xludf.DUMMYFUNCTION("""COMPUTED_VALUE"""),"PHO")</f>
        <v>PHO</v>
      </c>
      <c r="E767" s="164" t="str">
        <f>IFERROR(__xludf.DUMMYFUNCTION("""COMPUTED_VALUE"""),"Post Scorer")</f>
        <v>Post Scorer</v>
      </c>
      <c r="F767" s="164">
        <f>IFERROR(__xludf.DUMMYFUNCTION("""COMPUTED_VALUE"""),2580.68833333333)</f>
        <v>2580.688333</v>
      </c>
      <c r="G767" s="163">
        <f>IFERROR(__xludf.DUMMYFUNCTION("""COMPUTED_VALUE"""),82.0)</f>
        <v>82</v>
      </c>
      <c r="H767" s="163" t="str">
        <f>IFERROR(__xludf.DUMMYFUNCTION("""COMPUTED_VALUE"""),"PF")</f>
        <v>PF</v>
      </c>
      <c r="I767" s="163">
        <f>IFERROR(__xludf.DUMMYFUNCTION("""COMPUTED_VALUE"""),25.0)</f>
        <v>25</v>
      </c>
      <c r="J767" s="165">
        <f>IFERROR(__xludf.DUMMYFUNCTION("""COMPUTED_VALUE"""),1.61377285569153)</f>
        <v>1.613772856</v>
      </c>
      <c r="K767" s="165">
        <f>IFERROR(__xludf.DUMMYFUNCTION("""COMPUTED_VALUE"""),0.164585018546339)</f>
        <v>0.1645850185</v>
      </c>
      <c r="L767" s="165">
        <f>IFERROR(__xludf.DUMMYFUNCTION("""COMPUTED_VALUE"""),1.44918783714519)</f>
        <v>1.449187837</v>
      </c>
      <c r="M767" s="166">
        <f t="shared" si="2"/>
        <v>6.776208197</v>
      </c>
      <c r="N767" s="167">
        <f t="shared" si="3"/>
        <v>31.47180894</v>
      </c>
      <c r="O767" s="163">
        <f t="shared" ref="O767:Q767" si="771">rank(I767,I:I)</f>
        <v>1995</v>
      </c>
      <c r="P767" s="163">
        <f t="shared" si="771"/>
        <v>427</v>
      </c>
      <c r="Q767" s="163">
        <f t="shared" si="771"/>
        <v>1013</v>
      </c>
      <c r="R767" s="163">
        <f>IFERROR(__xludf.DUMMYFUNCTION("RANK(M767,filter(M:M,C:C=C767))"),31.0)</f>
        <v>31</v>
      </c>
      <c r="S767" s="161" t="b">
        <f t="shared" si="5"/>
        <v>0</v>
      </c>
      <c r="T767" s="161" t="b">
        <f t="array" ref="T767">index('Query Tool'!B:B,match(H767,'Query Tool'!C:C,0))</f>
        <v>1</v>
      </c>
      <c r="U767" s="161" t="b">
        <f t="array" ref="U767">index('Query Tool'!B:B,match(C767,'Query Tool'!C:C,0))</f>
        <v>0</v>
      </c>
      <c r="V767" s="161" t="b">
        <f>F767&gt;='Query Tool'!C$32</f>
        <v>1</v>
      </c>
      <c r="W767" s="161" t="b">
        <f t="array" ref="W767">index(Dropdowns!B:B,match(I767,Dropdowns!A:A,0))</f>
        <v>1</v>
      </c>
      <c r="X767" s="161" t="b">
        <f t="array" ref="X767">index('Query Tool'!B:B,match(D767,'Query Tool'!C:C,0))</f>
        <v>1</v>
      </c>
      <c r="Y767" s="161" t="str">
        <f t="shared" si="6"/>
        <v>morrima02,2014-15</v>
      </c>
      <c r="Z767" s="168">
        <f t="array" ref="Z767">iferror(index(I:I,match($A767&amp;","&amp;index('Year Conversion'!$A:$A,match($C767,'Year Conversion'!$B:$B,0)),$Y:$Y,0))-I767,"")</f>
        <v>1</v>
      </c>
      <c r="AA767" s="168">
        <f t="array" ref="AA767">iferror(index(J:J,match($A767&amp;","&amp;index('Year Conversion'!$A:$A,match($C767,'Year Conversion'!$B:$B,0)),$Y:$Y,0))-J767,"")</f>
        <v>-2.199602796</v>
      </c>
      <c r="AB767" s="168">
        <f t="array" ref="AB767">iferror(index(K:K,match($A767&amp;","&amp;index('Year Conversion'!$A:$A,match($C767,'Year Conversion'!$B:$B,0)),$Y:$Y,0))-K767,"")</f>
        <v>-1.204825127</v>
      </c>
      <c r="AC767" s="168" t="str">
        <f t="shared" si="7"/>
        <v>PHO,2014-15</v>
      </c>
    </row>
    <row r="768">
      <c r="A768" s="161" t="str">
        <f>IFERROR(__xludf.DUMMYFUNCTION("""COMPUTED_VALUE"""),"morrima03")</f>
        <v>morrima03</v>
      </c>
      <c r="B768" s="161" t="str">
        <f>IFERROR(__xludf.DUMMYFUNCTION("""COMPUTED_VALUE"""),"Marcus Morris Sr.")</f>
        <v>Marcus Morris Sr.</v>
      </c>
      <c r="C768" s="162" t="str">
        <f>IFERROR(__xludf.DUMMYFUNCTION("""COMPUTED_VALUE"""),"2014-15")</f>
        <v>2014-15</v>
      </c>
      <c r="D768" s="163" t="str">
        <f>IFERROR(__xludf.DUMMYFUNCTION("""COMPUTED_VALUE"""),"PHO")</f>
        <v>PHO</v>
      </c>
      <c r="E768" s="164" t="str">
        <f>IFERROR(__xludf.DUMMYFUNCTION("""COMPUTED_VALUE"""),"Shot Creator")</f>
        <v>Shot Creator</v>
      </c>
      <c r="F768" s="164">
        <f>IFERROR(__xludf.DUMMYFUNCTION("""COMPUTED_VALUE"""),2045.00333333333)</f>
        <v>2045.003333</v>
      </c>
      <c r="G768" s="163">
        <f>IFERROR(__xludf.DUMMYFUNCTION("""COMPUTED_VALUE"""),81.0)</f>
        <v>81</v>
      </c>
      <c r="H768" s="163" t="str">
        <f>IFERROR(__xludf.DUMMYFUNCTION("""COMPUTED_VALUE"""),"PF")</f>
        <v>PF</v>
      </c>
      <c r="I768" s="163">
        <f>IFERROR(__xludf.DUMMYFUNCTION("""COMPUTED_VALUE"""),25.0)</f>
        <v>25</v>
      </c>
      <c r="J768" s="165">
        <f>IFERROR(__xludf.DUMMYFUNCTION("""COMPUTED_VALUE"""),-1.29482104307663)</f>
        <v>-1.294821043</v>
      </c>
      <c r="K768" s="165">
        <f>IFERROR(__xludf.DUMMYFUNCTION("""COMPUTED_VALUE"""),-0.0660864915239303)</f>
        <v>-0.06608649152</v>
      </c>
      <c r="L768" s="165">
        <f>IFERROR(__xludf.DUMMYFUNCTION("""COMPUTED_VALUE"""),-1.2287345515527)</f>
        <v>-1.228734552</v>
      </c>
      <c r="M768" s="166">
        <f t="shared" si="2"/>
        <v>1.3716635</v>
      </c>
      <c r="N768" s="167">
        <f t="shared" si="3"/>
        <v>25.24695473</v>
      </c>
      <c r="O768" s="163">
        <f t="shared" ref="O768:Q768" si="772">rank(I768,I:I)</f>
        <v>1995</v>
      </c>
      <c r="P768" s="163">
        <f t="shared" si="772"/>
        <v>2855</v>
      </c>
      <c r="Q768" s="163">
        <f t="shared" si="772"/>
        <v>1299</v>
      </c>
      <c r="R768" s="163">
        <f>IFERROR(__xludf.DUMMYFUNCTION("RANK(M768,filter(M:M,C:C=C768))"),211.0)</f>
        <v>211</v>
      </c>
      <c r="S768" s="161" t="b">
        <f t="shared" si="5"/>
        <v>0</v>
      </c>
      <c r="T768" s="161" t="b">
        <f t="array" ref="T768">index('Query Tool'!B:B,match(H768,'Query Tool'!C:C,0))</f>
        <v>1</v>
      </c>
      <c r="U768" s="161" t="b">
        <f t="array" ref="U768">index('Query Tool'!B:B,match(C768,'Query Tool'!C:C,0))</f>
        <v>0</v>
      </c>
      <c r="V768" s="161" t="b">
        <f>F768&gt;='Query Tool'!C$32</f>
        <v>1</v>
      </c>
      <c r="W768" s="161" t="b">
        <f t="array" ref="W768">index(Dropdowns!B:B,match(I768,Dropdowns!A:A,0))</f>
        <v>1</v>
      </c>
      <c r="X768" s="161" t="b">
        <f t="array" ref="X768">index('Query Tool'!B:B,match(D768,'Query Tool'!C:C,0))</f>
        <v>1</v>
      </c>
      <c r="Y768" s="161" t="str">
        <f t="shared" si="6"/>
        <v>morrima03,2014-15</v>
      </c>
      <c r="Z768" s="168">
        <f t="array" ref="Z768">iferror(index(I:I,match($A768&amp;","&amp;index('Year Conversion'!$A:$A,match($C768,'Year Conversion'!$B:$B,0)),$Y:$Y,0))-I768,"")</f>
        <v>1</v>
      </c>
      <c r="AA768" s="168">
        <f t="array" ref="AA768">iferror(index(J:J,match($A768&amp;","&amp;index('Year Conversion'!$A:$A,match($C768,'Year Conversion'!$B:$B,0)),$Y:$Y,0))-J768,"")</f>
        <v>1.566969647</v>
      </c>
      <c r="AB768" s="168">
        <f t="array" ref="AB768">iferror(index(K:K,match($A768&amp;","&amp;index('Year Conversion'!$A:$A,match($C768,'Year Conversion'!$B:$B,0)),$Y:$Y,0))-K768,"")</f>
        <v>-0.2109605457</v>
      </c>
      <c r="AC768" s="168" t="str">
        <f t="shared" si="7"/>
        <v>PHO,2014-15</v>
      </c>
    </row>
    <row r="769">
      <c r="A769" s="161" t="str">
        <f>IFERROR(__xludf.DUMMYFUNCTION("""COMPUTED_VALUE"""),"leonaka01")</f>
        <v>leonaka01</v>
      </c>
      <c r="B769" s="161" t="str">
        <f>IFERROR(__xludf.DUMMYFUNCTION("""COMPUTED_VALUE"""),"Kawhi Leonard")</f>
        <v>Kawhi Leonard</v>
      </c>
      <c r="C769" s="162" t="str">
        <f>IFERROR(__xludf.DUMMYFUNCTION("""COMPUTED_VALUE"""),"2014-15")</f>
        <v>2014-15</v>
      </c>
      <c r="D769" s="163" t="str">
        <f>IFERROR(__xludf.DUMMYFUNCTION("""COMPUTED_VALUE"""),"SAS")</f>
        <v>SAS</v>
      </c>
      <c r="E769" s="164" t="str">
        <f>IFERROR(__xludf.DUMMYFUNCTION("""COMPUTED_VALUE"""),"Shot Creator")</f>
        <v>Shot Creator</v>
      </c>
      <c r="F769" s="164">
        <f>IFERROR(__xludf.DUMMYFUNCTION("""COMPUTED_VALUE"""),2032.9)</f>
        <v>2032.9</v>
      </c>
      <c r="G769" s="163">
        <f>IFERROR(__xludf.DUMMYFUNCTION("""COMPUTED_VALUE"""),64.0)</f>
        <v>64</v>
      </c>
      <c r="H769" s="163" t="str">
        <f>IFERROR(__xludf.DUMMYFUNCTION("""COMPUTED_VALUE"""),"SF")</f>
        <v>SF</v>
      </c>
      <c r="I769" s="163">
        <f>IFERROR(__xludf.DUMMYFUNCTION("""COMPUTED_VALUE"""),23.0)</f>
        <v>23</v>
      </c>
      <c r="J769" s="165">
        <f>IFERROR(__xludf.DUMMYFUNCTION("""COMPUTED_VALUE"""),6.0025494571079)</f>
        <v>6.002549457</v>
      </c>
      <c r="K769" s="165">
        <f>IFERROR(__xludf.DUMMYFUNCTION("""COMPUTED_VALUE"""),2.51942641632139)</f>
        <v>2.519426416</v>
      </c>
      <c r="L769" s="165">
        <f>IFERROR(__xludf.DUMMYFUNCTION("""COMPUTED_VALUE"""),3.48312304078651)</f>
        <v>3.483123041</v>
      </c>
      <c r="M769" s="166">
        <f t="shared" si="2"/>
        <v>10.97239323</v>
      </c>
      <c r="N769" s="167">
        <f t="shared" si="3"/>
        <v>31.7640625</v>
      </c>
      <c r="O769" s="163">
        <f t="shared" ref="O769:Q769" si="773">rank(I769,I:I)</f>
        <v>2765</v>
      </c>
      <c r="P769" s="163">
        <f t="shared" si="773"/>
        <v>18</v>
      </c>
      <c r="Q769" s="163">
        <f t="shared" si="773"/>
        <v>153</v>
      </c>
      <c r="R769" s="163">
        <f>IFERROR(__xludf.DUMMYFUNCTION("RANK(M769,filter(M:M,C:C=C769))"),9.0)</f>
        <v>9</v>
      </c>
      <c r="S769" s="161" t="b">
        <f t="shared" si="5"/>
        <v>0</v>
      </c>
      <c r="T769" s="161" t="b">
        <f t="array" ref="T769">index('Query Tool'!B:B,match(H769,'Query Tool'!C:C,0))</f>
        <v>1</v>
      </c>
      <c r="U769" s="161" t="b">
        <f t="array" ref="U769">index('Query Tool'!B:B,match(C769,'Query Tool'!C:C,0))</f>
        <v>0</v>
      </c>
      <c r="V769" s="161" t="b">
        <f>F769&gt;='Query Tool'!C$32</f>
        <v>1</v>
      </c>
      <c r="W769" s="161" t="b">
        <f t="array" ref="W769">index(Dropdowns!B:B,match(I769,Dropdowns!A:A,0))</f>
        <v>1</v>
      </c>
      <c r="X769" s="161" t="b">
        <f t="array" ref="X769">index('Query Tool'!B:B,match(D769,'Query Tool'!C:C,0))</f>
        <v>1</v>
      </c>
      <c r="Y769" s="161" t="str">
        <f t="shared" si="6"/>
        <v>leonaka01,2014-15</v>
      </c>
      <c r="Z769" s="168">
        <f t="array" ref="Z769">iferror(index(I:I,match($A769&amp;","&amp;index('Year Conversion'!$A:$A,match($C769,'Year Conversion'!$B:$B,0)),$Y:$Y,0))-I769,"")</f>
        <v>1</v>
      </c>
      <c r="AA769" s="168">
        <f t="array" ref="AA769">iferror(index(J:J,match($A769&amp;","&amp;index('Year Conversion'!$A:$A,match($C769,'Year Conversion'!$B:$B,0)),$Y:$Y,0))-J769,"")</f>
        <v>-0.1014963857</v>
      </c>
      <c r="AB769" s="168">
        <f t="array" ref="AB769">iferror(index(K:K,match($A769&amp;","&amp;index('Year Conversion'!$A:$A,match($C769,'Year Conversion'!$B:$B,0)),$Y:$Y,0))-K769,"")</f>
        <v>0.04105148453</v>
      </c>
      <c r="AC769" s="168" t="str">
        <f t="shared" si="7"/>
        <v>SAS,2014-15</v>
      </c>
    </row>
    <row r="770">
      <c r="A770" s="161" t="str">
        <f>IFERROR(__xludf.DUMMYFUNCTION("""COMPUTED_VALUE"""),"vucevni01")</f>
        <v>vucevni01</v>
      </c>
      <c r="B770" s="161" t="str">
        <f>IFERROR(__xludf.DUMMYFUNCTION("""COMPUTED_VALUE"""),"Nikola Vucevic")</f>
        <v>Nikola Vucevic</v>
      </c>
      <c r="C770" s="162" t="str">
        <f>IFERROR(__xludf.DUMMYFUNCTION("""COMPUTED_VALUE"""),"2014-15")</f>
        <v>2014-15</v>
      </c>
      <c r="D770" s="163" t="str">
        <f>IFERROR(__xludf.DUMMYFUNCTION("""COMPUTED_VALUE"""),"ORL")</f>
        <v>ORL</v>
      </c>
      <c r="E770" s="164" t="str">
        <f>IFERROR(__xludf.DUMMYFUNCTION("""COMPUTED_VALUE"""),"Post Scorer")</f>
        <v>Post Scorer</v>
      </c>
      <c r="F770" s="164">
        <f>IFERROR(__xludf.DUMMYFUNCTION("""COMPUTED_VALUE"""),2528.66333333333)</f>
        <v>2528.663333</v>
      </c>
      <c r="G770" s="163">
        <f>IFERROR(__xludf.DUMMYFUNCTION("""COMPUTED_VALUE"""),74.0)</f>
        <v>74</v>
      </c>
      <c r="H770" s="163" t="str">
        <f>IFERROR(__xludf.DUMMYFUNCTION("""COMPUTED_VALUE"""),"C")</f>
        <v>C</v>
      </c>
      <c r="I770" s="163">
        <f>IFERROR(__xludf.DUMMYFUNCTION("""COMPUTED_VALUE"""),24.0)</f>
        <v>24</v>
      </c>
      <c r="J770" s="165">
        <f>IFERROR(__xludf.DUMMYFUNCTION("""COMPUTED_VALUE"""),-0.0560207492924863)</f>
        <v>-0.05602074929</v>
      </c>
      <c r="K770" s="165">
        <f>IFERROR(__xludf.DUMMYFUNCTION("""COMPUTED_VALUE"""),-0.232231017053581)</f>
        <v>-0.2322310171</v>
      </c>
      <c r="L770" s="165">
        <f>IFERROR(__xludf.DUMMYFUNCTION("""COMPUTED_VALUE"""),0.176210267761095)</f>
        <v>0.1762102678</v>
      </c>
      <c r="M770" s="166">
        <f t="shared" si="2"/>
        <v>3.802852268</v>
      </c>
      <c r="N770" s="167">
        <f t="shared" si="3"/>
        <v>34.17112613</v>
      </c>
      <c r="O770" s="163">
        <f t="shared" ref="O770:Q770" si="774">rank(I770,I:I)</f>
        <v>2361</v>
      </c>
      <c r="P770" s="163">
        <f t="shared" si="774"/>
        <v>1338</v>
      </c>
      <c r="Q770" s="163">
        <f t="shared" si="774"/>
        <v>1629</v>
      </c>
      <c r="R770" s="163">
        <f>IFERROR(__xludf.DUMMYFUNCTION("RANK(M770,filter(M:M,C:C=C770))"),92.0)</f>
        <v>92</v>
      </c>
      <c r="S770" s="161" t="b">
        <f t="shared" si="5"/>
        <v>0</v>
      </c>
      <c r="T770" s="161" t="b">
        <f t="array" ref="T770">index('Query Tool'!B:B,match(H770,'Query Tool'!C:C,0))</f>
        <v>1</v>
      </c>
      <c r="U770" s="161" t="b">
        <f t="array" ref="U770">index('Query Tool'!B:B,match(C770,'Query Tool'!C:C,0))</f>
        <v>0</v>
      </c>
      <c r="V770" s="161" t="b">
        <f>F770&gt;='Query Tool'!C$32</f>
        <v>1</v>
      </c>
      <c r="W770" s="161" t="b">
        <f t="array" ref="W770">index(Dropdowns!B:B,match(I770,Dropdowns!A:A,0))</f>
        <v>1</v>
      </c>
      <c r="X770" s="161" t="b">
        <f t="array" ref="X770">index('Query Tool'!B:B,match(D770,'Query Tool'!C:C,0))</f>
        <v>1</v>
      </c>
      <c r="Y770" s="161" t="str">
        <f t="shared" si="6"/>
        <v>vucevni01,2014-15</v>
      </c>
      <c r="Z770" s="168">
        <f t="array" ref="Z770">iferror(index(I:I,match($A770&amp;","&amp;index('Year Conversion'!$A:$A,match($C770,'Year Conversion'!$B:$B,0)),$Y:$Y,0))-I770,"")</f>
        <v>1</v>
      </c>
      <c r="AA770" s="168">
        <f t="array" ref="AA770">iferror(index(J:J,match($A770&amp;","&amp;index('Year Conversion'!$A:$A,match($C770,'Year Conversion'!$B:$B,0)),$Y:$Y,0))-J770,"")</f>
        <v>0.8372625518</v>
      </c>
      <c r="AB770" s="168">
        <f t="array" ref="AB770">iferror(index(K:K,match($A770&amp;","&amp;index('Year Conversion'!$A:$A,match($C770,'Year Conversion'!$B:$B,0)),$Y:$Y,0))-K770,"")</f>
        <v>0.3442211975</v>
      </c>
      <c r="AC770" s="168" t="str">
        <f t="shared" si="7"/>
        <v>ORL,2014-15</v>
      </c>
    </row>
    <row r="771">
      <c r="A771" s="161" t="str">
        <f>IFERROR(__xludf.DUMMYFUNCTION("""COMPUTED_VALUE"""),"shumpim01")</f>
        <v>shumpim01</v>
      </c>
      <c r="B771" s="161" t="str">
        <f>IFERROR(__xludf.DUMMYFUNCTION("""COMPUTED_VALUE"""),"Iman Shumpert")</f>
        <v>Iman Shumpert</v>
      </c>
      <c r="C771" s="162" t="str">
        <f>IFERROR(__xludf.DUMMYFUNCTION("""COMPUTED_VALUE"""),"2014-15")</f>
        <v>2014-15</v>
      </c>
      <c r="D771" s="163" t="str">
        <f>IFERROR(__xludf.DUMMYFUNCTION("""COMPUTED_VALUE"""),"TOT")</f>
        <v>TOT</v>
      </c>
      <c r="E771" s="164" t="str">
        <f>IFERROR(__xludf.DUMMYFUNCTION("""COMPUTED_VALUE"""),"Secondary Ball Handler")</f>
        <v>Secondary Ball Handler</v>
      </c>
      <c r="F771" s="164">
        <f>IFERROR(__xludf.DUMMYFUNCTION("""COMPUTED_VALUE"""),1544.63)</f>
        <v>1544.63</v>
      </c>
      <c r="G771" s="163">
        <f>IFERROR(__xludf.DUMMYFUNCTION("""COMPUTED_VALUE"""),62.0)</f>
        <v>62</v>
      </c>
      <c r="H771" s="163" t="str">
        <f>IFERROR(__xludf.DUMMYFUNCTION("""COMPUTED_VALUE"""),"SG")</f>
        <v>SG</v>
      </c>
      <c r="I771" s="163">
        <f>IFERROR(__xludf.DUMMYFUNCTION("""COMPUTED_VALUE"""),24.0)</f>
        <v>24</v>
      </c>
      <c r="J771" s="165">
        <f>IFERROR(__xludf.DUMMYFUNCTION("""COMPUTED_VALUE"""),-1.057062385279)</f>
        <v>-1.057062385</v>
      </c>
      <c r="K771" s="165">
        <f>IFERROR(__xludf.DUMMYFUNCTION("""COMPUTED_VALUE"""),-0.762329516380921)</f>
        <v>-0.7623295164</v>
      </c>
      <c r="L771" s="165">
        <f>IFERROR(__xludf.DUMMYFUNCTION("""COMPUTED_VALUE"""),-0.29473286889808)</f>
        <v>-0.2947328689</v>
      </c>
      <c r="M771" s="166">
        <f t="shared" si="2"/>
        <v>1.282213029</v>
      </c>
      <c r="N771" s="167">
        <f t="shared" si="3"/>
        <v>24.9133871</v>
      </c>
      <c r="O771" s="163">
        <f t="shared" ref="O771:Q771" si="775">rank(I771,I:I)</f>
        <v>2361</v>
      </c>
      <c r="P771" s="163">
        <f t="shared" si="775"/>
        <v>2561</v>
      </c>
      <c r="Q771" s="163">
        <f t="shared" si="775"/>
        <v>2502</v>
      </c>
      <c r="R771" s="163">
        <f>IFERROR(__xludf.DUMMYFUNCTION("RANK(M771,filter(M:M,C:C=C771))"),215.0)</f>
        <v>215</v>
      </c>
      <c r="S771" s="161" t="b">
        <f t="shared" si="5"/>
        <v>0</v>
      </c>
      <c r="T771" s="161" t="b">
        <f t="array" ref="T771">index('Query Tool'!B:B,match(H771,'Query Tool'!C:C,0))</f>
        <v>1</v>
      </c>
      <c r="U771" s="161" t="b">
        <f t="array" ref="U771">index('Query Tool'!B:B,match(C771,'Query Tool'!C:C,0))</f>
        <v>0</v>
      </c>
      <c r="V771" s="161" t="b">
        <f>F771&gt;='Query Tool'!C$32</f>
        <v>1</v>
      </c>
      <c r="W771" s="161" t="b">
        <f t="array" ref="W771">index(Dropdowns!B:B,match(I771,Dropdowns!A:A,0))</f>
        <v>1</v>
      </c>
      <c r="X771" s="161" t="b">
        <f t="array" ref="X771">index('Query Tool'!B:B,match(D771,'Query Tool'!C:C,0))</f>
        <v>1</v>
      </c>
      <c r="Y771" s="161" t="str">
        <f t="shared" si="6"/>
        <v>shumpim01,2014-15</v>
      </c>
      <c r="Z771" s="168">
        <f t="array" ref="Z771">iferror(index(I:I,match($A771&amp;","&amp;index('Year Conversion'!$A:$A,match($C771,'Year Conversion'!$B:$B,0)),$Y:$Y,0))-I771,"")</f>
        <v>1</v>
      </c>
      <c r="AA771" s="168">
        <f t="array" ref="AA771">iferror(index(J:J,match($A771&amp;","&amp;index('Year Conversion'!$A:$A,match($C771,'Year Conversion'!$B:$B,0)),$Y:$Y,0))-J771,"")</f>
        <v>1.022156927</v>
      </c>
      <c r="AB771" s="168">
        <f t="array" ref="AB771">iferror(index(K:K,match($A771&amp;","&amp;index('Year Conversion'!$A:$A,match($C771,'Year Conversion'!$B:$B,0)),$Y:$Y,0))-K771,"")</f>
        <v>0.2838920234</v>
      </c>
      <c r="AC771" s="168" t="str">
        <f t="shared" si="7"/>
        <v>TOT,2014-15</v>
      </c>
    </row>
    <row r="772">
      <c r="A772" s="161" t="str">
        <f>IFERROR(__xludf.DUMMYFUNCTION("""COMPUTED_VALUE"""),"harrito02")</f>
        <v>harrito02</v>
      </c>
      <c r="B772" s="161" t="str">
        <f>IFERROR(__xludf.DUMMYFUNCTION("""COMPUTED_VALUE"""),"Tobias Harris")</f>
        <v>Tobias Harris</v>
      </c>
      <c r="C772" s="162" t="str">
        <f>IFERROR(__xludf.DUMMYFUNCTION("""COMPUTED_VALUE"""),"2014-15")</f>
        <v>2014-15</v>
      </c>
      <c r="D772" s="163" t="str">
        <f>IFERROR(__xludf.DUMMYFUNCTION("""COMPUTED_VALUE"""),"ORL")</f>
        <v>ORL</v>
      </c>
      <c r="E772" s="164" t="str">
        <f>IFERROR(__xludf.DUMMYFUNCTION("""COMPUTED_VALUE"""),"Shot Creator")</f>
        <v>Shot Creator</v>
      </c>
      <c r="F772" s="164">
        <f>IFERROR(__xludf.DUMMYFUNCTION("""COMPUTED_VALUE"""),2369.13666666667)</f>
        <v>2369.136667</v>
      </c>
      <c r="G772" s="163">
        <f>IFERROR(__xludf.DUMMYFUNCTION("""COMPUTED_VALUE"""),68.0)</f>
        <v>68</v>
      </c>
      <c r="H772" s="163" t="str">
        <f>IFERROR(__xludf.DUMMYFUNCTION("""COMPUTED_VALUE"""),"SF")</f>
        <v>SF</v>
      </c>
      <c r="I772" s="163">
        <f>IFERROR(__xludf.DUMMYFUNCTION("""COMPUTED_VALUE"""),22.0)</f>
        <v>22</v>
      </c>
      <c r="J772" s="165">
        <f>IFERROR(__xludf.DUMMYFUNCTION("""COMPUTED_VALUE"""),-0.752124094686937)</f>
        <v>-0.7521240947</v>
      </c>
      <c r="K772" s="165">
        <f>IFERROR(__xludf.DUMMYFUNCTION("""COMPUTED_VALUE"""),-0.129480012664048)</f>
        <v>-0.1294800127</v>
      </c>
      <c r="L772" s="165">
        <f>IFERROR(__xludf.DUMMYFUNCTION("""COMPUTED_VALUE"""),-0.622644082022889)</f>
        <v>-0.622644082</v>
      </c>
      <c r="M772" s="166">
        <f t="shared" si="2"/>
        <v>2.452033635</v>
      </c>
      <c r="N772" s="167">
        <f t="shared" si="3"/>
        <v>34.8402451</v>
      </c>
      <c r="O772" s="163">
        <f t="shared" ref="O772:Q772" si="776">rank(I772,I:I)</f>
        <v>3178</v>
      </c>
      <c r="P772" s="163">
        <f t="shared" si="776"/>
        <v>2219</v>
      </c>
      <c r="Q772" s="163">
        <f t="shared" si="776"/>
        <v>1437</v>
      </c>
      <c r="R772" s="163">
        <f>IFERROR(__xludf.DUMMYFUNCTION("RANK(M772,filter(M:M,C:C=C772))"),141.0)</f>
        <v>141</v>
      </c>
      <c r="S772" s="161" t="b">
        <f t="shared" si="5"/>
        <v>0</v>
      </c>
      <c r="T772" s="161" t="b">
        <f t="array" ref="T772">index('Query Tool'!B:B,match(H772,'Query Tool'!C:C,0))</f>
        <v>1</v>
      </c>
      <c r="U772" s="161" t="b">
        <f t="array" ref="U772">index('Query Tool'!B:B,match(C772,'Query Tool'!C:C,0))</f>
        <v>0</v>
      </c>
      <c r="V772" s="161" t="b">
        <f>F772&gt;='Query Tool'!C$32</f>
        <v>1</v>
      </c>
      <c r="W772" s="161" t="b">
        <f t="array" ref="W772">index(Dropdowns!B:B,match(I772,Dropdowns!A:A,0))</f>
        <v>1</v>
      </c>
      <c r="X772" s="161" t="b">
        <f t="array" ref="X772">index('Query Tool'!B:B,match(D772,'Query Tool'!C:C,0))</f>
        <v>1</v>
      </c>
      <c r="Y772" s="161" t="str">
        <f t="shared" si="6"/>
        <v>harrito02,2014-15</v>
      </c>
      <c r="Z772" s="168">
        <f t="array" ref="Z772">iferror(index(I:I,match($A772&amp;","&amp;index('Year Conversion'!$A:$A,match($C772,'Year Conversion'!$B:$B,0)),$Y:$Y,0))-I772,"")</f>
        <v>1</v>
      </c>
      <c r="AA772" s="168">
        <f t="array" ref="AA772">iferror(index(J:J,match($A772&amp;","&amp;index('Year Conversion'!$A:$A,match($C772,'Year Conversion'!$B:$B,0)),$Y:$Y,0))-J772,"")</f>
        <v>0.7422679835</v>
      </c>
      <c r="AB772" s="168">
        <f t="array" ref="AB772">iferror(index(K:K,match($A772&amp;","&amp;index('Year Conversion'!$A:$A,match($C772,'Year Conversion'!$B:$B,0)),$Y:$Y,0))-K772,"")</f>
        <v>-0.2546564527</v>
      </c>
      <c r="AC772" s="168" t="str">
        <f t="shared" si="7"/>
        <v>ORL,2014-15</v>
      </c>
    </row>
    <row r="773">
      <c r="A773" s="161" t="str">
        <f>IFERROR(__xludf.DUMMYFUNCTION("""COMPUTED_VALUE"""),"motiedo01")</f>
        <v>motiedo01</v>
      </c>
      <c r="B773" s="161" t="str">
        <f>IFERROR(__xludf.DUMMYFUNCTION("""COMPUTED_VALUE"""),"Donatas Motiejunas")</f>
        <v>Donatas Motiejunas</v>
      </c>
      <c r="C773" s="162" t="str">
        <f>IFERROR(__xludf.DUMMYFUNCTION("""COMPUTED_VALUE"""),"2014-15")</f>
        <v>2014-15</v>
      </c>
      <c r="D773" s="163" t="str">
        <f>IFERROR(__xludf.DUMMYFUNCTION("""COMPUTED_VALUE"""),"HOU")</f>
        <v>HOU</v>
      </c>
      <c r="E773" s="164" t="str">
        <f>IFERROR(__xludf.DUMMYFUNCTION("""COMPUTED_VALUE"""),"Post Scorer")</f>
        <v>Post Scorer</v>
      </c>
      <c r="F773" s="164">
        <f>IFERROR(__xludf.DUMMYFUNCTION("""COMPUTED_VALUE"""),2036.96833333333)</f>
        <v>2036.968333</v>
      </c>
      <c r="G773" s="163">
        <f>IFERROR(__xludf.DUMMYFUNCTION("""COMPUTED_VALUE"""),71.0)</f>
        <v>71</v>
      </c>
      <c r="H773" s="163" t="str">
        <f>IFERROR(__xludf.DUMMYFUNCTION("""COMPUTED_VALUE"""),"PF")</f>
        <v>PF</v>
      </c>
      <c r="I773" s="163">
        <f>IFERROR(__xludf.DUMMYFUNCTION("""COMPUTED_VALUE"""),24.0)</f>
        <v>24</v>
      </c>
      <c r="J773" s="165">
        <f>IFERROR(__xludf.DUMMYFUNCTION("""COMPUTED_VALUE"""),-0.665293894253974)</f>
        <v>-0.6652938943</v>
      </c>
      <c r="K773" s="165">
        <f>IFERROR(__xludf.DUMMYFUNCTION("""COMPUTED_VALUE"""),-0.983508326305244)</f>
        <v>-0.9835083263</v>
      </c>
      <c r="L773" s="165">
        <f>IFERROR(__xludf.DUMMYFUNCTION("""COMPUTED_VALUE"""),0.31821443205127)</f>
        <v>0.3182144321</v>
      </c>
      <c r="M773" s="166">
        <f t="shared" si="2"/>
        <v>2.227237243</v>
      </c>
      <c r="N773" s="167">
        <f t="shared" si="3"/>
        <v>28.68969484</v>
      </c>
      <c r="O773" s="163">
        <f t="shared" ref="O773:Q773" si="777">rank(I773,I:I)</f>
        <v>2361</v>
      </c>
      <c r="P773" s="163">
        <f t="shared" si="777"/>
        <v>2086</v>
      </c>
      <c r="Q773" s="163">
        <f t="shared" si="777"/>
        <v>2779</v>
      </c>
      <c r="R773" s="163">
        <f>IFERROR(__xludf.DUMMYFUNCTION("RANK(M773,filter(M:M,C:C=C773))"),158.0)</f>
        <v>158</v>
      </c>
      <c r="S773" s="161" t="b">
        <f t="shared" si="5"/>
        <v>0</v>
      </c>
      <c r="T773" s="161" t="b">
        <f t="array" ref="T773">index('Query Tool'!B:B,match(H773,'Query Tool'!C:C,0))</f>
        <v>1</v>
      </c>
      <c r="U773" s="161" t="b">
        <f t="array" ref="U773">index('Query Tool'!B:B,match(C773,'Query Tool'!C:C,0))</f>
        <v>0</v>
      </c>
      <c r="V773" s="161" t="b">
        <f>F773&gt;='Query Tool'!C$32</f>
        <v>1</v>
      </c>
      <c r="W773" s="161" t="b">
        <f t="array" ref="W773">index(Dropdowns!B:B,match(I773,Dropdowns!A:A,0))</f>
        <v>1</v>
      </c>
      <c r="X773" s="161" t="b">
        <f t="array" ref="X773">index('Query Tool'!B:B,match(D773,'Query Tool'!C:C,0))</f>
        <v>1</v>
      </c>
      <c r="Y773" s="161" t="str">
        <f t="shared" si="6"/>
        <v>motiedo01,2014-15</v>
      </c>
      <c r="Z773" s="168">
        <f t="array" ref="Z773">iferror(index(I:I,match($A773&amp;","&amp;index('Year Conversion'!$A:$A,match($C773,'Year Conversion'!$B:$B,0)),$Y:$Y,0))-I773,"")</f>
        <v>1</v>
      </c>
      <c r="AA773" s="168">
        <f t="array" ref="AA773">iferror(index(J:J,match($A773&amp;","&amp;index('Year Conversion'!$A:$A,match($C773,'Year Conversion'!$B:$B,0)),$Y:$Y,0))-J773,"")</f>
        <v>-1.301376562</v>
      </c>
      <c r="AB773" s="168">
        <f t="array" ref="AB773">iferror(index(K:K,match($A773&amp;","&amp;index('Year Conversion'!$A:$A,match($C773,'Year Conversion'!$B:$B,0)),$Y:$Y,0))-K773,"")</f>
        <v>-0.1814673363</v>
      </c>
      <c r="AC773" s="168" t="str">
        <f t="shared" si="7"/>
        <v>HOU,2014-15</v>
      </c>
    </row>
    <row r="774">
      <c r="A774" s="161" t="str">
        <f>IFERROR(__xludf.DUMMYFUNCTION("""COMPUTED_VALUE"""),"farieke01")</f>
        <v>farieke01</v>
      </c>
      <c r="B774" s="161" t="str">
        <f>IFERROR(__xludf.DUMMYFUNCTION("""COMPUTED_VALUE"""),"Kenneth Faried")</f>
        <v>Kenneth Faried</v>
      </c>
      <c r="C774" s="162" t="str">
        <f>IFERROR(__xludf.DUMMYFUNCTION("""COMPUTED_VALUE"""),"2014-15")</f>
        <v>2014-15</v>
      </c>
      <c r="D774" s="163" t="str">
        <f>IFERROR(__xludf.DUMMYFUNCTION("""COMPUTED_VALUE"""),"DEN")</f>
        <v>DEN</v>
      </c>
      <c r="E774" s="164" t="str">
        <f>IFERROR(__xludf.DUMMYFUNCTION("""COMPUTED_VALUE"""),"Post Scorer")</f>
        <v>Post Scorer</v>
      </c>
      <c r="F774" s="164">
        <f>IFERROR(__xludf.DUMMYFUNCTION("""COMPUTED_VALUE"""),2085.905)</f>
        <v>2085.905</v>
      </c>
      <c r="G774" s="163">
        <f>IFERROR(__xludf.DUMMYFUNCTION("""COMPUTED_VALUE"""),75.0)</f>
        <v>75</v>
      </c>
      <c r="H774" s="163" t="str">
        <f>IFERROR(__xludf.DUMMYFUNCTION("""COMPUTED_VALUE"""),"PF")</f>
        <v>PF</v>
      </c>
      <c r="I774" s="163">
        <f>IFERROR(__xludf.DUMMYFUNCTION("""COMPUTED_VALUE"""),25.0)</f>
        <v>25</v>
      </c>
      <c r="J774" s="165">
        <f>IFERROR(__xludf.DUMMYFUNCTION("""COMPUTED_VALUE"""),0.724548544975607)</f>
        <v>0.724548545</v>
      </c>
      <c r="K774" s="165">
        <f>IFERROR(__xludf.DUMMYFUNCTION("""COMPUTED_VALUE"""),0.590337685890418)</f>
        <v>0.5903376859</v>
      </c>
      <c r="L774" s="165">
        <f>IFERROR(__xludf.DUMMYFUNCTION("""COMPUTED_VALUE"""),0.134210859085189)</f>
        <v>0.1342108591</v>
      </c>
      <c r="M774" s="166">
        <f t="shared" si="2"/>
        <v>4.233957426</v>
      </c>
      <c r="N774" s="167">
        <f t="shared" si="3"/>
        <v>27.81206667</v>
      </c>
      <c r="O774" s="163">
        <f t="shared" ref="O774:Q774" si="778">rank(I774,I:I)</f>
        <v>1995</v>
      </c>
      <c r="P774" s="163">
        <f t="shared" si="778"/>
        <v>778</v>
      </c>
      <c r="Q774" s="163">
        <f t="shared" si="778"/>
        <v>714</v>
      </c>
      <c r="R774" s="163">
        <f>IFERROR(__xludf.DUMMYFUNCTION("RANK(M774,filter(M:M,C:C=C774))"),80.0)</f>
        <v>80</v>
      </c>
      <c r="S774" s="161" t="b">
        <f t="shared" si="5"/>
        <v>0</v>
      </c>
      <c r="T774" s="161" t="b">
        <f t="array" ref="T774">index('Query Tool'!B:B,match(H774,'Query Tool'!C:C,0))</f>
        <v>1</v>
      </c>
      <c r="U774" s="161" t="b">
        <f t="array" ref="U774">index('Query Tool'!B:B,match(C774,'Query Tool'!C:C,0))</f>
        <v>0</v>
      </c>
      <c r="V774" s="161" t="b">
        <f>F774&gt;='Query Tool'!C$32</f>
        <v>1</v>
      </c>
      <c r="W774" s="161" t="b">
        <f t="array" ref="W774">index(Dropdowns!B:B,match(I774,Dropdowns!A:A,0))</f>
        <v>1</v>
      </c>
      <c r="X774" s="161" t="b">
        <f t="array" ref="X774">index('Query Tool'!B:B,match(D774,'Query Tool'!C:C,0))</f>
        <v>1</v>
      </c>
      <c r="Y774" s="161" t="str">
        <f t="shared" si="6"/>
        <v>farieke01,2014-15</v>
      </c>
      <c r="Z774" s="168">
        <f t="array" ref="Z774">iferror(index(I:I,match($A774&amp;","&amp;index('Year Conversion'!$A:$A,match($C774,'Year Conversion'!$B:$B,0)),$Y:$Y,0))-I774,"")</f>
        <v>1</v>
      </c>
      <c r="AA774" s="168">
        <f t="array" ref="AA774">iferror(index(J:J,match($A774&amp;","&amp;index('Year Conversion'!$A:$A,match($C774,'Year Conversion'!$B:$B,0)),$Y:$Y,0))-J774,"")</f>
        <v>0.3427612325</v>
      </c>
      <c r="AB774" s="168">
        <f t="array" ref="AB774">iferror(index(K:K,match($A774&amp;","&amp;index('Year Conversion'!$A:$A,match($C774,'Year Conversion'!$B:$B,0)),$Y:$Y,0))-K774,"")</f>
        <v>0.6962339323</v>
      </c>
      <c r="AC774" s="168" t="str">
        <f t="shared" si="7"/>
        <v>DEN,2014-15</v>
      </c>
    </row>
    <row r="775">
      <c r="A775" s="161" t="str">
        <f>IFERROR(__xludf.DUMMYFUNCTION("""COMPUTED_VALUE"""),"mirotni01")</f>
        <v>mirotni01</v>
      </c>
      <c r="B775" s="161" t="str">
        <f>IFERROR(__xludf.DUMMYFUNCTION("""COMPUTED_VALUE"""),"Nikola Mirotic")</f>
        <v>Nikola Mirotic</v>
      </c>
      <c r="C775" s="162" t="str">
        <f>IFERROR(__xludf.DUMMYFUNCTION("""COMPUTED_VALUE"""),"2014-15")</f>
        <v>2014-15</v>
      </c>
      <c r="D775" s="163" t="str">
        <f>IFERROR(__xludf.DUMMYFUNCTION("""COMPUTED_VALUE"""),"CHI")</f>
        <v>CHI</v>
      </c>
      <c r="E775" s="164" t="str">
        <f>IFERROR(__xludf.DUMMYFUNCTION("""COMPUTED_VALUE"""),"Movement Shooter")</f>
        <v>Movement Shooter</v>
      </c>
      <c r="F775" s="164">
        <f>IFERROR(__xludf.DUMMYFUNCTION("""COMPUTED_VALUE"""),1654.12166666667)</f>
        <v>1654.121667</v>
      </c>
      <c r="G775" s="163">
        <f>IFERROR(__xludf.DUMMYFUNCTION("""COMPUTED_VALUE"""),82.0)</f>
        <v>82</v>
      </c>
      <c r="H775" s="163" t="str">
        <f>IFERROR(__xludf.DUMMYFUNCTION("""COMPUTED_VALUE"""),"PF")</f>
        <v>PF</v>
      </c>
      <c r="I775" s="163">
        <f>IFERROR(__xludf.DUMMYFUNCTION("""COMPUTED_VALUE"""),23.0)</f>
        <v>23</v>
      </c>
      <c r="J775" s="165">
        <f>IFERROR(__xludf.DUMMYFUNCTION("""COMPUTED_VALUE"""),2.9878750131883)</f>
        <v>2.987875013</v>
      </c>
      <c r="K775" s="165">
        <f>IFERROR(__xludf.DUMMYFUNCTION("""COMPUTED_VALUE"""),1.8527520112411)</f>
        <v>1.852752011</v>
      </c>
      <c r="L775" s="165">
        <f>IFERROR(__xludf.DUMMYFUNCTION("""COMPUTED_VALUE"""),1.1351230019472)</f>
        <v>1.135123002</v>
      </c>
      <c r="M775" s="166">
        <f t="shared" si="2"/>
        <v>5.841439543</v>
      </c>
      <c r="N775" s="167">
        <f t="shared" si="3"/>
        <v>20.17221545</v>
      </c>
      <c r="O775" s="163">
        <f t="shared" ref="O775:Q775" si="779">rank(I775,I:I)</f>
        <v>2765</v>
      </c>
      <c r="P775" s="163">
        <f t="shared" si="779"/>
        <v>171</v>
      </c>
      <c r="Q775" s="163">
        <f t="shared" si="779"/>
        <v>252</v>
      </c>
      <c r="R775" s="163">
        <f>IFERROR(__xludf.DUMMYFUNCTION("RANK(M775,filter(M:M,C:C=C775))"),44.0)</f>
        <v>44</v>
      </c>
      <c r="S775" s="161" t="b">
        <f t="shared" si="5"/>
        <v>0</v>
      </c>
      <c r="T775" s="161" t="b">
        <f t="array" ref="T775">index('Query Tool'!B:B,match(H775,'Query Tool'!C:C,0))</f>
        <v>1</v>
      </c>
      <c r="U775" s="161" t="b">
        <f t="array" ref="U775">index('Query Tool'!B:B,match(C775,'Query Tool'!C:C,0))</f>
        <v>0</v>
      </c>
      <c r="V775" s="161" t="b">
        <f>F775&gt;='Query Tool'!C$32</f>
        <v>1</v>
      </c>
      <c r="W775" s="161" t="b">
        <f t="array" ref="W775">index(Dropdowns!B:B,match(I775,Dropdowns!A:A,0))</f>
        <v>1</v>
      </c>
      <c r="X775" s="161" t="b">
        <f t="array" ref="X775">index('Query Tool'!B:B,match(D775,'Query Tool'!C:C,0))</f>
        <v>1</v>
      </c>
      <c r="Y775" s="161" t="str">
        <f t="shared" si="6"/>
        <v>mirotni01,2014-15</v>
      </c>
      <c r="Z775" s="168">
        <f t="array" ref="Z775">iferror(index(I:I,match($A775&amp;","&amp;index('Year Conversion'!$A:$A,match($C775,'Year Conversion'!$B:$B,0)),$Y:$Y,0))-I775,"")</f>
        <v>1</v>
      </c>
      <c r="AA775" s="168">
        <f t="array" ref="AA775">iferror(index(J:J,match($A775&amp;","&amp;index('Year Conversion'!$A:$A,match($C775,'Year Conversion'!$B:$B,0)),$Y:$Y,0))-J775,"")</f>
        <v>-2.596892945</v>
      </c>
      <c r="AB775" s="168">
        <f t="array" ref="AB775">iferror(index(K:K,match($A775&amp;","&amp;index('Year Conversion'!$A:$A,match($C775,'Year Conversion'!$B:$B,0)),$Y:$Y,0))-K775,"")</f>
        <v>-1.590786327</v>
      </c>
      <c r="AC775" s="168" t="str">
        <f t="shared" si="7"/>
        <v>CHI,2014-15</v>
      </c>
    </row>
    <row r="776">
      <c r="A776" s="161" t="str">
        <f>IFERROR(__xludf.DUMMYFUNCTION("""COMPUTED_VALUE"""),"jacksre01")</f>
        <v>jacksre01</v>
      </c>
      <c r="B776" s="161" t="str">
        <f>IFERROR(__xludf.DUMMYFUNCTION("""COMPUTED_VALUE"""),"Reggie Jackson")</f>
        <v>Reggie Jackson</v>
      </c>
      <c r="C776" s="162" t="str">
        <f>IFERROR(__xludf.DUMMYFUNCTION("""COMPUTED_VALUE"""),"2014-15")</f>
        <v>2014-15</v>
      </c>
      <c r="D776" s="163" t="str">
        <f>IFERROR(__xludf.DUMMYFUNCTION("""COMPUTED_VALUE"""),"TOT")</f>
        <v>TOT</v>
      </c>
      <c r="E776" s="164" t="str">
        <f>IFERROR(__xludf.DUMMYFUNCTION("""COMPUTED_VALUE"""),"Slasher")</f>
        <v>Slasher</v>
      </c>
      <c r="F776" s="164">
        <f>IFERROR(__xludf.DUMMYFUNCTION("""COMPUTED_VALUE"""),2268.24333333333)</f>
        <v>2268.243333</v>
      </c>
      <c r="G776" s="163">
        <f>IFERROR(__xludf.DUMMYFUNCTION("""COMPUTED_VALUE"""),77.0)</f>
        <v>77</v>
      </c>
      <c r="H776" s="163" t="str">
        <f>IFERROR(__xludf.DUMMYFUNCTION("""COMPUTED_VALUE"""),"PG")</f>
        <v>PG</v>
      </c>
      <c r="I776" s="163">
        <f>IFERROR(__xludf.DUMMYFUNCTION("""COMPUTED_VALUE"""),24.0)</f>
        <v>24</v>
      </c>
      <c r="J776" s="165">
        <f>IFERROR(__xludf.DUMMYFUNCTION("""COMPUTED_VALUE"""),1.29443197333323)</f>
        <v>1.294431973</v>
      </c>
      <c r="K776" s="165">
        <f>IFERROR(__xludf.DUMMYFUNCTION("""COMPUTED_VALUE"""),2.59145088546957)</f>
        <v>2.591450885</v>
      </c>
      <c r="L776" s="165">
        <f>IFERROR(__xludf.DUMMYFUNCTION("""COMPUTED_VALUE"""),-1.29701891213634)</f>
        <v>-1.297018912</v>
      </c>
      <c r="M776" s="166">
        <f t="shared" si="2"/>
        <v>5.471760163</v>
      </c>
      <c r="N776" s="167">
        <f t="shared" si="3"/>
        <v>29.45770563</v>
      </c>
      <c r="O776" s="163">
        <f t="shared" ref="O776:Q776" si="780">rank(I776,I:I)</f>
        <v>2361</v>
      </c>
      <c r="P776" s="163">
        <f t="shared" si="780"/>
        <v>527</v>
      </c>
      <c r="Q776" s="163">
        <f t="shared" si="780"/>
        <v>148</v>
      </c>
      <c r="R776" s="163">
        <f>IFERROR(__xludf.DUMMYFUNCTION("RANK(M776,filter(M:M,C:C=C776))"),50.0)</f>
        <v>50</v>
      </c>
      <c r="S776" s="161" t="b">
        <f t="shared" si="5"/>
        <v>0</v>
      </c>
      <c r="T776" s="161" t="b">
        <f t="array" ref="T776">index('Query Tool'!B:B,match(H776,'Query Tool'!C:C,0))</f>
        <v>1</v>
      </c>
      <c r="U776" s="161" t="b">
        <f t="array" ref="U776">index('Query Tool'!B:B,match(C776,'Query Tool'!C:C,0))</f>
        <v>0</v>
      </c>
      <c r="V776" s="161" t="b">
        <f>F776&gt;='Query Tool'!C$32</f>
        <v>1</v>
      </c>
      <c r="W776" s="161" t="b">
        <f t="array" ref="W776">index(Dropdowns!B:B,match(I776,Dropdowns!A:A,0))</f>
        <v>1</v>
      </c>
      <c r="X776" s="161" t="b">
        <f t="array" ref="X776">index('Query Tool'!B:B,match(D776,'Query Tool'!C:C,0))</f>
        <v>1</v>
      </c>
      <c r="Y776" s="161" t="str">
        <f t="shared" si="6"/>
        <v>jacksre01,2014-15</v>
      </c>
      <c r="Z776" s="168">
        <f t="array" ref="Z776">iferror(index(I:I,match($A776&amp;","&amp;index('Year Conversion'!$A:$A,match($C776,'Year Conversion'!$B:$B,0)),$Y:$Y,0))-I776,"")</f>
        <v>1</v>
      </c>
      <c r="AA776" s="168">
        <f t="array" ref="AA776">iferror(index(J:J,match($A776&amp;","&amp;index('Year Conversion'!$A:$A,match($C776,'Year Conversion'!$B:$B,0)),$Y:$Y,0))-J776,"")</f>
        <v>-0.5097569312</v>
      </c>
      <c r="AB776" s="168">
        <f t="array" ref="AB776">iferror(index(K:K,match($A776&amp;","&amp;index('Year Conversion'!$A:$A,match($C776,'Year Conversion'!$B:$B,0)),$Y:$Y,0))-K776,"")</f>
        <v>-0.2938982885</v>
      </c>
      <c r="AC776" s="168" t="str">
        <f t="shared" si="7"/>
        <v>TOT,2014-15</v>
      </c>
    </row>
    <row r="777">
      <c r="A777" s="161" t="str">
        <f>IFERROR(__xludf.DUMMYFUNCTION("""COMPUTED_VALUE"""),"hamiljo02")</f>
        <v>hamiljo02</v>
      </c>
      <c r="B777" s="161" t="str">
        <f>IFERROR(__xludf.DUMMYFUNCTION("""COMPUTED_VALUE"""),"Jordan Hamilton")</f>
        <v>Jordan Hamilton</v>
      </c>
      <c r="C777" s="162" t="str">
        <f>IFERROR(__xludf.DUMMYFUNCTION("""COMPUTED_VALUE"""),"2014-15")</f>
        <v>2014-15</v>
      </c>
      <c r="D777" s="163" t="str">
        <f>IFERROR(__xludf.DUMMYFUNCTION("""COMPUTED_VALUE"""),"LAC")</f>
        <v>LAC</v>
      </c>
      <c r="E777" s="164" t="str">
        <f>IFERROR(__xludf.DUMMYFUNCTION("""COMPUTED_VALUE"""),"Movement Shooter")</f>
        <v>Movement Shooter</v>
      </c>
      <c r="F777" s="164">
        <f>IFERROR(__xludf.DUMMYFUNCTION("""COMPUTED_VALUE"""),122.07)</f>
        <v>122.07</v>
      </c>
      <c r="G777" s="163">
        <f>IFERROR(__xludf.DUMMYFUNCTION("""COMPUTED_VALUE"""),14.0)</f>
        <v>14</v>
      </c>
      <c r="H777" s="163" t="str">
        <f>IFERROR(__xludf.DUMMYFUNCTION("""COMPUTED_VALUE"""),"SF")</f>
        <v>SF</v>
      </c>
      <c r="I777" s="163">
        <f>IFERROR(__xludf.DUMMYFUNCTION("""COMPUTED_VALUE"""),24.0)</f>
        <v>24</v>
      </c>
      <c r="J777" s="165">
        <f>IFERROR(__xludf.DUMMYFUNCTION("""COMPUTED_VALUE"""),-2.75299920336079)</f>
        <v>-2.752999203</v>
      </c>
      <c r="K777" s="165">
        <f>IFERROR(__xludf.DUMMYFUNCTION("""COMPUTED_VALUE"""),-1.51469429296934)</f>
        <v>-1.514694293</v>
      </c>
      <c r="L777" s="165">
        <f>IFERROR(__xludf.DUMMYFUNCTION("""COMPUTED_VALUE"""),-1.23830491039145)</f>
        <v>-1.23830491</v>
      </c>
      <c r="M777" s="166">
        <f t="shared" si="2"/>
        <v>-0.03602029386</v>
      </c>
      <c r="N777" s="167">
        <f t="shared" si="3"/>
        <v>8.719285714</v>
      </c>
      <c r="O777" s="163">
        <f t="shared" ref="O777:Q777" si="781">rank(I777,I:I)</f>
        <v>2361</v>
      </c>
      <c r="P777" s="163">
        <f t="shared" si="781"/>
        <v>3832</v>
      </c>
      <c r="Q777" s="163">
        <f t="shared" si="781"/>
        <v>3370</v>
      </c>
      <c r="R777" s="163">
        <f>IFERROR(__xludf.DUMMYFUNCTION("RANK(M777,filter(M:M,C:C=C777))"),445.0)</f>
        <v>445</v>
      </c>
      <c r="S777" s="161" t="b">
        <f t="shared" si="5"/>
        <v>0</v>
      </c>
      <c r="T777" s="161" t="b">
        <f t="array" ref="T777">index('Query Tool'!B:B,match(H777,'Query Tool'!C:C,0))</f>
        <v>1</v>
      </c>
      <c r="U777" s="161" t="b">
        <f t="array" ref="U777">index('Query Tool'!B:B,match(C777,'Query Tool'!C:C,0))</f>
        <v>0</v>
      </c>
      <c r="V777" s="161" t="b">
        <f>F777&gt;='Query Tool'!C$32</f>
        <v>0</v>
      </c>
      <c r="W777" s="161" t="b">
        <f t="array" ref="W777">index(Dropdowns!B:B,match(I777,Dropdowns!A:A,0))</f>
        <v>1</v>
      </c>
      <c r="X777" s="161" t="b">
        <f t="array" ref="X777">index('Query Tool'!B:B,match(D777,'Query Tool'!C:C,0))</f>
        <v>1</v>
      </c>
      <c r="Y777" s="161" t="str">
        <f t="shared" si="6"/>
        <v>hamiljo02,2014-15</v>
      </c>
      <c r="Z777" s="168">
        <f t="array" ref="Z777">iferror(index(I:I,match($A777&amp;","&amp;index('Year Conversion'!$A:$A,match($C777,'Year Conversion'!$B:$B,0)),$Y:$Y,0))-I777,"")</f>
        <v>1</v>
      </c>
      <c r="AA777" s="168">
        <f t="array" ref="AA777">iferror(index(J:J,match($A777&amp;","&amp;index('Year Conversion'!$A:$A,match($C777,'Year Conversion'!$B:$B,0)),$Y:$Y,0))-J777,"")</f>
        <v>1.759528416</v>
      </c>
      <c r="AB777" s="168">
        <f t="array" ref="AB777">iferror(index(K:K,match($A777&amp;","&amp;index('Year Conversion'!$A:$A,match($C777,'Year Conversion'!$B:$B,0)),$Y:$Y,0))-K777,"")</f>
        <v>1.172801303</v>
      </c>
      <c r="AC777" s="168" t="str">
        <f t="shared" si="7"/>
        <v>LAC,2014-15</v>
      </c>
    </row>
    <row r="778">
      <c r="A778" s="161" t="str">
        <f>IFERROR(__xludf.DUMMYFUNCTION("""COMPUTED_VALUE"""),"coleno01")</f>
        <v>coleno01</v>
      </c>
      <c r="B778" s="161" t="str">
        <f>IFERROR(__xludf.DUMMYFUNCTION("""COMPUTED_VALUE"""),"Norris Cole")</f>
        <v>Norris Cole</v>
      </c>
      <c r="C778" s="162" t="str">
        <f>IFERROR(__xludf.DUMMYFUNCTION("""COMPUTED_VALUE"""),"2014-15")</f>
        <v>2014-15</v>
      </c>
      <c r="D778" s="163" t="str">
        <f>IFERROR(__xludf.DUMMYFUNCTION("""COMPUTED_VALUE"""),"TOT")</f>
        <v>TOT</v>
      </c>
      <c r="E778" s="164" t="str">
        <f>IFERROR(__xludf.DUMMYFUNCTION("""COMPUTED_VALUE"""),"Primary Ball Handler")</f>
        <v>Primary Ball Handler</v>
      </c>
      <c r="F778" s="164">
        <f>IFERROR(__xludf.DUMMYFUNCTION("""COMPUTED_VALUE"""),1831.10833333333)</f>
        <v>1831.108333</v>
      </c>
      <c r="G778" s="163">
        <f>IFERROR(__xludf.DUMMYFUNCTION("""COMPUTED_VALUE"""),75.0)</f>
        <v>75</v>
      </c>
      <c r="H778" s="163" t="str">
        <f>IFERROR(__xludf.DUMMYFUNCTION("""COMPUTED_VALUE"""),"PG")</f>
        <v>PG</v>
      </c>
      <c r="I778" s="163">
        <f>IFERROR(__xludf.DUMMYFUNCTION("""COMPUTED_VALUE"""),26.0)</f>
        <v>26</v>
      </c>
      <c r="J778" s="165">
        <f>IFERROR(__xludf.DUMMYFUNCTION("""COMPUTED_VALUE"""),-2.4472464549367)</f>
        <v>-2.447246455</v>
      </c>
      <c r="K778" s="165">
        <f>IFERROR(__xludf.DUMMYFUNCTION("""COMPUTED_VALUE"""),-0.763715617840491)</f>
        <v>-0.7637156178</v>
      </c>
      <c r="L778" s="165">
        <f>IFERROR(__xludf.DUMMYFUNCTION("""COMPUTED_VALUE"""),-1.68353083709621)</f>
        <v>-1.683530837</v>
      </c>
      <c r="M778" s="166">
        <f t="shared" si="2"/>
        <v>-0.1733150996</v>
      </c>
      <c r="N778" s="167">
        <f t="shared" si="3"/>
        <v>24.41477778</v>
      </c>
      <c r="O778" s="163">
        <f t="shared" ref="O778:Q778" si="782">rank(I778,I:I)</f>
        <v>1665</v>
      </c>
      <c r="P778" s="163">
        <f t="shared" si="782"/>
        <v>3736</v>
      </c>
      <c r="Q778" s="163">
        <f t="shared" si="782"/>
        <v>2505</v>
      </c>
      <c r="R778" s="163">
        <f>IFERROR(__xludf.DUMMYFUNCTION("RANK(M778,filter(M:M,C:C=C778))"),462.0)</f>
        <v>462</v>
      </c>
      <c r="S778" s="161" t="b">
        <f t="shared" si="5"/>
        <v>0</v>
      </c>
      <c r="T778" s="161" t="b">
        <f t="array" ref="T778">index('Query Tool'!B:B,match(H778,'Query Tool'!C:C,0))</f>
        <v>1</v>
      </c>
      <c r="U778" s="161" t="b">
        <f t="array" ref="U778">index('Query Tool'!B:B,match(C778,'Query Tool'!C:C,0))</f>
        <v>0</v>
      </c>
      <c r="V778" s="161" t="b">
        <f>F778&gt;='Query Tool'!C$32</f>
        <v>1</v>
      </c>
      <c r="W778" s="161" t="b">
        <f t="array" ref="W778">index(Dropdowns!B:B,match(I778,Dropdowns!A:A,0))</f>
        <v>1</v>
      </c>
      <c r="X778" s="161" t="b">
        <f t="array" ref="X778">index('Query Tool'!B:B,match(D778,'Query Tool'!C:C,0))</f>
        <v>1</v>
      </c>
      <c r="Y778" s="161" t="str">
        <f t="shared" si="6"/>
        <v>coleno01,2014-15</v>
      </c>
      <c r="Z778" s="168">
        <f t="array" ref="Z778">iferror(index(I:I,match($A778&amp;","&amp;index('Year Conversion'!$A:$A,match($C778,'Year Conversion'!$B:$B,0)),$Y:$Y,0))-I778,"")</f>
        <v>1</v>
      </c>
      <c r="AA778" s="168">
        <f t="array" ref="AA778">iferror(index(J:J,match($A778&amp;","&amp;index('Year Conversion'!$A:$A,match($C778,'Year Conversion'!$B:$B,0)),$Y:$Y,0))-J778,"")</f>
        <v>0.07571084105</v>
      </c>
      <c r="AB778" s="168">
        <f t="array" ref="AB778">iferror(index(K:K,match($A778&amp;","&amp;index('Year Conversion'!$A:$A,match($C778,'Year Conversion'!$B:$B,0)),$Y:$Y,0))-K778,"")</f>
        <v>-0.5810005737</v>
      </c>
      <c r="AC778" s="168" t="str">
        <f t="shared" si="7"/>
        <v>TOT,2014-15</v>
      </c>
    </row>
    <row r="779">
      <c r="A779" s="161" t="str">
        <f>IFERROR(__xludf.DUMMYFUNCTION("""COMPUTED_VALUE"""),"josepco01")</f>
        <v>josepco01</v>
      </c>
      <c r="B779" s="161" t="str">
        <f>IFERROR(__xludf.DUMMYFUNCTION("""COMPUTED_VALUE"""),"Cory Joseph")</f>
        <v>Cory Joseph</v>
      </c>
      <c r="C779" s="162" t="str">
        <f>IFERROR(__xludf.DUMMYFUNCTION("""COMPUTED_VALUE"""),"2014-15")</f>
        <v>2014-15</v>
      </c>
      <c r="D779" s="163" t="str">
        <f>IFERROR(__xludf.DUMMYFUNCTION("""COMPUTED_VALUE"""),"SAS")</f>
        <v>SAS</v>
      </c>
      <c r="E779" s="164" t="str">
        <f>IFERROR(__xludf.DUMMYFUNCTION("""COMPUTED_VALUE"""),"Primary Ball Handler")</f>
        <v>Primary Ball Handler</v>
      </c>
      <c r="F779" s="164">
        <f>IFERROR(__xludf.DUMMYFUNCTION("""COMPUTED_VALUE"""),1443.68833333333)</f>
        <v>1443.688333</v>
      </c>
      <c r="G779" s="163">
        <f>IFERROR(__xludf.DUMMYFUNCTION("""COMPUTED_VALUE"""),79.0)</f>
        <v>79</v>
      </c>
      <c r="H779" s="163" t="str">
        <f>IFERROR(__xludf.DUMMYFUNCTION("""COMPUTED_VALUE"""),"PG")</f>
        <v>PG</v>
      </c>
      <c r="I779" s="163">
        <f>IFERROR(__xludf.DUMMYFUNCTION("""COMPUTED_VALUE"""),23.0)</f>
        <v>23</v>
      </c>
      <c r="J779" s="165">
        <f>IFERROR(__xludf.DUMMYFUNCTION("""COMPUTED_VALUE"""),0.613364820189469)</f>
        <v>0.6133648202</v>
      </c>
      <c r="K779" s="165">
        <f>IFERROR(__xludf.DUMMYFUNCTION("""COMPUTED_VALUE"""),-0.0123275758614425)</f>
        <v>-0.01232757586</v>
      </c>
      <c r="L779" s="165">
        <f>IFERROR(__xludf.DUMMYFUNCTION("""COMPUTED_VALUE"""),0.625692396050911)</f>
        <v>0.6256923961</v>
      </c>
      <c r="M779" s="166">
        <f t="shared" si="2"/>
        <v>2.822374593</v>
      </c>
      <c r="N779" s="167">
        <f t="shared" si="3"/>
        <v>18.27453586</v>
      </c>
      <c r="O779" s="163">
        <f t="shared" ref="O779:Q779" si="783">rank(I779,I:I)</f>
        <v>2765</v>
      </c>
      <c r="P779" s="163">
        <f t="shared" si="783"/>
        <v>839</v>
      </c>
      <c r="Q779" s="163">
        <f t="shared" si="783"/>
        <v>1218</v>
      </c>
      <c r="R779" s="163">
        <f>IFERROR(__xludf.DUMMYFUNCTION("RANK(M779,filter(M:M,C:C=C779))"),124.0)</f>
        <v>124</v>
      </c>
      <c r="S779" s="161" t="b">
        <f t="shared" si="5"/>
        <v>0</v>
      </c>
      <c r="T779" s="161" t="b">
        <f t="array" ref="T779">index('Query Tool'!B:B,match(H779,'Query Tool'!C:C,0))</f>
        <v>1</v>
      </c>
      <c r="U779" s="161" t="b">
        <f t="array" ref="U779">index('Query Tool'!B:B,match(C779,'Query Tool'!C:C,0))</f>
        <v>0</v>
      </c>
      <c r="V779" s="161" t="b">
        <f>F779&gt;='Query Tool'!C$32</f>
        <v>1</v>
      </c>
      <c r="W779" s="161" t="b">
        <f t="array" ref="W779">index(Dropdowns!B:B,match(I779,Dropdowns!A:A,0))</f>
        <v>1</v>
      </c>
      <c r="X779" s="161" t="b">
        <f t="array" ref="X779">index('Query Tool'!B:B,match(D779,'Query Tool'!C:C,0))</f>
        <v>1</v>
      </c>
      <c r="Y779" s="161" t="str">
        <f t="shared" si="6"/>
        <v>josepco01,2014-15</v>
      </c>
      <c r="Z779" s="168">
        <f t="array" ref="Z779">iferror(index(I:I,match($A779&amp;","&amp;index('Year Conversion'!$A:$A,match($C779,'Year Conversion'!$B:$B,0)),$Y:$Y,0))-I779,"")</f>
        <v>1</v>
      </c>
      <c r="AA779" s="168">
        <f t="array" ref="AA779">iferror(index(J:J,match($A779&amp;","&amp;index('Year Conversion'!$A:$A,match($C779,'Year Conversion'!$B:$B,0)),$Y:$Y,0))-J779,"")</f>
        <v>-0.07167672446</v>
      </c>
      <c r="AB779" s="168">
        <f t="array" ref="AB779">iferror(index(K:K,match($A779&amp;","&amp;index('Year Conversion'!$A:$A,match($C779,'Year Conversion'!$B:$B,0)),$Y:$Y,0))-K779,"")</f>
        <v>0.380132907</v>
      </c>
      <c r="AC779" s="168" t="str">
        <f t="shared" si="7"/>
        <v>SAS,2014-15</v>
      </c>
    </row>
    <row r="780">
      <c r="A780" s="161" t="str">
        <f>IFERROR(__xludf.DUMMYFUNCTION("""COMPUTED_VALUE"""),"butleji01")</f>
        <v>butleji01</v>
      </c>
      <c r="B780" s="161" t="str">
        <f>IFERROR(__xludf.DUMMYFUNCTION("""COMPUTED_VALUE"""),"Jimmy Butler")</f>
        <v>Jimmy Butler</v>
      </c>
      <c r="C780" s="162" t="str">
        <f>IFERROR(__xludf.DUMMYFUNCTION("""COMPUTED_VALUE"""),"2014-15")</f>
        <v>2014-15</v>
      </c>
      <c r="D780" s="163" t="str">
        <f>IFERROR(__xludf.DUMMYFUNCTION("""COMPUTED_VALUE"""),"CHI")</f>
        <v>CHI</v>
      </c>
      <c r="E780" s="164" t="str">
        <f>IFERROR(__xludf.DUMMYFUNCTION("""COMPUTED_VALUE"""),"Shot Creator")</f>
        <v>Shot Creator</v>
      </c>
      <c r="F780" s="164">
        <f>IFERROR(__xludf.DUMMYFUNCTION("""COMPUTED_VALUE"""),2513.47333333333)</f>
        <v>2513.473333</v>
      </c>
      <c r="G780" s="163">
        <f>IFERROR(__xludf.DUMMYFUNCTION("""COMPUTED_VALUE"""),65.0)</f>
        <v>65</v>
      </c>
      <c r="H780" s="163" t="str">
        <f>IFERROR(__xludf.DUMMYFUNCTION("""COMPUTED_VALUE"""),"SG")</f>
        <v>SG</v>
      </c>
      <c r="I780" s="163">
        <f>IFERROR(__xludf.DUMMYFUNCTION("""COMPUTED_VALUE"""),25.0)</f>
        <v>25</v>
      </c>
      <c r="J780" s="165">
        <f>IFERROR(__xludf.DUMMYFUNCTION("""COMPUTED_VALUE"""),2.48428056259546)</f>
        <v>2.484280563</v>
      </c>
      <c r="K780" s="165">
        <f>IFERROR(__xludf.DUMMYFUNCTION("""COMPUTED_VALUE"""),2.35449638547059)</f>
        <v>2.354496385</v>
      </c>
      <c r="L780" s="165">
        <f>IFERROR(__xludf.DUMMYFUNCTION("""COMPUTED_VALUE"""),0.129784177124872)</f>
        <v>0.1297841771</v>
      </c>
      <c r="M780" s="166">
        <f t="shared" si="2"/>
        <v>8.048969994</v>
      </c>
      <c r="N780" s="167">
        <f t="shared" si="3"/>
        <v>38.66882051</v>
      </c>
      <c r="O780" s="163">
        <f t="shared" ref="O780:Q780" si="784">rank(I780,I:I)</f>
        <v>1995</v>
      </c>
      <c r="P780" s="163">
        <f t="shared" si="784"/>
        <v>224</v>
      </c>
      <c r="Q780" s="163">
        <f t="shared" si="784"/>
        <v>174</v>
      </c>
      <c r="R780" s="163">
        <f>IFERROR(__xludf.DUMMYFUNCTION("RANK(M780,filter(M:M,C:C=C780))"),23.0)</f>
        <v>23</v>
      </c>
      <c r="S780" s="161" t="b">
        <f t="shared" si="5"/>
        <v>0</v>
      </c>
      <c r="T780" s="161" t="b">
        <f t="array" ref="T780">index('Query Tool'!B:B,match(H780,'Query Tool'!C:C,0))</f>
        <v>1</v>
      </c>
      <c r="U780" s="161" t="b">
        <f t="array" ref="U780">index('Query Tool'!B:B,match(C780,'Query Tool'!C:C,0))</f>
        <v>0</v>
      </c>
      <c r="V780" s="161" t="b">
        <f>F780&gt;='Query Tool'!C$32</f>
        <v>1</v>
      </c>
      <c r="W780" s="161" t="b">
        <f t="array" ref="W780">index(Dropdowns!B:B,match(I780,Dropdowns!A:A,0))</f>
        <v>1</v>
      </c>
      <c r="X780" s="161" t="b">
        <f t="array" ref="X780">index('Query Tool'!B:B,match(D780,'Query Tool'!C:C,0))</f>
        <v>1</v>
      </c>
      <c r="Y780" s="161" t="str">
        <f t="shared" si="6"/>
        <v>butleji01,2014-15</v>
      </c>
      <c r="Z780" s="168">
        <f t="array" ref="Z780">iferror(index(I:I,match($A780&amp;","&amp;index('Year Conversion'!$A:$A,match($C780,'Year Conversion'!$B:$B,0)),$Y:$Y,0))-I780,"")</f>
        <v>1</v>
      </c>
      <c r="AA780" s="168">
        <f t="array" ref="AA780">iferror(index(J:J,match($A780&amp;","&amp;index('Year Conversion'!$A:$A,match($C780,'Year Conversion'!$B:$B,0)),$Y:$Y,0))-J780,"")</f>
        <v>0.0785623588</v>
      </c>
      <c r="AB780" s="168">
        <f t="array" ref="AB780">iferror(index(K:K,match($A780&amp;","&amp;index('Year Conversion'!$A:$A,match($C780,'Year Conversion'!$B:$B,0)),$Y:$Y,0))-K780,"")</f>
        <v>-0.2185552712</v>
      </c>
      <c r="AC780" s="168" t="str">
        <f t="shared" si="7"/>
        <v>CHI,2014-15</v>
      </c>
    </row>
    <row r="781">
      <c r="A781" s="161" t="str">
        <f>IFERROR(__xludf.DUMMYFUNCTION("""COMPUTED_VALUE"""),"bogdabo02")</f>
        <v>bogdabo02</v>
      </c>
      <c r="B781" s="161" t="str">
        <f>IFERROR(__xludf.DUMMYFUNCTION("""COMPUTED_VALUE"""),"Bojan Bogdanovic")</f>
        <v>Bojan Bogdanovic</v>
      </c>
      <c r="C781" s="162" t="str">
        <f>IFERROR(__xludf.DUMMYFUNCTION("""COMPUTED_VALUE"""),"2014-15")</f>
        <v>2014-15</v>
      </c>
      <c r="D781" s="163" t="str">
        <f>IFERROR(__xludf.DUMMYFUNCTION("""COMPUTED_VALUE"""),"BRK")</f>
        <v>BRK</v>
      </c>
      <c r="E781" s="164" t="str">
        <f>IFERROR(__xludf.DUMMYFUNCTION("""COMPUTED_VALUE"""),"Athletic Finisher")</f>
        <v>Athletic Finisher</v>
      </c>
      <c r="F781" s="164">
        <f>IFERROR(__xludf.DUMMYFUNCTION("""COMPUTED_VALUE"""),1853.85833333333)</f>
        <v>1853.858333</v>
      </c>
      <c r="G781" s="163">
        <f>IFERROR(__xludf.DUMMYFUNCTION("""COMPUTED_VALUE"""),78.0)</f>
        <v>78</v>
      </c>
      <c r="H781" s="163" t="str">
        <f>IFERROR(__xludf.DUMMYFUNCTION("""COMPUTED_VALUE"""),"SF")</f>
        <v>SF</v>
      </c>
      <c r="I781" s="163">
        <f>IFERROR(__xludf.DUMMYFUNCTION("""COMPUTED_VALUE"""),25.0)</f>
        <v>25</v>
      </c>
      <c r="J781" s="165">
        <f>IFERROR(__xludf.DUMMYFUNCTION("""COMPUTED_VALUE"""),-2.51700423464631)</f>
        <v>-2.517004235</v>
      </c>
      <c r="K781" s="165">
        <f>IFERROR(__xludf.DUMMYFUNCTION("""COMPUTED_VALUE"""),-0.00481658384397454)</f>
        <v>-0.004816583844</v>
      </c>
      <c r="L781" s="165">
        <f>IFERROR(__xludf.DUMMYFUNCTION("""COMPUTED_VALUE"""),-2.51218765080233)</f>
        <v>-2.512187651</v>
      </c>
      <c r="M781" s="166">
        <f t="shared" si="2"/>
        <v>-0.2604542584</v>
      </c>
      <c r="N781" s="167">
        <f t="shared" si="3"/>
        <v>23.76741453</v>
      </c>
      <c r="O781" s="163">
        <f t="shared" ref="O781:Q781" si="785">rank(I781,I:I)</f>
        <v>1995</v>
      </c>
      <c r="P781" s="163">
        <f t="shared" si="785"/>
        <v>3760</v>
      </c>
      <c r="Q781" s="163">
        <f t="shared" si="785"/>
        <v>1208</v>
      </c>
      <c r="R781" s="163">
        <f>IFERROR(__xludf.DUMMYFUNCTION("RANK(M781,filter(M:M,C:C=C781))"),467.0)</f>
        <v>467</v>
      </c>
      <c r="S781" s="161" t="b">
        <f t="shared" si="5"/>
        <v>0</v>
      </c>
      <c r="T781" s="161" t="b">
        <f t="array" ref="T781">index('Query Tool'!B:B,match(H781,'Query Tool'!C:C,0))</f>
        <v>1</v>
      </c>
      <c r="U781" s="161" t="b">
        <f t="array" ref="U781">index('Query Tool'!B:B,match(C781,'Query Tool'!C:C,0))</f>
        <v>0</v>
      </c>
      <c r="V781" s="161" t="b">
        <f>F781&gt;='Query Tool'!C$32</f>
        <v>1</v>
      </c>
      <c r="W781" s="161" t="b">
        <f t="array" ref="W781">index(Dropdowns!B:B,match(I781,Dropdowns!A:A,0))</f>
        <v>1</v>
      </c>
      <c r="X781" s="161" t="b">
        <f t="array" ref="X781">index('Query Tool'!B:B,match(D781,'Query Tool'!C:C,0))</f>
        <v>1</v>
      </c>
      <c r="Y781" s="161" t="str">
        <f t="shared" si="6"/>
        <v>bogdabo02,2014-15</v>
      </c>
      <c r="Z781" s="168">
        <f t="array" ref="Z781">iferror(index(I:I,match($A781&amp;","&amp;index('Year Conversion'!$A:$A,match($C781,'Year Conversion'!$B:$B,0)),$Y:$Y,0))-I781,"")</f>
        <v>1</v>
      </c>
      <c r="AA781" s="168">
        <f t="array" ref="AA781">iferror(index(J:J,match($A781&amp;","&amp;index('Year Conversion'!$A:$A,match($C781,'Year Conversion'!$B:$B,0)),$Y:$Y,0))-J781,"")</f>
        <v>-0.869969219</v>
      </c>
      <c r="AB781" s="168">
        <f t="array" ref="AB781">iferror(index(K:K,match($A781&amp;","&amp;index('Year Conversion'!$A:$A,match($C781,'Year Conversion'!$B:$B,0)),$Y:$Y,0))-K781,"")</f>
        <v>-0.3693197784</v>
      </c>
      <c r="AC781" s="168" t="str">
        <f t="shared" si="7"/>
        <v>BRK,2014-15</v>
      </c>
    </row>
    <row r="782">
      <c r="A782" s="161" t="str">
        <f>IFERROR(__xludf.DUMMYFUNCTION("""COMPUTED_VALUE"""),"singlky01")</f>
        <v>singlky01</v>
      </c>
      <c r="B782" s="161" t="str">
        <f>IFERROR(__xludf.DUMMYFUNCTION("""COMPUTED_VALUE"""),"Kyle Singler")</f>
        <v>Kyle Singler</v>
      </c>
      <c r="C782" s="162" t="str">
        <f>IFERROR(__xludf.DUMMYFUNCTION("""COMPUTED_VALUE"""),"2014-15")</f>
        <v>2014-15</v>
      </c>
      <c r="D782" s="163" t="str">
        <f>IFERROR(__xludf.DUMMYFUNCTION("""COMPUTED_VALUE"""),"TOT")</f>
        <v>TOT</v>
      </c>
      <c r="E782" s="164" t="str">
        <f>IFERROR(__xludf.DUMMYFUNCTION("""COMPUTED_VALUE"""),"Stationary Shooter")</f>
        <v>Stationary Shooter</v>
      </c>
      <c r="F782" s="164">
        <f>IFERROR(__xludf.DUMMYFUNCTION("""COMPUTED_VALUE"""),1743.63833333333)</f>
        <v>1743.638333</v>
      </c>
      <c r="G782" s="163">
        <f>IFERROR(__xludf.DUMMYFUNCTION("""COMPUTED_VALUE"""),80.0)</f>
        <v>80</v>
      </c>
      <c r="H782" s="163" t="str">
        <f>IFERROR(__xludf.DUMMYFUNCTION("""COMPUTED_VALUE"""),"SF")</f>
        <v>SF</v>
      </c>
      <c r="I782" s="163">
        <f>IFERROR(__xludf.DUMMYFUNCTION("""COMPUTED_VALUE"""),26.0)</f>
        <v>26</v>
      </c>
      <c r="J782" s="165">
        <f>IFERROR(__xludf.DUMMYFUNCTION("""COMPUTED_VALUE"""),-2.52995554146547)</f>
        <v>-2.529955541</v>
      </c>
      <c r="K782" s="165">
        <f>IFERROR(__xludf.DUMMYFUNCTION("""COMPUTED_VALUE"""),-1.55312989077513)</f>
        <v>-1.553129891</v>
      </c>
      <c r="L782" s="165">
        <f>IFERROR(__xludf.DUMMYFUNCTION("""COMPUTED_VALUE"""),-0.976825650690335)</f>
        <v>-0.9768256507</v>
      </c>
      <c r="M782" s="166">
        <f t="shared" si="2"/>
        <v>-0.2597969103</v>
      </c>
      <c r="N782" s="167">
        <f t="shared" si="3"/>
        <v>21.79547917</v>
      </c>
      <c r="O782" s="163">
        <f t="shared" ref="O782:Q782" si="786">rank(I782,I:I)</f>
        <v>1665</v>
      </c>
      <c r="P782" s="163">
        <f t="shared" si="786"/>
        <v>3765</v>
      </c>
      <c r="Q782" s="163">
        <f t="shared" si="786"/>
        <v>3405</v>
      </c>
      <c r="R782" s="163">
        <f>IFERROR(__xludf.DUMMYFUNCTION("RANK(M782,filter(M:M,C:C=C782))"),466.0)</f>
        <v>466</v>
      </c>
      <c r="S782" s="161" t="b">
        <f t="shared" si="5"/>
        <v>0</v>
      </c>
      <c r="T782" s="161" t="b">
        <f t="array" ref="T782">index('Query Tool'!B:B,match(H782,'Query Tool'!C:C,0))</f>
        <v>1</v>
      </c>
      <c r="U782" s="161" t="b">
        <f t="array" ref="U782">index('Query Tool'!B:B,match(C782,'Query Tool'!C:C,0))</f>
        <v>0</v>
      </c>
      <c r="V782" s="161" t="b">
        <f>F782&gt;='Query Tool'!C$32</f>
        <v>1</v>
      </c>
      <c r="W782" s="161" t="b">
        <f t="array" ref="W782">index(Dropdowns!B:B,match(I782,Dropdowns!A:A,0))</f>
        <v>1</v>
      </c>
      <c r="X782" s="161" t="b">
        <f t="array" ref="X782">index('Query Tool'!B:B,match(D782,'Query Tool'!C:C,0))</f>
        <v>1</v>
      </c>
      <c r="Y782" s="161" t="str">
        <f t="shared" si="6"/>
        <v>singlky01,2014-15</v>
      </c>
      <c r="Z782" s="168">
        <f t="array" ref="Z782">iferror(index(I:I,match($A782&amp;","&amp;index('Year Conversion'!$A:$A,match($C782,'Year Conversion'!$B:$B,0)),$Y:$Y,0))-I782,"")</f>
        <v>1</v>
      </c>
      <c r="AA782" s="168">
        <f t="array" ref="AA782">iferror(index(J:J,match($A782&amp;","&amp;index('Year Conversion'!$A:$A,match($C782,'Year Conversion'!$B:$B,0)),$Y:$Y,0))-J782,"")</f>
        <v>-0.5321108122</v>
      </c>
      <c r="AB782" s="168">
        <f t="array" ref="AB782">iferror(index(K:K,match($A782&amp;","&amp;index('Year Conversion'!$A:$A,match($C782,'Year Conversion'!$B:$B,0)),$Y:$Y,0))-K782,"")</f>
        <v>-0.4182190768</v>
      </c>
      <c r="AC782" s="168" t="str">
        <f t="shared" si="7"/>
        <v>TOT,2014-15</v>
      </c>
    </row>
    <row r="783">
      <c r="A783" s="161" t="str">
        <f>IFERROR(__xludf.DUMMYFUNCTION("""COMPUTED_VALUE"""),"macksh01")</f>
        <v>macksh01</v>
      </c>
      <c r="B783" s="161" t="str">
        <f>IFERROR(__xludf.DUMMYFUNCTION("""COMPUTED_VALUE"""),"Shelvin Mack")</f>
        <v>Shelvin Mack</v>
      </c>
      <c r="C783" s="162" t="str">
        <f>IFERROR(__xludf.DUMMYFUNCTION("""COMPUTED_VALUE"""),"2014-15")</f>
        <v>2014-15</v>
      </c>
      <c r="D783" s="163" t="str">
        <f>IFERROR(__xludf.DUMMYFUNCTION("""COMPUTED_VALUE"""),"ATL")</f>
        <v>ATL</v>
      </c>
      <c r="E783" s="164" t="str">
        <f>IFERROR(__xludf.DUMMYFUNCTION("""COMPUTED_VALUE"""),"Secondary Ball Handler")</f>
        <v>Secondary Ball Handler</v>
      </c>
      <c r="F783" s="164">
        <f>IFERROR(__xludf.DUMMYFUNCTION("""COMPUTED_VALUE"""),832.768333333333)</f>
        <v>832.7683333</v>
      </c>
      <c r="G783" s="163">
        <f>IFERROR(__xludf.DUMMYFUNCTION("""COMPUTED_VALUE"""),55.0)</f>
        <v>55</v>
      </c>
      <c r="H783" s="163" t="str">
        <f>IFERROR(__xludf.DUMMYFUNCTION("""COMPUTED_VALUE"""),"PG")</f>
        <v>PG</v>
      </c>
      <c r="I783" s="163">
        <f>IFERROR(__xludf.DUMMYFUNCTION("""COMPUTED_VALUE"""),24.0)</f>
        <v>24</v>
      </c>
      <c r="J783" s="165">
        <f>IFERROR(__xludf.DUMMYFUNCTION("""COMPUTED_VALUE"""),-0.936845585437017)</f>
        <v>-0.9368455854</v>
      </c>
      <c r="K783" s="165">
        <f>IFERROR(__xludf.DUMMYFUNCTION("""COMPUTED_VALUE"""),0.206647755539754)</f>
        <v>0.2066477555</v>
      </c>
      <c r="L783" s="165">
        <f>IFERROR(__xludf.DUMMYFUNCTION("""COMPUTED_VALUE"""),-1.14349334097677)</f>
        <v>-1.143493341</v>
      </c>
      <c r="M783" s="166">
        <f t="shared" si="2"/>
        <v>0.7585052905</v>
      </c>
      <c r="N783" s="167">
        <f t="shared" si="3"/>
        <v>15.14124242</v>
      </c>
      <c r="O783" s="163">
        <f t="shared" ref="O783:Q783" si="787">rank(I783,I:I)</f>
        <v>2361</v>
      </c>
      <c r="P783" s="163">
        <f t="shared" si="787"/>
        <v>2433</v>
      </c>
      <c r="Q783" s="163">
        <f t="shared" si="787"/>
        <v>977</v>
      </c>
      <c r="R783" s="163">
        <f>IFERROR(__xludf.DUMMYFUNCTION("RANK(M783,filter(M:M,C:C=C783))"),253.0)</f>
        <v>253</v>
      </c>
      <c r="S783" s="161" t="b">
        <f t="shared" si="5"/>
        <v>0</v>
      </c>
      <c r="T783" s="161" t="b">
        <f t="array" ref="T783">index('Query Tool'!B:B,match(H783,'Query Tool'!C:C,0))</f>
        <v>1</v>
      </c>
      <c r="U783" s="161" t="b">
        <f t="array" ref="U783">index('Query Tool'!B:B,match(C783,'Query Tool'!C:C,0))</f>
        <v>0</v>
      </c>
      <c r="V783" s="161" t="b">
        <f>F783&gt;='Query Tool'!C$32</f>
        <v>1</v>
      </c>
      <c r="W783" s="161" t="b">
        <f t="array" ref="W783">index(Dropdowns!B:B,match(I783,Dropdowns!A:A,0))</f>
        <v>1</v>
      </c>
      <c r="X783" s="161" t="b">
        <f t="array" ref="X783">index('Query Tool'!B:B,match(D783,'Query Tool'!C:C,0))</f>
        <v>1</v>
      </c>
      <c r="Y783" s="161" t="str">
        <f t="shared" si="6"/>
        <v>macksh01,2014-15</v>
      </c>
      <c r="Z783" s="168">
        <f t="array" ref="Z783">iferror(index(I:I,match($A783&amp;","&amp;index('Year Conversion'!$A:$A,match($C783,'Year Conversion'!$B:$B,0)),$Y:$Y,0))-I783,"")</f>
        <v>1</v>
      </c>
      <c r="AA783" s="168">
        <f t="array" ref="AA783">iferror(index(J:J,match($A783&amp;","&amp;index('Year Conversion'!$A:$A,match($C783,'Year Conversion'!$B:$B,0)),$Y:$Y,0))-J783,"")</f>
        <v>0.4366588335</v>
      </c>
      <c r="AB783" s="168">
        <f t="array" ref="AB783">iferror(index(K:K,match($A783&amp;","&amp;index('Year Conversion'!$A:$A,match($C783,'Year Conversion'!$B:$B,0)),$Y:$Y,0))-K783,"")</f>
        <v>-0.1882870377</v>
      </c>
      <c r="AC783" s="168" t="str">
        <f t="shared" si="7"/>
        <v>ATL,2014-15</v>
      </c>
    </row>
    <row r="784">
      <c r="A784" s="161" t="str">
        <f>IFERROR(__xludf.DUMMYFUNCTION("""COMPUTED_VALUE"""),"parsoch01")</f>
        <v>parsoch01</v>
      </c>
      <c r="B784" s="161" t="str">
        <f>IFERROR(__xludf.DUMMYFUNCTION("""COMPUTED_VALUE"""),"Chandler Parsons")</f>
        <v>Chandler Parsons</v>
      </c>
      <c r="C784" s="162" t="str">
        <f>IFERROR(__xludf.DUMMYFUNCTION("""COMPUTED_VALUE"""),"2014-15")</f>
        <v>2014-15</v>
      </c>
      <c r="D784" s="163" t="str">
        <f>IFERROR(__xludf.DUMMYFUNCTION("""COMPUTED_VALUE"""),"DAL")</f>
        <v>DAL</v>
      </c>
      <c r="E784" s="164" t="str">
        <f>IFERROR(__xludf.DUMMYFUNCTION("""COMPUTED_VALUE"""),"Movement Shooter")</f>
        <v>Movement Shooter</v>
      </c>
      <c r="F784" s="164">
        <f>IFERROR(__xludf.DUMMYFUNCTION("""COMPUTED_VALUE"""),2186.175)</f>
        <v>2186.175</v>
      </c>
      <c r="G784" s="163">
        <f>IFERROR(__xludf.DUMMYFUNCTION("""COMPUTED_VALUE"""),66.0)</f>
        <v>66</v>
      </c>
      <c r="H784" s="163" t="str">
        <f>IFERROR(__xludf.DUMMYFUNCTION("""COMPUTED_VALUE"""),"SF")</f>
        <v>SF</v>
      </c>
      <c r="I784" s="163">
        <f>IFERROR(__xludf.DUMMYFUNCTION("""COMPUTED_VALUE"""),26.0)</f>
        <v>26</v>
      </c>
      <c r="J784" s="165">
        <f>IFERROR(__xludf.DUMMYFUNCTION("""COMPUTED_VALUE"""),1.24415530880066)</f>
        <v>1.244155309</v>
      </c>
      <c r="K784" s="165">
        <f>IFERROR(__xludf.DUMMYFUNCTION("""COMPUTED_VALUE"""),1.53962609687459)</f>
        <v>1.539626097</v>
      </c>
      <c r="L784" s="165">
        <f>IFERROR(__xludf.DUMMYFUNCTION("""COMPUTED_VALUE"""),-0.29547078807392)</f>
        <v>-0.2954707881</v>
      </c>
      <c r="M784" s="166">
        <f t="shared" si="2"/>
        <v>5.200176725</v>
      </c>
      <c r="N784" s="167">
        <f t="shared" si="3"/>
        <v>33.12386364</v>
      </c>
      <c r="O784" s="163">
        <f t="shared" ref="O784:Q784" si="788">rank(I784,I:I)</f>
        <v>1665</v>
      </c>
      <c r="P784" s="163">
        <f t="shared" si="788"/>
        <v>551</v>
      </c>
      <c r="Q784" s="163">
        <f t="shared" si="788"/>
        <v>307</v>
      </c>
      <c r="R784" s="163">
        <f>IFERROR(__xludf.DUMMYFUNCTION("RANK(M784,filter(M:M,C:C=C784))"),55.0)</f>
        <v>55</v>
      </c>
      <c r="S784" s="161" t="b">
        <f t="shared" si="5"/>
        <v>0</v>
      </c>
      <c r="T784" s="161" t="b">
        <f t="array" ref="T784">index('Query Tool'!B:B,match(H784,'Query Tool'!C:C,0))</f>
        <v>1</v>
      </c>
      <c r="U784" s="161" t="b">
        <f t="array" ref="U784">index('Query Tool'!B:B,match(C784,'Query Tool'!C:C,0))</f>
        <v>0</v>
      </c>
      <c r="V784" s="161" t="b">
        <f>F784&gt;='Query Tool'!C$32</f>
        <v>1</v>
      </c>
      <c r="W784" s="161" t="b">
        <f t="array" ref="W784">index(Dropdowns!B:B,match(I784,Dropdowns!A:A,0))</f>
        <v>1</v>
      </c>
      <c r="X784" s="161" t="b">
        <f t="array" ref="X784">index('Query Tool'!B:B,match(D784,'Query Tool'!C:C,0))</f>
        <v>1</v>
      </c>
      <c r="Y784" s="161" t="str">
        <f t="shared" si="6"/>
        <v>parsoch01,2014-15</v>
      </c>
      <c r="Z784" s="168">
        <f t="array" ref="Z784">iferror(index(I:I,match($A784&amp;","&amp;index('Year Conversion'!$A:$A,match($C784,'Year Conversion'!$B:$B,0)),$Y:$Y,0))-I784,"")</f>
        <v>1</v>
      </c>
      <c r="AA784" s="168">
        <f t="array" ref="AA784">iferror(index(J:J,match($A784&amp;","&amp;index('Year Conversion'!$A:$A,match($C784,'Year Conversion'!$B:$B,0)),$Y:$Y,0))-J784,"")</f>
        <v>-1.736929354</v>
      </c>
      <c r="AB784" s="168">
        <f t="array" ref="AB784">iferror(index(K:K,match($A784&amp;","&amp;index('Year Conversion'!$A:$A,match($C784,'Year Conversion'!$B:$B,0)),$Y:$Y,0))-K784,"")</f>
        <v>-1.710072269</v>
      </c>
      <c r="AC784" s="168" t="str">
        <f t="shared" si="7"/>
        <v>DAL,2014-15</v>
      </c>
    </row>
    <row r="785">
      <c r="A785" s="161" t="str">
        <f>IFERROR(__xludf.DUMMYFUNCTION("""COMPUTED_VALUE"""),"leuerjo01")</f>
        <v>leuerjo01</v>
      </c>
      <c r="B785" s="161" t="str">
        <f>IFERROR(__xludf.DUMMYFUNCTION("""COMPUTED_VALUE"""),"Jon Leuer")</f>
        <v>Jon Leuer</v>
      </c>
      <c r="C785" s="162" t="str">
        <f>IFERROR(__xludf.DUMMYFUNCTION("""COMPUTED_VALUE"""),"2014-15")</f>
        <v>2014-15</v>
      </c>
      <c r="D785" s="163" t="str">
        <f>IFERROR(__xludf.DUMMYFUNCTION("""COMPUTED_VALUE"""),"MEM")</f>
        <v>MEM</v>
      </c>
      <c r="E785" s="164" t="str">
        <f>IFERROR(__xludf.DUMMYFUNCTION("""COMPUTED_VALUE"""),"Roll + Cut Big")</f>
        <v>Roll + Cut Big</v>
      </c>
      <c r="F785" s="164">
        <f>IFERROR(__xludf.DUMMYFUNCTION("""COMPUTED_VALUE"""),824.013333333333)</f>
        <v>824.0133333</v>
      </c>
      <c r="G785" s="163">
        <f>IFERROR(__xludf.DUMMYFUNCTION("""COMPUTED_VALUE"""),63.0)</f>
        <v>63</v>
      </c>
      <c r="H785" s="163" t="str">
        <f>IFERROR(__xludf.DUMMYFUNCTION("""COMPUTED_VALUE"""),"PF")</f>
        <v>PF</v>
      </c>
      <c r="I785" s="163">
        <f>IFERROR(__xludf.DUMMYFUNCTION("""COMPUTED_VALUE"""),25.0)</f>
        <v>25</v>
      </c>
      <c r="J785" s="165">
        <f>IFERROR(__xludf.DUMMYFUNCTION("""COMPUTED_VALUE"""),-1.23591824064454)</f>
        <v>-1.235918241</v>
      </c>
      <c r="K785" s="165">
        <f>IFERROR(__xludf.DUMMYFUNCTION("""COMPUTED_VALUE"""),-1.3300655456834)</f>
        <v>-1.330065546</v>
      </c>
      <c r="L785" s="165">
        <f>IFERROR(__xludf.DUMMYFUNCTION("""COMPUTED_VALUE"""),0.0941473050388552)</f>
        <v>0.09414730504</v>
      </c>
      <c r="M785" s="166">
        <f t="shared" si="2"/>
        <v>0.5852033983</v>
      </c>
      <c r="N785" s="167">
        <f t="shared" si="3"/>
        <v>13.07957672</v>
      </c>
      <c r="O785" s="163">
        <f t="shared" ref="O785:Q785" si="789">rank(I785,I:I)</f>
        <v>1995</v>
      </c>
      <c r="P785" s="163">
        <f t="shared" si="789"/>
        <v>2795</v>
      </c>
      <c r="Q785" s="163">
        <f t="shared" si="789"/>
        <v>3181</v>
      </c>
      <c r="R785" s="163">
        <f>IFERROR(__xludf.DUMMYFUNCTION("RANK(M785,filter(M:M,C:C=C785))"),275.0)</f>
        <v>275</v>
      </c>
      <c r="S785" s="161" t="b">
        <f t="shared" si="5"/>
        <v>0</v>
      </c>
      <c r="T785" s="161" t="b">
        <f t="array" ref="T785">index('Query Tool'!B:B,match(H785,'Query Tool'!C:C,0))</f>
        <v>1</v>
      </c>
      <c r="U785" s="161" t="b">
        <f t="array" ref="U785">index('Query Tool'!B:B,match(C785,'Query Tool'!C:C,0))</f>
        <v>0</v>
      </c>
      <c r="V785" s="161" t="b">
        <f>F785&gt;='Query Tool'!C$32</f>
        <v>1</v>
      </c>
      <c r="W785" s="161" t="b">
        <f t="array" ref="W785">index(Dropdowns!B:B,match(I785,Dropdowns!A:A,0))</f>
        <v>1</v>
      </c>
      <c r="X785" s="161" t="b">
        <f t="array" ref="X785">index('Query Tool'!B:B,match(D785,'Query Tool'!C:C,0))</f>
        <v>1</v>
      </c>
      <c r="Y785" s="161" t="str">
        <f t="shared" si="6"/>
        <v>leuerjo01,2014-15</v>
      </c>
      <c r="Z785" s="168">
        <f t="array" ref="Z785">iferror(index(I:I,match($A785&amp;","&amp;index('Year Conversion'!$A:$A,match($C785,'Year Conversion'!$B:$B,0)),$Y:$Y,0))-I785,"")</f>
        <v>1</v>
      </c>
      <c r="AA785" s="168">
        <f t="array" ref="AA785">iferror(index(J:J,match($A785&amp;","&amp;index('Year Conversion'!$A:$A,match($C785,'Year Conversion'!$B:$B,0)),$Y:$Y,0))-J785,"")</f>
        <v>0.7221992021</v>
      </c>
      <c r="AB785" s="168">
        <f t="array" ref="AB785">iferror(index(K:K,match($A785&amp;","&amp;index('Year Conversion'!$A:$A,match($C785,'Year Conversion'!$B:$B,0)),$Y:$Y,0))-K785,"")</f>
        <v>0.2720903585</v>
      </c>
      <c r="AC785" s="168" t="str">
        <f t="shared" si="7"/>
        <v>MEM,2014-15</v>
      </c>
    </row>
    <row r="786">
      <c r="A786" s="161" t="str">
        <f>IFERROR(__xludf.DUMMYFUNCTION("""COMPUTED_VALUE"""),"morrida01")</f>
        <v>morrida01</v>
      </c>
      <c r="B786" s="161" t="str">
        <f>IFERROR(__xludf.DUMMYFUNCTION("""COMPUTED_VALUE"""),"Darius Morris")</f>
        <v>Darius Morris</v>
      </c>
      <c r="C786" s="162" t="str">
        <f>IFERROR(__xludf.DUMMYFUNCTION("""COMPUTED_VALUE"""),"2014-15")</f>
        <v>2014-15</v>
      </c>
      <c r="D786" s="163" t="str">
        <f>IFERROR(__xludf.DUMMYFUNCTION("""COMPUTED_VALUE"""),"BRK")</f>
        <v>BRK</v>
      </c>
      <c r="E786" s="164" t="str">
        <f>IFERROR(__xludf.DUMMYFUNCTION("""COMPUTED_VALUE"""),"Secondary Ball Handler")</f>
        <v>Secondary Ball Handler</v>
      </c>
      <c r="F786" s="164">
        <f>IFERROR(__xludf.DUMMYFUNCTION("""COMPUTED_VALUE"""),299.228333333333)</f>
        <v>299.2283333</v>
      </c>
      <c r="G786" s="163">
        <f>IFERROR(__xludf.DUMMYFUNCTION("""COMPUTED_VALUE"""),38.0)</f>
        <v>38</v>
      </c>
      <c r="H786" s="163" t="str">
        <f>IFERROR(__xludf.DUMMYFUNCTION("""COMPUTED_VALUE"""),"PG")</f>
        <v>PG</v>
      </c>
      <c r="I786" s="163">
        <f>IFERROR(__xludf.DUMMYFUNCTION("""COMPUTED_VALUE"""),24.0)</f>
        <v>24</v>
      </c>
      <c r="J786" s="165">
        <f>IFERROR(__xludf.DUMMYFUNCTION("""COMPUTED_VALUE"""),-2.33372112220305)</f>
        <v>-2.333721122</v>
      </c>
      <c r="K786" s="165">
        <f>IFERROR(__xludf.DUMMYFUNCTION("""COMPUTED_VALUE"""),-0.924428339252472)</f>
        <v>-0.9244283393</v>
      </c>
      <c r="L786" s="165">
        <f>IFERROR(__xludf.DUMMYFUNCTION("""COMPUTED_VALUE"""),-1.40929278295058)</f>
        <v>-1.409292783</v>
      </c>
      <c r="M786" s="166">
        <f t="shared" si="2"/>
        <v>-0.005956837336</v>
      </c>
      <c r="N786" s="167">
        <f t="shared" si="3"/>
        <v>7.874429825</v>
      </c>
      <c r="O786" s="163">
        <f t="shared" ref="O786:Q786" si="790">rank(I786,I:I)</f>
        <v>2361</v>
      </c>
      <c r="P786" s="163">
        <f t="shared" si="790"/>
        <v>3673</v>
      </c>
      <c r="Q786" s="163">
        <f t="shared" si="790"/>
        <v>2720</v>
      </c>
      <c r="R786" s="163">
        <f>IFERROR(__xludf.DUMMYFUNCTION("RANK(M786,filter(M:M,C:C=C786))"),444.0)</f>
        <v>444</v>
      </c>
      <c r="S786" s="161" t="b">
        <f t="shared" si="5"/>
        <v>0</v>
      </c>
      <c r="T786" s="161" t="b">
        <f t="array" ref="T786">index('Query Tool'!B:B,match(H786,'Query Tool'!C:C,0))</f>
        <v>1</v>
      </c>
      <c r="U786" s="161" t="b">
        <f t="array" ref="U786">index('Query Tool'!B:B,match(C786,'Query Tool'!C:C,0))</f>
        <v>0</v>
      </c>
      <c r="V786" s="161" t="b">
        <f>F786&gt;='Query Tool'!C$32</f>
        <v>0</v>
      </c>
      <c r="W786" s="161" t="b">
        <f t="array" ref="W786">index(Dropdowns!B:B,match(I786,Dropdowns!A:A,0))</f>
        <v>1</v>
      </c>
      <c r="X786" s="161" t="b">
        <f t="array" ref="X786">index('Query Tool'!B:B,match(D786,'Query Tool'!C:C,0))</f>
        <v>1</v>
      </c>
      <c r="Y786" s="161" t="str">
        <f t="shared" si="6"/>
        <v>morrida01,2014-15</v>
      </c>
      <c r="Z786" s="168" t="str">
        <f t="array" ref="Z786">iferror(index(I:I,match($A786&amp;","&amp;index('Year Conversion'!$A:$A,match($C786,'Year Conversion'!$B:$B,0)),$Y:$Y,0))-I786,"")</f>
        <v/>
      </c>
      <c r="AA786" s="168" t="str">
        <f t="array" ref="AA786">iferror(index(J:J,match($A786&amp;","&amp;index('Year Conversion'!$A:$A,match($C786,'Year Conversion'!$B:$B,0)),$Y:$Y,0))-J786,"")</f>
        <v/>
      </c>
      <c r="AB786" s="168" t="str">
        <f t="array" ref="AB786">iferror(index(K:K,match($A786&amp;","&amp;index('Year Conversion'!$A:$A,match($C786,'Year Conversion'!$B:$B,0)),$Y:$Y,0))-K786,"")</f>
        <v/>
      </c>
      <c r="AC786" s="168" t="str">
        <f t="shared" si="7"/>
        <v>BRK,2014-15</v>
      </c>
    </row>
    <row r="787">
      <c r="A787" s="161" t="str">
        <f>IFERROR(__xludf.DUMMYFUNCTION("""COMPUTED_VALUE"""),"leema01")</f>
        <v>leema01</v>
      </c>
      <c r="B787" s="161" t="str">
        <f>IFERROR(__xludf.DUMMYFUNCTION("""COMPUTED_VALUE"""),"Malcolm Lee")</f>
        <v>Malcolm Lee</v>
      </c>
      <c r="C787" s="162" t="str">
        <f>IFERROR(__xludf.DUMMYFUNCTION("""COMPUTED_VALUE"""),"2014-15")</f>
        <v>2014-15</v>
      </c>
      <c r="D787" s="163" t="str">
        <f>IFERROR(__xludf.DUMMYFUNCTION("""COMPUTED_VALUE"""),"PHI")</f>
        <v>PHI</v>
      </c>
      <c r="E787" s="164" t="str">
        <f>IFERROR(__xludf.DUMMYFUNCTION("""COMPUTED_VALUE"""),"Slasher")</f>
        <v>Slasher</v>
      </c>
      <c r="F787" s="164">
        <f>IFERROR(__xludf.DUMMYFUNCTION("""COMPUTED_VALUE"""),2.01666666666667)</f>
        <v>2.016666667</v>
      </c>
      <c r="G787" s="163">
        <f>IFERROR(__xludf.DUMMYFUNCTION("""COMPUTED_VALUE"""),1.0)</f>
        <v>1</v>
      </c>
      <c r="H787" s="163" t="str">
        <f>IFERROR(__xludf.DUMMYFUNCTION("""COMPUTED_VALUE"""),"SG")</f>
        <v>SG</v>
      </c>
      <c r="I787" s="163">
        <f>IFERROR(__xludf.DUMMYFUNCTION("""COMPUTED_VALUE"""),24.0)</f>
        <v>24</v>
      </c>
      <c r="J787" s="165">
        <f>IFERROR(__xludf.DUMMYFUNCTION("""COMPUTED_VALUE"""),-0.360759380574185)</f>
        <v>-0.3607593806</v>
      </c>
      <c r="K787" s="165">
        <f>IFERROR(__xludf.DUMMYFUNCTION("""COMPUTED_VALUE"""),-0.287735769025259)</f>
        <v>-0.287735769</v>
      </c>
      <c r="L787" s="165">
        <f>IFERROR(__xludf.DUMMYFUNCTION("""COMPUTED_VALUE"""),-0.0730236115489261)</f>
        <v>-0.07302361155</v>
      </c>
      <c r="M787" s="166">
        <f t="shared" si="2"/>
        <v>0.002618622167</v>
      </c>
      <c r="N787" s="167">
        <f t="shared" si="3"/>
        <v>2.016666667</v>
      </c>
      <c r="O787" s="163">
        <f t="shared" ref="O787:Q787" si="791">rank(I787,I:I)</f>
        <v>2361</v>
      </c>
      <c r="P787" s="163">
        <f t="shared" si="791"/>
        <v>1681</v>
      </c>
      <c r="Q787" s="163">
        <f t="shared" si="791"/>
        <v>1742</v>
      </c>
      <c r="R787" s="163">
        <f>IFERROR(__xludf.DUMMYFUNCTION("RANK(M787,filter(M:M,C:C=C787))"),440.0)</f>
        <v>440</v>
      </c>
      <c r="S787" s="161" t="b">
        <f t="shared" si="5"/>
        <v>0</v>
      </c>
      <c r="T787" s="161" t="b">
        <f t="array" ref="T787">index('Query Tool'!B:B,match(H787,'Query Tool'!C:C,0))</f>
        <v>1</v>
      </c>
      <c r="U787" s="161" t="b">
        <f t="array" ref="U787">index('Query Tool'!B:B,match(C787,'Query Tool'!C:C,0))</f>
        <v>0</v>
      </c>
      <c r="V787" s="161" t="b">
        <f>F787&gt;='Query Tool'!C$32</f>
        <v>0</v>
      </c>
      <c r="W787" s="161" t="b">
        <f t="array" ref="W787">index(Dropdowns!B:B,match(I787,Dropdowns!A:A,0))</f>
        <v>1</v>
      </c>
      <c r="X787" s="161" t="b">
        <f t="array" ref="X787">index('Query Tool'!B:B,match(D787,'Query Tool'!C:C,0))</f>
        <v>1</v>
      </c>
      <c r="Y787" s="161" t="str">
        <f t="shared" si="6"/>
        <v>leema01,2014-15</v>
      </c>
      <c r="Z787" s="168" t="str">
        <f t="array" ref="Z787">iferror(index(I:I,match($A787&amp;","&amp;index('Year Conversion'!$A:$A,match($C787,'Year Conversion'!$B:$B,0)),$Y:$Y,0))-I787,"")</f>
        <v/>
      </c>
      <c r="AA787" s="168" t="str">
        <f t="array" ref="AA787">iferror(index(J:J,match($A787&amp;","&amp;index('Year Conversion'!$A:$A,match($C787,'Year Conversion'!$B:$B,0)),$Y:$Y,0))-J787,"")</f>
        <v/>
      </c>
      <c r="AB787" s="168" t="str">
        <f t="array" ref="AB787">iferror(index(K:K,match($A787&amp;","&amp;index('Year Conversion'!$A:$A,match($C787,'Year Conversion'!$B:$B,0)),$Y:$Y,0))-K787,"")</f>
        <v/>
      </c>
      <c r="AC787" s="168" t="str">
        <f t="shared" si="7"/>
        <v>PHI,2014-15</v>
      </c>
    </row>
    <row r="788">
      <c r="A788" s="161" t="str">
        <f>IFERROR(__xludf.DUMMYFUNCTION("""COMPUTED_VALUE"""),"allenla01")</f>
        <v>allenla01</v>
      </c>
      <c r="B788" s="161" t="str">
        <f>IFERROR(__xludf.DUMMYFUNCTION("""COMPUTED_VALUE"""),"Lavoy Allen")</f>
        <v>Lavoy Allen</v>
      </c>
      <c r="C788" s="162" t="str">
        <f>IFERROR(__xludf.DUMMYFUNCTION("""COMPUTED_VALUE"""),"2014-15")</f>
        <v>2014-15</v>
      </c>
      <c r="D788" s="163" t="str">
        <f>IFERROR(__xludf.DUMMYFUNCTION("""COMPUTED_VALUE"""),"IND")</f>
        <v>IND</v>
      </c>
      <c r="E788" s="164" t="str">
        <f>IFERROR(__xludf.DUMMYFUNCTION("""COMPUTED_VALUE"""),"Roll + Cut Big")</f>
        <v>Roll + Cut Big</v>
      </c>
      <c r="F788" s="164">
        <f>IFERROR(__xludf.DUMMYFUNCTION("""COMPUTED_VALUE"""),1070.04833333333)</f>
        <v>1070.048333</v>
      </c>
      <c r="G788" s="163">
        <f>IFERROR(__xludf.DUMMYFUNCTION("""COMPUTED_VALUE"""),63.0)</f>
        <v>63</v>
      </c>
      <c r="H788" s="163" t="str">
        <f>IFERROR(__xludf.DUMMYFUNCTION("""COMPUTED_VALUE"""),"C")</f>
        <v>C</v>
      </c>
      <c r="I788" s="163">
        <f>IFERROR(__xludf.DUMMYFUNCTION("""COMPUTED_VALUE"""),25.0)</f>
        <v>25</v>
      </c>
      <c r="J788" s="165">
        <f>IFERROR(__xludf.DUMMYFUNCTION("""COMPUTED_VALUE"""),1.27244504542802)</f>
        <v>1.272445045</v>
      </c>
      <c r="K788" s="165">
        <f>IFERROR(__xludf.DUMMYFUNCTION("""COMPUTED_VALUE"""),-0.0813747341066868)</f>
        <v>-0.08137473411</v>
      </c>
      <c r="L788" s="165">
        <f>IFERROR(__xludf.DUMMYFUNCTION("""COMPUTED_VALUE"""),1.35381977953471)</f>
        <v>1.35381978</v>
      </c>
      <c r="M788" s="166">
        <f t="shared" si="2"/>
        <v>2.565560492</v>
      </c>
      <c r="N788" s="167">
        <f t="shared" si="3"/>
        <v>16.98489418</v>
      </c>
      <c r="O788" s="163">
        <f t="shared" ref="O788:Q788" si="792">rank(I788,I:I)</f>
        <v>1995</v>
      </c>
      <c r="P788" s="163">
        <f t="shared" si="792"/>
        <v>538</v>
      </c>
      <c r="Q788" s="163">
        <f t="shared" si="792"/>
        <v>1327</v>
      </c>
      <c r="R788" s="163">
        <f>IFERROR(__xludf.DUMMYFUNCTION("RANK(M788,filter(M:M,C:C=C788))"),138.0)</f>
        <v>138</v>
      </c>
      <c r="S788" s="161" t="b">
        <f t="shared" si="5"/>
        <v>0</v>
      </c>
      <c r="T788" s="161" t="b">
        <f t="array" ref="T788">index('Query Tool'!B:B,match(H788,'Query Tool'!C:C,0))</f>
        <v>1</v>
      </c>
      <c r="U788" s="161" t="b">
        <f t="array" ref="U788">index('Query Tool'!B:B,match(C788,'Query Tool'!C:C,0))</f>
        <v>0</v>
      </c>
      <c r="V788" s="161" t="b">
        <f>F788&gt;='Query Tool'!C$32</f>
        <v>1</v>
      </c>
      <c r="W788" s="161" t="b">
        <f t="array" ref="W788">index(Dropdowns!B:B,match(I788,Dropdowns!A:A,0))</f>
        <v>1</v>
      </c>
      <c r="X788" s="161" t="b">
        <f t="array" ref="X788">index('Query Tool'!B:B,match(D788,'Query Tool'!C:C,0))</f>
        <v>1</v>
      </c>
      <c r="Y788" s="161" t="str">
        <f t="shared" si="6"/>
        <v>allenla01,2014-15</v>
      </c>
      <c r="Z788" s="168">
        <f t="array" ref="Z788">iferror(index(I:I,match($A788&amp;","&amp;index('Year Conversion'!$A:$A,match($C788,'Year Conversion'!$B:$B,0)),$Y:$Y,0))-I788,"")</f>
        <v>1</v>
      </c>
      <c r="AA788" s="168">
        <f t="array" ref="AA788">iferror(index(J:J,match($A788&amp;","&amp;index('Year Conversion'!$A:$A,match($C788,'Year Conversion'!$B:$B,0)),$Y:$Y,0))-J788,"")</f>
        <v>-1.479229847</v>
      </c>
      <c r="AB788" s="168">
        <f t="array" ref="AB788">iferror(index(K:K,match($A788&amp;","&amp;index('Year Conversion'!$A:$A,match($C788,'Year Conversion'!$B:$B,0)),$Y:$Y,0))-K788,"")</f>
        <v>-0.8786414464</v>
      </c>
      <c r="AC788" s="168" t="str">
        <f t="shared" si="7"/>
        <v>IND,2014-15</v>
      </c>
    </row>
    <row r="789">
      <c r="A789" s="161" t="str">
        <f>IFERROR(__xludf.DUMMYFUNCTION("""COMPUTED_VALUE"""),"mooreet01")</f>
        <v>mooreet01</v>
      </c>
      <c r="B789" s="161" t="str">
        <f>IFERROR(__xludf.DUMMYFUNCTION("""COMPUTED_VALUE"""),"E'Twaun Moore")</f>
        <v>E'Twaun Moore</v>
      </c>
      <c r="C789" s="162" t="str">
        <f>IFERROR(__xludf.DUMMYFUNCTION("""COMPUTED_VALUE"""),"2014-15")</f>
        <v>2014-15</v>
      </c>
      <c r="D789" s="163" t="str">
        <f>IFERROR(__xludf.DUMMYFUNCTION("""COMPUTED_VALUE"""),"CHI")</f>
        <v>CHI</v>
      </c>
      <c r="E789" s="164" t="str">
        <f>IFERROR(__xludf.DUMMYFUNCTION("""COMPUTED_VALUE"""),"Stationary Shooter")</f>
        <v>Stationary Shooter</v>
      </c>
      <c r="F789" s="164">
        <f>IFERROR(__xludf.DUMMYFUNCTION("""COMPUTED_VALUE"""),504.288333333333)</f>
        <v>504.2883333</v>
      </c>
      <c r="G789" s="163">
        <f>IFERROR(__xludf.DUMMYFUNCTION("""COMPUTED_VALUE"""),56.0)</f>
        <v>56</v>
      </c>
      <c r="H789" s="163" t="str">
        <f>IFERROR(__xludf.DUMMYFUNCTION("""COMPUTED_VALUE"""),"SG")</f>
        <v>SG</v>
      </c>
      <c r="I789" s="163">
        <f>IFERROR(__xludf.DUMMYFUNCTION("""COMPUTED_VALUE"""),25.0)</f>
        <v>25</v>
      </c>
      <c r="J789" s="165">
        <f>IFERROR(__xludf.DUMMYFUNCTION("""COMPUTED_VALUE"""),-1.72877496651821)</f>
        <v>-1.728774967</v>
      </c>
      <c r="K789" s="165">
        <f>IFERROR(__xludf.DUMMYFUNCTION("""COMPUTED_VALUE"""),-1.35412286714981)</f>
        <v>-1.354122867</v>
      </c>
      <c r="L789" s="165">
        <f>IFERROR(__xludf.DUMMYFUNCTION("""COMPUTED_VALUE"""),-0.374652099368404)</f>
        <v>-0.3746520994</v>
      </c>
      <c r="M789" s="166">
        <f t="shared" si="2"/>
        <v>0.1921133116</v>
      </c>
      <c r="N789" s="167">
        <f t="shared" si="3"/>
        <v>9.00514881</v>
      </c>
      <c r="O789" s="163">
        <f t="shared" ref="O789:Q789" si="793">rank(I789,I:I)</f>
        <v>1995</v>
      </c>
      <c r="P789" s="163">
        <f t="shared" si="793"/>
        <v>3271</v>
      </c>
      <c r="Q789" s="163">
        <f t="shared" si="793"/>
        <v>3207</v>
      </c>
      <c r="R789" s="163">
        <f>IFERROR(__xludf.DUMMYFUNCTION("RANK(M789,filter(M:M,C:C=C789))"),340.0)</f>
        <v>340</v>
      </c>
      <c r="S789" s="161" t="b">
        <f t="shared" si="5"/>
        <v>0</v>
      </c>
      <c r="T789" s="161" t="b">
        <f t="array" ref="T789">index('Query Tool'!B:B,match(H789,'Query Tool'!C:C,0))</f>
        <v>1</v>
      </c>
      <c r="U789" s="161" t="b">
        <f t="array" ref="U789">index('Query Tool'!B:B,match(C789,'Query Tool'!C:C,0))</f>
        <v>0</v>
      </c>
      <c r="V789" s="161" t="b">
        <f>F789&gt;='Query Tool'!C$32</f>
        <v>1</v>
      </c>
      <c r="W789" s="161" t="b">
        <f t="array" ref="W789">index(Dropdowns!B:B,match(I789,Dropdowns!A:A,0))</f>
        <v>1</v>
      </c>
      <c r="X789" s="161" t="b">
        <f t="array" ref="X789">index('Query Tool'!B:B,match(D789,'Query Tool'!C:C,0))</f>
        <v>1</v>
      </c>
      <c r="Y789" s="161" t="str">
        <f t="shared" si="6"/>
        <v>mooreet01,2014-15</v>
      </c>
      <c r="Z789" s="168">
        <f t="array" ref="Z789">iferror(index(I:I,match($A789&amp;","&amp;index('Year Conversion'!$A:$A,match($C789,'Year Conversion'!$B:$B,0)),$Y:$Y,0))-I789,"")</f>
        <v>1</v>
      </c>
      <c r="AA789" s="168">
        <f t="array" ref="AA789">iferror(index(J:J,match($A789&amp;","&amp;index('Year Conversion'!$A:$A,match($C789,'Year Conversion'!$B:$B,0)),$Y:$Y,0))-J789,"")</f>
        <v>0.08660622457</v>
      </c>
      <c r="AB789" s="168">
        <f t="array" ref="AB789">iferror(index(K:K,match($A789&amp;","&amp;index('Year Conversion'!$A:$A,match($C789,'Year Conversion'!$B:$B,0)),$Y:$Y,0))-K789,"")</f>
        <v>0.1374038281</v>
      </c>
      <c r="AC789" s="168" t="str">
        <f t="shared" si="7"/>
        <v>CHI,2014-15</v>
      </c>
    </row>
    <row r="790">
      <c r="A790" s="161" t="str">
        <f>IFERROR(__xludf.DUMMYFUNCTION("""COMPUTED_VALUE"""),"thomais02")</f>
        <v>thomais02</v>
      </c>
      <c r="B790" s="161" t="str">
        <f>IFERROR(__xludf.DUMMYFUNCTION("""COMPUTED_VALUE"""),"Isaiah Thomas")</f>
        <v>Isaiah Thomas</v>
      </c>
      <c r="C790" s="162" t="str">
        <f>IFERROR(__xludf.DUMMYFUNCTION("""COMPUTED_VALUE"""),"2014-15")</f>
        <v>2014-15</v>
      </c>
      <c r="D790" s="163" t="str">
        <f>IFERROR(__xludf.DUMMYFUNCTION("""COMPUTED_VALUE"""),"TOT")</f>
        <v>TOT</v>
      </c>
      <c r="E790" s="164" t="str">
        <f>IFERROR(__xludf.DUMMYFUNCTION("""COMPUTED_VALUE"""),"Primary Ball Handler")</f>
        <v>Primary Ball Handler</v>
      </c>
      <c r="F790" s="164">
        <f>IFERROR(__xludf.DUMMYFUNCTION("""COMPUTED_VALUE"""),1726.055)</f>
        <v>1726.055</v>
      </c>
      <c r="G790" s="163">
        <f>IFERROR(__xludf.DUMMYFUNCTION("""COMPUTED_VALUE"""),67.0)</f>
        <v>67</v>
      </c>
      <c r="H790" s="163" t="str">
        <f>IFERROR(__xludf.DUMMYFUNCTION("""COMPUTED_VALUE"""),"PG")</f>
        <v>PG</v>
      </c>
      <c r="I790" s="163">
        <f>IFERROR(__xludf.DUMMYFUNCTION("""COMPUTED_VALUE"""),25.0)</f>
        <v>25</v>
      </c>
      <c r="J790" s="165">
        <f>IFERROR(__xludf.DUMMYFUNCTION("""COMPUTED_VALUE"""),1.1287145234663)</f>
        <v>1.128714523</v>
      </c>
      <c r="K790" s="165">
        <f>IFERROR(__xludf.DUMMYFUNCTION("""COMPUTED_VALUE"""),3.57232329543919)</f>
        <v>3.572323295</v>
      </c>
      <c r="L790" s="165">
        <f>IFERROR(__xludf.DUMMYFUNCTION("""COMPUTED_VALUE"""),-2.44360877197289)</f>
        <v>-2.443608772</v>
      </c>
      <c r="M790" s="166">
        <f t="shared" si="2"/>
        <v>3.972154117</v>
      </c>
      <c r="N790" s="167">
        <f t="shared" si="3"/>
        <v>25.76201493</v>
      </c>
      <c r="O790" s="163">
        <f t="shared" ref="O790:Q790" si="794">rank(I790,I:I)</f>
        <v>1995</v>
      </c>
      <c r="P790" s="163">
        <f t="shared" si="794"/>
        <v>605</v>
      </c>
      <c r="Q790" s="163">
        <f t="shared" si="794"/>
        <v>85</v>
      </c>
      <c r="R790" s="163">
        <f>IFERROR(__xludf.DUMMYFUNCTION("RANK(M790,filter(M:M,C:C=C790))"),88.0)</f>
        <v>88</v>
      </c>
      <c r="S790" s="161" t="b">
        <f t="shared" si="5"/>
        <v>0</v>
      </c>
      <c r="T790" s="161" t="b">
        <f t="array" ref="T790">index('Query Tool'!B:B,match(H790,'Query Tool'!C:C,0))</f>
        <v>1</v>
      </c>
      <c r="U790" s="161" t="b">
        <f t="array" ref="U790">index('Query Tool'!B:B,match(C790,'Query Tool'!C:C,0))</f>
        <v>0</v>
      </c>
      <c r="V790" s="161" t="b">
        <f>F790&gt;='Query Tool'!C$32</f>
        <v>1</v>
      </c>
      <c r="W790" s="161" t="b">
        <f t="array" ref="W790">index(Dropdowns!B:B,match(I790,Dropdowns!A:A,0))</f>
        <v>1</v>
      </c>
      <c r="X790" s="161" t="b">
        <f t="array" ref="X790">index('Query Tool'!B:B,match(D790,'Query Tool'!C:C,0))</f>
        <v>1</v>
      </c>
      <c r="Y790" s="161" t="str">
        <f t="shared" si="6"/>
        <v>thomais02,2014-15</v>
      </c>
      <c r="Z790" s="168">
        <f t="array" ref="Z790">iferror(index(I:I,match($A790&amp;","&amp;index('Year Conversion'!$A:$A,match($C790,'Year Conversion'!$B:$B,0)),$Y:$Y,0))-I790,"")</f>
        <v>1</v>
      </c>
      <c r="AA790" s="168">
        <f t="array" ref="AA790">iferror(index(J:J,match($A790&amp;","&amp;index('Year Conversion'!$A:$A,match($C790,'Year Conversion'!$B:$B,0)),$Y:$Y,0))-J790,"")</f>
        <v>1.007232623</v>
      </c>
      <c r="AB790" s="168">
        <f t="array" ref="AB790">iferror(index(K:K,match($A790&amp;","&amp;index('Year Conversion'!$A:$A,match($C790,'Year Conversion'!$B:$B,0)),$Y:$Y,0))-K790,"")</f>
        <v>0.1511645311</v>
      </c>
      <c r="AC790" s="168" t="str">
        <f t="shared" si="7"/>
        <v>TOT,2014-15</v>
      </c>
    </row>
    <row r="791">
      <c r="A791" s="161" t="str">
        <f>IFERROR(__xludf.DUMMYFUNCTION("""COMPUTED_VALUE"""),"buyckdw01")</f>
        <v>buyckdw01</v>
      </c>
      <c r="B791" s="161" t="str">
        <f>IFERROR(__xludf.DUMMYFUNCTION("""COMPUTED_VALUE"""),"Dwight Buycks")</f>
        <v>Dwight Buycks</v>
      </c>
      <c r="C791" s="162" t="str">
        <f>IFERROR(__xludf.DUMMYFUNCTION("""COMPUTED_VALUE"""),"2014-15")</f>
        <v>2014-15</v>
      </c>
      <c r="D791" s="163" t="str">
        <f>IFERROR(__xludf.DUMMYFUNCTION("""COMPUTED_VALUE"""),"LAL")</f>
        <v>LAL</v>
      </c>
      <c r="E791" s="164" t="str">
        <f>IFERROR(__xludf.DUMMYFUNCTION("""COMPUTED_VALUE"""),"Stationary Shooter")</f>
        <v>Stationary Shooter</v>
      </c>
      <c r="F791" s="164">
        <f>IFERROR(__xludf.DUMMYFUNCTION("""COMPUTED_VALUE"""),122.728333333333)</f>
        <v>122.7283333</v>
      </c>
      <c r="G791" s="163">
        <f>IFERROR(__xludf.DUMMYFUNCTION("""COMPUTED_VALUE"""),6.0)</f>
        <v>6</v>
      </c>
      <c r="H791" s="163" t="str">
        <f>IFERROR(__xludf.DUMMYFUNCTION("""COMPUTED_VALUE"""),"PG")</f>
        <v>PG</v>
      </c>
      <c r="I791" s="163">
        <f>IFERROR(__xludf.DUMMYFUNCTION("""COMPUTED_VALUE"""),25.0)</f>
        <v>25</v>
      </c>
      <c r="J791" s="165">
        <f>IFERROR(__xludf.DUMMYFUNCTION("""COMPUTED_VALUE"""),-0.675589282271094)</f>
        <v>-0.6755892823</v>
      </c>
      <c r="K791" s="165">
        <f>IFERROR(__xludf.DUMMYFUNCTION("""COMPUTED_VALUE"""),-0.27272593008078)</f>
        <v>-0.2727259301</v>
      </c>
      <c r="L791" s="165">
        <f>IFERROR(__xludf.DUMMYFUNCTION("""COMPUTED_VALUE"""),-0.402863352190314)</f>
        <v>-0.4028633522</v>
      </c>
      <c r="M791" s="166">
        <f t="shared" si="2"/>
        <v>0.1333418586</v>
      </c>
      <c r="N791" s="167">
        <f t="shared" si="3"/>
        <v>20.45472222</v>
      </c>
      <c r="O791" s="163">
        <f t="shared" ref="O791:Q791" si="795">rank(I791,I:I)</f>
        <v>1995</v>
      </c>
      <c r="P791" s="163">
        <f t="shared" si="795"/>
        <v>2100</v>
      </c>
      <c r="Q791" s="163">
        <f t="shared" si="795"/>
        <v>1708</v>
      </c>
      <c r="R791" s="163">
        <f>IFERROR(__xludf.DUMMYFUNCTION("RANK(M791,filter(M:M,C:C=C791))"),359.0)</f>
        <v>359</v>
      </c>
      <c r="S791" s="161" t="b">
        <f t="shared" si="5"/>
        <v>0</v>
      </c>
      <c r="T791" s="161" t="b">
        <f t="array" ref="T791">index('Query Tool'!B:B,match(H791,'Query Tool'!C:C,0))</f>
        <v>1</v>
      </c>
      <c r="U791" s="161" t="b">
        <f t="array" ref="U791">index('Query Tool'!B:B,match(C791,'Query Tool'!C:C,0))</f>
        <v>0</v>
      </c>
      <c r="V791" s="161" t="b">
        <f>F791&gt;='Query Tool'!C$32</f>
        <v>0</v>
      </c>
      <c r="W791" s="161" t="b">
        <f t="array" ref="W791">index(Dropdowns!B:B,match(I791,Dropdowns!A:A,0))</f>
        <v>1</v>
      </c>
      <c r="X791" s="161" t="b">
        <f t="array" ref="X791">index('Query Tool'!B:B,match(D791,'Query Tool'!C:C,0))</f>
        <v>1</v>
      </c>
      <c r="Y791" s="161" t="str">
        <f t="shared" si="6"/>
        <v>buyckdw01,2014-15</v>
      </c>
      <c r="Z791" s="168" t="str">
        <f t="array" ref="Z791">iferror(index(I:I,match($A791&amp;","&amp;index('Year Conversion'!$A:$A,match($C791,'Year Conversion'!$B:$B,0)),$Y:$Y,0))-I791,"")</f>
        <v/>
      </c>
      <c r="AA791" s="168" t="str">
        <f t="array" ref="AA791">iferror(index(J:J,match($A791&amp;","&amp;index('Year Conversion'!$A:$A,match($C791,'Year Conversion'!$B:$B,0)),$Y:$Y,0))-J791,"")</f>
        <v/>
      </c>
      <c r="AB791" s="168" t="str">
        <f t="array" ref="AB791">iferror(index(K:K,match($A791&amp;","&amp;index('Year Conversion'!$A:$A,match($C791,'Year Conversion'!$B:$B,0)),$Y:$Y,0))-K791,"")</f>
        <v/>
      </c>
      <c r="AC791" s="168" t="str">
        <f t="shared" si="7"/>
        <v>LAL,2014-15</v>
      </c>
    </row>
    <row r="792">
      <c r="A792" s="161" t="str">
        <f>IFERROR(__xludf.DUMMYFUNCTION("""COMPUTED_VALUE"""),"thomama01")</f>
        <v>thomama01</v>
      </c>
      <c r="B792" s="161" t="str">
        <f>IFERROR(__xludf.DUMMYFUNCTION("""COMPUTED_VALUE"""),"Malcolm Thomas")</f>
        <v>Malcolm Thomas</v>
      </c>
      <c r="C792" s="162" t="str">
        <f>IFERROR(__xludf.DUMMYFUNCTION("""COMPUTED_VALUE"""),"2014-15")</f>
        <v>2014-15</v>
      </c>
      <c r="D792" s="163" t="str">
        <f>IFERROR(__xludf.DUMMYFUNCTION("""COMPUTED_VALUE"""),"PHI")</f>
        <v>PHI</v>
      </c>
      <c r="E792" s="164" t="str">
        <f>IFERROR(__xludf.DUMMYFUNCTION("""COMPUTED_VALUE"""),"Post Scorer")</f>
        <v>Post Scorer</v>
      </c>
      <c r="F792" s="164">
        <f>IFERROR(__xludf.DUMMYFUNCTION("""COMPUTED_VALUE"""),194.28)</f>
        <v>194.28</v>
      </c>
      <c r="G792" s="163">
        <f>IFERROR(__xludf.DUMMYFUNCTION("""COMPUTED_VALUE"""),17.0)</f>
        <v>17</v>
      </c>
      <c r="H792" s="163" t="str">
        <f>IFERROR(__xludf.DUMMYFUNCTION("""COMPUTED_VALUE"""),"PF")</f>
        <v>PF</v>
      </c>
      <c r="I792" s="163">
        <f>IFERROR(__xludf.DUMMYFUNCTION("""COMPUTED_VALUE"""),26.0)</f>
        <v>26</v>
      </c>
      <c r="J792" s="165">
        <f>IFERROR(__xludf.DUMMYFUNCTION("""COMPUTED_VALUE"""),-2.77653850709025)</f>
        <v>-2.776538507</v>
      </c>
      <c r="K792" s="165">
        <f>IFERROR(__xludf.DUMMYFUNCTION("""COMPUTED_VALUE"""),-2.075201104458)</f>
        <v>-2.075201104</v>
      </c>
      <c r="L792" s="165">
        <f>IFERROR(__xludf.DUMMYFUNCTION("""COMPUTED_VALUE"""),-0.701337402632243)</f>
        <v>-0.7013374026</v>
      </c>
      <c r="M792" s="166">
        <f t="shared" si="2"/>
        <v>-0.06031498735</v>
      </c>
      <c r="N792" s="167">
        <f t="shared" si="3"/>
        <v>11.42823529</v>
      </c>
      <c r="O792" s="163">
        <f t="shared" ref="O792:Q792" si="796">rank(I792,I:I)</f>
        <v>1665</v>
      </c>
      <c r="P792" s="163">
        <f t="shared" si="796"/>
        <v>3839</v>
      </c>
      <c r="Q792" s="163">
        <f t="shared" si="796"/>
        <v>3747</v>
      </c>
      <c r="R792" s="163">
        <f>IFERROR(__xludf.DUMMYFUNCTION("RANK(M792,filter(M:M,C:C=C792))"),449.0)</f>
        <v>449</v>
      </c>
      <c r="S792" s="161" t="b">
        <f t="shared" si="5"/>
        <v>0</v>
      </c>
      <c r="T792" s="161" t="b">
        <f t="array" ref="T792">index('Query Tool'!B:B,match(H792,'Query Tool'!C:C,0))</f>
        <v>1</v>
      </c>
      <c r="U792" s="161" t="b">
        <f t="array" ref="U792">index('Query Tool'!B:B,match(C792,'Query Tool'!C:C,0))</f>
        <v>0</v>
      </c>
      <c r="V792" s="161" t="b">
        <f>F792&gt;='Query Tool'!C$32</f>
        <v>0</v>
      </c>
      <c r="W792" s="161" t="b">
        <f t="array" ref="W792">index(Dropdowns!B:B,match(I792,Dropdowns!A:A,0))</f>
        <v>1</v>
      </c>
      <c r="X792" s="161" t="b">
        <f t="array" ref="X792">index('Query Tool'!B:B,match(D792,'Query Tool'!C:C,0))</f>
        <v>1</v>
      </c>
      <c r="Y792" s="161" t="str">
        <f t="shared" si="6"/>
        <v>thomama01,2014-15</v>
      </c>
      <c r="Z792" s="168" t="str">
        <f t="array" ref="Z792">iferror(index(I:I,match($A792&amp;","&amp;index('Year Conversion'!$A:$A,match($C792,'Year Conversion'!$B:$B,0)),$Y:$Y,0))-I792,"")</f>
        <v/>
      </c>
      <c r="AA792" s="168" t="str">
        <f t="array" ref="AA792">iferror(index(J:J,match($A792&amp;","&amp;index('Year Conversion'!$A:$A,match($C792,'Year Conversion'!$B:$B,0)),$Y:$Y,0))-J792,"")</f>
        <v/>
      </c>
      <c r="AB792" s="168" t="str">
        <f t="array" ref="AB792">iferror(index(K:K,match($A792&amp;","&amp;index('Year Conversion'!$A:$A,match($C792,'Year Conversion'!$B:$B,0)),$Y:$Y,0))-K792,"")</f>
        <v/>
      </c>
      <c r="AC792" s="168" t="str">
        <f t="shared" si="7"/>
        <v>PHI,2014-15</v>
      </c>
    </row>
    <row r="793">
      <c r="A793" s="161" t="str">
        <f>IFERROR(__xludf.DUMMYFUNCTION("""COMPUTED_VALUE"""),"smithgr02")</f>
        <v>smithgr02</v>
      </c>
      <c r="B793" s="161" t="str">
        <f>IFERROR(__xludf.DUMMYFUNCTION("""COMPUTED_VALUE"""),"Greg Smith")</f>
        <v>Greg Smith</v>
      </c>
      <c r="C793" s="162" t="str">
        <f>IFERROR(__xludf.DUMMYFUNCTION("""COMPUTED_VALUE"""),"2014-15")</f>
        <v>2014-15</v>
      </c>
      <c r="D793" s="163" t="str">
        <f>IFERROR(__xludf.DUMMYFUNCTION("""COMPUTED_VALUE"""),"DAL")</f>
        <v>DAL</v>
      </c>
      <c r="E793" s="164" t="str">
        <f>IFERROR(__xludf.DUMMYFUNCTION("""COMPUTED_VALUE"""),"Roll + Cut Big")</f>
        <v>Roll + Cut Big</v>
      </c>
      <c r="F793" s="164">
        <f>IFERROR(__xludf.DUMMYFUNCTION("""COMPUTED_VALUE"""),362.805)</f>
        <v>362.805</v>
      </c>
      <c r="G793" s="163">
        <f>IFERROR(__xludf.DUMMYFUNCTION("""COMPUTED_VALUE"""),42.0)</f>
        <v>42</v>
      </c>
      <c r="H793" s="163" t="str">
        <f>IFERROR(__xludf.DUMMYFUNCTION("""COMPUTED_VALUE"""),"PF")</f>
        <v>PF</v>
      </c>
      <c r="I793" s="163">
        <f>IFERROR(__xludf.DUMMYFUNCTION("""COMPUTED_VALUE"""),24.0)</f>
        <v>24</v>
      </c>
      <c r="J793" s="165">
        <f>IFERROR(__xludf.DUMMYFUNCTION("""COMPUTED_VALUE"""),-2.50398343384372)</f>
        <v>-2.503983434</v>
      </c>
      <c r="K793" s="165">
        <f>IFERROR(__xludf.DUMMYFUNCTION("""COMPUTED_VALUE"""),-3.20640374204014)</f>
        <v>-3.206403742</v>
      </c>
      <c r="L793" s="165">
        <f>IFERROR(__xludf.DUMMYFUNCTION("""COMPUTED_VALUE"""),0.702420308196427)</f>
        <v>0.7024203082</v>
      </c>
      <c r="M793" s="166">
        <f t="shared" si="2"/>
        <v>-0.04786892484</v>
      </c>
      <c r="N793" s="167">
        <f t="shared" si="3"/>
        <v>8.638214286</v>
      </c>
      <c r="O793" s="163">
        <f t="shared" ref="O793:Q793" si="797">rank(I793,I:I)</f>
        <v>2361</v>
      </c>
      <c r="P793" s="163">
        <f t="shared" si="797"/>
        <v>3754</v>
      </c>
      <c r="Q793" s="163">
        <f t="shared" si="797"/>
        <v>3992</v>
      </c>
      <c r="R793" s="163">
        <f>IFERROR(__xludf.DUMMYFUNCTION("RANK(M793,filter(M:M,C:C=C793))"),446.0)</f>
        <v>446</v>
      </c>
      <c r="S793" s="161" t="b">
        <f t="shared" si="5"/>
        <v>0</v>
      </c>
      <c r="T793" s="161" t="b">
        <f t="array" ref="T793">index('Query Tool'!B:B,match(H793,'Query Tool'!C:C,0))</f>
        <v>1</v>
      </c>
      <c r="U793" s="161" t="b">
        <f t="array" ref="U793">index('Query Tool'!B:B,match(C793,'Query Tool'!C:C,0))</f>
        <v>0</v>
      </c>
      <c r="V793" s="161" t="b">
        <f>F793&gt;='Query Tool'!C$32</f>
        <v>0</v>
      </c>
      <c r="W793" s="161" t="b">
        <f t="array" ref="W793">index(Dropdowns!B:B,match(I793,Dropdowns!A:A,0))</f>
        <v>1</v>
      </c>
      <c r="X793" s="161" t="b">
        <f t="array" ref="X793">index('Query Tool'!B:B,match(D793,'Query Tool'!C:C,0))</f>
        <v>1</v>
      </c>
      <c r="Y793" s="161" t="str">
        <f t="shared" si="6"/>
        <v>smithgr02,2014-15</v>
      </c>
      <c r="Z793" s="168">
        <f t="array" ref="Z793">iferror(index(I:I,match($A793&amp;","&amp;index('Year Conversion'!$A:$A,match($C793,'Year Conversion'!$B:$B,0)),$Y:$Y,0))-I793,"")</f>
        <v>1</v>
      </c>
      <c r="AA793" s="168">
        <f t="array" ref="AA793">iferror(index(J:J,match($A793&amp;","&amp;index('Year Conversion'!$A:$A,match($C793,'Year Conversion'!$B:$B,0)),$Y:$Y,0))-J793,"")</f>
        <v>0.8627395739</v>
      </c>
      <c r="AB793" s="168">
        <f t="array" ref="AB793">iferror(index(K:K,match($A793&amp;","&amp;index('Year Conversion'!$A:$A,match($C793,'Year Conversion'!$B:$B,0)),$Y:$Y,0))-K793,"")</f>
        <v>1.841815661</v>
      </c>
      <c r="AC793" s="168" t="str">
        <f t="shared" si="7"/>
        <v>DAL,2014-15</v>
      </c>
    </row>
    <row r="794">
      <c r="A794" s="161" t="str">
        <f>IFERROR(__xludf.DUMMYFUNCTION("""COMPUTED_VALUE"""),"davisan02")</f>
        <v>davisan02</v>
      </c>
      <c r="B794" s="161" t="str">
        <f>IFERROR(__xludf.DUMMYFUNCTION("""COMPUTED_VALUE"""),"Anthony Davis")</f>
        <v>Anthony Davis</v>
      </c>
      <c r="C794" s="162" t="str">
        <f>IFERROR(__xludf.DUMMYFUNCTION("""COMPUTED_VALUE"""),"2014-15")</f>
        <v>2014-15</v>
      </c>
      <c r="D794" s="163" t="str">
        <f>IFERROR(__xludf.DUMMYFUNCTION("""COMPUTED_VALUE"""),"NOP")</f>
        <v>NOP</v>
      </c>
      <c r="E794" s="164" t="str">
        <f>IFERROR(__xludf.DUMMYFUNCTION("""COMPUTED_VALUE"""),"Roll + Cut Big")</f>
        <v>Roll + Cut Big</v>
      </c>
      <c r="F794" s="164">
        <f>IFERROR(__xludf.DUMMYFUNCTION("""COMPUTED_VALUE"""),2454.695)</f>
        <v>2454.695</v>
      </c>
      <c r="G794" s="163">
        <f>IFERROR(__xludf.DUMMYFUNCTION("""COMPUTED_VALUE"""),68.0)</f>
        <v>68</v>
      </c>
      <c r="H794" s="163" t="str">
        <f>IFERROR(__xludf.DUMMYFUNCTION("""COMPUTED_VALUE"""),"PF")</f>
        <v>PF</v>
      </c>
      <c r="I794" s="163">
        <f>IFERROR(__xludf.DUMMYFUNCTION("""COMPUTED_VALUE"""),21.0)</f>
        <v>21</v>
      </c>
      <c r="J794" s="165">
        <f>IFERROR(__xludf.DUMMYFUNCTION("""COMPUTED_VALUE"""),6.62539773144912)</f>
        <v>6.625397731</v>
      </c>
      <c r="K794" s="165">
        <f>IFERROR(__xludf.DUMMYFUNCTION("""COMPUTED_VALUE"""),3.79200172677737)</f>
        <v>3.792001727</v>
      </c>
      <c r="L794" s="165">
        <f>IFERROR(__xludf.DUMMYFUNCTION("""COMPUTED_VALUE"""),2.83339600467175)</f>
        <v>2.833396005</v>
      </c>
      <c r="M794" s="166">
        <f t="shared" si="2"/>
        <v>14.12572828</v>
      </c>
      <c r="N794" s="167">
        <f t="shared" si="3"/>
        <v>36.09845588</v>
      </c>
      <c r="O794" s="163">
        <f t="shared" ref="O794:Q794" si="798">rank(I794,I:I)</f>
        <v>3528</v>
      </c>
      <c r="P794" s="163">
        <f t="shared" si="798"/>
        <v>11</v>
      </c>
      <c r="Q794" s="163">
        <f t="shared" si="798"/>
        <v>72</v>
      </c>
      <c r="R794" s="163">
        <f>IFERROR(__xludf.DUMMYFUNCTION("RANK(M794,filter(M:M,C:C=C794))"),4.0)</f>
        <v>4</v>
      </c>
      <c r="S794" s="161" t="b">
        <f t="shared" si="5"/>
        <v>0</v>
      </c>
      <c r="T794" s="161" t="b">
        <f t="array" ref="T794">index('Query Tool'!B:B,match(H794,'Query Tool'!C:C,0))</f>
        <v>1</v>
      </c>
      <c r="U794" s="161" t="b">
        <f t="array" ref="U794">index('Query Tool'!B:B,match(C794,'Query Tool'!C:C,0))</f>
        <v>0</v>
      </c>
      <c r="V794" s="161" t="b">
        <f>F794&gt;='Query Tool'!C$32</f>
        <v>1</v>
      </c>
      <c r="W794" s="161" t="b">
        <f t="array" ref="W794">index(Dropdowns!B:B,match(I794,Dropdowns!A:A,0))</f>
        <v>1</v>
      </c>
      <c r="X794" s="161" t="b">
        <f t="array" ref="X794">index('Query Tool'!B:B,match(D794,'Query Tool'!C:C,0))</f>
        <v>1</v>
      </c>
      <c r="Y794" s="161" t="str">
        <f t="shared" si="6"/>
        <v>davisan02,2014-15</v>
      </c>
      <c r="Z794" s="168">
        <f t="array" ref="Z794">iferror(index(I:I,match($A794&amp;","&amp;index('Year Conversion'!$A:$A,match($C794,'Year Conversion'!$B:$B,0)),$Y:$Y,0))-I794,"")</f>
        <v>1</v>
      </c>
      <c r="AA794" s="168">
        <f t="array" ref="AA794">iferror(index(J:J,match($A794&amp;","&amp;index('Year Conversion'!$A:$A,match($C794,'Year Conversion'!$B:$B,0)),$Y:$Y,0))-J794,"")</f>
        <v>-3.719466595</v>
      </c>
      <c r="AB794" s="168">
        <f t="array" ref="AB794">iferror(index(K:K,match($A794&amp;","&amp;index('Year Conversion'!$A:$A,match($C794,'Year Conversion'!$B:$B,0)),$Y:$Y,0))-K794,"")</f>
        <v>-2.283832837</v>
      </c>
      <c r="AC794" s="168" t="str">
        <f t="shared" si="7"/>
        <v>NOP,2014-15</v>
      </c>
    </row>
    <row r="795">
      <c r="A795" s="161" t="str">
        <f>IFERROR(__xludf.DUMMYFUNCTION("""COMPUTED_VALUE"""),"kiddgmi01")</f>
        <v>kiddgmi01</v>
      </c>
      <c r="B795" s="161" t="str">
        <f>IFERROR(__xludf.DUMMYFUNCTION("""COMPUTED_VALUE"""),"Michael Kidd-Gilchrist")</f>
        <v>Michael Kidd-Gilchrist</v>
      </c>
      <c r="C795" s="162" t="str">
        <f>IFERROR(__xludf.DUMMYFUNCTION("""COMPUTED_VALUE"""),"2014-15")</f>
        <v>2014-15</v>
      </c>
      <c r="D795" s="163" t="str">
        <f>IFERROR(__xludf.DUMMYFUNCTION("""COMPUTED_VALUE"""),"CHO")</f>
        <v>CHO</v>
      </c>
      <c r="E795" s="164" t="str">
        <f>IFERROR(__xludf.DUMMYFUNCTION("""COMPUTED_VALUE"""),"Athletic Finisher")</f>
        <v>Athletic Finisher</v>
      </c>
      <c r="F795" s="164">
        <f>IFERROR(__xludf.DUMMYFUNCTION("""COMPUTED_VALUE"""),1587.37)</f>
        <v>1587.37</v>
      </c>
      <c r="G795" s="163">
        <f>IFERROR(__xludf.DUMMYFUNCTION("""COMPUTED_VALUE"""),55.0)</f>
        <v>55</v>
      </c>
      <c r="H795" s="163" t="str">
        <f>IFERROR(__xludf.DUMMYFUNCTION("""COMPUTED_VALUE"""),"SF")</f>
        <v>SF</v>
      </c>
      <c r="I795" s="163">
        <f>IFERROR(__xludf.DUMMYFUNCTION("""COMPUTED_VALUE"""),21.0)</f>
        <v>21</v>
      </c>
      <c r="J795" s="165">
        <f>IFERROR(__xludf.DUMMYFUNCTION("""COMPUTED_VALUE"""),2.15276387634307)</f>
        <v>2.152763876</v>
      </c>
      <c r="K795" s="165">
        <f>IFERROR(__xludf.DUMMYFUNCTION("""COMPUTED_VALUE"""),-0.20351566943004)</f>
        <v>-0.2035156694</v>
      </c>
      <c r="L795" s="165">
        <f>IFERROR(__xludf.DUMMYFUNCTION("""COMPUTED_VALUE"""),2.35627954577311)</f>
        <v>2.356279546</v>
      </c>
      <c r="M795" s="166">
        <f t="shared" si="2"/>
        <v>4.736340112</v>
      </c>
      <c r="N795" s="167">
        <f t="shared" si="3"/>
        <v>28.86127273</v>
      </c>
      <c r="O795" s="163">
        <f t="shared" ref="O795:Q795" si="799">rank(I795,I:I)</f>
        <v>3528</v>
      </c>
      <c r="P795" s="163">
        <f t="shared" si="799"/>
        <v>282</v>
      </c>
      <c r="Q795" s="163">
        <f t="shared" si="799"/>
        <v>1567</v>
      </c>
      <c r="R795" s="163">
        <f>IFERROR(__xludf.DUMMYFUNCTION("RANK(M795,filter(M:M,C:C=C795))"),65.0)</f>
        <v>65</v>
      </c>
      <c r="S795" s="161" t="b">
        <f t="shared" si="5"/>
        <v>0</v>
      </c>
      <c r="T795" s="161" t="b">
        <f t="array" ref="T795">index('Query Tool'!B:B,match(H795,'Query Tool'!C:C,0))</f>
        <v>1</v>
      </c>
      <c r="U795" s="161" t="b">
        <f t="array" ref="U795">index('Query Tool'!B:B,match(C795,'Query Tool'!C:C,0))</f>
        <v>0</v>
      </c>
      <c r="V795" s="161" t="b">
        <f>F795&gt;='Query Tool'!C$32</f>
        <v>1</v>
      </c>
      <c r="W795" s="161" t="b">
        <f t="array" ref="W795">index(Dropdowns!B:B,match(I795,Dropdowns!A:A,0))</f>
        <v>1</v>
      </c>
      <c r="X795" s="161" t="b">
        <f t="array" ref="X795">index('Query Tool'!B:B,match(D795,'Query Tool'!C:C,0))</f>
        <v>1</v>
      </c>
      <c r="Y795" s="161" t="str">
        <f t="shared" si="6"/>
        <v>kiddgmi01,2014-15</v>
      </c>
      <c r="Z795" s="168">
        <f t="array" ref="Z795">iferror(index(I:I,match($A795&amp;","&amp;index('Year Conversion'!$A:$A,match($C795,'Year Conversion'!$B:$B,0)),$Y:$Y,0))-I795,"")</f>
        <v>1</v>
      </c>
      <c r="AA795" s="168">
        <f t="array" ref="AA795">iferror(index(J:J,match($A795&amp;","&amp;index('Year Conversion'!$A:$A,match($C795,'Year Conversion'!$B:$B,0)),$Y:$Y,0))-J795,"")</f>
        <v>-2.077697156</v>
      </c>
      <c r="AB795" s="168">
        <f t="array" ref="AB795">iferror(index(K:K,match($A795&amp;","&amp;index('Year Conversion'!$A:$A,match($C795,'Year Conversion'!$B:$B,0)),$Y:$Y,0))-K795,"")</f>
        <v>-0.01358055552</v>
      </c>
      <c r="AC795" s="168" t="str">
        <f t="shared" si="7"/>
        <v>CHO,2014-15</v>
      </c>
    </row>
    <row r="796">
      <c r="A796" s="161" t="str">
        <f>IFERROR(__xludf.DUMMYFUNCTION("""COMPUTED_VALUE"""),"bealbr01")</f>
        <v>bealbr01</v>
      </c>
      <c r="B796" s="161" t="str">
        <f>IFERROR(__xludf.DUMMYFUNCTION("""COMPUTED_VALUE"""),"Bradley Beal")</f>
        <v>Bradley Beal</v>
      </c>
      <c r="C796" s="162" t="str">
        <f>IFERROR(__xludf.DUMMYFUNCTION("""COMPUTED_VALUE"""),"2014-15")</f>
        <v>2014-15</v>
      </c>
      <c r="D796" s="163" t="str">
        <f>IFERROR(__xludf.DUMMYFUNCTION("""COMPUTED_VALUE"""),"WAS")</f>
        <v>WAS</v>
      </c>
      <c r="E796" s="164" t="str">
        <f>IFERROR(__xludf.DUMMYFUNCTION("""COMPUTED_VALUE"""),"Secondary Ball Handler")</f>
        <v>Secondary Ball Handler</v>
      </c>
      <c r="F796" s="164">
        <f>IFERROR(__xludf.DUMMYFUNCTION("""COMPUTED_VALUE"""),2107.43666666667)</f>
        <v>2107.436667</v>
      </c>
      <c r="G796" s="163">
        <f>IFERROR(__xludf.DUMMYFUNCTION("""COMPUTED_VALUE"""),63.0)</f>
        <v>63</v>
      </c>
      <c r="H796" s="163" t="str">
        <f>IFERROR(__xludf.DUMMYFUNCTION("""COMPUTED_VALUE"""),"SG")</f>
        <v>SG</v>
      </c>
      <c r="I796" s="163">
        <f>IFERROR(__xludf.DUMMYFUNCTION("""COMPUTED_VALUE"""),21.0)</f>
        <v>21</v>
      </c>
      <c r="J796" s="165">
        <f>IFERROR(__xludf.DUMMYFUNCTION("""COMPUTED_VALUE"""),0.205162451896132)</f>
        <v>0.2051624519</v>
      </c>
      <c r="K796" s="165">
        <f>IFERROR(__xludf.DUMMYFUNCTION("""COMPUTED_VALUE"""),0.138048390057745)</f>
        <v>0.1380483901</v>
      </c>
      <c r="L796" s="165">
        <f>IFERROR(__xludf.DUMMYFUNCTION("""COMPUTED_VALUE"""),0.0671140618383874)</f>
        <v>0.06711406184</v>
      </c>
      <c r="M796" s="166">
        <f t="shared" si="2"/>
        <v>3.54044516</v>
      </c>
      <c r="N796" s="167">
        <f t="shared" si="3"/>
        <v>33.45137566</v>
      </c>
      <c r="O796" s="163">
        <f t="shared" ref="O796:Q796" si="800">rank(I796,I:I)</f>
        <v>3528</v>
      </c>
      <c r="P796" s="163">
        <f t="shared" si="800"/>
        <v>1086</v>
      </c>
      <c r="Q796" s="163">
        <f t="shared" si="800"/>
        <v>1033</v>
      </c>
      <c r="R796" s="163">
        <f>IFERROR(__xludf.DUMMYFUNCTION("RANK(M796,filter(M:M,C:C=C796))"),97.0)</f>
        <v>97</v>
      </c>
      <c r="S796" s="161" t="b">
        <f t="shared" si="5"/>
        <v>0</v>
      </c>
      <c r="T796" s="161" t="b">
        <f t="array" ref="T796">index('Query Tool'!B:B,match(H796,'Query Tool'!C:C,0))</f>
        <v>1</v>
      </c>
      <c r="U796" s="161" t="b">
        <f t="array" ref="U796">index('Query Tool'!B:B,match(C796,'Query Tool'!C:C,0))</f>
        <v>0</v>
      </c>
      <c r="V796" s="161" t="b">
        <f>F796&gt;='Query Tool'!C$32</f>
        <v>1</v>
      </c>
      <c r="W796" s="161" t="b">
        <f t="array" ref="W796">index(Dropdowns!B:B,match(I796,Dropdowns!A:A,0))</f>
        <v>1</v>
      </c>
      <c r="X796" s="161" t="b">
        <f t="array" ref="X796">index('Query Tool'!B:B,match(D796,'Query Tool'!C:C,0))</f>
        <v>1</v>
      </c>
      <c r="Y796" s="161" t="str">
        <f t="shared" si="6"/>
        <v>bealbr01,2014-15</v>
      </c>
      <c r="Z796" s="168">
        <f t="array" ref="Z796">iferror(index(I:I,match($A796&amp;","&amp;index('Year Conversion'!$A:$A,match($C796,'Year Conversion'!$B:$B,0)),$Y:$Y,0))-I796,"")</f>
        <v>1</v>
      </c>
      <c r="AA796" s="168">
        <f t="array" ref="AA796">iferror(index(J:J,match($A796&amp;","&amp;index('Year Conversion'!$A:$A,match($C796,'Year Conversion'!$B:$B,0)),$Y:$Y,0))-J796,"")</f>
        <v>-0.8777186795</v>
      </c>
      <c r="AB796" s="168">
        <f t="array" ref="AB796">iferror(index(K:K,match($A796&amp;","&amp;index('Year Conversion'!$A:$A,match($C796,'Year Conversion'!$B:$B,0)),$Y:$Y,0))-K796,"")</f>
        <v>-0.09861761631</v>
      </c>
      <c r="AC796" s="168" t="str">
        <f t="shared" si="7"/>
        <v>WAS,2014-15</v>
      </c>
    </row>
    <row r="797">
      <c r="A797" s="161" t="str">
        <f>IFERROR(__xludf.DUMMYFUNCTION("""COMPUTED_VALUE"""),"waitedi01")</f>
        <v>waitedi01</v>
      </c>
      <c r="B797" s="161" t="str">
        <f>IFERROR(__xludf.DUMMYFUNCTION("""COMPUTED_VALUE"""),"Dion Waiters")</f>
        <v>Dion Waiters</v>
      </c>
      <c r="C797" s="162" t="str">
        <f>IFERROR(__xludf.DUMMYFUNCTION("""COMPUTED_VALUE"""),"2014-15")</f>
        <v>2014-15</v>
      </c>
      <c r="D797" s="163" t="str">
        <f>IFERROR(__xludf.DUMMYFUNCTION("""COMPUTED_VALUE"""),"TOT")</f>
        <v>TOT</v>
      </c>
      <c r="E797" s="164" t="str">
        <f>IFERROR(__xludf.DUMMYFUNCTION("""COMPUTED_VALUE"""),"Shot Creator")</f>
        <v>Shot Creator</v>
      </c>
      <c r="F797" s="164">
        <f>IFERROR(__xludf.DUMMYFUNCTION("""COMPUTED_VALUE"""),2208.05)</f>
        <v>2208.05</v>
      </c>
      <c r="G797" s="163">
        <f>IFERROR(__xludf.DUMMYFUNCTION("""COMPUTED_VALUE"""),80.0)</f>
        <v>80</v>
      </c>
      <c r="H797" s="163" t="str">
        <f>IFERROR(__xludf.DUMMYFUNCTION("""COMPUTED_VALUE"""),"SG")</f>
        <v>SG</v>
      </c>
      <c r="I797" s="163">
        <f>IFERROR(__xludf.DUMMYFUNCTION("""COMPUTED_VALUE"""),23.0)</f>
        <v>23</v>
      </c>
      <c r="J797" s="165">
        <f>IFERROR(__xludf.DUMMYFUNCTION("""COMPUTED_VALUE"""),-1.20887387180136)</f>
        <v>-1.208873872</v>
      </c>
      <c r="K797" s="165">
        <f>IFERROR(__xludf.DUMMYFUNCTION("""COMPUTED_VALUE"""),-0.590589149360453)</f>
        <v>-0.5905891494</v>
      </c>
      <c r="L797" s="165">
        <f>IFERROR(__xludf.DUMMYFUNCTION("""COMPUTED_VALUE"""),-0.618284722440902)</f>
        <v>-0.6182847224</v>
      </c>
      <c r="M797" s="166">
        <f t="shared" si="2"/>
        <v>1.608137754</v>
      </c>
      <c r="N797" s="167">
        <f t="shared" si="3"/>
        <v>27.600625</v>
      </c>
      <c r="O797" s="163">
        <f t="shared" ref="O797:Q797" si="801">rank(I797,I:I)</f>
        <v>2765</v>
      </c>
      <c r="P797" s="163">
        <f t="shared" si="801"/>
        <v>2755</v>
      </c>
      <c r="Q797" s="163">
        <f t="shared" si="801"/>
        <v>2253</v>
      </c>
      <c r="R797" s="163">
        <f>IFERROR(__xludf.DUMMYFUNCTION("RANK(M797,filter(M:M,C:C=C797))"),192.0)</f>
        <v>192</v>
      </c>
      <c r="S797" s="161" t="b">
        <f t="shared" si="5"/>
        <v>0</v>
      </c>
      <c r="T797" s="161" t="b">
        <f t="array" ref="T797">index('Query Tool'!B:B,match(H797,'Query Tool'!C:C,0))</f>
        <v>1</v>
      </c>
      <c r="U797" s="161" t="b">
        <f t="array" ref="U797">index('Query Tool'!B:B,match(C797,'Query Tool'!C:C,0))</f>
        <v>0</v>
      </c>
      <c r="V797" s="161" t="b">
        <f>F797&gt;='Query Tool'!C$32</f>
        <v>1</v>
      </c>
      <c r="W797" s="161" t="b">
        <f t="array" ref="W797">index(Dropdowns!B:B,match(I797,Dropdowns!A:A,0))</f>
        <v>1</v>
      </c>
      <c r="X797" s="161" t="b">
        <f t="array" ref="X797">index('Query Tool'!B:B,match(D797,'Query Tool'!C:C,0))</f>
        <v>1</v>
      </c>
      <c r="Y797" s="161" t="str">
        <f t="shared" si="6"/>
        <v>waitedi01,2014-15</v>
      </c>
      <c r="Z797" s="168">
        <f t="array" ref="Z797">iferror(index(I:I,match($A797&amp;","&amp;index('Year Conversion'!$A:$A,match($C797,'Year Conversion'!$B:$B,0)),$Y:$Y,0))-I797,"")</f>
        <v>1</v>
      </c>
      <c r="AA797" s="168">
        <f t="array" ref="AA797">iferror(index(J:J,match($A797&amp;","&amp;index('Year Conversion'!$A:$A,match($C797,'Year Conversion'!$B:$B,0)),$Y:$Y,0))-J797,"")</f>
        <v>-0.5506508674</v>
      </c>
      <c r="AB797" s="168">
        <f t="array" ref="AB797">iferror(index(K:K,match($A797&amp;","&amp;index('Year Conversion'!$A:$A,match($C797,'Year Conversion'!$B:$B,0)),$Y:$Y,0))-K797,"")</f>
        <v>-0.1876517885</v>
      </c>
      <c r="AC797" s="168" t="str">
        <f t="shared" si="7"/>
        <v>TOT,2014-15</v>
      </c>
    </row>
    <row r="798">
      <c r="A798" s="161" t="str">
        <f>IFERROR(__xludf.DUMMYFUNCTION("""COMPUTED_VALUE"""),"robinth01")</f>
        <v>robinth01</v>
      </c>
      <c r="B798" s="161" t="str">
        <f>IFERROR(__xludf.DUMMYFUNCTION("""COMPUTED_VALUE"""),"Thomas Robinson")</f>
        <v>Thomas Robinson</v>
      </c>
      <c r="C798" s="162" t="str">
        <f>IFERROR(__xludf.DUMMYFUNCTION("""COMPUTED_VALUE"""),"2014-15")</f>
        <v>2014-15</v>
      </c>
      <c r="D798" s="163" t="str">
        <f>IFERROR(__xludf.DUMMYFUNCTION("""COMPUTED_VALUE"""),"TOT")</f>
        <v>TOT</v>
      </c>
      <c r="E798" s="164" t="str">
        <f>IFERROR(__xludf.DUMMYFUNCTION("""COMPUTED_VALUE"""),"Roll + Cut Big")</f>
        <v>Roll + Cut Big</v>
      </c>
      <c r="F798" s="164">
        <f>IFERROR(__xludf.DUMMYFUNCTION("""COMPUTED_VALUE"""),797.706666666666)</f>
        <v>797.7066667</v>
      </c>
      <c r="G798" s="163">
        <f>IFERROR(__xludf.DUMMYFUNCTION("""COMPUTED_VALUE"""),54.0)</f>
        <v>54</v>
      </c>
      <c r="H798" s="163" t="str">
        <f>IFERROR(__xludf.DUMMYFUNCTION("""COMPUTED_VALUE"""),"PF")</f>
        <v>PF</v>
      </c>
      <c r="I798" s="163">
        <f>IFERROR(__xludf.DUMMYFUNCTION("""COMPUTED_VALUE"""),23.0)</f>
        <v>23</v>
      </c>
      <c r="J798" s="165">
        <f>IFERROR(__xludf.DUMMYFUNCTION("""COMPUTED_VALUE"""),-0.323012454264227)</f>
        <v>-0.3230124543</v>
      </c>
      <c r="K798" s="165">
        <f>IFERROR(__xludf.DUMMYFUNCTION("""COMPUTED_VALUE"""),-1.1241784549087)</f>
        <v>-1.124178455</v>
      </c>
      <c r="L798" s="165">
        <f>IFERROR(__xludf.DUMMYFUNCTION("""COMPUTED_VALUE"""),0.801166000644474)</f>
        <v>0.8011660006</v>
      </c>
      <c r="M798" s="166">
        <f t="shared" si="2"/>
        <v>1.05610501</v>
      </c>
      <c r="N798" s="167">
        <f t="shared" si="3"/>
        <v>14.77234568</v>
      </c>
      <c r="O798" s="163">
        <f t="shared" ref="O798:Q798" si="802">rank(I798,I:I)</f>
        <v>2765</v>
      </c>
      <c r="P798" s="163">
        <f t="shared" si="802"/>
        <v>1643</v>
      </c>
      <c r="Q798" s="163">
        <f t="shared" si="802"/>
        <v>2952</v>
      </c>
      <c r="R798" s="163">
        <f>IFERROR(__xludf.DUMMYFUNCTION("RANK(M798,filter(M:M,C:C=C798))"),228.0)</f>
        <v>228</v>
      </c>
      <c r="S798" s="161" t="b">
        <f t="shared" si="5"/>
        <v>0</v>
      </c>
      <c r="T798" s="161" t="b">
        <f t="array" ref="T798">index('Query Tool'!B:B,match(H798,'Query Tool'!C:C,0))</f>
        <v>1</v>
      </c>
      <c r="U798" s="161" t="b">
        <f t="array" ref="U798">index('Query Tool'!B:B,match(C798,'Query Tool'!C:C,0))</f>
        <v>0</v>
      </c>
      <c r="V798" s="161" t="b">
        <f>F798&gt;='Query Tool'!C$32</f>
        <v>1</v>
      </c>
      <c r="W798" s="161" t="b">
        <f t="array" ref="W798">index(Dropdowns!B:B,match(I798,Dropdowns!A:A,0))</f>
        <v>1</v>
      </c>
      <c r="X798" s="161" t="b">
        <f t="array" ref="X798">index('Query Tool'!B:B,match(D798,'Query Tool'!C:C,0))</f>
        <v>1</v>
      </c>
      <c r="Y798" s="161" t="str">
        <f t="shared" si="6"/>
        <v>robinth01,2014-15</v>
      </c>
      <c r="Z798" s="168">
        <f t="array" ref="Z798">iferror(index(I:I,match($A798&amp;","&amp;index('Year Conversion'!$A:$A,match($C798,'Year Conversion'!$B:$B,0)),$Y:$Y,0))-I798,"")</f>
        <v>1</v>
      </c>
      <c r="AA798" s="168">
        <f t="array" ref="AA798">iferror(index(J:J,match($A798&amp;","&amp;index('Year Conversion'!$A:$A,match($C798,'Year Conversion'!$B:$B,0)),$Y:$Y,0))-J798,"")</f>
        <v>-0.9049255344</v>
      </c>
      <c r="AB798" s="168">
        <f t="array" ref="AB798">iferror(index(K:K,match($A798&amp;","&amp;index('Year Conversion'!$A:$A,match($C798,'Year Conversion'!$B:$B,0)),$Y:$Y,0))-K798,"")</f>
        <v>-0.5139750004</v>
      </c>
      <c r="AC798" s="168" t="str">
        <f t="shared" si="7"/>
        <v>TOT,2014-15</v>
      </c>
    </row>
    <row r="799">
      <c r="A799" s="161" t="str">
        <f>IFERROR(__xludf.DUMMYFUNCTION("""COMPUTED_VALUE"""),"lillada01")</f>
        <v>lillada01</v>
      </c>
      <c r="B799" s="161" t="str">
        <f>IFERROR(__xludf.DUMMYFUNCTION("""COMPUTED_VALUE"""),"Damian Lillard")</f>
        <v>Damian Lillard</v>
      </c>
      <c r="C799" s="162" t="str">
        <f>IFERROR(__xludf.DUMMYFUNCTION("""COMPUTED_VALUE"""),"2014-15")</f>
        <v>2014-15</v>
      </c>
      <c r="D799" s="163" t="str">
        <f>IFERROR(__xludf.DUMMYFUNCTION("""COMPUTED_VALUE"""),"POR")</f>
        <v>POR</v>
      </c>
      <c r="E799" s="164" t="str">
        <f>IFERROR(__xludf.DUMMYFUNCTION("""COMPUTED_VALUE"""),"Primary Ball Handler")</f>
        <v>Primary Ball Handler</v>
      </c>
      <c r="F799" s="164">
        <f>IFERROR(__xludf.DUMMYFUNCTION("""COMPUTED_VALUE"""),2924.565)</f>
        <v>2924.565</v>
      </c>
      <c r="G799" s="163">
        <f>IFERROR(__xludf.DUMMYFUNCTION("""COMPUTED_VALUE"""),82.0)</f>
        <v>82</v>
      </c>
      <c r="H799" s="163" t="str">
        <f>IFERROR(__xludf.DUMMYFUNCTION("""COMPUTED_VALUE"""),"PG")</f>
        <v>PG</v>
      </c>
      <c r="I799" s="163">
        <f>IFERROR(__xludf.DUMMYFUNCTION("""COMPUTED_VALUE"""),24.0)</f>
        <v>24</v>
      </c>
      <c r="J799" s="165">
        <f>IFERROR(__xludf.DUMMYFUNCTION("""COMPUTED_VALUE"""),3.54584113407977)</f>
        <v>3.545841134</v>
      </c>
      <c r="K799" s="165">
        <f>IFERROR(__xludf.DUMMYFUNCTION("""COMPUTED_VALUE"""),3.76506610653861)</f>
        <v>3.765066107</v>
      </c>
      <c r="L799" s="165">
        <f>IFERROR(__xludf.DUMMYFUNCTION("""COMPUTED_VALUE"""),-0.219224972458832)</f>
        <v>-0.2192249725</v>
      </c>
      <c r="M799" s="166">
        <f t="shared" si="2"/>
        <v>11.38046942</v>
      </c>
      <c r="N799" s="167">
        <f t="shared" si="3"/>
        <v>35.66542683</v>
      </c>
      <c r="O799" s="163">
        <f t="shared" ref="O799:Q799" si="803">rank(I799,I:I)</f>
        <v>2361</v>
      </c>
      <c r="P799" s="163">
        <f t="shared" si="803"/>
        <v>129</v>
      </c>
      <c r="Q799" s="163">
        <f t="shared" si="803"/>
        <v>74</v>
      </c>
      <c r="R799" s="163">
        <f>IFERROR(__xludf.DUMMYFUNCTION("RANK(M799,filter(M:M,C:C=C799))"),8.0)</f>
        <v>8</v>
      </c>
      <c r="S799" s="161" t="b">
        <f t="shared" si="5"/>
        <v>0</v>
      </c>
      <c r="T799" s="161" t="b">
        <f t="array" ref="T799">index('Query Tool'!B:B,match(H799,'Query Tool'!C:C,0))</f>
        <v>1</v>
      </c>
      <c r="U799" s="161" t="b">
        <f t="array" ref="U799">index('Query Tool'!B:B,match(C799,'Query Tool'!C:C,0))</f>
        <v>0</v>
      </c>
      <c r="V799" s="161" t="b">
        <f>F799&gt;='Query Tool'!C$32</f>
        <v>1</v>
      </c>
      <c r="W799" s="161" t="b">
        <f t="array" ref="W799">index(Dropdowns!B:B,match(I799,Dropdowns!A:A,0))</f>
        <v>1</v>
      </c>
      <c r="X799" s="161" t="b">
        <f t="array" ref="X799">index('Query Tool'!B:B,match(D799,'Query Tool'!C:C,0))</f>
        <v>1</v>
      </c>
      <c r="Y799" s="161" t="str">
        <f t="shared" si="6"/>
        <v>lillada01,2014-15</v>
      </c>
      <c r="Z799" s="168">
        <f t="array" ref="Z799">iferror(index(I:I,match($A799&amp;","&amp;index('Year Conversion'!$A:$A,match($C799,'Year Conversion'!$B:$B,0)),$Y:$Y,0))-I799,"")</f>
        <v>1</v>
      </c>
      <c r="AA799" s="168">
        <f t="array" ref="AA799">iferror(index(J:J,match($A799&amp;","&amp;index('Year Conversion'!$A:$A,match($C799,'Year Conversion'!$B:$B,0)),$Y:$Y,0))-J799,"")</f>
        <v>-1.676266907</v>
      </c>
      <c r="AB799" s="168">
        <f t="array" ref="AB799">iferror(index(K:K,match($A799&amp;","&amp;index('Year Conversion'!$A:$A,match($C799,'Year Conversion'!$B:$B,0)),$Y:$Y,0))-K799,"")</f>
        <v>0.009512828305</v>
      </c>
      <c r="AC799" s="168" t="str">
        <f t="shared" si="7"/>
        <v>POR,2014-15</v>
      </c>
    </row>
    <row r="800">
      <c r="A800" s="161" t="str">
        <f>IFERROR(__xludf.DUMMYFUNCTION("""COMPUTED_VALUE"""),"rosste01")</f>
        <v>rosste01</v>
      </c>
      <c r="B800" s="161" t="str">
        <f>IFERROR(__xludf.DUMMYFUNCTION("""COMPUTED_VALUE"""),"Terrence Ross")</f>
        <v>Terrence Ross</v>
      </c>
      <c r="C800" s="162" t="str">
        <f>IFERROR(__xludf.DUMMYFUNCTION("""COMPUTED_VALUE"""),"2014-15")</f>
        <v>2014-15</v>
      </c>
      <c r="D800" s="163" t="str">
        <f>IFERROR(__xludf.DUMMYFUNCTION("""COMPUTED_VALUE"""),"TOR")</f>
        <v>TOR</v>
      </c>
      <c r="E800" s="164" t="str">
        <f>IFERROR(__xludf.DUMMYFUNCTION("""COMPUTED_VALUE"""),"Movement Shooter")</f>
        <v>Movement Shooter</v>
      </c>
      <c r="F800" s="164">
        <f>IFERROR(__xludf.DUMMYFUNCTION("""COMPUTED_VALUE"""),2091.76833333333)</f>
        <v>2091.768333</v>
      </c>
      <c r="G800" s="163">
        <f>IFERROR(__xludf.DUMMYFUNCTION("""COMPUTED_VALUE"""),82.0)</f>
        <v>82</v>
      </c>
      <c r="H800" s="163" t="str">
        <f>IFERROR(__xludf.DUMMYFUNCTION("""COMPUTED_VALUE"""),"SF")</f>
        <v>SF</v>
      </c>
      <c r="I800" s="163">
        <f>IFERROR(__xludf.DUMMYFUNCTION("""COMPUTED_VALUE"""),23.0)</f>
        <v>23</v>
      </c>
      <c r="J800" s="165">
        <f>IFERROR(__xludf.DUMMYFUNCTION("""COMPUTED_VALUE"""),-1.08414540712156)</f>
        <v>-1.084145407</v>
      </c>
      <c r="K800" s="165">
        <f>IFERROR(__xludf.DUMMYFUNCTION("""COMPUTED_VALUE"""),0.854357393416981)</f>
        <v>0.8543573934</v>
      </c>
      <c r="L800" s="165">
        <f>IFERROR(__xludf.DUMMYFUNCTION("""COMPUTED_VALUE"""),-1.93850280053854)</f>
        <v>-1.938502801</v>
      </c>
      <c r="M800" s="166">
        <f t="shared" si="2"/>
        <v>1.698386182</v>
      </c>
      <c r="N800" s="167">
        <f t="shared" si="3"/>
        <v>25.50936992</v>
      </c>
      <c r="O800" s="163">
        <f t="shared" ref="O800:Q800" si="804">rank(I800,I:I)</f>
        <v>2765</v>
      </c>
      <c r="P800" s="163">
        <f t="shared" si="804"/>
        <v>2595</v>
      </c>
      <c r="Q800" s="163">
        <f t="shared" si="804"/>
        <v>579</v>
      </c>
      <c r="R800" s="163">
        <f>IFERROR(__xludf.DUMMYFUNCTION("RANK(M800,filter(M:M,C:C=C800))"),185.0)</f>
        <v>185</v>
      </c>
      <c r="S800" s="161" t="b">
        <f t="shared" si="5"/>
        <v>0</v>
      </c>
      <c r="T800" s="161" t="b">
        <f t="array" ref="T800">index('Query Tool'!B:B,match(H800,'Query Tool'!C:C,0))</f>
        <v>1</v>
      </c>
      <c r="U800" s="161" t="b">
        <f t="array" ref="U800">index('Query Tool'!B:B,match(C800,'Query Tool'!C:C,0))</f>
        <v>0</v>
      </c>
      <c r="V800" s="161" t="b">
        <f>F800&gt;='Query Tool'!C$32</f>
        <v>1</v>
      </c>
      <c r="W800" s="161" t="b">
        <f t="array" ref="W800">index(Dropdowns!B:B,match(I800,Dropdowns!A:A,0))</f>
        <v>1</v>
      </c>
      <c r="X800" s="161" t="b">
        <f t="array" ref="X800">index('Query Tool'!B:B,match(D800,'Query Tool'!C:C,0))</f>
        <v>1</v>
      </c>
      <c r="Y800" s="161" t="str">
        <f t="shared" si="6"/>
        <v>rosste01,2014-15</v>
      </c>
      <c r="Z800" s="168">
        <f t="array" ref="Z800">iferror(index(I:I,match($A800&amp;","&amp;index('Year Conversion'!$A:$A,match($C800,'Year Conversion'!$B:$B,0)),$Y:$Y,0))-I800,"")</f>
        <v>1</v>
      </c>
      <c r="AA800" s="168">
        <f t="array" ref="AA800">iferror(index(J:J,match($A800&amp;","&amp;index('Year Conversion'!$A:$A,match($C800,'Year Conversion'!$B:$B,0)),$Y:$Y,0))-J800,"")</f>
        <v>1.173754753</v>
      </c>
      <c r="AB800" s="168">
        <f t="array" ref="AB800">iferror(index(K:K,match($A800&amp;","&amp;index('Year Conversion'!$A:$A,match($C800,'Year Conversion'!$B:$B,0)),$Y:$Y,0))-K800,"")</f>
        <v>-0.4191564432</v>
      </c>
      <c r="AC800" s="168" t="str">
        <f t="shared" si="7"/>
        <v>TOR,2014-15</v>
      </c>
    </row>
    <row r="801">
      <c r="A801" s="161" t="str">
        <f>IFERROR(__xludf.DUMMYFUNCTION("""COMPUTED_VALUE"""),"drumman01")</f>
        <v>drumman01</v>
      </c>
      <c r="B801" s="161" t="str">
        <f>IFERROR(__xludf.DUMMYFUNCTION("""COMPUTED_VALUE"""),"Andre Drummond")</f>
        <v>Andre Drummond</v>
      </c>
      <c r="C801" s="162" t="str">
        <f>IFERROR(__xludf.DUMMYFUNCTION("""COMPUTED_VALUE"""),"2014-15")</f>
        <v>2014-15</v>
      </c>
      <c r="D801" s="163" t="str">
        <f>IFERROR(__xludf.DUMMYFUNCTION("""COMPUTED_VALUE"""),"DET")</f>
        <v>DET</v>
      </c>
      <c r="E801" s="164" t="str">
        <f>IFERROR(__xludf.DUMMYFUNCTION("""COMPUTED_VALUE"""),"Post Scorer")</f>
        <v>Post Scorer</v>
      </c>
      <c r="F801" s="164">
        <f>IFERROR(__xludf.DUMMYFUNCTION("""COMPUTED_VALUE"""),2501.85833333333)</f>
        <v>2501.858333</v>
      </c>
      <c r="G801" s="163">
        <f>IFERROR(__xludf.DUMMYFUNCTION("""COMPUTED_VALUE"""),82.0)</f>
        <v>82</v>
      </c>
      <c r="H801" s="163" t="str">
        <f>IFERROR(__xludf.DUMMYFUNCTION("""COMPUTED_VALUE"""),"C")</f>
        <v>C</v>
      </c>
      <c r="I801" s="163">
        <f>IFERROR(__xludf.DUMMYFUNCTION("""COMPUTED_VALUE"""),21.0)</f>
        <v>21</v>
      </c>
      <c r="J801" s="165">
        <f>IFERROR(__xludf.DUMMYFUNCTION("""COMPUTED_VALUE"""),1.21490068836424)</f>
        <v>1.214900688</v>
      </c>
      <c r="K801" s="165">
        <f>IFERROR(__xludf.DUMMYFUNCTION("""COMPUTED_VALUE"""),-0.351633656842443)</f>
        <v>-0.3516336568</v>
      </c>
      <c r="L801" s="165">
        <f>IFERROR(__xludf.DUMMYFUNCTION("""COMPUTED_VALUE"""),1.56653434520668)</f>
        <v>1.566534345</v>
      </c>
      <c r="M801" s="166">
        <f t="shared" si="2"/>
        <v>5.902046471</v>
      </c>
      <c r="N801" s="167">
        <f t="shared" si="3"/>
        <v>30.51046748</v>
      </c>
      <c r="O801" s="163">
        <f t="shared" ref="O801:Q801" si="805">rank(I801,I:I)</f>
        <v>3528</v>
      </c>
      <c r="P801" s="163">
        <f t="shared" si="805"/>
        <v>567</v>
      </c>
      <c r="Q801" s="163">
        <f t="shared" si="805"/>
        <v>1857</v>
      </c>
      <c r="R801" s="163">
        <f>IFERROR(__xludf.DUMMYFUNCTION("RANK(M801,filter(M:M,C:C=C801))"),43.0)</f>
        <v>43</v>
      </c>
      <c r="S801" s="161" t="b">
        <f t="shared" si="5"/>
        <v>0</v>
      </c>
      <c r="T801" s="161" t="b">
        <f t="array" ref="T801">index('Query Tool'!B:B,match(H801,'Query Tool'!C:C,0))</f>
        <v>1</v>
      </c>
      <c r="U801" s="161" t="b">
        <f t="array" ref="U801">index('Query Tool'!B:B,match(C801,'Query Tool'!C:C,0))</f>
        <v>0</v>
      </c>
      <c r="V801" s="161" t="b">
        <f>F801&gt;='Query Tool'!C$32</f>
        <v>1</v>
      </c>
      <c r="W801" s="161" t="b">
        <f t="array" ref="W801">index(Dropdowns!B:B,match(I801,Dropdowns!A:A,0))</f>
        <v>1</v>
      </c>
      <c r="X801" s="161" t="b">
        <f t="array" ref="X801">index('Query Tool'!B:B,match(D801,'Query Tool'!C:C,0))</f>
        <v>1</v>
      </c>
      <c r="Y801" s="161" t="str">
        <f t="shared" si="6"/>
        <v>drumman01,2014-15</v>
      </c>
      <c r="Z801" s="168">
        <f t="array" ref="Z801">iferror(index(I:I,match($A801&amp;","&amp;index('Year Conversion'!$A:$A,match($C801,'Year Conversion'!$B:$B,0)),$Y:$Y,0))-I801,"")</f>
        <v>1</v>
      </c>
      <c r="AA801" s="168">
        <f t="array" ref="AA801">iferror(index(J:J,match($A801&amp;","&amp;index('Year Conversion'!$A:$A,match($C801,'Year Conversion'!$B:$B,0)),$Y:$Y,0))-J801,"")</f>
        <v>2.81518702</v>
      </c>
      <c r="AB801" s="168">
        <f t="array" ref="AB801">iferror(index(K:K,match($A801&amp;","&amp;index('Year Conversion'!$A:$A,match($C801,'Year Conversion'!$B:$B,0)),$Y:$Y,0))-K801,"")</f>
        <v>1.744663756</v>
      </c>
      <c r="AC801" s="168" t="str">
        <f t="shared" si="7"/>
        <v>DET,2014-15</v>
      </c>
    </row>
    <row r="802">
      <c r="A802" s="161" t="str">
        <f>IFERROR(__xludf.DUMMYFUNCTION("""COMPUTED_VALUE"""),"barneha02")</f>
        <v>barneha02</v>
      </c>
      <c r="B802" s="161" t="str">
        <f>IFERROR(__xludf.DUMMYFUNCTION("""COMPUTED_VALUE"""),"Harrison Barnes")</f>
        <v>Harrison Barnes</v>
      </c>
      <c r="C802" s="162" t="str">
        <f>IFERROR(__xludf.DUMMYFUNCTION("""COMPUTED_VALUE"""),"2014-15")</f>
        <v>2014-15</v>
      </c>
      <c r="D802" s="163" t="str">
        <f>IFERROR(__xludf.DUMMYFUNCTION("""COMPUTED_VALUE"""),"GSW")</f>
        <v>GSW</v>
      </c>
      <c r="E802" s="164" t="str">
        <f>IFERROR(__xludf.DUMMYFUNCTION("""COMPUTED_VALUE"""),"Athletic Finisher")</f>
        <v>Athletic Finisher</v>
      </c>
      <c r="F802" s="164">
        <f>IFERROR(__xludf.DUMMYFUNCTION("""COMPUTED_VALUE"""),2318.33166666667)</f>
        <v>2318.331667</v>
      </c>
      <c r="G802" s="163">
        <f>IFERROR(__xludf.DUMMYFUNCTION("""COMPUTED_VALUE"""),82.0)</f>
        <v>82</v>
      </c>
      <c r="H802" s="163" t="str">
        <f>IFERROR(__xludf.DUMMYFUNCTION("""COMPUTED_VALUE"""),"SF")</f>
        <v>SF</v>
      </c>
      <c r="I802" s="163">
        <f>IFERROR(__xludf.DUMMYFUNCTION("""COMPUTED_VALUE"""),22.0)</f>
        <v>22</v>
      </c>
      <c r="J802" s="165">
        <f>IFERROR(__xludf.DUMMYFUNCTION("""COMPUTED_VALUE"""),0.612386167209366)</f>
        <v>0.6123861672</v>
      </c>
      <c r="K802" s="165">
        <f>IFERROR(__xludf.DUMMYFUNCTION("""COMPUTED_VALUE"""),-0.275102035879596)</f>
        <v>-0.2751020359</v>
      </c>
      <c r="L802" s="165">
        <f>IFERROR(__xludf.DUMMYFUNCTION("""COMPUTED_VALUE"""),0.887488203088961)</f>
        <v>0.8874882031</v>
      </c>
      <c r="M802" s="166">
        <f t="shared" si="2"/>
        <v>4.530753201</v>
      </c>
      <c r="N802" s="167">
        <f t="shared" si="3"/>
        <v>28.2723374</v>
      </c>
      <c r="O802" s="163">
        <f t="shared" ref="O802:Q802" si="806">rank(I802,I:I)</f>
        <v>3178</v>
      </c>
      <c r="P802" s="163">
        <f t="shared" si="806"/>
        <v>840</v>
      </c>
      <c r="Q802" s="163">
        <f t="shared" si="806"/>
        <v>1712</v>
      </c>
      <c r="R802" s="163">
        <f>IFERROR(__xludf.DUMMYFUNCTION("RANK(M802,filter(M:M,C:C=C802))"),68.0)</f>
        <v>68</v>
      </c>
      <c r="S802" s="161" t="b">
        <f t="shared" si="5"/>
        <v>0</v>
      </c>
      <c r="T802" s="161" t="b">
        <f t="array" ref="T802">index('Query Tool'!B:B,match(H802,'Query Tool'!C:C,0))</f>
        <v>1</v>
      </c>
      <c r="U802" s="161" t="b">
        <f t="array" ref="U802">index('Query Tool'!B:B,match(C802,'Query Tool'!C:C,0))</f>
        <v>0</v>
      </c>
      <c r="V802" s="161" t="b">
        <f>F802&gt;='Query Tool'!C$32</f>
        <v>1</v>
      </c>
      <c r="W802" s="161" t="b">
        <f t="array" ref="W802">index(Dropdowns!B:B,match(I802,Dropdowns!A:A,0))</f>
        <v>1</v>
      </c>
      <c r="X802" s="161" t="b">
        <f t="array" ref="X802">index('Query Tool'!B:B,match(D802,'Query Tool'!C:C,0))</f>
        <v>1</v>
      </c>
      <c r="Y802" s="161" t="str">
        <f t="shared" si="6"/>
        <v>barneha02,2014-15</v>
      </c>
      <c r="Z802" s="168">
        <f t="array" ref="Z802">iferror(index(I:I,match($A802&amp;","&amp;index('Year Conversion'!$A:$A,match($C802,'Year Conversion'!$B:$B,0)),$Y:$Y,0))-I802,"")</f>
        <v>1</v>
      </c>
      <c r="AA802" s="168">
        <f t="array" ref="AA802">iferror(index(J:J,match($A802&amp;","&amp;index('Year Conversion'!$A:$A,match($C802,'Year Conversion'!$B:$B,0)),$Y:$Y,0))-J802,"")</f>
        <v>-1.636961025</v>
      </c>
      <c r="AB802" s="168">
        <f t="array" ref="AB802">iferror(index(K:K,match($A802&amp;","&amp;index('Year Conversion'!$A:$A,match($C802,'Year Conversion'!$B:$B,0)),$Y:$Y,0))-K802,"")</f>
        <v>0.04740941109</v>
      </c>
      <c r="AC802" s="168" t="str">
        <f t="shared" si="7"/>
        <v>GSW,2014-15</v>
      </c>
    </row>
    <row r="803">
      <c r="A803" s="161" t="str">
        <f>IFERROR(__xludf.DUMMYFUNCTION("""COMPUTED_VALUE"""),"riverau01")</f>
        <v>riverau01</v>
      </c>
      <c r="B803" s="161" t="str">
        <f>IFERROR(__xludf.DUMMYFUNCTION("""COMPUTED_VALUE"""),"Austin Rivers")</f>
        <v>Austin Rivers</v>
      </c>
      <c r="C803" s="162" t="str">
        <f>IFERROR(__xludf.DUMMYFUNCTION("""COMPUTED_VALUE"""),"2014-15")</f>
        <v>2014-15</v>
      </c>
      <c r="D803" s="163" t="str">
        <f>IFERROR(__xludf.DUMMYFUNCTION("""COMPUTED_VALUE"""),"TOT")</f>
        <v>TOT</v>
      </c>
      <c r="E803" s="164" t="str">
        <f>IFERROR(__xludf.DUMMYFUNCTION("""COMPUTED_VALUE"""),"Shot Creator")</f>
        <v>Shot Creator</v>
      </c>
      <c r="F803" s="164">
        <f>IFERROR(__xludf.DUMMYFUNCTION("""COMPUTED_VALUE"""),1562.99)</f>
        <v>1562.99</v>
      </c>
      <c r="G803" s="163">
        <f>IFERROR(__xludf.DUMMYFUNCTION("""COMPUTED_VALUE"""),76.0)</f>
        <v>76</v>
      </c>
      <c r="H803" s="163" t="str">
        <f>IFERROR(__xludf.DUMMYFUNCTION("""COMPUTED_VALUE"""),"PG-SG")</f>
        <v>PG-SG</v>
      </c>
      <c r="I803" s="163">
        <f>IFERROR(__xludf.DUMMYFUNCTION("""COMPUTED_VALUE"""),22.0)</f>
        <v>22</v>
      </c>
      <c r="J803" s="165">
        <f>IFERROR(__xludf.DUMMYFUNCTION("""COMPUTED_VALUE"""),-2.09940400014807)</f>
        <v>-2.099404</v>
      </c>
      <c r="K803" s="165">
        <f>IFERROR(__xludf.DUMMYFUNCTION("""COMPUTED_VALUE"""),-0.685179772988892)</f>
        <v>-0.685179773</v>
      </c>
      <c r="L803" s="165">
        <f>IFERROR(__xludf.DUMMYFUNCTION("""COMPUTED_VALUE"""),-1.41422422715917)</f>
        <v>-1.414224227</v>
      </c>
      <c r="M803" s="166">
        <f t="shared" si="2"/>
        <v>0.210805175</v>
      </c>
      <c r="N803" s="167">
        <f t="shared" si="3"/>
        <v>20.56565789</v>
      </c>
      <c r="O803" s="163">
        <f t="shared" ref="O803:Q803" si="807">rank(I803,I:I)</f>
        <v>3178</v>
      </c>
      <c r="P803" s="163">
        <f t="shared" si="807"/>
        <v>3550</v>
      </c>
      <c r="Q803" s="163">
        <f t="shared" si="807"/>
        <v>2394</v>
      </c>
      <c r="R803" s="163">
        <f>IFERROR(__xludf.DUMMYFUNCTION("RANK(M803,filter(M:M,C:C=C803))"),334.0)</f>
        <v>334</v>
      </c>
      <c r="S803" s="161" t="b">
        <f t="shared" si="5"/>
        <v>0</v>
      </c>
      <c r="T803" s="161" t="str">
        <f t="array" ref="T803">index('Query Tool'!B:B,match(H803,'Query Tool'!C:C,0))</f>
        <v>#N/A</v>
      </c>
      <c r="U803" s="161" t="b">
        <f t="array" ref="U803">index('Query Tool'!B:B,match(C803,'Query Tool'!C:C,0))</f>
        <v>0</v>
      </c>
      <c r="V803" s="161" t="b">
        <f>F803&gt;='Query Tool'!C$32</f>
        <v>1</v>
      </c>
      <c r="W803" s="161" t="b">
        <f t="array" ref="W803">index(Dropdowns!B:B,match(I803,Dropdowns!A:A,0))</f>
        <v>1</v>
      </c>
      <c r="X803" s="161" t="b">
        <f t="array" ref="X803">index('Query Tool'!B:B,match(D803,'Query Tool'!C:C,0))</f>
        <v>1</v>
      </c>
      <c r="Y803" s="161" t="str">
        <f t="shared" si="6"/>
        <v>riverau01,2014-15</v>
      </c>
      <c r="Z803" s="168">
        <f t="array" ref="Z803">iferror(index(I:I,match($A803&amp;","&amp;index('Year Conversion'!$A:$A,match($C803,'Year Conversion'!$B:$B,0)),$Y:$Y,0))-I803,"")</f>
        <v>1</v>
      </c>
      <c r="AA803" s="168">
        <f t="array" ref="AA803">iferror(index(J:J,match($A803&amp;","&amp;index('Year Conversion'!$A:$A,match($C803,'Year Conversion'!$B:$B,0)),$Y:$Y,0))-J803,"")</f>
        <v>-1.118474386</v>
      </c>
      <c r="AB803" s="168">
        <f t="array" ref="AB803">iferror(index(K:K,match($A803&amp;","&amp;index('Year Conversion'!$A:$A,match($C803,'Year Conversion'!$B:$B,0)),$Y:$Y,0))-K803,"")</f>
        <v>-0.8957175318</v>
      </c>
      <c r="AC803" s="168" t="str">
        <f t="shared" si="7"/>
        <v>TOT,2014-15</v>
      </c>
    </row>
    <row r="804">
      <c r="A804" s="161" t="str">
        <f>IFERROR(__xludf.DUMMYFUNCTION("""COMPUTED_VALUE"""),"leoname01")</f>
        <v>leoname01</v>
      </c>
      <c r="B804" s="161" t="str">
        <f>IFERROR(__xludf.DUMMYFUNCTION("""COMPUTED_VALUE"""),"Meyers Leonard")</f>
        <v>Meyers Leonard</v>
      </c>
      <c r="C804" s="162" t="str">
        <f>IFERROR(__xludf.DUMMYFUNCTION("""COMPUTED_VALUE"""),"2014-15")</f>
        <v>2014-15</v>
      </c>
      <c r="D804" s="163" t="str">
        <f>IFERROR(__xludf.DUMMYFUNCTION("""COMPUTED_VALUE"""),"POR")</f>
        <v>POR</v>
      </c>
      <c r="E804" s="164" t="str">
        <f>IFERROR(__xludf.DUMMYFUNCTION("""COMPUTED_VALUE"""),"Stretch Big")</f>
        <v>Stretch Big</v>
      </c>
      <c r="F804" s="164">
        <f>IFERROR(__xludf.DUMMYFUNCTION("""COMPUTED_VALUE"""),846.585)</f>
        <v>846.585</v>
      </c>
      <c r="G804" s="163">
        <f>IFERROR(__xludf.DUMMYFUNCTION("""COMPUTED_VALUE"""),55.0)</f>
        <v>55</v>
      </c>
      <c r="H804" s="163" t="str">
        <f>IFERROR(__xludf.DUMMYFUNCTION("""COMPUTED_VALUE"""),"C")</f>
        <v>C</v>
      </c>
      <c r="I804" s="163">
        <f>IFERROR(__xludf.DUMMYFUNCTION("""COMPUTED_VALUE"""),22.0)</f>
        <v>22</v>
      </c>
      <c r="J804" s="165">
        <f>IFERROR(__xludf.DUMMYFUNCTION("""COMPUTED_VALUE"""),-1.06185677496555)</f>
        <v>-1.061856775</v>
      </c>
      <c r="K804" s="165">
        <f>IFERROR(__xludf.DUMMYFUNCTION("""COMPUTED_VALUE"""),-1.84827430093986)</f>
        <v>-1.848274301</v>
      </c>
      <c r="L804" s="165">
        <f>IFERROR(__xludf.DUMMYFUNCTION("""COMPUTED_VALUE"""),0.786417525974315)</f>
        <v>0.786417526</v>
      </c>
      <c r="M804" s="166">
        <f t="shared" si="2"/>
        <v>0.7000351148</v>
      </c>
      <c r="N804" s="167">
        <f t="shared" si="3"/>
        <v>15.39245455</v>
      </c>
      <c r="O804" s="163">
        <f t="shared" ref="O804:Q804" si="808">rank(I804,I:I)</f>
        <v>3178</v>
      </c>
      <c r="P804" s="163">
        <f t="shared" si="808"/>
        <v>2567</v>
      </c>
      <c r="Q804" s="163">
        <f t="shared" si="808"/>
        <v>3604</v>
      </c>
      <c r="R804" s="163">
        <f>IFERROR(__xludf.DUMMYFUNCTION("RANK(M804,filter(M:M,C:C=C804))"),260.0)</f>
        <v>260</v>
      </c>
      <c r="S804" s="161" t="b">
        <f t="shared" si="5"/>
        <v>0</v>
      </c>
      <c r="T804" s="161" t="b">
        <f t="array" ref="T804">index('Query Tool'!B:B,match(H804,'Query Tool'!C:C,0))</f>
        <v>1</v>
      </c>
      <c r="U804" s="161" t="b">
        <f t="array" ref="U804">index('Query Tool'!B:B,match(C804,'Query Tool'!C:C,0))</f>
        <v>0</v>
      </c>
      <c r="V804" s="161" t="b">
        <f>F804&gt;='Query Tool'!C$32</f>
        <v>1</v>
      </c>
      <c r="W804" s="161" t="b">
        <f t="array" ref="W804">index(Dropdowns!B:B,match(I804,Dropdowns!A:A,0))</f>
        <v>1</v>
      </c>
      <c r="X804" s="161" t="b">
        <f t="array" ref="X804">index('Query Tool'!B:B,match(D804,'Query Tool'!C:C,0))</f>
        <v>1</v>
      </c>
      <c r="Y804" s="161" t="str">
        <f t="shared" si="6"/>
        <v>leoname01,2014-15</v>
      </c>
      <c r="Z804" s="168">
        <f t="array" ref="Z804">iferror(index(I:I,match($A804&amp;","&amp;index('Year Conversion'!$A:$A,match($C804,'Year Conversion'!$B:$B,0)),$Y:$Y,0))-I804,"")</f>
        <v>1</v>
      </c>
      <c r="AA804" s="168">
        <f t="array" ref="AA804">iferror(index(J:J,match($A804&amp;","&amp;index('Year Conversion'!$A:$A,match($C804,'Year Conversion'!$B:$B,0)),$Y:$Y,0))-J804,"")</f>
        <v>-0.2632300467</v>
      </c>
      <c r="AB804" s="168">
        <f t="array" ref="AB804">iferror(index(K:K,match($A804&amp;","&amp;index('Year Conversion'!$A:$A,match($C804,'Year Conversion'!$B:$B,0)),$Y:$Y,0))-K804,"")</f>
        <v>1.683320143</v>
      </c>
      <c r="AC804" s="168" t="str">
        <f t="shared" si="7"/>
        <v>POR,2014-15</v>
      </c>
    </row>
    <row r="805">
      <c r="A805" s="161" t="str">
        <f>IFERROR(__xludf.DUMMYFUNCTION("""COMPUTED_VALUE"""),"lambje01")</f>
        <v>lambje01</v>
      </c>
      <c r="B805" s="161" t="str">
        <f>IFERROR(__xludf.DUMMYFUNCTION("""COMPUTED_VALUE"""),"Jeremy Lamb")</f>
        <v>Jeremy Lamb</v>
      </c>
      <c r="C805" s="162" t="str">
        <f>IFERROR(__xludf.DUMMYFUNCTION("""COMPUTED_VALUE"""),"2014-15")</f>
        <v>2014-15</v>
      </c>
      <c r="D805" s="163" t="str">
        <f>IFERROR(__xludf.DUMMYFUNCTION("""COMPUTED_VALUE"""),"OKC")</f>
        <v>OKC</v>
      </c>
      <c r="E805" s="164" t="str">
        <f>IFERROR(__xludf.DUMMYFUNCTION("""COMPUTED_VALUE"""),"Secondary Ball Handler")</f>
        <v>Secondary Ball Handler</v>
      </c>
      <c r="F805" s="164">
        <f>IFERROR(__xludf.DUMMYFUNCTION("""COMPUTED_VALUE"""),632.663333333334)</f>
        <v>632.6633333</v>
      </c>
      <c r="G805" s="163">
        <f>IFERROR(__xludf.DUMMYFUNCTION("""COMPUTED_VALUE"""),47.0)</f>
        <v>47</v>
      </c>
      <c r="H805" s="163" t="str">
        <f>IFERROR(__xludf.DUMMYFUNCTION("""COMPUTED_VALUE"""),"SG")</f>
        <v>SG</v>
      </c>
      <c r="I805" s="163">
        <f>IFERROR(__xludf.DUMMYFUNCTION("""COMPUTED_VALUE"""),22.0)</f>
        <v>22</v>
      </c>
      <c r="J805" s="165">
        <f>IFERROR(__xludf.DUMMYFUNCTION("""COMPUTED_VALUE"""),-1.10073084401601)</f>
        <v>-1.100730844</v>
      </c>
      <c r="K805" s="165">
        <f>IFERROR(__xludf.DUMMYFUNCTION("""COMPUTED_VALUE"""),0.199875555093129)</f>
        <v>0.1998755551</v>
      </c>
      <c r="L805" s="165">
        <f>IFERROR(__xludf.DUMMYFUNCTION("""COMPUTED_VALUE"""),-1.30060639910914)</f>
        <v>-1.300606399</v>
      </c>
      <c r="M805" s="166">
        <f t="shared" si="2"/>
        <v>0.5066441942</v>
      </c>
      <c r="N805" s="167">
        <f t="shared" si="3"/>
        <v>13.46092199</v>
      </c>
      <c r="O805" s="163">
        <f t="shared" ref="O805:Q805" si="809">rank(I805,I:I)</f>
        <v>3178</v>
      </c>
      <c r="P805" s="163">
        <f t="shared" si="809"/>
        <v>2612</v>
      </c>
      <c r="Q805" s="163">
        <f t="shared" si="809"/>
        <v>981</v>
      </c>
      <c r="R805" s="163">
        <f>IFERROR(__xludf.DUMMYFUNCTION("RANK(M805,filter(M:M,C:C=C805))"),284.0)</f>
        <v>284</v>
      </c>
      <c r="S805" s="161" t="b">
        <f t="shared" si="5"/>
        <v>0</v>
      </c>
      <c r="T805" s="161" t="b">
        <f t="array" ref="T805">index('Query Tool'!B:B,match(H805,'Query Tool'!C:C,0))</f>
        <v>1</v>
      </c>
      <c r="U805" s="161" t="b">
        <f t="array" ref="U805">index('Query Tool'!B:B,match(C805,'Query Tool'!C:C,0))</f>
        <v>0</v>
      </c>
      <c r="V805" s="161" t="b">
        <f>F805&gt;='Query Tool'!C$32</f>
        <v>1</v>
      </c>
      <c r="W805" s="161" t="b">
        <f t="array" ref="W805">index(Dropdowns!B:B,match(I805,Dropdowns!A:A,0))</f>
        <v>1</v>
      </c>
      <c r="X805" s="161" t="b">
        <f t="array" ref="X805">index('Query Tool'!B:B,match(D805,'Query Tool'!C:C,0))</f>
        <v>1</v>
      </c>
      <c r="Y805" s="161" t="str">
        <f t="shared" si="6"/>
        <v>lambje01,2014-15</v>
      </c>
      <c r="Z805" s="168">
        <f t="array" ref="Z805">iferror(index(I:I,match($A805&amp;","&amp;index('Year Conversion'!$A:$A,match($C805,'Year Conversion'!$B:$B,0)),$Y:$Y,0))-I805,"")</f>
        <v>1</v>
      </c>
      <c r="AA805" s="168">
        <f t="array" ref="AA805">iferror(index(J:J,match($A805&amp;","&amp;index('Year Conversion'!$A:$A,match($C805,'Year Conversion'!$B:$B,0)),$Y:$Y,0))-J805,"")</f>
        <v>1.320772477</v>
      </c>
      <c r="AB805" s="168">
        <f t="array" ref="AB805">iferror(index(K:K,match($A805&amp;","&amp;index('Year Conversion'!$A:$A,match($C805,'Year Conversion'!$B:$B,0)),$Y:$Y,0))-K805,"")</f>
        <v>-0.544995756</v>
      </c>
      <c r="AC805" s="168" t="str">
        <f t="shared" si="7"/>
        <v>OKC,2014-15</v>
      </c>
    </row>
    <row r="806">
      <c r="A806" s="161" t="str">
        <f>IFERROR(__xludf.DUMMYFUNCTION("""COMPUTED_VALUE"""),"marshke01")</f>
        <v>marshke01</v>
      </c>
      <c r="B806" s="161" t="str">
        <f>IFERROR(__xludf.DUMMYFUNCTION("""COMPUTED_VALUE"""),"Kendall Marshall")</f>
        <v>Kendall Marshall</v>
      </c>
      <c r="C806" s="162" t="str">
        <f>IFERROR(__xludf.DUMMYFUNCTION("""COMPUTED_VALUE"""),"2014-15")</f>
        <v>2014-15</v>
      </c>
      <c r="D806" s="163" t="str">
        <f>IFERROR(__xludf.DUMMYFUNCTION("""COMPUTED_VALUE"""),"MIL")</f>
        <v>MIL</v>
      </c>
      <c r="E806" s="164" t="str">
        <f>IFERROR(__xludf.DUMMYFUNCTION("""COMPUTED_VALUE"""),"Secondary Ball Handler")</f>
        <v>Secondary Ball Handler</v>
      </c>
      <c r="F806" s="164">
        <f>IFERROR(__xludf.DUMMYFUNCTION("""COMPUTED_VALUE"""),417.45)</f>
        <v>417.45</v>
      </c>
      <c r="G806" s="163">
        <f>IFERROR(__xludf.DUMMYFUNCTION("""COMPUTED_VALUE"""),28.0)</f>
        <v>28</v>
      </c>
      <c r="H806" s="163" t="str">
        <f>IFERROR(__xludf.DUMMYFUNCTION("""COMPUTED_VALUE"""),"PG")</f>
        <v>PG</v>
      </c>
      <c r="I806" s="163">
        <f>IFERROR(__xludf.DUMMYFUNCTION("""COMPUTED_VALUE"""),23.0)</f>
        <v>23</v>
      </c>
      <c r="J806" s="165">
        <f>IFERROR(__xludf.DUMMYFUNCTION("""COMPUTED_VALUE"""),-0.898916720767666)</f>
        <v>-0.8989167208</v>
      </c>
      <c r="K806" s="165">
        <f>IFERROR(__xludf.DUMMYFUNCTION("""COMPUTED_VALUE"""),-0.138999108912775)</f>
        <v>-0.1389991089</v>
      </c>
      <c r="L806" s="165">
        <f>IFERROR(__xludf.DUMMYFUNCTION("""COMPUTED_VALUE"""),-0.759917611854892)</f>
        <v>-0.7599176119</v>
      </c>
      <c r="M806" s="166">
        <f t="shared" si="2"/>
        <v>0.3908607531</v>
      </c>
      <c r="N806" s="167">
        <f t="shared" si="3"/>
        <v>14.90892857</v>
      </c>
      <c r="O806" s="163">
        <f t="shared" ref="O806:Q806" si="810">rank(I806,I:I)</f>
        <v>2765</v>
      </c>
      <c r="P806" s="163">
        <f t="shared" si="810"/>
        <v>2391</v>
      </c>
      <c r="Q806" s="163">
        <f t="shared" si="810"/>
        <v>1463</v>
      </c>
      <c r="R806" s="163">
        <f>IFERROR(__xludf.DUMMYFUNCTION("RANK(M806,filter(M:M,C:C=C806))"),296.0)</f>
        <v>296</v>
      </c>
      <c r="S806" s="161" t="b">
        <f t="shared" si="5"/>
        <v>0</v>
      </c>
      <c r="T806" s="161" t="b">
        <f t="array" ref="T806">index('Query Tool'!B:B,match(H806,'Query Tool'!C:C,0))</f>
        <v>1</v>
      </c>
      <c r="U806" s="161" t="b">
        <f t="array" ref="U806">index('Query Tool'!B:B,match(C806,'Query Tool'!C:C,0))</f>
        <v>0</v>
      </c>
      <c r="V806" s="161" t="b">
        <f>F806&gt;='Query Tool'!C$32</f>
        <v>0</v>
      </c>
      <c r="W806" s="161" t="b">
        <f t="array" ref="W806">index(Dropdowns!B:B,match(I806,Dropdowns!A:A,0))</f>
        <v>1</v>
      </c>
      <c r="X806" s="161" t="b">
        <f t="array" ref="X806">index('Query Tool'!B:B,match(D806,'Query Tool'!C:C,0))</f>
        <v>1</v>
      </c>
      <c r="Y806" s="161" t="str">
        <f t="shared" si="6"/>
        <v>marshke01,2014-15</v>
      </c>
      <c r="Z806" s="168">
        <f t="array" ref="Z806">iferror(index(I:I,match($A806&amp;","&amp;index('Year Conversion'!$A:$A,match($C806,'Year Conversion'!$B:$B,0)),$Y:$Y,0))-I806,"")</f>
        <v>1</v>
      </c>
      <c r="AA806" s="168">
        <f t="array" ref="AA806">iferror(index(J:J,match($A806&amp;","&amp;index('Year Conversion'!$A:$A,match($C806,'Year Conversion'!$B:$B,0)),$Y:$Y,0))-J806,"")</f>
        <v>-1.931664348</v>
      </c>
      <c r="AB806" s="168">
        <f t="array" ref="AB806">iferror(index(K:K,match($A806&amp;","&amp;index('Year Conversion'!$A:$A,match($C806,'Year Conversion'!$B:$B,0)),$Y:$Y,0))-K806,"")</f>
        <v>-1.571884778</v>
      </c>
      <c r="AC806" s="168" t="str">
        <f t="shared" si="7"/>
        <v>MIL,2014-15</v>
      </c>
    </row>
    <row r="807">
      <c r="A807" s="161" t="str">
        <f>IFERROR(__xludf.DUMMYFUNCTION("""COMPUTED_VALUE"""),"hensojo01")</f>
        <v>hensojo01</v>
      </c>
      <c r="B807" s="161" t="str">
        <f>IFERROR(__xludf.DUMMYFUNCTION("""COMPUTED_VALUE"""),"John Henson")</f>
        <v>John Henson</v>
      </c>
      <c r="C807" s="162" t="str">
        <f>IFERROR(__xludf.DUMMYFUNCTION("""COMPUTED_VALUE"""),"2014-15")</f>
        <v>2014-15</v>
      </c>
      <c r="D807" s="163" t="str">
        <f>IFERROR(__xludf.DUMMYFUNCTION("""COMPUTED_VALUE"""),"MIL")</f>
        <v>MIL</v>
      </c>
      <c r="E807" s="164" t="str">
        <f>IFERROR(__xludf.DUMMYFUNCTION("""COMPUTED_VALUE"""),"Roll + Cut Big")</f>
        <v>Roll + Cut Big</v>
      </c>
      <c r="F807" s="164">
        <f>IFERROR(__xludf.DUMMYFUNCTION("""COMPUTED_VALUE"""),1228.465)</f>
        <v>1228.465</v>
      </c>
      <c r="G807" s="163">
        <f>IFERROR(__xludf.DUMMYFUNCTION("""COMPUTED_VALUE"""),67.0)</f>
        <v>67</v>
      </c>
      <c r="H807" s="163" t="str">
        <f>IFERROR(__xludf.DUMMYFUNCTION("""COMPUTED_VALUE"""),"C")</f>
        <v>C</v>
      </c>
      <c r="I807" s="163">
        <f>IFERROR(__xludf.DUMMYFUNCTION("""COMPUTED_VALUE"""),24.0)</f>
        <v>24</v>
      </c>
      <c r="J807" s="165">
        <f>IFERROR(__xludf.DUMMYFUNCTION("""COMPUTED_VALUE"""),0.0177580287268051)</f>
        <v>0.01775802873</v>
      </c>
      <c r="K807" s="165">
        <f>IFERROR(__xludf.DUMMYFUNCTION("""COMPUTED_VALUE"""),-1.99513603582183)</f>
        <v>-1.995136036</v>
      </c>
      <c r="L807" s="165">
        <f>IFERROR(__xludf.DUMMYFUNCTION("""COMPUTED_VALUE"""),2.01289406454863)</f>
        <v>2.012894065</v>
      </c>
      <c r="M807" s="166">
        <f t="shared" si="2"/>
        <v>1.908591065</v>
      </c>
      <c r="N807" s="167">
        <f t="shared" si="3"/>
        <v>18.33529851</v>
      </c>
      <c r="O807" s="163">
        <f t="shared" ref="O807:Q807" si="811">rank(I807,I:I)</f>
        <v>2361</v>
      </c>
      <c r="P807" s="163">
        <f t="shared" si="811"/>
        <v>1271</v>
      </c>
      <c r="Q807" s="163">
        <f t="shared" si="811"/>
        <v>3709</v>
      </c>
      <c r="R807" s="163">
        <f>IFERROR(__xludf.DUMMYFUNCTION("RANK(M807,filter(M:M,C:C=C807))"),170.0)</f>
        <v>170</v>
      </c>
      <c r="S807" s="161" t="b">
        <f t="shared" si="5"/>
        <v>0</v>
      </c>
      <c r="T807" s="161" t="b">
        <f t="array" ref="T807">index('Query Tool'!B:B,match(H807,'Query Tool'!C:C,0))</f>
        <v>1</v>
      </c>
      <c r="U807" s="161" t="b">
        <f t="array" ref="U807">index('Query Tool'!B:B,match(C807,'Query Tool'!C:C,0))</f>
        <v>0</v>
      </c>
      <c r="V807" s="161" t="b">
        <f>F807&gt;='Query Tool'!C$32</f>
        <v>1</v>
      </c>
      <c r="W807" s="161" t="b">
        <f t="array" ref="W807">index(Dropdowns!B:B,match(I807,Dropdowns!A:A,0))</f>
        <v>1</v>
      </c>
      <c r="X807" s="161" t="b">
        <f t="array" ref="X807">index('Query Tool'!B:B,match(D807,'Query Tool'!C:C,0))</f>
        <v>1</v>
      </c>
      <c r="Y807" s="161" t="str">
        <f t="shared" si="6"/>
        <v>hensojo01,2014-15</v>
      </c>
      <c r="Z807" s="168">
        <f t="array" ref="Z807">iferror(index(I:I,match($A807&amp;","&amp;index('Year Conversion'!$A:$A,match($C807,'Year Conversion'!$B:$B,0)),$Y:$Y,0))-I807,"")</f>
        <v>1</v>
      </c>
      <c r="AA807" s="168">
        <f t="array" ref="AA807">iferror(index(J:J,match($A807&amp;","&amp;index('Year Conversion'!$A:$A,match($C807,'Year Conversion'!$B:$B,0)),$Y:$Y,0))-J807,"")</f>
        <v>0.05916849283</v>
      </c>
      <c r="AB807" s="168">
        <f t="array" ref="AB807">iferror(index(K:K,match($A807&amp;","&amp;index('Year Conversion'!$A:$A,match($C807,'Year Conversion'!$B:$B,0)),$Y:$Y,0))-K807,"")</f>
        <v>0.5397676822</v>
      </c>
      <c r="AC807" s="168" t="str">
        <f t="shared" si="7"/>
        <v>MIL,2014-15</v>
      </c>
    </row>
    <row r="808">
      <c r="A808" s="161" t="str">
        <f>IFERROR(__xludf.DUMMYFUNCTION("""COMPUTED_VALUE"""),"harklma01")</f>
        <v>harklma01</v>
      </c>
      <c r="B808" s="161" t="str">
        <f>IFERROR(__xludf.DUMMYFUNCTION("""COMPUTED_VALUE"""),"Maurice Harkless")</f>
        <v>Maurice Harkless</v>
      </c>
      <c r="C808" s="162" t="str">
        <f>IFERROR(__xludf.DUMMYFUNCTION("""COMPUTED_VALUE"""),"2014-15")</f>
        <v>2014-15</v>
      </c>
      <c r="D808" s="163" t="str">
        <f>IFERROR(__xludf.DUMMYFUNCTION("""COMPUTED_VALUE"""),"ORL")</f>
        <v>ORL</v>
      </c>
      <c r="E808" s="164" t="str">
        <f>IFERROR(__xludf.DUMMYFUNCTION("""COMPUTED_VALUE"""),"Athletic Finisher")</f>
        <v>Athletic Finisher</v>
      </c>
      <c r="F808" s="164">
        <f>IFERROR(__xludf.DUMMYFUNCTION("""COMPUTED_VALUE"""),674.223333333333)</f>
        <v>674.2233333</v>
      </c>
      <c r="G808" s="163">
        <f>IFERROR(__xludf.DUMMYFUNCTION("""COMPUTED_VALUE"""),45.0)</f>
        <v>45</v>
      </c>
      <c r="H808" s="163" t="str">
        <f>IFERROR(__xludf.DUMMYFUNCTION("""COMPUTED_VALUE"""),"SF")</f>
        <v>SF</v>
      </c>
      <c r="I808" s="163">
        <f>IFERROR(__xludf.DUMMYFUNCTION("""COMPUTED_VALUE"""),21.0)</f>
        <v>21</v>
      </c>
      <c r="J808" s="165">
        <f>IFERROR(__xludf.DUMMYFUNCTION("""COMPUTED_VALUE"""),-0.145464710188969)</f>
        <v>-0.1454647102</v>
      </c>
      <c r="K808" s="165">
        <f>IFERROR(__xludf.DUMMYFUNCTION("""COMPUTED_VALUE"""),-0.981035685452597)</f>
        <v>-0.9810356855</v>
      </c>
      <c r="L808" s="165">
        <f>IFERROR(__xludf.DUMMYFUNCTION("""COMPUTED_VALUE"""),0.835570975263627)</f>
        <v>0.8355709753</v>
      </c>
      <c r="M808" s="166">
        <f t="shared" si="2"/>
        <v>0.9733079432</v>
      </c>
      <c r="N808" s="167">
        <f t="shared" si="3"/>
        <v>14.98274074</v>
      </c>
      <c r="O808" s="163">
        <f t="shared" ref="O808:Q808" si="812">rank(I808,I:I)</f>
        <v>3528</v>
      </c>
      <c r="P808" s="163">
        <f t="shared" si="812"/>
        <v>1433</v>
      </c>
      <c r="Q808" s="163">
        <f t="shared" si="812"/>
        <v>2776</v>
      </c>
      <c r="R808" s="163">
        <f>IFERROR(__xludf.DUMMYFUNCTION("RANK(M808,filter(M:M,C:C=C808))"),233.0)</f>
        <v>233</v>
      </c>
      <c r="S808" s="161" t="b">
        <f t="shared" si="5"/>
        <v>0</v>
      </c>
      <c r="T808" s="161" t="b">
        <f t="array" ref="T808">index('Query Tool'!B:B,match(H808,'Query Tool'!C:C,0))</f>
        <v>1</v>
      </c>
      <c r="U808" s="161" t="b">
        <f t="array" ref="U808">index('Query Tool'!B:B,match(C808,'Query Tool'!C:C,0))</f>
        <v>0</v>
      </c>
      <c r="V808" s="161" t="b">
        <f>F808&gt;='Query Tool'!C$32</f>
        <v>1</v>
      </c>
      <c r="W808" s="161" t="b">
        <f t="array" ref="W808">index(Dropdowns!B:B,match(I808,Dropdowns!A:A,0))</f>
        <v>1</v>
      </c>
      <c r="X808" s="161" t="b">
        <f t="array" ref="X808">index('Query Tool'!B:B,match(D808,'Query Tool'!C:C,0))</f>
        <v>1</v>
      </c>
      <c r="Y808" s="161" t="str">
        <f t="shared" si="6"/>
        <v>harklma01,2014-15</v>
      </c>
      <c r="Z808" s="168">
        <f t="array" ref="Z808">iferror(index(I:I,match($A808&amp;","&amp;index('Year Conversion'!$A:$A,match($C808,'Year Conversion'!$B:$B,0)),$Y:$Y,0))-I808,"")</f>
        <v>1</v>
      </c>
      <c r="AA808" s="168">
        <f t="array" ref="AA808">iferror(index(J:J,match($A808&amp;","&amp;index('Year Conversion'!$A:$A,match($C808,'Year Conversion'!$B:$B,0)),$Y:$Y,0))-J808,"")</f>
        <v>-0.2652108516</v>
      </c>
      <c r="AB808" s="168">
        <f t="array" ref="AB808">iferror(index(K:K,match($A808&amp;","&amp;index('Year Conversion'!$A:$A,match($C808,'Year Conversion'!$B:$B,0)),$Y:$Y,0))-K808,"")</f>
        <v>0.5617885662</v>
      </c>
      <c r="AC808" s="168" t="str">
        <f t="shared" si="7"/>
        <v>ORL,2014-15</v>
      </c>
    </row>
    <row r="809">
      <c r="A809" s="161" t="str">
        <f>IFERROR(__xludf.DUMMYFUNCTION("""COMPUTED_VALUE"""),"zellety01")</f>
        <v>zellety01</v>
      </c>
      <c r="B809" s="161" t="str">
        <f>IFERROR(__xludf.DUMMYFUNCTION("""COMPUTED_VALUE"""),"Tyler Zeller")</f>
        <v>Tyler Zeller</v>
      </c>
      <c r="C809" s="162" t="str">
        <f>IFERROR(__xludf.DUMMYFUNCTION("""COMPUTED_VALUE"""),"2014-15")</f>
        <v>2014-15</v>
      </c>
      <c r="D809" s="163" t="str">
        <f>IFERROR(__xludf.DUMMYFUNCTION("""COMPUTED_VALUE"""),"BOS")</f>
        <v>BOS</v>
      </c>
      <c r="E809" s="164" t="str">
        <f>IFERROR(__xludf.DUMMYFUNCTION("""COMPUTED_VALUE"""),"Roll + Cut Big")</f>
        <v>Roll + Cut Big</v>
      </c>
      <c r="F809" s="164">
        <f>IFERROR(__xludf.DUMMYFUNCTION("""COMPUTED_VALUE"""),1730.775)</f>
        <v>1730.775</v>
      </c>
      <c r="G809" s="163">
        <f>IFERROR(__xludf.DUMMYFUNCTION("""COMPUTED_VALUE"""),82.0)</f>
        <v>82</v>
      </c>
      <c r="H809" s="163" t="str">
        <f>IFERROR(__xludf.DUMMYFUNCTION("""COMPUTED_VALUE"""),"C")</f>
        <v>C</v>
      </c>
      <c r="I809" s="163">
        <f>IFERROR(__xludf.DUMMYFUNCTION("""COMPUTED_VALUE"""),25.0)</f>
        <v>25</v>
      </c>
      <c r="J809" s="165">
        <f>IFERROR(__xludf.DUMMYFUNCTION("""COMPUTED_VALUE"""),-0.505351752840922)</f>
        <v>-0.5053517528</v>
      </c>
      <c r="K809" s="165">
        <f>IFERROR(__xludf.DUMMYFUNCTION("""COMPUTED_VALUE"""),-0.953321126566343)</f>
        <v>-0.9533211266</v>
      </c>
      <c r="L809" s="165">
        <f>IFERROR(__xludf.DUMMYFUNCTION("""COMPUTED_VALUE"""),0.447969373725421)</f>
        <v>0.4479693737</v>
      </c>
      <c r="M809" s="166">
        <f t="shared" si="2"/>
        <v>2.078806993</v>
      </c>
      <c r="N809" s="167">
        <f t="shared" si="3"/>
        <v>21.1070122</v>
      </c>
      <c r="O809" s="163">
        <f t="shared" ref="O809:Q809" si="813">rank(I809,I:I)</f>
        <v>1995</v>
      </c>
      <c r="P809" s="163">
        <f t="shared" si="813"/>
        <v>1864</v>
      </c>
      <c r="Q809" s="163">
        <f t="shared" si="813"/>
        <v>2747</v>
      </c>
      <c r="R809" s="163">
        <f>IFERROR(__xludf.DUMMYFUNCTION("RANK(M809,filter(M:M,C:C=C809))"),163.0)</f>
        <v>163</v>
      </c>
      <c r="S809" s="161" t="b">
        <f t="shared" si="5"/>
        <v>0</v>
      </c>
      <c r="T809" s="161" t="b">
        <f t="array" ref="T809">index('Query Tool'!B:B,match(H809,'Query Tool'!C:C,0))</f>
        <v>1</v>
      </c>
      <c r="U809" s="161" t="b">
        <f t="array" ref="U809">index('Query Tool'!B:B,match(C809,'Query Tool'!C:C,0))</f>
        <v>0</v>
      </c>
      <c r="V809" s="161" t="b">
        <f>F809&gt;='Query Tool'!C$32</f>
        <v>1</v>
      </c>
      <c r="W809" s="161" t="b">
        <f t="array" ref="W809">index(Dropdowns!B:B,match(I809,Dropdowns!A:A,0))</f>
        <v>1</v>
      </c>
      <c r="X809" s="161" t="b">
        <f t="array" ref="X809">index('Query Tool'!B:B,match(D809,'Query Tool'!C:C,0))</f>
        <v>1</v>
      </c>
      <c r="Y809" s="161" t="str">
        <f t="shared" si="6"/>
        <v>zellety01,2014-15</v>
      </c>
      <c r="Z809" s="168">
        <f t="array" ref="Z809">iferror(index(I:I,match($A809&amp;","&amp;index('Year Conversion'!$A:$A,match($C809,'Year Conversion'!$B:$B,0)),$Y:$Y,0))-I809,"")</f>
        <v>1</v>
      </c>
      <c r="AA809" s="168">
        <f t="array" ref="AA809">iferror(index(J:J,match($A809&amp;","&amp;index('Year Conversion'!$A:$A,match($C809,'Year Conversion'!$B:$B,0)),$Y:$Y,0))-J809,"")</f>
        <v>-1.57001329</v>
      </c>
      <c r="AB809" s="168">
        <f t="array" ref="AB809">iferror(index(K:K,match($A809&amp;","&amp;index('Year Conversion'!$A:$A,match($C809,'Year Conversion'!$B:$B,0)),$Y:$Y,0))-K809,"")</f>
        <v>-0.8377910929</v>
      </c>
      <c r="AC809" s="168" t="str">
        <f t="shared" si="7"/>
        <v>BOS,2014-15</v>
      </c>
    </row>
    <row r="810">
      <c r="A810" s="161" t="str">
        <f>IFERROR(__xludf.DUMMYFUNCTION("""COMPUTED_VALUE"""),"joneste01")</f>
        <v>joneste01</v>
      </c>
      <c r="B810" s="161" t="str">
        <f>IFERROR(__xludf.DUMMYFUNCTION("""COMPUTED_VALUE"""),"Terrence Jones")</f>
        <v>Terrence Jones</v>
      </c>
      <c r="C810" s="162" t="str">
        <f>IFERROR(__xludf.DUMMYFUNCTION("""COMPUTED_VALUE"""),"2014-15")</f>
        <v>2014-15</v>
      </c>
      <c r="D810" s="163" t="str">
        <f>IFERROR(__xludf.DUMMYFUNCTION("""COMPUTED_VALUE"""),"HOU")</f>
        <v>HOU</v>
      </c>
      <c r="E810" s="164" t="str">
        <f>IFERROR(__xludf.DUMMYFUNCTION("""COMPUTED_VALUE"""),"Roll + Cut Big")</f>
        <v>Roll + Cut Big</v>
      </c>
      <c r="F810" s="164">
        <f>IFERROR(__xludf.DUMMYFUNCTION("""COMPUTED_VALUE"""),889.471666666667)</f>
        <v>889.4716667</v>
      </c>
      <c r="G810" s="163">
        <f>IFERROR(__xludf.DUMMYFUNCTION("""COMPUTED_VALUE"""),33.0)</f>
        <v>33</v>
      </c>
      <c r="H810" s="163" t="str">
        <f>IFERROR(__xludf.DUMMYFUNCTION("""COMPUTED_VALUE"""),"PF")</f>
        <v>PF</v>
      </c>
      <c r="I810" s="163">
        <f>IFERROR(__xludf.DUMMYFUNCTION("""COMPUTED_VALUE"""),23.0)</f>
        <v>23</v>
      </c>
      <c r="J810" s="165">
        <f>IFERROR(__xludf.DUMMYFUNCTION("""COMPUTED_VALUE"""),0.278331180154789)</f>
        <v>0.2783311802</v>
      </c>
      <c r="K810" s="165">
        <f>IFERROR(__xludf.DUMMYFUNCTION("""COMPUTED_VALUE"""),-0.518694945466539)</f>
        <v>-0.5186949455</v>
      </c>
      <c r="L810" s="165">
        <f>IFERROR(__xludf.DUMMYFUNCTION("""COMPUTED_VALUE"""),0.797026125621328)</f>
        <v>0.7970261256</v>
      </c>
      <c r="M810" s="166">
        <f t="shared" si="2"/>
        <v>1.538158481</v>
      </c>
      <c r="N810" s="167">
        <f t="shared" si="3"/>
        <v>26.95368687</v>
      </c>
      <c r="O810" s="163">
        <f t="shared" ref="O810:Q810" si="814">rank(I810,I:I)</f>
        <v>2765</v>
      </c>
      <c r="P810" s="163">
        <f t="shared" si="814"/>
        <v>1035</v>
      </c>
      <c r="Q810" s="163">
        <f t="shared" si="814"/>
        <v>2137</v>
      </c>
      <c r="R810" s="163">
        <f>IFERROR(__xludf.DUMMYFUNCTION("RANK(M810,filter(M:M,C:C=C810))"),193.0)</f>
        <v>193</v>
      </c>
      <c r="S810" s="161" t="b">
        <f t="shared" si="5"/>
        <v>0</v>
      </c>
      <c r="T810" s="161" t="b">
        <f t="array" ref="T810">index('Query Tool'!B:B,match(H810,'Query Tool'!C:C,0))</f>
        <v>1</v>
      </c>
      <c r="U810" s="161" t="b">
        <f t="array" ref="U810">index('Query Tool'!B:B,match(C810,'Query Tool'!C:C,0))</f>
        <v>0</v>
      </c>
      <c r="V810" s="161" t="b">
        <f>F810&gt;='Query Tool'!C$32</f>
        <v>1</v>
      </c>
      <c r="W810" s="161" t="b">
        <f t="array" ref="W810">index(Dropdowns!B:B,match(I810,Dropdowns!A:A,0))</f>
        <v>1</v>
      </c>
      <c r="X810" s="161" t="b">
        <f t="array" ref="X810">index('Query Tool'!B:B,match(D810,'Query Tool'!C:C,0))</f>
        <v>1</v>
      </c>
      <c r="Y810" s="161" t="str">
        <f t="shared" si="6"/>
        <v>joneste01,2014-15</v>
      </c>
      <c r="Z810" s="168">
        <f t="array" ref="Z810">iferror(index(I:I,match($A810&amp;","&amp;index('Year Conversion'!$A:$A,match($C810,'Year Conversion'!$B:$B,0)),$Y:$Y,0))-I810,"")</f>
        <v>1</v>
      </c>
      <c r="AA810" s="168">
        <f t="array" ref="AA810">iferror(index(J:J,match($A810&amp;","&amp;index('Year Conversion'!$A:$A,match($C810,'Year Conversion'!$B:$B,0)),$Y:$Y,0))-J810,"")</f>
        <v>-3.551720174</v>
      </c>
      <c r="AB810" s="168">
        <f t="array" ref="AB810">iferror(index(K:K,match($A810&amp;","&amp;index('Year Conversion'!$A:$A,match($C810,'Year Conversion'!$B:$B,0)),$Y:$Y,0))-K810,"")</f>
        <v>-1.398478138</v>
      </c>
      <c r="AC810" s="168" t="str">
        <f t="shared" si="7"/>
        <v>HOU,2014-15</v>
      </c>
    </row>
    <row r="811">
      <c r="A811" s="161" t="str">
        <f>IFERROR(__xludf.DUMMYFUNCTION("""COMPUTED_VALUE"""),"nichoan01")</f>
        <v>nichoan01</v>
      </c>
      <c r="B811" s="161" t="str">
        <f>IFERROR(__xludf.DUMMYFUNCTION("""COMPUTED_VALUE"""),"Andrew Nicholson")</f>
        <v>Andrew Nicholson</v>
      </c>
      <c r="C811" s="162" t="str">
        <f>IFERROR(__xludf.DUMMYFUNCTION("""COMPUTED_VALUE"""),"2014-15")</f>
        <v>2014-15</v>
      </c>
      <c r="D811" s="163" t="str">
        <f>IFERROR(__xludf.DUMMYFUNCTION("""COMPUTED_VALUE"""),"ORL")</f>
        <v>ORL</v>
      </c>
      <c r="E811" s="164" t="str">
        <f>IFERROR(__xludf.DUMMYFUNCTION("""COMPUTED_VALUE"""),"Post Scorer")</f>
        <v>Post Scorer</v>
      </c>
      <c r="F811" s="164">
        <f>IFERROR(__xludf.DUMMYFUNCTION("""COMPUTED_VALUE"""),492.096666666667)</f>
        <v>492.0966667</v>
      </c>
      <c r="G811" s="163">
        <f>IFERROR(__xludf.DUMMYFUNCTION("""COMPUTED_VALUE"""),40.0)</f>
        <v>40</v>
      </c>
      <c r="H811" s="163" t="str">
        <f>IFERROR(__xludf.DUMMYFUNCTION("""COMPUTED_VALUE"""),"PF")</f>
        <v>PF</v>
      </c>
      <c r="I811" s="163">
        <f>IFERROR(__xludf.DUMMYFUNCTION("""COMPUTED_VALUE"""),25.0)</f>
        <v>25</v>
      </c>
      <c r="J811" s="165">
        <f>IFERROR(__xludf.DUMMYFUNCTION("""COMPUTED_VALUE"""),-1.55065247439813)</f>
        <v>-1.550652474</v>
      </c>
      <c r="K811" s="165">
        <f>IFERROR(__xludf.DUMMYFUNCTION("""COMPUTED_VALUE"""),-1.49981190375876)</f>
        <v>-1.499811904</v>
      </c>
      <c r="L811" s="165">
        <f>IFERROR(__xludf.DUMMYFUNCTION("""COMPUTED_VALUE"""),-0.0508405706393729)</f>
        <v>-0.05084057064</v>
      </c>
      <c r="M811" s="166">
        <f t="shared" si="2"/>
        <v>0.2459059846</v>
      </c>
      <c r="N811" s="167">
        <f t="shared" si="3"/>
        <v>12.30241667</v>
      </c>
      <c r="O811" s="163">
        <f t="shared" ref="O811:Q811" si="815">rank(I811,I:I)</f>
        <v>1995</v>
      </c>
      <c r="P811" s="163">
        <f t="shared" si="815"/>
        <v>3100</v>
      </c>
      <c r="Q811" s="163">
        <f t="shared" si="815"/>
        <v>3351</v>
      </c>
      <c r="R811" s="163">
        <f>IFERROR(__xludf.DUMMYFUNCTION("RANK(M811,filter(M:M,C:C=C811))"),323.0)</f>
        <v>323</v>
      </c>
      <c r="S811" s="161" t="b">
        <f t="shared" si="5"/>
        <v>0</v>
      </c>
      <c r="T811" s="161" t="b">
        <f t="array" ref="T811">index('Query Tool'!B:B,match(H811,'Query Tool'!C:C,0))</f>
        <v>1</v>
      </c>
      <c r="U811" s="161" t="b">
        <f t="array" ref="U811">index('Query Tool'!B:B,match(C811,'Query Tool'!C:C,0))</f>
        <v>0</v>
      </c>
      <c r="V811" s="161" t="b">
        <f>F811&gt;='Query Tool'!C$32</f>
        <v>0</v>
      </c>
      <c r="W811" s="161" t="b">
        <f t="array" ref="W811">index(Dropdowns!B:B,match(I811,Dropdowns!A:A,0))</f>
        <v>1</v>
      </c>
      <c r="X811" s="161" t="b">
        <f t="array" ref="X811">index('Query Tool'!B:B,match(D811,'Query Tool'!C:C,0))</f>
        <v>1</v>
      </c>
      <c r="Y811" s="161" t="str">
        <f t="shared" si="6"/>
        <v>nichoan01,2014-15</v>
      </c>
      <c r="Z811" s="168">
        <f t="array" ref="Z811">iferror(index(I:I,match($A811&amp;","&amp;index('Year Conversion'!$A:$A,match($C811,'Year Conversion'!$B:$B,0)),$Y:$Y,0))-I811,"")</f>
        <v>1</v>
      </c>
      <c r="AA811" s="168">
        <f t="array" ref="AA811">iferror(index(J:J,match($A811&amp;","&amp;index('Year Conversion'!$A:$A,match($C811,'Year Conversion'!$B:$B,0)),$Y:$Y,0))-J811,"")</f>
        <v>1.06075128</v>
      </c>
      <c r="AB811" s="168">
        <f t="array" ref="AB811">iferror(index(K:K,match($A811&amp;","&amp;index('Year Conversion'!$A:$A,match($C811,'Year Conversion'!$B:$B,0)),$Y:$Y,0))-K811,"")</f>
        <v>0.811995721</v>
      </c>
      <c r="AC811" s="168" t="str">
        <f t="shared" si="7"/>
        <v>ORL,2014-15</v>
      </c>
    </row>
    <row r="812">
      <c r="A812" s="161" t="str">
        <f>IFERROR(__xludf.DUMMYFUNCTION("""COMPUTED_VALUE"""),"fournev01")</f>
        <v>fournev01</v>
      </c>
      <c r="B812" s="161" t="str">
        <f>IFERROR(__xludf.DUMMYFUNCTION("""COMPUTED_VALUE"""),"Evan Fournier")</f>
        <v>Evan Fournier</v>
      </c>
      <c r="C812" s="162" t="str">
        <f>IFERROR(__xludf.DUMMYFUNCTION("""COMPUTED_VALUE"""),"2014-15")</f>
        <v>2014-15</v>
      </c>
      <c r="D812" s="163" t="str">
        <f>IFERROR(__xludf.DUMMYFUNCTION("""COMPUTED_VALUE"""),"ORL")</f>
        <v>ORL</v>
      </c>
      <c r="E812" s="164" t="str">
        <f>IFERROR(__xludf.DUMMYFUNCTION("""COMPUTED_VALUE"""),"Secondary Ball Handler")</f>
        <v>Secondary Ball Handler</v>
      </c>
      <c r="F812" s="164">
        <f>IFERROR(__xludf.DUMMYFUNCTION("""COMPUTED_VALUE"""),1661.16)</f>
        <v>1661.16</v>
      </c>
      <c r="G812" s="163">
        <f>IFERROR(__xludf.DUMMYFUNCTION("""COMPUTED_VALUE"""),58.0)</f>
        <v>58</v>
      </c>
      <c r="H812" s="163" t="str">
        <f>IFERROR(__xludf.DUMMYFUNCTION("""COMPUTED_VALUE"""),"SG")</f>
        <v>SG</v>
      </c>
      <c r="I812" s="163">
        <f>IFERROR(__xludf.DUMMYFUNCTION("""COMPUTED_VALUE"""),22.0)</f>
        <v>22</v>
      </c>
      <c r="J812" s="165">
        <f>IFERROR(__xludf.DUMMYFUNCTION("""COMPUTED_VALUE"""),-1.70967835521033)</f>
        <v>-1.709678355</v>
      </c>
      <c r="K812" s="165">
        <f>IFERROR(__xludf.DUMMYFUNCTION("""COMPUTED_VALUE"""),-0.0615757100331743)</f>
        <v>-0.06157571003</v>
      </c>
      <c r="L812" s="165">
        <f>IFERROR(__xludf.DUMMYFUNCTION("""COMPUTED_VALUE"""),-1.64810264517716)</f>
        <v>-1.648102645</v>
      </c>
      <c r="M812" s="166">
        <f t="shared" si="2"/>
        <v>0.6539599853</v>
      </c>
      <c r="N812" s="167">
        <f t="shared" si="3"/>
        <v>28.64068966</v>
      </c>
      <c r="O812" s="163">
        <f t="shared" ref="O812:Q812" si="816">rank(I812,I:I)</f>
        <v>3178</v>
      </c>
      <c r="P812" s="163">
        <f t="shared" si="816"/>
        <v>3252</v>
      </c>
      <c r="Q812" s="163">
        <f t="shared" si="816"/>
        <v>1291</v>
      </c>
      <c r="R812" s="163">
        <f>IFERROR(__xludf.DUMMYFUNCTION("RANK(M812,filter(M:M,C:C=C812))"),269.0)</f>
        <v>269</v>
      </c>
      <c r="S812" s="161" t="b">
        <f t="shared" si="5"/>
        <v>0</v>
      </c>
      <c r="T812" s="161" t="b">
        <f t="array" ref="T812">index('Query Tool'!B:B,match(H812,'Query Tool'!C:C,0))</f>
        <v>1</v>
      </c>
      <c r="U812" s="161" t="b">
        <f t="array" ref="U812">index('Query Tool'!B:B,match(C812,'Query Tool'!C:C,0))</f>
        <v>0</v>
      </c>
      <c r="V812" s="161" t="b">
        <f>F812&gt;='Query Tool'!C$32</f>
        <v>1</v>
      </c>
      <c r="W812" s="161" t="b">
        <f t="array" ref="W812">index(Dropdowns!B:B,match(I812,Dropdowns!A:A,0))</f>
        <v>1</v>
      </c>
      <c r="X812" s="161" t="b">
        <f t="array" ref="X812">index('Query Tool'!B:B,match(D812,'Query Tool'!C:C,0))</f>
        <v>1</v>
      </c>
      <c r="Y812" s="161" t="str">
        <f t="shared" si="6"/>
        <v>fournev01,2014-15</v>
      </c>
      <c r="Z812" s="168">
        <f t="array" ref="Z812">iferror(index(I:I,match($A812&amp;","&amp;index('Year Conversion'!$A:$A,match($C812,'Year Conversion'!$B:$B,0)),$Y:$Y,0))-I812,"")</f>
        <v>1</v>
      </c>
      <c r="AA812" s="168">
        <f t="array" ref="AA812">iferror(index(J:J,match($A812&amp;","&amp;index('Year Conversion'!$A:$A,match($C812,'Year Conversion'!$B:$B,0)),$Y:$Y,0))-J812,"")</f>
        <v>-0.01820100961</v>
      </c>
      <c r="AB812" s="168">
        <f t="array" ref="AB812">iferror(index(K:K,match($A812&amp;","&amp;index('Year Conversion'!$A:$A,match($C812,'Year Conversion'!$B:$B,0)),$Y:$Y,0))-K812,"")</f>
        <v>-0.2493505259</v>
      </c>
      <c r="AC812" s="168" t="str">
        <f t="shared" si="7"/>
        <v>ORL,2014-15</v>
      </c>
    </row>
    <row r="813">
      <c r="A813" s="161" t="str">
        <f>IFERROR(__xludf.DUMMYFUNCTION("""COMPUTED_VALUE"""),"sullija01")</f>
        <v>sullija01</v>
      </c>
      <c r="B813" s="161" t="str">
        <f>IFERROR(__xludf.DUMMYFUNCTION("""COMPUTED_VALUE"""),"Jared Sullinger")</f>
        <v>Jared Sullinger</v>
      </c>
      <c r="C813" s="162" t="str">
        <f>IFERROR(__xludf.DUMMYFUNCTION("""COMPUTED_VALUE"""),"2014-15")</f>
        <v>2014-15</v>
      </c>
      <c r="D813" s="163" t="str">
        <f>IFERROR(__xludf.DUMMYFUNCTION("""COMPUTED_VALUE"""),"BOS")</f>
        <v>BOS</v>
      </c>
      <c r="E813" s="164" t="str">
        <f>IFERROR(__xludf.DUMMYFUNCTION("""COMPUTED_VALUE"""),"Versatile Big")</f>
        <v>Versatile Big</v>
      </c>
      <c r="F813" s="164">
        <f>IFERROR(__xludf.DUMMYFUNCTION("""COMPUTED_VALUE"""),1566.34833333333)</f>
        <v>1566.348333</v>
      </c>
      <c r="G813" s="163">
        <f>IFERROR(__xludf.DUMMYFUNCTION("""COMPUTED_VALUE"""),58.0)</f>
        <v>58</v>
      </c>
      <c r="H813" s="163" t="str">
        <f>IFERROR(__xludf.DUMMYFUNCTION("""COMPUTED_VALUE"""),"PF")</f>
        <v>PF</v>
      </c>
      <c r="I813" s="163">
        <f>IFERROR(__xludf.DUMMYFUNCTION("""COMPUTED_VALUE"""),22.0)</f>
        <v>22</v>
      </c>
      <c r="J813" s="165">
        <f>IFERROR(__xludf.DUMMYFUNCTION("""COMPUTED_VALUE"""),0.680107435197189)</f>
        <v>0.6801074352</v>
      </c>
      <c r="K813" s="165">
        <f>IFERROR(__xludf.DUMMYFUNCTION("""COMPUTED_VALUE"""),0.703510640029386)</f>
        <v>0.70351064</v>
      </c>
      <c r="L813" s="165">
        <f>IFERROR(__xludf.DUMMYFUNCTION("""COMPUTED_VALUE"""),-0.0234032048321972)</f>
        <v>-0.02340320483</v>
      </c>
      <c r="M813" s="166">
        <f t="shared" si="2"/>
        <v>3.132530276</v>
      </c>
      <c r="N813" s="167">
        <f t="shared" si="3"/>
        <v>27.00600575</v>
      </c>
      <c r="O813" s="163">
        <f t="shared" ref="O813:Q813" si="817">rank(I813,I:I)</f>
        <v>3178</v>
      </c>
      <c r="P813" s="163">
        <f t="shared" si="817"/>
        <v>806</v>
      </c>
      <c r="Q813" s="163">
        <f t="shared" si="817"/>
        <v>651</v>
      </c>
      <c r="R813" s="163">
        <f>IFERROR(__xludf.DUMMYFUNCTION("RANK(M813,filter(M:M,C:C=C813))"),110.0)</f>
        <v>110</v>
      </c>
      <c r="S813" s="161" t="b">
        <f t="shared" si="5"/>
        <v>0</v>
      </c>
      <c r="T813" s="161" t="b">
        <f t="array" ref="T813">index('Query Tool'!B:B,match(H813,'Query Tool'!C:C,0))</f>
        <v>1</v>
      </c>
      <c r="U813" s="161" t="b">
        <f t="array" ref="U813">index('Query Tool'!B:B,match(C813,'Query Tool'!C:C,0))</f>
        <v>0</v>
      </c>
      <c r="V813" s="161" t="b">
        <f>F813&gt;='Query Tool'!C$32</f>
        <v>1</v>
      </c>
      <c r="W813" s="161" t="b">
        <f t="array" ref="W813">index(Dropdowns!B:B,match(I813,Dropdowns!A:A,0))</f>
        <v>1</v>
      </c>
      <c r="X813" s="161" t="b">
        <f t="array" ref="X813">index('Query Tool'!B:B,match(D813,'Query Tool'!C:C,0))</f>
        <v>1</v>
      </c>
      <c r="Y813" s="161" t="str">
        <f t="shared" si="6"/>
        <v>sullija01,2014-15</v>
      </c>
      <c r="Z813" s="168">
        <f t="array" ref="Z813">iferror(index(I:I,match($A813&amp;","&amp;index('Year Conversion'!$A:$A,match($C813,'Year Conversion'!$B:$B,0)),$Y:$Y,0))-I813,"")</f>
        <v>1</v>
      </c>
      <c r="AA813" s="168">
        <f t="array" ref="AA813">iferror(index(J:J,match($A813&amp;","&amp;index('Year Conversion'!$A:$A,match($C813,'Year Conversion'!$B:$B,0)),$Y:$Y,0))-J813,"")</f>
        <v>1.016962117</v>
      </c>
      <c r="AB813" s="168">
        <f t="array" ref="AB813">iferror(index(K:K,match($A813&amp;","&amp;index('Year Conversion'!$A:$A,match($C813,'Year Conversion'!$B:$B,0)),$Y:$Y,0))-K813,"")</f>
        <v>-0.746671521</v>
      </c>
      <c r="AC813" s="168" t="str">
        <f t="shared" si="7"/>
        <v>BOS,2014-15</v>
      </c>
    </row>
    <row r="814">
      <c r="A814" s="161" t="str">
        <f>IFERROR(__xludf.DUMMYFUNCTION("""COMPUTED_VALUE"""),"jenkijo01")</f>
        <v>jenkijo01</v>
      </c>
      <c r="B814" s="161" t="str">
        <f>IFERROR(__xludf.DUMMYFUNCTION("""COMPUTED_VALUE"""),"John Jenkins")</f>
        <v>John Jenkins</v>
      </c>
      <c r="C814" s="162" t="str">
        <f>IFERROR(__xludf.DUMMYFUNCTION("""COMPUTED_VALUE"""),"2014-15")</f>
        <v>2014-15</v>
      </c>
      <c r="D814" s="163" t="str">
        <f>IFERROR(__xludf.DUMMYFUNCTION("""COMPUTED_VALUE"""),"ATL")</f>
        <v>ATL</v>
      </c>
      <c r="E814" s="164" t="str">
        <f>IFERROR(__xludf.DUMMYFUNCTION("""COMPUTED_VALUE"""),"Off Screen Shooter")</f>
        <v>Off Screen Shooter</v>
      </c>
      <c r="F814" s="164">
        <f>IFERROR(__xludf.DUMMYFUNCTION("""COMPUTED_VALUE"""),297.123333333333)</f>
        <v>297.1233333</v>
      </c>
      <c r="G814" s="163">
        <f>IFERROR(__xludf.DUMMYFUNCTION("""COMPUTED_VALUE"""),24.0)</f>
        <v>24</v>
      </c>
      <c r="H814" s="163" t="str">
        <f>IFERROR(__xludf.DUMMYFUNCTION("""COMPUTED_VALUE"""),"SG")</f>
        <v>SG</v>
      </c>
      <c r="I814" s="163">
        <f>IFERROR(__xludf.DUMMYFUNCTION("""COMPUTED_VALUE"""),23.0)</f>
        <v>23</v>
      </c>
      <c r="J814" s="165">
        <f>IFERROR(__xludf.DUMMYFUNCTION("""COMPUTED_VALUE"""),-1.18891259333507)</f>
        <v>-1.188912593</v>
      </c>
      <c r="K814" s="165">
        <f>IFERROR(__xludf.DUMMYFUNCTION("""COMPUTED_VALUE"""),-0.544375573839486)</f>
        <v>-0.5443755738</v>
      </c>
      <c r="L814" s="165">
        <f>IFERROR(__xludf.DUMMYFUNCTION("""COMPUTED_VALUE"""),-0.644537019495584)</f>
        <v>-0.6445370195</v>
      </c>
      <c r="M814" s="166">
        <f t="shared" si="2"/>
        <v>0.2203716701</v>
      </c>
      <c r="N814" s="167">
        <f t="shared" si="3"/>
        <v>12.38013889</v>
      </c>
      <c r="O814" s="163">
        <f t="shared" ref="O814:Q814" si="818">rank(I814,I:I)</f>
        <v>2765</v>
      </c>
      <c r="P814" s="163">
        <f t="shared" si="818"/>
        <v>2727</v>
      </c>
      <c r="Q814" s="163">
        <f t="shared" si="818"/>
        <v>2179</v>
      </c>
      <c r="R814" s="163">
        <f>IFERROR(__xludf.DUMMYFUNCTION("RANK(M814,filter(M:M,C:C=C814))"),332.0)</f>
        <v>332</v>
      </c>
      <c r="S814" s="161" t="b">
        <f t="shared" si="5"/>
        <v>0</v>
      </c>
      <c r="T814" s="161" t="b">
        <f t="array" ref="T814">index('Query Tool'!B:B,match(H814,'Query Tool'!C:C,0))</f>
        <v>1</v>
      </c>
      <c r="U814" s="161" t="b">
        <f t="array" ref="U814">index('Query Tool'!B:B,match(C814,'Query Tool'!C:C,0))</f>
        <v>0</v>
      </c>
      <c r="V814" s="161" t="b">
        <f>F814&gt;='Query Tool'!C$32</f>
        <v>0</v>
      </c>
      <c r="W814" s="161" t="b">
        <f t="array" ref="W814">index(Dropdowns!B:B,match(I814,Dropdowns!A:A,0))</f>
        <v>1</v>
      </c>
      <c r="X814" s="161" t="b">
        <f t="array" ref="X814">index('Query Tool'!B:B,match(D814,'Query Tool'!C:C,0))</f>
        <v>1</v>
      </c>
      <c r="Y814" s="161" t="str">
        <f t="shared" si="6"/>
        <v>jenkijo01,2014-15</v>
      </c>
      <c r="Z814" s="168">
        <f t="array" ref="Z814">iferror(index(I:I,match($A814&amp;","&amp;index('Year Conversion'!$A:$A,match($C814,'Year Conversion'!$B:$B,0)),$Y:$Y,0))-I814,"")</f>
        <v>1</v>
      </c>
      <c r="AA814" s="168">
        <f t="array" ref="AA814">iferror(index(J:J,match($A814&amp;","&amp;index('Year Conversion'!$A:$A,match($C814,'Year Conversion'!$B:$B,0)),$Y:$Y,0))-J814,"")</f>
        <v>-0.2284029459</v>
      </c>
      <c r="AB814" s="168">
        <f t="array" ref="AB814">iferror(index(K:K,match($A814&amp;","&amp;index('Year Conversion'!$A:$A,match($C814,'Year Conversion'!$B:$B,0)),$Y:$Y,0))-K814,"")</f>
        <v>-0.03709587225</v>
      </c>
      <c r="AC814" s="168" t="str">
        <f t="shared" si="7"/>
        <v>ATL,2014-15</v>
      </c>
    </row>
    <row r="815">
      <c r="A815" s="161" t="str">
        <f>IFERROR(__xludf.DUMMYFUNCTION("""COMPUTED_VALUE"""),"cunnija01")</f>
        <v>cunnija01</v>
      </c>
      <c r="B815" s="161" t="str">
        <f>IFERROR(__xludf.DUMMYFUNCTION("""COMPUTED_VALUE"""),"Jared Cunningham")</f>
        <v>Jared Cunningham</v>
      </c>
      <c r="C815" s="162" t="str">
        <f>IFERROR(__xludf.DUMMYFUNCTION("""COMPUTED_VALUE"""),"2014-15")</f>
        <v>2014-15</v>
      </c>
      <c r="D815" s="163" t="str">
        <f>IFERROR(__xludf.DUMMYFUNCTION("""COMPUTED_VALUE"""),"LAC")</f>
        <v>LAC</v>
      </c>
      <c r="E815" s="164" t="str">
        <f>IFERROR(__xludf.DUMMYFUNCTION("""COMPUTED_VALUE"""),"Stationary Shooter")</f>
        <v>Stationary Shooter</v>
      </c>
      <c r="F815" s="164">
        <f>IFERROR(__xludf.DUMMYFUNCTION("""COMPUTED_VALUE"""),89.0033333333334)</f>
        <v>89.00333333</v>
      </c>
      <c r="G815" s="163">
        <f>IFERROR(__xludf.DUMMYFUNCTION("""COMPUTED_VALUE"""),19.0)</f>
        <v>19</v>
      </c>
      <c r="H815" s="163" t="str">
        <f>IFERROR(__xludf.DUMMYFUNCTION("""COMPUTED_VALUE"""),"SG")</f>
        <v>SG</v>
      </c>
      <c r="I815" s="163">
        <f>IFERROR(__xludf.DUMMYFUNCTION("""COMPUTED_VALUE"""),23.0)</f>
        <v>23</v>
      </c>
      <c r="J815" s="165">
        <f>IFERROR(__xludf.DUMMYFUNCTION("""COMPUTED_VALUE"""),-1.87003024976208)</f>
        <v>-1.87003025</v>
      </c>
      <c r="K815" s="165">
        <f>IFERROR(__xludf.DUMMYFUNCTION("""COMPUTED_VALUE"""),-0.892028715766299)</f>
        <v>-0.8920287158</v>
      </c>
      <c r="L815" s="165">
        <f>IFERROR(__xludf.DUMMYFUNCTION("""COMPUTED_VALUE"""),-0.978001533995782)</f>
        <v>-0.978001534</v>
      </c>
      <c r="M815" s="166">
        <f t="shared" si="2"/>
        <v>0.02554401262</v>
      </c>
      <c r="N815" s="167">
        <f t="shared" si="3"/>
        <v>4.684385965</v>
      </c>
      <c r="O815" s="163">
        <f t="shared" ref="O815:Q815" si="819">rank(I815,I:I)</f>
        <v>2765</v>
      </c>
      <c r="P815" s="163">
        <f t="shared" si="819"/>
        <v>3395</v>
      </c>
      <c r="Q815" s="163">
        <f t="shared" si="819"/>
        <v>2682</v>
      </c>
      <c r="R815" s="163">
        <f>IFERROR(__xludf.DUMMYFUNCTION("RANK(M815,filter(M:M,C:C=C815))"),423.0)</f>
        <v>423</v>
      </c>
      <c r="S815" s="161" t="b">
        <f t="shared" si="5"/>
        <v>0</v>
      </c>
      <c r="T815" s="161" t="b">
        <f t="array" ref="T815">index('Query Tool'!B:B,match(H815,'Query Tool'!C:C,0))</f>
        <v>1</v>
      </c>
      <c r="U815" s="161" t="b">
        <f t="array" ref="U815">index('Query Tool'!B:B,match(C815,'Query Tool'!C:C,0))</f>
        <v>0</v>
      </c>
      <c r="V815" s="161" t="b">
        <f>F815&gt;='Query Tool'!C$32</f>
        <v>0</v>
      </c>
      <c r="W815" s="161" t="b">
        <f t="array" ref="W815">index(Dropdowns!B:B,match(I815,Dropdowns!A:A,0))</f>
        <v>1</v>
      </c>
      <c r="X815" s="161" t="b">
        <f t="array" ref="X815">index('Query Tool'!B:B,match(D815,'Query Tool'!C:C,0))</f>
        <v>1</v>
      </c>
      <c r="Y815" s="161" t="str">
        <f t="shared" si="6"/>
        <v>cunnija01,2014-15</v>
      </c>
      <c r="Z815" s="168">
        <f t="array" ref="Z815">iferror(index(I:I,match($A815&amp;","&amp;index('Year Conversion'!$A:$A,match($C815,'Year Conversion'!$B:$B,0)),$Y:$Y,0))-I815,"")</f>
        <v>1</v>
      </c>
      <c r="AA815" s="168">
        <f t="array" ref="AA815">iferror(index(J:J,match($A815&amp;","&amp;index('Year Conversion'!$A:$A,match($C815,'Year Conversion'!$B:$B,0)),$Y:$Y,0))-J815,"")</f>
        <v>-0.1561390479</v>
      </c>
      <c r="AB815" s="168">
        <f t="array" ref="AB815">iferror(index(K:K,match($A815&amp;","&amp;index('Year Conversion'!$A:$A,match($C815,'Year Conversion'!$B:$B,0)),$Y:$Y,0))-K815,"")</f>
        <v>-0.7459212684</v>
      </c>
      <c r="AC815" s="168" t="str">
        <f t="shared" si="7"/>
        <v>LAC,2014-15</v>
      </c>
    </row>
    <row r="816">
      <c r="A816" s="161" t="str">
        <f>IFERROR(__xludf.DUMMYFUNCTION("""COMPUTED_VALUE"""),"wroteto01")</f>
        <v>wroteto01</v>
      </c>
      <c r="B816" s="161" t="str">
        <f>IFERROR(__xludf.DUMMYFUNCTION("""COMPUTED_VALUE"""),"Tony Wroten")</f>
        <v>Tony Wroten</v>
      </c>
      <c r="C816" s="162" t="str">
        <f>IFERROR(__xludf.DUMMYFUNCTION("""COMPUTED_VALUE"""),"2014-15")</f>
        <v>2014-15</v>
      </c>
      <c r="D816" s="163" t="str">
        <f>IFERROR(__xludf.DUMMYFUNCTION("""COMPUTED_VALUE"""),"PHI")</f>
        <v>PHI</v>
      </c>
      <c r="E816" s="164" t="str">
        <f>IFERROR(__xludf.DUMMYFUNCTION("""COMPUTED_VALUE"""),"Secondary Ball Handler")</f>
        <v>Secondary Ball Handler</v>
      </c>
      <c r="F816" s="164">
        <f>IFERROR(__xludf.DUMMYFUNCTION("""COMPUTED_VALUE"""),894.57)</f>
        <v>894.57</v>
      </c>
      <c r="G816" s="163">
        <f>IFERROR(__xludf.DUMMYFUNCTION("""COMPUTED_VALUE"""),30.0)</f>
        <v>30</v>
      </c>
      <c r="H816" s="163" t="str">
        <f>IFERROR(__xludf.DUMMYFUNCTION("""COMPUTED_VALUE"""),"PG")</f>
        <v>PG</v>
      </c>
      <c r="I816" s="163">
        <f>IFERROR(__xludf.DUMMYFUNCTION("""COMPUTED_VALUE"""),21.0)</f>
        <v>21</v>
      </c>
      <c r="J816" s="165">
        <f>IFERROR(__xludf.DUMMYFUNCTION("""COMPUTED_VALUE"""),-1.72495431514945)</f>
        <v>-1.724954315</v>
      </c>
      <c r="K816" s="165">
        <f>IFERROR(__xludf.DUMMYFUNCTION("""COMPUTED_VALUE"""),0.28175910887907)</f>
        <v>0.2817591089</v>
      </c>
      <c r="L816" s="165">
        <f>IFERROR(__xludf.DUMMYFUNCTION("""COMPUTED_VALUE"""),-2.00671342402852)</f>
        <v>-2.006713424</v>
      </c>
      <c r="M816" s="166">
        <f t="shared" si="2"/>
        <v>0.3430705984</v>
      </c>
      <c r="N816" s="167">
        <f t="shared" si="3"/>
        <v>29.819</v>
      </c>
      <c r="O816" s="163">
        <f t="shared" ref="O816:Q816" si="820">rank(I816,I:I)</f>
        <v>3528</v>
      </c>
      <c r="P816" s="163">
        <f t="shared" si="820"/>
        <v>3265</v>
      </c>
      <c r="Q816" s="163">
        <f t="shared" si="820"/>
        <v>925</v>
      </c>
      <c r="R816" s="163">
        <f>IFERROR(__xludf.DUMMYFUNCTION("RANK(M816,filter(M:M,C:C=C816))"),303.0)</f>
        <v>303</v>
      </c>
      <c r="S816" s="161" t="b">
        <f t="shared" si="5"/>
        <v>0</v>
      </c>
      <c r="T816" s="161" t="b">
        <f t="array" ref="T816">index('Query Tool'!B:B,match(H816,'Query Tool'!C:C,0))</f>
        <v>1</v>
      </c>
      <c r="U816" s="161" t="b">
        <f t="array" ref="U816">index('Query Tool'!B:B,match(C816,'Query Tool'!C:C,0))</f>
        <v>0</v>
      </c>
      <c r="V816" s="161" t="b">
        <f>F816&gt;='Query Tool'!C$32</f>
        <v>1</v>
      </c>
      <c r="W816" s="161" t="b">
        <f t="array" ref="W816">index(Dropdowns!B:B,match(I816,Dropdowns!A:A,0))</f>
        <v>1</v>
      </c>
      <c r="X816" s="161" t="b">
        <f t="array" ref="X816">index('Query Tool'!B:B,match(D816,'Query Tool'!C:C,0))</f>
        <v>1</v>
      </c>
      <c r="Y816" s="161" t="str">
        <f t="shared" si="6"/>
        <v>wroteto01,2014-15</v>
      </c>
      <c r="Z816" s="168">
        <f t="array" ref="Z816">iferror(index(I:I,match($A816&amp;","&amp;index('Year Conversion'!$A:$A,match($C816,'Year Conversion'!$B:$B,0)),$Y:$Y,0))-I816,"")</f>
        <v>1</v>
      </c>
      <c r="AA816" s="168">
        <f t="array" ref="AA816">iferror(index(J:J,match($A816&amp;","&amp;index('Year Conversion'!$A:$A,match($C816,'Year Conversion'!$B:$B,0)),$Y:$Y,0))-J816,"")</f>
        <v>1.084343712</v>
      </c>
      <c r="AB816" s="168">
        <f t="array" ref="AB816">iferror(index(K:K,match($A816&amp;","&amp;index('Year Conversion'!$A:$A,match($C816,'Year Conversion'!$B:$B,0)),$Y:$Y,0))-K816,"")</f>
        <v>-0.6596276566</v>
      </c>
      <c r="AC816" s="168" t="str">
        <f t="shared" si="7"/>
        <v>PHI,2014-15</v>
      </c>
    </row>
    <row r="817">
      <c r="A817" s="161" t="str">
        <f>IFERROR(__xludf.DUMMYFUNCTION("""COMPUTED_VALUE"""),"plumlmi01")</f>
        <v>plumlmi01</v>
      </c>
      <c r="B817" s="161" t="str">
        <f>IFERROR(__xludf.DUMMYFUNCTION("""COMPUTED_VALUE"""),"Miles Plumlee")</f>
        <v>Miles Plumlee</v>
      </c>
      <c r="C817" s="162" t="str">
        <f>IFERROR(__xludf.DUMMYFUNCTION("""COMPUTED_VALUE"""),"2014-15")</f>
        <v>2014-15</v>
      </c>
      <c r="D817" s="163" t="str">
        <f>IFERROR(__xludf.DUMMYFUNCTION("""COMPUTED_VALUE"""),"TOT")</f>
        <v>TOT</v>
      </c>
      <c r="E817" s="164" t="str">
        <f>IFERROR(__xludf.DUMMYFUNCTION("""COMPUTED_VALUE"""),"Post Scorer")</f>
        <v>Post Scorer</v>
      </c>
      <c r="F817" s="164">
        <f>IFERROR(__xludf.DUMMYFUNCTION("""COMPUTED_VALUE"""),1194.23666666667)</f>
        <v>1194.236667</v>
      </c>
      <c r="G817" s="163">
        <f>IFERROR(__xludf.DUMMYFUNCTION("""COMPUTED_VALUE"""),73.0)</f>
        <v>73</v>
      </c>
      <c r="H817" s="163" t="str">
        <f>IFERROR(__xludf.DUMMYFUNCTION("""COMPUTED_VALUE"""),"C")</f>
        <v>C</v>
      </c>
      <c r="I817" s="163">
        <f>IFERROR(__xludf.DUMMYFUNCTION("""COMPUTED_VALUE"""),26.0)</f>
        <v>26</v>
      </c>
      <c r="J817" s="165">
        <f>IFERROR(__xludf.DUMMYFUNCTION("""COMPUTED_VALUE"""),-1.15883323595726)</f>
        <v>-1.158833236</v>
      </c>
      <c r="K817" s="165">
        <f>IFERROR(__xludf.DUMMYFUNCTION("""COMPUTED_VALUE"""),-2.37315525691791)</f>
        <v>-2.373155257</v>
      </c>
      <c r="L817" s="165">
        <f>IFERROR(__xludf.DUMMYFUNCTION("""COMPUTED_VALUE"""),1.21432202096065)</f>
        <v>1.214322021</v>
      </c>
      <c r="M817" s="166">
        <f t="shared" si="2"/>
        <v>0.9098260224</v>
      </c>
      <c r="N817" s="167">
        <f t="shared" si="3"/>
        <v>16.35940639</v>
      </c>
      <c r="O817" s="163">
        <f t="shared" ref="O817:Q817" si="821">rank(I817,I:I)</f>
        <v>1665</v>
      </c>
      <c r="P817" s="163">
        <f t="shared" si="821"/>
        <v>2692</v>
      </c>
      <c r="Q817" s="163">
        <f t="shared" si="821"/>
        <v>3859</v>
      </c>
      <c r="R817" s="163">
        <f>IFERROR(__xludf.DUMMYFUNCTION("RANK(M817,filter(M:M,C:C=C817))"),241.0)</f>
        <v>241</v>
      </c>
      <c r="S817" s="161" t="b">
        <f t="shared" si="5"/>
        <v>0</v>
      </c>
      <c r="T817" s="161" t="b">
        <f t="array" ref="T817">index('Query Tool'!B:B,match(H817,'Query Tool'!C:C,0))</f>
        <v>1</v>
      </c>
      <c r="U817" s="161" t="b">
        <f t="array" ref="U817">index('Query Tool'!B:B,match(C817,'Query Tool'!C:C,0))</f>
        <v>0</v>
      </c>
      <c r="V817" s="161" t="b">
        <f>F817&gt;='Query Tool'!C$32</f>
        <v>1</v>
      </c>
      <c r="W817" s="161" t="b">
        <f t="array" ref="W817">index(Dropdowns!B:B,match(I817,Dropdowns!A:A,0))</f>
        <v>1</v>
      </c>
      <c r="X817" s="161" t="b">
        <f t="array" ref="X817">index('Query Tool'!B:B,match(D817,'Query Tool'!C:C,0))</f>
        <v>1</v>
      </c>
      <c r="Y817" s="161" t="str">
        <f t="shared" si="6"/>
        <v>plumlmi01,2014-15</v>
      </c>
      <c r="Z817" s="168">
        <f t="array" ref="Z817">iferror(index(I:I,match($A817&amp;","&amp;index('Year Conversion'!$A:$A,match($C817,'Year Conversion'!$B:$B,0)),$Y:$Y,0))-I817,"")</f>
        <v>1</v>
      </c>
      <c r="AA817" s="168">
        <f t="array" ref="AA817">iferror(index(J:J,match($A817&amp;","&amp;index('Year Conversion'!$A:$A,match($C817,'Year Conversion'!$B:$B,0)),$Y:$Y,0))-J817,"")</f>
        <v>-0.02626332105</v>
      </c>
      <c r="AB817" s="168">
        <f t="array" ref="AB817">iferror(index(K:K,match($A817&amp;","&amp;index('Year Conversion'!$A:$A,match($C817,'Year Conversion'!$B:$B,0)),$Y:$Y,0))-K817,"")</f>
        <v>0.8929915694</v>
      </c>
      <c r="AC817" s="168" t="str">
        <f t="shared" si="7"/>
        <v>TOT,2014-15</v>
      </c>
    </row>
    <row r="818">
      <c r="A818" s="161" t="str">
        <f>IFERROR(__xludf.DUMMYFUNCTION("""COMPUTED_VALUE"""),"jonespe01")</f>
        <v>jonespe01</v>
      </c>
      <c r="B818" s="161" t="str">
        <f>IFERROR(__xludf.DUMMYFUNCTION("""COMPUTED_VALUE"""),"Perry Jones III")</f>
        <v>Perry Jones III</v>
      </c>
      <c r="C818" s="162" t="str">
        <f>IFERROR(__xludf.DUMMYFUNCTION("""COMPUTED_VALUE"""),"2014-15")</f>
        <v>2014-15</v>
      </c>
      <c r="D818" s="163" t="str">
        <f>IFERROR(__xludf.DUMMYFUNCTION("""COMPUTED_VALUE"""),"OKC")</f>
        <v>OKC</v>
      </c>
      <c r="E818" s="164" t="str">
        <f>IFERROR(__xludf.DUMMYFUNCTION("""COMPUTED_VALUE"""),"Stationary Shooter")</f>
        <v>Stationary Shooter</v>
      </c>
      <c r="F818" s="164">
        <f>IFERROR(__xludf.DUMMYFUNCTION("""COMPUTED_VALUE"""),631.161666666667)</f>
        <v>631.1616667</v>
      </c>
      <c r="G818" s="163">
        <f>IFERROR(__xludf.DUMMYFUNCTION("""COMPUTED_VALUE"""),43.0)</f>
        <v>43</v>
      </c>
      <c r="H818" s="163" t="str">
        <f>IFERROR(__xludf.DUMMYFUNCTION("""COMPUTED_VALUE"""),"SF")</f>
        <v>SF</v>
      </c>
      <c r="I818" s="163">
        <f>IFERROR(__xludf.DUMMYFUNCTION("""COMPUTED_VALUE"""),23.0)</f>
        <v>23</v>
      </c>
      <c r="J818" s="165">
        <f>IFERROR(__xludf.DUMMYFUNCTION("""COMPUTED_VALUE"""),-3.13480509223846)</f>
        <v>-3.134805092</v>
      </c>
      <c r="K818" s="165">
        <f>IFERROR(__xludf.DUMMYFUNCTION("""COMPUTED_VALUE"""),-2.09377139069092)</f>
        <v>-2.093771391</v>
      </c>
      <c r="L818" s="165">
        <f>IFERROR(__xludf.DUMMYFUNCTION("""COMPUTED_VALUE"""),-1.04103370154755)</f>
        <v>-1.041033702</v>
      </c>
      <c r="M818" s="166">
        <f t="shared" si="2"/>
        <v>-0.3429726501</v>
      </c>
      <c r="N818" s="167">
        <f t="shared" si="3"/>
        <v>14.67817829</v>
      </c>
      <c r="O818" s="163">
        <f t="shared" ref="O818:Q818" si="822">rank(I818,I:I)</f>
        <v>2765</v>
      </c>
      <c r="P818" s="163">
        <f t="shared" si="822"/>
        <v>3912</v>
      </c>
      <c r="Q818" s="163">
        <f t="shared" si="822"/>
        <v>3760</v>
      </c>
      <c r="R818" s="163">
        <f>IFERROR(__xludf.DUMMYFUNCTION("RANK(M818,filter(M:M,C:C=C818))"),475.0)</f>
        <v>475</v>
      </c>
      <c r="S818" s="161" t="b">
        <f t="shared" si="5"/>
        <v>0</v>
      </c>
      <c r="T818" s="161" t="b">
        <f t="array" ref="T818">index('Query Tool'!B:B,match(H818,'Query Tool'!C:C,0))</f>
        <v>1</v>
      </c>
      <c r="U818" s="161" t="b">
        <f t="array" ref="U818">index('Query Tool'!B:B,match(C818,'Query Tool'!C:C,0))</f>
        <v>0</v>
      </c>
      <c r="V818" s="161" t="b">
        <f>F818&gt;='Query Tool'!C$32</f>
        <v>1</v>
      </c>
      <c r="W818" s="161" t="b">
        <f t="array" ref="W818">index(Dropdowns!B:B,match(I818,Dropdowns!A:A,0))</f>
        <v>1</v>
      </c>
      <c r="X818" s="161" t="b">
        <f t="array" ref="X818">index('Query Tool'!B:B,match(D818,'Query Tool'!C:C,0))</f>
        <v>1</v>
      </c>
      <c r="Y818" s="161" t="str">
        <f t="shared" si="6"/>
        <v>jonespe01,2014-15</v>
      </c>
      <c r="Z818" s="168" t="str">
        <f t="array" ref="Z818">iferror(index(I:I,match($A818&amp;","&amp;index('Year Conversion'!$A:$A,match($C818,'Year Conversion'!$B:$B,0)),$Y:$Y,0))-I818,"")</f>
        <v/>
      </c>
      <c r="AA818" s="168" t="str">
        <f t="array" ref="AA818">iferror(index(J:J,match($A818&amp;","&amp;index('Year Conversion'!$A:$A,match($C818,'Year Conversion'!$B:$B,0)),$Y:$Y,0))-J818,"")</f>
        <v/>
      </c>
      <c r="AB818" s="168" t="str">
        <f t="array" ref="AB818">iferror(index(K:K,match($A818&amp;","&amp;index('Year Conversion'!$A:$A,match($C818,'Year Conversion'!$B:$B,0)),$Y:$Y,0))-K818,"")</f>
        <v/>
      </c>
      <c r="AC818" s="168" t="str">
        <f t="shared" si="7"/>
        <v>OKC,2014-15</v>
      </c>
    </row>
    <row r="819">
      <c r="A819" s="161" t="str">
        <f>IFERROR(__xludf.DUMMYFUNCTION("""COMPUTED_VALUE"""),"ezelife01")</f>
        <v>ezelife01</v>
      </c>
      <c r="B819" s="161" t="str">
        <f>IFERROR(__xludf.DUMMYFUNCTION("""COMPUTED_VALUE"""),"Festus Ezeli")</f>
        <v>Festus Ezeli</v>
      </c>
      <c r="C819" s="162" t="str">
        <f>IFERROR(__xludf.DUMMYFUNCTION("""COMPUTED_VALUE"""),"2014-15")</f>
        <v>2014-15</v>
      </c>
      <c r="D819" s="163" t="str">
        <f>IFERROR(__xludf.DUMMYFUNCTION("""COMPUTED_VALUE"""),"GSW")</f>
        <v>GSW</v>
      </c>
      <c r="E819" s="164" t="str">
        <f>IFERROR(__xludf.DUMMYFUNCTION("""COMPUTED_VALUE"""),"Post Scorer")</f>
        <v>Post Scorer</v>
      </c>
      <c r="F819" s="164">
        <f>IFERROR(__xludf.DUMMYFUNCTION("""COMPUTED_VALUE"""),503.625)</f>
        <v>503.625</v>
      </c>
      <c r="G819" s="163">
        <f>IFERROR(__xludf.DUMMYFUNCTION("""COMPUTED_VALUE"""),46.0)</f>
        <v>46</v>
      </c>
      <c r="H819" s="163" t="str">
        <f>IFERROR(__xludf.DUMMYFUNCTION("""COMPUTED_VALUE"""),"C")</f>
        <v>C</v>
      </c>
      <c r="I819" s="163">
        <f>IFERROR(__xludf.DUMMYFUNCTION("""COMPUTED_VALUE"""),25.0)</f>
        <v>25</v>
      </c>
      <c r="J819" s="165">
        <f>IFERROR(__xludf.DUMMYFUNCTION("""COMPUTED_VALUE"""),-1.81886874724329)</f>
        <v>-1.818868747</v>
      </c>
      <c r="K819" s="165">
        <f>IFERROR(__xludf.DUMMYFUNCTION("""COMPUTED_VALUE"""),-2.23592576842472)</f>
        <v>-2.235925768</v>
      </c>
      <c r="L819" s="165">
        <f>IFERROR(__xludf.DUMMYFUNCTION("""COMPUTED_VALUE"""),0.417057021181437)</f>
        <v>0.4170570212</v>
      </c>
      <c r="M819" s="166">
        <f t="shared" si="2"/>
        <v>0.1616680085</v>
      </c>
      <c r="N819" s="167">
        <f t="shared" si="3"/>
        <v>10.94836957</v>
      </c>
      <c r="O819" s="163">
        <f t="shared" ref="O819:Q819" si="823">rank(I819,I:I)</f>
        <v>1995</v>
      </c>
      <c r="P819" s="163">
        <f t="shared" si="823"/>
        <v>3352</v>
      </c>
      <c r="Q819" s="163">
        <f t="shared" si="823"/>
        <v>3813</v>
      </c>
      <c r="R819" s="163">
        <f>IFERROR(__xludf.DUMMYFUNCTION("RANK(M819,filter(M:M,C:C=C819))"),346.0)</f>
        <v>346</v>
      </c>
      <c r="S819" s="161" t="b">
        <f t="shared" si="5"/>
        <v>0</v>
      </c>
      <c r="T819" s="161" t="b">
        <f t="array" ref="T819">index('Query Tool'!B:B,match(H819,'Query Tool'!C:C,0))</f>
        <v>1</v>
      </c>
      <c r="U819" s="161" t="b">
        <f t="array" ref="U819">index('Query Tool'!B:B,match(C819,'Query Tool'!C:C,0))</f>
        <v>0</v>
      </c>
      <c r="V819" s="161" t="b">
        <f>F819&gt;='Query Tool'!C$32</f>
        <v>1</v>
      </c>
      <c r="W819" s="161" t="b">
        <f t="array" ref="W819">index(Dropdowns!B:B,match(I819,Dropdowns!A:A,0))</f>
        <v>1</v>
      </c>
      <c r="X819" s="161" t="b">
        <f t="array" ref="X819">index('Query Tool'!B:B,match(D819,'Query Tool'!C:C,0))</f>
        <v>1</v>
      </c>
      <c r="Y819" s="161" t="str">
        <f t="shared" si="6"/>
        <v>ezelife01,2014-15</v>
      </c>
      <c r="Z819" s="168">
        <f t="array" ref="Z819">iferror(index(I:I,match($A819&amp;","&amp;index('Year Conversion'!$A:$A,match($C819,'Year Conversion'!$B:$B,0)),$Y:$Y,0))-I819,"")</f>
        <v>1</v>
      </c>
      <c r="AA819" s="168">
        <f t="array" ref="AA819">iferror(index(J:J,match($A819&amp;","&amp;index('Year Conversion'!$A:$A,match($C819,'Year Conversion'!$B:$B,0)),$Y:$Y,0))-J819,"")</f>
        <v>2.210128795</v>
      </c>
      <c r="AB819" s="168">
        <f t="array" ref="AB819">iferror(index(K:K,match($A819&amp;","&amp;index('Year Conversion'!$A:$A,match($C819,'Year Conversion'!$B:$B,0)),$Y:$Y,0))-K819,"")</f>
        <v>1.235235872</v>
      </c>
      <c r="AC819" s="168" t="str">
        <f t="shared" si="7"/>
        <v>GSW,2014-15</v>
      </c>
    </row>
    <row r="820">
      <c r="A820" s="161" t="str">
        <f>IFERROR(__xludf.DUMMYFUNCTION("""COMPUTED_VALUE"""),"tayloje03")</f>
        <v>tayloje03</v>
      </c>
      <c r="B820" s="161" t="str">
        <f>IFERROR(__xludf.DUMMYFUNCTION("""COMPUTED_VALUE"""),"Jeffery Taylor")</f>
        <v>Jeffery Taylor</v>
      </c>
      <c r="C820" s="162" t="str">
        <f>IFERROR(__xludf.DUMMYFUNCTION("""COMPUTED_VALUE"""),"2014-15")</f>
        <v>2014-15</v>
      </c>
      <c r="D820" s="163" t="str">
        <f>IFERROR(__xludf.DUMMYFUNCTION("""COMPUTED_VALUE"""),"CHO")</f>
        <v>CHO</v>
      </c>
      <c r="E820" s="164" t="str">
        <f>IFERROR(__xludf.DUMMYFUNCTION("""COMPUTED_VALUE"""),"Stationary Shooter")</f>
        <v>Stationary Shooter</v>
      </c>
      <c r="F820" s="164">
        <f>IFERROR(__xludf.DUMMYFUNCTION("""COMPUTED_VALUE"""),430.408333333333)</f>
        <v>430.4083333</v>
      </c>
      <c r="G820" s="163">
        <f>IFERROR(__xludf.DUMMYFUNCTION("""COMPUTED_VALUE"""),29.0)</f>
        <v>29</v>
      </c>
      <c r="H820" s="163" t="str">
        <f>IFERROR(__xludf.DUMMYFUNCTION("""COMPUTED_VALUE"""),"SF")</f>
        <v>SF</v>
      </c>
      <c r="I820" s="163">
        <f>IFERROR(__xludf.DUMMYFUNCTION("""COMPUTED_VALUE"""),25.0)</f>
        <v>25</v>
      </c>
      <c r="J820" s="165">
        <f>IFERROR(__xludf.DUMMYFUNCTION("""COMPUTED_VALUE"""),-2.70626710067561)</f>
        <v>-2.706267101</v>
      </c>
      <c r="K820" s="165">
        <f>IFERROR(__xludf.DUMMYFUNCTION("""COMPUTED_VALUE"""),-2.19149794135708)</f>
        <v>-2.191497941</v>
      </c>
      <c r="L820" s="165">
        <f>IFERROR(__xludf.DUMMYFUNCTION("""COMPUTED_VALUE"""),-0.514769159318528)</f>
        <v>-0.5147691593</v>
      </c>
      <c r="M820" s="166">
        <f t="shared" si="2"/>
        <v>-0.1138564302</v>
      </c>
      <c r="N820" s="167">
        <f t="shared" si="3"/>
        <v>14.84166667</v>
      </c>
      <c r="O820" s="163">
        <f t="shared" ref="O820:Q820" si="824">rank(I820,I:I)</f>
        <v>1995</v>
      </c>
      <c r="P820" s="163">
        <f t="shared" si="824"/>
        <v>3813</v>
      </c>
      <c r="Q820" s="163">
        <f t="shared" si="824"/>
        <v>3800</v>
      </c>
      <c r="R820" s="163">
        <f>IFERROR(__xludf.DUMMYFUNCTION("RANK(M820,filter(M:M,C:C=C820))"),456.0)</f>
        <v>456</v>
      </c>
      <c r="S820" s="161" t="b">
        <f t="shared" si="5"/>
        <v>0</v>
      </c>
      <c r="T820" s="161" t="b">
        <f t="array" ref="T820">index('Query Tool'!B:B,match(H820,'Query Tool'!C:C,0))</f>
        <v>1</v>
      </c>
      <c r="U820" s="161" t="b">
        <f t="array" ref="U820">index('Query Tool'!B:B,match(C820,'Query Tool'!C:C,0))</f>
        <v>0</v>
      </c>
      <c r="V820" s="161" t="b">
        <f>F820&gt;='Query Tool'!C$32</f>
        <v>0</v>
      </c>
      <c r="W820" s="161" t="b">
        <f t="array" ref="W820">index(Dropdowns!B:B,match(I820,Dropdowns!A:A,0))</f>
        <v>1</v>
      </c>
      <c r="X820" s="161" t="b">
        <f t="array" ref="X820">index('Query Tool'!B:B,match(D820,'Query Tool'!C:C,0))</f>
        <v>1</v>
      </c>
      <c r="Y820" s="161" t="str">
        <f t="shared" si="6"/>
        <v>tayloje03,2014-15</v>
      </c>
      <c r="Z820" s="168" t="str">
        <f t="array" ref="Z820">iferror(index(I:I,match($A820&amp;","&amp;index('Year Conversion'!$A:$A,match($C820,'Year Conversion'!$B:$B,0)),$Y:$Y,0))-I820,"")</f>
        <v/>
      </c>
      <c r="AA820" s="168" t="str">
        <f t="array" ref="AA820">iferror(index(J:J,match($A820&amp;","&amp;index('Year Conversion'!$A:$A,match($C820,'Year Conversion'!$B:$B,0)),$Y:$Y,0))-J820,"")</f>
        <v/>
      </c>
      <c r="AB820" s="168" t="str">
        <f t="array" ref="AB820">iferror(index(K:K,match($A820&amp;","&amp;index('Year Conversion'!$A:$A,match($C820,'Year Conversion'!$B:$B,0)),$Y:$Y,0))-K820,"")</f>
        <v/>
      </c>
      <c r="AC820" s="168" t="str">
        <f t="shared" si="7"/>
        <v>CHO,2014-15</v>
      </c>
    </row>
    <row r="821">
      <c r="A821" s="161" t="str">
        <f>IFERROR(__xludf.DUMMYFUNCTION("""COMPUTED_VALUE"""),"jamesbe01")</f>
        <v>jamesbe01</v>
      </c>
      <c r="B821" s="161" t="str">
        <f>IFERROR(__xludf.DUMMYFUNCTION("""COMPUTED_VALUE"""),"Bernard James")</f>
        <v>Bernard James</v>
      </c>
      <c r="C821" s="162" t="str">
        <f>IFERROR(__xludf.DUMMYFUNCTION("""COMPUTED_VALUE"""),"2014-15")</f>
        <v>2014-15</v>
      </c>
      <c r="D821" s="163" t="str">
        <f>IFERROR(__xludf.DUMMYFUNCTION("""COMPUTED_VALUE"""),"DAL")</f>
        <v>DAL</v>
      </c>
      <c r="E821" s="164" t="str">
        <f>IFERROR(__xludf.DUMMYFUNCTION("""COMPUTED_VALUE"""),"Roll + Cut Big")</f>
        <v>Roll + Cut Big</v>
      </c>
      <c r="F821" s="164">
        <f>IFERROR(__xludf.DUMMYFUNCTION("""COMPUTED_VALUE"""),157.653333333333)</f>
        <v>157.6533333</v>
      </c>
      <c r="G821" s="163">
        <f>IFERROR(__xludf.DUMMYFUNCTION("""COMPUTED_VALUE"""),16.0)</f>
        <v>16</v>
      </c>
      <c r="H821" s="163" t="str">
        <f>IFERROR(__xludf.DUMMYFUNCTION("""COMPUTED_VALUE"""),"C")</f>
        <v>C</v>
      </c>
      <c r="I821" s="163">
        <f>IFERROR(__xludf.DUMMYFUNCTION("""COMPUTED_VALUE"""),29.0)</f>
        <v>29</v>
      </c>
      <c r="J821" s="165">
        <f>IFERROR(__xludf.DUMMYFUNCTION("""COMPUTED_VALUE"""),-0.341423816477755)</f>
        <v>-0.3414238165</v>
      </c>
      <c r="K821" s="165">
        <f>IFERROR(__xludf.DUMMYFUNCTION("""COMPUTED_VALUE"""),-0.893808702863907)</f>
        <v>-0.8938087029</v>
      </c>
      <c r="L821" s="165">
        <f>IFERROR(__xludf.DUMMYFUNCTION("""COMPUTED_VALUE"""),0.552384886386152)</f>
        <v>0.5523848864</v>
      </c>
      <c r="M821" s="166">
        <f t="shared" si="2"/>
        <v>0.206765417</v>
      </c>
      <c r="N821" s="167">
        <f t="shared" si="3"/>
        <v>9.853333333</v>
      </c>
      <c r="O821" s="163">
        <f t="shared" ref="O821:Q821" si="825">rank(I821,I:I)</f>
        <v>855</v>
      </c>
      <c r="P821" s="163">
        <f t="shared" si="825"/>
        <v>1662</v>
      </c>
      <c r="Q821" s="163">
        <f t="shared" si="825"/>
        <v>2683</v>
      </c>
      <c r="R821" s="163">
        <f>IFERROR(__xludf.DUMMYFUNCTION("RANK(M821,filter(M:M,C:C=C821))"),336.0)</f>
        <v>336</v>
      </c>
      <c r="S821" s="161" t="b">
        <f t="shared" si="5"/>
        <v>0</v>
      </c>
      <c r="T821" s="161" t="b">
        <f t="array" ref="T821">index('Query Tool'!B:B,match(H821,'Query Tool'!C:C,0))</f>
        <v>1</v>
      </c>
      <c r="U821" s="161" t="b">
        <f t="array" ref="U821">index('Query Tool'!B:B,match(C821,'Query Tool'!C:C,0))</f>
        <v>0</v>
      </c>
      <c r="V821" s="161" t="b">
        <f>F821&gt;='Query Tool'!C$32</f>
        <v>0</v>
      </c>
      <c r="W821" s="161" t="b">
        <f t="array" ref="W821">index(Dropdowns!B:B,match(I821,Dropdowns!A:A,0))</f>
        <v>1</v>
      </c>
      <c r="X821" s="161" t="b">
        <f t="array" ref="X821">index('Query Tool'!B:B,match(D821,'Query Tool'!C:C,0))</f>
        <v>1</v>
      </c>
      <c r="Y821" s="161" t="str">
        <f t="shared" si="6"/>
        <v>jamesbe01,2014-15</v>
      </c>
      <c r="Z821" s="168" t="str">
        <f t="array" ref="Z821">iferror(index(I:I,match($A821&amp;","&amp;index('Year Conversion'!$A:$A,match($C821,'Year Conversion'!$B:$B,0)),$Y:$Y,0))-I821,"")</f>
        <v/>
      </c>
      <c r="AA821" s="168" t="str">
        <f t="array" ref="AA821">iferror(index(J:J,match($A821&amp;","&amp;index('Year Conversion'!$A:$A,match($C821,'Year Conversion'!$B:$B,0)),$Y:$Y,0))-J821,"")</f>
        <v/>
      </c>
      <c r="AB821" s="168" t="str">
        <f t="array" ref="AB821">iferror(index(K:K,match($A821&amp;","&amp;index('Year Conversion'!$A:$A,match($C821,'Year Conversion'!$B:$B,0)),$Y:$Y,0))-K821,"")</f>
        <v/>
      </c>
      <c r="AC821" s="168" t="str">
        <f t="shared" si="7"/>
        <v>DAL,2014-15</v>
      </c>
    </row>
    <row r="822">
      <c r="A822" s="161" t="str">
        <f>IFERROR(__xludf.DUMMYFUNCTION("""COMPUTED_VALUE"""),"crowdja01")</f>
        <v>crowdja01</v>
      </c>
      <c r="B822" s="161" t="str">
        <f>IFERROR(__xludf.DUMMYFUNCTION("""COMPUTED_VALUE"""),"Jae Crowder")</f>
        <v>Jae Crowder</v>
      </c>
      <c r="C822" s="162" t="str">
        <f>IFERROR(__xludf.DUMMYFUNCTION("""COMPUTED_VALUE"""),"2014-15")</f>
        <v>2014-15</v>
      </c>
      <c r="D822" s="163" t="str">
        <f>IFERROR(__xludf.DUMMYFUNCTION("""COMPUTED_VALUE"""),"TOT")</f>
        <v>TOT</v>
      </c>
      <c r="E822" s="164" t="str">
        <f>IFERROR(__xludf.DUMMYFUNCTION("""COMPUTED_VALUE"""),"Stationary Shooter")</f>
        <v>Stationary Shooter</v>
      </c>
      <c r="F822" s="164">
        <f>IFERROR(__xludf.DUMMYFUNCTION("""COMPUTED_VALUE"""),1646.62833333333)</f>
        <v>1646.628333</v>
      </c>
      <c r="G822" s="163">
        <f>IFERROR(__xludf.DUMMYFUNCTION("""COMPUTED_VALUE"""),82.0)</f>
        <v>82</v>
      </c>
      <c r="H822" s="163" t="str">
        <f>IFERROR(__xludf.DUMMYFUNCTION("""COMPUTED_VALUE"""),"SF")</f>
        <v>SF</v>
      </c>
      <c r="I822" s="163">
        <f>IFERROR(__xludf.DUMMYFUNCTION("""COMPUTED_VALUE"""),24.0)</f>
        <v>24</v>
      </c>
      <c r="J822" s="165">
        <f>IFERROR(__xludf.DUMMYFUNCTION("""COMPUTED_VALUE"""),0.306581048083727)</f>
        <v>0.3065810481</v>
      </c>
      <c r="K822" s="165">
        <f>IFERROR(__xludf.DUMMYFUNCTION("""COMPUTED_VALUE"""),1.04475702857789)</f>
        <v>1.044757029</v>
      </c>
      <c r="L822" s="165">
        <f>IFERROR(__xludf.DUMMYFUNCTION("""COMPUTED_VALUE"""),-0.738175980494165)</f>
        <v>-0.7381759805</v>
      </c>
      <c r="M822" s="166">
        <f t="shared" si="2"/>
        <v>2.878855481</v>
      </c>
      <c r="N822" s="167">
        <f t="shared" si="3"/>
        <v>20.08083333</v>
      </c>
      <c r="O822" s="163">
        <f t="shared" ref="O822:Q822" si="826">rank(I822,I:I)</f>
        <v>2361</v>
      </c>
      <c r="P822" s="163">
        <f t="shared" si="826"/>
        <v>1013</v>
      </c>
      <c r="Q822" s="163">
        <f t="shared" si="826"/>
        <v>479</v>
      </c>
      <c r="R822" s="163">
        <f>IFERROR(__xludf.DUMMYFUNCTION("RANK(M822,filter(M:M,C:C=C822))"),123.0)</f>
        <v>123</v>
      </c>
      <c r="S822" s="161" t="b">
        <f t="shared" si="5"/>
        <v>0</v>
      </c>
      <c r="T822" s="161" t="b">
        <f t="array" ref="T822">index('Query Tool'!B:B,match(H822,'Query Tool'!C:C,0))</f>
        <v>1</v>
      </c>
      <c r="U822" s="161" t="b">
        <f t="array" ref="U822">index('Query Tool'!B:B,match(C822,'Query Tool'!C:C,0))</f>
        <v>0</v>
      </c>
      <c r="V822" s="161" t="b">
        <f>F822&gt;='Query Tool'!C$32</f>
        <v>1</v>
      </c>
      <c r="W822" s="161" t="b">
        <f t="array" ref="W822">index(Dropdowns!B:B,match(I822,Dropdowns!A:A,0))</f>
        <v>1</v>
      </c>
      <c r="X822" s="161" t="b">
        <f t="array" ref="X822">index('Query Tool'!B:B,match(D822,'Query Tool'!C:C,0))</f>
        <v>1</v>
      </c>
      <c r="Y822" s="161" t="str">
        <f t="shared" si="6"/>
        <v>crowdja01,2014-15</v>
      </c>
      <c r="Z822" s="168">
        <f t="array" ref="Z822">iferror(index(I:I,match($A822&amp;","&amp;index('Year Conversion'!$A:$A,match($C822,'Year Conversion'!$B:$B,0)),$Y:$Y,0))-I822,"")</f>
        <v>1</v>
      </c>
      <c r="AA822" s="168">
        <f t="array" ref="AA822">iferror(index(J:J,match($A822&amp;","&amp;index('Year Conversion'!$A:$A,match($C822,'Year Conversion'!$B:$B,0)),$Y:$Y,0))-J822,"")</f>
        <v>1.646934768</v>
      </c>
      <c r="AB822" s="168">
        <f t="array" ref="AB822">iferror(index(K:K,match($A822&amp;","&amp;index('Year Conversion'!$A:$A,match($C822,'Year Conversion'!$B:$B,0)),$Y:$Y,0))-K822,"")</f>
        <v>0.2450261379</v>
      </c>
      <c r="AC822" s="168" t="str">
        <f t="shared" si="7"/>
        <v>TOT,2014-15</v>
      </c>
    </row>
    <row r="823">
      <c r="A823" s="161" t="str">
        <f>IFERROR(__xludf.DUMMYFUNCTION("""COMPUTED_VALUE"""),"greendr01")</f>
        <v>greendr01</v>
      </c>
      <c r="B823" s="161" t="str">
        <f>IFERROR(__xludf.DUMMYFUNCTION("""COMPUTED_VALUE"""),"Draymond Green")</f>
        <v>Draymond Green</v>
      </c>
      <c r="C823" s="162" t="str">
        <f>IFERROR(__xludf.DUMMYFUNCTION("""COMPUTED_VALUE"""),"2014-15")</f>
        <v>2014-15</v>
      </c>
      <c r="D823" s="163" t="str">
        <f>IFERROR(__xludf.DUMMYFUNCTION("""COMPUTED_VALUE"""),"GSW")</f>
        <v>GSW</v>
      </c>
      <c r="E823" s="164" t="str">
        <f>IFERROR(__xludf.DUMMYFUNCTION("""COMPUTED_VALUE"""),"Stretch Big")</f>
        <v>Stretch Big</v>
      </c>
      <c r="F823" s="164">
        <f>IFERROR(__xludf.DUMMYFUNCTION("""COMPUTED_VALUE"""),2489.99166666667)</f>
        <v>2489.991667</v>
      </c>
      <c r="G823" s="163">
        <f>IFERROR(__xludf.DUMMYFUNCTION("""COMPUTED_VALUE"""),79.0)</f>
        <v>79</v>
      </c>
      <c r="H823" s="163" t="str">
        <f>IFERROR(__xludf.DUMMYFUNCTION("""COMPUTED_VALUE"""),"PF")</f>
        <v>PF</v>
      </c>
      <c r="I823" s="163">
        <f>IFERROR(__xludf.DUMMYFUNCTION("""COMPUTED_VALUE"""),24.0)</f>
        <v>24</v>
      </c>
      <c r="J823" s="165">
        <f>IFERROR(__xludf.DUMMYFUNCTION("""COMPUTED_VALUE"""),4.1901933909136)</f>
        <v>4.190193391</v>
      </c>
      <c r="K823" s="165">
        <f>IFERROR(__xludf.DUMMYFUNCTION("""COMPUTED_VALUE"""),0.788080682403353)</f>
        <v>0.7880806824</v>
      </c>
      <c r="L823" s="165">
        <f>IFERROR(__xludf.DUMMYFUNCTION("""COMPUTED_VALUE"""),3.40211270851025)</f>
        <v>3.402112709</v>
      </c>
      <c r="M823" s="166">
        <f t="shared" si="2"/>
        <v>10.70622366</v>
      </c>
      <c r="N823" s="167">
        <f t="shared" si="3"/>
        <v>31.51888186</v>
      </c>
      <c r="O823" s="163">
        <f t="shared" ref="O823:Q823" si="827">rank(I823,I:I)</f>
        <v>2361</v>
      </c>
      <c r="P823" s="163">
        <f t="shared" si="827"/>
        <v>89</v>
      </c>
      <c r="Q823" s="163">
        <f t="shared" si="827"/>
        <v>603</v>
      </c>
      <c r="R823" s="163">
        <f>IFERROR(__xludf.DUMMYFUNCTION("RANK(M823,filter(M:M,C:C=C823))"),10.0)</f>
        <v>10</v>
      </c>
      <c r="S823" s="161" t="b">
        <f t="shared" si="5"/>
        <v>0</v>
      </c>
      <c r="T823" s="161" t="b">
        <f t="array" ref="T823">index('Query Tool'!B:B,match(H823,'Query Tool'!C:C,0))</f>
        <v>1</v>
      </c>
      <c r="U823" s="161" t="b">
        <f t="array" ref="U823">index('Query Tool'!B:B,match(C823,'Query Tool'!C:C,0))</f>
        <v>0</v>
      </c>
      <c r="V823" s="161" t="b">
        <f>F823&gt;='Query Tool'!C$32</f>
        <v>1</v>
      </c>
      <c r="W823" s="161" t="b">
        <f t="array" ref="W823">index(Dropdowns!B:B,match(I823,Dropdowns!A:A,0))</f>
        <v>1</v>
      </c>
      <c r="X823" s="161" t="b">
        <f t="array" ref="X823">index('Query Tool'!B:B,match(D823,'Query Tool'!C:C,0))</f>
        <v>1</v>
      </c>
      <c r="Y823" s="161" t="str">
        <f t="shared" si="6"/>
        <v>greendr01,2014-15</v>
      </c>
      <c r="Z823" s="168">
        <f t="array" ref="Z823">iferror(index(I:I,match($A823&amp;","&amp;index('Year Conversion'!$A:$A,match($C823,'Year Conversion'!$B:$B,0)),$Y:$Y,0))-I823,"")</f>
        <v>1</v>
      </c>
      <c r="AA823" s="168">
        <f t="array" ref="AA823">iferror(index(J:J,match($A823&amp;","&amp;index('Year Conversion'!$A:$A,match($C823,'Year Conversion'!$B:$B,0)),$Y:$Y,0))-J823,"")</f>
        <v>1.770634949</v>
      </c>
      <c r="AB823" s="168">
        <f t="array" ref="AB823">iferror(index(K:K,match($A823&amp;","&amp;index('Year Conversion'!$A:$A,match($C823,'Year Conversion'!$B:$B,0)),$Y:$Y,0))-K823,"")</f>
        <v>1.320384925</v>
      </c>
      <c r="AC823" s="168" t="str">
        <f t="shared" si="7"/>
        <v>GSW,2014-15</v>
      </c>
    </row>
    <row r="824">
      <c r="A824" s="161" t="str">
        <f>IFERROR(__xludf.DUMMYFUNCTION("""COMPUTED_VALUE"""),"acyqu01")</f>
        <v>acyqu01</v>
      </c>
      <c r="B824" s="161" t="str">
        <f>IFERROR(__xludf.DUMMYFUNCTION("""COMPUTED_VALUE"""),"Quincy Acy")</f>
        <v>Quincy Acy</v>
      </c>
      <c r="C824" s="162" t="str">
        <f>IFERROR(__xludf.DUMMYFUNCTION("""COMPUTED_VALUE"""),"2014-15")</f>
        <v>2014-15</v>
      </c>
      <c r="D824" s="163" t="str">
        <f>IFERROR(__xludf.DUMMYFUNCTION("""COMPUTED_VALUE"""),"NYK")</f>
        <v>NYK</v>
      </c>
      <c r="E824" s="164" t="str">
        <f>IFERROR(__xludf.DUMMYFUNCTION("""COMPUTED_VALUE"""),"Roll + Cut Big")</f>
        <v>Roll + Cut Big</v>
      </c>
      <c r="F824" s="164">
        <f>IFERROR(__xludf.DUMMYFUNCTION("""COMPUTED_VALUE"""),1287.08166666667)</f>
        <v>1287.081667</v>
      </c>
      <c r="G824" s="163">
        <f>IFERROR(__xludf.DUMMYFUNCTION("""COMPUTED_VALUE"""),68.0)</f>
        <v>68</v>
      </c>
      <c r="H824" s="163" t="str">
        <f>IFERROR(__xludf.DUMMYFUNCTION("""COMPUTED_VALUE"""),"PF")</f>
        <v>PF</v>
      </c>
      <c r="I824" s="163">
        <f>IFERROR(__xludf.DUMMYFUNCTION("""COMPUTED_VALUE"""),24.0)</f>
        <v>24</v>
      </c>
      <c r="J824" s="165">
        <f>IFERROR(__xludf.DUMMYFUNCTION("""COMPUTED_VALUE"""),-2.19034196131719)</f>
        <v>-2.190341961</v>
      </c>
      <c r="K824" s="165">
        <f>IFERROR(__xludf.DUMMYFUNCTION("""COMPUTED_VALUE"""),-2.57633277050112)</f>
        <v>-2.576332771</v>
      </c>
      <c r="L824" s="165">
        <f>IFERROR(__xludf.DUMMYFUNCTION("""COMPUTED_VALUE"""),0.385990809183931)</f>
        <v>0.3859908092</v>
      </c>
      <c r="M824" s="166">
        <f t="shared" si="2"/>
        <v>0.096176368</v>
      </c>
      <c r="N824" s="167">
        <f t="shared" si="3"/>
        <v>18.92767157</v>
      </c>
      <c r="O824" s="163">
        <f t="shared" ref="O824:Q824" si="828">rank(I824,I:I)</f>
        <v>2361</v>
      </c>
      <c r="P824" s="163">
        <f t="shared" si="828"/>
        <v>3605</v>
      </c>
      <c r="Q824" s="163">
        <f t="shared" si="828"/>
        <v>3907</v>
      </c>
      <c r="R824" s="163">
        <f>IFERROR(__xludf.DUMMYFUNCTION("RANK(M824,filter(M:M,C:C=C824))"),384.0)</f>
        <v>384</v>
      </c>
      <c r="S824" s="161" t="b">
        <f t="shared" si="5"/>
        <v>0</v>
      </c>
      <c r="T824" s="161" t="b">
        <f t="array" ref="T824">index('Query Tool'!B:B,match(H824,'Query Tool'!C:C,0))</f>
        <v>1</v>
      </c>
      <c r="U824" s="161" t="b">
        <f t="array" ref="U824">index('Query Tool'!B:B,match(C824,'Query Tool'!C:C,0))</f>
        <v>0</v>
      </c>
      <c r="V824" s="161" t="b">
        <f>F824&gt;='Query Tool'!C$32</f>
        <v>1</v>
      </c>
      <c r="W824" s="161" t="b">
        <f t="array" ref="W824">index(Dropdowns!B:B,match(I824,Dropdowns!A:A,0))</f>
        <v>1</v>
      </c>
      <c r="X824" s="161" t="b">
        <f t="array" ref="X824">index('Query Tool'!B:B,match(D824,'Query Tool'!C:C,0))</f>
        <v>1</v>
      </c>
      <c r="Y824" s="161" t="str">
        <f t="shared" si="6"/>
        <v>acyqu01,2014-15</v>
      </c>
      <c r="Z824" s="168">
        <f t="array" ref="Z824">iferror(index(I:I,match($A824&amp;","&amp;index('Year Conversion'!$A:$A,match($C824,'Year Conversion'!$B:$B,0)),$Y:$Y,0))-I824,"")</f>
        <v>1</v>
      </c>
      <c r="AA824" s="168">
        <f t="array" ref="AA824">iferror(index(J:J,match($A824&amp;","&amp;index('Year Conversion'!$A:$A,match($C824,'Year Conversion'!$B:$B,0)),$Y:$Y,0))-J824,"")</f>
        <v>1.387615749</v>
      </c>
      <c r="AB824" s="168">
        <f t="array" ref="AB824">iferror(index(K:K,match($A824&amp;","&amp;index('Year Conversion'!$A:$A,match($C824,'Year Conversion'!$B:$B,0)),$Y:$Y,0))-K824,"")</f>
        <v>0.9399892798</v>
      </c>
      <c r="AC824" s="168" t="str">
        <f t="shared" si="7"/>
        <v>NYK,2014-15</v>
      </c>
    </row>
    <row r="825">
      <c r="A825" s="161" t="str">
        <f>IFERROR(__xludf.DUMMYFUNCTION("""COMPUTED_VALUE"""),"millequ01")</f>
        <v>millequ01</v>
      </c>
      <c r="B825" s="161" t="str">
        <f>IFERROR(__xludf.DUMMYFUNCTION("""COMPUTED_VALUE"""),"Quincy Miller")</f>
        <v>Quincy Miller</v>
      </c>
      <c r="C825" s="162" t="str">
        <f>IFERROR(__xludf.DUMMYFUNCTION("""COMPUTED_VALUE"""),"2014-15")</f>
        <v>2014-15</v>
      </c>
      <c r="D825" s="163" t="str">
        <f>IFERROR(__xludf.DUMMYFUNCTION("""COMPUTED_VALUE"""),"TOT")</f>
        <v>TOT</v>
      </c>
      <c r="E825" s="164" t="str">
        <f>IFERROR(__xludf.DUMMYFUNCTION("""COMPUTED_VALUE"""),"Stationary Shooter")</f>
        <v>Stationary Shooter</v>
      </c>
      <c r="F825" s="164">
        <f>IFERROR(__xludf.DUMMYFUNCTION("""COMPUTED_VALUE"""),119.731666666667)</f>
        <v>119.7316667</v>
      </c>
      <c r="G825" s="163">
        <f>IFERROR(__xludf.DUMMYFUNCTION("""COMPUTED_VALUE"""),10.0)</f>
        <v>10</v>
      </c>
      <c r="H825" s="163" t="str">
        <f>IFERROR(__xludf.DUMMYFUNCTION("""COMPUTED_VALUE"""),"PF")</f>
        <v>PF</v>
      </c>
      <c r="I825" s="163">
        <f>IFERROR(__xludf.DUMMYFUNCTION("""COMPUTED_VALUE"""),22.0)</f>
        <v>22</v>
      </c>
      <c r="J825" s="165">
        <f>IFERROR(__xludf.DUMMYFUNCTION("""COMPUTED_VALUE"""),0.543593215816567)</f>
        <v>0.5435932158</v>
      </c>
      <c r="K825" s="165">
        <f>IFERROR(__xludf.DUMMYFUNCTION("""COMPUTED_VALUE"""),0.0484022080031753)</f>
        <v>0.048402208</v>
      </c>
      <c r="L825" s="165">
        <f>IFERROR(__xludf.DUMMYFUNCTION("""COMPUTED_VALUE"""),0.495191007813392)</f>
        <v>0.4951910078</v>
      </c>
      <c r="M825" s="166">
        <f t="shared" si="2"/>
        <v>0.2284481769</v>
      </c>
      <c r="N825" s="167">
        <f t="shared" si="3"/>
        <v>11.97316667</v>
      </c>
      <c r="O825" s="163">
        <f t="shared" ref="O825:Q825" si="829">rank(I825,I:I)</f>
        <v>3178</v>
      </c>
      <c r="P825" s="163">
        <f t="shared" si="829"/>
        <v>873</v>
      </c>
      <c r="Q825" s="163">
        <f t="shared" si="829"/>
        <v>1133</v>
      </c>
      <c r="R825" s="163">
        <f>IFERROR(__xludf.DUMMYFUNCTION("RANK(M825,filter(M:M,C:C=C825))"),325.0)</f>
        <v>325</v>
      </c>
      <c r="S825" s="161" t="b">
        <f t="shared" si="5"/>
        <v>0</v>
      </c>
      <c r="T825" s="161" t="b">
        <f t="array" ref="T825">index('Query Tool'!B:B,match(H825,'Query Tool'!C:C,0))</f>
        <v>1</v>
      </c>
      <c r="U825" s="161" t="b">
        <f t="array" ref="U825">index('Query Tool'!B:B,match(C825,'Query Tool'!C:C,0))</f>
        <v>0</v>
      </c>
      <c r="V825" s="161" t="b">
        <f>F825&gt;='Query Tool'!C$32</f>
        <v>0</v>
      </c>
      <c r="W825" s="161" t="b">
        <f t="array" ref="W825">index(Dropdowns!B:B,match(I825,Dropdowns!A:A,0))</f>
        <v>1</v>
      </c>
      <c r="X825" s="161" t="b">
        <f t="array" ref="X825">index('Query Tool'!B:B,match(D825,'Query Tool'!C:C,0))</f>
        <v>1</v>
      </c>
      <c r="Y825" s="161" t="str">
        <f t="shared" si="6"/>
        <v>millequ01,2014-15</v>
      </c>
      <c r="Z825" s="168" t="str">
        <f t="array" ref="Z825">iferror(index(I:I,match($A825&amp;","&amp;index('Year Conversion'!$A:$A,match($C825,'Year Conversion'!$B:$B,0)),$Y:$Y,0))-I825,"")</f>
        <v/>
      </c>
      <c r="AA825" s="168" t="str">
        <f t="array" ref="AA825">iferror(index(J:J,match($A825&amp;","&amp;index('Year Conversion'!$A:$A,match($C825,'Year Conversion'!$B:$B,0)),$Y:$Y,0))-J825,"")</f>
        <v/>
      </c>
      <c r="AB825" s="168" t="str">
        <f t="array" ref="AB825">iferror(index(K:K,match($A825&amp;","&amp;index('Year Conversion'!$A:$A,match($C825,'Year Conversion'!$B:$B,0)),$Y:$Y,0))-K825,"")</f>
        <v/>
      </c>
      <c r="AC825" s="168" t="str">
        <f t="shared" si="7"/>
        <v>TOT,2014-15</v>
      </c>
    </row>
    <row r="826">
      <c r="A826" s="161" t="str">
        <f>IFERROR(__xludf.DUMMYFUNCTION("""COMPUTED_VALUE"""),"middlkh01")</f>
        <v>middlkh01</v>
      </c>
      <c r="B826" s="161" t="str">
        <f>IFERROR(__xludf.DUMMYFUNCTION("""COMPUTED_VALUE"""),"Khris Middleton")</f>
        <v>Khris Middleton</v>
      </c>
      <c r="C826" s="162" t="str">
        <f>IFERROR(__xludf.DUMMYFUNCTION("""COMPUTED_VALUE"""),"2014-15")</f>
        <v>2014-15</v>
      </c>
      <c r="D826" s="163" t="str">
        <f>IFERROR(__xludf.DUMMYFUNCTION("""COMPUTED_VALUE"""),"MIL")</f>
        <v>MIL</v>
      </c>
      <c r="E826" s="164" t="str">
        <f>IFERROR(__xludf.DUMMYFUNCTION("""COMPUTED_VALUE"""),"Stationary Shooter")</f>
        <v>Stationary Shooter</v>
      </c>
      <c r="F826" s="164">
        <f>IFERROR(__xludf.DUMMYFUNCTION("""COMPUTED_VALUE"""),2378.11833333333)</f>
        <v>2378.118333</v>
      </c>
      <c r="G826" s="163">
        <f>IFERROR(__xludf.DUMMYFUNCTION("""COMPUTED_VALUE"""),79.0)</f>
        <v>79</v>
      </c>
      <c r="H826" s="163" t="str">
        <f>IFERROR(__xludf.DUMMYFUNCTION("""COMPUTED_VALUE"""),"SF")</f>
        <v>SF</v>
      </c>
      <c r="I826" s="163">
        <f>IFERROR(__xludf.DUMMYFUNCTION("""COMPUTED_VALUE"""),23.0)</f>
        <v>23</v>
      </c>
      <c r="J826" s="165">
        <f>IFERROR(__xludf.DUMMYFUNCTION("""COMPUTED_VALUE"""),2.19243367981823)</f>
        <v>2.19243368</v>
      </c>
      <c r="K826" s="165">
        <f>IFERROR(__xludf.DUMMYFUNCTION("""COMPUTED_VALUE"""),0.206996269328175)</f>
        <v>0.2069962693</v>
      </c>
      <c r="L826" s="165">
        <f>IFERROR(__xludf.DUMMYFUNCTION("""COMPUTED_VALUE"""),1.98543741049005)</f>
        <v>1.98543741</v>
      </c>
      <c r="M826" s="166">
        <f t="shared" si="2"/>
        <v>7.158115556</v>
      </c>
      <c r="N826" s="167">
        <f t="shared" si="3"/>
        <v>30.10276371</v>
      </c>
      <c r="O826" s="163">
        <f t="shared" ref="O826:Q826" si="830">rank(I826,I:I)</f>
        <v>2765</v>
      </c>
      <c r="P826" s="163">
        <f t="shared" si="830"/>
        <v>274</v>
      </c>
      <c r="Q826" s="163">
        <f t="shared" si="830"/>
        <v>976</v>
      </c>
      <c r="R826" s="163">
        <f>IFERROR(__xludf.DUMMYFUNCTION("RANK(M826,filter(M:M,C:C=C826))"),30.0)</f>
        <v>30</v>
      </c>
      <c r="S826" s="161" t="b">
        <f t="shared" si="5"/>
        <v>0</v>
      </c>
      <c r="T826" s="161" t="b">
        <f t="array" ref="T826">index('Query Tool'!B:B,match(H826,'Query Tool'!C:C,0))</f>
        <v>1</v>
      </c>
      <c r="U826" s="161" t="b">
        <f t="array" ref="U826">index('Query Tool'!B:B,match(C826,'Query Tool'!C:C,0))</f>
        <v>0</v>
      </c>
      <c r="V826" s="161" t="b">
        <f>F826&gt;='Query Tool'!C$32</f>
        <v>1</v>
      </c>
      <c r="W826" s="161" t="b">
        <f t="array" ref="W826">index(Dropdowns!B:B,match(I826,Dropdowns!A:A,0))</f>
        <v>1</v>
      </c>
      <c r="X826" s="161" t="b">
        <f t="array" ref="X826">index('Query Tool'!B:B,match(D826,'Query Tool'!C:C,0))</f>
        <v>1</v>
      </c>
      <c r="Y826" s="161" t="str">
        <f t="shared" si="6"/>
        <v>middlkh01,2014-15</v>
      </c>
      <c r="Z826" s="168">
        <f t="array" ref="Z826">iferror(index(I:I,match($A826&amp;","&amp;index('Year Conversion'!$A:$A,match($C826,'Year Conversion'!$B:$B,0)),$Y:$Y,0))-I826,"")</f>
        <v>1</v>
      </c>
      <c r="AA826" s="168">
        <f t="array" ref="AA826">iferror(index(J:J,match($A826&amp;","&amp;index('Year Conversion'!$A:$A,match($C826,'Year Conversion'!$B:$B,0)),$Y:$Y,0))-J826,"")</f>
        <v>-1.164629846</v>
      </c>
      <c r="AB826" s="168">
        <f t="array" ref="AB826">iferror(index(K:K,match($A826&amp;","&amp;index('Year Conversion'!$A:$A,match($C826,'Year Conversion'!$B:$B,0)),$Y:$Y,0))-K826,"")</f>
        <v>0.9851701536</v>
      </c>
      <c r="AC826" s="168" t="str">
        <f t="shared" si="7"/>
        <v>MIL,2014-15</v>
      </c>
    </row>
    <row r="827">
      <c r="A827" s="161" t="str">
        <f>IFERROR(__xludf.DUMMYFUNCTION("""COMPUTED_VALUE"""),"bartowi01")</f>
        <v>bartowi01</v>
      </c>
      <c r="B827" s="161" t="str">
        <f>IFERROR(__xludf.DUMMYFUNCTION("""COMPUTED_VALUE"""),"Will Barton")</f>
        <v>Will Barton</v>
      </c>
      <c r="C827" s="162" t="str">
        <f>IFERROR(__xludf.DUMMYFUNCTION("""COMPUTED_VALUE"""),"2014-15")</f>
        <v>2014-15</v>
      </c>
      <c r="D827" s="163" t="str">
        <f>IFERROR(__xludf.DUMMYFUNCTION("""COMPUTED_VALUE"""),"TOT")</f>
        <v>TOT</v>
      </c>
      <c r="E827" s="164" t="str">
        <f>IFERROR(__xludf.DUMMYFUNCTION("""COMPUTED_VALUE"""),"Secondary Ball Handler")</f>
        <v>Secondary Ball Handler</v>
      </c>
      <c r="F827" s="164">
        <f>IFERROR(__xludf.DUMMYFUNCTION("""COMPUTED_VALUE"""),983.863333333333)</f>
        <v>983.8633333</v>
      </c>
      <c r="G827" s="163">
        <f>IFERROR(__xludf.DUMMYFUNCTION("""COMPUTED_VALUE"""),58.0)</f>
        <v>58</v>
      </c>
      <c r="H827" s="163" t="str">
        <f>IFERROR(__xludf.DUMMYFUNCTION("""COMPUTED_VALUE"""),"SG")</f>
        <v>SG</v>
      </c>
      <c r="I827" s="163">
        <f>IFERROR(__xludf.DUMMYFUNCTION("""COMPUTED_VALUE"""),24.0)</f>
        <v>24</v>
      </c>
      <c r="J827" s="165">
        <f>IFERROR(__xludf.DUMMYFUNCTION("""COMPUTED_VALUE"""),-0.0105660628895885)</f>
        <v>-0.01056606289</v>
      </c>
      <c r="K827" s="165">
        <f>IFERROR(__xludf.DUMMYFUNCTION("""COMPUTED_VALUE"""),-0.219144909298057)</f>
        <v>-0.2191449093</v>
      </c>
      <c r="L827" s="165">
        <f>IFERROR(__xludf.DUMMYFUNCTION("""COMPUTED_VALUE"""),0.208578846408469)</f>
        <v>0.2085788464</v>
      </c>
      <c r="M827" s="166">
        <f t="shared" si="2"/>
        <v>1.509780725</v>
      </c>
      <c r="N827" s="167">
        <f t="shared" si="3"/>
        <v>16.96316092</v>
      </c>
      <c r="O827" s="163">
        <f t="shared" ref="O827:Q827" si="831">rank(I827,I:I)</f>
        <v>2361</v>
      </c>
      <c r="P827" s="163">
        <f t="shared" si="831"/>
        <v>1299</v>
      </c>
      <c r="Q827" s="163">
        <f t="shared" si="831"/>
        <v>1597</v>
      </c>
      <c r="R827" s="163">
        <f>IFERROR(__xludf.DUMMYFUNCTION("RANK(M827,filter(M:M,C:C=C827))"),196.0)</f>
        <v>196</v>
      </c>
      <c r="S827" s="161" t="b">
        <f t="shared" si="5"/>
        <v>0</v>
      </c>
      <c r="T827" s="161" t="b">
        <f t="array" ref="T827">index('Query Tool'!B:B,match(H827,'Query Tool'!C:C,0))</f>
        <v>1</v>
      </c>
      <c r="U827" s="161" t="b">
        <f t="array" ref="U827">index('Query Tool'!B:B,match(C827,'Query Tool'!C:C,0))</f>
        <v>0</v>
      </c>
      <c r="V827" s="161" t="b">
        <f>F827&gt;='Query Tool'!C$32</f>
        <v>1</v>
      </c>
      <c r="W827" s="161" t="b">
        <f t="array" ref="W827">index(Dropdowns!B:B,match(I827,Dropdowns!A:A,0))</f>
        <v>1</v>
      </c>
      <c r="X827" s="161" t="b">
        <f t="array" ref="X827">index('Query Tool'!B:B,match(D827,'Query Tool'!C:C,0))</f>
        <v>1</v>
      </c>
      <c r="Y827" s="161" t="str">
        <f t="shared" si="6"/>
        <v>bartowi01,2014-15</v>
      </c>
      <c r="Z827" s="168">
        <f t="array" ref="Z827">iferror(index(I:I,match($A827&amp;","&amp;index('Year Conversion'!$A:$A,match($C827,'Year Conversion'!$B:$B,0)),$Y:$Y,0))-I827,"")</f>
        <v>1</v>
      </c>
      <c r="AA827" s="168">
        <f t="array" ref="AA827">iferror(index(J:J,match($A827&amp;","&amp;index('Year Conversion'!$A:$A,match($C827,'Year Conversion'!$B:$B,0)),$Y:$Y,0))-J827,"")</f>
        <v>-0.6697391919</v>
      </c>
      <c r="AB827" s="168">
        <f t="array" ref="AB827">iferror(index(K:K,match($A827&amp;","&amp;index('Year Conversion'!$A:$A,match($C827,'Year Conversion'!$B:$B,0)),$Y:$Y,0))-K827,"")</f>
        <v>1.373297424</v>
      </c>
      <c r="AC827" s="168" t="str">
        <f t="shared" si="7"/>
        <v>TOT,2014-15</v>
      </c>
    </row>
    <row r="828">
      <c r="A828" s="161" t="str">
        <f>IFERROR(__xludf.DUMMYFUNCTION("""COMPUTED_VALUE"""),"scottmi01")</f>
        <v>scottmi01</v>
      </c>
      <c r="B828" s="161" t="str">
        <f>IFERROR(__xludf.DUMMYFUNCTION("""COMPUTED_VALUE"""),"Mike Scott")</f>
        <v>Mike Scott</v>
      </c>
      <c r="C828" s="162" t="str">
        <f>IFERROR(__xludf.DUMMYFUNCTION("""COMPUTED_VALUE"""),"2014-15")</f>
        <v>2014-15</v>
      </c>
      <c r="D828" s="163" t="str">
        <f>IFERROR(__xludf.DUMMYFUNCTION("""COMPUTED_VALUE"""),"ATL")</f>
        <v>ATL</v>
      </c>
      <c r="E828" s="164" t="str">
        <f>IFERROR(__xludf.DUMMYFUNCTION("""COMPUTED_VALUE"""),"Stretch Big")</f>
        <v>Stretch Big</v>
      </c>
      <c r="F828" s="164">
        <f>IFERROR(__xludf.DUMMYFUNCTION("""COMPUTED_VALUE"""),1123.05666666667)</f>
        <v>1123.056667</v>
      </c>
      <c r="G828" s="163">
        <f>IFERROR(__xludf.DUMMYFUNCTION("""COMPUTED_VALUE"""),68.0)</f>
        <v>68</v>
      </c>
      <c r="H828" s="163" t="str">
        <f>IFERROR(__xludf.DUMMYFUNCTION("""COMPUTED_VALUE"""),"PF")</f>
        <v>PF</v>
      </c>
      <c r="I828" s="163">
        <f>IFERROR(__xludf.DUMMYFUNCTION("""COMPUTED_VALUE"""),26.0)</f>
        <v>26</v>
      </c>
      <c r="J828" s="165">
        <f>IFERROR(__xludf.DUMMYFUNCTION("""COMPUTED_VALUE"""),-1.11113231209178)</f>
        <v>-1.111132312</v>
      </c>
      <c r="K828" s="165">
        <f>IFERROR(__xludf.DUMMYFUNCTION("""COMPUTED_VALUE"""),0.121027611043106)</f>
        <v>0.121027611</v>
      </c>
      <c r="L828" s="165">
        <f>IFERROR(__xludf.DUMMYFUNCTION("""COMPUTED_VALUE"""),-1.23215992313488)</f>
        <v>-1.232159923</v>
      </c>
      <c r="M828" s="166">
        <f t="shared" si="2"/>
        <v>0.8915214105</v>
      </c>
      <c r="N828" s="167">
        <f t="shared" si="3"/>
        <v>16.51553922</v>
      </c>
      <c r="O828" s="163">
        <f t="shared" ref="O828:Q828" si="832">rank(I828,I:I)</f>
        <v>1665</v>
      </c>
      <c r="P828" s="163">
        <f t="shared" si="832"/>
        <v>2630</v>
      </c>
      <c r="Q828" s="163">
        <f t="shared" si="832"/>
        <v>1047</v>
      </c>
      <c r="R828" s="163">
        <f>IFERROR(__xludf.DUMMYFUNCTION("RANK(M828,filter(M:M,C:C=C828))"),242.0)</f>
        <v>242</v>
      </c>
      <c r="S828" s="161" t="b">
        <f t="shared" si="5"/>
        <v>0</v>
      </c>
      <c r="T828" s="161" t="b">
        <f t="array" ref="T828">index('Query Tool'!B:B,match(H828,'Query Tool'!C:C,0))</f>
        <v>1</v>
      </c>
      <c r="U828" s="161" t="b">
        <f t="array" ref="U828">index('Query Tool'!B:B,match(C828,'Query Tool'!C:C,0))</f>
        <v>0</v>
      </c>
      <c r="V828" s="161" t="b">
        <f>F828&gt;='Query Tool'!C$32</f>
        <v>1</v>
      </c>
      <c r="W828" s="161" t="b">
        <f t="array" ref="W828">index(Dropdowns!B:B,match(I828,Dropdowns!A:A,0))</f>
        <v>1</v>
      </c>
      <c r="X828" s="161" t="b">
        <f t="array" ref="X828">index('Query Tool'!B:B,match(D828,'Query Tool'!C:C,0))</f>
        <v>1</v>
      </c>
      <c r="Y828" s="161" t="str">
        <f t="shared" si="6"/>
        <v>scottmi01,2014-15</v>
      </c>
      <c r="Z828" s="168">
        <f t="array" ref="Z828">iferror(index(I:I,match($A828&amp;","&amp;index('Year Conversion'!$A:$A,match($C828,'Year Conversion'!$B:$B,0)),$Y:$Y,0))-I828,"")</f>
        <v>1</v>
      </c>
      <c r="AA828" s="168">
        <f t="array" ref="AA828">iferror(index(J:J,match($A828&amp;","&amp;index('Year Conversion'!$A:$A,match($C828,'Year Conversion'!$B:$B,0)),$Y:$Y,0))-J828,"")</f>
        <v>-0.05871319458</v>
      </c>
      <c r="AB828" s="168">
        <f t="array" ref="AB828">iferror(index(K:K,match($A828&amp;","&amp;index('Year Conversion'!$A:$A,match($C828,'Year Conversion'!$B:$B,0)),$Y:$Y,0))-K828,"")</f>
        <v>-0.9113466067</v>
      </c>
      <c r="AC828" s="168" t="str">
        <f t="shared" si="7"/>
        <v>ATL,2014-15</v>
      </c>
    </row>
    <row r="829">
      <c r="A829" s="161" t="str">
        <f>IFERROR(__xludf.DUMMYFUNCTION("""COMPUTED_VALUE"""),"hamilju01")</f>
        <v>hamilju01</v>
      </c>
      <c r="B829" s="161" t="str">
        <f>IFERROR(__xludf.DUMMYFUNCTION("""COMPUTED_VALUE"""),"Justin Hamilton")</f>
        <v>Justin Hamilton</v>
      </c>
      <c r="C829" s="162" t="str">
        <f>IFERROR(__xludf.DUMMYFUNCTION("""COMPUTED_VALUE"""),"2014-15")</f>
        <v>2014-15</v>
      </c>
      <c r="D829" s="163" t="str">
        <f>IFERROR(__xludf.DUMMYFUNCTION("""COMPUTED_VALUE"""),"TOT")</f>
        <v>TOT</v>
      </c>
      <c r="E829" s="164" t="str">
        <f>IFERROR(__xludf.DUMMYFUNCTION("""COMPUTED_VALUE"""),"Roll + Cut Big")</f>
        <v>Roll + Cut Big</v>
      </c>
      <c r="F829" s="164">
        <f>IFERROR(__xludf.DUMMYFUNCTION("""COMPUTED_VALUE"""),712.556666666667)</f>
        <v>712.5566667</v>
      </c>
      <c r="G829" s="163">
        <f>IFERROR(__xludf.DUMMYFUNCTION("""COMPUTED_VALUE"""),41.0)</f>
        <v>41</v>
      </c>
      <c r="H829" s="163" t="str">
        <f>IFERROR(__xludf.DUMMYFUNCTION("""COMPUTED_VALUE"""),"C")</f>
        <v>C</v>
      </c>
      <c r="I829" s="163">
        <f>IFERROR(__xludf.DUMMYFUNCTION("""COMPUTED_VALUE"""),24.0)</f>
        <v>24</v>
      </c>
      <c r="J829" s="165">
        <f>IFERROR(__xludf.DUMMYFUNCTION("""COMPUTED_VALUE"""),-1.10246710278554)</f>
        <v>-1.102467103</v>
      </c>
      <c r="K829" s="165">
        <f>IFERROR(__xludf.DUMMYFUNCTION("""COMPUTED_VALUE"""),-0.997545192192245)</f>
        <v>-0.9975451922</v>
      </c>
      <c r="L829" s="165">
        <f>IFERROR(__xludf.DUMMYFUNCTION("""COMPUTED_VALUE"""),-0.104921910593293)</f>
        <v>-0.1049219106</v>
      </c>
      <c r="M829" s="166">
        <f t="shared" si="2"/>
        <v>0.5697938178</v>
      </c>
      <c r="N829" s="167">
        <f t="shared" si="3"/>
        <v>17.37943089</v>
      </c>
      <c r="O829" s="163">
        <f t="shared" ref="O829:Q829" si="833">rank(I829,I:I)</f>
        <v>2361</v>
      </c>
      <c r="P829" s="163">
        <f t="shared" si="833"/>
        <v>2617</v>
      </c>
      <c r="Q829" s="163">
        <f t="shared" si="833"/>
        <v>2799</v>
      </c>
      <c r="R829" s="163">
        <f>IFERROR(__xludf.DUMMYFUNCTION("RANK(M829,filter(M:M,C:C=C829))"),276.0)</f>
        <v>276</v>
      </c>
      <c r="S829" s="161" t="b">
        <f t="shared" si="5"/>
        <v>0</v>
      </c>
      <c r="T829" s="161" t="b">
        <f t="array" ref="T829">index('Query Tool'!B:B,match(H829,'Query Tool'!C:C,0))</f>
        <v>1</v>
      </c>
      <c r="U829" s="161" t="b">
        <f t="array" ref="U829">index('Query Tool'!B:B,match(C829,'Query Tool'!C:C,0))</f>
        <v>0</v>
      </c>
      <c r="V829" s="161" t="b">
        <f>F829&gt;='Query Tool'!C$32</f>
        <v>1</v>
      </c>
      <c r="W829" s="161" t="b">
        <f t="array" ref="W829">index(Dropdowns!B:B,match(I829,Dropdowns!A:A,0))</f>
        <v>1</v>
      </c>
      <c r="X829" s="161" t="b">
        <f t="array" ref="X829">index('Query Tool'!B:B,match(D829,'Query Tool'!C:C,0))</f>
        <v>1</v>
      </c>
      <c r="Y829" s="161" t="str">
        <f t="shared" si="6"/>
        <v>hamilju01,2014-15</v>
      </c>
      <c r="Z829" s="168" t="str">
        <f t="array" ref="Z829">iferror(index(I:I,match($A829&amp;","&amp;index('Year Conversion'!$A:$A,match($C829,'Year Conversion'!$B:$B,0)),$Y:$Y,0))-I829,"")</f>
        <v/>
      </c>
      <c r="AA829" s="168" t="str">
        <f t="array" ref="AA829">iferror(index(J:J,match($A829&amp;","&amp;index('Year Conversion'!$A:$A,match($C829,'Year Conversion'!$B:$B,0)),$Y:$Y,0))-J829,"")</f>
        <v/>
      </c>
      <c r="AB829" s="168" t="str">
        <f t="array" ref="AB829">iferror(index(K:K,match($A829&amp;","&amp;index('Year Conversion'!$A:$A,match($C829,'Year Conversion'!$B:$B,0)),$Y:$Y,0))-K829,"")</f>
        <v/>
      </c>
      <c r="AC829" s="168" t="str">
        <f t="shared" si="7"/>
        <v>TOT,2014-15</v>
      </c>
    </row>
    <row r="830">
      <c r="A830" s="161" t="str">
        <f>IFERROR(__xludf.DUMMYFUNCTION("""COMPUTED_VALUE"""),"milleda01")</f>
        <v>milleda01</v>
      </c>
      <c r="B830" s="161" t="str">
        <f>IFERROR(__xludf.DUMMYFUNCTION("""COMPUTED_VALUE"""),"Darius Miller")</f>
        <v>Darius Miller</v>
      </c>
      <c r="C830" s="162" t="str">
        <f>IFERROR(__xludf.DUMMYFUNCTION("""COMPUTED_VALUE"""),"2014-15")</f>
        <v>2014-15</v>
      </c>
      <c r="D830" s="163" t="str">
        <f>IFERROR(__xludf.DUMMYFUNCTION("""COMPUTED_VALUE"""),"NOP")</f>
        <v>NOP</v>
      </c>
      <c r="E830" s="164" t="str">
        <f>IFERROR(__xludf.DUMMYFUNCTION("""COMPUTED_VALUE"""),"Secondary Ball Handler")</f>
        <v>Secondary Ball Handler</v>
      </c>
      <c r="F830" s="164">
        <f>IFERROR(__xludf.DUMMYFUNCTION("""COMPUTED_VALUE"""),43.3666666666667)</f>
        <v>43.36666667</v>
      </c>
      <c r="G830" s="163">
        <f>IFERROR(__xludf.DUMMYFUNCTION("""COMPUTED_VALUE"""),5.0)</f>
        <v>5</v>
      </c>
      <c r="H830" s="163" t="str">
        <f>IFERROR(__xludf.DUMMYFUNCTION("""COMPUTED_VALUE"""),"SF")</f>
        <v>SF</v>
      </c>
      <c r="I830" s="163">
        <f>IFERROR(__xludf.DUMMYFUNCTION("""COMPUTED_VALUE"""),24.0)</f>
        <v>24</v>
      </c>
      <c r="J830" s="165">
        <f>IFERROR(__xludf.DUMMYFUNCTION("""COMPUTED_VALUE"""),-1.43372231449877)</f>
        <v>-1.433722314</v>
      </c>
      <c r="K830" s="165">
        <f>IFERROR(__xludf.DUMMYFUNCTION("""COMPUTED_VALUE"""),-0.923457485360293)</f>
        <v>-0.9234574854</v>
      </c>
      <c r="L830" s="165">
        <f>IFERROR(__xludf.DUMMYFUNCTION("""COMPUTED_VALUE"""),-0.51026482913848)</f>
        <v>-0.5102648291</v>
      </c>
      <c r="M830" s="166">
        <f t="shared" si="2"/>
        <v>0.02505797333</v>
      </c>
      <c r="N830" s="167">
        <f t="shared" si="3"/>
        <v>8.673333333</v>
      </c>
      <c r="O830" s="163">
        <f t="shared" ref="O830:Q830" si="834">rank(I830,I:I)</f>
        <v>2361</v>
      </c>
      <c r="P830" s="163">
        <f t="shared" si="834"/>
        <v>2996</v>
      </c>
      <c r="Q830" s="163">
        <f t="shared" si="834"/>
        <v>2719</v>
      </c>
      <c r="R830" s="163">
        <f>IFERROR(__xludf.DUMMYFUNCTION("RANK(M830,filter(M:M,C:C=C830))"),424.0)</f>
        <v>424</v>
      </c>
      <c r="S830" s="161" t="b">
        <f t="shared" si="5"/>
        <v>0</v>
      </c>
      <c r="T830" s="161" t="b">
        <f t="array" ref="T830">index('Query Tool'!B:B,match(H830,'Query Tool'!C:C,0))</f>
        <v>1</v>
      </c>
      <c r="U830" s="161" t="b">
        <f t="array" ref="U830">index('Query Tool'!B:B,match(C830,'Query Tool'!C:C,0))</f>
        <v>0</v>
      </c>
      <c r="V830" s="161" t="b">
        <f>F830&gt;='Query Tool'!C$32</f>
        <v>0</v>
      </c>
      <c r="W830" s="161" t="b">
        <f t="array" ref="W830">index(Dropdowns!B:B,match(I830,Dropdowns!A:A,0))</f>
        <v>1</v>
      </c>
      <c r="X830" s="161" t="b">
        <f t="array" ref="X830">index('Query Tool'!B:B,match(D830,'Query Tool'!C:C,0))</f>
        <v>1</v>
      </c>
      <c r="Y830" s="161" t="str">
        <f t="shared" si="6"/>
        <v>milleda01,2014-15</v>
      </c>
      <c r="Z830" s="168" t="str">
        <f t="array" ref="Z830">iferror(index(I:I,match($A830&amp;","&amp;index('Year Conversion'!$A:$A,match($C830,'Year Conversion'!$B:$B,0)),$Y:$Y,0))-I830,"")</f>
        <v/>
      </c>
      <c r="AA830" s="168" t="str">
        <f t="array" ref="AA830">iferror(index(J:J,match($A830&amp;","&amp;index('Year Conversion'!$A:$A,match($C830,'Year Conversion'!$B:$B,0)),$Y:$Y,0))-J830,"")</f>
        <v/>
      </c>
      <c r="AB830" s="168" t="str">
        <f t="array" ref="AB830">iferror(index(K:K,match($A830&amp;","&amp;index('Year Conversion'!$A:$A,match($C830,'Year Conversion'!$B:$B,0)),$Y:$Y,0))-K830,"")</f>
        <v/>
      </c>
      <c r="AC830" s="168" t="str">
        <f t="shared" si="7"/>
        <v>NOP,2014-15</v>
      </c>
    </row>
    <row r="831">
      <c r="A831" s="161" t="str">
        <f>IFERROR(__xludf.DUMMYFUNCTION("""COMPUTED_VALUE"""),"papanko01")</f>
        <v>papanko01</v>
      </c>
      <c r="B831" s="161" t="str">
        <f>IFERROR(__xludf.DUMMYFUNCTION("""COMPUTED_VALUE"""),"Kostas Papanikolaou")</f>
        <v>Kostas Papanikolaou</v>
      </c>
      <c r="C831" s="162" t="str">
        <f>IFERROR(__xludf.DUMMYFUNCTION("""COMPUTED_VALUE"""),"2014-15")</f>
        <v>2014-15</v>
      </c>
      <c r="D831" s="163" t="str">
        <f>IFERROR(__xludf.DUMMYFUNCTION("""COMPUTED_VALUE"""),"HOU")</f>
        <v>HOU</v>
      </c>
      <c r="E831" s="164" t="str">
        <f>IFERROR(__xludf.DUMMYFUNCTION("""COMPUTED_VALUE"""),"Stationary Shooter")</f>
        <v>Stationary Shooter</v>
      </c>
      <c r="F831" s="164">
        <f>IFERROR(__xludf.DUMMYFUNCTION("""COMPUTED_VALUE"""),795.43)</f>
        <v>795.43</v>
      </c>
      <c r="G831" s="163">
        <f>IFERROR(__xludf.DUMMYFUNCTION("""COMPUTED_VALUE"""),43.0)</f>
        <v>43</v>
      </c>
      <c r="H831" s="163" t="str">
        <f>IFERROR(__xludf.DUMMYFUNCTION("""COMPUTED_VALUE"""),"SF")</f>
        <v>SF</v>
      </c>
      <c r="I831" s="163">
        <f>IFERROR(__xludf.DUMMYFUNCTION("""COMPUTED_VALUE"""),24.0)</f>
        <v>24</v>
      </c>
      <c r="J831" s="165">
        <f>IFERROR(__xludf.DUMMYFUNCTION("""COMPUTED_VALUE"""),-2.73241086191024)</f>
        <v>-2.732410862</v>
      </c>
      <c r="K831" s="165">
        <f>IFERROR(__xludf.DUMMYFUNCTION("""COMPUTED_VALUE"""),-1.53022114196163)</f>
        <v>-1.530221142</v>
      </c>
      <c r="L831" s="165">
        <f>IFERROR(__xludf.DUMMYFUNCTION("""COMPUTED_VALUE"""),-1.20218971994862)</f>
        <v>-1.20218972</v>
      </c>
      <c r="M831" s="166">
        <f t="shared" si="2"/>
        <v>-0.2240128091</v>
      </c>
      <c r="N831" s="167">
        <f t="shared" si="3"/>
        <v>18.49837209</v>
      </c>
      <c r="O831" s="163">
        <f t="shared" ref="O831:Q831" si="835">rank(I831,I:I)</f>
        <v>2361</v>
      </c>
      <c r="P831" s="163">
        <f t="shared" si="835"/>
        <v>3825</v>
      </c>
      <c r="Q831" s="163">
        <f t="shared" si="835"/>
        <v>3389</v>
      </c>
      <c r="R831" s="163">
        <f>IFERROR(__xludf.DUMMYFUNCTION("RANK(M831,filter(M:M,C:C=C831))"),463.0)</f>
        <v>463</v>
      </c>
      <c r="S831" s="161" t="b">
        <f t="shared" si="5"/>
        <v>0</v>
      </c>
      <c r="T831" s="161" t="b">
        <f t="array" ref="T831">index('Query Tool'!B:B,match(H831,'Query Tool'!C:C,0))</f>
        <v>1</v>
      </c>
      <c r="U831" s="161" t="b">
        <f t="array" ref="U831">index('Query Tool'!B:B,match(C831,'Query Tool'!C:C,0))</f>
        <v>0</v>
      </c>
      <c r="V831" s="161" t="b">
        <f>F831&gt;='Query Tool'!C$32</f>
        <v>1</v>
      </c>
      <c r="W831" s="161" t="b">
        <f t="array" ref="W831">index(Dropdowns!B:B,match(I831,Dropdowns!A:A,0))</f>
        <v>1</v>
      </c>
      <c r="X831" s="161" t="b">
        <f t="array" ref="X831">index('Query Tool'!B:B,match(D831,'Query Tool'!C:C,0))</f>
        <v>1</v>
      </c>
      <c r="Y831" s="161" t="str">
        <f t="shared" si="6"/>
        <v>papanko01,2014-15</v>
      </c>
      <c r="Z831" s="168">
        <f t="array" ref="Z831">iferror(index(I:I,match($A831&amp;","&amp;index('Year Conversion'!$A:$A,match($C831,'Year Conversion'!$B:$B,0)),$Y:$Y,0))-I831,"")</f>
        <v>1</v>
      </c>
      <c r="AA831" s="168">
        <f t="array" ref="AA831">iferror(index(J:J,match($A831&amp;","&amp;index('Year Conversion'!$A:$A,match($C831,'Year Conversion'!$B:$B,0)),$Y:$Y,0))-J831,"")</f>
        <v>1.656935485</v>
      </c>
      <c r="AB831" s="168">
        <f t="array" ref="AB831">iferror(index(K:K,match($A831&amp;","&amp;index('Year Conversion'!$A:$A,match($C831,'Year Conversion'!$B:$B,0)),$Y:$Y,0))-K831,"")</f>
        <v>-0.504049558</v>
      </c>
      <c r="AC831" s="168" t="str">
        <f t="shared" si="7"/>
        <v>HOU,2014-15</v>
      </c>
    </row>
    <row r="832">
      <c r="A832" s="161" t="str">
        <f>IFERROR(__xludf.DUMMYFUNCTION("""COMPUTED_VALUE"""),"oquinky01")</f>
        <v>oquinky01</v>
      </c>
      <c r="B832" s="161" t="str">
        <f>IFERROR(__xludf.DUMMYFUNCTION("""COMPUTED_VALUE"""),"Kyle O'Quinn")</f>
        <v>Kyle O'Quinn</v>
      </c>
      <c r="C832" s="162" t="str">
        <f>IFERROR(__xludf.DUMMYFUNCTION("""COMPUTED_VALUE"""),"2014-15")</f>
        <v>2014-15</v>
      </c>
      <c r="D832" s="163" t="str">
        <f>IFERROR(__xludf.DUMMYFUNCTION("""COMPUTED_VALUE"""),"ORL")</f>
        <v>ORL</v>
      </c>
      <c r="E832" s="164" t="str">
        <f>IFERROR(__xludf.DUMMYFUNCTION("""COMPUTED_VALUE"""),"Roll + Cut Big")</f>
        <v>Roll + Cut Big</v>
      </c>
      <c r="F832" s="164">
        <f>IFERROR(__xludf.DUMMYFUNCTION("""COMPUTED_VALUE"""),823.906666666667)</f>
        <v>823.9066667</v>
      </c>
      <c r="G832" s="163">
        <f>IFERROR(__xludf.DUMMYFUNCTION("""COMPUTED_VALUE"""),51.0)</f>
        <v>51</v>
      </c>
      <c r="H832" s="163" t="str">
        <f>IFERROR(__xludf.DUMMYFUNCTION("""COMPUTED_VALUE"""),"PF")</f>
        <v>PF</v>
      </c>
      <c r="I832" s="163">
        <f>IFERROR(__xludf.DUMMYFUNCTION("""COMPUTED_VALUE"""),24.0)</f>
        <v>24</v>
      </c>
      <c r="J832" s="165">
        <f>IFERROR(__xludf.DUMMYFUNCTION("""COMPUTED_VALUE"""),0.0177447176352001)</f>
        <v>0.01774471764</v>
      </c>
      <c r="K832" s="165">
        <f>IFERROR(__xludf.DUMMYFUNCTION("""COMPUTED_VALUE"""),-1.67517620550143)</f>
        <v>-1.675176206</v>
      </c>
      <c r="L832" s="165">
        <f>IFERROR(__xludf.DUMMYFUNCTION("""COMPUTED_VALUE"""),1.69292092313663)</f>
        <v>1.692920923</v>
      </c>
      <c r="M832" s="166">
        <f t="shared" si="2"/>
        <v>1.280046089</v>
      </c>
      <c r="N832" s="167">
        <f t="shared" si="3"/>
        <v>16.15503268</v>
      </c>
      <c r="O832" s="163">
        <f t="shared" ref="O832:Q832" si="836">rank(I832,I:I)</f>
        <v>2361</v>
      </c>
      <c r="P832" s="163">
        <f t="shared" si="836"/>
        <v>1272</v>
      </c>
      <c r="Q832" s="163">
        <f t="shared" si="836"/>
        <v>3503</v>
      </c>
      <c r="R832" s="163">
        <f>IFERROR(__xludf.DUMMYFUNCTION("RANK(M832,filter(M:M,C:C=C832))"),216.0)</f>
        <v>216</v>
      </c>
      <c r="S832" s="161" t="b">
        <f t="shared" si="5"/>
        <v>0</v>
      </c>
      <c r="T832" s="161" t="b">
        <f t="array" ref="T832">index('Query Tool'!B:B,match(H832,'Query Tool'!C:C,0))</f>
        <v>1</v>
      </c>
      <c r="U832" s="161" t="b">
        <f t="array" ref="U832">index('Query Tool'!B:B,match(C832,'Query Tool'!C:C,0))</f>
        <v>0</v>
      </c>
      <c r="V832" s="161" t="b">
        <f>F832&gt;='Query Tool'!C$32</f>
        <v>1</v>
      </c>
      <c r="W832" s="161" t="b">
        <f t="array" ref="W832">index(Dropdowns!B:B,match(I832,Dropdowns!A:A,0))</f>
        <v>1</v>
      </c>
      <c r="X832" s="161" t="b">
        <f t="array" ref="X832">index('Query Tool'!B:B,match(D832,'Query Tool'!C:C,0))</f>
        <v>1</v>
      </c>
      <c r="Y832" s="161" t="str">
        <f t="shared" si="6"/>
        <v>oquinky01,2014-15</v>
      </c>
      <c r="Z832" s="168">
        <f t="array" ref="Z832">iferror(index(I:I,match($A832&amp;","&amp;index('Year Conversion'!$A:$A,match($C832,'Year Conversion'!$B:$B,0)),$Y:$Y,0))-I832,"")</f>
        <v>1</v>
      </c>
      <c r="AA832" s="168">
        <f t="array" ref="AA832">iferror(index(J:J,match($A832&amp;","&amp;index('Year Conversion'!$A:$A,match($C832,'Year Conversion'!$B:$B,0)),$Y:$Y,0))-J832,"")</f>
        <v>0.02929915128</v>
      </c>
      <c r="AB832" s="168">
        <f t="array" ref="AB832">iferror(index(K:K,match($A832&amp;","&amp;index('Year Conversion'!$A:$A,match($C832,'Year Conversion'!$B:$B,0)),$Y:$Y,0))-K832,"")</f>
        <v>1.119012011</v>
      </c>
      <c r="AC832" s="168" t="str">
        <f t="shared" si="7"/>
        <v>ORL,2014-15</v>
      </c>
    </row>
    <row r="833">
      <c r="A833" s="161" t="str">
        <f>IFERROR(__xludf.DUMMYFUNCTION("""COMPUTED_VALUE"""),"aldemfu01")</f>
        <v>aldemfu01</v>
      </c>
      <c r="B833" s="161" t="str">
        <f>IFERROR(__xludf.DUMMYFUNCTION("""COMPUTED_VALUE"""),"Furkan Aldemir")</f>
        <v>Furkan Aldemir</v>
      </c>
      <c r="C833" s="162" t="str">
        <f>IFERROR(__xludf.DUMMYFUNCTION("""COMPUTED_VALUE"""),"2014-15")</f>
        <v>2014-15</v>
      </c>
      <c r="D833" s="163" t="str">
        <f>IFERROR(__xludf.DUMMYFUNCTION("""COMPUTED_VALUE"""),"PHI")</f>
        <v>PHI</v>
      </c>
      <c r="E833" s="164" t="str">
        <f>IFERROR(__xludf.DUMMYFUNCTION("""COMPUTED_VALUE"""),"Roll + Cut Big")</f>
        <v>Roll + Cut Big</v>
      </c>
      <c r="F833" s="164">
        <f>IFERROR(__xludf.DUMMYFUNCTION("""COMPUTED_VALUE"""),540.493333333334)</f>
        <v>540.4933333</v>
      </c>
      <c r="G833" s="163">
        <f>IFERROR(__xludf.DUMMYFUNCTION("""COMPUTED_VALUE"""),41.0)</f>
        <v>41</v>
      </c>
      <c r="H833" s="163" t="str">
        <f>IFERROR(__xludf.DUMMYFUNCTION("""COMPUTED_VALUE"""),"PF")</f>
        <v>PF</v>
      </c>
      <c r="I833" s="163">
        <f>IFERROR(__xludf.DUMMYFUNCTION("""COMPUTED_VALUE"""),23.0)</f>
        <v>23</v>
      </c>
      <c r="J833" s="165">
        <f>IFERROR(__xludf.DUMMYFUNCTION("""COMPUTED_VALUE"""),-2.02089306729692)</f>
        <v>-2.020893067</v>
      </c>
      <c r="K833" s="165">
        <f>IFERROR(__xludf.DUMMYFUNCTION("""COMPUTED_VALUE"""),-1.99965106677452)</f>
        <v>-1.999651067</v>
      </c>
      <c r="L833" s="165">
        <f>IFERROR(__xludf.DUMMYFUNCTION("""COMPUTED_VALUE"""),-0.0212420005224017)</f>
        <v>-0.02124200052</v>
      </c>
      <c r="M833" s="166">
        <f t="shared" si="2"/>
        <v>0.1010067681</v>
      </c>
      <c r="N833" s="167">
        <f t="shared" si="3"/>
        <v>13.18276423</v>
      </c>
      <c r="O833" s="163">
        <f t="shared" ref="O833:Q833" si="837">rank(I833,I:I)</f>
        <v>2765</v>
      </c>
      <c r="P833" s="163">
        <f t="shared" si="837"/>
        <v>3494</v>
      </c>
      <c r="Q833" s="163">
        <f t="shared" si="837"/>
        <v>3711</v>
      </c>
      <c r="R833" s="163">
        <f>IFERROR(__xludf.DUMMYFUNCTION("RANK(M833,filter(M:M,C:C=C833))"),381.0)</f>
        <v>381</v>
      </c>
      <c r="S833" s="161" t="b">
        <f t="shared" si="5"/>
        <v>0</v>
      </c>
      <c r="T833" s="161" t="b">
        <f t="array" ref="T833">index('Query Tool'!B:B,match(H833,'Query Tool'!C:C,0))</f>
        <v>1</v>
      </c>
      <c r="U833" s="161" t="b">
        <f t="array" ref="U833">index('Query Tool'!B:B,match(C833,'Query Tool'!C:C,0))</f>
        <v>0</v>
      </c>
      <c r="V833" s="161" t="b">
        <f>F833&gt;='Query Tool'!C$32</f>
        <v>1</v>
      </c>
      <c r="W833" s="161" t="b">
        <f t="array" ref="W833">index(Dropdowns!B:B,match(I833,Dropdowns!A:A,0))</f>
        <v>1</v>
      </c>
      <c r="X833" s="161" t="b">
        <f t="array" ref="X833">index('Query Tool'!B:B,match(D833,'Query Tool'!C:C,0))</f>
        <v>1</v>
      </c>
      <c r="Y833" s="161" t="str">
        <f t="shared" si="6"/>
        <v>aldemfu01,2014-15</v>
      </c>
      <c r="Z833" s="168" t="str">
        <f t="array" ref="Z833">iferror(index(I:I,match($A833&amp;","&amp;index('Year Conversion'!$A:$A,match($C833,'Year Conversion'!$B:$B,0)),$Y:$Y,0))-I833,"")</f>
        <v/>
      </c>
      <c r="AA833" s="168" t="str">
        <f t="array" ref="AA833">iferror(index(J:J,match($A833&amp;","&amp;index('Year Conversion'!$A:$A,match($C833,'Year Conversion'!$B:$B,0)),$Y:$Y,0))-J833,"")</f>
        <v/>
      </c>
      <c r="AB833" s="168" t="str">
        <f t="array" ref="AB833">iferror(index(K:K,match($A833&amp;","&amp;index('Year Conversion'!$A:$A,match($C833,'Year Conversion'!$B:$B,0)),$Y:$Y,0))-K833,"")</f>
        <v/>
      </c>
      <c r="AC833" s="168" t="str">
        <f t="shared" si="7"/>
        <v>PHI,2014-15</v>
      </c>
    </row>
    <row r="834">
      <c r="A834" s="161" t="str">
        <f>IFERROR(__xludf.DUMMYFUNCTION("""COMPUTED_VALUE"""),"hummero01")</f>
        <v>hummero01</v>
      </c>
      <c r="B834" s="161" t="str">
        <f>IFERROR(__xludf.DUMMYFUNCTION("""COMPUTED_VALUE"""),"Robbie Hummel")</f>
        <v>Robbie Hummel</v>
      </c>
      <c r="C834" s="162" t="str">
        <f>IFERROR(__xludf.DUMMYFUNCTION("""COMPUTED_VALUE"""),"2014-15")</f>
        <v>2014-15</v>
      </c>
      <c r="D834" s="163" t="str">
        <f>IFERROR(__xludf.DUMMYFUNCTION("""COMPUTED_VALUE"""),"MIN")</f>
        <v>MIN</v>
      </c>
      <c r="E834" s="164" t="str">
        <f>IFERROR(__xludf.DUMMYFUNCTION("""COMPUTED_VALUE"""),"Stretch Big")</f>
        <v>Stretch Big</v>
      </c>
      <c r="F834" s="164">
        <f>IFERROR(__xludf.DUMMYFUNCTION("""COMPUTED_VALUE"""),741.79)</f>
        <v>741.79</v>
      </c>
      <c r="G834" s="163">
        <f>IFERROR(__xludf.DUMMYFUNCTION("""COMPUTED_VALUE"""),45.0)</f>
        <v>45</v>
      </c>
      <c r="H834" s="163" t="str">
        <f>IFERROR(__xludf.DUMMYFUNCTION("""COMPUTED_VALUE"""),"SF")</f>
        <v>SF</v>
      </c>
      <c r="I834" s="163">
        <f>IFERROR(__xludf.DUMMYFUNCTION("""COMPUTED_VALUE"""),25.0)</f>
        <v>25</v>
      </c>
      <c r="J834" s="165">
        <f>IFERROR(__xludf.DUMMYFUNCTION("""COMPUTED_VALUE"""),-1.84090873515937)</f>
        <v>-1.840908735</v>
      </c>
      <c r="K834" s="165">
        <f>IFERROR(__xludf.DUMMYFUNCTION("""COMPUTED_VALUE"""),-1.04803155541582)</f>
        <v>-1.048031555</v>
      </c>
      <c r="L834" s="165">
        <f>IFERROR(__xludf.DUMMYFUNCTION("""COMPUTED_VALUE"""),-0.792877179743547)</f>
        <v>-0.7928771797</v>
      </c>
      <c r="M834" s="166">
        <f t="shared" si="2"/>
        <v>0.2272510906</v>
      </c>
      <c r="N834" s="167">
        <f t="shared" si="3"/>
        <v>16.48422222</v>
      </c>
      <c r="O834" s="163">
        <f t="shared" ref="O834:Q834" si="838">rank(I834,I:I)</f>
        <v>1995</v>
      </c>
      <c r="P834" s="163">
        <f t="shared" si="838"/>
        <v>3371</v>
      </c>
      <c r="Q834" s="163">
        <f t="shared" si="838"/>
        <v>2869</v>
      </c>
      <c r="R834" s="163">
        <f>IFERROR(__xludf.DUMMYFUNCTION("RANK(M834,filter(M:M,C:C=C834))"),327.0)</f>
        <v>327</v>
      </c>
      <c r="S834" s="161" t="b">
        <f t="shared" si="5"/>
        <v>0</v>
      </c>
      <c r="T834" s="161" t="b">
        <f t="array" ref="T834">index('Query Tool'!B:B,match(H834,'Query Tool'!C:C,0))</f>
        <v>1</v>
      </c>
      <c r="U834" s="161" t="b">
        <f t="array" ref="U834">index('Query Tool'!B:B,match(C834,'Query Tool'!C:C,0))</f>
        <v>0</v>
      </c>
      <c r="V834" s="161" t="b">
        <f>F834&gt;='Query Tool'!C$32</f>
        <v>1</v>
      </c>
      <c r="W834" s="161" t="b">
        <f t="array" ref="W834">index(Dropdowns!B:B,match(I834,Dropdowns!A:A,0))</f>
        <v>1</v>
      </c>
      <c r="X834" s="161" t="b">
        <f t="array" ref="X834">index('Query Tool'!B:B,match(D834,'Query Tool'!C:C,0))</f>
        <v>1</v>
      </c>
      <c r="Y834" s="161" t="str">
        <f t="shared" si="6"/>
        <v>hummero01,2014-15</v>
      </c>
      <c r="Z834" s="168" t="str">
        <f t="array" ref="Z834">iferror(index(I:I,match($A834&amp;","&amp;index('Year Conversion'!$A:$A,match($C834,'Year Conversion'!$B:$B,0)),$Y:$Y,0))-I834,"")</f>
        <v/>
      </c>
      <c r="AA834" s="168" t="str">
        <f t="array" ref="AA834">iferror(index(J:J,match($A834&amp;","&amp;index('Year Conversion'!$A:$A,match($C834,'Year Conversion'!$B:$B,0)),$Y:$Y,0))-J834,"")</f>
        <v/>
      </c>
      <c r="AB834" s="168" t="str">
        <f t="array" ref="AB834">iferror(index(K:K,match($A834&amp;","&amp;index('Year Conversion'!$A:$A,match($C834,'Year Conversion'!$B:$B,0)),$Y:$Y,0))-K834,"")</f>
        <v/>
      </c>
      <c r="AC834" s="168" t="str">
        <f t="shared" si="7"/>
        <v>MIN,2014-15</v>
      </c>
    </row>
    <row r="835">
      <c r="A835" s="161" t="str">
        <f>IFERROR(__xludf.DUMMYFUNCTION("""COMPUTED_VALUE"""),"sacrero01")</f>
        <v>sacrero01</v>
      </c>
      <c r="B835" s="161" t="str">
        <f>IFERROR(__xludf.DUMMYFUNCTION("""COMPUTED_VALUE"""),"Robert Sacre")</f>
        <v>Robert Sacre</v>
      </c>
      <c r="C835" s="162" t="str">
        <f>IFERROR(__xludf.DUMMYFUNCTION("""COMPUTED_VALUE"""),"2014-15")</f>
        <v>2014-15</v>
      </c>
      <c r="D835" s="163" t="str">
        <f>IFERROR(__xludf.DUMMYFUNCTION("""COMPUTED_VALUE"""),"LAL")</f>
        <v>LAL</v>
      </c>
      <c r="E835" s="164" t="str">
        <f>IFERROR(__xludf.DUMMYFUNCTION("""COMPUTED_VALUE"""),"Post Scorer")</f>
        <v>Post Scorer</v>
      </c>
      <c r="F835" s="164">
        <f>IFERROR(__xludf.DUMMYFUNCTION("""COMPUTED_VALUE"""),1133.31833333333)</f>
        <v>1133.318333</v>
      </c>
      <c r="G835" s="163">
        <f>IFERROR(__xludf.DUMMYFUNCTION("""COMPUTED_VALUE"""),67.0)</f>
        <v>67</v>
      </c>
      <c r="H835" s="163" t="str">
        <f>IFERROR(__xludf.DUMMYFUNCTION("""COMPUTED_VALUE"""),"C")</f>
        <v>C</v>
      </c>
      <c r="I835" s="163">
        <f>IFERROR(__xludf.DUMMYFUNCTION("""COMPUTED_VALUE"""),25.0)</f>
        <v>25</v>
      </c>
      <c r="J835" s="165">
        <f>IFERROR(__xludf.DUMMYFUNCTION("""COMPUTED_VALUE"""),-2.16696104725006)</f>
        <v>-2.166961047</v>
      </c>
      <c r="K835" s="165">
        <f>IFERROR(__xludf.DUMMYFUNCTION("""COMPUTED_VALUE"""),-2.36598690537578)</f>
        <v>-2.365986905</v>
      </c>
      <c r="L835" s="165">
        <f>IFERROR(__xludf.DUMMYFUNCTION("""COMPUTED_VALUE"""),0.199025858125716)</f>
        <v>0.1990258581</v>
      </c>
      <c r="M835" s="166">
        <f t="shared" si="2"/>
        <v>0.102202401</v>
      </c>
      <c r="N835" s="167">
        <f t="shared" si="3"/>
        <v>16.915199</v>
      </c>
      <c r="O835" s="163">
        <f t="shared" ref="O835:Q835" si="839">rank(I835,I:I)</f>
        <v>1995</v>
      </c>
      <c r="P835" s="163">
        <f t="shared" si="839"/>
        <v>3592</v>
      </c>
      <c r="Q835" s="163">
        <f t="shared" si="839"/>
        <v>3855</v>
      </c>
      <c r="R835" s="163">
        <f>IFERROR(__xludf.DUMMYFUNCTION("RANK(M835,filter(M:M,C:C=C835))"),379.0)</f>
        <v>379</v>
      </c>
      <c r="S835" s="161" t="b">
        <f t="shared" si="5"/>
        <v>0</v>
      </c>
      <c r="T835" s="161" t="b">
        <f t="array" ref="T835">index('Query Tool'!B:B,match(H835,'Query Tool'!C:C,0))</f>
        <v>1</v>
      </c>
      <c r="U835" s="161" t="b">
        <f t="array" ref="U835">index('Query Tool'!B:B,match(C835,'Query Tool'!C:C,0))</f>
        <v>0</v>
      </c>
      <c r="V835" s="161" t="b">
        <f>F835&gt;='Query Tool'!C$32</f>
        <v>1</v>
      </c>
      <c r="W835" s="161" t="b">
        <f t="array" ref="W835">index(Dropdowns!B:B,match(I835,Dropdowns!A:A,0))</f>
        <v>1</v>
      </c>
      <c r="X835" s="161" t="b">
        <f t="array" ref="X835">index('Query Tool'!B:B,match(D835,'Query Tool'!C:C,0))</f>
        <v>1</v>
      </c>
      <c r="Y835" s="161" t="str">
        <f t="shared" si="6"/>
        <v>sacrero01,2014-15</v>
      </c>
      <c r="Z835" s="168">
        <f t="array" ref="Z835">iferror(index(I:I,match($A835&amp;","&amp;index('Year Conversion'!$A:$A,match($C835,'Year Conversion'!$B:$B,0)),$Y:$Y,0))-I835,"")</f>
        <v>1</v>
      </c>
      <c r="AA835" s="168">
        <f t="array" ref="AA835">iferror(index(J:J,match($A835&amp;","&amp;index('Year Conversion'!$A:$A,match($C835,'Year Conversion'!$B:$B,0)),$Y:$Y,0))-J835,"")</f>
        <v>0.9468644157</v>
      </c>
      <c r="AB835" s="168">
        <f t="array" ref="AB835">iferror(index(K:K,match($A835&amp;","&amp;index('Year Conversion'!$A:$A,match($C835,'Year Conversion'!$B:$B,0)),$Y:$Y,0))-K835,"")</f>
        <v>1.06848581</v>
      </c>
      <c r="AC835" s="168" t="str">
        <f t="shared" si="7"/>
        <v>LAL,2014-15</v>
      </c>
    </row>
    <row r="836">
      <c r="A836" s="161" t="str">
        <f>IFERROR(__xludf.DUMMYFUNCTION("""COMPUTED_VALUE"""),"kuzmiog01")</f>
        <v>kuzmiog01</v>
      </c>
      <c r="B836" s="161" t="str">
        <f>IFERROR(__xludf.DUMMYFUNCTION("""COMPUTED_VALUE"""),"Ognjen Kuzmic")</f>
        <v>Ognjen Kuzmic</v>
      </c>
      <c r="C836" s="162" t="str">
        <f>IFERROR(__xludf.DUMMYFUNCTION("""COMPUTED_VALUE"""),"2014-15")</f>
        <v>2014-15</v>
      </c>
      <c r="D836" s="163" t="str">
        <f>IFERROR(__xludf.DUMMYFUNCTION("""COMPUTED_VALUE"""),"GSW")</f>
        <v>GSW</v>
      </c>
      <c r="E836" s="164" t="str">
        <f>IFERROR(__xludf.DUMMYFUNCTION("""COMPUTED_VALUE"""),"Roll + Cut Big")</f>
        <v>Roll + Cut Big</v>
      </c>
      <c r="F836" s="164">
        <f>IFERROR(__xludf.DUMMYFUNCTION("""COMPUTED_VALUE"""),71.7366666666667)</f>
        <v>71.73666667</v>
      </c>
      <c r="G836" s="163">
        <f>IFERROR(__xludf.DUMMYFUNCTION("""COMPUTED_VALUE"""),16.0)</f>
        <v>16</v>
      </c>
      <c r="H836" s="163" t="str">
        <f>IFERROR(__xludf.DUMMYFUNCTION("""COMPUTED_VALUE"""),"C")</f>
        <v>C</v>
      </c>
      <c r="I836" s="163">
        <f>IFERROR(__xludf.DUMMYFUNCTION("""COMPUTED_VALUE"""),24.0)</f>
        <v>24</v>
      </c>
      <c r="J836" s="165">
        <f>IFERROR(__xludf.DUMMYFUNCTION("""COMPUTED_VALUE"""),-2.19669249789853)</f>
        <v>-2.196692498</v>
      </c>
      <c r="K836" s="165">
        <f>IFERROR(__xludf.DUMMYFUNCTION("""COMPUTED_VALUE"""),-1.03450438404523)</f>
        <v>-1.034504384</v>
      </c>
      <c r="L836" s="165">
        <f>IFERROR(__xludf.DUMMYFUNCTION("""COMPUTED_VALUE"""),-1.1621881138533)</f>
        <v>-1.162188114</v>
      </c>
      <c r="M836" s="166">
        <f t="shared" si="2"/>
        <v>0.005059416707</v>
      </c>
      <c r="N836" s="167">
        <f t="shared" si="3"/>
        <v>4.483541667</v>
      </c>
      <c r="O836" s="163">
        <f t="shared" ref="O836:Q836" si="840">rank(I836,I:I)</f>
        <v>2361</v>
      </c>
      <c r="P836" s="163">
        <f t="shared" si="840"/>
        <v>3608</v>
      </c>
      <c r="Q836" s="163">
        <f t="shared" si="840"/>
        <v>2847</v>
      </c>
      <c r="R836" s="163">
        <f>IFERROR(__xludf.DUMMYFUNCTION("RANK(M836,filter(M:M,C:C=C836))"),436.0)</f>
        <v>436</v>
      </c>
      <c r="S836" s="161" t="b">
        <f t="shared" si="5"/>
        <v>0</v>
      </c>
      <c r="T836" s="161" t="b">
        <f t="array" ref="T836">index('Query Tool'!B:B,match(H836,'Query Tool'!C:C,0))</f>
        <v>1</v>
      </c>
      <c r="U836" s="161" t="b">
        <f t="array" ref="U836">index('Query Tool'!B:B,match(C836,'Query Tool'!C:C,0))</f>
        <v>0</v>
      </c>
      <c r="V836" s="161" t="b">
        <f>F836&gt;='Query Tool'!C$32</f>
        <v>0</v>
      </c>
      <c r="W836" s="161" t="b">
        <f t="array" ref="W836">index(Dropdowns!B:B,match(I836,Dropdowns!A:A,0))</f>
        <v>1</v>
      </c>
      <c r="X836" s="161" t="b">
        <f t="array" ref="X836">index('Query Tool'!B:B,match(D836,'Query Tool'!C:C,0))</f>
        <v>1</v>
      </c>
      <c r="Y836" s="161" t="str">
        <f t="shared" si="6"/>
        <v>kuzmiog01,2014-15</v>
      </c>
      <c r="Z836" s="168" t="str">
        <f t="array" ref="Z836">iferror(index(I:I,match($A836&amp;","&amp;index('Year Conversion'!$A:$A,match($C836,'Year Conversion'!$B:$B,0)),$Y:$Y,0))-I836,"")</f>
        <v/>
      </c>
      <c r="AA836" s="168" t="str">
        <f t="array" ref="AA836">iferror(index(J:J,match($A836&amp;","&amp;index('Year Conversion'!$A:$A,match($C836,'Year Conversion'!$B:$B,0)),$Y:$Y,0))-J836,"")</f>
        <v/>
      </c>
      <c r="AB836" s="168" t="str">
        <f t="array" ref="AB836">iferror(index(K:K,match($A836&amp;","&amp;index('Year Conversion'!$A:$A,match($C836,'Year Conversion'!$B:$B,0)),$Y:$Y,0))-K836,"")</f>
        <v/>
      </c>
      <c r="AC836" s="168" t="str">
        <f t="shared" si="7"/>
        <v>GSW,2014-15</v>
      </c>
    </row>
    <row r="837">
      <c r="A837" s="161" t="str">
        <f>IFERROR(__xludf.DUMMYFUNCTION("""COMPUTED_VALUE"""),"thompho01")</f>
        <v>thompho01</v>
      </c>
      <c r="B837" s="161" t="str">
        <f>IFERROR(__xludf.DUMMYFUNCTION("""COMPUTED_VALUE"""),"Hollis Thompson")</f>
        <v>Hollis Thompson</v>
      </c>
      <c r="C837" s="162" t="str">
        <f>IFERROR(__xludf.DUMMYFUNCTION("""COMPUTED_VALUE"""),"2014-15")</f>
        <v>2014-15</v>
      </c>
      <c r="D837" s="163" t="str">
        <f>IFERROR(__xludf.DUMMYFUNCTION("""COMPUTED_VALUE"""),"PHI")</f>
        <v>PHI</v>
      </c>
      <c r="E837" s="164" t="str">
        <f>IFERROR(__xludf.DUMMYFUNCTION("""COMPUTED_VALUE"""),"Movement Shooter")</f>
        <v>Movement Shooter</v>
      </c>
      <c r="F837" s="164">
        <f>IFERROR(__xludf.DUMMYFUNCTION("""COMPUTED_VALUE"""),1775.97)</f>
        <v>1775.97</v>
      </c>
      <c r="G837" s="163">
        <f>IFERROR(__xludf.DUMMYFUNCTION("""COMPUTED_VALUE"""),71.0)</f>
        <v>71</v>
      </c>
      <c r="H837" s="163" t="str">
        <f>IFERROR(__xludf.DUMMYFUNCTION("""COMPUTED_VALUE"""),"SG")</f>
        <v>SG</v>
      </c>
      <c r="I837" s="163">
        <f>IFERROR(__xludf.DUMMYFUNCTION("""COMPUTED_VALUE"""),23.0)</f>
        <v>23</v>
      </c>
      <c r="J837" s="165">
        <f>IFERROR(__xludf.DUMMYFUNCTION("""COMPUTED_VALUE"""),-3.4267857806841)</f>
        <v>-3.426785781</v>
      </c>
      <c r="K837" s="165">
        <f>IFERROR(__xludf.DUMMYFUNCTION("""COMPUTED_VALUE"""),-2.11548162093713)</f>
        <v>-2.115481621</v>
      </c>
      <c r="L837" s="165">
        <f>IFERROR(__xludf.DUMMYFUNCTION("""COMPUTED_VALUE"""),-1.31130415974697)</f>
        <v>-1.31130416</v>
      </c>
      <c r="M837" s="166">
        <f t="shared" si="2"/>
        <v>-1.299426127</v>
      </c>
      <c r="N837" s="167">
        <f t="shared" si="3"/>
        <v>25.01366197</v>
      </c>
      <c r="O837" s="163">
        <f t="shared" ref="O837:Q837" si="841">rank(I837,I:I)</f>
        <v>2765</v>
      </c>
      <c r="P837" s="163">
        <f t="shared" si="841"/>
        <v>3955</v>
      </c>
      <c r="Q837" s="163">
        <f t="shared" si="841"/>
        <v>3771</v>
      </c>
      <c r="R837" s="163">
        <f>IFERROR(__xludf.DUMMYFUNCTION("RANK(M837,filter(M:M,C:C=C837))"),489.0)</f>
        <v>489</v>
      </c>
      <c r="S837" s="161" t="b">
        <f t="shared" si="5"/>
        <v>0</v>
      </c>
      <c r="T837" s="161" t="b">
        <f t="array" ref="T837">index('Query Tool'!B:B,match(H837,'Query Tool'!C:C,0))</f>
        <v>1</v>
      </c>
      <c r="U837" s="161" t="b">
        <f t="array" ref="U837">index('Query Tool'!B:B,match(C837,'Query Tool'!C:C,0))</f>
        <v>0</v>
      </c>
      <c r="V837" s="161" t="b">
        <f>F837&gt;='Query Tool'!C$32</f>
        <v>1</v>
      </c>
      <c r="W837" s="161" t="b">
        <f t="array" ref="W837">index(Dropdowns!B:B,match(I837,Dropdowns!A:A,0))</f>
        <v>1</v>
      </c>
      <c r="X837" s="161" t="b">
        <f t="array" ref="X837">index('Query Tool'!B:B,match(D837,'Query Tool'!C:C,0))</f>
        <v>1</v>
      </c>
      <c r="Y837" s="161" t="str">
        <f t="shared" si="6"/>
        <v>thompho01,2014-15</v>
      </c>
      <c r="Z837" s="168">
        <f t="array" ref="Z837">iferror(index(I:I,match($A837&amp;","&amp;index('Year Conversion'!$A:$A,match($C837,'Year Conversion'!$B:$B,0)),$Y:$Y,0))-I837,"")</f>
        <v>1</v>
      </c>
      <c r="AA837" s="168">
        <f t="array" ref="AA837">iferror(index(J:J,match($A837&amp;","&amp;index('Year Conversion'!$A:$A,match($C837,'Year Conversion'!$B:$B,0)),$Y:$Y,0))-J837,"")</f>
        <v>-0.1730858989</v>
      </c>
      <c r="AB837" s="168">
        <f t="array" ref="AB837">iferror(index(K:K,match($A837&amp;","&amp;index('Year Conversion'!$A:$A,match($C837,'Year Conversion'!$B:$B,0)),$Y:$Y,0))-K837,"")</f>
        <v>0.7258709643</v>
      </c>
      <c r="AC837" s="168" t="str">
        <f t="shared" si="7"/>
        <v>PHI,2014-15</v>
      </c>
    </row>
    <row r="838">
      <c r="A838" s="161" t="str">
        <f>IFERROR(__xludf.DUMMYFUNCTION("""COMPUTED_VALUE"""),"teletmi01")</f>
        <v>teletmi01</v>
      </c>
      <c r="B838" s="161" t="str">
        <f>IFERROR(__xludf.DUMMYFUNCTION("""COMPUTED_VALUE"""),"Mirza Teletovic")</f>
        <v>Mirza Teletovic</v>
      </c>
      <c r="C838" s="162" t="str">
        <f>IFERROR(__xludf.DUMMYFUNCTION("""COMPUTED_VALUE"""),"2014-15")</f>
        <v>2014-15</v>
      </c>
      <c r="D838" s="163" t="str">
        <f>IFERROR(__xludf.DUMMYFUNCTION("""COMPUTED_VALUE"""),"BRK")</f>
        <v>BRK</v>
      </c>
      <c r="E838" s="164" t="str">
        <f>IFERROR(__xludf.DUMMYFUNCTION("""COMPUTED_VALUE"""),"Movement Shooter")</f>
        <v>Movement Shooter</v>
      </c>
      <c r="F838" s="164">
        <f>IFERROR(__xludf.DUMMYFUNCTION("""COMPUTED_VALUE"""),892.368333333333)</f>
        <v>892.3683333</v>
      </c>
      <c r="G838" s="163">
        <f>IFERROR(__xludf.DUMMYFUNCTION("""COMPUTED_VALUE"""),40.0)</f>
        <v>40</v>
      </c>
      <c r="H838" s="163" t="str">
        <f>IFERROR(__xludf.DUMMYFUNCTION("""COMPUTED_VALUE"""),"PF")</f>
        <v>PF</v>
      </c>
      <c r="I838" s="163">
        <f>IFERROR(__xludf.DUMMYFUNCTION("""COMPUTED_VALUE"""),29.0)</f>
        <v>29</v>
      </c>
      <c r="J838" s="165">
        <f>IFERROR(__xludf.DUMMYFUNCTION("""COMPUTED_VALUE"""),-0.0543572475560359)</f>
        <v>-0.05435724756</v>
      </c>
      <c r="K838" s="165">
        <f>IFERROR(__xludf.DUMMYFUNCTION("""COMPUTED_VALUE"""),-0.34585077866308)</f>
        <v>-0.3458507787</v>
      </c>
      <c r="L838" s="165">
        <f>IFERROR(__xludf.DUMMYFUNCTION("""COMPUTED_VALUE"""),0.291493531107044)</f>
        <v>0.2914935311</v>
      </c>
      <c r="M838" s="166">
        <f t="shared" si="2"/>
        <v>1.343031934</v>
      </c>
      <c r="N838" s="167">
        <f t="shared" si="3"/>
        <v>22.30920833</v>
      </c>
      <c r="O838" s="163">
        <f t="shared" ref="O838:Q838" si="842">rank(I838,I:I)</f>
        <v>855</v>
      </c>
      <c r="P838" s="163">
        <f t="shared" si="842"/>
        <v>1335</v>
      </c>
      <c r="Q838" s="163">
        <f t="shared" si="842"/>
        <v>1844</v>
      </c>
      <c r="R838" s="163">
        <f>IFERROR(__xludf.DUMMYFUNCTION("RANK(M838,filter(M:M,C:C=C838))"),213.0)</f>
        <v>213</v>
      </c>
      <c r="S838" s="161" t="b">
        <f t="shared" si="5"/>
        <v>0</v>
      </c>
      <c r="T838" s="161" t="b">
        <f t="array" ref="T838">index('Query Tool'!B:B,match(H838,'Query Tool'!C:C,0))</f>
        <v>1</v>
      </c>
      <c r="U838" s="161" t="b">
        <f t="array" ref="U838">index('Query Tool'!B:B,match(C838,'Query Tool'!C:C,0))</f>
        <v>0</v>
      </c>
      <c r="V838" s="161" t="b">
        <f>F838&gt;='Query Tool'!C$32</f>
        <v>1</v>
      </c>
      <c r="W838" s="161" t="b">
        <f t="array" ref="W838">index(Dropdowns!B:B,match(I838,Dropdowns!A:A,0))</f>
        <v>1</v>
      </c>
      <c r="X838" s="161" t="b">
        <f t="array" ref="X838">index('Query Tool'!B:B,match(D838,'Query Tool'!C:C,0))</f>
        <v>1</v>
      </c>
      <c r="Y838" s="161" t="str">
        <f t="shared" si="6"/>
        <v>teletmi01,2014-15</v>
      </c>
      <c r="Z838" s="168">
        <f t="array" ref="Z838">iferror(index(I:I,match($A838&amp;","&amp;index('Year Conversion'!$A:$A,match($C838,'Year Conversion'!$B:$B,0)),$Y:$Y,0))-I838,"")</f>
        <v>1</v>
      </c>
      <c r="AA838" s="168">
        <f t="array" ref="AA838">iferror(index(J:J,match($A838&amp;","&amp;index('Year Conversion'!$A:$A,match($C838,'Year Conversion'!$B:$B,0)),$Y:$Y,0))-J838,"")</f>
        <v>-0.1671097803</v>
      </c>
      <c r="AB838" s="168">
        <f t="array" ref="AB838">iferror(index(K:K,match($A838&amp;","&amp;index('Year Conversion'!$A:$A,match($C838,'Year Conversion'!$B:$B,0)),$Y:$Y,0))-K838,"")</f>
        <v>1.889076505</v>
      </c>
      <c r="AC838" s="168" t="str">
        <f t="shared" si="7"/>
        <v>BRK,2014-15</v>
      </c>
    </row>
    <row r="839">
      <c r="A839" s="161" t="str">
        <f>IFERROR(__xludf.DUMMYFUNCTION("""COMPUTED_VALUE"""),"copelch01")</f>
        <v>copelch01</v>
      </c>
      <c r="B839" s="161" t="str">
        <f>IFERROR(__xludf.DUMMYFUNCTION("""COMPUTED_VALUE"""),"Chris Copeland")</f>
        <v>Chris Copeland</v>
      </c>
      <c r="C839" s="162" t="str">
        <f>IFERROR(__xludf.DUMMYFUNCTION("""COMPUTED_VALUE"""),"2014-15")</f>
        <v>2014-15</v>
      </c>
      <c r="D839" s="163" t="str">
        <f>IFERROR(__xludf.DUMMYFUNCTION("""COMPUTED_VALUE"""),"IND")</f>
        <v>IND</v>
      </c>
      <c r="E839" s="164" t="str">
        <f>IFERROR(__xludf.DUMMYFUNCTION("""COMPUTED_VALUE"""),"Movement Shooter")</f>
        <v>Movement Shooter</v>
      </c>
      <c r="F839" s="164">
        <f>IFERROR(__xludf.DUMMYFUNCTION("""COMPUTED_VALUE"""),827.485)</f>
        <v>827.485</v>
      </c>
      <c r="G839" s="163">
        <f>IFERROR(__xludf.DUMMYFUNCTION("""COMPUTED_VALUE"""),50.0)</f>
        <v>50</v>
      </c>
      <c r="H839" s="163" t="str">
        <f>IFERROR(__xludf.DUMMYFUNCTION("""COMPUTED_VALUE"""),"SF")</f>
        <v>SF</v>
      </c>
      <c r="I839" s="163">
        <f>IFERROR(__xludf.DUMMYFUNCTION("""COMPUTED_VALUE"""),30.0)</f>
        <v>30</v>
      </c>
      <c r="J839" s="165">
        <f>IFERROR(__xludf.DUMMYFUNCTION("""COMPUTED_VALUE"""),-2.10961424274645)</f>
        <v>-2.109614243</v>
      </c>
      <c r="K839" s="165">
        <f>IFERROR(__xludf.DUMMYFUNCTION("""COMPUTED_VALUE"""),-0.833776411646828)</f>
        <v>-0.8337764116</v>
      </c>
      <c r="L839" s="165">
        <f>IFERROR(__xludf.DUMMYFUNCTION("""COMPUTED_VALUE"""),-1.27583783109962)</f>
        <v>-1.275837831</v>
      </c>
      <c r="M839" s="166">
        <f t="shared" si="2"/>
        <v>0.1060131483</v>
      </c>
      <c r="N839" s="167">
        <f t="shared" si="3"/>
        <v>16.5497</v>
      </c>
      <c r="O839" s="163">
        <f t="shared" ref="O839:Q839" si="843">rank(I839,I:I)</f>
        <v>655</v>
      </c>
      <c r="P839" s="163">
        <f t="shared" si="843"/>
        <v>3560</v>
      </c>
      <c r="Q839" s="163">
        <f t="shared" si="843"/>
        <v>2596</v>
      </c>
      <c r="R839" s="163">
        <f>IFERROR(__xludf.DUMMYFUNCTION("RANK(M839,filter(M:M,C:C=C839))"),377.0)</f>
        <v>377</v>
      </c>
      <c r="S839" s="161" t="b">
        <f t="shared" si="5"/>
        <v>0</v>
      </c>
      <c r="T839" s="161" t="b">
        <f t="array" ref="T839">index('Query Tool'!B:B,match(H839,'Query Tool'!C:C,0))</f>
        <v>1</v>
      </c>
      <c r="U839" s="161" t="b">
        <f t="array" ref="U839">index('Query Tool'!B:B,match(C839,'Query Tool'!C:C,0))</f>
        <v>0</v>
      </c>
      <c r="V839" s="161" t="b">
        <f>F839&gt;='Query Tool'!C$32</f>
        <v>1</v>
      </c>
      <c r="W839" s="161" t="b">
        <f t="array" ref="W839">index(Dropdowns!B:B,match(I839,Dropdowns!A:A,0))</f>
        <v>1</v>
      </c>
      <c r="X839" s="161" t="b">
        <f t="array" ref="X839">index('Query Tool'!B:B,match(D839,'Query Tool'!C:C,0))</f>
        <v>1</v>
      </c>
      <c r="Y839" s="161" t="str">
        <f t="shared" si="6"/>
        <v>copelch01,2014-15</v>
      </c>
      <c r="Z839" s="168">
        <f t="array" ref="Z839">iferror(index(I:I,match($A839&amp;","&amp;index('Year Conversion'!$A:$A,match($C839,'Year Conversion'!$B:$B,0)),$Y:$Y,0))-I839,"")</f>
        <v>1</v>
      </c>
      <c r="AA839" s="168">
        <f t="array" ref="AA839">iferror(index(J:J,match($A839&amp;","&amp;index('Year Conversion'!$A:$A,match($C839,'Year Conversion'!$B:$B,0)),$Y:$Y,0))-J839,"")</f>
        <v>0.5636567121</v>
      </c>
      <c r="AB839" s="168">
        <f t="array" ref="AB839">iferror(index(K:K,match($A839&amp;","&amp;index('Year Conversion'!$A:$A,match($C839,'Year Conversion'!$B:$B,0)),$Y:$Y,0))-K839,"")</f>
        <v>0.4144246945</v>
      </c>
      <c r="AC839" s="168" t="str">
        <f t="shared" si="7"/>
        <v>IND,2014-15</v>
      </c>
    </row>
    <row r="840">
      <c r="A840" s="161" t="str">
        <f>IFERROR(__xludf.DUMMYFUNCTION("""COMPUTED_VALUE"""),"prigipa01")</f>
        <v>prigipa01</v>
      </c>
      <c r="B840" s="161" t="str">
        <f>IFERROR(__xludf.DUMMYFUNCTION("""COMPUTED_VALUE"""),"Pablo Prigioni")</f>
        <v>Pablo Prigioni</v>
      </c>
      <c r="C840" s="162" t="str">
        <f>IFERROR(__xludf.DUMMYFUNCTION("""COMPUTED_VALUE"""),"2014-15")</f>
        <v>2014-15</v>
      </c>
      <c r="D840" s="163" t="str">
        <f>IFERROR(__xludf.DUMMYFUNCTION("""COMPUTED_VALUE"""),"TOT")</f>
        <v>TOT</v>
      </c>
      <c r="E840" s="164" t="str">
        <f>IFERROR(__xludf.DUMMYFUNCTION("""COMPUTED_VALUE"""),"Secondary Ball Handler")</f>
        <v>Secondary Ball Handler</v>
      </c>
      <c r="F840" s="164">
        <f>IFERROR(__xludf.DUMMYFUNCTION("""COMPUTED_VALUE"""),1196.62833333333)</f>
        <v>1196.628333</v>
      </c>
      <c r="G840" s="163">
        <f>IFERROR(__xludf.DUMMYFUNCTION("""COMPUTED_VALUE"""),67.0)</f>
        <v>67</v>
      </c>
      <c r="H840" s="163" t="str">
        <f>IFERROR(__xludf.DUMMYFUNCTION("""COMPUTED_VALUE"""),"PG")</f>
        <v>PG</v>
      </c>
      <c r="I840" s="163">
        <f>IFERROR(__xludf.DUMMYFUNCTION("""COMPUTED_VALUE"""),37.0)</f>
        <v>37</v>
      </c>
      <c r="J840" s="165">
        <f>IFERROR(__xludf.DUMMYFUNCTION("""COMPUTED_VALUE"""),0.47746712596211)</f>
        <v>0.477467126</v>
      </c>
      <c r="K840" s="165">
        <f>IFERROR(__xludf.DUMMYFUNCTION("""COMPUTED_VALUE"""),0.16759192449998)</f>
        <v>0.1675919245</v>
      </c>
      <c r="L840" s="165">
        <f>IFERROR(__xludf.DUMMYFUNCTION("""COMPUTED_VALUE"""),0.309875201462131)</f>
        <v>0.3098752015</v>
      </c>
      <c r="M840" s="166">
        <f t="shared" si="2"/>
        <v>2.229878885</v>
      </c>
      <c r="N840" s="167">
        <f t="shared" si="3"/>
        <v>17.86012438</v>
      </c>
      <c r="O840" s="163">
        <f t="shared" ref="O840:Q840" si="844">rank(I840,I:I)</f>
        <v>38</v>
      </c>
      <c r="P840" s="163">
        <f t="shared" si="844"/>
        <v>911</v>
      </c>
      <c r="Q840" s="163">
        <f t="shared" si="844"/>
        <v>1011</v>
      </c>
      <c r="R840" s="163">
        <f>IFERROR(__xludf.DUMMYFUNCTION("RANK(M840,filter(M:M,C:C=C840))"),157.0)</f>
        <v>157</v>
      </c>
      <c r="S840" s="161" t="b">
        <f t="shared" si="5"/>
        <v>0</v>
      </c>
      <c r="T840" s="161" t="b">
        <f t="array" ref="T840">index('Query Tool'!B:B,match(H840,'Query Tool'!C:C,0))</f>
        <v>1</v>
      </c>
      <c r="U840" s="161" t="b">
        <f t="array" ref="U840">index('Query Tool'!B:B,match(C840,'Query Tool'!C:C,0))</f>
        <v>0</v>
      </c>
      <c r="V840" s="161" t="b">
        <f>F840&gt;='Query Tool'!C$32</f>
        <v>1</v>
      </c>
      <c r="W840" s="161" t="b">
        <f t="array" ref="W840">index(Dropdowns!B:B,match(I840,Dropdowns!A:A,0))</f>
        <v>1</v>
      </c>
      <c r="X840" s="161" t="b">
        <f t="array" ref="X840">index('Query Tool'!B:B,match(D840,'Query Tool'!C:C,0))</f>
        <v>1</v>
      </c>
      <c r="Y840" s="161" t="str">
        <f t="shared" si="6"/>
        <v>prigipa01,2014-15</v>
      </c>
      <c r="Z840" s="168">
        <f t="array" ref="Z840">iferror(index(I:I,match($A840&amp;","&amp;index('Year Conversion'!$A:$A,match($C840,'Year Conversion'!$B:$B,0)),$Y:$Y,0))-I840,"")</f>
        <v>1</v>
      </c>
      <c r="AA840" s="168">
        <f t="array" ref="AA840">iferror(index(J:J,match($A840&amp;","&amp;index('Year Conversion'!$A:$A,match($C840,'Year Conversion'!$B:$B,0)),$Y:$Y,0))-J840,"")</f>
        <v>-2.193661005</v>
      </c>
      <c r="AB840" s="168">
        <f t="array" ref="AB840">iferror(index(K:K,match($A840&amp;","&amp;index('Year Conversion'!$A:$A,match($C840,'Year Conversion'!$B:$B,0)),$Y:$Y,0))-K840,"")</f>
        <v>-1.450968812</v>
      </c>
      <c r="AC840" s="168" t="str">
        <f t="shared" si="7"/>
        <v>TOT,2014-15</v>
      </c>
    </row>
    <row r="841">
      <c r="A841" s="161" t="str">
        <f>IFERROR(__xludf.DUMMYFUNCTION("""COMPUTED_VALUE"""),"shvedal01")</f>
        <v>shvedal01</v>
      </c>
      <c r="B841" s="161" t="str">
        <f>IFERROR(__xludf.DUMMYFUNCTION("""COMPUTED_VALUE"""),"Alexey Shved")</f>
        <v>Alexey Shved</v>
      </c>
      <c r="C841" s="162" t="str">
        <f>IFERROR(__xludf.DUMMYFUNCTION("""COMPUTED_VALUE"""),"2014-15")</f>
        <v>2014-15</v>
      </c>
      <c r="D841" s="163" t="str">
        <f>IFERROR(__xludf.DUMMYFUNCTION("""COMPUTED_VALUE"""),"TOT")</f>
        <v>TOT</v>
      </c>
      <c r="E841" s="164" t="str">
        <f>IFERROR(__xludf.DUMMYFUNCTION("""COMPUTED_VALUE"""),"Secondary Ball Handler")</f>
        <v>Secondary Ball Handler</v>
      </c>
      <c r="F841" s="164">
        <f>IFERROR(__xludf.DUMMYFUNCTION("""COMPUTED_VALUE"""),767.24)</f>
        <v>767.24</v>
      </c>
      <c r="G841" s="163">
        <f>IFERROR(__xludf.DUMMYFUNCTION("""COMPUTED_VALUE"""),42.0)</f>
        <v>42</v>
      </c>
      <c r="H841" s="163" t="str">
        <f>IFERROR(__xludf.DUMMYFUNCTION("""COMPUTED_VALUE"""),"SG")</f>
        <v>SG</v>
      </c>
      <c r="I841" s="163">
        <f>IFERROR(__xludf.DUMMYFUNCTION("""COMPUTED_VALUE"""),26.0)</f>
        <v>26</v>
      </c>
      <c r="J841" s="165">
        <f>IFERROR(__xludf.DUMMYFUNCTION("""COMPUTED_VALUE"""),1.11875576266316)</f>
        <v>1.118755763</v>
      </c>
      <c r="K841" s="165">
        <f>IFERROR(__xludf.DUMMYFUNCTION("""COMPUTED_VALUE"""),1.62414868176334)</f>
        <v>1.624148682</v>
      </c>
      <c r="L841" s="165">
        <f>IFERROR(__xludf.DUMMYFUNCTION("""COMPUTED_VALUE"""),-0.50539291910018)</f>
        <v>-0.5053929191</v>
      </c>
      <c r="M841" s="166">
        <f t="shared" si="2"/>
        <v>1.76051788</v>
      </c>
      <c r="N841" s="167">
        <f t="shared" si="3"/>
        <v>18.26761905</v>
      </c>
      <c r="O841" s="163">
        <f t="shared" ref="O841:Q841" si="845">rank(I841,I:I)</f>
        <v>1665</v>
      </c>
      <c r="P841" s="163">
        <f t="shared" si="845"/>
        <v>607</v>
      </c>
      <c r="Q841" s="163">
        <f t="shared" si="845"/>
        <v>287</v>
      </c>
      <c r="R841" s="163">
        <f>IFERROR(__xludf.DUMMYFUNCTION("RANK(M841,filter(M:M,C:C=C841))"),181.0)</f>
        <v>181</v>
      </c>
      <c r="S841" s="161" t="b">
        <f t="shared" si="5"/>
        <v>0</v>
      </c>
      <c r="T841" s="161" t="b">
        <f t="array" ref="T841">index('Query Tool'!B:B,match(H841,'Query Tool'!C:C,0))</f>
        <v>1</v>
      </c>
      <c r="U841" s="161" t="b">
        <f t="array" ref="U841">index('Query Tool'!B:B,match(C841,'Query Tool'!C:C,0))</f>
        <v>0</v>
      </c>
      <c r="V841" s="161" t="b">
        <f>F841&gt;='Query Tool'!C$32</f>
        <v>1</v>
      </c>
      <c r="W841" s="161" t="b">
        <f t="array" ref="W841">index(Dropdowns!B:B,match(I841,Dropdowns!A:A,0))</f>
        <v>1</v>
      </c>
      <c r="X841" s="161" t="b">
        <f t="array" ref="X841">index('Query Tool'!B:B,match(D841,'Query Tool'!C:C,0))</f>
        <v>1</v>
      </c>
      <c r="Y841" s="161" t="str">
        <f t="shared" si="6"/>
        <v>shvedal01,2014-15</v>
      </c>
      <c r="Z841" s="168" t="str">
        <f t="array" ref="Z841">iferror(index(I:I,match($A841&amp;","&amp;index('Year Conversion'!$A:$A,match($C841,'Year Conversion'!$B:$B,0)),$Y:$Y,0))-I841,"")</f>
        <v/>
      </c>
      <c r="AA841" s="168" t="str">
        <f t="array" ref="AA841">iferror(index(J:J,match($A841&amp;","&amp;index('Year Conversion'!$A:$A,match($C841,'Year Conversion'!$B:$B,0)),$Y:$Y,0))-J841,"")</f>
        <v/>
      </c>
      <c r="AB841" s="168" t="str">
        <f t="array" ref="AB841">iferror(index(K:K,match($A841&amp;","&amp;index('Year Conversion'!$A:$A,match($C841,'Year Conversion'!$B:$B,0)),$Y:$Y,0))-K841,"")</f>
        <v/>
      </c>
      <c r="AC841" s="168" t="str">
        <f t="shared" si="7"/>
        <v>TOT,2014-15</v>
      </c>
    </row>
    <row r="842">
      <c r="A842" s="161" t="str">
        <f>IFERROR(__xludf.DUMMYFUNCTION("""COMPUTED_VALUE"""),"bazemke01")</f>
        <v>bazemke01</v>
      </c>
      <c r="B842" s="161" t="str">
        <f>IFERROR(__xludf.DUMMYFUNCTION("""COMPUTED_VALUE"""),"Kent Bazemore")</f>
        <v>Kent Bazemore</v>
      </c>
      <c r="C842" s="162" t="str">
        <f>IFERROR(__xludf.DUMMYFUNCTION("""COMPUTED_VALUE"""),"2014-15")</f>
        <v>2014-15</v>
      </c>
      <c r="D842" s="163" t="str">
        <f>IFERROR(__xludf.DUMMYFUNCTION("""COMPUTED_VALUE"""),"ATL")</f>
        <v>ATL</v>
      </c>
      <c r="E842" s="164" t="str">
        <f>IFERROR(__xludf.DUMMYFUNCTION("""COMPUTED_VALUE"""),"Stationary Shooter")</f>
        <v>Stationary Shooter</v>
      </c>
      <c r="F842" s="164">
        <f>IFERROR(__xludf.DUMMYFUNCTION("""COMPUTED_VALUE"""),1323.49)</f>
        <v>1323.49</v>
      </c>
      <c r="G842" s="163">
        <f>IFERROR(__xludf.DUMMYFUNCTION("""COMPUTED_VALUE"""),75.0)</f>
        <v>75</v>
      </c>
      <c r="H842" s="163" t="str">
        <f>IFERROR(__xludf.DUMMYFUNCTION("""COMPUTED_VALUE"""),"SG")</f>
        <v>SG</v>
      </c>
      <c r="I842" s="163">
        <f>IFERROR(__xludf.DUMMYFUNCTION("""COMPUTED_VALUE"""),25.0)</f>
        <v>25</v>
      </c>
      <c r="J842" s="165">
        <f>IFERROR(__xludf.DUMMYFUNCTION("""COMPUTED_VALUE"""),-1.60637881237684)</f>
        <v>-1.606378812</v>
      </c>
      <c r="K842" s="165">
        <f>IFERROR(__xludf.DUMMYFUNCTION("""COMPUTED_VALUE"""),-2.41938319987387)</f>
        <v>-2.4193832</v>
      </c>
      <c r="L842" s="165">
        <f>IFERROR(__xludf.DUMMYFUNCTION("""COMPUTED_VALUE"""),0.813004387497028)</f>
        <v>0.8130043875</v>
      </c>
      <c r="M842" s="166">
        <f t="shared" si="2"/>
        <v>0.6121513157</v>
      </c>
      <c r="N842" s="167">
        <f t="shared" si="3"/>
        <v>17.64653333</v>
      </c>
      <c r="O842" s="163">
        <f t="shared" ref="O842:Q842" si="846">rank(I842,I:I)</f>
        <v>1995</v>
      </c>
      <c r="P842" s="163">
        <f t="shared" si="846"/>
        <v>3154</v>
      </c>
      <c r="Q842" s="163">
        <f t="shared" si="846"/>
        <v>3872</v>
      </c>
      <c r="R842" s="163">
        <f>IFERROR(__xludf.DUMMYFUNCTION("RANK(M842,filter(M:M,C:C=C842))"),272.0)</f>
        <v>272</v>
      </c>
      <c r="S842" s="161" t="b">
        <f t="shared" si="5"/>
        <v>0</v>
      </c>
      <c r="T842" s="161" t="b">
        <f t="array" ref="T842">index('Query Tool'!B:B,match(H842,'Query Tool'!C:C,0))</f>
        <v>1</v>
      </c>
      <c r="U842" s="161" t="b">
        <f t="array" ref="U842">index('Query Tool'!B:B,match(C842,'Query Tool'!C:C,0))</f>
        <v>0</v>
      </c>
      <c r="V842" s="161" t="b">
        <f>F842&gt;='Query Tool'!C$32</f>
        <v>1</v>
      </c>
      <c r="W842" s="161" t="b">
        <f t="array" ref="W842">index(Dropdowns!B:B,match(I842,Dropdowns!A:A,0))</f>
        <v>1</v>
      </c>
      <c r="X842" s="161" t="b">
        <f t="array" ref="X842">index('Query Tool'!B:B,match(D842,'Query Tool'!C:C,0))</f>
        <v>1</v>
      </c>
      <c r="Y842" s="161" t="str">
        <f t="shared" si="6"/>
        <v>bazemke01,2014-15</v>
      </c>
      <c r="Z842" s="168">
        <f t="array" ref="Z842">iferror(index(I:I,match($A842&amp;","&amp;index('Year Conversion'!$A:$A,match($C842,'Year Conversion'!$B:$B,0)),$Y:$Y,0))-I842,"")</f>
        <v>1</v>
      </c>
      <c r="AA842" s="168">
        <f t="array" ref="AA842">iferror(index(J:J,match($A842&amp;","&amp;index('Year Conversion'!$A:$A,match($C842,'Year Conversion'!$B:$B,0)),$Y:$Y,0))-J842,"")</f>
        <v>1.704384523</v>
      </c>
      <c r="AB842" s="168">
        <f t="array" ref="AB842">iferror(index(K:K,match($A842&amp;","&amp;index('Year Conversion'!$A:$A,match($C842,'Year Conversion'!$B:$B,0)),$Y:$Y,0))-K842,"")</f>
        <v>1.653456128</v>
      </c>
      <c r="AC842" s="168" t="str">
        <f t="shared" si="7"/>
        <v>ATL,2014-15</v>
      </c>
    </row>
    <row r="843">
      <c r="A843" s="161" t="str">
        <f>IFERROR(__xludf.DUMMYFUNCTION("""COMPUTED_VALUE"""),"roberbr01")</f>
        <v>roberbr01</v>
      </c>
      <c r="B843" s="161" t="str">
        <f>IFERROR(__xludf.DUMMYFUNCTION("""COMPUTED_VALUE"""),"Brian Roberts")</f>
        <v>Brian Roberts</v>
      </c>
      <c r="C843" s="162" t="str">
        <f>IFERROR(__xludf.DUMMYFUNCTION("""COMPUTED_VALUE"""),"2014-15")</f>
        <v>2014-15</v>
      </c>
      <c r="D843" s="163" t="str">
        <f>IFERROR(__xludf.DUMMYFUNCTION("""COMPUTED_VALUE"""),"CHO")</f>
        <v>CHO</v>
      </c>
      <c r="E843" s="164" t="str">
        <f>IFERROR(__xludf.DUMMYFUNCTION("""COMPUTED_VALUE"""),"Primary Ball Handler")</f>
        <v>Primary Ball Handler</v>
      </c>
      <c r="F843" s="164">
        <f>IFERROR(__xludf.DUMMYFUNCTION("""COMPUTED_VALUE"""),1329.93666666667)</f>
        <v>1329.936667</v>
      </c>
      <c r="G843" s="163">
        <f>IFERROR(__xludf.DUMMYFUNCTION("""COMPUTED_VALUE"""),72.0)</f>
        <v>72</v>
      </c>
      <c r="H843" s="163" t="str">
        <f>IFERROR(__xludf.DUMMYFUNCTION("""COMPUTED_VALUE"""),"PG")</f>
        <v>PG</v>
      </c>
      <c r="I843" s="163">
        <f>IFERROR(__xludf.DUMMYFUNCTION("""COMPUTED_VALUE"""),29.0)</f>
        <v>29</v>
      </c>
      <c r="J843" s="165">
        <f>IFERROR(__xludf.DUMMYFUNCTION("""COMPUTED_VALUE"""),-1.62845324589273)</f>
        <v>-1.628453246</v>
      </c>
      <c r="K843" s="165">
        <f>IFERROR(__xludf.DUMMYFUNCTION("""COMPUTED_VALUE"""),-0.655109584920326)</f>
        <v>-0.6551095849</v>
      </c>
      <c r="L843" s="165">
        <f>IFERROR(__xludf.DUMMYFUNCTION("""COMPUTED_VALUE"""),-0.973343660972405)</f>
        <v>-0.973343661</v>
      </c>
      <c r="M843" s="166">
        <f t="shared" si="2"/>
        <v>0.5955547217</v>
      </c>
      <c r="N843" s="167">
        <f t="shared" si="3"/>
        <v>18.47134259</v>
      </c>
      <c r="O843" s="163">
        <f t="shared" ref="O843:Q843" si="847">rank(I843,I:I)</f>
        <v>855</v>
      </c>
      <c r="P843" s="163">
        <f t="shared" si="847"/>
        <v>3173</v>
      </c>
      <c r="Q843" s="163">
        <f t="shared" si="847"/>
        <v>2339</v>
      </c>
      <c r="R843" s="163">
        <f>IFERROR(__xludf.DUMMYFUNCTION("RANK(M843,filter(M:M,C:C=C843))"),274.0)</f>
        <v>274</v>
      </c>
      <c r="S843" s="161" t="b">
        <f t="shared" si="5"/>
        <v>0</v>
      </c>
      <c r="T843" s="161" t="b">
        <f t="array" ref="T843">index('Query Tool'!B:B,match(H843,'Query Tool'!C:C,0))</f>
        <v>1</v>
      </c>
      <c r="U843" s="161" t="b">
        <f t="array" ref="U843">index('Query Tool'!B:B,match(C843,'Query Tool'!C:C,0))</f>
        <v>0</v>
      </c>
      <c r="V843" s="161" t="b">
        <f>F843&gt;='Query Tool'!C$32</f>
        <v>1</v>
      </c>
      <c r="W843" s="161" t="b">
        <f t="array" ref="W843">index(Dropdowns!B:B,match(I843,Dropdowns!A:A,0))</f>
        <v>1</v>
      </c>
      <c r="X843" s="161" t="b">
        <f t="array" ref="X843">index('Query Tool'!B:B,match(D843,'Query Tool'!C:C,0))</f>
        <v>1</v>
      </c>
      <c r="Y843" s="161" t="str">
        <f t="shared" si="6"/>
        <v>roberbr01,2014-15</v>
      </c>
      <c r="Z843" s="168">
        <f t="array" ref="Z843">iferror(index(I:I,match($A843&amp;","&amp;index('Year Conversion'!$A:$A,match($C843,'Year Conversion'!$B:$B,0)),$Y:$Y,0))-I843,"")</f>
        <v>1</v>
      </c>
      <c r="AA843" s="168">
        <f t="array" ref="AA843">iferror(index(J:J,match($A843&amp;","&amp;index('Year Conversion'!$A:$A,match($C843,'Year Conversion'!$B:$B,0)),$Y:$Y,0))-J843,"")</f>
        <v>0.2353953228</v>
      </c>
      <c r="AB843" s="168">
        <f t="array" ref="AB843">iferror(index(K:K,match($A843&amp;","&amp;index('Year Conversion'!$A:$A,match($C843,'Year Conversion'!$B:$B,0)),$Y:$Y,0))-K843,"")</f>
        <v>0.04778430427</v>
      </c>
      <c r="AC843" s="168" t="str">
        <f t="shared" si="7"/>
        <v>CHO,2014-15</v>
      </c>
    </row>
    <row r="844">
      <c r="A844" s="161" t="str">
        <f>IFERROR(__xludf.DUMMYFUNCTION("""COMPUTED_VALUE"""),"simshe01")</f>
        <v>simshe01</v>
      </c>
      <c r="B844" s="161" t="str">
        <f>IFERROR(__xludf.DUMMYFUNCTION("""COMPUTED_VALUE"""),"Henry Sims")</f>
        <v>Henry Sims</v>
      </c>
      <c r="C844" s="162" t="str">
        <f>IFERROR(__xludf.DUMMYFUNCTION("""COMPUTED_VALUE"""),"2014-15")</f>
        <v>2014-15</v>
      </c>
      <c r="D844" s="163" t="str">
        <f>IFERROR(__xludf.DUMMYFUNCTION("""COMPUTED_VALUE"""),"PHI")</f>
        <v>PHI</v>
      </c>
      <c r="E844" s="164" t="str">
        <f>IFERROR(__xludf.DUMMYFUNCTION("""COMPUTED_VALUE"""),"Post Scorer")</f>
        <v>Post Scorer</v>
      </c>
      <c r="F844" s="164">
        <f>IFERROR(__xludf.DUMMYFUNCTION("""COMPUTED_VALUE"""),1398.61166666667)</f>
        <v>1398.611667</v>
      </c>
      <c r="G844" s="163">
        <f>IFERROR(__xludf.DUMMYFUNCTION("""COMPUTED_VALUE"""),73.0)</f>
        <v>73</v>
      </c>
      <c r="H844" s="163" t="str">
        <f>IFERROR(__xludf.DUMMYFUNCTION("""COMPUTED_VALUE"""),"C")</f>
        <v>C</v>
      </c>
      <c r="I844" s="163">
        <f>IFERROR(__xludf.DUMMYFUNCTION("""COMPUTED_VALUE"""),24.0)</f>
        <v>24</v>
      </c>
      <c r="J844" s="165">
        <f>IFERROR(__xludf.DUMMYFUNCTION("""COMPUTED_VALUE"""),-3.694927690708)</f>
        <v>-3.694927691</v>
      </c>
      <c r="K844" s="165">
        <f>IFERROR(__xludf.DUMMYFUNCTION("""COMPUTED_VALUE"""),-2.3942830821646)</f>
        <v>-2.394283082</v>
      </c>
      <c r="L844" s="165">
        <f>IFERROR(__xludf.DUMMYFUNCTION("""COMPUTED_VALUE"""),-1.3006446085434)</f>
        <v>-1.300644609</v>
      </c>
      <c r="M844" s="166">
        <f t="shared" si="2"/>
        <v>-1.263252849</v>
      </c>
      <c r="N844" s="167">
        <f t="shared" si="3"/>
        <v>19.15906393</v>
      </c>
      <c r="O844" s="163">
        <f t="shared" ref="O844:Q844" si="848">rank(I844,I:I)</f>
        <v>2361</v>
      </c>
      <c r="P844" s="163">
        <f t="shared" si="848"/>
        <v>3983</v>
      </c>
      <c r="Q844" s="163">
        <f t="shared" si="848"/>
        <v>3865</v>
      </c>
      <c r="R844" s="163">
        <f>IFERROR(__xludf.DUMMYFUNCTION("RANK(M844,filter(M:M,C:C=C844))"),488.0)</f>
        <v>488</v>
      </c>
      <c r="S844" s="161" t="b">
        <f t="shared" si="5"/>
        <v>0</v>
      </c>
      <c r="T844" s="161" t="b">
        <f t="array" ref="T844">index('Query Tool'!B:B,match(H844,'Query Tool'!C:C,0))</f>
        <v>1</v>
      </c>
      <c r="U844" s="161" t="b">
        <f t="array" ref="U844">index('Query Tool'!B:B,match(C844,'Query Tool'!C:C,0))</f>
        <v>0</v>
      </c>
      <c r="V844" s="161" t="b">
        <f>F844&gt;='Query Tool'!C$32</f>
        <v>1</v>
      </c>
      <c r="W844" s="161" t="b">
        <f t="array" ref="W844">index(Dropdowns!B:B,match(I844,Dropdowns!A:A,0))</f>
        <v>1</v>
      </c>
      <c r="X844" s="161" t="b">
        <f t="array" ref="X844">index('Query Tool'!B:B,match(D844,'Query Tool'!C:C,0))</f>
        <v>1</v>
      </c>
      <c r="Y844" s="161" t="str">
        <f t="shared" si="6"/>
        <v>simshe01,2014-15</v>
      </c>
      <c r="Z844" s="168">
        <f t="array" ref="Z844">iferror(index(I:I,match($A844&amp;","&amp;index('Year Conversion'!$A:$A,match($C844,'Year Conversion'!$B:$B,0)),$Y:$Y,0))-I844,"")</f>
        <v>1</v>
      </c>
      <c r="AA844" s="168">
        <f t="array" ref="AA844">iferror(index(J:J,match($A844&amp;","&amp;index('Year Conversion'!$A:$A,match($C844,'Year Conversion'!$B:$B,0)),$Y:$Y,0))-J844,"")</f>
        <v>2.912488545</v>
      </c>
      <c r="AB844" s="168">
        <f t="array" ref="AB844">iferror(index(K:K,match($A844&amp;","&amp;index('Year Conversion'!$A:$A,match($C844,'Year Conversion'!$B:$B,0)),$Y:$Y,0))-K844,"")</f>
        <v>1.264005154</v>
      </c>
      <c r="AC844" s="168" t="str">
        <f t="shared" si="7"/>
        <v>PHI,2014-15</v>
      </c>
    </row>
    <row r="845">
      <c r="A845" s="161" t="str">
        <f>IFERROR(__xludf.DUMMYFUNCTION("""COMPUTED_VALUE"""),"johnsch04")</f>
        <v>johnsch04</v>
      </c>
      <c r="B845" s="161" t="str">
        <f>IFERROR(__xludf.DUMMYFUNCTION("""COMPUTED_VALUE"""),"Chris Johnson")</f>
        <v>Chris Johnson</v>
      </c>
      <c r="C845" s="162" t="str">
        <f>IFERROR(__xludf.DUMMYFUNCTION("""COMPUTED_VALUE"""),"2014-15")</f>
        <v>2014-15</v>
      </c>
      <c r="D845" s="163" t="str">
        <f>IFERROR(__xludf.DUMMYFUNCTION("""COMPUTED_VALUE"""),"TOT")</f>
        <v>TOT</v>
      </c>
      <c r="E845" s="164" t="str">
        <f>IFERROR(__xludf.DUMMYFUNCTION("""COMPUTED_VALUE"""),"Stationary Shooter")</f>
        <v>Stationary Shooter</v>
      </c>
      <c r="F845" s="164">
        <f>IFERROR(__xludf.DUMMYFUNCTION("""COMPUTED_VALUE"""),526.765)</f>
        <v>526.765</v>
      </c>
      <c r="G845" s="163">
        <f>IFERROR(__xludf.DUMMYFUNCTION("""COMPUTED_VALUE"""),29.0)</f>
        <v>29</v>
      </c>
      <c r="H845" s="163" t="str">
        <f>IFERROR(__xludf.DUMMYFUNCTION("""COMPUTED_VALUE"""),"SF")</f>
        <v>SF</v>
      </c>
      <c r="I845" s="163">
        <f>IFERROR(__xludf.DUMMYFUNCTION("""COMPUTED_VALUE"""),24.0)</f>
        <v>24</v>
      </c>
      <c r="J845" s="165">
        <f>IFERROR(__xludf.DUMMYFUNCTION("""COMPUTED_VALUE"""),-0.0554512584751656)</f>
        <v>-0.05545125848</v>
      </c>
      <c r="K845" s="165">
        <f>IFERROR(__xludf.DUMMYFUNCTION("""COMPUTED_VALUE"""),-0.269332544802143)</f>
        <v>-0.2693325448</v>
      </c>
      <c r="L845" s="165">
        <f>IFERROR(__xludf.DUMMYFUNCTION("""COMPUTED_VALUE"""),0.213881286326977)</f>
        <v>0.2138812863</v>
      </c>
      <c r="M845" s="166">
        <f t="shared" si="2"/>
        <v>0.7924031882</v>
      </c>
      <c r="N845" s="167">
        <f t="shared" si="3"/>
        <v>18.16431034</v>
      </c>
      <c r="O845" s="163">
        <f t="shared" ref="O845:Q845" si="849">rank(I845,I:I)</f>
        <v>2361</v>
      </c>
      <c r="P845" s="163">
        <f t="shared" si="849"/>
        <v>1337</v>
      </c>
      <c r="Q845" s="163">
        <f t="shared" si="849"/>
        <v>1702</v>
      </c>
      <c r="R845" s="163">
        <f>IFERROR(__xludf.DUMMYFUNCTION("RANK(M845,filter(M:M,C:C=C845))"),250.0)</f>
        <v>250</v>
      </c>
      <c r="S845" s="161" t="b">
        <f t="shared" si="5"/>
        <v>0</v>
      </c>
      <c r="T845" s="161" t="b">
        <f t="array" ref="T845">index('Query Tool'!B:B,match(H845,'Query Tool'!C:C,0))</f>
        <v>1</v>
      </c>
      <c r="U845" s="161" t="b">
        <f t="array" ref="U845">index('Query Tool'!B:B,match(C845,'Query Tool'!C:C,0))</f>
        <v>0</v>
      </c>
      <c r="V845" s="161" t="b">
        <f>F845&gt;='Query Tool'!C$32</f>
        <v>1</v>
      </c>
      <c r="W845" s="161" t="b">
        <f t="array" ref="W845">index(Dropdowns!B:B,match(I845,Dropdowns!A:A,0))</f>
        <v>1</v>
      </c>
      <c r="X845" s="161" t="b">
        <f t="array" ref="X845">index('Query Tool'!B:B,match(D845,'Query Tool'!C:C,0))</f>
        <v>1</v>
      </c>
      <c r="Y845" s="161" t="str">
        <f t="shared" si="6"/>
        <v>johnsch04,2014-15</v>
      </c>
      <c r="Z845" s="168">
        <f t="array" ref="Z845">iferror(index(I:I,match($A845&amp;","&amp;index('Year Conversion'!$A:$A,match($C845,'Year Conversion'!$B:$B,0)),$Y:$Y,0))-I845,"")</f>
        <v>1</v>
      </c>
      <c r="AA845" s="168">
        <f t="array" ref="AA845">iferror(index(J:J,match($A845&amp;","&amp;index('Year Conversion'!$A:$A,match($C845,'Year Conversion'!$B:$B,0)),$Y:$Y,0))-J845,"")</f>
        <v>0.01548377167</v>
      </c>
      <c r="AB845" s="168">
        <f t="array" ref="AB845">iferror(index(K:K,match($A845&amp;","&amp;index('Year Conversion'!$A:$A,match($C845,'Year Conversion'!$B:$B,0)),$Y:$Y,0))-K845,"")</f>
        <v>-0.6180336638</v>
      </c>
      <c r="AC845" s="168" t="str">
        <f t="shared" si="7"/>
        <v>TOT,2014-15</v>
      </c>
    </row>
    <row r="846">
      <c r="A846" s="161" t="str">
        <f>IFERROR(__xludf.DUMMYFUNCTION("""COMPUTED_VALUE"""),"holidju01")</f>
        <v>holidju01</v>
      </c>
      <c r="B846" s="161" t="str">
        <f>IFERROR(__xludf.DUMMYFUNCTION("""COMPUTED_VALUE"""),"Justin Holiday")</f>
        <v>Justin Holiday</v>
      </c>
      <c r="C846" s="162" t="str">
        <f>IFERROR(__xludf.DUMMYFUNCTION("""COMPUTED_VALUE"""),"2014-15")</f>
        <v>2014-15</v>
      </c>
      <c r="D846" s="163" t="str">
        <f>IFERROR(__xludf.DUMMYFUNCTION("""COMPUTED_VALUE"""),"GSW")</f>
        <v>GSW</v>
      </c>
      <c r="E846" s="164" t="str">
        <f>IFERROR(__xludf.DUMMYFUNCTION("""COMPUTED_VALUE"""),"Off Screen Shooter")</f>
        <v>Off Screen Shooter</v>
      </c>
      <c r="F846" s="164">
        <f>IFERROR(__xludf.DUMMYFUNCTION("""COMPUTED_VALUE"""),657.453333333333)</f>
        <v>657.4533333</v>
      </c>
      <c r="G846" s="163">
        <f>IFERROR(__xludf.DUMMYFUNCTION("""COMPUTED_VALUE"""),59.0)</f>
        <v>59</v>
      </c>
      <c r="H846" s="163" t="str">
        <f>IFERROR(__xludf.DUMMYFUNCTION("""COMPUTED_VALUE"""),"SG")</f>
        <v>SG</v>
      </c>
      <c r="I846" s="163">
        <f>IFERROR(__xludf.DUMMYFUNCTION("""COMPUTED_VALUE"""),25.0)</f>
        <v>25</v>
      </c>
      <c r="J846" s="165">
        <f>IFERROR(__xludf.DUMMYFUNCTION("""COMPUTED_VALUE"""),-0.644157840398717)</f>
        <v>-0.6441578404</v>
      </c>
      <c r="K846" s="165">
        <f>IFERROR(__xludf.DUMMYFUNCTION("""COMPUTED_VALUE"""),-0.377696492679293)</f>
        <v>-0.3776964927</v>
      </c>
      <c r="L846" s="165">
        <f>IFERROR(__xludf.DUMMYFUNCTION("""COMPUTED_VALUE"""),-0.266461347719424)</f>
        <v>-0.2664613477</v>
      </c>
      <c r="M846" s="166">
        <f t="shared" si="2"/>
        <v>0.7282164631</v>
      </c>
      <c r="N846" s="167">
        <f t="shared" si="3"/>
        <v>11.14327684</v>
      </c>
      <c r="O846" s="163">
        <f t="shared" ref="O846:Q846" si="850">rank(I846,I:I)</f>
        <v>1995</v>
      </c>
      <c r="P846" s="163">
        <f t="shared" si="850"/>
        <v>2052</v>
      </c>
      <c r="Q846" s="163">
        <f t="shared" si="850"/>
        <v>1912</v>
      </c>
      <c r="R846" s="163">
        <f>IFERROR(__xludf.DUMMYFUNCTION("RANK(M846,filter(M:M,C:C=C846))"),256.0)</f>
        <v>256</v>
      </c>
      <c r="S846" s="161" t="b">
        <f t="shared" si="5"/>
        <v>0</v>
      </c>
      <c r="T846" s="161" t="b">
        <f t="array" ref="T846">index('Query Tool'!B:B,match(H846,'Query Tool'!C:C,0))</f>
        <v>1</v>
      </c>
      <c r="U846" s="161" t="b">
        <f t="array" ref="U846">index('Query Tool'!B:B,match(C846,'Query Tool'!C:C,0))</f>
        <v>0</v>
      </c>
      <c r="V846" s="161" t="b">
        <f>F846&gt;='Query Tool'!C$32</f>
        <v>1</v>
      </c>
      <c r="W846" s="161" t="b">
        <f t="array" ref="W846">index(Dropdowns!B:B,match(I846,Dropdowns!A:A,0))</f>
        <v>1</v>
      </c>
      <c r="X846" s="161" t="b">
        <f t="array" ref="X846">index('Query Tool'!B:B,match(D846,'Query Tool'!C:C,0))</f>
        <v>1</v>
      </c>
      <c r="Y846" s="161" t="str">
        <f t="shared" si="6"/>
        <v>holidju01,2014-15</v>
      </c>
      <c r="Z846" s="168">
        <f t="array" ref="Z846">iferror(index(I:I,match($A846&amp;","&amp;index('Year Conversion'!$A:$A,match($C846,'Year Conversion'!$B:$B,0)),$Y:$Y,0))-I846,"")</f>
        <v>1</v>
      </c>
      <c r="AA846" s="168">
        <f t="array" ref="AA846">iferror(index(J:J,match($A846&amp;","&amp;index('Year Conversion'!$A:$A,match($C846,'Year Conversion'!$B:$B,0)),$Y:$Y,0))-J846,"")</f>
        <v>-0.4706512185</v>
      </c>
      <c r="AB846" s="168">
        <f t="array" ref="AB846">iferror(index(K:K,match($A846&amp;","&amp;index('Year Conversion'!$A:$A,match($C846,'Year Conversion'!$B:$B,0)),$Y:$Y,0))-K846,"")</f>
        <v>-0.7602109943</v>
      </c>
      <c r="AC846" s="168" t="str">
        <f t="shared" si="7"/>
        <v>GSW,2014-15</v>
      </c>
    </row>
    <row r="847">
      <c r="A847" s="161" t="str">
        <f>IFERROR(__xludf.DUMMYFUNCTION("""COMPUTED_VALUE"""),"greenja01")</f>
        <v>greenja01</v>
      </c>
      <c r="B847" s="161" t="str">
        <f>IFERROR(__xludf.DUMMYFUNCTION("""COMPUTED_VALUE"""),"JaMychal Green")</f>
        <v>JaMychal Green</v>
      </c>
      <c r="C847" s="162" t="str">
        <f>IFERROR(__xludf.DUMMYFUNCTION("""COMPUTED_VALUE"""),"2014-15")</f>
        <v>2014-15</v>
      </c>
      <c r="D847" s="163" t="str">
        <f>IFERROR(__xludf.DUMMYFUNCTION("""COMPUTED_VALUE"""),"TOT")</f>
        <v>TOT</v>
      </c>
      <c r="E847" s="164" t="str">
        <f>IFERROR(__xludf.DUMMYFUNCTION("""COMPUTED_VALUE"""),"Post Scorer")</f>
        <v>Post Scorer</v>
      </c>
      <c r="F847" s="164">
        <f>IFERROR(__xludf.DUMMYFUNCTION("""COMPUTED_VALUE"""),163.93)</f>
        <v>163.93</v>
      </c>
      <c r="G847" s="163">
        <f>IFERROR(__xludf.DUMMYFUNCTION("""COMPUTED_VALUE"""),24.0)</f>
        <v>24</v>
      </c>
      <c r="H847" s="163" t="str">
        <f>IFERROR(__xludf.DUMMYFUNCTION("""COMPUTED_VALUE"""),"PF")</f>
        <v>PF</v>
      </c>
      <c r="I847" s="163">
        <f>IFERROR(__xludf.DUMMYFUNCTION("""COMPUTED_VALUE"""),24.0)</f>
        <v>24</v>
      </c>
      <c r="J847" s="165">
        <f>IFERROR(__xludf.DUMMYFUNCTION("""COMPUTED_VALUE"""),-0.893569713667898)</f>
        <v>-0.8935697137</v>
      </c>
      <c r="K847" s="165">
        <f>IFERROR(__xludf.DUMMYFUNCTION("""COMPUTED_VALUE"""),-0.320718720173288)</f>
        <v>-0.3207187202</v>
      </c>
      <c r="L847" s="165">
        <f>IFERROR(__xludf.DUMMYFUNCTION("""COMPUTED_VALUE"""),-0.572850993494611)</f>
        <v>-0.5728509935</v>
      </c>
      <c r="M847" s="166">
        <f t="shared" si="2"/>
        <v>0.1540775463</v>
      </c>
      <c r="N847" s="167">
        <f t="shared" si="3"/>
        <v>6.830416667</v>
      </c>
      <c r="O847" s="163">
        <f t="shared" ref="O847:Q847" si="851">rank(I847,I:I)</f>
        <v>2361</v>
      </c>
      <c r="P847" s="163">
        <f t="shared" si="851"/>
        <v>2384</v>
      </c>
      <c r="Q847" s="163">
        <f t="shared" si="851"/>
        <v>1796</v>
      </c>
      <c r="R847" s="163">
        <f>IFERROR(__xludf.DUMMYFUNCTION("RANK(M847,filter(M:M,C:C=C847))"),349.0)</f>
        <v>349</v>
      </c>
      <c r="S847" s="161" t="b">
        <f t="shared" si="5"/>
        <v>0</v>
      </c>
      <c r="T847" s="161" t="b">
        <f t="array" ref="T847">index('Query Tool'!B:B,match(H847,'Query Tool'!C:C,0))</f>
        <v>1</v>
      </c>
      <c r="U847" s="161" t="b">
        <f t="array" ref="U847">index('Query Tool'!B:B,match(C847,'Query Tool'!C:C,0))</f>
        <v>0</v>
      </c>
      <c r="V847" s="161" t="b">
        <f>F847&gt;='Query Tool'!C$32</f>
        <v>0</v>
      </c>
      <c r="W847" s="161" t="b">
        <f t="array" ref="W847">index(Dropdowns!B:B,match(I847,Dropdowns!A:A,0))</f>
        <v>1</v>
      </c>
      <c r="X847" s="161" t="b">
        <f t="array" ref="X847">index('Query Tool'!B:B,match(D847,'Query Tool'!C:C,0))</f>
        <v>1</v>
      </c>
      <c r="Y847" s="161" t="str">
        <f t="shared" si="6"/>
        <v>greenja01,2014-15</v>
      </c>
      <c r="Z847" s="168">
        <f t="array" ref="Z847">iferror(index(I:I,match($A847&amp;","&amp;index('Year Conversion'!$A:$A,match($C847,'Year Conversion'!$B:$B,0)),$Y:$Y,0))-I847,"")</f>
        <v>1</v>
      </c>
      <c r="AA847" s="168">
        <f t="array" ref="AA847">iferror(index(J:J,match($A847&amp;","&amp;index('Year Conversion'!$A:$A,match($C847,'Year Conversion'!$B:$B,0)),$Y:$Y,0))-J847,"")</f>
        <v>0.6665980352</v>
      </c>
      <c r="AB847" s="168">
        <f t="array" ref="AB847">iferror(index(K:K,match($A847&amp;","&amp;index('Year Conversion'!$A:$A,match($C847,'Year Conversion'!$B:$B,0)),$Y:$Y,0))-K847,"")</f>
        <v>-0.3164231502</v>
      </c>
      <c r="AC847" s="168" t="str">
        <f t="shared" si="7"/>
        <v>TOT,2014-15</v>
      </c>
    </row>
    <row r="848">
      <c r="A848" s="161" t="str">
        <f>IFERROR(__xludf.DUMMYFUNCTION("""COMPUTED_VALUE"""),"gutiejo01")</f>
        <v>gutiejo01</v>
      </c>
      <c r="B848" s="161" t="str">
        <f>IFERROR(__xludf.DUMMYFUNCTION("""COMPUTED_VALUE"""),"Jorge Gutierrez")</f>
        <v>Jorge Gutierrez</v>
      </c>
      <c r="C848" s="162" t="str">
        <f>IFERROR(__xludf.DUMMYFUNCTION("""COMPUTED_VALUE"""),"2014-15")</f>
        <v>2014-15</v>
      </c>
      <c r="D848" s="163" t="str">
        <f>IFERROR(__xludf.DUMMYFUNCTION("""COMPUTED_VALUE"""),"TOT")</f>
        <v>TOT</v>
      </c>
      <c r="E848" s="164" t="str">
        <f>IFERROR(__xludf.DUMMYFUNCTION("""COMPUTED_VALUE"""),"Athletic Finisher")</f>
        <v>Athletic Finisher</v>
      </c>
      <c r="F848" s="164">
        <f>IFERROR(__xludf.DUMMYFUNCTION("""COMPUTED_VALUE"""),174.405)</f>
        <v>174.405</v>
      </c>
      <c r="G848" s="163">
        <f>IFERROR(__xludf.DUMMYFUNCTION("""COMPUTED_VALUE"""),20.0)</f>
        <v>20</v>
      </c>
      <c r="H848" s="163" t="str">
        <f>IFERROR(__xludf.DUMMYFUNCTION("""COMPUTED_VALUE"""),"PG")</f>
        <v>PG</v>
      </c>
      <c r="I848" s="163">
        <f>IFERROR(__xludf.DUMMYFUNCTION("""COMPUTED_VALUE"""),26.0)</f>
        <v>26</v>
      </c>
      <c r="J848" s="165">
        <f>IFERROR(__xludf.DUMMYFUNCTION("""COMPUTED_VALUE"""),-0.89852871513154)</f>
        <v>-0.8985287151</v>
      </c>
      <c r="K848" s="165">
        <f>IFERROR(__xludf.DUMMYFUNCTION("""COMPUTED_VALUE"""),-0.703299495195983)</f>
        <v>-0.7032994952</v>
      </c>
      <c r="L848" s="165">
        <f>IFERROR(__xludf.DUMMYFUNCTION("""COMPUTED_VALUE"""),-0.195229219935557)</f>
        <v>-0.1952292199</v>
      </c>
      <c r="M848" s="166">
        <f t="shared" si="2"/>
        <v>0.1633418392</v>
      </c>
      <c r="N848" s="167">
        <f t="shared" si="3"/>
        <v>8.72025</v>
      </c>
      <c r="O848" s="163">
        <f t="shared" ref="O848:Q848" si="852">rank(I848,I:I)</f>
        <v>1665</v>
      </c>
      <c r="P848" s="163">
        <f t="shared" si="852"/>
        <v>2390</v>
      </c>
      <c r="Q848" s="163">
        <f t="shared" si="852"/>
        <v>2422</v>
      </c>
      <c r="R848" s="163">
        <f>IFERROR(__xludf.DUMMYFUNCTION("RANK(M848,filter(M:M,C:C=C848))"),345.0)</f>
        <v>345</v>
      </c>
      <c r="S848" s="161" t="b">
        <f t="shared" si="5"/>
        <v>0</v>
      </c>
      <c r="T848" s="161" t="b">
        <f t="array" ref="T848">index('Query Tool'!B:B,match(H848,'Query Tool'!C:C,0))</f>
        <v>1</v>
      </c>
      <c r="U848" s="161" t="b">
        <f t="array" ref="U848">index('Query Tool'!B:B,match(C848,'Query Tool'!C:C,0))</f>
        <v>0</v>
      </c>
      <c r="V848" s="161" t="b">
        <f>F848&gt;='Query Tool'!C$32</f>
        <v>0</v>
      </c>
      <c r="W848" s="161" t="b">
        <f t="array" ref="W848">index(Dropdowns!B:B,match(I848,Dropdowns!A:A,0))</f>
        <v>1</v>
      </c>
      <c r="X848" s="161" t="b">
        <f t="array" ref="X848">index('Query Tool'!B:B,match(D848,'Query Tool'!C:C,0))</f>
        <v>1</v>
      </c>
      <c r="Y848" s="161" t="str">
        <f t="shared" si="6"/>
        <v>gutiejo01,2014-15</v>
      </c>
      <c r="Z848" s="168">
        <f t="array" ref="Z848">iferror(index(I:I,match($A848&amp;","&amp;index('Year Conversion'!$A:$A,match($C848,'Year Conversion'!$B:$B,0)),$Y:$Y,0))-I848,"")</f>
        <v>1</v>
      </c>
      <c r="AA848" s="168">
        <f t="array" ref="AA848">iferror(index(J:J,match($A848&amp;","&amp;index('Year Conversion'!$A:$A,match($C848,'Year Conversion'!$B:$B,0)),$Y:$Y,0))-J848,"")</f>
        <v>0.3033783191</v>
      </c>
      <c r="AB848" s="168">
        <f t="array" ref="AB848">iferror(index(K:K,match($A848&amp;","&amp;index('Year Conversion'!$A:$A,match($C848,'Year Conversion'!$B:$B,0)),$Y:$Y,0))-K848,"")</f>
        <v>0.4973574932</v>
      </c>
      <c r="AC848" s="168" t="str">
        <f t="shared" si="7"/>
        <v>TOT,2014-15</v>
      </c>
    </row>
    <row r="849">
      <c r="A849" s="161" t="str">
        <f>IFERROR(__xludf.DUMMYFUNCTION("""COMPUTED_VALUE"""),"murryto01")</f>
        <v>murryto01</v>
      </c>
      <c r="B849" s="161" t="str">
        <f>IFERROR(__xludf.DUMMYFUNCTION("""COMPUTED_VALUE"""),"Toure' Murry")</f>
        <v>Toure' Murry</v>
      </c>
      <c r="C849" s="162" t="str">
        <f>IFERROR(__xludf.DUMMYFUNCTION("""COMPUTED_VALUE"""),"2014-15")</f>
        <v>2014-15</v>
      </c>
      <c r="D849" s="163" t="str">
        <f>IFERROR(__xludf.DUMMYFUNCTION("""COMPUTED_VALUE"""),"TOT")</f>
        <v>TOT</v>
      </c>
      <c r="E849" s="164" t="str">
        <f>IFERROR(__xludf.DUMMYFUNCTION("""COMPUTED_VALUE"""),"Secondary Ball Handler")</f>
        <v>Secondary Ball Handler</v>
      </c>
      <c r="F849" s="164">
        <f>IFERROR(__xludf.DUMMYFUNCTION("""COMPUTED_VALUE"""),18.125)</f>
        <v>18.125</v>
      </c>
      <c r="G849" s="163">
        <f>IFERROR(__xludf.DUMMYFUNCTION("""COMPUTED_VALUE"""),5.0)</f>
        <v>5</v>
      </c>
      <c r="H849" s="163" t="str">
        <f>IFERROR(__xludf.DUMMYFUNCTION("""COMPUTED_VALUE"""),"SG-PG")</f>
        <v>SG-PG</v>
      </c>
      <c r="I849" s="163">
        <f>IFERROR(__xludf.DUMMYFUNCTION("""COMPUTED_VALUE"""),25.0)</f>
        <v>25</v>
      </c>
      <c r="J849" s="165">
        <f>IFERROR(__xludf.DUMMYFUNCTION("""COMPUTED_VALUE"""),-0.193554909005699)</f>
        <v>-0.193554909</v>
      </c>
      <c r="K849" s="165">
        <f>IFERROR(__xludf.DUMMYFUNCTION("""COMPUTED_VALUE"""),-0.152770947575836)</f>
        <v>-0.1527709476</v>
      </c>
      <c r="L849" s="165">
        <f>IFERROR(__xludf.DUMMYFUNCTION("""COMPUTED_VALUE"""),-0.0407839614298629)</f>
        <v>-0.04078396143</v>
      </c>
      <c r="M849" s="166">
        <f t="shared" si="2"/>
        <v>0.02557765036</v>
      </c>
      <c r="N849" s="167">
        <f t="shared" si="3"/>
        <v>3.625</v>
      </c>
      <c r="O849" s="163">
        <f t="shared" ref="O849:Q849" si="853">rank(I849,I:I)</f>
        <v>1995</v>
      </c>
      <c r="P849" s="163">
        <f t="shared" si="853"/>
        <v>1503</v>
      </c>
      <c r="Q849" s="163">
        <f t="shared" si="853"/>
        <v>1483</v>
      </c>
      <c r="R849" s="163">
        <f>IFERROR(__xludf.DUMMYFUNCTION("RANK(M849,filter(M:M,C:C=C849))"),422.0)</f>
        <v>422</v>
      </c>
      <c r="S849" s="161" t="b">
        <f t="shared" si="5"/>
        <v>0</v>
      </c>
      <c r="T849" s="161" t="str">
        <f t="array" ref="T849">index('Query Tool'!B:B,match(H849,'Query Tool'!C:C,0))</f>
        <v>#N/A</v>
      </c>
      <c r="U849" s="161" t="b">
        <f t="array" ref="U849">index('Query Tool'!B:B,match(C849,'Query Tool'!C:C,0))</f>
        <v>0</v>
      </c>
      <c r="V849" s="161" t="b">
        <f>F849&gt;='Query Tool'!C$32</f>
        <v>0</v>
      </c>
      <c r="W849" s="161" t="b">
        <f t="array" ref="W849">index(Dropdowns!B:B,match(I849,Dropdowns!A:A,0))</f>
        <v>1</v>
      </c>
      <c r="X849" s="161" t="b">
        <f t="array" ref="X849">index('Query Tool'!B:B,match(D849,'Query Tool'!C:C,0))</f>
        <v>1</v>
      </c>
      <c r="Y849" s="161" t="str">
        <f t="shared" si="6"/>
        <v>murryto01,2014-15</v>
      </c>
      <c r="Z849" s="168" t="str">
        <f t="array" ref="Z849">iferror(index(I:I,match($A849&amp;","&amp;index('Year Conversion'!$A:$A,match($C849,'Year Conversion'!$B:$B,0)),$Y:$Y,0))-I849,"")</f>
        <v/>
      </c>
      <c r="AA849" s="168" t="str">
        <f t="array" ref="AA849">iferror(index(J:J,match($A849&amp;","&amp;index('Year Conversion'!$A:$A,match($C849,'Year Conversion'!$B:$B,0)),$Y:$Y,0))-J849,"")</f>
        <v/>
      </c>
      <c r="AB849" s="168" t="str">
        <f t="array" ref="AB849">iferror(index(K:K,match($A849&amp;","&amp;index('Year Conversion'!$A:$A,match($C849,'Year Conversion'!$B:$B,0)),$Y:$Y,0))-K849,"")</f>
        <v/>
      </c>
      <c r="AC849" s="168" t="str">
        <f t="shared" si="7"/>
        <v>TOT,2014-15</v>
      </c>
    </row>
    <row r="850">
      <c r="A850" s="161" t="str">
        <f>IFERROR(__xludf.DUMMYFUNCTION("""COMPUTED_VALUE"""),"ricegl02")</f>
        <v>ricegl02</v>
      </c>
      <c r="B850" s="161" t="str">
        <f>IFERROR(__xludf.DUMMYFUNCTION("""COMPUTED_VALUE"""),"Glen Rice")</f>
        <v>Glen Rice</v>
      </c>
      <c r="C850" s="162" t="str">
        <f>IFERROR(__xludf.DUMMYFUNCTION("""COMPUTED_VALUE"""),"2014-15")</f>
        <v>2014-15</v>
      </c>
      <c r="D850" s="163" t="str">
        <f>IFERROR(__xludf.DUMMYFUNCTION("""COMPUTED_VALUE"""),"WAS")</f>
        <v>WAS</v>
      </c>
      <c r="E850" s="164" t="str">
        <f>IFERROR(__xludf.DUMMYFUNCTION("""COMPUTED_VALUE"""),"Stationary Shooter")</f>
        <v>Stationary Shooter</v>
      </c>
      <c r="F850" s="164">
        <f>IFERROR(__xludf.DUMMYFUNCTION("""COMPUTED_VALUE"""),42.6033333333333)</f>
        <v>42.60333333</v>
      </c>
      <c r="G850" s="163">
        <f>IFERROR(__xludf.DUMMYFUNCTION("""COMPUTED_VALUE"""),5.0)</f>
        <v>5</v>
      </c>
      <c r="H850" s="163" t="str">
        <f>IFERROR(__xludf.DUMMYFUNCTION("""COMPUTED_VALUE"""),"SG")</f>
        <v>SG</v>
      </c>
      <c r="I850" s="163">
        <f>IFERROR(__xludf.DUMMYFUNCTION("""COMPUTED_VALUE"""),24.0)</f>
        <v>24</v>
      </c>
      <c r="J850" s="165">
        <f>IFERROR(__xludf.DUMMYFUNCTION("""COMPUTED_VALUE"""),-0.417807862270358)</f>
        <v>-0.4178078623</v>
      </c>
      <c r="K850" s="165">
        <f>IFERROR(__xludf.DUMMYFUNCTION("""COMPUTED_VALUE"""),-0.179671488987082)</f>
        <v>-0.179671489</v>
      </c>
      <c r="L850" s="165">
        <f>IFERROR(__xludf.DUMMYFUNCTION("""COMPUTED_VALUE"""),-0.238136373283276)</f>
        <v>-0.2381363733</v>
      </c>
      <c r="M850" s="166">
        <f t="shared" si="2"/>
        <v>0.05368246434</v>
      </c>
      <c r="N850" s="167">
        <f t="shared" si="3"/>
        <v>8.520666667</v>
      </c>
      <c r="O850" s="163">
        <f t="shared" ref="O850:Q850" si="854">rank(I850,I:I)</f>
        <v>2361</v>
      </c>
      <c r="P850" s="163">
        <f t="shared" si="854"/>
        <v>1749</v>
      </c>
      <c r="Q850" s="163">
        <f t="shared" si="854"/>
        <v>1533</v>
      </c>
      <c r="R850" s="163">
        <f>IFERROR(__xludf.DUMMYFUNCTION("RANK(M850,filter(M:M,C:C=C850))"),408.0)</f>
        <v>408</v>
      </c>
      <c r="S850" s="161" t="b">
        <f t="shared" si="5"/>
        <v>0</v>
      </c>
      <c r="T850" s="161" t="b">
        <f t="array" ref="T850">index('Query Tool'!B:B,match(H850,'Query Tool'!C:C,0))</f>
        <v>1</v>
      </c>
      <c r="U850" s="161" t="b">
        <f t="array" ref="U850">index('Query Tool'!B:B,match(C850,'Query Tool'!C:C,0))</f>
        <v>0</v>
      </c>
      <c r="V850" s="161" t="b">
        <f>F850&gt;='Query Tool'!C$32</f>
        <v>0</v>
      </c>
      <c r="W850" s="161" t="b">
        <f t="array" ref="W850">index(Dropdowns!B:B,match(I850,Dropdowns!A:A,0))</f>
        <v>1</v>
      </c>
      <c r="X850" s="161" t="b">
        <f t="array" ref="X850">index('Query Tool'!B:B,match(D850,'Query Tool'!C:C,0))</f>
        <v>1</v>
      </c>
      <c r="Y850" s="161" t="str">
        <f t="shared" si="6"/>
        <v>ricegl02,2014-15</v>
      </c>
      <c r="Z850" s="168" t="str">
        <f t="array" ref="Z850">iferror(index(I:I,match($A850&amp;","&amp;index('Year Conversion'!$A:$A,match($C850,'Year Conversion'!$B:$B,0)),$Y:$Y,0))-I850,"")</f>
        <v/>
      </c>
      <c r="AA850" s="168" t="str">
        <f t="array" ref="AA850">iferror(index(J:J,match($A850&amp;","&amp;index('Year Conversion'!$A:$A,match($C850,'Year Conversion'!$B:$B,0)),$Y:$Y,0))-J850,"")</f>
        <v/>
      </c>
      <c r="AB850" s="168" t="str">
        <f t="array" ref="AB850">iferror(index(K:K,match($A850&amp;","&amp;index('Year Conversion'!$A:$A,match($C850,'Year Conversion'!$B:$B,0)),$Y:$Y,0))-K850,"")</f>
        <v/>
      </c>
      <c r="AC850" s="168" t="str">
        <f t="shared" si="7"/>
        <v>WAS,2014-15</v>
      </c>
    </row>
    <row r="851">
      <c r="A851" s="161" t="str">
        <f>IFERROR(__xludf.DUMMYFUNCTION("""COMPUTED_VALUE"""),"baynear01")</f>
        <v>baynear01</v>
      </c>
      <c r="B851" s="161" t="str">
        <f>IFERROR(__xludf.DUMMYFUNCTION("""COMPUTED_VALUE"""),"Aron Baynes")</f>
        <v>Aron Baynes</v>
      </c>
      <c r="C851" s="162" t="str">
        <f>IFERROR(__xludf.DUMMYFUNCTION("""COMPUTED_VALUE"""),"2014-15")</f>
        <v>2014-15</v>
      </c>
      <c r="D851" s="163" t="str">
        <f>IFERROR(__xludf.DUMMYFUNCTION("""COMPUTED_VALUE"""),"SAS")</f>
        <v>SAS</v>
      </c>
      <c r="E851" s="164" t="str">
        <f>IFERROR(__xludf.DUMMYFUNCTION("""COMPUTED_VALUE"""),"Roll + Cut Big")</f>
        <v>Roll + Cut Big</v>
      </c>
      <c r="F851" s="164">
        <f>IFERROR(__xludf.DUMMYFUNCTION("""COMPUTED_VALUE"""),1122.34)</f>
        <v>1122.34</v>
      </c>
      <c r="G851" s="163">
        <f>IFERROR(__xludf.DUMMYFUNCTION("""COMPUTED_VALUE"""),70.0)</f>
        <v>70</v>
      </c>
      <c r="H851" s="163" t="str">
        <f>IFERROR(__xludf.DUMMYFUNCTION("""COMPUTED_VALUE"""),"C")</f>
        <v>C</v>
      </c>
      <c r="I851" s="163">
        <f>IFERROR(__xludf.DUMMYFUNCTION("""COMPUTED_VALUE"""),28.0)</f>
        <v>28</v>
      </c>
      <c r="J851" s="165">
        <f>IFERROR(__xludf.DUMMYFUNCTION("""COMPUTED_VALUE"""),0.0670900945662388)</f>
        <v>0.06709009457</v>
      </c>
      <c r="K851" s="165">
        <f>IFERROR(__xludf.DUMMYFUNCTION("""COMPUTED_VALUE"""),-0.619143116840617)</f>
        <v>-0.6191431168</v>
      </c>
      <c r="L851" s="165">
        <f>IFERROR(__xludf.DUMMYFUNCTION("""COMPUTED_VALUE"""),0.686233211406856)</f>
        <v>0.6862332114</v>
      </c>
      <c r="M851" s="166">
        <f t="shared" si="2"/>
        <v>1.781038924</v>
      </c>
      <c r="N851" s="167">
        <f t="shared" si="3"/>
        <v>16.03342857</v>
      </c>
      <c r="O851" s="163">
        <f t="shared" ref="O851:Q851" si="855">rank(I851,I:I)</f>
        <v>1090</v>
      </c>
      <c r="P851" s="163">
        <f t="shared" si="855"/>
        <v>1229</v>
      </c>
      <c r="Q851" s="163">
        <f t="shared" si="855"/>
        <v>2291</v>
      </c>
      <c r="R851" s="163">
        <f>IFERROR(__xludf.DUMMYFUNCTION("RANK(M851,filter(M:M,C:C=C851))"),180.0)</f>
        <v>180</v>
      </c>
      <c r="S851" s="161" t="b">
        <f t="shared" si="5"/>
        <v>0</v>
      </c>
      <c r="T851" s="161" t="b">
        <f t="array" ref="T851">index('Query Tool'!B:B,match(H851,'Query Tool'!C:C,0))</f>
        <v>1</v>
      </c>
      <c r="U851" s="161" t="b">
        <f t="array" ref="U851">index('Query Tool'!B:B,match(C851,'Query Tool'!C:C,0))</f>
        <v>0</v>
      </c>
      <c r="V851" s="161" t="b">
        <f>F851&gt;='Query Tool'!C$32</f>
        <v>1</v>
      </c>
      <c r="W851" s="161" t="b">
        <f t="array" ref="W851">index(Dropdowns!B:B,match(I851,Dropdowns!A:A,0))</f>
        <v>1</v>
      </c>
      <c r="X851" s="161" t="b">
        <f t="array" ref="X851">index('Query Tool'!B:B,match(D851,'Query Tool'!C:C,0))</f>
        <v>1</v>
      </c>
      <c r="Y851" s="161" t="str">
        <f t="shared" si="6"/>
        <v>baynear01,2014-15</v>
      </c>
      <c r="Z851" s="168">
        <f t="array" ref="Z851">iferror(index(I:I,match($A851&amp;","&amp;index('Year Conversion'!$A:$A,match($C851,'Year Conversion'!$B:$B,0)),$Y:$Y,0))-I851,"")</f>
        <v>1</v>
      </c>
      <c r="AA851" s="168">
        <f t="array" ref="AA851">iferror(index(J:J,match($A851&amp;","&amp;index('Year Conversion'!$A:$A,match($C851,'Year Conversion'!$B:$B,0)),$Y:$Y,0))-J851,"")</f>
        <v>-0.3493291319</v>
      </c>
      <c r="AB851" s="168">
        <f t="array" ref="AB851">iferror(index(K:K,match($A851&amp;","&amp;index('Year Conversion'!$A:$A,match($C851,'Year Conversion'!$B:$B,0)),$Y:$Y,0))-K851,"")</f>
        <v>-0.4981391865</v>
      </c>
      <c r="AC851" s="168" t="str">
        <f t="shared" si="7"/>
        <v>SAS,2014-15</v>
      </c>
    </row>
    <row r="852">
      <c r="A852" s="161" t="str">
        <f>IFERROR(__xludf.DUMMYFUNCTION("""COMPUTED_VALUE"""),"noelne01")</f>
        <v>noelne01</v>
      </c>
      <c r="B852" s="161" t="str">
        <f>IFERROR(__xludf.DUMMYFUNCTION("""COMPUTED_VALUE"""),"Nerlens Noel")</f>
        <v>Nerlens Noel</v>
      </c>
      <c r="C852" s="162" t="str">
        <f>IFERROR(__xludf.DUMMYFUNCTION("""COMPUTED_VALUE"""),"2014-15")</f>
        <v>2014-15</v>
      </c>
      <c r="D852" s="163" t="str">
        <f>IFERROR(__xludf.DUMMYFUNCTION("""COMPUTED_VALUE"""),"PHI")</f>
        <v>PHI</v>
      </c>
      <c r="E852" s="164" t="str">
        <f>IFERROR(__xludf.DUMMYFUNCTION("""COMPUTED_VALUE"""),"Post Scorer")</f>
        <v>Post Scorer</v>
      </c>
      <c r="F852" s="164">
        <f>IFERROR(__xludf.DUMMYFUNCTION("""COMPUTED_VALUE"""),2311.23666666667)</f>
        <v>2311.236667</v>
      </c>
      <c r="G852" s="163">
        <f>IFERROR(__xludf.DUMMYFUNCTION("""COMPUTED_VALUE"""),75.0)</f>
        <v>75</v>
      </c>
      <c r="H852" s="163" t="str">
        <f>IFERROR(__xludf.DUMMYFUNCTION("""COMPUTED_VALUE"""),"C")</f>
        <v>C</v>
      </c>
      <c r="I852" s="163">
        <f>IFERROR(__xludf.DUMMYFUNCTION("""COMPUTED_VALUE"""),20.0)</f>
        <v>20</v>
      </c>
      <c r="J852" s="165">
        <f>IFERROR(__xludf.DUMMYFUNCTION("""COMPUTED_VALUE"""),-0.837439713703815)</f>
        <v>-0.8374397137</v>
      </c>
      <c r="K852" s="165">
        <f>IFERROR(__xludf.DUMMYFUNCTION("""COMPUTED_VALUE"""),-3.86340443267659)</f>
        <v>-3.863404433</v>
      </c>
      <c r="L852" s="165">
        <f>IFERROR(__xludf.DUMMYFUNCTION("""COMPUTED_VALUE"""),3.02596471897278)</f>
        <v>3.025964719</v>
      </c>
      <c r="M852" s="166">
        <f t="shared" si="2"/>
        <v>2.259517543</v>
      </c>
      <c r="N852" s="167">
        <f t="shared" si="3"/>
        <v>30.81648889</v>
      </c>
      <c r="O852" s="163">
        <f t="shared" ref="O852:Q852" si="856">rank(I852,I:I)</f>
        <v>3770</v>
      </c>
      <c r="P852" s="163">
        <f t="shared" si="856"/>
        <v>2332</v>
      </c>
      <c r="Q852" s="163">
        <f t="shared" si="856"/>
        <v>4013</v>
      </c>
      <c r="R852" s="163">
        <f>IFERROR(__xludf.DUMMYFUNCTION("RANK(M852,filter(M:M,C:C=C852))"),155.0)</f>
        <v>155</v>
      </c>
      <c r="S852" s="161" t="b">
        <f t="shared" si="5"/>
        <v>0</v>
      </c>
      <c r="T852" s="161" t="b">
        <f t="array" ref="T852">index('Query Tool'!B:B,match(H852,'Query Tool'!C:C,0))</f>
        <v>1</v>
      </c>
      <c r="U852" s="161" t="b">
        <f t="array" ref="U852">index('Query Tool'!B:B,match(C852,'Query Tool'!C:C,0))</f>
        <v>0</v>
      </c>
      <c r="V852" s="161" t="b">
        <f>F852&gt;='Query Tool'!C$32</f>
        <v>1</v>
      </c>
      <c r="W852" s="161" t="b">
        <f t="array" ref="W852">index(Dropdowns!B:B,match(I852,Dropdowns!A:A,0))</f>
        <v>1</v>
      </c>
      <c r="X852" s="161" t="b">
        <f t="array" ref="X852">index('Query Tool'!B:B,match(D852,'Query Tool'!C:C,0))</f>
        <v>1</v>
      </c>
      <c r="Y852" s="161" t="str">
        <f t="shared" si="6"/>
        <v>noelne01,2014-15</v>
      </c>
      <c r="Z852" s="168">
        <f t="array" ref="Z852">iferror(index(I:I,match($A852&amp;","&amp;index('Year Conversion'!$A:$A,match($C852,'Year Conversion'!$B:$B,0)),$Y:$Y,0))-I852,"")</f>
        <v>1</v>
      </c>
      <c r="AA852" s="168">
        <f t="array" ref="AA852">iferror(index(J:J,match($A852&amp;","&amp;index('Year Conversion'!$A:$A,match($C852,'Year Conversion'!$B:$B,0)),$Y:$Y,0))-J852,"")</f>
        <v>0.2815694909</v>
      </c>
      <c r="AB852" s="168">
        <f t="array" ref="AB852">iferror(index(K:K,match($A852&amp;","&amp;index('Year Conversion'!$A:$A,match($C852,'Year Conversion'!$B:$B,0)),$Y:$Y,0))-K852,"")</f>
        <v>1.446944762</v>
      </c>
      <c r="AC852" s="168" t="str">
        <f t="shared" si="7"/>
        <v>PHI,2014-15</v>
      </c>
    </row>
    <row r="853">
      <c r="A853" s="161" t="str">
        <f>IFERROR(__xludf.DUMMYFUNCTION("""COMPUTED_VALUE"""),"lenal01")</f>
        <v>lenal01</v>
      </c>
      <c r="B853" s="161" t="str">
        <f>IFERROR(__xludf.DUMMYFUNCTION("""COMPUTED_VALUE"""),"Alex Len")</f>
        <v>Alex Len</v>
      </c>
      <c r="C853" s="162" t="str">
        <f>IFERROR(__xludf.DUMMYFUNCTION("""COMPUTED_VALUE"""),"2014-15")</f>
        <v>2014-15</v>
      </c>
      <c r="D853" s="163" t="str">
        <f>IFERROR(__xludf.DUMMYFUNCTION("""COMPUTED_VALUE"""),"PHO")</f>
        <v>PHO</v>
      </c>
      <c r="E853" s="164" t="str">
        <f>IFERROR(__xludf.DUMMYFUNCTION("""COMPUTED_VALUE"""),"Roll + Cut Big")</f>
        <v>Roll + Cut Big</v>
      </c>
      <c r="F853" s="164">
        <f>IFERROR(__xludf.DUMMYFUNCTION("""COMPUTED_VALUE"""),1518.0)</f>
        <v>1518</v>
      </c>
      <c r="G853" s="163">
        <f>IFERROR(__xludf.DUMMYFUNCTION("""COMPUTED_VALUE"""),69.0)</f>
        <v>69</v>
      </c>
      <c r="H853" s="163" t="str">
        <f>IFERROR(__xludf.DUMMYFUNCTION("""COMPUTED_VALUE"""),"C")</f>
        <v>C</v>
      </c>
      <c r="I853" s="163">
        <f>IFERROR(__xludf.DUMMYFUNCTION("""COMPUTED_VALUE"""),21.0)</f>
        <v>21</v>
      </c>
      <c r="J853" s="165">
        <f>IFERROR(__xludf.DUMMYFUNCTION("""COMPUTED_VALUE"""),-0.318082691988892)</f>
        <v>-0.318082692</v>
      </c>
      <c r="K853" s="165">
        <f>IFERROR(__xludf.DUMMYFUNCTION("""COMPUTED_VALUE"""),-2.37843521328509)</f>
        <v>-2.378435213</v>
      </c>
      <c r="L853" s="165">
        <f>IFERROR(__xludf.DUMMYFUNCTION("""COMPUTED_VALUE"""),2.0603525212962)</f>
        <v>2.060352521</v>
      </c>
      <c r="M853" s="166">
        <f t="shared" si="2"/>
        <v>2.014763514</v>
      </c>
      <c r="N853" s="167">
        <f t="shared" si="3"/>
        <v>22</v>
      </c>
      <c r="O853" s="163">
        <f t="shared" ref="O853:Q853" si="857">rank(I853,I:I)</f>
        <v>3528</v>
      </c>
      <c r="P853" s="163">
        <f t="shared" si="857"/>
        <v>1636</v>
      </c>
      <c r="Q853" s="163">
        <f t="shared" si="857"/>
        <v>3861</v>
      </c>
      <c r="R853" s="163">
        <f>IFERROR(__xludf.DUMMYFUNCTION("RANK(M853,filter(M:M,C:C=C853))"),167.0)</f>
        <v>167</v>
      </c>
      <c r="S853" s="161" t="b">
        <f t="shared" si="5"/>
        <v>0</v>
      </c>
      <c r="T853" s="161" t="b">
        <f t="array" ref="T853">index('Query Tool'!B:B,match(H853,'Query Tool'!C:C,0))</f>
        <v>1</v>
      </c>
      <c r="U853" s="161" t="b">
        <f t="array" ref="U853">index('Query Tool'!B:B,match(C853,'Query Tool'!C:C,0))</f>
        <v>0</v>
      </c>
      <c r="V853" s="161" t="b">
        <f>F853&gt;='Query Tool'!C$32</f>
        <v>1</v>
      </c>
      <c r="W853" s="161" t="b">
        <f t="array" ref="W853">index(Dropdowns!B:B,match(I853,Dropdowns!A:A,0))</f>
        <v>1</v>
      </c>
      <c r="X853" s="161" t="b">
        <f t="array" ref="X853">index('Query Tool'!B:B,match(D853,'Query Tool'!C:C,0))</f>
        <v>1</v>
      </c>
      <c r="Y853" s="161" t="str">
        <f t="shared" si="6"/>
        <v>lenal01,2014-15</v>
      </c>
      <c r="Z853" s="168">
        <f t="array" ref="Z853">iferror(index(I:I,match($A853&amp;","&amp;index('Year Conversion'!$A:$A,match($C853,'Year Conversion'!$B:$B,0)),$Y:$Y,0))-I853,"")</f>
        <v>1</v>
      </c>
      <c r="AA853" s="168">
        <f t="array" ref="AA853">iferror(index(J:J,match($A853&amp;","&amp;index('Year Conversion'!$A:$A,match($C853,'Year Conversion'!$B:$B,0)),$Y:$Y,0))-J853,"")</f>
        <v>-1.648781514</v>
      </c>
      <c r="AB853" s="168">
        <f t="array" ref="AB853">iferror(index(K:K,match($A853&amp;","&amp;index('Year Conversion'!$A:$A,match($C853,'Year Conversion'!$B:$B,0)),$Y:$Y,0))-K853,"")</f>
        <v>-0.229854193</v>
      </c>
      <c r="AC853" s="168" t="str">
        <f t="shared" si="7"/>
        <v>PHO,2014-15</v>
      </c>
    </row>
    <row r="854">
      <c r="A854" s="161" t="str">
        <f>IFERROR(__xludf.DUMMYFUNCTION("""COMPUTED_VALUE"""),"crabbal01")</f>
        <v>crabbal01</v>
      </c>
      <c r="B854" s="161" t="str">
        <f>IFERROR(__xludf.DUMMYFUNCTION("""COMPUTED_VALUE"""),"Allen Crabbe")</f>
        <v>Allen Crabbe</v>
      </c>
      <c r="C854" s="162" t="str">
        <f>IFERROR(__xludf.DUMMYFUNCTION("""COMPUTED_VALUE"""),"2014-15")</f>
        <v>2014-15</v>
      </c>
      <c r="D854" s="163" t="str">
        <f>IFERROR(__xludf.DUMMYFUNCTION("""COMPUTED_VALUE"""),"POR")</f>
        <v>POR</v>
      </c>
      <c r="E854" s="164" t="str">
        <f>IFERROR(__xludf.DUMMYFUNCTION("""COMPUTED_VALUE"""),"Stationary Shooter")</f>
        <v>Stationary Shooter</v>
      </c>
      <c r="F854" s="164">
        <f>IFERROR(__xludf.DUMMYFUNCTION("""COMPUTED_VALUE"""),682.998333333333)</f>
        <v>682.9983333</v>
      </c>
      <c r="G854" s="163">
        <f>IFERROR(__xludf.DUMMYFUNCTION("""COMPUTED_VALUE"""),51.0)</f>
        <v>51</v>
      </c>
      <c r="H854" s="163" t="str">
        <f>IFERROR(__xludf.DUMMYFUNCTION("""COMPUTED_VALUE"""),"SG")</f>
        <v>SG</v>
      </c>
      <c r="I854" s="163">
        <f>IFERROR(__xludf.DUMMYFUNCTION("""COMPUTED_VALUE"""),22.0)</f>
        <v>22</v>
      </c>
      <c r="J854" s="165">
        <f>IFERROR(__xludf.DUMMYFUNCTION("""COMPUTED_VALUE"""),-2.51477704576865)</f>
        <v>-2.514777046</v>
      </c>
      <c r="K854" s="165">
        <f>IFERROR(__xludf.DUMMYFUNCTION("""COMPUTED_VALUE"""),-1.82124567784988)</f>
        <v>-1.821245678</v>
      </c>
      <c r="L854" s="165">
        <f>IFERROR(__xludf.DUMMYFUNCTION("""COMPUTED_VALUE"""),-0.693531367918774)</f>
        <v>-0.6935313679</v>
      </c>
      <c r="M854" s="166">
        <f t="shared" si="2"/>
        <v>-0.09495756726</v>
      </c>
      <c r="N854" s="167">
        <f t="shared" si="3"/>
        <v>13.39212418</v>
      </c>
      <c r="O854" s="163">
        <f t="shared" ref="O854:Q854" si="858">rank(I854,I:I)</f>
        <v>3178</v>
      </c>
      <c r="P854" s="163">
        <f t="shared" si="858"/>
        <v>3759</v>
      </c>
      <c r="Q854" s="163">
        <f t="shared" si="858"/>
        <v>3586</v>
      </c>
      <c r="R854" s="163">
        <f>IFERROR(__xludf.DUMMYFUNCTION("RANK(M854,filter(M:M,C:C=C854))"),452.0)</f>
        <v>452</v>
      </c>
      <c r="S854" s="161" t="b">
        <f t="shared" si="5"/>
        <v>0</v>
      </c>
      <c r="T854" s="161" t="b">
        <f t="array" ref="T854">index('Query Tool'!B:B,match(H854,'Query Tool'!C:C,0))</f>
        <v>1</v>
      </c>
      <c r="U854" s="161" t="b">
        <f t="array" ref="U854">index('Query Tool'!B:B,match(C854,'Query Tool'!C:C,0))</f>
        <v>0</v>
      </c>
      <c r="V854" s="161" t="b">
        <f>F854&gt;='Query Tool'!C$32</f>
        <v>1</v>
      </c>
      <c r="W854" s="161" t="b">
        <f t="array" ref="W854">index(Dropdowns!B:B,match(I854,Dropdowns!A:A,0))</f>
        <v>1</v>
      </c>
      <c r="X854" s="161" t="b">
        <f t="array" ref="X854">index('Query Tool'!B:B,match(D854,'Query Tool'!C:C,0))</f>
        <v>1</v>
      </c>
      <c r="Y854" s="161" t="str">
        <f t="shared" si="6"/>
        <v>crabbal01,2014-15</v>
      </c>
      <c r="Z854" s="168">
        <f t="array" ref="Z854">iferror(index(I:I,match($A854&amp;","&amp;index('Year Conversion'!$A:$A,match($C854,'Year Conversion'!$B:$B,0)),$Y:$Y,0))-I854,"")</f>
        <v>1</v>
      </c>
      <c r="AA854" s="168">
        <f t="array" ref="AA854">iferror(index(J:J,match($A854&amp;","&amp;index('Year Conversion'!$A:$A,match($C854,'Year Conversion'!$B:$B,0)),$Y:$Y,0))-J854,"")</f>
        <v>1.043217118</v>
      </c>
      <c r="AB854" s="168">
        <f t="array" ref="AB854">iferror(index(K:K,match($A854&amp;","&amp;index('Year Conversion'!$A:$A,match($C854,'Year Conversion'!$B:$B,0)),$Y:$Y,0))-K854,"")</f>
        <v>1.538531317</v>
      </c>
      <c r="AC854" s="168" t="str">
        <f t="shared" si="7"/>
        <v>POR,2014-15</v>
      </c>
    </row>
    <row r="855">
      <c r="A855" s="161" t="str">
        <f>IFERROR(__xludf.DUMMYFUNCTION("""COMPUTED_VALUE"""),"roberan03")</f>
        <v>roberan03</v>
      </c>
      <c r="B855" s="161" t="str">
        <f>IFERROR(__xludf.DUMMYFUNCTION("""COMPUTED_VALUE"""),"Andre Roberson")</f>
        <v>Andre Roberson</v>
      </c>
      <c r="C855" s="162" t="str">
        <f>IFERROR(__xludf.DUMMYFUNCTION("""COMPUTED_VALUE"""),"2014-15")</f>
        <v>2014-15</v>
      </c>
      <c r="D855" s="163" t="str">
        <f>IFERROR(__xludf.DUMMYFUNCTION("""COMPUTED_VALUE"""),"OKC")</f>
        <v>OKC</v>
      </c>
      <c r="E855" s="164" t="str">
        <f>IFERROR(__xludf.DUMMYFUNCTION("""COMPUTED_VALUE"""),"Athletic Finisher")</f>
        <v>Athletic Finisher</v>
      </c>
      <c r="F855" s="164">
        <f>IFERROR(__xludf.DUMMYFUNCTION("""COMPUTED_VALUE"""),1286.11333333333)</f>
        <v>1286.113333</v>
      </c>
      <c r="G855" s="163">
        <f>IFERROR(__xludf.DUMMYFUNCTION("""COMPUTED_VALUE"""),67.0)</f>
        <v>67</v>
      </c>
      <c r="H855" s="163" t="str">
        <f>IFERROR(__xludf.DUMMYFUNCTION("""COMPUTED_VALUE"""),"SG")</f>
        <v>SG</v>
      </c>
      <c r="I855" s="163">
        <f>IFERROR(__xludf.DUMMYFUNCTION("""COMPUTED_VALUE"""),23.0)</f>
        <v>23</v>
      </c>
      <c r="J855" s="165">
        <f>IFERROR(__xludf.DUMMYFUNCTION("""COMPUTED_VALUE"""),1.21187621449667)</f>
        <v>1.211876214</v>
      </c>
      <c r="K855" s="165">
        <f>IFERROR(__xludf.DUMMYFUNCTION("""COMPUTED_VALUE"""),-1.31088552702173)</f>
        <v>-1.310885527</v>
      </c>
      <c r="L855" s="165">
        <f>IFERROR(__xludf.DUMMYFUNCTION("""COMPUTED_VALUE"""),2.5227617415184)</f>
        <v>2.522761742</v>
      </c>
      <c r="M855" s="166">
        <f t="shared" si="2"/>
        <v>3.031418524</v>
      </c>
      <c r="N855" s="167">
        <f t="shared" si="3"/>
        <v>19.19572139</v>
      </c>
      <c r="O855" s="163">
        <f t="shared" ref="O855:Q855" si="859">rank(I855,I:I)</f>
        <v>2765</v>
      </c>
      <c r="P855" s="163">
        <f t="shared" si="859"/>
        <v>569</v>
      </c>
      <c r="Q855" s="163">
        <f t="shared" si="859"/>
        <v>3159</v>
      </c>
      <c r="R855" s="163">
        <f>IFERROR(__xludf.DUMMYFUNCTION("RANK(M855,filter(M:M,C:C=C855))"),115.0)</f>
        <v>115</v>
      </c>
      <c r="S855" s="161" t="b">
        <f t="shared" si="5"/>
        <v>0</v>
      </c>
      <c r="T855" s="161" t="b">
        <f t="array" ref="T855">index('Query Tool'!B:B,match(H855,'Query Tool'!C:C,0))</f>
        <v>1</v>
      </c>
      <c r="U855" s="161" t="b">
        <f t="array" ref="U855">index('Query Tool'!B:B,match(C855,'Query Tool'!C:C,0))</f>
        <v>0</v>
      </c>
      <c r="V855" s="161" t="b">
        <f>F855&gt;='Query Tool'!C$32</f>
        <v>1</v>
      </c>
      <c r="W855" s="161" t="b">
        <f t="array" ref="W855">index(Dropdowns!B:B,match(I855,Dropdowns!A:A,0))</f>
        <v>1</v>
      </c>
      <c r="X855" s="161" t="b">
        <f t="array" ref="X855">index('Query Tool'!B:B,match(D855,'Query Tool'!C:C,0))</f>
        <v>1</v>
      </c>
      <c r="Y855" s="161" t="str">
        <f t="shared" si="6"/>
        <v>roberan03,2014-15</v>
      </c>
      <c r="Z855" s="168">
        <f t="array" ref="Z855">iferror(index(I:I,match($A855&amp;","&amp;index('Year Conversion'!$A:$A,match($C855,'Year Conversion'!$B:$B,0)),$Y:$Y,0))-I855,"")</f>
        <v>1</v>
      </c>
      <c r="AA855" s="168">
        <f t="array" ref="AA855">iferror(index(J:J,match($A855&amp;","&amp;index('Year Conversion'!$A:$A,match($C855,'Year Conversion'!$B:$B,0)),$Y:$Y,0))-J855,"")</f>
        <v>-1.220361458</v>
      </c>
      <c r="AB855" s="168">
        <f t="array" ref="AB855">iferror(index(K:K,match($A855&amp;","&amp;index('Year Conversion'!$A:$A,match($C855,'Year Conversion'!$B:$B,0)),$Y:$Y,0))-K855,"")</f>
        <v>0.5566799188</v>
      </c>
      <c r="AC855" s="168" t="str">
        <f t="shared" si="7"/>
        <v>OKC,2014-15</v>
      </c>
    </row>
    <row r="856">
      <c r="A856" s="161" t="str">
        <f>IFERROR(__xludf.DUMMYFUNCTION("""COMPUTED_VALUE"""),"bennean01")</f>
        <v>bennean01</v>
      </c>
      <c r="B856" s="161" t="str">
        <f>IFERROR(__xludf.DUMMYFUNCTION("""COMPUTED_VALUE"""),"Anthony Bennett")</f>
        <v>Anthony Bennett</v>
      </c>
      <c r="C856" s="162" t="str">
        <f>IFERROR(__xludf.DUMMYFUNCTION("""COMPUTED_VALUE"""),"2014-15")</f>
        <v>2014-15</v>
      </c>
      <c r="D856" s="163" t="str">
        <f>IFERROR(__xludf.DUMMYFUNCTION("""COMPUTED_VALUE"""),"MIN")</f>
        <v>MIN</v>
      </c>
      <c r="E856" s="164" t="str">
        <f>IFERROR(__xludf.DUMMYFUNCTION("""COMPUTED_VALUE"""),"Roll + Cut Big")</f>
        <v>Roll + Cut Big</v>
      </c>
      <c r="F856" s="164">
        <f>IFERROR(__xludf.DUMMYFUNCTION("""COMPUTED_VALUE"""),893.825)</f>
        <v>893.825</v>
      </c>
      <c r="G856" s="163">
        <f>IFERROR(__xludf.DUMMYFUNCTION("""COMPUTED_VALUE"""),57.0)</f>
        <v>57</v>
      </c>
      <c r="H856" s="163" t="str">
        <f>IFERROR(__xludf.DUMMYFUNCTION("""COMPUTED_VALUE"""),"PF")</f>
        <v>PF</v>
      </c>
      <c r="I856" s="163">
        <f>IFERROR(__xludf.DUMMYFUNCTION("""COMPUTED_VALUE"""),21.0)</f>
        <v>21</v>
      </c>
      <c r="J856" s="165">
        <f>IFERROR(__xludf.DUMMYFUNCTION("""COMPUTED_VALUE"""),-3.17694475627396)</f>
        <v>-3.176944756</v>
      </c>
      <c r="K856" s="165">
        <f>IFERROR(__xludf.DUMMYFUNCTION("""COMPUTED_VALUE"""),-2.09430364425652)</f>
        <v>-2.094303644</v>
      </c>
      <c r="L856" s="165">
        <f>IFERROR(__xludf.DUMMYFUNCTION("""COMPUTED_VALUE"""),-1.08264111201744)</f>
        <v>-1.082641112</v>
      </c>
      <c r="M856" s="166">
        <f t="shared" si="2"/>
        <v>-0.5100717432</v>
      </c>
      <c r="N856" s="167">
        <f t="shared" si="3"/>
        <v>15.68114035</v>
      </c>
      <c r="O856" s="163">
        <f t="shared" ref="O856:Q856" si="860">rank(I856,I:I)</f>
        <v>3528</v>
      </c>
      <c r="P856" s="163">
        <f t="shared" si="860"/>
        <v>3923</v>
      </c>
      <c r="Q856" s="163">
        <f t="shared" si="860"/>
        <v>3761</v>
      </c>
      <c r="R856" s="163">
        <f>IFERROR(__xludf.DUMMYFUNCTION("RANK(M856,filter(M:M,C:C=C856))"),481.0)</f>
        <v>481</v>
      </c>
      <c r="S856" s="161" t="b">
        <f t="shared" si="5"/>
        <v>0</v>
      </c>
      <c r="T856" s="161" t="b">
        <f t="array" ref="T856">index('Query Tool'!B:B,match(H856,'Query Tool'!C:C,0))</f>
        <v>1</v>
      </c>
      <c r="U856" s="161" t="b">
        <f t="array" ref="U856">index('Query Tool'!B:B,match(C856,'Query Tool'!C:C,0))</f>
        <v>0</v>
      </c>
      <c r="V856" s="161" t="b">
        <f>F856&gt;='Query Tool'!C$32</f>
        <v>1</v>
      </c>
      <c r="W856" s="161" t="b">
        <f t="array" ref="W856">index(Dropdowns!B:B,match(I856,Dropdowns!A:A,0))</f>
        <v>1</v>
      </c>
      <c r="X856" s="161" t="b">
        <f t="array" ref="X856">index('Query Tool'!B:B,match(D856,'Query Tool'!C:C,0))</f>
        <v>1</v>
      </c>
      <c r="Y856" s="161" t="str">
        <f t="shared" si="6"/>
        <v>bennean01,2014-15</v>
      </c>
      <c r="Z856" s="168">
        <f t="array" ref="Z856">iferror(index(I:I,match($A856&amp;","&amp;index('Year Conversion'!$A:$A,match($C856,'Year Conversion'!$B:$B,0)),$Y:$Y,0))-I856,"")</f>
        <v>1</v>
      </c>
      <c r="AA856" s="168">
        <f t="array" ref="AA856">iferror(index(J:J,match($A856&amp;","&amp;index('Year Conversion'!$A:$A,match($C856,'Year Conversion'!$B:$B,0)),$Y:$Y,0))-J856,"")</f>
        <v>2.20624693</v>
      </c>
      <c r="AB856" s="168">
        <f t="array" ref="AB856">iferror(index(K:K,match($A856&amp;","&amp;index('Year Conversion'!$A:$A,match($C856,'Year Conversion'!$B:$B,0)),$Y:$Y,0))-K856,"")</f>
        <v>1.520909696</v>
      </c>
      <c r="AC856" s="168" t="str">
        <f t="shared" si="7"/>
        <v>MIN,2014-15</v>
      </c>
    </row>
    <row r="857">
      <c r="A857" s="161" t="str">
        <f>IFERROR(__xludf.DUMMYFUNCTION("""COMPUTED_VALUE"""),"goodwar01")</f>
        <v>goodwar01</v>
      </c>
      <c r="B857" s="161" t="str">
        <f>IFERROR(__xludf.DUMMYFUNCTION("""COMPUTED_VALUE"""),"Archie Goodwin")</f>
        <v>Archie Goodwin</v>
      </c>
      <c r="C857" s="162" t="str">
        <f>IFERROR(__xludf.DUMMYFUNCTION("""COMPUTED_VALUE"""),"2014-15")</f>
        <v>2014-15</v>
      </c>
      <c r="D857" s="163" t="str">
        <f>IFERROR(__xludf.DUMMYFUNCTION("""COMPUTED_VALUE"""),"PHO")</f>
        <v>PHO</v>
      </c>
      <c r="E857" s="164" t="str">
        <f>IFERROR(__xludf.DUMMYFUNCTION("""COMPUTED_VALUE"""),"Secondary Ball Handler")</f>
        <v>Secondary Ball Handler</v>
      </c>
      <c r="F857" s="164">
        <f>IFERROR(__xludf.DUMMYFUNCTION("""COMPUTED_VALUE"""),534.831666666667)</f>
        <v>534.8316667</v>
      </c>
      <c r="G857" s="163">
        <f>IFERROR(__xludf.DUMMYFUNCTION("""COMPUTED_VALUE"""),41.0)</f>
        <v>41</v>
      </c>
      <c r="H857" s="163" t="str">
        <f>IFERROR(__xludf.DUMMYFUNCTION("""COMPUTED_VALUE"""),"SG")</f>
        <v>SG</v>
      </c>
      <c r="I857" s="163">
        <f>IFERROR(__xludf.DUMMYFUNCTION("""COMPUTED_VALUE"""),20.0)</f>
        <v>20</v>
      </c>
      <c r="J857" s="165">
        <f>IFERROR(__xludf.DUMMYFUNCTION("""COMPUTED_VALUE"""),-3.07771657720584)</f>
        <v>-3.077716577</v>
      </c>
      <c r="K857" s="165">
        <f>IFERROR(__xludf.DUMMYFUNCTION("""COMPUTED_VALUE"""),-1.481159387283)</f>
        <v>-1.481159387</v>
      </c>
      <c r="L857" s="165">
        <f>IFERROR(__xludf.DUMMYFUNCTION("""COMPUTED_VALUE"""),-1.59655718992284)</f>
        <v>-1.59655719</v>
      </c>
      <c r="M857" s="166">
        <f t="shared" si="2"/>
        <v>-0.2708482894</v>
      </c>
      <c r="N857" s="167">
        <f t="shared" si="3"/>
        <v>13.0446748</v>
      </c>
      <c r="O857" s="163">
        <f t="shared" ref="O857:Q857" si="861">rank(I857,I:I)</f>
        <v>3770</v>
      </c>
      <c r="P857" s="163">
        <f t="shared" si="861"/>
        <v>3904</v>
      </c>
      <c r="Q857" s="163">
        <f t="shared" si="861"/>
        <v>3339</v>
      </c>
      <c r="R857" s="163">
        <f>IFERROR(__xludf.DUMMYFUNCTION("RANK(M857,filter(M:M,C:C=C857))"),468.0)</f>
        <v>468</v>
      </c>
      <c r="S857" s="161" t="b">
        <f t="shared" si="5"/>
        <v>0</v>
      </c>
      <c r="T857" s="161" t="b">
        <f t="array" ref="T857">index('Query Tool'!B:B,match(H857,'Query Tool'!C:C,0))</f>
        <v>1</v>
      </c>
      <c r="U857" s="161" t="b">
        <f t="array" ref="U857">index('Query Tool'!B:B,match(C857,'Query Tool'!C:C,0))</f>
        <v>0</v>
      </c>
      <c r="V857" s="161" t="b">
        <f>F857&gt;='Query Tool'!C$32</f>
        <v>1</v>
      </c>
      <c r="W857" s="161" t="b">
        <f t="array" ref="W857">index(Dropdowns!B:B,match(I857,Dropdowns!A:A,0))</f>
        <v>1</v>
      </c>
      <c r="X857" s="161" t="b">
        <f t="array" ref="X857">index('Query Tool'!B:B,match(D857,'Query Tool'!C:C,0))</f>
        <v>1</v>
      </c>
      <c r="Y857" s="161" t="str">
        <f t="shared" si="6"/>
        <v>goodwar01,2014-15</v>
      </c>
      <c r="Z857" s="168">
        <f t="array" ref="Z857">iferror(index(I:I,match($A857&amp;","&amp;index('Year Conversion'!$A:$A,match($C857,'Year Conversion'!$B:$B,0)),$Y:$Y,0))-I857,"")</f>
        <v>1</v>
      </c>
      <c r="AA857" s="168">
        <f t="array" ref="AA857">iferror(index(J:J,match($A857&amp;","&amp;index('Year Conversion'!$A:$A,match($C857,'Year Conversion'!$B:$B,0)),$Y:$Y,0))-J857,"")</f>
        <v>1.173371319</v>
      </c>
      <c r="AB857" s="168">
        <f t="array" ref="AB857">iferror(index(K:K,match($A857&amp;","&amp;index('Year Conversion'!$A:$A,match($C857,'Year Conversion'!$B:$B,0)),$Y:$Y,0))-K857,"")</f>
        <v>1.14620127</v>
      </c>
      <c r="AC857" s="168" t="str">
        <f t="shared" si="7"/>
        <v>PHO,2014-15</v>
      </c>
    </row>
    <row r="858">
      <c r="A858" s="161" t="str">
        <f>IFERROR(__xludf.DUMMYFUNCTION("""COMPUTED_VALUE"""),"mclembe01")</f>
        <v>mclembe01</v>
      </c>
      <c r="B858" s="161" t="str">
        <f>IFERROR(__xludf.DUMMYFUNCTION("""COMPUTED_VALUE"""),"Ben McLemore")</f>
        <v>Ben McLemore</v>
      </c>
      <c r="C858" s="162" t="str">
        <f>IFERROR(__xludf.DUMMYFUNCTION("""COMPUTED_VALUE"""),"2014-15")</f>
        <v>2014-15</v>
      </c>
      <c r="D858" s="163" t="str">
        <f>IFERROR(__xludf.DUMMYFUNCTION("""COMPUTED_VALUE"""),"SAC")</f>
        <v>SAC</v>
      </c>
      <c r="E858" s="164" t="str">
        <f>IFERROR(__xludf.DUMMYFUNCTION("""COMPUTED_VALUE"""),"Movement Shooter")</f>
        <v>Movement Shooter</v>
      </c>
      <c r="F858" s="164">
        <f>IFERROR(__xludf.DUMMYFUNCTION("""COMPUTED_VALUE"""),2670.105)</f>
        <v>2670.105</v>
      </c>
      <c r="G858" s="163">
        <f>IFERROR(__xludf.DUMMYFUNCTION("""COMPUTED_VALUE"""),82.0)</f>
        <v>82</v>
      </c>
      <c r="H858" s="163" t="str">
        <f>IFERROR(__xludf.DUMMYFUNCTION("""COMPUTED_VALUE"""),"SG")</f>
        <v>SG</v>
      </c>
      <c r="I858" s="163">
        <f>IFERROR(__xludf.DUMMYFUNCTION("""COMPUTED_VALUE"""),21.0)</f>
        <v>21</v>
      </c>
      <c r="J858" s="165">
        <f>IFERROR(__xludf.DUMMYFUNCTION("""COMPUTED_VALUE"""),-0.569558387345601)</f>
        <v>-0.5695583873</v>
      </c>
      <c r="K858" s="165">
        <f>IFERROR(__xludf.DUMMYFUNCTION("""COMPUTED_VALUE"""),-0.148977527684619)</f>
        <v>-0.1489775277</v>
      </c>
      <c r="L858" s="165">
        <f>IFERROR(__xludf.DUMMYFUNCTION("""COMPUTED_VALUE"""),-0.420580859660982)</f>
        <v>-0.4205808597</v>
      </c>
      <c r="M858" s="166">
        <f t="shared" si="2"/>
        <v>3.091578813</v>
      </c>
      <c r="N858" s="167">
        <f t="shared" si="3"/>
        <v>32.5622561</v>
      </c>
      <c r="O858" s="163">
        <f t="shared" ref="O858:Q858" si="862">rank(I858,I:I)</f>
        <v>3528</v>
      </c>
      <c r="P858" s="163">
        <f t="shared" si="862"/>
        <v>1951</v>
      </c>
      <c r="Q858" s="163">
        <f t="shared" si="862"/>
        <v>1476</v>
      </c>
      <c r="R858" s="163">
        <f>IFERROR(__xludf.DUMMYFUNCTION("RANK(M858,filter(M:M,C:C=C858))"),111.0)</f>
        <v>111</v>
      </c>
      <c r="S858" s="161" t="b">
        <f t="shared" si="5"/>
        <v>0</v>
      </c>
      <c r="T858" s="161" t="b">
        <f t="array" ref="T858">index('Query Tool'!B:B,match(H858,'Query Tool'!C:C,0))</f>
        <v>1</v>
      </c>
      <c r="U858" s="161" t="b">
        <f t="array" ref="U858">index('Query Tool'!B:B,match(C858,'Query Tool'!C:C,0))</f>
        <v>0</v>
      </c>
      <c r="V858" s="161" t="b">
        <f>F858&gt;='Query Tool'!C$32</f>
        <v>1</v>
      </c>
      <c r="W858" s="161" t="b">
        <f t="array" ref="W858">index(Dropdowns!B:B,match(I858,Dropdowns!A:A,0))</f>
        <v>1</v>
      </c>
      <c r="X858" s="161" t="b">
        <f t="array" ref="X858">index('Query Tool'!B:B,match(D858,'Query Tool'!C:C,0))</f>
        <v>1</v>
      </c>
      <c r="Y858" s="161" t="str">
        <f t="shared" si="6"/>
        <v>mclembe01,2014-15</v>
      </c>
      <c r="Z858" s="168">
        <f t="array" ref="Z858">iferror(index(I:I,match($A858&amp;","&amp;index('Year Conversion'!$A:$A,match($C858,'Year Conversion'!$B:$B,0)),$Y:$Y,0))-I858,"")</f>
        <v>1</v>
      </c>
      <c r="AA858" s="168">
        <f t="array" ref="AA858">iferror(index(J:J,match($A858&amp;","&amp;index('Year Conversion'!$A:$A,match($C858,'Year Conversion'!$B:$B,0)),$Y:$Y,0))-J858,"")</f>
        <v>-0.7976046168</v>
      </c>
      <c r="AB858" s="168">
        <f t="array" ref="AB858">iferror(index(K:K,match($A858&amp;","&amp;index('Year Conversion'!$A:$A,match($C858,'Year Conversion'!$B:$B,0)),$Y:$Y,0))-K858,"")</f>
        <v>-1.189653409</v>
      </c>
      <c r="AC858" s="168" t="str">
        <f t="shared" si="7"/>
        <v>SAC,2014-15</v>
      </c>
    </row>
    <row r="859">
      <c r="A859" s="161" t="str">
        <f>IFERROR(__xludf.DUMMYFUNCTION("""COMPUTED_VALUE"""),"mccolcj01")</f>
        <v>mccolcj01</v>
      </c>
      <c r="B859" s="161" t="str">
        <f>IFERROR(__xludf.DUMMYFUNCTION("""COMPUTED_VALUE"""),"CJ McCollum")</f>
        <v>CJ McCollum</v>
      </c>
      <c r="C859" s="162" t="str">
        <f>IFERROR(__xludf.DUMMYFUNCTION("""COMPUTED_VALUE"""),"2014-15")</f>
        <v>2014-15</v>
      </c>
      <c r="D859" s="163" t="str">
        <f>IFERROR(__xludf.DUMMYFUNCTION("""COMPUTED_VALUE"""),"POR")</f>
        <v>POR</v>
      </c>
      <c r="E859" s="164" t="str">
        <f>IFERROR(__xludf.DUMMYFUNCTION("""COMPUTED_VALUE"""),"Secondary Ball Handler")</f>
        <v>Secondary Ball Handler</v>
      </c>
      <c r="F859" s="164">
        <f>IFERROR(__xludf.DUMMYFUNCTION("""COMPUTED_VALUE"""),973.098333333334)</f>
        <v>973.0983333</v>
      </c>
      <c r="G859" s="163">
        <f>IFERROR(__xludf.DUMMYFUNCTION("""COMPUTED_VALUE"""),62.0)</f>
        <v>62</v>
      </c>
      <c r="H859" s="163" t="str">
        <f>IFERROR(__xludf.DUMMYFUNCTION("""COMPUTED_VALUE"""),"SG")</f>
        <v>SG</v>
      </c>
      <c r="I859" s="163">
        <f>IFERROR(__xludf.DUMMYFUNCTION("""COMPUTED_VALUE"""),23.0)</f>
        <v>23</v>
      </c>
      <c r="J859" s="165">
        <f>IFERROR(__xludf.DUMMYFUNCTION("""COMPUTED_VALUE"""),-0.138928393590044)</f>
        <v>-0.1389283936</v>
      </c>
      <c r="K859" s="165">
        <f>IFERROR(__xludf.DUMMYFUNCTION("""COMPUTED_VALUE"""),-0.56152330995926)</f>
        <v>-0.56152331</v>
      </c>
      <c r="L859" s="165">
        <f>IFERROR(__xludf.DUMMYFUNCTION("""COMPUTED_VALUE"""),0.422594916369216)</f>
        <v>0.4225949164</v>
      </c>
      <c r="M859" s="166">
        <f t="shared" si="2"/>
        <v>1.40905132</v>
      </c>
      <c r="N859" s="167">
        <f t="shared" si="3"/>
        <v>15.69513441</v>
      </c>
      <c r="O859" s="163">
        <f t="shared" ref="O859:Q859" si="863">rank(I859,I:I)</f>
        <v>2765</v>
      </c>
      <c r="P859" s="163">
        <f t="shared" si="863"/>
        <v>1422</v>
      </c>
      <c r="Q859" s="163">
        <f t="shared" si="863"/>
        <v>2205</v>
      </c>
      <c r="R859" s="163">
        <f>IFERROR(__xludf.DUMMYFUNCTION("RANK(M859,filter(M:M,C:C=C859))"),206.0)</f>
        <v>206</v>
      </c>
      <c r="S859" s="161" t="b">
        <f t="shared" si="5"/>
        <v>0</v>
      </c>
      <c r="T859" s="161" t="b">
        <f t="array" ref="T859">index('Query Tool'!B:B,match(H859,'Query Tool'!C:C,0))</f>
        <v>1</v>
      </c>
      <c r="U859" s="161" t="b">
        <f t="array" ref="U859">index('Query Tool'!B:B,match(C859,'Query Tool'!C:C,0))</f>
        <v>0</v>
      </c>
      <c r="V859" s="161" t="b">
        <f>F859&gt;='Query Tool'!C$32</f>
        <v>1</v>
      </c>
      <c r="W859" s="161" t="b">
        <f t="array" ref="W859">index(Dropdowns!B:B,match(I859,Dropdowns!A:A,0))</f>
        <v>1</v>
      </c>
      <c r="X859" s="161" t="b">
        <f t="array" ref="X859">index('Query Tool'!B:B,match(D859,'Query Tool'!C:C,0))</f>
        <v>1</v>
      </c>
      <c r="Y859" s="161" t="str">
        <f t="shared" si="6"/>
        <v>mccolcj01,2014-15</v>
      </c>
      <c r="Z859" s="168">
        <f t="array" ref="Z859">iferror(index(I:I,match($A859&amp;","&amp;index('Year Conversion'!$A:$A,match($C859,'Year Conversion'!$B:$B,0)),$Y:$Y,0))-I859,"")</f>
        <v>1</v>
      </c>
      <c r="AA859" s="168">
        <f t="array" ref="AA859">iferror(index(J:J,match($A859&amp;","&amp;index('Year Conversion'!$A:$A,match($C859,'Year Conversion'!$B:$B,0)),$Y:$Y,0))-J859,"")</f>
        <v>1.624970374</v>
      </c>
      <c r="AB859" s="168">
        <f t="array" ref="AB859">iferror(index(K:K,match($A859&amp;","&amp;index('Year Conversion'!$A:$A,match($C859,'Year Conversion'!$B:$B,0)),$Y:$Y,0))-K859,"")</f>
        <v>1.930039186</v>
      </c>
      <c r="AC859" s="168" t="str">
        <f t="shared" si="7"/>
        <v>POR,2014-15</v>
      </c>
    </row>
    <row r="860">
      <c r="A860" s="161" t="str">
        <f>IFERROR(__xludf.DUMMYFUNCTION("""COMPUTED_VALUE"""),"zelleco01")</f>
        <v>zelleco01</v>
      </c>
      <c r="B860" s="161" t="str">
        <f>IFERROR(__xludf.DUMMYFUNCTION("""COMPUTED_VALUE"""),"Cody Zeller")</f>
        <v>Cody Zeller</v>
      </c>
      <c r="C860" s="162" t="str">
        <f>IFERROR(__xludf.DUMMYFUNCTION("""COMPUTED_VALUE"""),"2014-15")</f>
        <v>2014-15</v>
      </c>
      <c r="D860" s="163" t="str">
        <f>IFERROR(__xludf.DUMMYFUNCTION("""COMPUTED_VALUE"""),"CHO")</f>
        <v>CHO</v>
      </c>
      <c r="E860" s="164" t="str">
        <f>IFERROR(__xludf.DUMMYFUNCTION("""COMPUTED_VALUE"""),"Roll + Cut Big")</f>
        <v>Roll + Cut Big</v>
      </c>
      <c r="F860" s="164">
        <f>IFERROR(__xludf.DUMMYFUNCTION("""COMPUTED_VALUE"""),1486.685)</f>
        <v>1486.685</v>
      </c>
      <c r="G860" s="163">
        <f>IFERROR(__xludf.DUMMYFUNCTION("""COMPUTED_VALUE"""),62.0)</f>
        <v>62</v>
      </c>
      <c r="H860" s="163" t="str">
        <f>IFERROR(__xludf.DUMMYFUNCTION("""COMPUTED_VALUE"""),"C")</f>
        <v>C</v>
      </c>
      <c r="I860" s="163">
        <f>IFERROR(__xludf.DUMMYFUNCTION("""COMPUTED_VALUE"""),22.0)</f>
        <v>22</v>
      </c>
      <c r="J860" s="165">
        <f>IFERROR(__xludf.DUMMYFUNCTION("""COMPUTED_VALUE"""),1.23426150141346)</f>
        <v>1.234261501</v>
      </c>
      <c r="K860" s="165">
        <f>IFERROR(__xludf.DUMMYFUNCTION("""COMPUTED_VALUE"""),-0.587509827997351)</f>
        <v>-0.587509828</v>
      </c>
      <c r="L860" s="165">
        <f>IFERROR(__xludf.DUMMYFUNCTION("""COMPUTED_VALUE"""),1.82177132941081)</f>
        <v>1.821771329</v>
      </c>
      <c r="M860" s="166">
        <f t="shared" si="2"/>
        <v>3.526471293</v>
      </c>
      <c r="N860" s="167">
        <f t="shared" si="3"/>
        <v>23.97879032</v>
      </c>
      <c r="O860" s="163">
        <f t="shared" ref="O860:Q860" si="864">rank(I860,I:I)</f>
        <v>3178</v>
      </c>
      <c r="P860" s="163">
        <f t="shared" si="864"/>
        <v>558</v>
      </c>
      <c r="Q860" s="163">
        <f t="shared" si="864"/>
        <v>2241</v>
      </c>
      <c r="R860" s="163">
        <f>IFERROR(__xludf.DUMMYFUNCTION("RANK(M860,filter(M:M,C:C=C860))"),99.0)</f>
        <v>99</v>
      </c>
      <c r="S860" s="161" t="b">
        <f t="shared" si="5"/>
        <v>0</v>
      </c>
      <c r="T860" s="161" t="b">
        <f t="array" ref="T860">index('Query Tool'!B:B,match(H860,'Query Tool'!C:C,0))</f>
        <v>1</v>
      </c>
      <c r="U860" s="161" t="b">
        <f t="array" ref="U860">index('Query Tool'!B:B,match(C860,'Query Tool'!C:C,0))</f>
        <v>0</v>
      </c>
      <c r="V860" s="161" t="b">
        <f>F860&gt;='Query Tool'!C$32</f>
        <v>1</v>
      </c>
      <c r="W860" s="161" t="b">
        <f t="array" ref="W860">index(Dropdowns!B:B,match(I860,Dropdowns!A:A,0))</f>
        <v>1</v>
      </c>
      <c r="X860" s="161" t="b">
        <f t="array" ref="X860">index('Query Tool'!B:B,match(D860,'Query Tool'!C:C,0))</f>
        <v>1</v>
      </c>
      <c r="Y860" s="161" t="str">
        <f t="shared" si="6"/>
        <v>zelleco01,2014-15</v>
      </c>
      <c r="Z860" s="168">
        <f t="array" ref="Z860">iferror(index(I:I,match($A860&amp;","&amp;index('Year Conversion'!$A:$A,match($C860,'Year Conversion'!$B:$B,0)),$Y:$Y,0))-I860,"")</f>
        <v>1</v>
      </c>
      <c r="AA860" s="168">
        <f t="array" ref="AA860">iferror(index(J:J,match($A860&amp;","&amp;index('Year Conversion'!$A:$A,match($C860,'Year Conversion'!$B:$B,0)),$Y:$Y,0))-J860,"")</f>
        <v>0.3540548759</v>
      </c>
      <c r="AB860" s="168">
        <f t="array" ref="AB860">iferror(index(K:K,match($A860&amp;","&amp;index('Year Conversion'!$A:$A,match($C860,'Year Conversion'!$B:$B,0)),$Y:$Y,0))-K860,"")</f>
        <v>0.4001301692</v>
      </c>
      <c r="AC860" s="168" t="str">
        <f t="shared" si="7"/>
        <v>CHO,2014-15</v>
      </c>
    </row>
    <row r="861">
      <c r="A861" s="161" t="str">
        <f>IFERROR(__xludf.DUMMYFUNCTION("""COMPUTED_VALUE"""),"schrode01")</f>
        <v>schrode01</v>
      </c>
      <c r="B861" s="161" t="str">
        <f>IFERROR(__xludf.DUMMYFUNCTION("""COMPUTED_VALUE"""),"Dennis Schroder")</f>
        <v>Dennis Schroder</v>
      </c>
      <c r="C861" s="162" t="str">
        <f>IFERROR(__xludf.DUMMYFUNCTION("""COMPUTED_VALUE"""),"2014-15")</f>
        <v>2014-15</v>
      </c>
      <c r="D861" s="163" t="str">
        <f>IFERROR(__xludf.DUMMYFUNCTION("""COMPUTED_VALUE"""),"ATL")</f>
        <v>ATL</v>
      </c>
      <c r="E861" s="164" t="str">
        <f>IFERROR(__xludf.DUMMYFUNCTION("""COMPUTED_VALUE"""),"Slasher")</f>
        <v>Slasher</v>
      </c>
      <c r="F861" s="164">
        <f>IFERROR(__xludf.DUMMYFUNCTION("""COMPUTED_VALUE"""),1516.05666666667)</f>
        <v>1516.056667</v>
      </c>
      <c r="G861" s="163">
        <f>IFERROR(__xludf.DUMMYFUNCTION("""COMPUTED_VALUE"""),77.0)</f>
        <v>77</v>
      </c>
      <c r="H861" s="163" t="str">
        <f>IFERROR(__xludf.DUMMYFUNCTION("""COMPUTED_VALUE"""),"PG")</f>
        <v>PG</v>
      </c>
      <c r="I861" s="163">
        <f>IFERROR(__xludf.DUMMYFUNCTION("""COMPUTED_VALUE"""),21.0)</f>
        <v>21</v>
      </c>
      <c r="J861" s="165">
        <f>IFERROR(__xludf.DUMMYFUNCTION("""COMPUTED_VALUE"""),-0.697139771516148)</f>
        <v>-0.6971397715</v>
      </c>
      <c r="K861" s="165">
        <f>IFERROR(__xludf.DUMMYFUNCTION("""COMPUTED_VALUE"""),-0.0155471691303443)</f>
        <v>-0.01554716913</v>
      </c>
      <c r="L861" s="165">
        <f>IFERROR(__xludf.DUMMYFUNCTION("""COMPUTED_VALUE"""),-0.681592602385803)</f>
        <v>-0.6815926024</v>
      </c>
      <c r="M861" s="166">
        <f t="shared" si="2"/>
        <v>1.62518121</v>
      </c>
      <c r="N861" s="167">
        <f t="shared" si="3"/>
        <v>19.68904762</v>
      </c>
      <c r="O861" s="163">
        <f t="shared" ref="O861:Q861" si="865">rank(I861,I:I)</f>
        <v>3528</v>
      </c>
      <c r="P861" s="163">
        <f t="shared" si="865"/>
        <v>2134</v>
      </c>
      <c r="Q861" s="163">
        <f t="shared" si="865"/>
        <v>1222</v>
      </c>
      <c r="R861" s="163">
        <f>IFERROR(__xludf.DUMMYFUNCTION("RANK(M861,filter(M:M,C:C=C861))"),189.0)</f>
        <v>189</v>
      </c>
      <c r="S861" s="161" t="b">
        <f t="shared" si="5"/>
        <v>0</v>
      </c>
      <c r="T861" s="161" t="b">
        <f t="array" ref="T861">index('Query Tool'!B:B,match(H861,'Query Tool'!C:C,0))</f>
        <v>1</v>
      </c>
      <c r="U861" s="161" t="b">
        <f t="array" ref="U861">index('Query Tool'!B:B,match(C861,'Query Tool'!C:C,0))</f>
        <v>0</v>
      </c>
      <c r="V861" s="161" t="b">
        <f>F861&gt;='Query Tool'!C$32</f>
        <v>1</v>
      </c>
      <c r="W861" s="161" t="b">
        <f t="array" ref="W861">index(Dropdowns!B:B,match(I861,Dropdowns!A:A,0))</f>
        <v>1</v>
      </c>
      <c r="X861" s="161" t="b">
        <f t="array" ref="X861">index('Query Tool'!B:B,match(D861,'Query Tool'!C:C,0))</f>
        <v>1</v>
      </c>
      <c r="Y861" s="161" t="str">
        <f t="shared" si="6"/>
        <v>schrode01,2014-15</v>
      </c>
      <c r="Z861" s="168">
        <f t="array" ref="Z861">iferror(index(I:I,match($A861&amp;","&amp;index('Year Conversion'!$A:$A,match($C861,'Year Conversion'!$B:$B,0)),$Y:$Y,0))-I861,"")</f>
        <v>1</v>
      </c>
      <c r="AA861" s="168">
        <f t="array" ref="AA861">iferror(index(J:J,match($A861&amp;","&amp;index('Year Conversion'!$A:$A,match($C861,'Year Conversion'!$B:$B,0)),$Y:$Y,0))-J861,"")</f>
        <v>1.373573806</v>
      </c>
      <c r="AB861" s="168">
        <f t="array" ref="AB861">iferror(index(K:K,match($A861&amp;","&amp;index('Year Conversion'!$A:$A,match($C861,'Year Conversion'!$B:$B,0)),$Y:$Y,0))-K861,"")</f>
        <v>0.773652803</v>
      </c>
      <c r="AC861" s="168" t="str">
        <f t="shared" si="7"/>
        <v>ATL,2014-15</v>
      </c>
    </row>
    <row r="862">
      <c r="A862" s="161" t="str">
        <f>IFERROR(__xludf.DUMMYFUNCTION("""COMPUTED_VALUE"""),"dedmode01")</f>
        <v>dedmode01</v>
      </c>
      <c r="B862" s="161" t="str">
        <f>IFERROR(__xludf.DUMMYFUNCTION("""COMPUTED_VALUE"""),"Dewayne Dedmon")</f>
        <v>Dewayne Dedmon</v>
      </c>
      <c r="C862" s="162" t="str">
        <f>IFERROR(__xludf.DUMMYFUNCTION("""COMPUTED_VALUE"""),"2014-15")</f>
        <v>2014-15</v>
      </c>
      <c r="D862" s="163" t="str">
        <f>IFERROR(__xludf.DUMMYFUNCTION("""COMPUTED_VALUE"""),"ORL")</f>
        <v>ORL</v>
      </c>
      <c r="E862" s="164" t="str">
        <f>IFERROR(__xludf.DUMMYFUNCTION("""COMPUTED_VALUE"""),"Roll + Cut Big")</f>
        <v>Roll + Cut Big</v>
      </c>
      <c r="F862" s="164">
        <f>IFERROR(__xludf.DUMMYFUNCTION("""COMPUTED_VALUE"""),845.061666666667)</f>
        <v>845.0616667</v>
      </c>
      <c r="G862" s="163">
        <f>IFERROR(__xludf.DUMMYFUNCTION("""COMPUTED_VALUE"""),59.0)</f>
        <v>59</v>
      </c>
      <c r="H862" s="163" t="str">
        <f>IFERROR(__xludf.DUMMYFUNCTION("""COMPUTED_VALUE"""),"C")</f>
        <v>C</v>
      </c>
      <c r="I862" s="163">
        <f>IFERROR(__xludf.DUMMYFUNCTION("""COMPUTED_VALUE"""),25.0)</f>
        <v>25</v>
      </c>
      <c r="J862" s="165">
        <f>IFERROR(__xludf.DUMMYFUNCTION("""COMPUTED_VALUE"""),0.111568901179641)</f>
        <v>0.1115689012</v>
      </c>
      <c r="K862" s="165">
        <f>IFERROR(__xludf.DUMMYFUNCTION("""COMPUTED_VALUE"""),-1.85696279285688)</f>
        <v>-1.856962793</v>
      </c>
      <c r="L862" s="165">
        <f>IFERROR(__xludf.DUMMYFUNCTION("""COMPUTED_VALUE"""),1.96853169403653)</f>
        <v>1.968531694</v>
      </c>
      <c r="M862" s="166">
        <f t="shared" si="2"/>
        <v>1.366366673</v>
      </c>
      <c r="N862" s="167">
        <f t="shared" si="3"/>
        <v>14.3230791</v>
      </c>
      <c r="O862" s="163">
        <f t="shared" ref="O862:Q862" si="866">rank(I862,I:I)</f>
        <v>1995</v>
      </c>
      <c r="P862" s="163">
        <f t="shared" si="866"/>
        <v>1174</v>
      </c>
      <c r="Q862" s="163">
        <f t="shared" si="866"/>
        <v>3611</v>
      </c>
      <c r="R862" s="163">
        <f>IFERROR(__xludf.DUMMYFUNCTION("RANK(M862,filter(M:M,C:C=C862))"),212.0)</f>
        <v>212</v>
      </c>
      <c r="S862" s="161" t="b">
        <f t="shared" si="5"/>
        <v>0</v>
      </c>
      <c r="T862" s="161" t="b">
        <f t="array" ref="T862">index('Query Tool'!B:B,match(H862,'Query Tool'!C:C,0))</f>
        <v>1</v>
      </c>
      <c r="U862" s="161" t="b">
        <f t="array" ref="U862">index('Query Tool'!B:B,match(C862,'Query Tool'!C:C,0))</f>
        <v>0</v>
      </c>
      <c r="V862" s="161" t="b">
        <f>F862&gt;='Query Tool'!C$32</f>
        <v>1</v>
      </c>
      <c r="W862" s="161" t="b">
        <f t="array" ref="W862">index(Dropdowns!B:B,match(I862,Dropdowns!A:A,0))</f>
        <v>1</v>
      </c>
      <c r="X862" s="161" t="b">
        <f t="array" ref="X862">index('Query Tool'!B:B,match(D862,'Query Tool'!C:C,0))</f>
        <v>1</v>
      </c>
      <c r="Y862" s="161" t="str">
        <f t="shared" si="6"/>
        <v>dedmode01,2014-15</v>
      </c>
      <c r="Z862" s="168">
        <f t="array" ref="Z862">iferror(index(I:I,match($A862&amp;","&amp;index('Year Conversion'!$A:$A,match($C862,'Year Conversion'!$B:$B,0)),$Y:$Y,0))-I862,"")</f>
        <v>1</v>
      </c>
      <c r="AA862" s="168">
        <f t="array" ref="AA862">iferror(index(J:J,match($A862&amp;","&amp;index('Year Conversion'!$A:$A,match($C862,'Year Conversion'!$B:$B,0)),$Y:$Y,0))-J862,"")</f>
        <v>-0.2741344825</v>
      </c>
      <c r="AB862" s="168">
        <f t="array" ref="AB862">iferror(index(K:K,match($A862&amp;","&amp;index('Year Conversion'!$A:$A,match($C862,'Year Conversion'!$B:$B,0)),$Y:$Y,0))-K862,"")</f>
        <v>0.3526489796</v>
      </c>
      <c r="AC862" s="168" t="str">
        <f t="shared" si="7"/>
        <v>ORL,2014-15</v>
      </c>
    </row>
    <row r="863">
      <c r="A863" s="161" t="str">
        <f>IFERROR(__xludf.DUMMYFUNCTION("""COMPUTED_VALUE"""),"greener01")</f>
        <v>greener01</v>
      </c>
      <c r="B863" s="161" t="str">
        <f>IFERROR(__xludf.DUMMYFUNCTION("""COMPUTED_VALUE"""),"Erick Green")</f>
        <v>Erick Green</v>
      </c>
      <c r="C863" s="162" t="str">
        <f>IFERROR(__xludf.DUMMYFUNCTION("""COMPUTED_VALUE"""),"2014-15")</f>
        <v>2014-15</v>
      </c>
      <c r="D863" s="163" t="str">
        <f>IFERROR(__xludf.DUMMYFUNCTION("""COMPUTED_VALUE"""),"DEN")</f>
        <v>DEN</v>
      </c>
      <c r="E863" s="164" t="str">
        <f>IFERROR(__xludf.DUMMYFUNCTION("""COMPUTED_VALUE"""),"Secondary Ball Handler")</f>
        <v>Secondary Ball Handler</v>
      </c>
      <c r="F863" s="164">
        <f>IFERROR(__xludf.DUMMYFUNCTION("""COMPUTED_VALUE"""),409.888333333334)</f>
        <v>409.8883333</v>
      </c>
      <c r="G863" s="163">
        <f>IFERROR(__xludf.DUMMYFUNCTION("""COMPUTED_VALUE"""),43.0)</f>
        <v>43</v>
      </c>
      <c r="H863" s="163" t="str">
        <f>IFERROR(__xludf.DUMMYFUNCTION("""COMPUTED_VALUE"""),"PG")</f>
        <v>PG</v>
      </c>
      <c r="I863" s="163">
        <f>IFERROR(__xludf.DUMMYFUNCTION("""COMPUTED_VALUE"""),23.0)</f>
        <v>23</v>
      </c>
      <c r="J863" s="165">
        <f>IFERROR(__xludf.DUMMYFUNCTION("""COMPUTED_VALUE"""),-2.73244075428934)</f>
        <v>-2.732440754</v>
      </c>
      <c r="K863" s="165">
        <f>IFERROR(__xludf.DUMMYFUNCTION("""COMPUTED_VALUE"""),-0.74973749094573)</f>
        <v>-0.7497374909</v>
      </c>
      <c r="L863" s="165">
        <f>IFERROR(__xludf.DUMMYFUNCTION("""COMPUTED_VALUE"""),-1.98270326334361)</f>
        <v>-1.982703263</v>
      </c>
      <c r="M863" s="166">
        <f t="shared" si="2"/>
        <v>-0.1154427258</v>
      </c>
      <c r="N863" s="167">
        <f t="shared" si="3"/>
        <v>9.532286822</v>
      </c>
      <c r="O863" s="163">
        <f t="shared" ref="O863:Q863" si="867">rank(I863,I:I)</f>
        <v>2765</v>
      </c>
      <c r="P863" s="163">
        <f t="shared" si="867"/>
        <v>3826</v>
      </c>
      <c r="Q863" s="163">
        <f t="shared" si="867"/>
        <v>2478</v>
      </c>
      <c r="R863" s="163">
        <f>IFERROR(__xludf.DUMMYFUNCTION("RANK(M863,filter(M:M,C:C=C863))"),457.0)</f>
        <v>457</v>
      </c>
      <c r="S863" s="161" t="b">
        <f t="shared" si="5"/>
        <v>0</v>
      </c>
      <c r="T863" s="161" t="b">
        <f t="array" ref="T863">index('Query Tool'!B:B,match(H863,'Query Tool'!C:C,0))</f>
        <v>1</v>
      </c>
      <c r="U863" s="161" t="b">
        <f t="array" ref="U863">index('Query Tool'!B:B,match(C863,'Query Tool'!C:C,0))</f>
        <v>0</v>
      </c>
      <c r="V863" s="161" t="b">
        <f>F863&gt;='Query Tool'!C$32</f>
        <v>0</v>
      </c>
      <c r="W863" s="161" t="b">
        <f t="array" ref="W863">index(Dropdowns!B:B,match(I863,Dropdowns!A:A,0))</f>
        <v>1</v>
      </c>
      <c r="X863" s="161" t="b">
        <f t="array" ref="X863">index('Query Tool'!B:B,match(D863,'Query Tool'!C:C,0))</f>
        <v>1</v>
      </c>
      <c r="Y863" s="161" t="str">
        <f t="shared" si="6"/>
        <v>greener01,2014-15</v>
      </c>
      <c r="Z863" s="168">
        <f t="array" ref="Z863">iferror(index(I:I,match($A863&amp;","&amp;index('Year Conversion'!$A:$A,match($C863,'Year Conversion'!$B:$B,0)),$Y:$Y,0))-I863,"")</f>
        <v>1</v>
      </c>
      <c r="AA863" s="168">
        <f t="array" ref="AA863">iferror(index(J:J,match($A863&amp;","&amp;index('Year Conversion'!$A:$A,match($C863,'Year Conversion'!$B:$B,0)),$Y:$Y,0))-J863,"")</f>
        <v>2.553600105</v>
      </c>
      <c r="AB863" s="168">
        <f t="array" ref="AB863">iferror(index(K:K,match($A863&amp;","&amp;index('Year Conversion'!$A:$A,match($C863,'Year Conversion'!$B:$B,0)),$Y:$Y,0))-K863,"")</f>
        <v>0.9331364178</v>
      </c>
      <c r="AC863" s="168" t="str">
        <f t="shared" si="7"/>
        <v>DEN,2014-15</v>
      </c>
    </row>
    <row r="864">
      <c r="A864" s="161" t="str">
        <f>IFERROR(__xludf.DUMMYFUNCTION("""COMPUTED_VALUE"""),"dienggo01")</f>
        <v>dienggo01</v>
      </c>
      <c r="B864" s="161" t="str">
        <f>IFERROR(__xludf.DUMMYFUNCTION("""COMPUTED_VALUE"""),"Gorgui Dieng")</f>
        <v>Gorgui Dieng</v>
      </c>
      <c r="C864" s="162" t="str">
        <f>IFERROR(__xludf.DUMMYFUNCTION("""COMPUTED_VALUE"""),"2014-15")</f>
        <v>2014-15</v>
      </c>
      <c r="D864" s="163" t="str">
        <f>IFERROR(__xludf.DUMMYFUNCTION("""COMPUTED_VALUE"""),"MIN")</f>
        <v>MIN</v>
      </c>
      <c r="E864" s="164" t="str">
        <f>IFERROR(__xludf.DUMMYFUNCTION("""COMPUTED_VALUE"""),"Post Scorer")</f>
        <v>Post Scorer</v>
      </c>
      <c r="F864" s="164">
        <f>IFERROR(__xludf.DUMMYFUNCTION("""COMPUTED_VALUE"""),2193.02833333333)</f>
        <v>2193.028333</v>
      </c>
      <c r="G864" s="163">
        <f>IFERROR(__xludf.DUMMYFUNCTION("""COMPUTED_VALUE"""),73.0)</f>
        <v>73</v>
      </c>
      <c r="H864" s="163" t="str">
        <f>IFERROR(__xludf.DUMMYFUNCTION("""COMPUTED_VALUE"""),"C")</f>
        <v>C</v>
      </c>
      <c r="I864" s="163">
        <f>IFERROR(__xludf.DUMMYFUNCTION("""COMPUTED_VALUE"""),25.0)</f>
        <v>25</v>
      </c>
      <c r="J864" s="165">
        <f>IFERROR(__xludf.DUMMYFUNCTION("""COMPUTED_VALUE"""),-0.513244451546807)</f>
        <v>-0.5132444515</v>
      </c>
      <c r="K864" s="165">
        <f>IFERROR(__xludf.DUMMYFUNCTION("""COMPUTED_VALUE"""),-1.23686628006074)</f>
        <v>-1.23686628</v>
      </c>
      <c r="L864" s="165">
        <f>IFERROR(__xludf.DUMMYFUNCTION("""COMPUTED_VALUE"""),0.723621828513933)</f>
        <v>0.7236218285</v>
      </c>
      <c r="M864" s="166">
        <f t="shared" si="2"/>
        <v>2.622355412</v>
      </c>
      <c r="N864" s="167">
        <f t="shared" si="3"/>
        <v>30.04148402</v>
      </c>
      <c r="O864" s="163">
        <f t="shared" ref="O864:Q864" si="868">rank(I864,I:I)</f>
        <v>1995</v>
      </c>
      <c r="P864" s="163">
        <f t="shared" si="868"/>
        <v>1873</v>
      </c>
      <c r="Q864" s="163">
        <f t="shared" si="868"/>
        <v>3071</v>
      </c>
      <c r="R864" s="163">
        <f>IFERROR(__xludf.DUMMYFUNCTION("RANK(M864,filter(M:M,C:C=C864))"),133.0)</f>
        <v>133</v>
      </c>
      <c r="S864" s="161" t="b">
        <f t="shared" si="5"/>
        <v>0</v>
      </c>
      <c r="T864" s="161" t="b">
        <f t="array" ref="T864">index('Query Tool'!B:B,match(H864,'Query Tool'!C:C,0))</f>
        <v>1</v>
      </c>
      <c r="U864" s="161" t="b">
        <f t="array" ref="U864">index('Query Tool'!B:B,match(C864,'Query Tool'!C:C,0))</f>
        <v>0</v>
      </c>
      <c r="V864" s="161" t="b">
        <f>F864&gt;='Query Tool'!C$32</f>
        <v>1</v>
      </c>
      <c r="W864" s="161" t="b">
        <f t="array" ref="W864">index(Dropdowns!B:B,match(I864,Dropdowns!A:A,0))</f>
        <v>1</v>
      </c>
      <c r="X864" s="161" t="b">
        <f t="array" ref="X864">index('Query Tool'!B:B,match(D864,'Query Tool'!C:C,0))</f>
        <v>1</v>
      </c>
      <c r="Y864" s="161" t="str">
        <f t="shared" si="6"/>
        <v>dienggo01,2014-15</v>
      </c>
      <c r="Z864" s="168">
        <f t="array" ref="Z864">iferror(index(I:I,match($A864&amp;","&amp;index('Year Conversion'!$A:$A,match($C864,'Year Conversion'!$B:$B,0)),$Y:$Y,0))-I864,"")</f>
        <v>1</v>
      </c>
      <c r="AA864" s="168">
        <f t="array" ref="AA864">iferror(index(J:J,match($A864&amp;","&amp;index('Year Conversion'!$A:$A,match($C864,'Year Conversion'!$B:$B,0)),$Y:$Y,0))-J864,"")</f>
        <v>1.407303304</v>
      </c>
      <c r="AB864" s="168">
        <f t="array" ref="AB864">iferror(index(K:K,match($A864&amp;","&amp;index('Year Conversion'!$A:$A,match($C864,'Year Conversion'!$B:$B,0)),$Y:$Y,0))-K864,"")</f>
        <v>0.5257448793</v>
      </c>
      <c r="AC864" s="168" t="str">
        <f t="shared" si="7"/>
        <v>MIN,2014-15</v>
      </c>
    </row>
    <row r="865">
      <c r="A865" s="161" t="str">
        <f>IFERROR(__xludf.DUMMYFUNCTION("""COMPUTED_VALUE"""),"canaais01")</f>
        <v>canaais01</v>
      </c>
      <c r="B865" s="161" t="str">
        <f>IFERROR(__xludf.DUMMYFUNCTION("""COMPUTED_VALUE"""),"Isaiah Canaan")</f>
        <v>Isaiah Canaan</v>
      </c>
      <c r="C865" s="162" t="str">
        <f>IFERROR(__xludf.DUMMYFUNCTION("""COMPUTED_VALUE"""),"2014-15")</f>
        <v>2014-15</v>
      </c>
      <c r="D865" s="163" t="str">
        <f>IFERROR(__xludf.DUMMYFUNCTION("""COMPUTED_VALUE"""),"TOT")</f>
        <v>TOT</v>
      </c>
      <c r="E865" s="164" t="str">
        <f>IFERROR(__xludf.DUMMYFUNCTION("""COMPUTED_VALUE"""),"Secondary Ball Handler")</f>
        <v>Secondary Ball Handler</v>
      </c>
      <c r="F865" s="164">
        <f>IFERROR(__xludf.DUMMYFUNCTION("""COMPUTED_VALUE"""),937.955)</f>
        <v>937.955</v>
      </c>
      <c r="G865" s="163">
        <f>IFERROR(__xludf.DUMMYFUNCTION("""COMPUTED_VALUE"""),47.0)</f>
        <v>47</v>
      </c>
      <c r="H865" s="163" t="str">
        <f>IFERROR(__xludf.DUMMYFUNCTION("""COMPUTED_VALUE"""),"PG")</f>
        <v>PG</v>
      </c>
      <c r="I865" s="163">
        <f>IFERROR(__xludf.DUMMYFUNCTION("""COMPUTED_VALUE"""),23.0)</f>
        <v>23</v>
      </c>
      <c r="J865" s="165">
        <f>IFERROR(__xludf.DUMMYFUNCTION("""COMPUTED_VALUE"""),-1.41194690407026)</f>
        <v>-1.411946904</v>
      </c>
      <c r="K865" s="165">
        <f>IFERROR(__xludf.DUMMYFUNCTION("""COMPUTED_VALUE"""),-0.440574474177532)</f>
        <v>-0.4405744742</v>
      </c>
      <c r="L865" s="165">
        <f>IFERROR(__xludf.DUMMYFUNCTION("""COMPUTED_VALUE"""),-0.971372429892731)</f>
        <v>-0.9713724299</v>
      </c>
      <c r="M865" s="166">
        <f t="shared" si="2"/>
        <v>0.5556201894</v>
      </c>
      <c r="N865" s="167">
        <f t="shared" si="3"/>
        <v>19.95648936</v>
      </c>
      <c r="O865" s="163">
        <f t="shared" ref="O865:Q865" si="869">rank(I865,I:I)</f>
        <v>2765</v>
      </c>
      <c r="P865" s="163">
        <f t="shared" si="869"/>
        <v>2961</v>
      </c>
      <c r="Q865" s="163">
        <f t="shared" si="869"/>
        <v>2017</v>
      </c>
      <c r="R865" s="163">
        <f>IFERROR(__xludf.DUMMYFUNCTION("RANK(M865,filter(M:M,C:C=C865))"),278.0)</f>
        <v>278</v>
      </c>
      <c r="S865" s="161" t="b">
        <f t="shared" si="5"/>
        <v>0</v>
      </c>
      <c r="T865" s="161" t="b">
        <f t="array" ref="T865">index('Query Tool'!B:B,match(H865,'Query Tool'!C:C,0))</f>
        <v>1</v>
      </c>
      <c r="U865" s="161" t="b">
        <f t="array" ref="U865">index('Query Tool'!B:B,match(C865,'Query Tool'!C:C,0))</f>
        <v>0</v>
      </c>
      <c r="V865" s="161" t="b">
        <f>F865&gt;='Query Tool'!C$32</f>
        <v>1</v>
      </c>
      <c r="W865" s="161" t="b">
        <f t="array" ref="W865">index(Dropdowns!B:B,match(I865,Dropdowns!A:A,0))</f>
        <v>1</v>
      </c>
      <c r="X865" s="161" t="b">
        <f t="array" ref="X865">index('Query Tool'!B:B,match(D865,'Query Tool'!C:C,0))</f>
        <v>1</v>
      </c>
      <c r="Y865" s="161" t="str">
        <f t="shared" si="6"/>
        <v>canaais01,2014-15</v>
      </c>
      <c r="Z865" s="168">
        <f t="array" ref="Z865">iferror(index(I:I,match($A865&amp;","&amp;index('Year Conversion'!$A:$A,match($C865,'Year Conversion'!$B:$B,0)),$Y:$Y,0))-I865,"")</f>
        <v>1</v>
      </c>
      <c r="AA865" s="168">
        <f t="array" ref="AA865">iferror(index(J:J,match($A865&amp;","&amp;index('Year Conversion'!$A:$A,match($C865,'Year Conversion'!$B:$B,0)),$Y:$Y,0))-J865,"")</f>
        <v>-1.826730875</v>
      </c>
      <c r="AB865" s="168">
        <f t="array" ref="AB865">iferror(index(K:K,match($A865&amp;","&amp;index('Year Conversion'!$A:$A,match($C865,'Year Conversion'!$B:$B,0)),$Y:$Y,0))-K865,"")</f>
        <v>-0.8604524593</v>
      </c>
      <c r="AC865" s="168" t="str">
        <f t="shared" si="7"/>
        <v>TOT,2014-15</v>
      </c>
    </row>
    <row r="866">
      <c r="A866" s="161" t="str">
        <f>IFERROR(__xludf.DUMMYFUNCTION("""COMPUTED_VALUE"""),"frankja01")</f>
        <v>frankja01</v>
      </c>
      <c r="B866" s="161" t="str">
        <f>IFERROR(__xludf.DUMMYFUNCTION("""COMPUTED_VALUE"""),"Jamaal Franklin")</f>
        <v>Jamaal Franklin</v>
      </c>
      <c r="C866" s="162" t="str">
        <f>IFERROR(__xludf.DUMMYFUNCTION("""COMPUTED_VALUE"""),"2014-15")</f>
        <v>2014-15</v>
      </c>
      <c r="D866" s="163" t="str">
        <f>IFERROR(__xludf.DUMMYFUNCTION("""COMPUTED_VALUE"""),"DEN")</f>
        <v>DEN</v>
      </c>
      <c r="E866" s="164" t="str">
        <f>IFERROR(__xludf.DUMMYFUNCTION("""COMPUTED_VALUE"""),"Stationary Shooter")</f>
        <v>Stationary Shooter</v>
      </c>
      <c r="F866" s="164">
        <f>IFERROR(__xludf.DUMMYFUNCTION("""COMPUTED_VALUE"""),13.1783333333333)</f>
        <v>13.17833333</v>
      </c>
      <c r="G866" s="163">
        <f>IFERROR(__xludf.DUMMYFUNCTION("""COMPUTED_VALUE"""),3.0)</f>
        <v>3</v>
      </c>
      <c r="H866" s="163" t="str">
        <f>IFERROR(__xludf.DUMMYFUNCTION("""COMPUTED_VALUE"""),"SG")</f>
        <v>SG</v>
      </c>
      <c r="I866" s="163">
        <f>IFERROR(__xludf.DUMMYFUNCTION("""COMPUTED_VALUE"""),23.0)</f>
        <v>23</v>
      </c>
      <c r="J866" s="165">
        <f>IFERROR(__xludf.DUMMYFUNCTION("""COMPUTED_VALUE"""),-0.397665544065689)</f>
        <v>-0.3976655441</v>
      </c>
      <c r="K866" s="165">
        <f>IFERROR(__xludf.DUMMYFUNCTION("""COMPUTED_VALUE"""),-0.155618001964638)</f>
        <v>-0.155618002</v>
      </c>
      <c r="L866" s="165">
        <f>IFERROR(__xludf.DUMMYFUNCTION("""COMPUTED_VALUE"""),-0.242047542101051)</f>
        <v>-0.2420475421</v>
      </c>
      <c r="M866" s="166">
        <f t="shared" si="2"/>
        <v>0.01678423488</v>
      </c>
      <c r="N866" s="167">
        <f t="shared" si="3"/>
        <v>4.392777778</v>
      </c>
      <c r="O866" s="163">
        <f t="shared" ref="O866:Q866" si="870">rank(I866,I:I)</f>
        <v>2765</v>
      </c>
      <c r="P866" s="163">
        <f t="shared" si="870"/>
        <v>1727</v>
      </c>
      <c r="Q866" s="163">
        <f t="shared" si="870"/>
        <v>1488</v>
      </c>
      <c r="R866" s="163">
        <f>IFERROR(__xludf.DUMMYFUNCTION("RANK(M866,filter(M:M,C:C=C866))"),428.0)</f>
        <v>428</v>
      </c>
      <c r="S866" s="161" t="b">
        <f t="shared" si="5"/>
        <v>0</v>
      </c>
      <c r="T866" s="161" t="b">
        <f t="array" ref="T866">index('Query Tool'!B:B,match(H866,'Query Tool'!C:C,0))</f>
        <v>1</v>
      </c>
      <c r="U866" s="161" t="b">
        <f t="array" ref="U866">index('Query Tool'!B:B,match(C866,'Query Tool'!C:C,0))</f>
        <v>0</v>
      </c>
      <c r="V866" s="161" t="b">
        <f>F866&gt;='Query Tool'!C$32</f>
        <v>0</v>
      </c>
      <c r="W866" s="161" t="b">
        <f t="array" ref="W866">index(Dropdowns!B:B,match(I866,Dropdowns!A:A,0))</f>
        <v>1</v>
      </c>
      <c r="X866" s="161" t="b">
        <f t="array" ref="X866">index('Query Tool'!B:B,match(D866,'Query Tool'!C:C,0))</f>
        <v>1</v>
      </c>
      <c r="Y866" s="161" t="str">
        <f t="shared" si="6"/>
        <v>frankja01,2014-15</v>
      </c>
      <c r="Z866" s="168" t="str">
        <f t="array" ref="Z866">iferror(index(I:I,match($A866&amp;","&amp;index('Year Conversion'!$A:$A,match($C866,'Year Conversion'!$B:$B,0)),$Y:$Y,0))-I866,"")</f>
        <v/>
      </c>
      <c r="AA866" s="168" t="str">
        <f t="array" ref="AA866">iferror(index(J:J,match($A866&amp;","&amp;index('Year Conversion'!$A:$A,match($C866,'Year Conversion'!$B:$B,0)),$Y:$Y,0))-J866,"")</f>
        <v/>
      </c>
      <c r="AB866" s="168" t="str">
        <f t="array" ref="AB866">iferror(index(K:K,match($A866&amp;","&amp;index('Year Conversion'!$A:$A,match($C866,'Year Conversion'!$B:$B,0)),$Y:$Y,0))-K866,"")</f>
        <v/>
      </c>
      <c r="AC866" s="168" t="str">
        <f t="shared" si="7"/>
        <v>DEN,2014-15</v>
      </c>
    </row>
    <row r="867">
      <c r="A867" s="161" t="str">
        <f>IFERROR(__xludf.DUMMYFUNCTION("""COMPUTED_VALUE"""),"witheje01")</f>
        <v>witheje01</v>
      </c>
      <c r="B867" s="161" t="str">
        <f>IFERROR(__xludf.DUMMYFUNCTION("""COMPUTED_VALUE"""),"Jeff Withey")</f>
        <v>Jeff Withey</v>
      </c>
      <c r="C867" s="162" t="str">
        <f>IFERROR(__xludf.DUMMYFUNCTION("""COMPUTED_VALUE"""),"2014-15")</f>
        <v>2014-15</v>
      </c>
      <c r="D867" s="163" t="str">
        <f>IFERROR(__xludf.DUMMYFUNCTION("""COMPUTED_VALUE"""),"NOP")</f>
        <v>NOP</v>
      </c>
      <c r="E867" s="164" t="str">
        <f>IFERROR(__xludf.DUMMYFUNCTION("""COMPUTED_VALUE"""),"Roll + Cut Big")</f>
        <v>Roll + Cut Big</v>
      </c>
      <c r="F867" s="164">
        <f>IFERROR(__xludf.DUMMYFUNCTION("""COMPUTED_VALUE"""),258.585)</f>
        <v>258.585</v>
      </c>
      <c r="G867" s="163">
        <f>IFERROR(__xludf.DUMMYFUNCTION("""COMPUTED_VALUE"""),37.0)</f>
        <v>37</v>
      </c>
      <c r="H867" s="163" t="str">
        <f>IFERROR(__xludf.DUMMYFUNCTION("""COMPUTED_VALUE"""),"C")</f>
        <v>C</v>
      </c>
      <c r="I867" s="163">
        <f>IFERROR(__xludf.DUMMYFUNCTION("""COMPUTED_VALUE"""),24.0)</f>
        <v>24</v>
      </c>
      <c r="J867" s="165">
        <f>IFERROR(__xludf.DUMMYFUNCTION("""COMPUTED_VALUE"""),-0.209557477999245)</f>
        <v>-0.209557478</v>
      </c>
      <c r="K867" s="165">
        <f>IFERROR(__xludf.DUMMYFUNCTION("""COMPUTED_VALUE"""),-0.503976639821779)</f>
        <v>-0.5039766398</v>
      </c>
      <c r="L867" s="165">
        <f>IFERROR(__xludf.DUMMYFUNCTION("""COMPUTED_VALUE"""),0.294419161822534)</f>
        <v>0.2944191618</v>
      </c>
      <c r="M867" s="166">
        <f t="shared" si="2"/>
        <v>0.3621208224</v>
      </c>
      <c r="N867" s="167">
        <f t="shared" si="3"/>
        <v>6.988783784</v>
      </c>
      <c r="O867" s="163">
        <f t="shared" ref="O867:Q867" si="871">rank(I867,I:I)</f>
        <v>2361</v>
      </c>
      <c r="P867" s="163">
        <f t="shared" si="871"/>
        <v>1515</v>
      </c>
      <c r="Q867" s="163">
        <f t="shared" si="871"/>
        <v>2108</v>
      </c>
      <c r="R867" s="163">
        <f>IFERROR(__xludf.DUMMYFUNCTION("RANK(M867,filter(M:M,C:C=C867))"),301.0)</f>
        <v>301</v>
      </c>
      <c r="S867" s="161" t="b">
        <f t="shared" si="5"/>
        <v>0</v>
      </c>
      <c r="T867" s="161" t="b">
        <f t="array" ref="T867">index('Query Tool'!B:B,match(H867,'Query Tool'!C:C,0))</f>
        <v>1</v>
      </c>
      <c r="U867" s="161" t="b">
        <f t="array" ref="U867">index('Query Tool'!B:B,match(C867,'Query Tool'!C:C,0))</f>
        <v>0</v>
      </c>
      <c r="V867" s="161" t="b">
        <f>F867&gt;='Query Tool'!C$32</f>
        <v>0</v>
      </c>
      <c r="W867" s="161" t="b">
        <f t="array" ref="W867">index(Dropdowns!B:B,match(I867,Dropdowns!A:A,0))</f>
        <v>1</v>
      </c>
      <c r="X867" s="161" t="b">
        <f t="array" ref="X867">index('Query Tool'!B:B,match(D867,'Query Tool'!C:C,0))</f>
        <v>1</v>
      </c>
      <c r="Y867" s="161" t="str">
        <f t="shared" si="6"/>
        <v>witheje01,2014-15</v>
      </c>
      <c r="Z867" s="168">
        <f t="array" ref="Z867">iferror(index(I:I,match($A867&amp;","&amp;index('Year Conversion'!$A:$A,match($C867,'Year Conversion'!$B:$B,0)),$Y:$Y,0))-I867,"")</f>
        <v>1</v>
      </c>
      <c r="AA867" s="168">
        <f t="array" ref="AA867">iferror(index(J:J,match($A867&amp;","&amp;index('Year Conversion'!$A:$A,match($C867,'Year Conversion'!$B:$B,0)),$Y:$Y,0))-J867,"")</f>
        <v>1.7182501</v>
      </c>
      <c r="AB867" s="168">
        <f t="array" ref="AB867">iferror(index(K:K,match($A867&amp;","&amp;index('Year Conversion'!$A:$A,match($C867,'Year Conversion'!$B:$B,0)),$Y:$Y,0))-K867,"")</f>
        <v>-0.6278088946</v>
      </c>
      <c r="AC867" s="168" t="str">
        <f t="shared" si="7"/>
        <v>NOP,2014-15</v>
      </c>
    </row>
    <row r="868">
      <c r="A868" s="161" t="str">
        <f>IFERROR(__xludf.DUMMYFUNCTION("""COMPUTED_VALUE"""),"olynyke01")</f>
        <v>olynyke01</v>
      </c>
      <c r="B868" s="161" t="str">
        <f>IFERROR(__xludf.DUMMYFUNCTION("""COMPUTED_VALUE"""),"Kelly Olynyk")</f>
        <v>Kelly Olynyk</v>
      </c>
      <c r="C868" s="162" t="str">
        <f>IFERROR(__xludf.DUMMYFUNCTION("""COMPUTED_VALUE"""),"2014-15")</f>
        <v>2014-15</v>
      </c>
      <c r="D868" s="163" t="str">
        <f>IFERROR(__xludf.DUMMYFUNCTION("""COMPUTED_VALUE"""),"BOS")</f>
        <v>BOS</v>
      </c>
      <c r="E868" s="164" t="str">
        <f>IFERROR(__xludf.DUMMYFUNCTION("""COMPUTED_VALUE"""),"Stretch Big")</f>
        <v>Stretch Big</v>
      </c>
      <c r="F868" s="164">
        <f>IFERROR(__xludf.DUMMYFUNCTION("""COMPUTED_VALUE"""),1423.44666666667)</f>
        <v>1423.446667</v>
      </c>
      <c r="G868" s="163">
        <f>IFERROR(__xludf.DUMMYFUNCTION("""COMPUTED_VALUE"""),64.0)</f>
        <v>64</v>
      </c>
      <c r="H868" s="163" t="str">
        <f>IFERROR(__xludf.DUMMYFUNCTION("""COMPUTED_VALUE"""),"C")</f>
        <v>C</v>
      </c>
      <c r="I868" s="163">
        <f>IFERROR(__xludf.DUMMYFUNCTION("""COMPUTED_VALUE"""),23.0)</f>
        <v>23</v>
      </c>
      <c r="J868" s="165">
        <f>IFERROR(__xludf.DUMMYFUNCTION("""COMPUTED_VALUE"""),1.93182171792472)</f>
        <v>1.931821718</v>
      </c>
      <c r="K868" s="165">
        <f>IFERROR(__xludf.DUMMYFUNCTION("""COMPUTED_VALUE"""),0.978720051876709)</f>
        <v>0.9787200519</v>
      </c>
      <c r="L868" s="165">
        <f>IFERROR(__xludf.DUMMYFUNCTION("""COMPUTED_VALUE"""),0.953101666048015)</f>
        <v>0.953101666</v>
      </c>
      <c r="M868" s="166">
        <f t="shared" si="2"/>
        <v>4.038845859</v>
      </c>
      <c r="N868" s="167">
        <f t="shared" si="3"/>
        <v>22.24135417</v>
      </c>
      <c r="O868" s="163">
        <f t="shared" ref="O868:Q868" si="872">rank(I868,I:I)</f>
        <v>2765</v>
      </c>
      <c r="P868" s="163">
        <f t="shared" si="872"/>
        <v>337</v>
      </c>
      <c r="Q868" s="163">
        <f t="shared" si="872"/>
        <v>511</v>
      </c>
      <c r="R868" s="163">
        <f>IFERROR(__xludf.DUMMYFUNCTION("RANK(M868,filter(M:M,C:C=C868))"),85.0)</f>
        <v>85</v>
      </c>
      <c r="S868" s="161" t="b">
        <f t="shared" si="5"/>
        <v>0</v>
      </c>
      <c r="T868" s="161" t="b">
        <f t="array" ref="T868">index('Query Tool'!B:B,match(H868,'Query Tool'!C:C,0))</f>
        <v>1</v>
      </c>
      <c r="U868" s="161" t="b">
        <f t="array" ref="U868">index('Query Tool'!B:B,match(C868,'Query Tool'!C:C,0))</f>
        <v>0</v>
      </c>
      <c r="V868" s="161" t="b">
        <f>F868&gt;='Query Tool'!C$32</f>
        <v>1</v>
      </c>
      <c r="W868" s="161" t="b">
        <f t="array" ref="W868">index(Dropdowns!B:B,match(I868,Dropdowns!A:A,0))</f>
        <v>1</v>
      </c>
      <c r="X868" s="161" t="b">
        <f t="array" ref="X868">index('Query Tool'!B:B,match(D868,'Query Tool'!C:C,0))</f>
        <v>1</v>
      </c>
      <c r="Y868" s="161" t="str">
        <f t="shared" si="6"/>
        <v>olynyke01,2014-15</v>
      </c>
      <c r="Z868" s="168">
        <f t="array" ref="Z868">iferror(index(I:I,match($A868&amp;","&amp;index('Year Conversion'!$A:$A,match($C868,'Year Conversion'!$B:$B,0)),$Y:$Y,0))-I868,"")</f>
        <v>1</v>
      </c>
      <c r="AA868" s="168">
        <f t="array" ref="AA868">iferror(index(J:J,match($A868&amp;","&amp;index('Year Conversion'!$A:$A,match($C868,'Year Conversion'!$B:$B,0)),$Y:$Y,0))-J868,"")</f>
        <v>-1.626425109</v>
      </c>
      <c r="AB868" s="168">
        <f t="array" ref="AB868">iferror(index(K:K,match($A868&amp;","&amp;index('Year Conversion'!$A:$A,match($C868,'Year Conversion'!$B:$B,0)),$Y:$Y,0))-K868,"")</f>
        <v>-1.485303583</v>
      </c>
      <c r="AC868" s="168" t="str">
        <f t="shared" si="7"/>
        <v>BOS,2014-15</v>
      </c>
    </row>
    <row r="869">
      <c r="A869" s="161" t="str">
        <f>IFERROR(__xludf.DUMMYFUNCTION("""COMPUTED_VALUE"""),"caldwke01")</f>
        <v>caldwke01</v>
      </c>
      <c r="B869" s="161" t="str">
        <f>IFERROR(__xludf.DUMMYFUNCTION("""COMPUTED_VALUE"""),"Kentavious Caldwell-Pope")</f>
        <v>Kentavious Caldwell-Pope</v>
      </c>
      <c r="C869" s="162" t="str">
        <f>IFERROR(__xludf.DUMMYFUNCTION("""COMPUTED_VALUE"""),"2014-15")</f>
        <v>2014-15</v>
      </c>
      <c r="D869" s="163" t="str">
        <f>IFERROR(__xludf.DUMMYFUNCTION("""COMPUTED_VALUE"""),"DET")</f>
        <v>DET</v>
      </c>
      <c r="E869" s="164" t="str">
        <f>IFERROR(__xludf.DUMMYFUNCTION("""COMPUTED_VALUE"""),"Movement Shooter")</f>
        <v>Movement Shooter</v>
      </c>
      <c r="F869" s="164">
        <f>IFERROR(__xludf.DUMMYFUNCTION("""COMPUTED_VALUE"""),2586.805)</f>
        <v>2586.805</v>
      </c>
      <c r="G869" s="163">
        <f>IFERROR(__xludf.DUMMYFUNCTION("""COMPUTED_VALUE"""),82.0)</f>
        <v>82</v>
      </c>
      <c r="H869" s="163" t="str">
        <f>IFERROR(__xludf.DUMMYFUNCTION("""COMPUTED_VALUE"""),"SG")</f>
        <v>SG</v>
      </c>
      <c r="I869" s="163">
        <f>IFERROR(__xludf.DUMMYFUNCTION("""COMPUTED_VALUE"""),21.0)</f>
        <v>21</v>
      </c>
      <c r="J869" s="165">
        <f>IFERROR(__xludf.DUMMYFUNCTION("""COMPUTED_VALUE"""),0.0373614959930273)</f>
        <v>0.03736149599</v>
      </c>
      <c r="K869" s="165">
        <f>IFERROR(__xludf.DUMMYFUNCTION("""COMPUTED_VALUE"""),0.453847534774902)</f>
        <v>0.4538475348</v>
      </c>
      <c r="L869" s="165">
        <f>IFERROR(__xludf.DUMMYFUNCTION("""COMPUTED_VALUE"""),-0.416486038781875)</f>
        <v>-0.4164860388</v>
      </c>
      <c r="M869" s="166">
        <f t="shared" si="2"/>
        <v>4.053149274</v>
      </c>
      <c r="N869" s="167">
        <f t="shared" si="3"/>
        <v>31.54640244</v>
      </c>
      <c r="O869" s="163">
        <f t="shared" ref="O869:Q869" si="873">rank(I869,I:I)</f>
        <v>3528</v>
      </c>
      <c r="P869" s="163">
        <f t="shared" si="873"/>
        <v>1258</v>
      </c>
      <c r="Q869" s="163">
        <f t="shared" si="873"/>
        <v>798</v>
      </c>
      <c r="R869" s="163">
        <f>IFERROR(__xludf.DUMMYFUNCTION("RANK(M869,filter(M:M,C:C=C869))"),84.0)</f>
        <v>84</v>
      </c>
      <c r="S869" s="161" t="b">
        <f t="shared" si="5"/>
        <v>0</v>
      </c>
      <c r="T869" s="161" t="b">
        <f t="array" ref="T869">index('Query Tool'!B:B,match(H869,'Query Tool'!C:C,0))</f>
        <v>1</v>
      </c>
      <c r="U869" s="161" t="b">
        <f t="array" ref="U869">index('Query Tool'!B:B,match(C869,'Query Tool'!C:C,0))</f>
        <v>0</v>
      </c>
      <c r="V869" s="161" t="b">
        <f>F869&gt;='Query Tool'!C$32</f>
        <v>1</v>
      </c>
      <c r="W869" s="161" t="b">
        <f t="array" ref="W869">index(Dropdowns!B:B,match(I869,Dropdowns!A:A,0))</f>
        <v>1</v>
      </c>
      <c r="X869" s="161" t="b">
        <f t="array" ref="X869">index('Query Tool'!B:B,match(D869,'Query Tool'!C:C,0))</f>
        <v>1</v>
      </c>
      <c r="Y869" s="161" t="str">
        <f t="shared" si="6"/>
        <v>caldwke01,2014-15</v>
      </c>
      <c r="Z869" s="168">
        <f t="array" ref="Z869">iferror(index(I:I,match($A869&amp;","&amp;index('Year Conversion'!$A:$A,match($C869,'Year Conversion'!$B:$B,0)),$Y:$Y,0))-I869,"")</f>
        <v>1</v>
      </c>
      <c r="AA869" s="168">
        <f t="array" ref="AA869">iferror(index(J:J,match($A869&amp;","&amp;index('Year Conversion'!$A:$A,match($C869,'Year Conversion'!$B:$B,0)),$Y:$Y,0))-J869,"")</f>
        <v>1.162138256</v>
      </c>
      <c r="AB869" s="168">
        <f t="array" ref="AB869">iferror(index(K:K,match($A869&amp;","&amp;index('Year Conversion'!$A:$A,match($C869,'Year Conversion'!$B:$B,0)),$Y:$Y,0))-K869,"")</f>
        <v>0.7921242346</v>
      </c>
      <c r="AC869" s="168" t="str">
        <f t="shared" si="7"/>
        <v>DET,2014-15</v>
      </c>
    </row>
    <row r="870">
      <c r="A870" s="161" t="str">
        <f>IFERROR(__xludf.DUMMYFUNCTION("""COMPUTED_VALUE"""),"brownlo01")</f>
        <v>brownlo01</v>
      </c>
      <c r="B870" s="161" t="str">
        <f>IFERROR(__xludf.DUMMYFUNCTION("""COMPUTED_VALUE"""),"Lorenzo Brown")</f>
        <v>Lorenzo Brown</v>
      </c>
      <c r="C870" s="162" t="str">
        <f>IFERROR(__xludf.DUMMYFUNCTION("""COMPUTED_VALUE"""),"2014-15")</f>
        <v>2014-15</v>
      </c>
      <c r="D870" s="163" t="str">
        <f>IFERROR(__xludf.DUMMYFUNCTION("""COMPUTED_VALUE"""),"MIN")</f>
        <v>MIN</v>
      </c>
      <c r="E870" s="164" t="str">
        <f>IFERROR(__xludf.DUMMYFUNCTION("""COMPUTED_VALUE"""),"Secondary Ball Handler")</f>
        <v>Secondary Ball Handler</v>
      </c>
      <c r="F870" s="164">
        <f>IFERROR(__xludf.DUMMYFUNCTION("""COMPUTED_VALUE"""),548.613333333333)</f>
        <v>548.6133333</v>
      </c>
      <c r="G870" s="163">
        <f>IFERROR(__xludf.DUMMYFUNCTION("""COMPUTED_VALUE"""),29.0)</f>
        <v>29</v>
      </c>
      <c r="H870" s="163" t="str">
        <f>IFERROR(__xludf.DUMMYFUNCTION("""COMPUTED_VALUE"""),"PG")</f>
        <v>PG</v>
      </c>
      <c r="I870" s="163">
        <f>IFERROR(__xludf.DUMMYFUNCTION("""COMPUTED_VALUE"""),24.0)</f>
        <v>24</v>
      </c>
      <c r="J870" s="165">
        <f>IFERROR(__xludf.DUMMYFUNCTION("""COMPUTED_VALUE"""),-0.910270554336223)</f>
        <v>-0.9102705543</v>
      </c>
      <c r="K870" s="165">
        <f>IFERROR(__xludf.DUMMYFUNCTION("""COMPUTED_VALUE"""),-0.810927739581087)</f>
        <v>-0.8109277396</v>
      </c>
      <c r="L870" s="165">
        <f>IFERROR(__xludf.DUMMYFUNCTION("""COMPUTED_VALUE"""),-0.0993428147551362)</f>
        <v>-0.09934281476</v>
      </c>
      <c r="M870" s="166">
        <f t="shared" si="2"/>
        <v>0.5094845624</v>
      </c>
      <c r="N870" s="167">
        <f t="shared" si="3"/>
        <v>18.91770115</v>
      </c>
      <c r="O870" s="163">
        <f t="shared" ref="O870:Q870" si="874">rank(I870,I:I)</f>
        <v>2361</v>
      </c>
      <c r="P870" s="163">
        <f t="shared" si="874"/>
        <v>2407</v>
      </c>
      <c r="Q870" s="163">
        <f t="shared" si="874"/>
        <v>2569</v>
      </c>
      <c r="R870" s="163">
        <f>IFERROR(__xludf.DUMMYFUNCTION("RANK(M870,filter(M:M,C:C=C870))"),283.0)</f>
        <v>283</v>
      </c>
      <c r="S870" s="161" t="b">
        <f t="shared" si="5"/>
        <v>0</v>
      </c>
      <c r="T870" s="161" t="b">
        <f t="array" ref="T870">index('Query Tool'!B:B,match(H870,'Query Tool'!C:C,0))</f>
        <v>1</v>
      </c>
      <c r="U870" s="161" t="b">
        <f t="array" ref="U870">index('Query Tool'!B:B,match(C870,'Query Tool'!C:C,0))</f>
        <v>0</v>
      </c>
      <c r="V870" s="161" t="b">
        <f>F870&gt;='Query Tool'!C$32</f>
        <v>1</v>
      </c>
      <c r="W870" s="161" t="b">
        <f t="array" ref="W870">index(Dropdowns!B:B,match(I870,Dropdowns!A:A,0))</f>
        <v>1</v>
      </c>
      <c r="X870" s="161" t="b">
        <f t="array" ref="X870">index('Query Tool'!B:B,match(D870,'Query Tool'!C:C,0))</f>
        <v>1</v>
      </c>
      <c r="Y870" s="161" t="str">
        <f t="shared" si="6"/>
        <v>brownlo01,2014-15</v>
      </c>
      <c r="Z870" s="168">
        <f t="array" ref="Z870">iferror(index(I:I,match($A870&amp;","&amp;index('Year Conversion'!$A:$A,match($C870,'Year Conversion'!$B:$B,0)),$Y:$Y,0))-I870,"")</f>
        <v>1</v>
      </c>
      <c r="AA870" s="168">
        <f t="array" ref="AA870">iferror(index(J:J,match($A870&amp;","&amp;index('Year Conversion'!$A:$A,match($C870,'Year Conversion'!$B:$B,0)),$Y:$Y,0))-J870,"")</f>
        <v>0.879272065</v>
      </c>
      <c r="AB870" s="168">
        <f t="array" ref="AB870">iferror(index(K:K,match($A870&amp;","&amp;index('Year Conversion'!$A:$A,match($C870,'Year Conversion'!$B:$B,0)),$Y:$Y,0))-K870,"")</f>
        <v>0.6151470902</v>
      </c>
      <c r="AC870" s="168" t="str">
        <f t="shared" si="7"/>
        <v>MIN,2014-15</v>
      </c>
    </row>
    <row r="871">
      <c r="A871" s="161" t="str">
        <f>IFERROR(__xludf.DUMMYFUNCTION("""COMPUTED_VALUE"""),"plumlma01")</f>
        <v>plumlma01</v>
      </c>
      <c r="B871" s="161" t="str">
        <f>IFERROR(__xludf.DUMMYFUNCTION("""COMPUTED_VALUE"""),"Mason Plumlee")</f>
        <v>Mason Plumlee</v>
      </c>
      <c r="C871" s="162" t="str">
        <f>IFERROR(__xludf.DUMMYFUNCTION("""COMPUTED_VALUE"""),"2014-15")</f>
        <v>2014-15</v>
      </c>
      <c r="D871" s="163" t="str">
        <f>IFERROR(__xludf.DUMMYFUNCTION("""COMPUTED_VALUE"""),"BRK")</f>
        <v>BRK</v>
      </c>
      <c r="E871" s="164" t="str">
        <f>IFERROR(__xludf.DUMMYFUNCTION("""COMPUTED_VALUE"""),"Post Scorer")</f>
        <v>Post Scorer</v>
      </c>
      <c r="F871" s="164">
        <f>IFERROR(__xludf.DUMMYFUNCTION("""COMPUTED_VALUE"""),1742.62)</f>
        <v>1742.62</v>
      </c>
      <c r="G871" s="163">
        <f>IFERROR(__xludf.DUMMYFUNCTION("""COMPUTED_VALUE"""),82.0)</f>
        <v>82</v>
      </c>
      <c r="H871" s="163" t="str">
        <f>IFERROR(__xludf.DUMMYFUNCTION("""COMPUTED_VALUE"""),"C")</f>
        <v>C</v>
      </c>
      <c r="I871" s="163">
        <f>IFERROR(__xludf.DUMMYFUNCTION("""COMPUTED_VALUE"""),24.0)</f>
        <v>24</v>
      </c>
      <c r="J871" s="165">
        <f>IFERROR(__xludf.DUMMYFUNCTION("""COMPUTED_VALUE"""),-0.0174736477537544)</f>
        <v>-0.01747364775</v>
      </c>
      <c r="K871" s="165">
        <f>IFERROR(__xludf.DUMMYFUNCTION("""COMPUTED_VALUE"""),-0.292415993650131)</f>
        <v>-0.2924159937</v>
      </c>
      <c r="L871" s="165">
        <f>IFERROR(__xludf.DUMMYFUNCTION("""COMPUTED_VALUE"""),0.274942345896377)</f>
        <v>0.2749423459</v>
      </c>
      <c r="M871" s="166">
        <f t="shared" si="2"/>
        <v>2.666010144</v>
      </c>
      <c r="N871" s="167">
        <f t="shared" si="3"/>
        <v>21.25146341</v>
      </c>
      <c r="O871" s="163">
        <f t="shared" ref="O871:Q871" si="875">rank(I871,I:I)</f>
        <v>2361</v>
      </c>
      <c r="P871" s="163">
        <f t="shared" si="875"/>
        <v>1303</v>
      </c>
      <c r="Q871" s="163">
        <f t="shared" si="875"/>
        <v>1751</v>
      </c>
      <c r="R871" s="163">
        <f>IFERROR(__xludf.DUMMYFUNCTION("RANK(M871,filter(M:M,C:C=C871))"),128.0)</f>
        <v>128</v>
      </c>
      <c r="S871" s="161" t="b">
        <f t="shared" si="5"/>
        <v>0</v>
      </c>
      <c r="T871" s="161" t="b">
        <f t="array" ref="T871">index('Query Tool'!B:B,match(H871,'Query Tool'!C:C,0))</f>
        <v>1</v>
      </c>
      <c r="U871" s="161" t="b">
        <f t="array" ref="U871">index('Query Tool'!B:B,match(C871,'Query Tool'!C:C,0))</f>
        <v>0</v>
      </c>
      <c r="V871" s="161" t="b">
        <f>F871&gt;='Query Tool'!C$32</f>
        <v>1</v>
      </c>
      <c r="W871" s="161" t="b">
        <f t="array" ref="W871">index(Dropdowns!B:B,match(I871,Dropdowns!A:A,0))</f>
        <v>1</v>
      </c>
      <c r="X871" s="161" t="b">
        <f t="array" ref="X871">index('Query Tool'!B:B,match(D871,'Query Tool'!C:C,0))</f>
        <v>1</v>
      </c>
      <c r="Y871" s="161" t="str">
        <f t="shared" si="6"/>
        <v>plumlma01,2014-15</v>
      </c>
      <c r="Z871" s="168">
        <f t="array" ref="Z871">iferror(index(I:I,match($A871&amp;","&amp;index('Year Conversion'!$A:$A,match($C871,'Year Conversion'!$B:$B,0)),$Y:$Y,0))-I871,"")</f>
        <v>1</v>
      </c>
      <c r="AA871" s="168">
        <f t="array" ref="AA871">iferror(index(J:J,match($A871&amp;","&amp;index('Year Conversion'!$A:$A,match($C871,'Year Conversion'!$B:$B,0)),$Y:$Y,0))-J871,"")</f>
        <v>0.7372141365</v>
      </c>
      <c r="AB871" s="168">
        <f t="array" ref="AB871">iferror(index(K:K,match($A871&amp;","&amp;index('Year Conversion'!$A:$A,match($C871,'Year Conversion'!$B:$B,0)),$Y:$Y,0))-K871,"")</f>
        <v>-0.2519140436</v>
      </c>
      <c r="AC871" s="168" t="str">
        <f t="shared" si="7"/>
        <v>BRK,2014-15</v>
      </c>
    </row>
    <row r="872">
      <c r="A872" s="161" t="str">
        <f>IFERROR(__xludf.DUMMYFUNCTION("""COMPUTED_VALUE"""),"cartemi01")</f>
        <v>cartemi01</v>
      </c>
      <c r="B872" s="161" t="str">
        <f>IFERROR(__xludf.DUMMYFUNCTION("""COMPUTED_VALUE"""),"Michael Carter-Williams")</f>
        <v>Michael Carter-Williams</v>
      </c>
      <c r="C872" s="162" t="str">
        <f>IFERROR(__xludf.DUMMYFUNCTION("""COMPUTED_VALUE"""),"2014-15")</f>
        <v>2014-15</v>
      </c>
      <c r="D872" s="163" t="str">
        <f>IFERROR(__xludf.DUMMYFUNCTION("""COMPUTED_VALUE"""),"TOT")</f>
        <v>TOT</v>
      </c>
      <c r="E872" s="164" t="str">
        <f>IFERROR(__xludf.DUMMYFUNCTION("""COMPUTED_VALUE"""),"Shot Creator")</f>
        <v>Shot Creator</v>
      </c>
      <c r="F872" s="164">
        <f>IFERROR(__xludf.DUMMYFUNCTION("""COMPUTED_VALUE"""),2149.94333333333)</f>
        <v>2149.943333</v>
      </c>
      <c r="G872" s="163">
        <f>IFERROR(__xludf.DUMMYFUNCTION("""COMPUTED_VALUE"""),66.0)</f>
        <v>66</v>
      </c>
      <c r="H872" s="163" t="str">
        <f>IFERROR(__xludf.DUMMYFUNCTION("""COMPUTED_VALUE"""),"PG")</f>
        <v>PG</v>
      </c>
      <c r="I872" s="163">
        <f>IFERROR(__xludf.DUMMYFUNCTION("""COMPUTED_VALUE"""),23.0)</f>
        <v>23</v>
      </c>
      <c r="J872" s="165">
        <f>IFERROR(__xludf.DUMMYFUNCTION("""COMPUTED_VALUE"""),0.142038244938803)</f>
        <v>0.1420382449</v>
      </c>
      <c r="K872" s="165">
        <f>IFERROR(__xludf.DUMMYFUNCTION("""COMPUTED_VALUE"""),-0.673294500385043)</f>
        <v>-0.6732945004</v>
      </c>
      <c r="L872" s="165">
        <f>IFERROR(__xludf.DUMMYFUNCTION("""COMPUTED_VALUE"""),0.815332745323846)</f>
        <v>0.8153327453</v>
      </c>
      <c r="M872" s="166">
        <f t="shared" si="2"/>
        <v>3.520370363</v>
      </c>
      <c r="N872" s="167">
        <f t="shared" si="3"/>
        <v>32.57489899</v>
      </c>
      <c r="O872" s="163">
        <f t="shared" ref="O872:Q872" si="876">rank(I872,I:I)</f>
        <v>2765</v>
      </c>
      <c r="P872" s="163">
        <f t="shared" si="876"/>
        <v>1143</v>
      </c>
      <c r="Q872" s="163">
        <f t="shared" si="876"/>
        <v>2375</v>
      </c>
      <c r="R872" s="163">
        <f>IFERROR(__xludf.DUMMYFUNCTION("RANK(M872,filter(M:M,C:C=C872))"),100.0)</f>
        <v>100</v>
      </c>
      <c r="S872" s="161" t="b">
        <f t="shared" si="5"/>
        <v>0</v>
      </c>
      <c r="T872" s="161" t="b">
        <f t="array" ref="T872">index('Query Tool'!B:B,match(H872,'Query Tool'!C:C,0))</f>
        <v>1</v>
      </c>
      <c r="U872" s="161" t="b">
        <f t="array" ref="U872">index('Query Tool'!B:B,match(C872,'Query Tool'!C:C,0))</f>
        <v>0</v>
      </c>
      <c r="V872" s="161" t="b">
        <f>F872&gt;='Query Tool'!C$32</f>
        <v>1</v>
      </c>
      <c r="W872" s="161" t="b">
        <f t="array" ref="W872">index(Dropdowns!B:B,match(I872,Dropdowns!A:A,0))</f>
        <v>1</v>
      </c>
      <c r="X872" s="161" t="b">
        <f t="array" ref="X872">index('Query Tool'!B:B,match(D872,'Query Tool'!C:C,0))</f>
        <v>1</v>
      </c>
      <c r="Y872" s="161" t="str">
        <f t="shared" si="6"/>
        <v>cartemi01,2014-15</v>
      </c>
      <c r="Z872" s="168">
        <f t="array" ref="Z872">iferror(index(I:I,match($A872&amp;","&amp;index('Year Conversion'!$A:$A,match($C872,'Year Conversion'!$B:$B,0)),$Y:$Y,0))-I872,"")</f>
        <v>1</v>
      </c>
      <c r="AA872" s="168">
        <f t="array" ref="AA872">iferror(index(J:J,match($A872&amp;","&amp;index('Year Conversion'!$A:$A,match($C872,'Year Conversion'!$B:$B,0)),$Y:$Y,0))-J872,"")</f>
        <v>-0.4432039011</v>
      </c>
      <c r="AB872" s="168">
        <f t="array" ref="AB872">iferror(index(K:K,match($A872&amp;","&amp;index('Year Conversion'!$A:$A,match($C872,'Year Conversion'!$B:$B,0)),$Y:$Y,0))-K872,"")</f>
        <v>-0.6552312032</v>
      </c>
      <c r="AC872" s="168" t="str">
        <f t="shared" si="7"/>
        <v>TOT,2014-15</v>
      </c>
    </row>
    <row r="873">
      <c r="A873" s="161" t="str">
        <f>IFERROR(__xludf.DUMMYFUNCTION("""COMPUTED_VALUE"""),"muscami01")</f>
        <v>muscami01</v>
      </c>
      <c r="B873" s="161" t="str">
        <f>IFERROR(__xludf.DUMMYFUNCTION("""COMPUTED_VALUE"""),"Mike Muscala")</f>
        <v>Mike Muscala</v>
      </c>
      <c r="C873" s="162" t="str">
        <f>IFERROR(__xludf.DUMMYFUNCTION("""COMPUTED_VALUE"""),"2014-15")</f>
        <v>2014-15</v>
      </c>
      <c r="D873" s="163" t="str">
        <f>IFERROR(__xludf.DUMMYFUNCTION("""COMPUTED_VALUE"""),"ATL")</f>
        <v>ATL</v>
      </c>
      <c r="E873" s="164" t="str">
        <f>IFERROR(__xludf.DUMMYFUNCTION("""COMPUTED_VALUE"""),"Roll + Cut Big")</f>
        <v>Roll + Cut Big</v>
      </c>
      <c r="F873" s="164">
        <f>IFERROR(__xludf.DUMMYFUNCTION("""COMPUTED_VALUE"""),502.14)</f>
        <v>502.14</v>
      </c>
      <c r="G873" s="163">
        <f>IFERROR(__xludf.DUMMYFUNCTION("""COMPUTED_VALUE"""),40.0)</f>
        <v>40</v>
      </c>
      <c r="H873" s="163" t="str">
        <f>IFERROR(__xludf.DUMMYFUNCTION("""COMPUTED_VALUE"""),"PF")</f>
        <v>PF</v>
      </c>
      <c r="I873" s="163">
        <f>IFERROR(__xludf.DUMMYFUNCTION("""COMPUTED_VALUE"""),23.0)</f>
        <v>23</v>
      </c>
      <c r="J873" s="165">
        <f>IFERROR(__xludf.DUMMYFUNCTION("""COMPUTED_VALUE"""),-0.8265552061833)</f>
        <v>-0.8265552062</v>
      </c>
      <c r="K873" s="165">
        <f>IFERROR(__xludf.DUMMYFUNCTION("""COMPUTED_VALUE"""),-0.513401627845048)</f>
        <v>-0.5134016278</v>
      </c>
      <c r="L873" s="165">
        <f>IFERROR(__xludf.DUMMYFUNCTION("""COMPUTED_VALUE"""),-0.313153578338252)</f>
        <v>-0.3131535783</v>
      </c>
      <c r="M873" s="166">
        <f t="shared" si="2"/>
        <v>0.4945776929</v>
      </c>
      <c r="N873" s="167">
        <f t="shared" si="3"/>
        <v>12.5535</v>
      </c>
      <c r="O873" s="163">
        <f t="shared" ref="O873:Q873" si="877">rank(I873,I:I)</f>
        <v>2765</v>
      </c>
      <c r="P873" s="163">
        <f t="shared" si="877"/>
        <v>2320</v>
      </c>
      <c r="Q873" s="163">
        <f t="shared" si="877"/>
        <v>2129</v>
      </c>
      <c r="R873" s="163">
        <f>IFERROR(__xludf.DUMMYFUNCTION("RANK(M873,filter(M:M,C:C=C873))"),285.0)</f>
        <v>285</v>
      </c>
      <c r="S873" s="161" t="b">
        <f t="shared" si="5"/>
        <v>0</v>
      </c>
      <c r="T873" s="161" t="b">
        <f t="array" ref="T873">index('Query Tool'!B:B,match(H873,'Query Tool'!C:C,0))</f>
        <v>1</v>
      </c>
      <c r="U873" s="161" t="b">
        <f t="array" ref="U873">index('Query Tool'!B:B,match(C873,'Query Tool'!C:C,0))</f>
        <v>0</v>
      </c>
      <c r="V873" s="161" t="b">
        <f>F873&gt;='Query Tool'!C$32</f>
        <v>1</v>
      </c>
      <c r="W873" s="161" t="b">
        <f t="array" ref="W873">index(Dropdowns!B:B,match(I873,Dropdowns!A:A,0))</f>
        <v>1</v>
      </c>
      <c r="X873" s="161" t="b">
        <f t="array" ref="X873">index('Query Tool'!B:B,match(D873,'Query Tool'!C:C,0))</f>
        <v>1</v>
      </c>
      <c r="Y873" s="161" t="str">
        <f t="shared" si="6"/>
        <v>muscami01,2014-15</v>
      </c>
      <c r="Z873" s="168">
        <f t="array" ref="Z873">iferror(index(I:I,match($A873&amp;","&amp;index('Year Conversion'!$A:$A,match($C873,'Year Conversion'!$B:$B,0)),$Y:$Y,0))-I873,"")</f>
        <v>1</v>
      </c>
      <c r="AA873" s="168">
        <f t="array" ref="AA873">iferror(index(J:J,match($A873&amp;","&amp;index('Year Conversion'!$A:$A,match($C873,'Year Conversion'!$B:$B,0)),$Y:$Y,0))-J873,"")</f>
        <v>0.7132626772</v>
      </c>
      <c r="AB873" s="168">
        <f t="array" ref="AB873">iferror(index(K:K,match($A873&amp;","&amp;index('Year Conversion'!$A:$A,match($C873,'Year Conversion'!$B:$B,0)),$Y:$Y,0))-K873,"")</f>
        <v>-0.4322942796</v>
      </c>
      <c r="AC873" s="168" t="str">
        <f t="shared" si="7"/>
        <v>ATL,2014-15</v>
      </c>
    </row>
    <row r="874">
      <c r="A874" s="161" t="str">
        <f>IFERROR(__xludf.DUMMYFUNCTION("""COMPUTED_VALUE"""),"woltena01")</f>
        <v>woltena01</v>
      </c>
      <c r="B874" s="161" t="str">
        <f>IFERROR(__xludf.DUMMYFUNCTION("""COMPUTED_VALUE"""),"Nate Wolters")</f>
        <v>Nate Wolters</v>
      </c>
      <c r="C874" s="162" t="str">
        <f>IFERROR(__xludf.DUMMYFUNCTION("""COMPUTED_VALUE"""),"2014-15")</f>
        <v>2014-15</v>
      </c>
      <c r="D874" s="163" t="str">
        <f>IFERROR(__xludf.DUMMYFUNCTION("""COMPUTED_VALUE"""),"TOT")</f>
        <v>TOT</v>
      </c>
      <c r="E874" s="164" t="str">
        <f>IFERROR(__xludf.DUMMYFUNCTION("""COMPUTED_VALUE"""),"Secondary Ball Handler")</f>
        <v>Secondary Ball Handler</v>
      </c>
      <c r="F874" s="164">
        <f>IFERROR(__xludf.DUMMYFUNCTION("""COMPUTED_VALUE"""),246.678333333333)</f>
        <v>246.6783333</v>
      </c>
      <c r="G874" s="163">
        <f>IFERROR(__xludf.DUMMYFUNCTION("""COMPUTED_VALUE"""),21.0)</f>
        <v>21</v>
      </c>
      <c r="H874" s="163" t="str">
        <f>IFERROR(__xludf.DUMMYFUNCTION("""COMPUTED_VALUE"""),"PG")</f>
        <v>PG</v>
      </c>
      <c r="I874" s="163">
        <f>IFERROR(__xludf.DUMMYFUNCTION("""COMPUTED_VALUE"""),23.0)</f>
        <v>23</v>
      </c>
      <c r="J874" s="165">
        <f>IFERROR(__xludf.DUMMYFUNCTION("""COMPUTED_VALUE"""),-1.22572082994978)</f>
        <v>-1.22572083</v>
      </c>
      <c r="K874" s="165">
        <f>IFERROR(__xludf.DUMMYFUNCTION("""COMPUTED_VALUE"""),-0.89984510880888)</f>
        <v>-0.8998451088</v>
      </c>
      <c r="L874" s="165">
        <f>IFERROR(__xludf.DUMMYFUNCTION("""COMPUTED_VALUE"""),-0.325875721140902)</f>
        <v>-0.3258757211</v>
      </c>
      <c r="M874" s="166">
        <f t="shared" si="2"/>
        <v>0.1768729468</v>
      </c>
      <c r="N874" s="167">
        <f t="shared" si="3"/>
        <v>11.7465873</v>
      </c>
      <c r="O874" s="163">
        <f t="shared" ref="O874:Q874" si="878">rank(I874,I:I)</f>
        <v>2765</v>
      </c>
      <c r="P874" s="163">
        <f t="shared" si="878"/>
        <v>2781</v>
      </c>
      <c r="Q874" s="163">
        <f t="shared" si="878"/>
        <v>2690</v>
      </c>
      <c r="R874" s="163">
        <f>IFERROR(__xludf.DUMMYFUNCTION("RANK(M874,filter(M:M,C:C=C874))"),343.0)</f>
        <v>343</v>
      </c>
      <c r="S874" s="161" t="b">
        <f t="shared" si="5"/>
        <v>0</v>
      </c>
      <c r="T874" s="161" t="b">
        <f t="array" ref="T874">index('Query Tool'!B:B,match(H874,'Query Tool'!C:C,0))</f>
        <v>1</v>
      </c>
      <c r="U874" s="161" t="b">
        <f t="array" ref="U874">index('Query Tool'!B:B,match(C874,'Query Tool'!C:C,0))</f>
        <v>0</v>
      </c>
      <c r="V874" s="161" t="b">
        <f>F874&gt;='Query Tool'!C$32</f>
        <v>0</v>
      </c>
      <c r="W874" s="161" t="b">
        <f t="array" ref="W874">index(Dropdowns!B:B,match(I874,Dropdowns!A:A,0))</f>
        <v>1</v>
      </c>
      <c r="X874" s="161" t="b">
        <f t="array" ref="X874">index('Query Tool'!B:B,match(D874,'Query Tool'!C:C,0))</f>
        <v>1</v>
      </c>
      <c r="Y874" s="161" t="str">
        <f t="shared" si="6"/>
        <v>woltena01,2014-15</v>
      </c>
      <c r="Z874" s="168" t="str">
        <f t="array" ref="Z874">iferror(index(I:I,match($A874&amp;","&amp;index('Year Conversion'!$A:$A,match($C874,'Year Conversion'!$B:$B,0)),$Y:$Y,0))-I874,"")</f>
        <v/>
      </c>
      <c r="AA874" s="168" t="str">
        <f t="array" ref="AA874">iferror(index(J:J,match($A874&amp;","&amp;index('Year Conversion'!$A:$A,match($C874,'Year Conversion'!$B:$B,0)),$Y:$Y,0))-J874,"")</f>
        <v/>
      </c>
      <c r="AB874" s="168" t="str">
        <f t="array" ref="AB874">iferror(index(K:K,match($A874&amp;","&amp;index('Year Conversion'!$A:$A,match($C874,'Year Conversion'!$B:$B,0)),$Y:$Y,0))-K874,"")</f>
        <v/>
      </c>
      <c r="AC874" s="168" t="str">
        <f t="shared" si="7"/>
        <v>TOT,2014-15</v>
      </c>
    </row>
    <row r="875">
      <c r="A875" s="161" t="str">
        <f>IFERROR(__xludf.DUMMYFUNCTION("""COMPUTED_VALUE"""),"porteot01")</f>
        <v>porteot01</v>
      </c>
      <c r="B875" s="161" t="str">
        <f>IFERROR(__xludf.DUMMYFUNCTION("""COMPUTED_VALUE"""),"Otto Porter Jr.")</f>
        <v>Otto Porter Jr.</v>
      </c>
      <c r="C875" s="162" t="str">
        <f>IFERROR(__xludf.DUMMYFUNCTION("""COMPUTED_VALUE"""),"2014-15")</f>
        <v>2014-15</v>
      </c>
      <c r="D875" s="163" t="str">
        <f>IFERROR(__xludf.DUMMYFUNCTION("""COMPUTED_VALUE"""),"WAS")</f>
        <v>WAS</v>
      </c>
      <c r="E875" s="164" t="str">
        <f>IFERROR(__xludf.DUMMYFUNCTION("""COMPUTED_VALUE"""),"Athletic Finisher")</f>
        <v>Athletic Finisher</v>
      </c>
      <c r="F875" s="164">
        <f>IFERROR(__xludf.DUMMYFUNCTION("""COMPUTED_VALUE"""),1432.055)</f>
        <v>1432.055</v>
      </c>
      <c r="G875" s="163">
        <f>IFERROR(__xludf.DUMMYFUNCTION("""COMPUTED_VALUE"""),74.0)</f>
        <v>74</v>
      </c>
      <c r="H875" s="163" t="str">
        <f>IFERROR(__xludf.DUMMYFUNCTION("""COMPUTED_VALUE"""),"SF")</f>
        <v>SF</v>
      </c>
      <c r="I875" s="163">
        <f>IFERROR(__xludf.DUMMYFUNCTION("""COMPUTED_VALUE"""),21.0)</f>
        <v>21</v>
      </c>
      <c r="J875" s="165">
        <f>IFERROR(__xludf.DUMMYFUNCTION("""COMPUTED_VALUE"""),-0.811799188953456)</f>
        <v>-0.811799189</v>
      </c>
      <c r="K875" s="165">
        <f>IFERROR(__xludf.DUMMYFUNCTION("""COMPUTED_VALUE"""),0.264190493593791)</f>
        <v>0.2641904936</v>
      </c>
      <c r="L875" s="165">
        <f>IFERROR(__xludf.DUMMYFUNCTION("""COMPUTED_VALUE"""),-1.07598968254725)</f>
        <v>-1.075989683</v>
      </c>
      <c r="M875" s="166">
        <f t="shared" si="2"/>
        <v>1.424694851</v>
      </c>
      <c r="N875" s="167">
        <f t="shared" si="3"/>
        <v>19.35209459</v>
      </c>
      <c r="O875" s="163">
        <f t="shared" ref="O875:Q875" si="879">rank(I875,I:I)</f>
        <v>3528</v>
      </c>
      <c r="P875" s="163">
        <f t="shared" si="879"/>
        <v>2299</v>
      </c>
      <c r="Q875" s="163">
        <f t="shared" si="879"/>
        <v>938</v>
      </c>
      <c r="R875" s="163">
        <f>IFERROR(__xludf.DUMMYFUNCTION("RANK(M875,filter(M:M,C:C=C875))"),204.0)</f>
        <v>204</v>
      </c>
      <c r="S875" s="161" t="b">
        <f t="shared" si="5"/>
        <v>0</v>
      </c>
      <c r="T875" s="161" t="b">
        <f t="array" ref="T875">index('Query Tool'!B:B,match(H875,'Query Tool'!C:C,0))</f>
        <v>1</v>
      </c>
      <c r="U875" s="161" t="b">
        <f t="array" ref="U875">index('Query Tool'!B:B,match(C875,'Query Tool'!C:C,0))</f>
        <v>0</v>
      </c>
      <c r="V875" s="161" t="b">
        <f>F875&gt;='Query Tool'!C$32</f>
        <v>1</v>
      </c>
      <c r="W875" s="161" t="b">
        <f t="array" ref="W875">index(Dropdowns!B:B,match(I875,Dropdowns!A:A,0))</f>
        <v>1</v>
      </c>
      <c r="X875" s="161" t="b">
        <f t="array" ref="X875">index('Query Tool'!B:B,match(D875,'Query Tool'!C:C,0))</f>
        <v>1</v>
      </c>
      <c r="Y875" s="161" t="str">
        <f t="shared" si="6"/>
        <v>porteot01,2014-15</v>
      </c>
      <c r="Z875" s="168">
        <f t="array" ref="Z875">iferror(index(I:I,match($A875&amp;","&amp;index('Year Conversion'!$A:$A,match($C875,'Year Conversion'!$B:$B,0)),$Y:$Y,0))-I875,"")</f>
        <v>1</v>
      </c>
      <c r="AA875" s="168">
        <f t="array" ref="AA875">iferror(index(J:J,match($A875&amp;","&amp;index('Year Conversion'!$A:$A,match($C875,'Year Conversion'!$B:$B,0)),$Y:$Y,0))-J875,"")</f>
        <v>2.528359619</v>
      </c>
      <c r="AB875" s="168">
        <f t="array" ref="AB875">iferror(index(K:K,match($A875&amp;","&amp;index('Year Conversion'!$A:$A,match($C875,'Year Conversion'!$B:$B,0)),$Y:$Y,0))-K875,"")</f>
        <v>-0.3987904766</v>
      </c>
      <c r="AC875" s="168" t="str">
        <f t="shared" si="7"/>
        <v>WAS,2014-15</v>
      </c>
    </row>
    <row r="876">
      <c r="A876" s="161" t="str">
        <f>IFERROR(__xludf.DUMMYFUNCTION("""COMPUTED_VALUE"""),"mccalra01")</f>
        <v>mccalra01</v>
      </c>
      <c r="B876" s="161" t="str">
        <f>IFERROR(__xludf.DUMMYFUNCTION("""COMPUTED_VALUE"""),"Ray McCallum")</f>
        <v>Ray McCallum</v>
      </c>
      <c r="C876" s="162" t="str">
        <f>IFERROR(__xludf.DUMMYFUNCTION("""COMPUTED_VALUE"""),"2014-15")</f>
        <v>2014-15</v>
      </c>
      <c r="D876" s="163" t="str">
        <f>IFERROR(__xludf.DUMMYFUNCTION("""COMPUTED_VALUE"""),"SAC")</f>
        <v>SAC</v>
      </c>
      <c r="E876" s="164" t="str">
        <f>IFERROR(__xludf.DUMMYFUNCTION("""COMPUTED_VALUE"""),"Primary Ball Handler")</f>
        <v>Primary Ball Handler</v>
      </c>
      <c r="F876" s="164">
        <f>IFERROR(__xludf.DUMMYFUNCTION("""COMPUTED_VALUE"""),1435.79166666667)</f>
        <v>1435.791667</v>
      </c>
      <c r="G876" s="163">
        <f>IFERROR(__xludf.DUMMYFUNCTION("""COMPUTED_VALUE"""),68.0)</f>
        <v>68</v>
      </c>
      <c r="H876" s="163" t="str">
        <f>IFERROR(__xludf.DUMMYFUNCTION("""COMPUTED_VALUE"""),"PG")</f>
        <v>PG</v>
      </c>
      <c r="I876" s="163">
        <f>IFERROR(__xludf.DUMMYFUNCTION("""COMPUTED_VALUE"""),23.0)</f>
        <v>23</v>
      </c>
      <c r="J876" s="165">
        <f>IFERROR(__xludf.DUMMYFUNCTION("""COMPUTED_VALUE"""),-2.23241035787934)</f>
        <v>-2.232410358</v>
      </c>
      <c r="K876" s="165">
        <f>IFERROR(__xludf.DUMMYFUNCTION("""COMPUTED_VALUE"""),-0.104325393982317)</f>
        <v>-0.104325394</v>
      </c>
      <c r="L876" s="165">
        <f>IFERROR(__xludf.DUMMYFUNCTION("""COMPUTED_VALUE"""),-2.12808496389702)</f>
        <v>-2.128084964</v>
      </c>
      <c r="M876" s="166">
        <f t="shared" si="2"/>
        <v>0.06738540444</v>
      </c>
      <c r="N876" s="167">
        <f t="shared" si="3"/>
        <v>21.11458333</v>
      </c>
      <c r="O876" s="163">
        <f t="shared" ref="O876:Q876" si="880">rank(I876,I:I)</f>
        <v>2765</v>
      </c>
      <c r="P876" s="163">
        <f t="shared" si="880"/>
        <v>3623</v>
      </c>
      <c r="Q876" s="163">
        <f t="shared" si="880"/>
        <v>1375</v>
      </c>
      <c r="R876" s="163">
        <f>IFERROR(__xludf.DUMMYFUNCTION("RANK(M876,filter(M:M,C:C=C876))"),400.0)</f>
        <v>400</v>
      </c>
      <c r="S876" s="161" t="b">
        <f t="shared" si="5"/>
        <v>0</v>
      </c>
      <c r="T876" s="161" t="b">
        <f t="array" ref="T876">index('Query Tool'!B:B,match(H876,'Query Tool'!C:C,0))</f>
        <v>1</v>
      </c>
      <c r="U876" s="161" t="b">
        <f t="array" ref="U876">index('Query Tool'!B:B,match(C876,'Query Tool'!C:C,0))</f>
        <v>0</v>
      </c>
      <c r="V876" s="161" t="b">
        <f>F876&gt;='Query Tool'!C$32</f>
        <v>1</v>
      </c>
      <c r="W876" s="161" t="b">
        <f t="array" ref="W876">index(Dropdowns!B:B,match(I876,Dropdowns!A:A,0))</f>
        <v>1</v>
      </c>
      <c r="X876" s="161" t="b">
        <f t="array" ref="X876">index('Query Tool'!B:B,match(D876,'Query Tool'!C:C,0))</f>
        <v>1</v>
      </c>
      <c r="Y876" s="161" t="str">
        <f t="shared" si="6"/>
        <v>mccalra01,2014-15</v>
      </c>
      <c r="Z876" s="168">
        <f t="array" ref="Z876">iferror(index(I:I,match($A876&amp;","&amp;index('Year Conversion'!$A:$A,match($C876,'Year Conversion'!$B:$B,0)),$Y:$Y,0))-I876,"")</f>
        <v>1</v>
      </c>
      <c r="AA876" s="168">
        <f t="array" ref="AA876">iferror(index(J:J,match($A876&amp;","&amp;index('Year Conversion'!$A:$A,match($C876,'Year Conversion'!$B:$B,0)),$Y:$Y,0))-J876,"")</f>
        <v>0.6894429587</v>
      </c>
      <c r="AB876" s="168">
        <f t="array" ref="AB876">iferror(index(K:K,match($A876&amp;","&amp;index('Year Conversion'!$A:$A,match($C876,'Year Conversion'!$B:$B,0)),$Y:$Y,0))-K876,"")</f>
        <v>-0.2943675261</v>
      </c>
      <c r="AC876" s="168" t="str">
        <f t="shared" si="7"/>
        <v>SAC,2014-15</v>
      </c>
    </row>
    <row r="877">
      <c r="A877" s="161" t="str">
        <f>IFERROR(__xludf.DUMMYFUNCTION("""COMPUTED_VALUE"""),"bullore01")</f>
        <v>bullore01</v>
      </c>
      <c r="B877" s="161" t="str">
        <f>IFERROR(__xludf.DUMMYFUNCTION("""COMPUTED_VALUE"""),"Reggie Bullock")</f>
        <v>Reggie Bullock</v>
      </c>
      <c r="C877" s="162" t="str">
        <f>IFERROR(__xludf.DUMMYFUNCTION("""COMPUTED_VALUE"""),"2014-15")</f>
        <v>2014-15</v>
      </c>
      <c r="D877" s="163" t="str">
        <f>IFERROR(__xludf.DUMMYFUNCTION("""COMPUTED_VALUE"""),"TOT")</f>
        <v>TOT</v>
      </c>
      <c r="E877" s="164" t="str">
        <f>IFERROR(__xludf.DUMMYFUNCTION("""COMPUTED_VALUE"""),"Stationary Shooter")</f>
        <v>Stationary Shooter</v>
      </c>
      <c r="F877" s="164">
        <f>IFERROR(__xludf.DUMMYFUNCTION("""COMPUTED_VALUE"""),337.881666666667)</f>
        <v>337.8816667</v>
      </c>
      <c r="G877" s="163">
        <f>IFERROR(__xludf.DUMMYFUNCTION("""COMPUTED_VALUE"""),36.0)</f>
        <v>36</v>
      </c>
      <c r="H877" s="163" t="str">
        <f>IFERROR(__xludf.DUMMYFUNCTION("""COMPUTED_VALUE"""),"SF")</f>
        <v>SF</v>
      </c>
      <c r="I877" s="163">
        <f>IFERROR(__xludf.DUMMYFUNCTION("""COMPUTED_VALUE"""),23.0)</f>
        <v>23</v>
      </c>
      <c r="J877" s="165">
        <f>IFERROR(__xludf.DUMMYFUNCTION("""COMPUTED_VALUE"""),-1.70988677310535)</f>
        <v>-1.709886773</v>
      </c>
      <c r="K877" s="165">
        <f>IFERROR(__xludf.DUMMYFUNCTION("""COMPUTED_VALUE"""),-1.47091411220744)</f>
        <v>-1.470914112</v>
      </c>
      <c r="L877" s="165">
        <f>IFERROR(__xludf.DUMMYFUNCTION("""COMPUTED_VALUE"""),-0.238972660897906)</f>
        <v>-0.2389726609</v>
      </c>
      <c r="M877" s="166">
        <f t="shared" si="2"/>
        <v>0.1329692361</v>
      </c>
      <c r="N877" s="167">
        <f t="shared" si="3"/>
        <v>9.385601852</v>
      </c>
      <c r="O877" s="163">
        <f t="shared" ref="O877:Q877" si="881">rank(I877,I:I)</f>
        <v>2765</v>
      </c>
      <c r="P877" s="163">
        <f t="shared" si="881"/>
        <v>3254</v>
      </c>
      <c r="Q877" s="163">
        <f t="shared" si="881"/>
        <v>3326</v>
      </c>
      <c r="R877" s="163">
        <f>IFERROR(__xludf.DUMMYFUNCTION("RANK(M877,filter(M:M,C:C=C877))"),361.0)</f>
        <v>361</v>
      </c>
      <c r="S877" s="161" t="b">
        <f t="shared" si="5"/>
        <v>0</v>
      </c>
      <c r="T877" s="161" t="b">
        <f t="array" ref="T877">index('Query Tool'!B:B,match(H877,'Query Tool'!C:C,0))</f>
        <v>1</v>
      </c>
      <c r="U877" s="161" t="b">
        <f t="array" ref="U877">index('Query Tool'!B:B,match(C877,'Query Tool'!C:C,0))</f>
        <v>0</v>
      </c>
      <c r="V877" s="161" t="b">
        <f>F877&gt;='Query Tool'!C$32</f>
        <v>0</v>
      </c>
      <c r="W877" s="161" t="b">
        <f t="array" ref="W877">index(Dropdowns!B:B,match(I877,Dropdowns!A:A,0))</f>
        <v>1</v>
      </c>
      <c r="X877" s="161" t="b">
        <f t="array" ref="X877">index('Query Tool'!B:B,match(D877,'Query Tool'!C:C,0))</f>
        <v>1</v>
      </c>
      <c r="Y877" s="161" t="str">
        <f t="shared" si="6"/>
        <v>bullore01,2014-15</v>
      </c>
      <c r="Z877" s="168">
        <f t="array" ref="Z877">iferror(index(I:I,match($A877&amp;","&amp;index('Year Conversion'!$A:$A,match($C877,'Year Conversion'!$B:$B,0)),$Y:$Y,0))-I877,"")</f>
        <v>1</v>
      </c>
      <c r="AA877" s="168">
        <f t="array" ref="AA877">iferror(index(J:J,match($A877&amp;","&amp;index('Year Conversion'!$A:$A,match($C877,'Year Conversion'!$B:$B,0)),$Y:$Y,0))-J877,"")</f>
        <v>-0.04965519484</v>
      </c>
      <c r="AB877" s="168">
        <f t="array" ref="AB877">iferror(index(K:K,match($A877&amp;","&amp;index('Year Conversion'!$A:$A,match($C877,'Year Conversion'!$B:$B,0)),$Y:$Y,0))-K877,"")</f>
        <v>0.594824889</v>
      </c>
      <c r="AC877" s="168" t="str">
        <f t="shared" si="7"/>
        <v>TOT,2014-15</v>
      </c>
    </row>
    <row r="878">
      <c r="A878" s="161" t="str">
        <f>IFERROR(__xludf.DUMMYFUNCTION("""COMPUTED_VALUE"""),"ledori01")</f>
        <v>ledori01</v>
      </c>
      <c r="B878" s="161" t="str">
        <f>IFERROR(__xludf.DUMMYFUNCTION("""COMPUTED_VALUE"""),"Ricky Ledo")</f>
        <v>Ricky Ledo</v>
      </c>
      <c r="C878" s="162" t="str">
        <f>IFERROR(__xludf.DUMMYFUNCTION("""COMPUTED_VALUE"""),"2014-15")</f>
        <v>2014-15</v>
      </c>
      <c r="D878" s="163" t="str">
        <f>IFERROR(__xludf.DUMMYFUNCTION("""COMPUTED_VALUE"""),"TOT")</f>
        <v>TOT</v>
      </c>
      <c r="E878" s="164" t="str">
        <f>IFERROR(__xludf.DUMMYFUNCTION("""COMPUTED_VALUE"""),"Secondary Ball Handler")</f>
        <v>Secondary Ball Handler</v>
      </c>
      <c r="F878" s="164">
        <f>IFERROR(__xludf.DUMMYFUNCTION("""COMPUTED_VALUE"""),244.041666666667)</f>
        <v>244.0416667</v>
      </c>
      <c r="G878" s="163">
        <f>IFERROR(__xludf.DUMMYFUNCTION("""COMPUTED_VALUE"""),17.0)</f>
        <v>17</v>
      </c>
      <c r="H878" s="163" t="str">
        <f>IFERROR(__xludf.DUMMYFUNCTION("""COMPUTED_VALUE"""),"SG")</f>
        <v>SG</v>
      </c>
      <c r="I878" s="163">
        <f>IFERROR(__xludf.DUMMYFUNCTION("""COMPUTED_VALUE"""),22.0)</f>
        <v>22</v>
      </c>
      <c r="J878" s="165">
        <f>IFERROR(__xludf.DUMMYFUNCTION("""COMPUTED_VALUE"""),-1.86920907185381)</f>
        <v>-1.869209072</v>
      </c>
      <c r="K878" s="165">
        <f>IFERROR(__xludf.DUMMYFUNCTION("""COMPUTED_VALUE"""),-0.667810304271144)</f>
        <v>-0.6678103043</v>
      </c>
      <c r="L878" s="165">
        <f>IFERROR(__xludf.DUMMYFUNCTION("""COMPUTED_VALUE"""),-1.20139876758266)</f>
        <v>-1.201398768</v>
      </c>
      <c r="M878" s="166">
        <f t="shared" si="2"/>
        <v>0.07017327121</v>
      </c>
      <c r="N878" s="167">
        <f t="shared" si="3"/>
        <v>14.35539216</v>
      </c>
      <c r="O878" s="163">
        <f t="shared" ref="O878:Q878" si="882">rank(I878,I:I)</f>
        <v>3178</v>
      </c>
      <c r="P878" s="163">
        <f t="shared" si="882"/>
        <v>3394</v>
      </c>
      <c r="Q878" s="163">
        <f t="shared" si="882"/>
        <v>2369</v>
      </c>
      <c r="R878" s="163">
        <f>IFERROR(__xludf.DUMMYFUNCTION("RANK(M878,filter(M:M,C:C=C878))"),399.0)</f>
        <v>399</v>
      </c>
      <c r="S878" s="161" t="b">
        <f t="shared" si="5"/>
        <v>0</v>
      </c>
      <c r="T878" s="161" t="b">
        <f t="array" ref="T878">index('Query Tool'!B:B,match(H878,'Query Tool'!C:C,0))</f>
        <v>1</v>
      </c>
      <c r="U878" s="161" t="b">
        <f t="array" ref="U878">index('Query Tool'!B:B,match(C878,'Query Tool'!C:C,0))</f>
        <v>0</v>
      </c>
      <c r="V878" s="161" t="b">
        <f>F878&gt;='Query Tool'!C$32</f>
        <v>0</v>
      </c>
      <c r="W878" s="161" t="b">
        <f t="array" ref="W878">index(Dropdowns!B:B,match(I878,Dropdowns!A:A,0))</f>
        <v>1</v>
      </c>
      <c r="X878" s="161" t="b">
        <f t="array" ref="X878">index('Query Tool'!B:B,match(D878,'Query Tool'!C:C,0))</f>
        <v>1</v>
      </c>
      <c r="Y878" s="161" t="str">
        <f t="shared" si="6"/>
        <v>ledori01,2014-15</v>
      </c>
      <c r="Z878" s="168" t="str">
        <f t="array" ref="Z878">iferror(index(I:I,match($A878&amp;","&amp;index('Year Conversion'!$A:$A,match($C878,'Year Conversion'!$B:$B,0)),$Y:$Y,0))-I878,"")</f>
        <v/>
      </c>
      <c r="AA878" s="168" t="str">
        <f t="array" ref="AA878">iferror(index(J:J,match($A878&amp;","&amp;index('Year Conversion'!$A:$A,match($C878,'Year Conversion'!$B:$B,0)),$Y:$Y,0))-J878,"")</f>
        <v/>
      </c>
      <c r="AB878" s="168" t="str">
        <f t="array" ref="AB878">iferror(index(K:K,match($A878&amp;","&amp;index('Year Conversion'!$A:$A,match($C878,'Year Conversion'!$B:$B,0)),$Y:$Y,0))-K878,"")</f>
        <v/>
      </c>
      <c r="AC878" s="168" t="str">
        <f t="shared" si="7"/>
        <v>TOT,2014-15</v>
      </c>
    </row>
    <row r="879">
      <c r="A879" s="161" t="str">
        <f>IFERROR(__xludf.DUMMYFUNCTION("""COMPUTED_VALUE"""),"covinro01")</f>
        <v>covinro01</v>
      </c>
      <c r="B879" s="161" t="str">
        <f>IFERROR(__xludf.DUMMYFUNCTION("""COMPUTED_VALUE"""),"Robert Covington")</f>
        <v>Robert Covington</v>
      </c>
      <c r="C879" s="162" t="str">
        <f>IFERROR(__xludf.DUMMYFUNCTION("""COMPUTED_VALUE"""),"2014-15")</f>
        <v>2014-15</v>
      </c>
      <c r="D879" s="163" t="str">
        <f>IFERROR(__xludf.DUMMYFUNCTION("""COMPUTED_VALUE"""),"PHI")</f>
        <v>PHI</v>
      </c>
      <c r="E879" s="164" t="str">
        <f>IFERROR(__xludf.DUMMYFUNCTION("""COMPUTED_VALUE"""),"Movement Shooter")</f>
        <v>Movement Shooter</v>
      </c>
      <c r="F879" s="164">
        <f>IFERROR(__xludf.DUMMYFUNCTION("""COMPUTED_VALUE"""),1955.92166666667)</f>
        <v>1955.921667</v>
      </c>
      <c r="G879" s="163">
        <f>IFERROR(__xludf.DUMMYFUNCTION("""COMPUTED_VALUE"""),70.0)</f>
        <v>70</v>
      </c>
      <c r="H879" s="163" t="str">
        <f>IFERROR(__xludf.DUMMYFUNCTION("""COMPUTED_VALUE"""),"SF")</f>
        <v>SF</v>
      </c>
      <c r="I879" s="163">
        <f>IFERROR(__xludf.DUMMYFUNCTION("""COMPUTED_VALUE"""),24.0)</f>
        <v>24</v>
      </c>
      <c r="J879" s="165">
        <f>IFERROR(__xludf.DUMMYFUNCTION("""COMPUTED_VALUE"""),0.955303978348504)</f>
        <v>0.9553039783</v>
      </c>
      <c r="K879" s="165">
        <f>IFERROR(__xludf.DUMMYFUNCTION("""COMPUTED_VALUE"""),0.575639962067114)</f>
        <v>0.5756399621</v>
      </c>
      <c r="L879" s="165">
        <f>IFERROR(__xludf.DUMMYFUNCTION("""COMPUTED_VALUE"""),0.37966401628139)</f>
        <v>0.3796640163</v>
      </c>
      <c r="M879" s="166">
        <f t="shared" si="2"/>
        <v>4.273508115</v>
      </c>
      <c r="N879" s="167">
        <f t="shared" si="3"/>
        <v>27.9417381</v>
      </c>
      <c r="O879" s="163">
        <f t="shared" ref="O879:Q879" si="883">rank(I879,I:I)</f>
        <v>2361</v>
      </c>
      <c r="P879" s="163">
        <f t="shared" si="883"/>
        <v>679</v>
      </c>
      <c r="Q879" s="163">
        <f t="shared" si="883"/>
        <v>729</v>
      </c>
      <c r="R879" s="163">
        <f>IFERROR(__xludf.DUMMYFUNCTION("RANK(M879,filter(M:M,C:C=C879))"),78.0)</f>
        <v>78</v>
      </c>
      <c r="S879" s="161" t="b">
        <f t="shared" si="5"/>
        <v>0</v>
      </c>
      <c r="T879" s="161" t="b">
        <f t="array" ref="T879">index('Query Tool'!B:B,match(H879,'Query Tool'!C:C,0))</f>
        <v>1</v>
      </c>
      <c r="U879" s="161" t="b">
        <f t="array" ref="U879">index('Query Tool'!B:B,match(C879,'Query Tool'!C:C,0))</f>
        <v>0</v>
      </c>
      <c r="V879" s="161" t="b">
        <f>F879&gt;='Query Tool'!C$32</f>
        <v>1</v>
      </c>
      <c r="W879" s="161" t="b">
        <f t="array" ref="W879">index(Dropdowns!B:B,match(I879,Dropdowns!A:A,0))</f>
        <v>1</v>
      </c>
      <c r="X879" s="161" t="b">
        <f t="array" ref="X879">index('Query Tool'!B:B,match(D879,'Query Tool'!C:C,0))</f>
        <v>1</v>
      </c>
      <c r="Y879" s="161" t="str">
        <f t="shared" si="6"/>
        <v>covinro01,2014-15</v>
      </c>
      <c r="Z879" s="168">
        <f t="array" ref="Z879">iferror(index(I:I,match($A879&amp;","&amp;index('Year Conversion'!$A:$A,match($C879,'Year Conversion'!$B:$B,0)),$Y:$Y,0))-I879,"")</f>
        <v>1</v>
      </c>
      <c r="AA879" s="168">
        <f t="array" ref="AA879">iferror(index(J:J,match($A879&amp;","&amp;index('Year Conversion'!$A:$A,match($C879,'Year Conversion'!$B:$B,0)),$Y:$Y,0))-J879,"")</f>
        <v>-0.4944677073</v>
      </c>
      <c r="AB879" s="168">
        <f t="array" ref="AB879">iferror(index(K:K,match($A879&amp;","&amp;index('Year Conversion'!$A:$A,match($C879,'Year Conversion'!$B:$B,0)),$Y:$Y,0))-K879,"")</f>
        <v>-1.266734823</v>
      </c>
      <c r="AC879" s="168" t="str">
        <f t="shared" si="7"/>
        <v>PHI,2014-15</v>
      </c>
    </row>
    <row r="880">
      <c r="A880" s="161" t="str">
        <f>IFERROR(__xludf.DUMMYFUNCTION("""COMPUTED_VALUE"""),"goberru01")</f>
        <v>goberru01</v>
      </c>
      <c r="B880" s="161" t="str">
        <f>IFERROR(__xludf.DUMMYFUNCTION("""COMPUTED_VALUE"""),"Rudy Gobert")</f>
        <v>Rudy Gobert</v>
      </c>
      <c r="C880" s="162" t="str">
        <f>IFERROR(__xludf.DUMMYFUNCTION("""COMPUTED_VALUE"""),"2014-15")</f>
        <v>2014-15</v>
      </c>
      <c r="D880" s="163" t="str">
        <f>IFERROR(__xludf.DUMMYFUNCTION("""COMPUTED_VALUE"""),"UTA")</f>
        <v>UTA</v>
      </c>
      <c r="E880" s="164" t="str">
        <f>IFERROR(__xludf.DUMMYFUNCTION("""COMPUTED_VALUE"""),"Roll + Cut Big")</f>
        <v>Roll + Cut Big</v>
      </c>
      <c r="F880" s="164">
        <f>IFERROR(__xludf.DUMMYFUNCTION("""COMPUTED_VALUE"""),2158.425)</f>
        <v>2158.425</v>
      </c>
      <c r="G880" s="163">
        <f>IFERROR(__xludf.DUMMYFUNCTION("""COMPUTED_VALUE"""),82.0)</f>
        <v>82</v>
      </c>
      <c r="H880" s="163" t="str">
        <f>IFERROR(__xludf.DUMMYFUNCTION("""COMPUTED_VALUE"""),"C")</f>
        <v>C</v>
      </c>
      <c r="I880" s="163">
        <f>IFERROR(__xludf.DUMMYFUNCTION("""COMPUTED_VALUE"""),22.0)</f>
        <v>22</v>
      </c>
      <c r="J880" s="165">
        <f>IFERROR(__xludf.DUMMYFUNCTION("""COMPUTED_VALUE"""),2.87458322131749)</f>
        <v>2.874583221</v>
      </c>
      <c r="K880" s="165">
        <f>IFERROR(__xludf.DUMMYFUNCTION("""COMPUTED_VALUE"""),-0.646652287180673)</f>
        <v>-0.6466522872</v>
      </c>
      <c r="L880" s="165">
        <f>IFERROR(__xludf.DUMMYFUNCTION("""COMPUTED_VALUE"""),3.52123550849816)</f>
        <v>3.521235508</v>
      </c>
      <c r="M880" s="166">
        <f t="shared" si="2"/>
        <v>7.463264293</v>
      </c>
      <c r="N880" s="167">
        <f t="shared" si="3"/>
        <v>26.3222561</v>
      </c>
      <c r="O880" s="163">
        <f t="shared" ref="O880:Q880" si="884">rank(I880,I:I)</f>
        <v>3178</v>
      </c>
      <c r="P880" s="163">
        <f t="shared" si="884"/>
        <v>183</v>
      </c>
      <c r="Q880" s="163">
        <f t="shared" si="884"/>
        <v>2330</v>
      </c>
      <c r="R880" s="163">
        <f>IFERROR(__xludf.DUMMYFUNCTION("RANK(M880,filter(M:M,C:C=C880))"),26.0)</f>
        <v>26</v>
      </c>
      <c r="S880" s="161" t="b">
        <f t="shared" si="5"/>
        <v>0</v>
      </c>
      <c r="T880" s="161" t="b">
        <f t="array" ref="T880">index('Query Tool'!B:B,match(H880,'Query Tool'!C:C,0))</f>
        <v>1</v>
      </c>
      <c r="U880" s="161" t="b">
        <f t="array" ref="U880">index('Query Tool'!B:B,match(C880,'Query Tool'!C:C,0))</f>
        <v>0</v>
      </c>
      <c r="V880" s="161" t="b">
        <f>F880&gt;='Query Tool'!C$32</f>
        <v>1</v>
      </c>
      <c r="W880" s="161" t="b">
        <f t="array" ref="W880">index(Dropdowns!B:B,match(I880,Dropdowns!A:A,0))</f>
        <v>1</v>
      </c>
      <c r="X880" s="161" t="b">
        <f t="array" ref="X880">index('Query Tool'!B:B,match(D880,'Query Tool'!C:C,0))</f>
        <v>1</v>
      </c>
      <c r="Y880" s="161" t="str">
        <f t="shared" si="6"/>
        <v>goberru01,2014-15</v>
      </c>
      <c r="Z880" s="168">
        <f t="array" ref="Z880">iferror(index(I:I,match($A880&amp;","&amp;index('Year Conversion'!$A:$A,match($C880,'Year Conversion'!$B:$B,0)),$Y:$Y,0))-I880,"")</f>
        <v>1</v>
      </c>
      <c r="AA880" s="168">
        <f t="array" ref="AA880">iferror(index(J:J,match($A880&amp;","&amp;index('Year Conversion'!$A:$A,match($C880,'Year Conversion'!$B:$B,0)),$Y:$Y,0))-J880,"")</f>
        <v>0.2790342395</v>
      </c>
      <c r="AB880" s="168">
        <f t="array" ref="AB880">iferror(index(K:K,match($A880&amp;","&amp;index('Year Conversion'!$A:$A,match($C880,'Year Conversion'!$B:$B,0)),$Y:$Y,0))-K880,"")</f>
        <v>0.1230433193</v>
      </c>
      <c r="AC880" s="168" t="str">
        <f t="shared" si="7"/>
        <v>UTA,2014-15</v>
      </c>
    </row>
    <row r="881">
      <c r="A881" s="161" t="str">
        <f>IFERROR(__xludf.DUMMYFUNCTION("""COMPUTED_VALUE"""),"muhamsh01")</f>
        <v>muhamsh01</v>
      </c>
      <c r="B881" s="161" t="str">
        <f>IFERROR(__xludf.DUMMYFUNCTION("""COMPUTED_VALUE"""),"Shabazz Muhammad")</f>
        <v>Shabazz Muhammad</v>
      </c>
      <c r="C881" s="162" t="str">
        <f>IFERROR(__xludf.DUMMYFUNCTION("""COMPUTED_VALUE"""),"2014-15")</f>
        <v>2014-15</v>
      </c>
      <c r="D881" s="163" t="str">
        <f>IFERROR(__xludf.DUMMYFUNCTION("""COMPUTED_VALUE"""),"MIN")</f>
        <v>MIN</v>
      </c>
      <c r="E881" s="164" t="str">
        <f>IFERROR(__xludf.DUMMYFUNCTION("""COMPUTED_VALUE"""),"Post Scorer")</f>
        <v>Post Scorer</v>
      </c>
      <c r="F881" s="164">
        <f>IFERROR(__xludf.DUMMYFUNCTION("""COMPUTED_VALUE"""),865.623333333333)</f>
        <v>865.6233333</v>
      </c>
      <c r="G881" s="163">
        <f>IFERROR(__xludf.DUMMYFUNCTION("""COMPUTED_VALUE"""),38.0)</f>
        <v>38</v>
      </c>
      <c r="H881" s="163" t="str">
        <f>IFERROR(__xludf.DUMMYFUNCTION("""COMPUTED_VALUE"""),"SG")</f>
        <v>SG</v>
      </c>
      <c r="I881" s="163">
        <f>IFERROR(__xludf.DUMMYFUNCTION("""COMPUTED_VALUE"""),22.0)</f>
        <v>22</v>
      </c>
      <c r="J881" s="165">
        <f>IFERROR(__xludf.DUMMYFUNCTION("""COMPUTED_VALUE"""),-1.58664759091413)</f>
        <v>-1.586647591</v>
      </c>
      <c r="K881" s="165">
        <f>IFERROR(__xludf.DUMMYFUNCTION("""COMPUTED_VALUE"""),0.875851200804505)</f>
        <v>0.8758512008</v>
      </c>
      <c r="L881" s="165">
        <f>IFERROR(__xludf.DUMMYFUNCTION("""COMPUTED_VALUE"""),-2.46249879171863)</f>
        <v>-2.462498792</v>
      </c>
      <c r="M881" s="166">
        <f t="shared" si="2"/>
        <v>0.4117686868</v>
      </c>
      <c r="N881" s="167">
        <f t="shared" si="3"/>
        <v>22.7795614</v>
      </c>
      <c r="O881" s="163">
        <f t="shared" ref="O881:Q881" si="885">rank(I881,I:I)</f>
        <v>3178</v>
      </c>
      <c r="P881" s="163">
        <f t="shared" si="885"/>
        <v>3132</v>
      </c>
      <c r="Q881" s="163">
        <f t="shared" si="885"/>
        <v>564</v>
      </c>
      <c r="R881" s="163">
        <f>IFERROR(__xludf.DUMMYFUNCTION("RANK(M881,filter(M:M,C:C=C881))"),293.0)</f>
        <v>293</v>
      </c>
      <c r="S881" s="161" t="b">
        <f t="shared" si="5"/>
        <v>0</v>
      </c>
      <c r="T881" s="161" t="b">
        <f t="array" ref="T881">index('Query Tool'!B:B,match(H881,'Query Tool'!C:C,0))</f>
        <v>1</v>
      </c>
      <c r="U881" s="161" t="b">
        <f t="array" ref="U881">index('Query Tool'!B:B,match(C881,'Query Tool'!C:C,0))</f>
        <v>0</v>
      </c>
      <c r="V881" s="161" t="b">
        <f>F881&gt;='Query Tool'!C$32</f>
        <v>1</v>
      </c>
      <c r="W881" s="161" t="b">
        <f t="array" ref="W881">index(Dropdowns!B:B,match(I881,Dropdowns!A:A,0))</f>
        <v>1</v>
      </c>
      <c r="X881" s="161" t="b">
        <f t="array" ref="X881">index('Query Tool'!B:B,match(D881,'Query Tool'!C:C,0))</f>
        <v>1</v>
      </c>
      <c r="Y881" s="161" t="str">
        <f t="shared" si="6"/>
        <v>muhamsh01,2014-15</v>
      </c>
      <c r="Z881" s="168">
        <f t="array" ref="Z881">iferror(index(I:I,match($A881&amp;","&amp;index('Year Conversion'!$A:$A,match($C881,'Year Conversion'!$B:$B,0)),$Y:$Y,0))-I881,"")</f>
        <v>1</v>
      </c>
      <c r="AA881" s="168">
        <f t="array" ref="AA881">iferror(index(J:J,match($A881&amp;","&amp;index('Year Conversion'!$A:$A,match($C881,'Year Conversion'!$B:$B,0)),$Y:$Y,0))-J881,"")</f>
        <v>-1.371160231</v>
      </c>
      <c r="AB881" s="168">
        <f t="array" ref="AB881">iferror(index(K:K,match($A881&amp;","&amp;index('Year Conversion'!$A:$A,match($C881,'Year Conversion'!$B:$B,0)),$Y:$Y,0))-K881,"")</f>
        <v>-0.5747867511</v>
      </c>
      <c r="AC881" s="168" t="str">
        <f t="shared" si="7"/>
        <v>MIN,2014-15</v>
      </c>
    </row>
    <row r="882">
      <c r="A882" s="161" t="str">
        <f>IFERROR(__xludf.DUMMYFUNCTION("""COMPUTED_VALUE"""),"larkish01")</f>
        <v>larkish01</v>
      </c>
      <c r="B882" s="161" t="str">
        <f>IFERROR(__xludf.DUMMYFUNCTION("""COMPUTED_VALUE"""),"Shane Larkin")</f>
        <v>Shane Larkin</v>
      </c>
      <c r="C882" s="162" t="str">
        <f>IFERROR(__xludf.DUMMYFUNCTION("""COMPUTED_VALUE"""),"2014-15")</f>
        <v>2014-15</v>
      </c>
      <c r="D882" s="163" t="str">
        <f>IFERROR(__xludf.DUMMYFUNCTION("""COMPUTED_VALUE"""),"NYK")</f>
        <v>NYK</v>
      </c>
      <c r="E882" s="164" t="str">
        <f>IFERROR(__xludf.DUMMYFUNCTION("""COMPUTED_VALUE"""),"Primary Ball Handler")</f>
        <v>Primary Ball Handler</v>
      </c>
      <c r="F882" s="164">
        <f>IFERROR(__xludf.DUMMYFUNCTION("""COMPUTED_VALUE"""),1864.575)</f>
        <v>1864.575</v>
      </c>
      <c r="G882" s="163">
        <f>IFERROR(__xludf.DUMMYFUNCTION("""COMPUTED_VALUE"""),76.0)</f>
        <v>76</v>
      </c>
      <c r="H882" s="163" t="str">
        <f>IFERROR(__xludf.DUMMYFUNCTION("""COMPUTED_VALUE"""),"PG")</f>
        <v>PG</v>
      </c>
      <c r="I882" s="163">
        <f>IFERROR(__xludf.DUMMYFUNCTION("""COMPUTED_VALUE"""),22.0)</f>
        <v>22</v>
      </c>
      <c r="J882" s="165">
        <f>IFERROR(__xludf.DUMMYFUNCTION("""COMPUTED_VALUE"""),-2.82047655357199)</f>
        <v>-2.820476554</v>
      </c>
      <c r="K882" s="165">
        <f>IFERROR(__xludf.DUMMYFUNCTION("""COMPUTED_VALUE"""),-2.17585229912272)</f>
        <v>-2.175852299</v>
      </c>
      <c r="L882" s="165">
        <f>IFERROR(__xludf.DUMMYFUNCTION("""COMPUTED_VALUE"""),-0.64462425444927)</f>
        <v>-0.6446242544</v>
      </c>
      <c r="M882" s="166">
        <f t="shared" si="2"/>
        <v>-0.6323337809</v>
      </c>
      <c r="N882" s="167">
        <f t="shared" si="3"/>
        <v>24.53388158</v>
      </c>
      <c r="O882" s="163">
        <f t="shared" ref="O882:Q882" si="886">rank(I882,I:I)</f>
        <v>3178</v>
      </c>
      <c r="P882" s="163">
        <f t="shared" si="886"/>
        <v>3850</v>
      </c>
      <c r="Q882" s="163">
        <f t="shared" si="886"/>
        <v>3790</v>
      </c>
      <c r="R882" s="163">
        <f>IFERROR(__xludf.DUMMYFUNCTION("RANK(M882,filter(M:M,C:C=C882))"),483.0)</f>
        <v>483</v>
      </c>
      <c r="S882" s="161" t="b">
        <f t="shared" si="5"/>
        <v>0</v>
      </c>
      <c r="T882" s="161" t="b">
        <f t="array" ref="T882">index('Query Tool'!B:B,match(H882,'Query Tool'!C:C,0))</f>
        <v>1</v>
      </c>
      <c r="U882" s="161" t="b">
        <f t="array" ref="U882">index('Query Tool'!B:B,match(C882,'Query Tool'!C:C,0))</f>
        <v>0</v>
      </c>
      <c r="V882" s="161" t="b">
        <f>F882&gt;='Query Tool'!C$32</f>
        <v>1</v>
      </c>
      <c r="W882" s="161" t="b">
        <f t="array" ref="W882">index(Dropdowns!B:B,match(I882,Dropdowns!A:A,0))</f>
        <v>1</v>
      </c>
      <c r="X882" s="161" t="b">
        <f t="array" ref="X882">index('Query Tool'!B:B,match(D882,'Query Tool'!C:C,0))</f>
        <v>1</v>
      </c>
      <c r="Y882" s="161" t="str">
        <f t="shared" si="6"/>
        <v>larkish01,2014-15</v>
      </c>
      <c r="Z882" s="168">
        <f t="array" ref="Z882">iferror(index(I:I,match($A882&amp;","&amp;index('Year Conversion'!$A:$A,match($C882,'Year Conversion'!$B:$B,0)),$Y:$Y,0))-I882,"")</f>
        <v>1</v>
      </c>
      <c r="AA882" s="168">
        <f t="array" ref="AA882">iferror(index(J:J,match($A882&amp;","&amp;index('Year Conversion'!$A:$A,match($C882,'Year Conversion'!$B:$B,0)),$Y:$Y,0))-J882,"")</f>
        <v>0.9441438413</v>
      </c>
      <c r="AB882" s="168">
        <f t="array" ref="AB882">iferror(index(K:K,match($A882&amp;","&amp;index('Year Conversion'!$A:$A,match($C882,'Year Conversion'!$B:$B,0)),$Y:$Y,0))-K882,"")</f>
        <v>1.25608735</v>
      </c>
      <c r="AC882" s="168" t="str">
        <f t="shared" si="7"/>
        <v>NYK,2014-15</v>
      </c>
    </row>
    <row r="883">
      <c r="A883" s="161" t="str">
        <f>IFERROR(__xludf.DUMMYFUNCTION("""COMPUTED_VALUE"""),"adamsst01")</f>
        <v>adamsst01</v>
      </c>
      <c r="B883" s="161" t="str">
        <f>IFERROR(__xludf.DUMMYFUNCTION("""COMPUTED_VALUE"""),"Steven Adams")</f>
        <v>Steven Adams</v>
      </c>
      <c r="C883" s="162" t="str">
        <f>IFERROR(__xludf.DUMMYFUNCTION("""COMPUTED_VALUE"""),"2014-15")</f>
        <v>2014-15</v>
      </c>
      <c r="D883" s="163" t="str">
        <f>IFERROR(__xludf.DUMMYFUNCTION("""COMPUTED_VALUE"""),"OKC")</f>
        <v>OKC</v>
      </c>
      <c r="E883" s="164" t="str">
        <f>IFERROR(__xludf.DUMMYFUNCTION("""COMPUTED_VALUE"""),"Post Scorer")</f>
        <v>Post Scorer</v>
      </c>
      <c r="F883" s="164">
        <f>IFERROR(__xludf.DUMMYFUNCTION("""COMPUTED_VALUE"""),1770.55)</f>
        <v>1770.55</v>
      </c>
      <c r="G883" s="163">
        <f>IFERROR(__xludf.DUMMYFUNCTION("""COMPUTED_VALUE"""),70.0)</f>
        <v>70</v>
      </c>
      <c r="H883" s="163" t="str">
        <f>IFERROR(__xludf.DUMMYFUNCTION("""COMPUTED_VALUE"""),"C")</f>
        <v>C</v>
      </c>
      <c r="I883" s="163">
        <f>IFERROR(__xludf.DUMMYFUNCTION("""COMPUTED_VALUE"""),21.0)</f>
        <v>21</v>
      </c>
      <c r="J883" s="165">
        <f>IFERROR(__xludf.DUMMYFUNCTION("""COMPUTED_VALUE"""),-0.253996880353068)</f>
        <v>-0.2539968804</v>
      </c>
      <c r="K883" s="165">
        <f>IFERROR(__xludf.DUMMYFUNCTION("""COMPUTED_VALUE"""),-1.83436651168185)</f>
        <v>-1.834366512</v>
      </c>
      <c r="L883" s="165">
        <f>IFERROR(__xludf.DUMMYFUNCTION("""COMPUTED_VALUE"""),1.58036963132878)</f>
        <v>1.580369631</v>
      </c>
      <c r="M883" s="166">
        <f t="shared" si="2"/>
        <v>2.426432369</v>
      </c>
      <c r="N883" s="167">
        <f t="shared" si="3"/>
        <v>25.29357143</v>
      </c>
      <c r="O883" s="163">
        <f t="shared" ref="O883:Q883" si="887">rank(I883,I:I)</f>
        <v>3528</v>
      </c>
      <c r="P883" s="163">
        <f t="shared" si="887"/>
        <v>1563</v>
      </c>
      <c r="Q883" s="163">
        <f t="shared" si="887"/>
        <v>3596</v>
      </c>
      <c r="R883" s="163">
        <f>IFERROR(__xludf.DUMMYFUNCTION("RANK(M883,filter(M:M,C:C=C883))"),143.0)</f>
        <v>143</v>
      </c>
      <c r="S883" s="161" t="b">
        <f t="shared" si="5"/>
        <v>0</v>
      </c>
      <c r="T883" s="161" t="b">
        <f t="array" ref="T883">index('Query Tool'!B:B,match(H883,'Query Tool'!C:C,0))</f>
        <v>1</v>
      </c>
      <c r="U883" s="161" t="b">
        <f t="array" ref="U883">index('Query Tool'!B:B,match(C883,'Query Tool'!C:C,0))</f>
        <v>0</v>
      </c>
      <c r="V883" s="161" t="b">
        <f>F883&gt;='Query Tool'!C$32</f>
        <v>1</v>
      </c>
      <c r="W883" s="161" t="b">
        <f t="array" ref="W883">index(Dropdowns!B:B,match(I883,Dropdowns!A:A,0))</f>
        <v>1</v>
      </c>
      <c r="X883" s="161" t="b">
        <f t="array" ref="X883">index('Query Tool'!B:B,match(D883,'Query Tool'!C:C,0))</f>
        <v>1</v>
      </c>
      <c r="Y883" s="161" t="str">
        <f t="shared" si="6"/>
        <v>adamsst01,2014-15</v>
      </c>
      <c r="Z883" s="168">
        <f t="array" ref="Z883">iferror(index(I:I,match($A883&amp;","&amp;index('Year Conversion'!$A:$A,match($C883,'Year Conversion'!$B:$B,0)),$Y:$Y,0))-I883,"")</f>
        <v>1</v>
      </c>
      <c r="AA883" s="168">
        <f t="array" ref="AA883">iferror(index(J:J,match($A883&amp;","&amp;index('Year Conversion'!$A:$A,match($C883,'Year Conversion'!$B:$B,0)),$Y:$Y,0))-J883,"")</f>
        <v>1.621980142</v>
      </c>
      <c r="AB883" s="168">
        <f t="array" ref="AB883">iferror(index(K:K,match($A883&amp;","&amp;index('Year Conversion'!$A:$A,match($C883,'Year Conversion'!$B:$B,0)),$Y:$Y,0))-K883,"")</f>
        <v>1.529275931</v>
      </c>
      <c r="AC883" s="168" t="str">
        <f t="shared" si="7"/>
        <v>OKC,2014-15</v>
      </c>
    </row>
    <row r="884">
      <c r="A884" s="161" t="str">
        <f>IFERROR(__xludf.DUMMYFUNCTION("""COMPUTED_VALUE"""),"hardati02")</f>
        <v>hardati02</v>
      </c>
      <c r="B884" s="161" t="str">
        <f>IFERROR(__xludf.DUMMYFUNCTION("""COMPUTED_VALUE"""),"Tim Hardaway Jr.")</f>
        <v>Tim Hardaway Jr.</v>
      </c>
      <c r="C884" s="162" t="str">
        <f>IFERROR(__xludf.DUMMYFUNCTION("""COMPUTED_VALUE"""),"2014-15")</f>
        <v>2014-15</v>
      </c>
      <c r="D884" s="163" t="str">
        <f>IFERROR(__xludf.DUMMYFUNCTION("""COMPUTED_VALUE"""),"NYK")</f>
        <v>NYK</v>
      </c>
      <c r="E884" s="164" t="str">
        <f>IFERROR(__xludf.DUMMYFUNCTION("""COMPUTED_VALUE"""),"Movement Shooter")</f>
        <v>Movement Shooter</v>
      </c>
      <c r="F884" s="164">
        <f>IFERROR(__xludf.DUMMYFUNCTION("""COMPUTED_VALUE"""),1681.26333333333)</f>
        <v>1681.263333</v>
      </c>
      <c r="G884" s="163">
        <f>IFERROR(__xludf.DUMMYFUNCTION("""COMPUTED_VALUE"""),70.0)</f>
        <v>70</v>
      </c>
      <c r="H884" s="163" t="str">
        <f>IFERROR(__xludf.DUMMYFUNCTION("""COMPUTED_VALUE"""),"SG")</f>
        <v>SG</v>
      </c>
      <c r="I884" s="163">
        <f>IFERROR(__xludf.DUMMYFUNCTION("""COMPUTED_VALUE"""),22.0)</f>
        <v>22</v>
      </c>
      <c r="J884" s="165">
        <f>IFERROR(__xludf.DUMMYFUNCTION("""COMPUTED_VALUE"""),-2.70971526328076)</f>
        <v>-2.709715263</v>
      </c>
      <c r="K884" s="165">
        <f>IFERROR(__xludf.DUMMYFUNCTION("""COMPUTED_VALUE"""),-0.35316634230363)</f>
        <v>-0.3531663423</v>
      </c>
      <c r="L884" s="165">
        <f>IFERROR(__xludf.DUMMYFUNCTION("""COMPUTED_VALUE"""),-2.35654892097713)</f>
        <v>-2.356548921</v>
      </c>
      <c r="M884" s="166">
        <f t="shared" si="2"/>
        <v>-0.4485379944</v>
      </c>
      <c r="N884" s="167">
        <f t="shared" si="3"/>
        <v>24.01804762</v>
      </c>
      <c r="O884" s="163">
        <f t="shared" ref="O884:Q884" si="888">rank(I884,I:I)</f>
        <v>3178</v>
      </c>
      <c r="P884" s="163">
        <f t="shared" si="888"/>
        <v>3814</v>
      </c>
      <c r="Q884" s="163">
        <f t="shared" si="888"/>
        <v>1861</v>
      </c>
      <c r="R884" s="163">
        <f>IFERROR(__xludf.DUMMYFUNCTION("RANK(M884,filter(M:M,C:C=C884))"),477.0)</f>
        <v>477</v>
      </c>
      <c r="S884" s="161" t="b">
        <f t="shared" si="5"/>
        <v>0</v>
      </c>
      <c r="T884" s="161" t="b">
        <f t="array" ref="T884">index('Query Tool'!B:B,match(H884,'Query Tool'!C:C,0))</f>
        <v>1</v>
      </c>
      <c r="U884" s="161" t="b">
        <f t="array" ref="U884">index('Query Tool'!B:B,match(C884,'Query Tool'!C:C,0))</f>
        <v>0</v>
      </c>
      <c r="V884" s="161" t="b">
        <f>F884&gt;='Query Tool'!C$32</f>
        <v>1</v>
      </c>
      <c r="W884" s="161" t="b">
        <f t="array" ref="W884">index(Dropdowns!B:B,match(I884,Dropdowns!A:A,0))</f>
        <v>1</v>
      </c>
      <c r="X884" s="161" t="b">
        <f t="array" ref="X884">index('Query Tool'!B:B,match(D884,'Query Tool'!C:C,0))</f>
        <v>1</v>
      </c>
      <c r="Y884" s="161" t="str">
        <f t="shared" si="6"/>
        <v>hardati02,2014-15</v>
      </c>
      <c r="Z884" s="168">
        <f t="array" ref="Z884">iferror(index(I:I,match($A884&amp;","&amp;index('Year Conversion'!$A:$A,match($C884,'Year Conversion'!$B:$B,0)),$Y:$Y,0))-I884,"")</f>
        <v>1</v>
      </c>
      <c r="AA884" s="168">
        <f t="array" ref="AA884">iferror(index(J:J,match($A884&amp;","&amp;index('Year Conversion'!$A:$A,match($C884,'Year Conversion'!$B:$B,0)),$Y:$Y,0))-J884,"")</f>
        <v>1.854532163</v>
      </c>
      <c r="AB884" s="168">
        <f t="array" ref="AB884">iferror(index(K:K,match($A884&amp;","&amp;index('Year Conversion'!$A:$A,match($C884,'Year Conversion'!$B:$B,0)),$Y:$Y,0))-K884,"")</f>
        <v>0.5434240397</v>
      </c>
      <c r="AC884" s="168" t="str">
        <f t="shared" si="7"/>
        <v>NYK,2014-15</v>
      </c>
    </row>
    <row r="885">
      <c r="A885" s="161" t="str">
        <f>IFERROR(__xludf.DUMMYFUNCTION("""COMPUTED_VALUE"""),"snellto01")</f>
        <v>snellto01</v>
      </c>
      <c r="B885" s="161" t="str">
        <f>IFERROR(__xludf.DUMMYFUNCTION("""COMPUTED_VALUE"""),"Tony Snell")</f>
        <v>Tony Snell</v>
      </c>
      <c r="C885" s="162" t="str">
        <f>IFERROR(__xludf.DUMMYFUNCTION("""COMPUTED_VALUE"""),"2014-15")</f>
        <v>2014-15</v>
      </c>
      <c r="D885" s="163" t="str">
        <f>IFERROR(__xludf.DUMMYFUNCTION("""COMPUTED_VALUE"""),"CHI")</f>
        <v>CHI</v>
      </c>
      <c r="E885" s="164" t="str">
        <f>IFERROR(__xludf.DUMMYFUNCTION("""COMPUTED_VALUE"""),"Stationary Shooter")</f>
        <v>Stationary Shooter</v>
      </c>
      <c r="F885" s="164">
        <f>IFERROR(__xludf.DUMMYFUNCTION("""COMPUTED_VALUE"""),1412.15833333333)</f>
        <v>1412.158333</v>
      </c>
      <c r="G885" s="163">
        <f>IFERROR(__xludf.DUMMYFUNCTION("""COMPUTED_VALUE"""),72.0)</f>
        <v>72</v>
      </c>
      <c r="H885" s="163" t="str">
        <f>IFERROR(__xludf.DUMMYFUNCTION("""COMPUTED_VALUE"""),"SF")</f>
        <v>SF</v>
      </c>
      <c r="I885" s="163">
        <f>IFERROR(__xludf.DUMMYFUNCTION("""COMPUTED_VALUE"""),23.0)</f>
        <v>23</v>
      </c>
      <c r="J885" s="165">
        <f>IFERROR(__xludf.DUMMYFUNCTION("""COMPUTED_VALUE"""),-1.48544347174272)</f>
        <v>-1.485443472</v>
      </c>
      <c r="K885" s="165">
        <f>IFERROR(__xludf.DUMMYFUNCTION("""COMPUTED_VALUE"""),-0.518965289161624)</f>
        <v>-0.5189652892</v>
      </c>
      <c r="L885" s="165">
        <f>IFERROR(__xludf.DUMMYFUNCTION("""COMPUTED_VALUE"""),-0.9664781825811)</f>
        <v>-0.9664781826</v>
      </c>
      <c r="M885" s="166">
        <f t="shared" si="2"/>
        <v>0.7671611915</v>
      </c>
      <c r="N885" s="167">
        <f t="shared" si="3"/>
        <v>19.61331019</v>
      </c>
      <c r="O885" s="163">
        <f t="shared" ref="O885:Q885" si="889">rank(I885,I:I)</f>
        <v>2765</v>
      </c>
      <c r="P885" s="163">
        <f t="shared" si="889"/>
        <v>3040</v>
      </c>
      <c r="Q885" s="163">
        <f t="shared" si="889"/>
        <v>2138</v>
      </c>
      <c r="R885" s="163">
        <f>IFERROR(__xludf.DUMMYFUNCTION("RANK(M885,filter(M:M,C:C=C885))"),252.0)</f>
        <v>252</v>
      </c>
      <c r="S885" s="161" t="b">
        <f t="shared" si="5"/>
        <v>0</v>
      </c>
      <c r="T885" s="161" t="b">
        <f t="array" ref="T885">index('Query Tool'!B:B,match(H885,'Query Tool'!C:C,0))</f>
        <v>1</v>
      </c>
      <c r="U885" s="161" t="b">
        <f t="array" ref="U885">index('Query Tool'!B:B,match(C885,'Query Tool'!C:C,0))</f>
        <v>0</v>
      </c>
      <c r="V885" s="161" t="b">
        <f>F885&gt;='Query Tool'!C$32</f>
        <v>1</v>
      </c>
      <c r="W885" s="161" t="b">
        <f t="array" ref="W885">index(Dropdowns!B:B,match(I885,Dropdowns!A:A,0))</f>
        <v>1</v>
      </c>
      <c r="X885" s="161" t="b">
        <f t="array" ref="X885">index('Query Tool'!B:B,match(D885,'Query Tool'!C:C,0))</f>
        <v>1</v>
      </c>
      <c r="Y885" s="161" t="str">
        <f t="shared" si="6"/>
        <v>snellto01,2014-15</v>
      </c>
      <c r="Z885" s="168">
        <f t="array" ref="Z885">iferror(index(I:I,match($A885&amp;","&amp;index('Year Conversion'!$A:$A,match($C885,'Year Conversion'!$B:$B,0)),$Y:$Y,0))-I885,"")</f>
        <v>1</v>
      </c>
      <c r="AA885" s="168">
        <f t="array" ref="AA885">iferror(index(J:J,match($A885&amp;","&amp;index('Year Conversion'!$A:$A,match($C885,'Year Conversion'!$B:$B,0)),$Y:$Y,0))-J885,"")</f>
        <v>-0.05322567221</v>
      </c>
      <c r="AB885" s="168">
        <f t="array" ref="AB885">iferror(index(K:K,match($A885&amp;","&amp;index('Year Conversion'!$A:$A,match($C885,'Year Conversion'!$B:$B,0)),$Y:$Y,0))-K885,"")</f>
        <v>-1.623368581</v>
      </c>
      <c r="AC885" s="168" t="str">
        <f t="shared" si="7"/>
        <v>CHI,2014-15</v>
      </c>
    </row>
    <row r="886">
      <c r="A886" s="161" t="str">
        <f>IFERROR(__xludf.DUMMYFUNCTION("""COMPUTED_VALUE"""),"burketr01")</f>
        <v>burketr01</v>
      </c>
      <c r="B886" s="161" t="str">
        <f>IFERROR(__xludf.DUMMYFUNCTION("""COMPUTED_VALUE"""),"Trey Burke")</f>
        <v>Trey Burke</v>
      </c>
      <c r="C886" s="162" t="str">
        <f>IFERROR(__xludf.DUMMYFUNCTION("""COMPUTED_VALUE"""),"2014-15")</f>
        <v>2014-15</v>
      </c>
      <c r="D886" s="163" t="str">
        <f>IFERROR(__xludf.DUMMYFUNCTION("""COMPUTED_VALUE"""),"UTA")</f>
        <v>UTA</v>
      </c>
      <c r="E886" s="164" t="str">
        <f>IFERROR(__xludf.DUMMYFUNCTION("""COMPUTED_VALUE"""),"Primary Ball Handler")</f>
        <v>Primary Ball Handler</v>
      </c>
      <c r="F886" s="164">
        <f>IFERROR(__xludf.DUMMYFUNCTION("""COMPUTED_VALUE"""),2287.84166666667)</f>
        <v>2287.841667</v>
      </c>
      <c r="G886" s="163">
        <f>IFERROR(__xludf.DUMMYFUNCTION("""COMPUTED_VALUE"""),76.0)</f>
        <v>76</v>
      </c>
      <c r="H886" s="163" t="str">
        <f>IFERROR(__xludf.DUMMYFUNCTION("""COMPUTED_VALUE"""),"PG")</f>
        <v>PG</v>
      </c>
      <c r="I886" s="163">
        <f>IFERROR(__xludf.DUMMYFUNCTION("""COMPUTED_VALUE"""),22.0)</f>
        <v>22</v>
      </c>
      <c r="J886" s="165">
        <f>IFERROR(__xludf.DUMMYFUNCTION("""COMPUTED_VALUE"""),-1.31911443830207)</f>
        <v>-1.319114438</v>
      </c>
      <c r="K886" s="165">
        <f>IFERROR(__xludf.DUMMYFUNCTION("""COMPUTED_VALUE"""),0.501784853594687)</f>
        <v>0.5017848536</v>
      </c>
      <c r="L886" s="165">
        <f>IFERROR(__xludf.DUMMYFUNCTION("""COMPUTED_VALUE"""),-1.82089929189676)</f>
        <v>-1.820899292</v>
      </c>
      <c r="M886" s="166">
        <f t="shared" si="2"/>
        <v>1.497339049</v>
      </c>
      <c r="N886" s="167">
        <f t="shared" si="3"/>
        <v>30.10317982</v>
      </c>
      <c r="O886" s="163">
        <f t="shared" ref="O886:Q886" si="890">rank(I886,I:I)</f>
        <v>3178</v>
      </c>
      <c r="P886" s="163">
        <f t="shared" si="890"/>
        <v>2883</v>
      </c>
      <c r="Q886" s="163">
        <f t="shared" si="890"/>
        <v>767</v>
      </c>
      <c r="R886" s="163">
        <f>IFERROR(__xludf.DUMMYFUNCTION("RANK(M886,filter(M:M,C:C=C886))"),197.0)</f>
        <v>197</v>
      </c>
      <c r="S886" s="161" t="b">
        <f t="shared" si="5"/>
        <v>0</v>
      </c>
      <c r="T886" s="161" t="b">
        <f t="array" ref="T886">index('Query Tool'!B:B,match(H886,'Query Tool'!C:C,0))</f>
        <v>1</v>
      </c>
      <c r="U886" s="161" t="b">
        <f t="array" ref="U886">index('Query Tool'!B:B,match(C886,'Query Tool'!C:C,0))</f>
        <v>0</v>
      </c>
      <c r="V886" s="161" t="b">
        <f>F886&gt;='Query Tool'!C$32</f>
        <v>1</v>
      </c>
      <c r="W886" s="161" t="b">
        <f t="array" ref="W886">index(Dropdowns!B:B,match(I886,Dropdowns!A:A,0))</f>
        <v>1</v>
      </c>
      <c r="X886" s="161" t="b">
        <f t="array" ref="X886">index('Query Tool'!B:B,match(D886,'Query Tool'!C:C,0))</f>
        <v>1</v>
      </c>
      <c r="Y886" s="161" t="str">
        <f t="shared" si="6"/>
        <v>burketr01,2014-15</v>
      </c>
      <c r="Z886" s="168">
        <f t="array" ref="Z886">iferror(index(I:I,match($A886&amp;","&amp;index('Year Conversion'!$A:$A,match($C886,'Year Conversion'!$B:$B,0)),$Y:$Y,0))-I886,"")</f>
        <v>1</v>
      </c>
      <c r="AA886" s="168">
        <f t="array" ref="AA886">iferror(index(J:J,match($A886&amp;","&amp;index('Year Conversion'!$A:$A,match($C886,'Year Conversion'!$B:$B,0)),$Y:$Y,0))-J886,"")</f>
        <v>0.3225297333</v>
      </c>
      <c r="AB886" s="168">
        <f t="array" ref="AB886">iferror(index(K:K,match($A886&amp;","&amp;index('Year Conversion'!$A:$A,match($C886,'Year Conversion'!$B:$B,0)),$Y:$Y,0))-K886,"")</f>
        <v>-0.08612800224</v>
      </c>
      <c r="AC886" s="168" t="str">
        <f t="shared" si="7"/>
        <v>UTA,2014-15</v>
      </c>
    </row>
    <row r="887">
      <c r="A887" s="161" t="str">
        <f>IFERROR(__xludf.DUMMYFUNCTION("""COMPUTED_VALUE"""),"blueva01")</f>
        <v>blueva01</v>
      </c>
      <c r="B887" s="161" t="str">
        <f>IFERROR(__xludf.DUMMYFUNCTION("""COMPUTED_VALUE"""),"Vander Blue")</f>
        <v>Vander Blue</v>
      </c>
      <c r="C887" s="162" t="str">
        <f>IFERROR(__xludf.DUMMYFUNCTION("""COMPUTED_VALUE"""),"2014-15")</f>
        <v>2014-15</v>
      </c>
      <c r="D887" s="163" t="str">
        <f>IFERROR(__xludf.DUMMYFUNCTION("""COMPUTED_VALUE"""),"LAL")</f>
        <v>LAL</v>
      </c>
      <c r="E887" s="164" t="str">
        <f>IFERROR(__xludf.DUMMYFUNCTION("""COMPUTED_VALUE"""),"Secondary Ball Handler")</f>
        <v>Secondary Ball Handler</v>
      </c>
      <c r="F887" s="164">
        <f>IFERROR(__xludf.DUMMYFUNCTION("""COMPUTED_VALUE"""),73.7166666666667)</f>
        <v>73.71666667</v>
      </c>
      <c r="G887" s="163">
        <f>IFERROR(__xludf.DUMMYFUNCTION("""COMPUTED_VALUE"""),2.0)</f>
        <v>2</v>
      </c>
      <c r="H887" s="163" t="str">
        <f>IFERROR(__xludf.DUMMYFUNCTION("""COMPUTED_VALUE"""),"SG")</f>
        <v>SG</v>
      </c>
      <c r="I887" s="163">
        <f>IFERROR(__xludf.DUMMYFUNCTION("""COMPUTED_VALUE"""),22.0)</f>
        <v>22</v>
      </c>
      <c r="J887" s="165">
        <f>IFERROR(__xludf.DUMMYFUNCTION("""COMPUTED_VALUE"""),-0.60320842161452)</f>
        <v>-0.6032084216</v>
      </c>
      <c r="K887" s="165">
        <f>IFERROR(__xludf.DUMMYFUNCTION("""COMPUTED_VALUE"""),-0.191014063346142)</f>
        <v>-0.1910140633</v>
      </c>
      <c r="L887" s="165">
        <f>IFERROR(__xludf.DUMMYFUNCTION("""COMPUTED_VALUE"""),-0.412194358268378)</f>
        <v>-0.4121943583</v>
      </c>
      <c r="M887" s="166">
        <f t="shared" si="2"/>
        <v>0.083682801</v>
      </c>
      <c r="N887" s="167">
        <f t="shared" si="3"/>
        <v>36.85833333</v>
      </c>
      <c r="O887" s="163">
        <f t="shared" ref="O887:Q887" si="891">rank(I887,I:I)</f>
        <v>3178</v>
      </c>
      <c r="P887" s="163">
        <f t="shared" si="891"/>
        <v>2004</v>
      </c>
      <c r="Q887" s="163">
        <f t="shared" si="891"/>
        <v>1550</v>
      </c>
      <c r="R887" s="163">
        <f>IFERROR(__xludf.DUMMYFUNCTION("RANK(M887,filter(M:M,C:C=C887))"),389.0)</f>
        <v>389</v>
      </c>
      <c r="S887" s="161" t="b">
        <f t="shared" si="5"/>
        <v>0</v>
      </c>
      <c r="T887" s="161" t="b">
        <f t="array" ref="T887">index('Query Tool'!B:B,match(H887,'Query Tool'!C:C,0))</f>
        <v>1</v>
      </c>
      <c r="U887" s="161" t="b">
        <f t="array" ref="U887">index('Query Tool'!B:B,match(C887,'Query Tool'!C:C,0))</f>
        <v>0</v>
      </c>
      <c r="V887" s="161" t="b">
        <f>F887&gt;='Query Tool'!C$32</f>
        <v>0</v>
      </c>
      <c r="W887" s="161" t="b">
        <f t="array" ref="W887">index(Dropdowns!B:B,match(I887,Dropdowns!A:A,0))</f>
        <v>1</v>
      </c>
      <c r="X887" s="161" t="b">
        <f t="array" ref="X887">index('Query Tool'!B:B,match(D887,'Query Tool'!C:C,0))</f>
        <v>1</v>
      </c>
      <c r="Y887" s="161" t="str">
        <f t="shared" si="6"/>
        <v>blueva01,2014-15</v>
      </c>
      <c r="Z887" s="168" t="str">
        <f t="array" ref="Z887">iferror(index(I:I,match($A887&amp;","&amp;index('Year Conversion'!$A:$A,match($C887,'Year Conversion'!$B:$B,0)),$Y:$Y,0))-I887,"")</f>
        <v/>
      </c>
      <c r="AA887" s="168" t="str">
        <f t="array" ref="AA887">iferror(index(J:J,match($A887&amp;","&amp;index('Year Conversion'!$A:$A,match($C887,'Year Conversion'!$B:$B,0)),$Y:$Y,0))-J887,"")</f>
        <v/>
      </c>
      <c r="AB887" s="168" t="str">
        <f t="array" ref="AB887">iferror(index(K:K,match($A887&amp;","&amp;index('Year Conversion'!$A:$A,match($C887,'Year Conversion'!$B:$B,0)),$Y:$Y,0))-K887,"")</f>
        <v/>
      </c>
      <c r="AC887" s="168" t="str">
        <f t="shared" si="7"/>
        <v>LAL,2014-15</v>
      </c>
    </row>
    <row r="888">
      <c r="A888" s="161" t="str">
        <f>IFERROR(__xludf.DUMMYFUNCTION("""COMPUTED_VALUE"""),"oladivi01")</f>
        <v>oladivi01</v>
      </c>
      <c r="B888" s="161" t="str">
        <f>IFERROR(__xludf.DUMMYFUNCTION("""COMPUTED_VALUE"""),"Victor Oladipo")</f>
        <v>Victor Oladipo</v>
      </c>
      <c r="C888" s="162" t="str">
        <f>IFERROR(__xludf.DUMMYFUNCTION("""COMPUTED_VALUE"""),"2014-15")</f>
        <v>2014-15</v>
      </c>
      <c r="D888" s="163" t="str">
        <f>IFERROR(__xludf.DUMMYFUNCTION("""COMPUTED_VALUE"""),"ORL")</f>
        <v>ORL</v>
      </c>
      <c r="E888" s="164" t="str">
        <f>IFERROR(__xludf.DUMMYFUNCTION("""COMPUTED_VALUE"""),"Slasher")</f>
        <v>Slasher</v>
      </c>
      <c r="F888" s="164">
        <f>IFERROR(__xludf.DUMMYFUNCTION("""COMPUTED_VALUE"""),2572.78833333333)</f>
        <v>2572.788333</v>
      </c>
      <c r="G888" s="163">
        <f>IFERROR(__xludf.DUMMYFUNCTION("""COMPUTED_VALUE"""),72.0)</f>
        <v>72</v>
      </c>
      <c r="H888" s="163" t="str">
        <f>IFERROR(__xludf.DUMMYFUNCTION("""COMPUTED_VALUE"""),"SG")</f>
        <v>SG</v>
      </c>
      <c r="I888" s="163">
        <f>IFERROR(__xludf.DUMMYFUNCTION("""COMPUTED_VALUE"""),22.0)</f>
        <v>22</v>
      </c>
      <c r="J888" s="165">
        <f>IFERROR(__xludf.DUMMYFUNCTION("""COMPUTED_VALUE"""),0.294009066058111)</f>
        <v>0.2940090661</v>
      </c>
      <c r="K888" s="165">
        <f>IFERROR(__xludf.DUMMYFUNCTION("""COMPUTED_VALUE"""),0.585075338056374)</f>
        <v>0.5850753381</v>
      </c>
      <c r="L888" s="165">
        <f>IFERROR(__xludf.DUMMYFUNCTION("""COMPUTED_VALUE"""),-0.291066271998263)</f>
        <v>-0.291066272</v>
      </c>
      <c r="M888" s="166">
        <f t="shared" si="2"/>
        <v>4.47629353</v>
      </c>
      <c r="N888" s="167">
        <f t="shared" si="3"/>
        <v>35.7331713</v>
      </c>
      <c r="O888" s="163">
        <f t="shared" ref="O888:Q888" si="892">rank(I888,I:I)</f>
        <v>3178</v>
      </c>
      <c r="P888" s="163">
        <f t="shared" si="892"/>
        <v>1024</v>
      </c>
      <c r="Q888" s="163">
        <f t="shared" si="892"/>
        <v>721</v>
      </c>
      <c r="R888" s="163">
        <f>IFERROR(__xludf.DUMMYFUNCTION("RANK(M888,filter(M:M,C:C=C888))"),69.0)</f>
        <v>69</v>
      </c>
      <c r="S888" s="161" t="b">
        <f t="shared" si="5"/>
        <v>0</v>
      </c>
      <c r="T888" s="161" t="b">
        <f t="array" ref="T888">index('Query Tool'!B:B,match(H888,'Query Tool'!C:C,0))</f>
        <v>1</v>
      </c>
      <c r="U888" s="161" t="b">
        <f t="array" ref="U888">index('Query Tool'!B:B,match(C888,'Query Tool'!C:C,0))</f>
        <v>0</v>
      </c>
      <c r="V888" s="161" t="b">
        <f>F888&gt;='Query Tool'!C$32</f>
        <v>1</v>
      </c>
      <c r="W888" s="161" t="b">
        <f t="array" ref="W888">index(Dropdowns!B:B,match(I888,Dropdowns!A:A,0))</f>
        <v>1</v>
      </c>
      <c r="X888" s="161" t="b">
        <f t="array" ref="X888">index('Query Tool'!B:B,match(D888,'Query Tool'!C:C,0))</f>
        <v>1</v>
      </c>
      <c r="Y888" s="161" t="str">
        <f t="shared" si="6"/>
        <v>oladivi01,2014-15</v>
      </c>
      <c r="Z888" s="168">
        <f t="array" ref="Z888">iferror(index(I:I,match($A888&amp;","&amp;index('Year Conversion'!$A:$A,match($C888,'Year Conversion'!$B:$B,0)),$Y:$Y,0))-I888,"")</f>
        <v>1</v>
      </c>
      <c r="AA888" s="168">
        <f t="array" ref="AA888">iferror(index(J:J,match($A888&amp;","&amp;index('Year Conversion'!$A:$A,match($C888,'Year Conversion'!$B:$B,0)),$Y:$Y,0))-J888,"")</f>
        <v>0.7963469975</v>
      </c>
      <c r="AB888" s="168">
        <f t="array" ref="AB888">iferror(index(K:K,match($A888&amp;","&amp;index('Year Conversion'!$A:$A,match($C888,'Year Conversion'!$B:$B,0)),$Y:$Y,0))-K888,"")</f>
        <v>0.4247045463</v>
      </c>
      <c r="AC888" s="168" t="str">
        <f t="shared" si="7"/>
        <v>ORL,2014-15</v>
      </c>
    </row>
    <row r="889">
      <c r="A889" s="161" t="str">
        <f>IFERROR(__xludf.DUMMYFUNCTION("""COMPUTED_VALUE"""),"antetgi01")</f>
        <v>antetgi01</v>
      </c>
      <c r="B889" s="161" t="str">
        <f>IFERROR(__xludf.DUMMYFUNCTION("""COMPUTED_VALUE"""),"Giannis Antetokounmpo")</f>
        <v>Giannis Antetokounmpo</v>
      </c>
      <c r="C889" s="162" t="str">
        <f>IFERROR(__xludf.DUMMYFUNCTION("""COMPUTED_VALUE"""),"2014-15")</f>
        <v>2014-15</v>
      </c>
      <c r="D889" s="163" t="str">
        <f>IFERROR(__xludf.DUMMYFUNCTION("""COMPUTED_VALUE"""),"MIL")</f>
        <v>MIL</v>
      </c>
      <c r="E889" s="164" t="str">
        <f>IFERROR(__xludf.DUMMYFUNCTION("""COMPUTED_VALUE"""),"Shot Creator")</f>
        <v>Shot Creator</v>
      </c>
      <c r="F889" s="164">
        <f>IFERROR(__xludf.DUMMYFUNCTION("""COMPUTED_VALUE"""),2540.59)</f>
        <v>2540.59</v>
      </c>
      <c r="G889" s="163">
        <f>IFERROR(__xludf.DUMMYFUNCTION("""COMPUTED_VALUE"""),81.0)</f>
        <v>81</v>
      </c>
      <c r="H889" s="163" t="str">
        <f>IFERROR(__xludf.DUMMYFUNCTION("""COMPUTED_VALUE"""),"SG")</f>
        <v>SG</v>
      </c>
      <c r="I889" s="163">
        <f>IFERROR(__xludf.DUMMYFUNCTION("""COMPUTED_VALUE"""),20.0)</f>
        <v>20</v>
      </c>
      <c r="J889" s="165">
        <f>IFERROR(__xludf.DUMMYFUNCTION("""COMPUTED_VALUE"""),0.550932191408994)</f>
        <v>0.5509321914</v>
      </c>
      <c r="K889" s="165">
        <f>IFERROR(__xludf.DUMMYFUNCTION("""COMPUTED_VALUE"""),-0.949246400966271)</f>
        <v>-0.949246401</v>
      </c>
      <c r="L889" s="165">
        <f>IFERROR(__xludf.DUMMYFUNCTION("""COMPUTED_VALUE"""),1.50017859237526)</f>
        <v>1.500178592</v>
      </c>
      <c r="M889" s="166">
        <f t="shared" si="2"/>
        <v>4.860003862</v>
      </c>
      <c r="N889" s="167">
        <f t="shared" si="3"/>
        <v>31.36530864</v>
      </c>
      <c r="O889" s="163">
        <f t="shared" ref="O889:Q889" si="893">rank(I889,I:I)</f>
        <v>3770</v>
      </c>
      <c r="P889" s="163">
        <f t="shared" si="893"/>
        <v>868</v>
      </c>
      <c r="Q889" s="163">
        <f t="shared" si="893"/>
        <v>2745</v>
      </c>
      <c r="R889" s="163">
        <f>IFERROR(__xludf.DUMMYFUNCTION("RANK(M889,filter(M:M,C:C=C889))"),61.0)</f>
        <v>61</v>
      </c>
      <c r="S889" s="161" t="b">
        <f t="shared" si="5"/>
        <v>0</v>
      </c>
      <c r="T889" s="161" t="b">
        <f t="array" ref="T889">index('Query Tool'!B:B,match(H889,'Query Tool'!C:C,0))</f>
        <v>1</v>
      </c>
      <c r="U889" s="161" t="b">
        <f t="array" ref="U889">index('Query Tool'!B:B,match(C889,'Query Tool'!C:C,0))</f>
        <v>0</v>
      </c>
      <c r="V889" s="161" t="b">
        <f>F889&gt;='Query Tool'!C$32</f>
        <v>1</v>
      </c>
      <c r="W889" s="161" t="b">
        <f t="array" ref="W889">index(Dropdowns!B:B,match(I889,Dropdowns!A:A,0))</f>
        <v>1</v>
      </c>
      <c r="X889" s="161" t="b">
        <f t="array" ref="X889">index('Query Tool'!B:B,match(D889,'Query Tool'!C:C,0))</f>
        <v>1</v>
      </c>
      <c r="Y889" s="161" t="str">
        <f t="shared" si="6"/>
        <v>antetgi01,2014-15</v>
      </c>
      <c r="Z889" s="168">
        <f t="array" ref="Z889">iferror(index(I:I,match($A889&amp;","&amp;index('Year Conversion'!$A:$A,match($C889,'Year Conversion'!$B:$B,0)),$Y:$Y,0))-I889,"")</f>
        <v>1</v>
      </c>
      <c r="AA889" s="168">
        <f t="array" ref="AA889">iferror(index(J:J,match($A889&amp;","&amp;index('Year Conversion'!$A:$A,match($C889,'Year Conversion'!$B:$B,0)),$Y:$Y,0))-J889,"")</f>
        <v>0.910813202</v>
      </c>
      <c r="AB889" s="168">
        <f t="array" ref="AB889">iferror(index(K:K,match($A889&amp;","&amp;index('Year Conversion'!$A:$A,match($C889,'Year Conversion'!$B:$B,0)),$Y:$Y,0))-K889,"")</f>
        <v>2.176293213</v>
      </c>
      <c r="AC889" s="168" t="str">
        <f t="shared" si="7"/>
        <v>MIL,2014-15</v>
      </c>
    </row>
    <row r="890">
      <c r="A890" s="161" t="str">
        <f>IFERROR(__xludf.DUMMYFUNCTION("""COMPUTED_VALUE"""),"karasse01")</f>
        <v>karasse01</v>
      </c>
      <c r="B890" s="161" t="str">
        <f>IFERROR(__xludf.DUMMYFUNCTION("""COMPUTED_VALUE"""),"Sergey Karasev")</f>
        <v>Sergey Karasev</v>
      </c>
      <c r="C890" s="162" t="str">
        <f>IFERROR(__xludf.DUMMYFUNCTION("""COMPUTED_VALUE"""),"2014-15")</f>
        <v>2014-15</v>
      </c>
      <c r="D890" s="163" t="str">
        <f>IFERROR(__xludf.DUMMYFUNCTION("""COMPUTED_VALUE"""),"BRK")</f>
        <v>BRK</v>
      </c>
      <c r="E890" s="164" t="str">
        <f>IFERROR(__xludf.DUMMYFUNCTION("""COMPUTED_VALUE"""),"Athletic Finisher")</f>
        <v>Athletic Finisher</v>
      </c>
      <c r="F890" s="164">
        <f>IFERROR(__xludf.DUMMYFUNCTION("""COMPUTED_VALUE"""),555.223333333333)</f>
        <v>555.2233333</v>
      </c>
      <c r="G890" s="163">
        <f>IFERROR(__xludf.DUMMYFUNCTION("""COMPUTED_VALUE"""),33.0)</f>
        <v>33</v>
      </c>
      <c r="H890" s="163" t="str">
        <f>IFERROR(__xludf.DUMMYFUNCTION("""COMPUTED_VALUE"""),"SG")</f>
        <v>SG</v>
      </c>
      <c r="I890" s="163">
        <f>IFERROR(__xludf.DUMMYFUNCTION("""COMPUTED_VALUE"""),21.0)</f>
        <v>21</v>
      </c>
      <c r="J890" s="165">
        <f>IFERROR(__xludf.DUMMYFUNCTION("""COMPUTED_VALUE"""),-0.374971945965209)</f>
        <v>-0.374971946</v>
      </c>
      <c r="K890" s="165">
        <f>IFERROR(__xludf.DUMMYFUNCTION("""COMPUTED_VALUE"""),-0.477017869232239)</f>
        <v>-0.4770178692</v>
      </c>
      <c r="L890" s="165">
        <f>IFERROR(__xludf.DUMMYFUNCTION("""COMPUTED_VALUE"""),0.10204592326703)</f>
        <v>0.1020459233</v>
      </c>
      <c r="M890" s="166">
        <f t="shared" si="2"/>
        <v>0.7156349979</v>
      </c>
      <c r="N890" s="167">
        <f t="shared" si="3"/>
        <v>16.82494949</v>
      </c>
      <c r="O890" s="163">
        <f t="shared" ref="O890:Q890" si="894">rank(I890,I:I)</f>
        <v>3528</v>
      </c>
      <c r="P890" s="163">
        <f t="shared" si="894"/>
        <v>1700</v>
      </c>
      <c r="Q890" s="163">
        <f t="shared" si="894"/>
        <v>2080</v>
      </c>
      <c r="R890" s="163">
        <f>IFERROR(__xludf.DUMMYFUNCTION("RANK(M890,filter(M:M,C:C=C890))"),258.0)</f>
        <v>258</v>
      </c>
      <c r="S890" s="161" t="b">
        <f t="shared" si="5"/>
        <v>0</v>
      </c>
      <c r="T890" s="161" t="b">
        <f t="array" ref="T890">index('Query Tool'!B:B,match(H890,'Query Tool'!C:C,0))</f>
        <v>1</v>
      </c>
      <c r="U890" s="161" t="b">
        <f t="array" ref="U890">index('Query Tool'!B:B,match(C890,'Query Tool'!C:C,0))</f>
        <v>0</v>
      </c>
      <c r="V890" s="161" t="b">
        <f>F890&gt;='Query Tool'!C$32</f>
        <v>1</v>
      </c>
      <c r="W890" s="161" t="b">
        <f t="array" ref="W890">index(Dropdowns!B:B,match(I890,Dropdowns!A:A,0))</f>
        <v>1</v>
      </c>
      <c r="X890" s="161" t="b">
        <f t="array" ref="X890">index('Query Tool'!B:B,match(D890,'Query Tool'!C:C,0))</f>
        <v>1</v>
      </c>
      <c r="Y890" s="161" t="str">
        <f t="shared" si="6"/>
        <v>karasse01,2014-15</v>
      </c>
      <c r="Z890" s="168">
        <f t="array" ref="Z890">iferror(index(I:I,match($A890&amp;","&amp;index('Year Conversion'!$A:$A,match($C890,'Year Conversion'!$B:$B,0)),$Y:$Y,0))-I890,"")</f>
        <v>1</v>
      </c>
      <c r="AA890" s="168">
        <f t="array" ref="AA890">iferror(index(J:J,match($A890&amp;","&amp;index('Year Conversion'!$A:$A,match($C890,'Year Conversion'!$B:$B,0)),$Y:$Y,0))-J890,"")</f>
        <v>-1.041516561</v>
      </c>
      <c r="AB890" s="168">
        <f t="array" ref="AB890">iferror(index(K:K,match($A890&amp;","&amp;index('Year Conversion'!$A:$A,match($C890,'Year Conversion'!$B:$B,0)),$Y:$Y,0))-K890,"")</f>
        <v>-0.5949701288</v>
      </c>
      <c r="AC890" s="168" t="str">
        <f t="shared" si="7"/>
        <v>BRK,2014-15</v>
      </c>
    </row>
    <row r="891">
      <c r="A891" s="161" t="str">
        <f>IFERROR(__xludf.DUMMYFUNCTION("""COMPUTED_VALUE"""),"jerregr01")</f>
        <v>jerregr01</v>
      </c>
      <c r="B891" s="161" t="str">
        <f>IFERROR(__xludf.DUMMYFUNCTION("""COMPUTED_VALUE"""),"Grant Jerrett")</f>
        <v>Grant Jerrett</v>
      </c>
      <c r="C891" s="162" t="str">
        <f>IFERROR(__xludf.DUMMYFUNCTION("""COMPUTED_VALUE"""),"2014-15")</f>
        <v>2014-15</v>
      </c>
      <c r="D891" s="163" t="str">
        <f>IFERROR(__xludf.DUMMYFUNCTION("""COMPUTED_VALUE"""),"TOT")</f>
        <v>TOT</v>
      </c>
      <c r="E891" s="164" t="str">
        <f>IFERROR(__xludf.DUMMYFUNCTION("""COMPUTED_VALUE"""),"Stretch Big")</f>
        <v>Stretch Big</v>
      </c>
      <c r="F891" s="164">
        <f>IFERROR(__xludf.DUMMYFUNCTION("""COMPUTED_VALUE"""),50.9316666666666)</f>
        <v>50.93166667</v>
      </c>
      <c r="G891" s="163">
        <f>IFERROR(__xludf.DUMMYFUNCTION("""COMPUTED_VALUE"""),8.0)</f>
        <v>8</v>
      </c>
      <c r="H891" s="163" t="str">
        <f>IFERROR(__xludf.DUMMYFUNCTION("""COMPUTED_VALUE"""),"PF")</f>
        <v>PF</v>
      </c>
      <c r="I891" s="163">
        <f>IFERROR(__xludf.DUMMYFUNCTION("""COMPUTED_VALUE"""),21.0)</f>
        <v>21</v>
      </c>
      <c r="J891" s="165">
        <f>IFERROR(__xludf.DUMMYFUNCTION("""COMPUTED_VALUE"""),-0.212346688492154)</f>
        <v>-0.2123466885</v>
      </c>
      <c r="K891" s="165">
        <f>IFERROR(__xludf.DUMMYFUNCTION("""COMPUTED_VALUE"""),0.325244685325794)</f>
        <v>0.3252446853</v>
      </c>
      <c r="L891" s="165">
        <f>IFERROR(__xludf.DUMMYFUNCTION("""COMPUTED_VALUE"""),-0.537591373817949)</f>
        <v>-0.5375913738</v>
      </c>
      <c r="M891" s="166">
        <f t="shared" si="2"/>
        <v>0.07122863151</v>
      </c>
      <c r="N891" s="167">
        <f t="shared" si="3"/>
        <v>6.366458333</v>
      </c>
      <c r="O891" s="163">
        <f t="shared" ref="O891:Q891" si="895">rank(I891,I:I)</f>
        <v>3528</v>
      </c>
      <c r="P891" s="163">
        <f t="shared" si="895"/>
        <v>1518</v>
      </c>
      <c r="Q891" s="163">
        <f t="shared" si="895"/>
        <v>888</v>
      </c>
      <c r="R891" s="163">
        <f>IFERROR(__xludf.DUMMYFUNCTION("RANK(M891,filter(M:M,C:C=C891))"),398.0)</f>
        <v>398</v>
      </c>
      <c r="S891" s="161" t="b">
        <f t="shared" si="5"/>
        <v>0</v>
      </c>
      <c r="T891" s="161" t="b">
        <f t="array" ref="T891">index('Query Tool'!B:B,match(H891,'Query Tool'!C:C,0))</f>
        <v>1</v>
      </c>
      <c r="U891" s="161" t="b">
        <f t="array" ref="U891">index('Query Tool'!B:B,match(C891,'Query Tool'!C:C,0))</f>
        <v>0</v>
      </c>
      <c r="V891" s="161" t="b">
        <f>F891&gt;='Query Tool'!C$32</f>
        <v>0</v>
      </c>
      <c r="W891" s="161" t="b">
        <f t="array" ref="W891">index(Dropdowns!B:B,match(I891,Dropdowns!A:A,0))</f>
        <v>1</v>
      </c>
      <c r="X891" s="161" t="b">
        <f t="array" ref="X891">index('Query Tool'!B:B,match(D891,'Query Tool'!C:C,0))</f>
        <v>1</v>
      </c>
      <c r="Y891" s="161" t="str">
        <f t="shared" si="6"/>
        <v>jerregr01,2014-15</v>
      </c>
      <c r="Z891" s="168" t="str">
        <f t="array" ref="Z891">iferror(index(I:I,match($A891&amp;","&amp;index('Year Conversion'!$A:$A,match($C891,'Year Conversion'!$B:$B,0)),$Y:$Y,0))-I891,"")</f>
        <v/>
      </c>
      <c r="AA891" s="168" t="str">
        <f t="array" ref="AA891">iferror(index(J:J,match($A891&amp;","&amp;index('Year Conversion'!$A:$A,match($C891,'Year Conversion'!$B:$B,0)),$Y:$Y,0))-J891,"")</f>
        <v/>
      </c>
      <c r="AB891" s="168" t="str">
        <f t="array" ref="AB891">iferror(index(K:K,match($A891&amp;","&amp;index('Year Conversion'!$A:$A,match($C891,'Year Conversion'!$B:$B,0)),$Y:$Y,0))-K891,"")</f>
        <v/>
      </c>
      <c r="AC891" s="168" t="str">
        <f t="shared" si="7"/>
        <v>TOT,2014-15</v>
      </c>
    </row>
    <row r="892">
      <c r="A892" s="161" t="str">
        <f>IFERROR(__xludf.DUMMYFUNCTION("""COMPUTED_VALUE"""),"noguelu01")</f>
        <v>noguelu01</v>
      </c>
      <c r="B892" s="161" t="str">
        <f>IFERROR(__xludf.DUMMYFUNCTION("""COMPUTED_VALUE"""),"Lucas Nogueira")</f>
        <v>Lucas Nogueira</v>
      </c>
      <c r="C892" s="162" t="str">
        <f>IFERROR(__xludf.DUMMYFUNCTION("""COMPUTED_VALUE"""),"2014-15")</f>
        <v>2014-15</v>
      </c>
      <c r="D892" s="163" t="str">
        <f>IFERROR(__xludf.DUMMYFUNCTION("""COMPUTED_VALUE"""),"TOR")</f>
        <v>TOR</v>
      </c>
      <c r="E892" s="164" t="str">
        <f>IFERROR(__xludf.DUMMYFUNCTION("""COMPUTED_VALUE"""),"Roll + Cut Big")</f>
        <v>Roll + Cut Big</v>
      </c>
      <c r="F892" s="164">
        <f>IFERROR(__xludf.DUMMYFUNCTION("""COMPUTED_VALUE"""),23.05)</f>
        <v>23.05</v>
      </c>
      <c r="G892" s="163">
        <f>IFERROR(__xludf.DUMMYFUNCTION("""COMPUTED_VALUE"""),6.0)</f>
        <v>6</v>
      </c>
      <c r="H892" s="163" t="str">
        <f>IFERROR(__xludf.DUMMYFUNCTION("""COMPUTED_VALUE"""),"C")</f>
        <v>C</v>
      </c>
      <c r="I892" s="163">
        <f>IFERROR(__xludf.DUMMYFUNCTION("""COMPUTED_VALUE"""),22.0)</f>
        <v>22</v>
      </c>
      <c r="J892" s="165">
        <f>IFERROR(__xludf.DUMMYFUNCTION("""COMPUTED_VALUE"""),-1.06453514131562)</f>
        <v>-1.064535141</v>
      </c>
      <c r="K892" s="165">
        <f>IFERROR(__xludf.DUMMYFUNCTION("""COMPUTED_VALUE"""),-0.565762216328229)</f>
        <v>-0.5657622163</v>
      </c>
      <c r="L892" s="165">
        <f>IFERROR(__xludf.DUMMYFUNCTION("""COMPUTED_VALUE"""),-0.498772924987393)</f>
        <v>-0.498772925</v>
      </c>
      <c r="M892" s="166">
        <f t="shared" si="2"/>
        <v>0.0190184545</v>
      </c>
      <c r="N892" s="167">
        <f t="shared" si="3"/>
        <v>3.841666667</v>
      </c>
      <c r="O892" s="163">
        <f t="shared" ref="O892:Q892" si="896">rank(I892,I:I)</f>
        <v>3178</v>
      </c>
      <c r="P892" s="163">
        <f t="shared" si="896"/>
        <v>2571</v>
      </c>
      <c r="Q892" s="163">
        <f t="shared" si="896"/>
        <v>2211</v>
      </c>
      <c r="R892" s="163">
        <f>IFERROR(__xludf.DUMMYFUNCTION("RANK(M892,filter(M:M,C:C=C892))"),427.0)</f>
        <v>427</v>
      </c>
      <c r="S892" s="161" t="b">
        <f t="shared" si="5"/>
        <v>0</v>
      </c>
      <c r="T892" s="161" t="b">
        <f t="array" ref="T892">index('Query Tool'!B:B,match(H892,'Query Tool'!C:C,0))</f>
        <v>1</v>
      </c>
      <c r="U892" s="161" t="b">
        <f t="array" ref="U892">index('Query Tool'!B:B,match(C892,'Query Tool'!C:C,0))</f>
        <v>0</v>
      </c>
      <c r="V892" s="161" t="b">
        <f>F892&gt;='Query Tool'!C$32</f>
        <v>0</v>
      </c>
      <c r="W892" s="161" t="b">
        <f t="array" ref="W892">index(Dropdowns!B:B,match(I892,Dropdowns!A:A,0))</f>
        <v>1</v>
      </c>
      <c r="X892" s="161" t="b">
        <f t="array" ref="X892">index('Query Tool'!B:B,match(D892,'Query Tool'!C:C,0))</f>
        <v>1</v>
      </c>
      <c r="Y892" s="161" t="str">
        <f t="shared" si="6"/>
        <v>noguelu01,2014-15</v>
      </c>
      <c r="Z892" s="168">
        <f t="array" ref="Z892">iferror(index(I:I,match($A892&amp;","&amp;index('Year Conversion'!$A:$A,match($C892,'Year Conversion'!$B:$B,0)),$Y:$Y,0))-I892,"")</f>
        <v>1</v>
      </c>
      <c r="AA892" s="168">
        <f t="array" ref="AA892">iferror(index(J:J,match($A892&amp;","&amp;index('Year Conversion'!$A:$A,match($C892,'Year Conversion'!$B:$B,0)),$Y:$Y,0))-J892,"")</f>
        <v>0.7854987572</v>
      </c>
      <c r="AB892" s="168">
        <f t="array" ref="AB892">iferror(index(K:K,match($A892&amp;","&amp;index('Year Conversion'!$A:$A,match($C892,'Year Conversion'!$B:$B,0)),$Y:$Y,0))-K892,"")</f>
        <v>-0.291730939</v>
      </c>
      <c r="AC892" s="168" t="str">
        <f t="shared" si="7"/>
        <v>TOR,2014-15</v>
      </c>
    </row>
    <row r="893">
      <c r="A893" s="161" t="str">
        <f>IFERROR(__xludf.DUMMYFUNCTION("""COMPUTED_VALUE"""),"pressph01")</f>
        <v>pressph01</v>
      </c>
      <c r="B893" s="161" t="str">
        <f>IFERROR(__xludf.DUMMYFUNCTION("""COMPUTED_VALUE"""),"Phil Pressey")</f>
        <v>Phil Pressey</v>
      </c>
      <c r="C893" s="162" t="str">
        <f>IFERROR(__xludf.DUMMYFUNCTION("""COMPUTED_VALUE"""),"2014-15")</f>
        <v>2014-15</v>
      </c>
      <c r="D893" s="163" t="str">
        <f>IFERROR(__xludf.DUMMYFUNCTION("""COMPUTED_VALUE"""),"BOS")</f>
        <v>BOS</v>
      </c>
      <c r="E893" s="164" t="str">
        <f>IFERROR(__xludf.DUMMYFUNCTION("""COMPUTED_VALUE"""),"Secondary Ball Handler")</f>
        <v>Secondary Ball Handler</v>
      </c>
      <c r="F893" s="164">
        <f>IFERROR(__xludf.DUMMYFUNCTION("""COMPUTED_VALUE"""),600.148333333333)</f>
        <v>600.1483333</v>
      </c>
      <c r="G893" s="163">
        <f>IFERROR(__xludf.DUMMYFUNCTION("""COMPUTED_VALUE"""),50.0)</f>
        <v>50</v>
      </c>
      <c r="H893" s="163" t="str">
        <f>IFERROR(__xludf.DUMMYFUNCTION("""COMPUTED_VALUE"""),"PG")</f>
        <v>PG</v>
      </c>
      <c r="I893" s="163">
        <f>IFERROR(__xludf.DUMMYFUNCTION("""COMPUTED_VALUE"""),23.0)</f>
        <v>23</v>
      </c>
      <c r="J893" s="165">
        <f>IFERROR(__xludf.DUMMYFUNCTION("""COMPUTED_VALUE"""),0.236336440701112)</f>
        <v>0.2363364407</v>
      </c>
      <c r="K893" s="165">
        <f>IFERROR(__xludf.DUMMYFUNCTION("""COMPUTED_VALUE"""),-0.240641609615568)</f>
        <v>-0.2406416096</v>
      </c>
      <c r="L893" s="165">
        <f>IFERROR(__xludf.DUMMYFUNCTION("""COMPUTED_VALUE"""),0.47697805031668)</f>
        <v>0.4769780503</v>
      </c>
      <c r="M893" s="166">
        <f t="shared" si="2"/>
        <v>1.020846269</v>
      </c>
      <c r="N893" s="167">
        <f t="shared" si="3"/>
        <v>12.00296667</v>
      </c>
      <c r="O893" s="163">
        <f t="shared" ref="O893:Q893" si="897">rank(I893,I:I)</f>
        <v>2765</v>
      </c>
      <c r="P893" s="163">
        <f t="shared" si="897"/>
        <v>1064</v>
      </c>
      <c r="Q893" s="163">
        <f t="shared" si="897"/>
        <v>1644</v>
      </c>
      <c r="R893" s="163">
        <f>IFERROR(__xludf.DUMMYFUNCTION("RANK(M893,filter(M:M,C:C=C893))"),231.0)</f>
        <v>231</v>
      </c>
      <c r="S893" s="161" t="b">
        <f t="shared" si="5"/>
        <v>0</v>
      </c>
      <c r="T893" s="161" t="b">
        <f t="array" ref="T893">index('Query Tool'!B:B,match(H893,'Query Tool'!C:C,0))</f>
        <v>1</v>
      </c>
      <c r="U893" s="161" t="b">
        <f t="array" ref="U893">index('Query Tool'!B:B,match(C893,'Query Tool'!C:C,0))</f>
        <v>0</v>
      </c>
      <c r="V893" s="161" t="b">
        <f>F893&gt;='Query Tool'!C$32</f>
        <v>1</v>
      </c>
      <c r="W893" s="161" t="b">
        <f t="array" ref="W893">index(Dropdowns!B:B,match(I893,Dropdowns!A:A,0))</f>
        <v>1</v>
      </c>
      <c r="X893" s="161" t="b">
        <f t="array" ref="X893">index('Query Tool'!B:B,match(D893,'Query Tool'!C:C,0))</f>
        <v>1</v>
      </c>
      <c r="Y893" s="161" t="str">
        <f t="shared" si="6"/>
        <v>pressph01,2014-15</v>
      </c>
      <c r="Z893" s="168">
        <f t="array" ref="Z893">iferror(index(I:I,match($A893&amp;","&amp;index('Year Conversion'!$A:$A,match($C893,'Year Conversion'!$B:$B,0)),$Y:$Y,0))-I893,"")</f>
        <v>1</v>
      </c>
      <c r="AA893" s="168">
        <f t="array" ref="AA893">iferror(index(J:J,match($A893&amp;","&amp;index('Year Conversion'!$A:$A,match($C893,'Year Conversion'!$B:$B,0)),$Y:$Y,0))-J893,"")</f>
        <v>0.3510570153</v>
      </c>
      <c r="AB893" s="168">
        <f t="array" ref="AB893">iferror(index(K:K,match($A893&amp;","&amp;index('Year Conversion'!$A:$A,match($C893,'Year Conversion'!$B:$B,0)),$Y:$Y,0))-K893,"")</f>
        <v>0.1933262689</v>
      </c>
      <c r="AC893" s="168" t="str">
        <f t="shared" si="7"/>
        <v>BOS,2014-15</v>
      </c>
    </row>
    <row r="894">
      <c r="A894" s="161" t="str">
        <f>IFERROR(__xludf.DUMMYFUNCTION("""COMPUTED_VALUE"""),"ennisja01")</f>
        <v>ennisja01</v>
      </c>
      <c r="B894" s="161" t="str">
        <f>IFERROR(__xludf.DUMMYFUNCTION("""COMPUTED_VALUE"""),"James Ennis III")</f>
        <v>James Ennis III</v>
      </c>
      <c r="C894" s="162" t="str">
        <f>IFERROR(__xludf.DUMMYFUNCTION("""COMPUTED_VALUE"""),"2014-15")</f>
        <v>2014-15</v>
      </c>
      <c r="D894" s="163" t="str">
        <f>IFERROR(__xludf.DUMMYFUNCTION("""COMPUTED_VALUE"""),"MIA")</f>
        <v>MIA</v>
      </c>
      <c r="E894" s="164" t="str">
        <f>IFERROR(__xludf.DUMMYFUNCTION("""COMPUTED_VALUE"""),"Athletic Finisher")</f>
        <v>Athletic Finisher</v>
      </c>
      <c r="F894" s="164">
        <f>IFERROR(__xludf.DUMMYFUNCTION("""COMPUTED_VALUE"""),1051.41)</f>
        <v>1051.41</v>
      </c>
      <c r="G894" s="163">
        <f>IFERROR(__xludf.DUMMYFUNCTION("""COMPUTED_VALUE"""),62.0)</f>
        <v>62</v>
      </c>
      <c r="H894" s="163" t="str">
        <f>IFERROR(__xludf.DUMMYFUNCTION("""COMPUTED_VALUE"""),"SF")</f>
        <v>SF</v>
      </c>
      <c r="I894" s="163">
        <f>IFERROR(__xludf.DUMMYFUNCTION("""COMPUTED_VALUE"""),24.0)</f>
        <v>24</v>
      </c>
      <c r="J894" s="165">
        <f>IFERROR(__xludf.DUMMYFUNCTION("""COMPUTED_VALUE"""),-0.988438050855762)</f>
        <v>-0.9884380509</v>
      </c>
      <c r="K894" s="165">
        <f>IFERROR(__xludf.DUMMYFUNCTION("""COMPUTED_VALUE"""),-0.402334269689363)</f>
        <v>-0.4023342697</v>
      </c>
      <c r="L894" s="165">
        <f>IFERROR(__xludf.DUMMYFUNCTION("""COMPUTED_VALUE"""),-0.586103781166399)</f>
        <v>-0.5861037812</v>
      </c>
      <c r="M894" s="166">
        <f t="shared" si="2"/>
        <v>0.9212189371</v>
      </c>
      <c r="N894" s="167">
        <f t="shared" si="3"/>
        <v>16.95822581</v>
      </c>
      <c r="O894" s="163">
        <f t="shared" ref="O894:Q894" si="898">rank(I894,I:I)</f>
        <v>2361</v>
      </c>
      <c r="P894" s="163">
        <f t="shared" si="898"/>
        <v>2489</v>
      </c>
      <c r="Q894" s="163">
        <f t="shared" si="898"/>
        <v>1946</v>
      </c>
      <c r="R894" s="163">
        <f>IFERROR(__xludf.DUMMYFUNCTION("RANK(M894,filter(M:M,C:C=C894))"),239.0)</f>
        <v>239</v>
      </c>
      <c r="S894" s="161" t="b">
        <f t="shared" si="5"/>
        <v>0</v>
      </c>
      <c r="T894" s="161" t="b">
        <f t="array" ref="T894">index('Query Tool'!B:B,match(H894,'Query Tool'!C:C,0))</f>
        <v>1</v>
      </c>
      <c r="U894" s="161" t="b">
        <f t="array" ref="U894">index('Query Tool'!B:B,match(C894,'Query Tool'!C:C,0))</f>
        <v>0</v>
      </c>
      <c r="V894" s="161" t="b">
        <f>F894&gt;='Query Tool'!C$32</f>
        <v>1</v>
      </c>
      <c r="W894" s="161" t="b">
        <f t="array" ref="W894">index(Dropdowns!B:B,match(I894,Dropdowns!A:A,0))</f>
        <v>1</v>
      </c>
      <c r="X894" s="161" t="b">
        <f t="array" ref="X894">index('Query Tool'!B:B,match(D894,'Query Tool'!C:C,0))</f>
        <v>1</v>
      </c>
      <c r="Y894" s="161" t="str">
        <f t="shared" si="6"/>
        <v>ennisja01,2014-15</v>
      </c>
      <c r="Z894" s="168">
        <f t="array" ref="Z894">iferror(index(I:I,match($A894&amp;","&amp;index('Year Conversion'!$A:$A,match($C894,'Year Conversion'!$B:$B,0)),$Y:$Y,0))-I894,"")</f>
        <v>1</v>
      </c>
      <c r="AA894" s="168">
        <f t="array" ref="AA894">iferror(index(J:J,match($A894&amp;","&amp;index('Year Conversion'!$A:$A,match($C894,'Year Conversion'!$B:$B,0)),$Y:$Y,0))-J894,"")</f>
        <v>0.2725918695</v>
      </c>
      <c r="AB894" s="168">
        <f t="array" ref="AB894">iferror(index(K:K,match($A894&amp;","&amp;index('Year Conversion'!$A:$A,match($C894,'Year Conversion'!$B:$B,0)),$Y:$Y,0))-K894,"")</f>
        <v>0.4619220624</v>
      </c>
      <c r="AC894" s="168" t="str">
        <f t="shared" si="7"/>
        <v>MIA,2014-15</v>
      </c>
    </row>
    <row r="895">
      <c r="A895" s="161" t="str">
        <f>IFERROR(__xludf.DUMMYFUNCTION("""COMPUTED_VALUE"""),"dellama01")</f>
        <v>dellama01</v>
      </c>
      <c r="B895" s="161" t="str">
        <f>IFERROR(__xludf.DUMMYFUNCTION("""COMPUTED_VALUE"""),"Matthew Dellavedova")</f>
        <v>Matthew Dellavedova</v>
      </c>
      <c r="C895" s="162" t="str">
        <f>IFERROR(__xludf.DUMMYFUNCTION("""COMPUTED_VALUE"""),"2014-15")</f>
        <v>2014-15</v>
      </c>
      <c r="D895" s="163" t="str">
        <f>IFERROR(__xludf.DUMMYFUNCTION("""COMPUTED_VALUE"""),"CLE")</f>
        <v>CLE</v>
      </c>
      <c r="E895" s="164" t="str">
        <f>IFERROR(__xludf.DUMMYFUNCTION("""COMPUTED_VALUE"""),"Primary Ball Handler")</f>
        <v>Primary Ball Handler</v>
      </c>
      <c r="F895" s="164">
        <f>IFERROR(__xludf.DUMMYFUNCTION("""COMPUTED_VALUE"""),1380.23333333333)</f>
        <v>1380.233333</v>
      </c>
      <c r="G895" s="163">
        <f>IFERROR(__xludf.DUMMYFUNCTION("""COMPUTED_VALUE"""),67.0)</f>
        <v>67</v>
      </c>
      <c r="H895" s="163" t="str">
        <f>IFERROR(__xludf.DUMMYFUNCTION("""COMPUTED_VALUE"""),"SG")</f>
        <v>SG</v>
      </c>
      <c r="I895" s="163">
        <f>IFERROR(__xludf.DUMMYFUNCTION("""COMPUTED_VALUE"""),24.0)</f>
        <v>24</v>
      </c>
      <c r="J895" s="165">
        <f>IFERROR(__xludf.DUMMYFUNCTION("""COMPUTED_VALUE"""),-2.0849371428385)</f>
        <v>-2.084937143</v>
      </c>
      <c r="K895" s="165">
        <f>IFERROR(__xludf.DUMMYFUNCTION("""COMPUTED_VALUE"""),-0.48822385904824)</f>
        <v>-0.488223859</v>
      </c>
      <c r="L895" s="165">
        <f>IFERROR(__xludf.DUMMYFUNCTION("""COMPUTED_VALUE"""),-1.59671328379026)</f>
        <v>-1.596713284</v>
      </c>
      <c r="M895" s="166">
        <f t="shared" si="2"/>
        <v>0.1993755845</v>
      </c>
      <c r="N895" s="167">
        <f t="shared" si="3"/>
        <v>20.60049751</v>
      </c>
      <c r="O895" s="163">
        <f t="shared" ref="O895:Q895" si="899">rank(I895,I:I)</f>
        <v>2361</v>
      </c>
      <c r="P895" s="163">
        <f t="shared" si="899"/>
        <v>3546</v>
      </c>
      <c r="Q895" s="163">
        <f t="shared" si="899"/>
        <v>2090</v>
      </c>
      <c r="R895" s="163">
        <f>IFERROR(__xludf.DUMMYFUNCTION("RANK(M895,filter(M:M,C:C=C895))"),338.0)</f>
        <v>338</v>
      </c>
      <c r="S895" s="161" t="b">
        <f t="shared" si="5"/>
        <v>0</v>
      </c>
      <c r="T895" s="161" t="b">
        <f t="array" ref="T895">index('Query Tool'!B:B,match(H895,'Query Tool'!C:C,0))</f>
        <v>1</v>
      </c>
      <c r="U895" s="161" t="b">
        <f t="array" ref="U895">index('Query Tool'!B:B,match(C895,'Query Tool'!C:C,0))</f>
        <v>0</v>
      </c>
      <c r="V895" s="161" t="b">
        <f>F895&gt;='Query Tool'!C$32</f>
        <v>1</v>
      </c>
      <c r="W895" s="161" t="b">
        <f t="array" ref="W895">index(Dropdowns!B:B,match(I895,Dropdowns!A:A,0))</f>
        <v>1</v>
      </c>
      <c r="X895" s="161" t="b">
        <f t="array" ref="X895">index('Query Tool'!B:B,match(D895,'Query Tool'!C:C,0))</f>
        <v>1</v>
      </c>
      <c r="Y895" s="161" t="str">
        <f t="shared" si="6"/>
        <v>dellama01,2014-15</v>
      </c>
      <c r="Z895" s="168">
        <f t="array" ref="Z895">iferror(index(I:I,match($A895&amp;","&amp;index('Year Conversion'!$A:$A,match($C895,'Year Conversion'!$B:$B,0)),$Y:$Y,0))-I895,"")</f>
        <v>1</v>
      </c>
      <c r="AA895" s="168">
        <f t="array" ref="AA895">iferror(index(J:J,match($A895&amp;","&amp;index('Year Conversion'!$A:$A,match($C895,'Year Conversion'!$B:$B,0)),$Y:$Y,0))-J895,"")</f>
        <v>2.885169874</v>
      </c>
      <c r="AB895" s="168">
        <f t="array" ref="AB895">iferror(index(K:K,match($A895&amp;","&amp;index('Year Conversion'!$A:$A,match($C895,'Year Conversion'!$B:$B,0)),$Y:$Y,0))-K895,"")</f>
        <v>1.416651531</v>
      </c>
      <c r="AC895" s="168" t="str">
        <f t="shared" si="7"/>
        <v>CLE,2014-15</v>
      </c>
    </row>
    <row r="896">
      <c r="A896" s="161" t="str">
        <f>IFERROR(__xludf.DUMMYFUNCTION("""COMPUTED_VALUE"""),"hillso01")</f>
        <v>hillso01</v>
      </c>
      <c r="B896" s="161" t="str">
        <f>IFERROR(__xludf.DUMMYFUNCTION("""COMPUTED_VALUE"""),"Solomon Hill")</f>
        <v>Solomon Hill</v>
      </c>
      <c r="C896" s="162" t="str">
        <f>IFERROR(__xludf.DUMMYFUNCTION("""COMPUTED_VALUE"""),"2014-15")</f>
        <v>2014-15</v>
      </c>
      <c r="D896" s="163" t="str">
        <f>IFERROR(__xludf.DUMMYFUNCTION("""COMPUTED_VALUE"""),"IND")</f>
        <v>IND</v>
      </c>
      <c r="E896" s="164" t="str">
        <f>IFERROR(__xludf.DUMMYFUNCTION("""COMPUTED_VALUE"""),"Secondary Ball Handler")</f>
        <v>Secondary Ball Handler</v>
      </c>
      <c r="F896" s="164">
        <f>IFERROR(__xludf.DUMMYFUNCTION("""COMPUTED_VALUE"""),2380.96333333333)</f>
        <v>2380.963333</v>
      </c>
      <c r="G896" s="163">
        <f>IFERROR(__xludf.DUMMYFUNCTION("""COMPUTED_VALUE"""),82.0)</f>
        <v>82</v>
      </c>
      <c r="H896" s="163" t="str">
        <f>IFERROR(__xludf.DUMMYFUNCTION("""COMPUTED_VALUE"""),"SF")</f>
        <v>SF</v>
      </c>
      <c r="I896" s="163">
        <f>IFERROR(__xludf.DUMMYFUNCTION("""COMPUTED_VALUE"""),23.0)</f>
        <v>23</v>
      </c>
      <c r="J896" s="165">
        <f>IFERROR(__xludf.DUMMYFUNCTION("""COMPUTED_VALUE"""),-0.930475620422073)</f>
        <v>-0.9304756204</v>
      </c>
      <c r="K896" s="165">
        <f>IFERROR(__xludf.DUMMYFUNCTION("""COMPUTED_VALUE"""),-0.901240811932959)</f>
        <v>-0.9012408119</v>
      </c>
      <c r="L896" s="165">
        <f>IFERROR(__xludf.DUMMYFUNCTION("""COMPUTED_VALUE"""),-0.0292348084891144)</f>
        <v>-0.02923480849</v>
      </c>
      <c r="M896" s="166">
        <f t="shared" si="2"/>
        <v>2.178826423</v>
      </c>
      <c r="N896" s="167">
        <f t="shared" si="3"/>
        <v>29.03613821</v>
      </c>
      <c r="O896" s="163">
        <f t="shared" ref="O896:Q896" si="900">rank(I896,I:I)</f>
        <v>2765</v>
      </c>
      <c r="P896" s="163">
        <f t="shared" si="900"/>
        <v>2430</v>
      </c>
      <c r="Q896" s="163">
        <f t="shared" si="900"/>
        <v>2692</v>
      </c>
      <c r="R896" s="163">
        <f>IFERROR(__xludf.DUMMYFUNCTION("RANK(M896,filter(M:M,C:C=C896))"),159.0)</f>
        <v>159</v>
      </c>
      <c r="S896" s="161" t="b">
        <f t="shared" si="5"/>
        <v>0</v>
      </c>
      <c r="T896" s="161" t="b">
        <f t="array" ref="T896">index('Query Tool'!B:B,match(H896,'Query Tool'!C:C,0))</f>
        <v>1</v>
      </c>
      <c r="U896" s="161" t="b">
        <f t="array" ref="U896">index('Query Tool'!B:B,match(C896,'Query Tool'!C:C,0))</f>
        <v>0</v>
      </c>
      <c r="V896" s="161" t="b">
        <f>F896&gt;='Query Tool'!C$32</f>
        <v>1</v>
      </c>
      <c r="W896" s="161" t="b">
        <f t="array" ref="W896">index(Dropdowns!B:B,match(I896,Dropdowns!A:A,0))</f>
        <v>1</v>
      </c>
      <c r="X896" s="161" t="b">
        <f t="array" ref="X896">index('Query Tool'!B:B,match(D896,'Query Tool'!C:C,0))</f>
        <v>1</v>
      </c>
      <c r="Y896" s="161" t="str">
        <f t="shared" si="6"/>
        <v>hillso01,2014-15</v>
      </c>
      <c r="Z896" s="168">
        <f t="array" ref="Z896">iferror(index(I:I,match($A896&amp;","&amp;index('Year Conversion'!$A:$A,match($C896,'Year Conversion'!$B:$B,0)),$Y:$Y,0))-I896,"")</f>
        <v>1</v>
      </c>
      <c r="AA896" s="168">
        <f t="array" ref="AA896">iferror(index(J:J,match($A896&amp;","&amp;index('Year Conversion'!$A:$A,match($C896,'Year Conversion'!$B:$B,0)),$Y:$Y,0))-J896,"")</f>
        <v>1.623944942</v>
      </c>
      <c r="AB896" s="168">
        <f t="array" ref="AB896">iferror(index(K:K,match($A896&amp;","&amp;index('Year Conversion'!$A:$A,match($C896,'Year Conversion'!$B:$B,0)),$Y:$Y,0))-K896,"")</f>
        <v>1.550557788</v>
      </c>
      <c r="AC896" s="168" t="str">
        <f t="shared" si="7"/>
        <v>IND,2014-15</v>
      </c>
    </row>
    <row r="897">
      <c r="A897" s="161" t="str">
        <f>IFERROR(__xludf.DUMMYFUNCTION("""COMPUTED_VALUE"""),"kellyry01")</f>
        <v>kellyry01</v>
      </c>
      <c r="B897" s="161" t="str">
        <f>IFERROR(__xludf.DUMMYFUNCTION("""COMPUTED_VALUE"""),"Ryan Kelly")</f>
        <v>Ryan Kelly</v>
      </c>
      <c r="C897" s="162" t="str">
        <f>IFERROR(__xludf.DUMMYFUNCTION("""COMPUTED_VALUE"""),"2014-15")</f>
        <v>2014-15</v>
      </c>
      <c r="D897" s="163" t="str">
        <f>IFERROR(__xludf.DUMMYFUNCTION("""COMPUTED_VALUE"""),"LAL")</f>
        <v>LAL</v>
      </c>
      <c r="E897" s="164" t="str">
        <f>IFERROR(__xludf.DUMMYFUNCTION("""COMPUTED_VALUE"""),"Stationary Shooter")</f>
        <v>Stationary Shooter</v>
      </c>
      <c r="F897" s="164">
        <f>IFERROR(__xludf.DUMMYFUNCTION("""COMPUTED_VALUE"""),1233.23666666667)</f>
        <v>1233.236667</v>
      </c>
      <c r="G897" s="163">
        <f>IFERROR(__xludf.DUMMYFUNCTION("""COMPUTED_VALUE"""),52.0)</f>
        <v>52</v>
      </c>
      <c r="H897" s="163" t="str">
        <f>IFERROR(__xludf.DUMMYFUNCTION("""COMPUTED_VALUE"""),"PF")</f>
        <v>PF</v>
      </c>
      <c r="I897" s="163">
        <f>IFERROR(__xludf.DUMMYFUNCTION("""COMPUTED_VALUE"""),23.0)</f>
        <v>23</v>
      </c>
      <c r="J897" s="165">
        <f>IFERROR(__xludf.DUMMYFUNCTION("""COMPUTED_VALUE"""),-1.13098573104541)</f>
        <v>-1.130985731</v>
      </c>
      <c r="K897" s="165">
        <f>IFERROR(__xludf.DUMMYFUNCTION("""COMPUTED_VALUE"""),-1.29030751822254)</f>
        <v>-1.290307518</v>
      </c>
      <c r="L897" s="165">
        <f>IFERROR(__xludf.DUMMYFUNCTION("""COMPUTED_VALUE"""),0.159321787177133)</f>
        <v>0.1593217872</v>
      </c>
      <c r="M897" s="166">
        <f t="shared" si="2"/>
        <v>0.9625654432</v>
      </c>
      <c r="N897" s="167">
        <f t="shared" si="3"/>
        <v>23.71608974</v>
      </c>
      <c r="O897" s="163">
        <f t="shared" ref="O897:Q897" si="901">rank(I897,I:I)</f>
        <v>2765</v>
      </c>
      <c r="P897" s="163">
        <f t="shared" si="901"/>
        <v>2660</v>
      </c>
      <c r="Q897" s="163">
        <f t="shared" si="901"/>
        <v>3131</v>
      </c>
      <c r="R897" s="163">
        <f>IFERROR(__xludf.DUMMYFUNCTION("RANK(M897,filter(M:M,C:C=C897))"),235.0)</f>
        <v>235</v>
      </c>
      <c r="S897" s="161" t="b">
        <f t="shared" si="5"/>
        <v>0</v>
      </c>
      <c r="T897" s="161" t="b">
        <f t="array" ref="T897">index('Query Tool'!B:B,match(H897,'Query Tool'!C:C,0))</f>
        <v>1</v>
      </c>
      <c r="U897" s="161" t="b">
        <f t="array" ref="U897">index('Query Tool'!B:B,match(C897,'Query Tool'!C:C,0))</f>
        <v>0</v>
      </c>
      <c r="V897" s="161" t="b">
        <f>F897&gt;='Query Tool'!C$32</f>
        <v>1</v>
      </c>
      <c r="W897" s="161" t="b">
        <f t="array" ref="W897">index(Dropdowns!B:B,match(I897,Dropdowns!A:A,0))</f>
        <v>1</v>
      </c>
      <c r="X897" s="161" t="b">
        <f t="array" ref="X897">index('Query Tool'!B:B,match(D897,'Query Tool'!C:C,0))</f>
        <v>1</v>
      </c>
      <c r="Y897" s="161" t="str">
        <f t="shared" si="6"/>
        <v>kellyry01,2014-15</v>
      </c>
      <c r="Z897" s="168">
        <f t="array" ref="Z897">iferror(index(I:I,match($A897&amp;","&amp;index('Year Conversion'!$A:$A,match($C897,'Year Conversion'!$B:$B,0)),$Y:$Y,0))-I897,"")</f>
        <v>1</v>
      </c>
      <c r="AA897" s="168">
        <f t="array" ref="AA897">iferror(index(J:J,match($A897&amp;","&amp;index('Year Conversion'!$A:$A,match($C897,'Year Conversion'!$B:$B,0)),$Y:$Y,0))-J897,"")</f>
        <v>0.9001272603</v>
      </c>
      <c r="AB897" s="168">
        <f t="array" ref="AB897">iferror(index(K:K,match($A897&amp;","&amp;index('Year Conversion'!$A:$A,match($C897,'Year Conversion'!$B:$B,0)),$Y:$Y,0))-K897,"")</f>
        <v>0.5165889926</v>
      </c>
      <c r="AC897" s="168" t="str">
        <f t="shared" si="7"/>
        <v>LAL,2014-15</v>
      </c>
    </row>
    <row r="898">
      <c r="A898" s="161" t="str">
        <f>IFERROR(__xludf.DUMMYFUNCTION("""COMPUTED_VALUE"""),"lauvejo01")</f>
        <v>lauvejo01</v>
      </c>
      <c r="B898" s="161" t="str">
        <f>IFERROR(__xludf.DUMMYFUNCTION("""COMPUTED_VALUE"""),"Joffrey Lauvergne")</f>
        <v>Joffrey Lauvergne</v>
      </c>
      <c r="C898" s="162" t="str">
        <f>IFERROR(__xludf.DUMMYFUNCTION("""COMPUTED_VALUE"""),"2014-15")</f>
        <v>2014-15</v>
      </c>
      <c r="D898" s="163" t="str">
        <f>IFERROR(__xludf.DUMMYFUNCTION("""COMPUTED_VALUE"""),"DEN")</f>
        <v>DEN</v>
      </c>
      <c r="E898" s="164" t="str">
        <f>IFERROR(__xludf.DUMMYFUNCTION("""COMPUTED_VALUE"""),"Post Scorer")</f>
        <v>Post Scorer</v>
      </c>
      <c r="F898" s="164">
        <f>IFERROR(__xludf.DUMMYFUNCTION("""COMPUTED_VALUE"""),267.953333333333)</f>
        <v>267.9533333</v>
      </c>
      <c r="G898" s="163">
        <f>IFERROR(__xludf.DUMMYFUNCTION("""COMPUTED_VALUE"""),24.0)</f>
        <v>24</v>
      </c>
      <c r="H898" s="163" t="str">
        <f>IFERROR(__xludf.DUMMYFUNCTION("""COMPUTED_VALUE"""),"C")</f>
        <v>C</v>
      </c>
      <c r="I898" s="163">
        <f>IFERROR(__xludf.DUMMYFUNCTION("""COMPUTED_VALUE"""),23.0)</f>
        <v>23</v>
      </c>
      <c r="J898" s="165">
        <f>IFERROR(__xludf.DUMMYFUNCTION("""COMPUTED_VALUE"""),-1.60470544186225)</f>
        <v>-1.604705442</v>
      </c>
      <c r="K898" s="165">
        <f>IFERROR(__xludf.DUMMYFUNCTION("""COMPUTED_VALUE"""),-1.26575773465022)</f>
        <v>-1.265757735</v>
      </c>
      <c r="L898" s="165">
        <f>IFERROR(__xludf.DUMMYFUNCTION("""COMPUTED_VALUE"""),-0.338947707212025)</f>
        <v>-0.3389477072</v>
      </c>
      <c r="M898" s="166">
        <f t="shared" si="2"/>
        <v>0.1242350185</v>
      </c>
      <c r="N898" s="167">
        <f t="shared" si="3"/>
        <v>11.16472222</v>
      </c>
      <c r="O898" s="163">
        <f t="shared" ref="O898:Q898" si="902">rank(I898,I:I)</f>
        <v>2765</v>
      </c>
      <c r="P898" s="163">
        <f t="shared" si="902"/>
        <v>3150</v>
      </c>
      <c r="Q898" s="163">
        <f t="shared" si="902"/>
        <v>3102</v>
      </c>
      <c r="R898" s="163">
        <f>IFERROR(__xludf.DUMMYFUNCTION("RANK(M898,filter(M:M,C:C=C898))"),364.0)</f>
        <v>364</v>
      </c>
      <c r="S898" s="161" t="b">
        <f t="shared" si="5"/>
        <v>0</v>
      </c>
      <c r="T898" s="161" t="b">
        <f t="array" ref="T898">index('Query Tool'!B:B,match(H898,'Query Tool'!C:C,0))</f>
        <v>1</v>
      </c>
      <c r="U898" s="161" t="b">
        <f t="array" ref="U898">index('Query Tool'!B:B,match(C898,'Query Tool'!C:C,0))</f>
        <v>0</v>
      </c>
      <c r="V898" s="161" t="b">
        <f>F898&gt;='Query Tool'!C$32</f>
        <v>0</v>
      </c>
      <c r="W898" s="161" t="b">
        <f t="array" ref="W898">index(Dropdowns!B:B,match(I898,Dropdowns!A:A,0))</f>
        <v>1</v>
      </c>
      <c r="X898" s="161" t="b">
        <f t="array" ref="X898">index('Query Tool'!B:B,match(D898,'Query Tool'!C:C,0))</f>
        <v>1</v>
      </c>
      <c r="Y898" s="161" t="str">
        <f t="shared" si="6"/>
        <v>lauvejo01,2014-15</v>
      </c>
      <c r="Z898" s="168">
        <f t="array" ref="Z898">iferror(index(I:I,match($A898&amp;","&amp;index('Year Conversion'!$A:$A,match($C898,'Year Conversion'!$B:$B,0)),$Y:$Y,0))-I898,"")</f>
        <v>1</v>
      </c>
      <c r="AA898" s="168">
        <f t="array" ref="AA898">iferror(index(J:J,match($A898&amp;","&amp;index('Year Conversion'!$A:$A,match($C898,'Year Conversion'!$B:$B,0)),$Y:$Y,0))-J898,"")</f>
        <v>-1.306154462</v>
      </c>
      <c r="AB898" s="168">
        <f t="array" ref="AB898">iferror(index(K:K,match($A898&amp;","&amp;index('Year Conversion'!$A:$A,match($C898,'Year Conversion'!$B:$B,0)),$Y:$Y,0))-K898,"")</f>
        <v>0.191806193</v>
      </c>
      <c r="AC898" s="168" t="str">
        <f t="shared" si="7"/>
        <v>DEN,2014-15</v>
      </c>
    </row>
    <row r="899">
      <c r="A899" s="161" t="str">
        <f>IFERROR(__xludf.DUMMYFUNCTION("""COMPUTED_VALUE"""),"mekelga01")</f>
        <v>mekelga01</v>
      </c>
      <c r="B899" s="161" t="str">
        <f>IFERROR(__xludf.DUMMYFUNCTION("""COMPUTED_VALUE"""),"Gal Mekel")</f>
        <v>Gal Mekel</v>
      </c>
      <c r="C899" s="162" t="str">
        <f>IFERROR(__xludf.DUMMYFUNCTION("""COMPUTED_VALUE"""),"2014-15")</f>
        <v>2014-15</v>
      </c>
      <c r="D899" s="163" t="str">
        <f>IFERROR(__xludf.DUMMYFUNCTION("""COMPUTED_VALUE"""),"NOP")</f>
        <v>NOP</v>
      </c>
      <c r="E899" s="164" t="str">
        <f>IFERROR(__xludf.DUMMYFUNCTION("""COMPUTED_VALUE"""),"Slasher")</f>
        <v>Slasher</v>
      </c>
      <c r="F899" s="164">
        <f>IFERROR(__xludf.DUMMYFUNCTION("""COMPUTED_VALUE"""),43.4816666666666)</f>
        <v>43.48166667</v>
      </c>
      <c r="G899" s="163">
        <f>IFERROR(__xludf.DUMMYFUNCTION("""COMPUTED_VALUE"""),4.0)</f>
        <v>4</v>
      </c>
      <c r="H899" s="163" t="str">
        <f>IFERROR(__xludf.DUMMYFUNCTION("""COMPUTED_VALUE"""),"PG")</f>
        <v>PG</v>
      </c>
      <c r="I899" s="163">
        <f>IFERROR(__xludf.DUMMYFUNCTION("""COMPUTED_VALUE"""),26.0)</f>
        <v>26</v>
      </c>
      <c r="J899" s="165">
        <f>IFERROR(__xludf.DUMMYFUNCTION("""COMPUTED_VALUE"""),-0.699956027287508)</f>
        <v>-0.6999560273</v>
      </c>
      <c r="K899" s="165">
        <f>IFERROR(__xludf.DUMMYFUNCTION("""COMPUTED_VALUE"""),-0.112688085063488)</f>
        <v>-0.1126880851</v>
      </c>
      <c r="L899" s="165">
        <f>IFERROR(__xludf.DUMMYFUNCTION("""COMPUTED_VALUE"""),-0.58726794222402)</f>
        <v>-0.5872679422</v>
      </c>
      <c r="M899" s="166">
        <f t="shared" si="2"/>
        <v>0.0465290516</v>
      </c>
      <c r="N899" s="167">
        <f t="shared" si="3"/>
        <v>10.87041667</v>
      </c>
      <c r="O899" s="163">
        <f t="shared" ref="O899:Q899" si="903">rank(I899,I:I)</f>
        <v>1665</v>
      </c>
      <c r="P899" s="163">
        <f t="shared" si="903"/>
        <v>2140</v>
      </c>
      <c r="Q899" s="163">
        <f t="shared" si="903"/>
        <v>1394</v>
      </c>
      <c r="R899" s="163">
        <f>IFERROR(__xludf.DUMMYFUNCTION("RANK(M899,filter(M:M,C:C=C899))"),413.0)</f>
        <v>413</v>
      </c>
      <c r="S899" s="161" t="b">
        <f t="shared" si="5"/>
        <v>0</v>
      </c>
      <c r="T899" s="161" t="b">
        <f t="array" ref="T899">index('Query Tool'!B:B,match(H899,'Query Tool'!C:C,0))</f>
        <v>1</v>
      </c>
      <c r="U899" s="161" t="b">
        <f t="array" ref="U899">index('Query Tool'!B:B,match(C899,'Query Tool'!C:C,0))</f>
        <v>0</v>
      </c>
      <c r="V899" s="161" t="b">
        <f>F899&gt;='Query Tool'!C$32</f>
        <v>0</v>
      </c>
      <c r="W899" s="161" t="b">
        <f t="array" ref="W899">index(Dropdowns!B:B,match(I899,Dropdowns!A:A,0))</f>
        <v>1</v>
      </c>
      <c r="X899" s="161" t="b">
        <f t="array" ref="X899">index('Query Tool'!B:B,match(D899,'Query Tool'!C:C,0))</f>
        <v>1</v>
      </c>
      <c r="Y899" s="161" t="str">
        <f t="shared" si="6"/>
        <v>mekelga01,2014-15</v>
      </c>
      <c r="Z899" s="168" t="str">
        <f t="array" ref="Z899">iferror(index(I:I,match($A899&amp;","&amp;index('Year Conversion'!$A:$A,match($C899,'Year Conversion'!$B:$B,0)),$Y:$Y,0))-I899,"")</f>
        <v/>
      </c>
      <c r="AA899" s="168" t="str">
        <f t="array" ref="AA899">iferror(index(J:J,match($A899&amp;","&amp;index('Year Conversion'!$A:$A,match($C899,'Year Conversion'!$B:$B,0)),$Y:$Y,0))-J899,"")</f>
        <v/>
      </c>
      <c r="AB899" s="168" t="str">
        <f t="array" ref="AB899">iferror(index(K:K,match($A899&amp;","&amp;index('Year Conversion'!$A:$A,match($C899,'Year Conversion'!$B:$B,0)),$Y:$Y,0))-K899,"")</f>
        <v/>
      </c>
      <c r="AC899" s="168" t="str">
        <f t="shared" si="7"/>
        <v>NOP,2014-15</v>
      </c>
    </row>
    <row r="900">
      <c r="A900" s="161" t="str">
        <f>IFERROR(__xludf.DUMMYFUNCTION("""COMPUTED_VALUE"""),"datomlu01")</f>
        <v>datomlu01</v>
      </c>
      <c r="B900" s="161" t="str">
        <f>IFERROR(__xludf.DUMMYFUNCTION("""COMPUTED_VALUE"""),"Gigi Datome")</f>
        <v>Gigi Datome</v>
      </c>
      <c r="C900" s="162" t="str">
        <f>IFERROR(__xludf.DUMMYFUNCTION("""COMPUTED_VALUE"""),"2014-15")</f>
        <v>2014-15</v>
      </c>
      <c r="D900" s="163" t="str">
        <f>IFERROR(__xludf.DUMMYFUNCTION("""COMPUTED_VALUE"""),"TOT")</f>
        <v>TOT</v>
      </c>
      <c r="E900" s="164" t="str">
        <f>IFERROR(__xludf.DUMMYFUNCTION("""COMPUTED_VALUE"""),"Movement Shooter")</f>
        <v>Movement Shooter</v>
      </c>
      <c r="F900" s="164">
        <f>IFERROR(__xludf.DUMMYFUNCTION("""COMPUTED_VALUE"""),209.218333333333)</f>
        <v>209.2183333</v>
      </c>
      <c r="G900" s="163">
        <f>IFERROR(__xludf.DUMMYFUNCTION("""COMPUTED_VALUE"""),21.0)</f>
        <v>21</v>
      </c>
      <c r="H900" s="163" t="str">
        <f>IFERROR(__xludf.DUMMYFUNCTION("""COMPUTED_VALUE"""),"SF")</f>
        <v>SF</v>
      </c>
      <c r="I900" s="163">
        <f>IFERROR(__xludf.DUMMYFUNCTION("""COMPUTED_VALUE"""),27.0)</f>
        <v>27</v>
      </c>
      <c r="J900" s="165">
        <f>IFERROR(__xludf.DUMMYFUNCTION("""COMPUTED_VALUE"""),-0.220231430733239)</f>
        <v>-0.2202314307</v>
      </c>
      <c r="K900" s="165">
        <f>IFERROR(__xludf.DUMMYFUNCTION("""COMPUTED_VALUE"""),-0.29384686145776)</f>
        <v>-0.2938468615</v>
      </c>
      <c r="L900" s="165">
        <f>IFERROR(__xludf.DUMMYFUNCTION("""COMPUTED_VALUE"""),0.0736154307245216)</f>
        <v>0.07361543072</v>
      </c>
      <c r="M900" s="166">
        <f t="shared" si="2"/>
        <v>0.2914827482</v>
      </c>
      <c r="N900" s="167">
        <f t="shared" si="3"/>
        <v>9.962777778</v>
      </c>
      <c r="O900" s="163">
        <f t="shared" ref="O900:Q900" si="904">rank(I900,I:I)</f>
        <v>1366</v>
      </c>
      <c r="P900" s="163">
        <f t="shared" si="904"/>
        <v>1523</v>
      </c>
      <c r="Q900" s="163">
        <f t="shared" si="904"/>
        <v>1754</v>
      </c>
      <c r="R900" s="163">
        <f>IFERROR(__xludf.DUMMYFUNCTION("RANK(M900,filter(M:M,C:C=C900))"),311.0)</f>
        <v>311</v>
      </c>
      <c r="S900" s="161" t="b">
        <f t="shared" si="5"/>
        <v>0</v>
      </c>
      <c r="T900" s="161" t="b">
        <f t="array" ref="T900">index('Query Tool'!B:B,match(H900,'Query Tool'!C:C,0))</f>
        <v>1</v>
      </c>
      <c r="U900" s="161" t="b">
        <f t="array" ref="U900">index('Query Tool'!B:B,match(C900,'Query Tool'!C:C,0))</f>
        <v>0</v>
      </c>
      <c r="V900" s="161" t="b">
        <f>F900&gt;='Query Tool'!C$32</f>
        <v>0</v>
      </c>
      <c r="W900" s="161" t="b">
        <f t="array" ref="W900">index(Dropdowns!B:B,match(I900,Dropdowns!A:A,0))</f>
        <v>1</v>
      </c>
      <c r="X900" s="161" t="b">
        <f t="array" ref="X900">index('Query Tool'!B:B,match(D900,'Query Tool'!C:C,0))</f>
        <v>1</v>
      </c>
      <c r="Y900" s="161" t="str">
        <f t="shared" si="6"/>
        <v>datomlu01,2014-15</v>
      </c>
      <c r="Z900" s="168" t="str">
        <f t="array" ref="Z900">iferror(index(I:I,match($A900&amp;","&amp;index('Year Conversion'!$A:$A,match($C900,'Year Conversion'!$B:$B,0)),$Y:$Y,0))-I900,"")</f>
        <v/>
      </c>
      <c r="AA900" s="168" t="str">
        <f t="array" ref="AA900">iferror(index(J:J,match($A900&amp;","&amp;index('Year Conversion'!$A:$A,match($C900,'Year Conversion'!$B:$B,0)),$Y:$Y,0))-J900,"")</f>
        <v/>
      </c>
      <c r="AB900" s="168" t="str">
        <f t="array" ref="AB900">iferror(index(K:K,match($A900&amp;","&amp;index('Year Conversion'!$A:$A,match($C900,'Year Conversion'!$B:$B,0)),$Y:$Y,0))-K900,"")</f>
        <v/>
      </c>
      <c r="AC900" s="168" t="str">
        <f t="shared" si="7"/>
        <v>TOT,2014-15</v>
      </c>
    </row>
    <row r="901">
      <c r="A901" s="161" t="str">
        <f>IFERROR(__xludf.DUMMYFUNCTION("""COMPUTED_VALUE"""),"anticpe01")</f>
        <v>anticpe01</v>
      </c>
      <c r="B901" s="161" t="str">
        <f>IFERROR(__xludf.DUMMYFUNCTION("""COMPUTED_VALUE"""),"Pero Antic")</f>
        <v>Pero Antic</v>
      </c>
      <c r="C901" s="162" t="str">
        <f>IFERROR(__xludf.DUMMYFUNCTION("""COMPUTED_VALUE"""),"2014-15")</f>
        <v>2014-15</v>
      </c>
      <c r="D901" s="163" t="str">
        <f>IFERROR(__xludf.DUMMYFUNCTION("""COMPUTED_VALUE"""),"ATL")</f>
        <v>ATL</v>
      </c>
      <c r="E901" s="164" t="str">
        <f>IFERROR(__xludf.DUMMYFUNCTION("""COMPUTED_VALUE"""),"Stretch Big")</f>
        <v>Stretch Big</v>
      </c>
      <c r="F901" s="164">
        <f>IFERROR(__xludf.DUMMYFUNCTION("""COMPUTED_VALUE"""),1037.21333333333)</f>
        <v>1037.213333</v>
      </c>
      <c r="G901" s="163">
        <f>IFERROR(__xludf.DUMMYFUNCTION("""COMPUTED_VALUE"""),63.0)</f>
        <v>63</v>
      </c>
      <c r="H901" s="163" t="str">
        <f>IFERROR(__xludf.DUMMYFUNCTION("""COMPUTED_VALUE"""),"C")</f>
        <v>C</v>
      </c>
      <c r="I901" s="163">
        <f>IFERROR(__xludf.DUMMYFUNCTION("""COMPUTED_VALUE"""),32.0)</f>
        <v>32</v>
      </c>
      <c r="J901" s="165">
        <f>IFERROR(__xludf.DUMMYFUNCTION("""COMPUTED_VALUE"""),0.328737873001316)</f>
        <v>0.328737873</v>
      </c>
      <c r="K901" s="165">
        <f>IFERROR(__xludf.DUMMYFUNCTION("""COMPUTED_VALUE"""),0.0496614061714019)</f>
        <v>0.04966140617</v>
      </c>
      <c r="L901" s="165">
        <f>IFERROR(__xludf.DUMMYFUNCTION("""COMPUTED_VALUE"""),0.279076466829914)</f>
        <v>0.2790764668</v>
      </c>
      <c r="M901" s="166">
        <f t="shared" si="2"/>
        <v>1.828882098</v>
      </c>
      <c r="N901" s="167">
        <f t="shared" si="3"/>
        <v>16.4637037</v>
      </c>
      <c r="O901" s="163">
        <f t="shared" ref="O901:Q901" si="905">rank(I901,I:I)</f>
        <v>359</v>
      </c>
      <c r="P901" s="163">
        <f t="shared" si="905"/>
        <v>998</v>
      </c>
      <c r="Q901" s="163">
        <f t="shared" si="905"/>
        <v>1132</v>
      </c>
      <c r="R901" s="163">
        <f>IFERROR(__xludf.DUMMYFUNCTION("RANK(M901,filter(M:M,C:C=C901))"),176.0)</f>
        <v>176</v>
      </c>
      <c r="S901" s="161" t="b">
        <f t="shared" si="5"/>
        <v>0</v>
      </c>
      <c r="T901" s="161" t="b">
        <f t="array" ref="T901">index('Query Tool'!B:B,match(H901,'Query Tool'!C:C,0))</f>
        <v>1</v>
      </c>
      <c r="U901" s="161" t="b">
        <f t="array" ref="U901">index('Query Tool'!B:B,match(C901,'Query Tool'!C:C,0))</f>
        <v>0</v>
      </c>
      <c r="V901" s="161" t="b">
        <f>F901&gt;='Query Tool'!C$32</f>
        <v>1</v>
      </c>
      <c r="W901" s="161" t="b">
        <f t="array" ref="W901">index(Dropdowns!B:B,match(I901,Dropdowns!A:A,0))</f>
        <v>1</v>
      </c>
      <c r="X901" s="161" t="b">
        <f t="array" ref="X901">index('Query Tool'!B:B,match(D901,'Query Tool'!C:C,0))</f>
        <v>1</v>
      </c>
      <c r="Y901" s="161" t="str">
        <f t="shared" si="6"/>
        <v>anticpe01,2014-15</v>
      </c>
      <c r="Z901" s="168" t="str">
        <f t="array" ref="Z901">iferror(index(I:I,match($A901&amp;","&amp;index('Year Conversion'!$A:$A,match($C901,'Year Conversion'!$B:$B,0)),$Y:$Y,0))-I901,"")</f>
        <v/>
      </c>
      <c r="AA901" s="168" t="str">
        <f t="array" ref="AA901">iferror(index(J:J,match($A901&amp;","&amp;index('Year Conversion'!$A:$A,match($C901,'Year Conversion'!$B:$B,0)),$Y:$Y,0))-J901,"")</f>
        <v/>
      </c>
      <c r="AB901" s="168" t="str">
        <f t="array" ref="AB901">iferror(index(K:K,match($A901&amp;","&amp;index('Year Conversion'!$A:$A,match($C901,'Year Conversion'!$B:$B,0)),$Y:$Y,0))-K901,"")</f>
        <v/>
      </c>
      <c r="AC901" s="168" t="str">
        <f t="shared" si="7"/>
        <v>ATL,2014-15</v>
      </c>
    </row>
    <row r="902">
      <c r="A902" s="161" t="str">
        <f>IFERROR(__xludf.DUMMYFUNCTION("""COMPUTED_VALUE"""),"radulmi01")</f>
        <v>radulmi01</v>
      </c>
      <c r="B902" s="161" t="str">
        <f>IFERROR(__xludf.DUMMYFUNCTION("""COMPUTED_VALUE"""),"Miroslav Raduljica")</f>
        <v>Miroslav Raduljica</v>
      </c>
      <c r="C902" s="162" t="str">
        <f>IFERROR(__xludf.DUMMYFUNCTION("""COMPUTED_VALUE"""),"2014-15")</f>
        <v>2014-15</v>
      </c>
      <c r="D902" s="163" t="str">
        <f>IFERROR(__xludf.DUMMYFUNCTION("""COMPUTED_VALUE"""),"MIN")</f>
        <v>MIN</v>
      </c>
      <c r="E902" s="164" t="str">
        <f>IFERROR(__xludf.DUMMYFUNCTION("""COMPUTED_VALUE"""),"Roll + Cut Big")</f>
        <v>Roll + Cut Big</v>
      </c>
      <c r="F902" s="164">
        <f>IFERROR(__xludf.DUMMYFUNCTION("""COMPUTED_VALUE"""),22.75)</f>
        <v>22.75</v>
      </c>
      <c r="G902" s="163">
        <f>IFERROR(__xludf.DUMMYFUNCTION("""COMPUTED_VALUE"""),5.0)</f>
        <v>5</v>
      </c>
      <c r="H902" s="163" t="str">
        <f>IFERROR(__xludf.DUMMYFUNCTION("""COMPUTED_VALUE"""),"C")</f>
        <v>C</v>
      </c>
      <c r="I902" s="163">
        <f>IFERROR(__xludf.DUMMYFUNCTION("""COMPUTED_VALUE"""),27.0)</f>
        <v>27</v>
      </c>
      <c r="J902" s="165">
        <f>IFERROR(__xludf.DUMMYFUNCTION("""COMPUTED_VALUE"""),-0.169058761896978)</f>
        <v>-0.1690587619</v>
      </c>
      <c r="K902" s="165">
        <f>IFERROR(__xludf.DUMMYFUNCTION("""COMPUTED_VALUE"""),-0.134592572970377)</f>
        <v>-0.134592573</v>
      </c>
      <c r="L902" s="165">
        <f>IFERROR(__xludf.DUMMYFUNCTION("""COMPUTED_VALUE"""),-0.0344661889266008)</f>
        <v>-0.03446618893</v>
      </c>
      <c r="M902" s="166">
        <f t="shared" si="2"/>
        <v>0.03248002704</v>
      </c>
      <c r="N902" s="167">
        <f t="shared" si="3"/>
        <v>4.55</v>
      </c>
      <c r="O902" s="163">
        <f t="shared" ref="O902:Q902" si="906">rank(I902,I:I)</f>
        <v>1366</v>
      </c>
      <c r="P902" s="163">
        <f t="shared" si="906"/>
        <v>1468</v>
      </c>
      <c r="Q902" s="163">
        <f t="shared" si="906"/>
        <v>1452</v>
      </c>
      <c r="R902" s="163">
        <f>IFERROR(__xludf.DUMMYFUNCTION("RANK(M902,filter(M:M,C:C=C902))"),418.0)</f>
        <v>418</v>
      </c>
      <c r="S902" s="161" t="b">
        <f t="shared" si="5"/>
        <v>0</v>
      </c>
      <c r="T902" s="161" t="b">
        <f t="array" ref="T902">index('Query Tool'!B:B,match(H902,'Query Tool'!C:C,0))</f>
        <v>1</v>
      </c>
      <c r="U902" s="161" t="b">
        <f t="array" ref="U902">index('Query Tool'!B:B,match(C902,'Query Tool'!C:C,0))</f>
        <v>0</v>
      </c>
      <c r="V902" s="161" t="b">
        <f>F902&gt;='Query Tool'!C$32</f>
        <v>0</v>
      </c>
      <c r="W902" s="161" t="b">
        <f t="array" ref="W902">index(Dropdowns!B:B,match(I902,Dropdowns!A:A,0))</f>
        <v>1</v>
      </c>
      <c r="X902" s="161" t="b">
        <f t="array" ref="X902">index('Query Tool'!B:B,match(D902,'Query Tool'!C:C,0))</f>
        <v>1</v>
      </c>
      <c r="Y902" s="161" t="str">
        <f t="shared" si="6"/>
        <v>radulmi01,2014-15</v>
      </c>
      <c r="Z902" s="168" t="str">
        <f t="array" ref="Z902">iferror(index(I:I,match($A902&amp;","&amp;index('Year Conversion'!$A:$A,match($C902,'Year Conversion'!$B:$B,0)),$Y:$Y,0))-I902,"")</f>
        <v/>
      </c>
      <c r="AA902" s="168" t="str">
        <f t="array" ref="AA902">iferror(index(J:J,match($A902&amp;","&amp;index('Year Conversion'!$A:$A,match($C902,'Year Conversion'!$B:$B,0)),$Y:$Y,0))-J902,"")</f>
        <v/>
      </c>
      <c r="AB902" s="168" t="str">
        <f t="array" ref="AB902">iferror(index(K:K,match($A902&amp;","&amp;index('Year Conversion'!$A:$A,match($C902,'Year Conversion'!$B:$B,0)),$Y:$Y,0))-K902,"")</f>
        <v/>
      </c>
      <c r="AC902" s="168" t="str">
        <f t="shared" si="7"/>
        <v>MIN,2014-15</v>
      </c>
    </row>
    <row r="903">
      <c r="A903" s="161" t="str">
        <f>IFERROR(__xludf.DUMMYFUNCTION("""COMPUTED_VALUE"""),"clarkia01")</f>
        <v>clarkia01</v>
      </c>
      <c r="B903" s="161" t="str">
        <f>IFERROR(__xludf.DUMMYFUNCTION("""COMPUTED_VALUE"""),"Ian Clark")</f>
        <v>Ian Clark</v>
      </c>
      <c r="C903" s="162" t="str">
        <f>IFERROR(__xludf.DUMMYFUNCTION("""COMPUTED_VALUE"""),"2014-15")</f>
        <v>2014-15</v>
      </c>
      <c r="D903" s="163" t="str">
        <f>IFERROR(__xludf.DUMMYFUNCTION("""COMPUTED_VALUE"""),"TOT")</f>
        <v>TOT</v>
      </c>
      <c r="E903" s="164" t="str">
        <f>IFERROR(__xludf.DUMMYFUNCTION("""COMPUTED_VALUE"""),"Movement Shooter")</f>
        <v>Movement Shooter</v>
      </c>
      <c r="F903" s="164">
        <f>IFERROR(__xludf.DUMMYFUNCTION("""COMPUTED_VALUE"""),192.191666666667)</f>
        <v>192.1916667</v>
      </c>
      <c r="G903" s="163">
        <f>IFERROR(__xludf.DUMMYFUNCTION("""COMPUTED_VALUE"""),30.0)</f>
        <v>30</v>
      </c>
      <c r="H903" s="163" t="str">
        <f>IFERROR(__xludf.DUMMYFUNCTION("""COMPUTED_VALUE"""),"SG")</f>
        <v>SG</v>
      </c>
      <c r="I903" s="163">
        <f>IFERROR(__xludf.DUMMYFUNCTION("""COMPUTED_VALUE"""),23.0)</f>
        <v>23</v>
      </c>
      <c r="J903" s="165">
        <f>IFERROR(__xludf.DUMMYFUNCTION("""COMPUTED_VALUE"""),-1.16590073970991)</f>
        <v>-1.16590074</v>
      </c>
      <c r="K903" s="165">
        <f>IFERROR(__xludf.DUMMYFUNCTION("""COMPUTED_VALUE"""),-0.509152666758632)</f>
        <v>-0.5091526668</v>
      </c>
      <c r="L903" s="165">
        <f>IFERROR(__xludf.DUMMYFUNCTION("""COMPUTED_VALUE"""),-0.656748072951277)</f>
        <v>-0.656748073</v>
      </c>
      <c r="M903" s="166">
        <f t="shared" si="2"/>
        <v>0.145510084</v>
      </c>
      <c r="N903" s="167">
        <f t="shared" si="3"/>
        <v>6.406388889</v>
      </c>
      <c r="O903" s="163">
        <f t="shared" ref="O903:Q903" si="907">rank(I903,I:I)</f>
        <v>2765</v>
      </c>
      <c r="P903" s="163">
        <f t="shared" si="907"/>
        <v>2702</v>
      </c>
      <c r="Q903" s="163">
        <f t="shared" si="907"/>
        <v>2119</v>
      </c>
      <c r="R903" s="163">
        <f>IFERROR(__xludf.DUMMYFUNCTION("RANK(M903,filter(M:M,C:C=C903))"),355.0)</f>
        <v>355</v>
      </c>
      <c r="S903" s="161" t="b">
        <f t="shared" si="5"/>
        <v>0</v>
      </c>
      <c r="T903" s="161" t="b">
        <f t="array" ref="T903">index('Query Tool'!B:B,match(H903,'Query Tool'!C:C,0))</f>
        <v>1</v>
      </c>
      <c r="U903" s="161" t="b">
        <f t="array" ref="U903">index('Query Tool'!B:B,match(C903,'Query Tool'!C:C,0))</f>
        <v>0</v>
      </c>
      <c r="V903" s="161" t="b">
        <f>F903&gt;='Query Tool'!C$32</f>
        <v>0</v>
      </c>
      <c r="W903" s="161" t="b">
        <f t="array" ref="W903">index(Dropdowns!B:B,match(I903,Dropdowns!A:A,0))</f>
        <v>1</v>
      </c>
      <c r="X903" s="161" t="b">
        <f t="array" ref="X903">index('Query Tool'!B:B,match(D903,'Query Tool'!C:C,0))</f>
        <v>1</v>
      </c>
      <c r="Y903" s="161" t="str">
        <f t="shared" si="6"/>
        <v>clarkia01,2014-15</v>
      </c>
      <c r="Z903" s="168">
        <f t="array" ref="Z903">iferror(index(I:I,match($A903&amp;","&amp;index('Year Conversion'!$A:$A,match($C903,'Year Conversion'!$B:$B,0)),$Y:$Y,0))-I903,"")</f>
        <v>1</v>
      </c>
      <c r="AA903" s="168">
        <f t="array" ref="AA903">iferror(index(J:J,match($A903&amp;","&amp;index('Year Conversion'!$A:$A,match($C903,'Year Conversion'!$B:$B,0)),$Y:$Y,0))-J903,"")</f>
        <v>-2.451634118</v>
      </c>
      <c r="AB903" s="168">
        <f t="array" ref="AB903">iferror(index(K:K,match($A903&amp;","&amp;index('Year Conversion'!$A:$A,match($C903,'Year Conversion'!$B:$B,0)),$Y:$Y,0))-K903,"")</f>
        <v>-0.848175218</v>
      </c>
      <c r="AC903" s="168" t="str">
        <f t="shared" si="7"/>
        <v>TOT,2014-15</v>
      </c>
    </row>
    <row r="904">
      <c r="A904" s="161" t="str">
        <f>IFERROR(__xludf.DUMMYFUNCTION("""COMPUTED_VALUE"""),"curryse01")</f>
        <v>curryse01</v>
      </c>
      <c r="B904" s="161" t="str">
        <f>IFERROR(__xludf.DUMMYFUNCTION("""COMPUTED_VALUE"""),"Seth Curry")</f>
        <v>Seth Curry</v>
      </c>
      <c r="C904" s="162" t="str">
        <f>IFERROR(__xludf.DUMMYFUNCTION("""COMPUTED_VALUE"""),"2014-15")</f>
        <v>2014-15</v>
      </c>
      <c r="D904" s="163" t="str">
        <f>IFERROR(__xludf.DUMMYFUNCTION("""COMPUTED_VALUE"""),"PHO")</f>
        <v>PHO</v>
      </c>
      <c r="E904" s="164" t="str">
        <f>IFERROR(__xludf.DUMMYFUNCTION("""COMPUTED_VALUE"""),"Off Screen Shooter")</f>
        <v>Off Screen Shooter</v>
      </c>
      <c r="F904" s="164">
        <f>IFERROR(__xludf.DUMMYFUNCTION("""COMPUTED_VALUE"""),7.8)</f>
        <v>7.8</v>
      </c>
      <c r="G904" s="163">
        <f>IFERROR(__xludf.DUMMYFUNCTION("""COMPUTED_VALUE"""),2.0)</f>
        <v>2</v>
      </c>
      <c r="H904" s="163" t="str">
        <f>IFERROR(__xludf.DUMMYFUNCTION("""COMPUTED_VALUE"""),"PG")</f>
        <v>PG</v>
      </c>
      <c r="I904" s="163">
        <f>IFERROR(__xludf.DUMMYFUNCTION("""COMPUTED_VALUE"""),24.0)</f>
        <v>24</v>
      </c>
      <c r="J904" s="165">
        <f>IFERROR(__xludf.DUMMYFUNCTION("""COMPUTED_VALUE"""),-0.247960664241334)</f>
        <v>-0.2479606642</v>
      </c>
      <c r="K904" s="165">
        <f>IFERROR(__xludf.DUMMYFUNCTION("""COMPUTED_VALUE"""),0.0287808994761574)</f>
        <v>0.02878089948</v>
      </c>
      <c r="L904" s="165">
        <f>IFERROR(__xludf.DUMMYFUNCTION("""COMPUTED_VALUE"""),-0.276741563717491)</f>
        <v>-0.2767415637</v>
      </c>
      <c r="M904" s="166">
        <f t="shared" si="2"/>
        <v>0.01072116544</v>
      </c>
      <c r="N904" s="167">
        <f t="shared" si="3"/>
        <v>3.9</v>
      </c>
      <c r="O904" s="163">
        <f t="shared" ref="O904:Q904" si="908">rank(I904,I:I)</f>
        <v>2361</v>
      </c>
      <c r="P904" s="163">
        <f t="shared" si="908"/>
        <v>1557</v>
      </c>
      <c r="Q904" s="163">
        <f t="shared" si="908"/>
        <v>1158</v>
      </c>
      <c r="R904" s="163">
        <f>IFERROR(__xludf.DUMMYFUNCTION("RANK(M904,filter(M:M,C:C=C904))"),433.0)</f>
        <v>433</v>
      </c>
      <c r="S904" s="161" t="b">
        <f t="shared" si="5"/>
        <v>0</v>
      </c>
      <c r="T904" s="161" t="b">
        <f t="array" ref="T904">index('Query Tool'!B:B,match(H904,'Query Tool'!C:C,0))</f>
        <v>1</v>
      </c>
      <c r="U904" s="161" t="b">
        <f t="array" ref="U904">index('Query Tool'!B:B,match(C904,'Query Tool'!C:C,0))</f>
        <v>0</v>
      </c>
      <c r="V904" s="161" t="b">
        <f>F904&gt;='Query Tool'!C$32</f>
        <v>0</v>
      </c>
      <c r="W904" s="161" t="b">
        <f t="array" ref="W904">index(Dropdowns!B:B,match(I904,Dropdowns!A:A,0))</f>
        <v>1</v>
      </c>
      <c r="X904" s="161" t="b">
        <f t="array" ref="X904">index('Query Tool'!B:B,match(D904,'Query Tool'!C:C,0))</f>
        <v>1</v>
      </c>
      <c r="Y904" s="161" t="str">
        <f t="shared" si="6"/>
        <v>curryse01,2014-15</v>
      </c>
      <c r="Z904" s="168">
        <f t="array" ref="Z904">iferror(index(I:I,match($A904&amp;","&amp;index('Year Conversion'!$A:$A,match($C904,'Year Conversion'!$B:$B,0)),$Y:$Y,0))-I904,"")</f>
        <v>1</v>
      </c>
      <c r="AA904" s="168">
        <f t="array" ref="AA904">iferror(index(J:J,match($A904&amp;","&amp;index('Year Conversion'!$A:$A,match($C904,'Year Conversion'!$B:$B,0)),$Y:$Y,0))-J904,"")</f>
        <v>-1.130593197</v>
      </c>
      <c r="AB904" s="168">
        <f t="array" ref="AB904">iferror(index(K:K,match($A904&amp;","&amp;index('Year Conversion'!$A:$A,match($C904,'Year Conversion'!$B:$B,0)),$Y:$Y,0))-K904,"")</f>
        <v>-0.3729890668</v>
      </c>
      <c r="AC904" s="168" t="str">
        <f t="shared" si="7"/>
        <v>PHO,2014-15</v>
      </c>
    </row>
    <row r="905">
      <c r="A905" s="161" t="str">
        <f>IFERROR(__xludf.DUMMYFUNCTION("""COMPUTED_VALUE"""),"daviebr01")</f>
        <v>daviebr01</v>
      </c>
      <c r="B905" s="161" t="str">
        <f>IFERROR(__xludf.DUMMYFUNCTION("""COMPUTED_VALUE"""),"Brandon Davies")</f>
        <v>Brandon Davies</v>
      </c>
      <c r="C905" s="162" t="str">
        <f>IFERROR(__xludf.DUMMYFUNCTION("""COMPUTED_VALUE"""),"2014-15")</f>
        <v>2014-15</v>
      </c>
      <c r="D905" s="163" t="str">
        <f>IFERROR(__xludf.DUMMYFUNCTION("""COMPUTED_VALUE"""),"TOT")</f>
        <v>TOT</v>
      </c>
      <c r="E905" s="164" t="str">
        <f>IFERROR(__xludf.DUMMYFUNCTION("""COMPUTED_VALUE"""),"Roll + Cut Big")</f>
        <v>Roll + Cut Big</v>
      </c>
      <c r="F905" s="164">
        <f>IFERROR(__xludf.DUMMYFUNCTION("""COMPUTED_VALUE"""),422.845)</f>
        <v>422.845</v>
      </c>
      <c r="G905" s="163">
        <f>IFERROR(__xludf.DUMMYFUNCTION("""COMPUTED_VALUE"""),27.0)</f>
        <v>27</v>
      </c>
      <c r="H905" s="163" t="str">
        <f>IFERROR(__xludf.DUMMYFUNCTION("""COMPUTED_VALUE"""),"PF")</f>
        <v>PF</v>
      </c>
      <c r="I905" s="163">
        <f>IFERROR(__xludf.DUMMYFUNCTION("""COMPUTED_VALUE"""),23.0)</f>
        <v>23</v>
      </c>
      <c r="J905" s="165">
        <f>IFERROR(__xludf.DUMMYFUNCTION("""COMPUTED_VALUE"""),-2.1090392869645)</f>
        <v>-2.109039287</v>
      </c>
      <c r="K905" s="165">
        <f>IFERROR(__xludf.DUMMYFUNCTION("""COMPUTED_VALUE"""),-1.40536602163235)</f>
        <v>-1.405366022</v>
      </c>
      <c r="L905" s="165">
        <f>IFERROR(__xludf.DUMMYFUNCTION("""COMPUTED_VALUE"""),-0.703673265332154)</f>
        <v>-0.7036732653</v>
      </c>
      <c r="M905" s="166">
        <f t="shared" si="2"/>
        <v>0.05433364488</v>
      </c>
      <c r="N905" s="167">
        <f t="shared" si="3"/>
        <v>15.66092593</v>
      </c>
      <c r="O905" s="163">
        <f t="shared" ref="O905:Q905" si="909">rank(I905,I:I)</f>
        <v>2765</v>
      </c>
      <c r="P905" s="163">
        <f t="shared" si="909"/>
        <v>3559</v>
      </c>
      <c r="Q905" s="163">
        <f t="shared" si="909"/>
        <v>3256</v>
      </c>
      <c r="R905" s="163">
        <f>IFERROR(__xludf.DUMMYFUNCTION("RANK(M905,filter(M:M,C:C=C905))"),407.0)</f>
        <v>407</v>
      </c>
      <c r="S905" s="161" t="b">
        <f t="shared" si="5"/>
        <v>0</v>
      </c>
      <c r="T905" s="161" t="b">
        <f t="array" ref="T905">index('Query Tool'!B:B,match(H905,'Query Tool'!C:C,0))</f>
        <v>1</v>
      </c>
      <c r="U905" s="161" t="b">
        <f t="array" ref="U905">index('Query Tool'!B:B,match(C905,'Query Tool'!C:C,0))</f>
        <v>0</v>
      </c>
      <c r="V905" s="161" t="b">
        <f>F905&gt;='Query Tool'!C$32</f>
        <v>0</v>
      </c>
      <c r="W905" s="161" t="b">
        <f t="array" ref="W905">index(Dropdowns!B:B,match(I905,Dropdowns!A:A,0))</f>
        <v>1</v>
      </c>
      <c r="X905" s="161" t="b">
        <f t="array" ref="X905">index('Query Tool'!B:B,match(D905,'Query Tool'!C:C,0))</f>
        <v>1</v>
      </c>
      <c r="Y905" s="161" t="str">
        <f t="shared" si="6"/>
        <v>daviebr01,2014-15</v>
      </c>
      <c r="Z905" s="168" t="str">
        <f t="array" ref="Z905">iferror(index(I:I,match($A905&amp;","&amp;index('Year Conversion'!$A:$A,match($C905,'Year Conversion'!$B:$B,0)),$Y:$Y,0))-I905,"")</f>
        <v/>
      </c>
      <c r="AA905" s="168" t="str">
        <f t="array" ref="AA905">iferror(index(J:J,match($A905&amp;","&amp;index('Year Conversion'!$A:$A,match($C905,'Year Conversion'!$B:$B,0)),$Y:$Y,0))-J905,"")</f>
        <v/>
      </c>
      <c r="AB905" s="168" t="str">
        <f t="array" ref="AB905">iferror(index(K:K,match($A905&amp;","&amp;index('Year Conversion'!$A:$A,match($C905,'Year Conversion'!$B:$B,0)),$Y:$Y,0))-K905,"")</f>
        <v/>
      </c>
      <c r="AC905" s="168" t="str">
        <f t="shared" si="7"/>
        <v>TOT,2014-15</v>
      </c>
    </row>
    <row r="906">
      <c r="A906" s="161" t="str">
        <f>IFERROR(__xludf.DUMMYFUNCTION("""COMPUTED_VALUE"""),"lucaska01")</f>
        <v>lucaska01</v>
      </c>
      <c r="B906" s="161" t="str">
        <f>IFERROR(__xludf.DUMMYFUNCTION("""COMPUTED_VALUE"""),"Kalin Lucas")</f>
        <v>Kalin Lucas</v>
      </c>
      <c r="C906" s="162" t="str">
        <f>IFERROR(__xludf.DUMMYFUNCTION("""COMPUTED_VALUE"""),"2014-15")</f>
        <v>2014-15</v>
      </c>
      <c r="D906" s="163" t="str">
        <f>IFERROR(__xludf.DUMMYFUNCTION("""COMPUTED_VALUE"""),"MEM")</f>
        <v>MEM</v>
      </c>
      <c r="E906" s="164" t="str">
        <f>IFERROR(__xludf.DUMMYFUNCTION("""COMPUTED_VALUE"""),"Secondary Ball Handler")</f>
        <v>Secondary Ball Handler</v>
      </c>
      <c r="F906" s="164">
        <f>IFERROR(__xludf.DUMMYFUNCTION("""COMPUTED_VALUE"""),5.53)</f>
        <v>5.53</v>
      </c>
      <c r="G906" s="163">
        <f>IFERROR(__xludf.DUMMYFUNCTION("""COMPUTED_VALUE"""),1.0)</f>
        <v>1</v>
      </c>
      <c r="H906" s="163" t="str">
        <f>IFERROR(__xludf.DUMMYFUNCTION("""COMPUTED_VALUE"""),"PG")</f>
        <v>PG</v>
      </c>
      <c r="I906" s="163">
        <f>IFERROR(__xludf.DUMMYFUNCTION("""COMPUTED_VALUE"""),25.0)</f>
        <v>25</v>
      </c>
      <c r="J906" s="165">
        <f>IFERROR(__xludf.DUMMYFUNCTION("""COMPUTED_VALUE"""),-0.683984991616443)</f>
        <v>-0.6839849916</v>
      </c>
      <c r="K906" s="165">
        <f>IFERROR(__xludf.DUMMYFUNCTION("""COMPUTED_VALUE"""),-0.185869814745928)</f>
        <v>-0.1858698147</v>
      </c>
      <c r="L906" s="165">
        <f>IFERROR(__xludf.DUMMYFUNCTION("""COMPUTED_VALUE"""),-0.498115176870516)</f>
        <v>-0.4981151769</v>
      </c>
      <c r="M906" s="166">
        <f t="shared" si="2"/>
        <v>0.005976992189</v>
      </c>
      <c r="N906" s="167">
        <f t="shared" si="3"/>
        <v>5.53</v>
      </c>
      <c r="O906" s="163">
        <f t="shared" ref="O906:Q906" si="910">rank(I906,I:I)</f>
        <v>1995</v>
      </c>
      <c r="P906" s="163">
        <f t="shared" si="910"/>
        <v>2119</v>
      </c>
      <c r="Q906" s="163">
        <f t="shared" si="910"/>
        <v>1542</v>
      </c>
      <c r="R906" s="163">
        <f>IFERROR(__xludf.DUMMYFUNCTION("RANK(M906,filter(M:M,C:C=C906))"),435.0)</f>
        <v>435</v>
      </c>
      <c r="S906" s="161" t="b">
        <f t="shared" si="5"/>
        <v>0</v>
      </c>
      <c r="T906" s="161" t="b">
        <f t="array" ref="T906">index('Query Tool'!B:B,match(H906,'Query Tool'!C:C,0))</f>
        <v>1</v>
      </c>
      <c r="U906" s="161" t="b">
        <f t="array" ref="U906">index('Query Tool'!B:B,match(C906,'Query Tool'!C:C,0))</f>
        <v>0</v>
      </c>
      <c r="V906" s="161" t="b">
        <f>F906&gt;='Query Tool'!C$32</f>
        <v>0</v>
      </c>
      <c r="W906" s="161" t="b">
        <f t="array" ref="W906">index(Dropdowns!B:B,match(I906,Dropdowns!A:A,0))</f>
        <v>1</v>
      </c>
      <c r="X906" s="161" t="b">
        <f t="array" ref="X906">index('Query Tool'!B:B,match(D906,'Query Tool'!C:C,0))</f>
        <v>1</v>
      </c>
      <c r="Y906" s="161" t="str">
        <f t="shared" si="6"/>
        <v>lucaska01,2014-15</v>
      </c>
      <c r="Z906" s="168" t="str">
        <f t="array" ref="Z906">iferror(index(I:I,match($A906&amp;","&amp;index('Year Conversion'!$A:$A,match($C906,'Year Conversion'!$B:$B,0)),$Y:$Y,0))-I906,"")</f>
        <v/>
      </c>
      <c r="AA906" s="168" t="str">
        <f t="array" ref="AA906">iferror(index(J:J,match($A906&amp;","&amp;index('Year Conversion'!$A:$A,match($C906,'Year Conversion'!$B:$B,0)),$Y:$Y,0))-J906,"")</f>
        <v/>
      </c>
      <c r="AB906" s="168" t="str">
        <f t="array" ref="AB906">iferror(index(K:K,match($A906&amp;","&amp;index('Year Conversion'!$A:$A,match($C906,'Year Conversion'!$B:$B,0)),$Y:$Y,0))-K906,"")</f>
        <v/>
      </c>
      <c r="AC906" s="168" t="str">
        <f t="shared" si="7"/>
        <v>MEM,2014-15</v>
      </c>
    </row>
    <row r="907">
      <c r="A907" s="161" t="str">
        <f>IFERROR(__xludf.DUMMYFUNCTION("""COMPUTED_VALUE"""),"chrispa01")</f>
        <v>chrispa01</v>
      </c>
      <c r="B907" s="161" t="str">
        <f>IFERROR(__xludf.DUMMYFUNCTION("""COMPUTED_VALUE"""),"Patrick Christopher")</f>
        <v>Patrick Christopher</v>
      </c>
      <c r="C907" s="162" t="str">
        <f>IFERROR(__xludf.DUMMYFUNCTION("""COMPUTED_VALUE"""),"2014-15")</f>
        <v>2014-15</v>
      </c>
      <c r="D907" s="163" t="str">
        <f>IFERROR(__xludf.DUMMYFUNCTION("""COMPUTED_VALUE"""),"UTA")</f>
        <v>UTA</v>
      </c>
      <c r="E907" s="164" t="str">
        <f>IFERROR(__xludf.DUMMYFUNCTION("""COMPUTED_VALUE"""),"Stationary Shooter")</f>
        <v>Stationary Shooter</v>
      </c>
      <c r="F907" s="164">
        <f>IFERROR(__xludf.DUMMYFUNCTION("""COMPUTED_VALUE"""),28.7333333333334)</f>
        <v>28.73333333</v>
      </c>
      <c r="G907" s="163">
        <f>IFERROR(__xludf.DUMMYFUNCTION("""COMPUTED_VALUE"""),4.0)</f>
        <v>4</v>
      </c>
      <c r="H907" s="163" t="str">
        <f>IFERROR(__xludf.DUMMYFUNCTION("""COMPUTED_VALUE"""),"SG")</f>
        <v>SG</v>
      </c>
      <c r="I907" s="163">
        <f>IFERROR(__xludf.DUMMYFUNCTION("""COMPUTED_VALUE"""),26.0)</f>
        <v>26</v>
      </c>
      <c r="J907" s="165">
        <f>IFERROR(__xludf.DUMMYFUNCTION("""COMPUTED_VALUE"""),-0.32370522402911)</f>
        <v>-0.323705224</v>
      </c>
      <c r="K907" s="165">
        <f>IFERROR(__xludf.DUMMYFUNCTION("""COMPUTED_VALUE"""),-0.15224164220775)</f>
        <v>-0.1522416422</v>
      </c>
      <c r="L907" s="165">
        <f>IFERROR(__xludf.DUMMYFUNCTION("""COMPUTED_VALUE"""),-0.17146358182136)</f>
        <v>-0.1714635818</v>
      </c>
      <c r="M907" s="166">
        <f t="shared" si="2"/>
        <v>0.03802740768</v>
      </c>
      <c r="N907" s="167">
        <f t="shared" si="3"/>
        <v>7.183333333</v>
      </c>
      <c r="O907" s="163">
        <f t="shared" ref="O907:Q907" si="911">rank(I907,I:I)</f>
        <v>1665</v>
      </c>
      <c r="P907" s="163">
        <f t="shared" si="911"/>
        <v>1644</v>
      </c>
      <c r="Q907" s="163">
        <f t="shared" si="911"/>
        <v>1482</v>
      </c>
      <c r="R907" s="163">
        <f>IFERROR(__xludf.DUMMYFUNCTION("RANK(M907,filter(M:M,C:C=C907))"),416.0)</f>
        <v>416</v>
      </c>
      <c r="S907" s="161" t="b">
        <f t="shared" si="5"/>
        <v>0</v>
      </c>
      <c r="T907" s="161" t="b">
        <f t="array" ref="T907">index('Query Tool'!B:B,match(H907,'Query Tool'!C:C,0))</f>
        <v>1</v>
      </c>
      <c r="U907" s="161" t="b">
        <f t="array" ref="U907">index('Query Tool'!B:B,match(C907,'Query Tool'!C:C,0))</f>
        <v>0</v>
      </c>
      <c r="V907" s="161" t="b">
        <f>F907&gt;='Query Tool'!C$32</f>
        <v>0</v>
      </c>
      <c r="W907" s="161" t="b">
        <f t="array" ref="W907">index(Dropdowns!B:B,match(I907,Dropdowns!A:A,0))</f>
        <v>1</v>
      </c>
      <c r="X907" s="161" t="b">
        <f t="array" ref="X907">index('Query Tool'!B:B,match(D907,'Query Tool'!C:C,0))</f>
        <v>1</v>
      </c>
      <c r="Y907" s="161" t="str">
        <f t="shared" si="6"/>
        <v>chrispa01,2014-15</v>
      </c>
      <c r="Z907" s="168" t="str">
        <f t="array" ref="Z907">iferror(index(I:I,match($A907&amp;","&amp;index('Year Conversion'!$A:$A,match($C907,'Year Conversion'!$B:$B,0)),$Y:$Y,0))-I907,"")</f>
        <v/>
      </c>
      <c r="AA907" s="168" t="str">
        <f t="array" ref="AA907">iferror(index(J:J,match($A907&amp;","&amp;index('Year Conversion'!$A:$A,match($C907,'Year Conversion'!$B:$B,0)),$Y:$Y,0))-J907,"")</f>
        <v/>
      </c>
      <c r="AB907" s="168" t="str">
        <f t="array" ref="AB907">iferror(index(K:K,match($A907&amp;","&amp;index('Year Conversion'!$A:$A,match($C907,'Year Conversion'!$B:$B,0)),$Y:$Y,0))-K907,"")</f>
        <v/>
      </c>
      <c r="AC907" s="168" t="str">
        <f t="shared" si="7"/>
        <v>UTA,2014-15</v>
      </c>
    </row>
    <row r="908">
      <c r="A908" s="161" t="str">
        <f>IFERROR(__xludf.DUMMYFUNCTION("""COMPUTED_VALUE"""),"drewla02")</f>
        <v>drewla02</v>
      </c>
      <c r="B908" s="161" t="str">
        <f>IFERROR(__xludf.DUMMYFUNCTION("""COMPUTED_VALUE"""),"Larry Drew II")</f>
        <v>Larry Drew II</v>
      </c>
      <c r="C908" s="162" t="str">
        <f>IFERROR(__xludf.DUMMYFUNCTION("""COMPUTED_VALUE"""),"2014-15")</f>
        <v>2014-15</v>
      </c>
      <c r="D908" s="163" t="str">
        <f>IFERROR(__xludf.DUMMYFUNCTION("""COMPUTED_VALUE"""),"PHI")</f>
        <v>PHI</v>
      </c>
      <c r="E908" s="164" t="str">
        <f>IFERROR(__xludf.DUMMYFUNCTION("""COMPUTED_VALUE"""),"Secondary Ball Handler")</f>
        <v>Secondary Ball Handler</v>
      </c>
      <c r="F908" s="164">
        <f>IFERROR(__xludf.DUMMYFUNCTION("""COMPUTED_VALUE"""),219.106666666667)</f>
        <v>219.1066667</v>
      </c>
      <c r="G908" s="163">
        <f>IFERROR(__xludf.DUMMYFUNCTION("""COMPUTED_VALUE"""),12.0)</f>
        <v>12</v>
      </c>
      <c r="H908" s="163" t="str">
        <f>IFERROR(__xludf.DUMMYFUNCTION("""COMPUTED_VALUE"""),"PG")</f>
        <v>PG</v>
      </c>
      <c r="I908" s="163">
        <f>IFERROR(__xludf.DUMMYFUNCTION("""COMPUTED_VALUE"""),24.0)</f>
        <v>24</v>
      </c>
      <c r="J908" s="165">
        <f>IFERROR(__xludf.DUMMYFUNCTION("""COMPUTED_VALUE"""),-2.1881665690399)</f>
        <v>-2.188166569</v>
      </c>
      <c r="K908" s="165">
        <f>IFERROR(__xludf.DUMMYFUNCTION("""COMPUTED_VALUE"""),-1.36452126357248)</f>
        <v>-1.364521264</v>
      </c>
      <c r="L908" s="165">
        <f>IFERROR(__xludf.DUMMYFUNCTION("""COMPUTED_VALUE"""),-0.823645305467416)</f>
        <v>-0.8236453055</v>
      </c>
      <c r="M908" s="166">
        <f t="shared" si="2"/>
        <v>0.01668762128</v>
      </c>
      <c r="N908" s="167">
        <f t="shared" si="3"/>
        <v>18.25888889</v>
      </c>
      <c r="O908" s="163">
        <f t="shared" ref="O908:Q908" si="912">rank(I908,I:I)</f>
        <v>2361</v>
      </c>
      <c r="P908" s="163">
        <f t="shared" si="912"/>
        <v>3603</v>
      </c>
      <c r="Q908" s="163">
        <f t="shared" si="912"/>
        <v>3219</v>
      </c>
      <c r="R908" s="163">
        <f>IFERROR(__xludf.DUMMYFUNCTION("RANK(M908,filter(M:M,C:C=C908))"),429.0)</f>
        <v>429</v>
      </c>
      <c r="S908" s="161" t="b">
        <f t="shared" si="5"/>
        <v>0</v>
      </c>
      <c r="T908" s="161" t="b">
        <f t="array" ref="T908">index('Query Tool'!B:B,match(H908,'Query Tool'!C:C,0))</f>
        <v>1</v>
      </c>
      <c r="U908" s="161" t="b">
        <f t="array" ref="U908">index('Query Tool'!B:B,match(C908,'Query Tool'!C:C,0))</f>
        <v>0</v>
      </c>
      <c r="V908" s="161" t="b">
        <f>F908&gt;='Query Tool'!C$32</f>
        <v>0</v>
      </c>
      <c r="W908" s="161" t="b">
        <f t="array" ref="W908">index(Dropdowns!B:B,match(I908,Dropdowns!A:A,0))</f>
        <v>1</v>
      </c>
      <c r="X908" s="161" t="b">
        <f t="array" ref="X908">index('Query Tool'!B:B,match(D908,'Query Tool'!C:C,0))</f>
        <v>1</v>
      </c>
      <c r="Y908" s="161" t="str">
        <f t="shared" si="6"/>
        <v>drewla02,2014-15</v>
      </c>
      <c r="Z908" s="168" t="str">
        <f t="array" ref="Z908">iferror(index(I:I,match($A908&amp;","&amp;index('Year Conversion'!$A:$A,match($C908,'Year Conversion'!$B:$B,0)),$Y:$Y,0))-I908,"")</f>
        <v/>
      </c>
      <c r="AA908" s="168" t="str">
        <f t="array" ref="AA908">iferror(index(J:J,match($A908&amp;","&amp;index('Year Conversion'!$A:$A,match($C908,'Year Conversion'!$B:$B,0)),$Y:$Y,0))-J908,"")</f>
        <v/>
      </c>
      <c r="AB908" s="168" t="str">
        <f t="array" ref="AB908">iferror(index(K:K,match($A908&amp;","&amp;index('Year Conversion'!$A:$A,match($C908,'Year Conversion'!$B:$B,0)),$Y:$Y,0))-K908,"")</f>
        <v/>
      </c>
      <c r="AC908" s="168" t="str">
        <f t="shared" si="7"/>
        <v>PHI,2014-15</v>
      </c>
    </row>
    <row r="909">
      <c r="A909" s="161" t="str">
        <f>IFERROR(__xludf.DUMMYFUNCTION("""COMPUTED_VALUE"""),"danietr01")</f>
        <v>danietr01</v>
      </c>
      <c r="B909" s="161" t="str">
        <f>IFERROR(__xludf.DUMMYFUNCTION("""COMPUTED_VALUE"""),"Troy Daniels")</f>
        <v>Troy Daniels</v>
      </c>
      <c r="C909" s="162" t="str">
        <f>IFERROR(__xludf.DUMMYFUNCTION("""COMPUTED_VALUE"""),"2014-15")</f>
        <v>2014-15</v>
      </c>
      <c r="D909" s="163" t="str">
        <f>IFERROR(__xludf.DUMMYFUNCTION("""COMPUTED_VALUE"""),"TOT")</f>
        <v>TOT</v>
      </c>
      <c r="E909" s="164" t="str">
        <f>IFERROR(__xludf.DUMMYFUNCTION("""COMPUTED_VALUE"""),"Off Screen Shooter")</f>
        <v>Off Screen Shooter</v>
      </c>
      <c r="F909" s="164">
        <f>IFERROR(__xludf.DUMMYFUNCTION("""COMPUTED_VALUE"""),397.396666666667)</f>
        <v>397.3966667</v>
      </c>
      <c r="G909" s="163">
        <f>IFERROR(__xludf.DUMMYFUNCTION("""COMPUTED_VALUE"""),47.0)</f>
        <v>47</v>
      </c>
      <c r="H909" s="163" t="str">
        <f>IFERROR(__xludf.DUMMYFUNCTION("""COMPUTED_VALUE"""),"SG")</f>
        <v>SG</v>
      </c>
      <c r="I909" s="163">
        <f>IFERROR(__xludf.DUMMYFUNCTION("""COMPUTED_VALUE"""),23.0)</f>
        <v>23</v>
      </c>
      <c r="J909" s="165">
        <f>IFERROR(__xludf.DUMMYFUNCTION("""COMPUTED_VALUE"""),-0.544710819758536)</f>
        <v>-0.5447108198</v>
      </c>
      <c r="K909" s="165">
        <f>IFERROR(__xludf.DUMMYFUNCTION("""COMPUTED_VALUE"""),0.11348878688393)</f>
        <v>0.1134887869</v>
      </c>
      <c r="L909" s="165">
        <f>IFERROR(__xludf.DUMMYFUNCTION("""COMPUTED_VALUE"""),-0.658199606642465)</f>
        <v>-0.6581996066</v>
      </c>
      <c r="M909" s="166">
        <f t="shared" si="2"/>
        <v>0.466773968</v>
      </c>
      <c r="N909" s="167">
        <f t="shared" si="3"/>
        <v>8.455248227</v>
      </c>
      <c r="O909" s="163">
        <f t="shared" ref="O909:Q909" si="913">rank(I909,I:I)</f>
        <v>2765</v>
      </c>
      <c r="P909" s="163">
        <f t="shared" si="913"/>
        <v>1910</v>
      </c>
      <c r="Q909" s="163">
        <f t="shared" si="913"/>
        <v>1053</v>
      </c>
      <c r="R909" s="163">
        <f>IFERROR(__xludf.DUMMYFUNCTION("RANK(M909,filter(M:M,C:C=C909))"),290.0)</f>
        <v>290</v>
      </c>
      <c r="S909" s="161" t="b">
        <f t="shared" si="5"/>
        <v>0</v>
      </c>
      <c r="T909" s="161" t="b">
        <f t="array" ref="T909">index('Query Tool'!B:B,match(H909,'Query Tool'!C:C,0))</f>
        <v>1</v>
      </c>
      <c r="U909" s="161" t="b">
        <f t="array" ref="U909">index('Query Tool'!B:B,match(C909,'Query Tool'!C:C,0))</f>
        <v>0</v>
      </c>
      <c r="V909" s="161" t="b">
        <f>F909&gt;='Query Tool'!C$32</f>
        <v>0</v>
      </c>
      <c r="W909" s="161" t="b">
        <f t="array" ref="W909">index(Dropdowns!B:B,match(I909,Dropdowns!A:A,0))</f>
        <v>1</v>
      </c>
      <c r="X909" s="161" t="b">
        <f t="array" ref="X909">index('Query Tool'!B:B,match(D909,'Query Tool'!C:C,0))</f>
        <v>1</v>
      </c>
      <c r="Y909" s="161" t="str">
        <f t="shared" si="6"/>
        <v>danietr01,2014-15</v>
      </c>
      <c r="Z909" s="168">
        <f t="array" ref="Z909">iferror(index(I:I,match($A909&amp;","&amp;index('Year Conversion'!$A:$A,match($C909,'Year Conversion'!$B:$B,0)),$Y:$Y,0))-I909,"")</f>
        <v>1</v>
      </c>
      <c r="AA909" s="168">
        <f t="array" ref="AA909">iferror(index(J:J,match($A909&amp;","&amp;index('Year Conversion'!$A:$A,match($C909,'Year Conversion'!$B:$B,0)),$Y:$Y,0))-J909,"")</f>
        <v>-1.567761602</v>
      </c>
      <c r="AB909" s="168">
        <f t="array" ref="AB909">iferror(index(K:K,match($A909&amp;","&amp;index('Year Conversion'!$A:$A,match($C909,'Year Conversion'!$B:$B,0)),$Y:$Y,0))-K909,"")</f>
        <v>-0.4670269838</v>
      </c>
      <c r="AC909" s="168" t="str">
        <f t="shared" si="7"/>
        <v>TOT,2014-15</v>
      </c>
    </row>
    <row r="910">
      <c r="A910" s="161" t="str">
        <f>IFERROR(__xludf.DUMMYFUNCTION("""COMPUTED_VALUE"""),"hairspj02")</f>
        <v>hairspj02</v>
      </c>
      <c r="B910" s="161" t="str">
        <f>IFERROR(__xludf.DUMMYFUNCTION("""COMPUTED_VALUE"""),"PJ Hairston")</f>
        <v>PJ Hairston</v>
      </c>
      <c r="C910" s="162" t="str">
        <f>IFERROR(__xludf.DUMMYFUNCTION("""COMPUTED_VALUE"""),"2014-15")</f>
        <v>2014-15</v>
      </c>
      <c r="D910" s="163" t="str">
        <f>IFERROR(__xludf.DUMMYFUNCTION("""COMPUTED_VALUE"""),"CHO")</f>
        <v>CHO</v>
      </c>
      <c r="E910" s="164" t="str">
        <f>IFERROR(__xludf.DUMMYFUNCTION("""COMPUTED_VALUE"""),"Movement Shooter")</f>
        <v>Movement Shooter</v>
      </c>
      <c r="F910" s="164">
        <f>IFERROR(__xludf.DUMMYFUNCTION("""COMPUTED_VALUE"""),687.273333333333)</f>
        <v>687.2733333</v>
      </c>
      <c r="G910" s="163">
        <f>IFERROR(__xludf.DUMMYFUNCTION("""COMPUTED_VALUE"""),45.0)</f>
        <v>45</v>
      </c>
      <c r="H910" s="163" t="str">
        <f>IFERROR(__xludf.DUMMYFUNCTION("""COMPUTED_VALUE"""),"SG")</f>
        <v>SG</v>
      </c>
      <c r="I910" s="163">
        <f>IFERROR(__xludf.DUMMYFUNCTION("""COMPUTED_VALUE"""),22.0)</f>
        <v>22</v>
      </c>
      <c r="J910" s="165">
        <f>IFERROR(__xludf.DUMMYFUNCTION("""COMPUTED_VALUE"""),-1.42073736773991)</f>
        <v>-1.420737368</v>
      </c>
      <c r="K910" s="165">
        <f>IFERROR(__xludf.DUMMYFUNCTION("""COMPUTED_VALUE"""),-0.768765970019971)</f>
        <v>-0.76876597</v>
      </c>
      <c r="L910" s="165">
        <f>IFERROR(__xludf.DUMMYFUNCTION("""COMPUTED_VALUE"""),-0.651971397719941)</f>
        <v>-0.6519713977</v>
      </c>
      <c r="M910" s="166">
        <f t="shared" si="2"/>
        <v>0.4030836571</v>
      </c>
      <c r="N910" s="167">
        <f t="shared" si="3"/>
        <v>15.27274074</v>
      </c>
      <c r="O910" s="163">
        <f t="shared" ref="O910:Q910" si="914">rank(I910,I:I)</f>
        <v>3178</v>
      </c>
      <c r="P910" s="163">
        <f t="shared" si="914"/>
        <v>2976</v>
      </c>
      <c r="Q910" s="163">
        <f t="shared" si="914"/>
        <v>2512</v>
      </c>
      <c r="R910" s="163">
        <f>IFERROR(__xludf.DUMMYFUNCTION("RANK(M910,filter(M:M,C:C=C910))"),294.0)</f>
        <v>294</v>
      </c>
      <c r="S910" s="161" t="b">
        <f t="shared" si="5"/>
        <v>0</v>
      </c>
      <c r="T910" s="161" t="b">
        <f t="array" ref="T910">index('Query Tool'!B:B,match(H910,'Query Tool'!C:C,0))</f>
        <v>1</v>
      </c>
      <c r="U910" s="161" t="b">
        <f t="array" ref="U910">index('Query Tool'!B:B,match(C910,'Query Tool'!C:C,0))</f>
        <v>0</v>
      </c>
      <c r="V910" s="161" t="b">
        <f>F910&gt;='Query Tool'!C$32</f>
        <v>1</v>
      </c>
      <c r="W910" s="161" t="b">
        <f t="array" ref="W910">index(Dropdowns!B:B,match(I910,Dropdowns!A:A,0))</f>
        <v>1</v>
      </c>
      <c r="X910" s="161" t="b">
        <f t="array" ref="X910">index('Query Tool'!B:B,match(D910,'Query Tool'!C:C,0))</f>
        <v>1</v>
      </c>
      <c r="Y910" s="161" t="str">
        <f t="shared" si="6"/>
        <v>hairspj02,2014-15</v>
      </c>
      <c r="Z910" s="168">
        <f t="array" ref="Z910">iferror(index(I:I,match($A910&amp;","&amp;index('Year Conversion'!$A:$A,match($C910,'Year Conversion'!$B:$B,0)),$Y:$Y,0))-I910,"")</f>
        <v>1</v>
      </c>
      <c r="AA910" s="168">
        <f t="array" ref="AA910">iferror(index(J:J,match($A910&amp;","&amp;index('Year Conversion'!$A:$A,match($C910,'Year Conversion'!$B:$B,0)),$Y:$Y,0))-J910,"")</f>
        <v>-0.3751083594</v>
      </c>
      <c r="AB910" s="168">
        <f t="array" ref="AB910">iferror(index(K:K,match($A910&amp;","&amp;index('Year Conversion'!$A:$A,match($C910,'Year Conversion'!$B:$B,0)),$Y:$Y,0))-K910,"")</f>
        <v>-0.8286325984</v>
      </c>
      <c r="AC910" s="168" t="str">
        <f t="shared" si="7"/>
        <v>CHO,2014-15</v>
      </c>
    </row>
    <row r="911">
      <c r="A911" s="161" t="str">
        <f>IFERROR(__xludf.DUMMYFUNCTION("""COMPUTED_VALUE"""),"cherrwi01")</f>
        <v>cherrwi01</v>
      </c>
      <c r="B911" s="161" t="str">
        <f>IFERROR(__xludf.DUMMYFUNCTION("""COMPUTED_VALUE"""),"Will Cherry")</f>
        <v>Will Cherry</v>
      </c>
      <c r="C911" s="162" t="str">
        <f>IFERROR(__xludf.DUMMYFUNCTION("""COMPUTED_VALUE"""),"2014-15")</f>
        <v>2014-15</v>
      </c>
      <c r="D911" s="163" t="str">
        <f>IFERROR(__xludf.DUMMYFUNCTION("""COMPUTED_VALUE"""),"CLE")</f>
        <v>CLE</v>
      </c>
      <c r="E911" s="164" t="str">
        <f>IFERROR(__xludf.DUMMYFUNCTION("""COMPUTED_VALUE"""),"Stationary Shooter")</f>
        <v>Stationary Shooter</v>
      </c>
      <c r="F911" s="164">
        <f>IFERROR(__xludf.DUMMYFUNCTION("""COMPUTED_VALUE"""),69.4216666666666)</f>
        <v>69.42166667</v>
      </c>
      <c r="G911" s="163">
        <f>IFERROR(__xludf.DUMMYFUNCTION("""COMPUTED_VALUE"""),8.0)</f>
        <v>8</v>
      </c>
      <c r="H911" s="163" t="str">
        <f>IFERROR(__xludf.DUMMYFUNCTION("""COMPUTED_VALUE"""),"PG")</f>
        <v>PG</v>
      </c>
      <c r="I911" s="163">
        <f>IFERROR(__xludf.DUMMYFUNCTION("""COMPUTED_VALUE"""),23.0)</f>
        <v>23</v>
      </c>
      <c r="J911" s="165">
        <f>IFERROR(__xludf.DUMMYFUNCTION("""COMPUTED_VALUE"""),-0.953456308950301)</f>
        <v>-0.953456309</v>
      </c>
      <c r="K911" s="165">
        <f>IFERROR(__xludf.DUMMYFUNCTION("""COMPUTED_VALUE"""),-0.561504839131672)</f>
        <v>-0.5615048391</v>
      </c>
      <c r="L911" s="165">
        <f>IFERROR(__xludf.DUMMYFUNCTION("""COMPUTED_VALUE"""),-0.391951469818628)</f>
        <v>-0.3919514698</v>
      </c>
      <c r="M911" s="166">
        <f t="shared" si="2"/>
        <v>0.06245636152</v>
      </c>
      <c r="N911" s="167">
        <f t="shared" si="3"/>
        <v>8.677708333</v>
      </c>
      <c r="O911" s="163">
        <f t="shared" ref="O911:Q911" si="915">rank(I911,I:I)</f>
        <v>2765</v>
      </c>
      <c r="P911" s="163">
        <f t="shared" si="915"/>
        <v>2456</v>
      </c>
      <c r="Q911" s="163">
        <f t="shared" si="915"/>
        <v>2204</v>
      </c>
      <c r="R911" s="163">
        <f>IFERROR(__xludf.DUMMYFUNCTION("RANK(M911,filter(M:M,C:C=C911))"),402.0)</f>
        <v>402</v>
      </c>
      <c r="S911" s="161" t="b">
        <f t="shared" si="5"/>
        <v>0</v>
      </c>
      <c r="T911" s="161" t="b">
        <f t="array" ref="T911">index('Query Tool'!B:B,match(H911,'Query Tool'!C:C,0))</f>
        <v>1</v>
      </c>
      <c r="U911" s="161" t="b">
        <f t="array" ref="U911">index('Query Tool'!B:B,match(C911,'Query Tool'!C:C,0))</f>
        <v>0</v>
      </c>
      <c r="V911" s="161" t="b">
        <f>F911&gt;='Query Tool'!C$32</f>
        <v>0</v>
      </c>
      <c r="W911" s="161" t="b">
        <f t="array" ref="W911">index(Dropdowns!B:B,match(I911,Dropdowns!A:A,0))</f>
        <v>1</v>
      </c>
      <c r="X911" s="161" t="b">
        <f t="array" ref="X911">index('Query Tool'!B:B,match(D911,'Query Tool'!C:C,0))</f>
        <v>1</v>
      </c>
      <c r="Y911" s="161" t="str">
        <f t="shared" si="6"/>
        <v>cherrwi01,2014-15</v>
      </c>
      <c r="Z911" s="168" t="str">
        <f t="array" ref="Z911">iferror(index(I:I,match($A911&amp;","&amp;index('Year Conversion'!$A:$A,match($C911,'Year Conversion'!$B:$B,0)),$Y:$Y,0))-I911,"")</f>
        <v/>
      </c>
      <c r="AA911" s="168" t="str">
        <f t="array" ref="AA911">iferror(index(J:J,match($A911&amp;","&amp;index('Year Conversion'!$A:$A,match($C911,'Year Conversion'!$B:$B,0)),$Y:$Y,0))-J911,"")</f>
        <v/>
      </c>
      <c r="AB911" s="168" t="str">
        <f t="array" ref="AB911">iferror(index(K:K,match($A911&amp;","&amp;index('Year Conversion'!$A:$A,match($C911,'Year Conversion'!$B:$B,0)),$Y:$Y,0))-K911,"")</f>
        <v/>
      </c>
      <c r="AC911" s="168" t="str">
        <f t="shared" si="7"/>
        <v>CLE,2014-15</v>
      </c>
    </row>
    <row r="912">
      <c r="A912" s="161" t="str">
        <f>IFERROR(__xludf.DUMMYFUNCTION("""COMPUTED_VALUE"""),"smithru01")</f>
        <v>smithru01</v>
      </c>
      <c r="B912" s="161" t="str">
        <f>IFERROR(__xludf.DUMMYFUNCTION("""COMPUTED_VALUE"""),"Russ Smith")</f>
        <v>Russ Smith</v>
      </c>
      <c r="C912" s="162" t="str">
        <f>IFERROR(__xludf.DUMMYFUNCTION("""COMPUTED_VALUE"""),"2014-15")</f>
        <v>2014-15</v>
      </c>
      <c r="D912" s="163" t="str">
        <f>IFERROR(__xludf.DUMMYFUNCTION("""COMPUTED_VALUE"""),"TOT")</f>
        <v>TOT</v>
      </c>
      <c r="E912" s="164" t="str">
        <f>IFERROR(__xludf.DUMMYFUNCTION("""COMPUTED_VALUE"""),"Secondary Ball Handler")</f>
        <v>Secondary Ball Handler</v>
      </c>
      <c r="F912" s="164">
        <f>IFERROR(__xludf.DUMMYFUNCTION("""COMPUTED_VALUE"""),65.0666666666667)</f>
        <v>65.06666667</v>
      </c>
      <c r="G912" s="163">
        <f>IFERROR(__xludf.DUMMYFUNCTION("""COMPUTED_VALUE"""),12.0)</f>
        <v>12</v>
      </c>
      <c r="H912" s="163" t="str">
        <f>IFERROR(__xludf.DUMMYFUNCTION("""COMPUTED_VALUE"""),"PG")</f>
        <v>PG</v>
      </c>
      <c r="I912" s="163">
        <f>IFERROR(__xludf.DUMMYFUNCTION("""COMPUTED_VALUE"""),23.0)</f>
        <v>23</v>
      </c>
      <c r="J912" s="165">
        <f>IFERROR(__xludf.DUMMYFUNCTION("""COMPUTED_VALUE"""),-0.570272070909275)</f>
        <v>-0.5702720709</v>
      </c>
      <c r="K912" s="165">
        <f>IFERROR(__xludf.DUMMYFUNCTION("""COMPUTED_VALUE"""),-0.173524255312838)</f>
        <v>-0.1735242553</v>
      </c>
      <c r="L912" s="165">
        <f>IFERROR(__xludf.DUMMYFUNCTION("""COMPUTED_VALUE"""),-0.396747815596437)</f>
        <v>-0.3967478156</v>
      </c>
      <c r="M912" s="166">
        <f t="shared" si="2"/>
        <v>0.07530611987</v>
      </c>
      <c r="N912" s="167">
        <f t="shared" si="3"/>
        <v>5.422222222</v>
      </c>
      <c r="O912" s="163">
        <f t="shared" ref="O912:Q912" si="916">rank(I912,I:I)</f>
        <v>2765</v>
      </c>
      <c r="P912" s="163">
        <f t="shared" si="916"/>
        <v>1953</v>
      </c>
      <c r="Q912" s="163">
        <f t="shared" si="916"/>
        <v>1519</v>
      </c>
      <c r="R912" s="163">
        <f>IFERROR(__xludf.DUMMYFUNCTION("RANK(M912,filter(M:M,C:C=C912))"),395.0)</f>
        <v>395</v>
      </c>
      <c r="S912" s="161" t="b">
        <f t="shared" si="5"/>
        <v>0</v>
      </c>
      <c r="T912" s="161" t="b">
        <f t="array" ref="T912">index('Query Tool'!B:B,match(H912,'Query Tool'!C:C,0))</f>
        <v>1</v>
      </c>
      <c r="U912" s="161" t="b">
        <f t="array" ref="U912">index('Query Tool'!B:B,match(C912,'Query Tool'!C:C,0))</f>
        <v>0</v>
      </c>
      <c r="V912" s="161" t="b">
        <f>F912&gt;='Query Tool'!C$32</f>
        <v>0</v>
      </c>
      <c r="W912" s="161" t="b">
        <f t="array" ref="W912">index(Dropdowns!B:B,match(I912,Dropdowns!A:A,0))</f>
        <v>1</v>
      </c>
      <c r="X912" s="161" t="b">
        <f t="array" ref="X912">index('Query Tool'!B:B,match(D912,'Query Tool'!C:C,0))</f>
        <v>1</v>
      </c>
      <c r="Y912" s="161" t="str">
        <f t="shared" si="6"/>
        <v>smithru01,2014-15</v>
      </c>
      <c r="Z912" s="168">
        <f t="array" ref="Z912">iferror(index(I:I,match($A912&amp;","&amp;index('Year Conversion'!$A:$A,match($C912,'Year Conversion'!$B:$B,0)),$Y:$Y,0))-I912,"")</f>
        <v>1</v>
      </c>
      <c r="AA912" s="168">
        <f t="array" ref="AA912">iferror(index(J:J,match($A912&amp;","&amp;index('Year Conversion'!$A:$A,match($C912,'Year Conversion'!$B:$B,0)),$Y:$Y,0))-J912,"")</f>
        <v>0.1272490589</v>
      </c>
      <c r="AB912" s="168">
        <f t="array" ref="AB912">iferror(index(K:K,match($A912&amp;","&amp;index('Year Conversion'!$A:$A,match($C912,'Year Conversion'!$B:$B,0)),$Y:$Y,0))-K912,"")</f>
        <v>-0.07104827404</v>
      </c>
      <c r="AC912" s="168" t="str">
        <f t="shared" si="7"/>
        <v>TOT,2014-15</v>
      </c>
    </row>
    <row r="913">
      <c r="A913" s="161" t="str">
        <f>IFERROR(__xludf.DUMMYFUNCTION("""COMPUTED_VALUE"""),"napiesh01")</f>
        <v>napiesh01</v>
      </c>
      <c r="B913" s="161" t="str">
        <f>IFERROR(__xludf.DUMMYFUNCTION("""COMPUTED_VALUE"""),"Shabazz Napier")</f>
        <v>Shabazz Napier</v>
      </c>
      <c r="C913" s="162" t="str">
        <f>IFERROR(__xludf.DUMMYFUNCTION("""COMPUTED_VALUE"""),"2014-15")</f>
        <v>2014-15</v>
      </c>
      <c r="D913" s="163" t="str">
        <f>IFERROR(__xludf.DUMMYFUNCTION("""COMPUTED_VALUE"""),"MIA")</f>
        <v>MIA</v>
      </c>
      <c r="E913" s="164" t="str">
        <f>IFERROR(__xludf.DUMMYFUNCTION("""COMPUTED_VALUE"""),"Secondary Ball Handler")</f>
        <v>Secondary Ball Handler</v>
      </c>
      <c r="F913" s="164">
        <f>IFERROR(__xludf.DUMMYFUNCTION("""COMPUTED_VALUE"""),1011.58)</f>
        <v>1011.58</v>
      </c>
      <c r="G913" s="163">
        <f>IFERROR(__xludf.DUMMYFUNCTION("""COMPUTED_VALUE"""),51.0)</f>
        <v>51</v>
      </c>
      <c r="H913" s="163" t="str">
        <f>IFERROR(__xludf.DUMMYFUNCTION("""COMPUTED_VALUE"""),"PG")</f>
        <v>PG</v>
      </c>
      <c r="I913" s="163">
        <f>IFERROR(__xludf.DUMMYFUNCTION("""COMPUTED_VALUE"""),23.0)</f>
        <v>23</v>
      </c>
      <c r="J913" s="165">
        <f>IFERROR(__xludf.DUMMYFUNCTION("""COMPUTED_VALUE"""),-1.28743270228812)</f>
        <v>-1.287432702</v>
      </c>
      <c r="K913" s="165">
        <f>IFERROR(__xludf.DUMMYFUNCTION("""COMPUTED_VALUE"""),-1.17663478239286)</f>
        <v>-1.176634782</v>
      </c>
      <c r="L913" s="165">
        <f>IFERROR(__xludf.DUMMYFUNCTION("""COMPUTED_VALUE"""),-0.110797919895257)</f>
        <v>-0.1107979199</v>
      </c>
      <c r="M913" s="166">
        <f t="shared" si="2"/>
        <v>0.6835101426</v>
      </c>
      <c r="N913" s="167">
        <f t="shared" si="3"/>
        <v>19.83490196</v>
      </c>
      <c r="O913" s="163">
        <f t="shared" ref="O913:Q913" si="917">rank(I913,I:I)</f>
        <v>2765</v>
      </c>
      <c r="P913" s="163">
        <f t="shared" si="917"/>
        <v>2849</v>
      </c>
      <c r="Q913" s="163">
        <f t="shared" si="917"/>
        <v>3012</v>
      </c>
      <c r="R913" s="163">
        <f>IFERROR(__xludf.DUMMYFUNCTION("RANK(M913,filter(M:M,C:C=C913))"),262.0)</f>
        <v>262</v>
      </c>
      <c r="S913" s="161" t="b">
        <f t="shared" si="5"/>
        <v>0</v>
      </c>
      <c r="T913" s="161" t="b">
        <f t="array" ref="T913">index('Query Tool'!B:B,match(H913,'Query Tool'!C:C,0))</f>
        <v>1</v>
      </c>
      <c r="U913" s="161" t="b">
        <f t="array" ref="U913">index('Query Tool'!B:B,match(C913,'Query Tool'!C:C,0))</f>
        <v>0</v>
      </c>
      <c r="V913" s="161" t="b">
        <f>F913&gt;='Query Tool'!C$32</f>
        <v>1</v>
      </c>
      <c r="W913" s="161" t="b">
        <f t="array" ref="W913">index(Dropdowns!B:B,match(I913,Dropdowns!A:A,0))</f>
        <v>1</v>
      </c>
      <c r="X913" s="161" t="b">
        <f t="array" ref="X913">index('Query Tool'!B:B,match(D913,'Query Tool'!C:C,0))</f>
        <v>1</v>
      </c>
      <c r="Y913" s="161" t="str">
        <f t="shared" si="6"/>
        <v>napiesh01,2014-15</v>
      </c>
      <c r="Z913" s="168">
        <f t="array" ref="Z913">iferror(index(I:I,match($A913&amp;","&amp;index('Year Conversion'!$A:$A,match($C913,'Year Conversion'!$B:$B,0)),$Y:$Y,0))-I913,"")</f>
        <v>1</v>
      </c>
      <c r="AA913" s="168">
        <f t="array" ref="AA913">iferror(index(J:J,match($A913&amp;","&amp;index('Year Conversion'!$A:$A,match($C913,'Year Conversion'!$B:$B,0)),$Y:$Y,0))-J913,"")</f>
        <v>-0.7154030995</v>
      </c>
      <c r="AB913" s="168">
        <f t="array" ref="AB913">iferror(index(K:K,match($A913&amp;","&amp;index('Year Conversion'!$A:$A,match($C913,'Year Conversion'!$B:$B,0)),$Y:$Y,0))-K913,"")</f>
        <v>0.4029197878</v>
      </c>
      <c r="AC913" s="168" t="str">
        <f t="shared" si="7"/>
        <v>MIA,2014-15</v>
      </c>
    </row>
    <row r="914">
      <c r="A914" s="161" t="str">
        <f>IFERROR(__xludf.DUMMYFUNCTION("""COMPUTED_VALUE"""),"lavinza01")</f>
        <v>lavinza01</v>
      </c>
      <c r="B914" s="161" t="str">
        <f>IFERROR(__xludf.DUMMYFUNCTION("""COMPUTED_VALUE"""),"Zach LaVine")</f>
        <v>Zach LaVine</v>
      </c>
      <c r="C914" s="162" t="str">
        <f>IFERROR(__xludf.DUMMYFUNCTION("""COMPUTED_VALUE"""),"2014-15")</f>
        <v>2014-15</v>
      </c>
      <c r="D914" s="163" t="str">
        <f>IFERROR(__xludf.DUMMYFUNCTION("""COMPUTED_VALUE"""),"MIN")</f>
        <v>MIN</v>
      </c>
      <c r="E914" s="164" t="str">
        <f>IFERROR(__xludf.DUMMYFUNCTION("""COMPUTED_VALUE"""),"Primary Ball Handler")</f>
        <v>Primary Ball Handler</v>
      </c>
      <c r="F914" s="164">
        <f>IFERROR(__xludf.DUMMYFUNCTION("""COMPUTED_VALUE"""),1901.72166666667)</f>
        <v>1901.721667</v>
      </c>
      <c r="G914" s="163">
        <f>IFERROR(__xludf.DUMMYFUNCTION("""COMPUTED_VALUE"""),77.0)</f>
        <v>77</v>
      </c>
      <c r="H914" s="163" t="str">
        <f>IFERROR(__xludf.DUMMYFUNCTION("""COMPUTED_VALUE"""),"PG")</f>
        <v>PG</v>
      </c>
      <c r="I914" s="163">
        <f>IFERROR(__xludf.DUMMYFUNCTION("""COMPUTED_VALUE"""),19.0)</f>
        <v>19</v>
      </c>
      <c r="J914" s="165">
        <f>IFERROR(__xludf.DUMMYFUNCTION("""COMPUTED_VALUE"""),-4.72978235488064)</f>
        <v>-4.729782355</v>
      </c>
      <c r="K914" s="165">
        <f>IFERROR(__xludf.DUMMYFUNCTION("""COMPUTED_VALUE"""),-1.86852797944385)</f>
        <v>-1.868527979</v>
      </c>
      <c r="L914" s="165">
        <f>IFERROR(__xludf.DUMMYFUNCTION("""COMPUTED_VALUE"""),-2.86125437543679)</f>
        <v>-2.861254375</v>
      </c>
      <c r="M914" s="166">
        <f t="shared" si="2"/>
        <v>-2.950633803</v>
      </c>
      <c r="N914" s="167">
        <f t="shared" si="3"/>
        <v>24.69768398</v>
      </c>
      <c r="O914" s="163">
        <f t="shared" ref="O914:Q914" si="918">rank(I914,I:I)</f>
        <v>3945</v>
      </c>
      <c r="P914" s="163">
        <f t="shared" si="918"/>
        <v>4013</v>
      </c>
      <c r="Q914" s="163">
        <f t="shared" si="918"/>
        <v>3621</v>
      </c>
      <c r="R914" s="163">
        <f>IFERROR(__xludf.DUMMYFUNCTION("RANK(M914,filter(M:M,C:C=C914))"),492.0)</f>
        <v>492</v>
      </c>
      <c r="S914" s="161" t="b">
        <f t="shared" si="5"/>
        <v>0</v>
      </c>
      <c r="T914" s="161" t="b">
        <f t="array" ref="T914">index('Query Tool'!B:B,match(H914,'Query Tool'!C:C,0))</f>
        <v>1</v>
      </c>
      <c r="U914" s="161" t="b">
        <f t="array" ref="U914">index('Query Tool'!B:B,match(C914,'Query Tool'!C:C,0))</f>
        <v>0</v>
      </c>
      <c r="V914" s="161" t="b">
        <f>F914&gt;='Query Tool'!C$32</f>
        <v>1</v>
      </c>
      <c r="W914" s="161" t="b">
        <f t="array" ref="W914">index(Dropdowns!B:B,match(I914,Dropdowns!A:A,0))</f>
        <v>1</v>
      </c>
      <c r="X914" s="161" t="b">
        <f t="array" ref="X914">index('Query Tool'!B:B,match(D914,'Query Tool'!C:C,0))</f>
        <v>1</v>
      </c>
      <c r="Y914" s="161" t="str">
        <f t="shared" si="6"/>
        <v>lavinza01,2014-15</v>
      </c>
      <c r="Z914" s="168">
        <f t="array" ref="Z914">iferror(index(I:I,match($A914&amp;","&amp;index('Year Conversion'!$A:$A,match($C914,'Year Conversion'!$B:$B,0)),$Y:$Y,0))-I914,"")</f>
        <v>1</v>
      </c>
      <c r="AA914" s="168">
        <f t="array" ref="AA914">iferror(index(J:J,match($A914&amp;","&amp;index('Year Conversion'!$A:$A,match($C914,'Year Conversion'!$B:$B,0)),$Y:$Y,0))-J914,"")</f>
        <v>1.448962638</v>
      </c>
      <c r="AB914" s="168">
        <f t="array" ref="AB914">iferror(index(K:K,match($A914&amp;","&amp;index('Year Conversion'!$A:$A,match($C914,'Year Conversion'!$B:$B,0)),$Y:$Y,0))-K914,"")</f>
        <v>1.270879966</v>
      </c>
      <c r="AC914" s="168" t="str">
        <f t="shared" si="7"/>
        <v>MIN,2014-15</v>
      </c>
    </row>
    <row r="915">
      <c r="A915" s="161" t="str">
        <f>IFERROR(__xludf.DUMMYFUNCTION("""COMPUTED_VALUE"""),"ennisty01")</f>
        <v>ennisty01</v>
      </c>
      <c r="B915" s="161" t="str">
        <f>IFERROR(__xludf.DUMMYFUNCTION("""COMPUTED_VALUE"""),"Tyler Ennis")</f>
        <v>Tyler Ennis</v>
      </c>
      <c r="C915" s="162" t="str">
        <f>IFERROR(__xludf.DUMMYFUNCTION("""COMPUTED_VALUE"""),"2014-15")</f>
        <v>2014-15</v>
      </c>
      <c r="D915" s="163" t="str">
        <f>IFERROR(__xludf.DUMMYFUNCTION("""COMPUTED_VALUE"""),"TOT")</f>
        <v>TOT</v>
      </c>
      <c r="E915" s="164" t="str">
        <f>IFERROR(__xludf.DUMMYFUNCTION("""COMPUTED_VALUE"""),"Secondary Ball Handler")</f>
        <v>Secondary Ball Handler</v>
      </c>
      <c r="F915" s="164">
        <f>IFERROR(__xludf.DUMMYFUNCTION("""COMPUTED_VALUE"""),411.423333333333)</f>
        <v>411.4233333</v>
      </c>
      <c r="G915" s="163">
        <f>IFERROR(__xludf.DUMMYFUNCTION("""COMPUTED_VALUE"""),33.0)</f>
        <v>33</v>
      </c>
      <c r="H915" s="163" t="str">
        <f>IFERROR(__xludf.DUMMYFUNCTION("""COMPUTED_VALUE"""),"PG")</f>
        <v>PG</v>
      </c>
      <c r="I915" s="163">
        <f>IFERROR(__xludf.DUMMYFUNCTION("""COMPUTED_VALUE"""),20.0)</f>
        <v>20</v>
      </c>
      <c r="J915" s="165">
        <f>IFERROR(__xludf.DUMMYFUNCTION("""COMPUTED_VALUE"""),-1.49666894871464)</f>
        <v>-1.496668949</v>
      </c>
      <c r="K915" s="165">
        <f>IFERROR(__xludf.DUMMYFUNCTION("""COMPUTED_VALUE"""),-1.29439990434368)</f>
        <v>-1.294399904</v>
      </c>
      <c r="L915" s="165">
        <f>IFERROR(__xludf.DUMMYFUNCTION("""COMPUTED_VALUE"""),-0.202269044370954)</f>
        <v>-0.2022690444</v>
      </c>
      <c r="M915" s="166">
        <f t="shared" si="2"/>
        <v>0.2204225047</v>
      </c>
      <c r="N915" s="167">
        <f t="shared" si="3"/>
        <v>12.46737374</v>
      </c>
      <c r="O915" s="163">
        <f t="shared" ref="O915:Q915" si="919">rank(I915,I:I)</f>
        <v>3770</v>
      </c>
      <c r="P915" s="163">
        <f t="shared" si="919"/>
        <v>3051</v>
      </c>
      <c r="Q915" s="163">
        <f t="shared" si="919"/>
        <v>3138</v>
      </c>
      <c r="R915" s="163">
        <f>IFERROR(__xludf.DUMMYFUNCTION("RANK(M915,filter(M:M,C:C=C915))"),331.0)</f>
        <v>331</v>
      </c>
      <c r="S915" s="161" t="b">
        <f t="shared" si="5"/>
        <v>0</v>
      </c>
      <c r="T915" s="161" t="b">
        <f t="array" ref="T915">index('Query Tool'!B:B,match(H915,'Query Tool'!C:C,0))</f>
        <v>1</v>
      </c>
      <c r="U915" s="161" t="b">
        <f t="array" ref="U915">index('Query Tool'!B:B,match(C915,'Query Tool'!C:C,0))</f>
        <v>0</v>
      </c>
      <c r="V915" s="161" t="b">
        <f>F915&gt;='Query Tool'!C$32</f>
        <v>0</v>
      </c>
      <c r="W915" s="161" t="b">
        <f t="array" ref="W915">index(Dropdowns!B:B,match(I915,Dropdowns!A:A,0))</f>
        <v>1</v>
      </c>
      <c r="X915" s="161" t="b">
        <f t="array" ref="X915">index('Query Tool'!B:B,match(D915,'Query Tool'!C:C,0))</f>
        <v>1</v>
      </c>
      <c r="Y915" s="161" t="str">
        <f t="shared" si="6"/>
        <v>ennisty01,2014-15</v>
      </c>
      <c r="Z915" s="168">
        <f t="array" ref="Z915">iferror(index(I:I,match($A915&amp;","&amp;index('Year Conversion'!$A:$A,match($C915,'Year Conversion'!$B:$B,0)),$Y:$Y,0))-I915,"")</f>
        <v>1</v>
      </c>
      <c r="AA915" s="168">
        <f t="array" ref="AA915">iferror(index(J:J,match($A915&amp;","&amp;index('Year Conversion'!$A:$A,match($C915,'Year Conversion'!$B:$B,0)),$Y:$Y,0))-J915,"")</f>
        <v>-0.7312110908</v>
      </c>
      <c r="AB915" s="168">
        <f t="array" ref="AB915">iferror(index(K:K,match($A915&amp;","&amp;index('Year Conversion'!$A:$A,match($C915,'Year Conversion'!$B:$B,0)),$Y:$Y,0))-K915,"")</f>
        <v>0.08068455188</v>
      </c>
      <c r="AC915" s="168" t="str">
        <f t="shared" si="7"/>
        <v>TOT,2014-15</v>
      </c>
    </row>
    <row r="916">
      <c r="A916" s="161" t="str">
        <f>IFERROR(__xludf.DUMMYFUNCTION("""COMPUTED_VALUE"""),"brownma02")</f>
        <v>brownma02</v>
      </c>
      <c r="B916" s="161" t="str">
        <f>IFERROR(__xludf.DUMMYFUNCTION("""COMPUTED_VALUE"""),"Markel Brown")</f>
        <v>Markel Brown</v>
      </c>
      <c r="C916" s="162" t="str">
        <f>IFERROR(__xludf.DUMMYFUNCTION("""COMPUTED_VALUE"""),"2014-15")</f>
        <v>2014-15</v>
      </c>
      <c r="D916" s="163" t="str">
        <f>IFERROR(__xludf.DUMMYFUNCTION("""COMPUTED_VALUE"""),"BRK")</f>
        <v>BRK</v>
      </c>
      <c r="E916" s="164" t="str">
        <f>IFERROR(__xludf.DUMMYFUNCTION("""COMPUTED_VALUE"""),"Stationary Shooter")</f>
        <v>Stationary Shooter</v>
      </c>
      <c r="F916" s="164">
        <f>IFERROR(__xludf.DUMMYFUNCTION("""COMPUTED_VALUE"""),781.416666666666)</f>
        <v>781.4166667</v>
      </c>
      <c r="G916" s="163">
        <f>IFERROR(__xludf.DUMMYFUNCTION("""COMPUTED_VALUE"""),47.0)</f>
        <v>47</v>
      </c>
      <c r="H916" s="163" t="str">
        <f>IFERROR(__xludf.DUMMYFUNCTION("""COMPUTED_VALUE"""),"SG")</f>
        <v>SG</v>
      </c>
      <c r="I916" s="163">
        <f>IFERROR(__xludf.DUMMYFUNCTION("""COMPUTED_VALUE"""),23.0)</f>
        <v>23</v>
      </c>
      <c r="J916" s="165">
        <f>IFERROR(__xludf.DUMMYFUNCTION("""COMPUTED_VALUE"""),-0.715372736435194)</f>
        <v>-0.7153727364</v>
      </c>
      <c r="K916" s="165">
        <f>IFERROR(__xludf.DUMMYFUNCTION("""COMPUTED_VALUE"""),-0.912670095288656)</f>
        <v>-0.9126700953</v>
      </c>
      <c r="L916" s="165">
        <f>IFERROR(__xludf.DUMMYFUNCTION("""COMPUTED_VALUE"""),0.197297358853462)</f>
        <v>0.1972973589</v>
      </c>
      <c r="M916" s="166">
        <f t="shared" si="2"/>
        <v>0.828076805</v>
      </c>
      <c r="N916" s="167">
        <f t="shared" si="3"/>
        <v>16.62588652</v>
      </c>
      <c r="O916" s="163">
        <f t="shared" ref="O916:Q916" si="920">rank(I916,I:I)</f>
        <v>2765</v>
      </c>
      <c r="P916" s="163">
        <f t="shared" si="920"/>
        <v>2169</v>
      </c>
      <c r="Q916" s="163">
        <f t="shared" si="920"/>
        <v>2705</v>
      </c>
      <c r="R916" s="163">
        <f>IFERROR(__xludf.DUMMYFUNCTION("RANK(M916,filter(M:M,C:C=C916))"),245.0)</f>
        <v>245</v>
      </c>
      <c r="S916" s="161" t="b">
        <f t="shared" si="5"/>
        <v>0</v>
      </c>
      <c r="T916" s="161" t="b">
        <f t="array" ref="T916">index('Query Tool'!B:B,match(H916,'Query Tool'!C:C,0))</f>
        <v>1</v>
      </c>
      <c r="U916" s="161" t="b">
        <f t="array" ref="U916">index('Query Tool'!B:B,match(C916,'Query Tool'!C:C,0))</f>
        <v>0</v>
      </c>
      <c r="V916" s="161" t="b">
        <f>F916&gt;='Query Tool'!C$32</f>
        <v>1</v>
      </c>
      <c r="W916" s="161" t="b">
        <f t="array" ref="W916">index(Dropdowns!B:B,match(I916,Dropdowns!A:A,0))</f>
        <v>1</v>
      </c>
      <c r="X916" s="161" t="b">
        <f t="array" ref="X916">index('Query Tool'!B:B,match(D916,'Query Tool'!C:C,0))</f>
        <v>1</v>
      </c>
      <c r="Y916" s="161" t="str">
        <f t="shared" si="6"/>
        <v>brownma02,2014-15</v>
      </c>
      <c r="Z916" s="168">
        <f t="array" ref="Z916">iferror(index(I:I,match($A916&amp;","&amp;index('Year Conversion'!$A:$A,match($C916,'Year Conversion'!$B:$B,0)),$Y:$Y,0))-I916,"")</f>
        <v>1</v>
      </c>
      <c r="AA916" s="168">
        <f t="array" ref="AA916">iferror(index(J:J,match($A916&amp;","&amp;index('Year Conversion'!$A:$A,match($C916,'Year Conversion'!$B:$B,0)),$Y:$Y,0))-J916,"")</f>
        <v>-0.805491976</v>
      </c>
      <c r="AB916" s="168">
        <f t="array" ref="AB916">iferror(index(K:K,match($A916&amp;","&amp;index('Year Conversion'!$A:$A,match($C916,'Year Conversion'!$B:$B,0)),$Y:$Y,0))-K916,"")</f>
        <v>0.7620459889</v>
      </c>
      <c r="AC916" s="168" t="str">
        <f t="shared" si="7"/>
        <v>BRK,2014-15</v>
      </c>
    </row>
    <row r="917">
      <c r="A917" s="161" t="str">
        <f>IFERROR(__xludf.DUMMYFUNCTION("""COMPUTED_VALUE"""),"paytoel01")</f>
        <v>paytoel01</v>
      </c>
      <c r="B917" s="161" t="str">
        <f>IFERROR(__xludf.DUMMYFUNCTION("""COMPUTED_VALUE"""),"Elfrid Payton")</f>
        <v>Elfrid Payton</v>
      </c>
      <c r="C917" s="162" t="str">
        <f>IFERROR(__xludf.DUMMYFUNCTION("""COMPUTED_VALUE"""),"2014-15")</f>
        <v>2014-15</v>
      </c>
      <c r="D917" s="163" t="str">
        <f>IFERROR(__xludf.DUMMYFUNCTION("""COMPUTED_VALUE"""),"ORL")</f>
        <v>ORL</v>
      </c>
      <c r="E917" s="164" t="str">
        <f>IFERROR(__xludf.DUMMYFUNCTION("""COMPUTED_VALUE"""),"Slasher")</f>
        <v>Slasher</v>
      </c>
      <c r="F917" s="164">
        <f>IFERROR(__xludf.DUMMYFUNCTION("""COMPUTED_VALUE"""),2488.66666666667)</f>
        <v>2488.666667</v>
      </c>
      <c r="G917" s="163">
        <f>IFERROR(__xludf.DUMMYFUNCTION("""COMPUTED_VALUE"""),82.0)</f>
        <v>82</v>
      </c>
      <c r="H917" s="163" t="str">
        <f>IFERROR(__xludf.DUMMYFUNCTION("""COMPUTED_VALUE"""),"PG")</f>
        <v>PG</v>
      </c>
      <c r="I917" s="163">
        <f>IFERROR(__xludf.DUMMYFUNCTION("""COMPUTED_VALUE"""),20.0)</f>
        <v>20</v>
      </c>
      <c r="J917" s="165">
        <f>IFERROR(__xludf.DUMMYFUNCTION("""COMPUTED_VALUE"""),0.956646247549048)</f>
        <v>0.9566462475</v>
      </c>
      <c r="K917" s="165">
        <f>IFERROR(__xludf.DUMMYFUNCTION("""COMPUTED_VALUE"""),0.280358700849749)</f>
        <v>0.2803587008</v>
      </c>
      <c r="L917" s="165">
        <f>IFERROR(__xludf.DUMMYFUNCTION("""COMPUTED_VALUE"""),0.676287546699299)</f>
        <v>0.6762875467</v>
      </c>
      <c r="M917" s="166">
        <f t="shared" si="2"/>
        <v>5.439750263</v>
      </c>
      <c r="N917" s="167">
        <f t="shared" si="3"/>
        <v>30.3495935</v>
      </c>
      <c r="O917" s="163">
        <f t="shared" ref="O917:Q917" si="921">rank(I917,I:I)</f>
        <v>3770</v>
      </c>
      <c r="P917" s="163">
        <f t="shared" si="921"/>
        <v>678</v>
      </c>
      <c r="Q917" s="163">
        <f t="shared" si="921"/>
        <v>927</v>
      </c>
      <c r="R917" s="163">
        <f>IFERROR(__xludf.DUMMYFUNCTION("RANK(M917,filter(M:M,C:C=C917))"),51.0)</f>
        <v>51</v>
      </c>
      <c r="S917" s="161" t="b">
        <f t="shared" si="5"/>
        <v>0</v>
      </c>
      <c r="T917" s="161" t="b">
        <f t="array" ref="T917">index('Query Tool'!B:B,match(H917,'Query Tool'!C:C,0))</f>
        <v>1</v>
      </c>
      <c r="U917" s="161" t="b">
        <f t="array" ref="U917">index('Query Tool'!B:B,match(C917,'Query Tool'!C:C,0))</f>
        <v>0</v>
      </c>
      <c r="V917" s="161" t="b">
        <f>F917&gt;='Query Tool'!C$32</f>
        <v>1</v>
      </c>
      <c r="W917" s="161" t="b">
        <f t="array" ref="W917">index(Dropdowns!B:B,match(I917,Dropdowns!A:A,0))</f>
        <v>1</v>
      </c>
      <c r="X917" s="161" t="b">
        <f t="array" ref="X917">index('Query Tool'!B:B,match(D917,'Query Tool'!C:C,0))</f>
        <v>1</v>
      </c>
      <c r="Y917" s="161" t="str">
        <f t="shared" si="6"/>
        <v>paytoel01,2014-15</v>
      </c>
      <c r="Z917" s="168">
        <f t="array" ref="Z917">iferror(index(I:I,match($A917&amp;","&amp;index('Year Conversion'!$A:$A,match($C917,'Year Conversion'!$B:$B,0)),$Y:$Y,0))-I917,"")</f>
        <v>1</v>
      </c>
      <c r="AA917" s="168">
        <f t="array" ref="AA917">iferror(index(J:J,match($A917&amp;","&amp;index('Year Conversion'!$A:$A,match($C917,'Year Conversion'!$B:$B,0)),$Y:$Y,0))-J917,"")</f>
        <v>-1.296939207</v>
      </c>
      <c r="AB917" s="168">
        <f t="array" ref="AB917">iferror(index(K:K,match($A917&amp;","&amp;index('Year Conversion'!$A:$A,match($C917,'Year Conversion'!$B:$B,0)),$Y:$Y,0))-K917,"")</f>
        <v>-0.3871952691</v>
      </c>
      <c r="AC917" s="168" t="str">
        <f t="shared" si="7"/>
        <v>ORL,2014-15</v>
      </c>
    </row>
    <row r="918">
      <c r="A918" s="161" t="str">
        <f>IFERROR(__xludf.DUMMYFUNCTION("""COMPUTED_VALUE"""),"clarkjo01")</f>
        <v>clarkjo01</v>
      </c>
      <c r="B918" s="161" t="str">
        <f>IFERROR(__xludf.DUMMYFUNCTION("""COMPUTED_VALUE"""),"Jordan Clarkson")</f>
        <v>Jordan Clarkson</v>
      </c>
      <c r="C918" s="162" t="str">
        <f>IFERROR(__xludf.DUMMYFUNCTION("""COMPUTED_VALUE"""),"2014-15")</f>
        <v>2014-15</v>
      </c>
      <c r="D918" s="163" t="str">
        <f>IFERROR(__xludf.DUMMYFUNCTION("""COMPUTED_VALUE"""),"LAL")</f>
        <v>LAL</v>
      </c>
      <c r="E918" s="164" t="str">
        <f>IFERROR(__xludf.DUMMYFUNCTION("""COMPUTED_VALUE"""),"Primary Ball Handler")</f>
        <v>Primary Ball Handler</v>
      </c>
      <c r="F918" s="164">
        <f>IFERROR(__xludf.DUMMYFUNCTION("""COMPUTED_VALUE"""),1475.82333333333)</f>
        <v>1475.823333</v>
      </c>
      <c r="G918" s="163">
        <f>IFERROR(__xludf.DUMMYFUNCTION("""COMPUTED_VALUE"""),59.0)</f>
        <v>59</v>
      </c>
      <c r="H918" s="163" t="str">
        <f>IFERROR(__xludf.DUMMYFUNCTION("""COMPUTED_VALUE"""),"PG")</f>
        <v>PG</v>
      </c>
      <c r="I918" s="163">
        <f>IFERROR(__xludf.DUMMYFUNCTION("""COMPUTED_VALUE"""),22.0)</f>
        <v>22</v>
      </c>
      <c r="J918" s="165">
        <f>IFERROR(__xludf.DUMMYFUNCTION("""COMPUTED_VALUE"""),-1.317732387656)</f>
        <v>-1.317732388</v>
      </c>
      <c r="K918" s="165">
        <f>IFERROR(__xludf.DUMMYFUNCTION("""COMPUTED_VALUE"""),0.618083212886319)</f>
        <v>0.6180832129</v>
      </c>
      <c r="L918" s="165">
        <f>IFERROR(__xludf.DUMMYFUNCTION("""COMPUTED_VALUE"""),-1.93581560054232)</f>
        <v>-1.935815601</v>
      </c>
      <c r="M918" s="166">
        <f t="shared" si="2"/>
        <v>0.9672571809</v>
      </c>
      <c r="N918" s="167">
        <f t="shared" si="3"/>
        <v>25.0139548</v>
      </c>
      <c r="O918" s="163">
        <f t="shared" ref="O918:Q918" si="922">rank(I918,I:I)</f>
        <v>3178</v>
      </c>
      <c r="P918" s="163">
        <f t="shared" si="922"/>
        <v>2880</v>
      </c>
      <c r="Q918" s="163">
        <f t="shared" si="922"/>
        <v>696</v>
      </c>
      <c r="R918" s="163">
        <f>IFERROR(__xludf.DUMMYFUNCTION("RANK(M918,filter(M:M,C:C=C918))"),234.0)</f>
        <v>234</v>
      </c>
      <c r="S918" s="161" t="b">
        <f t="shared" si="5"/>
        <v>0</v>
      </c>
      <c r="T918" s="161" t="b">
        <f t="array" ref="T918">index('Query Tool'!B:B,match(H918,'Query Tool'!C:C,0))</f>
        <v>1</v>
      </c>
      <c r="U918" s="161" t="b">
        <f t="array" ref="U918">index('Query Tool'!B:B,match(C918,'Query Tool'!C:C,0))</f>
        <v>0</v>
      </c>
      <c r="V918" s="161" t="b">
        <f>F918&gt;='Query Tool'!C$32</f>
        <v>1</v>
      </c>
      <c r="W918" s="161" t="b">
        <f t="array" ref="W918">index(Dropdowns!B:B,match(I918,Dropdowns!A:A,0))</f>
        <v>1</v>
      </c>
      <c r="X918" s="161" t="b">
        <f t="array" ref="X918">index('Query Tool'!B:B,match(D918,'Query Tool'!C:C,0))</f>
        <v>1</v>
      </c>
      <c r="Y918" s="161" t="str">
        <f t="shared" si="6"/>
        <v>clarkjo01,2014-15</v>
      </c>
      <c r="Z918" s="168">
        <f t="array" ref="Z918">iferror(index(I:I,match($A918&amp;","&amp;index('Year Conversion'!$A:$A,match($C918,'Year Conversion'!$B:$B,0)),$Y:$Y,0))-I918,"")</f>
        <v>1</v>
      </c>
      <c r="AA918" s="168">
        <f t="array" ref="AA918">iferror(index(J:J,match($A918&amp;","&amp;index('Year Conversion'!$A:$A,match($C918,'Year Conversion'!$B:$B,0)),$Y:$Y,0))-J918,"")</f>
        <v>-1.55332602</v>
      </c>
      <c r="AB918" s="168">
        <f t="array" ref="AB918">iferror(index(K:K,match($A918&amp;","&amp;index('Year Conversion'!$A:$A,match($C918,'Year Conversion'!$B:$B,0)),$Y:$Y,0))-K918,"")</f>
        <v>-0.7446882767</v>
      </c>
      <c r="AC918" s="168" t="str">
        <f t="shared" si="7"/>
        <v>LAL,2014-15</v>
      </c>
    </row>
    <row r="919">
      <c r="A919" s="161" t="str">
        <f>IFERROR(__xludf.DUMMYFUNCTION("""COMPUTED_VALUE"""),"marblde01")</f>
        <v>marblde01</v>
      </c>
      <c r="B919" s="161" t="str">
        <f>IFERROR(__xludf.DUMMYFUNCTION("""COMPUTED_VALUE"""),"Devyn Marble")</f>
        <v>Devyn Marble</v>
      </c>
      <c r="C919" s="162" t="str">
        <f>IFERROR(__xludf.DUMMYFUNCTION("""COMPUTED_VALUE"""),"2014-15")</f>
        <v>2014-15</v>
      </c>
      <c r="D919" s="163" t="str">
        <f>IFERROR(__xludf.DUMMYFUNCTION("""COMPUTED_VALUE"""),"ORL")</f>
        <v>ORL</v>
      </c>
      <c r="E919" s="164" t="str">
        <f>IFERROR(__xludf.DUMMYFUNCTION("""COMPUTED_VALUE"""),"Stationary Shooter")</f>
        <v>Stationary Shooter</v>
      </c>
      <c r="F919" s="164">
        <f>IFERROR(__xludf.DUMMYFUNCTION("""COMPUTED_VALUE"""),208.161666666667)</f>
        <v>208.1616667</v>
      </c>
      <c r="G919" s="163">
        <f>IFERROR(__xludf.DUMMYFUNCTION("""COMPUTED_VALUE"""),16.0)</f>
        <v>16</v>
      </c>
      <c r="H919" s="163" t="str">
        <f>IFERROR(__xludf.DUMMYFUNCTION("""COMPUTED_VALUE"""),"SG")</f>
        <v>SG</v>
      </c>
      <c r="I919" s="163">
        <f>IFERROR(__xludf.DUMMYFUNCTION("""COMPUTED_VALUE"""),22.0)</f>
        <v>22</v>
      </c>
      <c r="J919" s="165">
        <f>IFERROR(__xludf.DUMMYFUNCTION("""COMPUTED_VALUE"""),0.529004890523761)</f>
        <v>0.5290048905</v>
      </c>
      <c r="K919" s="165">
        <f>IFERROR(__xludf.DUMMYFUNCTION("""COMPUTED_VALUE"""),-0.168652158033945)</f>
        <v>-0.168652158</v>
      </c>
      <c r="L919" s="165">
        <f>IFERROR(__xludf.DUMMYFUNCTION("""COMPUTED_VALUE"""),0.697657048557706)</f>
        <v>0.6976570486</v>
      </c>
      <c r="M919" s="166">
        <f t="shared" si="2"/>
        <v>0.3951278525</v>
      </c>
      <c r="N919" s="167">
        <f t="shared" si="3"/>
        <v>13.01010417</v>
      </c>
      <c r="O919" s="163">
        <f t="shared" ref="O919:Q919" si="923">rank(I919,I:I)</f>
        <v>3178</v>
      </c>
      <c r="P919" s="163">
        <f t="shared" si="923"/>
        <v>883</v>
      </c>
      <c r="Q919" s="163">
        <f t="shared" si="923"/>
        <v>1513</v>
      </c>
      <c r="R919" s="163">
        <f>IFERROR(__xludf.DUMMYFUNCTION("RANK(M919,filter(M:M,C:C=C919))"),295.0)</f>
        <v>295</v>
      </c>
      <c r="S919" s="161" t="b">
        <f t="shared" si="5"/>
        <v>0</v>
      </c>
      <c r="T919" s="161" t="b">
        <f t="array" ref="T919">index('Query Tool'!B:B,match(H919,'Query Tool'!C:C,0))</f>
        <v>1</v>
      </c>
      <c r="U919" s="161" t="b">
        <f t="array" ref="U919">index('Query Tool'!B:B,match(C919,'Query Tool'!C:C,0))</f>
        <v>0</v>
      </c>
      <c r="V919" s="161" t="b">
        <f>F919&gt;='Query Tool'!C$32</f>
        <v>0</v>
      </c>
      <c r="W919" s="161" t="b">
        <f t="array" ref="W919">index(Dropdowns!B:B,match(I919,Dropdowns!A:A,0))</f>
        <v>1</v>
      </c>
      <c r="X919" s="161" t="b">
        <f t="array" ref="X919">index('Query Tool'!B:B,match(D919,'Query Tool'!C:C,0))</f>
        <v>1</v>
      </c>
      <c r="Y919" s="161" t="str">
        <f t="shared" si="6"/>
        <v>marblde01,2014-15</v>
      </c>
      <c r="Z919" s="168">
        <f t="array" ref="Z919">iferror(index(I:I,match($A919&amp;","&amp;index('Year Conversion'!$A:$A,match($C919,'Year Conversion'!$B:$B,0)),$Y:$Y,0))-I919,"")</f>
        <v>1</v>
      </c>
      <c r="AA919" s="168">
        <f t="array" ref="AA919">iferror(index(J:J,match($A919&amp;","&amp;index('Year Conversion'!$A:$A,match($C919,'Year Conversion'!$B:$B,0)),$Y:$Y,0))-J919,"")</f>
        <v>-1.454742427</v>
      </c>
      <c r="AB919" s="168">
        <f t="array" ref="AB919">iferror(index(K:K,match($A919&amp;","&amp;index('Year Conversion'!$A:$A,match($C919,'Year Conversion'!$B:$B,0)),$Y:$Y,0))-K919,"")</f>
        <v>-0.6792164608</v>
      </c>
      <c r="AC919" s="168" t="str">
        <f t="shared" si="7"/>
        <v>ORL,2014-15</v>
      </c>
    </row>
    <row r="920">
      <c r="A920" s="161" t="str">
        <f>IFERROR(__xludf.DUMMYFUNCTION("""COMPUTED_VALUE"""),"mcdankj01")</f>
        <v>mcdankj01</v>
      </c>
      <c r="B920" s="161" t="str">
        <f>IFERROR(__xludf.DUMMYFUNCTION("""COMPUTED_VALUE"""),"KJ McDaniels")</f>
        <v>KJ McDaniels</v>
      </c>
      <c r="C920" s="162" t="str">
        <f>IFERROR(__xludf.DUMMYFUNCTION("""COMPUTED_VALUE"""),"2014-15")</f>
        <v>2014-15</v>
      </c>
      <c r="D920" s="163" t="str">
        <f>IFERROR(__xludf.DUMMYFUNCTION("""COMPUTED_VALUE"""),"TOT")</f>
        <v>TOT</v>
      </c>
      <c r="E920" s="164" t="str">
        <f>IFERROR(__xludf.DUMMYFUNCTION("""COMPUTED_VALUE"""),"Stationary Shooter")</f>
        <v>Stationary Shooter</v>
      </c>
      <c r="F920" s="164">
        <f>IFERROR(__xludf.DUMMYFUNCTION("""COMPUTED_VALUE"""),1351.895)</f>
        <v>1351.895</v>
      </c>
      <c r="G920" s="163">
        <f>IFERROR(__xludf.DUMMYFUNCTION("""COMPUTED_VALUE"""),62.0)</f>
        <v>62</v>
      </c>
      <c r="H920" s="163" t="str">
        <f>IFERROR(__xludf.DUMMYFUNCTION("""COMPUTED_VALUE"""),"SG")</f>
        <v>SG</v>
      </c>
      <c r="I920" s="163">
        <f>IFERROR(__xludf.DUMMYFUNCTION("""COMPUTED_VALUE"""),21.0)</f>
        <v>21</v>
      </c>
      <c r="J920" s="165">
        <f>IFERROR(__xludf.DUMMYFUNCTION("""COMPUTED_VALUE"""),-2.4151035084293)</f>
        <v>-2.415103508</v>
      </c>
      <c r="K920" s="165">
        <f>IFERROR(__xludf.DUMMYFUNCTION("""COMPUTED_VALUE"""),-2.03978820299735)</f>
        <v>-2.039788203</v>
      </c>
      <c r="L920" s="165">
        <f>IFERROR(__xludf.DUMMYFUNCTION("""COMPUTED_VALUE"""),-0.375315305431955)</f>
        <v>-0.3753153054</v>
      </c>
      <c r="M920" s="166">
        <f t="shared" si="2"/>
        <v>-0.09937120085</v>
      </c>
      <c r="N920" s="167">
        <f t="shared" si="3"/>
        <v>21.80475806</v>
      </c>
      <c r="O920" s="163">
        <f t="shared" ref="O920:Q920" si="924">rank(I920,I:I)</f>
        <v>3528</v>
      </c>
      <c r="P920" s="163">
        <f t="shared" si="924"/>
        <v>3724</v>
      </c>
      <c r="Q920" s="163">
        <f t="shared" si="924"/>
        <v>3727</v>
      </c>
      <c r="R920" s="163">
        <f>IFERROR(__xludf.DUMMYFUNCTION("RANK(M920,filter(M:M,C:C=C920))"),453.0)</f>
        <v>453</v>
      </c>
      <c r="S920" s="161" t="b">
        <f t="shared" si="5"/>
        <v>0</v>
      </c>
      <c r="T920" s="161" t="b">
        <f t="array" ref="T920">index('Query Tool'!B:B,match(H920,'Query Tool'!C:C,0))</f>
        <v>1</v>
      </c>
      <c r="U920" s="161" t="b">
        <f t="array" ref="U920">index('Query Tool'!B:B,match(C920,'Query Tool'!C:C,0))</f>
        <v>0</v>
      </c>
      <c r="V920" s="161" t="b">
        <f>F920&gt;='Query Tool'!C$32</f>
        <v>1</v>
      </c>
      <c r="W920" s="161" t="b">
        <f t="array" ref="W920">index(Dropdowns!B:B,match(I920,Dropdowns!A:A,0))</f>
        <v>1</v>
      </c>
      <c r="X920" s="161" t="b">
        <f t="array" ref="X920">index('Query Tool'!B:B,match(D920,'Query Tool'!C:C,0))</f>
        <v>1</v>
      </c>
      <c r="Y920" s="161" t="str">
        <f t="shared" si="6"/>
        <v>mcdankj01,2014-15</v>
      </c>
      <c r="Z920" s="168">
        <f t="array" ref="Z920">iferror(index(I:I,match($A920&amp;","&amp;index('Year Conversion'!$A:$A,match($C920,'Year Conversion'!$B:$B,0)),$Y:$Y,0))-I920,"")</f>
        <v>1</v>
      </c>
      <c r="AA920" s="168">
        <f t="array" ref="AA920">iferror(index(J:J,match($A920&amp;","&amp;index('Year Conversion'!$A:$A,match($C920,'Year Conversion'!$B:$B,0)),$Y:$Y,0))-J920,"")</f>
        <v>1.863173394</v>
      </c>
      <c r="AB920" s="168">
        <f t="array" ref="AB920">iferror(index(K:K,match($A920&amp;","&amp;index('Year Conversion'!$A:$A,match($C920,'Year Conversion'!$B:$B,0)),$Y:$Y,0))-K920,"")</f>
        <v>2.093385626</v>
      </c>
      <c r="AC920" s="168" t="str">
        <f t="shared" si="7"/>
        <v>TOT,2014-15</v>
      </c>
    </row>
    <row r="921">
      <c r="A921" s="161" t="str">
        <f>IFERROR(__xludf.DUMMYFUNCTION("""COMPUTED_VALUE"""),"johnsni01")</f>
        <v>johnsni01</v>
      </c>
      <c r="B921" s="161" t="str">
        <f>IFERROR(__xludf.DUMMYFUNCTION("""COMPUTED_VALUE"""),"Nick Johnson")</f>
        <v>Nick Johnson</v>
      </c>
      <c r="C921" s="162" t="str">
        <f>IFERROR(__xludf.DUMMYFUNCTION("""COMPUTED_VALUE"""),"2014-15")</f>
        <v>2014-15</v>
      </c>
      <c r="D921" s="163" t="str">
        <f>IFERROR(__xludf.DUMMYFUNCTION("""COMPUTED_VALUE"""),"HOU")</f>
        <v>HOU</v>
      </c>
      <c r="E921" s="164" t="str">
        <f>IFERROR(__xludf.DUMMYFUNCTION("""COMPUTED_VALUE"""),"Athletic Finisher")</f>
        <v>Athletic Finisher</v>
      </c>
      <c r="F921" s="164">
        <f>IFERROR(__xludf.DUMMYFUNCTION("""COMPUTED_VALUE"""),262.348333333333)</f>
        <v>262.3483333</v>
      </c>
      <c r="G921" s="163">
        <f>IFERROR(__xludf.DUMMYFUNCTION("""COMPUTED_VALUE"""),28.0)</f>
        <v>28</v>
      </c>
      <c r="H921" s="163" t="str">
        <f>IFERROR(__xludf.DUMMYFUNCTION("""COMPUTED_VALUE"""),"SG")</f>
        <v>SG</v>
      </c>
      <c r="I921" s="163">
        <f>IFERROR(__xludf.DUMMYFUNCTION("""COMPUTED_VALUE"""),22.0)</f>
        <v>22</v>
      </c>
      <c r="J921" s="165">
        <f>IFERROR(__xludf.DUMMYFUNCTION("""COMPUTED_VALUE"""),-2.92433485323111)</f>
        <v>-2.924334853</v>
      </c>
      <c r="K921" s="165">
        <f>IFERROR(__xludf.DUMMYFUNCTION("""COMPUTED_VALUE"""),-1.7146153283425)</f>
        <v>-1.714615328</v>
      </c>
      <c r="L921" s="165">
        <f>IFERROR(__xludf.DUMMYFUNCTION("""COMPUTED_VALUE"""),-1.20971952488862)</f>
        <v>-1.209719525</v>
      </c>
      <c r="M921" s="166">
        <f t="shared" si="2"/>
        <v>-0.1067224029</v>
      </c>
      <c r="N921" s="167">
        <f t="shared" si="3"/>
        <v>9.369583333</v>
      </c>
      <c r="O921" s="163">
        <f t="shared" ref="O921:Q921" si="925">rank(I921,I:I)</f>
        <v>3178</v>
      </c>
      <c r="P921" s="163">
        <f t="shared" si="925"/>
        <v>3873</v>
      </c>
      <c r="Q921" s="163">
        <f t="shared" si="925"/>
        <v>3528</v>
      </c>
      <c r="R921" s="163">
        <f>IFERROR(__xludf.DUMMYFUNCTION("RANK(M921,filter(M:M,C:C=C921))"),455.0)</f>
        <v>455</v>
      </c>
      <c r="S921" s="161" t="b">
        <f t="shared" si="5"/>
        <v>0</v>
      </c>
      <c r="T921" s="161" t="b">
        <f t="array" ref="T921">index('Query Tool'!B:B,match(H921,'Query Tool'!C:C,0))</f>
        <v>1</v>
      </c>
      <c r="U921" s="161" t="b">
        <f t="array" ref="U921">index('Query Tool'!B:B,match(C921,'Query Tool'!C:C,0))</f>
        <v>0</v>
      </c>
      <c r="V921" s="161" t="b">
        <f>F921&gt;='Query Tool'!C$32</f>
        <v>0</v>
      </c>
      <c r="W921" s="161" t="b">
        <f t="array" ref="W921">index(Dropdowns!B:B,match(I921,Dropdowns!A:A,0))</f>
        <v>1</v>
      </c>
      <c r="X921" s="161" t="b">
        <f t="array" ref="X921">index('Query Tool'!B:B,match(D921,'Query Tool'!C:C,0))</f>
        <v>1</v>
      </c>
      <c r="Y921" s="161" t="str">
        <f t="shared" si="6"/>
        <v>johnsni01,2014-15</v>
      </c>
      <c r="Z921" s="168" t="str">
        <f t="array" ref="Z921">iferror(index(I:I,match($A921&amp;","&amp;index('Year Conversion'!$A:$A,match($C921,'Year Conversion'!$B:$B,0)),$Y:$Y,0))-I921,"")</f>
        <v/>
      </c>
      <c r="AA921" s="168" t="str">
        <f t="array" ref="AA921">iferror(index(J:J,match($A921&amp;","&amp;index('Year Conversion'!$A:$A,match($C921,'Year Conversion'!$B:$B,0)),$Y:$Y,0))-J921,"")</f>
        <v/>
      </c>
      <c r="AB921" s="168" t="str">
        <f t="array" ref="AB921">iferror(index(K:K,match($A921&amp;","&amp;index('Year Conversion'!$A:$A,match($C921,'Year Conversion'!$B:$B,0)),$Y:$Y,0))-K921,"")</f>
        <v/>
      </c>
      <c r="AC921" s="168" t="str">
        <f t="shared" si="7"/>
        <v>HOU,2014-15</v>
      </c>
    </row>
    <row r="922">
      <c r="A922" s="161" t="str">
        <f>IFERROR(__xludf.DUMMYFUNCTION("""COMPUTED_VALUE"""),"wilcocj01")</f>
        <v>wilcocj01</v>
      </c>
      <c r="B922" s="161" t="str">
        <f>IFERROR(__xludf.DUMMYFUNCTION("""COMPUTED_VALUE"""),"C.J. Wilcox")</f>
        <v>C.J. Wilcox</v>
      </c>
      <c r="C922" s="162" t="str">
        <f>IFERROR(__xludf.DUMMYFUNCTION("""COMPUTED_VALUE"""),"2014-15")</f>
        <v>2014-15</v>
      </c>
      <c r="D922" s="163" t="str">
        <f>IFERROR(__xludf.DUMMYFUNCTION("""COMPUTED_VALUE"""),"LAC")</f>
        <v>LAC</v>
      </c>
      <c r="E922" s="164" t="str">
        <f>IFERROR(__xludf.DUMMYFUNCTION("""COMPUTED_VALUE"""),"Off Screen Shooter")</f>
        <v>Off Screen Shooter</v>
      </c>
      <c r="F922" s="164">
        <f>IFERROR(__xludf.DUMMYFUNCTION("""COMPUTED_VALUE"""),100.566666666667)</f>
        <v>100.5666667</v>
      </c>
      <c r="G922" s="163">
        <f>IFERROR(__xludf.DUMMYFUNCTION("""COMPUTED_VALUE"""),21.0)</f>
        <v>21</v>
      </c>
      <c r="H922" s="163" t="str">
        <f>IFERROR(__xludf.DUMMYFUNCTION("""COMPUTED_VALUE"""),"SG")</f>
        <v>SG</v>
      </c>
      <c r="I922" s="163">
        <f>IFERROR(__xludf.DUMMYFUNCTION("""COMPUTED_VALUE"""),24.0)</f>
        <v>24</v>
      </c>
      <c r="J922" s="165">
        <f>IFERROR(__xludf.DUMMYFUNCTION("""COMPUTED_VALUE"""),-2.3026115779775)</f>
        <v>-2.302611578</v>
      </c>
      <c r="K922" s="165">
        <f>IFERROR(__xludf.DUMMYFUNCTION("""COMPUTED_VALUE"""),-1.0188296382728)</f>
        <v>-1.018829638</v>
      </c>
      <c r="L922" s="165">
        <f>IFERROR(__xludf.DUMMYFUNCTION("""COMPUTED_VALUE"""),-1.2837819397047)</f>
        <v>-1.28378194</v>
      </c>
      <c r="M922" s="166">
        <f t="shared" si="2"/>
        <v>0.0000607003573</v>
      </c>
      <c r="N922" s="167">
        <f t="shared" si="3"/>
        <v>4.788888889</v>
      </c>
      <c r="O922" s="163">
        <f t="shared" ref="O922:Q922" si="926">rank(I922,I:I)</f>
        <v>2361</v>
      </c>
      <c r="P922" s="163">
        <f t="shared" si="926"/>
        <v>3658</v>
      </c>
      <c r="Q922" s="163">
        <f t="shared" si="926"/>
        <v>2830</v>
      </c>
      <c r="R922" s="163">
        <f>IFERROR(__xludf.DUMMYFUNCTION("RANK(M922,filter(M:M,C:C=C922))"),441.0)</f>
        <v>441</v>
      </c>
      <c r="S922" s="161" t="b">
        <f t="shared" si="5"/>
        <v>0</v>
      </c>
      <c r="T922" s="161" t="b">
        <f t="array" ref="T922">index('Query Tool'!B:B,match(H922,'Query Tool'!C:C,0))</f>
        <v>1</v>
      </c>
      <c r="U922" s="161" t="b">
        <f t="array" ref="U922">index('Query Tool'!B:B,match(C922,'Query Tool'!C:C,0))</f>
        <v>0</v>
      </c>
      <c r="V922" s="161" t="b">
        <f>F922&gt;='Query Tool'!C$32</f>
        <v>0</v>
      </c>
      <c r="W922" s="161" t="b">
        <f t="array" ref="W922">index(Dropdowns!B:B,match(I922,Dropdowns!A:A,0))</f>
        <v>1</v>
      </c>
      <c r="X922" s="161" t="b">
        <f t="array" ref="X922">index('Query Tool'!B:B,match(D922,'Query Tool'!C:C,0))</f>
        <v>1</v>
      </c>
      <c r="Y922" s="161" t="str">
        <f t="shared" si="6"/>
        <v>wilcocj01,2014-15</v>
      </c>
      <c r="Z922" s="168">
        <f t="array" ref="Z922">iferror(index(I:I,match($A922&amp;","&amp;index('Year Conversion'!$A:$A,match($C922,'Year Conversion'!$B:$B,0)),$Y:$Y,0))-I922,"")</f>
        <v>1</v>
      </c>
      <c r="AA922" s="168">
        <f t="array" ref="AA922">iferror(index(J:J,match($A922&amp;","&amp;index('Year Conversion'!$A:$A,match($C922,'Year Conversion'!$B:$B,0)),$Y:$Y,0))-J922,"")</f>
        <v>1.29327058</v>
      </c>
      <c r="AB922" s="168">
        <f t="array" ref="AB922">iferror(index(K:K,match($A922&amp;","&amp;index('Year Conversion'!$A:$A,match($C922,'Year Conversion'!$B:$B,0)),$Y:$Y,0))-K922,"")</f>
        <v>0.7405584757</v>
      </c>
      <c r="AC922" s="168" t="str">
        <f t="shared" si="7"/>
        <v>LAC,2014-15</v>
      </c>
    </row>
    <row r="923">
      <c r="A923" s="161" t="str">
        <f>IFERROR(__xludf.DUMMYFUNCTION("""COMPUTED_VALUE"""),"brownja01")</f>
        <v>brownja01</v>
      </c>
      <c r="B923" s="161" t="str">
        <f>IFERROR(__xludf.DUMMYFUNCTION("""COMPUTED_VALUE"""),"Jabari Brown")</f>
        <v>Jabari Brown</v>
      </c>
      <c r="C923" s="162" t="str">
        <f>IFERROR(__xludf.DUMMYFUNCTION("""COMPUTED_VALUE"""),"2014-15")</f>
        <v>2014-15</v>
      </c>
      <c r="D923" s="163" t="str">
        <f>IFERROR(__xludf.DUMMYFUNCTION("""COMPUTED_VALUE"""),"LAL")</f>
        <v>LAL</v>
      </c>
      <c r="E923" s="164" t="str">
        <f>IFERROR(__xludf.DUMMYFUNCTION("""COMPUTED_VALUE"""),"Secondary Ball Handler")</f>
        <v>Secondary Ball Handler</v>
      </c>
      <c r="F923" s="164">
        <f>IFERROR(__xludf.DUMMYFUNCTION("""COMPUTED_VALUE"""),568.361666666667)</f>
        <v>568.3616667</v>
      </c>
      <c r="G923" s="163">
        <f>IFERROR(__xludf.DUMMYFUNCTION("""COMPUTED_VALUE"""),19.0)</f>
        <v>19</v>
      </c>
      <c r="H923" s="163" t="str">
        <f>IFERROR(__xludf.DUMMYFUNCTION("""COMPUTED_VALUE"""),"SG")</f>
        <v>SG</v>
      </c>
      <c r="I923" s="163">
        <f>IFERROR(__xludf.DUMMYFUNCTION("""COMPUTED_VALUE"""),22.0)</f>
        <v>22</v>
      </c>
      <c r="J923" s="165">
        <f>IFERROR(__xludf.DUMMYFUNCTION("""COMPUTED_VALUE"""),-3.13496112995743)</f>
        <v>-3.13496113</v>
      </c>
      <c r="K923" s="165">
        <f>IFERROR(__xludf.DUMMYFUNCTION("""COMPUTED_VALUE"""),-1.00602254794724)</f>
        <v>-1.006022548</v>
      </c>
      <c r="L923" s="165">
        <f>IFERROR(__xludf.DUMMYFUNCTION("""COMPUTED_VALUE"""),-2.1289385820102)</f>
        <v>-2.128938582</v>
      </c>
      <c r="M923" s="166">
        <f t="shared" si="2"/>
        <v>-0.3089045972</v>
      </c>
      <c r="N923" s="167">
        <f t="shared" si="3"/>
        <v>29.91377193</v>
      </c>
      <c r="O923" s="163">
        <f t="shared" ref="O923:Q923" si="927">rank(I923,I:I)</f>
        <v>3178</v>
      </c>
      <c r="P923" s="163">
        <f t="shared" si="927"/>
        <v>3913</v>
      </c>
      <c r="Q923" s="163">
        <f t="shared" si="927"/>
        <v>2813</v>
      </c>
      <c r="R923" s="163">
        <f>IFERROR(__xludf.DUMMYFUNCTION("RANK(M923,filter(M:M,C:C=C923))"),472.0)</f>
        <v>472</v>
      </c>
      <c r="S923" s="161" t="b">
        <f t="shared" si="5"/>
        <v>0</v>
      </c>
      <c r="T923" s="161" t="b">
        <f t="array" ref="T923">index('Query Tool'!B:B,match(H923,'Query Tool'!C:C,0))</f>
        <v>1</v>
      </c>
      <c r="U923" s="161" t="b">
        <f t="array" ref="U923">index('Query Tool'!B:B,match(C923,'Query Tool'!C:C,0))</f>
        <v>0</v>
      </c>
      <c r="V923" s="161" t="b">
        <f>F923&gt;='Query Tool'!C$32</f>
        <v>1</v>
      </c>
      <c r="W923" s="161" t="b">
        <f t="array" ref="W923">index(Dropdowns!B:B,match(I923,Dropdowns!A:A,0))</f>
        <v>1</v>
      </c>
      <c r="X923" s="161" t="b">
        <f t="array" ref="X923">index('Query Tool'!B:B,match(D923,'Query Tool'!C:C,0))</f>
        <v>1</v>
      </c>
      <c r="Y923" s="161" t="str">
        <f t="shared" si="6"/>
        <v>brownja01,2014-15</v>
      </c>
      <c r="Z923" s="168" t="str">
        <f t="array" ref="Z923">iferror(index(I:I,match($A923&amp;","&amp;index('Year Conversion'!$A:$A,match($C923,'Year Conversion'!$B:$B,0)),$Y:$Y,0))-I923,"")</f>
        <v/>
      </c>
      <c r="AA923" s="168" t="str">
        <f t="array" ref="AA923">iferror(index(J:J,match($A923&amp;","&amp;index('Year Conversion'!$A:$A,match($C923,'Year Conversion'!$B:$B,0)),$Y:$Y,0))-J923,"")</f>
        <v/>
      </c>
      <c r="AB923" s="168" t="str">
        <f t="array" ref="AB923">iferror(index(K:K,match($A923&amp;","&amp;index('Year Conversion'!$A:$A,match($C923,'Year Conversion'!$B:$B,0)),$Y:$Y,0))-K923,"")</f>
        <v/>
      </c>
      <c r="AC923" s="168" t="str">
        <f t="shared" si="7"/>
        <v>LAL,2014-15</v>
      </c>
    </row>
    <row r="924">
      <c r="A924" s="161" t="str">
        <f>IFERROR(__xludf.DUMMYFUNCTION("""COMPUTED_VALUE"""),"harriga01")</f>
        <v>harriga01</v>
      </c>
      <c r="B924" s="161" t="str">
        <f>IFERROR(__xludf.DUMMYFUNCTION("""COMPUTED_VALUE"""),"Gary Harris")</f>
        <v>Gary Harris</v>
      </c>
      <c r="C924" s="162" t="str">
        <f>IFERROR(__xludf.DUMMYFUNCTION("""COMPUTED_VALUE"""),"2014-15")</f>
        <v>2014-15</v>
      </c>
      <c r="D924" s="163" t="str">
        <f>IFERROR(__xludf.DUMMYFUNCTION("""COMPUTED_VALUE"""),"DEN")</f>
        <v>DEN</v>
      </c>
      <c r="E924" s="164" t="str">
        <f>IFERROR(__xludf.DUMMYFUNCTION("""COMPUTED_VALUE"""),"Stationary Shooter")</f>
        <v>Stationary Shooter</v>
      </c>
      <c r="F924" s="164">
        <f>IFERROR(__xludf.DUMMYFUNCTION("""COMPUTED_VALUE"""),718.955)</f>
        <v>718.955</v>
      </c>
      <c r="G924" s="163">
        <f>IFERROR(__xludf.DUMMYFUNCTION("""COMPUTED_VALUE"""),55.0)</f>
        <v>55</v>
      </c>
      <c r="H924" s="163" t="str">
        <f>IFERROR(__xludf.DUMMYFUNCTION("""COMPUTED_VALUE"""),"SG")</f>
        <v>SG</v>
      </c>
      <c r="I924" s="163">
        <f>IFERROR(__xludf.DUMMYFUNCTION("""COMPUTED_VALUE"""),20.0)</f>
        <v>20</v>
      </c>
      <c r="J924" s="165">
        <f>IFERROR(__xludf.DUMMYFUNCTION("""COMPUTED_VALUE"""),-2.95523747923145)</f>
        <v>-2.955237479</v>
      </c>
      <c r="K924" s="165">
        <f>IFERROR(__xludf.DUMMYFUNCTION("""COMPUTED_VALUE"""),-1.77238012888807)</f>
        <v>-1.772380129</v>
      </c>
      <c r="L924" s="165">
        <f>IFERROR(__xludf.DUMMYFUNCTION("""COMPUTED_VALUE"""),-1.18285735034338)</f>
        <v>-1.18285735</v>
      </c>
      <c r="M924" s="166">
        <f t="shared" si="2"/>
        <v>-0.3069204687</v>
      </c>
      <c r="N924" s="167">
        <f t="shared" si="3"/>
        <v>13.07190909</v>
      </c>
      <c r="O924" s="163">
        <f t="shared" ref="O924:Q924" si="928">rank(I924,I:I)</f>
        <v>3770</v>
      </c>
      <c r="P924" s="163">
        <f t="shared" si="928"/>
        <v>3877</v>
      </c>
      <c r="Q924" s="163">
        <f t="shared" si="928"/>
        <v>3560</v>
      </c>
      <c r="R924" s="163">
        <f>IFERROR(__xludf.DUMMYFUNCTION("RANK(M924,filter(M:M,C:C=C924))"),470.0)</f>
        <v>470</v>
      </c>
      <c r="S924" s="161" t="b">
        <f t="shared" si="5"/>
        <v>0</v>
      </c>
      <c r="T924" s="161" t="b">
        <f t="array" ref="T924">index('Query Tool'!B:B,match(H924,'Query Tool'!C:C,0))</f>
        <v>1</v>
      </c>
      <c r="U924" s="161" t="b">
        <f t="array" ref="U924">index('Query Tool'!B:B,match(C924,'Query Tool'!C:C,0))</f>
        <v>0</v>
      </c>
      <c r="V924" s="161" t="b">
        <f>F924&gt;='Query Tool'!C$32</f>
        <v>1</v>
      </c>
      <c r="W924" s="161" t="b">
        <f t="array" ref="W924">index(Dropdowns!B:B,match(I924,Dropdowns!A:A,0))</f>
        <v>1</v>
      </c>
      <c r="X924" s="161" t="b">
        <f t="array" ref="X924">index('Query Tool'!B:B,match(D924,'Query Tool'!C:C,0))</f>
        <v>1</v>
      </c>
      <c r="Y924" s="161" t="str">
        <f t="shared" si="6"/>
        <v>harriga01,2014-15</v>
      </c>
      <c r="Z924" s="168">
        <f t="array" ref="Z924">iferror(index(I:I,match($A924&amp;","&amp;index('Year Conversion'!$A:$A,match($C924,'Year Conversion'!$B:$B,0)),$Y:$Y,0))-I924,"")</f>
        <v>1</v>
      </c>
      <c r="AA924" s="168">
        <f t="array" ref="AA924">iferror(index(J:J,match($A924&amp;","&amp;index('Year Conversion'!$A:$A,match($C924,'Year Conversion'!$B:$B,0)),$Y:$Y,0))-J924,"")</f>
        <v>2.663824167</v>
      </c>
      <c r="AB924" s="168">
        <f t="array" ref="AB924">iferror(index(K:K,match($A924&amp;","&amp;index('Year Conversion'!$A:$A,match($C924,'Year Conversion'!$B:$B,0)),$Y:$Y,0))-K924,"")</f>
        <v>2.383784835</v>
      </c>
      <c r="AC924" s="168" t="str">
        <f t="shared" si="7"/>
        <v>DEN,2014-15</v>
      </c>
    </row>
    <row r="925">
      <c r="A925" s="161" t="str">
        <f>IFERROR(__xludf.DUMMYFUNCTION("""COMPUTED_VALUE"""),"dinwisp01")</f>
        <v>dinwisp01</v>
      </c>
      <c r="B925" s="161" t="str">
        <f>IFERROR(__xludf.DUMMYFUNCTION("""COMPUTED_VALUE"""),"Spencer Dinwiddie")</f>
        <v>Spencer Dinwiddie</v>
      </c>
      <c r="C925" s="162" t="str">
        <f>IFERROR(__xludf.DUMMYFUNCTION("""COMPUTED_VALUE"""),"2014-15")</f>
        <v>2014-15</v>
      </c>
      <c r="D925" s="163" t="str">
        <f>IFERROR(__xludf.DUMMYFUNCTION("""COMPUTED_VALUE"""),"DET")</f>
        <v>DET</v>
      </c>
      <c r="E925" s="164" t="str">
        <f>IFERROR(__xludf.DUMMYFUNCTION("""COMPUTED_VALUE"""),"Secondary Ball Handler")</f>
        <v>Secondary Ball Handler</v>
      </c>
      <c r="F925" s="164">
        <f>IFERROR(__xludf.DUMMYFUNCTION("""COMPUTED_VALUE"""),455.261666666666)</f>
        <v>455.2616667</v>
      </c>
      <c r="G925" s="163">
        <f>IFERROR(__xludf.DUMMYFUNCTION("""COMPUTED_VALUE"""),34.0)</f>
        <v>34</v>
      </c>
      <c r="H925" s="163" t="str">
        <f>IFERROR(__xludf.DUMMYFUNCTION("""COMPUTED_VALUE"""),"PG")</f>
        <v>PG</v>
      </c>
      <c r="I925" s="163">
        <f>IFERROR(__xludf.DUMMYFUNCTION("""COMPUTED_VALUE"""),21.0)</f>
        <v>21</v>
      </c>
      <c r="J925" s="165">
        <f>IFERROR(__xludf.DUMMYFUNCTION("""COMPUTED_VALUE"""),-0.0709460030831413)</f>
        <v>-0.07094600308</v>
      </c>
      <c r="K925" s="165">
        <f>IFERROR(__xludf.DUMMYFUNCTION("""COMPUTED_VALUE"""),-0.0652756378381387)</f>
        <v>-0.06527563784</v>
      </c>
      <c r="L925" s="165">
        <f>IFERROR(__xludf.DUMMYFUNCTION("""COMPUTED_VALUE"""),-0.0056703652450026)</f>
        <v>-0.005670365245</v>
      </c>
      <c r="M925" s="166">
        <f t="shared" si="2"/>
        <v>0.6800862345</v>
      </c>
      <c r="N925" s="167">
        <f t="shared" si="3"/>
        <v>13.39004902</v>
      </c>
      <c r="O925" s="163">
        <f t="shared" ref="O925:Q925" si="929">rank(I925,I:I)</f>
        <v>3528</v>
      </c>
      <c r="P925" s="163">
        <f t="shared" si="929"/>
        <v>1358</v>
      </c>
      <c r="Q925" s="163">
        <f t="shared" si="929"/>
        <v>1297</v>
      </c>
      <c r="R925" s="163">
        <f>IFERROR(__xludf.DUMMYFUNCTION("RANK(M925,filter(M:M,C:C=C925))"),265.0)</f>
        <v>265</v>
      </c>
      <c r="S925" s="161" t="b">
        <f t="shared" si="5"/>
        <v>0</v>
      </c>
      <c r="T925" s="161" t="b">
        <f t="array" ref="T925">index('Query Tool'!B:B,match(H925,'Query Tool'!C:C,0))</f>
        <v>1</v>
      </c>
      <c r="U925" s="161" t="b">
        <f t="array" ref="U925">index('Query Tool'!B:B,match(C925,'Query Tool'!C:C,0))</f>
        <v>0</v>
      </c>
      <c r="V925" s="161" t="b">
        <f>F925&gt;='Query Tool'!C$32</f>
        <v>0</v>
      </c>
      <c r="W925" s="161" t="b">
        <f t="array" ref="W925">index(Dropdowns!B:B,match(I925,Dropdowns!A:A,0))</f>
        <v>1</v>
      </c>
      <c r="X925" s="161" t="b">
        <f t="array" ref="X925">index('Query Tool'!B:B,match(D925,'Query Tool'!C:C,0))</f>
        <v>1</v>
      </c>
      <c r="Y925" s="161" t="str">
        <f t="shared" si="6"/>
        <v>dinwisp01,2014-15</v>
      </c>
      <c r="Z925" s="168">
        <f t="array" ref="Z925">iferror(index(I:I,match($A925&amp;","&amp;index('Year Conversion'!$A:$A,match($C925,'Year Conversion'!$B:$B,0)),$Y:$Y,0))-I925,"")</f>
        <v>1</v>
      </c>
      <c r="AA925" s="168">
        <f t="array" ref="AA925">iferror(index(J:J,match($A925&amp;","&amp;index('Year Conversion'!$A:$A,match($C925,'Year Conversion'!$B:$B,0)),$Y:$Y,0))-J925,"")</f>
        <v>-0.07766520976</v>
      </c>
      <c r="AB925" s="168">
        <f t="array" ref="AB925">iferror(index(K:K,match($A925&amp;","&amp;index('Year Conversion'!$A:$A,match($C925,'Year Conversion'!$B:$B,0)),$Y:$Y,0))-K925,"")</f>
        <v>0.05214186119</v>
      </c>
      <c r="AC925" s="168" t="str">
        <f t="shared" si="7"/>
        <v>DET,2014-15</v>
      </c>
    </row>
    <row r="926">
      <c r="A926" s="161" t="str">
        <f>IFERROR(__xludf.DUMMYFUNCTION("""COMPUTED_VALUE"""),"stausni01")</f>
        <v>stausni01</v>
      </c>
      <c r="B926" s="161" t="str">
        <f>IFERROR(__xludf.DUMMYFUNCTION("""COMPUTED_VALUE"""),"Nik Stauskas")</f>
        <v>Nik Stauskas</v>
      </c>
      <c r="C926" s="162" t="str">
        <f>IFERROR(__xludf.DUMMYFUNCTION("""COMPUTED_VALUE"""),"2014-15")</f>
        <v>2014-15</v>
      </c>
      <c r="D926" s="163" t="str">
        <f>IFERROR(__xludf.DUMMYFUNCTION("""COMPUTED_VALUE"""),"SAC")</f>
        <v>SAC</v>
      </c>
      <c r="E926" s="164" t="str">
        <f>IFERROR(__xludf.DUMMYFUNCTION("""COMPUTED_VALUE"""),"Movement Shooter")</f>
        <v>Movement Shooter</v>
      </c>
      <c r="F926" s="164">
        <f>IFERROR(__xludf.DUMMYFUNCTION("""COMPUTED_VALUE"""),1126.52)</f>
        <v>1126.52</v>
      </c>
      <c r="G926" s="163">
        <f>IFERROR(__xludf.DUMMYFUNCTION("""COMPUTED_VALUE"""),73.0)</f>
        <v>73</v>
      </c>
      <c r="H926" s="163" t="str">
        <f>IFERROR(__xludf.DUMMYFUNCTION("""COMPUTED_VALUE"""),"SG")</f>
        <v>SG</v>
      </c>
      <c r="I926" s="163">
        <f>IFERROR(__xludf.DUMMYFUNCTION("""COMPUTED_VALUE"""),21.0)</f>
        <v>21</v>
      </c>
      <c r="J926" s="165">
        <f>IFERROR(__xludf.DUMMYFUNCTION("""COMPUTED_VALUE"""),-2.39764244377122)</f>
        <v>-2.397642444</v>
      </c>
      <c r="K926" s="165">
        <f>IFERROR(__xludf.DUMMYFUNCTION("""COMPUTED_VALUE"""),-0.70529564676729)</f>
        <v>-0.7052956468</v>
      </c>
      <c r="L926" s="165">
        <f>IFERROR(__xludf.DUMMYFUNCTION("""COMPUTED_VALUE"""),-1.69234679700393)</f>
        <v>-1.692346797</v>
      </c>
      <c r="M926" s="166">
        <f t="shared" si="2"/>
        <v>-0.06985847973</v>
      </c>
      <c r="N926" s="167">
        <f t="shared" si="3"/>
        <v>15.43178082</v>
      </c>
      <c r="O926" s="163">
        <f t="shared" ref="O926:Q926" si="930">rank(I926,I:I)</f>
        <v>3528</v>
      </c>
      <c r="P926" s="163">
        <f t="shared" si="930"/>
        <v>3715</v>
      </c>
      <c r="Q926" s="163">
        <f t="shared" si="930"/>
        <v>2424</v>
      </c>
      <c r="R926" s="163">
        <f>IFERROR(__xludf.DUMMYFUNCTION("RANK(M926,filter(M:M,C:C=C926))"),451.0)</f>
        <v>451</v>
      </c>
      <c r="S926" s="161" t="b">
        <f t="shared" si="5"/>
        <v>0</v>
      </c>
      <c r="T926" s="161" t="b">
        <f t="array" ref="T926">index('Query Tool'!B:B,match(H926,'Query Tool'!C:C,0))</f>
        <v>1</v>
      </c>
      <c r="U926" s="161" t="b">
        <f t="array" ref="U926">index('Query Tool'!B:B,match(C926,'Query Tool'!C:C,0))</f>
        <v>0</v>
      </c>
      <c r="V926" s="161" t="b">
        <f>F926&gt;='Query Tool'!C$32</f>
        <v>1</v>
      </c>
      <c r="W926" s="161" t="b">
        <f t="array" ref="W926">index(Dropdowns!B:B,match(I926,Dropdowns!A:A,0))</f>
        <v>1</v>
      </c>
      <c r="X926" s="161" t="b">
        <f t="array" ref="X926">index('Query Tool'!B:B,match(D926,'Query Tool'!C:C,0))</f>
        <v>1</v>
      </c>
      <c r="Y926" s="161" t="str">
        <f t="shared" si="6"/>
        <v>stausni01,2014-15</v>
      </c>
      <c r="Z926" s="168">
        <f t="array" ref="Z926">iferror(index(I:I,match($A926&amp;","&amp;index('Year Conversion'!$A:$A,match($C926,'Year Conversion'!$B:$B,0)),$Y:$Y,0))-I926,"")</f>
        <v>1</v>
      </c>
      <c r="AA926" s="168">
        <f t="array" ref="AA926">iferror(index(J:J,match($A926&amp;","&amp;index('Year Conversion'!$A:$A,match($C926,'Year Conversion'!$B:$B,0)),$Y:$Y,0))-J926,"")</f>
        <v>-0.004264350173</v>
      </c>
      <c r="AB926" s="168">
        <f t="array" ref="AB926">iferror(index(K:K,match($A926&amp;","&amp;index('Year Conversion'!$A:$A,match($C926,'Year Conversion'!$B:$B,0)),$Y:$Y,0))-K926,"")</f>
        <v>-0.3318886973</v>
      </c>
      <c r="AC926" s="168" t="str">
        <f t="shared" si="7"/>
        <v>SAC,2014-15</v>
      </c>
    </row>
    <row r="927">
      <c r="A927" s="161" t="str">
        <f>IFERROR(__xludf.DUMMYFUNCTION("""COMPUTED_VALUE"""),"hoodro01")</f>
        <v>hoodro01</v>
      </c>
      <c r="B927" s="161" t="str">
        <f>IFERROR(__xludf.DUMMYFUNCTION("""COMPUTED_VALUE"""),"Rodney Hood")</f>
        <v>Rodney Hood</v>
      </c>
      <c r="C927" s="162" t="str">
        <f>IFERROR(__xludf.DUMMYFUNCTION("""COMPUTED_VALUE"""),"2014-15")</f>
        <v>2014-15</v>
      </c>
      <c r="D927" s="163" t="str">
        <f>IFERROR(__xludf.DUMMYFUNCTION("""COMPUTED_VALUE"""),"UTA")</f>
        <v>UTA</v>
      </c>
      <c r="E927" s="164" t="str">
        <f>IFERROR(__xludf.DUMMYFUNCTION("""COMPUTED_VALUE"""),"Secondary Ball Handler")</f>
        <v>Secondary Ball Handler</v>
      </c>
      <c r="F927" s="164">
        <f>IFERROR(__xludf.DUMMYFUNCTION("""COMPUTED_VALUE"""),1064.38)</f>
        <v>1064.38</v>
      </c>
      <c r="G927" s="163">
        <f>IFERROR(__xludf.DUMMYFUNCTION("""COMPUTED_VALUE"""),50.0)</f>
        <v>50</v>
      </c>
      <c r="H927" s="163" t="str">
        <f>IFERROR(__xludf.DUMMYFUNCTION("""COMPUTED_VALUE"""),"SG")</f>
        <v>SG</v>
      </c>
      <c r="I927" s="163">
        <f>IFERROR(__xludf.DUMMYFUNCTION("""COMPUTED_VALUE"""),22.0)</f>
        <v>22</v>
      </c>
      <c r="J927" s="165">
        <f>IFERROR(__xludf.DUMMYFUNCTION("""COMPUTED_VALUE"""),-0.683882571420672)</f>
        <v>-0.6838825714</v>
      </c>
      <c r="K927" s="165">
        <f>IFERROR(__xludf.DUMMYFUNCTION("""COMPUTED_VALUE"""),-0.510997673217261)</f>
        <v>-0.5109976732</v>
      </c>
      <c r="L927" s="165">
        <f>IFERROR(__xludf.DUMMYFUNCTION("""COMPUTED_VALUE"""),-0.172884898203412)</f>
        <v>-0.1728848982</v>
      </c>
      <c r="M927" s="166">
        <f t="shared" si="2"/>
        <v>1.150487629</v>
      </c>
      <c r="N927" s="167">
        <f t="shared" si="3"/>
        <v>21.2876</v>
      </c>
      <c r="O927" s="163">
        <f t="shared" ref="O927:Q927" si="931">rank(I927,I:I)</f>
        <v>3178</v>
      </c>
      <c r="P927" s="163">
        <f t="shared" si="931"/>
        <v>2118</v>
      </c>
      <c r="Q927" s="163">
        <f t="shared" si="931"/>
        <v>2123</v>
      </c>
      <c r="R927" s="163">
        <f>IFERROR(__xludf.DUMMYFUNCTION("RANK(M927,filter(M:M,C:C=C927))"),222.0)</f>
        <v>222</v>
      </c>
      <c r="S927" s="161" t="b">
        <f t="shared" si="5"/>
        <v>0</v>
      </c>
      <c r="T927" s="161" t="b">
        <f t="array" ref="T927">index('Query Tool'!B:B,match(H927,'Query Tool'!C:C,0))</f>
        <v>1</v>
      </c>
      <c r="U927" s="161" t="b">
        <f t="array" ref="U927">index('Query Tool'!B:B,match(C927,'Query Tool'!C:C,0))</f>
        <v>0</v>
      </c>
      <c r="V927" s="161" t="b">
        <f>F927&gt;='Query Tool'!C$32</f>
        <v>1</v>
      </c>
      <c r="W927" s="161" t="b">
        <f t="array" ref="W927">index(Dropdowns!B:B,match(I927,Dropdowns!A:A,0))</f>
        <v>1</v>
      </c>
      <c r="X927" s="161" t="b">
        <f t="array" ref="X927">index('Query Tool'!B:B,match(D927,'Query Tool'!C:C,0))</f>
        <v>1</v>
      </c>
      <c r="Y927" s="161" t="str">
        <f t="shared" si="6"/>
        <v>hoodro01,2014-15</v>
      </c>
      <c r="Z927" s="168">
        <f t="array" ref="Z927">iferror(index(I:I,match($A927&amp;","&amp;index('Year Conversion'!$A:$A,match($C927,'Year Conversion'!$B:$B,0)),$Y:$Y,0))-I927,"")</f>
        <v>1</v>
      </c>
      <c r="AA927" s="168">
        <f t="array" ref="AA927">iferror(index(J:J,match($A927&amp;","&amp;index('Year Conversion'!$A:$A,match($C927,'Year Conversion'!$B:$B,0)),$Y:$Y,0))-J927,"")</f>
        <v>1.059866693</v>
      </c>
      <c r="AB927" s="168">
        <f t="array" ref="AB927">iferror(index(K:K,match($A927&amp;","&amp;index('Year Conversion'!$A:$A,match($C927,'Year Conversion'!$B:$B,0)),$Y:$Y,0))-K927,"")</f>
        <v>1.474295815</v>
      </c>
      <c r="AC927" s="168" t="str">
        <f t="shared" si="7"/>
        <v>UTA,2014-15</v>
      </c>
    </row>
    <row r="928">
      <c r="A928" s="161" t="str">
        <f>IFERROR(__xludf.DUMMYFUNCTION("""COMPUTED_VALUE"""),"adamsjo01")</f>
        <v>adamsjo01</v>
      </c>
      <c r="B928" s="161" t="str">
        <f>IFERROR(__xludf.DUMMYFUNCTION("""COMPUTED_VALUE"""),"Jordan Adams")</f>
        <v>Jordan Adams</v>
      </c>
      <c r="C928" s="162" t="str">
        <f>IFERROR(__xludf.DUMMYFUNCTION("""COMPUTED_VALUE"""),"2014-15")</f>
        <v>2014-15</v>
      </c>
      <c r="D928" s="163" t="str">
        <f>IFERROR(__xludf.DUMMYFUNCTION("""COMPUTED_VALUE"""),"MEM")</f>
        <v>MEM</v>
      </c>
      <c r="E928" s="164" t="str">
        <f>IFERROR(__xludf.DUMMYFUNCTION("""COMPUTED_VALUE"""),"Movement Shooter")</f>
        <v>Movement Shooter</v>
      </c>
      <c r="F928" s="164">
        <f>IFERROR(__xludf.DUMMYFUNCTION("""COMPUTED_VALUE"""),248.418333333333)</f>
        <v>248.4183333</v>
      </c>
      <c r="G928" s="163">
        <f>IFERROR(__xludf.DUMMYFUNCTION("""COMPUTED_VALUE"""),30.0)</f>
        <v>30</v>
      </c>
      <c r="H928" s="163" t="str">
        <f>IFERROR(__xludf.DUMMYFUNCTION("""COMPUTED_VALUE"""),"SG")</f>
        <v>SG</v>
      </c>
      <c r="I928" s="163">
        <f>IFERROR(__xludf.DUMMYFUNCTION("""COMPUTED_VALUE"""),20.0)</f>
        <v>20</v>
      </c>
      <c r="J928" s="165">
        <f>IFERROR(__xludf.DUMMYFUNCTION("""COMPUTED_VALUE"""),-0.56790239571782)</f>
        <v>-0.5679023957</v>
      </c>
      <c r="K928" s="165">
        <f>IFERROR(__xludf.DUMMYFUNCTION("""COMPUTED_VALUE"""),-0.284225659950897)</f>
        <v>-0.28422566</v>
      </c>
      <c r="L928" s="165">
        <f>IFERROR(__xludf.DUMMYFUNCTION("""COMPUTED_VALUE"""),-0.283676735766923)</f>
        <v>-0.2836767358</v>
      </c>
      <c r="M928" s="166">
        <f t="shared" si="2"/>
        <v>0.2879079306</v>
      </c>
      <c r="N928" s="167">
        <f t="shared" si="3"/>
        <v>8.280611111</v>
      </c>
      <c r="O928" s="163">
        <f t="shared" ref="O928:Q928" si="932">rank(I928,I:I)</f>
        <v>3770</v>
      </c>
      <c r="P928" s="163">
        <f t="shared" si="932"/>
        <v>1948</v>
      </c>
      <c r="Q928" s="163">
        <f t="shared" si="932"/>
        <v>1736</v>
      </c>
      <c r="R928" s="163">
        <f>IFERROR(__xludf.DUMMYFUNCTION("RANK(M928,filter(M:M,C:C=C928))"),313.0)</f>
        <v>313</v>
      </c>
      <c r="S928" s="161" t="b">
        <f t="shared" si="5"/>
        <v>0</v>
      </c>
      <c r="T928" s="161" t="b">
        <f t="array" ref="T928">index('Query Tool'!B:B,match(H928,'Query Tool'!C:C,0))</f>
        <v>1</v>
      </c>
      <c r="U928" s="161" t="b">
        <f t="array" ref="U928">index('Query Tool'!B:B,match(C928,'Query Tool'!C:C,0))</f>
        <v>0</v>
      </c>
      <c r="V928" s="161" t="b">
        <f>F928&gt;='Query Tool'!C$32</f>
        <v>0</v>
      </c>
      <c r="W928" s="161" t="b">
        <f t="array" ref="W928">index(Dropdowns!B:B,match(I928,Dropdowns!A:A,0))</f>
        <v>1</v>
      </c>
      <c r="X928" s="161" t="b">
        <f t="array" ref="X928">index('Query Tool'!B:B,match(D928,'Query Tool'!C:C,0))</f>
        <v>1</v>
      </c>
      <c r="Y928" s="161" t="str">
        <f t="shared" si="6"/>
        <v>adamsjo01,2014-15</v>
      </c>
      <c r="Z928" s="168">
        <f t="array" ref="Z928">iferror(index(I:I,match($A928&amp;","&amp;index('Year Conversion'!$A:$A,match($C928,'Year Conversion'!$B:$B,0)),$Y:$Y,0))-I928,"")</f>
        <v>1</v>
      </c>
      <c r="AA928" s="168">
        <f t="array" ref="AA928">iferror(index(J:J,match($A928&amp;","&amp;index('Year Conversion'!$A:$A,match($C928,'Year Conversion'!$B:$B,0)),$Y:$Y,0))-J928,"")</f>
        <v>0.4447923898</v>
      </c>
      <c r="AB928" s="168">
        <f t="array" ref="AB928">iferror(index(K:K,match($A928&amp;","&amp;index('Year Conversion'!$A:$A,match($C928,'Year Conversion'!$B:$B,0)),$Y:$Y,0))-K928,"")</f>
        <v>0.2820769938</v>
      </c>
      <c r="AC928" s="168" t="str">
        <f t="shared" si="7"/>
        <v>MEM,2014-15</v>
      </c>
    </row>
    <row r="929">
      <c r="A929" s="161" t="str">
        <f>IFERROR(__xludf.DUMMYFUNCTION("""COMPUTED_VALUE"""),"earlycl01")</f>
        <v>earlycl01</v>
      </c>
      <c r="B929" s="161" t="str">
        <f>IFERROR(__xludf.DUMMYFUNCTION("""COMPUTED_VALUE"""),"Cleanthony Early")</f>
        <v>Cleanthony Early</v>
      </c>
      <c r="C929" s="162" t="str">
        <f>IFERROR(__xludf.DUMMYFUNCTION("""COMPUTED_VALUE"""),"2014-15")</f>
        <v>2014-15</v>
      </c>
      <c r="D929" s="163" t="str">
        <f>IFERROR(__xludf.DUMMYFUNCTION("""COMPUTED_VALUE"""),"NYK")</f>
        <v>NYK</v>
      </c>
      <c r="E929" s="164" t="str">
        <f>IFERROR(__xludf.DUMMYFUNCTION("""COMPUTED_VALUE"""),"Stationary Shooter")</f>
        <v>Stationary Shooter</v>
      </c>
      <c r="F929" s="164">
        <f>IFERROR(__xludf.DUMMYFUNCTION("""COMPUTED_VALUE"""),647.045)</f>
        <v>647.045</v>
      </c>
      <c r="G929" s="163">
        <f>IFERROR(__xludf.DUMMYFUNCTION("""COMPUTED_VALUE"""),39.0)</f>
        <v>39</v>
      </c>
      <c r="H929" s="163" t="str">
        <f>IFERROR(__xludf.DUMMYFUNCTION("""COMPUTED_VALUE"""),"SF")</f>
        <v>SF</v>
      </c>
      <c r="I929" s="163">
        <f>IFERROR(__xludf.DUMMYFUNCTION("""COMPUTED_VALUE"""),23.0)</f>
        <v>23</v>
      </c>
      <c r="J929" s="165">
        <f>IFERROR(__xludf.DUMMYFUNCTION("""COMPUTED_VALUE"""),-2.04597151625647)</f>
        <v>-2.045971516</v>
      </c>
      <c r="K929" s="165">
        <f>IFERROR(__xludf.DUMMYFUNCTION("""COMPUTED_VALUE"""),-1.97747038739066)</f>
        <v>-1.977470387</v>
      </c>
      <c r="L929" s="165">
        <f>IFERROR(__xludf.DUMMYFUNCTION("""COMPUTED_VALUE"""),-0.0685011288658057)</f>
        <v>-0.06850112887</v>
      </c>
      <c r="M929" s="166">
        <f t="shared" si="2"/>
        <v>0.1101654017</v>
      </c>
      <c r="N929" s="167">
        <f t="shared" si="3"/>
        <v>16.59089744</v>
      </c>
      <c r="O929" s="163">
        <f t="shared" ref="O929:Q929" si="933">rank(I929,I:I)</f>
        <v>2765</v>
      </c>
      <c r="P929" s="163">
        <f t="shared" si="933"/>
        <v>3513</v>
      </c>
      <c r="Q929" s="163">
        <f t="shared" si="933"/>
        <v>3703</v>
      </c>
      <c r="R929" s="163">
        <f>IFERROR(__xludf.DUMMYFUNCTION("RANK(M929,filter(M:M,C:C=C929))"),375.0)</f>
        <v>375</v>
      </c>
      <c r="S929" s="161" t="b">
        <f t="shared" si="5"/>
        <v>0</v>
      </c>
      <c r="T929" s="161" t="b">
        <f t="array" ref="T929">index('Query Tool'!B:B,match(H929,'Query Tool'!C:C,0))</f>
        <v>1</v>
      </c>
      <c r="U929" s="161" t="b">
        <f t="array" ref="U929">index('Query Tool'!B:B,match(C929,'Query Tool'!C:C,0))</f>
        <v>0</v>
      </c>
      <c r="V929" s="161" t="b">
        <f>F929&gt;='Query Tool'!C$32</f>
        <v>1</v>
      </c>
      <c r="W929" s="161" t="b">
        <f t="array" ref="W929">index(Dropdowns!B:B,match(I929,Dropdowns!A:A,0))</f>
        <v>1</v>
      </c>
      <c r="X929" s="161" t="b">
        <f t="array" ref="X929">index('Query Tool'!B:B,match(D929,'Query Tool'!C:C,0))</f>
        <v>1</v>
      </c>
      <c r="Y929" s="161" t="str">
        <f t="shared" si="6"/>
        <v>earlycl01,2014-15</v>
      </c>
      <c r="Z929" s="168">
        <f t="array" ref="Z929">iferror(index(I:I,match($A929&amp;","&amp;index('Year Conversion'!$A:$A,match($C929,'Year Conversion'!$B:$B,0)),$Y:$Y,0))-I929,"")</f>
        <v>1</v>
      </c>
      <c r="AA929" s="168">
        <f t="array" ref="AA929">iferror(index(J:J,match($A929&amp;","&amp;index('Year Conversion'!$A:$A,match($C929,'Year Conversion'!$B:$B,0)),$Y:$Y,0))-J929,"")</f>
        <v>0.8586080684</v>
      </c>
      <c r="AB929" s="168">
        <f t="array" ref="AB929">iferror(index(K:K,match($A929&amp;","&amp;index('Year Conversion'!$A:$A,match($C929,'Year Conversion'!$B:$B,0)),$Y:$Y,0))-K929,"")</f>
        <v>0.9415750734</v>
      </c>
      <c r="AC929" s="168" t="str">
        <f t="shared" si="7"/>
        <v>NYK,2014-15</v>
      </c>
    </row>
    <row r="930">
      <c r="A930" s="161" t="str">
        <f>IFERROR(__xludf.DUMMYFUNCTION("""COMPUTED_VALUE"""),"robingl02")</f>
        <v>robingl02</v>
      </c>
      <c r="B930" s="161" t="str">
        <f>IFERROR(__xludf.DUMMYFUNCTION("""COMPUTED_VALUE"""),"Glenn Robinson III")</f>
        <v>Glenn Robinson III</v>
      </c>
      <c r="C930" s="162" t="str">
        <f>IFERROR(__xludf.DUMMYFUNCTION("""COMPUTED_VALUE"""),"2014-15")</f>
        <v>2014-15</v>
      </c>
      <c r="D930" s="163" t="str">
        <f>IFERROR(__xludf.DUMMYFUNCTION("""COMPUTED_VALUE"""),"TOT")</f>
        <v>TOT</v>
      </c>
      <c r="E930" s="164" t="str">
        <f>IFERROR(__xludf.DUMMYFUNCTION("""COMPUTED_VALUE"""),"Movement Shooter")</f>
        <v>Movement Shooter</v>
      </c>
      <c r="F930" s="164">
        <f>IFERROR(__xludf.DUMMYFUNCTION("""COMPUTED_VALUE"""),260.771666666667)</f>
        <v>260.7716667</v>
      </c>
      <c r="G930" s="163">
        <f>IFERROR(__xludf.DUMMYFUNCTION("""COMPUTED_VALUE"""),35.0)</f>
        <v>35</v>
      </c>
      <c r="H930" s="163" t="str">
        <f>IFERROR(__xludf.DUMMYFUNCTION("""COMPUTED_VALUE"""),"SG-SF")</f>
        <v>SG-SF</v>
      </c>
      <c r="I930" s="163">
        <f>IFERROR(__xludf.DUMMYFUNCTION("""COMPUTED_VALUE"""),21.0)</f>
        <v>21</v>
      </c>
      <c r="J930" s="165">
        <f>IFERROR(__xludf.DUMMYFUNCTION("""COMPUTED_VALUE"""),-0.164262707411957)</f>
        <v>-0.1642627074</v>
      </c>
      <c r="K930" s="165">
        <f>IFERROR(__xludf.DUMMYFUNCTION("""COMPUTED_VALUE"""),0.392255716913082)</f>
        <v>0.3922557169</v>
      </c>
      <c r="L930" s="165">
        <f>IFERROR(__xludf.DUMMYFUNCTION("""COMPUTED_VALUE"""),-0.556518424325039)</f>
        <v>-0.5565184243</v>
      </c>
      <c r="M930" s="166">
        <f t="shared" si="2"/>
        <v>0.3731451074</v>
      </c>
      <c r="N930" s="167">
        <f t="shared" si="3"/>
        <v>7.450619048</v>
      </c>
      <c r="O930" s="163">
        <f t="shared" ref="O930:Q930" si="934">rank(I930,I:I)</f>
        <v>3528</v>
      </c>
      <c r="P930" s="163">
        <f t="shared" si="934"/>
        <v>1462</v>
      </c>
      <c r="Q930" s="163">
        <f t="shared" si="934"/>
        <v>838</v>
      </c>
      <c r="R930" s="163">
        <f>IFERROR(__xludf.DUMMYFUNCTION("RANK(M930,filter(M:M,C:C=C930))"),300.0)</f>
        <v>300</v>
      </c>
      <c r="S930" s="161" t="b">
        <f t="shared" si="5"/>
        <v>0</v>
      </c>
      <c r="T930" s="161" t="str">
        <f t="array" ref="T930">index('Query Tool'!B:B,match(H930,'Query Tool'!C:C,0))</f>
        <v>#N/A</v>
      </c>
      <c r="U930" s="161" t="b">
        <f t="array" ref="U930">index('Query Tool'!B:B,match(C930,'Query Tool'!C:C,0))</f>
        <v>0</v>
      </c>
      <c r="V930" s="161" t="b">
        <f>F930&gt;='Query Tool'!C$32</f>
        <v>0</v>
      </c>
      <c r="W930" s="161" t="b">
        <f t="array" ref="W930">index(Dropdowns!B:B,match(I930,Dropdowns!A:A,0))</f>
        <v>1</v>
      </c>
      <c r="X930" s="161" t="b">
        <f t="array" ref="X930">index('Query Tool'!B:B,match(D930,'Query Tool'!C:C,0))</f>
        <v>1</v>
      </c>
      <c r="Y930" s="161" t="str">
        <f t="shared" si="6"/>
        <v>robingl02,2014-15</v>
      </c>
      <c r="Z930" s="168">
        <f t="array" ref="Z930">iferror(index(I:I,match($A930&amp;","&amp;index('Year Conversion'!$A:$A,match($C930,'Year Conversion'!$B:$B,0)),$Y:$Y,0))-I930,"")</f>
        <v>1</v>
      </c>
      <c r="AA930" s="168">
        <f t="array" ref="AA930">iferror(index(J:J,match($A930&amp;","&amp;index('Year Conversion'!$A:$A,match($C930,'Year Conversion'!$B:$B,0)),$Y:$Y,0))-J930,"")</f>
        <v>-0.9758304158</v>
      </c>
      <c r="AB930" s="168">
        <f t="array" ref="AB930">iferror(index(K:K,match($A930&amp;","&amp;index('Year Conversion'!$A:$A,match($C930,'Year Conversion'!$B:$B,0)),$Y:$Y,0))-K930,"")</f>
        <v>-1.624309685</v>
      </c>
      <c r="AC930" s="168" t="str">
        <f t="shared" si="7"/>
        <v>TOT,2014-15</v>
      </c>
    </row>
    <row r="931">
      <c r="A931" s="161" t="str">
        <f>IFERROR(__xludf.DUMMYFUNCTION("""COMPUTED_VALUE"""),"youngja01")</f>
        <v>youngja01</v>
      </c>
      <c r="B931" s="161" t="str">
        <f>IFERROR(__xludf.DUMMYFUNCTION("""COMPUTED_VALUE"""),"James Young")</f>
        <v>James Young</v>
      </c>
      <c r="C931" s="162" t="str">
        <f>IFERROR(__xludf.DUMMYFUNCTION("""COMPUTED_VALUE"""),"2014-15")</f>
        <v>2014-15</v>
      </c>
      <c r="D931" s="163" t="str">
        <f>IFERROR(__xludf.DUMMYFUNCTION("""COMPUTED_VALUE"""),"BOS")</f>
        <v>BOS</v>
      </c>
      <c r="E931" s="164" t="str">
        <f>IFERROR(__xludf.DUMMYFUNCTION("""COMPUTED_VALUE"""),"Stationary Shooter")</f>
        <v>Stationary Shooter</v>
      </c>
      <c r="F931" s="164">
        <f>IFERROR(__xludf.DUMMYFUNCTION("""COMPUTED_VALUE"""),332.075)</f>
        <v>332.075</v>
      </c>
      <c r="G931" s="163">
        <f>IFERROR(__xludf.DUMMYFUNCTION("""COMPUTED_VALUE"""),31.0)</f>
        <v>31</v>
      </c>
      <c r="H931" s="163" t="str">
        <f>IFERROR(__xludf.DUMMYFUNCTION("""COMPUTED_VALUE"""),"SG")</f>
        <v>SG</v>
      </c>
      <c r="I931" s="163">
        <f>IFERROR(__xludf.DUMMYFUNCTION("""COMPUTED_VALUE"""),19.0)</f>
        <v>19</v>
      </c>
      <c r="J931" s="165">
        <f>IFERROR(__xludf.DUMMYFUNCTION("""COMPUTED_VALUE"""),-1.63809663046858)</f>
        <v>-1.63809663</v>
      </c>
      <c r="K931" s="165">
        <f>IFERROR(__xludf.DUMMYFUNCTION("""COMPUTED_VALUE"""),-0.304252787306081)</f>
        <v>-0.3042527873</v>
      </c>
      <c r="L931" s="165">
        <f>IFERROR(__xludf.DUMMYFUNCTION("""COMPUTED_VALUE"""),-1.3338438431625)</f>
        <v>-1.333843843</v>
      </c>
      <c r="M931" s="166">
        <f t="shared" si="2"/>
        <v>0.1465703022</v>
      </c>
      <c r="N931" s="167">
        <f t="shared" si="3"/>
        <v>10.71209677</v>
      </c>
      <c r="O931" s="163">
        <f t="shared" ref="O931:Q931" si="935">rank(I931,I:I)</f>
        <v>3945</v>
      </c>
      <c r="P931" s="163">
        <f t="shared" si="935"/>
        <v>3184</v>
      </c>
      <c r="Q931" s="163">
        <f t="shared" si="935"/>
        <v>1767</v>
      </c>
      <c r="R931" s="163">
        <f>IFERROR(__xludf.DUMMYFUNCTION("RANK(M931,filter(M:M,C:C=C931))"),354.0)</f>
        <v>354</v>
      </c>
      <c r="S931" s="161" t="b">
        <f t="shared" si="5"/>
        <v>0</v>
      </c>
      <c r="T931" s="161" t="b">
        <f t="array" ref="T931">index('Query Tool'!B:B,match(H931,'Query Tool'!C:C,0))</f>
        <v>1</v>
      </c>
      <c r="U931" s="161" t="b">
        <f t="array" ref="U931">index('Query Tool'!B:B,match(C931,'Query Tool'!C:C,0))</f>
        <v>0</v>
      </c>
      <c r="V931" s="161" t="b">
        <f>F931&gt;='Query Tool'!C$32</f>
        <v>0</v>
      </c>
      <c r="W931" s="161" t="b">
        <f t="array" ref="W931">index(Dropdowns!B:B,match(I931,Dropdowns!A:A,0))</f>
        <v>1</v>
      </c>
      <c r="X931" s="161" t="b">
        <f t="array" ref="X931">index('Query Tool'!B:B,match(D931,'Query Tool'!C:C,0))</f>
        <v>1</v>
      </c>
      <c r="Y931" s="161" t="str">
        <f t="shared" si="6"/>
        <v>youngja01,2014-15</v>
      </c>
      <c r="Z931" s="168">
        <f t="array" ref="Z931">iferror(index(I:I,match($A931&amp;","&amp;index('Year Conversion'!$A:$A,match($C931,'Year Conversion'!$B:$B,0)),$Y:$Y,0))-I931,"")</f>
        <v>1</v>
      </c>
      <c r="AA931" s="168">
        <f t="array" ref="AA931">iferror(index(J:J,match($A931&amp;","&amp;index('Year Conversion'!$A:$A,match($C931,'Year Conversion'!$B:$B,0)),$Y:$Y,0))-J931,"")</f>
        <v>-0.06870153836</v>
      </c>
      <c r="AB931" s="168">
        <f t="array" ref="AB931">iferror(index(K:K,match($A931&amp;","&amp;index('Year Conversion'!$A:$A,match($C931,'Year Conversion'!$B:$B,0)),$Y:$Y,0))-K931,"")</f>
        <v>-0.7748010808</v>
      </c>
      <c r="AC931" s="168" t="str">
        <f t="shared" si="7"/>
        <v>BOS,2014-15</v>
      </c>
    </row>
    <row r="932">
      <c r="A932" s="161" t="str">
        <f>IFERROR(__xludf.DUMMYFUNCTION("""COMPUTED_VALUE"""),"grantje01")</f>
        <v>grantje01</v>
      </c>
      <c r="B932" s="161" t="str">
        <f>IFERROR(__xludf.DUMMYFUNCTION("""COMPUTED_VALUE"""),"Jerami Grant")</f>
        <v>Jerami Grant</v>
      </c>
      <c r="C932" s="162" t="str">
        <f>IFERROR(__xludf.DUMMYFUNCTION("""COMPUTED_VALUE"""),"2014-15")</f>
        <v>2014-15</v>
      </c>
      <c r="D932" s="163" t="str">
        <f>IFERROR(__xludf.DUMMYFUNCTION("""COMPUTED_VALUE"""),"PHI")</f>
        <v>PHI</v>
      </c>
      <c r="E932" s="164" t="str">
        <f>IFERROR(__xludf.DUMMYFUNCTION("""COMPUTED_VALUE"""),"Stationary Shooter")</f>
        <v>Stationary Shooter</v>
      </c>
      <c r="F932" s="164">
        <f>IFERROR(__xludf.DUMMYFUNCTION("""COMPUTED_VALUE"""),1376.54833333333)</f>
        <v>1376.548333</v>
      </c>
      <c r="G932" s="163">
        <f>IFERROR(__xludf.DUMMYFUNCTION("""COMPUTED_VALUE"""),65.0)</f>
        <v>65</v>
      </c>
      <c r="H932" s="163" t="str">
        <f>IFERROR(__xludf.DUMMYFUNCTION("""COMPUTED_VALUE"""),"SF")</f>
        <v>SF</v>
      </c>
      <c r="I932" s="163">
        <f>IFERROR(__xludf.DUMMYFUNCTION("""COMPUTED_VALUE"""),20.0)</f>
        <v>20</v>
      </c>
      <c r="J932" s="165">
        <f>IFERROR(__xludf.DUMMYFUNCTION("""COMPUTED_VALUE"""),-1.64766402242987)</f>
        <v>-1.647664022</v>
      </c>
      <c r="K932" s="165">
        <f>IFERROR(__xludf.DUMMYFUNCTION("""COMPUTED_VALUE"""),-2.09701822341593)</f>
        <v>-2.097018223</v>
      </c>
      <c r="L932" s="165">
        <f>IFERROR(__xludf.DUMMYFUNCTION("""COMPUTED_VALUE"""),0.449354200986057)</f>
        <v>0.449354201</v>
      </c>
      <c r="M932" s="166">
        <f t="shared" si="2"/>
        <v>0.5987969872</v>
      </c>
      <c r="N932" s="167">
        <f t="shared" si="3"/>
        <v>21.17766667</v>
      </c>
      <c r="O932" s="163">
        <f t="shared" ref="O932:Q932" si="936">rank(I932,I:I)</f>
        <v>3770</v>
      </c>
      <c r="P932" s="163">
        <f t="shared" si="936"/>
        <v>3195</v>
      </c>
      <c r="Q932" s="163">
        <f t="shared" si="936"/>
        <v>3763</v>
      </c>
      <c r="R932" s="163">
        <f>IFERROR(__xludf.DUMMYFUNCTION("RANK(M932,filter(M:M,C:C=C932))"),273.0)</f>
        <v>273</v>
      </c>
      <c r="S932" s="161" t="b">
        <f t="shared" si="5"/>
        <v>0</v>
      </c>
      <c r="T932" s="161" t="b">
        <f t="array" ref="T932">index('Query Tool'!B:B,match(H932,'Query Tool'!C:C,0))</f>
        <v>1</v>
      </c>
      <c r="U932" s="161" t="b">
        <f t="array" ref="U932">index('Query Tool'!B:B,match(C932,'Query Tool'!C:C,0))</f>
        <v>0</v>
      </c>
      <c r="V932" s="161" t="b">
        <f>F932&gt;='Query Tool'!C$32</f>
        <v>1</v>
      </c>
      <c r="W932" s="161" t="b">
        <f t="array" ref="W932">index(Dropdowns!B:B,match(I932,Dropdowns!A:A,0))</f>
        <v>1</v>
      </c>
      <c r="X932" s="161" t="b">
        <f t="array" ref="X932">index('Query Tool'!B:B,match(D932,'Query Tool'!C:C,0))</f>
        <v>1</v>
      </c>
      <c r="Y932" s="161" t="str">
        <f t="shared" si="6"/>
        <v>grantje01,2014-15</v>
      </c>
      <c r="Z932" s="168">
        <f t="array" ref="Z932">iferror(index(I:I,match($A932&amp;","&amp;index('Year Conversion'!$A:$A,match($C932,'Year Conversion'!$B:$B,0)),$Y:$Y,0))-I932,"")</f>
        <v>1</v>
      </c>
      <c r="AA932" s="168">
        <f t="array" ref="AA932">iferror(index(J:J,match($A932&amp;","&amp;index('Year Conversion'!$A:$A,match($C932,'Year Conversion'!$B:$B,0)),$Y:$Y,0))-J932,"")</f>
        <v>-0.3840249493</v>
      </c>
      <c r="AB932" s="168">
        <f t="array" ref="AB932">iferror(index(K:K,match($A932&amp;","&amp;index('Year Conversion'!$A:$A,match($C932,'Year Conversion'!$B:$B,0)),$Y:$Y,0))-K932,"")</f>
        <v>-0.1413980556</v>
      </c>
      <c r="AC932" s="168" t="str">
        <f t="shared" si="7"/>
        <v>PHI,2014-15</v>
      </c>
    </row>
    <row r="933">
      <c r="A933" s="161" t="str">
        <f>IFERROR(__xludf.DUMMYFUNCTION("""COMPUTED_VALUE"""),"harrijo01")</f>
        <v>harrijo01</v>
      </c>
      <c r="B933" s="161" t="str">
        <f>IFERROR(__xludf.DUMMYFUNCTION("""COMPUTED_VALUE"""),"Joe Harris")</f>
        <v>Joe Harris</v>
      </c>
      <c r="C933" s="162" t="str">
        <f>IFERROR(__xludf.DUMMYFUNCTION("""COMPUTED_VALUE"""),"2014-15")</f>
        <v>2014-15</v>
      </c>
      <c r="D933" s="163" t="str">
        <f>IFERROR(__xludf.DUMMYFUNCTION("""COMPUTED_VALUE"""),"CLE")</f>
        <v>CLE</v>
      </c>
      <c r="E933" s="164" t="str">
        <f>IFERROR(__xludf.DUMMYFUNCTION("""COMPUTED_VALUE"""),"Stationary Shooter")</f>
        <v>Stationary Shooter</v>
      </c>
      <c r="F933" s="164">
        <f>IFERROR(__xludf.DUMMYFUNCTION("""COMPUTED_VALUE"""),492.99)</f>
        <v>492.99</v>
      </c>
      <c r="G933" s="163">
        <f>IFERROR(__xludf.DUMMYFUNCTION("""COMPUTED_VALUE"""),51.0)</f>
        <v>51</v>
      </c>
      <c r="H933" s="163" t="str">
        <f>IFERROR(__xludf.DUMMYFUNCTION("""COMPUTED_VALUE"""),"SG")</f>
        <v>SG</v>
      </c>
      <c r="I933" s="163">
        <f>IFERROR(__xludf.DUMMYFUNCTION("""COMPUTED_VALUE"""),23.0)</f>
        <v>23</v>
      </c>
      <c r="J933" s="165">
        <f>IFERROR(__xludf.DUMMYFUNCTION("""COMPUTED_VALUE"""),-3.79971983532598)</f>
        <v>-3.799719835</v>
      </c>
      <c r="K933" s="165">
        <f>IFERROR(__xludf.DUMMYFUNCTION("""COMPUTED_VALUE"""),-1.89795977513206)</f>
        <v>-1.897959775</v>
      </c>
      <c r="L933" s="165">
        <f>IFERROR(__xludf.DUMMYFUNCTION("""COMPUTED_VALUE"""),-1.90176006019391)</f>
        <v>-1.90176006</v>
      </c>
      <c r="M933" s="166">
        <f t="shared" si="2"/>
        <v>-0.4781460149</v>
      </c>
      <c r="N933" s="167">
        <f t="shared" si="3"/>
        <v>9.666470588</v>
      </c>
      <c r="O933" s="163">
        <f t="shared" ref="O933:Q933" si="937">rank(I933,I:I)</f>
        <v>2765</v>
      </c>
      <c r="P933" s="163">
        <f t="shared" si="937"/>
        <v>3990</v>
      </c>
      <c r="Q933" s="163">
        <f t="shared" si="937"/>
        <v>3643</v>
      </c>
      <c r="R933" s="163">
        <f>IFERROR(__xludf.DUMMYFUNCTION("RANK(M933,filter(M:M,C:C=C933))"),480.0)</f>
        <v>480</v>
      </c>
      <c r="S933" s="161" t="b">
        <f t="shared" si="5"/>
        <v>0</v>
      </c>
      <c r="T933" s="161" t="b">
        <f t="array" ref="T933">index('Query Tool'!B:B,match(H933,'Query Tool'!C:C,0))</f>
        <v>1</v>
      </c>
      <c r="U933" s="161" t="b">
        <f t="array" ref="U933">index('Query Tool'!B:B,match(C933,'Query Tool'!C:C,0))</f>
        <v>0</v>
      </c>
      <c r="V933" s="161" t="b">
        <f>F933&gt;='Query Tool'!C$32</f>
        <v>0</v>
      </c>
      <c r="W933" s="161" t="b">
        <f t="array" ref="W933">index(Dropdowns!B:B,match(I933,Dropdowns!A:A,0))</f>
        <v>1</v>
      </c>
      <c r="X933" s="161" t="b">
        <f t="array" ref="X933">index('Query Tool'!B:B,match(D933,'Query Tool'!C:C,0))</f>
        <v>1</v>
      </c>
      <c r="Y933" s="161" t="str">
        <f t="shared" si="6"/>
        <v>harrijo01,2014-15</v>
      </c>
      <c r="Z933" s="168">
        <f t="array" ref="Z933">iferror(index(I:I,match($A933&amp;","&amp;index('Year Conversion'!$A:$A,match($C933,'Year Conversion'!$B:$B,0)),$Y:$Y,0))-I933,"")</f>
        <v>1</v>
      </c>
      <c r="AA933" s="168">
        <f t="array" ref="AA933">iferror(index(J:J,match($A933&amp;","&amp;index('Year Conversion'!$A:$A,match($C933,'Year Conversion'!$B:$B,0)),$Y:$Y,0))-J933,"")</f>
        <v>2.929991197</v>
      </c>
      <c r="AB933" s="168">
        <f t="array" ref="AB933">iferror(index(K:K,match($A933&amp;","&amp;index('Year Conversion'!$A:$A,match($C933,'Year Conversion'!$B:$B,0)),$Y:$Y,0))-K933,"")</f>
        <v>1.508431438</v>
      </c>
      <c r="AC933" s="168" t="str">
        <f t="shared" si="7"/>
        <v>CLE,2014-15</v>
      </c>
    </row>
    <row r="934">
      <c r="A934" s="161" t="str">
        <f>IFERROR(__xludf.DUMMYFUNCTION("""COMPUTED_VALUE"""),"mcderdo01")</f>
        <v>mcderdo01</v>
      </c>
      <c r="B934" s="161" t="str">
        <f>IFERROR(__xludf.DUMMYFUNCTION("""COMPUTED_VALUE"""),"Doug McDermott")</f>
        <v>Doug McDermott</v>
      </c>
      <c r="C934" s="162" t="str">
        <f>IFERROR(__xludf.DUMMYFUNCTION("""COMPUTED_VALUE"""),"2014-15")</f>
        <v>2014-15</v>
      </c>
      <c r="D934" s="163" t="str">
        <f>IFERROR(__xludf.DUMMYFUNCTION("""COMPUTED_VALUE"""),"CHI")</f>
        <v>CHI</v>
      </c>
      <c r="E934" s="164" t="str">
        <f>IFERROR(__xludf.DUMMYFUNCTION("""COMPUTED_VALUE"""),"Movement Shooter")</f>
        <v>Movement Shooter</v>
      </c>
      <c r="F934" s="164">
        <f>IFERROR(__xludf.DUMMYFUNCTION("""COMPUTED_VALUE"""),320.833333333333)</f>
        <v>320.8333333</v>
      </c>
      <c r="G934" s="163">
        <f>IFERROR(__xludf.DUMMYFUNCTION("""COMPUTED_VALUE"""),36.0)</f>
        <v>36</v>
      </c>
      <c r="H934" s="163" t="str">
        <f>IFERROR(__xludf.DUMMYFUNCTION("""COMPUTED_VALUE"""),"SF")</f>
        <v>SF</v>
      </c>
      <c r="I934" s="163">
        <f>IFERROR(__xludf.DUMMYFUNCTION("""COMPUTED_VALUE"""),23.0)</f>
        <v>23</v>
      </c>
      <c r="J934" s="165">
        <f>IFERROR(__xludf.DUMMYFUNCTION("""COMPUTED_VALUE"""),-3.82629256990583)</f>
        <v>-3.82629257</v>
      </c>
      <c r="K934" s="165">
        <f>IFERROR(__xludf.DUMMYFUNCTION("""COMPUTED_VALUE"""),-2.23760139647231)</f>
        <v>-2.237601396</v>
      </c>
      <c r="L934" s="165">
        <f>IFERROR(__xludf.DUMMYFUNCTION("""COMPUTED_VALUE"""),-1.58869117343352)</f>
        <v>-1.588691173</v>
      </c>
      <c r="M934" s="166">
        <f t="shared" si="2"/>
        <v>-0.3165860543</v>
      </c>
      <c r="N934" s="167">
        <f t="shared" si="3"/>
        <v>8.912037037</v>
      </c>
      <c r="O934" s="163">
        <f t="shared" ref="O934:Q934" si="938">rank(I934,I:I)</f>
        <v>2765</v>
      </c>
      <c r="P934" s="163">
        <f t="shared" si="938"/>
        <v>3992</v>
      </c>
      <c r="Q934" s="163">
        <f t="shared" si="938"/>
        <v>3814</v>
      </c>
      <c r="R934" s="163">
        <f>IFERROR(__xludf.DUMMYFUNCTION("RANK(M934,filter(M:M,C:C=C934))"),473.0)</f>
        <v>473</v>
      </c>
      <c r="S934" s="161" t="b">
        <f t="shared" si="5"/>
        <v>0</v>
      </c>
      <c r="T934" s="161" t="b">
        <f t="array" ref="T934">index('Query Tool'!B:B,match(H934,'Query Tool'!C:C,0))</f>
        <v>1</v>
      </c>
      <c r="U934" s="161" t="b">
        <f t="array" ref="U934">index('Query Tool'!B:B,match(C934,'Query Tool'!C:C,0))</f>
        <v>0</v>
      </c>
      <c r="V934" s="161" t="b">
        <f>F934&gt;='Query Tool'!C$32</f>
        <v>0</v>
      </c>
      <c r="W934" s="161" t="b">
        <f t="array" ref="W934">index(Dropdowns!B:B,match(I934,Dropdowns!A:A,0))</f>
        <v>1</v>
      </c>
      <c r="X934" s="161" t="b">
        <f t="array" ref="X934">index('Query Tool'!B:B,match(D934,'Query Tool'!C:C,0))</f>
        <v>1</v>
      </c>
      <c r="Y934" s="161" t="str">
        <f t="shared" si="6"/>
        <v>mcderdo01,2014-15</v>
      </c>
      <c r="Z934" s="168">
        <f t="array" ref="Z934">iferror(index(I:I,match($A934&amp;","&amp;index('Year Conversion'!$A:$A,match($C934,'Year Conversion'!$B:$B,0)),$Y:$Y,0))-I934,"")</f>
        <v>1</v>
      </c>
      <c r="AA934" s="168">
        <f t="array" ref="AA934">iferror(index(J:J,match($A934&amp;","&amp;index('Year Conversion'!$A:$A,match($C934,'Year Conversion'!$B:$B,0)),$Y:$Y,0))-J934,"")</f>
        <v>0.6893992094</v>
      </c>
      <c r="AB934" s="168">
        <f t="array" ref="AB934">iferror(index(K:K,match($A934&amp;","&amp;index('Year Conversion'!$A:$A,match($C934,'Year Conversion'!$B:$B,0)),$Y:$Y,0))-K934,"")</f>
        <v>0.8504041556</v>
      </c>
      <c r="AC934" s="168" t="str">
        <f t="shared" si="7"/>
        <v>CHI,2014-15</v>
      </c>
    </row>
    <row r="935">
      <c r="A935" s="161" t="str">
        <f>IFERROR(__xludf.DUMMYFUNCTION("""COMPUTED_VALUE"""),"jeffeco01")</f>
        <v>jeffeco01</v>
      </c>
      <c r="B935" s="161" t="str">
        <f>IFERROR(__xludf.DUMMYFUNCTION("""COMPUTED_VALUE"""),"Cory Jefferson")</f>
        <v>Cory Jefferson</v>
      </c>
      <c r="C935" s="162" t="str">
        <f>IFERROR(__xludf.DUMMYFUNCTION("""COMPUTED_VALUE"""),"2014-15")</f>
        <v>2014-15</v>
      </c>
      <c r="D935" s="163" t="str">
        <f>IFERROR(__xludf.DUMMYFUNCTION("""COMPUTED_VALUE"""),"BRK")</f>
        <v>BRK</v>
      </c>
      <c r="E935" s="164" t="str">
        <f>IFERROR(__xludf.DUMMYFUNCTION("""COMPUTED_VALUE"""),"Roll + Cut Big")</f>
        <v>Roll + Cut Big</v>
      </c>
      <c r="F935" s="164">
        <f>IFERROR(__xludf.DUMMYFUNCTION("""COMPUTED_VALUE"""),531.158333333333)</f>
        <v>531.1583333</v>
      </c>
      <c r="G935" s="163">
        <f>IFERROR(__xludf.DUMMYFUNCTION("""COMPUTED_VALUE"""),50.0)</f>
        <v>50</v>
      </c>
      <c r="H935" s="163" t="str">
        <f>IFERROR(__xludf.DUMMYFUNCTION("""COMPUTED_VALUE"""),"PF")</f>
        <v>PF</v>
      </c>
      <c r="I935" s="163">
        <f>IFERROR(__xludf.DUMMYFUNCTION("""COMPUTED_VALUE"""),24.0)</f>
        <v>24</v>
      </c>
      <c r="J935" s="165">
        <f>IFERROR(__xludf.DUMMYFUNCTION("""COMPUTED_VALUE"""),0.364919675246865)</f>
        <v>0.3649196752</v>
      </c>
      <c r="K935" s="165">
        <f>IFERROR(__xludf.DUMMYFUNCTION("""COMPUTED_VALUE"""),-0.680525893104903)</f>
        <v>-0.6805258931</v>
      </c>
      <c r="L935" s="165">
        <f>IFERROR(__xludf.DUMMYFUNCTION("""COMPUTED_VALUE"""),1.04544556835177)</f>
        <v>1.045445568</v>
      </c>
      <c r="M935" s="166">
        <f t="shared" si="2"/>
        <v>0.9495232253</v>
      </c>
      <c r="N935" s="167">
        <f t="shared" si="3"/>
        <v>10.62316667</v>
      </c>
      <c r="O935" s="163">
        <f t="shared" ref="O935:Q935" si="939">rank(I935,I:I)</f>
        <v>2361</v>
      </c>
      <c r="P935" s="163">
        <f t="shared" si="939"/>
        <v>975</v>
      </c>
      <c r="Q935" s="163">
        <f t="shared" si="939"/>
        <v>2389</v>
      </c>
      <c r="R935" s="163">
        <f>IFERROR(__xludf.DUMMYFUNCTION("RANK(M935,filter(M:M,C:C=C935))"),237.0)</f>
        <v>237</v>
      </c>
      <c r="S935" s="161" t="b">
        <f t="shared" si="5"/>
        <v>0</v>
      </c>
      <c r="T935" s="161" t="b">
        <f t="array" ref="T935">index('Query Tool'!B:B,match(H935,'Query Tool'!C:C,0))</f>
        <v>1</v>
      </c>
      <c r="U935" s="161" t="b">
        <f t="array" ref="U935">index('Query Tool'!B:B,match(C935,'Query Tool'!C:C,0))</f>
        <v>0</v>
      </c>
      <c r="V935" s="161" t="b">
        <f>F935&gt;='Query Tool'!C$32</f>
        <v>1</v>
      </c>
      <c r="W935" s="161" t="b">
        <f t="array" ref="W935">index(Dropdowns!B:B,match(I935,Dropdowns!A:A,0))</f>
        <v>1</v>
      </c>
      <c r="X935" s="161" t="b">
        <f t="array" ref="X935">index('Query Tool'!B:B,match(D935,'Query Tool'!C:C,0))</f>
        <v>1</v>
      </c>
      <c r="Y935" s="161" t="str">
        <f t="shared" si="6"/>
        <v>jeffeco01,2014-15</v>
      </c>
      <c r="Z935" s="168">
        <f t="array" ref="Z935">iferror(index(I:I,match($A935&amp;","&amp;index('Year Conversion'!$A:$A,match($C935,'Year Conversion'!$B:$B,0)),$Y:$Y,0))-I935,"")</f>
        <v>1</v>
      </c>
      <c r="AA935" s="168">
        <f t="array" ref="AA935">iferror(index(J:J,match($A935&amp;","&amp;index('Year Conversion'!$A:$A,match($C935,'Year Conversion'!$B:$B,0)),$Y:$Y,0))-J935,"")</f>
        <v>-0.1001261575</v>
      </c>
      <c r="AB935" s="168">
        <f t="array" ref="AB935">iferror(index(K:K,match($A935&amp;","&amp;index('Year Conversion'!$A:$A,match($C935,'Year Conversion'!$B:$B,0)),$Y:$Y,0))-K935,"")</f>
        <v>0.5127002003</v>
      </c>
      <c r="AC935" s="168" t="str">
        <f t="shared" si="7"/>
        <v>BRK,2014-15</v>
      </c>
    </row>
    <row r="936">
      <c r="A936" s="161" t="str">
        <f>IFERROR(__xludf.DUMMYFUNCTION("""COMPUTED_VALUE"""),"kilpase01")</f>
        <v>kilpase01</v>
      </c>
      <c r="B936" s="161" t="str">
        <f>IFERROR(__xludf.DUMMYFUNCTION("""COMPUTED_VALUE"""),"Sean Kilpatrick")</f>
        <v>Sean Kilpatrick</v>
      </c>
      <c r="C936" s="162" t="str">
        <f>IFERROR(__xludf.DUMMYFUNCTION("""COMPUTED_VALUE"""),"2014-15")</f>
        <v>2014-15</v>
      </c>
      <c r="D936" s="163" t="str">
        <f>IFERROR(__xludf.DUMMYFUNCTION("""COMPUTED_VALUE"""),"MIN")</f>
        <v>MIN</v>
      </c>
      <c r="E936" s="164" t="str">
        <f>IFERROR(__xludf.DUMMYFUNCTION("""COMPUTED_VALUE"""),"Stationary Shooter")</f>
        <v>Stationary Shooter</v>
      </c>
      <c r="F936" s="164">
        <f>IFERROR(__xludf.DUMMYFUNCTION("""COMPUTED_VALUE"""),71.515)</f>
        <v>71.515</v>
      </c>
      <c r="G936" s="163">
        <f>IFERROR(__xludf.DUMMYFUNCTION("""COMPUTED_VALUE"""),4.0)</f>
        <v>4</v>
      </c>
      <c r="H936" s="163" t="str">
        <f>IFERROR(__xludf.DUMMYFUNCTION("""COMPUTED_VALUE"""),"SG")</f>
        <v>SG</v>
      </c>
      <c r="I936" s="163">
        <f>IFERROR(__xludf.DUMMYFUNCTION("""COMPUTED_VALUE"""),25.0)</f>
        <v>25</v>
      </c>
      <c r="J936" s="165">
        <f>IFERROR(__xludf.DUMMYFUNCTION("""COMPUTED_VALUE"""),-0.275662324424433)</f>
        <v>-0.2756623244</v>
      </c>
      <c r="K936" s="165">
        <f>IFERROR(__xludf.DUMMYFUNCTION("""COMPUTED_VALUE"""),-0.102842821526258)</f>
        <v>-0.1028428215</v>
      </c>
      <c r="L936" s="165">
        <f>IFERROR(__xludf.DUMMYFUNCTION("""COMPUTED_VALUE"""),-0.172819502898175)</f>
        <v>-0.1728195029</v>
      </c>
      <c r="M936" s="166">
        <f t="shared" si="2"/>
        <v>0.0969627225</v>
      </c>
      <c r="N936" s="167">
        <f t="shared" si="3"/>
        <v>17.87875</v>
      </c>
      <c r="O936" s="163">
        <f t="shared" ref="O936:Q936" si="940">rank(I936,I:I)</f>
        <v>1995</v>
      </c>
      <c r="P936" s="163">
        <f t="shared" si="940"/>
        <v>1585</v>
      </c>
      <c r="Q936" s="163">
        <f t="shared" si="940"/>
        <v>1370</v>
      </c>
      <c r="R936" s="163">
        <f>IFERROR(__xludf.DUMMYFUNCTION("RANK(M936,filter(M:M,C:C=C936))"),383.0)</f>
        <v>383</v>
      </c>
      <c r="S936" s="161" t="b">
        <f t="shared" si="5"/>
        <v>0</v>
      </c>
      <c r="T936" s="161" t="b">
        <f t="array" ref="T936">index('Query Tool'!B:B,match(H936,'Query Tool'!C:C,0))</f>
        <v>1</v>
      </c>
      <c r="U936" s="161" t="b">
        <f t="array" ref="U936">index('Query Tool'!B:B,match(C936,'Query Tool'!C:C,0))</f>
        <v>0</v>
      </c>
      <c r="V936" s="161" t="b">
        <f>F936&gt;='Query Tool'!C$32</f>
        <v>0</v>
      </c>
      <c r="W936" s="161" t="b">
        <f t="array" ref="W936">index(Dropdowns!B:B,match(I936,Dropdowns!A:A,0))</f>
        <v>1</v>
      </c>
      <c r="X936" s="161" t="b">
        <f t="array" ref="X936">index('Query Tool'!B:B,match(D936,'Query Tool'!C:C,0))</f>
        <v>1</v>
      </c>
      <c r="Y936" s="161" t="str">
        <f t="shared" si="6"/>
        <v>kilpase01,2014-15</v>
      </c>
      <c r="Z936" s="168">
        <f t="array" ref="Z936">iferror(index(I:I,match($A936&amp;","&amp;index('Year Conversion'!$A:$A,match($C936,'Year Conversion'!$B:$B,0)),$Y:$Y,0))-I936,"")</f>
        <v>1</v>
      </c>
      <c r="AA936" s="168">
        <f t="array" ref="AA936">iferror(index(J:J,match($A936&amp;","&amp;index('Year Conversion'!$A:$A,match($C936,'Year Conversion'!$B:$B,0)),$Y:$Y,0))-J936,"")</f>
        <v>-1.691813703</v>
      </c>
      <c r="AB936" s="168">
        <f t="array" ref="AB936">iferror(index(K:K,match($A936&amp;","&amp;index('Year Conversion'!$A:$A,match($C936,'Year Conversion'!$B:$B,0)),$Y:$Y,0))-K936,"")</f>
        <v>1.128168432</v>
      </c>
      <c r="AC936" s="168" t="str">
        <f t="shared" si="7"/>
        <v>MIN,2014-15</v>
      </c>
    </row>
    <row r="937">
      <c r="A937" s="161" t="str">
        <f>IFERROR(__xludf.DUMMYFUNCTION("""COMPUTED_VALUE"""),"gordoaa01")</f>
        <v>gordoaa01</v>
      </c>
      <c r="B937" s="161" t="str">
        <f>IFERROR(__xludf.DUMMYFUNCTION("""COMPUTED_VALUE"""),"Aaron Gordon")</f>
        <v>Aaron Gordon</v>
      </c>
      <c r="C937" s="162" t="str">
        <f>IFERROR(__xludf.DUMMYFUNCTION("""COMPUTED_VALUE"""),"2014-15")</f>
        <v>2014-15</v>
      </c>
      <c r="D937" s="163" t="str">
        <f>IFERROR(__xludf.DUMMYFUNCTION("""COMPUTED_VALUE"""),"ORL")</f>
        <v>ORL</v>
      </c>
      <c r="E937" s="164" t="str">
        <f>IFERROR(__xludf.DUMMYFUNCTION("""COMPUTED_VALUE"""),"Roll + Cut Big")</f>
        <v>Roll + Cut Big</v>
      </c>
      <c r="F937" s="164">
        <f>IFERROR(__xludf.DUMMYFUNCTION("""COMPUTED_VALUE"""),796.925)</f>
        <v>796.925</v>
      </c>
      <c r="G937" s="163">
        <f>IFERROR(__xludf.DUMMYFUNCTION("""COMPUTED_VALUE"""),47.0)</f>
        <v>47</v>
      </c>
      <c r="H937" s="163" t="str">
        <f>IFERROR(__xludf.DUMMYFUNCTION("""COMPUTED_VALUE"""),"PF")</f>
        <v>PF</v>
      </c>
      <c r="I937" s="163">
        <f>IFERROR(__xludf.DUMMYFUNCTION("""COMPUTED_VALUE"""),19.0)</f>
        <v>19</v>
      </c>
      <c r="J937" s="165">
        <f>IFERROR(__xludf.DUMMYFUNCTION("""COMPUTED_VALUE"""),-1.06290562581179)</f>
        <v>-1.062905626</v>
      </c>
      <c r="K937" s="165">
        <f>IFERROR(__xludf.DUMMYFUNCTION("""COMPUTED_VALUE"""),-1.41555051977107)</f>
        <v>-1.41555052</v>
      </c>
      <c r="L937" s="165">
        <f>IFERROR(__xludf.DUMMYFUNCTION("""COMPUTED_VALUE"""),0.352644893959274)</f>
        <v>0.352644894</v>
      </c>
      <c r="M937" s="166">
        <f t="shared" si="2"/>
        <v>0.6584107312</v>
      </c>
      <c r="N937" s="167">
        <f t="shared" si="3"/>
        <v>16.95585106</v>
      </c>
      <c r="O937" s="163">
        <f t="shared" ref="O937:Q937" si="941">rank(I937,I:I)</f>
        <v>3945</v>
      </c>
      <c r="P937" s="163">
        <f t="shared" si="941"/>
        <v>2568</v>
      </c>
      <c r="Q937" s="163">
        <f t="shared" si="941"/>
        <v>3265</v>
      </c>
      <c r="R937" s="163">
        <f>IFERROR(__xludf.DUMMYFUNCTION("RANK(M937,filter(M:M,C:C=C937))"),268.0)</f>
        <v>268</v>
      </c>
      <c r="S937" s="161" t="b">
        <f t="shared" si="5"/>
        <v>0</v>
      </c>
      <c r="T937" s="161" t="b">
        <f t="array" ref="T937">index('Query Tool'!B:B,match(H937,'Query Tool'!C:C,0))</f>
        <v>1</v>
      </c>
      <c r="U937" s="161" t="b">
        <f t="array" ref="U937">index('Query Tool'!B:B,match(C937,'Query Tool'!C:C,0))</f>
        <v>0</v>
      </c>
      <c r="V937" s="161" t="b">
        <f>F937&gt;='Query Tool'!C$32</f>
        <v>1</v>
      </c>
      <c r="W937" s="161" t="b">
        <f t="array" ref="W937">index(Dropdowns!B:B,match(I937,Dropdowns!A:A,0))</f>
        <v>1</v>
      </c>
      <c r="X937" s="161" t="b">
        <f t="array" ref="X937">index('Query Tool'!B:B,match(D937,'Query Tool'!C:C,0))</f>
        <v>1</v>
      </c>
      <c r="Y937" s="161" t="str">
        <f t="shared" si="6"/>
        <v>gordoaa01,2014-15</v>
      </c>
      <c r="Z937" s="168">
        <f t="array" ref="Z937">iferror(index(I:I,match($A937&amp;","&amp;index('Year Conversion'!$A:$A,match($C937,'Year Conversion'!$B:$B,0)),$Y:$Y,0))-I937,"")</f>
        <v>1</v>
      </c>
      <c r="AA937" s="168">
        <f t="array" ref="AA937">iferror(index(J:J,match($A937&amp;","&amp;index('Year Conversion'!$A:$A,match($C937,'Year Conversion'!$B:$B,0)),$Y:$Y,0))-J937,"")</f>
        <v>2.376203217</v>
      </c>
      <c r="AB937" s="168">
        <f t="array" ref="AB937">iferror(index(K:K,match($A937&amp;","&amp;index('Year Conversion'!$A:$A,match($C937,'Year Conversion'!$B:$B,0)),$Y:$Y,0))-K937,"")</f>
        <v>2.094556157</v>
      </c>
      <c r="AC937" s="168" t="str">
        <f t="shared" si="7"/>
        <v>ORL,2014-15</v>
      </c>
    </row>
    <row r="938">
      <c r="A938" s="161" t="str">
        <f>IFERROR(__xludf.DUMMYFUNCTION("""COMPUTED_VALUE"""),"warretj01")</f>
        <v>warretj01</v>
      </c>
      <c r="B938" s="161" t="str">
        <f>IFERROR(__xludf.DUMMYFUNCTION("""COMPUTED_VALUE"""),"T.J. Warren")</f>
        <v>T.J. Warren</v>
      </c>
      <c r="C938" s="162" t="str">
        <f>IFERROR(__xludf.DUMMYFUNCTION("""COMPUTED_VALUE"""),"2014-15")</f>
        <v>2014-15</v>
      </c>
      <c r="D938" s="163" t="str">
        <f>IFERROR(__xludf.DUMMYFUNCTION("""COMPUTED_VALUE"""),"PHO")</f>
        <v>PHO</v>
      </c>
      <c r="E938" s="164" t="str">
        <f>IFERROR(__xludf.DUMMYFUNCTION("""COMPUTED_VALUE"""),"Roll + Cut Big")</f>
        <v>Roll + Cut Big</v>
      </c>
      <c r="F938" s="164">
        <f>IFERROR(__xludf.DUMMYFUNCTION("""COMPUTED_VALUE"""),614.13)</f>
        <v>614.13</v>
      </c>
      <c r="G938" s="163">
        <f>IFERROR(__xludf.DUMMYFUNCTION("""COMPUTED_VALUE"""),40.0)</f>
        <v>40</v>
      </c>
      <c r="H938" s="163" t="str">
        <f>IFERROR(__xludf.DUMMYFUNCTION("""COMPUTED_VALUE"""),"SF")</f>
        <v>SF</v>
      </c>
      <c r="I938" s="163">
        <f>IFERROR(__xludf.DUMMYFUNCTION("""COMPUTED_VALUE"""),21.0)</f>
        <v>21</v>
      </c>
      <c r="J938" s="165">
        <f>IFERROR(__xludf.DUMMYFUNCTION("""COMPUTED_VALUE"""),-1.92910716715449)</f>
        <v>-1.929107167</v>
      </c>
      <c r="K938" s="165">
        <f>IFERROR(__xludf.DUMMYFUNCTION("""COMPUTED_VALUE"""),-1.00215071030804)</f>
        <v>-1.00215071</v>
      </c>
      <c r="L938" s="165">
        <f>IFERROR(__xludf.DUMMYFUNCTION("""COMPUTED_VALUE"""),-0.926956456846442)</f>
        <v>-0.9269564568</v>
      </c>
      <c r="M938" s="166">
        <f t="shared" si="2"/>
        <v>0.1521596906</v>
      </c>
      <c r="N938" s="167">
        <f t="shared" si="3"/>
        <v>15.35325</v>
      </c>
      <c r="O938" s="163">
        <f t="shared" ref="O938:Q938" si="942">rank(I938,I:I)</f>
        <v>3528</v>
      </c>
      <c r="P938" s="163">
        <f t="shared" si="942"/>
        <v>3432</v>
      </c>
      <c r="Q938" s="163">
        <f t="shared" si="942"/>
        <v>2806</v>
      </c>
      <c r="R938" s="163">
        <f>IFERROR(__xludf.DUMMYFUNCTION("RANK(M938,filter(M:M,C:C=C938))"),352.0)</f>
        <v>352</v>
      </c>
      <c r="S938" s="161" t="b">
        <f t="shared" si="5"/>
        <v>0</v>
      </c>
      <c r="T938" s="161" t="b">
        <f t="array" ref="T938">index('Query Tool'!B:B,match(H938,'Query Tool'!C:C,0))</f>
        <v>1</v>
      </c>
      <c r="U938" s="161" t="b">
        <f t="array" ref="U938">index('Query Tool'!B:B,match(C938,'Query Tool'!C:C,0))</f>
        <v>0</v>
      </c>
      <c r="V938" s="161" t="b">
        <f>F938&gt;='Query Tool'!C$32</f>
        <v>1</v>
      </c>
      <c r="W938" s="161" t="b">
        <f t="array" ref="W938">index(Dropdowns!B:B,match(I938,Dropdowns!A:A,0))</f>
        <v>1</v>
      </c>
      <c r="X938" s="161" t="b">
        <f t="array" ref="X938">index('Query Tool'!B:B,match(D938,'Query Tool'!C:C,0))</f>
        <v>1</v>
      </c>
      <c r="Y938" s="161" t="str">
        <f t="shared" si="6"/>
        <v>warretj01,2014-15</v>
      </c>
      <c r="Z938" s="168">
        <f t="array" ref="Z938">iferror(index(I:I,match($A938&amp;","&amp;index('Year Conversion'!$A:$A,match($C938,'Year Conversion'!$B:$B,0)),$Y:$Y,0))-I938,"")</f>
        <v>1</v>
      </c>
      <c r="AA938" s="168">
        <f t="array" ref="AA938">iferror(index(J:J,match($A938&amp;","&amp;index('Year Conversion'!$A:$A,match($C938,'Year Conversion'!$B:$B,0)),$Y:$Y,0))-J938,"")</f>
        <v>-0.1880492015</v>
      </c>
      <c r="AB938" s="168">
        <f t="array" ref="AB938">iferror(index(K:K,match($A938&amp;","&amp;index('Year Conversion'!$A:$A,match($C938,'Year Conversion'!$B:$B,0)),$Y:$Y,0))-K938,"")</f>
        <v>0.07952603029</v>
      </c>
      <c r="AC938" s="168" t="str">
        <f t="shared" si="7"/>
        <v>PHO,2014-15</v>
      </c>
    </row>
    <row r="939">
      <c r="A939" s="161" t="str">
        <f>IFERROR(__xludf.DUMMYFUNCTION("""COMPUTED_VALUE"""),"smartma01")</f>
        <v>smartma01</v>
      </c>
      <c r="B939" s="161" t="str">
        <f>IFERROR(__xludf.DUMMYFUNCTION("""COMPUTED_VALUE"""),"Marcus Smart")</f>
        <v>Marcus Smart</v>
      </c>
      <c r="C939" s="162" t="str">
        <f>IFERROR(__xludf.DUMMYFUNCTION("""COMPUTED_VALUE"""),"2014-15")</f>
        <v>2014-15</v>
      </c>
      <c r="D939" s="163" t="str">
        <f>IFERROR(__xludf.DUMMYFUNCTION("""COMPUTED_VALUE"""),"BOS")</f>
        <v>BOS</v>
      </c>
      <c r="E939" s="164" t="str">
        <f>IFERROR(__xludf.DUMMYFUNCTION("""COMPUTED_VALUE"""),"Primary Ball Handler")</f>
        <v>Primary Ball Handler</v>
      </c>
      <c r="F939" s="164">
        <f>IFERROR(__xludf.DUMMYFUNCTION("""COMPUTED_VALUE"""),1808.22666666667)</f>
        <v>1808.226667</v>
      </c>
      <c r="G939" s="163">
        <f>IFERROR(__xludf.DUMMYFUNCTION("""COMPUTED_VALUE"""),67.0)</f>
        <v>67</v>
      </c>
      <c r="H939" s="163" t="str">
        <f>IFERROR(__xludf.DUMMYFUNCTION("""COMPUTED_VALUE"""),"PG")</f>
        <v>PG</v>
      </c>
      <c r="I939" s="163">
        <f>IFERROR(__xludf.DUMMYFUNCTION("""COMPUTED_VALUE"""),20.0)</f>
        <v>20</v>
      </c>
      <c r="J939" s="165">
        <f>IFERROR(__xludf.DUMMYFUNCTION("""COMPUTED_VALUE"""),1.19259356561358)</f>
        <v>1.192593566</v>
      </c>
      <c r="K939" s="165">
        <f>IFERROR(__xludf.DUMMYFUNCTION("""COMPUTED_VALUE"""),0.358756167018665)</f>
        <v>0.358756167</v>
      </c>
      <c r="L939" s="165">
        <f>IFERROR(__xludf.DUMMYFUNCTION("""COMPUTED_VALUE"""),0.833837398594919)</f>
        <v>0.8338373986</v>
      </c>
      <c r="M939" s="166">
        <f t="shared" si="2"/>
        <v>4.238693494</v>
      </c>
      <c r="N939" s="167">
        <f t="shared" si="3"/>
        <v>26.98845771</v>
      </c>
      <c r="O939" s="163">
        <f t="shared" ref="O939:Q939" si="943">rank(I939,I:I)</f>
        <v>3770</v>
      </c>
      <c r="P939" s="163">
        <f t="shared" si="943"/>
        <v>575</v>
      </c>
      <c r="Q939" s="163">
        <f t="shared" si="943"/>
        <v>861</v>
      </c>
      <c r="R939" s="163">
        <f>IFERROR(__xludf.DUMMYFUNCTION("RANK(M939,filter(M:M,C:C=C939))"),79.0)</f>
        <v>79</v>
      </c>
      <c r="S939" s="161" t="b">
        <f t="shared" si="5"/>
        <v>0</v>
      </c>
      <c r="T939" s="161" t="b">
        <f t="array" ref="T939">index('Query Tool'!B:B,match(H939,'Query Tool'!C:C,0))</f>
        <v>1</v>
      </c>
      <c r="U939" s="161" t="b">
        <f t="array" ref="U939">index('Query Tool'!B:B,match(C939,'Query Tool'!C:C,0))</f>
        <v>0</v>
      </c>
      <c r="V939" s="161" t="b">
        <f>F939&gt;='Query Tool'!C$32</f>
        <v>1</v>
      </c>
      <c r="W939" s="161" t="b">
        <f t="array" ref="W939">index(Dropdowns!B:B,match(I939,Dropdowns!A:A,0))</f>
        <v>1</v>
      </c>
      <c r="X939" s="161" t="b">
        <f t="array" ref="X939">index('Query Tool'!B:B,match(D939,'Query Tool'!C:C,0))</f>
        <v>1</v>
      </c>
      <c r="Y939" s="161" t="str">
        <f t="shared" si="6"/>
        <v>smartma01,2014-15</v>
      </c>
      <c r="Z939" s="168">
        <f t="array" ref="Z939">iferror(index(I:I,match($A939&amp;","&amp;index('Year Conversion'!$A:$A,match($C939,'Year Conversion'!$B:$B,0)),$Y:$Y,0))-I939,"")</f>
        <v>1</v>
      </c>
      <c r="AA939" s="168">
        <f t="array" ref="AA939">iferror(index(J:J,match($A939&amp;","&amp;index('Year Conversion'!$A:$A,match($C939,'Year Conversion'!$B:$B,0)),$Y:$Y,0))-J939,"")</f>
        <v>-0.9958212255</v>
      </c>
      <c r="AB939" s="168">
        <f t="array" ref="AB939">iferror(index(K:K,match($A939&amp;","&amp;index('Year Conversion'!$A:$A,match($C939,'Year Conversion'!$B:$B,0)),$Y:$Y,0))-K939,"")</f>
        <v>-0.6842065471</v>
      </c>
      <c r="AC939" s="168" t="str">
        <f t="shared" si="7"/>
        <v>BOS,2014-15</v>
      </c>
    </row>
    <row r="940">
      <c r="A940" s="161" t="str">
        <f>IFERROR(__xludf.DUMMYFUNCTION("""COMPUTED_VALUE"""),"anderky01")</f>
        <v>anderky01</v>
      </c>
      <c r="B940" s="161" t="str">
        <f>IFERROR(__xludf.DUMMYFUNCTION("""COMPUTED_VALUE"""),"Kyle Anderson")</f>
        <v>Kyle Anderson</v>
      </c>
      <c r="C940" s="162" t="str">
        <f>IFERROR(__xludf.DUMMYFUNCTION("""COMPUTED_VALUE"""),"2014-15")</f>
        <v>2014-15</v>
      </c>
      <c r="D940" s="163" t="str">
        <f>IFERROR(__xludf.DUMMYFUNCTION("""COMPUTED_VALUE"""),"SAS")</f>
        <v>SAS</v>
      </c>
      <c r="E940" s="164" t="str">
        <f>IFERROR(__xludf.DUMMYFUNCTION("""COMPUTED_VALUE"""),"Slasher")</f>
        <v>Slasher</v>
      </c>
      <c r="F940" s="164">
        <f>IFERROR(__xludf.DUMMYFUNCTION("""COMPUTED_VALUE"""),358.08)</f>
        <v>358.08</v>
      </c>
      <c r="G940" s="163">
        <f>IFERROR(__xludf.DUMMYFUNCTION("""COMPUTED_VALUE"""),33.0)</f>
        <v>33</v>
      </c>
      <c r="H940" s="163" t="str">
        <f>IFERROR(__xludf.DUMMYFUNCTION("""COMPUTED_VALUE"""),"SF")</f>
        <v>SF</v>
      </c>
      <c r="I940" s="163">
        <f>IFERROR(__xludf.DUMMYFUNCTION("""COMPUTED_VALUE"""),21.0)</f>
        <v>21</v>
      </c>
      <c r="J940" s="165">
        <f>IFERROR(__xludf.DUMMYFUNCTION("""COMPUTED_VALUE"""),-1.64021371942094)</f>
        <v>-1.640213719</v>
      </c>
      <c r="K940" s="165">
        <f>IFERROR(__xludf.DUMMYFUNCTION("""COMPUTED_VALUE"""),-2.07654383584509)</f>
        <v>-2.076543836</v>
      </c>
      <c r="L940" s="165">
        <f>IFERROR(__xludf.DUMMYFUNCTION("""COMPUTED_VALUE"""),0.436330116424151)</f>
        <v>0.4363301164</v>
      </c>
      <c r="M940" s="166">
        <f t="shared" si="2"/>
        <v>0.1575428998</v>
      </c>
      <c r="N940" s="167">
        <f t="shared" si="3"/>
        <v>10.85090909</v>
      </c>
      <c r="O940" s="163">
        <f t="shared" ref="O940:Q940" si="944">rank(I940,I:I)</f>
        <v>3528</v>
      </c>
      <c r="P940" s="163">
        <f t="shared" si="944"/>
        <v>3186</v>
      </c>
      <c r="Q940" s="163">
        <f t="shared" si="944"/>
        <v>3748</v>
      </c>
      <c r="R940" s="163">
        <f>IFERROR(__xludf.DUMMYFUNCTION("RANK(M940,filter(M:M,C:C=C940))"),347.0)</f>
        <v>347</v>
      </c>
      <c r="S940" s="161" t="b">
        <f t="shared" si="5"/>
        <v>0</v>
      </c>
      <c r="T940" s="161" t="b">
        <f t="array" ref="T940">index('Query Tool'!B:B,match(H940,'Query Tool'!C:C,0))</f>
        <v>1</v>
      </c>
      <c r="U940" s="161" t="b">
        <f t="array" ref="U940">index('Query Tool'!B:B,match(C940,'Query Tool'!C:C,0))</f>
        <v>0</v>
      </c>
      <c r="V940" s="161" t="b">
        <f>F940&gt;='Query Tool'!C$32</f>
        <v>0</v>
      </c>
      <c r="W940" s="161" t="b">
        <f t="array" ref="W940">index(Dropdowns!B:B,match(I940,Dropdowns!A:A,0))</f>
        <v>1</v>
      </c>
      <c r="X940" s="161" t="b">
        <f t="array" ref="X940">index('Query Tool'!B:B,match(D940,'Query Tool'!C:C,0))</f>
        <v>1</v>
      </c>
      <c r="Y940" s="161" t="str">
        <f t="shared" si="6"/>
        <v>anderky01,2014-15</v>
      </c>
      <c r="Z940" s="168">
        <f t="array" ref="Z940">iferror(index(I:I,match($A940&amp;","&amp;index('Year Conversion'!$A:$A,match($C940,'Year Conversion'!$B:$B,0)),$Y:$Y,0))-I940,"")</f>
        <v>1</v>
      </c>
      <c r="AA940" s="168">
        <f t="array" ref="AA940">iferror(index(J:J,match($A940&amp;","&amp;index('Year Conversion'!$A:$A,match($C940,'Year Conversion'!$B:$B,0)),$Y:$Y,0))-J940,"")</f>
        <v>2.602108664</v>
      </c>
      <c r="AB940" s="168">
        <f t="array" ref="AB940">iferror(index(K:K,match($A940&amp;","&amp;index('Year Conversion'!$A:$A,match($C940,'Year Conversion'!$B:$B,0)),$Y:$Y,0))-K940,"")</f>
        <v>1.560638405</v>
      </c>
      <c r="AC940" s="168" t="str">
        <f t="shared" si="7"/>
        <v>SAS,2014-15</v>
      </c>
    </row>
    <row r="941">
      <c r="A941" s="161" t="str">
        <f>IFERROR(__xludf.DUMMYFUNCTION("""COMPUTED_VALUE"""),"poweldw01")</f>
        <v>poweldw01</v>
      </c>
      <c r="B941" s="161" t="str">
        <f>IFERROR(__xludf.DUMMYFUNCTION("""COMPUTED_VALUE"""),"Dwight Powell")</f>
        <v>Dwight Powell</v>
      </c>
      <c r="C941" s="162" t="str">
        <f>IFERROR(__xludf.DUMMYFUNCTION("""COMPUTED_VALUE"""),"2014-15")</f>
        <v>2014-15</v>
      </c>
      <c r="D941" s="163" t="str">
        <f>IFERROR(__xludf.DUMMYFUNCTION("""COMPUTED_VALUE"""),"TOT")</f>
        <v>TOT</v>
      </c>
      <c r="E941" s="164" t="str">
        <f>IFERROR(__xludf.DUMMYFUNCTION("""COMPUTED_VALUE"""),"Roll + Cut Big")</f>
        <v>Roll + Cut Big</v>
      </c>
      <c r="F941" s="164">
        <f>IFERROR(__xludf.DUMMYFUNCTION("""COMPUTED_VALUE"""),236.351666666667)</f>
        <v>236.3516667</v>
      </c>
      <c r="G941" s="163">
        <f>IFERROR(__xludf.DUMMYFUNCTION("""COMPUTED_VALUE"""),29.0)</f>
        <v>29</v>
      </c>
      <c r="H941" s="163" t="str">
        <f>IFERROR(__xludf.DUMMYFUNCTION("""COMPUTED_VALUE"""),"PF")</f>
        <v>PF</v>
      </c>
      <c r="I941" s="163">
        <f>IFERROR(__xludf.DUMMYFUNCTION("""COMPUTED_VALUE"""),23.0)</f>
        <v>23</v>
      </c>
      <c r="J941" s="165">
        <f>IFERROR(__xludf.DUMMYFUNCTION("""COMPUTED_VALUE"""),-0.858401177926304)</f>
        <v>-0.8584011779</v>
      </c>
      <c r="K941" s="165">
        <f>IFERROR(__xludf.DUMMYFUNCTION("""COMPUTED_VALUE"""),-0.492050042455586)</f>
        <v>-0.4920500425</v>
      </c>
      <c r="L941" s="165">
        <f>IFERROR(__xludf.DUMMYFUNCTION("""COMPUTED_VALUE"""),-0.366351135470718)</f>
        <v>-0.3663511355</v>
      </c>
      <c r="M941" s="166">
        <f t="shared" si="2"/>
        <v>0.2277326316</v>
      </c>
      <c r="N941" s="167">
        <f t="shared" si="3"/>
        <v>8.150057471</v>
      </c>
      <c r="O941" s="163">
        <f t="shared" ref="O941:Q941" si="945">rank(I941,I:I)</f>
        <v>2765</v>
      </c>
      <c r="P941" s="163">
        <f t="shared" si="945"/>
        <v>2353</v>
      </c>
      <c r="Q941" s="163">
        <f t="shared" si="945"/>
        <v>2095</v>
      </c>
      <c r="R941" s="163">
        <f>IFERROR(__xludf.DUMMYFUNCTION("RANK(M941,filter(M:M,C:C=C941))"),326.0)</f>
        <v>326</v>
      </c>
      <c r="S941" s="161" t="b">
        <f t="shared" si="5"/>
        <v>0</v>
      </c>
      <c r="T941" s="161" t="b">
        <f t="array" ref="T941">index('Query Tool'!B:B,match(H941,'Query Tool'!C:C,0))</f>
        <v>1</v>
      </c>
      <c r="U941" s="161" t="b">
        <f t="array" ref="U941">index('Query Tool'!B:B,match(C941,'Query Tool'!C:C,0))</f>
        <v>0</v>
      </c>
      <c r="V941" s="161" t="b">
        <f>F941&gt;='Query Tool'!C$32</f>
        <v>0</v>
      </c>
      <c r="W941" s="161" t="b">
        <f t="array" ref="W941">index(Dropdowns!B:B,match(I941,Dropdowns!A:A,0))</f>
        <v>1</v>
      </c>
      <c r="X941" s="161" t="b">
        <f t="array" ref="X941">index('Query Tool'!B:B,match(D941,'Query Tool'!C:C,0))</f>
        <v>1</v>
      </c>
      <c r="Y941" s="161" t="str">
        <f t="shared" si="6"/>
        <v>poweldw01,2014-15</v>
      </c>
      <c r="Z941" s="168">
        <f t="array" ref="Z941">iferror(index(I:I,match($A941&amp;","&amp;index('Year Conversion'!$A:$A,match($C941,'Year Conversion'!$B:$B,0)),$Y:$Y,0))-I941,"")</f>
        <v>1</v>
      </c>
      <c r="AA941" s="168">
        <f t="array" ref="AA941">iferror(index(J:J,match($A941&amp;","&amp;index('Year Conversion'!$A:$A,match($C941,'Year Conversion'!$B:$B,0)),$Y:$Y,0))-J941,"")</f>
        <v>0.3508495785</v>
      </c>
      <c r="AB941" s="168">
        <f t="array" ref="AB941">iferror(index(K:K,match($A941&amp;","&amp;index('Year Conversion'!$A:$A,match($C941,'Year Conversion'!$B:$B,0)),$Y:$Y,0))-K941,"")</f>
        <v>-0.8973349779</v>
      </c>
      <c r="AC941" s="168" t="str">
        <f t="shared" si="7"/>
        <v>TOT,2014-15</v>
      </c>
    </row>
    <row r="942">
      <c r="A942" s="161" t="str">
        <f>IFERROR(__xludf.DUMMYFUNCTION("""COMPUTED_VALUE"""),"paynead01")</f>
        <v>paynead01</v>
      </c>
      <c r="B942" s="161" t="str">
        <f>IFERROR(__xludf.DUMMYFUNCTION("""COMPUTED_VALUE"""),"Adreian Payne")</f>
        <v>Adreian Payne</v>
      </c>
      <c r="C942" s="162" t="str">
        <f>IFERROR(__xludf.DUMMYFUNCTION("""COMPUTED_VALUE"""),"2014-15")</f>
        <v>2014-15</v>
      </c>
      <c r="D942" s="163" t="str">
        <f>IFERROR(__xludf.DUMMYFUNCTION("""COMPUTED_VALUE"""),"TOT")</f>
        <v>TOT</v>
      </c>
      <c r="E942" s="164" t="str">
        <f>IFERROR(__xludf.DUMMYFUNCTION("""COMPUTED_VALUE"""),"Roll + Cut Big")</f>
        <v>Roll + Cut Big</v>
      </c>
      <c r="F942" s="164">
        <f>IFERROR(__xludf.DUMMYFUNCTION("""COMPUTED_VALUE"""),739.638333333333)</f>
        <v>739.6383333</v>
      </c>
      <c r="G942" s="163">
        <f>IFERROR(__xludf.DUMMYFUNCTION("""COMPUTED_VALUE"""),32.0)</f>
        <v>32</v>
      </c>
      <c r="H942" s="163" t="str">
        <f>IFERROR(__xludf.DUMMYFUNCTION("""COMPUTED_VALUE"""),"PF")</f>
        <v>PF</v>
      </c>
      <c r="I942" s="163">
        <f>IFERROR(__xludf.DUMMYFUNCTION("""COMPUTED_VALUE"""),23.0)</f>
        <v>23</v>
      </c>
      <c r="J942" s="165">
        <f>IFERROR(__xludf.DUMMYFUNCTION("""COMPUTED_VALUE"""),-3.24372498779489)</f>
        <v>-3.243724988</v>
      </c>
      <c r="K942" s="165">
        <f>IFERROR(__xludf.DUMMYFUNCTION("""COMPUTED_VALUE"""),-2.15868645360014)</f>
        <v>-2.158686454</v>
      </c>
      <c r="L942" s="165">
        <f>IFERROR(__xludf.DUMMYFUNCTION("""COMPUTED_VALUE"""),-1.08503853419474)</f>
        <v>-1.085038534</v>
      </c>
      <c r="M942" s="166">
        <f t="shared" si="2"/>
        <v>-0.4539932459</v>
      </c>
      <c r="N942" s="167">
        <f t="shared" si="3"/>
        <v>23.11369792</v>
      </c>
      <c r="O942" s="163">
        <f t="shared" ref="O942:Q942" si="946">rank(I942,I:I)</f>
        <v>2765</v>
      </c>
      <c r="P942" s="163">
        <f t="shared" si="946"/>
        <v>3935</v>
      </c>
      <c r="Q942" s="163">
        <f t="shared" si="946"/>
        <v>3784</v>
      </c>
      <c r="R942" s="163">
        <f>IFERROR(__xludf.DUMMYFUNCTION("RANK(M942,filter(M:M,C:C=C942))"),478.0)</f>
        <v>478</v>
      </c>
      <c r="S942" s="161" t="b">
        <f t="shared" si="5"/>
        <v>0</v>
      </c>
      <c r="T942" s="161" t="b">
        <f t="array" ref="T942">index('Query Tool'!B:B,match(H942,'Query Tool'!C:C,0))</f>
        <v>1</v>
      </c>
      <c r="U942" s="161" t="b">
        <f t="array" ref="U942">index('Query Tool'!B:B,match(C942,'Query Tool'!C:C,0))</f>
        <v>0</v>
      </c>
      <c r="V942" s="161" t="b">
        <f>F942&gt;='Query Tool'!C$32</f>
        <v>1</v>
      </c>
      <c r="W942" s="161" t="b">
        <f t="array" ref="W942">index(Dropdowns!B:B,match(I942,Dropdowns!A:A,0))</f>
        <v>1</v>
      </c>
      <c r="X942" s="161" t="b">
        <f t="array" ref="X942">index('Query Tool'!B:B,match(D942,'Query Tool'!C:C,0))</f>
        <v>1</v>
      </c>
      <c r="Y942" s="161" t="str">
        <f t="shared" si="6"/>
        <v>paynead01,2014-15</v>
      </c>
      <c r="Z942" s="168">
        <f t="array" ref="Z942">iferror(index(I:I,match($A942&amp;","&amp;index('Year Conversion'!$A:$A,match($C942,'Year Conversion'!$B:$B,0)),$Y:$Y,0))-I942,"")</f>
        <v>1</v>
      </c>
      <c r="AA942" s="168">
        <f t="array" ref="AA942">iferror(index(J:J,match($A942&amp;","&amp;index('Year Conversion'!$A:$A,match($C942,'Year Conversion'!$B:$B,0)),$Y:$Y,0))-J942,"")</f>
        <v>0.1756890469</v>
      </c>
      <c r="AB942" s="168">
        <f t="array" ref="AB942">iferror(index(K:K,match($A942&amp;","&amp;index('Year Conversion'!$A:$A,match($C942,'Year Conversion'!$B:$B,0)),$Y:$Y,0))-K942,"")</f>
        <v>-0.2964597433</v>
      </c>
      <c r="AC942" s="168" t="str">
        <f t="shared" si="7"/>
        <v>TOT,2014-15</v>
      </c>
    </row>
    <row r="943">
      <c r="A943" s="161" t="str">
        <f>IFERROR(__xludf.DUMMYFUNCTION("""COMPUTED_VALUE"""),"vonleno01")</f>
        <v>vonleno01</v>
      </c>
      <c r="B943" s="161" t="str">
        <f>IFERROR(__xludf.DUMMYFUNCTION("""COMPUTED_VALUE"""),"Noah Vonleh")</f>
        <v>Noah Vonleh</v>
      </c>
      <c r="C943" s="162" t="str">
        <f>IFERROR(__xludf.DUMMYFUNCTION("""COMPUTED_VALUE"""),"2014-15")</f>
        <v>2014-15</v>
      </c>
      <c r="D943" s="163" t="str">
        <f>IFERROR(__xludf.DUMMYFUNCTION("""COMPUTED_VALUE"""),"CHO")</f>
        <v>CHO</v>
      </c>
      <c r="E943" s="164" t="str">
        <f>IFERROR(__xludf.DUMMYFUNCTION("""COMPUTED_VALUE"""),"Post Scorer")</f>
        <v>Post Scorer</v>
      </c>
      <c r="F943" s="164">
        <f>IFERROR(__xludf.DUMMYFUNCTION("""COMPUTED_VALUE"""),258.516666666667)</f>
        <v>258.5166667</v>
      </c>
      <c r="G943" s="163">
        <f>IFERROR(__xludf.DUMMYFUNCTION("""COMPUTED_VALUE"""),25.0)</f>
        <v>25</v>
      </c>
      <c r="H943" s="163" t="str">
        <f>IFERROR(__xludf.DUMMYFUNCTION("""COMPUTED_VALUE"""),"PF")</f>
        <v>PF</v>
      </c>
      <c r="I943" s="163">
        <f>IFERROR(__xludf.DUMMYFUNCTION("""COMPUTED_VALUE"""),19.0)</f>
        <v>19</v>
      </c>
      <c r="J943" s="165">
        <f>IFERROR(__xludf.DUMMYFUNCTION("""COMPUTED_VALUE"""),-0.323855044551424)</f>
        <v>-0.3238550446</v>
      </c>
      <c r="K943" s="165">
        <f>IFERROR(__xludf.DUMMYFUNCTION("""COMPUTED_VALUE"""),-1.25249063201723)</f>
        <v>-1.252490632</v>
      </c>
      <c r="L943" s="165">
        <f>IFERROR(__xludf.DUMMYFUNCTION("""COMPUTED_VALUE"""),0.928635587465807)</f>
        <v>0.9286355875</v>
      </c>
      <c r="M943" s="166">
        <f t="shared" si="2"/>
        <v>0.3421102801</v>
      </c>
      <c r="N943" s="167">
        <f t="shared" si="3"/>
        <v>10.34066667</v>
      </c>
      <c r="O943" s="163">
        <f t="shared" ref="O943:Q943" si="947">rank(I943,I:I)</f>
        <v>3945</v>
      </c>
      <c r="P943" s="163">
        <f t="shared" si="947"/>
        <v>1645</v>
      </c>
      <c r="Q943" s="163">
        <f t="shared" si="947"/>
        <v>3086</v>
      </c>
      <c r="R943" s="163">
        <f>IFERROR(__xludf.DUMMYFUNCTION("RANK(M943,filter(M:M,C:C=C943))"),304.0)</f>
        <v>304</v>
      </c>
      <c r="S943" s="161" t="b">
        <f t="shared" si="5"/>
        <v>0</v>
      </c>
      <c r="T943" s="161" t="b">
        <f t="array" ref="T943">index('Query Tool'!B:B,match(H943,'Query Tool'!C:C,0))</f>
        <v>1</v>
      </c>
      <c r="U943" s="161" t="b">
        <f t="array" ref="U943">index('Query Tool'!B:B,match(C943,'Query Tool'!C:C,0))</f>
        <v>0</v>
      </c>
      <c r="V943" s="161" t="b">
        <f>F943&gt;='Query Tool'!C$32</f>
        <v>0</v>
      </c>
      <c r="W943" s="161" t="b">
        <f t="array" ref="W943">index(Dropdowns!B:B,match(I943,Dropdowns!A:A,0))</f>
        <v>1</v>
      </c>
      <c r="X943" s="161" t="b">
        <f t="array" ref="X943">index('Query Tool'!B:B,match(D943,'Query Tool'!C:C,0))</f>
        <v>1</v>
      </c>
      <c r="Y943" s="161" t="str">
        <f t="shared" si="6"/>
        <v>vonleno01,2014-15</v>
      </c>
      <c r="Z943" s="168">
        <f t="array" ref="Z943">iferror(index(I:I,match($A943&amp;","&amp;index('Year Conversion'!$A:$A,match($C943,'Year Conversion'!$B:$B,0)),$Y:$Y,0))-I943,"")</f>
        <v>1</v>
      </c>
      <c r="AA943" s="168">
        <f t="array" ref="AA943">iferror(index(J:J,match($A943&amp;","&amp;index('Year Conversion'!$A:$A,match($C943,'Year Conversion'!$B:$B,0)),$Y:$Y,0))-J943,"")</f>
        <v>-2.362366946</v>
      </c>
      <c r="AB943" s="168">
        <f t="array" ref="AB943">iferror(index(K:K,match($A943&amp;","&amp;index('Year Conversion'!$A:$A,match($C943,'Year Conversion'!$B:$B,0)),$Y:$Y,0))-K943,"")</f>
        <v>-1.650210048</v>
      </c>
      <c r="AC943" s="168" t="str">
        <f t="shared" si="7"/>
        <v>CHO,2014-15</v>
      </c>
    </row>
    <row r="944">
      <c r="A944" s="161" t="str">
        <f>IFERROR(__xludf.DUMMYFUNCTION("""COMPUTED_VALUE"""),"randlju01")</f>
        <v>randlju01</v>
      </c>
      <c r="B944" s="161" t="str">
        <f>IFERROR(__xludf.DUMMYFUNCTION("""COMPUTED_VALUE"""),"Julius Randle")</f>
        <v>Julius Randle</v>
      </c>
      <c r="C944" s="162" t="str">
        <f>IFERROR(__xludf.DUMMYFUNCTION("""COMPUTED_VALUE"""),"2014-15")</f>
        <v>2014-15</v>
      </c>
      <c r="D944" s="163" t="str">
        <f>IFERROR(__xludf.DUMMYFUNCTION("""COMPUTED_VALUE"""),"LAL")</f>
        <v>LAL</v>
      </c>
      <c r="E944" s="164" t="str">
        <f>IFERROR(__xludf.DUMMYFUNCTION("""COMPUTED_VALUE"""),"Slasher")</f>
        <v>Slasher</v>
      </c>
      <c r="F944" s="164">
        <f>IFERROR(__xludf.DUMMYFUNCTION("""COMPUTED_VALUE"""),13.5666666666667)</f>
        <v>13.56666667</v>
      </c>
      <c r="G944" s="163">
        <f>IFERROR(__xludf.DUMMYFUNCTION("""COMPUTED_VALUE"""),1.0)</f>
        <v>1</v>
      </c>
      <c r="H944" s="163" t="str">
        <f>IFERROR(__xludf.DUMMYFUNCTION("""COMPUTED_VALUE"""),"PF")</f>
        <v>PF</v>
      </c>
      <c r="I944" s="163">
        <f>IFERROR(__xludf.DUMMYFUNCTION("""COMPUTED_VALUE"""),20.0)</f>
        <v>20</v>
      </c>
      <c r="J944" s="165">
        <f>IFERROR(__xludf.DUMMYFUNCTION("""COMPUTED_VALUE"""),-0.138173273754458)</f>
        <v>-0.1381732738</v>
      </c>
      <c r="K944" s="165">
        <f>IFERROR(__xludf.DUMMYFUNCTION("""COMPUTED_VALUE"""),-0.0799610258806433)</f>
        <v>-0.07996102588</v>
      </c>
      <c r="L944" s="165">
        <f>IFERROR(__xludf.DUMMYFUNCTION("""COMPUTED_VALUE"""),-0.0582122478738145)</f>
        <v>-0.05821224787</v>
      </c>
      <c r="M944" s="166">
        <f t="shared" si="2"/>
        <v>0.01965150827</v>
      </c>
      <c r="N944" s="167">
        <f t="shared" si="3"/>
        <v>13.56666667</v>
      </c>
      <c r="O944" s="163">
        <f t="shared" ref="O944:Q944" si="948">rank(I944,I:I)</f>
        <v>3770</v>
      </c>
      <c r="P944" s="163">
        <f t="shared" si="948"/>
        <v>1421</v>
      </c>
      <c r="Q944" s="163">
        <f t="shared" si="948"/>
        <v>1324</v>
      </c>
      <c r="R944" s="163">
        <f>IFERROR(__xludf.DUMMYFUNCTION("RANK(M944,filter(M:M,C:C=C944))"),426.0)</f>
        <v>426</v>
      </c>
      <c r="S944" s="161" t="b">
        <f t="shared" si="5"/>
        <v>0</v>
      </c>
      <c r="T944" s="161" t="b">
        <f t="array" ref="T944">index('Query Tool'!B:B,match(H944,'Query Tool'!C:C,0))</f>
        <v>1</v>
      </c>
      <c r="U944" s="161" t="b">
        <f t="array" ref="U944">index('Query Tool'!B:B,match(C944,'Query Tool'!C:C,0))</f>
        <v>0</v>
      </c>
      <c r="V944" s="161" t="b">
        <f>F944&gt;='Query Tool'!C$32</f>
        <v>0</v>
      </c>
      <c r="W944" s="161" t="b">
        <f t="array" ref="W944">index(Dropdowns!B:B,match(I944,Dropdowns!A:A,0))</f>
        <v>1</v>
      </c>
      <c r="X944" s="161" t="b">
        <f t="array" ref="X944">index('Query Tool'!B:B,match(D944,'Query Tool'!C:C,0))</f>
        <v>1</v>
      </c>
      <c r="Y944" s="161" t="str">
        <f t="shared" si="6"/>
        <v>randlju01,2014-15</v>
      </c>
      <c r="Z944" s="168">
        <f t="array" ref="Z944">iferror(index(I:I,match($A944&amp;","&amp;index('Year Conversion'!$A:$A,match($C944,'Year Conversion'!$B:$B,0)),$Y:$Y,0))-I944,"")</f>
        <v>1</v>
      </c>
      <c r="AA944" s="168">
        <f t="array" ref="AA944">iferror(index(J:J,match($A944&amp;","&amp;index('Year Conversion'!$A:$A,match($C944,'Year Conversion'!$B:$B,0)),$Y:$Y,0))-J944,"")</f>
        <v>-3.084831229</v>
      </c>
      <c r="AB944" s="168">
        <f t="array" ref="AB944">iferror(index(K:K,match($A944&amp;","&amp;index('Year Conversion'!$A:$A,match($C944,'Year Conversion'!$B:$B,0)),$Y:$Y,0))-K944,"")</f>
        <v>-1.665807985</v>
      </c>
      <c r="AC944" s="168" t="str">
        <f t="shared" si="7"/>
        <v>LAL,2014-15</v>
      </c>
    </row>
    <row r="945">
      <c r="A945" s="161" t="str">
        <f>IFERROR(__xludf.DUMMYFUNCTION("""COMPUTED_VALUE"""),"kirkal01")</f>
        <v>kirkal01</v>
      </c>
      <c r="B945" s="161" t="str">
        <f>IFERROR(__xludf.DUMMYFUNCTION("""COMPUTED_VALUE"""),"Alex Kirk")</f>
        <v>Alex Kirk</v>
      </c>
      <c r="C945" s="162" t="str">
        <f>IFERROR(__xludf.DUMMYFUNCTION("""COMPUTED_VALUE"""),"2014-15")</f>
        <v>2014-15</v>
      </c>
      <c r="D945" s="163" t="str">
        <f>IFERROR(__xludf.DUMMYFUNCTION("""COMPUTED_VALUE"""),"CLE")</f>
        <v>CLE</v>
      </c>
      <c r="E945" s="164" t="str">
        <f>IFERROR(__xludf.DUMMYFUNCTION("""COMPUTED_VALUE"""),"Roll + Cut Big")</f>
        <v>Roll + Cut Big</v>
      </c>
      <c r="F945" s="164">
        <f>IFERROR(__xludf.DUMMYFUNCTION("""COMPUTED_VALUE"""),13.985)</f>
        <v>13.985</v>
      </c>
      <c r="G945" s="163">
        <f>IFERROR(__xludf.DUMMYFUNCTION("""COMPUTED_VALUE"""),5.0)</f>
        <v>5</v>
      </c>
      <c r="H945" s="163" t="str">
        <f>IFERROR(__xludf.DUMMYFUNCTION("""COMPUTED_VALUE"""),"C")</f>
        <v>C</v>
      </c>
      <c r="I945" s="163">
        <f>IFERROR(__xludf.DUMMYFUNCTION("""COMPUTED_VALUE"""),23.0)</f>
        <v>23</v>
      </c>
      <c r="J945" s="165">
        <f>IFERROR(__xludf.DUMMYFUNCTION("""COMPUTED_VALUE"""),-0.997678277882402)</f>
        <v>-0.9976782779</v>
      </c>
      <c r="K945" s="165">
        <f>IFERROR(__xludf.DUMMYFUNCTION("""COMPUTED_VALUE"""),-0.546117275609915)</f>
        <v>-0.5461172756</v>
      </c>
      <c r="L945" s="165">
        <f>IFERROR(__xludf.DUMMYFUNCTION("""COMPUTED_VALUE"""),-0.451561002272488)</f>
        <v>-0.4515610023</v>
      </c>
      <c r="M945" s="166">
        <f t="shared" si="2"/>
        <v>0.01216653965</v>
      </c>
      <c r="N945" s="167">
        <f t="shared" si="3"/>
        <v>2.797</v>
      </c>
      <c r="O945" s="163">
        <f t="shared" ref="O945:Q945" si="949">rank(I945,I:I)</f>
        <v>2765</v>
      </c>
      <c r="P945" s="163">
        <f t="shared" si="949"/>
        <v>2501</v>
      </c>
      <c r="Q945" s="163">
        <f t="shared" si="949"/>
        <v>2184</v>
      </c>
      <c r="R945" s="163">
        <f>IFERROR(__xludf.DUMMYFUNCTION("RANK(M945,filter(M:M,C:C=C945))"),431.0)</f>
        <v>431</v>
      </c>
      <c r="S945" s="161" t="b">
        <f t="shared" si="5"/>
        <v>0</v>
      </c>
      <c r="T945" s="161" t="b">
        <f t="array" ref="T945">index('Query Tool'!B:B,match(H945,'Query Tool'!C:C,0))</f>
        <v>1</v>
      </c>
      <c r="U945" s="161" t="b">
        <f t="array" ref="U945">index('Query Tool'!B:B,match(C945,'Query Tool'!C:C,0))</f>
        <v>0</v>
      </c>
      <c r="V945" s="161" t="b">
        <f>F945&gt;='Query Tool'!C$32</f>
        <v>0</v>
      </c>
      <c r="W945" s="161" t="b">
        <f t="array" ref="W945">index(Dropdowns!B:B,match(I945,Dropdowns!A:A,0))</f>
        <v>1</v>
      </c>
      <c r="X945" s="161" t="b">
        <f t="array" ref="X945">index('Query Tool'!B:B,match(D945,'Query Tool'!C:C,0))</f>
        <v>1</v>
      </c>
      <c r="Y945" s="161" t="str">
        <f t="shared" si="6"/>
        <v>kirkal01,2014-15</v>
      </c>
      <c r="Z945" s="168" t="str">
        <f t="array" ref="Z945">iferror(index(I:I,match($A945&amp;","&amp;index('Year Conversion'!$A:$A,match($C945,'Year Conversion'!$B:$B,0)),$Y:$Y,0))-I945,"")</f>
        <v/>
      </c>
      <c r="AA945" s="168" t="str">
        <f t="array" ref="AA945">iferror(index(J:J,match($A945&amp;","&amp;index('Year Conversion'!$A:$A,match($C945,'Year Conversion'!$B:$B,0)),$Y:$Y,0))-J945,"")</f>
        <v/>
      </c>
      <c r="AB945" s="168" t="str">
        <f t="array" ref="AB945">iferror(index(K:K,match($A945&amp;","&amp;index('Year Conversion'!$A:$A,match($C945,'Year Conversion'!$B:$B,0)),$Y:$Y,0))-K945,"")</f>
        <v/>
      </c>
      <c r="AC945" s="168" t="str">
        <f t="shared" si="7"/>
        <v>CLE,2014-15</v>
      </c>
    </row>
    <row r="946">
      <c r="A946" s="161" t="str">
        <f>IFERROR(__xludf.DUMMYFUNCTION("""COMPUTED_VALUE"""),"bairsca01")</f>
        <v>bairsca01</v>
      </c>
      <c r="B946" s="161" t="str">
        <f>IFERROR(__xludf.DUMMYFUNCTION("""COMPUTED_VALUE"""),"Cameron Bairstow")</f>
        <v>Cameron Bairstow</v>
      </c>
      <c r="C946" s="162" t="str">
        <f>IFERROR(__xludf.DUMMYFUNCTION("""COMPUTED_VALUE"""),"2014-15")</f>
        <v>2014-15</v>
      </c>
      <c r="D946" s="163" t="str">
        <f>IFERROR(__xludf.DUMMYFUNCTION("""COMPUTED_VALUE"""),"CHI")</f>
        <v>CHI</v>
      </c>
      <c r="E946" s="164" t="str">
        <f>IFERROR(__xludf.DUMMYFUNCTION("""COMPUTED_VALUE"""),"Roll + Cut Big")</f>
        <v>Roll + Cut Big</v>
      </c>
      <c r="F946" s="164">
        <f>IFERROR(__xludf.DUMMYFUNCTION("""COMPUTED_VALUE"""),63.5316666666667)</f>
        <v>63.53166667</v>
      </c>
      <c r="G946" s="163">
        <f>IFERROR(__xludf.DUMMYFUNCTION("""COMPUTED_VALUE"""),18.0)</f>
        <v>18</v>
      </c>
      <c r="H946" s="163" t="str">
        <f>IFERROR(__xludf.DUMMYFUNCTION("""COMPUTED_VALUE"""),"PF")</f>
        <v>PF</v>
      </c>
      <c r="I946" s="163">
        <f>IFERROR(__xludf.DUMMYFUNCTION("""COMPUTED_VALUE"""),24.0)</f>
        <v>24</v>
      </c>
      <c r="J946" s="165">
        <f>IFERROR(__xludf.DUMMYFUNCTION("""COMPUTED_VALUE"""),-1.2882550219801)</f>
        <v>-1.288255022</v>
      </c>
      <c r="K946" s="165">
        <f>IFERROR(__xludf.DUMMYFUNCTION("""COMPUTED_VALUE"""),-0.481364554061108)</f>
        <v>-0.4813645541</v>
      </c>
      <c r="L946" s="165">
        <f>IFERROR(__xludf.DUMMYFUNCTION("""COMPUTED_VALUE"""),-0.806890467918995)</f>
        <v>-0.8068904679</v>
      </c>
      <c r="M946" s="166">
        <f t="shared" si="2"/>
        <v>0.04289245922</v>
      </c>
      <c r="N946" s="167">
        <f t="shared" si="3"/>
        <v>3.529537037</v>
      </c>
      <c r="O946" s="163">
        <f t="shared" ref="O946:Q946" si="950">rank(I946,I:I)</f>
        <v>2361</v>
      </c>
      <c r="P946" s="163">
        <f t="shared" si="950"/>
        <v>2850</v>
      </c>
      <c r="Q946" s="163">
        <f t="shared" si="950"/>
        <v>2084</v>
      </c>
      <c r="R946" s="163">
        <f>IFERROR(__xludf.DUMMYFUNCTION("RANK(M946,filter(M:M,C:C=C946))"),414.0)</f>
        <v>414</v>
      </c>
      <c r="S946" s="161" t="b">
        <f t="shared" si="5"/>
        <v>0</v>
      </c>
      <c r="T946" s="161" t="b">
        <f t="array" ref="T946">index('Query Tool'!B:B,match(H946,'Query Tool'!C:C,0))</f>
        <v>1</v>
      </c>
      <c r="U946" s="161" t="b">
        <f t="array" ref="U946">index('Query Tool'!B:B,match(C946,'Query Tool'!C:C,0))</f>
        <v>0</v>
      </c>
      <c r="V946" s="161" t="b">
        <f>F946&gt;='Query Tool'!C$32</f>
        <v>0</v>
      </c>
      <c r="W946" s="161" t="b">
        <f t="array" ref="W946">index(Dropdowns!B:B,match(I946,Dropdowns!A:A,0))</f>
        <v>1</v>
      </c>
      <c r="X946" s="161" t="b">
        <f t="array" ref="X946">index('Query Tool'!B:B,match(D946,'Query Tool'!C:C,0))</f>
        <v>1</v>
      </c>
      <c r="Y946" s="161" t="str">
        <f t="shared" si="6"/>
        <v>bairsca01,2014-15</v>
      </c>
      <c r="Z946" s="168">
        <f t="array" ref="Z946">iferror(index(I:I,match($A946&amp;","&amp;index('Year Conversion'!$A:$A,match($C946,'Year Conversion'!$B:$B,0)),$Y:$Y,0))-I946,"")</f>
        <v>1</v>
      </c>
      <c r="AA946" s="168">
        <f t="array" ref="AA946">iferror(index(J:J,match($A946&amp;","&amp;index('Year Conversion'!$A:$A,match($C946,'Year Conversion'!$B:$B,0)),$Y:$Y,0))-J946,"")</f>
        <v>0.7994876223</v>
      </c>
      <c r="AB946" s="168">
        <f t="array" ref="AB946">iferror(index(K:K,match($A946&amp;","&amp;index('Year Conversion'!$A:$A,match($C946,'Year Conversion'!$B:$B,0)),$Y:$Y,0))-K946,"")</f>
        <v>-0.2562327655</v>
      </c>
      <c r="AC946" s="168" t="str">
        <f t="shared" si="7"/>
        <v>CHI,2014-15</v>
      </c>
    </row>
    <row r="947">
      <c r="A947" s="161" t="str">
        <f>IFERROR(__xludf.DUMMYFUNCTION("""COMPUTED_VALUE"""),"obryajo01")</f>
        <v>obryajo01</v>
      </c>
      <c r="B947" s="161" t="str">
        <f>IFERROR(__xludf.DUMMYFUNCTION("""COMPUTED_VALUE"""),"Johnny O'Bryant III")</f>
        <v>Johnny O'Bryant III</v>
      </c>
      <c r="C947" s="162" t="str">
        <f>IFERROR(__xludf.DUMMYFUNCTION("""COMPUTED_VALUE"""),"2014-15")</f>
        <v>2014-15</v>
      </c>
      <c r="D947" s="163" t="str">
        <f>IFERROR(__xludf.DUMMYFUNCTION("""COMPUTED_VALUE"""),"MIL")</f>
        <v>MIL</v>
      </c>
      <c r="E947" s="164" t="str">
        <f>IFERROR(__xludf.DUMMYFUNCTION("""COMPUTED_VALUE"""),"Roll + Cut Big")</f>
        <v>Roll + Cut Big</v>
      </c>
      <c r="F947" s="164">
        <f>IFERROR(__xludf.DUMMYFUNCTION("""COMPUTED_VALUE"""),367.626666666667)</f>
        <v>367.6266667</v>
      </c>
      <c r="G947" s="163">
        <f>IFERROR(__xludf.DUMMYFUNCTION("""COMPUTED_VALUE"""),34.0)</f>
        <v>34</v>
      </c>
      <c r="H947" s="163" t="str">
        <f>IFERROR(__xludf.DUMMYFUNCTION("""COMPUTED_VALUE"""),"PF")</f>
        <v>PF</v>
      </c>
      <c r="I947" s="163">
        <f>IFERROR(__xludf.DUMMYFUNCTION("""COMPUTED_VALUE"""),21.0)</f>
        <v>21</v>
      </c>
      <c r="J947" s="165">
        <f>IFERROR(__xludf.DUMMYFUNCTION("""COMPUTED_VALUE"""),-4.60537860069507)</f>
        <v>-4.605378601</v>
      </c>
      <c r="K947" s="165">
        <f>IFERROR(__xludf.DUMMYFUNCTION("""COMPUTED_VALUE"""),-3.24751701392134)</f>
        <v>-3.247517014</v>
      </c>
      <c r="L947" s="165">
        <f>IFERROR(__xludf.DUMMYFUNCTION("""COMPUTED_VALUE"""),-1.35786158677372)</f>
        <v>-1.357861587</v>
      </c>
      <c r="M947" s="166">
        <f t="shared" si="2"/>
        <v>-0.5421999592</v>
      </c>
      <c r="N947" s="167">
        <f t="shared" si="3"/>
        <v>10.81254902</v>
      </c>
      <c r="O947" s="163">
        <f t="shared" ref="O947:Q947" si="951">rank(I947,I:I)</f>
        <v>3528</v>
      </c>
      <c r="P947" s="163">
        <f t="shared" si="951"/>
        <v>4011</v>
      </c>
      <c r="Q947" s="163">
        <f t="shared" si="951"/>
        <v>3994</v>
      </c>
      <c r="R947" s="163">
        <f>IFERROR(__xludf.DUMMYFUNCTION("RANK(M947,filter(M:M,C:C=C947))"),482.0)</f>
        <v>482</v>
      </c>
      <c r="S947" s="161" t="b">
        <f t="shared" si="5"/>
        <v>0</v>
      </c>
      <c r="T947" s="161" t="b">
        <f t="array" ref="T947">index('Query Tool'!B:B,match(H947,'Query Tool'!C:C,0))</f>
        <v>1</v>
      </c>
      <c r="U947" s="161" t="b">
        <f t="array" ref="U947">index('Query Tool'!B:B,match(C947,'Query Tool'!C:C,0))</f>
        <v>0</v>
      </c>
      <c r="V947" s="161" t="b">
        <f>F947&gt;='Query Tool'!C$32</f>
        <v>0</v>
      </c>
      <c r="W947" s="161" t="b">
        <f t="array" ref="W947">index(Dropdowns!B:B,match(I947,Dropdowns!A:A,0))</f>
        <v>1</v>
      </c>
      <c r="X947" s="161" t="b">
        <f t="array" ref="X947">index('Query Tool'!B:B,match(D947,'Query Tool'!C:C,0))</f>
        <v>1</v>
      </c>
      <c r="Y947" s="161" t="str">
        <f t="shared" si="6"/>
        <v>obryajo01,2014-15</v>
      </c>
      <c r="Z947" s="168">
        <f t="array" ref="Z947">iferror(index(I:I,match($A947&amp;","&amp;index('Year Conversion'!$A:$A,match($C947,'Year Conversion'!$B:$B,0)),$Y:$Y,0))-I947,"")</f>
        <v>1</v>
      </c>
      <c r="AA947" s="168">
        <f t="array" ref="AA947">iferror(index(J:J,match($A947&amp;","&amp;index('Year Conversion'!$A:$A,match($C947,'Year Conversion'!$B:$B,0)),$Y:$Y,0))-J947,"")</f>
        <v>0.5585403482</v>
      </c>
      <c r="AB947" s="168">
        <f t="array" ref="AB947">iferror(index(K:K,match($A947&amp;","&amp;index('Year Conversion'!$A:$A,match($C947,'Year Conversion'!$B:$B,0)),$Y:$Y,0))-K947,"")</f>
        <v>0.5423820563</v>
      </c>
      <c r="AC947" s="168" t="str">
        <f t="shared" si="7"/>
        <v>MIL,2014-15</v>
      </c>
    </row>
    <row r="948">
      <c r="A948" s="161" t="str">
        <f>IFERROR(__xludf.DUMMYFUNCTION("""COMPUTED_VALUE"""),"mcadoja01")</f>
        <v>mcadoja01</v>
      </c>
      <c r="B948" s="161" t="str">
        <f>IFERROR(__xludf.DUMMYFUNCTION("""COMPUTED_VALUE"""),"James Michael McAdoo")</f>
        <v>James Michael McAdoo</v>
      </c>
      <c r="C948" s="162" t="str">
        <f>IFERROR(__xludf.DUMMYFUNCTION("""COMPUTED_VALUE"""),"2014-15")</f>
        <v>2014-15</v>
      </c>
      <c r="D948" s="163" t="str">
        <f>IFERROR(__xludf.DUMMYFUNCTION("""COMPUTED_VALUE"""),"GSW")</f>
        <v>GSW</v>
      </c>
      <c r="E948" s="164" t="str">
        <f>IFERROR(__xludf.DUMMYFUNCTION("""COMPUTED_VALUE"""),"Roll + Cut Big")</f>
        <v>Roll + Cut Big</v>
      </c>
      <c r="F948" s="164">
        <f>IFERROR(__xludf.DUMMYFUNCTION("""COMPUTED_VALUE"""),137.17)</f>
        <v>137.17</v>
      </c>
      <c r="G948" s="163">
        <f>IFERROR(__xludf.DUMMYFUNCTION("""COMPUTED_VALUE"""),15.0)</f>
        <v>15</v>
      </c>
      <c r="H948" s="163" t="str">
        <f>IFERROR(__xludf.DUMMYFUNCTION("""COMPUTED_VALUE"""),"PF")</f>
        <v>PF</v>
      </c>
      <c r="I948" s="163">
        <f>IFERROR(__xludf.DUMMYFUNCTION("""COMPUTED_VALUE"""),22.0)</f>
        <v>22</v>
      </c>
      <c r="J948" s="165">
        <f>IFERROR(__xludf.DUMMYFUNCTION("""COMPUTED_VALUE"""),-1.1899492872008)</f>
        <v>-1.189949287</v>
      </c>
      <c r="K948" s="165">
        <f>IFERROR(__xludf.DUMMYFUNCTION("""COMPUTED_VALUE"""),-0.472093125737598)</f>
        <v>-0.4720931257</v>
      </c>
      <c r="L948" s="165">
        <f>IFERROR(__xludf.DUMMYFUNCTION("""COMPUTED_VALUE"""),-0.717856161463203)</f>
        <v>-0.7178561615</v>
      </c>
      <c r="M948" s="166">
        <f t="shared" si="2"/>
        <v>0.1016415074</v>
      </c>
      <c r="N948" s="167">
        <f t="shared" si="3"/>
        <v>9.144666667</v>
      </c>
      <c r="O948" s="163">
        <f t="shared" ref="O948:Q948" si="952">rank(I948,I:I)</f>
        <v>3178</v>
      </c>
      <c r="P948" s="163">
        <f t="shared" si="952"/>
        <v>2730</v>
      </c>
      <c r="Q948" s="163">
        <f t="shared" si="952"/>
        <v>2073</v>
      </c>
      <c r="R948" s="163">
        <f>IFERROR(__xludf.DUMMYFUNCTION("RANK(M948,filter(M:M,C:C=C948))"),380.0)</f>
        <v>380</v>
      </c>
      <c r="S948" s="161" t="b">
        <f t="shared" si="5"/>
        <v>0</v>
      </c>
      <c r="T948" s="161" t="b">
        <f t="array" ref="T948">index('Query Tool'!B:B,match(H948,'Query Tool'!C:C,0))</f>
        <v>1</v>
      </c>
      <c r="U948" s="161" t="b">
        <f t="array" ref="U948">index('Query Tool'!B:B,match(C948,'Query Tool'!C:C,0))</f>
        <v>0</v>
      </c>
      <c r="V948" s="161" t="b">
        <f>F948&gt;='Query Tool'!C$32</f>
        <v>0</v>
      </c>
      <c r="W948" s="161" t="b">
        <f t="array" ref="W948">index(Dropdowns!B:B,match(I948,Dropdowns!A:A,0))</f>
        <v>1</v>
      </c>
      <c r="X948" s="161" t="b">
        <f t="array" ref="X948">index('Query Tool'!B:B,match(D948,'Query Tool'!C:C,0))</f>
        <v>1</v>
      </c>
      <c r="Y948" s="161" t="str">
        <f t="shared" si="6"/>
        <v>mcadoja01,2014-15</v>
      </c>
      <c r="Z948" s="168">
        <f t="array" ref="Z948">iferror(index(I:I,match($A948&amp;","&amp;index('Year Conversion'!$A:$A,match($C948,'Year Conversion'!$B:$B,0)),$Y:$Y,0))-I948,"")</f>
        <v>1</v>
      </c>
      <c r="AA948" s="168">
        <f t="array" ref="AA948">iferror(index(J:J,match($A948&amp;","&amp;index('Year Conversion'!$A:$A,match($C948,'Year Conversion'!$B:$B,0)),$Y:$Y,0))-J948,"")</f>
        <v>-1.894909553</v>
      </c>
      <c r="AB948" s="168">
        <f t="array" ref="AB948">iferror(index(K:K,match($A948&amp;","&amp;index('Year Conversion'!$A:$A,match($C948,'Year Conversion'!$B:$B,0)),$Y:$Y,0))-K948,"")</f>
        <v>-0.9907625734</v>
      </c>
      <c r="AC948" s="168" t="str">
        <f t="shared" si="7"/>
        <v>GSW,2014-15</v>
      </c>
    </row>
    <row r="949">
      <c r="A949" s="161" t="str">
        <f>IFERROR(__xludf.DUMMYFUNCTION("""COMPUTED_VALUE"""),"stokeja01")</f>
        <v>stokeja01</v>
      </c>
      <c r="B949" s="161" t="str">
        <f>IFERROR(__xludf.DUMMYFUNCTION("""COMPUTED_VALUE"""),"Jarnell Stokes")</f>
        <v>Jarnell Stokes</v>
      </c>
      <c r="C949" s="162" t="str">
        <f>IFERROR(__xludf.DUMMYFUNCTION("""COMPUTED_VALUE"""),"2014-15")</f>
        <v>2014-15</v>
      </c>
      <c r="D949" s="163" t="str">
        <f>IFERROR(__xludf.DUMMYFUNCTION("""COMPUTED_VALUE"""),"MEM")</f>
        <v>MEM</v>
      </c>
      <c r="E949" s="164" t="str">
        <f>IFERROR(__xludf.DUMMYFUNCTION("""COMPUTED_VALUE"""),"Post Scorer")</f>
        <v>Post Scorer</v>
      </c>
      <c r="F949" s="164">
        <f>IFERROR(__xludf.DUMMYFUNCTION("""COMPUTED_VALUE"""),126.141666666667)</f>
        <v>126.1416667</v>
      </c>
      <c r="G949" s="163">
        <f>IFERROR(__xludf.DUMMYFUNCTION("""COMPUTED_VALUE"""),19.0)</f>
        <v>19</v>
      </c>
      <c r="H949" s="163" t="str">
        <f>IFERROR(__xludf.DUMMYFUNCTION("""COMPUTED_VALUE"""),"PF")</f>
        <v>PF</v>
      </c>
      <c r="I949" s="163">
        <f>IFERROR(__xludf.DUMMYFUNCTION("""COMPUTED_VALUE"""),21.0)</f>
        <v>21</v>
      </c>
      <c r="J949" s="165">
        <f>IFERROR(__xludf.DUMMYFUNCTION("""COMPUTED_VALUE"""),-0.211910549385136)</f>
        <v>-0.2119105494</v>
      </c>
      <c r="K949" s="165">
        <f>IFERROR(__xludf.DUMMYFUNCTION("""COMPUTED_VALUE"""),-0.212268875812745)</f>
        <v>-0.2122688758</v>
      </c>
      <c r="L949" s="165">
        <f>IFERROR(__xludf.DUMMYFUNCTION("""COMPUTED_VALUE"""),3.58326427608135E-4)</f>
        <v>0.0003583264276</v>
      </c>
      <c r="M949" s="166">
        <f t="shared" si="2"/>
        <v>0.1764479276</v>
      </c>
      <c r="N949" s="167">
        <f t="shared" si="3"/>
        <v>6.639035088</v>
      </c>
      <c r="O949" s="163">
        <f t="shared" ref="O949:Q949" si="953">rank(I949,I:I)</f>
        <v>3528</v>
      </c>
      <c r="P949" s="163">
        <f t="shared" si="953"/>
        <v>1517</v>
      </c>
      <c r="Q949" s="163">
        <f t="shared" si="953"/>
        <v>1587</v>
      </c>
      <c r="R949" s="163">
        <f>IFERROR(__xludf.DUMMYFUNCTION("RANK(M949,filter(M:M,C:C=C949))"),344.0)</f>
        <v>344</v>
      </c>
      <c r="S949" s="161" t="b">
        <f t="shared" si="5"/>
        <v>0</v>
      </c>
      <c r="T949" s="161" t="b">
        <f t="array" ref="T949">index('Query Tool'!B:B,match(H949,'Query Tool'!C:C,0))</f>
        <v>1</v>
      </c>
      <c r="U949" s="161" t="b">
        <f t="array" ref="U949">index('Query Tool'!B:B,match(C949,'Query Tool'!C:C,0))</f>
        <v>0</v>
      </c>
      <c r="V949" s="161" t="b">
        <f>F949&gt;='Query Tool'!C$32</f>
        <v>0</v>
      </c>
      <c r="W949" s="161" t="b">
        <f t="array" ref="W949">index(Dropdowns!B:B,match(I949,Dropdowns!A:A,0))</f>
        <v>1</v>
      </c>
      <c r="X949" s="161" t="b">
        <f t="array" ref="X949">index('Query Tool'!B:B,match(D949,'Query Tool'!C:C,0))</f>
        <v>1</v>
      </c>
      <c r="Y949" s="161" t="str">
        <f t="shared" si="6"/>
        <v>stokeja01,2014-15</v>
      </c>
      <c r="Z949" s="168">
        <f t="array" ref="Z949">iferror(index(I:I,match($A949&amp;","&amp;index('Year Conversion'!$A:$A,match($C949,'Year Conversion'!$B:$B,0)),$Y:$Y,0))-I949,"")</f>
        <v>1</v>
      </c>
      <c r="AA949" s="168">
        <f t="array" ref="AA949">iferror(index(J:J,match($A949&amp;","&amp;index('Year Conversion'!$A:$A,match($C949,'Year Conversion'!$B:$B,0)),$Y:$Y,0))-J949,"")</f>
        <v>-0.1042820072</v>
      </c>
      <c r="AB949" s="168">
        <f t="array" ref="AB949">iferror(index(K:K,match($A949&amp;","&amp;index('Year Conversion'!$A:$A,match($C949,'Year Conversion'!$B:$B,0)),$Y:$Y,0))-K949,"")</f>
        <v>0.16471917</v>
      </c>
      <c r="AC949" s="168" t="str">
        <f t="shared" si="7"/>
        <v>MEM,2014-15</v>
      </c>
    </row>
    <row r="950">
      <c r="A950" s="161" t="str">
        <f>IFERROR(__xludf.DUMMYFUNCTION("""COMPUTED_VALUE"""),"wiggian01")</f>
        <v>wiggian01</v>
      </c>
      <c r="B950" s="161" t="str">
        <f>IFERROR(__xludf.DUMMYFUNCTION("""COMPUTED_VALUE"""),"Andrew Wiggins")</f>
        <v>Andrew Wiggins</v>
      </c>
      <c r="C950" s="162" t="str">
        <f>IFERROR(__xludf.DUMMYFUNCTION("""COMPUTED_VALUE"""),"2014-15")</f>
        <v>2014-15</v>
      </c>
      <c r="D950" s="163" t="str">
        <f>IFERROR(__xludf.DUMMYFUNCTION("""COMPUTED_VALUE"""),"MIN")</f>
        <v>MIN</v>
      </c>
      <c r="E950" s="164" t="str">
        <f>IFERROR(__xludf.DUMMYFUNCTION("""COMPUTED_VALUE"""),"Post Scorer")</f>
        <v>Post Scorer</v>
      </c>
      <c r="F950" s="164">
        <f>IFERROR(__xludf.DUMMYFUNCTION("""COMPUTED_VALUE"""),2968.79666666667)</f>
        <v>2968.796667</v>
      </c>
      <c r="G950" s="163">
        <f>IFERROR(__xludf.DUMMYFUNCTION("""COMPUTED_VALUE"""),82.0)</f>
        <v>82</v>
      </c>
      <c r="H950" s="163" t="str">
        <f>IFERROR(__xludf.DUMMYFUNCTION("""COMPUTED_VALUE"""),"SF")</f>
        <v>SF</v>
      </c>
      <c r="I950" s="163">
        <f>IFERROR(__xludf.DUMMYFUNCTION("""COMPUTED_VALUE"""),19.0)</f>
        <v>19</v>
      </c>
      <c r="J950" s="165">
        <f>IFERROR(__xludf.DUMMYFUNCTION("""COMPUTED_VALUE"""),-2.27926294902335)</f>
        <v>-2.279262949</v>
      </c>
      <c r="K950" s="165">
        <f>IFERROR(__xludf.DUMMYFUNCTION("""COMPUTED_VALUE"""),-0.107451135255562)</f>
        <v>-0.1074511353</v>
      </c>
      <c r="L950" s="165">
        <f>IFERROR(__xludf.DUMMYFUNCTION("""COMPUTED_VALUE"""),-2.17181181376779)</f>
        <v>-2.171811814</v>
      </c>
      <c r="M950" s="166">
        <f t="shared" si="2"/>
        <v>0.04751744763</v>
      </c>
      <c r="N950" s="167">
        <f t="shared" si="3"/>
        <v>36.2048374</v>
      </c>
      <c r="O950" s="163">
        <f t="shared" ref="O950:Q950" si="954">rank(I950,I:I)</f>
        <v>3945</v>
      </c>
      <c r="P950" s="163">
        <f t="shared" si="954"/>
        <v>3643</v>
      </c>
      <c r="Q950" s="163">
        <f t="shared" si="954"/>
        <v>1381</v>
      </c>
      <c r="R950" s="163">
        <f>IFERROR(__xludf.DUMMYFUNCTION("RANK(M950,filter(M:M,C:C=C950))"),412.0)</f>
        <v>412</v>
      </c>
      <c r="S950" s="161" t="b">
        <f t="shared" si="5"/>
        <v>0</v>
      </c>
      <c r="T950" s="161" t="b">
        <f t="array" ref="T950">index('Query Tool'!B:B,match(H950,'Query Tool'!C:C,0))</f>
        <v>1</v>
      </c>
      <c r="U950" s="161" t="b">
        <f t="array" ref="U950">index('Query Tool'!B:B,match(C950,'Query Tool'!C:C,0))</f>
        <v>0</v>
      </c>
      <c r="V950" s="161" t="b">
        <f>F950&gt;='Query Tool'!C$32</f>
        <v>1</v>
      </c>
      <c r="W950" s="161" t="b">
        <f t="array" ref="W950">index(Dropdowns!B:B,match(I950,Dropdowns!A:A,0))</f>
        <v>1</v>
      </c>
      <c r="X950" s="161" t="b">
        <f t="array" ref="X950">index('Query Tool'!B:B,match(D950,'Query Tool'!C:C,0))</f>
        <v>1</v>
      </c>
      <c r="Y950" s="161" t="str">
        <f t="shared" si="6"/>
        <v>wiggian01,2014-15</v>
      </c>
      <c r="Z950" s="168">
        <f t="array" ref="Z950">iferror(index(I:I,match($A950&amp;","&amp;index('Year Conversion'!$A:$A,match($C950,'Year Conversion'!$B:$B,0)),$Y:$Y,0))-I950,"")</f>
        <v>1</v>
      </c>
      <c r="AA950" s="168">
        <f t="array" ref="AA950">iferror(index(J:J,match($A950&amp;","&amp;index('Year Conversion'!$A:$A,match($C950,'Year Conversion'!$B:$B,0)),$Y:$Y,0))-J950,"")</f>
        <v>1.919622938</v>
      </c>
      <c r="AB950" s="168">
        <f t="array" ref="AB950">iferror(index(K:K,match($A950&amp;","&amp;index('Year Conversion'!$A:$A,match($C950,'Year Conversion'!$B:$B,0)),$Y:$Y,0))-K950,"")</f>
        <v>1.20396346</v>
      </c>
      <c r="AC950" s="168" t="str">
        <f t="shared" si="7"/>
        <v>MIN,2014-15</v>
      </c>
    </row>
    <row r="951">
      <c r="A951" s="161" t="str">
        <f>IFERROR(__xludf.DUMMYFUNCTION("""COMPUTED_VALUE"""),"parkeja01")</f>
        <v>parkeja01</v>
      </c>
      <c r="B951" s="161" t="str">
        <f>IFERROR(__xludf.DUMMYFUNCTION("""COMPUTED_VALUE"""),"Jabari Parker")</f>
        <v>Jabari Parker</v>
      </c>
      <c r="C951" s="162" t="str">
        <f>IFERROR(__xludf.DUMMYFUNCTION("""COMPUTED_VALUE"""),"2014-15")</f>
        <v>2014-15</v>
      </c>
      <c r="D951" s="163" t="str">
        <f>IFERROR(__xludf.DUMMYFUNCTION("""COMPUTED_VALUE"""),"MIL")</f>
        <v>MIL</v>
      </c>
      <c r="E951" s="164" t="str">
        <f>IFERROR(__xludf.DUMMYFUNCTION("""COMPUTED_VALUE"""),"Roll + Cut Big")</f>
        <v>Roll + Cut Big</v>
      </c>
      <c r="F951" s="164">
        <f>IFERROR(__xludf.DUMMYFUNCTION("""COMPUTED_VALUE"""),738.435)</f>
        <v>738.435</v>
      </c>
      <c r="G951" s="163">
        <f>IFERROR(__xludf.DUMMYFUNCTION("""COMPUTED_VALUE"""),25.0)</f>
        <v>25</v>
      </c>
      <c r="H951" s="163" t="str">
        <f>IFERROR(__xludf.DUMMYFUNCTION("""COMPUTED_VALUE"""),"PF")</f>
        <v>PF</v>
      </c>
      <c r="I951" s="163">
        <f>IFERROR(__xludf.DUMMYFUNCTION("""COMPUTED_VALUE"""),19.0)</f>
        <v>19</v>
      </c>
      <c r="J951" s="165">
        <f>IFERROR(__xludf.DUMMYFUNCTION("""COMPUTED_VALUE"""),-1.92933678855298)</f>
        <v>-1.929336789</v>
      </c>
      <c r="K951" s="165">
        <f>IFERROR(__xludf.DUMMYFUNCTION("""COMPUTED_VALUE"""),-0.942602606001338)</f>
        <v>-0.942602606</v>
      </c>
      <c r="L951" s="165">
        <f>IFERROR(__xludf.DUMMYFUNCTION("""COMPUTED_VALUE"""),-0.986734182551646)</f>
        <v>-0.9867341826</v>
      </c>
      <c r="M951" s="166">
        <f t="shared" si="2"/>
        <v>0.1828455117</v>
      </c>
      <c r="N951" s="167">
        <f t="shared" si="3"/>
        <v>29.5374</v>
      </c>
      <c r="O951" s="163">
        <f t="shared" ref="O951:Q951" si="955">rank(I951,I:I)</f>
        <v>3945</v>
      </c>
      <c r="P951" s="163">
        <f t="shared" si="955"/>
        <v>3433</v>
      </c>
      <c r="Q951" s="163">
        <f t="shared" si="955"/>
        <v>2739</v>
      </c>
      <c r="R951" s="163">
        <f>IFERROR(__xludf.DUMMYFUNCTION("RANK(M951,filter(M:M,C:C=C951))"),342.0)</f>
        <v>342</v>
      </c>
      <c r="S951" s="161" t="b">
        <f t="shared" si="5"/>
        <v>0</v>
      </c>
      <c r="T951" s="161" t="b">
        <f t="array" ref="T951">index('Query Tool'!B:B,match(H951,'Query Tool'!C:C,0))</f>
        <v>1</v>
      </c>
      <c r="U951" s="161" t="b">
        <f t="array" ref="U951">index('Query Tool'!B:B,match(C951,'Query Tool'!C:C,0))</f>
        <v>0</v>
      </c>
      <c r="V951" s="161" t="b">
        <f>F951&gt;='Query Tool'!C$32</f>
        <v>1</v>
      </c>
      <c r="W951" s="161" t="b">
        <f t="array" ref="W951">index(Dropdowns!B:B,match(I951,Dropdowns!A:A,0))</f>
        <v>1</v>
      </c>
      <c r="X951" s="161" t="b">
        <f t="array" ref="X951">index('Query Tool'!B:B,match(D951,'Query Tool'!C:C,0))</f>
        <v>1</v>
      </c>
      <c r="Y951" s="161" t="str">
        <f t="shared" si="6"/>
        <v>parkeja01,2014-15</v>
      </c>
      <c r="Z951" s="168">
        <f t="array" ref="Z951">iferror(index(I:I,match($A951&amp;","&amp;index('Year Conversion'!$A:$A,match($C951,'Year Conversion'!$B:$B,0)),$Y:$Y,0))-I951,"")</f>
        <v>1</v>
      </c>
      <c r="AA951" s="168">
        <f t="array" ref="AA951">iferror(index(J:J,match($A951&amp;","&amp;index('Year Conversion'!$A:$A,match($C951,'Year Conversion'!$B:$B,0)),$Y:$Y,0))-J951,"")</f>
        <v>0.1070325253</v>
      </c>
      <c r="AB951" s="168">
        <f t="array" ref="AB951">iferror(index(K:K,match($A951&amp;","&amp;index('Year Conversion'!$A:$A,match($C951,'Year Conversion'!$B:$B,0)),$Y:$Y,0))-K951,"")</f>
        <v>0.4300014635</v>
      </c>
      <c r="AC951" s="168" t="str">
        <f t="shared" si="7"/>
        <v>MIL,2014-15</v>
      </c>
    </row>
    <row r="952">
      <c r="A952" s="161" t="str">
        <f>IFERROR(__xludf.DUMMYFUNCTION("""COMPUTED_VALUE"""),"cottobr01")</f>
        <v>cottobr01</v>
      </c>
      <c r="B952" s="161" t="str">
        <f>IFERROR(__xludf.DUMMYFUNCTION("""COMPUTED_VALUE"""),"Bryce Cotton")</f>
        <v>Bryce Cotton</v>
      </c>
      <c r="C952" s="162" t="str">
        <f>IFERROR(__xludf.DUMMYFUNCTION("""COMPUTED_VALUE"""),"2014-15")</f>
        <v>2014-15</v>
      </c>
      <c r="D952" s="163" t="str">
        <f>IFERROR(__xludf.DUMMYFUNCTION("""COMPUTED_VALUE"""),"UTA")</f>
        <v>UTA</v>
      </c>
      <c r="E952" s="164" t="str">
        <f>IFERROR(__xludf.DUMMYFUNCTION("""COMPUTED_VALUE"""),"Secondary Ball Handler")</f>
        <v>Secondary Ball Handler</v>
      </c>
      <c r="F952" s="164">
        <f>IFERROR(__xludf.DUMMYFUNCTION("""COMPUTED_VALUE"""),159.386666666667)</f>
        <v>159.3866667</v>
      </c>
      <c r="G952" s="163">
        <f>IFERROR(__xludf.DUMMYFUNCTION("""COMPUTED_VALUE"""),15.0)</f>
        <v>15</v>
      </c>
      <c r="H952" s="163" t="str">
        <f>IFERROR(__xludf.DUMMYFUNCTION("""COMPUTED_VALUE"""),"PG")</f>
        <v>PG</v>
      </c>
      <c r="I952" s="163">
        <f>IFERROR(__xludf.DUMMYFUNCTION("""COMPUTED_VALUE"""),22.0)</f>
        <v>22</v>
      </c>
      <c r="J952" s="165">
        <f>IFERROR(__xludf.DUMMYFUNCTION("""COMPUTED_VALUE"""),-0.47387347256404)</f>
        <v>-0.4738734726</v>
      </c>
      <c r="K952" s="165">
        <f>IFERROR(__xludf.DUMMYFUNCTION("""COMPUTED_VALUE"""),0.29578581497637)</f>
        <v>0.295785815</v>
      </c>
      <c r="L952" s="165">
        <f>IFERROR(__xludf.DUMMYFUNCTION("""COMPUTED_VALUE"""),-0.76965928754041)</f>
        <v>-0.7696592875</v>
      </c>
      <c r="M952" s="166">
        <f t="shared" si="2"/>
        <v>0.194816031</v>
      </c>
      <c r="N952" s="167">
        <f t="shared" si="3"/>
        <v>10.62577778</v>
      </c>
      <c r="O952" s="163">
        <f t="shared" ref="O952:Q952" si="956">rank(I952,I:I)</f>
        <v>3178</v>
      </c>
      <c r="P952" s="163">
        <f t="shared" si="956"/>
        <v>1818</v>
      </c>
      <c r="Q952" s="163">
        <f t="shared" si="956"/>
        <v>915</v>
      </c>
      <c r="R952" s="163">
        <f>IFERROR(__xludf.DUMMYFUNCTION("RANK(M952,filter(M:M,C:C=C952))"),339.0)</f>
        <v>339</v>
      </c>
      <c r="S952" s="161" t="b">
        <f t="shared" si="5"/>
        <v>0</v>
      </c>
      <c r="T952" s="161" t="b">
        <f t="array" ref="T952">index('Query Tool'!B:B,match(H952,'Query Tool'!C:C,0))</f>
        <v>1</v>
      </c>
      <c r="U952" s="161" t="b">
        <f t="array" ref="U952">index('Query Tool'!B:B,match(C952,'Query Tool'!C:C,0))</f>
        <v>0</v>
      </c>
      <c r="V952" s="161" t="b">
        <f>F952&gt;='Query Tool'!C$32</f>
        <v>0</v>
      </c>
      <c r="W952" s="161" t="b">
        <f t="array" ref="W952">index(Dropdowns!B:B,match(I952,Dropdowns!A:A,0))</f>
        <v>1</v>
      </c>
      <c r="X952" s="161" t="b">
        <f t="array" ref="X952">index('Query Tool'!B:B,match(D952,'Query Tool'!C:C,0))</f>
        <v>1</v>
      </c>
      <c r="Y952" s="161" t="str">
        <f t="shared" si="6"/>
        <v>cottobr01,2014-15</v>
      </c>
      <c r="Z952" s="168">
        <f t="array" ref="Z952">iferror(index(I:I,match($A952&amp;","&amp;index('Year Conversion'!$A:$A,match($C952,'Year Conversion'!$B:$B,0)),$Y:$Y,0))-I952,"")</f>
        <v>1</v>
      </c>
      <c r="AA952" s="168">
        <f t="array" ref="AA952">iferror(index(J:J,match($A952&amp;","&amp;index('Year Conversion'!$A:$A,match($C952,'Year Conversion'!$B:$B,0)),$Y:$Y,0))-J952,"")</f>
        <v>0.1217600641</v>
      </c>
      <c r="AB952" s="168">
        <f t="array" ref="AB952">iferror(index(K:K,match($A952&amp;","&amp;index('Year Conversion'!$A:$A,match($C952,'Year Conversion'!$B:$B,0)),$Y:$Y,0))-K952,"")</f>
        <v>-0.4251089866</v>
      </c>
      <c r="AC952" s="168" t="str">
        <f t="shared" si="7"/>
        <v>UTA,2014-15</v>
      </c>
    </row>
    <row r="953">
      <c r="A953" s="161" t="str">
        <f>IFERROR(__xludf.DUMMYFUNCTION("""COMPUTED_VALUE"""),"mcgarmi01")</f>
        <v>mcgarmi01</v>
      </c>
      <c r="B953" s="161" t="str">
        <f>IFERROR(__xludf.DUMMYFUNCTION("""COMPUTED_VALUE"""),"Mitch McGary")</f>
        <v>Mitch McGary</v>
      </c>
      <c r="C953" s="162" t="str">
        <f>IFERROR(__xludf.DUMMYFUNCTION("""COMPUTED_VALUE"""),"2014-15")</f>
        <v>2014-15</v>
      </c>
      <c r="D953" s="163" t="str">
        <f>IFERROR(__xludf.DUMMYFUNCTION("""COMPUTED_VALUE"""),"OKC")</f>
        <v>OKC</v>
      </c>
      <c r="E953" s="164" t="str">
        <f>IFERROR(__xludf.DUMMYFUNCTION("""COMPUTED_VALUE"""),"Roll + Cut Big")</f>
        <v>Roll + Cut Big</v>
      </c>
      <c r="F953" s="164">
        <f>IFERROR(__xludf.DUMMYFUNCTION("""COMPUTED_VALUE"""),484.935)</f>
        <v>484.935</v>
      </c>
      <c r="G953" s="163">
        <f>IFERROR(__xludf.DUMMYFUNCTION("""COMPUTED_VALUE"""),32.0)</f>
        <v>32</v>
      </c>
      <c r="H953" s="163" t="str">
        <f>IFERROR(__xludf.DUMMYFUNCTION("""COMPUTED_VALUE"""),"PF")</f>
        <v>PF</v>
      </c>
      <c r="I953" s="163">
        <f>IFERROR(__xludf.DUMMYFUNCTION("""COMPUTED_VALUE"""),22.0)</f>
        <v>22</v>
      </c>
      <c r="J953" s="165">
        <f>IFERROR(__xludf.DUMMYFUNCTION("""COMPUTED_VALUE"""),-0.243976711584017)</f>
        <v>-0.2439767116</v>
      </c>
      <c r="K953" s="165">
        <f>IFERROR(__xludf.DUMMYFUNCTION("""COMPUTED_VALUE"""),-0.479659435451169)</f>
        <v>-0.4796594355</v>
      </c>
      <c r="L953" s="165">
        <f>IFERROR(__xludf.DUMMYFUNCTION("""COMPUTED_VALUE"""),0.235682723867152)</f>
        <v>0.2356827239</v>
      </c>
      <c r="M953" s="166">
        <f t="shared" si="2"/>
        <v>0.667849404</v>
      </c>
      <c r="N953" s="167">
        <f t="shared" si="3"/>
        <v>15.15421875</v>
      </c>
      <c r="O953" s="163">
        <f t="shared" ref="O953:Q953" si="957">rank(I953,I:I)</f>
        <v>3178</v>
      </c>
      <c r="P953" s="163">
        <f t="shared" si="957"/>
        <v>1551</v>
      </c>
      <c r="Q953" s="163">
        <f t="shared" si="957"/>
        <v>2082</v>
      </c>
      <c r="R953" s="163">
        <f>IFERROR(__xludf.DUMMYFUNCTION("RANK(M953,filter(M:M,C:C=C953))"),267.0)</f>
        <v>267</v>
      </c>
      <c r="S953" s="161" t="b">
        <f t="shared" si="5"/>
        <v>0</v>
      </c>
      <c r="T953" s="161" t="b">
        <f t="array" ref="T953">index('Query Tool'!B:B,match(H953,'Query Tool'!C:C,0))</f>
        <v>1</v>
      </c>
      <c r="U953" s="161" t="b">
        <f t="array" ref="U953">index('Query Tool'!B:B,match(C953,'Query Tool'!C:C,0))</f>
        <v>0</v>
      </c>
      <c r="V953" s="161" t="b">
        <f>F953&gt;='Query Tool'!C$32</f>
        <v>0</v>
      </c>
      <c r="W953" s="161" t="b">
        <f t="array" ref="W953">index(Dropdowns!B:B,match(I953,Dropdowns!A:A,0))</f>
        <v>1</v>
      </c>
      <c r="X953" s="161" t="b">
        <f t="array" ref="X953">index('Query Tool'!B:B,match(D953,'Query Tool'!C:C,0))</f>
        <v>1</v>
      </c>
      <c r="Y953" s="161" t="str">
        <f t="shared" si="6"/>
        <v>mcgarmi01,2014-15</v>
      </c>
      <c r="Z953" s="168">
        <f t="array" ref="Z953">iferror(index(I:I,match($A953&amp;","&amp;index('Year Conversion'!$A:$A,match($C953,'Year Conversion'!$B:$B,0)),$Y:$Y,0))-I953,"")</f>
        <v>1</v>
      </c>
      <c r="AA953" s="168">
        <f t="array" ref="AA953">iferror(index(J:J,match($A953&amp;","&amp;index('Year Conversion'!$A:$A,match($C953,'Year Conversion'!$B:$B,0)),$Y:$Y,0))-J953,"")</f>
        <v>-1.187019327</v>
      </c>
      <c r="AB953" s="168">
        <f t="array" ref="AB953">iferror(index(K:K,match($A953&amp;","&amp;index('Year Conversion'!$A:$A,match($C953,'Year Conversion'!$B:$B,0)),$Y:$Y,0))-K953,"")</f>
        <v>-0.05780335912</v>
      </c>
      <c r="AC953" s="168" t="str">
        <f t="shared" si="7"/>
        <v>OKC,2014-15</v>
      </c>
    </row>
    <row r="954">
      <c r="A954" s="161" t="str">
        <f>IFERROR(__xludf.DUMMYFUNCTION("""COMPUTED_VALUE"""),"exumda01")</f>
        <v>exumda01</v>
      </c>
      <c r="B954" s="161" t="str">
        <f>IFERROR(__xludf.DUMMYFUNCTION("""COMPUTED_VALUE"""),"Dante Exum")</f>
        <v>Dante Exum</v>
      </c>
      <c r="C954" s="162" t="str">
        <f>IFERROR(__xludf.DUMMYFUNCTION("""COMPUTED_VALUE"""),"2014-15")</f>
        <v>2014-15</v>
      </c>
      <c r="D954" s="163" t="str">
        <f>IFERROR(__xludf.DUMMYFUNCTION("""COMPUTED_VALUE"""),"UTA")</f>
        <v>UTA</v>
      </c>
      <c r="E954" s="164" t="str">
        <f>IFERROR(__xludf.DUMMYFUNCTION("""COMPUTED_VALUE"""),"Primary Ball Handler")</f>
        <v>Primary Ball Handler</v>
      </c>
      <c r="F954" s="164">
        <f>IFERROR(__xludf.DUMMYFUNCTION("""COMPUTED_VALUE"""),1817.05)</f>
        <v>1817.05</v>
      </c>
      <c r="G954" s="163">
        <f>IFERROR(__xludf.DUMMYFUNCTION("""COMPUTED_VALUE"""),82.0)</f>
        <v>82</v>
      </c>
      <c r="H954" s="163" t="str">
        <f>IFERROR(__xludf.DUMMYFUNCTION("""COMPUTED_VALUE"""),"PG")</f>
        <v>PG</v>
      </c>
      <c r="I954" s="163">
        <f>IFERROR(__xludf.DUMMYFUNCTION("""COMPUTED_VALUE"""),19.0)</f>
        <v>19</v>
      </c>
      <c r="J954" s="165">
        <f>IFERROR(__xludf.DUMMYFUNCTION("""COMPUTED_VALUE"""),-1.63409967873714)</f>
        <v>-1.634099679</v>
      </c>
      <c r="K954" s="165">
        <f>IFERROR(__xludf.DUMMYFUNCTION("""COMPUTED_VALUE"""),-1.4768173306026)</f>
        <v>-1.476817331</v>
      </c>
      <c r="L954" s="165">
        <f>IFERROR(__xludf.DUMMYFUNCTION("""COMPUTED_VALUE"""),-0.15728234813454)</f>
        <v>-0.1572823481</v>
      </c>
      <c r="M954" s="166">
        <f t="shared" si="2"/>
        <v>0.8068464608</v>
      </c>
      <c r="N954" s="167">
        <f t="shared" si="3"/>
        <v>22.15914634</v>
      </c>
      <c r="O954" s="163">
        <f t="shared" ref="O954:Q954" si="958">rank(I954,I:I)</f>
        <v>3945</v>
      </c>
      <c r="P954" s="163">
        <f t="shared" si="958"/>
        <v>3181</v>
      </c>
      <c r="Q954" s="163">
        <f t="shared" si="958"/>
        <v>3331</v>
      </c>
      <c r="R954" s="163">
        <f>IFERROR(__xludf.DUMMYFUNCTION("RANK(M954,filter(M:M,C:C=C954))"),248.0)</f>
        <v>248</v>
      </c>
      <c r="S954" s="161" t="b">
        <f t="shared" si="5"/>
        <v>0</v>
      </c>
      <c r="T954" s="161" t="b">
        <f t="array" ref="T954">index('Query Tool'!B:B,match(H954,'Query Tool'!C:C,0))</f>
        <v>1</v>
      </c>
      <c r="U954" s="161" t="b">
        <f t="array" ref="U954">index('Query Tool'!B:B,match(C954,'Query Tool'!C:C,0))</f>
        <v>0</v>
      </c>
      <c r="V954" s="161" t="b">
        <f>F954&gt;='Query Tool'!C$32</f>
        <v>1</v>
      </c>
      <c r="W954" s="161" t="b">
        <f t="array" ref="W954">index(Dropdowns!B:B,match(I954,Dropdowns!A:A,0))</f>
        <v>1</v>
      </c>
      <c r="X954" s="161" t="b">
        <f t="array" ref="X954">index('Query Tool'!B:B,match(D954,'Query Tool'!C:C,0))</f>
        <v>1</v>
      </c>
      <c r="Y954" s="161" t="str">
        <f t="shared" si="6"/>
        <v>exumda01,2014-15</v>
      </c>
      <c r="Z954" s="168" t="str">
        <f t="array" ref="Z954">iferror(index(I:I,match($A954&amp;","&amp;index('Year Conversion'!$A:$A,match($C954,'Year Conversion'!$B:$B,0)),$Y:$Y,0))-I954,"")</f>
        <v/>
      </c>
      <c r="AA954" s="168" t="str">
        <f t="array" ref="AA954">iferror(index(J:J,match($A954&amp;","&amp;index('Year Conversion'!$A:$A,match($C954,'Year Conversion'!$B:$B,0)),$Y:$Y,0))-J954,"")</f>
        <v/>
      </c>
      <c r="AB954" s="168" t="str">
        <f t="array" ref="AB954">iferror(index(K:K,match($A954&amp;","&amp;index('Year Conversion'!$A:$A,match($C954,'Year Conversion'!$B:$B,0)),$Y:$Y,0))-K954,"")</f>
        <v/>
      </c>
      <c r="AC954" s="168" t="str">
        <f t="shared" si="7"/>
        <v>UTA,2014-15</v>
      </c>
    </row>
    <row r="955">
      <c r="A955" s="161" t="str">
        <f>IFERROR(__xludf.DUMMYFUNCTION("""COMPUTED_VALUE"""),"dawkian01")</f>
        <v>dawkian01</v>
      </c>
      <c r="B955" s="161" t="str">
        <f>IFERROR(__xludf.DUMMYFUNCTION("""COMPUTED_VALUE"""),"Andre Dawkins")</f>
        <v>Andre Dawkins</v>
      </c>
      <c r="C955" s="162" t="str">
        <f>IFERROR(__xludf.DUMMYFUNCTION("""COMPUTED_VALUE"""),"2014-15")</f>
        <v>2014-15</v>
      </c>
      <c r="D955" s="163" t="str">
        <f>IFERROR(__xludf.DUMMYFUNCTION("""COMPUTED_VALUE"""),"MIA")</f>
        <v>MIA</v>
      </c>
      <c r="E955" s="164" t="str">
        <f>IFERROR(__xludf.DUMMYFUNCTION("""COMPUTED_VALUE"""),"Movement Shooter")</f>
        <v>Movement Shooter</v>
      </c>
      <c r="F955" s="164">
        <f>IFERROR(__xludf.DUMMYFUNCTION("""COMPUTED_VALUE"""),21.6783333333333)</f>
        <v>21.67833333</v>
      </c>
      <c r="G955" s="163">
        <f>IFERROR(__xludf.DUMMYFUNCTION("""COMPUTED_VALUE"""),4.0)</f>
        <v>4</v>
      </c>
      <c r="H955" s="163" t="str">
        <f>IFERROR(__xludf.DUMMYFUNCTION("""COMPUTED_VALUE"""),"SG")</f>
        <v>SG</v>
      </c>
      <c r="I955" s="163">
        <f>IFERROR(__xludf.DUMMYFUNCTION("""COMPUTED_VALUE"""),23.0)</f>
        <v>23</v>
      </c>
      <c r="J955" s="165">
        <f>IFERROR(__xludf.DUMMYFUNCTION("""COMPUTED_VALUE"""),-0.59752679640353)</f>
        <v>-0.5975267964</v>
      </c>
      <c r="K955" s="165">
        <f>IFERROR(__xludf.DUMMYFUNCTION("""COMPUTED_VALUE"""),-0.157138512101881)</f>
        <v>-0.1571385121</v>
      </c>
      <c r="L955" s="165">
        <f>IFERROR(__xludf.DUMMYFUNCTION("""COMPUTED_VALUE"""),-0.44038828430165)</f>
        <v>-0.4403882843</v>
      </c>
      <c r="M955" s="166">
        <f t="shared" si="2"/>
        <v>0.02469205254</v>
      </c>
      <c r="N955" s="167">
        <f t="shared" si="3"/>
        <v>5.419583333</v>
      </c>
      <c r="O955" s="163">
        <f t="shared" ref="O955:Q955" si="959">rank(I955,I:I)</f>
        <v>2765</v>
      </c>
      <c r="P955" s="163">
        <f t="shared" si="959"/>
        <v>1991</v>
      </c>
      <c r="Q955" s="163">
        <f t="shared" si="959"/>
        <v>1490</v>
      </c>
      <c r="R955" s="163">
        <f>IFERROR(__xludf.DUMMYFUNCTION("RANK(M955,filter(M:M,C:C=C955))"),425.0)</f>
        <v>425</v>
      </c>
      <c r="S955" s="161" t="b">
        <f t="shared" si="5"/>
        <v>0</v>
      </c>
      <c r="T955" s="161" t="b">
        <f t="array" ref="T955">index('Query Tool'!B:B,match(H955,'Query Tool'!C:C,0))</f>
        <v>1</v>
      </c>
      <c r="U955" s="161" t="b">
        <f t="array" ref="U955">index('Query Tool'!B:B,match(C955,'Query Tool'!C:C,0))</f>
        <v>0</v>
      </c>
      <c r="V955" s="161" t="b">
        <f>F955&gt;='Query Tool'!C$32</f>
        <v>0</v>
      </c>
      <c r="W955" s="161" t="b">
        <f t="array" ref="W955">index(Dropdowns!B:B,match(I955,Dropdowns!A:A,0))</f>
        <v>1</v>
      </c>
      <c r="X955" s="161" t="b">
        <f t="array" ref="X955">index('Query Tool'!B:B,match(D955,'Query Tool'!C:C,0))</f>
        <v>1</v>
      </c>
      <c r="Y955" s="161" t="str">
        <f t="shared" si="6"/>
        <v>dawkian01,2014-15</v>
      </c>
      <c r="Z955" s="168" t="str">
        <f t="array" ref="Z955">iferror(index(I:I,match($A955&amp;","&amp;index('Year Conversion'!$A:$A,match($C955,'Year Conversion'!$B:$B,0)),$Y:$Y,0))-I955,"")</f>
        <v/>
      </c>
      <c r="AA955" s="168" t="str">
        <f t="array" ref="AA955">iferror(index(J:J,match($A955&amp;","&amp;index('Year Conversion'!$A:$A,match($C955,'Year Conversion'!$B:$B,0)),$Y:$Y,0))-J955,"")</f>
        <v/>
      </c>
      <c r="AB955" s="168" t="str">
        <f t="array" ref="AB955">iferror(index(K:K,match($A955&amp;","&amp;index('Year Conversion'!$A:$A,match($C955,'Year Conversion'!$B:$B,0)),$Y:$Y,0))-K955,"")</f>
        <v/>
      </c>
      <c r="AC955" s="168" t="str">
        <f t="shared" si="7"/>
        <v>MIA,2014-15</v>
      </c>
    </row>
    <row r="956">
      <c r="A956" s="161" t="str">
        <f>IFERROR(__xludf.DUMMYFUNCTION("""COMPUTED_VALUE"""),"sampsja02")</f>
        <v>sampsja02</v>
      </c>
      <c r="B956" s="161" t="str">
        <f>IFERROR(__xludf.DUMMYFUNCTION("""COMPUTED_VALUE"""),"JaKarr Sampson")</f>
        <v>JaKarr Sampson</v>
      </c>
      <c r="C956" s="162" t="str">
        <f>IFERROR(__xludf.DUMMYFUNCTION("""COMPUTED_VALUE"""),"2014-15")</f>
        <v>2014-15</v>
      </c>
      <c r="D956" s="163" t="str">
        <f>IFERROR(__xludf.DUMMYFUNCTION("""COMPUTED_VALUE"""),"PHI")</f>
        <v>PHI</v>
      </c>
      <c r="E956" s="164" t="str">
        <f>IFERROR(__xludf.DUMMYFUNCTION("""COMPUTED_VALUE"""),"Stationary Shooter")</f>
        <v>Stationary Shooter</v>
      </c>
      <c r="F956" s="164">
        <f>IFERROR(__xludf.DUMMYFUNCTION("""COMPUTED_VALUE"""),1131.18333333333)</f>
        <v>1131.183333</v>
      </c>
      <c r="G956" s="163">
        <f>IFERROR(__xludf.DUMMYFUNCTION("""COMPUTED_VALUE"""),74.0)</f>
        <v>74</v>
      </c>
      <c r="H956" s="163" t="str">
        <f>IFERROR(__xludf.DUMMYFUNCTION("""COMPUTED_VALUE"""),"SF")</f>
        <v>SF</v>
      </c>
      <c r="I956" s="163">
        <f>IFERROR(__xludf.DUMMYFUNCTION("""COMPUTED_VALUE"""),21.0)</f>
        <v>21</v>
      </c>
      <c r="J956" s="165">
        <f>IFERROR(__xludf.DUMMYFUNCTION("""COMPUTED_VALUE"""),-2.80125222227877)</f>
        <v>-2.801252222</v>
      </c>
      <c r="K956" s="165">
        <f>IFERROR(__xludf.DUMMYFUNCTION("""COMPUTED_VALUE"""),-2.48567633743855)</f>
        <v>-2.485676337</v>
      </c>
      <c r="L956" s="165">
        <f>IFERROR(__xludf.DUMMYFUNCTION("""COMPUTED_VALUE"""),-0.315575884840218)</f>
        <v>-0.3155758848</v>
      </c>
      <c r="M956" s="166">
        <f t="shared" si="2"/>
        <v>-0.3694297661</v>
      </c>
      <c r="N956" s="167">
        <f t="shared" si="3"/>
        <v>15.28626126</v>
      </c>
      <c r="O956" s="163">
        <f t="shared" ref="O956:Q956" si="960">rank(I956,I:I)</f>
        <v>3528</v>
      </c>
      <c r="P956" s="163">
        <f t="shared" si="960"/>
        <v>3845</v>
      </c>
      <c r="Q956" s="163">
        <f t="shared" si="960"/>
        <v>3887</v>
      </c>
      <c r="R956" s="163">
        <f>IFERROR(__xludf.DUMMYFUNCTION("RANK(M956,filter(M:M,C:C=C956))"),476.0)</f>
        <v>476</v>
      </c>
      <c r="S956" s="161" t="b">
        <f t="shared" si="5"/>
        <v>0</v>
      </c>
      <c r="T956" s="161" t="b">
        <f t="array" ref="T956">index('Query Tool'!B:B,match(H956,'Query Tool'!C:C,0))</f>
        <v>1</v>
      </c>
      <c r="U956" s="161" t="b">
        <f t="array" ref="U956">index('Query Tool'!B:B,match(C956,'Query Tool'!C:C,0))</f>
        <v>0</v>
      </c>
      <c r="V956" s="161" t="b">
        <f>F956&gt;='Query Tool'!C$32</f>
        <v>1</v>
      </c>
      <c r="W956" s="161" t="b">
        <f t="array" ref="W956">index(Dropdowns!B:B,match(I956,Dropdowns!A:A,0))</f>
        <v>1</v>
      </c>
      <c r="X956" s="161" t="b">
        <f t="array" ref="X956">index('Query Tool'!B:B,match(D956,'Query Tool'!C:C,0))</f>
        <v>1</v>
      </c>
      <c r="Y956" s="161" t="str">
        <f t="shared" si="6"/>
        <v>sampsja02,2014-15</v>
      </c>
      <c r="Z956" s="168">
        <f t="array" ref="Z956">iferror(index(I:I,match($A956&amp;","&amp;index('Year Conversion'!$A:$A,match($C956,'Year Conversion'!$B:$B,0)),$Y:$Y,0))-I956,"")</f>
        <v>1</v>
      </c>
      <c r="AA956" s="168">
        <f t="array" ref="AA956">iferror(index(J:J,match($A956&amp;","&amp;index('Year Conversion'!$A:$A,match($C956,'Year Conversion'!$B:$B,0)),$Y:$Y,0))-J956,"")</f>
        <v>0.3132010745</v>
      </c>
      <c r="AB956" s="168">
        <f t="array" ref="AB956">iferror(index(K:K,match($A956&amp;","&amp;index('Year Conversion'!$A:$A,match($C956,'Year Conversion'!$B:$B,0)),$Y:$Y,0))-K956,"")</f>
        <v>-0.2068569733</v>
      </c>
      <c r="AC956" s="168" t="str">
        <f t="shared" si="7"/>
        <v>PHI,2014-15</v>
      </c>
    </row>
    <row r="957">
      <c r="A957" s="161" t="str">
        <f>IFERROR(__xludf.DUMMYFUNCTION("""COMPUTED_VALUE"""),"moreler01")</f>
        <v>moreler01</v>
      </c>
      <c r="B957" s="161" t="str">
        <f>IFERROR(__xludf.DUMMYFUNCTION("""COMPUTED_VALUE"""),"Eric Moreland")</f>
        <v>Eric Moreland</v>
      </c>
      <c r="C957" s="162" t="str">
        <f>IFERROR(__xludf.DUMMYFUNCTION("""COMPUTED_VALUE"""),"2014-15")</f>
        <v>2014-15</v>
      </c>
      <c r="D957" s="163" t="str">
        <f>IFERROR(__xludf.DUMMYFUNCTION("""COMPUTED_VALUE"""),"SAC")</f>
        <v>SAC</v>
      </c>
      <c r="E957" s="164" t="str">
        <f>IFERROR(__xludf.DUMMYFUNCTION("""COMPUTED_VALUE"""),"Roll + Cut Big")</f>
        <v>Roll + Cut Big</v>
      </c>
      <c r="F957" s="164">
        <f>IFERROR(__xludf.DUMMYFUNCTION("""COMPUTED_VALUE"""),2.07833333333333)</f>
        <v>2.078333333</v>
      </c>
      <c r="G957" s="163">
        <f>IFERROR(__xludf.DUMMYFUNCTION("""COMPUTED_VALUE"""),3.0)</f>
        <v>3</v>
      </c>
      <c r="H957" s="163" t="str">
        <f>IFERROR(__xludf.DUMMYFUNCTION("""COMPUTED_VALUE"""),"PF")</f>
        <v>PF</v>
      </c>
      <c r="I957" s="163">
        <f>IFERROR(__xludf.DUMMYFUNCTION("""COMPUTED_VALUE"""),23.0)</f>
        <v>23</v>
      </c>
      <c r="J957" s="165">
        <f>IFERROR(__xludf.DUMMYFUNCTION("""COMPUTED_VALUE"""),0.0732476037529656)</f>
        <v>0.07324760375</v>
      </c>
      <c r="K957" s="165">
        <f>IFERROR(__xludf.DUMMYFUNCTION("""COMPUTED_VALUE"""),0.135234751900756)</f>
        <v>0.1352347519</v>
      </c>
      <c r="L957" s="165">
        <f>IFERROR(__xludf.DUMMYFUNCTION("""COMPUTED_VALUE"""),-0.0619871481477907)</f>
        <v>-0.06198714815</v>
      </c>
      <c r="M957" s="166">
        <f t="shared" si="2"/>
        <v>0.003306730353</v>
      </c>
      <c r="N957" s="167">
        <f t="shared" si="3"/>
        <v>0.6927777778</v>
      </c>
      <c r="O957" s="163">
        <f t="shared" ref="O957:Q957" si="961">rank(I957,I:I)</f>
        <v>2765</v>
      </c>
      <c r="P957" s="163">
        <f t="shared" si="961"/>
        <v>1223</v>
      </c>
      <c r="Q957" s="163">
        <f t="shared" si="961"/>
        <v>1037</v>
      </c>
      <c r="R957" s="163">
        <f>IFERROR(__xludf.DUMMYFUNCTION("RANK(M957,filter(M:M,C:C=C957))"),439.0)</f>
        <v>439</v>
      </c>
      <c r="S957" s="161" t="b">
        <f t="shared" si="5"/>
        <v>0</v>
      </c>
      <c r="T957" s="161" t="b">
        <f t="array" ref="T957">index('Query Tool'!B:B,match(H957,'Query Tool'!C:C,0))</f>
        <v>1</v>
      </c>
      <c r="U957" s="161" t="b">
        <f t="array" ref="U957">index('Query Tool'!B:B,match(C957,'Query Tool'!C:C,0))</f>
        <v>0</v>
      </c>
      <c r="V957" s="161" t="b">
        <f>F957&gt;='Query Tool'!C$32</f>
        <v>0</v>
      </c>
      <c r="W957" s="161" t="b">
        <f t="array" ref="W957">index(Dropdowns!B:B,match(I957,Dropdowns!A:A,0))</f>
        <v>1</v>
      </c>
      <c r="X957" s="161" t="b">
        <f t="array" ref="X957">index('Query Tool'!B:B,match(D957,'Query Tool'!C:C,0))</f>
        <v>1</v>
      </c>
      <c r="Y957" s="161" t="str">
        <f t="shared" si="6"/>
        <v>moreler01,2014-15</v>
      </c>
      <c r="Z957" s="168">
        <f t="array" ref="Z957">iferror(index(I:I,match($A957&amp;","&amp;index('Year Conversion'!$A:$A,match($C957,'Year Conversion'!$B:$B,0)),$Y:$Y,0))-I957,"")</f>
        <v>1</v>
      </c>
      <c r="AA957" s="168">
        <f t="array" ref="AA957">iferror(index(J:J,match($A957&amp;","&amp;index('Year Conversion'!$A:$A,match($C957,'Year Conversion'!$B:$B,0)),$Y:$Y,0))-J957,"")</f>
        <v>-0.4800822903</v>
      </c>
      <c r="AB957" s="168">
        <f t="array" ref="AB957">iferror(index(K:K,match($A957&amp;","&amp;index('Year Conversion'!$A:$A,match($C957,'Year Conversion'!$B:$B,0)),$Y:$Y,0))-K957,"")</f>
        <v>-0.653601889</v>
      </c>
      <c r="AC957" s="168" t="str">
        <f t="shared" si="7"/>
        <v>SAC,2014-15</v>
      </c>
    </row>
    <row r="958">
      <c r="A958" s="161" t="str">
        <f>IFERROR(__xludf.DUMMYFUNCTION("""COMPUTED_VALUE"""),"whittsh01")</f>
        <v>whittsh01</v>
      </c>
      <c r="B958" s="161" t="str">
        <f>IFERROR(__xludf.DUMMYFUNCTION("""COMPUTED_VALUE"""),"Shayne Whittington")</f>
        <v>Shayne Whittington</v>
      </c>
      <c r="C958" s="162" t="str">
        <f>IFERROR(__xludf.DUMMYFUNCTION("""COMPUTED_VALUE"""),"2014-15")</f>
        <v>2014-15</v>
      </c>
      <c r="D958" s="163" t="str">
        <f>IFERROR(__xludf.DUMMYFUNCTION("""COMPUTED_VALUE"""),"IND")</f>
        <v>IND</v>
      </c>
      <c r="E958" s="164" t="str">
        <f>IFERROR(__xludf.DUMMYFUNCTION("""COMPUTED_VALUE"""),"Post Scorer")</f>
        <v>Post Scorer</v>
      </c>
      <c r="F958" s="164">
        <f>IFERROR(__xludf.DUMMYFUNCTION("""COMPUTED_VALUE"""),108.161666666667)</f>
        <v>108.1616667</v>
      </c>
      <c r="G958" s="163">
        <f>IFERROR(__xludf.DUMMYFUNCTION("""COMPUTED_VALUE"""),20.0)</f>
        <v>20</v>
      </c>
      <c r="H958" s="163" t="str">
        <f>IFERROR(__xludf.DUMMYFUNCTION("""COMPUTED_VALUE"""),"PF")</f>
        <v>PF</v>
      </c>
      <c r="I958" s="163">
        <f>IFERROR(__xludf.DUMMYFUNCTION("""COMPUTED_VALUE"""),23.0)</f>
        <v>23</v>
      </c>
      <c r="J958" s="165">
        <f>IFERROR(__xludf.DUMMYFUNCTION("""COMPUTED_VALUE"""),0.341472326179632)</f>
        <v>0.3414723262</v>
      </c>
      <c r="K958" s="165">
        <f>IFERROR(__xludf.DUMMYFUNCTION("""COMPUTED_VALUE"""),0.315037846421053)</f>
        <v>0.3150378464</v>
      </c>
      <c r="L958" s="165">
        <f>IFERROR(__xludf.DUMMYFUNCTION("""COMPUTED_VALUE"""),0.0264344797585784)</f>
        <v>0.02643447976</v>
      </c>
      <c r="M958" s="166">
        <f t="shared" si="2"/>
        <v>0.1916458756</v>
      </c>
      <c r="N958" s="167">
        <f t="shared" si="3"/>
        <v>5.408083333</v>
      </c>
      <c r="O958" s="163">
        <f t="shared" ref="O958:Q958" si="962">rank(I958,I:I)</f>
        <v>2765</v>
      </c>
      <c r="P958" s="163">
        <f t="shared" si="962"/>
        <v>990</v>
      </c>
      <c r="Q958" s="163">
        <f t="shared" si="962"/>
        <v>901</v>
      </c>
      <c r="R958" s="163">
        <f>IFERROR(__xludf.DUMMYFUNCTION("RANK(M958,filter(M:M,C:C=C958))"),341.0)</f>
        <v>341</v>
      </c>
      <c r="S958" s="161" t="b">
        <f t="shared" si="5"/>
        <v>0</v>
      </c>
      <c r="T958" s="161" t="b">
        <f t="array" ref="T958">index('Query Tool'!B:B,match(H958,'Query Tool'!C:C,0))</f>
        <v>1</v>
      </c>
      <c r="U958" s="161" t="b">
        <f t="array" ref="U958">index('Query Tool'!B:B,match(C958,'Query Tool'!C:C,0))</f>
        <v>0</v>
      </c>
      <c r="V958" s="161" t="b">
        <f>F958&gt;='Query Tool'!C$32</f>
        <v>0</v>
      </c>
      <c r="W958" s="161" t="b">
        <f t="array" ref="W958">index(Dropdowns!B:B,match(I958,Dropdowns!A:A,0))</f>
        <v>1</v>
      </c>
      <c r="X958" s="161" t="b">
        <f t="array" ref="X958">index('Query Tool'!B:B,match(D958,'Query Tool'!C:C,0))</f>
        <v>1</v>
      </c>
      <c r="Y958" s="161" t="str">
        <f t="shared" si="6"/>
        <v>whittsh01,2014-15</v>
      </c>
      <c r="Z958" s="168">
        <f t="array" ref="Z958">iferror(index(I:I,match($A958&amp;","&amp;index('Year Conversion'!$A:$A,match($C958,'Year Conversion'!$B:$B,0)),$Y:$Y,0))-I958,"")</f>
        <v>1</v>
      </c>
      <c r="AA958" s="168">
        <f t="array" ref="AA958">iferror(index(J:J,match($A958&amp;","&amp;index('Year Conversion'!$A:$A,match($C958,'Year Conversion'!$B:$B,0)),$Y:$Y,0))-J958,"")</f>
        <v>-0.8644780818</v>
      </c>
      <c r="AB958" s="168">
        <f t="array" ref="AB958">iferror(index(K:K,match($A958&amp;","&amp;index('Year Conversion'!$A:$A,match($C958,'Year Conversion'!$B:$B,0)),$Y:$Y,0))-K958,"")</f>
        <v>-0.5881021823</v>
      </c>
      <c r="AC958" s="168" t="str">
        <f t="shared" si="7"/>
        <v>IND,2014-15</v>
      </c>
    </row>
    <row r="959">
      <c r="A959" s="161" t="str">
        <f>IFERROR(__xludf.DUMMYFUNCTION("""COMPUTED_VALUE"""),"benimje01")</f>
        <v>benimje01</v>
      </c>
      <c r="B959" s="161" t="str">
        <f>IFERROR(__xludf.DUMMYFUNCTION("""COMPUTED_VALUE"""),"Jerrelle Benimon")</f>
        <v>Jerrelle Benimon</v>
      </c>
      <c r="C959" s="162" t="str">
        <f>IFERROR(__xludf.DUMMYFUNCTION("""COMPUTED_VALUE"""),"2014-15")</f>
        <v>2014-15</v>
      </c>
      <c r="D959" s="163" t="str">
        <f>IFERROR(__xludf.DUMMYFUNCTION("""COMPUTED_VALUE"""),"UTA")</f>
        <v>UTA</v>
      </c>
      <c r="E959" s="164" t="str">
        <f>IFERROR(__xludf.DUMMYFUNCTION("""COMPUTED_VALUE"""),"Low Minutes")</f>
        <v>Low Minutes</v>
      </c>
      <c r="F959" s="164">
        <f>IFERROR(__xludf.DUMMYFUNCTION("""COMPUTED_VALUE"""),2.72333333333334)</f>
        <v>2.723333333</v>
      </c>
      <c r="G959" s="163">
        <f>IFERROR(__xludf.DUMMYFUNCTION("""COMPUTED_VALUE"""),2.0)</f>
        <v>2</v>
      </c>
      <c r="H959" s="163" t="str">
        <f>IFERROR(__xludf.DUMMYFUNCTION("""COMPUTED_VALUE"""),"PF")</f>
        <v>PF</v>
      </c>
      <c r="I959" s="163">
        <f>IFERROR(__xludf.DUMMYFUNCTION("""COMPUTED_VALUE"""),23.0)</f>
        <v>23</v>
      </c>
      <c r="J959" s="165">
        <f>IFERROR(__xludf.DUMMYFUNCTION("""COMPUTED_VALUE"""),-0.172478356308235)</f>
        <v>-0.1724783563</v>
      </c>
      <c r="K959" s="165">
        <f>IFERROR(__xludf.DUMMYFUNCTION("""COMPUTED_VALUE"""),0.0148438786749376)</f>
        <v>0.01484387867</v>
      </c>
      <c r="L959" s="165">
        <f>IFERROR(__xludf.DUMMYFUNCTION("""COMPUTED_VALUE"""),-0.187322234983172)</f>
        <v>-0.187322235</v>
      </c>
      <c r="M959" s="166">
        <f t="shared" si="2"/>
        <v>0.003881807527</v>
      </c>
      <c r="N959" s="167">
        <f t="shared" si="3"/>
        <v>1.361666667</v>
      </c>
      <c r="O959" s="163">
        <f t="shared" ref="O959:Q959" si="963">rank(I959,I:I)</f>
        <v>2765</v>
      </c>
      <c r="P959" s="163">
        <f t="shared" si="963"/>
        <v>1473</v>
      </c>
      <c r="Q959" s="163">
        <f t="shared" si="963"/>
        <v>1178</v>
      </c>
      <c r="R959" s="163">
        <f>IFERROR(__xludf.DUMMYFUNCTION("RANK(M959,filter(M:M,C:C=C959))"),438.0)</f>
        <v>438</v>
      </c>
      <c r="S959" s="161" t="b">
        <f t="shared" si="5"/>
        <v>0</v>
      </c>
      <c r="T959" s="161" t="b">
        <f t="array" ref="T959">index('Query Tool'!B:B,match(H959,'Query Tool'!C:C,0))</f>
        <v>1</v>
      </c>
      <c r="U959" s="161" t="b">
        <f t="array" ref="U959">index('Query Tool'!B:B,match(C959,'Query Tool'!C:C,0))</f>
        <v>0</v>
      </c>
      <c r="V959" s="161" t="b">
        <f>F959&gt;='Query Tool'!C$32</f>
        <v>0</v>
      </c>
      <c r="W959" s="161" t="b">
        <f t="array" ref="W959">index(Dropdowns!B:B,match(I959,Dropdowns!A:A,0))</f>
        <v>1</v>
      </c>
      <c r="X959" s="161" t="b">
        <f t="array" ref="X959">index('Query Tool'!B:B,match(D959,'Query Tool'!C:C,0))</f>
        <v>1</v>
      </c>
      <c r="Y959" s="161" t="str">
        <f t="shared" si="6"/>
        <v>benimje01,2014-15</v>
      </c>
      <c r="Z959" s="168" t="str">
        <f t="array" ref="Z959">iferror(index(I:I,match($A959&amp;","&amp;index('Year Conversion'!$A:$A,match($C959,'Year Conversion'!$B:$B,0)),$Y:$Y,0))-I959,"")</f>
        <v/>
      </c>
      <c r="AA959" s="168" t="str">
        <f t="array" ref="AA959">iferror(index(J:J,match($A959&amp;","&amp;index('Year Conversion'!$A:$A,match($C959,'Year Conversion'!$B:$B,0)),$Y:$Y,0))-J959,"")</f>
        <v/>
      </c>
      <c r="AB959" s="168" t="str">
        <f t="array" ref="AB959">iferror(index(K:K,match($A959&amp;","&amp;index('Year Conversion'!$A:$A,match($C959,'Year Conversion'!$B:$B,0)),$Y:$Y,0))-K959,"")</f>
        <v/>
      </c>
      <c r="AC959" s="168" t="str">
        <f t="shared" si="7"/>
        <v>UTA,2014-15</v>
      </c>
    </row>
    <row r="960">
      <c r="A960" s="161" t="str">
        <f>IFERROR(__xludf.DUMMYFUNCTION("""COMPUTED_VALUE"""),"capelca01")</f>
        <v>capelca01</v>
      </c>
      <c r="B960" s="161" t="str">
        <f>IFERROR(__xludf.DUMMYFUNCTION("""COMPUTED_VALUE"""),"Clint Capela")</f>
        <v>Clint Capela</v>
      </c>
      <c r="C960" s="162" t="str">
        <f>IFERROR(__xludf.DUMMYFUNCTION("""COMPUTED_VALUE"""),"2014-15")</f>
        <v>2014-15</v>
      </c>
      <c r="D960" s="163" t="str">
        <f>IFERROR(__xludf.DUMMYFUNCTION("""COMPUTED_VALUE"""),"HOU")</f>
        <v>HOU</v>
      </c>
      <c r="E960" s="164" t="str">
        <f>IFERROR(__xludf.DUMMYFUNCTION("""COMPUTED_VALUE"""),"Roll + Cut Big")</f>
        <v>Roll + Cut Big</v>
      </c>
      <c r="F960" s="164">
        <f>IFERROR(__xludf.DUMMYFUNCTION("""COMPUTED_VALUE"""),89.6383333333333)</f>
        <v>89.63833333</v>
      </c>
      <c r="G960" s="163">
        <f>IFERROR(__xludf.DUMMYFUNCTION("""COMPUTED_VALUE"""),12.0)</f>
        <v>12</v>
      </c>
      <c r="H960" s="163" t="str">
        <f>IFERROR(__xludf.DUMMYFUNCTION("""COMPUTED_VALUE"""),"C")</f>
        <v>C</v>
      </c>
      <c r="I960" s="163">
        <f>IFERROR(__xludf.DUMMYFUNCTION("""COMPUTED_VALUE"""),20.0)</f>
        <v>20</v>
      </c>
      <c r="J960" s="165">
        <f>IFERROR(__xludf.DUMMYFUNCTION("""COMPUTED_VALUE"""),-0.402296244712701)</f>
        <v>-0.4022962447</v>
      </c>
      <c r="K960" s="165">
        <f>IFERROR(__xludf.DUMMYFUNCTION("""COMPUTED_VALUE"""),-0.402684930374507)</f>
        <v>-0.4026849304</v>
      </c>
      <c r="L960" s="165">
        <f>IFERROR(__xludf.DUMMYFUNCTION("""COMPUTED_VALUE"""),3.88685661805992E-4)</f>
        <v>0.0003886856618</v>
      </c>
      <c r="M960" s="166">
        <f t="shared" si="2"/>
        <v>0.113885825</v>
      </c>
      <c r="N960" s="167">
        <f t="shared" si="3"/>
        <v>7.469861111</v>
      </c>
      <c r="O960" s="163">
        <f t="shared" ref="O960:Q960" si="964">rank(I960,I:I)</f>
        <v>3770</v>
      </c>
      <c r="P960" s="163">
        <f t="shared" si="964"/>
        <v>1732</v>
      </c>
      <c r="Q960" s="163">
        <f t="shared" si="964"/>
        <v>1947</v>
      </c>
      <c r="R960" s="163">
        <f>IFERROR(__xludf.DUMMYFUNCTION("RANK(M960,filter(M:M,C:C=C960))"),370.0)</f>
        <v>370</v>
      </c>
      <c r="S960" s="161" t="b">
        <f t="shared" si="5"/>
        <v>0</v>
      </c>
      <c r="T960" s="161" t="b">
        <f t="array" ref="T960">index('Query Tool'!B:B,match(H960,'Query Tool'!C:C,0))</f>
        <v>1</v>
      </c>
      <c r="U960" s="161" t="b">
        <f t="array" ref="U960">index('Query Tool'!B:B,match(C960,'Query Tool'!C:C,0))</f>
        <v>0</v>
      </c>
      <c r="V960" s="161" t="b">
        <f>F960&gt;='Query Tool'!C$32</f>
        <v>0</v>
      </c>
      <c r="W960" s="161" t="b">
        <f t="array" ref="W960">index(Dropdowns!B:B,match(I960,Dropdowns!A:A,0))</f>
        <v>1</v>
      </c>
      <c r="X960" s="161" t="b">
        <f t="array" ref="X960">index('Query Tool'!B:B,match(D960,'Query Tool'!C:C,0))</f>
        <v>1</v>
      </c>
      <c r="Y960" s="161" t="str">
        <f t="shared" si="6"/>
        <v>capelca01,2014-15</v>
      </c>
      <c r="Z960" s="168">
        <f t="array" ref="Z960">iferror(index(I:I,match($A960&amp;","&amp;index('Year Conversion'!$A:$A,match($C960,'Year Conversion'!$B:$B,0)),$Y:$Y,0))-I960,"")</f>
        <v>1</v>
      </c>
      <c r="AA960" s="168">
        <f t="array" ref="AA960">iferror(index(J:J,match($A960&amp;","&amp;index('Year Conversion'!$A:$A,match($C960,'Year Conversion'!$B:$B,0)),$Y:$Y,0))-J960,"")</f>
        <v>2.832198167</v>
      </c>
      <c r="AB960" s="168">
        <f t="array" ref="AB960">iferror(index(K:K,match($A960&amp;","&amp;index('Year Conversion'!$A:$A,match($C960,'Year Conversion'!$B:$B,0)),$Y:$Y,0))-K960,"")</f>
        <v>0.8730704468</v>
      </c>
      <c r="AC960" s="168" t="str">
        <f t="shared" si="7"/>
        <v>HOU,2014-15</v>
      </c>
    </row>
    <row r="961">
      <c r="A961" s="161" t="str">
        <f>IFERROR(__xludf.DUMMYFUNCTION("""COMPUTED_VALUE"""),"nurkiju01")</f>
        <v>nurkiju01</v>
      </c>
      <c r="B961" s="161" t="str">
        <f>IFERROR(__xludf.DUMMYFUNCTION("""COMPUTED_VALUE"""),"Jusuf Nurkic")</f>
        <v>Jusuf Nurkic</v>
      </c>
      <c r="C961" s="162" t="str">
        <f>IFERROR(__xludf.DUMMYFUNCTION("""COMPUTED_VALUE"""),"2014-15")</f>
        <v>2014-15</v>
      </c>
      <c r="D961" s="163" t="str">
        <f>IFERROR(__xludf.DUMMYFUNCTION("""COMPUTED_VALUE"""),"DEN")</f>
        <v>DEN</v>
      </c>
      <c r="E961" s="164" t="str">
        <f>IFERROR(__xludf.DUMMYFUNCTION("""COMPUTED_VALUE"""),"Post Scorer")</f>
        <v>Post Scorer</v>
      </c>
      <c r="F961" s="164">
        <f>IFERROR(__xludf.DUMMYFUNCTION("""COMPUTED_VALUE"""),1103.25833333333)</f>
        <v>1103.258333</v>
      </c>
      <c r="G961" s="163">
        <f>IFERROR(__xludf.DUMMYFUNCTION("""COMPUTED_VALUE"""),62.0)</f>
        <v>62</v>
      </c>
      <c r="H961" s="163" t="str">
        <f>IFERROR(__xludf.DUMMYFUNCTION("""COMPUTED_VALUE"""),"C")</f>
        <v>C</v>
      </c>
      <c r="I961" s="163">
        <f>IFERROR(__xludf.DUMMYFUNCTION("""COMPUTED_VALUE"""),20.0)</f>
        <v>20</v>
      </c>
      <c r="J961" s="165">
        <f>IFERROR(__xludf.DUMMYFUNCTION("""COMPUTED_VALUE"""),0.0607606780309986)</f>
        <v>0.06076067803</v>
      </c>
      <c r="K961" s="165">
        <f>IFERROR(__xludf.DUMMYFUNCTION("""COMPUTED_VALUE"""),-2.2660870260242)</f>
        <v>-2.266087026</v>
      </c>
      <c r="L961" s="165">
        <f>IFERROR(__xludf.DUMMYFUNCTION("""COMPUTED_VALUE"""),2.3268477040552)</f>
        <v>2.326847704</v>
      </c>
      <c r="M961" s="166">
        <f t="shared" si="2"/>
        <v>1.746050494</v>
      </c>
      <c r="N961" s="167">
        <f t="shared" si="3"/>
        <v>17.79448925</v>
      </c>
      <c r="O961" s="163">
        <f t="shared" ref="O961:Q961" si="965">rank(I961,I:I)</f>
        <v>3770</v>
      </c>
      <c r="P961" s="163">
        <f t="shared" si="965"/>
        <v>1232</v>
      </c>
      <c r="Q961" s="163">
        <f t="shared" si="965"/>
        <v>3824</v>
      </c>
      <c r="R961" s="163">
        <f>IFERROR(__xludf.DUMMYFUNCTION("RANK(M961,filter(M:M,C:C=C961))"),182.0)</f>
        <v>182</v>
      </c>
      <c r="S961" s="161" t="b">
        <f t="shared" si="5"/>
        <v>0</v>
      </c>
      <c r="T961" s="161" t="b">
        <f t="array" ref="T961">index('Query Tool'!B:B,match(H961,'Query Tool'!C:C,0))</f>
        <v>1</v>
      </c>
      <c r="U961" s="161" t="b">
        <f t="array" ref="U961">index('Query Tool'!B:B,match(C961,'Query Tool'!C:C,0))</f>
        <v>0</v>
      </c>
      <c r="V961" s="161" t="b">
        <f>F961&gt;='Query Tool'!C$32</f>
        <v>1</v>
      </c>
      <c r="W961" s="161" t="b">
        <f t="array" ref="W961">index(Dropdowns!B:B,match(I961,Dropdowns!A:A,0))</f>
        <v>1</v>
      </c>
      <c r="X961" s="161" t="b">
        <f t="array" ref="X961">index('Query Tool'!B:B,match(D961,'Query Tool'!C:C,0))</f>
        <v>1</v>
      </c>
      <c r="Y961" s="161" t="str">
        <f t="shared" si="6"/>
        <v>nurkiju01,2014-15</v>
      </c>
      <c r="Z961" s="168">
        <f t="array" ref="Z961">iferror(index(I:I,match($A961&amp;","&amp;index('Year Conversion'!$A:$A,match($C961,'Year Conversion'!$B:$B,0)),$Y:$Y,0))-I961,"")</f>
        <v>1</v>
      </c>
      <c r="AA961" s="168">
        <f t="array" ref="AA961">iferror(index(J:J,match($A961&amp;","&amp;index('Year Conversion'!$A:$A,match($C961,'Year Conversion'!$B:$B,0)),$Y:$Y,0))-J961,"")</f>
        <v>0.6115105602</v>
      </c>
      <c r="AB961" s="168">
        <f t="array" ref="AB961">iferror(index(K:K,match($A961&amp;","&amp;index('Year Conversion'!$A:$A,match($C961,'Year Conversion'!$B:$B,0)),$Y:$Y,0))-K961,"")</f>
        <v>1.640136072</v>
      </c>
      <c r="AC961" s="168" t="str">
        <f t="shared" si="7"/>
        <v>DEN,2014-15</v>
      </c>
    </row>
    <row r="962">
      <c r="A962" s="161" t="str">
        <f>IFERROR(__xludf.DUMMYFUNCTION("""COMPUTED_VALUE"""),"cabocbr01")</f>
        <v>cabocbr01</v>
      </c>
      <c r="B962" s="161" t="str">
        <f>IFERROR(__xludf.DUMMYFUNCTION("""COMPUTED_VALUE"""),"Bruno Caboclo")</f>
        <v>Bruno Caboclo</v>
      </c>
      <c r="C962" s="162" t="str">
        <f>IFERROR(__xludf.DUMMYFUNCTION("""COMPUTED_VALUE"""),"2014-15")</f>
        <v>2014-15</v>
      </c>
      <c r="D962" s="163" t="str">
        <f>IFERROR(__xludf.DUMMYFUNCTION("""COMPUTED_VALUE"""),"TOR")</f>
        <v>TOR</v>
      </c>
      <c r="E962" s="164" t="str">
        <f>IFERROR(__xludf.DUMMYFUNCTION("""COMPUTED_VALUE"""),"Off Screen Shooter")</f>
        <v>Off Screen Shooter</v>
      </c>
      <c r="F962" s="164">
        <f>IFERROR(__xludf.DUMMYFUNCTION("""COMPUTED_VALUE"""),23.4166666666667)</f>
        <v>23.41666667</v>
      </c>
      <c r="G962" s="163">
        <f>IFERROR(__xludf.DUMMYFUNCTION("""COMPUTED_VALUE"""),8.0)</f>
        <v>8</v>
      </c>
      <c r="H962" s="163" t="str">
        <f>IFERROR(__xludf.DUMMYFUNCTION("""COMPUTED_VALUE"""),"SF")</f>
        <v>SF</v>
      </c>
      <c r="I962" s="163">
        <f>IFERROR(__xludf.DUMMYFUNCTION("""COMPUTED_VALUE"""),19.0)</f>
        <v>19</v>
      </c>
      <c r="J962" s="165">
        <f>IFERROR(__xludf.DUMMYFUNCTION("""COMPUTED_VALUE"""),-1.31897537865783)</f>
        <v>-1.318975379</v>
      </c>
      <c r="K962" s="165">
        <f>IFERROR(__xludf.DUMMYFUNCTION("""COMPUTED_VALUE"""),-0.600459903965839)</f>
        <v>-0.600459904</v>
      </c>
      <c r="L962" s="165">
        <f>IFERROR(__xludf.DUMMYFUNCTION("""COMPUTED_VALUE"""),-0.718515474691989)</f>
        <v>-0.7185154747</v>
      </c>
      <c r="M962" s="166">
        <f t="shared" si="2"/>
        <v>0.0153278421</v>
      </c>
      <c r="N962" s="167">
        <f t="shared" si="3"/>
        <v>2.927083333</v>
      </c>
      <c r="O962" s="163">
        <f t="shared" ref="O962:Q962" si="966">rank(I962,I:I)</f>
        <v>3945</v>
      </c>
      <c r="P962" s="163">
        <f t="shared" si="966"/>
        <v>2882</v>
      </c>
      <c r="Q962" s="163">
        <f t="shared" si="966"/>
        <v>2264</v>
      </c>
      <c r="R962" s="163">
        <f>IFERROR(__xludf.DUMMYFUNCTION("RANK(M962,filter(M:M,C:C=C962))"),430.0)</f>
        <v>430</v>
      </c>
      <c r="S962" s="161" t="b">
        <f t="shared" si="5"/>
        <v>0</v>
      </c>
      <c r="T962" s="161" t="b">
        <f t="array" ref="T962">index('Query Tool'!B:B,match(H962,'Query Tool'!C:C,0))</f>
        <v>1</v>
      </c>
      <c r="U962" s="161" t="b">
        <f t="array" ref="U962">index('Query Tool'!B:B,match(C962,'Query Tool'!C:C,0))</f>
        <v>0</v>
      </c>
      <c r="V962" s="161" t="b">
        <f>F962&gt;='Query Tool'!C$32</f>
        <v>0</v>
      </c>
      <c r="W962" s="161" t="b">
        <f t="array" ref="W962">index(Dropdowns!B:B,match(I962,Dropdowns!A:A,0))</f>
        <v>1</v>
      </c>
      <c r="X962" s="161" t="b">
        <f t="array" ref="X962">index('Query Tool'!B:B,match(D962,'Query Tool'!C:C,0))</f>
        <v>1</v>
      </c>
      <c r="Y962" s="161" t="str">
        <f t="shared" si="6"/>
        <v>cabocbr01,2014-15</v>
      </c>
      <c r="Z962" s="168">
        <f t="array" ref="Z962">iferror(index(I:I,match($A962&amp;","&amp;index('Year Conversion'!$A:$A,match($C962,'Year Conversion'!$B:$B,0)),$Y:$Y,0))-I962,"")</f>
        <v>1</v>
      </c>
      <c r="AA962" s="168">
        <f t="array" ref="AA962">iferror(index(J:J,match($A962&amp;","&amp;index('Year Conversion'!$A:$A,match($C962,'Year Conversion'!$B:$B,0)),$Y:$Y,0))-J962,"")</f>
        <v>0.243798942</v>
      </c>
      <c r="AB962" s="168">
        <f t="array" ref="AB962">iferror(index(K:K,match($A962&amp;","&amp;index('Year Conversion'!$A:$A,match($C962,'Year Conversion'!$B:$B,0)),$Y:$Y,0))-K962,"")</f>
        <v>0.03798495746</v>
      </c>
      <c r="AC962" s="168" t="str">
        <f t="shared" si="7"/>
        <v>TOR,2014-15</v>
      </c>
    </row>
    <row r="963">
      <c r="A963" s="161" t="str">
        <f>IFERROR(__xludf.DUMMYFUNCTION("""COMPUTED_VALUE"""),"rudezda01")</f>
        <v>rudezda01</v>
      </c>
      <c r="B963" s="161" t="str">
        <f>IFERROR(__xludf.DUMMYFUNCTION("""COMPUTED_VALUE"""),"Damjan Rudez")</f>
        <v>Damjan Rudez</v>
      </c>
      <c r="C963" s="162" t="str">
        <f>IFERROR(__xludf.DUMMYFUNCTION("""COMPUTED_VALUE"""),"2014-15")</f>
        <v>2014-15</v>
      </c>
      <c r="D963" s="163" t="str">
        <f>IFERROR(__xludf.DUMMYFUNCTION("""COMPUTED_VALUE"""),"IND")</f>
        <v>IND</v>
      </c>
      <c r="E963" s="164" t="str">
        <f>IFERROR(__xludf.DUMMYFUNCTION("""COMPUTED_VALUE"""),"Movement Shooter")</f>
        <v>Movement Shooter</v>
      </c>
      <c r="F963" s="164">
        <f>IFERROR(__xludf.DUMMYFUNCTION("""COMPUTED_VALUE"""),1047.395)</f>
        <v>1047.395</v>
      </c>
      <c r="G963" s="163">
        <f>IFERROR(__xludf.DUMMYFUNCTION("""COMPUTED_VALUE"""),68.0)</f>
        <v>68</v>
      </c>
      <c r="H963" s="163" t="str">
        <f>IFERROR(__xludf.DUMMYFUNCTION("""COMPUTED_VALUE"""),"SF")</f>
        <v>SF</v>
      </c>
      <c r="I963" s="163">
        <f>IFERROR(__xludf.DUMMYFUNCTION("""COMPUTED_VALUE"""),28.0)</f>
        <v>28</v>
      </c>
      <c r="J963" s="165">
        <f>IFERROR(__xludf.DUMMYFUNCTION("""COMPUTED_VALUE"""),-3.2709407710549)</f>
        <v>-3.270940771</v>
      </c>
      <c r="K963" s="165">
        <f>IFERROR(__xludf.DUMMYFUNCTION("""COMPUTED_VALUE"""),-1.59802541618843)</f>
        <v>-1.598025416</v>
      </c>
      <c r="L963" s="165">
        <f>IFERROR(__xludf.DUMMYFUNCTION("""COMPUTED_VALUE"""),-1.67291535486647)</f>
        <v>-1.672915355</v>
      </c>
      <c r="M963" s="166">
        <f t="shared" si="2"/>
        <v>-0.6612884431</v>
      </c>
      <c r="N963" s="167">
        <f t="shared" si="3"/>
        <v>15.40286765</v>
      </c>
      <c r="O963" s="163">
        <f t="shared" ref="O963:Q963" si="967">rank(I963,I:I)</f>
        <v>1090</v>
      </c>
      <c r="P963" s="163">
        <f t="shared" si="967"/>
        <v>3940</v>
      </c>
      <c r="Q963" s="163">
        <f t="shared" si="967"/>
        <v>3445</v>
      </c>
      <c r="R963" s="163">
        <f>IFERROR(__xludf.DUMMYFUNCTION("RANK(M963,filter(M:M,C:C=C963))"),485.0)</f>
        <v>485</v>
      </c>
      <c r="S963" s="161" t="b">
        <f t="shared" si="5"/>
        <v>0</v>
      </c>
      <c r="T963" s="161" t="b">
        <f t="array" ref="T963">index('Query Tool'!B:B,match(H963,'Query Tool'!C:C,0))</f>
        <v>1</v>
      </c>
      <c r="U963" s="161" t="b">
        <f t="array" ref="U963">index('Query Tool'!B:B,match(C963,'Query Tool'!C:C,0))</f>
        <v>0</v>
      </c>
      <c r="V963" s="161" t="b">
        <f>F963&gt;='Query Tool'!C$32</f>
        <v>1</v>
      </c>
      <c r="W963" s="161" t="b">
        <f t="array" ref="W963">index(Dropdowns!B:B,match(I963,Dropdowns!A:A,0))</f>
        <v>1</v>
      </c>
      <c r="X963" s="161" t="b">
        <f t="array" ref="X963">index('Query Tool'!B:B,match(D963,'Query Tool'!C:C,0))</f>
        <v>1</v>
      </c>
      <c r="Y963" s="161" t="str">
        <f t="shared" si="6"/>
        <v>rudezda01,2014-15</v>
      </c>
      <c r="Z963" s="168">
        <f t="array" ref="Z963">iferror(index(I:I,match($A963&amp;","&amp;index('Year Conversion'!$A:$A,match($C963,'Year Conversion'!$B:$B,0)),$Y:$Y,0))-I963,"")</f>
        <v>1</v>
      </c>
      <c r="AA963" s="168">
        <f t="array" ref="AA963">iferror(index(J:J,match($A963&amp;","&amp;index('Year Conversion'!$A:$A,match($C963,'Year Conversion'!$B:$B,0)),$Y:$Y,0))-J963,"")</f>
        <v>1.406019012</v>
      </c>
      <c r="AB963" s="168">
        <f t="array" ref="AB963">iferror(index(K:K,match($A963&amp;","&amp;index('Year Conversion'!$A:$A,match($C963,'Year Conversion'!$B:$B,0)),$Y:$Y,0))-K963,"")</f>
        <v>0.6657266907</v>
      </c>
      <c r="AC963" s="168" t="str">
        <f t="shared" si="7"/>
        <v>IND,2014-15</v>
      </c>
    </row>
    <row r="964">
      <c r="A964" s="161" t="str">
        <f>IFERROR(__xludf.DUMMYFUNCTION("""COMPUTED_VALUE"""),"johnsty01")</f>
        <v>johnsty01</v>
      </c>
      <c r="B964" s="161" t="str">
        <f>IFERROR(__xludf.DUMMYFUNCTION("""COMPUTED_VALUE"""),"Tyler Johnson")</f>
        <v>Tyler Johnson</v>
      </c>
      <c r="C964" s="162" t="str">
        <f>IFERROR(__xludf.DUMMYFUNCTION("""COMPUTED_VALUE"""),"2014-15")</f>
        <v>2014-15</v>
      </c>
      <c r="D964" s="163" t="str">
        <f>IFERROR(__xludf.DUMMYFUNCTION("""COMPUTED_VALUE"""),"MIA")</f>
        <v>MIA</v>
      </c>
      <c r="E964" s="164" t="str">
        <f>IFERROR(__xludf.DUMMYFUNCTION("""COMPUTED_VALUE"""),"Secondary Ball Handler")</f>
        <v>Secondary Ball Handler</v>
      </c>
      <c r="F964" s="164">
        <f>IFERROR(__xludf.DUMMYFUNCTION("""COMPUTED_VALUE"""),602.996666666667)</f>
        <v>602.9966667</v>
      </c>
      <c r="G964" s="163">
        <f>IFERROR(__xludf.DUMMYFUNCTION("""COMPUTED_VALUE"""),32.0)</f>
        <v>32</v>
      </c>
      <c r="H964" s="163" t="str">
        <f>IFERROR(__xludf.DUMMYFUNCTION("""COMPUTED_VALUE"""),"SG")</f>
        <v>SG</v>
      </c>
      <c r="I964" s="163">
        <f>IFERROR(__xludf.DUMMYFUNCTION("""COMPUTED_VALUE"""),22.0)</f>
        <v>22</v>
      </c>
      <c r="J964" s="165">
        <f>IFERROR(__xludf.DUMMYFUNCTION("""COMPUTED_VALUE"""),-1.48808629598544)</f>
        <v>-1.488086296</v>
      </c>
      <c r="K964" s="165">
        <f>IFERROR(__xludf.DUMMYFUNCTION("""COMPUTED_VALUE"""),-1.58384220178655)</f>
        <v>-1.583842202</v>
      </c>
      <c r="L964" s="165">
        <f>IFERROR(__xludf.DUMMYFUNCTION("""COMPUTED_VALUE"""),0.0957559058011156)</f>
        <v>0.0957559058</v>
      </c>
      <c r="M964" s="166">
        <f t="shared" si="2"/>
        <v>0.3265160155</v>
      </c>
      <c r="N964" s="167">
        <f t="shared" si="3"/>
        <v>18.84364583</v>
      </c>
      <c r="O964" s="163">
        <f t="shared" ref="O964:Q964" si="968">rank(I964,I:I)</f>
        <v>3178</v>
      </c>
      <c r="P964" s="163">
        <f t="shared" si="968"/>
        <v>3041</v>
      </c>
      <c r="Q964" s="163">
        <f t="shared" si="968"/>
        <v>3437</v>
      </c>
      <c r="R964" s="163">
        <f>IFERROR(__xludf.DUMMYFUNCTION("RANK(M964,filter(M:M,C:C=C964))"),306.0)</f>
        <v>306</v>
      </c>
      <c r="S964" s="161" t="b">
        <f t="shared" si="5"/>
        <v>0</v>
      </c>
      <c r="T964" s="161" t="b">
        <f t="array" ref="T964">index('Query Tool'!B:B,match(H964,'Query Tool'!C:C,0))</f>
        <v>1</v>
      </c>
      <c r="U964" s="161" t="b">
        <f t="array" ref="U964">index('Query Tool'!B:B,match(C964,'Query Tool'!C:C,0))</f>
        <v>0</v>
      </c>
      <c r="V964" s="161" t="b">
        <f>F964&gt;='Query Tool'!C$32</f>
        <v>1</v>
      </c>
      <c r="W964" s="161" t="b">
        <f t="array" ref="W964">index(Dropdowns!B:B,match(I964,Dropdowns!A:A,0))</f>
        <v>1</v>
      </c>
      <c r="X964" s="161" t="b">
        <f t="array" ref="X964">index('Query Tool'!B:B,match(D964,'Query Tool'!C:C,0))</f>
        <v>1</v>
      </c>
      <c r="Y964" s="161" t="str">
        <f t="shared" si="6"/>
        <v>johnsty01,2014-15</v>
      </c>
      <c r="Z964" s="168">
        <f t="array" ref="Z964">iferror(index(I:I,match($A964&amp;","&amp;index('Year Conversion'!$A:$A,match($C964,'Year Conversion'!$B:$B,0)),$Y:$Y,0))-I964,"")</f>
        <v>1</v>
      </c>
      <c r="AA964" s="168">
        <f t="array" ref="AA964">iferror(index(J:J,match($A964&amp;","&amp;index('Year Conversion'!$A:$A,match($C964,'Year Conversion'!$B:$B,0)),$Y:$Y,0))-J964,"")</f>
        <v>0.3642791872</v>
      </c>
      <c r="AB964" s="168">
        <f t="array" ref="AB964">iferror(index(K:K,match($A964&amp;","&amp;index('Year Conversion'!$A:$A,match($C964,'Year Conversion'!$B:$B,0)),$Y:$Y,0))-K964,"")</f>
        <v>0.9845866168</v>
      </c>
      <c r="AC964" s="168" t="str">
        <f t="shared" si="7"/>
        <v>MIA,2014-15</v>
      </c>
    </row>
    <row r="965">
      <c r="A965" s="161" t="str">
        <f>IFERROR(__xludf.DUMMYFUNCTION("""COMPUTED_VALUE"""),"bhullsi01")</f>
        <v>bhullsi01</v>
      </c>
      <c r="B965" s="161" t="str">
        <f>IFERROR(__xludf.DUMMYFUNCTION("""COMPUTED_VALUE"""),"Sim Bhullar")</f>
        <v>Sim Bhullar</v>
      </c>
      <c r="C965" s="162" t="str">
        <f>IFERROR(__xludf.DUMMYFUNCTION("""COMPUTED_VALUE"""),"2014-15")</f>
        <v>2014-15</v>
      </c>
      <c r="D965" s="163" t="str">
        <f>IFERROR(__xludf.DUMMYFUNCTION("""COMPUTED_VALUE"""),"SAC")</f>
        <v>SAC</v>
      </c>
      <c r="E965" s="164" t="str">
        <f>IFERROR(__xludf.DUMMYFUNCTION("""COMPUTED_VALUE"""),"Post Scorer")</f>
        <v>Post Scorer</v>
      </c>
      <c r="F965" s="164">
        <f>IFERROR(__xludf.DUMMYFUNCTION("""COMPUTED_VALUE"""),2.685)</f>
        <v>2.685</v>
      </c>
      <c r="G965" s="163">
        <f>IFERROR(__xludf.DUMMYFUNCTION("""COMPUTED_VALUE"""),3.0)</f>
        <v>3</v>
      </c>
      <c r="H965" s="163" t="str">
        <f>IFERROR(__xludf.DUMMYFUNCTION("""COMPUTED_VALUE"""),"C")</f>
        <v>C</v>
      </c>
      <c r="I965" s="163">
        <f>IFERROR(__xludf.DUMMYFUNCTION("""COMPUTED_VALUE"""),22.0)</f>
        <v>22</v>
      </c>
      <c r="J965" s="165">
        <f>IFERROR(__xludf.DUMMYFUNCTION("""COMPUTED_VALUE"""),0.0832572742508907)</f>
        <v>0.08325727425</v>
      </c>
      <c r="K965" s="165">
        <f>IFERROR(__xludf.DUMMYFUNCTION("""COMPUTED_VALUE"""),0.125861089176662)</f>
        <v>0.1258610892</v>
      </c>
      <c r="L965" s="165">
        <f>IFERROR(__xludf.DUMMYFUNCTION("""COMPUTED_VALUE"""),-0.0426038149257715)</f>
        <v>-0.04260381493</v>
      </c>
      <c r="M965" s="166">
        <f t="shared" si="2"/>
        <v>0.004290085838</v>
      </c>
      <c r="N965" s="167">
        <f t="shared" si="3"/>
        <v>0.895</v>
      </c>
      <c r="O965" s="163">
        <f t="shared" ref="O965:Q965" si="969">rank(I965,I:I)</f>
        <v>3178</v>
      </c>
      <c r="P965" s="163">
        <f t="shared" si="969"/>
        <v>1210</v>
      </c>
      <c r="Q965" s="163">
        <f t="shared" si="969"/>
        <v>1044</v>
      </c>
      <c r="R965" s="163">
        <f>IFERROR(__xludf.DUMMYFUNCTION("RANK(M965,filter(M:M,C:C=C965))"),437.0)</f>
        <v>437</v>
      </c>
      <c r="S965" s="161" t="b">
        <f t="shared" si="5"/>
        <v>0</v>
      </c>
      <c r="T965" s="161" t="b">
        <f t="array" ref="T965">index('Query Tool'!B:B,match(H965,'Query Tool'!C:C,0))</f>
        <v>1</v>
      </c>
      <c r="U965" s="161" t="b">
        <f t="array" ref="U965">index('Query Tool'!B:B,match(C965,'Query Tool'!C:C,0))</f>
        <v>0</v>
      </c>
      <c r="V965" s="161" t="b">
        <f>F965&gt;='Query Tool'!C$32</f>
        <v>0</v>
      </c>
      <c r="W965" s="161" t="b">
        <f t="array" ref="W965">index(Dropdowns!B:B,match(I965,Dropdowns!A:A,0))</f>
        <v>1</v>
      </c>
      <c r="X965" s="161" t="b">
        <f t="array" ref="X965">index('Query Tool'!B:B,match(D965,'Query Tool'!C:C,0))</f>
        <v>1</v>
      </c>
      <c r="Y965" s="161" t="str">
        <f t="shared" si="6"/>
        <v>bhullsi01,2014-15</v>
      </c>
      <c r="Z965" s="168" t="str">
        <f t="array" ref="Z965">iferror(index(I:I,match($A965&amp;","&amp;index('Year Conversion'!$A:$A,match($C965,'Year Conversion'!$B:$B,0)),$Y:$Y,0))-I965,"")</f>
        <v/>
      </c>
      <c r="AA965" s="168" t="str">
        <f t="array" ref="AA965">iferror(index(J:J,match($A965&amp;","&amp;index('Year Conversion'!$A:$A,match($C965,'Year Conversion'!$B:$B,0)),$Y:$Y,0))-J965,"")</f>
        <v/>
      </c>
      <c r="AB965" s="168" t="str">
        <f t="array" ref="AB965">iferror(index(K:K,match($A965&amp;","&amp;index('Year Conversion'!$A:$A,match($C965,'Year Conversion'!$B:$B,0)),$Y:$Y,0))-K965,"")</f>
        <v/>
      </c>
      <c r="AC965" s="168" t="str">
        <f t="shared" si="7"/>
        <v>SAC,2014-15</v>
      </c>
    </row>
    <row r="966">
      <c r="A966" s="161" t="str">
        <f>IFERROR(__xludf.DUMMYFUNCTION("""COMPUTED_VALUE"""),"cooleja01")</f>
        <v>cooleja01</v>
      </c>
      <c r="B966" s="161" t="str">
        <f>IFERROR(__xludf.DUMMYFUNCTION("""COMPUTED_VALUE"""),"Jack Cooley")</f>
        <v>Jack Cooley</v>
      </c>
      <c r="C966" s="162" t="str">
        <f>IFERROR(__xludf.DUMMYFUNCTION("""COMPUTED_VALUE"""),"2014-15")</f>
        <v>2014-15</v>
      </c>
      <c r="D966" s="163" t="str">
        <f>IFERROR(__xludf.DUMMYFUNCTION("""COMPUTED_VALUE"""),"UTA")</f>
        <v>UTA</v>
      </c>
      <c r="E966" s="164" t="str">
        <f>IFERROR(__xludf.DUMMYFUNCTION("""COMPUTED_VALUE"""),"Roll + Cut Big")</f>
        <v>Roll + Cut Big</v>
      </c>
      <c r="F966" s="164">
        <f>IFERROR(__xludf.DUMMYFUNCTION("""COMPUTED_VALUE"""),87.1450000000001)</f>
        <v>87.145</v>
      </c>
      <c r="G966" s="163">
        <f>IFERROR(__xludf.DUMMYFUNCTION("""COMPUTED_VALUE"""),16.0)</f>
        <v>16</v>
      </c>
      <c r="H966" s="163" t="str">
        <f>IFERROR(__xludf.DUMMYFUNCTION("""COMPUTED_VALUE"""),"C")</f>
        <v>C</v>
      </c>
      <c r="I966" s="163">
        <f>IFERROR(__xludf.DUMMYFUNCTION("""COMPUTED_VALUE"""),23.0)</f>
        <v>23</v>
      </c>
      <c r="J966" s="165">
        <f>IFERROR(__xludf.DUMMYFUNCTION("""COMPUTED_VALUE"""),0.147135319394453)</f>
        <v>0.1471353194</v>
      </c>
      <c r="K966" s="165">
        <f>IFERROR(__xludf.DUMMYFUNCTION("""COMPUTED_VALUE"""),-0.139730648699831)</f>
        <v>-0.1397306487</v>
      </c>
      <c r="L966" s="165">
        <f>IFERROR(__xludf.DUMMYFUNCTION("""COMPUTED_VALUE"""),0.286865968094284)</f>
        <v>0.2868659681</v>
      </c>
      <c r="M966" s="166">
        <f t="shared" si="2"/>
        <v>0.1429928159</v>
      </c>
      <c r="N966" s="167">
        <f t="shared" si="3"/>
        <v>5.4465625</v>
      </c>
      <c r="O966" s="163">
        <f t="shared" ref="O966:Q966" si="970">rank(I966,I:I)</f>
        <v>2765</v>
      </c>
      <c r="P966" s="163">
        <f t="shared" si="970"/>
        <v>1139</v>
      </c>
      <c r="Q966" s="163">
        <f t="shared" si="970"/>
        <v>1464</v>
      </c>
      <c r="R966" s="163">
        <f>IFERROR(__xludf.DUMMYFUNCTION("RANK(M966,filter(M:M,C:C=C966))"),356.0)</f>
        <v>356</v>
      </c>
      <c r="S966" s="161" t="b">
        <f t="shared" si="5"/>
        <v>0</v>
      </c>
      <c r="T966" s="161" t="b">
        <f t="array" ref="T966">index('Query Tool'!B:B,match(H966,'Query Tool'!C:C,0))</f>
        <v>1</v>
      </c>
      <c r="U966" s="161" t="b">
        <f t="array" ref="U966">index('Query Tool'!B:B,match(C966,'Query Tool'!C:C,0))</f>
        <v>0</v>
      </c>
      <c r="V966" s="161" t="b">
        <f>F966&gt;='Query Tool'!C$32</f>
        <v>0</v>
      </c>
      <c r="W966" s="161" t="b">
        <f t="array" ref="W966">index(Dropdowns!B:B,match(I966,Dropdowns!A:A,0))</f>
        <v>1</v>
      </c>
      <c r="X966" s="161" t="b">
        <f t="array" ref="X966">index('Query Tool'!B:B,match(D966,'Query Tool'!C:C,0))</f>
        <v>1</v>
      </c>
      <c r="Y966" s="161" t="str">
        <f t="shared" si="6"/>
        <v>cooleja01,2014-15</v>
      </c>
      <c r="Z966" s="168" t="str">
        <f t="array" ref="Z966">iferror(index(I:I,match($A966&amp;","&amp;index('Year Conversion'!$A:$A,match($C966,'Year Conversion'!$B:$B,0)),$Y:$Y,0))-I966,"")</f>
        <v/>
      </c>
      <c r="AA966" s="168" t="str">
        <f t="array" ref="AA966">iferror(index(J:J,match($A966&amp;","&amp;index('Year Conversion'!$A:$A,match($C966,'Year Conversion'!$B:$B,0)),$Y:$Y,0))-J966,"")</f>
        <v/>
      </c>
      <c r="AB966" s="168" t="str">
        <f t="array" ref="AB966">iferror(index(K:K,match($A966&amp;","&amp;index('Year Conversion'!$A:$A,match($C966,'Year Conversion'!$B:$B,0)),$Y:$Y,0))-K966,"")</f>
        <v/>
      </c>
      <c r="AC966" s="168" t="str">
        <f t="shared" si="7"/>
        <v>UTA,2014-15</v>
      </c>
    </row>
    <row r="967">
      <c r="A967" s="161" t="str">
        <f>IFERROR(__xludf.DUMMYFUNCTION("""COMPUTED_VALUE"""),"fraziti01")</f>
        <v>fraziti01</v>
      </c>
      <c r="B967" s="161" t="str">
        <f>IFERROR(__xludf.DUMMYFUNCTION("""COMPUTED_VALUE"""),"Tim Frazier")</f>
        <v>Tim Frazier</v>
      </c>
      <c r="C967" s="162" t="str">
        <f>IFERROR(__xludf.DUMMYFUNCTION("""COMPUTED_VALUE"""),"2014-15")</f>
        <v>2014-15</v>
      </c>
      <c r="D967" s="163" t="str">
        <f>IFERROR(__xludf.DUMMYFUNCTION("""COMPUTED_VALUE"""),"TOT")</f>
        <v>TOT</v>
      </c>
      <c r="E967" s="164" t="str">
        <f>IFERROR(__xludf.DUMMYFUNCTION("""COMPUTED_VALUE"""),"Slasher")</f>
        <v>Slasher</v>
      </c>
      <c r="F967" s="164">
        <f>IFERROR(__xludf.DUMMYFUNCTION("""COMPUTED_VALUE"""),239.498333333333)</f>
        <v>239.4983333</v>
      </c>
      <c r="G967" s="163">
        <f>IFERROR(__xludf.DUMMYFUNCTION("""COMPUTED_VALUE"""),11.0)</f>
        <v>11</v>
      </c>
      <c r="H967" s="163" t="str">
        <f>IFERROR(__xludf.DUMMYFUNCTION("""COMPUTED_VALUE"""),"PG")</f>
        <v>PG</v>
      </c>
      <c r="I967" s="163">
        <f>IFERROR(__xludf.DUMMYFUNCTION("""COMPUTED_VALUE"""),24.0)</f>
        <v>24</v>
      </c>
      <c r="J967" s="165">
        <f>IFERROR(__xludf.DUMMYFUNCTION("""COMPUTED_VALUE"""),-0.487350048273031)</f>
        <v>-0.4873500483</v>
      </c>
      <c r="K967" s="165">
        <f>IFERROR(__xludf.DUMMYFUNCTION("""COMPUTED_VALUE"""),-0.061427012993689)</f>
        <v>-0.06142701299</v>
      </c>
      <c r="L967" s="165">
        <f>IFERROR(__xludf.DUMMYFUNCTION("""COMPUTED_VALUE"""),-0.425923035279342)</f>
        <v>-0.4259230353</v>
      </c>
      <c r="M967" s="166">
        <f t="shared" si="2"/>
        <v>0.2905614361</v>
      </c>
      <c r="N967" s="167">
        <f t="shared" si="3"/>
        <v>21.77257576</v>
      </c>
      <c r="O967" s="163">
        <f t="shared" ref="O967:Q967" si="971">rank(I967,I:I)</f>
        <v>2361</v>
      </c>
      <c r="P967" s="163">
        <f t="shared" si="971"/>
        <v>1833</v>
      </c>
      <c r="Q967" s="163">
        <f t="shared" si="971"/>
        <v>1290</v>
      </c>
      <c r="R967" s="163">
        <f>IFERROR(__xludf.DUMMYFUNCTION("RANK(M967,filter(M:M,C:C=C967))"),312.0)</f>
        <v>312</v>
      </c>
      <c r="S967" s="161" t="b">
        <f t="shared" si="5"/>
        <v>0</v>
      </c>
      <c r="T967" s="161" t="b">
        <f t="array" ref="T967">index('Query Tool'!B:B,match(H967,'Query Tool'!C:C,0))</f>
        <v>1</v>
      </c>
      <c r="U967" s="161" t="b">
        <f t="array" ref="U967">index('Query Tool'!B:B,match(C967,'Query Tool'!C:C,0))</f>
        <v>0</v>
      </c>
      <c r="V967" s="161" t="b">
        <f>F967&gt;='Query Tool'!C$32</f>
        <v>0</v>
      </c>
      <c r="W967" s="161" t="b">
        <f t="array" ref="W967">index(Dropdowns!B:B,match(I967,Dropdowns!A:A,0))</f>
        <v>1</v>
      </c>
      <c r="X967" s="161" t="b">
        <f t="array" ref="X967">index('Query Tool'!B:B,match(D967,'Query Tool'!C:C,0))</f>
        <v>1</v>
      </c>
      <c r="Y967" s="161" t="str">
        <f t="shared" si="6"/>
        <v>fraziti01,2014-15</v>
      </c>
      <c r="Z967" s="168">
        <f t="array" ref="Z967">iferror(index(I:I,match($A967&amp;","&amp;index('Year Conversion'!$A:$A,match($C967,'Year Conversion'!$B:$B,0)),$Y:$Y,0))-I967,"")</f>
        <v>1</v>
      </c>
      <c r="AA967" s="168">
        <f t="array" ref="AA967">iferror(index(J:J,match($A967&amp;","&amp;index('Year Conversion'!$A:$A,match($C967,'Year Conversion'!$B:$B,0)),$Y:$Y,0))-J967,"")</f>
        <v>0.4248024024</v>
      </c>
      <c r="AB967" s="168">
        <f t="array" ref="AB967">iferror(index(K:K,match($A967&amp;","&amp;index('Year Conversion'!$A:$A,match($C967,'Year Conversion'!$B:$B,0)),$Y:$Y,0))-K967,"")</f>
        <v>0.6723316594</v>
      </c>
      <c r="AC967" s="168" t="str">
        <f t="shared" si="7"/>
        <v>TOT,2014-15</v>
      </c>
    </row>
    <row r="968">
      <c r="A968" s="161" t="str">
        <f>IFERROR(__xludf.DUMMYFUNCTION("""COMPUTED_VALUE"""),"blackta01")</f>
        <v>blackta01</v>
      </c>
      <c r="B968" s="161" t="str">
        <f>IFERROR(__xludf.DUMMYFUNCTION("""COMPUTED_VALUE"""),"Tarik Black")</f>
        <v>Tarik Black</v>
      </c>
      <c r="C968" s="162" t="str">
        <f>IFERROR(__xludf.DUMMYFUNCTION("""COMPUTED_VALUE"""),"2014-15")</f>
        <v>2014-15</v>
      </c>
      <c r="D968" s="163" t="str">
        <f>IFERROR(__xludf.DUMMYFUNCTION("""COMPUTED_VALUE"""),"TOT")</f>
        <v>TOT</v>
      </c>
      <c r="E968" s="164" t="str">
        <f>IFERROR(__xludf.DUMMYFUNCTION("""COMPUTED_VALUE"""),"Roll + Cut Big")</f>
        <v>Roll + Cut Big</v>
      </c>
      <c r="F968" s="164">
        <f>IFERROR(__xludf.DUMMYFUNCTION("""COMPUTED_VALUE"""),1195.31333333333)</f>
        <v>1195.313333</v>
      </c>
      <c r="G968" s="163">
        <f>IFERROR(__xludf.DUMMYFUNCTION("""COMPUTED_VALUE"""),63.0)</f>
        <v>63</v>
      </c>
      <c r="H968" s="163" t="str">
        <f>IFERROR(__xludf.DUMMYFUNCTION("""COMPUTED_VALUE"""),"C")</f>
        <v>C</v>
      </c>
      <c r="I968" s="163">
        <f>IFERROR(__xludf.DUMMYFUNCTION("""COMPUTED_VALUE"""),23.0)</f>
        <v>23</v>
      </c>
      <c r="J968" s="165">
        <f>IFERROR(__xludf.DUMMYFUNCTION("""COMPUTED_VALUE"""),-1.26645173934969)</f>
        <v>-1.266451739</v>
      </c>
      <c r="K968" s="165">
        <f>IFERROR(__xludf.DUMMYFUNCTION("""COMPUTED_VALUE"""),-1.19106704366338)</f>
        <v>-1.191067044</v>
      </c>
      <c r="L968" s="165">
        <f>IFERROR(__xludf.DUMMYFUNCTION("""COMPUTED_VALUE"""),-0.0753846956863065)</f>
        <v>-0.07538469569</v>
      </c>
      <c r="M968" s="166">
        <f t="shared" si="2"/>
        <v>0.8244496343</v>
      </c>
      <c r="N968" s="167">
        <f t="shared" si="3"/>
        <v>18.97322751</v>
      </c>
      <c r="O968" s="163">
        <f t="shared" ref="O968:Q968" si="972">rank(I968,I:I)</f>
        <v>2765</v>
      </c>
      <c r="P968" s="163">
        <f t="shared" si="972"/>
        <v>2832</v>
      </c>
      <c r="Q968" s="163">
        <f t="shared" si="972"/>
        <v>3030</v>
      </c>
      <c r="R968" s="163">
        <f>IFERROR(__xludf.DUMMYFUNCTION("RANK(M968,filter(M:M,C:C=C968))"),246.0)</f>
        <v>246</v>
      </c>
      <c r="S968" s="161" t="b">
        <f t="shared" si="5"/>
        <v>0</v>
      </c>
      <c r="T968" s="161" t="b">
        <f t="array" ref="T968">index('Query Tool'!B:B,match(H968,'Query Tool'!C:C,0))</f>
        <v>1</v>
      </c>
      <c r="U968" s="161" t="b">
        <f t="array" ref="U968">index('Query Tool'!B:B,match(C968,'Query Tool'!C:C,0))</f>
        <v>0</v>
      </c>
      <c r="V968" s="161" t="b">
        <f>F968&gt;='Query Tool'!C$32</f>
        <v>1</v>
      </c>
      <c r="W968" s="161" t="b">
        <f t="array" ref="W968">index(Dropdowns!B:B,match(I968,Dropdowns!A:A,0))</f>
        <v>1</v>
      </c>
      <c r="X968" s="161" t="b">
        <f t="array" ref="X968">index('Query Tool'!B:B,match(D968,'Query Tool'!C:C,0))</f>
        <v>1</v>
      </c>
      <c r="Y968" s="161" t="str">
        <f t="shared" si="6"/>
        <v>blackta01,2014-15</v>
      </c>
      <c r="Z968" s="168">
        <f t="array" ref="Z968">iferror(index(I:I,match($A968&amp;","&amp;index('Year Conversion'!$A:$A,match($C968,'Year Conversion'!$B:$B,0)),$Y:$Y,0))-I968,"")</f>
        <v>1</v>
      </c>
      <c r="AA968" s="168">
        <f t="array" ref="AA968">iferror(index(J:J,match($A968&amp;","&amp;index('Year Conversion'!$A:$A,match($C968,'Year Conversion'!$B:$B,0)),$Y:$Y,0))-J968,"")</f>
        <v>1.356865216</v>
      </c>
      <c r="AB968" s="168">
        <f t="array" ref="AB968">iferror(index(K:K,match($A968&amp;","&amp;index('Year Conversion'!$A:$A,match($C968,'Year Conversion'!$B:$B,0)),$Y:$Y,0))-K968,"")</f>
        <v>-0.278074677</v>
      </c>
      <c r="AC968" s="168" t="str">
        <f t="shared" si="7"/>
        <v>TOT,2014-15</v>
      </c>
    </row>
    <row r="969">
      <c r="A969" s="161" t="str">
        <f>IFERROR(__xludf.DUMMYFUNCTION("""COMPUTED_VALUE"""),"wearda01")</f>
        <v>wearda01</v>
      </c>
      <c r="B969" s="161" t="str">
        <f>IFERROR(__xludf.DUMMYFUNCTION("""COMPUTED_VALUE"""),"David Wear")</f>
        <v>David Wear</v>
      </c>
      <c r="C969" s="162" t="str">
        <f>IFERROR(__xludf.DUMMYFUNCTION("""COMPUTED_VALUE"""),"2014-15")</f>
        <v>2014-15</v>
      </c>
      <c r="D969" s="163" t="str">
        <f>IFERROR(__xludf.DUMMYFUNCTION("""COMPUTED_VALUE"""),"SAC")</f>
        <v>SAC</v>
      </c>
      <c r="E969" s="164" t="str">
        <f>IFERROR(__xludf.DUMMYFUNCTION("""COMPUTED_VALUE"""),"Stretch Big")</f>
        <v>Stretch Big</v>
      </c>
      <c r="F969" s="164">
        <f>IFERROR(__xludf.DUMMYFUNCTION("""COMPUTED_VALUE"""),6.96666666666667)</f>
        <v>6.966666667</v>
      </c>
      <c r="G969" s="163">
        <f>IFERROR(__xludf.DUMMYFUNCTION("""COMPUTED_VALUE"""),2.0)</f>
        <v>2</v>
      </c>
      <c r="H969" s="163" t="str">
        <f>IFERROR(__xludf.DUMMYFUNCTION("""COMPUTED_VALUE"""),"PF")</f>
        <v>PF</v>
      </c>
      <c r="I969" s="163">
        <f>IFERROR(__xludf.DUMMYFUNCTION("""COMPUTED_VALUE"""),24.0)</f>
        <v>24</v>
      </c>
      <c r="J969" s="165">
        <f>IFERROR(__xludf.DUMMYFUNCTION("""COMPUTED_VALUE"""),0.086147870476069)</f>
        <v>0.08614787048</v>
      </c>
      <c r="K969" s="165">
        <f>IFERROR(__xludf.DUMMYFUNCTION("""COMPUTED_VALUE"""),0.167945743869071)</f>
        <v>0.1679457439</v>
      </c>
      <c r="L969" s="165">
        <f>IFERROR(__xludf.DUMMYFUNCTION("""COMPUTED_VALUE"""),-0.0817978733930022)</f>
        <v>-0.08179787339</v>
      </c>
      <c r="M969" s="166">
        <f t="shared" si="2"/>
        <v>0.01114489772</v>
      </c>
      <c r="N969" s="167">
        <f t="shared" si="3"/>
        <v>3.483333333</v>
      </c>
      <c r="O969" s="163">
        <f t="shared" ref="O969:Q969" si="973">rank(I969,I:I)</f>
        <v>2361</v>
      </c>
      <c r="P969" s="163">
        <f t="shared" si="973"/>
        <v>1206</v>
      </c>
      <c r="Q969" s="163">
        <f t="shared" si="973"/>
        <v>1010</v>
      </c>
      <c r="R969" s="163">
        <f>IFERROR(__xludf.DUMMYFUNCTION("RANK(M969,filter(M:M,C:C=C969))"),432.0)</f>
        <v>432</v>
      </c>
      <c r="S969" s="161" t="b">
        <f t="shared" si="5"/>
        <v>0</v>
      </c>
      <c r="T969" s="161" t="b">
        <f t="array" ref="T969">index('Query Tool'!B:B,match(H969,'Query Tool'!C:C,0))</f>
        <v>1</v>
      </c>
      <c r="U969" s="161" t="b">
        <f t="array" ref="U969">index('Query Tool'!B:B,match(C969,'Query Tool'!C:C,0))</f>
        <v>0</v>
      </c>
      <c r="V969" s="161" t="b">
        <f>F969&gt;='Query Tool'!C$32</f>
        <v>0</v>
      </c>
      <c r="W969" s="161" t="b">
        <f t="array" ref="W969">index(Dropdowns!B:B,match(I969,Dropdowns!A:A,0))</f>
        <v>1</v>
      </c>
      <c r="X969" s="161" t="b">
        <f t="array" ref="X969">index('Query Tool'!B:B,match(D969,'Query Tool'!C:C,0))</f>
        <v>1</v>
      </c>
      <c r="Y969" s="161" t="str">
        <f t="shared" si="6"/>
        <v>wearda01,2014-15</v>
      </c>
      <c r="Z969" s="168" t="str">
        <f t="array" ref="Z969">iferror(index(I:I,match($A969&amp;","&amp;index('Year Conversion'!$A:$A,match($C969,'Year Conversion'!$B:$B,0)),$Y:$Y,0))-I969,"")</f>
        <v/>
      </c>
      <c r="AA969" s="168" t="str">
        <f t="array" ref="AA969">iferror(index(J:J,match($A969&amp;","&amp;index('Year Conversion'!$A:$A,match($C969,'Year Conversion'!$B:$B,0)),$Y:$Y,0))-J969,"")</f>
        <v/>
      </c>
      <c r="AB969" s="168" t="str">
        <f t="array" ref="AB969">iferror(index(K:K,match($A969&amp;","&amp;index('Year Conversion'!$A:$A,match($C969,'Year Conversion'!$B:$B,0)),$Y:$Y,0))-K969,"")</f>
        <v/>
      </c>
      <c r="AC969" s="168" t="str">
        <f t="shared" si="7"/>
        <v>SAC,2014-15</v>
      </c>
    </row>
    <row r="970">
      <c r="A970" s="161" t="str">
        <f>IFERROR(__xludf.DUMMYFUNCTION("""COMPUTED_VALUE"""),"weartr01")</f>
        <v>weartr01</v>
      </c>
      <c r="B970" s="161" t="str">
        <f>IFERROR(__xludf.DUMMYFUNCTION("""COMPUTED_VALUE"""),"Travis Wear")</f>
        <v>Travis Wear</v>
      </c>
      <c r="C970" s="162" t="str">
        <f>IFERROR(__xludf.DUMMYFUNCTION("""COMPUTED_VALUE"""),"2014-15")</f>
        <v>2014-15</v>
      </c>
      <c r="D970" s="163" t="str">
        <f>IFERROR(__xludf.DUMMYFUNCTION("""COMPUTED_VALUE"""),"NYK")</f>
        <v>NYK</v>
      </c>
      <c r="E970" s="164" t="str">
        <f>IFERROR(__xludf.DUMMYFUNCTION("""COMPUTED_VALUE"""),"Athletic Finisher")</f>
        <v>Athletic Finisher</v>
      </c>
      <c r="F970" s="164">
        <f>IFERROR(__xludf.DUMMYFUNCTION("""COMPUTED_VALUE"""),671.993333333333)</f>
        <v>671.9933333</v>
      </c>
      <c r="G970" s="163">
        <f>IFERROR(__xludf.DUMMYFUNCTION("""COMPUTED_VALUE"""),51.0)</f>
        <v>51</v>
      </c>
      <c r="H970" s="163" t="str">
        <f>IFERROR(__xludf.DUMMYFUNCTION("""COMPUTED_VALUE"""),"SF")</f>
        <v>SF</v>
      </c>
      <c r="I970" s="163">
        <f>IFERROR(__xludf.DUMMYFUNCTION("""COMPUTED_VALUE"""),24.0)</f>
        <v>24</v>
      </c>
      <c r="J970" s="165">
        <f>IFERROR(__xludf.DUMMYFUNCTION("""COMPUTED_VALUE"""),-2.11597490871018)</f>
        <v>-2.115974909</v>
      </c>
      <c r="K970" s="165">
        <f>IFERROR(__xludf.DUMMYFUNCTION("""COMPUTED_VALUE"""),-2.25656761720701)</f>
        <v>-2.256567617</v>
      </c>
      <c r="L970" s="165">
        <f>IFERROR(__xludf.DUMMYFUNCTION("""COMPUTED_VALUE"""),0.140592708496831)</f>
        <v>0.1405927085</v>
      </c>
      <c r="M970" s="166">
        <f t="shared" si="2"/>
        <v>0.08326359778</v>
      </c>
      <c r="N970" s="167">
        <f t="shared" si="3"/>
        <v>13.17633987</v>
      </c>
      <c r="O970" s="163">
        <f t="shared" ref="O970:Q970" si="974">rank(I970,I:I)</f>
        <v>2361</v>
      </c>
      <c r="P970" s="163">
        <f t="shared" si="974"/>
        <v>3567</v>
      </c>
      <c r="Q970" s="163">
        <f t="shared" si="974"/>
        <v>3822</v>
      </c>
      <c r="R970" s="163">
        <f>IFERROR(__xludf.DUMMYFUNCTION("RANK(M970,filter(M:M,C:C=C970))"),391.0)</f>
        <v>391</v>
      </c>
      <c r="S970" s="161" t="b">
        <f t="shared" si="5"/>
        <v>0</v>
      </c>
      <c r="T970" s="161" t="b">
        <f t="array" ref="T970">index('Query Tool'!B:B,match(H970,'Query Tool'!C:C,0))</f>
        <v>1</v>
      </c>
      <c r="U970" s="161" t="b">
        <f t="array" ref="U970">index('Query Tool'!B:B,match(C970,'Query Tool'!C:C,0))</f>
        <v>0</v>
      </c>
      <c r="V970" s="161" t="b">
        <f>F970&gt;='Query Tool'!C$32</f>
        <v>1</v>
      </c>
      <c r="W970" s="161" t="b">
        <f t="array" ref="W970">index(Dropdowns!B:B,match(I970,Dropdowns!A:A,0))</f>
        <v>1</v>
      </c>
      <c r="X970" s="161" t="b">
        <f t="array" ref="X970">index('Query Tool'!B:B,match(D970,'Query Tool'!C:C,0))</f>
        <v>1</v>
      </c>
      <c r="Y970" s="161" t="str">
        <f t="shared" si="6"/>
        <v>weartr01,2014-15</v>
      </c>
      <c r="Z970" s="168" t="str">
        <f t="array" ref="Z970">iferror(index(I:I,match($A970&amp;","&amp;index('Year Conversion'!$A:$A,match($C970,'Year Conversion'!$B:$B,0)),$Y:$Y,0))-I970,"")</f>
        <v/>
      </c>
      <c r="AA970" s="168" t="str">
        <f t="array" ref="AA970">iferror(index(J:J,match($A970&amp;","&amp;index('Year Conversion'!$A:$A,match($C970,'Year Conversion'!$B:$B,0)),$Y:$Y,0))-J970,"")</f>
        <v/>
      </c>
      <c r="AB970" s="168" t="str">
        <f t="array" ref="AB970">iferror(index(K:K,match($A970&amp;","&amp;index('Year Conversion'!$A:$A,match($C970,'Year Conversion'!$B:$B,0)),$Y:$Y,0))-K970,"")</f>
        <v/>
      </c>
      <c r="AC970" s="168" t="str">
        <f t="shared" si="7"/>
        <v>NYK,2014-15</v>
      </c>
    </row>
    <row r="971">
      <c r="A971" s="161" t="str">
        <f>IFERROR(__xludf.DUMMYFUNCTION("""COMPUTED_VALUE"""),"gallola01")</f>
        <v>gallola01</v>
      </c>
      <c r="B971" s="161" t="str">
        <f>IFERROR(__xludf.DUMMYFUNCTION("""COMPUTED_VALUE"""),"Langston Galloway")</f>
        <v>Langston Galloway</v>
      </c>
      <c r="C971" s="162" t="str">
        <f>IFERROR(__xludf.DUMMYFUNCTION("""COMPUTED_VALUE"""),"2014-15")</f>
        <v>2014-15</v>
      </c>
      <c r="D971" s="163" t="str">
        <f>IFERROR(__xludf.DUMMYFUNCTION("""COMPUTED_VALUE"""),"NYK")</f>
        <v>NYK</v>
      </c>
      <c r="E971" s="164" t="str">
        <f>IFERROR(__xludf.DUMMYFUNCTION("""COMPUTED_VALUE"""),"Primary Ball Handler")</f>
        <v>Primary Ball Handler</v>
      </c>
      <c r="F971" s="164">
        <f>IFERROR(__xludf.DUMMYFUNCTION("""COMPUTED_VALUE"""),1457.40333333333)</f>
        <v>1457.403333</v>
      </c>
      <c r="G971" s="163">
        <f>IFERROR(__xludf.DUMMYFUNCTION("""COMPUTED_VALUE"""),45.0)</f>
        <v>45</v>
      </c>
      <c r="H971" s="163" t="str">
        <f>IFERROR(__xludf.DUMMYFUNCTION("""COMPUTED_VALUE"""),"PG")</f>
        <v>PG</v>
      </c>
      <c r="I971" s="163">
        <f>IFERROR(__xludf.DUMMYFUNCTION("""COMPUTED_VALUE"""),23.0)</f>
        <v>23</v>
      </c>
      <c r="J971" s="165">
        <f>IFERROR(__xludf.DUMMYFUNCTION("""COMPUTED_VALUE"""),-1.16094061675805)</f>
        <v>-1.160940617</v>
      </c>
      <c r="K971" s="165">
        <f>IFERROR(__xludf.DUMMYFUNCTION("""COMPUTED_VALUE"""),-0.787475731940218)</f>
        <v>-0.7874757319</v>
      </c>
      <c r="L971" s="165">
        <f>IFERROR(__xludf.DUMMYFUNCTION("""COMPUTED_VALUE"""),-0.373464884817829)</f>
        <v>-0.3734648848</v>
      </c>
      <c r="M971" s="166">
        <f t="shared" si="2"/>
        <v>1.108259771</v>
      </c>
      <c r="N971" s="167">
        <f t="shared" si="3"/>
        <v>32.38674074</v>
      </c>
      <c r="O971" s="163">
        <f t="shared" ref="O971:Q971" si="975">rank(I971,I:I)</f>
        <v>2765</v>
      </c>
      <c r="P971" s="163">
        <f t="shared" si="975"/>
        <v>2696</v>
      </c>
      <c r="Q971" s="163">
        <f t="shared" si="975"/>
        <v>2543</v>
      </c>
      <c r="R971" s="163">
        <f>IFERROR(__xludf.DUMMYFUNCTION("RANK(M971,filter(M:M,C:C=C971))"),225.0)</f>
        <v>225</v>
      </c>
      <c r="S971" s="161" t="b">
        <f t="shared" si="5"/>
        <v>0</v>
      </c>
      <c r="T971" s="161" t="b">
        <f t="array" ref="T971">index('Query Tool'!B:B,match(H971,'Query Tool'!C:C,0))</f>
        <v>1</v>
      </c>
      <c r="U971" s="161" t="b">
        <f t="array" ref="U971">index('Query Tool'!B:B,match(C971,'Query Tool'!C:C,0))</f>
        <v>0</v>
      </c>
      <c r="V971" s="161" t="b">
        <f>F971&gt;='Query Tool'!C$32</f>
        <v>1</v>
      </c>
      <c r="W971" s="161" t="b">
        <f t="array" ref="W971">index(Dropdowns!B:B,match(I971,Dropdowns!A:A,0))</f>
        <v>1</v>
      </c>
      <c r="X971" s="161" t="b">
        <f t="array" ref="X971">index('Query Tool'!B:B,match(D971,'Query Tool'!C:C,0))</f>
        <v>1</v>
      </c>
      <c r="Y971" s="161" t="str">
        <f t="shared" si="6"/>
        <v>gallola01,2014-15</v>
      </c>
      <c r="Z971" s="168">
        <f t="array" ref="Z971">iferror(index(I:I,match($A971&amp;","&amp;index('Year Conversion'!$A:$A,match($C971,'Year Conversion'!$B:$B,0)),$Y:$Y,0))-I971,"")</f>
        <v>1</v>
      </c>
      <c r="AA971" s="168">
        <f t="array" ref="AA971">iferror(index(J:J,match($A971&amp;","&amp;index('Year Conversion'!$A:$A,match($C971,'Year Conversion'!$B:$B,0)),$Y:$Y,0))-J971,"")</f>
        <v>-0.08175939177</v>
      </c>
      <c r="AB971" s="168">
        <f t="array" ref="AB971">iferror(index(K:K,match($A971&amp;","&amp;index('Year Conversion'!$A:$A,match($C971,'Year Conversion'!$B:$B,0)),$Y:$Y,0))-K971,"")</f>
        <v>-0.1898089682</v>
      </c>
      <c r="AC971" s="168" t="str">
        <f t="shared" si="7"/>
        <v>NYK,2014-15</v>
      </c>
    </row>
    <row r="972">
      <c r="A972" s="161" t="str">
        <f>IFERROR(__xludf.DUMMYFUNCTION("""COMPUTED_VALUE"""),"dragizo01")</f>
        <v>dragizo01</v>
      </c>
      <c r="B972" s="161" t="str">
        <f>IFERROR(__xludf.DUMMYFUNCTION("""COMPUTED_VALUE"""),"Zoran Dragic")</f>
        <v>Zoran Dragic</v>
      </c>
      <c r="C972" s="162" t="str">
        <f>IFERROR(__xludf.DUMMYFUNCTION("""COMPUTED_VALUE"""),"2014-15")</f>
        <v>2014-15</v>
      </c>
      <c r="D972" s="163" t="str">
        <f>IFERROR(__xludf.DUMMYFUNCTION("""COMPUTED_VALUE"""),"TOT")</f>
        <v>TOT</v>
      </c>
      <c r="E972" s="164" t="str">
        <f>IFERROR(__xludf.DUMMYFUNCTION("""COMPUTED_VALUE"""),"Movement Shooter")</f>
        <v>Movement Shooter</v>
      </c>
      <c r="F972" s="164">
        <f>IFERROR(__xludf.DUMMYFUNCTION("""COMPUTED_VALUE"""),75.2233333333333)</f>
        <v>75.22333333</v>
      </c>
      <c r="G972" s="163">
        <f>IFERROR(__xludf.DUMMYFUNCTION("""COMPUTED_VALUE"""),16.0)</f>
        <v>16</v>
      </c>
      <c r="H972" s="163" t="str">
        <f>IFERROR(__xludf.DUMMYFUNCTION("""COMPUTED_VALUE"""),"SG")</f>
        <v>SG</v>
      </c>
      <c r="I972" s="163">
        <f>IFERROR(__xludf.DUMMYFUNCTION("""COMPUTED_VALUE"""),25.0)</f>
        <v>25</v>
      </c>
      <c r="J972" s="165">
        <f>IFERROR(__xludf.DUMMYFUNCTION("""COMPUTED_VALUE"""),-0.815169219129763)</f>
        <v>-0.8151692191</v>
      </c>
      <c r="K972" s="165">
        <f>IFERROR(__xludf.DUMMYFUNCTION("""COMPUTED_VALUE"""),0.0106439330406974)</f>
        <v>0.01064393304</v>
      </c>
      <c r="L972" s="165">
        <f>IFERROR(__xludf.DUMMYFUNCTION("""COMPUTED_VALUE"""),-0.82581315217046)</f>
        <v>-0.8258131522</v>
      </c>
      <c r="M972" s="166">
        <f t="shared" si="2"/>
        <v>0.07466627772</v>
      </c>
      <c r="N972" s="167">
        <f t="shared" si="3"/>
        <v>4.701458333</v>
      </c>
      <c r="O972" s="163">
        <f t="shared" ref="O972:Q972" si="976">rank(I972,I:I)</f>
        <v>1995</v>
      </c>
      <c r="P972" s="163">
        <f t="shared" si="976"/>
        <v>2306</v>
      </c>
      <c r="Q972" s="163">
        <f t="shared" si="976"/>
        <v>1186</v>
      </c>
      <c r="R972" s="163">
        <f>IFERROR(__xludf.DUMMYFUNCTION("RANK(M972,filter(M:M,C:C=C972))"),396.0)</f>
        <v>396</v>
      </c>
      <c r="S972" s="161" t="b">
        <f t="shared" si="5"/>
        <v>0</v>
      </c>
      <c r="T972" s="161" t="b">
        <f t="array" ref="T972">index('Query Tool'!B:B,match(H972,'Query Tool'!C:C,0))</f>
        <v>1</v>
      </c>
      <c r="U972" s="161" t="b">
        <f t="array" ref="U972">index('Query Tool'!B:B,match(C972,'Query Tool'!C:C,0))</f>
        <v>0</v>
      </c>
      <c r="V972" s="161" t="b">
        <f>F972&gt;='Query Tool'!C$32</f>
        <v>0</v>
      </c>
      <c r="W972" s="161" t="b">
        <f t="array" ref="W972">index(Dropdowns!B:B,match(I972,Dropdowns!A:A,0))</f>
        <v>1</v>
      </c>
      <c r="X972" s="161" t="b">
        <f t="array" ref="X972">index('Query Tool'!B:B,match(D972,'Query Tool'!C:C,0))</f>
        <v>1</v>
      </c>
      <c r="Y972" s="161" t="str">
        <f t="shared" si="6"/>
        <v>dragizo01,2014-15</v>
      </c>
      <c r="Z972" s="168" t="str">
        <f t="array" ref="Z972">iferror(index(I:I,match($A972&amp;","&amp;index('Year Conversion'!$A:$A,match($C972,'Year Conversion'!$B:$B,0)),$Y:$Y,0))-I972,"")</f>
        <v/>
      </c>
      <c r="AA972" s="168" t="str">
        <f t="array" ref="AA972">iferror(index(J:J,match($A972&amp;","&amp;index('Year Conversion'!$A:$A,match($C972,'Year Conversion'!$B:$B,0)),$Y:$Y,0))-J972,"")</f>
        <v/>
      </c>
      <c r="AB972" s="168" t="str">
        <f t="array" ref="AB972">iferror(index(K:K,match($A972&amp;","&amp;index('Year Conversion'!$A:$A,match($C972,'Year Conversion'!$B:$B,0)),$Y:$Y,0))-K972,"")</f>
        <v/>
      </c>
      <c r="AC972" s="168" t="str">
        <f t="shared" si="7"/>
        <v>TOT,2014-15</v>
      </c>
    </row>
    <row r="973">
      <c r="A973" s="161" t="str">
        <f>IFERROR(__xludf.DUMMYFUNCTION("""COMPUTED_VALUE"""),"inglejo01")</f>
        <v>inglejo01</v>
      </c>
      <c r="B973" s="161" t="str">
        <f>IFERROR(__xludf.DUMMYFUNCTION("""COMPUTED_VALUE"""),"Joe Ingles")</f>
        <v>Joe Ingles</v>
      </c>
      <c r="C973" s="162" t="str">
        <f>IFERROR(__xludf.DUMMYFUNCTION("""COMPUTED_VALUE"""),"2014-15")</f>
        <v>2014-15</v>
      </c>
      <c r="D973" s="163" t="str">
        <f>IFERROR(__xludf.DUMMYFUNCTION("""COMPUTED_VALUE"""),"UTA")</f>
        <v>UTA</v>
      </c>
      <c r="E973" s="164" t="str">
        <f>IFERROR(__xludf.DUMMYFUNCTION("""COMPUTED_VALUE"""),"Secondary Ball Handler")</f>
        <v>Secondary Ball Handler</v>
      </c>
      <c r="F973" s="164">
        <f>IFERROR(__xludf.DUMMYFUNCTION("""COMPUTED_VALUE"""),1672.60333333333)</f>
        <v>1672.603333</v>
      </c>
      <c r="G973" s="163">
        <f>IFERROR(__xludf.DUMMYFUNCTION("""COMPUTED_VALUE"""),79.0)</f>
        <v>79</v>
      </c>
      <c r="H973" s="163" t="str">
        <f>IFERROR(__xludf.DUMMYFUNCTION("""COMPUTED_VALUE"""),"SF")</f>
        <v>SF</v>
      </c>
      <c r="I973" s="163">
        <f>IFERROR(__xludf.DUMMYFUNCTION("""COMPUTED_VALUE"""),27.0)</f>
        <v>27</v>
      </c>
      <c r="J973" s="165">
        <f>IFERROR(__xludf.DUMMYFUNCTION("""COMPUTED_VALUE"""),-1.06137420022488)</f>
        <v>-1.0613742</v>
      </c>
      <c r="K973" s="165">
        <f>IFERROR(__xludf.DUMMYFUNCTION("""COMPUTED_VALUE"""),-1.12354393407238)</f>
        <v>-1.123543934</v>
      </c>
      <c r="L973" s="165">
        <f>IFERROR(__xludf.DUMMYFUNCTION("""COMPUTED_VALUE"""),0.0621697338474937)</f>
        <v>0.06216973385</v>
      </c>
      <c r="M973" s="166">
        <f t="shared" si="2"/>
        <v>1.383605428</v>
      </c>
      <c r="N973" s="167">
        <f t="shared" si="3"/>
        <v>21.17219409</v>
      </c>
      <c r="O973" s="163">
        <f t="shared" ref="O973:Q973" si="977">rank(I973,I:I)</f>
        <v>1366</v>
      </c>
      <c r="P973" s="163">
        <f t="shared" si="977"/>
        <v>2566</v>
      </c>
      <c r="Q973" s="163">
        <f t="shared" si="977"/>
        <v>2950</v>
      </c>
      <c r="R973" s="163">
        <f>IFERROR(__xludf.DUMMYFUNCTION("RANK(M973,filter(M:M,C:C=C973))"),208.0)</f>
        <v>208</v>
      </c>
      <c r="S973" s="161" t="b">
        <f t="shared" si="5"/>
        <v>0</v>
      </c>
      <c r="T973" s="161" t="b">
        <f t="array" ref="T973">index('Query Tool'!B:B,match(H973,'Query Tool'!C:C,0))</f>
        <v>1</v>
      </c>
      <c r="U973" s="161" t="b">
        <f t="array" ref="U973">index('Query Tool'!B:B,match(C973,'Query Tool'!C:C,0))</f>
        <v>0</v>
      </c>
      <c r="V973" s="161" t="b">
        <f>F973&gt;='Query Tool'!C$32</f>
        <v>1</v>
      </c>
      <c r="W973" s="161" t="b">
        <f t="array" ref="W973">index(Dropdowns!B:B,match(I973,Dropdowns!A:A,0))</f>
        <v>1</v>
      </c>
      <c r="X973" s="161" t="b">
        <f t="array" ref="X973">index('Query Tool'!B:B,match(D973,'Query Tool'!C:C,0))</f>
        <v>1</v>
      </c>
      <c r="Y973" s="161" t="str">
        <f t="shared" si="6"/>
        <v>inglejo01,2014-15</v>
      </c>
      <c r="Z973" s="168">
        <f t="array" ref="Z973">iferror(index(I:I,match($A973&amp;","&amp;index('Year Conversion'!$A:$A,match($C973,'Year Conversion'!$B:$B,0)),$Y:$Y,0))-I973,"")</f>
        <v>1</v>
      </c>
      <c r="AA973" s="168">
        <f t="array" ref="AA973">iferror(index(J:J,match($A973&amp;","&amp;index('Year Conversion'!$A:$A,match($C973,'Year Conversion'!$B:$B,0)),$Y:$Y,0))-J973,"")</f>
        <v>-0.7542836837</v>
      </c>
      <c r="AB973" s="168">
        <f t="array" ref="AB973">iferror(index(K:K,match($A973&amp;","&amp;index('Year Conversion'!$A:$A,match($C973,'Year Conversion'!$B:$B,0)),$Y:$Y,0))-K973,"")</f>
        <v>-0.4126186662</v>
      </c>
      <c r="AC973" s="168" t="str">
        <f t="shared" si="7"/>
        <v>UTA,2014-15</v>
      </c>
    </row>
    <row r="974">
      <c r="A974" s="161" t="str">
        <f>IFERROR(__xludf.DUMMYFUNCTION("""COMPUTED_VALUE"""),"stockda01")</f>
        <v>stockda01</v>
      </c>
      <c r="B974" s="161" t="str">
        <f>IFERROR(__xludf.DUMMYFUNCTION("""COMPUTED_VALUE"""),"David Stockton")</f>
        <v>David Stockton</v>
      </c>
      <c r="C974" s="162" t="str">
        <f>IFERROR(__xludf.DUMMYFUNCTION("""COMPUTED_VALUE"""),"2014-15")</f>
        <v>2014-15</v>
      </c>
      <c r="D974" s="163" t="str">
        <f>IFERROR(__xludf.DUMMYFUNCTION("""COMPUTED_VALUE"""),"SAC")</f>
        <v>SAC</v>
      </c>
      <c r="E974" s="164" t="str">
        <f>IFERROR(__xludf.DUMMYFUNCTION("""COMPUTED_VALUE"""),"Secondary Ball Handler")</f>
        <v>Secondary Ball Handler</v>
      </c>
      <c r="F974" s="164">
        <f>IFERROR(__xludf.DUMMYFUNCTION("""COMPUTED_VALUE"""),33.0833333333333)</f>
        <v>33.08333333</v>
      </c>
      <c r="G974" s="163">
        <f>IFERROR(__xludf.DUMMYFUNCTION("""COMPUTED_VALUE"""),3.0)</f>
        <v>3</v>
      </c>
      <c r="H974" s="163" t="str">
        <f>IFERROR(__xludf.DUMMYFUNCTION("""COMPUTED_VALUE"""),"PG")</f>
        <v>PG</v>
      </c>
      <c r="I974" s="163">
        <f>IFERROR(__xludf.DUMMYFUNCTION("""COMPUTED_VALUE"""),23.0)</f>
        <v>23</v>
      </c>
      <c r="J974" s="165">
        <f>IFERROR(__xludf.DUMMYFUNCTION("""COMPUTED_VALUE"""),0.257550737324054)</f>
        <v>0.2575507373</v>
      </c>
      <c r="K974" s="165">
        <f>IFERROR(__xludf.DUMMYFUNCTION("""COMPUTED_VALUE"""),0.22839706428002)</f>
        <v>0.2283970643</v>
      </c>
      <c r="L974" s="165">
        <f>IFERROR(__xludf.DUMMYFUNCTION("""COMPUTED_VALUE"""),0.0291536730440344)</f>
        <v>0.02915367304</v>
      </c>
      <c r="M974" s="166">
        <f t="shared" si="2"/>
        <v>0.05674746955</v>
      </c>
      <c r="N974" s="167">
        <f t="shared" si="3"/>
        <v>11.02777778</v>
      </c>
      <c r="O974" s="163">
        <f t="shared" ref="O974:Q974" si="978">rank(I974,I:I)</f>
        <v>2765</v>
      </c>
      <c r="P974" s="163">
        <f t="shared" si="978"/>
        <v>1049</v>
      </c>
      <c r="Q974" s="163">
        <f t="shared" si="978"/>
        <v>963</v>
      </c>
      <c r="R974" s="163">
        <f>IFERROR(__xludf.DUMMYFUNCTION("RANK(M974,filter(M:M,C:C=C974))"),405.0)</f>
        <v>405</v>
      </c>
      <c r="S974" s="161" t="b">
        <f t="shared" si="5"/>
        <v>0</v>
      </c>
      <c r="T974" s="161" t="b">
        <f t="array" ref="T974">index('Query Tool'!B:B,match(H974,'Query Tool'!C:C,0))</f>
        <v>1</v>
      </c>
      <c r="U974" s="161" t="b">
        <f t="array" ref="U974">index('Query Tool'!B:B,match(C974,'Query Tool'!C:C,0))</f>
        <v>0</v>
      </c>
      <c r="V974" s="161" t="b">
        <f>F974&gt;='Query Tool'!C$32</f>
        <v>0</v>
      </c>
      <c r="W974" s="161" t="b">
        <f t="array" ref="W974">index(Dropdowns!B:B,match(I974,Dropdowns!A:A,0))</f>
        <v>1</v>
      </c>
      <c r="X974" s="161" t="b">
        <f t="array" ref="X974">index('Query Tool'!B:B,match(D974,'Query Tool'!C:C,0))</f>
        <v>1</v>
      </c>
      <c r="Y974" s="161" t="str">
        <f t="shared" si="6"/>
        <v>stockda01,2014-15</v>
      </c>
      <c r="Z974" s="168" t="str">
        <f t="array" ref="Z974">iferror(index(I:I,match($A974&amp;","&amp;index('Year Conversion'!$A:$A,match($C974,'Year Conversion'!$B:$B,0)),$Y:$Y,0))-I974,"")</f>
        <v/>
      </c>
      <c r="AA974" s="168" t="str">
        <f t="array" ref="AA974">iferror(index(J:J,match($A974&amp;","&amp;index('Year Conversion'!$A:$A,match($C974,'Year Conversion'!$B:$B,0)),$Y:$Y,0))-J974,"")</f>
        <v/>
      </c>
      <c r="AB974" s="168" t="str">
        <f t="array" ref="AB974">iferror(index(K:K,match($A974&amp;","&amp;index('Year Conversion'!$A:$A,match($C974,'Year Conversion'!$B:$B,0)),$Y:$Y,0))-K974,"")</f>
        <v/>
      </c>
      <c r="AC974" s="168" t="str">
        <f t="shared" si="7"/>
        <v>SAC,2014-15</v>
      </c>
    </row>
    <row r="975">
      <c r="A975" s="161" t="str">
        <f>IFERROR(__xludf.DUMMYFUNCTION("""COMPUTED_VALUE"""),"gordodr01")</f>
        <v>gordodr01</v>
      </c>
      <c r="B975" s="161" t="str">
        <f>IFERROR(__xludf.DUMMYFUNCTION("""COMPUTED_VALUE"""),"Drew Gordon")</f>
        <v>Drew Gordon</v>
      </c>
      <c r="C975" s="162" t="str">
        <f>IFERROR(__xludf.DUMMYFUNCTION("""COMPUTED_VALUE"""),"2014-15")</f>
        <v>2014-15</v>
      </c>
      <c r="D975" s="163" t="str">
        <f>IFERROR(__xludf.DUMMYFUNCTION("""COMPUTED_VALUE"""),"PHI")</f>
        <v>PHI</v>
      </c>
      <c r="E975" s="164" t="str">
        <f>IFERROR(__xludf.DUMMYFUNCTION("""COMPUTED_VALUE"""),"Roll + Cut Big")</f>
        <v>Roll + Cut Big</v>
      </c>
      <c r="F975" s="164">
        <f>IFERROR(__xludf.DUMMYFUNCTION("""COMPUTED_VALUE"""),71.1850000000001)</f>
        <v>71.185</v>
      </c>
      <c r="G975" s="163">
        <f>IFERROR(__xludf.DUMMYFUNCTION("""COMPUTED_VALUE"""),9.0)</f>
        <v>9</v>
      </c>
      <c r="H975" s="163" t="str">
        <f>IFERROR(__xludf.DUMMYFUNCTION("""COMPUTED_VALUE"""),"PF")</f>
        <v>PF</v>
      </c>
      <c r="I975" s="163">
        <f>IFERROR(__xludf.DUMMYFUNCTION("""COMPUTED_VALUE"""),24.0)</f>
        <v>24</v>
      </c>
      <c r="J975" s="165">
        <f>IFERROR(__xludf.DUMMYFUNCTION("""COMPUTED_VALUE"""),-1.2720879012168)</f>
        <v>-1.272087901</v>
      </c>
      <c r="K975" s="165">
        <f>IFERROR(__xludf.DUMMYFUNCTION("""COMPUTED_VALUE"""),-0.794607284192178)</f>
        <v>-0.7946072842</v>
      </c>
      <c r="L975" s="165">
        <f>IFERROR(__xludf.DUMMYFUNCTION("""COMPUTED_VALUE"""),-0.477480617024624)</f>
        <v>-0.477480617</v>
      </c>
      <c r="M975" s="166">
        <f t="shared" si="2"/>
        <v>0.04883011364</v>
      </c>
      <c r="N975" s="167">
        <f t="shared" si="3"/>
        <v>7.909444444</v>
      </c>
      <c r="O975" s="163">
        <f t="shared" ref="O975:Q975" si="979">rank(I975,I:I)</f>
        <v>2361</v>
      </c>
      <c r="P975" s="163">
        <f t="shared" si="979"/>
        <v>2836</v>
      </c>
      <c r="Q975" s="163">
        <f t="shared" si="979"/>
        <v>2548</v>
      </c>
      <c r="R975" s="163">
        <f>IFERROR(__xludf.DUMMYFUNCTION("RANK(M975,filter(M:M,C:C=C975))"),410.0)</f>
        <v>410</v>
      </c>
      <c r="S975" s="161" t="b">
        <f t="shared" si="5"/>
        <v>0</v>
      </c>
      <c r="T975" s="161" t="b">
        <f t="array" ref="T975">index('Query Tool'!B:B,match(H975,'Query Tool'!C:C,0))</f>
        <v>1</v>
      </c>
      <c r="U975" s="161" t="b">
        <f t="array" ref="U975">index('Query Tool'!B:B,match(C975,'Query Tool'!C:C,0))</f>
        <v>0</v>
      </c>
      <c r="V975" s="161" t="b">
        <f>F975&gt;='Query Tool'!C$32</f>
        <v>0</v>
      </c>
      <c r="W975" s="161" t="b">
        <f t="array" ref="W975">index(Dropdowns!B:B,match(I975,Dropdowns!A:A,0))</f>
        <v>1</v>
      </c>
      <c r="X975" s="161" t="b">
        <f t="array" ref="X975">index('Query Tool'!B:B,match(D975,'Query Tool'!C:C,0))</f>
        <v>1</v>
      </c>
      <c r="Y975" s="161" t="str">
        <f t="shared" si="6"/>
        <v>gordodr01,2014-15</v>
      </c>
      <c r="Z975" s="168" t="str">
        <f t="array" ref="Z975">iferror(index(I:I,match($A975&amp;","&amp;index('Year Conversion'!$A:$A,match($C975,'Year Conversion'!$B:$B,0)),$Y:$Y,0))-I975,"")</f>
        <v/>
      </c>
      <c r="AA975" s="168" t="str">
        <f t="array" ref="AA975">iferror(index(J:J,match($A975&amp;","&amp;index('Year Conversion'!$A:$A,match($C975,'Year Conversion'!$B:$B,0)),$Y:$Y,0))-J975,"")</f>
        <v/>
      </c>
      <c r="AB975" s="168" t="str">
        <f t="array" ref="AB975">iferror(index(K:K,match($A975&amp;","&amp;index('Year Conversion'!$A:$A,match($C975,'Year Conversion'!$B:$B,0)),$Y:$Y,0))-K975,"")</f>
        <v/>
      </c>
      <c r="AC975" s="168" t="str">
        <f t="shared" si="7"/>
        <v>PHI,2014-15</v>
      </c>
    </row>
    <row r="976">
      <c r="A976" s="161" t="str">
        <f>IFERROR(__xludf.DUMMYFUNCTION("""COMPUTED_VALUE"""),"garneke01")</f>
        <v>garneke01</v>
      </c>
      <c r="B976" s="161" t="str">
        <f>IFERROR(__xludf.DUMMYFUNCTION("""COMPUTED_VALUE"""),"Kevin Garnett")</f>
        <v>Kevin Garnett</v>
      </c>
      <c r="C976" s="162" t="str">
        <f>IFERROR(__xludf.DUMMYFUNCTION("""COMPUTED_VALUE"""),"2015-16")</f>
        <v>2015-16</v>
      </c>
      <c r="D976" s="163" t="str">
        <f>IFERROR(__xludf.DUMMYFUNCTION("""COMPUTED_VALUE"""),"MIN")</f>
        <v>MIN</v>
      </c>
      <c r="E976" s="164" t="str">
        <f>IFERROR(__xludf.DUMMYFUNCTION("""COMPUTED_VALUE"""),"Post Scorer")</f>
        <v>Post Scorer</v>
      </c>
      <c r="F976" s="164">
        <f>IFERROR(__xludf.DUMMYFUNCTION("""COMPUTED_VALUE"""),555.675)</f>
        <v>555.675</v>
      </c>
      <c r="G976" s="163">
        <f>IFERROR(__xludf.DUMMYFUNCTION("""COMPUTED_VALUE"""),38.0)</f>
        <v>38</v>
      </c>
      <c r="H976" s="163" t="str">
        <f>IFERROR(__xludf.DUMMYFUNCTION("""COMPUTED_VALUE"""),"PF")</f>
        <v>PF</v>
      </c>
      <c r="I976" s="163">
        <f>IFERROR(__xludf.DUMMYFUNCTION("""COMPUTED_VALUE"""),39.0)</f>
        <v>39</v>
      </c>
      <c r="J976" s="165">
        <f>IFERROR(__xludf.DUMMYFUNCTION("""COMPUTED_VALUE"""),2.20269088769853)</f>
        <v>2.202690888</v>
      </c>
      <c r="K976" s="165">
        <f>IFERROR(__xludf.DUMMYFUNCTION("""COMPUTED_VALUE"""),-1.35440309033896)</f>
        <v>-1.35440309</v>
      </c>
      <c r="L976" s="165">
        <f>IFERROR(__xludf.DUMMYFUNCTION("""COMPUTED_VALUE"""),3.55709397803749)</f>
        <v>3.557093978</v>
      </c>
      <c r="M976" s="166">
        <f t="shared" si="2"/>
        <v>1.676343277</v>
      </c>
      <c r="N976" s="167">
        <f t="shared" si="3"/>
        <v>14.62302632</v>
      </c>
      <c r="O976" s="163">
        <f t="shared" ref="O976:Q976" si="980">rank(I976,I:I)</f>
        <v>8</v>
      </c>
      <c r="P976" s="163">
        <f t="shared" si="980"/>
        <v>270</v>
      </c>
      <c r="Q976" s="163">
        <f t="shared" si="980"/>
        <v>3208</v>
      </c>
      <c r="R976" s="163">
        <f>IFERROR(__xludf.DUMMYFUNCTION("RANK(M976,filter(M:M,C:C=C976))"),175.0)</f>
        <v>175</v>
      </c>
      <c r="S976" s="161" t="b">
        <f t="shared" si="5"/>
        <v>0</v>
      </c>
      <c r="T976" s="161" t="b">
        <f t="array" ref="T976">index('Query Tool'!B:B,match(H976,'Query Tool'!C:C,0))</f>
        <v>1</v>
      </c>
      <c r="U976" s="161" t="b">
        <f t="array" ref="U976">index('Query Tool'!B:B,match(C976,'Query Tool'!C:C,0))</f>
        <v>0</v>
      </c>
      <c r="V976" s="161" t="b">
        <f>F976&gt;='Query Tool'!C$32</f>
        <v>1</v>
      </c>
      <c r="W976" s="161" t="b">
        <f t="array" ref="W976">index(Dropdowns!B:B,match(I976,Dropdowns!A:A,0))</f>
        <v>1</v>
      </c>
      <c r="X976" s="161" t="b">
        <f t="array" ref="X976">index('Query Tool'!B:B,match(D976,'Query Tool'!C:C,0))</f>
        <v>1</v>
      </c>
      <c r="Y976" s="161" t="str">
        <f t="shared" si="6"/>
        <v>garneke01,2015-16</v>
      </c>
      <c r="Z976" s="168" t="str">
        <f t="array" ref="Z976">iferror(index(I:I,match($A976&amp;","&amp;index('Year Conversion'!$A:$A,match($C976,'Year Conversion'!$B:$B,0)),$Y:$Y,0))-I976,"")</f>
        <v/>
      </c>
      <c r="AA976" s="168" t="str">
        <f t="array" ref="AA976">iferror(index(J:J,match($A976&amp;","&amp;index('Year Conversion'!$A:$A,match($C976,'Year Conversion'!$B:$B,0)),$Y:$Y,0))-J976,"")</f>
        <v/>
      </c>
      <c r="AB976" s="168" t="str">
        <f t="array" ref="AB976">iferror(index(K:K,match($A976&amp;","&amp;index('Year Conversion'!$A:$A,match($C976,'Year Conversion'!$B:$B,0)),$Y:$Y,0))-K976,"")</f>
        <v/>
      </c>
      <c r="AC976" s="168" t="str">
        <f t="shared" si="7"/>
        <v>MIN,2015-16</v>
      </c>
    </row>
    <row r="977">
      <c r="A977" s="161" t="str">
        <f>IFERROR(__xludf.DUMMYFUNCTION("""COMPUTED_VALUE"""),"bryanko01")</f>
        <v>bryanko01</v>
      </c>
      <c r="B977" s="161" t="str">
        <f>IFERROR(__xludf.DUMMYFUNCTION("""COMPUTED_VALUE"""),"Kobe Bryant")</f>
        <v>Kobe Bryant</v>
      </c>
      <c r="C977" s="162" t="str">
        <f>IFERROR(__xludf.DUMMYFUNCTION("""COMPUTED_VALUE"""),"2015-16")</f>
        <v>2015-16</v>
      </c>
      <c r="D977" s="163" t="str">
        <f>IFERROR(__xludf.DUMMYFUNCTION("""COMPUTED_VALUE"""),"LAL")</f>
        <v>LAL</v>
      </c>
      <c r="E977" s="164" t="str">
        <f>IFERROR(__xludf.DUMMYFUNCTION("""COMPUTED_VALUE"""),"Shot Creator")</f>
        <v>Shot Creator</v>
      </c>
      <c r="F977" s="164">
        <f>IFERROR(__xludf.DUMMYFUNCTION("""COMPUTED_VALUE"""),1863.32333333333)</f>
        <v>1863.323333</v>
      </c>
      <c r="G977" s="163">
        <f>IFERROR(__xludf.DUMMYFUNCTION("""COMPUTED_VALUE"""),66.0)</f>
        <v>66</v>
      </c>
      <c r="H977" s="163" t="str">
        <f>IFERROR(__xludf.DUMMYFUNCTION("""COMPUTED_VALUE"""),"SF")</f>
        <v>SF</v>
      </c>
      <c r="I977" s="163">
        <f>IFERROR(__xludf.DUMMYFUNCTION("""COMPUTED_VALUE"""),37.0)</f>
        <v>37</v>
      </c>
      <c r="J977" s="165">
        <f>IFERROR(__xludf.DUMMYFUNCTION("""COMPUTED_VALUE"""),-1.05032176695983)</f>
        <v>-1.050321767</v>
      </c>
      <c r="K977" s="165">
        <f>IFERROR(__xludf.DUMMYFUNCTION("""COMPUTED_VALUE"""),1.32643160534925)</f>
        <v>1.326431605</v>
      </c>
      <c r="L977" s="165">
        <f>IFERROR(__xludf.DUMMYFUNCTION("""COMPUTED_VALUE"""),-2.37675337230908)</f>
        <v>-2.376753372</v>
      </c>
      <c r="M977" s="166">
        <f t="shared" si="2"/>
        <v>1.555192328</v>
      </c>
      <c r="N977" s="167">
        <f t="shared" si="3"/>
        <v>28.23217172</v>
      </c>
      <c r="O977" s="163">
        <f t="shared" ref="O977:Q977" si="981">rank(I977,I:I)</f>
        <v>38</v>
      </c>
      <c r="P977" s="163">
        <f t="shared" si="981"/>
        <v>2552</v>
      </c>
      <c r="Q977" s="163">
        <f t="shared" si="981"/>
        <v>376</v>
      </c>
      <c r="R977" s="163">
        <f>IFERROR(__xludf.DUMMYFUNCTION("RANK(M977,filter(M:M,C:C=C977))"),183.0)</f>
        <v>183</v>
      </c>
      <c r="S977" s="161" t="b">
        <f t="shared" si="5"/>
        <v>0</v>
      </c>
      <c r="T977" s="161" t="b">
        <f t="array" ref="T977">index('Query Tool'!B:B,match(H977,'Query Tool'!C:C,0))</f>
        <v>1</v>
      </c>
      <c r="U977" s="161" t="b">
        <f t="array" ref="U977">index('Query Tool'!B:B,match(C977,'Query Tool'!C:C,0))</f>
        <v>0</v>
      </c>
      <c r="V977" s="161" t="b">
        <f>F977&gt;='Query Tool'!C$32</f>
        <v>1</v>
      </c>
      <c r="W977" s="161" t="b">
        <f t="array" ref="W977">index(Dropdowns!B:B,match(I977,Dropdowns!A:A,0))</f>
        <v>1</v>
      </c>
      <c r="X977" s="161" t="b">
        <f t="array" ref="X977">index('Query Tool'!B:B,match(D977,'Query Tool'!C:C,0))</f>
        <v>1</v>
      </c>
      <c r="Y977" s="161" t="str">
        <f t="shared" si="6"/>
        <v>bryanko01,2015-16</v>
      </c>
      <c r="Z977" s="168" t="str">
        <f t="array" ref="Z977">iferror(index(I:I,match($A977&amp;","&amp;index('Year Conversion'!$A:$A,match($C977,'Year Conversion'!$B:$B,0)),$Y:$Y,0))-I977,"")</f>
        <v/>
      </c>
      <c r="AA977" s="168" t="str">
        <f t="array" ref="AA977">iferror(index(J:J,match($A977&amp;","&amp;index('Year Conversion'!$A:$A,match($C977,'Year Conversion'!$B:$B,0)),$Y:$Y,0))-J977,"")</f>
        <v/>
      </c>
      <c r="AB977" s="168" t="str">
        <f t="array" ref="AB977">iferror(index(K:K,match($A977&amp;","&amp;index('Year Conversion'!$A:$A,match($C977,'Year Conversion'!$B:$B,0)),$Y:$Y,0))-K977,"")</f>
        <v/>
      </c>
      <c r="AC977" s="168" t="str">
        <f t="shared" si="7"/>
        <v>LAL,2015-16</v>
      </c>
    </row>
    <row r="978">
      <c r="A978" s="161" t="str">
        <f>IFERROR(__xludf.DUMMYFUNCTION("""COMPUTED_VALUE"""),"duncati01")</f>
        <v>duncati01</v>
      </c>
      <c r="B978" s="161" t="str">
        <f>IFERROR(__xludf.DUMMYFUNCTION("""COMPUTED_VALUE"""),"Tim Duncan")</f>
        <v>Tim Duncan</v>
      </c>
      <c r="C978" s="162" t="str">
        <f>IFERROR(__xludf.DUMMYFUNCTION("""COMPUTED_VALUE"""),"2015-16")</f>
        <v>2015-16</v>
      </c>
      <c r="D978" s="163" t="str">
        <f>IFERROR(__xludf.DUMMYFUNCTION("""COMPUTED_VALUE"""),"SAS")</f>
        <v>SAS</v>
      </c>
      <c r="E978" s="164" t="str">
        <f>IFERROR(__xludf.DUMMYFUNCTION("""COMPUTED_VALUE"""),"Post Scorer")</f>
        <v>Post Scorer</v>
      </c>
      <c r="F978" s="164">
        <f>IFERROR(__xludf.DUMMYFUNCTION("""COMPUTED_VALUE"""),1536.42666666667)</f>
        <v>1536.426667</v>
      </c>
      <c r="G978" s="163">
        <f>IFERROR(__xludf.DUMMYFUNCTION("""COMPUTED_VALUE"""),61.0)</f>
        <v>61</v>
      </c>
      <c r="H978" s="163" t="str">
        <f>IFERROR(__xludf.DUMMYFUNCTION("""COMPUTED_VALUE"""),"C")</f>
        <v>C</v>
      </c>
      <c r="I978" s="163">
        <f>IFERROR(__xludf.DUMMYFUNCTION("""COMPUTED_VALUE"""),39.0)</f>
        <v>39</v>
      </c>
      <c r="J978" s="165">
        <f>IFERROR(__xludf.DUMMYFUNCTION("""COMPUTED_VALUE"""),3.30355052802373)</f>
        <v>3.303550528</v>
      </c>
      <c r="K978" s="165">
        <f>IFERROR(__xludf.DUMMYFUNCTION("""COMPUTED_VALUE"""),-0.255478991006442)</f>
        <v>-0.255478991</v>
      </c>
      <c r="L978" s="165">
        <f>IFERROR(__xludf.DUMMYFUNCTION("""COMPUTED_VALUE"""),3.55902951903017)</f>
        <v>3.559029519</v>
      </c>
      <c r="M978" s="166">
        <f t="shared" si="2"/>
        <v>5.73966324</v>
      </c>
      <c r="N978" s="167">
        <f t="shared" si="3"/>
        <v>25.1873224</v>
      </c>
      <c r="O978" s="163">
        <f t="shared" ref="O978:Q978" si="982">rank(I978,I:I)</f>
        <v>8</v>
      </c>
      <c r="P978" s="163">
        <f t="shared" si="982"/>
        <v>146</v>
      </c>
      <c r="Q978" s="163">
        <f t="shared" si="982"/>
        <v>1679</v>
      </c>
      <c r="R978" s="163">
        <f>IFERROR(__xludf.DUMMYFUNCTION("RANK(M978,filter(M:M,C:C=C978))"),49.0)</f>
        <v>49</v>
      </c>
      <c r="S978" s="161" t="b">
        <f t="shared" si="5"/>
        <v>0</v>
      </c>
      <c r="T978" s="161" t="b">
        <f t="array" ref="T978">index('Query Tool'!B:B,match(H978,'Query Tool'!C:C,0))</f>
        <v>1</v>
      </c>
      <c r="U978" s="161" t="b">
        <f t="array" ref="U978">index('Query Tool'!B:B,match(C978,'Query Tool'!C:C,0))</f>
        <v>0</v>
      </c>
      <c r="V978" s="161" t="b">
        <f>F978&gt;='Query Tool'!C$32</f>
        <v>1</v>
      </c>
      <c r="W978" s="161" t="b">
        <f t="array" ref="W978">index(Dropdowns!B:B,match(I978,Dropdowns!A:A,0))</f>
        <v>1</v>
      </c>
      <c r="X978" s="161" t="b">
        <f t="array" ref="X978">index('Query Tool'!B:B,match(D978,'Query Tool'!C:C,0))</f>
        <v>1</v>
      </c>
      <c r="Y978" s="161" t="str">
        <f t="shared" si="6"/>
        <v>duncati01,2015-16</v>
      </c>
      <c r="Z978" s="168" t="str">
        <f t="array" ref="Z978">iferror(index(I:I,match($A978&amp;","&amp;index('Year Conversion'!$A:$A,match($C978,'Year Conversion'!$B:$B,0)),$Y:$Y,0))-I978,"")</f>
        <v/>
      </c>
      <c r="AA978" s="168" t="str">
        <f t="array" ref="AA978">iferror(index(J:J,match($A978&amp;","&amp;index('Year Conversion'!$A:$A,match($C978,'Year Conversion'!$B:$B,0)),$Y:$Y,0))-J978,"")</f>
        <v/>
      </c>
      <c r="AB978" s="168" t="str">
        <f t="array" ref="AB978">iferror(index(K:K,match($A978&amp;","&amp;index('Year Conversion'!$A:$A,match($C978,'Year Conversion'!$B:$B,0)),$Y:$Y,0))-K978,"")</f>
        <v/>
      </c>
      <c r="AC978" s="168" t="str">
        <f t="shared" si="7"/>
        <v>SAS,2015-16</v>
      </c>
    </row>
    <row r="979">
      <c r="A979" s="161" t="str">
        <f>IFERROR(__xludf.DUMMYFUNCTION("""COMPUTED_VALUE"""),"cartevi01")</f>
        <v>cartevi01</v>
      </c>
      <c r="B979" s="161" t="str">
        <f>IFERROR(__xludf.DUMMYFUNCTION("""COMPUTED_VALUE"""),"Vince Carter")</f>
        <v>Vince Carter</v>
      </c>
      <c r="C979" s="162" t="str">
        <f>IFERROR(__xludf.DUMMYFUNCTION("""COMPUTED_VALUE"""),"2015-16")</f>
        <v>2015-16</v>
      </c>
      <c r="D979" s="163" t="str">
        <f>IFERROR(__xludf.DUMMYFUNCTION("""COMPUTED_VALUE"""),"MEM")</f>
        <v>MEM</v>
      </c>
      <c r="E979" s="164" t="str">
        <f>IFERROR(__xludf.DUMMYFUNCTION("""COMPUTED_VALUE"""),"Movement Shooter")</f>
        <v>Movement Shooter</v>
      </c>
      <c r="F979" s="164">
        <f>IFERROR(__xludf.DUMMYFUNCTION("""COMPUTED_VALUE"""),1005.35333333333)</f>
        <v>1005.353333</v>
      </c>
      <c r="G979" s="163">
        <f>IFERROR(__xludf.DUMMYFUNCTION("""COMPUTED_VALUE"""),60.0)</f>
        <v>60</v>
      </c>
      <c r="H979" s="163" t="str">
        <f>IFERROR(__xludf.DUMMYFUNCTION("""COMPUTED_VALUE"""),"SG")</f>
        <v>SG</v>
      </c>
      <c r="I979" s="163">
        <f>IFERROR(__xludf.DUMMYFUNCTION("""COMPUTED_VALUE"""),39.0)</f>
        <v>39</v>
      </c>
      <c r="J979" s="165">
        <f>IFERROR(__xludf.DUMMYFUNCTION("""COMPUTED_VALUE"""),0.150736436051814)</f>
        <v>0.1507364361</v>
      </c>
      <c r="K979" s="165">
        <f>IFERROR(__xludf.DUMMYFUNCTION("""COMPUTED_VALUE"""),0.588665670255958)</f>
        <v>0.5886656703</v>
      </c>
      <c r="L979" s="165">
        <f>IFERROR(__xludf.DUMMYFUNCTION("""COMPUTED_VALUE"""),-0.437929234204144)</f>
        <v>-0.4379292342</v>
      </c>
      <c r="M979" s="166">
        <f t="shared" si="2"/>
        <v>1.6520855</v>
      </c>
      <c r="N979" s="167">
        <f t="shared" si="3"/>
        <v>16.75588889</v>
      </c>
      <c r="O979" s="163">
        <f t="shared" ref="O979:Q979" si="983">rank(I979,I:I)</f>
        <v>8</v>
      </c>
      <c r="P979" s="163">
        <f t="shared" si="983"/>
        <v>1134</v>
      </c>
      <c r="Q979" s="163">
        <f t="shared" si="983"/>
        <v>717</v>
      </c>
      <c r="R979" s="163">
        <f>IFERROR(__xludf.DUMMYFUNCTION("RANK(M979,filter(M:M,C:C=C979))"),177.0)</f>
        <v>177</v>
      </c>
      <c r="S979" s="161" t="b">
        <f t="shared" si="5"/>
        <v>0</v>
      </c>
      <c r="T979" s="161" t="b">
        <f t="array" ref="T979">index('Query Tool'!B:B,match(H979,'Query Tool'!C:C,0))</f>
        <v>1</v>
      </c>
      <c r="U979" s="161" t="b">
        <f t="array" ref="U979">index('Query Tool'!B:B,match(C979,'Query Tool'!C:C,0))</f>
        <v>0</v>
      </c>
      <c r="V979" s="161" t="b">
        <f>F979&gt;='Query Tool'!C$32</f>
        <v>1</v>
      </c>
      <c r="W979" s="161" t="b">
        <f t="array" ref="W979">index(Dropdowns!B:B,match(I979,Dropdowns!A:A,0))</f>
        <v>1</v>
      </c>
      <c r="X979" s="161" t="b">
        <f t="array" ref="X979">index('Query Tool'!B:B,match(D979,'Query Tool'!C:C,0))</f>
        <v>1</v>
      </c>
      <c r="Y979" s="161" t="str">
        <f t="shared" si="6"/>
        <v>cartevi01,2015-16</v>
      </c>
      <c r="Z979" s="168">
        <f t="array" ref="Z979">iferror(index(I:I,match($A979&amp;","&amp;index('Year Conversion'!$A:$A,match($C979,'Year Conversion'!$B:$B,0)),$Y:$Y,0))-I979,"")</f>
        <v>1</v>
      </c>
      <c r="AA979" s="168">
        <f t="array" ref="AA979">iferror(index(J:J,match($A979&amp;","&amp;index('Year Conversion'!$A:$A,match($C979,'Year Conversion'!$B:$B,0)),$Y:$Y,0))-J979,"")</f>
        <v>0.659673816</v>
      </c>
      <c r="AB979" s="168">
        <f t="array" ref="AB979">iferror(index(K:K,match($A979&amp;","&amp;index('Year Conversion'!$A:$A,match($C979,'Year Conversion'!$B:$B,0)),$Y:$Y,0))-K979,"")</f>
        <v>0.08972157812</v>
      </c>
      <c r="AC979" s="168" t="str">
        <f t="shared" si="7"/>
        <v>MEM,2015-16</v>
      </c>
    </row>
    <row r="980">
      <c r="A980" s="161" t="str">
        <f>IFERROR(__xludf.DUMMYFUNCTION("""COMPUTED_VALUE"""),"nowitdi01")</f>
        <v>nowitdi01</v>
      </c>
      <c r="B980" s="161" t="str">
        <f>IFERROR(__xludf.DUMMYFUNCTION("""COMPUTED_VALUE"""),"Dirk Nowitzki")</f>
        <v>Dirk Nowitzki</v>
      </c>
      <c r="C980" s="162" t="str">
        <f>IFERROR(__xludf.DUMMYFUNCTION("""COMPUTED_VALUE"""),"2015-16")</f>
        <v>2015-16</v>
      </c>
      <c r="D980" s="163" t="str">
        <f>IFERROR(__xludf.DUMMYFUNCTION("""COMPUTED_VALUE"""),"DAL")</f>
        <v>DAL</v>
      </c>
      <c r="E980" s="164" t="str">
        <f>IFERROR(__xludf.DUMMYFUNCTION("""COMPUTED_VALUE"""),"Versatile Big")</f>
        <v>Versatile Big</v>
      </c>
      <c r="F980" s="164">
        <f>IFERROR(__xludf.DUMMYFUNCTION("""COMPUTED_VALUE"""),2363.50666666667)</f>
        <v>2363.506667</v>
      </c>
      <c r="G980" s="163">
        <f>IFERROR(__xludf.DUMMYFUNCTION("""COMPUTED_VALUE"""),75.0)</f>
        <v>75</v>
      </c>
      <c r="H980" s="163" t="str">
        <f>IFERROR(__xludf.DUMMYFUNCTION("""COMPUTED_VALUE"""),"PF")</f>
        <v>PF</v>
      </c>
      <c r="I980" s="163">
        <f>IFERROR(__xludf.DUMMYFUNCTION("""COMPUTED_VALUE"""),37.0)</f>
        <v>37</v>
      </c>
      <c r="J980" s="165">
        <f>IFERROR(__xludf.DUMMYFUNCTION("""COMPUTED_VALUE"""),2.40961604922556)</f>
        <v>2.409616049</v>
      </c>
      <c r="K980" s="165">
        <f>IFERROR(__xludf.DUMMYFUNCTION("""COMPUTED_VALUE"""),1.69341662352189)</f>
        <v>1.693416624</v>
      </c>
      <c r="L980" s="165">
        <f>IFERROR(__xludf.DUMMYFUNCTION("""COMPUTED_VALUE"""),0.71619942570367)</f>
        <v>0.7161994257</v>
      </c>
      <c r="M980" s="166">
        <f t="shared" si="2"/>
        <v>7.452673414</v>
      </c>
      <c r="N980" s="167">
        <f t="shared" si="3"/>
        <v>31.51342222</v>
      </c>
      <c r="O980" s="163">
        <f t="shared" ref="O980:Q980" si="984">rank(I980,I:I)</f>
        <v>38</v>
      </c>
      <c r="P980" s="163">
        <f t="shared" si="984"/>
        <v>238</v>
      </c>
      <c r="Q980" s="163">
        <f t="shared" si="984"/>
        <v>272</v>
      </c>
      <c r="R980" s="163">
        <f>IFERROR(__xludf.DUMMYFUNCTION("RANK(M980,filter(M:M,C:C=C980))"),27.0)</f>
        <v>27</v>
      </c>
      <c r="S980" s="161" t="b">
        <f t="shared" si="5"/>
        <v>0</v>
      </c>
      <c r="T980" s="161" t="b">
        <f t="array" ref="T980">index('Query Tool'!B:B,match(H980,'Query Tool'!C:C,0))</f>
        <v>1</v>
      </c>
      <c r="U980" s="161" t="b">
        <f t="array" ref="U980">index('Query Tool'!B:B,match(C980,'Query Tool'!C:C,0))</f>
        <v>0</v>
      </c>
      <c r="V980" s="161" t="b">
        <f>F980&gt;='Query Tool'!C$32</f>
        <v>1</v>
      </c>
      <c r="W980" s="161" t="b">
        <f t="array" ref="W980">index(Dropdowns!B:B,match(I980,Dropdowns!A:A,0))</f>
        <v>1</v>
      </c>
      <c r="X980" s="161" t="b">
        <f t="array" ref="X980">index('Query Tool'!B:B,match(D980,'Query Tool'!C:C,0))</f>
        <v>1</v>
      </c>
      <c r="Y980" s="161" t="str">
        <f t="shared" si="6"/>
        <v>nowitdi01,2015-16</v>
      </c>
      <c r="Z980" s="168">
        <f t="array" ref="Z980">iferror(index(I:I,match($A980&amp;","&amp;index('Year Conversion'!$A:$A,match($C980,'Year Conversion'!$B:$B,0)),$Y:$Y,0))-I980,"")</f>
        <v>1</v>
      </c>
      <c r="AA980" s="168">
        <f t="array" ref="AA980">iferror(index(J:J,match($A980&amp;","&amp;index('Year Conversion'!$A:$A,match($C980,'Year Conversion'!$B:$B,0)),$Y:$Y,0))-J980,"")</f>
        <v>-1.461684364</v>
      </c>
      <c r="AB980" s="168">
        <f t="array" ref="AB980">iferror(index(K:K,match($A980&amp;","&amp;index('Year Conversion'!$A:$A,match($C980,'Year Conversion'!$B:$B,0)),$Y:$Y,0))-K980,"")</f>
        <v>-1.891689382</v>
      </c>
      <c r="AC980" s="168" t="str">
        <f t="shared" si="7"/>
        <v>DAL,2015-16</v>
      </c>
    </row>
    <row r="981">
      <c r="A981" s="161" t="str">
        <f>IFERROR(__xludf.DUMMYFUNCTION("""COMPUTED_VALUE"""),"piercpa01")</f>
        <v>piercpa01</v>
      </c>
      <c r="B981" s="161" t="str">
        <f>IFERROR(__xludf.DUMMYFUNCTION("""COMPUTED_VALUE"""),"Paul Pierce")</f>
        <v>Paul Pierce</v>
      </c>
      <c r="C981" s="162" t="str">
        <f>IFERROR(__xludf.DUMMYFUNCTION("""COMPUTED_VALUE"""),"2015-16")</f>
        <v>2015-16</v>
      </c>
      <c r="D981" s="163" t="str">
        <f>IFERROR(__xludf.DUMMYFUNCTION("""COMPUTED_VALUE"""),"LAC")</f>
        <v>LAC</v>
      </c>
      <c r="E981" s="164" t="str">
        <f>IFERROR(__xludf.DUMMYFUNCTION("""COMPUTED_VALUE"""),"Movement Shooter")</f>
        <v>Movement Shooter</v>
      </c>
      <c r="F981" s="164">
        <f>IFERROR(__xludf.DUMMYFUNCTION("""COMPUTED_VALUE"""),1230.61333333333)</f>
        <v>1230.613333</v>
      </c>
      <c r="G981" s="163">
        <f>IFERROR(__xludf.DUMMYFUNCTION("""COMPUTED_VALUE"""),68.0)</f>
        <v>68</v>
      </c>
      <c r="H981" s="163" t="str">
        <f>IFERROR(__xludf.DUMMYFUNCTION("""COMPUTED_VALUE"""),"SF")</f>
        <v>SF</v>
      </c>
      <c r="I981" s="163">
        <f>IFERROR(__xludf.DUMMYFUNCTION("""COMPUTED_VALUE"""),38.0)</f>
        <v>38</v>
      </c>
      <c r="J981" s="165">
        <f>IFERROR(__xludf.DUMMYFUNCTION("""COMPUTED_VALUE"""),-1.59435033854636)</f>
        <v>-1.594350339</v>
      </c>
      <c r="K981" s="165">
        <f>IFERROR(__xludf.DUMMYFUNCTION("""COMPUTED_VALUE"""),-1.23023772434114)</f>
        <v>-1.230237724</v>
      </c>
      <c r="L981" s="165">
        <f>IFERROR(__xludf.DUMMYFUNCTION("""COMPUTED_VALUE"""),-0.364112614205211)</f>
        <v>-0.3641126142</v>
      </c>
      <c r="M981" s="166">
        <f t="shared" si="2"/>
        <v>0.579067106</v>
      </c>
      <c r="N981" s="167">
        <f t="shared" si="3"/>
        <v>18.0972549</v>
      </c>
      <c r="O981" s="163">
        <f t="shared" ref="O981:Q981" si="985">rank(I981,I:I)</f>
        <v>20</v>
      </c>
      <c r="P981" s="163">
        <f t="shared" si="985"/>
        <v>3138</v>
      </c>
      <c r="Q981" s="163">
        <f t="shared" si="985"/>
        <v>3065</v>
      </c>
      <c r="R981" s="163">
        <f>IFERROR(__xludf.DUMMYFUNCTION("RANK(M981,filter(M:M,C:C=C981))"),275.0)</f>
        <v>275</v>
      </c>
      <c r="S981" s="161" t="b">
        <f t="shared" si="5"/>
        <v>0</v>
      </c>
      <c r="T981" s="161" t="b">
        <f t="array" ref="T981">index('Query Tool'!B:B,match(H981,'Query Tool'!C:C,0))</f>
        <v>1</v>
      </c>
      <c r="U981" s="161" t="b">
        <f t="array" ref="U981">index('Query Tool'!B:B,match(C981,'Query Tool'!C:C,0))</f>
        <v>0</v>
      </c>
      <c r="V981" s="161" t="b">
        <f>F981&gt;='Query Tool'!C$32</f>
        <v>1</v>
      </c>
      <c r="W981" s="161" t="b">
        <f t="array" ref="W981">index(Dropdowns!B:B,match(I981,Dropdowns!A:A,0))</f>
        <v>1</v>
      </c>
      <c r="X981" s="161" t="b">
        <f t="array" ref="X981">index('Query Tool'!B:B,match(D981,'Query Tool'!C:C,0))</f>
        <v>1</v>
      </c>
      <c r="Y981" s="161" t="str">
        <f t="shared" si="6"/>
        <v>piercpa01,2015-16</v>
      </c>
      <c r="Z981" s="168">
        <f t="array" ref="Z981">iferror(index(I:I,match($A981&amp;","&amp;index('Year Conversion'!$A:$A,match($C981,'Year Conversion'!$B:$B,0)),$Y:$Y,0))-I981,"")</f>
        <v>1</v>
      </c>
      <c r="AA981" s="168">
        <f t="array" ref="AA981">iferror(index(J:J,match($A981&amp;","&amp;index('Year Conversion'!$A:$A,match($C981,'Year Conversion'!$B:$B,0)),$Y:$Y,0))-J981,"")</f>
        <v>-0.005003458147</v>
      </c>
      <c r="AB981" s="168">
        <f t="array" ref="AB981">iferror(index(K:K,match($A981&amp;","&amp;index('Year Conversion'!$A:$A,match($C981,'Year Conversion'!$B:$B,0)),$Y:$Y,0))-K981,"")</f>
        <v>-0.3504579579</v>
      </c>
      <c r="AC981" s="168" t="str">
        <f t="shared" si="7"/>
        <v>LAC,2015-16</v>
      </c>
    </row>
    <row r="982">
      <c r="A982" s="161" t="str">
        <f>IFERROR(__xludf.DUMMYFUNCTION("""COMPUTED_VALUE"""),"mohamna01")</f>
        <v>mohamna01</v>
      </c>
      <c r="B982" s="161" t="str">
        <f>IFERROR(__xludf.DUMMYFUNCTION("""COMPUTED_VALUE"""),"Nazr Mohammed")</f>
        <v>Nazr Mohammed</v>
      </c>
      <c r="C982" s="162" t="str">
        <f>IFERROR(__xludf.DUMMYFUNCTION("""COMPUTED_VALUE"""),"2015-16")</f>
        <v>2015-16</v>
      </c>
      <c r="D982" s="163" t="str">
        <f>IFERROR(__xludf.DUMMYFUNCTION("""COMPUTED_VALUE"""),"OKC")</f>
        <v>OKC</v>
      </c>
      <c r="E982" s="164" t="str">
        <f>IFERROR(__xludf.DUMMYFUNCTION("""COMPUTED_VALUE"""),"Roll + Cut Big")</f>
        <v>Roll + Cut Big</v>
      </c>
      <c r="F982" s="164">
        <f>IFERROR(__xludf.DUMMYFUNCTION("""COMPUTED_VALUE"""),19.4583333333333)</f>
        <v>19.45833333</v>
      </c>
      <c r="G982" s="163">
        <f>IFERROR(__xludf.DUMMYFUNCTION("""COMPUTED_VALUE"""),5.0)</f>
        <v>5</v>
      </c>
      <c r="H982" s="163" t="str">
        <f>IFERROR(__xludf.DUMMYFUNCTION("""COMPUTED_VALUE"""),"C")</f>
        <v>C</v>
      </c>
      <c r="I982" s="163">
        <f>IFERROR(__xludf.DUMMYFUNCTION("""COMPUTED_VALUE"""),38.0)</f>
        <v>38</v>
      </c>
      <c r="J982" s="165">
        <f>IFERROR(__xludf.DUMMYFUNCTION("""COMPUTED_VALUE"""),-1.0820600062224)</f>
        <v>-1.082060006</v>
      </c>
      <c r="K982" s="165">
        <f>IFERROR(__xludf.DUMMYFUNCTION("""COMPUTED_VALUE"""),-0.447190319339025)</f>
        <v>-0.4471903193</v>
      </c>
      <c r="L982" s="165">
        <f>IFERROR(__xludf.DUMMYFUNCTION("""COMPUTED_VALUE"""),-0.634869686883371)</f>
        <v>-0.6348696869</v>
      </c>
      <c r="M982" s="166">
        <f t="shared" si="2"/>
        <v>0.01582618436</v>
      </c>
      <c r="N982" s="167">
        <f t="shared" si="3"/>
        <v>3.891666667</v>
      </c>
      <c r="O982" s="163">
        <f t="shared" ref="O982:Q982" si="986">rank(I982,I:I)</f>
        <v>20</v>
      </c>
      <c r="P982" s="163">
        <f t="shared" si="986"/>
        <v>2590</v>
      </c>
      <c r="Q982" s="163">
        <f t="shared" si="986"/>
        <v>2027</v>
      </c>
      <c r="R982" s="163">
        <f>IFERROR(__xludf.DUMMYFUNCTION("RANK(M982,filter(M:M,C:C=C982))"),419.0)</f>
        <v>419</v>
      </c>
      <c r="S982" s="161" t="b">
        <f t="shared" si="5"/>
        <v>0</v>
      </c>
      <c r="T982" s="161" t="b">
        <f t="array" ref="T982">index('Query Tool'!B:B,match(H982,'Query Tool'!C:C,0))</f>
        <v>1</v>
      </c>
      <c r="U982" s="161" t="b">
        <f t="array" ref="U982">index('Query Tool'!B:B,match(C982,'Query Tool'!C:C,0))</f>
        <v>0</v>
      </c>
      <c r="V982" s="161" t="b">
        <f>F982&gt;='Query Tool'!C$32</f>
        <v>0</v>
      </c>
      <c r="W982" s="161" t="b">
        <f t="array" ref="W982">index(Dropdowns!B:B,match(I982,Dropdowns!A:A,0))</f>
        <v>1</v>
      </c>
      <c r="X982" s="161" t="b">
        <f t="array" ref="X982">index('Query Tool'!B:B,match(D982,'Query Tool'!C:C,0))</f>
        <v>1</v>
      </c>
      <c r="Y982" s="161" t="str">
        <f t="shared" si="6"/>
        <v>mohamna01,2015-16</v>
      </c>
      <c r="Z982" s="168" t="str">
        <f t="array" ref="Z982">iferror(index(I:I,match($A982&amp;","&amp;index('Year Conversion'!$A:$A,match($C982,'Year Conversion'!$B:$B,0)),$Y:$Y,0))-I982,"")</f>
        <v/>
      </c>
      <c r="AA982" s="168" t="str">
        <f t="array" ref="AA982">iferror(index(J:J,match($A982&amp;","&amp;index('Year Conversion'!$A:$A,match($C982,'Year Conversion'!$B:$B,0)),$Y:$Y,0))-J982,"")</f>
        <v/>
      </c>
      <c r="AB982" s="168" t="str">
        <f t="array" ref="AB982">iferror(index(K:K,match($A982&amp;","&amp;index('Year Conversion'!$A:$A,match($C982,'Year Conversion'!$B:$B,0)),$Y:$Y,0))-K982,"")</f>
        <v/>
      </c>
      <c r="AC982" s="168" t="str">
        <f t="shared" si="7"/>
        <v>OKC,2015-16</v>
      </c>
    </row>
    <row r="983">
      <c r="A983" s="161" t="str">
        <f>IFERROR(__xludf.DUMMYFUNCTION("""COMPUTED_VALUE"""),"brandel01")</f>
        <v>brandel01</v>
      </c>
      <c r="B983" s="161" t="str">
        <f>IFERROR(__xludf.DUMMYFUNCTION("""COMPUTED_VALUE"""),"Elton Brand")</f>
        <v>Elton Brand</v>
      </c>
      <c r="C983" s="162" t="str">
        <f>IFERROR(__xludf.DUMMYFUNCTION("""COMPUTED_VALUE"""),"2015-16")</f>
        <v>2015-16</v>
      </c>
      <c r="D983" s="163" t="str">
        <f>IFERROR(__xludf.DUMMYFUNCTION("""COMPUTED_VALUE"""),"PHI")</f>
        <v>PHI</v>
      </c>
      <c r="E983" s="164" t="str">
        <f>IFERROR(__xludf.DUMMYFUNCTION("""COMPUTED_VALUE"""),"Roll + Cut Big")</f>
        <v>Roll + Cut Big</v>
      </c>
      <c r="F983" s="164">
        <f>IFERROR(__xludf.DUMMYFUNCTION("""COMPUTED_VALUE"""),224.695)</f>
        <v>224.695</v>
      </c>
      <c r="G983" s="163">
        <f>IFERROR(__xludf.DUMMYFUNCTION("""COMPUTED_VALUE"""),17.0)</f>
        <v>17</v>
      </c>
      <c r="H983" s="163" t="str">
        <f>IFERROR(__xludf.DUMMYFUNCTION("""COMPUTED_VALUE"""),"C")</f>
        <v>C</v>
      </c>
      <c r="I983" s="163">
        <f>IFERROR(__xludf.DUMMYFUNCTION("""COMPUTED_VALUE"""),36.0)</f>
        <v>36</v>
      </c>
      <c r="J983" s="165">
        <f>IFERROR(__xludf.DUMMYFUNCTION("""COMPUTED_VALUE"""),-0.09517168104753)</f>
        <v>-0.09517168105</v>
      </c>
      <c r="K983" s="165">
        <f>IFERROR(__xludf.DUMMYFUNCTION("""COMPUTED_VALUE"""),-1.3839390835202)</f>
        <v>-1.383939084</v>
      </c>
      <c r="L983" s="165">
        <f>IFERROR(__xludf.DUMMYFUNCTION("""COMPUTED_VALUE"""),1.28876740247267)</f>
        <v>1.288767402</v>
      </c>
      <c r="M983" s="166">
        <f t="shared" si="2"/>
        <v>0.331987693</v>
      </c>
      <c r="N983" s="167">
        <f t="shared" si="3"/>
        <v>13.21735294</v>
      </c>
      <c r="O983" s="163">
        <f t="shared" ref="O983:Q983" si="987">rank(I983,I:I)</f>
        <v>65</v>
      </c>
      <c r="P983" s="163">
        <f t="shared" si="987"/>
        <v>1380</v>
      </c>
      <c r="Q983" s="163">
        <f t="shared" si="987"/>
        <v>3233</v>
      </c>
      <c r="R983" s="163">
        <f>IFERROR(__xludf.DUMMYFUNCTION("RANK(M983,filter(M:M,C:C=C983))"),304.0)</f>
        <v>304</v>
      </c>
      <c r="S983" s="161" t="b">
        <f t="shared" si="5"/>
        <v>0</v>
      </c>
      <c r="T983" s="161" t="b">
        <f t="array" ref="T983">index('Query Tool'!B:B,match(H983,'Query Tool'!C:C,0))</f>
        <v>1</v>
      </c>
      <c r="U983" s="161" t="b">
        <f t="array" ref="U983">index('Query Tool'!B:B,match(C983,'Query Tool'!C:C,0))</f>
        <v>0</v>
      </c>
      <c r="V983" s="161" t="b">
        <f>F983&gt;='Query Tool'!C$32</f>
        <v>0</v>
      </c>
      <c r="W983" s="161" t="b">
        <f t="array" ref="W983">index(Dropdowns!B:B,match(I983,Dropdowns!A:A,0))</f>
        <v>1</v>
      </c>
      <c r="X983" s="161" t="b">
        <f t="array" ref="X983">index('Query Tool'!B:B,match(D983,'Query Tool'!C:C,0))</f>
        <v>1</v>
      </c>
      <c r="Y983" s="161" t="str">
        <f t="shared" si="6"/>
        <v>brandel01,2015-16</v>
      </c>
      <c r="Z983" s="168" t="str">
        <f t="array" ref="Z983">iferror(index(I:I,match($A983&amp;","&amp;index('Year Conversion'!$A:$A,match($C983,'Year Conversion'!$B:$B,0)),$Y:$Y,0))-I983,"")</f>
        <v/>
      </c>
      <c r="AA983" s="168" t="str">
        <f t="array" ref="AA983">iferror(index(J:J,match($A983&amp;","&amp;index('Year Conversion'!$A:$A,match($C983,'Year Conversion'!$B:$B,0)),$Y:$Y,0))-J983,"")</f>
        <v/>
      </c>
      <c r="AB983" s="168" t="str">
        <f t="array" ref="AB983">iferror(index(K:K,match($A983&amp;","&amp;index('Year Conversion'!$A:$A,match($C983,'Year Conversion'!$B:$B,0)),$Y:$Y,0))-K983,"")</f>
        <v/>
      </c>
      <c r="AC983" s="168" t="str">
        <f t="shared" si="7"/>
        <v>PHI,2015-16</v>
      </c>
    </row>
    <row r="984">
      <c r="A984" s="161" t="str">
        <f>IFERROR(__xludf.DUMMYFUNCTION("""COMPUTED_VALUE"""),"millean02")</f>
        <v>millean02</v>
      </c>
      <c r="B984" s="161" t="str">
        <f>IFERROR(__xludf.DUMMYFUNCTION("""COMPUTED_VALUE"""),"Andre Miller")</f>
        <v>Andre Miller</v>
      </c>
      <c r="C984" s="162" t="str">
        <f>IFERROR(__xludf.DUMMYFUNCTION("""COMPUTED_VALUE"""),"2015-16")</f>
        <v>2015-16</v>
      </c>
      <c r="D984" s="163" t="str">
        <f>IFERROR(__xludf.DUMMYFUNCTION("""COMPUTED_VALUE"""),"TOT")</f>
        <v>TOT</v>
      </c>
      <c r="E984" s="164" t="str">
        <f>IFERROR(__xludf.DUMMYFUNCTION("""COMPUTED_VALUE"""),"Shot Creator")</f>
        <v>Shot Creator</v>
      </c>
      <c r="F984" s="164">
        <f>IFERROR(__xludf.DUMMYFUNCTION("""COMPUTED_VALUE"""),461.19)</f>
        <v>461.19</v>
      </c>
      <c r="G984" s="163">
        <f>IFERROR(__xludf.DUMMYFUNCTION("""COMPUTED_VALUE"""),39.0)</f>
        <v>39</v>
      </c>
      <c r="H984" s="163" t="str">
        <f>IFERROR(__xludf.DUMMYFUNCTION("""COMPUTED_VALUE"""),"PG")</f>
        <v>PG</v>
      </c>
      <c r="I984" s="163">
        <f>IFERROR(__xludf.DUMMYFUNCTION("""COMPUTED_VALUE"""),39.0)</f>
        <v>39</v>
      </c>
      <c r="J984" s="165">
        <f>IFERROR(__xludf.DUMMYFUNCTION("""COMPUTED_VALUE"""),-1.10940432250116)</f>
        <v>-1.109404323</v>
      </c>
      <c r="K984" s="165">
        <f>IFERROR(__xludf.DUMMYFUNCTION("""COMPUTED_VALUE"""),0.138548329636919)</f>
        <v>0.1385483296</v>
      </c>
      <c r="L984" s="165">
        <f>IFERROR(__xludf.DUMMYFUNCTION("""COMPUTED_VALUE"""),-1.24795265213808)</f>
        <v>-1.247952652</v>
      </c>
      <c r="M984" s="166">
        <f t="shared" si="2"/>
        <v>0.3666431816</v>
      </c>
      <c r="N984" s="167">
        <f t="shared" si="3"/>
        <v>11.82538462</v>
      </c>
      <c r="O984" s="163">
        <f t="shared" ref="O984:Q984" si="988">rank(I984,I:I)</f>
        <v>8</v>
      </c>
      <c r="P984" s="163">
        <f t="shared" si="988"/>
        <v>2628</v>
      </c>
      <c r="Q984" s="163">
        <f t="shared" si="988"/>
        <v>1032</v>
      </c>
      <c r="R984" s="163">
        <f>IFERROR(__xludf.DUMMYFUNCTION("RANK(M984,filter(M:M,C:C=C984))"),300.0)</f>
        <v>300</v>
      </c>
      <c r="S984" s="161" t="b">
        <f t="shared" si="5"/>
        <v>0</v>
      </c>
      <c r="T984" s="161" t="b">
        <f t="array" ref="T984">index('Query Tool'!B:B,match(H984,'Query Tool'!C:C,0))</f>
        <v>1</v>
      </c>
      <c r="U984" s="161" t="b">
        <f t="array" ref="U984">index('Query Tool'!B:B,match(C984,'Query Tool'!C:C,0))</f>
        <v>0</v>
      </c>
      <c r="V984" s="161" t="b">
        <f>F984&gt;='Query Tool'!C$32</f>
        <v>0</v>
      </c>
      <c r="W984" s="161" t="b">
        <f t="array" ref="W984">index(Dropdowns!B:B,match(I984,Dropdowns!A:A,0))</f>
        <v>1</v>
      </c>
      <c r="X984" s="161" t="b">
        <f t="array" ref="X984">index('Query Tool'!B:B,match(D984,'Query Tool'!C:C,0))</f>
        <v>1</v>
      </c>
      <c r="Y984" s="161" t="str">
        <f t="shared" si="6"/>
        <v>millean02,2015-16</v>
      </c>
      <c r="Z984" s="168" t="str">
        <f t="array" ref="Z984">iferror(index(I:I,match($A984&amp;","&amp;index('Year Conversion'!$A:$A,match($C984,'Year Conversion'!$B:$B,0)),$Y:$Y,0))-I984,"")</f>
        <v/>
      </c>
      <c r="AA984" s="168" t="str">
        <f t="array" ref="AA984">iferror(index(J:J,match($A984&amp;","&amp;index('Year Conversion'!$A:$A,match($C984,'Year Conversion'!$B:$B,0)),$Y:$Y,0))-J984,"")</f>
        <v/>
      </c>
      <c r="AB984" s="168" t="str">
        <f t="array" ref="AB984">iferror(index(K:K,match($A984&amp;","&amp;index('Year Conversion'!$A:$A,match($C984,'Year Conversion'!$B:$B,0)),$Y:$Y,0))-K984,"")</f>
        <v/>
      </c>
      <c r="AC984" s="168" t="str">
        <f t="shared" si="7"/>
        <v>TOT,2015-16</v>
      </c>
    </row>
    <row r="985">
      <c r="A985" s="161" t="str">
        <f>IFERROR(__xludf.DUMMYFUNCTION("""COMPUTED_VALUE"""),"terryja01")</f>
        <v>terryja01</v>
      </c>
      <c r="B985" s="161" t="str">
        <f>IFERROR(__xludf.DUMMYFUNCTION("""COMPUTED_VALUE"""),"Jason Terry")</f>
        <v>Jason Terry</v>
      </c>
      <c r="C985" s="162" t="str">
        <f>IFERROR(__xludf.DUMMYFUNCTION("""COMPUTED_VALUE"""),"2015-16")</f>
        <v>2015-16</v>
      </c>
      <c r="D985" s="163" t="str">
        <f>IFERROR(__xludf.DUMMYFUNCTION("""COMPUTED_VALUE"""),"HOU")</f>
        <v>HOU</v>
      </c>
      <c r="E985" s="164" t="str">
        <f>IFERROR(__xludf.DUMMYFUNCTION("""COMPUTED_VALUE"""),"Stationary Shooter")</f>
        <v>Stationary Shooter</v>
      </c>
      <c r="F985" s="164">
        <f>IFERROR(__xludf.DUMMYFUNCTION("""COMPUTED_VALUE"""),1257.70166666667)</f>
        <v>1257.701667</v>
      </c>
      <c r="G985" s="163">
        <f>IFERROR(__xludf.DUMMYFUNCTION("""COMPUTED_VALUE"""),72.0)</f>
        <v>72</v>
      </c>
      <c r="H985" s="163" t="str">
        <f>IFERROR(__xludf.DUMMYFUNCTION("""COMPUTED_VALUE"""),"SG")</f>
        <v>SG</v>
      </c>
      <c r="I985" s="163">
        <f>IFERROR(__xludf.DUMMYFUNCTION("""COMPUTED_VALUE"""),38.0)</f>
        <v>38</v>
      </c>
      <c r="J985" s="165">
        <f>IFERROR(__xludf.DUMMYFUNCTION("""COMPUTED_VALUE"""),-2.08037680002371)</f>
        <v>-2.0803768</v>
      </c>
      <c r="K985" s="165">
        <f>IFERROR(__xludf.DUMMYFUNCTION("""COMPUTED_VALUE"""),0.0630845555523321)</f>
        <v>0.06308455555</v>
      </c>
      <c r="L985" s="165">
        <f>IFERROR(__xludf.DUMMYFUNCTION("""COMPUTED_VALUE"""),-2.14346135557604)</f>
        <v>-2.143461356</v>
      </c>
      <c r="M985" s="166">
        <f t="shared" si="2"/>
        <v>0.1854735896</v>
      </c>
      <c r="N985" s="167">
        <f t="shared" si="3"/>
        <v>17.4680787</v>
      </c>
      <c r="O985" s="163">
        <f t="shared" ref="O985:Q985" si="989">rank(I985,I:I)</f>
        <v>20</v>
      </c>
      <c r="P985" s="163">
        <f t="shared" si="989"/>
        <v>3543</v>
      </c>
      <c r="Q985" s="163">
        <f t="shared" si="989"/>
        <v>1116</v>
      </c>
      <c r="R985" s="163">
        <f>IFERROR(__xludf.DUMMYFUNCTION("RANK(M985,filter(M:M,C:C=C985))"),345.0)</f>
        <v>345</v>
      </c>
      <c r="S985" s="161" t="b">
        <f t="shared" si="5"/>
        <v>0</v>
      </c>
      <c r="T985" s="161" t="b">
        <f t="array" ref="T985">index('Query Tool'!B:B,match(H985,'Query Tool'!C:C,0))</f>
        <v>1</v>
      </c>
      <c r="U985" s="161" t="b">
        <f t="array" ref="U985">index('Query Tool'!B:B,match(C985,'Query Tool'!C:C,0))</f>
        <v>0</v>
      </c>
      <c r="V985" s="161" t="b">
        <f>F985&gt;='Query Tool'!C$32</f>
        <v>1</v>
      </c>
      <c r="W985" s="161" t="b">
        <f t="array" ref="W985">index(Dropdowns!B:B,match(I985,Dropdowns!A:A,0))</f>
        <v>1</v>
      </c>
      <c r="X985" s="161" t="b">
        <f t="array" ref="X985">index('Query Tool'!B:B,match(D985,'Query Tool'!C:C,0))</f>
        <v>1</v>
      </c>
      <c r="Y985" s="161" t="str">
        <f t="shared" si="6"/>
        <v>terryja01,2015-16</v>
      </c>
      <c r="Z985" s="168">
        <f t="array" ref="Z985">iferror(index(I:I,match($A985&amp;","&amp;index('Year Conversion'!$A:$A,match($C985,'Year Conversion'!$B:$B,0)),$Y:$Y,0))-I985,"")</f>
        <v>1</v>
      </c>
      <c r="AA985" s="168">
        <f t="array" ref="AA985">iferror(index(J:J,match($A985&amp;","&amp;index('Year Conversion'!$A:$A,match($C985,'Year Conversion'!$B:$B,0)),$Y:$Y,0))-J985,"")</f>
        <v>0.3037244731</v>
      </c>
      <c r="AB985" s="168">
        <f t="array" ref="AB985">iferror(index(K:K,match($A985&amp;","&amp;index('Year Conversion'!$A:$A,match($C985,'Year Conversion'!$B:$B,0)),$Y:$Y,0))-K985,"")</f>
        <v>-1.781414912</v>
      </c>
      <c r="AC985" s="168" t="str">
        <f t="shared" si="7"/>
        <v>HOU,2015-16</v>
      </c>
    </row>
    <row r="986">
      <c r="A986" s="161" t="str">
        <f>IFERROR(__xludf.DUMMYFUNCTION("""COMPUTED_VALUE"""),"artesro01")</f>
        <v>artesro01</v>
      </c>
      <c r="B986" s="161" t="str">
        <f>IFERROR(__xludf.DUMMYFUNCTION("""COMPUTED_VALUE"""),"Metta World Peace")</f>
        <v>Metta World Peace</v>
      </c>
      <c r="C986" s="162" t="str">
        <f>IFERROR(__xludf.DUMMYFUNCTION("""COMPUTED_VALUE"""),"2015-16")</f>
        <v>2015-16</v>
      </c>
      <c r="D986" s="163" t="str">
        <f>IFERROR(__xludf.DUMMYFUNCTION("""COMPUTED_VALUE"""),"LAL")</f>
        <v>LAL</v>
      </c>
      <c r="E986" s="164" t="str">
        <f>IFERROR(__xludf.DUMMYFUNCTION("""COMPUTED_VALUE"""),"Stationary Shooter")</f>
        <v>Stationary Shooter</v>
      </c>
      <c r="F986" s="164">
        <f>IFERROR(__xludf.DUMMYFUNCTION("""COMPUTED_VALUE"""),589.876666666667)</f>
        <v>589.8766667</v>
      </c>
      <c r="G986" s="163">
        <f>IFERROR(__xludf.DUMMYFUNCTION("""COMPUTED_VALUE"""),35.0)</f>
        <v>35</v>
      </c>
      <c r="H986" s="163" t="str">
        <f>IFERROR(__xludf.DUMMYFUNCTION("""COMPUTED_VALUE"""),"SF")</f>
        <v>SF</v>
      </c>
      <c r="I986" s="163">
        <f>IFERROR(__xludf.DUMMYFUNCTION("""COMPUTED_VALUE"""),36.0)</f>
        <v>36</v>
      </c>
      <c r="J986" s="165">
        <f>IFERROR(__xludf.DUMMYFUNCTION("""COMPUTED_VALUE"""),-0.820232794007109)</f>
        <v>-0.820232794</v>
      </c>
      <c r="K986" s="165">
        <f>IFERROR(__xludf.DUMMYFUNCTION("""COMPUTED_VALUE"""),-0.95495843060882)</f>
        <v>-0.9549584306</v>
      </c>
      <c r="L986" s="165">
        <f>IFERROR(__xludf.DUMMYFUNCTION("""COMPUTED_VALUE"""),0.134725636601711)</f>
        <v>0.1347256366</v>
      </c>
      <c r="M986" s="166">
        <f t="shared" si="2"/>
        <v>0.5835002934</v>
      </c>
      <c r="N986" s="167">
        <f t="shared" si="3"/>
        <v>16.85361905</v>
      </c>
      <c r="O986" s="163">
        <f t="shared" ref="O986:Q986" si="990">rank(I986,I:I)</f>
        <v>65</v>
      </c>
      <c r="P986" s="163">
        <f t="shared" si="990"/>
        <v>2315</v>
      </c>
      <c r="Q986" s="163">
        <f t="shared" si="990"/>
        <v>2753</v>
      </c>
      <c r="R986" s="163">
        <f>IFERROR(__xludf.DUMMYFUNCTION("RANK(M986,filter(M:M,C:C=C986))"),273.0)</f>
        <v>273</v>
      </c>
      <c r="S986" s="161" t="b">
        <f t="shared" si="5"/>
        <v>0</v>
      </c>
      <c r="T986" s="161" t="b">
        <f t="array" ref="T986">index('Query Tool'!B:B,match(H986,'Query Tool'!C:C,0))</f>
        <v>1</v>
      </c>
      <c r="U986" s="161" t="b">
        <f t="array" ref="U986">index('Query Tool'!B:B,match(C986,'Query Tool'!C:C,0))</f>
        <v>0</v>
      </c>
      <c r="V986" s="161" t="b">
        <f>F986&gt;='Query Tool'!C$32</f>
        <v>1</v>
      </c>
      <c r="W986" s="161" t="b">
        <f t="array" ref="W986">index(Dropdowns!B:B,match(I986,Dropdowns!A:A,0))</f>
        <v>1</v>
      </c>
      <c r="X986" s="161" t="b">
        <f t="array" ref="X986">index('Query Tool'!B:B,match(D986,'Query Tool'!C:C,0))</f>
        <v>1</v>
      </c>
      <c r="Y986" s="161" t="str">
        <f t="shared" si="6"/>
        <v>artesro01,2015-16</v>
      </c>
      <c r="Z986" s="168">
        <f t="array" ref="Z986">iferror(index(I:I,match($A986&amp;","&amp;index('Year Conversion'!$A:$A,match($C986,'Year Conversion'!$B:$B,0)),$Y:$Y,0))-I986,"")</f>
        <v>1</v>
      </c>
      <c r="AA986" s="168">
        <f t="array" ref="AA986">iferror(index(J:J,match($A986&amp;","&amp;index('Year Conversion'!$A:$A,match($C986,'Year Conversion'!$B:$B,0)),$Y:$Y,0))-J986,"")</f>
        <v>0.6396386923</v>
      </c>
      <c r="AB986" s="168">
        <f t="array" ref="AB986">iferror(index(K:K,match($A986&amp;","&amp;index('Year Conversion'!$A:$A,match($C986,'Year Conversion'!$B:$B,0)),$Y:$Y,0))-K986,"")</f>
        <v>1.049616864</v>
      </c>
      <c r="AC986" s="168" t="str">
        <f t="shared" si="7"/>
        <v>LAL,2015-16</v>
      </c>
    </row>
    <row r="987">
      <c r="A987" s="161" t="str">
        <f>IFERROR(__xludf.DUMMYFUNCTION("""COMPUTED_VALUE"""),"ginobma01")</f>
        <v>ginobma01</v>
      </c>
      <c r="B987" s="161" t="str">
        <f>IFERROR(__xludf.DUMMYFUNCTION("""COMPUTED_VALUE"""),"Manu Ginobili")</f>
        <v>Manu Ginobili</v>
      </c>
      <c r="C987" s="162" t="str">
        <f>IFERROR(__xludf.DUMMYFUNCTION("""COMPUTED_VALUE"""),"2015-16")</f>
        <v>2015-16</v>
      </c>
      <c r="D987" s="163" t="str">
        <f>IFERROR(__xludf.DUMMYFUNCTION("""COMPUTED_VALUE"""),"SAS")</f>
        <v>SAS</v>
      </c>
      <c r="E987" s="164" t="str">
        <f>IFERROR(__xludf.DUMMYFUNCTION("""COMPUTED_VALUE"""),"Secondary Ball Handler")</f>
        <v>Secondary Ball Handler</v>
      </c>
      <c r="F987" s="164">
        <f>IFERROR(__xludf.DUMMYFUNCTION("""COMPUTED_VALUE"""),1134.10166666667)</f>
        <v>1134.101667</v>
      </c>
      <c r="G987" s="163">
        <f>IFERROR(__xludf.DUMMYFUNCTION("""COMPUTED_VALUE"""),58.0)</f>
        <v>58</v>
      </c>
      <c r="H987" s="163" t="str">
        <f>IFERROR(__xludf.DUMMYFUNCTION("""COMPUTED_VALUE"""),"SG")</f>
        <v>SG</v>
      </c>
      <c r="I987" s="163">
        <f>IFERROR(__xludf.DUMMYFUNCTION("""COMPUTED_VALUE"""),38.0)</f>
        <v>38</v>
      </c>
      <c r="J987" s="165">
        <f>IFERROR(__xludf.DUMMYFUNCTION("""COMPUTED_VALUE"""),1.99682076497843)</f>
        <v>1.996820765</v>
      </c>
      <c r="K987" s="165">
        <f>IFERROR(__xludf.DUMMYFUNCTION("""COMPUTED_VALUE"""),1.42953554947982)</f>
        <v>1.429535549</v>
      </c>
      <c r="L987" s="165">
        <f>IFERROR(__xludf.DUMMYFUNCTION("""COMPUTED_VALUE"""),0.567285215498611)</f>
        <v>0.5672852155</v>
      </c>
      <c r="M987" s="166">
        <f t="shared" si="2"/>
        <v>3.266774312</v>
      </c>
      <c r="N987" s="167">
        <f t="shared" si="3"/>
        <v>19.55347701</v>
      </c>
      <c r="O987" s="163">
        <f t="shared" ref="O987:Q987" si="991">rank(I987,I:I)</f>
        <v>20</v>
      </c>
      <c r="P987" s="163">
        <f t="shared" si="991"/>
        <v>326</v>
      </c>
      <c r="Q987" s="163">
        <f t="shared" si="991"/>
        <v>343</v>
      </c>
      <c r="R987" s="163">
        <f>IFERROR(__xludf.DUMMYFUNCTION("RANK(M987,filter(M:M,C:C=C987))"),110.0)</f>
        <v>110</v>
      </c>
      <c r="S987" s="161" t="b">
        <f t="shared" si="5"/>
        <v>0</v>
      </c>
      <c r="T987" s="161" t="b">
        <f t="array" ref="T987">index('Query Tool'!B:B,match(H987,'Query Tool'!C:C,0))</f>
        <v>1</v>
      </c>
      <c r="U987" s="161" t="b">
        <f t="array" ref="U987">index('Query Tool'!B:B,match(C987,'Query Tool'!C:C,0))</f>
        <v>0</v>
      </c>
      <c r="V987" s="161" t="b">
        <f>F987&gt;='Query Tool'!C$32</f>
        <v>1</v>
      </c>
      <c r="W987" s="161" t="b">
        <f t="array" ref="W987">index(Dropdowns!B:B,match(I987,Dropdowns!A:A,0))</f>
        <v>1</v>
      </c>
      <c r="X987" s="161" t="b">
        <f t="array" ref="X987">index('Query Tool'!B:B,match(D987,'Query Tool'!C:C,0))</f>
        <v>1</v>
      </c>
      <c r="Y987" s="161" t="str">
        <f t="shared" si="6"/>
        <v>ginobma01,2015-16</v>
      </c>
      <c r="Z987" s="168">
        <f t="array" ref="Z987">iferror(index(I:I,match($A987&amp;","&amp;index('Year Conversion'!$A:$A,match($C987,'Year Conversion'!$B:$B,0)),$Y:$Y,0))-I987,"")</f>
        <v>1</v>
      </c>
      <c r="AA987" s="168">
        <f t="array" ref="AA987">iferror(index(J:J,match($A987&amp;","&amp;index('Year Conversion'!$A:$A,match($C987,'Year Conversion'!$B:$B,0)),$Y:$Y,0))-J987,"")</f>
        <v>-0.7802362875</v>
      </c>
      <c r="AB987" s="168">
        <f t="array" ref="AB987">iferror(index(K:K,match($A987&amp;","&amp;index('Year Conversion'!$A:$A,match($C987,'Year Conversion'!$B:$B,0)),$Y:$Y,0))-K987,"")</f>
        <v>-0.9934771948</v>
      </c>
      <c r="AC987" s="168" t="str">
        <f t="shared" si="7"/>
        <v>SAS,2015-16</v>
      </c>
    </row>
    <row r="988">
      <c r="A988" s="161" t="str">
        <f>IFERROR(__xludf.DUMMYFUNCTION("""COMPUTED_VALUE"""),"millemi01")</f>
        <v>millemi01</v>
      </c>
      <c r="B988" s="161" t="str">
        <f>IFERROR(__xludf.DUMMYFUNCTION("""COMPUTED_VALUE"""),"Mike Miller")</f>
        <v>Mike Miller</v>
      </c>
      <c r="C988" s="162" t="str">
        <f>IFERROR(__xludf.DUMMYFUNCTION("""COMPUTED_VALUE"""),"2015-16")</f>
        <v>2015-16</v>
      </c>
      <c r="D988" s="163" t="str">
        <f>IFERROR(__xludf.DUMMYFUNCTION("""COMPUTED_VALUE"""),"DEN")</f>
        <v>DEN</v>
      </c>
      <c r="E988" s="164" t="str">
        <f>IFERROR(__xludf.DUMMYFUNCTION("""COMPUTED_VALUE"""),"Stationary Shooter")</f>
        <v>Stationary Shooter</v>
      </c>
      <c r="F988" s="164">
        <f>IFERROR(__xludf.DUMMYFUNCTION("""COMPUTED_VALUE"""),372.96)</f>
        <v>372.96</v>
      </c>
      <c r="G988" s="163">
        <f>IFERROR(__xludf.DUMMYFUNCTION("""COMPUTED_VALUE"""),47.0)</f>
        <v>47</v>
      </c>
      <c r="H988" s="163" t="str">
        <f>IFERROR(__xludf.DUMMYFUNCTION("""COMPUTED_VALUE"""),"SF")</f>
        <v>SF</v>
      </c>
      <c r="I988" s="163">
        <f>IFERROR(__xludf.DUMMYFUNCTION("""COMPUTED_VALUE"""),35.0)</f>
        <v>35</v>
      </c>
      <c r="J988" s="165">
        <f>IFERROR(__xludf.DUMMYFUNCTION("""COMPUTED_VALUE"""),-2.31020364293189)</f>
        <v>-2.310203643</v>
      </c>
      <c r="K988" s="165">
        <f>IFERROR(__xludf.DUMMYFUNCTION("""COMPUTED_VALUE"""),-2.41323348893042)</f>
        <v>-2.413233489</v>
      </c>
      <c r="L988" s="165">
        <f>IFERROR(__xludf.DUMMYFUNCTION("""COMPUTED_VALUE"""),0.103029845998532)</f>
        <v>0.103029846</v>
      </c>
      <c r="M988" s="166">
        <f t="shared" si="2"/>
        <v>-0.001642175842</v>
      </c>
      <c r="N988" s="167">
        <f t="shared" si="3"/>
        <v>7.935319149</v>
      </c>
      <c r="O988" s="163">
        <f t="shared" ref="O988:Q988" si="992">rank(I988,I:I)</f>
        <v>104</v>
      </c>
      <c r="P988" s="163">
        <f t="shared" si="992"/>
        <v>3662</v>
      </c>
      <c r="Q988" s="163">
        <f t="shared" si="992"/>
        <v>3867</v>
      </c>
      <c r="R988" s="163">
        <f>IFERROR(__xludf.DUMMYFUNCTION("RANK(M988,filter(M:M,C:C=C988))"),428.0)</f>
        <v>428</v>
      </c>
      <c r="S988" s="161" t="b">
        <f t="shared" si="5"/>
        <v>0</v>
      </c>
      <c r="T988" s="161" t="b">
        <f t="array" ref="T988">index('Query Tool'!B:B,match(H988,'Query Tool'!C:C,0))</f>
        <v>1</v>
      </c>
      <c r="U988" s="161" t="b">
        <f t="array" ref="U988">index('Query Tool'!B:B,match(C988,'Query Tool'!C:C,0))</f>
        <v>0</v>
      </c>
      <c r="V988" s="161" t="b">
        <f>F988&gt;='Query Tool'!C$32</f>
        <v>0</v>
      </c>
      <c r="W988" s="161" t="b">
        <f t="array" ref="W988">index(Dropdowns!B:B,match(I988,Dropdowns!A:A,0))</f>
        <v>1</v>
      </c>
      <c r="X988" s="161" t="b">
        <f t="array" ref="X988">index('Query Tool'!B:B,match(D988,'Query Tool'!C:C,0))</f>
        <v>1</v>
      </c>
      <c r="Y988" s="161" t="str">
        <f t="shared" si="6"/>
        <v>millemi01,2015-16</v>
      </c>
      <c r="Z988" s="168">
        <f t="array" ref="Z988">iferror(index(I:I,match($A988&amp;","&amp;index('Year Conversion'!$A:$A,match($C988,'Year Conversion'!$B:$B,0)),$Y:$Y,0))-I988,"")</f>
        <v>1</v>
      </c>
      <c r="AA988" s="168">
        <f t="array" ref="AA988">iferror(index(J:J,match($A988&amp;","&amp;index('Year Conversion'!$A:$A,match($C988,'Year Conversion'!$B:$B,0)),$Y:$Y,0))-J988,"")</f>
        <v>1.827862306</v>
      </c>
      <c r="AB988" s="168">
        <f t="array" ref="AB988">iferror(index(K:K,match($A988&amp;","&amp;index('Year Conversion'!$A:$A,match($C988,'Year Conversion'!$B:$B,0)),$Y:$Y,0))-K988,"")</f>
        <v>1.51341874</v>
      </c>
      <c r="AC988" s="168" t="str">
        <f t="shared" si="7"/>
        <v>DEN,2015-16</v>
      </c>
    </row>
    <row r="989">
      <c r="A989" s="161" t="str">
        <f>IFERROR(__xludf.DUMMYFUNCTION("""COMPUTED_VALUE"""),"crawfja01")</f>
        <v>crawfja01</v>
      </c>
      <c r="B989" s="161" t="str">
        <f>IFERROR(__xludf.DUMMYFUNCTION("""COMPUTED_VALUE"""),"Jamal Crawford")</f>
        <v>Jamal Crawford</v>
      </c>
      <c r="C989" s="162" t="str">
        <f>IFERROR(__xludf.DUMMYFUNCTION("""COMPUTED_VALUE"""),"2015-16")</f>
        <v>2015-16</v>
      </c>
      <c r="D989" s="163" t="str">
        <f>IFERROR(__xludf.DUMMYFUNCTION("""COMPUTED_VALUE"""),"LAC")</f>
        <v>LAC</v>
      </c>
      <c r="E989" s="164" t="str">
        <f>IFERROR(__xludf.DUMMYFUNCTION("""COMPUTED_VALUE"""),"Shot Creator")</f>
        <v>Shot Creator</v>
      </c>
      <c r="F989" s="164">
        <f>IFERROR(__xludf.DUMMYFUNCTION("""COMPUTED_VALUE"""),2126.15)</f>
        <v>2126.15</v>
      </c>
      <c r="G989" s="163">
        <f>IFERROR(__xludf.DUMMYFUNCTION("""COMPUTED_VALUE"""),79.0)</f>
        <v>79</v>
      </c>
      <c r="H989" s="163" t="str">
        <f>IFERROR(__xludf.DUMMYFUNCTION("""COMPUTED_VALUE"""),"SG")</f>
        <v>SG</v>
      </c>
      <c r="I989" s="163">
        <f>IFERROR(__xludf.DUMMYFUNCTION("""COMPUTED_VALUE"""),35.0)</f>
        <v>35</v>
      </c>
      <c r="J989" s="165">
        <f>IFERROR(__xludf.DUMMYFUNCTION("""COMPUTED_VALUE"""),-1.33782789391595)</f>
        <v>-1.337827894</v>
      </c>
      <c r="K989" s="165">
        <f>IFERROR(__xludf.DUMMYFUNCTION("""COMPUTED_VALUE"""),0.341703380196209)</f>
        <v>0.3417033802</v>
      </c>
      <c r="L989" s="165">
        <f>IFERROR(__xludf.DUMMYFUNCTION("""COMPUTED_VALUE"""),-1.67953127411216)</f>
        <v>-1.679531274</v>
      </c>
      <c r="M989" s="166">
        <f t="shared" si="2"/>
        <v>1.364887553</v>
      </c>
      <c r="N989" s="167">
        <f t="shared" si="3"/>
        <v>26.91329114</v>
      </c>
      <c r="O989" s="163">
        <f t="shared" ref="O989:Q989" si="993">rank(I989,I:I)</f>
        <v>104</v>
      </c>
      <c r="P989" s="163">
        <f t="shared" si="993"/>
        <v>2901</v>
      </c>
      <c r="Q989" s="163">
        <f t="shared" si="993"/>
        <v>872</v>
      </c>
      <c r="R989" s="163">
        <f>IFERROR(__xludf.DUMMYFUNCTION("RANK(M989,filter(M:M,C:C=C989))"),196.0)</f>
        <v>196</v>
      </c>
      <c r="S989" s="161" t="b">
        <f t="shared" si="5"/>
        <v>0</v>
      </c>
      <c r="T989" s="161" t="b">
        <f t="array" ref="T989">index('Query Tool'!B:B,match(H989,'Query Tool'!C:C,0))</f>
        <v>1</v>
      </c>
      <c r="U989" s="161" t="b">
        <f t="array" ref="U989">index('Query Tool'!B:B,match(C989,'Query Tool'!C:C,0))</f>
        <v>0</v>
      </c>
      <c r="V989" s="161" t="b">
        <f>F989&gt;='Query Tool'!C$32</f>
        <v>1</v>
      </c>
      <c r="W989" s="161" t="b">
        <f t="array" ref="W989">index(Dropdowns!B:B,match(I989,Dropdowns!A:A,0))</f>
        <v>1</v>
      </c>
      <c r="X989" s="161" t="b">
        <f t="array" ref="X989">index('Query Tool'!B:B,match(D989,'Query Tool'!C:C,0))</f>
        <v>1</v>
      </c>
      <c r="Y989" s="161" t="str">
        <f t="shared" si="6"/>
        <v>crawfja01,2015-16</v>
      </c>
      <c r="Z989" s="168">
        <f t="array" ref="Z989">iferror(index(I:I,match($A989&amp;","&amp;index('Year Conversion'!$A:$A,match($C989,'Year Conversion'!$B:$B,0)),$Y:$Y,0))-I989,"")</f>
        <v>1</v>
      </c>
      <c r="AA989" s="168">
        <f t="array" ref="AA989">iferror(index(J:J,match($A989&amp;","&amp;index('Year Conversion'!$A:$A,match($C989,'Year Conversion'!$B:$B,0)),$Y:$Y,0))-J989,"")</f>
        <v>-1.28786465</v>
      </c>
      <c r="AB989" s="168">
        <f t="array" ref="AB989">iferror(index(K:K,match($A989&amp;","&amp;index('Year Conversion'!$A:$A,match($C989,'Year Conversion'!$B:$B,0)),$Y:$Y,0))-K989,"")</f>
        <v>-0.5843805376</v>
      </c>
      <c r="AC989" s="168" t="str">
        <f t="shared" si="7"/>
        <v>LAC,2015-16</v>
      </c>
    </row>
    <row r="990">
      <c r="A990" s="161" t="str">
        <f>IFERROR(__xludf.DUMMYFUNCTION("""COMPUTED_VALUE"""),"chandty01")</f>
        <v>chandty01</v>
      </c>
      <c r="B990" s="161" t="str">
        <f>IFERROR(__xludf.DUMMYFUNCTION("""COMPUTED_VALUE"""),"Tyson Chandler")</f>
        <v>Tyson Chandler</v>
      </c>
      <c r="C990" s="162" t="str">
        <f>IFERROR(__xludf.DUMMYFUNCTION("""COMPUTED_VALUE"""),"2015-16")</f>
        <v>2015-16</v>
      </c>
      <c r="D990" s="163" t="str">
        <f>IFERROR(__xludf.DUMMYFUNCTION("""COMPUTED_VALUE"""),"PHO")</f>
        <v>PHO</v>
      </c>
      <c r="E990" s="164" t="str">
        <f>IFERROR(__xludf.DUMMYFUNCTION("""COMPUTED_VALUE"""),"Roll + Cut Big")</f>
        <v>Roll + Cut Big</v>
      </c>
      <c r="F990" s="164">
        <f>IFERROR(__xludf.DUMMYFUNCTION("""COMPUTED_VALUE"""),1617.91333333333)</f>
        <v>1617.913333</v>
      </c>
      <c r="G990" s="163">
        <f>IFERROR(__xludf.DUMMYFUNCTION("""COMPUTED_VALUE"""),66.0)</f>
        <v>66</v>
      </c>
      <c r="H990" s="163" t="str">
        <f>IFERROR(__xludf.DUMMYFUNCTION("""COMPUTED_VALUE"""),"C")</f>
        <v>C</v>
      </c>
      <c r="I990" s="163">
        <f>IFERROR(__xludf.DUMMYFUNCTION("""COMPUTED_VALUE"""),33.0)</f>
        <v>33</v>
      </c>
      <c r="J990" s="165">
        <f>IFERROR(__xludf.DUMMYFUNCTION("""COMPUTED_VALUE"""),-0.786319788195862)</f>
        <v>-0.7863197882</v>
      </c>
      <c r="K990" s="165">
        <f>IFERROR(__xludf.DUMMYFUNCTION("""COMPUTED_VALUE"""),-2.44171357341079)</f>
        <v>-2.441713573</v>
      </c>
      <c r="L990" s="165">
        <f>IFERROR(__xludf.DUMMYFUNCTION("""COMPUTED_VALUE"""),1.65539378521493)</f>
        <v>1.655393785</v>
      </c>
      <c r="M990" s="166">
        <f t="shared" si="2"/>
        <v>1.637316561</v>
      </c>
      <c r="N990" s="167">
        <f t="shared" si="3"/>
        <v>24.51383838</v>
      </c>
      <c r="O990" s="163">
        <f t="shared" ref="O990:Q990" si="994">rank(I990,I:I)</f>
        <v>246</v>
      </c>
      <c r="P990" s="163">
        <f t="shared" si="994"/>
        <v>2259</v>
      </c>
      <c r="Q990" s="163">
        <f t="shared" si="994"/>
        <v>3877</v>
      </c>
      <c r="R990" s="163">
        <f>IFERROR(__xludf.DUMMYFUNCTION("RANK(M990,filter(M:M,C:C=C990))"),178.0)</f>
        <v>178</v>
      </c>
      <c r="S990" s="161" t="b">
        <f t="shared" si="5"/>
        <v>0</v>
      </c>
      <c r="T990" s="161" t="b">
        <f t="array" ref="T990">index('Query Tool'!B:B,match(H990,'Query Tool'!C:C,0))</f>
        <v>1</v>
      </c>
      <c r="U990" s="161" t="b">
        <f t="array" ref="U990">index('Query Tool'!B:B,match(C990,'Query Tool'!C:C,0))</f>
        <v>0</v>
      </c>
      <c r="V990" s="161" t="b">
        <f>F990&gt;='Query Tool'!C$32</f>
        <v>1</v>
      </c>
      <c r="W990" s="161" t="b">
        <f t="array" ref="W990">index(Dropdowns!B:B,match(I990,Dropdowns!A:A,0))</f>
        <v>1</v>
      </c>
      <c r="X990" s="161" t="b">
        <f t="array" ref="X990">index('Query Tool'!B:B,match(D990,'Query Tool'!C:C,0))</f>
        <v>1</v>
      </c>
      <c r="Y990" s="161" t="str">
        <f t="shared" si="6"/>
        <v>chandty01,2015-16</v>
      </c>
      <c r="Z990" s="168">
        <f t="array" ref="Z990">iferror(index(I:I,match($A990&amp;","&amp;index('Year Conversion'!$A:$A,match($C990,'Year Conversion'!$B:$B,0)),$Y:$Y,0))-I990,"")</f>
        <v>1</v>
      </c>
      <c r="AA990" s="168">
        <f t="array" ref="AA990">iferror(index(J:J,match($A990&amp;","&amp;index('Year Conversion'!$A:$A,match($C990,'Year Conversion'!$B:$B,0)),$Y:$Y,0))-J990,"")</f>
        <v>1.71492253</v>
      </c>
      <c r="AB990" s="168">
        <f t="array" ref="AB990">iferror(index(K:K,match($A990&amp;","&amp;index('Year Conversion'!$A:$A,match($C990,'Year Conversion'!$B:$B,0)),$Y:$Y,0))-K990,"")</f>
        <v>1.65410895</v>
      </c>
      <c r="AC990" s="168" t="str">
        <f t="shared" si="7"/>
        <v>PHO,2015-16</v>
      </c>
    </row>
    <row r="991">
      <c r="A991" s="161" t="str">
        <f>IFERROR(__xludf.DUMMYFUNCTION("""COMPUTED_VALUE"""),"gasolpa01")</f>
        <v>gasolpa01</v>
      </c>
      <c r="B991" s="161" t="str">
        <f>IFERROR(__xludf.DUMMYFUNCTION("""COMPUTED_VALUE"""),"Pau Gasol")</f>
        <v>Pau Gasol</v>
      </c>
      <c r="C991" s="162" t="str">
        <f>IFERROR(__xludf.DUMMYFUNCTION("""COMPUTED_VALUE"""),"2015-16")</f>
        <v>2015-16</v>
      </c>
      <c r="D991" s="163" t="str">
        <f>IFERROR(__xludf.DUMMYFUNCTION("""COMPUTED_VALUE"""),"CHI")</f>
        <v>CHI</v>
      </c>
      <c r="E991" s="164" t="str">
        <f>IFERROR(__xludf.DUMMYFUNCTION("""COMPUTED_VALUE"""),"Post Scorer")</f>
        <v>Post Scorer</v>
      </c>
      <c r="F991" s="164">
        <f>IFERROR(__xludf.DUMMYFUNCTION("""COMPUTED_VALUE"""),2291.35833333333)</f>
        <v>2291.358333</v>
      </c>
      <c r="G991" s="163">
        <f>IFERROR(__xludf.DUMMYFUNCTION("""COMPUTED_VALUE"""),72.0)</f>
        <v>72</v>
      </c>
      <c r="H991" s="163" t="str">
        <f>IFERROR(__xludf.DUMMYFUNCTION("""COMPUTED_VALUE"""),"C")</f>
        <v>C</v>
      </c>
      <c r="I991" s="163">
        <f>IFERROR(__xludf.DUMMYFUNCTION("""COMPUTED_VALUE"""),35.0)</f>
        <v>35</v>
      </c>
      <c r="J991" s="165">
        <f>IFERROR(__xludf.DUMMYFUNCTION("""COMPUTED_VALUE"""),2.44135301538421)</f>
        <v>2.441353015</v>
      </c>
      <c r="K991" s="165">
        <f>IFERROR(__xludf.DUMMYFUNCTION("""COMPUTED_VALUE"""),0.762023168623491)</f>
        <v>0.7620231686</v>
      </c>
      <c r="L991" s="165">
        <f>IFERROR(__xludf.DUMMYFUNCTION("""COMPUTED_VALUE"""),1.67932984676072)</f>
        <v>1.679329847</v>
      </c>
      <c r="M991" s="166">
        <f t="shared" si="2"/>
        <v>7.273018207</v>
      </c>
      <c r="N991" s="167">
        <f t="shared" si="3"/>
        <v>31.8244213</v>
      </c>
      <c r="O991" s="163">
        <f t="shared" ref="O991:Q991" si="995">rank(I991,I:I)</f>
        <v>104</v>
      </c>
      <c r="P991" s="163">
        <f t="shared" si="995"/>
        <v>230</v>
      </c>
      <c r="Q991" s="163">
        <f t="shared" si="995"/>
        <v>616</v>
      </c>
      <c r="R991" s="163">
        <f>IFERROR(__xludf.DUMMYFUNCTION("RANK(M991,filter(M:M,C:C=C991))"),30.0)</f>
        <v>30</v>
      </c>
      <c r="S991" s="161" t="b">
        <f t="shared" si="5"/>
        <v>0</v>
      </c>
      <c r="T991" s="161" t="b">
        <f t="array" ref="T991">index('Query Tool'!B:B,match(H991,'Query Tool'!C:C,0))</f>
        <v>1</v>
      </c>
      <c r="U991" s="161" t="b">
        <f t="array" ref="U991">index('Query Tool'!B:B,match(C991,'Query Tool'!C:C,0))</f>
        <v>0</v>
      </c>
      <c r="V991" s="161" t="b">
        <f>F991&gt;='Query Tool'!C$32</f>
        <v>1</v>
      </c>
      <c r="W991" s="161" t="b">
        <f t="array" ref="W991">index(Dropdowns!B:B,match(I991,Dropdowns!A:A,0))</f>
        <v>1</v>
      </c>
      <c r="X991" s="161" t="b">
        <f t="array" ref="X991">index('Query Tool'!B:B,match(D991,'Query Tool'!C:C,0))</f>
        <v>1</v>
      </c>
      <c r="Y991" s="161" t="str">
        <f t="shared" si="6"/>
        <v>gasolpa01,2015-16</v>
      </c>
      <c r="Z991" s="168">
        <f t="array" ref="Z991">iferror(index(I:I,match($A991&amp;","&amp;index('Year Conversion'!$A:$A,match($C991,'Year Conversion'!$B:$B,0)),$Y:$Y,0))-I991,"")</f>
        <v>1</v>
      </c>
      <c r="AA991" s="168">
        <f t="array" ref="AA991">iferror(index(J:J,match($A991&amp;","&amp;index('Year Conversion'!$A:$A,match($C991,'Year Conversion'!$B:$B,0)),$Y:$Y,0))-J991,"")</f>
        <v>-1.138580022</v>
      </c>
      <c r="AB991" s="168">
        <f t="array" ref="AB991">iferror(index(K:K,match($A991&amp;","&amp;index('Year Conversion'!$A:$A,match($C991,'Year Conversion'!$B:$B,0)),$Y:$Y,0))-K991,"")</f>
        <v>-0.7088537466</v>
      </c>
      <c r="AC991" s="168" t="str">
        <f t="shared" si="7"/>
        <v>CHI,2015-16</v>
      </c>
    </row>
    <row r="992">
      <c r="A992" s="161" t="str">
        <f>IFERROR(__xludf.DUMMYFUNCTION("""COMPUTED_VALUE"""),"johnsjo02")</f>
        <v>johnsjo02</v>
      </c>
      <c r="B992" s="161" t="str">
        <f>IFERROR(__xludf.DUMMYFUNCTION("""COMPUTED_VALUE"""),"Joe Johnson")</f>
        <v>Joe Johnson</v>
      </c>
      <c r="C992" s="162" t="str">
        <f>IFERROR(__xludf.DUMMYFUNCTION("""COMPUTED_VALUE"""),"2015-16")</f>
        <v>2015-16</v>
      </c>
      <c r="D992" s="163" t="str">
        <f>IFERROR(__xludf.DUMMYFUNCTION("""COMPUTED_VALUE"""),"TOT")</f>
        <v>TOT</v>
      </c>
      <c r="E992" s="164" t="str">
        <f>IFERROR(__xludf.DUMMYFUNCTION("""COMPUTED_VALUE"""),"Shot Creator")</f>
        <v>Shot Creator</v>
      </c>
      <c r="F992" s="164">
        <f>IFERROR(__xludf.DUMMYFUNCTION("""COMPUTED_VALUE"""),2703.3)</f>
        <v>2703.3</v>
      </c>
      <c r="G992" s="163">
        <f>IFERROR(__xludf.DUMMYFUNCTION("""COMPUTED_VALUE"""),81.0)</f>
        <v>81</v>
      </c>
      <c r="H992" s="163" t="str">
        <f>IFERROR(__xludf.DUMMYFUNCTION("""COMPUTED_VALUE"""),"SF")</f>
        <v>SF</v>
      </c>
      <c r="I992" s="163">
        <f>IFERROR(__xludf.DUMMYFUNCTION("""COMPUTED_VALUE"""),34.0)</f>
        <v>34</v>
      </c>
      <c r="J992" s="165">
        <f>IFERROR(__xludf.DUMMYFUNCTION("""COMPUTED_VALUE"""),-0.376346303010404)</f>
        <v>-0.376346303</v>
      </c>
      <c r="K992" s="165">
        <f>IFERROR(__xludf.DUMMYFUNCTION("""COMPUTED_VALUE"""),0.333938189782166)</f>
        <v>0.3339381898</v>
      </c>
      <c r="L992" s="165">
        <f>IFERROR(__xludf.DUMMYFUNCTION("""COMPUTED_VALUE"""),-0.71028449279257)</f>
        <v>-0.7102844928</v>
      </c>
      <c r="M992" s="166">
        <f t="shared" si="2"/>
        <v>3.481817241</v>
      </c>
      <c r="N992" s="167">
        <f t="shared" si="3"/>
        <v>33.37407407</v>
      </c>
      <c r="O992" s="163">
        <f t="shared" ref="O992:Q992" si="996">rank(I992,I:I)</f>
        <v>164</v>
      </c>
      <c r="P992" s="163">
        <f t="shared" si="996"/>
        <v>1702</v>
      </c>
      <c r="Q992" s="163">
        <f t="shared" si="996"/>
        <v>879</v>
      </c>
      <c r="R992" s="163">
        <f>IFERROR(__xludf.DUMMYFUNCTION("RANK(M992,filter(M:M,C:C=C992))"),102.0)</f>
        <v>102</v>
      </c>
      <c r="S992" s="161" t="b">
        <f t="shared" si="5"/>
        <v>0</v>
      </c>
      <c r="T992" s="161" t="b">
        <f t="array" ref="T992">index('Query Tool'!B:B,match(H992,'Query Tool'!C:C,0))</f>
        <v>1</v>
      </c>
      <c r="U992" s="161" t="b">
        <f t="array" ref="U992">index('Query Tool'!B:B,match(C992,'Query Tool'!C:C,0))</f>
        <v>0</v>
      </c>
      <c r="V992" s="161" t="b">
        <f>F992&gt;='Query Tool'!C$32</f>
        <v>1</v>
      </c>
      <c r="W992" s="161" t="b">
        <f t="array" ref="W992">index(Dropdowns!B:B,match(I992,Dropdowns!A:A,0))</f>
        <v>1</v>
      </c>
      <c r="X992" s="161" t="b">
        <f t="array" ref="X992">index('Query Tool'!B:B,match(D992,'Query Tool'!C:C,0))</f>
        <v>1</v>
      </c>
      <c r="Y992" s="161" t="str">
        <f t="shared" si="6"/>
        <v>johnsjo02,2015-16</v>
      </c>
      <c r="Z992" s="168">
        <f t="array" ref="Z992">iferror(index(I:I,match($A992&amp;","&amp;index('Year Conversion'!$A:$A,match($C992,'Year Conversion'!$B:$B,0)),$Y:$Y,0))-I992,"")</f>
        <v>1</v>
      </c>
      <c r="AA992" s="168">
        <f t="array" ref="AA992">iferror(index(J:J,match($A992&amp;","&amp;index('Year Conversion'!$A:$A,match($C992,'Year Conversion'!$B:$B,0)),$Y:$Y,0))-J992,"")</f>
        <v>-0.9369130297</v>
      </c>
      <c r="AB992" s="168">
        <f t="array" ref="AB992">iferror(index(K:K,match($A992&amp;","&amp;index('Year Conversion'!$A:$A,match($C992,'Year Conversion'!$B:$B,0)),$Y:$Y,0))-K992,"")</f>
        <v>-0.03266765749</v>
      </c>
      <c r="AC992" s="168" t="str">
        <f t="shared" si="7"/>
        <v>TOT,2015-16</v>
      </c>
    </row>
    <row r="993">
      <c r="A993" s="161" t="str">
        <f>IFERROR(__xludf.DUMMYFUNCTION("""COMPUTED_VALUE"""),"jefferi01")</f>
        <v>jefferi01</v>
      </c>
      <c r="B993" s="161" t="str">
        <f>IFERROR(__xludf.DUMMYFUNCTION("""COMPUTED_VALUE"""),"Richard Jefferson")</f>
        <v>Richard Jefferson</v>
      </c>
      <c r="C993" s="162" t="str">
        <f>IFERROR(__xludf.DUMMYFUNCTION("""COMPUTED_VALUE"""),"2015-16")</f>
        <v>2015-16</v>
      </c>
      <c r="D993" s="163" t="str">
        <f>IFERROR(__xludf.DUMMYFUNCTION("""COMPUTED_VALUE"""),"CLE")</f>
        <v>CLE</v>
      </c>
      <c r="E993" s="164" t="str">
        <f>IFERROR(__xludf.DUMMYFUNCTION("""COMPUTED_VALUE"""),"Stationary Shooter")</f>
        <v>Stationary Shooter</v>
      </c>
      <c r="F993" s="164">
        <f>IFERROR(__xludf.DUMMYFUNCTION("""COMPUTED_VALUE"""),1325.625)</f>
        <v>1325.625</v>
      </c>
      <c r="G993" s="163">
        <f>IFERROR(__xludf.DUMMYFUNCTION("""COMPUTED_VALUE"""),74.0)</f>
        <v>74</v>
      </c>
      <c r="H993" s="163" t="str">
        <f>IFERROR(__xludf.DUMMYFUNCTION("""COMPUTED_VALUE"""),"SF")</f>
        <v>SF</v>
      </c>
      <c r="I993" s="163">
        <f>IFERROR(__xludf.DUMMYFUNCTION("""COMPUTED_VALUE"""),35.0)</f>
        <v>35</v>
      </c>
      <c r="J993" s="165">
        <f>IFERROR(__xludf.DUMMYFUNCTION("""COMPUTED_VALUE"""),-1.89703603852104)</f>
        <v>-1.897036039</v>
      </c>
      <c r="K993" s="165">
        <f>IFERROR(__xludf.DUMMYFUNCTION("""COMPUTED_VALUE"""),-1.68353481399132)</f>
        <v>-1.683534814</v>
      </c>
      <c r="L993" s="165">
        <f>IFERROR(__xludf.DUMMYFUNCTION("""COMPUTED_VALUE"""),-0.21350122452972)</f>
        <v>-0.2135012245</v>
      </c>
      <c r="M993" s="166">
        <f t="shared" si="2"/>
        <v>0.3566728934</v>
      </c>
      <c r="N993" s="167">
        <f t="shared" si="3"/>
        <v>17.91385135</v>
      </c>
      <c r="O993" s="163">
        <f t="shared" ref="O993:Q993" si="997">rank(I993,I:I)</f>
        <v>104</v>
      </c>
      <c r="P993" s="163">
        <f t="shared" si="997"/>
        <v>3414</v>
      </c>
      <c r="Q993" s="163">
        <f t="shared" si="997"/>
        <v>3508</v>
      </c>
      <c r="R993" s="163">
        <f>IFERROR(__xludf.DUMMYFUNCTION("RANK(M993,filter(M:M,C:C=C993))"),301.0)</f>
        <v>301</v>
      </c>
      <c r="S993" s="161" t="b">
        <f t="shared" si="5"/>
        <v>0</v>
      </c>
      <c r="T993" s="161" t="b">
        <f t="array" ref="T993">index('Query Tool'!B:B,match(H993,'Query Tool'!C:C,0))</f>
        <v>1</v>
      </c>
      <c r="U993" s="161" t="b">
        <f t="array" ref="U993">index('Query Tool'!B:B,match(C993,'Query Tool'!C:C,0))</f>
        <v>0</v>
      </c>
      <c r="V993" s="161" t="b">
        <f>F993&gt;='Query Tool'!C$32</f>
        <v>1</v>
      </c>
      <c r="W993" s="161" t="b">
        <f t="array" ref="W993">index(Dropdowns!B:B,match(I993,Dropdowns!A:A,0))</f>
        <v>1</v>
      </c>
      <c r="X993" s="161" t="b">
        <f t="array" ref="X993">index('Query Tool'!B:B,match(D993,'Query Tool'!C:C,0))</f>
        <v>1</v>
      </c>
      <c r="Y993" s="161" t="str">
        <f t="shared" si="6"/>
        <v>jefferi01,2015-16</v>
      </c>
      <c r="Z993" s="168">
        <f t="array" ref="Z993">iferror(index(I:I,match($A993&amp;","&amp;index('Year Conversion'!$A:$A,match($C993,'Year Conversion'!$B:$B,0)),$Y:$Y,0))-I993,"")</f>
        <v>1</v>
      </c>
      <c r="AA993" s="168">
        <f t="array" ref="AA993">iferror(index(J:J,match($A993&amp;","&amp;index('Year Conversion'!$A:$A,match($C993,'Year Conversion'!$B:$B,0)),$Y:$Y,0))-J993,"")</f>
        <v>0.6511504536</v>
      </c>
      <c r="AB993" s="168">
        <f t="array" ref="AB993">iferror(index(K:K,match($A993&amp;","&amp;index('Year Conversion'!$A:$A,match($C993,'Year Conversion'!$B:$B,0)),$Y:$Y,0))-K993,"")</f>
        <v>0.6342097613</v>
      </c>
      <c r="AC993" s="168" t="str">
        <f t="shared" si="7"/>
        <v>CLE,2015-16</v>
      </c>
    </row>
    <row r="994">
      <c r="A994" s="161" t="str">
        <f>IFERROR(__xludf.DUMMYFUNCTION("""COMPUTED_VALUE"""),"randoza01")</f>
        <v>randoza01</v>
      </c>
      <c r="B994" s="161" t="str">
        <f>IFERROR(__xludf.DUMMYFUNCTION("""COMPUTED_VALUE"""),"Zach Randolph")</f>
        <v>Zach Randolph</v>
      </c>
      <c r="C994" s="162" t="str">
        <f>IFERROR(__xludf.DUMMYFUNCTION("""COMPUTED_VALUE"""),"2015-16")</f>
        <v>2015-16</v>
      </c>
      <c r="D994" s="163" t="str">
        <f>IFERROR(__xludf.DUMMYFUNCTION("""COMPUTED_VALUE"""),"MEM")</f>
        <v>MEM</v>
      </c>
      <c r="E994" s="164" t="str">
        <f>IFERROR(__xludf.DUMMYFUNCTION("""COMPUTED_VALUE"""),"Post Scorer")</f>
        <v>Post Scorer</v>
      </c>
      <c r="F994" s="164">
        <f>IFERROR(__xludf.DUMMYFUNCTION("""COMPUTED_VALUE"""),2016.405)</f>
        <v>2016.405</v>
      </c>
      <c r="G994" s="163">
        <f>IFERROR(__xludf.DUMMYFUNCTION("""COMPUTED_VALUE"""),68.0)</f>
        <v>68</v>
      </c>
      <c r="H994" s="163" t="str">
        <f>IFERROR(__xludf.DUMMYFUNCTION("""COMPUTED_VALUE"""),"PF")</f>
        <v>PF</v>
      </c>
      <c r="I994" s="163">
        <f>IFERROR(__xludf.DUMMYFUNCTION("""COMPUTED_VALUE"""),34.0)</f>
        <v>34</v>
      </c>
      <c r="J994" s="165">
        <f>IFERROR(__xludf.DUMMYFUNCTION("""COMPUTED_VALUE"""),0.111057384710591)</f>
        <v>0.1110573847</v>
      </c>
      <c r="K994" s="165">
        <f>IFERROR(__xludf.DUMMYFUNCTION("""COMPUTED_VALUE"""),1.04174226074112)</f>
        <v>1.041742261</v>
      </c>
      <c r="L994" s="165">
        <f>IFERROR(__xludf.DUMMYFUNCTION("""COMPUTED_VALUE"""),-0.930684876030533)</f>
        <v>-0.930684876</v>
      </c>
      <c r="M994" s="166">
        <f t="shared" si="2"/>
        <v>3.259597608</v>
      </c>
      <c r="N994" s="167">
        <f t="shared" si="3"/>
        <v>29.65301471</v>
      </c>
      <c r="O994" s="163">
        <f t="shared" ref="O994:Q994" si="998">rank(I994,I:I)</f>
        <v>164</v>
      </c>
      <c r="P994" s="163">
        <f t="shared" si="998"/>
        <v>1176</v>
      </c>
      <c r="Q994" s="163">
        <f t="shared" si="998"/>
        <v>482</v>
      </c>
      <c r="R994" s="163">
        <f>IFERROR(__xludf.DUMMYFUNCTION("RANK(M994,filter(M:M,C:C=C994))"),111.0)</f>
        <v>111</v>
      </c>
      <c r="S994" s="161" t="b">
        <f t="shared" si="5"/>
        <v>0</v>
      </c>
      <c r="T994" s="161" t="b">
        <f t="array" ref="T994">index('Query Tool'!B:B,match(H994,'Query Tool'!C:C,0))</f>
        <v>1</v>
      </c>
      <c r="U994" s="161" t="b">
        <f t="array" ref="U994">index('Query Tool'!B:B,match(C994,'Query Tool'!C:C,0))</f>
        <v>0</v>
      </c>
      <c r="V994" s="161" t="b">
        <f>F994&gt;='Query Tool'!C$32</f>
        <v>1</v>
      </c>
      <c r="W994" s="161" t="b">
        <f t="array" ref="W994">index(Dropdowns!B:B,match(I994,Dropdowns!A:A,0))</f>
        <v>1</v>
      </c>
      <c r="X994" s="161" t="b">
        <f t="array" ref="X994">index('Query Tool'!B:B,match(D994,'Query Tool'!C:C,0))</f>
        <v>1</v>
      </c>
      <c r="Y994" s="161" t="str">
        <f t="shared" si="6"/>
        <v>randoza01,2015-16</v>
      </c>
      <c r="Z994" s="168">
        <f t="array" ref="Z994">iferror(index(I:I,match($A994&amp;","&amp;index('Year Conversion'!$A:$A,match($C994,'Year Conversion'!$B:$B,0)),$Y:$Y,0))-I994,"")</f>
        <v>1</v>
      </c>
      <c r="AA994" s="168">
        <f t="array" ref="AA994">iferror(index(J:J,match($A994&amp;","&amp;index('Year Conversion'!$A:$A,match($C994,'Year Conversion'!$B:$B,0)),$Y:$Y,0))-J994,"")</f>
        <v>-0.3429471112</v>
      </c>
      <c r="AB994" s="168">
        <f t="array" ref="AB994">iferror(index(K:K,match($A994&amp;","&amp;index('Year Conversion'!$A:$A,match($C994,'Year Conversion'!$B:$B,0)),$Y:$Y,0))-K994,"")</f>
        <v>-0.1843335185</v>
      </c>
      <c r="AC994" s="168" t="str">
        <f t="shared" si="7"/>
        <v>MEM,2015-16</v>
      </c>
    </row>
    <row r="995">
      <c r="A995" s="161" t="str">
        <f>IFERROR(__xludf.DUMMYFUNCTION("""COMPUTED_VALUE"""),"parketo01")</f>
        <v>parketo01</v>
      </c>
      <c r="B995" s="161" t="str">
        <f>IFERROR(__xludf.DUMMYFUNCTION("""COMPUTED_VALUE"""),"Tony Parker")</f>
        <v>Tony Parker</v>
      </c>
      <c r="C995" s="162" t="str">
        <f>IFERROR(__xludf.DUMMYFUNCTION("""COMPUTED_VALUE"""),"2015-16")</f>
        <v>2015-16</v>
      </c>
      <c r="D995" s="163" t="str">
        <f>IFERROR(__xludf.DUMMYFUNCTION("""COMPUTED_VALUE"""),"SAS")</f>
        <v>SAS</v>
      </c>
      <c r="E995" s="164" t="str">
        <f>IFERROR(__xludf.DUMMYFUNCTION("""COMPUTED_VALUE"""),"Slasher")</f>
        <v>Slasher</v>
      </c>
      <c r="F995" s="164">
        <f>IFERROR(__xludf.DUMMYFUNCTION("""COMPUTED_VALUE"""),1980.44166666667)</f>
        <v>1980.441667</v>
      </c>
      <c r="G995" s="163">
        <f>IFERROR(__xludf.DUMMYFUNCTION("""COMPUTED_VALUE"""),72.0)</f>
        <v>72</v>
      </c>
      <c r="H995" s="163" t="str">
        <f>IFERROR(__xludf.DUMMYFUNCTION("""COMPUTED_VALUE"""),"PG")</f>
        <v>PG</v>
      </c>
      <c r="I995" s="163">
        <f>IFERROR(__xludf.DUMMYFUNCTION("""COMPUTED_VALUE"""),33.0)</f>
        <v>33</v>
      </c>
      <c r="J995" s="165">
        <f>IFERROR(__xludf.DUMMYFUNCTION("""COMPUTED_VALUE"""),0.350650663633793)</f>
        <v>0.3506506636</v>
      </c>
      <c r="K995" s="165">
        <f>IFERROR(__xludf.DUMMYFUNCTION("""COMPUTED_VALUE"""),0.180538234584229)</f>
        <v>0.1805382346</v>
      </c>
      <c r="L995" s="165">
        <f>IFERROR(__xludf.DUMMYFUNCTION("""COMPUTED_VALUE"""),0.170112429049564)</f>
        <v>0.170112429</v>
      </c>
      <c r="M995" s="166">
        <f t="shared" si="2"/>
        <v>3.521287471</v>
      </c>
      <c r="N995" s="167">
        <f t="shared" si="3"/>
        <v>27.50613426</v>
      </c>
      <c r="O995" s="163">
        <f t="shared" ref="O995:Q995" si="999">rank(I995,I:I)</f>
        <v>246</v>
      </c>
      <c r="P995" s="163">
        <f t="shared" si="999"/>
        <v>983</v>
      </c>
      <c r="Q995" s="163">
        <f t="shared" si="999"/>
        <v>1001</v>
      </c>
      <c r="R995" s="163">
        <f>IFERROR(__xludf.DUMMYFUNCTION("RANK(M995,filter(M:M,C:C=C995))"),100.0)</f>
        <v>100</v>
      </c>
      <c r="S995" s="161" t="b">
        <f t="shared" si="5"/>
        <v>0</v>
      </c>
      <c r="T995" s="161" t="b">
        <f t="array" ref="T995">index('Query Tool'!B:B,match(H995,'Query Tool'!C:C,0))</f>
        <v>1</v>
      </c>
      <c r="U995" s="161" t="b">
        <f t="array" ref="U995">index('Query Tool'!B:B,match(C995,'Query Tool'!C:C,0))</f>
        <v>0</v>
      </c>
      <c r="V995" s="161" t="b">
        <f>F995&gt;='Query Tool'!C$32</f>
        <v>1</v>
      </c>
      <c r="W995" s="161" t="b">
        <f t="array" ref="W995">index(Dropdowns!B:B,match(I995,Dropdowns!A:A,0))</f>
        <v>1</v>
      </c>
      <c r="X995" s="161" t="b">
        <f t="array" ref="X995">index('Query Tool'!B:B,match(D995,'Query Tool'!C:C,0))</f>
        <v>1</v>
      </c>
      <c r="Y995" s="161" t="str">
        <f t="shared" si="6"/>
        <v>parketo01,2015-16</v>
      </c>
      <c r="Z995" s="168">
        <f t="array" ref="Z995">iferror(index(I:I,match($A995&amp;","&amp;index('Year Conversion'!$A:$A,match($C995,'Year Conversion'!$B:$B,0)),$Y:$Y,0))-I995,"")</f>
        <v>1</v>
      </c>
      <c r="AA995" s="168">
        <f t="array" ref="AA995">iferror(index(J:J,match($A995&amp;","&amp;index('Year Conversion'!$A:$A,match($C995,'Year Conversion'!$B:$B,0)),$Y:$Y,0))-J995,"")</f>
        <v>-0.6560963729</v>
      </c>
      <c r="AB995" s="168">
        <f t="array" ref="AB995">iferror(index(K:K,match($A995&amp;","&amp;index('Year Conversion'!$A:$A,match($C995,'Year Conversion'!$B:$B,0)),$Y:$Y,0))-K995,"")</f>
        <v>-0.2216598417</v>
      </c>
      <c r="AC995" s="168" t="str">
        <f t="shared" si="7"/>
        <v>SAS,2015-16</v>
      </c>
    </row>
    <row r="996">
      <c r="A996" s="161" t="str">
        <f>IFERROR(__xludf.DUMMYFUNCTION("""COMPUTED_VALUE"""),"anderch01")</f>
        <v>anderch01</v>
      </c>
      <c r="B996" s="161" t="str">
        <f>IFERROR(__xludf.DUMMYFUNCTION("""COMPUTED_VALUE"""),"Chris Andersen")</f>
        <v>Chris Andersen</v>
      </c>
      <c r="C996" s="162" t="str">
        <f>IFERROR(__xludf.DUMMYFUNCTION("""COMPUTED_VALUE"""),"2015-16")</f>
        <v>2015-16</v>
      </c>
      <c r="D996" s="163" t="str">
        <f>IFERROR(__xludf.DUMMYFUNCTION("""COMPUTED_VALUE"""),"TOT")</f>
        <v>TOT</v>
      </c>
      <c r="E996" s="164" t="str">
        <f>IFERROR(__xludf.DUMMYFUNCTION("""COMPUTED_VALUE"""),"Roll + Cut Big")</f>
        <v>Roll + Cut Big</v>
      </c>
      <c r="F996" s="164">
        <f>IFERROR(__xludf.DUMMYFUNCTION("""COMPUTED_VALUE"""),402.531666666667)</f>
        <v>402.5316667</v>
      </c>
      <c r="G996" s="163">
        <f>IFERROR(__xludf.DUMMYFUNCTION("""COMPUTED_VALUE"""),27.0)</f>
        <v>27</v>
      </c>
      <c r="H996" s="163" t="str">
        <f>IFERROR(__xludf.DUMMYFUNCTION("""COMPUTED_VALUE"""),"C")</f>
        <v>C</v>
      </c>
      <c r="I996" s="163">
        <f>IFERROR(__xludf.DUMMYFUNCTION("""COMPUTED_VALUE"""),37.0)</f>
        <v>37</v>
      </c>
      <c r="J996" s="165">
        <f>IFERROR(__xludf.DUMMYFUNCTION("""COMPUTED_VALUE"""),0.169208632942373)</f>
        <v>0.1692086329</v>
      </c>
      <c r="K996" s="165">
        <f>IFERROR(__xludf.DUMMYFUNCTION("""COMPUTED_VALUE"""),-0.576937950354883)</f>
        <v>-0.5769379504</v>
      </c>
      <c r="L996" s="165">
        <f>IFERROR(__xludf.DUMMYFUNCTION("""COMPUTED_VALUE"""),0.746146583297256)</f>
        <v>0.7461465833</v>
      </c>
      <c r="M996" s="166">
        <f t="shared" si="2"/>
        <v>0.6664881305</v>
      </c>
      <c r="N996" s="167">
        <f t="shared" si="3"/>
        <v>14.90858025</v>
      </c>
      <c r="O996" s="163">
        <f t="shared" ref="O996:Q996" si="1000">rank(I996,I:I)</f>
        <v>38</v>
      </c>
      <c r="P996" s="163">
        <f t="shared" si="1000"/>
        <v>1110</v>
      </c>
      <c r="Q996" s="163">
        <f t="shared" si="1000"/>
        <v>2228</v>
      </c>
      <c r="R996" s="163">
        <f>IFERROR(__xludf.DUMMYFUNCTION("RANK(M996,filter(M:M,C:C=C996))"),259.0)</f>
        <v>259</v>
      </c>
      <c r="S996" s="161" t="b">
        <f t="shared" si="5"/>
        <v>0</v>
      </c>
      <c r="T996" s="161" t="b">
        <f t="array" ref="T996">index('Query Tool'!B:B,match(H996,'Query Tool'!C:C,0))</f>
        <v>1</v>
      </c>
      <c r="U996" s="161" t="b">
        <f t="array" ref="U996">index('Query Tool'!B:B,match(C996,'Query Tool'!C:C,0))</f>
        <v>0</v>
      </c>
      <c r="V996" s="161" t="b">
        <f>F996&gt;='Query Tool'!C$32</f>
        <v>0</v>
      </c>
      <c r="W996" s="161" t="b">
        <f t="array" ref="W996">index(Dropdowns!B:B,match(I996,Dropdowns!A:A,0))</f>
        <v>1</v>
      </c>
      <c r="X996" s="161" t="b">
        <f t="array" ref="X996">index('Query Tool'!B:B,match(D996,'Query Tool'!C:C,0))</f>
        <v>1</v>
      </c>
      <c r="Y996" s="161" t="str">
        <f t="shared" si="6"/>
        <v>anderch01,2015-16</v>
      </c>
      <c r="Z996" s="168">
        <f t="array" ref="Z996">iferror(index(I:I,match($A996&amp;","&amp;index('Year Conversion'!$A:$A,match($C996,'Year Conversion'!$B:$B,0)),$Y:$Y,0))-I996,"")</f>
        <v>1</v>
      </c>
      <c r="AA996" s="168">
        <f t="array" ref="AA996">iferror(index(J:J,match($A996&amp;","&amp;index('Year Conversion'!$A:$A,match($C996,'Year Conversion'!$B:$B,0)),$Y:$Y,0))-J996,"")</f>
        <v>-0.559095624</v>
      </c>
      <c r="AB996" s="168">
        <f t="array" ref="AB996">iferror(index(K:K,match($A996&amp;","&amp;index('Year Conversion'!$A:$A,match($C996,'Year Conversion'!$B:$B,0)),$Y:$Y,0))-K996,"")</f>
        <v>-0.1519120074</v>
      </c>
      <c r="AC996" s="168" t="str">
        <f t="shared" si="7"/>
        <v>TOT,2015-16</v>
      </c>
    </row>
    <row r="997">
      <c r="A997" s="161" t="str">
        <f>IFERROR(__xludf.DUMMYFUNCTION("""COMPUTED_VALUE"""),"dunlemi02")</f>
        <v>dunlemi02</v>
      </c>
      <c r="B997" s="161" t="str">
        <f>IFERROR(__xludf.DUMMYFUNCTION("""COMPUTED_VALUE"""),"Mike Dunleavy")</f>
        <v>Mike Dunleavy</v>
      </c>
      <c r="C997" s="162" t="str">
        <f>IFERROR(__xludf.DUMMYFUNCTION("""COMPUTED_VALUE"""),"2015-16")</f>
        <v>2015-16</v>
      </c>
      <c r="D997" s="163" t="str">
        <f>IFERROR(__xludf.DUMMYFUNCTION("""COMPUTED_VALUE"""),"CHI")</f>
        <v>CHI</v>
      </c>
      <c r="E997" s="164" t="str">
        <f>IFERROR(__xludf.DUMMYFUNCTION("""COMPUTED_VALUE"""),"Movement Shooter")</f>
        <v>Movement Shooter</v>
      </c>
      <c r="F997" s="164">
        <f>IFERROR(__xludf.DUMMYFUNCTION("""COMPUTED_VALUE"""),702.636666666667)</f>
        <v>702.6366667</v>
      </c>
      <c r="G997" s="163">
        <f>IFERROR(__xludf.DUMMYFUNCTION("""COMPUTED_VALUE"""),31.0)</f>
        <v>31</v>
      </c>
      <c r="H997" s="163" t="str">
        <f>IFERROR(__xludf.DUMMYFUNCTION("""COMPUTED_VALUE"""),"SF")</f>
        <v>SF</v>
      </c>
      <c r="I997" s="163">
        <f>IFERROR(__xludf.DUMMYFUNCTION("""COMPUTED_VALUE"""),35.0)</f>
        <v>35</v>
      </c>
      <c r="J997" s="165">
        <f>IFERROR(__xludf.DUMMYFUNCTION("""COMPUTED_VALUE"""),-1.20543388567693)</f>
        <v>-1.205433886</v>
      </c>
      <c r="K997" s="165">
        <f>IFERROR(__xludf.DUMMYFUNCTION("""COMPUTED_VALUE"""),-0.618073197223613)</f>
        <v>-0.6180731972</v>
      </c>
      <c r="L997" s="165">
        <f>IFERROR(__xludf.DUMMYFUNCTION("""COMPUTED_VALUE"""),-0.587360688453316)</f>
        <v>-0.5873606885</v>
      </c>
      <c r="M997" s="166">
        <f t="shared" si="2"/>
        <v>0.5133547393</v>
      </c>
      <c r="N997" s="167">
        <f t="shared" si="3"/>
        <v>22.66569892</v>
      </c>
      <c r="O997" s="163">
        <f t="shared" ref="O997:Q997" si="1001">rank(I997,I:I)</f>
        <v>104</v>
      </c>
      <c r="P997" s="163">
        <f t="shared" si="1001"/>
        <v>2751</v>
      </c>
      <c r="Q997" s="163">
        <f t="shared" si="1001"/>
        <v>2289</v>
      </c>
      <c r="R997" s="163">
        <f>IFERROR(__xludf.DUMMYFUNCTION("RANK(M997,filter(M:M,C:C=C997))"),280.0)</f>
        <v>280</v>
      </c>
      <c r="S997" s="161" t="b">
        <f t="shared" si="5"/>
        <v>0</v>
      </c>
      <c r="T997" s="161" t="b">
        <f t="array" ref="T997">index('Query Tool'!B:B,match(H997,'Query Tool'!C:C,0))</f>
        <v>1</v>
      </c>
      <c r="U997" s="161" t="b">
        <f t="array" ref="U997">index('Query Tool'!B:B,match(C997,'Query Tool'!C:C,0))</f>
        <v>0</v>
      </c>
      <c r="V997" s="161" t="b">
        <f>F997&gt;='Query Tool'!C$32</f>
        <v>1</v>
      </c>
      <c r="W997" s="161" t="b">
        <f t="array" ref="W997">index(Dropdowns!B:B,match(I997,Dropdowns!A:A,0))</f>
        <v>1</v>
      </c>
      <c r="X997" s="161" t="b">
        <f t="array" ref="X997">index('Query Tool'!B:B,match(D997,'Query Tool'!C:C,0))</f>
        <v>1</v>
      </c>
      <c r="Y997" s="161" t="str">
        <f t="shared" si="6"/>
        <v>dunlemi02,2015-16</v>
      </c>
      <c r="Z997" s="168">
        <f t="array" ref="Z997">iferror(index(I:I,match($A997&amp;","&amp;index('Year Conversion'!$A:$A,match($C997,'Year Conversion'!$B:$B,0)),$Y:$Y,0))-I997,"")</f>
        <v>1</v>
      </c>
      <c r="AA997" s="168">
        <f t="array" ref="AA997">iferror(index(J:J,match($A997&amp;","&amp;index('Year Conversion'!$A:$A,match($C997,'Year Conversion'!$B:$B,0)),$Y:$Y,0))-J997,"")</f>
        <v>-1.128448822</v>
      </c>
      <c r="AB997" s="168">
        <f t="array" ref="AB997">iferror(index(K:K,match($A997&amp;","&amp;index('Year Conversion'!$A:$A,match($C997,'Year Conversion'!$B:$B,0)),$Y:$Y,0))-K997,"")</f>
        <v>-1.462242327</v>
      </c>
      <c r="AC997" s="168" t="str">
        <f t="shared" si="7"/>
        <v>CHI,2015-16</v>
      </c>
    </row>
    <row r="998">
      <c r="A998" s="161" t="str">
        <f>IFERROR(__xludf.DUMMYFUNCTION("""COMPUTED_VALUE"""),"goodedr01")</f>
        <v>goodedr01</v>
      </c>
      <c r="B998" s="161" t="str">
        <f>IFERROR(__xludf.DUMMYFUNCTION("""COMPUTED_VALUE"""),"Drew Gooden")</f>
        <v>Drew Gooden</v>
      </c>
      <c r="C998" s="162" t="str">
        <f>IFERROR(__xludf.DUMMYFUNCTION("""COMPUTED_VALUE"""),"2015-16")</f>
        <v>2015-16</v>
      </c>
      <c r="D998" s="163" t="str">
        <f>IFERROR(__xludf.DUMMYFUNCTION("""COMPUTED_VALUE"""),"WAS")</f>
        <v>WAS</v>
      </c>
      <c r="E998" s="164" t="str">
        <f>IFERROR(__xludf.DUMMYFUNCTION("""COMPUTED_VALUE"""),"Stretch Big")</f>
        <v>Stretch Big</v>
      </c>
      <c r="F998" s="164">
        <f>IFERROR(__xludf.DUMMYFUNCTION("""COMPUTED_VALUE"""),305.178333333333)</f>
        <v>305.1783333</v>
      </c>
      <c r="G998" s="163">
        <f>IFERROR(__xludf.DUMMYFUNCTION("""COMPUTED_VALUE"""),30.0)</f>
        <v>30</v>
      </c>
      <c r="H998" s="163" t="str">
        <f>IFERROR(__xludf.DUMMYFUNCTION("""COMPUTED_VALUE"""),"PF")</f>
        <v>PF</v>
      </c>
      <c r="I998" s="163">
        <f>IFERROR(__xludf.DUMMYFUNCTION("""COMPUTED_VALUE"""),34.0)</f>
        <v>34</v>
      </c>
      <c r="J998" s="165">
        <f>IFERROR(__xludf.DUMMYFUNCTION("""COMPUTED_VALUE"""),-1.1919198749379)</f>
        <v>-1.191919875</v>
      </c>
      <c r="K998" s="165">
        <f>IFERROR(__xludf.DUMMYFUNCTION("""COMPUTED_VALUE"""),-1.01634501464039)</f>
        <v>-1.016345015</v>
      </c>
      <c r="L998" s="165">
        <f>IFERROR(__xludf.DUMMYFUNCTION("""COMPUTED_VALUE"""),-0.175574860297503)</f>
        <v>-0.1755748603</v>
      </c>
      <c r="M998" s="166">
        <f t="shared" si="2"/>
        <v>0.2257308333</v>
      </c>
      <c r="N998" s="167">
        <f t="shared" si="3"/>
        <v>10.17261111</v>
      </c>
      <c r="O998" s="163">
        <f t="shared" ref="O998:Q998" si="1002">rank(I998,I:I)</f>
        <v>164</v>
      </c>
      <c r="P998" s="163">
        <f t="shared" si="1002"/>
        <v>2733</v>
      </c>
      <c r="Q998" s="163">
        <f t="shared" si="1002"/>
        <v>2827</v>
      </c>
      <c r="R998" s="163">
        <f>IFERROR(__xludf.DUMMYFUNCTION("RANK(M998,filter(M:M,C:C=C998))"),338.0)</f>
        <v>338</v>
      </c>
      <c r="S998" s="161" t="b">
        <f t="shared" si="5"/>
        <v>0</v>
      </c>
      <c r="T998" s="161" t="b">
        <f t="array" ref="T998">index('Query Tool'!B:B,match(H998,'Query Tool'!C:C,0))</f>
        <v>1</v>
      </c>
      <c r="U998" s="161" t="b">
        <f t="array" ref="U998">index('Query Tool'!B:B,match(C998,'Query Tool'!C:C,0))</f>
        <v>0</v>
      </c>
      <c r="V998" s="161" t="b">
        <f>F998&gt;='Query Tool'!C$32</f>
        <v>0</v>
      </c>
      <c r="W998" s="161" t="b">
        <f t="array" ref="W998">index(Dropdowns!B:B,match(I998,Dropdowns!A:A,0))</f>
        <v>1</v>
      </c>
      <c r="X998" s="161" t="b">
        <f t="array" ref="X998">index('Query Tool'!B:B,match(D998,'Query Tool'!C:C,0))</f>
        <v>1</v>
      </c>
      <c r="Y998" s="161" t="str">
        <f t="shared" si="6"/>
        <v>goodedr01,2015-16</v>
      </c>
      <c r="Z998" s="168" t="str">
        <f t="array" ref="Z998">iferror(index(I:I,match($A998&amp;","&amp;index('Year Conversion'!$A:$A,match($C998,'Year Conversion'!$B:$B,0)),$Y:$Y,0))-I998,"")</f>
        <v/>
      </c>
      <c r="AA998" s="168" t="str">
        <f t="array" ref="AA998">iferror(index(J:J,match($A998&amp;","&amp;index('Year Conversion'!$A:$A,match($C998,'Year Conversion'!$B:$B,0)),$Y:$Y,0))-J998,"")</f>
        <v/>
      </c>
      <c r="AB998" s="168" t="str">
        <f t="array" ref="AB998">iferror(index(K:K,match($A998&amp;","&amp;index('Year Conversion'!$A:$A,match($C998,'Year Conversion'!$B:$B,0)),$Y:$Y,0))-K998,"")</f>
        <v/>
      </c>
      <c r="AC998" s="168" t="str">
        <f t="shared" si="7"/>
        <v>WAS,2015-16</v>
      </c>
    </row>
    <row r="999">
      <c r="A999" s="161" t="str">
        <f>IFERROR(__xludf.DUMMYFUNCTION("""COMPUTED_VALUE"""),"hilarne01")</f>
        <v>hilarne01</v>
      </c>
      <c r="B999" s="161" t="str">
        <f>IFERROR(__xludf.DUMMYFUNCTION("""COMPUTED_VALUE"""),"Nene")</f>
        <v>Nene</v>
      </c>
      <c r="C999" s="162" t="str">
        <f>IFERROR(__xludf.DUMMYFUNCTION("""COMPUTED_VALUE"""),"2015-16")</f>
        <v>2015-16</v>
      </c>
      <c r="D999" s="163" t="str">
        <f>IFERROR(__xludf.DUMMYFUNCTION("""COMPUTED_VALUE"""),"WAS")</f>
        <v>WAS</v>
      </c>
      <c r="E999" s="164" t="str">
        <f>IFERROR(__xludf.DUMMYFUNCTION("""COMPUTED_VALUE"""),"Post Scorer")</f>
        <v>Post Scorer</v>
      </c>
      <c r="F999" s="164">
        <f>IFERROR(__xludf.DUMMYFUNCTION("""COMPUTED_VALUE"""),1093.91)</f>
        <v>1093.91</v>
      </c>
      <c r="G999" s="163">
        <f>IFERROR(__xludf.DUMMYFUNCTION("""COMPUTED_VALUE"""),57.0)</f>
        <v>57</v>
      </c>
      <c r="H999" s="163" t="str">
        <f>IFERROR(__xludf.DUMMYFUNCTION("""COMPUTED_VALUE"""),"PF")</f>
        <v>PF</v>
      </c>
      <c r="I999" s="163">
        <f>IFERROR(__xludf.DUMMYFUNCTION("""COMPUTED_VALUE"""),33.0)</f>
        <v>33</v>
      </c>
      <c r="J999" s="165">
        <f>IFERROR(__xludf.DUMMYFUNCTION("""COMPUTED_VALUE"""),0.527653994343275)</f>
        <v>0.5276539943</v>
      </c>
      <c r="K999" s="165">
        <f>IFERROR(__xludf.DUMMYFUNCTION("""COMPUTED_VALUE"""),-0.895648451719168)</f>
        <v>-0.8956484517</v>
      </c>
      <c r="L999" s="165">
        <f>IFERROR(__xludf.DUMMYFUNCTION("""COMPUTED_VALUE"""),1.42330244606244)</f>
        <v>1.423302446</v>
      </c>
      <c r="M999" s="166">
        <f t="shared" si="2"/>
        <v>2.075440535</v>
      </c>
      <c r="N999" s="167">
        <f t="shared" si="3"/>
        <v>19.19140351</v>
      </c>
      <c r="O999" s="163">
        <f t="shared" ref="O999:Q999" si="1003">rank(I999,I:I)</f>
        <v>246</v>
      </c>
      <c r="P999" s="163">
        <f t="shared" si="1003"/>
        <v>885</v>
      </c>
      <c r="Q999" s="163">
        <f t="shared" si="1003"/>
        <v>2685</v>
      </c>
      <c r="R999" s="163">
        <f>IFERROR(__xludf.DUMMYFUNCTION("RANK(M999,filter(M:M,C:C=C999))"),153.0)</f>
        <v>153</v>
      </c>
      <c r="S999" s="161" t="b">
        <f t="shared" si="5"/>
        <v>0</v>
      </c>
      <c r="T999" s="161" t="b">
        <f t="array" ref="T999">index('Query Tool'!B:B,match(H999,'Query Tool'!C:C,0))</f>
        <v>1</v>
      </c>
      <c r="U999" s="161" t="b">
        <f t="array" ref="U999">index('Query Tool'!B:B,match(C999,'Query Tool'!C:C,0))</f>
        <v>0</v>
      </c>
      <c r="V999" s="161" t="b">
        <f>F999&gt;='Query Tool'!C$32</f>
        <v>1</v>
      </c>
      <c r="W999" s="161" t="b">
        <f t="array" ref="W999">index(Dropdowns!B:B,match(I999,Dropdowns!A:A,0))</f>
        <v>1</v>
      </c>
      <c r="X999" s="161" t="b">
        <f t="array" ref="X999">index('Query Tool'!B:B,match(D999,'Query Tool'!C:C,0))</f>
        <v>1</v>
      </c>
      <c r="Y999" s="161" t="str">
        <f t="shared" si="6"/>
        <v>hilarne01,2015-16</v>
      </c>
      <c r="Z999" s="168">
        <f t="array" ref="Z999">iferror(index(I:I,match($A999&amp;","&amp;index('Year Conversion'!$A:$A,match($C999,'Year Conversion'!$B:$B,0)),$Y:$Y,0))-I999,"")</f>
        <v>1</v>
      </c>
      <c r="AA999" s="168">
        <f t="array" ref="AA999">iferror(index(J:J,match($A999&amp;","&amp;index('Year Conversion'!$A:$A,match($C999,'Year Conversion'!$B:$B,0)),$Y:$Y,0))-J999,"")</f>
        <v>0.8179500256</v>
      </c>
      <c r="AB999" s="168">
        <f t="array" ref="AB999">iferror(index(K:K,match($A999&amp;","&amp;index('Year Conversion'!$A:$A,match($C999,'Year Conversion'!$B:$B,0)),$Y:$Y,0))-K999,"")</f>
        <v>0.5596207985</v>
      </c>
      <c r="AC999" s="168" t="str">
        <f t="shared" si="7"/>
        <v>WAS,2015-16</v>
      </c>
    </row>
    <row r="1000">
      <c r="A1000" s="161" t="str">
        <f>IFERROR(__xludf.DUMMYFUNCTION("""COMPUTED_VALUE"""),"stoudam01")</f>
        <v>stoudam01</v>
      </c>
      <c r="B1000" s="161" t="str">
        <f>IFERROR(__xludf.DUMMYFUNCTION("""COMPUTED_VALUE"""),"Amar'e Stoudemire")</f>
        <v>Amar'e Stoudemire</v>
      </c>
      <c r="C1000" s="162" t="str">
        <f>IFERROR(__xludf.DUMMYFUNCTION("""COMPUTED_VALUE"""),"2015-16")</f>
        <v>2015-16</v>
      </c>
      <c r="D1000" s="163" t="str">
        <f>IFERROR(__xludf.DUMMYFUNCTION("""COMPUTED_VALUE"""),"MIA")</f>
        <v>MIA</v>
      </c>
      <c r="E1000" s="164" t="str">
        <f>IFERROR(__xludf.DUMMYFUNCTION("""COMPUTED_VALUE"""),"Post Scorer")</f>
        <v>Post Scorer</v>
      </c>
      <c r="F1000" s="164">
        <f>IFERROR(__xludf.DUMMYFUNCTION("""COMPUTED_VALUE"""),762.301666666667)</f>
        <v>762.3016667</v>
      </c>
      <c r="G1000" s="163">
        <f>IFERROR(__xludf.DUMMYFUNCTION("""COMPUTED_VALUE"""),52.0)</f>
        <v>52</v>
      </c>
      <c r="H1000" s="163" t="str">
        <f>IFERROR(__xludf.DUMMYFUNCTION("""COMPUTED_VALUE"""),"C")</f>
        <v>C</v>
      </c>
      <c r="I1000" s="163">
        <f>IFERROR(__xludf.DUMMYFUNCTION("""COMPUTED_VALUE"""),33.0)</f>
        <v>33</v>
      </c>
      <c r="J1000" s="165">
        <f>IFERROR(__xludf.DUMMYFUNCTION("""COMPUTED_VALUE"""),0.147270110833909)</f>
        <v>0.1472701108</v>
      </c>
      <c r="K1000" s="165">
        <f>IFERROR(__xludf.DUMMYFUNCTION("""COMPUTED_VALUE"""),-1.44326130179418)</f>
        <v>-1.443261302</v>
      </c>
      <c r="L1000" s="165">
        <f>IFERROR(__xludf.DUMMYFUNCTION("""COMPUTED_VALUE"""),1.59053141262809)</f>
        <v>1.590531413</v>
      </c>
      <c r="M1000" s="166">
        <f t="shared" si="2"/>
        <v>1.250900204</v>
      </c>
      <c r="N1000" s="167">
        <f t="shared" si="3"/>
        <v>14.65964744</v>
      </c>
      <c r="O1000" s="163">
        <f t="shared" ref="O1000:Q1000" si="1004">rank(I1000,I:I)</f>
        <v>246</v>
      </c>
      <c r="P1000" s="163">
        <f t="shared" si="1004"/>
        <v>1138</v>
      </c>
      <c r="Q1000" s="163">
        <f t="shared" si="1004"/>
        <v>3293</v>
      </c>
      <c r="R1000" s="163">
        <f>IFERROR(__xludf.DUMMYFUNCTION("RANK(M1000,filter(M:M,C:C=C1000))"),204.0)</f>
        <v>204</v>
      </c>
      <c r="S1000" s="161" t="b">
        <f t="shared" si="5"/>
        <v>0</v>
      </c>
      <c r="T1000" s="161" t="b">
        <f t="array" ref="T1000">index('Query Tool'!B:B,match(H1000,'Query Tool'!C:C,0))</f>
        <v>1</v>
      </c>
      <c r="U1000" s="161" t="b">
        <f t="array" ref="U1000">index('Query Tool'!B:B,match(C1000,'Query Tool'!C:C,0))</f>
        <v>0</v>
      </c>
      <c r="V1000" s="161" t="b">
        <f>F1000&gt;='Query Tool'!C$32</f>
        <v>1</v>
      </c>
      <c r="W1000" s="161" t="b">
        <f t="array" ref="W1000">index(Dropdowns!B:B,match(I1000,Dropdowns!A:A,0))</f>
        <v>1</v>
      </c>
      <c r="X1000" s="161" t="b">
        <f t="array" ref="X1000">index('Query Tool'!B:B,match(D1000,'Query Tool'!C:C,0))</f>
        <v>1</v>
      </c>
      <c r="Y1000" s="161" t="str">
        <f t="shared" si="6"/>
        <v>stoudam01,2015-16</v>
      </c>
      <c r="Z1000" s="168" t="str">
        <f t="array" ref="Z1000">iferror(index(I:I,match($A1000&amp;","&amp;index('Year Conversion'!$A:$A,match($C1000,'Year Conversion'!$B:$B,0)),$Y:$Y,0))-I1000,"")</f>
        <v/>
      </c>
      <c r="AA1000" s="168" t="str">
        <f t="array" ref="AA1000">iferror(index(J:J,match($A1000&amp;","&amp;index('Year Conversion'!$A:$A,match($C1000,'Year Conversion'!$B:$B,0)),$Y:$Y,0))-J1000,"")</f>
        <v/>
      </c>
      <c r="AB1000" s="168" t="str">
        <f t="array" ref="AB1000">iferror(index(K:K,match($A1000&amp;","&amp;index('Year Conversion'!$A:$A,match($C1000,'Year Conversion'!$B:$B,0)),$Y:$Y,0))-K1000,"")</f>
        <v/>
      </c>
      <c r="AC1000" s="168" t="str">
        <f t="shared" si="7"/>
        <v>MIA,2015-16</v>
      </c>
    </row>
    <row r="1001">
      <c r="A1001" s="161" t="str">
        <f>IFERROR(__xludf.DUMMYFUNCTION("""COMPUTED_VALUE"""),"butleca01")</f>
        <v>butleca01</v>
      </c>
      <c r="B1001" s="161" t="str">
        <f>IFERROR(__xludf.DUMMYFUNCTION("""COMPUTED_VALUE"""),"Caron Butler")</f>
        <v>Caron Butler</v>
      </c>
      <c r="C1001" s="162" t="str">
        <f>IFERROR(__xludf.DUMMYFUNCTION("""COMPUTED_VALUE"""),"2015-16")</f>
        <v>2015-16</v>
      </c>
      <c r="D1001" s="163" t="str">
        <f>IFERROR(__xludf.DUMMYFUNCTION("""COMPUTED_VALUE"""),"SAC")</f>
        <v>SAC</v>
      </c>
      <c r="E1001" s="164" t="str">
        <f>IFERROR(__xludf.DUMMYFUNCTION("""COMPUTED_VALUE"""),"Movement Shooter")</f>
        <v>Movement Shooter</v>
      </c>
      <c r="F1001" s="164">
        <f>IFERROR(__xludf.DUMMYFUNCTION("""COMPUTED_VALUE"""),175.668333333333)</f>
        <v>175.6683333</v>
      </c>
      <c r="G1001" s="163">
        <f>IFERROR(__xludf.DUMMYFUNCTION("""COMPUTED_VALUE"""),17.0)</f>
        <v>17</v>
      </c>
      <c r="H1001" s="163" t="str">
        <f>IFERROR(__xludf.DUMMYFUNCTION("""COMPUTED_VALUE"""),"SF")</f>
        <v>SF</v>
      </c>
      <c r="I1001" s="163">
        <f>IFERROR(__xludf.DUMMYFUNCTION("""COMPUTED_VALUE"""),35.0)</f>
        <v>35</v>
      </c>
      <c r="J1001" s="165">
        <f>IFERROR(__xludf.DUMMYFUNCTION("""COMPUTED_VALUE"""),-0.912687093438368)</f>
        <v>-0.9126870934</v>
      </c>
      <c r="K1001" s="165">
        <f>IFERROR(__xludf.DUMMYFUNCTION("""COMPUTED_VALUE"""),-0.676772211536441)</f>
        <v>-0.6767722115</v>
      </c>
      <c r="L1001" s="165">
        <f>IFERROR(__xludf.DUMMYFUNCTION("""COMPUTED_VALUE"""),-0.235914881901928)</f>
        <v>-0.2359148819</v>
      </c>
      <c r="M1001" s="166">
        <f t="shared" si="2"/>
        <v>0.1628539224</v>
      </c>
      <c r="N1001" s="167">
        <f t="shared" si="3"/>
        <v>10.33343137</v>
      </c>
      <c r="O1001" s="163">
        <f t="shared" ref="O1001:Q1001" si="1005">rank(I1001,I:I)</f>
        <v>104</v>
      </c>
      <c r="P1001" s="163">
        <f t="shared" si="1005"/>
        <v>2411</v>
      </c>
      <c r="Q1001" s="163">
        <f t="shared" si="1005"/>
        <v>2379</v>
      </c>
      <c r="R1001" s="163">
        <f>IFERROR(__xludf.DUMMYFUNCTION("RANK(M1001,filter(M:M,C:C=C1001))"),350.0)</f>
        <v>350</v>
      </c>
      <c r="S1001" s="161" t="b">
        <f t="shared" si="5"/>
        <v>0</v>
      </c>
      <c r="T1001" s="161" t="b">
        <f t="array" ref="T1001">index('Query Tool'!B:B,match(H1001,'Query Tool'!C:C,0))</f>
        <v>1</v>
      </c>
      <c r="U1001" s="161" t="b">
        <f t="array" ref="U1001">index('Query Tool'!B:B,match(C1001,'Query Tool'!C:C,0))</f>
        <v>0</v>
      </c>
      <c r="V1001" s="161" t="b">
        <f>F1001&gt;='Query Tool'!C$32</f>
        <v>0</v>
      </c>
      <c r="W1001" s="161" t="b">
        <f t="array" ref="W1001">index(Dropdowns!B:B,match(I1001,Dropdowns!A:A,0))</f>
        <v>1</v>
      </c>
      <c r="X1001" s="161" t="b">
        <f t="array" ref="X1001">index('Query Tool'!B:B,match(D1001,'Query Tool'!C:C,0))</f>
        <v>1</v>
      </c>
      <c r="Y1001" s="161" t="str">
        <f t="shared" si="6"/>
        <v>butleca01,2015-16</v>
      </c>
      <c r="Z1001" s="168" t="str">
        <f t="array" ref="Z1001">iferror(index(I:I,match($A1001&amp;","&amp;index('Year Conversion'!$A:$A,match($C1001,'Year Conversion'!$B:$B,0)),$Y:$Y,0))-I1001,"")</f>
        <v/>
      </c>
      <c r="AA1001" s="168" t="str">
        <f t="array" ref="AA1001">iferror(index(J:J,match($A1001&amp;","&amp;index('Year Conversion'!$A:$A,match($C1001,'Year Conversion'!$B:$B,0)),$Y:$Y,0))-J1001,"")</f>
        <v/>
      </c>
      <c r="AB1001" s="168" t="str">
        <f t="array" ref="AB1001">iferror(index(K:K,match($A1001&amp;","&amp;index('Year Conversion'!$A:$A,match($C1001,'Year Conversion'!$B:$B,0)),$Y:$Y,0))-K1001,"")</f>
        <v/>
      </c>
      <c r="AC1001" s="168" t="str">
        <f t="shared" si="7"/>
        <v>SAC,2015-16</v>
      </c>
    </row>
    <row r="1002">
      <c r="A1002" s="161" t="str">
        <f>IFERROR(__xludf.DUMMYFUNCTION("""COMPUTED_VALUE"""),"princta01")</f>
        <v>princta01</v>
      </c>
      <c r="B1002" s="161" t="str">
        <f>IFERROR(__xludf.DUMMYFUNCTION("""COMPUTED_VALUE"""),"Tayshaun Prince")</f>
        <v>Tayshaun Prince</v>
      </c>
      <c r="C1002" s="162" t="str">
        <f>IFERROR(__xludf.DUMMYFUNCTION("""COMPUTED_VALUE"""),"2015-16")</f>
        <v>2015-16</v>
      </c>
      <c r="D1002" s="163" t="str">
        <f>IFERROR(__xludf.DUMMYFUNCTION("""COMPUTED_VALUE"""),"MIN")</f>
        <v>MIN</v>
      </c>
      <c r="E1002" s="164" t="str">
        <f>IFERROR(__xludf.DUMMYFUNCTION("""COMPUTED_VALUE"""),"Athletic Finisher")</f>
        <v>Athletic Finisher</v>
      </c>
      <c r="F1002" s="164">
        <f>IFERROR(__xludf.DUMMYFUNCTION("""COMPUTED_VALUE"""),1461.56166666667)</f>
        <v>1461.561667</v>
      </c>
      <c r="G1002" s="163">
        <f>IFERROR(__xludf.DUMMYFUNCTION("""COMPUTED_VALUE"""),77.0)</f>
        <v>77</v>
      </c>
      <c r="H1002" s="163" t="str">
        <f>IFERROR(__xludf.DUMMYFUNCTION("""COMPUTED_VALUE"""),"SF")</f>
        <v>SF</v>
      </c>
      <c r="I1002" s="163">
        <f>IFERROR(__xludf.DUMMYFUNCTION("""COMPUTED_VALUE"""),35.0)</f>
        <v>35</v>
      </c>
      <c r="J1002" s="165">
        <f>IFERROR(__xludf.DUMMYFUNCTION("""COMPUTED_VALUE"""),-3.07450086370722)</f>
        <v>-3.074500864</v>
      </c>
      <c r="K1002" s="165">
        <f>IFERROR(__xludf.DUMMYFUNCTION("""COMPUTED_VALUE"""),-2.44606353772273)</f>
        <v>-2.446063538</v>
      </c>
      <c r="L1002" s="165">
        <f>IFERROR(__xludf.DUMMYFUNCTION("""COMPUTED_VALUE"""),-0.628437325984487)</f>
        <v>-0.628437326</v>
      </c>
      <c r="M1002" s="166">
        <f t="shared" si="2"/>
        <v>-0.7371139642</v>
      </c>
      <c r="N1002" s="167">
        <f t="shared" si="3"/>
        <v>18.98132035</v>
      </c>
      <c r="O1002" s="163">
        <f t="shared" ref="O1002:Q1002" si="1006">rank(I1002,I:I)</f>
        <v>104</v>
      </c>
      <c r="P1002" s="163">
        <f t="shared" si="1006"/>
        <v>3902</v>
      </c>
      <c r="Q1002" s="163">
        <f t="shared" si="1006"/>
        <v>3878</v>
      </c>
      <c r="R1002" s="163">
        <f>IFERROR(__xludf.DUMMYFUNCTION("RANK(M1002,filter(M:M,C:C=C1002))"),459.0)</f>
        <v>459</v>
      </c>
      <c r="S1002" s="161" t="b">
        <f t="shared" si="5"/>
        <v>0</v>
      </c>
      <c r="T1002" s="161" t="b">
        <f t="array" ref="T1002">index('Query Tool'!B:B,match(H1002,'Query Tool'!C:C,0))</f>
        <v>1</v>
      </c>
      <c r="U1002" s="161" t="b">
        <f t="array" ref="U1002">index('Query Tool'!B:B,match(C1002,'Query Tool'!C:C,0))</f>
        <v>0</v>
      </c>
      <c r="V1002" s="161" t="b">
        <f>F1002&gt;='Query Tool'!C$32</f>
        <v>1</v>
      </c>
      <c r="W1002" s="161" t="b">
        <f t="array" ref="W1002">index(Dropdowns!B:B,match(I1002,Dropdowns!A:A,0))</f>
        <v>1</v>
      </c>
      <c r="X1002" s="161" t="b">
        <f t="array" ref="X1002">index('Query Tool'!B:B,match(D1002,'Query Tool'!C:C,0))</f>
        <v>1</v>
      </c>
      <c r="Y1002" s="161" t="str">
        <f t="shared" si="6"/>
        <v>princta01,2015-16</v>
      </c>
      <c r="Z1002" s="168" t="str">
        <f t="array" ref="Z1002">iferror(index(I:I,match($A1002&amp;","&amp;index('Year Conversion'!$A:$A,match($C1002,'Year Conversion'!$B:$B,0)),$Y:$Y,0))-I1002,"")</f>
        <v/>
      </c>
      <c r="AA1002" s="168" t="str">
        <f t="array" ref="AA1002">iferror(index(J:J,match($A1002&amp;","&amp;index('Year Conversion'!$A:$A,match($C1002,'Year Conversion'!$B:$B,0)),$Y:$Y,0))-J1002,"")</f>
        <v/>
      </c>
      <c r="AB1002" s="168" t="str">
        <f t="array" ref="AB1002">iferror(index(K:K,match($A1002&amp;","&amp;index('Year Conversion'!$A:$A,match($C1002,'Year Conversion'!$B:$B,0)),$Y:$Y,0))-K1002,"")</f>
        <v/>
      </c>
      <c r="AC1002" s="168" t="str">
        <f t="shared" si="7"/>
        <v>MIN,2015-16</v>
      </c>
    </row>
    <row r="1003">
      <c r="A1003" s="161" t="str">
        <f>IFERROR(__xludf.DUMMYFUNCTION("""COMPUTED_VALUE"""),"barnema02")</f>
        <v>barnema02</v>
      </c>
      <c r="B1003" s="161" t="str">
        <f>IFERROR(__xludf.DUMMYFUNCTION("""COMPUTED_VALUE"""),"Matt Barnes")</f>
        <v>Matt Barnes</v>
      </c>
      <c r="C1003" s="162" t="str">
        <f>IFERROR(__xludf.DUMMYFUNCTION("""COMPUTED_VALUE"""),"2015-16")</f>
        <v>2015-16</v>
      </c>
      <c r="D1003" s="163" t="str">
        <f>IFERROR(__xludf.DUMMYFUNCTION("""COMPUTED_VALUE"""),"MEM")</f>
        <v>MEM</v>
      </c>
      <c r="E1003" s="164" t="str">
        <f>IFERROR(__xludf.DUMMYFUNCTION("""COMPUTED_VALUE"""),"Athletic Finisher")</f>
        <v>Athletic Finisher</v>
      </c>
      <c r="F1003" s="164">
        <f>IFERROR(__xludf.DUMMYFUNCTION("""COMPUTED_VALUE"""),2190.15333333333)</f>
        <v>2190.153333</v>
      </c>
      <c r="G1003" s="163">
        <f>IFERROR(__xludf.DUMMYFUNCTION("""COMPUTED_VALUE"""),76.0)</f>
        <v>76</v>
      </c>
      <c r="H1003" s="163" t="str">
        <f>IFERROR(__xludf.DUMMYFUNCTION("""COMPUTED_VALUE"""),"SF")</f>
        <v>SF</v>
      </c>
      <c r="I1003" s="163">
        <f>IFERROR(__xludf.DUMMYFUNCTION("""COMPUTED_VALUE"""),35.0)</f>
        <v>35</v>
      </c>
      <c r="J1003" s="165">
        <f>IFERROR(__xludf.DUMMYFUNCTION("""COMPUTED_VALUE"""),-1.57690730763428)</f>
        <v>-1.576907308</v>
      </c>
      <c r="K1003" s="165">
        <f>IFERROR(__xludf.DUMMYFUNCTION("""COMPUTED_VALUE"""),-0.785546197568821)</f>
        <v>-0.7855461976</v>
      </c>
      <c r="L1003" s="165">
        <f>IFERROR(__xludf.DUMMYFUNCTION("""COMPUTED_VALUE"""),-0.791361110065459)</f>
        <v>-0.7913611101</v>
      </c>
      <c r="M1003" s="166">
        <f t="shared" si="2"/>
        <v>1.056068221</v>
      </c>
      <c r="N1003" s="167">
        <f t="shared" si="3"/>
        <v>28.81780702</v>
      </c>
      <c r="O1003" s="163">
        <f t="shared" ref="O1003:Q1003" si="1007">rank(I1003,I:I)</f>
        <v>104</v>
      </c>
      <c r="P1003" s="163">
        <f t="shared" si="1007"/>
        <v>3126</v>
      </c>
      <c r="Q1003" s="163">
        <f t="shared" si="1007"/>
        <v>2539</v>
      </c>
      <c r="R1003" s="163">
        <f>IFERROR(__xludf.DUMMYFUNCTION("RANK(M1003,filter(M:M,C:C=C1003))"),216.0)</f>
        <v>216</v>
      </c>
      <c r="S1003" s="161" t="b">
        <f t="shared" si="5"/>
        <v>0</v>
      </c>
      <c r="T1003" s="161" t="b">
        <f t="array" ref="T1003">index('Query Tool'!B:B,match(H1003,'Query Tool'!C:C,0))</f>
        <v>1</v>
      </c>
      <c r="U1003" s="161" t="b">
        <f t="array" ref="U1003">index('Query Tool'!B:B,match(C1003,'Query Tool'!C:C,0))</f>
        <v>0</v>
      </c>
      <c r="V1003" s="161" t="b">
        <f>F1003&gt;='Query Tool'!C$32</f>
        <v>1</v>
      </c>
      <c r="W1003" s="161" t="b">
        <f t="array" ref="W1003">index(Dropdowns!B:B,match(I1003,Dropdowns!A:A,0))</f>
        <v>1</v>
      </c>
      <c r="X1003" s="161" t="b">
        <f t="array" ref="X1003">index('Query Tool'!B:B,match(D1003,'Query Tool'!C:C,0))</f>
        <v>1</v>
      </c>
      <c r="Y1003" s="161" t="str">
        <f t="shared" si="6"/>
        <v>barnema02,2015-16</v>
      </c>
      <c r="Z1003" s="168">
        <f t="array" ref="Z1003">iferror(index(I:I,match($A1003&amp;","&amp;index('Year Conversion'!$A:$A,match($C1003,'Year Conversion'!$B:$B,0)),$Y:$Y,0))-I1003,"")</f>
        <v>1</v>
      </c>
      <c r="AA1003" s="168">
        <f t="array" ref="AA1003">iferror(index(J:J,match($A1003&amp;","&amp;index('Year Conversion'!$A:$A,match($C1003,'Year Conversion'!$B:$B,0)),$Y:$Y,0))-J1003,"")</f>
        <v>0.7571790814</v>
      </c>
      <c r="AB1003" s="168">
        <f t="array" ref="AB1003">iferror(index(K:K,match($A1003&amp;","&amp;index('Year Conversion'!$A:$A,match($C1003,'Year Conversion'!$B:$B,0)),$Y:$Y,0))-K1003,"")</f>
        <v>0.03042596894</v>
      </c>
      <c r="AC1003" s="168" t="str">
        <f t="shared" si="7"/>
        <v>MEM,2015-16</v>
      </c>
    </row>
    <row r="1004">
      <c r="A1004" s="161" t="str">
        <f>IFERROR(__xludf.DUMMYFUNCTION("""COMPUTED_VALUE"""),"butlera01")</f>
        <v>butlera01</v>
      </c>
      <c r="B1004" s="161" t="str">
        <f>IFERROR(__xludf.DUMMYFUNCTION("""COMPUTED_VALUE"""),"Rasual Butler")</f>
        <v>Rasual Butler</v>
      </c>
      <c r="C1004" s="162" t="str">
        <f>IFERROR(__xludf.DUMMYFUNCTION("""COMPUTED_VALUE"""),"2015-16")</f>
        <v>2015-16</v>
      </c>
      <c r="D1004" s="163" t="str">
        <f>IFERROR(__xludf.DUMMYFUNCTION("""COMPUTED_VALUE"""),"SAS")</f>
        <v>SAS</v>
      </c>
      <c r="E1004" s="164" t="str">
        <f>IFERROR(__xludf.DUMMYFUNCTION("""COMPUTED_VALUE"""),"Stationary Shooter")</f>
        <v>Stationary Shooter</v>
      </c>
      <c r="F1004" s="164">
        <f>IFERROR(__xludf.DUMMYFUNCTION("""COMPUTED_VALUE"""),431.511666666667)</f>
        <v>431.5116667</v>
      </c>
      <c r="G1004" s="163">
        <f>IFERROR(__xludf.DUMMYFUNCTION("""COMPUTED_VALUE"""),46.0)</f>
        <v>46</v>
      </c>
      <c r="H1004" s="163" t="str">
        <f>IFERROR(__xludf.DUMMYFUNCTION("""COMPUTED_VALUE"""),"SF")</f>
        <v>SF</v>
      </c>
      <c r="I1004" s="163">
        <f>IFERROR(__xludf.DUMMYFUNCTION("""COMPUTED_VALUE"""),36.0)</f>
        <v>36</v>
      </c>
      <c r="J1004" s="165">
        <f>IFERROR(__xludf.DUMMYFUNCTION("""COMPUTED_VALUE"""),0.0442088377974516)</f>
        <v>0.0442088378</v>
      </c>
      <c r="K1004" s="165">
        <f>IFERROR(__xludf.DUMMYFUNCTION("""COMPUTED_VALUE"""),-0.382929216207795)</f>
        <v>-0.3829292162</v>
      </c>
      <c r="L1004" s="165">
        <f>IFERROR(__xludf.DUMMYFUNCTION("""COMPUTED_VALUE"""),0.427138054005247)</f>
        <v>0.427138054</v>
      </c>
      <c r="M1004" s="166">
        <f t="shared" si="2"/>
        <v>0.678108387</v>
      </c>
      <c r="N1004" s="167">
        <f t="shared" si="3"/>
        <v>9.380688406</v>
      </c>
      <c r="O1004" s="163">
        <f t="shared" ref="O1004:Q1004" si="1008">rank(I1004,I:I)</f>
        <v>65</v>
      </c>
      <c r="P1004" s="163">
        <f t="shared" si="1008"/>
        <v>1249</v>
      </c>
      <c r="Q1004" s="163">
        <f t="shared" si="1008"/>
        <v>1920</v>
      </c>
      <c r="R1004" s="163">
        <f>IFERROR(__xludf.DUMMYFUNCTION("RANK(M1004,filter(M:M,C:C=C1004))"),257.0)</f>
        <v>257</v>
      </c>
      <c r="S1004" s="161" t="b">
        <f t="shared" si="5"/>
        <v>0</v>
      </c>
      <c r="T1004" s="161" t="b">
        <f t="array" ref="T1004">index('Query Tool'!B:B,match(H1004,'Query Tool'!C:C,0))</f>
        <v>1</v>
      </c>
      <c r="U1004" s="161" t="b">
        <f t="array" ref="U1004">index('Query Tool'!B:B,match(C1004,'Query Tool'!C:C,0))</f>
        <v>0</v>
      </c>
      <c r="V1004" s="161" t="b">
        <f>F1004&gt;='Query Tool'!C$32</f>
        <v>0</v>
      </c>
      <c r="W1004" s="161" t="b">
        <f t="array" ref="W1004">index(Dropdowns!B:B,match(I1004,Dropdowns!A:A,0))</f>
        <v>1</v>
      </c>
      <c r="X1004" s="161" t="b">
        <f t="array" ref="X1004">index('Query Tool'!B:B,match(D1004,'Query Tool'!C:C,0))</f>
        <v>1</v>
      </c>
      <c r="Y1004" s="161" t="str">
        <f t="shared" si="6"/>
        <v>butlera01,2015-16</v>
      </c>
      <c r="Z1004" s="168" t="str">
        <f t="array" ref="Z1004">iferror(index(I:I,match($A1004&amp;","&amp;index('Year Conversion'!$A:$A,match($C1004,'Year Conversion'!$B:$B,0)),$Y:$Y,0))-I1004,"")</f>
        <v/>
      </c>
      <c r="AA1004" s="168" t="str">
        <f t="array" ref="AA1004">iferror(index(J:J,match($A1004&amp;","&amp;index('Year Conversion'!$A:$A,match($C1004,'Year Conversion'!$B:$B,0)),$Y:$Y,0))-J1004,"")</f>
        <v/>
      </c>
      <c r="AB1004" s="168" t="str">
        <f t="array" ref="AB1004">iferror(index(K:K,match($A1004&amp;","&amp;index('Year Conversion'!$A:$A,match($C1004,'Year Conversion'!$B:$B,0)),$Y:$Y,0))-K1004,"")</f>
        <v/>
      </c>
      <c r="AC1004" s="168" t="str">
        <f t="shared" si="7"/>
        <v>SAS,2015-16</v>
      </c>
    </row>
    <row r="1005">
      <c r="A1005" s="161" t="str">
        <f>IFERROR(__xludf.DUMMYFUNCTION("""COMPUTED_VALUE"""),"scolalu01")</f>
        <v>scolalu01</v>
      </c>
      <c r="B1005" s="161" t="str">
        <f>IFERROR(__xludf.DUMMYFUNCTION("""COMPUTED_VALUE"""),"Luis Scola")</f>
        <v>Luis Scola</v>
      </c>
      <c r="C1005" s="162" t="str">
        <f>IFERROR(__xludf.DUMMYFUNCTION("""COMPUTED_VALUE"""),"2015-16")</f>
        <v>2015-16</v>
      </c>
      <c r="D1005" s="163" t="str">
        <f>IFERROR(__xludf.DUMMYFUNCTION("""COMPUTED_VALUE"""),"TOR")</f>
        <v>TOR</v>
      </c>
      <c r="E1005" s="164" t="str">
        <f>IFERROR(__xludf.DUMMYFUNCTION("""COMPUTED_VALUE"""),"Versatile Big")</f>
        <v>Versatile Big</v>
      </c>
      <c r="F1005" s="164">
        <f>IFERROR(__xludf.DUMMYFUNCTION("""COMPUTED_VALUE"""),1636.195)</f>
        <v>1636.195</v>
      </c>
      <c r="G1005" s="163">
        <f>IFERROR(__xludf.DUMMYFUNCTION("""COMPUTED_VALUE"""),76.0)</f>
        <v>76</v>
      </c>
      <c r="H1005" s="163" t="str">
        <f>IFERROR(__xludf.DUMMYFUNCTION("""COMPUTED_VALUE"""),"PF")</f>
        <v>PF</v>
      </c>
      <c r="I1005" s="163">
        <f>IFERROR(__xludf.DUMMYFUNCTION("""COMPUTED_VALUE"""),35.0)</f>
        <v>35</v>
      </c>
      <c r="J1005" s="165">
        <f>IFERROR(__xludf.DUMMYFUNCTION("""COMPUTED_VALUE"""),-1.72786316434485)</f>
        <v>-1.727863164</v>
      </c>
      <c r="K1005" s="165">
        <f>IFERROR(__xludf.DUMMYFUNCTION("""COMPUTED_VALUE"""),-1.96328088730196)</f>
        <v>-1.963280887</v>
      </c>
      <c r="L1005" s="165">
        <f>IFERROR(__xludf.DUMMYFUNCTION("""COMPUTED_VALUE"""),0.235417722957105)</f>
        <v>0.235417723</v>
      </c>
      <c r="M1005" s="166">
        <f t="shared" si="2"/>
        <v>0.6243170368</v>
      </c>
      <c r="N1005" s="167">
        <f t="shared" si="3"/>
        <v>21.52888158</v>
      </c>
      <c r="O1005" s="163">
        <f t="shared" ref="O1005:Q1005" si="1009">rank(I1005,I:I)</f>
        <v>104</v>
      </c>
      <c r="P1005" s="163">
        <f t="shared" si="1009"/>
        <v>3269</v>
      </c>
      <c r="Q1005" s="163">
        <f t="shared" si="1009"/>
        <v>3697</v>
      </c>
      <c r="R1005" s="163">
        <f>IFERROR(__xludf.DUMMYFUNCTION("RANK(M1005,filter(M:M,C:C=C1005))"),266.0)</f>
        <v>266</v>
      </c>
      <c r="S1005" s="161" t="b">
        <f t="shared" si="5"/>
        <v>0</v>
      </c>
      <c r="T1005" s="161" t="b">
        <f t="array" ref="T1005">index('Query Tool'!B:B,match(H1005,'Query Tool'!C:C,0))</f>
        <v>1</v>
      </c>
      <c r="U1005" s="161" t="b">
        <f t="array" ref="U1005">index('Query Tool'!B:B,match(C1005,'Query Tool'!C:C,0))</f>
        <v>0</v>
      </c>
      <c r="V1005" s="161" t="b">
        <f>F1005&gt;='Query Tool'!C$32</f>
        <v>1</v>
      </c>
      <c r="W1005" s="161" t="b">
        <f t="array" ref="W1005">index(Dropdowns!B:B,match(I1005,Dropdowns!A:A,0))</f>
        <v>1</v>
      </c>
      <c r="X1005" s="161" t="b">
        <f t="array" ref="X1005">index('Query Tool'!B:B,match(D1005,'Query Tool'!C:C,0))</f>
        <v>1</v>
      </c>
      <c r="Y1005" s="161" t="str">
        <f t="shared" si="6"/>
        <v>scolalu01,2015-16</v>
      </c>
      <c r="Z1005" s="168">
        <f t="array" ref="Z1005">iferror(index(I:I,match($A1005&amp;","&amp;index('Year Conversion'!$A:$A,match($C1005,'Year Conversion'!$B:$B,0)),$Y:$Y,0))-I1005,"")</f>
        <v>1</v>
      </c>
      <c r="AA1005" s="168">
        <f t="array" ref="AA1005">iferror(index(J:J,match($A1005&amp;","&amp;index('Year Conversion'!$A:$A,match($C1005,'Year Conversion'!$B:$B,0)),$Y:$Y,0))-J1005,"")</f>
        <v>0.6643156995</v>
      </c>
      <c r="AB1005" s="168">
        <f t="array" ref="AB1005">iferror(index(K:K,match($A1005&amp;","&amp;index('Year Conversion'!$A:$A,match($C1005,'Year Conversion'!$B:$B,0)),$Y:$Y,0))-K1005,"")</f>
        <v>1.802926586</v>
      </c>
      <c r="AC1005" s="168" t="str">
        <f t="shared" si="7"/>
        <v>TOR,2015-16</v>
      </c>
    </row>
    <row r="1006">
      <c r="A1006" s="161" t="str">
        <f>IFERROR(__xludf.DUMMYFUNCTION("""COMPUTED_VALUE"""),"jamesle01")</f>
        <v>jamesle01</v>
      </c>
      <c r="B1006" s="161" t="str">
        <f>IFERROR(__xludf.DUMMYFUNCTION("""COMPUTED_VALUE"""),"LeBron James")</f>
        <v>LeBron James</v>
      </c>
      <c r="C1006" s="162" t="str">
        <f>IFERROR(__xludf.DUMMYFUNCTION("""COMPUTED_VALUE"""),"2015-16")</f>
        <v>2015-16</v>
      </c>
      <c r="D1006" s="163" t="str">
        <f>IFERROR(__xludf.DUMMYFUNCTION("""COMPUTED_VALUE"""),"CLE")</f>
        <v>CLE</v>
      </c>
      <c r="E1006" s="164" t="str">
        <f>IFERROR(__xludf.DUMMYFUNCTION("""COMPUTED_VALUE"""),"Shot Creator")</f>
        <v>Shot Creator</v>
      </c>
      <c r="F1006" s="164">
        <f>IFERROR(__xludf.DUMMYFUNCTION("""COMPUTED_VALUE"""),2708.57833333333)</f>
        <v>2708.578333</v>
      </c>
      <c r="G1006" s="163">
        <f>IFERROR(__xludf.DUMMYFUNCTION("""COMPUTED_VALUE"""),76.0)</f>
        <v>76</v>
      </c>
      <c r="H1006" s="163" t="str">
        <f>IFERROR(__xludf.DUMMYFUNCTION("""COMPUTED_VALUE"""),"SF")</f>
        <v>SF</v>
      </c>
      <c r="I1006" s="163">
        <f>IFERROR(__xludf.DUMMYFUNCTION("""COMPUTED_VALUE"""),31.0)</f>
        <v>31</v>
      </c>
      <c r="J1006" s="165">
        <f>IFERROR(__xludf.DUMMYFUNCTION("""COMPUTED_VALUE"""),6.85645598566961)</f>
        <v>6.856455986</v>
      </c>
      <c r="K1006" s="165">
        <f>IFERROR(__xludf.DUMMYFUNCTION("""COMPUTED_VALUE"""),5.35701668594831)</f>
        <v>5.357016686</v>
      </c>
      <c r="L1006" s="165">
        <f>IFERROR(__xludf.DUMMYFUNCTION("""COMPUTED_VALUE"""),1.49943929972129)</f>
        <v>1.4994393</v>
      </c>
      <c r="M1006" s="166">
        <f t="shared" si="2"/>
        <v>15.93782958</v>
      </c>
      <c r="N1006" s="167">
        <f t="shared" si="3"/>
        <v>35.6391886</v>
      </c>
      <c r="O1006" s="163">
        <f t="shared" ref="O1006:Q1006" si="1010">rank(I1006,I:I)</f>
        <v>490</v>
      </c>
      <c r="P1006" s="163">
        <f t="shared" si="1010"/>
        <v>3</v>
      </c>
      <c r="Q1006" s="163">
        <f t="shared" si="1010"/>
        <v>23</v>
      </c>
      <c r="R1006" s="163">
        <f>IFERROR(__xludf.DUMMYFUNCTION("RANK(M1006,filter(M:M,C:C=C1006))"),1.0)</f>
        <v>1</v>
      </c>
      <c r="S1006" s="161" t="b">
        <f t="shared" si="5"/>
        <v>0</v>
      </c>
      <c r="T1006" s="161" t="b">
        <f t="array" ref="T1006">index('Query Tool'!B:B,match(H1006,'Query Tool'!C:C,0))</f>
        <v>1</v>
      </c>
      <c r="U1006" s="161" t="b">
        <f t="array" ref="U1006">index('Query Tool'!B:B,match(C1006,'Query Tool'!C:C,0))</f>
        <v>0</v>
      </c>
      <c r="V1006" s="161" t="b">
        <f>F1006&gt;='Query Tool'!C$32</f>
        <v>1</v>
      </c>
      <c r="W1006" s="161" t="b">
        <f t="array" ref="W1006">index(Dropdowns!B:B,match(I1006,Dropdowns!A:A,0))</f>
        <v>1</v>
      </c>
      <c r="X1006" s="161" t="b">
        <f t="array" ref="X1006">index('Query Tool'!B:B,match(D1006,'Query Tool'!C:C,0))</f>
        <v>1</v>
      </c>
      <c r="Y1006" s="161" t="str">
        <f t="shared" si="6"/>
        <v>jamesle01,2015-16</v>
      </c>
      <c r="Z1006" s="168">
        <f t="array" ref="Z1006">iferror(index(I:I,match($A1006&amp;","&amp;index('Year Conversion'!$A:$A,match($C1006,'Year Conversion'!$B:$B,0)),$Y:$Y,0))-I1006,"")</f>
        <v>1</v>
      </c>
      <c r="AA1006" s="168">
        <f t="array" ref="AA1006">iferror(index(J:J,match($A1006&amp;","&amp;index('Year Conversion'!$A:$A,match($C1006,'Year Conversion'!$B:$B,0)),$Y:$Y,0))-J1006,"")</f>
        <v>-1.162439281</v>
      </c>
      <c r="AB1006" s="168">
        <f t="array" ref="AB1006">iferror(index(K:K,match($A1006&amp;","&amp;index('Year Conversion'!$A:$A,match($C1006,'Year Conversion'!$B:$B,0)),$Y:$Y,0))-K1006,"")</f>
        <v>0.1286991693</v>
      </c>
      <c r="AC1006" s="168" t="str">
        <f t="shared" si="7"/>
        <v>CLE,2015-16</v>
      </c>
    </row>
    <row r="1007">
      <c r="A1007" s="161" t="str">
        <f>IFERROR(__xludf.DUMMYFUNCTION("""COMPUTED_VALUE"""),"anthoca01")</f>
        <v>anthoca01</v>
      </c>
      <c r="B1007" s="161" t="str">
        <f>IFERROR(__xludf.DUMMYFUNCTION("""COMPUTED_VALUE"""),"Carmelo Anthony")</f>
        <v>Carmelo Anthony</v>
      </c>
      <c r="C1007" s="162" t="str">
        <f>IFERROR(__xludf.DUMMYFUNCTION("""COMPUTED_VALUE"""),"2015-16")</f>
        <v>2015-16</v>
      </c>
      <c r="D1007" s="163" t="str">
        <f>IFERROR(__xludf.DUMMYFUNCTION("""COMPUTED_VALUE"""),"NYK")</f>
        <v>NYK</v>
      </c>
      <c r="E1007" s="164" t="str">
        <f>IFERROR(__xludf.DUMMYFUNCTION("""COMPUTED_VALUE"""),"Shot Creator")</f>
        <v>Shot Creator</v>
      </c>
      <c r="F1007" s="164">
        <f>IFERROR(__xludf.DUMMYFUNCTION("""COMPUTED_VALUE"""),2529.8)</f>
        <v>2529.8</v>
      </c>
      <c r="G1007" s="163">
        <f>IFERROR(__xludf.DUMMYFUNCTION("""COMPUTED_VALUE"""),72.0)</f>
        <v>72</v>
      </c>
      <c r="H1007" s="163" t="str">
        <f>IFERROR(__xludf.DUMMYFUNCTION("""COMPUTED_VALUE"""),"SF")</f>
        <v>SF</v>
      </c>
      <c r="I1007" s="163">
        <f>IFERROR(__xludf.DUMMYFUNCTION("""COMPUTED_VALUE"""),31.0)</f>
        <v>31</v>
      </c>
      <c r="J1007" s="165">
        <f>IFERROR(__xludf.DUMMYFUNCTION("""COMPUTED_VALUE"""),2.01105865509541)</f>
        <v>2.011058655</v>
      </c>
      <c r="K1007" s="165">
        <f>IFERROR(__xludf.DUMMYFUNCTION("""COMPUTED_VALUE"""),2.44797217618722)</f>
        <v>2.447972176</v>
      </c>
      <c r="L1007" s="165">
        <f>IFERROR(__xludf.DUMMYFUNCTION("""COMPUTED_VALUE"""),-0.436913521091802)</f>
        <v>-0.4369135211</v>
      </c>
      <c r="M1007" s="166">
        <f t="shared" si="2"/>
        <v>7.310958268</v>
      </c>
      <c r="N1007" s="167">
        <f t="shared" si="3"/>
        <v>35.13611111</v>
      </c>
      <c r="O1007" s="163">
        <f t="shared" ref="O1007:Q1007" si="1011">rank(I1007,I:I)</f>
        <v>490</v>
      </c>
      <c r="P1007" s="163">
        <f t="shared" si="1011"/>
        <v>323</v>
      </c>
      <c r="Q1007" s="163">
        <f t="shared" si="1011"/>
        <v>164</v>
      </c>
      <c r="R1007" s="163">
        <f>IFERROR(__xludf.DUMMYFUNCTION("RANK(M1007,filter(M:M,C:C=C1007))"),28.0)</f>
        <v>28</v>
      </c>
      <c r="S1007" s="161" t="b">
        <f t="shared" si="5"/>
        <v>0</v>
      </c>
      <c r="T1007" s="161" t="b">
        <f t="array" ref="T1007">index('Query Tool'!B:B,match(H1007,'Query Tool'!C:C,0))</f>
        <v>1</v>
      </c>
      <c r="U1007" s="161" t="b">
        <f t="array" ref="U1007">index('Query Tool'!B:B,match(C1007,'Query Tool'!C:C,0))</f>
        <v>0</v>
      </c>
      <c r="V1007" s="161" t="b">
        <f>F1007&gt;='Query Tool'!C$32</f>
        <v>1</v>
      </c>
      <c r="W1007" s="161" t="b">
        <f t="array" ref="W1007">index(Dropdowns!B:B,match(I1007,Dropdowns!A:A,0))</f>
        <v>1</v>
      </c>
      <c r="X1007" s="161" t="b">
        <f t="array" ref="X1007">index('Query Tool'!B:B,match(D1007,'Query Tool'!C:C,0))</f>
        <v>1</v>
      </c>
      <c r="Y1007" s="161" t="str">
        <f t="shared" si="6"/>
        <v>anthoca01,2015-16</v>
      </c>
      <c r="Z1007" s="168">
        <f t="array" ref="Z1007">iferror(index(I:I,match($A1007&amp;","&amp;index('Year Conversion'!$A:$A,match($C1007,'Year Conversion'!$B:$B,0)),$Y:$Y,0))-I1007,"")</f>
        <v>1</v>
      </c>
      <c r="AA1007" s="168">
        <f t="array" ref="AA1007">iferror(index(J:J,match($A1007&amp;","&amp;index('Year Conversion'!$A:$A,match($C1007,'Year Conversion'!$B:$B,0)),$Y:$Y,0))-J1007,"")</f>
        <v>-2.570985343</v>
      </c>
      <c r="AB1007" s="168">
        <f t="array" ref="AB1007">iferror(index(K:K,match($A1007&amp;","&amp;index('Year Conversion'!$A:$A,match($C1007,'Year Conversion'!$B:$B,0)),$Y:$Y,0))-K1007,"")</f>
        <v>-1.386405223</v>
      </c>
      <c r="AC1007" s="168" t="str">
        <f t="shared" si="7"/>
        <v>NYK,2015-16</v>
      </c>
    </row>
    <row r="1008">
      <c r="A1008" s="161" t="str">
        <f>IFERROR(__xludf.DUMMYFUNCTION("""COMPUTED_VALUE"""),"boshch01")</f>
        <v>boshch01</v>
      </c>
      <c r="B1008" s="161" t="str">
        <f>IFERROR(__xludf.DUMMYFUNCTION("""COMPUTED_VALUE"""),"Chris Bosh")</f>
        <v>Chris Bosh</v>
      </c>
      <c r="C1008" s="162" t="str">
        <f>IFERROR(__xludf.DUMMYFUNCTION("""COMPUTED_VALUE"""),"2015-16")</f>
        <v>2015-16</v>
      </c>
      <c r="D1008" s="163" t="str">
        <f>IFERROR(__xludf.DUMMYFUNCTION("""COMPUTED_VALUE"""),"MIA")</f>
        <v>MIA</v>
      </c>
      <c r="E1008" s="164" t="str">
        <f>IFERROR(__xludf.DUMMYFUNCTION("""COMPUTED_VALUE"""),"Stretch Big")</f>
        <v>Stretch Big</v>
      </c>
      <c r="F1008" s="164">
        <f>IFERROR(__xludf.DUMMYFUNCTION("""COMPUTED_VALUE"""),1777.91833333333)</f>
        <v>1777.918333</v>
      </c>
      <c r="G1008" s="163">
        <f>IFERROR(__xludf.DUMMYFUNCTION("""COMPUTED_VALUE"""),53.0)</f>
        <v>53</v>
      </c>
      <c r="H1008" s="163" t="str">
        <f>IFERROR(__xludf.DUMMYFUNCTION("""COMPUTED_VALUE"""),"PF")</f>
        <v>PF</v>
      </c>
      <c r="I1008" s="163">
        <f>IFERROR(__xludf.DUMMYFUNCTION("""COMPUTED_VALUE"""),31.0)</f>
        <v>31</v>
      </c>
      <c r="J1008" s="165">
        <f>IFERROR(__xludf.DUMMYFUNCTION("""COMPUTED_VALUE"""),2.34585256989849)</f>
        <v>2.34585257</v>
      </c>
      <c r="K1008" s="165">
        <f>IFERROR(__xludf.DUMMYFUNCTION("""COMPUTED_VALUE"""),1.31125510806807)</f>
        <v>1.311255108</v>
      </c>
      <c r="L1008" s="165">
        <f>IFERROR(__xludf.DUMMYFUNCTION("""COMPUTED_VALUE"""),1.03459746183042)</f>
        <v>1.034597462</v>
      </c>
      <c r="M1008" s="166">
        <f t="shared" si="2"/>
        <v>5.53152308</v>
      </c>
      <c r="N1008" s="167">
        <f t="shared" si="3"/>
        <v>33.54562893</v>
      </c>
      <c r="O1008" s="163">
        <f t="shared" ref="O1008:Q1008" si="1012">rank(I1008,I:I)</f>
        <v>490</v>
      </c>
      <c r="P1008" s="163">
        <f t="shared" si="1012"/>
        <v>249</v>
      </c>
      <c r="Q1008" s="163">
        <f t="shared" si="1012"/>
        <v>381</v>
      </c>
      <c r="R1008" s="163">
        <f>IFERROR(__xludf.DUMMYFUNCTION("RANK(M1008,filter(M:M,C:C=C1008))"),52.0)</f>
        <v>52</v>
      </c>
      <c r="S1008" s="161" t="b">
        <f t="shared" si="5"/>
        <v>0</v>
      </c>
      <c r="T1008" s="161" t="b">
        <f t="array" ref="T1008">index('Query Tool'!B:B,match(H1008,'Query Tool'!C:C,0))</f>
        <v>1</v>
      </c>
      <c r="U1008" s="161" t="b">
        <f t="array" ref="U1008">index('Query Tool'!B:B,match(C1008,'Query Tool'!C:C,0))</f>
        <v>0</v>
      </c>
      <c r="V1008" s="161" t="b">
        <f>F1008&gt;='Query Tool'!C$32</f>
        <v>1</v>
      </c>
      <c r="W1008" s="161" t="b">
        <f t="array" ref="W1008">index(Dropdowns!B:B,match(I1008,Dropdowns!A:A,0))</f>
        <v>1</v>
      </c>
      <c r="X1008" s="161" t="b">
        <f t="array" ref="X1008">index('Query Tool'!B:B,match(D1008,'Query Tool'!C:C,0))</f>
        <v>1</v>
      </c>
      <c r="Y1008" s="161" t="str">
        <f t="shared" si="6"/>
        <v>boshch01,2015-16</v>
      </c>
      <c r="Z1008" s="168" t="str">
        <f t="array" ref="Z1008">iferror(index(I:I,match($A1008&amp;","&amp;index('Year Conversion'!$A:$A,match($C1008,'Year Conversion'!$B:$B,0)),$Y:$Y,0))-I1008,"")</f>
        <v/>
      </c>
      <c r="AA1008" s="168" t="str">
        <f t="array" ref="AA1008">iferror(index(J:J,match($A1008&amp;","&amp;index('Year Conversion'!$A:$A,match($C1008,'Year Conversion'!$B:$B,0)),$Y:$Y,0))-J1008,"")</f>
        <v/>
      </c>
      <c r="AB1008" s="168" t="str">
        <f t="array" ref="AB1008">iferror(index(K:K,match($A1008&amp;","&amp;index('Year Conversion'!$A:$A,match($C1008,'Year Conversion'!$B:$B,0)),$Y:$Y,0))-K1008,"")</f>
        <v/>
      </c>
      <c r="AC1008" s="168" t="str">
        <f t="shared" si="7"/>
        <v>MIA,2015-16</v>
      </c>
    </row>
    <row r="1009">
      <c r="A1009" s="161" t="str">
        <f>IFERROR(__xludf.DUMMYFUNCTION("""COMPUTED_VALUE"""),"wadedw01")</f>
        <v>wadedw01</v>
      </c>
      <c r="B1009" s="161" t="str">
        <f>IFERROR(__xludf.DUMMYFUNCTION("""COMPUTED_VALUE"""),"Dwyane Wade")</f>
        <v>Dwyane Wade</v>
      </c>
      <c r="C1009" s="162" t="str">
        <f>IFERROR(__xludf.DUMMYFUNCTION("""COMPUTED_VALUE"""),"2015-16")</f>
        <v>2015-16</v>
      </c>
      <c r="D1009" s="163" t="str">
        <f>IFERROR(__xludf.DUMMYFUNCTION("""COMPUTED_VALUE"""),"MIA")</f>
        <v>MIA</v>
      </c>
      <c r="E1009" s="164" t="str">
        <f>IFERROR(__xludf.DUMMYFUNCTION("""COMPUTED_VALUE"""),"Shot Creator")</f>
        <v>Shot Creator</v>
      </c>
      <c r="F1009" s="164">
        <f>IFERROR(__xludf.DUMMYFUNCTION("""COMPUTED_VALUE"""),2257.995)</f>
        <v>2257.995</v>
      </c>
      <c r="G1009" s="163">
        <f>IFERROR(__xludf.DUMMYFUNCTION("""COMPUTED_VALUE"""),74.0)</f>
        <v>74</v>
      </c>
      <c r="H1009" s="163" t="str">
        <f>IFERROR(__xludf.DUMMYFUNCTION("""COMPUTED_VALUE"""),"SG")</f>
        <v>SG</v>
      </c>
      <c r="I1009" s="163">
        <f>IFERROR(__xludf.DUMMYFUNCTION("""COMPUTED_VALUE"""),34.0)</f>
        <v>34</v>
      </c>
      <c r="J1009" s="165">
        <f>IFERROR(__xludf.DUMMYFUNCTION("""COMPUTED_VALUE"""),-0.0699268151857781)</f>
        <v>-0.06992681519</v>
      </c>
      <c r="K1009" s="165">
        <f>IFERROR(__xludf.DUMMYFUNCTION("""COMPUTED_VALUE"""),0.936640098690934)</f>
        <v>0.9366400987</v>
      </c>
      <c r="L1009" s="165">
        <f>IFERROR(__xludf.DUMMYFUNCTION("""COMPUTED_VALUE"""),-1.00656691387671)</f>
        <v>-1.006566914</v>
      </c>
      <c r="M1009" s="166">
        <f t="shared" si="2"/>
        <v>3.374625552</v>
      </c>
      <c r="N1009" s="167">
        <f t="shared" si="3"/>
        <v>30.51344595</v>
      </c>
      <c r="O1009" s="163">
        <f t="shared" ref="O1009:Q1009" si="1013">rank(I1009,I:I)</f>
        <v>164</v>
      </c>
      <c r="P1009" s="163">
        <f t="shared" si="1013"/>
        <v>1357</v>
      </c>
      <c r="Q1009" s="163">
        <f t="shared" si="1013"/>
        <v>534</v>
      </c>
      <c r="R1009" s="163">
        <f>IFERROR(__xludf.DUMMYFUNCTION("RANK(M1009,filter(M:M,C:C=C1009))"),107.0)</f>
        <v>107</v>
      </c>
      <c r="S1009" s="161" t="b">
        <f t="shared" si="5"/>
        <v>0</v>
      </c>
      <c r="T1009" s="161" t="b">
        <f t="array" ref="T1009">index('Query Tool'!B:B,match(H1009,'Query Tool'!C:C,0))</f>
        <v>1</v>
      </c>
      <c r="U1009" s="161" t="b">
        <f t="array" ref="U1009">index('Query Tool'!B:B,match(C1009,'Query Tool'!C:C,0))</f>
        <v>0</v>
      </c>
      <c r="V1009" s="161" t="b">
        <f>F1009&gt;='Query Tool'!C$32</f>
        <v>1</v>
      </c>
      <c r="W1009" s="161" t="b">
        <f t="array" ref="W1009">index(Dropdowns!B:B,match(I1009,Dropdowns!A:A,0))</f>
        <v>1</v>
      </c>
      <c r="X1009" s="161" t="b">
        <f t="array" ref="X1009">index('Query Tool'!B:B,match(D1009,'Query Tool'!C:C,0))</f>
        <v>1</v>
      </c>
      <c r="Y1009" s="161" t="str">
        <f t="shared" si="6"/>
        <v>wadedw01,2015-16</v>
      </c>
      <c r="Z1009" s="168">
        <f t="array" ref="Z1009">iferror(index(I:I,match($A1009&amp;","&amp;index('Year Conversion'!$A:$A,match($C1009,'Year Conversion'!$B:$B,0)),$Y:$Y,0))-I1009,"")</f>
        <v>1</v>
      </c>
      <c r="AA1009" s="168">
        <f t="array" ref="AA1009">iferror(index(J:J,match($A1009&amp;","&amp;index('Year Conversion'!$A:$A,match($C1009,'Year Conversion'!$B:$B,0)),$Y:$Y,0))-J1009,"")</f>
        <v>-0.4026970978</v>
      </c>
      <c r="AB1009" s="168">
        <f t="array" ref="AB1009">iferror(index(K:K,match($A1009&amp;","&amp;index('Year Conversion'!$A:$A,match($C1009,'Year Conversion'!$B:$B,0)),$Y:$Y,0))-K1009,"")</f>
        <v>-1.029035351</v>
      </c>
      <c r="AC1009" s="168" t="str">
        <f t="shared" si="7"/>
        <v>MIA,2015-16</v>
      </c>
    </row>
    <row r="1010">
      <c r="A1010" s="161" t="str">
        <f>IFERROR(__xludf.DUMMYFUNCTION("""COMPUTED_VALUE"""),"kamanch01")</f>
        <v>kamanch01</v>
      </c>
      <c r="B1010" s="161" t="str">
        <f>IFERROR(__xludf.DUMMYFUNCTION("""COMPUTED_VALUE"""),"Chris Kaman")</f>
        <v>Chris Kaman</v>
      </c>
      <c r="C1010" s="162" t="str">
        <f>IFERROR(__xludf.DUMMYFUNCTION("""COMPUTED_VALUE"""),"2015-16")</f>
        <v>2015-16</v>
      </c>
      <c r="D1010" s="163" t="str">
        <f>IFERROR(__xludf.DUMMYFUNCTION("""COMPUTED_VALUE"""),"POR")</f>
        <v>POR</v>
      </c>
      <c r="E1010" s="164" t="str">
        <f>IFERROR(__xludf.DUMMYFUNCTION("""COMPUTED_VALUE"""),"Post Scorer")</f>
        <v>Post Scorer</v>
      </c>
      <c r="F1010" s="164">
        <f>IFERROR(__xludf.DUMMYFUNCTION("""COMPUTED_VALUE"""),111.766666666667)</f>
        <v>111.7666667</v>
      </c>
      <c r="G1010" s="163">
        <f>IFERROR(__xludf.DUMMYFUNCTION("""COMPUTED_VALUE"""),16.0)</f>
        <v>16</v>
      </c>
      <c r="H1010" s="163" t="str">
        <f>IFERROR(__xludf.DUMMYFUNCTION("""COMPUTED_VALUE"""),"C")</f>
        <v>C</v>
      </c>
      <c r="I1010" s="163">
        <f>IFERROR(__xludf.DUMMYFUNCTION("""COMPUTED_VALUE"""),33.0)</f>
        <v>33</v>
      </c>
      <c r="J1010" s="165">
        <f>IFERROR(__xludf.DUMMYFUNCTION("""COMPUTED_VALUE"""),-1.02340151448521)</f>
        <v>-1.023401514</v>
      </c>
      <c r="K1010" s="165">
        <f>IFERROR(__xludf.DUMMYFUNCTION("""COMPUTED_VALUE"""),-0.641239693978362)</f>
        <v>-0.641239694</v>
      </c>
      <c r="L1010" s="165">
        <f>IFERROR(__xludf.DUMMYFUNCTION("""COMPUTED_VALUE"""),-0.382161820506848)</f>
        <v>-0.3821618205</v>
      </c>
      <c r="M1010" s="166">
        <f t="shared" si="2"/>
        <v>0.09530365075</v>
      </c>
      <c r="N1010" s="167">
        <f t="shared" si="3"/>
        <v>6.985416667</v>
      </c>
      <c r="O1010" s="163">
        <f t="shared" ref="O1010:Q1010" si="1014">rank(I1010,I:I)</f>
        <v>246</v>
      </c>
      <c r="P1010" s="163">
        <f t="shared" si="1014"/>
        <v>2528</v>
      </c>
      <c r="Q1010" s="163">
        <f t="shared" si="1014"/>
        <v>2322</v>
      </c>
      <c r="R1010" s="163">
        <f>IFERROR(__xludf.DUMMYFUNCTION("RANK(M1010,filter(M:M,C:C=C1010))"),372.0)</f>
        <v>372</v>
      </c>
      <c r="S1010" s="161" t="b">
        <f t="shared" si="5"/>
        <v>0</v>
      </c>
      <c r="T1010" s="161" t="b">
        <f t="array" ref="T1010">index('Query Tool'!B:B,match(H1010,'Query Tool'!C:C,0))</f>
        <v>1</v>
      </c>
      <c r="U1010" s="161" t="b">
        <f t="array" ref="U1010">index('Query Tool'!B:B,match(C1010,'Query Tool'!C:C,0))</f>
        <v>0</v>
      </c>
      <c r="V1010" s="161" t="b">
        <f>F1010&gt;='Query Tool'!C$32</f>
        <v>0</v>
      </c>
      <c r="W1010" s="161" t="b">
        <f t="array" ref="W1010">index(Dropdowns!B:B,match(I1010,Dropdowns!A:A,0))</f>
        <v>1</v>
      </c>
      <c r="X1010" s="161" t="b">
        <f t="array" ref="X1010">index('Query Tool'!B:B,match(D1010,'Query Tool'!C:C,0))</f>
        <v>1</v>
      </c>
      <c r="Y1010" s="161" t="str">
        <f t="shared" si="6"/>
        <v>kamanch01,2015-16</v>
      </c>
      <c r="Z1010" s="168" t="str">
        <f t="array" ref="Z1010">iferror(index(I:I,match($A1010&amp;","&amp;index('Year Conversion'!$A:$A,match($C1010,'Year Conversion'!$B:$B,0)),$Y:$Y,0))-I1010,"")</f>
        <v/>
      </c>
      <c r="AA1010" s="168" t="str">
        <f t="array" ref="AA1010">iferror(index(J:J,match($A1010&amp;","&amp;index('Year Conversion'!$A:$A,match($C1010,'Year Conversion'!$B:$B,0)),$Y:$Y,0))-J1010,"")</f>
        <v/>
      </c>
      <c r="AB1010" s="168" t="str">
        <f t="array" ref="AB1010">iferror(index(K:K,match($A1010&amp;","&amp;index('Year Conversion'!$A:$A,match($C1010,'Year Conversion'!$B:$B,0)),$Y:$Y,0))-K1010,"")</f>
        <v/>
      </c>
      <c r="AC1010" s="168" t="str">
        <f t="shared" si="7"/>
        <v>POR,2015-16</v>
      </c>
    </row>
    <row r="1011">
      <c r="A1011" s="161" t="str">
        <f>IFERROR(__xludf.DUMMYFUNCTION("""COMPUTED_VALUE"""),"hinriki01")</f>
        <v>hinriki01</v>
      </c>
      <c r="B1011" s="161" t="str">
        <f>IFERROR(__xludf.DUMMYFUNCTION("""COMPUTED_VALUE"""),"Kirk Hinrich")</f>
        <v>Kirk Hinrich</v>
      </c>
      <c r="C1011" s="162" t="str">
        <f>IFERROR(__xludf.DUMMYFUNCTION("""COMPUTED_VALUE"""),"2015-16")</f>
        <v>2015-16</v>
      </c>
      <c r="D1011" s="163" t="str">
        <f>IFERROR(__xludf.DUMMYFUNCTION("""COMPUTED_VALUE"""),"TOT")</f>
        <v>TOT</v>
      </c>
      <c r="E1011" s="164" t="str">
        <f>IFERROR(__xludf.DUMMYFUNCTION("""COMPUTED_VALUE"""),"Secondary Ball Handler")</f>
        <v>Secondary Ball Handler</v>
      </c>
      <c r="F1011" s="164">
        <f>IFERROR(__xludf.DUMMYFUNCTION("""COMPUTED_VALUE"""),630.998333333333)</f>
        <v>630.9983333</v>
      </c>
      <c r="G1011" s="163">
        <f>IFERROR(__xludf.DUMMYFUNCTION("""COMPUTED_VALUE"""),46.0)</f>
        <v>46</v>
      </c>
      <c r="H1011" s="163" t="str">
        <f>IFERROR(__xludf.DUMMYFUNCTION("""COMPUTED_VALUE"""),"PG")</f>
        <v>PG</v>
      </c>
      <c r="I1011" s="163">
        <f>IFERROR(__xludf.DUMMYFUNCTION("""COMPUTED_VALUE"""),35.0)</f>
        <v>35</v>
      </c>
      <c r="J1011" s="165">
        <f>IFERROR(__xludf.DUMMYFUNCTION("""COMPUTED_VALUE"""),-2.22457081800954)</f>
        <v>-2.224570818</v>
      </c>
      <c r="K1011" s="165">
        <f>IFERROR(__xludf.DUMMYFUNCTION("""COMPUTED_VALUE"""),-2.12145361162034)</f>
        <v>-2.121453612</v>
      </c>
      <c r="L1011" s="165">
        <f>IFERROR(__xludf.DUMMYFUNCTION("""COMPUTED_VALUE"""),-0.103117206389201)</f>
        <v>-0.1031172064</v>
      </c>
      <c r="M1011" s="166">
        <f t="shared" si="2"/>
        <v>0.03288133259</v>
      </c>
      <c r="N1011" s="167">
        <f t="shared" si="3"/>
        <v>13.71735507</v>
      </c>
      <c r="O1011" s="163">
        <f t="shared" ref="O1011:Q1011" si="1015">rank(I1011,I:I)</f>
        <v>104</v>
      </c>
      <c r="P1011" s="163">
        <f t="shared" si="1015"/>
        <v>3616</v>
      </c>
      <c r="Q1011" s="163">
        <f t="shared" si="1015"/>
        <v>3774</v>
      </c>
      <c r="R1011" s="163">
        <f>IFERROR(__xludf.DUMMYFUNCTION("RANK(M1011,filter(M:M,C:C=C1011))"),410.0)</f>
        <v>410</v>
      </c>
      <c r="S1011" s="161" t="b">
        <f t="shared" si="5"/>
        <v>0</v>
      </c>
      <c r="T1011" s="161" t="b">
        <f t="array" ref="T1011">index('Query Tool'!B:B,match(H1011,'Query Tool'!C:C,0))</f>
        <v>1</v>
      </c>
      <c r="U1011" s="161" t="b">
        <f t="array" ref="U1011">index('Query Tool'!B:B,match(C1011,'Query Tool'!C:C,0))</f>
        <v>0</v>
      </c>
      <c r="V1011" s="161" t="b">
        <f>F1011&gt;='Query Tool'!C$32</f>
        <v>1</v>
      </c>
      <c r="W1011" s="161" t="b">
        <f t="array" ref="W1011">index(Dropdowns!B:B,match(I1011,Dropdowns!A:A,0))</f>
        <v>1</v>
      </c>
      <c r="X1011" s="161" t="b">
        <f t="array" ref="X1011">index('Query Tool'!B:B,match(D1011,'Query Tool'!C:C,0))</f>
        <v>1</v>
      </c>
      <c r="Y1011" s="161" t="str">
        <f t="shared" si="6"/>
        <v>hinriki01,2015-16</v>
      </c>
      <c r="Z1011" s="168" t="str">
        <f t="array" ref="Z1011">iferror(index(I:I,match($A1011&amp;","&amp;index('Year Conversion'!$A:$A,match($C1011,'Year Conversion'!$B:$B,0)),$Y:$Y,0))-I1011,"")</f>
        <v/>
      </c>
      <c r="AA1011" s="168" t="str">
        <f t="array" ref="AA1011">iferror(index(J:J,match($A1011&amp;","&amp;index('Year Conversion'!$A:$A,match($C1011,'Year Conversion'!$B:$B,0)),$Y:$Y,0))-J1011,"")</f>
        <v/>
      </c>
      <c r="AB1011" s="168" t="str">
        <f t="array" ref="AB1011">iferror(index(K:K,match($A1011&amp;","&amp;index('Year Conversion'!$A:$A,match($C1011,'Year Conversion'!$B:$B,0)),$Y:$Y,0))-K1011,"")</f>
        <v/>
      </c>
      <c r="AC1011" s="168" t="str">
        <f t="shared" si="7"/>
        <v>TOT,2015-16</v>
      </c>
    </row>
    <row r="1012">
      <c r="A1012" s="161" t="str">
        <f>IFERROR(__xludf.DUMMYFUNCTION("""COMPUTED_VALUE"""),"collini01")</f>
        <v>collini01</v>
      </c>
      <c r="B1012" s="161" t="str">
        <f>IFERROR(__xludf.DUMMYFUNCTION("""COMPUTED_VALUE"""),"Nick Collison")</f>
        <v>Nick Collison</v>
      </c>
      <c r="C1012" s="162" t="str">
        <f>IFERROR(__xludf.DUMMYFUNCTION("""COMPUTED_VALUE"""),"2015-16")</f>
        <v>2015-16</v>
      </c>
      <c r="D1012" s="163" t="str">
        <f>IFERROR(__xludf.DUMMYFUNCTION("""COMPUTED_VALUE"""),"OKC")</f>
        <v>OKC</v>
      </c>
      <c r="E1012" s="164" t="str">
        <f>IFERROR(__xludf.DUMMYFUNCTION("""COMPUTED_VALUE"""),"Roll + Cut Big")</f>
        <v>Roll + Cut Big</v>
      </c>
      <c r="F1012" s="164">
        <f>IFERROR(__xludf.DUMMYFUNCTION("""COMPUTED_VALUE"""),699.278333333333)</f>
        <v>699.2783333</v>
      </c>
      <c r="G1012" s="163">
        <f>IFERROR(__xludf.DUMMYFUNCTION("""COMPUTED_VALUE"""),59.0)</f>
        <v>59</v>
      </c>
      <c r="H1012" s="163" t="str">
        <f>IFERROR(__xludf.DUMMYFUNCTION("""COMPUTED_VALUE"""),"PF")</f>
        <v>PF</v>
      </c>
      <c r="I1012" s="163">
        <f>IFERROR(__xludf.DUMMYFUNCTION("""COMPUTED_VALUE"""),35.0)</f>
        <v>35</v>
      </c>
      <c r="J1012" s="165">
        <f>IFERROR(__xludf.DUMMYFUNCTION("""COMPUTED_VALUE"""),-2.31973427813993)</f>
        <v>-2.319734278</v>
      </c>
      <c r="K1012" s="165">
        <f>IFERROR(__xludf.DUMMYFUNCTION("""COMPUTED_VALUE"""),-2.69594787501998)</f>
        <v>-2.695947875</v>
      </c>
      <c r="L1012" s="165">
        <f>IFERROR(__xludf.DUMMYFUNCTION("""COMPUTED_VALUE"""),0.376213596880057)</f>
        <v>0.3762135969</v>
      </c>
      <c r="M1012" s="166">
        <f t="shared" si="2"/>
        <v>-0.007473287508</v>
      </c>
      <c r="N1012" s="167">
        <f t="shared" si="3"/>
        <v>11.85217514</v>
      </c>
      <c r="O1012" s="163">
        <f t="shared" ref="O1012:Q1012" si="1016">rank(I1012,I:I)</f>
        <v>104</v>
      </c>
      <c r="P1012" s="163">
        <f t="shared" si="1016"/>
        <v>3664</v>
      </c>
      <c r="Q1012" s="163">
        <f t="shared" si="1016"/>
        <v>3930</v>
      </c>
      <c r="R1012" s="163">
        <f>IFERROR(__xludf.DUMMYFUNCTION("RANK(M1012,filter(M:M,C:C=C1012))"),429.0)</f>
        <v>429</v>
      </c>
      <c r="S1012" s="161" t="b">
        <f t="shared" si="5"/>
        <v>0</v>
      </c>
      <c r="T1012" s="161" t="b">
        <f t="array" ref="T1012">index('Query Tool'!B:B,match(H1012,'Query Tool'!C:C,0))</f>
        <v>1</v>
      </c>
      <c r="U1012" s="161" t="b">
        <f t="array" ref="U1012">index('Query Tool'!B:B,match(C1012,'Query Tool'!C:C,0))</f>
        <v>0</v>
      </c>
      <c r="V1012" s="161" t="b">
        <f>F1012&gt;='Query Tool'!C$32</f>
        <v>1</v>
      </c>
      <c r="W1012" s="161" t="b">
        <f t="array" ref="W1012">index(Dropdowns!B:B,match(I1012,Dropdowns!A:A,0))</f>
        <v>1</v>
      </c>
      <c r="X1012" s="161" t="b">
        <f t="array" ref="X1012">index('Query Tool'!B:B,match(D1012,'Query Tool'!C:C,0))</f>
        <v>1</v>
      </c>
      <c r="Y1012" s="161" t="str">
        <f t="shared" si="6"/>
        <v>collini01,2015-16</v>
      </c>
      <c r="Z1012" s="168">
        <f t="array" ref="Z1012">iferror(index(I:I,match($A1012&amp;","&amp;index('Year Conversion'!$A:$A,match($C1012,'Year Conversion'!$B:$B,0)),$Y:$Y,0))-I1012,"")</f>
        <v>1</v>
      </c>
      <c r="AA1012" s="168">
        <f t="array" ref="AA1012">iferror(index(J:J,match($A1012&amp;","&amp;index('Year Conversion'!$A:$A,match($C1012,'Year Conversion'!$B:$B,0)),$Y:$Y,0))-J1012,"")</f>
        <v>1.590470418</v>
      </c>
      <c r="AB1012" s="168">
        <f t="array" ref="AB1012">iferror(index(K:K,match($A1012&amp;","&amp;index('Year Conversion'!$A:$A,match($C1012,'Year Conversion'!$B:$B,0)),$Y:$Y,0))-K1012,"")</f>
        <v>1.946984239</v>
      </c>
      <c r="AC1012" s="168" t="str">
        <f t="shared" si="7"/>
        <v>OKC,2015-16</v>
      </c>
    </row>
    <row r="1013">
      <c r="A1013" s="161" t="str">
        <f>IFERROR(__xludf.DUMMYFUNCTION("""COMPUTED_VALUE"""),"westda01")</f>
        <v>westda01</v>
      </c>
      <c r="B1013" s="161" t="str">
        <f>IFERROR(__xludf.DUMMYFUNCTION("""COMPUTED_VALUE"""),"David West")</f>
        <v>David West</v>
      </c>
      <c r="C1013" s="162" t="str">
        <f>IFERROR(__xludf.DUMMYFUNCTION("""COMPUTED_VALUE"""),"2015-16")</f>
        <v>2015-16</v>
      </c>
      <c r="D1013" s="163" t="str">
        <f>IFERROR(__xludf.DUMMYFUNCTION("""COMPUTED_VALUE"""),"SAS")</f>
        <v>SAS</v>
      </c>
      <c r="E1013" s="164" t="str">
        <f>IFERROR(__xludf.DUMMYFUNCTION("""COMPUTED_VALUE"""),"Post Scorer")</f>
        <v>Post Scorer</v>
      </c>
      <c r="F1013" s="164">
        <f>IFERROR(__xludf.DUMMYFUNCTION("""COMPUTED_VALUE"""),1404.22833333333)</f>
        <v>1404.228333</v>
      </c>
      <c r="G1013" s="163">
        <f>IFERROR(__xludf.DUMMYFUNCTION("""COMPUTED_VALUE"""),78.0)</f>
        <v>78</v>
      </c>
      <c r="H1013" s="163" t="str">
        <f>IFERROR(__xludf.DUMMYFUNCTION("""COMPUTED_VALUE"""),"PF")</f>
        <v>PF</v>
      </c>
      <c r="I1013" s="163">
        <f>IFERROR(__xludf.DUMMYFUNCTION("""COMPUTED_VALUE"""),35.0)</f>
        <v>35</v>
      </c>
      <c r="J1013" s="165">
        <f>IFERROR(__xludf.DUMMYFUNCTION("""COMPUTED_VALUE"""),1.40899873085617)</f>
        <v>1.408998731</v>
      </c>
      <c r="K1013" s="165">
        <f>IFERROR(__xludf.DUMMYFUNCTION("""COMPUTED_VALUE"""),-0.230061020394219)</f>
        <v>-0.2300610204</v>
      </c>
      <c r="L1013" s="165">
        <f>IFERROR(__xludf.DUMMYFUNCTION("""COMPUTED_VALUE"""),1.63905975125039)</f>
        <v>1.639059751</v>
      </c>
      <c r="M1013" s="166">
        <f t="shared" si="2"/>
        <v>3.495107552</v>
      </c>
      <c r="N1013" s="167">
        <f t="shared" si="3"/>
        <v>18.00292735</v>
      </c>
      <c r="O1013" s="163">
        <f t="shared" ref="O1013:Q1013" si="1017">rank(I1013,I:I)</f>
        <v>104</v>
      </c>
      <c r="P1013" s="163">
        <f t="shared" si="1017"/>
        <v>491</v>
      </c>
      <c r="Q1013" s="163">
        <f t="shared" si="1017"/>
        <v>1624</v>
      </c>
      <c r="R1013" s="163">
        <f>IFERROR(__xludf.DUMMYFUNCTION("RANK(M1013,filter(M:M,C:C=C1013))"),101.0)</f>
        <v>101</v>
      </c>
      <c r="S1013" s="161" t="b">
        <f t="shared" si="5"/>
        <v>0</v>
      </c>
      <c r="T1013" s="161" t="b">
        <f t="array" ref="T1013">index('Query Tool'!B:B,match(H1013,'Query Tool'!C:C,0))</f>
        <v>1</v>
      </c>
      <c r="U1013" s="161" t="b">
        <f t="array" ref="U1013">index('Query Tool'!B:B,match(C1013,'Query Tool'!C:C,0))</f>
        <v>0</v>
      </c>
      <c r="V1013" s="161" t="b">
        <f>F1013&gt;='Query Tool'!C$32</f>
        <v>1</v>
      </c>
      <c r="W1013" s="161" t="b">
        <f t="array" ref="W1013">index(Dropdowns!B:B,match(I1013,Dropdowns!A:A,0))</f>
        <v>1</v>
      </c>
      <c r="X1013" s="161" t="b">
        <f t="array" ref="X1013">index('Query Tool'!B:B,match(D1013,'Query Tool'!C:C,0))</f>
        <v>1</v>
      </c>
      <c r="Y1013" s="161" t="str">
        <f t="shared" si="6"/>
        <v>westda01,2015-16</v>
      </c>
      <c r="Z1013" s="168">
        <f t="array" ref="Z1013">iferror(index(I:I,match($A1013&amp;","&amp;index('Year Conversion'!$A:$A,match($C1013,'Year Conversion'!$B:$B,0)),$Y:$Y,0))-I1013,"")</f>
        <v>1</v>
      </c>
      <c r="AA1013" s="168">
        <f t="array" ref="AA1013">iferror(index(J:J,match($A1013&amp;","&amp;index('Year Conversion'!$A:$A,match($C1013,'Year Conversion'!$B:$B,0)),$Y:$Y,0))-J1013,"")</f>
        <v>-1.561488167</v>
      </c>
      <c r="AB1013" s="168">
        <f t="array" ref="AB1013">iferror(index(K:K,match($A1013&amp;","&amp;index('Year Conversion'!$A:$A,match($C1013,'Year Conversion'!$B:$B,0)),$Y:$Y,0))-K1013,"")</f>
        <v>-1.040976431</v>
      </c>
      <c r="AC1013" s="168" t="str">
        <f t="shared" si="7"/>
        <v>SAS,2015-16</v>
      </c>
    </row>
    <row r="1014">
      <c r="A1014" s="161" t="str">
        <f>IFERROR(__xludf.DUMMYFUNCTION("""COMPUTED_VALUE"""),"jonesda02")</f>
        <v>jonesda02</v>
      </c>
      <c r="B1014" s="161" t="str">
        <f>IFERROR(__xludf.DUMMYFUNCTION("""COMPUTED_VALUE"""),"Dahntay Jones")</f>
        <v>Dahntay Jones</v>
      </c>
      <c r="C1014" s="162" t="str">
        <f>IFERROR(__xludf.DUMMYFUNCTION("""COMPUTED_VALUE"""),"2015-16")</f>
        <v>2015-16</v>
      </c>
      <c r="D1014" s="163" t="str">
        <f>IFERROR(__xludf.DUMMYFUNCTION("""COMPUTED_VALUE"""),"CLE")</f>
        <v>CLE</v>
      </c>
      <c r="E1014" s="164" t="str">
        <f>IFERROR(__xludf.DUMMYFUNCTION("""COMPUTED_VALUE"""),"Slasher")</f>
        <v>Slasher</v>
      </c>
      <c r="F1014" s="164">
        <f>IFERROR(__xludf.DUMMYFUNCTION("""COMPUTED_VALUE"""),42.35)</f>
        <v>42.35</v>
      </c>
      <c r="G1014" s="163">
        <f>IFERROR(__xludf.DUMMYFUNCTION("""COMPUTED_VALUE"""),1.0)</f>
        <v>1</v>
      </c>
      <c r="H1014" s="163" t="str">
        <f>IFERROR(__xludf.DUMMYFUNCTION("""COMPUTED_VALUE"""),"SF")</f>
        <v>SF</v>
      </c>
      <c r="I1014" s="163">
        <f>IFERROR(__xludf.DUMMYFUNCTION("""COMPUTED_VALUE"""),35.0)</f>
        <v>35</v>
      </c>
      <c r="J1014" s="165">
        <f>IFERROR(__xludf.DUMMYFUNCTION("""COMPUTED_VALUE"""),-0.845135007430109)</f>
        <v>-0.8451350074</v>
      </c>
      <c r="K1014" s="165">
        <f>IFERROR(__xludf.DUMMYFUNCTION("""COMPUTED_VALUE"""),-0.506874385845272)</f>
        <v>-0.5068743858</v>
      </c>
      <c r="L1014" s="165">
        <f>IFERROR(__xludf.DUMMYFUNCTION("""COMPUTED_VALUE"""),-0.338260621584837)</f>
        <v>-0.3382606216</v>
      </c>
      <c r="M1014" s="166">
        <f t="shared" si="2"/>
        <v>0.04118325466</v>
      </c>
      <c r="N1014" s="167">
        <f t="shared" si="3"/>
        <v>42.35</v>
      </c>
      <c r="O1014" s="163">
        <f t="shared" ref="O1014:Q1014" si="1018">rank(I1014,I:I)</f>
        <v>104</v>
      </c>
      <c r="P1014" s="163">
        <f t="shared" si="1018"/>
        <v>2342</v>
      </c>
      <c r="Q1014" s="163">
        <f t="shared" si="1018"/>
        <v>2116</v>
      </c>
      <c r="R1014" s="163">
        <f>IFERROR(__xludf.DUMMYFUNCTION("RANK(M1014,filter(M:M,C:C=C1014))"),406.0)</f>
        <v>406</v>
      </c>
      <c r="S1014" s="161" t="b">
        <f t="shared" si="5"/>
        <v>0</v>
      </c>
      <c r="T1014" s="161" t="b">
        <f t="array" ref="T1014">index('Query Tool'!B:B,match(H1014,'Query Tool'!C:C,0))</f>
        <v>1</v>
      </c>
      <c r="U1014" s="161" t="b">
        <f t="array" ref="U1014">index('Query Tool'!B:B,match(C1014,'Query Tool'!C:C,0))</f>
        <v>0</v>
      </c>
      <c r="V1014" s="161" t="b">
        <f>F1014&gt;='Query Tool'!C$32</f>
        <v>0</v>
      </c>
      <c r="W1014" s="161" t="b">
        <f t="array" ref="W1014">index(Dropdowns!B:B,match(I1014,Dropdowns!A:A,0))</f>
        <v>1</v>
      </c>
      <c r="X1014" s="161" t="b">
        <f t="array" ref="X1014">index('Query Tool'!B:B,match(D1014,'Query Tool'!C:C,0))</f>
        <v>1</v>
      </c>
      <c r="Y1014" s="161" t="str">
        <f t="shared" si="6"/>
        <v>jonesda02,2015-16</v>
      </c>
      <c r="Z1014" s="168">
        <f t="array" ref="Z1014">iferror(index(I:I,match($A1014&amp;","&amp;index('Year Conversion'!$A:$A,match($C1014,'Year Conversion'!$B:$B,0)),$Y:$Y,0))-I1014,"")</f>
        <v>1</v>
      </c>
      <c r="AA1014" s="168">
        <f t="array" ref="AA1014">iferror(index(J:J,match($A1014&amp;","&amp;index('Year Conversion'!$A:$A,match($C1014,'Year Conversion'!$B:$B,0)),$Y:$Y,0))-J1014,"")</f>
        <v>0.4151756121</v>
      </c>
      <c r="AB1014" s="168">
        <f t="array" ref="AB1014">iferror(index(K:K,match($A1014&amp;","&amp;index('Year Conversion'!$A:$A,match($C1014,'Year Conversion'!$B:$B,0)),$Y:$Y,0))-K1014,"")</f>
        <v>0.3525483329</v>
      </c>
      <c r="AC1014" s="168" t="str">
        <f t="shared" si="7"/>
        <v>CLE,2015-16</v>
      </c>
    </row>
    <row r="1015">
      <c r="A1015" s="161" t="str">
        <f>IFERROR(__xludf.DUMMYFUNCTION("""COMPUTED_VALUE"""),"diawbo01")</f>
        <v>diawbo01</v>
      </c>
      <c r="B1015" s="161" t="str">
        <f>IFERROR(__xludf.DUMMYFUNCTION("""COMPUTED_VALUE"""),"Boris Diaw")</f>
        <v>Boris Diaw</v>
      </c>
      <c r="C1015" s="162" t="str">
        <f>IFERROR(__xludf.DUMMYFUNCTION("""COMPUTED_VALUE"""),"2015-16")</f>
        <v>2015-16</v>
      </c>
      <c r="D1015" s="163" t="str">
        <f>IFERROR(__xludf.DUMMYFUNCTION("""COMPUTED_VALUE"""),"SAS")</f>
        <v>SAS</v>
      </c>
      <c r="E1015" s="164" t="str">
        <f>IFERROR(__xludf.DUMMYFUNCTION("""COMPUTED_VALUE"""),"Post Scorer")</f>
        <v>Post Scorer</v>
      </c>
      <c r="F1015" s="164">
        <f>IFERROR(__xludf.DUMMYFUNCTION("""COMPUTED_VALUE"""),1385.53)</f>
        <v>1385.53</v>
      </c>
      <c r="G1015" s="163">
        <f>IFERROR(__xludf.DUMMYFUNCTION("""COMPUTED_VALUE"""),76.0)</f>
        <v>76</v>
      </c>
      <c r="H1015" s="163" t="str">
        <f>IFERROR(__xludf.DUMMYFUNCTION("""COMPUTED_VALUE"""),"PF")</f>
        <v>PF</v>
      </c>
      <c r="I1015" s="163">
        <f>IFERROR(__xludf.DUMMYFUNCTION("""COMPUTED_VALUE"""),33.0)</f>
        <v>33</v>
      </c>
      <c r="J1015" s="165">
        <f>IFERROR(__xludf.DUMMYFUNCTION("""COMPUTED_VALUE"""),-0.631738614326135)</f>
        <v>-0.6317386143</v>
      </c>
      <c r="K1015" s="165">
        <f>IFERROR(__xludf.DUMMYFUNCTION("""COMPUTED_VALUE"""),-0.878043641711428)</f>
        <v>-0.8780436417</v>
      </c>
      <c r="L1015" s="165">
        <f>IFERROR(__xludf.DUMMYFUNCTION("""COMPUTED_VALUE"""),0.246305027385293)</f>
        <v>0.2463050274</v>
      </c>
      <c r="M1015" s="166">
        <f t="shared" si="2"/>
        <v>1.546238873</v>
      </c>
      <c r="N1015" s="167">
        <f t="shared" si="3"/>
        <v>18.23065789</v>
      </c>
      <c r="O1015" s="163">
        <f t="shared" ref="O1015:Q1015" si="1019">rank(I1015,I:I)</f>
        <v>246</v>
      </c>
      <c r="P1015" s="163">
        <f t="shared" si="1019"/>
        <v>2037</v>
      </c>
      <c r="Q1015" s="163">
        <f t="shared" si="1019"/>
        <v>2660</v>
      </c>
      <c r="R1015" s="163">
        <f>IFERROR(__xludf.DUMMYFUNCTION("RANK(M1015,filter(M:M,C:C=C1015))"),184.0)</f>
        <v>184</v>
      </c>
      <c r="S1015" s="161" t="b">
        <f t="shared" si="5"/>
        <v>0</v>
      </c>
      <c r="T1015" s="161" t="b">
        <f t="array" ref="T1015">index('Query Tool'!B:B,match(H1015,'Query Tool'!C:C,0))</f>
        <v>1</v>
      </c>
      <c r="U1015" s="161" t="b">
        <f t="array" ref="U1015">index('Query Tool'!B:B,match(C1015,'Query Tool'!C:C,0))</f>
        <v>0</v>
      </c>
      <c r="V1015" s="161" t="b">
        <f>F1015&gt;='Query Tool'!C$32</f>
        <v>1</v>
      </c>
      <c r="W1015" s="161" t="b">
        <f t="array" ref="W1015">index(Dropdowns!B:B,match(I1015,Dropdowns!A:A,0))</f>
        <v>1</v>
      </c>
      <c r="X1015" s="161" t="b">
        <f t="array" ref="X1015">index('Query Tool'!B:B,match(D1015,'Query Tool'!C:C,0))</f>
        <v>1</v>
      </c>
      <c r="Y1015" s="161" t="str">
        <f t="shared" si="6"/>
        <v>diawbo01,2015-16</v>
      </c>
      <c r="Z1015" s="168">
        <f t="array" ref="Z1015">iferror(index(I:I,match($A1015&amp;","&amp;index('Year Conversion'!$A:$A,match($C1015,'Year Conversion'!$B:$B,0)),$Y:$Y,0))-I1015,"")</f>
        <v>1</v>
      </c>
      <c r="AA1015" s="168">
        <f t="array" ref="AA1015">iferror(index(J:J,match($A1015&amp;","&amp;index('Year Conversion'!$A:$A,match($C1015,'Year Conversion'!$B:$B,0)),$Y:$Y,0))-J1015,"")</f>
        <v>-1.354263685</v>
      </c>
      <c r="AB1015" s="168">
        <f t="array" ref="AB1015">iferror(index(K:K,match($A1015&amp;","&amp;index('Year Conversion'!$A:$A,match($C1015,'Year Conversion'!$B:$B,0)),$Y:$Y,0))-K1015,"")</f>
        <v>-0.5958706332</v>
      </c>
      <c r="AC1015" s="168" t="str">
        <f t="shared" si="7"/>
        <v>SAS,2015-16</v>
      </c>
    </row>
    <row r="1016">
      <c r="A1016" s="161" t="str">
        <f>IFERROR(__xludf.DUMMYFUNCTION("""COMPUTED_VALUE"""),"perkike01")</f>
        <v>perkike01</v>
      </c>
      <c r="B1016" s="161" t="str">
        <f>IFERROR(__xludf.DUMMYFUNCTION("""COMPUTED_VALUE"""),"Kendrick Perkins")</f>
        <v>Kendrick Perkins</v>
      </c>
      <c r="C1016" s="162" t="str">
        <f>IFERROR(__xludf.DUMMYFUNCTION("""COMPUTED_VALUE"""),"2015-16")</f>
        <v>2015-16</v>
      </c>
      <c r="D1016" s="163" t="str">
        <f>IFERROR(__xludf.DUMMYFUNCTION("""COMPUTED_VALUE"""),"NOP")</f>
        <v>NOP</v>
      </c>
      <c r="E1016" s="164" t="str">
        <f>IFERROR(__xludf.DUMMYFUNCTION("""COMPUTED_VALUE"""),"Post Scorer")</f>
        <v>Post Scorer</v>
      </c>
      <c r="F1016" s="164">
        <f>IFERROR(__xludf.DUMMYFUNCTION("""COMPUTED_VALUE"""),542.041666666667)</f>
        <v>542.0416667</v>
      </c>
      <c r="G1016" s="163">
        <f>IFERROR(__xludf.DUMMYFUNCTION("""COMPUTED_VALUE"""),37.0)</f>
        <v>37</v>
      </c>
      <c r="H1016" s="163" t="str">
        <f>IFERROR(__xludf.DUMMYFUNCTION("""COMPUTED_VALUE"""),"C")</f>
        <v>C</v>
      </c>
      <c r="I1016" s="163">
        <f>IFERROR(__xludf.DUMMYFUNCTION("""COMPUTED_VALUE"""),31.0)</f>
        <v>31</v>
      </c>
      <c r="J1016" s="165">
        <f>IFERROR(__xludf.DUMMYFUNCTION("""COMPUTED_VALUE"""),-3.04522955486303)</f>
        <v>-3.045229555</v>
      </c>
      <c r="K1016" s="165">
        <f>IFERROR(__xludf.DUMMYFUNCTION("""COMPUTED_VALUE"""),-3.33767289512371)</f>
        <v>-3.337672895</v>
      </c>
      <c r="L1016" s="165">
        <f>IFERROR(__xludf.DUMMYFUNCTION("""COMPUTED_VALUE"""),0.292443340260674)</f>
        <v>0.2924433403</v>
      </c>
      <c r="M1016" s="166">
        <f t="shared" si="2"/>
        <v>-0.2630794868</v>
      </c>
      <c r="N1016" s="167">
        <f t="shared" si="3"/>
        <v>14.64977477</v>
      </c>
      <c r="O1016" s="163">
        <f t="shared" ref="O1016:Q1016" si="1020">rank(I1016,I:I)</f>
        <v>490</v>
      </c>
      <c r="P1016" s="163">
        <f t="shared" si="1020"/>
        <v>3893</v>
      </c>
      <c r="Q1016" s="163">
        <f t="shared" si="1020"/>
        <v>4000</v>
      </c>
      <c r="R1016" s="163">
        <f>IFERROR(__xludf.DUMMYFUNCTION("RANK(M1016,filter(M:M,C:C=C1016))"),447.0)</f>
        <v>447</v>
      </c>
      <c r="S1016" s="161" t="b">
        <f t="shared" si="5"/>
        <v>0</v>
      </c>
      <c r="T1016" s="161" t="b">
        <f t="array" ref="T1016">index('Query Tool'!B:B,match(H1016,'Query Tool'!C:C,0))</f>
        <v>1</v>
      </c>
      <c r="U1016" s="161" t="b">
        <f t="array" ref="U1016">index('Query Tool'!B:B,match(C1016,'Query Tool'!C:C,0))</f>
        <v>0</v>
      </c>
      <c r="V1016" s="161" t="b">
        <f>F1016&gt;='Query Tool'!C$32</f>
        <v>1</v>
      </c>
      <c r="W1016" s="161" t="b">
        <f t="array" ref="W1016">index(Dropdowns!B:B,match(I1016,Dropdowns!A:A,0))</f>
        <v>1</v>
      </c>
      <c r="X1016" s="161" t="b">
        <f t="array" ref="X1016">index('Query Tool'!B:B,match(D1016,'Query Tool'!C:C,0))</f>
        <v>1</v>
      </c>
      <c r="Y1016" s="161" t="str">
        <f t="shared" si="6"/>
        <v>perkike01,2015-16</v>
      </c>
      <c r="Z1016" s="168" t="str">
        <f t="array" ref="Z1016">iferror(index(I:I,match($A1016&amp;","&amp;index('Year Conversion'!$A:$A,match($C1016,'Year Conversion'!$B:$B,0)),$Y:$Y,0))-I1016,"")</f>
        <v/>
      </c>
      <c r="AA1016" s="168" t="str">
        <f t="array" ref="AA1016">iferror(index(J:J,match($A1016&amp;","&amp;index('Year Conversion'!$A:$A,match($C1016,'Year Conversion'!$B:$B,0)),$Y:$Y,0))-J1016,"")</f>
        <v/>
      </c>
      <c r="AB1016" s="168" t="str">
        <f t="array" ref="AB1016">iferror(index(K:K,match($A1016&amp;","&amp;index('Year Conversion'!$A:$A,match($C1016,'Year Conversion'!$B:$B,0)),$Y:$Y,0))-K1016,"")</f>
        <v/>
      </c>
      <c r="AC1016" s="168" t="str">
        <f t="shared" si="7"/>
        <v>NOP,2015-16</v>
      </c>
    </row>
    <row r="1017">
      <c r="A1017" s="161" t="str">
        <f>IFERROR(__xludf.DUMMYFUNCTION("""COMPUTED_VALUE"""),"barbole01")</f>
        <v>barbole01</v>
      </c>
      <c r="B1017" s="161" t="str">
        <f>IFERROR(__xludf.DUMMYFUNCTION("""COMPUTED_VALUE"""),"Leandro Barbosa")</f>
        <v>Leandro Barbosa</v>
      </c>
      <c r="C1017" s="162" t="str">
        <f>IFERROR(__xludf.DUMMYFUNCTION("""COMPUTED_VALUE"""),"2015-16")</f>
        <v>2015-16</v>
      </c>
      <c r="D1017" s="163" t="str">
        <f>IFERROR(__xludf.DUMMYFUNCTION("""COMPUTED_VALUE"""),"GSW")</f>
        <v>GSW</v>
      </c>
      <c r="E1017" s="164" t="str">
        <f>IFERROR(__xludf.DUMMYFUNCTION("""COMPUTED_VALUE"""),"Stationary Shooter")</f>
        <v>Stationary Shooter</v>
      </c>
      <c r="F1017" s="164">
        <f>IFERROR(__xludf.DUMMYFUNCTION("""COMPUTED_VALUE"""),1079.205)</f>
        <v>1079.205</v>
      </c>
      <c r="G1017" s="163">
        <f>IFERROR(__xludf.DUMMYFUNCTION("""COMPUTED_VALUE"""),68.0)</f>
        <v>68</v>
      </c>
      <c r="H1017" s="163" t="str">
        <f>IFERROR(__xludf.DUMMYFUNCTION("""COMPUTED_VALUE"""),"SG")</f>
        <v>SG</v>
      </c>
      <c r="I1017" s="163">
        <f>IFERROR(__xludf.DUMMYFUNCTION("""COMPUTED_VALUE"""),33.0)</f>
        <v>33</v>
      </c>
      <c r="J1017" s="165">
        <f>IFERROR(__xludf.DUMMYFUNCTION("""COMPUTED_VALUE"""),-1.6488159745373)</f>
        <v>-1.648815975</v>
      </c>
      <c r="K1017" s="165">
        <f>IFERROR(__xludf.DUMMYFUNCTION("""COMPUTED_VALUE"""),-0.851078197465581)</f>
        <v>-0.8510781975</v>
      </c>
      <c r="L1017" s="165">
        <f>IFERROR(__xludf.DUMMYFUNCTION("""COMPUTED_VALUE"""),-0.797737777071722)</f>
        <v>-0.7977377771</v>
      </c>
      <c r="M1017" s="166">
        <f t="shared" si="2"/>
        <v>0.4686242401</v>
      </c>
      <c r="N1017" s="167">
        <f t="shared" si="3"/>
        <v>15.87066176</v>
      </c>
      <c r="O1017" s="163">
        <f t="shared" ref="O1017:Q1017" si="1021">rank(I1017,I:I)</f>
        <v>246</v>
      </c>
      <c r="P1017" s="163">
        <f t="shared" si="1021"/>
        <v>3196</v>
      </c>
      <c r="Q1017" s="163">
        <f t="shared" si="1021"/>
        <v>2624</v>
      </c>
      <c r="R1017" s="163">
        <f>IFERROR(__xludf.DUMMYFUNCTION("RANK(M1017,filter(M:M,C:C=C1017))"),286.0)</f>
        <v>286</v>
      </c>
      <c r="S1017" s="161" t="b">
        <f t="shared" si="5"/>
        <v>0</v>
      </c>
      <c r="T1017" s="161" t="b">
        <f t="array" ref="T1017">index('Query Tool'!B:B,match(H1017,'Query Tool'!C:C,0))</f>
        <v>1</v>
      </c>
      <c r="U1017" s="161" t="b">
        <f t="array" ref="U1017">index('Query Tool'!B:B,match(C1017,'Query Tool'!C:C,0))</f>
        <v>0</v>
      </c>
      <c r="V1017" s="161" t="b">
        <f>F1017&gt;='Query Tool'!C$32</f>
        <v>1</v>
      </c>
      <c r="W1017" s="161" t="b">
        <f t="array" ref="W1017">index(Dropdowns!B:B,match(I1017,Dropdowns!A:A,0))</f>
        <v>1</v>
      </c>
      <c r="X1017" s="161" t="b">
        <f t="array" ref="X1017">index('Query Tool'!B:B,match(D1017,'Query Tool'!C:C,0))</f>
        <v>1</v>
      </c>
      <c r="Y1017" s="161" t="str">
        <f t="shared" si="6"/>
        <v>barbole01,2015-16</v>
      </c>
      <c r="Z1017" s="168">
        <f t="array" ref="Z1017">iferror(index(I:I,match($A1017&amp;","&amp;index('Year Conversion'!$A:$A,match($C1017,'Year Conversion'!$B:$B,0)),$Y:$Y,0))-I1017,"")</f>
        <v>1</v>
      </c>
      <c r="AA1017" s="168">
        <f t="array" ref="AA1017">iferror(index(J:J,match($A1017&amp;","&amp;index('Year Conversion'!$A:$A,match($C1017,'Year Conversion'!$B:$B,0)),$Y:$Y,0))-J1017,"")</f>
        <v>-0.02545611496</v>
      </c>
      <c r="AB1017" s="168">
        <f t="array" ref="AB1017">iferror(index(K:K,match($A1017&amp;","&amp;index('Year Conversion'!$A:$A,match($C1017,'Year Conversion'!$B:$B,0)),$Y:$Y,0))-K1017,"")</f>
        <v>0.236313269</v>
      </c>
      <c r="AC1017" s="168" t="str">
        <f t="shared" si="7"/>
        <v>GSW,2015-16</v>
      </c>
    </row>
    <row r="1018">
      <c r="A1018" s="161" t="str">
        <f>IFERROR(__xludf.DUMMYFUNCTION("""COMPUTED_VALUE"""),"blakest01")</f>
        <v>blakest01</v>
      </c>
      <c r="B1018" s="161" t="str">
        <f>IFERROR(__xludf.DUMMYFUNCTION("""COMPUTED_VALUE"""),"Steve Blake")</f>
        <v>Steve Blake</v>
      </c>
      <c r="C1018" s="162" t="str">
        <f>IFERROR(__xludf.DUMMYFUNCTION("""COMPUTED_VALUE"""),"2015-16")</f>
        <v>2015-16</v>
      </c>
      <c r="D1018" s="163" t="str">
        <f>IFERROR(__xludf.DUMMYFUNCTION("""COMPUTED_VALUE"""),"DET")</f>
        <v>DET</v>
      </c>
      <c r="E1018" s="164" t="str">
        <f>IFERROR(__xludf.DUMMYFUNCTION("""COMPUTED_VALUE"""),"Primary Ball Handler")</f>
        <v>Primary Ball Handler</v>
      </c>
      <c r="F1018" s="164">
        <f>IFERROR(__xludf.DUMMYFUNCTION("""COMPUTED_VALUE"""),986.4)</f>
        <v>986.4</v>
      </c>
      <c r="G1018" s="163">
        <f>IFERROR(__xludf.DUMMYFUNCTION("""COMPUTED_VALUE"""),58.0)</f>
        <v>58</v>
      </c>
      <c r="H1018" s="163" t="str">
        <f>IFERROR(__xludf.DUMMYFUNCTION("""COMPUTED_VALUE"""),"PG")</f>
        <v>PG</v>
      </c>
      <c r="I1018" s="163">
        <f>IFERROR(__xludf.DUMMYFUNCTION("""COMPUTED_VALUE"""),35.0)</f>
        <v>35</v>
      </c>
      <c r="J1018" s="165">
        <f>IFERROR(__xludf.DUMMYFUNCTION("""COMPUTED_VALUE"""),-1.24652164341617)</f>
        <v>-1.246521643</v>
      </c>
      <c r="K1018" s="165">
        <f>IFERROR(__xludf.DUMMYFUNCTION("""COMPUTED_VALUE"""),-0.990383397103031)</f>
        <v>-0.9903833971</v>
      </c>
      <c r="L1018" s="165">
        <f>IFERROR(__xludf.DUMMYFUNCTION("""COMPUTED_VALUE"""),-0.25613824631314)</f>
        <v>-0.2561382463</v>
      </c>
      <c r="M1018" s="166">
        <f t="shared" si="2"/>
        <v>0.6935218654</v>
      </c>
      <c r="N1018" s="167">
        <f t="shared" si="3"/>
        <v>17.00689655</v>
      </c>
      <c r="O1018" s="163">
        <f t="shared" ref="O1018:Q1018" si="1022">rank(I1018,I:I)</f>
        <v>104</v>
      </c>
      <c r="P1018" s="163">
        <f t="shared" si="1022"/>
        <v>2812</v>
      </c>
      <c r="Q1018" s="163">
        <f t="shared" si="1022"/>
        <v>2787</v>
      </c>
      <c r="R1018" s="163">
        <f>IFERROR(__xludf.DUMMYFUNCTION("RANK(M1018,filter(M:M,C:C=C1018))"),256.0)</f>
        <v>256</v>
      </c>
      <c r="S1018" s="161" t="b">
        <f t="shared" si="5"/>
        <v>0</v>
      </c>
      <c r="T1018" s="161" t="b">
        <f t="array" ref="T1018">index('Query Tool'!B:B,match(H1018,'Query Tool'!C:C,0))</f>
        <v>1</v>
      </c>
      <c r="U1018" s="161" t="b">
        <f t="array" ref="U1018">index('Query Tool'!B:B,match(C1018,'Query Tool'!C:C,0))</f>
        <v>0</v>
      </c>
      <c r="V1018" s="161" t="b">
        <f>F1018&gt;='Query Tool'!C$32</f>
        <v>1</v>
      </c>
      <c r="W1018" s="161" t="b">
        <f t="array" ref="W1018">index(Dropdowns!B:B,match(I1018,Dropdowns!A:A,0))</f>
        <v>1</v>
      </c>
      <c r="X1018" s="161" t="b">
        <f t="array" ref="X1018">index('Query Tool'!B:B,match(D1018,'Query Tool'!C:C,0))</f>
        <v>1</v>
      </c>
      <c r="Y1018" s="161" t="str">
        <f t="shared" si="6"/>
        <v>blakest01,2015-16</v>
      </c>
      <c r="Z1018" s="168" t="str">
        <f t="array" ref="Z1018">iferror(index(I:I,match($A1018&amp;","&amp;index('Year Conversion'!$A:$A,match($C1018,'Year Conversion'!$B:$B,0)),$Y:$Y,0))-I1018,"")</f>
        <v/>
      </c>
      <c r="AA1018" s="168" t="str">
        <f t="array" ref="AA1018">iferror(index(J:J,match($A1018&amp;","&amp;index('Year Conversion'!$A:$A,match($C1018,'Year Conversion'!$B:$B,0)),$Y:$Y,0))-J1018,"")</f>
        <v/>
      </c>
      <c r="AB1018" s="168" t="str">
        <f t="array" ref="AB1018">iferror(index(K:K,match($A1018&amp;","&amp;index('Year Conversion'!$A:$A,match($C1018,'Year Conversion'!$B:$B,0)),$Y:$Y,0))-K1018,"")</f>
        <v/>
      </c>
      <c r="AC1018" s="168" t="str">
        <f t="shared" si="7"/>
        <v>DET,2015-16</v>
      </c>
    </row>
    <row r="1019">
      <c r="A1019" s="161" t="str">
        <f>IFERROR(__xludf.DUMMYFUNCTION("""COMPUTED_VALUE"""),"pachuza01")</f>
        <v>pachuza01</v>
      </c>
      <c r="B1019" s="161" t="str">
        <f>IFERROR(__xludf.DUMMYFUNCTION("""COMPUTED_VALUE"""),"Zaza Pachulia")</f>
        <v>Zaza Pachulia</v>
      </c>
      <c r="C1019" s="162" t="str">
        <f>IFERROR(__xludf.DUMMYFUNCTION("""COMPUTED_VALUE"""),"2015-16")</f>
        <v>2015-16</v>
      </c>
      <c r="D1019" s="163" t="str">
        <f>IFERROR(__xludf.DUMMYFUNCTION("""COMPUTED_VALUE"""),"DAL")</f>
        <v>DAL</v>
      </c>
      <c r="E1019" s="164" t="str">
        <f>IFERROR(__xludf.DUMMYFUNCTION("""COMPUTED_VALUE"""),"Roll + Cut Big")</f>
        <v>Roll + Cut Big</v>
      </c>
      <c r="F1019" s="164">
        <f>IFERROR(__xludf.DUMMYFUNCTION("""COMPUTED_VALUE"""),2004.10666666667)</f>
        <v>2004.106667</v>
      </c>
      <c r="G1019" s="163">
        <f>IFERROR(__xludf.DUMMYFUNCTION("""COMPUTED_VALUE"""),76.0)</f>
        <v>76</v>
      </c>
      <c r="H1019" s="163" t="str">
        <f>IFERROR(__xludf.DUMMYFUNCTION("""COMPUTED_VALUE"""),"C")</f>
        <v>C</v>
      </c>
      <c r="I1019" s="163">
        <f>IFERROR(__xludf.DUMMYFUNCTION("""COMPUTED_VALUE"""),31.0)</f>
        <v>31</v>
      </c>
      <c r="J1019" s="165">
        <f>IFERROR(__xludf.DUMMYFUNCTION("""COMPUTED_VALUE"""),0.123274662138223)</f>
        <v>0.1232746621</v>
      </c>
      <c r="K1019" s="165">
        <f>IFERROR(__xludf.DUMMYFUNCTION("""COMPUTED_VALUE"""),-1.24208487575645)</f>
        <v>-1.242084876</v>
      </c>
      <c r="L1019" s="165">
        <f>IFERROR(__xludf.DUMMYFUNCTION("""COMPUTED_VALUE"""),1.36535953789467)</f>
        <v>1.365359538</v>
      </c>
      <c r="M1019" s="166">
        <f t="shared" si="2"/>
        <v>3.256223279</v>
      </c>
      <c r="N1019" s="167">
        <f t="shared" si="3"/>
        <v>26.36982456</v>
      </c>
      <c r="O1019" s="163">
        <f t="shared" ref="O1019:Q1019" si="1023">rank(I1019,I:I)</f>
        <v>490</v>
      </c>
      <c r="P1019" s="163">
        <f t="shared" si="1023"/>
        <v>1160</v>
      </c>
      <c r="Q1019" s="163">
        <f t="shared" si="1023"/>
        <v>3076</v>
      </c>
      <c r="R1019" s="163">
        <f>IFERROR(__xludf.DUMMYFUNCTION("RANK(M1019,filter(M:M,C:C=C1019))"),112.0)</f>
        <v>112</v>
      </c>
      <c r="S1019" s="161" t="b">
        <f t="shared" si="5"/>
        <v>0</v>
      </c>
      <c r="T1019" s="161" t="b">
        <f t="array" ref="T1019">index('Query Tool'!B:B,match(H1019,'Query Tool'!C:C,0))</f>
        <v>1</v>
      </c>
      <c r="U1019" s="161" t="b">
        <f t="array" ref="U1019">index('Query Tool'!B:B,match(C1019,'Query Tool'!C:C,0))</f>
        <v>0</v>
      </c>
      <c r="V1019" s="161" t="b">
        <f>F1019&gt;='Query Tool'!C$32</f>
        <v>1</v>
      </c>
      <c r="W1019" s="161" t="b">
        <f t="array" ref="W1019">index(Dropdowns!B:B,match(I1019,Dropdowns!A:A,0))</f>
        <v>1</v>
      </c>
      <c r="X1019" s="161" t="b">
        <f t="array" ref="X1019">index('Query Tool'!B:B,match(D1019,'Query Tool'!C:C,0))</f>
        <v>1</v>
      </c>
      <c r="Y1019" s="161" t="str">
        <f t="shared" si="6"/>
        <v>pachuza01,2015-16</v>
      </c>
      <c r="Z1019" s="168">
        <f t="array" ref="Z1019">iferror(index(I:I,match($A1019&amp;","&amp;index('Year Conversion'!$A:$A,match($C1019,'Year Conversion'!$B:$B,0)),$Y:$Y,0))-I1019,"")</f>
        <v>1</v>
      </c>
      <c r="AA1019" s="168">
        <f t="array" ref="AA1019">iferror(index(J:J,match($A1019&amp;","&amp;index('Year Conversion'!$A:$A,match($C1019,'Year Conversion'!$B:$B,0)),$Y:$Y,0))-J1019,"")</f>
        <v>0.6936169151</v>
      </c>
      <c r="AB1019" s="168">
        <f t="array" ref="AB1019">iferror(index(K:K,match($A1019&amp;","&amp;index('Year Conversion'!$A:$A,match($C1019,'Year Conversion'!$B:$B,0)),$Y:$Y,0))-K1019,"")</f>
        <v>0.4326329703</v>
      </c>
      <c r="AC1019" s="168" t="str">
        <f t="shared" si="7"/>
        <v>DAL,2015-16</v>
      </c>
    </row>
    <row r="1020">
      <c r="A1020" s="161" t="str">
        <f>IFERROR(__xludf.DUMMYFUNCTION("""COMPUTED_VALUE"""),"bonnema01")</f>
        <v>bonnema01</v>
      </c>
      <c r="B1020" s="161" t="str">
        <f>IFERROR(__xludf.DUMMYFUNCTION("""COMPUTED_VALUE"""),"Matt Bonner")</f>
        <v>Matt Bonner</v>
      </c>
      <c r="C1020" s="162" t="str">
        <f>IFERROR(__xludf.DUMMYFUNCTION("""COMPUTED_VALUE"""),"2015-16")</f>
        <v>2015-16</v>
      </c>
      <c r="D1020" s="163" t="str">
        <f>IFERROR(__xludf.DUMMYFUNCTION("""COMPUTED_VALUE"""),"SAS")</f>
        <v>SAS</v>
      </c>
      <c r="E1020" s="164" t="str">
        <f>IFERROR(__xludf.DUMMYFUNCTION("""COMPUTED_VALUE"""),"Stretch Big")</f>
        <v>Stretch Big</v>
      </c>
      <c r="F1020" s="164">
        <f>IFERROR(__xludf.DUMMYFUNCTION("""COMPUTED_VALUE"""),205.911666666667)</f>
        <v>205.9116667</v>
      </c>
      <c r="G1020" s="163">
        <f>IFERROR(__xludf.DUMMYFUNCTION("""COMPUTED_VALUE"""),30.0)</f>
        <v>30</v>
      </c>
      <c r="H1020" s="163" t="str">
        <f>IFERROR(__xludf.DUMMYFUNCTION("""COMPUTED_VALUE"""),"C")</f>
        <v>C</v>
      </c>
      <c r="I1020" s="163">
        <f>IFERROR(__xludf.DUMMYFUNCTION("""COMPUTED_VALUE"""),35.0)</f>
        <v>35</v>
      </c>
      <c r="J1020" s="165">
        <f>IFERROR(__xludf.DUMMYFUNCTION("""COMPUTED_VALUE"""),-0.459674654609673)</f>
        <v>-0.4596746546</v>
      </c>
      <c r="K1020" s="165">
        <f>IFERROR(__xludf.DUMMYFUNCTION("""COMPUTED_VALUE"""),0.133396571374286)</f>
        <v>0.1333965714</v>
      </c>
      <c r="L1020" s="165">
        <f>IFERROR(__xludf.DUMMYFUNCTION("""COMPUTED_VALUE"""),-0.593071225983959)</f>
        <v>-0.593071226</v>
      </c>
      <c r="M1020" s="166">
        <f t="shared" si="2"/>
        <v>0.253652211</v>
      </c>
      <c r="N1020" s="167">
        <f t="shared" si="3"/>
        <v>6.863722222</v>
      </c>
      <c r="O1020" s="163">
        <f t="shared" ref="O1020:Q1020" si="1024">rank(I1020,I:I)</f>
        <v>104</v>
      </c>
      <c r="P1020" s="163">
        <f t="shared" si="1024"/>
        <v>1792</v>
      </c>
      <c r="Q1020" s="163">
        <f t="shared" si="1024"/>
        <v>1039</v>
      </c>
      <c r="R1020" s="163">
        <f>IFERROR(__xludf.DUMMYFUNCTION("RANK(M1020,filter(M:M,C:C=C1020))"),327.0)</f>
        <v>327</v>
      </c>
      <c r="S1020" s="161" t="b">
        <f t="shared" si="5"/>
        <v>0</v>
      </c>
      <c r="T1020" s="161" t="b">
        <f t="array" ref="T1020">index('Query Tool'!B:B,match(H1020,'Query Tool'!C:C,0))</f>
        <v>1</v>
      </c>
      <c r="U1020" s="161" t="b">
        <f t="array" ref="U1020">index('Query Tool'!B:B,match(C1020,'Query Tool'!C:C,0))</f>
        <v>0</v>
      </c>
      <c r="V1020" s="161" t="b">
        <f>F1020&gt;='Query Tool'!C$32</f>
        <v>0</v>
      </c>
      <c r="W1020" s="161" t="b">
        <f t="array" ref="W1020">index(Dropdowns!B:B,match(I1020,Dropdowns!A:A,0))</f>
        <v>1</v>
      </c>
      <c r="X1020" s="161" t="b">
        <f t="array" ref="X1020">index('Query Tool'!B:B,match(D1020,'Query Tool'!C:C,0))</f>
        <v>1</v>
      </c>
      <c r="Y1020" s="161" t="str">
        <f t="shared" si="6"/>
        <v>bonnema01,2015-16</v>
      </c>
      <c r="Z1020" s="168" t="str">
        <f t="array" ref="Z1020">iferror(index(I:I,match($A1020&amp;","&amp;index('Year Conversion'!$A:$A,match($C1020,'Year Conversion'!$B:$B,0)),$Y:$Y,0))-I1020,"")</f>
        <v/>
      </c>
      <c r="AA1020" s="168" t="str">
        <f t="array" ref="AA1020">iferror(index(J:J,match($A1020&amp;","&amp;index('Year Conversion'!$A:$A,match($C1020,'Year Conversion'!$B:$B,0)),$Y:$Y,0))-J1020,"")</f>
        <v/>
      </c>
      <c r="AB1020" s="168" t="str">
        <f t="array" ref="AB1020">iferror(index(K:K,match($A1020&amp;","&amp;index('Year Conversion'!$A:$A,match($C1020,'Year Conversion'!$B:$B,0)),$Y:$Y,0))-K1020,"")</f>
        <v/>
      </c>
      <c r="AC1020" s="168" t="str">
        <f t="shared" si="7"/>
        <v>SAS,2015-16</v>
      </c>
    </row>
    <row r="1021">
      <c r="A1021" s="161" t="str">
        <f>IFERROR(__xludf.DUMMYFUNCTION("""COMPUTED_VALUE"""),"willima01")</f>
        <v>willima01</v>
      </c>
      <c r="B1021" s="161" t="str">
        <f>IFERROR(__xludf.DUMMYFUNCTION("""COMPUTED_VALUE"""),"Mo Williams")</f>
        <v>Mo Williams</v>
      </c>
      <c r="C1021" s="162" t="str">
        <f>IFERROR(__xludf.DUMMYFUNCTION("""COMPUTED_VALUE"""),"2015-16")</f>
        <v>2015-16</v>
      </c>
      <c r="D1021" s="163" t="str">
        <f>IFERROR(__xludf.DUMMYFUNCTION("""COMPUTED_VALUE"""),"CLE")</f>
        <v>CLE</v>
      </c>
      <c r="E1021" s="164" t="str">
        <f>IFERROR(__xludf.DUMMYFUNCTION("""COMPUTED_VALUE"""),"Secondary Ball Handler")</f>
        <v>Secondary Ball Handler</v>
      </c>
      <c r="F1021" s="164">
        <f>IFERROR(__xludf.DUMMYFUNCTION("""COMPUTED_VALUE"""),747.778333333333)</f>
        <v>747.7783333</v>
      </c>
      <c r="G1021" s="163">
        <f>IFERROR(__xludf.DUMMYFUNCTION("""COMPUTED_VALUE"""),41.0)</f>
        <v>41</v>
      </c>
      <c r="H1021" s="163" t="str">
        <f>IFERROR(__xludf.DUMMYFUNCTION("""COMPUTED_VALUE"""),"PG")</f>
        <v>PG</v>
      </c>
      <c r="I1021" s="163">
        <f>IFERROR(__xludf.DUMMYFUNCTION("""COMPUTED_VALUE"""),33.0)</f>
        <v>33</v>
      </c>
      <c r="J1021" s="165">
        <f>IFERROR(__xludf.DUMMYFUNCTION("""COMPUTED_VALUE"""),-2.28273963670299)</f>
        <v>-2.282739637</v>
      </c>
      <c r="K1021" s="165">
        <f>IFERROR(__xludf.DUMMYFUNCTION("""COMPUTED_VALUE"""),-1.01397535107545)</f>
        <v>-1.013975351</v>
      </c>
      <c r="L1021" s="165">
        <f>IFERROR(__xludf.DUMMYFUNCTION("""COMPUTED_VALUE"""),-1.26876428562755)</f>
        <v>-1.268764286</v>
      </c>
      <c r="M1021" s="166">
        <f t="shared" si="2"/>
        <v>0.0102533714</v>
      </c>
      <c r="N1021" s="167">
        <f t="shared" si="3"/>
        <v>18.23849593</v>
      </c>
      <c r="O1021" s="163">
        <f t="shared" ref="O1021:Q1021" si="1025">rank(I1021,I:I)</f>
        <v>246</v>
      </c>
      <c r="P1021" s="163">
        <f t="shared" si="1025"/>
        <v>3646</v>
      </c>
      <c r="Q1021" s="163">
        <f t="shared" si="1025"/>
        <v>2823</v>
      </c>
      <c r="R1021" s="163">
        <f>IFERROR(__xludf.DUMMYFUNCTION("RANK(M1021,filter(M:M,C:C=C1021))"),422.0)</f>
        <v>422</v>
      </c>
      <c r="S1021" s="161" t="b">
        <f t="shared" si="5"/>
        <v>0</v>
      </c>
      <c r="T1021" s="161" t="b">
        <f t="array" ref="T1021">index('Query Tool'!B:B,match(H1021,'Query Tool'!C:C,0))</f>
        <v>1</v>
      </c>
      <c r="U1021" s="161" t="b">
        <f t="array" ref="U1021">index('Query Tool'!B:B,match(C1021,'Query Tool'!C:C,0))</f>
        <v>0</v>
      </c>
      <c r="V1021" s="161" t="b">
        <f>F1021&gt;='Query Tool'!C$32</f>
        <v>1</v>
      </c>
      <c r="W1021" s="161" t="b">
        <f t="array" ref="W1021">index(Dropdowns!B:B,match(I1021,Dropdowns!A:A,0))</f>
        <v>1</v>
      </c>
      <c r="X1021" s="161" t="b">
        <f t="array" ref="X1021">index('Query Tool'!B:B,match(D1021,'Query Tool'!C:C,0))</f>
        <v>1</v>
      </c>
      <c r="Y1021" s="161" t="str">
        <f t="shared" si="6"/>
        <v>willima01,2015-16</v>
      </c>
      <c r="Z1021" s="168" t="str">
        <f t="array" ref="Z1021">iferror(index(I:I,match($A1021&amp;","&amp;index('Year Conversion'!$A:$A,match($C1021,'Year Conversion'!$B:$B,0)),$Y:$Y,0))-I1021,"")</f>
        <v/>
      </c>
      <c r="AA1021" s="168" t="str">
        <f t="array" ref="AA1021">iferror(index(J:J,match($A1021&amp;","&amp;index('Year Conversion'!$A:$A,match($C1021,'Year Conversion'!$B:$B,0)),$Y:$Y,0))-J1021,"")</f>
        <v/>
      </c>
      <c r="AB1021" s="168" t="str">
        <f t="array" ref="AB1021">iferror(index(K:K,match($A1021&amp;","&amp;index('Year Conversion'!$A:$A,match($C1021,'Year Conversion'!$B:$B,0)),$Y:$Y,0))-K1021,"")</f>
        <v/>
      </c>
      <c r="AC1021" s="168" t="str">
        <f t="shared" si="7"/>
        <v>CLE,2015-16</v>
      </c>
    </row>
    <row r="1022">
      <c r="A1022" s="161" t="str">
        <f>IFERROR(__xludf.DUMMYFUNCTION("""COMPUTED_VALUE"""),"jonesja02")</f>
        <v>jonesja02</v>
      </c>
      <c r="B1022" s="161" t="str">
        <f>IFERROR(__xludf.DUMMYFUNCTION("""COMPUTED_VALUE"""),"James Jones")</f>
        <v>James Jones</v>
      </c>
      <c r="C1022" s="162" t="str">
        <f>IFERROR(__xludf.DUMMYFUNCTION("""COMPUTED_VALUE"""),"2015-16")</f>
        <v>2015-16</v>
      </c>
      <c r="D1022" s="163" t="str">
        <f>IFERROR(__xludf.DUMMYFUNCTION("""COMPUTED_VALUE"""),"CLE")</f>
        <v>CLE</v>
      </c>
      <c r="E1022" s="164" t="str">
        <f>IFERROR(__xludf.DUMMYFUNCTION("""COMPUTED_VALUE"""),"Movement Shooter")</f>
        <v>Movement Shooter</v>
      </c>
      <c r="F1022" s="164">
        <f>IFERROR(__xludf.DUMMYFUNCTION("""COMPUTED_VALUE"""),463.42)</f>
        <v>463.42</v>
      </c>
      <c r="G1022" s="163">
        <f>IFERROR(__xludf.DUMMYFUNCTION("""COMPUTED_VALUE"""),48.0)</f>
        <v>48</v>
      </c>
      <c r="H1022" s="163" t="str">
        <f>IFERROR(__xludf.DUMMYFUNCTION("""COMPUTED_VALUE"""),"SF")</f>
        <v>SF</v>
      </c>
      <c r="I1022" s="163">
        <f>IFERROR(__xludf.DUMMYFUNCTION("""COMPUTED_VALUE"""),35.0)</f>
        <v>35</v>
      </c>
      <c r="J1022" s="165">
        <f>IFERROR(__xludf.DUMMYFUNCTION("""COMPUTED_VALUE"""),-2.06458235997067)</f>
        <v>-2.06458236</v>
      </c>
      <c r="K1022" s="165">
        <f>IFERROR(__xludf.DUMMYFUNCTION("""COMPUTED_VALUE"""),-1.24695032810521)</f>
        <v>-1.246950328</v>
      </c>
      <c r="L1022" s="165">
        <f>IFERROR(__xludf.DUMMYFUNCTION("""COMPUTED_VALUE"""),-0.817632031865467)</f>
        <v>-0.8176320319</v>
      </c>
      <c r="M1022" s="166">
        <f t="shared" si="2"/>
        <v>0.07318808001</v>
      </c>
      <c r="N1022" s="167">
        <f t="shared" si="3"/>
        <v>9.654583333</v>
      </c>
      <c r="O1022" s="163">
        <f t="shared" ref="O1022:Q1022" si="1026">rank(I1022,I:I)</f>
        <v>104</v>
      </c>
      <c r="P1022" s="163">
        <f t="shared" si="1026"/>
        <v>3529</v>
      </c>
      <c r="Q1022" s="163">
        <f t="shared" si="1026"/>
        <v>3081</v>
      </c>
      <c r="R1022" s="163">
        <f>IFERROR(__xludf.DUMMYFUNCTION("RANK(M1022,filter(M:M,C:C=C1022))"),386.0)</f>
        <v>386</v>
      </c>
      <c r="S1022" s="161" t="b">
        <f t="shared" si="5"/>
        <v>0</v>
      </c>
      <c r="T1022" s="161" t="b">
        <f t="array" ref="T1022">index('Query Tool'!B:B,match(H1022,'Query Tool'!C:C,0))</f>
        <v>1</v>
      </c>
      <c r="U1022" s="161" t="b">
        <f t="array" ref="U1022">index('Query Tool'!B:B,match(C1022,'Query Tool'!C:C,0))</f>
        <v>0</v>
      </c>
      <c r="V1022" s="161" t="b">
        <f>F1022&gt;='Query Tool'!C$32</f>
        <v>0</v>
      </c>
      <c r="W1022" s="161" t="b">
        <f t="array" ref="W1022">index(Dropdowns!B:B,match(I1022,Dropdowns!A:A,0))</f>
        <v>1</v>
      </c>
      <c r="X1022" s="161" t="b">
        <f t="array" ref="X1022">index('Query Tool'!B:B,match(D1022,'Query Tool'!C:C,0))</f>
        <v>1</v>
      </c>
      <c r="Y1022" s="161" t="str">
        <f t="shared" si="6"/>
        <v>jonesja02,2015-16</v>
      </c>
      <c r="Z1022" s="168">
        <f t="array" ref="Z1022">iferror(index(I:I,match($A1022&amp;","&amp;index('Year Conversion'!$A:$A,match($C1022,'Year Conversion'!$B:$B,0)),$Y:$Y,0))-I1022,"")</f>
        <v>1</v>
      </c>
      <c r="AA1022" s="168">
        <f t="array" ref="AA1022">iferror(index(J:J,match($A1022&amp;","&amp;index('Year Conversion'!$A:$A,match($C1022,'Year Conversion'!$B:$B,0)),$Y:$Y,0))-J1022,"")</f>
        <v>-0.09661071303</v>
      </c>
      <c r="AB1022" s="168">
        <f t="array" ref="AB1022">iferror(index(K:K,match($A1022&amp;","&amp;index('Year Conversion'!$A:$A,match($C1022,'Year Conversion'!$B:$B,0)),$Y:$Y,0))-K1022,"")</f>
        <v>-0.6365381842</v>
      </c>
      <c r="AC1022" s="168" t="str">
        <f t="shared" si="7"/>
        <v>CLE,2015-16</v>
      </c>
    </row>
    <row r="1023">
      <c r="A1023" s="161" t="str">
        <f>IFERROR(__xludf.DUMMYFUNCTION("""COMPUTED_VALUE"""),"korveky01")</f>
        <v>korveky01</v>
      </c>
      <c r="B1023" s="161" t="str">
        <f>IFERROR(__xludf.DUMMYFUNCTION("""COMPUTED_VALUE"""),"Kyle Korver")</f>
        <v>Kyle Korver</v>
      </c>
      <c r="C1023" s="162" t="str">
        <f>IFERROR(__xludf.DUMMYFUNCTION("""COMPUTED_VALUE"""),"2015-16")</f>
        <v>2015-16</v>
      </c>
      <c r="D1023" s="163" t="str">
        <f>IFERROR(__xludf.DUMMYFUNCTION("""COMPUTED_VALUE"""),"ATL")</f>
        <v>ATL</v>
      </c>
      <c r="E1023" s="164" t="str">
        <f>IFERROR(__xludf.DUMMYFUNCTION("""COMPUTED_VALUE"""),"Off Screen Shooter")</f>
        <v>Off Screen Shooter</v>
      </c>
      <c r="F1023" s="164">
        <f>IFERROR(__xludf.DUMMYFUNCTION("""COMPUTED_VALUE"""),2400.665)</f>
        <v>2400.665</v>
      </c>
      <c r="G1023" s="163">
        <f>IFERROR(__xludf.DUMMYFUNCTION("""COMPUTED_VALUE"""),80.0)</f>
        <v>80</v>
      </c>
      <c r="H1023" s="163" t="str">
        <f>IFERROR(__xludf.DUMMYFUNCTION("""COMPUTED_VALUE"""),"SG")</f>
        <v>SG</v>
      </c>
      <c r="I1023" s="163">
        <f>IFERROR(__xludf.DUMMYFUNCTION("""COMPUTED_VALUE"""),34.0)</f>
        <v>34</v>
      </c>
      <c r="J1023" s="165">
        <f>IFERROR(__xludf.DUMMYFUNCTION("""COMPUTED_VALUE"""),0.529830589376527)</f>
        <v>0.5298305894</v>
      </c>
      <c r="K1023" s="165">
        <f>IFERROR(__xludf.DUMMYFUNCTION("""COMPUTED_VALUE"""),-0.34636115977748)</f>
        <v>-0.3463611598</v>
      </c>
      <c r="L1023" s="165">
        <f>IFERROR(__xludf.DUMMYFUNCTION("""COMPUTED_VALUE"""),0.876191749154008)</f>
        <v>0.8761917492</v>
      </c>
      <c r="M1023" s="166">
        <f t="shared" si="2"/>
        <v>4.558223823</v>
      </c>
      <c r="N1023" s="167">
        <f t="shared" si="3"/>
        <v>30.0083125</v>
      </c>
      <c r="O1023" s="163">
        <f t="shared" ref="O1023:Q1023" si="1027">rank(I1023,I:I)</f>
        <v>164</v>
      </c>
      <c r="P1023" s="163">
        <f t="shared" si="1027"/>
        <v>882</v>
      </c>
      <c r="Q1023" s="163">
        <f t="shared" si="1027"/>
        <v>1846</v>
      </c>
      <c r="R1023" s="163">
        <f>IFERROR(__xludf.DUMMYFUNCTION("RANK(M1023,filter(M:M,C:C=C1023))"),74.0)</f>
        <v>74</v>
      </c>
      <c r="S1023" s="161" t="b">
        <f t="shared" si="5"/>
        <v>0</v>
      </c>
      <c r="T1023" s="161" t="b">
        <f t="array" ref="T1023">index('Query Tool'!B:B,match(H1023,'Query Tool'!C:C,0))</f>
        <v>1</v>
      </c>
      <c r="U1023" s="161" t="b">
        <f t="array" ref="U1023">index('Query Tool'!B:B,match(C1023,'Query Tool'!C:C,0))</f>
        <v>0</v>
      </c>
      <c r="V1023" s="161" t="b">
        <f>F1023&gt;='Query Tool'!C$32</f>
        <v>1</v>
      </c>
      <c r="W1023" s="161" t="b">
        <f t="array" ref="W1023">index(Dropdowns!B:B,match(I1023,Dropdowns!A:A,0))</f>
        <v>1</v>
      </c>
      <c r="X1023" s="161" t="b">
        <f t="array" ref="X1023">index('Query Tool'!B:B,match(D1023,'Query Tool'!C:C,0))</f>
        <v>1</v>
      </c>
      <c r="Y1023" s="161" t="str">
        <f t="shared" si="6"/>
        <v>korveky01,2015-16</v>
      </c>
      <c r="Z1023" s="168">
        <f t="array" ref="Z1023">iferror(index(I:I,match($A1023&amp;","&amp;index('Year Conversion'!$A:$A,match($C1023,'Year Conversion'!$B:$B,0)),$Y:$Y,0))-I1023,"")</f>
        <v>1</v>
      </c>
      <c r="AA1023" s="168">
        <f t="array" ref="AA1023">iferror(index(J:J,match($A1023&amp;","&amp;index('Year Conversion'!$A:$A,match($C1023,'Year Conversion'!$B:$B,0)),$Y:$Y,0))-J1023,"")</f>
        <v>-2.264319472</v>
      </c>
      <c r="AB1023" s="168">
        <f t="array" ref="AB1023">iferror(index(K:K,match($A1023&amp;","&amp;index('Year Conversion'!$A:$A,match($C1023,'Year Conversion'!$B:$B,0)),$Y:$Y,0))-K1023,"")</f>
        <v>0.01074633111</v>
      </c>
      <c r="AC1023" s="168" t="str">
        <f t="shared" si="7"/>
        <v>ATL,2015-16</v>
      </c>
    </row>
    <row r="1024">
      <c r="A1024" s="161" t="str">
        <f>IFERROR(__xludf.DUMMYFUNCTION("""COMPUTED_VALUE"""),"hasleud01")</f>
        <v>hasleud01</v>
      </c>
      <c r="B1024" s="161" t="str">
        <f>IFERROR(__xludf.DUMMYFUNCTION("""COMPUTED_VALUE"""),"Udonis Haslem")</f>
        <v>Udonis Haslem</v>
      </c>
      <c r="C1024" s="162" t="str">
        <f>IFERROR(__xludf.DUMMYFUNCTION("""COMPUTED_VALUE"""),"2015-16")</f>
        <v>2015-16</v>
      </c>
      <c r="D1024" s="163" t="str">
        <f>IFERROR(__xludf.DUMMYFUNCTION("""COMPUTED_VALUE"""),"MIA")</f>
        <v>MIA</v>
      </c>
      <c r="E1024" s="164" t="str">
        <f>IFERROR(__xludf.DUMMYFUNCTION("""COMPUTED_VALUE"""),"Roll + Cut Big")</f>
        <v>Roll + Cut Big</v>
      </c>
      <c r="F1024" s="164">
        <f>IFERROR(__xludf.DUMMYFUNCTION("""COMPUTED_VALUE"""),259.538333333333)</f>
        <v>259.5383333</v>
      </c>
      <c r="G1024" s="163">
        <f>IFERROR(__xludf.DUMMYFUNCTION("""COMPUTED_VALUE"""),37.0)</f>
        <v>37</v>
      </c>
      <c r="H1024" s="163" t="str">
        <f>IFERROR(__xludf.DUMMYFUNCTION("""COMPUTED_VALUE"""),"PF")</f>
        <v>PF</v>
      </c>
      <c r="I1024" s="163">
        <f>IFERROR(__xludf.DUMMYFUNCTION("""COMPUTED_VALUE"""),35.0)</f>
        <v>35</v>
      </c>
      <c r="J1024" s="165">
        <f>IFERROR(__xludf.DUMMYFUNCTION("""COMPUTED_VALUE"""),-0.69389845246739)</f>
        <v>-0.6938984525</v>
      </c>
      <c r="K1024" s="165">
        <f>IFERROR(__xludf.DUMMYFUNCTION("""COMPUTED_VALUE"""),-1.0131476377304)</f>
        <v>-1.013147638</v>
      </c>
      <c r="L1024" s="165">
        <f>IFERROR(__xludf.DUMMYFUNCTION("""COMPUTED_VALUE"""),0.319249185263009)</f>
        <v>0.3192491853</v>
      </c>
      <c r="M1024" s="166">
        <f t="shared" si="2"/>
        <v>0.2787857125</v>
      </c>
      <c r="N1024" s="167">
        <f t="shared" si="3"/>
        <v>7.01454955</v>
      </c>
      <c r="O1024" s="163">
        <f t="shared" ref="O1024:Q1024" si="1028">rank(I1024,I:I)</f>
        <v>104</v>
      </c>
      <c r="P1024" s="163">
        <f t="shared" si="1028"/>
        <v>2130</v>
      </c>
      <c r="Q1024" s="163">
        <f t="shared" si="1028"/>
        <v>2821</v>
      </c>
      <c r="R1024" s="163">
        <f>IFERROR(__xludf.DUMMYFUNCTION("RANK(M1024,filter(M:M,C:C=C1024))"),320.0)</f>
        <v>320</v>
      </c>
      <c r="S1024" s="161" t="b">
        <f t="shared" si="5"/>
        <v>0</v>
      </c>
      <c r="T1024" s="161" t="b">
        <f t="array" ref="T1024">index('Query Tool'!B:B,match(H1024,'Query Tool'!C:C,0))</f>
        <v>1</v>
      </c>
      <c r="U1024" s="161" t="b">
        <f t="array" ref="U1024">index('Query Tool'!B:B,match(C1024,'Query Tool'!C:C,0))</f>
        <v>0</v>
      </c>
      <c r="V1024" s="161" t="b">
        <f>F1024&gt;='Query Tool'!C$32</f>
        <v>0</v>
      </c>
      <c r="W1024" s="161" t="b">
        <f t="array" ref="W1024">index(Dropdowns!B:B,match(I1024,Dropdowns!A:A,0))</f>
        <v>1</v>
      </c>
      <c r="X1024" s="161" t="b">
        <f t="array" ref="X1024">index('Query Tool'!B:B,match(D1024,'Query Tool'!C:C,0))</f>
        <v>1</v>
      </c>
      <c r="Y1024" s="161" t="str">
        <f t="shared" si="6"/>
        <v>hasleud01,2015-16</v>
      </c>
      <c r="Z1024" s="168">
        <f t="array" ref="Z1024">iferror(index(I:I,match($A1024&amp;","&amp;index('Year Conversion'!$A:$A,match($C1024,'Year Conversion'!$B:$B,0)),$Y:$Y,0))-I1024,"")</f>
        <v>1</v>
      </c>
      <c r="AA1024" s="168">
        <f t="array" ref="AA1024">iferror(index(J:J,match($A1024&amp;","&amp;index('Year Conversion'!$A:$A,match($C1024,'Year Conversion'!$B:$B,0)),$Y:$Y,0))-J1024,"")</f>
        <v>-1.279659411</v>
      </c>
      <c r="AB1024" s="168">
        <f t="array" ref="AB1024">iferror(index(K:K,match($A1024&amp;","&amp;index('Year Conversion'!$A:$A,match($C1024,'Year Conversion'!$B:$B,0)),$Y:$Y,0))-K1024,"")</f>
        <v>-0.7275053409</v>
      </c>
      <c r="AC1024" s="168" t="str">
        <f t="shared" si="7"/>
        <v>MIA,2015-16</v>
      </c>
    </row>
    <row r="1025">
      <c r="A1025" s="161" t="str">
        <f>IFERROR(__xludf.DUMMYFUNCTION("""COMPUTED_VALUE"""),"howardw01")</f>
        <v>howardw01</v>
      </c>
      <c r="B1025" s="161" t="str">
        <f>IFERROR(__xludf.DUMMYFUNCTION("""COMPUTED_VALUE"""),"Dwight Howard")</f>
        <v>Dwight Howard</v>
      </c>
      <c r="C1025" s="162" t="str">
        <f>IFERROR(__xludf.DUMMYFUNCTION("""COMPUTED_VALUE"""),"2015-16")</f>
        <v>2015-16</v>
      </c>
      <c r="D1025" s="163" t="str">
        <f>IFERROR(__xludf.DUMMYFUNCTION("""COMPUTED_VALUE"""),"HOU")</f>
        <v>HOU</v>
      </c>
      <c r="E1025" s="164" t="str">
        <f>IFERROR(__xludf.DUMMYFUNCTION("""COMPUTED_VALUE"""),"Post Scorer")</f>
        <v>Post Scorer</v>
      </c>
      <c r="F1025" s="164">
        <f>IFERROR(__xludf.DUMMYFUNCTION("""COMPUTED_VALUE"""),2279.66333333333)</f>
        <v>2279.663333</v>
      </c>
      <c r="G1025" s="163">
        <f>IFERROR(__xludf.DUMMYFUNCTION("""COMPUTED_VALUE"""),71.0)</f>
        <v>71</v>
      </c>
      <c r="H1025" s="163" t="str">
        <f>IFERROR(__xludf.DUMMYFUNCTION("""COMPUTED_VALUE"""),"C")</f>
        <v>C</v>
      </c>
      <c r="I1025" s="163">
        <f>IFERROR(__xludf.DUMMYFUNCTION("""COMPUTED_VALUE"""),30.0)</f>
        <v>30</v>
      </c>
      <c r="J1025" s="165">
        <f>IFERROR(__xludf.DUMMYFUNCTION("""COMPUTED_VALUE"""),1.69407487366584)</f>
        <v>1.694074874</v>
      </c>
      <c r="K1025" s="165">
        <f>IFERROR(__xludf.DUMMYFUNCTION("""COMPUTED_VALUE"""),-0.237716119459415)</f>
        <v>-0.2377161195</v>
      </c>
      <c r="L1025" s="165">
        <f>IFERROR(__xludf.DUMMYFUNCTION("""COMPUTED_VALUE"""),1.93179099312525)</f>
        <v>1.931790993</v>
      </c>
      <c r="M1025" s="166">
        <f t="shared" si="2"/>
        <v>6.107817383</v>
      </c>
      <c r="N1025" s="167">
        <f t="shared" si="3"/>
        <v>32.10793427</v>
      </c>
      <c r="O1025" s="163">
        <f t="shared" ref="O1025:Q1025" si="1029">rank(I1025,I:I)</f>
        <v>655</v>
      </c>
      <c r="P1025" s="163">
        <f t="shared" si="1029"/>
        <v>400</v>
      </c>
      <c r="Q1025" s="163">
        <f t="shared" si="1029"/>
        <v>1639</v>
      </c>
      <c r="R1025" s="163">
        <f>IFERROR(__xludf.DUMMYFUNCTION("RANK(M1025,filter(M:M,C:C=C1025))"),43.0)</f>
        <v>43</v>
      </c>
      <c r="S1025" s="161" t="b">
        <f t="shared" si="5"/>
        <v>0</v>
      </c>
      <c r="T1025" s="161" t="b">
        <f t="array" ref="T1025">index('Query Tool'!B:B,match(H1025,'Query Tool'!C:C,0))</f>
        <v>1</v>
      </c>
      <c r="U1025" s="161" t="b">
        <f t="array" ref="U1025">index('Query Tool'!B:B,match(C1025,'Query Tool'!C:C,0))</f>
        <v>0</v>
      </c>
      <c r="V1025" s="161" t="b">
        <f>F1025&gt;='Query Tool'!C$32</f>
        <v>1</v>
      </c>
      <c r="W1025" s="161" t="b">
        <f t="array" ref="W1025">index(Dropdowns!B:B,match(I1025,Dropdowns!A:A,0))</f>
        <v>1</v>
      </c>
      <c r="X1025" s="161" t="b">
        <f t="array" ref="X1025">index('Query Tool'!B:B,match(D1025,'Query Tool'!C:C,0))</f>
        <v>1</v>
      </c>
      <c r="Y1025" s="161" t="str">
        <f t="shared" si="6"/>
        <v>howardw01,2015-16</v>
      </c>
      <c r="Z1025" s="168">
        <f t="array" ref="Z1025">iferror(index(I:I,match($A1025&amp;","&amp;index('Year Conversion'!$A:$A,match($C1025,'Year Conversion'!$B:$B,0)),$Y:$Y,0))-I1025,"")</f>
        <v>1</v>
      </c>
      <c r="AA1025" s="168">
        <f t="array" ref="AA1025">iferror(index(J:J,match($A1025&amp;","&amp;index('Year Conversion'!$A:$A,match($C1025,'Year Conversion'!$B:$B,0)),$Y:$Y,0))-J1025,"")</f>
        <v>-0.2931478606</v>
      </c>
      <c r="AB1025" s="168">
        <f t="array" ref="AB1025">iferror(index(K:K,match($A1025&amp;","&amp;index('Year Conversion'!$A:$A,match($C1025,'Year Conversion'!$B:$B,0)),$Y:$Y,0))-K1025,"")</f>
        <v>-0.6081633013</v>
      </c>
      <c r="AC1025" s="168" t="str">
        <f t="shared" si="7"/>
        <v>HOU,2015-16</v>
      </c>
    </row>
    <row r="1026">
      <c r="A1026" s="161" t="str">
        <f>IFERROR(__xludf.DUMMYFUNCTION("""COMPUTED_VALUE"""),"livinsh01")</f>
        <v>livinsh01</v>
      </c>
      <c r="B1026" s="161" t="str">
        <f>IFERROR(__xludf.DUMMYFUNCTION("""COMPUTED_VALUE"""),"Shaun Livingston")</f>
        <v>Shaun Livingston</v>
      </c>
      <c r="C1026" s="162" t="str">
        <f>IFERROR(__xludf.DUMMYFUNCTION("""COMPUTED_VALUE"""),"2015-16")</f>
        <v>2015-16</v>
      </c>
      <c r="D1026" s="163" t="str">
        <f>IFERROR(__xludf.DUMMYFUNCTION("""COMPUTED_VALUE"""),"GSW")</f>
        <v>GSW</v>
      </c>
      <c r="E1026" s="164" t="str">
        <f>IFERROR(__xludf.DUMMYFUNCTION("""COMPUTED_VALUE"""),"Post Scorer")</f>
        <v>Post Scorer</v>
      </c>
      <c r="F1026" s="164">
        <f>IFERROR(__xludf.DUMMYFUNCTION("""COMPUTED_VALUE"""),1519.53333333333)</f>
        <v>1519.533333</v>
      </c>
      <c r="G1026" s="163">
        <f>IFERROR(__xludf.DUMMYFUNCTION("""COMPUTED_VALUE"""),78.0)</f>
        <v>78</v>
      </c>
      <c r="H1026" s="163" t="str">
        <f>IFERROR(__xludf.DUMMYFUNCTION("""COMPUTED_VALUE"""),"PG")</f>
        <v>PG</v>
      </c>
      <c r="I1026" s="163">
        <f>IFERROR(__xludf.DUMMYFUNCTION("""COMPUTED_VALUE"""),30.0)</f>
        <v>30</v>
      </c>
      <c r="J1026" s="165">
        <f>IFERROR(__xludf.DUMMYFUNCTION("""COMPUTED_VALUE"""),-0.68913907219545)</f>
        <v>-0.6891390722</v>
      </c>
      <c r="K1026" s="165">
        <f>IFERROR(__xludf.DUMMYFUNCTION("""COMPUTED_VALUE"""),-0.134190690703321)</f>
        <v>-0.1341906907</v>
      </c>
      <c r="L1026" s="165">
        <f>IFERROR(__xludf.DUMMYFUNCTION("""COMPUTED_VALUE"""),-0.55494838149213)</f>
        <v>-0.5549483815</v>
      </c>
      <c r="M1026" s="166">
        <f t="shared" si="2"/>
        <v>1.637088083</v>
      </c>
      <c r="N1026" s="167">
        <f t="shared" si="3"/>
        <v>19.48119658</v>
      </c>
      <c r="O1026" s="163">
        <f t="shared" ref="O1026:Q1026" si="1030">rank(I1026,I:I)</f>
        <v>655</v>
      </c>
      <c r="P1026" s="163">
        <f t="shared" si="1030"/>
        <v>2126</v>
      </c>
      <c r="Q1026" s="163">
        <f t="shared" si="1030"/>
        <v>1451</v>
      </c>
      <c r="R1026" s="163">
        <f>IFERROR(__xludf.DUMMYFUNCTION("RANK(M1026,filter(M:M,C:C=C1026))"),179.0)</f>
        <v>179</v>
      </c>
      <c r="S1026" s="161" t="b">
        <f t="shared" si="5"/>
        <v>0</v>
      </c>
      <c r="T1026" s="161" t="b">
        <f t="array" ref="T1026">index('Query Tool'!B:B,match(H1026,'Query Tool'!C:C,0))</f>
        <v>1</v>
      </c>
      <c r="U1026" s="161" t="b">
        <f t="array" ref="U1026">index('Query Tool'!B:B,match(C1026,'Query Tool'!C:C,0))</f>
        <v>0</v>
      </c>
      <c r="V1026" s="161" t="b">
        <f>F1026&gt;='Query Tool'!C$32</f>
        <v>1</v>
      </c>
      <c r="W1026" s="161" t="b">
        <f t="array" ref="W1026">index(Dropdowns!B:B,match(I1026,Dropdowns!A:A,0))</f>
        <v>1</v>
      </c>
      <c r="X1026" s="161" t="b">
        <f t="array" ref="X1026">index('Query Tool'!B:B,match(D1026,'Query Tool'!C:C,0))</f>
        <v>1</v>
      </c>
      <c r="Y1026" s="161" t="str">
        <f t="shared" si="6"/>
        <v>livinsh01,2015-16</v>
      </c>
      <c r="Z1026" s="168">
        <f t="array" ref="Z1026">iferror(index(I:I,match($A1026&amp;","&amp;index('Year Conversion'!$A:$A,match($C1026,'Year Conversion'!$B:$B,0)),$Y:$Y,0))-I1026,"")</f>
        <v>1</v>
      </c>
      <c r="AA1026" s="168">
        <f t="array" ref="AA1026">iferror(index(J:J,match($A1026&amp;","&amp;index('Year Conversion'!$A:$A,match($C1026,'Year Conversion'!$B:$B,0)),$Y:$Y,0))-J1026,"")</f>
        <v>-1.138443513</v>
      </c>
      <c r="AB1026" s="168">
        <f t="array" ref="AB1026">iferror(index(K:K,match($A1026&amp;","&amp;index('Year Conversion'!$A:$A,match($C1026,'Year Conversion'!$B:$B,0)),$Y:$Y,0))-K1026,"")</f>
        <v>-0.9478383105</v>
      </c>
      <c r="AC1026" s="168" t="str">
        <f t="shared" si="7"/>
        <v>GSW,2015-16</v>
      </c>
    </row>
    <row r="1027">
      <c r="A1027" s="161" t="str">
        <f>IFERROR(__xludf.DUMMYFUNCTION("""COMPUTED_VALUE"""),"harride01")</f>
        <v>harride01</v>
      </c>
      <c r="B1027" s="161" t="str">
        <f>IFERROR(__xludf.DUMMYFUNCTION("""COMPUTED_VALUE"""),"Devin Harris")</f>
        <v>Devin Harris</v>
      </c>
      <c r="C1027" s="162" t="str">
        <f>IFERROR(__xludf.DUMMYFUNCTION("""COMPUTED_VALUE"""),"2015-16")</f>
        <v>2015-16</v>
      </c>
      <c r="D1027" s="163" t="str">
        <f>IFERROR(__xludf.DUMMYFUNCTION("""COMPUTED_VALUE"""),"DAL")</f>
        <v>DAL</v>
      </c>
      <c r="E1027" s="164" t="str">
        <f>IFERROR(__xludf.DUMMYFUNCTION("""COMPUTED_VALUE"""),"Secondary Ball Handler")</f>
        <v>Secondary Ball Handler</v>
      </c>
      <c r="F1027" s="164">
        <f>IFERROR(__xludf.DUMMYFUNCTION("""COMPUTED_VALUE"""),1280.45)</f>
        <v>1280.45</v>
      </c>
      <c r="G1027" s="163">
        <f>IFERROR(__xludf.DUMMYFUNCTION("""COMPUTED_VALUE"""),64.0)</f>
        <v>64</v>
      </c>
      <c r="H1027" s="163" t="str">
        <f>IFERROR(__xludf.DUMMYFUNCTION("""COMPUTED_VALUE"""),"PG")</f>
        <v>PG</v>
      </c>
      <c r="I1027" s="163">
        <f>IFERROR(__xludf.DUMMYFUNCTION("""COMPUTED_VALUE"""),32.0)</f>
        <v>32</v>
      </c>
      <c r="J1027" s="165">
        <f>IFERROR(__xludf.DUMMYFUNCTION("""COMPUTED_VALUE"""),0.188986111035987)</f>
        <v>0.188986111</v>
      </c>
      <c r="K1027" s="165">
        <f>IFERROR(__xludf.DUMMYFUNCTION("""COMPUTED_VALUE"""),0.106543010949248)</f>
        <v>0.1065430109</v>
      </c>
      <c r="L1027" s="165">
        <f>IFERROR(__xludf.DUMMYFUNCTION("""COMPUTED_VALUE"""),0.0824431000867389)</f>
        <v>0.08244310009</v>
      </c>
      <c r="M1027" s="166">
        <f t="shared" si="2"/>
        <v>2.137164339</v>
      </c>
      <c r="N1027" s="167">
        <f t="shared" si="3"/>
        <v>20.00703125</v>
      </c>
      <c r="O1027" s="163">
        <f t="shared" ref="O1027:Q1027" si="1031">rank(I1027,I:I)</f>
        <v>359</v>
      </c>
      <c r="P1027" s="163">
        <f t="shared" si="1031"/>
        <v>1100</v>
      </c>
      <c r="Q1027" s="163">
        <f t="shared" si="1031"/>
        <v>1063</v>
      </c>
      <c r="R1027" s="163">
        <f>IFERROR(__xludf.DUMMYFUNCTION("RANK(M1027,filter(M:M,C:C=C1027))"),151.0)</f>
        <v>151</v>
      </c>
      <c r="S1027" s="161" t="b">
        <f t="shared" si="5"/>
        <v>0</v>
      </c>
      <c r="T1027" s="161" t="b">
        <f t="array" ref="T1027">index('Query Tool'!B:B,match(H1027,'Query Tool'!C:C,0))</f>
        <v>1</v>
      </c>
      <c r="U1027" s="161" t="b">
        <f t="array" ref="U1027">index('Query Tool'!B:B,match(C1027,'Query Tool'!C:C,0))</f>
        <v>0</v>
      </c>
      <c r="V1027" s="161" t="b">
        <f>F1027&gt;='Query Tool'!C$32</f>
        <v>1</v>
      </c>
      <c r="W1027" s="161" t="b">
        <f t="array" ref="W1027">index(Dropdowns!B:B,match(I1027,Dropdowns!A:A,0))</f>
        <v>1</v>
      </c>
      <c r="X1027" s="161" t="b">
        <f t="array" ref="X1027">index('Query Tool'!B:B,match(D1027,'Query Tool'!C:C,0))</f>
        <v>1</v>
      </c>
      <c r="Y1027" s="161" t="str">
        <f t="shared" si="6"/>
        <v>harride01,2015-16</v>
      </c>
      <c r="Z1027" s="168">
        <f t="array" ref="Z1027">iferror(index(I:I,match($A1027&amp;","&amp;index('Year Conversion'!$A:$A,match($C1027,'Year Conversion'!$B:$B,0)),$Y:$Y,0))-I1027,"")</f>
        <v>1</v>
      </c>
      <c r="AA1027" s="168">
        <f t="array" ref="AA1027">iferror(index(J:J,match($A1027&amp;","&amp;index('Year Conversion'!$A:$A,match($C1027,'Year Conversion'!$B:$B,0)),$Y:$Y,0))-J1027,"")</f>
        <v>-0.1152311877</v>
      </c>
      <c r="AB1027" s="168">
        <f t="array" ref="AB1027">iferror(index(K:K,match($A1027&amp;","&amp;index('Year Conversion'!$A:$A,match($C1027,'Year Conversion'!$B:$B,0)),$Y:$Y,0))-K1027,"")</f>
        <v>0.3550973519</v>
      </c>
      <c r="AC1027" s="168" t="str">
        <f t="shared" si="7"/>
        <v>DAL,2015-16</v>
      </c>
    </row>
    <row r="1028">
      <c r="A1028" s="161" t="str">
        <f>IFERROR(__xludf.DUMMYFUNCTION("""COMPUTED_VALUE"""),"denglu01")</f>
        <v>denglu01</v>
      </c>
      <c r="B1028" s="161" t="str">
        <f>IFERROR(__xludf.DUMMYFUNCTION("""COMPUTED_VALUE"""),"Luol Deng")</f>
        <v>Luol Deng</v>
      </c>
      <c r="C1028" s="162" t="str">
        <f>IFERROR(__xludf.DUMMYFUNCTION("""COMPUTED_VALUE"""),"2015-16")</f>
        <v>2015-16</v>
      </c>
      <c r="D1028" s="163" t="str">
        <f>IFERROR(__xludf.DUMMYFUNCTION("""COMPUTED_VALUE"""),"MIA")</f>
        <v>MIA</v>
      </c>
      <c r="E1028" s="164" t="str">
        <f>IFERROR(__xludf.DUMMYFUNCTION("""COMPUTED_VALUE"""),"Athletic Finisher")</f>
        <v>Athletic Finisher</v>
      </c>
      <c r="F1028" s="164">
        <f>IFERROR(__xludf.DUMMYFUNCTION("""COMPUTED_VALUE"""),2393.91833333333)</f>
        <v>2393.918333</v>
      </c>
      <c r="G1028" s="163">
        <f>IFERROR(__xludf.DUMMYFUNCTION("""COMPUTED_VALUE"""),74.0)</f>
        <v>74</v>
      </c>
      <c r="H1028" s="163" t="str">
        <f>IFERROR(__xludf.DUMMYFUNCTION("""COMPUTED_VALUE"""),"PF")</f>
        <v>PF</v>
      </c>
      <c r="I1028" s="163">
        <f>IFERROR(__xludf.DUMMYFUNCTION("""COMPUTED_VALUE"""),30.0)</f>
        <v>30</v>
      </c>
      <c r="J1028" s="165">
        <f>IFERROR(__xludf.DUMMYFUNCTION("""COMPUTED_VALUE"""),-0.00340659887216871)</f>
        <v>-0.003406598872</v>
      </c>
      <c r="K1028" s="165">
        <f>IFERROR(__xludf.DUMMYFUNCTION("""COMPUTED_VALUE"""),0.200561233606911)</f>
        <v>0.2005612336</v>
      </c>
      <c r="L1028" s="165">
        <f>IFERROR(__xludf.DUMMYFUNCTION("""COMPUTED_VALUE"""),-0.203967832479079)</f>
        <v>-0.2039678325</v>
      </c>
      <c r="M1028" s="166">
        <f t="shared" si="2"/>
        <v>3.685125999</v>
      </c>
      <c r="N1028" s="167">
        <f t="shared" si="3"/>
        <v>32.35024775</v>
      </c>
      <c r="O1028" s="163">
        <f t="shared" ref="O1028:Q1028" si="1032">rank(I1028,I:I)</f>
        <v>655</v>
      </c>
      <c r="P1028" s="163">
        <f t="shared" si="1032"/>
        <v>1288</v>
      </c>
      <c r="Q1028" s="163">
        <f t="shared" si="1032"/>
        <v>980</v>
      </c>
      <c r="R1028" s="163">
        <f>IFERROR(__xludf.DUMMYFUNCTION("RANK(M1028,filter(M:M,C:C=C1028))"),95.0)</f>
        <v>95</v>
      </c>
      <c r="S1028" s="161" t="b">
        <f t="shared" si="5"/>
        <v>0</v>
      </c>
      <c r="T1028" s="161" t="b">
        <f t="array" ref="T1028">index('Query Tool'!B:B,match(H1028,'Query Tool'!C:C,0))</f>
        <v>1</v>
      </c>
      <c r="U1028" s="161" t="b">
        <f t="array" ref="U1028">index('Query Tool'!B:B,match(C1028,'Query Tool'!C:C,0))</f>
        <v>0</v>
      </c>
      <c r="V1028" s="161" t="b">
        <f>F1028&gt;='Query Tool'!C$32</f>
        <v>1</v>
      </c>
      <c r="W1028" s="161" t="b">
        <f t="array" ref="W1028">index(Dropdowns!B:B,match(I1028,Dropdowns!A:A,0))</f>
        <v>1</v>
      </c>
      <c r="X1028" s="161" t="b">
        <f t="array" ref="X1028">index('Query Tool'!B:B,match(D1028,'Query Tool'!C:C,0))</f>
        <v>1</v>
      </c>
      <c r="Y1028" s="161" t="str">
        <f t="shared" si="6"/>
        <v>denglu01,2015-16</v>
      </c>
      <c r="Z1028" s="168">
        <f t="array" ref="Z1028">iferror(index(I:I,match($A1028&amp;","&amp;index('Year Conversion'!$A:$A,match($C1028,'Year Conversion'!$B:$B,0)),$Y:$Y,0))-I1028,"")</f>
        <v>1</v>
      </c>
      <c r="AA1028" s="168">
        <f t="array" ref="AA1028">iferror(index(J:J,match($A1028&amp;","&amp;index('Year Conversion'!$A:$A,match($C1028,'Year Conversion'!$B:$B,0)),$Y:$Y,0))-J1028,"")</f>
        <v>-1.357433404</v>
      </c>
      <c r="AB1028" s="168">
        <f t="array" ref="AB1028">iferror(index(K:K,match($A1028&amp;","&amp;index('Year Conversion'!$A:$A,match($C1028,'Year Conversion'!$B:$B,0)),$Y:$Y,0))-K1028,"")</f>
        <v>-2.044452991</v>
      </c>
      <c r="AC1028" s="168" t="str">
        <f t="shared" si="7"/>
        <v>MIA,2015-16</v>
      </c>
    </row>
    <row r="1029">
      <c r="A1029" s="161" t="str">
        <f>IFERROR(__xludf.DUMMYFUNCTION("""COMPUTED_VALUE"""),"iguodan01")</f>
        <v>iguodan01</v>
      </c>
      <c r="B1029" s="161" t="str">
        <f>IFERROR(__xludf.DUMMYFUNCTION("""COMPUTED_VALUE"""),"Andre Iguodala")</f>
        <v>Andre Iguodala</v>
      </c>
      <c r="C1029" s="162" t="str">
        <f>IFERROR(__xludf.DUMMYFUNCTION("""COMPUTED_VALUE"""),"2015-16")</f>
        <v>2015-16</v>
      </c>
      <c r="D1029" s="163" t="str">
        <f>IFERROR(__xludf.DUMMYFUNCTION("""COMPUTED_VALUE"""),"GSW")</f>
        <v>GSW</v>
      </c>
      <c r="E1029" s="164" t="str">
        <f>IFERROR(__xludf.DUMMYFUNCTION("""COMPUTED_VALUE"""),"Stationary Shooter")</f>
        <v>Stationary Shooter</v>
      </c>
      <c r="F1029" s="164">
        <f>IFERROR(__xludf.DUMMYFUNCTION("""COMPUTED_VALUE"""),1731.64166666667)</f>
        <v>1731.641667</v>
      </c>
      <c r="G1029" s="163">
        <f>IFERROR(__xludf.DUMMYFUNCTION("""COMPUTED_VALUE"""),65.0)</f>
        <v>65</v>
      </c>
      <c r="H1029" s="163" t="str">
        <f>IFERROR(__xludf.DUMMYFUNCTION("""COMPUTED_VALUE"""),"SF")</f>
        <v>SF</v>
      </c>
      <c r="I1029" s="163">
        <f>IFERROR(__xludf.DUMMYFUNCTION("""COMPUTED_VALUE"""),32.0)</f>
        <v>32</v>
      </c>
      <c r="J1029" s="165">
        <f>IFERROR(__xludf.DUMMYFUNCTION("""COMPUTED_VALUE"""),0.167488779449232)</f>
        <v>0.1674887794</v>
      </c>
      <c r="K1029" s="165">
        <f>IFERROR(__xludf.DUMMYFUNCTION("""COMPUTED_VALUE"""),-0.0024607873272488)</f>
        <v>-0.002460787327</v>
      </c>
      <c r="L1029" s="165">
        <f>IFERROR(__xludf.DUMMYFUNCTION("""COMPUTED_VALUE"""),0.169949566776481)</f>
        <v>0.1699495668</v>
      </c>
      <c r="M1029" s="166">
        <f t="shared" si="2"/>
        <v>2.865142259</v>
      </c>
      <c r="N1029" s="167">
        <f t="shared" si="3"/>
        <v>26.64064103</v>
      </c>
      <c r="O1029" s="163">
        <f t="shared" ref="O1029:Q1029" si="1033">rank(I1029,I:I)</f>
        <v>359</v>
      </c>
      <c r="P1029" s="163">
        <f t="shared" si="1033"/>
        <v>1113</v>
      </c>
      <c r="Q1029" s="163">
        <f t="shared" si="1033"/>
        <v>1204</v>
      </c>
      <c r="R1029" s="163">
        <f>IFERROR(__xludf.DUMMYFUNCTION("RANK(M1029,filter(M:M,C:C=C1029))"),121.0)</f>
        <v>121</v>
      </c>
      <c r="S1029" s="161" t="b">
        <f t="shared" si="5"/>
        <v>0</v>
      </c>
      <c r="T1029" s="161" t="b">
        <f t="array" ref="T1029">index('Query Tool'!B:B,match(H1029,'Query Tool'!C:C,0))</f>
        <v>1</v>
      </c>
      <c r="U1029" s="161" t="b">
        <f t="array" ref="U1029">index('Query Tool'!B:B,match(C1029,'Query Tool'!C:C,0))</f>
        <v>0</v>
      </c>
      <c r="V1029" s="161" t="b">
        <f>F1029&gt;='Query Tool'!C$32</f>
        <v>1</v>
      </c>
      <c r="W1029" s="161" t="b">
        <f t="array" ref="W1029">index(Dropdowns!B:B,match(I1029,Dropdowns!A:A,0))</f>
        <v>1</v>
      </c>
      <c r="X1029" s="161" t="b">
        <f t="array" ref="X1029">index('Query Tool'!B:B,match(D1029,'Query Tool'!C:C,0))</f>
        <v>1</v>
      </c>
      <c r="Y1029" s="161" t="str">
        <f t="shared" si="6"/>
        <v>iguodan01,2015-16</v>
      </c>
      <c r="Z1029" s="168">
        <f t="array" ref="Z1029">iferror(index(I:I,match($A1029&amp;","&amp;index('Year Conversion'!$A:$A,match($C1029,'Year Conversion'!$B:$B,0)),$Y:$Y,0))-I1029,"")</f>
        <v>1</v>
      </c>
      <c r="AA1029" s="168">
        <f t="array" ref="AA1029">iferror(index(J:J,match($A1029&amp;","&amp;index('Year Conversion'!$A:$A,match($C1029,'Year Conversion'!$B:$B,0)),$Y:$Y,0))-J1029,"")</f>
        <v>1.857176681</v>
      </c>
      <c r="AB1029" s="168">
        <f t="array" ref="AB1029">iferror(index(K:K,match($A1029&amp;","&amp;index('Year Conversion'!$A:$A,match($C1029,'Year Conversion'!$B:$B,0)),$Y:$Y,0))-K1029,"")</f>
        <v>1.369974284</v>
      </c>
      <c r="AC1029" s="168" t="str">
        <f t="shared" si="7"/>
        <v>GSW,2015-16</v>
      </c>
    </row>
    <row r="1030">
      <c r="A1030" s="161" t="str">
        <f>IFERROR(__xludf.DUMMYFUNCTION("""COMPUTED_VALUE"""),"humphkr01")</f>
        <v>humphkr01</v>
      </c>
      <c r="B1030" s="161" t="str">
        <f>IFERROR(__xludf.DUMMYFUNCTION("""COMPUTED_VALUE"""),"Kris Humphries")</f>
        <v>Kris Humphries</v>
      </c>
      <c r="C1030" s="162" t="str">
        <f>IFERROR(__xludf.DUMMYFUNCTION("""COMPUTED_VALUE"""),"2015-16")</f>
        <v>2015-16</v>
      </c>
      <c r="D1030" s="163" t="str">
        <f>IFERROR(__xludf.DUMMYFUNCTION("""COMPUTED_VALUE"""),"TOT")</f>
        <v>TOT</v>
      </c>
      <c r="E1030" s="164" t="str">
        <f>IFERROR(__xludf.DUMMYFUNCTION("""COMPUTED_VALUE"""),"Stretch Big")</f>
        <v>Stretch Big</v>
      </c>
      <c r="F1030" s="164">
        <f>IFERROR(__xludf.DUMMYFUNCTION("""COMPUTED_VALUE"""),834.713333333333)</f>
        <v>834.7133333</v>
      </c>
      <c r="G1030" s="163">
        <f>IFERROR(__xludf.DUMMYFUNCTION("""COMPUTED_VALUE"""),53.0)</f>
        <v>53</v>
      </c>
      <c r="H1030" s="163" t="str">
        <f>IFERROR(__xludf.DUMMYFUNCTION("""COMPUTED_VALUE"""),"PF")</f>
        <v>PF</v>
      </c>
      <c r="I1030" s="163">
        <f>IFERROR(__xludf.DUMMYFUNCTION("""COMPUTED_VALUE"""),30.0)</f>
        <v>30</v>
      </c>
      <c r="J1030" s="165">
        <f>IFERROR(__xludf.DUMMYFUNCTION("""COMPUTED_VALUE"""),-1.00729649396633)</f>
        <v>-1.007296494</v>
      </c>
      <c r="K1030" s="165">
        <f>IFERROR(__xludf.DUMMYFUNCTION("""COMPUTED_VALUE"""),-0.751627637498697)</f>
        <v>-0.7516276375</v>
      </c>
      <c r="L1030" s="165">
        <f>IFERROR(__xludf.DUMMYFUNCTION("""COMPUTED_VALUE"""),-0.255668856467629)</f>
        <v>-0.2556688565</v>
      </c>
      <c r="M1030" s="166">
        <f t="shared" si="2"/>
        <v>0.7207860133</v>
      </c>
      <c r="N1030" s="167">
        <f t="shared" si="3"/>
        <v>15.74930818</v>
      </c>
      <c r="O1030" s="163">
        <f t="shared" ref="O1030:Q1030" si="1034">rank(I1030,I:I)</f>
        <v>655</v>
      </c>
      <c r="P1030" s="163">
        <f t="shared" si="1034"/>
        <v>2509</v>
      </c>
      <c r="Q1030" s="163">
        <f t="shared" si="1034"/>
        <v>2481</v>
      </c>
      <c r="R1030" s="163">
        <f>IFERROR(__xludf.DUMMYFUNCTION("RANK(M1030,filter(M:M,C:C=C1030))"),253.0)</f>
        <v>253</v>
      </c>
      <c r="S1030" s="161" t="b">
        <f t="shared" si="5"/>
        <v>0</v>
      </c>
      <c r="T1030" s="161" t="b">
        <f t="array" ref="T1030">index('Query Tool'!B:B,match(H1030,'Query Tool'!C:C,0))</f>
        <v>1</v>
      </c>
      <c r="U1030" s="161" t="b">
        <f t="array" ref="U1030">index('Query Tool'!B:B,match(C1030,'Query Tool'!C:C,0))</f>
        <v>0</v>
      </c>
      <c r="V1030" s="161" t="b">
        <f>F1030&gt;='Query Tool'!C$32</f>
        <v>1</v>
      </c>
      <c r="W1030" s="161" t="b">
        <f t="array" ref="W1030">index(Dropdowns!B:B,match(I1030,Dropdowns!A:A,0))</f>
        <v>1</v>
      </c>
      <c r="X1030" s="161" t="b">
        <f t="array" ref="X1030">index('Query Tool'!B:B,match(D1030,'Query Tool'!C:C,0))</f>
        <v>1</v>
      </c>
      <c r="Y1030" s="161" t="str">
        <f t="shared" si="6"/>
        <v>humphkr01,2015-16</v>
      </c>
      <c r="Z1030" s="168">
        <f t="array" ref="Z1030">iferror(index(I:I,match($A1030&amp;","&amp;index('Year Conversion'!$A:$A,match($C1030,'Year Conversion'!$B:$B,0)),$Y:$Y,0))-I1030,"")</f>
        <v>1</v>
      </c>
      <c r="AA1030" s="168">
        <f t="array" ref="AA1030">iferror(index(J:J,match($A1030&amp;","&amp;index('Year Conversion'!$A:$A,match($C1030,'Year Conversion'!$B:$B,0)),$Y:$Y,0))-J1030,"")</f>
        <v>-0.430407592</v>
      </c>
      <c r="AB1030" s="168">
        <f t="array" ref="AB1030">iferror(index(K:K,match($A1030&amp;","&amp;index('Year Conversion'!$A:$A,match($C1030,'Year Conversion'!$B:$B,0)),$Y:$Y,0))-K1030,"")</f>
        <v>-0.8813666235</v>
      </c>
      <c r="AC1030" s="168" t="str">
        <f t="shared" si="7"/>
        <v>TOT,2015-16</v>
      </c>
    </row>
    <row r="1031">
      <c r="A1031" s="161" t="str">
        <f>IFERROR(__xludf.DUMMYFUNCTION("""COMPUTED_VALUE"""),"jeffeal01")</f>
        <v>jeffeal01</v>
      </c>
      <c r="B1031" s="161" t="str">
        <f>IFERROR(__xludf.DUMMYFUNCTION("""COMPUTED_VALUE"""),"Al Jefferson")</f>
        <v>Al Jefferson</v>
      </c>
      <c r="C1031" s="162" t="str">
        <f>IFERROR(__xludf.DUMMYFUNCTION("""COMPUTED_VALUE"""),"2015-16")</f>
        <v>2015-16</v>
      </c>
      <c r="D1031" s="163" t="str">
        <f>IFERROR(__xludf.DUMMYFUNCTION("""COMPUTED_VALUE"""),"CHO")</f>
        <v>CHO</v>
      </c>
      <c r="E1031" s="164" t="str">
        <f>IFERROR(__xludf.DUMMYFUNCTION("""COMPUTED_VALUE"""),"Post Scorer")</f>
        <v>Post Scorer</v>
      </c>
      <c r="F1031" s="164">
        <f>IFERROR(__xludf.DUMMYFUNCTION("""COMPUTED_VALUE"""),1096.43833333333)</f>
        <v>1096.438333</v>
      </c>
      <c r="G1031" s="163">
        <f>IFERROR(__xludf.DUMMYFUNCTION("""COMPUTED_VALUE"""),47.0)</f>
        <v>47</v>
      </c>
      <c r="H1031" s="163" t="str">
        <f>IFERROR(__xludf.DUMMYFUNCTION("""COMPUTED_VALUE"""),"C")</f>
        <v>C</v>
      </c>
      <c r="I1031" s="163">
        <f>IFERROR(__xludf.DUMMYFUNCTION("""COMPUTED_VALUE"""),31.0)</f>
        <v>31</v>
      </c>
      <c r="J1031" s="165">
        <f>IFERROR(__xludf.DUMMYFUNCTION("""COMPUTED_VALUE"""),0.210255425485848)</f>
        <v>0.2102554255</v>
      </c>
      <c r="K1031" s="165">
        <f>IFERROR(__xludf.DUMMYFUNCTION("""COMPUTED_VALUE"""),-0.748922665965119)</f>
        <v>-0.748922666</v>
      </c>
      <c r="L1031" s="165">
        <f>IFERROR(__xludf.DUMMYFUNCTION("""COMPUTED_VALUE"""),0.959178091450967)</f>
        <v>0.9591780915</v>
      </c>
      <c r="M1031" s="166">
        <f t="shared" si="2"/>
        <v>1.845755286</v>
      </c>
      <c r="N1031" s="167">
        <f t="shared" si="3"/>
        <v>23.32847518</v>
      </c>
      <c r="O1031" s="163">
        <f t="shared" ref="O1031:Q1031" si="1035">rank(I1031,I:I)</f>
        <v>490</v>
      </c>
      <c r="P1031" s="163">
        <f t="shared" si="1035"/>
        <v>1078</v>
      </c>
      <c r="Q1031" s="163">
        <f t="shared" si="1035"/>
        <v>2475</v>
      </c>
      <c r="R1031" s="163">
        <f>IFERROR(__xludf.DUMMYFUNCTION("RANK(M1031,filter(M:M,C:C=C1031))"),165.0)</f>
        <v>165</v>
      </c>
      <c r="S1031" s="161" t="b">
        <f t="shared" si="5"/>
        <v>0</v>
      </c>
      <c r="T1031" s="161" t="b">
        <f t="array" ref="T1031">index('Query Tool'!B:B,match(H1031,'Query Tool'!C:C,0))</f>
        <v>1</v>
      </c>
      <c r="U1031" s="161" t="b">
        <f t="array" ref="U1031">index('Query Tool'!B:B,match(C1031,'Query Tool'!C:C,0))</f>
        <v>0</v>
      </c>
      <c r="V1031" s="161" t="b">
        <f>F1031&gt;='Query Tool'!C$32</f>
        <v>1</v>
      </c>
      <c r="W1031" s="161" t="b">
        <f t="array" ref="W1031">index(Dropdowns!B:B,match(I1031,Dropdowns!A:A,0))</f>
        <v>1</v>
      </c>
      <c r="X1031" s="161" t="b">
        <f t="array" ref="X1031">index('Query Tool'!B:B,match(D1031,'Query Tool'!C:C,0))</f>
        <v>1</v>
      </c>
      <c r="Y1031" s="161" t="str">
        <f t="shared" si="6"/>
        <v>jeffeal01,2015-16</v>
      </c>
      <c r="Z1031" s="168">
        <f t="array" ref="Z1031">iferror(index(I:I,match($A1031&amp;","&amp;index('Year Conversion'!$A:$A,match($C1031,'Year Conversion'!$B:$B,0)),$Y:$Y,0))-I1031,"")</f>
        <v>1</v>
      </c>
      <c r="AA1031" s="168">
        <f t="array" ref="AA1031">iferror(index(J:J,match($A1031&amp;","&amp;index('Year Conversion'!$A:$A,match($C1031,'Year Conversion'!$B:$B,0)),$Y:$Y,0))-J1031,"")</f>
        <v>-1.294666256</v>
      </c>
      <c r="AB1031" s="168">
        <f t="array" ref="AB1031">iferror(index(K:K,match($A1031&amp;","&amp;index('Year Conversion'!$A:$A,match($C1031,'Year Conversion'!$B:$B,0)),$Y:$Y,0))-K1031,"")</f>
        <v>0.1342612531</v>
      </c>
      <c r="AC1031" s="168" t="str">
        <f t="shared" si="7"/>
        <v>CHO,2015-16</v>
      </c>
    </row>
    <row r="1032">
      <c r="A1032" s="161" t="str">
        <f>IFERROR(__xludf.DUMMYFUNCTION("""COMPUTED_VALUE"""),"smithjo03")</f>
        <v>smithjo03</v>
      </c>
      <c r="B1032" s="161" t="str">
        <f>IFERROR(__xludf.DUMMYFUNCTION("""COMPUTED_VALUE"""),"Josh Smith")</f>
        <v>Josh Smith</v>
      </c>
      <c r="C1032" s="162" t="str">
        <f>IFERROR(__xludf.DUMMYFUNCTION("""COMPUTED_VALUE"""),"2015-16")</f>
        <v>2015-16</v>
      </c>
      <c r="D1032" s="163" t="str">
        <f>IFERROR(__xludf.DUMMYFUNCTION("""COMPUTED_VALUE"""),"TOT")</f>
        <v>TOT</v>
      </c>
      <c r="E1032" s="164" t="str">
        <f>IFERROR(__xludf.DUMMYFUNCTION("""COMPUTED_VALUE"""),"Stretch Big")</f>
        <v>Stretch Big</v>
      </c>
      <c r="F1032" s="164">
        <f>IFERROR(__xludf.DUMMYFUNCTION("""COMPUTED_VALUE"""),879.973333333333)</f>
        <v>879.9733333</v>
      </c>
      <c r="G1032" s="163">
        <f>IFERROR(__xludf.DUMMYFUNCTION("""COMPUTED_VALUE"""),55.0)</f>
        <v>55</v>
      </c>
      <c r="H1032" s="163" t="str">
        <f>IFERROR(__xludf.DUMMYFUNCTION("""COMPUTED_VALUE"""),"PF")</f>
        <v>PF</v>
      </c>
      <c r="I1032" s="163">
        <f>IFERROR(__xludf.DUMMYFUNCTION("""COMPUTED_VALUE"""),30.0)</f>
        <v>30</v>
      </c>
      <c r="J1032" s="165">
        <f>IFERROR(__xludf.DUMMYFUNCTION("""COMPUTED_VALUE"""),-0.125865441361716)</f>
        <v>-0.1258654414</v>
      </c>
      <c r="K1032" s="165">
        <f>IFERROR(__xludf.DUMMYFUNCTION("""COMPUTED_VALUE"""),-1.2913728778872)</f>
        <v>-1.291372878</v>
      </c>
      <c r="L1032" s="165">
        <f>IFERROR(__xludf.DUMMYFUNCTION("""COMPUTED_VALUE"""),1.16550743652548)</f>
        <v>1.165507437</v>
      </c>
      <c r="M1032" s="166">
        <f t="shared" si="2"/>
        <v>1.281955127</v>
      </c>
      <c r="N1032" s="167">
        <f t="shared" si="3"/>
        <v>15.99951515</v>
      </c>
      <c r="O1032" s="163">
        <f t="shared" ref="O1032:Q1032" si="1036">rank(I1032,I:I)</f>
        <v>655</v>
      </c>
      <c r="P1032" s="163">
        <f t="shared" si="1036"/>
        <v>1412</v>
      </c>
      <c r="Q1032" s="163">
        <f t="shared" si="1036"/>
        <v>3134</v>
      </c>
      <c r="R1032" s="163">
        <f>IFERROR(__xludf.DUMMYFUNCTION("RANK(M1032,filter(M:M,C:C=C1032))"),202.0)</f>
        <v>202</v>
      </c>
      <c r="S1032" s="161" t="b">
        <f t="shared" si="5"/>
        <v>0</v>
      </c>
      <c r="T1032" s="161" t="b">
        <f t="array" ref="T1032">index('Query Tool'!B:B,match(H1032,'Query Tool'!C:C,0))</f>
        <v>1</v>
      </c>
      <c r="U1032" s="161" t="b">
        <f t="array" ref="U1032">index('Query Tool'!B:B,match(C1032,'Query Tool'!C:C,0))</f>
        <v>0</v>
      </c>
      <c r="V1032" s="161" t="b">
        <f>F1032&gt;='Query Tool'!C$32</f>
        <v>1</v>
      </c>
      <c r="W1032" s="161" t="b">
        <f t="array" ref="W1032">index(Dropdowns!B:B,match(I1032,Dropdowns!A:A,0))</f>
        <v>1</v>
      </c>
      <c r="X1032" s="161" t="b">
        <f t="array" ref="X1032">index('Query Tool'!B:B,match(D1032,'Query Tool'!C:C,0))</f>
        <v>1</v>
      </c>
      <c r="Y1032" s="161" t="str">
        <f t="shared" si="6"/>
        <v>smithjo03,2015-16</v>
      </c>
      <c r="Z1032" s="168" t="str">
        <f t="array" ref="Z1032">iferror(index(I:I,match($A1032&amp;","&amp;index('Year Conversion'!$A:$A,match($C1032,'Year Conversion'!$B:$B,0)),$Y:$Y,0))-I1032,"")</f>
        <v/>
      </c>
      <c r="AA1032" s="168" t="str">
        <f t="array" ref="AA1032">iferror(index(J:J,match($A1032&amp;","&amp;index('Year Conversion'!$A:$A,match($C1032,'Year Conversion'!$B:$B,0)),$Y:$Y,0))-J1032,"")</f>
        <v/>
      </c>
      <c r="AB1032" s="168" t="str">
        <f t="array" ref="AB1032">iferror(index(K:K,match($A1032&amp;","&amp;index('Year Conversion'!$A:$A,match($C1032,'Year Conversion'!$B:$B,0)),$Y:$Y,0))-K1032,"")</f>
        <v/>
      </c>
      <c r="AC1032" s="168" t="str">
        <f t="shared" si="7"/>
        <v>TOT,2015-16</v>
      </c>
    </row>
    <row r="1033">
      <c r="A1033" s="161" t="str">
        <f>IFERROR(__xludf.DUMMYFUNCTION("""COMPUTED_VALUE"""),"smithjr01")</f>
        <v>smithjr01</v>
      </c>
      <c r="B1033" s="161" t="str">
        <f>IFERROR(__xludf.DUMMYFUNCTION("""COMPUTED_VALUE"""),"JR Smith")</f>
        <v>JR Smith</v>
      </c>
      <c r="C1033" s="162" t="str">
        <f>IFERROR(__xludf.DUMMYFUNCTION("""COMPUTED_VALUE"""),"2015-16")</f>
        <v>2015-16</v>
      </c>
      <c r="D1033" s="163" t="str">
        <f>IFERROR(__xludf.DUMMYFUNCTION("""COMPUTED_VALUE"""),"CLE")</f>
        <v>CLE</v>
      </c>
      <c r="E1033" s="164" t="str">
        <f>IFERROR(__xludf.DUMMYFUNCTION("""COMPUTED_VALUE"""),"Movement Shooter")</f>
        <v>Movement Shooter</v>
      </c>
      <c r="F1033" s="164">
        <f>IFERROR(__xludf.DUMMYFUNCTION("""COMPUTED_VALUE"""),2361.98833333333)</f>
        <v>2361.988333</v>
      </c>
      <c r="G1033" s="163">
        <f>IFERROR(__xludf.DUMMYFUNCTION("""COMPUTED_VALUE"""),77.0)</f>
        <v>77</v>
      </c>
      <c r="H1033" s="163" t="str">
        <f>IFERROR(__xludf.DUMMYFUNCTION("""COMPUTED_VALUE"""),"SG")</f>
        <v>SG</v>
      </c>
      <c r="I1033" s="163">
        <f>IFERROR(__xludf.DUMMYFUNCTION("""COMPUTED_VALUE"""),30.0)</f>
        <v>30</v>
      </c>
      <c r="J1033" s="165">
        <f>IFERROR(__xludf.DUMMYFUNCTION("""COMPUTED_VALUE"""),0.441064521596239)</f>
        <v>0.4410645216</v>
      </c>
      <c r="K1033" s="165">
        <f>IFERROR(__xludf.DUMMYFUNCTION("""COMPUTED_VALUE"""),0.678659116238504)</f>
        <v>0.6786591162</v>
      </c>
      <c r="L1033" s="165">
        <f>IFERROR(__xludf.DUMMYFUNCTION("""COMPUTED_VALUE"""),-0.237594594642264)</f>
        <v>-0.2375945946</v>
      </c>
      <c r="M1033" s="166">
        <f t="shared" si="2"/>
        <v>4.343572634</v>
      </c>
      <c r="N1033" s="167">
        <f t="shared" si="3"/>
        <v>30.67517316</v>
      </c>
      <c r="O1033" s="163">
        <f t="shared" ref="O1033:Q1033" si="1037">rank(I1033,I:I)</f>
        <v>655</v>
      </c>
      <c r="P1033" s="163">
        <f t="shared" si="1037"/>
        <v>929</v>
      </c>
      <c r="Q1033" s="163">
        <f t="shared" si="1037"/>
        <v>663</v>
      </c>
      <c r="R1033" s="163">
        <f>IFERROR(__xludf.DUMMYFUNCTION("RANK(M1033,filter(M:M,C:C=C1033))"),77.0)</f>
        <v>77</v>
      </c>
      <c r="S1033" s="161" t="b">
        <f t="shared" si="5"/>
        <v>0</v>
      </c>
      <c r="T1033" s="161" t="b">
        <f t="array" ref="T1033">index('Query Tool'!B:B,match(H1033,'Query Tool'!C:C,0))</f>
        <v>1</v>
      </c>
      <c r="U1033" s="161" t="b">
        <f t="array" ref="U1033">index('Query Tool'!B:B,match(C1033,'Query Tool'!C:C,0))</f>
        <v>0</v>
      </c>
      <c r="V1033" s="161" t="b">
        <f>F1033&gt;='Query Tool'!C$32</f>
        <v>1</v>
      </c>
      <c r="W1033" s="161" t="b">
        <f t="array" ref="W1033">index(Dropdowns!B:B,match(I1033,Dropdowns!A:A,0))</f>
        <v>1</v>
      </c>
      <c r="X1033" s="161" t="b">
        <f t="array" ref="X1033">index('Query Tool'!B:B,match(D1033,'Query Tool'!C:C,0))</f>
        <v>1</v>
      </c>
      <c r="Y1033" s="161" t="str">
        <f t="shared" si="6"/>
        <v>smithjr01,2015-16</v>
      </c>
      <c r="Z1033" s="168">
        <f t="array" ref="Z1033">iferror(index(I:I,match($A1033&amp;","&amp;index('Year Conversion'!$A:$A,match($C1033,'Year Conversion'!$B:$B,0)),$Y:$Y,0))-I1033,"")</f>
        <v>1</v>
      </c>
      <c r="AA1033" s="168">
        <f t="array" ref="AA1033">iferror(index(J:J,match($A1033&amp;","&amp;index('Year Conversion'!$A:$A,match($C1033,'Year Conversion'!$B:$B,0)),$Y:$Y,0))-J1033,"")</f>
        <v>-2.12637909</v>
      </c>
      <c r="AB1033" s="168">
        <f t="array" ref="AB1033">iferror(index(K:K,match($A1033&amp;","&amp;index('Year Conversion'!$A:$A,match($C1033,'Year Conversion'!$B:$B,0)),$Y:$Y,0))-K1033,"")</f>
        <v>-1.342721442</v>
      </c>
      <c r="AC1033" s="168" t="str">
        <f t="shared" si="7"/>
        <v>CLE,2015-16</v>
      </c>
    </row>
    <row r="1034">
      <c r="A1034" s="161" t="str">
        <f>IFERROR(__xludf.DUMMYFUNCTION("""COMPUTED_VALUE"""),"nelsoja01")</f>
        <v>nelsoja01</v>
      </c>
      <c r="B1034" s="161" t="str">
        <f>IFERROR(__xludf.DUMMYFUNCTION("""COMPUTED_VALUE"""),"Jameer Nelson")</f>
        <v>Jameer Nelson</v>
      </c>
      <c r="C1034" s="162" t="str">
        <f>IFERROR(__xludf.DUMMYFUNCTION("""COMPUTED_VALUE"""),"2015-16")</f>
        <v>2015-16</v>
      </c>
      <c r="D1034" s="163" t="str">
        <f>IFERROR(__xludf.DUMMYFUNCTION("""COMPUTED_VALUE"""),"DEN")</f>
        <v>DEN</v>
      </c>
      <c r="E1034" s="164" t="str">
        <f>IFERROR(__xludf.DUMMYFUNCTION("""COMPUTED_VALUE"""),"Primary Ball Handler")</f>
        <v>Primary Ball Handler</v>
      </c>
      <c r="F1034" s="164">
        <f>IFERROR(__xludf.DUMMYFUNCTION("""COMPUTED_VALUE"""),1035.655)</f>
        <v>1035.655</v>
      </c>
      <c r="G1034" s="163">
        <f>IFERROR(__xludf.DUMMYFUNCTION("""COMPUTED_VALUE"""),39.0)</f>
        <v>39</v>
      </c>
      <c r="H1034" s="163" t="str">
        <f>IFERROR(__xludf.DUMMYFUNCTION("""COMPUTED_VALUE"""),"PG")</f>
        <v>PG</v>
      </c>
      <c r="I1034" s="163">
        <f>IFERROR(__xludf.DUMMYFUNCTION("""COMPUTED_VALUE"""),33.0)</f>
        <v>33</v>
      </c>
      <c r="J1034" s="165">
        <f>IFERROR(__xludf.DUMMYFUNCTION("""COMPUTED_VALUE"""),-1.1333818448296)</f>
        <v>-1.133381845</v>
      </c>
      <c r="K1034" s="165">
        <f>IFERROR(__xludf.DUMMYFUNCTION("""COMPUTED_VALUE"""),-0.428181273000662)</f>
        <v>-0.428181273</v>
      </c>
      <c r="L1034" s="165">
        <f>IFERROR(__xludf.DUMMYFUNCTION("""COMPUTED_VALUE"""),-0.705200571828941)</f>
        <v>-0.7052005718</v>
      </c>
      <c r="M1034" s="166">
        <f t="shared" si="2"/>
        <v>0.8066849432</v>
      </c>
      <c r="N1034" s="167">
        <f t="shared" si="3"/>
        <v>26.55525641</v>
      </c>
      <c r="O1034" s="163">
        <f t="shared" ref="O1034:Q1034" si="1038">rank(I1034,I:I)</f>
        <v>246</v>
      </c>
      <c r="P1034" s="163">
        <f t="shared" si="1038"/>
        <v>2665</v>
      </c>
      <c r="Q1034" s="163">
        <f t="shared" si="1038"/>
        <v>1998</v>
      </c>
      <c r="R1034" s="163">
        <f>IFERROR(__xludf.DUMMYFUNCTION("RANK(M1034,filter(M:M,C:C=C1034))"),240.0)</f>
        <v>240</v>
      </c>
      <c r="S1034" s="161" t="b">
        <f t="shared" si="5"/>
        <v>0</v>
      </c>
      <c r="T1034" s="161" t="b">
        <f t="array" ref="T1034">index('Query Tool'!B:B,match(H1034,'Query Tool'!C:C,0))</f>
        <v>1</v>
      </c>
      <c r="U1034" s="161" t="b">
        <f t="array" ref="U1034">index('Query Tool'!B:B,match(C1034,'Query Tool'!C:C,0))</f>
        <v>0</v>
      </c>
      <c r="V1034" s="161" t="b">
        <f>F1034&gt;='Query Tool'!C$32</f>
        <v>1</v>
      </c>
      <c r="W1034" s="161" t="b">
        <f t="array" ref="W1034">index(Dropdowns!B:B,match(I1034,Dropdowns!A:A,0))</f>
        <v>1</v>
      </c>
      <c r="X1034" s="161" t="b">
        <f t="array" ref="X1034">index('Query Tool'!B:B,match(D1034,'Query Tool'!C:C,0))</f>
        <v>1</v>
      </c>
      <c r="Y1034" s="161" t="str">
        <f t="shared" si="6"/>
        <v>nelsoja01,2015-16</v>
      </c>
      <c r="Z1034" s="168">
        <f t="array" ref="Z1034">iferror(index(I:I,match($A1034&amp;","&amp;index('Year Conversion'!$A:$A,match($C1034,'Year Conversion'!$B:$B,0)),$Y:$Y,0))-I1034,"")</f>
        <v>1</v>
      </c>
      <c r="AA1034" s="168">
        <f t="array" ref="AA1034">iferror(index(J:J,match($A1034&amp;","&amp;index('Year Conversion'!$A:$A,match($C1034,'Year Conversion'!$B:$B,0)),$Y:$Y,0))-J1034,"")</f>
        <v>1.342722183</v>
      </c>
      <c r="AB1034" s="168">
        <f t="array" ref="AB1034">iferror(index(K:K,match($A1034&amp;","&amp;index('Year Conversion'!$A:$A,match($C1034,'Year Conversion'!$B:$B,0)),$Y:$Y,0))-K1034,"")</f>
        <v>0.8035647997</v>
      </c>
      <c r="AC1034" s="168" t="str">
        <f t="shared" si="7"/>
        <v>DEN,2015-16</v>
      </c>
    </row>
    <row r="1035">
      <c r="A1035" s="161" t="str">
        <f>IFERROR(__xludf.DUMMYFUNCTION("""COMPUTED_VALUE"""),"allento01")</f>
        <v>allento01</v>
      </c>
      <c r="B1035" s="161" t="str">
        <f>IFERROR(__xludf.DUMMYFUNCTION("""COMPUTED_VALUE"""),"Tony Allen")</f>
        <v>Tony Allen</v>
      </c>
      <c r="C1035" s="162" t="str">
        <f>IFERROR(__xludf.DUMMYFUNCTION("""COMPUTED_VALUE"""),"2015-16")</f>
        <v>2015-16</v>
      </c>
      <c r="D1035" s="163" t="str">
        <f>IFERROR(__xludf.DUMMYFUNCTION("""COMPUTED_VALUE"""),"MEM")</f>
        <v>MEM</v>
      </c>
      <c r="E1035" s="164" t="str">
        <f>IFERROR(__xludf.DUMMYFUNCTION("""COMPUTED_VALUE"""),"Athletic Finisher")</f>
        <v>Athletic Finisher</v>
      </c>
      <c r="F1035" s="164">
        <f>IFERROR(__xludf.DUMMYFUNCTION("""COMPUTED_VALUE"""),1619.82166666667)</f>
        <v>1619.821667</v>
      </c>
      <c r="G1035" s="163">
        <f>IFERROR(__xludf.DUMMYFUNCTION("""COMPUTED_VALUE"""),64.0)</f>
        <v>64</v>
      </c>
      <c r="H1035" s="163" t="str">
        <f>IFERROR(__xludf.DUMMYFUNCTION("""COMPUTED_VALUE"""),"SG")</f>
        <v>SG</v>
      </c>
      <c r="I1035" s="163">
        <f>IFERROR(__xludf.DUMMYFUNCTION("""COMPUTED_VALUE"""),34.0)</f>
        <v>34</v>
      </c>
      <c r="J1035" s="165">
        <f>IFERROR(__xludf.DUMMYFUNCTION("""COMPUTED_VALUE"""),-0.129715093560722)</f>
        <v>-0.1297150936</v>
      </c>
      <c r="K1035" s="165">
        <f>IFERROR(__xludf.DUMMYFUNCTION("""COMPUTED_VALUE"""),-1.11250490438126)</f>
        <v>-1.112504904</v>
      </c>
      <c r="L1035" s="165">
        <f>IFERROR(__xludf.DUMMYFUNCTION("""COMPUTED_VALUE"""),0.982789810820538)</f>
        <v>0.9827898108</v>
      </c>
      <c r="M1035" s="166">
        <f t="shared" si="2"/>
        <v>2.355570772</v>
      </c>
      <c r="N1035" s="167">
        <f t="shared" si="3"/>
        <v>25.30971354</v>
      </c>
      <c r="O1035" s="163">
        <f t="shared" ref="O1035:Q1035" si="1039">rank(I1035,I:I)</f>
        <v>164</v>
      </c>
      <c r="P1035" s="163">
        <f t="shared" si="1039"/>
        <v>1416</v>
      </c>
      <c r="Q1035" s="163">
        <f t="shared" si="1039"/>
        <v>2941</v>
      </c>
      <c r="R1035" s="163">
        <f>IFERROR(__xludf.DUMMYFUNCTION("RANK(M1035,filter(M:M,C:C=C1035))"),141.0)</f>
        <v>141</v>
      </c>
      <c r="S1035" s="161" t="b">
        <f t="shared" si="5"/>
        <v>0</v>
      </c>
      <c r="T1035" s="161" t="b">
        <f t="array" ref="T1035">index('Query Tool'!B:B,match(H1035,'Query Tool'!C:C,0))</f>
        <v>1</v>
      </c>
      <c r="U1035" s="161" t="b">
        <f t="array" ref="U1035">index('Query Tool'!B:B,match(C1035,'Query Tool'!C:C,0))</f>
        <v>0</v>
      </c>
      <c r="V1035" s="161" t="b">
        <f>F1035&gt;='Query Tool'!C$32</f>
        <v>1</v>
      </c>
      <c r="W1035" s="161" t="b">
        <f t="array" ref="W1035">index(Dropdowns!B:B,match(I1035,Dropdowns!A:A,0))</f>
        <v>1</v>
      </c>
      <c r="X1035" s="161" t="b">
        <f t="array" ref="X1035">index('Query Tool'!B:B,match(D1035,'Query Tool'!C:C,0))</f>
        <v>1</v>
      </c>
      <c r="Y1035" s="161" t="str">
        <f t="shared" si="6"/>
        <v>allento01,2015-16</v>
      </c>
      <c r="Z1035" s="168">
        <f t="array" ref="Z1035">iferror(index(I:I,match($A1035&amp;","&amp;index('Year Conversion'!$A:$A,match($C1035,'Year Conversion'!$B:$B,0)),$Y:$Y,0))-I1035,"")</f>
        <v>1</v>
      </c>
      <c r="AA1035" s="168">
        <f t="array" ref="AA1035">iferror(index(J:J,match($A1035&amp;","&amp;index('Year Conversion'!$A:$A,match($C1035,'Year Conversion'!$B:$B,0)),$Y:$Y,0))-J1035,"")</f>
        <v>0.106690703</v>
      </c>
      <c r="AB1035" s="168">
        <f t="array" ref="AB1035">iferror(index(K:K,match($A1035&amp;","&amp;index('Year Conversion'!$A:$A,match($C1035,'Year Conversion'!$B:$B,0)),$Y:$Y,0))-K1035,"")</f>
        <v>-0.1517280679</v>
      </c>
      <c r="AC1035" s="168" t="str">
        <f t="shared" si="7"/>
        <v>MEM,2015-16</v>
      </c>
    </row>
    <row r="1036">
      <c r="A1036" s="161" t="str">
        <f>IFERROR(__xludf.DUMMYFUNCTION("""COMPUTED_VALUE"""),"martike02")</f>
        <v>martike02</v>
      </c>
      <c r="B1036" s="161" t="str">
        <f>IFERROR(__xludf.DUMMYFUNCTION("""COMPUTED_VALUE"""),"Kevin Martin")</f>
        <v>Kevin Martin</v>
      </c>
      <c r="C1036" s="162" t="str">
        <f>IFERROR(__xludf.DUMMYFUNCTION("""COMPUTED_VALUE"""),"2015-16")</f>
        <v>2015-16</v>
      </c>
      <c r="D1036" s="163" t="str">
        <f>IFERROR(__xludf.DUMMYFUNCTION("""COMPUTED_VALUE"""),"TOT")</f>
        <v>TOT</v>
      </c>
      <c r="E1036" s="164" t="str">
        <f>IFERROR(__xludf.DUMMYFUNCTION("""COMPUTED_VALUE"""),"Off Screen Shooter")</f>
        <v>Off Screen Shooter</v>
      </c>
      <c r="F1036" s="164">
        <f>IFERROR(__xludf.DUMMYFUNCTION("""COMPUTED_VALUE"""),1094.98)</f>
        <v>1094.98</v>
      </c>
      <c r="G1036" s="163">
        <f>IFERROR(__xludf.DUMMYFUNCTION("""COMPUTED_VALUE"""),55.0)</f>
        <v>55</v>
      </c>
      <c r="H1036" s="163" t="str">
        <f>IFERROR(__xludf.DUMMYFUNCTION("""COMPUTED_VALUE"""),"SG")</f>
        <v>SG</v>
      </c>
      <c r="I1036" s="163">
        <f>IFERROR(__xludf.DUMMYFUNCTION("""COMPUTED_VALUE"""),32.0)</f>
        <v>32</v>
      </c>
      <c r="J1036" s="165">
        <f>IFERROR(__xludf.DUMMYFUNCTION("""COMPUTED_VALUE"""),-2.40025729429809)</f>
        <v>-2.400257294</v>
      </c>
      <c r="K1036" s="165">
        <f>IFERROR(__xludf.DUMMYFUNCTION("""COMPUTED_VALUE"""),-1.05067191335978)</f>
        <v>-1.050671913</v>
      </c>
      <c r="L1036" s="165">
        <f>IFERROR(__xludf.DUMMYFUNCTION("""COMPUTED_VALUE"""),-1.3495853809383)</f>
        <v>-1.349585381</v>
      </c>
      <c r="M1036" s="166">
        <f t="shared" si="2"/>
        <v>-0.06978737849</v>
      </c>
      <c r="N1036" s="167">
        <f t="shared" si="3"/>
        <v>19.90872727</v>
      </c>
      <c r="O1036" s="163">
        <f t="shared" ref="O1036:Q1036" si="1040">rank(I1036,I:I)</f>
        <v>359</v>
      </c>
      <c r="P1036" s="163">
        <f t="shared" si="1040"/>
        <v>3717</v>
      </c>
      <c r="Q1036" s="163">
        <f t="shared" si="1040"/>
        <v>2872</v>
      </c>
      <c r="R1036" s="163">
        <f>IFERROR(__xludf.DUMMYFUNCTION("RANK(M1036,filter(M:M,C:C=C1036))"),438.0)</f>
        <v>438</v>
      </c>
      <c r="S1036" s="161" t="b">
        <f t="shared" si="5"/>
        <v>0</v>
      </c>
      <c r="T1036" s="161" t="b">
        <f t="array" ref="T1036">index('Query Tool'!B:B,match(H1036,'Query Tool'!C:C,0))</f>
        <v>1</v>
      </c>
      <c r="U1036" s="161" t="b">
        <f t="array" ref="U1036">index('Query Tool'!B:B,match(C1036,'Query Tool'!C:C,0))</f>
        <v>0</v>
      </c>
      <c r="V1036" s="161" t="b">
        <f>F1036&gt;='Query Tool'!C$32</f>
        <v>1</v>
      </c>
      <c r="W1036" s="161" t="b">
        <f t="array" ref="W1036">index(Dropdowns!B:B,match(I1036,Dropdowns!A:A,0))</f>
        <v>1</v>
      </c>
      <c r="X1036" s="161" t="b">
        <f t="array" ref="X1036">index('Query Tool'!B:B,match(D1036,'Query Tool'!C:C,0))</f>
        <v>1</v>
      </c>
      <c r="Y1036" s="161" t="str">
        <f t="shared" si="6"/>
        <v>martike02,2015-16</v>
      </c>
      <c r="Z1036" s="168" t="str">
        <f t="array" ref="Z1036">iferror(index(I:I,match($A1036&amp;","&amp;index('Year Conversion'!$A:$A,match($C1036,'Year Conversion'!$B:$B,0)),$Y:$Y,0))-I1036,"")</f>
        <v/>
      </c>
      <c r="AA1036" s="168" t="str">
        <f t="array" ref="AA1036">iferror(index(J:J,match($A1036&amp;","&amp;index('Year Conversion'!$A:$A,match($C1036,'Year Conversion'!$B:$B,0)),$Y:$Y,0))-J1036,"")</f>
        <v/>
      </c>
      <c r="AB1036" s="168" t="str">
        <f t="array" ref="AB1036">iferror(index(K:K,match($A1036&amp;","&amp;index('Year Conversion'!$A:$A,match($C1036,'Year Conversion'!$B:$B,0)),$Y:$Y,0))-K1036,"")</f>
        <v/>
      </c>
      <c r="AC1036" s="168" t="str">
        <f t="shared" si="7"/>
        <v>TOT,2015-16</v>
      </c>
    </row>
    <row r="1037">
      <c r="A1037" s="161" t="str">
        <f>IFERROR(__xludf.DUMMYFUNCTION("""COMPUTED_VALUE"""),"vujacsa01")</f>
        <v>vujacsa01</v>
      </c>
      <c r="B1037" s="161" t="str">
        <f>IFERROR(__xludf.DUMMYFUNCTION("""COMPUTED_VALUE"""),"Sasha Vujacic")</f>
        <v>Sasha Vujacic</v>
      </c>
      <c r="C1037" s="162" t="str">
        <f>IFERROR(__xludf.DUMMYFUNCTION("""COMPUTED_VALUE"""),"2015-16")</f>
        <v>2015-16</v>
      </c>
      <c r="D1037" s="163" t="str">
        <f>IFERROR(__xludf.DUMMYFUNCTION("""COMPUTED_VALUE"""),"NYK")</f>
        <v>NYK</v>
      </c>
      <c r="E1037" s="164" t="str">
        <f>IFERROR(__xludf.DUMMYFUNCTION("""COMPUTED_VALUE"""),"Movement Shooter")</f>
        <v>Movement Shooter</v>
      </c>
      <c r="F1037" s="164">
        <f>IFERROR(__xludf.DUMMYFUNCTION("""COMPUTED_VALUE"""),908.391666666667)</f>
        <v>908.3916667</v>
      </c>
      <c r="G1037" s="163">
        <f>IFERROR(__xludf.DUMMYFUNCTION("""COMPUTED_VALUE"""),61.0)</f>
        <v>61</v>
      </c>
      <c r="H1037" s="163" t="str">
        <f>IFERROR(__xludf.DUMMYFUNCTION("""COMPUTED_VALUE"""),"SG")</f>
        <v>SG</v>
      </c>
      <c r="I1037" s="163">
        <f>IFERROR(__xludf.DUMMYFUNCTION("""COMPUTED_VALUE"""),31.0)</f>
        <v>31</v>
      </c>
      <c r="J1037" s="165">
        <f>IFERROR(__xludf.DUMMYFUNCTION("""COMPUTED_VALUE"""),-0.812747283128203)</f>
        <v>-0.8127472831</v>
      </c>
      <c r="K1037" s="165">
        <f>IFERROR(__xludf.DUMMYFUNCTION("""COMPUTED_VALUE"""),-0.655572342410024)</f>
        <v>-0.6555723424</v>
      </c>
      <c r="L1037" s="165">
        <f>IFERROR(__xludf.DUMMYFUNCTION("""COMPUTED_VALUE"""),-0.157174940718179)</f>
        <v>-0.1571749407</v>
      </c>
      <c r="M1037" s="166">
        <f t="shared" si="2"/>
        <v>0.9031438769</v>
      </c>
      <c r="N1037" s="167">
        <f t="shared" si="3"/>
        <v>14.89166667</v>
      </c>
      <c r="O1037" s="163">
        <f t="shared" ref="O1037:Q1037" si="1041">rank(I1037,I:I)</f>
        <v>490</v>
      </c>
      <c r="P1037" s="163">
        <f t="shared" si="1041"/>
        <v>2301</v>
      </c>
      <c r="Q1037" s="163">
        <f t="shared" si="1041"/>
        <v>2340</v>
      </c>
      <c r="R1037" s="163">
        <f>IFERROR(__xludf.DUMMYFUNCTION("RANK(M1037,filter(M:M,C:C=C1037))"),227.0)</f>
        <v>227</v>
      </c>
      <c r="S1037" s="161" t="b">
        <f t="shared" si="5"/>
        <v>0</v>
      </c>
      <c r="T1037" s="161" t="b">
        <f t="array" ref="T1037">index('Query Tool'!B:B,match(H1037,'Query Tool'!C:C,0))</f>
        <v>1</v>
      </c>
      <c r="U1037" s="161" t="b">
        <f t="array" ref="U1037">index('Query Tool'!B:B,match(C1037,'Query Tool'!C:C,0))</f>
        <v>0</v>
      </c>
      <c r="V1037" s="161" t="b">
        <f>F1037&gt;='Query Tool'!C$32</f>
        <v>1</v>
      </c>
      <c r="W1037" s="161" t="b">
        <f t="array" ref="W1037">index(Dropdowns!B:B,match(I1037,Dropdowns!A:A,0))</f>
        <v>1</v>
      </c>
      <c r="X1037" s="161" t="b">
        <f t="array" ref="X1037">index('Query Tool'!B:B,match(D1037,'Query Tool'!C:C,0))</f>
        <v>1</v>
      </c>
      <c r="Y1037" s="161" t="str">
        <f t="shared" si="6"/>
        <v>vujacsa01,2015-16</v>
      </c>
      <c r="Z1037" s="168">
        <f t="array" ref="Z1037">iferror(index(I:I,match($A1037&amp;","&amp;index('Year Conversion'!$A:$A,match($C1037,'Year Conversion'!$B:$B,0)),$Y:$Y,0))-I1037,"")</f>
        <v>1</v>
      </c>
      <c r="AA1037" s="168">
        <f t="array" ref="AA1037">iferror(index(J:J,match($A1037&amp;","&amp;index('Year Conversion'!$A:$A,match($C1037,'Year Conversion'!$B:$B,0)),$Y:$Y,0))-J1037,"")</f>
        <v>0.2430165246</v>
      </c>
      <c r="AB1037" s="168">
        <f t="array" ref="AB1037">iferror(index(K:K,match($A1037&amp;","&amp;index('Year Conversion'!$A:$A,match($C1037,'Year Conversion'!$B:$B,0)),$Y:$Y,0))-K1037,"")</f>
        <v>0.6109911617</v>
      </c>
      <c r="AC1037" s="168" t="str">
        <f t="shared" si="7"/>
        <v>NYK,2015-16</v>
      </c>
    </row>
    <row r="1038">
      <c r="A1038" s="161" t="str">
        <f>IFERROR(__xludf.DUMMYFUNCTION("""COMPUTED_VALUE"""),"udrihbe01")</f>
        <v>udrihbe01</v>
      </c>
      <c r="B1038" s="161" t="str">
        <f>IFERROR(__xludf.DUMMYFUNCTION("""COMPUTED_VALUE"""),"Beno Udrih")</f>
        <v>Beno Udrih</v>
      </c>
      <c r="C1038" s="162" t="str">
        <f>IFERROR(__xludf.DUMMYFUNCTION("""COMPUTED_VALUE"""),"2015-16")</f>
        <v>2015-16</v>
      </c>
      <c r="D1038" s="163" t="str">
        <f>IFERROR(__xludf.DUMMYFUNCTION("""COMPUTED_VALUE"""),"TOT")</f>
        <v>TOT</v>
      </c>
      <c r="E1038" s="164" t="str">
        <f>IFERROR(__xludf.DUMMYFUNCTION("""COMPUTED_VALUE"""),"Secondary Ball Handler")</f>
        <v>Secondary Ball Handler</v>
      </c>
      <c r="F1038" s="164">
        <f>IFERROR(__xludf.DUMMYFUNCTION("""COMPUTED_VALUE"""),707.653333333333)</f>
        <v>707.6533333</v>
      </c>
      <c r="G1038" s="163">
        <f>IFERROR(__xludf.DUMMYFUNCTION("""COMPUTED_VALUE"""),44.0)</f>
        <v>44</v>
      </c>
      <c r="H1038" s="163" t="str">
        <f>IFERROR(__xludf.DUMMYFUNCTION("""COMPUTED_VALUE"""),"PG")</f>
        <v>PG</v>
      </c>
      <c r="I1038" s="163">
        <f>IFERROR(__xludf.DUMMYFUNCTION("""COMPUTED_VALUE"""),33.0)</f>
        <v>33</v>
      </c>
      <c r="J1038" s="165">
        <f>IFERROR(__xludf.DUMMYFUNCTION("""COMPUTED_VALUE"""),-2.34815155802138)</f>
        <v>-2.348151558</v>
      </c>
      <c r="K1038" s="165">
        <f>IFERROR(__xludf.DUMMYFUNCTION("""COMPUTED_VALUE"""),-1.38479658183317)</f>
        <v>-1.384796582</v>
      </c>
      <c r="L1038" s="165">
        <f>IFERROR(__xludf.DUMMYFUNCTION("""COMPUTED_VALUE"""),-0.96335497618821)</f>
        <v>-0.9633549762</v>
      </c>
      <c r="M1038" s="166">
        <f t="shared" si="2"/>
        <v>-0.02081726901</v>
      </c>
      <c r="N1038" s="167">
        <f t="shared" si="3"/>
        <v>16.0830303</v>
      </c>
      <c r="O1038" s="163">
        <f t="shared" ref="O1038:Q1038" si="1042">rank(I1038,I:I)</f>
        <v>246</v>
      </c>
      <c r="P1038" s="163">
        <f t="shared" si="1042"/>
        <v>3684</v>
      </c>
      <c r="Q1038" s="163">
        <f t="shared" si="1042"/>
        <v>3234</v>
      </c>
      <c r="R1038" s="163">
        <f>IFERROR(__xludf.DUMMYFUNCTION("RANK(M1038,filter(M:M,C:C=C1038))"),431.0)</f>
        <v>431</v>
      </c>
      <c r="S1038" s="161" t="b">
        <f t="shared" si="5"/>
        <v>0</v>
      </c>
      <c r="T1038" s="161" t="b">
        <f t="array" ref="T1038">index('Query Tool'!B:B,match(H1038,'Query Tool'!C:C,0))</f>
        <v>1</v>
      </c>
      <c r="U1038" s="161" t="b">
        <f t="array" ref="U1038">index('Query Tool'!B:B,match(C1038,'Query Tool'!C:C,0))</f>
        <v>0</v>
      </c>
      <c r="V1038" s="161" t="b">
        <f>F1038&gt;='Query Tool'!C$32</f>
        <v>1</v>
      </c>
      <c r="W1038" s="161" t="b">
        <f t="array" ref="W1038">index(Dropdowns!B:B,match(I1038,Dropdowns!A:A,0))</f>
        <v>1</v>
      </c>
      <c r="X1038" s="161" t="b">
        <f t="array" ref="X1038">index('Query Tool'!B:B,match(D1038,'Query Tool'!C:C,0))</f>
        <v>1</v>
      </c>
      <c r="Y1038" s="161" t="str">
        <f t="shared" si="6"/>
        <v>udrihbe01,2015-16</v>
      </c>
      <c r="Z1038" s="168">
        <f t="array" ref="Z1038">iferror(index(I:I,match($A1038&amp;","&amp;index('Year Conversion'!$A:$A,match($C1038,'Year Conversion'!$B:$B,0)),$Y:$Y,0))-I1038,"")</f>
        <v>1</v>
      </c>
      <c r="AA1038" s="168">
        <f t="array" ref="AA1038">iferror(index(J:J,match($A1038&amp;","&amp;index('Year Conversion'!$A:$A,match($C1038,'Year Conversion'!$B:$B,0)),$Y:$Y,0))-J1038,"")</f>
        <v>2.561773425</v>
      </c>
      <c r="AB1038" s="168">
        <f t="array" ref="AB1038">iferror(index(K:K,match($A1038&amp;","&amp;index('Year Conversion'!$A:$A,match($C1038,'Year Conversion'!$B:$B,0)),$Y:$Y,0))-K1038,"")</f>
        <v>1.712812805</v>
      </c>
      <c r="AC1038" s="168" t="str">
        <f t="shared" si="7"/>
        <v>TOT,2015-16</v>
      </c>
    </row>
    <row r="1039">
      <c r="A1039" s="161" t="str">
        <f>IFERROR(__xludf.DUMMYFUNCTION("""COMPUTED_VALUE"""),"varejan01")</f>
        <v>varejan01</v>
      </c>
      <c r="B1039" s="161" t="str">
        <f>IFERROR(__xludf.DUMMYFUNCTION("""COMPUTED_VALUE"""),"Anderson Varejao")</f>
        <v>Anderson Varejao</v>
      </c>
      <c r="C1039" s="162" t="str">
        <f>IFERROR(__xludf.DUMMYFUNCTION("""COMPUTED_VALUE"""),"2015-16")</f>
        <v>2015-16</v>
      </c>
      <c r="D1039" s="163" t="str">
        <f>IFERROR(__xludf.DUMMYFUNCTION("""COMPUTED_VALUE"""),"TOT")</f>
        <v>TOT</v>
      </c>
      <c r="E1039" s="164" t="str">
        <f>IFERROR(__xludf.DUMMYFUNCTION("""COMPUTED_VALUE"""),"Roll + Cut Big")</f>
        <v>Roll + Cut Big</v>
      </c>
      <c r="F1039" s="164">
        <f>IFERROR(__xludf.DUMMYFUNCTION("""COMPUTED_VALUE"""),495.606666666667)</f>
        <v>495.6066667</v>
      </c>
      <c r="G1039" s="163">
        <f>IFERROR(__xludf.DUMMYFUNCTION("""COMPUTED_VALUE"""),53.0)</f>
        <v>53</v>
      </c>
      <c r="H1039" s="163" t="str">
        <f>IFERROR(__xludf.DUMMYFUNCTION("""COMPUTED_VALUE"""),"C")</f>
        <v>C</v>
      </c>
      <c r="I1039" s="163">
        <f>IFERROR(__xludf.DUMMYFUNCTION("""COMPUTED_VALUE"""),33.0)</f>
        <v>33</v>
      </c>
      <c r="J1039" s="165">
        <f>IFERROR(__xludf.DUMMYFUNCTION("""COMPUTED_VALUE"""),-0.850918263620665)</f>
        <v>-0.8509182636</v>
      </c>
      <c r="K1039" s="165">
        <f>IFERROR(__xludf.DUMMYFUNCTION("""COMPUTED_VALUE"""),-1.1350336742113)</f>
        <v>-1.135033674</v>
      </c>
      <c r="L1039" s="165">
        <f>IFERROR(__xludf.DUMMYFUNCTION("""COMPUTED_VALUE"""),0.284115410590635)</f>
        <v>0.2841154106</v>
      </c>
      <c r="M1039" s="166">
        <f t="shared" si="2"/>
        <v>0.4800260732</v>
      </c>
      <c r="N1039" s="167">
        <f t="shared" si="3"/>
        <v>9.351069182</v>
      </c>
      <c r="O1039" s="163">
        <f t="shared" ref="O1039:Q1039" si="1043">rank(I1039,I:I)</f>
        <v>246</v>
      </c>
      <c r="P1039" s="163">
        <f t="shared" si="1043"/>
        <v>2346</v>
      </c>
      <c r="Q1039" s="163">
        <f t="shared" si="1043"/>
        <v>2968</v>
      </c>
      <c r="R1039" s="163">
        <f>IFERROR(__xludf.DUMMYFUNCTION("RANK(M1039,filter(M:M,C:C=C1039))"),285.0)</f>
        <v>285</v>
      </c>
      <c r="S1039" s="161" t="b">
        <f t="shared" si="5"/>
        <v>0</v>
      </c>
      <c r="T1039" s="161" t="b">
        <f t="array" ref="T1039">index('Query Tool'!B:B,match(H1039,'Query Tool'!C:C,0))</f>
        <v>1</v>
      </c>
      <c r="U1039" s="161" t="b">
        <f t="array" ref="U1039">index('Query Tool'!B:B,match(C1039,'Query Tool'!C:C,0))</f>
        <v>0</v>
      </c>
      <c r="V1039" s="161" t="b">
        <f>F1039&gt;='Query Tool'!C$32</f>
        <v>0</v>
      </c>
      <c r="W1039" s="161" t="b">
        <f t="array" ref="W1039">index(Dropdowns!B:B,match(I1039,Dropdowns!A:A,0))</f>
        <v>1</v>
      </c>
      <c r="X1039" s="161" t="b">
        <f t="array" ref="X1039">index('Query Tool'!B:B,match(D1039,'Query Tool'!C:C,0))</f>
        <v>1</v>
      </c>
      <c r="Y1039" s="161" t="str">
        <f t="shared" si="6"/>
        <v>varejan01,2015-16</v>
      </c>
      <c r="Z1039" s="168">
        <f t="array" ref="Z1039">iferror(index(I:I,match($A1039&amp;","&amp;index('Year Conversion'!$A:$A,match($C1039,'Year Conversion'!$B:$B,0)),$Y:$Y,0))-I1039,"")</f>
        <v>1</v>
      </c>
      <c r="AA1039" s="168">
        <f t="array" ref="AA1039">iferror(index(J:J,match($A1039&amp;","&amp;index('Year Conversion'!$A:$A,match($C1039,'Year Conversion'!$B:$B,0)),$Y:$Y,0))-J1039,"")</f>
        <v>-1.440017814</v>
      </c>
      <c r="AB1039" s="168">
        <f t="array" ref="AB1039">iferror(index(K:K,match($A1039&amp;","&amp;index('Year Conversion'!$A:$A,match($C1039,'Year Conversion'!$B:$B,0)),$Y:$Y,0))-K1039,"")</f>
        <v>0.2219886377</v>
      </c>
      <c r="AC1039" s="168" t="str">
        <f t="shared" si="7"/>
        <v>TOT,2015-16</v>
      </c>
    </row>
    <row r="1040">
      <c r="A1040" s="161" t="str">
        <f>IFERROR(__xludf.DUMMYFUNCTION("""COMPUTED_VALUE"""),"arizatr01")</f>
        <v>arizatr01</v>
      </c>
      <c r="B1040" s="161" t="str">
        <f>IFERROR(__xludf.DUMMYFUNCTION("""COMPUTED_VALUE"""),"Trevor Ariza")</f>
        <v>Trevor Ariza</v>
      </c>
      <c r="C1040" s="162" t="str">
        <f>IFERROR(__xludf.DUMMYFUNCTION("""COMPUTED_VALUE"""),"2015-16")</f>
        <v>2015-16</v>
      </c>
      <c r="D1040" s="163" t="str">
        <f>IFERROR(__xludf.DUMMYFUNCTION("""COMPUTED_VALUE"""),"HOU")</f>
        <v>HOU</v>
      </c>
      <c r="E1040" s="164" t="str">
        <f>IFERROR(__xludf.DUMMYFUNCTION("""COMPUTED_VALUE"""),"Stationary Shooter")</f>
        <v>Stationary Shooter</v>
      </c>
      <c r="F1040" s="164">
        <f>IFERROR(__xludf.DUMMYFUNCTION("""COMPUTED_VALUE"""),2859.12166666667)</f>
        <v>2859.121667</v>
      </c>
      <c r="G1040" s="163">
        <f>IFERROR(__xludf.DUMMYFUNCTION("""COMPUTED_VALUE"""),81.0)</f>
        <v>81</v>
      </c>
      <c r="H1040" s="163" t="str">
        <f>IFERROR(__xludf.DUMMYFUNCTION("""COMPUTED_VALUE"""),"SF")</f>
        <v>SF</v>
      </c>
      <c r="I1040" s="163">
        <f>IFERROR(__xludf.DUMMYFUNCTION("""COMPUTED_VALUE"""),30.0)</f>
        <v>30</v>
      </c>
      <c r="J1040" s="165">
        <f>IFERROR(__xludf.DUMMYFUNCTION("""COMPUTED_VALUE"""),0.580868929145081)</f>
        <v>0.5808689291</v>
      </c>
      <c r="K1040" s="165">
        <f>IFERROR(__xludf.DUMMYFUNCTION("""COMPUTED_VALUE"""),0.815134280408666)</f>
        <v>0.8151342804</v>
      </c>
      <c r="L1040" s="165">
        <f>IFERROR(__xludf.DUMMYFUNCTION("""COMPUTED_VALUE"""),-0.234265351263585)</f>
        <v>-0.2342653513</v>
      </c>
      <c r="M1040" s="166">
        <f t="shared" si="2"/>
        <v>5.526965598</v>
      </c>
      <c r="N1040" s="167">
        <f t="shared" si="3"/>
        <v>35.29779835</v>
      </c>
      <c r="O1040" s="163">
        <f t="shared" ref="O1040:Q1040" si="1044">rank(I1040,I:I)</f>
        <v>655</v>
      </c>
      <c r="P1040" s="163">
        <f t="shared" si="1044"/>
        <v>856</v>
      </c>
      <c r="Q1040" s="163">
        <f t="shared" si="1044"/>
        <v>596</v>
      </c>
      <c r="R1040" s="163">
        <f>IFERROR(__xludf.DUMMYFUNCTION("RANK(M1040,filter(M:M,C:C=C1040))"),53.0)</f>
        <v>53</v>
      </c>
      <c r="S1040" s="161" t="b">
        <f t="shared" si="5"/>
        <v>0</v>
      </c>
      <c r="T1040" s="161" t="b">
        <f t="array" ref="T1040">index('Query Tool'!B:B,match(H1040,'Query Tool'!C:C,0))</f>
        <v>1</v>
      </c>
      <c r="U1040" s="161" t="b">
        <f t="array" ref="U1040">index('Query Tool'!B:B,match(C1040,'Query Tool'!C:C,0))</f>
        <v>0</v>
      </c>
      <c r="V1040" s="161" t="b">
        <f>F1040&gt;='Query Tool'!C$32</f>
        <v>1</v>
      </c>
      <c r="W1040" s="161" t="b">
        <f t="array" ref="W1040">index(Dropdowns!B:B,match(I1040,Dropdowns!A:A,0))</f>
        <v>1</v>
      </c>
      <c r="X1040" s="161" t="b">
        <f t="array" ref="X1040">index('Query Tool'!B:B,match(D1040,'Query Tool'!C:C,0))</f>
        <v>1</v>
      </c>
      <c r="Y1040" s="161" t="str">
        <f t="shared" si="6"/>
        <v>arizatr01,2015-16</v>
      </c>
      <c r="Z1040" s="168">
        <f t="array" ref="Z1040">iferror(index(I:I,match($A1040&amp;","&amp;index('Year Conversion'!$A:$A,match($C1040,'Year Conversion'!$B:$B,0)),$Y:$Y,0))-I1040,"")</f>
        <v>1</v>
      </c>
      <c r="AA1040" s="168">
        <f t="array" ref="AA1040">iferror(index(J:J,match($A1040&amp;","&amp;index('Year Conversion'!$A:$A,match($C1040,'Year Conversion'!$B:$B,0)),$Y:$Y,0))-J1040,"")</f>
        <v>1.213056971</v>
      </c>
      <c r="AB1040" s="168">
        <f t="array" ref="AB1040">iferror(index(K:K,match($A1040&amp;","&amp;index('Year Conversion'!$A:$A,match($C1040,'Year Conversion'!$B:$B,0)),$Y:$Y,0))-K1040,"")</f>
        <v>0.2802314366</v>
      </c>
      <c r="AC1040" s="168" t="str">
        <f t="shared" si="7"/>
        <v>HOU,2015-16</v>
      </c>
    </row>
    <row r="1041">
      <c r="A1041" s="161" t="str">
        <f>IFERROR(__xludf.DUMMYFUNCTION("""COMPUTED_VALUE"""),"bogutan01")</f>
        <v>bogutan01</v>
      </c>
      <c r="B1041" s="161" t="str">
        <f>IFERROR(__xludf.DUMMYFUNCTION("""COMPUTED_VALUE"""),"Andrew Bogut")</f>
        <v>Andrew Bogut</v>
      </c>
      <c r="C1041" s="162" t="str">
        <f>IFERROR(__xludf.DUMMYFUNCTION("""COMPUTED_VALUE"""),"2015-16")</f>
        <v>2015-16</v>
      </c>
      <c r="D1041" s="163" t="str">
        <f>IFERROR(__xludf.DUMMYFUNCTION("""COMPUTED_VALUE"""),"GSW")</f>
        <v>GSW</v>
      </c>
      <c r="E1041" s="164" t="str">
        <f>IFERROR(__xludf.DUMMYFUNCTION("""COMPUTED_VALUE"""),"Roll + Cut Big")</f>
        <v>Roll + Cut Big</v>
      </c>
      <c r="F1041" s="164">
        <f>IFERROR(__xludf.DUMMYFUNCTION("""COMPUTED_VALUE"""),1451.26)</f>
        <v>1451.26</v>
      </c>
      <c r="G1041" s="163">
        <f>IFERROR(__xludf.DUMMYFUNCTION("""COMPUTED_VALUE"""),70.0)</f>
        <v>70</v>
      </c>
      <c r="H1041" s="163" t="str">
        <f>IFERROR(__xludf.DUMMYFUNCTION("""COMPUTED_VALUE"""),"C")</f>
        <v>C</v>
      </c>
      <c r="I1041" s="163">
        <f>IFERROR(__xludf.DUMMYFUNCTION("""COMPUTED_VALUE"""),31.0)</f>
        <v>31</v>
      </c>
      <c r="J1041" s="165">
        <f>IFERROR(__xludf.DUMMYFUNCTION("""COMPUTED_VALUE"""),1.21971874302399)</f>
        <v>1.219718743</v>
      </c>
      <c r="K1041" s="165">
        <f>IFERROR(__xludf.DUMMYFUNCTION("""COMPUTED_VALUE"""),-2.03141345428732)</f>
        <v>-2.031413454</v>
      </c>
      <c r="L1041" s="165">
        <f>IFERROR(__xludf.DUMMYFUNCTION("""COMPUTED_VALUE"""),3.2511321973113)</f>
        <v>3.251132197</v>
      </c>
      <c r="M1041" s="166">
        <f t="shared" si="2"/>
        <v>3.428301806</v>
      </c>
      <c r="N1041" s="167">
        <f t="shared" si="3"/>
        <v>20.73228571</v>
      </c>
      <c r="O1041" s="163">
        <f t="shared" ref="O1041:Q1041" si="1045">rank(I1041,I:I)</f>
        <v>490</v>
      </c>
      <c r="P1041" s="163">
        <f t="shared" si="1045"/>
        <v>565</v>
      </c>
      <c r="Q1041" s="163">
        <f t="shared" si="1045"/>
        <v>3722</v>
      </c>
      <c r="R1041" s="163">
        <f>IFERROR(__xludf.DUMMYFUNCTION("RANK(M1041,filter(M:M,C:C=C1041))"),105.0)</f>
        <v>105</v>
      </c>
      <c r="S1041" s="161" t="b">
        <f t="shared" si="5"/>
        <v>0</v>
      </c>
      <c r="T1041" s="161" t="b">
        <f t="array" ref="T1041">index('Query Tool'!B:B,match(H1041,'Query Tool'!C:C,0))</f>
        <v>1</v>
      </c>
      <c r="U1041" s="161" t="b">
        <f t="array" ref="U1041">index('Query Tool'!B:B,match(C1041,'Query Tool'!C:C,0))</f>
        <v>0</v>
      </c>
      <c r="V1041" s="161" t="b">
        <f>F1041&gt;='Query Tool'!C$32</f>
        <v>1</v>
      </c>
      <c r="W1041" s="161" t="b">
        <f t="array" ref="W1041">index(Dropdowns!B:B,match(I1041,Dropdowns!A:A,0))</f>
        <v>1</v>
      </c>
      <c r="X1041" s="161" t="b">
        <f t="array" ref="X1041">index('Query Tool'!B:B,match(D1041,'Query Tool'!C:C,0))</f>
        <v>1</v>
      </c>
      <c r="Y1041" s="161" t="str">
        <f t="shared" si="6"/>
        <v>bogutan01,2015-16</v>
      </c>
      <c r="Z1041" s="168">
        <f t="array" ref="Z1041">iferror(index(I:I,match($A1041&amp;","&amp;index('Year Conversion'!$A:$A,match($C1041,'Year Conversion'!$B:$B,0)),$Y:$Y,0))-I1041,"")</f>
        <v>1</v>
      </c>
      <c r="AA1041" s="168">
        <f t="array" ref="AA1041">iferror(index(J:J,match($A1041&amp;","&amp;index('Year Conversion'!$A:$A,match($C1041,'Year Conversion'!$B:$B,0)),$Y:$Y,0))-J1041,"")</f>
        <v>-0.6229422257</v>
      </c>
      <c r="AB1041" s="168">
        <f t="array" ref="AB1041">iferror(index(K:K,match($A1041&amp;","&amp;index('Year Conversion'!$A:$A,match($C1041,'Year Conversion'!$B:$B,0)),$Y:$Y,0))-K1041,"")</f>
        <v>-1.505276147</v>
      </c>
      <c r="AC1041" s="168" t="str">
        <f t="shared" si="7"/>
        <v>GSW,2015-16</v>
      </c>
    </row>
    <row r="1042">
      <c r="A1042" s="161" t="str">
        <f>IFERROR(__xludf.DUMMYFUNCTION("""COMPUTED_VALUE"""),"willima02")</f>
        <v>willima02</v>
      </c>
      <c r="B1042" s="161" t="str">
        <f>IFERROR(__xludf.DUMMYFUNCTION("""COMPUTED_VALUE"""),"Marvin Williams")</f>
        <v>Marvin Williams</v>
      </c>
      <c r="C1042" s="162" t="str">
        <f>IFERROR(__xludf.DUMMYFUNCTION("""COMPUTED_VALUE"""),"2015-16")</f>
        <v>2015-16</v>
      </c>
      <c r="D1042" s="163" t="str">
        <f>IFERROR(__xludf.DUMMYFUNCTION("""COMPUTED_VALUE"""),"CHO")</f>
        <v>CHO</v>
      </c>
      <c r="E1042" s="164" t="str">
        <f>IFERROR(__xludf.DUMMYFUNCTION("""COMPUTED_VALUE"""),"Stretch Big")</f>
        <v>Stretch Big</v>
      </c>
      <c r="F1042" s="164">
        <f>IFERROR(__xludf.DUMMYFUNCTION("""COMPUTED_VALUE"""),2338.165)</f>
        <v>2338.165</v>
      </c>
      <c r="G1042" s="163">
        <f>IFERROR(__xludf.DUMMYFUNCTION("""COMPUTED_VALUE"""),81.0)</f>
        <v>81</v>
      </c>
      <c r="H1042" s="163" t="str">
        <f>IFERROR(__xludf.DUMMYFUNCTION("""COMPUTED_VALUE"""),"PF")</f>
        <v>PF</v>
      </c>
      <c r="I1042" s="163">
        <f>IFERROR(__xludf.DUMMYFUNCTION("""COMPUTED_VALUE"""),29.0)</f>
        <v>29</v>
      </c>
      <c r="J1042" s="165">
        <f>IFERROR(__xludf.DUMMYFUNCTION("""COMPUTED_VALUE"""),1.3774804957529)</f>
        <v>1.377480496</v>
      </c>
      <c r="K1042" s="165">
        <f>IFERROR(__xludf.DUMMYFUNCTION("""COMPUTED_VALUE"""),0.562132505331306)</f>
        <v>0.5621325053</v>
      </c>
      <c r="L1042" s="165">
        <f>IFERROR(__xludf.DUMMYFUNCTION("""COMPUTED_VALUE"""),0.815347990421592)</f>
        <v>0.8153479904</v>
      </c>
      <c r="M1042" s="166">
        <f t="shared" si="2"/>
        <v>5.770380249</v>
      </c>
      <c r="N1042" s="167">
        <f t="shared" si="3"/>
        <v>28.86623457</v>
      </c>
      <c r="O1042" s="163">
        <f t="shared" ref="O1042:Q1042" si="1046">rank(I1042,I:I)</f>
        <v>855</v>
      </c>
      <c r="P1042" s="163">
        <f t="shared" si="1046"/>
        <v>501</v>
      </c>
      <c r="Q1042" s="163">
        <f t="shared" si="1046"/>
        <v>735</v>
      </c>
      <c r="R1042" s="163">
        <f>IFERROR(__xludf.DUMMYFUNCTION("RANK(M1042,filter(M:M,C:C=C1042))"),48.0)</f>
        <v>48</v>
      </c>
      <c r="S1042" s="161" t="b">
        <f t="shared" si="5"/>
        <v>0</v>
      </c>
      <c r="T1042" s="161" t="b">
        <f t="array" ref="T1042">index('Query Tool'!B:B,match(H1042,'Query Tool'!C:C,0))</f>
        <v>1</v>
      </c>
      <c r="U1042" s="161" t="b">
        <f t="array" ref="U1042">index('Query Tool'!B:B,match(C1042,'Query Tool'!C:C,0))</f>
        <v>0</v>
      </c>
      <c r="V1042" s="161" t="b">
        <f>F1042&gt;='Query Tool'!C$32</f>
        <v>1</v>
      </c>
      <c r="W1042" s="161" t="b">
        <f t="array" ref="W1042">index(Dropdowns!B:B,match(I1042,Dropdowns!A:A,0))</f>
        <v>1</v>
      </c>
      <c r="X1042" s="161" t="b">
        <f t="array" ref="X1042">index('Query Tool'!B:B,match(D1042,'Query Tool'!C:C,0))</f>
        <v>1</v>
      </c>
      <c r="Y1042" s="161" t="str">
        <f t="shared" si="6"/>
        <v>willima02,2015-16</v>
      </c>
      <c r="Z1042" s="168">
        <f t="array" ref="Z1042">iferror(index(I:I,match($A1042&amp;","&amp;index('Year Conversion'!$A:$A,match($C1042,'Year Conversion'!$B:$B,0)),$Y:$Y,0))-I1042,"")</f>
        <v>1</v>
      </c>
      <c r="AA1042" s="168">
        <f t="array" ref="AA1042">iferror(index(J:J,match($A1042&amp;","&amp;index('Year Conversion'!$A:$A,match($C1042,'Year Conversion'!$B:$B,0)),$Y:$Y,0))-J1042,"")</f>
        <v>-1.136057089</v>
      </c>
      <c r="AB1042" s="168">
        <f t="array" ref="AB1042">iferror(index(K:K,match($A1042&amp;","&amp;index('Year Conversion'!$A:$A,match($C1042,'Year Conversion'!$B:$B,0)),$Y:$Y,0))-K1042,"")</f>
        <v>-1.142704556</v>
      </c>
      <c r="AC1042" s="168" t="str">
        <f t="shared" si="7"/>
        <v>CHO,2015-16</v>
      </c>
    </row>
    <row r="1043">
      <c r="A1043" s="161" t="str">
        <f>IFERROR(__xludf.DUMMYFUNCTION("""COMPUTED_VALUE"""),"paulch01")</f>
        <v>paulch01</v>
      </c>
      <c r="B1043" s="161" t="str">
        <f>IFERROR(__xludf.DUMMYFUNCTION("""COMPUTED_VALUE"""),"Chris Paul")</f>
        <v>Chris Paul</v>
      </c>
      <c r="C1043" s="162" t="str">
        <f>IFERROR(__xludf.DUMMYFUNCTION("""COMPUTED_VALUE"""),"2015-16")</f>
        <v>2015-16</v>
      </c>
      <c r="D1043" s="163" t="str">
        <f>IFERROR(__xludf.DUMMYFUNCTION("""COMPUTED_VALUE"""),"LAC")</f>
        <v>LAC</v>
      </c>
      <c r="E1043" s="164" t="str">
        <f>IFERROR(__xludf.DUMMYFUNCTION("""COMPUTED_VALUE"""),"Shot Creator")</f>
        <v>Shot Creator</v>
      </c>
      <c r="F1043" s="164">
        <f>IFERROR(__xludf.DUMMYFUNCTION("""COMPUTED_VALUE"""),2420.23833333333)</f>
        <v>2420.238333</v>
      </c>
      <c r="G1043" s="163">
        <f>IFERROR(__xludf.DUMMYFUNCTION("""COMPUTED_VALUE"""),74.0)</f>
        <v>74</v>
      </c>
      <c r="H1043" s="163" t="str">
        <f>IFERROR(__xludf.DUMMYFUNCTION("""COMPUTED_VALUE"""),"PG")</f>
        <v>PG</v>
      </c>
      <c r="I1043" s="163">
        <f>IFERROR(__xludf.DUMMYFUNCTION("""COMPUTED_VALUE"""),30.0)</f>
        <v>30</v>
      </c>
      <c r="J1043" s="165">
        <f>IFERROR(__xludf.DUMMYFUNCTION("""COMPUTED_VALUE"""),6.08810291710506)</f>
        <v>6.088102917</v>
      </c>
      <c r="K1043" s="165">
        <f>IFERROR(__xludf.DUMMYFUNCTION("""COMPUTED_VALUE"""),4.91546540898737)</f>
        <v>4.915465409</v>
      </c>
      <c r="L1043" s="165">
        <f>IFERROR(__xludf.DUMMYFUNCTION("""COMPUTED_VALUE"""),1.1726375081177)</f>
        <v>1.172637508</v>
      </c>
      <c r="M1043" s="166">
        <f t="shared" si="2"/>
        <v>13.18333418</v>
      </c>
      <c r="N1043" s="167">
        <f t="shared" si="3"/>
        <v>32.70592342</v>
      </c>
      <c r="O1043" s="163">
        <f t="shared" ref="O1043:Q1043" si="1047">rank(I1043,I:I)</f>
        <v>655</v>
      </c>
      <c r="P1043" s="163">
        <f t="shared" si="1047"/>
        <v>16</v>
      </c>
      <c r="Q1043" s="163">
        <f t="shared" si="1047"/>
        <v>30</v>
      </c>
      <c r="R1043" s="163">
        <f>IFERROR(__xludf.DUMMYFUNCTION("RANK(M1043,filter(M:M,C:C=C1043))"),7.0)</f>
        <v>7</v>
      </c>
      <c r="S1043" s="161" t="b">
        <f t="shared" si="5"/>
        <v>0</v>
      </c>
      <c r="T1043" s="161" t="b">
        <f t="array" ref="T1043">index('Query Tool'!B:B,match(H1043,'Query Tool'!C:C,0))</f>
        <v>1</v>
      </c>
      <c r="U1043" s="161" t="b">
        <f t="array" ref="U1043">index('Query Tool'!B:B,match(C1043,'Query Tool'!C:C,0))</f>
        <v>0</v>
      </c>
      <c r="V1043" s="161" t="b">
        <f>F1043&gt;='Query Tool'!C$32</f>
        <v>1</v>
      </c>
      <c r="W1043" s="161" t="b">
        <f t="array" ref="W1043">index(Dropdowns!B:B,match(I1043,Dropdowns!A:A,0))</f>
        <v>1</v>
      </c>
      <c r="X1043" s="161" t="b">
        <f t="array" ref="X1043">index('Query Tool'!B:B,match(D1043,'Query Tool'!C:C,0))</f>
        <v>1</v>
      </c>
      <c r="Y1043" s="161" t="str">
        <f t="shared" si="6"/>
        <v>paulch01,2015-16</v>
      </c>
      <c r="Z1043" s="168">
        <f t="array" ref="Z1043">iferror(index(I:I,match($A1043&amp;","&amp;index('Year Conversion'!$A:$A,match($C1043,'Year Conversion'!$B:$B,0)),$Y:$Y,0))-I1043,"")</f>
        <v>1</v>
      </c>
      <c r="AA1043" s="168">
        <f t="array" ref="AA1043">iferror(index(J:J,match($A1043&amp;","&amp;index('Year Conversion'!$A:$A,match($C1043,'Year Conversion'!$B:$B,0)),$Y:$Y,0))-J1043,"")</f>
        <v>0.1028818669</v>
      </c>
      <c r="AB1043" s="168">
        <f t="array" ref="AB1043">iferror(index(K:K,match($A1043&amp;","&amp;index('Year Conversion'!$A:$A,match($C1043,'Year Conversion'!$B:$B,0)),$Y:$Y,0))-K1043,"")</f>
        <v>-0.3133471068</v>
      </c>
      <c r="AC1043" s="168" t="str">
        <f t="shared" si="7"/>
        <v>LAC,2015-16</v>
      </c>
    </row>
    <row r="1044">
      <c r="A1044" s="161" t="str">
        <f>IFERROR(__xludf.DUMMYFUNCTION("""COMPUTED_VALUE"""),"feltora01")</f>
        <v>feltora01</v>
      </c>
      <c r="B1044" s="161" t="str">
        <f>IFERROR(__xludf.DUMMYFUNCTION("""COMPUTED_VALUE"""),"Raymond Felton")</f>
        <v>Raymond Felton</v>
      </c>
      <c r="C1044" s="162" t="str">
        <f>IFERROR(__xludf.DUMMYFUNCTION("""COMPUTED_VALUE"""),"2015-16")</f>
        <v>2015-16</v>
      </c>
      <c r="D1044" s="163" t="str">
        <f>IFERROR(__xludf.DUMMYFUNCTION("""COMPUTED_VALUE"""),"DAL")</f>
        <v>DAL</v>
      </c>
      <c r="E1044" s="164" t="str">
        <f>IFERROR(__xludf.DUMMYFUNCTION("""COMPUTED_VALUE"""),"Primary Ball Handler")</f>
        <v>Primary Ball Handler</v>
      </c>
      <c r="F1044" s="164">
        <f>IFERROR(__xludf.DUMMYFUNCTION("""COMPUTED_VALUE"""),2191.995)</f>
        <v>2191.995</v>
      </c>
      <c r="G1044" s="163">
        <f>IFERROR(__xludf.DUMMYFUNCTION("""COMPUTED_VALUE"""),80.0)</f>
        <v>80</v>
      </c>
      <c r="H1044" s="163" t="str">
        <f>IFERROR(__xludf.DUMMYFUNCTION("""COMPUTED_VALUE"""),"PG")</f>
        <v>PG</v>
      </c>
      <c r="I1044" s="163">
        <f>IFERROR(__xludf.DUMMYFUNCTION("""COMPUTED_VALUE"""),31.0)</f>
        <v>31</v>
      </c>
      <c r="J1044" s="165">
        <f>IFERROR(__xludf.DUMMYFUNCTION("""COMPUTED_VALUE"""),-1.98729638234126)</f>
        <v>-1.987296382</v>
      </c>
      <c r="K1044" s="165">
        <f>IFERROR(__xludf.DUMMYFUNCTION("""COMPUTED_VALUE"""),-0.148925653720544)</f>
        <v>-0.1489256537</v>
      </c>
      <c r="L1044" s="165">
        <f>IFERROR(__xludf.DUMMYFUNCTION("""COMPUTED_VALUE"""),-1.83837072862071)</f>
        <v>-1.838370729</v>
      </c>
      <c r="M1044" s="166">
        <f t="shared" si="2"/>
        <v>0.4584654458</v>
      </c>
      <c r="N1044" s="167">
        <f t="shared" si="3"/>
        <v>27.3999375</v>
      </c>
      <c r="O1044" s="163">
        <f t="shared" ref="O1044:Q1044" si="1048">rank(I1044,I:I)</f>
        <v>490</v>
      </c>
      <c r="P1044" s="163">
        <f t="shared" si="1048"/>
        <v>3472</v>
      </c>
      <c r="Q1044" s="163">
        <f t="shared" si="1048"/>
        <v>1475</v>
      </c>
      <c r="R1044" s="163">
        <f>IFERROR(__xludf.DUMMYFUNCTION("RANK(M1044,filter(M:M,C:C=C1044))"),287.0)</f>
        <v>287</v>
      </c>
      <c r="S1044" s="161" t="b">
        <f t="shared" si="5"/>
        <v>0</v>
      </c>
      <c r="T1044" s="161" t="b">
        <f t="array" ref="T1044">index('Query Tool'!B:B,match(H1044,'Query Tool'!C:C,0))</f>
        <v>1</v>
      </c>
      <c r="U1044" s="161" t="b">
        <f t="array" ref="U1044">index('Query Tool'!B:B,match(C1044,'Query Tool'!C:C,0))</f>
        <v>0</v>
      </c>
      <c r="V1044" s="161" t="b">
        <f>F1044&gt;='Query Tool'!C$32</f>
        <v>1</v>
      </c>
      <c r="W1044" s="161" t="b">
        <f t="array" ref="W1044">index(Dropdowns!B:B,match(I1044,Dropdowns!A:A,0))</f>
        <v>1</v>
      </c>
      <c r="X1044" s="161" t="b">
        <f t="array" ref="X1044">index('Query Tool'!B:B,match(D1044,'Query Tool'!C:C,0))</f>
        <v>1</v>
      </c>
      <c r="Y1044" s="161" t="str">
        <f t="shared" si="6"/>
        <v>feltora01,2015-16</v>
      </c>
      <c r="Z1044" s="168">
        <f t="array" ref="Z1044">iferror(index(I:I,match($A1044&amp;","&amp;index('Year Conversion'!$A:$A,match($C1044,'Year Conversion'!$B:$B,0)),$Y:$Y,0))-I1044,"")</f>
        <v>1</v>
      </c>
      <c r="AA1044" s="168">
        <f t="array" ref="AA1044">iferror(index(J:J,match($A1044&amp;","&amp;index('Year Conversion'!$A:$A,match($C1044,'Year Conversion'!$B:$B,0)),$Y:$Y,0))-J1044,"")</f>
        <v>-0.05139475178</v>
      </c>
      <c r="AB1044" s="168">
        <f t="array" ref="AB1044">iferror(index(K:K,match($A1044&amp;","&amp;index('Year Conversion'!$A:$A,match($C1044,'Year Conversion'!$B:$B,0)),$Y:$Y,0))-K1044,"")</f>
        <v>-1.307172011</v>
      </c>
      <c r="AC1044" s="168" t="str">
        <f t="shared" si="7"/>
        <v>DAL,2015-16</v>
      </c>
    </row>
    <row r="1045">
      <c r="A1045" s="161" t="str">
        <f>IFERROR(__xludf.DUMMYFUNCTION("""COMPUTED_VALUE"""),"villach01")</f>
        <v>villach01</v>
      </c>
      <c r="B1045" s="161" t="str">
        <f>IFERROR(__xludf.DUMMYFUNCTION("""COMPUTED_VALUE"""),"Charlie Villanueva")</f>
        <v>Charlie Villanueva</v>
      </c>
      <c r="C1045" s="162" t="str">
        <f>IFERROR(__xludf.DUMMYFUNCTION("""COMPUTED_VALUE"""),"2015-16")</f>
        <v>2015-16</v>
      </c>
      <c r="D1045" s="163" t="str">
        <f>IFERROR(__xludf.DUMMYFUNCTION("""COMPUTED_VALUE"""),"DAL")</f>
        <v>DAL</v>
      </c>
      <c r="E1045" s="164" t="str">
        <f>IFERROR(__xludf.DUMMYFUNCTION("""COMPUTED_VALUE"""),"Movement Shooter")</f>
        <v>Movement Shooter</v>
      </c>
      <c r="F1045" s="164">
        <f>IFERROR(__xludf.DUMMYFUNCTION("""COMPUTED_VALUE"""),665.036666666667)</f>
        <v>665.0366667</v>
      </c>
      <c r="G1045" s="163">
        <f>IFERROR(__xludf.DUMMYFUNCTION("""COMPUTED_VALUE"""),62.0)</f>
        <v>62</v>
      </c>
      <c r="H1045" s="163" t="str">
        <f>IFERROR(__xludf.DUMMYFUNCTION("""COMPUTED_VALUE"""),"PF")</f>
        <v>PF</v>
      </c>
      <c r="I1045" s="163">
        <f>IFERROR(__xludf.DUMMYFUNCTION("""COMPUTED_VALUE"""),31.0)</f>
        <v>31</v>
      </c>
      <c r="J1045" s="165">
        <f>IFERROR(__xludf.DUMMYFUNCTION("""COMPUTED_VALUE"""),-0.438123455499448)</f>
        <v>-0.4381234555</v>
      </c>
      <c r="K1045" s="165">
        <f>IFERROR(__xludf.DUMMYFUNCTION("""COMPUTED_VALUE"""),0.427749970818794)</f>
        <v>0.4277499708</v>
      </c>
      <c r="L1045" s="165">
        <f>IFERROR(__xludf.DUMMYFUNCTION("""COMPUTED_VALUE"""),-0.865873426318243)</f>
        <v>-0.8658734263</v>
      </c>
      <c r="M1045" s="166">
        <f t="shared" si="2"/>
        <v>0.8288797781</v>
      </c>
      <c r="N1045" s="167">
        <f t="shared" si="3"/>
        <v>10.72639785</v>
      </c>
      <c r="O1045" s="163">
        <f t="shared" ref="O1045:Q1045" si="1049">rank(I1045,I:I)</f>
        <v>490</v>
      </c>
      <c r="P1045" s="163">
        <f t="shared" si="1049"/>
        <v>1765</v>
      </c>
      <c r="Q1045" s="163">
        <f t="shared" si="1049"/>
        <v>810</v>
      </c>
      <c r="R1045" s="163">
        <f>IFERROR(__xludf.DUMMYFUNCTION("RANK(M1045,filter(M:M,C:C=C1045))"),237.0)</f>
        <v>237</v>
      </c>
      <c r="S1045" s="161" t="b">
        <f t="shared" si="5"/>
        <v>0</v>
      </c>
      <c r="T1045" s="161" t="b">
        <f t="array" ref="T1045">index('Query Tool'!B:B,match(H1045,'Query Tool'!C:C,0))</f>
        <v>1</v>
      </c>
      <c r="U1045" s="161" t="b">
        <f t="array" ref="U1045">index('Query Tool'!B:B,match(C1045,'Query Tool'!C:C,0))</f>
        <v>0</v>
      </c>
      <c r="V1045" s="161" t="b">
        <f>F1045&gt;='Query Tool'!C$32</f>
        <v>1</v>
      </c>
      <c r="W1045" s="161" t="b">
        <f t="array" ref="W1045">index(Dropdowns!B:B,match(I1045,Dropdowns!A:A,0))</f>
        <v>1</v>
      </c>
      <c r="X1045" s="161" t="b">
        <f t="array" ref="X1045">index('Query Tool'!B:B,match(D1045,'Query Tool'!C:C,0))</f>
        <v>1</v>
      </c>
      <c r="Y1045" s="161" t="str">
        <f t="shared" si="6"/>
        <v>villach01,2015-16</v>
      </c>
      <c r="Z1045" s="168" t="str">
        <f t="array" ref="Z1045">iferror(index(I:I,match($A1045&amp;","&amp;index('Year Conversion'!$A:$A,match($C1045,'Year Conversion'!$B:$B,0)),$Y:$Y,0))-I1045,"")</f>
        <v/>
      </c>
      <c r="AA1045" s="168" t="str">
        <f t="array" ref="AA1045">iferror(index(J:J,match($A1045&amp;","&amp;index('Year Conversion'!$A:$A,match($C1045,'Year Conversion'!$B:$B,0)),$Y:$Y,0))-J1045,"")</f>
        <v/>
      </c>
      <c r="AB1045" s="168" t="str">
        <f t="array" ref="AB1045">iferror(index(K:K,match($A1045&amp;","&amp;index('Year Conversion'!$A:$A,match($C1045,'Year Conversion'!$B:$B,0)),$Y:$Y,0))-K1045,"")</f>
        <v/>
      </c>
      <c r="AC1045" s="168" t="str">
        <f t="shared" si="7"/>
        <v>DAL,2015-16</v>
      </c>
    </row>
    <row r="1046">
      <c r="A1046" s="161" t="str">
        <f>IFERROR(__xludf.DUMMYFUNCTION("""COMPUTED_VALUE"""),"fryech01")</f>
        <v>fryech01</v>
      </c>
      <c r="B1046" s="161" t="str">
        <f>IFERROR(__xludf.DUMMYFUNCTION("""COMPUTED_VALUE"""),"Channing Frye")</f>
        <v>Channing Frye</v>
      </c>
      <c r="C1046" s="162" t="str">
        <f>IFERROR(__xludf.DUMMYFUNCTION("""COMPUTED_VALUE"""),"2015-16")</f>
        <v>2015-16</v>
      </c>
      <c r="D1046" s="163" t="str">
        <f>IFERROR(__xludf.DUMMYFUNCTION("""COMPUTED_VALUE"""),"TOT")</f>
        <v>TOT</v>
      </c>
      <c r="E1046" s="164" t="str">
        <f>IFERROR(__xludf.DUMMYFUNCTION("""COMPUTED_VALUE"""),"Stretch Big")</f>
        <v>Stretch Big</v>
      </c>
      <c r="F1046" s="164">
        <f>IFERROR(__xludf.DUMMYFUNCTION("""COMPUTED_VALUE"""),1199.40666666667)</f>
        <v>1199.406667</v>
      </c>
      <c r="G1046" s="163">
        <f>IFERROR(__xludf.DUMMYFUNCTION("""COMPUTED_VALUE"""),70.0)</f>
        <v>70</v>
      </c>
      <c r="H1046" s="163" t="str">
        <f>IFERROR(__xludf.DUMMYFUNCTION("""COMPUTED_VALUE"""),"PF-C")</f>
        <v>PF-C</v>
      </c>
      <c r="I1046" s="163">
        <f>IFERROR(__xludf.DUMMYFUNCTION("""COMPUTED_VALUE"""),32.0)</f>
        <v>32</v>
      </c>
      <c r="J1046" s="165">
        <f>IFERROR(__xludf.DUMMYFUNCTION("""COMPUTED_VALUE"""),0.959922816293224)</f>
        <v>0.9599228163</v>
      </c>
      <c r="K1046" s="165">
        <f>IFERROR(__xludf.DUMMYFUNCTION("""COMPUTED_VALUE"""),0.534642220166549)</f>
        <v>0.5346422202</v>
      </c>
      <c r="L1046" s="165">
        <f>IFERROR(__xludf.DUMMYFUNCTION("""COMPUTED_VALUE"""),0.425280596126674)</f>
        <v>0.4252805961</v>
      </c>
      <c r="M1046" s="166">
        <f t="shared" si="2"/>
        <v>2.624313424</v>
      </c>
      <c r="N1046" s="167">
        <f t="shared" si="3"/>
        <v>17.13438095</v>
      </c>
      <c r="O1046" s="163">
        <f t="shared" ref="O1046:Q1046" si="1050">rank(I1046,I:I)</f>
        <v>359</v>
      </c>
      <c r="P1046" s="163">
        <f t="shared" si="1050"/>
        <v>675</v>
      </c>
      <c r="Q1046" s="163">
        <f t="shared" si="1050"/>
        <v>750</v>
      </c>
      <c r="R1046" s="163">
        <f>IFERROR(__xludf.DUMMYFUNCTION("RANK(M1046,filter(M:M,C:C=C1046))"),131.0)</f>
        <v>131</v>
      </c>
      <c r="S1046" s="161" t="b">
        <f t="shared" si="5"/>
        <v>0</v>
      </c>
      <c r="T1046" s="161" t="str">
        <f t="array" ref="T1046">index('Query Tool'!B:B,match(H1046,'Query Tool'!C:C,0))</f>
        <v>#N/A</v>
      </c>
      <c r="U1046" s="161" t="b">
        <f t="array" ref="U1046">index('Query Tool'!B:B,match(C1046,'Query Tool'!C:C,0))</f>
        <v>0</v>
      </c>
      <c r="V1046" s="161" t="b">
        <f>F1046&gt;='Query Tool'!C$32</f>
        <v>1</v>
      </c>
      <c r="W1046" s="161" t="b">
        <f t="array" ref="W1046">index(Dropdowns!B:B,match(I1046,Dropdowns!A:A,0))</f>
        <v>1</v>
      </c>
      <c r="X1046" s="161" t="b">
        <f t="array" ref="X1046">index('Query Tool'!B:B,match(D1046,'Query Tool'!C:C,0))</f>
        <v>1</v>
      </c>
      <c r="Y1046" s="161" t="str">
        <f t="shared" si="6"/>
        <v>fryech01,2015-16</v>
      </c>
      <c r="Z1046" s="168">
        <f t="array" ref="Z1046">iferror(index(I:I,match($A1046&amp;","&amp;index('Year Conversion'!$A:$A,match($C1046,'Year Conversion'!$B:$B,0)),$Y:$Y,0))-I1046,"")</f>
        <v>1</v>
      </c>
      <c r="AA1046" s="168">
        <f t="array" ref="AA1046">iferror(index(J:J,match($A1046&amp;","&amp;index('Year Conversion'!$A:$A,match($C1046,'Year Conversion'!$B:$B,0)),$Y:$Y,0))-J1046,"")</f>
        <v>0.210140967</v>
      </c>
      <c r="AB1046" s="168">
        <f t="array" ref="AB1046">iferror(index(K:K,match($A1046&amp;","&amp;index('Year Conversion'!$A:$A,match($C1046,'Year Conversion'!$B:$B,0)),$Y:$Y,0))-K1046,"")</f>
        <v>0.5480504135</v>
      </c>
      <c r="AC1046" s="168" t="str">
        <f t="shared" si="7"/>
        <v>TOT,2015-16</v>
      </c>
    </row>
    <row r="1047">
      <c r="A1047" s="161" t="str">
        <f>IFERROR(__xludf.DUMMYFUNCTION("""COMPUTED_VALUE"""),"willide01")</f>
        <v>willide01</v>
      </c>
      <c r="B1047" s="161" t="str">
        <f>IFERROR(__xludf.DUMMYFUNCTION("""COMPUTED_VALUE"""),"Deron Williams")</f>
        <v>Deron Williams</v>
      </c>
      <c r="C1047" s="162" t="str">
        <f>IFERROR(__xludf.DUMMYFUNCTION("""COMPUTED_VALUE"""),"2015-16")</f>
        <v>2015-16</v>
      </c>
      <c r="D1047" s="163" t="str">
        <f>IFERROR(__xludf.DUMMYFUNCTION("""COMPUTED_VALUE"""),"DAL")</f>
        <v>DAL</v>
      </c>
      <c r="E1047" s="164" t="str">
        <f>IFERROR(__xludf.DUMMYFUNCTION("""COMPUTED_VALUE"""),"Shot Creator")</f>
        <v>Shot Creator</v>
      </c>
      <c r="F1047" s="164">
        <f>IFERROR(__xludf.DUMMYFUNCTION("""COMPUTED_VALUE"""),2106.02166666667)</f>
        <v>2106.021667</v>
      </c>
      <c r="G1047" s="163">
        <f>IFERROR(__xludf.DUMMYFUNCTION("""COMPUTED_VALUE"""),65.0)</f>
        <v>65</v>
      </c>
      <c r="H1047" s="163" t="str">
        <f>IFERROR(__xludf.DUMMYFUNCTION("""COMPUTED_VALUE"""),"PG")</f>
        <v>PG</v>
      </c>
      <c r="I1047" s="163">
        <f>IFERROR(__xludf.DUMMYFUNCTION("""COMPUTED_VALUE"""),31.0)</f>
        <v>31</v>
      </c>
      <c r="J1047" s="165">
        <f>IFERROR(__xludf.DUMMYFUNCTION("""COMPUTED_VALUE"""),-0.0339507817001232)</f>
        <v>-0.0339507817</v>
      </c>
      <c r="K1047" s="165">
        <f>IFERROR(__xludf.DUMMYFUNCTION("""COMPUTED_VALUE"""),0.463105050733926)</f>
        <v>0.4631050507</v>
      </c>
      <c r="L1047" s="165">
        <f>IFERROR(__xludf.DUMMYFUNCTION("""COMPUTED_VALUE"""),-0.497055832434049)</f>
        <v>-0.4970558324</v>
      </c>
      <c r="M1047" s="166">
        <f t="shared" si="2"/>
        <v>3.198578179</v>
      </c>
      <c r="N1047" s="167">
        <f t="shared" si="3"/>
        <v>32.40033333</v>
      </c>
      <c r="O1047" s="163">
        <f t="shared" ref="O1047:Q1047" si="1051">rank(I1047,I:I)</f>
        <v>490</v>
      </c>
      <c r="P1047" s="163">
        <f t="shared" si="1051"/>
        <v>1320</v>
      </c>
      <c r="Q1047" s="163">
        <f t="shared" si="1051"/>
        <v>790</v>
      </c>
      <c r="R1047" s="163">
        <f>IFERROR(__xludf.DUMMYFUNCTION("RANK(M1047,filter(M:M,C:C=C1047))"),114.0)</f>
        <v>114</v>
      </c>
      <c r="S1047" s="161" t="b">
        <f t="shared" si="5"/>
        <v>0</v>
      </c>
      <c r="T1047" s="161" t="b">
        <f t="array" ref="T1047">index('Query Tool'!B:B,match(H1047,'Query Tool'!C:C,0))</f>
        <v>1</v>
      </c>
      <c r="U1047" s="161" t="b">
        <f t="array" ref="U1047">index('Query Tool'!B:B,match(C1047,'Query Tool'!C:C,0))</f>
        <v>0</v>
      </c>
      <c r="V1047" s="161" t="b">
        <f>F1047&gt;='Query Tool'!C$32</f>
        <v>1</v>
      </c>
      <c r="W1047" s="161" t="b">
        <f t="array" ref="W1047">index(Dropdowns!B:B,match(I1047,Dropdowns!A:A,0))</f>
        <v>1</v>
      </c>
      <c r="X1047" s="161" t="b">
        <f t="array" ref="X1047">index('Query Tool'!B:B,match(D1047,'Query Tool'!C:C,0))</f>
        <v>1</v>
      </c>
      <c r="Y1047" s="161" t="str">
        <f t="shared" si="6"/>
        <v>willide01,2015-16</v>
      </c>
      <c r="Z1047" s="168">
        <f t="array" ref="Z1047">iferror(index(I:I,match($A1047&amp;","&amp;index('Year Conversion'!$A:$A,match($C1047,'Year Conversion'!$B:$B,0)),$Y:$Y,0))-I1047,"")</f>
        <v>1</v>
      </c>
      <c r="AA1047" s="168">
        <f t="array" ref="AA1047">iferror(index(J:J,match($A1047&amp;","&amp;index('Year Conversion'!$A:$A,match($C1047,'Year Conversion'!$B:$B,0)),$Y:$Y,0))-J1047,"")</f>
        <v>1.033377395</v>
      </c>
      <c r="AB1047" s="168">
        <f t="array" ref="AB1047">iferror(index(K:K,match($A1047&amp;","&amp;index('Year Conversion'!$A:$A,match($C1047,'Year Conversion'!$B:$B,0)),$Y:$Y,0))-K1047,"")</f>
        <v>0.3939759453</v>
      </c>
      <c r="AC1047" s="168" t="str">
        <f t="shared" si="7"/>
        <v>DAL,2015-16</v>
      </c>
    </row>
    <row r="1048">
      <c r="A1048" s="161" t="str">
        <f>IFERROR(__xludf.DUMMYFUNCTION("""COMPUTED_VALUE"""),"greenge01")</f>
        <v>greenge01</v>
      </c>
      <c r="B1048" s="161" t="str">
        <f>IFERROR(__xludf.DUMMYFUNCTION("""COMPUTED_VALUE"""),"Gerald Green")</f>
        <v>Gerald Green</v>
      </c>
      <c r="C1048" s="162" t="str">
        <f>IFERROR(__xludf.DUMMYFUNCTION("""COMPUTED_VALUE"""),"2015-16")</f>
        <v>2015-16</v>
      </c>
      <c r="D1048" s="163" t="str">
        <f>IFERROR(__xludf.DUMMYFUNCTION("""COMPUTED_VALUE"""),"MIA")</f>
        <v>MIA</v>
      </c>
      <c r="E1048" s="164" t="str">
        <f>IFERROR(__xludf.DUMMYFUNCTION("""COMPUTED_VALUE"""),"Movement Shooter")</f>
        <v>Movement Shooter</v>
      </c>
      <c r="F1048" s="164">
        <f>IFERROR(__xludf.DUMMYFUNCTION("""COMPUTED_VALUE"""),1557.21833333333)</f>
        <v>1557.218333</v>
      </c>
      <c r="G1048" s="163">
        <f>IFERROR(__xludf.DUMMYFUNCTION("""COMPUTED_VALUE"""),69.0)</f>
        <v>69</v>
      </c>
      <c r="H1048" s="163" t="str">
        <f>IFERROR(__xludf.DUMMYFUNCTION("""COMPUTED_VALUE"""),"SG")</f>
        <v>SG</v>
      </c>
      <c r="I1048" s="163">
        <f>IFERROR(__xludf.DUMMYFUNCTION("""COMPUTED_VALUE"""),30.0)</f>
        <v>30</v>
      </c>
      <c r="J1048" s="165">
        <f>IFERROR(__xludf.DUMMYFUNCTION("""COMPUTED_VALUE"""),-1.6058655037385)</f>
        <v>-1.605865504</v>
      </c>
      <c r="K1048" s="165">
        <f>IFERROR(__xludf.DUMMYFUNCTION("""COMPUTED_VALUE"""),-0.231376280673974)</f>
        <v>-0.2313762807</v>
      </c>
      <c r="L1048" s="165">
        <f>IFERROR(__xludf.DUMMYFUNCTION("""COMPUTED_VALUE"""),-1.37448922306452)</f>
        <v>-1.374489223</v>
      </c>
      <c r="M1048" s="166">
        <f t="shared" si="2"/>
        <v>0.7207903879</v>
      </c>
      <c r="N1048" s="167">
        <f t="shared" si="3"/>
        <v>22.56838164</v>
      </c>
      <c r="O1048" s="163">
        <f t="shared" ref="O1048:Q1048" si="1052">rank(I1048,I:I)</f>
        <v>655</v>
      </c>
      <c r="P1048" s="163">
        <f t="shared" si="1052"/>
        <v>3152</v>
      </c>
      <c r="Q1048" s="163">
        <f t="shared" si="1052"/>
        <v>1626</v>
      </c>
      <c r="R1048" s="163">
        <f>IFERROR(__xludf.DUMMYFUNCTION("RANK(M1048,filter(M:M,C:C=C1048))"),252.0)</f>
        <v>252</v>
      </c>
      <c r="S1048" s="161" t="b">
        <f t="shared" si="5"/>
        <v>0</v>
      </c>
      <c r="T1048" s="161" t="b">
        <f t="array" ref="T1048">index('Query Tool'!B:B,match(H1048,'Query Tool'!C:C,0))</f>
        <v>1</v>
      </c>
      <c r="U1048" s="161" t="b">
        <f t="array" ref="U1048">index('Query Tool'!B:B,match(C1048,'Query Tool'!C:C,0))</f>
        <v>0</v>
      </c>
      <c r="V1048" s="161" t="b">
        <f>F1048&gt;='Query Tool'!C$32</f>
        <v>1</v>
      </c>
      <c r="W1048" s="161" t="b">
        <f t="array" ref="W1048">index(Dropdowns!B:B,match(I1048,Dropdowns!A:A,0))</f>
        <v>1</v>
      </c>
      <c r="X1048" s="161" t="b">
        <f t="array" ref="X1048">index('Query Tool'!B:B,match(D1048,'Query Tool'!C:C,0))</f>
        <v>1</v>
      </c>
      <c r="Y1048" s="161" t="str">
        <f t="shared" si="6"/>
        <v>greenge01,2015-16</v>
      </c>
      <c r="Z1048" s="168">
        <f t="array" ref="Z1048">iferror(index(I:I,match($A1048&amp;","&amp;index('Year Conversion'!$A:$A,match($C1048,'Year Conversion'!$B:$B,0)),$Y:$Y,0))-I1048,"")</f>
        <v>1</v>
      </c>
      <c r="AA1048" s="168">
        <f t="array" ref="AA1048">iferror(index(J:J,match($A1048&amp;","&amp;index('Year Conversion'!$A:$A,match($C1048,'Year Conversion'!$B:$B,0)),$Y:$Y,0))-J1048,"")</f>
        <v>0.2175286554</v>
      </c>
      <c r="AB1048" s="168">
        <f t="array" ref="AB1048">iferror(index(K:K,match($A1048&amp;","&amp;index('Year Conversion'!$A:$A,match($C1048,'Year Conversion'!$B:$B,0)),$Y:$Y,0))-K1048,"")</f>
        <v>0.5248299705</v>
      </c>
      <c r="AC1048" s="168" t="str">
        <f t="shared" si="7"/>
        <v>MIA,2015-16</v>
      </c>
    </row>
    <row r="1049">
      <c r="A1049" s="161" t="str">
        <f>IFERROR(__xludf.DUMMYFUNCTION("""COMPUTED_VALUE"""),"robinna01")</f>
        <v>robinna01</v>
      </c>
      <c r="B1049" s="161" t="str">
        <f>IFERROR(__xludf.DUMMYFUNCTION("""COMPUTED_VALUE"""),"Nate Robinson")</f>
        <v>Nate Robinson</v>
      </c>
      <c r="C1049" s="162" t="str">
        <f>IFERROR(__xludf.DUMMYFUNCTION("""COMPUTED_VALUE"""),"2015-16")</f>
        <v>2015-16</v>
      </c>
      <c r="D1049" s="163" t="str">
        <f>IFERROR(__xludf.DUMMYFUNCTION("""COMPUTED_VALUE"""),"NOP")</f>
        <v>NOP</v>
      </c>
      <c r="E1049" s="164" t="str">
        <f>IFERROR(__xludf.DUMMYFUNCTION("""COMPUTED_VALUE"""),"Secondary Ball Handler")</f>
        <v>Secondary Ball Handler</v>
      </c>
      <c r="F1049" s="164">
        <f>IFERROR(__xludf.DUMMYFUNCTION("""COMPUTED_VALUE"""),23.2966666666667)</f>
        <v>23.29666667</v>
      </c>
      <c r="G1049" s="163">
        <f>IFERROR(__xludf.DUMMYFUNCTION("""COMPUTED_VALUE"""),2.0)</f>
        <v>2</v>
      </c>
      <c r="H1049" s="163" t="str">
        <f>IFERROR(__xludf.DUMMYFUNCTION("""COMPUTED_VALUE"""),"PG")</f>
        <v>PG</v>
      </c>
      <c r="I1049" s="163">
        <f>IFERROR(__xludf.DUMMYFUNCTION("""COMPUTED_VALUE"""),31.0)</f>
        <v>31</v>
      </c>
      <c r="J1049" s="165">
        <f>IFERROR(__xludf.DUMMYFUNCTION("""COMPUTED_VALUE"""),-0.160387486468409)</f>
        <v>-0.1603874865</v>
      </c>
      <c r="K1049" s="165">
        <f>IFERROR(__xludf.DUMMYFUNCTION("""COMPUTED_VALUE"""),-0.269190609859412)</f>
        <v>-0.2691906099</v>
      </c>
      <c r="L1049" s="165">
        <f>IFERROR(__xludf.DUMMYFUNCTION("""COMPUTED_VALUE"""),0.108803123391002)</f>
        <v>0.1088031234</v>
      </c>
      <c r="M1049" s="166">
        <f t="shared" si="2"/>
        <v>0.03339667839</v>
      </c>
      <c r="N1049" s="167">
        <f t="shared" si="3"/>
        <v>11.64833333</v>
      </c>
      <c r="O1049" s="163">
        <f t="shared" ref="O1049:Q1049" si="1053">rank(I1049,I:I)</f>
        <v>490</v>
      </c>
      <c r="P1049" s="163">
        <f t="shared" si="1053"/>
        <v>1453</v>
      </c>
      <c r="Q1049" s="163">
        <f t="shared" si="1053"/>
        <v>1700</v>
      </c>
      <c r="R1049" s="163">
        <f>IFERROR(__xludf.DUMMYFUNCTION("RANK(M1049,filter(M:M,C:C=C1049))"),409.0)</f>
        <v>409</v>
      </c>
      <c r="S1049" s="161" t="b">
        <f t="shared" si="5"/>
        <v>0</v>
      </c>
      <c r="T1049" s="161" t="b">
        <f t="array" ref="T1049">index('Query Tool'!B:B,match(H1049,'Query Tool'!C:C,0))</f>
        <v>1</v>
      </c>
      <c r="U1049" s="161" t="b">
        <f t="array" ref="U1049">index('Query Tool'!B:B,match(C1049,'Query Tool'!C:C,0))</f>
        <v>0</v>
      </c>
      <c r="V1049" s="161" t="b">
        <f>F1049&gt;='Query Tool'!C$32</f>
        <v>0</v>
      </c>
      <c r="W1049" s="161" t="b">
        <f t="array" ref="W1049">index(Dropdowns!B:B,match(I1049,Dropdowns!A:A,0))</f>
        <v>1</v>
      </c>
      <c r="X1049" s="161" t="b">
        <f t="array" ref="X1049">index('Query Tool'!B:B,match(D1049,'Query Tool'!C:C,0))</f>
        <v>1</v>
      </c>
      <c r="Y1049" s="161" t="str">
        <f t="shared" si="6"/>
        <v>robinna01,2015-16</v>
      </c>
      <c r="Z1049" s="168" t="str">
        <f t="array" ref="Z1049">iferror(index(I:I,match($A1049&amp;","&amp;index('Year Conversion'!$A:$A,match($C1049,'Year Conversion'!$B:$B,0)),$Y:$Y,0))-I1049,"")</f>
        <v/>
      </c>
      <c r="AA1049" s="168" t="str">
        <f t="array" ref="AA1049">iferror(index(J:J,match($A1049&amp;","&amp;index('Year Conversion'!$A:$A,match($C1049,'Year Conversion'!$B:$B,0)),$Y:$Y,0))-J1049,"")</f>
        <v/>
      </c>
      <c r="AB1049" s="168" t="str">
        <f t="array" ref="AB1049">iferror(index(K:K,match($A1049&amp;","&amp;index('Year Conversion'!$A:$A,match($C1049,'Year Conversion'!$B:$B,0)),$Y:$Y,0))-K1049,"")</f>
        <v/>
      </c>
      <c r="AC1049" s="168" t="str">
        <f t="shared" si="7"/>
        <v>NOP,2015-16</v>
      </c>
    </row>
    <row r="1050">
      <c r="A1050" s="161" t="str">
        <f>IFERROR(__xludf.DUMMYFUNCTION("""COMPUTED_VALUE"""),"jackja01")</f>
        <v>jackja01</v>
      </c>
      <c r="B1050" s="161" t="str">
        <f>IFERROR(__xludf.DUMMYFUNCTION("""COMPUTED_VALUE"""),"Jarrett Jack")</f>
        <v>Jarrett Jack</v>
      </c>
      <c r="C1050" s="162" t="str">
        <f>IFERROR(__xludf.DUMMYFUNCTION("""COMPUTED_VALUE"""),"2015-16")</f>
        <v>2015-16</v>
      </c>
      <c r="D1050" s="163" t="str">
        <f>IFERROR(__xludf.DUMMYFUNCTION("""COMPUTED_VALUE"""),"BRK")</f>
        <v>BRK</v>
      </c>
      <c r="E1050" s="164" t="str">
        <f>IFERROR(__xludf.DUMMYFUNCTION("""COMPUTED_VALUE"""),"Slasher")</f>
        <v>Slasher</v>
      </c>
      <c r="F1050" s="164">
        <f>IFERROR(__xludf.DUMMYFUNCTION("""COMPUTED_VALUE"""),1026.65333333333)</f>
        <v>1026.653333</v>
      </c>
      <c r="G1050" s="163">
        <f>IFERROR(__xludf.DUMMYFUNCTION("""COMPUTED_VALUE"""),32.0)</f>
        <v>32</v>
      </c>
      <c r="H1050" s="163" t="str">
        <f>IFERROR(__xludf.DUMMYFUNCTION("""COMPUTED_VALUE"""),"PG")</f>
        <v>PG</v>
      </c>
      <c r="I1050" s="163">
        <f>IFERROR(__xludf.DUMMYFUNCTION("""COMPUTED_VALUE"""),32.0)</f>
        <v>32</v>
      </c>
      <c r="J1050" s="165">
        <f>IFERROR(__xludf.DUMMYFUNCTION("""COMPUTED_VALUE"""),0.374460986721674)</f>
        <v>0.3744609867</v>
      </c>
      <c r="K1050" s="165">
        <f>IFERROR(__xludf.DUMMYFUNCTION("""COMPUTED_VALUE"""),0.464856903197795)</f>
        <v>0.4648569032</v>
      </c>
      <c r="L1050" s="165">
        <f>IFERROR(__xludf.DUMMYFUNCTION("""COMPUTED_VALUE"""),-0.090395916476121)</f>
        <v>-0.09039591648</v>
      </c>
      <c r="M1050" s="166">
        <f t="shared" si="2"/>
        <v>1.841893371</v>
      </c>
      <c r="N1050" s="167">
        <f t="shared" si="3"/>
        <v>32.08291667</v>
      </c>
      <c r="O1050" s="163">
        <f t="shared" ref="O1050:Q1050" si="1054">rank(I1050,I:I)</f>
        <v>359</v>
      </c>
      <c r="P1050" s="163">
        <f t="shared" si="1054"/>
        <v>968</v>
      </c>
      <c r="Q1050" s="163">
        <f t="shared" si="1054"/>
        <v>789</v>
      </c>
      <c r="R1050" s="163">
        <f>IFERROR(__xludf.DUMMYFUNCTION("RANK(M1050,filter(M:M,C:C=C1050))"),167.0)</f>
        <v>167</v>
      </c>
      <c r="S1050" s="161" t="b">
        <f t="shared" si="5"/>
        <v>0</v>
      </c>
      <c r="T1050" s="161" t="b">
        <f t="array" ref="T1050">index('Query Tool'!B:B,match(H1050,'Query Tool'!C:C,0))</f>
        <v>1</v>
      </c>
      <c r="U1050" s="161" t="b">
        <f t="array" ref="U1050">index('Query Tool'!B:B,match(C1050,'Query Tool'!C:C,0))</f>
        <v>0</v>
      </c>
      <c r="V1050" s="161" t="b">
        <f>F1050&gt;='Query Tool'!C$32</f>
        <v>1</v>
      </c>
      <c r="W1050" s="161" t="b">
        <f t="array" ref="W1050">index(Dropdowns!B:B,match(I1050,Dropdowns!A:A,0))</f>
        <v>1</v>
      </c>
      <c r="X1050" s="161" t="b">
        <f t="array" ref="X1050">index('Query Tool'!B:B,match(D1050,'Query Tool'!C:C,0))</f>
        <v>1</v>
      </c>
      <c r="Y1050" s="161" t="str">
        <f t="shared" si="6"/>
        <v>jackja01,2015-16</v>
      </c>
      <c r="Z1050" s="168">
        <f t="array" ref="Z1050">iferror(index(I:I,match($A1050&amp;","&amp;index('Year Conversion'!$A:$A,match($C1050,'Year Conversion'!$B:$B,0)),$Y:$Y,0))-I1050,"")</f>
        <v>1</v>
      </c>
      <c r="AA1050" s="168">
        <f t="array" ref="AA1050">iferror(index(J:J,match($A1050&amp;","&amp;index('Year Conversion'!$A:$A,match($C1050,'Year Conversion'!$B:$B,0)),$Y:$Y,0))-J1050,"")</f>
        <v>-1.190963406</v>
      </c>
      <c r="AB1050" s="168">
        <f t="array" ref="AB1050">iferror(index(K:K,match($A1050&amp;","&amp;index('Year Conversion'!$A:$A,match($C1050,'Year Conversion'!$B:$B,0)),$Y:$Y,0))-K1050,"")</f>
        <v>-0.9203827483</v>
      </c>
      <c r="AC1050" s="168" t="str">
        <f t="shared" si="7"/>
        <v>BRK,2015-16</v>
      </c>
    </row>
    <row r="1051">
      <c r="A1051" s="161" t="str">
        <f>IFERROR(__xludf.DUMMYFUNCTION("""COMPUTED_VALUE"""),"mahinia01")</f>
        <v>mahinia01</v>
      </c>
      <c r="B1051" s="161" t="str">
        <f>IFERROR(__xludf.DUMMYFUNCTION("""COMPUTED_VALUE"""),"Ian Mahinmi")</f>
        <v>Ian Mahinmi</v>
      </c>
      <c r="C1051" s="162" t="str">
        <f>IFERROR(__xludf.DUMMYFUNCTION("""COMPUTED_VALUE"""),"2015-16")</f>
        <v>2015-16</v>
      </c>
      <c r="D1051" s="163" t="str">
        <f>IFERROR(__xludf.DUMMYFUNCTION("""COMPUTED_VALUE"""),"IND")</f>
        <v>IND</v>
      </c>
      <c r="E1051" s="164" t="str">
        <f>IFERROR(__xludf.DUMMYFUNCTION("""COMPUTED_VALUE"""),"Roll + Cut Big")</f>
        <v>Roll + Cut Big</v>
      </c>
      <c r="F1051" s="164">
        <f>IFERROR(__xludf.DUMMYFUNCTION("""COMPUTED_VALUE"""),1815.76333333333)</f>
        <v>1815.763333</v>
      </c>
      <c r="G1051" s="163">
        <f>IFERROR(__xludf.DUMMYFUNCTION("""COMPUTED_VALUE"""),71.0)</f>
        <v>71</v>
      </c>
      <c r="H1051" s="163" t="str">
        <f>IFERROR(__xludf.DUMMYFUNCTION("""COMPUTED_VALUE"""),"C")</f>
        <v>C</v>
      </c>
      <c r="I1051" s="163">
        <f>IFERROR(__xludf.DUMMYFUNCTION("""COMPUTED_VALUE"""),29.0)</f>
        <v>29</v>
      </c>
      <c r="J1051" s="165">
        <f>IFERROR(__xludf.DUMMYFUNCTION("""COMPUTED_VALUE"""),1.32828739782833)</f>
        <v>1.328287398</v>
      </c>
      <c r="K1051" s="165">
        <f>IFERROR(__xludf.DUMMYFUNCTION("""COMPUTED_VALUE"""),-1.47919602990468)</f>
        <v>-1.47919603</v>
      </c>
      <c r="L1051" s="165">
        <f>IFERROR(__xludf.DUMMYFUNCTION("""COMPUTED_VALUE"""),2.80748342773301)</f>
        <v>2.807483428</v>
      </c>
      <c r="M1051" s="166">
        <f t="shared" si="2"/>
        <v>4.42137648</v>
      </c>
      <c r="N1051" s="167">
        <f t="shared" si="3"/>
        <v>25.57413146</v>
      </c>
      <c r="O1051" s="163">
        <f t="shared" ref="O1051:Q1051" si="1055">rank(I1051,I:I)</f>
        <v>855</v>
      </c>
      <c r="P1051" s="163">
        <f t="shared" si="1055"/>
        <v>513</v>
      </c>
      <c r="Q1051" s="163">
        <f t="shared" si="1055"/>
        <v>3336</v>
      </c>
      <c r="R1051" s="163">
        <f>IFERROR(__xludf.DUMMYFUNCTION("RANK(M1051,filter(M:M,C:C=C1051))"),76.0)</f>
        <v>76</v>
      </c>
      <c r="S1051" s="161" t="b">
        <f t="shared" si="5"/>
        <v>0</v>
      </c>
      <c r="T1051" s="161" t="b">
        <f t="array" ref="T1051">index('Query Tool'!B:B,match(H1051,'Query Tool'!C:C,0))</f>
        <v>1</v>
      </c>
      <c r="U1051" s="161" t="b">
        <f t="array" ref="U1051">index('Query Tool'!B:B,match(C1051,'Query Tool'!C:C,0))</f>
        <v>0</v>
      </c>
      <c r="V1051" s="161" t="b">
        <f>F1051&gt;='Query Tool'!C$32</f>
        <v>1</v>
      </c>
      <c r="W1051" s="161" t="b">
        <f t="array" ref="W1051">index(Dropdowns!B:B,match(I1051,Dropdowns!A:A,0))</f>
        <v>1</v>
      </c>
      <c r="X1051" s="161" t="b">
        <f t="array" ref="X1051">index('Query Tool'!B:B,match(D1051,'Query Tool'!C:C,0))</f>
        <v>1</v>
      </c>
      <c r="Y1051" s="161" t="str">
        <f t="shared" si="6"/>
        <v>mahinia01,2015-16</v>
      </c>
      <c r="Z1051" s="168">
        <f t="array" ref="Z1051">iferror(index(I:I,match($A1051&amp;","&amp;index('Year Conversion'!$A:$A,match($C1051,'Year Conversion'!$B:$B,0)),$Y:$Y,0))-I1051,"")</f>
        <v>1</v>
      </c>
      <c r="AA1051" s="168">
        <f t="array" ref="AA1051">iferror(index(J:J,match($A1051&amp;","&amp;index('Year Conversion'!$A:$A,match($C1051,'Year Conversion'!$B:$B,0)),$Y:$Y,0))-J1051,"")</f>
        <v>-0.9173416942</v>
      </c>
      <c r="AB1051" s="168">
        <f t="array" ref="AB1051">iferror(index(K:K,match($A1051&amp;","&amp;index('Year Conversion'!$A:$A,match($C1051,'Year Conversion'!$B:$B,0)),$Y:$Y,0))-K1051,"")</f>
        <v>-0.1916032997</v>
      </c>
      <c r="AC1051" s="168" t="str">
        <f t="shared" si="7"/>
        <v>IND,2015-16</v>
      </c>
    </row>
    <row r="1052">
      <c r="A1052" s="161" t="str">
        <f>IFERROR(__xludf.DUMMYFUNCTION("""COMPUTED_VALUE"""),"leeda02")</f>
        <v>leeda02</v>
      </c>
      <c r="B1052" s="161" t="str">
        <f>IFERROR(__xludf.DUMMYFUNCTION("""COMPUTED_VALUE"""),"David Lee")</f>
        <v>David Lee</v>
      </c>
      <c r="C1052" s="162" t="str">
        <f>IFERROR(__xludf.DUMMYFUNCTION("""COMPUTED_VALUE"""),"2015-16")</f>
        <v>2015-16</v>
      </c>
      <c r="D1052" s="163" t="str">
        <f>IFERROR(__xludf.DUMMYFUNCTION("""COMPUTED_VALUE"""),"TOT")</f>
        <v>TOT</v>
      </c>
      <c r="E1052" s="164" t="str">
        <f>IFERROR(__xludf.DUMMYFUNCTION("""COMPUTED_VALUE"""),"Post Scorer")</f>
        <v>Post Scorer</v>
      </c>
      <c r="F1052" s="164">
        <f>IFERROR(__xludf.DUMMYFUNCTION("""COMPUTED_VALUE"""),902.93)</f>
        <v>902.93</v>
      </c>
      <c r="G1052" s="163">
        <f>IFERROR(__xludf.DUMMYFUNCTION("""COMPUTED_VALUE"""),55.0)</f>
        <v>55</v>
      </c>
      <c r="H1052" s="163" t="str">
        <f>IFERROR(__xludf.DUMMYFUNCTION("""COMPUTED_VALUE"""),"PF")</f>
        <v>PF</v>
      </c>
      <c r="I1052" s="163">
        <f>IFERROR(__xludf.DUMMYFUNCTION("""COMPUTED_VALUE"""),32.0)</f>
        <v>32</v>
      </c>
      <c r="J1052" s="165">
        <f>IFERROR(__xludf.DUMMYFUNCTION("""COMPUTED_VALUE"""),0.0904651282954487)</f>
        <v>0.0904651283</v>
      </c>
      <c r="K1052" s="165">
        <f>IFERROR(__xludf.DUMMYFUNCTION("""COMPUTED_VALUE"""),-0.450569889404399)</f>
        <v>-0.4505698894</v>
      </c>
      <c r="L1052" s="165">
        <f>IFERROR(__xludf.DUMMYFUNCTION("""COMPUTED_VALUE"""),0.541035017699848)</f>
        <v>0.5410350177</v>
      </c>
      <c r="M1052" s="166">
        <f t="shared" si="2"/>
        <v>1.447086761</v>
      </c>
      <c r="N1052" s="167">
        <f t="shared" si="3"/>
        <v>16.41690909</v>
      </c>
      <c r="O1052" s="163">
        <f t="shared" ref="O1052:Q1052" si="1056">rank(I1052,I:I)</f>
        <v>359</v>
      </c>
      <c r="P1052" s="163">
        <f t="shared" si="1056"/>
        <v>1200</v>
      </c>
      <c r="Q1052" s="163">
        <f t="shared" si="1056"/>
        <v>2034</v>
      </c>
      <c r="R1052" s="163">
        <f>IFERROR(__xludf.DUMMYFUNCTION("RANK(M1052,filter(M:M,C:C=C1052))"),189.0)</f>
        <v>189</v>
      </c>
      <c r="S1052" s="161" t="b">
        <f t="shared" si="5"/>
        <v>0</v>
      </c>
      <c r="T1052" s="161" t="b">
        <f t="array" ref="T1052">index('Query Tool'!B:B,match(H1052,'Query Tool'!C:C,0))</f>
        <v>1</v>
      </c>
      <c r="U1052" s="161" t="b">
        <f t="array" ref="U1052">index('Query Tool'!B:B,match(C1052,'Query Tool'!C:C,0))</f>
        <v>0</v>
      </c>
      <c r="V1052" s="161" t="b">
        <f>F1052&gt;='Query Tool'!C$32</f>
        <v>1</v>
      </c>
      <c r="W1052" s="161" t="b">
        <f t="array" ref="W1052">index(Dropdowns!B:B,match(I1052,Dropdowns!A:A,0))</f>
        <v>1</v>
      </c>
      <c r="X1052" s="161" t="b">
        <f t="array" ref="X1052">index('Query Tool'!B:B,match(D1052,'Query Tool'!C:C,0))</f>
        <v>1</v>
      </c>
      <c r="Y1052" s="161" t="str">
        <f t="shared" si="6"/>
        <v>leeda02,2015-16</v>
      </c>
      <c r="Z1052" s="168">
        <f t="array" ref="Z1052">iferror(index(I:I,match($A1052&amp;","&amp;index('Year Conversion'!$A:$A,match($C1052,'Year Conversion'!$B:$B,0)),$Y:$Y,0))-I1052,"")</f>
        <v>1</v>
      </c>
      <c r="AA1052" s="168">
        <f t="array" ref="AA1052">iferror(index(J:J,match($A1052&amp;","&amp;index('Year Conversion'!$A:$A,match($C1052,'Year Conversion'!$B:$B,0)),$Y:$Y,0))-J1052,"")</f>
        <v>0.4529993715</v>
      </c>
      <c r="AB1052" s="168">
        <f t="array" ref="AB1052">iferror(index(K:K,match($A1052&amp;","&amp;index('Year Conversion'!$A:$A,match($C1052,'Year Conversion'!$B:$B,0)),$Y:$Y,0))-K1052,"")</f>
        <v>0.2338880766</v>
      </c>
      <c r="AC1052" s="168" t="str">
        <f t="shared" si="7"/>
        <v>TOT,2015-16</v>
      </c>
    </row>
    <row r="1053">
      <c r="A1053" s="161" t="str">
        <f>IFERROR(__xludf.DUMMYFUNCTION("""COMPUTED_VALUE"""),"bassbr01")</f>
        <v>bassbr01</v>
      </c>
      <c r="B1053" s="161" t="str">
        <f>IFERROR(__xludf.DUMMYFUNCTION("""COMPUTED_VALUE"""),"Brandon Bass")</f>
        <v>Brandon Bass</v>
      </c>
      <c r="C1053" s="162" t="str">
        <f>IFERROR(__xludf.DUMMYFUNCTION("""COMPUTED_VALUE"""),"2015-16")</f>
        <v>2015-16</v>
      </c>
      <c r="D1053" s="163" t="str">
        <f>IFERROR(__xludf.DUMMYFUNCTION("""COMPUTED_VALUE"""),"LAL")</f>
        <v>LAL</v>
      </c>
      <c r="E1053" s="164" t="str">
        <f>IFERROR(__xludf.DUMMYFUNCTION("""COMPUTED_VALUE"""),"Roll + Cut Big")</f>
        <v>Roll + Cut Big</v>
      </c>
      <c r="F1053" s="164">
        <f>IFERROR(__xludf.DUMMYFUNCTION("""COMPUTED_VALUE"""),1342.41166666667)</f>
        <v>1342.411667</v>
      </c>
      <c r="G1053" s="163">
        <f>IFERROR(__xludf.DUMMYFUNCTION("""COMPUTED_VALUE"""),66.0)</f>
        <v>66</v>
      </c>
      <c r="H1053" s="163" t="str">
        <f>IFERROR(__xludf.DUMMYFUNCTION("""COMPUTED_VALUE"""),"PF")</f>
        <v>PF</v>
      </c>
      <c r="I1053" s="163">
        <f>IFERROR(__xludf.DUMMYFUNCTION("""COMPUTED_VALUE"""),30.0)</f>
        <v>30</v>
      </c>
      <c r="J1053" s="165">
        <f>IFERROR(__xludf.DUMMYFUNCTION("""COMPUTED_VALUE"""),0.667220375457498)</f>
        <v>0.6672203755</v>
      </c>
      <c r="K1053" s="165">
        <f>IFERROR(__xludf.DUMMYFUNCTION("""COMPUTED_VALUE"""),0.940704923644575)</f>
        <v>0.9407049236</v>
      </c>
      <c r="L1053" s="165">
        <f>IFERROR(__xludf.DUMMYFUNCTION("""COMPUTED_VALUE"""),-0.273484548187077)</f>
        <v>-0.2734845482</v>
      </c>
      <c r="M1053" s="166">
        <f t="shared" si="2"/>
        <v>2.673039455</v>
      </c>
      <c r="N1053" s="167">
        <f t="shared" si="3"/>
        <v>20.33957071</v>
      </c>
      <c r="O1053" s="163">
        <f t="shared" ref="O1053:Q1053" si="1057">rank(I1053,I:I)</f>
        <v>655</v>
      </c>
      <c r="P1053" s="163">
        <f t="shared" si="1057"/>
        <v>814</v>
      </c>
      <c r="Q1053" s="163">
        <f t="shared" si="1057"/>
        <v>531</v>
      </c>
      <c r="R1053" s="163">
        <f>IFERROR(__xludf.DUMMYFUNCTION("RANK(M1053,filter(M:M,C:C=C1053))"),129.0)</f>
        <v>129</v>
      </c>
      <c r="S1053" s="161" t="b">
        <f t="shared" si="5"/>
        <v>0</v>
      </c>
      <c r="T1053" s="161" t="b">
        <f t="array" ref="T1053">index('Query Tool'!B:B,match(H1053,'Query Tool'!C:C,0))</f>
        <v>1</v>
      </c>
      <c r="U1053" s="161" t="b">
        <f t="array" ref="U1053">index('Query Tool'!B:B,match(C1053,'Query Tool'!C:C,0))</f>
        <v>0</v>
      </c>
      <c r="V1053" s="161" t="b">
        <f>F1053&gt;='Query Tool'!C$32</f>
        <v>1</v>
      </c>
      <c r="W1053" s="161" t="b">
        <f t="array" ref="W1053">index(Dropdowns!B:B,match(I1053,Dropdowns!A:A,0))</f>
        <v>1</v>
      </c>
      <c r="X1053" s="161" t="b">
        <f t="array" ref="X1053">index('Query Tool'!B:B,match(D1053,'Query Tool'!C:C,0))</f>
        <v>1</v>
      </c>
      <c r="Y1053" s="161" t="str">
        <f t="shared" si="6"/>
        <v>bassbr01,2015-16</v>
      </c>
      <c r="Z1053" s="168">
        <f t="array" ref="Z1053">iferror(index(I:I,match($A1053&amp;","&amp;index('Year Conversion'!$A:$A,match($C1053,'Year Conversion'!$B:$B,0)),$Y:$Y,0))-I1053,"")</f>
        <v>1</v>
      </c>
      <c r="AA1053" s="168">
        <f t="array" ref="AA1053">iferror(index(J:J,match($A1053&amp;","&amp;index('Year Conversion'!$A:$A,match($C1053,'Year Conversion'!$B:$B,0)),$Y:$Y,0))-J1053,"")</f>
        <v>-2.927597828</v>
      </c>
      <c r="AB1053" s="168">
        <f t="array" ref="AB1053">iferror(index(K:K,match($A1053&amp;","&amp;index('Year Conversion'!$A:$A,match($C1053,'Year Conversion'!$B:$B,0)),$Y:$Y,0))-K1053,"")</f>
        <v>-1.711661794</v>
      </c>
      <c r="AC1053" s="168" t="str">
        <f t="shared" si="7"/>
        <v>LAL,2015-16</v>
      </c>
    </row>
    <row r="1054">
      <c r="A1054" s="161" t="str">
        <f>IFERROR(__xludf.DUMMYFUNCTION("""COMPUTED_VALUE"""),"milescj01")</f>
        <v>milescj01</v>
      </c>
      <c r="B1054" s="161" t="str">
        <f>IFERROR(__xludf.DUMMYFUNCTION("""COMPUTED_VALUE"""),"CJ Miles")</f>
        <v>CJ Miles</v>
      </c>
      <c r="C1054" s="162" t="str">
        <f>IFERROR(__xludf.DUMMYFUNCTION("""COMPUTED_VALUE"""),"2015-16")</f>
        <v>2015-16</v>
      </c>
      <c r="D1054" s="163" t="str">
        <f>IFERROR(__xludf.DUMMYFUNCTION("""COMPUTED_VALUE"""),"IND")</f>
        <v>IND</v>
      </c>
      <c r="E1054" s="164" t="str">
        <f>IFERROR(__xludf.DUMMYFUNCTION("""COMPUTED_VALUE"""),"Off Screen Shooter")</f>
        <v>Off Screen Shooter</v>
      </c>
      <c r="F1054" s="164">
        <f>IFERROR(__xludf.DUMMYFUNCTION("""COMPUTED_VALUE"""),1463.60666666667)</f>
        <v>1463.606667</v>
      </c>
      <c r="G1054" s="163">
        <f>IFERROR(__xludf.DUMMYFUNCTION("""COMPUTED_VALUE"""),64.0)</f>
        <v>64</v>
      </c>
      <c r="H1054" s="163" t="str">
        <f>IFERROR(__xludf.DUMMYFUNCTION("""COMPUTED_VALUE"""),"SF")</f>
        <v>SF</v>
      </c>
      <c r="I1054" s="163">
        <f>IFERROR(__xludf.DUMMYFUNCTION("""COMPUTED_VALUE"""),28.0)</f>
        <v>28</v>
      </c>
      <c r="J1054" s="165">
        <f>IFERROR(__xludf.DUMMYFUNCTION("""COMPUTED_VALUE"""),-0.666618634261523)</f>
        <v>-0.6666186343</v>
      </c>
      <c r="K1054" s="165">
        <f>IFERROR(__xludf.DUMMYFUNCTION("""COMPUTED_VALUE"""),0.213073999849829)</f>
        <v>0.2130739998</v>
      </c>
      <c r="L1054" s="165">
        <f>IFERROR(__xludf.DUMMYFUNCTION("""COMPUTED_VALUE"""),-0.879692634111352)</f>
        <v>-0.8796926341</v>
      </c>
      <c r="M1054" s="166">
        <f t="shared" si="2"/>
        <v>1.599014302</v>
      </c>
      <c r="N1054" s="167">
        <f t="shared" si="3"/>
        <v>22.86885417</v>
      </c>
      <c r="O1054" s="163">
        <f t="shared" ref="O1054:Q1054" si="1058">rank(I1054,I:I)</f>
        <v>1090</v>
      </c>
      <c r="P1054" s="163">
        <f t="shared" si="1058"/>
        <v>2088</v>
      </c>
      <c r="Q1054" s="163">
        <f t="shared" si="1058"/>
        <v>975</v>
      </c>
      <c r="R1054" s="163">
        <f>IFERROR(__xludf.DUMMYFUNCTION("RANK(M1054,filter(M:M,C:C=C1054))"),182.0)</f>
        <v>182</v>
      </c>
      <c r="S1054" s="161" t="b">
        <f t="shared" si="5"/>
        <v>0</v>
      </c>
      <c r="T1054" s="161" t="b">
        <f t="array" ref="T1054">index('Query Tool'!B:B,match(H1054,'Query Tool'!C:C,0))</f>
        <v>1</v>
      </c>
      <c r="U1054" s="161" t="b">
        <f t="array" ref="U1054">index('Query Tool'!B:B,match(C1054,'Query Tool'!C:C,0))</f>
        <v>0</v>
      </c>
      <c r="V1054" s="161" t="b">
        <f>F1054&gt;='Query Tool'!C$32</f>
        <v>1</v>
      </c>
      <c r="W1054" s="161" t="b">
        <f t="array" ref="W1054">index(Dropdowns!B:B,match(I1054,Dropdowns!A:A,0))</f>
        <v>1</v>
      </c>
      <c r="X1054" s="161" t="b">
        <f t="array" ref="X1054">index('Query Tool'!B:B,match(D1054,'Query Tool'!C:C,0))</f>
        <v>1</v>
      </c>
      <c r="Y1054" s="161" t="str">
        <f t="shared" si="6"/>
        <v>milescj01,2015-16</v>
      </c>
      <c r="Z1054" s="168">
        <f t="array" ref="Z1054">iferror(index(I:I,match($A1054&amp;","&amp;index('Year Conversion'!$A:$A,match($C1054,'Year Conversion'!$B:$B,0)),$Y:$Y,0))-I1054,"")</f>
        <v>1</v>
      </c>
      <c r="AA1054" s="168">
        <f t="array" ref="AA1054">iferror(index(J:J,match($A1054&amp;","&amp;index('Year Conversion'!$A:$A,match($C1054,'Year Conversion'!$B:$B,0)),$Y:$Y,0))-J1054,"")</f>
        <v>0.6102609707</v>
      </c>
      <c r="AB1054" s="168">
        <f t="array" ref="AB1054">iferror(index(K:K,match($A1054&amp;","&amp;index('Year Conversion'!$A:$A,match($C1054,'Year Conversion'!$B:$B,0)),$Y:$Y,0))-K1054,"")</f>
        <v>0.2442165147</v>
      </c>
      <c r="AC1054" s="168" t="str">
        <f t="shared" si="7"/>
        <v>IND,2015-16</v>
      </c>
    </row>
    <row r="1055">
      <c r="A1055" s="161" t="str">
        <f>IFERROR(__xludf.DUMMYFUNCTION("""COMPUTED_VALUE"""),"ilyaser01")</f>
        <v>ilyaser01</v>
      </c>
      <c r="B1055" s="161" t="str">
        <f>IFERROR(__xludf.DUMMYFUNCTION("""COMPUTED_VALUE"""),"Ersan Ilyasova")</f>
        <v>Ersan Ilyasova</v>
      </c>
      <c r="C1055" s="162" t="str">
        <f>IFERROR(__xludf.DUMMYFUNCTION("""COMPUTED_VALUE"""),"2015-16")</f>
        <v>2015-16</v>
      </c>
      <c r="D1055" s="163" t="str">
        <f>IFERROR(__xludf.DUMMYFUNCTION("""COMPUTED_VALUE"""),"TOT")</f>
        <v>TOT</v>
      </c>
      <c r="E1055" s="164" t="str">
        <f>IFERROR(__xludf.DUMMYFUNCTION("""COMPUTED_VALUE"""),"Stretch Big")</f>
        <v>Stretch Big</v>
      </c>
      <c r="F1055" s="164">
        <f>IFERROR(__xludf.DUMMYFUNCTION("""COMPUTED_VALUE"""),1880.38666666667)</f>
        <v>1880.386667</v>
      </c>
      <c r="G1055" s="163">
        <f>IFERROR(__xludf.DUMMYFUNCTION("""COMPUTED_VALUE"""),74.0)</f>
        <v>74</v>
      </c>
      <c r="H1055" s="163" t="str">
        <f>IFERROR(__xludf.DUMMYFUNCTION("""COMPUTED_VALUE"""),"PF")</f>
        <v>PF</v>
      </c>
      <c r="I1055" s="163">
        <f>IFERROR(__xludf.DUMMYFUNCTION("""COMPUTED_VALUE"""),28.0)</f>
        <v>28</v>
      </c>
      <c r="J1055" s="165">
        <f>IFERROR(__xludf.DUMMYFUNCTION("""COMPUTED_VALUE"""),-1.60220409858857)</f>
        <v>-1.602204099</v>
      </c>
      <c r="K1055" s="165">
        <f>IFERROR(__xludf.DUMMYFUNCTION("""COMPUTED_VALUE"""),-1.03367478714803)</f>
        <v>-1.033674787</v>
      </c>
      <c r="L1055" s="165">
        <f>IFERROR(__xludf.DUMMYFUNCTION("""COMPUTED_VALUE"""),-0.568529311440549)</f>
        <v>-0.5685293114</v>
      </c>
      <c r="M1055" s="166">
        <f t="shared" si="2"/>
        <v>0.8749677492</v>
      </c>
      <c r="N1055" s="167">
        <f t="shared" si="3"/>
        <v>25.41063063</v>
      </c>
      <c r="O1055" s="163">
        <f t="shared" ref="O1055:Q1055" si="1059">rank(I1055,I:I)</f>
        <v>1090</v>
      </c>
      <c r="P1055" s="163">
        <f t="shared" si="1059"/>
        <v>3146</v>
      </c>
      <c r="Q1055" s="163">
        <f t="shared" si="1059"/>
        <v>2846</v>
      </c>
      <c r="R1055" s="163">
        <f>IFERROR(__xludf.DUMMYFUNCTION("RANK(M1055,filter(M:M,C:C=C1055))"),231.0)</f>
        <v>231</v>
      </c>
      <c r="S1055" s="161" t="b">
        <f t="shared" si="5"/>
        <v>0</v>
      </c>
      <c r="T1055" s="161" t="b">
        <f t="array" ref="T1055">index('Query Tool'!B:B,match(H1055,'Query Tool'!C:C,0))</f>
        <v>1</v>
      </c>
      <c r="U1055" s="161" t="b">
        <f t="array" ref="U1055">index('Query Tool'!B:B,match(C1055,'Query Tool'!C:C,0))</f>
        <v>0</v>
      </c>
      <c r="V1055" s="161" t="b">
        <f>F1055&gt;='Query Tool'!C$32</f>
        <v>1</v>
      </c>
      <c r="W1055" s="161" t="b">
        <f t="array" ref="W1055">index(Dropdowns!B:B,match(I1055,Dropdowns!A:A,0))</f>
        <v>1</v>
      </c>
      <c r="X1055" s="161" t="b">
        <f t="array" ref="X1055">index('Query Tool'!B:B,match(D1055,'Query Tool'!C:C,0))</f>
        <v>1</v>
      </c>
      <c r="Y1055" s="161" t="str">
        <f t="shared" si="6"/>
        <v>ilyaser01,2015-16</v>
      </c>
      <c r="Z1055" s="168">
        <f t="array" ref="Z1055">iferror(index(I:I,match($A1055&amp;","&amp;index('Year Conversion'!$A:$A,match($C1055,'Year Conversion'!$B:$B,0)),$Y:$Y,0))-I1055,"")</f>
        <v>1</v>
      </c>
      <c r="AA1055" s="168">
        <f t="array" ref="AA1055">iferror(index(J:J,match($A1055&amp;","&amp;index('Year Conversion'!$A:$A,match($C1055,'Year Conversion'!$B:$B,0)),$Y:$Y,0))-J1055,"")</f>
        <v>1.829278044</v>
      </c>
      <c r="AB1055" s="168">
        <f t="array" ref="AB1055">iferror(index(K:K,match($A1055&amp;","&amp;index('Year Conversion'!$A:$A,match($C1055,'Year Conversion'!$B:$B,0)),$Y:$Y,0))-K1055,"")</f>
        <v>1.306449975</v>
      </c>
      <c r="AC1055" s="168" t="str">
        <f t="shared" si="7"/>
        <v>TOT,2015-16</v>
      </c>
    </row>
    <row r="1056">
      <c r="A1056" s="161" t="str">
        <f>IFERROR(__xludf.DUMMYFUNCTION("""COMPUTED_VALUE"""),"ellismo01")</f>
        <v>ellismo01</v>
      </c>
      <c r="B1056" s="161" t="str">
        <f>IFERROR(__xludf.DUMMYFUNCTION("""COMPUTED_VALUE"""),"Monta Ellis")</f>
        <v>Monta Ellis</v>
      </c>
      <c r="C1056" s="162" t="str">
        <f>IFERROR(__xludf.DUMMYFUNCTION("""COMPUTED_VALUE"""),"2015-16")</f>
        <v>2015-16</v>
      </c>
      <c r="D1056" s="163" t="str">
        <f>IFERROR(__xludf.DUMMYFUNCTION("""COMPUTED_VALUE"""),"IND")</f>
        <v>IND</v>
      </c>
      <c r="E1056" s="164" t="str">
        <f>IFERROR(__xludf.DUMMYFUNCTION("""COMPUTED_VALUE"""),"Primary Ball Handler")</f>
        <v>Primary Ball Handler</v>
      </c>
      <c r="F1056" s="164">
        <f>IFERROR(__xludf.DUMMYFUNCTION("""COMPUTED_VALUE"""),2733.96833333333)</f>
        <v>2733.968333</v>
      </c>
      <c r="G1056" s="163">
        <f>IFERROR(__xludf.DUMMYFUNCTION("""COMPUTED_VALUE"""),81.0)</f>
        <v>81</v>
      </c>
      <c r="H1056" s="163" t="str">
        <f>IFERROR(__xludf.DUMMYFUNCTION("""COMPUTED_VALUE"""),"SG")</f>
        <v>SG</v>
      </c>
      <c r="I1056" s="163">
        <f>IFERROR(__xludf.DUMMYFUNCTION("""COMPUTED_VALUE"""),30.0)</f>
        <v>30</v>
      </c>
      <c r="J1056" s="165">
        <f>IFERROR(__xludf.DUMMYFUNCTION("""COMPUTED_VALUE"""),0.0100086735486917)</f>
        <v>0.01000867355</v>
      </c>
      <c r="K1056" s="165">
        <f>IFERROR(__xludf.DUMMYFUNCTION("""COMPUTED_VALUE"""),-0.557064428315535)</f>
        <v>-0.5570644283</v>
      </c>
      <c r="L1056" s="165">
        <f>IFERROR(__xludf.DUMMYFUNCTION("""COMPUTED_VALUE"""),0.567073101864227)</f>
        <v>0.5670731019</v>
      </c>
      <c r="M1056" s="166">
        <f t="shared" si="2"/>
        <v>4.233315968</v>
      </c>
      <c r="N1056" s="167">
        <f t="shared" si="3"/>
        <v>33.75269547</v>
      </c>
      <c r="O1056" s="163">
        <f t="shared" ref="O1056:Q1056" si="1060">rank(I1056,I:I)</f>
        <v>655</v>
      </c>
      <c r="P1056" s="163">
        <f t="shared" si="1060"/>
        <v>1274</v>
      </c>
      <c r="Q1056" s="163">
        <f t="shared" si="1060"/>
        <v>2195</v>
      </c>
      <c r="R1056" s="163">
        <f>IFERROR(__xludf.DUMMYFUNCTION("RANK(M1056,filter(M:M,C:C=C1056))"),78.0)</f>
        <v>78</v>
      </c>
      <c r="S1056" s="161" t="b">
        <f t="shared" si="5"/>
        <v>0</v>
      </c>
      <c r="T1056" s="161" t="b">
        <f t="array" ref="T1056">index('Query Tool'!B:B,match(H1056,'Query Tool'!C:C,0))</f>
        <v>1</v>
      </c>
      <c r="U1056" s="161" t="b">
        <f t="array" ref="U1056">index('Query Tool'!B:B,match(C1056,'Query Tool'!C:C,0))</f>
        <v>0</v>
      </c>
      <c r="V1056" s="161" t="b">
        <f>F1056&gt;='Query Tool'!C$32</f>
        <v>1</v>
      </c>
      <c r="W1056" s="161" t="b">
        <f t="array" ref="W1056">index(Dropdowns!B:B,match(I1056,Dropdowns!A:A,0))</f>
        <v>1</v>
      </c>
      <c r="X1056" s="161" t="b">
        <f t="array" ref="X1056">index('Query Tool'!B:B,match(D1056,'Query Tool'!C:C,0))</f>
        <v>1</v>
      </c>
      <c r="Y1056" s="161" t="str">
        <f t="shared" si="6"/>
        <v>ellismo01,2015-16</v>
      </c>
      <c r="Z1056" s="168">
        <f t="array" ref="Z1056">iferror(index(I:I,match($A1056&amp;","&amp;index('Year Conversion'!$A:$A,match($C1056,'Year Conversion'!$B:$B,0)),$Y:$Y,0))-I1056,"")</f>
        <v>1</v>
      </c>
      <c r="AA1056" s="168">
        <f t="array" ref="AA1056">iferror(index(J:J,match($A1056&amp;","&amp;index('Year Conversion'!$A:$A,match($C1056,'Year Conversion'!$B:$B,0)),$Y:$Y,0))-J1056,"")</f>
        <v>-2.139276126</v>
      </c>
      <c r="AB1056" s="168">
        <f t="array" ref="AB1056">iferror(index(K:K,match($A1056&amp;","&amp;index('Year Conversion'!$A:$A,match($C1056,'Year Conversion'!$B:$B,0)),$Y:$Y,0))-K1056,"")</f>
        <v>-0.9478078796</v>
      </c>
      <c r="AC1056" s="168" t="str">
        <f t="shared" si="7"/>
        <v>IND,2015-16</v>
      </c>
    </row>
    <row r="1057">
      <c r="A1057" s="161" t="str">
        <f>IFERROR(__xludf.DUMMYFUNCTION("""COMPUTED_VALUE"""),"willilo02")</f>
        <v>willilo02</v>
      </c>
      <c r="B1057" s="161" t="str">
        <f>IFERROR(__xludf.DUMMYFUNCTION("""COMPUTED_VALUE"""),"Lou Williams")</f>
        <v>Lou Williams</v>
      </c>
      <c r="C1057" s="162" t="str">
        <f>IFERROR(__xludf.DUMMYFUNCTION("""COMPUTED_VALUE"""),"2015-16")</f>
        <v>2015-16</v>
      </c>
      <c r="D1057" s="163" t="str">
        <f>IFERROR(__xludf.DUMMYFUNCTION("""COMPUTED_VALUE"""),"LAL")</f>
        <v>LAL</v>
      </c>
      <c r="E1057" s="164" t="str">
        <f>IFERROR(__xludf.DUMMYFUNCTION("""COMPUTED_VALUE"""),"Secondary Ball Handler")</f>
        <v>Secondary Ball Handler</v>
      </c>
      <c r="F1057" s="164">
        <f>IFERROR(__xludf.DUMMYFUNCTION("""COMPUTED_VALUE"""),1906.71166666667)</f>
        <v>1906.711667</v>
      </c>
      <c r="G1057" s="163">
        <f>IFERROR(__xludf.DUMMYFUNCTION("""COMPUTED_VALUE"""),67.0)</f>
        <v>67</v>
      </c>
      <c r="H1057" s="163" t="str">
        <f>IFERROR(__xludf.DUMMYFUNCTION("""COMPUTED_VALUE"""),"SG")</f>
        <v>SG</v>
      </c>
      <c r="I1057" s="163">
        <f>IFERROR(__xludf.DUMMYFUNCTION("""COMPUTED_VALUE"""),29.0)</f>
        <v>29</v>
      </c>
      <c r="J1057" s="165">
        <f>IFERROR(__xludf.DUMMYFUNCTION("""COMPUTED_VALUE"""),-0.455803318022856)</f>
        <v>-0.455803318</v>
      </c>
      <c r="K1057" s="165">
        <f>IFERROR(__xludf.DUMMYFUNCTION("""COMPUTED_VALUE"""),1.91502202675655)</f>
        <v>1.915022027</v>
      </c>
      <c r="L1057" s="165">
        <f>IFERROR(__xludf.DUMMYFUNCTION("""COMPUTED_VALUE"""),-2.3708253447794)</f>
        <v>-2.370825345</v>
      </c>
      <c r="M1057" s="166">
        <f t="shared" si="2"/>
        <v>2.353754271</v>
      </c>
      <c r="N1057" s="167">
        <f t="shared" si="3"/>
        <v>28.45838308</v>
      </c>
      <c r="O1057" s="163">
        <f t="shared" ref="O1057:Q1057" si="1061">rank(I1057,I:I)</f>
        <v>855</v>
      </c>
      <c r="P1057" s="163">
        <f t="shared" si="1061"/>
        <v>1785</v>
      </c>
      <c r="Q1057" s="163">
        <f t="shared" si="1061"/>
        <v>242</v>
      </c>
      <c r="R1057" s="163">
        <f>IFERROR(__xludf.DUMMYFUNCTION("RANK(M1057,filter(M:M,C:C=C1057))"),142.0)</f>
        <v>142</v>
      </c>
      <c r="S1057" s="161" t="b">
        <f t="shared" si="5"/>
        <v>0</v>
      </c>
      <c r="T1057" s="161" t="b">
        <f t="array" ref="T1057">index('Query Tool'!B:B,match(H1057,'Query Tool'!C:C,0))</f>
        <v>1</v>
      </c>
      <c r="U1057" s="161" t="b">
        <f t="array" ref="U1057">index('Query Tool'!B:B,match(C1057,'Query Tool'!C:C,0))</f>
        <v>0</v>
      </c>
      <c r="V1057" s="161" t="b">
        <f>F1057&gt;='Query Tool'!C$32</f>
        <v>1</v>
      </c>
      <c r="W1057" s="161" t="b">
        <f t="array" ref="W1057">index(Dropdowns!B:B,match(I1057,Dropdowns!A:A,0))</f>
        <v>1</v>
      </c>
      <c r="X1057" s="161" t="b">
        <f t="array" ref="X1057">index('Query Tool'!B:B,match(D1057,'Query Tool'!C:C,0))</f>
        <v>1</v>
      </c>
      <c r="Y1057" s="161" t="str">
        <f t="shared" si="6"/>
        <v>willilo02,2015-16</v>
      </c>
      <c r="Z1057" s="168">
        <f t="array" ref="Z1057">iferror(index(I:I,match($A1057&amp;","&amp;index('Year Conversion'!$A:$A,match($C1057,'Year Conversion'!$B:$B,0)),$Y:$Y,0))-I1057,"")</f>
        <v>1</v>
      </c>
      <c r="AA1057" s="168">
        <f t="array" ref="AA1057">iferror(index(J:J,match($A1057&amp;","&amp;index('Year Conversion'!$A:$A,match($C1057,'Year Conversion'!$B:$B,0)),$Y:$Y,0))-J1057,"")</f>
        <v>1.157945498</v>
      </c>
      <c r="AB1057" s="168">
        <f t="array" ref="AB1057">iferror(index(K:K,match($A1057&amp;","&amp;index('Year Conversion'!$A:$A,match($C1057,'Year Conversion'!$B:$B,0)),$Y:$Y,0))-K1057,"")</f>
        <v>1.098848662</v>
      </c>
      <c r="AC1057" s="168" t="str">
        <f t="shared" si="7"/>
        <v>LAL,2015-16</v>
      </c>
    </row>
    <row r="1058">
      <c r="A1058" s="161" t="str">
        <f>IFERROR(__xludf.DUMMYFUNCTION("""COMPUTED_VALUE"""),"johnsam01")</f>
        <v>johnsam01</v>
      </c>
      <c r="B1058" s="161" t="str">
        <f>IFERROR(__xludf.DUMMYFUNCTION("""COMPUTED_VALUE"""),"Amir Johnson")</f>
        <v>Amir Johnson</v>
      </c>
      <c r="C1058" s="162" t="str">
        <f>IFERROR(__xludf.DUMMYFUNCTION("""COMPUTED_VALUE"""),"2015-16")</f>
        <v>2015-16</v>
      </c>
      <c r="D1058" s="163" t="str">
        <f>IFERROR(__xludf.DUMMYFUNCTION("""COMPUTED_VALUE"""),"BOS")</f>
        <v>BOS</v>
      </c>
      <c r="E1058" s="164" t="str">
        <f>IFERROR(__xludf.DUMMYFUNCTION("""COMPUTED_VALUE"""),"Roll + Cut Big")</f>
        <v>Roll + Cut Big</v>
      </c>
      <c r="F1058" s="164">
        <f>IFERROR(__xludf.DUMMYFUNCTION("""COMPUTED_VALUE"""),1800.12833333333)</f>
        <v>1800.128333</v>
      </c>
      <c r="G1058" s="163">
        <f>IFERROR(__xludf.DUMMYFUNCTION("""COMPUTED_VALUE"""),79.0)</f>
        <v>79</v>
      </c>
      <c r="H1058" s="163" t="str">
        <f>IFERROR(__xludf.DUMMYFUNCTION("""COMPUTED_VALUE"""),"PF")</f>
        <v>PF</v>
      </c>
      <c r="I1058" s="163">
        <f>IFERROR(__xludf.DUMMYFUNCTION("""COMPUTED_VALUE"""),28.0)</f>
        <v>28</v>
      </c>
      <c r="J1058" s="165">
        <f>IFERROR(__xludf.DUMMYFUNCTION("""COMPUTED_VALUE"""),1.79769749650822)</f>
        <v>1.797697497</v>
      </c>
      <c r="K1058" s="165">
        <f>IFERROR(__xludf.DUMMYFUNCTION("""COMPUTED_VALUE"""),-0.196807029535697)</f>
        <v>-0.1968070295</v>
      </c>
      <c r="L1058" s="165">
        <f>IFERROR(__xludf.DUMMYFUNCTION("""COMPUTED_VALUE"""),1.99450452604392)</f>
        <v>1.994504526</v>
      </c>
      <c r="M1058" s="166">
        <f t="shared" si="2"/>
        <v>4.947191802</v>
      </c>
      <c r="N1058" s="167">
        <f t="shared" si="3"/>
        <v>22.7864346</v>
      </c>
      <c r="O1058" s="163">
        <f t="shared" ref="O1058:Q1058" si="1062">rank(I1058,I:I)</f>
        <v>1090</v>
      </c>
      <c r="P1058" s="163">
        <f t="shared" si="1062"/>
        <v>373</v>
      </c>
      <c r="Q1058" s="163">
        <f t="shared" si="1062"/>
        <v>1559</v>
      </c>
      <c r="R1058" s="163">
        <f>IFERROR(__xludf.DUMMYFUNCTION("RANK(M1058,filter(M:M,C:C=C1058))"),63.0)</f>
        <v>63</v>
      </c>
      <c r="S1058" s="161" t="b">
        <f t="shared" si="5"/>
        <v>0</v>
      </c>
      <c r="T1058" s="161" t="b">
        <f t="array" ref="T1058">index('Query Tool'!B:B,match(H1058,'Query Tool'!C:C,0))</f>
        <v>1</v>
      </c>
      <c r="U1058" s="161" t="b">
        <f t="array" ref="U1058">index('Query Tool'!B:B,match(C1058,'Query Tool'!C:C,0))</f>
        <v>0</v>
      </c>
      <c r="V1058" s="161" t="b">
        <f>F1058&gt;='Query Tool'!C$32</f>
        <v>1</v>
      </c>
      <c r="W1058" s="161" t="b">
        <f t="array" ref="W1058">index(Dropdowns!B:B,match(I1058,Dropdowns!A:A,0))</f>
        <v>1</v>
      </c>
      <c r="X1058" s="161" t="b">
        <f t="array" ref="X1058">index('Query Tool'!B:B,match(D1058,'Query Tool'!C:C,0))</f>
        <v>1</v>
      </c>
      <c r="Y1058" s="161" t="str">
        <f t="shared" si="6"/>
        <v>johnsam01,2015-16</v>
      </c>
      <c r="Z1058" s="168">
        <f t="array" ref="Z1058">iferror(index(I:I,match($A1058&amp;","&amp;index('Year Conversion'!$A:$A,match($C1058,'Year Conversion'!$B:$B,0)),$Y:$Y,0))-I1058,"")</f>
        <v>1</v>
      </c>
      <c r="AA1058" s="168">
        <f t="array" ref="AA1058">iferror(index(J:J,match($A1058&amp;","&amp;index('Year Conversion'!$A:$A,match($C1058,'Year Conversion'!$B:$B,0)),$Y:$Y,0))-J1058,"")</f>
        <v>-1.682475364</v>
      </c>
      <c r="AB1058" s="168">
        <f t="array" ref="AB1058">iferror(index(K:K,match($A1058&amp;","&amp;index('Year Conversion'!$A:$A,match($C1058,'Year Conversion'!$B:$B,0)),$Y:$Y,0))-K1058,"")</f>
        <v>-1.532990304</v>
      </c>
      <c r="AC1058" s="168" t="str">
        <f t="shared" si="7"/>
        <v>BOS,2015-16</v>
      </c>
    </row>
    <row r="1059">
      <c r="A1059" s="161" t="str">
        <f>IFERROR(__xludf.DUMMYFUNCTION("""COMPUTED_VALUE"""),"gortama01")</f>
        <v>gortama01</v>
      </c>
      <c r="B1059" s="161" t="str">
        <f>IFERROR(__xludf.DUMMYFUNCTION("""COMPUTED_VALUE"""),"Marcin Gortat")</f>
        <v>Marcin Gortat</v>
      </c>
      <c r="C1059" s="162" t="str">
        <f>IFERROR(__xludf.DUMMYFUNCTION("""COMPUTED_VALUE"""),"2015-16")</f>
        <v>2015-16</v>
      </c>
      <c r="D1059" s="163" t="str">
        <f>IFERROR(__xludf.DUMMYFUNCTION("""COMPUTED_VALUE"""),"WAS")</f>
        <v>WAS</v>
      </c>
      <c r="E1059" s="164" t="str">
        <f>IFERROR(__xludf.DUMMYFUNCTION("""COMPUTED_VALUE"""),"Post Scorer")</f>
        <v>Post Scorer</v>
      </c>
      <c r="F1059" s="164">
        <f>IFERROR(__xludf.DUMMYFUNCTION("""COMPUTED_VALUE"""),2255.91666666667)</f>
        <v>2255.916667</v>
      </c>
      <c r="G1059" s="163">
        <f>IFERROR(__xludf.DUMMYFUNCTION("""COMPUTED_VALUE"""),75.0)</f>
        <v>75</v>
      </c>
      <c r="H1059" s="163" t="str">
        <f>IFERROR(__xludf.DUMMYFUNCTION("""COMPUTED_VALUE"""),"C")</f>
        <v>C</v>
      </c>
      <c r="I1059" s="163">
        <f>IFERROR(__xludf.DUMMYFUNCTION("""COMPUTED_VALUE"""),31.0)</f>
        <v>31</v>
      </c>
      <c r="J1059" s="165">
        <f>IFERROR(__xludf.DUMMYFUNCTION("""COMPUTED_VALUE"""),1.63911701960741)</f>
        <v>1.63911702</v>
      </c>
      <c r="K1059" s="165">
        <f>IFERROR(__xludf.DUMMYFUNCTION("""COMPUTED_VALUE"""),-0.256794127105271)</f>
        <v>-0.2567941271</v>
      </c>
      <c r="L1059" s="165">
        <f>IFERROR(__xludf.DUMMYFUNCTION("""COMPUTED_VALUE"""),1.89591114671268)</f>
        <v>1.895911147</v>
      </c>
      <c r="M1059" s="166">
        <f t="shared" si="2"/>
        <v>5.961567776</v>
      </c>
      <c r="N1059" s="167">
        <f t="shared" si="3"/>
        <v>30.07888889</v>
      </c>
      <c r="O1059" s="163">
        <f t="shared" ref="O1059:Q1059" si="1063">rank(I1059,I:I)</f>
        <v>490</v>
      </c>
      <c r="P1059" s="163">
        <f t="shared" si="1063"/>
        <v>419</v>
      </c>
      <c r="Q1059" s="163">
        <f t="shared" si="1063"/>
        <v>1683</v>
      </c>
      <c r="R1059" s="163">
        <f>IFERROR(__xludf.DUMMYFUNCTION("RANK(M1059,filter(M:M,C:C=C1059))"),45.0)</f>
        <v>45</v>
      </c>
      <c r="S1059" s="161" t="b">
        <f t="shared" si="5"/>
        <v>0</v>
      </c>
      <c r="T1059" s="161" t="b">
        <f t="array" ref="T1059">index('Query Tool'!B:B,match(H1059,'Query Tool'!C:C,0))</f>
        <v>1</v>
      </c>
      <c r="U1059" s="161" t="b">
        <f t="array" ref="U1059">index('Query Tool'!B:B,match(C1059,'Query Tool'!C:C,0))</f>
        <v>0</v>
      </c>
      <c r="V1059" s="161" t="b">
        <f>F1059&gt;='Query Tool'!C$32</f>
        <v>1</v>
      </c>
      <c r="W1059" s="161" t="b">
        <f t="array" ref="W1059">index(Dropdowns!B:B,match(I1059,Dropdowns!A:A,0))</f>
        <v>1</v>
      </c>
      <c r="X1059" s="161" t="b">
        <f t="array" ref="X1059">index('Query Tool'!B:B,match(D1059,'Query Tool'!C:C,0))</f>
        <v>1</v>
      </c>
      <c r="Y1059" s="161" t="str">
        <f t="shared" si="6"/>
        <v>gortama01,2015-16</v>
      </c>
      <c r="Z1059" s="168">
        <f t="array" ref="Z1059">iferror(index(I:I,match($A1059&amp;","&amp;index('Year Conversion'!$A:$A,match($C1059,'Year Conversion'!$B:$B,0)),$Y:$Y,0))-I1059,"")</f>
        <v>1</v>
      </c>
      <c r="AA1059" s="168">
        <f t="array" ref="AA1059">iferror(index(J:J,match($A1059&amp;","&amp;index('Year Conversion'!$A:$A,match($C1059,'Year Conversion'!$B:$B,0)),$Y:$Y,0))-J1059,"")</f>
        <v>-1.48399668</v>
      </c>
      <c r="AB1059" s="168">
        <f t="array" ref="AB1059">iferror(index(K:K,match($A1059&amp;","&amp;index('Year Conversion'!$A:$A,match($C1059,'Year Conversion'!$B:$B,0)),$Y:$Y,0))-K1059,"")</f>
        <v>-0.1147083396</v>
      </c>
      <c r="AC1059" s="168" t="str">
        <f t="shared" si="7"/>
        <v>WAS,2015-16</v>
      </c>
    </row>
    <row r="1060">
      <c r="A1060" s="161" t="str">
        <f>IFERROR(__xludf.DUMMYFUNCTION("""COMPUTED_VALUE"""),"pricero01")</f>
        <v>pricero01</v>
      </c>
      <c r="B1060" s="161" t="str">
        <f>IFERROR(__xludf.DUMMYFUNCTION("""COMPUTED_VALUE"""),"Ronnie Price")</f>
        <v>Ronnie Price</v>
      </c>
      <c r="C1060" s="162" t="str">
        <f>IFERROR(__xludf.DUMMYFUNCTION("""COMPUTED_VALUE"""),"2015-16")</f>
        <v>2015-16</v>
      </c>
      <c r="D1060" s="163" t="str">
        <f>IFERROR(__xludf.DUMMYFUNCTION("""COMPUTED_VALUE"""),"PHO")</f>
        <v>PHO</v>
      </c>
      <c r="E1060" s="164" t="str">
        <f>IFERROR(__xludf.DUMMYFUNCTION("""COMPUTED_VALUE"""),"Primary Ball Handler")</f>
        <v>Primary Ball Handler</v>
      </c>
      <c r="F1060" s="164">
        <f>IFERROR(__xludf.DUMMYFUNCTION("""COMPUTED_VALUE"""),1211.18333333333)</f>
        <v>1211.183333</v>
      </c>
      <c r="G1060" s="163">
        <f>IFERROR(__xludf.DUMMYFUNCTION("""COMPUTED_VALUE"""),62.0)</f>
        <v>62</v>
      </c>
      <c r="H1060" s="163" t="str">
        <f>IFERROR(__xludf.DUMMYFUNCTION("""COMPUTED_VALUE"""),"PG")</f>
        <v>PG</v>
      </c>
      <c r="I1060" s="163">
        <f>IFERROR(__xludf.DUMMYFUNCTION("""COMPUTED_VALUE"""),32.0)</f>
        <v>32</v>
      </c>
      <c r="J1060" s="165">
        <f>IFERROR(__xludf.DUMMYFUNCTION("""COMPUTED_VALUE"""),-0.465669850981831)</f>
        <v>-0.465669851</v>
      </c>
      <c r="K1060" s="165">
        <f>IFERROR(__xludf.DUMMYFUNCTION("""COMPUTED_VALUE"""),-1.56031802301109)</f>
        <v>-1.560318023</v>
      </c>
      <c r="L1060" s="165">
        <f>IFERROR(__xludf.DUMMYFUNCTION("""COMPUTED_VALUE"""),1.09464817202926)</f>
        <v>1.094648172</v>
      </c>
      <c r="M1060" s="166">
        <f t="shared" si="2"/>
        <v>1.487104627</v>
      </c>
      <c r="N1060" s="167">
        <f t="shared" si="3"/>
        <v>19.53521505</v>
      </c>
      <c r="O1060" s="163">
        <f t="shared" ref="O1060:Q1060" si="1064">rank(I1060,I:I)</f>
        <v>359</v>
      </c>
      <c r="P1060" s="163">
        <f t="shared" si="1064"/>
        <v>1803</v>
      </c>
      <c r="Q1060" s="163">
        <f t="shared" si="1064"/>
        <v>3412</v>
      </c>
      <c r="R1060" s="163">
        <f>IFERROR(__xludf.DUMMYFUNCTION("RANK(M1060,filter(M:M,C:C=C1060))"),187.0)</f>
        <v>187</v>
      </c>
      <c r="S1060" s="161" t="b">
        <f t="shared" si="5"/>
        <v>0</v>
      </c>
      <c r="T1060" s="161" t="b">
        <f t="array" ref="T1060">index('Query Tool'!B:B,match(H1060,'Query Tool'!C:C,0))</f>
        <v>1</v>
      </c>
      <c r="U1060" s="161" t="b">
        <f t="array" ref="U1060">index('Query Tool'!B:B,match(C1060,'Query Tool'!C:C,0))</f>
        <v>0</v>
      </c>
      <c r="V1060" s="161" t="b">
        <f>F1060&gt;='Query Tool'!C$32</f>
        <v>1</v>
      </c>
      <c r="W1060" s="161" t="b">
        <f t="array" ref="W1060">index(Dropdowns!B:B,match(I1060,Dropdowns!A:A,0))</f>
        <v>1</v>
      </c>
      <c r="X1060" s="161" t="b">
        <f t="array" ref="X1060">index('Query Tool'!B:B,match(D1060,'Query Tool'!C:C,0))</f>
        <v>1</v>
      </c>
      <c r="Y1060" s="161" t="str">
        <f t="shared" si="6"/>
        <v>pricero01,2015-16</v>
      </c>
      <c r="Z1060" s="168">
        <f t="array" ref="Z1060">iferror(index(I:I,match($A1060&amp;","&amp;index('Year Conversion'!$A:$A,match($C1060,'Year Conversion'!$B:$B,0)),$Y:$Y,0))-I1060,"")</f>
        <v>1</v>
      </c>
      <c r="AA1060" s="168">
        <f t="array" ref="AA1060">iferror(index(J:J,match($A1060&amp;","&amp;index('Year Conversion'!$A:$A,match($C1060,'Year Conversion'!$B:$B,0)),$Y:$Y,0))-J1060,"")</f>
        <v>-0.09417246333</v>
      </c>
      <c r="AB1060" s="168">
        <f t="array" ref="AB1060">iferror(index(K:K,match($A1060&amp;","&amp;index('Year Conversion'!$A:$A,match($C1060,'Year Conversion'!$B:$B,0)),$Y:$Y,0))-K1060,"")</f>
        <v>1.053979187</v>
      </c>
      <c r="AC1060" s="168" t="str">
        <f t="shared" si="7"/>
        <v>PHO,2015-16</v>
      </c>
    </row>
    <row r="1061">
      <c r="A1061" s="161" t="str">
        <f>IFERROR(__xludf.DUMMYFUNCTION("""COMPUTED_VALUE"""),"caldejo01")</f>
        <v>caldejo01</v>
      </c>
      <c r="B1061" s="161" t="str">
        <f>IFERROR(__xludf.DUMMYFUNCTION("""COMPUTED_VALUE"""),"Jose Calderon")</f>
        <v>Jose Calderon</v>
      </c>
      <c r="C1061" s="162" t="str">
        <f>IFERROR(__xludf.DUMMYFUNCTION("""COMPUTED_VALUE"""),"2015-16")</f>
        <v>2015-16</v>
      </c>
      <c r="D1061" s="163" t="str">
        <f>IFERROR(__xludf.DUMMYFUNCTION("""COMPUTED_VALUE"""),"NYK")</f>
        <v>NYK</v>
      </c>
      <c r="E1061" s="164" t="str">
        <f>IFERROR(__xludf.DUMMYFUNCTION("""COMPUTED_VALUE"""),"Primary Ball Handler")</f>
        <v>Primary Ball Handler</v>
      </c>
      <c r="F1061" s="164">
        <f>IFERROR(__xludf.DUMMYFUNCTION("""COMPUTED_VALUE"""),2023.83833333333)</f>
        <v>2023.838333</v>
      </c>
      <c r="G1061" s="163">
        <f>IFERROR(__xludf.DUMMYFUNCTION("""COMPUTED_VALUE"""),72.0)</f>
        <v>72</v>
      </c>
      <c r="H1061" s="163" t="str">
        <f>IFERROR(__xludf.DUMMYFUNCTION("""COMPUTED_VALUE"""),"PG")</f>
        <v>PG</v>
      </c>
      <c r="I1061" s="163">
        <f>IFERROR(__xludf.DUMMYFUNCTION("""COMPUTED_VALUE"""),34.0)</f>
        <v>34</v>
      </c>
      <c r="J1061" s="165">
        <f>IFERROR(__xludf.DUMMYFUNCTION("""COMPUTED_VALUE"""),-0.553213473089482)</f>
        <v>-0.5532134731</v>
      </c>
      <c r="K1061" s="165">
        <f>IFERROR(__xludf.DUMMYFUNCTION("""COMPUTED_VALUE"""),0.137194342993082)</f>
        <v>0.137194343</v>
      </c>
      <c r="L1061" s="165">
        <f>IFERROR(__xludf.DUMMYFUNCTION("""COMPUTED_VALUE"""),-0.690407816082565)</f>
        <v>-0.6904078161</v>
      </c>
      <c r="M1061" s="166">
        <f t="shared" si="2"/>
        <v>2.36557207</v>
      </c>
      <c r="N1061" s="167">
        <f t="shared" si="3"/>
        <v>28.10886574</v>
      </c>
      <c r="O1061" s="163">
        <f t="shared" ref="O1061:Q1061" si="1065">rank(I1061,I:I)</f>
        <v>164</v>
      </c>
      <c r="P1061" s="163">
        <f t="shared" si="1065"/>
        <v>1920</v>
      </c>
      <c r="Q1061" s="163">
        <f t="shared" si="1065"/>
        <v>1035</v>
      </c>
      <c r="R1061" s="163">
        <f>IFERROR(__xludf.DUMMYFUNCTION("RANK(M1061,filter(M:M,C:C=C1061))"),140.0)</f>
        <v>140</v>
      </c>
      <c r="S1061" s="161" t="b">
        <f t="shared" si="5"/>
        <v>0</v>
      </c>
      <c r="T1061" s="161" t="b">
        <f t="array" ref="T1061">index('Query Tool'!B:B,match(H1061,'Query Tool'!C:C,0))</f>
        <v>1</v>
      </c>
      <c r="U1061" s="161" t="b">
        <f t="array" ref="U1061">index('Query Tool'!B:B,match(C1061,'Query Tool'!C:C,0))</f>
        <v>0</v>
      </c>
      <c r="V1061" s="161" t="b">
        <f>F1061&gt;='Query Tool'!C$32</f>
        <v>1</v>
      </c>
      <c r="W1061" s="161" t="b">
        <f t="array" ref="W1061">index(Dropdowns!B:B,match(I1061,Dropdowns!A:A,0))</f>
        <v>1</v>
      </c>
      <c r="X1061" s="161" t="b">
        <f t="array" ref="X1061">index('Query Tool'!B:B,match(D1061,'Query Tool'!C:C,0))</f>
        <v>1</v>
      </c>
      <c r="Y1061" s="161" t="str">
        <f t="shared" si="6"/>
        <v>caldejo01,2015-16</v>
      </c>
      <c r="Z1061" s="168">
        <f t="array" ref="Z1061">iferror(index(I:I,match($A1061&amp;","&amp;index('Year Conversion'!$A:$A,match($C1061,'Year Conversion'!$B:$B,0)),$Y:$Y,0))-I1061,"")</f>
        <v>1</v>
      </c>
      <c r="AA1061" s="168">
        <f t="array" ref="AA1061">iferror(index(J:J,match($A1061&amp;","&amp;index('Year Conversion'!$A:$A,match($C1061,'Year Conversion'!$B:$B,0)),$Y:$Y,0))-J1061,"")</f>
        <v>-0.9445631418</v>
      </c>
      <c r="AB1061" s="168">
        <f t="array" ref="AB1061">iferror(index(K:K,match($A1061&amp;","&amp;index('Year Conversion'!$A:$A,match($C1061,'Year Conversion'!$B:$B,0)),$Y:$Y,0))-K1061,"")</f>
        <v>-1.274599828</v>
      </c>
      <c r="AC1061" s="168" t="str">
        <f t="shared" si="7"/>
        <v>NYK,2015-16</v>
      </c>
    </row>
    <row r="1062">
      <c r="A1062" s="161" t="str">
        <f>IFERROR(__xludf.DUMMYFUNCTION("""COMPUTED_VALUE"""),"anderal01")</f>
        <v>anderal01</v>
      </c>
      <c r="B1062" s="161" t="str">
        <f>IFERROR(__xludf.DUMMYFUNCTION("""COMPUTED_VALUE"""),"Alan Anderson")</f>
        <v>Alan Anderson</v>
      </c>
      <c r="C1062" s="162" t="str">
        <f>IFERROR(__xludf.DUMMYFUNCTION("""COMPUTED_VALUE"""),"2015-16")</f>
        <v>2015-16</v>
      </c>
      <c r="D1062" s="163" t="str">
        <f>IFERROR(__xludf.DUMMYFUNCTION("""COMPUTED_VALUE"""),"WAS")</f>
        <v>WAS</v>
      </c>
      <c r="E1062" s="164" t="str">
        <f>IFERROR(__xludf.DUMMYFUNCTION("""COMPUTED_VALUE"""),"Movement Shooter")</f>
        <v>Movement Shooter</v>
      </c>
      <c r="F1062" s="164">
        <f>IFERROR(__xludf.DUMMYFUNCTION("""COMPUTED_VALUE"""),192.183333333333)</f>
        <v>192.1833333</v>
      </c>
      <c r="G1062" s="163">
        <f>IFERROR(__xludf.DUMMYFUNCTION("""COMPUTED_VALUE"""),13.0)</f>
        <v>13</v>
      </c>
      <c r="H1062" s="163" t="str">
        <f>IFERROR(__xludf.DUMMYFUNCTION("""COMPUTED_VALUE"""),"SG")</f>
        <v>SG</v>
      </c>
      <c r="I1062" s="163">
        <f>IFERROR(__xludf.DUMMYFUNCTION("""COMPUTED_VALUE"""),33.0)</f>
        <v>33</v>
      </c>
      <c r="J1062" s="165">
        <f>IFERROR(__xludf.DUMMYFUNCTION("""COMPUTED_VALUE"""),0.334562647810843)</f>
        <v>0.3345626478</v>
      </c>
      <c r="K1062" s="165">
        <f>IFERROR(__xludf.DUMMYFUNCTION("""COMPUTED_VALUE"""),0.0371149953207849)</f>
        <v>0.03711499532</v>
      </c>
      <c r="L1062" s="165">
        <f>IFERROR(__xludf.DUMMYFUNCTION("""COMPUTED_VALUE"""),0.297447652490058)</f>
        <v>0.2974476525</v>
      </c>
      <c r="M1062" s="166">
        <f t="shared" si="2"/>
        <v>0.3396245282</v>
      </c>
      <c r="N1062" s="167">
        <f t="shared" si="3"/>
        <v>14.78333333</v>
      </c>
      <c r="O1062" s="163">
        <f t="shared" ref="O1062:Q1062" si="1066">rank(I1062,I:I)</f>
        <v>246</v>
      </c>
      <c r="P1062" s="163">
        <f t="shared" si="1066"/>
        <v>995</v>
      </c>
      <c r="Q1062" s="163">
        <f t="shared" si="1066"/>
        <v>1142</v>
      </c>
      <c r="R1062" s="163">
        <f>IFERROR(__xludf.DUMMYFUNCTION("RANK(M1062,filter(M:M,C:C=C1062))"),303.0)</f>
        <v>303</v>
      </c>
      <c r="S1062" s="161" t="b">
        <f t="shared" si="5"/>
        <v>0</v>
      </c>
      <c r="T1062" s="161" t="b">
        <f t="array" ref="T1062">index('Query Tool'!B:B,match(H1062,'Query Tool'!C:C,0))</f>
        <v>1</v>
      </c>
      <c r="U1062" s="161" t="b">
        <f t="array" ref="U1062">index('Query Tool'!B:B,match(C1062,'Query Tool'!C:C,0))</f>
        <v>0</v>
      </c>
      <c r="V1062" s="161" t="b">
        <f>F1062&gt;='Query Tool'!C$32</f>
        <v>0</v>
      </c>
      <c r="W1062" s="161" t="b">
        <f t="array" ref="W1062">index(Dropdowns!B:B,match(I1062,Dropdowns!A:A,0))</f>
        <v>1</v>
      </c>
      <c r="X1062" s="161" t="b">
        <f t="array" ref="X1062">index('Query Tool'!B:B,match(D1062,'Query Tool'!C:C,0))</f>
        <v>1</v>
      </c>
      <c r="Y1062" s="161" t="str">
        <f t="shared" si="6"/>
        <v>anderal01,2015-16</v>
      </c>
      <c r="Z1062" s="168">
        <f t="array" ref="Z1062">iferror(index(I:I,match($A1062&amp;","&amp;index('Year Conversion'!$A:$A,match($C1062,'Year Conversion'!$B:$B,0)),$Y:$Y,0))-I1062,"")</f>
        <v>1</v>
      </c>
      <c r="AA1062" s="168">
        <f t="array" ref="AA1062">iferror(index(J:J,match($A1062&amp;","&amp;index('Year Conversion'!$A:$A,match($C1062,'Year Conversion'!$B:$B,0)),$Y:$Y,0))-J1062,"")</f>
        <v>-4.075383145</v>
      </c>
      <c r="AB1062" s="168">
        <f t="array" ref="AB1062">iferror(index(K:K,match($A1062&amp;","&amp;index('Year Conversion'!$A:$A,match($C1062,'Year Conversion'!$B:$B,0)),$Y:$Y,0))-K1062,"")</f>
        <v>-1.740271197</v>
      </c>
      <c r="AC1062" s="168" t="str">
        <f t="shared" si="7"/>
        <v>WAS,2015-16</v>
      </c>
    </row>
    <row r="1063">
      <c r="A1063" s="161" t="str">
        <f>IFERROR(__xludf.DUMMYFUNCTION("""COMPUTED_VALUE"""),"hayesch01")</f>
        <v>hayesch01</v>
      </c>
      <c r="B1063" s="161" t="str">
        <f>IFERROR(__xludf.DUMMYFUNCTION("""COMPUTED_VALUE"""),"Chuck Hayes")</f>
        <v>Chuck Hayes</v>
      </c>
      <c r="C1063" s="162" t="str">
        <f>IFERROR(__xludf.DUMMYFUNCTION("""COMPUTED_VALUE"""),"2015-16")</f>
        <v>2015-16</v>
      </c>
      <c r="D1063" s="163" t="str">
        <f>IFERROR(__xludf.DUMMYFUNCTION("""COMPUTED_VALUE"""),"HOU")</f>
        <v>HOU</v>
      </c>
      <c r="E1063" s="164" t="str">
        <f>IFERROR(__xludf.DUMMYFUNCTION("""COMPUTED_VALUE"""),"Roll + Cut Big")</f>
        <v>Roll + Cut Big</v>
      </c>
      <c r="F1063" s="164">
        <f>IFERROR(__xludf.DUMMYFUNCTION("""COMPUTED_VALUE"""),23.8333333333334)</f>
        <v>23.83333333</v>
      </c>
      <c r="G1063" s="163">
        <f>IFERROR(__xludf.DUMMYFUNCTION("""COMPUTED_VALUE"""),2.0)</f>
        <v>2</v>
      </c>
      <c r="H1063" s="163" t="str">
        <f>IFERROR(__xludf.DUMMYFUNCTION("""COMPUTED_VALUE"""),"C")</f>
        <v>C</v>
      </c>
      <c r="I1063" s="163">
        <f>IFERROR(__xludf.DUMMYFUNCTION("""COMPUTED_VALUE"""),32.0)</f>
        <v>32</v>
      </c>
      <c r="J1063" s="165">
        <f>IFERROR(__xludf.DUMMYFUNCTION("""COMPUTED_VALUE"""),-1.05001542513164)</f>
        <v>-1.050015425</v>
      </c>
      <c r="K1063" s="165">
        <f>IFERROR(__xludf.DUMMYFUNCTION("""COMPUTED_VALUE"""),-0.535037711846494)</f>
        <v>-0.5350377118</v>
      </c>
      <c r="L1063" s="165">
        <f>IFERROR(__xludf.DUMMYFUNCTION("""COMPUTED_VALUE"""),-0.514977713285142)</f>
        <v>-0.5149777133</v>
      </c>
      <c r="M1063" s="166">
        <f t="shared" si="2"/>
        <v>0.01989700145</v>
      </c>
      <c r="N1063" s="167">
        <f t="shared" si="3"/>
        <v>11.91666667</v>
      </c>
      <c r="O1063" s="163">
        <f t="shared" ref="O1063:Q1063" si="1067">rank(I1063,I:I)</f>
        <v>359</v>
      </c>
      <c r="P1063" s="163">
        <f t="shared" si="1067"/>
        <v>2550</v>
      </c>
      <c r="Q1063" s="163">
        <f t="shared" si="1067"/>
        <v>2164</v>
      </c>
      <c r="R1063" s="163">
        <f>IFERROR(__xludf.DUMMYFUNCTION("RANK(M1063,filter(M:M,C:C=C1063))"),417.0)</f>
        <v>417</v>
      </c>
      <c r="S1063" s="161" t="b">
        <f t="shared" si="5"/>
        <v>0</v>
      </c>
      <c r="T1063" s="161" t="b">
        <f t="array" ref="T1063">index('Query Tool'!B:B,match(H1063,'Query Tool'!C:C,0))</f>
        <v>1</v>
      </c>
      <c r="U1063" s="161" t="b">
        <f t="array" ref="U1063">index('Query Tool'!B:B,match(C1063,'Query Tool'!C:C,0))</f>
        <v>0</v>
      </c>
      <c r="V1063" s="161" t="b">
        <f>F1063&gt;='Query Tool'!C$32</f>
        <v>0</v>
      </c>
      <c r="W1063" s="161" t="b">
        <f t="array" ref="W1063">index(Dropdowns!B:B,match(I1063,Dropdowns!A:A,0))</f>
        <v>1</v>
      </c>
      <c r="X1063" s="161" t="b">
        <f t="array" ref="X1063">index('Query Tool'!B:B,match(D1063,'Query Tool'!C:C,0))</f>
        <v>1</v>
      </c>
      <c r="Y1063" s="161" t="str">
        <f t="shared" si="6"/>
        <v>hayesch01,2015-16</v>
      </c>
      <c r="Z1063" s="168" t="str">
        <f t="array" ref="Z1063">iferror(index(I:I,match($A1063&amp;","&amp;index('Year Conversion'!$A:$A,match($C1063,'Year Conversion'!$B:$B,0)),$Y:$Y,0))-I1063,"")</f>
        <v/>
      </c>
      <c r="AA1063" s="168" t="str">
        <f t="array" ref="AA1063">iferror(index(J:J,match($A1063&amp;","&amp;index('Year Conversion'!$A:$A,match($C1063,'Year Conversion'!$B:$B,0)),$Y:$Y,0))-J1063,"")</f>
        <v/>
      </c>
      <c r="AB1063" s="168" t="str">
        <f t="array" ref="AB1063">iferror(index(K:K,match($A1063&amp;","&amp;index('Year Conversion'!$A:$A,match($C1063,'Year Conversion'!$B:$B,0)),$Y:$Y,0))-K1063,"")</f>
        <v/>
      </c>
      <c r="AC1063" s="168" t="str">
        <f t="shared" si="7"/>
        <v>HOU,2015-16</v>
      </c>
    </row>
    <row r="1064">
      <c r="A1064" s="161" t="str">
        <f>IFERROR(__xludf.DUMMYFUNCTION("""COMPUTED_VALUE"""),"bargnan01")</f>
        <v>bargnan01</v>
      </c>
      <c r="B1064" s="161" t="str">
        <f>IFERROR(__xludf.DUMMYFUNCTION("""COMPUTED_VALUE"""),"Andrea Bargnani")</f>
        <v>Andrea Bargnani</v>
      </c>
      <c r="C1064" s="162" t="str">
        <f>IFERROR(__xludf.DUMMYFUNCTION("""COMPUTED_VALUE"""),"2015-16")</f>
        <v>2015-16</v>
      </c>
      <c r="D1064" s="163" t="str">
        <f>IFERROR(__xludf.DUMMYFUNCTION("""COMPUTED_VALUE"""),"BRK")</f>
        <v>BRK</v>
      </c>
      <c r="E1064" s="164" t="str">
        <f>IFERROR(__xludf.DUMMYFUNCTION("""COMPUTED_VALUE"""),"Roll + Cut Big")</f>
        <v>Roll + Cut Big</v>
      </c>
      <c r="F1064" s="164">
        <f>IFERROR(__xludf.DUMMYFUNCTION("""COMPUTED_VALUE"""),633.66)</f>
        <v>633.66</v>
      </c>
      <c r="G1064" s="163">
        <f>IFERROR(__xludf.DUMMYFUNCTION("""COMPUTED_VALUE"""),46.0)</f>
        <v>46</v>
      </c>
      <c r="H1064" s="163" t="str">
        <f>IFERROR(__xludf.DUMMYFUNCTION("""COMPUTED_VALUE"""),"C")</f>
        <v>C</v>
      </c>
      <c r="I1064" s="163">
        <f>IFERROR(__xludf.DUMMYFUNCTION("""COMPUTED_VALUE"""),30.0)</f>
        <v>30</v>
      </c>
      <c r="J1064" s="165">
        <f>IFERROR(__xludf.DUMMYFUNCTION("""COMPUTED_VALUE"""),-3.55289622154657)</f>
        <v>-3.552896222</v>
      </c>
      <c r="K1064" s="165">
        <f>IFERROR(__xludf.DUMMYFUNCTION("""COMPUTED_VALUE"""),-1.59078979677897)</f>
        <v>-1.590789797</v>
      </c>
      <c r="L1064" s="165">
        <f>IFERROR(__xludf.DUMMYFUNCTION("""COMPUTED_VALUE"""),-1.9621064247676)</f>
        <v>-1.962106425</v>
      </c>
      <c r="M1064" s="166">
        <f t="shared" si="2"/>
        <v>-0.5148610199</v>
      </c>
      <c r="N1064" s="167">
        <f t="shared" si="3"/>
        <v>13.77521739</v>
      </c>
      <c r="O1064" s="163">
        <f t="shared" ref="O1064:Q1064" si="1068">rank(I1064,I:I)</f>
        <v>655</v>
      </c>
      <c r="P1064" s="163">
        <f t="shared" si="1068"/>
        <v>3973</v>
      </c>
      <c r="Q1064" s="163">
        <f t="shared" si="1068"/>
        <v>3440</v>
      </c>
      <c r="R1064" s="163">
        <f>IFERROR(__xludf.DUMMYFUNCTION("RANK(M1064,filter(M:M,C:C=C1064))"),455.0)</f>
        <v>455</v>
      </c>
      <c r="S1064" s="161" t="b">
        <f t="shared" si="5"/>
        <v>0</v>
      </c>
      <c r="T1064" s="161" t="b">
        <f t="array" ref="T1064">index('Query Tool'!B:B,match(H1064,'Query Tool'!C:C,0))</f>
        <v>1</v>
      </c>
      <c r="U1064" s="161" t="b">
        <f t="array" ref="U1064">index('Query Tool'!B:B,match(C1064,'Query Tool'!C:C,0))</f>
        <v>0</v>
      </c>
      <c r="V1064" s="161" t="b">
        <f>F1064&gt;='Query Tool'!C$32</f>
        <v>1</v>
      </c>
      <c r="W1064" s="161" t="b">
        <f t="array" ref="W1064">index(Dropdowns!B:B,match(I1064,Dropdowns!A:A,0))</f>
        <v>1</v>
      </c>
      <c r="X1064" s="161" t="b">
        <f t="array" ref="X1064">index('Query Tool'!B:B,match(D1064,'Query Tool'!C:C,0))</f>
        <v>1</v>
      </c>
      <c r="Y1064" s="161" t="str">
        <f t="shared" si="6"/>
        <v>bargnan01,2015-16</v>
      </c>
      <c r="Z1064" s="168" t="str">
        <f t="array" ref="Z1064">iferror(index(I:I,match($A1064&amp;","&amp;index('Year Conversion'!$A:$A,match($C1064,'Year Conversion'!$B:$B,0)),$Y:$Y,0))-I1064,"")</f>
        <v/>
      </c>
      <c r="AA1064" s="168" t="str">
        <f t="array" ref="AA1064">iferror(index(J:J,match($A1064&amp;","&amp;index('Year Conversion'!$A:$A,match($C1064,'Year Conversion'!$B:$B,0)),$Y:$Y,0))-J1064,"")</f>
        <v/>
      </c>
      <c r="AB1064" s="168" t="str">
        <f t="array" ref="AB1064">iferror(index(K:K,match($A1064&amp;","&amp;index('Year Conversion'!$A:$A,match($C1064,'Year Conversion'!$B:$B,0)),$Y:$Y,0))-K1064,"")</f>
        <v/>
      </c>
      <c r="AC1064" s="168" t="str">
        <f t="shared" si="7"/>
        <v>BRK,2015-16</v>
      </c>
    </row>
    <row r="1065">
      <c r="A1065" s="161" t="str">
        <f>IFERROR(__xludf.DUMMYFUNCTION("""COMPUTED_VALUE"""),"aldrila01")</f>
        <v>aldrila01</v>
      </c>
      <c r="B1065" s="161" t="str">
        <f>IFERROR(__xludf.DUMMYFUNCTION("""COMPUTED_VALUE"""),"LaMarcus Aldridge")</f>
        <v>LaMarcus Aldridge</v>
      </c>
      <c r="C1065" s="162" t="str">
        <f>IFERROR(__xludf.DUMMYFUNCTION("""COMPUTED_VALUE"""),"2015-16")</f>
        <v>2015-16</v>
      </c>
      <c r="D1065" s="163" t="str">
        <f>IFERROR(__xludf.DUMMYFUNCTION("""COMPUTED_VALUE"""),"SAS")</f>
        <v>SAS</v>
      </c>
      <c r="E1065" s="164" t="str">
        <f>IFERROR(__xludf.DUMMYFUNCTION("""COMPUTED_VALUE"""),"Post Scorer")</f>
        <v>Post Scorer</v>
      </c>
      <c r="F1065" s="164">
        <f>IFERROR(__xludf.DUMMYFUNCTION("""COMPUTED_VALUE"""),2260.86)</f>
        <v>2260.86</v>
      </c>
      <c r="G1065" s="163">
        <f>IFERROR(__xludf.DUMMYFUNCTION("""COMPUTED_VALUE"""),74.0)</f>
        <v>74</v>
      </c>
      <c r="H1065" s="163" t="str">
        <f>IFERROR(__xludf.DUMMYFUNCTION("""COMPUTED_VALUE"""),"PF")</f>
        <v>PF</v>
      </c>
      <c r="I1065" s="163">
        <f>IFERROR(__xludf.DUMMYFUNCTION("""COMPUTED_VALUE"""),30.0)</f>
        <v>30</v>
      </c>
      <c r="J1065" s="165">
        <f>IFERROR(__xludf.DUMMYFUNCTION("""COMPUTED_VALUE"""),2.50932591865074)</f>
        <v>2.509325919</v>
      </c>
      <c r="K1065" s="165">
        <f>IFERROR(__xludf.DUMMYFUNCTION("""COMPUTED_VALUE"""),1.15024233529789)</f>
        <v>1.150242335</v>
      </c>
      <c r="L1065" s="165">
        <f>IFERROR(__xludf.DUMMYFUNCTION("""COMPUTED_VALUE"""),1.35908358335285)</f>
        <v>1.359083583</v>
      </c>
      <c r="M1065" s="166">
        <f t="shared" si="2"/>
        <v>7.277219263</v>
      </c>
      <c r="N1065" s="167">
        <f t="shared" si="3"/>
        <v>30.55216216</v>
      </c>
      <c r="O1065" s="163">
        <f t="shared" ref="O1065:Q1065" si="1069">rank(I1065,I:I)</f>
        <v>655</v>
      </c>
      <c r="P1065" s="163">
        <f t="shared" si="1069"/>
        <v>222</v>
      </c>
      <c r="Q1065" s="163">
        <f t="shared" si="1069"/>
        <v>435</v>
      </c>
      <c r="R1065" s="163">
        <f>IFERROR(__xludf.DUMMYFUNCTION("RANK(M1065,filter(M:M,C:C=C1065))"),29.0)</f>
        <v>29</v>
      </c>
      <c r="S1065" s="161" t="b">
        <f t="shared" si="5"/>
        <v>0</v>
      </c>
      <c r="T1065" s="161" t="b">
        <f t="array" ref="T1065">index('Query Tool'!B:B,match(H1065,'Query Tool'!C:C,0))</f>
        <v>1</v>
      </c>
      <c r="U1065" s="161" t="b">
        <f t="array" ref="U1065">index('Query Tool'!B:B,match(C1065,'Query Tool'!C:C,0))</f>
        <v>0</v>
      </c>
      <c r="V1065" s="161" t="b">
        <f>F1065&gt;='Query Tool'!C$32</f>
        <v>1</v>
      </c>
      <c r="W1065" s="161" t="b">
        <f t="array" ref="W1065">index(Dropdowns!B:B,match(I1065,Dropdowns!A:A,0))</f>
        <v>1</v>
      </c>
      <c r="X1065" s="161" t="b">
        <f t="array" ref="X1065">index('Query Tool'!B:B,match(D1065,'Query Tool'!C:C,0))</f>
        <v>1</v>
      </c>
      <c r="Y1065" s="161" t="str">
        <f t="shared" si="6"/>
        <v>aldrila01,2015-16</v>
      </c>
      <c r="Z1065" s="168">
        <f t="array" ref="Z1065">iferror(index(I:I,match($A1065&amp;","&amp;index('Year Conversion'!$A:$A,match($C1065,'Year Conversion'!$B:$B,0)),$Y:$Y,0))-I1065,"")</f>
        <v>1</v>
      </c>
      <c r="AA1065" s="168">
        <f t="array" ref="AA1065">iferror(index(J:J,match($A1065&amp;","&amp;index('Year Conversion'!$A:$A,match($C1065,'Year Conversion'!$B:$B,0)),$Y:$Y,0))-J1065,"")</f>
        <v>-0.8927392207</v>
      </c>
      <c r="AB1065" s="168">
        <f t="array" ref="AB1065">iferror(index(K:K,match($A1065&amp;","&amp;index('Year Conversion'!$A:$A,match($C1065,'Year Conversion'!$B:$B,0)),$Y:$Y,0))-K1065,"")</f>
        <v>-0.6229946142</v>
      </c>
      <c r="AC1065" s="168" t="str">
        <f t="shared" si="7"/>
        <v>SAS,2015-16</v>
      </c>
    </row>
    <row r="1066">
      <c r="A1066" s="161" t="str">
        <f>IFERROR(__xludf.DUMMYFUNCTION("""COMPUTED_VALUE"""),"foyera01")</f>
        <v>foyera01</v>
      </c>
      <c r="B1066" s="161" t="str">
        <f>IFERROR(__xludf.DUMMYFUNCTION("""COMPUTED_VALUE"""),"Randy Foye")</f>
        <v>Randy Foye</v>
      </c>
      <c r="C1066" s="162" t="str">
        <f>IFERROR(__xludf.DUMMYFUNCTION("""COMPUTED_VALUE"""),"2015-16")</f>
        <v>2015-16</v>
      </c>
      <c r="D1066" s="163" t="str">
        <f>IFERROR(__xludf.DUMMYFUNCTION("""COMPUTED_VALUE"""),"TOT")</f>
        <v>TOT</v>
      </c>
      <c r="E1066" s="164" t="str">
        <f>IFERROR(__xludf.DUMMYFUNCTION("""COMPUTED_VALUE"""),"Secondary Ball Handler")</f>
        <v>Secondary Ball Handler</v>
      </c>
      <c r="F1066" s="164">
        <f>IFERROR(__xludf.DUMMYFUNCTION("""COMPUTED_VALUE"""),1641.505)</f>
        <v>1641.505</v>
      </c>
      <c r="G1066" s="163">
        <f>IFERROR(__xludf.DUMMYFUNCTION("""COMPUTED_VALUE"""),81.0)</f>
        <v>81</v>
      </c>
      <c r="H1066" s="163" t="str">
        <f>IFERROR(__xludf.DUMMYFUNCTION("""COMPUTED_VALUE"""),"SG")</f>
        <v>SG</v>
      </c>
      <c r="I1066" s="163">
        <f>IFERROR(__xludf.DUMMYFUNCTION("""COMPUTED_VALUE"""),32.0)</f>
        <v>32</v>
      </c>
      <c r="J1066" s="165">
        <f>IFERROR(__xludf.DUMMYFUNCTION("""COMPUTED_VALUE"""),-1.34379841761799)</f>
        <v>-1.343798418</v>
      </c>
      <c r="K1066" s="165">
        <f>IFERROR(__xludf.DUMMYFUNCTION("""COMPUTED_VALUE"""),-0.750239884841154)</f>
        <v>-0.7502398848</v>
      </c>
      <c r="L1066" s="165">
        <f>IFERROR(__xludf.DUMMYFUNCTION("""COMPUTED_VALUE"""),-0.593558532776832)</f>
        <v>-0.5935585328</v>
      </c>
      <c r="M1066" s="166">
        <f t="shared" si="2"/>
        <v>1.047210193</v>
      </c>
      <c r="N1066" s="167">
        <f t="shared" si="3"/>
        <v>20.26549383</v>
      </c>
      <c r="O1066" s="163">
        <f t="shared" ref="O1066:Q1066" si="1070">rank(I1066,I:I)</f>
        <v>359</v>
      </c>
      <c r="P1066" s="163">
        <f t="shared" si="1070"/>
        <v>2903</v>
      </c>
      <c r="Q1066" s="163">
        <f t="shared" si="1070"/>
        <v>2479</v>
      </c>
      <c r="R1066" s="163">
        <f>IFERROR(__xludf.DUMMYFUNCTION("RANK(M1066,filter(M:M,C:C=C1066))"),217.0)</f>
        <v>217</v>
      </c>
      <c r="S1066" s="161" t="b">
        <f t="shared" si="5"/>
        <v>0</v>
      </c>
      <c r="T1066" s="161" t="b">
        <f t="array" ref="T1066">index('Query Tool'!B:B,match(H1066,'Query Tool'!C:C,0))</f>
        <v>1</v>
      </c>
      <c r="U1066" s="161" t="b">
        <f t="array" ref="U1066">index('Query Tool'!B:B,match(C1066,'Query Tool'!C:C,0))</f>
        <v>0</v>
      </c>
      <c r="V1066" s="161" t="b">
        <f>F1066&gt;='Query Tool'!C$32</f>
        <v>1</v>
      </c>
      <c r="W1066" s="161" t="b">
        <f t="array" ref="W1066">index(Dropdowns!B:B,match(I1066,Dropdowns!A:A,0))</f>
        <v>1</v>
      </c>
      <c r="X1066" s="161" t="b">
        <f t="array" ref="X1066">index('Query Tool'!B:B,match(D1066,'Query Tool'!C:C,0))</f>
        <v>1</v>
      </c>
      <c r="Y1066" s="161" t="str">
        <f t="shared" si="6"/>
        <v>foyera01,2015-16</v>
      </c>
      <c r="Z1066" s="168">
        <f t="array" ref="Z1066">iferror(index(I:I,match($A1066&amp;","&amp;index('Year Conversion'!$A:$A,match($C1066,'Year Conversion'!$B:$B,0)),$Y:$Y,0))-I1066,"")</f>
        <v>1</v>
      </c>
      <c r="AA1066" s="168">
        <f t="array" ref="AA1066">iferror(index(J:J,match($A1066&amp;","&amp;index('Year Conversion'!$A:$A,match($C1066,'Year Conversion'!$B:$B,0)),$Y:$Y,0))-J1066,"")</f>
        <v>-0.3676762879</v>
      </c>
      <c r="AB1066" s="168">
        <f t="array" ref="AB1066">iferror(index(K:K,match($A1066&amp;","&amp;index('Year Conversion'!$A:$A,match($C1066,'Year Conversion'!$B:$B,0)),$Y:$Y,0))-K1066,"")</f>
        <v>-1.195075757</v>
      </c>
      <c r="AC1066" s="168" t="str">
        <f t="shared" si="7"/>
        <v>TOT,2015-16</v>
      </c>
    </row>
    <row r="1067">
      <c r="A1067" s="161" t="str">
        <f>IFERROR(__xludf.DUMMYFUNCTION("""COMPUTED_VALUE"""),"gayru01")</f>
        <v>gayru01</v>
      </c>
      <c r="B1067" s="161" t="str">
        <f>IFERROR(__xludf.DUMMYFUNCTION("""COMPUTED_VALUE"""),"Rudy Gay")</f>
        <v>Rudy Gay</v>
      </c>
      <c r="C1067" s="162" t="str">
        <f>IFERROR(__xludf.DUMMYFUNCTION("""COMPUTED_VALUE"""),"2015-16")</f>
        <v>2015-16</v>
      </c>
      <c r="D1067" s="163" t="str">
        <f>IFERROR(__xludf.DUMMYFUNCTION("""COMPUTED_VALUE"""),"SAC")</f>
        <v>SAC</v>
      </c>
      <c r="E1067" s="164" t="str">
        <f>IFERROR(__xludf.DUMMYFUNCTION("""COMPUTED_VALUE"""),"Shot Creator")</f>
        <v>Shot Creator</v>
      </c>
      <c r="F1067" s="164">
        <f>IFERROR(__xludf.DUMMYFUNCTION("""COMPUTED_VALUE"""),2378.71)</f>
        <v>2378.71</v>
      </c>
      <c r="G1067" s="163">
        <f>IFERROR(__xludf.DUMMYFUNCTION("""COMPUTED_VALUE"""),70.0)</f>
        <v>70</v>
      </c>
      <c r="H1067" s="163" t="str">
        <f>IFERROR(__xludf.DUMMYFUNCTION("""COMPUTED_VALUE"""),"SF")</f>
        <v>SF</v>
      </c>
      <c r="I1067" s="163">
        <f>IFERROR(__xludf.DUMMYFUNCTION("""COMPUTED_VALUE"""),29.0)</f>
        <v>29</v>
      </c>
      <c r="J1067" s="165">
        <f>IFERROR(__xludf.DUMMYFUNCTION("""COMPUTED_VALUE"""),0.208213954975132)</f>
        <v>0.208213955</v>
      </c>
      <c r="K1067" s="165">
        <f>IFERROR(__xludf.DUMMYFUNCTION("""COMPUTED_VALUE"""),0.145602381421544)</f>
        <v>0.1456023814</v>
      </c>
      <c r="L1067" s="165">
        <f>IFERROR(__xludf.DUMMYFUNCTION("""COMPUTED_VALUE"""),0.0626115735535887)</f>
        <v>0.06261157355</v>
      </c>
      <c r="M1067" s="166">
        <f t="shared" si="2"/>
        <v>4.001070956</v>
      </c>
      <c r="N1067" s="167">
        <f t="shared" si="3"/>
        <v>33.98157143</v>
      </c>
      <c r="O1067" s="163">
        <f t="shared" ref="O1067:Q1067" si="1071">rank(I1067,I:I)</f>
        <v>855</v>
      </c>
      <c r="P1067" s="163">
        <f t="shared" si="1071"/>
        <v>1084</v>
      </c>
      <c r="Q1067" s="163">
        <f t="shared" si="1071"/>
        <v>1029</v>
      </c>
      <c r="R1067" s="163">
        <f>IFERROR(__xludf.DUMMYFUNCTION("RANK(M1067,filter(M:M,C:C=C1067))"),84.0)</f>
        <v>84</v>
      </c>
      <c r="S1067" s="161" t="b">
        <f t="shared" si="5"/>
        <v>0</v>
      </c>
      <c r="T1067" s="161" t="b">
        <f t="array" ref="T1067">index('Query Tool'!B:B,match(H1067,'Query Tool'!C:C,0))</f>
        <v>1</v>
      </c>
      <c r="U1067" s="161" t="b">
        <f t="array" ref="U1067">index('Query Tool'!B:B,match(C1067,'Query Tool'!C:C,0))</f>
        <v>0</v>
      </c>
      <c r="V1067" s="161" t="b">
        <f>F1067&gt;='Query Tool'!C$32</f>
        <v>1</v>
      </c>
      <c r="W1067" s="161" t="b">
        <f t="array" ref="W1067">index(Dropdowns!B:B,match(I1067,Dropdowns!A:A,0))</f>
        <v>1</v>
      </c>
      <c r="X1067" s="161" t="b">
        <f t="array" ref="X1067">index('Query Tool'!B:B,match(D1067,'Query Tool'!C:C,0))</f>
        <v>1</v>
      </c>
      <c r="Y1067" s="161" t="str">
        <f t="shared" si="6"/>
        <v>gayru01,2015-16</v>
      </c>
      <c r="Z1067" s="168">
        <f t="array" ref="Z1067">iferror(index(I:I,match($A1067&amp;","&amp;index('Year Conversion'!$A:$A,match($C1067,'Year Conversion'!$B:$B,0)),$Y:$Y,0))-I1067,"")</f>
        <v>1</v>
      </c>
      <c r="AA1067" s="168">
        <f t="array" ref="AA1067">iferror(index(J:J,match($A1067&amp;","&amp;index('Year Conversion'!$A:$A,match($C1067,'Year Conversion'!$B:$B,0)),$Y:$Y,0))-J1067,"")</f>
        <v>1.787101938</v>
      </c>
      <c r="AB1067" s="168">
        <f t="array" ref="AB1067">iferror(index(K:K,match($A1067&amp;","&amp;index('Year Conversion'!$A:$A,match($C1067,'Year Conversion'!$B:$B,0)),$Y:$Y,0))-K1067,"")</f>
        <v>0.4250995211</v>
      </c>
      <c r="AC1067" s="168" t="str">
        <f t="shared" si="7"/>
        <v>SAC,2015-16</v>
      </c>
    </row>
    <row r="1068">
      <c r="A1068" s="161" t="str">
        <f>IFERROR(__xludf.DUMMYFUNCTION("""COMPUTED_VALUE"""),"redicjj01")</f>
        <v>redicjj01</v>
      </c>
      <c r="B1068" s="161" t="str">
        <f>IFERROR(__xludf.DUMMYFUNCTION("""COMPUTED_VALUE"""),"JJ Redick")</f>
        <v>JJ Redick</v>
      </c>
      <c r="C1068" s="162" t="str">
        <f>IFERROR(__xludf.DUMMYFUNCTION("""COMPUTED_VALUE"""),"2015-16")</f>
        <v>2015-16</v>
      </c>
      <c r="D1068" s="163" t="str">
        <f>IFERROR(__xludf.DUMMYFUNCTION("""COMPUTED_VALUE"""),"LAC")</f>
        <v>LAC</v>
      </c>
      <c r="E1068" s="164" t="str">
        <f>IFERROR(__xludf.DUMMYFUNCTION("""COMPUTED_VALUE"""),"Off Screen Shooter")</f>
        <v>Off Screen Shooter</v>
      </c>
      <c r="F1068" s="164">
        <f>IFERROR(__xludf.DUMMYFUNCTION("""COMPUTED_VALUE"""),2096.83166666667)</f>
        <v>2096.831667</v>
      </c>
      <c r="G1068" s="163">
        <f>IFERROR(__xludf.DUMMYFUNCTION("""COMPUTED_VALUE"""),75.0)</f>
        <v>75</v>
      </c>
      <c r="H1068" s="163" t="str">
        <f>IFERROR(__xludf.DUMMYFUNCTION("""COMPUTED_VALUE"""),"SG")</f>
        <v>SG</v>
      </c>
      <c r="I1068" s="163">
        <f>IFERROR(__xludf.DUMMYFUNCTION("""COMPUTED_VALUE"""),31.0)</f>
        <v>31</v>
      </c>
      <c r="J1068" s="165">
        <f>IFERROR(__xludf.DUMMYFUNCTION("""COMPUTED_VALUE"""),1.13214787921991)</f>
        <v>1.132147879</v>
      </c>
      <c r="K1068" s="165">
        <f>IFERROR(__xludf.DUMMYFUNCTION("""COMPUTED_VALUE"""),1.88121328684936)</f>
        <v>1.881213287</v>
      </c>
      <c r="L1068" s="165">
        <f>IFERROR(__xludf.DUMMYFUNCTION("""COMPUTED_VALUE"""),-0.749065407629445)</f>
        <v>-0.7490654076</v>
      </c>
      <c r="M1068" s="166">
        <f t="shared" si="2"/>
        <v>4.830246817</v>
      </c>
      <c r="N1068" s="167">
        <f t="shared" si="3"/>
        <v>27.95775556</v>
      </c>
      <c r="O1068" s="163">
        <f t="shared" ref="O1068:Q1068" si="1072">rank(I1068,I:I)</f>
        <v>490</v>
      </c>
      <c r="P1068" s="163">
        <f t="shared" si="1072"/>
        <v>604</v>
      </c>
      <c r="Q1068" s="163">
        <f t="shared" si="1072"/>
        <v>247</v>
      </c>
      <c r="R1068" s="163">
        <f>IFERROR(__xludf.DUMMYFUNCTION("RANK(M1068,filter(M:M,C:C=C1068))"),69.0)</f>
        <v>69</v>
      </c>
      <c r="S1068" s="161" t="b">
        <f t="shared" si="5"/>
        <v>0</v>
      </c>
      <c r="T1068" s="161" t="b">
        <f t="array" ref="T1068">index('Query Tool'!B:B,match(H1068,'Query Tool'!C:C,0))</f>
        <v>1</v>
      </c>
      <c r="U1068" s="161" t="b">
        <f t="array" ref="U1068">index('Query Tool'!B:B,match(C1068,'Query Tool'!C:C,0))</f>
        <v>0</v>
      </c>
      <c r="V1068" s="161" t="b">
        <f>F1068&gt;='Query Tool'!C$32</f>
        <v>1</v>
      </c>
      <c r="W1068" s="161" t="b">
        <f t="array" ref="W1068">index(Dropdowns!B:B,match(I1068,Dropdowns!A:A,0))</f>
        <v>1</v>
      </c>
      <c r="X1068" s="161" t="b">
        <f t="array" ref="X1068">index('Query Tool'!B:B,match(D1068,'Query Tool'!C:C,0))</f>
        <v>1</v>
      </c>
      <c r="Y1068" s="161" t="str">
        <f t="shared" si="6"/>
        <v>redicjj01,2015-16</v>
      </c>
      <c r="Z1068" s="168">
        <f t="array" ref="Z1068">iferror(index(I:I,match($A1068&amp;","&amp;index('Year Conversion'!$A:$A,match($C1068,'Year Conversion'!$B:$B,0)),$Y:$Y,0))-I1068,"")</f>
        <v>1</v>
      </c>
      <c r="AA1068" s="168">
        <f t="array" ref="AA1068">iferror(index(J:J,match($A1068&amp;","&amp;index('Year Conversion'!$A:$A,match($C1068,'Year Conversion'!$B:$B,0)),$Y:$Y,0))-J1068,"")</f>
        <v>-0.04705607496</v>
      </c>
      <c r="AB1068" s="168">
        <f t="array" ref="AB1068">iferror(index(K:K,match($A1068&amp;","&amp;index('Year Conversion'!$A:$A,match($C1068,'Year Conversion'!$B:$B,0)),$Y:$Y,0))-K1068,"")</f>
        <v>-0.3467472876</v>
      </c>
      <c r="AC1068" s="168" t="str">
        <f t="shared" si="7"/>
        <v>LAC,2015-16</v>
      </c>
    </row>
    <row r="1069">
      <c r="A1069" s="161" t="str">
        <f>IFERROR(__xludf.DUMMYFUNCTION("""COMPUTED_VALUE"""),"sefolth01")</f>
        <v>sefolth01</v>
      </c>
      <c r="B1069" s="161" t="str">
        <f>IFERROR(__xludf.DUMMYFUNCTION("""COMPUTED_VALUE"""),"Thabo Sefolosha")</f>
        <v>Thabo Sefolosha</v>
      </c>
      <c r="C1069" s="162" t="str">
        <f>IFERROR(__xludf.DUMMYFUNCTION("""COMPUTED_VALUE"""),"2015-16")</f>
        <v>2015-16</v>
      </c>
      <c r="D1069" s="163" t="str">
        <f>IFERROR(__xludf.DUMMYFUNCTION("""COMPUTED_VALUE"""),"ATL")</f>
        <v>ATL</v>
      </c>
      <c r="E1069" s="164" t="str">
        <f>IFERROR(__xludf.DUMMYFUNCTION("""COMPUTED_VALUE"""),"Athletic Finisher")</f>
        <v>Athletic Finisher</v>
      </c>
      <c r="F1069" s="164">
        <f>IFERROR(__xludf.DUMMYFUNCTION("""COMPUTED_VALUE"""),1757.665)</f>
        <v>1757.665</v>
      </c>
      <c r="G1069" s="163">
        <f>IFERROR(__xludf.DUMMYFUNCTION("""COMPUTED_VALUE"""),75.0)</f>
        <v>75</v>
      </c>
      <c r="H1069" s="163" t="str">
        <f>IFERROR(__xludf.DUMMYFUNCTION("""COMPUTED_VALUE"""),"SF")</f>
        <v>SF</v>
      </c>
      <c r="I1069" s="163">
        <f>IFERROR(__xludf.DUMMYFUNCTION("""COMPUTED_VALUE"""),31.0)</f>
        <v>31</v>
      </c>
      <c r="J1069" s="165">
        <f>IFERROR(__xludf.DUMMYFUNCTION("""COMPUTED_VALUE"""),-0.481899509490066)</f>
        <v>-0.4818995095</v>
      </c>
      <c r="K1069" s="165">
        <f>IFERROR(__xludf.DUMMYFUNCTION("""COMPUTED_VALUE"""),-2.10196031377046)</f>
        <v>-2.101960314</v>
      </c>
      <c r="L1069" s="165">
        <f>IFERROR(__xludf.DUMMYFUNCTION("""COMPUTED_VALUE"""),1.62006080428039)</f>
        <v>1.620060804</v>
      </c>
      <c r="M1069" s="166">
        <f t="shared" si="2"/>
        <v>2.138866852</v>
      </c>
      <c r="N1069" s="167">
        <f t="shared" si="3"/>
        <v>23.43553333</v>
      </c>
      <c r="O1069" s="163">
        <f t="shared" ref="O1069:Q1069" si="1073">rank(I1069,I:I)</f>
        <v>490</v>
      </c>
      <c r="P1069" s="163">
        <f t="shared" si="1073"/>
        <v>1827</v>
      </c>
      <c r="Q1069" s="163">
        <f t="shared" si="1073"/>
        <v>3766</v>
      </c>
      <c r="R1069" s="163">
        <f>IFERROR(__xludf.DUMMYFUNCTION("RANK(M1069,filter(M:M,C:C=C1069))"),150.0)</f>
        <v>150</v>
      </c>
      <c r="S1069" s="161" t="b">
        <f t="shared" si="5"/>
        <v>0</v>
      </c>
      <c r="T1069" s="161" t="b">
        <f t="array" ref="T1069">index('Query Tool'!B:B,match(H1069,'Query Tool'!C:C,0))</f>
        <v>1</v>
      </c>
      <c r="U1069" s="161" t="b">
        <f t="array" ref="U1069">index('Query Tool'!B:B,match(C1069,'Query Tool'!C:C,0))</f>
        <v>0</v>
      </c>
      <c r="V1069" s="161" t="b">
        <f>F1069&gt;='Query Tool'!C$32</f>
        <v>1</v>
      </c>
      <c r="W1069" s="161" t="b">
        <f t="array" ref="W1069">index(Dropdowns!B:B,match(I1069,Dropdowns!A:A,0))</f>
        <v>1</v>
      </c>
      <c r="X1069" s="161" t="b">
        <f t="array" ref="X1069">index('Query Tool'!B:B,match(D1069,'Query Tool'!C:C,0))</f>
        <v>1</v>
      </c>
      <c r="Y1069" s="161" t="str">
        <f t="shared" si="6"/>
        <v>sefolth01,2015-16</v>
      </c>
      <c r="Z1069" s="168">
        <f t="array" ref="Z1069">iferror(index(I:I,match($A1069&amp;","&amp;index('Year Conversion'!$A:$A,match($C1069,'Year Conversion'!$B:$B,0)),$Y:$Y,0))-I1069,"")</f>
        <v>1</v>
      </c>
      <c r="AA1069" s="168">
        <f t="array" ref="AA1069">iferror(index(J:J,match($A1069&amp;","&amp;index('Year Conversion'!$A:$A,match($C1069,'Year Conversion'!$B:$B,0)),$Y:$Y,0))-J1069,"")</f>
        <v>0.5985216866</v>
      </c>
      <c r="AB1069" s="168">
        <f t="array" ref="AB1069">iferror(index(K:K,match($A1069&amp;","&amp;index('Year Conversion'!$A:$A,match($C1069,'Year Conversion'!$B:$B,0)),$Y:$Y,0))-K1069,"")</f>
        <v>0.6899522153</v>
      </c>
      <c r="AC1069" s="168" t="str">
        <f t="shared" si="7"/>
        <v>ATL,2015-16</v>
      </c>
    </row>
    <row r="1070">
      <c r="A1070" s="161" t="str">
        <f>IFERROR(__xludf.DUMMYFUNCTION("""COMPUTED_VALUE"""),"rondora01")</f>
        <v>rondora01</v>
      </c>
      <c r="B1070" s="161" t="str">
        <f>IFERROR(__xludf.DUMMYFUNCTION("""COMPUTED_VALUE"""),"Rajon Rondo")</f>
        <v>Rajon Rondo</v>
      </c>
      <c r="C1070" s="162" t="str">
        <f>IFERROR(__xludf.DUMMYFUNCTION("""COMPUTED_VALUE"""),"2015-16")</f>
        <v>2015-16</v>
      </c>
      <c r="D1070" s="163" t="str">
        <f>IFERROR(__xludf.DUMMYFUNCTION("""COMPUTED_VALUE"""),"SAC")</f>
        <v>SAC</v>
      </c>
      <c r="E1070" s="164" t="str">
        <f>IFERROR(__xludf.DUMMYFUNCTION("""COMPUTED_VALUE"""),"Slasher")</f>
        <v>Slasher</v>
      </c>
      <c r="F1070" s="164">
        <f>IFERROR(__xludf.DUMMYFUNCTION("""COMPUTED_VALUE"""),2536.68833333333)</f>
        <v>2536.688333</v>
      </c>
      <c r="G1070" s="163">
        <f>IFERROR(__xludf.DUMMYFUNCTION("""COMPUTED_VALUE"""),72.0)</f>
        <v>72</v>
      </c>
      <c r="H1070" s="163" t="str">
        <f>IFERROR(__xludf.DUMMYFUNCTION("""COMPUTED_VALUE"""),"PG")</f>
        <v>PG</v>
      </c>
      <c r="I1070" s="163">
        <f>IFERROR(__xludf.DUMMYFUNCTION("""COMPUTED_VALUE"""),29.0)</f>
        <v>29</v>
      </c>
      <c r="J1070" s="165">
        <f>IFERROR(__xludf.DUMMYFUNCTION("""COMPUTED_VALUE"""),-0.27809906818333)</f>
        <v>-0.2780990682</v>
      </c>
      <c r="K1070" s="165">
        <f>IFERROR(__xludf.DUMMYFUNCTION("""COMPUTED_VALUE"""),0.140497899994681)</f>
        <v>0.1404979</v>
      </c>
      <c r="L1070" s="165">
        <f>IFERROR(__xludf.DUMMYFUNCTION("""COMPUTED_VALUE"""),-0.418596968178011)</f>
        <v>-0.4185969682</v>
      </c>
      <c r="M1070" s="166">
        <f t="shared" si="2"/>
        <v>3.435171288</v>
      </c>
      <c r="N1070" s="167">
        <f t="shared" si="3"/>
        <v>35.23178241</v>
      </c>
      <c r="O1070" s="163">
        <f t="shared" ref="O1070:Q1070" si="1074">rank(I1070,I:I)</f>
        <v>855</v>
      </c>
      <c r="P1070" s="163">
        <f t="shared" si="1074"/>
        <v>1588</v>
      </c>
      <c r="Q1070" s="163">
        <f t="shared" si="1074"/>
        <v>1031</v>
      </c>
      <c r="R1070" s="163">
        <f>IFERROR(__xludf.DUMMYFUNCTION("RANK(M1070,filter(M:M,C:C=C1070))"),104.0)</f>
        <v>104</v>
      </c>
      <c r="S1070" s="161" t="b">
        <f t="shared" si="5"/>
        <v>0</v>
      </c>
      <c r="T1070" s="161" t="b">
        <f t="array" ref="T1070">index('Query Tool'!B:B,match(H1070,'Query Tool'!C:C,0))</f>
        <v>1</v>
      </c>
      <c r="U1070" s="161" t="b">
        <f t="array" ref="U1070">index('Query Tool'!B:B,match(C1070,'Query Tool'!C:C,0))</f>
        <v>0</v>
      </c>
      <c r="V1070" s="161" t="b">
        <f>F1070&gt;='Query Tool'!C$32</f>
        <v>1</v>
      </c>
      <c r="W1070" s="161" t="b">
        <f t="array" ref="W1070">index(Dropdowns!B:B,match(I1070,Dropdowns!A:A,0))</f>
        <v>1</v>
      </c>
      <c r="X1070" s="161" t="b">
        <f t="array" ref="X1070">index('Query Tool'!B:B,match(D1070,'Query Tool'!C:C,0))</f>
        <v>1</v>
      </c>
      <c r="Y1070" s="161" t="str">
        <f t="shared" si="6"/>
        <v>rondora01,2015-16</v>
      </c>
      <c r="Z1070" s="168">
        <f t="array" ref="Z1070">iferror(index(I:I,match($A1070&amp;","&amp;index('Year Conversion'!$A:$A,match($C1070,'Year Conversion'!$B:$B,0)),$Y:$Y,0))-I1070,"")</f>
        <v>1</v>
      </c>
      <c r="AA1070" s="168">
        <f t="array" ref="AA1070">iferror(index(J:J,match($A1070&amp;","&amp;index('Year Conversion'!$A:$A,match($C1070,'Year Conversion'!$B:$B,0)),$Y:$Y,0))-J1070,"")</f>
        <v>0.1096716917</v>
      </c>
      <c r="AB1070" s="168">
        <f t="array" ref="AB1070">iferror(index(K:K,match($A1070&amp;","&amp;index('Year Conversion'!$A:$A,match($C1070,'Year Conversion'!$B:$B,0)),$Y:$Y,0))-K1070,"")</f>
        <v>-0.6462989007</v>
      </c>
      <c r="AC1070" s="168" t="str">
        <f t="shared" si="7"/>
        <v>SAC,2015-16</v>
      </c>
    </row>
    <row r="1071">
      <c r="A1071" s="161" t="str">
        <f>IFERROR(__xludf.DUMMYFUNCTION("""COMPUTED_VALUE"""),"lowryky01")</f>
        <v>lowryky01</v>
      </c>
      <c r="B1071" s="161" t="str">
        <f>IFERROR(__xludf.DUMMYFUNCTION("""COMPUTED_VALUE"""),"Kyle Lowry")</f>
        <v>Kyle Lowry</v>
      </c>
      <c r="C1071" s="162" t="str">
        <f>IFERROR(__xludf.DUMMYFUNCTION("""COMPUTED_VALUE"""),"2015-16")</f>
        <v>2015-16</v>
      </c>
      <c r="D1071" s="163" t="str">
        <f>IFERROR(__xludf.DUMMYFUNCTION("""COMPUTED_VALUE"""),"TOR")</f>
        <v>TOR</v>
      </c>
      <c r="E1071" s="164" t="str">
        <f>IFERROR(__xludf.DUMMYFUNCTION("""COMPUTED_VALUE"""),"Primary Ball Handler")</f>
        <v>Primary Ball Handler</v>
      </c>
      <c r="F1071" s="164">
        <f>IFERROR(__xludf.DUMMYFUNCTION("""COMPUTED_VALUE"""),2851.155)</f>
        <v>2851.155</v>
      </c>
      <c r="G1071" s="163">
        <f>IFERROR(__xludf.DUMMYFUNCTION("""COMPUTED_VALUE"""),77.0)</f>
        <v>77</v>
      </c>
      <c r="H1071" s="163" t="str">
        <f>IFERROR(__xludf.DUMMYFUNCTION("""COMPUTED_VALUE"""),"PG")</f>
        <v>PG</v>
      </c>
      <c r="I1071" s="163">
        <f>IFERROR(__xludf.DUMMYFUNCTION("""COMPUTED_VALUE"""),29.0)</f>
        <v>29</v>
      </c>
      <c r="J1071" s="165">
        <f>IFERROR(__xludf.DUMMYFUNCTION("""COMPUTED_VALUE"""),4.9311781070489)</f>
        <v>4.931178107</v>
      </c>
      <c r="K1071" s="165">
        <f>IFERROR(__xludf.DUMMYFUNCTION("""COMPUTED_VALUE"""),3.7594877559676)</f>
        <v>3.759487756</v>
      </c>
      <c r="L1071" s="165">
        <f>IFERROR(__xludf.DUMMYFUNCTION("""COMPUTED_VALUE"""),1.17169035108129)</f>
        <v>1.171690351</v>
      </c>
      <c r="M1071" s="166">
        <f t="shared" si="2"/>
        <v>13.56658186</v>
      </c>
      <c r="N1071" s="167">
        <f t="shared" si="3"/>
        <v>37.02798701</v>
      </c>
      <c r="O1071" s="163">
        <f t="shared" ref="O1071:Q1071" si="1075">rank(I1071,I:I)</f>
        <v>855</v>
      </c>
      <c r="P1071" s="163">
        <f t="shared" si="1075"/>
        <v>51</v>
      </c>
      <c r="Q1071" s="163">
        <f t="shared" si="1075"/>
        <v>75</v>
      </c>
      <c r="R1071" s="163">
        <f>IFERROR(__xludf.DUMMYFUNCTION("RANK(M1071,filter(M:M,C:C=C1071))"),6.0)</f>
        <v>6</v>
      </c>
      <c r="S1071" s="161" t="b">
        <f t="shared" si="5"/>
        <v>0</v>
      </c>
      <c r="T1071" s="161" t="b">
        <f t="array" ref="T1071">index('Query Tool'!B:B,match(H1071,'Query Tool'!C:C,0))</f>
        <v>1</v>
      </c>
      <c r="U1071" s="161" t="b">
        <f t="array" ref="U1071">index('Query Tool'!B:B,match(C1071,'Query Tool'!C:C,0))</f>
        <v>0</v>
      </c>
      <c r="V1071" s="161" t="b">
        <f>F1071&gt;='Query Tool'!C$32</f>
        <v>1</v>
      </c>
      <c r="W1071" s="161" t="b">
        <f t="array" ref="W1071">index(Dropdowns!B:B,match(I1071,Dropdowns!A:A,0))</f>
        <v>1</v>
      </c>
      <c r="X1071" s="161" t="b">
        <f t="array" ref="X1071">index('Query Tool'!B:B,match(D1071,'Query Tool'!C:C,0))</f>
        <v>1</v>
      </c>
      <c r="Y1071" s="161" t="str">
        <f t="shared" si="6"/>
        <v>lowryky01,2015-16</v>
      </c>
      <c r="Z1071" s="168">
        <f t="array" ref="Z1071">iferror(index(I:I,match($A1071&amp;","&amp;index('Year Conversion'!$A:$A,match($C1071,'Year Conversion'!$B:$B,0)),$Y:$Y,0))-I1071,"")</f>
        <v>1</v>
      </c>
      <c r="AA1071" s="168">
        <f t="array" ref="AA1071">iferror(index(J:J,match($A1071&amp;","&amp;index('Year Conversion'!$A:$A,match($C1071,'Year Conversion'!$B:$B,0)),$Y:$Y,0))-J1071,"")</f>
        <v>-0.09378076603</v>
      </c>
      <c r="AB1071" s="168">
        <f t="array" ref="AB1071">iferror(index(K:K,match($A1071&amp;","&amp;index('Year Conversion'!$A:$A,match($C1071,'Year Conversion'!$B:$B,0)),$Y:$Y,0))-K1071,"")</f>
        <v>0.3259434336</v>
      </c>
      <c r="AC1071" s="168" t="str">
        <f t="shared" si="7"/>
        <v>TOR,2015-16</v>
      </c>
    </row>
    <row r="1072">
      <c r="A1072" s="161" t="str">
        <f>IFERROR(__xludf.DUMMYFUNCTION("""COMPUTED_VALUE"""),"farmajo01")</f>
        <v>farmajo01</v>
      </c>
      <c r="B1072" s="161" t="str">
        <f>IFERROR(__xludf.DUMMYFUNCTION("""COMPUTED_VALUE"""),"Jordan Farmar")</f>
        <v>Jordan Farmar</v>
      </c>
      <c r="C1072" s="162" t="str">
        <f>IFERROR(__xludf.DUMMYFUNCTION("""COMPUTED_VALUE"""),"2015-16")</f>
        <v>2015-16</v>
      </c>
      <c r="D1072" s="163" t="str">
        <f>IFERROR(__xludf.DUMMYFUNCTION("""COMPUTED_VALUE"""),"MEM")</f>
        <v>MEM</v>
      </c>
      <c r="E1072" s="164" t="str">
        <f>IFERROR(__xludf.DUMMYFUNCTION("""COMPUTED_VALUE"""),"Secondary Ball Handler")</f>
        <v>Secondary Ball Handler</v>
      </c>
      <c r="F1072" s="164">
        <f>IFERROR(__xludf.DUMMYFUNCTION("""COMPUTED_VALUE"""),291.293333333333)</f>
        <v>291.2933333</v>
      </c>
      <c r="G1072" s="163">
        <f>IFERROR(__xludf.DUMMYFUNCTION("""COMPUTED_VALUE"""),12.0)</f>
        <v>12</v>
      </c>
      <c r="H1072" s="163" t="str">
        <f>IFERROR(__xludf.DUMMYFUNCTION("""COMPUTED_VALUE"""),"PG")</f>
        <v>PG</v>
      </c>
      <c r="I1072" s="163">
        <f>IFERROR(__xludf.DUMMYFUNCTION("""COMPUTED_VALUE"""),29.0)</f>
        <v>29</v>
      </c>
      <c r="J1072" s="165">
        <f>IFERROR(__xludf.DUMMYFUNCTION("""COMPUTED_VALUE"""),-0.694787517165976)</f>
        <v>-0.6947875172</v>
      </c>
      <c r="K1072" s="165">
        <f>IFERROR(__xludf.DUMMYFUNCTION("""COMPUTED_VALUE"""),-0.126482190156213)</f>
        <v>-0.1264821902</v>
      </c>
      <c r="L1072" s="165">
        <f>IFERROR(__xludf.DUMMYFUNCTION("""COMPUTED_VALUE"""),-0.568305327009763)</f>
        <v>-0.568305327</v>
      </c>
      <c r="M1072" s="166">
        <f t="shared" si="2"/>
        <v>0.3127214149</v>
      </c>
      <c r="N1072" s="167">
        <f t="shared" si="3"/>
        <v>24.27444444</v>
      </c>
      <c r="O1072" s="163">
        <f t="shared" ref="O1072:Q1072" si="1076">rank(I1072,I:I)</f>
        <v>855</v>
      </c>
      <c r="P1072" s="163">
        <f t="shared" si="1076"/>
        <v>2132</v>
      </c>
      <c r="Q1072" s="163">
        <f t="shared" si="1076"/>
        <v>1425</v>
      </c>
      <c r="R1072" s="163">
        <f>IFERROR(__xludf.DUMMYFUNCTION("RANK(M1072,filter(M:M,C:C=C1072))"),308.0)</f>
        <v>308</v>
      </c>
      <c r="S1072" s="161" t="b">
        <f t="shared" si="5"/>
        <v>0</v>
      </c>
      <c r="T1072" s="161" t="b">
        <f t="array" ref="T1072">index('Query Tool'!B:B,match(H1072,'Query Tool'!C:C,0))</f>
        <v>1</v>
      </c>
      <c r="U1072" s="161" t="b">
        <f t="array" ref="U1072">index('Query Tool'!B:B,match(C1072,'Query Tool'!C:C,0))</f>
        <v>0</v>
      </c>
      <c r="V1072" s="161" t="b">
        <f>F1072&gt;='Query Tool'!C$32</f>
        <v>0</v>
      </c>
      <c r="W1072" s="161" t="b">
        <f t="array" ref="W1072">index(Dropdowns!B:B,match(I1072,Dropdowns!A:A,0))</f>
        <v>1</v>
      </c>
      <c r="X1072" s="161" t="b">
        <f t="array" ref="X1072">index('Query Tool'!B:B,match(D1072,'Query Tool'!C:C,0))</f>
        <v>1</v>
      </c>
      <c r="Y1072" s="161" t="str">
        <f t="shared" si="6"/>
        <v>farmajo01,2015-16</v>
      </c>
      <c r="Z1072" s="168">
        <f t="array" ref="Z1072">iferror(index(I:I,match($A1072&amp;","&amp;index('Year Conversion'!$A:$A,match($C1072,'Year Conversion'!$B:$B,0)),$Y:$Y,0))-I1072,"")</f>
        <v>1</v>
      </c>
      <c r="AA1072" s="168">
        <f t="array" ref="AA1072">iferror(index(J:J,match($A1072&amp;","&amp;index('Year Conversion'!$A:$A,match($C1072,'Year Conversion'!$B:$B,0)),$Y:$Y,0))-J1072,"")</f>
        <v>0.4262307254</v>
      </c>
      <c r="AB1072" s="168">
        <f t="array" ref="AB1072">iferror(index(K:K,match($A1072&amp;","&amp;index('Year Conversion'!$A:$A,match($C1072,'Year Conversion'!$B:$B,0)),$Y:$Y,0))-K1072,"")</f>
        <v>0.2179105056</v>
      </c>
      <c r="AC1072" s="168" t="str">
        <f t="shared" si="7"/>
        <v>MEM,2015-16</v>
      </c>
    </row>
    <row r="1073">
      <c r="A1073" s="161" t="str">
        <f>IFERROR(__xludf.DUMMYFUNCTION("""COMPUTED_VALUE"""),"novakst01")</f>
        <v>novakst01</v>
      </c>
      <c r="B1073" s="161" t="str">
        <f>IFERROR(__xludf.DUMMYFUNCTION("""COMPUTED_VALUE"""),"Steve Novak")</f>
        <v>Steve Novak</v>
      </c>
      <c r="C1073" s="162" t="str">
        <f>IFERROR(__xludf.DUMMYFUNCTION("""COMPUTED_VALUE"""),"2015-16")</f>
        <v>2015-16</v>
      </c>
      <c r="D1073" s="163" t="str">
        <f>IFERROR(__xludf.DUMMYFUNCTION("""COMPUTED_VALUE"""),"TOT")</f>
        <v>TOT</v>
      </c>
      <c r="E1073" s="164" t="str">
        <f>IFERROR(__xludf.DUMMYFUNCTION("""COMPUTED_VALUE"""),"Movement Shooter")</f>
        <v>Movement Shooter</v>
      </c>
      <c r="F1073" s="164">
        <f>IFERROR(__xludf.DUMMYFUNCTION("""COMPUTED_VALUE"""),44.2883333333333)</f>
        <v>44.28833333</v>
      </c>
      <c r="G1073" s="163">
        <f>IFERROR(__xludf.DUMMYFUNCTION("""COMPUTED_VALUE"""),10.0)</f>
        <v>10</v>
      </c>
      <c r="H1073" s="163" t="str">
        <f>IFERROR(__xludf.DUMMYFUNCTION("""COMPUTED_VALUE"""),"PF")</f>
        <v>PF</v>
      </c>
      <c r="I1073" s="163">
        <f>IFERROR(__xludf.DUMMYFUNCTION("""COMPUTED_VALUE"""),32.0)</f>
        <v>32</v>
      </c>
      <c r="J1073" s="165">
        <f>IFERROR(__xludf.DUMMYFUNCTION("""COMPUTED_VALUE"""),-0.43409386786404)</f>
        <v>-0.4340938679</v>
      </c>
      <c r="K1073" s="165">
        <f>IFERROR(__xludf.DUMMYFUNCTION("""COMPUTED_VALUE"""),0.0538614294826876)</f>
        <v>0.05386142948</v>
      </c>
      <c r="L1073" s="165">
        <f>IFERROR(__xludf.DUMMYFUNCTION("""COMPUTED_VALUE"""),-0.487955297346728)</f>
        <v>-0.4879552973</v>
      </c>
      <c r="M1073" s="166">
        <f t="shared" si="2"/>
        <v>0.05531974178</v>
      </c>
      <c r="N1073" s="167">
        <f t="shared" si="3"/>
        <v>4.428833333</v>
      </c>
      <c r="O1073" s="163">
        <f t="shared" ref="O1073:Q1073" si="1077">rank(I1073,I:I)</f>
        <v>359</v>
      </c>
      <c r="P1073" s="163">
        <f t="shared" si="1077"/>
        <v>1762</v>
      </c>
      <c r="Q1073" s="163">
        <f t="shared" si="1077"/>
        <v>1127</v>
      </c>
      <c r="R1073" s="163">
        <f>IFERROR(__xludf.DUMMYFUNCTION("RANK(M1073,filter(M:M,C:C=C1073))"),395.0)</f>
        <v>395</v>
      </c>
      <c r="S1073" s="161" t="b">
        <f t="shared" si="5"/>
        <v>0</v>
      </c>
      <c r="T1073" s="161" t="b">
        <f t="array" ref="T1073">index('Query Tool'!B:B,match(H1073,'Query Tool'!C:C,0))</f>
        <v>1</v>
      </c>
      <c r="U1073" s="161" t="b">
        <f t="array" ref="U1073">index('Query Tool'!B:B,match(C1073,'Query Tool'!C:C,0))</f>
        <v>0</v>
      </c>
      <c r="V1073" s="161" t="b">
        <f>F1073&gt;='Query Tool'!C$32</f>
        <v>0</v>
      </c>
      <c r="W1073" s="161" t="b">
        <f t="array" ref="W1073">index(Dropdowns!B:B,match(I1073,Dropdowns!A:A,0))</f>
        <v>1</v>
      </c>
      <c r="X1073" s="161" t="b">
        <f t="array" ref="X1073">index('Query Tool'!B:B,match(D1073,'Query Tool'!C:C,0))</f>
        <v>1</v>
      </c>
      <c r="Y1073" s="161" t="str">
        <f t="shared" si="6"/>
        <v>novakst01,2015-16</v>
      </c>
      <c r="Z1073" s="168">
        <f t="array" ref="Z1073">iferror(index(I:I,match($A1073&amp;","&amp;index('Year Conversion'!$A:$A,match($C1073,'Year Conversion'!$B:$B,0)),$Y:$Y,0))-I1073,"")</f>
        <v>1</v>
      </c>
      <c r="AA1073" s="168">
        <f t="array" ref="AA1073">iferror(index(J:J,match($A1073&amp;","&amp;index('Year Conversion'!$A:$A,match($C1073,'Year Conversion'!$B:$B,0)),$Y:$Y,0))-J1073,"")</f>
        <v>-0.3521155959</v>
      </c>
      <c r="AB1073" s="168">
        <f t="array" ref="AB1073">iferror(index(K:K,match($A1073&amp;","&amp;index('Year Conversion'!$A:$A,match($C1073,'Year Conversion'!$B:$B,0)),$Y:$Y,0))-K1073,"")</f>
        <v>-0.1768640751</v>
      </c>
      <c r="AC1073" s="168" t="str">
        <f t="shared" si="7"/>
        <v>TOT,2015-16</v>
      </c>
    </row>
    <row r="1074">
      <c r="A1074" s="161" t="str">
        <f>IFERROR(__xludf.DUMMYFUNCTION("""COMPUTED_VALUE"""),"tuckepj01")</f>
        <v>tuckepj01</v>
      </c>
      <c r="B1074" s="161" t="str">
        <f>IFERROR(__xludf.DUMMYFUNCTION("""COMPUTED_VALUE"""),"P.J. Tucker")</f>
        <v>P.J. Tucker</v>
      </c>
      <c r="C1074" s="162" t="str">
        <f>IFERROR(__xludf.DUMMYFUNCTION("""COMPUTED_VALUE"""),"2015-16")</f>
        <v>2015-16</v>
      </c>
      <c r="D1074" s="163" t="str">
        <f>IFERROR(__xludf.DUMMYFUNCTION("""COMPUTED_VALUE"""),"PHO")</f>
        <v>PHO</v>
      </c>
      <c r="E1074" s="164" t="str">
        <f>IFERROR(__xludf.DUMMYFUNCTION("""COMPUTED_VALUE"""),"Athletic Finisher")</f>
        <v>Athletic Finisher</v>
      </c>
      <c r="F1074" s="164">
        <f>IFERROR(__xludf.DUMMYFUNCTION("""COMPUTED_VALUE"""),2539.59833333333)</f>
        <v>2539.598333</v>
      </c>
      <c r="G1074" s="163">
        <f>IFERROR(__xludf.DUMMYFUNCTION("""COMPUTED_VALUE"""),82.0)</f>
        <v>82</v>
      </c>
      <c r="H1074" s="163" t="str">
        <f>IFERROR(__xludf.DUMMYFUNCTION("""COMPUTED_VALUE"""),"SF")</f>
        <v>SF</v>
      </c>
      <c r="I1074" s="163">
        <f>IFERROR(__xludf.DUMMYFUNCTION("""COMPUTED_VALUE"""),30.0)</f>
        <v>30</v>
      </c>
      <c r="J1074" s="165">
        <f>IFERROR(__xludf.DUMMYFUNCTION("""COMPUTED_VALUE"""),-1.13890241089493)</f>
        <v>-1.138902411</v>
      </c>
      <c r="K1074" s="165">
        <f>IFERROR(__xludf.DUMMYFUNCTION("""COMPUTED_VALUE"""),-1.46800361508862)</f>
        <v>-1.468003615</v>
      </c>
      <c r="L1074" s="165">
        <f>IFERROR(__xludf.DUMMYFUNCTION("""COMPUTED_VALUE"""),0.329101204193689)</f>
        <v>0.3291012042</v>
      </c>
      <c r="M1074" s="166">
        <f t="shared" si="2"/>
        <v>1.968724179</v>
      </c>
      <c r="N1074" s="167">
        <f t="shared" si="3"/>
        <v>30.97071138</v>
      </c>
      <c r="O1074" s="163">
        <f t="shared" ref="O1074:Q1074" si="1078">rank(I1074,I:I)</f>
        <v>655</v>
      </c>
      <c r="P1074" s="163">
        <f t="shared" si="1078"/>
        <v>2668</v>
      </c>
      <c r="Q1074" s="163">
        <f t="shared" si="1078"/>
        <v>3323</v>
      </c>
      <c r="R1074" s="163">
        <f>IFERROR(__xludf.DUMMYFUNCTION("RANK(M1074,filter(M:M,C:C=C1074))"),159.0)</f>
        <v>159</v>
      </c>
      <c r="S1074" s="161" t="b">
        <f t="shared" si="5"/>
        <v>0</v>
      </c>
      <c r="T1074" s="161" t="b">
        <f t="array" ref="T1074">index('Query Tool'!B:B,match(H1074,'Query Tool'!C:C,0))</f>
        <v>1</v>
      </c>
      <c r="U1074" s="161" t="b">
        <f t="array" ref="U1074">index('Query Tool'!B:B,match(C1074,'Query Tool'!C:C,0))</f>
        <v>0</v>
      </c>
      <c r="V1074" s="161" t="b">
        <f>F1074&gt;='Query Tool'!C$32</f>
        <v>1</v>
      </c>
      <c r="W1074" s="161" t="b">
        <f t="array" ref="W1074">index(Dropdowns!B:B,match(I1074,Dropdowns!A:A,0))</f>
        <v>1</v>
      </c>
      <c r="X1074" s="161" t="b">
        <f t="array" ref="X1074">index('Query Tool'!B:B,match(D1074,'Query Tool'!C:C,0))</f>
        <v>1</v>
      </c>
      <c r="Y1074" s="161" t="str">
        <f t="shared" si="6"/>
        <v>tuckepj01,2015-16</v>
      </c>
      <c r="Z1074" s="168">
        <f t="array" ref="Z1074">iferror(index(I:I,match($A1074&amp;","&amp;index('Year Conversion'!$A:$A,match($C1074,'Year Conversion'!$B:$B,0)),$Y:$Y,0))-I1074,"")</f>
        <v>1</v>
      </c>
      <c r="AA1074" s="168">
        <f t="array" ref="AA1074">iferror(index(J:J,match($A1074&amp;","&amp;index('Year Conversion'!$A:$A,match($C1074,'Year Conversion'!$B:$B,0)),$Y:$Y,0))-J1074,"")</f>
        <v>1.293633985</v>
      </c>
      <c r="AB1074" s="168">
        <f t="array" ref="AB1074">iferror(index(K:K,match($A1074&amp;","&amp;index('Year Conversion'!$A:$A,match($C1074,'Year Conversion'!$B:$B,0)),$Y:$Y,0))-K1074,"")</f>
        <v>0.3925700308</v>
      </c>
      <c r="AC1074" s="168" t="str">
        <f t="shared" si="7"/>
        <v>PHO,2015-16</v>
      </c>
    </row>
    <row r="1075">
      <c r="A1075" s="161" t="str">
        <f>IFERROR(__xludf.DUMMYFUNCTION("""COMPUTED_VALUE"""),"millspa01")</f>
        <v>millspa01</v>
      </c>
      <c r="B1075" s="161" t="str">
        <f>IFERROR(__xludf.DUMMYFUNCTION("""COMPUTED_VALUE"""),"Paul Millsap")</f>
        <v>Paul Millsap</v>
      </c>
      <c r="C1075" s="162" t="str">
        <f>IFERROR(__xludf.DUMMYFUNCTION("""COMPUTED_VALUE"""),"2015-16")</f>
        <v>2015-16</v>
      </c>
      <c r="D1075" s="163" t="str">
        <f>IFERROR(__xludf.DUMMYFUNCTION("""COMPUTED_VALUE"""),"ATL")</f>
        <v>ATL</v>
      </c>
      <c r="E1075" s="164" t="str">
        <f>IFERROR(__xludf.DUMMYFUNCTION("""COMPUTED_VALUE"""),"Post Scorer")</f>
        <v>Post Scorer</v>
      </c>
      <c r="F1075" s="164">
        <f>IFERROR(__xludf.DUMMYFUNCTION("""COMPUTED_VALUE"""),2646.91666666667)</f>
        <v>2646.916667</v>
      </c>
      <c r="G1075" s="163">
        <f>IFERROR(__xludf.DUMMYFUNCTION("""COMPUTED_VALUE"""),81.0)</f>
        <v>81</v>
      </c>
      <c r="H1075" s="163" t="str">
        <f>IFERROR(__xludf.DUMMYFUNCTION("""COMPUTED_VALUE"""),"PF")</f>
        <v>PF</v>
      </c>
      <c r="I1075" s="163">
        <f>IFERROR(__xludf.DUMMYFUNCTION("""COMPUTED_VALUE"""),30.0)</f>
        <v>30</v>
      </c>
      <c r="J1075" s="165">
        <f>IFERROR(__xludf.DUMMYFUNCTION("""COMPUTED_VALUE"""),3.13921288139352)</f>
        <v>3.139212881</v>
      </c>
      <c r="K1075" s="165">
        <f>IFERROR(__xludf.DUMMYFUNCTION("""COMPUTED_VALUE"""),1.26717307896005)</f>
        <v>1.267173079</v>
      </c>
      <c r="L1075" s="165">
        <f>IFERROR(__xludf.DUMMYFUNCTION("""COMPUTED_VALUE"""),1.87203980243347)</f>
        <v>1.872039802</v>
      </c>
      <c r="M1075" s="166">
        <f t="shared" si="2"/>
        <v>9.607210204</v>
      </c>
      <c r="N1075" s="167">
        <f t="shared" si="3"/>
        <v>32.67798354</v>
      </c>
      <c r="O1075" s="163">
        <f t="shared" ref="O1075:Q1075" si="1079">rank(I1075,I:I)</f>
        <v>655</v>
      </c>
      <c r="P1075" s="163">
        <f t="shared" si="1079"/>
        <v>160</v>
      </c>
      <c r="Q1075" s="163">
        <f t="shared" si="1079"/>
        <v>397</v>
      </c>
      <c r="R1075" s="163">
        <f>IFERROR(__xludf.DUMMYFUNCTION("RANK(M1075,filter(M:M,C:C=C1075))"),12.0)</f>
        <v>12</v>
      </c>
      <c r="S1075" s="161" t="b">
        <f t="shared" si="5"/>
        <v>0</v>
      </c>
      <c r="T1075" s="161" t="b">
        <f t="array" ref="T1075">index('Query Tool'!B:B,match(H1075,'Query Tool'!C:C,0))</f>
        <v>1</v>
      </c>
      <c r="U1075" s="161" t="b">
        <f t="array" ref="U1075">index('Query Tool'!B:B,match(C1075,'Query Tool'!C:C,0))</f>
        <v>0</v>
      </c>
      <c r="V1075" s="161" t="b">
        <f>F1075&gt;='Query Tool'!C$32</f>
        <v>1</v>
      </c>
      <c r="W1075" s="161" t="b">
        <f t="array" ref="W1075">index(Dropdowns!B:B,match(I1075,Dropdowns!A:A,0))</f>
        <v>1</v>
      </c>
      <c r="X1075" s="161" t="b">
        <f t="array" ref="X1075">index('Query Tool'!B:B,match(D1075,'Query Tool'!C:C,0))</f>
        <v>1</v>
      </c>
      <c r="Y1075" s="161" t="str">
        <f t="shared" si="6"/>
        <v>millspa01,2015-16</v>
      </c>
      <c r="Z1075" s="168">
        <f t="array" ref="Z1075">iferror(index(I:I,match($A1075&amp;","&amp;index('Year Conversion'!$A:$A,match($C1075,'Year Conversion'!$B:$B,0)),$Y:$Y,0))-I1075,"")</f>
        <v>1</v>
      </c>
      <c r="AA1075" s="168">
        <f t="array" ref="AA1075">iferror(index(J:J,match($A1075&amp;","&amp;index('Year Conversion'!$A:$A,match($C1075,'Year Conversion'!$B:$B,0)),$Y:$Y,0))-J1075,"")</f>
        <v>-0.6010349799</v>
      </c>
      <c r="AB1075" s="168">
        <f t="array" ref="AB1075">iferror(index(K:K,match($A1075&amp;","&amp;index('Year Conversion'!$A:$A,match($C1075,'Year Conversion'!$B:$B,0)),$Y:$Y,0))-K1075,"")</f>
        <v>-0.8755697982</v>
      </c>
      <c r="AC1075" s="168" t="str">
        <f t="shared" si="7"/>
        <v>ATL,2015-16</v>
      </c>
    </row>
    <row r="1076">
      <c r="A1076" s="161" t="str">
        <f>IFERROR(__xludf.DUMMYFUNCTION("""COMPUTED_VALUE"""),"holliry01")</f>
        <v>holliry01</v>
      </c>
      <c r="B1076" s="161" t="str">
        <f>IFERROR(__xludf.DUMMYFUNCTION("""COMPUTED_VALUE"""),"Ryan Hollins")</f>
        <v>Ryan Hollins</v>
      </c>
      <c r="C1076" s="162" t="str">
        <f>IFERROR(__xludf.DUMMYFUNCTION("""COMPUTED_VALUE"""),"2015-16")</f>
        <v>2015-16</v>
      </c>
      <c r="D1076" s="163" t="str">
        <f>IFERROR(__xludf.DUMMYFUNCTION("""COMPUTED_VALUE"""),"TOT")</f>
        <v>TOT</v>
      </c>
      <c r="E1076" s="164" t="str">
        <f>IFERROR(__xludf.DUMMYFUNCTION("""COMPUTED_VALUE"""),"Roll + Cut Big")</f>
        <v>Roll + Cut Big</v>
      </c>
      <c r="F1076" s="164">
        <f>IFERROR(__xludf.DUMMYFUNCTION("""COMPUTED_VALUE"""),459.673333333333)</f>
        <v>459.6733333</v>
      </c>
      <c r="G1076" s="163">
        <f>IFERROR(__xludf.DUMMYFUNCTION("""COMPUTED_VALUE"""),37.0)</f>
        <v>37</v>
      </c>
      <c r="H1076" s="163" t="str">
        <f>IFERROR(__xludf.DUMMYFUNCTION("""COMPUTED_VALUE"""),"C")</f>
        <v>C</v>
      </c>
      <c r="I1076" s="163">
        <f>IFERROR(__xludf.DUMMYFUNCTION("""COMPUTED_VALUE"""),31.0)</f>
        <v>31</v>
      </c>
      <c r="J1076" s="165">
        <f>IFERROR(__xludf.DUMMYFUNCTION("""COMPUTED_VALUE"""),-2.49367397998505)</f>
        <v>-2.49367398</v>
      </c>
      <c r="K1076" s="165">
        <f>IFERROR(__xludf.DUMMYFUNCTION("""COMPUTED_VALUE"""),-2.32681756308601)</f>
        <v>-2.326817563</v>
      </c>
      <c r="L1076" s="165">
        <f>IFERROR(__xludf.DUMMYFUNCTION("""COMPUTED_VALUE"""),-0.16685641689904)</f>
        <v>-0.1668564169</v>
      </c>
      <c r="M1076" s="166">
        <f t="shared" si="2"/>
        <v>-0.05753659969</v>
      </c>
      <c r="N1076" s="167">
        <f t="shared" si="3"/>
        <v>12.4236036</v>
      </c>
      <c r="O1076" s="163">
        <f t="shared" ref="O1076:Q1076" si="1080">rank(I1076,I:I)</f>
        <v>490</v>
      </c>
      <c r="P1076" s="163">
        <f t="shared" si="1080"/>
        <v>3752</v>
      </c>
      <c r="Q1076" s="163">
        <f t="shared" si="1080"/>
        <v>3843</v>
      </c>
      <c r="R1076" s="163">
        <f>IFERROR(__xludf.DUMMYFUNCTION("RANK(M1076,filter(M:M,C:C=C1076))"),435.0)</f>
        <v>435</v>
      </c>
      <c r="S1076" s="161" t="b">
        <f t="shared" si="5"/>
        <v>0</v>
      </c>
      <c r="T1076" s="161" t="b">
        <f t="array" ref="T1076">index('Query Tool'!B:B,match(H1076,'Query Tool'!C:C,0))</f>
        <v>1</v>
      </c>
      <c r="U1076" s="161" t="b">
        <f t="array" ref="U1076">index('Query Tool'!B:B,match(C1076,'Query Tool'!C:C,0))</f>
        <v>0</v>
      </c>
      <c r="V1076" s="161" t="b">
        <f>F1076&gt;='Query Tool'!C$32</f>
        <v>0</v>
      </c>
      <c r="W1076" s="161" t="b">
        <f t="array" ref="W1076">index(Dropdowns!B:B,match(I1076,Dropdowns!A:A,0))</f>
        <v>1</v>
      </c>
      <c r="X1076" s="161" t="b">
        <f t="array" ref="X1076">index('Query Tool'!B:B,match(D1076,'Query Tool'!C:C,0))</f>
        <v>1</v>
      </c>
      <c r="Y1076" s="161" t="str">
        <f t="shared" si="6"/>
        <v>holliry01,2015-16</v>
      </c>
      <c r="Z1076" s="168" t="str">
        <f t="array" ref="Z1076">iferror(index(I:I,match($A1076&amp;","&amp;index('Year Conversion'!$A:$A,match($C1076,'Year Conversion'!$B:$B,0)),$Y:$Y,0))-I1076,"")</f>
        <v/>
      </c>
      <c r="AA1076" s="168" t="str">
        <f t="array" ref="AA1076">iferror(index(J:J,match($A1076&amp;","&amp;index('Year Conversion'!$A:$A,match($C1076,'Year Conversion'!$B:$B,0)),$Y:$Y,0))-J1076,"")</f>
        <v/>
      </c>
      <c r="AB1076" s="168" t="str">
        <f t="array" ref="AB1076">iferror(index(K:K,match($A1076&amp;","&amp;index('Year Conversion'!$A:$A,match($C1076,'Year Conversion'!$B:$B,0)),$Y:$Y,0))-K1076,"")</f>
        <v/>
      </c>
      <c r="AC1076" s="168" t="str">
        <f t="shared" si="7"/>
        <v>TOT,2015-16</v>
      </c>
    </row>
    <row r="1077">
      <c r="A1077" s="161" t="str">
        <f>IFERROR(__xludf.DUMMYFUNCTION("""COMPUTED_VALUE"""),"amundlo01")</f>
        <v>amundlo01</v>
      </c>
      <c r="B1077" s="161" t="str">
        <f>IFERROR(__xludf.DUMMYFUNCTION("""COMPUTED_VALUE"""),"Lou Amundson")</f>
        <v>Lou Amundson</v>
      </c>
      <c r="C1077" s="162" t="str">
        <f>IFERROR(__xludf.DUMMYFUNCTION("""COMPUTED_VALUE"""),"2015-16")</f>
        <v>2015-16</v>
      </c>
      <c r="D1077" s="163" t="str">
        <f>IFERROR(__xludf.DUMMYFUNCTION("""COMPUTED_VALUE"""),"NYK")</f>
        <v>NYK</v>
      </c>
      <c r="E1077" s="164" t="str">
        <f>IFERROR(__xludf.DUMMYFUNCTION("""COMPUTED_VALUE"""),"Post Scorer")</f>
        <v>Post Scorer</v>
      </c>
      <c r="F1077" s="164">
        <f>IFERROR(__xludf.DUMMYFUNCTION("""COMPUTED_VALUE"""),204.435)</f>
        <v>204.435</v>
      </c>
      <c r="G1077" s="163">
        <f>IFERROR(__xludf.DUMMYFUNCTION("""COMPUTED_VALUE"""),29.0)</f>
        <v>29</v>
      </c>
      <c r="H1077" s="163" t="str">
        <f>IFERROR(__xludf.DUMMYFUNCTION("""COMPUTED_VALUE"""),"PF")</f>
        <v>PF</v>
      </c>
      <c r="I1077" s="163">
        <f>IFERROR(__xludf.DUMMYFUNCTION("""COMPUTED_VALUE"""),33.0)</f>
        <v>33</v>
      </c>
      <c r="J1077" s="165">
        <f>IFERROR(__xludf.DUMMYFUNCTION("""COMPUTED_VALUE"""),-1.39819757537893)</f>
        <v>-1.398197575</v>
      </c>
      <c r="K1077" s="165">
        <f>IFERROR(__xludf.DUMMYFUNCTION("""COMPUTED_VALUE"""),-1.26398289001796)</f>
        <v>-1.26398289</v>
      </c>
      <c r="L1077" s="165">
        <f>IFERROR(__xludf.DUMMYFUNCTION("""COMPUTED_VALUE"""),-0.134214685360971)</f>
        <v>-0.1342146854</v>
      </c>
      <c r="M1077" s="166">
        <f t="shared" si="2"/>
        <v>0.1229815216</v>
      </c>
      <c r="N1077" s="167">
        <f t="shared" si="3"/>
        <v>7.049482759</v>
      </c>
      <c r="O1077" s="163">
        <f t="shared" ref="O1077:Q1077" si="1081">rank(I1077,I:I)</f>
        <v>246</v>
      </c>
      <c r="P1077" s="163">
        <f t="shared" si="1081"/>
        <v>2947</v>
      </c>
      <c r="Q1077" s="163">
        <f t="shared" si="1081"/>
        <v>3098</v>
      </c>
      <c r="R1077" s="163">
        <f>IFERROR(__xludf.DUMMYFUNCTION("RANK(M1077,filter(M:M,C:C=C1077))"),361.0)</f>
        <v>361</v>
      </c>
      <c r="S1077" s="161" t="b">
        <f t="shared" si="5"/>
        <v>0</v>
      </c>
      <c r="T1077" s="161" t="b">
        <f t="array" ref="T1077">index('Query Tool'!B:B,match(H1077,'Query Tool'!C:C,0))</f>
        <v>1</v>
      </c>
      <c r="U1077" s="161" t="b">
        <f t="array" ref="U1077">index('Query Tool'!B:B,match(C1077,'Query Tool'!C:C,0))</f>
        <v>0</v>
      </c>
      <c r="V1077" s="161" t="b">
        <f>F1077&gt;='Query Tool'!C$32</f>
        <v>0</v>
      </c>
      <c r="W1077" s="161" t="b">
        <f t="array" ref="W1077">index(Dropdowns!B:B,match(I1077,Dropdowns!A:A,0))</f>
        <v>1</v>
      </c>
      <c r="X1077" s="161" t="b">
        <f t="array" ref="X1077">index('Query Tool'!B:B,match(D1077,'Query Tool'!C:C,0))</f>
        <v>1</v>
      </c>
      <c r="Y1077" s="161" t="str">
        <f t="shared" si="6"/>
        <v>amundlo01,2015-16</v>
      </c>
      <c r="Z1077" s="168" t="str">
        <f t="array" ref="Z1077">iferror(index(I:I,match($A1077&amp;","&amp;index('Year Conversion'!$A:$A,match($C1077,'Year Conversion'!$B:$B,0)),$Y:$Y,0))-I1077,"")</f>
        <v/>
      </c>
      <c r="AA1077" s="168" t="str">
        <f t="array" ref="AA1077">iferror(index(J:J,match($A1077&amp;","&amp;index('Year Conversion'!$A:$A,match($C1077,'Year Conversion'!$B:$B,0)),$Y:$Y,0))-J1077,"")</f>
        <v/>
      </c>
      <c r="AB1077" s="168" t="str">
        <f t="array" ref="AB1077">iferror(index(K:K,match($A1077&amp;","&amp;index('Year Conversion'!$A:$A,match($C1077,'Year Conversion'!$B:$B,0)),$Y:$Y,0))-K1077,"")</f>
        <v/>
      </c>
      <c r="AC1077" s="168" t="str">
        <f t="shared" si="7"/>
        <v>NYK,2015-16</v>
      </c>
    </row>
    <row r="1078">
      <c r="A1078" s="161" t="str">
        <f>IFERROR(__xludf.DUMMYFUNCTION("""COMPUTED_VALUE"""),"bareajo01")</f>
        <v>bareajo01</v>
      </c>
      <c r="B1078" s="161" t="str">
        <f>IFERROR(__xludf.DUMMYFUNCTION("""COMPUTED_VALUE"""),"J.J. Barea")</f>
        <v>J.J. Barea</v>
      </c>
      <c r="C1078" s="162" t="str">
        <f>IFERROR(__xludf.DUMMYFUNCTION("""COMPUTED_VALUE"""),"2015-16")</f>
        <v>2015-16</v>
      </c>
      <c r="D1078" s="163" t="str">
        <f>IFERROR(__xludf.DUMMYFUNCTION("""COMPUTED_VALUE"""),"DAL")</f>
        <v>DAL</v>
      </c>
      <c r="E1078" s="164" t="str">
        <f>IFERROR(__xludf.DUMMYFUNCTION("""COMPUTED_VALUE"""),"Primary Ball Handler")</f>
        <v>Primary Ball Handler</v>
      </c>
      <c r="F1078" s="164">
        <f>IFERROR(__xludf.DUMMYFUNCTION("""COMPUTED_VALUE"""),1666.90833333333)</f>
        <v>1666.908333</v>
      </c>
      <c r="G1078" s="163">
        <f>IFERROR(__xludf.DUMMYFUNCTION("""COMPUTED_VALUE"""),74.0)</f>
        <v>74</v>
      </c>
      <c r="H1078" s="163" t="str">
        <f>IFERROR(__xludf.DUMMYFUNCTION("""COMPUTED_VALUE"""),"PG")</f>
        <v>PG</v>
      </c>
      <c r="I1078" s="163">
        <f>IFERROR(__xludf.DUMMYFUNCTION("""COMPUTED_VALUE"""),31.0)</f>
        <v>31</v>
      </c>
      <c r="J1078" s="165">
        <f>IFERROR(__xludf.DUMMYFUNCTION("""COMPUTED_VALUE"""),-0.613919727402524)</f>
        <v>-0.6139197274</v>
      </c>
      <c r="K1078" s="165">
        <f>IFERROR(__xludf.DUMMYFUNCTION("""COMPUTED_VALUE"""),1.38559980549659)</f>
        <v>1.385599805</v>
      </c>
      <c r="L1078" s="165">
        <f>IFERROR(__xludf.DUMMYFUNCTION("""COMPUTED_VALUE"""),-1.99951953289911)</f>
        <v>-1.999519533</v>
      </c>
      <c r="M1078" s="166">
        <f t="shared" si="2"/>
        <v>1.880247282</v>
      </c>
      <c r="N1078" s="167">
        <f t="shared" si="3"/>
        <v>22.52578829</v>
      </c>
      <c r="O1078" s="163">
        <f t="shared" ref="O1078:Q1078" si="1082">rank(I1078,I:I)</f>
        <v>490</v>
      </c>
      <c r="P1078" s="163">
        <f t="shared" si="1082"/>
        <v>2018</v>
      </c>
      <c r="Q1078" s="163">
        <f t="shared" si="1082"/>
        <v>359</v>
      </c>
      <c r="R1078" s="163">
        <f>IFERROR(__xludf.DUMMYFUNCTION("RANK(M1078,filter(M:M,C:C=C1078))"),161.0)</f>
        <v>161</v>
      </c>
      <c r="S1078" s="161" t="b">
        <f t="shared" si="5"/>
        <v>0</v>
      </c>
      <c r="T1078" s="161" t="b">
        <f t="array" ref="T1078">index('Query Tool'!B:B,match(H1078,'Query Tool'!C:C,0))</f>
        <v>1</v>
      </c>
      <c r="U1078" s="161" t="b">
        <f t="array" ref="U1078">index('Query Tool'!B:B,match(C1078,'Query Tool'!C:C,0))</f>
        <v>0</v>
      </c>
      <c r="V1078" s="161" t="b">
        <f>F1078&gt;='Query Tool'!C$32</f>
        <v>1</v>
      </c>
      <c r="W1078" s="161" t="b">
        <f t="array" ref="W1078">index(Dropdowns!B:B,match(I1078,Dropdowns!A:A,0))</f>
        <v>1</v>
      </c>
      <c r="X1078" s="161" t="b">
        <f t="array" ref="X1078">index('Query Tool'!B:B,match(D1078,'Query Tool'!C:C,0))</f>
        <v>1</v>
      </c>
      <c r="Y1078" s="161" t="str">
        <f t="shared" si="6"/>
        <v>bareajo01,2015-16</v>
      </c>
      <c r="Z1078" s="168">
        <f t="array" ref="Z1078">iferror(index(I:I,match($A1078&amp;","&amp;index('Year Conversion'!$A:$A,match($C1078,'Year Conversion'!$B:$B,0)),$Y:$Y,0))-I1078,"")</f>
        <v>1</v>
      </c>
      <c r="AA1078" s="168">
        <f t="array" ref="AA1078">iferror(index(J:J,match($A1078&amp;","&amp;index('Year Conversion'!$A:$A,match($C1078,'Year Conversion'!$B:$B,0)),$Y:$Y,0))-J1078,"")</f>
        <v>1.338107832</v>
      </c>
      <c r="AB1078" s="168">
        <f t="array" ref="AB1078">iferror(index(K:K,match($A1078&amp;","&amp;index('Year Conversion'!$A:$A,match($C1078,'Year Conversion'!$B:$B,0)),$Y:$Y,0))-K1078,"")</f>
        <v>0.2001984998</v>
      </c>
      <c r="AC1078" s="168" t="str">
        <f t="shared" si="7"/>
        <v>DAL,2015-16</v>
      </c>
    </row>
    <row r="1079">
      <c r="A1079" s="161" t="str">
        <f>IFERROR(__xludf.DUMMYFUNCTION("""COMPUTED_VALUE"""),"duranke01")</f>
        <v>duranke01</v>
      </c>
      <c r="B1079" s="161" t="str">
        <f>IFERROR(__xludf.DUMMYFUNCTION("""COMPUTED_VALUE"""),"Kevin Durant")</f>
        <v>Kevin Durant</v>
      </c>
      <c r="C1079" s="162" t="str">
        <f>IFERROR(__xludf.DUMMYFUNCTION("""COMPUTED_VALUE"""),"2015-16")</f>
        <v>2015-16</v>
      </c>
      <c r="D1079" s="163" t="str">
        <f>IFERROR(__xludf.DUMMYFUNCTION("""COMPUTED_VALUE"""),"OKC")</f>
        <v>OKC</v>
      </c>
      <c r="E1079" s="164" t="str">
        <f>IFERROR(__xludf.DUMMYFUNCTION("""COMPUTED_VALUE"""),"Shot Creator")</f>
        <v>Shot Creator</v>
      </c>
      <c r="F1079" s="164">
        <f>IFERROR(__xludf.DUMMYFUNCTION("""COMPUTED_VALUE"""),2577.62)</f>
        <v>2577.62</v>
      </c>
      <c r="G1079" s="163">
        <f>IFERROR(__xludf.DUMMYFUNCTION("""COMPUTED_VALUE"""),72.0)</f>
        <v>72</v>
      </c>
      <c r="H1079" s="163" t="str">
        <f>IFERROR(__xludf.DUMMYFUNCTION("""COMPUTED_VALUE"""),"SF")</f>
        <v>SF</v>
      </c>
      <c r="I1079" s="163">
        <f>IFERROR(__xludf.DUMMYFUNCTION("""COMPUTED_VALUE"""),27.0)</f>
        <v>27</v>
      </c>
      <c r="J1079" s="165">
        <f>IFERROR(__xludf.DUMMYFUNCTION("""COMPUTED_VALUE"""),5.02109250767193)</f>
        <v>5.021092508</v>
      </c>
      <c r="K1079" s="165">
        <f>IFERROR(__xludf.DUMMYFUNCTION("""COMPUTED_VALUE"""),4.96525947558401)</f>
        <v>4.965259476</v>
      </c>
      <c r="L1079" s="165">
        <f>IFERROR(__xludf.DUMMYFUNCTION("""COMPUTED_VALUE"""),0.055833032087921)</f>
        <v>0.05583303209</v>
      </c>
      <c r="M1079" s="166">
        <f t="shared" si="2"/>
        <v>12.40620081</v>
      </c>
      <c r="N1079" s="167">
        <f t="shared" si="3"/>
        <v>35.80027778</v>
      </c>
      <c r="O1079" s="163">
        <f t="shared" ref="O1079:Q1079" si="1083">rank(I1079,I:I)</f>
        <v>1366</v>
      </c>
      <c r="P1079" s="163">
        <f t="shared" si="1083"/>
        <v>48</v>
      </c>
      <c r="Q1079" s="163">
        <f t="shared" si="1083"/>
        <v>28</v>
      </c>
      <c r="R1079" s="163">
        <f>IFERROR(__xludf.DUMMYFUNCTION("RANK(M1079,filter(M:M,C:C=C1079))"),9.0)</f>
        <v>9</v>
      </c>
      <c r="S1079" s="161" t="b">
        <f t="shared" si="5"/>
        <v>0</v>
      </c>
      <c r="T1079" s="161" t="b">
        <f t="array" ref="T1079">index('Query Tool'!B:B,match(H1079,'Query Tool'!C:C,0))</f>
        <v>1</v>
      </c>
      <c r="U1079" s="161" t="b">
        <f t="array" ref="U1079">index('Query Tool'!B:B,match(C1079,'Query Tool'!C:C,0))</f>
        <v>0</v>
      </c>
      <c r="V1079" s="161" t="b">
        <f>F1079&gt;='Query Tool'!C$32</f>
        <v>1</v>
      </c>
      <c r="W1079" s="161" t="b">
        <f t="array" ref="W1079">index(Dropdowns!B:B,match(I1079,Dropdowns!A:A,0))</f>
        <v>1</v>
      </c>
      <c r="X1079" s="161" t="b">
        <f t="array" ref="X1079">index('Query Tool'!B:B,match(D1079,'Query Tool'!C:C,0))</f>
        <v>1</v>
      </c>
      <c r="Y1079" s="161" t="str">
        <f t="shared" si="6"/>
        <v>duranke01,2015-16</v>
      </c>
      <c r="Z1079" s="168">
        <f t="array" ref="Z1079">iferror(index(I:I,match($A1079&amp;","&amp;index('Year Conversion'!$A:$A,match($C1079,'Year Conversion'!$B:$B,0)),$Y:$Y,0))-I1079,"")</f>
        <v>1</v>
      </c>
      <c r="AA1079" s="168">
        <f t="array" ref="AA1079">iferror(index(J:J,match($A1079&amp;","&amp;index('Year Conversion'!$A:$A,match($C1079,'Year Conversion'!$B:$B,0)),$Y:$Y,0))-J1079,"")</f>
        <v>0.2326065723</v>
      </c>
      <c r="AB1079" s="168">
        <f t="array" ref="AB1079">iferror(index(K:K,match($A1079&amp;","&amp;index('Year Conversion'!$A:$A,match($C1079,'Year Conversion'!$B:$B,0)),$Y:$Y,0))-K1079,"")</f>
        <v>-0.5587735941</v>
      </c>
      <c r="AC1079" s="168" t="str">
        <f t="shared" si="7"/>
        <v>OKC,2015-16</v>
      </c>
    </row>
    <row r="1080">
      <c r="A1080" s="161" t="str">
        <f>IFERROR(__xludf.DUMMYFUNCTION("""COMPUTED_VALUE"""),"horfoal01")</f>
        <v>horfoal01</v>
      </c>
      <c r="B1080" s="161" t="str">
        <f>IFERROR(__xludf.DUMMYFUNCTION("""COMPUTED_VALUE"""),"Al Horford")</f>
        <v>Al Horford</v>
      </c>
      <c r="C1080" s="162" t="str">
        <f>IFERROR(__xludf.DUMMYFUNCTION("""COMPUTED_VALUE"""),"2015-16")</f>
        <v>2015-16</v>
      </c>
      <c r="D1080" s="163" t="str">
        <f>IFERROR(__xludf.DUMMYFUNCTION("""COMPUTED_VALUE"""),"ATL")</f>
        <v>ATL</v>
      </c>
      <c r="E1080" s="164" t="str">
        <f>IFERROR(__xludf.DUMMYFUNCTION("""COMPUTED_VALUE"""),"Roll + Cut Big")</f>
        <v>Roll + Cut Big</v>
      </c>
      <c r="F1080" s="164">
        <f>IFERROR(__xludf.DUMMYFUNCTION("""COMPUTED_VALUE"""),2631.18166666667)</f>
        <v>2631.181667</v>
      </c>
      <c r="G1080" s="163">
        <f>IFERROR(__xludf.DUMMYFUNCTION("""COMPUTED_VALUE"""),82.0)</f>
        <v>82</v>
      </c>
      <c r="H1080" s="163" t="str">
        <f>IFERROR(__xludf.DUMMYFUNCTION("""COMPUTED_VALUE"""),"C")</f>
        <v>C</v>
      </c>
      <c r="I1080" s="163">
        <f>IFERROR(__xludf.DUMMYFUNCTION("""COMPUTED_VALUE"""),29.0)</f>
        <v>29</v>
      </c>
      <c r="J1080" s="165">
        <f>IFERROR(__xludf.DUMMYFUNCTION("""COMPUTED_VALUE"""),2.11286359898939)</f>
        <v>2.112863599</v>
      </c>
      <c r="K1080" s="165">
        <f>IFERROR(__xludf.DUMMYFUNCTION("""COMPUTED_VALUE"""),0.41418437987364)</f>
        <v>0.4141843799</v>
      </c>
      <c r="L1080" s="165">
        <f>IFERROR(__xludf.DUMMYFUNCTION("""COMPUTED_VALUE"""),1.69867921911575)</f>
        <v>1.698679219</v>
      </c>
      <c r="M1080" s="166">
        <f t="shared" si="2"/>
        <v>7.781374913</v>
      </c>
      <c r="N1080" s="167">
        <f t="shared" si="3"/>
        <v>32.0875813</v>
      </c>
      <c r="O1080" s="163">
        <f t="shared" ref="O1080:Q1080" si="1084">rank(I1080,I:I)</f>
        <v>855</v>
      </c>
      <c r="P1080" s="163">
        <f t="shared" si="1084"/>
        <v>290</v>
      </c>
      <c r="Q1080" s="163">
        <f t="shared" si="1084"/>
        <v>823</v>
      </c>
      <c r="R1080" s="163">
        <f>IFERROR(__xludf.DUMMYFUNCTION("RANK(M1080,filter(M:M,C:C=C1080))"),23.0)</f>
        <v>23</v>
      </c>
      <c r="S1080" s="161" t="b">
        <f t="shared" si="5"/>
        <v>0</v>
      </c>
      <c r="T1080" s="161" t="b">
        <f t="array" ref="T1080">index('Query Tool'!B:B,match(H1080,'Query Tool'!C:C,0))</f>
        <v>1</v>
      </c>
      <c r="U1080" s="161" t="b">
        <f t="array" ref="U1080">index('Query Tool'!B:B,match(C1080,'Query Tool'!C:C,0))</f>
        <v>0</v>
      </c>
      <c r="V1080" s="161" t="b">
        <f>F1080&gt;='Query Tool'!C$32</f>
        <v>1</v>
      </c>
      <c r="W1080" s="161" t="b">
        <f t="array" ref="W1080">index(Dropdowns!B:B,match(I1080,Dropdowns!A:A,0))</f>
        <v>1</v>
      </c>
      <c r="X1080" s="161" t="b">
        <f t="array" ref="X1080">index('Query Tool'!B:B,match(D1080,'Query Tool'!C:C,0))</f>
        <v>1</v>
      </c>
      <c r="Y1080" s="161" t="str">
        <f t="shared" si="6"/>
        <v>horfoal01,2015-16</v>
      </c>
      <c r="Z1080" s="168">
        <f t="array" ref="Z1080">iferror(index(I:I,match($A1080&amp;","&amp;index('Year Conversion'!$A:$A,match($C1080,'Year Conversion'!$B:$B,0)),$Y:$Y,0))-I1080,"")</f>
        <v>1</v>
      </c>
      <c r="AA1080" s="168">
        <f t="array" ref="AA1080">iferror(index(J:J,match($A1080&amp;","&amp;index('Year Conversion'!$A:$A,match($C1080,'Year Conversion'!$B:$B,0)),$Y:$Y,0))-J1080,"")</f>
        <v>-1.071249325</v>
      </c>
      <c r="AB1080" s="168">
        <f t="array" ref="AB1080">iferror(index(K:K,match($A1080&amp;","&amp;index('Year Conversion'!$A:$A,match($C1080,'Year Conversion'!$B:$B,0)),$Y:$Y,0))-K1080,"")</f>
        <v>0.005531812218</v>
      </c>
      <c r="AC1080" s="168" t="str">
        <f t="shared" si="7"/>
        <v>ATL,2015-16</v>
      </c>
    </row>
    <row r="1081">
      <c r="A1081" s="161" t="str">
        <f>IFERROR(__xludf.DUMMYFUNCTION("""COMPUTED_VALUE"""),"conlemi01")</f>
        <v>conlemi01</v>
      </c>
      <c r="B1081" s="161" t="str">
        <f>IFERROR(__xludf.DUMMYFUNCTION("""COMPUTED_VALUE"""),"Mike Conley")</f>
        <v>Mike Conley</v>
      </c>
      <c r="C1081" s="162" t="str">
        <f>IFERROR(__xludf.DUMMYFUNCTION("""COMPUTED_VALUE"""),"2015-16")</f>
        <v>2015-16</v>
      </c>
      <c r="D1081" s="163" t="str">
        <f>IFERROR(__xludf.DUMMYFUNCTION("""COMPUTED_VALUE"""),"MEM")</f>
        <v>MEM</v>
      </c>
      <c r="E1081" s="164" t="str">
        <f>IFERROR(__xludf.DUMMYFUNCTION("""COMPUTED_VALUE"""),"Primary Ball Handler")</f>
        <v>Primary Ball Handler</v>
      </c>
      <c r="F1081" s="164">
        <f>IFERROR(__xludf.DUMMYFUNCTION("""COMPUTED_VALUE"""),1760.51166666667)</f>
        <v>1760.511667</v>
      </c>
      <c r="G1081" s="163">
        <f>IFERROR(__xludf.DUMMYFUNCTION("""COMPUTED_VALUE"""),56.0)</f>
        <v>56</v>
      </c>
      <c r="H1081" s="163" t="str">
        <f>IFERROR(__xludf.DUMMYFUNCTION("""COMPUTED_VALUE"""),"PG")</f>
        <v>PG</v>
      </c>
      <c r="I1081" s="163">
        <f>IFERROR(__xludf.DUMMYFUNCTION("""COMPUTED_VALUE"""),28.0)</f>
        <v>28</v>
      </c>
      <c r="J1081" s="165">
        <f>IFERROR(__xludf.DUMMYFUNCTION("""COMPUTED_VALUE"""),2.75849171527509)</f>
        <v>2.758491715</v>
      </c>
      <c r="K1081" s="165">
        <f>IFERROR(__xludf.DUMMYFUNCTION("""COMPUTED_VALUE"""),2.59380256443947)</f>
        <v>2.593802564</v>
      </c>
      <c r="L1081" s="165">
        <f>IFERROR(__xludf.DUMMYFUNCTION("""COMPUTED_VALUE"""),0.164689150835615)</f>
        <v>0.1646891508</v>
      </c>
      <c r="M1081" s="166">
        <f t="shared" si="2"/>
        <v>5.954051441</v>
      </c>
      <c r="N1081" s="167">
        <f t="shared" si="3"/>
        <v>31.43770833</v>
      </c>
      <c r="O1081" s="163">
        <f t="shared" ref="O1081:Q1081" si="1085">rank(I1081,I:I)</f>
        <v>1090</v>
      </c>
      <c r="P1081" s="163">
        <f t="shared" si="1085"/>
        <v>197</v>
      </c>
      <c r="Q1081" s="163">
        <f t="shared" si="1085"/>
        <v>147</v>
      </c>
      <c r="R1081" s="163">
        <f>IFERROR(__xludf.DUMMYFUNCTION("RANK(M1081,filter(M:M,C:C=C1081))"),46.0)</f>
        <v>46</v>
      </c>
      <c r="S1081" s="161" t="b">
        <f t="shared" si="5"/>
        <v>0</v>
      </c>
      <c r="T1081" s="161" t="b">
        <f t="array" ref="T1081">index('Query Tool'!B:B,match(H1081,'Query Tool'!C:C,0))</f>
        <v>1</v>
      </c>
      <c r="U1081" s="161" t="b">
        <f t="array" ref="U1081">index('Query Tool'!B:B,match(C1081,'Query Tool'!C:C,0))</f>
        <v>0</v>
      </c>
      <c r="V1081" s="161" t="b">
        <f>F1081&gt;='Query Tool'!C$32</f>
        <v>1</v>
      </c>
      <c r="W1081" s="161" t="b">
        <f t="array" ref="W1081">index(Dropdowns!B:B,match(I1081,Dropdowns!A:A,0))</f>
        <v>1</v>
      </c>
      <c r="X1081" s="161" t="b">
        <f t="array" ref="X1081">index('Query Tool'!B:B,match(D1081,'Query Tool'!C:C,0))</f>
        <v>1</v>
      </c>
      <c r="Y1081" s="161" t="str">
        <f t="shared" si="6"/>
        <v>conlemi01,2015-16</v>
      </c>
      <c r="Z1081" s="168">
        <f t="array" ref="Z1081">iferror(index(I:I,match($A1081&amp;","&amp;index('Year Conversion'!$A:$A,match($C1081,'Year Conversion'!$B:$B,0)),$Y:$Y,0))-I1081,"")</f>
        <v>1</v>
      </c>
      <c r="AA1081" s="168">
        <f t="array" ref="AA1081">iferror(index(J:J,match($A1081&amp;","&amp;index('Year Conversion'!$A:$A,match($C1081,'Year Conversion'!$B:$B,0)),$Y:$Y,0))-J1081,"")</f>
        <v>1.013247879</v>
      </c>
      <c r="AB1081" s="168">
        <f t="array" ref="AB1081">iferror(index(K:K,match($A1081&amp;","&amp;index('Year Conversion'!$A:$A,match($C1081,'Year Conversion'!$B:$B,0)),$Y:$Y,0))-K1081,"")</f>
        <v>1.364621536</v>
      </c>
      <c r="AC1081" s="168" t="str">
        <f t="shared" si="7"/>
        <v>MEM,2015-16</v>
      </c>
    </row>
    <row r="1082">
      <c r="A1082" s="161" t="str">
        <f>IFERROR(__xludf.DUMMYFUNCTION("""COMPUTED_VALUE"""),"greenje02")</f>
        <v>greenje02</v>
      </c>
      <c r="B1082" s="161" t="str">
        <f>IFERROR(__xludf.DUMMYFUNCTION("""COMPUTED_VALUE"""),"Jeff Green")</f>
        <v>Jeff Green</v>
      </c>
      <c r="C1082" s="162" t="str">
        <f>IFERROR(__xludf.DUMMYFUNCTION("""COMPUTED_VALUE"""),"2015-16")</f>
        <v>2015-16</v>
      </c>
      <c r="D1082" s="163" t="str">
        <f>IFERROR(__xludf.DUMMYFUNCTION("""COMPUTED_VALUE"""),"TOT")</f>
        <v>TOT</v>
      </c>
      <c r="E1082" s="164" t="str">
        <f>IFERROR(__xludf.DUMMYFUNCTION("""COMPUTED_VALUE"""),"Shot Creator")</f>
        <v>Shot Creator</v>
      </c>
      <c r="F1082" s="164">
        <f>IFERROR(__xludf.DUMMYFUNCTION("""COMPUTED_VALUE"""),2253.245)</f>
        <v>2253.245</v>
      </c>
      <c r="G1082" s="163">
        <f>IFERROR(__xludf.DUMMYFUNCTION("""COMPUTED_VALUE"""),80.0)</f>
        <v>80</v>
      </c>
      <c r="H1082" s="163" t="str">
        <f>IFERROR(__xludf.DUMMYFUNCTION("""COMPUTED_VALUE"""),"SF")</f>
        <v>SF</v>
      </c>
      <c r="I1082" s="163">
        <f>IFERROR(__xludf.DUMMYFUNCTION("""COMPUTED_VALUE"""),29.0)</f>
        <v>29</v>
      </c>
      <c r="J1082" s="165">
        <f>IFERROR(__xludf.DUMMYFUNCTION("""COMPUTED_VALUE"""),-1.66313715266229)</f>
        <v>-1.663137153</v>
      </c>
      <c r="K1082" s="165">
        <f>IFERROR(__xludf.DUMMYFUNCTION("""COMPUTED_VALUE"""),-1.01671916192831)</f>
        <v>-1.016719162</v>
      </c>
      <c r="L1082" s="165">
        <f>IFERROR(__xludf.DUMMYFUNCTION("""COMPUTED_VALUE"""),-0.646417990733983)</f>
        <v>-0.6464179907</v>
      </c>
      <c r="M1082" s="166">
        <f t="shared" si="2"/>
        <v>0.9569200167</v>
      </c>
      <c r="N1082" s="167">
        <f t="shared" si="3"/>
        <v>28.1655625</v>
      </c>
      <c r="O1082" s="163">
        <f t="shared" ref="O1082:Q1082" si="1086">rank(I1082,I:I)</f>
        <v>855</v>
      </c>
      <c r="P1082" s="163">
        <f t="shared" si="1086"/>
        <v>3205</v>
      </c>
      <c r="Q1082" s="163">
        <f t="shared" si="1086"/>
        <v>2828</v>
      </c>
      <c r="R1082" s="163">
        <f>IFERROR(__xludf.DUMMYFUNCTION("RANK(M1082,filter(M:M,C:C=C1082))"),222.0)</f>
        <v>222</v>
      </c>
      <c r="S1082" s="161" t="b">
        <f t="shared" si="5"/>
        <v>0</v>
      </c>
      <c r="T1082" s="161" t="b">
        <f t="array" ref="T1082">index('Query Tool'!B:B,match(H1082,'Query Tool'!C:C,0))</f>
        <v>1</v>
      </c>
      <c r="U1082" s="161" t="b">
        <f t="array" ref="U1082">index('Query Tool'!B:B,match(C1082,'Query Tool'!C:C,0))</f>
        <v>0</v>
      </c>
      <c r="V1082" s="161" t="b">
        <f>F1082&gt;='Query Tool'!C$32</f>
        <v>1</v>
      </c>
      <c r="W1082" s="161" t="b">
        <f t="array" ref="W1082">index(Dropdowns!B:B,match(I1082,Dropdowns!A:A,0))</f>
        <v>1</v>
      </c>
      <c r="X1082" s="161" t="b">
        <f t="array" ref="X1082">index('Query Tool'!B:B,match(D1082,'Query Tool'!C:C,0))</f>
        <v>1</v>
      </c>
      <c r="Y1082" s="161" t="str">
        <f t="shared" si="6"/>
        <v>greenje02,2015-16</v>
      </c>
      <c r="Z1082" s="168">
        <f t="array" ref="Z1082">iferror(index(I:I,match($A1082&amp;","&amp;index('Year Conversion'!$A:$A,match($C1082,'Year Conversion'!$B:$B,0)),$Y:$Y,0))-I1082,"")</f>
        <v>1</v>
      </c>
      <c r="AA1082" s="168">
        <f t="array" ref="AA1082">iferror(index(J:J,match($A1082&amp;","&amp;index('Year Conversion'!$A:$A,match($C1082,'Year Conversion'!$B:$B,0)),$Y:$Y,0))-J1082,"")</f>
        <v>-0.9894810301</v>
      </c>
      <c r="AB1082" s="168">
        <f t="array" ref="AB1082">iferror(index(K:K,match($A1082&amp;","&amp;index('Year Conversion'!$A:$A,match($C1082,'Year Conversion'!$B:$B,0)),$Y:$Y,0))-K1082,"")</f>
        <v>-0.815949936</v>
      </c>
      <c r="AC1082" s="168" t="str">
        <f t="shared" si="7"/>
        <v>TOT,2015-16</v>
      </c>
    </row>
    <row r="1083">
      <c r="A1083" s="161" t="str">
        <f>IFERROR(__xludf.DUMMYFUNCTION("""COMPUTED_VALUE"""),"breweco01")</f>
        <v>breweco01</v>
      </c>
      <c r="B1083" s="161" t="str">
        <f>IFERROR(__xludf.DUMMYFUNCTION("""COMPUTED_VALUE"""),"Corey Brewer")</f>
        <v>Corey Brewer</v>
      </c>
      <c r="C1083" s="162" t="str">
        <f>IFERROR(__xludf.DUMMYFUNCTION("""COMPUTED_VALUE"""),"2015-16")</f>
        <v>2015-16</v>
      </c>
      <c r="D1083" s="163" t="str">
        <f>IFERROR(__xludf.DUMMYFUNCTION("""COMPUTED_VALUE"""),"HOU")</f>
        <v>HOU</v>
      </c>
      <c r="E1083" s="164" t="str">
        <f>IFERROR(__xludf.DUMMYFUNCTION("""COMPUTED_VALUE"""),"Stationary Shooter")</f>
        <v>Stationary Shooter</v>
      </c>
      <c r="F1083" s="164">
        <f>IFERROR(__xludf.DUMMYFUNCTION("""COMPUTED_VALUE"""),1668.88333333333)</f>
        <v>1668.883333</v>
      </c>
      <c r="G1083" s="163">
        <f>IFERROR(__xludf.DUMMYFUNCTION("""COMPUTED_VALUE"""),82.0)</f>
        <v>82</v>
      </c>
      <c r="H1083" s="163" t="str">
        <f>IFERROR(__xludf.DUMMYFUNCTION("""COMPUTED_VALUE"""),"SF")</f>
        <v>SF</v>
      </c>
      <c r="I1083" s="163">
        <f>IFERROR(__xludf.DUMMYFUNCTION("""COMPUTED_VALUE"""),29.0)</f>
        <v>29</v>
      </c>
      <c r="J1083" s="165">
        <f>IFERROR(__xludf.DUMMYFUNCTION("""COMPUTED_VALUE"""),-1.22663821400767)</f>
        <v>-1.226638214</v>
      </c>
      <c r="K1083" s="165">
        <f>IFERROR(__xludf.DUMMYFUNCTION("""COMPUTED_VALUE"""),-0.733493929043489)</f>
        <v>-0.733493929</v>
      </c>
      <c r="L1083" s="165">
        <f>IFERROR(__xludf.DUMMYFUNCTION("""COMPUTED_VALUE"""),-0.493144284964184)</f>
        <v>-0.493144285</v>
      </c>
      <c r="M1083" s="166">
        <f t="shared" si="2"/>
        <v>1.195594599</v>
      </c>
      <c r="N1083" s="167">
        <f t="shared" si="3"/>
        <v>20.35223577</v>
      </c>
      <c r="O1083" s="163">
        <f t="shared" ref="O1083:Q1083" si="1087">rank(I1083,I:I)</f>
        <v>855</v>
      </c>
      <c r="P1083" s="163">
        <f t="shared" si="1087"/>
        <v>2784</v>
      </c>
      <c r="Q1083" s="163">
        <f t="shared" si="1087"/>
        <v>2459</v>
      </c>
      <c r="R1083" s="163">
        <f>IFERROR(__xludf.DUMMYFUNCTION("RANK(M1083,filter(M:M,C:C=C1083))"),207.0)</f>
        <v>207</v>
      </c>
      <c r="S1083" s="161" t="b">
        <f t="shared" si="5"/>
        <v>0</v>
      </c>
      <c r="T1083" s="161" t="b">
        <f t="array" ref="T1083">index('Query Tool'!B:B,match(H1083,'Query Tool'!C:C,0))</f>
        <v>1</v>
      </c>
      <c r="U1083" s="161" t="b">
        <f t="array" ref="U1083">index('Query Tool'!B:B,match(C1083,'Query Tool'!C:C,0))</f>
        <v>0</v>
      </c>
      <c r="V1083" s="161" t="b">
        <f>F1083&gt;='Query Tool'!C$32</f>
        <v>1</v>
      </c>
      <c r="W1083" s="161" t="b">
        <f t="array" ref="W1083">index(Dropdowns!B:B,match(I1083,Dropdowns!A:A,0))</f>
        <v>1</v>
      </c>
      <c r="X1083" s="161" t="b">
        <f t="array" ref="X1083">index('Query Tool'!B:B,match(D1083,'Query Tool'!C:C,0))</f>
        <v>1</v>
      </c>
      <c r="Y1083" s="161" t="str">
        <f t="shared" si="6"/>
        <v>breweco01,2015-16</v>
      </c>
      <c r="Z1083" s="168">
        <f t="array" ref="Z1083">iferror(index(I:I,match($A1083&amp;","&amp;index('Year Conversion'!$A:$A,match($C1083,'Year Conversion'!$B:$B,0)),$Y:$Y,0))-I1083,"")</f>
        <v>1</v>
      </c>
      <c r="AA1083" s="168">
        <f t="array" ref="AA1083">iferror(index(J:J,match($A1083&amp;","&amp;index('Year Conversion'!$A:$A,match($C1083,'Year Conversion'!$B:$B,0)),$Y:$Y,0))-J1083,"")</f>
        <v>0.3104644799</v>
      </c>
      <c r="AB1083" s="168">
        <f t="array" ref="AB1083">iferror(index(K:K,match($A1083&amp;","&amp;index('Year Conversion'!$A:$A,match($C1083,'Year Conversion'!$B:$B,0)),$Y:$Y,0))-K1083,"")</f>
        <v>-0.7934545275</v>
      </c>
      <c r="AC1083" s="168" t="str">
        <f t="shared" si="7"/>
        <v>HOU,2015-16</v>
      </c>
    </row>
    <row r="1084">
      <c r="A1084" s="161" t="str">
        <f>IFERROR(__xludf.DUMMYFUNCTION("""COMPUTED_VALUE"""),"wrighbr03")</f>
        <v>wrighbr03</v>
      </c>
      <c r="B1084" s="161" t="str">
        <f>IFERROR(__xludf.DUMMYFUNCTION("""COMPUTED_VALUE"""),"Brandan Wright")</f>
        <v>Brandan Wright</v>
      </c>
      <c r="C1084" s="162" t="str">
        <f>IFERROR(__xludf.DUMMYFUNCTION("""COMPUTED_VALUE"""),"2015-16")</f>
        <v>2015-16</v>
      </c>
      <c r="D1084" s="163" t="str">
        <f>IFERROR(__xludf.DUMMYFUNCTION("""COMPUTED_VALUE"""),"MEM")</f>
        <v>MEM</v>
      </c>
      <c r="E1084" s="164" t="str">
        <f>IFERROR(__xludf.DUMMYFUNCTION("""COMPUTED_VALUE"""),"Roll + Cut Big")</f>
        <v>Roll + Cut Big</v>
      </c>
      <c r="F1084" s="164">
        <f>IFERROR(__xludf.DUMMYFUNCTION("""COMPUTED_VALUE"""),212.123333333333)</f>
        <v>212.1233333</v>
      </c>
      <c r="G1084" s="163">
        <f>IFERROR(__xludf.DUMMYFUNCTION("""COMPUTED_VALUE"""),12.0)</f>
        <v>12</v>
      </c>
      <c r="H1084" s="163" t="str">
        <f>IFERROR(__xludf.DUMMYFUNCTION("""COMPUTED_VALUE"""),"PF")</f>
        <v>PF</v>
      </c>
      <c r="I1084" s="163">
        <f>IFERROR(__xludf.DUMMYFUNCTION("""COMPUTED_VALUE"""),28.0)</f>
        <v>28</v>
      </c>
      <c r="J1084" s="165">
        <f>IFERROR(__xludf.DUMMYFUNCTION("""COMPUTED_VALUE"""),-0.647766388485444)</f>
        <v>-0.6477663885</v>
      </c>
      <c r="K1084" s="165">
        <f>IFERROR(__xludf.DUMMYFUNCTION("""COMPUTED_VALUE"""),-0.961962510584668)</f>
        <v>-0.9619625106</v>
      </c>
      <c r="L1084" s="165">
        <f>IFERROR(__xludf.DUMMYFUNCTION("""COMPUTED_VALUE"""),0.314196122099224)</f>
        <v>0.3141961221</v>
      </c>
      <c r="M1084" s="166">
        <f t="shared" si="2"/>
        <v>0.2344394612</v>
      </c>
      <c r="N1084" s="167">
        <f t="shared" si="3"/>
        <v>17.67694444</v>
      </c>
      <c r="O1084" s="163">
        <f t="shared" ref="O1084:Q1084" si="1088">rank(I1084,I:I)</f>
        <v>1090</v>
      </c>
      <c r="P1084" s="163">
        <f t="shared" si="1088"/>
        <v>2063</v>
      </c>
      <c r="Q1084" s="163">
        <f t="shared" si="1088"/>
        <v>2761</v>
      </c>
      <c r="R1084" s="163">
        <f>IFERROR(__xludf.DUMMYFUNCTION("RANK(M1084,filter(M:M,C:C=C1084))"),334.0)</f>
        <v>334</v>
      </c>
      <c r="S1084" s="161" t="b">
        <f t="shared" si="5"/>
        <v>0</v>
      </c>
      <c r="T1084" s="161" t="b">
        <f t="array" ref="T1084">index('Query Tool'!B:B,match(H1084,'Query Tool'!C:C,0))</f>
        <v>1</v>
      </c>
      <c r="U1084" s="161" t="b">
        <f t="array" ref="U1084">index('Query Tool'!B:B,match(C1084,'Query Tool'!C:C,0))</f>
        <v>0</v>
      </c>
      <c r="V1084" s="161" t="b">
        <f>F1084&gt;='Query Tool'!C$32</f>
        <v>0</v>
      </c>
      <c r="W1084" s="161" t="b">
        <f t="array" ref="W1084">index(Dropdowns!B:B,match(I1084,Dropdowns!A:A,0))</f>
        <v>1</v>
      </c>
      <c r="X1084" s="161" t="b">
        <f t="array" ref="X1084">index('Query Tool'!B:B,match(D1084,'Query Tool'!C:C,0))</f>
        <v>1</v>
      </c>
      <c r="Y1084" s="161" t="str">
        <f t="shared" si="6"/>
        <v>wrighbr03,2015-16</v>
      </c>
      <c r="Z1084" s="168">
        <f t="array" ref="Z1084">iferror(index(I:I,match($A1084&amp;","&amp;index('Year Conversion'!$A:$A,match($C1084,'Year Conversion'!$B:$B,0)),$Y:$Y,0))-I1084,"")</f>
        <v>1</v>
      </c>
      <c r="AA1084" s="168">
        <f t="array" ref="AA1084">iferror(index(J:J,match($A1084&amp;","&amp;index('Year Conversion'!$A:$A,match($C1084,'Year Conversion'!$B:$B,0)),$Y:$Y,0))-J1084,"")</f>
        <v>0.1793221595</v>
      </c>
      <c r="AB1084" s="168">
        <f t="array" ref="AB1084">iferror(index(K:K,match($A1084&amp;","&amp;index('Year Conversion'!$A:$A,match($C1084,'Year Conversion'!$B:$B,0)),$Y:$Y,0))-K1084,"")</f>
        <v>0.1497468571</v>
      </c>
      <c r="AC1084" s="168" t="str">
        <f t="shared" si="7"/>
        <v>MEM,2015-16</v>
      </c>
    </row>
    <row r="1085">
      <c r="A1085" s="161" t="str">
        <f>IFERROR(__xludf.DUMMYFUNCTION("""COMPUTED_VALUE"""),"noahjo01")</f>
        <v>noahjo01</v>
      </c>
      <c r="B1085" s="161" t="str">
        <f>IFERROR(__xludf.DUMMYFUNCTION("""COMPUTED_VALUE"""),"Joakim Noah")</f>
        <v>Joakim Noah</v>
      </c>
      <c r="C1085" s="162" t="str">
        <f>IFERROR(__xludf.DUMMYFUNCTION("""COMPUTED_VALUE"""),"2015-16")</f>
        <v>2015-16</v>
      </c>
      <c r="D1085" s="163" t="str">
        <f>IFERROR(__xludf.DUMMYFUNCTION("""COMPUTED_VALUE"""),"CHI")</f>
        <v>CHI</v>
      </c>
      <c r="E1085" s="164" t="str">
        <f>IFERROR(__xludf.DUMMYFUNCTION("""COMPUTED_VALUE"""),"Roll + Cut Big")</f>
        <v>Roll + Cut Big</v>
      </c>
      <c r="F1085" s="164">
        <f>IFERROR(__xludf.DUMMYFUNCTION("""COMPUTED_VALUE"""),635.423333333333)</f>
        <v>635.4233333</v>
      </c>
      <c r="G1085" s="163">
        <f>IFERROR(__xludf.DUMMYFUNCTION("""COMPUTED_VALUE"""),29.0)</f>
        <v>29</v>
      </c>
      <c r="H1085" s="163" t="str">
        <f>IFERROR(__xludf.DUMMYFUNCTION("""COMPUTED_VALUE"""),"C")</f>
        <v>C</v>
      </c>
      <c r="I1085" s="163">
        <f>IFERROR(__xludf.DUMMYFUNCTION("""COMPUTED_VALUE"""),30.0)</f>
        <v>30</v>
      </c>
      <c r="J1085" s="165">
        <f>IFERROR(__xludf.DUMMYFUNCTION("""COMPUTED_VALUE"""),0.810359998031082)</f>
        <v>0.810359998</v>
      </c>
      <c r="K1085" s="165">
        <f>IFERROR(__xludf.DUMMYFUNCTION("""COMPUTED_VALUE"""),-0.998181084918635)</f>
        <v>-0.9981810849</v>
      </c>
      <c r="L1085" s="165">
        <f>IFERROR(__xludf.DUMMYFUNCTION("""COMPUTED_VALUE"""),1.80854108294972)</f>
        <v>1.808541083</v>
      </c>
      <c r="M1085" s="166">
        <f t="shared" si="2"/>
        <v>1.326449558</v>
      </c>
      <c r="N1085" s="167">
        <f t="shared" si="3"/>
        <v>21.91114943</v>
      </c>
      <c r="O1085" s="163">
        <f t="shared" ref="O1085:Q1085" si="1089">rank(I1085,I:I)</f>
        <v>655</v>
      </c>
      <c r="P1085" s="163">
        <f t="shared" si="1089"/>
        <v>735</v>
      </c>
      <c r="Q1085" s="163">
        <f t="shared" si="1089"/>
        <v>2800</v>
      </c>
      <c r="R1085" s="163">
        <f>IFERROR(__xludf.DUMMYFUNCTION("RANK(M1085,filter(M:M,C:C=C1085))"),199.0)</f>
        <v>199</v>
      </c>
      <c r="S1085" s="161" t="b">
        <f t="shared" si="5"/>
        <v>0</v>
      </c>
      <c r="T1085" s="161" t="b">
        <f t="array" ref="T1085">index('Query Tool'!B:B,match(H1085,'Query Tool'!C:C,0))</f>
        <v>1</v>
      </c>
      <c r="U1085" s="161" t="b">
        <f t="array" ref="U1085">index('Query Tool'!B:B,match(C1085,'Query Tool'!C:C,0))</f>
        <v>0</v>
      </c>
      <c r="V1085" s="161" t="b">
        <f>F1085&gt;='Query Tool'!C$32</f>
        <v>1</v>
      </c>
      <c r="W1085" s="161" t="b">
        <f t="array" ref="W1085">index(Dropdowns!B:B,match(I1085,Dropdowns!A:A,0))</f>
        <v>1</v>
      </c>
      <c r="X1085" s="161" t="b">
        <f t="array" ref="X1085">index('Query Tool'!B:B,match(D1085,'Query Tool'!C:C,0))</f>
        <v>1</v>
      </c>
      <c r="Y1085" s="161" t="str">
        <f t="shared" si="6"/>
        <v>noahjo01,2015-16</v>
      </c>
      <c r="Z1085" s="168">
        <f t="array" ref="Z1085">iferror(index(I:I,match($A1085&amp;","&amp;index('Year Conversion'!$A:$A,match($C1085,'Year Conversion'!$B:$B,0)),$Y:$Y,0))-I1085,"")</f>
        <v>1</v>
      </c>
      <c r="AA1085" s="168">
        <f t="array" ref="AA1085">iferror(index(J:J,match($A1085&amp;","&amp;index('Year Conversion'!$A:$A,match($C1085,'Year Conversion'!$B:$B,0)),$Y:$Y,0))-J1085,"")</f>
        <v>-0.5137767247</v>
      </c>
      <c r="AB1085" s="168">
        <f t="array" ref="AB1085">iferror(index(K:K,match($A1085&amp;","&amp;index('Year Conversion'!$A:$A,match($C1085,'Year Conversion'!$B:$B,0)),$Y:$Y,0))-K1085,"")</f>
        <v>0.004233723216</v>
      </c>
      <c r="AC1085" s="168" t="str">
        <f t="shared" si="7"/>
        <v>CHI,2015-16</v>
      </c>
    </row>
    <row r="1086">
      <c r="A1086" s="161" t="str">
        <f>IFERROR(__xludf.DUMMYFUNCTION("""COMPUTED_VALUE"""),"hawessp01")</f>
        <v>hawessp01</v>
      </c>
      <c r="B1086" s="161" t="str">
        <f>IFERROR(__xludf.DUMMYFUNCTION("""COMPUTED_VALUE"""),"Spencer Hawes")</f>
        <v>Spencer Hawes</v>
      </c>
      <c r="C1086" s="162" t="str">
        <f>IFERROR(__xludf.DUMMYFUNCTION("""COMPUTED_VALUE"""),"2015-16")</f>
        <v>2015-16</v>
      </c>
      <c r="D1086" s="163" t="str">
        <f>IFERROR(__xludf.DUMMYFUNCTION("""COMPUTED_VALUE"""),"CHO")</f>
        <v>CHO</v>
      </c>
      <c r="E1086" s="164" t="str">
        <f>IFERROR(__xludf.DUMMYFUNCTION("""COMPUTED_VALUE"""),"Stretch Big")</f>
        <v>Stretch Big</v>
      </c>
      <c r="F1086" s="164">
        <f>IFERROR(__xludf.DUMMYFUNCTION("""COMPUTED_VALUE"""),1035.00333333333)</f>
        <v>1035.003333</v>
      </c>
      <c r="G1086" s="163">
        <f>IFERROR(__xludf.DUMMYFUNCTION("""COMPUTED_VALUE"""),57.0)</f>
        <v>57</v>
      </c>
      <c r="H1086" s="163" t="str">
        <f>IFERROR(__xludf.DUMMYFUNCTION("""COMPUTED_VALUE"""),"PF")</f>
        <v>PF</v>
      </c>
      <c r="I1086" s="163">
        <f>IFERROR(__xludf.DUMMYFUNCTION("""COMPUTED_VALUE"""),27.0)</f>
        <v>27</v>
      </c>
      <c r="J1086" s="165">
        <f>IFERROR(__xludf.DUMMYFUNCTION("""COMPUTED_VALUE"""),-0.857579779433322)</f>
        <v>-0.8575797794</v>
      </c>
      <c r="K1086" s="165">
        <f>IFERROR(__xludf.DUMMYFUNCTION("""COMPUTED_VALUE"""),-1.73165827603576)</f>
        <v>-1.731658276</v>
      </c>
      <c r="L1086" s="165">
        <f>IFERROR(__xludf.DUMMYFUNCTION("""COMPUTED_VALUE"""),0.874078496602434)</f>
        <v>0.8740784966</v>
      </c>
      <c r="M1086" s="166">
        <f t="shared" si="2"/>
        <v>0.9978312796</v>
      </c>
      <c r="N1086" s="167">
        <f t="shared" si="3"/>
        <v>18.15795322</v>
      </c>
      <c r="O1086" s="163">
        <f t="shared" ref="O1086:Q1086" si="1090">rank(I1086,I:I)</f>
        <v>1366</v>
      </c>
      <c r="P1086" s="163">
        <f t="shared" si="1090"/>
        <v>2352</v>
      </c>
      <c r="Q1086" s="163">
        <f t="shared" si="1090"/>
        <v>3539</v>
      </c>
      <c r="R1086" s="163">
        <f>IFERROR(__xludf.DUMMYFUNCTION("RANK(M1086,filter(M:M,C:C=C1086))"),219.0)</f>
        <v>219</v>
      </c>
      <c r="S1086" s="161" t="b">
        <f t="shared" si="5"/>
        <v>0</v>
      </c>
      <c r="T1086" s="161" t="b">
        <f t="array" ref="T1086">index('Query Tool'!B:B,match(H1086,'Query Tool'!C:C,0))</f>
        <v>1</v>
      </c>
      <c r="U1086" s="161" t="b">
        <f t="array" ref="U1086">index('Query Tool'!B:B,match(C1086,'Query Tool'!C:C,0))</f>
        <v>0</v>
      </c>
      <c r="V1086" s="161" t="b">
        <f>F1086&gt;='Query Tool'!C$32</f>
        <v>1</v>
      </c>
      <c r="W1086" s="161" t="b">
        <f t="array" ref="W1086">index(Dropdowns!B:B,match(I1086,Dropdowns!A:A,0))</f>
        <v>1</v>
      </c>
      <c r="X1086" s="161" t="b">
        <f t="array" ref="X1086">index('Query Tool'!B:B,match(D1086,'Query Tool'!C:C,0))</f>
        <v>1</v>
      </c>
      <c r="Y1086" s="161" t="str">
        <f t="shared" si="6"/>
        <v>hawessp01,2015-16</v>
      </c>
      <c r="Z1086" s="168">
        <f t="array" ref="Z1086">iferror(index(I:I,match($A1086&amp;","&amp;index('Year Conversion'!$A:$A,match($C1086,'Year Conversion'!$B:$B,0)),$Y:$Y,0))-I1086,"")</f>
        <v>1</v>
      </c>
      <c r="AA1086" s="168">
        <f t="array" ref="AA1086">iferror(index(J:J,match($A1086&amp;","&amp;index('Year Conversion'!$A:$A,match($C1086,'Year Conversion'!$B:$B,0)),$Y:$Y,0))-J1086,"")</f>
        <v>-0.6795620519</v>
      </c>
      <c r="AB1086" s="168">
        <f t="array" ref="AB1086">iferror(index(K:K,match($A1086&amp;","&amp;index('Year Conversion'!$A:$A,match($C1086,'Year Conversion'!$B:$B,0)),$Y:$Y,0))-K1086,"")</f>
        <v>0.6170054227</v>
      </c>
      <c r="AC1086" s="168" t="str">
        <f t="shared" si="7"/>
        <v>CHO,2015-16</v>
      </c>
    </row>
    <row r="1087">
      <c r="A1087" s="161" t="str">
        <f>IFERROR(__xludf.DUMMYFUNCTION("""COMPUTED_VALUE"""),"youngth01")</f>
        <v>youngth01</v>
      </c>
      <c r="B1087" s="161" t="str">
        <f>IFERROR(__xludf.DUMMYFUNCTION("""COMPUTED_VALUE"""),"Thaddeus Young")</f>
        <v>Thaddeus Young</v>
      </c>
      <c r="C1087" s="162" t="str">
        <f>IFERROR(__xludf.DUMMYFUNCTION("""COMPUTED_VALUE"""),"2015-16")</f>
        <v>2015-16</v>
      </c>
      <c r="D1087" s="163" t="str">
        <f>IFERROR(__xludf.DUMMYFUNCTION("""COMPUTED_VALUE"""),"BRK")</f>
        <v>BRK</v>
      </c>
      <c r="E1087" s="164" t="str">
        <f>IFERROR(__xludf.DUMMYFUNCTION("""COMPUTED_VALUE"""),"Post Scorer")</f>
        <v>Post Scorer</v>
      </c>
      <c r="F1087" s="164">
        <f>IFERROR(__xludf.DUMMYFUNCTION("""COMPUTED_VALUE"""),2407.41833333333)</f>
        <v>2407.418333</v>
      </c>
      <c r="G1087" s="163">
        <f>IFERROR(__xludf.DUMMYFUNCTION("""COMPUTED_VALUE"""),73.0)</f>
        <v>73</v>
      </c>
      <c r="H1087" s="163" t="str">
        <f>IFERROR(__xludf.DUMMYFUNCTION("""COMPUTED_VALUE"""),"PF")</f>
        <v>PF</v>
      </c>
      <c r="I1087" s="163">
        <f>IFERROR(__xludf.DUMMYFUNCTION("""COMPUTED_VALUE"""),27.0)</f>
        <v>27</v>
      </c>
      <c r="J1087" s="165">
        <f>IFERROR(__xludf.DUMMYFUNCTION("""COMPUTED_VALUE"""),-0.533444728816201)</f>
        <v>-0.5334447288</v>
      </c>
      <c r="K1087" s="165">
        <f>IFERROR(__xludf.DUMMYFUNCTION("""COMPUTED_VALUE"""),-0.291827699429518)</f>
        <v>-0.2918276994</v>
      </c>
      <c r="L1087" s="165">
        <f>IFERROR(__xludf.DUMMYFUNCTION("""COMPUTED_VALUE"""),-0.241617029386683)</f>
        <v>-0.2416170294</v>
      </c>
      <c r="M1087" s="166">
        <f t="shared" si="2"/>
        <v>2.84596754</v>
      </c>
      <c r="N1087" s="167">
        <f t="shared" si="3"/>
        <v>32.97833333</v>
      </c>
      <c r="O1087" s="163">
        <f t="shared" ref="O1087:Q1087" si="1091">rank(I1087,I:I)</f>
        <v>1366</v>
      </c>
      <c r="P1087" s="163">
        <f t="shared" si="1091"/>
        <v>1897</v>
      </c>
      <c r="Q1087" s="163">
        <f t="shared" si="1091"/>
        <v>1749</v>
      </c>
      <c r="R1087" s="163">
        <f>IFERROR(__xludf.DUMMYFUNCTION("RANK(M1087,filter(M:M,C:C=C1087))"),122.0)</f>
        <v>122</v>
      </c>
      <c r="S1087" s="161" t="b">
        <f t="shared" si="5"/>
        <v>0</v>
      </c>
      <c r="T1087" s="161" t="b">
        <f t="array" ref="T1087">index('Query Tool'!B:B,match(H1087,'Query Tool'!C:C,0))</f>
        <v>1</v>
      </c>
      <c r="U1087" s="161" t="b">
        <f t="array" ref="U1087">index('Query Tool'!B:B,match(C1087,'Query Tool'!C:C,0))</f>
        <v>0</v>
      </c>
      <c r="V1087" s="161" t="b">
        <f>F1087&gt;='Query Tool'!C$32</f>
        <v>1</v>
      </c>
      <c r="W1087" s="161" t="b">
        <f t="array" ref="W1087">index(Dropdowns!B:B,match(I1087,Dropdowns!A:A,0))</f>
        <v>1</v>
      </c>
      <c r="X1087" s="161" t="b">
        <f t="array" ref="X1087">index('Query Tool'!B:B,match(D1087,'Query Tool'!C:C,0))</f>
        <v>1</v>
      </c>
      <c r="Y1087" s="161" t="str">
        <f t="shared" si="6"/>
        <v>youngth01,2015-16</v>
      </c>
      <c r="Z1087" s="168">
        <f t="array" ref="Z1087">iferror(index(I:I,match($A1087&amp;","&amp;index('Year Conversion'!$A:$A,match($C1087,'Year Conversion'!$B:$B,0)),$Y:$Y,0))-I1087,"")</f>
        <v>1</v>
      </c>
      <c r="AA1087" s="168">
        <f t="array" ref="AA1087">iferror(index(J:J,match($A1087&amp;","&amp;index('Year Conversion'!$A:$A,match($C1087,'Year Conversion'!$B:$B,0)),$Y:$Y,0))-J1087,"")</f>
        <v>-0.5256320155</v>
      </c>
      <c r="AB1087" s="168">
        <f t="array" ref="AB1087">iferror(index(K:K,match($A1087&amp;","&amp;index('Year Conversion'!$A:$A,match($C1087,'Year Conversion'!$B:$B,0)),$Y:$Y,0))-K1087,"")</f>
        <v>-1.185717597</v>
      </c>
      <c r="AC1087" s="168" t="str">
        <f t="shared" si="7"/>
        <v>BRK,2015-16</v>
      </c>
    </row>
    <row r="1088">
      <c r="A1088" s="161" t="str">
        <f>IFERROR(__xludf.DUMMYFUNCTION("""COMPUTED_VALUE"""),"stuckro01")</f>
        <v>stuckro01</v>
      </c>
      <c r="B1088" s="161" t="str">
        <f>IFERROR(__xludf.DUMMYFUNCTION("""COMPUTED_VALUE"""),"Rodney Stuckey")</f>
        <v>Rodney Stuckey</v>
      </c>
      <c r="C1088" s="162" t="str">
        <f>IFERROR(__xludf.DUMMYFUNCTION("""COMPUTED_VALUE"""),"2015-16")</f>
        <v>2015-16</v>
      </c>
      <c r="D1088" s="163" t="str">
        <f>IFERROR(__xludf.DUMMYFUNCTION("""COMPUTED_VALUE"""),"IND")</f>
        <v>IND</v>
      </c>
      <c r="E1088" s="164" t="str">
        <f>IFERROR(__xludf.DUMMYFUNCTION("""COMPUTED_VALUE"""),"Secondary Ball Handler")</f>
        <v>Secondary Ball Handler</v>
      </c>
      <c r="F1088" s="164">
        <f>IFERROR(__xludf.DUMMYFUNCTION("""COMPUTED_VALUE"""),1275.46333333333)</f>
        <v>1275.463333</v>
      </c>
      <c r="G1088" s="163">
        <f>IFERROR(__xludf.DUMMYFUNCTION("""COMPUTED_VALUE"""),58.0)</f>
        <v>58</v>
      </c>
      <c r="H1088" s="163" t="str">
        <f>IFERROR(__xludf.DUMMYFUNCTION("""COMPUTED_VALUE"""),"PG")</f>
        <v>PG</v>
      </c>
      <c r="I1088" s="163">
        <f>IFERROR(__xludf.DUMMYFUNCTION("""COMPUTED_VALUE"""),29.0)</f>
        <v>29</v>
      </c>
      <c r="J1088" s="165">
        <f>IFERROR(__xludf.DUMMYFUNCTION("""COMPUTED_VALUE"""),-1.43382997715836)</f>
        <v>-1.433829977</v>
      </c>
      <c r="K1088" s="165">
        <f>IFERROR(__xludf.DUMMYFUNCTION("""COMPUTED_VALUE"""),-0.861430431354171)</f>
        <v>-0.8614304314</v>
      </c>
      <c r="L1088" s="165">
        <f>IFERROR(__xludf.DUMMYFUNCTION("""COMPUTED_VALUE"""),-0.572399545804193)</f>
        <v>-0.5723995458</v>
      </c>
      <c r="M1088" s="166">
        <f t="shared" si="2"/>
        <v>0.7368919029</v>
      </c>
      <c r="N1088" s="167">
        <f t="shared" si="3"/>
        <v>21.99074713</v>
      </c>
      <c r="O1088" s="163">
        <f t="shared" ref="O1088:Q1088" si="1092">rank(I1088,I:I)</f>
        <v>855</v>
      </c>
      <c r="P1088" s="163">
        <f t="shared" si="1092"/>
        <v>2997</v>
      </c>
      <c r="Q1088" s="163">
        <f t="shared" si="1092"/>
        <v>2637</v>
      </c>
      <c r="R1088" s="163">
        <f>IFERROR(__xludf.DUMMYFUNCTION("RANK(M1088,filter(M:M,C:C=C1088))"),248.0)</f>
        <v>248</v>
      </c>
      <c r="S1088" s="161" t="b">
        <f t="shared" si="5"/>
        <v>0</v>
      </c>
      <c r="T1088" s="161" t="b">
        <f t="array" ref="T1088">index('Query Tool'!B:B,match(H1088,'Query Tool'!C:C,0))</f>
        <v>1</v>
      </c>
      <c r="U1088" s="161" t="b">
        <f t="array" ref="U1088">index('Query Tool'!B:B,match(C1088,'Query Tool'!C:C,0))</f>
        <v>0</v>
      </c>
      <c r="V1088" s="161" t="b">
        <f>F1088&gt;='Query Tool'!C$32</f>
        <v>1</v>
      </c>
      <c r="W1088" s="161" t="b">
        <f t="array" ref="W1088">index(Dropdowns!B:B,match(I1088,Dropdowns!A:A,0))</f>
        <v>1</v>
      </c>
      <c r="X1088" s="161" t="b">
        <f t="array" ref="X1088">index('Query Tool'!B:B,match(D1088,'Query Tool'!C:C,0))</f>
        <v>1</v>
      </c>
      <c r="Y1088" s="161" t="str">
        <f t="shared" si="6"/>
        <v>stuckro01,2015-16</v>
      </c>
      <c r="Z1088" s="168">
        <f t="array" ref="Z1088">iferror(index(I:I,match($A1088&amp;","&amp;index('Year Conversion'!$A:$A,match($C1088,'Year Conversion'!$B:$B,0)),$Y:$Y,0))-I1088,"")</f>
        <v>1</v>
      </c>
      <c r="AA1088" s="168">
        <f t="array" ref="AA1088">iferror(index(J:J,match($A1088&amp;","&amp;index('Year Conversion'!$A:$A,match($C1088,'Year Conversion'!$B:$B,0)),$Y:$Y,0))-J1088,"")</f>
        <v>-0.598796554</v>
      </c>
      <c r="AB1088" s="168">
        <f t="array" ref="AB1088">iferror(index(K:K,match($A1088&amp;","&amp;index('Year Conversion'!$A:$A,match($C1088,'Year Conversion'!$B:$B,0)),$Y:$Y,0))-K1088,"")</f>
        <v>-0.2217677505</v>
      </c>
      <c r="AC1088" s="168" t="str">
        <f t="shared" si="7"/>
        <v>IND,2015-16</v>
      </c>
    </row>
    <row r="1089">
      <c r="A1089" s="161" t="str">
        <f>IFERROR(__xludf.DUMMYFUNCTION("""COMPUTED_VALUE"""),"youngni01")</f>
        <v>youngni01</v>
      </c>
      <c r="B1089" s="161" t="str">
        <f>IFERROR(__xludf.DUMMYFUNCTION("""COMPUTED_VALUE"""),"Nick Young")</f>
        <v>Nick Young</v>
      </c>
      <c r="C1089" s="162" t="str">
        <f>IFERROR(__xludf.DUMMYFUNCTION("""COMPUTED_VALUE"""),"2015-16")</f>
        <v>2015-16</v>
      </c>
      <c r="D1089" s="163" t="str">
        <f>IFERROR(__xludf.DUMMYFUNCTION("""COMPUTED_VALUE"""),"LAL")</f>
        <v>LAL</v>
      </c>
      <c r="E1089" s="164" t="str">
        <f>IFERROR(__xludf.DUMMYFUNCTION("""COMPUTED_VALUE"""),"Movement Shooter")</f>
        <v>Movement Shooter</v>
      </c>
      <c r="F1089" s="164">
        <f>IFERROR(__xludf.DUMMYFUNCTION("""COMPUTED_VALUE"""),1033.41)</f>
        <v>1033.41</v>
      </c>
      <c r="G1089" s="163">
        <f>IFERROR(__xludf.DUMMYFUNCTION("""COMPUTED_VALUE"""),54.0)</f>
        <v>54</v>
      </c>
      <c r="H1089" s="163" t="str">
        <f>IFERROR(__xludf.DUMMYFUNCTION("""COMPUTED_VALUE"""),"SG")</f>
        <v>SG</v>
      </c>
      <c r="I1089" s="163">
        <f>IFERROR(__xludf.DUMMYFUNCTION("""COMPUTED_VALUE"""),30.0)</f>
        <v>30</v>
      </c>
      <c r="J1089" s="165">
        <f>IFERROR(__xludf.DUMMYFUNCTION("""COMPUTED_VALUE"""),-2.04740513681268)</f>
        <v>-2.047405137</v>
      </c>
      <c r="K1089" s="165">
        <f>IFERROR(__xludf.DUMMYFUNCTION("""COMPUTED_VALUE"""),-0.103443092310851)</f>
        <v>-0.1034430923</v>
      </c>
      <c r="L1089" s="165">
        <f>IFERROR(__xludf.DUMMYFUNCTION("""COMPUTED_VALUE"""),-1.94396204450183)</f>
        <v>-1.943962045</v>
      </c>
      <c r="M1089" s="166">
        <f t="shared" si="2"/>
        <v>0.1749660323</v>
      </c>
      <c r="N1089" s="167">
        <f t="shared" si="3"/>
        <v>19.13722222</v>
      </c>
      <c r="O1089" s="163">
        <f t="shared" ref="O1089:Q1089" si="1093">rank(I1089,I:I)</f>
        <v>655</v>
      </c>
      <c r="P1089" s="163">
        <f t="shared" si="1093"/>
        <v>3515</v>
      </c>
      <c r="Q1089" s="163">
        <f t="shared" si="1093"/>
        <v>1372</v>
      </c>
      <c r="R1089" s="163">
        <f>IFERROR(__xludf.DUMMYFUNCTION("RANK(M1089,filter(M:M,C:C=C1089))"),347.0)</f>
        <v>347</v>
      </c>
      <c r="S1089" s="161" t="b">
        <f t="shared" si="5"/>
        <v>0</v>
      </c>
      <c r="T1089" s="161" t="b">
        <f t="array" ref="T1089">index('Query Tool'!B:B,match(H1089,'Query Tool'!C:C,0))</f>
        <v>1</v>
      </c>
      <c r="U1089" s="161" t="b">
        <f t="array" ref="U1089">index('Query Tool'!B:B,match(C1089,'Query Tool'!C:C,0))</f>
        <v>0</v>
      </c>
      <c r="V1089" s="161" t="b">
        <f>F1089&gt;='Query Tool'!C$32</f>
        <v>1</v>
      </c>
      <c r="W1089" s="161" t="b">
        <f t="array" ref="W1089">index(Dropdowns!B:B,match(I1089,Dropdowns!A:A,0))</f>
        <v>1</v>
      </c>
      <c r="X1089" s="161" t="b">
        <f t="array" ref="X1089">index('Query Tool'!B:B,match(D1089,'Query Tool'!C:C,0))</f>
        <v>1</v>
      </c>
      <c r="Y1089" s="161" t="str">
        <f t="shared" si="6"/>
        <v>youngni01,2015-16</v>
      </c>
      <c r="Z1089" s="168">
        <f t="array" ref="Z1089">iferror(index(I:I,match($A1089&amp;","&amp;index('Year Conversion'!$A:$A,match($C1089,'Year Conversion'!$B:$B,0)),$Y:$Y,0))-I1089,"")</f>
        <v>1</v>
      </c>
      <c r="AA1089" s="168">
        <f t="array" ref="AA1089">iferror(index(J:J,match($A1089&amp;","&amp;index('Year Conversion'!$A:$A,match($C1089,'Year Conversion'!$B:$B,0)),$Y:$Y,0))-J1089,"")</f>
        <v>0.9635430441</v>
      </c>
      <c r="AB1089" s="168">
        <f t="array" ref="AB1089">iferror(index(K:K,match($A1089&amp;","&amp;index('Year Conversion'!$A:$A,match($C1089,'Year Conversion'!$B:$B,0)),$Y:$Y,0))-K1089,"")</f>
        <v>0.5801572393</v>
      </c>
      <c r="AC1089" s="168" t="str">
        <f t="shared" si="7"/>
        <v>LAL,2015-16</v>
      </c>
    </row>
    <row r="1090">
      <c r="A1090" s="161" t="str">
        <f>IFERROR(__xludf.DUMMYFUNCTION("""COMPUTED_VALUE"""),"belinma01")</f>
        <v>belinma01</v>
      </c>
      <c r="B1090" s="161" t="str">
        <f>IFERROR(__xludf.DUMMYFUNCTION("""COMPUTED_VALUE"""),"Marco Belinelli")</f>
        <v>Marco Belinelli</v>
      </c>
      <c r="C1090" s="162" t="str">
        <f>IFERROR(__xludf.DUMMYFUNCTION("""COMPUTED_VALUE"""),"2015-16")</f>
        <v>2015-16</v>
      </c>
      <c r="D1090" s="163" t="str">
        <f>IFERROR(__xludf.DUMMYFUNCTION("""COMPUTED_VALUE"""),"SAC")</f>
        <v>SAC</v>
      </c>
      <c r="E1090" s="164" t="str">
        <f>IFERROR(__xludf.DUMMYFUNCTION("""COMPUTED_VALUE"""),"Off Screen Shooter")</f>
        <v>Off Screen Shooter</v>
      </c>
      <c r="F1090" s="164">
        <f>IFERROR(__xludf.DUMMYFUNCTION("""COMPUTED_VALUE"""),1671.68166666667)</f>
        <v>1671.681667</v>
      </c>
      <c r="G1090" s="163">
        <f>IFERROR(__xludf.DUMMYFUNCTION("""COMPUTED_VALUE"""),68.0)</f>
        <v>68</v>
      </c>
      <c r="H1090" s="163" t="str">
        <f>IFERROR(__xludf.DUMMYFUNCTION("""COMPUTED_VALUE"""),"SG")</f>
        <v>SG</v>
      </c>
      <c r="I1090" s="163">
        <f>IFERROR(__xludf.DUMMYFUNCTION("""COMPUTED_VALUE"""),29.0)</f>
        <v>29</v>
      </c>
      <c r="J1090" s="165">
        <f>IFERROR(__xludf.DUMMYFUNCTION("""COMPUTED_VALUE"""),-3.52322526861952)</f>
        <v>-3.523225269</v>
      </c>
      <c r="K1090" s="165">
        <f>IFERROR(__xludf.DUMMYFUNCTION("""COMPUTED_VALUE"""),-1.55636482386645)</f>
        <v>-1.556364824</v>
      </c>
      <c r="L1090" s="165">
        <f>IFERROR(__xludf.DUMMYFUNCTION("""COMPUTED_VALUE"""),-1.96686044475307)</f>
        <v>-1.966860445</v>
      </c>
      <c r="M1090" s="166">
        <f t="shared" si="2"/>
        <v>-1.326519398</v>
      </c>
      <c r="N1090" s="167">
        <f t="shared" si="3"/>
        <v>24.58355392</v>
      </c>
      <c r="O1090" s="163">
        <f t="shared" ref="O1090:Q1090" si="1094">rank(I1090,I:I)</f>
        <v>855</v>
      </c>
      <c r="P1090" s="163">
        <f t="shared" si="1094"/>
        <v>3964</v>
      </c>
      <c r="Q1090" s="163">
        <f t="shared" si="1094"/>
        <v>3407</v>
      </c>
      <c r="R1090" s="163">
        <f>IFERROR(__xludf.DUMMYFUNCTION("RANK(M1090,filter(M:M,C:C=C1090))"),471.0)</f>
        <v>471</v>
      </c>
      <c r="S1090" s="161" t="b">
        <f t="shared" si="5"/>
        <v>0</v>
      </c>
      <c r="T1090" s="161" t="b">
        <f t="array" ref="T1090">index('Query Tool'!B:B,match(H1090,'Query Tool'!C:C,0))</f>
        <v>1</v>
      </c>
      <c r="U1090" s="161" t="b">
        <f t="array" ref="U1090">index('Query Tool'!B:B,match(C1090,'Query Tool'!C:C,0))</f>
        <v>0</v>
      </c>
      <c r="V1090" s="161" t="b">
        <f>F1090&gt;='Query Tool'!C$32</f>
        <v>1</v>
      </c>
      <c r="W1090" s="161" t="b">
        <f t="array" ref="W1090">index(Dropdowns!B:B,match(I1090,Dropdowns!A:A,0))</f>
        <v>1</v>
      </c>
      <c r="X1090" s="161" t="b">
        <f t="array" ref="X1090">index('Query Tool'!B:B,match(D1090,'Query Tool'!C:C,0))</f>
        <v>1</v>
      </c>
      <c r="Y1090" s="161" t="str">
        <f t="shared" si="6"/>
        <v>belinma01,2015-16</v>
      </c>
      <c r="Z1090" s="168">
        <f t="array" ref="Z1090">iferror(index(I:I,match($A1090&amp;","&amp;index('Year Conversion'!$A:$A,match($C1090,'Year Conversion'!$B:$B,0)),$Y:$Y,0))-I1090,"")</f>
        <v>1</v>
      </c>
      <c r="AA1090" s="168">
        <f t="array" ref="AA1090">iferror(index(J:J,match($A1090&amp;","&amp;index('Year Conversion'!$A:$A,match($C1090,'Year Conversion'!$B:$B,0)),$Y:$Y,0))-J1090,"")</f>
        <v>1.861796969</v>
      </c>
      <c r="AB1090" s="168">
        <f t="array" ref="AB1090">iferror(index(K:K,match($A1090&amp;","&amp;index('Year Conversion'!$A:$A,match($C1090,'Year Conversion'!$B:$B,0)),$Y:$Y,0))-K1090,"")</f>
        <v>1.510273742</v>
      </c>
      <c r="AC1090" s="168" t="str">
        <f t="shared" si="7"/>
        <v>SAC,2015-16</v>
      </c>
    </row>
    <row r="1091">
      <c r="A1091" s="161" t="str">
        <f>IFERROR(__xludf.DUMMYFUNCTION("""COMPUTED_VALUE"""),"smithja02")</f>
        <v>smithja02</v>
      </c>
      <c r="B1091" s="161" t="str">
        <f>IFERROR(__xludf.DUMMYFUNCTION("""COMPUTED_VALUE"""),"Jason Smith")</f>
        <v>Jason Smith</v>
      </c>
      <c r="C1091" s="162" t="str">
        <f>IFERROR(__xludf.DUMMYFUNCTION("""COMPUTED_VALUE"""),"2015-16")</f>
        <v>2015-16</v>
      </c>
      <c r="D1091" s="163" t="str">
        <f>IFERROR(__xludf.DUMMYFUNCTION("""COMPUTED_VALUE"""),"ORL")</f>
        <v>ORL</v>
      </c>
      <c r="E1091" s="164" t="str">
        <f>IFERROR(__xludf.DUMMYFUNCTION("""COMPUTED_VALUE"""),"Roll + Cut Big")</f>
        <v>Roll + Cut Big</v>
      </c>
      <c r="F1091" s="164">
        <f>IFERROR(__xludf.DUMMYFUNCTION("""COMPUTED_VALUE"""),1180.86166666667)</f>
        <v>1180.861667</v>
      </c>
      <c r="G1091" s="163">
        <f>IFERROR(__xludf.DUMMYFUNCTION("""COMPUTED_VALUE"""),76.0)</f>
        <v>76</v>
      </c>
      <c r="H1091" s="163" t="str">
        <f>IFERROR(__xludf.DUMMYFUNCTION("""COMPUTED_VALUE"""),"C")</f>
        <v>C</v>
      </c>
      <c r="I1091" s="163">
        <f>IFERROR(__xludf.DUMMYFUNCTION("""COMPUTED_VALUE"""),29.0)</f>
        <v>29</v>
      </c>
      <c r="J1091" s="165">
        <f>IFERROR(__xludf.DUMMYFUNCTION("""COMPUTED_VALUE"""),-1.10093991142644)</f>
        <v>-1.100939911</v>
      </c>
      <c r="K1091" s="165">
        <f>IFERROR(__xludf.DUMMYFUNCTION("""COMPUTED_VALUE"""),-1.70855495736139)</f>
        <v>-1.708554957</v>
      </c>
      <c r="L1091" s="165">
        <f>IFERROR(__xludf.DUMMYFUNCTION("""COMPUTED_VALUE"""),0.607615045934947)</f>
        <v>0.6076150459</v>
      </c>
      <c r="M1091" s="166">
        <f t="shared" si="2"/>
        <v>0.945482223</v>
      </c>
      <c r="N1091" s="167">
        <f t="shared" si="3"/>
        <v>15.53765351</v>
      </c>
      <c r="O1091" s="163">
        <f t="shared" ref="O1091:Q1091" si="1095">rank(I1091,I:I)</f>
        <v>855</v>
      </c>
      <c r="P1091" s="163">
        <f t="shared" si="1095"/>
        <v>2613</v>
      </c>
      <c r="Q1091" s="163">
        <f t="shared" si="1095"/>
        <v>3524</v>
      </c>
      <c r="R1091" s="163">
        <f>IFERROR(__xludf.DUMMYFUNCTION("RANK(M1091,filter(M:M,C:C=C1091))"),226.0)</f>
        <v>226</v>
      </c>
      <c r="S1091" s="161" t="b">
        <f t="shared" si="5"/>
        <v>0</v>
      </c>
      <c r="T1091" s="161" t="b">
        <f t="array" ref="T1091">index('Query Tool'!B:B,match(H1091,'Query Tool'!C:C,0))</f>
        <v>1</v>
      </c>
      <c r="U1091" s="161" t="b">
        <f t="array" ref="U1091">index('Query Tool'!B:B,match(C1091,'Query Tool'!C:C,0))</f>
        <v>0</v>
      </c>
      <c r="V1091" s="161" t="b">
        <f>F1091&gt;='Query Tool'!C$32</f>
        <v>1</v>
      </c>
      <c r="W1091" s="161" t="b">
        <f t="array" ref="W1091">index(Dropdowns!B:B,match(I1091,Dropdowns!A:A,0))</f>
        <v>1</v>
      </c>
      <c r="X1091" s="161" t="b">
        <f t="array" ref="X1091">index('Query Tool'!B:B,match(D1091,'Query Tool'!C:C,0))</f>
        <v>1</v>
      </c>
      <c r="Y1091" s="161" t="str">
        <f t="shared" si="6"/>
        <v>smithja02,2015-16</v>
      </c>
      <c r="Z1091" s="168">
        <f t="array" ref="Z1091">iferror(index(I:I,match($A1091&amp;","&amp;index('Year Conversion'!$A:$A,match($C1091,'Year Conversion'!$B:$B,0)),$Y:$Y,0))-I1091,"")</f>
        <v>1</v>
      </c>
      <c r="AA1091" s="168">
        <f t="array" ref="AA1091">iferror(index(J:J,match($A1091&amp;","&amp;index('Year Conversion'!$A:$A,match($C1091,'Year Conversion'!$B:$B,0)),$Y:$Y,0))-J1091,"")</f>
        <v>-0.2969937872</v>
      </c>
      <c r="AB1091" s="168">
        <f t="array" ref="AB1091">iferror(index(K:K,match($A1091&amp;","&amp;index('Year Conversion'!$A:$A,match($C1091,'Year Conversion'!$B:$B,0)),$Y:$Y,0))-K1091,"")</f>
        <v>0.08615512571</v>
      </c>
      <c r="AC1091" s="168" t="str">
        <f t="shared" si="7"/>
        <v>ORL,2015-16</v>
      </c>
    </row>
    <row r="1092">
      <c r="A1092" s="161" t="str">
        <f>IFERROR(__xludf.DUMMYFUNCTION("""COMPUTED_VALUE"""),"dudleja01")</f>
        <v>dudleja01</v>
      </c>
      <c r="B1092" s="161" t="str">
        <f>IFERROR(__xludf.DUMMYFUNCTION("""COMPUTED_VALUE"""),"Jared Dudley")</f>
        <v>Jared Dudley</v>
      </c>
      <c r="C1092" s="162" t="str">
        <f>IFERROR(__xludf.DUMMYFUNCTION("""COMPUTED_VALUE"""),"2015-16")</f>
        <v>2015-16</v>
      </c>
      <c r="D1092" s="163" t="str">
        <f>IFERROR(__xludf.DUMMYFUNCTION("""COMPUTED_VALUE"""),"WAS")</f>
        <v>WAS</v>
      </c>
      <c r="E1092" s="164" t="str">
        <f>IFERROR(__xludf.DUMMYFUNCTION("""COMPUTED_VALUE"""),"Stationary Shooter")</f>
        <v>Stationary Shooter</v>
      </c>
      <c r="F1092" s="164">
        <f>IFERROR(__xludf.DUMMYFUNCTION("""COMPUTED_VALUE"""),2097.67166666667)</f>
        <v>2097.671667</v>
      </c>
      <c r="G1092" s="163">
        <f>IFERROR(__xludf.DUMMYFUNCTION("""COMPUTED_VALUE"""),81.0)</f>
        <v>81</v>
      </c>
      <c r="H1092" s="163" t="str">
        <f>IFERROR(__xludf.DUMMYFUNCTION("""COMPUTED_VALUE"""),"PF")</f>
        <v>PF</v>
      </c>
      <c r="I1092" s="163">
        <f>IFERROR(__xludf.DUMMYFUNCTION("""COMPUTED_VALUE"""),30.0)</f>
        <v>30</v>
      </c>
      <c r="J1092" s="165">
        <f>IFERROR(__xludf.DUMMYFUNCTION("""COMPUTED_VALUE"""),0.492578503322074)</f>
        <v>0.4925785033</v>
      </c>
      <c r="K1092" s="165">
        <f>IFERROR(__xludf.DUMMYFUNCTION("""COMPUTED_VALUE"""),-0.329314508384224)</f>
        <v>-0.3293145084</v>
      </c>
      <c r="L1092" s="165">
        <f>IFERROR(__xludf.DUMMYFUNCTION("""COMPUTED_VALUE"""),0.821893011706298)</f>
        <v>0.8218930117</v>
      </c>
      <c r="M1092" s="166">
        <f t="shared" si="2"/>
        <v>3.930294519</v>
      </c>
      <c r="N1092" s="167">
        <f t="shared" si="3"/>
        <v>25.89718107</v>
      </c>
      <c r="O1092" s="163">
        <f t="shared" ref="O1092:Q1092" si="1096">rank(I1092,I:I)</f>
        <v>655</v>
      </c>
      <c r="P1092" s="163">
        <f t="shared" si="1096"/>
        <v>903</v>
      </c>
      <c r="Q1092" s="163">
        <f t="shared" si="1096"/>
        <v>1811</v>
      </c>
      <c r="R1092" s="163">
        <f>IFERROR(__xludf.DUMMYFUNCTION("RANK(M1092,filter(M:M,C:C=C1092))"),85.0)</f>
        <v>85</v>
      </c>
      <c r="S1092" s="161" t="b">
        <f t="shared" si="5"/>
        <v>0</v>
      </c>
      <c r="T1092" s="161" t="b">
        <f t="array" ref="T1092">index('Query Tool'!B:B,match(H1092,'Query Tool'!C:C,0))</f>
        <v>1</v>
      </c>
      <c r="U1092" s="161" t="b">
        <f t="array" ref="U1092">index('Query Tool'!B:B,match(C1092,'Query Tool'!C:C,0))</f>
        <v>0</v>
      </c>
      <c r="V1092" s="161" t="b">
        <f>F1092&gt;='Query Tool'!C$32</f>
        <v>1</v>
      </c>
      <c r="W1092" s="161" t="b">
        <f t="array" ref="W1092">index(Dropdowns!B:B,match(I1092,Dropdowns!A:A,0))</f>
        <v>1</v>
      </c>
      <c r="X1092" s="161" t="b">
        <f t="array" ref="X1092">index('Query Tool'!B:B,match(D1092,'Query Tool'!C:C,0))</f>
        <v>1</v>
      </c>
      <c r="Y1092" s="161" t="str">
        <f t="shared" si="6"/>
        <v>dudleja01,2015-16</v>
      </c>
      <c r="Z1092" s="168">
        <f t="array" ref="Z1092">iferror(index(I:I,match($A1092&amp;","&amp;index('Year Conversion'!$A:$A,match($C1092,'Year Conversion'!$B:$B,0)),$Y:$Y,0))-I1092,"")</f>
        <v>1</v>
      </c>
      <c r="AA1092" s="168">
        <f t="array" ref="AA1092">iferror(index(J:J,match($A1092&amp;","&amp;index('Year Conversion'!$A:$A,match($C1092,'Year Conversion'!$B:$B,0)),$Y:$Y,0))-J1092,"")</f>
        <v>-0.3634958978</v>
      </c>
      <c r="AB1092" s="168">
        <f t="array" ref="AB1092">iferror(index(K:K,match($A1092&amp;","&amp;index('Year Conversion'!$A:$A,match($C1092,'Year Conversion'!$B:$B,0)),$Y:$Y,0))-K1092,"")</f>
        <v>-0.6992741986</v>
      </c>
      <c r="AC1092" s="168" t="str">
        <f t="shared" si="7"/>
        <v>WAS,2015-16</v>
      </c>
    </row>
    <row r="1093">
      <c r="A1093" s="161" t="str">
        <f>IFERROR(__xludf.DUMMYFUNCTION("""COMPUTED_VALUE"""),"brookaa01")</f>
        <v>brookaa01</v>
      </c>
      <c r="B1093" s="161" t="str">
        <f>IFERROR(__xludf.DUMMYFUNCTION("""COMPUTED_VALUE"""),"Aaron Brooks")</f>
        <v>Aaron Brooks</v>
      </c>
      <c r="C1093" s="162" t="str">
        <f>IFERROR(__xludf.DUMMYFUNCTION("""COMPUTED_VALUE"""),"2015-16")</f>
        <v>2015-16</v>
      </c>
      <c r="D1093" s="163" t="str">
        <f>IFERROR(__xludf.DUMMYFUNCTION("""COMPUTED_VALUE"""),"CHI")</f>
        <v>CHI</v>
      </c>
      <c r="E1093" s="164" t="str">
        <f>IFERROR(__xludf.DUMMYFUNCTION("""COMPUTED_VALUE"""),"Primary Ball Handler")</f>
        <v>Primary Ball Handler</v>
      </c>
      <c r="F1093" s="164">
        <f>IFERROR(__xludf.DUMMYFUNCTION("""COMPUTED_VALUE"""),1107.71)</f>
        <v>1107.71</v>
      </c>
      <c r="G1093" s="163">
        <f>IFERROR(__xludf.DUMMYFUNCTION("""COMPUTED_VALUE"""),69.0)</f>
        <v>69</v>
      </c>
      <c r="H1093" s="163" t="str">
        <f>IFERROR(__xludf.DUMMYFUNCTION("""COMPUTED_VALUE"""),"PG")</f>
        <v>PG</v>
      </c>
      <c r="I1093" s="163">
        <f>IFERROR(__xludf.DUMMYFUNCTION("""COMPUTED_VALUE"""),31.0)</f>
        <v>31</v>
      </c>
      <c r="J1093" s="165">
        <f>IFERROR(__xludf.DUMMYFUNCTION("""COMPUTED_VALUE"""),-1.61303491884655)</f>
        <v>-1.613034919</v>
      </c>
      <c r="K1093" s="165">
        <f>IFERROR(__xludf.DUMMYFUNCTION("""COMPUTED_VALUE"""),-0.0764205308866668)</f>
        <v>-0.07642053089</v>
      </c>
      <c r="L1093" s="165">
        <f>IFERROR(__xludf.DUMMYFUNCTION("""COMPUTED_VALUE"""),-1.53661438795988)</f>
        <v>-1.536614388</v>
      </c>
      <c r="M1093" s="166">
        <f t="shared" si="2"/>
        <v>0.5074294722</v>
      </c>
      <c r="N1093" s="167">
        <f t="shared" si="3"/>
        <v>16.05376812</v>
      </c>
      <c r="O1093" s="163">
        <f t="shared" ref="O1093:Q1093" si="1097">rank(I1093,I:I)</f>
        <v>490</v>
      </c>
      <c r="P1093" s="163">
        <f t="shared" si="1097"/>
        <v>3159</v>
      </c>
      <c r="Q1093" s="163">
        <f t="shared" si="1097"/>
        <v>1317</v>
      </c>
      <c r="R1093" s="163">
        <f>IFERROR(__xludf.DUMMYFUNCTION("RANK(M1093,filter(M:M,C:C=C1093))"),282.0)</f>
        <v>282</v>
      </c>
      <c r="S1093" s="161" t="b">
        <f t="shared" si="5"/>
        <v>0</v>
      </c>
      <c r="T1093" s="161" t="b">
        <f t="array" ref="T1093">index('Query Tool'!B:B,match(H1093,'Query Tool'!C:C,0))</f>
        <v>1</v>
      </c>
      <c r="U1093" s="161" t="b">
        <f t="array" ref="U1093">index('Query Tool'!B:B,match(C1093,'Query Tool'!C:C,0))</f>
        <v>0</v>
      </c>
      <c r="V1093" s="161" t="b">
        <f>F1093&gt;='Query Tool'!C$32</f>
        <v>1</v>
      </c>
      <c r="W1093" s="161" t="b">
        <f t="array" ref="W1093">index(Dropdowns!B:B,match(I1093,Dropdowns!A:A,0))</f>
        <v>1</v>
      </c>
      <c r="X1093" s="161" t="b">
        <f t="array" ref="X1093">index('Query Tool'!B:B,match(D1093,'Query Tool'!C:C,0))</f>
        <v>1</v>
      </c>
      <c r="Y1093" s="161" t="str">
        <f t="shared" si="6"/>
        <v>brookaa01,2015-16</v>
      </c>
      <c r="Z1093" s="168">
        <f t="array" ref="Z1093">iferror(index(I:I,match($A1093&amp;","&amp;index('Year Conversion'!$A:$A,match($C1093,'Year Conversion'!$B:$B,0)),$Y:$Y,0))-I1093,"")</f>
        <v>1</v>
      </c>
      <c r="AA1093" s="168">
        <f t="array" ref="AA1093">iferror(index(J:J,match($A1093&amp;","&amp;index('Year Conversion'!$A:$A,match($C1093,'Year Conversion'!$B:$B,0)),$Y:$Y,0))-J1093,"")</f>
        <v>-0.9605985926</v>
      </c>
      <c r="AB1093" s="168">
        <f t="array" ref="AB1093">iferror(index(K:K,match($A1093&amp;","&amp;index('Year Conversion'!$A:$A,match($C1093,'Year Conversion'!$B:$B,0)),$Y:$Y,0))-K1093,"")</f>
        <v>-1.434074674</v>
      </c>
      <c r="AC1093" s="168" t="str">
        <f t="shared" si="7"/>
        <v>CHI,2015-16</v>
      </c>
    </row>
    <row r="1094">
      <c r="A1094" s="161" t="str">
        <f>IFERROR(__xludf.DUMMYFUNCTION("""COMPUTED_VALUE"""),"afflaar01")</f>
        <v>afflaar01</v>
      </c>
      <c r="B1094" s="161" t="str">
        <f>IFERROR(__xludf.DUMMYFUNCTION("""COMPUTED_VALUE"""),"Arron Afflalo")</f>
        <v>Arron Afflalo</v>
      </c>
      <c r="C1094" s="162" t="str">
        <f>IFERROR(__xludf.DUMMYFUNCTION("""COMPUTED_VALUE"""),"2015-16")</f>
        <v>2015-16</v>
      </c>
      <c r="D1094" s="163" t="str">
        <f>IFERROR(__xludf.DUMMYFUNCTION("""COMPUTED_VALUE"""),"NYK")</f>
        <v>NYK</v>
      </c>
      <c r="E1094" s="164" t="str">
        <f>IFERROR(__xludf.DUMMYFUNCTION("""COMPUTED_VALUE"""),"Shot Creator")</f>
        <v>Shot Creator</v>
      </c>
      <c r="F1094" s="164">
        <f>IFERROR(__xludf.DUMMYFUNCTION("""COMPUTED_VALUE"""),2370.92333333333)</f>
        <v>2370.923333</v>
      </c>
      <c r="G1094" s="163">
        <f>IFERROR(__xludf.DUMMYFUNCTION("""COMPUTED_VALUE"""),71.0)</f>
        <v>71</v>
      </c>
      <c r="H1094" s="163" t="str">
        <f>IFERROR(__xludf.DUMMYFUNCTION("""COMPUTED_VALUE"""),"SG")</f>
        <v>SG</v>
      </c>
      <c r="I1094" s="163">
        <f>IFERROR(__xludf.DUMMYFUNCTION("""COMPUTED_VALUE"""),30.0)</f>
        <v>30</v>
      </c>
      <c r="J1094" s="165">
        <f>IFERROR(__xludf.DUMMYFUNCTION("""COMPUTED_VALUE"""),-2.99655914521905)</f>
        <v>-2.996559145</v>
      </c>
      <c r="K1094" s="165">
        <f>IFERROR(__xludf.DUMMYFUNCTION("""COMPUTED_VALUE"""),-0.674640699979184)</f>
        <v>-0.6746407</v>
      </c>
      <c r="L1094" s="165">
        <f>IFERROR(__xludf.DUMMYFUNCTION("""COMPUTED_VALUE"""),-2.32191844523986)</f>
        <v>-2.321918445</v>
      </c>
      <c r="M1094" s="166">
        <f t="shared" si="2"/>
        <v>-1.075814</v>
      </c>
      <c r="N1094" s="167">
        <f t="shared" si="3"/>
        <v>33.39328638</v>
      </c>
      <c r="O1094" s="163">
        <f t="shared" ref="O1094:Q1094" si="1098">rank(I1094,I:I)</f>
        <v>655</v>
      </c>
      <c r="P1094" s="163">
        <f t="shared" si="1098"/>
        <v>3888</v>
      </c>
      <c r="Q1094" s="163">
        <f t="shared" si="1098"/>
        <v>2376</v>
      </c>
      <c r="R1094" s="163">
        <f>IFERROR(__xludf.DUMMYFUNCTION("RANK(M1094,filter(M:M,C:C=C1094))"),467.0)</f>
        <v>467</v>
      </c>
      <c r="S1094" s="161" t="b">
        <f t="shared" si="5"/>
        <v>0</v>
      </c>
      <c r="T1094" s="161" t="b">
        <f t="array" ref="T1094">index('Query Tool'!B:B,match(H1094,'Query Tool'!C:C,0))</f>
        <v>1</v>
      </c>
      <c r="U1094" s="161" t="b">
        <f t="array" ref="U1094">index('Query Tool'!B:B,match(C1094,'Query Tool'!C:C,0))</f>
        <v>0</v>
      </c>
      <c r="V1094" s="161" t="b">
        <f>F1094&gt;='Query Tool'!C$32</f>
        <v>1</v>
      </c>
      <c r="W1094" s="161" t="b">
        <f t="array" ref="W1094">index(Dropdowns!B:B,match(I1094,Dropdowns!A:A,0))</f>
        <v>1</v>
      </c>
      <c r="X1094" s="161" t="b">
        <f t="array" ref="X1094">index('Query Tool'!B:B,match(D1094,'Query Tool'!C:C,0))</f>
        <v>1</v>
      </c>
      <c r="Y1094" s="161" t="str">
        <f t="shared" si="6"/>
        <v>afflaar01,2015-16</v>
      </c>
      <c r="Z1094" s="168">
        <f t="array" ref="Z1094">iferror(index(I:I,match($A1094&amp;","&amp;index('Year Conversion'!$A:$A,match($C1094,'Year Conversion'!$B:$B,0)),$Y:$Y,0))-I1094,"")</f>
        <v>1</v>
      </c>
      <c r="AA1094" s="168">
        <f t="array" ref="AA1094">iferror(index(J:J,match($A1094&amp;","&amp;index('Year Conversion'!$A:$A,match($C1094,'Year Conversion'!$B:$B,0)),$Y:$Y,0))-J1094,"")</f>
        <v>-1.014132803</v>
      </c>
      <c r="AB1094" s="168">
        <f t="array" ref="AB1094">iferror(index(K:K,match($A1094&amp;","&amp;index('Year Conversion'!$A:$A,match($C1094,'Year Conversion'!$B:$B,0)),$Y:$Y,0))-K1094,"")</f>
        <v>-1.4688832</v>
      </c>
      <c r="AC1094" s="168" t="str">
        <f t="shared" si="7"/>
        <v>NYK,2015-16</v>
      </c>
    </row>
    <row r="1095">
      <c r="A1095" s="161" t="str">
        <f>IFERROR(__xludf.DUMMYFUNCTION("""COMPUTED_VALUE"""),"splitti01")</f>
        <v>splitti01</v>
      </c>
      <c r="B1095" s="161" t="str">
        <f>IFERROR(__xludf.DUMMYFUNCTION("""COMPUTED_VALUE"""),"Tiago Splitter")</f>
        <v>Tiago Splitter</v>
      </c>
      <c r="C1095" s="162" t="str">
        <f>IFERROR(__xludf.DUMMYFUNCTION("""COMPUTED_VALUE"""),"2015-16")</f>
        <v>2015-16</v>
      </c>
      <c r="D1095" s="163" t="str">
        <f>IFERROR(__xludf.DUMMYFUNCTION("""COMPUTED_VALUE"""),"ATL")</f>
        <v>ATL</v>
      </c>
      <c r="E1095" s="164" t="str">
        <f>IFERROR(__xludf.DUMMYFUNCTION("""COMPUTED_VALUE"""),"Roll + Cut Big")</f>
        <v>Roll + Cut Big</v>
      </c>
      <c r="F1095" s="164">
        <f>IFERROR(__xludf.DUMMYFUNCTION("""COMPUTED_VALUE"""),579.473333333333)</f>
        <v>579.4733333</v>
      </c>
      <c r="G1095" s="163">
        <f>IFERROR(__xludf.DUMMYFUNCTION("""COMPUTED_VALUE"""),36.0)</f>
        <v>36</v>
      </c>
      <c r="H1095" s="163" t="str">
        <f>IFERROR(__xludf.DUMMYFUNCTION("""COMPUTED_VALUE"""),"C")</f>
        <v>C</v>
      </c>
      <c r="I1095" s="163">
        <f>IFERROR(__xludf.DUMMYFUNCTION("""COMPUTED_VALUE"""),31.0)</f>
        <v>31</v>
      </c>
      <c r="J1095" s="165">
        <f>IFERROR(__xludf.DUMMYFUNCTION("""COMPUTED_VALUE"""),-0.86502489876525)</f>
        <v>-0.8650248988</v>
      </c>
      <c r="K1095" s="165">
        <f>IFERROR(__xludf.DUMMYFUNCTION("""COMPUTED_VALUE"""),-0.975537767869788)</f>
        <v>-0.9755377679</v>
      </c>
      <c r="L1095" s="165">
        <f>IFERROR(__xludf.DUMMYFUNCTION("""COMPUTED_VALUE"""),0.110512869104537)</f>
        <v>0.1105128691</v>
      </c>
      <c r="M1095" s="166">
        <f t="shared" si="2"/>
        <v>0.5557619514</v>
      </c>
      <c r="N1095" s="167">
        <f t="shared" si="3"/>
        <v>16.09648148</v>
      </c>
      <c r="O1095" s="163">
        <f t="shared" ref="O1095:Q1095" si="1099">rank(I1095,I:I)</f>
        <v>490</v>
      </c>
      <c r="P1095" s="163">
        <f t="shared" si="1099"/>
        <v>2356</v>
      </c>
      <c r="Q1095" s="163">
        <f t="shared" si="1099"/>
        <v>2773</v>
      </c>
      <c r="R1095" s="163">
        <f>IFERROR(__xludf.DUMMYFUNCTION("RANK(M1095,filter(M:M,C:C=C1095))"),276.0)</f>
        <v>276</v>
      </c>
      <c r="S1095" s="161" t="b">
        <f t="shared" si="5"/>
        <v>0</v>
      </c>
      <c r="T1095" s="161" t="b">
        <f t="array" ref="T1095">index('Query Tool'!B:B,match(H1095,'Query Tool'!C:C,0))</f>
        <v>1</v>
      </c>
      <c r="U1095" s="161" t="b">
        <f t="array" ref="U1095">index('Query Tool'!B:B,match(C1095,'Query Tool'!C:C,0))</f>
        <v>0</v>
      </c>
      <c r="V1095" s="161" t="b">
        <f>F1095&gt;='Query Tool'!C$32</f>
        <v>1</v>
      </c>
      <c r="W1095" s="161" t="b">
        <f t="array" ref="W1095">index(Dropdowns!B:B,match(I1095,Dropdowns!A:A,0))</f>
        <v>1</v>
      </c>
      <c r="X1095" s="161" t="b">
        <f t="array" ref="X1095">index('Query Tool'!B:B,match(D1095,'Query Tool'!C:C,0))</f>
        <v>1</v>
      </c>
      <c r="Y1095" s="161" t="str">
        <f t="shared" si="6"/>
        <v>splitti01,2015-16</v>
      </c>
      <c r="Z1095" s="168">
        <f t="array" ref="Z1095">iferror(index(I:I,match($A1095&amp;","&amp;index('Year Conversion'!$A:$A,match($C1095,'Year Conversion'!$B:$B,0)),$Y:$Y,0))-I1095,"")</f>
        <v>1</v>
      </c>
      <c r="AA1095" s="168">
        <f t="array" ref="AA1095">iferror(index(J:J,match($A1095&amp;","&amp;index('Year Conversion'!$A:$A,match($C1095,'Year Conversion'!$B:$B,0)),$Y:$Y,0))-J1095,"")</f>
        <v>0.924345976</v>
      </c>
      <c r="AB1095" s="168">
        <f t="array" ref="AB1095">iferror(index(K:K,match($A1095&amp;","&amp;index('Year Conversion'!$A:$A,match($C1095,'Year Conversion'!$B:$B,0)),$Y:$Y,0))-K1095,"")</f>
        <v>1.129269159</v>
      </c>
      <c r="AC1095" s="168" t="str">
        <f t="shared" si="7"/>
        <v>ATL,2015-16</v>
      </c>
    </row>
    <row r="1096">
      <c r="A1096" s="161" t="str">
        <f>IFERROR(__xludf.DUMMYFUNCTION("""COMPUTED_VALUE"""),"landrca01")</f>
        <v>landrca01</v>
      </c>
      <c r="B1096" s="161" t="str">
        <f>IFERROR(__xludf.DUMMYFUNCTION("""COMPUTED_VALUE"""),"Carl Landry")</f>
        <v>Carl Landry</v>
      </c>
      <c r="C1096" s="162" t="str">
        <f>IFERROR(__xludf.DUMMYFUNCTION("""COMPUTED_VALUE"""),"2015-16")</f>
        <v>2015-16</v>
      </c>
      <c r="D1096" s="163" t="str">
        <f>IFERROR(__xludf.DUMMYFUNCTION("""COMPUTED_VALUE"""),"PHI")</f>
        <v>PHI</v>
      </c>
      <c r="E1096" s="164" t="str">
        <f>IFERROR(__xludf.DUMMYFUNCTION("""COMPUTED_VALUE"""),"Post Scorer")</f>
        <v>Post Scorer</v>
      </c>
      <c r="F1096" s="164">
        <f>IFERROR(__xludf.DUMMYFUNCTION("""COMPUTED_VALUE"""),569.39)</f>
        <v>569.39</v>
      </c>
      <c r="G1096" s="163">
        <f>IFERROR(__xludf.DUMMYFUNCTION("""COMPUTED_VALUE"""),36.0)</f>
        <v>36</v>
      </c>
      <c r="H1096" s="163" t="str">
        <f>IFERROR(__xludf.DUMMYFUNCTION("""COMPUTED_VALUE"""),"PF")</f>
        <v>PF</v>
      </c>
      <c r="I1096" s="163">
        <f>IFERROR(__xludf.DUMMYFUNCTION("""COMPUTED_VALUE"""),32.0)</f>
        <v>32</v>
      </c>
      <c r="J1096" s="165">
        <f>IFERROR(__xludf.DUMMYFUNCTION("""COMPUTED_VALUE"""),-0.0567824436957115)</f>
        <v>-0.0567824437</v>
      </c>
      <c r="K1096" s="165">
        <f>IFERROR(__xludf.DUMMYFUNCTION("""COMPUTED_VALUE"""),0.936178021630239)</f>
        <v>0.9361780216</v>
      </c>
      <c r="L1096" s="165">
        <f>IFERROR(__xludf.DUMMYFUNCTION("""COMPUTED_VALUE"""),-0.992960465325951)</f>
        <v>-0.9929604653</v>
      </c>
      <c r="M1096" s="166">
        <f t="shared" si="2"/>
        <v>0.8560122103</v>
      </c>
      <c r="N1096" s="167">
        <f t="shared" si="3"/>
        <v>15.81638889</v>
      </c>
      <c r="O1096" s="163">
        <f t="shared" ref="O1096:Q1096" si="1100">rank(I1096,I:I)</f>
        <v>359</v>
      </c>
      <c r="P1096" s="163">
        <f t="shared" si="1100"/>
        <v>1341</v>
      </c>
      <c r="Q1096" s="163">
        <f t="shared" si="1100"/>
        <v>536</v>
      </c>
      <c r="R1096" s="163">
        <f>IFERROR(__xludf.DUMMYFUNCTION("RANK(M1096,filter(M:M,C:C=C1096))"),235.0)</f>
        <v>235</v>
      </c>
      <c r="S1096" s="161" t="b">
        <f t="shared" si="5"/>
        <v>0</v>
      </c>
      <c r="T1096" s="161" t="b">
        <f t="array" ref="T1096">index('Query Tool'!B:B,match(H1096,'Query Tool'!C:C,0))</f>
        <v>1</v>
      </c>
      <c r="U1096" s="161" t="b">
        <f t="array" ref="U1096">index('Query Tool'!B:B,match(C1096,'Query Tool'!C:C,0))</f>
        <v>0</v>
      </c>
      <c r="V1096" s="161" t="b">
        <f>F1096&gt;='Query Tool'!C$32</f>
        <v>1</v>
      </c>
      <c r="W1096" s="161" t="b">
        <f t="array" ref="W1096">index(Dropdowns!B:B,match(I1096,Dropdowns!A:A,0))</f>
        <v>1</v>
      </c>
      <c r="X1096" s="161" t="b">
        <f t="array" ref="X1096">index('Query Tool'!B:B,match(D1096,'Query Tool'!C:C,0))</f>
        <v>1</v>
      </c>
      <c r="Y1096" s="161" t="str">
        <f t="shared" si="6"/>
        <v>landrca01,2015-16</v>
      </c>
      <c r="Z1096" s="168" t="str">
        <f t="array" ref="Z1096">iferror(index(I:I,match($A1096&amp;","&amp;index('Year Conversion'!$A:$A,match($C1096,'Year Conversion'!$B:$B,0)),$Y:$Y,0))-I1096,"")</f>
        <v/>
      </c>
      <c r="AA1096" s="168" t="str">
        <f t="array" ref="AA1096">iferror(index(J:J,match($A1096&amp;","&amp;index('Year Conversion'!$A:$A,match($C1096,'Year Conversion'!$B:$B,0)),$Y:$Y,0))-J1096,"")</f>
        <v/>
      </c>
      <c r="AB1096" s="168" t="str">
        <f t="array" ref="AB1096">iferror(index(K:K,match($A1096&amp;","&amp;index('Year Conversion'!$A:$A,match($C1096,'Year Conversion'!$B:$B,0)),$Y:$Y,0))-K1096,"")</f>
        <v/>
      </c>
      <c r="AC1096" s="168" t="str">
        <f t="shared" si="7"/>
        <v>PHI,2015-16</v>
      </c>
    </row>
    <row r="1097">
      <c r="A1097" s="161" t="str">
        <f>IFERROR(__xludf.DUMMYFUNCTION("""COMPUTED_VALUE"""),"mcrobjo01")</f>
        <v>mcrobjo01</v>
      </c>
      <c r="B1097" s="161" t="str">
        <f>IFERROR(__xludf.DUMMYFUNCTION("""COMPUTED_VALUE"""),"Josh McRoberts")</f>
        <v>Josh McRoberts</v>
      </c>
      <c r="C1097" s="162" t="str">
        <f>IFERROR(__xludf.DUMMYFUNCTION("""COMPUTED_VALUE"""),"2015-16")</f>
        <v>2015-16</v>
      </c>
      <c r="D1097" s="163" t="str">
        <f>IFERROR(__xludf.DUMMYFUNCTION("""COMPUTED_VALUE"""),"MIA")</f>
        <v>MIA</v>
      </c>
      <c r="E1097" s="164" t="str">
        <f>IFERROR(__xludf.DUMMYFUNCTION("""COMPUTED_VALUE"""),"Stationary Shooter")</f>
        <v>Stationary Shooter</v>
      </c>
      <c r="F1097" s="164">
        <f>IFERROR(__xludf.DUMMYFUNCTION("""COMPUTED_VALUE"""),594.693333333333)</f>
        <v>594.6933333</v>
      </c>
      <c r="G1097" s="163">
        <f>IFERROR(__xludf.DUMMYFUNCTION("""COMPUTED_VALUE"""),42.0)</f>
        <v>42</v>
      </c>
      <c r="H1097" s="163" t="str">
        <f>IFERROR(__xludf.DUMMYFUNCTION("""COMPUTED_VALUE"""),"PF")</f>
        <v>PF</v>
      </c>
      <c r="I1097" s="163">
        <f>IFERROR(__xludf.DUMMYFUNCTION("""COMPUTED_VALUE"""),28.0)</f>
        <v>28</v>
      </c>
      <c r="J1097" s="165">
        <f>IFERROR(__xludf.DUMMYFUNCTION("""COMPUTED_VALUE"""),-0.308271444113186)</f>
        <v>-0.3082714441</v>
      </c>
      <c r="K1097" s="165">
        <f>IFERROR(__xludf.DUMMYFUNCTION("""COMPUTED_VALUE"""),-0.13417258492138)</f>
        <v>-0.1341725849</v>
      </c>
      <c r="L1097" s="165">
        <f>IFERROR(__xludf.DUMMYFUNCTION("""COMPUTED_VALUE"""),-0.174098859191806)</f>
        <v>-0.1740988592</v>
      </c>
      <c r="M1097" s="166">
        <f t="shared" si="2"/>
        <v>0.7932380253</v>
      </c>
      <c r="N1097" s="167">
        <f t="shared" si="3"/>
        <v>14.15936508</v>
      </c>
      <c r="O1097" s="163">
        <f t="shared" ref="O1097:Q1097" si="1101">rank(I1097,I:I)</f>
        <v>1090</v>
      </c>
      <c r="P1097" s="163">
        <f t="shared" si="1101"/>
        <v>1624</v>
      </c>
      <c r="Q1097" s="163">
        <f t="shared" si="1101"/>
        <v>1450</v>
      </c>
      <c r="R1097" s="163">
        <f>IFERROR(__xludf.DUMMYFUNCTION("RANK(M1097,filter(M:M,C:C=C1097))"),243.0)</f>
        <v>243</v>
      </c>
      <c r="S1097" s="161" t="b">
        <f t="shared" si="5"/>
        <v>0</v>
      </c>
      <c r="T1097" s="161" t="b">
        <f t="array" ref="T1097">index('Query Tool'!B:B,match(H1097,'Query Tool'!C:C,0))</f>
        <v>1</v>
      </c>
      <c r="U1097" s="161" t="b">
        <f t="array" ref="U1097">index('Query Tool'!B:B,match(C1097,'Query Tool'!C:C,0))</f>
        <v>0</v>
      </c>
      <c r="V1097" s="161" t="b">
        <f>F1097&gt;='Query Tool'!C$32</f>
        <v>1</v>
      </c>
      <c r="W1097" s="161" t="b">
        <f t="array" ref="W1097">index(Dropdowns!B:B,match(I1097,Dropdowns!A:A,0))</f>
        <v>1</v>
      </c>
      <c r="X1097" s="161" t="b">
        <f t="array" ref="X1097">index('Query Tool'!B:B,match(D1097,'Query Tool'!C:C,0))</f>
        <v>1</v>
      </c>
      <c r="Y1097" s="161" t="str">
        <f t="shared" si="6"/>
        <v>mcrobjo01,2015-16</v>
      </c>
      <c r="Z1097" s="168">
        <f t="array" ref="Z1097">iferror(index(I:I,match($A1097&amp;","&amp;index('Year Conversion'!$A:$A,match($C1097,'Year Conversion'!$B:$B,0)),$Y:$Y,0))-I1097,"")</f>
        <v>1</v>
      </c>
      <c r="AA1097" s="168">
        <f t="array" ref="AA1097">iferror(index(J:J,match($A1097&amp;","&amp;index('Year Conversion'!$A:$A,match($C1097,'Year Conversion'!$B:$B,0)),$Y:$Y,0))-J1097,"")</f>
        <v>-1.754885271</v>
      </c>
      <c r="AB1097" s="168">
        <f t="array" ref="AB1097">iferror(index(K:K,match($A1097&amp;","&amp;index('Year Conversion'!$A:$A,match($C1097,'Year Conversion'!$B:$B,0)),$Y:$Y,0))-K1097,"")</f>
        <v>-1.004152191</v>
      </c>
      <c r="AC1097" s="168" t="str">
        <f t="shared" si="7"/>
        <v>MIA,2015-16</v>
      </c>
    </row>
    <row r="1098">
      <c r="A1098" s="161" t="str">
        <f>IFERROR(__xludf.DUMMYFUNCTION("""COMPUTED_VALUE"""),"gasolma01")</f>
        <v>gasolma01</v>
      </c>
      <c r="B1098" s="161" t="str">
        <f>IFERROR(__xludf.DUMMYFUNCTION("""COMPUTED_VALUE"""),"Marc Gasol")</f>
        <v>Marc Gasol</v>
      </c>
      <c r="C1098" s="162" t="str">
        <f>IFERROR(__xludf.DUMMYFUNCTION("""COMPUTED_VALUE"""),"2015-16")</f>
        <v>2015-16</v>
      </c>
      <c r="D1098" s="163" t="str">
        <f>IFERROR(__xludf.DUMMYFUNCTION("""COMPUTED_VALUE"""),"MEM")</f>
        <v>MEM</v>
      </c>
      <c r="E1098" s="164" t="str">
        <f>IFERROR(__xludf.DUMMYFUNCTION("""COMPUTED_VALUE"""),"Post Scorer")</f>
        <v>Post Scorer</v>
      </c>
      <c r="F1098" s="164">
        <f>IFERROR(__xludf.DUMMYFUNCTION("""COMPUTED_VALUE"""),1791.045)</f>
        <v>1791.045</v>
      </c>
      <c r="G1098" s="163">
        <f>IFERROR(__xludf.DUMMYFUNCTION("""COMPUTED_VALUE"""),52.0)</f>
        <v>52</v>
      </c>
      <c r="H1098" s="163" t="str">
        <f>IFERROR(__xludf.DUMMYFUNCTION("""COMPUTED_VALUE"""),"C")</f>
        <v>C</v>
      </c>
      <c r="I1098" s="163">
        <f>IFERROR(__xludf.DUMMYFUNCTION("""COMPUTED_VALUE"""),31.0)</f>
        <v>31</v>
      </c>
      <c r="J1098" s="165">
        <f>IFERROR(__xludf.DUMMYFUNCTION("""COMPUTED_VALUE"""),0.895036899604305)</f>
        <v>0.8950368996</v>
      </c>
      <c r="K1098" s="165">
        <f>IFERROR(__xludf.DUMMYFUNCTION("""COMPUTED_VALUE"""),-0.765438741125035)</f>
        <v>-0.7654387411</v>
      </c>
      <c r="L1098" s="165">
        <f>IFERROR(__xludf.DUMMYFUNCTION("""COMPUTED_VALUE"""),1.66047564072934)</f>
        <v>1.660475641</v>
      </c>
      <c r="M1098" s="166">
        <f t="shared" si="2"/>
        <v>3.840754144</v>
      </c>
      <c r="N1098" s="167">
        <f t="shared" si="3"/>
        <v>34.44317308</v>
      </c>
      <c r="O1098" s="163">
        <f t="shared" ref="O1098:Q1098" si="1102">rank(I1098,I:I)</f>
        <v>490</v>
      </c>
      <c r="P1098" s="163">
        <f t="shared" si="1102"/>
        <v>697</v>
      </c>
      <c r="Q1098" s="163">
        <f t="shared" si="1102"/>
        <v>2509</v>
      </c>
      <c r="R1098" s="163">
        <f>IFERROR(__xludf.DUMMYFUNCTION("RANK(M1098,filter(M:M,C:C=C1098))"),91.0)</f>
        <v>91</v>
      </c>
      <c r="S1098" s="161" t="b">
        <f t="shared" si="5"/>
        <v>0</v>
      </c>
      <c r="T1098" s="161" t="b">
        <f t="array" ref="T1098">index('Query Tool'!B:B,match(H1098,'Query Tool'!C:C,0))</f>
        <v>1</v>
      </c>
      <c r="U1098" s="161" t="b">
        <f t="array" ref="U1098">index('Query Tool'!B:B,match(C1098,'Query Tool'!C:C,0))</f>
        <v>0</v>
      </c>
      <c r="V1098" s="161" t="b">
        <f>F1098&gt;='Query Tool'!C$32</f>
        <v>1</v>
      </c>
      <c r="W1098" s="161" t="b">
        <f t="array" ref="W1098">index(Dropdowns!B:B,match(I1098,Dropdowns!A:A,0))</f>
        <v>1</v>
      </c>
      <c r="X1098" s="161" t="b">
        <f t="array" ref="X1098">index('Query Tool'!B:B,match(D1098,'Query Tool'!C:C,0))</f>
        <v>1</v>
      </c>
      <c r="Y1098" s="161" t="str">
        <f t="shared" si="6"/>
        <v>gasolma01,2015-16</v>
      </c>
      <c r="Z1098" s="168">
        <f t="array" ref="Z1098">iferror(index(I:I,match($A1098&amp;","&amp;index('Year Conversion'!$A:$A,match($C1098,'Year Conversion'!$B:$B,0)),$Y:$Y,0))-I1098,"")</f>
        <v>1</v>
      </c>
      <c r="AA1098" s="168">
        <f t="array" ref="AA1098">iferror(index(J:J,match($A1098&amp;","&amp;index('Year Conversion'!$A:$A,match($C1098,'Year Conversion'!$B:$B,0)),$Y:$Y,0))-J1098,"")</f>
        <v>0.8326351323</v>
      </c>
      <c r="AB1098" s="168">
        <f t="array" ref="AB1098">iferror(index(K:K,match($A1098&amp;","&amp;index('Year Conversion'!$A:$A,match($C1098,'Year Conversion'!$B:$B,0)),$Y:$Y,0))-K1098,"")</f>
        <v>1.799306744</v>
      </c>
      <c r="AC1098" s="168" t="str">
        <f t="shared" si="7"/>
        <v>MEM,2015-16</v>
      </c>
    </row>
    <row r="1099">
      <c r="A1099" s="161" t="str">
        <f>IFERROR(__xludf.DUMMYFUNCTION("""COMPUTED_VALUE"""),"sessira01")</f>
        <v>sessira01</v>
      </c>
      <c r="B1099" s="161" t="str">
        <f>IFERROR(__xludf.DUMMYFUNCTION("""COMPUTED_VALUE"""),"Ramon Sessions")</f>
        <v>Ramon Sessions</v>
      </c>
      <c r="C1099" s="162" t="str">
        <f>IFERROR(__xludf.DUMMYFUNCTION("""COMPUTED_VALUE"""),"2015-16")</f>
        <v>2015-16</v>
      </c>
      <c r="D1099" s="163" t="str">
        <f>IFERROR(__xludf.DUMMYFUNCTION("""COMPUTED_VALUE"""),"WAS")</f>
        <v>WAS</v>
      </c>
      <c r="E1099" s="164" t="str">
        <f>IFERROR(__xludf.DUMMYFUNCTION("""COMPUTED_VALUE"""),"Slasher")</f>
        <v>Slasher</v>
      </c>
      <c r="F1099" s="164">
        <f>IFERROR(__xludf.DUMMYFUNCTION("""COMPUTED_VALUE"""),1667.035)</f>
        <v>1667.035</v>
      </c>
      <c r="G1099" s="163">
        <f>IFERROR(__xludf.DUMMYFUNCTION("""COMPUTED_VALUE"""),82.0)</f>
        <v>82</v>
      </c>
      <c r="H1099" s="163" t="str">
        <f>IFERROR(__xludf.DUMMYFUNCTION("""COMPUTED_VALUE"""),"PG")</f>
        <v>PG</v>
      </c>
      <c r="I1099" s="163">
        <f>IFERROR(__xludf.DUMMYFUNCTION("""COMPUTED_VALUE"""),29.0)</f>
        <v>29</v>
      </c>
      <c r="J1099" s="165">
        <f>IFERROR(__xludf.DUMMYFUNCTION("""COMPUTED_VALUE"""),-1.34834926993277)</f>
        <v>-1.34834927</v>
      </c>
      <c r="K1099" s="165">
        <f>IFERROR(__xludf.DUMMYFUNCTION("""COMPUTED_VALUE"""),0.519935621760724)</f>
        <v>0.5199356218</v>
      </c>
      <c r="L1099" s="165">
        <f>IFERROR(__xludf.DUMMYFUNCTION("""COMPUTED_VALUE"""),-1.8682848916935)</f>
        <v>-1.868284892</v>
      </c>
      <c r="M1099" s="166">
        <f t="shared" si="2"/>
        <v>1.05842098</v>
      </c>
      <c r="N1099" s="167">
        <f t="shared" si="3"/>
        <v>20.32969512</v>
      </c>
      <c r="O1099" s="163">
        <f t="shared" ref="O1099:Q1099" si="1103">rank(I1099,I:I)</f>
        <v>855</v>
      </c>
      <c r="P1099" s="163">
        <f t="shared" si="1103"/>
        <v>2908</v>
      </c>
      <c r="Q1099" s="163">
        <f t="shared" si="1103"/>
        <v>760</v>
      </c>
      <c r="R1099" s="163">
        <f>IFERROR(__xludf.DUMMYFUNCTION("RANK(M1099,filter(M:M,C:C=C1099))"),215.0)</f>
        <v>215</v>
      </c>
      <c r="S1099" s="161" t="b">
        <f t="shared" si="5"/>
        <v>0</v>
      </c>
      <c r="T1099" s="161" t="b">
        <f t="array" ref="T1099">index('Query Tool'!B:B,match(H1099,'Query Tool'!C:C,0))</f>
        <v>1</v>
      </c>
      <c r="U1099" s="161" t="b">
        <f t="array" ref="U1099">index('Query Tool'!B:B,match(C1099,'Query Tool'!C:C,0))</f>
        <v>0</v>
      </c>
      <c r="V1099" s="161" t="b">
        <f>F1099&gt;='Query Tool'!C$32</f>
        <v>1</v>
      </c>
      <c r="W1099" s="161" t="b">
        <f t="array" ref="W1099">index(Dropdowns!B:B,match(I1099,Dropdowns!A:A,0))</f>
        <v>1</v>
      </c>
      <c r="X1099" s="161" t="b">
        <f t="array" ref="X1099">index('Query Tool'!B:B,match(D1099,'Query Tool'!C:C,0))</f>
        <v>1</v>
      </c>
      <c r="Y1099" s="161" t="str">
        <f t="shared" si="6"/>
        <v>sessira01,2015-16</v>
      </c>
      <c r="Z1099" s="168">
        <f t="array" ref="Z1099">iferror(index(I:I,match($A1099&amp;","&amp;index('Year Conversion'!$A:$A,match($C1099,'Year Conversion'!$B:$B,0)),$Y:$Y,0))-I1099,"")</f>
        <v>1</v>
      </c>
      <c r="AA1099" s="168">
        <f t="array" ref="AA1099">iferror(index(J:J,match($A1099&amp;","&amp;index('Year Conversion'!$A:$A,match($C1099,'Year Conversion'!$B:$B,0)),$Y:$Y,0))-J1099,"")</f>
        <v>0.358450308</v>
      </c>
      <c r="AB1099" s="168">
        <f t="array" ref="AB1099">iferror(index(K:K,match($A1099&amp;","&amp;index('Year Conversion'!$A:$A,match($C1099,'Year Conversion'!$B:$B,0)),$Y:$Y,0))-K1099,"")</f>
        <v>-0.7951932308</v>
      </c>
      <c r="AC1099" s="168" t="str">
        <f t="shared" si="7"/>
        <v>WAS,2015-16</v>
      </c>
    </row>
    <row r="1100">
      <c r="A1100" s="161" t="str">
        <f>IFERROR(__xludf.DUMMYFUNCTION("""COMPUTED_VALUE"""),"anthojo01")</f>
        <v>anthojo01</v>
      </c>
      <c r="B1100" s="161" t="str">
        <f>IFERROR(__xludf.DUMMYFUNCTION("""COMPUTED_VALUE"""),"Joel Anthony")</f>
        <v>Joel Anthony</v>
      </c>
      <c r="C1100" s="162" t="str">
        <f>IFERROR(__xludf.DUMMYFUNCTION("""COMPUTED_VALUE"""),"2015-16")</f>
        <v>2015-16</v>
      </c>
      <c r="D1100" s="163" t="str">
        <f>IFERROR(__xludf.DUMMYFUNCTION("""COMPUTED_VALUE"""),"DET")</f>
        <v>DET</v>
      </c>
      <c r="E1100" s="164" t="str">
        <f>IFERROR(__xludf.DUMMYFUNCTION("""COMPUTED_VALUE"""),"Roll + Cut Big")</f>
        <v>Roll + Cut Big</v>
      </c>
      <c r="F1100" s="164">
        <f>IFERROR(__xludf.DUMMYFUNCTION("""COMPUTED_VALUE"""),95.7033333333334)</f>
        <v>95.70333333</v>
      </c>
      <c r="G1100" s="163">
        <f>IFERROR(__xludf.DUMMYFUNCTION("""COMPUTED_VALUE"""),19.0)</f>
        <v>19</v>
      </c>
      <c r="H1100" s="163" t="str">
        <f>IFERROR(__xludf.DUMMYFUNCTION("""COMPUTED_VALUE"""),"C")</f>
        <v>C</v>
      </c>
      <c r="I1100" s="163">
        <f>IFERROR(__xludf.DUMMYFUNCTION("""COMPUTED_VALUE"""),33.0)</f>
        <v>33</v>
      </c>
      <c r="J1100" s="165">
        <f>IFERROR(__xludf.DUMMYFUNCTION("""COMPUTED_VALUE"""),0.118112086167056)</f>
        <v>0.1181120862</v>
      </c>
      <c r="K1100" s="165">
        <f>IFERROR(__xludf.DUMMYFUNCTION("""COMPUTED_VALUE"""),-0.594917848875348)</f>
        <v>-0.5949178489</v>
      </c>
      <c r="L1100" s="165">
        <f>IFERROR(__xludf.DUMMYFUNCTION("""COMPUTED_VALUE"""),0.713029935042404)</f>
        <v>0.713029935</v>
      </c>
      <c r="M1100" s="166">
        <f t="shared" si="2"/>
        <v>0.1551633443</v>
      </c>
      <c r="N1100" s="167">
        <f t="shared" si="3"/>
        <v>5.037017544</v>
      </c>
      <c r="O1100" s="163">
        <f t="shared" ref="O1100:Q1100" si="1104">rank(I1100,I:I)</f>
        <v>246</v>
      </c>
      <c r="P1100" s="163">
        <f t="shared" si="1104"/>
        <v>1164</v>
      </c>
      <c r="Q1100" s="163">
        <f t="shared" si="1104"/>
        <v>2258</v>
      </c>
      <c r="R1100" s="163">
        <f>IFERROR(__xludf.DUMMYFUNCTION("RANK(M1100,filter(M:M,C:C=C1100))"),353.0)</f>
        <v>353</v>
      </c>
      <c r="S1100" s="161" t="b">
        <f t="shared" si="5"/>
        <v>0</v>
      </c>
      <c r="T1100" s="161" t="b">
        <f t="array" ref="T1100">index('Query Tool'!B:B,match(H1100,'Query Tool'!C:C,0))</f>
        <v>1</v>
      </c>
      <c r="U1100" s="161" t="b">
        <f t="array" ref="U1100">index('Query Tool'!B:B,match(C1100,'Query Tool'!C:C,0))</f>
        <v>0</v>
      </c>
      <c r="V1100" s="161" t="b">
        <f>F1100&gt;='Query Tool'!C$32</f>
        <v>0</v>
      </c>
      <c r="W1100" s="161" t="b">
        <f t="array" ref="W1100">index(Dropdowns!B:B,match(I1100,Dropdowns!A:A,0))</f>
        <v>1</v>
      </c>
      <c r="X1100" s="161" t="b">
        <f t="array" ref="X1100">index('Query Tool'!B:B,match(D1100,'Query Tool'!C:C,0))</f>
        <v>1</v>
      </c>
      <c r="Y1100" s="161" t="str">
        <f t="shared" si="6"/>
        <v>anthojo01,2015-16</v>
      </c>
      <c r="Z1100" s="168">
        <f t="array" ref="Z1100">iferror(index(I:I,match($A1100&amp;","&amp;index('Year Conversion'!$A:$A,match($C1100,'Year Conversion'!$B:$B,0)),$Y:$Y,0))-I1100,"")</f>
        <v>1</v>
      </c>
      <c r="AA1100" s="168">
        <f t="array" ref="AA1100">iferror(index(J:J,match($A1100&amp;","&amp;index('Year Conversion'!$A:$A,match($C1100,'Year Conversion'!$B:$B,0)),$Y:$Y,0))-J1100,"")</f>
        <v>-1.441188523</v>
      </c>
      <c r="AB1100" s="168">
        <f t="array" ref="AB1100">iferror(index(K:K,match($A1100&amp;","&amp;index('Year Conversion'!$A:$A,match($C1100,'Year Conversion'!$B:$B,0)),$Y:$Y,0))-K1100,"")</f>
        <v>-0.6175215523</v>
      </c>
      <c r="AC1100" s="168" t="str">
        <f t="shared" si="7"/>
        <v>DET,2015-16</v>
      </c>
    </row>
    <row r="1101">
      <c r="A1101" s="161" t="str">
        <f>IFERROR(__xludf.DUMMYFUNCTION("""COMPUTED_VALUE"""),"watsocj01")</f>
        <v>watsocj01</v>
      </c>
      <c r="B1101" s="161" t="str">
        <f>IFERROR(__xludf.DUMMYFUNCTION("""COMPUTED_VALUE"""),"C.J. Watson")</f>
        <v>C.J. Watson</v>
      </c>
      <c r="C1101" s="162" t="str">
        <f>IFERROR(__xludf.DUMMYFUNCTION("""COMPUTED_VALUE"""),"2015-16")</f>
        <v>2015-16</v>
      </c>
      <c r="D1101" s="163" t="str">
        <f>IFERROR(__xludf.DUMMYFUNCTION("""COMPUTED_VALUE"""),"ORL")</f>
        <v>ORL</v>
      </c>
      <c r="E1101" s="164" t="str">
        <f>IFERROR(__xludf.DUMMYFUNCTION("""COMPUTED_VALUE"""),"Secondary Ball Handler")</f>
        <v>Secondary Ball Handler</v>
      </c>
      <c r="F1101" s="164">
        <f>IFERROR(__xludf.DUMMYFUNCTION("""COMPUTED_VALUE"""),655.703333333333)</f>
        <v>655.7033333</v>
      </c>
      <c r="G1101" s="163">
        <f>IFERROR(__xludf.DUMMYFUNCTION("""COMPUTED_VALUE"""),33.0)</f>
        <v>33</v>
      </c>
      <c r="H1101" s="163" t="str">
        <f>IFERROR(__xludf.DUMMYFUNCTION("""COMPUTED_VALUE"""),"PG")</f>
        <v>PG</v>
      </c>
      <c r="I1101" s="163">
        <f>IFERROR(__xludf.DUMMYFUNCTION("""COMPUTED_VALUE"""),31.0)</f>
        <v>31</v>
      </c>
      <c r="J1101" s="165">
        <f>IFERROR(__xludf.DUMMYFUNCTION("""COMPUTED_VALUE"""),-1.65153742315158)</f>
        <v>-1.651537423</v>
      </c>
      <c r="K1101" s="165">
        <f>IFERROR(__xludf.DUMMYFUNCTION("""COMPUTED_VALUE"""),-0.677477045949062)</f>
        <v>-0.6774770459</v>
      </c>
      <c r="L1101" s="165">
        <f>IFERROR(__xludf.DUMMYFUNCTION("""COMPUTED_VALUE"""),-0.974060377202517)</f>
        <v>-0.9740603772</v>
      </c>
      <c r="M1101" s="166">
        <f t="shared" si="2"/>
        <v>0.2835371821</v>
      </c>
      <c r="N1101" s="167">
        <f t="shared" si="3"/>
        <v>19.86979798</v>
      </c>
      <c r="O1101" s="163">
        <f t="shared" ref="O1101:Q1101" si="1105">rank(I1101,I:I)</f>
        <v>490</v>
      </c>
      <c r="P1101" s="163">
        <f t="shared" si="1105"/>
        <v>3197</v>
      </c>
      <c r="Q1101" s="163">
        <f t="shared" si="1105"/>
        <v>2382</v>
      </c>
      <c r="R1101" s="163">
        <f>IFERROR(__xludf.DUMMYFUNCTION("RANK(M1101,filter(M:M,C:C=C1101))"),316.0)</f>
        <v>316</v>
      </c>
      <c r="S1101" s="161" t="b">
        <f t="shared" si="5"/>
        <v>0</v>
      </c>
      <c r="T1101" s="161" t="b">
        <f t="array" ref="T1101">index('Query Tool'!B:B,match(H1101,'Query Tool'!C:C,0))</f>
        <v>1</v>
      </c>
      <c r="U1101" s="161" t="b">
        <f t="array" ref="U1101">index('Query Tool'!B:B,match(C1101,'Query Tool'!C:C,0))</f>
        <v>0</v>
      </c>
      <c r="V1101" s="161" t="b">
        <f>F1101&gt;='Query Tool'!C$32</f>
        <v>1</v>
      </c>
      <c r="W1101" s="161" t="b">
        <f t="array" ref="W1101">index(Dropdowns!B:B,match(I1101,Dropdowns!A:A,0))</f>
        <v>1</v>
      </c>
      <c r="X1101" s="161" t="b">
        <f t="array" ref="X1101">index('Query Tool'!B:B,match(D1101,'Query Tool'!C:C,0))</f>
        <v>1</v>
      </c>
      <c r="Y1101" s="161" t="str">
        <f t="shared" si="6"/>
        <v>watsocj01,2015-16</v>
      </c>
      <c r="Z1101" s="168">
        <f t="array" ref="Z1101">iferror(index(I:I,match($A1101&amp;","&amp;index('Year Conversion'!$A:$A,match($C1101,'Year Conversion'!$B:$B,0)),$Y:$Y,0))-I1101,"")</f>
        <v>1</v>
      </c>
      <c r="AA1101" s="168">
        <f t="array" ref="AA1101">iferror(index(J:J,match($A1101&amp;","&amp;index('Year Conversion'!$A:$A,match($C1101,'Year Conversion'!$B:$B,0)),$Y:$Y,0))-J1101,"")</f>
        <v>0.04894956008</v>
      </c>
      <c r="AB1101" s="168">
        <f t="array" ref="AB1101">iferror(index(K:K,match($A1101&amp;","&amp;index('Year Conversion'!$A:$A,match($C1101,'Year Conversion'!$B:$B,0)),$Y:$Y,0))-K1101,"")</f>
        <v>-1.008213128</v>
      </c>
      <c r="AC1101" s="168" t="str">
        <f t="shared" si="7"/>
        <v>ORL,2015-16</v>
      </c>
    </row>
    <row r="1102">
      <c r="A1102" s="161" t="str">
        <f>IFERROR(__xludf.DUMMYFUNCTION("""COMPUTED_VALUE"""),"tollian01")</f>
        <v>tollian01</v>
      </c>
      <c r="B1102" s="161" t="str">
        <f>IFERROR(__xludf.DUMMYFUNCTION("""COMPUTED_VALUE"""),"Anthony Tolliver")</f>
        <v>Anthony Tolliver</v>
      </c>
      <c r="C1102" s="162" t="str">
        <f>IFERROR(__xludf.DUMMYFUNCTION("""COMPUTED_VALUE"""),"2015-16")</f>
        <v>2015-16</v>
      </c>
      <c r="D1102" s="163" t="str">
        <f>IFERROR(__xludf.DUMMYFUNCTION("""COMPUTED_VALUE"""),"DET")</f>
        <v>DET</v>
      </c>
      <c r="E1102" s="164" t="str">
        <f>IFERROR(__xludf.DUMMYFUNCTION("""COMPUTED_VALUE"""),"Stationary Shooter")</f>
        <v>Stationary Shooter</v>
      </c>
      <c r="F1102" s="164">
        <f>IFERROR(__xludf.DUMMYFUNCTION("""COMPUTED_VALUE"""),1340.61)</f>
        <v>1340.61</v>
      </c>
      <c r="G1102" s="163">
        <f>IFERROR(__xludf.DUMMYFUNCTION("""COMPUTED_VALUE"""),72.0)</f>
        <v>72</v>
      </c>
      <c r="H1102" s="163" t="str">
        <f>IFERROR(__xludf.DUMMYFUNCTION("""COMPUTED_VALUE"""),"PF")</f>
        <v>PF</v>
      </c>
      <c r="I1102" s="163">
        <f>IFERROR(__xludf.DUMMYFUNCTION("""COMPUTED_VALUE"""),30.0)</f>
        <v>30</v>
      </c>
      <c r="J1102" s="165">
        <f>IFERROR(__xludf.DUMMYFUNCTION("""COMPUTED_VALUE"""),0.446996459131567)</f>
        <v>0.4469964591</v>
      </c>
      <c r="K1102" s="165">
        <f>IFERROR(__xludf.DUMMYFUNCTION("""COMPUTED_VALUE"""),0.0254080948344375)</f>
        <v>0.02540809483</v>
      </c>
      <c r="L1102" s="165">
        <f>IFERROR(__xludf.DUMMYFUNCTION("""COMPUTED_VALUE"""),0.421588364297129)</f>
        <v>0.4215883643</v>
      </c>
      <c r="M1102" s="166">
        <f t="shared" si="2"/>
        <v>2.470668495</v>
      </c>
      <c r="N1102" s="167">
        <f t="shared" si="3"/>
        <v>18.61958333</v>
      </c>
      <c r="O1102" s="163">
        <f t="shared" ref="O1102:Q1102" si="1106">rank(I1102,I:I)</f>
        <v>655</v>
      </c>
      <c r="P1102" s="163">
        <f t="shared" si="1106"/>
        <v>927</v>
      </c>
      <c r="Q1102" s="163">
        <f t="shared" si="1106"/>
        <v>1163</v>
      </c>
      <c r="R1102" s="163">
        <f>IFERROR(__xludf.DUMMYFUNCTION("RANK(M1102,filter(M:M,C:C=C1102))"),135.0)</f>
        <v>135</v>
      </c>
      <c r="S1102" s="161" t="b">
        <f t="shared" si="5"/>
        <v>0</v>
      </c>
      <c r="T1102" s="161" t="b">
        <f t="array" ref="T1102">index('Query Tool'!B:B,match(H1102,'Query Tool'!C:C,0))</f>
        <v>1</v>
      </c>
      <c r="U1102" s="161" t="b">
        <f t="array" ref="U1102">index('Query Tool'!B:B,match(C1102,'Query Tool'!C:C,0))</f>
        <v>0</v>
      </c>
      <c r="V1102" s="161" t="b">
        <f>F1102&gt;='Query Tool'!C$32</f>
        <v>1</v>
      </c>
      <c r="W1102" s="161" t="b">
        <f t="array" ref="W1102">index(Dropdowns!B:B,match(I1102,Dropdowns!A:A,0))</f>
        <v>1</v>
      </c>
      <c r="X1102" s="161" t="b">
        <f t="array" ref="X1102">index('Query Tool'!B:B,match(D1102,'Query Tool'!C:C,0))</f>
        <v>1</v>
      </c>
      <c r="Y1102" s="161" t="str">
        <f t="shared" si="6"/>
        <v>tollian01,2015-16</v>
      </c>
      <c r="Z1102" s="168">
        <f t="array" ref="Z1102">iferror(index(I:I,match($A1102&amp;","&amp;index('Year Conversion'!$A:$A,match($C1102,'Year Conversion'!$B:$B,0)),$Y:$Y,0))-I1102,"")</f>
        <v>1</v>
      </c>
      <c r="AA1102" s="168">
        <f t="array" ref="AA1102">iferror(index(J:J,match($A1102&amp;","&amp;index('Year Conversion'!$A:$A,match($C1102,'Year Conversion'!$B:$B,0)),$Y:$Y,0))-J1102,"")</f>
        <v>-2.530318839</v>
      </c>
      <c r="AB1102" s="168">
        <f t="array" ref="AB1102">iferror(index(K:K,match($A1102&amp;","&amp;index('Year Conversion'!$A:$A,match($C1102,'Year Conversion'!$B:$B,0)),$Y:$Y,0))-K1102,"")</f>
        <v>-1.215435915</v>
      </c>
      <c r="AC1102" s="168" t="str">
        <f t="shared" si="7"/>
        <v>DET,2015-16</v>
      </c>
    </row>
    <row r="1103">
      <c r="A1103" s="161" t="str">
        <f>IFERROR(__xludf.DUMMYFUNCTION("""COMPUTED_VALUE"""),"beaslmi01")</f>
        <v>beaslmi01</v>
      </c>
      <c r="B1103" s="161" t="str">
        <f>IFERROR(__xludf.DUMMYFUNCTION("""COMPUTED_VALUE"""),"Michael Beasley")</f>
        <v>Michael Beasley</v>
      </c>
      <c r="C1103" s="162" t="str">
        <f>IFERROR(__xludf.DUMMYFUNCTION("""COMPUTED_VALUE"""),"2015-16")</f>
        <v>2015-16</v>
      </c>
      <c r="D1103" s="163" t="str">
        <f>IFERROR(__xludf.DUMMYFUNCTION("""COMPUTED_VALUE"""),"HOU")</f>
        <v>HOU</v>
      </c>
      <c r="E1103" s="164" t="str">
        <f>IFERROR(__xludf.DUMMYFUNCTION("""COMPUTED_VALUE"""),"Roll + Cut Big")</f>
        <v>Roll + Cut Big</v>
      </c>
      <c r="F1103" s="164">
        <f>IFERROR(__xludf.DUMMYFUNCTION("""COMPUTED_VALUE"""),362.586666666667)</f>
        <v>362.5866667</v>
      </c>
      <c r="G1103" s="163">
        <f>IFERROR(__xludf.DUMMYFUNCTION("""COMPUTED_VALUE"""),20.0)</f>
        <v>20</v>
      </c>
      <c r="H1103" s="163" t="str">
        <f>IFERROR(__xludf.DUMMYFUNCTION("""COMPUTED_VALUE"""),"PF")</f>
        <v>PF</v>
      </c>
      <c r="I1103" s="163">
        <f>IFERROR(__xludf.DUMMYFUNCTION("""COMPUTED_VALUE"""),27.0)</f>
        <v>27</v>
      </c>
      <c r="J1103" s="165">
        <f>IFERROR(__xludf.DUMMYFUNCTION("""COMPUTED_VALUE"""),-1.42413225962359)</f>
        <v>-1.42413226</v>
      </c>
      <c r="K1103" s="165">
        <f>IFERROR(__xludf.DUMMYFUNCTION("""COMPUTED_VALUE"""),0.100585368701)</f>
        <v>0.1005853687</v>
      </c>
      <c r="L1103" s="165">
        <f>IFERROR(__xludf.DUMMYFUNCTION("""COMPUTED_VALUE"""),-1.52471762832459)</f>
        <v>-1.524717628</v>
      </c>
      <c r="M1103" s="166">
        <f t="shared" si="2"/>
        <v>0.2118330141</v>
      </c>
      <c r="N1103" s="167">
        <f t="shared" si="3"/>
        <v>18.12933333</v>
      </c>
      <c r="O1103" s="163">
        <f t="shared" ref="O1103:Q1103" si="1107">rank(I1103,I:I)</f>
        <v>1366</v>
      </c>
      <c r="P1103" s="163">
        <f t="shared" si="1107"/>
        <v>2978</v>
      </c>
      <c r="Q1103" s="163">
        <f t="shared" si="1107"/>
        <v>1068</v>
      </c>
      <c r="R1103" s="163">
        <f>IFERROR(__xludf.DUMMYFUNCTION("RANK(M1103,filter(M:M,C:C=C1103))"),343.0)</f>
        <v>343</v>
      </c>
      <c r="S1103" s="161" t="b">
        <f t="shared" si="5"/>
        <v>0</v>
      </c>
      <c r="T1103" s="161" t="b">
        <f t="array" ref="T1103">index('Query Tool'!B:B,match(H1103,'Query Tool'!C:C,0))</f>
        <v>1</v>
      </c>
      <c r="U1103" s="161" t="b">
        <f t="array" ref="U1103">index('Query Tool'!B:B,match(C1103,'Query Tool'!C:C,0))</f>
        <v>0</v>
      </c>
      <c r="V1103" s="161" t="b">
        <f>F1103&gt;='Query Tool'!C$32</f>
        <v>0</v>
      </c>
      <c r="W1103" s="161" t="b">
        <f t="array" ref="W1103">index(Dropdowns!B:B,match(I1103,Dropdowns!A:A,0))</f>
        <v>1</v>
      </c>
      <c r="X1103" s="161" t="b">
        <f t="array" ref="X1103">index('Query Tool'!B:B,match(D1103,'Query Tool'!C:C,0))</f>
        <v>1</v>
      </c>
      <c r="Y1103" s="161" t="str">
        <f t="shared" si="6"/>
        <v>beaslmi01,2015-16</v>
      </c>
      <c r="Z1103" s="168">
        <f t="array" ref="Z1103">iferror(index(I:I,match($A1103&amp;","&amp;index('Year Conversion'!$A:$A,match($C1103,'Year Conversion'!$B:$B,0)),$Y:$Y,0))-I1103,"")</f>
        <v>1</v>
      </c>
      <c r="AA1103" s="168">
        <f t="array" ref="AA1103">iferror(index(J:J,match($A1103&amp;","&amp;index('Year Conversion'!$A:$A,match($C1103,'Year Conversion'!$B:$B,0)),$Y:$Y,0))-J1103,"")</f>
        <v>0.1223302842</v>
      </c>
      <c r="AB1103" s="168">
        <f t="array" ref="AB1103">iferror(index(K:K,match($A1103&amp;","&amp;index('Year Conversion'!$A:$A,match($C1103,'Year Conversion'!$B:$B,0)),$Y:$Y,0))-K1103,"")</f>
        <v>-0.7561813517</v>
      </c>
      <c r="AC1103" s="168" t="str">
        <f t="shared" si="7"/>
        <v>HOU,2015-16</v>
      </c>
    </row>
    <row r="1104">
      <c r="A1104" s="161" t="str">
        <f>IFERROR(__xludf.DUMMYFUNCTION("""COMPUTED_VALUE"""),"mayooj01")</f>
        <v>mayooj01</v>
      </c>
      <c r="B1104" s="161" t="str">
        <f>IFERROR(__xludf.DUMMYFUNCTION("""COMPUTED_VALUE"""),"O.J. Mayo")</f>
        <v>O.J. Mayo</v>
      </c>
      <c r="C1104" s="162" t="str">
        <f>IFERROR(__xludf.DUMMYFUNCTION("""COMPUTED_VALUE"""),"2015-16")</f>
        <v>2015-16</v>
      </c>
      <c r="D1104" s="163" t="str">
        <f>IFERROR(__xludf.DUMMYFUNCTION("""COMPUTED_VALUE"""),"MIL")</f>
        <v>MIL</v>
      </c>
      <c r="E1104" s="164" t="str">
        <f>IFERROR(__xludf.DUMMYFUNCTION("""COMPUTED_VALUE"""),"Stationary Shooter")</f>
        <v>Stationary Shooter</v>
      </c>
      <c r="F1104" s="164">
        <f>IFERROR(__xludf.DUMMYFUNCTION("""COMPUTED_VALUE"""),1089.67666666667)</f>
        <v>1089.676667</v>
      </c>
      <c r="G1104" s="163">
        <f>IFERROR(__xludf.DUMMYFUNCTION("""COMPUTED_VALUE"""),41.0)</f>
        <v>41</v>
      </c>
      <c r="H1104" s="163" t="str">
        <f>IFERROR(__xludf.DUMMYFUNCTION("""COMPUTED_VALUE"""),"SG")</f>
        <v>SG</v>
      </c>
      <c r="I1104" s="163">
        <f>IFERROR(__xludf.DUMMYFUNCTION("""COMPUTED_VALUE"""),28.0)</f>
        <v>28</v>
      </c>
      <c r="J1104" s="165">
        <f>IFERROR(__xludf.DUMMYFUNCTION("""COMPUTED_VALUE"""),-1.63181786253031)</f>
        <v>-1.631817863</v>
      </c>
      <c r="K1104" s="165">
        <f>IFERROR(__xludf.DUMMYFUNCTION("""COMPUTED_VALUE"""),-1.59106719735471)</f>
        <v>-1.591067197</v>
      </c>
      <c r="L1104" s="165">
        <f>IFERROR(__xludf.DUMMYFUNCTION("""COMPUTED_VALUE"""),-0.0407506651756039)</f>
        <v>-0.04075066518</v>
      </c>
      <c r="M1104" s="166">
        <f t="shared" si="2"/>
        <v>0.4855200149</v>
      </c>
      <c r="N1104" s="167">
        <f t="shared" si="3"/>
        <v>26.57747967</v>
      </c>
      <c r="O1104" s="163">
        <f t="shared" ref="O1104:Q1104" si="1108">rank(I1104,I:I)</f>
        <v>1090</v>
      </c>
      <c r="P1104" s="163">
        <f t="shared" si="1108"/>
        <v>3178</v>
      </c>
      <c r="Q1104" s="163">
        <f t="shared" si="1108"/>
        <v>3441</v>
      </c>
      <c r="R1104" s="163">
        <f>IFERROR(__xludf.DUMMYFUNCTION("RANK(M1104,filter(M:M,C:C=C1104))"),284.0)</f>
        <v>284</v>
      </c>
      <c r="S1104" s="161" t="b">
        <f t="shared" si="5"/>
        <v>0</v>
      </c>
      <c r="T1104" s="161" t="b">
        <f t="array" ref="T1104">index('Query Tool'!B:B,match(H1104,'Query Tool'!C:C,0))</f>
        <v>1</v>
      </c>
      <c r="U1104" s="161" t="b">
        <f t="array" ref="U1104">index('Query Tool'!B:B,match(C1104,'Query Tool'!C:C,0))</f>
        <v>0</v>
      </c>
      <c r="V1104" s="161" t="b">
        <f>F1104&gt;='Query Tool'!C$32</f>
        <v>1</v>
      </c>
      <c r="W1104" s="161" t="b">
        <f t="array" ref="W1104">index(Dropdowns!B:B,match(I1104,Dropdowns!A:A,0))</f>
        <v>1</v>
      </c>
      <c r="X1104" s="161" t="b">
        <f t="array" ref="X1104">index('Query Tool'!B:B,match(D1104,'Query Tool'!C:C,0))</f>
        <v>1</v>
      </c>
      <c r="Y1104" s="161" t="str">
        <f t="shared" si="6"/>
        <v>mayooj01,2015-16</v>
      </c>
      <c r="Z1104" s="168" t="str">
        <f t="array" ref="Z1104">iferror(index(I:I,match($A1104&amp;","&amp;index('Year Conversion'!$A:$A,match($C1104,'Year Conversion'!$B:$B,0)),$Y:$Y,0))-I1104,"")</f>
        <v/>
      </c>
      <c r="AA1104" s="168" t="str">
        <f t="array" ref="AA1104">iferror(index(J:J,match($A1104&amp;","&amp;index('Year Conversion'!$A:$A,match($C1104,'Year Conversion'!$B:$B,0)),$Y:$Y,0))-J1104,"")</f>
        <v/>
      </c>
      <c r="AB1104" s="168" t="str">
        <f t="array" ref="AB1104">iferror(index(K:K,match($A1104&amp;","&amp;index('Year Conversion'!$A:$A,match($C1104,'Year Conversion'!$B:$B,0)),$Y:$Y,0))-K1104,"")</f>
        <v/>
      </c>
      <c r="AC1104" s="168" t="str">
        <f t="shared" si="7"/>
        <v>MIL,2015-16</v>
      </c>
    </row>
    <row r="1105">
      <c r="A1105" s="161" t="str">
        <f>IFERROR(__xludf.DUMMYFUNCTION("""COMPUTED_VALUE"""),"rosede01")</f>
        <v>rosede01</v>
      </c>
      <c r="B1105" s="161" t="str">
        <f>IFERROR(__xludf.DUMMYFUNCTION("""COMPUTED_VALUE"""),"Derrick Rose")</f>
        <v>Derrick Rose</v>
      </c>
      <c r="C1105" s="162" t="str">
        <f>IFERROR(__xludf.DUMMYFUNCTION("""COMPUTED_VALUE"""),"2015-16")</f>
        <v>2015-16</v>
      </c>
      <c r="D1105" s="163" t="str">
        <f>IFERROR(__xludf.DUMMYFUNCTION("""COMPUTED_VALUE"""),"CHI")</f>
        <v>CHI</v>
      </c>
      <c r="E1105" s="164" t="str">
        <f>IFERROR(__xludf.DUMMYFUNCTION("""COMPUTED_VALUE"""),"Slasher")</f>
        <v>Slasher</v>
      </c>
      <c r="F1105" s="164">
        <f>IFERROR(__xludf.DUMMYFUNCTION("""COMPUTED_VALUE"""),2097.42333333333)</f>
        <v>2097.423333</v>
      </c>
      <c r="G1105" s="163">
        <f>IFERROR(__xludf.DUMMYFUNCTION("""COMPUTED_VALUE"""),66.0)</f>
        <v>66</v>
      </c>
      <c r="H1105" s="163" t="str">
        <f>IFERROR(__xludf.DUMMYFUNCTION("""COMPUTED_VALUE"""),"PG")</f>
        <v>PG</v>
      </c>
      <c r="I1105" s="163">
        <f>IFERROR(__xludf.DUMMYFUNCTION("""COMPUTED_VALUE"""),27.0)</f>
        <v>27</v>
      </c>
      <c r="J1105" s="165">
        <f>IFERROR(__xludf.DUMMYFUNCTION("""COMPUTED_VALUE"""),-2.76410785178462)</f>
        <v>-2.764107852</v>
      </c>
      <c r="K1105" s="165">
        <f>IFERROR(__xludf.DUMMYFUNCTION("""COMPUTED_VALUE"""),-0.663345348124807)</f>
        <v>-0.6633453481</v>
      </c>
      <c r="L1105" s="165">
        <f>IFERROR(__xludf.DUMMYFUNCTION("""COMPUTED_VALUE"""),-2.10076250365981)</f>
        <v>-2.100762504</v>
      </c>
      <c r="M1105" s="166">
        <f t="shared" si="2"/>
        <v>-0.6341260536</v>
      </c>
      <c r="N1105" s="167">
        <f t="shared" si="3"/>
        <v>31.77914141</v>
      </c>
      <c r="O1105" s="163">
        <f t="shared" ref="O1105:Q1105" si="1109">rank(I1105,I:I)</f>
        <v>1366</v>
      </c>
      <c r="P1105" s="163">
        <f t="shared" si="1109"/>
        <v>3836</v>
      </c>
      <c r="Q1105" s="163">
        <f t="shared" si="1109"/>
        <v>2358</v>
      </c>
      <c r="R1105" s="163">
        <f>IFERROR(__xludf.DUMMYFUNCTION("RANK(M1105,filter(M:M,C:C=C1105))"),456.0)</f>
        <v>456</v>
      </c>
      <c r="S1105" s="161" t="b">
        <f t="shared" si="5"/>
        <v>0</v>
      </c>
      <c r="T1105" s="161" t="b">
        <f t="array" ref="T1105">index('Query Tool'!B:B,match(H1105,'Query Tool'!C:C,0))</f>
        <v>1</v>
      </c>
      <c r="U1105" s="161" t="b">
        <f t="array" ref="U1105">index('Query Tool'!B:B,match(C1105,'Query Tool'!C:C,0))</f>
        <v>0</v>
      </c>
      <c r="V1105" s="161" t="b">
        <f>F1105&gt;='Query Tool'!C$32</f>
        <v>1</v>
      </c>
      <c r="W1105" s="161" t="b">
        <f t="array" ref="W1105">index(Dropdowns!B:B,match(I1105,Dropdowns!A:A,0))</f>
        <v>1</v>
      </c>
      <c r="X1105" s="161" t="b">
        <f t="array" ref="X1105">index('Query Tool'!B:B,match(D1105,'Query Tool'!C:C,0))</f>
        <v>1</v>
      </c>
      <c r="Y1105" s="161" t="str">
        <f t="shared" si="6"/>
        <v>rosede01,2015-16</v>
      </c>
      <c r="Z1105" s="168">
        <f t="array" ref="Z1105">iferror(index(I:I,match($A1105&amp;","&amp;index('Year Conversion'!$A:$A,match($C1105,'Year Conversion'!$B:$B,0)),$Y:$Y,0))-I1105,"")</f>
        <v>1</v>
      </c>
      <c r="AA1105" s="168">
        <f t="array" ref="AA1105">iferror(index(J:J,match($A1105&amp;","&amp;index('Year Conversion'!$A:$A,match($C1105,'Year Conversion'!$B:$B,0)),$Y:$Y,0))-J1105,"")</f>
        <v>2.273714627</v>
      </c>
      <c r="AB1105" s="168">
        <f t="array" ref="AB1105">iferror(index(K:K,match($A1105&amp;","&amp;index('Year Conversion'!$A:$A,match($C1105,'Year Conversion'!$B:$B,0)),$Y:$Y,0))-K1105,"")</f>
        <v>1.734507645</v>
      </c>
      <c r="AC1105" s="168" t="str">
        <f t="shared" si="7"/>
        <v>CHI,2015-16</v>
      </c>
    </row>
    <row r="1106">
      <c r="A1106" s="161" t="str">
        <f>IFERROR(__xludf.DUMMYFUNCTION("""COMPUTED_VALUE"""),"westbru01")</f>
        <v>westbru01</v>
      </c>
      <c r="B1106" s="161" t="str">
        <f>IFERROR(__xludf.DUMMYFUNCTION("""COMPUTED_VALUE"""),"Russell Westbrook")</f>
        <v>Russell Westbrook</v>
      </c>
      <c r="C1106" s="162" t="str">
        <f>IFERROR(__xludf.DUMMYFUNCTION("""COMPUTED_VALUE"""),"2015-16")</f>
        <v>2015-16</v>
      </c>
      <c r="D1106" s="163" t="str">
        <f>IFERROR(__xludf.DUMMYFUNCTION("""COMPUTED_VALUE"""),"OKC")</f>
        <v>OKC</v>
      </c>
      <c r="E1106" s="164" t="str">
        <f>IFERROR(__xludf.DUMMYFUNCTION("""COMPUTED_VALUE"""),"Shot Creator")</f>
        <v>Shot Creator</v>
      </c>
      <c r="F1106" s="164">
        <f>IFERROR(__xludf.DUMMYFUNCTION("""COMPUTED_VALUE"""),2749.46833333333)</f>
        <v>2749.468333</v>
      </c>
      <c r="G1106" s="163">
        <f>IFERROR(__xludf.DUMMYFUNCTION("""COMPUTED_VALUE"""),80.0)</f>
        <v>80</v>
      </c>
      <c r="H1106" s="163" t="str">
        <f>IFERROR(__xludf.DUMMYFUNCTION("""COMPUTED_VALUE"""),"PG")</f>
        <v>PG</v>
      </c>
      <c r="I1106" s="163">
        <f>IFERROR(__xludf.DUMMYFUNCTION("""COMPUTED_VALUE"""),27.0)</f>
        <v>27</v>
      </c>
      <c r="J1106" s="165">
        <f>IFERROR(__xludf.DUMMYFUNCTION("""COMPUTED_VALUE"""),6.59053934084277)</f>
        <v>6.590539341</v>
      </c>
      <c r="K1106" s="165">
        <f>IFERROR(__xludf.DUMMYFUNCTION("""COMPUTED_VALUE"""),6.09466126805497)</f>
        <v>6.094661268</v>
      </c>
      <c r="L1106" s="165">
        <f>IFERROR(__xludf.DUMMYFUNCTION("""COMPUTED_VALUE"""),0.495878072787798)</f>
        <v>0.4958780728</v>
      </c>
      <c r="M1106" s="166">
        <f t="shared" si="2"/>
        <v>15.7678773</v>
      </c>
      <c r="N1106" s="167">
        <f t="shared" si="3"/>
        <v>34.36835417</v>
      </c>
      <c r="O1106" s="163">
        <f t="shared" ref="O1106:Q1106" si="1110">rank(I1106,I:I)</f>
        <v>1366</v>
      </c>
      <c r="P1106" s="163">
        <f t="shared" si="1110"/>
        <v>12</v>
      </c>
      <c r="Q1106" s="163">
        <f t="shared" si="1110"/>
        <v>10</v>
      </c>
      <c r="R1106" s="163">
        <f>IFERROR(__xludf.DUMMYFUNCTION("RANK(M1106,filter(M:M,C:C=C1106))"),2.0)</f>
        <v>2</v>
      </c>
      <c r="S1106" s="161" t="b">
        <f t="shared" si="5"/>
        <v>0</v>
      </c>
      <c r="T1106" s="161" t="b">
        <f t="array" ref="T1106">index('Query Tool'!B:B,match(H1106,'Query Tool'!C:C,0))</f>
        <v>1</v>
      </c>
      <c r="U1106" s="161" t="b">
        <f t="array" ref="U1106">index('Query Tool'!B:B,match(C1106,'Query Tool'!C:C,0))</f>
        <v>0</v>
      </c>
      <c r="V1106" s="161" t="b">
        <f>F1106&gt;='Query Tool'!C$32</f>
        <v>1</v>
      </c>
      <c r="W1106" s="161" t="b">
        <f t="array" ref="W1106">index(Dropdowns!B:B,match(I1106,Dropdowns!A:A,0))</f>
        <v>1</v>
      </c>
      <c r="X1106" s="161" t="b">
        <f t="array" ref="X1106">index('Query Tool'!B:B,match(D1106,'Query Tool'!C:C,0))</f>
        <v>1</v>
      </c>
      <c r="Y1106" s="161" t="str">
        <f t="shared" si="6"/>
        <v>westbru01,2015-16</v>
      </c>
      <c r="Z1106" s="168">
        <f t="array" ref="Z1106">iferror(index(I:I,match($A1106&amp;","&amp;index('Year Conversion'!$A:$A,match($C1106,'Year Conversion'!$B:$B,0)),$Y:$Y,0))-I1106,"")</f>
        <v>1</v>
      </c>
      <c r="AA1106" s="168">
        <f t="array" ref="AA1106">iferror(index(J:J,match($A1106&amp;","&amp;index('Year Conversion'!$A:$A,match($C1106,'Year Conversion'!$B:$B,0)),$Y:$Y,0))-J1106,"")</f>
        <v>-0.7254338557</v>
      </c>
      <c r="AB1106" s="168">
        <f t="array" ref="AB1106">iferror(index(K:K,match($A1106&amp;","&amp;index('Year Conversion'!$A:$A,match($C1106,'Year Conversion'!$B:$B,0)),$Y:$Y,0))-K1106,"")</f>
        <v>-0.3679316767</v>
      </c>
      <c r="AC1106" s="168" t="str">
        <f t="shared" si="7"/>
        <v>OKC,2015-16</v>
      </c>
    </row>
    <row r="1107">
      <c r="A1107" s="161" t="str">
        <f>IFERROR(__xludf.DUMMYFUNCTION("""COMPUTED_VALUE"""),"loveke01")</f>
        <v>loveke01</v>
      </c>
      <c r="B1107" s="161" t="str">
        <f>IFERROR(__xludf.DUMMYFUNCTION("""COMPUTED_VALUE"""),"Kevin Love")</f>
        <v>Kevin Love</v>
      </c>
      <c r="C1107" s="162" t="str">
        <f>IFERROR(__xludf.DUMMYFUNCTION("""COMPUTED_VALUE"""),"2015-16")</f>
        <v>2015-16</v>
      </c>
      <c r="D1107" s="163" t="str">
        <f>IFERROR(__xludf.DUMMYFUNCTION("""COMPUTED_VALUE"""),"CLE")</f>
        <v>CLE</v>
      </c>
      <c r="E1107" s="164" t="str">
        <f>IFERROR(__xludf.DUMMYFUNCTION("""COMPUTED_VALUE"""),"Versatile Big")</f>
        <v>Versatile Big</v>
      </c>
      <c r="F1107" s="164">
        <f>IFERROR(__xludf.DUMMYFUNCTION("""COMPUTED_VALUE"""),2424.395)</f>
        <v>2424.395</v>
      </c>
      <c r="G1107" s="163">
        <f>IFERROR(__xludf.DUMMYFUNCTION("""COMPUTED_VALUE"""),77.0)</f>
        <v>77</v>
      </c>
      <c r="H1107" s="163" t="str">
        <f>IFERROR(__xludf.DUMMYFUNCTION("""COMPUTED_VALUE"""),"PF")</f>
        <v>PF</v>
      </c>
      <c r="I1107" s="163">
        <f>IFERROR(__xludf.DUMMYFUNCTION("""COMPUTED_VALUE"""),27.0)</f>
        <v>27</v>
      </c>
      <c r="J1107" s="165">
        <f>IFERROR(__xludf.DUMMYFUNCTION("""COMPUTED_VALUE"""),3.28126941141165)</f>
        <v>3.281269411</v>
      </c>
      <c r="K1107" s="165">
        <f>IFERROR(__xludf.DUMMYFUNCTION("""COMPUTED_VALUE"""),2.2805146402046)</f>
        <v>2.28051464</v>
      </c>
      <c r="L1107" s="165">
        <f>IFERROR(__xludf.DUMMYFUNCTION("""COMPUTED_VALUE"""),1.00075477120705)</f>
        <v>1.000754771</v>
      </c>
      <c r="M1107" s="166">
        <f t="shared" si="2"/>
        <v>9.022044791</v>
      </c>
      <c r="N1107" s="167">
        <f t="shared" si="3"/>
        <v>31.48564935</v>
      </c>
      <c r="O1107" s="163">
        <f t="shared" ref="O1107:Q1107" si="1111">rank(I1107,I:I)</f>
        <v>1366</v>
      </c>
      <c r="P1107" s="163">
        <f t="shared" si="1111"/>
        <v>148</v>
      </c>
      <c r="Q1107" s="163">
        <f t="shared" si="1111"/>
        <v>182</v>
      </c>
      <c r="R1107" s="163">
        <f>IFERROR(__xludf.DUMMYFUNCTION("RANK(M1107,filter(M:M,C:C=C1107))"),18.0)</f>
        <v>18</v>
      </c>
      <c r="S1107" s="161" t="b">
        <f t="shared" si="5"/>
        <v>0</v>
      </c>
      <c r="T1107" s="161" t="b">
        <f t="array" ref="T1107">index('Query Tool'!B:B,match(H1107,'Query Tool'!C:C,0))</f>
        <v>1</v>
      </c>
      <c r="U1107" s="161" t="b">
        <f t="array" ref="U1107">index('Query Tool'!B:B,match(C1107,'Query Tool'!C:C,0))</f>
        <v>0</v>
      </c>
      <c r="V1107" s="161" t="b">
        <f>F1107&gt;='Query Tool'!C$32</f>
        <v>1</v>
      </c>
      <c r="W1107" s="161" t="b">
        <f t="array" ref="W1107">index(Dropdowns!B:B,match(I1107,Dropdowns!A:A,0))</f>
        <v>1</v>
      </c>
      <c r="X1107" s="161" t="b">
        <f t="array" ref="X1107">index('Query Tool'!B:B,match(D1107,'Query Tool'!C:C,0))</f>
        <v>1</v>
      </c>
      <c r="Y1107" s="161" t="str">
        <f t="shared" si="6"/>
        <v>loveke01,2015-16</v>
      </c>
      <c r="Z1107" s="168">
        <f t="array" ref="Z1107">iferror(index(I:I,match($A1107&amp;","&amp;index('Year Conversion'!$A:$A,match($C1107,'Year Conversion'!$B:$B,0)),$Y:$Y,0))-I1107,"")</f>
        <v>1</v>
      </c>
      <c r="AA1107" s="168">
        <f t="array" ref="AA1107">iferror(index(J:J,match($A1107&amp;","&amp;index('Year Conversion'!$A:$A,match($C1107,'Year Conversion'!$B:$B,0)),$Y:$Y,0))-J1107,"")</f>
        <v>-0.009026993896</v>
      </c>
      <c r="AB1107" s="168">
        <f t="array" ref="AB1107">iferror(index(K:K,match($A1107&amp;","&amp;index('Year Conversion'!$A:$A,match($C1107,'Year Conversion'!$B:$B,0)),$Y:$Y,0))-K1107,"")</f>
        <v>0.5768612276</v>
      </c>
      <c r="AC1107" s="168" t="str">
        <f t="shared" si="7"/>
        <v>CLE,2015-16</v>
      </c>
    </row>
    <row r="1108">
      <c r="A1108" s="161" t="str">
        <f>IFERROR(__xludf.DUMMYFUNCTION("""COMPUTED_VALUE"""),"gallida01")</f>
        <v>gallida01</v>
      </c>
      <c r="B1108" s="161" t="str">
        <f>IFERROR(__xludf.DUMMYFUNCTION("""COMPUTED_VALUE"""),"Danilo Gallinari")</f>
        <v>Danilo Gallinari</v>
      </c>
      <c r="C1108" s="162" t="str">
        <f>IFERROR(__xludf.DUMMYFUNCTION("""COMPUTED_VALUE"""),"2015-16")</f>
        <v>2015-16</v>
      </c>
      <c r="D1108" s="163" t="str">
        <f>IFERROR(__xludf.DUMMYFUNCTION("""COMPUTED_VALUE"""),"DEN")</f>
        <v>DEN</v>
      </c>
      <c r="E1108" s="164" t="str">
        <f>IFERROR(__xludf.DUMMYFUNCTION("""COMPUTED_VALUE"""),"Shot Creator")</f>
        <v>Shot Creator</v>
      </c>
      <c r="F1108" s="164">
        <f>IFERROR(__xludf.DUMMYFUNCTION("""COMPUTED_VALUE"""),1838.70666666667)</f>
        <v>1838.706667</v>
      </c>
      <c r="G1108" s="163">
        <f>IFERROR(__xludf.DUMMYFUNCTION("""COMPUTED_VALUE"""),53.0)</f>
        <v>53</v>
      </c>
      <c r="H1108" s="163" t="str">
        <f>IFERROR(__xludf.DUMMYFUNCTION("""COMPUTED_VALUE"""),"SF")</f>
        <v>SF</v>
      </c>
      <c r="I1108" s="163">
        <f>IFERROR(__xludf.DUMMYFUNCTION("""COMPUTED_VALUE"""),27.0)</f>
        <v>27</v>
      </c>
      <c r="J1108" s="165">
        <f>IFERROR(__xludf.DUMMYFUNCTION("""COMPUTED_VALUE"""),1.70669607197939)</f>
        <v>1.706696072</v>
      </c>
      <c r="K1108" s="165">
        <f>IFERROR(__xludf.DUMMYFUNCTION("""COMPUTED_VALUE"""),1.89897187640674)</f>
        <v>1.898971876</v>
      </c>
      <c r="L1108" s="165">
        <f>IFERROR(__xludf.DUMMYFUNCTION("""COMPUTED_VALUE"""),-0.192275804427348)</f>
        <v>-0.1922758044</v>
      </c>
      <c r="M1108" s="166">
        <f t="shared" si="2"/>
        <v>4.941837231</v>
      </c>
      <c r="N1108" s="167">
        <f t="shared" si="3"/>
        <v>34.69257862</v>
      </c>
      <c r="O1108" s="163">
        <f t="shared" ref="O1108:Q1108" si="1112">rank(I1108,I:I)</f>
        <v>1366</v>
      </c>
      <c r="P1108" s="163">
        <f t="shared" si="1112"/>
        <v>395</v>
      </c>
      <c r="Q1108" s="163">
        <f t="shared" si="1112"/>
        <v>244</v>
      </c>
      <c r="R1108" s="163">
        <f>IFERROR(__xludf.DUMMYFUNCTION("RANK(M1108,filter(M:M,C:C=C1108))"),64.0)</f>
        <v>64</v>
      </c>
      <c r="S1108" s="161" t="b">
        <f t="shared" si="5"/>
        <v>0</v>
      </c>
      <c r="T1108" s="161" t="b">
        <f t="array" ref="T1108">index('Query Tool'!B:B,match(H1108,'Query Tool'!C:C,0))</f>
        <v>1</v>
      </c>
      <c r="U1108" s="161" t="b">
        <f t="array" ref="U1108">index('Query Tool'!B:B,match(C1108,'Query Tool'!C:C,0))</f>
        <v>0</v>
      </c>
      <c r="V1108" s="161" t="b">
        <f>F1108&gt;='Query Tool'!C$32</f>
        <v>1</v>
      </c>
      <c r="W1108" s="161" t="b">
        <f t="array" ref="W1108">index(Dropdowns!B:B,match(I1108,Dropdowns!A:A,0))</f>
        <v>1</v>
      </c>
      <c r="X1108" s="161" t="b">
        <f t="array" ref="X1108">index('Query Tool'!B:B,match(D1108,'Query Tool'!C:C,0))</f>
        <v>1</v>
      </c>
      <c r="Y1108" s="161" t="str">
        <f t="shared" si="6"/>
        <v>gallida01,2015-16</v>
      </c>
      <c r="Z1108" s="168">
        <f t="array" ref="Z1108">iferror(index(I:I,match($A1108&amp;","&amp;index('Year Conversion'!$A:$A,match($C1108,'Year Conversion'!$B:$B,0)),$Y:$Y,0))-I1108,"")</f>
        <v>1</v>
      </c>
      <c r="AA1108" s="168">
        <f t="array" ref="AA1108">iferror(index(J:J,match($A1108&amp;","&amp;index('Year Conversion'!$A:$A,match($C1108,'Year Conversion'!$B:$B,0)),$Y:$Y,0))-J1108,"")</f>
        <v>0.3913596472</v>
      </c>
      <c r="AB1108" s="168">
        <f t="array" ref="AB1108">iferror(index(K:K,match($A1108&amp;","&amp;index('Year Conversion'!$A:$A,match($C1108,'Year Conversion'!$B:$B,0)),$Y:$Y,0))-K1108,"")</f>
        <v>0.3829004894</v>
      </c>
      <c r="AC1108" s="168" t="str">
        <f t="shared" si="7"/>
        <v>DEN,2015-16</v>
      </c>
    </row>
    <row r="1109">
      <c r="A1109" s="161" t="str">
        <f>IFERROR(__xludf.DUMMYFUNCTION("""COMPUTED_VALUE"""),"gordoer01")</f>
        <v>gordoer01</v>
      </c>
      <c r="B1109" s="161" t="str">
        <f>IFERROR(__xludf.DUMMYFUNCTION("""COMPUTED_VALUE"""),"Eric Gordon")</f>
        <v>Eric Gordon</v>
      </c>
      <c r="C1109" s="162" t="str">
        <f>IFERROR(__xludf.DUMMYFUNCTION("""COMPUTED_VALUE"""),"2015-16")</f>
        <v>2015-16</v>
      </c>
      <c r="D1109" s="163" t="str">
        <f>IFERROR(__xludf.DUMMYFUNCTION("""COMPUTED_VALUE"""),"NOP")</f>
        <v>NOP</v>
      </c>
      <c r="E1109" s="164" t="str">
        <f>IFERROR(__xludf.DUMMYFUNCTION("""COMPUTED_VALUE"""),"Secondary Ball Handler")</f>
        <v>Secondary Ball Handler</v>
      </c>
      <c r="F1109" s="164">
        <f>IFERROR(__xludf.DUMMYFUNCTION("""COMPUTED_VALUE"""),1481.35166666667)</f>
        <v>1481.351667</v>
      </c>
      <c r="G1109" s="163">
        <f>IFERROR(__xludf.DUMMYFUNCTION("""COMPUTED_VALUE"""),45.0)</f>
        <v>45</v>
      </c>
      <c r="H1109" s="163" t="str">
        <f>IFERROR(__xludf.DUMMYFUNCTION("""COMPUTED_VALUE"""),"SG")</f>
        <v>SG</v>
      </c>
      <c r="I1109" s="163">
        <f>IFERROR(__xludf.DUMMYFUNCTION("""COMPUTED_VALUE"""),27.0)</f>
        <v>27</v>
      </c>
      <c r="J1109" s="165">
        <f>IFERROR(__xludf.DUMMYFUNCTION("""COMPUTED_VALUE"""),-0.54359192880629)</f>
        <v>-0.5435919288</v>
      </c>
      <c r="K1109" s="165">
        <f>IFERROR(__xludf.DUMMYFUNCTION("""COMPUTED_VALUE"""),-0.0555396715257189)</f>
        <v>-0.05553967153</v>
      </c>
      <c r="L1109" s="165">
        <f>IFERROR(__xludf.DUMMYFUNCTION("""COMPUTED_VALUE"""),-0.488052257280571)</f>
        <v>-0.4880522573</v>
      </c>
      <c r="M1109" s="166">
        <f t="shared" si="2"/>
        <v>1.741081335</v>
      </c>
      <c r="N1109" s="167">
        <f t="shared" si="3"/>
        <v>32.91892593</v>
      </c>
      <c r="O1109" s="163">
        <f t="shared" ref="O1109:Q1109" si="1113">rank(I1109,I:I)</f>
        <v>1366</v>
      </c>
      <c r="P1109" s="163">
        <f t="shared" si="1113"/>
        <v>1909</v>
      </c>
      <c r="Q1109" s="163">
        <f t="shared" si="1113"/>
        <v>1285</v>
      </c>
      <c r="R1109" s="163">
        <f>IFERROR(__xludf.DUMMYFUNCTION("RANK(M1109,filter(M:M,C:C=C1109))"),169.0)</f>
        <v>169</v>
      </c>
      <c r="S1109" s="161" t="b">
        <f t="shared" si="5"/>
        <v>0</v>
      </c>
      <c r="T1109" s="161" t="b">
        <f t="array" ref="T1109">index('Query Tool'!B:B,match(H1109,'Query Tool'!C:C,0))</f>
        <v>1</v>
      </c>
      <c r="U1109" s="161" t="b">
        <f t="array" ref="U1109">index('Query Tool'!B:B,match(C1109,'Query Tool'!C:C,0))</f>
        <v>0</v>
      </c>
      <c r="V1109" s="161" t="b">
        <f>F1109&gt;='Query Tool'!C$32</f>
        <v>1</v>
      </c>
      <c r="W1109" s="161" t="b">
        <f t="array" ref="W1109">index(Dropdowns!B:B,match(I1109,Dropdowns!A:A,0))</f>
        <v>1</v>
      </c>
      <c r="X1109" s="161" t="b">
        <f t="array" ref="X1109">index('Query Tool'!B:B,match(D1109,'Query Tool'!C:C,0))</f>
        <v>1</v>
      </c>
      <c r="Y1109" s="161" t="str">
        <f t="shared" si="6"/>
        <v>gordoer01,2015-16</v>
      </c>
      <c r="Z1109" s="168">
        <f t="array" ref="Z1109">iferror(index(I:I,match($A1109&amp;","&amp;index('Year Conversion'!$A:$A,match($C1109,'Year Conversion'!$B:$B,0)),$Y:$Y,0))-I1109,"")</f>
        <v>1</v>
      </c>
      <c r="AA1109" s="168">
        <f t="array" ref="AA1109">iferror(index(J:J,match($A1109&amp;","&amp;index('Year Conversion'!$A:$A,match($C1109,'Year Conversion'!$B:$B,0)),$Y:$Y,0))-J1109,"")</f>
        <v>0.7217686435</v>
      </c>
      <c r="AB1109" s="168">
        <f t="array" ref="AB1109">iferror(index(K:K,match($A1109&amp;","&amp;index('Year Conversion'!$A:$A,match($C1109,'Year Conversion'!$B:$B,0)),$Y:$Y,0))-K1109,"")</f>
        <v>1.677068223</v>
      </c>
      <c r="AC1109" s="168" t="str">
        <f t="shared" si="7"/>
        <v>NOP,2015-16</v>
      </c>
    </row>
    <row r="1110">
      <c r="A1110" s="161" t="str">
        <f>IFERROR(__xludf.DUMMYFUNCTION("""COMPUTED_VALUE"""),"augusdj01")</f>
        <v>augusdj01</v>
      </c>
      <c r="B1110" s="161" t="str">
        <f>IFERROR(__xludf.DUMMYFUNCTION("""COMPUTED_VALUE"""),"D.J. Augustin")</f>
        <v>D.J. Augustin</v>
      </c>
      <c r="C1110" s="162" t="str">
        <f>IFERROR(__xludf.DUMMYFUNCTION("""COMPUTED_VALUE"""),"2015-16")</f>
        <v>2015-16</v>
      </c>
      <c r="D1110" s="163" t="str">
        <f>IFERROR(__xludf.DUMMYFUNCTION("""COMPUTED_VALUE"""),"TOT")</f>
        <v>TOT</v>
      </c>
      <c r="E1110" s="164" t="str">
        <f>IFERROR(__xludf.DUMMYFUNCTION("""COMPUTED_VALUE"""),"Secondary Ball Handler")</f>
        <v>Secondary Ball Handler</v>
      </c>
      <c r="F1110" s="164">
        <f>IFERROR(__xludf.DUMMYFUNCTION("""COMPUTED_VALUE"""),1177.62333333333)</f>
        <v>1177.623333</v>
      </c>
      <c r="G1110" s="163">
        <f>IFERROR(__xludf.DUMMYFUNCTION("""COMPUTED_VALUE"""),62.0)</f>
        <v>62</v>
      </c>
      <c r="H1110" s="163" t="str">
        <f>IFERROR(__xludf.DUMMYFUNCTION("""COMPUTED_VALUE"""),"PG")</f>
        <v>PG</v>
      </c>
      <c r="I1110" s="163">
        <f>IFERROR(__xludf.DUMMYFUNCTION("""COMPUTED_VALUE"""),28.0)</f>
        <v>28</v>
      </c>
      <c r="J1110" s="165">
        <f>IFERROR(__xludf.DUMMYFUNCTION("""COMPUTED_VALUE"""),-0.813676912401653)</f>
        <v>-0.8136769124</v>
      </c>
      <c r="K1110" s="165">
        <f>IFERROR(__xludf.DUMMYFUNCTION("""COMPUTED_VALUE"""),0.487868727948028)</f>
        <v>0.4878687279</v>
      </c>
      <c r="L1110" s="165">
        <f>IFERROR(__xludf.DUMMYFUNCTION("""COMPUTED_VALUE"""),-1.30154564034968)</f>
        <v>-1.30154564</v>
      </c>
      <c r="M1110" s="166">
        <f t="shared" si="2"/>
        <v>1.170084148</v>
      </c>
      <c r="N1110" s="167">
        <f t="shared" si="3"/>
        <v>18.99392473</v>
      </c>
      <c r="O1110" s="163">
        <f t="shared" ref="O1110:Q1110" si="1114">rank(I1110,I:I)</f>
        <v>1090</v>
      </c>
      <c r="P1110" s="163">
        <f t="shared" si="1114"/>
        <v>2302</v>
      </c>
      <c r="Q1110" s="163">
        <f t="shared" si="1114"/>
        <v>772</v>
      </c>
      <c r="R1110" s="163">
        <f>IFERROR(__xludf.DUMMYFUNCTION("RANK(M1110,filter(M:M,C:C=C1110))"),211.0)</f>
        <v>211</v>
      </c>
      <c r="S1110" s="161" t="b">
        <f t="shared" si="5"/>
        <v>0</v>
      </c>
      <c r="T1110" s="161" t="b">
        <f t="array" ref="T1110">index('Query Tool'!B:B,match(H1110,'Query Tool'!C:C,0))</f>
        <v>1</v>
      </c>
      <c r="U1110" s="161" t="b">
        <f t="array" ref="U1110">index('Query Tool'!B:B,match(C1110,'Query Tool'!C:C,0))</f>
        <v>0</v>
      </c>
      <c r="V1110" s="161" t="b">
        <f>F1110&gt;='Query Tool'!C$32</f>
        <v>1</v>
      </c>
      <c r="W1110" s="161" t="b">
        <f t="array" ref="W1110">index(Dropdowns!B:B,match(I1110,Dropdowns!A:A,0))</f>
        <v>1</v>
      </c>
      <c r="X1110" s="161" t="b">
        <f t="array" ref="X1110">index('Query Tool'!B:B,match(D1110,'Query Tool'!C:C,0))</f>
        <v>1</v>
      </c>
      <c r="Y1110" s="161" t="str">
        <f t="shared" si="6"/>
        <v>augusdj01,2015-16</v>
      </c>
      <c r="Z1110" s="168">
        <f t="array" ref="Z1110">iferror(index(I:I,match($A1110&amp;","&amp;index('Year Conversion'!$A:$A,match($C1110,'Year Conversion'!$B:$B,0)),$Y:$Y,0))-I1110,"")</f>
        <v>1</v>
      </c>
      <c r="AA1110" s="168">
        <f t="array" ref="AA1110">iferror(index(J:J,match($A1110&amp;","&amp;index('Year Conversion'!$A:$A,match($C1110,'Year Conversion'!$B:$B,0)),$Y:$Y,0))-J1110,"")</f>
        <v>-2.373355448</v>
      </c>
      <c r="AB1110" s="168">
        <f t="array" ref="AB1110">iferror(index(K:K,match($A1110&amp;","&amp;index('Year Conversion'!$A:$A,match($C1110,'Year Conversion'!$B:$B,0)),$Y:$Y,0))-K1110,"")</f>
        <v>-1.758328007</v>
      </c>
      <c r="AC1110" s="168" t="str">
        <f t="shared" si="7"/>
        <v>TOT,2015-16</v>
      </c>
    </row>
    <row r="1111">
      <c r="A1111" s="161" t="str">
        <f>IFERROR(__xludf.DUMMYFUNCTION("""COMPUTED_VALUE"""),"lopezbr01")</f>
        <v>lopezbr01</v>
      </c>
      <c r="B1111" s="161" t="str">
        <f>IFERROR(__xludf.DUMMYFUNCTION("""COMPUTED_VALUE"""),"Brook Lopez")</f>
        <v>Brook Lopez</v>
      </c>
      <c r="C1111" s="162" t="str">
        <f>IFERROR(__xludf.DUMMYFUNCTION("""COMPUTED_VALUE"""),"2015-16")</f>
        <v>2015-16</v>
      </c>
      <c r="D1111" s="163" t="str">
        <f>IFERROR(__xludf.DUMMYFUNCTION("""COMPUTED_VALUE"""),"BRK")</f>
        <v>BRK</v>
      </c>
      <c r="E1111" s="164" t="str">
        <f>IFERROR(__xludf.DUMMYFUNCTION("""COMPUTED_VALUE"""),"Post Scorer")</f>
        <v>Post Scorer</v>
      </c>
      <c r="F1111" s="164">
        <f>IFERROR(__xludf.DUMMYFUNCTION("""COMPUTED_VALUE"""),2456.54833333333)</f>
        <v>2456.548333</v>
      </c>
      <c r="G1111" s="163">
        <f>IFERROR(__xludf.DUMMYFUNCTION("""COMPUTED_VALUE"""),73.0)</f>
        <v>73</v>
      </c>
      <c r="H1111" s="163" t="str">
        <f>IFERROR(__xludf.DUMMYFUNCTION("""COMPUTED_VALUE"""),"C")</f>
        <v>C</v>
      </c>
      <c r="I1111" s="163">
        <f>IFERROR(__xludf.DUMMYFUNCTION("""COMPUTED_VALUE"""),27.0)</f>
        <v>27</v>
      </c>
      <c r="J1111" s="165">
        <f>IFERROR(__xludf.DUMMYFUNCTION("""COMPUTED_VALUE"""),1.81926337946033)</f>
        <v>1.819263379</v>
      </c>
      <c r="K1111" s="165">
        <f>IFERROR(__xludf.DUMMYFUNCTION("""COMPUTED_VALUE"""),0.0645422569459033)</f>
        <v>0.06454225695</v>
      </c>
      <c r="L1111" s="165">
        <f>IFERROR(__xludf.DUMMYFUNCTION("""COMPUTED_VALUE"""),1.75472112251442)</f>
        <v>1.754721123</v>
      </c>
      <c r="M1111" s="166">
        <f t="shared" si="2"/>
        <v>6.786428615</v>
      </c>
      <c r="N1111" s="167">
        <f t="shared" si="3"/>
        <v>33.65134703</v>
      </c>
      <c r="O1111" s="163">
        <f t="shared" ref="O1111:Q1111" si="1115">rank(I1111,I:I)</f>
        <v>1366</v>
      </c>
      <c r="P1111" s="163">
        <f t="shared" si="1115"/>
        <v>365</v>
      </c>
      <c r="Q1111" s="163">
        <f t="shared" si="1115"/>
        <v>1113</v>
      </c>
      <c r="R1111" s="163">
        <f>IFERROR(__xludf.DUMMYFUNCTION("RANK(M1111,filter(M:M,C:C=C1111))"),35.0)</f>
        <v>35</v>
      </c>
      <c r="S1111" s="161" t="b">
        <f t="shared" si="5"/>
        <v>0</v>
      </c>
      <c r="T1111" s="161" t="b">
        <f t="array" ref="T1111">index('Query Tool'!B:B,match(H1111,'Query Tool'!C:C,0))</f>
        <v>1</v>
      </c>
      <c r="U1111" s="161" t="b">
        <f t="array" ref="U1111">index('Query Tool'!B:B,match(C1111,'Query Tool'!C:C,0))</f>
        <v>0</v>
      </c>
      <c r="V1111" s="161" t="b">
        <f>F1111&gt;='Query Tool'!C$32</f>
        <v>1</v>
      </c>
      <c r="W1111" s="161" t="b">
        <f t="array" ref="W1111">index(Dropdowns!B:B,match(I1111,Dropdowns!A:A,0))</f>
        <v>1</v>
      </c>
      <c r="X1111" s="161" t="b">
        <f t="array" ref="X1111">index('Query Tool'!B:B,match(D1111,'Query Tool'!C:C,0))</f>
        <v>1</v>
      </c>
      <c r="Y1111" s="161" t="str">
        <f t="shared" si="6"/>
        <v>lopezbr01,2015-16</v>
      </c>
      <c r="Z1111" s="168">
        <f t="array" ref="Z1111">iferror(index(I:I,match($A1111&amp;","&amp;index('Year Conversion'!$A:$A,match($C1111,'Year Conversion'!$B:$B,0)),$Y:$Y,0))-I1111,"")</f>
        <v>1</v>
      </c>
      <c r="AA1111" s="168">
        <f t="array" ref="AA1111">iferror(index(J:J,match($A1111&amp;","&amp;index('Year Conversion'!$A:$A,match($C1111,'Year Conversion'!$B:$B,0)),$Y:$Y,0))-J1111,"")</f>
        <v>-1.62207149</v>
      </c>
      <c r="AB1111" s="168">
        <f t="array" ref="AB1111">iferror(index(K:K,match($A1111&amp;","&amp;index('Year Conversion'!$A:$A,match($C1111,'Year Conversion'!$B:$B,0)),$Y:$Y,0))-K1111,"")</f>
        <v>0.7022699035</v>
      </c>
      <c r="AC1111" s="168" t="str">
        <f t="shared" si="7"/>
        <v>BRK,2015-16</v>
      </c>
    </row>
    <row r="1112">
      <c r="A1112" s="161" t="str">
        <f>IFERROR(__xludf.DUMMYFUNCTION("""COMPUTED_VALUE"""),"bayleje01")</f>
        <v>bayleje01</v>
      </c>
      <c r="B1112" s="161" t="str">
        <f>IFERROR(__xludf.DUMMYFUNCTION("""COMPUTED_VALUE"""),"Jerryd Bayless")</f>
        <v>Jerryd Bayless</v>
      </c>
      <c r="C1112" s="162" t="str">
        <f>IFERROR(__xludf.DUMMYFUNCTION("""COMPUTED_VALUE"""),"2015-16")</f>
        <v>2015-16</v>
      </c>
      <c r="D1112" s="163" t="str">
        <f>IFERROR(__xludf.DUMMYFUNCTION("""COMPUTED_VALUE"""),"MIL")</f>
        <v>MIL</v>
      </c>
      <c r="E1112" s="164" t="str">
        <f>IFERROR(__xludf.DUMMYFUNCTION("""COMPUTED_VALUE"""),"Secondary Ball Handler")</f>
        <v>Secondary Ball Handler</v>
      </c>
      <c r="F1112" s="164">
        <f>IFERROR(__xludf.DUMMYFUNCTION("""COMPUTED_VALUE"""),1504.81833333333)</f>
        <v>1504.818333</v>
      </c>
      <c r="G1112" s="163">
        <f>IFERROR(__xludf.DUMMYFUNCTION("""COMPUTED_VALUE"""),52.0)</f>
        <v>52</v>
      </c>
      <c r="H1112" s="163" t="str">
        <f>IFERROR(__xludf.DUMMYFUNCTION("""COMPUTED_VALUE"""),"SG")</f>
        <v>SG</v>
      </c>
      <c r="I1112" s="163">
        <f>IFERROR(__xludf.DUMMYFUNCTION("""COMPUTED_VALUE"""),27.0)</f>
        <v>27</v>
      </c>
      <c r="J1112" s="165">
        <f>IFERROR(__xludf.DUMMYFUNCTION("""COMPUTED_VALUE"""),-2.64822214673497)</f>
        <v>-2.648222147</v>
      </c>
      <c r="K1112" s="165">
        <f>IFERROR(__xludf.DUMMYFUNCTION("""COMPUTED_VALUE"""),-1.02495039135344)</f>
        <v>-1.024950391</v>
      </c>
      <c r="L1112" s="165">
        <f>IFERROR(__xludf.DUMMYFUNCTION("""COMPUTED_VALUE"""),-1.62327175538153)</f>
        <v>-1.623271755</v>
      </c>
      <c r="M1112" s="166">
        <f t="shared" si="2"/>
        <v>-0.3409076394</v>
      </c>
      <c r="N1112" s="167">
        <f t="shared" si="3"/>
        <v>28.9388141</v>
      </c>
      <c r="O1112" s="163">
        <f t="shared" ref="O1112:Q1112" si="1116">rank(I1112,I:I)</f>
        <v>1366</v>
      </c>
      <c r="P1112" s="163">
        <f t="shared" si="1116"/>
        <v>3799</v>
      </c>
      <c r="Q1112" s="163">
        <f t="shared" si="1116"/>
        <v>2834</v>
      </c>
      <c r="R1112" s="163">
        <f>IFERROR(__xludf.DUMMYFUNCTION("RANK(M1112,filter(M:M,C:C=C1112))"),450.0)</f>
        <v>450</v>
      </c>
      <c r="S1112" s="161" t="b">
        <f t="shared" si="5"/>
        <v>0</v>
      </c>
      <c r="T1112" s="161" t="b">
        <f t="array" ref="T1112">index('Query Tool'!B:B,match(H1112,'Query Tool'!C:C,0))</f>
        <v>1</v>
      </c>
      <c r="U1112" s="161" t="b">
        <f t="array" ref="U1112">index('Query Tool'!B:B,match(C1112,'Query Tool'!C:C,0))</f>
        <v>0</v>
      </c>
      <c r="V1112" s="161" t="b">
        <f>F1112&gt;='Query Tool'!C$32</f>
        <v>1</v>
      </c>
      <c r="W1112" s="161" t="b">
        <f t="array" ref="W1112">index(Dropdowns!B:B,match(I1112,Dropdowns!A:A,0))</f>
        <v>1</v>
      </c>
      <c r="X1112" s="161" t="b">
        <f t="array" ref="X1112">index('Query Tool'!B:B,match(D1112,'Query Tool'!C:C,0))</f>
        <v>1</v>
      </c>
      <c r="Y1112" s="161" t="str">
        <f t="shared" si="6"/>
        <v>bayleje01,2015-16</v>
      </c>
      <c r="Z1112" s="168">
        <f t="array" ref="Z1112">iferror(index(I:I,match($A1112&amp;","&amp;index('Year Conversion'!$A:$A,match($C1112,'Year Conversion'!$B:$B,0)),$Y:$Y,0))-I1112,"")</f>
        <v>1</v>
      </c>
      <c r="AA1112" s="168">
        <f t="array" ref="AA1112">iferror(index(J:J,match($A1112&amp;","&amp;index('Year Conversion'!$A:$A,match($C1112,'Year Conversion'!$B:$B,0)),$Y:$Y,0))-J1112,"")</f>
        <v>1.988346091</v>
      </c>
      <c r="AB1112" s="168">
        <f t="array" ref="AB1112">iferror(index(K:K,match($A1112&amp;","&amp;index('Year Conversion'!$A:$A,match($C1112,'Year Conversion'!$B:$B,0)),$Y:$Y,0))-K1112,"")</f>
        <v>0.746869316</v>
      </c>
      <c r="AC1112" s="168" t="str">
        <f t="shared" si="7"/>
        <v>MIL,2015-16</v>
      </c>
    </row>
    <row r="1113">
      <c r="A1113" s="161" t="str">
        <f>IFERROR(__xludf.DUMMYFUNCTION("""COMPUTED_VALUE"""),"thompja02")</f>
        <v>thompja02</v>
      </c>
      <c r="B1113" s="161" t="str">
        <f>IFERROR(__xludf.DUMMYFUNCTION("""COMPUTED_VALUE"""),"Jason Thompson")</f>
        <v>Jason Thompson</v>
      </c>
      <c r="C1113" s="162" t="str">
        <f>IFERROR(__xludf.DUMMYFUNCTION("""COMPUTED_VALUE"""),"2015-16")</f>
        <v>2015-16</v>
      </c>
      <c r="D1113" s="163" t="str">
        <f>IFERROR(__xludf.DUMMYFUNCTION("""COMPUTED_VALUE"""),"TOT")</f>
        <v>TOT</v>
      </c>
      <c r="E1113" s="164" t="str">
        <f>IFERROR(__xludf.DUMMYFUNCTION("""COMPUTED_VALUE"""),"Post Scorer")</f>
        <v>Post Scorer</v>
      </c>
      <c r="F1113" s="164">
        <f>IFERROR(__xludf.DUMMYFUNCTION("""COMPUTED_VALUE"""),471.398333333333)</f>
        <v>471.3983333</v>
      </c>
      <c r="G1113" s="163">
        <f>IFERROR(__xludf.DUMMYFUNCTION("""COMPUTED_VALUE"""),47.0)</f>
        <v>47</v>
      </c>
      <c r="H1113" s="163" t="str">
        <f>IFERROR(__xludf.DUMMYFUNCTION("""COMPUTED_VALUE"""),"C")</f>
        <v>C</v>
      </c>
      <c r="I1113" s="163">
        <f>IFERROR(__xludf.DUMMYFUNCTION("""COMPUTED_VALUE"""),29.0)</f>
        <v>29</v>
      </c>
      <c r="J1113" s="165">
        <f>IFERROR(__xludf.DUMMYFUNCTION("""COMPUTED_VALUE"""),-0.870526269178061)</f>
        <v>-0.8705262692</v>
      </c>
      <c r="K1113" s="165">
        <f>IFERROR(__xludf.DUMMYFUNCTION("""COMPUTED_VALUE"""),-0.934091236888111)</f>
        <v>-0.9340912369</v>
      </c>
      <c r="L1113" s="165">
        <f>IFERROR(__xludf.DUMMYFUNCTION("""COMPUTED_VALUE"""),0.0635649677100502)</f>
        <v>0.06356496771</v>
      </c>
      <c r="M1113" s="166">
        <f t="shared" si="2"/>
        <v>0.4503663303</v>
      </c>
      <c r="N1113" s="167">
        <f t="shared" si="3"/>
        <v>10.02975177</v>
      </c>
      <c r="O1113" s="163">
        <f t="shared" ref="O1113:Q1113" si="1117">rank(I1113,I:I)</f>
        <v>855</v>
      </c>
      <c r="P1113" s="163">
        <f t="shared" si="1117"/>
        <v>2364</v>
      </c>
      <c r="Q1113" s="163">
        <f t="shared" si="1117"/>
        <v>2732</v>
      </c>
      <c r="R1113" s="163">
        <f>IFERROR(__xludf.DUMMYFUNCTION("RANK(M1113,filter(M:M,C:C=C1113))"),288.0)</f>
        <v>288</v>
      </c>
      <c r="S1113" s="161" t="b">
        <f t="shared" si="5"/>
        <v>0</v>
      </c>
      <c r="T1113" s="161" t="b">
        <f t="array" ref="T1113">index('Query Tool'!B:B,match(H1113,'Query Tool'!C:C,0))</f>
        <v>1</v>
      </c>
      <c r="U1113" s="161" t="b">
        <f t="array" ref="U1113">index('Query Tool'!B:B,match(C1113,'Query Tool'!C:C,0))</f>
        <v>0</v>
      </c>
      <c r="V1113" s="161" t="b">
        <f>F1113&gt;='Query Tool'!C$32</f>
        <v>0</v>
      </c>
      <c r="W1113" s="161" t="b">
        <f t="array" ref="W1113">index(Dropdowns!B:B,match(I1113,Dropdowns!A:A,0))</f>
        <v>1</v>
      </c>
      <c r="X1113" s="161" t="b">
        <f t="array" ref="X1113">index('Query Tool'!B:B,match(D1113,'Query Tool'!C:C,0))</f>
        <v>1</v>
      </c>
      <c r="Y1113" s="161" t="str">
        <f t="shared" si="6"/>
        <v>thompja02,2015-16</v>
      </c>
      <c r="Z1113" s="168" t="str">
        <f t="array" ref="Z1113">iferror(index(I:I,match($A1113&amp;","&amp;index('Year Conversion'!$A:$A,match($C1113,'Year Conversion'!$B:$B,0)),$Y:$Y,0))-I1113,"")</f>
        <v/>
      </c>
      <c r="AA1113" s="168" t="str">
        <f t="array" ref="AA1113">iferror(index(J:J,match($A1113&amp;","&amp;index('Year Conversion'!$A:$A,match($C1113,'Year Conversion'!$B:$B,0)),$Y:$Y,0))-J1113,"")</f>
        <v/>
      </c>
      <c r="AB1113" s="168" t="str">
        <f t="array" ref="AB1113">iferror(index(K:K,match($A1113&amp;","&amp;index('Year Conversion'!$A:$A,match($C1113,'Year Conversion'!$B:$B,0)),$Y:$Y,0))-K1113,"")</f>
        <v/>
      </c>
      <c r="AC1113" s="168" t="str">
        <f t="shared" si="7"/>
        <v>TOT,2015-16</v>
      </c>
    </row>
    <row r="1114">
      <c r="A1114" s="161" t="str">
        <f>IFERROR(__xludf.DUMMYFUNCTION("""COMPUTED_VALUE"""),"rushbr01")</f>
        <v>rushbr01</v>
      </c>
      <c r="B1114" s="161" t="str">
        <f>IFERROR(__xludf.DUMMYFUNCTION("""COMPUTED_VALUE"""),"Brandon Rush")</f>
        <v>Brandon Rush</v>
      </c>
      <c r="C1114" s="162" t="str">
        <f>IFERROR(__xludf.DUMMYFUNCTION("""COMPUTED_VALUE"""),"2015-16")</f>
        <v>2015-16</v>
      </c>
      <c r="D1114" s="163" t="str">
        <f>IFERROR(__xludf.DUMMYFUNCTION("""COMPUTED_VALUE"""),"GSW")</f>
        <v>GSW</v>
      </c>
      <c r="E1114" s="164" t="str">
        <f>IFERROR(__xludf.DUMMYFUNCTION("""COMPUTED_VALUE"""),"Movement Shooter")</f>
        <v>Movement Shooter</v>
      </c>
      <c r="F1114" s="164">
        <f>IFERROR(__xludf.DUMMYFUNCTION("""COMPUTED_VALUE"""),1054.74166666667)</f>
        <v>1054.741667</v>
      </c>
      <c r="G1114" s="163">
        <f>IFERROR(__xludf.DUMMYFUNCTION("""COMPUTED_VALUE"""),72.0)</f>
        <v>72</v>
      </c>
      <c r="H1114" s="163" t="str">
        <f>IFERROR(__xludf.DUMMYFUNCTION("""COMPUTED_VALUE"""),"SG")</f>
        <v>SG</v>
      </c>
      <c r="I1114" s="163">
        <f>IFERROR(__xludf.DUMMYFUNCTION("""COMPUTED_VALUE"""),30.0)</f>
        <v>30</v>
      </c>
      <c r="J1114" s="165">
        <f>IFERROR(__xludf.DUMMYFUNCTION("""COMPUTED_VALUE"""),-2.46660528801665)</f>
        <v>-2.466605288</v>
      </c>
      <c r="K1114" s="165">
        <f>IFERROR(__xludf.DUMMYFUNCTION("""COMPUTED_VALUE"""),-0.848414133700844)</f>
        <v>-0.8484141337</v>
      </c>
      <c r="L1114" s="165">
        <f>IFERROR(__xludf.DUMMYFUNCTION("""COMPUTED_VALUE"""),-1.61819115431581)</f>
        <v>-1.618191154</v>
      </c>
      <c r="M1114" s="166">
        <f t="shared" si="2"/>
        <v>-0.113257086</v>
      </c>
      <c r="N1114" s="167">
        <f t="shared" si="3"/>
        <v>14.64918981</v>
      </c>
      <c r="O1114" s="163">
        <f t="shared" ref="O1114:Q1114" si="1118">rank(I1114,I:I)</f>
        <v>655</v>
      </c>
      <c r="P1114" s="163">
        <f t="shared" si="1118"/>
        <v>3745</v>
      </c>
      <c r="Q1114" s="163">
        <f t="shared" si="1118"/>
        <v>2622</v>
      </c>
      <c r="R1114" s="163">
        <f>IFERROR(__xludf.DUMMYFUNCTION("RANK(M1114,filter(M:M,C:C=C1114))"),439.0)</f>
        <v>439</v>
      </c>
      <c r="S1114" s="161" t="b">
        <f t="shared" si="5"/>
        <v>0</v>
      </c>
      <c r="T1114" s="161" t="b">
        <f t="array" ref="T1114">index('Query Tool'!B:B,match(H1114,'Query Tool'!C:C,0))</f>
        <v>1</v>
      </c>
      <c r="U1114" s="161" t="b">
        <f t="array" ref="U1114">index('Query Tool'!B:B,match(C1114,'Query Tool'!C:C,0))</f>
        <v>0</v>
      </c>
      <c r="V1114" s="161" t="b">
        <f>F1114&gt;='Query Tool'!C$32</f>
        <v>1</v>
      </c>
      <c r="W1114" s="161" t="b">
        <f t="array" ref="W1114">index(Dropdowns!B:B,match(I1114,Dropdowns!A:A,0))</f>
        <v>1</v>
      </c>
      <c r="X1114" s="161" t="b">
        <f t="array" ref="X1114">index('Query Tool'!B:B,match(D1114,'Query Tool'!C:C,0))</f>
        <v>1</v>
      </c>
      <c r="Y1114" s="161" t="str">
        <f t="shared" si="6"/>
        <v>rushbr01,2015-16</v>
      </c>
      <c r="Z1114" s="168">
        <f t="array" ref="Z1114">iferror(index(I:I,match($A1114&amp;","&amp;index('Year Conversion'!$A:$A,match($C1114,'Year Conversion'!$B:$B,0)),$Y:$Y,0))-I1114,"")</f>
        <v>1</v>
      </c>
      <c r="AA1114" s="168">
        <f t="array" ref="AA1114">iferror(index(J:J,match($A1114&amp;","&amp;index('Year Conversion'!$A:$A,match($C1114,'Year Conversion'!$B:$B,0)),$Y:$Y,0))-J1114,"")</f>
        <v>-0.2203224412</v>
      </c>
      <c r="AB1114" s="168">
        <f t="array" ref="AB1114">iferror(index(K:K,match($A1114&amp;","&amp;index('Year Conversion'!$A:$A,match($C1114,'Year Conversion'!$B:$B,0)),$Y:$Y,0))-K1114,"")</f>
        <v>-1.00946242</v>
      </c>
      <c r="AC1114" s="168" t="str">
        <f t="shared" si="7"/>
        <v>GSW,2015-16</v>
      </c>
    </row>
    <row r="1115">
      <c r="A1115" s="161" t="str">
        <f>IFERROR(__xludf.DUMMYFUNCTION("""COMPUTED_VALUE"""),"lopezro01")</f>
        <v>lopezro01</v>
      </c>
      <c r="B1115" s="161" t="str">
        <f>IFERROR(__xludf.DUMMYFUNCTION("""COMPUTED_VALUE"""),"Robin Lopez")</f>
        <v>Robin Lopez</v>
      </c>
      <c r="C1115" s="162" t="str">
        <f>IFERROR(__xludf.DUMMYFUNCTION("""COMPUTED_VALUE"""),"2015-16")</f>
        <v>2015-16</v>
      </c>
      <c r="D1115" s="163" t="str">
        <f>IFERROR(__xludf.DUMMYFUNCTION("""COMPUTED_VALUE"""),"NYK")</f>
        <v>NYK</v>
      </c>
      <c r="E1115" s="164" t="str">
        <f>IFERROR(__xludf.DUMMYFUNCTION("""COMPUTED_VALUE"""),"Post Scorer")</f>
        <v>Post Scorer</v>
      </c>
      <c r="F1115" s="164">
        <f>IFERROR(__xludf.DUMMYFUNCTION("""COMPUTED_VALUE"""),2218.94)</f>
        <v>2218.94</v>
      </c>
      <c r="G1115" s="163">
        <f>IFERROR(__xludf.DUMMYFUNCTION("""COMPUTED_VALUE"""),82.0)</f>
        <v>82</v>
      </c>
      <c r="H1115" s="163" t="str">
        <f>IFERROR(__xludf.DUMMYFUNCTION("""COMPUTED_VALUE"""),"C")</f>
        <v>C</v>
      </c>
      <c r="I1115" s="163">
        <f>IFERROR(__xludf.DUMMYFUNCTION("""COMPUTED_VALUE"""),27.0)</f>
        <v>27</v>
      </c>
      <c r="J1115" s="165">
        <f>IFERROR(__xludf.DUMMYFUNCTION("""COMPUTED_VALUE"""),-0.550966169663615)</f>
        <v>-0.5509661697</v>
      </c>
      <c r="K1115" s="165">
        <f>IFERROR(__xludf.DUMMYFUNCTION("""COMPUTED_VALUE"""),-0.951892166917571)</f>
        <v>-0.9518921669</v>
      </c>
      <c r="L1115" s="165">
        <f>IFERROR(__xludf.DUMMYFUNCTION("""COMPUTED_VALUE"""),0.400925997253955)</f>
        <v>0.4009259973</v>
      </c>
      <c r="M1115" s="166">
        <f t="shared" si="2"/>
        <v>2.596975154</v>
      </c>
      <c r="N1115" s="167">
        <f t="shared" si="3"/>
        <v>27.0602439</v>
      </c>
      <c r="O1115" s="163">
        <f t="shared" ref="O1115:Q1115" si="1119">rank(I1115,I:I)</f>
        <v>1366</v>
      </c>
      <c r="P1115" s="163">
        <f t="shared" si="1119"/>
        <v>1917</v>
      </c>
      <c r="Q1115" s="163">
        <f t="shared" si="1119"/>
        <v>2746</v>
      </c>
      <c r="R1115" s="163">
        <f>IFERROR(__xludf.DUMMYFUNCTION("RANK(M1115,filter(M:M,C:C=C1115))"),133.0)</f>
        <v>133</v>
      </c>
      <c r="S1115" s="161" t="b">
        <f t="shared" si="5"/>
        <v>0</v>
      </c>
      <c r="T1115" s="161" t="b">
        <f t="array" ref="T1115">index('Query Tool'!B:B,match(H1115,'Query Tool'!C:C,0))</f>
        <v>1</v>
      </c>
      <c r="U1115" s="161" t="b">
        <f t="array" ref="U1115">index('Query Tool'!B:B,match(C1115,'Query Tool'!C:C,0))</f>
        <v>0</v>
      </c>
      <c r="V1115" s="161" t="b">
        <f>F1115&gt;='Query Tool'!C$32</f>
        <v>1</v>
      </c>
      <c r="W1115" s="161" t="b">
        <f t="array" ref="W1115">index(Dropdowns!B:B,match(I1115,Dropdowns!A:A,0))</f>
        <v>1</v>
      </c>
      <c r="X1115" s="161" t="b">
        <f t="array" ref="X1115">index('Query Tool'!B:B,match(D1115,'Query Tool'!C:C,0))</f>
        <v>1</v>
      </c>
      <c r="Y1115" s="161" t="str">
        <f t="shared" si="6"/>
        <v>lopezro01,2015-16</v>
      </c>
      <c r="Z1115" s="168">
        <f t="array" ref="Z1115">iferror(index(I:I,match($A1115&amp;","&amp;index('Year Conversion'!$A:$A,match($C1115,'Year Conversion'!$B:$B,0)),$Y:$Y,0))-I1115,"")</f>
        <v>1</v>
      </c>
      <c r="AA1115" s="168">
        <f t="array" ref="AA1115">iferror(index(J:J,match($A1115&amp;","&amp;index('Year Conversion'!$A:$A,match($C1115,'Year Conversion'!$B:$B,0)),$Y:$Y,0))-J1115,"")</f>
        <v>-0.0005075683645</v>
      </c>
      <c r="AB1115" s="168">
        <f t="array" ref="AB1115">iferror(index(K:K,match($A1115&amp;","&amp;index('Year Conversion'!$A:$A,match($C1115,'Year Conversion'!$B:$B,0)),$Y:$Y,0))-K1115,"")</f>
        <v>-0.5778031104</v>
      </c>
      <c r="AC1115" s="168" t="str">
        <f t="shared" si="7"/>
        <v>NYK,2015-16</v>
      </c>
    </row>
    <row r="1116">
      <c r="A1116" s="161" t="str">
        <f>IFERROR(__xludf.DUMMYFUNCTION("""COMPUTED_VALUE"""),"speigma01")</f>
        <v>speigma01</v>
      </c>
      <c r="B1116" s="161" t="str">
        <f>IFERROR(__xludf.DUMMYFUNCTION("""COMPUTED_VALUE"""),"Marreese Speights")</f>
        <v>Marreese Speights</v>
      </c>
      <c r="C1116" s="162" t="str">
        <f>IFERROR(__xludf.DUMMYFUNCTION("""COMPUTED_VALUE"""),"2015-16")</f>
        <v>2015-16</v>
      </c>
      <c r="D1116" s="163" t="str">
        <f>IFERROR(__xludf.DUMMYFUNCTION("""COMPUTED_VALUE"""),"GSW")</f>
        <v>GSW</v>
      </c>
      <c r="E1116" s="164" t="str">
        <f>IFERROR(__xludf.DUMMYFUNCTION("""COMPUTED_VALUE"""),"Roll + Cut Big")</f>
        <v>Roll + Cut Big</v>
      </c>
      <c r="F1116" s="164">
        <f>IFERROR(__xludf.DUMMYFUNCTION("""COMPUTED_VALUE"""),832.416666666667)</f>
        <v>832.4166667</v>
      </c>
      <c r="G1116" s="163">
        <f>IFERROR(__xludf.DUMMYFUNCTION("""COMPUTED_VALUE"""),72.0)</f>
        <v>72</v>
      </c>
      <c r="H1116" s="163" t="str">
        <f>IFERROR(__xludf.DUMMYFUNCTION("""COMPUTED_VALUE"""),"C")</f>
        <v>C</v>
      </c>
      <c r="I1116" s="163">
        <f>IFERROR(__xludf.DUMMYFUNCTION("""COMPUTED_VALUE"""),28.0)</f>
        <v>28</v>
      </c>
      <c r="J1116" s="165">
        <f>IFERROR(__xludf.DUMMYFUNCTION("""COMPUTED_VALUE"""),-1.5932056015143)</f>
        <v>-1.593205602</v>
      </c>
      <c r="K1116" s="165">
        <f>IFERROR(__xludf.DUMMYFUNCTION("""COMPUTED_VALUE"""),-0.636596707751926)</f>
        <v>-0.6365967078</v>
      </c>
      <c r="L1116" s="165">
        <f>IFERROR(__xludf.DUMMYFUNCTION("""COMPUTED_VALUE"""),-0.956608893762376)</f>
        <v>-0.9566088938</v>
      </c>
      <c r="M1116" s="166">
        <f t="shared" si="2"/>
        <v>0.3923306977</v>
      </c>
      <c r="N1116" s="167">
        <f t="shared" si="3"/>
        <v>11.56134259</v>
      </c>
      <c r="O1116" s="163">
        <f t="shared" ref="O1116:Q1116" si="1120">rank(I1116,I:I)</f>
        <v>1090</v>
      </c>
      <c r="P1116" s="163">
        <f t="shared" si="1120"/>
        <v>3137</v>
      </c>
      <c r="Q1116" s="163">
        <f t="shared" si="1120"/>
        <v>2315</v>
      </c>
      <c r="R1116" s="163">
        <f>IFERROR(__xludf.DUMMYFUNCTION("RANK(M1116,filter(M:M,C:C=C1116))"),297.0)</f>
        <v>297</v>
      </c>
      <c r="S1116" s="161" t="b">
        <f t="shared" si="5"/>
        <v>0</v>
      </c>
      <c r="T1116" s="161" t="b">
        <f t="array" ref="T1116">index('Query Tool'!B:B,match(H1116,'Query Tool'!C:C,0))</f>
        <v>1</v>
      </c>
      <c r="U1116" s="161" t="b">
        <f t="array" ref="U1116">index('Query Tool'!B:B,match(C1116,'Query Tool'!C:C,0))</f>
        <v>0</v>
      </c>
      <c r="V1116" s="161" t="b">
        <f>F1116&gt;='Query Tool'!C$32</f>
        <v>1</v>
      </c>
      <c r="W1116" s="161" t="b">
        <f t="array" ref="W1116">index(Dropdowns!B:B,match(I1116,Dropdowns!A:A,0))</f>
        <v>1</v>
      </c>
      <c r="X1116" s="161" t="b">
        <f t="array" ref="X1116">index('Query Tool'!B:B,match(D1116,'Query Tool'!C:C,0))</f>
        <v>1</v>
      </c>
      <c r="Y1116" s="161" t="str">
        <f t="shared" si="6"/>
        <v>speigma01,2015-16</v>
      </c>
      <c r="Z1116" s="168">
        <f t="array" ref="Z1116">iferror(index(I:I,match($A1116&amp;","&amp;index('Year Conversion'!$A:$A,match($C1116,'Year Conversion'!$B:$B,0)),$Y:$Y,0))-I1116,"")</f>
        <v>1</v>
      </c>
      <c r="AA1116" s="168">
        <f t="array" ref="AA1116">iferror(index(J:J,match($A1116&amp;","&amp;index('Year Conversion'!$A:$A,match($C1116,'Year Conversion'!$B:$B,0)),$Y:$Y,0))-J1116,"")</f>
        <v>1.986615462</v>
      </c>
      <c r="AB1116" s="168">
        <f t="array" ref="AB1116">iferror(index(K:K,match($A1116&amp;","&amp;index('Year Conversion'!$A:$A,match($C1116,'Year Conversion'!$B:$B,0)),$Y:$Y,0))-K1116,"")</f>
        <v>1.170299027</v>
      </c>
      <c r="AC1116" s="168" t="str">
        <f t="shared" si="7"/>
        <v>GSW,2015-16</v>
      </c>
    </row>
    <row r="1117">
      <c r="A1117" s="161" t="str">
        <f>IFERROR(__xludf.DUMMYFUNCTION("""COMPUTED_VALUE"""),"hibbero01")</f>
        <v>hibbero01</v>
      </c>
      <c r="B1117" s="161" t="str">
        <f>IFERROR(__xludf.DUMMYFUNCTION("""COMPUTED_VALUE"""),"Roy Hibbert")</f>
        <v>Roy Hibbert</v>
      </c>
      <c r="C1117" s="162" t="str">
        <f>IFERROR(__xludf.DUMMYFUNCTION("""COMPUTED_VALUE"""),"2015-16")</f>
        <v>2015-16</v>
      </c>
      <c r="D1117" s="163" t="str">
        <f>IFERROR(__xludf.DUMMYFUNCTION("""COMPUTED_VALUE"""),"LAL")</f>
        <v>LAL</v>
      </c>
      <c r="E1117" s="164" t="str">
        <f>IFERROR(__xludf.DUMMYFUNCTION("""COMPUTED_VALUE"""),"Post Scorer")</f>
        <v>Post Scorer</v>
      </c>
      <c r="F1117" s="164">
        <f>IFERROR(__xludf.DUMMYFUNCTION("""COMPUTED_VALUE"""),1877.87)</f>
        <v>1877.87</v>
      </c>
      <c r="G1117" s="163">
        <f>IFERROR(__xludf.DUMMYFUNCTION("""COMPUTED_VALUE"""),81.0)</f>
        <v>81</v>
      </c>
      <c r="H1117" s="163" t="str">
        <f>IFERROR(__xludf.DUMMYFUNCTION("""COMPUTED_VALUE"""),"C")</f>
        <v>C</v>
      </c>
      <c r="I1117" s="163">
        <f>IFERROR(__xludf.DUMMYFUNCTION("""COMPUTED_VALUE"""),29.0)</f>
        <v>29</v>
      </c>
      <c r="J1117" s="165">
        <f>IFERROR(__xludf.DUMMYFUNCTION("""COMPUTED_VALUE"""),-3.50973301621025)</f>
        <v>-3.509733016</v>
      </c>
      <c r="K1117" s="165">
        <f>IFERROR(__xludf.DUMMYFUNCTION("""COMPUTED_VALUE"""),-4.32201904440091)</f>
        <v>-4.322019044</v>
      </c>
      <c r="L1117" s="165">
        <f>IFERROR(__xludf.DUMMYFUNCTION("""COMPUTED_VALUE"""),0.812286028190659)</f>
        <v>0.8122860282</v>
      </c>
      <c r="M1117" s="166">
        <f t="shared" si="2"/>
        <v>-1.473904015</v>
      </c>
      <c r="N1117" s="167">
        <f t="shared" si="3"/>
        <v>23.18358025</v>
      </c>
      <c r="O1117" s="163">
        <f t="shared" ref="O1117:Q1117" si="1121">rank(I1117,I:I)</f>
        <v>855</v>
      </c>
      <c r="P1117" s="163">
        <f t="shared" si="1121"/>
        <v>3961</v>
      </c>
      <c r="Q1117" s="163">
        <f t="shared" si="1121"/>
        <v>4014</v>
      </c>
      <c r="R1117" s="163">
        <f>IFERROR(__xludf.DUMMYFUNCTION("RANK(M1117,filter(M:M,C:C=C1117))"),474.0)</f>
        <v>474</v>
      </c>
      <c r="S1117" s="161" t="b">
        <f t="shared" si="5"/>
        <v>0</v>
      </c>
      <c r="T1117" s="161" t="b">
        <f t="array" ref="T1117">index('Query Tool'!B:B,match(H1117,'Query Tool'!C:C,0))</f>
        <v>1</v>
      </c>
      <c r="U1117" s="161" t="b">
        <f t="array" ref="U1117">index('Query Tool'!B:B,match(C1117,'Query Tool'!C:C,0))</f>
        <v>0</v>
      </c>
      <c r="V1117" s="161" t="b">
        <f>F1117&gt;='Query Tool'!C$32</f>
        <v>1</v>
      </c>
      <c r="W1117" s="161" t="b">
        <f t="array" ref="W1117">index(Dropdowns!B:B,match(I1117,Dropdowns!A:A,0))</f>
        <v>1</v>
      </c>
      <c r="X1117" s="161" t="b">
        <f t="array" ref="X1117">index('Query Tool'!B:B,match(D1117,'Query Tool'!C:C,0))</f>
        <v>1</v>
      </c>
      <c r="Y1117" s="161" t="str">
        <f t="shared" si="6"/>
        <v>hibbero01,2015-16</v>
      </c>
      <c r="Z1117" s="168">
        <f t="array" ref="Z1117">iferror(index(I:I,match($A1117&amp;","&amp;index('Year Conversion'!$A:$A,match($C1117,'Year Conversion'!$B:$B,0)),$Y:$Y,0))-I1117,"")</f>
        <v>1</v>
      </c>
      <c r="AA1117" s="168">
        <f t="array" ref="AA1117">iferror(index(J:J,match($A1117&amp;","&amp;index('Year Conversion'!$A:$A,match($C1117,'Year Conversion'!$B:$B,0)),$Y:$Y,0))-J1117,"")</f>
        <v>2.343173644</v>
      </c>
      <c r="AB1117" s="168">
        <f t="array" ref="AB1117">iferror(index(K:K,match($A1117&amp;","&amp;index('Year Conversion'!$A:$A,match($C1117,'Year Conversion'!$B:$B,0)),$Y:$Y,0))-K1117,"")</f>
        <v>1.680728378</v>
      </c>
      <c r="AC1117" s="168" t="str">
        <f t="shared" si="7"/>
        <v>LAL,2015-16</v>
      </c>
    </row>
    <row r="1118">
      <c r="A1118" s="161" t="str">
        <f>IFERROR(__xludf.DUMMYFUNCTION("""COMPUTED_VALUE"""),"mcgeeja01")</f>
        <v>mcgeeja01</v>
      </c>
      <c r="B1118" s="161" t="str">
        <f>IFERROR(__xludf.DUMMYFUNCTION("""COMPUTED_VALUE"""),"JaVale McGee")</f>
        <v>JaVale McGee</v>
      </c>
      <c r="C1118" s="162" t="str">
        <f>IFERROR(__xludf.DUMMYFUNCTION("""COMPUTED_VALUE"""),"2015-16")</f>
        <v>2015-16</v>
      </c>
      <c r="D1118" s="163" t="str">
        <f>IFERROR(__xludf.DUMMYFUNCTION("""COMPUTED_VALUE"""),"DAL")</f>
        <v>DAL</v>
      </c>
      <c r="E1118" s="164" t="str">
        <f>IFERROR(__xludf.DUMMYFUNCTION("""COMPUTED_VALUE"""),"Roll + Cut Big")</f>
        <v>Roll + Cut Big</v>
      </c>
      <c r="F1118" s="164">
        <f>IFERROR(__xludf.DUMMYFUNCTION("""COMPUTED_VALUE"""),369.783333333333)</f>
        <v>369.7833333</v>
      </c>
      <c r="G1118" s="163">
        <f>IFERROR(__xludf.DUMMYFUNCTION("""COMPUTED_VALUE"""),34.0)</f>
        <v>34</v>
      </c>
      <c r="H1118" s="163" t="str">
        <f>IFERROR(__xludf.DUMMYFUNCTION("""COMPUTED_VALUE"""),"C")</f>
        <v>C</v>
      </c>
      <c r="I1118" s="163">
        <f>IFERROR(__xludf.DUMMYFUNCTION("""COMPUTED_VALUE"""),28.0)</f>
        <v>28</v>
      </c>
      <c r="J1118" s="165">
        <f>IFERROR(__xludf.DUMMYFUNCTION("""COMPUTED_VALUE"""),-0.659404587132528)</f>
        <v>-0.6594045871</v>
      </c>
      <c r="K1118" s="165">
        <f>IFERROR(__xludf.DUMMYFUNCTION("""COMPUTED_VALUE"""),-1.06916582808932)</f>
        <v>-1.069165828</v>
      </c>
      <c r="L1118" s="165">
        <f>IFERROR(__xludf.DUMMYFUNCTION("""COMPUTED_VALUE"""),0.409761240956795)</f>
        <v>0.409761241</v>
      </c>
      <c r="M1118" s="166">
        <f t="shared" si="2"/>
        <v>0.405789561</v>
      </c>
      <c r="N1118" s="167">
        <f t="shared" si="3"/>
        <v>10.87598039</v>
      </c>
      <c r="O1118" s="163">
        <f t="shared" ref="O1118:Q1118" si="1122">rank(I1118,I:I)</f>
        <v>1090</v>
      </c>
      <c r="P1118" s="163">
        <f t="shared" si="1122"/>
        <v>2076</v>
      </c>
      <c r="Q1118" s="163">
        <f t="shared" si="1122"/>
        <v>2895</v>
      </c>
      <c r="R1118" s="163">
        <f>IFERROR(__xludf.DUMMYFUNCTION("RANK(M1118,filter(M:M,C:C=C1118))"),292.0)</f>
        <v>292</v>
      </c>
      <c r="S1118" s="161" t="b">
        <f t="shared" si="5"/>
        <v>0</v>
      </c>
      <c r="T1118" s="161" t="b">
        <f t="array" ref="T1118">index('Query Tool'!B:B,match(H1118,'Query Tool'!C:C,0))</f>
        <v>1</v>
      </c>
      <c r="U1118" s="161" t="b">
        <f t="array" ref="U1118">index('Query Tool'!B:B,match(C1118,'Query Tool'!C:C,0))</f>
        <v>0</v>
      </c>
      <c r="V1118" s="161" t="b">
        <f>F1118&gt;='Query Tool'!C$32</f>
        <v>0</v>
      </c>
      <c r="W1118" s="161" t="b">
        <f t="array" ref="W1118">index(Dropdowns!B:B,match(I1118,Dropdowns!A:A,0))</f>
        <v>1</v>
      </c>
      <c r="X1118" s="161" t="b">
        <f t="array" ref="X1118">index('Query Tool'!B:B,match(D1118,'Query Tool'!C:C,0))</f>
        <v>1</v>
      </c>
      <c r="Y1118" s="161" t="str">
        <f t="shared" si="6"/>
        <v>mcgeeja01,2015-16</v>
      </c>
      <c r="Z1118" s="168">
        <f t="array" ref="Z1118">iferror(index(I:I,match($A1118&amp;","&amp;index('Year Conversion'!$A:$A,match($C1118,'Year Conversion'!$B:$B,0)),$Y:$Y,0))-I1118,"")</f>
        <v>1</v>
      </c>
      <c r="AA1118" s="168">
        <f t="array" ref="AA1118">iferror(index(J:J,match($A1118&amp;","&amp;index('Year Conversion'!$A:$A,match($C1118,'Year Conversion'!$B:$B,0)),$Y:$Y,0))-J1118,"")</f>
        <v>2.681710002</v>
      </c>
      <c r="AB1118" s="168">
        <f t="array" ref="AB1118">iferror(index(K:K,match($A1118&amp;","&amp;index('Year Conversion'!$A:$A,match($C1118,'Year Conversion'!$B:$B,0)),$Y:$Y,0))-K1118,"")</f>
        <v>2.661420665</v>
      </c>
      <c r="AC1118" s="168" t="str">
        <f t="shared" si="7"/>
        <v>DAL,2015-16</v>
      </c>
    </row>
    <row r="1119">
      <c r="A1119" s="161" t="str">
        <f>IFERROR(__xludf.DUMMYFUNCTION("""COMPUTED_VALUE"""),"hicksjj01")</f>
        <v>hicksjj01</v>
      </c>
      <c r="B1119" s="161" t="str">
        <f>IFERROR(__xludf.DUMMYFUNCTION("""COMPUTED_VALUE"""),"JJ Hickson")</f>
        <v>JJ Hickson</v>
      </c>
      <c r="C1119" s="162" t="str">
        <f>IFERROR(__xludf.DUMMYFUNCTION("""COMPUTED_VALUE"""),"2015-16")</f>
        <v>2015-16</v>
      </c>
      <c r="D1119" s="163" t="str">
        <f>IFERROR(__xludf.DUMMYFUNCTION("""COMPUTED_VALUE"""),"TOT")</f>
        <v>TOT</v>
      </c>
      <c r="E1119" s="164" t="str">
        <f>IFERROR(__xludf.DUMMYFUNCTION("""COMPUTED_VALUE"""),"Roll + Cut Big")</f>
        <v>Roll + Cut Big</v>
      </c>
      <c r="F1119" s="164">
        <f>IFERROR(__xludf.DUMMYFUNCTION("""COMPUTED_VALUE"""),436.546666666667)</f>
        <v>436.5466667</v>
      </c>
      <c r="G1119" s="163">
        <f>IFERROR(__xludf.DUMMYFUNCTION("""COMPUTED_VALUE"""),35.0)</f>
        <v>35</v>
      </c>
      <c r="H1119" s="163" t="str">
        <f>IFERROR(__xludf.DUMMYFUNCTION("""COMPUTED_VALUE"""),"C")</f>
        <v>C</v>
      </c>
      <c r="I1119" s="163">
        <f>IFERROR(__xludf.DUMMYFUNCTION("""COMPUTED_VALUE"""),27.0)</f>
        <v>27</v>
      </c>
      <c r="J1119" s="165">
        <f>IFERROR(__xludf.DUMMYFUNCTION("""COMPUTED_VALUE"""),0.155206602870117)</f>
        <v>0.1552066029</v>
      </c>
      <c r="K1119" s="165">
        <f>IFERROR(__xludf.DUMMYFUNCTION("""COMPUTED_VALUE"""),-0.532715733890443)</f>
        <v>-0.5327157339</v>
      </c>
      <c r="L1119" s="165">
        <f>IFERROR(__xludf.DUMMYFUNCTION("""COMPUTED_VALUE"""),0.68792233676056)</f>
        <v>0.6879223368</v>
      </c>
      <c r="M1119" s="166">
        <f t="shared" si="2"/>
        <v>0.7186875963</v>
      </c>
      <c r="N1119" s="167">
        <f t="shared" si="3"/>
        <v>12.4727619</v>
      </c>
      <c r="O1119" s="163">
        <f t="shared" ref="O1119:Q1119" si="1123">rank(I1119,I:I)</f>
        <v>1366</v>
      </c>
      <c r="P1119" s="163">
        <f t="shared" si="1123"/>
        <v>1124</v>
      </c>
      <c r="Q1119" s="163">
        <f t="shared" si="1123"/>
        <v>2159</v>
      </c>
      <c r="R1119" s="163">
        <f>IFERROR(__xludf.DUMMYFUNCTION("RANK(M1119,filter(M:M,C:C=C1119))"),254.0)</f>
        <v>254</v>
      </c>
      <c r="S1119" s="161" t="b">
        <f t="shared" si="5"/>
        <v>0</v>
      </c>
      <c r="T1119" s="161" t="b">
        <f t="array" ref="T1119">index('Query Tool'!B:B,match(H1119,'Query Tool'!C:C,0))</f>
        <v>1</v>
      </c>
      <c r="U1119" s="161" t="b">
        <f t="array" ref="U1119">index('Query Tool'!B:B,match(C1119,'Query Tool'!C:C,0))</f>
        <v>0</v>
      </c>
      <c r="V1119" s="161" t="b">
        <f>F1119&gt;='Query Tool'!C$32</f>
        <v>0</v>
      </c>
      <c r="W1119" s="161" t="b">
        <f t="array" ref="W1119">index(Dropdowns!B:B,match(I1119,Dropdowns!A:A,0))</f>
        <v>1</v>
      </c>
      <c r="X1119" s="161" t="b">
        <f t="array" ref="X1119">index('Query Tool'!B:B,match(D1119,'Query Tool'!C:C,0))</f>
        <v>1</v>
      </c>
      <c r="Y1119" s="161" t="str">
        <f t="shared" si="6"/>
        <v>hicksjj01,2015-16</v>
      </c>
      <c r="Z1119" s="168" t="str">
        <f t="array" ref="Z1119">iferror(index(I:I,match($A1119&amp;","&amp;index('Year Conversion'!$A:$A,match($C1119,'Year Conversion'!$B:$B,0)),$Y:$Y,0))-I1119,"")</f>
        <v/>
      </c>
      <c r="AA1119" s="168" t="str">
        <f t="array" ref="AA1119">iferror(index(J:J,match($A1119&amp;","&amp;index('Year Conversion'!$A:$A,match($C1119,'Year Conversion'!$B:$B,0)),$Y:$Y,0))-J1119,"")</f>
        <v/>
      </c>
      <c r="AB1119" s="168" t="str">
        <f t="array" ref="AB1119">iferror(index(K:K,match($A1119&amp;","&amp;index('Year Conversion'!$A:$A,match($C1119,'Year Conversion'!$B:$B,0)),$Y:$Y,0))-K1119,"")</f>
        <v/>
      </c>
      <c r="AC1119" s="168" t="str">
        <f t="shared" si="7"/>
        <v>TOT,2015-16</v>
      </c>
    </row>
    <row r="1120">
      <c r="A1120" s="161" t="str">
        <f>IFERROR(__xludf.DUMMYFUNCTION("""COMPUTED_VALUE"""),"ajincal01")</f>
        <v>ajincal01</v>
      </c>
      <c r="B1120" s="161" t="str">
        <f>IFERROR(__xludf.DUMMYFUNCTION("""COMPUTED_VALUE"""),"Alexis Ajinca")</f>
        <v>Alexis Ajinca</v>
      </c>
      <c r="C1120" s="162" t="str">
        <f>IFERROR(__xludf.DUMMYFUNCTION("""COMPUTED_VALUE"""),"2015-16")</f>
        <v>2015-16</v>
      </c>
      <c r="D1120" s="163" t="str">
        <f>IFERROR(__xludf.DUMMYFUNCTION("""COMPUTED_VALUE"""),"NOP")</f>
        <v>NOP</v>
      </c>
      <c r="E1120" s="164" t="str">
        <f>IFERROR(__xludf.DUMMYFUNCTION("""COMPUTED_VALUE"""),"Roll + Cut Big")</f>
        <v>Roll + Cut Big</v>
      </c>
      <c r="F1120" s="164">
        <f>IFERROR(__xludf.DUMMYFUNCTION("""COMPUTED_VALUE"""),860.715)</f>
        <v>860.715</v>
      </c>
      <c r="G1120" s="163">
        <f>IFERROR(__xludf.DUMMYFUNCTION("""COMPUTED_VALUE"""),59.0)</f>
        <v>59</v>
      </c>
      <c r="H1120" s="163" t="str">
        <f>IFERROR(__xludf.DUMMYFUNCTION("""COMPUTED_VALUE"""),"C")</f>
        <v>C</v>
      </c>
      <c r="I1120" s="163">
        <f>IFERROR(__xludf.DUMMYFUNCTION("""COMPUTED_VALUE"""),27.0)</f>
        <v>27</v>
      </c>
      <c r="J1120" s="165">
        <f>IFERROR(__xludf.DUMMYFUNCTION("""COMPUTED_VALUE"""),-1.19953889206913)</f>
        <v>-1.199538892</v>
      </c>
      <c r="K1120" s="165">
        <f>IFERROR(__xludf.DUMMYFUNCTION("""COMPUTED_VALUE"""),-2.78124940085628)</f>
        <v>-2.781249401</v>
      </c>
      <c r="L1120" s="165">
        <f>IFERROR(__xludf.DUMMYFUNCTION("""COMPUTED_VALUE"""),1.58171050878715)</f>
        <v>1.581710509</v>
      </c>
      <c r="M1120" s="166">
        <f t="shared" si="2"/>
        <v>0.6322489036</v>
      </c>
      <c r="N1120" s="167">
        <f t="shared" si="3"/>
        <v>14.58838983</v>
      </c>
      <c r="O1120" s="163">
        <f t="shared" ref="O1120:Q1120" si="1124">rank(I1120,I:I)</f>
        <v>1366</v>
      </c>
      <c r="P1120" s="163">
        <f t="shared" si="1124"/>
        <v>2744</v>
      </c>
      <c r="Q1120" s="163">
        <f t="shared" si="1124"/>
        <v>3950</v>
      </c>
      <c r="R1120" s="163">
        <f>IFERROR(__xludf.DUMMYFUNCTION("RANK(M1120,filter(M:M,C:C=C1120))"),265.0)</f>
        <v>265</v>
      </c>
      <c r="S1120" s="161" t="b">
        <f t="shared" si="5"/>
        <v>0</v>
      </c>
      <c r="T1120" s="161" t="b">
        <f t="array" ref="T1120">index('Query Tool'!B:B,match(H1120,'Query Tool'!C:C,0))</f>
        <v>1</v>
      </c>
      <c r="U1120" s="161" t="b">
        <f t="array" ref="U1120">index('Query Tool'!B:B,match(C1120,'Query Tool'!C:C,0))</f>
        <v>0</v>
      </c>
      <c r="V1120" s="161" t="b">
        <f>F1120&gt;='Query Tool'!C$32</f>
        <v>1</v>
      </c>
      <c r="W1120" s="161" t="b">
        <f t="array" ref="W1120">index(Dropdowns!B:B,match(I1120,Dropdowns!A:A,0))</f>
        <v>1</v>
      </c>
      <c r="X1120" s="161" t="b">
        <f t="array" ref="X1120">index('Query Tool'!B:B,match(D1120,'Query Tool'!C:C,0))</f>
        <v>1</v>
      </c>
      <c r="Y1120" s="161" t="str">
        <f t="shared" si="6"/>
        <v>ajincal01,2015-16</v>
      </c>
      <c r="Z1120" s="168">
        <f t="array" ref="Z1120">iferror(index(I:I,match($A1120&amp;","&amp;index('Year Conversion'!$A:$A,match($C1120,'Year Conversion'!$B:$B,0)),$Y:$Y,0))-I1120,"")</f>
        <v>1</v>
      </c>
      <c r="AA1120" s="168">
        <f t="array" ref="AA1120">iferror(index(J:J,match($A1120&amp;","&amp;index('Year Conversion'!$A:$A,match($C1120,'Year Conversion'!$B:$B,0)),$Y:$Y,0))-J1120,"")</f>
        <v>0.3100049937</v>
      </c>
      <c r="AB1120" s="168">
        <f t="array" ref="AB1120">iferror(index(K:K,match($A1120&amp;","&amp;index('Year Conversion'!$A:$A,match($C1120,'Year Conversion'!$B:$B,0)),$Y:$Y,0))-K1120,"")</f>
        <v>0.8791691111</v>
      </c>
      <c r="AC1120" s="168" t="str">
        <f t="shared" si="7"/>
        <v>NOP,2015-16</v>
      </c>
    </row>
    <row r="1121">
      <c r="A1121" s="161" t="str">
        <f>IFERROR(__xludf.DUMMYFUNCTION("""COMPUTED_VALUE"""),"anderry01")</f>
        <v>anderry01</v>
      </c>
      <c r="B1121" s="161" t="str">
        <f>IFERROR(__xludf.DUMMYFUNCTION("""COMPUTED_VALUE"""),"Ryan Anderson")</f>
        <v>Ryan Anderson</v>
      </c>
      <c r="C1121" s="162" t="str">
        <f>IFERROR(__xludf.DUMMYFUNCTION("""COMPUTED_VALUE"""),"2015-16")</f>
        <v>2015-16</v>
      </c>
      <c r="D1121" s="163" t="str">
        <f>IFERROR(__xludf.DUMMYFUNCTION("""COMPUTED_VALUE"""),"NOP")</f>
        <v>NOP</v>
      </c>
      <c r="E1121" s="164" t="str">
        <f>IFERROR(__xludf.DUMMYFUNCTION("""COMPUTED_VALUE"""),"Versatile Big")</f>
        <v>Versatile Big</v>
      </c>
      <c r="F1121" s="164">
        <f>IFERROR(__xludf.DUMMYFUNCTION("""COMPUTED_VALUE"""),2008.13)</f>
        <v>2008.13</v>
      </c>
      <c r="G1121" s="163">
        <f>IFERROR(__xludf.DUMMYFUNCTION("""COMPUTED_VALUE"""),66.0)</f>
        <v>66</v>
      </c>
      <c r="H1121" s="163" t="str">
        <f>IFERROR(__xludf.DUMMYFUNCTION("""COMPUTED_VALUE"""),"PF")</f>
        <v>PF</v>
      </c>
      <c r="I1121" s="163">
        <f>IFERROR(__xludf.DUMMYFUNCTION("""COMPUTED_VALUE"""),27.0)</f>
        <v>27</v>
      </c>
      <c r="J1121" s="165">
        <f>IFERROR(__xludf.DUMMYFUNCTION("""COMPUTED_VALUE"""),-0.0470619130528525)</f>
        <v>-0.04706191305</v>
      </c>
      <c r="K1121" s="165">
        <f>IFERROR(__xludf.DUMMYFUNCTION("""COMPUTED_VALUE"""),1.67395626381545)</f>
        <v>1.673956264</v>
      </c>
      <c r="L1121" s="165">
        <f>IFERROR(__xludf.DUMMYFUNCTION("""COMPUTED_VALUE"""),-1.7210181768683)</f>
        <v>-1.721018177</v>
      </c>
      <c r="M1121" s="166">
        <f t="shared" si="2"/>
        <v>3.032152</v>
      </c>
      <c r="N1121" s="167">
        <f t="shared" si="3"/>
        <v>30.42621212</v>
      </c>
      <c r="O1121" s="163">
        <f t="shared" ref="O1121:Q1121" si="1125">rank(I1121,I:I)</f>
        <v>1366</v>
      </c>
      <c r="P1121" s="163">
        <f t="shared" si="1125"/>
        <v>1329</v>
      </c>
      <c r="Q1121" s="163">
        <f t="shared" si="1125"/>
        <v>277</v>
      </c>
      <c r="R1121" s="163">
        <f>IFERROR(__xludf.DUMMYFUNCTION("RANK(M1121,filter(M:M,C:C=C1121))"),118.0)</f>
        <v>118</v>
      </c>
      <c r="S1121" s="161" t="b">
        <f t="shared" si="5"/>
        <v>0</v>
      </c>
      <c r="T1121" s="161" t="b">
        <f t="array" ref="T1121">index('Query Tool'!B:B,match(H1121,'Query Tool'!C:C,0))</f>
        <v>1</v>
      </c>
      <c r="U1121" s="161" t="b">
        <f t="array" ref="U1121">index('Query Tool'!B:B,match(C1121,'Query Tool'!C:C,0))</f>
        <v>0</v>
      </c>
      <c r="V1121" s="161" t="b">
        <f>F1121&gt;='Query Tool'!C$32</f>
        <v>1</v>
      </c>
      <c r="W1121" s="161" t="b">
        <f t="array" ref="W1121">index(Dropdowns!B:B,match(I1121,Dropdowns!A:A,0))</f>
        <v>1</v>
      </c>
      <c r="X1121" s="161" t="b">
        <f t="array" ref="X1121">index('Query Tool'!B:B,match(D1121,'Query Tool'!C:C,0))</f>
        <v>1</v>
      </c>
      <c r="Y1121" s="161" t="str">
        <f t="shared" si="6"/>
        <v>anderry01,2015-16</v>
      </c>
      <c r="Z1121" s="168">
        <f t="array" ref="Z1121">iferror(index(I:I,match($A1121&amp;","&amp;index('Year Conversion'!$A:$A,match($C1121,'Year Conversion'!$B:$B,0)),$Y:$Y,0))-I1121,"")</f>
        <v>1</v>
      </c>
      <c r="AA1121" s="168">
        <f t="array" ref="AA1121">iferror(index(J:J,match($A1121&amp;","&amp;index('Year Conversion'!$A:$A,match($C1121,'Year Conversion'!$B:$B,0)),$Y:$Y,0))-J1121,"")</f>
        <v>0.8007646096</v>
      </c>
      <c r="AB1121" s="168">
        <f t="array" ref="AB1121">iferror(index(K:K,match($A1121&amp;","&amp;index('Year Conversion'!$A:$A,match($C1121,'Year Conversion'!$B:$B,0)),$Y:$Y,0))-K1121,"")</f>
        <v>-0.2605502422</v>
      </c>
      <c r="AC1121" s="168" t="str">
        <f t="shared" si="7"/>
        <v>NOP,2015-16</v>
      </c>
    </row>
    <row r="1122">
      <c r="A1122" s="161" t="str">
        <f>IFERROR(__xludf.DUMMYFUNCTION("""COMPUTED_VALUE"""),"leeco01")</f>
        <v>leeco01</v>
      </c>
      <c r="B1122" s="161" t="str">
        <f>IFERROR(__xludf.DUMMYFUNCTION("""COMPUTED_VALUE"""),"Courtney Lee")</f>
        <v>Courtney Lee</v>
      </c>
      <c r="C1122" s="162" t="str">
        <f>IFERROR(__xludf.DUMMYFUNCTION("""COMPUTED_VALUE"""),"2015-16")</f>
        <v>2015-16</v>
      </c>
      <c r="D1122" s="163" t="str">
        <f>IFERROR(__xludf.DUMMYFUNCTION("""COMPUTED_VALUE"""),"TOT")</f>
        <v>TOT</v>
      </c>
      <c r="E1122" s="164" t="str">
        <f>IFERROR(__xludf.DUMMYFUNCTION("""COMPUTED_VALUE"""),"Movement Shooter")</f>
        <v>Movement Shooter</v>
      </c>
      <c r="F1122" s="164">
        <f>IFERROR(__xludf.DUMMYFUNCTION("""COMPUTED_VALUE"""),2334.47333333333)</f>
        <v>2334.473333</v>
      </c>
      <c r="G1122" s="163">
        <f>IFERROR(__xludf.DUMMYFUNCTION("""COMPUTED_VALUE"""),79.0)</f>
        <v>79</v>
      </c>
      <c r="H1122" s="163" t="str">
        <f>IFERROR(__xludf.DUMMYFUNCTION("""COMPUTED_VALUE"""),"SG")</f>
        <v>SG</v>
      </c>
      <c r="I1122" s="163">
        <f>IFERROR(__xludf.DUMMYFUNCTION("""COMPUTED_VALUE"""),30.0)</f>
        <v>30</v>
      </c>
      <c r="J1122" s="165">
        <f>IFERROR(__xludf.DUMMYFUNCTION("""COMPUTED_VALUE"""),-0.615763136295449)</f>
        <v>-0.6157631363</v>
      </c>
      <c r="K1122" s="165">
        <f>IFERROR(__xludf.DUMMYFUNCTION("""COMPUTED_VALUE"""),-0.483037797008932)</f>
        <v>-0.483037797</v>
      </c>
      <c r="L1122" s="165">
        <f>IFERROR(__xludf.DUMMYFUNCTION("""COMPUTED_VALUE"""),-0.132725339286517)</f>
        <v>-0.1327253393</v>
      </c>
      <c r="M1122" s="166">
        <f t="shared" si="2"/>
        <v>2.630353728</v>
      </c>
      <c r="N1122" s="167">
        <f t="shared" si="3"/>
        <v>29.55029536</v>
      </c>
      <c r="O1122" s="163">
        <f t="shared" ref="O1122:Q1122" si="1126">rank(I1122,I:I)</f>
        <v>655</v>
      </c>
      <c r="P1122" s="163">
        <f t="shared" si="1126"/>
        <v>2021</v>
      </c>
      <c r="Q1122" s="163">
        <f t="shared" si="1126"/>
        <v>2087</v>
      </c>
      <c r="R1122" s="163">
        <f>IFERROR(__xludf.DUMMYFUNCTION("RANK(M1122,filter(M:M,C:C=C1122))"),130.0)</f>
        <v>130</v>
      </c>
      <c r="S1122" s="161" t="b">
        <f t="shared" si="5"/>
        <v>0</v>
      </c>
      <c r="T1122" s="161" t="b">
        <f t="array" ref="T1122">index('Query Tool'!B:B,match(H1122,'Query Tool'!C:C,0))</f>
        <v>1</v>
      </c>
      <c r="U1122" s="161" t="b">
        <f t="array" ref="U1122">index('Query Tool'!B:B,match(C1122,'Query Tool'!C:C,0))</f>
        <v>0</v>
      </c>
      <c r="V1122" s="161" t="b">
        <f>F1122&gt;='Query Tool'!C$32</f>
        <v>1</v>
      </c>
      <c r="W1122" s="161" t="b">
        <f t="array" ref="W1122">index(Dropdowns!B:B,match(I1122,Dropdowns!A:A,0))</f>
        <v>1</v>
      </c>
      <c r="X1122" s="161" t="b">
        <f t="array" ref="X1122">index('Query Tool'!B:B,match(D1122,'Query Tool'!C:C,0))</f>
        <v>1</v>
      </c>
      <c r="Y1122" s="161" t="str">
        <f t="shared" si="6"/>
        <v>leeco01,2015-16</v>
      </c>
      <c r="Z1122" s="168">
        <f t="array" ref="Z1122">iferror(index(I:I,match($A1122&amp;","&amp;index('Year Conversion'!$A:$A,match($C1122,'Year Conversion'!$B:$B,0)),$Y:$Y,0))-I1122,"")</f>
        <v>1</v>
      </c>
      <c r="AA1122" s="168">
        <f t="array" ref="AA1122">iferror(index(J:J,match($A1122&amp;","&amp;index('Year Conversion'!$A:$A,match($C1122,'Year Conversion'!$B:$B,0)),$Y:$Y,0))-J1122,"")</f>
        <v>-1.097719912</v>
      </c>
      <c r="AB1122" s="168">
        <f t="array" ref="AB1122">iferror(index(K:K,match($A1122&amp;","&amp;index('Year Conversion'!$A:$A,match($C1122,'Year Conversion'!$B:$B,0)),$Y:$Y,0))-K1122,"")</f>
        <v>0.503504542</v>
      </c>
      <c r="AC1122" s="168" t="str">
        <f t="shared" si="7"/>
        <v>TOT,2015-16</v>
      </c>
    </row>
    <row r="1123">
      <c r="A1123" s="161" t="str">
        <f>IFERROR(__xludf.DUMMYFUNCTION("""COMPUTED_VALUE"""),"koufoko01")</f>
        <v>koufoko01</v>
      </c>
      <c r="B1123" s="161" t="str">
        <f>IFERROR(__xludf.DUMMYFUNCTION("""COMPUTED_VALUE"""),"Kosta Koufos")</f>
        <v>Kosta Koufos</v>
      </c>
      <c r="C1123" s="162" t="str">
        <f>IFERROR(__xludf.DUMMYFUNCTION("""COMPUTED_VALUE"""),"2015-16")</f>
        <v>2015-16</v>
      </c>
      <c r="D1123" s="163" t="str">
        <f>IFERROR(__xludf.DUMMYFUNCTION("""COMPUTED_VALUE"""),"SAC")</f>
        <v>SAC</v>
      </c>
      <c r="E1123" s="164" t="str">
        <f>IFERROR(__xludf.DUMMYFUNCTION("""COMPUTED_VALUE"""),"Roll + Cut Big")</f>
        <v>Roll + Cut Big</v>
      </c>
      <c r="F1123" s="164">
        <f>IFERROR(__xludf.DUMMYFUNCTION("""COMPUTED_VALUE"""),1482.4)</f>
        <v>1482.4</v>
      </c>
      <c r="G1123" s="163">
        <f>IFERROR(__xludf.DUMMYFUNCTION("""COMPUTED_VALUE"""),78.0)</f>
        <v>78</v>
      </c>
      <c r="H1123" s="163" t="str">
        <f>IFERROR(__xludf.DUMMYFUNCTION("""COMPUTED_VALUE"""),"C")</f>
        <v>C</v>
      </c>
      <c r="I1123" s="163">
        <f>IFERROR(__xludf.DUMMYFUNCTION("""COMPUTED_VALUE"""),26.0)</f>
        <v>26</v>
      </c>
      <c r="J1123" s="165">
        <f>IFERROR(__xludf.DUMMYFUNCTION("""COMPUTED_VALUE"""),-1.76310933147728)</f>
        <v>-1.763109331</v>
      </c>
      <c r="K1123" s="165">
        <f>IFERROR(__xludf.DUMMYFUNCTION("""COMPUTED_VALUE"""),-1.78530216266131)</f>
        <v>-1.785302163</v>
      </c>
      <c r="L1123" s="165">
        <f>IFERROR(__xludf.DUMMYFUNCTION("""COMPUTED_VALUE"""),0.02219283118403)</f>
        <v>0.02219283118</v>
      </c>
      <c r="M1123" s="166">
        <f t="shared" si="2"/>
        <v>0.5308518804</v>
      </c>
      <c r="N1123" s="167">
        <f t="shared" si="3"/>
        <v>19.00512821</v>
      </c>
      <c r="O1123" s="163">
        <f t="shared" ref="O1123:Q1123" si="1127">rank(I1123,I:I)</f>
        <v>1665</v>
      </c>
      <c r="P1123" s="163">
        <f t="shared" si="1127"/>
        <v>3305</v>
      </c>
      <c r="Q1123" s="163">
        <f t="shared" si="1127"/>
        <v>3568</v>
      </c>
      <c r="R1123" s="163">
        <f>IFERROR(__xludf.DUMMYFUNCTION("RANK(M1123,filter(M:M,C:C=C1123))"),279.0)</f>
        <v>279</v>
      </c>
      <c r="S1123" s="161" t="b">
        <f t="shared" si="5"/>
        <v>0</v>
      </c>
      <c r="T1123" s="161" t="b">
        <f t="array" ref="T1123">index('Query Tool'!B:B,match(H1123,'Query Tool'!C:C,0))</f>
        <v>1</v>
      </c>
      <c r="U1123" s="161" t="b">
        <f t="array" ref="U1123">index('Query Tool'!B:B,match(C1123,'Query Tool'!C:C,0))</f>
        <v>0</v>
      </c>
      <c r="V1123" s="161" t="b">
        <f>F1123&gt;='Query Tool'!C$32</f>
        <v>1</v>
      </c>
      <c r="W1123" s="161" t="b">
        <f t="array" ref="W1123">index(Dropdowns!B:B,match(I1123,Dropdowns!A:A,0))</f>
        <v>1</v>
      </c>
      <c r="X1123" s="161" t="b">
        <f t="array" ref="X1123">index('Query Tool'!B:B,match(D1123,'Query Tool'!C:C,0))</f>
        <v>1</v>
      </c>
      <c r="Y1123" s="161" t="str">
        <f t="shared" si="6"/>
        <v>koufoko01,2015-16</v>
      </c>
      <c r="Z1123" s="168">
        <f t="array" ref="Z1123">iferror(index(I:I,match($A1123&amp;","&amp;index('Year Conversion'!$A:$A,match($C1123,'Year Conversion'!$B:$B,0)),$Y:$Y,0))-I1123,"")</f>
        <v>1</v>
      </c>
      <c r="AA1123" s="168">
        <f t="array" ref="AA1123">iferror(index(J:J,match($A1123&amp;","&amp;index('Year Conversion'!$A:$A,match($C1123,'Year Conversion'!$B:$B,0)),$Y:$Y,0))-J1123,"")</f>
        <v>1.229612786</v>
      </c>
      <c r="AB1123" s="168">
        <f t="array" ref="AB1123">iferror(index(K:K,match($A1123&amp;","&amp;index('Year Conversion'!$A:$A,match($C1123,'Year Conversion'!$B:$B,0)),$Y:$Y,0))-K1123,"")</f>
        <v>-0.4374126445</v>
      </c>
      <c r="AC1123" s="168" t="str">
        <f t="shared" si="7"/>
        <v>SAC,2015-16</v>
      </c>
    </row>
    <row r="1124">
      <c r="A1124" s="161" t="str">
        <f>IFERROR(__xludf.DUMMYFUNCTION("""COMPUTED_VALUE"""),"ibakase01")</f>
        <v>ibakase01</v>
      </c>
      <c r="B1124" s="161" t="str">
        <f>IFERROR(__xludf.DUMMYFUNCTION("""COMPUTED_VALUE"""),"Serge Ibaka")</f>
        <v>Serge Ibaka</v>
      </c>
      <c r="C1124" s="162" t="str">
        <f>IFERROR(__xludf.DUMMYFUNCTION("""COMPUTED_VALUE"""),"2015-16")</f>
        <v>2015-16</v>
      </c>
      <c r="D1124" s="163" t="str">
        <f>IFERROR(__xludf.DUMMYFUNCTION("""COMPUTED_VALUE"""),"OKC")</f>
        <v>OKC</v>
      </c>
      <c r="E1124" s="164" t="str">
        <f>IFERROR(__xludf.DUMMYFUNCTION("""COMPUTED_VALUE"""),"Roll + Cut Big")</f>
        <v>Roll + Cut Big</v>
      </c>
      <c r="F1124" s="164">
        <f>IFERROR(__xludf.DUMMYFUNCTION("""COMPUTED_VALUE"""),2500.29333333333)</f>
        <v>2500.293333</v>
      </c>
      <c r="G1124" s="163">
        <f>IFERROR(__xludf.DUMMYFUNCTION("""COMPUTED_VALUE"""),78.0)</f>
        <v>78</v>
      </c>
      <c r="H1124" s="163" t="str">
        <f>IFERROR(__xludf.DUMMYFUNCTION("""COMPUTED_VALUE"""),"PF")</f>
        <v>PF</v>
      </c>
      <c r="I1124" s="163">
        <f>IFERROR(__xludf.DUMMYFUNCTION("""COMPUTED_VALUE"""),26.0)</f>
        <v>26</v>
      </c>
      <c r="J1124" s="165">
        <f>IFERROR(__xludf.DUMMYFUNCTION("""COMPUTED_VALUE"""),1.19073916070177)</f>
        <v>1.190739161</v>
      </c>
      <c r="K1124" s="165">
        <f>IFERROR(__xludf.DUMMYFUNCTION("""COMPUTED_VALUE"""),-0.0730799289723535)</f>
        <v>-0.07307992897</v>
      </c>
      <c r="L1124" s="165">
        <f>IFERROR(__xludf.DUMMYFUNCTION("""COMPUTED_VALUE"""),1.26381908967412)</f>
        <v>1.26381909</v>
      </c>
      <c r="M1124" s="166">
        <f t="shared" si="2"/>
        <v>5.857870715</v>
      </c>
      <c r="N1124" s="167">
        <f t="shared" si="3"/>
        <v>32.05504274</v>
      </c>
      <c r="O1124" s="163">
        <f t="shared" ref="O1124:Q1124" si="1128">rank(I1124,I:I)</f>
        <v>1665</v>
      </c>
      <c r="P1124" s="163">
        <f t="shared" si="1128"/>
        <v>576</v>
      </c>
      <c r="Q1124" s="163">
        <f t="shared" si="1128"/>
        <v>1312</v>
      </c>
      <c r="R1124" s="163">
        <f>IFERROR(__xludf.DUMMYFUNCTION("RANK(M1124,filter(M:M,C:C=C1124))"),47.0)</f>
        <v>47</v>
      </c>
      <c r="S1124" s="161" t="b">
        <f t="shared" si="5"/>
        <v>0</v>
      </c>
      <c r="T1124" s="161" t="b">
        <f t="array" ref="T1124">index('Query Tool'!B:B,match(H1124,'Query Tool'!C:C,0))</f>
        <v>1</v>
      </c>
      <c r="U1124" s="161" t="b">
        <f t="array" ref="U1124">index('Query Tool'!B:B,match(C1124,'Query Tool'!C:C,0))</f>
        <v>0</v>
      </c>
      <c r="V1124" s="161" t="b">
        <f>F1124&gt;='Query Tool'!C$32</f>
        <v>1</v>
      </c>
      <c r="W1124" s="161" t="b">
        <f t="array" ref="W1124">index(Dropdowns!B:B,match(I1124,Dropdowns!A:A,0))</f>
        <v>1</v>
      </c>
      <c r="X1124" s="161" t="b">
        <f t="array" ref="X1124">index('Query Tool'!B:B,match(D1124,'Query Tool'!C:C,0))</f>
        <v>1</v>
      </c>
      <c r="Y1124" s="161" t="str">
        <f t="shared" si="6"/>
        <v>ibakase01,2015-16</v>
      </c>
      <c r="Z1124" s="168">
        <f t="array" ref="Z1124">iferror(index(I:I,match($A1124&amp;","&amp;index('Year Conversion'!$A:$A,match($C1124,'Year Conversion'!$B:$B,0)),$Y:$Y,0))-I1124,"")</f>
        <v>1</v>
      </c>
      <c r="AA1124" s="168">
        <f t="array" ref="AA1124">iferror(index(J:J,match($A1124&amp;","&amp;index('Year Conversion'!$A:$A,match($C1124,'Year Conversion'!$B:$B,0)),$Y:$Y,0))-J1124,"")</f>
        <v>-0.8884727041</v>
      </c>
      <c r="AB1124" s="168">
        <f t="array" ref="AB1124">iferror(index(K:K,match($A1124&amp;","&amp;index('Year Conversion'!$A:$A,match($C1124,'Year Conversion'!$B:$B,0)),$Y:$Y,0))-K1124,"")</f>
        <v>-0.1895736445</v>
      </c>
      <c r="AC1124" s="168" t="str">
        <f t="shared" si="7"/>
        <v>OKC,2015-16</v>
      </c>
    </row>
    <row r="1125">
      <c r="A1125" s="161" t="str">
        <f>IFERROR(__xludf.DUMMYFUNCTION("""COMPUTED_VALUE"""),"batumni01")</f>
        <v>batumni01</v>
      </c>
      <c r="B1125" s="161" t="str">
        <f>IFERROR(__xludf.DUMMYFUNCTION("""COMPUTED_VALUE"""),"Nicolas Batum")</f>
        <v>Nicolas Batum</v>
      </c>
      <c r="C1125" s="162" t="str">
        <f>IFERROR(__xludf.DUMMYFUNCTION("""COMPUTED_VALUE"""),"2015-16")</f>
        <v>2015-16</v>
      </c>
      <c r="D1125" s="163" t="str">
        <f>IFERROR(__xludf.DUMMYFUNCTION("""COMPUTED_VALUE"""),"CHO")</f>
        <v>CHO</v>
      </c>
      <c r="E1125" s="164" t="str">
        <f>IFERROR(__xludf.DUMMYFUNCTION("""COMPUTED_VALUE"""),"Secondary Ball Handler")</f>
        <v>Secondary Ball Handler</v>
      </c>
      <c r="F1125" s="164">
        <f>IFERROR(__xludf.DUMMYFUNCTION("""COMPUTED_VALUE"""),2447.56)</f>
        <v>2447.56</v>
      </c>
      <c r="G1125" s="163">
        <f>IFERROR(__xludf.DUMMYFUNCTION("""COMPUTED_VALUE"""),70.0)</f>
        <v>70</v>
      </c>
      <c r="H1125" s="163" t="str">
        <f>IFERROR(__xludf.DUMMYFUNCTION("""COMPUTED_VALUE"""),"SF")</f>
        <v>SF</v>
      </c>
      <c r="I1125" s="163">
        <f>IFERROR(__xludf.DUMMYFUNCTION("""COMPUTED_VALUE"""),27.0)</f>
        <v>27</v>
      </c>
      <c r="J1125" s="165">
        <f>IFERROR(__xludf.DUMMYFUNCTION("""COMPUTED_VALUE"""),0.707472075575851)</f>
        <v>0.7074720756</v>
      </c>
      <c r="K1125" s="165">
        <f>IFERROR(__xludf.DUMMYFUNCTION("""COMPUTED_VALUE"""),0.855335689368009)</f>
        <v>0.8553356894</v>
      </c>
      <c r="L1125" s="165">
        <f>IFERROR(__xludf.DUMMYFUNCTION("""COMPUTED_VALUE"""),-0.147863613792158)</f>
        <v>-0.1478636138</v>
      </c>
      <c r="M1125" s="166">
        <f t="shared" si="2"/>
        <v>4.939924469</v>
      </c>
      <c r="N1125" s="167">
        <f t="shared" si="3"/>
        <v>34.96514286</v>
      </c>
      <c r="O1125" s="163">
        <f t="shared" ref="O1125:Q1125" si="1129">rank(I1125,I:I)</f>
        <v>1366</v>
      </c>
      <c r="P1125" s="163">
        <f t="shared" si="1129"/>
        <v>792</v>
      </c>
      <c r="Q1125" s="163">
        <f t="shared" si="1129"/>
        <v>577</v>
      </c>
      <c r="R1125" s="163">
        <f>IFERROR(__xludf.DUMMYFUNCTION("RANK(M1125,filter(M:M,C:C=C1125))"),65.0)</f>
        <v>65</v>
      </c>
      <c r="S1125" s="161" t="b">
        <f t="shared" si="5"/>
        <v>0</v>
      </c>
      <c r="T1125" s="161" t="b">
        <f t="array" ref="T1125">index('Query Tool'!B:B,match(H1125,'Query Tool'!C:C,0))</f>
        <v>1</v>
      </c>
      <c r="U1125" s="161" t="b">
        <f t="array" ref="U1125">index('Query Tool'!B:B,match(C1125,'Query Tool'!C:C,0))</f>
        <v>0</v>
      </c>
      <c r="V1125" s="161" t="b">
        <f>F1125&gt;='Query Tool'!C$32</f>
        <v>1</v>
      </c>
      <c r="W1125" s="161" t="b">
        <f t="array" ref="W1125">index(Dropdowns!B:B,match(I1125,Dropdowns!A:A,0))</f>
        <v>1</v>
      </c>
      <c r="X1125" s="161" t="b">
        <f t="array" ref="X1125">index('Query Tool'!B:B,match(D1125,'Query Tool'!C:C,0))</f>
        <v>1</v>
      </c>
      <c r="Y1125" s="161" t="str">
        <f t="shared" si="6"/>
        <v>batumni01,2015-16</v>
      </c>
      <c r="Z1125" s="168">
        <f t="array" ref="Z1125">iferror(index(I:I,match($A1125&amp;","&amp;index('Year Conversion'!$A:$A,match($C1125,'Year Conversion'!$B:$B,0)),$Y:$Y,0))-I1125,"")</f>
        <v>1</v>
      </c>
      <c r="AA1125" s="168">
        <f t="array" ref="AA1125">iferror(index(J:J,match($A1125&amp;","&amp;index('Year Conversion'!$A:$A,match($C1125,'Year Conversion'!$B:$B,0)),$Y:$Y,0))-J1125,"")</f>
        <v>0.6437100706</v>
      </c>
      <c r="AB1125" s="168">
        <f t="array" ref="AB1125">iferror(index(K:K,match($A1125&amp;","&amp;index('Year Conversion'!$A:$A,match($C1125,'Year Conversion'!$B:$B,0)),$Y:$Y,0))-K1125,"")</f>
        <v>0.1031097742</v>
      </c>
      <c r="AC1125" s="168" t="str">
        <f t="shared" si="7"/>
        <v>CHO,2015-16</v>
      </c>
    </row>
    <row r="1126">
      <c r="A1126" s="161" t="str">
        <f>IFERROR(__xludf.DUMMYFUNCTION("""COMPUTED_VALUE"""),"hillge01")</f>
        <v>hillge01</v>
      </c>
      <c r="B1126" s="161" t="str">
        <f>IFERROR(__xludf.DUMMYFUNCTION("""COMPUTED_VALUE"""),"George Hill")</f>
        <v>George Hill</v>
      </c>
      <c r="C1126" s="162" t="str">
        <f>IFERROR(__xludf.DUMMYFUNCTION("""COMPUTED_VALUE"""),"2015-16")</f>
        <v>2015-16</v>
      </c>
      <c r="D1126" s="163" t="str">
        <f>IFERROR(__xludf.DUMMYFUNCTION("""COMPUTED_VALUE"""),"IND")</f>
        <v>IND</v>
      </c>
      <c r="E1126" s="164" t="str">
        <f>IFERROR(__xludf.DUMMYFUNCTION("""COMPUTED_VALUE"""),"Primary Ball Handler")</f>
        <v>Primary Ball Handler</v>
      </c>
      <c r="F1126" s="164">
        <f>IFERROR(__xludf.DUMMYFUNCTION("""COMPUTED_VALUE"""),2524.41333333333)</f>
        <v>2524.413333</v>
      </c>
      <c r="G1126" s="163">
        <f>IFERROR(__xludf.DUMMYFUNCTION("""COMPUTED_VALUE"""),74.0)</f>
        <v>74</v>
      </c>
      <c r="H1126" s="163" t="str">
        <f>IFERROR(__xludf.DUMMYFUNCTION("""COMPUTED_VALUE"""),"PG")</f>
        <v>PG</v>
      </c>
      <c r="I1126" s="163">
        <f>IFERROR(__xludf.DUMMYFUNCTION("""COMPUTED_VALUE"""),29.0)</f>
        <v>29</v>
      </c>
      <c r="J1126" s="165">
        <f>IFERROR(__xludf.DUMMYFUNCTION("""COMPUTED_VALUE"""),1.0593956582346)</f>
        <v>1.059395658</v>
      </c>
      <c r="K1126" s="165">
        <f>IFERROR(__xludf.DUMMYFUNCTION("""COMPUTED_VALUE"""),0.104742946062391)</f>
        <v>0.1047429461</v>
      </c>
      <c r="L1126" s="165">
        <f>IFERROR(__xludf.DUMMYFUNCTION("""COMPUTED_VALUE"""),0.954652712172208)</f>
        <v>0.9546527122</v>
      </c>
      <c r="M1126" s="166">
        <f t="shared" si="2"/>
        <v>5.692019267</v>
      </c>
      <c r="N1126" s="167">
        <f t="shared" si="3"/>
        <v>34.11369369</v>
      </c>
      <c r="O1126" s="163">
        <f t="shared" ref="O1126:Q1126" si="1130">rank(I1126,I:I)</f>
        <v>855</v>
      </c>
      <c r="P1126" s="163">
        <f t="shared" si="1130"/>
        <v>637</v>
      </c>
      <c r="Q1126" s="163">
        <f t="shared" si="1130"/>
        <v>1064</v>
      </c>
      <c r="R1126" s="163">
        <f>IFERROR(__xludf.DUMMYFUNCTION("RANK(M1126,filter(M:M,C:C=C1126))"),50.0)</f>
        <v>50</v>
      </c>
      <c r="S1126" s="161" t="b">
        <f t="shared" si="5"/>
        <v>0</v>
      </c>
      <c r="T1126" s="161" t="b">
        <f t="array" ref="T1126">index('Query Tool'!B:B,match(H1126,'Query Tool'!C:C,0))</f>
        <v>1</v>
      </c>
      <c r="U1126" s="161" t="b">
        <f t="array" ref="U1126">index('Query Tool'!B:B,match(C1126,'Query Tool'!C:C,0))</f>
        <v>0</v>
      </c>
      <c r="V1126" s="161" t="b">
        <f>F1126&gt;='Query Tool'!C$32</f>
        <v>1</v>
      </c>
      <c r="W1126" s="161" t="b">
        <f t="array" ref="W1126">index(Dropdowns!B:B,match(I1126,Dropdowns!A:A,0))</f>
        <v>1</v>
      </c>
      <c r="X1126" s="161" t="b">
        <f t="array" ref="X1126">index('Query Tool'!B:B,match(D1126,'Query Tool'!C:C,0))</f>
        <v>1</v>
      </c>
      <c r="Y1126" s="161" t="str">
        <f t="shared" si="6"/>
        <v>hillge01,2015-16</v>
      </c>
      <c r="Z1126" s="168">
        <f t="array" ref="Z1126">iferror(index(I:I,match($A1126&amp;","&amp;index('Year Conversion'!$A:$A,match($C1126,'Year Conversion'!$B:$B,0)),$Y:$Y,0))-I1126,"")</f>
        <v>1</v>
      </c>
      <c r="AA1126" s="168">
        <f t="array" ref="AA1126">iferror(index(J:J,match($A1126&amp;","&amp;index('Year Conversion'!$A:$A,match($C1126,'Year Conversion'!$B:$B,0)),$Y:$Y,0))-J1126,"")</f>
        <v>1.841455107</v>
      </c>
      <c r="AB1126" s="168">
        <f t="array" ref="AB1126">iferror(index(K:K,match($A1126&amp;","&amp;index('Year Conversion'!$A:$A,match($C1126,'Year Conversion'!$B:$B,0)),$Y:$Y,0))-K1126,"")</f>
        <v>1.821451535</v>
      </c>
      <c r="AC1126" s="168" t="str">
        <f t="shared" si="7"/>
        <v>IND,2015-16</v>
      </c>
    </row>
    <row r="1127">
      <c r="A1127" s="161" t="str">
        <f>IFERROR(__xludf.DUMMYFUNCTION("""COMPUTED_VALUE"""),"arthuda01")</f>
        <v>arthuda01</v>
      </c>
      <c r="B1127" s="161" t="str">
        <f>IFERROR(__xludf.DUMMYFUNCTION("""COMPUTED_VALUE"""),"Darrell Arthur")</f>
        <v>Darrell Arthur</v>
      </c>
      <c r="C1127" s="162" t="str">
        <f>IFERROR(__xludf.DUMMYFUNCTION("""COMPUTED_VALUE"""),"2015-16")</f>
        <v>2015-16</v>
      </c>
      <c r="D1127" s="163" t="str">
        <f>IFERROR(__xludf.DUMMYFUNCTION("""COMPUTED_VALUE"""),"DEN")</f>
        <v>DEN</v>
      </c>
      <c r="E1127" s="164" t="str">
        <f>IFERROR(__xludf.DUMMYFUNCTION("""COMPUTED_VALUE"""),"Roll + Cut Big")</f>
        <v>Roll + Cut Big</v>
      </c>
      <c r="F1127" s="164">
        <f>IFERROR(__xludf.DUMMYFUNCTION("""COMPUTED_VALUE"""),1515.99166666667)</f>
        <v>1515.991667</v>
      </c>
      <c r="G1127" s="163">
        <f>IFERROR(__xludf.DUMMYFUNCTION("""COMPUTED_VALUE"""),70.0)</f>
        <v>70</v>
      </c>
      <c r="H1127" s="163" t="str">
        <f>IFERROR(__xludf.DUMMYFUNCTION("""COMPUTED_VALUE"""),"PF")</f>
        <v>PF</v>
      </c>
      <c r="I1127" s="163">
        <f>IFERROR(__xludf.DUMMYFUNCTION("""COMPUTED_VALUE"""),27.0)</f>
        <v>27</v>
      </c>
      <c r="J1127" s="165">
        <f>IFERROR(__xludf.DUMMYFUNCTION("""COMPUTED_VALUE"""),-0.556514149254311)</f>
        <v>-0.5565141493</v>
      </c>
      <c r="K1127" s="165">
        <f>IFERROR(__xludf.DUMMYFUNCTION("""COMPUTED_VALUE"""),-1.66851362193179)</f>
        <v>-1.668513622</v>
      </c>
      <c r="L1127" s="165">
        <f>IFERROR(__xludf.DUMMYFUNCTION("""COMPUTED_VALUE"""),1.11199947267748)</f>
        <v>1.111999473</v>
      </c>
      <c r="M1127" s="166">
        <f t="shared" si="2"/>
        <v>1.768604142</v>
      </c>
      <c r="N1127" s="167">
        <f t="shared" si="3"/>
        <v>21.65702381</v>
      </c>
      <c r="O1127" s="163">
        <f t="shared" ref="O1127:Q1127" si="1131">rank(I1127,I:I)</f>
        <v>1366</v>
      </c>
      <c r="P1127" s="163">
        <f t="shared" si="1131"/>
        <v>1928</v>
      </c>
      <c r="Q1127" s="163">
        <f t="shared" si="1131"/>
        <v>3495</v>
      </c>
      <c r="R1127" s="163">
        <f>IFERROR(__xludf.DUMMYFUNCTION("RANK(M1127,filter(M:M,C:C=C1127))"),168.0)</f>
        <v>168</v>
      </c>
      <c r="S1127" s="161" t="b">
        <f t="shared" si="5"/>
        <v>0</v>
      </c>
      <c r="T1127" s="161" t="b">
        <f t="array" ref="T1127">index('Query Tool'!B:B,match(H1127,'Query Tool'!C:C,0))</f>
        <v>1</v>
      </c>
      <c r="U1127" s="161" t="b">
        <f t="array" ref="U1127">index('Query Tool'!B:B,match(C1127,'Query Tool'!C:C,0))</f>
        <v>0</v>
      </c>
      <c r="V1127" s="161" t="b">
        <f>F1127&gt;='Query Tool'!C$32</f>
        <v>1</v>
      </c>
      <c r="W1127" s="161" t="b">
        <f t="array" ref="W1127">index(Dropdowns!B:B,match(I1127,Dropdowns!A:A,0))</f>
        <v>1</v>
      </c>
      <c r="X1127" s="161" t="b">
        <f t="array" ref="X1127">index('Query Tool'!B:B,match(D1127,'Query Tool'!C:C,0))</f>
        <v>1</v>
      </c>
      <c r="Y1127" s="161" t="str">
        <f t="shared" si="6"/>
        <v>arthuda01,2015-16</v>
      </c>
      <c r="Z1127" s="168">
        <f t="array" ref="Z1127">iferror(index(I:I,match($A1127&amp;","&amp;index('Year Conversion'!$A:$A,match($C1127,'Year Conversion'!$B:$B,0)),$Y:$Y,0))-I1127,"")</f>
        <v>1</v>
      </c>
      <c r="AA1127" s="168">
        <f t="array" ref="AA1127">iferror(index(J:J,match($A1127&amp;","&amp;index('Year Conversion'!$A:$A,match($C1127,'Year Conversion'!$B:$B,0)),$Y:$Y,0))-J1127,"")</f>
        <v>-0.4039363098</v>
      </c>
      <c r="AB1127" s="168">
        <f t="array" ref="AB1127">iferror(index(K:K,match($A1127&amp;","&amp;index('Year Conversion'!$A:$A,match($C1127,'Year Conversion'!$B:$B,0)),$Y:$Y,0))-K1127,"")</f>
        <v>0.4779920972</v>
      </c>
      <c r="AC1127" s="168" t="str">
        <f t="shared" si="7"/>
        <v>DEN,2015-16</v>
      </c>
    </row>
    <row r="1128">
      <c r="A1128" s="161" t="str">
        <f>IFERROR(__xludf.DUMMYFUNCTION("""COMPUTED_VALUE"""),"pekovni01")</f>
        <v>pekovni01</v>
      </c>
      <c r="B1128" s="161" t="str">
        <f>IFERROR(__xludf.DUMMYFUNCTION("""COMPUTED_VALUE"""),"Nikola Pekovic")</f>
        <v>Nikola Pekovic</v>
      </c>
      <c r="C1128" s="162" t="str">
        <f>IFERROR(__xludf.DUMMYFUNCTION("""COMPUTED_VALUE"""),"2015-16")</f>
        <v>2015-16</v>
      </c>
      <c r="D1128" s="163" t="str">
        <f>IFERROR(__xludf.DUMMYFUNCTION("""COMPUTED_VALUE"""),"MIN")</f>
        <v>MIN</v>
      </c>
      <c r="E1128" s="164" t="str">
        <f>IFERROR(__xludf.DUMMYFUNCTION("""COMPUTED_VALUE"""),"Post Scorer")</f>
        <v>Post Scorer</v>
      </c>
      <c r="F1128" s="164">
        <f>IFERROR(__xludf.DUMMYFUNCTION("""COMPUTED_VALUE"""),156.315)</f>
        <v>156.315</v>
      </c>
      <c r="G1128" s="163">
        <f>IFERROR(__xludf.DUMMYFUNCTION("""COMPUTED_VALUE"""),12.0)</f>
        <v>12</v>
      </c>
      <c r="H1128" s="163" t="str">
        <f>IFERROR(__xludf.DUMMYFUNCTION("""COMPUTED_VALUE"""),"C")</f>
        <v>C</v>
      </c>
      <c r="I1128" s="163">
        <f>IFERROR(__xludf.DUMMYFUNCTION("""COMPUTED_VALUE"""),30.0)</f>
        <v>30</v>
      </c>
      <c r="J1128" s="165">
        <f>IFERROR(__xludf.DUMMYFUNCTION("""COMPUTED_VALUE"""),-1.87912186296922)</f>
        <v>-1.879121863</v>
      </c>
      <c r="K1128" s="165">
        <f>IFERROR(__xludf.DUMMYFUNCTION("""COMPUTED_VALUE"""),-1.14923745056602)</f>
        <v>-1.149237451</v>
      </c>
      <c r="L1128" s="165">
        <f>IFERROR(__xludf.DUMMYFUNCTION("""COMPUTED_VALUE"""),-0.729884412403199)</f>
        <v>-0.7298844124</v>
      </c>
      <c r="M1128" s="166">
        <f t="shared" si="2"/>
        <v>0.04391827086</v>
      </c>
      <c r="N1128" s="167">
        <f t="shared" si="3"/>
        <v>13.02625</v>
      </c>
      <c r="O1128" s="163">
        <f t="shared" ref="O1128:Q1128" si="1132">rank(I1128,I:I)</f>
        <v>655</v>
      </c>
      <c r="P1128" s="163">
        <f t="shared" si="1132"/>
        <v>3403</v>
      </c>
      <c r="Q1128" s="163">
        <f t="shared" si="1132"/>
        <v>2985</v>
      </c>
      <c r="R1128" s="163">
        <f>IFERROR(__xludf.DUMMYFUNCTION("RANK(M1128,filter(M:M,C:C=C1128))"),402.0)</f>
        <v>402</v>
      </c>
      <c r="S1128" s="161" t="b">
        <f t="shared" si="5"/>
        <v>0</v>
      </c>
      <c r="T1128" s="161" t="b">
        <f t="array" ref="T1128">index('Query Tool'!B:B,match(H1128,'Query Tool'!C:C,0))</f>
        <v>1</v>
      </c>
      <c r="U1128" s="161" t="b">
        <f t="array" ref="U1128">index('Query Tool'!B:B,match(C1128,'Query Tool'!C:C,0))</f>
        <v>0</v>
      </c>
      <c r="V1128" s="161" t="b">
        <f>F1128&gt;='Query Tool'!C$32</f>
        <v>0</v>
      </c>
      <c r="W1128" s="161" t="b">
        <f t="array" ref="W1128">index(Dropdowns!B:B,match(I1128,Dropdowns!A:A,0))</f>
        <v>1</v>
      </c>
      <c r="X1128" s="161" t="b">
        <f t="array" ref="X1128">index('Query Tool'!B:B,match(D1128,'Query Tool'!C:C,0))</f>
        <v>1</v>
      </c>
      <c r="Y1128" s="161" t="str">
        <f t="shared" si="6"/>
        <v>pekovni01,2015-16</v>
      </c>
      <c r="Z1128" s="168" t="str">
        <f t="array" ref="Z1128">iferror(index(I:I,match($A1128&amp;","&amp;index('Year Conversion'!$A:$A,match($C1128,'Year Conversion'!$B:$B,0)),$Y:$Y,0))-I1128,"")</f>
        <v/>
      </c>
      <c r="AA1128" s="168" t="str">
        <f t="array" ref="AA1128">iferror(index(J:J,match($A1128&amp;","&amp;index('Year Conversion'!$A:$A,match($C1128,'Year Conversion'!$B:$B,0)),$Y:$Y,0))-J1128,"")</f>
        <v/>
      </c>
      <c r="AB1128" s="168" t="str">
        <f t="array" ref="AB1128">iferror(index(K:K,match($A1128&amp;","&amp;index('Year Conversion'!$A:$A,match($C1128,'Year Conversion'!$B:$B,0)),$Y:$Y,0))-K1128,"")</f>
        <v/>
      </c>
      <c r="AC1128" s="168" t="str">
        <f t="shared" si="7"/>
        <v>MIN,2015-16</v>
      </c>
    </row>
    <row r="1129">
      <c r="A1129" s="161" t="str">
        <f>IFERROR(__xludf.DUMMYFUNCTION("""COMPUTED_VALUE"""),"chalmma01")</f>
        <v>chalmma01</v>
      </c>
      <c r="B1129" s="161" t="str">
        <f>IFERROR(__xludf.DUMMYFUNCTION("""COMPUTED_VALUE"""),"Mario Chalmers")</f>
        <v>Mario Chalmers</v>
      </c>
      <c r="C1129" s="162" t="str">
        <f>IFERROR(__xludf.DUMMYFUNCTION("""COMPUTED_VALUE"""),"2015-16")</f>
        <v>2015-16</v>
      </c>
      <c r="D1129" s="163" t="str">
        <f>IFERROR(__xludf.DUMMYFUNCTION("""COMPUTED_VALUE"""),"TOT")</f>
        <v>TOT</v>
      </c>
      <c r="E1129" s="164" t="str">
        <f>IFERROR(__xludf.DUMMYFUNCTION("""COMPUTED_VALUE"""),"Primary Ball Handler")</f>
        <v>Primary Ball Handler</v>
      </c>
      <c r="F1129" s="164">
        <f>IFERROR(__xludf.DUMMYFUNCTION("""COMPUTED_VALUE"""),1372.76666666667)</f>
        <v>1372.766667</v>
      </c>
      <c r="G1129" s="163">
        <f>IFERROR(__xludf.DUMMYFUNCTION("""COMPUTED_VALUE"""),61.0)</f>
        <v>61</v>
      </c>
      <c r="H1129" s="163" t="str">
        <f>IFERROR(__xludf.DUMMYFUNCTION("""COMPUTED_VALUE"""),"PG")</f>
        <v>PG</v>
      </c>
      <c r="I1129" s="163">
        <f>IFERROR(__xludf.DUMMYFUNCTION("""COMPUTED_VALUE"""),29.0)</f>
        <v>29</v>
      </c>
      <c r="J1129" s="165">
        <f>IFERROR(__xludf.DUMMYFUNCTION("""COMPUTED_VALUE"""),1.40567485906703)</f>
        <v>1.405674859</v>
      </c>
      <c r="K1129" s="165">
        <f>IFERROR(__xludf.DUMMYFUNCTION("""COMPUTED_VALUE"""),0.90122183434849)</f>
        <v>0.9012218343</v>
      </c>
      <c r="L1129" s="165">
        <f>IFERROR(__xludf.DUMMYFUNCTION("""COMPUTED_VALUE"""),0.504453024718538)</f>
        <v>0.5044530247</v>
      </c>
      <c r="M1129" s="166">
        <f t="shared" si="2"/>
        <v>3.413748832</v>
      </c>
      <c r="N1129" s="167">
        <f t="shared" si="3"/>
        <v>22.50437158</v>
      </c>
      <c r="O1129" s="163">
        <f t="shared" ref="O1129:Q1129" si="1133">rank(I1129,I:I)</f>
        <v>855</v>
      </c>
      <c r="P1129" s="163">
        <f t="shared" si="1133"/>
        <v>492</v>
      </c>
      <c r="Q1129" s="163">
        <f t="shared" si="1133"/>
        <v>551</v>
      </c>
      <c r="R1129" s="163">
        <f>IFERROR(__xludf.DUMMYFUNCTION("RANK(M1129,filter(M:M,C:C=C1129))"),106.0)</f>
        <v>106</v>
      </c>
      <c r="S1129" s="161" t="b">
        <f t="shared" si="5"/>
        <v>0</v>
      </c>
      <c r="T1129" s="161" t="b">
        <f t="array" ref="T1129">index('Query Tool'!B:B,match(H1129,'Query Tool'!C:C,0))</f>
        <v>1</v>
      </c>
      <c r="U1129" s="161" t="b">
        <f t="array" ref="U1129">index('Query Tool'!B:B,match(C1129,'Query Tool'!C:C,0))</f>
        <v>0</v>
      </c>
      <c r="V1129" s="161" t="b">
        <f>F1129&gt;='Query Tool'!C$32</f>
        <v>1</v>
      </c>
      <c r="W1129" s="161" t="b">
        <f t="array" ref="W1129">index(Dropdowns!B:B,match(I1129,Dropdowns!A:A,0))</f>
        <v>1</v>
      </c>
      <c r="X1129" s="161" t="b">
        <f t="array" ref="X1129">index('Query Tool'!B:B,match(D1129,'Query Tool'!C:C,0))</f>
        <v>1</v>
      </c>
      <c r="Y1129" s="161" t="str">
        <f t="shared" si="6"/>
        <v>chalmma01,2015-16</v>
      </c>
      <c r="Z1129" s="168" t="str">
        <f t="array" ref="Z1129">iferror(index(I:I,match($A1129&amp;","&amp;index('Year Conversion'!$A:$A,match($C1129,'Year Conversion'!$B:$B,0)),$Y:$Y,0))-I1129,"")</f>
        <v/>
      </c>
      <c r="AA1129" s="168" t="str">
        <f t="array" ref="AA1129">iferror(index(J:J,match($A1129&amp;","&amp;index('Year Conversion'!$A:$A,match($C1129,'Year Conversion'!$B:$B,0)),$Y:$Y,0))-J1129,"")</f>
        <v/>
      </c>
      <c r="AB1129" s="168" t="str">
        <f t="array" ref="AB1129">iferror(index(K:K,match($A1129&amp;","&amp;index('Year Conversion'!$A:$A,match($C1129,'Year Conversion'!$B:$B,0)),$Y:$Y,0))-K1129,"")</f>
        <v/>
      </c>
      <c r="AC1129" s="168" t="str">
        <f t="shared" si="7"/>
        <v>TOT,2015-16</v>
      </c>
    </row>
    <row r="1130">
      <c r="A1130" s="161" t="str">
        <f>IFERROR(__xludf.DUMMYFUNCTION("""COMPUTED_VALUE"""),"jordade01")</f>
        <v>jordade01</v>
      </c>
      <c r="B1130" s="161" t="str">
        <f>IFERROR(__xludf.DUMMYFUNCTION("""COMPUTED_VALUE"""),"DeAndre Jordan")</f>
        <v>DeAndre Jordan</v>
      </c>
      <c r="C1130" s="162" t="str">
        <f>IFERROR(__xludf.DUMMYFUNCTION("""COMPUTED_VALUE"""),"2015-16")</f>
        <v>2015-16</v>
      </c>
      <c r="D1130" s="163" t="str">
        <f>IFERROR(__xludf.DUMMYFUNCTION("""COMPUTED_VALUE"""),"LAC")</f>
        <v>LAC</v>
      </c>
      <c r="E1130" s="164" t="str">
        <f>IFERROR(__xludf.DUMMYFUNCTION("""COMPUTED_VALUE"""),"Roll + Cut Big")</f>
        <v>Roll + Cut Big</v>
      </c>
      <c r="F1130" s="164">
        <f>IFERROR(__xludf.DUMMYFUNCTION("""COMPUTED_VALUE"""),2597.68166666667)</f>
        <v>2597.681667</v>
      </c>
      <c r="G1130" s="163">
        <f>IFERROR(__xludf.DUMMYFUNCTION("""COMPUTED_VALUE"""),77.0)</f>
        <v>77</v>
      </c>
      <c r="H1130" s="163" t="str">
        <f>IFERROR(__xludf.DUMMYFUNCTION("""COMPUTED_VALUE"""),"C")</f>
        <v>C</v>
      </c>
      <c r="I1130" s="163">
        <f>IFERROR(__xludf.DUMMYFUNCTION("""COMPUTED_VALUE"""),27.0)</f>
        <v>27</v>
      </c>
      <c r="J1130" s="165">
        <f>IFERROR(__xludf.DUMMYFUNCTION("""COMPUTED_VALUE"""),4.67180763841309)</f>
        <v>4.671807638</v>
      </c>
      <c r="K1130" s="165">
        <f>IFERROR(__xludf.DUMMYFUNCTION("""COMPUTED_VALUE"""),1.07512722404864)</f>
        <v>1.075127224</v>
      </c>
      <c r="L1130" s="165">
        <f>IFERROR(__xludf.DUMMYFUNCTION("""COMPUTED_VALUE"""),3.59668041436446)</f>
        <v>3.596680414</v>
      </c>
      <c r="M1130" s="166">
        <f t="shared" si="2"/>
        <v>11.94724883</v>
      </c>
      <c r="N1130" s="167">
        <f t="shared" si="3"/>
        <v>33.73612554</v>
      </c>
      <c r="O1130" s="163">
        <f t="shared" ref="O1130:Q1130" si="1134">rank(I1130,I:I)</f>
        <v>1366</v>
      </c>
      <c r="P1130" s="163">
        <f t="shared" si="1134"/>
        <v>62</v>
      </c>
      <c r="Q1130" s="163">
        <f t="shared" si="1134"/>
        <v>464</v>
      </c>
      <c r="R1130" s="163">
        <f>IFERROR(__xludf.DUMMYFUNCTION("RANK(M1130,filter(M:M,C:C=C1130))"),10.0)</f>
        <v>10</v>
      </c>
      <c r="S1130" s="161" t="b">
        <f t="shared" si="5"/>
        <v>0</v>
      </c>
      <c r="T1130" s="161" t="b">
        <f t="array" ref="T1130">index('Query Tool'!B:B,match(H1130,'Query Tool'!C:C,0))</f>
        <v>1</v>
      </c>
      <c r="U1130" s="161" t="b">
        <f t="array" ref="U1130">index('Query Tool'!B:B,match(C1130,'Query Tool'!C:C,0))</f>
        <v>0</v>
      </c>
      <c r="V1130" s="161" t="b">
        <f>F1130&gt;='Query Tool'!C$32</f>
        <v>1</v>
      </c>
      <c r="W1130" s="161" t="b">
        <f t="array" ref="W1130">index(Dropdowns!B:B,match(I1130,Dropdowns!A:A,0))</f>
        <v>1</v>
      </c>
      <c r="X1130" s="161" t="b">
        <f t="array" ref="X1130">index('Query Tool'!B:B,match(D1130,'Query Tool'!C:C,0))</f>
        <v>1</v>
      </c>
      <c r="Y1130" s="161" t="str">
        <f t="shared" si="6"/>
        <v>jordade01,2015-16</v>
      </c>
      <c r="Z1130" s="168">
        <f t="array" ref="Z1130">iferror(index(I:I,match($A1130&amp;","&amp;index('Year Conversion'!$A:$A,match($C1130,'Year Conversion'!$B:$B,0)),$Y:$Y,0))-I1130,"")</f>
        <v>1</v>
      </c>
      <c r="AA1130" s="168">
        <f t="array" ref="AA1130">iferror(index(J:J,match($A1130&amp;","&amp;index('Year Conversion'!$A:$A,match($C1130,'Year Conversion'!$B:$B,0)),$Y:$Y,0))-J1130,"")</f>
        <v>-0.9030399943</v>
      </c>
      <c r="AB1130" s="168">
        <f t="array" ref="AB1130">iferror(index(K:K,match($A1130&amp;","&amp;index('Year Conversion'!$A:$A,match($C1130,'Year Conversion'!$B:$B,0)),$Y:$Y,0))-K1130,"")</f>
        <v>-0.03133584429</v>
      </c>
      <c r="AC1130" s="168" t="str">
        <f t="shared" si="7"/>
        <v>LAC,2015-16</v>
      </c>
    </row>
    <row r="1131">
      <c r="A1131" s="161" t="str">
        <f>IFERROR(__xludf.DUMMYFUNCTION("""COMPUTED_VALUE"""),"asikom01")</f>
        <v>asikom01</v>
      </c>
      <c r="B1131" s="161" t="str">
        <f>IFERROR(__xludf.DUMMYFUNCTION("""COMPUTED_VALUE"""),"Omer Asik")</f>
        <v>Omer Asik</v>
      </c>
      <c r="C1131" s="162" t="str">
        <f>IFERROR(__xludf.DUMMYFUNCTION("""COMPUTED_VALUE"""),"2015-16")</f>
        <v>2015-16</v>
      </c>
      <c r="D1131" s="163" t="str">
        <f>IFERROR(__xludf.DUMMYFUNCTION("""COMPUTED_VALUE"""),"NOP")</f>
        <v>NOP</v>
      </c>
      <c r="E1131" s="164" t="str">
        <f>IFERROR(__xludf.DUMMYFUNCTION("""COMPUTED_VALUE"""),"Roll + Cut Big")</f>
        <v>Roll + Cut Big</v>
      </c>
      <c r="F1131" s="164">
        <f>IFERROR(__xludf.DUMMYFUNCTION("""COMPUTED_VALUE"""),1178.17333333333)</f>
        <v>1178.173333</v>
      </c>
      <c r="G1131" s="163">
        <f>IFERROR(__xludf.DUMMYFUNCTION("""COMPUTED_VALUE"""),68.0)</f>
        <v>68</v>
      </c>
      <c r="H1131" s="163" t="str">
        <f>IFERROR(__xludf.DUMMYFUNCTION("""COMPUTED_VALUE"""),"C")</f>
        <v>C</v>
      </c>
      <c r="I1131" s="163">
        <f>IFERROR(__xludf.DUMMYFUNCTION("""COMPUTED_VALUE"""),29.0)</f>
        <v>29</v>
      </c>
      <c r="J1131" s="165">
        <f>IFERROR(__xludf.DUMMYFUNCTION("""COMPUTED_VALUE"""),-1.28227570355344)</f>
        <v>-1.282275704</v>
      </c>
      <c r="K1131" s="165">
        <f>IFERROR(__xludf.DUMMYFUNCTION("""COMPUTED_VALUE"""),-2.57776273936752)</f>
        <v>-2.577762739</v>
      </c>
      <c r="L1131" s="165">
        <f>IFERROR(__xludf.DUMMYFUNCTION("""COMPUTED_VALUE"""),1.29548703581408)</f>
        <v>1.295487036</v>
      </c>
      <c r="M1131" s="166">
        <f t="shared" si="2"/>
        <v>0.8001430906</v>
      </c>
      <c r="N1131" s="167">
        <f t="shared" si="3"/>
        <v>17.32607843</v>
      </c>
      <c r="O1131" s="163">
        <f t="shared" ref="O1131:Q1131" si="1135">rank(I1131,I:I)</f>
        <v>855</v>
      </c>
      <c r="P1131" s="163">
        <f t="shared" si="1135"/>
        <v>2844</v>
      </c>
      <c r="Q1131" s="163">
        <f t="shared" si="1135"/>
        <v>3908</v>
      </c>
      <c r="R1131" s="163">
        <f>IFERROR(__xludf.DUMMYFUNCTION("RANK(M1131,filter(M:M,C:C=C1131))"),241.0)</f>
        <v>241</v>
      </c>
      <c r="S1131" s="161" t="b">
        <f t="shared" si="5"/>
        <v>0</v>
      </c>
      <c r="T1131" s="161" t="b">
        <f t="array" ref="T1131">index('Query Tool'!B:B,match(H1131,'Query Tool'!C:C,0))</f>
        <v>1</v>
      </c>
      <c r="U1131" s="161" t="b">
        <f t="array" ref="U1131">index('Query Tool'!B:B,match(C1131,'Query Tool'!C:C,0))</f>
        <v>0</v>
      </c>
      <c r="V1131" s="161" t="b">
        <f>F1131&gt;='Query Tool'!C$32</f>
        <v>1</v>
      </c>
      <c r="W1131" s="161" t="b">
        <f t="array" ref="W1131">index(Dropdowns!B:B,match(I1131,Dropdowns!A:A,0))</f>
        <v>1</v>
      </c>
      <c r="X1131" s="161" t="b">
        <f t="array" ref="X1131">index('Query Tool'!B:B,match(D1131,'Query Tool'!C:C,0))</f>
        <v>1</v>
      </c>
      <c r="Y1131" s="161" t="str">
        <f t="shared" si="6"/>
        <v>asikom01,2015-16</v>
      </c>
      <c r="Z1131" s="168">
        <f t="array" ref="Z1131">iferror(index(I:I,match($A1131&amp;","&amp;index('Year Conversion'!$A:$A,match($C1131,'Year Conversion'!$B:$B,0)),$Y:$Y,0))-I1131,"")</f>
        <v>1</v>
      </c>
      <c r="AA1131" s="168">
        <f t="array" ref="AA1131">iferror(index(J:J,match($A1131&amp;","&amp;index('Year Conversion'!$A:$A,match($C1131,'Year Conversion'!$B:$B,0)),$Y:$Y,0))-J1131,"")</f>
        <v>-0.3978528579</v>
      </c>
      <c r="AB1131" s="168">
        <f t="array" ref="AB1131">iferror(index(K:K,match($A1131&amp;","&amp;index('Year Conversion'!$A:$A,match($C1131,'Year Conversion'!$B:$B,0)),$Y:$Y,0))-K1131,"")</f>
        <v>-0.1874062445</v>
      </c>
      <c r="AC1131" s="168" t="str">
        <f t="shared" si="7"/>
        <v>NOP,2015-16</v>
      </c>
    </row>
    <row r="1132">
      <c r="A1132" s="161" t="str">
        <f>IFERROR(__xludf.DUMMYFUNCTION("""COMPUTED_VALUE"""),"mbahalu01")</f>
        <v>mbahalu01</v>
      </c>
      <c r="B1132" s="161" t="str">
        <f>IFERROR(__xludf.DUMMYFUNCTION("""COMPUTED_VALUE"""),"Luc Mbah a Moute")</f>
        <v>Luc Mbah a Moute</v>
      </c>
      <c r="C1132" s="162" t="str">
        <f>IFERROR(__xludf.DUMMYFUNCTION("""COMPUTED_VALUE"""),"2015-16")</f>
        <v>2015-16</v>
      </c>
      <c r="D1132" s="163" t="str">
        <f>IFERROR(__xludf.DUMMYFUNCTION("""COMPUTED_VALUE"""),"LAC")</f>
        <v>LAC</v>
      </c>
      <c r="E1132" s="164" t="str">
        <f>IFERROR(__xludf.DUMMYFUNCTION("""COMPUTED_VALUE"""),"Roll + Cut Big")</f>
        <v>Roll + Cut Big</v>
      </c>
      <c r="F1132" s="164">
        <f>IFERROR(__xludf.DUMMYFUNCTION("""COMPUTED_VALUE"""),1273.835)</f>
        <v>1273.835</v>
      </c>
      <c r="G1132" s="163">
        <f>IFERROR(__xludf.DUMMYFUNCTION("""COMPUTED_VALUE"""),75.0)</f>
        <v>75</v>
      </c>
      <c r="H1132" s="163" t="str">
        <f>IFERROR(__xludf.DUMMYFUNCTION("""COMPUTED_VALUE"""),"PF")</f>
        <v>PF</v>
      </c>
      <c r="I1132" s="163">
        <f>IFERROR(__xludf.DUMMYFUNCTION("""COMPUTED_VALUE"""),29.0)</f>
        <v>29</v>
      </c>
      <c r="J1132" s="165">
        <f>IFERROR(__xludf.DUMMYFUNCTION("""COMPUTED_VALUE"""),-1.58351210895842)</f>
        <v>-1.583512109</v>
      </c>
      <c r="K1132" s="165">
        <f>IFERROR(__xludf.DUMMYFUNCTION("""COMPUTED_VALUE"""),-2.3448730526854)</f>
        <v>-2.344873053</v>
      </c>
      <c r="L1132" s="165">
        <f>IFERROR(__xludf.DUMMYFUNCTION("""COMPUTED_VALUE"""),0.761360943726986)</f>
        <v>0.7613609437</v>
      </c>
      <c r="M1132" s="166">
        <f t="shared" si="2"/>
        <v>0.6086158191</v>
      </c>
      <c r="N1132" s="167">
        <f t="shared" si="3"/>
        <v>16.98446667</v>
      </c>
      <c r="O1132" s="163">
        <f t="shared" ref="O1132:Q1132" si="1136">rank(I1132,I:I)</f>
        <v>855</v>
      </c>
      <c r="P1132" s="163">
        <f t="shared" si="1136"/>
        <v>3130</v>
      </c>
      <c r="Q1132" s="163">
        <f t="shared" si="1136"/>
        <v>3849</v>
      </c>
      <c r="R1132" s="163">
        <f>IFERROR(__xludf.DUMMYFUNCTION("RANK(M1132,filter(M:M,C:C=C1132))"),271.0)</f>
        <v>271</v>
      </c>
      <c r="S1132" s="161" t="b">
        <f t="shared" si="5"/>
        <v>0</v>
      </c>
      <c r="T1132" s="161" t="b">
        <f t="array" ref="T1132">index('Query Tool'!B:B,match(H1132,'Query Tool'!C:C,0))</f>
        <v>1</v>
      </c>
      <c r="U1132" s="161" t="b">
        <f t="array" ref="U1132">index('Query Tool'!B:B,match(C1132,'Query Tool'!C:C,0))</f>
        <v>0</v>
      </c>
      <c r="V1132" s="161" t="b">
        <f>F1132&gt;='Query Tool'!C$32</f>
        <v>1</v>
      </c>
      <c r="W1132" s="161" t="b">
        <f t="array" ref="W1132">index(Dropdowns!B:B,match(I1132,Dropdowns!A:A,0))</f>
        <v>1</v>
      </c>
      <c r="X1132" s="161" t="b">
        <f t="array" ref="X1132">index('Query Tool'!B:B,match(D1132,'Query Tool'!C:C,0))</f>
        <v>1</v>
      </c>
      <c r="Y1132" s="161" t="str">
        <f t="shared" si="6"/>
        <v>mbahalu01,2015-16</v>
      </c>
      <c r="Z1132" s="168">
        <f t="array" ref="Z1132">iferror(index(I:I,match($A1132&amp;","&amp;index('Year Conversion'!$A:$A,match($C1132,'Year Conversion'!$B:$B,0)),$Y:$Y,0))-I1132,"")</f>
        <v>1</v>
      </c>
      <c r="AA1132" s="168">
        <f t="array" ref="AA1132">iferror(index(J:J,match($A1132&amp;","&amp;index('Year Conversion'!$A:$A,match($C1132,'Year Conversion'!$B:$B,0)),$Y:$Y,0))-J1132,"")</f>
        <v>0.9834652413</v>
      </c>
      <c r="AB1132" s="168">
        <f t="array" ref="AB1132">iferror(index(K:K,match($A1132&amp;","&amp;index('Year Conversion'!$A:$A,match($C1132,'Year Conversion'!$B:$B,0)),$Y:$Y,0))-K1132,"")</f>
        <v>-0.08710632645</v>
      </c>
      <c r="AC1132" s="168" t="str">
        <f t="shared" si="7"/>
        <v>LAC,2015-16</v>
      </c>
    </row>
    <row r="1133">
      <c r="A1133" s="161" t="str">
        <f>IFERROR(__xludf.DUMMYFUNCTION("""COMPUTED_VALUE"""),"weemsso01")</f>
        <v>weemsso01</v>
      </c>
      <c r="B1133" s="161" t="str">
        <f>IFERROR(__xludf.DUMMYFUNCTION("""COMPUTED_VALUE"""),"Sonny Weems")</f>
        <v>Sonny Weems</v>
      </c>
      <c r="C1133" s="162" t="str">
        <f>IFERROR(__xludf.DUMMYFUNCTION("""COMPUTED_VALUE"""),"2015-16")</f>
        <v>2015-16</v>
      </c>
      <c r="D1133" s="163" t="str">
        <f>IFERROR(__xludf.DUMMYFUNCTION("""COMPUTED_VALUE"""),"TOT")</f>
        <v>TOT</v>
      </c>
      <c r="E1133" s="164" t="str">
        <f>IFERROR(__xludf.DUMMYFUNCTION("""COMPUTED_VALUE"""),"Stationary Shooter")</f>
        <v>Stationary Shooter</v>
      </c>
      <c r="F1133" s="164">
        <f>IFERROR(__xludf.DUMMYFUNCTION("""COMPUTED_VALUE"""),498.355)</f>
        <v>498.355</v>
      </c>
      <c r="G1133" s="163">
        <f>IFERROR(__xludf.DUMMYFUNCTION("""COMPUTED_VALUE"""),43.0)</f>
        <v>43</v>
      </c>
      <c r="H1133" s="163" t="str">
        <f>IFERROR(__xludf.DUMMYFUNCTION("""COMPUTED_VALUE"""),"SG-SF")</f>
        <v>SG-SF</v>
      </c>
      <c r="I1133" s="163">
        <f>IFERROR(__xludf.DUMMYFUNCTION("""COMPUTED_VALUE"""),29.0)</f>
        <v>29</v>
      </c>
      <c r="J1133" s="165">
        <f>IFERROR(__xludf.DUMMYFUNCTION("""COMPUTED_VALUE"""),-2.34691257947734)</f>
        <v>-2.346912579</v>
      </c>
      <c r="K1133" s="165">
        <f>IFERROR(__xludf.DUMMYFUNCTION("""COMPUTED_VALUE"""),-2.03477225605981)</f>
        <v>-2.034772256</v>
      </c>
      <c r="L1133" s="165">
        <f>IFERROR(__xludf.DUMMYFUNCTION("""COMPUTED_VALUE"""),-0.31214032341754)</f>
        <v>-0.3121403234</v>
      </c>
      <c r="M1133" s="166">
        <f t="shared" si="2"/>
        <v>-0.01425340887</v>
      </c>
      <c r="N1133" s="167">
        <f t="shared" si="3"/>
        <v>11.58965116</v>
      </c>
      <c r="O1133" s="163">
        <f t="shared" ref="O1133:Q1133" si="1137">rank(I1133,I:I)</f>
        <v>855</v>
      </c>
      <c r="P1133" s="163">
        <f t="shared" si="1137"/>
        <v>3682</v>
      </c>
      <c r="Q1133" s="163">
        <f t="shared" si="1137"/>
        <v>3725</v>
      </c>
      <c r="R1133" s="163">
        <f>IFERROR(__xludf.DUMMYFUNCTION("RANK(M1133,filter(M:M,C:C=C1133))"),430.0)</f>
        <v>430</v>
      </c>
      <c r="S1133" s="161" t="b">
        <f t="shared" si="5"/>
        <v>0</v>
      </c>
      <c r="T1133" s="161" t="str">
        <f t="array" ref="T1133">index('Query Tool'!B:B,match(H1133,'Query Tool'!C:C,0))</f>
        <v>#N/A</v>
      </c>
      <c r="U1133" s="161" t="b">
        <f t="array" ref="U1133">index('Query Tool'!B:B,match(C1133,'Query Tool'!C:C,0))</f>
        <v>0</v>
      </c>
      <c r="V1133" s="161" t="b">
        <f>F1133&gt;='Query Tool'!C$32</f>
        <v>0</v>
      </c>
      <c r="W1133" s="161" t="b">
        <f t="array" ref="W1133">index(Dropdowns!B:B,match(I1133,Dropdowns!A:A,0))</f>
        <v>1</v>
      </c>
      <c r="X1133" s="161" t="b">
        <f t="array" ref="X1133">index('Query Tool'!B:B,match(D1133,'Query Tool'!C:C,0))</f>
        <v>1</v>
      </c>
      <c r="Y1133" s="161" t="str">
        <f t="shared" si="6"/>
        <v>weemsso01,2015-16</v>
      </c>
      <c r="Z1133" s="168" t="str">
        <f t="array" ref="Z1133">iferror(index(I:I,match($A1133&amp;","&amp;index('Year Conversion'!$A:$A,match($C1133,'Year Conversion'!$B:$B,0)),$Y:$Y,0))-I1133,"")</f>
        <v/>
      </c>
      <c r="AA1133" s="168" t="str">
        <f t="array" ref="AA1133">iferror(index(J:J,match($A1133&amp;","&amp;index('Year Conversion'!$A:$A,match($C1133,'Year Conversion'!$B:$B,0)),$Y:$Y,0))-J1133,"")</f>
        <v/>
      </c>
      <c r="AB1133" s="168" t="str">
        <f t="array" ref="AB1133">iferror(index(K:K,match($A1133&amp;","&amp;index('Year Conversion'!$A:$A,match($C1133,'Year Conversion'!$B:$B,0)),$Y:$Y,0))-K1133,"")</f>
        <v/>
      </c>
      <c r="AC1133" s="168" t="str">
        <f t="shared" si="7"/>
        <v>TOT,2015-16</v>
      </c>
    </row>
    <row r="1134">
      <c r="A1134" s="161" t="str">
        <f>IFERROR(__xludf.DUMMYFUNCTION("""COMPUTED_VALUE"""),"dragigo01")</f>
        <v>dragigo01</v>
      </c>
      <c r="B1134" s="161" t="str">
        <f>IFERROR(__xludf.DUMMYFUNCTION("""COMPUTED_VALUE"""),"Goran Dragic")</f>
        <v>Goran Dragic</v>
      </c>
      <c r="C1134" s="162" t="str">
        <f>IFERROR(__xludf.DUMMYFUNCTION("""COMPUTED_VALUE"""),"2015-16")</f>
        <v>2015-16</v>
      </c>
      <c r="D1134" s="163" t="str">
        <f>IFERROR(__xludf.DUMMYFUNCTION("""COMPUTED_VALUE"""),"MIA")</f>
        <v>MIA</v>
      </c>
      <c r="E1134" s="164" t="str">
        <f>IFERROR(__xludf.DUMMYFUNCTION("""COMPUTED_VALUE"""),"Slasher")</f>
        <v>Slasher</v>
      </c>
      <c r="F1134" s="164">
        <f>IFERROR(__xludf.DUMMYFUNCTION("""COMPUTED_VALUE"""),2362.62)</f>
        <v>2362.62</v>
      </c>
      <c r="G1134" s="163">
        <f>IFERROR(__xludf.DUMMYFUNCTION("""COMPUTED_VALUE"""),72.0)</f>
        <v>72</v>
      </c>
      <c r="H1134" s="163" t="str">
        <f>IFERROR(__xludf.DUMMYFUNCTION("""COMPUTED_VALUE"""),"PG")</f>
        <v>PG</v>
      </c>
      <c r="I1134" s="163">
        <f>IFERROR(__xludf.DUMMYFUNCTION("""COMPUTED_VALUE"""),29.0)</f>
        <v>29</v>
      </c>
      <c r="J1134" s="165">
        <f>IFERROR(__xludf.DUMMYFUNCTION("""COMPUTED_VALUE"""),1.15010671022899)</f>
        <v>1.15010671</v>
      </c>
      <c r="K1134" s="165">
        <f>IFERROR(__xludf.DUMMYFUNCTION("""COMPUTED_VALUE"""),1.86947931007857)</f>
        <v>1.86947931</v>
      </c>
      <c r="L1134" s="165">
        <f>IFERROR(__xludf.DUMMYFUNCTION("""COMPUTED_VALUE"""),-0.71937259984958)</f>
        <v>-0.7193725998</v>
      </c>
      <c r="M1134" s="166">
        <f t="shared" si="2"/>
        <v>5.470966088</v>
      </c>
      <c r="N1134" s="167">
        <f t="shared" si="3"/>
        <v>32.81416667</v>
      </c>
      <c r="O1134" s="163">
        <f t="shared" ref="O1134:Q1134" si="1138">rank(I1134,I:I)</f>
        <v>855</v>
      </c>
      <c r="P1134" s="163">
        <f t="shared" si="1138"/>
        <v>594</v>
      </c>
      <c r="Q1134" s="163">
        <f t="shared" si="1138"/>
        <v>248</v>
      </c>
      <c r="R1134" s="163">
        <f>IFERROR(__xludf.DUMMYFUNCTION("RANK(M1134,filter(M:M,C:C=C1134))"),54.0)</f>
        <v>54</v>
      </c>
      <c r="S1134" s="161" t="b">
        <f t="shared" si="5"/>
        <v>0</v>
      </c>
      <c r="T1134" s="161" t="b">
        <f t="array" ref="T1134">index('Query Tool'!B:B,match(H1134,'Query Tool'!C:C,0))</f>
        <v>1</v>
      </c>
      <c r="U1134" s="161" t="b">
        <f t="array" ref="U1134">index('Query Tool'!B:B,match(C1134,'Query Tool'!C:C,0))</f>
        <v>0</v>
      </c>
      <c r="V1134" s="161" t="b">
        <f>F1134&gt;='Query Tool'!C$32</f>
        <v>1</v>
      </c>
      <c r="W1134" s="161" t="b">
        <f t="array" ref="W1134">index(Dropdowns!B:B,match(I1134,Dropdowns!A:A,0))</f>
        <v>1</v>
      </c>
      <c r="X1134" s="161" t="b">
        <f t="array" ref="X1134">index('Query Tool'!B:B,match(D1134,'Query Tool'!C:C,0))</f>
        <v>1</v>
      </c>
      <c r="Y1134" s="161" t="str">
        <f t="shared" si="6"/>
        <v>dragigo01,2015-16</v>
      </c>
      <c r="Z1134" s="168">
        <f t="array" ref="Z1134">iferror(index(I:I,match($A1134&amp;","&amp;index('Year Conversion'!$A:$A,match($C1134,'Year Conversion'!$B:$B,0)),$Y:$Y,0))-I1134,"")</f>
        <v>1</v>
      </c>
      <c r="AA1134" s="168">
        <f t="array" ref="AA1134">iferror(index(J:J,match($A1134&amp;","&amp;index('Year Conversion'!$A:$A,match($C1134,'Year Conversion'!$B:$B,0)),$Y:$Y,0))-J1134,"")</f>
        <v>-0.6889434222</v>
      </c>
      <c r="AB1134" s="168">
        <f t="array" ref="AB1134">iferror(index(K:K,match($A1134&amp;","&amp;index('Year Conversion'!$A:$A,match($C1134,'Year Conversion'!$B:$B,0)),$Y:$Y,0))-K1134,"")</f>
        <v>-0.5222176956</v>
      </c>
      <c r="AC1134" s="168" t="str">
        <f t="shared" si="7"/>
        <v>MIA,2015-16</v>
      </c>
    </row>
    <row r="1135">
      <c r="A1135" s="161" t="str">
        <f>IFERROR(__xludf.DUMMYFUNCTION("""COMPUTED_VALUE"""),"kaunsa01")</f>
        <v>kaunsa01</v>
      </c>
      <c r="B1135" s="161" t="str">
        <f>IFERROR(__xludf.DUMMYFUNCTION("""COMPUTED_VALUE"""),"Sasha Kaun")</f>
        <v>Sasha Kaun</v>
      </c>
      <c r="C1135" s="162" t="str">
        <f>IFERROR(__xludf.DUMMYFUNCTION("""COMPUTED_VALUE"""),"2015-16")</f>
        <v>2015-16</v>
      </c>
      <c r="D1135" s="163" t="str">
        <f>IFERROR(__xludf.DUMMYFUNCTION("""COMPUTED_VALUE"""),"CLE")</f>
        <v>CLE</v>
      </c>
      <c r="E1135" s="164" t="str">
        <f>IFERROR(__xludf.DUMMYFUNCTION("""COMPUTED_VALUE"""),"Post Scorer")</f>
        <v>Post Scorer</v>
      </c>
      <c r="F1135" s="164">
        <f>IFERROR(__xludf.DUMMYFUNCTION("""COMPUTED_VALUE"""),95.395)</f>
        <v>95.395</v>
      </c>
      <c r="G1135" s="163">
        <f>IFERROR(__xludf.DUMMYFUNCTION("""COMPUTED_VALUE"""),25.0)</f>
        <v>25</v>
      </c>
      <c r="H1135" s="163" t="str">
        <f>IFERROR(__xludf.DUMMYFUNCTION("""COMPUTED_VALUE"""),"C")</f>
        <v>C</v>
      </c>
      <c r="I1135" s="163">
        <f>IFERROR(__xludf.DUMMYFUNCTION("""COMPUTED_VALUE"""),30.0)</f>
        <v>30</v>
      </c>
      <c r="J1135" s="165">
        <f>IFERROR(__xludf.DUMMYFUNCTION("""COMPUTED_VALUE"""),-1.05223098982694)</f>
        <v>-1.05223099</v>
      </c>
      <c r="K1135" s="165">
        <f>IFERROR(__xludf.DUMMYFUNCTION("""COMPUTED_VALUE"""),-1.05879377563223)</f>
        <v>-1.058793776</v>
      </c>
      <c r="L1135" s="165">
        <f>IFERROR(__xludf.DUMMYFUNCTION("""COMPUTED_VALUE"""),0.0065627858052918)</f>
        <v>0.006562785805</v>
      </c>
      <c r="M1135" s="166">
        <f t="shared" si="2"/>
        <v>0.07949764907</v>
      </c>
      <c r="N1135" s="167">
        <f t="shared" si="3"/>
        <v>3.8158</v>
      </c>
      <c r="O1135" s="163">
        <f t="shared" ref="O1135:Q1135" si="1139">rank(I1135,I:I)</f>
        <v>655</v>
      </c>
      <c r="P1135" s="163">
        <f t="shared" si="1139"/>
        <v>2554</v>
      </c>
      <c r="Q1135" s="163">
        <f t="shared" si="1139"/>
        <v>2884</v>
      </c>
      <c r="R1135" s="163">
        <f>IFERROR(__xludf.DUMMYFUNCTION("RANK(M1135,filter(M:M,C:C=C1135))"),379.0)</f>
        <v>379</v>
      </c>
      <c r="S1135" s="161" t="b">
        <f t="shared" si="5"/>
        <v>0</v>
      </c>
      <c r="T1135" s="161" t="b">
        <f t="array" ref="T1135">index('Query Tool'!B:B,match(H1135,'Query Tool'!C:C,0))</f>
        <v>1</v>
      </c>
      <c r="U1135" s="161" t="b">
        <f t="array" ref="U1135">index('Query Tool'!B:B,match(C1135,'Query Tool'!C:C,0))</f>
        <v>0</v>
      </c>
      <c r="V1135" s="161" t="b">
        <f>F1135&gt;='Query Tool'!C$32</f>
        <v>0</v>
      </c>
      <c r="W1135" s="161" t="b">
        <f t="array" ref="W1135">index(Dropdowns!B:B,match(I1135,Dropdowns!A:A,0))</f>
        <v>1</v>
      </c>
      <c r="X1135" s="161" t="b">
        <f t="array" ref="X1135">index('Query Tool'!B:B,match(D1135,'Query Tool'!C:C,0))</f>
        <v>1</v>
      </c>
      <c r="Y1135" s="161" t="str">
        <f t="shared" si="6"/>
        <v>kaunsa01,2015-16</v>
      </c>
      <c r="Z1135" s="168" t="str">
        <f t="array" ref="Z1135">iferror(index(I:I,match($A1135&amp;","&amp;index('Year Conversion'!$A:$A,match($C1135,'Year Conversion'!$B:$B,0)),$Y:$Y,0))-I1135,"")</f>
        <v/>
      </c>
      <c r="AA1135" s="168" t="str">
        <f t="array" ref="AA1135">iferror(index(J:J,match($A1135&amp;","&amp;index('Year Conversion'!$A:$A,match($C1135,'Year Conversion'!$B:$B,0)),$Y:$Y,0))-J1135,"")</f>
        <v/>
      </c>
      <c r="AB1135" s="168" t="str">
        <f t="array" ref="AB1135">iferror(index(K:K,match($A1135&amp;","&amp;index('Year Conversion'!$A:$A,match($C1135,'Year Conversion'!$B:$B,0)),$Y:$Y,0))-K1135,"")</f>
        <v/>
      </c>
      <c r="AC1135" s="168" t="str">
        <f t="shared" si="7"/>
        <v>CLE,2015-16</v>
      </c>
    </row>
    <row r="1136">
      <c r="A1136" s="161" t="str">
        <f>IFERROR(__xludf.DUMMYFUNCTION("""COMPUTED_VALUE"""),"morroan01")</f>
        <v>morroan01</v>
      </c>
      <c r="B1136" s="161" t="str">
        <f>IFERROR(__xludf.DUMMYFUNCTION("""COMPUTED_VALUE"""),"Anthony Morrow")</f>
        <v>Anthony Morrow</v>
      </c>
      <c r="C1136" s="162" t="str">
        <f>IFERROR(__xludf.DUMMYFUNCTION("""COMPUTED_VALUE"""),"2015-16")</f>
        <v>2015-16</v>
      </c>
      <c r="D1136" s="163" t="str">
        <f>IFERROR(__xludf.DUMMYFUNCTION("""COMPUTED_VALUE"""),"OKC")</f>
        <v>OKC</v>
      </c>
      <c r="E1136" s="164" t="str">
        <f>IFERROR(__xludf.DUMMYFUNCTION("""COMPUTED_VALUE"""),"Stationary Shooter")</f>
        <v>Stationary Shooter</v>
      </c>
      <c r="F1136" s="164">
        <f>IFERROR(__xludf.DUMMYFUNCTION("""COMPUTED_VALUE"""),926.431666666667)</f>
        <v>926.4316667</v>
      </c>
      <c r="G1136" s="163">
        <f>IFERROR(__xludf.DUMMYFUNCTION("""COMPUTED_VALUE"""),68.0)</f>
        <v>68</v>
      </c>
      <c r="H1136" s="163" t="str">
        <f>IFERROR(__xludf.DUMMYFUNCTION("""COMPUTED_VALUE"""),"SG")</f>
        <v>SG</v>
      </c>
      <c r="I1136" s="163">
        <f>IFERROR(__xludf.DUMMYFUNCTION("""COMPUTED_VALUE"""),30.0)</f>
        <v>30</v>
      </c>
      <c r="J1136" s="165">
        <f>IFERROR(__xludf.DUMMYFUNCTION("""COMPUTED_VALUE"""),-2.18067489302554)</f>
        <v>-2.180674893</v>
      </c>
      <c r="K1136" s="165">
        <f>IFERROR(__xludf.DUMMYFUNCTION("""COMPUTED_VALUE"""),0.0354534679655188)</f>
        <v>0.03545346797</v>
      </c>
      <c r="L1136" s="165">
        <f>IFERROR(__xludf.DUMMYFUNCTION("""COMPUTED_VALUE"""),-2.21612836099106)</f>
        <v>-2.216128361</v>
      </c>
      <c r="M1136" s="166">
        <f t="shared" si="2"/>
        <v>0.07514636682</v>
      </c>
      <c r="N1136" s="167">
        <f t="shared" si="3"/>
        <v>13.6239951</v>
      </c>
      <c r="O1136" s="163">
        <f t="shared" ref="O1136:Q1136" si="1140">rank(I1136,I:I)</f>
        <v>655</v>
      </c>
      <c r="P1136" s="163">
        <f t="shared" si="1140"/>
        <v>3601</v>
      </c>
      <c r="Q1136" s="163">
        <f t="shared" si="1140"/>
        <v>1148</v>
      </c>
      <c r="R1136" s="163">
        <f>IFERROR(__xludf.DUMMYFUNCTION("RANK(M1136,filter(M:M,C:C=C1136))"),383.0)</f>
        <v>383</v>
      </c>
      <c r="S1136" s="161" t="b">
        <f t="shared" si="5"/>
        <v>0</v>
      </c>
      <c r="T1136" s="161" t="b">
        <f t="array" ref="T1136">index('Query Tool'!B:B,match(H1136,'Query Tool'!C:C,0))</f>
        <v>1</v>
      </c>
      <c r="U1136" s="161" t="b">
        <f t="array" ref="U1136">index('Query Tool'!B:B,match(C1136,'Query Tool'!C:C,0))</f>
        <v>0</v>
      </c>
      <c r="V1136" s="161" t="b">
        <f>F1136&gt;='Query Tool'!C$32</f>
        <v>1</v>
      </c>
      <c r="W1136" s="161" t="b">
        <f t="array" ref="W1136">index(Dropdowns!B:B,match(I1136,Dropdowns!A:A,0))</f>
        <v>1</v>
      </c>
      <c r="X1136" s="161" t="b">
        <f t="array" ref="X1136">index('Query Tool'!B:B,match(D1136,'Query Tool'!C:C,0))</f>
        <v>1</v>
      </c>
      <c r="Y1136" s="161" t="str">
        <f t="shared" si="6"/>
        <v>morroan01,2015-16</v>
      </c>
      <c r="Z1136" s="168">
        <f t="array" ref="Z1136">iferror(index(I:I,match($A1136&amp;","&amp;index('Year Conversion'!$A:$A,match($C1136,'Year Conversion'!$B:$B,0)),$Y:$Y,0))-I1136,"")</f>
        <v>1</v>
      </c>
      <c r="AA1136" s="168">
        <f t="array" ref="AA1136">iferror(index(J:J,match($A1136&amp;","&amp;index('Year Conversion'!$A:$A,match($C1136,'Year Conversion'!$B:$B,0)),$Y:$Y,0))-J1136,"")</f>
        <v>0.6221225352</v>
      </c>
      <c r="AB1136" s="168">
        <f t="array" ref="AB1136">iferror(index(K:K,match($A1136&amp;","&amp;index('Year Conversion'!$A:$A,match($C1136,'Year Conversion'!$B:$B,0)),$Y:$Y,0))-K1136,"")</f>
        <v>-0.1547308491</v>
      </c>
      <c r="AC1136" s="168" t="str">
        <f t="shared" si="7"/>
        <v>OKC,2015-16</v>
      </c>
    </row>
    <row r="1137">
      <c r="A1137" s="161" t="str">
        <f>IFERROR(__xludf.DUMMYFUNCTION("""COMPUTED_VALUE"""),"griffbl01")</f>
        <v>griffbl01</v>
      </c>
      <c r="B1137" s="161" t="str">
        <f>IFERROR(__xludf.DUMMYFUNCTION("""COMPUTED_VALUE"""),"Blake Griffin")</f>
        <v>Blake Griffin</v>
      </c>
      <c r="C1137" s="162" t="str">
        <f>IFERROR(__xludf.DUMMYFUNCTION("""COMPUTED_VALUE"""),"2015-16")</f>
        <v>2015-16</v>
      </c>
      <c r="D1137" s="163" t="str">
        <f>IFERROR(__xludf.DUMMYFUNCTION("""COMPUTED_VALUE"""),"LAC")</f>
        <v>LAC</v>
      </c>
      <c r="E1137" s="164" t="str">
        <f>IFERROR(__xludf.DUMMYFUNCTION("""COMPUTED_VALUE"""),"Post Scorer")</f>
        <v>Post Scorer</v>
      </c>
      <c r="F1137" s="164">
        <f>IFERROR(__xludf.DUMMYFUNCTION("""COMPUTED_VALUE"""),1170.28166666667)</f>
        <v>1170.281667</v>
      </c>
      <c r="G1137" s="163">
        <f>IFERROR(__xludf.DUMMYFUNCTION("""COMPUTED_VALUE"""),35.0)</f>
        <v>35</v>
      </c>
      <c r="H1137" s="163" t="str">
        <f>IFERROR(__xludf.DUMMYFUNCTION("""COMPUTED_VALUE"""),"PF")</f>
        <v>PF</v>
      </c>
      <c r="I1137" s="163">
        <f>IFERROR(__xludf.DUMMYFUNCTION("""COMPUTED_VALUE"""),26.0)</f>
        <v>26</v>
      </c>
      <c r="J1137" s="165">
        <f>IFERROR(__xludf.DUMMYFUNCTION("""COMPUTED_VALUE"""),1.02172767288331)</f>
        <v>1.021727673</v>
      </c>
      <c r="K1137" s="165">
        <f>IFERROR(__xludf.DUMMYFUNCTION("""COMPUTED_VALUE"""),0.829350855579533)</f>
        <v>0.8293508556</v>
      </c>
      <c r="L1137" s="165">
        <f>IFERROR(__xludf.DUMMYFUNCTION("""COMPUTED_VALUE"""),0.19237681730378)</f>
        <v>0.1923768173</v>
      </c>
      <c r="M1137" s="166">
        <f t="shared" si="2"/>
        <v>2.609152144</v>
      </c>
      <c r="N1137" s="167">
        <f t="shared" si="3"/>
        <v>33.43661905</v>
      </c>
      <c r="O1137" s="163">
        <f t="shared" ref="O1137:Q1137" si="1141">rank(I1137,I:I)</f>
        <v>1665</v>
      </c>
      <c r="P1137" s="163">
        <f t="shared" si="1141"/>
        <v>651</v>
      </c>
      <c r="Q1137" s="163">
        <f t="shared" si="1141"/>
        <v>590</v>
      </c>
      <c r="R1137" s="163">
        <f>IFERROR(__xludf.DUMMYFUNCTION("RANK(M1137,filter(M:M,C:C=C1137))"),132.0)</f>
        <v>132</v>
      </c>
      <c r="S1137" s="161" t="b">
        <f t="shared" si="5"/>
        <v>0</v>
      </c>
      <c r="T1137" s="161" t="b">
        <f t="array" ref="T1137">index('Query Tool'!B:B,match(H1137,'Query Tool'!C:C,0))</f>
        <v>1</v>
      </c>
      <c r="U1137" s="161" t="b">
        <f t="array" ref="U1137">index('Query Tool'!B:B,match(C1137,'Query Tool'!C:C,0))</f>
        <v>0</v>
      </c>
      <c r="V1137" s="161" t="b">
        <f>F1137&gt;='Query Tool'!C$32</f>
        <v>1</v>
      </c>
      <c r="W1137" s="161" t="b">
        <f t="array" ref="W1137">index(Dropdowns!B:B,match(I1137,Dropdowns!A:A,0))</f>
        <v>1</v>
      </c>
      <c r="X1137" s="161" t="b">
        <f t="array" ref="X1137">index('Query Tool'!B:B,match(D1137,'Query Tool'!C:C,0))</f>
        <v>1</v>
      </c>
      <c r="Y1137" s="161" t="str">
        <f t="shared" si="6"/>
        <v>griffbl01,2015-16</v>
      </c>
      <c r="Z1137" s="168">
        <f t="array" ref="Z1137">iferror(index(I:I,match($A1137&amp;","&amp;index('Year Conversion'!$A:$A,match($C1137,'Year Conversion'!$B:$B,0)),$Y:$Y,0))-I1137,"")</f>
        <v>1</v>
      </c>
      <c r="AA1137" s="168">
        <f t="array" ref="AA1137">iferror(index(J:J,match($A1137&amp;","&amp;index('Year Conversion'!$A:$A,match($C1137,'Year Conversion'!$B:$B,0)),$Y:$Y,0))-J1137,"")</f>
        <v>1.751184655</v>
      </c>
      <c r="AB1137" s="168">
        <f t="array" ref="AB1137">iferror(index(K:K,match($A1137&amp;","&amp;index('Year Conversion'!$A:$A,match($C1137,'Year Conversion'!$B:$B,0)),$Y:$Y,0))-K1137,"")</f>
        <v>1.646722425</v>
      </c>
      <c r="AC1137" s="168" t="str">
        <f t="shared" si="7"/>
        <v>LAC,2015-16</v>
      </c>
    </row>
    <row r="1138">
      <c r="A1138" s="161" t="str">
        <f>IFERROR(__xludf.DUMMYFUNCTION("""COMPUTED_VALUE"""),"hardeja01")</f>
        <v>hardeja01</v>
      </c>
      <c r="B1138" s="161" t="str">
        <f>IFERROR(__xludf.DUMMYFUNCTION("""COMPUTED_VALUE"""),"James Harden")</f>
        <v>James Harden</v>
      </c>
      <c r="C1138" s="162" t="str">
        <f>IFERROR(__xludf.DUMMYFUNCTION("""COMPUTED_VALUE"""),"2015-16")</f>
        <v>2015-16</v>
      </c>
      <c r="D1138" s="163" t="str">
        <f>IFERROR(__xludf.DUMMYFUNCTION("""COMPUTED_VALUE"""),"HOU")</f>
        <v>HOU</v>
      </c>
      <c r="E1138" s="164" t="str">
        <f>IFERROR(__xludf.DUMMYFUNCTION("""COMPUTED_VALUE"""),"Shot Creator")</f>
        <v>Shot Creator</v>
      </c>
      <c r="F1138" s="164">
        <f>IFERROR(__xludf.DUMMYFUNCTION("""COMPUTED_VALUE"""),3124.635)</f>
        <v>3124.635</v>
      </c>
      <c r="G1138" s="163">
        <f>IFERROR(__xludf.DUMMYFUNCTION("""COMPUTED_VALUE"""),82.0)</f>
        <v>82</v>
      </c>
      <c r="H1138" s="163" t="str">
        <f>IFERROR(__xludf.DUMMYFUNCTION("""COMPUTED_VALUE"""),"SG")</f>
        <v>SG</v>
      </c>
      <c r="I1138" s="163">
        <f>IFERROR(__xludf.DUMMYFUNCTION("""COMPUTED_VALUE"""),26.0)</f>
        <v>26</v>
      </c>
      <c r="J1138" s="165">
        <f>IFERROR(__xludf.DUMMYFUNCTION("""COMPUTED_VALUE"""),4.29571009244698)</f>
        <v>4.295710092</v>
      </c>
      <c r="K1138" s="165">
        <f>IFERROR(__xludf.DUMMYFUNCTION("""COMPUTED_VALUE"""),4.75796386983191)</f>
        <v>4.75796387</v>
      </c>
      <c r="L1138" s="165">
        <f>IFERROR(__xludf.DUMMYFUNCTION("""COMPUTED_VALUE"""),-0.462253777384937)</f>
        <v>-0.4622537774</v>
      </c>
      <c r="M1138" s="166">
        <f t="shared" si="2"/>
        <v>13.64140286</v>
      </c>
      <c r="N1138" s="167">
        <f t="shared" si="3"/>
        <v>38.10530488</v>
      </c>
      <c r="O1138" s="163">
        <f t="shared" ref="O1138:Q1138" si="1142">rank(I1138,I:I)</f>
        <v>1665</v>
      </c>
      <c r="P1138" s="163">
        <f t="shared" si="1142"/>
        <v>82</v>
      </c>
      <c r="Q1138" s="163">
        <f t="shared" si="1142"/>
        <v>36</v>
      </c>
      <c r="R1138" s="163">
        <f>IFERROR(__xludf.DUMMYFUNCTION("RANK(M1138,filter(M:M,C:C=C1138))"),5.0)</f>
        <v>5</v>
      </c>
      <c r="S1138" s="161" t="b">
        <f t="shared" si="5"/>
        <v>0</v>
      </c>
      <c r="T1138" s="161" t="b">
        <f t="array" ref="T1138">index('Query Tool'!B:B,match(H1138,'Query Tool'!C:C,0))</f>
        <v>1</v>
      </c>
      <c r="U1138" s="161" t="b">
        <f t="array" ref="U1138">index('Query Tool'!B:B,match(C1138,'Query Tool'!C:C,0))</f>
        <v>0</v>
      </c>
      <c r="V1138" s="161" t="b">
        <f>F1138&gt;='Query Tool'!C$32</f>
        <v>1</v>
      </c>
      <c r="W1138" s="161" t="b">
        <f t="array" ref="W1138">index(Dropdowns!B:B,match(I1138,Dropdowns!A:A,0))</f>
        <v>1</v>
      </c>
      <c r="X1138" s="161" t="b">
        <f t="array" ref="X1138">index('Query Tool'!B:B,match(D1138,'Query Tool'!C:C,0))</f>
        <v>1</v>
      </c>
      <c r="Y1138" s="161" t="str">
        <f t="shared" si="6"/>
        <v>hardeja01,2015-16</v>
      </c>
      <c r="Z1138" s="168">
        <f t="array" ref="Z1138">iferror(index(I:I,match($A1138&amp;","&amp;index('Year Conversion'!$A:$A,match($C1138,'Year Conversion'!$B:$B,0)),$Y:$Y,0))-I1138,"")</f>
        <v>1</v>
      </c>
      <c r="AA1138" s="168">
        <f t="array" ref="AA1138">iferror(index(J:J,match($A1138&amp;","&amp;index('Year Conversion'!$A:$A,match($C1138,'Year Conversion'!$B:$B,0)),$Y:$Y,0))-J1138,"")</f>
        <v>1.254934838</v>
      </c>
      <c r="AB1138" s="168">
        <f t="array" ref="AB1138">iferror(index(K:K,match($A1138&amp;","&amp;index('Year Conversion'!$A:$A,match($C1138,'Year Conversion'!$B:$B,0)),$Y:$Y,0))-K1138,"")</f>
        <v>1.512571851</v>
      </c>
      <c r="AC1138" s="168" t="str">
        <f t="shared" si="7"/>
        <v>HOU,2015-16</v>
      </c>
    </row>
    <row r="1139">
      <c r="A1139" s="161" t="str">
        <f>IFERROR(__xludf.DUMMYFUNCTION("""COMPUTED_VALUE"""),"evansty01")</f>
        <v>evansty01</v>
      </c>
      <c r="B1139" s="161" t="str">
        <f>IFERROR(__xludf.DUMMYFUNCTION("""COMPUTED_VALUE"""),"Tyreke Evans")</f>
        <v>Tyreke Evans</v>
      </c>
      <c r="C1139" s="162" t="str">
        <f>IFERROR(__xludf.DUMMYFUNCTION("""COMPUTED_VALUE"""),"2015-16")</f>
        <v>2015-16</v>
      </c>
      <c r="D1139" s="163" t="str">
        <f>IFERROR(__xludf.DUMMYFUNCTION("""COMPUTED_VALUE"""),"NOP")</f>
        <v>NOP</v>
      </c>
      <c r="E1139" s="164" t="str">
        <f>IFERROR(__xludf.DUMMYFUNCTION("""COMPUTED_VALUE"""),"Shot Creator")</f>
        <v>Shot Creator</v>
      </c>
      <c r="F1139" s="164">
        <f>IFERROR(__xludf.DUMMYFUNCTION("""COMPUTED_VALUE"""),765.335)</f>
        <v>765.335</v>
      </c>
      <c r="G1139" s="163">
        <f>IFERROR(__xludf.DUMMYFUNCTION("""COMPUTED_VALUE"""),25.0)</f>
        <v>25</v>
      </c>
      <c r="H1139" s="163" t="str">
        <f>IFERROR(__xludf.DUMMYFUNCTION("""COMPUTED_VALUE"""),"SG")</f>
        <v>SG</v>
      </c>
      <c r="I1139" s="163">
        <f>IFERROR(__xludf.DUMMYFUNCTION("""COMPUTED_VALUE"""),26.0)</f>
        <v>26</v>
      </c>
      <c r="J1139" s="165">
        <f>IFERROR(__xludf.DUMMYFUNCTION("""COMPUTED_VALUE"""),0.866801377578048)</f>
        <v>0.8668013776</v>
      </c>
      <c r="K1139" s="165">
        <f>IFERROR(__xludf.DUMMYFUNCTION("""COMPUTED_VALUE"""),1.04936466545424)</f>
        <v>1.049364665</v>
      </c>
      <c r="L1139" s="165">
        <f>IFERROR(__xludf.DUMMYFUNCTION("""COMPUTED_VALUE"""),-0.182563287876194)</f>
        <v>-0.1825632879</v>
      </c>
      <c r="M1139" s="166">
        <f t="shared" si="2"/>
        <v>1.626678315</v>
      </c>
      <c r="N1139" s="167">
        <f t="shared" si="3"/>
        <v>30.6134</v>
      </c>
      <c r="O1139" s="163">
        <f t="shared" ref="O1139:Q1139" si="1143">rank(I1139,I:I)</f>
        <v>1665</v>
      </c>
      <c r="P1139" s="163">
        <f t="shared" si="1143"/>
        <v>706</v>
      </c>
      <c r="Q1139" s="163">
        <f t="shared" si="1143"/>
        <v>476</v>
      </c>
      <c r="R1139" s="163">
        <f>IFERROR(__xludf.DUMMYFUNCTION("RANK(M1139,filter(M:M,C:C=C1139))"),180.0)</f>
        <v>180</v>
      </c>
      <c r="S1139" s="161" t="b">
        <f t="shared" si="5"/>
        <v>0</v>
      </c>
      <c r="T1139" s="161" t="b">
        <f t="array" ref="T1139">index('Query Tool'!B:B,match(H1139,'Query Tool'!C:C,0))</f>
        <v>1</v>
      </c>
      <c r="U1139" s="161" t="b">
        <f t="array" ref="U1139">index('Query Tool'!B:B,match(C1139,'Query Tool'!C:C,0))</f>
        <v>0</v>
      </c>
      <c r="V1139" s="161" t="b">
        <f>F1139&gt;='Query Tool'!C$32</f>
        <v>1</v>
      </c>
      <c r="W1139" s="161" t="b">
        <f t="array" ref="W1139">index(Dropdowns!B:B,match(I1139,Dropdowns!A:A,0))</f>
        <v>1</v>
      </c>
      <c r="X1139" s="161" t="b">
        <f t="array" ref="X1139">index('Query Tool'!B:B,match(D1139,'Query Tool'!C:C,0))</f>
        <v>1</v>
      </c>
      <c r="Y1139" s="161" t="str">
        <f t="shared" si="6"/>
        <v>evansty01,2015-16</v>
      </c>
      <c r="Z1139" s="168">
        <f t="array" ref="Z1139">iferror(index(I:I,match($A1139&amp;","&amp;index('Year Conversion'!$A:$A,match($C1139,'Year Conversion'!$B:$B,0)),$Y:$Y,0))-I1139,"")</f>
        <v>1</v>
      </c>
      <c r="AA1139" s="168">
        <f t="array" ref="AA1139">iferror(index(J:J,match($A1139&amp;","&amp;index('Year Conversion'!$A:$A,match($C1139,'Year Conversion'!$B:$B,0)),$Y:$Y,0))-J1139,"")</f>
        <v>-1.18759147</v>
      </c>
      <c r="AB1139" s="168">
        <f t="array" ref="AB1139">iferror(index(K:K,match($A1139&amp;","&amp;index('Year Conversion'!$A:$A,match($C1139,'Year Conversion'!$B:$B,0)),$Y:$Y,0))-K1139,"")</f>
        <v>-1.422185103</v>
      </c>
      <c r="AC1139" s="168" t="str">
        <f t="shared" si="7"/>
        <v>NOP,2015-16</v>
      </c>
    </row>
    <row r="1140">
      <c r="A1140" s="161" t="str">
        <f>IFERROR(__xludf.DUMMYFUNCTION("""COMPUTED_VALUE"""),"rubiori01")</f>
        <v>rubiori01</v>
      </c>
      <c r="B1140" s="161" t="str">
        <f>IFERROR(__xludf.DUMMYFUNCTION("""COMPUTED_VALUE"""),"Ricky Rubio")</f>
        <v>Ricky Rubio</v>
      </c>
      <c r="C1140" s="162" t="str">
        <f>IFERROR(__xludf.DUMMYFUNCTION("""COMPUTED_VALUE"""),"2015-16")</f>
        <v>2015-16</v>
      </c>
      <c r="D1140" s="163" t="str">
        <f>IFERROR(__xludf.DUMMYFUNCTION("""COMPUTED_VALUE"""),"MIN")</f>
        <v>MIN</v>
      </c>
      <c r="E1140" s="164" t="str">
        <f>IFERROR(__xludf.DUMMYFUNCTION("""COMPUTED_VALUE"""),"Primary Ball Handler")</f>
        <v>Primary Ball Handler</v>
      </c>
      <c r="F1140" s="164">
        <f>IFERROR(__xludf.DUMMYFUNCTION("""COMPUTED_VALUE"""),2322.62)</f>
        <v>2322.62</v>
      </c>
      <c r="G1140" s="163">
        <f>IFERROR(__xludf.DUMMYFUNCTION("""COMPUTED_VALUE"""),76.0)</f>
        <v>76</v>
      </c>
      <c r="H1140" s="163" t="str">
        <f>IFERROR(__xludf.DUMMYFUNCTION("""COMPUTED_VALUE"""),"PG")</f>
        <v>PG</v>
      </c>
      <c r="I1140" s="163">
        <f>IFERROR(__xludf.DUMMYFUNCTION("""COMPUTED_VALUE"""),25.0)</f>
        <v>25</v>
      </c>
      <c r="J1140" s="165">
        <f>IFERROR(__xludf.DUMMYFUNCTION("""COMPUTED_VALUE"""),3.56667348807517)</f>
        <v>3.566673488</v>
      </c>
      <c r="K1140" s="165">
        <f>IFERROR(__xludf.DUMMYFUNCTION("""COMPUTED_VALUE"""),2.40522719267785)</f>
        <v>2.405227193</v>
      </c>
      <c r="L1140" s="165">
        <f>IFERROR(__xludf.DUMMYFUNCTION("""COMPUTED_VALUE"""),1.16144629539731)</f>
        <v>1.161446295</v>
      </c>
      <c r="M1140" s="166">
        <f t="shared" si="2"/>
        <v>9.069058546</v>
      </c>
      <c r="N1140" s="167">
        <f t="shared" si="3"/>
        <v>30.56078947</v>
      </c>
      <c r="O1140" s="163">
        <f t="shared" ref="O1140:Q1140" si="1144">rank(I1140,I:I)</f>
        <v>1995</v>
      </c>
      <c r="P1140" s="163">
        <f t="shared" si="1144"/>
        <v>127</v>
      </c>
      <c r="Q1140" s="163">
        <f t="shared" si="1144"/>
        <v>168</v>
      </c>
      <c r="R1140" s="163">
        <f>IFERROR(__xludf.DUMMYFUNCTION("RANK(M1140,filter(M:M,C:C=C1140))"),17.0)</f>
        <v>17</v>
      </c>
      <c r="S1140" s="161" t="b">
        <f t="shared" si="5"/>
        <v>0</v>
      </c>
      <c r="T1140" s="161" t="b">
        <f t="array" ref="T1140">index('Query Tool'!B:B,match(H1140,'Query Tool'!C:C,0))</f>
        <v>1</v>
      </c>
      <c r="U1140" s="161" t="b">
        <f t="array" ref="U1140">index('Query Tool'!B:B,match(C1140,'Query Tool'!C:C,0))</f>
        <v>0</v>
      </c>
      <c r="V1140" s="161" t="b">
        <f>F1140&gt;='Query Tool'!C$32</f>
        <v>1</v>
      </c>
      <c r="W1140" s="161" t="b">
        <f t="array" ref="W1140">index(Dropdowns!B:B,match(I1140,Dropdowns!A:A,0))</f>
        <v>1</v>
      </c>
      <c r="X1140" s="161" t="b">
        <f t="array" ref="X1140">index('Query Tool'!B:B,match(D1140,'Query Tool'!C:C,0))</f>
        <v>1</v>
      </c>
      <c r="Y1140" s="161" t="str">
        <f t="shared" si="6"/>
        <v>rubiori01,2015-16</v>
      </c>
      <c r="Z1140" s="168">
        <f t="array" ref="Z1140">iferror(index(I:I,match($A1140&amp;","&amp;index('Year Conversion'!$A:$A,match($C1140,'Year Conversion'!$B:$B,0)),$Y:$Y,0))-I1140,"")</f>
        <v>1</v>
      </c>
      <c r="AA1140" s="168">
        <f t="array" ref="AA1140">iferror(index(J:J,match($A1140&amp;","&amp;index('Year Conversion'!$A:$A,match($C1140,'Year Conversion'!$B:$B,0)),$Y:$Y,0))-J1140,"")</f>
        <v>-1.52348078</v>
      </c>
      <c r="AB1140" s="168">
        <f t="array" ref="AB1140">iferror(index(K:K,match($A1140&amp;","&amp;index('Year Conversion'!$A:$A,match($C1140,'Year Conversion'!$B:$B,0)),$Y:$Y,0))-K1140,"")</f>
        <v>-0.7860241722</v>
      </c>
      <c r="AC1140" s="168" t="str">
        <f t="shared" si="7"/>
        <v>MIN,2015-16</v>
      </c>
    </row>
    <row r="1141">
      <c r="A1141" s="161" t="str">
        <f>IFERROR(__xludf.DUMMYFUNCTION("""COMPUTED_VALUE"""),"curryst01")</f>
        <v>curryst01</v>
      </c>
      <c r="B1141" s="161" t="str">
        <f>IFERROR(__xludf.DUMMYFUNCTION("""COMPUTED_VALUE"""),"Stephen Curry")</f>
        <v>Stephen Curry</v>
      </c>
      <c r="C1141" s="162" t="str">
        <f>IFERROR(__xludf.DUMMYFUNCTION("""COMPUTED_VALUE"""),"2015-16")</f>
        <v>2015-16</v>
      </c>
      <c r="D1141" s="163" t="str">
        <f>IFERROR(__xludf.DUMMYFUNCTION("""COMPUTED_VALUE"""),"GSW")</f>
        <v>GSW</v>
      </c>
      <c r="E1141" s="164" t="str">
        <f>IFERROR(__xludf.DUMMYFUNCTION("""COMPUTED_VALUE"""),"Primary Ball Handler")</f>
        <v>Primary Ball Handler</v>
      </c>
      <c r="F1141" s="164">
        <f>IFERROR(__xludf.DUMMYFUNCTION("""COMPUTED_VALUE"""),2699.975)</f>
        <v>2699.975</v>
      </c>
      <c r="G1141" s="163">
        <f>IFERROR(__xludf.DUMMYFUNCTION("""COMPUTED_VALUE"""),79.0)</f>
        <v>79</v>
      </c>
      <c r="H1141" s="163" t="str">
        <f>IFERROR(__xludf.DUMMYFUNCTION("""COMPUTED_VALUE"""),"PG")</f>
        <v>PG</v>
      </c>
      <c r="I1141" s="163">
        <f>IFERROR(__xludf.DUMMYFUNCTION("""COMPUTED_VALUE"""),27.0)</f>
        <v>27</v>
      </c>
      <c r="J1141" s="165">
        <f>IFERROR(__xludf.DUMMYFUNCTION("""COMPUTED_VALUE"""),6.73584210290035)</f>
        <v>6.735842103</v>
      </c>
      <c r="K1141" s="165">
        <f>IFERROR(__xludf.DUMMYFUNCTION("""COMPUTED_VALUE"""),6.71882615520748)</f>
        <v>6.718826155</v>
      </c>
      <c r="L1141" s="165">
        <f>IFERROR(__xludf.DUMMYFUNCTION("""COMPUTED_VALUE"""),0.0170159476928742)</f>
        <v>0.01701594769</v>
      </c>
      <c r="M1141" s="166">
        <f t="shared" si="2"/>
        <v>15.70503995</v>
      </c>
      <c r="N1141" s="167">
        <f t="shared" si="3"/>
        <v>34.17689873</v>
      </c>
      <c r="O1141" s="163">
        <f t="shared" ref="O1141:Q1141" si="1145">rank(I1141,I:I)</f>
        <v>1366</v>
      </c>
      <c r="P1141" s="163">
        <f t="shared" si="1145"/>
        <v>5</v>
      </c>
      <c r="Q1141" s="163">
        <f t="shared" si="1145"/>
        <v>2</v>
      </c>
      <c r="R1141" s="163">
        <f>IFERROR(__xludf.DUMMYFUNCTION("RANK(M1141,filter(M:M,C:C=C1141))"),3.0)</f>
        <v>3</v>
      </c>
      <c r="S1141" s="161" t="b">
        <f t="shared" si="5"/>
        <v>0</v>
      </c>
      <c r="T1141" s="161" t="b">
        <f t="array" ref="T1141">index('Query Tool'!B:B,match(H1141,'Query Tool'!C:C,0))</f>
        <v>1</v>
      </c>
      <c r="U1141" s="161" t="b">
        <f t="array" ref="U1141">index('Query Tool'!B:B,match(C1141,'Query Tool'!C:C,0))</f>
        <v>0</v>
      </c>
      <c r="V1141" s="161" t="b">
        <f>F1141&gt;='Query Tool'!C$32</f>
        <v>1</v>
      </c>
      <c r="W1141" s="161" t="b">
        <f t="array" ref="W1141">index(Dropdowns!B:B,match(I1141,Dropdowns!A:A,0))</f>
        <v>1</v>
      </c>
      <c r="X1141" s="161" t="b">
        <f t="array" ref="X1141">index('Query Tool'!B:B,match(D1141,'Query Tool'!C:C,0))</f>
        <v>1</v>
      </c>
      <c r="Y1141" s="161" t="str">
        <f t="shared" si="6"/>
        <v>curryst01,2015-16</v>
      </c>
      <c r="Z1141" s="168">
        <f t="array" ref="Z1141">iferror(index(I:I,match($A1141&amp;","&amp;index('Year Conversion'!$A:$A,match($C1141,'Year Conversion'!$B:$B,0)),$Y:$Y,0))-I1141,"")</f>
        <v>1</v>
      </c>
      <c r="AA1141" s="168">
        <f t="array" ref="AA1141">iferror(index(J:J,match($A1141&amp;","&amp;index('Year Conversion'!$A:$A,match($C1141,'Year Conversion'!$B:$B,0)),$Y:$Y,0))-J1141,"")</f>
        <v>-0.06696792183</v>
      </c>
      <c r="AB1141" s="168">
        <f t="array" ref="AB1141">iferror(index(K:K,match($A1141&amp;","&amp;index('Year Conversion'!$A:$A,match($C1141,'Year Conversion'!$B:$B,0)),$Y:$Y,0))-K1141,"")</f>
        <v>-0.4031578701</v>
      </c>
      <c r="AC1141" s="168" t="str">
        <f t="shared" si="7"/>
        <v>GSW,2015-16</v>
      </c>
    </row>
    <row r="1142">
      <c r="A1142" s="161" t="str">
        <f>IFERROR(__xludf.DUMMYFUNCTION("""COMPUTED_VALUE"""),"hilljo01")</f>
        <v>hilljo01</v>
      </c>
      <c r="B1142" s="161" t="str">
        <f>IFERROR(__xludf.DUMMYFUNCTION("""COMPUTED_VALUE"""),"Jordan Hill")</f>
        <v>Jordan Hill</v>
      </c>
      <c r="C1142" s="162" t="str">
        <f>IFERROR(__xludf.DUMMYFUNCTION("""COMPUTED_VALUE"""),"2015-16")</f>
        <v>2015-16</v>
      </c>
      <c r="D1142" s="163" t="str">
        <f>IFERROR(__xludf.DUMMYFUNCTION("""COMPUTED_VALUE"""),"IND")</f>
        <v>IND</v>
      </c>
      <c r="E1142" s="164" t="str">
        <f>IFERROR(__xludf.DUMMYFUNCTION("""COMPUTED_VALUE"""),"Post Scorer")</f>
        <v>Post Scorer</v>
      </c>
      <c r="F1142" s="164">
        <f>IFERROR(__xludf.DUMMYFUNCTION("""COMPUTED_VALUE"""),1512.66666666667)</f>
        <v>1512.666667</v>
      </c>
      <c r="G1142" s="163">
        <f>IFERROR(__xludf.DUMMYFUNCTION("""COMPUTED_VALUE"""),73.0)</f>
        <v>73</v>
      </c>
      <c r="H1142" s="163" t="str">
        <f>IFERROR(__xludf.DUMMYFUNCTION("""COMPUTED_VALUE"""),"C")</f>
        <v>C</v>
      </c>
      <c r="I1142" s="163">
        <f>IFERROR(__xludf.DUMMYFUNCTION("""COMPUTED_VALUE"""),28.0)</f>
        <v>28</v>
      </c>
      <c r="J1142" s="165">
        <f>IFERROR(__xludf.DUMMYFUNCTION("""COMPUTED_VALUE"""),-1.9056036560963)</f>
        <v>-1.905603656</v>
      </c>
      <c r="K1142" s="165">
        <f>IFERROR(__xludf.DUMMYFUNCTION("""COMPUTED_VALUE"""),-1.37970309846792)</f>
        <v>-1.379703098</v>
      </c>
      <c r="L1142" s="165">
        <f>IFERROR(__xludf.DUMMYFUNCTION("""COMPUTED_VALUE"""),-0.525900557628375)</f>
        <v>-0.5259005576</v>
      </c>
      <c r="M1142" s="166">
        <f t="shared" si="2"/>
        <v>0.3983912196</v>
      </c>
      <c r="N1142" s="167">
        <f t="shared" si="3"/>
        <v>20.72146119</v>
      </c>
      <c r="O1142" s="163">
        <f t="shared" ref="O1142:Q1142" si="1146">rank(I1142,I:I)</f>
        <v>1090</v>
      </c>
      <c r="P1142" s="163">
        <f t="shared" si="1146"/>
        <v>3422</v>
      </c>
      <c r="Q1142" s="163">
        <f t="shared" si="1146"/>
        <v>3229</v>
      </c>
      <c r="R1142" s="163">
        <f>IFERROR(__xludf.DUMMYFUNCTION("RANK(M1142,filter(M:M,C:C=C1142))"),295.0)</f>
        <v>295</v>
      </c>
      <c r="S1142" s="161" t="b">
        <f t="shared" si="5"/>
        <v>0</v>
      </c>
      <c r="T1142" s="161" t="b">
        <f t="array" ref="T1142">index('Query Tool'!B:B,match(H1142,'Query Tool'!C:C,0))</f>
        <v>1</v>
      </c>
      <c r="U1142" s="161" t="b">
        <f t="array" ref="U1142">index('Query Tool'!B:B,match(C1142,'Query Tool'!C:C,0))</f>
        <v>0</v>
      </c>
      <c r="V1142" s="161" t="b">
        <f>F1142&gt;='Query Tool'!C$32</f>
        <v>1</v>
      </c>
      <c r="W1142" s="161" t="b">
        <f t="array" ref="W1142">index(Dropdowns!B:B,match(I1142,Dropdowns!A:A,0))</f>
        <v>1</v>
      </c>
      <c r="X1142" s="161" t="b">
        <f t="array" ref="X1142">index('Query Tool'!B:B,match(D1142,'Query Tool'!C:C,0))</f>
        <v>1</v>
      </c>
      <c r="Y1142" s="161" t="str">
        <f t="shared" si="6"/>
        <v>hilljo01,2015-16</v>
      </c>
      <c r="Z1142" s="168">
        <f t="array" ref="Z1142">iferror(index(I:I,match($A1142&amp;","&amp;index('Year Conversion'!$A:$A,match($C1142,'Year Conversion'!$B:$B,0)),$Y:$Y,0))-I1142,"")</f>
        <v>1</v>
      </c>
      <c r="AA1142" s="168">
        <f t="array" ref="AA1142">iferror(index(J:J,match($A1142&amp;","&amp;index('Year Conversion'!$A:$A,match($C1142,'Year Conversion'!$B:$B,0)),$Y:$Y,0))-J1142,"")</f>
        <v>1.192797856</v>
      </c>
      <c r="AB1142" s="168">
        <f t="array" ref="AB1142">iferror(index(K:K,match($A1142&amp;","&amp;index('Year Conversion'!$A:$A,match($C1142,'Year Conversion'!$B:$B,0)),$Y:$Y,0))-K1142,"")</f>
        <v>0.9699087252</v>
      </c>
      <c r="AC1142" s="168" t="str">
        <f t="shared" si="7"/>
        <v>IND,2015-16</v>
      </c>
    </row>
    <row r="1143">
      <c r="A1143" s="161" t="str">
        <f>IFERROR(__xludf.DUMMYFUNCTION("""COMPUTED_VALUE"""),"derozde01")</f>
        <v>derozde01</v>
      </c>
      <c r="B1143" s="161" t="str">
        <f>IFERROR(__xludf.DUMMYFUNCTION("""COMPUTED_VALUE"""),"DeMar DeRozan")</f>
        <v>DeMar DeRozan</v>
      </c>
      <c r="C1143" s="162" t="str">
        <f>IFERROR(__xludf.DUMMYFUNCTION("""COMPUTED_VALUE"""),"2015-16")</f>
        <v>2015-16</v>
      </c>
      <c r="D1143" s="163" t="str">
        <f>IFERROR(__xludf.DUMMYFUNCTION("""COMPUTED_VALUE"""),"TOR")</f>
        <v>TOR</v>
      </c>
      <c r="E1143" s="164" t="str">
        <f>IFERROR(__xludf.DUMMYFUNCTION("""COMPUTED_VALUE"""),"Shot Creator")</f>
        <v>Shot Creator</v>
      </c>
      <c r="F1143" s="164">
        <f>IFERROR(__xludf.DUMMYFUNCTION("""COMPUTED_VALUE"""),2803.795)</f>
        <v>2803.795</v>
      </c>
      <c r="G1143" s="163">
        <f>IFERROR(__xludf.DUMMYFUNCTION("""COMPUTED_VALUE"""),78.0)</f>
        <v>78</v>
      </c>
      <c r="H1143" s="163" t="str">
        <f>IFERROR(__xludf.DUMMYFUNCTION("""COMPUTED_VALUE"""),"SG")</f>
        <v>SG</v>
      </c>
      <c r="I1143" s="163">
        <f>IFERROR(__xludf.DUMMYFUNCTION("""COMPUTED_VALUE"""),26.0)</f>
        <v>26</v>
      </c>
      <c r="J1143" s="165">
        <f>IFERROR(__xludf.DUMMYFUNCTION("""COMPUTED_VALUE"""),1.08352274845504)</f>
        <v>1.083522748</v>
      </c>
      <c r="K1143" s="165">
        <f>IFERROR(__xludf.DUMMYFUNCTION("""COMPUTED_VALUE"""),2.22557768393945)</f>
        <v>2.225577684</v>
      </c>
      <c r="L1143" s="165">
        <f>IFERROR(__xludf.DUMMYFUNCTION("""COMPUTED_VALUE"""),-1.14205493548441)</f>
        <v>-1.142054935</v>
      </c>
      <c r="M1143" s="166">
        <f t="shared" si="2"/>
        <v>6.367355636</v>
      </c>
      <c r="N1143" s="167">
        <f t="shared" si="3"/>
        <v>35.94608974</v>
      </c>
      <c r="O1143" s="163">
        <f t="shared" ref="O1143:Q1143" si="1147">rank(I1143,I:I)</f>
        <v>1665</v>
      </c>
      <c r="P1143" s="163">
        <f t="shared" si="1147"/>
        <v>628</v>
      </c>
      <c r="Q1143" s="163">
        <f t="shared" si="1147"/>
        <v>194</v>
      </c>
      <c r="R1143" s="163">
        <f>IFERROR(__xludf.DUMMYFUNCTION("RANK(M1143,filter(M:M,C:C=C1143))"),40.0)</f>
        <v>40</v>
      </c>
      <c r="S1143" s="161" t="b">
        <f t="shared" si="5"/>
        <v>0</v>
      </c>
      <c r="T1143" s="161" t="b">
        <f t="array" ref="T1143">index('Query Tool'!B:B,match(H1143,'Query Tool'!C:C,0))</f>
        <v>1</v>
      </c>
      <c r="U1143" s="161" t="b">
        <f t="array" ref="U1143">index('Query Tool'!B:B,match(C1143,'Query Tool'!C:C,0))</f>
        <v>0</v>
      </c>
      <c r="V1143" s="161" t="b">
        <f>F1143&gt;='Query Tool'!C$32</f>
        <v>1</v>
      </c>
      <c r="W1143" s="161" t="b">
        <f t="array" ref="W1143">index(Dropdowns!B:B,match(I1143,Dropdowns!A:A,0))</f>
        <v>1</v>
      </c>
      <c r="X1143" s="161" t="b">
        <f t="array" ref="X1143">index('Query Tool'!B:B,match(D1143,'Query Tool'!C:C,0))</f>
        <v>1</v>
      </c>
      <c r="Y1143" s="161" t="str">
        <f t="shared" si="6"/>
        <v>derozde01,2015-16</v>
      </c>
      <c r="Z1143" s="168">
        <f t="array" ref="Z1143">iferror(index(I:I,match($A1143&amp;","&amp;index('Year Conversion'!$A:$A,match($C1143,'Year Conversion'!$B:$B,0)),$Y:$Y,0))-I1143,"")</f>
        <v>1</v>
      </c>
      <c r="AA1143" s="168">
        <f t="array" ref="AA1143">iferror(index(J:J,match($A1143&amp;","&amp;index('Year Conversion'!$A:$A,match($C1143,'Year Conversion'!$B:$B,0)),$Y:$Y,0))-J1143,"")</f>
        <v>0.489003855</v>
      </c>
      <c r="AB1143" s="168">
        <f t="array" ref="AB1143">iferror(index(K:K,match($A1143&amp;","&amp;index('Year Conversion'!$A:$A,match($C1143,'Year Conversion'!$B:$B,0)),$Y:$Y,0))-K1143,"")</f>
        <v>0.591771149</v>
      </c>
      <c r="AC1143" s="168" t="str">
        <f t="shared" si="7"/>
        <v>TOR,2015-16</v>
      </c>
    </row>
    <row r="1144">
      <c r="A1144" s="161" t="str">
        <f>IFERROR(__xludf.DUMMYFUNCTION("""COMPUTED_VALUE"""),"jennibr01")</f>
        <v>jennibr01</v>
      </c>
      <c r="B1144" s="161" t="str">
        <f>IFERROR(__xludf.DUMMYFUNCTION("""COMPUTED_VALUE"""),"Brandon Jennings")</f>
        <v>Brandon Jennings</v>
      </c>
      <c r="C1144" s="162" t="str">
        <f>IFERROR(__xludf.DUMMYFUNCTION("""COMPUTED_VALUE"""),"2015-16")</f>
        <v>2015-16</v>
      </c>
      <c r="D1144" s="163" t="str">
        <f>IFERROR(__xludf.DUMMYFUNCTION("""COMPUTED_VALUE"""),"TOT")</f>
        <v>TOT</v>
      </c>
      <c r="E1144" s="164" t="str">
        <f>IFERROR(__xludf.DUMMYFUNCTION("""COMPUTED_VALUE"""),"Secondary Ball Handler")</f>
        <v>Secondary Ball Handler</v>
      </c>
      <c r="F1144" s="164">
        <f>IFERROR(__xludf.DUMMYFUNCTION("""COMPUTED_VALUE"""),867.505)</f>
        <v>867.505</v>
      </c>
      <c r="G1144" s="163">
        <f>IFERROR(__xludf.DUMMYFUNCTION("""COMPUTED_VALUE"""),48.0)</f>
        <v>48</v>
      </c>
      <c r="H1144" s="163" t="str">
        <f>IFERROR(__xludf.DUMMYFUNCTION("""COMPUTED_VALUE"""),"PG")</f>
        <v>PG</v>
      </c>
      <c r="I1144" s="163">
        <f>IFERROR(__xludf.DUMMYFUNCTION("""COMPUTED_VALUE"""),26.0)</f>
        <v>26</v>
      </c>
      <c r="J1144" s="165">
        <f>IFERROR(__xludf.DUMMYFUNCTION("""COMPUTED_VALUE"""),1.00037388666001)</f>
        <v>1.000373887</v>
      </c>
      <c r="K1144" s="165">
        <f>IFERROR(__xludf.DUMMYFUNCTION("""COMPUTED_VALUE"""),1.20728318087973)</f>
        <v>1.207283181</v>
      </c>
      <c r="L1144" s="165">
        <f>IFERROR(__xludf.DUMMYFUNCTION("""COMPUTED_VALUE"""),-0.206909294219724)</f>
        <v>-0.2069092942</v>
      </c>
      <c r="M1144" s="166">
        <f t="shared" si="2"/>
        <v>1.92167321</v>
      </c>
      <c r="N1144" s="167">
        <f t="shared" si="3"/>
        <v>18.07302083</v>
      </c>
      <c r="O1144" s="163">
        <f t="shared" ref="O1144:Q1144" si="1148">rank(I1144,I:I)</f>
        <v>1665</v>
      </c>
      <c r="P1144" s="163">
        <f t="shared" si="1148"/>
        <v>658</v>
      </c>
      <c r="Q1144" s="163">
        <f t="shared" si="1148"/>
        <v>416</v>
      </c>
      <c r="R1144" s="163">
        <f>IFERROR(__xludf.DUMMYFUNCTION("RANK(M1144,filter(M:M,C:C=C1144))"),160.0)</f>
        <v>160</v>
      </c>
      <c r="S1144" s="161" t="b">
        <f t="shared" si="5"/>
        <v>0</v>
      </c>
      <c r="T1144" s="161" t="b">
        <f t="array" ref="T1144">index('Query Tool'!B:B,match(H1144,'Query Tool'!C:C,0))</f>
        <v>1</v>
      </c>
      <c r="U1144" s="161" t="b">
        <f t="array" ref="U1144">index('Query Tool'!B:B,match(C1144,'Query Tool'!C:C,0))</f>
        <v>0</v>
      </c>
      <c r="V1144" s="161" t="b">
        <f>F1144&gt;='Query Tool'!C$32</f>
        <v>1</v>
      </c>
      <c r="W1144" s="161" t="b">
        <f t="array" ref="W1144">index(Dropdowns!B:B,match(I1144,Dropdowns!A:A,0))</f>
        <v>1</v>
      </c>
      <c r="X1144" s="161" t="b">
        <f t="array" ref="X1144">index('Query Tool'!B:B,match(D1144,'Query Tool'!C:C,0))</f>
        <v>1</v>
      </c>
      <c r="Y1144" s="161" t="str">
        <f t="shared" si="6"/>
        <v>jennibr01,2015-16</v>
      </c>
      <c r="Z1144" s="168">
        <f t="array" ref="Z1144">iferror(index(I:I,match($A1144&amp;","&amp;index('Year Conversion'!$A:$A,match($C1144,'Year Conversion'!$B:$B,0)),$Y:$Y,0))-I1144,"")</f>
        <v>1</v>
      </c>
      <c r="AA1144" s="168">
        <f t="array" ref="AA1144">iferror(index(J:J,match($A1144&amp;","&amp;index('Year Conversion'!$A:$A,match($C1144,'Year Conversion'!$B:$B,0)),$Y:$Y,0))-J1144,"")</f>
        <v>-1.469198208</v>
      </c>
      <c r="AB1144" s="168">
        <f t="array" ref="AB1144">iferror(index(K:K,match($A1144&amp;","&amp;index('Year Conversion'!$A:$A,match($C1144,'Year Conversion'!$B:$B,0)),$Y:$Y,0))-K1144,"")</f>
        <v>-0.2030204604</v>
      </c>
      <c r="AC1144" s="168" t="str">
        <f t="shared" si="7"/>
        <v>TOT,2015-16</v>
      </c>
    </row>
    <row r="1145">
      <c r="A1145" s="161" t="str">
        <f>IFERROR(__xludf.DUMMYFUNCTION("""COMPUTED_VALUE"""),"hendege02")</f>
        <v>hendege02</v>
      </c>
      <c r="B1145" s="161" t="str">
        <f>IFERROR(__xludf.DUMMYFUNCTION("""COMPUTED_VALUE"""),"Gerald Henderson")</f>
        <v>Gerald Henderson</v>
      </c>
      <c r="C1145" s="162" t="str">
        <f>IFERROR(__xludf.DUMMYFUNCTION("""COMPUTED_VALUE"""),"2015-16")</f>
        <v>2015-16</v>
      </c>
      <c r="D1145" s="163" t="str">
        <f>IFERROR(__xludf.DUMMYFUNCTION("""COMPUTED_VALUE"""),"POR")</f>
        <v>POR</v>
      </c>
      <c r="E1145" s="164" t="str">
        <f>IFERROR(__xludf.DUMMYFUNCTION("""COMPUTED_VALUE"""),"Shot Creator")</f>
        <v>Shot Creator</v>
      </c>
      <c r="F1145" s="164">
        <f>IFERROR(__xludf.DUMMYFUNCTION("""COMPUTED_VALUE"""),1431.06666666667)</f>
        <v>1431.066667</v>
      </c>
      <c r="G1145" s="163">
        <f>IFERROR(__xludf.DUMMYFUNCTION("""COMPUTED_VALUE"""),72.0)</f>
        <v>72</v>
      </c>
      <c r="H1145" s="163" t="str">
        <f>IFERROR(__xludf.DUMMYFUNCTION("""COMPUTED_VALUE"""),"SG")</f>
        <v>SG</v>
      </c>
      <c r="I1145" s="163">
        <f>IFERROR(__xludf.DUMMYFUNCTION("""COMPUTED_VALUE"""),28.0)</f>
        <v>28</v>
      </c>
      <c r="J1145" s="165">
        <f>IFERROR(__xludf.DUMMYFUNCTION("""COMPUTED_VALUE"""),-0.162045056937368)</f>
        <v>-0.1620450569</v>
      </c>
      <c r="K1145" s="165">
        <f>IFERROR(__xludf.DUMMYFUNCTION("""COMPUTED_VALUE"""),-0.0470448952169048)</f>
        <v>-0.04704489522</v>
      </c>
      <c r="L1145" s="165">
        <f>IFERROR(__xludf.DUMMYFUNCTION("""COMPUTED_VALUE"""),-0.115000161720464)</f>
        <v>-0.1150001617</v>
      </c>
      <c r="M1145" s="166">
        <f t="shared" si="2"/>
        <v>2.049890697</v>
      </c>
      <c r="N1145" s="167">
        <f t="shared" si="3"/>
        <v>19.87592593</v>
      </c>
      <c r="O1145" s="163">
        <f t="shared" ref="O1145:Q1145" si="1149">rank(I1145,I:I)</f>
        <v>1090</v>
      </c>
      <c r="P1145" s="163">
        <f t="shared" si="1149"/>
        <v>1457</v>
      </c>
      <c r="Q1145" s="163">
        <f t="shared" si="1149"/>
        <v>1271</v>
      </c>
      <c r="R1145" s="163">
        <f>IFERROR(__xludf.DUMMYFUNCTION("RANK(M1145,filter(M:M,C:C=C1145))"),155.0)</f>
        <v>155</v>
      </c>
      <c r="S1145" s="161" t="b">
        <f t="shared" si="5"/>
        <v>0</v>
      </c>
      <c r="T1145" s="161" t="b">
        <f t="array" ref="T1145">index('Query Tool'!B:B,match(H1145,'Query Tool'!C:C,0))</f>
        <v>1</v>
      </c>
      <c r="U1145" s="161" t="b">
        <f t="array" ref="U1145">index('Query Tool'!B:B,match(C1145,'Query Tool'!C:C,0))</f>
        <v>0</v>
      </c>
      <c r="V1145" s="161" t="b">
        <f>F1145&gt;='Query Tool'!C$32</f>
        <v>1</v>
      </c>
      <c r="W1145" s="161" t="b">
        <f t="array" ref="W1145">index(Dropdowns!B:B,match(I1145,Dropdowns!A:A,0))</f>
        <v>1</v>
      </c>
      <c r="X1145" s="161" t="b">
        <f t="array" ref="X1145">index('Query Tool'!B:B,match(D1145,'Query Tool'!C:C,0))</f>
        <v>1</v>
      </c>
      <c r="Y1145" s="161" t="str">
        <f t="shared" si="6"/>
        <v>hendege02,2015-16</v>
      </c>
      <c r="Z1145" s="168">
        <f t="array" ref="Z1145">iferror(index(I:I,match($A1145&amp;","&amp;index('Year Conversion'!$A:$A,match($C1145,'Year Conversion'!$B:$B,0)),$Y:$Y,0))-I1145,"")</f>
        <v>1</v>
      </c>
      <c r="AA1145" s="168">
        <f t="array" ref="AA1145">iferror(index(J:J,match($A1145&amp;","&amp;index('Year Conversion'!$A:$A,match($C1145,'Year Conversion'!$B:$B,0)),$Y:$Y,0))-J1145,"")</f>
        <v>-2.697496403</v>
      </c>
      <c r="AB1145" s="168">
        <f t="array" ref="AB1145">iferror(index(K:K,match($A1145&amp;","&amp;index('Year Conversion'!$A:$A,match($C1145,'Year Conversion'!$B:$B,0)),$Y:$Y,0))-K1145,"")</f>
        <v>-1.84659563</v>
      </c>
      <c r="AC1145" s="168" t="str">
        <f t="shared" si="7"/>
        <v>POR,2015-16</v>
      </c>
    </row>
    <row r="1146">
      <c r="A1146" s="161" t="str">
        <f>IFERROR(__xludf.DUMMYFUNCTION("""COMPUTED_VALUE"""),"hansbty01")</f>
        <v>hansbty01</v>
      </c>
      <c r="B1146" s="161" t="str">
        <f>IFERROR(__xludf.DUMMYFUNCTION("""COMPUTED_VALUE"""),"Tyler Hansbrough")</f>
        <v>Tyler Hansbrough</v>
      </c>
      <c r="C1146" s="162" t="str">
        <f>IFERROR(__xludf.DUMMYFUNCTION("""COMPUTED_VALUE"""),"2015-16")</f>
        <v>2015-16</v>
      </c>
      <c r="D1146" s="163" t="str">
        <f>IFERROR(__xludf.DUMMYFUNCTION("""COMPUTED_VALUE"""),"CHO")</f>
        <v>CHO</v>
      </c>
      <c r="E1146" s="164" t="str">
        <f>IFERROR(__xludf.DUMMYFUNCTION("""COMPUTED_VALUE"""),"Roll + Cut Big")</f>
        <v>Roll + Cut Big</v>
      </c>
      <c r="F1146" s="164">
        <f>IFERROR(__xludf.DUMMYFUNCTION("""COMPUTED_VALUE"""),342.658333333333)</f>
        <v>342.6583333</v>
      </c>
      <c r="G1146" s="163">
        <f>IFERROR(__xludf.DUMMYFUNCTION("""COMPUTED_VALUE"""),44.0)</f>
        <v>44</v>
      </c>
      <c r="H1146" s="163" t="str">
        <f>IFERROR(__xludf.DUMMYFUNCTION("""COMPUTED_VALUE"""),"PF")</f>
        <v>PF</v>
      </c>
      <c r="I1146" s="163">
        <f>IFERROR(__xludf.DUMMYFUNCTION("""COMPUTED_VALUE"""),30.0)</f>
        <v>30</v>
      </c>
      <c r="J1146" s="165">
        <f>IFERROR(__xludf.DUMMYFUNCTION("""COMPUTED_VALUE"""),-1.36772269479603)</f>
        <v>-1.367722695</v>
      </c>
      <c r="K1146" s="165">
        <f>IFERROR(__xludf.DUMMYFUNCTION("""COMPUTED_VALUE"""),-1.28486827215812)</f>
        <v>-1.284868272</v>
      </c>
      <c r="L1146" s="165">
        <f>IFERROR(__xludf.DUMMYFUNCTION("""COMPUTED_VALUE"""),-0.0828544226379104)</f>
        <v>-0.08285442264</v>
      </c>
      <c r="M1146" s="166">
        <f t="shared" si="2"/>
        <v>0.2131166202</v>
      </c>
      <c r="N1146" s="167">
        <f t="shared" si="3"/>
        <v>7.787689394</v>
      </c>
      <c r="O1146" s="163">
        <f t="shared" ref="O1146:Q1146" si="1150">rank(I1146,I:I)</f>
        <v>655</v>
      </c>
      <c r="P1146" s="163">
        <f t="shared" si="1150"/>
        <v>2924</v>
      </c>
      <c r="Q1146" s="163">
        <f t="shared" si="1150"/>
        <v>3125</v>
      </c>
      <c r="R1146" s="163">
        <f>IFERROR(__xludf.DUMMYFUNCTION("RANK(M1146,filter(M:M,C:C=C1146))"),342.0)</f>
        <v>342</v>
      </c>
      <c r="S1146" s="161" t="b">
        <f t="shared" si="5"/>
        <v>0</v>
      </c>
      <c r="T1146" s="161" t="b">
        <f t="array" ref="T1146">index('Query Tool'!B:B,match(H1146,'Query Tool'!C:C,0))</f>
        <v>1</v>
      </c>
      <c r="U1146" s="161" t="b">
        <f t="array" ref="U1146">index('Query Tool'!B:B,match(C1146,'Query Tool'!C:C,0))</f>
        <v>0</v>
      </c>
      <c r="V1146" s="161" t="b">
        <f>F1146&gt;='Query Tool'!C$32</f>
        <v>0</v>
      </c>
      <c r="W1146" s="161" t="b">
        <f t="array" ref="W1146">index(Dropdowns!B:B,match(I1146,Dropdowns!A:A,0))</f>
        <v>1</v>
      </c>
      <c r="X1146" s="161" t="b">
        <f t="array" ref="X1146">index('Query Tool'!B:B,match(D1146,'Query Tool'!C:C,0))</f>
        <v>1</v>
      </c>
      <c r="Y1146" s="161" t="str">
        <f t="shared" si="6"/>
        <v>hansbty01,2015-16</v>
      </c>
      <c r="Z1146" s="168" t="str">
        <f t="array" ref="Z1146">iferror(index(I:I,match($A1146&amp;","&amp;index('Year Conversion'!$A:$A,match($C1146,'Year Conversion'!$B:$B,0)),$Y:$Y,0))-I1146,"")</f>
        <v/>
      </c>
      <c r="AA1146" s="168" t="str">
        <f t="array" ref="AA1146">iferror(index(J:J,match($A1146&amp;","&amp;index('Year Conversion'!$A:$A,match($C1146,'Year Conversion'!$B:$B,0)),$Y:$Y,0))-J1146,"")</f>
        <v/>
      </c>
      <c r="AB1146" s="168" t="str">
        <f t="array" ref="AB1146">iferror(index(K:K,match($A1146&amp;","&amp;index('Year Conversion'!$A:$A,match($C1146,'Year Conversion'!$B:$B,0)),$Y:$Y,0))-K1146,"")</f>
        <v/>
      </c>
      <c r="AC1146" s="168" t="str">
        <f t="shared" si="7"/>
        <v>CHO,2015-16</v>
      </c>
    </row>
    <row r="1147">
      <c r="A1147" s="161" t="str">
        <f>IFERROR(__xludf.DUMMYFUNCTION("""COMPUTED_VALUE"""),"johnsja01")</f>
        <v>johnsja01</v>
      </c>
      <c r="B1147" s="161" t="str">
        <f>IFERROR(__xludf.DUMMYFUNCTION("""COMPUTED_VALUE"""),"James Johnson")</f>
        <v>James Johnson</v>
      </c>
      <c r="C1147" s="162" t="str">
        <f>IFERROR(__xludf.DUMMYFUNCTION("""COMPUTED_VALUE"""),"2015-16")</f>
        <v>2015-16</v>
      </c>
      <c r="D1147" s="163" t="str">
        <f>IFERROR(__xludf.DUMMYFUNCTION("""COMPUTED_VALUE"""),"TOR")</f>
        <v>TOR</v>
      </c>
      <c r="E1147" s="164" t="str">
        <f>IFERROR(__xludf.DUMMYFUNCTION("""COMPUTED_VALUE"""),"Stationary Shooter")</f>
        <v>Stationary Shooter</v>
      </c>
      <c r="F1147" s="164">
        <f>IFERROR(__xludf.DUMMYFUNCTION("""COMPUTED_VALUE"""),925.731666666667)</f>
        <v>925.7316667</v>
      </c>
      <c r="G1147" s="163">
        <f>IFERROR(__xludf.DUMMYFUNCTION("""COMPUTED_VALUE"""),57.0)</f>
        <v>57</v>
      </c>
      <c r="H1147" s="163" t="str">
        <f>IFERROR(__xludf.DUMMYFUNCTION("""COMPUTED_VALUE"""),"PF")</f>
        <v>PF</v>
      </c>
      <c r="I1147" s="163">
        <f>IFERROR(__xludf.DUMMYFUNCTION("""COMPUTED_VALUE"""),28.0)</f>
        <v>28</v>
      </c>
      <c r="J1147" s="165">
        <f>IFERROR(__xludf.DUMMYFUNCTION("""COMPUTED_VALUE"""),-1.34092010572242)</f>
        <v>-1.340920106</v>
      </c>
      <c r="K1147" s="165">
        <f>IFERROR(__xludf.DUMMYFUNCTION("""COMPUTED_VALUE"""),-1.34093417297989)</f>
        <v>-1.340934173</v>
      </c>
      <c r="L1147" s="165">
        <f>IFERROR(__xludf.DUMMYFUNCTION("""COMPUTED_VALUE"""),1.4067257468886E-5)</f>
        <v>0.00001406725747</v>
      </c>
      <c r="M1147" s="166">
        <f t="shared" si="2"/>
        <v>0.592360314</v>
      </c>
      <c r="N1147" s="167">
        <f t="shared" si="3"/>
        <v>16.24090643</v>
      </c>
      <c r="O1147" s="163">
        <f t="shared" ref="O1147:Q1147" si="1151">rank(I1147,I:I)</f>
        <v>1090</v>
      </c>
      <c r="P1147" s="163">
        <f t="shared" si="1151"/>
        <v>2902</v>
      </c>
      <c r="Q1147" s="163">
        <f t="shared" si="1151"/>
        <v>3196</v>
      </c>
      <c r="R1147" s="163">
        <f>IFERROR(__xludf.DUMMYFUNCTION("RANK(M1147,filter(M:M,C:C=C1147))"),272.0)</f>
        <v>272</v>
      </c>
      <c r="S1147" s="161" t="b">
        <f t="shared" si="5"/>
        <v>0</v>
      </c>
      <c r="T1147" s="161" t="b">
        <f t="array" ref="T1147">index('Query Tool'!B:B,match(H1147,'Query Tool'!C:C,0))</f>
        <v>1</v>
      </c>
      <c r="U1147" s="161" t="b">
        <f t="array" ref="U1147">index('Query Tool'!B:B,match(C1147,'Query Tool'!C:C,0))</f>
        <v>0</v>
      </c>
      <c r="V1147" s="161" t="b">
        <f>F1147&gt;='Query Tool'!C$32</f>
        <v>1</v>
      </c>
      <c r="W1147" s="161" t="b">
        <f t="array" ref="W1147">index(Dropdowns!B:B,match(I1147,Dropdowns!A:A,0))</f>
        <v>1</v>
      </c>
      <c r="X1147" s="161" t="b">
        <f t="array" ref="X1147">index('Query Tool'!B:B,match(D1147,'Query Tool'!C:C,0))</f>
        <v>1</v>
      </c>
      <c r="Y1147" s="161" t="str">
        <f t="shared" si="6"/>
        <v>johnsja01,2015-16</v>
      </c>
      <c r="Z1147" s="168">
        <f t="array" ref="Z1147">iferror(index(I:I,match($A1147&amp;","&amp;index('Year Conversion'!$A:$A,match($C1147,'Year Conversion'!$B:$B,0)),$Y:$Y,0))-I1147,"")</f>
        <v>1</v>
      </c>
      <c r="AA1147" s="168">
        <f t="array" ref="AA1147">iferror(index(J:J,match($A1147&amp;","&amp;index('Year Conversion'!$A:$A,match($C1147,'Year Conversion'!$B:$B,0)),$Y:$Y,0))-J1147,"")</f>
        <v>2.973890924</v>
      </c>
      <c r="AB1147" s="168">
        <f t="array" ref="AB1147">iferror(index(K:K,match($A1147&amp;","&amp;index('Year Conversion'!$A:$A,match($C1147,'Year Conversion'!$B:$B,0)),$Y:$Y,0))-K1147,"")</f>
        <v>1.298805561</v>
      </c>
      <c r="AC1147" s="168" t="str">
        <f t="shared" si="7"/>
        <v>TOR,2015-16</v>
      </c>
    </row>
    <row r="1148">
      <c r="A1148" s="161" t="str">
        <f>IFERROR(__xludf.DUMMYFUNCTION("""COMPUTED_VALUE"""),"holidjr01")</f>
        <v>holidjr01</v>
      </c>
      <c r="B1148" s="161" t="str">
        <f>IFERROR(__xludf.DUMMYFUNCTION("""COMPUTED_VALUE"""),"Jrue Holiday")</f>
        <v>Jrue Holiday</v>
      </c>
      <c r="C1148" s="162" t="str">
        <f>IFERROR(__xludf.DUMMYFUNCTION("""COMPUTED_VALUE"""),"2015-16")</f>
        <v>2015-16</v>
      </c>
      <c r="D1148" s="163" t="str">
        <f>IFERROR(__xludf.DUMMYFUNCTION("""COMPUTED_VALUE"""),"NOP")</f>
        <v>NOP</v>
      </c>
      <c r="E1148" s="164" t="str">
        <f>IFERROR(__xludf.DUMMYFUNCTION("""COMPUTED_VALUE"""),"Slasher")</f>
        <v>Slasher</v>
      </c>
      <c r="F1148" s="164">
        <f>IFERROR(__xludf.DUMMYFUNCTION("""COMPUTED_VALUE"""),1830.88166666667)</f>
        <v>1830.881667</v>
      </c>
      <c r="G1148" s="163">
        <f>IFERROR(__xludf.DUMMYFUNCTION("""COMPUTED_VALUE"""),65.0)</f>
        <v>65</v>
      </c>
      <c r="H1148" s="163" t="str">
        <f>IFERROR(__xludf.DUMMYFUNCTION("""COMPUTED_VALUE"""),"PG")</f>
        <v>PG</v>
      </c>
      <c r="I1148" s="163">
        <f>IFERROR(__xludf.DUMMYFUNCTION("""COMPUTED_VALUE"""),25.0)</f>
        <v>25</v>
      </c>
      <c r="J1148" s="165">
        <f>IFERROR(__xludf.DUMMYFUNCTION("""COMPUTED_VALUE"""),1.65683765462758)</f>
        <v>1.656837655</v>
      </c>
      <c r="K1148" s="165">
        <f>IFERROR(__xludf.DUMMYFUNCTION("""COMPUTED_VALUE"""),2.09607339706847)</f>
        <v>2.096073397</v>
      </c>
      <c r="L1148" s="165">
        <f>IFERROR(__xludf.DUMMYFUNCTION("""COMPUTED_VALUE"""),-0.439235742440894)</f>
        <v>-0.4392357424</v>
      </c>
      <c r="M1148" s="166">
        <f t="shared" si="2"/>
        <v>4.859982712</v>
      </c>
      <c r="N1148" s="167">
        <f t="shared" si="3"/>
        <v>28.16741026</v>
      </c>
      <c r="O1148" s="163">
        <f t="shared" ref="O1148:Q1148" si="1152">rank(I1148,I:I)</f>
        <v>1995</v>
      </c>
      <c r="P1148" s="163">
        <f t="shared" si="1152"/>
        <v>412</v>
      </c>
      <c r="Q1148" s="163">
        <f t="shared" si="1152"/>
        <v>217</v>
      </c>
      <c r="R1148" s="163">
        <f>IFERROR(__xludf.DUMMYFUNCTION("RANK(M1148,filter(M:M,C:C=C1148))"),68.0)</f>
        <v>68</v>
      </c>
      <c r="S1148" s="161" t="b">
        <f t="shared" si="5"/>
        <v>0</v>
      </c>
      <c r="T1148" s="161" t="b">
        <f t="array" ref="T1148">index('Query Tool'!B:B,match(H1148,'Query Tool'!C:C,0))</f>
        <v>1</v>
      </c>
      <c r="U1148" s="161" t="b">
        <f t="array" ref="U1148">index('Query Tool'!B:B,match(C1148,'Query Tool'!C:C,0))</f>
        <v>0</v>
      </c>
      <c r="V1148" s="161" t="b">
        <f>F1148&gt;='Query Tool'!C$32</f>
        <v>1</v>
      </c>
      <c r="W1148" s="161" t="b">
        <f t="array" ref="W1148">index(Dropdowns!B:B,match(I1148,Dropdowns!A:A,0))</f>
        <v>1</v>
      </c>
      <c r="X1148" s="161" t="b">
        <f t="array" ref="X1148">index('Query Tool'!B:B,match(D1148,'Query Tool'!C:C,0))</f>
        <v>1</v>
      </c>
      <c r="Y1148" s="161" t="str">
        <f t="shared" si="6"/>
        <v>holidjr01,2015-16</v>
      </c>
      <c r="Z1148" s="168">
        <f t="array" ref="Z1148">iferror(index(I:I,match($A1148&amp;","&amp;index('Year Conversion'!$A:$A,match($C1148,'Year Conversion'!$B:$B,0)),$Y:$Y,0))-I1148,"")</f>
        <v>1</v>
      </c>
      <c r="AA1148" s="168">
        <f t="array" ref="AA1148">iferror(index(J:J,match($A1148&amp;","&amp;index('Year Conversion'!$A:$A,match($C1148,'Year Conversion'!$B:$B,0)),$Y:$Y,0))-J1148,"")</f>
        <v>-0.749093129</v>
      </c>
      <c r="AB1148" s="168">
        <f t="array" ref="AB1148">iferror(index(K:K,match($A1148&amp;","&amp;index('Year Conversion'!$A:$A,match($C1148,'Year Conversion'!$B:$B,0)),$Y:$Y,0))-K1148,"")</f>
        <v>-1.653759784</v>
      </c>
      <c r="AC1148" s="168" t="str">
        <f t="shared" si="7"/>
        <v>NOP,2015-16</v>
      </c>
    </row>
    <row r="1149">
      <c r="A1149" s="161" t="str">
        <f>IFERROR(__xludf.DUMMYFUNCTION("""COMPUTED_VALUE"""),"lawsoty01")</f>
        <v>lawsoty01</v>
      </c>
      <c r="B1149" s="161" t="str">
        <f>IFERROR(__xludf.DUMMYFUNCTION("""COMPUTED_VALUE"""),"Ty Lawson")</f>
        <v>Ty Lawson</v>
      </c>
      <c r="C1149" s="162" t="str">
        <f>IFERROR(__xludf.DUMMYFUNCTION("""COMPUTED_VALUE"""),"2015-16")</f>
        <v>2015-16</v>
      </c>
      <c r="D1149" s="163" t="str">
        <f>IFERROR(__xludf.DUMMYFUNCTION("""COMPUTED_VALUE"""),"TOT")</f>
        <v>TOT</v>
      </c>
      <c r="E1149" s="164" t="str">
        <f>IFERROR(__xludf.DUMMYFUNCTION("""COMPUTED_VALUE"""),"Primary Ball Handler")</f>
        <v>Primary Ball Handler</v>
      </c>
      <c r="F1149" s="164">
        <f>IFERROR(__xludf.DUMMYFUNCTION("""COMPUTED_VALUE"""),1411.19166666667)</f>
        <v>1411.191667</v>
      </c>
      <c r="G1149" s="163">
        <f>IFERROR(__xludf.DUMMYFUNCTION("""COMPUTED_VALUE"""),66.0)</f>
        <v>66</v>
      </c>
      <c r="H1149" s="163" t="str">
        <f>IFERROR(__xludf.DUMMYFUNCTION("""COMPUTED_VALUE"""),"PG")</f>
        <v>PG</v>
      </c>
      <c r="I1149" s="163">
        <f>IFERROR(__xludf.DUMMYFUNCTION("""COMPUTED_VALUE"""),28.0)</f>
        <v>28</v>
      </c>
      <c r="J1149" s="165">
        <f>IFERROR(__xludf.DUMMYFUNCTION("""COMPUTED_VALUE"""),-3.54010353529433)</f>
        <v>-3.540103535</v>
      </c>
      <c r="K1149" s="165">
        <f>IFERROR(__xludf.DUMMYFUNCTION("""COMPUTED_VALUE"""),-2.2038999189933)</f>
        <v>-2.203899919</v>
      </c>
      <c r="L1149" s="165">
        <f>IFERROR(__xludf.DUMMYFUNCTION("""COMPUTED_VALUE"""),-1.33620361630102)</f>
        <v>-1.336203616</v>
      </c>
      <c r="M1149" s="166">
        <f t="shared" si="2"/>
        <v>-1.135065839</v>
      </c>
      <c r="N1149" s="167">
        <f t="shared" si="3"/>
        <v>21.38169192</v>
      </c>
      <c r="O1149" s="163">
        <f t="shared" ref="O1149:Q1149" si="1153">rank(I1149,I:I)</f>
        <v>1090</v>
      </c>
      <c r="P1149" s="163">
        <f t="shared" si="1153"/>
        <v>3969</v>
      </c>
      <c r="Q1149" s="163">
        <f t="shared" si="1153"/>
        <v>3802</v>
      </c>
      <c r="R1149" s="163">
        <f>IFERROR(__xludf.DUMMYFUNCTION("RANK(M1149,filter(M:M,C:C=C1149))"),468.0)</f>
        <v>468</v>
      </c>
      <c r="S1149" s="161" t="b">
        <f t="shared" si="5"/>
        <v>0</v>
      </c>
      <c r="T1149" s="161" t="b">
        <f t="array" ref="T1149">index('Query Tool'!B:B,match(H1149,'Query Tool'!C:C,0))</f>
        <v>1</v>
      </c>
      <c r="U1149" s="161" t="b">
        <f t="array" ref="U1149">index('Query Tool'!B:B,match(C1149,'Query Tool'!C:C,0))</f>
        <v>0</v>
      </c>
      <c r="V1149" s="161" t="b">
        <f>F1149&gt;='Query Tool'!C$32</f>
        <v>1</v>
      </c>
      <c r="W1149" s="161" t="b">
        <f t="array" ref="W1149">index(Dropdowns!B:B,match(I1149,Dropdowns!A:A,0))</f>
        <v>1</v>
      </c>
      <c r="X1149" s="161" t="b">
        <f t="array" ref="X1149">index('Query Tool'!B:B,match(D1149,'Query Tool'!C:C,0))</f>
        <v>1</v>
      </c>
      <c r="Y1149" s="161" t="str">
        <f t="shared" si="6"/>
        <v>lawsoty01,2015-16</v>
      </c>
      <c r="Z1149" s="168">
        <f t="array" ref="Z1149">iferror(index(I:I,match($A1149&amp;","&amp;index('Year Conversion'!$A:$A,match($C1149,'Year Conversion'!$B:$B,0)),$Y:$Y,0))-I1149,"")</f>
        <v>1</v>
      </c>
      <c r="AA1149" s="168">
        <f t="array" ref="AA1149">iferror(index(J:J,match($A1149&amp;","&amp;index('Year Conversion'!$A:$A,match($C1149,'Year Conversion'!$B:$B,0)),$Y:$Y,0))-J1149,"")</f>
        <v>3.090498449</v>
      </c>
      <c r="AB1149" s="168">
        <f t="array" ref="AB1149">iferror(index(K:K,match($A1149&amp;","&amp;index('Year Conversion'!$A:$A,match($C1149,'Year Conversion'!$B:$B,0)),$Y:$Y,0))-K1149,"")</f>
        <v>2.589599626</v>
      </c>
      <c r="AC1149" s="168" t="str">
        <f t="shared" si="7"/>
        <v>TOT,2015-16</v>
      </c>
    </row>
    <row r="1150">
      <c r="A1150" s="161" t="str">
        <f>IFERROR(__xludf.DUMMYFUNCTION("""COMPUTED_VALUE"""),"teaguje01")</f>
        <v>teaguje01</v>
      </c>
      <c r="B1150" s="161" t="str">
        <f>IFERROR(__xludf.DUMMYFUNCTION("""COMPUTED_VALUE"""),"Jeff Teague")</f>
        <v>Jeff Teague</v>
      </c>
      <c r="C1150" s="162" t="str">
        <f>IFERROR(__xludf.DUMMYFUNCTION("""COMPUTED_VALUE"""),"2015-16")</f>
        <v>2015-16</v>
      </c>
      <c r="D1150" s="163" t="str">
        <f>IFERROR(__xludf.DUMMYFUNCTION("""COMPUTED_VALUE"""),"ATL")</f>
        <v>ATL</v>
      </c>
      <c r="E1150" s="164" t="str">
        <f>IFERROR(__xludf.DUMMYFUNCTION("""COMPUTED_VALUE"""),"Slasher")</f>
        <v>Slasher</v>
      </c>
      <c r="F1150" s="164">
        <f>IFERROR(__xludf.DUMMYFUNCTION("""COMPUTED_VALUE"""),2254.70166666667)</f>
        <v>2254.701667</v>
      </c>
      <c r="G1150" s="163">
        <f>IFERROR(__xludf.DUMMYFUNCTION("""COMPUTED_VALUE"""),79.0)</f>
        <v>79</v>
      </c>
      <c r="H1150" s="163" t="str">
        <f>IFERROR(__xludf.DUMMYFUNCTION("""COMPUTED_VALUE"""),"PG")</f>
        <v>PG</v>
      </c>
      <c r="I1150" s="163">
        <f>IFERROR(__xludf.DUMMYFUNCTION("""COMPUTED_VALUE"""),27.0)</f>
        <v>27</v>
      </c>
      <c r="J1150" s="165">
        <f>IFERROR(__xludf.DUMMYFUNCTION("""COMPUTED_VALUE"""),0.158108997700201)</f>
        <v>0.1581089977</v>
      </c>
      <c r="K1150" s="165">
        <f>IFERROR(__xludf.DUMMYFUNCTION("""COMPUTED_VALUE"""),0.646312065528181)</f>
        <v>0.6463120655</v>
      </c>
      <c r="L1150" s="165">
        <f>IFERROR(__xludf.DUMMYFUNCTION("""COMPUTED_VALUE"""),-0.48820306782798)</f>
        <v>-0.4882030678</v>
      </c>
      <c r="M1150" s="166">
        <f t="shared" si="2"/>
        <v>3.716331054</v>
      </c>
      <c r="N1150" s="167">
        <f t="shared" si="3"/>
        <v>28.54052743</v>
      </c>
      <c r="O1150" s="163">
        <f t="shared" ref="O1150:Q1150" si="1154">rank(I1150,I:I)</f>
        <v>1366</v>
      </c>
      <c r="P1150" s="163">
        <f t="shared" si="1154"/>
        <v>1119</v>
      </c>
      <c r="Q1150" s="163">
        <f t="shared" si="1154"/>
        <v>683</v>
      </c>
      <c r="R1150" s="163">
        <f>IFERROR(__xludf.DUMMYFUNCTION("RANK(M1150,filter(M:M,C:C=C1150))"),93.0)</f>
        <v>93</v>
      </c>
      <c r="S1150" s="161" t="b">
        <f t="shared" si="5"/>
        <v>0</v>
      </c>
      <c r="T1150" s="161" t="b">
        <f t="array" ref="T1150">index('Query Tool'!B:B,match(H1150,'Query Tool'!C:C,0))</f>
        <v>1</v>
      </c>
      <c r="U1150" s="161" t="b">
        <f t="array" ref="U1150">index('Query Tool'!B:B,match(C1150,'Query Tool'!C:C,0))</f>
        <v>0</v>
      </c>
      <c r="V1150" s="161" t="b">
        <f>F1150&gt;='Query Tool'!C$32</f>
        <v>1</v>
      </c>
      <c r="W1150" s="161" t="b">
        <f t="array" ref="W1150">index(Dropdowns!B:B,match(I1150,Dropdowns!A:A,0))</f>
        <v>1</v>
      </c>
      <c r="X1150" s="161" t="b">
        <f t="array" ref="X1150">index('Query Tool'!B:B,match(D1150,'Query Tool'!C:C,0))</f>
        <v>1</v>
      </c>
      <c r="Y1150" s="161" t="str">
        <f t="shared" si="6"/>
        <v>teaguje01,2015-16</v>
      </c>
      <c r="Z1150" s="168">
        <f t="array" ref="Z1150">iferror(index(I:I,match($A1150&amp;","&amp;index('Year Conversion'!$A:$A,match($C1150,'Year Conversion'!$B:$B,0)),$Y:$Y,0))-I1150,"")</f>
        <v>1</v>
      </c>
      <c r="AA1150" s="168">
        <f t="array" ref="AA1150">iferror(index(J:J,match($A1150&amp;","&amp;index('Year Conversion'!$A:$A,match($C1150,'Year Conversion'!$B:$B,0)),$Y:$Y,0))-J1150,"")</f>
        <v>1.463831751</v>
      </c>
      <c r="AB1150" s="168">
        <f t="array" ref="AB1150">iferror(index(K:K,match($A1150&amp;","&amp;index('Year Conversion'!$A:$A,match($C1150,'Year Conversion'!$B:$B,0)),$Y:$Y,0))-K1150,"")</f>
        <v>1.025076627</v>
      </c>
      <c r="AC1150" s="168" t="str">
        <f t="shared" si="7"/>
        <v>ATL,2015-16</v>
      </c>
    </row>
    <row r="1151">
      <c r="A1151" s="161" t="str">
        <f>IFERROR(__xludf.DUMMYFUNCTION("""COMPUTED_VALUE"""),"collida01")</f>
        <v>collida01</v>
      </c>
      <c r="B1151" s="161" t="str">
        <f>IFERROR(__xludf.DUMMYFUNCTION("""COMPUTED_VALUE"""),"Darren Collison")</f>
        <v>Darren Collison</v>
      </c>
      <c r="C1151" s="162" t="str">
        <f>IFERROR(__xludf.DUMMYFUNCTION("""COMPUTED_VALUE"""),"2015-16")</f>
        <v>2015-16</v>
      </c>
      <c r="D1151" s="163" t="str">
        <f>IFERROR(__xludf.DUMMYFUNCTION("""COMPUTED_VALUE"""),"SAC")</f>
        <v>SAC</v>
      </c>
      <c r="E1151" s="164" t="str">
        <f>IFERROR(__xludf.DUMMYFUNCTION("""COMPUTED_VALUE"""),"Primary Ball Handler")</f>
        <v>Primary Ball Handler</v>
      </c>
      <c r="F1151" s="164">
        <f>IFERROR(__xludf.DUMMYFUNCTION("""COMPUTED_VALUE"""),2218.84666666667)</f>
        <v>2218.846667</v>
      </c>
      <c r="G1151" s="163">
        <f>IFERROR(__xludf.DUMMYFUNCTION("""COMPUTED_VALUE"""),74.0)</f>
        <v>74</v>
      </c>
      <c r="H1151" s="163" t="str">
        <f>IFERROR(__xludf.DUMMYFUNCTION("""COMPUTED_VALUE"""),"PG")</f>
        <v>PG</v>
      </c>
      <c r="I1151" s="163">
        <f>IFERROR(__xludf.DUMMYFUNCTION("""COMPUTED_VALUE"""),28.0)</f>
        <v>28</v>
      </c>
      <c r="J1151" s="165">
        <f>IFERROR(__xludf.DUMMYFUNCTION("""COMPUTED_VALUE"""),0.127604021533639)</f>
        <v>0.1276040215</v>
      </c>
      <c r="K1151" s="165">
        <f>IFERROR(__xludf.DUMMYFUNCTION("""COMPUTED_VALUE"""),1.72360558118756)</f>
        <v>1.723605581</v>
      </c>
      <c r="L1151" s="165">
        <f>IFERROR(__xludf.DUMMYFUNCTION("""COMPUTED_VALUE"""),-1.59600155965392)</f>
        <v>-1.59600156</v>
      </c>
      <c r="M1151" s="166">
        <f t="shared" si="2"/>
        <v>3.611603523</v>
      </c>
      <c r="N1151" s="167">
        <f t="shared" si="3"/>
        <v>29.98441441</v>
      </c>
      <c r="O1151" s="163">
        <f t="shared" ref="O1151:Q1151" si="1155">rank(I1151,I:I)</f>
        <v>1090</v>
      </c>
      <c r="P1151" s="163">
        <f t="shared" si="1155"/>
        <v>1154</v>
      </c>
      <c r="Q1151" s="163">
        <f t="shared" si="1155"/>
        <v>269</v>
      </c>
      <c r="R1151" s="163">
        <f>IFERROR(__xludf.DUMMYFUNCTION("RANK(M1151,filter(M:M,C:C=C1151))"),97.0)</f>
        <v>97</v>
      </c>
      <c r="S1151" s="161" t="b">
        <f t="shared" si="5"/>
        <v>0</v>
      </c>
      <c r="T1151" s="161" t="b">
        <f t="array" ref="T1151">index('Query Tool'!B:B,match(H1151,'Query Tool'!C:C,0))</f>
        <v>1</v>
      </c>
      <c r="U1151" s="161" t="b">
        <f t="array" ref="U1151">index('Query Tool'!B:B,match(C1151,'Query Tool'!C:C,0))</f>
        <v>0</v>
      </c>
      <c r="V1151" s="161" t="b">
        <f>F1151&gt;='Query Tool'!C$32</f>
        <v>1</v>
      </c>
      <c r="W1151" s="161" t="b">
        <f t="array" ref="W1151">index(Dropdowns!B:B,match(I1151,Dropdowns!A:A,0))</f>
        <v>1</v>
      </c>
      <c r="X1151" s="161" t="b">
        <f t="array" ref="X1151">index('Query Tool'!B:B,match(D1151,'Query Tool'!C:C,0))</f>
        <v>1</v>
      </c>
      <c r="Y1151" s="161" t="str">
        <f t="shared" si="6"/>
        <v>collida01,2015-16</v>
      </c>
      <c r="Z1151" s="168">
        <f t="array" ref="Z1151">iferror(index(I:I,match($A1151&amp;","&amp;index('Year Conversion'!$A:$A,match($C1151,'Year Conversion'!$B:$B,0)),$Y:$Y,0))-I1151,"")</f>
        <v>1</v>
      </c>
      <c r="AA1151" s="168">
        <f t="array" ref="AA1151">iferror(index(J:J,match($A1151&amp;","&amp;index('Year Conversion'!$A:$A,match($C1151,'Year Conversion'!$B:$B,0)),$Y:$Y,0))-J1151,"")</f>
        <v>-0.506898839</v>
      </c>
      <c r="AB1151" s="168">
        <f t="array" ref="AB1151">iferror(index(K:K,match($A1151&amp;","&amp;index('Year Conversion'!$A:$A,match($C1151,'Year Conversion'!$B:$B,0)),$Y:$Y,0))-K1151,"")</f>
        <v>-1.283816055</v>
      </c>
      <c r="AC1151" s="168" t="str">
        <f t="shared" si="7"/>
        <v>SAC,2015-16</v>
      </c>
    </row>
    <row r="1152">
      <c r="A1152" s="161" t="str">
        <f>IFERROR(__xludf.DUMMYFUNCTION("""COMPUTED_VALUE"""),"casspom01")</f>
        <v>casspom01</v>
      </c>
      <c r="B1152" s="161" t="str">
        <f>IFERROR(__xludf.DUMMYFUNCTION("""COMPUTED_VALUE"""),"Omri Casspi")</f>
        <v>Omri Casspi</v>
      </c>
      <c r="C1152" s="162" t="str">
        <f>IFERROR(__xludf.DUMMYFUNCTION("""COMPUTED_VALUE"""),"2015-16")</f>
        <v>2015-16</v>
      </c>
      <c r="D1152" s="163" t="str">
        <f>IFERROR(__xludf.DUMMYFUNCTION("""COMPUTED_VALUE"""),"SAC")</f>
        <v>SAC</v>
      </c>
      <c r="E1152" s="164" t="str">
        <f>IFERROR(__xludf.DUMMYFUNCTION("""COMPUTED_VALUE"""),"Stationary Shooter")</f>
        <v>Stationary Shooter</v>
      </c>
      <c r="F1152" s="164">
        <f>IFERROR(__xludf.DUMMYFUNCTION("""COMPUTED_VALUE"""),1880.405)</f>
        <v>1880.405</v>
      </c>
      <c r="G1152" s="163">
        <f>IFERROR(__xludf.DUMMYFUNCTION("""COMPUTED_VALUE"""),69.0)</f>
        <v>69</v>
      </c>
      <c r="H1152" s="163" t="str">
        <f>IFERROR(__xludf.DUMMYFUNCTION("""COMPUTED_VALUE"""),"PF")</f>
        <v>PF</v>
      </c>
      <c r="I1152" s="163">
        <f>IFERROR(__xludf.DUMMYFUNCTION("""COMPUTED_VALUE"""),27.0)</f>
        <v>27</v>
      </c>
      <c r="J1152" s="165">
        <f>IFERROR(__xludf.DUMMYFUNCTION("""COMPUTED_VALUE"""),0.137107578754772)</f>
        <v>0.1371075788</v>
      </c>
      <c r="K1152" s="165">
        <f>IFERROR(__xludf.DUMMYFUNCTION("""COMPUTED_VALUE"""),0.345260951375366)</f>
        <v>0.3452609514</v>
      </c>
      <c r="L1152" s="165">
        <f>IFERROR(__xludf.DUMMYFUNCTION("""COMPUTED_VALUE"""),-0.208153372620594)</f>
        <v>-0.2081533726</v>
      </c>
      <c r="M1152" s="166">
        <f t="shared" si="2"/>
        <v>3.072771288</v>
      </c>
      <c r="N1152" s="167">
        <f t="shared" si="3"/>
        <v>27.25224638</v>
      </c>
      <c r="O1152" s="163">
        <f t="shared" ref="O1152:Q1152" si="1156">rank(I1152,I:I)</f>
        <v>1366</v>
      </c>
      <c r="P1152" s="163">
        <f t="shared" si="1156"/>
        <v>1148</v>
      </c>
      <c r="Q1152" s="163">
        <f t="shared" si="1156"/>
        <v>869</v>
      </c>
      <c r="R1152" s="163">
        <f>IFERROR(__xludf.DUMMYFUNCTION("RANK(M1152,filter(M:M,C:C=C1152))"),117.0)</f>
        <v>117</v>
      </c>
      <c r="S1152" s="161" t="b">
        <f t="shared" si="5"/>
        <v>0</v>
      </c>
      <c r="T1152" s="161" t="b">
        <f t="array" ref="T1152">index('Query Tool'!B:B,match(H1152,'Query Tool'!C:C,0))</f>
        <v>1</v>
      </c>
      <c r="U1152" s="161" t="b">
        <f t="array" ref="U1152">index('Query Tool'!B:B,match(C1152,'Query Tool'!C:C,0))</f>
        <v>0</v>
      </c>
      <c r="V1152" s="161" t="b">
        <f>F1152&gt;='Query Tool'!C$32</f>
        <v>1</v>
      </c>
      <c r="W1152" s="161" t="b">
        <f t="array" ref="W1152">index(Dropdowns!B:B,match(I1152,Dropdowns!A:A,0))</f>
        <v>1</v>
      </c>
      <c r="X1152" s="161" t="b">
        <f t="array" ref="X1152">index('Query Tool'!B:B,match(D1152,'Query Tool'!C:C,0))</f>
        <v>1</v>
      </c>
      <c r="Y1152" s="161" t="str">
        <f t="shared" si="6"/>
        <v>casspom01,2015-16</v>
      </c>
      <c r="Z1152" s="168">
        <f t="array" ref="Z1152">iferror(index(I:I,match($A1152&amp;","&amp;index('Year Conversion'!$A:$A,match($C1152,'Year Conversion'!$B:$B,0)),$Y:$Y,0))-I1152,"")</f>
        <v>1</v>
      </c>
      <c r="AA1152" s="168">
        <f t="array" ref="AA1152">iferror(index(J:J,match($A1152&amp;","&amp;index('Year Conversion'!$A:$A,match($C1152,'Year Conversion'!$B:$B,0)),$Y:$Y,0))-J1152,"")</f>
        <v>-1.236166001</v>
      </c>
      <c r="AB1152" s="168">
        <f t="array" ref="AB1152">iferror(index(K:K,match($A1152&amp;","&amp;index('Year Conversion'!$A:$A,match($C1152,'Year Conversion'!$B:$B,0)),$Y:$Y,0))-K1152,"")</f>
        <v>-1.4000098</v>
      </c>
      <c r="AC1152" s="168" t="str">
        <f t="shared" si="7"/>
        <v>SAC,2015-16</v>
      </c>
    </row>
    <row r="1153">
      <c r="A1153" s="161" t="str">
        <f>IFERROR(__xludf.DUMMYFUNCTION("""COMPUTED_VALUE"""),"gibsota01")</f>
        <v>gibsota01</v>
      </c>
      <c r="B1153" s="161" t="str">
        <f>IFERROR(__xludf.DUMMYFUNCTION("""COMPUTED_VALUE"""),"Taj Gibson")</f>
        <v>Taj Gibson</v>
      </c>
      <c r="C1153" s="162" t="str">
        <f>IFERROR(__xludf.DUMMYFUNCTION("""COMPUTED_VALUE"""),"2015-16")</f>
        <v>2015-16</v>
      </c>
      <c r="D1153" s="163" t="str">
        <f>IFERROR(__xludf.DUMMYFUNCTION("""COMPUTED_VALUE"""),"CHI")</f>
        <v>CHI</v>
      </c>
      <c r="E1153" s="164" t="str">
        <f>IFERROR(__xludf.DUMMYFUNCTION("""COMPUTED_VALUE"""),"Post Scorer")</f>
        <v>Post Scorer</v>
      </c>
      <c r="F1153" s="164">
        <f>IFERROR(__xludf.DUMMYFUNCTION("""COMPUTED_VALUE"""),1935.55833333333)</f>
        <v>1935.558333</v>
      </c>
      <c r="G1153" s="163">
        <f>IFERROR(__xludf.DUMMYFUNCTION("""COMPUTED_VALUE"""),73.0)</f>
        <v>73</v>
      </c>
      <c r="H1153" s="163" t="str">
        <f>IFERROR(__xludf.DUMMYFUNCTION("""COMPUTED_VALUE"""),"PF")</f>
        <v>PF</v>
      </c>
      <c r="I1153" s="163">
        <f>IFERROR(__xludf.DUMMYFUNCTION("""COMPUTED_VALUE"""),30.0)</f>
        <v>30</v>
      </c>
      <c r="J1153" s="165">
        <f>IFERROR(__xludf.DUMMYFUNCTION("""COMPUTED_VALUE"""),-0.441049498577224)</f>
        <v>-0.4410494986</v>
      </c>
      <c r="K1153" s="165">
        <f>IFERROR(__xludf.DUMMYFUNCTION("""COMPUTED_VALUE"""),-0.813120395974838)</f>
        <v>-0.813120396</v>
      </c>
      <c r="L1153" s="165">
        <f>IFERROR(__xludf.DUMMYFUNCTION("""COMPUTED_VALUE"""),0.372070897397614)</f>
        <v>0.3720708974</v>
      </c>
      <c r="M1153" s="166">
        <f t="shared" si="2"/>
        <v>2.408600881</v>
      </c>
      <c r="N1153" s="167">
        <f t="shared" si="3"/>
        <v>26.51449772</v>
      </c>
      <c r="O1153" s="163">
        <f t="shared" ref="O1153:Q1153" si="1157">rank(I1153,I:I)</f>
        <v>655</v>
      </c>
      <c r="P1153" s="163">
        <f t="shared" si="1157"/>
        <v>1767</v>
      </c>
      <c r="Q1153" s="163">
        <f t="shared" si="1157"/>
        <v>2572</v>
      </c>
      <c r="R1153" s="163">
        <f>IFERROR(__xludf.DUMMYFUNCTION("RANK(M1153,filter(M:M,C:C=C1153))"),137.0)</f>
        <v>137</v>
      </c>
      <c r="S1153" s="161" t="b">
        <f t="shared" si="5"/>
        <v>0</v>
      </c>
      <c r="T1153" s="161" t="b">
        <f t="array" ref="T1153">index('Query Tool'!B:B,match(H1153,'Query Tool'!C:C,0))</f>
        <v>1</v>
      </c>
      <c r="U1153" s="161" t="b">
        <f t="array" ref="U1153">index('Query Tool'!B:B,match(C1153,'Query Tool'!C:C,0))</f>
        <v>0</v>
      </c>
      <c r="V1153" s="161" t="b">
        <f>F1153&gt;='Query Tool'!C$32</f>
        <v>1</v>
      </c>
      <c r="W1153" s="161" t="b">
        <f t="array" ref="W1153">index(Dropdowns!B:B,match(I1153,Dropdowns!A:A,0))</f>
        <v>1</v>
      </c>
      <c r="X1153" s="161" t="b">
        <f t="array" ref="X1153">index('Query Tool'!B:B,match(D1153,'Query Tool'!C:C,0))</f>
        <v>1</v>
      </c>
      <c r="Y1153" s="161" t="str">
        <f t="shared" si="6"/>
        <v>gibsota01,2015-16</v>
      </c>
      <c r="Z1153" s="168">
        <f t="array" ref="Z1153">iferror(index(I:I,match($A1153&amp;","&amp;index('Year Conversion'!$A:$A,match($C1153,'Year Conversion'!$B:$B,0)),$Y:$Y,0))-I1153,"")</f>
        <v>1</v>
      </c>
      <c r="AA1153" s="168">
        <f t="array" ref="AA1153">iferror(index(J:J,match($A1153&amp;","&amp;index('Year Conversion'!$A:$A,match($C1153,'Year Conversion'!$B:$B,0)),$Y:$Y,0))-J1153,"")</f>
        <v>0.9121162999</v>
      </c>
      <c r="AB1153" s="168">
        <f t="array" ref="AB1153">iferror(index(K:K,match($A1153&amp;","&amp;index('Year Conversion'!$A:$A,match($C1153,'Year Conversion'!$B:$B,0)),$Y:$Y,0))-K1153,"")</f>
        <v>0.03038778149</v>
      </c>
      <c r="AC1153" s="168" t="str">
        <f t="shared" si="7"/>
        <v>CHI,2015-16</v>
      </c>
    </row>
    <row r="1154">
      <c r="A1154" s="161" t="str">
        <f>IFERROR(__xludf.DUMMYFUNCTION("""COMPUTED_VALUE"""),"carrode01")</f>
        <v>carrode01</v>
      </c>
      <c r="B1154" s="161" t="str">
        <f>IFERROR(__xludf.DUMMYFUNCTION("""COMPUTED_VALUE"""),"DeMarre Carroll")</f>
        <v>DeMarre Carroll</v>
      </c>
      <c r="C1154" s="162" t="str">
        <f>IFERROR(__xludf.DUMMYFUNCTION("""COMPUTED_VALUE"""),"2015-16")</f>
        <v>2015-16</v>
      </c>
      <c r="D1154" s="163" t="str">
        <f>IFERROR(__xludf.DUMMYFUNCTION("""COMPUTED_VALUE"""),"TOR")</f>
        <v>TOR</v>
      </c>
      <c r="E1154" s="164" t="str">
        <f>IFERROR(__xludf.DUMMYFUNCTION("""COMPUTED_VALUE"""),"Stationary Shooter")</f>
        <v>Stationary Shooter</v>
      </c>
      <c r="F1154" s="164">
        <f>IFERROR(__xludf.DUMMYFUNCTION("""COMPUTED_VALUE"""),786.441666666667)</f>
        <v>786.4416667</v>
      </c>
      <c r="G1154" s="163">
        <f>IFERROR(__xludf.DUMMYFUNCTION("""COMPUTED_VALUE"""),26.0)</f>
        <v>26</v>
      </c>
      <c r="H1154" s="163" t="str">
        <f>IFERROR(__xludf.DUMMYFUNCTION("""COMPUTED_VALUE"""),"SF")</f>
        <v>SF</v>
      </c>
      <c r="I1154" s="163">
        <f>IFERROR(__xludf.DUMMYFUNCTION("""COMPUTED_VALUE"""),29.0)</f>
        <v>29</v>
      </c>
      <c r="J1154" s="165">
        <f>IFERROR(__xludf.DUMMYFUNCTION("""COMPUTED_VALUE"""),-0.819487784231287)</f>
        <v>-0.8194877842</v>
      </c>
      <c r="K1154" s="165">
        <f>IFERROR(__xludf.DUMMYFUNCTION("""COMPUTED_VALUE"""),-1.22836818142296)</f>
        <v>-1.228368181</v>
      </c>
      <c r="L1154" s="165">
        <f>IFERROR(__xludf.DUMMYFUNCTION("""COMPUTED_VALUE"""),0.408880397191677)</f>
        <v>0.4088803972</v>
      </c>
      <c r="M1154" s="166">
        <f t="shared" si="2"/>
        <v>0.778334398</v>
      </c>
      <c r="N1154" s="167">
        <f t="shared" si="3"/>
        <v>30.24775641</v>
      </c>
      <c r="O1154" s="163">
        <f t="shared" ref="O1154:Q1154" si="1158">rank(I1154,I:I)</f>
        <v>855</v>
      </c>
      <c r="P1154" s="163">
        <f t="shared" si="1158"/>
        <v>2312</v>
      </c>
      <c r="Q1154" s="163">
        <f t="shared" si="1158"/>
        <v>3063</v>
      </c>
      <c r="R1154" s="163">
        <f>IFERROR(__xludf.DUMMYFUNCTION("RANK(M1154,filter(M:M,C:C=C1154))"),244.0)</f>
        <v>244</v>
      </c>
      <c r="S1154" s="161" t="b">
        <f t="shared" si="5"/>
        <v>0</v>
      </c>
      <c r="T1154" s="161" t="b">
        <f t="array" ref="T1154">index('Query Tool'!B:B,match(H1154,'Query Tool'!C:C,0))</f>
        <v>1</v>
      </c>
      <c r="U1154" s="161" t="b">
        <f t="array" ref="U1154">index('Query Tool'!B:B,match(C1154,'Query Tool'!C:C,0))</f>
        <v>0</v>
      </c>
      <c r="V1154" s="161" t="b">
        <f>F1154&gt;='Query Tool'!C$32</f>
        <v>1</v>
      </c>
      <c r="W1154" s="161" t="b">
        <f t="array" ref="W1154">index(Dropdowns!B:B,match(I1154,Dropdowns!A:A,0))</f>
        <v>1</v>
      </c>
      <c r="X1154" s="161" t="b">
        <f t="array" ref="X1154">index('Query Tool'!B:B,match(D1154,'Query Tool'!C:C,0))</f>
        <v>1</v>
      </c>
      <c r="Y1154" s="161" t="str">
        <f t="shared" si="6"/>
        <v>carrode01,2015-16</v>
      </c>
      <c r="Z1154" s="168">
        <f t="array" ref="Z1154">iferror(index(I:I,match($A1154&amp;","&amp;index('Year Conversion'!$A:$A,match($C1154,'Year Conversion'!$B:$B,0)),$Y:$Y,0))-I1154,"")</f>
        <v>1</v>
      </c>
      <c r="AA1154" s="168">
        <f t="array" ref="AA1154">iferror(index(J:J,match($A1154&amp;","&amp;index('Year Conversion'!$A:$A,match($C1154,'Year Conversion'!$B:$B,0)),$Y:$Y,0))-J1154,"")</f>
        <v>2.051480488</v>
      </c>
      <c r="AB1154" s="168">
        <f t="array" ref="AB1154">iferror(index(K:K,match($A1154&amp;","&amp;index('Year Conversion'!$A:$A,match($C1154,'Year Conversion'!$B:$B,0)),$Y:$Y,0))-K1154,"")</f>
        <v>1.514084671</v>
      </c>
      <c r="AC1154" s="168" t="str">
        <f t="shared" si="7"/>
        <v>TOR,2015-16</v>
      </c>
    </row>
    <row r="1155">
      <c r="A1155" s="161" t="str">
        <f>IFERROR(__xludf.DUMMYFUNCTION("""COMPUTED_VALUE"""),"ellinwa01")</f>
        <v>ellinwa01</v>
      </c>
      <c r="B1155" s="161" t="str">
        <f>IFERROR(__xludf.DUMMYFUNCTION("""COMPUTED_VALUE"""),"Wayne Ellington")</f>
        <v>Wayne Ellington</v>
      </c>
      <c r="C1155" s="162" t="str">
        <f>IFERROR(__xludf.DUMMYFUNCTION("""COMPUTED_VALUE"""),"2015-16")</f>
        <v>2015-16</v>
      </c>
      <c r="D1155" s="163" t="str">
        <f>IFERROR(__xludf.DUMMYFUNCTION("""COMPUTED_VALUE"""),"BRK")</f>
        <v>BRK</v>
      </c>
      <c r="E1155" s="164" t="str">
        <f>IFERROR(__xludf.DUMMYFUNCTION("""COMPUTED_VALUE"""),"Movement Shooter")</f>
        <v>Movement Shooter</v>
      </c>
      <c r="F1155" s="164">
        <f>IFERROR(__xludf.DUMMYFUNCTION("""COMPUTED_VALUE"""),1614.97666666667)</f>
        <v>1614.976667</v>
      </c>
      <c r="G1155" s="163">
        <f>IFERROR(__xludf.DUMMYFUNCTION("""COMPUTED_VALUE"""),76.0)</f>
        <v>76</v>
      </c>
      <c r="H1155" s="163" t="str">
        <f>IFERROR(__xludf.DUMMYFUNCTION("""COMPUTED_VALUE"""),"SG")</f>
        <v>SG</v>
      </c>
      <c r="I1155" s="163">
        <f>IFERROR(__xludf.DUMMYFUNCTION("""COMPUTED_VALUE"""),28.0)</f>
        <v>28</v>
      </c>
      <c r="J1155" s="165">
        <f>IFERROR(__xludf.DUMMYFUNCTION("""COMPUTED_VALUE"""),-3.43868182705654)</f>
        <v>-3.438681827</v>
      </c>
      <c r="K1155" s="165">
        <f>IFERROR(__xludf.DUMMYFUNCTION("""COMPUTED_VALUE"""),-2.080309564866)</f>
        <v>-2.080309565</v>
      </c>
      <c r="L1155" s="165">
        <f>IFERROR(__xludf.DUMMYFUNCTION("""COMPUTED_VALUE"""),-1.35837226219054)</f>
        <v>-1.358372262</v>
      </c>
      <c r="M1155" s="166">
        <f t="shared" si="2"/>
        <v>-1.193968495</v>
      </c>
      <c r="N1155" s="167">
        <f t="shared" si="3"/>
        <v>21.24969298</v>
      </c>
      <c r="O1155" s="163">
        <f t="shared" ref="O1155:Q1155" si="1159">rank(I1155,I:I)</f>
        <v>1090</v>
      </c>
      <c r="P1155" s="163">
        <f t="shared" si="1159"/>
        <v>3956</v>
      </c>
      <c r="Q1155" s="163">
        <f t="shared" si="1159"/>
        <v>3751</v>
      </c>
      <c r="R1155" s="163">
        <f>IFERROR(__xludf.DUMMYFUNCTION("RANK(M1155,filter(M:M,C:C=C1155))"),469.0)</f>
        <v>469</v>
      </c>
      <c r="S1155" s="161" t="b">
        <f t="shared" si="5"/>
        <v>0</v>
      </c>
      <c r="T1155" s="161" t="b">
        <f t="array" ref="T1155">index('Query Tool'!B:B,match(H1155,'Query Tool'!C:C,0))</f>
        <v>1</v>
      </c>
      <c r="U1155" s="161" t="b">
        <f t="array" ref="U1155">index('Query Tool'!B:B,match(C1155,'Query Tool'!C:C,0))</f>
        <v>0</v>
      </c>
      <c r="V1155" s="161" t="b">
        <f>F1155&gt;='Query Tool'!C$32</f>
        <v>1</v>
      </c>
      <c r="W1155" s="161" t="b">
        <f t="array" ref="W1155">index(Dropdowns!B:B,match(I1155,Dropdowns!A:A,0))</f>
        <v>1</v>
      </c>
      <c r="X1155" s="161" t="b">
        <f t="array" ref="X1155">index('Query Tool'!B:B,match(D1155,'Query Tool'!C:C,0))</f>
        <v>1</v>
      </c>
      <c r="Y1155" s="161" t="str">
        <f t="shared" si="6"/>
        <v>ellinwa01,2015-16</v>
      </c>
      <c r="Z1155" s="168">
        <f t="array" ref="Z1155">iferror(index(I:I,match($A1155&amp;","&amp;index('Year Conversion'!$A:$A,match($C1155,'Year Conversion'!$B:$B,0)),$Y:$Y,0))-I1155,"")</f>
        <v>1</v>
      </c>
      <c r="AA1155" s="168">
        <f t="array" ref="AA1155">iferror(index(J:J,match($A1155&amp;","&amp;index('Year Conversion'!$A:$A,match($C1155,'Year Conversion'!$B:$B,0)),$Y:$Y,0))-J1155,"")</f>
        <v>2.905540835</v>
      </c>
      <c r="AB1155" s="168">
        <f t="array" ref="AB1155">iferror(index(K:K,match($A1155&amp;","&amp;index('Year Conversion'!$A:$A,match($C1155,'Year Conversion'!$B:$B,0)),$Y:$Y,0))-K1155,"")</f>
        <v>3.047920226</v>
      </c>
      <c r="AC1155" s="168" t="str">
        <f t="shared" si="7"/>
        <v>BRK,2015-16</v>
      </c>
    </row>
    <row r="1156">
      <c r="A1156" s="161" t="str">
        <f>IFERROR(__xludf.DUMMYFUNCTION("""COMPUTED_VALUE"""),"douglto01")</f>
        <v>douglto01</v>
      </c>
      <c r="B1156" s="161" t="str">
        <f>IFERROR(__xludf.DUMMYFUNCTION("""COMPUTED_VALUE"""),"Toney Douglas")</f>
        <v>Toney Douglas</v>
      </c>
      <c r="C1156" s="162" t="str">
        <f>IFERROR(__xludf.DUMMYFUNCTION("""COMPUTED_VALUE"""),"2015-16")</f>
        <v>2015-16</v>
      </c>
      <c r="D1156" s="163" t="str">
        <f>IFERROR(__xludf.DUMMYFUNCTION("""COMPUTED_VALUE"""),"NOP")</f>
        <v>NOP</v>
      </c>
      <c r="E1156" s="164" t="str">
        <f>IFERROR(__xludf.DUMMYFUNCTION("""COMPUTED_VALUE"""),"Primary Ball Handler")</f>
        <v>Primary Ball Handler</v>
      </c>
      <c r="F1156" s="164">
        <f>IFERROR(__xludf.DUMMYFUNCTION("""COMPUTED_VALUE"""),1262.28833333333)</f>
        <v>1262.288333</v>
      </c>
      <c r="G1156" s="163">
        <f>IFERROR(__xludf.DUMMYFUNCTION("""COMPUTED_VALUE"""),61.0)</f>
        <v>61</v>
      </c>
      <c r="H1156" s="163" t="str">
        <f>IFERROR(__xludf.DUMMYFUNCTION("""COMPUTED_VALUE"""),"PG")</f>
        <v>PG</v>
      </c>
      <c r="I1156" s="163">
        <f>IFERROR(__xludf.DUMMYFUNCTION("""COMPUTED_VALUE"""),29.0)</f>
        <v>29</v>
      </c>
      <c r="J1156" s="165">
        <f>IFERROR(__xludf.DUMMYFUNCTION("""COMPUTED_VALUE"""),-0.307657606641157)</f>
        <v>-0.3076576066</v>
      </c>
      <c r="K1156" s="165">
        <f>IFERROR(__xludf.DUMMYFUNCTION("""COMPUTED_VALUE"""),0.679818048894579)</f>
        <v>0.6798180489</v>
      </c>
      <c r="L1156" s="165">
        <f>IFERROR(__xludf.DUMMYFUNCTION("""COMPUTED_VALUE"""),-0.987475655535736)</f>
        <v>-0.9874756555</v>
      </c>
      <c r="M1156" s="166">
        <f t="shared" si="2"/>
        <v>1.684238896</v>
      </c>
      <c r="N1156" s="167">
        <f t="shared" si="3"/>
        <v>20.69325137</v>
      </c>
      <c r="O1156" s="163">
        <f t="shared" ref="O1156:Q1156" si="1160">rank(I1156,I:I)</f>
        <v>855</v>
      </c>
      <c r="P1156" s="163">
        <f t="shared" si="1160"/>
        <v>1622</v>
      </c>
      <c r="Q1156" s="163">
        <f t="shared" si="1160"/>
        <v>660</v>
      </c>
      <c r="R1156" s="163">
        <f>IFERROR(__xludf.DUMMYFUNCTION("RANK(M1156,filter(M:M,C:C=C1156))"),173.0)</f>
        <v>173</v>
      </c>
      <c r="S1156" s="161" t="b">
        <f t="shared" si="5"/>
        <v>0</v>
      </c>
      <c r="T1156" s="161" t="b">
        <f t="array" ref="T1156">index('Query Tool'!B:B,match(H1156,'Query Tool'!C:C,0))</f>
        <v>1</v>
      </c>
      <c r="U1156" s="161" t="b">
        <f t="array" ref="U1156">index('Query Tool'!B:B,match(C1156,'Query Tool'!C:C,0))</f>
        <v>0</v>
      </c>
      <c r="V1156" s="161" t="b">
        <f>F1156&gt;='Query Tool'!C$32</f>
        <v>1</v>
      </c>
      <c r="W1156" s="161" t="b">
        <f t="array" ref="W1156">index(Dropdowns!B:B,match(I1156,Dropdowns!A:A,0))</f>
        <v>1</v>
      </c>
      <c r="X1156" s="161" t="b">
        <f t="array" ref="X1156">index('Query Tool'!B:B,match(D1156,'Query Tool'!C:C,0))</f>
        <v>1</v>
      </c>
      <c r="Y1156" s="161" t="str">
        <f t="shared" si="6"/>
        <v>douglto01,2015-16</v>
      </c>
      <c r="Z1156" s="168">
        <f t="array" ref="Z1156">iferror(index(I:I,match($A1156&amp;","&amp;index('Year Conversion'!$A:$A,match($C1156,'Year Conversion'!$B:$B,0)),$Y:$Y,0))-I1156,"")</f>
        <v>1</v>
      </c>
      <c r="AA1156" s="168">
        <f t="array" ref="AA1156">iferror(index(J:J,match($A1156&amp;","&amp;index('Year Conversion'!$A:$A,match($C1156,'Year Conversion'!$B:$B,0)),$Y:$Y,0))-J1156,"")</f>
        <v>0.3648248919</v>
      </c>
      <c r="AB1156" s="168">
        <f t="array" ref="AB1156">iferror(index(K:K,match($A1156&amp;","&amp;index('Year Conversion'!$A:$A,match($C1156,'Year Conversion'!$B:$B,0)),$Y:$Y,0))-K1156,"")</f>
        <v>-0.7264654815</v>
      </c>
      <c r="AC1156" s="168" t="str">
        <f t="shared" si="7"/>
        <v>NOP,2015-16</v>
      </c>
    </row>
    <row r="1157">
      <c r="A1157" s="161" t="str">
        <f>IFERROR(__xludf.DUMMYFUNCTION("""COMPUTED_VALUE"""),"pendeje02")</f>
        <v>pendeje02</v>
      </c>
      <c r="B1157" s="161" t="str">
        <f>IFERROR(__xludf.DUMMYFUNCTION("""COMPUTED_VALUE"""),"Jeff Ayres")</f>
        <v>Jeff Ayres</v>
      </c>
      <c r="C1157" s="162" t="str">
        <f>IFERROR(__xludf.DUMMYFUNCTION("""COMPUTED_VALUE"""),"2015-16")</f>
        <v>2015-16</v>
      </c>
      <c r="D1157" s="163" t="str">
        <f>IFERROR(__xludf.DUMMYFUNCTION("""COMPUTED_VALUE"""),"LAC")</f>
        <v>LAC</v>
      </c>
      <c r="E1157" s="164" t="str">
        <f>IFERROR(__xludf.DUMMYFUNCTION("""COMPUTED_VALUE"""),"Roll + Cut Big")</f>
        <v>Roll + Cut Big</v>
      </c>
      <c r="F1157" s="164">
        <f>IFERROR(__xludf.DUMMYFUNCTION("""COMPUTED_VALUE"""),106.618333333333)</f>
        <v>106.6183333</v>
      </c>
      <c r="G1157" s="163">
        <f>IFERROR(__xludf.DUMMYFUNCTION("""COMPUTED_VALUE"""),17.0)</f>
        <v>17</v>
      </c>
      <c r="H1157" s="163" t="str">
        <f>IFERROR(__xludf.DUMMYFUNCTION("""COMPUTED_VALUE"""),"C")</f>
        <v>C</v>
      </c>
      <c r="I1157" s="163">
        <f>IFERROR(__xludf.DUMMYFUNCTION("""COMPUTED_VALUE"""),28.0)</f>
        <v>28</v>
      </c>
      <c r="J1157" s="165">
        <f>IFERROR(__xludf.DUMMYFUNCTION("""COMPUTED_VALUE"""),-1.86752790722548)</f>
        <v>-1.867527907</v>
      </c>
      <c r="K1157" s="165">
        <f>IFERROR(__xludf.DUMMYFUNCTION("""COMPUTED_VALUE"""),-1.15609244748354)</f>
        <v>-1.156092447</v>
      </c>
      <c r="L1157" s="165">
        <f>IFERROR(__xludf.DUMMYFUNCTION("""COMPUTED_VALUE"""),-0.711435459741946)</f>
        <v>-0.7114354597</v>
      </c>
      <c r="M1157" s="166">
        <f t="shared" si="2"/>
        <v>0.03077680678</v>
      </c>
      <c r="N1157" s="167">
        <f t="shared" si="3"/>
        <v>6.271666667</v>
      </c>
      <c r="O1157" s="163">
        <f t="shared" ref="O1157:Q1157" si="1161">rank(I1157,I:I)</f>
        <v>1090</v>
      </c>
      <c r="P1157" s="163">
        <f t="shared" si="1161"/>
        <v>3393</v>
      </c>
      <c r="Q1157" s="163">
        <f t="shared" si="1161"/>
        <v>2991</v>
      </c>
      <c r="R1157" s="163">
        <f>IFERROR(__xludf.DUMMYFUNCTION("RANK(M1157,filter(M:M,C:C=C1157))"),412.0)</f>
        <v>412</v>
      </c>
      <c r="S1157" s="161" t="b">
        <f t="shared" si="5"/>
        <v>0</v>
      </c>
      <c r="T1157" s="161" t="b">
        <f t="array" ref="T1157">index('Query Tool'!B:B,match(H1157,'Query Tool'!C:C,0))</f>
        <v>1</v>
      </c>
      <c r="U1157" s="161" t="b">
        <f t="array" ref="U1157">index('Query Tool'!B:B,match(C1157,'Query Tool'!C:C,0))</f>
        <v>0</v>
      </c>
      <c r="V1157" s="161" t="b">
        <f>F1157&gt;='Query Tool'!C$32</f>
        <v>0</v>
      </c>
      <c r="W1157" s="161" t="b">
        <f t="array" ref="W1157">index(Dropdowns!B:B,match(I1157,Dropdowns!A:A,0))</f>
        <v>1</v>
      </c>
      <c r="X1157" s="161" t="b">
        <f t="array" ref="X1157">index('Query Tool'!B:B,match(D1157,'Query Tool'!C:C,0))</f>
        <v>1</v>
      </c>
      <c r="Y1157" s="161" t="str">
        <f t="shared" si="6"/>
        <v>pendeje02,2015-16</v>
      </c>
      <c r="Z1157" s="168" t="str">
        <f t="array" ref="Z1157">iferror(index(I:I,match($A1157&amp;","&amp;index('Year Conversion'!$A:$A,match($C1157,'Year Conversion'!$B:$B,0)),$Y:$Y,0))-I1157,"")</f>
        <v/>
      </c>
      <c r="AA1157" s="168" t="str">
        <f t="array" ref="AA1157">iferror(index(J:J,match($A1157&amp;","&amp;index('Year Conversion'!$A:$A,match($C1157,'Year Conversion'!$B:$B,0)),$Y:$Y,0))-J1157,"")</f>
        <v/>
      </c>
      <c r="AB1157" s="168" t="str">
        <f t="array" ref="AB1157">iferror(index(K:K,match($A1157&amp;","&amp;index('Year Conversion'!$A:$A,match($C1157,'Year Conversion'!$B:$B,0)),$Y:$Y,0))-K1157,"")</f>
        <v/>
      </c>
      <c r="AC1157" s="168" t="str">
        <f t="shared" si="7"/>
        <v>LAC,2015-16</v>
      </c>
    </row>
    <row r="1158">
      <c r="A1158" s="161" t="str">
        <f>IFERROR(__xludf.DUMMYFUNCTION("""COMPUTED_VALUE"""),"cunnida01")</f>
        <v>cunnida01</v>
      </c>
      <c r="B1158" s="161" t="str">
        <f>IFERROR(__xludf.DUMMYFUNCTION("""COMPUTED_VALUE"""),"Dante Cunningham")</f>
        <v>Dante Cunningham</v>
      </c>
      <c r="C1158" s="162" t="str">
        <f>IFERROR(__xludf.DUMMYFUNCTION("""COMPUTED_VALUE"""),"2015-16")</f>
        <v>2015-16</v>
      </c>
      <c r="D1158" s="163" t="str">
        <f>IFERROR(__xludf.DUMMYFUNCTION("""COMPUTED_VALUE"""),"NOP")</f>
        <v>NOP</v>
      </c>
      <c r="E1158" s="164" t="str">
        <f>IFERROR(__xludf.DUMMYFUNCTION("""COMPUTED_VALUE"""),"Athletic Finisher")</f>
        <v>Athletic Finisher</v>
      </c>
      <c r="F1158" s="164">
        <f>IFERROR(__xludf.DUMMYFUNCTION("""COMPUTED_VALUE"""),1970.94833333333)</f>
        <v>1970.948333</v>
      </c>
      <c r="G1158" s="163">
        <f>IFERROR(__xludf.DUMMYFUNCTION("""COMPUTED_VALUE"""),80.0)</f>
        <v>80</v>
      </c>
      <c r="H1158" s="163" t="str">
        <f>IFERROR(__xludf.DUMMYFUNCTION("""COMPUTED_VALUE"""),"SF")</f>
        <v>SF</v>
      </c>
      <c r="I1158" s="163">
        <f>IFERROR(__xludf.DUMMYFUNCTION("""COMPUTED_VALUE"""),28.0)</f>
        <v>28</v>
      </c>
      <c r="J1158" s="165">
        <f>IFERROR(__xludf.DUMMYFUNCTION("""COMPUTED_VALUE"""),-1.74224335939586)</f>
        <v>-1.742243359</v>
      </c>
      <c r="K1158" s="165">
        <f>IFERROR(__xludf.DUMMYFUNCTION("""COMPUTED_VALUE"""),-1.30267748850356)</f>
        <v>-1.302677489</v>
      </c>
      <c r="L1158" s="165">
        <f>IFERROR(__xludf.DUMMYFUNCTION("""COMPUTED_VALUE"""),-0.439565870892291)</f>
        <v>-0.4395658709</v>
      </c>
      <c r="M1158" s="166">
        <f t="shared" si="2"/>
        <v>0.7331771025</v>
      </c>
      <c r="N1158" s="167">
        <f t="shared" si="3"/>
        <v>24.63685417</v>
      </c>
      <c r="O1158" s="163">
        <f t="shared" ref="O1158:Q1158" si="1162">rank(I1158,I:I)</f>
        <v>1090</v>
      </c>
      <c r="P1158" s="163">
        <f t="shared" si="1162"/>
        <v>3285</v>
      </c>
      <c r="Q1158" s="163">
        <f t="shared" si="1162"/>
        <v>3152</v>
      </c>
      <c r="R1158" s="163">
        <f>IFERROR(__xludf.DUMMYFUNCTION("RANK(M1158,filter(M:M,C:C=C1158))"),249.0)</f>
        <v>249</v>
      </c>
      <c r="S1158" s="161" t="b">
        <f t="shared" si="5"/>
        <v>0</v>
      </c>
      <c r="T1158" s="161" t="b">
        <f t="array" ref="T1158">index('Query Tool'!B:B,match(H1158,'Query Tool'!C:C,0))</f>
        <v>1</v>
      </c>
      <c r="U1158" s="161" t="b">
        <f t="array" ref="U1158">index('Query Tool'!B:B,match(C1158,'Query Tool'!C:C,0))</f>
        <v>0</v>
      </c>
      <c r="V1158" s="161" t="b">
        <f>F1158&gt;='Query Tool'!C$32</f>
        <v>1</v>
      </c>
      <c r="W1158" s="161" t="b">
        <f t="array" ref="W1158">index(Dropdowns!B:B,match(I1158,Dropdowns!A:A,0))</f>
        <v>1</v>
      </c>
      <c r="X1158" s="161" t="b">
        <f t="array" ref="X1158">index('Query Tool'!B:B,match(D1158,'Query Tool'!C:C,0))</f>
        <v>1</v>
      </c>
      <c r="Y1158" s="161" t="str">
        <f t="shared" si="6"/>
        <v>cunnida01,2015-16</v>
      </c>
      <c r="Z1158" s="168">
        <f t="array" ref="Z1158">iferror(index(I:I,match($A1158&amp;","&amp;index('Year Conversion'!$A:$A,match($C1158,'Year Conversion'!$B:$B,0)),$Y:$Y,0))-I1158,"")</f>
        <v>1</v>
      </c>
      <c r="AA1158" s="168">
        <f t="array" ref="AA1158">iferror(index(J:J,match($A1158&amp;","&amp;index('Year Conversion'!$A:$A,match($C1158,'Year Conversion'!$B:$B,0)),$Y:$Y,0))-J1158,"")</f>
        <v>-0.2492929739</v>
      </c>
      <c r="AB1158" s="168">
        <f t="array" ref="AB1158">iferror(index(K:K,match($A1158&amp;","&amp;index('Year Conversion'!$A:$A,match($C1158,'Year Conversion'!$B:$B,0)),$Y:$Y,0))-K1158,"")</f>
        <v>-0.5349223105</v>
      </c>
      <c r="AC1158" s="168" t="str">
        <f t="shared" si="7"/>
        <v>NOP,2015-16</v>
      </c>
    </row>
    <row r="1159">
      <c r="A1159" s="161" t="str">
        <f>IFERROR(__xludf.DUMMYFUNCTION("""COMPUTED_VALUE"""),"blairde01")</f>
        <v>blairde01</v>
      </c>
      <c r="B1159" s="161" t="str">
        <f>IFERROR(__xludf.DUMMYFUNCTION("""COMPUTED_VALUE"""),"DeJuan Blair")</f>
        <v>DeJuan Blair</v>
      </c>
      <c r="C1159" s="162" t="str">
        <f>IFERROR(__xludf.DUMMYFUNCTION("""COMPUTED_VALUE"""),"2015-16")</f>
        <v>2015-16</v>
      </c>
      <c r="D1159" s="163" t="str">
        <f>IFERROR(__xludf.DUMMYFUNCTION("""COMPUTED_VALUE"""),"WAS")</f>
        <v>WAS</v>
      </c>
      <c r="E1159" s="164" t="str">
        <f>IFERROR(__xludf.DUMMYFUNCTION("""COMPUTED_VALUE"""),"Roll + Cut Big")</f>
        <v>Roll + Cut Big</v>
      </c>
      <c r="F1159" s="164">
        <f>IFERROR(__xludf.DUMMYFUNCTION("""COMPUTED_VALUE"""),218.07)</f>
        <v>218.07</v>
      </c>
      <c r="G1159" s="163">
        <f>IFERROR(__xludf.DUMMYFUNCTION("""COMPUTED_VALUE"""),29.0)</f>
        <v>29</v>
      </c>
      <c r="H1159" s="163" t="str">
        <f>IFERROR(__xludf.DUMMYFUNCTION("""COMPUTED_VALUE"""),"C")</f>
        <v>C</v>
      </c>
      <c r="I1159" s="163">
        <f>IFERROR(__xludf.DUMMYFUNCTION("""COMPUTED_VALUE"""),26.0)</f>
        <v>26</v>
      </c>
      <c r="J1159" s="165">
        <f>IFERROR(__xludf.DUMMYFUNCTION("""COMPUTED_VALUE"""),-1.5384572642879)</f>
        <v>-1.538457264</v>
      </c>
      <c r="K1159" s="165">
        <f>IFERROR(__xludf.DUMMYFUNCTION("""COMPUTED_VALUE"""),-1.5275007011792)</f>
        <v>-1.527500701</v>
      </c>
      <c r="L1159" s="165">
        <f>IFERROR(__xludf.DUMMYFUNCTION("""COMPUTED_VALUE"""),-0.0109565631086969)</f>
        <v>-0.01095656311</v>
      </c>
      <c r="M1159" s="166">
        <f t="shared" si="2"/>
        <v>0.1107471569</v>
      </c>
      <c r="N1159" s="167">
        <f t="shared" si="3"/>
        <v>7.519655172</v>
      </c>
      <c r="O1159" s="163">
        <f t="shared" ref="O1159:Q1159" si="1163">rank(I1159,I:I)</f>
        <v>1665</v>
      </c>
      <c r="P1159" s="163">
        <f t="shared" si="1163"/>
        <v>3084</v>
      </c>
      <c r="Q1159" s="163">
        <f t="shared" si="1163"/>
        <v>3385</v>
      </c>
      <c r="R1159" s="163">
        <f>IFERROR(__xludf.DUMMYFUNCTION("RANK(M1159,filter(M:M,C:C=C1159))"),368.0)</f>
        <v>368</v>
      </c>
      <c r="S1159" s="161" t="b">
        <f t="shared" si="5"/>
        <v>0</v>
      </c>
      <c r="T1159" s="161" t="b">
        <f t="array" ref="T1159">index('Query Tool'!B:B,match(H1159,'Query Tool'!C:C,0))</f>
        <v>1</v>
      </c>
      <c r="U1159" s="161" t="b">
        <f t="array" ref="U1159">index('Query Tool'!B:B,match(C1159,'Query Tool'!C:C,0))</f>
        <v>0</v>
      </c>
      <c r="V1159" s="161" t="b">
        <f>F1159&gt;='Query Tool'!C$32</f>
        <v>0</v>
      </c>
      <c r="W1159" s="161" t="b">
        <f t="array" ref="W1159">index(Dropdowns!B:B,match(I1159,Dropdowns!A:A,0))</f>
        <v>1</v>
      </c>
      <c r="X1159" s="161" t="b">
        <f t="array" ref="X1159">index('Query Tool'!B:B,match(D1159,'Query Tool'!C:C,0))</f>
        <v>1</v>
      </c>
      <c r="Y1159" s="161" t="str">
        <f t="shared" si="6"/>
        <v>blairde01,2015-16</v>
      </c>
      <c r="Z1159" s="168" t="str">
        <f t="array" ref="Z1159">iferror(index(I:I,match($A1159&amp;","&amp;index('Year Conversion'!$A:$A,match($C1159,'Year Conversion'!$B:$B,0)),$Y:$Y,0))-I1159,"")</f>
        <v/>
      </c>
      <c r="AA1159" s="168" t="str">
        <f t="array" ref="AA1159">iferror(index(J:J,match($A1159&amp;","&amp;index('Year Conversion'!$A:$A,match($C1159,'Year Conversion'!$B:$B,0)),$Y:$Y,0))-J1159,"")</f>
        <v/>
      </c>
      <c r="AB1159" s="168" t="str">
        <f t="array" ref="AB1159">iferror(index(K:K,match($A1159&amp;","&amp;index('Year Conversion'!$A:$A,match($C1159,'Year Conversion'!$B:$B,0)),$Y:$Y,0))-K1159,"")</f>
        <v/>
      </c>
      <c r="AC1159" s="168" t="str">
        <f t="shared" si="7"/>
        <v>WAS,2015-16</v>
      </c>
    </row>
    <row r="1160">
      <c r="A1160" s="161" t="str">
        <f>IFERROR(__xludf.DUMMYFUNCTION("""COMPUTED_VALUE"""),"jerebjo01")</f>
        <v>jerebjo01</v>
      </c>
      <c r="B1160" s="161" t="str">
        <f>IFERROR(__xludf.DUMMYFUNCTION("""COMPUTED_VALUE"""),"Jonas Jerebko")</f>
        <v>Jonas Jerebko</v>
      </c>
      <c r="C1160" s="162" t="str">
        <f>IFERROR(__xludf.DUMMYFUNCTION("""COMPUTED_VALUE"""),"2015-16")</f>
        <v>2015-16</v>
      </c>
      <c r="D1160" s="163" t="str">
        <f>IFERROR(__xludf.DUMMYFUNCTION("""COMPUTED_VALUE"""),"BOS")</f>
        <v>BOS</v>
      </c>
      <c r="E1160" s="164" t="str">
        <f>IFERROR(__xludf.DUMMYFUNCTION("""COMPUTED_VALUE"""),"Stretch Big")</f>
        <v>Stretch Big</v>
      </c>
      <c r="F1160" s="164">
        <f>IFERROR(__xludf.DUMMYFUNCTION("""COMPUTED_VALUE"""),1176.49666666667)</f>
        <v>1176.496667</v>
      </c>
      <c r="G1160" s="163">
        <f>IFERROR(__xludf.DUMMYFUNCTION("""COMPUTED_VALUE"""),78.0)</f>
        <v>78</v>
      </c>
      <c r="H1160" s="163" t="str">
        <f>IFERROR(__xludf.DUMMYFUNCTION("""COMPUTED_VALUE"""),"PF")</f>
        <v>PF</v>
      </c>
      <c r="I1160" s="163">
        <f>IFERROR(__xludf.DUMMYFUNCTION("""COMPUTED_VALUE"""),28.0)</f>
        <v>28</v>
      </c>
      <c r="J1160" s="165">
        <f>IFERROR(__xludf.DUMMYFUNCTION("""COMPUTED_VALUE"""),-1.45244669887363)</f>
        <v>-1.452446699</v>
      </c>
      <c r="K1160" s="165">
        <f>IFERROR(__xludf.DUMMYFUNCTION("""COMPUTED_VALUE"""),-1.78329314161768)</f>
        <v>-1.783293142</v>
      </c>
      <c r="L1160" s="165">
        <f>IFERROR(__xludf.DUMMYFUNCTION("""COMPUTED_VALUE"""),0.330846442744046)</f>
        <v>0.3308464427</v>
      </c>
      <c r="M1160" s="166">
        <f t="shared" si="2"/>
        <v>0.6650754386</v>
      </c>
      <c r="N1160" s="167">
        <f t="shared" si="3"/>
        <v>15.0832906</v>
      </c>
      <c r="O1160" s="163">
        <f t="shared" ref="O1160:Q1160" si="1164">rank(I1160,I:I)</f>
        <v>1090</v>
      </c>
      <c r="P1160" s="163">
        <f t="shared" si="1164"/>
        <v>3008</v>
      </c>
      <c r="Q1160" s="163">
        <f t="shared" si="1164"/>
        <v>3567</v>
      </c>
      <c r="R1160" s="163">
        <f>IFERROR(__xludf.DUMMYFUNCTION("RANK(M1160,filter(M:M,C:C=C1160))"),260.0)</f>
        <v>260</v>
      </c>
      <c r="S1160" s="161" t="b">
        <f t="shared" si="5"/>
        <v>0</v>
      </c>
      <c r="T1160" s="161" t="b">
        <f t="array" ref="T1160">index('Query Tool'!B:B,match(H1160,'Query Tool'!C:C,0))</f>
        <v>1</v>
      </c>
      <c r="U1160" s="161" t="b">
        <f t="array" ref="U1160">index('Query Tool'!B:B,match(C1160,'Query Tool'!C:C,0))</f>
        <v>0</v>
      </c>
      <c r="V1160" s="161" t="b">
        <f>F1160&gt;='Query Tool'!C$32</f>
        <v>1</v>
      </c>
      <c r="W1160" s="161" t="b">
        <f t="array" ref="W1160">index(Dropdowns!B:B,match(I1160,Dropdowns!A:A,0))</f>
        <v>1</v>
      </c>
      <c r="X1160" s="161" t="b">
        <f t="array" ref="X1160">index('Query Tool'!B:B,match(D1160,'Query Tool'!C:C,0))</f>
        <v>1</v>
      </c>
      <c r="Y1160" s="161" t="str">
        <f t="shared" si="6"/>
        <v>jerebjo01,2015-16</v>
      </c>
      <c r="Z1160" s="168">
        <f t="array" ref="Z1160">iferror(index(I:I,match($A1160&amp;","&amp;index('Year Conversion'!$A:$A,match($C1160,'Year Conversion'!$B:$B,0)),$Y:$Y,0))-I1160,"")</f>
        <v>1</v>
      </c>
      <c r="AA1160" s="168">
        <f t="array" ref="AA1160">iferror(index(J:J,match($A1160&amp;","&amp;index('Year Conversion'!$A:$A,match($C1160,'Year Conversion'!$B:$B,0)),$Y:$Y,0))-J1160,"")</f>
        <v>-0.3489482533</v>
      </c>
      <c r="AB1160" s="168">
        <f t="array" ref="AB1160">iferror(index(K:K,match($A1160&amp;","&amp;index('Year Conversion'!$A:$A,match($C1160,'Year Conversion'!$B:$B,0)),$Y:$Y,0))-K1160,"")</f>
        <v>0.6372432073</v>
      </c>
      <c r="AC1160" s="168" t="str">
        <f t="shared" si="7"/>
        <v>BOS,2015-16</v>
      </c>
    </row>
    <row r="1161">
      <c r="A1161" s="161" t="str">
        <f>IFERROR(__xludf.DUMMYFUNCTION("""COMPUTED_VALUE"""),"meeksjo01")</f>
        <v>meeksjo01</v>
      </c>
      <c r="B1161" s="161" t="str">
        <f>IFERROR(__xludf.DUMMYFUNCTION("""COMPUTED_VALUE"""),"Jodie Meeks")</f>
        <v>Jodie Meeks</v>
      </c>
      <c r="C1161" s="162" t="str">
        <f>IFERROR(__xludf.DUMMYFUNCTION("""COMPUTED_VALUE"""),"2015-16")</f>
        <v>2015-16</v>
      </c>
      <c r="D1161" s="163" t="str">
        <f>IFERROR(__xludf.DUMMYFUNCTION("""COMPUTED_VALUE"""),"DET")</f>
        <v>DET</v>
      </c>
      <c r="E1161" s="164" t="str">
        <f>IFERROR(__xludf.DUMMYFUNCTION("""COMPUTED_VALUE"""),"Movement Shooter")</f>
        <v>Movement Shooter</v>
      </c>
      <c r="F1161" s="164">
        <f>IFERROR(__xludf.DUMMYFUNCTION("""COMPUTED_VALUE"""),43.4866666666667)</f>
        <v>43.48666667</v>
      </c>
      <c r="G1161" s="163">
        <f>IFERROR(__xludf.DUMMYFUNCTION("""COMPUTED_VALUE"""),3.0)</f>
        <v>3</v>
      </c>
      <c r="H1161" s="163" t="str">
        <f>IFERROR(__xludf.DUMMYFUNCTION("""COMPUTED_VALUE"""),"SG")</f>
        <v>SG</v>
      </c>
      <c r="I1161" s="163">
        <f>IFERROR(__xludf.DUMMYFUNCTION("""COMPUTED_VALUE"""),28.0)</f>
        <v>28</v>
      </c>
      <c r="J1161" s="165">
        <f>IFERROR(__xludf.DUMMYFUNCTION("""COMPUTED_VALUE"""),-0.153418777961755)</f>
        <v>-0.153418778</v>
      </c>
      <c r="K1161" s="165">
        <f>IFERROR(__xludf.DUMMYFUNCTION("""COMPUTED_VALUE"""),-0.228875058238489)</f>
        <v>-0.2288750582</v>
      </c>
      <c r="L1161" s="165">
        <f>IFERROR(__xludf.DUMMYFUNCTION("""COMPUTED_VALUE"""),0.075456280276734)</f>
        <v>0.07545628028</v>
      </c>
      <c r="M1161" s="166">
        <f t="shared" si="2"/>
        <v>0.0625441187</v>
      </c>
      <c r="N1161" s="167">
        <f t="shared" si="3"/>
        <v>14.49555556</v>
      </c>
      <c r="O1161" s="163">
        <f t="shared" ref="O1161:Q1161" si="1165">rank(I1161,I:I)</f>
        <v>1090</v>
      </c>
      <c r="P1161" s="163">
        <f t="shared" si="1165"/>
        <v>1445</v>
      </c>
      <c r="Q1161" s="163">
        <f t="shared" si="1165"/>
        <v>1622</v>
      </c>
      <c r="R1161" s="163">
        <f>IFERROR(__xludf.DUMMYFUNCTION("RANK(M1161,filter(M:M,C:C=C1161))"),390.0)</f>
        <v>390</v>
      </c>
      <c r="S1161" s="161" t="b">
        <f t="shared" si="5"/>
        <v>0</v>
      </c>
      <c r="T1161" s="161" t="b">
        <f t="array" ref="T1161">index('Query Tool'!B:B,match(H1161,'Query Tool'!C:C,0))</f>
        <v>1</v>
      </c>
      <c r="U1161" s="161" t="b">
        <f t="array" ref="U1161">index('Query Tool'!B:B,match(C1161,'Query Tool'!C:C,0))</f>
        <v>0</v>
      </c>
      <c r="V1161" s="161" t="b">
        <f>F1161&gt;='Query Tool'!C$32</f>
        <v>0</v>
      </c>
      <c r="W1161" s="161" t="b">
        <f t="array" ref="W1161">index(Dropdowns!B:B,match(I1161,Dropdowns!A:A,0))</f>
        <v>1</v>
      </c>
      <c r="X1161" s="161" t="b">
        <f t="array" ref="X1161">index('Query Tool'!B:B,match(D1161,'Query Tool'!C:C,0))</f>
        <v>1</v>
      </c>
      <c r="Y1161" s="161" t="str">
        <f t="shared" si="6"/>
        <v>meeksjo01,2015-16</v>
      </c>
      <c r="Z1161" s="168">
        <f t="array" ref="Z1161">iferror(index(I:I,match($A1161&amp;","&amp;index('Year Conversion'!$A:$A,match($C1161,'Year Conversion'!$B:$B,0)),$Y:$Y,0))-I1161,"")</f>
        <v>1</v>
      </c>
      <c r="AA1161" s="168">
        <f t="array" ref="AA1161">iferror(index(J:J,match($A1161&amp;","&amp;index('Year Conversion'!$A:$A,match($C1161,'Year Conversion'!$B:$B,0)),$Y:$Y,0))-J1161,"")</f>
        <v>-0.7565530382</v>
      </c>
      <c r="AB1161" s="168">
        <f t="array" ref="AB1161">iferror(index(K:K,match($A1161&amp;","&amp;index('Year Conversion'!$A:$A,match($C1161,'Year Conversion'!$B:$B,0)),$Y:$Y,0))-K1161,"")</f>
        <v>0.3361783264</v>
      </c>
      <c r="AC1161" s="168" t="str">
        <f t="shared" si="7"/>
        <v>DET,2015-16</v>
      </c>
    </row>
    <row r="1162">
      <c r="A1162" s="161" t="str">
        <f>IFERROR(__xludf.DUMMYFUNCTION("""COMPUTED_VALUE"""),"beverpa01")</f>
        <v>beverpa01</v>
      </c>
      <c r="B1162" s="161" t="str">
        <f>IFERROR(__xludf.DUMMYFUNCTION("""COMPUTED_VALUE"""),"Patrick Beverley")</f>
        <v>Patrick Beverley</v>
      </c>
      <c r="C1162" s="162" t="str">
        <f>IFERROR(__xludf.DUMMYFUNCTION("""COMPUTED_VALUE"""),"2015-16")</f>
        <v>2015-16</v>
      </c>
      <c r="D1162" s="163" t="str">
        <f>IFERROR(__xludf.DUMMYFUNCTION("""COMPUTED_VALUE"""),"HOU")</f>
        <v>HOU</v>
      </c>
      <c r="E1162" s="164" t="str">
        <f>IFERROR(__xludf.DUMMYFUNCTION("""COMPUTED_VALUE"""),"Primary Ball Handler")</f>
        <v>Primary Ball Handler</v>
      </c>
      <c r="F1162" s="164">
        <f>IFERROR(__xludf.DUMMYFUNCTION("""COMPUTED_VALUE"""),2040.64833333333)</f>
        <v>2040.648333</v>
      </c>
      <c r="G1162" s="163">
        <f>IFERROR(__xludf.DUMMYFUNCTION("""COMPUTED_VALUE"""),71.0)</f>
        <v>71</v>
      </c>
      <c r="H1162" s="163" t="str">
        <f>IFERROR(__xludf.DUMMYFUNCTION("""COMPUTED_VALUE"""),"PG")</f>
        <v>PG</v>
      </c>
      <c r="I1162" s="163">
        <f>IFERROR(__xludf.DUMMYFUNCTION("""COMPUTED_VALUE"""),27.0)</f>
        <v>27</v>
      </c>
      <c r="J1162" s="165">
        <f>IFERROR(__xludf.DUMMYFUNCTION("""COMPUTED_VALUE"""),0.389349253344213)</f>
        <v>0.3893492533</v>
      </c>
      <c r="K1162" s="165">
        <f>IFERROR(__xludf.DUMMYFUNCTION("""COMPUTED_VALUE"""),0.707480951790763)</f>
        <v>0.7074809518</v>
      </c>
      <c r="L1162" s="165">
        <f>IFERROR(__xludf.DUMMYFUNCTION("""COMPUTED_VALUE"""),-0.31813169844655)</f>
        <v>-0.3181316984</v>
      </c>
      <c r="M1162" s="166">
        <f t="shared" si="2"/>
        <v>3.681547336</v>
      </c>
      <c r="N1162" s="167">
        <f t="shared" si="3"/>
        <v>28.74152582</v>
      </c>
      <c r="O1162" s="163">
        <f t="shared" ref="O1162:Q1162" si="1166">rank(I1162,I:I)</f>
        <v>1366</v>
      </c>
      <c r="P1162" s="163">
        <f t="shared" si="1166"/>
        <v>956</v>
      </c>
      <c r="Q1162" s="163">
        <f t="shared" si="1166"/>
        <v>646</v>
      </c>
      <c r="R1162" s="163">
        <f>IFERROR(__xludf.DUMMYFUNCTION("RANK(M1162,filter(M:M,C:C=C1162))"),96.0)</f>
        <v>96</v>
      </c>
      <c r="S1162" s="161" t="b">
        <f t="shared" si="5"/>
        <v>0</v>
      </c>
      <c r="T1162" s="161" t="b">
        <f t="array" ref="T1162">index('Query Tool'!B:B,match(H1162,'Query Tool'!C:C,0))</f>
        <v>1</v>
      </c>
      <c r="U1162" s="161" t="b">
        <f t="array" ref="U1162">index('Query Tool'!B:B,match(C1162,'Query Tool'!C:C,0))</f>
        <v>0</v>
      </c>
      <c r="V1162" s="161" t="b">
        <f>F1162&gt;='Query Tool'!C$32</f>
        <v>1</v>
      </c>
      <c r="W1162" s="161" t="b">
        <f t="array" ref="W1162">index(Dropdowns!B:B,match(I1162,Dropdowns!A:A,0))</f>
        <v>1</v>
      </c>
      <c r="X1162" s="161" t="b">
        <f t="array" ref="X1162">index('Query Tool'!B:B,match(D1162,'Query Tool'!C:C,0))</f>
        <v>1</v>
      </c>
      <c r="Y1162" s="161" t="str">
        <f t="shared" si="6"/>
        <v>beverpa01,2015-16</v>
      </c>
      <c r="Z1162" s="168">
        <f t="array" ref="Z1162">iferror(index(I:I,match($A1162&amp;","&amp;index('Year Conversion'!$A:$A,match($C1162,'Year Conversion'!$B:$B,0)),$Y:$Y,0))-I1162,"")</f>
        <v>1</v>
      </c>
      <c r="AA1162" s="168">
        <f t="array" ref="AA1162">iferror(index(J:J,match($A1162&amp;","&amp;index('Year Conversion'!$A:$A,match($C1162,'Year Conversion'!$B:$B,0)),$Y:$Y,0))-J1162,"")</f>
        <v>1.967316017</v>
      </c>
      <c r="AB1162" s="168">
        <f t="array" ref="AB1162">iferror(index(K:K,match($A1162&amp;","&amp;index('Year Conversion'!$A:$A,match($C1162,'Year Conversion'!$B:$B,0)),$Y:$Y,0))-K1162,"")</f>
        <v>0.5034643178</v>
      </c>
      <c r="AC1162" s="168" t="str">
        <f t="shared" si="7"/>
        <v>HOU,2015-16</v>
      </c>
    </row>
    <row r="1163">
      <c r="A1163" s="161" t="str">
        <f>IFERROR(__xludf.DUMMYFUNCTION("""COMPUTED_VALUE"""),"thornma01")</f>
        <v>thornma01</v>
      </c>
      <c r="B1163" s="161" t="str">
        <f>IFERROR(__xludf.DUMMYFUNCTION("""COMPUTED_VALUE"""),"Marcus Thornton")</f>
        <v>Marcus Thornton</v>
      </c>
      <c r="C1163" s="162" t="str">
        <f>IFERROR(__xludf.DUMMYFUNCTION("""COMPUTED_VALUE"""),"2015-16")</f>
        <v>2015-16</v>
      </c>
      <c r="D1163" s="163" t="str">
        <f>IFERROR(__xludf.DUMMYFUNCTION("""COMPUTED_VALUE"""),"TOT")</f>
        <v>TOT</v>
      </c>
      <c r="E1163" s="164" t="str">
        <f>IFERROR(__xludf.DUMMYFUNCTION("""COMPUTED_VALUE"""),"Secondary Ball Handler")</f>
        <v>Secondary Ball Handler</v>
      </c>
      <c r="F1163" s="164">
        <f>IFERROR(__xludf.DUMMYFUNCTION("""COMPUTED_VALUE"""),1108.07833333333)</f>
        <v>1108.078333</v>
      </c>
      <c r="G1163" s="163">
        <f>IFERROR(__xludf.DUMMYFUNCTION("""COMPUTED_VALUE"""),61.0)</f>
        <v>61</v>
      </c>
      <c r="H1163" s="163" t="str">
        <f>IFERROR(__xludf.DUMMYFUNCTION("""COMPUTED_VALUE"""),"SG")</f>
        <v>SG</v>
      </c>
      <c r="I1163" s="163">
        <f>IFERROR(__xludf.DUMMYFUNCTION("""COMPUTED_VALUE"""),28.0)</f>
        <v>28</v>
      </c>
      <c r="J1163" s="165">
        <f>IFERROR(__xludf.DUMMYFUNCTION("""COMPUTED_VALUE"""),-1.45631957668852)</f>
        <v>-1.456319577</v>
      </c>
      <c r="K1163" s="165">
        <f>IFERROR(__xludf.DUMMYFUNCTION("""COMPUTED_VALUE"""),0.697349870821762)</f>
        <v>0.6973498708</v>
      </c>
      <c r="L1163" s="165">
        <f>IFERROR(__xludf.DUMMYFUNCTION("""COMPUTED_VALUE"""),-2.15366944751029)</f>
        <v>-2.153669448</v>
      </c>
      <c r="M1163" s="166">
        <f t="shared" si="2"/>
        <v>0.6235305487</v>
      </c>
      <c r="N1163" s="167">
        <f t="shared" si="3"/>
        <v>18.16521858</v>
      </c>
      <c r="O1163" s="163">
        <f t="shared" ref="O1163:Q1163" si="1167">rank(I1163,I:I)</f>
        <v>1090</v>
      </c>
      <c r="P1163" s="163">
        <f t="shared" si="1167"/>
        <v>3012</v>
      </c>
      <c r="Q1163" s="163">
        <f t="shared" si="1167"/>
        <v>656</v>
      </c>
      <c r="R1163" s="163">
        <f>IFERROR(__xludf.DUMMYFUNCTION("RANK(M1163,filter(M:M,C:C=C1163))"),267.0)</f>
        <v>267</v>
      </c>
      <c r="S1163" s="161" t="b">
        <f t="shared" si="5"/>
        <v>0</v>
      </c>
      <c r="T1163" s="161" t="b">
        <f t="array" ref="T1163">index('Query Tool'!B:B,match(H1163,'Query Tool'!C:C,0))</f>
        <v>1</v>
      </c>
      <c r="U1163" s="161" t="b">
        <f t="array" ref="U1163">index('Query Tool'!B:B,match(C1163,'Query Tool'!C:C,0))</f>
        <v>0</v>
      </c>
      <c r="V1163" s="161" t="b">
        <f>F1163&gt;='Query Tool'!C$32</f>
        <v>1</v>
      </c>
      <c r="W1163" s="161" t="b">
        <f t="array" ref="W1163">index(Dropdowns!B:B,match(I1163,Dropdowns!A:A,0))</f>
        <v>1</v>
      </c>
      <c r="X1163" s="161" t="b">
        <f t="array" ref="X1163">index('Query Tool'!B:B,match(D1163,'Query Tool'!C:C,0))</f>
        <v>1</v>
      </c>
      <c r="Y1163" s="161" t="str">
        <f t="shared" si="6"/>
        <v>thornma01,2015-16</v>
      </c>
      <c r="Z1163" s="168">
        <f t="array" ref="Z1163">iferror(index(I:I,match($A1163&amp;","&amp;index('Year Conversion'!$A:$A,match($C1163,'Year Conversion'!$B:$B,0)),$Y:$Y,0))-I1163,"")</f>
        <v>1</v>
      </c>
      <c r="AA1163" s="168">
        <f t="array" ref="AA1163">iferror(index(J:J,match($A1163&amp;","&amp;index('Year Conversion'!$A:$A,match($C1163,'Year Conversion'!$B:$B,0)),$Y:$Y,0))-J1163,"")</f>
        <v>-1.354808904</v>
      </c>
      <c r="AB1163" s="168">
        <f t="array" ref="AB1163">iferror(index(K:K,match($A1163&amp;","&amp;index('Year Conversion'!$A:$A,match($C1163,'Year Conversion'!$B:$B,0)),$Y:$Y,0))-K1163,"")</f>
        <v>-1.664330959</v>
      </c>
      <c r="AC1163" s="168" t="str">
        <f t="shared" si="7"/>
        <v>TOT,2015-16</v>
      </c>
    </row>
    <row r="1164">
      <c r="A1164" s="161" t="str">
        <f>IFERROR(__xludf.DUMMYFUNCTION("""COMPUTED_VALUE"""),"budinch01")</f>
        <v>budinch01</v>
      </c>
      <c r="B1164" s="161" t="str">
        <f>IFERROR(__xludf.DUMMYFUNCTION("""COMPUTED_VALUE"""),"Chase Budinger")</f>
        <v>Chase Budinger</v>
      </c>
      <c r="C1164" s="162" t="str">
        <f>IFERROR(__xludf.DUMMYFUNCTION("""COMPUTED_VALUE"""),"2015-16")</f>
        <v>2015-16</v>
      </c>
      <c r="D1164" s="163" t="str">
        <f>IFERROR(__xludf.DUMMYFUNCTION("""COMPUTED_VALUE"""),"TOT")</f>
        <v>TOT</v>
      </c>
      <c r="E1164" s="164" t="str">
        <f>IFERROR(__xludf.DUMMYFUNCTION("""COMPUTED_VALUE"""),"Athletic Finisher")</f>
        <v>Athletic Finisher</v>
      </c>
      <c r="F1164" s="164">
        <f>IFERROR(__xludf.DUMMYFUNCTION("""COMPUTED_VALUE"""),929.716666666667)</f>
        <v>929.7166667</v>
      </c>
      <c r="G1164" s="163">
        <f>IFERROR(__xludf.DUMMYFUNCTION("""COMPUTED_VALUE"""),66.0)</f>
        <v>66</v>
      </c>
      <c r="H1164" s="163" t="str">
        <f>IFERROR(__xludf.DUMMYFUNCTION("""COMPUTED_VALUE"""),"SF")</f>
        <v>SF</v>
      </c>
      <c r="I1164" s="163">
        <f>IFERROR(__xludf.DUMMYFUNCTION("""COMPUTED_VALUE"""),27.0)</f>
        <v>27</v>
      </c>
      <c r="J1164" s="165">
        <f>IFERROR(__xludf.DUMMYFUNCTION("""COMPUTED_VALUE"""),-0.355979749913002)</f>
        <v>-0.3559797499</v>
      </c>
      <c r="K1164" s="165">
        <f>IFERROR(__xludf.DUMMYFUNCTION("""COMPUTED_VALUE"""),-0.210144004672042)</f>
        <v>-0.2101440047</v>
      </c>
      <c r="L1164" s="165">
        <f>IFERROR(__xludf.DUMMYFUNCTION("""COMPUTED_VALUE"""),-0.145835745240961)</f>
        <v>-0.1458357452</v>
      </c>
      <c r="M1164" s="166">
        <f t="shared" si="2"/>
        <v>1.210222398</v>
      </c>
      <c r="N1164" s="167">
        <f t="shared" si="3"/>
        <v>14.08661616</v>
      </c>
      <c r="O1164" s="163">
        <f t="shared" ref="O1164:Q1164" si="1168">rank(I1164,I:I)</f>
        <v>1366</v>
      </c>
      <c r="P1164" s="163">
        <f t="shared" si="1168"/>
        <v>1678</v>
      </c>
      <c r="Q1164" s="163">
        <f t="shared" si="1168"/>
        <v>1580</v>
      </c>
      <c r="R1164" s="163">
        <f>IFERROR(__xludf.DUMMYFUNCTION("RANK(M1164,filter(M:M,C:C=C1164))"),205.0)</f>
        <v>205</v>
      </c>
      <c r="S1164" s="161" t="b">
        <f t="shared" si="5"/>
        <v>0</v>
      </c>
      <c r="T1164" s="161" t="b">
        <f t="array" ref="T1164">index('Query Tool'!B:B,match(H1164,'Query Tool'!C:C,0))</f>
        <v>1</v>
      </c>
      <c r="U1164" s="161" t="b">
        <f t="array" ref="U1164">index('Query Tool'!B:B,match(C1164,'Query Tool'!C:C,0))</f>
        <v>0</v>
      </c>
      <c r="V1164" s="161" t="b">
        <f>F1164&gt;='Query Tool'!C$32</f>
        <v>1</v>
      </c>
      <c r="W1164" s="161" t="b">
        <f t="array" ref="W1164">index(Dropdowns!B:B,match(I1164,Dropdowns!A:A,0))</f>
        <v>1</v>
      </c>
      <c r="X1164" s="161" t="b">
        <f t="array" ref="X1164">index('Query Tool'!B:B,match(D1164,'Query Tool'!C:C,0))</f>
        <v>1</v>
      </c>
      <c r="Y1164" s="161" t="str">
        <f t="shared" si="6"/>
        <v>budinch01,2015-16</v>
      </c>
      <c r="Z1164" s="168" t="str">
        <f t="array" ref="Z1164">iferror(index(I:I,match($A1164&amp;","&amp;index('Year Conversion'!$A:$A,match($C1164,'Year Conversion'!$B:$B,0)),$Y:$Y,0))-I1164,"")</f>
        <v/>
      </c>
      <c r="AA1164" s="168" t="str">
        <f t="array" ref="AA1164">iferror(index(J:J,match($A1164&amp;","&amp;index('Year Conversion'!$A:$A,match($C1164,'Year Conversion'!$B:$B,0)),$Y:$Y,0))-J1164,"")</f>
        <v/>
      </c>
      <c r="AB1164" s="168" t="str">
        <f t="array" ref="AB1164">iferror(index(K:K,match($A1164&amp;","&amp;index('Year Conversion'!$A:$A,match($C1164,'Year Conversion'!$B:$B,0)),$Y:$Y,0))-K1164,"")</f>
        <v/>
      </c>
      <c r="AC1164" s="168" t="str">
        <f t="shared" si="7"/>
        <v>TOT,2015-16</v>
      </c>
    </row>
    <row r="1165">
      <c r="A1165" s="161" t="str">
        <f>IFERROR(__xludf.DUMMYFUNCTION("""COMPUTED_VALUE"""),"greenda02")</f>
        <v>greenda02</v>
      </c>
      <c r="B1165" s="161" t="str">
        <f>IFERROR(__xludf.DUMMYFUNCTION("""COMPUTED_VALUE"""),"Danny Green")</f>
        <v>Danny Green</v>
      </c>
      <c r="C1165" s="162" t="str">
        <f>IFERROR(__xludf.DUMMYFUNCTION("""COMPUTED_VALUE"""),"2015-16")</f>
        <v>2015-16</v>
      </c>
      <c r="D1165" s="163" t="str">
        <f>IFERROR(__xludf.DUMMYFUNCTION("""COMPUTED_VALUE"""),"SAS")</f>
        <v>SAS</v>
      </c>
      <c r="E1165" s="164" t="str">
        <f>IFERROR(__xludf.DUMMYFUNCTION("""COMPUTED_VALUE"""),"Movement Shooter")</f>
        <v>Movement Shooter</v>
      </c>
      <c r="F1165" s="164">
        <f>IFERROR(__xludf.DUMMYFUNCTION("""COMPUTED_VALUE"""),2061.525)</f>
        <v>2061.525</v>
      </c>
      <c r="G1165" s="163">
        <f>IFERROR(__xludf.DUMMYFUNCTION("""COMPUTED_VALUE"""),79.0)</f>
        <v>79</v>
      </c>
      <c r="H1165" s="163" t="str">
        <f>IFERROR(__xludf.DUMMYFUNCTION("""COMPUTED_VALUE"""),"SG")</f>
        <v>SG</v>
      </c>
      <c r="I1165" s="163">
        <f>IFERROR(__xludf.DUMMYFUNCTION("""COMPUTED_VALUE"""),28.0)</f>
        <v>28</v>
      </c>
      <c r="J1165" s="165">
        <f>IFERROR(__xludf.DUMMYFUNCTION("""COMPUTED_VALUE"""),2.1964589544341)</f>
        <v>2.196458954</v>
      </c>
      <c r="K1165" s="165">
        <f>IFERROR(__xludf.DUMMYFUNCTION("""COMPUTED_VALUE"""),0.089753620989115)</f>
        <v>0.08975362099</v>
      </c>
      <c r="L1165" s="165">
        <f>IFERROR(__xludf.DUMMYFUNCTION("""COMPUTED_VALUE"""),2.10670533344498)</f>
        <v>2.106705333</v>
      </c>
      <c r="M1165" s="166">
        <f t="shared" si="2"/>
        <v>6.210656137</v>
      </c>
      <c r="N1165" s="167">
        <f t="shared" si="3"/>
        <v>26.09525316</v>
      </c>
      <c r="O1165" s="163">
        <f t="shared" ref="O1165:Q1165" si="1169">rank(I1165,I:I)</f>
        <v>1090</v>
      </c>
      <c r="P1165" s="163">
        <f t="shared" si="1169"/>
        <v>272</v>
      </c>
      <c r="Q1165" s="163">
        <f t="shared" si="1169"/>
        <v>1081</v>
      </c>
      <c r="R1165" s="163">
        <f>IFERROR(__xludf.DUMMYFUNCTION("RANK(M1165,filter(M:M,C:C=C1165))"),41.0)</f>
        <v>41</v>
      </c>
      <c r="S1165" s="161" t="b">
        <f t="shared" si="5"/>
        <v>0</v>
      </c>
      <c r="T1165" s="161" t="b">
        <f t="array" ref="T1165">index('Query Tool'!B:B,match(H1165,'Query Tool'!C:C,0))</f>
        <v>1</v>
      </c>
      <c r="U1165" s="161" t="b">
        <f t="array" ref="U1165">index('Query Tool'!B:B,match(C1165,'Query Tool'!C:C,0))</f>
        <v>0</v>
      </c>
      <c r="V1165" s="161" t="b">
        <f>F1165&gt;='Query Tool'!C$32</f>
        <v>1</v>
      </c>
      <c r="W1165" s="161" t="b">
        <f t="array" ref="W1165">index(Dropdowns!B:B,match(I1165,Dropdowns!A:A,0))</f>
        <v>1</v>
      </c>
      <c r="X1165" s="161" t="b">
        <f t="array" ref="X1165">index('Query Tool'!B:B,match(D1165,'Query Tool'!C:C,0))</f>
        <v>1</v>
      </c>
      <c r="Y1165" s="161" t="str">
        <f t="shared" si="6"/>
        <v>greenda02,2015-16</v>
      </c>
      <c r="Z1165" s="168">
        <f t="array" ref="Z1165">iferror(index(I:I,match($A1165&amp;","&amp;index('Year Conversion'!$A:$A,match($C1165,'Year Conversion'!$B:$B,0)),$Y:$Y,0))-I1165,"")</f>
        <v>1</v>
      </c>
      <c r="AA1165" s="168">
        <f t="array" ref="AA1165">iferror(index(J:J,match($A1165&amp;","&amp;index('Year Conversion'!$A:$A,match($C1165,'Year Conversion'!$B:$B,0)),$Y:$Y,0))-J1165,"")</f>
        <v>-0.9419195804</v>
      </c>
      <c r="AB1165" s="168">
        <f t="array" ref="AB1165">iferror(index(K:K,match($A1165&amp;","&amp;index('Year Conversion'!$A:$A,match($C1165,'Year Conversion'!$B:$B,0)),$Y:$Y,0))-K1165,"")</f>
        <v>-0.2820553943</v>
      </c>
      <c r="AC1165" s="168" t="str">
        <f t="shared" si="7"/>
        <v>SAS,2015-16</v>
      </c>
    </row>
    <row r="1166">
      <c r="A1166" s="161" t="str">
        <f>IFERROR(__xludf.DUMMYFUNCTION("""COMPUTED_VALUE"""),"millspa02")</f>
        <v>millspa02</v>
      </c>
      <c r="B1166" s="161" t="str">
        <f>IFERROR(__xludf.DUMMYFUNCTION("""COMPUTED_VALUE"""),"Patty Mills")</f>
        <v>Patty Mills</v>
      </c>
      <c r="C1166" s="162" t="str">
        <f>IFERROR(__xludf.DUMMYFUNCTION("""COMPUTED_VALUE"""),"2015-16")</f>
        <v>2015-16</v>
      </c>
      <c r="D1166" s="163" t="str">
        <f>IFERROR(__xludf.DUMMYFUNCTION("""COMPUTED_VALUE"""),"SAS")</f>
        <v>SAS</v>
      </c>
      <c r="E1166" s="164" t="str">
        <f>IFERROR(__xludf.DUMMYFUNCTION("""COMPUTED_VALUE"""),"Primary Ball Handler")</f>
        <v>Primary Ball Handler</v>
      </c>
      <c r="F1166" s="164">
        <f>IFERROR(__xludf.DUMMYFUNCTION("""COMPUTED_VALUE"""),1662.06)</f>
        <v>1662.06</v>
      </c>
      <c r="G1166" s="163">
        <f>IFERROR(__xludf.DUMMYFUNCTION("""COMPUTED_VALUE"""),81.0)</f>
        <v>81</v>
      </c>
      <c r="H1166" s="163" t="str">
        <f>IFERROR(__xludf.DUMMYFUNCTION("""COMPUTED_VALUE"""),"PG")</f>
        <v>PG</v>
      </c>
      <c r="I1166" s="163">
        <f>IFERROR(__xludf.DUMMYFUNCTION("""COMPUTED_VALUE"""),27.0)</f>
        <v>27</v>
      </c>
      <c r="J1166" s="165">
        <f>IFERROR(__xludf.DUMMYFUNCTION("""COMPUTED_VALUE"""),2.10501301235725)</f>
        <v>2.105013012</v>
      </c>
      <c r="K1166" s="165">
        <f>IFERROR(__xludf.DUMMYFUNCTION("""COMPUTED_VALUE"""),1.58392650872546)</f>
        <v>1.583926509</v>
      </c>
      <c r="L1166" s="165">
        <f>IFERROR(__xludf.DUMMYFUNCTION("""COMPUTED_VALUE"""),0.521086503631786)</f>
        <v>0.5210865036</v>
      </c>
      <c r="M1166" s="166">
        <f t="shared" si="2"/>
        <v>4.906688746</v>
      </c>
      <c r="N1166" s="167">
        <f t="shared" si="3"/>
        <v>20.51925926</v>
      </c>
      <c r="O1166" s="163">
        <f t="shared" ref="O1166:Q1166" si="1170">rank(I1166,I:I)</f>
        <v>1366</v>
      </c>
      <c r="P1166" s="163">
        <f t="shared" si="1170"/>
        <v>291</v>
      </c>
      <c r="Q1166" s="163">
        <f t="shared" si="1170"/>
        <v>299</v>
      </c>
      <c r="R1166" s="163">
        <f>IFERROR(__xludf.DUMMYFUNCTION("RANK(M1166,filter(M:M,C:C=C1166))"),67.0)</f>
        <v>67</v>
      </c>
      <c r="S1166" s="161" t="b">
        <f t="shared" si="5"/>
        <v>0</v>
      </c>
      <c r="T1166" s="161" t="b">
        <f t="array" ref="T1166">index('Query Tool'!B:B,match(H1166,'Query Tool'!C:C,0))</f>
        <v>1</v>
      </c>
      <c r="U1166" s="161" t="b">
        <f t="array" ref="U1166">index('Query Tool'!B:B,match(C1166,'Query Tool'!C:C,0))</f>
        <v>0</v>
      </c>
      <c r="V1166" s="161" t="b">
        <f>F1166&gt;='Query Tool'!C$32</f>
        <v>1</v>
      </c>
      <c r="W1166" s="161" t="b">
        <f t="array" ref="W1166">index(Dropdowns!B:B,match(I1166,Dropdowns!A:A,0))</f>
        <v>1</v>
      </c>
      <c r="X1166" s="161" t="b">
        <f t="array" ref="X1166">index('Query Tool'!B:B,match(D1166,'Query Tool'!C:C,0))</f>
        <v>1</v>
      </c>
      <c r="Y1166" s="161" t="str">
        <f t="shared" si="6"/>
        <v>millspa02,2015-16</v>
      </c>
      <c r="Z1166" s="168">
        <f t="array" ref="Z1166">iferror(index(I:I,match($A1166&amp;","&amp;index('Year Conversion'!$A:$A,match($C1166,'Year Conversion'!$B:$B,0)),$Y:$Y,0))-I1166,"")</f>
        <v>1</v>
      </c>
      <c r="AA1166" s="168">
        <f t="array" ref="AA1166">iferror(index(J:J,match($A1166&amp;","&amp;index('Year Conversion'!$A:$A,match($C1166,'Year Conversion'!$B:$B,0)),$Y:$Y,0))-J1166,"")</f>
        <v>-1.318380335</v>
      </c>
      <c r="AB1166" s="168">
        <f t="array" ref="AB1166">iferror(index(K:K,match($A1166&amp;","&amp;index('Year Conversion'!$A:$A,match($C1166,'Year Conversion'!$B:$B,0)),$Y:$Y,0))-K1166,"")</f>
        <v>-0.1770731587</v>
      </c>
      <c r="AC1166" s="168" t="str">
        <f t="shared" si="7"/>
        <v>SAS,2015-16</v>
      </c>
    </row>
    <row r="1167">
      <c r="A1167" s="161" t="str">
        <f>IFERROR(__xludf.DUMMYFUNCTION("""COMPUTED_VALUE"""),"templga01")</f>
        <v>templga01</v>
      </c>
      <c r="B1167" s="161" t="str">
        <f>IFERROR(__xludf.DUMMYFUNCTION("""COMPUTED_VALUE"""),"Garrett Temple")</f>
        <v>Garrett Temple</v>
      </c>
      <c r="C1167" s="162" t="str">
        <f>IFERROR(__xludf.DUMMYFUNCTION("""COMPUTED_VALUE"""),"2015-16")</f>
        <v>2015-16</v>
      </c>
      <c r="D1167" s="163" t="str">
        <f>IFERROR(__xludf.DUMMYFUNCTION("""COMPUTED_VALUE"""),"WAS")</f>
        <v>WAS</v>
      </c>
      <c r="E1167" s="164" t="str">
        <f>IFERROR(__xludf.DUMMYFUNCTION("""COMPUTED_VALUE"""),"Stationary Shooter")</f>
        <v>Stationary Shooter</v>
      </c>
      <c r="F1167" s="164">
        <f>IFERROR(__xludf.DUMMYFUNCTION("""COMPUTED_VALUE"""),1951.195)</f>
        <v>1951.195</v>
      </c>
      <c r="G1167" s="163">
        <f>IFERROR(__xludf.DUMMYFUNCTION("""COMPUTED_VALUE"""),80.0)</f>
        <v>80</v>
      </c>
      <c r="H1167" s="163" t="str">
        <f>IFERROR(__xludf.DUMMYFUNCTION("""COMPUTED_VALUE"""),"SF")</f>
        <v>SF</v>
      </c>
      <c r="I1167" s="163">
        <f>IFERROR(__xludf.DUMMYFUNCTION("""COMPUTED_VALUE"""),29.0)</f>
        <v>29</v>
      </c>
      <c r="J1167" s="165">
        <f>IFERROR(__xludf.DUMMYFUNCTION("""COMPUTED_VALUE"""),-0.680307101160421)</f>
        <v>-0.6803071012</v>
      </c>
      <c r="K1167" s="165">
        <f>IFERROR(__xludf.DUMMYFUNCTION("""COMPUTED_VALUE"""),-1.28054380019477)</f>
        <v>-1.2805438</v>
      </c>
      <c r="L1167" s="165">
        <f>IFERROR(__xludf.DUMMYFUNCTION("""COMPUTED_VALUE"""),0.600236699034345)</f>
        <v>0.600236699</v>
      </c>
      <c r="M1167" s="166">
        <f t="shared" si="2"/>
        <v>2.113739705</v>
      </c>
      <c r="N1167" s="167">
        <f t="shared" si="3"/>
        <v>24.3899375</v>
      </c>
      <c r="O1167" s="163">
        <f t="shared" ref="O1167:Q1167" si="1171">rank(I1167,I:I)</f>
        <v>855</v>
      </c>
      <c r="P1167" s="163">
        <f t="shared" si="1171"/>
        <v>2109</v>
      </c>
      <c r="Q1167" s="163">
        <f t="shared" si="1171"/>
        <v>3122</v>
      </c>
      <c r="R1167" s="163">
        <f>IFERROR(__xludf.DUMMYFUNCTION("RANK(M1167,filter(M:M,C:C=C1167))"),152.0)</f>
        <v>152</v>
      </c>
      <c r="S1167" s="161" t="b">
        <f t="shared" si="5"/>
        <v>0</v>
      </c>
      <c r="T1167" s="161" t="b">
        <f t="array" ref="T1167">index('Query Tool'!B:B,match(H1167,'Query Tool'!C:C,0))</f>
        <v>1</v>
      </c>
      <c r="U1167" s="161" t="b">
        <f t="array" ref="U1167">index('Query Tool'!B:B,match(C1167,'Query Tool'!C:C,0))</f>
        <v>0</v>
      </c>
      <c r="V1167" s="161" t="b">
        <f>F1167&gt;='Query Tool'!C$32</f>
        <v>1</v>
      </c>
      <c r="W1167" s="161" t="b">
        <f t="array" ref="W1167">index(Dropdowns!B:B,match(I1167,Dropdowns!A:A,0))</f>
        <v>1</v>
      </c>
      <c r="X1167" s="161" t="b">
        <f t="array" ref="X1167">index('Query Tool'!B:B,match(D1167,'Query Tool'!C:C,0))</f>
        <v>1</v>
      </c>
      <c r="Y1167" s="161" t="str">
        <f t="shared" si="6"/>
        <v>templga01,2015-16</v>
      </c>
      <c r="Z1167" s="168">
        <f t="array" ref="Z1167">iferror(index(I:I,match($A1167&amp;","&amp;index('Year Conversion'!$A:$A,match($C1167,'Year Conversion'!$B:$B,0)),$Y:$Y,0))-I1167,"")</f>
        <v>1</v>
      </c>
      <c r="AA1167" s="168">
        <f t="array" ref="AA1167">iferror(index(J:J,match($A1167&amp;","&amp;index('Year Conversion'!$A:$A,match($C1167,'Year Conversion'!$B:$B,0)),$Y:$Y,0))-J1167,"")</f>
        <v>-0.5199451384</v>
      </c>
      <c r="AB1167" s="168">
        <f t="array" ref="AB1167">iferror(index(K:K,match($A1167&amp;","&amp;index('Year Conversion'!$A:$A,match($C1167,'Year Conversion'!$B:$B,0)),$Y:$Y,0))-K1167,"")</f>
        <v>0.3937670044</v>
      </c>
      <c r="AC1167" s="168" t="str">
        <f t="shared" si="7"/>
        <v>WAS,2015-16</v>
      </c>
    </row>
    <row r="1168">
      <c r="A1168" s="161" t="str">
        <f>IFERROR(__xludf.DUMMYFUNCTION("""COMPUTED_VALUE"""),"matthwe02")</f>
        <v>matthwe02</v>
      </c>
      <c r="B1168" s="161" t="str">
        <f>IFERROR(__xludf.DUMMYFUNCTION("""COMPUTED_VALUE"""),"Wesley Matthews")</f>
        <v>Wesley Matthews</v>
      </c>
      <c r="C1168" s="162" t="str">
        <f>IFERROR(__xludf.DUMMYFUNCTION("""COMPUTED_VALUE"""),"2015-16")</f>
        <v>2015-16</v>
      </c>
      <c r="D1168" s="163" t="str">
        <f>IFERROR(__xludf.DUMMYFUNCTION("""COMPUTED_VALUE"""),"DAL")</f>
        <v>DAL</v>
      </c>
      <c r="E1168" s="164" t="str">
        <f>IFERROR(__xludf.DUMMYFUNCTION("""COMPUTED_VALUE"""),"Shot Creator")</f>
        <v>Shot Creator</v>
      </c>
      <c r="F1168" s="164">
        <f>IFERROR(__xludf.DUMMYFUNCTION("""COMPUTED_VALUE"""),2644.30166666667)</f>
        <v>2644.301667</v>
      </c>
      <c r="G1168" s="163">
        <f>IFERROR(__xludf.DUMMYFUNCTION("""COMPUTED_VALUE"""),78.0)</f>
        <v>78</v>
      </c>
      <c r="H1168" s="163" t="str">
        <f>IFERROR(__xludf.DUMMYFUNCTION("""COMPUTED_VALUE"""),"SF")</f>
        <v>SF</v>
      </c>
      <c r="I1168" s="163">
        <f>IFERROR(__xludf.DUMMYFUNCTION("""COMPUTED_VALUE"""),29.0)</f>
        <v>29</v>
      </c>
      <c r="J1168" s="165">
        <f>IFERROR(__xludf.DUMMYFUNCTION("""COMPUTED_VALUE"""),5.3954230720521E-5)</f>
        <v>0.00005395423072</v>
      </c>
      <c r="K1168" s="165">
        <f>IFERROR(__xludf.DUMMYFUNCTION("""COMPUTED_VALUE"""),0.964538126533744)</f>
        <v>0.9645381265</v>
      </c>
      <c r="L1168" s="165">
        <f>IFERROR(__xludf.DUMMYFUNCTION("""COMPUTED_VALUE"""),-0.964484172303023)</f>
        <v>-0.9644841723</v>
      </c>
      <c r="M1168" s="166">
        <f t="shared" si="2"/>
        <v>4.076727924</v>
      </c>
      <c r="N1168" s="167">
        <f t="shared" si="3"/>
        <v>33.90130342</v>
      </c>
      <c r="O1168" s="163">
        <f t="shared" ref="O1168:Q1168" si="1172">rank(I1168,I:I)</f>
        <v>855</v>
      </c>
      <c r="P1168" s="163">
        <f t="shared" si="1172"/>
        <v>1281</v>
      </c>
      <c r="Q1168" s="163">
        <f t="shared" si="1172"/>
        <v>519</v>
      </c>
      <c r="R1168" s="163">
        <f>IFERROR(__xludf.DUMMYFUNCTION("RANK(M1168,filter(M:M,C:C=C1168))"),83.0)</f>
        <v>83</v>
      </c>
      <c r="S1168" s="161" t="b">
        <f t="shared" si="5"/>
        <v>0</v>
      </c>
      <c r="T1168" s="161" t="b">
        <f t="array" ref="T1168">index('Query Tool'!B:B,match(H1168,'Query Tool'!C:C,0))</f>
        <v>1</v>
      </c>
      <c r="U1168" s="161" t="b">
        <f t="array" ref="U1168">index('Query Tool'!B:B,match(C1168,'Query Tool'!C:C,0))</f>
        <v>0</v>
      </c>
      <c r="V1168" s="161" t="b">
        <f>F1168&gt;='Query Tool'!C$32</f>
        <v>1</v>
      </c>
      <c r="W1168" s="161" t="b">
        <f t="array" ref="W1168">index(Dropdowns!B:B,match(I1168,Dropdowns!A:A,0))</f>
        <v>1</v>
      </c>
      <c r="X1168" s="161" t="b">
        <f t="array" ref="X1168">index('Query Tool'!B:B,match(D1168,'Query Tool'!C:C,0))</f>
        <v>1</v>
      </c>
      <c r="Y1168" s="161" t="str">
        <f t="shared" si="6"/>
        <v>matthwe02,2015-16</v>
      </c>
      <c r="Z1168" s="168">
        <f t="array" ref="Z1168">iferror(index(I:I,match($A1168&amp;","&amp;index('Year Conversion'!$A:$A,match($C1168,'Year Conversion'!$B:$B,0)),$Y:$Y,0))-I1168,"")</f>
        <v>1</v>
      </c>
      <c r="AA1168" s="168">
        <f t="array" ref="AA1168">iferror(index(J:J,match($A1168&amp;","&amp;index('Year Conversion'!$A:$A,match($C1168,'Year Conversion'!$B:$B,0)),$Y:$Y,0))-J1168,"")</f>
        <v>-0.348789771</v>
      </c>
      <c r="AB1168" s="168">
        <f t="array" ref="AB1168">iferror(index(K:K,match($A1168&amp;","&amp;index('Year Conversion'!$A:$A,match($C1168,'Year Conversion'!$B:$B,0)),$Y:$Y,0))-K1168,"")</f>
        <v>-1.773242046</v>
      </c>
      <c r="AC1168" s="168" t="str">
        <f t="shared" si="7"/>
        <v>DAL,2015-16</v>
      </c>
    </row>
    <row r="1169">
      <c r="A1169" s="161" t="str">
        <f>IFERROR(__xludf.DUMMYFUNCTION("""COMPUTED_VALUE"""),"geeal01")</f>
        <v>geeal01</v>
      </c>
      <c r="B1169" s="161" t="str">
        <f>IFERROR(__xludf.DUMMYFUNCTION("""COMPUTED_VALUE"""),"Alonzo Gee")</f>
        <v>Alonzo Gee</v>
      </c>
      <c r="C1169" s="162" t="str">
        <f>IFERROR(__xludf.DUMMYFUNCTION("""COMPUTED_VALUE"""),"2015-16")</f>
        <v>2015-16</v>
      </c>
      <c r="D1169" s="163" t="str">
        <f>IFERROR(__xludf.DUMMYFUNCTION("""COMPUTED_VALUE"""),"NOP")</f>
        <v>NOP</v>
      </c>
      <c r="E1169" s="164" t="str">
        <f>IFERROR(__xludf.DUMMYFUNCTION("""COMPUTED_VALUE"""),"Athletic Finisher")</f>
        <v>Athletic Finisher</v>
      </c>
      <c r="F1169" s="164">
        <f>IFERROR(__xludf.DUMMYFUNCTION("""COMPUTED_VALUE"""),1632.00166666667)</f>
        <v>1632.001667</v>
      </c>
      <c r="G1169" s="163">
        <f>IFERROR(__xludf.DUMMYFUNCTION("""COMPUTED_VALUE"""),73.0)</f>
        <v>73</v>
      </c>
      <c r="H1169" s="163" t="str">
        <f>IFERROR(__xludf.DUMMYFUNCTION("""COMPUTED_VALUE"""),"SF")</f>
        <v>SF</v>
      </c>
      <c r="I1169" s="163">
        <f>IFERROR(__xludf.DUMMYFUNCTION("""COMPUTED_VALUE"""),28.0)</f>
        <v>28</v>
      </c>
      <c r="J1169" s="165">
        <f>IFERROR(__xludf.DUMMYFUNCTION("""COMPUTED_VALUE"""),-2.16231844105577)</f>
        <v>-2.162318441</v>
      </c>
      <c r="K1169" s="165">
        <f>IFERROR(__xludf.DUMMYFUNCTION("""COMPUTED_VALUE"""),-2.77599127822314)</f>
        <v>-2.775991278</v>
      </c>
      <c r="L1169" s="165">
        <f>IFERROR(__xludf.DUMMYFUNCTION("""COMPUTED_VALUE"""),0.613672837167377)</f>
        <v>0.6136728372</v>
      </c>
      <c r="M1169" s="166">
        <f t="shared" si="2"/>
        <v>0.1521832479</v>
      </c>
      <c r="N1169" s="167">
        <f t="shared" si="3"/>
        <v>22.35618721</v>
      </c>
      <c r="O1169" s="163">
        <f t="shared" ref="O1169:Q1169" si="1173">rank(I1169,I:I)</f>
        <v>1090</v>
      </c>
      <c r="P1169" s="163">
        <f t="shared" si="1173"/>
        <v>3590</v>
      </c>
      <c r="Q1169" s="163">
        <f t="shared" si="1173"/>
        <v>3948</v>
      </c>
      <c r="R1169" s="163">
        <f>IFERROR(__xludf.DUMMYFUNCTION("RANK(M1169,filter(M:M,C:C=C1169))"),355.0)</f>
        <v>355</v>
      </c>
      <c r="S1169" s="161" t="b">
        <f t="shared" si="5"/>
        <v>0</v>
      </c>
      <c r="T1169" s="161" t="b">
        <f t="array" ref="T1169">index('Query Tool'!B:B,match(H1169,'Query Tool'!C:C,0))</f>
        <v>1</v>
      </c>
      <c r="U1169" s="161" t="b">
        <f t="array" ref="U1169">index('Query Tool'!B:B,match(C1169,'Query Tool'!C:C,0))</f>
        <v>0</v>
      </c>
      <c r="V1169" s="161" t="b">
        <f>F1169&gt;='Query Tool'!C$32</f>
        <v>1</v>
      </c>
      <c r="W1169" s="161" t="b">
        <f t="array" ref="W1169">index(Dropdowns!B:B,match(I1169,Dropdowns!A:A,0))</f>
        <v>1</v>
      </c>
      <c r="X1169" s="161" t="b">
        <f t="array" ref="X1169">index('Query Tool'!B:B,match(D1169,'Query Tool'!C:C,0))</f>
        <v>1</v>
      </c>
      <c r="Y1169" s="161" t="str">
        <f t="shared" si="6"/>
        <v>geeal01,2015-16</v>
      </c>
      <c r="Z1169" s="168">
        <f t="array" ref="Z1169">iferror(index(I:I,match($A1169&amp;","&amp;index('Year Conversion'!$A:$A,match($C1169,'Year Conversion'!$B:$B,0)),$Y:$Y,0))-I1169,"")</f>
        <v>1</v>
      </c>
      <c r="AA1169" s="168">
        <f t="array" ref="AA1169">iferror(index(J:J,match($A1169&amp;","&amp;index('Year Conversion'!$A:$A,match($C1169,'Year Conversion'!$B:$B,0)),$Y:$Y,0))-J1169,"")</f>
        <v>1.698222028</v>
      </c>
      <c r="AB1169" s="168">
        <f t="array" ref="AB1169">iferror(index(K:K,match($A1169&amp;","&amp;index('Year Conversion'!$A:$A,match($C1169,'Year Conversion'!$B:$B,0)),$Y:$Y,0))-K1169,"")</f>
        <v>2.040770357</v>
      </c>
      <c r="AC1169" s="168" t="str">
        <f t="shared" si="7"/>
        <v>NOP,2015-16</v>
      </c>
    </row>
    <row r="1170">
      <c r="A1170" s="161" t="str">
        <f>IFERROR(__xludf.DUMMYFUNCTION("""COMPUTED_VALUE"""),"walljo01")</f>
        <v>walljo01</v>
      </c>
      <c r="B1170" s="161" t="str">
        <f>IFERROR(__xludf.DUMMYFUNCTION("""COMPUTED_VALUE"""),"John Wall")</f>
        <v>John Wall</v>
      </c>
      <c r="C1170" s="162" t="str">
        <f>IFERROR(__xludf.DUMMYFUNCTION("""COMPUTED_VALUE"""),"2015-16")</f>
        <v>2015-16</v>
      </c>
      <c r="D1170" s="163" t="str">
        <f>IFERROR(__xludf.DUMMYFUNCTION("""COMPUTED_VALUE"""),"WAS")</f>
        <v>WAS</v>
      </c>
      <c r="E1170" s="164" t="str">
        <f>IFERROR(__xludf.DUMMYFUNCTION("""COMPUTED_VALUE"""),"Slasher")</f>
        <v>Slasher</v>
      </c>
      <c r="F1170" s="164">
        <f>IFERROR(__xludf.DUMMYFUNCTION("""COMPUTED_VALUE"""),2784.015)</f>
        <v>2784.015</v>
      </c>
      <c r="G1170" s="163">
        <f>IFERROR(__xludf.DUMMYFUNCTION("""COMPUTED_VALUE"""),77.0)</f>
        <v>77</v>
      </c>
      <c r="H1170" s="163" t="str">
        <f>IFERROR(__xludf.DUMMYFUNCTION("""COMPUTED_VALUE"""),"PG")</f>
        <v>PG</v>
      </c>
      <c r="I1170" s="163">
        <f>IFERROR(__xludf.DUMMYFUNCTION("""COMPUTED_VALUE"""),25.0)</f>
        <v>25</v>
      </c>
      <c r="J1170" s="165">
        <f>IFERROR(__xludf.DUMMYFUNCTION("""COMPUTED_VALUE"""),2.77771894232605)</f>
        <v>2.777718942</v>
      </c>
      <c r="K1170" s="165">
        <f>IFERROR(__xludf.DUMMYFUNCTION("""COMPUTED_VALUE"""),1.42011034207658)</f>
        <v>1.420110342</v>
      </c>
      <c r="L1170" s="165">
        <f>IFERROR(__xludf.DUMMYFUNCTION("""COMPUTED_VALUE"""),1.35760860024946)</f>
        <v>1.3576086</v>
      </c>
      <c r="M1170" s="166">
        <f t="shared" si="2"/>
        <v>9.450500521</v>
      </c>
      <c r="N1170" s="167">
        <f t="shared" si="3"/>
        <v>36.15603896</v>
      </c>
      <c r="O1170" s="163">
        <f t="shared" ref="O1170:Q1170" si="1174">rank(I1170,I:I)</f>
        <v>1995</v>
      </c>
      <c r="P1170" s="163">
        <f t="shared" si="1174"/>
        <v>190</v>
      </c>
      <c r="Q1170" s="163">
        <f t="shared" si="1174"/>
        <v>344</v>
      </c>
      <c r="R1170" s="163">
        <f>IFERROR(__xludf.DUMMYFUNCTION("RANK(M1170,filter(M:M,C:C=C1170))"),14.0)</f>
        <v>14</v>
      </c>
      <c r="S1170" s="161" t="b">
        <f t="shared" si="5"/>
        <v>0</v>
      </c>
      <c r="T1170" s="161" t="b">
        <f t="array" ref="T1170">index('Query Tool'!B:B,match(H1170,'Query Tool'!C:C,0))</f>
        <v>1</v>
      </c>
      <c r="U1170" s="161" t="b">
        <f t="array" ref="U1170">index('Query Tool'!B:B,match(C1170,'Query Tool'!C:C,0))</f>
        <v>0</v>
      </c>
      <c r="V1170" s="161" t="b">
        <f>F1170&gt;='Query Tool'!C$32</f>
        <v>1</v>
      </c>
      <c r="W1170" s="161" t="b">
        <f t="array" ref="W1170">index(Dropdowns!B:B,match(I1170,Dropdowns!A:A,0))</f>
        <v>1</v>
      </c>
      <c r="X1170" s="161" t="b">
        <f t="array" ref="X1170">index('Query Tool'!B:B,match(D1170,'Query Tool'!C:C,0))</f>
        <v>1</v>
      </c>
      <c r="Y1170" s="161" t="str">
        <f t="shared" si="6"/>
        <v>walljo01,2015-16</v>
      </c>
      <c r="Z1170" s="168">
        <f t="array" ref="Z1170">iferror(index(I:I,match($A1170&amp;","&amp;index('Year Conversion'!$A:$A,match($C1170,'Year Conversion'!$B:$B,0)),$Y:$Y,0))-I1170,"")</f>
        <v>1</v>
      </c>
      <c r="AA1170" s="168">
        <f t="array" ref="AA1170">iferror(index(J:J,match($A1170&amp;","&amp;index('Year Conversion'!$A:$A,match($C1170,'Year Conversion'!$B:$B,0)),$Y:$Y,0))-J1170,"")</f>
        <v>0.1089112995</v>
      </c>
      <c r="AB1170" s="168">
        <f t="array" ref="AB1170">iferror(index(K:K,match($A1170&amp;","&amp;index('Year Conversion'!$A:$A,match($C1170,'Year Conversion'!$B:$B,0)),$Y:$Y,0))-K1170,"")</f>
        <v>1.998794218</v>
      </c>
      <c r="AC1170" s="168" t="str">
        <f t="shared" si="7"/>
        <v>WAS,2015-16</v>
      </c>
    </row>
    <row r="1171">
      <c r="A1171" s="161" t="str">
        <f>IFERROR(__xludf.DUMMYFUNCTION("""COMPUTED_VALUE"""),"turneev01")</f>
        <v>turneev01</v>
      </c>
      <c r="B1171" s="161" t="str">
        <f>IFERROR(__xludf.DUMMYFUNCTION("""COMPUTED_VALUE"""),"Evan Turner")</f>
        <v>Evan Turner</v>
      </c>
      <c r="C1171" s="162" t="str">
        <f>IFERROR(__xludf.DUMMYFUNCTION("""COMPUTED_VALUE"""),"2015-16")</f>
        <v>2015-16</v>
      </c>
      <c r="D1171" s="163" t="str">
        <f>IFERROR(__xludf.DUMMYFUNCTION("""COMPUTED_VALUE"""),"BOS")</f>
        <v>BOS</v>
      </c>
      <c r="E1171" s="164" t="str">
        <f>IFERROR(__xludf.DUMMYFUNCTION("""COMPUTED_VALUE"""),"Shot Creator")</f>
        <v>Shot Creator</v>
      </c>
      <c r="F1171" s="164">
        <f>IFERROR(__xludf.DUMMYFUNCTION("""COMPUTED_VALUE"""),2270.69833333333)</f>
        <v>2270.698333</v>
      </c>
      <c r="G1171" s="163">
        <f>IFERROR(__xludf.DUMMYFUNCTION("""COMPUTED_VALUE"""),81.0)</f>
        <v>81</v>
      </c>
      <c r="H1171" s="163" t="str">
        <f>IFERROR(__xludf.DUMMYFUNCTION("""COMPUTED_VALUE"""),"SG")</f>
        <v>SG</v>
      </c>
      <c r="I1171" s="163">
        <f>IFERROR(__xludf.DUMMYFUNCTION("""COMPUTED_VALUE"""),27.0)</f>
        <v>27</v>
      </c>
      <c r="J1171" s="165">
        <f>IFERROR(__xludf.DUMMYFUNCTION("""COMPUTED_VALUE"""),-0.716474216985934)</f>
        <v>-0.716474217</v>
      </c>
      <c r="K1171" s="165">
        <f>IFERROR(__xludf.DUMMYFUNCTION("""COMPUTED_VALUE"""),-1.00540970012407)</f>
        <v>-1.0054097</v>
      </c>
      <c r="L1171" s="165">
        <f>IFERROR(__xludf.DUMMYFUNCTION("""COMPUTED_VALUE"""),0.288935483138138)</f>
        <v>0.2889354831</v>
      </c>
      <c r="M1171" s="166">
        <f t="shared" si="2"/>
        <v>2.404604174</v>
      </c>
      <c r="N1171" s="167">
        <f t="shared" si="3"/>
        <v>28.03331276</v>
      </c>
      <c r="O1171" s="163">
        <f t="shared" ref="O1171:Q1171" si="1175">rank(I1171,I:I)</f>
        <v>1366</v>
      </c>
      <c r="P1171" s="163">
        <f t="shared" si="1175"/>
        <v>2172</v>
      </c>
      <c r="Q1171" s="163">
        <f t="shared" si="1175"/>
        <v>2812</v>
      </c>
      <c r="R1171" s="163">
        <f>IFERROR(__xludf.DUMMYFUNCTION("RANK(M1171,filter(M:M,C:C=C1171))"),138.0)</f>
        <v>138</v>
      </c>
      <c r="S1171" s="161" t="b">
        <f t="shared" si="5"/>
        <v>0</v>
      </c>
      <c r="T1171" s="161" t="b">
        <f t="array" ref="T1171">index('Query Tool'!B:B,match(H1171,'Query Tool'!C:C,0))</f>
        <v>1</v>
      </c>
      <c r="U1171" s="161" t="b">
        <f t="array" ref="U1171">index('Query Tool'!B:B,match(C1171,'Query Tool'!C:C,0))</f>
        <v>0</v>
      </c>
      <c r="V1171" s="161" t="b">
        <f>F1171&gt;='Query Tool'!C$32</f>
        <v>1</v>
      </c>
      <c r="W1171" s="161" t="b">
        <f t="array" ref="W1171">index(Dropdowns!B:B,match(I1171,Dropdowns!A:A,0))</f>
        <v>1</v>
      </c>
      <c r="X1171" s="161" t="b">
        <f t="array" ref="X1171">index('Query Tool'!B:B,match(D1171,'Query Tool'!C:C,0))</f>
        <v>1</v>
      </c>
      <c r="Y1171" s="161" t="str">
        <f t="shared" si="6"/>
        <v>turneev01,2015-16</v>
      </c>
      <c r="Z1171" s="168">
        <f t="array" ref="Z1171">iferror(index(I:I,match($A1171&amp;","&amp;index('Year Conversion'!$A:$A,match($C1171,'Year Conversion'!$B:$B,0)),$Y:$Y,0))-I1171,"")</f>
        <v>1</v>
      </c>
      <c r="AA1171" s="168">
        <f t="array" ref="AA1171">iferror(index(J:J,match($A1171&amp;","&amp;index('Year Conversion'!$A:$A,match($C1171,'Year Conversion'!$B:$B,0)),$Y:$Y,0))-J1171,"")</f>
        <v>-0.7845190319</v>
      </c>
      <c r="AB1171" s="168">
        <f t="array" ref="AB1171">iferror(index(K:K,match($A1171&amp;","&amp;index('Year Conversion'!$A:$A,match($C1171,'Year Conversion'!$B:$B,0)),$Y:$Y,0))-K1171,"")</f>
        <v>-0.7202357015</v>
      </c>
      <c r="AC1171" s="168" t="str">
        <f t="shared" si="7"/>
        <v>BOS,2015-16</v>
      </c>
    </row>
    <row r="1172">
      <c r="A1172" s="161" t="str">
        <f>IFERROR(__xludf.DUMMYFUNCTION("""COMPUTED_VALUE"""),"favorde01")</f>
        <v>favorde01</v>
      </c>
      <c r="B1172" s="161" t="str">
        <f>IFERROR(__xludf.DUMMYFUNCTION("""COMPUTED_VALUE"""),"Derrick Favors")</f>
        <v>Derrick Favors</v>
      </c>
      <c r="C1172" s="162" t="str">
        <f>IFERROR(__xludf.DUMMYFUNCTION("""COMPUTED_VALUE"""),"2015-16")</f>
        <v>2015-16</v>
      </c>
      <c r="D1172" s="163" t="str">
        <f>IFERROR(__xludf.DUMMYFUNCTION("""COMPUTED_VALUE"""),"UTA")</f>
        <v>UTA</v>
      </c>
      <c r="E1172" s="164" t="str">
        <f>IFERROR(__xludf.DUMMYFUNCTION("""COMPUTED_VALUE"""),"Post Scorer")</f>
        <v>Post Scorer</v>
      </c>
      <c r="F1172" s="164">
        <f>IFERROR(__xludf.DUMMYFUNCTION("""COMPUTED_VALUE"""),1983.20166666667)</f>
        <v>1983.201667</v>
      </c>
      <c r="G1172" s="163">
        <f>IFERROR(__xludf.DUMMYFUNCTION("""COMPUTED_VALUE"""),62.0)</f>
        <v>62</v>
      </c>
      <c r="H1172" s="163" t="str">
        <f>IFERROR(__xludf.DUMMYFUNCTION("""COMPUTED_VALUE"""),"PF")</f>
        <v>PF</v>
      </c>
      <c r="I1172" s="163">
        <f>IFERROR(__xludf.DUMMYFUNCTION("""COMPUTED_VALUE"""),24.0)</f>
        <v>24</v>
      </c>
      <c r="J1172" s="165">
        <f>IFERROR(__xludf.DUMMYFUNCTION("""COMPUTED_VALUE"""),1.96437182147515)</f>
        <v>1.964371821</v>
      </c>
      <c r="K1172" s="165">
        <f>IFERROR(__xludf.DUMMYFUNCTION("""COMPUTED_VALUE"""),0.487670557556951)</f>
        <v>0.4876705576</v>
      </c>
      <c r="L1172" s="165">
        <f>IFERROR(__xludf.DUMMYFUNCTION("""COMPUTED_VALUE"""),1.4767012639182)</f>
        <v>1.476701264</v>
      </c>
      <c r="M1172" s="166">
        <f t="shared" si="2"/>
        <v>5.669918373</v>
      </c>
      <c r="N1172" s="167">
        <f t="shared" si="3"/>
        <v>31.98712366</v>
      </c>
      <c r="O1172" s="163">
        <f t="shared" ref="O1172:Q1172" si="1176">rank(I1172,I:I)</f>
        <v>2361</v>
      </c>
      <c r="P1172" s="163">
        <f t="shared" si="1176"/>
        <v>330</v>
      </c>
      <c r="Q1172" s="163">
        <f t="shared" si="1176"/>
        <v>773</v>
      </c>
      <c r="R1172" s="163">
        <f>IFERROR(__xludf.DUMMYFUNCTION("RANK(M1172,filter(M:M,C:C=C1172))"),51.0)</f>
        <v>51</v>
      </c>
      <c r="S1172" s="161" t="b">
        <f t="shared" si="5"/>
        <v>0</v>
      </c>
      <c r="T1172" s="161" t="b">
        <f t="array" ref="T1172">index('Query Tool'!B:B,match(H1172,'Query Tool'!C:C,0))</f>
        <v>1</v>
      </c>
      <c r="U1172" s="161" t="b">
        <f t="array" ref="U1172">index('Query Tool'!B:B,match(C1172,'Query Tool'!C:C,0))</f>
        <v>0</v>
      </c>
      <c r="V1172" s="161" t="b">
        <f>F1172&gt;='Query Tool'!C$32</f>
        <v>1</v>
      </c>
      <c r="W1172" s="161" t="b">
        <f t="array" ref="W1172">index(Dropdowns!B:B,match(I1172,Dropdowns!A:A,0))</f>
        <v>1</v>
      </c>
      <c r="X1172" s="161" t="b">
        <f t="array" ref="X1172">index('Query Tool'!B:B,match(D1172,'Query Tool'!C:C,0))</f>
        <v>1</v>
      </c>
      <c r="Y1172" s="161" t="str">
        <f t="shared" si="6"/>
        <v>favorde01,2015-16</v>
      </c>
      <c r="Z1172" s="168">
        <f t="array" ref="Z1172">iferror(index(I:I,match($A1172&amp;","&amp;index('Year Conversion'!$A:$A,match($C1172,'Year Conversion'!$B:$B,0)),$Y:$Y,0))-I1172,"")</f>
        <v>1</v>
      </c>
      <c r="AA1172" s="168">
        <f t="array" ref="AA1172">iferror(index(J:J,match($A1172&amp;","&amp;index('Year Conversion'!$A:$A,match($C1172,'Year Conversion'!$B:$B,0)),$Y:$Y,0))-J1172,"")</f>
        <v>-2.061017101</v>
      </c>
      <c r="AB1172" s="168">
        <f t="array" ref="AB1172">iferror(index(K:K,match($A1172&amp;","&amp;index('Year Conversion'!$A:$A,match($C1172,'Year Conversion'!$B:$B,0)),$Y:$Y,0))-K1172,"")</f>
        <v>-2.169354793</v>
      </c>
      <c r="AC1172" s="168" t="str">
        <f t="shared" si="7"/>
        <v>UTA,2015-16</v>
      </c>
    </row>
    <row r="1173">
      <c r="A1173" s="161" t="str">
        <f>IFERROR(__xludf.DUMMYFUNCTION("""COMPUTED_VALUE"""),"johnswe01")</f>
        <v>johnswe01</v>
      </c>
      <c r="B1173" s="161" t="str">
        <f>IFERROR(__xludf.DUMMYFUNCTION("""COMPUTED_VALUE"""),"Wesley Johnson")</f>
        <v>Wesley Johnson</v>
      </c>
      <c r="C1173" s="162" t="str">
        <f>IFERROR(__xludf.DUMMYFUNCTION("""COMPUTED_VALUE"""),"2015-16")</f>
        <v>2015-16</v>
      </c>
      <c r="D1173" s="163" t="str">
        <f>IFERROR(__xludf.DUMMYFUNCTION("""COMPUTED_VALUE"""),"LAC")</f>
        <v>LAC</v>
      </c>
      <c r="E1173" s="164" t="str">
        <f>IFERROR(__xludf.DUMMYFUNCTION("""COMPUTED_VALUE"""),"Movement Shooter")</f>
        <v>Movement Shooter</v>
      </c>
      <c r="F1173" s="164">
        <f>IFERROR(__xludf.DUMMYFUNCTION("""COMPUTED_VALUE"""),1665.81166666667)</f>
        <v>1665.811667</v>
      </c>
      <c r="G1173" s="163">
        <f>IFERROR(__xludf.DUMMYFUNCTION("""COMPUTED_VALUE"""),80.0)</f>
        <v>80</v>
      </c>
      <c r="H1173" s="163" t="str">
        <f>IFERROR(__xludf.DUMMYFUNCTION("""COMPUTED_VALUE"""),"SF")</f>
        <v>SF</v>
      </c>
      <c r="I1173" s="163">
        <f>IFERROR(__xludf.DUMMYFUNCTION("""COMPUTED_VALUE"""),28.0)</f>
        <v>28</v>
      </c>
      <c r="J1173" s="165">
        <f>IFERROR(__xludf.DUMMYFUNCTION("""COMPUTED_VALUE"""),-0.217520739110122)</f>
        <v>-0.2175207391</v>
      </c>
      <c r="K1173" s="165">
        <f>IFERROR(__xludf.DUMMYFUNCTION("""COMPUTED_VALUE"""),-1.5587414850854)</f>
        <v>-1.558741485</v>
      </c>
      <c r="L1173" s="165">
        <f>IFERROR(__xludf.DUMMYFUNCTION("""COMPUTED_VALUE"""),1.34122074597528)</f>
        <v>1.341220746</v>
      </c>
      <c r="M1173" s="166">
        <f t="shared" si="2"/>
        <v>2.32385065</v>
      </c>
      <c r="N1173" s="167">
        <f t="shared" si="3"/>
        <v>20.82264583</v>
      </c>
      <c r="O1173" s="163">
        <f t="shared" ref="O1173:Q1173" si="1177">rank(I1173,I:I)</f>
        <v>1090</v>
      </c>
      <c r="P1173" s="163">
        <f t="shared" si="1177"/>
        <v>1521</v>
      </c>
      <c r="Q1173" s="163">
        <f t="shared" si="1177"/>
        <v>3408</v>
      </c>
      <c r="R1173" s="163">
        <f>IFERROR(__xludf.DUMMYFUNCTION("RANK(M1173,filter(M:M,C:C=C1173))"),144.0)</f>
        <v>144</v>
      </c>
      <c r="S1173" s="161" t="b">
        <f t="shared" si="5"/>
        <v>0</v>
      </c>
      <c r="T1173" s="161" t="b">
        <f t="array" ref="T1173">index('Query Tool'!B:B,match(H1173,'Query Tool'!C:C,0))</f>
        <v>1</v>
      </c>
      <c r="U1173" s="161" t="b">
        <f t="array" ref="U1173">index('Query Tool'!B:B,match(C1173,'Query Tool'!C:C,0))</f>
        <v>0</v>
      </c>
      <c r="V1173" s="161" t="b">
        <f>F1173&gt;='Query Tool'!C$32</f>
        <v>1</v>
      </c>
      <c r="W1173" s="161" t="b">
        <f t="array" ref="W1173">index(Dropdowns!B:B,match(I1173,Dropdowns!A:A,0))</f>
        <v>1</v>
      </c>
      <c r="X1173" s="161" t="b">
        <f t="array" ref="X1173">index('Query Tool'!B:B,match(D1173,'Query Tool'!C:C,0))</f>
        <v>1</v>
      </c>
      <c r="Y1173" s="161" t="str">
        <f t="shared" si="6"/>
        <v>johnswe01,2015-16</v>
      </c>
      <c r="Z1173" s="168">
        <f t="array" ref="Z1173">iferror(index(I:I,match($A1173&amp;","&amp;index('Year Conversion'!$A:$A,match($C1173,'Year Conversion'!$B:$B,0)),$Y:$Y,0))-I1173,"")</f>
        <v>1</v>
      </c>
      <c r="AA1173" s="168">
        <f t="array" ref="AA1173">iferror(index(J:J,match($A1173&amp;","&amp;index('Year Conversion'!$A:$A,match($C1173,'Year Conversion'!$B:$B,0)),$Y:$Y,0))-J1173,"")</f>
        <v>0.3112384591</v>
      </c>
      <c r="AB1173" s="168">
        <f t="array" ref="AB1173">iferror(index(K:K,match($A1173&amp;","&amp;index('Year Conversion'!$A:$A,match($C1173,'Year Conversion'!$B:$B,0)),$Y:$Y,0))-K1173,"")</f>
        <v>-0.2503667333</v>
      </c>
      <c r="AC1173" s="168" t="str">
        <f t="shared" si="7"/>
        <v>LAC,2015-16</v>
      </c>
    </row>
    <row r="1174">
      <c r="A1174" s="161" t="str">
        <f>IFERROR(__xludf.DUMMYFUNCTION("""COMPUTED_VALUE"""),"couside01")</f>
        <v>couside01</v>
      </c>
      <c r="B1174" s="161" t="str">
        <f>IFERROR(__xludf.DUMMYFUNCTION("""COMPUTED_VALUE"""),"DeMarcus Cousins")</f>
        <v>DeMarcus Cousins</v>
      </c>
      <c r="C1174" s="162" t="str">
        <f>IFERROR(__xludf.DUMMYFUNCTION("""COMPUTED_VALUE"""),"2015-16")</f>
        <v>2015-16</v>
      </c>
      <c r="D1174" s="163" t="str">
        <f>IFERROR(__xludf.DUMMYFUNCTION("""COMPUTED_VALUE"""),"SAC")</f>
        <v>SAC</v>
      </c>
      <c r="E1174" s="164" t="str">
        <f>IFERROR(__xludf.DUMMYFUNCTION("""COMPUTED_VALUE"""),"Post Scorer")</f>
        <v>Post Scorer</v>
      </c>
      <c r="F1174" s="164">
        <f>IFERROR(__xludf.DUMMYFUNCTION("""COMPUTED_VALUE"""),2245.835)</f>
        <v>2245.835</v>
      </c>
      <c r="G1174" s="163">
        <f>IFERROR(__xludf.DUMMYFUNCTION("""COMPUTED_VALUE"""),65.0)</f>
        <v>65</v>
      </c>
      <c r="H1174" s="163" t="str">
        <f>IFERROR(__xludf.DUMMYFUNCTION("""COMPUTED_VALUE"""),"C")</f>
        <v>C</v>
      </c>
      <c r="I1174" s="163">
        <f>IFERROR(__xludf.DUMMYFUNCTION("""COMPUTED_VALUE"""),25.0)</f>
        <v>25</v>
      </c>
      <c r="J1174" s="165">
        <f>IFERROR(__xludf.DUMMYFUNCTION("""COMPUTED_VALUE"""),3.73539709732835)</f>
        <v>3.735397097</v>
      </c>
      <c r="K1174" s="165">
        <f>IFERROR(__xludf.DUMMYFUNCTION("""COMPUTED_VALUE"""),1.77804963084625)</f>
        <v>1.778049631</v>
      </c>
      <c r="L1174" s="165">
        <f>IFERROR(__xludf.DUMMYFUNCTION("""COMPUTED_VALUE"""),1.95734746648211)</f>
        <v>1.957347466</v>
      </c>
      <c r="M1174" s="166">
        <f t="shared" si="2"/>
        <v>9.011020453</v>
      </c>
      <c r="N1174" s="167">
        <f t="shared" si="3"/>
        <v>34.55130769</v>
      </c>
      <c r="O1174" s="163">
        <f t="shared" ref="O1174:Q1174" si="1178">rank(I1174,I:I)</f>
        <v>1995</v>
      </c>
      <c r="P1174" s="163">
        <f t="shared" si="1178"/>
        <v>115</v>
      </c>
      <c r="Q1174" s="163">
        <f t="shared" si="1178"/>
        <v>265</v>
      </c>
      <c r="R1174" s="163">
        <f>IFERROR(__xludf.DUMMYFUNCTION("RANK(M1174,filter(M:M,C:C=C1174))"),19.0)</f>
        <v>19</v>
      </c>
      <c r="S1174" s="161" t="b">
        <f t="shared" si="5"/>
        <v>0</v>
      </c>
      <c r="T1174" s="161" t="b">
        <f t="array" ref="T1174">index('Query Tool'!B:B,match(H1174,'Query Tool'!C:C,0))</f>
        <v>1</v>
      </c>
      <c r="U1174" s="161" t="b">
        <f t="array" ref="U1174">index('Query Tool'!B:B,match(C1174,'Query Tool'!C:C,0))</f>
        <v>0</v>
      </c>
      <c r="V1174" s="161" t="b">
        <f>F1174&gt;='Query Tool'!C$32</f>
        <v>1</v>
      </c>
      <c r="W1174" s="161" t="b">
        <f t="array" ref="W1174">index(Dropdowns!B:B,match(I1174,Dropdowns!A:A,0))</f>
        <v>1</v>
      </c>
      <c r="X1174" s="161" t="b">
        <f t="array" ref="X1174">index('Query Tool'!B:B,match(D1174,'Query Tool'!C:C,0))</f>
        <v>1</v>
      </c>
      <c r="Y1174" s="161" t="str">
        <f t="shared" si="6"/>
        <v>couside01,2015-16</v>
      </c>
      <c r="Z1174" s="168">
        <f t="array" ref="Z1174">iferror(index(I:I,match($A1174&amp;","&amp;index('Year Conversion'!$A:$A,match($C1174,'Year Conversion'!$B:$B,0)),$Y:$Y,0))-I1174,"")</f>
        <v>1</v>
      </c>
      <c r="AA1174" s="168">
        <f t="array" ref="AA1174">iferror(index(J:J,match($A1174&amp;","&amp;index('Year Conversion'!$A:$A,match($C1174,'Year Conversion'!$B:$B,0)),$Y:$Y,0))-J1174,"")</f>
        <v>-0.2193708534</v>
      </c>
      <c r="AB1174" s="168">
        <f t="array" ref="AB1174">iferror(index(K:K,match($A1174&amp;","&amp;index('Year Conversion'!$A:$A,match($C1174,'Year Conversion'!$B:$B,0)),$Y:$Y,0))-K1174,"")</f>
        <v>0.883873023</v>
      </c>
      <c r="AC1174" s="168" t="str">
        <f t="shared" si="7"/>
        <v>SAC,2015-16</v>
      </c>
    </row>
    <row r="1175">
      <c r="A1175" s="161" t="str">
        <f>IFERROR(__xludf.DUMMYFUNCTION("""COMPUTED_VALUE"""),"monrogr01")</f>
        <v>monrogr01</v>
      </c>
      <c r="B1175" s="161" t="str">
        <f>IFERROR(__xludf.DUMMYFUNCTION("""COMPUTED_VALUE"""),"Greg Monroe")</f>
        <v>Greg Monroe</v>
      </c>
      <c r="C1175" s="162" t="str">
        <f>IFERROR(__xludf.DUMMYFUNCTION("""COMPUTED_VALUE"""),"2015-16")</f>
        <v>2015-16</v>
      </c>
      <c r="D1175" s="163" t="str">
        <f>IFERROR(__xludf.DUMMYFUNCTION("""COMPUTED_VALUE"""),"MIL")</f>
        <v>MIL</v>
      </c>
      <c r="E1175" s="164" t="str">
        <f>IFERROR(__xludf.DUMMYFUNCTION("""COMPUTED_VALUE"""),"Post Scorer")</f>
        <v>Post Scorer</v>
      </c>
      <c r="F1175" s="164">
        <f>IFERROR(__xludf.DUMMYFUNCTION("""COMPUTED_VALUE"""),2314.185)</f>
        <v>2314.185</v>
      </c>
      <c r="G1175" s="163">
        <f>IFERROR(__xludf.DUMMYFUNCTION("""COMPUTED_VALUE"""),79.0)</f>
        <v>79</v>
      </c>
      <c r="H1175" s="163" t="str">
        <f>IFERROR(__xludf.DUMMYFUNCTION("""COMPUTED_VALUE"""),"C")</f>
        <v>C</v>
      </c>
      <c r="I1175" s="163">
        <f>IFERROR(__xludf.DUMMYFUNCTION("""COMPUTED_VALUE"""),25.0)</f>
        <v>25</v>
      </c>
      <c r="J1175" s="165">
        <f>IFERROR(__xludf.DUMMYFUNCTION("""COMPUTED_VALUE"""),0.92796127655104)</f>
        <v>0.9279612766</v>
      </c>
      <c r="K1175" s="165">
        <f>IFERROR(__xludf.DUMMYFUNCTION("""COMPUTED_VALUE"""),1.19325192930877)</f>
        <v>1.193251929</v>
      </c>
      <c r="L1175" s="165">
        <f>IFERROR(__xludf.DUMMYFUNCTION("""COMPUTED_VALUE"""),-0.265290652757732)</f>
        <v>-0.2652906528</v>
      </c>
      <c r="M1175" s="166">
        <f t="shared" si="2"/>
        <v>5.013777576</v>
      </c>
      <c r="N1175" s="167">
        <f t="shared" si="3"/>
        <v>29.29348101</v>
      </c>
      <c r="O1175" s="163">
        <f t="shared" ref="O1175:Q1175" si="1179">rank(I1175,I:I)</f>
        <v>1995</v>
      </c>
      <c r="P1175" s="163">
        <f t="shared" si="1179"/>
        <v>686</v>
      </c>
      <c r="Q1175" s="163">
        <f t="shared" si="1179"/>
        <v>421</v>
      </c>
      <c r="R1175" s="163">
        <f>IFERROR(__xludf.DUMMYFUNCTION("RANK(M1175,filter(M:M,C:C=C1175))"),60.0)</f>
        <v>60</v>
      </c>
      <c r="S1175" s="161" t="b">
        <f t="shared" si="5"/>
        <v>0</v>
      </c>
      <c r="T1175" s="161" t="b">
        <f t="array" ref="T1175">index('Query Tool'!B:B,match(H1175,'Query Tool'!C:C,0))</f>
        <v>1</v>
      </c>
      <c r="U1175" s="161" t="b">
        <f t="array" ref="U1175">index('Query Tool'!B:B,match(C1175,'Query Tool'!C:C,0))</f>
        <v>0</v>
      </c>
      <c r="V1175" s="161" t="b">
        <f>F1175&gt;='Query Tool'!C$32</f>
        <v>1</v>
      </c>
      <c r="W1175" s="161" t="b">
        <f t="array" ref="W1175">index(Dropdowns!B:B,match(I1175,Dropdowns!A:A,0))</f>
        <v>1</v>
      </c>
      <c r="X1175" s="161" t="b">
        <f t="array" ref="X1175">index('Query Tool'!B:B,match(D1175,'Query Tool'!C:C,0))</f>
        <v>1</v>
      </c>
      <c r="Y1175" s="161" t="str">
        <f t="shared" si="6"/>
        <v>monrogr01,2015-16</v>
      </c>
      <c r="Z1175" s="168">
        <f t="array" ref="Z1175">iferror(index(I:I,match($A1175&amp;","&amp;index('Year Conversion'!$A:$A,match($C1175,'Year Conversion'!$B:$B,0)),$Y:$Y,0))-I1175,"")</f>
        <v>1</v>
      </c>
      <c r="AA1175" s="168">
        <f t="array" ref="AA1175">iferror(index(J:J,match($A1175&amp;","&amp;index('Year Conversion'!$A:$A,match($C1175,'Year Conversion'!$B:$B,0)),$Y:$Y,0))-J1175,"")</f>
        <v>0.3319394336</v>
      </c>
      <c r="AB1175" s="168">
        <f t="array" ref="AB1175">iferror(index(K:K,match($A1175&amp;","&amp;index('Year Conversion'!$A:$A,match($C1175,'Year Conversion'!$B:$B,0)),$Y:$Y,0))-K1175,"")</f>
        <v>-0.1970327189</v>
      </c>
      <c r="AC1175" s="168" t="str">
        <f t="shared" si="7"/>
        <v>MIL,2015-16</v>
      </c>
    </row>
    <row r="1176">
      <c r="A1176" s="161" t="str">
        <f>IFERROR(__xludf.DUMMYFUNCTION("""COMPUTED_VALUE"""),"aminual01")</f>
        <v>aminual01</v>
      </c>
      <c r="B1176" s="161" t="str">
        <f>IFERROR(__xludf.DUMMYFUNCTION("""COMPUTED_VALUE"""),"Al-Farouq Aminu")</f>
        <v>Al-Farouq Aminu</v>
      </c>
      <c r="C1176" s="162" t="str">
        <f>IFERROR(__xludf.DUMMYFUNCTION("""COMPUTED_VALUE"""),"2015-16")</f>
        <v>2015-16</v>
      </c>
      <c r="D1176" s="163" t="str">
        <f>IFERROR(__xludf.DUMMYFUNCTION("""COMPUTED_VALUE"""),"POR")</f>
        <v>POR</v>
      </c>
      <c r="E1176" s="164" t="str">
        <f>IFERROR(__xludf.DUMMYFUNCTION("""COMPUTED_VALUE"""),"Stationary Shooter")</f>
        <v>Stationary Shooter</v>
      </c>
      <c r="F1176" s="164">
        <f>IFERROR(__xludf.DUMMYFUNCTION("""COMPUTED_VALUE"""),2340.88833333333)</f>
        <v>2340.888333</v>
      </c>
      <c r="G1176" s="163">
        <f>IFERROR(__xludf.DUMMYFUNCTION("""COMPUTED_VALUE"""),82.0)</f>
        <v>82</v>
      </c>
      <c r="H1176" s="163" t="str">
        <f>IFERROR(__xludf.DUMMYFUNCTION("""COMPUTED_VALUE"""),"SF")</f>
        <v>SF</v>
      </c>
      <c r="I1176" s="163">
        <f>IFERROR(__xludf.DUMMYFUNCTION("""COMPUTED_VALUE"""),25.0)</f>
        <v>25</v>
      </c>
      <c r="J1176" s="165">
        <f>IFERROR(__xludf.DUMMYFUNCTION("""COMPUTED_VALUE"""),-0.427828943189503)</f>
        <v>-0.4278289432</v>
      </c>
      <c r="K1176" s="165">
        <f>IFERROR(__xludf.DUMMYFUNCTION("""COMPUTED_VALUE"""),-0.851048122759492)</f>
        <v>-0.8510481228</v>
      </c>
      <c r="L1176" s="165">
        <f>IFERROR(__xludf.DUMMYFUNCTION("""COMPUTED_VALUE"""),0.423219179569989)</f>
        <v>0.4232191796</v>
      </c>
      <c r="M1176" s="166">
        <f t="shared" si="2"/>
        <v>2.933840194</v>
      </c>
      <c r="N1176" s="167">
        <f t="shared" si="3"/>
        <v>28.5474187</v>
      </c>
      <c r="O1176" s="163">
        <f t="shared" ref="O1176:Q1176" si="1180">rank(I1176,I:I)</f>
        <v>1995</v>
      </c>
      <c r="P1176" s="163">
        <f t="shared" si="1180"/>
        <v>1754</v>
      </c>
      <c r="Q1176" s="163">
        <f t="shared" si="1180"/>
        <v>2623</v>
      </c>
      <c r="R1176" s="163">
        <f>IFERROR(__xludf.DUMMYFUNCTION("RANK(M1176,filter(M:M,C:C=C1176))"),120.0)</f>
        <v>120</v>
      </c>
      <c r="S1176" s="161" t="b">
        <f t="shared" si="5"/>
        <v>0</v>
      </c>
      <c r="T1176" s="161" t="b">
        <f t="array" ref="T1176">index('Query Tool'!B:B,match(H1176,'Query Tool'!C:C,0))</f>
        <v>1</v>
      </c>
      <c r="U1176" s="161" t="b">
        <f t="array" ref="U1176">index('Query Tool'!B:B,match(C1176,'Query Tool'!C:C,0))</f>
        <v>0</v>
      </c>
      <c r="V1176" s="161" t="b">
        <f>F1176&gt;='Query Tool'!C$32</f>
        <v>1</v>
      </c>
      <c r="W1176" s="161" t="b">
        <f t="array" ref="W1176">index(Dropdowns!B:B,match(I1176,Dropdowns!A:A,0))</f>
        <v>1</v>
      </c>
      <c r="X1176" s="161" t="b">
        <f t="array" ref="X1176">index('Query Tool'!B:B,match(D1176,'Query Tool'!C:C,0))</f>
        <v>1</v>
      </c>
      <c r="Y1176" s="161" t="str">
        <f t="shared" si="6"/>
        <v>aminual01,2015-16</v>
      </c>
      <c r="Z1176" s="168">
        <f t="array" ref="Z1176">iferror(index(I:I,match($A1176&amp;","&amp;index('Year Conversion'!$A:$A,match($C1176,'Year Conversion'!$B:$B,0)),$Y:$Y,0))-I1176,"")</f>
        <v>1</v>
      </c>
      <c r="AA1176" s="168">
        <f t="array" ref="AA1176">iferror(index(J:J,match($A1176&amp;","&amp;index('Year Conversion'!$A:$A,match($C1176,'Year Conversion'!$B:$B,0)),$Y:$Y,0))-J1176,"")</f>
        <v>-0.1920945143</v>
      </c>
      <c r="AB1176" s="168">
        <f t="array" ref="AB1176">iferror(index(K:K,match($A1176&amp;","&amp;index('Year Conversion'!$A:$A,match($C1176,'Year Conversion'!$B:$B,0)),$Y:$Y,0))-K1176,"")</f>
        <v>-0.9260714185</v>
      </c>
      <c r="AC1176" s="168" t="str">
        <f t="shared" si="7"/>
        <v>POR,2015-16</v>
      </c>
    </row>
    <row r="1177">
      <c r="A1177" s="161" t="str">
        <f>IFERROR(__xludf.DUMMYFUNCTION("""COMPUTED_VALUE"""),"haywago01")</f>
        <v>haywago01</v>
      </c>
      <c r="B1177" s="161" t="str">
        <f>IFERROR(__xludf.DUMMYFUNCTION("""COMPUTED_VALUE"""),"Gordon Hayward")</f>
        <v>Gordon Hayward</v>
      </c>
      <c r="C1177" s="162" t="str">
        <f>IFERROR(__xludf.DUMMYFUNCTION("""COMPUTED_VALUE"""),"2015-16")</f>
        <v>2015-16</v>
      </c>
      <c r="D1177" s="163" t="str">
        <f>IFERROR(__xludf.DUMMYFUNCTION("""COMPUTED_VALUE"""),"UTA")</f>
        <v>UTA</v>
      </c>
      <c r="E1177" s="164" t="str">
        <f>IFERROR(__xludf.DUMMYFUNCTION("""COMPUTED_VALUE"""),"Secondary Ball Handler")</f>
        <v>Secondary Ball Handler</v>
      </c>
      <c r="F1177" s="164">
        <f>IFERROR(__xludf.DUMMYFUNCTION("""COMPUTED_VALUE"""),2892.95666666667)</f>
        <v>2892.956667</v>
      </c>
      <c r="G1177" s="163">
        <f>IFERROR(__xludf.DUMMYFUNCTION("""COMPUTED_VALUE"""),80.0)</f>
        <v>80</v>
      </c>
      <c r="H1177" s="163" t="str">
        <f>IFERROR(__xludf.DUMMYFUNCTION("""COMPUTED_VALUE"""),"SF")</f>
        <v>SF</v>
      </c>
      <c r="I1177" s="163">
        <f>IFERROR(__xludf.DUMMYFUNCTION("""COMPUTED_VALUE"""),25.0)</f>
        <v>25</v>
      </c>
      <c r="J1177" s="165">
        <f>IFERROR(__xludf.DUMMYFUNCTION("""COMPUTED_VALUE"""),2.62723669870413)</f>
        <v>2.627236699</v>
      </c>
      <c r="K1177" s="165">
        <f>IFERROR(__xludf.DUMMYFUNCTION("""COMPUTED_VALUE"""),2.37720211370563)</f>
        <v>2.377202114</v>
      </c>
      <c r="L1177" s="165">
        <f>IFERROR(__xludf.DUMMYFUNCTION("""COMPUTED_VALUE"""),0.250034584998497)</f>
        <v>0.250034585</v>
      </c>
      <c r="M1177" s="166">
        <f t="shared" si="2"/>
        <v>9.535566087</v>
      </c>
      <c r="N1177" s="167">
        <f t="shared" si="3"/>
        <v>36.16195833</v>
      </c>
      <c r="O1177" s="163">
        <f t="shared" ref="O1177:Q1177" si="1181">rank(I1177,I:I)</f>
        <v>1995</v>
      </c>
      <c r="P1177" s="163">
        <f t="shared" si="1181"/>
        <v>206</v>
      </c>
      <c r="Q1177" s="163">
        <f t="shared" si="1181"/>
        <v>169</v>
      </c>
      <c r="R1177" s="163">
        <f>IFERROR(__xludf.DUMMYFUNCTION("RANK(M1177,filter(M:M,C:C=C1177))"),13.0)</f>
        <v>13</v>
      </c>
      <c r="S1177" s="161" t="b">
        <f t="shared" si="5"/>
        <v>0</v>
      </c>
      <c r="T1177" s="161" t="b">
        <f t="array" ref="T1177">index('Query Tool'!B:B,match(H1177,'Query Tool'!C:C,0))</f>
        <v>1</v>
      </c>
      <c r="U1177" s="161" t="b">
        <f t="array" ref="U1177">index('Query Tool'!B:B,match(C1177,'Query Tool'!C:C,0))</f>
        <v>0</v>
      </c>
      <c r="V1177" s="161" t="b">
        <f>F1177&gt;='Query Tool'!C$32</f>
        <v>1</v>
      </c>
      <c r="W1177" s="161" t="b">
        <f t="array" ref="W1177">index(Dropdowns!B:B,match(I1177,Dropdowns!A:A,0))</f>
        <v>1</v>
      </c>
      <c r="X1177" s="161" t="b">
        <f t="array" ref="X1177">index('Query Tool'!B:B,match(D1177,'Query Tool'!C:C,0))</f>
        <v>1</v>
      </c>
      <c r="Y1177" s="161" t="str">
        <f t="shared" si="6"/>
        <v>haywago01,2015-16</v>
      </c>
      <c r="Z1177" s="168">
        <f t="array" ref="Z1177">iferror(index(I:I,match($A1177&amp;","&amp;index('Year Conversion'!$A:$A,match($C1177,'Year Conversion'!$B:$B,0)),$Y:$Y,0))-I1177,"")</f>
        <v>1</v>
      </c>
      <c r="AA1177" s="168">
        <f t="array" ref="AA1177">iferror(index(J:J,match($A1177&amp;","&amp;index('Year Conversion'!$A:$A,match($C1177,'Year Conversion'!$B:$B,0)),$Y:$Y,0))-J1177,"")</f>
        <v>0.6419697998</v>
      </c>
      <c r="AB1177" s="168">
        <f t="array" ref="AB1177">iferror(index(K:K,match($A1177&amp;","&amp;index('Year Conversion'!$A:$A,match($C1177,'Year Conversion'!$B:$B,0)),$Y:$Y,0))-K1177,"")</f>
        <v>0.4729671025</v>
      </c>
      <c r="AC1177" s="168" t="str">
        <f t="shared" si="7"/>
        <v>UTA,2015-16</v>
      </c>
    </row>
    <row r="1178">
      <c r="A1178" s="161" t="str">
        <f>IFERROR(__xludf.DUMMYFUNCTION("""COMPUTED_VALUE"""),"georgpa01")</f>
        <v>georgpa01</v>
      </c>
      <c r="B1178" s="161" t="str">
        <f>IFERROR(__xludf.DUMMYFUNCTION("""COMPUTED_VALUE"""),"Paul George")</f>
        <v>Paul George</v>
      </c>
      <c r="C1178" s="162" t="str">
        <f>IFERROR(__xludf.DUMMYFUNCTION("""COMPUTED_VALUE"""),"2015-16")</f>
        <v>2015-16</v>
      </c>
      <c r="D1178" s="163" t="str">
        <f>IFERROR(__xludf.DUMMYFUNCTION("""COMPUTED_VALUE"""),"IND")</f>
        <v>IND</v>
      </c>
      <c r="E1178" s="164" t="str">
        <f>IFERROR(__xludf.DUMMYFUNCTION("""COMPUTED_VALUE"""),"Shot Creator")</f>
        <v>Shot Creator</v>
      </c>
      <c r="F1178" s="164">
        <f>IFERROR(__xludf.DUMMYFUNCTION("""COMPUTED_VALUE"""),2818.93333333333)</f>
        <v>2818.933333</v>
      </c>
      <c r="G1178" s="163">
        <f>IFERROR(__xludf.DUMMYFUNCTION("""COMPUTED_VALUE"""),81.0)</f>
        <v>81</v>
      </c>
      <c r="H1178" s="163" t="str">
        <f>IFERROR(__xludf.DUMMYFUNCTION("""COMPUTED_VALUE"""),"SF")</f>
        <v>SF</v>
      </c>
      <c r="I1178" s="163">
        <f>IFERROR(__xludf.DUMMYFUNCTION("""COMPUTED_VALUE"""),25.0)</f>
        <v>25</v>
      </c>
      <c r="J1178" s="165">
        <f>IFERROR(__xludf.DUMMYFUNCTION("""COMPUTED_VALUE"""),2.61093522437597)</f>
        <v>2.610935224</v>
      </c>
      <c r="K1178" s="165">
        <f>IFERROR(__xludf.DUMMYFUNCTION("""COMPUTED_VALUE"""),2.23816320933613)</f>
        <v>2.238163209</v>
      </c>
      <c r="L1178" s="165">
        <f>IFERROR(__xludf.DUMMYFUNCTION("""COMPUTED_VALUE"""),0.372772015039843)</f>
        <v>0.372772015</v>
      </c>
      <c r="M1178" s="166">
        <f t="shared" si="2"/>
        <v>9.26146365</v>
      </c>
      <c r="N1178" s="167">
        <f t="shared" si="3"/>
        <v>34.80164609</v>
      </c>
      <c r="O1178" s="163">
        <f t="shared" ref="O1178:Q1178" si="1182">rank(I1178,I:I)</f>
        <v>1995</v>
      </c>
      <c r="P1178" s="163">
        <f t="shared" si="1182"/>
        <v>209</v>
      </c>
      <c r="Q1178" s="163">
        <f t="shared" si="1182"/>
        <v>191</v>
      </c>
      <c r="R1178" s="163">
        <f>IFERROR(__xludf.DUMMYFUNCTION("RANK(M1178,filter(M:M,C:C=C1178))"),16.0)</f>
        <v>16</v>
      </c>
      <c r="S1178" s="161" t="b">
        <f t="shared" si="5"/>
        <v>0</v>
      </c>
      <c r="T1178" s="161" t="b">
        <f t="array" ref="T1178">index('Query Tool'!B:B,match(H1178,'Query Tool'!C:C,0))</f>
        <v>1</v>
      </c>
      <c r="U1178" s="161" t="b">
        <f t="array" ref="U1178">index('Query Tool'!B:B,match(C1178,'Query Tool'!C:C,0))</f>
        <v>0</v>
      </c>
      <c r="V1178" s="161" t="b">
        <f>F1178&gt;='Query Tool'!C$32</f>
        <v>1</v>
      </c>
      <c r="W1178" s="161" t="b">
        <f t="array" ref="W1178">index(Dropdowns!B:B,match(I1178,Dropdowns!A:A,0))</f>
        <v>1</v>
      </c>
      <c r="X1178" s="161" t="b">
        <f t="array" ref="X1178">index('Query Tool'!B:B,match(D1178,'Query Tool'!C:C,0))</f>
        <v>1</v>
      </c>
      <c r="Y1178" s="161" t="str">
        <f t="shared" si="6"/>
        <v>georgpa01,2015-16</v>
      </c>
      <c r="Z1178" s="168">
        <f t="array" ref="Z1178">iferror(index(I:I,match($A1178&amp;","&amp;index('Year Conversion'!$A:$A,match($C1178,'Year Conversion'!$B:$B,0)),$Y:$Y,0))-I1178,"")</f>
        <v>1</v>
      </c>
      <c r="AA1178" s="168">
        <f t="array" ref="AA1178">iferror(index(J:J,match($A1178&amp;","&amp;index('Year Conversion'!$A:$A,match($C1178,'Year Conversion'!$B:$B,0)),$Y:$Y,0))-J1178,"")</f>
        <v>-0.3436206972</v>
      </c>
      <c r="AB1178" s="168">
        <f t="array" ref="AB1178">iferror(index(K:K,match($A1178&amp;","&amp;index('Year Conversion'!$A:$A,match($C1178,'Year Conversion'!$B:$B,0)),$Y:$Y,0))-K1178,"")</f>
        <v>-0.1713876891</v>
      </c>
      <c r="AC1178" s="168" t="str">
        <f t="shared" si="7"/>
        <v>IND,2015-16</v>
      </c>
    </row>
    <row r="1179">
      <c r="A1179" s="161" t="str">
        <f>IFERROR(__xludf.DUMMYFUNCTION("""COMPUTED_VALUE"""),"aldrico01")</f>
        <v>aldrico01</v>
      </c>
      <c r="B1179" s="161" t="str">
        <f>IFERROR(__xludf.DUMMYFUNCTION("""COMPUTED_VALUE"""),"Cole Aldrich")</f>
        <v>Cole Aldrich</v>
      </c>
      <c r="C1179" s="162" t="str">
        <f>IFERROR(__xludf.DUMMYFUNCTION("""COMPUTED_VALUE"""),"2015-16")</f>
        <v>2015-16</v>
      </c>
      <c r="D1179" s="163" t="str">
        <f>IFERROR(__xludf.DUMMYFUNCTION("""COMPUTED_VALUE"""),"LAC")</f>
        <v>LAC</v>
      </c>
      <c r="E1179" s="164" t="str">
        <f>IFERROR(__xludf.DUMMYFUNCTION("""COMPUTED_VALUE"""),"Roll + Cut Big")</f>
        <v>Roll + Cut Big</v>
      </c>
      <c r="F1179" s="164">
        <f>IFERROR(__xludf.DUMMYFUNCTION("""COMPUTED_VALUE"""),799.636666666666)</f>
        <v>799.6366667</v>
      </c>
      <c r="G1179" s="163">
        <f>IFERROR(__xludf.DUMMYFUNCTION("""COMPUTED_VALUE"""),60.0)</f>
        <v>60</v>
      </c>
      <c r="H1179" s="163" t="str">
        <f>IFERROR(__xludf.DUMMYFUNCTION("""COMPUTED_VALUE"""),"C")</f>
        <v>C</v>
      </c>
      <c r="I1179" s="163">
        <f>IFERROR(__xludf.DUMMYFUNCTION("""COMPUTED_VALUE"""),27.0)</f>
        <v>27</v>
      </c>
      <c r="J1179" s="165">
        <f>IFERROR(__xludf.DUMMYFUNCTION("""COMPUTED_VALUE"""),1.4417595752495)</f>
        <v>1.441759575</v>
      </c>
      <c r="K1179" s="165">
        <f>IFERROR(__xludf.DUMMYFUNCTION("""COMPUTED_VALUE"""),-0.917162087036002)</f>
        <v>-0.917162087</v>
      </c>
      <c r="L1179" s="165">
        <f>IFERROR(__xludf.DUMMYFUNCTION("""COMPUTED_VALUE"""),2.3589216622855)</f>
        <v>2.358921662</v>
      </c>
      <c r="M1179" s="166">
        <f t="shared" si="2"/>
        <v>2.007798998</v>
      </c>
      <c r="N1179" s="167">
        <f t="shared" si="3"/>
        <v>13.32727778</v>
      </c>
      <c r="O1179" s="163">
        <f t="shared" ref="O1179:Q1179" si="1183">rank(I1179,I:I)</f>
        <v>1366</v>
      </c>
      <c r="P1179" s="163">
        <f t="shared" si="1183"/>
        <v>475</v>
      </c>
      <c r="Q1179" s="163">
        <f t="shared" si="1183"/>
        <v>2710</v>
      </c>
      <c r="R1179" s="163">
        <f>IFERROR(__xludf.DUMMYFUNCTION("RANK(M1179,filter(M:M,C:C=C1179))"),157.0)</f>
        <v>157</v>
      </c>
      <c r="S1179" s="161" t="b">
        <f t="shared" si="5"/>
        <v>0</v>
      </c>
      <c r="T1179" s="161" t="b">
        <f t="array" ref="T1179">index('Query Tool'!B:B,match(H1179,'Query Tool'!C:C,0))</f>
        <v>1</v>
      </c>
      <c r="U1179" s="161" t="b">
        <f t="array" ref="U1179">index('Query Tool'!B:B,match(C1179,'Query Tool'!C:C,0))</f>
        <v>0</v>
      </c>
      <c r="V1179" s="161" t="b">
        <f>F1179&gt;='Query Tool'!C$32</f>
        <v>1</v>
      </c>
      <c r="W1179" s="161" t="b">
        <f t="array" ref="W1179">index(Dropdowns!B:B,match(I1179,Dropdowns!A:A,0))</f>
        <v>1</v>
      </c>
      <c r="X1179" s="161" t="b">
        <f t="array" ref="X1179">index('Query Tool'!B:B,match(D1179,'Query Tool'!C:C,0))</f>
        <v>1</v>
      </c>
      <c r="Y1179" s="161" t="str">
        <f t="shared" si="6"/>
        <v>aldrico01,2015-16</v>
      </c>
      <c r="Z1179" s="168">
        <f t="array" ref="Z1179">iferror(index(I:I,match($A1179&amp;","&amp;index('Year Conversion'!$A:$A,match($C1179,'Year Conversion'!$B:$B,0)),$Y:$Y,0))-I1179,"")</f>
        <v>1</v>
      </c>
      <c r="AA1179" s="168">
        <f t="array" ref="AA1179">iferror(index(J:J,match($A1179&amp;","&amp;index('Year Conversion'!$A:$A,match($C1179,'Year Conversion'!$B:$B,0)),$Y:$Y,0))-J1179,"")</f>
        <v>-2.008089526</v>
      </c>
      <c r="AB1179" s="168">
        <f t="array" ref="AB1179">iferror(index(K:K,match($A1179&amp;","&amp;index('Year Conversion'!$A:$A,match($C1179,'Year Conversion'!$B:$B,0)),$Y:$Y,0))-K1179,"")</f>
        <v>-0.856055691</v>
      </c>
      <c r="AC1179" s="168" t="str">
        <f t="shared" si="7"/>
        <v>LAC,2015-16</v>
      </c>
    </row>
    <row r="1180">
      <c r="A1180" s="161" t="str">
        <f>IFERROR(__xludf.DUMMYFUNCTION("""COMPUTED_VALUE"""),"davised01")</f>
        <v>davised01</v>
      </c>
      <c r="B1180" s="161" t="str">
        <f>IFERROR(__xludf.DUMMYFUNCTION("""COMPUTED_VALUE"""),"Ed Davis")</f>
        <v>Ed Davis</v>
      </c>
      <c r="C1180" s="162" t="str">
        <f>IFERROR(__xludf.DUMMYFUNCTION("""COMPUTED_VALUE"""),"2015-16")</f>
        <v>2015-16</v>
      </c>
      <c r="D1180" s="163" t="str">
        <f>IFERROR(__xludf.DUMMYFUNCTION("""COMPUTED_VALUE"""),"POR")</f>
        <v>POR</v>
      </c>
      <c r="E1180" s="164" t="str">
        <f>IFERROR(__xludf.DUMMYFUNCTION("""COMPUTED_VALUE"""),"Roll + Cut Big")</f>
        <v>Roll + Cut Big</v>
      </c>
      <c r="F1180" s="164">
        <f>IFERROR(__xludf.DUMMYFUNCTION("""COMPUTED_VALUE"""),1684.18666666667)</f>
        <v>1684.186667</v>
      </c>
      <c r="G1180" s="163">
        <f>IFERROR(__xludf.DUMMYFUNCTION("""COMPUTED_VALUE"""),81.0)</f>
        <v>81</v>
      </c>
      <c r="H1180" s="163" t="str">
        <f>IFERROR(__xludf.DUMMYFUNCTION("""COMPUTED_VALUE"""),"PF")</f>
        <v>PF</v>
      </c>
      <c r="I1180" s="163">
        <f>IFERROR(__xludf.DUMMYFUNCTION("""COMPUTED_VALUE"""),26.0)</f>
        <v>26</v>
      </c>
      <c r="J1180" s="165">
        <f>IFERROR(__xludf.DUMMYFUNCTION("""COMPUTED_VALUE"""),2.31855264209932)</f>
        <v>2.318552642</v>
      </c>
      <c r="K1180" s="165">
        <f>IFERROR(__xludf.DUMMYFUNCTION("""COMPUTED_VALUE"""),0.335393681668924)</f>
        <v>0.3353936817</v>
      </c>
      <c r="L1180" s="165">
        <f>IFERROR(__xludf.DUMMYFUNCTION("""COMPUTED_VALUE"""),1.9831589604304)</f>
        <v>1.98315896</v>
      </c>
      <c r="M1180" s="166">
        <f t="shared" si="2"/>
        <v>5.209595962</v>
      </c>
      <c r="N1180" s="167">
        <f t="shared" si="3"/>
        <v>20.79242798</v>
      </c>
      <c r="O1180" s="163">
        <f t="shared" ref="O1180:Q1180" si="1184">rank(I1180,I:I)</f>
        <v>1665</v>
      </c>
      <c r="P1180" s="163">
        <f t="shared" si="1184"/>
        <v>255</v>
      </c>
      <c r="Q1180" s="163">
        <f t="shared" si="1184"/>
        <v>876</v>
      </c>
      <c r="R1180" s="163">
        <f>IFERROR(__xludf.DUMMYFUNCTION("RANK(M1180,filter(M:M,C:C=C1180))"),56.0)</f>
        <v>56</v>
      </c>
      <c r="S1180" s="161" t="b">
        <f t="shared" si="5"/>
        <v>0</v>
      </c>
      <c r="T1180" s="161" t="b">
        <f t="array" ref="T1180">index('Query Tool'!B:B,match(H1180,'Query Tool'!C:C,0))</f>
        <v>1</v>
      </c>
      <c r="U1180" s="161" t="b">
        <f t="array" ref="U1180">index('Query Tool'!B:B,match(C1180,'Query Tool'!C:C,0))</f>
        <v>0</v>
      </c>
      <c r="V1180" s="161" t="b">
        <f>F1180&gt;='Query Tool'!C$32</f>
        <v>1</v>
      </c>
      <c r="W1180" s="161" t="b">
        <f t="array" ref="W1180">index(Dropdowns!B:B,match(I1180,Dropdowns!A:A,0))</f>
        <v>1</v>
      </c>
      <c r="X1180" s="161" t="b">
        <f t="array" ref="X1180">index('Query Tool'!B:B,match(D1180,'Query Tool'!C:C,0))</f>
        <v>1</v>
      </c>
      <c r="Y1180" s="161" t="str">
        <f t="shared" si="6"/>
        <v>davised01,2015-16</v>
      </c>
      <c r="Z1180" s="168">
        <f t="array" ref="Z1180">iferror(index(I:I,match($A1180&amp;","&amp;index('Year Conversion'!$A:$A,match($C1180,'Year Conversion'!$B:$B,0)),$Y:$Y,0))-I1180,"")</f>
        <v>1</v>
      </c>
      <c r="AA1180" s="168">
        <f t="array" ref="AA1180">iferror(index(J:J,match($A1180&amp;","&amp;index('Year Conversion'!$A:$A,match($C1180,'Year Conversion'!$B:$B,0)),$Y:$Y,0))-J1180,"")</f>
        <v>-4.499216808</v>
      </c>
      <c r="AB1180" s="168">
        <f t="array" ref="AB1180">iferror(index(K:K,match($A1180&amp;","&amp;index('Year Conversion'!$A:$A,match($C1180,'Year Conversion'!$B:$B,0)),$Y:$Y,0))-K1180,"")</f>
        <v>-2.918514888</v>
      </c>
      <c r="AC1180" s="168" t="str">
        <f t="shared" si="7"/>
        <v>POR,2015-16</v>
      </c>
    </row>
    <row r="1181">
      <c r="A1181" s="161" t="str">
        <f>IFERROR(__xludf.DUMMYFUNCTION("""COMPUTED_VALUE"""),"pattepa01")</f>
        <v>pattepa01</v>
      </c>
      <c r="B1181" s="161" t="str">
        <f>IFERROR(__xludf.DUMMYFUNCTION("""COMPUTED_VALUE"""),"Patrick Patterson")</f>
        <v>Patrick Patterson</v>
      </c>
      <c r="C1181" s="162" t="str">
        <f>IFERROR(__xludf.DUMMYFUNCTION("""COMPUTED_VALUE"""),"2015-16")</f>
        <v>2015-16</v>
      </c>
      <c r="D1181" s="163" t="str">
        <f>IFERROR(__xludf.DUMMYFUNCTION("""COMPUTED_VALUE"""),"TOR")</f>
        <v>TOR</v>
      </c>
      <c r="E1181" s="164" t="str">
        <f>IFERROR(__xludf.DUMMYFUNCTION("""COMPUTED_VALUE"""),"Stationary Shooter")</f>
        <v>Stationary Shooter</v>
      </c>
      <c r="F1181" s="164">
        <f>IFERROR(__xludf.DUMMYFUNCTION("""COMPUTED_VALUE"""),2019.55833333333)</f>
        <v>2019.558333</v>
      </c>
      <c r="G1181" s="163">
        <f>IFERROR(__xludf.DUMMYFUNCTION("""COMPUTED_VALUE"""),79.0)</f>
        <v>79</v>
      </c>
      <c r="H1181" s="163" t="str">
        <f>IFERROR(__xludf.DUMMYFUNCTION("""COMPUTED_VALUE"""),"PF")</f>
        <v>PF</v>
      </c>
      <c r="I1181" s="163">
        <f>IFERROR(__xludf.DUMMYFUNCTION("""COMPUTED_VALUE"""),26.0)</f>
        <v>26</v>
      </c>
      <c r="J1181" s="165">
        <f>IFERROR(__xludf.DUMMYFUNCTION("""COMPUTED_VALUE"""),1.38407705921474)</f>
        <v>1.384077059</v>
      </c>
      <c r="K1181" s="165">
        <f>IFERROR(__xludf.DUMMYFUNCTION("""COMPUTED_VALUE"""),1.13749017652636)</f>
        <v>1.137490177</v>
      </c>
      <c r="L1181" s="165">
        <f>IFERROR(__xludf.DUMMYFUNCTION("""COMPUTED_VALUE"""),0.24658688268838)</f>
        <v>0.2465868827</v>
      </c>
      <c r="M1181" s="166">
        <f t="shared" si="2"/>
        <v>4.992998408</v>
      </c>
      <c r="N1181" s="167">
        <f t="shared" si="3"/>
        <v>25.56402954</v>
      </c>
      <c r="O1181" s="163">
        <f t="shared" ref="O1181:Q1181" si="1185">rank(I1181,I:I)</f>
        <v>1665</v>
      </c>
      <c r="P1181" s="163">
        <f t="shared" si="1185"/>
        <v>498</v>
      </c>
      <c r="Q1181" s="163">
        <f t="shared" si="1185"/>
        <v>438</v>
      </c>
      <c r="R1181" s="163">
        <f>IFERROR(__xludf.DUMMYFUNCTION("RANK(M1181,filter(M:M,C:C=C1181))"),61.0)</f>
        <v>61</v>
      </c>
      <c r="S1181" s="161" t="b">
        <f t="shared" si="5"/>
        <v>0</v>
      </c>
      <c r="T1181" s="161" t="b">
        <f t="array" ref="T1181">index('Query Tool'!B:B,match(H1181,'Query Tool'!C:C,0))</f>
        <v>1</v>
      </c>
      <c r="U1181" s="161" t="b">
        <f t="array" ref="U1181">index('Query Tool'!B:B,match(C1181,'Query Tool'!C:C,0))</f>
        <v>0</v>
      </c>
      <c r="V1181" s="161" t="b">
        <f>F1181&gt;='Query Tool'!C$32</f>
        <v>1</v>
      </c>
      <c r="W1181" s="161" t="b">
        <f t="array" ref="W1181">index(Dropdowns!B:B,match(I1181,Dropdowns!A:A,0))</f>
        <v>1</v>
      </c>
      <c r="X1181" s="161" t="b">
        <f t="array" ref="X1181">index('Query Tool'!B:B,match(D1181,'Query Tool'!C:C,0))</f>
        <v>1</v>
      </c>
      <c r="Y1181" s="161" t="str">
        <f t="shared" si="6"/>
        <v>pattepa01,2015-16</v>
      </c>
      <c r="Z1181" s="168">
        <f t="array" ref="Z1181">iferror(index(I:I,match($A1181&amp;","&amp;index('Year Conversion'!$A:$A,match($C1181,'Year Conversion'!$B:$B,0)),$Y:$Y,0))-I1181,"")</f>
        <v>1</v>
      </c>
      <c r="AA1181" s="168">
        <f t="array" ref="AA1181">iferror(index(J:J,match($A1181&amp;","&amp;index('Year Conversion'!$A:$A,match($C1181,'Year Conversion'!$B:$B,0)),$Y:$Y,0))-J1181,"")</f>
        <v>0.1700769895</v>
      </c>
      <c r="AB1181" s="168">
        <f t="array" ref="AB1181">iferror(index(K:K,match($A1181&amp;","&amp;index('Year Conversion'!$A:$A,match($C1181,'Year Conversion'!$B:$B,0)),$Y:$Y,0))-K1181,"")</f>
        <v>-0.4835328529</v>
      </c>
      <c r="AC1181" s="168" t="str">
        <f t="shared" si="7"/>
        <v>TOR,2015-16</v>
      </c>
    </row>
    <row r="1182">
      <c r="A1182" s="161" t="str">
        <f>IFERROR(__xludf.DUMMYFUNCTION("""COMPUTED_VALUE"""),"babbilu01")</f>
        <v>babbilu01</v>
      </c>
      <c r="B1182" s="161" t="str">
        <f>IFERROR(__xludf.DUMMYFUNCTION("""COMPUTED_VALUE"""),"Luke Babbitt")</f>
        <v>Luke Babbitt</v>
      </c>
      <c r="C1182" s="162" t="str">
        <f>IFERROR(__xludf.DUMMYFUNCTION("""COMPUTED_VALUE"""),"2015-16")</f>
        <v>2015-16</v>
      </c>
      <c r="D1182" s="163" t="str">
        <f>IFERROR(__xludf.DUMMYFUNCTION("""COMPUTED_VALUE"""),"NOP")</f>
        <v>NOP</v>
      </c>
      <c r="E1182" s="164" t="str">
        <f>IFERROR(__xludf.DUMMYFUNCTION("""COMPUTED_VALUE"""),"Stationary Shooter")</f>
        <v>Stationary Shooter</v>
      </c>
      <c r="F1182" s="164">
        <f>IFERROR(__xludf.DUMMYFUNCTION("""COMPUTED_VALUE"""),845.083333333333)</f>
        <v>845.0833333</v>
      </c>
      <c r="G1182" s="163">
        <f>IFERROR(__xludf.DUMMYFUNCTION("""COMPUTED_VALUE"""),47.0)</f>
        <v>47</v>
      </c>
      <c r="H1182" s="163" t="str">
        <f>IFERROR(__xludf.DUMMYFUNCTION("""COMPUTED_VALUE"""),"SF")</f>
        <v>SF</v>
      </c>
      <c r="I1182" s="163">
        <f>IFERROR(__xludf.DUMMYFUNCTION("""COMPUTED_VALUE"""),26.0)</f>
        <v>26</v>
      </c>
      <c r="J1182" s="165">
        <f>IFERROR(__xludf.DUMMYFUNCTION("""COMPUTED_VALUE"""),-1.54735640466903)</f>
        <v>-1.547356405</v>
      </c>
      <c r="K1182" s="165">
        <f>IFERROR(__xludf.DUMMYFUNCTION("""COMPUTED_VALUE"""),-0.43251535518244)</f>
        <v>-0.4325153552</v>
      </c>
      <c r="L1182" s="165">
        <f>IFERROR(__xludf.DUMMYFUNCTION("""COMPUTED_VALUE"""),-1.11484104948659)</f>
        <v>-1.114841049</v>
      </c>
      <c r="M1182" s="166">
        <f t="shared" si="2"/>
        <v>0.4241564796</v>
      </c>
      <c r="N1182" s="167">
        <f t="shared" si="3"/>
        <v>17.98049645</v>
      </c>
      <c r="O1182" s="163">
        <f t="shared" ref="O1182:Q1182" si="1186">rank(I1182,I:I)</f>
        <v>1665</v>
      </c>
      <c r="P1182" s="163">
        <f t="shared" si="1186"/>
        <v>3097</v>
      </c>
      <c r="Q1182" s="163">
        <f t="shared" si="1186"/>
        <v>2006</v>
      </c>
      <c r="R1182" s="163">
        <f>IFERROR(__xludf.DUMMYFUNCTION("RANK(M1182,filter(M:M,C:C=C1182))"),291.0)</f>
        <v>291</v>
      </c>
      <c r="S1182" s="161" t="b">
        <f t="shared" si="5"/>
        <v>0</v>
      </c>
      <c r="T1182" s="161" t="b">
        <f t="array" ref="T1182">index('Query Tool'!B:B,match(H1182,'Query Tool'!C:C,0))</f>
        <v>1</v>
      </c>
      <c r="U1182" s="161" t="b">
        <f t="array" ref="U1182">index('Query Tool'!B:B,match(C1182,'Query Tool'!C:C,0))</f>
        <v>0</v>
      </c>
      <c r="V1182" s="161" t="b">
        <f>F1182&gt;='Query Tool'!C$32</f>
        <v>1</v>
      </c>
      <c r="W1182" s="161" t="b">
        <f t="array" ref="W1182">index(Dropdowns!B:B,match(I1182,Dropdowns!A:A,0))</f>
        <v>1</v>
      </c>
      <c r="X1182" s="161" t="b">
        <f t="array" ref="X1182">index('Query Tool'!B:B,match(D1182,'Query Tool'!C:C,0))</f>
        <v>1</v>
      </c>
      <c r="Y1182" s="161" t="str">
        <f t="shared" si="6"/>
        <v>babbilu01,2015-16</v>
      </c>
      <c r="Z1182" s="168">
        <f t="array" ref="Z1182">iferror(index(I:I,match($A1182&amp;","&amp;index('Year Conversion'!$A:$A,match($C1182,'Year Conversion'!$B:$B,0)),$Y:$Y,0))-I1182,"")</f>
        <v>1</v>
      </c>
      <c r="AA1182" s="168">
        <f t="array" ref="AA1182">iferror(index(J:J,match($A1182&amp;","&amp;index('Year Conversion'!$A:$A,match($C1182,'Year Conversion'!$B:$B,0)),$Y:$Y,0))-J1182,"")</f>
        <v>0.1757660784</v>
      </c>
      <c r="AB1182" s="168">
        <f t="array" ref="AB1182">iferror(index(K:K,match($A1182&amp;","&amp;index('Year Conversion'!$A:$A,match($C1182,'Year Conversion'!$B:$B,0)),$Y:$Y,0))-K1182,"")</f>
        <v>-1.038417229</v>
      </c>
      <c r="AC1182" s="168" t="str">
        <f t="shared" si="7"/>
        <v>NOP,2015-16</v>
      </c>
    </row>
    <row r="1183">
      <c r="A1183" s="161" t="str">
        <f>IFERROR(__xludf.DUMMYFUNCTION("""COMPUTED_VALUE"""),"serapke01")</f>
        <v>serapke01</v>
      </c>
      <c r="B1183" s="161" t="str">
        <f>IFERROR(__xludf.DUMMYFUNCTION("""COMPUTED_VALUE"""),"Kevin Seraphin")</f>
        <v>Kevin Seraphin</v>
      </c>
      <c r="C1183" s="162" t="str">
        <f>IFERROR(__xludf.DUMMYFUNCTION("""COMPUTED_VALUE"""),"2015-16")</f>
        <v>2015-16</v>
      </c>
      <c r="D1183" s="163" t="str">
        <f>IFERROR(__xludf.DUMMYFUNCTION("""COMPUTED_VALUE"""),"NYK")</f>
        <v>NYK</v>
      </c>
      <c r="E1183" s="164" t="str">
        <f>IFERROR(__xludf.DUMMYFUNCTION("""COMPUTED_VALUE"""),"Post Scorer")</f>
        <v>Post Scorer</v>
      </c>
      <c r="F1183" s="164">
        <f>IFERROR(__xludf.DUMMYFUNCTION("""COMPUTED_VALUE"""),526.488333333333)</f>
        <v>526.4883333</v>
      </c>
      <c r="G1183" s="163">
        <f>IFERROR(__xludf.DUMMYFUNCTION("""COMPUTED_VALUE"""),48.0)</f>
        <v>48</v>
      </c>
      <c r="H1183" s="163" t="str">
        <f>IFERROR(__xludf.DUMMYFUNCTION("""COMPUTED_VALUE"""),"C")</f>
        <v>C</v>
      </c>
      <c r="I1183" s="163">
        <f>IFERROR(__xludf.DUMMYFUNCTION("""COMPUTED_VALUE"""),26.0)</f>
        <v>26</v>
      </c>
      <c r="J1183" s="165">
        <f>IFERROR(__xludf.DUMMYFUNCTION("""COMPUTED_VALUE"""),-1.74678534813421)</f>
        <v>-1.746785348</v>
      </c>
      <c r="K1183" s="165">
        <f>IFERROR(__xludf.DUMMYFUNCTION("""COMPUTED_VALUE"""),-3.18185297261058)</f>
        <v>-3.181852973</v>
      </c>
      <c r="L1183" s="165">
        <f>IFERROR(__xludf.DUMMYFUNCTION("""COMPUTED_VALUE"""),1.43506762447637)</f>
        <v>1.435067624</v>
      </c>
      <c r="M1183" s="166">
        <f t="shared" si="2"/>
        <v>0.1942575558</v>
      </c>
      <c r="N1183" s="167">
        <f t="shared" si="3"/>
        <v>10.96850694</v>
      </c>
      <c r="O1183" s="163">
        <f t="shared" ref="O1183:Q1183" si="1187">rank(I1183,I:I)</f>
        <v>1665</v>
      </c>
      <c r="P1183" s="163">
        <f t="shared" si="1187"/>
        <v>3291</v>
      </c>
      <c r="Q1183" s="163">
        <f t="shared" si="1187"/>
        <v>3990</v>
      </c>
      <c r="R1183" s="163">
        <f>IFERROR(__xludf.DUMMYFUNCTION("RANK(M1183,filter(M:M,C:C=C1183))"),344.0)</f>
        <v>344</v>
      </c>
      <c r="S1183" s="161" t="b">
        <f t="shared" si="5"/>
        <v>0</v>
      </c>
      <c r="T1183" s="161" t="b">
        <f t="array" ref="T1183">index('Query Tool'!B:B,match(H1183,'Query Tool'!C:C,0))</f>
        <v>1</v>
      </c>
      <c r="U1183" s="161" t="b">
        <f t="array" ref="U1183">index('Query Tool'!B:B,match(C1183,'Query Tool'!C:C,0))</f>
        <v>0</v>
      </c>
      <c r="V1183" s="161" t="b">
        <f>F1183&gt;='Query Tool'!C$32</f>
        <v>1</v>
      </c>
      <c r="W1183" s="161" t="b">
        <f t="array" ref="W1183">index(Dropdowns!B:B,match(I1183,Dropdowns!A:A,0))</f>
        <v>1</v>
      </c>
      <c r="X1183" s="161" t="b">
        <f t="array" ref="X1183">index('Query Tool'!B:B,match(D1183,'Query Tool'!C:C,0))</f>
        <v>1</v>
      </c>
      <c r="Y1183" s="161" t="str">
        <f t="shared" si="6"/>
        <v>serapke01,2015-16</v>
      </c>
      <c r="Z1183" s="168">
        <f t="array" ref="Z1183">iferror(index(I:I,match($A1183&amp;","&amp;index('Year Conversion'!$A:$A,match($C1183,'Year Conversion'!$B:$B,0)),$Y:$Y,0))-I1183,"")</f>
        <v>1</v>
      </c>
      <c r="AA1183" s="168">
        <f t="array" ref="AA1183">iferror(index(J:J,match($A1183&amp;","&amp;index('Year Conversion'!$A:$A,match($C1183,'Year Conversion'!$B:$B,0)),$Y:$Y,0))-J1183,"")</f>
        <v>-0.5486831058</v>
      </c>
      <c r="AB1183" s="168">
        <f t="array" ref="AB1183">iferror(index(K:K,match($A1183&amp;","&amp;index('Year Conversion'!$A:$A,match($C1183,'Year Conversion'!$B:$B,0)),$Y:$Y,0))-K1183,"")</f>
        <v>0.8646652815</v>
      </c>
      <c r="AC1183" s="168" t="str">
        <f t="shared" si="7"/>
        <v>NYK,2015-16</v>
      </c>
    </row>
    <row r="1184">
      <c r="A1184" s="161" t="str">
        <f>IFERROR(__xludf.DUMMYFUNCTION("""COMPUTED_VALUE"""),"bledser01")</f>
        <v>bledser01</v>
      </c>
      <c r="B1184" s="161" t="str">
        <f>IFERROR(__xludf.DUMMYFUNCTION("""COMPUTED_VALUE"""),"Eric Bledsoe")</f>
        <v>Eric Bledsoe</v>
      </c>
      <c r="C1184" s="162" t="str">
        <f>IFERROR(__xludf.DUMMYFUNCTION("""COMPUTED_VALUE"""),"2015-16")</f>
        <v>2015-16</v>
      </c>
      <c r="D1184" s="163" t="str">
        <f>IFERROR(__xludf.DUMMYFUNCTION("""COMPUTED_VALUE"""),"PHO")</f>
        <v>PHO</v>
      </c>
      <c r="E1184" s="164" t="str">
        <f>IFERROR(__xludf.DUMMYFUNCTION("""COMPUTED_VALUE"""),"Slasher")</f>
        <v>Slasher</v>
      </c>
      <c r="F1184" s="164">
        <f>IFERROR(__xludf.DUMMYFUNCTION("""COMPUTED_VALUE"""),1058.77166666667)</f>
        <v>1058.771667</v>
      </c>
      <c r="G1184" s="163">
        <f>IFERROR(__xludf.DUMMYFUNCTION("""COMPUTED_VALUE"""),31.0)</f>
        <v>31</v>
      </c>
      <c r="H1184" s="163" t="str">
        <f>IFERROR(__xludf.DUMMYFUNCTION("""COMPUTED_VALUE"""),"PG")</f>
        <v>PG</v>
      </c>
      <c r="I1184" s="163">
        <f>IFERROR(__xludf.DUMMYFUNCTION("""COMPUTED_VALUE"""),26.0)</f>
        <v>26</v>
      </c>
      <c r="J1184" s="165">
        <f>IFERROR(__xludf.DUMMYFUNCTION("""COMPUTED_VALUE"""),1.64441541503576)</f>
        <v>1.644415415</v>
      </c>
      <c r="K1184" s="165">
        <f>IFERROR(__xludf.DUMMYFUNCTION("""COMPUTED_VALUE"""),0.787134588739522)</f>
        <v>0.7871345887</v>
      </c>
      <c r="L1184" s="165">
        <f>IFERROR(__xludf.DUMMYFUNCTION("""COMPUTED_VALUE"""),0.857280826296242)</f>
        <v>0.8572808263</v>
      </c>
      <c r="M1184" s="166">
        <f t="shared" si="2"/>
        <v>2.801688571</v>
      </c>
      <c r="N1184" s="167">
        <f t="shared" si="3"/>
        <v>34.15392473</v>
      </c>
      <c r="O1184" s="163">
        <f t="shared" ref="O1184:Q1184" si="1188">rank(I1184,I:I)</f>
        <v>1665</v>
      </c>
      <c r="P1184" s="163">
        <f t="shared" si="1188"/>
        <v>416</v>
      </c>
      <c r="Q1184" s="163">
        <f t="shared" si="1188"/>
        <v>605</v>
      </c>
      <c r="R1184" s="163">
        <f>IFERROR(__xludf.DUMMYFUNCTION("RANK(M1184,filter(M:M,C:C=C1184))"),124.0)</f>
        <v>124</v>
      </c>
      <c r="S1184" s="161" t="b">
        <f t="shared" si="5"/>
        <v>0</v>
      </c>
      <c r="T1184" s="161" t="b">
        <f t="array" ref="T1184">index('Query Tool'!B:B,match(H1184,'Query Tool'!C:C,0))</f>
        <v>1</v>
      </c>
      <c r="U1184" s="161" t="b">
        <f t="array" ref="U1184">index('Query Tool'!B:B,match(C1184,'Query Tool'!C:C,0))</f>
        <v>0</v>
      </c>
      <c r="V1184" s="161" t="b">
        <f>F1184&gt;='Query Tool'!C$32</f>
        <v>1</v>
      </c>
      <c r="W1184" s="161" t="b">
        <f t="array" ref="W1184">index(Dropdowns!B:B,match(I1184,Dropdowns!A:A,0))</f>
        <v>1</v>
      </c>
      <c r="X1184" s="161" t="b">
        <f t="array" ref="X1184">index('Query Tool'!B:B,match(D1184,'Query Tool'!C:C,0))</f>
        <v>1</v>
      </c>
      <c r="Y1184" s="161" t="str">
        <f t="shared" si="6"/>
        <v>bledser01,2015-16</v>
      </c>
      <c r="Z1184" s="168">
        <f t="array" ref="Z1184">iferror(index(I:I,match($A1184&amp;","&amp;index('Year Conversion'!$A:$A,match($C1184,'Year Conversion'!$B:$B,0)),$Y:$Y,0))-I1184,"")</f>
        <v>1</v>
      </c>
      <c r="AA1184" s="168">
        <f t="array" ref="AA1184">iferror(index(J:J,match($A1184&amp;","&amp;index('Year Conversion'!$A:$A,match($C1184,'Year Conversion'!$B:$B,0)),$Y:$Y,0))-J1184,"")</f>
        <v>0.5243833988</v>
      </c>
      <c r="AB1184" s="168">
        <f t="array" ref="AB1184">iferror(index(K:K,match($A1184&amp;","&amp;index('Year Conversion'!$A:$A,match($C1184,'Year Conversion'!$B:$B,0)),$Y:$Y,0))-K1184,"")</f>
        <v>1.444025709</v>
      </c>
      <c r="AC1184" s="168" t="str">
        <f t="shared" si="7"/>
        <v>PHO,2015-16</v>
      </c>
    </row>
    <row r="1185">
      <c r="A1185" s="161" t="str">
        <f>IFERROR(__xludf.DUMMYFUNCTION("""COMPUTED_VALUE"""),"bradlav01")</f>
        <v>bradlav01</v>
      </c>
      <c r="B1185" s="161" t="str">
        <f>IFERROR(__xludf.DUMMYFUNCTION("""COMPUTED_VALUE"""),"Avery Bradley")</f>
        <v>Avery Bradley</v>
      </c>
      <c r="C1185" s="162" t="str">
        <f>IFERROR(__xludf.DUMMYFUNCTION("""COMPUTED_VALUE"""),"2015-16")</f>
        <v>2015-16</v>
      </c>
      <c r="D1185" s="163" t="str">
        <f>IFERROR(__xludf.DUMMYFUNCTION("""COMPUTED_VALUE"""),"BOS")</f>
        <v>BOS</v>
      </c>
      <c r="E1185" s="164" t="str">
        <f>IFERROR(__xludf.DUMMYFUNCTION("""COMPUTED_VALUE"""),"Movement Shooter")</f>
        <v>Movement Shooter</v>
      </c>
      <c r="F1185" s="164">
        <f>IFERROR(__xludf.DUMMYFUNCTION("""COMPUTED_VALUE"""),2536.12333333333)</f>
        <v>2536.123333</v>
      </c>
      <c r="G1185" s="163">
        <f>IFERROR(__xludf.DUMMYFUNCTION("""COMPUTED_VALUE"""),76.0)</f>
        <v>76</v>
      </c>
      <c r="H1185" s="163" t="str">
        <f>IFERROR(__xludf.DUMMYFUNCTION("""COMPUTED_VALUE"""),"SG")</f>
        <v>SG</v>
      </c>
      <c r="I1185" s="163">
        <f>IFERROR(__xludf.DUMMYFUNCTION("""COMPUTED_VALUE"""),25.0)</f>
        <v>25</v>
      </c>
      <c r="J1185" s="165">
        <f>IFERROR(__xludf.DUMMYFUNCTION("""COMPUTED_VALUE"""),0.167694390799706)</f>
        <v>0.1676943908</v>
      </c>
      <c r="K1185" s="165">
        <f>IFERROR(__xludf.DUMMYFUNCTION("""COMPUTED_VALUE"""),0.433757805845638)</f>
        <v>0.4337578058</v>
      </c>
      <c r="L1185" s="165">
        <f>IFERROR(__xludf.DUMMYFUNCTION("""COMPUTED_VALUE"""),-0.266063415045933)</f>
        <v>-0.266063415</v>
      </c>
      <c r="M1185" s="166">
        <f t="shared" si="2"/>
        <v>4.196574257</v>
      </c>
      <c r="N1185" s="167">
        <f t="shared" si="3"/>
        <v>33.37004386</v>
      </c>
      <c r="O1185" s="163">
        <f t="shared" ref="O1185:Q1185" si="1189">rank(I1185,I:I)</f>
        <v>1995</v>
      </c>
      <c r="P1185" s="163">
        <f t="shared" si="1189"/>
        <v>1112</v>
      </c>
      <c r="Q1185" s="163">
        <f t="shared" si="1189"/>
        <v>808</v>
      </c>
      <c r="R1185" s="163">
        <f>IFERROR(__xludf.DUMMYFUNCTION("RANK(M1185,filter(M:M,C:C=C1185))"),81.0)</f>
        <v>81</v>
      </c>
      <c r="S1185" s="161" t="b">
        <f t="shared" si="5"/>
        <v>0</v>
      </c>
      <c r="T1185" s="161" t="b">
        <f t="array" ref="T1185">index('Query Tool'!B:B,match(H1185,'Query Tool'!C:C,0))</f>
        <v>1</v>
      </c>
      <c r="U1185" s="161" t="b">
        <f t="array" ref="U1185">index('Query Tool'!B:B,match(C1185,'Query Tool'!C:C,0))</f>
        <v>0</v>
      </c>
      <c r="V1185" s="161" t="b">
        <f>F1185&gt;='Query Tool'!C$32</f>
        <v>1</v>
      </c>
      <c r="W1185" s="161" t="b">
        <f t="array" ref="W1185">index(Dropdowns!B:B,match(I1185,Dropdowns!A:A,0))</f>
        <v>1</v>
      </c>
      <c r="X1185" s="161" t="b">
        <f t="array" ref="X1185">index('Query Tool'!B:B,match(D1185,'Query Tool'!C:C,0))</f>
        <v>1</v>
      </c>
      <c r="Y1185" s="161" t="str">
        <f t="shared" si="6"/>
        <v>bradlav01,2015-16</v>
      </c>
      <c r="Z1185" s="168">
        <f t="array" ref="Z1185">iferror(index(I:I,match($A1185&amp;","&amp;index('Year Conversion'!$A:$A,match($C1185,'Year Conversion'!$B:$B,0)),$Y:$Y,0))-I1185,"")</f>
        <v>1</v>
      </c>
      <c r="AA1185" s="168">
        <f t="array" ref="AA1185">iferror(index(J:J,match($A1185&amp;","&amp;index('Year Conversion'!$A:$A,match($C1185,'Year Conversion'!$B:$B,0)),$Y:$Y,0))-J1185,"")</f>
        <v>-0.5550148877</v>
      </c>
      <c r="AB1185" s="168">
        <f t="array" ref="AB1185">iferror(index(K:K,match($A1185&amp;","&amp;index('Year Conversion'!$A:$A,match($C1185,'Year Conversion'!$B:$B,0)),$Y:$Y,0))-K1185,"")</f>
        <v>-0.2578849572</v>
      </c>
      <c r="AC1185" s="168" t="str">
        <f t="shared" si="7"/>
        <v>BOS,2015-16</v>
      </c>
    </row>
    <row r="1186">
      <c r="A1186" s="161" t="str">
        <f>IFERROR(__xludf.DUMMYFUNCTION("""COMPUTED_VALUE"""),"anderja01")</f>
        <v>anderja01</v>
      </c>
      <c r="B1186" s="161" t="str">
        <f>IFERROR(__xludf.DUMMYFUNCTION("""COMPUTED_VALUE"""),"James Anderson")</f>
        <v>James Anderson</v>
      </c>
      <c r="C1186" s="162" t="str">
        <f>IFERROR(__xludf.DUMMYFUNCTION("""COMPUTED_VALUE"""),"2015-16")</f>
        <v>2015-16</v>
      </c>
      <c r="D1186" s="163" t="str">
        <f>IFERROR(__xludf.DUMMYFUNCTION("""COMPUTED_VALUE"""),"SAC")</f>
        <v>SAC</v>
      </c>
      <c r="E1186" s="164" t="str">
        <f>IFERROR(__xludf.DUMMYFUNCTION("""COMPUTED_VALUE"""),"Movement Shooter")</f>
        <v>Movement Shooter</v>
      </c>
      <c r="F1186" s="164">
        <f>IFERROR(__xludf.DUMMYFUNCTION("""COMPUTED_VALUE"""),720.983333333333)</f>
        <v>720.9833333</v>
      </c>
      <c r="G1186" s="163">
        <f>IFERROR(__xludf.DUMMYFUNCTION("""COMPUTED_VALUE"""),51.0)</f>
        <v>51</v>
      </c>
      <c r="H1186" s="163" t="str">
        <f>IFERROR(__xludf.DUMMYFUNCTION("""COMPUTED_VALUE"""),"SG")</f>
        <v>SG</v>
      </c>
      <c r="I1186" s="163">
        <f>IFERROR(__xludf.DUMMYFUNCTION("""COMPUTED_VALUE"""),26.0)</f>
        <v>26</v>
      </c>
      <c r="J1186" s="165">
        <f>IFERROR(__xludf.DUMMYFUNCTION("""COMPUTED_VALUE"""),-2.38597455828047)</f>
        <v>-2.385974558</v>
      </c>
      <c r="K1186" s="165">
        <f>IFERROR(__xludf.DUMMYFUNCTION("""COMPUTED_VALUE"""),-2.16664720824781)</f>
        <v>-2.166647208</v>
      </c>
      <c r="L1186" s="165">
        <f>IFERROR(__xludf.DUMMYFUNCTION("""COMPUTED_VALUE"""),-0.219327350032661)</f>
        <v>-0.21932735</v>
      </c>
      <c r="M1186" s="166">
        <f t="shared" si="2"/>
        <v>-0.03917166102</v>
      </c>
      <c r="N1186" s="167">
        <f t="shared" si="3"/>
        <v>14.1369281</v>
      </c>
      <c r="O1186" s="163">
        <f t="shared" ref="O1186:Q1186" si="1190">rank(I1186,I:I)</f>
        <v>1665</v>
      </c>
      <c r="P1186" s="163">
        <f t="shared" si="1190"/>
        <v>3708</v>
      </c>
      <c r="Q1186" s="163">
        <f t="shared" si="1190"/>
        <v>3787</v>
      </c>
      <c r="R1186" s="163">
        <f>IFERROR(__xludf.DUMMYFUNCTION("RANK(M1186,filter(M:M,C:C=C1186))"),432.0)</f>
        <v>432</v>
      </c>
      <c r="S1186" s="161" t="b">
        <f t="shared" si="5"/>
        <v>0</v>
      </c>
      <c r="T1186" s="161" t="b">
        <f t="array" ref="T1186">index('Query Tool'!B:B,match(H1186,'Query Tool'!C:C,0))</f>
        <v>1</v>
      </c>
      <c r="U1186" s="161" t="b">
        <f t="array" ref="U1186">index('Query Tool'!B:B,match(C1186,'Query Tool'!C:C,0))</f>
        <v>0</v>
      </c>
      <c r="V1186" s="161" t="b">
        <f>F1186&gt;='Query Tool'!C$32</f>
        <v>1</v>
      </c>
      <c r="W1186" s="161" t="b">
        <f t="array" ref="W1186">index(Dropdowns!B:B,match(I1186,Dropdowns!A:A,0))</f>
        <v>1</v>
      </c>
      <c r="X1186" s="161" t="b">
        <f t="array" ref="X1186">index('Query Tool'!B:B,match(D1186,'Query Tool'!C:C,0))</f>
        <v>1</v>
      </c>
      <c r="Y1186" s="161" t="str">
        <f t="shared" si="6"/>
        <v>anderja01,2015-16</v>
      </c>
      <c r="Z1186" s="168" t="str">
        <f t="array" ref="Z1186">iferror(index(I:I,match($A1186&amp;","&amp;index('Year Conversion'!$A:$A,match($C1186,'Year Conversion'!$B:$B,0)),$Y:$Y,0))-I1186,"")</f>
        <v/>
      </c>
      <c r="AA1186" s="168" t="str">
        <f t="array" ref="AA1186">iferror(index(J:J,match($A1186&amp;","&amp;index('Year Conversion'!$A:$A,match($C1186,'Year Conversion'!$B:$B,0)),$Y:$Y,0))-J1186,"")</f>
        <v/>
      </c>
      <c r="AB1186" s="168" t="str">
        <f t="array" ref="AB1186">iferror(index(K:K,match($A1186&amp;","&amp;index('Year Conversion'!$A:$A,match($C1186,'Year Conversion'!$B:$B,0)),$Y:$Y,0))-K1186,"")</f>
        <v/>
      </c>
      <c r="AC1186" s="168" t="str">
        <f t="shared" si="7"/>
        <v>SAC,2015-16</v>
      </c>
    </row>
    <row r="1187">
      <c r="A1187" s="161" t="str">
        <f>IFERROR(__xludf.DUMMYFUNCTION("""COMPUTED_VALUE"""),"williel01")</f>
        <v>williel01</v>
      </c>
      <c r="B1187" s="161" t="str">
        <f>IFERROR(__xludf.DUMMYFUNCTION("""COMPUTED_VALUE"""),"Elliot Williams")</f>
        <v>Elliot Williams</v>
      </c>
      <c r="C1187" s="162" t="str">
        <f>IFERROR(__xludf.DUMMYFUNCTION("""COMPUTED_VALUE"""),"2015-16")</f>
        <v>2015-16</v>
      </c>
      <c r="D1187" s="163" t="str">
        <f>IFERROR(__xludf.DUMMYFUNCTION("""COMPUTED_VALUE"""),"MEM")</f>
        <v>MEM</v>
      </c>
      <c r="E1187" s="164" t="str">
        <f>IFERROR(__xludf.DUMMYFUNCTION("""COMPUTED_VALUE"""),"Stationary Shooter")</f>
        <v>Stationary Shooter</v>
      </c>
      <c r="F1187" s="164">
        <f>IFERROR(__xludf.DUMMYFUNCTION("""COMPUTED_VALUE"""),45.1383333333334)</f>
        <v>45.13833333</v>
      </c>
      <c r="G1187" s="163">
        <f>IFERROR(__xludf.DUMMYFUNCTION("""COMPUTED_VALUE"""),5.0)</f>
        <v>5</v>
      </c>
      <c r="H1187" s="163" t="str">
        <f>IFERROR(__xludf.DUMMYFUNCTION("""COMPUTED_VALUE"""),"PG")</f>
        <v>PG</v>
      </c>
      <c r="I1187" s="163">
        <f>IFERROR(__xludf.DUMMYFUNCTION("""COMPUTED_VALUE"""),26.0)</f>
        <v>26</v>
      </c>
      <c r="J1187" s="165">
        <f>IFERROR(__xludf.DUMMYFUNCTION("""COMPUTED_VALUE"""),-0.339083239578193)</f>
        <v>-0.3390832396</v>
      </c>
      <c r="K1187" s="165">
        <f>IFERROR(__xludf.DUMMYFUNCTION("""COMPUTED_VALUE"""),-0.225953917152311)</f>
        <v>-0.2259539172</v>
      </c>
      <c r="L1187" s="165">
        <f>IFERROR(__xludf.DUMMYFUNCTION("""COMPUTED_VALUE"""),-0.113129322425882)</f>
        <v>-0.1131293224</v>
      </c>
      <c r="M1187" s="166">
        <f t="shared" si="2"/>
        <v>0.05927099687</v>
      </c>
      <c r="N1187" s="167">
        <f t="shared" si="3"/>
        <v>9.027666667</v>
      </c>
      <c r="O1187" s="163">
        <f t="shared" ref="O1187:Q1187" si="1191">rank(I1187,I:I)</f>
        <v>1665</v>
      </c>
      <c r="P1187" s="163">
        <f t="shared" si="1191"/>
        <v>1658</v>
      </c>
      <c r="Q1187" s="163">
        <f t="shared" si="1191"/>
        <v>1611</v>
      </c>
      <c r="R1187" s="163">
        <f>IFERROR(__xludf.DUMMYFUNCTION("RANK(M1187,filter(M:M,C:C=C1187))"),394.0)</f>
        <v>394</v>
      </c>
      <c r="S1187" s="161" t="b">
        <f t="shared" si="5"/>
        <v>0</v>
      </c>
      <c r="T1187" s="161" t="b">
        <f t="array" ref="T1187">index('Query Tool'!B:B,match(H1187,'Query Tool'!C:C,0))</f>
        <v>1</v>
      </c>
      <c r="U1187" s="161" t="b">
        <f t="array" ref="U1187">index('Query Tool'!B:B,match(C1187,'Query Tool'!C:C,0))</f>
        <v>0</v>
      </c>
      <c r="V1187" s="161" t="b">
        <f>F1187&gt;='Query Tool'!C$32</f>
        <v>0</v>
      </c>
      <c r="W1187" s="161" t="b">
        <f t="array" ref="W1187">index(Dropdowns!B:B,match(I1187,Dropdowns!A:A,0))</f>
        <v>1</v>
      </c>
      <c r="X1187" s="161" t="b">
        <f t="array" ref="X1187">index('Query Tool'!B:B,match(D1187,'Query Tool'!C:C,0))</f>
        <v>1</v>
      </c>
      <c r="Y1187" s="161" t="str">
        <f t="shared" si="6"/>
        <v>williel01,2015-16</v>
      </c>
      <c r="Z1187" s="168" t="str">
        <f t="array" ref="Z1187">iferror(index(I:I,match($A1187&amp;","&amp;index('Year Conversion'!$A:$A,match($C1187,'Year Conversion'!$B:$B,0)),$Y:$Y,0))-I1187,"")</f>
        <v/>
      </c>
      <c r="AA1187" s="168" t="str">
        <f t="array" ref="AA1187">iferror(index(J:J,match($A1187&amp;","&amp;index('Year Conversion'!$A:$A,match($C1187,'Year Conversion'!$B:$B,0)),$Y:$Y,0))-J1187,"")</f>
        <v/>
      </c>
      <c r="AB1187" s="168" t="str">
        <f t="array" ref="AB1187">iferror(index(K:K,match($A1187&amp;","&amp;index('Year Conversion'!$A:$A,match($C1187,'Year Conversion'!$B:$B,0)),$Y:$Y,0))-K1187,"")</f>
        <v/>
      </c>
      <c r="AC1187" s="168" t="str">
        <f t="shared" si="7"/>
        <v>MEM,2015-16</v>
      </c>
    </row>
    <row r="1188">
      <c r="A1188" s="161" t="str">
        <f>IFERROR(__xludf.DUMMYFUNCTION("""COMPUTED_VALUE"""),"booketr01")</f>
        <v>booketr01</v>
      </c>
      <c r="B1188" s="161" t="str">
        <f>IFERROR(__xludf.DUMMYFUNCTION("""COMPUTED_VALUE"""),"Trevor Booker")</f>
        <v>Trevor Booker</v>
      </c>
      <c r="C1188" s="162" t="str">
        <f>IFERROR(__xludf.DUMMYFUNCTION("""COMPUTED_VALUE"""),"2015-16")</f>
        <v>2015-16</v>
      </c>
      <c r="D1188" s="163" t="str">
        <f>IFERROR(__xludf.DUMMYFUNCTION("""COMPUTED_VALUE"""),"UTA")</f>
        <v>UTA</v>
      </c>
      <c r="E1188" s="164" t="str">
        <f>IFERROR(__xludf.DUMMYFUNCTION("""COMPUTED_VALUE"""),"Roll + Cut Big")</f>
        <v>Roll + Cut Big</v>
      </c>
      <c r="F1188" s="164">
        <f>IFERROR(__xludf.DUMMYFUNCTION("""COMPUTED_VALUE"""),1632.03333333333)</f>
        <v>1632.033333</v>
      </c>
      <c r="G1188" s="163">
        <f>IFERROR(__xludf.DUMMYFUNCTION("""COMPUTED_VALUE"""),79.0)</f>
        <v>79</v>
      </c>
      <c r="H1188" s="163" t="str">
        <f>IFERROR(__xludf.DUMMYFUNCTION("""COMPUTED_VALUE"""),"PF")</f>
        <v>PF</v>
      </c>
      <c r="I1188" s="163">
        <f>IFERROR(__xludf.DUMMYFUNCTION("""COMPUTED_VALUE"""),28.0)</f>
        <v>28</v>
      </c>
      <c r="J1188" s="165">
        <f>IFERROR(__xludf.DUMMYFUNCTION("""COMPUTED_VALUE"""),0.196176096613201)</f>
        <v>0.1961760966</v>
      </c>
      <c r="K1188" s="165">
        <f>IFERROR(__xludf.DUMMYFUNCTION("""COMPUTED_VALUE"""),-0.664403218190429)</f>
        <v>-0.6644032182</v>
      </c>
      <c r="L1188" s="165">
        <f>IFERROR(__xludf.DUMMYFUNCTION("""COMPUTED_VALUE"""),0.860579314803631)</f>
        <v>0.8605793148</v>
      </c>
      <c r="M1188" s="166">
        <f t="shared" si="2"/>
        <v>2.731892458</v>
      </c>
      <c r="N1188" s="167">
        <f t="shared" si="3"/>
        <v>20.65864979</v>
      </c>
      <c r="O1188" s="163">
        <f t="shared" ref="O1188:Q1188" si="1192">rank(I1188,I:I)</f>
        <v>1090</v>
      </c>
      <c r="P1188" s="163">
        <f t="shared" si="1192"/>
        <v>1094</v>
      </c>
      <c r="Q1188" s="163">
        <f t="shared" si="1192"/>
        <v>2361</v>
      </c>
      <c r="R1188" s="163">
        <f>IFERROR(__xludf.DUMMYFUNCTION("RANK(M1188,filter(M:M,C:C=C1188))"),127.0)</f>
        <v>127</v>
      </c>
      <c r="S1188" s="161" t="b">
        <f t="shared" si="5"/>
        <v>0</v>
      </c>
      <c r="T1188" s="161" t="b">
        <f t="array" ref="T1188">index('Query Tool'!B:B,match(H1188,'Query Tool'!C:C,0))</f>
        <v>1</v>
      </c>
      <c r="U1188" s="161" t="b">
        <f t="array" ref="U1188">index('Query Tool'!B:B,match(C1188,'Query Tool'!C:C,0))</f>
        <v>0</v>
      </c>
      <c r="V1188" s="161" t="b">
        <f>F1188&gt;='Query Tool'!C$32</f>
        <v>1</v>
      </c>
      <c r="W1188" s="161" t="b">
        <f t="array" ref="W1188">index(Dropdowns!B:B,match(I1188,Dropdowns!A:A,0))</f>
        <v>1</v>
      </c>
      <c r="X1188" s="161" t="b">
        <f t="array" ref="X1188">index('Query Tool'!B:B,match(D1188,'Query Tool'!C:C,0))</f>
        <v>1</v>
      </c>
      <c r="Y1188" s="161" t="str">
        <f t="shared" si="6"/>
        <v>booketr01,2015-16</v>
      </c>
      <c r="Z1188" s="168">
        <f t="array" ref="Z1188">iferror(index(I:I,match($A1188&amp;","&amp;index('Year Conversion'!$A:$A,match($C1188,'Year Conversion'!$B:$B,0)),$Y:$Y,0))-I1188,"")</f>
        <v>1</v>
      </c>
      <c r="AA1188" s="168">
        <f t="array" ref="AA1188">iferror(index(J:J,match($A1188&amp;","&amp;index('Year Conversion'!$A:$A,match($C1188,'Year Conversion'!$B:$B,0)),$Y:$Y,0))-J1188,"")</f>
        <v>-0.9778476244</v>
      </c>
      <c r="AB1188" s="168">
        <f t="array" ref="AB1188">iferror(index(K:K,match($A1188&amp;","&amp;index('Year Conversion'!$A:$A,match($C1188,'Year Conversion'!$B:$B,0)),$Y:$Y,0))-K1188,"")</f>
        <v>-1.114998048</v>
      </c>
      <c r="AC1188" s="168" t="str">
        <f t="shared" si="7"/>
        <v>UTA,2015-16</v>
      </c>
    </row>
    <row r="1189">
      <c r="A1189" s="161" t="str">
        <f>IFERROR(__xludf.DUMMYFUNCTION("""COMPUTED_VALUE"""),"vasqugr01")</f>
        <v>vasqugr01</v>
      </c>
      <c r="B1189" s="161" t="str">
        <f>IFERROR(__xludf.DUMMYFUNCTION("""COMPUTED_VALUE"""),"Greivis Vasquez")</f>
        <v>Greivis Vasquez</v>
      </c>
      <c r="C1189" s="162" t="str">
        <f>IFERROR(__xludf.DUMMYFUNCTION("""COMPUTED_VALUE"""),"2015-16")</f>
        <v>2015-16</v>
      </c>
      <c r="D1189" s="163" t="str">
        <f>IFERROR(__xludf.DUMMYFUNCTION("""COMPUTED_VALUE"""),"MIL")</f>
        <v>MIL</v>
      </c>
      <c r="E1189" s="164" t="str">
        <f>IFERROR(__xludf.DUMMYFUNCTION("""COMPUTED_VALUE"""),"Secondary Ball Handler")</f>
        <v>Secondary Ball Handler</v>
      </c>
      <c r="F1189" s="164">
        <f>IFERROR(__xludf.DUMMYFUNCTION("""COMPUTED_VALUE"""),459.911666666667)</f>
        <v>459.9116667</v>
      </c>
      <c r="G1189" s="163">
        <f>IFERROR(__xludf.DUMMYFUNCTION("""COMPUTED_VALUE"""),23.0)</f>
        <v>23</v>
      </c>
      <c r="H1189" s="163" t="str">
        <f>IFERROR(__xludf.DUMMYFUNCTION("""COMPUTED_VALUE"""),"PG")</f>
        <v>PG</v>
      </c>
      <c r="I1189" s="163">
        <f>IFERROR(__xludf.DUMMYFUNCTION("""COMPUTED_VALUE"""),29.0)</f>
        <v>29</v>
      </c>
      <c r="J1189" s="165">
        <f>IFERROR(__xludf.DUMMYFUNCTION("""COMPUTED_VALUE"""),-2.46043487947525)</f>
        <v>-2.460434879</v>
      </c>
      <c r="K1189" s="165">
        <f>IFERROR(__xludf.DUMMYFUNCTION("""COMPUTED_VALUE"""),-0.36904680171838)</f>
        <v>-0.3690468017</v>
      </c>
      <c r="L1189" s="165">
        <f>IFERROR(__xludf.DUMMYFUNCTION("""COMPUTED_VALUE"""),-2.09138807775687)</f>
        <v>-2.091388078</v>
      </c>
      <c r="M1189" s="166">
        <f t="shared" si="2"/>
        <v>-0.04751918997</v>
      </c>
      <c r="N1189" s="167">
        <f t="shared" si="3"/>
        <v>19.99615942</v>
      </c>
      <c r="O1189" s="163">
        <f t="shared" ref="O1189:Q1189" si="1193">rank(I1189,I:I)</f>
        <v>855</v>
      </c>
      <c r="P1189" s="163">
        <f t="shared" si="1193"/>
        <v>3743</v>
      </c>
      <c r="Q1189" s="163">
        <f t="shared" si="1193"/>
        <v>1890</v>
      </c>
      <c r="R1189" s="163">
        <f>IFERROR(__xludf.DUMMYFUNCTION("RANK(M1189,filter(M:M,C:C=C1189))"),433.0)</f>
        <v>433</v>
      </c>
      <c r="S1189" s="161" t="b">
        <f t="shared" si="5"/>
        <v>0</v>
      </c>
      <c r="T1189" s="161" t="b">
        <f t="array" ref="T1189">index('Query Tool'!B:B,match(H1189,'Query Tool'!C:C,0))</f>
        <v>1</v>
      </c>
      <c r="U1189" s="161" t="b">
        <f t="array" ref="U1189">index('Query Tool'!B:B,match(C1189,'Query Tool'!C:C,0))</f>
        <v>0</v>
      </c>
      <c r="V1189" s="161" t="b">
        <f>F1189&gt;='Query Tool'!C$32</f>
        <v>0</v>
      </c>
      <c r="W1189" s="161" t="b">
        <f t="array" ref="W1189">index(Dropdowns!B:B,match(I1189,Dropdowns!A:A,0))</f>
        <v>1</v>
      </c>
      <c r="X1189" s="161" t="b">
        <f t="array" ref="X1189">index('Query Tool'!B:B,match(D1189,'Query Tool'!C:C,0))</f>
        <v>1</v>
      </c>
      <c r="Y1189" s="161" t="str">
        <f t="shared" si="6"/>
        <v>vasqugr01,2015-16</v>
      </c>
      <c r="Z1189" s="168">
        <f t="array" ref="Z1189">iferror(index(I:I,match($A1189&amp;","&amp;index('Year Conversion'!$A:$A,match($C1189,'Year Conversion'!$B:$B,0)),$Y:$Y,0))-I1189,"")</f>
        <v>1</v>
      </c>
      <c r="AA1189" s="168">
        <f t="array" ref="AA1189">iferror(index(J:J,match($A1189&amp;","&amp;index('Year Conversion'!$A:$A,match($C1189,'Year Conversion'!$B:$B,0)),$Y:$Y,0))-J1189,"")</f>
        <v>2.257084779</v>
      </c>
      <c r="AB1189" s="168">
        <f t="array" ref="AB1189">iferror(index(K:K,match($A1189&amp;","&amp;index('Year Conversion'!$A:$A,match($C1189,'Year Conversion'!$B:$B,0)),$Y:$Y,0))-K1189,"")</f>
        <v>0.1036439058</v>
      </c>
      <c r="AC1189" s="168" t="str">
        <f t="shared" si="7"/>
        <v>MIL,2015-16</v>
      </c>
    </row>
    <row r="1190">
      <c r="A1190" s="161" t="str">
        <f>IFERROR(__xludf.DUMMYFUNCTION("""COMPUTED_VALUE"""),"pleisti01")</f>
        <v>pleisti01</v>
      </c>
      <c r="B1190" s="161" t="str">
        <f>IFERROR(__xludf.DUMMYFUNCTION("""COMPUTED_VALUE"""),"Tibor Pleiss")</f>
        <v>Tibor Pleiss</v>
      </c>
      <c r="C1190" s="162" t="str">
        <f>IFERROR(__xludf.DUMMYFUNCTION("""COMPUTED_VALUE"""),"2015-16")</f>
        <v>2015-16</v>
      </c>
      <c r="D1190" s="163" t="str">
        <f>IFERROR(__xludf.DUMMYFUNCTION("""COMPUTED_VALUE"""),"UTA")</f>
        <v>UTA</v>
      </c>
      <c r="E1190" s="164" t="str">
        <f>IFERROR(__xludf.DUMMYFUNCTION("""COMPUTED_VALUE"""),"Roll + Cut Big")</f>
        <v>Roll + Cut Big</v>
      </c>
      <c r="F1190" s="164">
        <f>IFERROR(__xludf.DUMMYFUNCTION("""COMPUTED_VALUE"""),81.5400000000001)</f>
        <v>81.54</v>
      </c>
      <c r="G1190" s="163">
        <f>IFERROR(__xludf.DUMMYFUNCTION("""COMPUTED_VALUE"""),12.0)</f>
        <v>12</v>
      </c>
      <c r="H1190" s="163" t="str">
        <f>IFERROR(__xludf.DUMMYFUNCTION("""COMPUTED_VALUE"""),"C")</f>
        <v>C</v>
      </c>
      <c r="I1190" s="163">
        <f>IFERROR(__xludf.DUMMYFUNCTION("""COMPUTED_VALUE"""),26.0)</f>
        <v>26</v>
      </c>
      <c r="J1190" s="165">
        <f>IFERROR(__xludf.DUMMYFUNCTION("""COMPUTED_VALUE"""),-0.950183035204757)</f>
        <v>-0.9501830352</v>
      </c>
      <c r="K1190" s="165">
        <f>IFERROR(__xludf.DUMMYFUNCTION("""COMPUTED_VALUE"""),-0.631730406642424)</f>
        <v>-0.6317304066</v>
      </c>
      <c r="L1190" s="165">
        <f>IFERROR(__xludf.DUMMYFUNCTION("""COMPUTED_VALUE"""),-0.318452628562334)</f>
        <v>-0.3184526286</v>
      </c>
      <c r="M1190" s="166">
        <f t="shared" si="2"/>
        <v>0.07353808785</v>
      </c>
      <c r="N1190" s="167">
        <f t="shared" si="3"/>
        <v>6.795</v>
      </c>
      <c r="O1190" s="163">
        <f t="shared" ref="O1190:Q1190" si="1194">rank(I1190,I:I)</f>
        <v>1665</v>
      </c>
      <c r="P1190" s="163">
        <f t="shared" si="1194"/>
        <v>2449</v>
      </c>
      <c r="Q1190" s="163">
        <f t="shared" si="1194"/>
        <v>2306</v>
      </c>
      <c r="R1190" s="163">
        <f>IFERROR(__xludf.DUMMYFUNCTION("RANK(M1190,filter(M:M,C:C=C1190))"),385.0)</f>
        <v>385</v>
      </c>
      <c r="S1190" s="161" t="b">
        <f t="shared" si="5"/>
        <v>0</v>
      </c>
      <c r="T1190" s="161" t="b">
        <f t="array" ref="T1190">index('Query Tool'!B:B,match(H1190,'Query Tool'!C:C,0))</f>
        <v>1</v>
      </c>
      <c r="U1190" s="161" t="b">
        <f t="array" ref="U1190">index('Query Tool'!B:B,match(C1190,'Query Tool'!C:C,0))</f>
        <v>0</v>
      </c>
      <c r="V1190" s="161" t="b">
        <f>F1190&gt;='Query Tool'!C$32</f>
        <v>0</v>
      </c>
      <c r="W1190" s="161" t="b">
        <f t="array" ref="W1190">index(Dropdowns!B:B,match(I1190,Dropdowns!A:A,0))</f>
        <v>1</v>
      </c>
      <c r="X1190" s="161" t="b">
        <f t="array" ref="X1190">index('Query Tool'!B:B,match(D1190,'Query Tool'!C:C,0))</f>
        <v>1</v>
      </c>
      <c r="Y1190" s="161" t="str">
        <f t="shared" si="6"/>
        <v>pleisti01,2015-16</v>
      </c>
      <c r="Z1190" s="168" t="str">
        <f t="array" ref="Z1190">iferror(index(I:I,match($A1190&amp;","&amp;index('Year Conversion'!$A:$A,match($C1190,'Year Conversion'!$B:$B,0)),$Y:$Y,0))-I1190,"")</f>
        <v/>
      </c>
      <c r="AA1190" s="168" t="str">
        <f t="array" ref="AA1190">iferror(index(J:J,match($A1190&amp;","&amp;index('Year Conversion'!$A:$A,match($C1190,'Year Conversion'!$B:$B,0)),$Y:$Y,0))-J1190,"")</f>
        <v/>
      </c>
      <c r="AB1190" s="168" t="str">
        <f t="array" ref="AB1190">iferror(index(K:K,match($A1190&amp;","&amp;index('Year Conversion'!$A:$A,match($C1190,'Year Conversion'!$B:$B,0)),$Y:$Y,0))-K1190,"")</f>
        <v/>
      </c>
      <c r="AC1190" s="168" t="str">
        <f t="shared" si="7"/>
        <v>UTA,2015-16</v>
      </c>
    </row>
    <row r="1191">
      <c r="A1191" s="161" t="str">
        <f>IFERROR(__xludf.DUMMYFUNCTION("""COMPUTED_VALUE"""),"whiteha01")</f>
        <v>whiteha01</v>
      </c>
      <c r="B1191" s="161" t="str">
        <f>IFERROR(__xludf.DUMMYFUNCTION("""COMPUTED_VALUE"""),"Hassan Whiteside")</f>
        <v>Hassan Whiteside</v>
      </c>
      <c r="C1191" s="162" t="str">
        <f>IFERROR(__xludf.DUMMYFUNCTION("""COMPUTED_VALUE"""),"2015-16")</f>
        <v>2015-16</v>
      </c>
      <c r="D1191" s="163" t="str">
        <f>IFERROR(__xludf.DUMMYFUNCTION("""COMPUTED_VALUE"""),"MIA")</f>
        <v>MIA</v>
      </c>
      <c r="E1191" s="164" t="str">
        <f>IFERROR(__xludf.DUMMYFUNCTION("""COMPUTED_VALUE"""),"Post Scorer")</f>
        <v>Post Scorer</v>
      </c>
      <c r="F1191" s="164">
        <f>IFERROR(__xludf.DUMMYFUNCTION("""COMPUTED_VALUE"""),2125.35666666667)</f>
        <v>2125.356667</v>
      </c>
      <c r="G1191" s="163">
        <f>IFERROR(__xludf.DUMMYFUNCTION("""COMPUTED_VALUE"""),73.0)</f>
        <v>73</v>
      </c>
      <c r="H1191" s="163" t="str">
        <f>IFERROR(__xludf.DUMMYFUNCTION("""COMPUTED_VALUE"""),"C")</f>
        <v>C</v>
      </c>
      <c r="I1191" s="163">
        <f>IFERROR(__xludf.DUMMYFUNCTION("""COMPUTED_VALUE"""),26.0)</f>
        <v>26</v>
      </c>
      <c r="J1191" s="165">
        <f>IFERROR(__xludf.DUMMYFUNCTION("""COMPUTED_VALUE"""),3.71824611967279)</f>
        <v>3.71824612</v>
      </c>
      <c r="K1191" s="165">
        <f>IFERROR(__xludf.DUMMYFUNCTION("""COMPUTED_VALUE"""),0.525413124127457)</f>
        <v>0.5254131241</v>
      </c>
      <c r="L1191" s="165">
        <f>IFERROR(__xludf.DUMMYFUNCTION("""COMPUTED_VALUE"""),3.19283299554534)</f>
        <v>3.192832996</v>
      </c>
      <c r="M1191" s="166">
        <f t="shared" si="2"/>
        <v>8.504416175</v>
      </c>
      <c r="N1191" s="167">
        <f t="shared" si="3"/>
        <v>29.11447489</v>
      </c>
      <c r="O1191" s="163">
        <f t="shared" ref="O1191:Q1191" si="1195">rank(I1191,I:I)</f>
        <v>1665</v>
      </c>
      <c r="P1191" s="163">
        <f t="shared" si="1195"/>
        <v>117</v>
      </c>
      <c r="Q1191" s="163">
        <f t="shared" si="1195"/>
        <v>757</v>
      </c>
      <c r="R1191" s="163">
        <f>IFERROR(__xludf.DUMMYFUNCTION("RANK(M1191,filter(M:M,C:C=C1191))"),20.0)</f>
        <v>20</v>
      </c>
      <c r="S1191" s="161" t="b">
        <f t="shared" si="5"/>
        <v>0</v>
      </c>
      <c r="T1191" s="161" t="b">
        <f t="array" ref="T1191">index('Query Tool'!B:B,match(H1191,'Query Tool'!C:C,0))</f>
        <v>1</v>
      </c>
      <c r="U1191" s="161" t="b">
        <f t="array" ref="U1191">index('Query Tool'!B:B,match(C1191,'Query Tool'!C:C,0))</f>
        <v>0</v>
      </c>
      <c r="V1191" s="161" t="b">
        <f>F1191&gt;='Query Tool'!C$32</f>
        <v>1</v>
      </c>
      <c r="W1191" s="161" t="b">
        <f t="array" ref="W1191">index(Dropdowns!B:B,match(I1191,Dropdowns!A:A,0))</f>
        <v>1</v>
      </c>
      <c r="X1191" s="161" t="b">
        <f t="array" ref="X1191">index('Query Tool'!B:B,match(D1191,'Query Tool'!C:C,0))</f>
        <v>1</v>
      </c>
      <c r="Y1191" s="161" t="str">
        <f t="shared" si="6"/>
        <v>whiteha01,2015-16</v>
      </c>
      <c r="Z1191" s="168">
        <f t="array" ref="Z1191">iferror(index(I:I,match($A1191&amp;","&amp;index('Year Conversion'!$A:$A,match($C1191,'Year Conversion'!$B:$B,0)),$Y:$Y,0))-I1191,"")</f>
        <v>1</v>
      </c>
      <c r="AA1191" s="168">
        <f t="array" ref="AA1191">iferror(index(J:J,match($A1191&amp;","&amp;index('Year Conversion'!$A:$A,match($C1191,'Year Conversion'!$B:$B,0)),$Y:$Y,0))-J1191,"")</f>
        <v>-1.195283675</v>
      </c>
      <c r="AB1191" s="168">
        <f t="array" ref="AB1191">iferror(index(K:K,match($A1191&amp;","&amp;index('Year Conversion'!$A:$A,match($C1191,'Year Conversion'!$B:$B,0)),$Y:$Y,0))-K1191,"")</f>
        <v>-0.1517138592</v>
      </c>
      <c r="AC1191" s="168" t="str">
        <f t="shared" si="7"/>
        <v>MIA,2015-16</v>
      </c>
    </row>
    <row r="1192">
      <c r="A1192" s="161" t="str">
        <f>IFERROR(__xludf.DUMMYFUNCTION("""COMPUTED_VALUE"""),"bjeline01")</f>
        <v>bjeline01</v>
      </c>
      <c r="B1192" s="161" t="str">
        <f>IFERROR(__xludf.DUMMYFUNCTION("""COMPUTED_VALUE"""),"Nemanja Bjelica")</f>
        <v>Nemanja Bjelica</v>
      </c>
      <c r="C1192" s="162" t="str">
        <f>IFERROR(__xludf.DUMMYFUNCTION("""COMPUTED_VALUE"""),"2015-16")</f>
        <v>2015-16</v>
      </c>
      <c r="D1192" s="163" t="str">
        <f>IFERROR(__xludf.DUMMYFUNCTION("""COMPUTED_VALUE"""),"MIN")</f>
        <v>MIN</v>
      </c>
      <c r="E1192" s="164" t="str">
        <f>IFERROR(__xludf.DUMMYFUNCTION("""COMPUTED_VALUE"""),"Stretch Big")</f>
        <v>Stretch Big</v>
      </c>
      <c r="F1192" s="164">
        <f>IFERROR(__xludf.DUMMYFUNCTION("""COMPUTED_VALUE"""),1074.80333333333)</f>
        <v>1074.803333</v>
      </c>
      <c r="G1192" s="163">
        <f>IFERROR(__xludf.DUMMYFUNCTION("""COMPUTED_VALUE"""),60.0)</f>
        <v>60</v>
      </c>
      <c r="H1192" s="163" t="str">
        <f>IFERROR(__xludf.DUMMYFUNCTION("""COMPUTED_VALUE"""),"PF")</f>
        <v>PF</v>
      </c>
      <c r="I1192" s="163">
        <f>IFERROR(__xludf.DUMMYFUNCTION("""COMPUTED_VALUE"""),27.0)</f>
        <v>27</v>
      </c>
      <c r="J1192" s="165">
        <f>IFERROR(__xludf.DUMMYFUNCTION("""COMPUTED_VALUE"""),-0.980695203758182)</f>
        <v>-0.9806952038</v>
      </c>
      <c r="K1192" s="165">
        <f>IFERROR(__xludf.DUMMYFUNCTION("""COMPUTED_VALUE"""),-0.954554266939623)</f>
        <v>-0.9545542669</v>
      </c>
      <c r="L1192" s="165">
        <f>IFERROR(__xludf.DUMMYFUNCTION("""COMPUTED_VALUE"""),-0.0261409368185587)</f>
        <v>-0.02614093682</v>
      </c>
      <c r="M1192" s="166">
        <f t="shared" si="2"/>
        <v>0.9473036136</v>
      </c>
      <c r="N1192" s="167">
        <f t="shared" si="3"/>
        <v>17.91338889</v>
      </c>
      <c r="O1192" s="163">
        <f t="shared" ref="O1192:Q1192" si="1196">rank(I1192,I:I)</f>
        <v>1366</v>
      </c>
      <c r="P1192" s="163">
        <f t="shared" si="1196"/>
        <v>2481</v>
      </c>
      <c r="Q1192" s="163">
        <f t="shared" si="1196"/>
        <v>2751</v>
      </c>
      <c r="R1192" s="163">
        <f>IFERROR(__xludf.DUMMYFUNCTION("RANK(M1192,filter(M:M,C:C=C1192))"),224.0)</f>
        <v>224</v>
      </c>
      <c r="S1192" s="161" t="b">
        <f t="shared" si="5"/>
        <v>0</v>
      </c>
      <c r="T1192" s="161" t="b">
        <f t="array" ref="T1192">index('Query Tool'!B:B,match(H1192,'Query Tool'!C:C,0))</f>
        <v>1</v>
      </c>
      <c r="U1192" s="161" t="b">
        <f t="array" ref="U1192">index('Query Tool'!B:B,match(C1192,'Query Tool'!C:C,0))</f>
        <v>0</v>
      </c>
      <c r="V1192" s="161" t="b">
        <f>F1192&gt;='Query Tool'!C$32</f>
        <v>1</v>
      </c>
      <c r="W1192" s="161" t="b">
        <f t="array" ref="W1192">index(Dropdowns!B:B,match(I1192,Dropdowns!A:A,0))</f>
        <v>1</v>
      </c>
      <c r="X1192" s="161" t="b">
        <f t="array" ref="X1192">index('Query Tool'!B:B,match(D1192,'Query Tool'!C:C,0))</f>
        <v>1</v>
      </c>
      <c r="Y1192" s="161" t="str">
        <f t="shared" si="6"/>
        <v>bjeline01,2015-16</v>
      </c>
      <c r="Z1192" s="168">
        <f t="array" ref="Z1192">iferror(index(I:I,match($A1192&amp;","&amp;index('Year Conversion'!$A:$A,match($C1192,'Year Conversion'!$B:$B,0)),$Y:$Y,0))-I1192,"")</f>
        <v>1</v>
      </c>
      <c r="AA1192" s="168">
        <f t="array" ref="AA1192">iferror(index(J:J,match($A1192&amp;","&amp;index('Year Conversion'!$A:$A,match($C1192,'Year Conversion'!$B:$B,0)),$Y:$Y,0))-J1192,"")</f>
        <v>0.2388372983</v>
      </c>
      <c r="AB1192" s="168">
        <f t="array" ref="AB1192">iferror(index(K:K,match($A1192&amp;","&amp;index('Year Conversion'!$A:$A,match($C1192,'Year Conversion'!$B:$B,0)),$Y:$Y,0))-K1192,"")</f>
        <v>0.1309417756</v>
      </c>
      <c r="AC1192" s="168" t="str">
        <f t="shared" si="7"/>
        <v>MIN,2015-16</v>
      </c>
    </row>
    <row r="1193">
      <c r="A1193" s="161" t="str">
        <f>IFERROR(__xludf.DUMMYFUNCTION("""COMPUTED_VALUE"""),"stephla01")</f>
        <v>stephla01</v>
      </c>
      <c r="B1193" s="161" t="str">
        <f>IFERROR(__xludf.DUMMYFUNCTION("""COMPUTED_VALUE"""),"Lance Stephenson")</f>
        <v>Lance Stephenson</v>
      </c>
      <c r="C1193" s="162" t="str">
        <f>IFERROR(__xludf.DUMMYFUNCTION("""COMPUTED_VALUE"""),"2015-16")</f>
        <v>2015-16</v>
      </c>
      <c r="D1193" s="163" t="str">
        <f>IFERROR(__xludf.DUMMYFUNCTION("""COMPUTED_VALUE"""),"TOT")</f>
        <v>TOT</v>
      </c>
      <c r="E1193" s="164" t="str">
        <f>IFERROR(__xludf.DUMMYFUNCTION("""COMPUTED_VALUE"""),"Shot Creator")</f>
        <v>Shot Creator</v>
      </c>
      <c r="F1193" s="164">
        <f>IFERROR(__xludf.DUMMYFUNCTION("""COMPUTED_VALUE"""),1372.30666666667)</f>
        <v>1372.306667</v>
      </c>
      <c r="G1193" s="163">
        <f>IFERROR(__xludf.DUMMYFUNCTION("""COMPUTED_VALUE"""),69.0)</f>
        <v>69</v>
      </c>
      <c r="H1193" s="163" t="str">
        <f>IFERROR(__xludf.DUMMYFUNCTION("""COMPUTED_VALUE"""),"SF")</f>
        <v>SF</v>
      </c>
      <c r="I1193" s="163">
        <f>IFERROR(__xludf.DUMMYFUNCTION("""COMPUTED_VALUE"""),25.0)</f>
        <v>25</v>
      </c>
      <c r="J1193" s="165">
        <f>IFERROR(__xludf.DUMMYFUNCTION("""COMPUTED_VALUE"""),-2.37294915069731)</f>
        <v>-2.372949151</v>
      </c>
      <c r="K1193" s="165">
        <f>IFERROR(__xludf.DUMMYFUNCTION("""COMPUTED_VALUE"""),-0.6394043969797)</f>
        <v>-0.639404397</v>
      </c>
      <c r="L1193" s="165">
        <f>IFERROR(__xludf.DUMMYFUNCTION("""COMPUTED_VALUE"""),-1.73354475371761)</f>
        <v>-1.733544754</v>
      </c>
      <c r="M1193" s="166">
        <f t="shared" si="2"/>
        <v>-0.06278754148</v>
      </c>
      <c r="N1193" s="167">
        <f t="shared" si="3"/>
        <v>19.88850242</v>
      </c>
      <c r="O1193" s="163">
        <f t="shared" ref="O1193:Q1193" si="1197">rank(I1193,I:I)</f>
        <v>1995</v>
      </c>
      <c r="P1193" s="163">
        <f t="shared" si="1197"/>
        <v>3697</v>
      </c>
      <c r="Q1193" s="163">
        <f t="shared" si="1197"/>
        <v>2321</v>
      </c>
      <c r="R1193" s="163">
        <f>IFERROR(__xludf.DUMMYFUNCTION("RANK(M1193,filter(M:M,C:C=C1193))"),437.0)</f>
        <v>437</v>
      </c>
      <c r="S1193" s="161" t="b">
        <f t="shared" si="5"/>
        <v>0</v>
      </c>
      <c r="T1193" s="161" t="b">
        <f t="array" ref="T1193">index('Query Tool'!B:B,match(H1193,'Query Tool'!C:C,0))</f>
        <v>1</v>
      </c>
      <c r="U1193" s="161" t="b">
        <f t="array" ref="U1193">index('Query Tool'!B:B,match(C1193,'Query Tool'!C:C,0))</f>
        <v>0</v>
      </c>
      <c r="V1193" s="161" t="b">
        <f>F1193&gt;='Query Tool'!C$32</f>
        <v>1</v>
      </c>
      <c r="W1193" s="161" t="b">
        <f t="array" ref="W1193">index(Dropdowns!B:B,match(I1193,Dropdowns!A:A,0))</f>
        <v>1</v>
      </c>
      <c r="X1193" s="161" t="b">
        <f t="array" ref="X1193">index('Query Tool'!B:B,match(D1193,'Query Tool'!C:C,0))</f>
        <v>1</v>
      </c>
      <c r="Y1193" s="161" t="str">
        <f t="shared" si="6"/>
        <v>stephla01,2015-16</v>
      </c>
      <c r="Z1193" s="168">
        <f t="array" ref="Z1193">iferror(index(I:I,match($A1193&amp;","&amp;index('Year Conversion'!$A:$A,match($C1193,'Year Conversion'!$B:$B,0)),$Y:$Y,0))-I1193,"")</f>
        <v>1</v>
      </c>
      <c r="AA1193" s="168">
        <f t="array" ref="AA1193">iferror(index(J:J,match($A1193&amp;","&amp;index('Year Conversion'!$A:$A,match($C1193,'Year Conversion'!$B:$B,0)),$Y:$Y,0))-J1193,"")</f>
        <v>2.083005153</v>
      </c>
      <c r="AB1193" s="168">
        <f t="array" ref="AB1193">iferror(index(K:K,match($A1193&amp;","&amp;index('Year Conversion'!$A:$A,match($C1193,'Year Conversion'!$B:$B,0)),$Y:$Y,0))-K1193,"")</f>
        <v>0.3579761737</v>
      </c>
      <c r="AC1193" s="168" t="str">
        <f t="shared" si="7"/>
        <v>TOT,2015-16</v>
      </c>
    </row>
    <row r="1194">
      <c r="A1194" s="161" t="str">
        <f>IFERROR(__xludf.DUMMYFUNCTION("""COMPUTED_VALUE"""),"evansje01")</f>
        <v>evansje01</v>
      </c>
      <c r="B1194" s="161" t="str">
        <f>IFERROR(__xludf.DUMMYFUNCTION("""COMPUTED_VALUE"""),"Jeremy Evans")</f>
        <v>Jeremy Evans</v>
      </c>
      <c r="C1194" s="162" t="str">
        <f>IFERROR(__xludf.DUMMYFUNCTION("""COMPUTED_VALUE"""),"2015-16")</f>
        <v>2015-16</v>
      </c>
      <c r="D1194" s="163" t="str">
        <f>IFERROR(__xludf.DUMMYFUNCTION("""COMPUTED_VALUE"""),"DAL")</f>
        <v>DAL</v>
      </c>
      <c r="E1194" s="164" t="str">
        <f>IFERROR(__xludf.DUMMYFUNCTION("""COMPUTED_VALUE"""),"Stretch Big")</f>
        <v>Stretch Big</v>
      </c>
      <c r="F1194" s="164">
        <f>IFERROR(__xludf.DUMMYFUNCTION("""COMPUTED_VALUE"""),251.408333333333)</f>
        <v>251.4083333</v>
      </c>
      <c r="G1194" s="163">
        <f>IFERROR(__xludf.DUMMYFUNCTION("""COMPUTED_VALUE"""),30.0)</f>
        <v>30</v>
      </c>
      <c r="H1194" s="163" t="str">
        <f>IFERROR(__xludf.DUMMYFUNCTION("""COMPUTED_VALUE"""),"SF")</f>
        <v>SF</v>
      </c>
      <c r="I1194" s="163">
        <f>IFERROR(__xludf.DUMMYFUNCTION("""COMPUTED_VALUE"""),28.0)</f>
        <v>28</v>
      </c>
      <c r="J1194" s="165">
        <f>IFERROR(__xludf.DUMMYFUNCTION("""COMPUTED_VALUE"""),-0.897881624325887)</f>
        <v>-0.8978816243</v>
      </c>
      <c r="K1194" s="165">
        <f>IFERROR(__xludf.DUMMYFUNCTION("""COMPUTED_VALUE"""),-1.42497140622131)</f>
        <v>-1.424971406</v>
      </c>
      <c r="L1194" s="165">
        <f>IFERROR(__xludf.DUMMYFUNCTION("""COMPUTED_VALUE"""),0.527089781895421)</f>
        <v>0.5270897819</v>
      </c>
      <c r="M1194" s="166">
        <f t="shared" si="2"/>
        <v>0.2355698754</v>
      </c>
      <c r="N1194" s="167">
        <f t="shared" si="3"/>
        <v>8.380277778</v>
      </c>
      <c r="O1194" s="163">
        <f t="shared" ref="O1194:Q1194" si="1198">rank(I1194,I:I)</f>
        <v>1090</v>
      </c>
      <c r="P1194" s="163">
        <f t="shared" si="1198"/>
        <v>2389</v>
      </c>
      <c r="Q1194" s="163">
        <f t="shared" si="1198"/>
        <v>3276</v>
      </c>
      <c r="R1194" s="163">
        <f>IFERROR(__xludf.DUMMYFUNCTION("RANK(M1194,filter(M:M,C:C=C1194))"),332.0)</f>
        <v>332</v>
      </c>
      <c r="S1194" s="161" t="b">
        <f t="shared" si="5"/>
        <v>0</v>
      </c>
      <c r="T1194" s="161" t="b">
        <f t="array" ref="T1194">index('Query Tool'!B:B,match(H1194,'Query Tool'!C:C,0))</f>
        <v>1</v>
      </c>
      <c r="U1194" s="161" t="b">
        <f t="array" ref="U1194">index('Query Tool'!B:B,match(C1194,'Query Tool'!C:C,0))</f>
        <v>0</v>
      </c>
      <c r="V1194" s="161" t="b">
        <f>F1194&gt;='Query Tool'!C$32</f>
        <v>0</v>
      </c>
      <c r="W1194" s="161" t="b">
        <f t="array" ref="W1194">index(Dropdowns!B:B,match(I1194,Dropdowns!A:A,0))</f>
        <v>1</v>
      </c>
      <c r="X1194" s="161" t="b">
        <f t="array" ref="X1194">index('Query Tool'!B:B,match(D1194,'Query Tool'!C:C,0))</f>
        <v>1</v>
      </c>
      <c r="Y1194" s="161" t="str">
        <f t="shared" si="6"/>
        <v>evansje01,2015-16</v>
      </c>
      <c r="Z1194" s="168" t="str">
        <f t="array" ref="Z1194">iferror(index(I:I,match($A1194&amp;","&amp;index('Year Conversion'!$A:$A,match($C1194,'Year Conversion'!$B:$B,0)),$Y:$Y,0))-I1194,"")</f>
        <v/>
      </c>
      <c r="AA1194" s="168" t="str">
        <f t="array" ref="AA1194">iferror(index(J:J,match($A1194&amp;","&amp;index('Year Conversion'!$A:$A,match($C1194,'Year Conversion'!$B:$B,0)),$Y:$Y,0))-J1194,"")</f>
        <v/>
      </c>
      <c r="AB1194" s="168" t="str">
        <f t="array" ref="AB1194">iferror(index(K:K,match($A1194&amp;","&amp;index('Year Conversion'!$A:$A,match($C1194,'Year Conversion'!$B:$B,0)),$Y:$Y,0))-K1194,"")</f>
        <v/>
      </c>
      <c r="AC1194" s="168" t="str">
        <f t="shared" si="7"/>
        <v>DAL,2015-16</v>
      </c>
    </row>
    <row r="1195">
      <c r="A1195" s="161" t="str">
        <f>IFERROR(__xludf.DUMMYFUNCTION("""COMPUTED_VALUE"""),"sloando01")</f>
        <v>sloando01</v>
      </c>
      <c r="B1195" s="161" t="str">
        <f>IFERROR(__xludf.DUMMYFUNCTION("""COMPUTED_VALUE"""),"Donald Sloan")</f>
        <v>Donald Sloan</v>
      </c>
      <c r="C1195" s="162" t="str">
        <f>IFERROR(__xludf.DUMMYFUNCTION("""COMPUTED_VALUE"""),"2015-16")</f>
        <v>2015-16</v>
      </c>
      <c r="D1195" s="163" t="str">
        <f>IFERROR(__xludf.DUMMYFUNCTION("""COMPUTED_VALUE"""),"BRK")</f>
        <v>BRK</v>
      </c>
      <c r="E1195" s="164" t="str">
        <f>IFERROR(__xludf.DUMMYFUNCTION("""COMPUTED_VALUE"""),"Slasher")</f>
        <v>Slasher</v>
      </c>
      <c r="F1195" s="164">
        <f>IFERROR(__xludf.DUMMYFUNCTION("""COMPUTED_VALUE"""),1317.80333333333)</f>
        <v>1317.803333</v>
      </c>
      <c r="G1195" s="163">
        <f>IFERROR(__xludf.DUMMYFUNCTION("""COMPUTED_VALUE"""),61.0)</f>
        <v>61</v>
      </c>
      <c r="H1195" s="163" t="str">
        <f>IFERROR(__xludf.DUMMYFUNCTION("""COMPUTED_VALUE"""),"PG")</f>
        <v>PG</v>
      </c>
      <c r="I1195" s="163">
        <f>IFERROR(__xludf.DUMMYFUNCTION("""COMPUTED_VALUE"""),28.0)</f>
        <v>28</v>
      </c>
      <c r="J1195" s="165">
        <f>IFERROR(__xludf.DUMMYFUNCTION("""COMPUTED_VALUE"""),-0.679803068338748)</f>
        <v>-0.6798030683</v>
      </c>
      <c r="K1195" s="165">
        <f>IFERROR(__xludf.DUMMYFUNCTION("""COMPUTED_VALUE"""),-0.0639077085809955)</f>
        <v>-0.06390770858</v>
      </c>
      <c r="L1195" s="165">
        <f>IFERROR(__xludf.DUMMYFUNCTION("""COMPUTED_VALUE"""),-0.615895359757753)</f>
        <v>-0.6158953598</v>
      </c>
      <c r="M1195" s="166">
        <f t="shared" si="2"/>
        <v>1.42803016</v>
      </c>
      <c r="N1195" s="167">
        <f t="shared" si="3"/>
        <v>21.60333333</v>
      </c>
      <c r="O1195" s="163">
        <f t="shared" ref="O1195:Q1195" si="1199">rank(I1195,I:I)</f>
        <v>1090</v>
      </c>
      <c r="P1195" s="163">
        <f t="shared" si="1199"/>
        <v>2106</v>
      </c>
      <c r="Q1195" s="163">
        <f t="shared" si="1199"/>
        <v>1293</v>
      </c>
      <c r="R1195" s="163">
        <f>IFERROR(__xludf.DUMMYFUNCTION("RANK(M1195,filter(M:M,C:C=C1195))"),192.0)</f>
        <v>192</v>
      </c>
      <c r="S1195" s="161" t="b">
        <f t="shared" si="5"/>
        <v>0</v>
      </c>
      <c r="T1195" s="161" t="b">
        <f t="array" ref="T1195">index('Query Tool'!B:B,match(H1195,'Query Tool'!C:C,0))</f>
        <v>1</v>
      </c>
      <c r="U1195" s="161" t="b">
        <f t="array" ref="U1195">index('Query Tool'!B:B,match(C1195,'Query Tool'!C:C,0))</f>
        <v>0</v>
      </c>
      <c r="V1195" s="161" t="b">
        <f>F1195&gt;='Query Tool'!C$32</f>
        <v>1</v>
      </c>
      <c r="W1195" s="161" t="b">
        <f t="array" ref="W1195">index(Dropdowns!B:B,match(I1195,Dropdowns!A:A,0))</f>
        <v>1</v>
      </c>
      <c r="X1195" s="161" t="b">
        <f t="array" ref="X1195">index('Query Tool'!B:B,match(D1195,'Query Tool'!C:C,0))</f>
        <v>1</v>
      </c>
      <c r="Y1195" s="161" t="str">
        <f t="shared" si="6"/>
        <v>sloando01,2015-16</v>
      </c>
      <c r="Z1195" s="168" t="str">
        <f t="array" ref="Z1195">iferror(index(I:I,match($A1195&amp;","&amp;index('Year Conversion'!$A:$A,match($C1195,'Year Conversion'!$B:$B,0)),$Y:$Y,0))-I1195,"")</f>
        <v/>
      </c>
      <c r="AA1195" s="168" t="str">
        <f t="array" ref="AA1195">iferror(index(J:J,match($A1195&amp;","&amp;index('Year Conversion'!$A:$A,match($C1195,'Year Conversion'!$B:$B,0)),$Y:$Y,0))-J1195,"")</f>
        <v/>
      </c>
      <c r="AB1195" s="168" t="str">
        <f t="array" ref="AB1195">iferror(index(K:K,match($A1195&amp;","&amp;index('Year Conversion'!$A:$A,match($C1195,'Year Conversion'!$B:$B,0)),$Y:$Y,0))-K1195,"")</f>
        <v/>
      </c>
      <c r="AC1195" s="168" t="str">
        <f t="shared" si="7"/>
        <v>BRK,2015-16</v>
      </c>
    </row>
    <row r="1196">
      <c r="A1196" s="161" t="str">
        <f>IFERROR(__xludf.DUMMYFUNCTION("""COMPUTED_VALUE"""),"mozgoti01")</f>
        <v>mozgoti01</v>
      </c>
      <c r="B1196" s="161" t="str">
        <f>IFERROR(__xludf.DUMMYFUNCTION("""COMPUTED_VALUE"""),"Timofey Mozgov")</f>
        <v>Timofey Mozgov</v>
      </c>
      <c r="C1196" s="162" t="str">
        <f>IFERROR(__xludf.DUMMYFUNCTION("""COMPUTED_VALUE"""),"2015-16")</f>
        <v>2015-16</v>
      </c>
      <c r="D1196" s="163" t="str">
        <f>IFERROR(__xludf.DUMMYFUNCTION("""COMPUTED_VALUE"""),"CLE")</f>
        <v>CLE</v>
      </c>
      <c r="E1196" s="164" t="str">
        <f>IFERROR(__xludf.DUMMYFUNCTION("""COMPUTED_VALUE"""),"Post Scorer")</f>
        <v>Post Scorer</v>
      </c>
      <c r="F1196" s="164">
        <f>IFERROR(__xludf.DUMMYFUNCTION("""COMPUTED_VALUE"""),1325.58833333333)</f>
        <v>1325.588333</v>
      </c>
      <c r="G1196" s="163">
        <f>IFERROR(__xludf.DUMMYFUNCTION("""COMPUTED_VALUE"""),76.0)</f>
        <v>76</v>
      </c>
      <c r="H1196" s="163" t="str">
        <f>IFERROR(__xludf.DUMMYFUNCTION("""COMPUTED_VALUE"""),"C")</f>
        <v>C</v>
      </c>
      <c r="I1196" s="163">
        <f>IFERROR(__xludf.DUMMYFUNCTION("""COMPUTED_VALUE"""),29.0)</f>
        <v>29</v>
      </c>
      <c r="J1196" s="165">
        <f>IFERROR(__xludf.DUMMYFUNCTION("""COMPUTED_VALUE"""),-1.22780809126573)</f>
        <v>-1.227808091</v>
      </c>
      <c r="K1196" s="165">
        <f>IFERROR(__xludf.DUMMYFUNCTION("""COMPUTED_VALUE"""),-1.95174359600186)</f>
        <v>-1.951743596</v>
      </c>
      <c r="L1196" s="165">
        <f>IFERROR(__xludf.DUMMYFUNCTION("""COMPUTED_VALUE"""),0.723935504736127)</f>
        <v>0.7239355047</v>
      </c>
      <c r="M1196" s="166">
        <f t="shared" si="2"/>
        <v>0.9486177258</v>
      </c>
      <c r="N1196" s="167">
        <f t="shared" si="3"/>
        <v>17.44195175</v>
      </c>
      <c r="O1196" s="163">
        <f t="shared" ref="O1196:Q1196" si="1200">rank(I1196,I:I)</f>
        <v>855</v>
      </c>
      <c r="P1196" s="163">
        <f t="shared" si="1200"/>
        <v>2786</v>
      </c>
      <c r="Q1196" s="163">
        <f t="shared" si="1200"/>
        <v>3687</v>
      </c>
      <c r="R1196" s="163">
        <f>IFERROR(__xludf.DUMMYFUNCTION("RANK(M1196,filter(M:M,C:C=C1196))"),223.0)</f>
        <v>223</v>
      </c>
      <c r="S1196" s="161" t="b">
        <f t="shared" si="5"/>
        <v>0</v>
      </c>
      <c r="T1196" s="161" t="b">
        <f t="array" ref="T1196">index('Query Tool'!B:B,match(H1196,'Query Tool'!C:C,0))</f>
        <v>1</v>
      </c>
      <c r="U1196" s="161" t="b">
        <f t="array" ref="U1196">index('Query Tool'!B:B,match(C1196,'Query Tool'!C:C,0))</f>
        <v>0</v>
      </c>
      <c r="V1196" s="161" t="b">
        <f>F1196&gt;='Query Tool'!C$32</f>
        <v>1</v>
      </c>
      <c r="W1196" s="161" t="b">
        <f t="array" ref="W1196">index(Dropdowns!B:B,match(I1196,Dropdowns!A:A,0))</f>
        <v>1</v>
      </c>
      <c r="X1196" s="161" t="b">
        <f t="array" ref="X1196">index('Query Tool'!B:B,match(D1196,'Query Tool'!C:C,0))</f>
        <v>1</v>
      </c>
      <c r="Y1196" s="161" t="str">
        <f t="shared" si="6"/>
        <v>mozgoti01,2015-16</v>
      </c>
      <c r="Z1196" s="168">
        <f t="array" ref="Z1196">iferror(index(I:I,match($A1196&amp;","&amp;index('Year Conversion'!$A:$A,match($C1196,'Year Conversion'!$B:$B,0)),$Y:$Y,0))-I1196,"")</f>
        <v>1</v>
      </c>
      <c r="AA1196" s="168">
        <f t="array" ref="AA1196">iferror(index(J:J,match($A1196&amp;","&amp;index('Year Conversion'!$A:$A,match($C1196,'Year Conversion'!$B:$B,0)),$Y:$Y,0))-J1196,"")</f>
        <v>-0.7971539618</v>
      </c>
      <c r="AB1196" s="168">
        <f t="array" ref="AB1196">iferror(index(K:K,match($A1196&amp;","&amp;index('Year Conversion'!$A:$A,match($C1196,'Year Conversion'!$B:$B,0)),$Y:$Y,0))-K1196,"")</f>
        <v>-0.6796843225</v>
      </c>
      <c r="AC1196" s="168" t="str">
        <f t="shared" si="7"/>
        <v>CLE,2015-16</v>
      </c>
    </row>
    <row r="1197">
      <c r="A1197" s="161" t="str">
        <f>IFERROR(__xludf.DUMMYFUNCTION("""COMPUTED_VALUE"""),"nealga01")</f>
        <v>nealga01</v>
      </c>
      <c r="B1197" s="161" t="str">
        <f>IFERROR(__xludf.DUMMYFUNCTION("""COMPUTED_VALUE"""),"Gary Neal")</f>
        <v>Gary Neal</v>
      </c>
      <c r="C1197" s="162" t="str">
        <f>IFERROR(__xludf.DUMMYFUNCTION("""COMPUTED_VALUE"""),"2015-16")</f>
        <v>2015-16</v>
      </c>
      <c r="D1197" s="163" t="str">
        <f>IFERROR(__xludf.DUMMYFUNCTION("""COMPUTED_VALUE"""),"WAS")</f>
        <v>WAS</v>
      </c>
      <c r="E1197" s="164" t="str">
        <f>IFERROR(__xludf.DUMMYFUNCTION("""COMPUTED_VALUE"""),"Secondary Ball Handler")</f>
        <v>Secondary Ball Handler</v>
      </c>
      <c r="F1197" s="164">
        <f>IFERROR(__xludf.DUMMYFUNCTION("""COMPUTED_VALUE"""),807.428333333333)</f>
        <v>807.4283333</v>
      </c>
      <c r="G1197" s="163">
        <f>IFERROR(__xludf.DUMMYFUNCTION("""COMPUTED_VALUE"""),40.0)</f>
        <v>40</v>
      </c>
      <c r="H1197" s="163" t="str">
        <f>IFERROR(__xludf.DUMMYFUNCTION("""COMPUTED_VALUE"""),"SG")</f>
        <v>SG</v>
      </c>
      <c r="I1197" s="163">
        <f>IFERROR(__xludf.DUMMYFUNCTION("""COMPUTED_VALUE"""),31.0)</f>
        <v>31</v>
      </c>
      <c r="J1197" s="165">
        <f>IFERROR(__xludf.DUMMYFUNCTION("""COMPUTED_VALUE"""),-2.41819817277089)</f>
        <v>-2.418198173</v>
      </c>
      <c r="K1197" s="165">
        <f>IFERROR(__xludf.DUMMYFUNCTION("""COMPUTED_VALUE"""),-0.632937013085752)</f>
        <v>-0.6329370131</v>
      </c>
      <c r="L1197" s="165">
        <f>IFERROR(__xludf.DUMMYFUNCTION("""COMPUTED_VALUE"""),-1.78526115968514)</f>
        <v>-1.78526116</v>
      </c>
      <c r="M1197" s="166">
        <f t="shared" si="2"/>
        <v>-0.06099437832</v>
      </c>
      <c r="N1197" s="167">
        <f t="shared" si="3"/>
        <v>20.18570833</v>
      </c>
      <c r="O1197" s="163">
        <f t="shared" ref="O1197:Q1197" si="1201">rank(I1197,I:I)</f>
        <v>490</v>
      </c>
      <c r="P1197" s="163">
        <f t="shared" si="1201"/>
        <v>3727</v>
      </c>
      <c r="Q1197" s="163">
        <f t="shared" si="1201"/>
        <v>2310</v>
      </c>
      <c r="R1197" s="163">
        <f>IFERROR(__xludf.DUMMYFUNCTION("RANK(M1197,filter(M:M,C:C=C1197))"),436.0)</f>
        <v>436</v>
      </c>
      <c r="S1197" s="161" t="b">
        <f t="shared" si="5"/>
        <v>0</v>
      </c>
      <c r="T1197" s="161" t="b">
        <f t="array" ref="T1197">index('Query Tool'!B:B,match(H1197,'Query Tool'!C:C,0))</f>
        <v>1</v>
      </c>
      <c r="U1197" s="161" t="b">
        <f t="array" ref="U1197">index('Query Tool'!B:B,match(C1197,'Query Tool'!C:C,0))</f>
        <v>0</v>
      </c>
      <c r="V1197" s="161" t="b">
        <f>F1197&gt;='Query Tool'!C$32</f>
        <v>1</v>
      </c>
      <c r="W1197" s="161" t="b">
        <f t="array" ref="W1197">index(Dropdowns!B:B,match(I1197,Dropdowns!A:A,0))</f>
        <v>1</v>
      </c>
      <c r="X1197" s="161" t="b">
        <f t="array" ref="X1197">index('Query Tool'!B:B,match(D1197,'Query Tool'!C:C,0))</f>
        <v>1</v>
      </c>
      <c r="Y1197" s="161" t="str">
        <f t="shared" si="6"/>
        <v>nealga01,2015-16</v>
      </c>
      <c r="Z1197" s="168">
        <f t="array" ref="Z1197">iferror(index(I:I,match($A1197&amp;","&amp;index('Year Conversion'!$A:$A,match($C1197,'Year Conversion'!$B:$B,0)),$Y:$Y,0))-I1197,"")</f>
        <v>1</v>
      </c>
      <c r="AA1197" s="168">
        <f t="array" ref="AA1197">iferror(index(J:J,match($A1197&amp;","&amp;index('Year Conversion'!$A:$A,match($C1197,'Year Conversion'!$B:$B,0)),$Y:$Y,0))-J1197,"")</f>
        <v>2.131162873</v>
      </c>
      <c r="AB1197" s="168">
        <f t="array" ref="AB1197">iferror(index(K:K,match($A1197&amp;","&amp;index('Year Conversion'!$A:$A,match($C1197,'Year Conversion'!$B:$B,0)),$Y:$Y,0))-K1197,"")</f>
        <v>0.4374586179</v>
      </c>
      <c r="AC1197" s="168" t="str">
        <f t="shared" si="7"/>
        <v>WAS,2015-16</v>
      </c>
    </row>
    <row r="1198">
      <c r="A1198" s="161" t="str">
        <f>IFERROR(__xludf.DUMMYFUNCTION("""COMPUTED_VALUE"""),"linje01")</f>
        <v>linje01</v>
      </c>
      <c r="B1198" s="161" t="str">
        <f>IFERROR(__xludf.DUMMYFUNCTION("""COMPUTED_VALUE"""),"Jeremy Lin")</f>
        <v>Jeremy Lin</v>
      </c>
      <c r="C1198" s="162" t="str">
        <f>IFERROR(__xludf.DUMMYFUNCTION("""COMPUTED_VALUE"""),"2015-16")</f>
        <v>2015-16</v>
      </c>
      <c r="D1198" s="163" t="str">
        <f>IFERROR(__xludf.DUMMYFUNCTION("""COMPUTED_VALUE"""),"CHO")</f>
        <v>CHO</v>
      </c>
      <c r="E1198" s="164" t="str">
        <f>IFERROR(__xludf.DUMMYFUNCTION("""COMPUTED_VALUE"""),"Primary Ball Handler")</f>
        <v>Primary Ball Handler</v>
      </c>
      <c r="F1198" s="164">
        <f>IFERROR(__xludf.DUMMYFUNCTION("""COMPUTED_VALUE"""),2047.555)</f>
        <v>2047.555</v>
      </c>
      <c r="G1198" s="163">
        <f>IFERROR(__xludf.DUMMYFUNCTION("""COMPUTED_VALUE"""),78.0)</f>
        <v>78</v>
      </c>
      <c r="H1198" s="163" t="str">
        <f>IFERROR(__xludf.DUMMYFUNCTION("""COMPUTED_VALUE"""),"SG")</f>
        <v>SG</v>
      </c>
      <c r="I1198" s="163">
        <f>IFERROR(__xludf.DUMMYFUNCTION("""COMPUTED_VALUE"""),27.0)</f>
        <v>27</v>
      </c>
      <c r="J1198" s="165">
        <f>IFERROR(__xludf.DUMMYFUNCTION("""COMPUTED_VALUE"""),-0.0128436110305554)</f>
        <v>-0.01284361103</v>
      </c>
      <c r="K1198" s="165">
        <f>IFERROR(__xludf.DUMMYFUNCTION("""COMPUTED_VALUE"""),-0.432770197567559)</f>
        <v>-0.4327701976</v>
      </c>
      <c r="L1198" s="165">
        <f>IFERROR(__xludf.DUMMYFUNCTION("""COMPUTED_VALUE"""),0.419926586537004)</f>
        <v>0.4199265865</v>
      </c>
      <c r="M1198" s="166">
        <f t="shared" si="2"/>
        <v>3.138917452</v>
      </c>
      <c r="N1198" s="167">
        <f t="shared" si="3"/>
        <v>26.25070513</v>
      </c>
      <c r="O1198" s="163">
        <f t="shared" ref="O1198:Q1198" si="1202">rank(I1198,I:I)</f>
        <v>1366</v>
      </c>
      <c r="P1198" s="163">
        <f t="shared" si="1202"/>
        <v>1300</v>
      </c>
      <c r="Q1198" s="163">
        <f t="shared" si="1202"/>
        <v>2007</v>
      </c>
      <c r="R1198" s="163">
        <f>IFERROR(__xludf.DUMMYFUNCTION("RANK(M1198,filter(M:M,C:C=C1198))"),115.0)</f>
        <v>115</v>
      </c>
      <c r="S1198" s="161" t="b">
        <f t="shared" si="5"/>
        <v>0</v>
      </c>
      <c r="T1198" s="161" t="b">
        <f t="array" ref="T1198">index('Query Tool'!B:B,match(H1198,'Query Tool'!C:C,0))</f>
        <v>1</v>
      </c>
      <c r="U1198" s="161" t="b">
        <f t="array" ref="U1198">index('Query Tool'!B:B,match(C1198,'Query Tool'!C:C,0))</f>
        <v>0</v>
      </c>
      <c r="V1198" s="161" t="b">
        <f>F1198&gt;='Query Tool'!C$32</f>
        <v>1</v>
      </c>
      <c r="W1198" s="161" t="b">
        <f t="array" ref="W1198">index(Dropdowns!B:B,match(I1198,Dropdowns!A:A,0))</f>
        <v>1</v>
      </c>
      <c r="X1198" s="161" t="b">
        <f t="array" ref="X1198">index('Query Tool'!B:B,match(D1198,'Query Tool'!C:C,0))</f>
        <v>1</v>
      </c>
      <c r="Y1198" s="161" t="str">
        <f t="shared" si="6"/>
        <v>linje01,2015-16</v>
      </c>
      <c r="Z1198" s="168">
        <f t="array" ref="Z1198">iferror(index(I:I,match($A1198&amp;","&amp;index('Year Conversion'!$A:$A,match($C1198,'Year Conversion'!$B:$B,0)),$Y:$Y,0))-I1198,"")</f>
        <v>1</v>
      </c>
      <c r="AA1198" s="168">
        <f t="array" ref="AA1198">iferror(index(J:J,match($A1198&amp;","&amp;index('Year Conversion'!$A:$A,match($C1198,'Year Conversion'!$B:$B,0)),$Y:$Y,0))-J1198,"")</f>
        <v>1.849182188</v>
      </c>
      <c r="AB1198" s="168">
        <f t="array" ref="AB1198">iferror(index(K:K,match($A1198&amp;","&amp;index('Year Conversion'!$A:$A,match($C1198,'Year Conversion'!$B:$B,0)),$Y:$Y,0))-K1198,"")</f>
        <v>1.671625159</v>
      </c>
      <c r="AC1198" s="168" t="str">
        <f t="shared" si="7"/>
        <v>CHO,2015-16</v>
      </c>
    </row>
    <row r="1199">
      <c r="A1199" s="161" t="str">
        <f>IFERROR(__xludf.DUMMYFUNCTION("""COMPUTED_VALUE"""),"smithis01")</f>
        <v>smithis01</v>
      </c>
      <c r="B1199" s="161" t="str">
        <f>IFERROR(__xludf.DUMMYFUNCTION("""COMPUTED_VALUE"""),"Ish Smith")</f>
        <v>Ish Smith</v>
      </c>
      <c r="C1199" s="162" t="str">
        <f>IFERROR(__xludf.DUMMYFUNCTION("""COMPUTED_VALUE"""),"2015-16")</f>
        <v>2015-16</v>
      </c>
      <c r="D1199" s="163" t="str">
        <f>IFERROR(__xludf.DUMMYFUNCTION("""COMPUTED_VALUE"""),"TOT")</f>
        <v>TOT</v>
      </c>
      <c r="E1199" s="164" t="str">
        <f>IFERROR(__xludf.DUMMYFUNCTION("""COMPUTED_VALUE"""),"Slasher")</f>
        <v>Slasher</v>
      </c>
      <c r="F1199" s="164">
        <f>IFERROR(__xludf.DUMMYFUNCTION("""COMPUTED_VALUE"""),2238.81)</f>
        <v>2238.81</v>
      </c>
      <c r="G1199" s="163">
        <f>IFERROR(__xludf.DUMMYFUNCTION("""COMPUTED_VALUE"""),77.0)</f>
        <v>77</v>
      </c>
      <c r="H1199" s="163" t="str">
        <f>IFERROR(__xludf.DUMMYFUNCTION("""COMPUTED_VALUE"""),"PG")</f>
        <v>PG</v>
      </c>
      <c r="I1199" s="163">
        <f>IFERROR(__xludf.DUMMYFUNCTION("""COMPUTED_VALUE"""),27.0)</f>
        <v>27</v>
      </c>
      <c r="J1199" s="165">
        <f>IFERROR(__xludf.DUMMYFUNCTION("""COMPUTED_VALUE"""),0.435575153142706)</f>
        <v>0.4355751531</v>
      </c>
      <c r="K1199" s="165">
        <f>IFERROR(__xludf.DUMMYFUNCTION("""COMPUTED_VALUE"""),0.824127936010506)</f>
        <v>0.824127936</v>
      </c>
      <c r="L1199" s="165">
        <f>IFERROR(__xludf.DUMMYFUNCTION("""COMPUTED_VALUE"""),-0.388552782867801)</f>
        <v>-0.3885527829</v>
      </c>
      <c r="M1199" s="166">
        <f t="shared" si="2"/>
        <v>4.108775213</v>
      </c>
      <c r="N1199" s="167">
        <f t="shared" si="3"/>
        <v>29.07545455</v>
      </c>
      <c r="O1199" s="163">
        <f t="shared" ref="O1199:Q1199" si="1203">rank(I1199,I:I)</f>
        <v>1366</v>
      </c>
      <c r="P1199" s="163">
        <f t="shared" si="1203"/>
        <v>933</v>
      </c>
      <c r="Q1199" s="163">
        <f t="shared" si="1203"/>
        <v>593</v>
      </c>
      <c r="R1199" s="163">
        <f>IFERROR(__xludf.DUMMYFUNCTION("RANK(M1199,filter(M:M,C:C=C1199))"),82.0)</f>
        <v>82</v>
      </c>
      <c r="S1199" s="161" t="b">
        <f t="shared" si="5"/>
        <v>0</v>
      </c>
      <c r="T1199" s="161" t="b">
        <f t="array" ref="T1199">index('Query Tool'!B:B,match(H1199,'Query Tool'!C:C,0))</f>
        <v>1</v>
      </c>
      <c r="U1199" s="161" t="b">
        <f t="array" ref="U1199">index('Query Tool'!B:B,match(C1199,'Query Tool'!C:C,0))</f>
        <v>0</v>
      </c>
      <c r="V1199" s="161" t="b">
        <f>F1199&gt;='Query Tool'!C$32</f>
        <v>1</v>
      </c>
      <c r="W1199" s="161" t="b">
        <f t="array" ref="W1199">index(Dropdowns!B:B,match(I1199,Dropdowns!A:A,0))</f>
        <v>1</v>
      </c>
      <c r="X1199" s="161" t="b">
        <f t="array" ref="X1199">index('Query Tool'!B:B,match(D1199,'Query Tool'!C:C,0))</f>
        <v>1</v>
      </c>
      <c r="Y1199" s="161" t="str">
        <f t="shared" si="6"/>
        <v>smithis01,2015-16</v>
      </c>
      <c r="Z1199" s="168">
        <f t="array" ref="Z1199">iferror(index(I:I,match($A1199&amp;","&amp;index('Year Conversion'!$A:$A,match($C1199,'Year Conversion'!$B:$B,0)),$Y:$Y,0))-I1199,"")</f>
        <v>1</v>
      </c>
      <c r="AA1199" s="168">
        <f t="array" ref="AA1199">iferror(index(J:J,match($A1199&amp;","&amp;index('Year Conversion'!$A:$A,match($C1199,'Year Conversion'!$B:$B,0)),$Y:$Y,0))-J1199,"")</f>
        <v>0.3633234476</v>
      </c>
      <c r="AB1199" s="168">
        <f t="array" ref="AB1199">iferror(index(K:K,match($A1199&amp;","&amp;index('Year Conversion'!$A:$A,match($C1199,'Year Conversion'!$B:$B,0)),$Y:$Y,0))-K1199,"")</f>
        <v>-0.4317934397</v>
      </c>
      <c r="AC1199" s="168" t="str">
        <f t="shared" si="7"/>
        <v>TOT,2015-16</v>
      </c>
    </row>
    <row r="1200">
      <c r="A1200" s="161" t="str">
        <f>IFERROR(__xludf.DUMMYFUNCTION("""COMPUTED_VALUE"""),"millsel01")</f>
        <v>millsel01</v>
      </c>
      <c r="B1200" s="161" t="str">
        <f>IFERROR(__xludf.DUMMYFUNCTION("""COMPUTED_VALUE"""),"Elijah Millsap")</f>
        <v>Elijah Millsap</v>
      </c>
      <c r="C1200" s="162" t="str">
        <f>IFERROR(__xludf.DUMMYFUNCTION("""COMPUTED_VALUE"""),"2015-16")</f>
        <v>2015-16</v>
      </c>
      <c r="D1200" s="163" t="str">
        <f>IFERROR(__xludf.DUMMYFUNCTION("""COMPUTED_VALUE"""),"UTA")</f>
        <v>UTA</v>
      </c>
      <c r="E1200" s="164" t="str">
        <f>IFERROR(__xludf.DUMMYFUNCTION("""COMPUTED_VALUE"""),"Secondary Ball Handler")</f>
        <v>Secondary Ball Handler</v>
      </c>
      <c r="F1200" s="164">
        <f>IFERROR(__xludf.DUMMYFUNCTION("""COMPUTED_VALUE"""),172.775)</f>
        <v>172.775</v>
      </c>
      <c r="G1200" s="163">
        <f>IFERROR(__xludf.DUMMYFUNCTION("""COMPUTED_VALUE"""),20.0)</f>
        <v>20</v>
      </c>
      <c r="H1200" s="163" t="str">
        <f>IFERROR(__xludf.DUMMYFUNCTION("""COMPUTED_VALUE"""),"SG")</f>
        <v>SG</v>
      </c>
      <c r="I1200" s="163">
        <f>IFERROR(__xludf.DUMMYFUNCTION("""COMPUTED_VALUE"""),28.0)</f>
        <v>28</v>
      </c>
      <c r="J1200" s="165">
        <f>IFERROR(__xludf.DUMMYFUNCTION("""COMPUTED_VALUE"""),-0.193320065618505)</f>
        <v>-0.1933200656</v>
      </c>
      <c r="K1200" s="165">
        <f>IFERROR(__xludf.DUMMYFUNCTION("""COMPUTED_VALUE"""),-0.460190127801381)</f>
        <v>-0.4601901278</v>
      </c>
      <c r="L1200" s="165">
        <f>IFERROR(__xludf.DUMMYFUNCTION("""COMPUTED_VALUE"""),0.266870062182875)</f>
        <v>0.2668700622</v>
      </c>
      <c r="M1200" s="166">
        <f t="shared" si="2"/>
        <v>0.2438440981</v>
      </c>
      <c r="N1200" s="167">
        <f t="shared" si="3"/>
        <v>8.63875</v>
      </c>
      <c r="O1200" s="163">
        <f t="shared" ref="O1200:Q1200" si="1204">rank(I1200,I:I)</f>
        <v>1090</v>
      </c>
      <c r="P1200" s="163">
        <f t="shared" si="1204"/>
        <v>1502</v>
      </c>
      <c r="Q1200" s="163">
        <f t="shared" si="1204"/>
        <v>2051</v>
      </c>
      <c r="R1200" s="163">
        <f>IFERROR(__xludf.DUMMYFUNCTION("RANK(M1200,filter(M:M,C:C=C1200))"),329.0)</f>
        <v>329</v>
      </c>
      <c r="S1200" s="161" t="b">
        <f t="shared" si="5"/>
        <v>0</v>
      </c>
      <c r="T1200" s="161" t="b">
        <f t="array" ref="T1200">index('Query Tool'!B:B,match(H1200,'Query Tool'!C:C,0))</f>
        <v>1</v>
      </c>
      <c r="U1200" s="161" t="b">
        <f t="array" ref="U1200">index('Query Tool'!B:B,match(C1200,'Query Tool'!C:C,0))</f>
        <v>0</v>
      </c>
      <c r="V1200" s="161" t="b">
        <f>F1200&gt;='Query Tool'!C$32</f>
        <v>0</v>
      </c>
      <c r="W1200" s="161" t="b">
        <f t="array" ref="W1200">index(Dropdowns!B:B,match(I1200,Dropdowns!A:A,0))</f>
        <v>1</v>
      </c>
      <c r="X1200" s="161" t="b">
        <f t="array" ref="X1200">index('Query Tool'!B:B,match(D1200,'Query Tool'!C:C,0))</f>
        <v>1</v>
      </c>
      <c r="Y1200" s="161" t="str">
        <f t="shared" si="6"/>
        <v>millsel01,2015-16</v>
      </c>
      <c r="Z1200" s="168">
        <f t="array" ref="Z1200">iferror(index(I:I,match($A1200&amp;","&amp;index('Year Conversion'!$A:$A,match($C1200,'Year Conversion'!$B:$B,0)),$Y:$Y,0))-I1200,"")</f>
        <v>1</v>
      </c>
      <c r="AA1200" s="168">
        <f t="array" ref="AA1200">iferror(index(J:J,match($A1200&amp;","&amp;index('Year Conversion'!$A:$A,match($C1200,'Year Conversion'!$B:$B,0)),$Y:$Y,0))-J1200,"")</f>
        <v>0.3140015392</v>
      </c>
      <c r="AB1200" s="168">
        <f t="array" ref="AB1200">iferror(index(K:K,match($A1200&amp;","&amp;index('Year Conversion'!$A:$A,match($C1200,'Year Conversion'!$B:$B,0)),$Y:$Y,0))-K1200,"")</f>
        <v>0.5449776289</v>
      </c>
      <c r="AC1200" s="168" t="str">
        <f t="shared" si="7"/>
        <v>UTA,2015-16</v>
      </c>
    </row>
    <row r="1201">
      <c r="A1201" s="161" t="str">
        <f>IFERROR(__xludf.DUMMYFUNCTION("""COMPUTED_VALUE"""),"thomala01")</f>
        <v>thomala01</v>
      </c>
      <c r="B1201" s="161" t="str">
        <f>IFERROR(__xludf.DUMMYFUNCTION("""COMPUTED_VALUE"""),"Lance Thomas")</f>
        <v>Lance Thomas</v>
      </c>
      <c r="C1201" s="162" t="str">
        <f>IFERROR(__xludf.DUMMYFUNCTION("""COMPUTED_VALUE"""),"2015-16")</f>
        <v>2015-16</v>
      </c>
      <c r="D1201" s="163" t="str">
        <f>IFERROR(__xludf.DUMMYFUNCTION("""COMPUTED_VALUE"""),"NYK")</f>
        <v>NYK</v>
      </c>
      <c r="E1201" s="164" t="str">
        <f>IFERROR(__xludf.DUMMYFUNCTION("""COMPUTED_VALUE"""),"Stationary Shooter")</f>
        <v>Stationary Shooter</v>
      </c>
      <c r="F1201" s="164">
        <f>IFERROR(__xludf.DUMMYFUNCTION("""COMPUTED_VALUE"""),1313.39)</f>
        <v>1313.39</v>
      </c>
      <c r="G1201" s="163">
        <f>IFERROR(__xludf.DUMMYFUNCTION("""COMPUTED_VALUE"""),59.0)</f>
        <v>59</v>
      </c>
      <c r="H1201" s="163" t="str">
        <f>IFERROR(__xludf.DUMMYFUNCTION("""COMPUTED_VALUE"""),"PF")</f>
        <v>PF</v>
      </c>
      <c r="I1201" s="163">
        <f>IFERROR(__xludf.DUMMYFUNCTION("""COMPUTED_VALUE"""),27.0)</f>
        <v>27</v>
      </c>
      <c r="J1201" s="165">
        <f>IFERROR(__xludf.DUMMYFUNCTION("""COMPUTED_VALUE"""),-1.98018853050453)</f>
        <v>-1.980188531</v>
      </c>
      <c r="K1201" s="165">
        <f>IFERROR(__xludf.DUMMYFUNCTION("""COMPUTED_VALUE"""),-0.627016924072621)</f>
        <v>-0.6270169241</v>
      </c>
      <c r="L1201" s="165">
        <f>IFERROR(__xludf.DUMMYFUNCTION("""COMPUTED_VALUE"""),-1.35317160643191)</f>
        <v>-1.353171606</v>
      </c>
      <c r="M1201" s="166">
        <f t="shared" si="2"/>
        <v>0.2808930398</v>
      </c>
      <c r="N1201" s="167">
        <f t="shared" si="3"/>
        <v>22.26084746</v>
      </c>
      <c r="O1201" s="163">
        <f t="shared" ref="O1201:Q1201" si="1205">rank(I1201,I:I)</f>
        <v>1366</v>
      </c>
      <c r="P1201" s="163">
        <f t="shared" si="1205"/>
        <v>3465</v>
      </c>
      <c r="Q1201" s="163">
        <f t="shared" si="1205"/>
        <v>2303</v>
      </c>
      <c r="R1201" s="163">
        <f>IFERROR(__xludf.DUMMYFUNCTION("RANK(M1201,filter(M:M,C:C=C1201))"),318.0)</f>
        <v>318</v>
      </c>
      <c r="S1201" s="161" t="b">
        <f t="shared" si="5"/>
        <v>0</v>
      </c>
      <c r="T1201" s="161" t="b">
        <f t="array" ref="T1201">index('Query Tool'!B:B,match(H1201,'Query Tool'!C:C,0))</f>
        <v>1</v>
      </c>
      <c r="U1201" s="161" t="b">
        <f t="array" ref="U1201">index('Query Tool'!B:B,match(C1201,'Query Tool'!C:C,0))</f>
        <v>0</v>
      </c>
      <c r="V1201" s="161" t="b">
        <f>F1201&gt;='Query Tool'!C$32</f>
        <v>1</v>
      </c>
      <c r="W1201" s="161" t="b">
        <f t="array" ref="W1201">index(Dropdowns!B:B,match(I1201,Dropdowns!A:A,0))</f>
        <v>1</v>
      </c>
      <c r="X1201" s="161" t="b">
        <f t="array" ref="X1201">index('Query Tool'!B:B,match(D1201,'Query Tool'!C:C,0))</f>
        <v>1</v>
      </c>
      <c r="Y1201" s="161" t="str">
        <f t="shared" si="6"/>
        <v>thomala01,2015-16</v>
      </c>
      <c r="Z1201" s="168">
        <f t="array" ref="Z1201">iferror(index(I:I,match($A1201&amp;","&amp;index('Year Conversion'!$A:$A,match($C1201,'Year Conversion'!$B:$B,0)),$Y:$Y,0))-I1201,"")</f>
        <v>1</v>
      </c>
      <c r="AA1201" s="168">
        <f t="array" ref="AA1201">iferror(index(J:J,match($A1201&amp;","&amp;index('Year Conversion'!$A:$A,match($C1201,'Year Conversion'!$B:$B,0)),$Y:$Y,0))-J1201,"")</f>
        <v>-1.440180105</v>
      </c>
      <c r="AB1201" s="168">
        <f t="array" ref="AB1201">iferror(index(K:K,match($A1201&amp;","&amp;index('Year Conversion'!$A:$A,match($C1201,'Year Conversion'!$B:$B,0)),$Y:$Y,0))-K1201,"")</f>
        <v>-1.378037938</v>
      </c>
      <c r="AC1201" s="168" t="str">
        <f t="shared" si="7"/>
        <v>NYK,2015-16</v>
      </c>
    </row>
    <row r="1202">
      <c r="A1202" s="161" t="str">
        <f>IFERROR(__xludf.DUMMYFUNCTION("""COMPUTED_VALUE"""),"irvinky01")</f>
        <v>irvinky01</v>
      </c>
      <c r="B1202" s="161" t="str">
        <f>IFERROR(__xludf.DUMMYFUNCTION("""COMPUTED_VALUE"""),"Kyrie Irving")</f>
        <v>Kyrie Irving</v>
      </c>
      <c r="C1202" s="162" t="str">
        <f>IFERROR(__xludf.DUMMYFUNCTION("""COMPUTED_VALUE"""),"2015-16")</f>
        <v>2015-16</v>
      </c>
      <c r="D1202" s="163" t="str">
        <f>IFERROR(__xludf.DUMMYFUNCTION("""COMPUTED_VALUE"""),"CLE")</f>
        <v>CLE</v>
      </c>
      <c r="E1202" s="164" t="str">
        <f>IFERROR(__xludf.DUMMYFUNCTION("""COMPUTED_VALUE"""),"Shot Creator")</f>
        <v>Shot Creator</v>
      </c>
      <c r="F1202" s="164">
        <f>IFERROR(__xludf.DUMMYFUNCTION("""COMPUTED_VALUE"""),1667.37333333333)</f>
        <v>1667.373333</v>
      </c>
      <c r="G1202" s="163">
        <f>IFERROR(__xludf.DUMMYFUNCTION("""COMPUTED_VALUE"""),53.0)</f>
        <v>53</v>
      </c>
      <c r="H1202" s="163" t="str">
        <f>IFERROR(__xludf.DUMMYFUNCTION("""COMPUTED_VALUE"""),"PG")</f>
        <v>PG</v>
      </c>
      <c r="I1202" s="163">
        <f>IFERROR(__xludf.DUMMYFUNCTION("""COMPUTED_VALUE"""),23.0)</f>
        <v>23</v>
      </c>
      <c r="J1202" s="165">
        <f>IFERROR(__xludf.DUMMYFUNCTION("""COMPUTED_VALUE"""),1.19901719419085)</f>
        <v>1.199017194</v>
      </c>
      <c r="K1202" s="165">
        <f>IFERROR(__xludf.DUMMYFUNCTION("""COMPUTED_VALUE"""),3.05799783577454)</f>
        <v>3.057997836</v>
      </c>
      <c r="L1202" s="165">
        <f>IFERROR(__xludf.DUMMYFUNCTION("""COMPUTED_VALUE"""),-1.85898064158369)</f>
        <v>-1.858980642</v>
      </c>
      <c r="M1202" s="166">
        <f t="shared" si="2"/>
        <v>3.915695014</v>
      </c>
      <c r="N1202" s="167">
        <f t="shared" si="3"/>
        <v>31.45987421</v>
      </c>
      <c r="O1202" s="163">
        <f t="shared" ref="O1202:Q1202" si="1206">rank(I1202,I:I)</f>
        <v>2765</v>
      </c>
      <c r="P1202" s="163">
        <f t="shared" si="1206"/>
        <v>573</v>
      </c>
      <c r="Q1202" s="163">
        <f t="shared" si="1206"/>
        <v>117</v>
      </c>
      <c r="R1202" s="163">
        <f>IFERROR(__xludf.DUMMYFUNCTION("RANK(M1202,filter(M:M,C:C=C1202))"),86.0)</f>
        <v>86</v>
      </c>
      <c r="S1202" s="161" t="b">
        <f t="shared" si="5"/>
        <v>0</v>
      </c>
      <c r="T1202" s="161" t="b">
        <f t="array" ref="T1202">index('Query Tool'!B:B,match(H1202,'Query Tool'!C:C,0))</f>
        <v>1</v>
      </c>
      <c r="U1202" s="161" t="b">
        <f t="array" ref="U1202">index('Query Tool'!B:B,match(C1202,'Query Tool'!C:C,0))</f>
        <v>0</v>
      </c>
      <c r="V1202" s="161" t="b">
        <f>F1202&gt;='Query Tool'!C$32</f>
        <v>1</v>
      </c>
      <c r="W1202" s="161" t="b">
        <f t="array" ref="W1202">index(Dropdowns!B:B,match(I1202,Dropdowns!A:A,0))</f>
        <v>1</v>
      </c>
      <c r="X1202" s="161" t="b">
        <f t="array" ref="X1202">index('Query Tool'!B:B,match(D1202,'Query Tool'!C:C,0))</f>
        <v>1</v>
      </c>
      <c r="Y1202" s="161" t="str">
        <f t="shared" si="6"/>
        <v>irvinky01,2015-16</v>
      </c>
      <c r="Z1202" s="168">
        <f t="array" ref="Z1202">iferror(index(I:I,match($A1202&amp;","&amp;index('Year Conversion'!$A:$A,match($C1202,'Year Conversion'!$B:$B,0)),$Y:$Y,0))-I1202,"")</f>
        <v>1</v>
      </c>
      <c r="AA1202" s="168">
        <f t="array" ref="AA1202">iferror(index(J:J,match($A1202&amp;","&amp;index('Year Conversion'!$A:$A,match($C1202,'Year Conversion'!$B:$B,0)),$Y:$Y,0))-J1202,"")</f>
        <v>1.567063552</v>
      </c>
      <c r="AB1202" s="168">
        <f t="array" ref="AB1202">iferror(index(K:K,match($A1202&amp;","&amp;index('Year Conversion'!$A:$A,match($C1202,'Year Conversion'!$B:$B,0)),$Y:$Y,0))-K1202,"")</f>
        <v>0.9967933625</v>
      </c>
      <c r="AC1202" s="168" t="str">
        <f t="shared" si="7"/>
        <v>CLE,2015-16</v>
      </c>
    </row>
    <row r="1203">
      <c r="A1203" s="161" t="str">
        <f>IFERROR(__xludf.DUMMYFUNCTION("""COMPUTED_VALUE"""),"willide02")</f>
        <v>willide02</v>
      </c>
      <c r="B1203" s="161" t="str">
        <f>IFERROR(__xludf.DUMMYFUNCTION("""COMPUTED_VALUE"""),"Derrick Williams")</f>
        <v>Derrick Williams</v>
      </c>
      <c r="C1203" s="162" t="str">
        <f>IFERROR(__xludf.DUMMYFUNCTION("""COMPUTED_VALUE"""),"2015-16")</f>
        <v>2015-16</v>
      </c>
      <c r="D1203" s="163" t="str">
        <f>IFERROR(__xludf.DUMMYFUNCTION("""COMPUTED_VALUE"""),"NYK")</f>
        <v>NYK</v>
      </c>
      <c r="E1203" s="164" t="str">
        <f>IFERROR(__xludf.DUMMYFUNCTION("""COMPUTED_VALUE"""),"Shot Creator")</f>
        <v>Shot Creator</v>
      </c>
      <c r="F1203" s="164">
        <f>IFERROR(__xludf.DUMMYFUNCTION("""COMPUTED_VALUE"""),1434.865)</f>
        <v>1434.865</v>
      </c>
      <c r="G1203" s="163">
        <f>IFERROR(__xludf.DUMMYFUNCTION("""COMPUTED_VALUE"""),80.0)</f>
        <v>80</v>
      </c>
      <c r="H1203" s="163" t="str">
        <f>IFERROR(__xludf.DUMMYFUNCTION("""COMPUTED_VALUE"""),"SF")</f>
        <v>SF</v>
      </c>
      <c r="I1203" s="163">
        <f>IFERROR(__xludf.DUMMYFUNCTION("""COMPUTED_VALUE"""),24.0)</f>
        <v>24</v>
      </c>
      <c r="J1203" s="165">
        <f>IFERROR(__xludf.DUMMYFUNCTION("""COMPUTED_VALUE"""),-1.53428582193718)</f>
        <v>-1.534285822</v>
      </c>
      <c r="K1203" s="165">
        <f>IFERROR(__xludf.DUMMYFUNCTION("""COMPUTED_VALUE"""),0.00268220594316126)</f>
        <v>0.002682205943</v>
      </c>
      <c r="L1203" s="165">
        <f>IFERROR(__xludf.DUMMYFUNCTION("""COMPUTED_VALUE"""),-1.53696802788034)</f>
        <v>-1.536968028</v>
      </c>
      <c r="M1203" s="166">
        <f t="shared" si="2"/>
        <v>0.7326941083</v>
      </c>
      <c r="N1203" s="167">
        <f t="shared" si="3"/>
        <v>17.9358125</v>
      </c>
      <c r="O1203" s="163">
        <f t="shared" ref="O1203:Q1203" si="1207">rank(I1203,I:I)</f>
        <v>2361</v>
      </c>
      <c r="P1203" s="163">
        <f t="shared" si="1207"/>
        <v>3081</v>
      </c>
      <c r="Q1203" s="163">
        <f t="shared" si="1207"/>
        <v>1197</v>
      </c>
      <c r="R1203" s="163">
        <f>IFERROR(__xludf.DUMMYFUNCTION("RANK(M1203,filter(M:M,C:C=C1203))"),250.0)</f>
        <v>250</v>
      </c>
      <c r="S1203" s="161" t="b">
        <f t="shared" si="5"/>
        <v>0</v>
      </c>
      <c r="T1203" s="161" t="b">
        <f t="array" ref="T1203">index('Query Tool'!B:B,match(H1203,'Query Tool'!C:C,0))</f>
        <v>1</v>
      </c>
      <c r="U1203" s="161" t="b">
        <f t="array" ref="U1203">index('Query Tool'!B:B,match(C1203,'Query Tool'!C:C,0))</f>
        <v>0</v>
      </c>
      <c r="V1203" s="161" t="b">
        <f>F1203&gt;='Query Tool'!C$32</f>
        <v>1</v>
      </c>
      <c r="W1203" s="161" t="b">
        <f t="array" ref="W1203">index(Dropdowns!B:B,match(I1203,Dropdowns!A:A,0))</f>
        <v>1</v>
      </c>
      <c r="X1203" s="161" t="b">
        <f t="array" ref="X1203">index('Query Tool'!B:B,match(D1203,'Query Tool'!C:C,0))</f>
        <v>1</v>
      </c>
      <c r="Y1203" s="161" t="str">
        <f t="shared" si="6"/>
        <v>willide02,2015-16</v>
      </c>
      <c r="Z1203" s="168">
        <f t="array" ref="Z1203">iferror(index(I:I,match($A1203&amp;","&amp;index('Year Conversion'!$A:$A,match($C1203,'Year Conversion'!$B:$B,0)),$Y:$Y,0))-I1203,"")</f>
        <v>1</v>
      </c>
      <c r="AA1203" s="168">
        <f t="array" ref="AA1203">iferror(index(J:J,match($A1203&amp;","&amp;index('Year Conversion'!$A:$A,match($C1203,'Year Conversion'!$B:$B,0)),$Y:$Y,0))-J1203,"")</f>
        <v>-0.9074771206</v>
      </c>
      <c r="AB1203" s="168">
        <f t="array" ref="AB1203">iferror(index(K:K,match($A1203&amp;","&amp;index('Year Conversion'!$A:$A,match($C1203,'Year Conversion'!$B:$B,0)),$Y:$Y,0))-K1203,"")</f>
        <v>-1.12475866</v>
      </c>
      <c r="AC1203" s="168" t="str">
        <f t="shared" si="7"/>
        <v>NYK,2015-16</v>
      </c>
    </row>
    <row r="1204">
      <c r="A1204" s="161" t="str">
        <f>IFERROR(__xludf.DUMMYFUNCTION("""COMPUTED_VALUE"""),"kanteen01")</f>
        <v>kanteen01</v>
      </c>
      <c r="B1204" s="161" t="str">
        <f>IFERROR(__xludf.DUMMYFUNCTION("""COMPUTED_VALUE"""),"Enes Kanter")</f>
        <v>Enes Kanter</v>
      </c>
      <c r="C1204" s="162" t="str">
        <f>IFERROR(__xludf.DUMMYFUNCTION("""COMPUTED_VALUE"""),"2015-16")</f>
        <v>2015-16</v>
      </c>
      <c r="D1204" s="163" t="str">
        <f>IFERROR(__xludf.DUMMYFUNCTION("""COMPUTED_VALUE"""),"OKC")</f>
        <v>OKC</v>
      </c>
      <c r="E1204" s="164" t="str">
        <f>IFERROR(__xludf.DUMMYFUNCTION("""COMPUTED_VALUE"""),"Post Scorer")</f>
        <v>Post Scorer</v>
      </c>
      <c r="F1204" s="164">
        <f>IFERROR(__xludf.DUMMYFUNCTION("""COMPUTED_VALUE"""),1720.67833333333)</f>
        <v>1720.678333</v>
      </c>
      <c r="G1204" s="163">
        <f>IFERROR(__xludf.DUMMYFUNCTION("""COMPUTED_VALUE"""),82.0)</f>
        <v>82</v>
      </c>
      <c r="H1204" s="163" t="str">
        <f>IFERROR(__xludf.DUMMYFUNCTION("""COMPUTED_VALUE"""),"C")</f>
        <v>C</v>
      </c>
      <c r="I1204" s="163">
        <f>IFERROR(__xludf.DUMMYFUNCTION("""COMPUTED_VALUE"""),23.0)</f>
        <v>23</v>
      </c>
      <c r="J1204" s="165">
        <f>IFERROR(__xludf.DUMMYFUNCTION("""COMPUTED_VALUE"""),0.697722412088863)</f>
        <v>0.6977224121</v>
      </c>
      <c r="K1204" s="165">
        <f>IFERROR(__xludf.DUMMYFUNCTION("""COMPUTED_VALUE"""),2.04560537679294)</f>
        <v>2.045605377</v>
      </c>
      <c r="L1204" s="165">
        <f>IFERROR(__xludf.DUMMYFUNCTION("""COMPUTED_VALUE"""),-1.34788296470408)</f>
        <v>-1.347882965</v>
      </c>
      <c r="M1204" s="166">
        <f t="shared" si="2"/>
        <v>3.461568012</v>
      </c>
      <c r="N1204" s="167">
        <f t="shared" si="3"/>
        <v>20.98388211</v>
      </c>
      <c r="O1204" s="163">
        <f t="shared" ref="O1204:Q1204" si="1208">rank(I1204,I:I)</f>
        <v>2765</v>
      </c>
      <c r="P1204" s="163">
        <f t="shared" si="1208"/>
        <v>799</v>
      </c>
      <c r="Q1204" s="163">
        <f t="shared" si="1208"/>
        <v>222</v>
      </c>
      <c r="R1204" s="163">
        <f>IFERROR(__xludf.DUMMYFUNCTION("RANK(M1204,filter(M:M,C:C=C1204))"),103.0)</f>
        <v>103</v>
      </c>
      <c r="S1204" s="161" t="b">
        <f t="shared" si="5"/>
        <v>0</v>
      </c>
      <c r="T1204" s="161" t="b">
        <f t="array" ref="T1204">index('Query Tool'!B:B,match(H1204,'Query Tool'!C:C,0))</f>
        <v>1</v>
      </c>
      <c r="U1204" s="161" t="b">
        <f t="array" ref="U1204">index('Query Tool'!B:B,match(C1204,'Query Tool'!C:C,0))</f>
        <v>0</v>
      </c>
      <c r="V1204" s="161" t="b">
        <f>F1204&gt;='Query Tool'!C$32</f>
        <v>1</v>
      </c>
      <c r="W1204" s="161" t="b">
        <f t="array" ref="W1204">index(Dropdowns!B:B,match(I1204,Dropdowns!A:A,0))</f>
        <v>1</v>
      </c>
      <c r="X1204" s="161" t="b">
        <f t="array" ref="X1204">index('Query Tool'!B:B,match(D1204,'Query Tool'!C:C,0))</f>
        <v>1</v>
      </c>
      <c r="Y1204" s="161" t="str">
        <f t="shared" si="6"/>
        <v>kanteen01,2015-16</v>
      </c>
      <c r="Z1204" s="168">
        <f t="array" ref="Z1204">iferror(index(I:I,match($A1204&amp;","&amp;index('Year Conversion'!$A:$A,match($C1204,'Year Conversion'!$B:$B,0)),$Y:$Y,0))-I1204,"")</f>
        <v>1</v>
      </c>
      <c r="AA1204" s="168">
        <f t="array" ref="AA1204">iferror(index(J:J,match($A1204&amp;","&amp;index('Year Conversion'!$A:$A,match($C1204,'Year Conversion'!$B:$B,0)),$Y:$Y,0))-J1204,"")</f>
        <v>-0.9591028868</v>
      </c>
      <c r="AB1204" s="168">
        <f t="array" ref="AB1204">iferror(index(K:K,match($A1204&amp;","&amp;index('Year Conversion'!$A:$A,match($C1204,'Year Conversion'!$B:$B,0)),$Y:$Y,0))-K1204,"")</f>
        <v>-0.4803361201</v>
      </c>
      <c r="AC1204" s="168" t="str">
        <f t="shared" si="7"/>
        <v>OKC,2015-16</v>
      </c>
    </row>
    <row r="1205">
      <c r="A1205" s="161" t="str">
        <f>IFERROR(__xludf.DUMMYFUNCTION("""COMPUTED_VALUE"""),"thomptr01")</f>
        <v>thomptr01</v>
      </c>
      <c r="B1205" s="161" t="str">
        <f>IFERROR(__xludf.DUMMYFUNCTION("""COMPUTED_VALUE"""),"Tristan Thompson")</f>
        <v>Tristan Thompson</v>
      </c>
      <c r="C1205" s="162" t="str">
        <f>IFERROR(__xludf.DUMMYFUNCTION("""COMPUTED_VALUE"""),"2015-16")</f>
        <v>2015-16</v>
      </c>
      <c r="D1205" s="163" t="str">
        <f>IFERROR(__xludf.DUMMYFUNCTION("""COMPUTED_VALUE"""),"CLE")</f>
        <v>CLE</v>
      </c>
      <c r="E1205" s="164" t="str">
        <f>IFERROR(__xludf.DUMMYFUNCTION("""COMPUTED_VALUE"""),"Roll + Cut Big")</f>
        <v>Roll + Cut Big</v>
      </c>
      <c r="F1205" s="164">
        <f>IFERROR(__xludf.DUMMYFUNCTION("""COMPUTED_VALUE"""),2269.26666666667)</f>
        <v>2269.266667</v>
      </c>
      <c r="G1205" s="163">
        <f>IFERROR(__xludf.DUMMYFUNCTION("""COMPUTED_VALUE"""),82.0)</f>
        <v>82</v>
      </c>
      <c r="H1205" s="163" t="str">
        <f>IFERROR(__xludf.DUMMYFUNCTION("""COMPUTED_VALUE"""),"PF")</f>
        <v>PF</v>
      </c>
      <c r="I1205" s="163">
        <f>IFERROR(__xludf.DUMMYFUNCTION("""COMPUTED_VALUE"""),24.0)</f>
        <v>24</v>
      </c>
      <c r="J1205" s="165">
        <f>IFERROR(__xludf.DUMMYFUNCTION("""COMPUTED_VALUE"""),1.05729779373138)</f>
        <v>1.057297794</v>
      </c>
      <c r="K1205" s="165">
        <f>IFERROR(__xludf.DUMMYFUNCTION("""COMPUTED_VALUE"""),0.220980989601496)</f>
        <v>0.2209809896</v>
      </c>
      <c r="L1205" s="165">
        <f>IFERROR(__xludf.DUMMYFUNCTION("""COMPUTED_VALUE"""),0.836316804129882)</f>
        <v>0.8363168041</v>
      </c>
      <c r="M1205" s="166">
        <f t="shared" si="2"/>
        <v>5.113522763</v>
      </c>
      <c r="N1205" s="167">
        <f t="shared" si="3"/>
        <v>27.67398374</v>
      </c>
      <c r="O1205" s="163">
        <f t="shared" ref="O1205:Q1205" si="1209">rank(I1205,I:I)</f>
        <v>2361</v>
      </c>
      <c r="P1205" s="163">
        <f t="shared" si="1209"/>
        <v>640</v>
      </c>
      <c r="Q1205" s="163">
        <f t="shared" si="1209"/>
        <v>969</v>
      </c>
      <c r="R1205" s="163">
        <f>IFERROR(__xludf.DUMMYFUNCTION("RANK(M1205,filter(M:M,C:C=C1205))"),58.0)</f>
        <v>58</v>
      </c>
      <c r="S1205" s="161" t="b">
        <f t="shared" si="5"/>
        <v>0</v>
      </c>
      <c r="T1205" s="161" t="b">
        <f t="array" ref="T1205">index('Query Tool'!B:B,match(H1205,'Query Tool'!C:C,0))</f>
        <v>1</v>
      </c>
      <c r="U1205" s="161" t="b">
        <f t="array" ref="U1205">index('Query Tool'!B:B,match(C1205,'Query Tool'!C:C,0))</f>
        <v>0</v>
      </c>
      <c r="V1205" s="161" t="b">
        <f>F1205&gt;='Query Tool'!C$32</f>
        <v>1</v>
      </c>
      <c r="W1205" s="161" t="b">
        <f t="array" ref="W1205">index(Dropdowns!B:B,match(I1205,Dropdowns!A:A,0))</f>
        <v>1</v>
      </c>
      <c r="X1205" s="161" t="b">
        <f t="array" ref="X1205">index('Query Tool'!B:B,match(D1205,'Query Tool'!C:C,0))</f>
        <v>1</v>
      </c>
      <c r="Y1205" s="161" t="str">
        <f t="shared" si="6"/>
        <v>thomptr01,2015-16</v>
      </c>
      <c r="Z1205" s="168">
        <f t="array" ref="Z1205">iferror(index(I:I,match($A1205&amp;","&amp;index('Year Conversion'!$A:$A,match($C1205,'Year Conversion'!$B:$B,0)),$Y:$Y,0))-I1205,"")</f>
        <v>1</v>
      </c>
      <c r="AA1205" s="168">
        <f t="array" ref="AA1205">iferror(index(J:J,match($A1205&amp;","&amp;index('Year Conversion'!$A:$A,match($C1205,'Year Conversion'!$B:$B,0)),$Y:$Y,0))-J1205,"")</f>
        <v>-0.7145054699</v>
      </c>
      <c r="AB1205" s="168">
        <f t="array" ref="AB1205">iferror(index(K:K,match($A1205&amp;","&amp;index('Year Conversion'!$A:$A,match($C1205,'Year Conversion'!$B:$B,0)),$Y:$Y,0))-K1205,"")</f>
        <v>-1.265699936</v>
      </c>
      <c r="AC1205" s="168" t="str">
        <f t="shared" si="7"/>
        <v>CLE,2015-16</v>
      </c>
    </row>
    <row r="1206">
      <c r="A1206" s="161" t="str">
        <f>IFERROR(__xludf.DUMMYFUNCTION("""COMPUTED_VALUE"""),"valanjo01")</f>
        <v>valanjo01</v>
      </c>
      <c r="B1206" s="161" t="str">
        <f>IFERROR(__xludf.DUMMYFUNCTION("""COMPUTED_VALUE"""),"Jonas Valanciunas")</f>
        <v>Jonas Valanciunas</v>
      </c>
      <c r="C1206" s="162" t="str">
        <f>IFERROR(__xludf.DUMMYFUNCTION("""COMPUTED_VALUE"""),"2015-16")</f>
        <v>2015-16</v>
      </c>
      <c r="D1206" s="163" t="str">
        <f>IFERROR(__xludf.DUMMYFUNCTION("""COMPUTED_VALUE"""),"TOR")</f>
        <v>TOR</v>
      </c>
      <c r="E1206" s="164" t="str">
        <f>IFERROR(__xludf.DUMMYFUNCTION("""COMPUTED_VALUE"""),"Post Scorer")</f>
        <v>Post Scorer</v>
      </c>
      <c r="F1206" s="164">
        <f>IFERROR(__xludf.DUMMYFUNCTION("""COMPUTED_VALUE"""),1556.92166666667)</f>
        <v>1556.921667</v>
      </c>
      <c r="G1206" s="163">
        <f>IFERROR(__xludf.DUMMYFUNCTION("""COMPUTED_VALUE"""),60.0)</f>
        <v>60</v>
      </c>
      <c r="H1206" s="163" t="str">
        <f>IFERROR(__xludf.DUMMYFUNCTION("""COMPUTED_VALUE"""),"C")</f>
        <v>C</v>
      </c>
      <c r="I1206" s="163">
        <f>IFERROR(__xludf.DUMMYFUNCTION("""COMPUTED_VALUE"""),23.0)</f>
        <v>23</v>
      </c>
      <c r="J1206" s="165">
        <f>IFERROR(__xludf.DUMMYFUNCTION("""COMPUTED_VALUE"""),1.41775700256518)</f>
        <v>1.417757003</v>
      </c>
      <c r="K1206" s="165">
        <f>IFERROR(__xludf.DUMMYFUNCTION("""COMPUTED_VALUE"""),0.864168273391361)</f>
        <v>0.8641682734</v>
      </c>
      <c r="L1206" s="165">
        <f>IFERROR(__xludf.DUMMYFUNCTION("""COMPUTED_VALUE"""),0.553588729173818)</f>
        <v>0.5535887292</v>
      </c>
      <c r="M1206" s="166">
        <f t="shared" si="2"/>
        <v>3.884276535</v>
      </c>
      <c r="N1206" s="167">
        <f t="shared" si="3"/>
        <v>25.94869444</v>
      </c>
      <c r="O1206" s="163">
        <f t="shared" ref="O1206:Q1206" si="1210">rank(I1206,I:I)</f>
        <v>2765</v>
      </c>
      <c r="P1206" s="163">
        <f t="shared" si="1210"/>
        <v>487</v>
      </c>
      <c r="Q1206" s="163">
        <f t="shared" si="1210"/>
        <v>568</v>
      </c>
      <c r="R1206" s="163">
        <f>IFERROR(__xludf.DUMMYFUNCTION("RANK(M1206,filter(M:M,C:C=C1206))"),89.0)</f>
        <v>89</v>
      </c>
      <c r="S1206" s="161" t="b">
        <f t="shared" si="5"/>
        <v>0</v>
      </c>
      <c r="T1206" s="161" t="b">
        <f t="array" ref="T1206">index('Query Tool'!B:B,match(H1206,'Query Tool'!C:C,0))</f>
        <v>1</v>
      </c>
      <c r="U1206" s="161" t="b">
        <f t="array" ref="U1206">index('Query Tool'!B:B,match(C1206,'Query Tool'!C:C,0))</f>
        <v>0</v>
      </c>
      <c r="V1206" s="161" t="b">
        <f>F1206&gt;='Query Tool'!C$32</f>
        <v>1</v>
      </c>
      <c r="W1206" s="161" t="b">
        <f t="array" ref="W1206">index(Dropdowns!B:B,match(I1206,Dropdowns!A:A,0))</f>
        <v>1</v>
      </c>
      <c r="X1206" s="161" t="b">
        <f t="array" ref="X1206">index('Query Tool'!B:B,match(D1206,'Query Tool'!C:C,0))</f>
        <v>1</v>
      </c>
      <c r="Y1206" s="161" t="str">
        <f t="shared" si="6"/>
        <v>valanjo01,2015-16</v>
      </c>
      <c r="Z1206" s="168">
        <f t="array" ref="Z1206">iferror(index(I:I,match($A1206&amp;","&amp;index('Year Conversion'!$A:$A,match($C1206,'Year Conversion'!$B:$B,0)),$Y:$Y,0))-I1206,"")</f>
        <v>1</v>
      </c>
      <c r="AA1206" s="168">
        <f t="array" ref="AA1206">iferror(index(J:J,match($A1206&amp;","&amp;index('Year Conversion'!$A:$A,match($C1206,'Year Conversion'!$B:$B,0)),$Y:$Y,0))-J1206,"")</f>
        <v>-0.6078882232</v>
      </c>
      <c r="AB1206" s="168">
        <f t="array" ref="AB1206">iferror(index(K:K,match($A1206&amp;","&amp;index('Year Conversion'!$A:$A,match($C1206,'Year Conversion'!$B:$B,0)),$Y:$Y,0))-K1206,"")</f>
        <v>-0.6394919273</v>
      </c>
      <c r="AC1206" s="168" t="str">
        <f t="shared" si="7"/>
        <v>TOR,2015-16</v>
      </c>
    </row>
    <row r="1207">
      <c r="A1207" s="161" t="str">
        <f>IFERROR(__xludf.DUMMYFUNCTION("""COMPUTED_VALUE"""),"biyombi01")</f>
        <v>biyombi01</v>
      </c>
      <c r="B1207" s="161" t="str">
        <f>IFERROR(__xludf.DUMMYFUNCTION("""COMPUTED_VALUE"""),"Bismack Biyombo")</f>
        <v>Bismack Biyombo</v>
      </c>
      <c r="C1207" s="162" t="str">
        <f>IFERROR(__xludf.DUMMYFUNCTION("""COMPUTED_VALUE"""),"2015-16")</f>
        <v>2015-16</v>
      </c>
      <c r="D1207" s="163" t="str">
        <f>IFERROR(__xludf.DUMMYFUNCTION("""COMPUTED_VALUE"""),"TOR")</f>
        <v>TOR</v>
      </c>
      <c r="E1207" s="164" t="str">
        <f>IFERROR(__xludf.DUMMYFUNCTION("""COMPUTED_VALUE"""),"Roll + Cut Big")</f>
        <v>Roll + Cut Big</v>
      </c>
      <c r="F1207" s="164">
        <f>IFERROR(__xludf.DUMMYFUNCTION("""COMPUTED_VALUE"""),1807.84333333333)</f>
        <v>1807.843333</v>
      </c>
      <c r="G1207" s="163">
        <f>IFERROR(__xludf.DUMMYFUNCTION("""COMPUTED_VALUE"""),82.0)</f>
        <v>82</v>
      </c>
      <c r="H1207" s="163" t="str">
        <f>IFERROR(__xludf.DUMMYFUNCTION("""COMPUTED_VALUE"""),"C")</f>
        <v>C</v>
      </c>
      <c r="I1207" s="163">
        <f>IFERROR(__xludf.DUMMYFUNCTION("""COMPUTED_VALUE"""),23.0)</f>
        <v>23</v>
      </c>
      <c r="J1207" s="165">
        <f>IFERROR(__xludf.DUMMYFUNCTION("""COMPUTED_VALUE"""),0.651017971075206)</f>
        <v>0.6510179711</v>
      </c>
      <c r="K1207" s="165">
        <f>IFERROR(__xludf.DUMMYFUNCTION("""COMPUTED_VALUE"""),-2.10372007825261)</f>
        <v>-2.103720078</v>
      </c>
      <c r="L1207" s="165">
        <f>IFERROR(__xludf.DUMMYFUNCTION("""COMPUTED_VALUE"""),2.75473804932781)</f>
        <v>2.754738049</v>
      </c>
      <c r="M1207" s="166">
        <f t="shared" si="2"/>
        <v>3.580104908</v>
      </c>
      <c r="N1207" s="167">
        <f t="shared" si="3"/>
        <v>22.04686992</v>
      </c>
      <c r="O1207" s="163">
        <f t="shared" ref="O1207:Q1207" si="1211">rank(I1207,I:I)</f>
        <v>2765</v>
      </c>
      <c r="P1207" s="163">
        <f t="shared" si="1211"/>
        <v>822</v>
      </c>
      <c r="Q1207" s="163">
        <f t="shared" si="1211"/>
        <v>3767</v>
      </c>
      <c r="R1207" s="163">
        <f>IFERROR(__xludf.DUMMYFUNCTION("RANK(M1207,filter(M:M,C:C=C1207))"),98.0)</f>
        <v>98</v>
      </c>
      <c r="S1207" s="161" t="b">
        <f t="shared" si="5"/>
        <v>0</v>
      </c>
      <c r="T1207" s="161" t="b">
        <f t="array" ref="T1207">index('Query Tool'!B:B,match(H1207,'Query Tool'!C:C,0))</f>
        <v>1</v>
      </c>
      <c r="U1207" s="161" t="b">
        <f t="array" ref="U1207">index('Query Tool'!B:B,match(C1207,'Query Tool'!C:C,0))</f>
        <v>0</v>
      </c>
      <c r="V1207" s="161" t="b">
        <f>F1207&gt;='Query Tool'!C$32</f>
        <v>1</v>
      </c>
      <c r="W1207" s="161" t="b">
        <f t="array" ref="W1207">index(Dropdowns!B:B,match(I1207,Dropdowns!A:A,0))</f>
        <v>1</v>
      </c>
      <c r="X1207" s="161" t="b">
        <f t="array" ref="X1207">index('Query Tool'!B:B,match(D1207,'Query Tool'!C:C,0))</f>
        <v>1</v>
      </c>
      <c r="Y1207" s="161" t="str">
        <f t="shared" si="6"/>
        <v>biyombi01,2015-16</v>
      </c>
      <c r="Z1207" s="168">
        <f t="array" ref="Z1207">iferror(index(I:I,match($A1207&amp;","&amp;index('Year Conversion'!$A:$A,match($C1207,'Year Conversion'!$B:$B,0)),$Y:$Y,0))-I1207,"")</f>
        <v>1</v>
      </c>
      <c r="AA1207" s="168">
        <f t="array" ref="AA1207">iferror(index(J:J,match($A1207&amp;","&amp;index('Year Conversion'!$A:$A,match($C1207,'Year Conversion'!$B:$B,0)),$Y:$Y,0))-J1207,"")</f>
        <v>-1.162073663</v>
      </c>
      <c r="AB1207" s="168">
        <f t="array" ref="AB1207">iferror(index(K:K,match($A1207&amp;","&amp;index('Year Conversion'!$A:$A,match($C1207,'Year Conversion'!$B:$B,0)),$Y:$Y,0))-K1207,"")</f>
        <v>0.08348650577</v>
      </c>
      <c r="AC1207" s="168" t="str">
        <f t="shared" si="7"/>
        <v>TOR,2015-16</v>
      </c>
    </row>
    <row r="1208">
      <c r="A1208" s="161" t="str">
        <f>IFERROR(__xludf.DUMMYFUNCTION("""COMPUTED_VALUE"""),"knighbr03")</f>
        <v>knighbr03</v>
      </c>
      <c r="B1208" s="161" t="str">
        <f>IFERROR(__xludf.DUMMYFUNCTION("""COMPUTED_VALUE"""),"Brandon Knight")</f>
        <v>Brandon Knight</v>
      </c>
      <c r="C1208" s="162" t="str">
        <f>IFERROR(__xludf.DUMMYFUNCTION("""COMPUTED_VALUE"""),"2015-16")</f>
        <v>2015-16</v>
      </c>
      <c r="D1208" s="163" t="str">
        <f>IFERROR(__xludf.DUMMYFUNCTION("""COMPUTED_VALUE"""),"PHO")</f>
        <v>PHO</v>
      </c>
      <c r="E1208" s="164" t="str">
        <f>IFERROR(__xludf.DUMMYFUNCTION("""COMPUTED_VALUE"""),"Primary Ball Handler")</f>
        <v>Primary Ball Handler</v>
      </c>
      <c r="F1208" s="164">
        <f>IFERROR(__xludf.DUMMYFUNCTION("""COMPUTED_VALUE"""),1870.38666666667)</f>
        <v>1870.386667</v>
      </c>
      <c r="G1208" s="163">
        <f>IFERROR(__xludf.DUMMYFUNCTION("""COMPUTED_VALUE"""),52.0)</f>
        <v>52</v>
      </c>
      <c r="H1208" s="163" t="str">
        <f>IFERROR(__xludf.DUMMYFUNCTION("""COMPUTED_VALUE"""),"SG")</f>
        <v>SG</v>
      </c>
      <c r="I1208" s="163">
        <f>IFERROR(__xludf.DUMMYFUNCTION("""COMPUTED_VALUE"""),24.0)</f>
        <v>24</v>
      </c>
      <c r="J1208" s="165">
        <f>IFERROR(__xludf.DUMMYFUNCTION("""COMPUTED_VALUE"""),-0.526726806313261)</f>
        <v>-0.5267268063</v>
      </c>
      <c r="K1208" s="165">
        <f>IFERROR(__xludf.DUMMYFUNCTION("""COMPUTED_VALUE"""),0.452974959058793)</f>
        <v>0.4529749591</v>
      </c>
      <c r="L1208" s="165">
        <f>IFERROR(__xludf.DUMMYFUNCTION("""COMPUTED_VALUE"""),-0.979701765372053)</f>
        <v>-0.9797017654</v>
      </c>
      <c r="M1208" s="166">
        <f t="shared" si="2"/>
        <v>2.219568446</v>
      </c>
      <c r="N1208" s="167">
        <f t="shared" si="3"/>
        <v>35.96897436</v>
      </c>
      <c r="O1208" s="163">
        <f t="shared" ref="O1208:Q1208" si="1212">rank(I1208,I:I)</f>
        <v>2361</v>
      </c>
      <c r="P1208" s="163">
        <f t="shared" si="1212"/>
        <v>1891</v>
      </c>
      <c r="Q1208" s="163">
        <f t="shared" si="1212"/>
        <v>799</v>
      </c>
      <c r="R1208" s="163">
        <f>IFERROR(__xludf.DUMMYFUNCTION("RANK(M1208,filter(M:M,C:C=C1208))"),147.0)</f>
        <v>147</v>
      </c>
      <c r="S1208" s="161" t="b">
        <f t="shared" si="5"/>
        <v>0</v>
      </c>
      <c r="T1208" s="161" t="b">
        <f t="array" ref="T1208">index('Query Tool'!B:B,match(H1208,'Query Tool'!C:C,0))</f>
        <v>1</v>
      </c>
      <c r="U1208" s="161" t="b">
        <f t="array" ref="U1208">index('Query Tool'!B:B,match(C1208,'Query Tool'!C:C,0))</f>
        <v>0</v>
      </c>
      <c r="V1208" s="161" t="b">
        <f>F1208&gt;='Query Tool'!C$32</f>
        <v>1</v>
      </c>
      <c r="W1208" s="161" t="b">
        <f t="array" ref="W1208">index(Dropdowns!B:B,match(I1208,Dropdowns!A:A,0))</f>
        <v>1</v>
      </c>
      <c r="X1208" s="161" t="b">
        <f t="array" ref="X1208">index('Query Tool'!B:B,match(D1208,'Query Tool'!C:C,0))</f>
        <v>1</v>
      </c>
      <c r="Y1208" s="161" t="str">
        <f t="shared" si="6"/>
        <v>knighbr03,2015-16</v>
      </c>
      <c r="Z1208" s="168">
        <f t="array" ref="Z1208">iferror(index(I:I,match($A1208&amp;","&amp;index('Year Conversion'!$A:$A,match($C1208,'Year Conversion'!$B:$B,0)),$Y:$Y,0))-I1208,"")</f>
        <v>1</v>
      </c>
      <c r="AA1208" s="168">
        <f t="array" ref="AA1208">iferror(index(J:J,match($A1208&amp;","&amp;index('Year Conversion'!$A:$A,match($C1208,'Year Conversion'!$B:$B,0)),$Y:$Y,0))-J1208,"")</f>
        <v>-2.660293664</v>
      </c>
      <c r="AB1208" s="168">
        <f t="array" ref="AB1208">iferror(index(K:K,match($A1208&amp;","&amp;index('Year Conversion'!$A:$A,match($C1208,'Year Conversion'!$B:$B,0)),$Y:$Y,0))-K1208,"")</f>
        <v>-1.748212087</v>
      </c>
      <c r="AC1208" s="168" t="str">
        <f t="shared" si="7"/>
        <v>PHO,2015-16</v>
      </c>
    </row>
    <row r="1209">
      <c r="A1209" s="161" t="str">
        <f>IFERROR(__xludf.DUMMYFUNCTION("""COMPUTED_VALUE"""),"walkeke02")</f>
        <v>walkeke02</v>
      </c>
      <c r="B1209" s="161" t="str">
        <f>IFERROR(__xludf.DUMMYFUNCTION("""COMPUTED_VALUE"""),"Kemba Walker")</f>
        <v>Kemba Walker</v>
      </c>
      <c r="C1209" s="162" t="str">
        <f>IFERROR(__xludf.DUMMYFUNCTION("""COMPUTED_VALUE"""),"2015-16")</f>
        <v>2015-16</v>
      </c>
      <c r="D1209" s="163" t="str">
        <f>IFERROR(__xludf.DUMMYFUNCTION("""COMPUTED_VALUE"""),"CHO")</f>
        <v>CHO</v>
      </c>
      <c r="E1209" s="164" t="str">
        <f>IFERROR(__xludf.DUMMYFUNCTION("""COMPUTED_VALUE"""),"Primary Ball Handler")</f>
        <v>Primary Ball Handler</v>
      </c>
      <c r="F1209" s="164">
        <f>IFERROR(__xludf.DUMMYFUNCTION("""COMPUTED_VALUE"""),2885.15)</f>
        <v>2885.15</v>
      </c>
      <c r="G1209" s="163">
        <f>IFERROR(__xludf.DUMMYFUNCTION("""COMPUTED_VALUE"""),81.0)</f>
        <v>81</v>
      </c>
      <c r="H1209" s="163" t="str">
        <f>IFERROR(__xludf.DUMMYFUNCTION("""COMPUTED_VALUE"""),"PG")</f>
        <v>PG</v>
      </c>
      <c r="I1209" s="163">
        <f>IFERROR(__xludf.DUMMYFUNCTION("""COMPUTED_VALUE"""),25.0)</f>
        <v>25</v>
      </c>
      <c r="J1209" s="165">
        <f>IFERROR(__xludf.DUMMYFUNCTION("""COMPUTED_VALUE"""),2.5167356967296)</f>
        <v>2.516735697</v>
      </c>
      <c r="K1209" s="165">
        <f>IFERROR(__xludf.DUMMYFUNCTION("""COMPUTED_VALUE"""),2.4847856217346)</f>
        <v>2.484785622</v>
      </c>
      <c r="L1209" s="165">
        <f>IFERROR(__xludf.DUMMYFUNCTION("""COMPUTED_VALUE"""),0.0319500749950019)</f>
        <v>0.031950075</v>
      </c>
      <c r="M1209" s="166">
        <f t="shared" si="2"/>
        <v>9.300713971</v>
      </c>
      <c r="N1209" s="167">
        <f t="shared" si="3"/>
        <v>35.6191358</v>
      </c>
      <c r="O1209" s="163">
        <f t="shared" ref="O1209:Q1209" si="1213">rank(I1209,I:I)</f>
        <v>1995</v>
      </c>
      <c r="P1209" s="163">
        <f t="shared" si="1213"/>
        <v>221</v>
      </c>
      <c r="Q1209" s="163">
        <f t="shared" si="1213"/>
        <v>158</v>
      </c>
      <c r="R1209" s="163">
        <f>IFERROR(__xludf.DUMMYFUNCTION("RANK(M1209,filter(M:M,C:C=C1209))"),15.0)</f>
        <v>15</v>
      </c>
      <c r="S1209" s="161" t="b">
        <f t="shared" si="5"/>
        <v>0</v>
      </c>
      <c r="T1209" s="161" t="b">
        <f t="array" ref="T1209">index('Query Tool'!B:B,match(H1209,'Query Tool'!C:C,0))</f>
        <v>1</v>
      </c>
      <c r="U1209" s="161" t="b">
        <f t="array" ref="U1209">index('Query Tool'!B:B,match(C1209,'Query Tool'!C:C,0))</f>
        <v>0</v>
      </c>
      <c r="V1209" s="161" t="b">
        <f>F1209&gt;='Query Tool'!C$32</f>
        <v>1</v>
      </c>
      <c r="W1209" s="161" t="b">
        <f t="array" ref="W1209">index(Dropdowns!B:B,match(I1209,Dropdowns!A:A,0))</f>
        <v>1</v>
      </c>
      <c r="X1209" s="161" t="b">
        <f t="array" ref="X1209">index('Query Tool'!B:B,match(D1209,'Query Tool'!C:C,0))</f>
        <v>1</v>
      </c>
      <c r="Y1209" s="161" t="str">
        <f t="shared" si="6"/>
        <v>walkeke02,2015-16</v>
      </c>
      <c r="Z1209" s="168">
        <f t="array" ref="Z1209">iferror(index(I:I,match($A1209&amp;","&amp;index('Year Conversion'!$A:$A,match($C1209,'Year Conversion'!$B:$B,0)),$Y:$Y,0))-I1209,"")</f>
        <v>1</v>
      </c>
      <c r="AA1209" s="168">
        <f t="array" ref="AA1209">iferror(index(J:J,match($A1209&amp;","&amp;index('Year Conversion'!$A:$A,match($C1209,'Year Conversion'!$B:$B,0)),$Y:$Y,0))-J1209,"")</f>
        <v>0.06373906226</v>
      </c>
      <c r="AB1209" s="168">
        <f t="array" ref="AB1209">iferror(index(K:K,match($A1209&amp;","&amp;index('Year Conversion'!$A:$A,match($C1209,'Year Conversion'!$B:$B,0)),$Y:$Y,0))-K1209,"")</f>
        <v>0.9531638083</v>
      </c>
      <c r="AC1209" s="168" t="str">
        <f t="shared" si="7"/>
        <v>CHO,2015-16</v>
      </c>
    </row>
    <row r="1210">
      <c r="A1210" s="161" t="str">
        <f>IFERROR(__xludf.DUMMYFUNCTION("""COMPUTED_VALUE"""),"fredeji01")</f>
        <v>fredeji01</v>
      </c>
      <c r="B1210" s="161" t="str">
        <f>IFERROR(__xludf.DUMMYFUNCTION("""COMPUTED_VALUE"""),"Jimmer Fredette")</f>
        <v>Jimmer Fredette</v>
      </c>
      <c r="C1210" s="162" t="str">
        <f>IFERROR(__xludf.DUMMYFUNCTION("""COMPUTED_VALUE"""),"2015-16")</f>
        <v>2015-16</v>
      </c>
      <c r="D1210" s="163" t="str">
        <f>IFERROR(__xludf.DUMMYFUNCTION("""COMPUTED_VALUE"""),"TOT")</f>
        <v>TOT</v>
      </c>
      <c r="E1210" s="164" t="str">
        <f>IFERROR(__xludf.DUMMYFUNCTION("""COMPUTED_VALUE"""),"Secondary Ball Handler")</f>
        <v>Secondary Ball Handler</v>
      </c>
      <c r="F1210" s="164">
        <f>IFERROR(__xludf.DUMMYFUNCTION("""COMPUTED_VALUE"""),17.5583333333333)</f>
        <v>17.55833333</v>
      </c>
      <c r="G1210" s="163">
        <f>IFERROR(__xludf.DUMMYFUNCTION("""COMPUTED_VALUE"""),6.0)</f>
        <v>6</v>
      </c>
      <c r="H1210" s="163" t="str">
        <f>IFERROR(__xludf.DUMMYFUNCTION("""COMPUTED_VALUE"""),"SG")</f>
        <v>SG</v>
      </c>
      <c r="I1210" s="163">
        <f>IFERROR(__xludf.DUMMYFUNCTION("""COMPUTED_VALUE"""),26.0)</f>
        <v>26</v>
      </c>
      <c r="J1210" s="165">
        <f>IFERROR(__xludf.DUMMYFUNCTION("""COMPUTED_VALUE"""),-0.384630146641956)</f>
        <v>-0.3846301466</v>
      </c>
      <c r="K1210" s="165">
        <f>IFERROR(__xludf.DUMMYFUNCTION("""COMPUTED_VALUE"""),-0.370798201629396)</f>
        <v>-0.3707982016</v>
      </c>
      <c r="L1210" s="165">
        <f>IFERROR(__xludf.DUMMYFUNCTION("""COMPUTED_VALUE"""),-0.0138319450125593)</f>
        <v>-0.01383194501</v>
      </c>
      <c r="M1210" s="166">
        <f t="shared" si="2"/>
        <v>0.02251691587</v>
      </c>
      <c r="N1210" s="167">
        <f t="shared" si="3"/>
        <v>2.926388889</v>
      </c>
      <c r="O1210" s="163">
        <f t="shared" ref="O1210:Q1210" si="1214">rank(I1210,I:I)</f>
        <v>1665</v>
      </c>
      <c r="P1210" s="163">
        <f t="shared" si="1214"/>
        <v>1711</v>
      </c>
      <c r="Q1210" s="163">
        <f t="shared" si="1214"/>
        <v>1894</v>
      </c>
      <c r="R1210" s="163">
        <f>IFERROR(__xludf.DUMMYFUNCTION("RANK(M1210,filter(M:M,C:C=C1210))"),415.0)</f>
        <v>415</v>
      </c>
      <c r="S1210" s="161" t="b">
        <f t="shared" si="5"/>
        <v>0</v>
      </c>
      <c r="T1210" s="161" t="b">
        <f t="array" ref="T1210">index('Query Tool'!B:B,match(H1210,'Query Tool'!C:C,0))</f>
        <v>1</v>
      </c>
      <c r="U1210" s="161" t="b">
        <f t="array" ref="U1210">index('Query Tool'!B:B,match(C1210,'Query Tool'!C:C,0))</f>
        <v>0</v>
      </c>
      <c r="V1210" s="161" t="b">
        <f>F1210&gt;='Query Tool'!C$32</f>
        <v>0</v>
      </c>
      <c r="W1210" s="161" t="b">
        <f t="array" ref="W1210">index(Dropdowns!B:B,match(I1210,Dropdowns!A:A,0))</f>
        <v>1</v>
      </c>
      <c r="X1210" s="161" t="b">
        <f t="array" ref="X1210">index('Query Tool'!B:B,match(D1210,'Query Tool'!C:C,0))</f>
        <v>1</v>
      </c>
      <c r="Y1210" s="161" t="str">
        <f t="shared" si="6"/>
        <v>fredeji01,2015-16</v>
      </c>
      <c r="Z1210" s="168" t="str">
        <f t="array" ref="Z1210">iferror(index(I:I,match($A1210&amp;","&amp;index('Year Conversion'!$A:$A,match($C1210,'Year Conversion'!$B:$B,0)),$Y:$Y,0))-I1210,"")</f>
        <v/>
      </c>
      <c r="AA1210" s="168" t="str">
        <f t="array" ref="AA1210">iferror(index(J:J,match($A1210&amp;","&amp;index('Year Conversion'!$A:$A,match($C1210,'Year Conversion'!$B:$B,0)),$Y:$Y,0))-J1210,"")</f>
        <v/>
      </c>
      <c r="AB1210" s="168" t="str">
        <f t="array" ref="AB1210">iferror(index(K:K,match($A1210&amp;","&amp;index('Year Conversion'!$A:$A,match($C1210,'Year Conversion'!$B:$B,0)),$Y:$Y,0))-K1210,"")</f>
        <v/>
      </c>
      <c r="AC1210" s="168" t="str">
        <f t="shared" si="7"/>
        <v>TOT,2015-16</v>
      </c>
    </row>
    <row r="1211">
      <c r="A1211" s="161" t="str">
        <f>IFERROR(__xludf.DUMMYFUNCTION("""COMPUTED_VALUE"""),"thompkl01")</f>
        <v>thompkl01</v>
      </c>
      <c r="B1211" s="161" t="str">
        <f>IFERROR(__xludf.DUMMYFUNCTION("""COMPUTED_VALUE"""),"Klay Thompson")</f>
        <v>Klay Thompson</v>
      </c>
      <c r="C1211" s="162" t="str">
        <f>IFERROR(__xludf.DUMMYFUNCTION("""COMPUTED_VALUE"""),"2015-16")</f>
        <v>2015-16</v>
      </c>
      <c r="D1211" s="163" t="str">
        <f>IFERROR(__xludf.DUMMYFUNCTION("""COMPUTED_VALUE"""),"GSW")</f>
        <v>GSW</v>
      </c>
      <c r="E1211" s="164" t="str">
        <f>IFERROR(__xludf.DUMMYFUNCTION("""COMPUTED_VALUE"""),"Off Screen Shooter")</f>
        <v>Off Screen Shooter</v>
      </c>
      <c r="F1211" s="164">
        <f>IFERROR(__xludf.DUMMYFUNCTION("""COMPUTED_VALUE"""),2666.415)</f>
        <v>2666.415</v>
      </c>
      <c r="G1211" s="163">
        <f>IFERROR(__xludf.DUMMYFUNCTION("""COMPUTED_VALUE"""),80.0)</f>
        <v>80</v>
      </c>
      <c r="H1211" s="163" t="str">
        <f>IFERROR(__xludf.DUMMYFUNCTION("""COMPUTED_VALUE"""),"SG")</f>
        <v>SG</v>
      </c>
      <c r="I1211" s="163">
        <f>IFERROR(__xludf.DUMMYFUNCTION("""COMPUTED_VALUE"""),25.0)</f>
        <v>25</v>
      </c>
      <c r="J1211" s="165">
        <f>IFERROR(__xludf.DUMMYFUNCTION("""COMPUTED_VALUE"""),1.75414923268114)</f>
        <v>1.754149233</v>
      </c>
      <c r="K1211" s="165">
        <f>IFERROR(__xludf.DUMMYFUNCTION("""COMPUTED_VALUE"""),2.24917876189722)</f>
        <v>2.249178762</v>
      </c>
      <c r="L1211" s="165">
        <f>IFERROR(__xludf.DUMMYFUNCTION("""COMPUTED_VALUE"""),-0.495029529216077)</f>
        <v>-0.4950295292</v>
      </c>
      <c r="M1211" s="166">
        <f t="shared" si="2"/>
        <v>7.250693597</v>
      </c>
      <c r="N1211" s="167">
        <f t="shared" si="3"/>
        <v>33.3301875</v>
      </c>
      <c r="O1211" s="163">
        <f t="shared" ref="O1211:Q1211" si="1215">rank(I1211,I:I)</f>
        <v>1995</v>
      </c>
      <c r="P1211" s="163">
        <f t="shared" si="1215"/>
        <v>385</v>
      </c>
      <c r="Q1211" s="163">
        <f t="shared" si="1215"/>
        <v>188</v>
      </c>
      <c r="R1211" s="163">
        <f>IFERROR(__xludf.DUMMYFUNCTION("RANK(M1211,filter(M:M,C:C=C1211))"),31.0)</f>
        <v>31</v>
      </c>
      <c r="S1211" s="161" t="b">
        <f t="shared" si="5"/>
        <v>0</v>
      </c>
      <c r="T1211" s="161" t="b">
        <f t="array" ref="T1211">index('Query Tool'!B:B,match(H1211,'Query Tool'!C:C,0))</f>
        <v>1</v>
      </c>
      <c r="U1211" s="161" t="b">
        <f t="array" ref="U1211">index('Query Tool'!B:B,match(C1211,'Query Tool'!C:C,0))</f>
        <v>0</v>
      </c>
      <c r="V1211" s="161" t="b">
        <f>F1211&gt;='Query Tool'!C$32</f>
        <v>1</v>
      </c>
      <c r="W1211" s="161" t="b">
        <f t="array" ref="W1211">index(Dropdowns!B:B,match(I1211,Dropdowns!A:A,0))</f>
        <v>1</v>
      </c>
      <c r="X1211" s="161" t="b">
        <f t="array" ref="X1211">index('Query Tool'!B:B,match(D1211,'Query Tool'!C:C,0))</f>
        <v>1</v>
      </c>
      <c r="Y1211" s="161" t="str">
        <f t="shared" si="6"/>
        <v>thompkl01,2015-16</v>
      </c>
      <c r="Z1211" s="168">
        <f t="array" ref="Z1211">iferror(index(I:I,match($A1211&amp;","&amp;index('Year Conversion'!$A:$A,match($C1211,'Year Conversion'!$B:$B,0)),$Y:$Y,0))-I1211,"")</f>
        <v>1</v>
      </c>
      <c r="AA1211" s="168">
        <f t="array" ref="AA1211">iferror(index(J:J,match($A1211&amp;","&amp;index('Year Conversion'!$A:$A,match($C1211,'Year Conversion'!$B:$B,0)),$Y:$Y,0))-J1211,"")</f>
        <v>-0.1422257367</v>
      </c>
      <c r="AB1211" s="168">
        <f t="array" ref="AB1211">iferror(index(K:K,match($A1211&amp;","&amp;index('Year Conversion'!$A:$A,match($C1211,'Year Conversion'!$B:$B,0)),$Y:$Y,0))-K1211,"")</f>
        <v>0.4109537277</v>
      </c>
      <c r="AC1211" s="168" t="str">
        <f t="shared" si="7"/>
        <v>GSW,2015-16</v>
      </c>
    </row>
    <row r="1212">
      <c r="A1212" s="161" t="str">
        <f>IFERROR(__xludf.DUMMYFUNCTION("""COMPUTED_VALUE"""),"burksal01")</f>
        <v>burksal01</v>
      </c>
      <c r="B1212" s="161" t="str">
        <f>IFERROR(__xludf.DUMMYFUNCTION("""COMPUTED_VALUE"""),"Alec Burks")</f>
        <v>Alec Burks</v>
      </c>
      <c r="C1212" s="162" t="str">
        <f>IFERROR(__xludf.DUMMYFUNCTION("""COMPUTED_VALUE"""),"2015-16")</f>
        <v>2015-16</v>
      </c>
      <c r="D1212" s="163" t="str">
        <f>IFERROR(__xludf.DUMMYFUNCTION("""COMPUTED_VALUE"""),"UTA")</f>
        <v>UTA</v>
      </c>
      <c r="E1212" s="164" t="str">
        <f>IFERROR(__xludf.DUMMYFUNCTION("""COMPUTED_VALUE"""),"Secondary Ball Handler")</f>
        <v>Secondary Ball Handler</v>
      </c>
      <c r="F1212" s="164">
        <f>IFERROR(__xludf.DUMMYFUNCTION("""COMPUTED_VALUE"""),797.273333333333)</f>
        <v>797.2733333</v>
      </c>
      <c r="G1212" s="163">
        <f>IFERROR(__xludf.DUMMYFUNCTION("""COMPUTED_VALUE"""),31.0)</f>
        <v>31</v>
      </c>
      <c r="H1212" s="163" t="str">
        <f>IFERROR(__xludf.DUMMYFUNCTION("""COMPUTED_VALUE"""),"SG")</f>
        <v>SG</v>
      </c>
      <c r="I1212" s="163">
        <f>IFERROR(__xludf.DUMMYFUNCTION("""COMPUTED_VALUE"""),24.0)</f>
        <v>24</v>
      </c>
      <c r="J1212" s="165">
        <f>IFERROR(__xludf.DUMMYFUNCTION("""COMPUTED_VALUE"""),-0.52475165378035)</f>
        <v>-0.5247516538</v>
      </c>
      <c r="K1212" s="165">
        <f>IFERROR(__xludf.DUMMYFUNCTION("""COMPUTED_VALUE"""),-0.252026416261931)</f>
        <v>-0.2520264163</v>
      </c>
      <c r="L1212" s="165">
        <f>IFERROR(__xludf.DUMMYFUNCTION("""COMPUTED_VALUE"""),-0.272725237518419)</f>
        <v>-0.2727252375</v>
      </c>
      <c r="M1212" s="166">
        <f t="shared" si="2"/>
        <v>0.9471764396</v>
      </c>
      <c r="N1212" s="167">
        <f t="shared" si="3"/>
        <v>25.71849462</v>
      </c>
      <c r="O1212" s="163">
        <f t="shared" ref="O1212:Q1212" si="1216">rank(I1212,I:I)</f>
        <v>2361</v>
      </c>
      <c r="P1212" s="163">
        <f t="shared" si="1216"/>
        <v>1889</v>
      </c>
      <c r="Q1212" s="163">
        <f t="shared" si="1216"/>
        <v>1669</v>
      </c>
      <c r="R1212" s="163">
        <f>IFERROR(__xludf.DUMMYFUNCTION("RANK(M1212,filter(M:M,C:C=C1212))"),225.0)</f>
        <v>225</v>
      </c>
      <c r="S1212" s="161" t="b">
        <f t="shared" si="5"/>
        <v>0</v>
      </c>
      <c r="T1212" s="161" t="b">
        <f t="array" ref="T1212">index('Query Tool'!B:B,match(H1212,'Query Tool'!C:C,0))</f>
        <v>1</v>
      </c>
      <c r="U1212" s="161" t="b">
        <f t="array" ref="U1212">index('Query Tool'!B:B,match(C1212,'Query Tool'!C:C,0))</f>
        <v>0</v>
      </c>
      <c r="V1212" s="161" t="b">
        <f>F1212&gt;='Query Tool'!C$32</f>
        <v>1</v>
      </c>
      <c r="W1212" s="161" t="b">
        <f t="array" ref="W1212">index(Dropdowns!B:B,match(I1212,Dropdowns!A:A,0))</f>
        <v>1</v>
      </c>
      <c r="X1212" s="161" t="b">
        <f t="array" ref="X1212">index('Query Tool'!B:B,match(D1212,'Query Tool'!C:C,0))</f>
        <v>1</v>
      </c>
      <c r="Y1212" s="161" t="str">
        <f t="shared" si="6"/>
        <v>burksal01,2015-16</v>
      </c>
      <c r="Z1212" s="168">
        <f t="array" ref="Z1212">iferror(index(I:I,match($A1212&amp;","&amp;index('Year Conversion'!$A:$A,match($C1212,'Year Conversion'!$B:$B,0)),$Y:$Y,0))-I1212,"")</f>
        <v>1</v>
      </c>
      <c r="AA1212" s="168">
        <f t="array" ref="AA1212">iferror(index(J:J,match($A1212&amp;","&amp;index('Year Conversion'!$A:$A,match($C1212,'Year Conversion'!$B:$B,0)),$Y:$Y,0))-J1212,"")</f>
        <v>-0.8784885129</v>
      </c>
      <c r="AB1212" s="168">
        <f t="array" ref="AB1212">iferror(index(K:K,match($A1212&amp;","&amp;index('Year Conversion'!$A:$A,match($C1212,'Year Conversion'!$B:$B,0)),$Y:$Y,0))-K1212,"")</f>
        <v>0.09184951559</v>
      </c>
      <c r="AC1212" s="168" t="str">
        <f t="shared" si="7"/>
        <v>UTA,2015-16</v>
      </c>
    </row>
    <row r="1213">
      <c r="A1213" s="161" t="str">
        <f>IFERROR(__xludf.DUMMYFUNCTION("""COMPUTED_VALUE"""),"morrima02")</f>
        <v>morrima02</v>
      </c>
      <c r="B1213" s="161" t="str">
        <f>IFERROR(__xludf.DUMMYFUNCTION("""COMPUTED_VALUE"""),"Markieff Morris")</f>
        <v>Markieff Morris</v>
      </c>
      <c r="C1213" s="162" t="str">
        <f>IFERROR(__xludf.DUMMYFUNCTION("""COMPUTED_VALUE"""),"2015-16")</f>
        <v>2015-16</v>
      </c>
      <c r="D1213" s="163" t="str">
        <f>IFERROR(__xludf.DUMMYFUNCTION("""COMPUTED_VALUE"""),"TOT")</f>
        <v>TOT</v>
      </c>
      <c r="E1213" s="164" t="str">
        <f>IFERROR(__xludf.DUMMYFUNCTION("""COMPUTED_VALUE"""),"Post Scorer")</f>
        <v>Post Scorer</v>
      </c>
      <c r="F1213" s="164">
        <f>IFERROR(__xludf.DUMMYFUNCTION("""COMPUTED_VALUE"""),1628.875)</f>
        <v>1628.875</v>
      </c>
      <c r="G1213" s="163">
        <f>IFERROR(__xludf.DUMMYFUNCTION("""COMPUTED_VALUE"""),64.0)</f>
        <v>64</v>
      </c>
      <c r="H1213" s="163" t="str">
        <f>IFERROR(__xludf.DUMMYFUNCTION("""COMPUTED_VALUE"""),"PF")</f>
        <v>PF</v>
      </c>
      <c r="I1213" s="163">
        <f>IFERROR(__xludf.DUMMYFUNCTION("""COMPUTED_VALUE"""),26.0)</f>
        <v>26</v>
      </c>
      <c r="J1213" s="165">
        <f>IFERROR(__xludf.DUMMYFUNCTION("""COMPUTED_VALUE"""),-0.585829939938693)</f>
        <v>-0.5858299399</v>
      </c>
      <c r="K1213" s="165">
        <f>IFERROR(__xludf.DUMMYFUNCTION("""COMPUTED_VALUE"""),-1.04024010821936)</f>
        <v>-1.040240108</v>
      </c>
      <c r="L1213" s="165">
        <f>IFERROR(__xludf.DUMMYFUNCTION("""COMPUTED_VALUE"""),0.454410168280664)</f>
        <v>0.4544101683</v>
      </c>
      <c r="M1213" s="166">
        <f t="shared" si="2"/>
        <v>1.868147424</v>
      </c>
      <c r="N1213" s="167">
        <f t="shared" si="3"/>
        <v>25.45117188</v>
      </c>
      <c r="O1213" s="163">
        <f t="shared" ref="O1213:Q1213" si="1217">rank(I1213,I:I)</f>
        <v>1665</v>
      </c>
      <c r="P1213" s="163">
        <f t="shared" si="1217"/>
        <v>1973</v>
      </c>
      <c r="Q1213" s="163">
        <f t="shared" si="1217"/>
        <v>2857</v>
      </c>
      <c r="R1213" s="163">
        <f>IFERROR(__xludf.DUMMYFUNCTION("RANK(M1213,filter(M:M,C:C=C1213))"),162.0)</f>
        <v>162</v>
      </c>
      <c r="S1213" s="161" t="b">
        <f t="shared" si="5"/>
        <v>0</v>
      </c>
      <c r="T1213" s="161" t="b">
        <f t="array" ref="T1213">index('Query Tool'!B:B,match(H1213,'Query Tool'!C:C,0))</f>
        <v>1</v>
      </c>
      <c r="U1213" s="161" t="b">
        <f t="array" ref="U1213">index('Query Tool'!B:B,match(C1213,'Query Tool'!C:C,0))</f>
        <v>0</v>
      </c>
      <c r="V1213" s="161" t="b">
        <f>F1213&gt;='Query Tool'!C$32</f>
        <v>1</v>
      </c>
      <c r="W1213" s="161" t="b">
        <f t="array" ref="W1213">index(Dropdowns!B:B,match(I1213,Dropdowns!A:A,0))</f>
        <v>1</v>
      </c>
      <c r="X1213" s="161" t="b">
        <f t="array" ref="X1213">index('Query Tool'!B:B,match(D1213,'Query Tool'!C:C,0))</f>
        <v>1</v>
      </c>
      <c r="Y1213" s="161" t="str">
        <f t="shared" si="6"/>
        <v>morrima02,2015-16</v>
      </c>
      <c r="Z1213" s="168">
        <f t="array" ref="Z1213">iferror(index(I:I,match($A1213&amp;","&amp;index('Year Conversion'!$A:$A,match($C1213,'Year Conversion'!$B:$B,0)),$Y:$Y,0))-I1213,"")</f>
        <v>1</v>
      </c>
      <c r="AA1213" s="168">
        <f t="array" ref="AA1213">iferror(index(J:J,match($A1213&amp;","&amp;index('Year Conversion'!$A:$A,match($C1213,'Year Conversion'!$B:$B,0)),$Y:$Y,0))-J1213,"")</f>
        <v>0.9099322772</v>
      </c>
      <c r="AB1213" s="168">
        <f t="array" ref="AB1213">iferror(index(K:K,match($A1213&amp;","&amp;index('Year Conversion'!$A:$A,match($C1213,'Year Conversion'!$B:$B,0)),$Y:$Y,0))-K1213,"")</f>
        <v>-0.2315541464</v>
      </c>
      <c r="AC1213" s="168" t="str">
        <f t="shared" si="7"/>
        <v>TOT,2015-16</v>
      </c>
    </row>
    <row r="1214">
      <c r="A1214" s="161" t="str">
        <f>IFERROR(__xludf.DUMMYFUNCTION("""COMPUTED_VALUE"""),"morrima03")</f>
        <v>morrima03</v>
      </c>
      <c r="B1214" s="161" t="str">
        <f>IFERROR(__xludf.DUMMYFUNCTION("""COMPUTED_VALUE"""),"Marcus Morris Sr.")</f>
        <v>Marcus Morris Sr.</v>
      </c>
      <c r="C1214" s="162" t="str">
        <f>IFERROR(__xludf.DUMMYFUNCTION("""COMPUTED_VALUE"""),"2015-16")</f>
        <v>2015-16</v>
      </c>
      <c r="D1214" s="163" t="str">
        <f>IFERROR(__xludf.DUMMYFUNCTION("""COMPUTED_VALUE"""),"DET")</f>
        <v>DET</v>
      </c>
      <c r="E1214" s="164" t="str">
        <f>IFERROR(__xludf.DUMMYFUNCTION("""COMPUTED_VALUE"""),"Shot Creator")</f>
        <v>Shot Creator</v>
      </c>
      <c r="F1214" s="164">
        <f>IFERROR(__xludf.DUMMYFUNCTION("""COMPUTED_VALUE"""),2856.45166666667)</f>
        <v>2856.451667</v>
      </c>
      <c r="G1214" s="163">
        <f>IFERROR(__xludf.DUMMYFUNCTION("""COMPUTED_VALUE"""),80.0)</f>
        <v>80</v>
      </c>
      <c r="H1214" s="163" t="str">
        <f>IFERROR(__xludf.DUMMYFUNCTION("""COMPUTED_VALUE"""),"SF")</f>
        <v>SF</v>
      </c>
      <c r="I1214" s="163">
        <f>IFERROR(__xludf.DUMMYFUNCTION("""COMPUTED_VALUE"""),26.0)</f>
        <v>26</v>
      </c>
      <c r="J1214" s="165">
        <f>IFERROR(__xludf.DUMMYFUNCTION("""COMPUTED_VALUE"""),0.272148603746606)</f>
        <v>0.2721486037</v>
      </c>
      <c r="K1214" s="165">
        <f>IFERROR(__xludf.DUMMYFUNCTION("""COMPUTED_VALUE"""),-0.277047037250584)</f>
        <v>-0.2770470373</v>
      </c>
      <c r="L1214" s="165">
        <f>IFERROR(__xludf.DUMMYFUNCTION("""COMPUTED_VALUE"""),0.54919564099719)</f>
        <v>0.549195641</v>
      </c>
      <c r="M1214" s="166">
        <f t="shared" si="2"/>
        <v>4.92774363</v>
      </c>
      <c r="N1214" s="167">
        <f t="shared" si="3"/>
        <v>35.70564583</v>
      </c>
      <c r="O1214" s="163">
        <f t="shared" ref="O1214:Q1214" si="1218">rank(I1214,I:I)</f>
        <v>1665</v>
      </c>
      <c r="P1214" s="163">
        <f t="shared" si="1218"/>
        <v>1040</v>
      </c>
      <c r="Q1214" s="163">
        <f t="shared" si="1218"/>
        <v>1719</v>
      </c>
      <c r="R1214" s="163">
        <f>IFERROR(__xludf.DUMMYFUNCTION("RANK(M1214,filter(M:M,C:C=C1214))"),66.0)</f>
        <v>66</v>
      </c>
      <c r="S1214" s="161" t="b">
        <f t="shared" si="5"/>
        <v>0</v>
      </c>
      <c r="T1214" s="161" t="b">
        <f t="array" ref="T1214">index('Query Tool'!B:B,match(H1214,'Query Tool'!C:C,0))</f>
        <v>1</v>
      </c>
      <c r="U1214" s="161" t="b">
        <f t="array" ref="U1214">index('Query Tool'!B:B,match(C1214,'Query Tool'!C:C,0))</f>
        <v>0</v>
      </c>
      <c r="V1214" s="161" t="b">
        <f>F1214&gt;='Query Tool'!C$32</f>
        <v>1</v>
      </c>
      <c r="W1214" s="161" t="b">
        <f t="array" ref="W1214">index(Dropdowns!B:B,match(I1214,Dropdowns!A:A,0))</f>
        <v>1</v>
      </c>
      <c r="X1214" s="161" t="b">
        <f t="array" ref="X1214">index('Query Tool'!B:B,match(D1214,'Query Tool'!C:C,0))</f>
        <v>1</v>
      </c>
      <c r="Y1214" s="161" t="str">
        <f t="shared" si="6"/>
        <v>morrima03,2015-16</v>
      </c>
      <c r="Z1214" s="168">
        <f t="array" ref="Z1214">iferror(index(I:I,match($A1214&amp;","&amp;index('Year Conversion'!$A:$A,match($C1214,'Year Conversion'!$B:$B,0)),$Y:$Y,0))-I1214,"")</f>
        <v>1</v>
      </c>
      <c r="AA1214" s="168">
        <f t="array" ref="AA1214">iferror(index(J:J,match($A1214&amp;","&amp;index('Year Conversion'!$A:$A,match($C1214,'Year Conversion'!$B:$B,0)),$Y:$Y,0))-J1214,"")</f>
        <v>-1.110239865</v>
      </c>
      <c r="AB1214" s="168">
        <f t="array" ref="AB1214">iferror(index(K:K,match($A1214&amp;","&amp;index('Year Conversion'!$A:$A,match($C1214,'Year Conversion'!$B:$B,0)),$Y:$Y,0))-K1214,"")</f>
        <v>-0.6044436933</v>
      </c>
      <c r="AC1214" s="168" t="str">
        <f t="shared" si="7"/>
        <v>DET,2015-16</v>
      </c>
    </row>
    <row r="1215">
      <c r="A1215" s="161" t="str">
        <f>IFERROR(__xludf.DUMMYFUNCTION("""COMPUTED_VALUE"""),"leonaka01")</f>
        <v>leonaka01</v>
      </c>
      <c r="B1215" s="161" t="str">
        <f>IFERROR(__xludf.DUMMYFUNCTION("""COMPUTED_VALUE"""),"Kawhi Leonard")</f>
        <v>Kawhi Leonard</v>
      </c>
      <c r="C1215" s="162" t="str">
        <f>IFERROR(__xludf.DUMMYFUNCTION("""COMPUTED_VALUE"""),"2015-16")</f>
        <v>2015-16</v>
      </c>
      <c r="D1215" s="163" t="str">
        <f>IFERROR(__xludf.DUMMYFUNCTION("""COMPUTED_VALUE"""),"SAS")</f>
        <v>SAS</v>
      </c>
      <c r="E1215" s="164" t="str">
        <f>IFERROR(__xludf.DUMMYFUNCTION("""COMPUTED_VALUE"""),"Shot Creator")</f>
        <v>Shot Creator</v>
      </c>
      <c r="F1215" s="164">
        <f>IFERROR(__xludf.DUMMYFUNCTION("""COMPUTED_VALUE"""),2379.56333333333)</f>
        <v>2379.563333</v>
      </c>
      <c r="G1215" s="163">
        <f>IFERROR(__xludf.DUMMYFUNCTION("""COMPUTED_VALUE"""),72.0)</f>
        <v>72</v>
      </c>
      <c r="H1215" s="163" t="str">
        <f>IFERROR(__xludf.DUMMYFUNCTION("""COMPUTED_VALUE"""),"SF")</f>
        <v>SF</v>
      </c>
      <c r="I1215" s="163">
        <f>IFERROR(__xludf.DUMMYFUNCTION("""COMPUTED_VALUE"""),24.0)</f>
        <v>24</v>
      </c>
      <c r="J1215" s="165">
        <f>IFERROR(__xludf.DUMMYFUNCTION("""COMPUTED_VALUE"""),5.90105307142943)</f>
        <v>5.901053071</v>
      </c>
      <c r="K1215" s="165">
        <f>IFERROR(__xludf.DUMMYFUNCTION("""COMPUTED_VALUE"""),2.56047790085072)</f>
        <v>2.560477901</v>
      </c>
      <c r="L1215" s="165">
        <f>IFERROR(__xludf.DUMMYFUNCTION("""COMPUTED_VALUE"""),3.34057517057871)</f>
        <v>3.340575171</v>
      </c>
      <c r="M1215" s="166">
        <f t="shared" si="2"/>
        <v>12.70251041</v>
      </c>
      <c r="N1215" s="167">
        <f t="shared" si="3"/>
        <v>33.04949074</v>
      </c>
      <c r="O1215" s="163">
        <f t="shared" ref="O1215:Q1215" si="1219">rank(I1215,I:I)</f>
        <v>2361</v>
      </c>
      <c r="P1215" s="163">
        <f t="shared" si="1219"/>
        <v>20</v>
      </c>
      <c r="Q1215" s="163">
        <f t="shared" si="1219"/>
        <v>152</v>
      </c>
      <c r="R1215" s="163">
        <f>IFERROR(__xludf.DUMMYFUNCTION("RANK(M1215,filter(M:M,C:C=C1215))"),8.0)</f>
        <v>8</v>
      </c>
      <c r="S1215" s="161" t="b">
        <f t="shared" si="5"/>
        <v>0</v>
      </c>
      <c r="T1215" s="161" t="b">
        <f t="array" ref="T1215">index('Query Tool'!B:B,match(H1215,'Query Tool'!C:C,0))</f>
        <v>1</v>
      </c>
      <c r="U1215" s="161" t="b">
        <f t="array" ref="U1215">index('Query Tool'!B:B,match(C1215,'Query Tool'!C:C,0))</f>
        <v>0</v>
      </c>
      <c r="V1215" s="161" t="b">
        <f>F1215&gt;='Query Tool'!C$32</f>
        <v>1</v>
      </c>
      <c r="W1215" s="161" t="b">
        <f t="array" ref="W1215">index(Dropdowns!B:B,match(I1215,Dropdowns!A:A,0))</f>
        <v>1</v>
      </c>
      <c r="X1215" s="161" t="b">
        <f t="array" ref="X1215">index('Query Tool'!B:B,match(D1215,'Query Tool'!C:C,0))</f>
        <v>1</v>
      </c>
      <c r="Y1215" s="161" t="str">
        <f t="shared" si="6"/>
        <v>leonaka01,2015-16</v>
      </c>
      <c r="Z1215" s="168">
        <f t="array" ref="Z1215">iferror(index(I:I,match($A1215&amp;","&amp;index('Year Conversion'!$A:$A,match($C1215,'Year Conversion'!$B:$B,0)),$Y:$Y,0))-I1215,"")</f>
        <v>1</v>
      </c>
      <c r="AA1215" s="168">
        <f t="array" ref="AA1215">iferror(index(J:J,match($A1215&amp;","&amp;index('Year Conversion'!$A:$A,match($C1215,'Year Conversion'!$B:$B,0)),$Y:$Y,0))-J1215,"")</f>
        <v>0.1200641053</v>
      </c>
      <c r="AB1215" s="168">
        <f t="array" ref="AB1215">iferror(index(K:K,match($A1215&amp;","&amp;index('Year Conversion'!$A:$A,match($C1215,'Year Conversion'!$B:$B,0)),$Y:$Y,0))-K1215,"")</f>
        <v>2.199630252</v>
      </c>
      <c r="AC1215" s="168" t="str">
        <f t="shared" si="7"/>
        <v>SAS,2015-16</v>
      </c>
    </row>
    <row r="1216">
      <c r="A1216" s="161" t="str">
        <f>IFERROR(__xludf.DUMMYFUNCTION("""COMPUTED_VALUE"""),"vucevni01")</f>
        <v>vucevni01</v>
      </c>
      <c r="B1216" s="161" t="str">
        <f>IFERROR(__xludf.DUMMYFUNCTION("""COMPUTED_VALUE"""),"Nikola Vucevic")</f>
        <v>Nikola Vucevic</v>
      </c>
      <c r="C1216" s="162" t="str">
        <f>IFERROR(__xludf.DUMMYFUNCTION("""COMPUTED_VALUE"""),"2015-16")</f>
        <v>2015-16</v>
      </c>
      <c r="D1216" s="163" t="str">
        <f>IFERROR(__xludf.DUMMYFUNCTION("""COMPUTED_VALUE"""),"ORL")</f>
        <v>ORL</v>
      </c>
      <c r="E1216" s="164" t="str">
        <f>IFERROR(__xludf.DUMMYFUNCTION("""COMPUTED_VALUE"""),"Post Scorer")</f>
        <v>Post Scorer</v>
      </c>
      <c r="F1216" s="164">
        <f>IFERROR(__xludf.DUMMYFUNCTION("""COMPUTED_VALUE"""),2036.82166666667)</f>
        <v>2036.821667</v>
      </c>
      <c r="G1216" s="163">
        <f>IFERROR(__xludf.DUMMYFUNCTION("""COMPUTED_VALUE"""),65.0)</f>
        <v>65</v>
      </c>
      <c r="H1216" s="163" t="str">
        <f>IFERROR(__xludf.DUMMYFUNCTION("""COMPUTED_VALUE"""),"C")</f>
        <v>C</v>
      </c>
      <c r="I1216" s="163">
        <f>IFERROR(__xludf.DUMMYFUNCTION("""COMPUTED_VALUE"""),25.0)</f>
        <v>25</v>
      </c>
      <c r="J1216" s="165">
        <f>IFERROR(__xludf.DUMMYFUNCTION("""COMPUTED_VALUE"""),0.781241802530803)</f>
        <v>0.7812418025</v>
      </c>
      <c r="K1216" s="165">
        <f>IFERROR(__xludf.DUMMYFUNCTION("""COMPUTED_VALUE"""),0.111990180438688)</f>
        <v>0.1119901804</v>
      </c>
      <c r="L1216" s="165">
        <f>IFERROR(__xludf.DUMMYFUNCTION("""COMPUTED_VALUE"""),0.669251622092115)</f>
        <v>0.6692516221</v>
      </c>
      <c r="M1216" s="166">
        <f t="shared" si="2"/>
        <v>4.211996092</v>
      </c>
      <c r="N1216" s="167">
        <f t="shared" si="3"/>
        <v>31.33571795</v>
      </c>
      <c r="O1216" s="163">
        <f t="shared" ref="O1216:Q1216" si="1220">rank(I1216,I:I)</f>
        <v>1995</v>
      </c>
      <c r="P1216" s="163">
        <f t="shared" si="1220"/>
        <v>755</v>
      </c>
      <c r="Q1216" s="163">
        <f t="shared" si="1220"/>
        <v>1056</v>
      </c>
      <c r="R1216" s="163">
        <f>IFERROR(__xludf.DUMMYFUNCTION("RANK(M1216,filter(M:M,C:C=C1216))"),80.0)</f>
        <v>80</v>
      </c>
      <c r="S1216" s="161" t="b">
        <f t="shared" si="5"/>
        <v>0</v>
      </c>
      <c r="T1216" s="161" t="b">
        <f t="array" ref="T1216">index('Query Tool'!B:B,match(H1216,'Query Tool'!C:C,0))</f>
        <v>1</v>
      </c>
      <c r="U1216" s="161" t="b">
        <f t="array" ref="U1216">index('Query Tool'!B:B,match(C1216,'Query Tool'!C:C,0))</f>
        <v>0</v>
      </c>
      <c r="V1216" s="161" t="b">
        <f>F1216&gt;='Query Tool'!C$32</f>
        <v>1</v>
      </c>
      <c r="W1216" s="161" t="b">
        <f t="array" ref="W1216">index(Dropdowns!B:B,match(I1216,Dropdowns!A:A,0))</f>
        <v>1</v>
      </c>
      <c r="X1216" s="161" t="b">
        <f t="array" ref="X1216">index('Query Tool'!B:B,match(D1216,'Query Tool'!C:C,0))</f>
        <v>1</v>
      </c>
      <c r="Y1216" s="161" t="str">
        <f t="shared" si="6"/>
        <v>vucevni01,2015-16</v>
      </c>
      <c r="Z1216" s="168">
        <f t="array" ref="Z1216">iferror(index(I:I,match($A1216&amp;","&amp;index('Year Conversion'!$A:$A,match($C1216,'Year Conversion'!$B:$B,0)),$Y:$Y,0))-I1216,"")</f>
        <v>1</v>
      </c>
      <c r="AA1216" s="168">
        <f t="array" ref="AA1216">iferror(index(J:J,match($A1216&amp;","&amp;index('Year Conversion'!$A:$A,match($C1216,'Year Conversion'!$B:$B,0)),$Y:$Y,0))-J1216,"")</f>
        <v>-0.6504149205</v>
      </c>
      <c r="AB1216" s="168">
        <f t="array" ref="AB1216">iferror(index(K:K,match($A1216&amp;","&amp;index('Year Conversion'!$A:$A,match($C1216,'Year Conversion'!$B:$B,0)),$Y:$Y,0))-K1216,"")</f>
        <v>-1.169677699</v>
      </c>
      <c r="AC1216" s="168" t="str">
        <f t="shared" si="7"/>
        <v>ORL,2015-16</v>
      </c>
    </row>
    <row r="1217">
      <c r="A1217" s="161" t="str">
        <f>IFERROR(__xludf.DUMMYFUNCTION("""COMPUTED_VALUE"""),"shumpim01")</f>
        <v>shumpim01</v>
      </c>
      <c r="B1217" s="161" t="str">
        <f>IFERROR(__xludf.DUMMYFUNCTION("""COMPUTED_VALUE"""),"Iman Shumpert")</f>
        <v>Iman Shumpert</v>
      </c>
      <c r="C1217" s="162" t="str">
        <f>IFERROR(__xludf.DUMMYFUNCTION("""COMPUTED_VALUE"""),"2015-16")</f>
        <v>2015-16</v>
      </c>
      <c r="D1217" s="163" t="str">
        <f>IFERROR(__xludf.DUMMYFUNCTION("""COMPUTED_VALUE"""),"CLE")</f>
        <v>CLE</v>
      </c>
      <c r="E1217" s="164" t="str">
        <f>IFERROR(__xludf.DUMMYFUNCTION("""COMPUTED_VALUE"""),"Stationary Shooter")</f>
        <v>Stationary Shooter</v>
      </c>
      <c r="F1217" s="164">
        <f>IFERROR(__xludf.DUMMYFUNCTION("""COMPUTED_VALUE"""),1316.33)</f>
        <v>1316.33</v>
      </c>
      <c r="G1217" s="163">
        <f>IFERROR(__xludf.DUMMYFUNCTION("""COMPUTED_VALUE"""),54.0)</f>
        <v>54</v>
      </c>
      <c r="H1217" s="163" t="str">
        <f>IFERROR(__xludf.DUMMYFUNCTION("""COMPUTED_VALUE"""),"SG")</f>
        <v>SG</v>
      </c>
      <c r="I1217" s="163">
        <f>IFERROR(__xludf.DUMMYFUNCTION("""COMPUTED_VALUE"""),25.0)</f>
        <v>25</v>
      </c>
      <c r="J1217" s="165">
        <f>IFERROR(__xludf.DUMMYFUNCTION("""COMPUTED_VALUE"""),-0.0349054585553386)</f>
        <v>-0.03490545856</v>
      </c>
      <c r="K1217" s="165">
        <f>IFERROR(__xludf.DUMMYFUNCTION("""COMPUTED_VALUE"""),-0.478437492999773)</f>
        <v>-0.478437493</v>
      </c>
      <c r="L1217" s="165">
        <f>IFERROR(__xludf.DUMMYFUNCTION("""COMPUTED_VALUE"""),0.443532034444434)</f>
        <v>0.4435320344</v>
      </c>
      <c r="M1217" s="166">
        <f t="shared" si="2"/>
        <v>1.998365067</v>
      </c>
      <c r="N1217" s="167">
        <f t="shared" si="3"/>
        <v>24.37648148</v>
      </c>
      <c r="O1217" s="163">
        <f t="shared" ref="O1217:Q1217" si="1221">rank(I1217,I:I)</f>
        <v>1995</v>
      </c>
      <c r="P1217" s="163">
        <f t="shared" si="1221"/>
        <v>1322</v>
      </c>
      <c r="Q1217" s="163">
        <f t="shared" si="1221"/>
        <v>2081</v>
      </c>
      <c r="R1217" s="163">
        <f>IFERROR(__xludf.DUMMYFUNCTION("RANK(M1217,filter(M:M,C:C=C1217))"),158.0)</f>
        <v>158</v>
      </c>
      <c r="S1217" s="161" t="b">
        <f t="shared" si="5"/>
        <v>0</v>
      </c>
      <c r="T1217" s="161" t="b">
        <f t="array" ref="T1217">index('Query Tool'!B:B,match(H1217,'Query Tool'!C:C,0))</f>
        <v>1</v>
      </c>
      <c r="U1217" s="161" t="b">
        <f t="array" ref="U1217">index('Query Tool'!B:B,match(C1217,'Query Tool'!C:C,0))</f>
        <v>0</v>
      </c>
      <c r="V1217" s="161" t="b">
        <f>F1217&gt;='Query Tool'!C$32</f>
        <v>1</v>
      </c>
      <c r="W1217" s="161" t="b">
        <f t="array" ref="W1217">index(Dropdowns!B:B,match(I1217,Dropdowns!A:A,0))</f>
        <v>1</v>
      </c>
      <c r="X1217" s="161" t="b">
        <f t="array" ref="X1217">index('Query Tool'!B:B,match(D1217,'Query Tool'!C:C,0))</f>
        <v>1</v>
      </c>
      <c r="Y1217" s="161" t="str">
        <f t="shared" si="6"/>
        <v>shumpim01,2015-16</v>
      </c>
      <c r="Z1217" s="168">
        <f t="array" ref="Z1217">iferror(index(I:I,match($A1217&amp;","&amp;index('Year Conversion'!$A:$A,match($C1217,'Year Conversion'!$B:$B,0)),$Y:$Y,0))-I1217,"")</f>
        <v>1</v>
      </c>
      <c r="AA1217" s="168">
        <f t="array" ref="AA1217">iferror(index(J:J,match($A1217&amp;","&amp;index('Year Conversion'!$A:$A,match($C1217,'Year Conversion'!$B:$B,0)),$Y:$Y,0))-J1217,"")</f>
        <v>-1.669738611</v>
      </c>
      <c r="AB1217" s="168">
        <f t="array" ref="AB1217">iferror(index(K:K,match($A1217&amp;","&amp;index('Year Conversion'!$A:$A,match($C1217,'Year Conversion'!$B:$B,0)),$Y:$Y,0))-K1217,"")</f>
        <v>-0.5645054585</v>
      </c>
      <c r="AC1217" s="168" t="str">
        <f t="shared" si="7"/>
        <v>CLE,2015-16</v>
      </c>
    </row>
    <row r="1218">
      <c r="A1218" s="161" t="str">
        <f>IFERROR(__xludf.DUMMYFUNCTION("""COMPUTED_VALUE"""),"harrito02")</f>
        <v>harrito02</v>
      </c>
      <c r="B1218" s="161" t="str">
        <f>IFERROR(__xludf.DUMMYFUNCTION("""COMPUTED_VALUE"""),"Tobias Harris")</f>
        <v>Tobias Harris</v>
      </c>
      <c r="C1218" s="162" t="str">
        <f>IFERROR(__xludf.DUMMYFUNCTION("""COMPUTED_VALUE"""),"2015-16")</f>
        <v>2015-16</v>
      </c>
      <c r="D1218" s="163" t="str">
        <f>IFERROR(__xludf.DUMMYFUNCTION("""COMPUTED_VALUE"""),"TOT")</f>
        <v>TOT</v>
      </c>
      <c r="E1218" s="164" t="str">
        <f>IFERROR(__xludf.DUMMYFUNCTION("""COMPUTED_VALUE"""),"Shot Creator")</f>
        <v>Shot Creator</v>
      </c>
      <c r="F1218" s="164">
        <f>IFERROR(__xludf.DUMMYFUNCTION("""COMPUTED_VALUE"""),2513.395)</f>
        <v>2513.395</v>
      </c>
      <c r="G1218" s="163">
        <f>IFERROR(__xludf.DUMMYFUNCTION("""COMPUTED_VALUE"""),76.0)</f>
        <v>76</v>
      </c>
      <c r="H1218" s="163" t="str">
        <f>IFERROR(__xludf.DUMMYFUNCTION("""COMPUTED_VALUE"""),"PF")</f>
        <v>PF</v>
      </c>
      <c r="I1218" s="163">
        <f>IFERROR(__xludf.DUMMYFUNCTION("""COMPUTED_VALUE"""),23.0)</f>
        <v>23</v>
      </c>
      <c r="J1218" s="165">
        <f>IFERROR(__xludf.DUMMYFUNCTION("""COMPUTED_VALUE"""),-0.00985611122534658)</f>
        <v>-0.009856111225</v>
      </c>
      <c r="K1218" s="165">
        <f>IFERROR(__xludf.DUMMYFUNCTION("""COMPUTED_VALUE"""),-0.384136465347627)</f>
        <v>-0.3841364653</v>
      </c>
      <c r="L1218" s="165">
        <f>IFERROR(__xludf.DUMMYFUNCTION("""COMPUTED_VALUE"""),0.374280354122281)</f>
        <v>0.3742803541</v>
      </c>
      <c r="M1218" s="166">
        <f t="shared" si="2"/>
        <v>3.858116061</v>
      </c>
      <c r="N1218" s="167">
        <f t="shared" si="3"/>
        <v>33.07098684</v>
      </c>
      <c r="O1218" s="163">
        <f t="shared" ref="O1218:Q1218" si="1222">rank(I1218,I:I)</f>
        <v>2765</v>
      </c>
      <c r="P1218" s="163">
        <f t="shared" si="1222"/>
        <v>1297</v>
      </c>
      <c r="Q1218" s="163">
        <f t="shared" si="1222"/>
        <v>1921</v>
      </c>
      <c r="R1218" s="163">
        <f>IFERROR(__xludf.DUMMYFUNCTION("RANK(M1218,filter(M:M,C:C=C1218))"),90.0)</f>
        <v>90</v>
      </c>
      <c r="S1218" s="161" t="b">
        <f t="shared" si="5"/>
        <v>0</v>
      </c>
      <c r="T1218" s="161" t="b">
        <f t="array" ref="T1218">index('Query Tool'!B:B,match(H1218,'Query Tool'!C:C,0))</f>
        <v>1</v>
      </c>
      <c r="U1218" s="161" t="b">
        <f t="array" ref="U1218">index('Query Tool'!B:B,match(C1218,'Query Tool'!C:C,0))</f>
        <v>0</v>
      </c>
      <c r="V1218" s="161" t="b">
        <f>F1218&gt;='Query Tool'!C$32</f>
        <v>1</v>
      </c>
      <c r="W1218" s="161" t="b">
        <f t="array" ref="W1218">index(Dropdowns!B:B,match(I1218,Dropdowns!A:A,0))</f>
        <v>1</v>
      </c>
      <c r="X1218" s="161" t="b">
        <f t="array" ref="X1218">index('Query Tool'!B:B,match(D1218,'Query Tool'!C:C,0))</f>
        <v>1</v>
      </c>
      <c r="Y1218" s="161" t="str">
        <f t="shared" si="6"/>
        <v>harrito02,2015-16</v>
      </c>
      <c r="Z1218" s="168">
        <f t="array" ref="Z1218">iferror(index(I:I,match($A1218&amp;","&amp;index('Year Conversion'!$A:$A,match($C1218,'Year Conversion'!$B:$B,0)),$Y:$Y,0))-I1218,"")</f>
        <v>1</v>
      </c>
      <c r="AA1218" s="168">
        <f t="array" ref="AA1218">iferror(index(J:J,match($A1218&amp;","&amp;index('Year Conversion'!$A:$A,match($C1218,'Year Conversion'!$B:$B,0)),$Y:$Y,0))-J1218,"")</f>
        <v>0.3282552312</v>
      </c>
      <c r="AB1218" s="168">
        <f t="array" ref="AB1218">iferror(index(K:K,match($A1218&amp;","&amp;index('Year Conversion'!$A:$A,match($C1218,'Year Conversion'!$B:$B,0)),$Y:$Y,0))-K1218,"")</f>
        <v>0.4939543791</v>
      </c>
      <c r="AC1218" s="168" t="str">
        <f t="shared" si="7"/>
        <v>TOT,2015-16</v>
      </c>
    </row>
    <row r="1219">
      <c r="A1219" s="161" t="str">
        <f>IFERROR(__xludf.DUMMYFUNCTION("""COMPUTED_VALUE"""),"motiedo01")</f>
        <v>motiedo01</v>
      </c>
      <c r="B1219" s="161" t="str">
        <f>IFERROR(__xludf.DUMMYFUNCTION("""COMPUTED_VALUE"""),"Donatas Motiejunas")</f>
        <v>Donatas Motiejunas</v>
      </c>
      <c r="C1219" s="162" t="str">
        <f>IFERROR(__xludf.DUMMYFUNCTION("""COMPUTED_VALUE"""),"2015-16")</f>
        <v>2015-16</v>
      </c>
      <c r="D1219" s="163" t="str">
        <f>IFERROR(__xludf.DUMMYFUNCTION("""COMPUTED_VALUE"""),"HOU")</f>
        <v>HOU</v>
      </c>
      <c r="E1219" s="164" t="str">
        <f>IFERROR(__xludf.DUMMYFUNCTION("""COMPUTED_VALUE"""),"Versatile Big")</f>
        <v>Versatile Big</v>
      </c>
      <c r="F1219" s="164">
        <f>IFERROR(__xludf.DUMMYFUNCTION("""COMPUTED_VALUE"""),546.693333333333)</f>
        <v>546.6933333</v>
      </c>
      <c r="G1219" s="163">
        <f>IFERROR(__xludf.DUMMYFUNCTION("""COMPUTED_VALUE"""),37.0)</f>
        <v>37</v>
      </c>
      <c r="H1219" s="163" t="str">
        <f>IFERROR(__xludf.DUMMYFUNCTION("""COMPUTED_VALUE"""),"PF")</f>
        <v>PF</v>
      </c>
      <c r="I1219" s="163">
        <f>IFERROR(__xludf.DUMMYFUNCTION("""COMPUTED_VALUE"""),25.0)</f>
        <v>25</v>
      </c>
      <c r="J1219" s="165">
        <f>IFERROR(__xludf.DUMMYFUNCTION("""COMPUTED_VALUE"""),-1.96667045624798)</f>
        <v>-1.966670456</v>
      </c>
      <c r="K1219" s="165">
        <f>IFERROR(__xludf.DUMMYFUNCTION("""COMPUTED_VALUE"""),-1.16497566258258)</f>
        <v>-1.164975663</v>
      </c>
      <c r="L1219" s="165">
        <f>IFERROR(__xludf.DUMMYFUNCTION("""COMPUTED_VALUE"""),-0.801694793665404)</f>
        <v>-0.8016947937</v>
      </c>
      <c r="M1219" s="166">
        <f t="shared" si="2"/>
        <v>0.1218230284</v>
      </c>
      <c r="N1219" s="167">
        <f t="shared" si="3"/>
        <v>14.7754955</v>
      </c>
      <c r="O1219" s="163">
        <f t="shared" ref="O1219:Q1219" si="1223">rank(I1219,I:I)</f>
        <v>1995</v>
      </c>
      <c r="P1219" s="163">
        <f t="shared" si="1223"/>
        <v>3454</v>
      </c>
      <c r="Q1219" s="163">
        <f t="shared" si="1223"/>
        <v>3002</v>
      </c>
      <c r="R1219" s="163">
        <f>IFERROR(__xludf.DUMMYFUNCTION("RANK(M1219,filter(M:M,C:C=C1219))"),362.0)</f>
        <v>362</v>
      </c>
      <c r="S1219" s="161" t="b">
        <f t="shared" si="5"/>
        <v>0</v>
      </c>
      <c r="T1219" s="161" t="b">
        <f t="array" ref="T1219">index('Query Tool'!B:B,match(H1219,'Query Tool'!C:C,0))</f>
        <v>1</v>
      </c>
      <c r="U1219" s="161" t="b">
        <f t="array" ref="U1219">index('Query Tool'!B:B,match(C1219,'Query Tool'!C:C,0))</f>
        <v>0</v>
      </c>
      <c r="V1219" s="161" t="b">
        <f>F1219&gt;='Query Tool'!C$32</f>
        <v>1</v>
      </c>
      <c r="W1219" s="161" t="b">
        <f t="array" ref="W1219">index(Dropdowns!B:B,match(I1219,Dropdowns!A:A,0))</f>
        <v>1</v>
      </c>
      <c r="X1219" s="161" t="b">
        <f t="array" ref="X1219">index('Query Tool'!B:B,match(D1219,'Query Tool'!C:C,0))</f>
        <v>1</v>
      </c>
      <c r="Y1219" s="161" t="str">
        <f t="shared" si="6"/>
        <v>motiedo01,2015-16</v>
      </c>
      <c r="Z1219" s="168">
        <f t="array" ref="Z1219">iferror(index(I:I,match($A1219&amp;","&amp;index('Year Conversion'!$A:$A,match($C1219,'Year Conversion'!$B:$B,0)),$Y:$Y,0))-I1219,"")</f>
        <v>1</v>
      </c>
      <c r="AA1219" s="168">
        <f t="array" ref="AA1219">iferror(index(J:J,match($A1219&amp;","&amp;index('Year Conversion'!$A:$A,match($C1219,'Year Conversion'!$B:$B,0)),$Y:$Y,0))-J1219,"")</f>
        <v>0.3920302493</v>
      </c>
      <c r="AB1219" s="168">
        <f t="array" ref="AB1219">iferror(index(K:K,match($A1219&amp;","&amp;index('Year Conversion'!$A:$A,match($C1219,'Year Conversion'!$B:$B,0)),$Y:$Y,0))-K1219,"")</f>
        <v>-0.2236933789</v>
      </c>
      <c r="AC1219" s="168" t="str">
        <f t="shared" si="7"/>
        <v>HOU,2015-16</v>
      </c>
    </row>
    <row r="1220">
      <c r="A1220" s="161" t="str">
        <f>IFERROR(__xludf.DUMMYFUNCTION("""COMPUTED_VALUE"""),"farieke01")</f>
        <v>farieke01</v>
      </c>
      <c r="B1220" s="161" t="str">
        <f>IFERROR(__xludf.DUMMYFUNCTION("""COMPUTED_VALUE"""),"Kenneth Faried")</f>
        <v>Kenneth Faried</v>
      </c>
      <c r="C1220" s="162" t="str">
        <f>IFERROR(__xludf.DUMMYFUNCTION("""COMPUTED_VALUE"""),"2015-16")</f>
        <v>2015-16</v>
      </c>
      <c r="D1220" s="163" t="str">
        <f>IFERROR(__xludf.DUMMYFUNCTION("""COMPUTED_VALUE"""),"DEN")</f>
        <v>DEN</v>
      </c>
      <c r="E1220" s="164" t="str">
        <f>IFERROR(__xludf.DUMMYFUNCTION("""COMPUTED_VALUE"""),"Roll + Cut Big")</f>
        <v>Roll + Cut Big</v>
      </c>
      <c r="F1220" s="164">
        <f>IFERROR(__xludf.DUMMYFUNCTION("""COMPUTED_VALUE"""),1694.45166666667)</f>
        <v>1694.451667</v>
      </c>
      <c r="G1220" s="163">
        <f>IFERROR(__xludf.DUMMYFUNCTION("""COMPUTED_VALUE"""),67.0)</f>
        <v>67</v>
      </c>
      <c r="H1220" s="163" t="str">
        <f>IFERROR(__xludf.DUMMYFUNCTION("""COMPUTED_VALUE"""),"PF")</f>
        <v>PF</v>
      </c>
      <c r="I1220" s="163">
        <f>IFERROR(__xludf.DUMMYFUNCTION("""COMPUTED_VALUE"""),26.0)</f>
        <v>26</v>
      </c>
      <c r="J1220" s="165">
        <f>IFERROR(__xludf.DUMMYFUNCTION("""COMPUTED_VALUE"""),1.06730977746292)</f>
        <v>1.067309777</v>
      </c>
      <c r="K1220" s="165">
        <f>IFERROR(__xludf.DUMMYFUNCTION("""COMPUTED_VALUE"""),1.28657161815036)</f>
        <v>1.286571618</v>
      </c>
      <c r="L1220" s="165">
        <f>IFERROR(__xludf.DUMMYFUNCTION("""COMPUTED_VALUE"""),-0.219261840687447)</f>
        <v>-0.2192618407</v>
      </c>
      <c r="M1220" s="166">
        <f t="shared" si="2"/>
        <v>3.829629356</v>
      </c>
      <c r="N1220" s="167">
        <f t="shared" si="3"/>
        <v>25.29032338</v>
      </c>
      <c r="O1220" s="163">
        <f t="shared" ref="O1220:Q1220" si="1224">rank(I1220,I:I)</f>
        <v>1665</v>
      </c>
      <c r="P1220" s="163">
        <f t="shared" si="1224"/>
        <v>634</v>
      </c>
      <c r="Q1220" s="163">
        <f t="shared" si="1224"/>
        <v>391</v>
      </c>
      <c r="R1220" s="163">
        <f>IFERROR(__xludf.DUMMYFUNCTION("RANK(M1220,filter(M:M,C:C=C1220))"),92.0)</f>
        <v>92</v>
      </c>
      <c r="S1220" s="161" t="b">
        <f t="shared" si="5"/>
        <v>0</v>
      </c>
      <c r="T1220" s="161" t="b">
        <f t="array" ref="T1220">index('Query Tool'!B:B,match(H1220,'Query Tool'!C:C,0))</f>
        <v>1</v>
      </c>
      <c r="U1220" s="161" t="b">
        <f t="array" ref="U1220">index('Query Tool'!B:B,match(C1220,'Query Tool'!C:C,0))</f>
        <v>0</v>
      </c>
      <c r="V1220" s="161" t="b">
        <f>F1220&gt;='Query Tool'!C$32</f>
        <v>1</v>
      </c>
      <c r="W1220" s="161" t="b">
        <f t="array" ref="W1220">index(Dropdowns!B:B,match(I1220,Dropdowns!A:A,0))</f>
        <v>1</v>
      </c>
      <c r="X1220" s="161" t="b">
        <f t="array" ref="X1220">index('Query Tool'!B:B,match(D1220,'Query Tool'!C:C,0))</f>
        <v>1</v>
      </c>
      <c r="Y1220" s="161" t="str">
        <f t="shared" si="6"/>
        <v>farieke01,2015-16</v>
      </c>
      <c r="Z1220" s="168">
        <f t="array" ref="Z1220">iferror(index(I:I,match($A1220&amp;","&amp;index('Year Conversion'!$A:$A,match($C1220,'Year Conversion'!$B:$B,0)),$Y:$Y,0))-I1220,"")</f>
        <v>1</v>
      </c>
      <c r="AA1220" s="168">
        <f t="array" ref="AA1220">iferror(index(J:J,match($A1220&amp;","&amp;index('Year Conversion'!$A:$A,match($C1220,'Year Conversion'!$B:$B,0)),$Y:$Y,0))-J1220,"")</f>
        <v>-0.04612938616</v>
      </c>
      <c r="AB1220" s="168">
        <f t="array" ref="AB1220">iferror(index(K:K,match($A1220&amp;","&amp;index('Year Conversion'!$A:$A,match($C1220,'Year Conversion'!$B:$B,0)),$Y:$Y,0))-K1220,"")</f>
        <v>-0.2812107631</v>
      </c>
      <c r="AC1220" s="168" t="str">
        <f t="shared" si="7"/>
        <v>DEN,2015-16</v>
      </c>
    </row>
    <row r="1221">
      <c r="A1221" s="161" t="str">
        <f>IFERROR(__xludf.DUMMYFUNCTION("""COMPUTED_VALUE"""),"mirotni01")</f>
        <v>mirotni01</v>
      </c>
      <c r="B1221" s="161" t="str">
        <f>IFERROR(__xludf.DUMMYFUNCTION("""COMPUTED_VALUE"""),"Nikola Mirotic")</f>
        <v>Nikola Mirotic</v>
      </c>
      <c r="C1221" s="162" t="str">
        <f>IFERROR(__xludf.DUMMYFUNCTION("""COMPUTED_VALUE"""),"2015-16")</f>
        <v>2015-16</v>
      </c>
      <c r="D1221" s="163" t="str">
        <f>IFERROR(__xludf.DUMMYFUNCTION("""COMPUTED_VALUE"""),"CHI")</f>
        <v>CHI</v>
      </c>
      <c r="E1221" s="164" t="str">
        <f>IFERROR(__xludf.DUMMYFUNCTION("""COMPUTED_VALUE"""),"Shot Creator")</f>
        <v>Shot Creator</v>
      </c>
      <c r="F1221" s="164">
        <f>IFERROR(__xludf.DUMMYFUNCTION("""COMPUTED_VALUE"""),1646.11)</f>
        <v>1646.11</v>
      </c>
      <c r="G1221" s="163">
        <f>IFERROR(__xludf.DUMMYFUNCTION("""COMPUTED_VALUE"""),66.0)</f>
        <v>66</v>
      </c>
      <c r="H1221" s="163" t="str">
        <f>IFERROR(__xludf.DUMMYFUNCTION("""COMPUTED_VALUE"""),"PF")</f>
        <v>PF</v>
      </c>
      <c r="I1221" s="163">
        <f>IFERROR(__xludf.DUMMYFUNCTION("""COMPUTED_VALUE"""),24.0)</f>
        <v>24</v>
      </c>
      <c r="J1221" s="165">
        <f>IFERROR(__xludf.DUMMYFUNCTION("""COMPUTED_VALUE"""),0.390982067788909)</f>
        <v>0.3909820678</v>
      </c>
      <c r="K1221" s="165">
        <f>IFERROR(__xludf.DUMMYFUNCTION("""COMPUTED_VALUE"""),0.261965684370274)</f>
        <v>0.2619656844</v>
      </c>
      <c r="L1221" s="165">
        <f>IFERROR(__xludf.DUMMYFUNCTION("""COMPUTED_VALUE"""),0.129016383418634)</f>
        <v>0.1290163834</v>
      </c>
      <c r="M1221" s="166">
        <f t="shared" si="2"/>
        <v>2.971569018</v>
      </c>
      <c r="N1221" s="167">
        <f t="shared" si="3"/>
        <v>24.94106061</v>
      </c>
      <c r="O1221" s="163">
        <f t="shared" ref="O1221:Q1221" si="1225">rank(I1221,I:I)</f>
        <v>2361</v>
      </c>
      <c r="P1221" s="163">
        <f t="shared" si="1225"/>
        <v>955</v>
      </c>
      <c r="Q1221" s="163">
        <f t="shared" si="1225"/>
        <v>940</v>
      </c>
      <c r="R1221" s="163">
        <f>IFERROR(__xludf.DUMMYFUNCTION("RANK(M1221,filter(M:M,C:C=C1221))"),119.0)</f>
        <v>119</v>
      </c>
      <c r="S1221" s="161" t="b">
        <f t="shared" si="5"/>
        <v>0</v>
      </c>
      <c r="T1221" s="161" t="b">
        <f t="array" ref="T1221">index('Query Tool'!B:B,match(H1221,'Query Tool'!C:C,0))</f>
        <v>1</v>
      </c>
      <c r="U1221" s="161" t="b">
        <f t="array" ref="U1221">index('Query Tool'!B:B,match(C1221,'Query Tool'!C:C,0))</f>
        <v>0</v>
      </c>
      <c r="V1221" s="161" t="b">
        <f>F1221&gt;='Query Tool'!C$32</f>
        <v>1</v>
      </c>
      <c r="W1221" s="161" t="b">
        <f t="array" ref="W1221">index(Dropdowns!B:B,match(I1221,Dropdowns!A:A,0))</f>
        <v>1</v>
      </c>
      <c r="X1221" s="161" t="b">
        <f t="array" ref="X1221">index('Query Tool'!B:B,match(D1221,'Query Tool'!C:C,0))</f>
        <v>1</v>
      </c>
      <c r="Y1221" s="161" t="str">
        <f t="shared" si="6"/>
        <v>mirotni01,2015-16</v>
      </c>
      <c r="Z1221" s="168">
        <f t="array" ref="Z1221">iferror(index(I:I,match($A1221&amp;","&amp;index('Year Conversion'!$A:$A,match($C1221,'Year Conversion'!$B:$B,0)),$Y:$Y,0))-I1221,"")</f>
        <v>1</v>
      </c>
      <c r="AA1221" s="168">
        <f t="array" ref="AA1221">iferror(index(J:J,match($A1221&amp;","&amp;index('Year Conversion'!$A:$A,match($C1221,'Year Conversion'!$B:$B,0)),$Y:$Y,0))-J1221,"")</f>
        <v>0.9039369365</v>
      </c>
      <c r="AB1221" s="168">
        <f t="array" ref="AB1221">iferror(index(K:K,match($A1221&amp;","&amp;index('Year Conversion'!$A:$A,match($C1221,'Year Conversion'!$B:$B,0)),$Y:$Y,0))-K1221,"")</f>
        <v>0.7592371036</v>
      </c>
      <c r="AC1221" s="168" t="str">
        <f t="shared" si="7"/>
        <v>CHI,2015-16</v>
      </c>
    </row>
    <row r="1222">
      <c r="A1222" s="161" t="str">
        <f>IFERROR(__xludf.DUMMYFUNCTION("""COMPUTED_VALUE"""),"jacksre01")</f>
        <v>jacksre01</v>
      </c>
      <c r="B1222" s="161" t="str">
        <f>IFERROR(__xludf.DUMMYFUNCTION("""COMPUTED_VALUE"""),"Reggie Jackson")</f>
        <v>Reggie Jackson</v>
      </c>
      <c r="C1222" s="162" t="str">
        <f>IFERROR(__xludf.DUMMYFUNCTION("""COMPUTED_VALUE"""),"2015-16")</f>
        <v>2015-16</v>
      </c>
      <c r="D1222" s="163" t="str">
        <f>IFERROR(__xludf.DUMMYFUNCTION("""COMPUTED_VALUE"""),"DET")</f>
        <v>DET</v>
      </c>
      <c r="E1222" s="164" t="str">
        <f>IFERROR(__xludf.DUMMYFUNCTION("""COMPUTED_VALUE"""),"Slasher")</f>
        <v>Slasher</v>
      </c>
      <c r="F1222" s="164">
        <f>IFERROR(__xludf.DUMMYFUNCTION("""COMPUTED_VALUE"""),2424.21166666667)</f>
        <v>2424.211667</v>
      </c>
      <c r="G1222" s="163">
        <f>IFERROR(__xludf.DUMMYFUNCTION("""COMPUTED_VALUE"""),79.0)</f>
        <v>79</v>
      </c>
      <c r="H1222" s="163" t="str">
        <f>IFERROR(__xludf.DUMMYFUNCTION("""COMPUTED_VALUE"""),"PG")</f>
        <v>PG</v>
      </c>
      <c r="I1222" s="163">
        <f>IFERROR(__xludf.DUMMYFUNCTION("""COMPUTED_VALUE"""),25.0)</f>
        <v>25</v>
      </c>
      <c r="J1222" s="165">
        <f>IFERROR(__xludf.DUMMYFUNCTION("""COMPUTED_VALUE"""),0.784675042152092)</f>
        <v>0.7846750422</v>
      </c>
      <c r="K1222" s="165">
        <f>IFERROR(__xludf.DUMMYFUNCTION("""COMPUTED_VALUE"""),2.2975525970059)</f>
        <v>2.297552597</v>
      </c>
      <c r="L1222" s="165">
        <f>IFERROR(__xludf.DUMMYFUNCTION("""COMPUTED_VALUE"""),-1.51287755485381)</f>
        <v>-1.512877555</v>
      </c>
      <c r="M1222" s="166">
        <f t="shared" si="2"/>
        <v>5.018686774</v>
      </c>
      <c r="N1222" s="167">
        <f t="shared" si="3"/>
        <v>30.68622363</v>
      </c>
      <c r="O1222" s="163">
        <f t="shared" ref="O1222:Q1222" si="1226">rank(I1222,I:I)</f>
        <v>1995</v>
      </c>
      <c r="P1222" s="163">
        <f t="shared" si="1226"/>
        <v>753</v>
      </c>
      <c r="Q1222" s="163">
        <f t="shared" si="1226"/>
        <v>180</v>
      </c>
      <c r="R1222" s="163">
        <f>IFERROR(__xludf.DUMMYFUNCTION("RANK(M1222,filter(M:M,C:C=C1222))"),59.0)</f>
        <v>59</v>
      </c>
      <c r="S1222" s="161" t="b">
        <f t="shared" si="5"/>
        <v>0</v>
      </c>
      <c r="T1222" s="161" t="b">
        <f t="array" ref="T1222">index('Query Tool'!B:B,match(H1222,'Query Tool'!C:C,0))</f>
        <v>1</v>
      </c>
      <c r="U1222" s="161" t="b">
        <f t="array" ref="U1222">index('Query Tool'!B:B,match(C1222,'Query Tool'!C:C,0))</f>
        <v>0</v>
      </c>
      <c r="V1222" s="161" t="b">
        <f>F1222&gt;='Query Tool'!C$32</f>
        <v>1</v>
      </c>
      <c r="W1222" s="161" t="b">
        <f t="array" ref="W1222">index(Dropdowns!B:B,match(I1222,Dropdowns!A:A,0))</f>
        <v>1</v>
      </c>
      <c r="X1222" s="161" t="b">
        <f t="array" ref="X1222">index('Query Tool'!B:B,match(D1222,'Query Tool'!C:C,0))</f>
        <v>1</v>
      </c>
      <c r="Y1222" s="161" t="str">
        <f t="shared" si="6"/>
        <v>jacksre01,2015-16</v>
      </c>
      <c r="Z1222" s="168">
        <f t="array" ref="Z1222">iferror(index(I:I,match($A1222&amp;","&amp;index('Year Conversion'!$A:$A,match($C1222,'Year Conversion'!$B:$B,0)),$Y:$Y,0))-I1222,"")</f>
        <v>1</v>
      </c>
      <c r="AA1222" s="168">
        <f t="array" ref="AA1222">iferror(index(J:J,match($A1222&amp;","&amp;index('Year Conversion'!$A:$A,match($C1222,'Year Conversion'!$B:$B,0)),$Y:$Y,0))-J1222,"")</f>
        <v>-1.95307951</v>
      </c>
      <c r="AB1222" s="168">
        <f t="array" ref="AB1222">iferror(index(K:K,match($A1222&amp;","&amp;index('Year Conversion'!$A:$A,match($C1222,'Year Conversion'!$B:$B,0)),$Y:$Y,0))-K1222,"")</f>
        <v>-2.327203445</v>
      </c>
      <c r="AC1222" s="168" t="str">
        <f t="shared" si="7"/>
        <v>DET,2015-16</v>
      </c>
    </row>
    <row r="1223">
      <c r="A1223" s="161" t="str">
        <f>IFERROR(__xludf.DUMMYFUNCTION("""COMPUTED_VALUE"""),"hamiljo02")</f>
        <v>hamiljo02</v>
      </c>
      <c r="B1223" s="161" t="str">
        <f>IFERROR(__xludf.DUMMYFUNCTION("""COMPUTED_VALUE"""),"Jordan Hamilton")</f>
        <v>Jordan Hamilton</v>
      </c>
      <c r="C1223" s="162" t="str">
        <f>IFERROR(__xludf.DUMMYFUNCTION("""COMPUTED_VALUE"""),"2015-16")</f>
        <v>2015-16</v>
      </c>
      <c r="D1223" s="163" t="str">
        <f>IFERROR(__xludf.DUMMYFUNCTION("""COMPUTED_VALUE"""),"NOP")</f>
        <v>NOP</v>
      </c>
      <c r="E1223" s="164" t="str">
        <f>IFERROR(__xludf.DUMMYFUNCTION("""COMPUTED_VALUE"""),"Movement Shooter")</f>
        <v>Movement Shooter</v>
      </c>
      <c r="F1223" s="164">
        <f>IFERROR(__xludf.DUMMYFUNCTION("""COMPUTED_VALUE"""),303.675)</f>
        <v>303.675</v>
      </c>
      <c r="G1223" s="163">
        <f>IFERROR(__xludf.DUMMYFUNCTION("""COMPUTED_VALUE"""),11.0)</f>
        <v>11</v>
      </c>
      <c r="H1223" s="163" t="str">
        <f>IFERROR(__xludf.DUMMYFUNCTION("""COMPUTED_VALUE"""),"SF")</f>
        <v>SF</v>
      </c>
      <c r="I1223" s="163">
        <f>IFERROR(__xludf.DUMMYFUNCTION("""COMPUTED_VALUE"""),25.0)</f>
        <v>25</v>
      </c>
      <c r="J1223" s="165">
        <f>IFERROR(__xludf.DUMMYFUNCTION("""COMPUTED_VALUE"""),-0.993470787436501)</f>
        <v>-0.9934707874</v>
      </c>
      <c r="K1223" s="165">
        <f>IFERROR(__xludf.DUMMYFUNCTION("""COMPUTED_VALUE"""),-0.34189298979671)</f>
        <v>-0.3418929898</v>
      </c>
      <c r="L1223" s="165">
        <f>IFERROR(__xludf.DUMMYFUNCTION("""COMPUTED_VALUE"""),-0.651577797639791)</f>
        <v>-0.6515777976</v>
      </c>
      <c r="M1223" s="166">
        <f t="shared" si="2"/>
        <v>0.2650462098</v>
      </c>
      <c r="N1223" s="167">
        <f t="shared" si="3"/>
        <v>27.60681818</v>
      </c>
      <c r="O1223" s="163">
        <f t="shared" ref="O1223:Q1223" si="1227">rank(I1223,I:I)</f>
        <v>1995</v>
      </c>
      <c r="P1223" s="163">
        <f t="shared" si="1227"/>
        <v>2494</v>
      </c>
      <c r="Q1223" s="163">
        <f t="shared" si="1227"/>
        <v>1834</v>
      </c>
      <c r="R1223" s="163">
        <f>IFERROR(__xludf.DUMMYFUNCTION("RANK(M1223,filter(M:M,C:C=C1223))"),325.0)</f>
        <v>325</v>
      </c>
      <c r="S1223" s="161" t="b">
        <f t="shared" si="5"/>
        <v>0</v>
      </c>
      <c r="T1223" s="161" t="b">
        <f t="array" ref="T1223">index('Query Tool'!B:B,match(H1223,'Query Tool'!C:C,0))</f>
        <v>1</v>
      </c>
      <c r="U1223" s="161" t="b">
        <f t="array" ref="U1223">index('Query Tool'!B:B,match(C1223,'Query Tool'!C:C,0))</f>
        <v>0</v>
      </c>
      <c r="V1223" s="161" t="b">
        <f>F1223&gt;='Query Tool'!C$32</f>
        <v>0</v>
      </c>
      <c r="W1223" s="161" t="b">
        <f t="array" ref="W1223">index(Dropdowns!B:B,match(I1223,Dropdowns!A:A,0))</f>
        <v>1</v>
      </c>
      <c r="X1223" s="161" t="b">
        <f t="array" ref="X1223">index('Query Tool'!B:B,match(D1223,'Query Tool'!C:C,0))</f>
        <v>1</v>
      </c>
      <c r="Y1223" s="161" t="str">
        <f t="shared" si="6"/>
        <v>hamiljo02,2015-16</v>
      </c>
      <c r="Z1223" s="168" t="str">
        <f t="array" ref="Z1223">iferror(index(I:I,match($A1223&amp;","&amp;index('Year Conversion'!$A:$A,match($C1223,'Year Conversion'!$B:$B,0)),$Y:$Y,0))-I1223,"")</f>
        <v/>
      </c>
      <c r="AA1223" s="168" t="str">
        <f t="array" ref="AA1223">iferror(index(J:J,match($A1223&amp;","&amp;index('Year Conversion'!$A:$A,match($C1223,'Year Conversion'!$B:$B,0)),$Y:$Y,0))-J1223,"")</f>
        <v/>
      </c>
      <c r="AB1223" s="168" t="str">
        <f t="array" ref="AB1223">iferror(index(K:K,match($A1223&amp;","&amp;index('Year Conversion'!$A:$A,match($C1223,'Year Conversion'!$B:$B,0)),$Y:$Y,0))-K1223,"")</f>
        <v/>
      </c>
      <c r="AC1223" s="168" t="str">
        <f t="shared" si="7"/>
        <v>NOP,2015-16</v>
      </c>
    </row>
    <row r="1224">
      <c r="A1224" s="161" t="str">
        <f>IFERROR(__xludf.DUMMYFUNCTION("""COMPUTED_VALUE"""),"coleno01")</f>
        <v>coleno01</v>
      </c>
      <c r="B1224" s="161" t="str">
        <f>IFERROR(__xludf.DUMMYFUNCTION("""COMPUTED_VALUE"""),"Norris Cole")</f>
        <v>Norris Cole</v>
      </c>
      <c r="C1224" s="162" t="str">
        <f>IFERROR(__xludf.DUMMYFUNCTION("""COMPUTED_VALUE"""),"2015-16")</f>
        <v>2015-16</v>
      </c>
      <c r="D1224" s="163" t="str">
        <f>IFERROR(__xludf.DUMMYFUNCTION("""COMPUTED_VALUE"""),"NOP")</f>
        <v>NOP</v>
      </c>
      <c r="E1224" s="164" t="str">
        <f>IFERROR(__xludf.DUMMYFUNCTION("""COMPUTED_VALUE"""),"Primary Ball Handler")</f>
        <v>Primary Ball Handler</v>
      </c>
      <c r="F1224" s="164">
        <f>IFERROR(__xludf.DUMMYFUNCTION("""COMPUTED_VALUE"""),1198.31333333333)</f>
        <v>1198.313333</v>
      </c>
      <c r="G1224" s="163">
        <f>IFERROR(__xludf.DUMMYFUNCTION("""COMPUTED_VALUE"""),45.0)</f>
        <v>45</v>
      </c>
      <c r="H1224" s="163" t="str">
        <f>IFERROR(__xludf.DUMMYFUNCTION("""COMPUTED_VALUE"""),"PG")</f>
        <v>PG</v>
      </c>
      <c r="I1224" s="163">
        <f>IFERROR(__xludf.DUMMYFUNCTION("""COMPUTED_VALUE"""),27.0)</f>
        <v>27</v>
      </c>
      <c r="J1224" s="165">
        <f>IFERROR(__xludf.DUMMYFUNCTION("""COMPUTED_VALUE"""),-2.37153561388181)</f>
        <v>-2.371535614</v>
      </c>
      <c r="K1224" s="165">
        <f>IFERROR(__xludf.DUMMYFUNCTION("""COMPUTED_VALUE"""),-1.34471619150501)</f>
        <v>-1.344716192</v>
      </c>
      <c r="L1224" s="165">
        <f>IFERROR(__xludf.DUMMYFUNCTION("""COMPUTED_VALUE"""),-1.02681942237681)</f>
        <v>-1.026819422</v>
      </c>
      <c r="M1224" s="166">
        <f t="shared" si="2"/>
        <v>-0.05371116194</v>
      </c>
      <c r="N1224" s="167">
        <f t="shared" si="3"/>
        <v>26.62918519</v>
      </c>
      <c r="O1224" s="163">
        <f t="shared" ref="O1224:Q1224" si="1228">rank(I1224,I:I)</f>
        <v>1366</v>
      </c>
      <c r="P1224" s="163">
        <f t="shared" si="1228"/>
        <v>3696</v>
      </c>
      <c r="Q1224" s="163">
        <f t="shared" si="1228"/>
        <v>3200</v>
      </c>
      <c r="R1224" s="163">
        <f>IFERROR(__xludf.DUMMYFUNCTION("RANK(M1224,filter(M:M,C:C=C1224))"),434.0)</f>
        <v>434</v>
      </c>
      <c r="S1224" s="161" t="b">
        <f t="shared" si="5"/>
        <v>0</v>
      </c>
      <c r="T1224" s="161" t="b">
        <f t="array" ref="T1224">index('Query Tool'!B:B,match(H1224,'Query Tool'!C:C,0))</f>
        <v>1</v>
      </c>
      <c r="U1224" s="161" t="b">
        <f t="array" ref="U1224">index('Query Tool'!B:B,match(C1224,'Query Tool'!C:C,0))</f>
        <v>0</v>
      </c>
      <c r="V1224" s="161" t="b">
        <f>F1224&gt;='Query Tool'!C$32</f>
        <v>1</v>
      </c>
      <c r="W1224" s="161" t="b">
        <f t="array" ref="W1224">index(Dropdowns!B:B,match(I1224,Dropdowns!A:A,0))</f>
        <v>1</v>
      </c>
      <c r="X1224" s="161" t="b">
        <f t="array" ref="X1224">index('Query Tool'!B:B,match(D1224,'Query Tool'!C:C,0))</f>
        <v>1</v>
      </c>
      <c r="Y1224" s="161" t="str">
        <f t="shared" si="6"/>
        <v>coleno01,2015-16</v>
      </c>
      <c r="Z1224" s="168">
        <f t="array" ref="Z1224">iferror(index(I:I,match($A1224&amp;","&amp;index('Year Conversion'!$A:$A,match($C1224,'Year Conversion'!$B:$B,0)),$Y:$Y,0))-I1224,"")</f>
        <v>1</v>
      </c>
      <c r="AA1224" s="168">
        <f t="array" ref="AA1224">iferror(index(J:J,match($A1224&amp;","&amp;index('Year Conversion'!$A:$A,match($C1224,'Year Conversion'!$B:$B,0)),$Y:$Y,0))-J1224,"")</f>
        <v>1.541222197</v>
      </c>
      <c r="AB1224" s="168">
        <f t="array" ref="AB1224">iferror(index(K:K,match($A1224&amp;","&amp;index('Year Conversion'!$A:$A,match($C1224,'Year Conversion'!$B:$B,0)),$Y:$Y,0))-K1224,"")</f>
        <v>0.9123659732</v>
      </c>
      <c r="AC1224" s="168" t="str">
        <f t="shared" si="7"/>
        <v>NOP,2015-16</v>
      </c>
    </row>
    <row r="1225">
      <c r="A1225" s="161" t="str">
        <f>IFERROR(__xludf.DUMMYFUNCTION("""COMPUTED_VALUE"""),"josepco01")</f>
        <v>josepco01</v>
      </c>
      <c r="B1225" s="161" t="str">
        <f>IFERROR(__xludf.DUMMYFUNCTION("""COMPUTED_VALUE"""),"Cory Joseph")</f>
        <v>Cory Joseph</v>
      </c>
      <c r="C1225" s="162" t="str">
        <f>IFERROR(__xludf.DUMMYFUNCTION("""COMPUTED_VALUE"""),"2015-16")</f>
        <v>2015-16</v>
      </c>
      <c r="D1225" s="163" t="str">
        <f>IFERROR(__xludf.DUMMYFUNCTION("""COMPUTED_VALUE"""),"TOR")</f>
        <v>TOR</v>
      </c>
      <c r="E1225" s="164" t="str">
        <f>IFERROR(__xludf.DUMMYFUNCTION("""COMPUTED_VALUE"""),"Slasher")</f>
        <v>Slasher</v>
      </c>
      <c r="F1225" s="164">
        <f>IFERROR(__xludf.DUMMYFUNCTION("""COMPUTED_VALUE"""),2046.40166666667)</f>
        <v>2046.401667</v>
      </c>
      <c r="G1225" s="163">
        <f>IFERROR(__xludf.DUMMYFUNCTION("""COMPUTED_VALUE"""),80.0)</f>
        <v>80</v>
      </c>
      <c r="H1225" s="163" t="str">
        <f>IFERROR(__xludf.DUMMYFUNCTION("""COMPUTED_VALUE"""),"SG")</f>
        <v>SG</v>
      </c>
      <c r="I1225" s="163">
        <f>IFERROR(__xludf.DUMMYFUNCTION("""COMPUTED_VALUE"""),24.0)</f>
        <v>24</v>
      </c>
      <c r="J1225" s="165">
        <f>IFERROR(__xludf.DUMMYFUNCTION("""COMPUTED_VALUE"""),0.541688095728041)</f>
        <v>0.5416880957</v>
      </c>
      <c r="K1225" s="165">
        <f>IFERROR(__xludf.DUMMYFUNCTION("""COMPUTED_VALUE"""),0.367805331091344)</f>
        <v>0.3678053311</v>
      </c>
      <c r="L1225" s="165">
        <f>IFERROR(__xludf.DUMMYFUNCTION("""COMPUTED_VALUE"""),0.173882764636697)</f>
        <v>0.1738827646</v>
      </c>
      <c r="M1225" s="166">
        <f t="shared" si="2"/>
        <v>3.901911861</v>
      </c>
      <c r="N1225" s="167">
        <f t="shared" si="3"/>
        <v>25.58002083</v>
      </c>
      <c r="O1225" s="163">
        <f t="shared" ref="O1225:Q1225" si="1229">rank(I1225,I:I)</f>
        <v>2361</v>
      </c>
      <c r="P1225" s="163">
        <f t="shared" si="1229"/>
        <v>876</v>
      </c>
      <c r="Q1225" s="163">
        <f t="shared" si="1229"/>
        <v>855</v>
      </c>
      <c r="R1225" s="163">
        <f>IFERROR(__xludf.DUMMYFUNCTION("RANK(M1225,filter(M:M,C:C=C1225))"),87.0)</f>
        <v>87</v>
      </c>
      <c r="S1225" s="161" t="b">
        <f t="shared" si="5"/>
        <v>0</v>
      </c>
      <c r="T1225" s="161" t="b">
        <f t="array" ref="T1225">index('Query Tool'!B:B,match(H1225,'Query Tool'!C:C,0))</f>
        <v>1</v>
      </c>
      <c r="U1225" s="161" t="b">
        <f t="array" ref="U1225">index('Query Tool'!B:B,match(C1225,'Query Tool'!C:C,0))</f>
        <v>0</v>
      </c>
      <c r="V1225" s="161" t="b">
        <f>F1225&gt;='Query Tool'!C$32</f>
        <v>1</v>
      </c>
      <c r="W1225" s="161" t="b">
        <f t="array" ref="W1225">index(Dropdowns!B:B,match(I1225,Dropdowns!A:A,0))</f>
        <v>1</v>
      </c>
      <c r="X1225" s="161" t="b">
        <f t="array" ref="X1225">index('Query Tool'!B:B,match(D1225,'Query Tool'!C:C,0))</f>
        <v>1</v>
      </c>
      <c r="Y1225" s="161" t="str">
        <f t="shared" si="6"/>
        <v>josepco01,2015-16</v>
      </c>
      <c r="Z1225" s="168">
        <f t="array" ref="Z1225">iferror(index(I:I,match($A1225&amp;","&amp;index('Year Conversion'!$A:$A,match($C1225,'Year Conversion'!$B:$B,0)),$Y:$Y,0))-I1225,"")</f>
        <v>1</v>
      </c>
      <c r="AA1225" s="168">
        <f t="array" ref="AA1225">iferror(index(J:J,match($A1225&amp;","&amp;index('Year Conversion'!$A:$A,match($C1225,'Year Conversion'!$B:$B,0)),$Y:$Y,0))-J1225,"")</f>
        <v>-1.416755965</v>
      </c>
      <c r="AB1225" s="168">
        <f t="array" ref="AB1225">iferror(index(K:K,match($A1225&amp;","&amp;index('Year Conversion'!$A:$A,match($C1225,'Year Conversion'!$B:$B,0)),$Y:$Y,0))-K1225,"")</f>
        <v>-0.1282128556</v>
      </c>
      <c r="AC1225" s="168" t="str">
        <f t="shared" si="7"/>
        <v>TOR,2015-16</v>
      </c>
    </row>
    <row r="1226">
      <c r="A1226" s="161" t="str">
        <f>IFERROR(__xludf.DUMMYFUNCTION("""COMPUTED_VALUE"""),"butleji01")</f>
        <v>butleji01</v>
      </c>
      <c r="B1226" s="161" t="str">
        <f>IFERROR(__xludf.DUMMYFUNCTION("""COMPUTED_VALUE"""),"Jimmy Butler")</f>
        <v>Jimmy Butler</v>
      </c>
      <c r="C1226" s="162" t="str">
        <f>IFERROR(__xludf.DUMMYFUNCTION("""COMPUTED_VALUE"""),"2015-16")</f>
        <v>2015-16</v>
      </c>
      <c r="D1226" s="163" t="str">
        <f>IFERROR(__xludf.DUMMYFUNCTION("""COMPUTED_VALUE"""),"CHI")</f>
        <v>CHI</v>
      </c>
      <c r="E1226" s="164" t="str">
        <f>IFERROR(__xludf.DUMMYFUNCTION("""COMPUTED_VALUE"""),"Shot Creator")</f>
        <v>Shot Creator</v>
      </c>
      <c r="F1226" s="164">
        <f>IFERROR(__xludf.DUMMYFUNCTION("""COMPUTED_VALUE"""),2473.625)</f>
        <v>2473.625</v>
      </c>
      <c r="G1226" s="163">
        <f>IFERROR(__xludf.DUMMYFUNCTION("""COMPUTED_VALUE"""),67.0)</f>
        <v>67</v>
      </c>
      <c r="H1226" s="163" t="str">
        <f>IFERROR(__xludf.DUMMYFUNCTION("""COMPUTED_VALUE"""),"SG")</f>
        <v>SG</v>
      </c>
      <c r="I1226" s="163">
        <f>IFERROR(__xludf.DUMMYFUNCTION("""COMPUTED_VALUE"""),26.0)</f>
        <v>26</v>
      </c>
      <c r="J1226" s="165">
        <f>IFERROR(__xludf.DUMMYFUNCTION("""COMPUTED_VALUE"""),2.56284292139985)</f>
        <v>2.562842921</v>
      </c>
      <c r="K1226" s="165">
        <f>IFERROR(__xludf.DUMMYFUNCTION("""COMPUTED_VALUE"""),2.13594111424737)</f>
        <v>2.135941114</v>
      </c>
      <c r="L1226" s="165">
        <f>IFERROR(__xludf.DUMMYFUNCTION("""COMPUTED_VALUE"""),0.426901807152474)</f>
        <v>0.4269018072</v>
      </c>
      <c r="M1226" s="166">
        <f t="shared" si="2"/>
        <v>8.048963322</v>
      </c>
      <c r="N1226" s="167">
        <f t="shared" si="3"/>
        <v>36.91977612</v>
      </c>
      <c r="O1226" s="163">
        <f t="shared" ref="O1226:Q1226" si="1230">rank(I1226,I:I)</f>
        <v>1665</v>
      </c>
      <c r="P1226" s="163">
        <f t="shared" si="1230"/>
        <v>214</v>
      </c>
      <c r="Q1226" s="163">
        <f t="shared" si="1230"/>
        <v>209</v>
      </c>
      <c r="R1226" s="163">
        <f>IFERROR(__xludf.DUMMYFUNCTION("RANK(M1226,filter(M:M,C:C=C1226))"),21.0)</f>
        <v>21</v>
      </c>
      <c r="S1226" s="161" t="b">
        <f t="shared" si="5"/>
        <v>0</v>
      </c>
      <c r="T1226" s="161" t="b">
        <f t="array" ref="T1226">index('Query Tool'!B:B,match(H1226,'Query Tool'!C:C,0))</f>
        <v>1</v>
      </c>
      <c r="U1226" s="161" t="b">
        <f t="array" ref="U1226">index('Query Tool'!B:B,match(C1226,'Query Tool'!C:C,0))</f>
        <v>0</v>
      </c>
      <c r="V1226" s="161" t="b">
        <f>F1226&gt;='Query Tool'!C$32</f>
        <v>1</v>
      </c>
      <c r="W1226" s="161" t="b">
        <f t="array" ref="W1226">index(Dropdowns!B:B,match(I1226,Dropdowns!A:A,0))</f>
        <v>1</v>
      </c>
      <c r="X1226" s="161" t="b">
        <f t="array" ref="X1226">index('Query Tool'!B:B,match(D1226,'Query Tool'!C:C,0))</f>
        <v>1</v>
      </c>
      <c r="Y1226" s="161" t="str">
        <f t="shared" si="6"/>
        <v>butleji01,2015-16</v>
      </c>
      <c r="Z1226" s="168">
        <f t="array" ref="Z1226">iferror(index(I:I,match($A1226&amp;","&amp;index('Year Conversion'!$A:$A,match($C1226,'Year Conversion'!$B:$B,0)),$Y:$Y,0))-I1226,"")</f>
        <v>1</v>
      </c>
      <c r="AA1226" s="168">
        <f t="array" ref="AA1226">iferror(index(J:J,match($A1226&amp;","&amp;index('Year Conversion'!$A:$A,match($C1226,'Year Conversion'!$B:$B,0)),$Y:$Y,0))-J1226,"")</f>
        <v>2.266446157</v>
      </c>
      <c r="AB1226" s="168">
        <f t="array" ref="AB1226">iferror(index(K:K,match($A1226&amp;","&amp;index('Year Conversion'!$A:$A,match($C1226,'Year Conversion'!$B:$B,0)),$Y:$Y,0))-K1226,"")</f>
        <v>1.310753587</v>
      </c>
      <c r="AC1226" s="168" t="str">
        <f t="shared" si="7"/>
        <v>CHI,2015-16</v>
      </c>
    </row>
    <row r="1227">
      <c r="A1227" s="161" t="str">
        <f>IFERROR(__xludf.DUMMYFUNCTION("""COMPUTED_VALUE"""),"bogdabo02")</f>
        <v>bogdabo02</v>
      </c>
      <c r="B1227" s="161" t="str">
        <f>IFERROR(__xludf.DUMMYFUNCTION("""COMPUTED_VALUE"""),"Bojan Bogdanovic")</f>
        <v>Bojan Bogdanovic</v>
      </c>
      <c r="C1227" s="162" t="str">
        <f>IFERROR(__xludf.DUMMYFUNCTION("""COMPUTED_VALUE"""),"2015-16")</f>
        <v>2015-16</v>
      </c>
      <c r="D1227" s="163" t="str">
        <f>IFERROR(__xludf.DUMMYFUNCTION("""COMPUTED_VALUE"""),"BRK")</f>
        <v>BRK</v>
      </c>
      <c r="E1227" s="164" t="str">
        <f>IFERROR(__xludf.DUMMYFUNCTION("""COMPUTED_VALUE"""),"Stationary Shooter")</f>
        <v>Stationary Shooter</v>
      </c>
      <c r="F1227" s="164">
        <f>IFERROR(__xludf.DUMMYFUNCTION("""COMPUTED_VALUE"""),2114.62833333333)</f>
        <v>2114.628333</v>
      </c>
      <c r="G1227" s="163">
        <f>IFERROR(__xludf.DUMMYFUNCTION("""COMPUTED_VALUE"""),79.0)</f>
        <v>79</v>
      </c>
      <c r="H1227" s="163" t="str">
        <f>IFERROR(__xludf.DUMMYFUNCTION("""COMPUTED_VALUE"""),"SF")</f>
        <v>SF</v>
      </c>
      <c r="I1227" s="163">
        <f>IFERROR(__xludf.DUMMYFUNCTION("""COMPUTED_VALUE"""),26.0)</f>
        <v>26</v>
      </c>
      <c r="J1227" s="165">
        <f>IFERROR(__xludf.DUMMYFUNCTION("""COMPUTED_VALUE"""),-3.3869734536844)</f>
        <v>-3.386973454</v>
      </c>
      <c r="K1227" s="165">
        <f>IFERROR(__xludf.DUMMYFUNCTION("""COMPUTED_VALUE"""),-0.374136362246199)</f>
        <v>-0.3741363622</v>
      </c>
      <c r="L1227" s="165">
        <f>IFERROR(__xludf.DUMMYFUNCTION("""COMPUTED_VALUE"""),-3.0128370914382)</f>
        <v>-3.012837091</v>
      </c>
      <c r="M1227" s="166">
        <f t="shared" si="2"/>
        <v>-1.493113405</v>
      </c>
      <c r="N1227" s="167">
        <f t="shared" si="3"/>
        <v>26.76744726</v>
      </c>
      <c r="O1227" s="163">
        <f t="shared" ref="O1227:Q1227" si="1231">rank(I1227,I:I)</f>
        <v>1665</v>
      </c>
      <c r="P1227" s="163">
        <f t="shared" si="1231"/>
        <v>3951</v>
      </c>
      <c r="Q1227" s="163">
        <f t="shared" si="1231"/>
        <v>1904</v>
      </c>
      <c r="R1227" s="163">
        <f>IFERROR(__xludf.DUMMYFUNCTION("RANK(M1227,filter(M:M,C:C=C1227))"),475.0)</f>
        <v>475</v>
      </c>
      <c r="S1227" s="161" t="b">
        <f t="shared" si="5"/>
        <v>0</v>
      </c>
      <c r="T1227" s="161" t="b">
        <f t="array" ref="T1227">index('Query Tool'!B:B,match(H1227,'Query Tool'!C:C,0))</f>
        <v>1</v>
      </c>
      <c r="U1227" s="161" t="b">
        <f t="array" ref="U1227">index('Query Tool'!B:B,match(C1227,'Query Tool'!C:C,0))</f>
        <v>0</v>
      </c>
      <c r="V1227" s="161" t="b">
        <f>F1227&gt;='Query Tool'!C$32</f>
        <v>1</v>
      </c>
      <c r="W1227" s="161" t="b">
        <f t="array" ref="W1227">index(Dropdowns!B:B,match(I1227,Dropdowns!A:A,0))</f>
        <v>1</v>
      </c>
      <c r="X1227" s="161" t="b">
        <f t="array" ref="X1227">index('Query Tool'!B:B,match(D1227,'Query Tool'!C:C,0))</f>
        <v>1</v>
      </c>
      <c r="Y1227" s="161" t="str">
        <f t="shared" si="6"/>
        <v>bogdabo02,2015-16</v>
      </c>
      <c r="Z1227" s="168">
        <f t="array" ref="Z1227">iferror(index(I:I,match($A1227&amp;","&amp;index('Year Conversion'!$A:$A,match($C1227,'Year Conversion'!$B:$B,0)),$Y:$Y,0))-I1227,"")</f>
        <v>1</v>
      </c>
      <c r="AA1227" s="168">
        <f t="array" ref="AA1227">iferror(index(J:J,match($A1227&amp;","&amp;index('Year Conversion'!$A:$A,match($C1227,'Year Conversion'!$B:$B,0)),$Y:$Y,0))-J1227,"")</f>
        <v>1.337072826</v>
      </c>
      <c r="AB1227" s="168">
        <f t="array" ref="AB1227">iferror(index(K:K,match($A1227&amp;","&amp;index('Year Conversion'!$A:$A,match($C1227,'Year Conversion'!$B:$B,0)),$Y:$Y,0))-K1227,"")</f>
        <v>-0.152570053</v>
      </c>
      <c r="AC1227" s="168" t="str">
        <f t="shared" si="7"/>
        <v>BRK,2015-16</v>
      </c>
    </row>
    <row r="1228">
      <c r="A1228" s="161" t="str">
        <f>IFERROR(__xludf.DUMMYFUNCTION("""COMPUTED_VALUE"""),"harpeju01")</f>
        <v>harpeju01</v>
      </c>
      <c r="B1228" s="161" t="str">
        <f>IFERROR(__xludf.DUMMYFUNCTION("""COMPUTED_VALUE"""),"Justin Harper")</f>
        <v>Justin Harper</v>
      </c>
      <c r="C1228" s="162" t="str">
        <f>IFERROR(__xludf.DUMMYFUNCTION("""COMPUTED_VALUE"""),"2015-16")</f>
        <v>2015-16</v>
      </c>
      <c r="D1228" s="163" t="str">
        <f>IFERROR(__xludf.DUMMYFUNCTION("""COMPUTED_VALUE"""),"DET")</f>
        <v>DET</v>
      </c>
      <c r="E1228" s="164" t="str">
        <f>IFERROR(__xludf.DUMMYFUNCTION("""COMPUTED_VALUE"""),"Stationary Shooter")</f>
        <v>Stationary Shooter</v>
      </c>
      <c r="F1228" s="164">
        <f>IFERROR(__xludf.DUMMYFUNCTION("""COMPUTED_VALUE"""),35.0833333333333)</f>
        <v>35.08333333</v>
      </c>
      <c r="G1228" s="163">
        <f>IFERROR(__xludf.DUMMYFUNCTION("""COMPUTED_VALUE"""),5.0)</f>
        <v>5</v>
      </c>
      <c r="H1228" s="163" t="str">
        <f>IFERROR(__xludf.DUMMYFUNCTION("""COMPUTED_VALUE"""),"PF")</f>
        <v>PF</v>
      </c>
      <c r="I1228" s="163">
        <f>IFERROR(__xludf.DUMMYFUNCTION("""COMPUTED_VALUE"""),26.0)</f>
        <v>26</v>
      </c>
      <c r="J1228" s="165">
        <f>IFERROR(__xludf.DUMMYFUNCTION("""COMPUTED_VALUE"""),-0.365645520712918)</f>
        <v>-0.3656455207</v>
      </c>
      <c r="K1228" s="165">
        <f>IFERROR(__xludf.DUMMYFUNCTION("""COMPUTED_VALUE"""),-0.286125787050839)</f>
        <v>-0.2861257871</v>
      </c>
      <c r="L1228" s="165">
        <f>IFERROR(__xludf.DUMMYFUNCTION("""COMPUTED_VALUE"""),-0.0795197336620797)</f>
        <v>-0.07951973366</v>
      </c>
      <c r="M1228" s="166">
        <f t="shared" si="2"/>
        <v>0.0454398616</v>
      </c>
      <c r="N1228" s="167">
        <f t="shared" si="3"/>
        <v>7.016666667</v>
      </c>
      <c r="O1228" s="163">
        <f t="shared" ref="O1228:Q1228" si="1232">rank(I1228,I:I)</f>
        <v>1665</v>
      </c>
      <c r="P1228" s="163">
        <f t="shared" si="1232"/>
        <v>1690</v>
      </c>
      <c r="Q1228" s="163">
        <f t="shared" si="1232"/>
        <v>1740</v>
      </c>
      <c r="R1228" s="163">
        <f>IFERROR(__xludf.DUMMYFUNCTION("RANK(M1228,filter(M:M,C:C=C1228))"),400.0)</f>
        <v>400</v>
      </c>
      <c r="S1228" s="161" t="b">
        <f t="shared" si="5"/>
        <v>0</v>
      </c>
      <c r="T1228" s="161" t="b">
        <f t="array" ref="T1228">index('Query Tool'!B:B,match(H1228,'Query Tool'!C:C,0))</f>
        <v>1</v>
      </c>
      <c r="U1228" s="161" t="b">
        <f t="array" ref="U1228">index('Query Tool'!B:B,match(C1228,'Query Tool'!C:C,0))</f>
        <v>0</v>
      </c>
      <c r="V1228" s="161" t="b">
        <f>F1228&gt;='Query Tool'!C$32</f>
        <v>0</v>
      </c>
      <c r="W1228" s="161" t="b">
        <f t="array" ref="W1228">index(Dropdowns!B:B,match(I1228,Dropdowns!A:A,0))</f>
        <v>1</v>
      </c>
      <c r="X1228" s="161" t="b">
        <f t="array" ref="X1228">index('Query Tool'!B:B,match(D1228,'Query Tool'!C:C,0))</f>
        <v>1</v>
      </c>
      <c r="Y1228" s="161" t="str">
        <f t="shared" si="6"/>
        <v>harpeju01,2015-16</v>
      </c>
      <c r="Z1228" s="168">
        <f t="array" ref="Z1228">iferror(index(I:I,match($A1228&amp;","&amp;index('Year Conversion'!$A:$A,match($C1228,'Year Conversion'!$B:$B,0)),$Y:$Y,0))-I1228,"")</f>
        <v>1</v>
      </c>
      <c r="AA1228" s="168">
        <f t="array" ref="AA1228">iferror(index(J:J,match($A1228&amp;","&amp;index('Year Conversion'!$A:$A,match($C1228,'Year Conversion'!$B:$B,0)),$Y:$Y,0))-J1228,"")</f>
        <v>-0.0624423668</v>
      </c>
      <c r="AB1228" s="168">
        <f t="array" ref="AB1228">iferror(index(K:K,match($A1228&amp;","&amp;index('Year Conversion'!$A:$A,match($C1228,'Year Conversion'!$B:$B,0)),$Y:$Y,0))-K1228,"")</f>
        <v>0.1504912236</v>
      </c>
      <c r="AC1228" s="168" t="str">
        <f t="shared" si="7"/>
        <v>DET,2015-16</v>
      </c>
    </row>
    <row r="1229">
      <c r="A1229" s="161" t="str">
        <f>IFERROR(__xludf.DUMMYFUNCTION("""COMPUTED_VALUE"""),"singlky01")</f>
        <v>singlky01</v>
      </c>
      <c r="B1229" s="161" t="str">
        <f>IFERROR(__xludf.DUMMYFUNCTION("""COMPUTED_VALUE"""),"Kyle Singler")</f>
        <v>Kyle Singler</v>
      </c>
      <c r="C1229" s="162" t="str">
        <f>IFERROR(__xludf.DUMMYFUNCTION("""COMPUTED_VALUE"""),"2015-16")</f>
        <v>2015-16</v>
      </c>
      <c r="D1229" s="163" t="str">
        <f>IFERROR(__xludf.DUMMYFUNCTION("""COMPUTED_VALUE"""),"OKC")</f>
        <v>OKC</v>
      </c>
      <c r="E1229" s="164" t="str">
        <f>IFERROR(__xludf.DUMMYFUNCTION("""COMPUTED_VALUE"""),"Athletic Finisher")</f>
        <v>Athletic Finisher</v>
      </c>
      <c r="F1229" s="164">
        <f>IFERROR(__xludf.DUMMYFUNCTION("""COMPUTED_VALUE"""),977.118333333334)</f>
        <v>977.1183333</v>
      </c>
      <c r="G1229" s="163">
        <f>IFERROR(__xludf.DUMMYFUNCTION("""COMPUTED_VALUE"""),68.0)</f>
        <v>68</v>
      </c>
      <c r="H1229" s="163" t="str">
        <f>IFERROR(__xludf.DUMMYFUNCTION("""COMPUTED_VALUE"""),"SF")</f>
        <v>SF</v>
      </c>
      <c r="I1229" s="163">
        <f>IFERROR(__xludf.DUMMYFUNCTION("""COMPUTED_VALUE"""),27.0)</f>
        <v>27</v>
      </c>
      <c r="J1229" s="165">
        <f>IFERROR(__xludf.DUMMYFUNCTION("""COMPUTED_VALUE"""),-3.0620663536499)</f>
        <v>-3.062066354</v>
      </c>
      <c r="K1229" s="165">
        <f>IFERROR(__xludf.DUMMYFUNCTION("""COMPUTED_VALUE"""),-1.9713489675905)</f>
        <v>-1.971348968</v>
      </c>
      <c r="L1229" s="165">
        <f>IFERROR(__xludf.DUMMYFUNCTION("""COMPUTED_VALUE"""),-1.09071738605939)</f>
        <v>-1.090717386</v>
      </c>
      <c r="M1229" s="166">
        <f t="shared" si="2"/>
        <v>-0.4849149301</v>
      </c>
      <c r="N1229" s="167">
        <f t="shared" si="3"/>
        <v>14.36938725</v>
      </c>
      <c r="O1229" s="163">
        <f t="shared" ref="O1229:Q1229" si="1233">rank(I1229,I:I)</f>
        <v>1366</v>
      </c>
      <c r="P1229" s="163">
        <f t="shared" si="1233"/>
        <v>3898</v>
      </c>
      <c r="Q1229" s="163">
        <f t="shared" si="1233"/>
        <v>3701</v>
      </c>
      <c r="R1229" s="163">
        <f>IFERROR(__xludf.DUMMYFUNCTION("RANK(M1229,filter(M:M,C:C=C1229))"),453.0)</f>
        <v>453</v>
      </c>
      <c r="S1229" s="161" t="b">
        <f t="shared" si="5"/>
        <v>0</v>
      </c>
      <c r="T1229" s="161" t="b">
        <f t="array" ref="T1229">index('Query Tool'!B:B,match(H1229,'Query Tool'!C:C,0))</f>
        <v>1</v>
      </c>
      <c r="U1229" s="161" t="b">
        <f t="array" ref="U1229">index('Query Tool'!B:B,match(C1229,'Query Tool'!C:C,0))</f>
        <v>0</v>
      </c>
      <c r="V1229" s="161" t="b">
        <f>F1229&gt;='Query Tool'!C$32</f>
        <v>1</v>
      </c>
      <c r="W1229" s="161" t="b">
        <f t="array" ref="W1229">index(Dropdowns!B:B,match(I1229,Dropdowns!A:A,0))</f>
        <v>1</v>
      </c>
      <c r="X1229" s="161" t="b">
        <f t="array" ref="X1229">index('Query Tool'!B:B,match(D1229,'Query Tool'!C:C,0))</f>
        <v>1</v>
      </c>
      <c r="Y1229" s="161" t="str">
        <f t="shared" si="6"/>
        <v>singlky01,2015-16</v>
      </c>
      <c r="Z1229" s="168">
        <f t="array" ref="Z1229">iferror(index(I:I,match($A1229&amp;","&amp;index('Year Conversion'!$A:$A,match($C1229,'Year Conversion'!$B:$B,0)),$Y:$Y,0))-I1229,"")</f>
        <v>1</v>
      </c>
      <c r="AA1229" s="168">
        <f t="array" ref="AA1229">iferror(index(J:J,match($A1229&amp;","&amp;index('Year Conversion'!$A:$A,match($C1229,'Year Conversion'!$B:$B,0)),$Y:$Y,0))-J1229,"")</f>
        <v>0.6668576262</v>
      </c>
      <c r="AB1229" s="168">
        <f t="array" ref="AB1229">iferror(index(K:K,match($A1229&amp;","&amp;index('Year Conversion'!$A:$A,match($C1229,'Year Conversion'!$B:$B,0)),$Y:$Y,0))-K1229,"")</f>
        <v>-0.2993356703</v>
      </c>
      <c r="AC1229" s="168" t="str">
        <f t="shared" si="7"/>
        <v>OKC,2015-16</v>
      </c>
    </row>
    <row r="1230">
      <c r="A1230" s="161" t="str">
        <f>IFERROR(__xludf.DUMMYFUNCTION("""COMPUTED_VALUE"""),"macksh01")</f>
        <v>macksh01</v>
      </c>
      <c r="B1230" s="161" t="str">
        <f>IFERROR(__xludf.DUMMYFUNCTION("""COMPUTED_VALUE"""),"Shelvin Mack")</f>
        <v>Shelvin Mack</v>
      </c>
      <c r="C1230" s="162" t="str">
        <f>IFERROR(__xludf.DUMMYFUNCTION("""COMPUTED_VALUE"""),"2015-16")</f>
        <v>2015-16</v>
      </c>
      <c r="D1230" s="163" t="str">
        <f>IFERROR(__xludf.DUMMYFUNCTION("""COMPUTED_VALUE"""),"TOT")</f>
        <v>TOT</v>
      </c>
      <c r="E1230" s="164" t="str">
        <f>IFERROR(__xludf.DUMMYFUNCTION("""COMPUTED_VALUE"""),"Primary Ball Handler")</f>
        <v>Primary Ball Handler</v>
      </c>
      <c r="F1230" s="164">
        <f>IFERROR(__xludf.DUMMYFUNCTION("""COMPUTED_VALUE"""),1057.93666666667)</f>
        <v>1057.936667</v>
      </c>
      <c r="G1230" s="163">
        <f>IFERROR(__xludf.DUMMYFUNCTION("""COMPUTED_VALUE"""),52.0)</f>
        <v>52</v>
      </c>
      <c r="H1230" s="163" t="str">
        <f>IFERROR(__xludf.DUMMYFUNCTION("""COMPUTED_VALUE"""),"PG")</f>
        <v>PG</v>
      </c>
      <c r="I1230" s="163">
        <f>IFERROR(__xludf.DUMMYFUNCTION("""COMPUTED_VALUE"""),25.0)</f>
        <v>25</v>
      </c>
      <c r="J1230" s="165">
        <f>IFERROR(__xludf.DUMMYFUNCTION("""COMPUTED_VALUE"""),-0.500186751919752)</f>
        <v>-0.5001867519</v>
      </c>
      <c r="K1230" s="165">
        <f>IFERROR(__xludf.DUMMYFUNCTION("""COMPUTED_VALUE"""),0.018360717802329)</f>
        <v>0.0183607178</v>
      </c>
      <c r="L1230" s="165">
        <f>IFERROR(__xludf.DUMMYFUNCTION("""COMPUTED_VALUE"""),-0.518547469722081)</f>
        <v>-0.5185474697</v>
      </c>
      <c r="M1230" s="166">
        <f t="shared" si="2"/>
        <v>1.274351372</v>
      </c>
      <c r="N1230" s="167">
        <f t="shared" si="3"/>
        <v>20.3449359</v>
      </c>
      <c r="O1230" s="163">
        <f t="shared" ref="O1230:Q1230" si="1234">rank(I1230,I:I)</f>
        <v>1995</v>
      </c>
      <c r="P1230" s="163">
        <f t="shared" si="1234"/>
        <v>1856</v>
      </c>
      <c r="Q1230" s="163">
        <f t="shared" si="1234"/>
        <v>1175</v>
      </c>
      <c r="R1230" s="163">
        <f>IFERROR(__xludf.DUMMYFUNCTION("RANK(M1230,filter(M:M,C:C=C1230))"),203.0)</f>
        <v>203</v>
      </c>
      <c r="S1230" s="161" t="b">
        <f t="shared" si="5"/>
        <v>0</v>
      </c>
      <c r="T1230" s="161" t="b">
        <f t="array" ref="T1230">index('Query Tool'!B:B,match(H1230,'Query Tool'!C:C,0))</f>
        <v>1</v>
      </c>
      <c r="U1230" s="161" t="b">
        <f t="array" ref="U1230">index('Query Tool'!B:B,match(C1230,'Query Tool'!C:C,0))</f>
        <v>0</v>
      </c>
      <c r="V1230" s="161" t="b">
        <f>F1230&gt;='Query Tool'!C$32</f>
        <v>1</v>
      </c>
      <c r="W1230" s="161" t="b">
        <f t="array" ref="W1230">index(Dropdowns!B:B,match(I1230,Dropdowns!A:A,0))</f>
        <v>1</v>
      </c>
      <c r="X1230" s="161" t="b">
        <f t="array" ref="X1230">index('Query Tool'!B:B,match(D1230,'Query Tool'!C:C,0))</f>
        <v>1</v>
      </c>
      <c r="Y1230" s="161" t="str">
        <f t="shared" si="6"/>
        <v>macksh01,2015-16</v>
      </c>
      <c r="Z1230" s="168">
        <f t="array" ref="Z1230">iferror(index(I:I,match($A1230&amp;","&amp;index('Year Conversion'!$A:$A,match($C1230,'Year Conversion'!$B:$B,0)),$Y:$Y,0))-I1230,"")</f>
        <v>1</v>
      </c>
      <c r="AA1230" s="168">
        <f t="array" ref="AA1230">iferror(index(J:J,match($A1230&amp;","&amp;index('Year Conversion'!$A:$A,match($C1230,'Year Conversion'!$B:$B,0)),$Y:$Y,0))-J1230,"")</f>
        <v>-1.434971153</v>
      </c>
      <c r="AB1230" s="168">
        <f t="array" ref="AB1230">iferror(index(K:K,match($A1230&amp;","&amp;index('Year Conversion'!$A:$A,match($C1230,'Year Conversion'!$B:$B,0)),$Y:$Y,0))-K1230,"")</f>
        <v>-1.144920349</v>
      </c>
      <c r="AC1230" s="168" t="str">
        <f t="shared" si="7"/>
        <v>TOT,2015-16</v>
      </c>
    </row>
    <row r="1231">
      <c r="A1231" s="161" t="str">
        <f>IFERROR(__xludf.DUMMYFUNCTION("""COMPUTED_VALUE"""),"parsoch01")</f>
        <v>parsoch01</v>
      </c>
      <c r="B1231" s="161" t="str">
        <f>IFERROR(__xludf.DUMMYFUNCTION("""COMPUTED_VALUE"""),"Chandler Parsons")</f>
        <v>Chandler Parsons</v>
      </c>
      <c r="C1231" s="162" t="str">
        <f>IFERROR(__xludf.DUMMYFUNCTION("""COMPUTED_VALUE"""),"2015-16")</f>
        <v>2015-16</v>
      </c>
      <c r="D1231" s="163" t="str">
        <f>IFERROR(__xludf.DUMMYFUNCTION("""COMPUTED_VALUE"""),"DAL")</f>
        <v>DAL</v>
      </c>
      <c r="E1231" s="164" t="str">
        <f>IFERROR(__xludf.DUMMYFUNCTION("""COMPUTED_VALUE"""),"Movement Shooter")</f>
        <v>Movement Shooter</v>
      </c>
      <c r="F1231" s="164">
        <f>IFERROR(__xludf.DUMMYFUNCTION("""COMPUTED_VALUE"""),1799.39)</f>
        <v>1799.39</v>
      </c>
      <c r="G1231" s="163">
        <f>IFERROR(__xludf.DUMMYFUNCTION("""COMPUTED_VALUE"""),61.0)</f>
        <v>61</v>
      </c>
      <c r="H1231" s="163" t="str">
        <f>IFERROR(__xludf.DUMMYFUNCTION("""COMPUTED_VALUE"""),"SF")</f>
        <v>SF</v>
      </c>
      <c r="I1231" s="163">
        <f>IFERROR(__xludf.DUMMYFUNCTION("""COMPUTED_VALUE"""),27.0)</f>
        <v>27</v>
      </c>
      <c r="J1231" s="165">
        <f>IFERROR(__xludf.DUMMYFUNCTION("""COMPUTED_VALUE"""),-0.492774045026903)</f>
        <v>-0.492774045</v>
      </c>
      <c r="K1231" s="165">
        <f>IFERROR(__xludf.DUMMYFUNCTION("""COMPUTED_VALUE"""),-0.17044617252545)</f>
        <v>-0.1704461725</v>
      </c>
      <c r="L1231" s="165">
        <f>IFERROR(__xludf.DUMMYFUNCTION("""COMPUTED_VALUE"""),-0.322327872501453)</f>
        <v>-0.3223278725</v>
      </c>
      <c r="M1231" s="166">
        <f t="shared" si="2"/>
        <v>2.176461977</v>
      </c>
      <c r="N1231" s="167">
        <f t="shared" si="3"/>
        <v>29.49819672</v>
      </c>
      <c r="O1231" s="163">
        <f t="shared" ref="O1231:Q1231" si="1235">rank(I1231,I:I)</f>
        <v>1366</v>
      </c>
      <c r="P1231" s="163">
        <f t="shared" si="1235"/>
        <v>1845</v>
      </c>
      <c r="Q1231" s="163">
        <f t="shared" si="1235"/>
        <v>1515</v>
      </c>
      <c r="R1231" s="163">
        <f>IFERROR(__xludf.DUMMYFUNCTION("RANK(M1231,filter(M:M,C:C=C1231))"),149.0)</f>
        <v>149</v>
      </c>
      <c r="S1231" s="161" t="b">
        <f t="shared" si="5"/>
        <v>0</v>
      </c>
      <c r="T1231" s="161" t="b">
        <f t="array" ref="T1231">index('Query Tool'!B:B,match(H1231,'Query Tool'!C:C,0))</f>
        <v>1</v>
      </c>
      <c r="U1231" s="161" t="b">
        <f t="array" ref="U1231">index('Query Tool'!B:B,match(C1231,'Query Tool'!C:C,0))</f>
        <v>0</v>
      </c>
      <c r="V1231" s="161" t="b">
        <f>F1231&gt;='Query Tool'!C$32</f>
        <v>1</v>
      </c>
      <c r="W1231" s="161" t="b">
        <f t="array" ref="W1231">index(Dropdowns!B:B,match(I1231,Dropdowns!A:A,0))</f>
        <v>1</v>
      </c>
      <c r="X1231" s="161" t="b">
        <f t="array" ref="X1231">index('Query Tool'!B:B,match(D1231,'Query Tool'!C:C,0))</f>
        <v>1</v>
      </c>
      <c r="Y1231" s="161" t="str">
        <f t="shared" si="6"/>
        <v>parsoch01,2015-16</v>
      </c>
      <c r="Z1231" s="168">
        <f t="array" ref="Z1231">iferror(index(I:I,match($A1231&amp;","&amp;index('Year Conversion'!$A:$A,match($C1231,'Year Conversion'!$B:$B,0)),$Y:$Y,0))-I1231,"")</f>
        <v>1</v>
      </c>
      <c r="AA1231" s="168">
        <f t="array" ref="AA1231">iferror(index(J:J,match($A1231&amp;","&amp;index('Year Conversion'!$A:$A,match($C1231,'Year Conversion'!$B:$B,0)),$Y:$Y,0))-J1231,"")</f>
        <v>-0.6684416098</v>
      </c>
      <c r="AB1231" s="168">
        <f t="array" ref="AB1231">iferror(index(K:K,match($A1231&amp;","&amp;index('Year Conversion'!$A:$A,match($C1231,'Year Conversion'!$B:$B,0)),$Y:$Y,0))-K1231,"")</f>
        <v>-0.990024459</v>
      </c>
      <c r="AC1231" s="168" t="str">
        <f t="shared" si="7"/>
        <v>DAL,2015-16</v>
      </c>
    </row>
    <row r="1232">
      <c r="A1232" s="161" t="str">
        <f>IFERROR(__xludf.DUMMYFUNCTION("""COMPUTED_VALUE"""),"leuerjo01")</f>
        <v>leuerjo01</v>
      </c>
      <c r="B1232" s="161" t="str">
        <f>IFERROR(__xludf.DUMMYFUNCTION("""COMPUTED_VALUE"""),"Jon Leuer")</f>
        <v>Jon Leuer</v>
      </c>
      <c r="C1232" s="162" t="str">
        <f>IFERROR(__xludf.DUMMYFUNCTION("""COMPUTED_VALUE"""),"2015-16")</f>
        <v>2015-16</v>
      </c>
      <c r="D1232" s="163" t="str">
        <f>IFERROR(__xludf.DUMMYFUNCTION("""COMPUTED_VALUE"""),"PHO")</f>
        <v>PHO</v>
      </c>
      <c r="E1232" s="164" t="str">
        <f>IFERROR(__xludf.DUMMYFUNCTION("""COMPUTED_VALUE"""),"Roll + Cut Big")</f>
        <v>Roll + Cut Big</v>
      </c>
      <c r="F1232" s="164">
        <f>IFERROR(__xludf.DUMMYFUNCTION("""COMPUTED_VALUE"""),1255.31833333333)</f>
        <v>1255.318333</v>
      </c>
      <c r="G1232" s="163">
        <f>IFERROR(__xludf.DUMMYFUNCTION("""COMPUTED_VALUE"""),67.0)</f>
        <v>67</v>
      </c>
      <c r="H1232" s="163" t="str">
        <f>IFERROR(__xludf.DUMMYFUNCTION("""COMPUTED_VALUE"""),"PF")</f>
        <v>PF</v>
      </c>
      <c r="I1232" s="163">
        <f>IFERROR(__xludf.DUMMYFUNCTION("""COMPUTED_VALUE"""),26.0)</f>
        <v>26</v>
      </c>
      <c r="J1232" s="165">
        <f>IFERROR(__xludf.DUMMYFUNCTION("""COMPUTED_VALUE"""),-0.513719038547432)</f>
        <v>-0.5137190385</v>
      </c>
      <c r="K1232" s="165">
        <f>IFERROR(__xludf.DUMMYFUNCTION("""COMPUTED_VALUE"""),-1.05797518714537)</f>
        <v>-1.057975187</v>
      </c>
      <c r="L1232" s="165">
        <f>IFERROR(__xludf.DUMMYFUNCTION("""COMPUTED_VALUE"""),0.544256148597936)</f>
        <v>0.5442561486</v>
      </c>
      <c r="M1232" s="166">
        <f t="shared" si="2"/>
        <v>1.500669601</v>
      </c>
      <c r="N1232" s="167">
        <f t="shared" si="3"/>
        <v>18.73609453</v>
      </c>
      <c r="O1232" s="163">
        <f t="shared" ref="O1232:Q1232" si="1236">rank(I1232,I:I)</f>
        <v>1665</v>
      </c>
      <c r="P1232" s="163">
        <f t="shared" si="1236"/>
        <v>1874</v>
      </c>
      <c r="Q1232" s="163">
        <f t="shared" si="1236"/>
        <v>2882</v>
      </c>
      <c r="R1232" s="163">
        <f>IFERROR(__xludf.DUMMYFUNCTION("RANK(M1232,filter(M:M,C:C=C1232))"),186.0)</f>
        <v>186</v>
      </c>
      <c r="S1232" s="161" t="b">
        <f t="shared" si="5"/>
        <v>0</v>
      </c>
      <c r="T1232" s="161" t="b">
        <f t="array" ref="T1232">index('Query Tool'!B:B,match(H1232,'Query Tool'!C:C,0))</f>
        <v>1</v>
      </c>
      <c r="U1232" s="161" t="b">
        <f t="array" ref="U1232">index('Query Tool'!B:B,match(C1232,'Query Tool'!C:C,0))</f>
        <v>0</v>
      </c>
      <c r="V1232" s="161" t="b">
        <f>F1232&gt;='Query Tool'!C$32</f>
        <v>1</v>
      </c>
      <c r="W1232" s="161" t="b">
        <f t="array" ref="W1232">index(Dropdowns!B:B,match(I1232,Dropdowns!A:A,0))</f>
        <v>1</v>
      </c>
      <c r="X1232" s="161" t="b">
        <f t="array" ref="X1232">index('Query Tool'!B:B,match(D1232,'Query Tool'!C:C,0))</f>
        <v>1</v>
      </c>
      <c r="Y1232" s="161" t="str">
        <f t="shared" si="6"/>
        <v>leuerjo01,2015-16</v>
      </c>
      <c r="Z1232" s="168">
        <f t="array" ref="Z1232">iferror(index(I:I,match($A1232&amp;","&amp;index('Year Conversion'!$A:$A,match($C1232,'Year Conversion'!$B:$B,0)),$Y:$Y,0))-I1232,"")</f>
        <v>1</v>
      </c>
      <c r="AA1232" s="168">
        <f t="array" ref="AA1232">iferror(index(J:J,match($A1232&amp;","&amp;index('Year Conversion'!$A:$A,match($C1232,'Year Conversion'!$B:$B,0)),$Y:$Y,0))-J1232,"")</f>
        <v>-0.05504539207</v>
      </c>
      <c r="AB1232" s="168">
        <f t="array" ref="AB1232">iferror(index(K:K,match($A1232&amp;","&amp;index('Year Conversion'!$A:$A,match($C1232,'Year Conversion'!$B:$B,0)),$Y:$Y,0))-K1232,"")</f>
        <v>-0.02768059974</v>
      </c>
      <c r="AC1232" s="168" t="str">
        <f t="shared" si="7"/>
        <v>PHO,2015-16</v>
      </c>
    </row>
    <row r="1233">
      <c r="A1233" s="161" t="str">
        <f>IFERROR(__xludf.DUMMYFUNCTION("""COMPUTED_VALUE"""),"goudean01")</f>
        <v>goudean01</v>
      </c>
      <c r="B1233" s="161" t="str">
        <f>IFERROR(__xludf.DUMMYFUNCTION("""COMPUTED_VALUE"""),"Andrew Goudelock")</f>
        <v>Andrew Goudelock</v>
      </c>
      <c r="C1233" s="162" t="str">
        <f>IFERROR(__xludf.DUMMYFUNCTION("""COMPUTED_VALUE"""),"2015-16")</f>
        <v>2015-16</v>
      </c>
      <c r="D1233" s="163" t="str">
        <f>IFERROR(__xludf.DUMMYFUNCTION("""COMPUTED_VALUE"""),"HOU")</f>
        <v>HOU</v>
      </c>
      <c r="E1233" s="164" t="str">
        <f>IFERROR(__xludf.DUMMYFUNCTION("""COMPUTED_VALUE"""),"Secondary Ball Handler")</f>
        <v>Secondary Ball Handler</v>
      </c>
      <c r="F1233" s="164">
        <f>IFERROR(__xludf.DUMMYFUNCTION("""COMPUTED_VALUE"""),49.7083333333334)</f>
        <v>49.70833333</v>
      </c>
      <c r="G1233" s="163">
        <f>IFERROR(__xludf.DUMMYFUNCTION("""COMPUTED_VALUE"""),8.0)</f>
        <v>8</v>
      </c>
      <c r="H1233" s="163" t="str">
        <f>IFERROR(__xludf.DUMMYFUNCTION("""COMPUTED_VALUE"""),"PG")</f>
        <v>PG</v>
      </c>
      <c r="I1233" s="163">
        <f>IFERROR(__xludf.DUMMYFUNCTION("""COMPUTED_VALUE"""),27.0)</f>
        <v>27</v>
      </c>
      <c r="J1233" s="165">
        <f>IFERROR(__xludf.DUMMYFUNCTION("""COMPUTED_VALUE"""),-0.795474499315155)</f>
        <v>-0.7954744993</v>
      </c>
      <c r="K1233" s="165">
        <f>IFERROR(__xludf.DUMMYFUNCTION("""COMPUTED_VALUE"""),-0.119433001122149)</f>
        <v>-0.1194330011</v>
      </c>
      <c r="L1233" s="165">
        <f>IFERROR(__xludf.DUMMYFUNCTION("""COMPUTED_VALUE"""),-0.676041498193007)</f>
        <v>-0.6760414982</v>
      </c>
      <c r="M1233" s="166">
        <f t="shared" si="2"/>
        <v>0.04999847081</v>
      </c>
      <c r="N1233" s="167">
        <f t="shared" si="3"/>
        <v>6.213541667</v>
      </c>
      <c r="O1233" s="163">
        <f t="shared" ref="O1233:Q1233" si="1237">rank(I1233,I:I)</f>
        <v>1366</v>
      </c>
      <c r="P1233" s="163">
        <f t="shared" si="1237"/>
        <v>2267</v>
      </c>
      <c r="Q1233" s="163">
        <f t="shared" si="1237"/>
        <v>1406</v>
      </c>
      <c r="R1233" s="163">
        <f>IFERROR(__xludf.DUMMYFUNCTION("RANK(M1233,filter(M:M,C:C=C1233))"),398.0)</f>
        <v>398</v>
      </c>
      <c r="S1233" s="161" t="b">
        <f t="shared" si="5"/>
        <v>0</v>
      </c>
      <c r="T1233" s="161" t="b">
        <f t="array" ref="T1233">index('Query Tool'!B:B,match(H1233,'Query Tool'!C:C,0))</f>
        <v>1</v>
      </c>
      <c r="U1233" s="161" t="b">
        <f t="array" ref="U1233">index('Query Tool'!B:B,match(C1233,'Query Tool'!C:C,0))</f>
        <v>0</v>
      </c>
      <c r="V1233" s="161" t="b">
        <f>F1233&gt;='Query Tool'!C$32</f>
        <v>0</v>
      </c>
      <c r="W1233" s="161" t="b">
        <f t="array" ref="W1233">index(Dropdowns!B:B,match(I1233,Dropdowns!A:A,0))</f>
        <v>1</v>
      </c>
      <c r="X1233" s="161" t="b">
        <f t="array" ref="X1233">index('Query Tool'!B:B,match(D1233,'Query Tool'!C:C,0))</f>
        <v>1</v>
      </c>
      <c r="Y1233" s="161" t="str">
        <f t="shared" si="6"/>
        <v>goudean01,2015-16</v>
      </c>
      <c r="Z1233" s="168" t="str">
        <f t="array" ref="Z1233">iferror(index(I:I,match($A1233&amp;","&amp;index('Year Conversion'!$A:$A,match($C1233,'Year Conversion'!$B:$B,0)),$Y:$Y,0))-I1233,"")</f>
        <v/>
      </c>
      <c r="AA1233" s="168" t="str">
        <f t="array" ref="AA1233">iferror(index(J:J,match($A1233&amp;","&amp;index('Year Conversion'!$A:$A,match($C1233,'Year Conversion'!$B:$B,0)),$Y:$Y,0))-J1233,"")</f>
        <v/>
      </c>
      <c r="AB1233" s="168" t="str">
        <f t="array" ref="AB1233">iferror(index(K:K,match($A1233&amp;","&amp;index('Year Conversion'!$A:$A,match($C1233,'Year Conversion'!$B:$B,0)),$Y:$Y,0))-K1233,"")</f>
        <v/>
      </c>
      <c r="AC1233" s="168" t="str">
        <f t="shared" si="7"/>
        <v>HOU,2015-16</v>
      </c>
    </row>
    <row r="1234">
      <c r="A1234" s="161" t="str">
        <f>IFERROR(__xludf.DUMMYFUNCTION("""COMPUTED_VALUE"""),"allenla01")</f>
        <v>allenla01</v>
      </c>
      <c r="B1234" s="161" t="str">
        <f>IFERROR(__xludf.DUMMYFUNCTION("""COMPUTED_VALUE"""),"Lavoy Allen")</f>
        <v>Lavoy Allen</v>
      </c>
      <c r="C1234" s="162" t="str">
        <f>IFERROR(__xludf.DUMMYFUNCTION("""COMPUTED_VALUE"""),"2015-16")</f>
        <v>2015-16</v>
      </c>
      <c r="D1234" s="163" t="str">
        <f>IFERROR(__xludf.DUMMYFUNCTION("""COMPUTED_VALUE"""),"IND")</f>
        <v>IND</v>
      </c>
      <c r="E1234" s="164" t="str">
        <f>IFERROR(__xludf.DUMMYFUNCTION("""COMPUTED_VALUE"""),"Roll + Cut Big")</f>
        <v>Roll + Cut Big</v>
      </c>
      <c r="F1234" s="164">
        <f>IFERROR(__xludf.DUMMYFUNCTION("""COMPUTED_VALUE"""),1598.80666666667)</f>
        <v>1598.806667</v>
      </c>
      <c r="G1234" s="163">
        <f>IFERROR(__xludf.DUMMYFUNCTION("""COMPUTED_VALUE"""),79.0)</f>
        <v>79</v>
      </c>
      <c r="H1234" s="163" t="str">
        <f>IFERROR(__xludf.DUMMYFUNCTION("""COMPUTED_VALUE"""),"PF")</f>
        <v>PF</v>
      </c>
      <c r="I1234" s="163">
        <f>IFERROR(__xludf.DUMMYFUNCTION("""COMPUTED_VALUE"""),26.0)</f>
        <v>26</v>
      </c>
      <c r="J1234" s="165">
        <f>IFERROR(__xludf.DUMMYFUNCTION("""COMPUTED_VALUE"""),-0.206784801462127)</f>
        <v>-0.2067848015</v>
      </c>
      <c r="K1234" s="165">
        <f>IFERROR(__xludf.DUMMYFUNCTION("""COMPUTED_VALUE"""),-0.960016180519005)</f>
        <v>-0.9600161805</v>
      </c>
      <c r="L1234" s="165">
        <f>IFERROR(__xludf.DUMMYFUNCTION("""COMPUTED_VALUE"""),0.753231379056878)</f>
        <v>0.7532313791</v>
      </c>
      <c r="M1234" s="166">
        <f t="shared" si="2"/>
        <v>2.241947018</v>
      </c>
      <c r="N1234" s="167">
        <f t="shared" si="3"/>
        <v>20.23805907</v>
      </c>
      <c r="O1234" s="163">
        <f t="shared" ref="O1234:Q1234" si="1238">rank(I1234,I:I)</f>
        <v>1665</v>
      </c>
      <c r="P1234" s="163">
        <f t="shared" si="1238"/>
        <v>1512</v>
      </c>
      <c r="Q1234" s="163">
        <f t="shared" si="1238"/>
        <v>2759</v>
      </c>
      <c r="R1234" s="163">
        <f>IFERROR(__xludf.DUMMYFUNCTION("RANK(M1234,filter(M:M,C:C=C1234))"),146.0)</f>
        <v>146</v>
      </c>
      <c r="S1234" s="161" t="b">
        <f t="shared" si="5"/>
        <v>0</v>
      </c>
      <c r="T1234" s="161" t="b">
        <f t="array" ref="T1234">index('Query Tool'!B:B,match(H1234,'Query Tool'!C:C,0))</f>
        <v>1</v>
      </c>
      <c r="U1234" s="161" t="b">
        <f t="array" ref="U1234">index('Query Tool'!B:B,match(C1234,'Query Tool'!C:C,0))</f>
        <v>0</v>
      </c>
      <c r="V1234" s="161" t="b">
        <f>F1234&gt;='Query Tool'!C$32</f>
        <v>1</v>
      </c>
      <c r="W1234" s="161" t="b">
        <f t="array" ref="W1234">index(Dropdowns!B:B,match(I1234,Dropdowns!A:A,0))</f>
        <v>1</v>
      </c>
      <c r="X1234" s="161" t="b">
        <f t="array" ref="X1234">index('Query Tool'!B:B,match(D1234,'Query Tool'!C:C,0))</f>
        <v>1</v>
      </c>
      <c r="Y1234" s="161" t="str">
        <f t="shared" si="6"/>
        <v>allenla01,2015-16</v>
      </c>
      <c r="Z1234" s="168">
        <f t="array" ref="Z1234">iferror(index(I:I,match($A1234&amp;","&amp;index('Year Conversion'!$A:$A,match($C1234,'Year Conversion'!$B:$B,0)),$Y:$Y,0))-I1234,"")</f>
        <v>1</v>
      </c>
      <c r="AA1234" s="168">
        <f t="array" ref="AA1234">iferror(index(J:J,match($A1234&amp;","&amp;index('Year Conversion'!$A:$A,match($C1234,'Year Conversion'!$B:$B,0)),$Y:$Y,0))-J1234,"")</f>
        <v>-1.824429313</v>
      </c>
      <c r="AB1234" s="168">
        <f t="array" ref="AB1234">iferror(index(K:K,match($A1234&amp;","&amp;index('Year Conversion'!$A:$A,match($C1234,'Year Conversion'!$B:$B,0)),$Y:$Y,0))-K1234,"")</f>
        <v>-0.4980920872</v>
      </c>
      <c r="AC1234" s="168" t="str">
        <f t="shared" si="7"/>
        <v>IND,2015-16</v>
      </c>
    </row>
    <row r="1235">
      <c r="A1235" s="161" t="str">
        <f>IFERROR(__xludf.DUMMYFUNCTION("""COMPUTED_VALUE"""),"mooreet01")</f>
        <v>mooreet01</v>
      </c>
      <c r="B1235" s="161" t="str">
        <f>IFERROR(__xludf.DUMMYFUNCTION("""COMPUTED_VALUE"""),"E'Twaun Moore")</f>
        <v>E'Twaun Moore</v>
      </c>
      <c r="C1235" s="162" t="str">
        <f>IFERROR(__xludf.DUMMYFUNCTION("""COMPUTED_VALUE"""),"2015-16")</f>
        <v>2015-16</v>
      </c>
      <c r="D1235" s="163" t="str">
        <f>IFERROR(__xludf.DUMMYFUNCTION("""COMPUTED_VALUE"""),"CHI")</f>
        <v>CHI</v>
      </c>
      <c r="E1235" s="164" t="str">
        <f>IFERROR(__xludf.DUMMYFUNCTION("""COMPUTED_VALUE"""),"Secondary Ball Handler")</f>
        <v>Secondary Ball Handler</v>
      </c>
      <c r="F1235" s="164">
        <f>IFERROR(__xludf.DUMMYFUNCTION("""COMPUTED_VALUE"""),1263.1)</f>
        <v>1263.1</v>
      </c>
      <c r="G1235" s="163">
        <f>IFERROR(__xludf.DUMMYFUNCTION("""COMPUTED_VALUE"""),59.0)</f>
        <v>59</v>
      </c>
      <c r="H1235" s="163" t="str">
        <f>IFERROR(__xludf.DUMMYFUNCTION("""COMPUTED_VALUE"""),"SG")</f>
        <v>SG</v>
      </c>
      <c r="I1235" s="163">
        <f>IFERROR(__xludf.DUMMYFUNCTION("""COMPUTED_VALUE"""),26.0)</f>
        <v>26</v>
      </c>
      <c r="J1235" s="165">
        <f>IFERROR(__xludf.DUMMYFUNCTION("""COMPUTED_VALUE"""),-1.64216874194338)</f>
        <v>-1.642168742</v>
      </c>
      <c r="K1235" s="165">
        <f>IFERROR(__xludf.DUMMYFUNCTION("""COMPUTED_VALUE"""),-1.21671903906353)</f>
        <v>-1.216719039</v>
      </c>
      <c r="L1235" s="165">
        <f>IFERROR(__xludf.DUMMYFUNCTION("""COMPUTED_VALUE"""),-0.425449702879849)</f>
        <v>-0.4254497029</v>
      </c>
      <c r="M1235" s="166">
        <f t="shared" si="2"/>
        <v>0.5540743247</v>
      </c>
      <c r="N1235" s="167">
        <f t="shared" si="3"/>
        <v>21.40847458</v>
      </c>
      <c r="O1235" s="163">
        <f t="shared" ref="O1235:Q1235" si="1239">rank(I1235,I:I)</f>
        <v>1665</v>
      </c>
      <c r="P1235" s="163">
        <f t="shared" si="1239"/>
        <v>3188</v>
      </c>
      <c r="Q1235" s="163">
        <f t="shared" si="1239"/>
        <v>3048</v>
      </c>
      <c r="R1235" s="163">
        <f>IFERROR(__xludf.DUMMYFUNCTION("RANK(M1235,filter(M:M,C:C=C1235))"),277.0)</f>
        <v>277</v>
      </c>
      <c r="S1235" s="161" t="b">
        <f t="shared" si="5"/>
        <v>0</v>
      </c>
      <c r="T1235" s="161" t="b">
        <f t="array" ref="T1235">index('Query Tool'!B:B,match(H1235,'Query Tool'!C:C,0))</f>
        <v>1</v>
      </c>
      <c r="U1235" s="161" t="b">
        <f t="array" ref="U1235">index('Query Tool'!B:B,match(C1235,'Query Tool'!C:C,0))</f>
        <v>0</v>
      </c>
      <c r="V1235" s="161" t="b">
        <f>F1235&gt;='Query Tool'!C$32</f>
        <v>1</v>
      </c>
      <c r="W1235" s="161" t="b">
        <f t="array" ref="W1235">index(Dropdowns!B:B,match(I1235,Dropdowns!A:A,0))</f>
        <v>1</v>
      </c>
      <c r="X1235" s="161" t="b">
        <f t="array" ref="X1235">index('Query Tool'!B:B,match(D1235,'Query Tool'!C:C,0))</f>
        <v>1</v>
      </c>
      <c r="Y1235" s="161" t="str">
        <f t="shared" si="6"/>
        <v>mooreet01,2015-16</v>
      </c>
      <c r="Z1235" s="168">
        <f t="array" ref="Z1235">iferror(index(I:I,match($A1235&amp;","&amp;index('Year Conversion'!$A:$A,match($C1235,'Year Conversion'!$B:$B,0)),$Y:$Y,0))-I1235,"")</f>
        <v>1</v>
      </c>
      <c r="AA1235" s="168">
        <f t="array" ref="AA1235">iferror(index(J:J,match($A1235&amp;","&amp;index('Year Conversion'!$A:$A,match($C1235,'Year Conversion'!$B:$B,0)),$Y:$Y,0))-J1235,"")</f>
        <v>0.07289797526</v>
      </c>
      <c r="AB1235" s="168">
        <f t="array" ref="AB1235">iferror(index(K:K,match($A1235&amp;","&amp;index('Year Conversion'!$A:$A,match($C1235,'Year Conversion'!$B:$B,0)),$Y:$Y,0))-K1235,"")</f>
        <v>0.07472552488</v>
      </c>
      <c r="AC1235" s="168" t="str">
        <f t="shared" si="7"/>
        <v>CHI,2015-16</v>
      </c>
    </row>
    <row r="1236">
      <c r="A1236" s="161" t="str">
        <f>IFERROR(__xludf.DUMMYFUNCTION("""COMPUTED_VALUE"""),"thomais02")</f>
        <v>thomais02</v>
      </c>
      <c r="B1236" s="161" t="str">
        <f>IFERROR(__xludf.DUMMYFUNCTION("""COMPUTED_VALUE"""),"Isaiah Thomas")</f>
        <v>Isaiah Thomas</v>
      </c>
      <c r="C1236" s="162" t="str">
        <f>IFERROR(__xludf.DUMMYFUNCTION("""COMPUTED_VALUE"""),"2015-16")</f>
        <v>2015-16</v>
      </c>
      <c r="D1236" s="163" t="str">
        <f>IFERROR(__xludf.DUMMYFUNCTION("""COMPUTED_VALUE"""),"BOS")</f>
        <v>BOS</v>
      </c>
      <c r="E1236" s="164" t="str">
        <f>IFERROR(__xludf.DUMMYFUNCTION("""COMPUTED_VALUE"""),"Primary Ball Handler")</f>
        <v>Primary Ball Handler</v>
      </c>
      <c r="F1236" s="164">
        <f>IFERROR(__xludf.DUMMYFUNCTION("""COMPUTED_VALUE"""),2644.40333333333)</f>
        <v>2644.403333</v>
      </c>
      <c r="G1236" s="163">
        <f>IFERROR(__xludf.DUMMYFUNCTION("""COMPUTED_VALUE"""),82.0)</f>
        <v>82</v>
      </c>
      <c r="H1236" s="163" t="str">
        <f>IFERROR(__xludf.DUMMYFUNCTION("""COMPUTED_VALUE"""),"PG")</f>
        <v>PG</v>
      </c>
      <c r="I1236" s="163">
        <f>IFERROR(__xludf.DUMMYFUNCTION("""COMPUTED_VALUE"""),26.0)</f>
        <v>26</v>
      </c>
      <c r="J1236" s="165">
        <f>IFERROR(__xludf.DUMMYFUNCTION("""COMPUTED_VALUE"""),2.13594714624293)</f>
        <v>2.135947146</v>
      </c>
      <c r="K1236" s="165">
        <f>IFERROR(__xludf.DUMMYFUNCTION("""COMPUTED_VALUE"""),3.72348782655217)</f>
        <v>3.723487827</v>
      </c>
      <c r="L1236" s="165">
        <f>IFERROR(__xludf.DUMMYFUNCTION("""COMPUTED_VALUE"""),-1.58754068030924)</f>
        <v>-1.58754068</v>
      </c>
      <c r="M1236" s="166">
        <f t="shared" si="2"/>
        <v>7.860865822</v>
      </c>
      <c r="N1236" s="167">
        <f t="shared" si="3"/>
        <v>32.24882114</v>
      </c>
      <c r="O1236" s="163">
        <f t="shared" ref="O1236:Q1236" si="1240">rank(I1236,I:I)</f>
        <v>1665</v>
      </c>
      <c r="P1236" s="163">
        <f t="shared" si="1240"/>
        <v>283</v>
      </c>
      <c r="Q1236" s="163">
        <f t="shared" si="1240"/>
        <v>77</v>
      </c>
      <c r="R1236" s="163">
        <f>IFERROR(__xludf.DUMMYFUNCTION("RANK(M1236,filter(M:M,C:C=C1236))"),22.0)</f>
        <v>22</v>
      </c>
      <c r="S1236" s="161" t="b">
        <f t="shared" si="5"/>
        <v>0</v>
      </c>
      <c r="T1236" s="161" t="b">
        <f t="array" ref="T1236">index('Query Tool'!B:B,match(H1236,'Query Tool'!C:C,0))</f>
        <v>1</v>
      </c>
      <c r="U1236" s="161" t="b">
        <f t="array" ref="U1236">index('Query Tool'!B:B,match(C1236,'Query Tool'!C:C,0))</f>
        <v>0</v>
      </c>
      <c r="V1236" s="161" t="b">
        <f>F1236&gt;='Query Tool'!C$32</f>
        <v>1</v>
      </c>
      <c r="W1236" s="161" t="b">
        <f t="array" ref="W1236">index(Dropdowns!B:B,match(I1236,Dropdowns!A:A,0))</f>
        <v>1</v>
      </c>
      <c r="X1236" s="161" t="b">
        <f t="array" ref="X1236">index('Query Tool'!B:B,match(D1236,'Query Tool'!C:C,0))</f>
        <v>1</v>
      </c>
      <c r="Y1236" s="161" t="str">
        <f t="shared" si="6"/>
        <v>thomais02,2015-16</v>
      </c>
      <c r="Z1236" s="168">
        <f t="array" ref="Z1236">iferror(index(I:I,match($A1236&amp;","&amp;index('Year Conversion'!$A:$A,match($C1236,'Year Conversion'!$B:$B,0)),$Y:$Y,0))-I1236,"")</f>
        <v>1</v>
      </c>
      <c r="AA1236" s="168">
        <f t="array" ref="AA1236">iferror(index(J:J,match($A1236&amp;","&amp;index('Year Conversion'!$A:$A,match($C1236,'Year Conversion'!$B:$B,0)),$Y:$Y,0))-J1236,"")</f>
        <v>0.6404533553</v>
      </c>
      <c r="AB1236" s="168">
        <f t="array" ref="AB1236">iferror(index(K:K,match($A1236&amp;","&amp;index('Year Conversion'!$A:$A,match($C1236,'Year Conversion'!$B:$B,0)),$Y:$Y,0))-K1236,"")</f>
        <v>1.76788996</v>
      </c>
      <c r="AC1236" s="168" t="str">
        <f t="shared" si="7"/>
        <v>BOS,2015-16</v>
      </c>
    </row>
    <row r="1237">
      <c r="A1237" s="161" t="str">
        <f>IFERROR(__xludf.DUMMYFUNCTION("""COMPUTED_VALUE"""),"smithgr02")</f>
        <v>smithgr02</v>
      </c>
      <c r="B1237" s="161" t="str">
        <f>IFERROR(__xludf.DUMMYFUNCTION("""COMPUTED_VALUE"""),"Greg Smith")</f>
        <v>Greg Smith</v>
      </c>
      <c r="C1237" s="162" t="str">
        <f>IFERROR(__xludf.DUMMYFUNCTION("""COMPUTED_VALUE"""),"2015-16")</f>
        <v>2015-16</v>
      </c>
      <c r="D1237" s="163" t="str">
        <f>IFERROR(__xludf.DUMMYFUNCTION("""COMPUTED_VALUE"""),"MIN")</f>
        <v>MIN</v>
      </c>
      <c r="E1237" s="164" t="str">
        <f>IFERROR(__xludf.DUMMYFUNCTION("""COMPUTED_VALUE"""),"Roll + Cut Big")</f>
        <v>Roll + Cut Big</v>
      </c>
      <c r="F1237" s="164">
        <f>IFERROR(__xludf.DUMMYFUNCTION("""COMPUTED_VALUE"""),191.94)</f>
        <v>191.94</v>
      </c>
      <c r="G1237" s="163">
        <f>IFERROR(__xludf.DUMMYFUNCTION("""COMPUTED_VALUE"""),18.0)</f>
        <v>18</v>
      </c>
      <c r="H1237" s="163" t="str">
        <f>IFERROR(__xludf.DUMMYFUNCTION("""COMPUTED_VALUE"""),"PF")</f>
        <v>PF</v>
      </c>
      <c r="I1237" s="163">
        <f>IFERROR(__xludf.DUMMYFUNCTION("""COMPUTED_VALUE"""),25.0)</f>
        <v>25</v>
      </c>
      <c r="J1237" s="165">
        <f>IFERROR(__xludf.DUMMYFUNCTION("""COMPUTED_VALUE"""),-1.64124385997009)</f>
        <v>-1.64124386</v>
      </c>
      <c r="K1237" s="165">
        <f>IFERROR(__xludf.DUMMYFUNCTION("""COMPUTED_VALUE"""),-1.36458808083962)</f>
        <v>-1.364588081</v>
      </c>
      <c r="L1237" s="165">
        <f>IFERROR(__xludf.DUMMYFUNCTION("""COMPUTED_VALUE"""),-0.276655779130474)</f>
        <v>-0.2766557791</v>
      </c>
      <c r="M1237" s="166">
        <f t="shared" si="2"/>
        <v>0.08431518692</v>
      </c>
      <c r="N1237" s="167">
        <f t="shared" si="3"/>
        <v>10.66333333</v>
      </c>
      <c r="O1237" s="163">
        <f t="shared" ref="O1237:Q1237" si="1241">rank(I1237,I:I)</f>
        <v>1995</v>
      </c>
      <c r="P1237" s="163">
        <f t="shared" si="1241"/>
        <v>3187</v>
      </c>
      <c r="Q1237" s="163">
        <f t="shared" si="1241"/>
        <v>3220</v>
      </c>
      <c r="R1237" s="163">
        <f>IFERROR(__xludf.DUMMYFUNCTION("RANK(M1237,filter(M:M,C:C=C1237))"),376.0)</f>
        <v>376</v>
      </c>
      <c r="S1237" s="161" t="b">
        <f t="shared" si="5"/>
        <v>0</v>
      </c>
      <c r="T1237" s="161" t="b">
        <f t="array" ref="T1237">index('Query Tool'!B:B,match(H1237,'Query Tool'!C:C,0))</f>
        <v>1</v>
      </c>
      <c r="U1237" s="161" t="b">
        <f t="array" ref="U1237">index('Query Tool'!B:B,match(C1237,'Query Tool'!C:C,0))</f>
        <v>0</v>
      </c>
      <c r="V1237" s="161" t="b">
        <f>F1237&gt;='Query Tool'!C$32</f>
        <v>0</v>
      </c>
      <c r="W1237" s="161" t="b">
        <f t="array" ref="W1237">index(Dropdowns!B:B,match(I1237,Dropdowns!A:A,0))</f>
        <v>1</v>
      </c>
      <c r="X1237" s="161" t="b">
        <f t="array" ref="X1237">index('Query Tool'!B:B,match(D1237,'Query Tool'!C:C,0))</f>
        <v>1</v>
      </c>
      <c r="Y1237" s="161" t="str">
        <f t="shared" si="6"/>
        <v>smithgr02,2015-16</v>
      </c>
      <c r="Z1237" s="168" t="str">
        <f t="array" ref="Z1237">iferror(index(I:I,match($A1237&amp;","&amp;index('Year Conversion'!$A:$A,match($C1237,'Year Conversion'!$B:$B,0)),$Y:$Y,0))-I1237,"")</f>
        <v/>
      </c>
      <c r="AA1237" s="168" t="str">
        <f t="array" ref="AA1237">iferror(index(J:J,match($A1237&amp;","&amp;index('Year Conversion'!$A:$A,match($C1237,'Year Conversion'!$B:$B,0)),$Y:$Y,0))-J1237,"")</f>
        <v/>
      </c>
      <c r="AB1237" s="168" t="str">
        <f t="array" ref="AB1237">iferror(index(K:K,match($A1237&amp;","&amp;index('Year Conversion'!$A:$A,match($C1237,'Year Conversion'!$B:$B,0)),$Y:$Y,0))-K1237,"")</f>
        <v/>
      </c>
      <c r="AC1237" s="168" t="str">
        <f t="shared" si="7"/>
        <v>MIN,2015-16</v>
      </c>
    </row>
    <row r="1238">
      <c r="A1238" s="161" t="str">
        <f>IFERROR(__xludf.DUMMYFUNCTION("""COMPUTED_VALUE"""),"davisan02")</f>
        <v>davisan02</v>
      </c>
      <c r="B1238" s="161" t="str">
        <f>IFERROR(__xludf.DUMMYFUNCTION("""COMPUTED_VALUE"""),"Anthony Davis")</f>
        <v>Anthony Davis</v>
      </c>
      <c r="C1238" s="162" t="str">
        <f>IFERROR(__xludf.DUMMYFUNCTION("""COMPUTED_VALUE"""),"2015-16")</f>
        <v>2015-16</v>
      </c>
      <c r="D1238" s="163" t="str">
        <f>IFERROR(__xludf.DUMMYFUNCTION("""COMPUTED_VALUE"""),"NOP")</f>
        <v>NOP</v>
      </c>
      <c r="E1238" s="164" t="str">
        <f>IFERROR(__xludf.DUMMYFUNCTION("""COMPUTED_VALUE"""),"Post Scorer")</f>
        <v>Post Scorer</v>
      </c>
      <c r="F1238" s="164">
        <f>IFERROR(__xludf.DUMMYFUNCTION("""COMPUTED_VALUE"""),2164.26)</f>
        <v>2164.26</v>
      </c>
      <c r="G1238" s="163">
        <f>IFERROR(__xludf.DUMMYFUNCTION("""COMPUTED_VALUE"""),61.0)</f>
        <v>61</v>
      </c>
      <c r="H1238" s="163" t="str">
        <f>IFERROR(__xludf.DUMMYFUNCTION("""COMPUTED_VALUE"""),"C")</f>
        <v>C</v>
      </c>
      <c r="I1238" s="163">
        <f>IFERROR(__xludf.DUMMYFUNCTION("""COMPUTED_VALUE"""),22.0)</f>
        <v>22</v>
      </c>
      <c r="J1238" s="165">
        <f>IFERROR(__xludf.DUMMYFUNCTION("""COMPUTED_VALUE"""),2.90593113633089)</f>
        <v>2.905931136</v>
      </c>
      <c r="K1238" s="165">
        <f>IFERROR(__xludf.DUMMYFUNCTION("""COMPUTED_VALUE"""),1.50816888992858)</f>
        <v>1.50816889</v>
      </c>
      <c r="L1238" s="165">
        <f>IFERROR(__xludf.DUMMYFUNCTION("""COMPUTED_VALUE"""),1.39776224640232)</f>
        <v>1.397762246</v>
      </c>
      <c r="M1238" s="166">
        <f t="shared" si="2"/>
        <v>7.527624355</v>
      </c>
      <c r="N1238" s="167">
        <f t="shared" si="3"/>
        <v>35.47967213</v>
      </c>
      <c r="O1238" s="163">
        <f t="shared" ref="O1238:Q1238" si="1242">rank(I1238,I:I)</f>
        <v>3178</v>
      </c>
      <c r="P1238" s="163">
        <f t="shared" si="1242"/>
        <v>177</v>
      </c>
      <c r="Q1238" s="163">
        <f t="shared" si="1242"/>
        <v>320</v>
      </c>
      <c r="R1238" s="163">
        <f>IFERROR(__xludf.DUMMYFUNCTION("RANK(M1238,filter(M:M,C:C=C1238))"),25.0)</f>
        <v>25</v>
      </c>
      <c r="S1238" s="161" t="b">
        <f t="shared" si="5"/>
        <v>0</v>
      </c>
      <c r="T1238" s="161" t="b">
        <f t="array" ref="T1238">index('Query Tool'!B:B,match(H1238,'Query Tool'!C:C,0))</f>
        <v>1</v>
      </c>
      <c r="U1238" s="161" t="b">
        <f t="array" ref="U1238">index('Query Tool'!B:B,match(C1238,'Query Tool'!C:C,0))</f>
        <v>0</v>
      </c>
      <c r="V1238" s="161" t="b">
        <f>F1238&gt;='Query Tool'!C$32</f>
        <v>1</v>
      </c>
      <c r="W1238" s="161" t="b">
        <f t="array" ref="W1238">index(Dropdowns!B:B,match(I1238,Dropdowns!A:A,0))</f>
        <v>1</v>
      </c>
      <c r="X1238" s="161" t="b">
        <f t="array" ref="X1238">index('Query Tool'!B:B,match(D1238,'Query Tool'!C:C,0))</f>
        <v>1</v>
      </c>
      <c r="Y1238" s="161" t="str">
        <f t="shared" si="6"/>
        <v>davisan02,2015-16</v>
      </c>
      <c r="Z1238" s="168">
        <f t="array" ref="Z1238">iferror(index(I:I,match($A1238&amp;","&amp;index('Year Conversion'!$A:$A,match($C1238,'Year Conversion'!$B:$B,0)),$Y:$Y,0))-I1238,"")</f>
        <v>1</v>
      </c>
      <c r="AA1238" s="168">
        <f t="array" ref="AA1238">iferror(index(J:J,match($A1238&amp;","&amp;index('Year Conversion'!$A:$A,match($C1238,'Year Conversion'!$B:$B,0)),$Y:$Y,0))-J1238,"")</f>
        <v>1.537824562</v>
      </c>
      <c r="AB1238" s="168">
        <f t="array" ref="AB1238">iferror(index(K:K,match($A1238&amp;","&amp;index('Year Conversion'!$A:$A,match($C1238,'Year Conversion'!$B:$B,0)),$Y:$Y,0))-K1238,"")</f>
        <v>0.5223847324</v>
      </c>
      <c r="AC1238" s="168" t="str">
        <f t="shared" si="7"/>
        <v>NOP,2015-16</v>
      </c>
    </row>
    <row r="1239">
      <c r="A1239" s="161" t="str">
        <f>IFERROR(__xludf.DUMMYFUNCTION("""COMPUTED_VALUE"""),"kiddgmi01")</f>
        <v>kiddgmi01</v>
      </c>
      <c r="B1239" s="161" t="str">
        <f>IFERROR(__xludf.DUMMYFUNCTION("""COMPUTED_VALUE"""),"Michael Kidd-Gilchrist")</f>
        <v>Michael Kidd-Gilchrist</v>
      </c>
      <c r="C1239" s="162" t="str">
        <f>IFERROR(__xludf.DUMMYFUNCTION("""COMPUTED_VALUE"""),"2015-16")</f>
        <v>2015-16</v>
      </c>
      <c r="D1239" s="163" t="str">
        <f>IFERROR(__xludf.DUMMYFUNCTION("""COMPUTED_VALUE"""),"CHO")</f>
        <v>CHO</v>
      </c>
      <c r="E1239" s="164" t="str">
        <f>IFERROR(__xludf.DUMMYFUNCTION("""COMPUTED_VALUE"""),"Athletic Finisher")</f>
        <v>Athletic Finisher</v>
      </c>
      <c r="F1239" s="164">
        <f>IFERROR(__xludf.DUMMYFUNCTION("""COMPUTED_VALUE"""),204.741666666667)</f>
        <v>204.7416667</v>
      </c>
      <c r="G1239" s="163">
        <f>IFERROR(__xludf.DUMMYFUNCTION("""COMPUTED_VALUE"""),7.0)</f>
        <v>7</v>
      </c>
      <c r="H1239" s="163" t="str">
        <f>IFERROR(__xludf.DUMMYFUNCTION("""COMPUTED_VALUE"""),"SF")</f>
        <v>SF</v>
      </c>
      <c r="I1239" s="163">
        <f>IFERROR(__xludf.DUMMYFUNCTION("""COMPUTED_VALUE"""),22.0)</f>
        <v>22</v>
      </c>
      <c r="J1239" s="165">
        <f>IFERROR(__xludf.DUMMYFUNCTION("""COMPUTED_VALUE"""),0.0750667199944373)</f>
        <v>0.07506671999</v>
      </c>
      <c r="K1239" s="165">
        <f>IFERROR(__xludf.DUMMYFUNCTION("""COMPUTED_VALUE"""),-0.21709622495463)</f>
        <v>-0.217096225</v>
      </c>
      <c r="L1239" s="165">
        <f>IFERROR(__xludf.DUMMYFUNCTION("""COMPUTED_VALUE"""),0.292162944949068)</f>
        <v>0.2921629449</v>
      </c>
      <c r="M1239" s="166">
        <f t="shared" si="2"/>
        <v>0.3260051373</v>
      </c>
      <c r="N1239" s="167">
        <f t="shared" si="3"/>
        <v>29.24880952</v>
      </c>
      <c r="O1239" s="163">
        <f t="shared" ref="O1239:Q1239" si="1243">rank(I1239,I:I)</f>
        <v>3178</v>
      </c>
      <c r="P1239" s="163">
        <f t="shared" si="1243"/>
        <v>1220</v>
      </c>
      <c r="Q1239" s="163">
        <f t="shared" si="1243"/>
        <v>1594</v>
      </c>
      <c r="R1239" s="163">
        <f>IFERROR(__xludf.DUMMYFUNCTION("RANK(M1239,filter(M:M,C:C=C1239))"),305.0)</f>
        <v>305</v>
      </c>
      <c r="S1239" s="161" t="b">
        <f t="shared" si="5"/>
        <v>0</v>
      </c>
      <c r="T1239" s="161" t="b">
        <f t="array" ref="T1239">index('Query Tool'!B:B,match(H1239,'Query Tool'!C:C,0))</f>
        <v>1</v>
      </c>
      <c r="U1239" s="161" t="b">
        <f t="array" ref="U1239">index('Query Tool'!B:B,match(C1239,'Query Tool'!C:C,0))</f>
        <v>0</v>
      </c>
      <c r="V1239" s="161" t="b">
        <f>F1239&gt;='Query Tool'!C$32</f>
        <v>0</v>
      </c>
      <c r="W1239" s="161" t="b">
        <f t="array" ref="W1239">index(Dropdowns!B:B,match(I1239,Dropdowns!A:A,0))</f>
        <v>1</v>
      </c>
      <c r="X1239" s="161" t="b">
        <f t="array" ref="X1239">index('Query Tool'!B:B,match(D1239,'Query Tool'!C:C,0))</f>
        <v>1</v>
      </c>
      <c r="Y1239" s="161" t="str">
        <f t="shared" si="6"/>
        <v>kiddgmi01,2015-16</v>
      </c>
      <c r="Z1239" s="168">
        <f t="array" ref="Z1239">iferror(index(I:I,match($A1239&amp;","&amp;index('Year Conversion'!$A:$A,match($C1239,'Year Conversion'!$B:$B,0)),$Y:$Y,0))-I1239,"")</f>
        <v>1</v>
      </c>
      <c r="AA1239" s="168">
        <f t="array" ref="AA1239">iferror(index(J:J,match($A1239&amp;","&amp;index('Year Conversion'!$A:$A,match($C1239,'Year Conversion'!$B:$B,0)),$Y:$Y,0))-J1239,"")</f>
        <v>1.539662358</v>
      </c>
      <c r="AB1239" s="168">
        <f t="array" ref="AB1239">iferror(index(K:K,match($A1239&amp;","&amp;index('Year Conversion'!$A:$A,match($C1239,'Year Conversion'!$B:$B,0)),$Y:$Y,0))-K1239,"")</f>
        <v>-1.073213901</v>
      </c>
      <c r="AC1239" s="168" t="str">
        <f t="shared" si="7"/>
        <v>CHO,2015-16</v>
      </c>
    </row>
    <row r="1240">
      <c r="A1240" s="161" t="str">
        <f>IFERROR(__xludf.DUMMYFUNCTION("""COMPUTED_VALUE"""),"bealbr01")</f>
        <v>bealbr01</v>
      </c>
      <c r="B1240" s="161" t="str">
        <f>IFERROR(__xludf.DUMMYFUNCTION("""COMPUTED_VALUE"""),"Bradley Beal")</f>
        <v>Bradley Beal</v>
      </c>
      <c r="C1240" s="162" t="str">
        <f>IFERROR(__xludf.DUMMYFUNCTION("""COMPUTED_VALUE"""),"2015-16")</f>
        <v>2015-16</v>
      </c>
      <c r="D1240" s="163" t="str">
        <f>IFERROR(__xludf.DUMMYFUNCTION("""COMPUTED_VALUE"""),"WAS")</f>
        <v>WAS</v>
      </c>
      <c r="E1240" s="164" t="str">
        <f>IFERROR(__xludf.DUMMYFUNCTION("""COMPUTED_VALUE"""),"Secondary Ball Handler")</f>
        <v>Secondary Ball Handler</v>
      </c>
      <c r="F1240" s="164">
        <f>IFERROR(__xludf.DUMMYFUNCTION("""COMPUTED_VALUE"""),1708.245)</f>
        <v>1708.245</v>
      </c>
      <c r="G1240" s="163">
        <f>IFERROR(__xludf.DUMMYFUNCTION("""COMPUTED_VALUE"""),55.0)</f>
        <v>55</v>
      </c>
      <c r="H1240" s="163" t="str">
        <f>IFERROR(__xludf.DUMMYFUNCTION("""COMPUTED_VALUE"""),"SG")</f>
        <v>SG</v>
      </c>
      <c r="I1240" s="163">
        <f>IFERROR(__xludf.DUMMYFUNCTION("""COMPUTED_VALUE"""),22.0)</f>
        <v>22</v>
      </c>
      <c r="J1240" s="165">
        <f>IFERROR(__xludf.DUMMYFUNCTION("""COMPUTED_VALUE"""),-0.672556227558269)</f>
        <v>-0.6725562276</v>
      </c>
      <c r="K1240" s="165">
        <f>IFERROR(__xludf.DUMMYFUNCTION("""COMPUTED_VALUE"""),0.0394307737429676)</f>
        <v>0.03943077374</v>
      </c>
      <c r="L1240" s="165">
        <f>IFERROR(__xludf.DUMMYFUNCTION("""COMPUTED_VALUE"""),-0.711987001301237)</f>
        <v>-0.7119870013</v>
      </c>
      <c r="M1240" s="166">
        <f t="shared" si="2"/>
        <v>1.859460241</v>
      </c>
      <c r="N1240" s="167">
        <f t="shared" si="3"/>
        <v>31.059</v>
      </c>
      <c r="O1240" s="163">
        <f t="shared" ref="O1240:Q1240" si="1244">rank(I1240,I:I)</f>
        <v>3178</v>
      </c>
      <c r="P1240" s="163">
        <f t="shared" si="1244"/>
        <v>2099</v>
      </c>
      <c r="Q1240" s="163">
        <f t="shared" si="1244"/>
        <v>1139</v>
      </c>
      <c r="R1240" s="163">
        <f>IFERROR(__xludf.DUMMYFUNCTION("RANK(M1240,filter(M:M,C:C=C1240))"),163.0)</f>
        <v>163</v>
      </c>
      <c r="S1240" s="161" t="b">
        <f t="shared" si="5"/>
        <v>0</v>
      </c>
      <c r="T1240" s="161" t="b">
        <f t="array" ref="T1240">index('Query Tool'!B:B,match(H1240,'Query Tool'!C:C,0))</f>
        <v>1</v>
      </c>
      <c r="U1240" s="161" t="b">
        <f t="array" ref="U1240">index('Query Tool'!B:B,match(C1240,'Query Tool'!C:C,0))</f>
        <v>0</v>
      </c>
      <c r="V1240" s="161" t="b">
        <f>F1240&gt;='Query Tool'!C$32</f>
        <v>1</v>
      </c>
      <c r="W1240" s="161" t="b">
        <f t="array" ref="W1240">index(Dropdowns!B:B,match(I1240,Dropdowns!A:A,0))</f>
        <v>1</v>
      </c>
      <c r="X1240" s="161" t="b">
        <f t="array" ref="X1240">index('Query Tool'!B:B,match(D1240,'Query Tool'!C:C,0))</f>
        <v>1</v>
      </c>
      <c r="Y1240" s="161" t="str">
        <f t="shared" si="6"/>
        <v>bealbr01,2015-16</v>
      </c>
      <c r="Z1240" s="168">
        <f t="array" ref="Z1240">iferror(index(I:I,match($A1240&amp;","&amp;index('Year Conversion'!$A:$A,match($C1240,'Year Conversion'!$B:$B,0)),$Y:$Y,0))-I1240,"")</f>
        <v>1</v>
      </c>
      <c r="AA1240" s="168">
        <f t="array" ref="AA1240">iferror(index(J:J,match($A1240&amp;","&amp;index('Year Conversion'!$A:$A,match($C1240,'Year Conversion'!$B:$B,0)),$Y:$Y,0))-J1240,"")</f>
        <v>2.539382426</v>
      </c>
      <c r="AB1240" s="168">
        <f t="array" ref="AB1240">iferror(index(K:K,match($A1240&amp;","&amp;index('Year Conversion'!$A:$A,match($C1240,'Year Conversion'!$B:$B,0)),$Y:$Y,0))-K1240,"")</f>
        <v>3.133430285</v>
      </c>
      <c r="AC1240" s="168" t="str">
        <f t="shared" si="7"/>
        <v>WAS,2015-16</v>
      </c>
    </row>
    <row r="1241">
      <c r="A1241" s="161" t="str">
        <f>IFERROR(__xludf.DUMMYFUNCTION("""COMPUTED_VALUE"""),"waitedi01")</f>
        <v>waitedi01</v>
      </c>
      <c r="B1241" s="161" t="str">
        <f>IFERROR(__xludf.DUMMYFUNCTION("""COMPUTED_VALUE"""),"Dion Waiters")</f>
        <v>Dion Waiters</v>
      </c>
      <c r="C1241" s="162" t="str">
        <f>IFERROR(__xludf.DUMMYFUNCTION("""COMPUTED_VALUE"""),"2015-16")</f>
        <v>2015-16</v>
      </c>
      <c r="D1241" s="163" t="str">
        <f>IFERROR(__xludf.DUMMYFUNCTION("""COMPUTED_VALUE"""),"OKC")</f>
        <v>OKC</v>
      </c>
      <c r="E1241" s="164" t="str">
        <f>IFERROR(__xludf.DUMMYFUNCTION("""COMPUTED_VALUE"""),"Shot Creator")</f>
        <v>Shot Creator</v>
      </c>
      <c r="F1241" s="164">
        <f>IFERROR(__xludf.DUMMYFUNCTION("""COMPUTED_VALUE"""),2151.62333333333)</f>
        <v>2151.623333</v>
      </c>
      <c r="G1241" s="163">
        <f>IFERROR(__xludf.DUMMYFUNCTION("""COMPUTED_VALUE"""),78.0)</f>
        <v>78</v>
      </c>
      <c r="H1241" s="163" t="str">
        <f>IFERROR(__xludf.DUMMYFUNCTION("""COMPUTED_VALUE"""),"SG")</f>
        <v>SG</v>
      </c>
      <c r="I1241" s="163">
        <f>IFERROR(__xludf.DUMMYFUNCTION("""COMPUTED_VALUE"""),24.0)</f>
        <v>24</v>
      </c>
      <c r="J1241" s="165">
        <f>IFERROR(__xludf.DUMMYFUNCTION("""COMPUTED_VALUE"""),-1.75952473921035)</f>
        <v>-1.759524739</v>
      </c>
      <c r="K1241" s="165">
        <f>IFERROR(__xludf.DUMMYFUNCTION("""COMPUTED_VALUE"""),-0.778240937823189)</f>
        <v>-0.7782409378</v>
      </c>
      <c r="L1241" s="165">
        <f>IFERROR(__xludf.DUMMYFUNCTION("""COMPUTED_VALUE"""),-0.981283801387157)</f>
        <v>-0.9812838014</v>
      </c>
      <c r="M1241" s="166">
        <f t="shared" si="2"/>
        <v>0.7756359263</v>
      </c>
      <c r="N1241" s="167">
        <f t="shared" si="3"/>
        <v>27.58491453</v>
      </c>
      <c r="O1241" s="163">
        <f t="shared" ref="O1241:Q1241" si="1245">rank(I1241,I:I)</f>
        <v>2361</v>
      </c>
      <c r="P1241" s="163">
        <f t="shared" si="1245"/>
        <v>3300</v>
      </c>
      <c r="Q1241" s="163">
        <f t="shared" si="1245"/>
        <v>2530</v>
      </c>
      <c r="R1241" s="163">
        <f>IFERROR(__xludf.DUMMYFUNCTION("RANK(M1241,filter(M:M,C:C=C1241))"),245.0)</f>
        <v>245</v>
      </c>
      <c r="S1241" s="161" t="b">
        <f t="shared" si="5"/>
        <v>0</v>
      </c>
      <c r="T1241" s="161" t="b">
        <f t="array" ref="T1241">index('Query Tool'!B:B,match(H1241,'Query Tool'!C:C,0))</f>
        <v>1</v>
      </c>
      <c r="U1241" s="161" t="b">
        <f t="array" ref="U1241">index('Query Tool'!B:B,match(C1241,'Query Tool'!C:C,0))</f>
        <v>0</v>
      </c>
      <c r="V1241" s="161" t="b">
        <f>F1241&gt;='Query Tool'!C$32</f>
        <v>1</v>
      </c>
      <c r="W1241" s="161" t="b">
        <f t="array" ref="W1241">index(Dropdowns!B:B,match(I1241,Dropdowns!A:A,0))</f>
        <v>1</v>
      </c>
      <c r="X1241" s="161" t="b">
        <f t="array" ref="X1241">index('Query Tool'!B:B,match(D1241,'Query Tool'!C:C,0))</f>
        <v>1</v>
      </c>
      <c r="Y1241" s="161" t="str">
        <f t="shared" si="6"/>
        <v>waitedi01,2015-16</v>
      </c>
      <c r="Z1241" s="168">
        <f t="array" ref="Z1241">iferror(index(I:I,match($A1241&amp;","&amp;index('Year Conversion'!$A:$A,match($C1241,'Year Conversion'!$B:$B,0)),$Y:$Y,0))-I1241,"")</f>
        <v>1</v>
      </c>
      <c r="AA1241" s="168">
        <f t="array" ref="AA1241">iferror(index(J:J,match($A1241&amp;","&amp;index('Year Conversion'!$A:$A,match($C1241,'Year Conversion'!$B:$B,0)),$Y:$Y,0))-J1241,"")</f>
        <v>1.797236563</v>
      </c>
      <c r="AB1241" s="168">
        <f t="array" ref="AB1241">iferror(index(K:K,match($A1241&amp;","&amp;index('Year Conversion'!$A:$A,match($C1241,'Year Conversion'!$B:$B,0)),$Y:$Y,0))-K1241,"")</f>
        <v>0.8770250614</v>
      </c>
      <c r="AC1241" s="168" t="str">
        <f t="shared" si="7"/>
        <v>OKC,2015-16</v>
      </c>
    </row>
    <row r="1242">
      <c r="A1242" s="161" t="str">
        <f>IFERROR(__xludf.DUMMYFUNCTION("""COMPUTED_VALUE"""),"robinth01")</f>
        <v>robinth01</v>
      </c>
      <c r="B1242" s="161" t="str">
        <f>IFERROR(__xludf.DUMMYFUNCTION("""COMPUTED_VALUE"""),"Thomas Robinson")</f>
        <v>Thomas Robinson</v>
      </c>
      <c r="C1242" s="162" t="str">
        <f>IFERROR(__xludf.DUMMYFUNCTION("""COMPUTED_VALUE"""),"2015-16")</f>
        <v>2015-16</v>
      </c>
      <c r="D1242" s="163" t="str">
        <f>IFERROR(__xludf.DUMMYFUNCTION("""COMPUTED_VALUE"""),"BRK")</f>
        <v>BRK</v>
      </c>
      <c r="E1242" s="164" t="str">
        <f>IFERROR(__xludf.DUMMYFUNCTION("""COMPUTED_VALUE"""),"Roll + Cut Big")</f>
        <v>Roll + Cut Big</v>
      </c>
      <c r="F1242" s="164">
        <f>IFERROR(__xludf.DUMMYFUNCTION("""COMPUTED_VALUE"""),916.448333333333)</f>
        <v>916.4483333</v>
      </c>
      <c r="G1242" s="163">
        <f>IFERROR(__xludf.DUMMYFUNCTION("""COMPUTED_VALUE"""),71.0)</f>
        <v>71</v>
      </c>
      <c r="H1242" s="163" t="str">
        <f>IFERROR(__xludf.DUMMYFUNCTION("""COMPUTED_VALUE"""),"PF")</f>
        <v>PF</v>
      </c>
      <c r="I1242" s="163">
        <f>IFERROR(__xludf.DUMMYFUNCTION("""COMPUTED_VALUE"""),24.0)</f>
        <v>24</v>
      </c>
      <c r="J1242" s="165">
        <f>IFERROR(__xludf.DUMMYFUNCTION("""COMPUTED_VALUE"""),-1.22793798866727)</f>
        <v>-1.227937989</v>
      </c>
      <c r="K1242" s="165">
        <f>IFERROR(__xludf.DUMMYFUNCTION("""COMPUTED_VALUE"""),-1.63815345529492)</f>
        <v>-1.638153455</v>
      </c>
      <c r="L1242" s="165">
        <f>IFERROR(__xludf.DUMMYFUNCTION("""COMPUTED_VALUE"""),0.410215466627651)</f>
        <v>0.4102154666</v>
      </c>
      <c r="M1242" s="166">
        <f t="shared" si="2"/>
        <v>0.6557491402</v>
      </c>
      <c r="N1242" s="167">
        <f t="shared" si="3"/>
        <v>12.907723</v>
      </c>
      <c r="O1242" s="163">
        <f t="shared" ref="O1242:Q1242" si="1246">rank(I1242,I:I)</f>
        <v>2361</v>
      </c>
      <c r="P1242" s="163">
        <f t="shared" si="1246"/>
        <v>2787</v>
      </c>
      <c r="Q1242" s="163">
        <f t="shared" si="1246"/>
        <v>3477</v>
      </c>
      <c r="R1242" s="163">
        <f>IFERROR(__xludf.DUMMYFUNCTION("RANK(M1242,filter(M:M,C:C=C1242))"),262.0)</f>
        <v>262</v>
      </c>
      <c r="S1242" s="161" t="b">
        <f t="shared" si="5"/>
        <v>0</v>
      </c>
      <c r="T1242" s="161" t="b">
        <f t="array" ref="T1242">index('Query Tool'!B:B,match(H1242,'Query Tool'!C:C,0))</f>
        <v>1</v>
      </c>
      <c r="U1242" s="161" t="b">
        <f t="array" ref="U1242">index('Query Tool'!B:B,match(C1242,'Query Tool'!C:C,0))</f>
        <v>0</v>
      </c>
      <c r="V1242" s="161" t="b">
        <f>F1242&gt;='Query Tool'!C$32</f>
        <v>1</v>
      </c>
      <c r="W1242" s="161" t="b">
        <f t="array" ref="W1242">index(Dropdowns!B:B,match(I1242,Dropdowns!A:A,0))</f>
        <v>1</v>
      </c>
      <c r="X1242" s="161" t="b">
        <f t="array" ref="X1242">index('Query Tool'!B:B,match(D1242,'Query Tool'!C:C,0))</f>
        <v>1</v>
      </c>
      <c r="Y1242" s="161" t="str">
        <f t="shared" si="6"/>
        <v>robinth01,2015-16</v>
      </c>
      <c r="Z1242" s="168">
        <f t="array" ref="Z1242">iferror(index(I:I,match($A1242&amp;","&amp;index('Year Conversion'!$A:$A,match($C1242,'Year Conversion'!$B:$B,0)),$Y:$Y,0))-I1242,"")</f>
        <v>1</v>
      </c>
      <c r="AA1242" s="168">
        <f t="array" ref="AA1242">iferror(index(J:J,match($A1242&amp;","&amp;index('Year Conversion'!$A:$A,match($C1242,'Year Conversion'!$B:$B,0)),$Y:$Y,0))-J1242,"")</f>
        <v>1.233267016</v>
      </c>
      <c r="AB1242" s="168">
        <f t="array" ref="AB1242">iferror(index(K:K,match($A1242&amp;","&amp;index('Year Conversion'!$A:$A,match($C1242,'Year Conversion'!$B:$B,0)),$Y:$Y,0))-K1242,"")</f>
        <v>1.292424186</v>
      </c>
      <c r="AC1242" s="168" t="str">
        <f t="shared" si="7"/>
        <v>BRK,2015-16</v>
      </c>
    </row>
    <row r="1243">
      <c r="A1243" s="161" t="str">
        <f>IFERROR(__xludf.DUMMYFUNCTION("""COMPUTED_VALUE"""),"lillada01")</f>
        <v>lillada01</v>
      </c>
      <c r="B1243" s="161" t="str">
        <f>IFERROR(__xludf.DUMMYFUNCTION("""COMPUTED_VALUE"""),"Damian Lillard")</f>
        <v>Damian Lillard</v>
      </c>
      <c r="C1243" s="162" t="str">
        <f>IFERROR(__xludf.DUMMYFUNCTION("""COMPUTED_VALUE"""),"2015-16")</f>
        <v>2015-16</v>
      </c>
      <c r="D1243" s="163" t="str">
        <f>IFERROR(__xludf.DUMMYFUNCTION("""COMPUTED_VALUE"""),"POR")</f>
        <v>POR</v>
      </c>
      <c r="E1243" s="164" t="str">
        <f>IFERROR(__xludf.DUMMYFUNCTION("""COMPUTED_VALUE"""),"Shot Creator")</f>
        <v>Shot Creator</v>
      </c>
      <c r="F1243" s="164">
        <f>IFERROR(__xludf.DUMMYFUNCTION("""COMPUTED_VALUE"""),2675.76166666667)</f>
        <v>2675.761667</v>
      </c>
      <c r="G1243" s="163">
        <f>IFERROR(__xludf.DUMMYFUNCTION("""COMPUTED_VALUE"""),75.0)</f>
        <v>75</v>
      </c>
      <c r="H1243" s="163" t="str">
        <f>IFERROR(__xludf.DUMMYFUNCTION("""COMPUTED_VALUE"""),"PG")</f>
        <v>PG</v>
      </c>
      <c r="I1243" s="163">
        <f>IFERROR(__xludf.DUMMYFUNCTION("""COMPUTED_VALUE"""),25.0)</f>
        <v>25</v>
      </c>
      <c r="J1243" s="165">
        <f>IFERROR(__xludf.DUMMYFUNCTION("""COMPUTED_VALUE"""),1.86957422738297)</f>
        <v>1.869574227</v>
      </c>
      <c r="K1243" s="165">
        <f>IFERROR(__xludf.DUMMYFUNCTION("""COMPUTED_VALUE"""),3.7745789348434)</f>
        <v>3.774578935</v>
      </c>
      <c r="L1243" s="165">
        <f>IFERROR(__xludf.DUMMYFUNCTION("""COMPUTED_VALUE"""),-1.90500470746043)</f>
        <v>-1.905004707</v>
      </c>
      <c r="M1243" s="166">
        <f t="shared" si="2"/>
        <v>7.481509078</v>
      </c>
      <c r="N1243" s="167">
        <f t="shared" si="3"/>
        <v>35.67682222</v>
      </c>
      <c r="O1243" s="163">
        <f t="shared" ref="O1243:Q1243" si="1247">rank(I1243,I:I)</f>
        <v>1995</v>
      </c>
      <c r="P1243" s="163">
        <f t="shared" si="1247"/>
        <v>353</v>
      </c>
      <c r="Q1243" s="163">
        <f t="shared" si="1247"/>
        <v>73</v>
      </c>
      <c r="R1243" s="163">
        <f>IFERROR(__xludf.DUMMYFUNCTION("RANK(M1243,filter(M:M,C:C=C1243))"),26.0)</f>
        <v>26</v>
      </c>
      <c r="S1243" s="161" t="b">
        <f t="shared" si="5"/>
        <v>0</v>
      </c>
      <c r="T1243" s="161" t="b">
        <f t="array" ref="T1243">index('Query Tool'!B:B,match(H1243,'Query Tool'!C:C,0))</f>
        <v>1</v>
      </c>
      <c r="U1243" s="161" t="b">
        <f t="array" ref="U1243">index('Query Tool'!B:B,match(C1243,'Query Tool'!C:C,0))</f>
        <v>0</v>
      </c>
      <c r="V1243" s="161" t="b">
        <f>F1243&gt;='Query Tool'!C$32</f>
        <v>1</v>
      </c>
      <c r="W1243" s="161" t="b">
        <f t="array" ref="W1243">index(Dropdowns!B:B,match(I1243,Dropdowns!A:A,0))</f>
        <v>1</v>
      </c>
      <c r="X1243" s="161" t="b">
        <f t="array" ref="X1243">index('Query Tool'!B:B,match(D1243,'Query Tool'!C:C,0))</f>
        <v>1</v>
      </c>
      <c r="Y1243" s="161" t="str">
        <f t="shared" si="6"/>
        <v>lillada01,2015-16</v>
      </c>
      <c r="Z1243" s="168">
        <f t="array" ref="Z1243">iferror(index(I:I,match($A1243&amp;","&amp;index('Year Conversion'!$A:$A,match($C1243,'Year Conversion'!$B:$B,0)),$Y:$Y,0))-I1243,"")</f>
        <v>1</v>
      </c>
      <c r="AA1243" s="168">
        <f t="array" ref="AA1243">iferror(index(J:J,match($A1243&amp;","&amp;index('Year Conversion'!$A:$A,match($C1243,'Year Conversion'!$B:$B,0)),$Y:$Y,0))-J1243,"")</f>
        <v>2.369041599</v>
      </c>
      <c r="AB1243" s="168">
        <f t="array" ref="AB1243">iferror(index(K:K,match($A1243&amp;","&amp;index('Year Conversion'!$A:$A,match($C1243,'Year Conversion'!$B:$B,0)),$Y:$Y,0))-K1243,"")</f>
        <v>1.91470586</v>
      </c>
      <c r="AC1243" s="168" t="str">
        <f t="shared" si="7"/>
        <v>POR,2015-16</v>
      </c>
    </row>
    <row r="1244">
      <c r="A1244" s="161" t="str">
        <f>IFERROR(__xludf.DUMMYFUNCTION("""COMPUTED_VALUE"""),"rosste01")</f>
        <v>rosste01</v>
      </c>
      <c r="B1244" s="161" t="str">
        <f>IFERROR(__xludf.DUMMYFUNCTION("""COMPUTED_VALUE"""),"Terrence Ross")</f>
        <v>Terrence Ross</v>
      </c>
      <c r="C1244" s="162" t="str">
        <f>IFERROR(__xludf.DUMMYFUNCTION("""COMPUTED_VALUE"""),"2015-16")</f>
        <v>2015-16</v>
      </c>
      <c r="D1244" s="163" t="str">
        <f>IFERROR(__xludf.DUMMYFUNCTION("""COMPUTED_VALUE"""),"TOR")</f>
        <v>TOR</v>
      </c>
      <c r="E1244" s="164" t="str">
        <f>IFERROR(__xludf.DUMMYFUNCTION("""COMPUTED_VALUE"""),"Off Screen Shooter")</f>
        <v>Off Screen Shooter</v>
      </c>
      <c r="F1244" s="164">
        <f>IFERROR(__xludf.DUMMYFUNCTION("""COMPUTED_VALUE"""),1747.37666666667)</f>
        <v>1747.376667</v>
      </c>
      <c r="G1244" s="163">
        <f>IFERROR(__xludf.DUMMYFUNCTION("""COMPUTED_VALUE"""),73.0)</f>
        <v>73</v>
      </c>
      <c r="H1244" s="163" t="str">
        <f>IFERROR(__xludf.DUMMYFUNCTION("""COMPUTED_VALUE"""),"SF")</f>
        <v>SF</v>
      </c>
      <c r="I1244" s="163">
        <f>IFERROR(__xludf.DUMMYFUNCTION("""COMPUTED_VALUE"""),24.0)</f>
        <v>24</v>
      </c>
      <c r="J1244" s="165">
        <f>IFERROR(__xludf.DUMMYFUNCTION("""COMPUTED_VALUE"""),0.0896093458131504)</f>
        <v>0.08960934581</v>
      </c>
      <c r="K1244" s="165">
        <f>IFERROR(__xludf.DUMMYFUNCTION("""COMPUTED_VALUE"""),0.435200950192687)</f>
        <v>0.4352009502</v>
      </c>
      <c r="L1244" s="165">
        <f>IFERROR(__xludf.DUMMYFUNCTION("""COMPUTED_VALUE"""),-0.345591604379537)</f>
        <v>-0.3455916044</v>
      </c>
      <c r="M1244" s="166">
        <f t="shared" si="2"/>
        <v>2.799436688</v>
      </c>
      <c r="N1244" s="167">
        <f t="shared" si="3"/>
        <v>23.93666667</v>
      </c>
      <c r="O1244" s="163">
        <f t="shared" ref="O1244:Q1244" si="1248">rank(I1244,I:I)</f>
        <v>2361</v>
      </c>
      <c r="P1244" s="163">
        <f t="shared" si="1248"/>
        <v>1202</v>
      </c>
      <c r="Q1244" s="163">
        <f t="shared" si="1248"/>
        <v>806</v>
      </c>
      <c r="R1244" s="163">
        <f>IFERROR(__xludf.DUMMYFUNCTION("RANK(M1244,filter(M:M,C:C=C1244))"),125.0)</f>
        <v>125</v>
      </c>
      <c r="S1244" s="161" t="b">
        <f t="shared" si="5"/>
        <v>0</v>
      </c>
      <c r="T1244" s="161" t="b">
        <f t="array" ref="T1244">index('Query Tool'!B:B,match(H1244,'Query Tool'!C:C,0))</f>
        <v>1</v>
      </c>
      <c r="U1244" s="161" t="b">
        <f t="array" ref="U1244">index('Query Tool'!B:B,match(C1244,'Query Tool'!C:C,0))</f>
        <v>0</v>
      </c>
      <c r="V1244" s="161" t="b">
        <f>F1244&gt;='Query Tool'!C$32</f>
        <v>1</v>
      </c>
      <c r="W1244" s="161" t="b">
        <f t="array" ref="W1244">index(Dropdowns!B:B,match(I1244,Dropdowns!A:A,0))</f>
        <v>1</v>
      </c>
      <c r="X1244" s="161" t="b">
        <f t="array" ref="X1244">index('Query Tool'!B:B,match(D1244,'Query Tool'!C:C,0))</f>
        <v>1</v>
      </c>
      <c r="Y1244" s="161" t="str">
        <f t="shared" si="6"/>
        <v>rosste01,2015-16</v>
      </c>
      <c r="Z1244" s="168">
        <f t="array" ref="Z1244">iferror(index(I:I,match($A1244&amp;","&amp;index('Year Conversion'!$A:$A,match($C1244,'Year Conversion'!$B:$B,0)),$Y:$Y,0))-I1244,"")</f>
        <v>1</v>
      </c>
      <c r="AA1244" s="168">
        <f t="array" ref="AA1244">iferror(index(J:J,match($A1244&amp;","&amp;index('Year Conversion'!$A:$A,match($C1244,'Year Conversion'!$B:$B,0)),$Y:$Y,0))-J1244,"")</f>
        <v>0.912323341</v>
      </c>
      <c r="AB1244" s="168">
        <f t="array" ref="AB1244">iferror(index(K:K,match($A1244&amp;","&amp;index('Year Conversion'!$A:$A,match($C1244,'Year Conversion'!$B:$B,0)),$Y:$Y,0))-K1244,"")</f>
        <v>0.879185065</v>
      </c>
      <c r="AC1244" s="168" t="str">
        <f t="shared" si="7"/>
        <v>TOR,2015-16</v>
      </c>
    </row>
    <row r="1245">
      <c r="A1245" s="161" t="str">
        <f>IFERROR(__xludf.DUMMYFUNCTION("""COMPUTED_VALUE"""),"drumman01")</f>
        <v>drumman01</v>
      </c>
      <c r="B1245" s="161" t="str">
        <f>IFERROR(__xludf.DUMMYFUNCTION("""COMPUTED_VALUE"""),"Andre Drummond")</f>
        <v>Andre Drummond</v>
      </c>
      <c r="C1245" s="162" t="str">
        <f>IFERROR(__xludf.DUMMYFUNCTION("""COMPUTED_VALUE"""),"2015-16")</f>
        <v>2015-16</v>
      </c>
      <c r="D1245" s="163" t="str">
        <f>IFERROR(__xludf.DUMMYFUNCTION("""COMPUTED_VALUE"""),"DET")</f>
        <v>DET</v>
      </c>
      <c r="E1245" s="164" t="str">
        <f>IFERROR(__xludf.DUMMYFUNCTION("""COMPUTED_VALUE"""),"Post Scorer")</f>
        <v>Post Scorer</v>
      </c>
      <c r="F1245" s="164">
        <f>IFERROR(__xludf.DUMMYFUNCTION("""COMPUTED_VALUE"""),2665.46666666667)</f>
        <v>2665.466667</v>
      </c>
      <c r="G1245" s="163">
        <f>IFERROR(__xludf.DUMMYFUNCTION("""COMPUTED_VALUE"""),81.0)</f>
        <v>81</v>
      </c>
      <c r="H1245" s="163" t="str">
        <f>IFERROR(__xludf.DUMMYFUNCTION("""COMPUTED_VALUE"""),"C")</f>
        <v>C</v>
      </c>
      <c r="I1245" s="163">
        <f>IFERROR(__xludf.DUMMYFUNCTION("""COMPUTED_VALUE"""),22.0)</f>
        <v>22</v>
      </c>
      <c r="J1245" s="165">
        <f>IFERROR(__xludf.DUMMYFUNCTION("""COMPUTED_VALUE"""),4.03008770846668)</f>
        <v>4.030087708</v>
      </c>
      <c r="K1245" s="165">
        <f>IFERROR(__xludf.DUMMYFUNCTION("""COMPUTED_VALUE"""),1.39303009948641)</f>
        <v>1.393030099</v>
      </c>
      <c r="L1245" s="165">
        <f>IFERROR(__xludf.DUMMYFUNCTION("""COMPUTED_VALUE"""),2.63705760898027)</f>
        <v>2.637057609</v>
      </c>
      <c r="M1245" s="166">
        <f t="shared" si="2"/>
        <v>11.19234523</v>
      </c>
      <c r="N1245" s="167">
        <f t="shared" si="3"/>
        <v>32.90699588</v>
      </c>
      <c r="O1245" s="163">
        <f t="shared" ref="O1245:Q1245" si="1249">rank(I1245,I:I)</f>
        <v>3178</v>
      </c>
      <c r="P1245" s="163">
        <f t="shared" si="1249"/>
        <v>93</v>
      </c>
      <c r="Q1245" s="163">
        <f t="shared" si="1249"/>
        <v>355</v>
      </c>
      <c r="R1245" s="163">
        <f>IFERROR(__xludf.DUMMYFUNCTION("RANK(M1245,filter(M:M,C:C=C1245))"),11.0)</f>
        <v>11</v>
      </c>
      <c r="S1245" s="161" t="b">
        <f t="shared" si="5"/>
        <v>0</v>
      </c>
      <c r="T1245" s="161" t="b">
        <f t="array" ref="T1245">index('Query Tool'!B:B,match(H1245,'Query Tool'!C:C,0))</f>
        <v>1</v>
      </c>
      <c r="U1245" s="161" t="b">
        <f t="array" ref="U1245">index('Query Tool'!B:B,match(C1245,'Query Tool'!C:C,0))</f>
        <v>0</v>
      </c>
      <c r="V1245" s="161" t="b">
        <f>F1245&gt;='Query Tool'!C$32</f>
        <v>1</v>
      </c>
      <c r="W1245" s="161" t="b">
        <f t="array" ref="W1245">index(Dropdowns!B:B,match(I1245,Dropdowns!A:A,0))</f>
        <v>1</v>
      </c>
      <c r="X1245" s="161" t="b">
        <f t="array" ref="X1245">index('Query Tool'!B:B,match(D1245,'Query Tool'!C:C,0))</f>
        <v>1</v>
      </c>
      <c r="Y1245" s="161" t="str">
        <f t="shared" si="6"/>
        <v>drumman01,2015-16</v>
      </c>
      <c r="Z1245" s="168">
        <f t="array" ref="Z1245">iferror(index(I:I,match($A1245&amp;","&amp;index('Year Conversion'!$A:$A,match($C1245,'Year Conversion'!$B:$B,0)),$Y:$Y,0))-I1245,"")</f>
        <v>1</v>
      </c>
      <c r="AA1245" s="168">
        <f t="array" ref="AA1245">iferror(index(J:J,match($A1245&amp;","&amp;index('Year Conversion'!$A:$A,match($C1245,'Year Conversion'!$B:$B,0)),$Y:$Y,0))-J1245,"")</f>
        <v>-2.643428553</v>
      </c>
      <c r="AB1245" s="168">
        <f t="array" ref="AB1245">iferror(index(K:K,match($A1245&amp;","&amp;index('Year Conversion'!$A:$A,match($C1245,'Year Conversion'!$B:$B,0)),$Y:$Y,0))-K1245,"")</f>
        <v>-1.887183636</v>
      </c>
      <c r="AC1245" s="168" t="str">
        <f t="shared" si="7"/>
        <v>DET,2015-16</v>
      </c>
    </row>
    <row r="1246">
      <c r="A1246" s="161" t="str">
        <f>IFERROR(__xludf.DUMMYFUNCTION("""COMPUTED_VALUE"""),"barneha02")</f>
        <v>barneha02</v>
      </c>
      <c r="B1246" s="161" t="str">
        <f>IFERROR(__xludf.DUMMYFUNCTION("""COMPUTED_VALUE"""),"Harrison Barnes")</f>
        <v>Harrison Barnes</v>
      </c>
      <c r="C1246" s="162" t="str">
        <f>IFERROR(__xludf.DUMMYFUNCTION("""COMPUTED_VALUE"""),"2015-16")</f>
        <v>2015-16</v>
      </c>
      <c r="D1246" s="163" t="str">
        <f>IFERROR(__xludf.DUMMYFUNCTION("""COMPUTED_VALUE"""),"GSW")</f>
        <v>GSW</v>
      </c>
      <c r="E1246" s="164" t="str">
        <f>IFERROR(__xludf.DUMMYFUNCTION("""COMPUTED_VALUE"""),"Shot Creator")</f>
        <v>Shot Creator</v>
      </c>
      <c r="F1246" s="164">
        <f>IFERROR(__xludf.DUMMYFUNCTION("""COMPUTED_VALUE"""),2041.57666666667)</f>
        <v>2041.576667</v>
      </c>
      <c r="G1246" s="163">
        <f>IFERROR(__xludf.DUMMYFUNCTION("""COMPUTED_VALUE"""),66.0)</f>
        <v>66</v>
      </c>
      <c r="H1246" s="163" t="str">
        <f>IFERROR(__xludf.DUMMYFUNCTION("""COMPUTED_VALUE"""),"SF")</f>
        <v>SF</v>
      </c>
      <c r="I1246" s="163">
        <f>IFERROR(__xludf.DUMMYFUNCTION("""COMPUTED_VALUE"""),23.0)</f>
        <v>23</v>
      </c>
      <c r="J1246" s="165">
        <f>IFERROR(__xludf.DUMMYFUNCTION("""COMPUTED_VALUE"""),-1.02457485754342)</f>
        <v>-1.024574858</v>
      </c>
      <c r="K1246" s="165">
        <f>IFERROR(__xludf.DUMMYFUNCTION("""COMPUTED_VALUE"""),-0.227692624785054)</f>
        <v>-0.2276926248</v>
      </c>
      <c r="L1246" s="165">
        <f>IFERROR(__xludf.DUMMYFUNCTION("""COMPUTED_VALUE"""),-0.796882232758362)</f>
        <v>-0.7968822328</v>
      </c>
      <c r="M1246" s="166">
        <f t="shared" si="2"/>
        <v>1.73924837</v>
      </c>
      <c r="N1246" s="167">
        <f t="shared" si="3"/>
        <v>30.9329798</v>
      </c>
      <c r="O1246" s="163">
        <f t="shared" ref="O1246:Q1246" si="1250">rank(I1246,I:I)</f>
        <v>2765</v>
      </c>
      <c r="P1246" s="163">
        <f t="shared" si="1250"/>
        <v>2530</v>
      </c>
      <c r="Q1246" s="163">
        <f t="shared" si="1250"/>
        <v>1617</v>
      </c>
      <c r="R1246" s="163">
        <f>IFERROR(__xludf.DUMMYFUNCTION("RANK(M1246,filter(M:M,C:C=C1246))"),171.0)</f>
        <v>171</v>
      </c>
      <c r="S1246" s="161" t="b">
        <f t="shared" si="5"/>
        <v>0</v>
      </c>
      <c r="T1246" s="161" t="b">
        <f t="array" ref="T1246">index('Query Tool'!B:B,match(H1246,'Query Tool'!C:C,0))</f>
        <v>1</v>
      </c>
      <c r="U1246" s="161" t="b">
        <f t="array" ref="U1246">index('Query Tool'!B:B,match(C1246,'Query Tool'!C:C,0))</f>
        <v>0</v>
      </c>
      <c r="V1246" s="161" t="b">
        <f>F1246&gt;='Query Tool'!C$32</f>
        <v>1</v>
      </c>
      <c r="W1246" s="161" t="b">
        <f t="array" ref="W1246">index(Dropdowns!B:B,match(I1246,Dropdowns!A:A,0))</f>
        <v>1</v>
      </c>
      <c r="X1246" s="161" t="b">
        <f t="array" ref="X1246">index('Query Tool'!B:B,match(D1246,'Query Tool'!C:C,0))</f>
        <v>1</v>
      </c>
      <c r="Y1246" s="161" t="str">
        <f t="shared" si="6"/>
        <v>barneha02,2015-16</v>
      </c>
      <c r="Z1246" s="168">
        <f t="array" ref="Z1246">iferror(index(I:I,match($A1246&amp;","&amp;index('Year Conversion'!$A:$A,match($C1246,'Year Conversion'!$B:$B,0)),$Y:$Y,0))-I1246,"")</f>
        <v>1</v>
      </c>
      <c r="AA1246" s="168">
        <f t="array" ref="AA1246">iferror(index(J:J,match($A1246&amp;","&amp;index('Year Conversion'!$A:$A,match($C1246,'Year Conversion'!$B:$B,0)),$Y:$Y,0))-J1246,"")</f>
        <v>1.06724353</v>
      </c>
      <c r="AB1246" s="168">
        <f t="array" ref="AB1246">iferror(index(K:K,match($A1246&amp;","&amp;index('Year Conversion'!$A:$A,match($C1246,'Year Conversion'!$B:$B,0)),$Y:$Y,0))-K1246,"")</f>
        <v>-0.5370009384</v>
      </c>
      <c r="AC1246" s="168" t="str">
        <f t="shared" si="7"/>
        <v>GSW,2015-16</v>
      </c>
    </row>
    <row r="1247">
      <c r="A1247" s="161" t="str">
        <f>IFERROR(__xludf.DUMMYFUNCTION("""COMPUTED_VALUE"""),"riverau01")</f>
        <v>riverau01</v>
      </c>
      <c r="B1247" s="161" t="str">
        <f>IFERROR(__xludf.DUMMYFUNCTION("""COMPUTED_VALUE"""),"Austin Rivers")</f>
        <v>Austin Rivers</v>
      </c>
      <c r="C1247" s="162" t="str">
        <f>IFERROR(__xludf.DUMMYFUNCTION("""COMPUTED_VALUE"""),"2015-16")</f>
        <v>2015-16</v>
      </c>
      <c r="D1247" s="163" t="str">
        <f>IFERROR(__xludf.DUMMYFUNCTION("""COMPUTED_VALUE"""),"LAC")</f>
        <v>LAC</v>
      </c>
      <c r="E1247" s="164" t="str">
        <f>IFERROR(__xludf.DUMMYFUNCTION("""COMPUTED_VALUE"""),"Secondary Ball Handler")</f>
        <v>Secondary Ball Handler</v>
      </c>
      <c r="F1247" s="164">
        <f>IFERROR(__xludf.DUMMYFUNCTION("""COMPUTED_VALUE"""),1463.775)</f>
        <v>1463.775</v>
      </c>
      <c r="G1247" s="163">
        <f>IFERROR(__xludf.DUMMYFUNCTION("""COMPUTED_VALUE"""),67.0)</f>
        <v>67</v>
      </c>
      <c r="H1247" s="163" t="str">
        <f>IFERROR(__xludf.DUMMYFUNCTION("""COMPUTED_VALUE"""),"SG")</f>
        <v>SG</v>
      </c>
      <c r="I1247" s="163">
        <f>IFERROR(__xludf.DUMMYFUNCTION("""COMPUTED_VALUE"""),23.0)</f>
        <v>23</v>
      </c>
      <c r="J1247" s="165">
        <f>IFERROR(__xludf.DUMMYFUNCTION("""COMPUTED_VALUE"""),-3.21787838646252)</f>
        <v>-3.217878386</v>
      </c>
      <c r="K1247" s="165">
        <f>IFERROR(__xludf.DUMMYFUNCTION("""COMPUTED_VALUE"""),-1.58089730474408)</f>
        <v>-1.580897305</v>
      </c>
      <c r="L1247" s="165">
        <f>IFERROR(__xludf.DUMMYFUNCTION("""COMPUTED_VALUE"""),-1.63698108171844)</f>
        <v>-1.636981082</v>
      </c>
      <c r="M1247" s="166">
        <f t="shared" si="2"/>
        <v>-0.8740427298</v>
      </c>
      <c r="N1247" s="167">
        <f t="shared" si="3"/>
        <v>21.84738806</v>
      </c>
      <c r="O1247" s="163">
        <f t="shared" ref="O1247:Q1247" si="1251">rank(I1247,I:I)</f>
        <v>2765</v>
      </c>
      <c r="P1247" s="163">
        <f t="shared" si="1251"/>
        <v>3928</v>
      </c>
      <c r="Q1247" s="163">
        <f t="shared" si="1251"/>
        <v>3435</v>
      </c>
      <c r="R1247" s="163">
        <f>IFERROR(__xludf.DUMMYFUNCTION("RANK(M1247,filter(M:M,C:C=C1247))"),462.0)</f>
        <v>462</v>
      </c>
      <c r="S1247" s="161" t="b">
        <f t="shared" si="5"/>
        <v>0</v>
      </c>
      <c r="T1247" s="161" t="b">
        <f t="array" ref="T1247">index('Query Tool'!B:B,match(H1247,'Query Tool'!C:C,0))</f>
        <v>1</v>
      </c>
      <c r="U1247" s="161" t="b">
        <f t="array" ref="U1247">index('Query Tool'!B:B,match(C1247,'Query Tool'!C:C,0))</f>
        <v>0</v>
      </c>
      <c r="V1247" s="161" t="b">
        <f>F1247&gt;='Query Tool'!C$32</f>
        <v>1</v>
      </c>
      <c r="W1247" s="161" t="b">
        <f t="array" ref="W1247">index(Dropdowns!B:B,match(I1247,Dropdowns!A:A,0))</f>
        <v>1</v>
      </c>
      <c r="X1247" s="161" t="b">
        <f t="array" ref="X1247">index('Query Tool'!B:B,match(D1247,'Query Tool'!C:C,0))</f>
        <v>1</v>
      </c>
      <c r="Y1247" s="161" t="str">
        <f t="shared" si="6"/>
        <v>riverau01,2015-16</v>
      </c>
      <c r="Z1247" s="168">
        <f t="array" ref="Z1247">iferror(index(I:I,match($A1247&amp;","&amp;index('Year Conversion'!$A:$A,match($C1247,'Year Conversion'!$B:$B,0)),$Y:$Y,0))-I1247,"")</f>
        <v>1</v>
      </c>
      <c r="AA1247" s="168">
        <f t="array" ref="AA1247">iferror(index(J:J,match($A1247&amp;","&amp;index('Year Conversion'!$A:$A,match($C1247,'Year Conversion'!$B:$B,0)),$Y:$Y,0))-J1247,"")</f>
        <v>1.404644755</v>
      </c>
      <c r="AB1247" s="168">
        <f t="array" ref="AB1247">iferror(index(K:K,match($A1247&amp;","&amp;index('Year Conversion'!$A:$A,match($C1247,'Year Conversion'!$B:$B,0)),$Y:$Y,0))-K1247,"")</f>
        <v>1.471412905</v>
      </c>
      <c r="AC1247" s="168" t="str">
        <f t="shared" si="7"/>
        <v>LAC,2015-16</v>
      </c>
    </row>
    <row r="1248">
      <c r="A1248" s="161" t="str">
        <f>IFERROR(__xludf.DUMMYFUNCTION("""COMPUTED_VALUE"""),"leoname01")</f>
        <v>leoname01</v>
      </c>
      <c r="B1248" s="161" t="str">
        <f>IFERROR(__xludf.DUMMYFUNCTION("""COMPUTED_VALUE"""),"Meyers Leonard")</f>
        <v>Meyers Leonard</v>
      </c>
      <c r="C1248" s="162" t="str">
        <f>IFERROR(__xludf.DUMMYFUNCTION("""COMPUTED_VALUE"""),"2015-16")</f>
        <v>2015-16</v>
      </c>
      <c r="D1248" s="163" t="str">
        <f>IFERROR(__xludf.DUMMYFUNCTION("""COMPUTED_VALUE"""),"POR")</f>
        <v>POR</v>
      </c>
      <c r="E1248" s="164" t="str">
        <f>IFERROR(__xludf.DUMMYFUNCTION("""COMPUTED_VALUE"""),"Stretch Big")</f>
        <v>Stretch Big</v>
      </c>
      <c r="F1248" s="164">
        <f>IFERROR(__xludf.DUMMYFUNCTION("""COMPUTED_VALUE"""),1332.59333333333)</f>
        <v>1332.593333</v>
      </c>
      <c r="G1248" s="163">
        <f>IFERROR(__xludf.DUMMYFUNCTION("""COMPUTED_VALUE"""),61.0)</f>
        <v>61</v>
      </c>
      <c r="H1248" s="163" t="str">
        <f>IFERROR(__xludf.DUMMYFUNCTION("""COMPUTED_VALUE"""),"PF")</f>
        <v>PF</v>
      </c>
      <c r="I1248" s="163">
        <f>IFERROR(__xludf.DUMMYFUNCTION("""COMPUTED_VALUE"""),23.0)</f>
        <v>23</v>
      </c>
      <c r="J1248" s="165">
        <f>IFERROR(__xludf.DUMMYFUNCTION("""COMPUTED_VALUE"""),-1.32508682170166)</f>
        <v>-1.325086822</v>
      </c>
      <c r="K1248" s="165">
        <f>IFERROR(__xludf.DUMMYFUNCTION("""COMPUTED_VALUE"""),-0.164954157703994)</f>
        <v>-0.1649541577</v>
      </c>
      <c r="L1248" s="165">
        <f>IFERROR(__xludf.DUMMYFUNCTION("""COMPUTED_VALUE"""),-1.16013266399767)</f>
        <v>-1.160132664</v>
      </c>
      <c r="M1248" s="166">
        <f t="shared" si="2"/>
        <v>0.8668244632</v>
      </c>
      <c r="N1248" s="167">
        <f t="shared" si="3"/>
        <v>21.84579235</v>
      </c>
      <c r="O1248" s="163">
        <f t="shared" ref="O1248:Q1248" si="1252">rank(I1248,I:I)</f>
        <v>2765</v>
      </c>
      <c r="P1248" s="163">
        <f t="shared" si="1252"/>
        <v>2890</v>
      </c>
      <c r="Q1248" s="163">
        <f t="shared" si="1252"/>
        <v>1503</v>
      </c>
      <c r="R1248" s="163">
        <f>IFERROR(__xludf.DUMMYFUNCTION("RANK(M1248,filter(M:M,C:C=C1248))"),233.0)</f>
        <v>233</v>
      </c>
      <c r="S1248" s="161" t="b">
        <f t="shared" si="5"/>
        <v>0</v>
      </c>
      <c r="T1248" s="161" t="b">
        <f t="array" ref="T1248">index('Query Tool'!B:B,match(H1248,'Query Tool'!C:C,0))</f>
        <v>1</v>
      </c>
      <c r="U1248" s="161" t="b">
        <f t="array" ref="U1248">index('Query Tool'!B:B,match(C1248,'Query Tool'!C:C,0))</f>
        <v>0</v>
      </c>
      <c r="V1248" s="161" t="b">
        <f>F1248&gt;='Query Tool'!C$32</f>
        <v>1</v>
      </c>
      <c r="W1248" s="161" t="b">
        <f t="array" ref="W1248">index(Dropdowns!B:B,match(I1248,Dropdowns!A:A,0))</f>
        <v>1</v>
      </c>
      <c r="X1248" s="161" t="b">
        <f t="array" ref="X1248">index('Query Tool'!B:B,match(D1248,'Query Tool'!C:C,0))</f>
        <v>1</v>
      </c>
      <c r="Y1248" s="161" t="str">
        <f t="shared" si="6"/>
        <v>leoname01,2015-16</v>
      </c>
      <c r="Z1248" s="168">
        <f t="array" ref="Z1248">iferror(index(I:I,match($A1248&amp;","&amp;index('Year Conversion'!$A:$A,match($C1248,'Year Conversion'!$B:$B,0)),$Y:$Y,0))-I1248,"")</f>
        <v>1</v>
      </c>
      <c r="AA1248" s="168">
        <f t="array" ref="AA1248">iferror(index(J:J,match($A1248&amp;","&amp;index('Year Conversion'!$A:$A,match($C1248,'Year Conversion'!$B:$B,0)),$Y:$Y,0))-J1248,"")</f>
        <v>0.06542443444</v>
      </c>
      <c r="AB1248" s="168">
        <f t="array" ref="AB1248">iferror(index(K:K,match($A1248&amp;","&amp;index('Year Conversion'!$A:$A,match($C1248,'Year Conversion'!$B:$B,0)),$Y:$Y,0))-K1248,"")</f>
        <v>-1.484611532</v>
      </c>
      <c r="AC1248" s="168" t="str">
        <f t="shared" si="7"/>
        <v>POR,2015-16</v>
      </c>
    </row>
    <row r="1249">
      <c r="A1249" s="161" t="str">
        <f>IFERROR(__xludf.DUMMYFUNCTION("""COMPUTED_VALUE"""),"lambje01")</f>
        <v>lambje01</v>
      </c>
      <c r="B1249" s="161" t="str">
        <f>IFERROR(__xludf.DUMMYFUNCTION("""COMPUTED_VALUE"""),"Jeremy Lamb")</f>
        <v>Jeremy Lamb</v>
      </c>
      <c r="C1249" s="162" t="str">
        <f>IFERROR(__xludf.DUMMYFUNCTION("""COMPUTED_VALUE"""),"2015-16")</f>
        <v>2015-16</v>
      </c>
      <c r="D1249" s="163" t="str">
        <f>IFERROR(__xludf.DUMMYFUNCTION("""COMPUTED_VALUE"""),"CHO")</f>
        <v>CHO</v>
      </c>
      <c r="E1249" s="164" t="str">
        <f>IFERROR(__xludf.DUMMYFUNCTION("""COMPUTED_VALUE"""),"Secondary Ball Handler")</f>
        <v>Secondary Ball Handler</v>
      </c>
      <c r="F1249" s="164">
        <f>IFERROR(__xludf.DUMMYFUNCTION("""COMPUTED_VALUE"""),1227.255)</f>
        <v>1227.255</v>
      </c>
      <c r="G1249" s="163">
        <f>IFERROR(__xludf.DUMMYFUNCTION("""COMPUTED_VALUE"""),66.0)</f>
        <v>66</v>
      </c>
      <c r="H1249" s="163" t="str">
        <f>IFERROR(__xludf.DUMMYFUNCTION("""COMPUTED_VALUE"""),"SG")</f>
        <v>SG</v>
      </c>
      <c r="I1249" s="163">
        <f>IFERROR(__xludf.DUMMYFUNCTION("""COMPUTED_VALUE"""),23.0)</f>
        <v>23</v>
      </c>
      <c r="J1249" s="165">
        <f>IFERROR(__xludf.DUMMYFUNCTION("""COMPUTED_VALUE"""),0.220041632763735)</f>
        <v>0.2200416328</v>
      </c>
      <c r="K1249" s="165">
        <f>IFERROR(__xludf.DUMMYFUNCTION("""COMPUTED_VALUE"""),-0.345120200859217)</f>
        <v>-0.3451202009</v>
      </c>
      <c r="L1249" s="165">
        <f>IFERROR(__xludf.DUMMYFUNCTION("""COMPUTED_VALUE"""),0.565161833622951)</f>
        <v>0.5651618336</v>
      </c>
      <c r="M1249" s="166">
        <f t="shared" si="2"/>
        <v>2.074068948</v>
      </c>
      <c r="N1249" s="167">
        <f t="shared" si="3"/>
        <v>18.59477273</v>
      </c>
      <c r="O1249" s="163">
        <f t="shared" ref="O1249:Q1249" si="1253">rank(I1249,I:I)</f>
        <v>2765</v>
      </c>
      <c r="P1249" s="163">
        <f t="shared" si="1253"/>
        <v>1073</v>
      </c>
      <c r="Q1249" s="163">
        <f t="shared" si="1253"/>
        <v>1841</v>
      </c>
      <c r="R1249" s="163">
        <f>IFERROR(__xludf.DUMMYFUNCTION("RANK(M1249,filter(M:M,C:C=C1249))"),154.0)</f>
        <v>154</v>
      </c>
      <c r="S1249" s="161" t="b">
        <f t="shared" si="5"/>
        <v>0</v>
      </c>
      <c r="T1249" s="161" t="b">
        <f t="array" ref="T1249">index('Query Tool'!B:B,match(H1249,'Query Tool'!C:C,0))</f>
        <v>1</v>
      </c>
      <c r="U1249" s="161" t="b">
        <f t="array" ref="U1249">index('Query Tool'!B:B,match(C1249,'Query Tool'!C:C,0))</f>
        <v>0</v>
      </c>
      <c r="V1249" s="161" t="b">
        <f>F1249&gt;='Query Tool'!C$32</f>
        <v>1</v>
      </c>
      <c r="W1249" s="161" t="b">
        <f t="array" ref="W1249">index(Dropdowns!B:B,match(I1249,Dropdowns!A:A,0))</f>
        <v>1</v>
      </c>
      <c r="X1249" s="161" t="b">
        <f t="array" ref="X1249">index('Query Tool'!B:B,match(D1249,'Query Tool'!C:C,0))</f>
        <v>1</v>
      </c>
      <c r="Y1249" s="161" t="str">
        <f t="shared" si="6"/>
        <v>lambje01,2015-16</v>
      </c>
      <c r="Z1249" s="168">
        <f t="array" ref="Z1249">iferror(index(I:I,match($A1249&amp;","&amp;index('Year Conversion'!$A:$A,match($C1249,'Year Conversion'!$B:$B,0)),$Y:$Y,0))-I1249,"")</f>
        <v>1</v>
      </c>
      <c r="AA1249" s="168">
        <f t="array" ref="AA1249">iferror(index(J:J,match($A1249&amp;","&amp;index('Year Conversion'!$A:$A,match($C1249,'Year Conversion'!$B:$B,0)),$Y:$Y,0))-J1249,"")</f>
        <v>-0.2740601721</v>
      </c>
      <c r="AB1249" s="168">
        <f t="array" ref="AB1249">iferror(index(K:K,match($A1249&amp;","&amp;index('Year Conversion'!$A:$A,match($C1249,'Year Conversion'!$B:$B,0)),$Y:$Y,0))-K1249,"")</f>
        <v>0.7624305396</v>
      </c>
      <c r="AC1249" s="168" t="str">
        <f t="shared" si="7"/>
        <v>CHO,2015-16</v>
      </c>
    </row>
    <row r="1250">
      <c r="A1250" s="161" t="str">
        <f>IFERROR(__xludf.DUMMYFUNCTION("""COMPUTED_VALUE"""),"marshke01")</f>
        <v>marshke01</v>
      </c>
      <c r="B1250" s="161" t="str">
        <f>IFERROR(__xludf.DUMMYFUNCTION("""COMPUTED_VALUE"""),"Kendall Marshall")</f>
        <v>Kendall Marshall</v>
      </c>
      <c r="C1250" s="162" t="str">
        <f>IFERROR(__xludf.DUMMYFUNCTION("""COMPUTED_VALUE"""),"2015-16")</f>
        <v>2015-16</v>
      </c>
      <c r="D1250" s="163" t="str">
        <f>IFERROR(__xludf.DUMMYFUNCTION("""COMPUTED_VALUE"""),"PHI")</f>
        <v>PHI</v>
      </c>
      <c r="E1250" s="164" t="str">
        <f>IFERROR(__xludf.DUMMYFUNCTION("""COMPUTED_VALUE"""),"Shot Creator")</f>
        <v>Shot Creator</v>
      </c>
      <c r="F1250" s="164">
        <f>IFERROR(__xludf.DUMMYFUNCTION("""COMPUTED_VALUE"""),399.646666666667)</f>
        <v>399.6466667</v>
      </c>
      <c r="G1250" s="163">
        <f>IFERROR(__xludf.DUMMYFUNCTION("""COMPUTED_VALUE"""),30.0)</f>
        <v>30</v>
      </c>
      <c r="H1250" s="163" t="str">
        <f>IFERROR(__xludf.DUMMYFUNCTION("""COMPUTED_VALUE"""),"PG")</f>
        <v>PG</v>
      </c>
      <c r="I1250" s="163">
        <f>IFERROR(__xludf.DUMMYFUNCTION("""COMPUTED_VALUE"""),24.0)</f>
        <v>24</v>
      </c>
      <c r="J1250" s="165">
        <f>IFERROR(__xludf.DUMMYFUNCTION("""COMPUTED_VALUE"""),-2.83058106918599)</f>
        <v>-2.830581069</v>
      </c>
      <c r="K1250" s="165">
        <f>IFERROR(__xludf.DUMMYFUNCTION("""COMPUTED_VALUE"""),-1.71088388700716)</f>
        <v>-1.710883887</v>
      </c>
      <c r="L1250" s="165">
        <f>IFERROR(__xludf.DUMMYFUNCTION("""COMPUTED_VALUE"""),-1.11969718217883)</f>
        <v>-1.119697182</v>
      </c>
      <c r="M1250" s="166">
        <f t="shared" si="2"/>
        <v>-0.1381661933</v>
      </c>
      <c r="N1250" s="167">
        <f t="shared" si="3"/>
        <v>13.32155556</v>
      </c>
      <c r="O1250" s="163">
        <f t="shared" ref="O1250:Q1250" si="1254">rank(I1250,I:I)</f>
        <v>2361</v>
      </c>
      <c r="P1250" s="163">
        <f t="shared" si="1254"/>
        <v>3851</v>
      </c>
      <c r="Q1250" s="163">
        <f t="shared" si="1254"/>
        <v>3526</v>
      </c>
      <c r="R1250" s="163">
        <f>IFERROR(__xludf.DUMMYFUNCTION("RANK(M1250,filter(M:M,C:C=C1250))"),442.0)</f>
        <v>442</v>
      </c>
      <c r="S1250" s="161" t="b">
        <f t="shared" si="5"/>
        <v>0</v>
      </c>
      <c r="T1250" s="161" t="b">
        <f t="array" ref="T1250">index('Query Tool'!B:B,match(H1250,'Query Tool'!C:C,0))</f>
        <v>1</v>
      </c>
      <c r="U1250" s="161" t="b">
        <f t="array" ref="U1250">index('Query Tool'!B:B,match(C1250,'Query Tool'!C:C,0))</f>
        <v>0</v>
      </c>
      <c r="V1250" s="161" t="b">
        <f>F1250&gt;='Query Tool'!C$32</f>
        <v>0</v>
      </c>
      <c r="W1250" s="161" t="b">
        <f t="array" ref="W1250">index(Dropdowns!B:B,match(I1250,Dropdowns!A:A,0))</f>
        <v>1</v>
      </c>
      <c r="X1250" s="161" t="b">
        <f t="array" ref="X1250">index('Query Tool'!B:B,match(D1250,'Query Tool'!C:C,0))</f>
        <v>1</v>
      </c>
      <c r="Y1250" s="161" t="str">
        <f t="shared" si="6"/>
        <v>marshke01,2015-16</v>
      </c>
      <c r="Z1250" s="168" t="str">
        <f t="array" ref="Z1250">iferror(index(I:I,match($A1250&amp;","&amp;index('Year Conversion'!$A:$A,match($C1250,'Year Conversion'!$B:$B,0)),$Y:$Y,0))-I1250,"")</f>
        <v/>
      </c>
      <c r="AA1250" s="168" t="str">
        <f t="array" ref="AA1250">iferror(index(J:J,match($A1250&amp;","&amp;index('Year Conversion'!$A:$A,match($C1250,'Year Conversion'!$B:$B,0)),$Y:$Y,0))-J1250,"")</f>
        <v/>
      </c>
      <c r="AB1250" s="168" t="str">
        <f t="array" ref="AB1250">iferror(index(K:K,match($A1250&amp;","&amp;index('Year Conversion'!$A:$A,match($C1250,'Year Conversion'!$B:$B,0)),$Y:$Y,0))-K1250,"")</f>
        <v/>
      </c>
      <c r="AC1250" s="168" t="str">
        <f t="shared" si="7"/>
        <v>PHI,2015-16</v>
      </c>
    </row>
    <row r="1251">
      <c r="A1251" s="161" t="str">
        <f>IFERROR(__xludf.DUMMYFUNCTION("""COMPUTED_VALUE"""),"hensojo01")</f>
        <v>hensojo01</v>
      </c>
      <c r="B1251" s="161" t="str">
        <f>IFERROR(__xludf.DUMMYFUNCTION("""COMPUTED_VALUE"""),"John Henson")</f>
        <v>John Henson</v>
      </c>
      <c r="C1251" s="162" t="str">
        <f>IFERROR(__xludf.DUMMYFUNCTION("""COMPUTED_VALUE"""),"2015-16")</f>
        <v>2015-16</v>
      </c>
      <c r="D1251" s="163" t="str">
        <f>IFERROR(__xludf.DUMMYFUNCTION("""COMPUTED_VALUE"""),"MIL")</f>
        <v>MIL</v>
      </c>
      <c r="E1251" s="164" t="str">
        <f>IFERROR(__xludf.DUMMYFUNCTION("""COMPUTED_VALUE"""),"Roll + Cut Big")</f>
        <v>Roll + Cut Big</v>
      </c>
      <c r="F1251" s="164">
        <f>IFERROR(__xludf.DUMMYFUNCTION("""COMPUTED_VALUE"""),959.473333333334)</f>
        <v>959.4733333</v>
      </c>
      <c r="G1251" s="163">
        <f>IFERROR(__xludf.DUMMYFUNCTION("""COMPUTED_VALUE"""),57.0)</f>
        <v>57</v>
      </c>
      <c r="H1251" s="163" t="str">
        <f>IFERROR(__xludf.DUMMYFUNCTION("""COMPUTED_VALUE"""),"C")</f>
        <v>C</v>
      </c>
      <c r="I1251" s="163">
        <f>IFERROR(__xludf.DUMMYFUNCTION("""COMPUTED_VALUE"""),25.0)</f>
        <v>25</v>
      </c>
      <c r="J1251" s="165">
        <f>IFERROR(__xludf.DUMMYFUNCTION("""COMPUTED_VALUE"""),0.0769265215588804)</f>
        <v>0.07692652156</v>
      </c>
      <c r="K1251" s="165">
        <f>IFERROR(__xludf.DUMMYFUNCTION("""COMPUTED_VALUE"""),-1.45536835360572)</f>
        <v>-1.455368354</v>
      </c>
      <c r="L1251" s="165">
        <f>IFERROR(__xludf.DUMMYFUNCTION("""COMPUTED_VALUE"""),1.5322948751646)</f>
        <v>1.532294875</v>
      </c>
      <c r="M1251" s="166">
        <f t="shared" si="2"/>
        <v>1.528948886</v>
      </c>
      <c r="N1251" s="167">
        <f t="shared" si="3"/>
        <v>16.8328655</v>
      </c>
      <c r="O1251" s="163">
        <f t="shared" ref="O1251:Q1251" si="1255">rank(I1251,I:I)</f>
        <v>1995</v>
      </c>
      <c r="P1251" s="163">
        <f t="shared" si="1255"/>
        <v>1216</v>
      </c>
      <c r="Q1251" s="163">
        <f t="shared" si="1255"/>
        <v>3304</v>
      </c>
      <c r="R1251" s="163">
        <f>IFERROR(__xludf.DUMMYFUNCTION("RANK(M1251,filter(M:M,C:C=C1251))"),185.0)</f>
        <v>185</v>
      </c>
      <c r="S1251" s="161" t="b">
        <f t="shared" si="5"/>
        <v>0</v>
      </c>
      <c r="T1251" s="161" t="b">
        <f t="array" ref="T1251">index('Query Tool'!B:B,match(H1251,'Query Tool'!C:C,0))</f>
        <v>1</v>
      </c>
      <c r="U1251" s="161" t="b">
        <f t="array" ref="U1251">index('Query Tool'!B:B,match(C1251,'Query Tool'!C:C,0))</f>
        <v>0</v>
      </c>
      <c r="V1251" s="161" t="b">
        <f>F1251&gt;='Query Tool'!C$32</f>
        <v>1</v>
      </c>
      <c r="W1251" s="161" t="b">
        <f t="array" ref="W1251">index(Dropdowns!B:B,match(I1251,Dropdowns!A:A,0))</f>
        <v>1</v>
      </c>
      <c r="X1251" s="161" t="b">
        <f t="array" ref="X1251">index('Query Tool'!B:B,match(D1251,'Query Tool'!C:C,0))</f>
        <v>1</v>
      </c>
      <c r="Y1251" s="161" t="str">
        <f t="shared" si="6"/>
        <v>hensojo01,2015-16</v>
      </c>
      <c r="Z1251" s="168">
        <f t="array" ref="Z1251">iferror(index(I:I,match($A1251&amp;","&amp;index('Year Conversion'!$A:$A,match($C1251,'Year Conversion'!$B:$B,0)),$Y:$Y,0))-I1251,"")</f>
        <v>1</v>
      </c>
      <c r="AA1251" s="168">
        <f t="array" ref="AA1251">iferror(index(J:J,match($A1251&amp;","&amp;index('Year Conversion'!$A:$A,match($C1251,'Year Conversion'!$B:$B,0)),$Y:$Y,0))-J1251,"")</f>
        <v>0.2274058942</v>
      </c>
      <c r="AB1251" s="168">
        <f t="array" ref="AB1251">iferror(index(K:K,match($A1251&amp;","&amp;index('Year Conversion'!$A:$A,match($C1251,'Year Conversion'!$B:$B,0)),$Y:$Y,0))-K1251,"")</f>
        <v>0.1554516873</v>
      </c>
      <c r="AC1251" s="168" t="str">
        <f t="shared" si="7"/>
        <v>MIL,2015-16</v>
      </c>
    </row>
    <row r="1252">
      <c r="A1252" s="161" t="str">
        <f>IFERROR(__xludf.DUMMYFUNCTION("""COMPUTED_VALUE"""),"harklma01")</f>
        <v>harklma01</v>
      </c>
      <c r="B1252" s="161" t="str">
        <f>IFERROR(__xludf.DUMMYFUNCTION("""COMPUTED_VALUE"""),"Maurice Harkless")</f>
        <v>Maurice Harkless</v>
      </c>
      <c r="C1252" s="162" t="str">
        <f>IFERROR(__xludf.DUMMYFUNCTION("""COMPUTED_VALUE"""),"2015-16")</f>
        <v>2015-16</v>
      </c>
      <c r="D1252" s="163" t="str">
        <f>IFERROR(__xludf.DUMMYFUNCTION("""COMPUTED_VALUE"""),"POR")</f>
        <v>POR</v>
      </c>
      <c r="E1252" s="164" t="str">
        <f>IFERROR(__xludf.DUMMYFUNCTION("""COMPUTED_VALUE"""),"Athletic Finisher")</f>
        <v>Athletic Finisher</v>
      </c>
      <c r="F1252" s="164">
        <f>IFERROR(__xludf.DUMMYFUNCTION("""COMPUTED_VALUE"""),1457.045)</f>
        <v>1457.045</v>
      </c>
      <c r="G1252" s="163">
        <f>IFERROR(__xludf.DUMMYFUNCTION("""COMPUTED_VALUE"""),78.0)</f>
        <v>78</v>
      </c>
      <c r="H1252" s="163" t="str">
        <f>IFERROR(__xludf.DUMMYFUNCTION("""COMPUTED_VALUE"""),"SF")</f>
        <v>SF</v>
      </c>
      <c r="I1252" s="163">
        <f>IFERROR(__xludf.DUMMYFUNCTION("""COMPUTED_VALUE"""),22.0)</f>
        <v>22</v>
      </c>
      <c r="J1252" s="165">
        <f>IFERROR(__xludf.DUMMYFUNCTION("""COMPUTED_VALUE"""),-0.41067556177919)</f>
        <v>-0.4106755618</v>
      </c>
      <c r="K1252" s="165">
        <f>IFERROR(__xludf.DUMMYFUNCTION("""COMPUTED_VALUE"""),-0.419247119266079)</f>
        <v>-0.4192471193</v>
      </c>
      <c r="L1252" s="165">
        <f>IFERROR(__xludf.DUMMYFUNCTION("""COMPUTED_VALUE"""),0.0085715574868892)</f>
        <v>0.008571557487</v>
      </c>
      <c r="M1252" s="166">
        <f t="shared" si="2"/>
        <v>1.842955369</v>
      </c>
      <c r="N1252" s="167">
        <f t="shared" si="3"/>
        <v>18.6800641</v>
      </c>
      <c r="O1252" s="163">
        <f t="shared" ref="O1252:Q1252" si="1256">rank(I1252,I:I)</f>
        <v>3178</v>
      </c>
      <c r="P1252" s="163">
        <f t="shared" si="1256"/>
        <v>1742</v>
      </c>
      <c r="Q1252" s="163">
        <f t="shared" si="1256"/>
        <v>1981</v>
      </c>
      <c r="R1252" s="163">
        <f>IFERROR(__xludf.DUMMYFUNCTION("RANK(M1252,filter(M:M,C:C=C1252))"),166.0)</f>
        <v>166</v>
      </c>
      <c r="S1252" s="161" t="b">
        <f t="shared" si="5"/>
        <v>0</v>
      </c>
      <c r="T1252" s="161" t="b">
        <f t="array" ref="T1252">index('Query Tool'!B:B,match(H1252,'Query Tool'!C:C,0))</f>
        <v>1</v>
      </c>
      <c r="U1252" s="161" t="b">
        <f t="array" ref="U1252">index('Query Tool'!B:B,match(C1252,'Query Tool'!C:C,0))</f>
        <v>0</v>
      </c>
      <c r="V1252" s="161" t="b">
        <f>F1252&gt;='Query Tool'!C$32</f>
        <v>1</v>
      </c>
      <c r="W1252" s="161" t="b">
        <f t="array" ref="W1252">index(Dropdowns!B:B,match(I1252,Dropdowns!A:A,0))</f>
        <v>1</v>
      </c>
      <c r="X1252" s="161" t="b">
        <f t="array" ref="X1252">index('Query Tool'!B:B,match(D1252,'Query Tool'!C:C,0))</f>
        <v>1</v>
      </c>
      <c r="Y1252" s="161" t="str">
        <f t="shared" si="6"/>
        <v>harklma01,2015-16</v>
      </c>
      <c r="Z1252" s="168">
        <f t="array" ref="Z1252">iferror(index(I:I,match($A1252&amp;","&amp;index('Year Conversion'!$A:$A,match($C1252,'Year Conversion'!$B:$B,0)),$Y:$Y,0))-I1252,"")</f>
        <v>1</v>
      </c>
      <c r="AA1252" s="168">
        <f t="array" ref="AA1252">iferror(index(J:J,match($A1252&amp;","&amp;index('Year Conversion'!$A:$A,match($C1252,'Year Conversion'!$B:$B,0)),$Y:$Y,0))-J1252,"")</f>
        <v>0.6461958825</v>
      </c>
      <c r="AB1252" s="168">
        <f t="array" ref="AB1252">iferror(index(K:K,match($A1252&amp;","&amp;index('Year Conversion'!$A:$A,match($C1252,'Year Conversion'!$B:$B,0)),$Y:$Y,0))-K1252,"")</f>
        <v>0.2965378526</v>
      </c>
      <c r="AC1252" s="168" t="str">
        <f t="shared" si="7"/>
        <v>POR,2015-16</v>
      </c>
    </row>
    <row r="1253">
      <c r="A1253" s="161" t="str">
        <f>IFERROR(__xludf.DUMMYFUNCTION("""COMPUTED_VALUE"""),"zellety01")</f>
        <v>zellety01</v>
      </c>
      <c r="B1253" s="161" t="str">
        <f>IFERROR(__xludf.DUMMYFUNCTION("""COMPUTED_VALUE"""),"Tyler Zeller")</f>
        <v>Tyler Zeller</v>
      </c>
      <c r="C1253" s="162" t="str">
        <f>IFERROR(__xludf.DUMMYFUNCTION("""COMPUTED_VALUE"""),"2015-16")</f>
        <v>2015-16</v>
      </c>
      <c r="D1253" s="163" t="str">
        <f>IFERROR(__xludf.DUMMYFUNCTION("""COMPUTED_VALUE"""),"BOS")</f>
        <v>BOS</v>
      </c>
      <c r="E1253" s="164" t="str">
        <f>IFERROR(__xludf.DUMMYFUNCTION("""COMPUTED_VALUE"""),"Roll + Cut Big")</f>
        <v>Roll + Cut Big</v>
      </c>
      <c r="F1253" s="164">
        <f>IFERROR(__xludf.DUMMYFUNCTION("""COMPUTED_VALUE"""),709.938333333333)</f>
        <v>709.9383333</v>
      </c>
      <c r="G1253" s="163">
        <f>IFERROR(__xludf.DUMMYFUNCTION("""COMPUTED_VALUE"""),60.0)</f>
        <v>60</v>
      </c>
      <c r="H1253" s="163" t="str">
        <f>IFERROR(__xludf.DUMMYFUNCTION("""COMPUTED_VALUE"""),"C")</f>
        <v>C</v>
      </c>
      <c r="I1253" s="163">
        <f>IFERROR(__xludf.DUMMYFUNCTION("""COMPUTED_VALUE"""),26.0)</f>
        <v>26</v>
      </c>
      <c r="J1253" s="165">
        <f>IFERROR(__xludf.DUMMYFUNCTION("""COMPUTED_VALUE"""),-2.07536504253158)</f>
        <v>-2.075365043</v>
      </c>
      <c r="K1253" s="165">
        <f>IFERROR(__xludf.DUMMYFUNCTION("""COMPUTED_VALUE"""),-1.79111221944249)</f>
        <v>-1.791112219</v>
      </c>
      <c r="L1253" s="165">
        <f>IFERROR(__xludf.DUMMYFUNCTION("""COMPUTED_VALUE"""),-0.284252823089094)</f>
        <v>-0.2842528231</v>
      </c>
      <c r="M1253" s="166">
        <f t="shared" si="2"/>
        <v>0.1070509313</v>
      </c>
      <c r="N1253" s="167">
        <f t="shared" si="3"/>
        <v>11.83230556</v>
      </c>
      <c r="O1253" s="163">
        <f t="shared" ref="O1253:Q1253" si="1257">rank(I1253,I:I)</f>
        <v>1665</v>
      </c>
      <c r="P1253" s="163">
        <f t="shared" si="1257"/>
        <v>3539</v>
      </c>
      <c r="Q1253" s="163">
        <f t="shared" si="1257"/>
        <v>3572</v>
      </c>
      <c r="R1253" s="163">
        <f>IFERROR(__xludf.DUMMYFUNCTION("RANK(M1253,filter(M:M,C:C=C1253))"),369.0)</f>
        <v>369</v>
      </c>
      <c r="S1253" s="161" t="b">
        <f t="shared" si="5"/>
        <v>0</v>
      </c>
      <c r="T1253" s="161" t="b">
        <f t="array" ref="T1253">index('Query Tool'!B:B,match(H1253,'Query Tool'!C:C,0))</f>
        <v>1</v>
      </c>
      <c r="U1253" s="161" t="b">
        <f t="array" ref="U1253">index('Query Tool'!B:B,match(C1253,'Query Tool'!C:C,0))</f>
        <v>0</v>
      </c>
      <c r="V1253" s="161" t="b">
        <f>F1253&gt;='Query Tool'!C$32</f>
        <v>1</v>
      </c>
      <c r="W1253" s="161" t="b">
        <f t="array" ref="W1253">index(Dropdowns!B:B,match(I1253,Dropdowns!A:A,0))</f>
        <v>1</v>
      </c>
      <c r="X1253" s="161" t="b">
        <f t="array" ref="X1253">index('Query Tool'!B:B,match(D1253,'Query Tool'!C:C,0))</f>
        <v>1</v>
      </c>
      <c r="Y1253" s="161" t="str">
        <f t="shared" si="6"/>
        <v>zellety01,2015-16</v>
      </c>
      <c r="Z1253" s="168">
        <f t="array" ref="Z1253">iferror(index(I:I,match($A1253&amp;","&amp;index('Year Conversion'!$A:$A,match($C1253,'Year Conversion'!$B:$B,0)),$Y:$Y,0))-I1253,"")</f>
        <v>1</v>
      </c>
      <c r="AA1253" s="168">
        <f t="array" ref="AA1253">iferror(index(J:J,match($A1253&amp;","&amp;index('Year Conversion'!$A:$A,match($C1253,'Year Conversion'!$B:$B,0)),$Y:$Y,0))-J1253,"")</f>
        <v>0.5208282812</v>
      </c>
      <c r="AB1253" s="168">
        <f t="array" ref="AB1253">iferror(index(K:K,match($A1253&amp;","&amp;index('Year Conversion'!$A:$A,match($C1253,'Year Conversion'!$B:$B,0)),$Y:$Y,0))-K1253,"")</f>
        <v>0.027553259</v>
      </c>
      <c r="AC1253" s="168" t="str">
        <f t="shared" si="7"/>
        <v>BOS,2015-16</v>
      </c>
    </row>
    <row r="1254">
      <c r="A1254" s="161" t="str">
        <f>IFERROR(__xludf.DUMMYFUNCTION("""COMPUTED_VALUE"""),"joneste01")</f>
        <v>joneste01</v>
      </c>
      <c r="B1254" s="161" t="str">
        <f>IFERROR(__xludf.DUMMYFUNCTION("""COMPUTED_VALUE"""),"Terrence Jones")</f>
        <v>Terrence Jones</v>
      </c>
      <c r="C1254" s="162" t="str">
        <f>IFERROR(__xludf.DUMMYFUNCTION("""COMPUTED_VALUE"""),"2015-16")</f>
        <v>2015-16</v>
      </c>
      <c r="D1254" s="163" t="str">
        <f>IFERROR(__xludf.DUMMYFUNCTION("""COMPUTED_VALUE"""),"HOU")</f>
        <v>HOU</v>
      </c>
      <c r="E1254" s="164" t="str">
        <f>IFERROR(__xludf.DUMMYFUNCTION("""COMPUTED_VALUE"""),"Roll + Cut Big")</f>
        <v>Roll + Cut Big</v>
      </c>
      <c r="F1254" s="164">
        <f>IFERROR(__xludf.DUMMYFUNCTION("""COMPUTED_VALUE"""),1044.235)</f>
        <v>1044.235</v>
      </c>
      <c r="G1254" s="163">
        <f>IFERROR(__xludf.DUMMYFUNCTION("""COMPUTED_VALUE"""),50.0)</f>
        <v>50</v>
      </c>
      <c r="H1254" s="163" t="str">
        <f>IFERROR(__xludf.DUMMYFUNCTION("""COMPUTED_VALUE"""),"PF")</f>
        <v>PF</v>
      </c>
      <c r="I1254" s="163">
        <f>IFERROR(__xludf.DUMMYFUNCTION("""COMPUTED_VALUE"""),24.0)</f>
        <v>24</v>
      </c>
      <c r="J1254" s="165">
        <f>IFERROR(__xludf.DUMMYFUNCTION("""COMPUTED_VALUE"""),-3.2733889938381)</f>
        <v>-3.273388994</v>
      </c>
      <c r="K1254" s="165">
        <f>IFERROR(__xludf.DUMMYFUNCTION("""COMPUTED_VALUE"""),-1.91717308379197)</f>
        <v>-1.917173084</v>
      </c>
      <c r="L1254" s="165">
        <f>IFERROR(__xludf.DUMMYFUNCTION("""COMPUTED_VALUE"""),-1.35621591004613)</f>
        <v>-1.35621591</v>
      </c>
      <c r="M1254" s="166">
        <f t="shared" si="2"/>
        <v>-0.6609422259</v>
      </c>
      <c r="N1254" s="167">
        <f t="shared" si="3"/>
        <v>20.8847</v>
      </c>
      <c r="O1254" s="163">
        <f t="shared" ref="O1254:Q1254" si="1258">rank(I1254,I:I)</f>
        <v>2361</v>
      </c>
      <c r="P1254" s="163">
        <f t="shared" si="1258"/>
        <v>3941</v>
      </c>
      <c r="Q1254" s="163">
        <f t="shared" si="1258"/>
        <v>3661</v>
      </c>
      <c r="R1254" s="163">
        <f>IFERROR(__xludf.DUMMYFUNCTION("RANK(M1254,filter(M:M,C:C=C1254))"),457.0)</f>
        <v>457</v>
      </c>
      <c r="S1254" s="161" t="b">
        <f t="shared" si="5"/>
        <v>0</v>
      </c>
      <c r="T1254" s="161" t="b">
        <f t="array" ref="T1254">index('Query Tool'!B:B,match(H1254,'Query Tool'!C:C,0))</f>
        <v>1</v>
      </c>
      <c r="U1254" s="161" t="b">
        <f t="array" ref="U1254">index('Query Tool'!B:B,match(C1254,'Query Tool'!C:C,0))</f>
        <v>0</v>
      </c>
      <c r="V1254" s="161" t="b">
        <f>F1254&gt;='Query Tool'!C$32</f>
        <v>1</v>
      </c>
      <c r="W1254" s="161" t="b">
        <f t="array" ref="W1254">index(Dropdowns!B:B,match(I1254,Dropdowns!A:A,0))</f>
        <v>1</v>
      </c>
      <c r="X1254" s="161" t="b">
        <f t="array" ref="X1254">index('Query Tool'!B:B,match(D1254,'Query Tool'!C:C,0))</f>
        <v>1</v>
      </c>
      <c r="Y1254" s="161" t="str">
        <f t="shared" si="6"/>
        <v>joneste01,2015-16</v>
      </c>
      <c r="Z1254" s="168">
        <f t="array" ref="Z1254">iferror(index(I:I,match($A1254&amp;","&amp;index('Year Conversion'!$A:$A,match($C1254,'Year Conversion'!$B:$B,0)),$Y:$Y,0))-I1254,"")</f>
        <v>1</v>
      </c>
      <c r="AA1254" s="168">
        <f t="array" ref="AA1254">iferror(index(J:J,match($A1254&amp;","&amp;index('Year Conversion'!$A:$A,match($C1254,'Year Conversion'!$B:$B,0)),$Y:$Y,0))-J1254,"")</f>
        <v>3.008135653</v>
      </c>
      <c r="AB1254" s="168">
        <f t="array" ref="AB1254">iferror(index(K:K,match($A1254&amp;","&amp;index('Year Conversion'!$A:$A,match($C1254,'Year Conversion'!$B:$B,0)),$Y:$Y,0))-K1254,"")</f>
        <v>0.9724727469</v>
      </c>
      <c r="AC1254" s="168" t="str">
        <f t="shared" si="7"/>
        <v>HOU,2015-16</v>
      </c>
    </row>
    <row r="1255">
      <c r="A1255" s="161" t="str">
        <f>IFERROR(__xludf.DUMMYFUNCTION("""COMPUTED_VALUE"""),"nichoan01")</f>
        <v>nichoan01</v>
      </c>
      <c r="B1255" s="161" t="str">
        <f>IFERROR(__xludf.DUMMYFUNCTION("""COMPUTED_VALUE"""),"Andrew Nicholson")</f>
        <v>Andrew Nicholson</v>
      </c>
      <c r="C1255" s="162" t="str">
        <f>IFERROR(__xludf.DUMMYFUNCTION("""COMPUTED_VALUE"""),"2015-16")</f>
        <v>2015-16</v>
      </c>
      <c r="D1255" s="163" t="str">
        <f>IFERROR(__xludf.DUMMYFUNCTION("""COMPUTED_VALUE"""),"ORL")</f>
        <v>ORL</v>
      </c>
      <c r="E1255" s="164" t="str">
        <f>IFERROR(__xludf.DUMMYFUNCTION("""COMPUTED_VALUE"""),"Versatile Big")</f>
        <v>Versatile Big</v>
      </c>
      <c r="F1255" s="164">
        <f>IFERROR(__xludf.DUMMYFUNCTION("""COMPUTED_VALUE"""),822.771666666667)</f>
        <v>822.7716667</v>
      </c>
      <c r="G1255" s="163">
        <f>IFERROR(__xludf.DUMMYFUNCTION("""COMPUTED_VALUE"""),56.0)</f>
        <v>56</v>
      </c>
      <c r="H1255" s="163" t="str">
        <f>IFERROR(__xludf.DUMMYFUNCTION("""COMPUTED_VALUE"""),"PF")</f>
        <v>PF</v>
      </c>
      <c r="I1255" s="163">
        <f>IFERROR(__xludf.DUMMYFUNCTION("""COMPUTED_VALUE"""),26.0)</f>
        <v>26</v>
      </c>
      <c r="J1255" s="165">
        <f>IFERROR(__xludf.DUMMYFUNCTION("""COMPUTED_VALUE"""),-0.489901194684286)</f>
        <v>-0.4899011947</v>
      </c>
      <c r="K1255" s="165">
        <f>IFERROR(__xludf.DUMMYFUNCTION("""COMPUTED_VALUE"""),-0.687816182784199)</f>
        <v>-0.6878161828</v>
      </c>
      <c r="L1255" s="165">
        <f>IFERROR(__xludf.DUMMYFUNCTION("""COMPUTED_VALUE"""),0.197914988099913)</f>
        <v>0.1979149881</v>
      </c>
      <c r="M1255" s="166">
        <f t="shared" si="2"/>
        <v>0.9967799318</v>
      </c>
      <c r="N1255" s="167">
        <f t="shared" si="3"/>
        <v>14.69235119</v>
      </c>
      <c r="O1255" s="163">
        <f t="shared" ref="O1255:Q1255" si="1259">rank(I1255,I:I)</f>
        <v>1665</v>
      </c>
      <c r="P1255" s="163">
        <f t="shared" si="1259"/>
        <v>1839</v>
      </c>
      <c r="Q1255" s="163">
        <f t="shared" si="1259"/>
        <v>2397</v>
      </c>
      <c r="R1255" s="163">
        <f>IFERROR(__xludf.DUMMYFUNCTION("RANK(M1255,filter(M:M,C:C=C1255))"),220.0)</f>
        <v>220</v>
      </c>
      <c r="S1255" s="161" t="b">
        <f t="shared" si="5"/>
        <v>0</v>
      </c>
      <c r="T1255" s="161" t="b">
        <f t="array" ref="T1255">index('Query Tool'!B:B,match(H1255,'Query Tool'!C:C,0))</f>
        <v>1</v>
      </c>
      <c r="U1255" s="161" t="b">
        <f t="array" ref="U1255">index('Query Tool'!B:B,match(C1255,'Query Tool'!C:C,0))</f>
        <v>0</v>
      </c>
      <c r="V1255" s="161" t="b">
        <f>F1255&gt;='Query Tool'!C$32</f>
        <v>1</v>
      </c>
      <c r="W1255" s="161" t="b">
        <f t="array" ref="W1255">index(Dropdowns!B:B,match(I1255,Dropdowns!A:A,0))</f>
        <v>1</v>
      </c>
      <c r="X1255" s="161" t="b">
        <f t="array" ref="X1255">index('Query Tool'!B:B,match(D1255,'Query Tool'!C:C,0))</f>
        <v>1</v>
      </c>
      <c r="Y1255" s="161" t="str">
        <f t="shared" si="6"/>
        <v>nichoan01,2015-16</v>
      </c>
      <c r="Z1255" s="168">
        <f t="array" ref="Z1255">iferror(index(I:I,match($A1255&amp;","&amp;index('Year Conversion'!$A:$A,match($C1255,'Year Conversion'!$B:$B,0)),$Y:$Y,0))-I1255,"")</f>
        <v>1</v>
      </c>
      <c r="AA1255" s="168">
        <f t="array" ref="AA1255">iferror(index(J:J,match($A1255&amp;","&amp;index('Year Conversion'!$A:$A,match($C1255,'Year Conversion'!$B:$B,0)),$Y:$Y,0))-J1255,"")</f>
        <v>-1.71945464</v>
      </c>
      <c r="AB1255" s="168">
        <f t="array" ref="AB1255">iferror(index(K:K,match($A1255&amp;","&amp;index('Year Conversion'!$A:$A,match($C1255,'Year Conversion'!$B:$B,0)),$Y:$Y,0))-K1255,"")</f>
        <v>-0.8177730924</v>
      </c>
      <c r="AC1255" s="168" t="str">
        <f t="shared" si="7"/>
        <v>ORL,2015-16</v>
      </c>
    </row>
    <row r="1256">
      <c r="A1256" s="161" t="str">
        <f>IFERROR(__xludf.DUMMYFUNCTION("""COMPUTED_VALUE"""),"fournev01")</f>
        <v>fournev01</v>
      </c>
      <c r="B1256" s="161" t="str">
        <f>IFERROR(__xludf.DUMMYFUNCTION("""COMPUTED_VALUE"""),"Evan Fournier")</f>
        <v>Evan Fournier</v>
      </c>
      <c r="C1256" s="162" t="str">
        <f>IFERROR(__xludf.DUMMYFUNCTION("""COMPUTED_VALUE"""),"2015-16")</f>
        <v>2015-16</v>
      </c>
      <c r="D1256" s="163" t="str">
        <f>IFERROR(__xludf.DUMMYFUNCTION("""COMPUTED_VALUE"""),"ORL")</f>
        <v>ORL</v>
      </c>
      <c r="E1256" s="164" t="str">
        <f>IFERROR(__xludf.DUMMYFUNCTION("""COMPUTED_VALUE"""),"Secondary Ball Handler")</f>
        <v>Secondary Ball Handler</v>
      </c>
      <c r="F1256" s="164">
        <f>IFERROR(__xludf.DUMMYFUNCTION("""COMPUTED_VALUE"""),2566.08833333333)</f>
        <v>2566.088333</v>
      </c>
      <c r="G1256" s="163">
        <f>IFERROR(__xludf.DUMMYFUNCTION("""COMPUTED_VALUE"""),79.0)</f>
        <v>79</v>
      </c>
      <c r="H1256" s="163" t="str">
        <f>IFERROR(__xludf.DUMMYFUNCTION("""COMPUTED_VALUE"""),"SF")</f>
        <v>SF</v>
      </c>
      <c r="I1256" s="163">
        <f>IFERROR(__xludf.DUMMYFUNCTION("""COMPUTED_VALUE"""),23.0)</f>
        <v>23</v>
      </c>
      <c r="J1256" s="165">
        <f>IFERROR(__xludf.DUMMYFUNCTION("""COMPUTED_VALUE"""),-1.72787936481784)</f>
        <v>-1.727879365</v>
      </c>
      <c r="K1256" s="165">
        <f>IFERROR(__xludf.DUMMYFUNCTION("""COMPUTED_VALUE"""),-0.310926235911333)</f>
        <v>-0.3109262359</v>
      </c>
      <c r="L1256" s="165">
        <f>IFERROR(__xludf.DUMMYFUNCTION("""COMPUTED_VALUE"""),-1.41695312890651)</f>
        <v>-1.416953129</v>
      </c>
      <c r="M1256" s="166">
        <f t="shared" si="2"/>
        <v>0.9791054075</v>
      </c>
      <c r="N1256" s="167">
        <f t="shared" si="3"/>
        <v>32.4821308</v>
      </c>
      <c r="O1256" s="163">
        <f t="shared" ref="O1256:Q1256" si="1260">rank(I1256,I:I)</f>
        <v>2765</v>
      </c>
      <c r="P1256" s="163">
        <f t="shared" si="1260"/>
        <v>3270</v>
      </c>
      <c r="Q1256" s="163">
        <f t="shared" si="1260"/>
        <v>1775</v>
      </c>
      <c r="R1256" s="163">
        <f>IFERROR(__xludf.DUMMYFUNCTION("RANK(M1256,filter(M:M,C:C=C1256))"),221.0)</f>
        <v>221</v>
      </c>
      <c r="S1256" s="161" t="b">
        <f t="shared" si="5"/>
        <v>0</v>
      </c>
      <c r="T1256" s="161" t="b">
        <f t="array" ref="T1256">index('Query Tool'!B:B,match(H1256,'Query Tool'!C:C,0))</f>
        <v>1</v>
      </c>
      <c r="U1256" s="161" t="b">
        <f t="array" ref="U1256">index('Query Tool'!B:B,match(C1256,'Query Tool'!C:C,0))</f>
        <v>0</v>
      </c>
      <c r="V1256" s="161" t="b">
        <f>F1256&gt;='Query Tool'!C$32</f>
        <v>1</v>
      </c>
      <c r="W1256" s="161" t="b">
        <f t="array" ref="W1256">index(Dropdowns!B:B,match(I1256,Dropdowns!A:A,0))</f>
        <v>1</v>
      </c>
      <c r="X1256" s="161" t="b">
        <f t="array" ref="X1256">index('Query Tool'!B:B,match(D1256,'Query Tool'!C:C,0))</f>
        <v>1</v>
      </c>
      <c r="Y1256" s="161" t="str">
        <f t="shared" si="6"/>
        <v>fournev01,2015-16</v>
      </c>
      <c r="Z1256" s="168">
        <f t="array" ref="Z1256">iferror(index(I:I,match($A1256&amp;","&amp;index('Year Conversion'!$A:$A,match($C1256,'Year Conversion'!$B:$B,0)),$Y:$Y,0))-I1256,"")</f>
        <v>1</v>
      </c>
      <c r="AA1256" s="168">
        <f t="array" ref="AA1256">iferror(index(J:J,match($A1256&amp;","&amp;index('Year Conversion'!$A:$A,match($C1256,'Year Conversion'!$B:$B,0)),$Y:$Y,0))-J1256,"")</f>
        <v>0.9820753395</v>
      </c>
      <c r="AB1256" s="168">
        <f t="array" ref="AB1256">iferror(index(K:K,match($A1256&amp;","&amp;index('Year Conversion'!$A:$A,match($C1256,'Year Conversion'!$B:$B,0)),$Y:$Y,0))-K1256,"")</f>
        <v>0.5658989182</v>
      </c>
      <c r="AC1256" s="168" t="str">
        <f t="shared" si="7"/>
        <v>ORL,2015-16</v>
      </c>
    </row>
    <row r="1257">
      <c r="A1257" s="161" t="str">
        <f>IFERROR(__xludf.DUMMYFUNCTION("""COMPUTED_VALUE"""),"sullija01")</f>
        <v>sullija01</v>
      </c>
      <c r="B1257" s="161" t="str">
        <f>IFERROR(__xludf.DUMMYFUNCTION("""COMPUTED_VALUE"""),"Jared Sullinger")</f>
        <v>Jared Sullinger</v>
      </c>
      <c r="C1257" s="162" t="str">
        <f>IFERROR(__xludf.DUMMYFUNCTION("""COMPUTED_VALUE"""),"2015-16")</f>
        <v>2015-16</v>
      </c>
      <c r="D1257" s="163" t="str">
        <f>IFERROR(__xludf.DUMMYFUNCTION("""COMPUTED_VALUE"""),"BOS")</f>
        <v>BOS</v>
      </c>
      <c r="E1257" s="164" t="str">
        <f>IFERROR(__xludf.DUMMYFUNCTION("""COMPUTED_VALUE"""),"Post Scorer")</f>
        <v>Post Scorer</v>
      </c>
      <c r="F1257" s="164">
        <f>IFERROR(__xludf.DUMMYFUNCTION("""COMPUTED_VALUE"""),1914.62)</f>
        <v>1914.62</v>
      </c>
      <c r="G1257" s="163">
        <f>IFERROR(__xludf.DUMMYFUNCTION("""COMPUTED_VALUE"""),81.0)</f>
        <v>81</v>
      </c>
      <c r="H1257" s="163" t="str">
        <f>IFERROR(__xludf.DUMMYFUNCTION("""COMPUTED_VALUE"""),"PF")</f>
        <v>PF</v>
      </c>
      <c r="I1257" s="163">
        <f>IFERROR(__xludf.DUMMYFUNCTION("""COMPUTED_VALUE"""),23.0)</f>
        <v>23</v>
      </c>
      <c r="J1257" s="165">
        <f>IFERROR(__xludf.DUMMYFUNCTION("""COMPUTED_VALUE"""),1.69706955249112)</f>
        <v>1.697069552</v>
      </c>
      <c r="K1257" s="165">
        <f>IFERROR(__xludf.DUMMYFUNCTION("""COMPUTED_VALUE"""),-0.0431608809703337)</f>
        <v>-0.04316088097</v>
      </c>
      <c r="L1257" s="165">
        <f>IFERROR(__xludf.DUMMYFUNCTION("""COMPUTED_VALUE"""),1.74023043346145)</f>
        <v>1.740230433</v>
      </c>
      <c r="M1257" s="166">
        <f t="shared" si="2"/>
        <v>5.133589959</v>
      </c>
      <c r="N1257" s="167">
        <f t="shared" si="3"/>
        <v>23.63728395</v>
      </c>
      <c r="O1257" s="163">
        <f t="shared" ref="O1257:Q1257" si="1261">rank(I1257,I:I)</f>
        <v>2765</v>
      </c>
      <c r="P1257" s="163">
        <f t="shared" si="1261"/>
        <v>398</v>
      </c>
      <c r="Q1257" s="163">
        <f t="shared" si="1261"/>
        <v>1261</v>
      </c>
      <c r="R1257" s="163">
        <f>IFERROR(__xludf.DUMMYFUNCTION("RANK(M1257,filter(M:M,C:C=C1257))"),57.0)</f>
        <v>57</v>
      </c>
      <c r="S1257" s="161" t="b">
        <f t="shared" si="5"/>
        <v>0</v>
      </c>
      <c r="T1257" s="161" t="b">
        <f t="array" ref="T1257">index('Query Tool'!B:B,match(H1257,'Query Tool'!C:C,0))</f>
        <v>1</v>
      </c>
      <c r="U1257" s="161" t="b">
        <f t="array" ref="U1257">index('Query Tool'!B:B,match(C1257,'Query Tool'!C:C,0))</f>
        <v>0</v>
      </c>
      <c r="V1257" s="161" t="b">
        <f>F1257&gt;='Query Tool'!C$32</f>
        <v>1</v>
      </c>
      <c r="W1257" s="161" t="b">
        <f t="array" ref="W1257">index(Dropdowns!B:B,match(I1257,Dropdowns!A:A,0))</f>
        <v>1</v>
      </c>
      <c r="X1257" s="161" t="b">
        <f t="array" ref="X1257">index('Query Tool'!B:B,match(D1257,'Query Tool'!C:C,0))</f>
        <v>1</v>
      </c>
      <c r="Y1257" s="161" t="str">
        <f t="shared" si="6"/>
        <v>sullija01,2015-16</v>
      </c>
      <c r="Z1257" s="168">
        <f t="array" ref="Z1257">iferror(index(I:I,match($A1257&amp;","&amp;index('Year Conversion'!$A:$A,match($C1257,'Year Conversion'!$B:$B,0)),$Y:$Y,0))-I1257,"")</f>
        <v>1</v>
      </c>
      <c r="AA1257" s="168">
        <f t="array" ref="AA1257">iferror(index(J:J,match($A1257&amp;","&amp;index('Year Conversion'!$A:$A,match($C1257,'Year Conversion'!$B:$B,0)),$Y:$Y,0))-J1257,"")</f>
        <v>-2.596606316</v>
      </c>
      <c r="AB1257" s="168">
        <f t="array" ref="AB1257">iferror(index(K:K,match($A1257&amp;","&amp;index('Year Conversion'!$A:$A,match($C1257,'Year Conversion'!$B:$B,0)),$Y:$Y,0))-K1257,"")</f>
        <v>-0.4801632595</v>
      </c>
      <c r="AC1257" s="168" t="str">
        <f t="shared" si="7"/>
        <v>BOS,2015-16</v>
      </c>
    </row>
    <row r="1258">
      <c r="A1258" s="161" t="str">
        <f>IFERROR(__xludf.DUMMYFUNCTION("""COMPUTED_VALUE"""),"jenkijo01")</f>
        <v>jenkijo01</v>
      </c>
      <c r="B1258" s="161" t="str">
        <f>IFERROR(__xludf.DUMMYFUNCTION("""COMPUTED_VALUE"""),"John Jenkins")</f>
        <v>John Jenkins</v>
      </c>
      <c r="C1258" s="162" t="str">
        <f>IFERROR(__xludf.DUMMYFUNCTION("""COMPUTED_VALUE"""),"2015-16")</f>
        <v>2015-16</v>
      </c>
      <c r="D1258" s="163" t="str">
        <f>IFERROR(__xludf.DUMMYFUNCTION("""COMPUTED_VALUE"""),"TOT")</f>
        <v>TOT</v>
      </c>
      <c r="E1258" s="164" t="str">
        <f>IFERROR(__xludf.DUMMYFUNCTION("""COMPUTED_VALUE"""),"Secondary Ball Handler")</f>
        <v>Secondary Ball Handler</v>
      </c>
      <c r="F1258" s="164">
        <f>IFERROR(__xludf.DUMMYFUNCTION("""COMPUTED_VALUE"""),480.303333333333)</f>
        <v>480.3033333</v>
      </c>
      <c r="G1258" s="163">
        <f>IFERROR(__xludf.DUMMYFUNCTION("""COMPUTED_VALUE"""),43.0)</f>
        <v>43</v>
      </c>
      <c r="H1258" s="163" t="str">
        <f>IFERROR(__xludf.DUMMYFUNCTION("""COMPUTED_VALUE"""),"SG")</f>
        <v>SG</v>
      </c>
      <c r="I1258" s="163">
        <f>IFERROR(__xludf.DUMMYFUNCTION("""COMPUTED_VALUE"""),24.0)</f>
        <v>24</v>
      </c>
      <c r="J1258" s="165">
        <f>IFERROR(__xludf.DUMMYFUNCTION("""COMPUTED_VALUE"""),-1.41731553918661)</f>
        <v>-1.417315539</v>
      </c>
      <c r="K1258" s="165">
        <f>IFERROR(__xludf.DUMMYFUNCTION("""COMPUTED_VALUE"""),-0.581471446093151)</f>
        <v>-0.5814714461</v>
      </c>
      <c r="L1258" s="165">
        <f>IFERROR(__xludf.DUMMYFUNCTION("""COMPUTED_VALUE"""),-0.835844093093458)</f>
        <v>-0.8358440931</v>
      </c>
      <c r="M1258" s="166">
        <f t="shared" si="2"/>
        <v>0.2827951951</v>
      </c>
      <c r="N1258" s="167">
        <f t="shared" si="3"/>
        <v>11.16984496</v>
      </c>
      <c r="O1258" s="163">
        <f t="shared" ref="O1258:Q1258" si="1262">rank(I1258,I:I)</f>
        <v>2361</v>
      </c>
      <c r="P1258" s="163">
        <f t="shared" si="1262"/>
        <v>2968</v>
      </c>
      <c r="Q1258" s="163">
        <f t="shared" si="1262"/>
        <v>2236</v>
      </c>
      <c r="R1258" s="163">
        <f>IFERROR(__xludf.DUMMYFUNCTION("RANK(M1258,filter(M:M,C:C=C1258))"),317.0)</f>
        <v>317</v>
      </c>
      <c r="S1258" s="161" t="b">
        <f t="shared" si="5"/>
        <v>0</v>
      </c>
      <c r="T1258" s="161" t="b">
        <f t="array" ref="T1258">index('Query Tool'!B:B,match(H1258,'Query Tool'!C:C,0))</f>
        <v>1</v>
      </c>
      <c r="U1258" s="161" t="b">
        <f t="array" ref="U1258">index('Query Tool'!B:B,match(C1258,'Query Tool'!C:C,0))</f>
        <v>0</v>
      </c>
      <c r="V1258" s="161" t="b">
        <f>F1258&gt;='Query Tool'!C$32</f>
        <v>0</v>
      </c>
      <c r="W1258" s="161" t="b">
        <f t="array" ref="W1258">index(Dropdowns!B:B,match(I1258,Dropdowns!A:A,0))</f>
        <v>1</v>
      </c>
      <c r="X1258" s="161" t="b">
        <f t="array" ref="X1258">index('Query Tool'!B:B,match(D1258,'Query Tool'!C:C,0))</f>
        <v>1</v>
      </c>
      <c r="Y1258" s="161" t="str">
        <f t="shared" si="6"/>
        <v>jenkijo01,2015-16</v>
      </c>
      <c r="Z1258" s="168">
        <f t="array" ref="Z1258">iferror(index(I:I,match($A1258&amp;","&amp;index('Year Conversion'!$A:$A,match($C1258,'Year Conversion'!$B:$B,0)),$Y:$Y,0))-I1258,"")</f>
        <v>1</v>
      </c>
      <c r="AA1258" s="168">
        <f t="array" ref="AA1258">iferror(index(J:J,match($A1258&amp;","&amp;index('Year Conversion'!$A:$A,match($C1258,'Year Conversion'!$B:$B,0)),$Y:$Y,0))-J1258,"")</f>
        <v>1.868119801</v>
      </c>
      <c r="AB1258" s="168">
        <f t="array" ref="AB1258">iferror(index(K:K,match($A1258&amp;","&amp;index('Year Conversion'!$A:$A,match($C1258,'Year Conversion'!$B:$B,0)),$Y:$Y,0))-K1258,"")</f>
        <v>0.9826946018</v>
      </c>
      <c r="AC1258" s="168" t="str">
        <f t="shared" si="7"/>
        <v>TOT,2015-16</v>
      </c>
    </row>
    <row r="1259">
      <c r="A1259" s="161" t="str">
        <f>IFERROR(__xludf.DUMMYFUNCTION("""COMPUTED_VALUE"""),"cunnija01")</f>
        <v>cunnija01</v>
      </c>
      <c r="B1259" s="161" t="str">
        <f>IFERROR(__xludf.DUMMYFUNCTION("""COMPUTED_VALUE"""),"Jared Cunningham")</f>
        <v>Jared Cunningham</v>
      </c>
      <c r="C1259" s="162" t="str">
        <f>IFERROR(__xludf.DUMMYFUNCTION("""COMPUTED_VALUE"""),"2015-16")</f>
        <v>2015-16</v>
      </c>
      <c r="D1259" s="163" t="str">
        <f>IFERROR(__xludf.DUMMYFUNCTION("""COMPUTED_VALUE"""),"TOT")</f>
        <v>TOT</v>
      </c>
      <c r="E1259" s="164" t="str">
        <f>IFERROR(__xludf.DUMMYFUNCTION("""COMPUTED_VALUE"""),"Stationary Shooter")</f>
        <v>Stationary Shooter</v>
      </c>
      <c r="F1259" s="164">
        <f>IFERROR(__xludf.DUMMYFUNCTION("""COMPUTED_VALUE"""),410.385)</f>
        <v>410.385</v>
      </c>
      <c r="G1259" s="163">
        <f>IFERROR(__xludf.DUMMYFUNCTION("""COMPUTED_VALUE"""),44.0)</f>
        <v>44</v>
      </c>
      <c r="H1259" s="163" t="str">
        <f>IFERROR(__xludf.DUMMYFUNCTION("""COMPUTED_VALUE"""),"SG")</f>
        <v>SG</v>
      </c>
      <c r="I1259" s="163">
        <f>IFERROR(__xludf.DUMMYFUNCTION("""COMPUTED_VALUE"""),24.0)</f>
        <v>24</v>
      </c>
      <c r="J1259" s="165">
        <f>IFERROR(__xludf.DUMMYFUNCTION("""COMPUTED_VALUE"""),-2.02616929761466)</f>
        <v>-2.026169298</v>
      </c>
      <c r="K1259" s="165">
        <f>IFERROR(__xludf.DUMMYFUNCTION("""COMPUTED_VALUE"""),-1.63794998415186)</f>
        <v>-1.637949984</v>
      </c>
      <c r="L1259" s="165">
        <f>IFERROR(__xludf.DUMMYFUNCTION("""COMPUTED_VALUE"""),-0.388219313462798)</f>
        <v>-0.3882193135</v>
      </c>
      <c r="M1259" s="166">
        <f t="shared" si="2"/>
        <v>0.07525709116</v>
      </c>
      <c r="N1259" s="167">
        <f t="shared" si="3"/>
        <v>9.326931818</v>
      </c>
      <c r="O1259" s="163">
        <f t="shared" ref="O1259:Q1259" si="1263">rank(I1259,I:I)</f>
        <v>2361</v>
      </c>
      <c r="P1259" s="163">
        <f t="shared" si="1263"/>
        <v>3500</v>
      </c>
      <c r="Q1259" s="163">
        <f t="shared" si="1263"/>
        <v>3476</v>
      </c>
      <c r="R1259" s="163">
        <f>IFERROR(__xludf.DUMMYFUNCTION("RANK(M1259,filter(M:M,C:C=C1259))"),382.0)</f>
        <v>382</v>
      </c>
      <c r="S1259" s="161" t="b">
        <f t="shared" si="5"/>
        <v>0</v>
      </c>
      <c r="T1259" s="161" t="b">
        <f t="array" ref="T1259">index('Query Tool'!B:B,match(H1259,'Query Tool'!C:C,0))</f>
        <v>1</v>
      </c>
      <c r="U1259" s="161" t="b">
        <f t="array" ref="U1259">index('Query Tool'!B:B,match(C1259,'Query Tool'!C:C,0))</f>
        <v>0</v>
      </c>
      <c r="V1259" s="161" t="b">
        <f>F1259&gt;='Query Tool'!C$32</f>
        <v>0</v>
      </c>
      <c r="W1259" s="161" t="b">
        <f t="array" ref="W1259">index(Dropdowns!B:B,match(I1259,Dropdowns!A:A,0))</f>
        <v>1</v>
      </c>
      <c r="X1259" s="161" t="b">
        <f t="array" ref="X1259">index('Query Tool'!B:B,match(D1259,'Query Tool'!C:C,0))</f>
        <v>1</v>
      </c>
      <c r="Y1259" s="161" t="str">
        <f t="shared" si="6"/>
        <v>cunnija01,2015-16</v>
      </c>
      <c r="Z1259" s="168" t="str">
        <f t="array" ref="Z1259">iferror(index(I:I,match($A1259&amp;","&amp;index('Year Conversion'!$A:$A,match($C1259,'Year Conversion'!$B:$B,0)),$Y:$Y,0))-I1259,"")</f>
        <v/>
      </c>
      <c r="AA1259" s="168" t="str">
        <f t="array" ref="AA1259">iferror(index(J:J,match($A1259&amp;","&amp;index('Year Conversion'!$A:$A,match($C1259,'Year Conversion'!$B:$B,0)),$Y:$Y,0))-J1259,"")</f>
        <v/>
      </c>
      <c r="AB1259" s="168" t="str">
        <f t="array" ref="AB1259">iferror(index(K:K,match($A1259&amp;","&amp;index('Year Conversion'!$A:$A,match($C1259,'Year Conversion'!$B:$B,0)),$Y:$Y,0))-K1259,"")</f>
        <v/>
      </c>
      <c r="AC1259" s="168" t="str">
        <f t="shared" si="7"/>
        <v>TOT,2015-16</v>
      </c>
    </row>
    <row r="1260">
      <c r="A1260" s="161" t="str">
        <f>IFERROR(__xludf.DUMMYFUNCTION("""COMPUTED_VALUE"""),"wroteto01")</f>
        <v>wroteto01</v>
      </c>
      <c r="B1260" s="161" t="str">
        <f>IFERROR(__xludf.DUMMYFUNCTION("""COMPUTED_VALUE"""),"Tony Wroten")</f>
        <v>Tony Wroten</v>
      </c>
      <c r="C1260" s="162" t="str">
        <f>IFERROR(__xludf.DUMMYFUNCTION("""COMPUTED_VALUE"""),"2015-16")</f>
        <v>2015-16</v>
      </c>
      <c r="D1260" s="163" t="str">
        <f>IFERROR(__xludf.DUMMYFUNCTION("""COMPUTED_VALUE"""),"PHI")</f>
        <v>PHI</v>
      </c>
      <c r="E1260" s="164" t="str">
        <f>IFERROR(__xludf.DUMMYFUNCTION("""COMPUTED_VALUE"""),"Slasher")</f>
        <v>Slasher</v>
      </c>
      <c r="F1260" s="164">
        <f>IFERROR(__xludf.DUMMYFUNCTION("""COMPUTED_VALUE"""),144.3)</f>
        <v>144.3</v>
      </c>
      <c r="G1260" s="163">
        <f>IFERROR(__xludf.DUMMYFUNCTION("""COMPUTED_VALUE"""),8.0)</f>
        <v>8</v>
      </c>
      <c r="H1260" s="163" t="str">
        <f>IFERROR(__xludf.DUMMYFUNCTION("""COMPUTED_VALUE"""),"PG")</f>
        <v>PG</v>
      </c>
      <c r="I1260" s="163">
        <f>IFERROR(__xludf.DUMMYFUNCTION("""COMPUTED_VALUE"""),22.0)</f>
        <v>22</v>
      </c>
      <c r="J1260" s="165">
        <f>IFERROR(__xludf.DUMMYFUNCTION("""COMPUTED_VALUE"""),-0.640610603568466)</f>
        <v>-0.6406106036</v>
      </c>
      <c r="K1260" s="165">
        <f>IFERROR(__xludf.DUMMYFUNCTION("""COMPUTED_VALUE"""),-0.377868547693452)</f>
        <v>-0.3778685477</v>
      </c>
      <c r="L1260" s="165">
        <f>IFERROR(__xludf.DUMMYFUNCTION("""COMPUTED_VALUE"""),-0.262742055875014)</f>
        <v>-0.2627420559</v>
      </c>
      <c r="M1260" s="166">
        <f t="shared" si="2"/>
        <v>0.1601758245</v>
      </c>
      <c r="N1260" s="167">
        <f t="shared" si="3"/>
        <v>18.0375</v>
      </c>
      <c r="O1260" s="163">
        <f t="shared" ref="O1260:Q1260" si="1264">rank(I1260,I:I)</f>
        <v>3178</v>
      </c>
      <c r="P1260" s="163">
        <f t="shared" si="1264"/>
        <v>2045</v>
      </c>
      <c r="Q1260" s="163">
        <f t="shared" si="1264"/>
        <v>1913</v>
      </c>
      <c r="R1260" s="163">
        <f>IFERROR(__xludf.DUMMYFUNCTION("RANK(M1260,filter(M:M,C:C=C1260))"),351.0)</f>
        <v>351</v>
      </c>
      <c r="S1260" s="161" t="b">
        <f t="shared" si="5"/>
        <v>0</v>
      </c>
      <c r="T1260" s="161" t="b">
        <f t="array" ref="T1260">index('Query Tool'!B:B,match(H1260,'Query Tool'!C:C,0))</f>
        <v>1</v>
      </c>
      <c r="U1260" s="161" t="b">
        <f t="array" ref="U1260">index('Query Tool'!B:B,match(C1260,'Query Tool'!C:C,0))</f>
        <v>0</v>
      </c>
      <c r="V1260" s="161" t="b">
        <f>F1260&gt;='Query Tool'!C$32</f>
        <v>0</v>
      </c>
      <c r="W1260" s="161" t="b">
        <f t="array" ref="W1260">index(Dropdowns!B:B,match(I1260,Dropdowns!A:A,0))</f>
        <v>1</v>
      </c>
      <c r="X1260" s="161" t="b">
        <f t="array" ref="X1260">index('Query Tool'!B:B,match(D1260,'Query Tool'!C:C,0))</f>
        <v>1</v>
      </c>
      <c r="Y1260" s="161" t="str">
        <f t="shared" si="6"/>
        <v>wroteto01,2015-16</v>
      </c>
      <c r="Z1260" s="168" t="str">
        <f t="array" ref="Z1260">iferror(index(I:I,match($A1260&amp;","&amp;index('Year Conversion'!$A:$A,match($C1260,'Year Conversion'!$B:$B,0)),$Y:$Y,0))-I1260,"")</f>
        <v/>
      </c>
      <c r="AA1260" s="168" t="str">
        <f t="array" ref="AA1260">iferror(index(J:J,match($A1260&amp;","&amp;index('Year Conversion'!$A:$A,match($C1260,'Year Conversion'!$B:$B,0)),$Y:$Y,0))-J1260,"")</f>
        <v/>
      </c>
      <c r="AB1260" s="168" t="str">
        <f t="array" ref="AB1260">iferror(index(K:K,match($A1260&amp;","&amp;index('Year Conversion'!$A:$A,match($C1260,'Year Conversion'!$B:$B,0)),$Y:$Y,0))-K1260,"")</f>
        <v/>
      </c>
      <c r="AC1260" s="168" t="str">
        <f t="shared" si="7"/>
        <v>PHI,2015-16</v>
      </c>
    </row>
    <row r="1261">
      <c r="A1261" s="161" t="str">
        <f>IFERROR(__xludf.DUMMYFUNCTION("""COMPUTED_VALUE"""),"plumlmi01")</f>
        <v>plumlmi01</v>
      </c>
      <c r="B1261" s="161" t="str">
        <f>IFERROR(__xludf.DUMMYFUNCTION("""COMPUTED_VALUE"""),"Miles Plumlee")</f>
        <v>Miles Plumlee</v>
      </c>
      <c r="C1261" s="162" t="str">
        <f>IFERROR(__xludf.DUMMYFUNCTION("""COMPUTED_VALUE"""),"2015-16")</f>
        <v>2015-16</v>
      </c>
      <c r="D1261" s="163" t="str">
        <f>IFERROR(__xludf.DUMMYFUNCTION("""COMPUTED_VALUE"""),"MIL")</f>
        <v>MIL</v>
      </c>
      <c r="E1261" s="164" t="str">
        <f>IFERROR(__xludf.DUMMYFUNCTION("""COMPUTED_VALUE"""),"Roll + Cut Big")</f>
        <v>Roll + Cut Big</v>
      </c>
      <c r="F1261" s="164">
        <f>IFERROR(__xludf.DUMMYFUNCTION("""COMPUTED_VALUE"""),869.896666666667)</f>
        <v>869.8966667</v>
      </c>
      <c r="G1261" s="163">
        <f>IFERROR(__xludf.DUMMYFUNCTION("""COMPUTED_VALUE"""),61.0)</f>
        <v>61</v>
      </c>
      <c r="H1261" s="163" t="str">
        <f>IFERROR(__xludf.DUMMYFUNCTION("""COMPUTED_VALUE"""),"C")</f>
        <v>C</v>
      </c>
      <c r="I1261" s="163">
        <f>IFERROR(__xludf.DUMMYFUNCTION("""COMPUTED_VALUE"""),27.0)</f>
        <v>27</v>
      </c>
      <c r="J1261" s="165">
        <f>IFERROR(__xludf.DUMMYFUNCTION("""COMPUTED_VALUE"""),-1.18509655700495)</f>
        <v>-1.185096557</v>
      </c>
      <c r="K1261" s="165">
        <f>IFERROR(__xludf.DUMMYFUNCTION("""COMPUTED_VALUE"""),-1.48016368753098)</f>
        <v>-1.480163688</v>
      </c>
      <c r="L1261" s="165">
        <f>IFERROR(__xludf.DUMMYFUNCTION("""COMPUTED_VALUE"""),0.295067130526034)</f>
        <v>0.2950671305</v>
      </c>
      <c r="M1261" s="166">
        <f t="shared" si="2"/>
        <v>0.6474135004</v>
      </c>
      <c r="N1261" s="167">
        <f t="shared" si="3"/>
        <v>14.26060109</v>
      </c>
      <c r="O1261" s="163">
        <f t="shared" ref="O1261:Q1261" si="1265">rank(I1261,I:I)</f>
        <v>1366</v>
      </c>
      <c r="P1261" s="163">
        <f t="shared" si="1265"/>
        <v>2722</v>
      </c>
      <c r="Q1261" s="163">
        <f t="shared" si="1265"/>
        <v>3338</v>
      </c>
      <c r="R1261" s="163">
        <f>IFERROR(__xludf.DUMMYFUNCTION("RANK(M1261,filter(M:M,C:C=C1261))"),264.0)</f>
        <v>264</v>
      </c>
      <c r="S1261" s="161" t="b">
        <f t="shared" si="5"/>
        <v>0</v>
      </c>
      <c r="T1261" s="161" t="b">
        <f t="array" ref="T1261">index('Query Tool'!B:B,match(H1261,'Query Tool'!C:C,0))</f>
        <v>1</v>
      </c>
      <c r="U1261" s="161" t="b">
        <f t="array" ref="U1261">index('Query Tool'!B:B,match(C1261,'Query Tool'!C:C,0))</f>
        <v>0</v>
      </c>
      <c r="V1261" s="161" t="b">
        <f>F1261&gt;='Query Tool'!C$32</f>
        <v>1</v>
      </c>
      <c r="W1261" s="161" t="b">
        <f t="array" ref="W1261">index(Dropdowns!B:B,match(I1261,Dropdowns!A:A,0))</f>
        <v>1</v>
      </c>
      <c r="X1261" s="161" t="b">
        <f t="array" ref="X1261">index('Query Tool'!B:B,match(D1261,'Query Tool'!C:C,0))</f>
        <v>1</v>
      </c>
      <c r="Y1261" s="161" t="str">
        <f t="shared" si="6"/>
        <v>plumlmi01,2015-16</v>
      </c>
      <c r="Z1261" s="168">
        <f t="array" ref="Z1261">iferror(index(I:I,match($A1261&amp;","&amp;index('Year Conversion'!$A:$A,match($C1261,'Year Conversion'!$B:$B,0)),$Y:$Y,0))-I1261,"")</f>
        <v>1</v>
      </c>
      <c r="AA1261" s="168">
        <f t="array" ref="AA1261">iferror(index(J:J,match($A1261&amp;","&amp;index('Year Conversion'!$A:$A,match($C1261,'Year Conversion'!$B:$B,0)),$Y:$Y,0))-J1261,"")</f>
        <v>-1.148430223</v>
      </c>
      <c r="AB1261" s="168">
        <f t="array" ref="AB1261">iferror(index(K:K,match($A1261&amp;","&amp;index('Year Conversion'!$A:$A,match($C1261,'Year Conversion'!$B:$B,0)),$Y:$Y,0))-K1261,"")</f>
        <v>-0.9948788379</v>
      </c>
      <c r="AC1261" s="168" t="str">
        <f t="shared" si="7"/>
        <v>MIL,2015-16</v>
      </c>
    </row>
    <row r="1262">
      <c r="A1262" s="161" t="str">
        <f>IFERROR(__xludf.DUMMYFUNCTION("""COMPUTED_VALUE"""),"ezelife01")</f>
        <v>ezelife01</v>
      </c>
      <c r="B1262" s="161" t="str">
        <f>IFERROR(__xludf.DUMMYFUNCTION("""COMPUTED_VALUE"""),"Festus Ezeli")</f>
        <v>Festus Ezeli</v>
      </c>
      <c r="C1262" s="162" t="str">
        <f>IFERROR(__xludf.DUMMYFUNCTION("""COMPUTED_VALUE"""),"2015-16")</f>
        <v>2015-16</v>
      </c>
      <c r="D1262" s="163" t="str">
        <f>IFERROR(__xludf.DUMMYFUNCTION("""COMPUTED_VALUE"""),"GSW")</f>
        <v>GSW</v>
      </c>
      <c r="E1262" s="164" t="str">
        <f>IFERROR(__xludf.DUMMYFUNCTION("""COMPUTED_VALUE"""),"Post Scorer")</f>
        <v>Post Scorer</v>
      </c>
      <c r="F1262" s="164">
        <f>IFERROR(__xludf.DUMMYFUNCTION("""COMPUTED_VALUE"""),770.188333333333)</f>
        <v>770.1883333</v>
      </c>
      <c r="G1262" s="163">
        <f>IFERROR(__xludf.DUMMYFUNCTION("""COMPUTED_VALUE"""),46.0)</f>
        <v>46</v>
      </c>
      <c r="H1262" s="163" t="str">
        <f>IFERROR(__xludf.DUMMYFUNCTION("""COMPUTED_VALUE"""),"C")</f>
        <v>C</v>
      </c>
      <c r="I1262" s="163">
        <f>IFERROR(__xludf.DUMMYFUNCTION("""COMPUTED_VALUE"""),26.0)</f>
        <v>26</v>
      </c>
      <c r="J1262" s="165">
        <f>IFERROR(__xludf.DUMMYFUNCTION("""COMPUTED_VALUE"""),0.391260047661946)</f>
        <v>0.3912600477</v>
      </c>
      <c r="K1262" s="165">
        <f>IFERROR(__xludf.DUMMYFUNCTION("""COMPUTED_VALUE"""),-1.0006898962258)</f>
        <v>-1.000689896</v>
      </c>
      <c r="L1262" s="165">
        <f>IFERROR(__xludf.DUMMYFUNCTION("""COMPUTED_VALUE"""),1.39194994388774)</f>
        <v>1.391949944</v>
      </c>
      <c r="M1262" s="166">
        <f t="shared" si="2"/>
        <v>1.390493491</v>
      </c>
      <c r="N1262" s="167">
        <f t="shared" si="3"/>
        <v>16.74322464</v>
      </c>
      <c r="O1262" s="163">
        <f t="shared" ref="O1262:Q1262" si="1266">rank(I1262,I:I)</f>
        <v>1665</v>
      </c>
      <c r="P1262" s="163">
        <f t="shared" si="1266"/>
        <v>954</v>
      </c>
      <c r="Q1262" s="163">
        <f t="shared" si="1266"/>
        <v>2803</v>
      </c>
      <c r="R1262" s="163">
        <f>IFERROR(__xludf.DUMMYFUNCTION("RANK(M1262,filter(M:M,C:C=C1262))"),194.0)</f>
        <v>194</v>
      </c>
      <c r="S1262" s="161" t="b">
        <f t="shared" si="5"/>
        <v>0</v>
      </c>
      <c r="T1262" s="161" t="b">
        <f t="array" ref="T1262">index('Query Tool'!B:B,match(H1262,'Query Tool'!C:C,0))</f>
        <v>1</v>
      </c>
      <c r="U1262" s="161" t="b">
        <f t="array" ref="U1262">index('Query Tool'!B:B,match(C1262,'Query Tool'!C:C,0))</f>
        <v>0</v>
      </c>
      <c r="V1262" s="161" t="b">
        <f>F1262&gt;='Query Tool'!C$32</f>
        <v>1</v>
      </c>
      <c r="W1262" s="161" t="b">
        <f t="array" ref="W1262">index(Dropdowns!B:B,match(I1262,Dropdowns!A:A,0))</f>
        <v>1</v>
      </c>
      <c r="X1262" s="161" t="b">
        <f t="array" ref="X1262">index('Query Tool'!B:B,match(D1262,'Query Tool'!C:C,0))</f>
        <v>1</v>
      </c>
      <c r="Y1262" s="161" t="str">
        <f t="shared" si="6"/>
        <v>ezelife01,2015-16</v>
      </c>
      <c r="Z1262" s="168" t="str">
        <f t="array" ref="Z1262">iferror(index(I:I,match($A1262&amp;","&amp;index('Year Conversion'!$A:$A,match($C1262,'Year Conversion'!$B:$B,0)),$Y:$Y,0))-I1262,"")</f>
        <v/>
      </c>
      <c r="AA1262" s="168" t="str">
        <f t="array" ref="AA1262">iferror(index(J:J,match($A1262&amp;","&amp;index('Year Conversion'!$A:$A,match($C1262,'Year Conversion'!$B:$B,0)),$Y:$Y,0))-J1262,"")</f>
        <v/>
      </c>
      <c r="AB1262" s="168" t="str">
        <f t="array" ref="AB1262">iferror(index(K:K,match($A1262&amp;","&amp;index('Year Conversion'!$A:$A,match($C1262,'Year Conversion'!$B:$B,0)),$Y:$Y,0))-K1262,"")</f>
        <v/>
      </c>
      <c r="AC1262" s="168" t="str">
        <f t="shared" si="7"/>
        <v>GSW,2015-16</v>
      </c>
    </row>
    <row r="1263">
      <c r="A1263" s="161" t="str">
        <f>IFERROR(__xludf.DUMMYFUNCTION("""COMPUTED_VALUE"""),"crowdja01")</f>
        <v>crowdja01</v>
      </c>
      <c r="B1263" s="161" t="str">
        <f>IFERROR(__xludf.DUMMYFUNCTION("""COMPUTED_VALUE"""),"Jae Crowder")</f>
        <v>Jae Crowder</v>
      </c>
      <c r="C1263" s="162" t="str">
        <f>IFERROR(__xludf.DUMMYFUNCTION("""COMPUTED_VALUE"""),"2015-16")</f>
        <v>2015-16</v>
      </c>
      <c r="D1263" s="163" t="str">
        <f>IFERROR(__xludf.DUMMYFUNCTION("""COMPUTED_VALUE"""),"BOS")</f>
        <v>BOS</v>
      </c>
      <c r="E1263" s="164" t="str">
        <f>IFERROR(__xludf.DUMMYFUNCTION("""COMPUTED_VALUE"""),"Stationary Shooter")</f>
        <v>Stationary Shooter</v>
      </c>
      <c r="F1263" s="164">
        <f>IFERROR(__xludf.DUMMYFUNCTION("""COMPUTED_VALUE"""),2308.19)</f>
        <v>2308.19</v>
      </c>
      <c r="G1263" s="163">
        <f>IFERROR(__xludf.DUMMYFUNCTION("""COMPUTED_VALUE"""),73.0)</f>
        <v>73</v>
      </c>
      <c r="H1263" s="163" t="str">
        <f>IFERROR(__xludf.DUMMYFUNCTION("""COMPUTED_VALUE"""),"SF")</f>
        <v>SF</v>
      </c>
      <c r="I1263" s="163">
        <f>IFERROR(__xludf.DUMMYFUNCTION("""COMPUTED_VALUE"""),25.0)</f>
        <v>25</v>
      </c>
      <c r="J1263" s="165">
        <f>IFERROR(__xludf.DUMMYFUNCTION("""COMPUTED_VALUE"""),1.95351581583261)</f>
        <v>1.953515816</v>
      </c>
      <c r="K1263" s="165">
        <f>IFERROR(__xludf.DUMMYFUNCTION("""COMPUTED_VALUE"""),1.28978316646343)</f>
        <v>1.289783166</v>
      </c>
      <c r="L1263" s="165">
        <f>IFERROR(__xludf.DUMMYFUNCTION("""COMPUTED_VALUE"""),0.663732649369186)</f>
        <v>0.6637326494</v>
      </c>
      <c r="M1263" s="166">
        <f t="shared" si="2"/>
        <v>6.582424641</v>
      </c>
      <c r="N1263" s="167">
        <f t="shared" si="3"/>
        <v>31.6190411</v>
      </c>
      <c r="O1263" s="163">
        <f t="shared" ref="O1263:Q1263" si="1267">rank(I1263,I:I)</f>
        <v>1995</v>
      </c>
      <c r="P1263" s="163">
        <f t="shared" si="1267"/>
        <v>332</v>
      </c>
      <c r="Q1263" s="163">
        <f t="shared" si="1267"/>
        <v>386</v>
      </c>
      <c r="R1263" s="163">
        <f>IFERROR(__xludf.DUMMYFUNCTION("RANK(M1263,filter(M:M,C:C=C1263))"),36.0)</f>
        <v>36</v>
      </c>
      <c r="S1263" s="161" t="b">
        <f t="shared" si="5"/>
        <v>0</v>
      </c>
      <c r="T1263" s="161" t="b">
        <f t="array" ref="T1263">index('Query Tool'!B:B,match(H1263,'Query Tool'!C:C,0))</f>
        <v>1</v>
      </c>
      <c r="U1263" s="161" t="b">
        <f t="array" ref="U1263">index('Query Tool'!B:B,match(C1263,'Query Tool'!C:C,0))</f>
        <v>0</v>
      </c>
      <c r="V1263" s="161" t="b">
        <f>F1263&gt;='Query Tool'!C$32</f>
        <v>1</v>
      </c>
      <c r="W1263" s="161" t="b">
        <f t="array" ref="W1263">index(Dropdowns!B:B,match(I1263,Dropdowns!A:A,0))</f>
        <v>1</v>
      </c>
      <c r="X1263" s="161" t="b">
        <f t="array" ref="X1263">index('Query Tool'!B:B,match(D1263,'Query Tool'!C:C,0))</f>
        <v>1</v>
      </c>
      <c r="Y1263" s="161" t="str">
        <f t="shared" si="6"/>
        <v>crowdja01,2015-16</v>
      </c>
      <c r="Z1263" s="168">
        <f t="array" ref="Z1263">iferror(index(I:I,match($A1263&amp;","&amp;index('Year Conversion'!$A:$A,match($C1263,'Year Conversion'!$B:$B,0)),$Y:$Y,0))-I1263,"")</f>
        <v>1</v>
      </c>
      <c r="AA1263" s="168">
        <f t="array" ref="AA1263">iferror(index(J:J,match($A1263&amp;","&amp;index('Year Conversion'!$A:$A,match($C1263,'Year Conversion'!$B:$B,0)),$Y:$Y,0))-J1263,"")</f>
        <v>-0.4099720206</v>
      </c>
      <c r="AB1263" s="168">
        <f t="array" ref="AB1263">iferror(index(K:K,match($A1263&amp;","&amp;index('Year Conversion'!$A:$A,match($C1263,'Year Conversion'!$B:$B,0)),$Y:$Y,0))-K1263,"")</f>
        <v>-0.4291453467</v>
      </c>
      <c r="AC1263" s="168" t="str">
        <f t="shared" si="7"/>
        <v>BOS,2015-16</v>
      </c>
    </row>
    <row r="1264">
      <c r="A1264" s="161" t="str">
        <f>IFERROR(__xludf.DUMMYFUNCTION("""COMPUTED_VALUE"""),"greendr01")</f>
        <v>greendr01</v>
      </c>
      <c r="B1264" s="161" t="str">
        <f>IFERROR(__xludf.DUMMYFUNCTION("""COMPUTED_VALUE"""),"Draymond Green")</f>
        <v>Draymond Green</v>
      </c>
      <c r="C1264" s="162" t="str">
        <f>IFERROR(__xludf.DUMMYFUNCTION("""COMPUTED_VALUE"""),"2015-16")</f>
        <v>2015-16</v>
      </c>
      <c r="D1264" s="163" t="str">
        <f>IFERROR(__xludf.DUMMYFUNCTION("""COMPUTED_VALUE"""),"GSW")</f>
        <v>GSW</v>
      </c>
      <c r="E1264" s="164" t="str">
        <f>IFERROR(__xludf.DUMMYFUNCTION("""COMPUTED_VALUE"""),"Stretch Big")</f>
        <v>Stretch Big</v>
      </c>
      <c r="F1264" s="164">
        <f>IFERROR(__xludf.DUMMYFUNCTION("""COMPUTED_VALUE"""),2807.99833333333)</f>
        <v>2807.998333</v>
      </c>
      <c r="G1264" s="163">
        <f>IFERROR(__xludf.DUMMYFUNCTION("""COMPUTED_VALUE"""),81.0)</f>
        <v>81</v>
      </c>
      <c r="H1264" s="163" t="str">
        <f>IFERROR(__xludf.DUMMYFUNCTION("""COMPUTED_VALUE"""),"PF")</f>
        <v>PF</v>
      </c>
      <c r="I1264" s="163">
        <f>IFERROR(__xludf.DUMMYFUNCTION("""COMPUTED_VALUE"""),25.0)</f>
        <v>25</v>
      </c>
      <c r="J1264" s="165">
        <f>IFERROR(__xludf.DUMMYFUNCTION("""COMPUTED_VALUE"""),5.96082833995429)</f>
        <v>5.96082834</v>
      </c>
      <c r="K1264" s="165">
        <f>IFERROR(__xludf.DUMMYFUNCTION("""COMPUTED_VALUE"""),2.10846560758211)</f>
        <v>2.108465608</v>
      </c>
      <c r="L1264" s="165">
        <f>IFERROR(__xludf.DUMMYFUNCTION("""COMPUTED_VALUE"""),3.85236273237218)</f>
        <v>3.852362732</v>
      </c>
      <c r="M1264" s="166">
        <f t="shared" si="2"/>
        <v>15.08763409</v>
      </c>
      <c r="N1264" s="167">
        <f t="shared" si="3"/>
        <v>34.66664609</v>
      </c>
      <c r="O1264" s="163">
        <f t="shared" ref="O1264:Q1264" si="1268">rank(I1264,I:I)</f>
        <v>1995</v>
      </c>
      <c r="P1264" s="163">
        <f t="shared" si="1268"/>
        <v>19</v>
      </c>
      <c r="Q1264" s="163">
        <f t="shared" si="1268"/>
        <v>214</v>
      </c>
      <c r="R1264" s="163">
        <f>IFERROR(__xludf.DUMMYFUNCTION("RANK(M1264,filter(M:M,C:C=C1264))"),4.0)</f>
        <v>4</v>
      </c>
      <c r="S1264" s="161" t="b">
        <f t="shared" si="5"/>
        <v>0</v>
      </c>
      <c r="T1264" s="161" t="b">
        <f t="array" ref="T1264">index('Query Tool'!B:B,match(H1264,'Query Tool'!C:C,0))</f>
        <v>1</v>
      </c>
      <c r="U1264" s="161" t="b">
        <f t="array" ref="U1264">index('Query Tool'!B:B,match(C1264,'Query Tool'!C:C,0))</f>
        <v>0</v>
      </c>
      <c r="V1264" s="161" t="b">
        <f>F1264&gt;='Query Tool'!C$32</f>
        <v>1</v>
      </c>
      <c r="W1264" s="161" t="b">
        <f t="array" ref="W1264">index(Dropdowns!B:B,match(I1264,Dropdowns!A:A,0))</f>
        <v>1</v>
      </c>
      <c r="X1264" s="161" t="b">
        <f t="array" ref="X1264">index('Query Tool'!B:B,match(D1264,'Query Tool'!C:C,0))</f>
        <v>1</v>
      </c>
      <c r="Y1264" s="161" t="str">
        <f t="shared" si="6"/>
        <v>greendr01,2015-16</v>
      </c>
      <c r="Z1264" s="168">
        <f t="array" ref="Z1264">iferror(index(I:I,match($A1264&amp;","&amp;index('Year Conversion'!$A:$A,match($C1264,'Year Conversion'!$B:$B,0)),$Y:$Y,0))-I1264,"")</f>
        <v>1</v>
      </c>
      <c r="AA1264" s="168">
        <f t="array" ref="AA1264">iferror(index(J:J,match($A1264&amp;","&amp;index('Year Conversion'!$A:$A,match($C1264,'Year Conversion'!$B:$B,0)),$Y:$Y,0))-J1264,"")</f>
        <v>-0.826454924</v>
      </c>
      <c r="AB1264" s="168">
        <f t="array" ref="AB1264">iferror(index(K:K,match($A1264&amp;","&amp;index('Year Conversion'!$A:$A,match($C1264,'Year Conversion'!$B:$B,0)),$Y:$Y,0))-K1264,"")</f>
        <v>-0.9798435442</v>
      </c>
      <c r="AC1264" s="168" t="str">
        <f t="shared" si="7"/>
        <v>GSW,2015-16</v>
      </c>
    </row>
    <row r="1265">
      <c r="A1265" s="161" t="str">
        <f>IFERROR(__xludf.DUMMYFUNCTION("""COMPUTED_VALUE"""),"johnsor01")</f>
        <v>johnsor01</v>
      </c>
      <c r="B1265" s="161" t="str">
        <f>IFERROR(__xludf.DUMMYFUNCTION("""COMPUTED_VALUE"""),"Orlando Johnson")</f>
        <v>Orlando Johnson</v>
      </c>
      <c r="C1265" s="162" t="str">
        <f>IFERROR(__xludf.DUMMYFUNCTION("""COMPUTED_VALUE"""),"2015-16")</f>
        <v>2015-16</v>
      </c>
      <c r="D1265" s="163" t="str">
        <f>IFERROR(__xludf.DUMMYFUNCTION("""COMPUTED_VALUE"""),"TOT")</f>
        <v>TOT</v>
      </c>
      <c r="E1265" s="164" t="str">
        <f>IFERROR(__xludf.DUMMYFUNCTION("""COMPUTED_VALUE"""),"Athletic Finisher")</f>
        <v>Athletic Finisher</v>
      </c>
      <c r="F1265" s="164">
        <f>IFERROR(__xludf.DUMMYFUNCTION("""COMPUTED_VALUE"""),101.71)</f>
        <v>101.71</v>
      </c>
      <c r="G1265" s="163">
        <f>IFERROR(__xludf.DUMMYFUNCTION("""COMPUTED_VALUE"""),7.0)</f>
        <v>7</v>
      </c>
      <c r="H1265" s="163" t="str">
        <f>IFERROR(__xludf.DUMMYFUNCTION("""COMPUTED_VALUE"""),"SG")</f>
        <v>SG</v>
      </c>
      <c r="I1265" s="163">
        <f>IFERROR(__xludf.DUMMYFUNCTION("""COMPUTED_VALUE"""),26.0)</f>
        <v>26</v>
      </c>
      <c r="J1265" s="165">
        <f>IFERROR(__xludf.DUMMYFUNCTION("""COMPUTED_VALUE"""),-0.00281300236723464)</f>
        <v>-0.002813002367</v>
      </c>
      <c r="K1265" s="165">
        <f>IFERROR(__xludf.DUMMYFUNCTION("""COMPUTED_VALUE"""),-0.154779009368968)</f>
        <v>-0.1547790094</v>
      </c>
      <c r="L1265" s="165">
        <f>IFERROR(__xludf.DUMMYFUNCTION("""COMPUTED_VALUE"""),0.151966007001734)</f>
        <v>0.151966007</v>
      </c>
      <c r="M1265" s="166">
        <f t="shared" si="2"/>
        <v>0.1566100239</v>
      </c>
      <c r="N1265" s="167">
        <f t="shared" si="3"/>
        <v>14.53</v>
      </c>
      <c r="O1265" s="163">
        <f t="shared" ref="O1265:Q1265" si="1269">rank(I1265,I:I)</f>
        <v>1665</v>
      </c>
      <c r="P1265" s="163">
        <f t="shared" si="1269"/>
        <v>1286</v>
      </c>
      <c r="Q1265" s="163">
        <f t="shared" si="1269"/>
        <v>1486</v>
      </c>
      <c r="R1265" s="163">
        <f>IFERROR(__xludf.DUMMYFUNCTION("RANK(M1265,filter(M:M,C:C=C1265))"),352.0)</f>
        <v>352</v>
      </c>
      <c r="S1265" s="161" t="b">
        <f t="shared" si="5"/>
        <v>0</v>
      </c>
      <c r="T1265" s="161" t="b">
        <f t="array" ref="T1265">index('Query Tool'!B:B,match(H1265,'Query Tool'!C:C,0))</f>
        <v>1</v>
      </c>
      <c r="U1265" s="161" t="b">
        <f t="array" ref="U1265">index('Query Tool'!B:B,match(C1265,'Query Tool'!C:C,0))</f>
        <v>0</v>
      </c>
      <c r="V1265" s="161" t="b">
        <f>F1265&gt;='Query Tool'!C$32</f>
        <v>0</v>
      </c>
      <c r="W1265" s="161" t="b">
        <f t="array" ref="W1265">index(Dropdowns!B:B,match(I1265,Dropdowns!A:A,0))</f>
        <v>1</v>
      </c>
      <c r="X1265" s="161" t="b">
        <f t="array" ref="X1265">index('Query Tool'!B:B,match(D1265,'Query Tool'!C:C,0))</f>
        <v>1</v>
      </c>
      <c r="Y1265" s="161" t="str">
        <f t="shared" si="6"/>
        <v>johnsor01,2015-16</v>
      </c>
      <c r="Z1265" s="168" t="str">
        <f t="array" ref="Z1265">iferror(index(I:I,match($A1265&amp;","&amp;index('Year Conversion'!$A:$A,match($C1265,'Year Conversion'!$B:$B,0)),$Y:$Y,0))-I1265,"")</f>
        <v/>
      </c>
      <c r="AA1265" s="168" t="str">
        <f t="array" ref="AA1265">iferror(index(J:J,match($A1265&amp;","&amp;index('Year Conversion'!$A:$A,match($C1265,'Year Conversion'!$B:$B,0)),$Y:$Y,0))-J1265,"")</f>
        <v/>
      </c>
      <c r="AB1265" s="168" t="str">
        <f t="array" ref="AB1265">iferror(index(K:K,match($A1265&amp;","&amp;index('Year Conversion'!$A:$A,match($C1265,'Year Conversion'!$B:$B,0)),$Y:$Y,0))-K1265,"")</f>
        <v/>
      </c>
      <c r="AC1265" s="168" t="str">
        <f t="shared" si="7"/>
        <v>TOT,2015-16</v>
      </c>
    </row>
    <row r="1266">
      <c r="A1266" s="161" t="str">
        <f>IFERROR(__xludf.DUMMYFUNCTION("""COMPUTED_VALUE"""),"acyqu01")</f>
        <v>acyqu01</v>
      </c>
      <c r="B1266" s="161" t="str">
        <f>IFERROR(__xludf.DUMMYFUNCTION("""COMPUTED_VALUE"""),"Quincy Acy")</f>
        <v>Quincy Acy</v>
      </c>
      <c r="C1266" s="162" t="str">
        <f>IFERROR(__xludf.DUMMYFUNCTION("""COMPUTED_VALUE"""),"2015-16")</f>
        <v>2015-16</v>
      </c>
      <c r="D1266" s="163" t="str">
        <f>IFERROR(__xludf.DUMMYFUNCTION("""COMPUTED_VALUE"""),"SAC")</f>
        <v>SAC</v>
      </c>
      <c r="E1266" s="164" t="str">
        <f>IFERROR(__xludf.DUMMYFUNCTION("""COMPUTED_VALUE"""),"Roll + Cut Big")</f>
        <v>Roll + Cut Big</v>
      </c>
      <c r="F1266" s="164">
        <f>IFERROR(__xludf.DUMMYFUNCTION("""COMPUTED_VALUE"""),875.893333333333)</f>
        <v>875.8933333</v>
      </c>
      <c r="G1266" s="163">
        <f>IFERROR(__xludf.DUMMYFUNCTION("""COMPUTED_VALUE"""),59.0)</f>
        <v>59</v>
      </c>
      <c r="H1266" s="163" t="str">
        <f>IFERROR(__xludf.DUMMYFUNCTION("""COMPUTED_VALUE"""),"PF")</f>
        <v>PF</v>
      </c>
      <c r="I1266" s="163">
        <f>IFERROR(__xludf.DUMMYFUNCTION("""COMPUTED_VALUE"""),25.0)</f>
        <v>25</v>
      </c>
      <c r="J1266" s="165">
        <f>IFERROR(__xludf.DUMMYFUNCTION("""COMPUTED_VALUE"""),-0.802726212611899)</f>
        <v>-0.8027262126</v>
      </c>
      <c r="K1266" s="165">
        <f>IFERROR(__xludf.DUMMYFUNCTION("""COMPUTED_VALUE"""),-1.63634349072802)</f>
        <v>-1.636343491</v>
      </c>
      <c r="L1266" s="165">
        <f>IFERROR(__xludf.DUMMYFUNCTION("""COMPUTED_VALUE"""),0.833617278116118)</f>
        <v>0.8336172781</v>
      </c>
      <c r="M1266" s="166">
        <f t="shared" si="2"/>
        <v>0.8767348514</v>
      </c>
      <c r="N1266" s="167">
        <f t="shared" si="3"/>
        <v>14.84564972</v>
      </c>
      <c r="O1266" s="163">
        <f t="shared" ref="O1266:Q1266" si="1270">rank(I1266,I:I)</f>
        <v>1995</v>
      </c>
      <c r="P1266" s="163">
        <f t="shared" si="1270"/>
        <v>2281</v>
      </c>
      <c r="Q1266" s="163">
        <f t="shared" si="1270"/>
        <v>3473</v>
      </c>
      <c r="R1266" s="163">
        <f>IFERROR(__xludf.DUMMYFUNCTION("RANK(M1266,filter(M:M,C:C=C1266))"),230.0)</f>
        <v>230</v>
      </c>
      <c r="S1266" s="161" t="b">
        <f t="shared" si="5"/>
        <v>0</v>
      </c>
      <c r="T1266" s="161" t="b">
        <f t="array" ref="T1266">index('Query Tool'!B:B,match(H1266,'Query Tool'!C:C,0))</f>
        <v>1</v>
      </c>
      <c r="U1266" s="161" t="b">
        <f t="array" ref="U1266">index('Query Tool'!B:B,match(C1266,'Query Tool'!C:C,0))</f>
        <v>0</v>
      </c>
      <c r="V1266" s="161" t="b">
        <f>F1266&gt;='Query Tool'!C$32</f>
        <v>1</v>
      </c>
      <c r="W1266" s="161" t="b">
        <f t="array" ref="W1266">index(Dropdowns!B:B,match(I1266,Dropdowns!A:A,0))</f>
        <v>1</v>
      </c>
      <c r="X1266" s="161" t="b">
        <f t="array" ref="X1266">index('Query Tool'!B:B,match(D1266,'Query Tool'!C:C,0))</f>
        <v>1</v>
      </c>
      <c r="Y1266" s="161" t="str">
        <f t="shared" si="6"/>
        <v>acyqu01,2015-16</v>
      </c>
      <c r="Z1266" s="168">
        <f t="array" ref="Z1266">iferror(index(I:I,match($A1266&amp;","&amp;index('Year Conversion'!$A:$A,match($C1266,'Year Conversion'!$B:$B,0)),$Y:$Y,0))-I1266,"")</f>
        <v>1</v>
      </c>
      <c r="AA1266" s="168">
        <f t="array" ref="AA1266">iferror(index(J:J,match($A1266&amp;","&amp;index('Year Conversion'!$A:$A,match($C1266,'Year Conversion'!$B:$B,0)),$Y:$Y,0))-J1266,"")</f>
        <v>0.3539345996</v>
      </c>
      <c r="AB1266" s="168">
        <f t="array" ref="AB1266">iferror(index(K:K,match($A1266&amp;","&amp;index('Year Conversion'!$A:$A,match($C1266,'Year Conversion'!$B:$B,0)),$Y:$Y,0))-K1266,"")</f>
        <v>0.9195858669</v>
      </c>
      <c r="AC1266" s="168" t="str">
        <f t="shared" si="7"/>
        <v>SAC,2015-16</v>
      </c>
    </row>
    <row r="1267">
      <c r="A1267" s="161" t="str">
        <f>IFERROR(__xludf.DUMMYFUNCTION("""COMPUTED_VALUE"""),"middlkh01")</f>
        <v>middlkh01</v>
      </c>
      <c r="B1267" s="161" t="str">
        <f>IFERROR(__xludf.DUMMYFUNCTION("""COMPUTED_VALUE"""),"Khris Middleton")</f>
        <v>Khris Middleton</v>
      </c>
      <c r="C1267" s="162" t="str">
        <f>IFERROR(__xludf.DUMMYFUNCTION("""COMPUTED_VALUE"""),"2015-16")</f>
        <v>2015-16</v>
      </c>
      <c r="D1267" s="163" t="str">
        <f>IFERROR(__xludf.DUMMYFUNCTION("""COMPUTED_VALUE"""),"MIL")</f>
        <v>MIL</v>
      </c>
      <c r="E1267" s="164" t="str">
        <f>IFERROR(__xludf.DUMMYFUNCTION("""COMPUTED_VALUE"""),"Shot Creator")</f>
        <v>Shot Creator</v>
      </c>
      <c r="F1267" s="164">
        <f>IFERROR(__xludf.DUMMYFUNCTION("""COMPUTED_VALUE"""),2852.0)</f>
        <v>2852</v>
      </c>
      <c r="G1267" s="163">
        <f>IFERROR(__xludf.DUMMYFUNCTION("""COMPUTED_VALUE"""),79.0)</f>
        <v>79</v>
      </c>
      <c r="H1267" s="163" t="str">
        <f>IFERROR(__xludf.DUMMYFUNCTION("""COMPUTED_VALUE"""),"SG")</f>
        <v>SG</v>
      </c>
      <c r="I1267" s="163">
        <f>IFERROR(__xludf.DUMMYFUNCTION("""COMPUTED_VALUE"""),24.0)</f>
        <v>24</v>
      </c>
      <c r="J1267" s="165">
        <f>IFERROR(__xludf.DUMMYFUNCTION("""COMPUTED_VALUE"""),1.02780383410367)</f>
        <v>1.027803834</v>
      </c>
      <c r="K1267" s="165">
        <f>IFERROR(__xludf.DUMMYFUNCTION("""COMPUTED_VALUE"""),1.1921664229096)</f>
        <v>1.192166423</v>
      </c>
      <c r="L1267" s="165">
        <f>IFERROR(__xludf.DUMMYFUNCTION("""COMPUTED_VALUE"""),-0.164362588805933)</f>
        <v>-0.1643625888</v>
      </c>
      <c r="M1267" s="166">
        <f t="shared" si="2"/>
        <v>6.370188538</v>
      </c>
      <c r="N1267" s="167">
        <f t="shared" si="3"/>
        <v>36.10126582</v>
      </c>
      <c r="O1267" s="163">
        <f t="shared" ref="O1267:Q1267" si="1271">rank(I1267,I:I)</f>
        <v>2361</v>
      </c>
      <c r="P1267" s="163">
        <f t="shared" si="1271"/>
        <v>647</v>
      </c>
      <c r="Q1267" s="163">
        <f t="shared" si="1271"/>
        <v>423</v>
      </c>
      <c r="R1267" s="163">
        <f>IFERROR(__xludf.DUMMYFUNCTION("RANK(M1267,filter(M:M,C:C=C1267))"),39.0)</f>
        <v>39</v>
      </c>
      <c r="S1267" s="161" t="b">
        <f t="shared" si="5"/>
        <v>0</v>
      </c>
      <c r="T1267" s="161" t="b">
        <f t="array" ref="T1267">index('Query Tool'!B:B,match(H1267,'Query Tool'!C:C,0))</f>
        <v>1</v>
      </c>
      <c r="U1267" s="161" t="b">
        <f t="array" ref="U1267">index('Query Tool'!B:B,match(C1267,'Query Tool'!C:C,0))</f>
        <v>0</v>
      </c>
      <c r="V1267" s="161" t="b">
        <f>F1267&gt;='Query Tool'!C$32</f>
        <v>1</v>
      </c>
      <c r="W1267" s="161" t="b">
        <f t="array" ref="W1267">index(Dropdowns!B:B,match(I1267,Dropdowns!A:A,0))</f>
        <v>1</v>
      </c>
      <c r="X1267" s="161" t="b">
        <f t="array" ref="X1267">index('Query Tool'!B:B,match(D1267,'Query Tool'!C:C,0))</f>
        <v>1</v>
      </c>
      <c r="Y1267" s="161" t="str">
        <f t="shared" si="6"/>
        <v>middlkh01,2015-16</v>
      </c>
      <c r="Z1267" s="168">
        <f t="array" ref="Z1267">iferror(index(I:I,match($A1267&amp;","&amp;index('Year Conversion'!$A:$A,match($C1267,'Year Conversion'!$B:$B,0)),$Y:$Y,0))-I1267,"")</f>
        <v>1</v>
      </c>
      <c r="AA1267" s="168">
        <f t="array" ref="AA1267">iferror(index(J:J,match($A1267&amp;","&amp;index('Year Conversion'!$A:$A,match($C1267,'Year Conversion'!$B:$B,0)),$Y:$Y,0))-J1267,"")</f>
        <v>-1.055585609</v>
      </c>
      <c r="AB1267" s="168">
        <f t="array" ref="AB1267">iferror(index(K:K,match($A1267&amp;","&amp;index('Year Conversion'!$A:$A,match($C1267,'Year Conversion'!$B:$B,0)),$Y:$Y,0))-K1267,"")</f>
        <v>-1.153556714</v>
      </c>
      <c r="AC1267" s="168" t="str">
        <f t="shared" si="7"/>
        <v>MIL,2015-16</v>
      </c>
    </row>
    <row r="1268">
      <c r="A1268" s="161" t="str">
        <f>IFERROR(__xludf.DUMMYFUNCTION("""COMPUTED_VALUE"""),"bartowi01")</f>
        <v>bartowi01</v>
      </c>
      <c r="B1268" s="161" t="str">
        <f>IFERROR(__xludf.DUMMYFUNCTION("""COMPUTED_VALUE"""),"Will Barton")</f>
        <v>Will Barton</v>
      </c>
      <c r="C1268" s="162" t="str">
        <f>IFERROR(__xludf.DUMMYFUNCTION("""COMPUTED_VALUE"""),"2015-16")</f>
        <v>2015-16</v>
      </c>
      <c r="D1268" s="163" t="str">
        <f>IFERROR(__xludf.DUMMYFUNCTION("""COMPUTED_VALUE"""),"DEN")</f>
        <v>DEN</v>
      </c>
      <c r="E1268" s="164" t="str">
        <f>IFERROR(__xludf.DUMMYFUNCTION("""COMPUTED_VALUE"""),"Secondary Ball Handler")</f>
        <v>Secondary Ball Handler</v>
      </c>
      <c r="F1268" s="164">
        <f>IFERROR(__xludf.DUMMYFUNCTION("""COMPUTED_VALUE"""),2353.37166666667)</f>
        <v>2353.371667</v>
      </c>
      <c r="G1268" s="163">
        <f>IFERROR(__xludf.DUMMYFUNCTION("""COMPUTED_VALUE"""),82.0)</f>
        <v>82</v>
      </c>
      <c r="H1268" s="163" t="str">
        <f>IFERROR(__xludf.DUMMYFUNCTION("""COMPUTED_VALUE"""),"SG")</f>
        <v>SG</v>
      </c>
      <c r="I1268" s="163">
        <f>IFERROR(__xludf.DUMMYFUNCTION("""COMPUTED_VALUE"""),25.0)</f>
        <v>25</v>
      </c>
      <c r="J1268" s="165">
        <f>IFERROR(__xludf.DUMMYFUNCTION("""COMPUTED_VALUE"""),-0.680305254832806)</f>
        <v>-0.6803052548</v>
      </c>
      <c r="K1268" s="165">
        <f>IFERROR(__xludf.DUMMYFUNCTION("""COMPUTED_VALUE"""),1.15415251496929)</f>
        <v>1.154152515</v>
      </c>
      <c r="L1268" s="165">
        <f>IFERROR(__xludf.DUMMYFUNCTION("""COMPUTED_VALUE"""),-1.8344577698021)</f>
        <v>-1.83445777</v>
      </c>
      <c r="M1268" s="166">
        <f t="shared" si="2"/>
        <v>2.549422706</v>
      </c>
      <c r="N1268" s="167">
        <f t="shared" si="3"/>
        <v>28.69965447</v>
      </c>
      <c r="O1268" s="163">
        <f t="shared" ref="O1268:Q1268" si="1272">rank(I1268,I:I)</f>
        <v>1995</v>
      </c>
      <c r="P1268" s="163">
        <f t="shared" si="1272"/>
        <v>2108</v>
      </c>
      <c r="Q1268" s="163">
        <f t="shared" si="1272"/>
        <v>432</v>
      </c>
      <c r="R1268" s="163">
        <f>IFERROR(__xludf.DUMMYFUNCTION("RANK(M1268,filter(M:M,C:C=C1268))"),134.0)</f>
        <v>134</v>
      </c>
      <c r="S1268" s="161" t="b">
        <f t="shared" si="5"/>
        <v>0</v>
      </c>
      <c r="T1268" s="161" t="b">
        <f t="array" ref="T1268">index('Query Tool'!B:B,match(H1268,'Query Tool'!C:C,0))</f>
        <v>1</v>
      </c>
      <c r="U1268" s="161" t="b">
        <f t="array" ref="U1268">index('Query Tool'!B:B,match(C1268,'Query Tool'!C:C,0))</f>
        <v>0</v>
      </c>
      <c r="V1268" s="161" t="b">
        <f>F1268&gt;='Query Tool'!C$32</f>
        <v>1</v>
      </c>
      <c r="W1268" s="161" t="b">
        <f t="array" ref="W1268">index(Dropdowns!B:B,match(I1268,Dropdowns!A:A,0))</f>
        <v>1</v>
      </c>
      <c r="X1268" s="161" t="b">
        <f t="array" ref="X1268">index('Query Tool'!B:B,match(D1268,'Query Tool'!C:C,0))</f>
        <v>1</v>
      </c>
      <c r="Y1268" s="161" t="str">
        <f t="shared" si="6"/>
        <v>bartowi01,2015-16</v>
      </c>
      <c r="Z1268" s="168">
        <f t="array" ref="Z1268">iferror(index(I:I,match($A1268&amp;","&amp;index('Year Conversion'!$A:$A,match($C1268,'Year Conversion'!$B:$B,0)),$Y:$Y,0))-I1268,"")</f>
        <v>1</v>
      </c>
      <c r="AA1268" s="168">
        <f t="array" ref="AA1268">iferror(index(J:J,match($A1268&amp;","&amp;index('Year Conversion'!$A:$A,match($C1268,'Year Conversion'!$B:$B,0)),$Y:$Y,0))-J1268,"")</f>
        <v>-0.6050877176</v>
      </c>
      <c r="AB1268" s="168">
        <f t="array" ref="AB1268">iferror(index(K:K,match($A1268&amp;","&amp;index('Year Conversion'!$A:$A,match($C1268,'Year Conversion'!$B:$B,0)),$Y:$Y,0))-K1268,"")</f>
        <v>-1.186348438</v>
      </c>
      <c r="AC1268" s="168" t="str">
        <f t="shared" si="7"/>
        <v>DEN,2015-16</v>
      </c>
    </row>
    <row r="1269">
      <c r="A1269" s="161" t="str">
        <f>IFERROR(__xludf.DUMMYFUNCTION("""COMPUTED_VALUE"""),"scottmi01")</f>
        <v>scottmi01</v>
      </c>
      <c r="B1269" s="161" t="str">
        <f>IFERROR(__xludf.DUMMYFUNCTION("""COMPUTED_VALUE"""),"Mike Scott")</f>
        <v>Mike Scott</v>
      </c>
      <c r="C1269" s="162" t="str">
        <f>IFERROR(__xludf.DUMMYFUNCTION("""COMPUTED_VALUE"""),"2015-16")</f>
        <v>2015-16</v>
      </c>
      <c r="D1269" s="163" t="str">
        <f>IFERROR(__xludf.DUMMYFUNCTION("""COMPUTED_VALUE"""),"ATL")</f>
        <v>ATL</v>
      </c>
      <c r="E1269" s="164" t="str">
        <f>IFERROR(__xludf.DUMMYFUNCTION("""COMPUTED_VALUE"""),"Stretch Big")</f>
        <v>Stretch Big</v>
      </c>
      <c r="F1269" s="164">
        <f>IFERROR(__xludf.DUMMYFUNCTION("""COMPUTED_VALUE"""),1146.22333333333)</f>
        <v>1146.223333</v>
      </c>
      <c r="G1269" s="163">
        <f>IFERROR(__xludf.DUMMYFUNCTION("""COMPUTED_VALUE"""),75.0)</f>
        <v>75</v>
      </c>
      <c r="H1269" s="163" t="str">
        <f>IFERROR(__xludf.DUMMYFUNCTION("""COMPUTED_VALUE"""),"PF")</f>
        <v>PF</v>
      </c>
      <c r="I1269" s="163">
        <f>IFERROR(__xludf.DUMMYFUNCTION("""COMPUTED_VALUE"""),27.0)</f>
        <v>27</v>
      </c>
      <c r="J1269" s="165">
        <f>IFERROR(__xludf.DUMMYFUNCTION("""COMPUTED_VALUE"""),-1.16984550667545)</f>
        <v>-1.169845507</v>
      </c>
      <c r="K1269" s="165">
        <f>IFERROR(__xludf.DUMMYFUNCTION("""COMPUTED_VALUE"""),-0.790318995694189)</f>
        <v>-0.7903189957</v>
      </c>
      <c r="L1269" s="165">
        <f>IFERROR(__xludf.DUMMYFUNCTION("""COMPUTED_VALUE"""),-0.379526510981262)</f>
        <v>-0.379526511</v>
      </c>
      <c r="M1269" s="166">
        <f t="shared" si="2"/>
        <v>0.8647851173</v>
      </c>
      <c r="N1269" s="167">
        <f t="shared" si="3"/>
        <v>15.28297778</v>
      </c>
      <c r="O1269" s="163">
        <f t="shared" ref="O1269:Q1269" si="1273">rank(I1269,I:I)</f>
        <v>1366</v>
      </c>
      <c r="P1269" s="163">
        <f t="shared" si="1273"/>
        <v>2706</v>
      </c>
      <c r="Q1269" s="163">
        <f t="shared" si="1273"/>
        <v>2546</v>
      </c>
      <c r="R1269" s="163">
        <f>IFERROR(__xludf.DUMMYFUNCTION("RANK(M1269,filter(M:M,C:C=C1269))"),234.0)</f>
        <v>234</v>
      </c>
      <c r="S1269" s="161" t="b">
        <f t="shared" si="5"/>
        <v>0</v>
      </c>
      <c r="T1269" s="161" t="b">
        <f t="array" ref="T1269">index('Query Tool'!B:B,match(H1269,'Query Tool'!C:C,0))</f>
        <v>1</v>
      </c>
      <c r="U1269" s="161" t="b">
        <f t="array" ref="U1269">index('Query Tool'!B:B,match(C1269,'Query Tool'!C:C,0))</f>
        <v>0</v>
      </c>
      <c r="V1269" s="161" t="b">
        <f>F1269&gt;='Query Tool'!C$32</f>
        <v>1</v>
      </c>
      <c r="W1269" s="161" t="b">
        <f t="array" ref="W1269">index(Dropdowns!B:B,match(I1269,Dropdowns!A:A,0))</f>
        <v>1</v>
      </c>
      <c r="X1269" s="161" t="b">
        <f t="array" ref="X1269">index('Query Tool'!B:B,match(D1269,'Query Tool'!C:C,0))</f>
        <v>1</v>
      </c>
      <c r="Y1269" s="161" t="str">
        <f t="shared" si="6"/>
        <v>scottmi01,2015-16</v>
      </c>
      <c r="Z1269" s="168">
        <f t="array" ref="Z1269">iferror(index(I:I,match($A1269&amp;","&amp;index('Year Conversion'!$A:$A,match($C1269,'Year Conversion'!$B:$B,0)),$Y:$Y,0))-I1269,"")</f>
        <v>1</v>
      </c>
      <c r="AA1269" s="168">
        <f t="array" ref="AA1269">iferror(index(J:J,match($A1269&amp;","&amp;index('Year Conversion'!$A:$A,match($C1269,'Year Conversion'!$B:$B,0)),$Y:$Y,0))-J1269,"")</f>
        <v>0.5407228716</v>
      </c>
      <c r="AB1269" s="168">
        <f t="array" ref="AB1269">iferror(index(K:K,match($A1269&amp;","&amp;index('Year Conversion'!$A:$A,match($C1269,'Year Conversion'!$B:$B,0)),$Y:$Y,0))-K1269,"")</f>
        <v>0.2592579724</v>
      </c>
      <c r="AC1269" s="168" t="str">
        <f t="shared" si="7"/>
        <v>ATL,2015-16</v>
      </c>
    </row>
    <row r="1270">
      <c r="A1270" s="161" t="str">
        <f>IFERROR(__xludf.DUMMYFUNCTION("""COMPUTED_VALUE"""),"papanko01")</f>
        <v>papanko01</v>
      </c>
      <c r="B1270" s="161" t="str">
        <f>IFERROR(__xludf.DUMMYFUNCTION("""COMPUTED_VALUE"""),"Kostas Papanikolaou")</f>
        <v>Kostas Papanikolaou</v>
      </c>
      <c r="C1270" s="162" t="str">
        <f>IFERROR(__xludf.DUMMYFUNCTION("""COMPUTED_VALUE"""),"2015-16")</f>
        <v>2015-16</v>
      </c>
      <c r="D1270" s="163" t="str">
        <f>IFERROR(__xludf.DUMMYFUNCTION("""COMPUTED_VALUE"""),"DEN")</f>
        <v>DEN</v>
      </c>
      <c r="E1270" s="164" t="str">
        <f>IFERROR(__xludf.DUMMYFUNCTION("""COMPUTED_VALUE"""),"Stationary Shooter")</f>
        <v>Stationary Shooter</v>
      </c>
      <c r="F1270" s="164">
        <f>IFERROR(__xludf.DUMMYFUNCTION("""COMPUTED_VALUE"""),294.015)</f>
        <v>294.015</v>
      </c>
      <c r="G1270" s="163">
        <f>IFERROR(__xludf.DUMMYFUNCTION("""COMPUTED_VALUE"""),26.0)</f>
        <v>26</v>
      </c>
      <c r="H1270" s="163" t="str">
        <f>IFERROR(__xludf.DUMMYFUNCTION("""COMPUTED_VALUE"""),"SF")</f>
        <v>SF</v>
      </c>
      <c r="I1270" s="163">
        <f>IFERROR(__xludf.DUMMYFUNCTION("""COMPUTED_VALUE"""),25.0)</f>
        <v>25</v>
      </c>
      <c r="J1270" s="165">
        <f>IFERROR(__xludf.DUMMYFUNCTION("""COMPUTED_VALUE"""),-1.07547537672396)</f>
        <v>-1.075475377</v>
      </c>
      <c r="K1270" s="165">
        <f>IFERROR(__xludf.DUMMYFUNCTION("""COMPUTED_VALUE"""),-2.03427069999448)</f>
        <v>-2.0342707</v>
      </c>
      <c r="L1270" s="165">
        <f>IFERROR(__xludf.DUMMYFUNCTION("""COMPUTED_VALUE"""),0.958795323270526)</f>
        <v>0.9587953233</v>
      </c>
      <c r="M1270" s="166">
        <f t="shared" si="2"/>
        <v>0.2404322148</v>
      </c>
      <c r="N1270" s="167">
        <f t="shared" si="3"/>
        <v>11.30826923</v>
      </c>
      <c r="O1270" s="163">
        <f t="shared" ref="O1270:Q1270" si="1274">rank(I1270,I:I)</f>
        <v>1995</v>
      </c>
      <c r="P1270" s="163">
        <f t="shared" si="1274"/>
        <v>2584</v>
      </c>
      <c r="Q1270" s="163">
        <f t="shared" si="1274"/>
        <v>3724</v>
      </c>
      <c r="R1270" s="163">
        <f>IFERROR(__xludf.DUMMYFUNCTION("RANK(M1270,filter(M:M,C:C=C1270))"),330.0)</f>
        <v>330</v>
      </c>
      <c r="S1270" s="161" t="b">
        <f t="shared" si="5"/>
        <v>0</v>
      </c>
      <c r="T1270" s="161" t="b">
        <f t="array" ref="T1270">index('Query Tool'!B:B,match(H1270,'Query Tool'!C:C,0))</f>
        <v>1</v>
      </c>
      <c r="U1270" s="161" t="b">
        <f t="array" ref="U1270">index('Query Tool'!B:B,match(C1270,'Query Tool'!C:C,0))</f>
        <v>0</v>
      </c>
      <c r="V1270" s="161" t="b">
        <f>F1270&gt;='Query Tool'!C$32</f>
        <v>0</v>
      </c>
      <c r="W1270" s="161" t="b">
        <f t="array" ref="W1270">index(Dropdowns!B:B,match(I1270,Dropdowns!A:A,0))</f>
        <v>1</v>
      </c>
      <c r="X1270" s="161" t="b">
        <f t="array" ref="X1270">index('Query Tool'!B:B,match(D1270,'Query Tool'!C:C,0))</f>
        <v>1</v>
      </c>
      <c r="Y1270" s="161" t="str">
        <f t="shared" si="6"/>
        <v>papanko01,2015-16</v>
      </c>
      <c r="Z1270" s="168" t="str">
        <f t="array" ref="Z1270">iferror(index(I:I,match($A1270&amp;","&amp;index('Year Conversion'!$A:$A,match($C1270,'Year Conversion'!$B:$B,0)),$Y:$Y,0))-I1270,"")</f>
        <v/>
      </c>
      <c r="AA1270" s="168" t="str">
        <f t="array" ref="AA1270">iferror(index(J:J,match($A1270&amp;","&amp;index('Year Conversion'!$A:$A,match($C1270,'Year Conversion'!$B:$B,0)),$Y:$Y,0))-J1270,"")</f>
        <v/>
      </c>
      <c r="AB1270" s="168" t="str">
        <f t="array" ref="AB1270">iferror(index(K:K,match($A1270&amp;","&amp;index('Year Conversion'!$A:$A,match($C1270,'Year Conversion'!$B:$B,0)),$Y:$Y,0))-K1270,"")</f>
        <v/>
      </c>
      <c r="AC1270" s="168" t="str">
        <f t="shared" si="7"/>
        <v>DEN,2015-16</v>
      </c>
    </row>
    <row r="1271">
      <c r="A1271" s="161" t="str">
        <f>IFERROR(__xludf.DUMMYFUNCTION("""COMPUTED_VALUE"""),"oquinky01")</f>
        <v>oquinky01</v>
      </c>
      <c r="B1271" s="161" t="str">
        <f>IFERROR(__xludf.DUMMYFUNCTION("""COMPUTED_VALUE"""),"Kyle O'Quinn")</f>
        <v>Kyle O'Quinn</v>
      </c>
      <c r="C1271" s="162" t="str">
        <f>IFERROR(__xludf.DUMMYFUNCTION("""COMPUTED_VALUE"""),"2015-16")</f>
        <v>2015-16</v>
      </c>
      <c r="D1271" s="163" t="str">
        <f>IFERROR(__xludf.DUMMYFUNCTION("""COMPUTED_VALUE"""),"NYK")</f>
        <v>NYK</v>
      </c>
      <c r="E1271" s="164" t="str">
        <f>IFERROR(__xludf.DUMMYFUNCTION("""COMPUTED_VALUE"""),"Post Scorer")</f>
        <v>Post Scorer</v>
      </c>
      <c r="F1271" s="164">
        <f>IFERROR(__xludf.DUMMYFUNCTION("""COMPUTED_VALUE"""),764.288333333334)</f>
        <v>764.2883333</v>
      </c>
      <c r="G1271" s="163">
        <f>IFERROR(__xludf.DUMMYFUNCTION("""COMPUTED_VALUE"""),65.0)</f>
        <v>65</v>
      </c>
      <c r="H1271" s="163" t="str">
        <f>IFERROR(__xludf.DUMMYFUNCTION("""COMPUTED_VALUE"""),"PF")</f>
        <v>PF</v>
      </c>
      <c r="I1271" s="163">
        <f>IFERROR(__xludf.DUMMYFUNCTION("""COMPUTED_VALUE"""),25.0)</f>
        <v>25</v>
      </c>
      <c r="J1271" s="165">
        <f>IFERROR(__xludf.DUMMYFUNCTION("""COMPUTED_VALUE"""),0.0470438689111824)</f>
        <v>0.04704386891</v>
      </c>
      <c r="K1271" s="165">
        <f>IFERROR(__xludf.DUMMYFUNCTION("""COMPUTED_VALUE"""),-0.556164194483031)</f>
        <v>-0.5561641945</v>
      </c>
      <c r="L1271" s="165">
        <f>IFERROR(__xludf.DUMMYFUNCTION("""COMPUTED_VALUE"""),0.603208063394213)</f>
        <v>0.6032080634</v>
      </c>
      <c r="M1271" s="166">
        <f t="shared" si="2"/>
        <v>1.202518322</v>
      </c>
      <c r="N1271" s="167">
        <f t="shared" si="3"/>
        <v>11.75828205</v>
      </c>
      <c r="O1271" s="163">
        <f t="shared" ref="O1271:Q1271" si="1275">rank(I1271,I:I)</f>
        <v>1995</v>
      </c>
      <c r="P1271" s="163">
        <f t="shared" si="1275"/>
        <v>1245</v>
      </c>
      <c r="Q1271" s="163">
        <f t="shared" si="1275"/>
        <v>2193</v>
      </c>
      <c r="R1271" s="163">
        <f>IFERROR(__xludf.DUMMYFUNCTION("RANK(M1271,filter(M:M,C:C=C1271))"),206.0)</f>
        <v>206</v>
      </c>
      <c r="S1271" s="161" t="b">
        <f t="shared" si="5"/>
        <v>0</v>
      </c>
      <c r="T1271" s="161" t="b">
        <f t="array" ref="T1271">index('Query Tool'!B:B,match(H1271,'Query Tool'!C:C,0))</f>
        <v>1</v>
      </c>
      <c r="U1271" s="161" t="b">
        <f t="array" ref="U1271">index('Query Tool'!B:B,match(C1271,'Query Tool'!C:C,0))</f>
        <v>0</v>
      </c>
      <c r="V1271" s="161" t="b">
        <f>F1271&gt;='Query Tool'!C$32</f>
        <v>1</v>
      </c>
      <c r="W1271" s="161" t="b">
        <f t="array" ref="W1271">index(Dropdowns!B:B,match(I1271,Dropdowns!A:A,0))</f>
        <v>1</v>
      </c>
      <c r="X1271" s="161" t="b">
        <f t="array" ref="X1271">index('Query Tool'!B:B,match(D1271,'Query Tool'!C:C,0))</f>
        <v>1</v>
      </c>
      <c r="Y1271" s="161" t="str">
        <f t="shared" si="6"/>
        <v>oquinky01,2015-16</v>
      </c>
      <c r="Z1271" s="168">
        <f t="array" ref="Z1271">iferror(index(I:I,match($A1271&amp;","&amp;index('Year Conversion'!$A:$A,match($C1271,'Year Conversion'!$B:$B,0)),$Y:$Y,0))-I1271,"")</f>
        <v>1</v>
      </c>
      <c r="AA1271" s="168">
        <f t="array" ref="AA1271">iferror(index(J:J,match($A1271&amp;","&amp;index('Year Conversion'!$A:$A,match($C1271,'Year Conversion'!$B:$B,0)),$Y:$Y,0))-J1271,"")</f>
        <v>0.5505716463</v>
      </c>
      <c r="AB1271" s="168">
        <f t="array" ref="AB1271">iferror(index(K:K,match($A1271&amp;","&amp;index('Year Conversion'!$A:$A,match($C1271,'Year Conversion'!$B:$B,0)),$Y:$Y,0))-K1271,"")</f>
        <v>0.1258617492</v>
      </c>
      <c r="AC1271" s="168" t="str">
        <f t="shared" si="7"/>
        <v>NYK,2015-16</v>
      </c>
    </row>
    <row r="1272">
      <c r="A1272" s="161" t="str">
        <f>IFERROR(__xludf.DUMMYFUNCTION("""COMPUTED_VALUE"""),"sacrero01")</f>
        <v>sacrero01</v>
      </c>
      <c r="B1272" s="161" t="str">
        <f>IFERROR(__xludf.DUMMYFUNCTION("""COMPUTED_VALUE"""),"Robert Sacre")</f>
        <v>Robert Sacre</v>
      </c>
      <c r="C1272" s="162" t="str">
        <f>IFERROR(__xludf.DUMMYFUNCTION("""COMPUTED_VALUE"""),"2015-16")</f>
        <v>2015-16</v>
      </c>
      <c r="D1272" s="163" t="str">
        <f>IFERROR(__xludf.DUMMYFUNCTION("""COMPUTED_VALUE"""),"LAL")</f>
        <v>LAL</v>
      </c>
      <c r="E1272" s="164" t="str">
        <f>IFERROR(__xludf.DUMMYFUNCTION("""COMPUTED_VALUE"""),"Post Scorer")</f>
        <v>Post Scorer</v>
      </c>
      <c r="F1272" s="164">
        <f>IFERROR(__xludf.DUMMYFUNCTION("""COMPUTED_VALUE"""),320.09)</f>
        <v>320.09</v>
      </c>
      <c r="G1272" s="163">
        <f>IFERROR(__xludf.DUMMYFUNCTION("""COMPUTED_VALUE"""),25.0)</f>
        <v>25</v>
      </c>
      <c r="H1272" s="163" t="str">
        <f>IFERROR(__xludf.DUMMYFUNCTION("""COMPUTED_VALUE"""),"C")</f>
        <v>C</v>
      </c>
      <c r="I1272" s="163">
        <f>IFERROR(__xludf.DUMMYFUNCTION("""COMPUTED_VALUE"""),26.0)</f>
        <v>26</v>
      </c>
      <c r="J1272" s="165">
        <f>IFERROR(__xludf.DUMMYFUNCTION("""COMPUTED_VALUE"""),-1.22009663154538)</f>
        <v>-1.220096632</v>
      </c>
      <c r="K1272" s="165">
        <f>IFERROR(__xludf.DUMMYFUNCTION("""COMPUTED_VALUE"""),-1.2975010949734)</f>
        <v>-1.297501095</v>
      </c>
      <c r="L1272" s="165">
        <f>IFERROR(__xludf.DUMMYFUNCTION("""COMPUTED_VALUE"""),0.0774044634280204)</f>
        <v>0.07740446343</v>
      </c>
      <c r="M1272" s="166">
        <f t="shared" si="2"/>
        <v>0.230716652</v>
      </c>
      <c r="N1272" s="167">
        <f t="shared" si="3"/>
        <v>12.8036</v>
      </c>
      <c r="O1272" s="163">
        <f t="shared" ref="O1272:Q1272" si="1276">rank(I1272,I:I)</f>
        <v>1665</v>
      </c>
      <c r="P1272" s="163">
        <f t="shared" si="1276"/>
        <v>2772</v>
      </c>
      <c r="Q1272" s="163">
        <f t="shared" si="1276"/>
        <v>3141</v>
      </c>
      <c r="R1272" s="163">
        <f>IFERROR(__xludf.DUMMYFUNCTION("RANK(M1272,filter(M:M,C:C=C1272))"),335.0)</f>
        <v>335</v>
      </c>
      <c r="S1272" s="161" t="b">
        <f t="shared" si="5"/>
        <v>0</v>
      </c>
      <c r="T1272" s="161" t="b">
        <f t="array" ref="T1272">index('Query Tool'!B:B,match(H1272,'Query Tool'!C:C,0))</f>
        <v>1</v>
      </c>
      <c r="U1272" s="161" t="b">
        <f t="array" ref="U1272">index('Query Tool'!B:B,match(C1272,'Query Tool'!C:C,0))</f>
        <v>0</v>
      </c>
      <c r="V1272" s="161" t="b">
        <f>F1272&gt;='Query Tool'!C$32</f>
        <v>0</v>
      </c>
      <c r="W1272" s="161" t="b">
        <f t="array" ref="W1272">index(Dropdowns!B:B,match(I1272,Dropdowns!A:A,0))</f>
        <v>1</v>
      </c>
      <c r="X1272" s="161" t="b">
        <f t="array" ref="X1272">index('Query Tool'!B:B,match(D1272,'Query Tool'!C:C,0))</f>
        <v>1</v>
      </c>
      <c r="Y1272" s="161" t="str">
        <f t="shared" si="6"/>
        <v>sacrero01,2015-16</v>
      </c>
      <c r="Z1272" s="168" t="str">
        <f t="array" ref="Z1272">iferror(index(I:I,match($A1272&amp;","&amp;index('Year Conversion'!$A:$A,match($C1272,'Year Conversion'!$B:$B,0)),$Y:$Y,0))-I1272,"")</f>
        <v/>
      </c>
      <c r="AA1272" s="168" t="str">
        <f t="array" ref="AA1272">iferror(index(J:J,match($A1272&amp;","&amp;index('Year Conversion'!$A:$A,match($C1272,'Year Conversion'!$B:$B,0)),$Y:$Y,0))-J1272,"")</f>
        <v/>
      </c>
      <c r="AB1272" s="168" t="str">
        <f t="array" ref="AB1272">iferror(index(K:K,match($A1272&amp;","&amp;index('Year Conversion'!$A:$A,match($C1272,'Year Conversion'!$B:$B,0)),$Y:$Y,0))-K1272,"")</f>
        <v/>
      </c>
      <c r="AC1272" s="168" t="str">
        <f t="shared" si="7"/>
        <v>LAL,2015-16</v>
      </c>
    </row>
    <row r="1273">
      <c r="A1273" s="161" t="str">
        <f>IFERROR(__xludf.DUMMYFUNCTION("""COMPUTED_VALUE"""),"thompho01")</f>
        <v>thompho01</v>
      </c>
      <c r="B1273" s="161" t="str">
        <f>IFERROR(__xludf.DUMMYFUNCTION("""COMPUTED_VALUE"""),"Hollis Thompson")</f>
        <v>Hollis Thompson</v>
      </c>
      <c r="C1273" s="162" t="str">
        <f>IFERROR(__xludf.DUMMYFUNCTION("""COMPUTED_VALUE"""),"2015-16")</f>
        <v>2015-16</v>
      </c>
      <c r="D1273" s="163" t="str">
        <f>IFERROR(__xludf.DUMMYFUNCTION("""COMPUTED_VALUE"""),"PHI")</f>
        <v>PHI</v>
      </c>
      <c r="E1273" s="164" t="str">
        <f>IFERROR(__xludf.DUMMYFUNCTION("""COMPUTED_VALUE"""),"Movement Shooter")</f>
        <v>Movement Shooter</v>
      </c>
      <c r="F1273" s="164">
        <f>IFERROR(__xludf.DUMMYFUNCTION("""COMPUTED_VALUE"""),2153.85)</f>
        <v>2153.85</v>
      </c>
      <c r="G1273" s="163">
        <f>IFERROR(__xludf.DUMMYFUNCTION("""COMPUTED_VALUE"""),77.0)</f>
        <v>77</v>
      </c>
      <c r="H1273" s="163" t="str">
        <f>IFERROR(__xludf.DUMMYFUNCTION("""COMPUTED_VALUE"""),"SG")</f>
        <v>SG</v>
      </c>
      <c r="I1273" s="163">
        <f>IFERROR(__xludf.DUMMYFUNCTION("""COMPUTED_VALUE"""),24.0)</f>
        <v>24</v>
      </c>
      <c r="J1273" s="165">
        <f>IFERROR(__xludf.DUMMYFUNCTION("""COMPUTED_VALUE"""),-3.59987167953767)</f>
        <v>-3.59987168</v>
      </c>
      <c r="K1273" s="165">
        <f>IFERROR(__xludf.DUMMYFUNCTION("""COMPUTED_VALUE"""),-1.38961065659335)</f>
        <v>-1.389610657</v>
      </c>
      <c r="L1273" s="165">
        <f>IFERROR(__xludf.DUMMYFUNCTION("""COMPUTED_VALUE"""),-2.21026102294432)</f>
        <v>-2.210261023</v>
      </c>
      <c r="M1273" s="166">
        <f t="shared" si="2"/>
        <v>-1.814747032</v>
      </c>
      <c r="N1273" s="167">
        <f t="shared" si="3"/>
        <v>27.97207792</v>
      </c>
      <c r="O1273" s="163">
        <f t="shared" ref="O1273:Q1273" si="1277">rank(I1273,I:I)</f>
        <v>2361</v>
      </c>
      <c r="P1273" s="163">
        <f t="shared" si="1277"/>
        <v>3975</v>
      </c>
      <c r="Q1273" s="163">
        <f t="shared" si="1277"/>
        <v>3242</v>
      </c>
      <c r="R1273" s="163">
        <f>IFERROR(__xludf.DUMMYFUNCTION("RANK(M1273,filter(M:M,C:C=C1273))"),476.0)</f>
        <v>476</v>
      </c>
      <c r="S1273" s="161" t="b">
        <f t="shared" si="5"/>
        <v>0</v>
      </c>
      <c r="T1273" s="161" t="b">
        <f t="array" ref="T1273">index('Query Tool'!B:B,match(H1273,'Query Tool'!C:C,0))</f>
        <v>1</v>
      </c>
      <c r="U1273" s="161" t="b">
        <f t="array" ref="U1273">index('Query Tool'!B:B,match(C1273,'Query Tool'!C:C,0))</f>
        <v>0</v>
      </c>
      <c r="V1273" s="161" t="b">
        <f>F1273&gt;='Query Tool'!C$32</f>
        <v>1</v>
      </c>
      <c r="W1273" s="161" t="b">
        <f t="array" ref="W1273">index(Dropdowns!B:B,match(I1273,Dropdowns!A:A,0))</f>
        <v>1</v>
      </c>
      <c r="X1273" s="161" t="b">
        <f t="array" ref="X1273">index('Query Tool'!B:B,match(D1273,'Query Tool'!C:C,0))</f>
        <v>1</v>
      </c>
      <c r="Y1273" s="161" t="str">
        <f t="shared" si="6"/>
        <v>thompho01,2015-16</v>
      </c>
      <c r="Z1273" s="168">
        <f t="array" ref="Z1273">iferror(index(I:I,match($A1273&amp;","&amp;index('Year Conversion'!$A:$A,match($C1273,'Year Conversion'!$B:$B,0)),$Y:$Y,0))-I1273,"")</f>
        <v>1</v>
      </c>
      <c r="AA1273" s="168">
        <f t="array" ref="AA1273">iferror(index(J:J,match($A1273&amp;","&amp;index('Year Conversion'!$A:$A,match($C1273,'Year Conversion'!$B:$B,0)),$Y:$Y,0))-J1273,"")</f>
        <v>1.203133693</v>
      </c>
      <c r="AB1273" s="168">
        <f t="array" ref="AB1273">iferror(index(K:K,match($A1273&amp;","&amp;index('Year Conversion'!$A:$A,match($C1273,'Year Conversion'!$B:$B,0)),$Y:$Y,0))-K1273,"")</f>
        <v>-0.4429001473</v>
      </c>
      <c r="AC1273" s="168" t="str">
        <f t="shared" si="7"/>
        <v>PHI,2015-16</v>
      </c>
    </row>
    <row r="1274">
      <c r="A1274" s="161" t="str">
        <f>IFERROR(__xludf.DUMMYFUNCTION("""COMPUTED_VALUE"""),"teletmi01")</f>
        <v>teletmi01</v>
      </c>
      <c r="B1274" s="161" t="str">
        <f>IFERROR(__xludf.DUMMYFUNCTION("""COMPUTED_VALUE"""),"Mirza Teletovic")</f>
        <v>Mirza Teletovic</v>
      </c>
      <c r="C1274" s="162" t="str">
        <f>IFERROR(__xludf.DUMMYFUNCTION("""COMPUTED_VALUE"""),"2015-16")</f>
        <v>2015-16</v>
      </c>
      <c r="D1274" s="163" t="str">
        <f>IFERROR(__xludf.DUMMYFUNCTION("""COMPUTED_VALUE"""),"PHO")</f>
        <v>PHO</v>
      </c>
      <c r="E1274" s="164" t="str">
        <f>IFERROR(__xludf.DUMMYFUNCTION("""COMPUTED_VALUE"""),"Movement Shooter")</f>
        <v>Movement Shooter</v>
      </c>
      <c r="F1274" s="164">
        <f>IFERROR(__xludf.DUMMYFUNCTION("""COMPUTED_VALUE"""),1685.47666666667)</f>
        <v>1685.476667</v>
      </c>
      <c r="G1274" s="163">
        <f>IFERROR(__xludf.DUMMYFUNCTION("""COMPUTED_VALUE"""),79.0)</f>
        <v>79</v>
      </c>
      <c r="H1274" s="163" t="str">
        <f>IFERROR(__xludf.DUMMYFUNCTION("""COMPUTED_VALUE"""),"PF")</f>
        <v>PF</v>
      </c>
      <c r="I1274" s="163">
        <f>IFERROR(__xludf.DUMMYFUNCTION("""COMPUTED_VALUE"""),30.0)</f>
        <v>30</v>
      </c>
      <c r="J1274" s="165">
        <f>IFERROR(__xludf.DUMMYFUNCTION("""COMPUTED_VALUE"""),-0.221467027831039)</f>
        <v>-0.2214670278</v>
      </c>
      <c r="K1274" s="165">
        <f>IFERROR(__xludf.DUMMYFUNCTION("""COMPUTED_VALUE"""),1.54322572679893)</f>
        <v>1.543225727</v>
      </c>
      <c r="L1274" s="165">
        <f>IFERROR(__xludf.DUMMYFUNCTION("""COMPUTED_VALUE"""),-1.76469275462997)</f>
        <v>-1.764692755</v>
      </c>
      <c r="M1274" s="166">
        <f t="shared" si="2"/>
        <v>2.346800446</v>
      </c>
      <c r="N1274" s="167">
        <f t="shared" si="3"/>
        <v>21.33514768</v>
      </c>
      <c r="O1274" s="163">
        <f t="shared" ref="O1274:Q1274" si="1278">rank(I1274,I:I)</f>
        <v>655</v>
      </c>
      <c r="P1274" s="163">
        <f t="shared" si="1278"/>
        <v>1527</v>
      </c>
      <c r="Q1274" s="163">
        <f t="shared" si="1278"/>
        <v>306</v>
      </c>
      <c r="R1274" s="163">
        <f>IFERROR(__xludf.DUMMYFUNCTION("RANK(M1274,filter(M:M,C:C=C1274))"),143.0)</f>
        <v>143</v>
      </c>
      <c r="S1274" s="161" t="b">
        <f t="shared" si="5"/>
        <v>0</v>
      </c>
      <c r="T1274" s="161" t="b">
        <f t="array" ref="T1274">index('Query Tool'!B:B,match(H1274,'Query Tool'!C:C,0))</f>
        <v>1</v>
      </c>
      <c r="U1274" s="161" t="b">
        <f t="array" ref="U1274">index('Query Tool'!B:B,match(C1274,'Query Tool'!C:C,0))</f>
        <v>0</v>
      </c>
      <c r="V1274" s="161" t="b">
        <f>F1274&gt;='Query Tool'!C$32</f>
        <v>1</v>
      </c>
      <c r="W1274" s="161" t="b">
        <f t="array" ref="W1274">index(Dropdowns!B:B,match(I1274,Dropdowns!A:A,0))</f>
        <v>1</v>
      </c>
      <c r="X1274" s="161" t="b">
        <f t="array" ref="X1274">index('Query Tool'!B:B,match(D1274,'Query Tool'!C:C,0))</f>
        <v>1</v>
      </c>
      <c r="Y1274" s="161" t="str">
        <f t="shared" si="6"/>
        <v>teletmi01,2015-16</v>
      </c>
      <c r="Z1274" s="168">
        <f t="array" ref="Z1274">iferror(index(I:I,match($A1274&amp;","&amp;index('Year Conversion'!$A:$A,match($C1274,'Year Conversion'!$B:$B,0)),$Y:$Y,0))-I1274,"")</f>
        <v>1</v>
      </c>
      <c r="AA1274" s="168">
        <f t="array" ref="AA1274">iferror(index(J:J,match($A1274&amp;","&amp;index('Year Conversion'!$A:$A,match($C1274,'Year Conversion'!$B:$B,0)),$Y:$Y,0))-J1274,"")</f>
        <v>-0.573254192</v>
      </c>
      <c r="AB1274" s="168">
        <f t="array" ref="AB1274">iferror(index(K:K,match($A1274&amp;","&amp;index('Year Conversion'!$A:$A,match($C1274,'Year Conversion'!$B:$B,0)),$Y:$Y,0))-K1274,"")</f>
        <v>-1.625881286</v>
      </c>
      <c r="AC1274" s="168" t="str">
        <f t="shared" si="7"/>
        <v>PHO,2015-16</v>
      </c>
    </row>
    <row r="1275">
      <c r="A1275" s="161" t="str">
        <f>IFERROR(__xludf.DUMMYFUNCTION("""COMPUTED_VALUE"""),"copelch01")</f>
        <v>copelch01</v>
      </c>
      <c r="B1275" s="161" t="str">
        <f>IFERROR(__xludf.DUMMYFUNCTION("""COMPUTED_VALUE"""),"Chris Copeland")</f>
        <v>Chris Copeland</v>
      </c>
      <c r="C1275" s="162" t="str">
        <f>IFERROR(__xludf.DUMMYFUNCTION("""COMPUTED_VALUE"""),"2015-16")</f>
        <v>2015-16</v>
      </c>
      <c r="D1275" s="163" t="str">
        <f>IFERROR(__xludf.DUMMYFUNCTION("""COMPUTED_VALUE"""),"MIL")</f>
        <v>MIL</v>
      </c>
      <c r="E1275" s="164" t="str">
        <f>IFERROR(__xludf.DUMMYFUNCTION("""COMPUTED_VALUE"""),"Movement Shooter")</f>
        <v>Movement Shooter</v>
      </c>
      <c r="F1275" s="164">
        <f>IFERROR(__xludf.DUMMYFUNCTION("""COMPUTED_VALUE"""),155.93)</f>
        <v>155.93</v>
      </c>
      <c r="G1275" s="163">
        <f>IFERROR(__xludf.DUMMYFUNCTION("""COMPUTED_VALUE"""),24.0)</f>
        <v>24</v>
      </c>
      <c r="H1275" s="163" t="str">
        <f>IFERROR(__xludf.DUMMYFUNCTION("""COMPUTED_VALUE"""),"PF")</f>
        <v>PF</v>
      </c>
      <c r="I1275" s="163">
        <f>IFERROR(__xludf.DUMMYFUNCTION("""COMPUTED_VALUE"""),31.0)</f>
        <v>31</v>
      </c>
      <c r="J1275" s="165">
        <f>IFERROR(__xludf.DUMMYFUNCTION("""COMPUTED_VALUE"""),-1.54595753065532)</f>
        <v>-1.545957531</v>
      </c>
      <c r="K1275" s="165">
        <f>IFERROR(__xludf.DUMMYFUNCTION("""COMPUTED_VALUE"""),-0.41935171719214)</f>
        <v>-0.4193517172</v>
      </c>
      <c r="L1275" s="165">
        <f>IFERROR(__xludf.DUMMYFUNCTION("""COMPUTED_VALUE"""),-1.12660581346318)</f>
        <v>-1.126605813</v>
      </c>
      <c r="M1275" s="166">
        <f t="shared" si="2"/>
        <v>0.07840855836</v>
      </c>
      <c r="N1275" s="167">
        <f t="shared" si="3"/>
        <v>6.497083333</v>
      </c>
      <c r="O1275" s="163">
        <f t="shared" ref="O1275:Q1275" si="1279">rank(I1275,I:I)</f>
        <v>490</v>
      </c>
      <c r="P1275" s="163">
        <f t="shared" si="1279"/>
        <v>3095</v>
      </c>
      <c r="Q1275" s="163">
        <f t="shared" si="1279"/>
        <v>1982</v>
      </c>
      <c r="R1275" s="163">
        <f>IFERROR(__xludf.DUMMYFUNCTION("RANK(M1275,filter(M:M,C:C=C1275))"),381.0)</f>
        <v>381</v>
      </c>
      <c r="S1275" s="161" t="b">
        <f t="shared" si="5"/>
        <v>0</v>
      </c>
      <c r="T1275" s="161" t="b">
        <f t="array" ref="T1275">index('Query Tool'!B:B,match(H1275,'Query Tool'!C:C,0))</f>
        <v>1</v>
      </c>
      <c r="U1275" s="161" t="b">
        <f t="array" ref="U1275">index('Query Tool'!B:B,match(C1275,'Query Tool'!C:C,0))</f>
        <v>0</v>
      </c>
      <c r="V1275" s="161" t="b">
        <f>F1275&gt;='Query Tool'!C$32</f>
        <v>0</v>
      </c>
      <c r="W1275" s="161" t="b">
        <f t="array" ref="W1275">index(Dropdowns!B:B,match(I1275,Dropdowns!A:A,0))</f>
        <v>1</v>
      </c>
      <c r="X1275" s="161" t="b">
        <f t="array" ref="X1275">index('Query Tool'!B:B,match(D1275,'Query Tool'!C:C,0))</f>
        <v>1</v>
      </c>
      <c r="Y1275" s="161" t="str">
        <f t="shared" si="6"/>
        <v>copelch01,2015-16</v>
      </c>
      <c r="Z1275" s="168" t="str">
        <f t="array" ref="Z1275">iferror(index(I:I,match($A1275&amp;","&amp;index('Year Conversion'!$A:$A,match($C1275,'Year Conversion'!$B:$B,0)),$Y:$Y,0))-I1275,"")</f>
        <v/>
      </c>
      <c r="AA1275" s="168" t="str">
        <f t="array" ref="AA1275">iferror(index(J:J,match($A1275&amp;","&amp;index('Year Conversion'!$A:$A,match($C1275,'Year Conversion'!$B:$B,0)),$Y:$Y,0))-J1275,"")</f>
        <v/>
      </c>
      <c r="AB1275" s="168" t="str">
        <f t="array" ref="AB1275">iferror(index(K:K,match($A1275&amp;","&amp;index('Year Conversion'!$A:$A,match($C1275,'Year Conversion'!$B:$B,0)),$Y:$Y,0))-K1275,"")</f>
        <v/>
      </c>
      <c r="AC1275" s="168" t="str">
        <f t="shared" si="7"/>
        <v>MIL,2015-16</v>
      </c>
    </row>
    <row r="1276">
      <c r="A1276" s="161" t="str">
        <f>IFERROR(__xludf.DUMMYFUNCTION("""COMPUTED_VALUE"""),"prigipa01")</f>
        <v>prigipa01</v>
      </c>
      <c r="B1276" s="161" t="str">
        <f>IFERROR(__xludf.DUMMYFUNCTION("""COMPUTED_VALUE"""),"Pablo Prigioni")</f>
        <v>Pablo Prigioni</v>
      </c>
      <c r="C1276" s="162" t="str">
        <f>IFERROR(__xludf.DUMMYFUNCTION("""COMPUTED_VALUE"""),"2015-16")</f>
        <v>2015-16</v>
      </c>
      <c r="D1276" s="163" t="str">
        <f>IFERROR(__xludf.DUMMYFUNCTION("""COMPUTED_VALUE"""),"LAC")</f>
        <v>LAC</v>
      </c>
      <c r="E1276" s="164" t="str">
        <f>IFERROR(__xludf.DUMMYFUNCTION("""COMPUTED_VALUE"""),"Secondary Ball Handler")</f>
        <v>Secondary Ball Handler</v>
      </c>
      <c r="F1276" s="164">
        <f>IFERROR(__xludf.DUMMYFUNCTION("""COMPUTED_VALUE"""),822.636666666666)</f>
        <v>822.6366667</v>
      </c>
      <c r="G1276" s="163">
        <f>IFERROR(__xludf.DUMMYFUNCTION("""COMPUTED_VALUE"""),59.0)</f>
        <v>59</v>
      </c>
      <c r="H1276" s="163" t="str">
        <f>IFERROR(__xludf.DUMMYFUNCTION("""COMPUTED_VALUE"""),"PG")</f>
        <v>PG</v>
      </c>
      <c r="I1276" s="163">
        <f>IFERROR(__xludf.DUMMYFUNCTION("""COMPUTED_VALUE"""),38.0)</f>
        <v>38</v>
      </c>
      <c r="J1276" s="165">
        <f>IFERROR(__xludf.DUMMYFUNCTION("""COMPUTED_VALUE"""),-1.71619387860877)</f>
        <v>-1.716193879</v>
      </c>
      <c r="K1276" s="165">
        <f>IFERROR(__xludf.DUMMYFUNCTION("""COMPUTED_VALUE"""),-1.28337688798701)</f>
        <v>-1.283376888</v>
      </c>
      <c r="L1276" s="165">
        <f>IFERROR(__xludf.DUMMYFUNCTION("""COMPUTED_VALUE"""),-0.432816990621758)</f>
        <v>-0.4328169906</v>
      </c>
      <c r="M1276" s="166">
        <f t="shared" si="2"/>
        <v>0.3202831226</v>
      </c>
      <c r="N1276" s="167">
        <f t="shared" si="3"/>
        <v>13.94299435</v>
      </c>
      <c r="O1276" s="163">
        <f t="shared" ref="O1276:Q1276" si="1280">rank(I1276,I:I)</f>
        <v>20</v>
      </c>
      <c r="P1276" s="163">
        <f t="shared" si="1280"/>
        <v>3259</v>
      </c>
      <c r="Q1276" s="163">
        <f t="shared" si="1280"/>
        <v>3123</v>
      </c>
      <c r="R1276" s="163">
        <f>IFERROR(__xludf.DUMMYFUNCTION("RANK(M1276,filter(M:M,C:C=C1276))"),306.0)</f>
        <v>306</v>
      </c>
      <c r="S1276" s="161" t="b">
        <f t="shared" si="5"/>
        <v>0</v>
      </c>
      <c r="T1276" s="161" t="b">
        <f t="array" ref="T1276">index('Query Tool'!B:B,match(H1276,'Query Tool'!C:C,0))</f>
        <v>1</v>
      </c>
      <c r="U1276" s="161" t="b">
        <f t="array" ref="U1276">index('Query Tool'!B:B,match(C1276,'Query Tool'!C:C,0))</f>
        <v>0</v>
      </c>
      <c r="V1276" s="161" t="b">
        <f>F1276&gt;='Query Tool'!C$32</f>
        <v>1</v>
      </c>
      <c r="W1276" s="161" t="b">
        <f t="array" ref="W1276">index(Dropdowns!B:B,match(I1276,Dropdowns!A:A,0))</f>
        <v>1</v>
      </c>
      <c r="X1276" s="161" t="b">
        <f t="array" ref="X1276">index('Query Tool'!B:B,match(D1276,'Query Tool'!C:C,0))</f>
        <v>1</v>
      </c>
      <c r="Y1276" s="161" t="str">
        <f t="shared" si="6"/>
        <v>prigipa01,2015-16</v>
      </c>
      <c r="Z1276" s="168" t="str">
        <f t="array" ref="Z1276">iferror(index(I:I,match($A1276&amp;","&amp;index('Year Conversion'!$A:$A,match($C1276,'Year Conversion'!$B:$B,0)),$Y:$Y,0))-I1276,"")</f>
        <v/>
      </c>
      <c r="AA1276" s="168" t="str">
        <f t="array" ref="AA1276">iferror(index(J:J,match($A1276&amp;","&amp;index('Year Conversion'!$A:$A,match($C1276,'Year Conversion'!$B:$B,0)),$Y:$Y,0))-J1276,"")</f>
        <v/>
      </c>
      <c r="AB1276" s="168" t="str">
        <f t="array" ref="AB1276">iferror(index(K:K,match($A1276&amp;","&amp;index('Year Conversion'!$A:$A,match($C1276,'Year Conversion'!$B:$B,0)),$Y:$Y,0))-K1276,"")</f>
        <v/>
      </c>
      <c r="AC1276" s="168" t="str">
        <f t="shared" si="7"/>
        <v>LAC,2015-16</v>
      </c>
    </row>
    <row r="1277">
      <c r="A1277" s="161" t="str">
        <f>IFERROR(__xludf.DUMMYFUNCTION("""COMPUTED_VALUE"""),"bazemke01")</f>
        <v>bazemke01</v>
      </c>
      <c r="B1277" s="161" t="str">
        <f>IFERROR(__xludf.DUMMYFUNCTION("""COMPUTED_VALUE"""),"Kent Bazemore")</f>
        <v>Kent Bazemore</v>
      </c>
      <c r="C1277" s="162" t="str">
        <f>IFERROR(__xludf.DUMMYFUNCTION("""COMPUTED_VALUE"""),"2015-16")</f>
        <v>2015-16</v>
      </c>
      <c r="D1277" s="163" t="str">
        <f>IFERROR(__xludf.DUMMYFUNCTION("""COMPUTED_VALUE"""),"ATL")</f>
        <v>ATL</v>
      </c>
      <c r="E1277" s="164" t="str">
        <f>IFERROR(__xludf.DUMMYFUNCTION("""COMPUTED_VALUE"""),"Movement Shooter")</f>
        <v>Movement Shooter</v>
      </c>
      <c r="F1277" s="164">
        <f>IFERROR(__xludf.DUMMYFUNCTION("""COMPUTED_VALUE"""),2082.79666666667)</f>
        <v>2082.796667</v>
      </c>
      <c r="G1277" s="163">
        <f>IFERROR(__xludf.DUMMYFUNCTION("""COMPUTED_VALUE"""),75.0)</f>
        <v>75</v>
      </c>
      <c r="H1277" s="163" t="str">
        <f>IFERROR(__xludf.DUMMYFUNCTION("""COMPUTED_VALUE"""),"SF")</f>
        <v>SF</v>
      </c>
      <c r="I1277" s="163">
        <f>IFERROR(__xludf.DUMMYFUNCTION("""COMPUTED_VALUE"""),26.0)</f>
        <v>26</v>
      </c>
      <c r="J1277" s="165">
        <f>IFERROR(__xludf.DUMMYFUNCTION("""COMPUTED_VALUE"""),0.098005710994106)</f>
        <v>0.09800571099</v>
      </c>
      <c r="K1277" s="165">
        <f>IFERROR(__xludf.DUMMYFUNCTION("""COMPUTED_VALUE"""),-0.765927071916526)</f>
        <v>-0.7659270719</v>
      </c>
      <c r="L1277" s="165">
        <f>IFERROR(__xludf.DUMMYFUNCTION("""COMPUTED_VALUE"""),0.863932782910632)</f>
        <v>0.8639327829</v>
      </c>
      <c r="M1277" s="166">
        <f t="shared" si="2"/>
        <v>3.348596007</v>
      </c>
      <c r="N1277" s="167">
        <f t="shared" si="3"/>
        <v>27.77062222</v>
      </c>
      <c r="O1277" s="163">
        <f t="shared" ref="O1277:Q1277" si="1281">rank(I1277,I:I)</f>
        <v>1665</v>
      </c>
      <c r="P1277" s="163">
        <f t="shared" si="1281"/>
        <v>1191</v>
      </c>
      <c r="Q1277" s="163">
        <f t="shared" si="1281"/>
        <v>2510</v>
      </c>
      <c r="R1277" s="163">
        <f>IFERROR(__xludf.DUMMYFUNCTION("RANK(M1277,filter(M:M,C:C=C1277))"),108.0)</f>
        <v>108</v>
      </c>
      <c r="S1277" s="161" t="b">
        <f t="shared" si="5"/>
        <v>0</v>
      </c>
      <c r="T1277" s="161" t="b">
        <f t="array" ref="T1277">index('Query Tool'!B:B,match(H1277,'Query Tool'!C:C,0))</f>
        <v>1</v>
      </c>
      <c r="U1277" s="161" t="b">
        <f t="array" ref="U1277">index('Query Tool'!B:B,match(C1277,'Query Tool'!C:C,0))</f>
        <v>0</v>
      </c>
      <c r="V1277" s="161" t="b">
        <f>F1277&gt;='Query Tool'!C$32</f>
        <v>1</v>
      </c>
      <c r="W1277" s="161" t="b">
        <f t="array" ref="W1277">index(Dropdowns!B:B,match(I1277,Dropdowns!A:A,0))</f>
        <v>1</v>
      </c>
      <c r="X1277" s="161" t="b">
        <f t="array" ref="X1277">index('Query Tool'!B:B,match(D1277,'Query Tool'!C:C,0))</f>
        <v>1</v>
      </c>
      <c r="Y1277" s="161" t="str">
        <f t="shared" si="6"/>
        <v>bazemke01,2015-16</v>
      </c>
      <c r="Z1277" s="168">
        <f t="array" ref="Z1277">iferror(index(I:I,match($A1277&amp;","&amp;index('Year Conversion'!$A:$A,match($C1277,'Year Conversion'!$B:$B,0)),$Y:$Y,0))-I1277,"")</f>
        <v>1</v>
      </c>
      <c r="AA1277" s="168">
        <f t="array" ref="AA1277">iferror(index(J:J,match($A1277&amp;","&amp;index('Year Conversion'!$A:$A,match($C1277,'Year Conversion'!$B:$B,0)),$Y:$Y,0))-J1277,"")</f>
        <v>-0.2015836069</v>
      </c>
      <c r="AB1277" s="168">
        <f t="array" ref="AB1277">iferror(index(K:K,match($A1277&amp;","&amp;index('Year Conversion'!$A:$A,match($C1277,'Year Conversion'!$B:$B,0)),$Y:$Y,0))-K1277,"")</f>
        <v>-0.3079458302</v>
      </c>
      <c r="AC1277" s="168" t="str">
        <f t="shared" si="7"/>
        <v>ATL,2015-16</v>
      </c>
    </row>
    <row r="1278">
      <c r="A1278" s="161" t="str">
        <f>IFERROR(__xludf.DUMMYFUNCTION("""COMPUTED_VALUE"""),"roberbr01")</f>
        <v>roberbr01</v>
      </c>
      <c r="B1278" s="161" t="str">
        <f>IFERROR(__xludf.DUMMYFUNCTION("""COMPUTED_VALUE"""),"Brian Roberts")</f>
        <v>Brian Roberts</v>
      </c>
      <c r="C1278" s="162" t="str">
        <f>IFERROR(__xludf.DUMMYFUNCTION("""COMPUTED_VALUE"""),"2015-16")</f>
        <v>2015-16</v>
      </c>
      <c r="D1278" s="163" t="str">
        <f>IFERROR(__xludf.DUMMYFUNCTION("""COMPUTED_VALUE"""),"TOT")</f>
        <v>TOT</v>
      </c>
      <c r="E1278" s="164" t="str">
        <f>IFERROR(__xludf.DUMMYFUNCTION("""COMPUTED_VALUE"""),"Secondary Ball Handler")</f>
        <v>Secondary Ball Handler</v>
      </c>
      <c r="F1278" s="164">
        <f>IFERROR(__xludf.DUMMYFUNCTION("""COMPUTED_VALUE"""),470.146666666667)</f>
        <v>470.1466667</v>
      </c>
      <c r="G1278" s="163">
        <f>IFERROR(__xludf.DUMMYFUNCTION("""COMPUTED_VALUE"""),51.0)</f>
        <v>51</v>
      </c>
      <c r="H1278" s="163" t="str">
        <f>IFERROR(__xludf.DUMMYFUNCTION("""COMPUTED_VALUE"""),"PG")</f>
        <v>PG</v>
      </c>
      <c r="I1278" s="163">
        <f>IFERROR(__xludf.DUMMYFUNCTION("""COMPUTED_VALUE"""),30.0)</f>
        <v>30</v>
      </c>
      <c r="J1278" s="165">
        <f>IFERROR(__xludf.DUMMYFUNCTION("""COMPUTED_VALUE"""),-1.3930579230764)</f>
        <v>-1.393057923</v>
      </c>
      <c r="K1278" s="165">
        <f>IFERROR(__xludf.DUMMYFUNCTION("""COMPUTED_VALUE"""),-0.607325280655147)</f>
        <v>-0.6073252807</v>
      </c>
      <c r="L1278" s="165">
        <f>IFERROR(__xludf.DUMMYFUNCTION("""COMPUTED_VALUE"""),-0.785732642421256)</f>
        <v>-0.7857326424</v>
      </c>
      <c r="M1278" s="166">
        <f t="shared" si="2"/>
        <v>0.2844410679</v>
      </c>
      <c r="N1278" s="167">
        <f t="shared" si="3"/>
        <v>9.218562092</v>
      </c>
      <c r="O1278" s="163">
        <f t="shared" ref="O1278:Q1278" si="1282">rank(I1278,I:I)</f>
        <v>655</v>
      </c>
      <c r="P1278" s="163">
        <f t="shared" si="1282"/>
        <v>2941</v>
      </c>
      <c r="Q1278" s="163">
        <f t="shared" si="1282"/>
        <v>2272</v>
      </c>
      <c r="R1278" s="163">
        <f>IFERROR(__xludf.DUMMYFUNCTION("RANK(M1278,filter(M:M,C:C=C1278))"),315.0)</f>
        <v>315</v>
      </c>
      <c r="S1278" s="161" t="b">
        <f t="shared" si="5"/>
        <v>0</v>
      </c>
      <c r="T1278" s="161" t="b">
        <f t="array" ref="T1278">index('Query Tool'!B:B,match(H1278,'Query Tool'!C:C,0))</f>
        <v>1</v>
      </c>
      <c r="U1278" s="161" t="b">
        <f t="array" ref="U1278">index('Query Tool'!B:B,match(C1278,'Query Tool'!C:C,0))</f>
        <v>0</v>
      </c>
      <c r="V1278" s="161" t="b">
        <f>F1278&gt;='Query Tool'!C$32</f>
        <v>0</v>
      </c>
      <c r="W1278" s="161" t="b">
        <f t="array" ref="W1278">index(Dropdowns!B:B,match(I1278,Dropdowns!A:A,0))</f>
        <v>1</v>
      </c>
      <c r="X1278" s="161" t="b">
        <f t="array" ref="X1278">index('Query Tool'!B:B,match(D1278,'Query Tool'!C:C,0))</f>
        <v>1</v>
      </c>
      <c r="Y1278" s="161" t="str">
        <f t="shared" si="6"/>
        <v>roberbr01,2015-16</v>
      </c>
      <c r="Z1278" s="168">
        <f t="array" ref="Z1278">iferror(index(I:I,match($A1278&amp;","&amp;index('Year Conversion'!$A:$A,match($C1278,'Year Conversion'!$B:$B,0)),$Y:$Y,0))-I1278,"")</f>
        <v>1</v>
      </c>
      <c r="AA1278" s="168">
        <f t="array" ref="AA1278">iferror(index(J:J,match($A1278&amp;","&amp;index('Year Conversion'!$A:$A,match($C1278,'Year Conversion'!$B:$B,0)),$Y:$Y,0))-J1278,"")</f>
        <v>-0.7951664438</v>
      </c>
      <c r="AB1278" s="168">
        <f t="array" ref="AB1278">iferror(index(K:K,match($A1278&amp;","&amp;index('Year Conversion'!$A:$A,match($C1278,'Year Conversion'!$B:$B,0)),$Y:$Y,0))-K1278,"")</f>
        <v>-0.7847632641</v>
      </c>
      <c r="AC1278" s="168" t="str">
        <f t="shared" si="7"/>
        <v>TOT,2015-16</v>
      </c>
    </row>
    <row r="1279">
      <c r="A1279" s="161" t="str">
        <f>IFERROR(__xludf.DUMMYFUNCTION("""COMPUTED_VALUE"""),"simshe01")</f>
        <v>simshe01</v>
      </c>
      <c r="B1279" s="161" t="str">
        <f>IFERROR(__xludf.DUMMYFUNCTION("""COMPUTED_VALUE"""),"Henry Sims")</f>
        <v>Henry Sims</v>
      </c>
      <c r="C1279" s="162" t="str">
        <f>IFERROR(__xludf.DUMMYFUNCTION("""COMPUTED_VALUE"""),"2015-16")</f>
        <v>2015-16</v>
      </c>
      <c r="D1279" s="163" t="str">
        <f>IFERROR(__xludf.DUMMYFUNCTION("""COMPUTED_VALUE"""),"BRK")</f>
        <v>BRK</v>
      </c>
      <c r="E1279" s="164" t="str">
        <f>IFERROR(__xludf.DUMMYFUNCTION("""COMPUTED_VALUE"""),"Post Scorer")</f>
        <v>Post Scorer</v>
      </c>
      <c r="F1279" s="164">
        <f>IFERROR(__xludf.DUMMYFUNCTION("""COMPUTED_VALUE"""),262.871666666666)</f>
        <v>262.8716667</v>
      </c>
      <c r="G1279" s="163">
        <f>IFERROR(__xludf.DUMMYFUNCTION("""COMPUTED_VALUE"""),14.0)</f>
        <v>14</v>
      </c>
      <c r="H1279" s="163" t="str">
        <f>IFERROR(__xludf.DUMMYFUNCTION("""COMPUTED_VALUE"""),"C")</f>
        <v>C</v>
      </c>
      <c r="I1279" s="163">
        <f>IFERROR(__xludf.DUMMYFUNCTION("""COMPUTED_VALUE"""),25.0)</f>
        <v>25</v>
      </c>
      <c r="J1279" s="165">
        <f>IFERROR(__xludf.DUMMYFUNCTION("""COMPUTED_VALUE"""),-0.782439145279492)</f>
        <v>-0.7824391453</v>
      </c>
      <c r="K1279" s="165">
        <f>IFERROR(__xludf.DUMMYFUNCTION("""COMPUTED_VALUE"""),-1.13027792848713)</f>
        <v>-1.130277928</v>
      </c>
      <c r="L1279" s="165">
        <f>IFERROR(__xludf.DUMMYFUNCTION("""COMPUTED_VALUE"""),0.347838783207636)</f>
        <v>0.3478387832</v>
      </c>
      <c r="M1279" s="166">
        <f t="shared" si="2"/>
        <v>0.2667102085</v>
      </c>
      <c r="N1279" s="167">
        <f t="shared" si="3"/>
        <v>18.77654762</v>
      </c>
      <c r="O1279" s="163">
        <f t="shared" ref="O1279:Q1279" si="1283">rank(I1279,I:I)</f>
        <v>1995</v>
      </c>
      <c r="P1279" s="163">
        <f t="shared" si="1283"/>
        <v>2249</v>
      </c>
      <c r="Q1279" s="163">
        <f t="shared" si="1283"/>
        <v>2959</v>
      </c>
      <c r="R1279" s="163">
        <f>IFERROR(__xludf.DUMMYFUNCTION("RANK(M1279,filter(M:M,C:C=C1279))"),324.0)</f>
        <v>324</v>
      </c>
      <c r="S1279" s="161" t="b">
        <f t="shared" si="5"/>
        <v>0</v>
      </c>
      <c r="T1279" s="161" t="b">
        <f t="array" ref="T1279">index('Query Tool'!B:B,match(H1279,'Query Tool'!C:C,0))</f>
        <v>1</v>
      </c>
      <c r="U1279" s="161" t="b">
        <f t="array" ref="U1279">index('Query Tool'!B:B,match(C1279,'Query Tool'!C:C,0))</f>
        <v>0</v>
      </c>
      <c r="V1279" s="161" t="b">
        <f>F1279&gt;='Query Tool'!C$32</f>
        <v>0</v>
      </c>
      <c r="W1279" s="161" t="b">
        <f t="array" ref="W1279">index(Dropdowns!B:B,match(I1279,Dropdowns!A:A,0))</f>
        <v>1</v>
      </c>
      <c r="X1279" s="161" t="b">
        <f t="array" ref="X1279">index('Query Tool'!B:B,match(D1279,'Query Tool'!C:C,0))</f>
        <v>1</v>
      </c>
      <c r="Y1279" s="161" t="str">
        <f t="shared" si="6"/>
        <v>simshe01,2015-16</v>
      </c>
      <c r="Z1279" s="168" t="str">
        <f t="array" ref="Z1279">iferror(index(I:I,match($A1279&amp;","&amp;index('Year Conversion'!$A:$A,match($C1279,'Year Conversion'!$B:$B,0)),$Y:$Y,0))-I1279,"")</f>
        <v/>
      </c>
      <c r="AA1279" s="168" t="str">
        <f t="array" ref="AA1279">iferror(index(J:J,match($A1279&amp;","&amp;index('Year Conversion'!$A:$A,match($C1279,'Year Conversion'!$B:$B,0)),$Y:$Y,0))-J1279,"")</f>
        <v/>
      </c>
      <c r="AB1279" s="168" t="str">
        <f t="array" ref="AB1279">iferror(index(K:K,match($A1279&amp;","&amp;index('Year Conversion'!$A:$A,match($C1279,'Year Conversion'!$B:$B,0)),$Y:$Y,0))-K1279,"")</f>
        <v/>
      </c>
      <c r="AC1279" s="168" t="str">
        <f t="shared" si="7"/>
        <v>BRK,2015-16</v>
      </c>
    </row>
    <row r="1280">
      <c r="A1280" s="161" t="str">
        <f>IFERROR(__xludf.DUMMYFUNCTION("""COMPUTED_VALUE"""),"reedwi02")</f>
        <v>reedwi02</v>
      </c>
      <c r="B1280" s="161" t="str">
        <f>IFERROR(__xludf.DUMMYFUNCTION("""COMPUTED_VALUE"""),"Willie Reed")</f>
        <v>Willie Reed</v>
      </c>
      <c r="C1280" s="162" t="str">
        <f>IFERROR(__xludf.DUMMYFUNCTION("""COMPUTED_VALUE"""),"2015-16")</f>
        <v>2015-16</v>
      </c>
      <c r="D1280" s="163" t="str">
        <f>IFERROR(__xludf.DUMMYFUNCTION("""COMPUTED_VALUE"""),"BRK")</f>
        <v>BRK</v>
      </c>
      <c r="E1280" s="164" t="str">
        <f>IFERROR(__xludf.DUMMYFUNCTION("""COMPUTED_VALUE"""),"Roll + Cut Big")</f>
        <v>Roll + Cut Big</v>
      </c>
      <c r="F1280" s="164">
        <f>IFERROR(__xludf.DUMMYFUNCTION("""COMPUTED_VALUE"""),425.633333333333)</f>
        <v>425.6333333</v>
      </c>
      <c r="G1280" s="163">
        <f>IFERROR(__xludf.DUMMYFUNCTION("""COMPUTED_VALUE"""),39.0)</f>
        <v>39</v>
      </c>
      <c r="H1280" s="163" t="str">
        <f>IFERROR(__xludf.DUMMYFUNCTION("""COMPUTED_VALUE"""),"C")</f>
        <v>C</v>
      </c>
      <c r="I1280" s="163">
        <f>IFERROR(__xludf.DUMMYFUNCTION("""COMPUTED_VALUE"""),25.0)</f>
        <v>25</v>
      </c>
      <c r="J1280" s="165">
        <f>IFERROR(__xludf.DUMMYFUNCTION("""COMPUTED_VALUE"""),0.1580364536519)</f>
        <v>0.1580364537</v>
      </c>
      <c r="K1280" s="165">
        <f>IFERROR(__xludf.DUMMYFUNCTION("""COMPUTED_VALUE"""),-0.690487777796545)</f>
        <v>-0.6904877778</v>
      </c>
      <c r="L1280" s="165">
        <f>IFERROR(__xludf.DUMMYFUNCTION("""COMPUTED_VALUE"""),0.848524231448445)</f>
        <v>0.8485242314</v>
      </c>
      <c r="M1280" s="166">
        <f t="shared" si="2"/>
        <v>0.7015329195</v>
      </c>
      <c r="N1280" s="167">
        <f t="shared" si="3"/>
        <v>10.91367521</v>
      </c>
      <c r="O1280" s="163">
        <f t="shared" ref="O1280:Q1280" si="1284">rank(I1280,I:I)</f>
        <v>1995</v>
      </c>
      <c r="P1280" s="163">
        <f t="shared" si="1284"/>
        <v>1120</v>
      </c>
      <c r="Q1280" s="163">
        <f t="shared" si="1284"/>
        <v>2401</v>
      </c>
      <c r="R1280" s="163">
        <f>IFERROR(__xludf.DUMMYFUNCTION("RANK(M1280,filter(M:M,C:C=C1280))"),255.0)</f>
        <v>255</v>
      </c>
      <c r="S1280" s="161" t="b">
        <f t="shared" si="5"/>
        <v>0</v>
      </c>
      <c r="T1280" s="161" t="b">
        <f t="array" ref="T1280">index('Query Tool'!B:B,match(H1280,'Query Tool'!C:C,0))</f>
        <v>1</v>
      </c>
      <c r="U1280" s="161" t="b">
        <f t="array" ref="U1280">index('Query Tool'!B:B,match(C1280,'Query Tool'!C:C,0))</f>
        <v>0</v>
      </c>
      <c r="V1280" s="161" t="b">
        <f>F1280&gt;='Query Tool'!C$32</f>
        <v>0</v>
      </c>
      <c r="W1280" s="161" t="b">
        <f t="array" ref="W1280">index(Dropdowns!B:B,match(I1280,Dropdowns!A:A,0))</f>
        <v>1</v>
      </c>
      <c r="X1280" s="161" t="b">
        <f t="array" ref="X1280">index('Query Tool'!B:B,match(D1280,'Query Tool'!C:C,0))</f>
        <v>1</v>
      </c>
      <c r="Y1280" s="161" t="str">
        <f t="shared" si="6"/>
        <v>reedwi02,2015-16</v>
      </c>
      <c r="Z1280" s="168">
        <f t="array" ref="Z1280">iferror(index(I:I,match($A1280&amp;","&amp;index('Year Conversion'!$A:$A,match($C1280,'Year Conversion'!$B:$B,0)),$Y:$Y,0))-I1280,"")</f>
        <v>1</v>
      </c>
      <c r="AA1280" s="168">
        <f t="array" ref="AA1280">iferror(index(J:J,match($A1280&amp;","&amp;index('Year Conversion'!$A:$A,match($C1280,'Year Conversion'!$B:$B,0)),$Y:$Y,0))-J1280,"")</f>
        <v>0.0555477283</v>
      </c>
      <c r="AB1280" s="168">
        <f t="array" ref="AB1280">iferror(index(K:K,match($A1280&amp;","&amp;index('Year Conversion'!$A:$A,match($C1280,'Year Conversion'!$B:$B,0)),$Y:$Y,0))-K1280,"")</f>
        <v>-0.1840036998</v>
      </c>
      <c r="AC1280" s="168" t="str">
        <f t="shared" si="7"/>
        <v>BRK,2015-16</v>
      </c>
    </row>
    <row r="1281">
      <c r="A1281" s="161" t="str">
        <f>IFERROR(__xludf.DUMMYFUNCTION("""COMPUTED_VALUE"""),"johnsch04")</f>
        <v>johnsch04</v>
      </c>
      <c r="B1281" s="161" t="str">
        <f>IFERROR(__xludf.DUMMYFUNCTION("""COMPUTED_VALUE"""),"Chris Johnson")</f>
        <v>Chris Johnson</v>
      </c>
      <c r="C1281" s="162" t="str">
        <f>IFERROR(__xludf.DUMMYFUNCTION("""COMPUTED_VALUE"""),"2015-16")</f>
        <v>2015-16</v>
      </c>
      <c r="D1281" s="163" t="str">
        <f>IFERROR(__xludf.DUMMYFUNCTION("""COMPUTED_VALUE"""),"UTA")</f>
        <v>UTA</v>
      </c>
      <c r="E1281" s="164" t="str">
        <f>IFERROR(__xludf.DUMMYFUNCTION("""COMPUTED_VALUE"""),"Stationary Shooter")</f>
        <v>Stationary Shooter</v>
      </c>
      <c r="F1281" s="164">
        <f>IFERROR(__xludf.DUMMYFUNCTION("""COMPUTED_VALUE"""),856.855)</f>
        <v>856.855</v>
      </c>
      <c r="G1281" s="163">
        <f>IFERROR(__xludf.DUMMYFUNCTION("""COMPUTED_VALUE"""),70.0)</f>
        <v>70</v>
      </c>
      <c r="H1281" s="163" t="str">
        <f>IFERROR(__xludf.DUMMYFUNCTION("""COMPUTED_VALUE"""),"SF")</f>
        <v>SF</v>
      </c>
      <c r="I1281" s="163">
        <f>IFERROR(__xludf.DUMMYFUNCTION("""COMPUTED_VALUE"""),25.0)</f>
        <v>25</v>
      </c>
      <c r="J1281" s="165">
        <f>IFERROR(__xludf.DUMMYFUNCTION("""COMPUTED_VALUE"""),-0.0399674868005033)</f>
        <v>-0.0399674868</v>
      </c>
      <c r="K1281" s="165">
        <f>IFERROR(__xludf.DUMMYFUNCTION("""COMPUTED_VALUE"""),-0.887366208621397)</f>
        <v>-0.8873662086</v>
      </c>
      <c r="L1281" s="165">
        <f>IFERROR(__xludf.DUMMYFUNCTION("""COMPUTED_VALUE"""),0.847398721820894)</f>
        <v>0.8473987218</v>
      </c>
      <c r="M1281" s="166">
        <f t="shared" si="2"/>
        <v>1.297896309</v>
      </c>
      <c r="N1281" s="167">
        <f t="shared" si="3"/>
        <v>12.24078571</v>
      </c>
      <c r="O1281" s="163">
        <f t="shared" ref="O1281:Q1281" si="1285">rank(I1281,I:I)</f>
        <v>1995</v>
      </c>
      <c r="P1281" s="163">
        <f t="shared" si="1285"/>
        <v>1325</v>
      </c>
      <c r="Q1281" s="163">
        <f t="shared" si="1285"/>
        <v>2679</v>
      </c>
      <c r="R1281" s="163">
        <f>IFERROR(__xludf.DUMMYFUNCTION("RANK(M1281,filter(M:M,C:C=C1281))"),200.0)</f>
        <v>200</v>
      </c>
      <c r="S1281" s="161" t="b">
        <f t="shared" si="5"/>
        <v>0</v>
      </c>
      <c r="T1281" s="161" t="b">
        <f t="array" ref="T1281">index('Query Tool'!B:B,match(H1281,'Query Tool'!C:C,0))</f>
        <v>1</v>
      </c>
      <c r="U1281" s="161" t="b">
        <f t="array" ref="U1281">index('Query Tool'!B:B,match(C1281,'Query Tool'!C:C,0))</f>
        <v>0</v>
      </c>
      <c r="V1281" s="161" t="b">
        <f>F1281&gt;='Query Tool'!C$32</f>
        <v>1</v>
      </c>
      <c r="W1281" s="161" t="b">
        <f t="array" ref="W1281">index(Dropdowns!B:B,match(I1281,Dropdowns!A:A,0))</f>
        <v>1</v>
      </c>
      <c r="X1281" s="161" t="b">
        <f t="array" ref="X1281">index('Query Tool'!B:B,match(D1281,'Query Tool'!C:C,0))</f>
        <v>1</v>
      </c>
      <c r="Y1281" s="161" t="str">
        <f t="shared" si="6"/>
        <v>johnsch04,2015-16</v>
      </c>
      <c r="Z1281" s="168" t="str">
        <f t="array" ref="Z1281">iferror(index(I:I,match($A1281&amp;","&amp;index('Year Conversion'!$A:$A,match($C1281,'Year Conversion'!$B:$B,0)),$Y:$Y,0))-I1281,"")</f>
        <v/>
      </c>
      <c r="AA1281" s="168" t="str">
        <f t="array" ref="AA1281">iferror(index(J:J,match($A1281&amp;","&amp;index('Year Conversion'!$A:$A,match($C1281,'Year Conversion'!$B:$B,0)),$Y:$Y,0))-J1281,"")</f>
        <v/>
      </c>
      <c r="AB1281" s="168" t="str">
        <f t="array" ref="AB1281">iferror(index(K:K,match($A1281&amp;","&amp;index('Year Conversion'!$A:$A,match($C1281,'Year Conversion'!$B:$B,0)),$Y:$Y,0))-K1281,"")</f>
        <v/>
      </c>
      <c r="AC1281" s="168" t="str">
        <f t="shared" si="7"/>
        <v>UTA,2015-16</v>
      </c>
    </row>
    <row r="1282">
      <c r="A1282" s="161" t="str">
        <f>IFERROR(__xludf.DUMMYFUNCTION("""COMPUTED_VALUE"""),"holidju01")</f>
        <v>holidju01</v>
      </c>
      <c r="B1282" s="161" t="str">
        <f>IFERROR(__xludf.DUMMYFUNCTION("""COMPUTED_VALUE"""),"Justin Holiday")</f>
        <v>Justin Holiday</v>
      </c>
      <c r="C1282" s="162" t="str">
        <f>IFERROR(__xludf.DUMMYFUNCTION("""COMPUTED_VALUE"""),"2015-16")</f>
        <v>2015-16</v>
      </c>
      <c r="D1282" s="163" t="str">
        <f>IFERROR(__xludf.DUMMYFUNCTION("""COMPUTED_VALUE"""),"TOT")</f>
        <v>TOT</v>
      </c>
      <c r="E1282" s="164" t="str">
        <f>IFERROR(__xludf.DUMMYFUNCTION("""COMPUTED_VALUE"""),"Movement Shooter")</f>
        <v>Movement Shooter</v>
      </c>
      <c r="F1282" s="164">
        <f>IFERROR(__xludf.DUMMYFUNCTION("""COMPUTED_VALUE"""),772.586666666667)</f>
        <v>772.5866667</v>
      </c>
      <c r="G1282" s="163">
        <f>IFERROR(__xludf.DUMMYFUNCTION("""COMPUTED_VALUE"""),53.0)</f>
        <v>53</v>
      </c>
      <c r="H1282" s="163" t="str">
        <f>IFERROR(__xludf.DUMMYFUNCTION("""COMPUTED_VALUE"""),"SG")</f>
        <v>SG</v>
      </c>
      <c r="I1282" s="163">
        <f>IFERROR(__xludf.DUMMYFUNCTION("""COMPUTED_VALUE"""),26.0)</f>
        <v>26</v>
      </c>
      <c r="J1282" s="165">
        <f>IFERROR(__xludf.DUMMYFUNCTION("""COMPUTED_VALUE"""),-1.11480905885777)</f>
        <v>-1.114809059</v>
      </c>
      <c r="K1282" s="165">
        <f>IFERROR(__xludf.DUMMYFUNCTION("""COMPUTED_VALUE"""),-1.13790748695987)</f>
        <v>-1.137907487</v>
      </c>
      <c r="L1282" s="165">
        <f>IFERROR(__xludf.DUMMYFUNCTION("""COMPUTED_VALUE"""),0.0230984281021057)</f>
        <v>0.0230984281</v>
      </c>
      <c r="M1282" s="166">
        <f t="shared" si="2"/>
        <v>0.6114008903</v>
      </c>
      <c r="N1282" s="167">
        <f t="shared" si="3"/>
        <v>14.57710692</v>
      </c>
      <c r="O1282" s="163">
        <f t="shared" ref="O1282:Q1282" si="1286">rank(I1282,I:I)</f>
        <v>1665</v>
      </c>
      <c r="P1282" s="163">
        <f t="shared" si="1286"/>
        <v>2637</v>
      </c>
      <c r="Q1282" s="163">
        <f t="shared" si="1286"/>
        <v>2971</v>
      </c>
      <c r="R1282" s="163">
        <f>IFERROR(__xludf.DUMMYFUNCTION("RANK(M1282,filter(M:M,C:C=C1282))"),270.0)</f>
        <v>270</v>
      </c>
      <c r="S1282" s="161" t="b">
        <f t="shared" si="5"/>
        <v>0</v>
      </c>
      <c r="T1282" s="161" t="b">
        <f t="array" ref="T1282">index('Query Tool'!B:B,match(H1282,'Query Tool'!C:C,0))</f>
        <v>1</v>
      </c>
      <c r="U1282" s="161" t="b">
        <f t="array" ref="U1282">index('Query Tool'!B:B,match(C1282,'Query Tool'!C:C,0))</f>
        <v>0</v>
      </c>
      <c r="V1282" s="161" t="b">
        <f>F1282&gt;='Query Tool'!C$32</f>
        <v>1</v>
      </c>
      <c r="W1282" s="161" t="b">
        <f t="array" ref="W1282">index(Dropdowns!B:B,match(I1282,Dropdowns!A:A,0))</f>
        <v>1</v>
      </c>
      <c r="X1282" s="161" t="b">
        <f t="array" ref="X1282">index('Query Tool'!B:B,match(D1282,'Query Tool'!C:C,0))</f>
        <v>1</v>
      </c>
      <c r="Y1282" s="161" t="str">
        <f t="shared" si="6"/>
        <v>holidju01,2015-16</v>
      </c>
      <c r="Z1282" s="168">
        <f t="array" ref="Z1282">iferror(index(I:I,match($A1282&amp;","&amp;index('Year Conversion'!$A:$A,match($C1282,'Year Conversion'!$B:$B,0)),$Y:$Y,0))-I1282,"")</f>
        <v>1</v>
      </c>
      <c r="AA1282" s="168">
        <f t="array" ref="AA1282">iferror(index(J:J,match($A1282&amp;","&amp;index('Year Conversion'!$A:$A,match($C1282,'Year Conversion'!$B:$B,0)),$Y:$Y,0))-J1282,"")</f>
        <v>0.74215827</v>
      </c>
      <c r="AB1282" s="168">
        <f t="array" ref="AB1282">iferror(index(K:K,match($A1282&amp;","&amp;index('Year Conversion'!$A:$A,match($C1282,'Year Conversion'!$B:$B,0)),$Y:$Y,0))-K1282,"")</f>
        <v>0.6898142144</v>
      </c>
      <c r="AC1282" s="168" t="str">
        <f t="shared" si="7"/>
        <v>TOT,2015-16</v>
      </c>
    </row>
    <row r="1283">
      <c r="A1283" s="161" t="str">
        <f>IFERROR(__xludf.DUMMYFUNCTION("""COMPUTED_VALUE"""),"greenja01")</f>
        <v>greenja01</v>
      </c>
      <c r="B1283" s="161" t="str">
        <f>IFERROR(__xludf.DUMMYFUNCTION("""COMPUTED_VALUE"""),"JaMychal Green")</f>
        <v>JaMychal Green</v>
      </c>
      <c r="C1283" s="162" t="str">
        <f>IFERROR(__xludf.DUMMYFUNCTION("""COMPUTED_VALUE"""),"2015-16")</f>
        <v>2015-16</v>
      </c>
      <c r="D1283" s="163" t="str">
        <f>IFERROR(__xludf.DUMMYFUNCTION("""COMPUTED_VALUE"""),"MEM")</f>
        <v>MEM</v>
      </c>
      <c r="E1283" s="164" t="str">
        <f>IFERROR(__xludf.DUMMYFUNCTION("""COMPUTED_VALUE"""),"Roll + Cut Big")</f>
        <v>Roll + Cut Big</v>
      </c>
      <c r="F1283" s="164">
        <f>IFERROR(__xludf.DUMMYFUNCTION("""COMPUTED_VALUE"""),1446.12)</f>
        <v>1446.12</v>
      </c>
      <c r="G1283" s="163">
        <f>IFERROR(__xludf.DUMMYFUNCTION("""COMPUTED_VALUE"""),78.0)</f>
        <v>78</v>
      </c>
      <c r="H1283" s="163" t="str">
        <f>IFERROR(__xludf.DUMMYFUNCTION("""COMPUTED_VALUE"""),"PF")</f>
        <v>PF</v>
      </c>
      <c r="I1283" s="163">
        <f>IFERROR(__xludf.DUMMYFUNCTION("""COMPUTED_VALUE"""),25.0)</f>
        <v>25</v>
      </c>
      <c r="J1283" s="165">
        <f>IFERROR(__xludf.DUMMYFUNCTION("""COMPUTED_VALUE"""),-0.226971678419613)</f>
        <v>-0.2269716784</v>
      </c>
      <c r="K1283" s="165">
        <f>IFERROR(__xludf.DUMMYFUNCTION("""COMPUTED_VALUE"""),-0.637141870368907)</f>
        <v>-0.6371418704</v>
      </c>
      <c r="L1283" s="165">
        <f>IFERROR(__xludf.DUMMYFUNCTION("""COMPUTED_VALUE"""),0.410170191949294)</f>
        <v>0.4101701919</v>
      </c>
      <c r="M1283" s="166">
        <f t="shared" si="2"/>
        <v>2.008162669</v>
      </c>
      <c r="N1283" s="167">
        <f t="shared" si="3"/>
        <v>18.54</v>
      </c>
      <c r="O1283" s="163">
        <f t="shared" ref="O1283:Q1283" si="1287">rank(I1283,I:I)</f>
        <v>1995</v>
      </c>
      <c r="P1283" s="163">
        <f t="shared" si="1287"/>
        <v>1532</v>
      </c>
      <c r="Q1283" s="163">
        <f t="shared" si="1287"/>
        <v>2317</v>
      </c>
      <c r="R1283" s="163">
        <f>IFERROR(__xludf.DUMMYFUNCTION("RANK(M1283,filter(M:M,C:C=C1283))"),156.0)</f>
        <v>156</v>
      </c>
      <c r="S1283" s="161" t="b">
        <f t="shared" si="5"/>
        <v>0</v>
      </c>
      <c r="T1283" s="161" t="b">
        <f t="array" ref="T1283">index('Query Tool'!B:B,match(H1283,'Query Tool'!C:C,0))</f>
        <v>1</v>
      </c>
      <c r="U1283" s="161" t="b">
        <f t="array" ref="U1283">index('Query Tool'!B:B,match(C1283,'Query Tool'!C:C,0))</f>
        <v>0</v>
      </c>
      <c r="V1283" s="161" t="b">
        <f>F1283&gt;='Query Tool'!C$32</f>
        <v>1</v>
      </c>
      <c r="W1283" s="161" t="b">
        <f t="array" ref="W1283">index(Dropdowns!B:B,match(I1283,Dropdowns!A:A,0))</f>
        <v>1</v>
      </c>
      <c r="X1283" s="161" t="b">
        <f t="array" ref="X1283">index('Query Tool'!B:B,match(D1283,'Query Tool'!C:C,0))</f>
        <v>1</v>
      </c>
      <c r="Y1283" s="161" t="str">
        <f t="shared" si="6"/>
        <v>greenja01,2015-16</v>
      </c>
      <c r="Z1283" s="168">
        <f t="array" ref="Z1283">iferror(index(I:I,match($A1283&amp;","&amp;index('Year Conversion'!$A:$A,match($C1283,'Year Conversion'!$B:$B,0)),$Y:$Y,0))-I1283,"")</f>
        <v>1</v>
      </c>
      <c r="AA1283" s="168">
        <f t="array" ref="AA1283">iferror(index(J:J,match($A1283&amp;","&amp;index('Year Conversion'!$A:$A,match($C1283,'Year Conversion'!$B:$B,0)),$Y:$Y,0))-J1283,"")</f>
        <v>-0.6382591319</v>
      </c>
      <c r="AB1283" s="168">
        <f t="array" ref="AB1283">iferror(index(K:K,match($A1283&amp;","&amp;index('Year Conversion'!$A:$A,match($C1283,'Year Conversion'!$B:$B,0)),$Y:$Y,0))-K1283,"")</f>
        <v>-1.302765622</v>
      </c>
      <c r="AC1283" s="168" t="str">
        <f t="shared" si="7"/>
        <v>MEM,2015-16</v>
      </c>
    </row>
    <row r="1284">
      <c r="A1284" s="161" t="str">
        <f>IFERROR(__xludf.DUMMYFUNCTION("""COMPUTED_VALUE"""),"gutiejo01")</f>
        <v>gutiejo01</v>
      </c>
      <c r="B1284" s="161" t="str">
        <f>IFERROR(__xludf.DUMMYFUNCTION("""COMPUTED_VALUE"""),"Jorge Gutierrez")</f>
        <v>Jorge Gutierrez</v>
      </c>
      <c r="C1284" s="162" t="str">
        <f>IFERROR(__xludf.DUMMYFUNCTION("""COMPUTED_VALUE"""),"2015-16")</f>
        <v>2015-16</v>
      </c>
      <c r="D1284" s="163" t="str">
        <f>IFERROR(__xludf.DUMMYFUNCTION("""COMPUTED_VALUE"""),"CHO")</f>
        <v>CHO</v>
      </c>
      <c r="E1284" s="164" t="str">
        <f>IFERROR(__xludf.DUMMYFUNCTION("""COMPUTED_VALUE"""),"Secondary Ball Handler")</f>
        <v>Secondary Ball Handler</v>
      </c>
      <c r="F1284" s="164">
        <f>IFERROR(__xludf.DUMMYFUNCTION("""COMPUTED_VALUE"""),63.3000000000001)</f>
        <v>63.3</v>
      </c>
      <c r="G1284" s="163">
        <f>IFERROR(__xludf.DUMMYFUNCTION("""COMPUTED_VALUE"""),12.0)</f>
        <v>12</v>
      </c>
      <c r="H1284" s="163" t="str">
        <f>IFERROR(__xludf.DUMMYFUNCTION("""COMPUTED_VALUE"""),"PG")</f>
        <v>PG</v>
      </c>
      <c r="I1284" s="163">
        <f>IFERROR(__xludf.DUMMYFUNCTION("""COMPUTED_VALUE"""),27.0)</f>
        <v>27</v>
      </c>
      <c r="J1284" s="165">
        <f>IFERROR(__xludf.DUMMYFUNCTION("""COMPUTED_VALUE"""),-0.595150396072504)</f>
        <v>-0.5951503961</v>
      </c>
      <c r="K1284" s="165">
        <f>IFERROR(__xludf.DUMMYFUNCTION("""COMPUTED_VALUE"""),-0.205942002013382)</f>
        <v>-0.205942002</v>
      </c>
      <c r="L1284" s="165">
        <f>IFERROR(__xludf.DUMMYFUNCTION("""COMPUTED_VALUE"""),-0.389208394059122)</f>
        <v>-0.3892083941</v>
      </c>
      <c r="M1284" s="166">
        <f t="shared" si="2"/>
        <v>0.07220122374</v>
      </c>
      <c r="N1284" s="167">
        <f t="shared" si="3"/>
        <v>5.275</v>
      </c>
      <c r="O1284" s="163">
        <f t="shared" ref="O1284:Q1284" si="1288">rank(I1284,I:I)</f>
        <v>1366</v>
      </c>
      <c r="P1284" s="163">
        <f t="shared" si="1288"/>
        <v>1987</v>
      </c>
      <c r="Q1284" s="163">
        <f t="shared" si="1288"/>
        <v>1571</v>
      </c>
      <c r="R1284" s="163">
        <f>IFERROR(__xludf.DUMMYFUNCTION("RANK(M1284,filter(M:M,C:C=C1284))"),387.0)</f>
        <v>387</v>
      </c>
      <c r="S1284" s="161" t="b">
        <f t="shared" si="5"/>
        <v>0</v>
      </c>
      <c r="T1284" s="161" t="b">
        <f t="array" ref="T1284">index('Query Tool'!B:B,match(H1284,'Query Tool'!C:C,0))</f>
        <v>1</v>
      </c>
      <c r="U1284" s="161" t="b">
        <f t="array" ref="U1284">index('Query Tool'!B:B,match(C1284,'Query Tool'!C:C,0))</f>
        <v>0</v>
      </c>
      <c r="V1284" s="161" t="b">
        <f>F1284&gt;='Query Tool'!C$32</f>
        <v>0</v>
      </c>
      <c r="W1284" s="161" t="b">
        <f t="array" ref="W1284">index(Dropdowns!B:B,match(I1284,Dropdowns!A:A,0))</f>
        <v>1</v>
      </c>
      <c r="X1284" s="161" t="b">
        <f t="array" ref="X1284">index('Query Tool'!B:B,match(D1284,'Query Tool'!C:C,0))</f>
        <v>1</v>
      </c>
      <c r="Y1284" s="161" t="str">
        <f t="shared" si="6"/>
        <v>gutiejo01,2015-16</v>
      </c>
      <c r="Z1284" s="168" t="str">
        <f t="array" ref="Z1284">iferror(index(I:I,match($A1284&amp;","&amp;index('Year Conversion'!$A:$A,match($C1284,'Year Conversion'!$B:$B,0)),$Y:$Y,0))-I1284,"")</f>
        <v/>
      </c>
      <c r="AA1284" s="168" t="str">
        <f t="array" ref="AA1284">iferror(index(J:J,match($A1284&amp;","&amp;index('Year Conversion'!$A:$A,match($C1284,'Year Conversion'!$B:$B,0)),$Y:$Y,0))-J1284,"")</f>
        <v/>
      </c>
      <c r="AB1284" s="168" t="str">
        <f t="array" ref="AB1284">iferror(index(K:K,match($A1284&amp;","&amp;index('Year Conversion'!$A:$A,match($C1284,'Year Conversion'!$B:$B,0)),$Y:$Y,0))-K1284,"")</f>
        <v/>
      </c>
      <c r="AC1284" s="168" t="str">
        <f t="shared" si="7"/>
        <v>CHO,2015-16</v>
      </c>
    </row>
    <row r="1285">
      <c r="A1285" s="161" t="str">
        <f>IFERROR(__xludf.DUMMYFUNCTION("""COMPUTED_VALUE"""),"baynear01")</f>
        <v>baynear01</v>
      </c>
      <c r="B1285" s="161" t="str">
        <f>IFERROR(__xludf.DUMMYFUNCTION("""COMPUTED_VALUE"""),"Aron Baynes")</f>
        <v>Aron Baynes</v>
      </c>
      <c r="C1285" s="162" t="str">
        <f>IFERROR(__xludf.DUMMYFUNCTION("""COMPUTED_VALUE"""),"2015-16")</f>
        <v>2015-16</v>
      </c>
      <c r="D1285" s="163" t="str">
        <f>IFERROR(__xludf.DUMMYFUNCTION("""COMPUTED_VALUE"""),"DET")</f>
        <v>DET</v>
      </c>
      <c r="E1285" s="164" t="str">
        <f>IFERROR(__xludf.DUMMYFUNCTION("""COMPUTED_VALUE"""),"Post Scorer")</f>
        <v>Post Scorer</v>
      </c>
      <c r="F1285" s="164">
        <f>IFERROR(__xludf.DUMMYFUNCTION("""COMPUTED_VALUE"""),1232.94666666667)</f>
        <v>1232.946667</v>
      </c>
      <c r="G1285" s="163">
        <f>IFERROR(__xludf.DUMMYFUNCTION("""COMPUTED_VALUE"""),81.0)</f>
        <v>81</v>
      </c>
      <c r="H1285" s="163" t="str">
        <f>IFERROR(__xludf.DUMMYFUNCTION("""COMPUTED_VALUE"""),"C")</f>
        <v>C</v>
      </c>
      <c r="I1285" s="163">
        <f>IFERROR(__xludf.DUMMYFUNCTION("""COMPUTED_VALUE"""),29.0)</f>
        <v>29</v>
      </c>
      <c r="J1285" s="165">
        <f>IFERROR(__xludf.DUMMYFUNCTION("""COMPUTED_VALUE"""),-0.282239037284106)</f>
        <v>-0.2822390373</v>
      </c>
      <c r="K1285" s="165">
        <f>IFERROR(__xludf.DUMMYFUNCTION("""COMPUTED_VALUE"""),-1.11728230331086)</f>
        <v>-1.117282303</v>
      </c>
      <c r="L1285" s="165">
        <f>IFERROR(__xludf.DUMMYFUNCTION("""COMPUTED_VALUE"""),0.835043266026753)</f>
        <v>0.835043266</v>
      </c>
      <c r="M1285" s="166">
        <f t="shared" si="2"/>
        <v>1.666210335</v>
      </c>
      <c r="N1285" s="167">
        <f t="shared" si="3"/>
        <v>15.22156379</v>
      </c>
      <c r="O1285" s="163">
        <f t="shared" ref="O1285:Q1285" si="1289">rank(I1285,I:I)</f>
        <v>855</v>
      </c>
      <c r="P1285" s="163">
        <f t="shared" si="1289"/>
        <v>1592</v>
      </c>
      <c r="Q1285" s="163">
        <f t="shared" si="1289"/>
        <v>2945</v>
      </c>
      <c r="R1285" s="163">
        <f>IFERROR(__xludf.DUMMYFUNCTION("RANK(M1285,filter(M:M,C:C=C1285))"),176.0)</f>
        <v>176</v>
      </c>
      <c r="S1285" s="161" t="b">
        <f t="shared" si="5"/>
        <v>0</v>
      </c>
      <c r="T1285" s="161" t="b">
        <f t="array" ref="T1285">index('Query Tool'!B:B,match(H1285,'Query Tool'!C:C,0))</f>
        <v>1</v>
      </c>
      <c r="U1285" s="161" t="b">
        <f t="array" ref="U1285">index('Query Tool'!B:B,match(C1285,'Query Tool'!C:C,0))</f>
        <v>0</v>
      </c>
      <c r="V1285" s="161" t="b">
        <f>F1285&gt;='Query Tool'!C$32</f>
        <v>1</v>
      </c>
      <c r="W1285" s="161" t="b">
        <f t="array" ref="W1285">index(Dropdowns!B:B,match(I1285,Dropdowns!A:A,0))</f>
        <v>1</v>
      </c>
      <c r="X1285" s="161" t="b">
        <f t="array" ref="X1285">index('Query Tool'!B:B,match(D1285,'Query Tool'!C:C,0))</f>
        <v>1</v>
      </c>
      <c r="Y1285" s="161" t="str">
        <f t="shared" si="6"/>
        <v>baynear01,2015-16</v>
      </c>
      <c r="Z1285" s="168">
        <f t="array" ref="Z1285">iferror(index(I:I,match($A1285&amp;","&amp;index('Year Conversion'!$A:$A,match($C1285,'Year Conversion'!$B:$B,0)),$Y:$Y,0))-I1285,"")</f>
        <v>1</v>
      </c>
      <c r="AA1285" s="168">
        <f t="array" ref="AA1285">iferror(index(J:J,match($A1285&amp;","&amp;index('Year Conversion'!$A:$A,match($C1285,'Year Conversion'!$B:$B,0)),$Y:$Y,0))-J1285,"")</f>
        <v>0.8009520211</v>
      </c>
      <c r="AB1285" s="168">
        <f t="array" ref="AB1285">iferror(index(K:K,match($A1285&amp;","&amp;index('Year Conversion'!$A:$A,match($C1285,'Year Conversion'!$B:$B,0)),$Y:$Y,0))-K1285,"")</f>
        <v>-0.2574714235</v>
      </c>
      <c r="AC1285" s="168" t="str">
        <f t="shared" si="7"/>
        <v>DET,2015-16</v>
      </c>
    </row>
    <row r="1286">
      <c r="A1286" s="161" t="str">
        <f>IFERROR(__xludf.DUMMYFUNCTION("""COMPUTED_VALUE"""),"noelne01")</f>
        <v>noelne01</v>
      </c>
      <c r="B1286" s="161" t="str">
        <f>IFERROR(__xludf.DUMMYFUNCTION("""COMPUTED_VALUE"""),"Nerlens Noel")</f>
        <v>Nerlens Noel</v>
      </c>
      <c r="C1286" s="162" t="str">
        <f>IFERROR(__xludf.DUMMYFUNCTION("""COMPUTED_VALUE"""),"2015-16")</f>
        <v>2015-16</v>
      </c>
      <c r="D1286" s="163" t="str">
        <f>IFERROR(__xludf.DUMMYFUNCTION("""COMPUTED_VALUE"""),"PHI")</f>
        <v>PHI</v>
      </c>
      <c r="E1286" s="164" t="str">
        <f>IFERROR(__xludf.DUMMYFUNCTION("""COMPUTED_VALUE"""),"Roll + Cut Big")</f>
        <v>Roll + Cut Big</v>
      </c>
      <c r="F1286" s="164">
        <f>IFERROR(__xludf.DUMMYFUNCTION("""COMPUTED_VALUE"""),1965.245)</f>
        <v>1965.245</v>
      </c>
      <c r="G1286" s="163">
        <f>IFERROR(__xludf.DUMMYFUNCTION("""COMPUTED_VALUE"""),67.0)</f>
        <v>67</v>
      </c>
      <c r="H1286" s="163" t="str">
        <f>IFERROR(__xludf.DUMMYFUNCTION("""COMPUTED_VALUE"""),"C")</f>
        <v>C</v>
      </c>
      <c r="I1286" s="163">
        <f>IFERROR(__xludf.DUMMYFUNCTION("""COMPUTED_VALUE"""),21.0)</f>
        <v>21</v>
      </c>
      <c r="J1286" s="165">
        <f>IFERROR(__xludf.DUMMYFUNCTION("""COMPUTED_VALUE"""),-0.555870222789938)</f>
        <v>-0.5558702228</v>
      </c>
      <c r="K1286" s="165">
        <f>IFERROR(__xludf.DUMMYFUNCTION("""COMPUTED_VALUE"""),-2.41645967103369)</f>
        <v>-2.416459671</v>
      </c>
      <c r="L1286" s="165">
        <f>IFERROR(__xludf.DUMMYFUNCTION("""COMPUTED_VALUE"""),1.86058944824376)</f>
        <v>1.860589448</v>
      </c>
      <c r="M1286" s="166">
        <f t="shared" si="2"/>
        <v>2.293569454</v>
      </c>
      <c r="N1286" s="167">
        <f t="shared" si="3"/>
        <v>29.33201493</v>
      </c>
      <c r="O1286" s="163">
        <f t="shared" ref="O1286:Q1286" si="1290">rank(I1286,I:I)</f>
        <v>3528</v>
      </c>
      <c r="P1286" s="163">
        <f t="shared" si="1290"/>
        <v>1927</v>
      </c>
      <c r="Q1286" s="163">
        <f t="shared" si="1290"/>
        <v>3868</v>
      </c>
      <c r="R1286" s="163">
        <f>IFERROR(__xludf.DUMMYFUNCTION("RANK(M1286,filter(M:M,C:C=C1286))"),145.0)</f>
        <v>145</v>
      </c>
      <c r="S1286" s="161" t="b">
        <f t="shared" si="5"/>
        <v>0</v>
      </c>
      <c r="T1286" s="161" t="b">
        <f t="array" ref="T1286">index('Query Tool'!B:B,match(H1286,'Query Tool'!C:C,0))</f>
        <v>1</v>
      </c>
      <c r="U1286" s="161" t="b">
        <f t="array" ref="U1286">index('Query Tool'!B:B,match(C1286,'Query Tool'!C:C,0))</f>
        <v>0</v>
      </c>
      <c r="V1286" s="161" t="b">
        <f>F1286&gt;='Query Tool'!C$32</f>
        <v>1</v>
      </c>
      <c r="W1286" s="161" t="b">
        <f t="array" ref="W1286">index(Dropdowns!B:B,match(I1286,Dropdowns!A:A,0))</f>
        <v>1</v>
      </c>
      <c r="X1286" s="161" t="b">
        <f t="array" ref="X1286">index('Query Tool'!B:B,match(D1286,'Query Tool'!C:C,0))</f>
        <v>1</v>
      </c>
      <c r="Y1286" s="161" t="str">
        <f t="shared" si="6"/>
        <v>noelne01,2015-16</v>
      </c>
      <c r="Z1286" s="168">
        <f t="array" ref="Z1286">iferror(index(I:I,match($A1286&amp;","&amp;index('Year Conversion'!$A:$A,match($C1286,'Year Conversion'!$B:$B,0)),$Y:$Y,0))-I1286,"")</f>
        <v>1</v>
      </c>
      <c r="AA1286" s="168">
        <f t="array" ref="AA1286">iferror(index(J:J,match($A1286&amp;","&amp;index('Year Conversion'!$A:$A,match($C1286,'Year Conversion'!$B:$B,0)),$Y:$Y,0))-J1286,"")</f>
        <v>2.588120852</v>
      </c>
      <c r="AB1286" s="168">
        <f t="array" ref="AB1286">iferror(index(K:K,match($A1286&amp;","&amp;index('Year Conversion'!$A:$A,match($C1286,'Year Conversion'!$B:$B,0)),$Y:$Y,0))-K1286,"")</f>
        <v>1.848027007</v>
      </c>
      <c r="AC1286" s="168" t="str">
        <f t="shared" si="7"/>
        <v>PHI,2015-16</v>
      </c>
    </row>
    <row r="1287">
      <c r="A1287" s="161" t="str">
        <f>IFERROR(__xludf.DUMMYFUNCTION("""COMPUTED_VALUE"""),"lenal01")</f>
        <v>lenal01</v>
      </c>
      <c r="B1287" s="161" t="str">
        <f>IFERROR(__xludf.DUMMYFUNCTION("""COMPUTED_VALUE"""),"Alex Len")</f>
        <v>Alex Len</v>
      </c>
      <c r="C1287" s="162" t="str">
        <f>IFERROR(__xludf.DUMMYFUNCTION("""COMPUTED_VALUE"""),"2015-16")</f>
        <v>2015-16</v>
      </c>
      <c r="D1287" s="163" t="str">
        <f>IFERROR(__xludf.DUMMYFUNCTION("""COMPUTED_VALUE"""),"PHO")</f>
        <v>PHO</v>
      </c>
      <c r="E1287" s="164" t="str">
        <f>IFERROR(__xludf.DUMMYFUNCTION("""COMPUTED_VALUE"""),"Post Scorer")</f>
        <v>Post Scorer</v>
      </c>
      <c r="F1287" s="164">
        <f>IFERROR(__xludf.DUMMYFUNCTION("""COMPUTED_VALUE"""),1820.795)</f>
        <v>1820.795</v>
      </c>
      <c r="G1287" s="163">
        <f>IFERROR(__xludf.DUMMYFUNCTION("""COMPUTED_VALUE"""),78.0)</f>
        <v>78</v>
      </c>
      <c r="H1287" s="163" t="str">
        <f>IFERROR(__xludf.DUMMYFUNCTION("""COMPUTED_VALUE"""),"C")</f>
        <v>C</v>
      </c>
      <c r="I1287" s="163">
        <f>IFERROR(__xludf.DUMMYFUNCTION("""COMPUTED_VALUE"""),22.0)</f>
        <v>22</v>
      </c>
      <c r="J1287" s="165">
        <f>IFERROR(__xludf.DUMMYFUNCTION("""COMPUTED_VALUE"""),-1.96686420603416)</f>
        <v>-1.966864206</v>
      </c>
      <c r="K1287" s="165">
        <f>IFERROR(__xludf.DUMMYFUNCTION("""COMPUTED_VALUE"""),-2.60828940631002)</f>
        <v>-2.608289406</v>
      </c>
      <c r="L1287" s="165">
        <f>IFERROR(__xludf.DUMMYFUNCTION("""COMPUTED_VALUE"""),0.641425200275861)</f>
        <v>0.6414252003</v>
      </c>
      <c r="M1287" s="166">
        <f t="shared" si="2"/>
        <v>0.4055048707</v>
      </c>
      <c r="N1287" s="167">
        <f t="shared" si="3"/>
        <v>23.34352564</v>
      </c>
      <c r="O1287" s="163">
        <f t="shared" ref="O1287:Q1287" si="1291">rank(I1287,I:I)</f>
        <v>3178</v>
      </c>
      <c r="P1287" s="163">
        <f t="shared" si="1291"/>
        <v>3455</v>
      </c>
      <c r="Q1287" s="163">
        <f t="shared" si="1291"/>
        <v>3915</v>
      </c>
      <c r="R1287" s="163">
        <f>IFERROR(__xludf.DUMMYFUNCTION("RANK(M1287,filter(M:M,C:C=C1287))"),293.0)</f>
        <v>293</v>
      </c>
      <c r="S1287" s="161" t="b">
        <f t="shared" si="5"/>
        <v>0</v>
      </c>
      <c r="T1287" s="161" t="b">
        <f t="array" ref="T1287">index('Query Tool'!B:B,match(H1287,'Query Tool'!C:C,0))</f>
        <v>1</v>
      </c>
      <c r="U1287" s="161" t="b">
        <f t="array" ref="U1287">index('Query Tool'!B:B,match(C1287,'Query Tool'!C:C,0))</f>
        <v>0</v>
      </c>
      <c r="V1287" s="161" t="b">
        <f>F1287&gt;='Query Tool'!C$32</f>
        <v>1</v>
      </c>
      <c r="W1287" s="161" t="b">
        <f t="array" ref="W1287">index(Dropdowns!B:B,match(I1287,Dropdowns!A:A,0))</f>
        <v>1</v>
      </c>
      <c r="X1287" s="161" t="b">
        <f t="array" ref="X1287">index('Query Tool'!B:B,match(D1287,'Query Tool'!C:C,0))</f>
        <v>1</v>
      </c>
      <c r="Y1287" s="161" t="str">
        <f t="shared" si="6"/>
        <v>lenal01,2015-16</v>
      </c>
      <c r="Z1287" s="168">
        <f t="array" ref="Z1287">iferror(index(I:I,match($A1287&amp;","&amp;index('Year Conversion'!$A:$A,match($C1287,'Year Conversion'!$B:$B,0)),$Y:$Y,0))-I1287,"")</f>
        <v>1</v>
      </c>
      <c r="AA1287" s="168">
        <f t="array" ref="AA1287">iferror(index(J:J,match($A1287&amp;","&amp;index('Year Conversion'!$A:$A,match($C1287,'Year Conversion'!$B:$B,0)),$Y:$Y,0))-J1287,"")</f>
        <v>-0.01126831147</v>
      </c>
      <c r="AB1287" s="168">
        <f t="array" ref="AB1287">iferror(index(K:K,match($A1287&amp;","&amp;index('Year Conversion'!$A:$A,match($C1287,'Year Conversion'!$B:$B,0)),$Y:$Y,0))-K1287,"")</f>
        <v>-0.5129840149</v>
      </c>
      <c r="AC1287" s="168" t="str">
        <f t="shared" si="7"/>
        <v>PHO,2015-16</v>
      </c>
    </row>
    <row r="1288">
      <c r="A1288" s="161" t="str">
        <f>IFERROR(__xludf.DUMMYFUNCTION("""COMPUTED_VALUE"""),"crabbal01")</f>
        <v>crabbal01</v>
      </c>
      <c r="B1288" s="161" t="str">
        <f>IFERROR(__xludf.DUMMYFUNCTION("""COMPUTED_VALUE"""),"Allen Crabbe")</f>
        <v>Allen Crabbe</v>
      </c>
      <c r="C1288" s="162" t="str">
        <f>IFERROR(__xludf.DUMMYFUNCTION("""COMPUTED_VALUE"""),"2015-16")</f>
        <v>2015-16</v>
      </c>
      <c r="D1288" s="163" t="str">
        <f>IFERROR(__xludf.DUMMYFUNCTION("""COMPUTED_VALUE"""),"POR")</f>
        <v>POR</v>
      </c>
      <c r="E1288" s="164" t="str">
        <f>IFERROR(__xludf.DUMMYFUNCTION("""COMPUTED_VALUE"""),"Movement Shooter")</f>
        <v>Movement Shooter</v>
      </c>
      <c r="F1288" s="164">
        <f>IFERROR(__xludf.DUMMYFUNCTION("""COMPUTED_VALUE"""),2104.95833333333)</f>
        <v>2104.958333</v>
      </c>
      <c r="G1288" s="163">
        <f>IFERROR(__xludf.DUMMYFUNCTION("""COMPUTED_VALUE"""),81.0)</f>
        <v>81</v>
      </c>
      <c r="H1288" s="163" t="str">
        <f>IFERROR(__xludf.DUMMYFUNCTION("""COMPUTED_VALUE"""),"SG")</f>
        <v>SG</v>
      </c>
      <c r="I1288" s="163">
        <f>IFERROR(__xludf.DUMMYFUNCTION("""COMPUTED_VALUE"""),23.0)</f>
        <v>23</v>
      </c>
      <c r="J1288" s="165">
        <f>IFERROR(__xludf.DUMMYFUNCTION("""COMPUTED_VALUE"""),-1.47155992756299)</f>
        <v>-1.471559928</v>
      </c>
      <c r="K1288" s="165">
        <f>IFERROR(__xludf.DUMMYFUNCTION("""COMPUTED_VALUE"""),-0.2827143609958)</f>
        <v>-0.282714361</v>
      </c>
      <c r="L1288" s="165">
        <f>IFERROR(__xludf.DUMMYFUNCTION("""COMPUTED_VALUE"""),-1.18884556656719)</f>
        <v>-1.188845567</v>
      </c>
      <c r="M1288" s="166">
        <f t="shared" si="2"/>
        <v>1.163052122</v>
      </c>
      <c r="N1288" s="167">
        <f t="shared" si="3"/>
        <v>25.98713992</v>
      </c>
      <c r="O1288" s="163">
        <f t="shared" ref="O1288:Q1288" si="1292">rank(I1288,I:I)</f>
        <v>2765</v>
      </c>
      <c r="P1288" s="163">
        <f t="shared" si="1292"/>
        <v>3028</v>
      </c>
      <c r="Q1288" s="163">
        <f t="shared" si="1292"/>
        <v>1732</v>
      </c>
      <c r="R1288" s="163">
        <f>IFERROR(__xludf.DUMMYFUNCTION("RANK(M1288,filter(M:M,C:C=C1288))"),212.0)</f>
        <v>212</v>
      </c>
      <c r="S1288" s="161" t="b">
        <f t="shared" si="5"/>
        <v>0</v>
      </c>
      <c r="T1288" s="161" t="b">
        <f t="array" ref="T1288">index('Query Tool'!B:B,match(H1288,'Query Tool'!C:C,0))</f>
        <v>1</v>
      </c>
      <c r="U1288" s="161" t="b">
        <f t="array" ref="U1288">index('Query Tool'!B:B,match(C1288,'Query Tool'!C:C,0))</f>
        <v>0</v>
      </c>
      <c r="V1288" s="161" t="b">
        <f>F1288&gt;='Query Tool'!C$32</f>
        <v>1</v>
      </c>
      <c r="W1288" s="161" t="b">
        <f t="array" ref="W1288">index(Dropdowns!B:B,match(I1288,Dropdowns!A:A,0))</f>
        <v>1</v>
      </c>
      <c r="X1288" s="161" t="b">
        <f t="array" ref="X1288">index('Query Tool'!B:B,match(D1288,'Query Tool'!C:C,0))</f>
        <v>1</v>
      </c>
      <c r="Y1288" s="161" t="str">
        <f t="shared" si="6"/>
        <v>crabbal01,2015-16</v>
      </c>
      <c r="Z1288" s="168">
        <f t="array" ref="Z1288">iferror(index(I:I,match($A1288&amp;","&amp;index('Year Conversion'!$A:$A,match($C1288,'Year Conversion'!$B:$B,0)),$Y:$Y,0))-I1288,"")</f>
        <v>1</v>
      </c>
      <c r="AA1288" s="168">
        <f t="array" ref="AA1288">iferror(index(J:J,match($A1288&amp;","&amp;index('Year Conversion'!$A:$A,match($C1288,'Year Conversion'!$B:$B,0)),$Y:$Y,0))-J1288,"")</f>
        <v>-0.9561932123</v>
      </c>
      <c r="AB1288" s="168">
        <f t="array" ref="AB1288">iferror(index(K:K,match($A1288&amp;","&amp;index('Year Conversion'!$A:$A,match($C1288,'Year Conversion'!$B:$B,0)),$Y:$Y,0))-K1288,"")</f>
        <v>-0.5160469238</v>
      </c>
      <c r="AC1288" s="168" t="str">
        <f t="shared" si="7"/>
        <v>POR,2015-16</v>
      </c>
    </row>
    <row r="1289">
      <c r="A1289" s="161" t="str">
        <f>IFERROR(__xludf.DUMMYFUNCTION("""COMPUTED_VALUE"""),"roberan03")</f>
        <v>roberan03</v>
      </c>
      <c r="B1289" s="161" t="str">
        <f>IFERROR(__xludf.DUMMYFUNCTION("""COMPUTED_VALUE"""),"Andre Roberson")</f>
        <v>Andre Roberson</v>
      </c>
      <c r="C1289" s="162" t="str">
        <f>IFERROR(__xludf.DUMMYFUNCTION("""COMPUTED_VALUE"""),"2015-16")</f>
        <v>2015-16</v>
      </c>
      <c r="D1289" s="163" t="str">
        <f>IFERROR(__xludf.DUMMYFUNCTION("""COMPUTED_VALUE"""),"OKC")</f>
        <v>OKC</v>
      </c>
      <c r="E1289" s="164" t="str">
        <f>IFERROR(__xludf.DUMMYFUNCTION("""COMPUTED_VALUE"""),"Athletic Finisher")</f>
        <v>Athletic Finisher</v>
      </c>
      <c r="F1289" s="164">
        <f>IFERROR(__xludf.DUMMYFUNCTION("""COMPUTED_VALUE"""),1553.29166666667)</f>
        <v>1553.291667</v>
      </c>
      <c r="G1289" s="163">
        <f>IFERROR(__xludf.DUMMYFUNCTION("""COMPUTED_VALUE"""),70.0)</f>
        <v>70</v>
      </c>
      <c r="H1289" s="163" t="str">
        <f>IFERROR(__xludf.DUMMYFUNCTION("""COMPUTED_VALUE"""),"SG")</f>
        <v>SG</v>
      </c>
      <c r="I1289" s="163">
        <f>IFERROR(__xludf.DUMMYFUNCTION("""COMPUTED_VALUE"""),24.0)</f>
        <v>24</v>
      </c>
      <c r="J1289" s="165">
        <f>IFERROR(__xludf.DUMMYFUNCTION("""COMPUTED_VALUE"""),-0.00848524369646186)</f>
        <v>-0.008485243696</v>
      </c>
      <c r="K1289" s="165">
        <f>IFERROR(__xludf.DUMMYFUNCTION("""COMPUTED_VALUE"""),-0.75420560823254)</f>
        <v>-0.7542056082</v>
      </c>
      <c r="L1289" s="165">
        <f>IFERROR(__xludf.DUMMYFUNCTION("""COMPUTED_VALUE"""),0.745720364536078)</f>
        <v>0.7457203645</v>
      </c>
      <c r="M1289" s="166">
        <f t="shared" si="2"/>
        <v>2.385772126</v>
      </c>
      <c r="N1289" s="167">
        <f t="shared" si="3"/>
        <v>22.18988095</v>
      </c>
      <c r="O1289" s="163">
        <f t="shared" ref="O1289:Q1289" si="1293">rank(I1289,I:I)</f>
        <v>2361</v>
      </c>
      <c r="P1289" s="163">
        <f t="shared" si="1293"/>
        <v>1296</v>
      </c>
      <c r="Q1289" s="163">
        <f t="shared" si="1293"/>
        <v>2485</v>
      </c>
      <c r="R1289" s="163">
        <f>IFERROR(__xludf.DUMMYFUNCTION("RANK(M1289,filter(M:M,C:C=C1289))"),139.0)</f>
        <v>139</v>
      </c>
      <c r="S1289" s="161" t="b">
        <f t="shared" si="5"/>
        <v>0</v>
      </c>
      <c r="T1289" s="161" t="b">
        <f t="array" ref="T1289">index('Query Tool'!B:B,match(H1289,'Query Tool'!C:C,0))</f>
        <v>1</v>
      </c>
      <c r="U1289" s="161" t="b">
        <f t="array" ref="U1289">index('Query Tool'!B:B,match(C1289,'Query Tool'!C:C,0))</f>
        <v>0</v>
      </c>
      <c r="V1289" s="161" t="b">
        <f>F1289&gt;='Query Tool'!C$32</f>
        <v>1</v>
      </c>
      <c r="W1289" s="161" t="b">
        <f t="array" ref="W1289">index(Dropdowns!B:B,match(I1289,Dropdowns!A:A,0))</f>
        <v>1</v>
      </c>
      <c r="X1289" s="161" t="b">
        <f t="array" ref="X1289">index('Query Tool'!B:B,match(D1289,'Query Tool'!C:C,0))</f>
        <v>1</v>
      </c>
      <c r="Y1289" s="161" t="str">
        <f t="shared" si="6"/>
        <v>roberan03,2015-16</v>
      </c>
      <c r="Z1289" s="168">
        <f t="array" ref="Z1289">iferror(index(I:I,match($A1289&amp;","&amp;index('Year Conversion'!$A:$A,match($C1289,'Year Conversion'!$B:$B,0)),$Y:$Y,0))-I1289,"")</f>
        <v>1</v>
      </c>
      <c r="AA1289" s="168">
        <f t="array" ref="AA1289">iferror(index(J:J,match($A1289&amp;","&amp;index('Year Conversion'!$A:$A,match($C1289,'Year Conversion'!$B:$B,0)),$Y:$Y,0))-J1289,"")</f>
        <v>0.4873881237</v>
      </c>
      <c r="AB1289" s="168">
        <f t="array" ref="AB1289">iferror(index(K:K,match($A1289&amp;","&amp;index('Year Conversion'!$A:$A,match($C1289,'Year Conversion'!$B:$B,0)),$Y:$Y,0))-K1289,"")</f>
        <v>-0.7631081475</v>
      </c>
      <c r="AC1289" s="168" t="str">
        <f t="shared" si="7"/>
        <v>OKC,2015-16</v>
      </c>
    </row>
    <row r="1290">
      <c r="A1290" s="161" t="str">
        <f>IFERROR(__xludf.DUMMYFUNCTION("""COMPUTED_VALUE"""),"bennean01")</f>
        <v>bennean01</v>
      </c>
      <c r="B1290" s="161" t="str">
        <f>IFERROR(__xludf.DUMMYFUNCTION("""COMPUTED_VALUE"""),"Anthony Bennett")</f>
        <v>Anthony Bennett</v>
      </c>
      <c r="C1290" s="162" t="str">
        <f>IFERROR(__xludf.DUMMYFUNCTION("""COMPUTED_VALUE"""),"2015-16")</f>
        <v>2015-16</v>
      </c>
      <c r="D1290" s="163" t="str">
        <f>IFERROR(__xludf.DUMMYFUNCTION("""COMPUTED_VALUE"""),"TOR")</f>
        <v>TOR</v>
      </c>
      <c r="E1290" s="164" t="str">
        <f>IFERROR(__xludf.DUMMYFUNCTION("""COMPUTED_VALUE"""),"Athletic Finisher")</f>
        <v>Athletic Finisher</v>
      </c>
      <c r="F1290" s="164">
        <f>IFERROR(__xludf.DUMMYFUNCTION("""COMPUTED_VALUE"""),84.2466666666667)</f>
        <v>84.24666667</v>
      </c>
      <c r="G1290" s="163">
        <f>IFERROR(__xludf.DUMMYFUNCTION("""COMPUTED_VALUE"""),19.0)</f>
        <v>19</v>
      </c>
      <c r="H1290" s="163" t="str">
        <f>IFERROR(__xludf.DUMMYFUNCTION("""COMPUTED_VALUE"""),"PF")</f>
        <v>PF</v>
      </c>
      <c r="I1290" s="163">
        <f>IFERROR(__xludf.DUMMYFUNCTION("""COMPUTED_VALUE"""),22.0)</f>
        <v>22</v>
      </c>
      <c r="J1290" s="165">
        <f>IFERROR(__xludf.DUMMYFUNCTION("""COMPUTED_VALUE"""),-0.970697826298848)</f>
        <v>-0.9706978263</v>
      </c>
      <c r="K1290" s="165">
        <f>IFERROR(__xludf.DUMMYFUNCTION("""COMPUTED_VALUE"""),-0.573393947832022)</f>
        <v>-0.5733939478</v>
      </c>
      <c r="L1290" s="165">
        <f>IFERROR(__xludf.DUMMYFUNCTION("""COMPUTED_VALUE"""),-0.397303878466826)</f>
        <v>-0.3973038785</v>
      </c>
      <c r="M1290" s="166">
        <f t="shared" si="2"/>
        <v>0.07481840035</v>
      </c>
      <c r="N1290" s="167">
        <f t="shared" si="3"/>
        <v>4.434035088</v>
      </c>
      <c r="O1290" s="163">
        <f t="shared" ref="O1290:Q1290" si="1294">rank(I1290,I:I)</f>
        <v>3178</v>
      </c>
      <c r="P1290" s="163">
        <f t="shared" si="1294"/>
        <v>2472</v>
      </c>
      <c r="Q1290" s="163">
        <f t="shared" si="1294"/>
        <v>2220</v>
      </c>
      <c r="R1290" s="163">
        <f>IFERROR(__xludf.DUMMYFUNCTION("RANK(M1290,filter(M:M,C:C=C1290))"),384.0)</f>
        <v>384</v>
      </c>
      <c r="S1290" s="161" t="b">
        <f t="shared" si="5"/>
        <v>0</v>
      </c>
      <c r="T1290" s="161" t="b">
        <f t="array" ref="T1290">index('Query Tool'!B:B,match(H1290,'Query Tool'!C:C,0))</f>
        <v>1</v>
      </c>
      <c r="U1290" s="161" t="b">
        <f t="array" ref="U1290">index('Query Tool'!B:B,match(C1290,'Query Tool'!C:C,0))</f>
        <v>0</v>
      </c>
      <c r="V1290" s="161" t="b">
        <f>F1290&gt;='Query Tool'!C$32</f>
        <v>0</v>
      </c>
      <c r="W1290" s="161" t="b">
        <f t="array" ref="W1290">index(Dropdowns!B:B,match(I1290,Dropdowns!A:A,0))</f>
        <v>1</v>
      </c>
      <c r="X1290" s="161" t="b">
        <f t="array" ref="X1290">index('Query Tool'!B:B,match(D1290,'Query Tool'!C:C,0))</f>
        <v>1</v>
      </c>
      <c r="Y1290" s="161" t="str">
        <f t="shared" si="6"/>
        <v>bennean01,2015-16</v>
      </c>
      <c r="Z1290" s="168">
        <f t="array" ref="Z1290">iferror(index(I:I,match($A1290&amp;","&amp;index('Year Conversion'!$A:$A,match($C1290,'Year Conversion'!$B:$B,0)),$Y:$Y,0))-I1290,"")</f>
        <v>1</v>
      </c>
      <c r="AA1290" s="168">
        <f t="array" ref="AA1290">iferror(index(J:J,match($A1290&amp;","&amp;index('Year Conversion'!$A:$A,match($C1290,'Year Conversion'!$B:$B,0)),$Y:$Y,0))-J1290,"")</f>
        <v>0.6659968644</v>
      </c>
      <c r="AB1290" s="168">
        <f t="array" ref="AB1290">iferror(index(K:K,match($A1290&amp;","&amp;index('Year Conversion'!$A:$A,match($C1290,'Year Conversion'!$B:$B,0)),$Y:$Y,0))-K1290,"")</f>
        <v>1.185008189</v>
      </c>
      <c r="AC1290" s="168" t="str">
        <f t="shared" si="7"/>
        <v>TOR,2015-16</v>
      </c>
    </row>
    <row r="1291">
      <c r="A1291" s="161" t="str">
        <f>IFERROR(__xludf.DUMMYFUNCTION("""COMPUTED_VALUE"""),"goodwar01")</f>
        <v>goodwar01</v>
      </c>
      <c r="B1291" s="161" t="str">
        <f>IFERROR(__xludf.DUMMYFUNCTION("""COMPUTED_VALUE"""),"Archie Goodwin")</f>
        <v>Archie Goodwin</v>
      </c>
      <c r="C1291" s="162" t="str">
        <f>IFERROR(__xludf.DUMMYFUNCTION("""COMPUTED_VALUE"""),"2015-16")</f>
        <v>2015-16</v>
      </c>
      <c r="D1291" s="163" t="str">
        <f>IFERROR(__xludf.DUMMYFUNCTION("""COMPUTED_VALUE"""),"PHO")</f>
        <v>PHO</v>
      </c>
      <c r="E1291" s="164" t="str">
        <f>IFERROR(__xludf.DUMMYFUNCTION("""COMPUTED_VALUE"""),"Secondary Ball Handler")</f>
        <v>Secondary Ball Handler</v>
      </c>
      <c r="F1291" s="164">
        <f>IFERROR(__xludf.DUMMYFUNCTION("""COMPUTED_VALUE"""),1113.77833333333)</f>
        <v>1113.778333</v>
      </c>
      <c r="G1291" s="163">
        <f>IFERROR(__xludf.DUMMYFUNCTION("""COMPUTED_VALUE"""),57.0)</f>
        <v>57</v>
      </c>
      <c r="H1291" s="163" t="str">
        <f>IFERROR(__xludf.DUMMYFUNCTION("""COMPUTED_VALUE"""),"PG")</f>
        <v>PG</v>
      </c>
      <c r="I1291" s="163">
        <f>IFERROR(__xludf.DUMMYFUNCTION("""COMPUTED_VALUE"""),21.0)</f>
        <v>21</v>
      </c>
      <c r="J1291" s="165">
        <f>IFERROR(__xludf.DUMMYFUNCTION("""COMPUTED_VALUE"""),-1.90434525833841)</f>
        <v>-1.904345258</v>
      </c>
      <c r="K1291" s="165">
        <f>IFERROR(__xludf.DUMMYFUNCTION("""COMPUTED_VALUE"""),-0.334958117325087)</f>
        <v>-0.3349581173</v>
      </c>
      <c r="L1291" s="165">
        <f>IFERROR(__xludf.DUMMYFUNCTION("""COMPUTED_VALUE"""),-1.56938714101332)</f>
        <v>-1.569387141</v>
      </c>
      <c r="M1291" s="166">
        <f t="shared" si="2"/>
        <v>0.2942667267</v>
      </c>
      <c r="N1291" s="167">
        <f t="shared" si="3"/>
        <v>19.53997076</v>
      </c>
      <c r="O1291" s="163">
        <f t="shared" ref="O1291:Q1291" si="1295">rank(I1291,I:I)</f>
        <v>3528</v>
      </c>
      <c r="P1291" s="163">
        <f t="shared" si="1295"/>
        <v>3418</v>
      </c>
      <c r="Q1291" s="163">
        <f t="shared" si="1295"/>
        <v>1823</v>
      </c>
      <c r="R1291" s="163">
        <f>IFERROR(__xludf.DUMMYFUNCTION("RANK(M1291,filter(M:M,C:C=C1291))"),312.0)</f>
        <v>312</v>
      </c>
      <c r="S1291" s="161" t="b">
        <f t="shared" si="5"/>
        <v>0</v>
      </c>
      <c r="T1291" s="161" t="b">
        <f t="array" ref="T1291">index('Query Tool'!B:B,match(H1291,'Query Tool'!C:C,0))</f>
        <v>1</v>
      </c>
      <c r="U1291" s="161" t="b">
        <f t="array" ref="U1291">index('Query Tool'!B:B,match(C1291,'Query Tool'!C:C,0))</f>
        <v>0</v>
      </c>
      <c r="V1291" s="161" t="b">
        <f>F1291&gt;='Query Tool'!C$32</f>
        <v>1</v>
      </c>
      <c r="W1291" s="161" t="b">
        <f t="array" ref="W1291">index(Dropdowns!B:B,match(I1291,Dropdowns!A:A,0))</f>
        <v>1</v>
      </c>
      <c r="X1291" s="161" t="b">
        <f t="array" ref="X1291">index('Query Tool'!B:B,match(D1291,'Query Tool'!C:C,0))</f>
        <v>1</v>
      </c>
      <c r="Y1291" s="161" t="str">
        <f t="shared" si="6"/>
        <v>goodwar01,2015-16</v>
      </c>
      <c r="Z1291" s="168">
        <f t="array" ref="Z1291">iferror(index(I:I,match($A1291&amp;","&amp;index('Year Conversion'!$A:$A,match($C1291,'Year Conversion'!$B:$B,0)),$Y:$Y,0))-I1291,"")</f>
        <v>1</v>
      </c>
      <c r="AA1291" s="168">
        <f t="array" ref="AA1291">iferror(index(J:J,match($A1291&amp;","&amp;index('Year Conversion'!$A:$A,match($C1291,'Year Conversion'!$B:$B,0)),$Y:$Y,0))-J1291,"")</f>
        <v>1.609487605</v>
      </c>
      <c r="AB1291" s="168">
        <f t="array" ref="AB1291">iferror(index(K:K,match($A1291&amp;","&amp;index('Year Conversion'!$A:$A,match($C1291,'Year Conversion'!$B:$B,0)),$Y:$Y,0))-K1291,"")</f>
        <v>0.3070781049</v>
      </c>
      <c r="AC1291" s="168" t="str">
        <f t="shared" si="7"/>
        <v>PHO,2015-16</v>
      </c>
    </row>
    <row r="1292">
      <c r="A1292" s="161" t="str">
        <f>IFERROR(__xludf.DUMMYFUNCTION("""COMPUTED_VALUE"""),"mclembe01")</f>
        <v>mclembe01</v>
      </c>
      <c r="B1292" s="161" t="str">
        <f>IFERROR(__xludf.DUMMYFUNCTION("""COMPUTED_VALUE"""),"Ben McLemore")</f>
        <v>Ben McLemore</v>
      </c>
      <c r="C1292" s="162" t="str">
        <f>IFERROR(__xludf.DUMMYFUNCTION("""COMPUTED_VALUE"""),"2015-16")</f>
        <v>2015-16</v>
      </c>
      <c r="D1292" s="163" t="str">
        <f>IFERROR(__xludf.DUMMYFUNCTION("""COMPUTED_VALUE"""),"SAC")</f>
        <v>SAC</v>
      </c>
      <c r="E1292" s="164" t="str">
        <f>IFERROR(__xludf.DUMMYFUNCTION("""COMPUTED_VALUE"""),"Movement Shooter")</f>
        <v>Movement Shooter</v>
      </c>
      <c r="F1292" s="164">
        <f>IFERROR(__xludf.DUMMYFUNCTION("""COMPUTED_VALUE"""),1442.78333333333)</f>
        <v>1442.783333</v>
      </c>
      <c r="G1292" s="163">
        <f>IFERROR(__xludf.DUMMYFUNCTION("""COMPUTED_VALUE"""),68.0)</f>
        <v>68</v>
      </c>
      <c r="H1292" s="163" t="str">
        <f>IFERROR(__xludf.DUMMYFUNCTION("""COMPUTED_VALUE"""),"SG")</f>
        <v>SG</v>
      </c>
      <c r="I1292" s="163">
        <f>IFERROR(__xludf.DUMMYFUNCTION("""COMPUTED_VALUE"""),22.0)</f>
        <v>22</v>
      </c>
      <c r="J1292" s="165">
        <f>IFERROR(__xludf.DUMMYFUNCTION("""COMPUTED_VALUE"""),-1.3671630041789)</f>
        <v>-1.367163004</v>
      </c>
      <c r="K1292" s="165">
        <f>IFERROR(__xludf.DUMMYFUNCTION("""COMPUTED_VALUE"""),-1.33863093652032)</f>
        <v>-1.338630937</v>
      </c>
      <c r="L1292" s="165">
        <f>IFERROR(__xludf.DUMMYFUNCTION("""COMPUTED_VALUE"""),-0.0285320676585724)</f>
        <v>-0.02853206766</v>
      </c>
      <c r="M1292" s="166">
        <f t="shared" si="2"/>
        <v>0.8978804259</v>
      </c>
      <c r="N1292" s="167">
        <f t="shared" si="3"/>
        <v>21.21740196</v>
      </c>
      <c r="O1292" s="163">
        <f t="shared" ref="O1292:Q1292" si="1296">rank(I1292,I:I)</f>
        <v>3178</v>
      </c>
      <c r="P1292" s="163">
        <f t="shared" si="1296"/>
        <v>2921</v>
      </c>
      <c r="Q1292" s="163">
        <f t="shared" si="1296"/>
        <v>3193</v>
      </c>
      <c r="R1292" s="163">
        <f>IFERROR(__xludf.DUMMYFUNCTION("RANK(M1292,filter(M:M,C:C=C1292))"),228.0)</f>
        <v>228</v>
      </c>
      <c r="S1292" s="161" t="b">
        <f t="shared" si="5"/>
        <v>0</v>
      </c>
      <c r="T1292" s="161" t="b">
        <f t="array" ref="T1292">index('Query Tool'!B:B,match(H1292,'Query Tool'!C:C,0))</f>
        <v>1</v>
      </c>
      <c r="U1292" s="161" t="b">
        <f t="array" ref="U1292">index('Query Tool'!B:B,match(C1292,'Query Tool'!C:C,0))</f>
        <v>0</v>
      </c>
      <c r="V1292" s="161" t="b">
        <f>F1292&gt;='Query Tool'!C$32</f>
        <v>1</v>
      </c>
      <c r="W1292" s="161" t="b">
        <f t="array" ref="W1292">index(Dropdowns!B:B,match(I1292,Dropdowns!A:A,0))</f>
        <v>1</v>
      </c>
      <c r="X1292" s="161" t="b">
        <f t="array" ref="X1292">index('Query Tool'!B:B,match(D1292,'Query Tool'!C:C,0))</f>
        <v>1</v>
      </c>
      <c r="Y1292" s="161" t="str">
        <f t="shared" si="6"/>
        <v>mclembe01,2015-16</v>
      </c>
      <c r="Z1292" s="168">
        <f t="array" ref="Z1292">iferror(index(I:I,match($A1292&amp;","&amp;index('Year Conversion'!$A:$A,match($C1292,'Year Conversion'!$B:$B,0)),$Y:$Y,0))-I1292,"")</f>
        <v>1</v>
      </c>
      <c r="AA1292" s="168">
        <f t="array" ref="AA1292">iferror(index(J:J,match($A1292&amp;","&amp;index('Year Conversion'!$A:$A,match($C1292,'Year Conversion'!$B:$B,0)),$Y:$Y,0))-J1292,"")</f>
        <v>-0.5545414754</v>
      </c>
      <c r="AB1292" s="168">
        <f t="array" ref="AB1292">iferror(index(K:K,match($A1292&amp;","&amp;index('Year Conversion'!$A:$A,match($C1292,'Year Conversion'!$B:$B,0)),$Y:$Y,0))-K1292,"")</f>
        <v>-0.2219442203</v>
      </c>
      <c r="AC1292" s="168" t="str">
        <f t="shared" si="7"/>
        <v>SAC,2015-16</v>
      </c>
    </row>
    <row r="1293">
      <c r="A1293" s="161" t="str">
        <f>IFERROR(__xludf.DUMMYFUNCTION("""COMPUTED_VALUE"""),"mccolcj01")</f>
        <v>mccolcj01</v>
      </c>
      <c r="B1293" s="161" t="str">
        <f>IFERROR(__xludf.DUMMYFUNCTION("""COMPUTED_VALUE"""),"CJ McCollum")</f>
        <v>CJ McCollum</v>
      </c>
      <c r="C1293" s="162" t="str">
        <f>IFERROR(__xludf.DUMMYFUNCTION("""COMPUTED_VALUE"""),"2015-16")</f>
        <v>2015-16</v>
      </c>
      <c r="D1293" s="163" t="str">
        <f>IFERROR(__xludf.DUMMYFUNCTION("""COMPUTED_VALUE"""),"POR")</f>
        <v>POR</v>
      </c>
      <c r="E1293" s="164" t="str">
        <f>IFERROR(__xludf.DUMMYFUNCTION("""COMPUTED_VALUE"""),"Primary Ball Handler")</f>
        <v>Primary Ball Handler</v>
      </c>
      <c r="F1293" s="164">
        <f>IFERROR(__xludf.DUMMYFUNCTION("""COMPUTED_VALUE"""),2779.76166666667)</f>
        <v>2779.761667</v>
      </c>
      <c r="G1293" s="163">
        <f>IFERROR(__xludf.DUMMYFUNCTION("""COMPUTED_VALUE"""),80.0)</f>
        <v>80</v>
      </c>
      <c r="H1293" s="163" t="str">
        <f>IFERROR(__xludf.DUMMYFUNCTION("""COMPUTED_VALUE"""),"SG")</f>
        <v>SG</v>
      </c>
      <c r="I1293" s="163">
        <f>IFERROR(__xludf.DUMMYFUNCTION("""COMPUTED_VALUE"""),24.0)</f>
        <v>24</v>
      </c>
      <c r="J1293" s="165">
        <f>IFERROR(__xludf.DUMMYFUNCTION("""COMPUTED_VALUE"""),1.48604198076219)</f>
        <v>1.486041981</v>
      </c>
      <c r="K1293" s="165">
        <f>IFERROR(__xludf.DUMMYFUNCTION("""COMPUTED_VALUE"""),1.36851587624477)</f>
        <v>1.368515876</v>
      </c>
      <c r="L1293" s="165">
        <f>IFERROR(__xludf.DUMMYFUNCTION("""COMPUTED_VALUE"""),0.11752610451742)</f>
        <v>0.1175261045</v>
      </c>
      <c r="M1293" s="166">
        <f t="shared" si="2"/>
        <v>7.061925523</v>
      </c>
      <c r="N1293" s="167">
        <f t="shared" si="3"/>
        <v>34.74702083</v>
      </c>
      <c r="O1293" s="163">
        <f t="shared" ref="O1293:Q1293" si="1297">rank(I1293,I:I)</f>
        <v>2361</v>
      </c>
      <c r="P1293" s="163">
        <f t="shared" si="1297"/>
        <v>459</v>
      </c>
      <c r="Q1293" s="163">
        <f t="shared" si="1297"/>
        <v>364</v>
      </c>
      <c r="R1293" s="163">
        <f>IFERROR(__xludf.DUMMYFUNCTION("RANK(M1293,filter(M:M,C:C=C1293))"),33.0)</f>
        <v>33</v>
      </c>
      <c r="S1293" s="161" t="b">
        <f t="shared" si="5"/>
        <v>0</v>
      </c>
      <c r="T1293" s="161" t="b">
        <f t="array" ref="T1293">index('Query Tool'!B:B,match(H1293,'Query Tool'!C:C,0))</f>
        <v>1</v>
      </c>
      <c r="U1293" s="161" t="b">
        <f t="array" ref="U1293">index('Query Tool'!B:B,match(C1293,'Query Tool'!C:C,0))</f>
        <v>0</v>
      </c>
      <c r="V1293" s="161" t="b">
        <f>F1293&gt;='Query Tool'!C$32</f>
        <v>1</v>
      </c>
      <c r="W1293" s="161" t="b">
        <f t="array" ref="W1293">index(Dropdowns!B:B,match(I1293,Dropdowns!A:A,0))</f>
        <v>1</v>
      </c>
      <c r="X1293" s="161" t="b">
        <f t="array" ref="X1293">index('Query Tool'!B:B,match(D1293,'Query Tool'!C:C,0))</f>
        <v>1</v>
      </c>
      <c r="Y1293" s="161" t="str">
        <f t="shared" si="6"/>
        <v>mccolcj01,2015-16</v>
      </c>
      <c r="Z1293" s="168">
        <f t="array" ref="Z1293">iferror(index(I:I,match($A1293&amp;","&amp;index('Year Conversion'!$A:$A,match($C1293,'Year Conversion'!$B:$B,0)),$Y:$Y,0))-I1293,"")</f>
        <v>1</v>
      </c>
      <c r="AA1293" s="168">
        <f t="array" ref="AA1293">iferror(index(J:J,match($A1293&amp;","&amp;index('Year Conversion'!$A:$A,match($C1293,'Year Conversion'!$B:$B,0)),$Y:$Y,0))-J1293,"")</f>
        <v>-0.02585163471</v>
      </c>
      <c r="AB1293" s="168">
        <f t="array" ref="AB1293">iferror(index(K:K,match($A1293&amp;","&amp;index('Year Conversion'!$A:$A,match($C1293,'Year Conversion'!$B:$B,0)),$Y:$Y,0))-K1293,"")</f>
        <v>0.8497363815</v>
      </c>
      <c r="AC1293" s="168" t="str">
        <f t="shared" si="7"/>
        <v>POR,2015-16</v>
      </c>
    </row>
    <row r="1294">
      <c r="A1294" s="161" t="str">
        <f>IFERROR(__xludf.DUMMYFUNCTION("""COMPUTED_VALUE"""),"zelleco01")</f>
        <v>zelleco01</v>
      </c>
      <c r="B1294" s="161" t="str">
        <f>IFERROR(__xludf.DUMMYFUNCTION("""COMPUTED_VALUE"""),"Cody Zeller")</f>
        <v>Cody Zeller</v>
      </c>
      <c r="C1294" s="162" t="str">
        <f>IFERROR(__xludf.DUMMYFUNCTION("""COMPUTED_VALUE"""),"2015-16")</f>
        <v>2015-16</v>
      </c>
      <c r="D1294" s="163" t="str">
        <f>IFERROR(__xludf.DUMMYFUNCTION("""COMPUTED_VALUE"""),"CHO")</f>
        <v>CHO</v>
      </c>
      <c r="E1294" s="164" t="str">
        <f>IFERROR(__xludf.DUMMYFUNCTION("""COMPUTED_VALUE"""),"Roll + Cut Big")</f>
        <v>Roll + Cut Big</v>
      </c>
      <c r="F1294" s="164">
        <f>IFERROR(__xludf.DUMMYFUNCTION("""COMPUTED_VALUE"""),1773.73166666667)</f>
        <v>1773.731667</v>
      </c>
      <c r="G1294" s="163">
        <f>IFERROR(__xludf.DUMMYFUNCTION("""COMPUTED_VALUE"""),73.0)</f>
        <v>73</v>
      </c>
      <c r="H1294" s="163" t="str">
        <f>IFERROR(__xludf.DUMMYFUNCTION("""COMPUTED_VALUE"""),"C")</f>
        <v>C</v>
      </c>
      <c r="I1294" s="163">
        <f>IFERROR(__xludf.DUMMYFUNCTION("""COMPUTED_VALUE"""),23.0)</f>
        <v>23</v>
      </c>
      <c r="J1294" s="165">
        <f>IFERROR(__xludf.DUMMYFUNCTION("""COMPUTED_VALUE"""),1.58831637728296)</f>
        <v>1.588316377</v>
      </c>
      <c r="K1294" s="165">
        <f>IFERROR(__xludf.DUMMYFUNCTION("""COMPUTED_VALUE"""),-0.187379658803335)</f>
        <v>-0.1873796588</v>
      </c>
      <c r="L1294" s="165">
        <f>IFERROR(__xludf.DUMMYFUNCTION("""COMPUTED_VALUE"""),1.77569603608629)</f>
        <v>1.775696036</v>
      </c>
      <c r="M1294" s="166">
        <f t="shared" si="2"/>
        <v>4.627233668</v>
      </c>
      <c r="N1294" s="167">
        <f t="shared" si="3"/>
        <v>24.29769406</v>
      </c>
      <c r="O1294" s="163">
        <f t="shared" ref="O1294:Q1294" si="1298">rank(I1294,I:I)</f>
        <v>2765</v>
      </c>
      <c r="P1294" s="163">
        <f t="shared" si="1298"/>
        <v>434</v>
      </c>
      <c r="Q1294" s="163">
        <f t="shared" si="1298"/>
        <v>1545</v>
      </c>
      <c r="R1294" s="163">
        <f>IFERROR(__xludf.DUMMYFUNCTION("RANK(M1294,filter(M:M,C:C=C1294))"),72.0)</f>
        <v>72</v>
      </c>
      <c r="S1294" s="161" t="b">
        <f t="shared" si="5"/>
        <v>0</v>
      </c>
      <c r="T1294" s="161" t="b">
        <f t="array" ref="T1294">index('Query Tool'!B:B,match(H1294,'Query Tool'!C:C,0))</f>
        <v>1</v>
      </c>
      <c r="U1294" s="161" t="b">
        <f t="array" ref="U1294">index('Query Tool'!B:B,match(C1294,'Query Tool'!C:C,0))</f>
        <v>0</v>
      </c>
      <c r="V1294" s="161" t="b">
        <f>F1294&gt;='Query Tool'!C$32</f>
        <v>1</v>
      </c>
      <c r="W1294" s="161" t="b">
        <f t="array" ref="W1294">index(Dropdowns!B:B,match(I1294,Dropdowns!A:A,0))</f>
        <v>1</v>
      </c>
      <c r="X1294" s="161" t="b">
        <f t="array" ref="X1294">index('Query Tool'!B:B,match(D1294,'Query Tool'!C:C,0))</f>
        <v>1</v>
      </c>
      <c r="Y1294" s="161" t="str">
        <f t="shared" si="6"/>
        <v>zelleco01,2015-16</v>
      </c>
      <c r="Z1294" s="168">
        <f t="array" ref="Z1294">iferror(index(I:I,match($A1294&amp;","&amp;index('Year Conversion'!$A:$A,match($C1294,'Year Conversion'!$B:$B,0)),$Y:$Y,0))-I1294,"")</f>
        <v>1</v>
      </c>
      <c r="AA1294" s="168">
        <f t="array" ref="AA1294">iferror(index(J:J,match($A1294&amp;","&amp;index('Year Conversion'!$A:$A,match($C1294,'Year Conversion'!$B:$B,0)),$Y:$Y,0))-J1294,"")</f>
        <v>0.07047002015</v>
      </c>
      <c r="AB1294" s="168">
        <f t="array" ref="AB1294">iferror(index(K:K,match($A1294&amp;","&amp;index('Year Conversion'!$A:$A,match($C1294,'Year Conversion'!$B:$B,0)),$Y:$Y,0))-K1294,"")</f>
        <v>-0.05334404429</v>
      </c>
      <c r="AC1294" s="168" t="str">
        <f t="shared" si="7"/>
        <v>CHO,2015-16</v>
      </c>
    </row>
    <row r="1295">
      <c r="A1295" s="161" t="str">
        <f>IFERROR(__xludf.DUMMYFUNCTION("""COMPUTED_VALUE"""),"schrode01")</f>
        <v>schrode01</v>
      </c>
      <c r="B1295" s="161" t="str">
        <f>IFERROR(__xludf.DUMMYFUNCTION("""COMPUTED_VALUE"""),"Dennis Schroder")</f>
        <v>Dennis Schroder</v>
      </c>
      <c r="C1295" s="162" t="str">
        <f>IFERROR(__xludf.DUMMYFUNCTION("""COMPUTED_VALUE"""),"2015-16")</f>
        <v>2015-16</v>
      </c>
      <c r="D1295" s="163" t="str">
        <f>IFERROR(__xludf.DUMMYFUNCTION("""COMPUTED_VALUE"""),"ATL")</f>
        <v>ATL</v>
      </c>
      <c r="E1295" s="164" t="str">
        <f>IFERROR(__xludf.DUMMYFUNCTION("""COMPUTED_VALUE"""),"Primary Ball Handler")</f>
        <v>Primary Ball Handler</v>
      </c>
      <c r="F1295" s="164">
        <f>IFERROR(__xludf.DUMMYFUNCTION("""COMPUTED_VALUE"""),1620.95833333333)</f>
        <v>1620.958333</v>
      </c>
      <c r="G1295" s="163">
        <f>IFERROR(__xludf.DUMMYFUNCTION("""COMPUTED_VALUE"""),80.0)</f>
        <v>80</v>
      </c>
      <c r="H1295" s="163" t="str">
        <f>IFERROR(__xludf.DUMMYFUNCTION("""COMPUTED_VALUE"""),"PG")</f>
        <v>PG</v>
      </c>
      <c r="I1295" s="163">
        <f>IFERROR(__xludf.DUMMYFUNCTION("""COMPUTED_VALUE"""),22.0)</f>
        <v>22</v>
      </c>
      <c r="J1295" s="165">
        <f>IFERROR(__xludf.DUMMYFUNCTION("""COMPUTED_VALUE"""),0.67643403433765)</f>
        <v>0.6764340343</v>
      </c>
      <c r="K1295" s="165">
        <f>IFERROR(__xludf.DUMMYFUNCTION("""COMPUTED_VALUE"""),0.758105633839004)</f>
        <v>0.7581056338</v>
      </c>
      <c r="L1295" s="165">
        <f>IFERROR(__xludf.DUMMYFUNCTION("""COMPUTED_VALUE"""),-0.0816715995013543)</f>
        <v>-0.0816715995</v>
      </c>
      <c r="M1295" s="166">
        <f t="shared" si="2"/>
        <v>3.237737746</v>
      </c>
      <c r="N1295" s="167">
        <f t="shared" si="3"/>
        <v>20.26197917</v>
      </c>
      <c r="O1295" s="163">
        <f t="shared" ref="O1295:Q1295" si="1299">rank(I1295,I:I)</f>
        <v>3178</v>
      </c>
      <c r="P1295" s="163">
        <f t="shared" si="1299"/>
        <v>808</v>
      </c>
      <c r="Q1295" s="163">
        <f t="shared" si="1299"/>
        <v>618</v>
      </c>
      <c r="R1295" s="163">
        <f>IFERROR(__xludf.DUMMYFUNCTION("RANK(M1295,filter(M:M,C:C=C1295))"),113.0)</f>
        <v>113</v>
      </c>
      <c r="S1295" s="161" t="b">
        <f t="shared" si="5"/>
        <v>0</v>
      </c>
      <c r="T1295" s="161" t="b">
        <f t="array" ref="T1295">index('Query Tool'!B:B,match(H1295,'Query Tool'!C:C,0))</f>
        <v>1</v>
      </c>
      <c r="U1295" s="161" t="b">
        <f t="array" ref="U1295">index('Query Tool'!B:B,match(C1295,'Query Tool'!C:C,0))</f>
        <v>0</v>
      </c>
      <c r="V1295" s="161" t="b">
        <f>F1295&gt;='Query Tool'!C$32</f>
        <v>1</v>
      </c>
      <c r="W1295" s="161" t="b">
        <f t="array" ref="W1295">index(Dropdowns!B:B,match(I1295,Dropdowns!A:A,0))</f>
        <v>1</v>
      </c>
      <c r="X1295" s="161" t="b">
        <f t="array" ref="X1295">index('Query Tool'!B:B,match(D1295,'Query Tool'!C:C,0))</f>
        <v>1</v>
      </c>
      <c r="Y1295" s="161" t="str">
        <f t="shared" si="6"/>
        <v>schrode01,2015-16</v>
      </c>
      <c r="Z1295" s="168">
        <f t="array" ref="Z1295">iferror(index(I:I,match($A1295&amp;","&amp;index('Year Conversion'!$A:$A,match($C1295,'Year Conversion'!$B:$B,0)),$Y:$Y,0))-I1295,"")</f>
        <v>1</v>
      </c>
      <c r="AA1295" s="168">
        <f t="array" ref="AA1295">iferror(index(J:J,match($A1295&amp;","&amp;index('Year Conversion'!$A:$A,match($C1295,'Year Conversion'!$B:$B,0)),$Y:$Y,0))-J1295,"")</f>
        <v>-1.869391238</v>
      </c>
      <c r="AB1295" s="168">
        <f t="array" ref="AB1295">iferror(index(K:K,match($A1295&amp;","&amp;index('Year Conversion'!$A:$A,match($C1295,'Year Conversion'!$B:$B,0)),$Y:$Y,0))-K1295,"")</f>
        <v>-0.6274555859</v>
      </c>
      <c r="AC1295" s="168" t="str">
        <f t="shared" si="7"/>
        <v>ATL,2015-16</v>
      </c>
    </row>
    <row r="1296">
      <c r="A1296" s="161" t="str">
        <f>IFERROR(__xludf.DUMMYFUNCTION("""COMPUTED_VALUE"""),"dedmode01")</f>
        <v>dedmode01</v>
      </c>
      <c r="B1296" s="161" t="str">
        <f>IFERROR(__xludf.DUMMYFUNCTION("""COMPUTED_VALUE"""),"Dewayne Dedmon")</f>
        <v>Dewayne Dedmon</v>
      </c>
      <c r="C1296" s="162" t="str">
        <f>IFERROR(__xludf.DUMMYFUNCTION("""COMPUTED_VALUE"""),"2015-16")</f>
        <v>2015-16</v>
      </c>
      <c r="D1296" s="163" t="str">
        <f>IFERROR(__xludf.DUMMYFUNCTION("""COMPUTED_VALUE"""),"ORL")</f>
        <v>ORL</v>
      </c>
      <c r="E1296" s="164" t="str">
        <f>IFERROR(__xludf.DUMMYFUNCTION("""COMPUTED_VALUE"""),"Roll + Cut Big")</f>
        <v>Roll + Cut Big</v>
      </c>
      <c r="F1296" s="164">
        <f>IFERROR(__xludf.DUMMYFUNCTION("""COMPUTED_VALUE"""),704.875)</f>
        <v>704.875</v>
      </c>
      <c r="G1296" s="163">
        <f>IFERROR(__xludf.DUMMYFUNCTION("""COMPUTED_VALUE"""),58.0)</f>
        <v>58</v>
      </c>
      <c r="H1296" s="163" t="str">
        <f>IFERROR(__xludf.DUMMYFUNCTION("""COMPUTED_VALUE"""),"C")</f>
        <v>C</v>
      </c>
      <c r="I1296" s="163">
        <f>IFERROR(__xludf.DUMMYFUNCTION("""COMPUTED_VALUE"""),26.0)</f>
        <v>26</v>
      </c>
      <c r="J1296" s="165">
        <f>IFERROR(__xludf.DUMMYFUNCTION("""COMPUTED_VALUE"""),-0.162565581292026)</f>
        <v>-0.1625655813</v>
      </c>
      <c r="K1296" s="165">
        <f>IFERROR(__xludf.DUMMYFUNCTION("""COMPUTED_VALUE"""),-1.50431381326367)</f>
        <v>-1.504313813</v>
      </c>
      <c r="L1296" s="165">
        <f>IFERROR(__xludf.DUMMYFUNCTION("""COMPUTED_VALUE"""),1.34174823197164)</f>
        <v>1.341748232</v>
      </c>
      <c r="M1296" s="166">
        <f t="shared" si="2"/>
        <v>1.009430786</v>
      </c>
      <c r="N1296" s="167">
        <f t="shared" si="3"/>
        <v>12.15301724</v>
      </c>
      <c r="O1296" s="163">
        <f t="shared" ref="O1296:Q1296" si="1300">rank(I1296,I:I)</f>
        <v>1665</v>
      </c>
      <c r="P1296" s="163">
        <f t="shared" si="1300"/>
        <v>1458</v>
      </c>
      <c r="Q1296" s="163">
        <f t="shared" si="1300"/>
        <v>3359</v>
      </c>
      <c r="R1296" s="163">
        <f>IFERROR(__xludf.DUMMYFUNCTION("RANK(M1296,filter(M:M,C:C=C1296))"),218.0)</f>
        <v>218</v>
      </c>
      <c r="S1296" s="161" t="b">
        <f t="shared" si="5"/>
        <v>0</v>
      </c>
      <c r="T1296" s="161" t="b">
        <f t="array" ref="T1296">index('Query Tool'!B:B,match(H1296,'Query Tool'!C:C,0))</f>
        <v>1</v>
      </c>
      <c r="U1296" s="161" t="b">
        <f t="array" ref="U1296">index('Query Tool'!B:B,match(C1296,'Query Tool'!C:C,0))</f>
        <v>0</v>
      </c>
      <c r="V1296" s="161" t="b">
        <f>F1296&gt;='Query Tool'!C$32</f>
        <v>1</v>
      </c>
      <c r="W1296" s="161" t="b">
        <f t="array" ref="W1296">index(Dropdowns!B:B,match(I1296,Dropdowns!A:A,0))</f>
        <v>1</v>
      </c>
      <c r="X1296" s="161" t="b">
        <f t="array" ref="X1296">index('Query Tool'!B:B,match(D1296,'Query Tool'!C:C,0))</f>
        <v>1</v>
      </c>
      <c r="Y1296" s="161" t="str">
        <f t="shared" si="6"/>
        <v>dedmode01,2015-16</v>
      </c>
      <c r="Z1296" s="168">
        <f t="array" ref="Z1296">iferror(index(I:I,match($A1296&amp;","&amp;index('Year Conversion'!$A:$A,match($C1296,'Year Conversion'!$B:$B,0)),$Y:$Y,0))-I1296,"")</f>
        <v>1</v>
      </c>
      <c r="AA1296" s="168">
        <f t="array" ref="AA1296">iferror(index(J:J,match($A1296&amp;","&amp;index('Year Conversion'!$A:$A,match($C1296,'Year Conversion'!$B:$B,0)),$Y:$Y,0))-J1296,"")</f>
        <v>1.94111784</v>
      </c>
      <c r="AB1296" s="168">
        <f t="array" ref="AB1296">iferror(index(K:K,match($A1296&amp;","&amp;index('Year Conversion'!$A:$A,match($C1296,'Year Conversion'!$B:$B,0)),$Y:$Y,0))-K1296,"")</f>
        <v>0.1137751743</v>
      </c>
      <c r="AC1296" s="168" t="str">
        <f t="shared" si="7"/>
        <v>ORL,2015-16</v>
      </c>
    </row>
    <row r="1297">
      <c r="A1297" s="161" t="str">
        <f>IFERROR(__xludf.DUMMYFUNCTION("""COMPUTED_VALUE"""),"greener01")</f>
        <v>greener01</v>
      </c>
      <c r="B1297" s="161" t="str">
        <f>IFERROR(__xludf.DUMMYFUNCTION("""COMPUTED_VALUE"""),"Erick Green")</f>
        <v>Erick Green</v>
      </c>
      <c r="C1297" s="162" t="str">
        <f>IFERROR(__xludf.DUMMYFUNCTION("""COMPUTED_VALUE"""),"2015-16")</f>
        <v>2015-16</v>
      </c>
      <c r="D1297" s="163" t="str">
        <f>IFERROR(__xludf.DUMMYFUNCTION("""COMPUTED_VALUE"""),"TOT")</f>
        <v>TOT</v>
      </c>
      <c r="E1297" s="164" t="str">
        <f>IFERROR(__xludf.DUMMYFUNCTION("""COMPUTED_VALUE"""),"Secondary Ball Handler")</f>
        <v>Secondary Ball Handler</v>
      </c>
      <c r="F1297" s="164">
        <f>IFERROR(__xludf.DUMMYFUNCTION("""COMPUTED_VALUE"""),42.1333333333333)</f>
        <v>42.13333333</v>
      </c>
      <c r="G1297" s="163">
        <f>IFERROR(__xludf.DUMMYFUNCTION("""COMPUTED_VALUE"""),9.0)</f>
        <v>9</v>
      </c>
      <c r="H1297" s="163" t="str">
        <f>IFERROR(__xludf.DUMMYFUNCTION("""COMPUTED_VALUE"""),"PG")</f>
        <v>PG</v>
      </c>
      <c r="I1297" s="163">
        <f>IFERROR(__xludf.DUMMYFUNCTION("""COMPUTED_VALUE"""),24.0)</f>
        <v>24</v>
      </c>
      <c r="J1297" s="165">
        <f>IFERROR(__xludf.DUMMYFUNCTION("""COMPUTED_VALUE"""),-0.17884064926393)</f>
        <v>-0.1788406493</v>
      </c>
      <c r="K1297" s="165">
        <f>IFERROR(__xludf.DUMMYFUNCTION("""COMPUTED_VALUE"""),0.183398926888539)</f>
        <v>0.1833989269</v>
      </c>
      <c r="L1297" s="165">
        <f>IFERROR(__xludf.DUMMYFUNCTION("""COMPUTED_VALUE"""),-0.362239576152469)</f>
        <v>-0.3622395762</v>
      </c>
      <c r="M1297" s="166">
        <f t="shared" si="2"/>
        <v>0.05987565806</v>
      </c>
      <c r="N1297" s="167">
        <f t="shared" si="3"/>
        <v>4.681481481</v>
      </c>
      <c r="O1297" s="163">
        <f t="shared" ref="O1297:Q1297" si="1301">rank(I1297,I:I)</f>
        <v>2361</v>
      </c>
      <c r="P1297" s="163">
        <f t="shared" si="1301"/>
        <v>1481</v>
      </c>
      <c r="Q1297" s="163">
        <f t="shared" si="1301"/>
        <v>996</v>
      </c>
      <c r="R1297" s="163">
        <f>IFERROR(__xludf.DUMMYFUNCTION("RANK(M1297,filter(M:M,C:C=C1297))"),393.0)</f>
        <v>393</v>
      </c>
      <c r="S1297" s="161" t="b">
        <f t="shared" si="5"/>
        <v>0</v>
      </c>
      <c r="T1297" s="161" t="b">
        <f t="array" ref="T1297">index('Query Tool'!B:B,match(H1297,'Query Tool'!C:C,0))</f>
        <v>1</v>
      </c>
      <c r="U1297" s="161" t="b">
        <f t="array" ref="U1297">index('Query Tool'!B:B,match(C1297,'Query Tool'!C:C,0))</f>
        <v>0</v>
      </c>
      <c r="V1297" s="161" t="b">
        <f>F1297&gt;='Query Tool'!C$32</f>
        <v>0</v>
      </c>
      <c r="W1297" s="161" t="b">
        <f t="array" ref="W1297">index(Dropdowns!B:B,match(I1297,Dropdowns!A:A,0))</f>
        <v>1</v>
      </c>
      <c r="X1297" s="161" t="b">
        <f t="array" ref="X1297">index('Query Tool'!B:B,match(D1297,'Query Tool'!C:C,0))</f>
        <v>1</v>
      </c>
      <c r="Y1297" s="161" t="str">
        <f t="shared" si="6"/>
        <v>greener01,2015-16</v>
      </c>
      <c r="Z1297" s="168" t="str">
        <f t="array" ref="Z1297">iferror(index(I:I,match($A1297&amp;","&amp;index('Year Conversion'!$A:$A,match($C1297,'Year Conversion'!$B:$B,0)),$Y:$Y,0))-I1297,"")</f>
        <v/>
      </c>
      <c r="AA1297" s="168" t="str">
        <f t="array" ref="AA1297">iferror(index(J:J,match($A1297&amp;","&amp;index('Year Conversion'!$A:$A,match($C1297,'Year Conversion'!$B:$B,0)),$Y:$Y,0))-J1297,"")</f>
        <v/>
      </c>
      <c r="AB1297" s="168" t="str">
        <f t="array" ref="AB1297">iferror(index(K:K,match($A1297&amp;","&amp;index('Year Conversion'!$A:$A,match($C1297,'Year Conversion'!$B:$B,0)),$Y:$Y,0))-K1297,"")</f>
        <v/>
      </c>
      <c r="AC1297" s="168" t="str">
        <f t="shared" si="7"/>
        <v>TOT,2015-16</v>
      </c>
    </row>
    <row r="1298">
      <c r="A1298" s="161" t="str">
        <f>IFERROR(__xludf.DUMMYFUNCTION("""COMPUTED_VALUE"""),"dienggo01")</f>
        <v>dienggo01</v>
      </c>
      <c r="B1298" s="161" t="str">
        <f>IFERROR(__xludf.DUMMYFUNCTION("""COMPUTED_VALUE"""),"Gorgui Dieng")</f>
        <v>Gorgui Dieng</v>
      </c>
      <c r="C1298" s="162" t="str">
        <f>IFERROR(__xludf.DUMMYFUNCTION("""COMPUTED_VALUE"""),"2015-16")</f>
        <v>2015-16</v>
      </c>
      <c r="D1298" s="163" t="str">
        <f>IFERROR(__xludf.DUMMYFUNCTION("""COMPUTED_VALUE"""),"MIN")</f>
        <v>MIN</v>
      </c>
      <c r="E1298" s="164" t="str">
        <f>IFERROR(__xludf.DUMMYFUNCTION("""COMPUTED_VALUE"""),"Post Scorer")</f>
        <v>Post Scorer</v>
      </c>
      <c r="F1298" s="164">
        <f>IFERROR(__xludf.DUMMYFUNCTION("""COMPUTED_VALUE"""),2220.06833333333)</f>
        <v>2220.068333</v>
      </c>
      <c r="G1298" s="163">
        <f>IFERROR(__xludf.DUMMYFUNCTION("""COMPUTED_VALUE"""),82.0)</f>
        <v>82</v>
      </c>
      <c r="H1298" s="163" t="str">
        <f>IFERROR(__xludf.DUMMYFUNCTION("""COMPUTED_VALUE"""),"C")</f>
        <v>C</v>
      </c>
      <c r="I1298" s="163">
        <f>IFERROR(__xludf.DUMMYFUNCTION("""COMPUTED_VALUE"""),26.0)</f>
        <v>26</v>
      </c>
      <c r="J1298" s="165">
        <f>IFERROR(__xludf.DUMMYFUNCTION("""COMPUTED_VALUE"""),0.894058852283773)</f>
        <v>0.8940588523</v>
      </c>
      <c r="K1298" s="165">
        <f>IFERROR(__xludf.DUMMYFUNCTION("""COMPUTED_VALUE"""),-0.711121400722247)</f>
        <v>-0.7111214007</v>
      </c>
      <c r="L1298" s="165">
        <f>IFERROR(__xludf.DUMMYFUNCTION("""COMPUTED_VALUE"""),1.60518025300602)</f>
        <v>1.605180253</v>
      </c>
      <c r="M1298" s="166">
        <f t="shared" si="2"/>
        <v>4.759301683</v>
      </c>
      <c r="N1298" s="167">
        <f t="shared" si="3"/>
        <v>27.07400407</v>
      </c>
      <c r="O1298" s="163">
        <f t="shared" ref="O1298:Q1298" si="1302">rank(I1298,I:I)</f>
        <v>1665</v>
      </c>
      <c r="P1298" s="163">
        <f t="shared" si="1302"/>
        <v>698</v>
      </c>
      <c r="Q1298" s="163">
        <f t="shared" si="1302"/>
        <v>2428</v>
      </c>
      <c r="R1298" s="163">
        <f>IFERROR(__xludf.DUMMYFUNCTION("RANK(M1298,filter(M:M,C:C=C1298))"),70.0)</f>
        <v>70</v>
      </c>
      <c r="S1298" s="161" t="b">
        <f t="shared" si="5"/>
        <v>0</v>
      </c>
      <c r="T1298" s="161" t="b">
        <f t="array" ref="T1298">index('Query Tool'!B:B,match(H1298,'Query Tool'!C:C,0))</f>
        <v>1</v>
      </c>
      <c r="U1298" s="161" t="b">
        <f t="array" ref="U1298">index('Query Tool'!B:B,match(C1298,'Query Tool'!C:C,0))</f>
        <v>0</v>
      </c>
      <c r="V1298" s="161" t="b">
        <f>F1298&gt;='Query Tool'!C$32</f>
        <v>1</v>
      </c>
      <c r="W1298" s="161" t="b">
        <f t="array" ref="W1298">index(Dropdowns!B:B,match(I1298,Dropdowns!A:A,0))</f>
        <v>1</v>
      </c>
      <c r="X1298" s="161" t="b">
        <f t="array" ref="X1298">index('Query Tool'!B:B,match(D1298,'Query Tool'!C:C,0))</f>
        <v>1</v>
      </c>
      <c r="Y1298" s="161" t="str">
        <f t="shared" si="6"/>
        <v>dienggo01,2015-16</v>
      </c>
      <c r="Z1298" s="168">
        <f t="array" ref="Z1298">iferror(index(I:I,match($A1298&amp;","&amp;index('Year Conversion'!$A:$A,match($C1298,'Year Conversion'!$B:$B,0)),$Y:$Y,0))-I1298,"")</f>
        <v>1</v>
      </c>
      <c r="AA1298" s="168">
        <f t="array" ref="AA1298">iferror(index(J:J,match($A1298&amp;","&amp;index('Year Conversion'!$A:$A,match($C1298,'Year Conversion'!$B:$B,0)),$Y:$Y,0))-J1298,"")</f>
        <v>-0.5697173274</v>
      </c>
      <c r="AB1298" s="168">
        <f t="array" ref="AB1298">iferror(index(K:K,match($A1298&amp;","&amp;index('Year Conversion'!$A:$A,match($C1298,'Year Conversion'!$B:$B,0)),$Y:$Y,0))-K1298,"")</f>
        <v>-0.7366257939</v>
      </c>
      <c r="AC1298" s="168" t="str">
        <f t="shared" si="7"/>
        <v>MIN,2015-16</v>
      </c>
    </row>
    <row r="1299">
      <c r="A1299" s="161" t="str">
        <f>IFERROR(__xludf.DUMMYFUNCTION("""COMPUTED_VALUE"""),"canaais01")</f>
        <v>canaais01</v>
      </c>
      <c r="B1299" s="161" t="str">
        <f>IFERROR(__xludf.DUMMYFUNCTION("""COMPUTED_VALUE"""),"Isaiah Canaan")</f>
        <v>Isaiah Canaan</v>
      </c>
      <c r="C1299" s="162" t="str">
        <f>IFERROR(__xludf.DUMMYFUNCTION("""COMPUTED_VALUE"""),"2015-16")</f>
        <v>2015-16</v>
      </c>
      <c r="D1299" s="163" t="str">
        <f>IFERROR(__xludf.DUMMYFUNCTION("""COMPUTED_VALUE"""),"PHI")</f>
        <v>PHI</v>
      </c>
      <c r="E1299" s="164" t="str">
        <f>IFERROR(__xludf.DUMMYFUNCTION("""COMPUTED_VALUE"""),"Secondary Ball Handler")</f>
        <v>Secondary Ball Handler</v>
      </c>
      <c r="F1299" s="164">
        <f>IFERROR(__xludf.DUMMYFUNCTION("""COMPUTED_VALUE"""),1965.84833333333)</f>
        <v>1965.848333</v>
      </c>
      <c r="G1299" s="163">
        <f>IFERROR(__xludf.DUMMYFUNCTION("""COMPUTED_VALUE"""),77.0)</f>
        <v>77</v>
      </c>
      <c r="H1299" s="163" t="str">
        <f>IFERROR(__xludf.DUMMYFUNCTION("""COMPUTED_VALUE"""),"SG")</f>
        <v>SG</v>
      </c>
      <c r="I1299" s="163">
        <f>IFERROR(__xludf.DUMMYFUNCTION("""COMPUTED_VALUE"""),24.0)</f>
        <v>24</v>
      </c>
      <c r="J1299" s="165">
        <f>IFERROR(__xludf.DUMMYFUNCTION("""COMPUTED_VALUE"""),-3.23867777918288)</f>
        <v>-3.238677779</v>
      </c>
      <c r="K1299" s="165">
        <f>IFERROR(__xludf.DUMMYFUNCTION("""COMPUTED_VALUE"""),-1.30102693346684)</f>
        <v>-1.301026933</v>
      </c>
      <c r="L1299" s="165">
        <f>IFERROR(__xludf.DUMMYFUNCTION("""COMPUTED_VALUE"""),-1.93765084571604)</f>
        <v>-1.937650846</v>
      </c>
      <c r="M1299" s="166">
        <f t="shared" si="2"/>
        <v>-1.200241517</v>
      </c>
      <c r="N1299" s="167">
        <f t="shared" si="3"/>
        <v>25.53049784</v>
      </c>
      <c r="O1299" s="163">
        <f t="shared" ref="O1299:Q1299" si="1303">rank(I1299,I:I)</f>
        <v>2361</v>
      </c>
      <c r="P1299" s="163">
        <f t="shared" si="1303"/>
        <v>3934</v>
      </c>
      <c r="Q1299" s="163">
        <f t="shared" si="1303"/>
        <v>3149</v>
      </c>
      <c r="R1299" s="163">
        <f>IFERROR(__xludf.DUMMYFUNCTION("RANK(M1299,filter(M:M,C:C=C1299))"),470.0)</f>
        <v>470</v>
      </c>
      <c r="S1299" s="161" t="b">
        <f t="shared" si="5"/>
        <v>0</v>
      </c>
      <c r="T1299" s="161" t="b">
        <f t="array" ref="T1299">index('Query Tool'!B:B,match(H1299,'Query Tool'!C:C,0))</f>
        <v>1</v>
      </c>
      <c r="U1299" s="161" t="b">
        <f t="array" ref="U1299">index('Query Tool'!B:B,match(C1299,'Query Tool'!C:C,0))</f>
        <v>0</v>
      </c>
      <c r="V1299" s="161" t="b">
        <f>F1299&gt;='Query Tool'!C$32</f>
        <v>1</v>
      </c>
      <c r="W1299" s="161" t="b">
        <f t="array" ref="W1299">index(Dropdowns!B:B,match(I1299,Dropdowns!A:A,0))</f>
        <v>1</v>
      </c>
      <c r="X1299" s="161" t="b">
        <f t="array" ref="X1299">index('Query Tool'!B:B,match(D1299,'Query Tool'!C:C,0))</f>
        <v>1</v>
      </c>
      <c r="Y1299" s="161" t="str">
        <f t="shared" si="6"/>
        <v>canaais01,2015-16</v>
      </c>
      <c r="Z1299" s="168">
        <f t="array" ref="Z1299">iferror(index(I:I,match($A1299&amp;","&amp;index('Year Conversion'!$A:$A,match($C1299,'Year Conversion'!$B:$B,0)),$Y:$Y,0))-I1299,"")</f>
        <v>1</v>
      </c>
      <c r="AA1299" s="168">
        <f t="array" ref="AA1299">iferror(index(J:J,match($A1299&amp;","&amp;index('Year Conversion'!$A:$A,match($C1299,'Year Conversion'!$B:$B,0)),$Y:$Y,0))-J1299,"")</f>
        <v>1.014842094</v>
      </c>
      <c r="AB1299" s="168">
        <f t="array" ref="AB1299">iferror(index(K:K,match($A1299&amp;","&amp;index('Year Conversion'!$A:$A,match($C1299,'Year Conversion'!$B:$B,0)),$Y:$Y,0))-K1299,"")</f>
        <v>-0.1833871546</v>
      </c>
      <c r="AC1299" s="168" t="str">
        <f t="shared" si="7"/>
        <v>PHI,2015-16</v>
      </c>
    </row>
    <row r="1300">
      <c r="A1300" s="161" t="str">
        <f>IFERROR(__xludf.DUMMYFUNCTION("""COMPUTED_VALUE"""),"witheje01")</f>
        <v>witheje01</v>
      </c>
      <c r="B1300" s="161" t="str">
        <f>IFERROR(__xludf.DUMMYFUNCTION("""COMPUTED_VALUE"""),"Jeff Withey")</f>
        <v>Jeff Withey</v>
      </c>
      <c r="C1300" s="162" t="str">
        <f>IFERROR(__xludf.DUMMYFUNCTION("""COMPUTED_VALUE"""),"2015-16")</f>
        <v>2015-16</v>
      </c>
      <c r="D1300" s="163" t="str">
        <f>IFERROR(__xludf.DUMMYFUNCTION("""COMPUTED_VALUE"""),"UTA")</f>
        <v>UTA</v>
      </c>
      <c r="E1300" s="164" t="str">
        <f>IFERROR(__xludf.DUMMYFUNCTION("""COMPUTED_VALUE"""),"Roll + Cut Big")</f>
        <v>Roll + Cut Big</v>
      </c>
      <c r="F1300" s="164">
        <f>IFERROR(__xludf.DUMMYFUNCTION("""COMPUTED_VALUE"""),657.885)</f>
        <v>657.885</v>
      </c>
      <c r="G1300" s="163">
        <f>IFERROR(__xludf.DUMMYFUNCTION("""COMPUTED_VALUE"""),51.0)</f>
        <v>51</v>
      </c>
      <c r="H1300" s="163" t="str">
        <f>IFERROR(__xludf.DUMMYFUNCTION("""COMPUTED_VALUE"""),"C")</f>
        <v>C</v>
      </c>
      <c r="I1300" s="163">
        <f>IFERROR(__xludf.DUMMYFUNCTION("""COMPUTED_VALUE"""),25.0)</f>
        <v>25</v>
      </c>
      <c r="J1300" s="165">
        <f>IFERROR(__xludf.DUMMYFUNCTION("""COMPUTED_VALUE"""),1.50869262160812)</f>
        <v>1.508692622</v>
      </c>
      <c r="K1300" s="165">
        <f>IFERROR(__xludf.DUMMYFUNCTION("""COMPUTED_VALUE"""),-1.13178553446797)</f>
        <v>-1.131785534</v>
      </c>
      <c r="L1300" s="165">
        <f>IFERROR(__xludf.DUMMYFUNCTION("""COMPUTED_VALUE"""),2.64047815607609)</f>
        <v>2.640478156</v>
      </c>
      <c r="M1300" s="166">
        <f t="shared" si="2"/>
        <v>1.681296036</v>
      </c>
      <c r="N1300" s="167">
        <f t="shared" si="3"/>
        <v>12.89970588</v>
      </c>
      <c r="O1300" s="163">
        <f t="shared" ref="O1300:Q1300" si="1304">rank(I1300,I:I)</f>
        <v>1995</v>
      </c>
      <c r="P1300" s="163">
        <f t="shared" si="1304"/>
        <v>453</v>
      </c>
      <c r="Q1300" s="163">
        <f t="shared" si="1304"/>
        <v>2963</v>
      </c>
      <c r="R1300" s="163">
        <f>IFERROR(__xludf.DUMMYFUNCTION("RANK(M1300,filter(M:M,C:C=C1300))"),174.0)</f>
        <v>174</v>
      </c>
      <c r="S1300" s="161" t="b">
        <f t="shared" si="5"/>
        <v>0</v>
      </c>
      <c r="T1300" s="161" t="b">
        <f t="array" ref="T1300">index('Query Tool'!B:B,match(H1300,'Query Tool'!C:C,0))</f>
        <v>1</v>
      </c>
      <c r="U1300" s="161" t="b">
        <f t="array" ref="U1300">index('Query Tool'!B:B,match(C1300,'Query Tool'!C:C,0))</f>
        <v>0</v>
      </c>
      <c r="V1300" s="161" t="b">
        <f>F1300&gt;='Query Tool'!C$32</f>
        <v>1</v>
      </c>
      <c r="W1300" s="161" t="b">
        <f t="array" ref="W1300">index(Dropdowns!B:B,match(I1300,Dropdowns!A:A,0))</f>
        <v>1</v>
      </c>
      <c r="X1300" s="161" t="b">
        <f t="array" ref="X1300">index('Query Tool'!B:B,match(D1300,'Query Tool'!C:C,0))</f>
        <v>1</v>
      </c>
      <c r="Y1300" s="161" t="str">
        <f t="shared" si="6"/>
        <v>witheje01,2015-16</v>
      </c>
      <c r="Z1300" s="168">
        <f t="array" ref="Z1300">iferror(index(I:I,match($A1300&amp;","&amp;index('Year Conversion'!$A:$A,match($C1300,'Year Conversion'!$B:$B,0)),$Y:$Y,0))-I1300,"")</f>
        <v>1</v>
      </c>
      <c r="AA1300" s="168">
        <f t="array" ref="AA1300">iferror(index(J:J,match($A1300&amp;","&amp;index('Year Conversion'!$A:$A,match($C1300,'Year Conversion'!$B:$B,0)),$Y:$Y,0))-J1300,"")</f>
        <v>-0.7167784815</v>
      </c>
      <c r="AB1300" s="168">
        <f t="array" ref="AB1300">iferror(index(K:K,match($A1300&amp;","&amp;index('Year Conversion'!$A:$A,match($C1300,'Year Conversion'!$B:$B,0)),$Y:$Y,0))-K1300,"")</f>
        <v>0.7475081698</v>
      </c>
      <c r="AC1300" s="168" t="str">
        <f t="shared" si="7"/>
        <v>UTA,2015-16</v>
      </c>
    </row>
    <row r="1301">
      <c r="A1301" s="161" t="str">
        <f>IFERROR(__xludf.DUMMYFUNCTION("""COMPUTED_VALUE"""),"olynyke01")</f>
        <v>olynyke01</v>
      </c>
      <c r="B1301" s="161" t="str">
        <f>IFERROR(__xludf.DUMMYFUNCTION("""COMPUTED_VALUE"""),"Kelly Olynyk")</f>
        <v>Kelly Olynyk</v>
      </c>
      <c r="C1301" s="162" t="str">
        <f>IFERROR(__xludf.DUMMYFUNCTION("""COMPUTED_VALUE"""),"2015-16")</f>
        <v>2015-16</v>
      </c>
      <c r="D1301" s="163" t="str">
        <f>IFERROR(__xludf.DUMMYFUNCTION("""COMPUTED_VALUE"""),"BOS")</f>
        <v>BOS</v>
      </c>
      <c r="E1301" s="164" t="str">
        <f>IFERROR(__xludf.DUMMYFUNCTION("""COMPUTED_VALUE"""),"Stretch Big")</f>
        <v>Stretch Big</v>
      </c>
      <c r="F1301" s="164">
        <f>IFERROR(__xludf.DUMMYFUNCTION("""COMPUTED_VALUE"""),1394.84666666667)</f>
        <v>1394.846667</v>
      </c>
      <c r="G1301" s="163">
        <f>IFERROR(__xludf.DUMMYFUNCTION("""COMPUTED_VALUE"""),69.0)</f>
        <v>69</v>
      </c>
      <c r="H1301" s="163" t="str">
        <f>IFERROR(__xludf.DUMMYFUNCTION("""COMPUTED_VALUE"""),"C")</f>
        <v>C</v>
      </c>
      <c r="I1301" s="163">
        <f>IFERROR(__xludf.DUMMYFUNCTION("""COMPUTED_VALUE"""),24.0)</f>
        <v>24</v>
      </c>
      <c r="J1301" s="165">
        <f>IFERROR(__xludf.DUMMYFUNCTION("""COMPUTED_VALUE"""),0.305396609292633)</f>
        <v>0.3053966093</v>
      </c>
      <c r="K1301" s="165">
        <f>IFERROR(__xludf.DUMMYFUNCTION("""COMPUTED_VALUE"""),-0.506583530760992)</f>
        <v>-0.5065835308</v>
      </c>
      <c r="L1301" s="165">
        <f>IFERROR(__xludf.DUMMYFUNCTION("""COMPUTED_VALUE"""),0.811980140053625)</f>
        <v>0.8119801401</v>
      </c>
      <c r="M1301" s="166">
        <f t="shared" si="2"/>
        <v>2.437543757</v>
      </c>
      <c r="N1301" s="167">
        <f t="shared" si="3"/>
        <v>20.21516908</v>
      </c>
      <c r="O1301" s="163">
        <f t="shared" ref="O1301:Q1301" si="1305">rank(I1301,I:I)</f>
        <v>2361</v>
      </c>
      <c r="P1301" s="163">
        <f t="shared" si="1305"/>
        <v>1014</v>
      </c>
      <c r="Q1301" s="163">
        <f t="shared" si="1305"/>
        <v>2115</v>
      </c>
      <c r="R1301" s="163">
        <f>IFERROR(__xludf.DUMMYFUNCTION("RANK(M1301,filter(M:M,C:C=C1301))"),136.0)</f>
        <v>136</v>
      </c>
      <c r="S1301" s="161" t="b">
        <f t="shared" si="5"/>
        <v>0</v>
      </c>
      <c r="T1301" s="161" t="b">
        <f t="array" ref="T1301">index('Query Tool'!B:B,match(H1301,'Query Tool'!C:C,0))</f>
        <v>1</v>
      </c>
      <c r="U1301" s="161" t="b">
        <f t="array" ref="U1301">index('Query Tool'!B:B,match(C1301,'Query Tool'!C:C,0))</f>
        <v>0</v>
      </c>
      <c r="V1301" s="161" t="b">
        <f>F1301&gt;='Query Tool'!C$32</f>
        <v>1</v>
      </c>
      <c r="W1301" s="161" t="b">
        <f t="array" ref="W1301">index(Dropdowns!B:B,match(I1301,Dropdowns!A:A,0))</f>
        <v>1</v>
      </c>
      <c r="X1301" s="161" t="b">
        <f t="array" ref="X1301">index('Query Tool'!B:B,match(D1301,'Query Tool'!C:C,0))</f>
        <v>1</v>
      </c>
      <c r="Y1301" s="161" t="str">
        <f t="shared" si="6"/>
        <v>olynyke01,2015-16</v>
      </c>
      <c r="Z1301" s="168">
        <f t="array" ref="Z1301">iferror(index(I:I,match($A1301&amp;","&amp;index('Year Conversion'!$A:$A,match($C1301,'Year Conversion'!$B:$B,0)),$Y:$Y,0))-I1301,"")</f>
        <v>1</v>
      </c>
      <c r="AA1301" s="168">
        <f t="array" ref="AA1301">iferror(index(J:J,match($A1301&amp;","&amp;index('Year Conversion'!$A:$A,match($C1301,'Year Conversion'!$B:$B,0)),$Y:$Y,0))-J1301,"")</f>
        <v>-0.9731817449</v>
      </c>
      <c r="AB1301" s="168">
        <f t="array" ref="AB1301">iferror(index(K:K,match($A1301&amp;","&amp;index('Year Conversion'!$A:$A,match($C1301,'Year Conversion'!$B:$B,0)),$Y:$Y,0))-K1301,"")</f>
        <v>-0.2676811671</v>
      </c>
      <c r="AC1301" s="168" t="str">
        <f t="shared" si="7"/>
        <v>BOS,2015-16</v>
      </c>
    </row>
    <row r="1302">
      <c r="A1302" s="161" t="str">
        <f>IFERROR(__xludf.DUMMYFUNCTION("""COMPUTED_VALUE"""),"caldwke01")</f>
        <v>caldwke01</v>
      </c>
      <c r="B1302" s="161" t="str">
        <f>IFERROR(__xludf.DUMMYFUNCTION("""COMPUTED_VALUE"""),"Kentavious Caldwell-Pope")</f>
        <v>Kentavious Caldwell-Pope</v>
      </c>
      <c r="C1302" s="162" t="str">
        <f>IFERROR(__xludf.DUMMYFUNCTION("""COMPUTED_VALUE"""),"2015-16")</f>
        <v>2015-16</v>
      </c>
      <c r="D1302" s="163" t="str">
        <f>IFERROR(__xludf.DUMMYFUNCTION("""COMPUTED_VALUE"""),"DET")</f>
        <v>DET</v>
      </c>
      <c r="E1302" s="164" t="str">
        <f>IFERROR(__xludf.DUMMYFUNCTION("""COMPUTED_VALUE"""),"Secondary Ball Handler")</f>
        <v>Secondary Ball Handler</v>
      </c>
      <c r="F1302" s="164">
        <f>IFERROR(__xludf.DUMMYFUNCTION("""COMPUTED_VALUE"""),2788.73166666667)</f>
        <v>2788.731667</v>
      </c>
      <c r="G1302" s="163">
        <f>IFERROR(__xludf.DUMMYFUNCTION("""COMPUTED_VALUE"""),76.0)</f>
        <v>76</v>
      </c>
      <c r="H1302" s="163" t="str">
        <f>IFERROR(__xludf.DUMMYFUNCTION("""COMPUTED_VALUE"""),"SG")</f>
        <v>SG</v>
      </c>
      <c r="I1302" s="163">
        <f>IFERROR(__xludf.DUMMYFUNCTION("""COMPUTED_VALUE"""),22.0)</f>
        <v>22</v>
      </c>
      <c r="J1302" s="165">
        <f>IFERROR(__xludf.DUMMYFUNCTION("""COMPUTED_VALUE"""),1.19949975205055)</f>
        <v>1.199499752</v>
      </c>
      <c r="K1302" s="165">
        <f>IFERROR(__xludf.DUMMYFUNCTION("""COMPUTED_VALUE"""),1.24597176936437)</f>
        <v>1.245971769</v>
      </c>
      <c r="L1302" s="165">
        <f>IFERROR(__xludf.DUMMYFUNCTION("""COMPUTED_VALUE"""),-0.046472017313819)</f>
        <v>-0.04647201731</v>
      </c>
      <c r="M1302" s="166">
        <f t="shared" si="2"/>
        <v>6.550018642</v>
      </c>
      <c r="N1302" s="167">
        <f t="shared" si="3"/>
        <v>36.69383772</v>
      </c>
      <c r="O1302" s="163">
        <f t="shared" ref="O1302:Q1302" si="1306">rank(I1302,I:I)</f>
        <v>3178</v>
      </c>
      <c r="P1302" s="163">
        <f t="shared" si="1306"/>
        <v>572</v>
      </c>
      <c r="Q1302" s="163">
        <f t="shared" si="1306"/>
        <v>401</v>
      </c>
      <c r="R1302" s="163">
        <f>IFERROR(__xludf.DUMMYFUNCTION("RANK(M1302,filter(M:M,C:C=C1302))"),37.0)</f>
        <v>37</v>
      </c>
      <c r="S1302" s="161" t="b">
        <f t="shared" si="5"/>
        <v>0</v>
      </c>
      <c r="T1302" s="161" t="b">
        <f t="array" ref="T1302">index('Query Tool'!B:B,match(H1302,'Query Tool'!C:C,0))</f>
        <v>1</v>
      </c>
      <c r="U1302" s="161" t="b">
        <f t="array" ref="U1302">index('Query Tool'!B:B,match(C1302,'Query Tool'!C:C,0))</f>
        <v>0</v>
      </c>
      <c r="V1302" s="161" t="b">
        <f>F1302&gt;='Query Tool'!C$32</f>
        <v>1</v>
      </c>
      <c r="W1302" s="161" t="b">
        <f t="array" ref="W1302">index(Dropdowns!B:B,match(I1302,Dropdowns!A:A,0))</f>
        <v>1</v>
      </c>
      <c r="X1302" s="161" t="b">
        <f t="array" ref="X1302">index('Query Tool'!B:B,match(D1302,'Query Tool'!C:C,0))</f>
        <v>1</v>
      </c>
      <c r="Y1302" s="161" t="str">
        <f t="shared" si="6"/>
        <v>caldwke01,2015-16</v>
      </c>
      <c r="Z1302" s="168">
        <f t="array" ref="Z1302">iferror(index(I:I,match($A1302&amp;","&amp;index('Year Conversion'!$A:$A,match($C1302,'Year Conversion'!$B:$B,0)),$Y:$Y,0))-I1302,"")</f>
        <v>1</v>
      </c>
      <c r="AA1302" s="168">
        <f t="array" ref="AA1302">iferror(index(J:J,match($A1302&amp;","&amp;index('Year Conversion'!$A:$A,match($C1302,'Year Conversion'!$B:$B,0)),$Y:$Y,0))-J1302,"")</f>
        <v>-1.316848226</v>
      </c>
      <c r="AB1302" s="168">
        <f t="array" ref="AB1302">iferror(index(K:K,match($A1302&amp;","&amp;index('Year Conversion'!$A:$A,match($C1302,'Year Conversion'!$B:$B,0)),$Y:$Y,0))-K1302,"")</f>
        <v>-0.8317821553</v>
      </c>
      <c r="AC1302" s="168" t="str">
        <f t="shared" si="7"/>
        <v>DET,2015-16</v>
      </c>
    </row>
    <row r="1303">
      <c r="A1303" s="161" t="str">
        <f>IFERROR(__xludf.DUMMYFUNCTION("""COMPUTED_VALUE"""),"brownlo01")</f>
        <v>brownlo01</v>
      </c>
      <c r="B1303" s="161" t="str">
        <f>IFERROR(__xludf.DUMMYFUNCTION("""COMPUTED_VALUE"""),"Lorenzo Brown")</f>
        <v>Lorenzo Brown</v>
      </c>
      <c r="C1303" s="162" t="str">
        <f>IFERROR(__xludf.DUMMYFUNCTION("""COMPUTED_VALUE"""),"2015-16")</f>
        <v>2015-16</v>
      </c>
      <c r="D1303" s="163" t="str">
        <f>IFERROR(__xludf.DUMMYFUNCTION("""COMPUTED_VALUE"""),"PHO")</f>
        <v>PHO</v>
      </c>
      <c r="E1303" s="164" t="str">
        <f>IFERROR(__xludf.DUMMYFUNCTION("""COMPUTED_VALUE"""),"Secondary Ball Handler")</f>
        <v>Secondary Ball Handler</v>
      </c>
      <c r="F1303" s="164">
        <f>IFERROR(__xludf.DUMMYFUNCTION("""COMPUTED_VALUE"""),60.7333333333333)</f>
        <v>60.73333333</v>
      </c>
      <c r="G1303" s="163">
        <f>IFERROR(__xludf.DUMMYFUNCTION("""COMPUTED_VALUE"""),8.0)</f>
        <v>8</v>
      </c>
      <c r="H1303" s="163" t="str">
        <f>IFERROR(__xludf.DUMMYFUNCTION("""COMPUTED_VALUE"""),"PG")</f>
        <v>PG</v>
      </c>
      <c r="I1303" s="163">
        <f>IFERROR(__xludf.DUMMYFUNCTION("""COMPUTED_VALUE"""),25.0)</f>
        <v>25</v>
      </c>
      <c r="J1303" s="165">
        <f>IFERROR(__xludf.DUMMYFUNCTION("""COMPUTED_VALUE"""),-0.0309984893667775)</f>
        <v>-0.03099848937</v>
      </c>
      <c r="K1303" s="165">
        <f>IFERROR(__xludf.DUMMYFUNCTION("""COMPUTED_VALUE"""),-0.195780649345719)</f>
        <v>-0.1957806493</v>
      </c>
      <c r="L1303" s="165">
        <f>IFERROR(__xludf.DUMMYFUNCTION("""COMPUTED_VALUE"""),0.164782159978942)</f>
        <v>0.16478216</v>
      </c>
      <c r="M1303" s="166">
        <f t="shared" si="2"/>
        <v>0.09236129947</v>
      </c>
      <c r="N1303" s="167">
        <f t="shared" si="3"/>
        <v>7.591666667</v>
      </c>
      <c r="O1303" s="163">
        <f t="shared" ref="O1303:Q1303" si="1307">rank(I1303,I:I)</f>
        <v>1995</v>
      </c>
      <c r="P1303" s="163">
        <f t="shared" si="1307"/>
        <v>1317</v>
      </c>
      <c r="Q1303" s="163">
        <f t="shared" si="1307"/>
        <v>1558</v>
      </c>
      <c r="R1303" s="163">
        <f>IFERROR(__xludf.DUMMYFUNCTION("RANK(M1303,filter(M:M,C:C=C1303))"),373.0)</f>
        <v>373</v>
      </c>
      <c r="S1303" s="161" t="b">
        <f t="shared" si="5"/>
        <v>0</v>
      </c>
      <c r="T1303" s="161" t="b">
        <f t="array" ref="T1303">index('Query Tool'!B:B,match(H1303,'Query Tool'!C:C,0))</f>
        <v>1</v>
      </c>
      <c r="U1303" s="161" t="b">
        <f t="array" ref="U1303">index('Query Tool'!B:B,match(C1303,'Query Tool'!C:C,0))</f>
        <v>0</v>
      </c>
      <c r="V1303" s="161" t="b">
        <f>F1303&gt;='Query Tool'!C$32</f>
        <v>0</v>
      </c>
      <c r="W1303" s="161" t="b">
        <f t="array" ref="W1303">index(Dropdowns!B:B,match(I1303,Dropdowns!A:A,0))</f>
        <v>1</v>
      </c>
      <c r="X1303" s="161" t="b">
        <f t="array" ref="X1303">index('Query Tool'!B:B,match(D1303,'Query Tool'!C:C,0))</f>
        <v>1</v>
      </c>
      <c r="Y1303" s="161" t="str">
        <f t="shared" si="6"/>
        <v>brownlo01,2015-16</v>
      </c>
      <c r="Z1303" s="168" t="str">
        <f t="array" ref="Z1303">iferror(index(I:I,match($A1303&amp;","&amp;index('Year Conversion'!$A:$A,match($C1303,'Year Conversion'!$B:$B,0)),$Y:$Y,0))-I1303,"")</f>
        <v/>
      </c>
      <c r="AA1303" s="168" t="str">
        <f t="array" ref="AA1303">iferror(index(J:J,match($A1303&amp;","&amp;index('Year Conversion'!$A:$A,match($C1303,'Year Conversion'!$B:$B,0)),$Y:$Y,0))-J1303,"")</f>
        <v/>
      </c>
      <c r="AB1303" s="168" t="str">
        <f t="array" ref="AB1303">iferror(index(K:K,match($A1303&amp;","&amp;index('Year Conversion'!$A:$A,match($C1303,'Year Conversion'!$B:$B,0)),$Y:$Y,0))-K1303,"")</f>
        <v/>
      </c>
      <c r="AC1303" s="168" t="str">
        <f t="shared" si="7"/>
        <v>PHO,2015-16</v>
      </c>
    </row>
    <row r="1304">
      <c r="A1304" s="161" t="str">
        <f>IFERROR(__xludf.DUMMYFUNCTION("""COMPUTED_VALUE"""),"plumlma01")</f>
        <v>plumlma01</v>
      </c>
      <c r="B1304" s="161" t="str">
        <f>IFERROR(__xludf.DUMMYFUNCTION("""COMPUTED_VALUE"""),"Mason Plumlee")</f>
        <v>Mason Plumlee</v>
      </c>
      <c r="C1304" s="162" t="str">
        <f>IFERROR(__xludf.DUMMYFUNCTION("""COMPUTED_VALUE"""),"2015-16")</f>
        <v>2015-16</v>
      </c>
      <c r="D1304" s="163" t="str">
        <f>IFERROR(__xludf.DUMMYFUNCTION("""COMPUTED_VALUE"""),"POR")</f>
        <v>POR</v>
      </c>
      <c r="E1304" s="164" t="str">
        <f>IFERROR(__xludf.DUMMYFUNCTION("""COMPUTED_VALUE"""),"Roll + Cut Big")</f>
        <v>Roll + Cut Big</v>
      </c>
      <c r="F1304" s="164">
        <f>IFERROR(__xludf.DUMMYFUNCTION("""COMPUTED_VALUE"""),2083.51333333333)</f>
        <v>2083.513333</v>
      </c>
      <c r="G1304" s="163">
        <f>IFERROR(__xludf.DUMMYFUNCTION("""COMPUTED_VALUE"""),82.0)</f>
        <v>82</v>
      </c>
      <c r="H1304" s="163" t="str">
        <f>IFERROR(__xludf.DUMMYFUNCTION("""COMPUTED_VALUE"""),"C")</f>
        <v>C</v>
      </c>
      <c r="I1304" s="163">
        <f>IFERROR(__xludf.DUMMYFUNCTION("""COMPUTED_VALUE"""),25.0)</f>
        <v>25</v>
      </c>
      <c r="J1304" s="165">
        <f>IFERROR(__xludf.DUMMYFUNCTION("""COMPUTED_VALUE"""),0.719740488767694)</f>
        <v>0.7197404888</v>
      </c>
      <c r="K1304" s="165">
        <f>IFERROR(__xludf.DUMMYFUNCTION("""COMPUTED_VALUE"""),-0.544330037285037)</f>
        <v>-0.5443300373</v>
      </c>
      <c r="L1304" s="165">
        <f>IFERROR(__xludf.DUMMYFUNCTION("""COMPUTED_VALUE"""),1.26407052605273)</f>
        <v>1.264070526</v>
      </c>
      <c r="M1304" s="166">
        <f t="shared" si="2"/>
        <v>4.222363696</v>
      </c>
      <c r="N1304" s="167">
        <f t="shared" si="3"/>
        <v>25.40869919</v>
      </c>
      <c r="O1304" s="163">
        <f t="shared" ref="O1304:Q1304" si="1308">rank(I1304,I:I)</f>
        <v>1995</v>
      </c>
      <c r="P1304" s="163">
        <f t="shared" si="1308"/>
        <v>781</v>
      </c>
      <c r="Q1304" s="163">
        <f t="shared" si="1308"/>
        <v>2178</v>
      </c>
      <c r="R1304" s="163">
        <f>IFERROR(__xludf.DUMMYFUNCTION("RANK(M1304,filter(M:M,C:C=C1304))"),79.0)</f>
        <v>79</v>
      </c>
      <c r="S1304" s="161" t="b">
        <f t="shared" si="5"/>
        <v>0</v>
      </c>
      <c r="T1304" s="161" t="b">
        <f t="array" ref="T1304">index('Query Tool'!B:B,match(H1304,'Query Tool'!C:C,0))</f>
        <v>1</v>
      </c>
      <c r="U1304" s="161" t="b">
        <f t="array" ref="U1304">index('Query Tool'!B:B,match(C1304,'Query Tool'!C:C,0))</f>
        <v>0</v>
      </c>
      <c r="V1304" s="161" t="b">
        <f>F1304&gt;='Query Tool'!C$32</f>
        <v>1</v>
      </c>
      <c r="W1304" s="161" t="b">
        <f t="array" ref="W1304">index(Dropdowns!B:B,match(I1304,Dropdowns!A:A,0))</f>
        <v>1</v>
      </c>
      <c r="X1304" s="161" t="b">
        <f t="array" ref="X1304">index('Query Tool'!B:B,match(D1304,'Query Tool'!C:C,0))</f>
        <v>1</v>
      </c>
      <c r="Y1304" s="161" t="str">
        <f t="shared" si="6"/>
        <v>plumlma01,2015-16</v>
      </c>
      <c r="Z1304" s="168">
        <f t="array" ref="Z1304">iferror(index(I:I,match($A1304&amp;","&amp;index('Year Conversion'!$A:$A,match($C1304,'Year Conversion'!$B:$B,0)),$Y:$Y,0))-I1304,"")</f>
        <v>1</v>
      </c>
      <c r="AA1304" s="168">
        <f t="array" ref="AA1304">iferror(index(J:J,match($A1304&amp;","&amp;index('Year Conversion'!$A:$A,match($C1304,'Year Conversion'!$B:$B,0)),$Y:$Y,0))-J1304,"")</f>
        <v>1.214380044</v>
      </c>
      <c r="AB1304" s="168">
        <f t="array" ref="AB1304">iferror(index(K:K,match($A1304&amp;","&amp;index('Year Conversion'!$A:$A,match($C1304,'Year Conversion'!$B:$B,0)),$Y:$Y,0))-K1304,"")</f>
        <v>1.136379376</v>
      </c>
      <c r="AC1304" s="168" t="str">
        <f t="shared" si="7"/>
        <v>POR,2015-16</v>
      </c>
    </row>
    <row r="1305">
      <c r="A1305" s="161" t="str">
        <f>IFERROR(__xludf.DUMMYFUNCTION("""COMPUTED_VALUE"""),"cartemi01")</f>
        <v>cartemi01</v>
      </c>
      <c r="B1305" s="161" t="str">
        <f>IFERROR(__xludf.DUMMYFUNCTION("""COMPUTED_VALUE"""),"Michael Carter-Williams")</f>
        <v>Michael Carter-Williams</v>
      </c>
      <c r="C1305" s="162" t="str">
        <f>IFERROR(__xludf.DUMMYFUNCTION("""COMPUTED_VALUE"""),"2015-16")</f>
        <v>2015-16</v>
      </c>
      <c r="D1305" s="163" t="str">
        <f>IFERROR(__xludf.DUMMYFUNCTION("""COMPUTED_VALUE"""),"MIL")</f>
        <v>MIL</v>
      </c>
      <c r="E1305" s="164" t="str">
        <f>IFERROR(__xludf.DUMMYFUNCTION("""COMPUTED_VALUE"""),"Shot Creator")</f>
        <v>Shot Creator</v>
      </c>
      <c r="F1305" s="164">
        <f>IFERROR(__xludf.DUMMYFUNCTION("""COMPUTED_VALUE"""),1649.30333333333)</f>
        <v>1649.303333</v>
      </c>
      <c r="G1305" s="163">
        <f>IFERROR(__xludf.DUMMYFUNCTION("""COMPUTED_VALUE"""),54.0)</f>
        <v>54</v>
      </c>
      <c r="H1305" s="163" t="str">
        <f>IFERROR(__xludf.DUMMYFUNCTION("""COMPUTED_VALUE"""),"PG")</f>
        <v>PG</v>
      </c>
      <c r="I1305" s="163">
        <f>IFERROR(__xludf.DUMMYFUNCTION("""COMPUTED_VALUE"""),24.0)</f>
        <v>24</v>
      </c>
      <c r="J1305" s="165">
        <f>IFERROR(__xludf.DUMMYFUNCTION("""COMPUTED_VALUE"""),-0.301165656173422)</f>
        <v>-0.3011656562</v>
      </c>
      <c r="K1305" s="165">
        <f>IFERROR(__xludf.DUMMYFUNCTION("""COMPUTED_VALUE"""),-1.32852570355307)</f>
        <v>-1.328525704</v>
      </c>
      <c r="L1305" s="165">
        <f>IFERROR(__xludf.DUMMYFUNCTION("""COMPUTED_VALUE"""),1.02736004737965)</f>
        <v>1.027360047</v>
      </c>
      <c r="M1305" s="166">
        <f t="shared" si="2"/>
        <v>2.207838964</v>
      </c>
      <c r="N1305" s="167">
        <f t="shared" si="3"/>
        <v>30.54265432</v>
      </c>
      <c r="O1305" s="163">
        <f t="shared" ref="O1305:Q1305" si="1309">rank(I1305,I:I)</f>
        <v>2361</v>
      </c>
      <c r="P1305" s="163">
        <f t="shared" si="1309"/>
        <v>1614</v>
      </c>
      <c r="Q1305" s="163">
        <f t="shared" si="1309"/>
        <v>3180</v>
      </c>
      <c r="R1305" s="163">
        <f>IFERROR(__xludf.DUMMYFUNCTION("RANK(M1305,filter(M:M,C:C=C1305))"),148.0)</f>
        <v>148</v>
      </c>
      <c r="S1305" s="161" t="b">
        <f t="shared" si="5"/>
        <v>0</v>
      </c>
      <c r="T1305" s="161" t="b">
        <f t="array" ref="T1305">index('Query Tool'!B:B,match(H1305,'Query Tool'!C:C,0))</f>
        <v>1</v>
      </c>
      <c r="U1305" s="161" t="b">
        <f t="array" ref="U1305">index('Query Tool'!B:B,match(C1305,'Query Tool'!C:C,0))</f>
        <v>0</v>
      </c>
      <c r="V1305" s="161" t="b">
        <f>F1305&gt;='Query Tool'!C$32</f>
        <v>1</v>
      </c>
      <c r="W1305" s="161" t="b">
        <f t="array" ref="W1305">index(Dropdowns!B:B,match(I1305,Dropdowns!A:A,0))</f>
        <v>1</v>
      </c>
      <c r="X1305" s="161" t="b">
        <f t="array" ref="X1305">index('Query Tool'!B:B,match(D1305,'Query Tool'!C:C,0))</f>
        <v>1</v>
      </c>
      <c r="Y1305" s="161" t="str">
        <f t="shared" si="6"/>
        <v>cartemi01,2015-16</v>
      </c>
      <c r="Z1305" s="168">
        <f t="array" ref="Z1305">iferror(index(I:I,match($A1305&amp;","&amp;index('Year Conversion'!$A:$A,match($C1305,'Year Conversion'!$B:$B,0)),$Y:$Y,0))-I1305,"")</f>
        <v>1</v>
      </c>
      <c r="AA1305" s="168">
        <f t="array" ref="AA1305">iferror(index(J:J,match($A1305&amp;","&amp;index('Year Conversion'!$A:$A,match($C1305,'Year Conversion'!$B:$B,0)),$Y:$Y,0))-J1305,"")</f>
        <v>0.05851058483</v>
      </c>
      <c r="AB1305" s="168">
        <f t="array" ref="AB1305">iferror(index(K:K,match($A1305&amp;","&amp;index('Year Conversion'!$A:$A,match($C1305,'Year Conversion'!$B:$B,0)),$Y:$Y,0))-K1305,"")</f>
        <v>-0.1647392071</v>
      </c>
      <c r="AC1305" s="168" t="str">
        <f t="shared" si="7"/>
        <v>MIL,2015-16</v>
      </c>
    </row>
    <row r="1306">
      <c r="A1306" s="161" t="str">
        <f>IFERROR(__xludf.DUMMYFUNCTION("""COMPUTED_VALUE"""),"muscami01")</f>
        <v>muscami01</v>
      </c>
      <c r="B1306" s="161" t="str">
        <f>IFERROR(__xludf.DUMMYFUNCTION("""COMPUTED_VALUE"""),"Mike Muscala")</f>
        <v>Mike Muscala</v>
      </c>
      <c r="C1306" s="162" t="str">
        <f>IFERROR(__xludf.DUMMYFUNCTION("""COMPUTED_VALUE"""),"2015-16")</f>
        <v>2015-16</v>
      </c>
      <c r="D1306" s="163" t="str">
        <f>IFERROR(__xludf.DUMMYFUNCTION("""COMPUTED_VALUE"""),"ATL")</f>
        <v>ATL</v>
      </c>
      <c r="E1306" s="164" t="str">
        <f>IFERROR(__xludf.DUMMYFUNCTION("""COMPUTED_VALUE"""),"Stretch Big")</f>
        <v>Stretch Big</v>
      </c>
      <c r="F1306" s="164">
        <f>IFERROR(__xludf.DUMMYFUNCTION("""COMPUTED_VALUE"""),564.891666666667)</f>
        <v>564.8916667</v>
      </c>
      <c r="G1306" s="163">
        <f>IFERROR(__xludf.DUMMYFUNCTION("""COMPUTED_VALUE"""),60.0)</f>
        <v>60</v>
      </c>
      <c r="H1306" s="163" t="str">
        <f>IFERROR(__xludf.DUMMYFUNCTION("""COMPUTED_VALUE"""),"C")</f>
        <v>C</v>
      </c>
      <c r="I1306" s="163">
        <f>IFERROR(__xludf.DUMMYFUNCTION("""COMPUTED_VALUE"""),24.0)</f>
        <v>24</v>
      </c>
      <c r="J1306" s="165">
        <f>IFERROR(__xludf.DUMMYFUNCTION("""COMPUTED_VALUE"""),-0.113292528979178)</f>
        <v>-0.113292529</v>
      </c>
      <c r="K1306" s="165">
        <f>IFERROR(__xludf.DUMMYFUNCTION("""COMPUTED_VALUE"""),-0.945695907417934)</f>
        <v>-0.9456959074</v>
      </c>
      <c r="L1306" s="165">
        <f>IFERROR(__xludf.DUMMYFUNCTION("""COMPUTED_VALUE"""),0.832403378438756)</f>
        <v>0.8324033784</v>
      </c>
      <c r="M1306" s="166">
        <f t="shared" si="2"/>
        <v>0.8277286186</v>
      </c>
      <c r="N1306" s="167">
        <f t="shared" si="3"/>
        <v>9.414861111</v>
      </c>
      <c r="O1306" s="163">
        <f t="shared" ref="O1306:Q1306" si="1310">rank(I1306,I:I)</f>
        <v>2361</v>
      </c>
      <c r="P1306" s="163">
        <f t="shared" si="1310"/>
        <v>1397</v>
      </c>
      <c r="Q1306" s="163">
        <f t="shared" si="1310"/>
        <v>2741</v>
      </c>
      <c r="R1306" s="163">
        <f>IFERROR(__xludf.DUMMYFUNCTION("RANK(M1306,filter(M:M,C:C=C1306))"),238.0)</f>
        <v>238</v>
      </c>
      <c r="S1306" s="161" t="b">
        <f t="shared" si="5"/>
        <v>0</v>
      </c>
      <c r="T1306" s="161" t="b">
        <f t="array" ref="T1306">index('Query Tool'!B:B,match(H1306,'Query Tool'!C:C,0))</f>
        <v>1</v>
      </c>
      <c r="U1306" s="161" t="b">
        <f t="array" ref="U1306">index('Query Tool'!B:B,match(C1306,'Query Tool'!C:C,0))</f>
        <v>0</v>
      </c>
      <c r="V1306" s="161" t="b">
        <f>F1306&gt;='Query Tool'!C$32</f>
        <v>1</v>
      </c>
      <c r="W1306" s="161" t="b">
        <f t="array" ref="W1306">index(Dropdowns!B:B,match(I1306,Dropdowns!A:A,0))</f>
        <v>1</v>
      </c>
      <c r="X1306" s="161" t="b">
        <f t="array" ref="X1306">index('Query Tool'!B:B,match(D1306,'Query Tool'!C:C,0))</f>
        <v>1</v>
      </c>
      <c r="Y1306" s="161" t="str">
        <f t="shared" si="6"/>
        <v>muscami01,2015-16</v>
      </c>
      <c r="Z1306" s="168">
        <f t="array" ref="Z1306">iferror(index(I:I,match($A1306&amp;","&amp;index('Year Conversion'!$A:$A,match($C1306,'Year Conversion'!$B:$B,0)),$Y:$Y,0))-I1306,"")</f>
        <v>1</v>
      </c>
      <c r="AA1306" s="168">
        <f t="array" ref="AA1306">iferror(index(J:J,match($A1306&amp;","&amp;index('Year Conversion'!$A:$A,match($C1306,'Year Conversion'!$B:$B,0)),$Y:$Y,0))-J1306,"")</f>
        <v>-0.2905949565</v>
      </c>
      <c r="AB1306" s="168">
        <f t="array" ref="AB1306">iferror(index(K:K,match($A1306&amp;","&amp;index('Year Conversion'!$A:$A,match($C1306,'Year Conversion'!$B:$B,0)),$Y:$Y,0))-K1306,"")</f>
        <v>0.234064623</v>
      </c>
      <c r="AC1306" s="168" t="str">
        <f t="shared" si="7"/>
        <v>ATL,2015-16</v>
      </c>
    </row>
    <row r="1307">
      <c r="A1307" s="161" t="str">
        <f>IFERROR(__xludf.DUMMYFUNCTION("""COMPUTED_VALUE"""),"porteot01")</f>
        <v>porteot01</v>
      </c>
      <c r="B1307" s="161" t="str">
        <f>IFERROR(__xludf.DUMMYFUNCTION("""COMPUTED_VALUE"""),"Otto Porter Jr.")</f>
        <v>Otto Porter Jr.</v>
      </c>
      <c r="C1307" s="162" t="str">
        <f>IFERROR(__xludf.DUMMYFUNCTION("""COMPUTED_VALUE"""),"2015-16")</f>
        <v>2015-16</v>
      </c>
      <c r="D1307" s="163" t="str">
        <f>IFERROR(__xludf.DUMMYFUNCTION("""COMPUTED_VALUE"""),"WAS")</f>
        <v>WAS</v>
      </c>
      <c r="E1307" s="164" t="str">
        <f>IFERROR(__xludf.DUMMYFUNCTION("""COMPUTED_VALUE"""),"Athletic Finisher")</f>
        <v>Athletic Finisher</v>
      </c>
      <c r="F1307" s="164">
        <f>IFERROR(__xludf.DUMMYFUNCTION("""COMPUTED_VALUE"""),2275.87333333333)</f>
        <v>2275.873333</v>
      </c>
      <c r="G1307" s="163">
        <f>IFERROR(__xludf.DUMMYFUNCTION("""COMPUTED_VALUE"""),75.0)</f>
        <v>75</v>
      </c>
      <c r="H1307" s="163" t="str">
        <f>IFERROR(__xludf.DUMMYFUNCTION("""COMPUTED_VALUE"""),"SF")</f>
        <v>SF</v>
      </c>
      <c r="I1307" s="163">
        <f>IFERROR(__xludf.DUMMYFUNCTION("""COMPUTED_VALUE"""),22.0)</f>
        <v>22</v>
      </c>
      <c r="J1307" s="165">
        <f>IFERROR(__xludf.DUMMYFUNCTION("""COMPUTED_VALUE"""),1.71656042955521)</f>
        <v>1.71656043</v>
      </c>
      <c r="K1307" s="165">
        <f>IFERROR(__xludf.DUMMYFUNCTION("""COMPUTED_VALUE"""),-0.134599983010234)</f>
        <v>-0.134599983</v>
      </c>
      <c r="L1307" s="165">
        <f>IFERROR(__xludf.DUMMYFUNCTION("""COMPUTED_VALUE"""),1.85116041256544)</f>
        <v>1.851160413</v>
      </c>
      <c r="M1307" s="166">
        <f t="shared" si="2"/>
        <v>6.131749353</v>
      </c>
      <c r="N1307" s="167">
        <f t="shared" si="3"/>
        <v>30.34497778</v>
      </c>
      <c r="O1307" s="163">
        <f t="shared" ref="O1307:Q1307" si="1311">rank(I1307,I:I)</f>
        <v>3178</v>
      </c>
      <c r="P1307" s="163">
        <f t="shared" si="1311"/>
        <v>391</v>
      </c>
      <c r="Q1307" s="163">
        <f t="shared" si="1311"/>
        <v>1453</v>
      </c>
      <c r="R1307" s="163">
        <f>IFERROR(__xludf.DUMMYFUNCTION("RANK(M1307,filter(M:M,C:C=C1307))"),42.0)</f>
        <v>42</v>
      </c>
      <c r="S1307" s="161" t="b">
        <f t="shared" si="5"/>
        <v>0</v>
      </c>
      <c r="T1307" s="161" t="b">
        <f t="array" ref="T1307">index('Query Tool'!B:B,match(H1307,'Query Tool'!C:C,0))</f>
        <v>1</v>
      </c>
      <c r="U1307" s="161" t="b">
        <f t="array" ref="U1307">index('Query Tool'!B:B,match(C1307,'Query Tool'!C:C,0))</f>
        <v>0</v>
      </c>
      <c r="V1307" s="161" t="b">
        <f>F1307&gt;='Query Tool'!C$32</f>
        <v>1</v>
      </c>
      <c r="W1307" s="161" t="b">
        <f t="array" ref="W1307">index(Dropdowns!B:B,match(I1307,Dropdowns!A:A,0))</f>
        <v>1</v>
      </c>
      <c r="X1307" s="161" t="b">
        <f t="array" ref="X1307">index('Query Tool'!B:B,match(D1307,'Query Tool'!C:C,0))</f>
        <v>1</v>
      </c>
      <c r="Y1307" s="161" t="str">
        <f t="shared" si="6"/>
        <v>porteot01,2015-16</v>
      </c>
      <c r="Z1307" s="168">
        <f t="array" ref="Z1307">iferror(index(I:I,match($A1307&amp;","&amp;index('Year Conversion'!$A:$A,match($C1307,'Year Conversion'!$B:$B,0)),$Y:$Y,0))-I1307,"")</f>
        <v>1</v>
      </c>
      <c r="AA1307" s="168">
        <f t="array" ref="AA1307">iferror(index(J:J,match($A1307&amp;","&amp;index('Year Conversion'!$A:$A,match($C1307,'Year Conversion'!$B:$B,0)),$Y:$Y,0))-J1307,"")</f>
        <v>-0.4328440791</v>
      </c>
      <c r="AB1307" s="168">
        <f t="array" ref="AB1307">iferror(index(K:K,match($A1307&amp;","&amp;index('Year Conversion'!$A:$A,match($C1307,'Year Conversion'!$B:$B,0)),$Y:$Y,0))-K1307,"")</f>
        <v>0.5010234202</v>
      </c>
      <c r="AC1307" s="168" t="str">
        <f t="shared" si="7"/>
        <v>WAS,2015-16</v>
      </c>
    </row>
    <row r="1308">
      <c r="A1308" s="161" t="str">
        <f>IFERROR(__xludf.DUMMYFUNCTION("""COMPUTED_VALUE"""),"mccalra01")</f>
        <v>mccalra01</v>
      </c>
      <c r="B1308" s="161" t="str">
        <f>IFERROR(__xludf.DUMMYFUNCTION("""COMPUTED_VALUE"""),"Ray McCallum")</f>
        <v>Ray McCallum</v>
      </c>
      <c r="C1308" s="162" t="str">
        <f>IFERROR(__xludf.DUMMYFUNCTION("""COMPUTED_VALUE"""),"2015-16")</f>
        <v>2015-16</v>
      </c>
      <c r="D1308" s="163" t="str">
        <f>IFERROR(__xludf.DUMMYFUNCTION("""COMPUTED_VALUE"""),"TOT")</f>
        <v>TOT</v>
      </c>
      <c r="E1308" s="164" t="str">
        <f>IFERROR(__xludf.DUMMYFUNCTION("""COMPUTED_VALUE"""),"Secondary Ball Handler")</f>
        <v>Secondary Ball Handler</v>
      </c>
      <c r="F1308" s="164">
        <f>IFERROR(__xludf.DUMMYFUNCTION("""COMPUTED_VALUE"""),474.381666666667)</f>
        <v>474.3816667</v>
      </c>
      <c r="G1308" s="163">
        <f>IFERROR(__xludf.DUMMYFUNCTION("""COMPUTED_VALUE"""),41.0)</f>
        <v>41</v>
      </c>
      <c r="H1308" s="163" t="str">
        <f>IFERROR(__xludf.DUMMYFUNCTION("""COMPUTED_VALUE"""),"PG")</f>
        <v>PG</v>
      </c>
      <c r="I1308" s="163">
        <f>IFERROR(__xludf.DUMMYFUNCTION("""COMPUTED_VALUE"""),24.0)</f>
        <v>24</v>
      </c>
      <c r="J1308" s="165">
        <f>IFERROR(__xludf.DUMMYFUNCTION("""COMPUTED_VALUE"""),-1.54296739914837)</f>
        <v>-1.542967399</v>
      </c>
      <c r="K1308" s="165">
        <f>IFERROR(__xludf.DUMMYFUNCTION("""COMPUTED_VALUE"""),-0.398692920078527)</f>
        <v>-0.3986929201</v>
      </c>
      <c r="L1308" s="165">
        <f>IFERROR(__xludf.DUMMYFUNCTION("""COMPUTED_VALUE"""),-1.14427447906984)</f>
        <v>-1.144274479</v>
      </c>
      <c r="M1308" s="166">
        <f t="shared" si="2"/>
        <v>0.2394871284</v>
      </c>
      <c r="N1308" s="167">
        <f t="shared" si="3"/>
        <v>11.57028455</v>
      </c>
      <c r="O1308" s="163">
        <f t="shared" ref="O1308:Q1308" si="1312">rank(I1308,I:I)</f>
        <v>2361</v>
      </c>
      <c r="P1308" s="163">
        <f t="shared" si="1312"/>
        <v>3093</v>
      </c>
      <c r="Q1308" s="163">
        <f t="shared" si="1312"/>
        <v>1941</v>
      </c>
      <c r="R1308" s="163">
        <f>IFERROR(__xludf.DUMMYFUNCTION("RANK(M1308,filter(M:M,C:C=C1308))"),331.0)</f>
        <v>331</v>
      </c>
      <c r="S1308" s="161" t="b">
        <f t="shared" si="5"/>
        <v>0</v>
      </c>
      <c r="T1308" s="161" t="b">
        <f t="array" ref="T1308">index('Query Tool'!B:B,match(H1308,'Query Tool'!C:C,0))</f>
        <v>1</v>
      </c>
      <c r="U1308" s="161" t="b">
        <f t="array" ref="U1308">index('Query Tool'!B:B,match(C1308,'Query Tool'!C:C,0))</f>
        <v>0</v>
      </c>
      <c r="V1308" s="161" t="b">
        <f>F1308&gt;='Query Tool'!C$32</f>
        <v>0</v>
      </c>
      <c r="W1308" s="161" t="b">
        <f t="array" ref="W1308">index(Dropdowns!B:B,match(I1308,Dropdowns!A:A,0))</f>
        <v>1</v>
      </c>
      <c r="X1308" s="161" t="b">
        <f t="array" ref="X1308">index('Query Tool'!B:B,match(D1308,'Query Tool'!C:C,0))</f>
        <v>1</v>
      </c>
      <c r="Y1308" s="161" t="str">
        <f t="shared" si="6"/>
        <v>mccalra01,2015-16</v>
      </c>
      <c r="Z1308" s="168" t="str">
        <f t="array" ref="Z1308">iferror(index(I:I,match($A1308&amp;","&amp;index('Year Conversion'!$A:$A,match($C1308,'Year Conversion'!$B:$B,0)),$Y:$Y,0))-I1308,"")</f>
        <v/>
      </c>
      <c r="AA1308" s="168" t="str">
        <f t="array" ref="AA1308">iferror(index(J:J,match($A1308&amp;","&amp;index('Year Conversion'!$A:$A,match($C1308,'Year Conversion'!$B:$B,0)),$Y:$Y,0))-J1308,"")</f>
        <v/>
      </c>
      <c r="AB1308" s="168" t="str">
        <f t="array" ref="AB1308">iferror(index(K:K,match($A1308&amp;","&amp;index('Year Conversion'!$A:$A,match($C1308,'Year Conversion'!$B:$B,0)),$Y:$Y,0))-K1308,"")</f>
        <v/>
      </c>
      <c r="AC1308" s="168" t="str">
        <f t="shared" si="7"/>
        <v>TOT,2015-16</v>
      </c>
    </row>
    <row r="1309">
      <c r="A1309" s="161" t="str">
        <f>IFERROR(__xludf.DUMMYFUNCTION("""COMPUTED_VALUE"""),"bullore01")</f>
        <v>bullore01</v>
      </c>
      <c r="B1309" s="161" t="str">
        <f>IFERROR(__xludf.DUMMYFUNCTION("""COMPUTED_VALUE"""),"Reggie Bullock")</f>
        <v>Reggie Bullock</v>
      </c>
      <c r="C1309" s="162" t="str">
        <f>IFERROR(__xludf.DUMMYFUNCTION("""COMPUTED_VALUE"""),"2015-16")</f>
        <v>2015-16</v>
      </c>
      <c r="D1309" s="163" t="str">
        <f>IFERROR(__xludf.DUMMYFUNCTION("""COMPUTED_VALUE"""),"DET")</f>
        <v>DET</v>
      </c>
      <c r="E1309" s="164" t="str">
        <f>IFERROR(__xludf.DUMMYFUNCTION("""COMPUTED_VALUE"""),"Stationary Shooter")</f>
        <v>Stationary Shooter</v>
      </c>
      <c r="F1309" s="164">
        <f>IFERROR(__xludf.DUMMYFUNCTION("""COMPUTED_VALUE"""),428.845)</f>
        <v>428.845</v>
      </c>
      <c r="G1309" s="163">
        <f>IFERROR(__xludf.DUMMYFUNCTION("""COMPUTED_VALUE"""),37.0)</f>
        <v>37</v>
      </c>
      <c r="H1309" s="163" t="str">
        <f>IFERROR(__xludf.DUMMYFUNCTION("""COMPUTED_VALUE"""),"SF")</f>
        <v>SF</v>
      </c>
      <c r="I1309" s="163">
        <f>IFERROR(__xludf.DUMMYFUNCTION("""COMPUTED_VALUE"""),24.0)</f>
        <v>24</v>
      </c>
      <c r="J1309" s="165">
        <f>IFERROR(__xludf.DUMMYFUNCTION("""COMPUTED_VALUE"""),-1.75954196794862)</f>
        <v>-1.759541968</v>
      </c>
      <c r="K1309" s="165">
        <f>IFERROR(__xludf.DUMMYFUNCTION("""COMPUTED_VALUE"""),-0.876089223234682)</f>
        <v>-0.8760892232</v>
      </c>
      <c r="L1309" s="165">
        <f>IFERROR(__xludf.DUMMYFUNCTION("""COMPUTED_VALUE"""),-0.883452744713933)</f>
        <v>-0.8834527447</v>
      </c>
      <c r="M1309" s="166">
        <f t="shared" si="2"/>
        <v>0.1545888646</v>
      </c>
      <c r="N1309" s="167">
        <f t="shared" si="3"/>
        <v>11.59040541</v>
      </c>
      <c r="O1309" s="163">
        <f t="shared" ref="O1309:Q1309" si="1313">rank(I1309,I:I)</f>
        <v>2361</v>
      </c>
      <c r="P1309" s="163">
        <f t="shared" si="1313"/>
        <v>3301</v>
      </c>
      <c r="Q1309" s="163">
        <f t="shared" si="1313"/>
        <v>2656</v>
      </c>
      <c r="R1309" s="163">
        <f>IFERROR(__xludf.DUMMYFUNCTION("RANK(M1309,filter(M:M,C:C=C1309))"),354.0)</f>
        <v>354</v>
      </c>
      <c r="S1309" s="161" t="b">
        <f t="shared" si="5"/>
        <v>0</v>
      </c>
      <c r="T1309" s="161" t="b">
        <f t="array" ref="T1309">index('Query Tool'!B:B,match(H1309,'Query Tool'!C:C,0))</f>
        <v>1</v>
      </c>
      <c r="U1309" s="161" t="b">
        <f t="array" ref="U1309">index('Query Tool'!B:B,match(C1309,'Query Tool'!C:C,0))</f>
        <v>0</v>
      </c>
      <c r="V1309" s="161" t="b">
        <f>F1309&gt;='Query Tool'!C$32</f>
        <v>0</v>
      </c>
      <c r="W1309" s="161" t="b">
        <f t="array" ref="W1309">index(Dropdowns!B:B,match(I1309,Dropdowns!A:A,0))</f>
        <v>1</v>
      </c>
      <c r="X1309" s="161" t="b">
        <f t="array" ref="X1309">index('Query Tool'!B:B,match(D1309,'Query Tool'!C:C,0))</f>
        <v>1</v>
      </c>
      <c r="Y1309" s="161" t="str">
        <f t="shared" si="6"/>
        <v>bullore01,2015-16</v>
      </c>
      <c r="Z1309" s="168">
        <f t="array" ref="Z1309">iferror(index(I:I,match($A1309&amp;","&amp;index('Year Conversion'!$A:$A,match($C1309,'Year Conversion'!$B:$B,0)),$Y:$Y,0))-I1309,"")</f>
        <v>1</v>
      </c>
      <c r="AA1309" s="168">
        <f t="array" ref="AA1309">iferror(index(J:J,match($A1309&amp;","&amp;index('Year Conversion'!$A:$A,match($C1309,'Year Conversion'!$B:$B,0)),$Y:$Y,0))-J1309,"")</f>
        <v>1.801915656</v>
      </c>
      <c r="AB1309" s="168">
        <f t="array" ref="AB1309">iferror(index(K:K,match($A1309&amp;","&amp;index('Year Conversion'!$A:$A,match($C1309,'Year Conversion'!$B:$B,0)),$Y:$Y,0))-K1309,"")</f>
        <v>0.5955793098</v>
      </c>
      <c r="AC1309" s="168" t="str">
        <f t="shared" si="7"/>
        <v>DET,2015-16</v>
      </c>
    </row>
    <row r="1310">
      <c r="A1310" s="161" t="str">
        <f>IFERROR(__xludf.DUMMYFUNCTION("""COMPUTED_VALUE"""),"covinro01")</f>
        <v>covinro01</v>
      </c>
      <c r="B1310" s="161" t="str">
        <f>IFERROR(__xludf.DUMMYFUNCTION("""COMPUTED_VALUE"""),"Robert Covington")</f>
        <v>Robert Covington</v>
      </c>
      <c r="C1310" s="162" t="str">
        <f>IFERROR(__xludf.DUMMYFUNCTION("""COMPUTED_VALUE"""),"2015-16")</f>
        <v>2015-16</v>
      </c>
      <c r="D1310" s="163" t="str">
        <f>IFERROR(__xludf.DUMMYFUNCTION("""COMPUTED_VALUE"""),"PHI")</f>
        <v>PHI</v>
      </c>
      <c r="E1310" s="164" t="str">
        <f>IFERROR(__xludf.DUMMYFUNCTION("""COMPUTED_VALUE"""),"Movement Shooter")</f>
        <v>Movement Shooter</v>
      </c>
      <c r="F1310" s="164">
        <f>IFERROR(__xludf.DUMMYFUNCTION("""COMPUTED_VALUE"""),1903.05333333333)</f>
        <v>1903.053333</v>
      </c>
      <c r="G1310" s="163">
        <f>IFERROR(__xludf.DUMMYFUNCTION("""COMPUTED_VALUE"""),67.0)</f>
        <v>67</v>
      </c>
      <c r="H1310" s="163" t="str">
        <f>IFERROR(__xludf.DUMMYFUNCTION("""COMPUTED_VALUE"""),"SF")</f>
        <v>SF</v>
      </c>
      <c r="I1310" s="163">
        <f>IFERROR(__xludf.DUMMYFUNCTION("""COMPUTED_VALUE"""),25.0)</f>
        <v>25</v>
      </c>
      <c r="J1310" s="165">
        <f>IFERROR(__xludf.DUMMYFUNCTION("""COMPUTED_VALUE"""),0.460836271084287)</f>
        <v>0.4608362711</v>
      </c>
      <c r="K1310" s="165">
        <f>IFERROR(__xludf.DUMMYFUNCTION("""COMPUTED_VALUE"""),-0.691094861264055)</f>
        <v>-0.6910948613</v>
      </c>
      <c r="L1310" s="165">
        <f>IFERROR(__xludf.DUMMYFUNCTION("""COMPUTED_VALUE"""),1.15193113234834)</f>
        <v>1.151931132</v>
      </c>
      <c r="M1310" s="166">
        <f t="shared" si="2"/>
        <v>3.524961289</v>
      </c>
      <c r="N1310" s="167">
        <f t="shared" si="3"/>
        <v>28.40378109</v>
      </c>
      <c r="O1310" s="163">
        <f t="shared" ref="O1310:Q1310" si="1314">rank(I1310,I:I)</f>
        <v>1995</v>
      </c>
      <c r="P1310" s="163">
        <f t="shared" si="1314"/>
        <v>920</v>
      </c>
      <c r="Q1310" s="163">
        <f t="shared" si="1314"/>
        <v>2403</v>
      </c>
      <c r="R1310" s="163">
        <f>IFERROR(__xludf.DUMMYFUNCTION("RANK(M1310,filter(M:M,C:C=C1310))"),99.0)</f>
        <v>99</v>
      </c>
      <c r="S1310" s="161" t="b">
        <f t="shared" si="5"/>
        <v>0</v>
      </c>
      <c r="T1310" s="161" t="b">
        <f t="array" ref="T1310">index('Query Tool'!B:B,match(H1310,'Query Tool'!C:C,0))</f>
        <v>1</v>
      </c>
      <c r="U1310" s="161" t="b">
        <f t="array" ref="U1310">index('Query Tool'!B:B,match(C1310,'Query Tool'!C:C,0))</f>
        <v>0</v>
      </c>
      <c r="V1310" s="161" t="b">
        <f>F1310&gt;='Query Tool'!C$32</f>
        <v>1</v>
      </c>
      <c r="W1310" s="161" t="b">
        <f t="array" ref="W1310">index(Dropdowns!B:B,match(I1310,Dropdowns!A:A,0))</f>
        <v>1</v>
      </c>
      <c r="X1310" s="161" t="b">
        <f t="array" ref="X1310">index('Query Tool'!B:B,match(D1310,'Query Tool'!C:C,0))</f>
        <v>1</v>
      </c>
      <c r="Y1310" s="161" t="str">
        <f t="shared" si="6"/>
        <v>covinro01,2015-16</v>
      </c>
      <c r="Z1310" s="168">
        <f t="array" ref="Z1310">iferror(index(I:I,match($A1310&amp;","&amp;index('Year Conversion'!$A:$A,match($C1310,'Year Conversion'!$B:$B,0)),$Y:$Y,0))-I1310,"")</f>
        <v>1</v>
      </c>
      <c r="AA1310" s="168">
        <f t="array" ref="AA1310">iferror(index(J:J,match($A1310&amp;","&amp;index('Year Conversion'!$A:$A,match($C1310,'Year Conversion'!$B:$B,0)),$Y:$Y,0))-J1310,"")</f>
        <v>1.351788686</v>
      </c>
      <c r="AB1310" s="168">
        <f t="array" ref="AB1310">iferror(index(K:K,match($A1310&amp;","&amp;index('Year Conversion'!$A:$A,match($C1310,'Year Conversion'!$B:$B,0)),$Y:$Y,0))-K1310,"")</f>
        <v>-0.3907814567</v>
      </c>
      <c r="AC1310" s="168" t="str">
        <f t="shared" si="7"/>
        <v>PHI,2015-16</v>
      </c>
    </row>
    <row r="1311">
      <c r="A1311" s="161" t="str">
        <f>IFERROR(__xludf.DUMMYFUNCTION("""COMPUTED_VALUE"""),"goberru01")</f>
        <v>goberru01</v>
      </c>
      <c r="B1311" s="161" t="str">
        <f>IFERROR(__xludf.DUMMYFUNCTION("""COMPUTED_VALUE"""),"Rudy Gobert")</f>
        <v>Rudy Gobert</v>
      </c>
      <c r="C1311" s="162" t="str">
        <f>IFERROR(__xludf.DUMMYFUNCTION("""COMPUTED_VALUE"""),"2015-16")</f>
        <v>2015-16</v>
      </c>
      <c r="D1311" s="163" t="str">
        <f>IFERROR(__xludf.DUMMYFUNCTION("""COMPUTED_VALUE"""),"UTA")</f>
        <v>UTA</v>
      </c>
      <c r="E1311" s="164" t="str">
        <f>IFERROR(__xludf.DUMMYFUNCTION("""COMPUTED_VALUE"""),"Roll + Cut Big")</f>
        <v>Roll + Cut Big</v>
      </c>
      <c r="F1311" s="164">
        <f>IFERROR(__xludf.DUMMYFUNCTION("""COMPUTED_VALUE"""),1932.07333333333)</f>
        <v>1932.073333</v>
      </c>
      <c r="G1311" s="163">
        <f>IFERROR(__xludf.DUMMYFUNCTION("""COMPUTED_VALUE"""),61.0)</f>
        <v>61</v>
      </c>
      <c r="H1311" s="163" t="str">
        <f>IFERROR(__xludf.DUMMYFUNCTION("""COMPUTED_VALUE"""),"C")</f>
        <v>C</v>
      </c>
      <c r="I1311" s="163">
        <f>IFERROR(__xludf.DUMMYFUNCTION("""COMPUTED_VALUE"""),23.0)</f>
        <v>23</v>
      </c>
      <c r="J1311" s="165">
        <f>IFERROR(__xludf.DUMMYFUNCTION("""COMPUTED_VALUE"""),3.15361746082203)</f>
        <v>3.153617461</v>
      </c>
      <c r="K1311" s="165">
        <f>IFERROR(__xludf.DUMMYFUNCTION("""COMPUTED_VALUE"""),-0.523608967838192)</f>
        <v>-0.5236089678</v>
      </c>
      <c r="L1311" s="165">
        <f>IFERROR(__xludf.DUMMYFUNCTION("""COMPUTED_VALUE"""),3.67722642866022)</f>
        <v>3.677226429</v>
      </c>
      <c r="M1311" s="166">
        <f t="shared" si="2"/>
        <v>7.03063504</v>
      </c>
      <c r="N1311" s="167">
        <f t="shared" si="3"/>
        <v>31.67333333</v>
      </c>
      <c r="O1311" s="163">
        <f t="shared" ref="O1311:Q1311" si="1315">rank(I1311,I:I)</f>
        <v>2765</v>
      </c>
      <c r="P1311" s="163">
        <f t="shared" si="1315"/>
        <v>159</v>
      </c>
      <c r="Q1311" s="163">
        <f t="shared" si="1315"/>
        <v>2146</v>
      </c>
      <c r="R1311" s="163">
        <f>IFERROR(__xludf.DUMMYFUNCTION("RANK(M1311,filter(M:M,C:C=C1311))"),34.0)</f>
        <v>34</v>
      </c>
      <c r="S1311" s="161" t="b">
        <f t="shared" si="5"/>
        <v>0</v>
      </c>
      <c r="T1311" s="161" t="b">
        <f t="array" ref="T1311">index('Query Tool'!B:B,match(H1311,'Query Tool'!C:C,0))</f>
        <v>1</v>
      </c>
      <c r="U1311" s="161" t="b">
        <f t="array" ref="U1311">index('Query Tool'!B:B,match(C1311,'Query Tool'!C:C,0))</f>
        <v>0</v>
      </c>
      <c r="V1311" s="161" t="b">
        <f>F1311&gt;='Query Tool'!C$32</f>
        <v>1</v>
      </c>
      <c r="W1311" s="161" t="b">
        <f t="array" ref="W1311">index(Dropdowns!B:B,match(I1311,Dropdowns!A:A,0))</f>
        <v>1</v>
      </c>
      <c r="X1311" s="161" t="b">
        <f t="array" ref="X1311">index('Query Tool'!B:B,match(D1311,'Query Tool'!C:C,0))</f>
        <v>1</v>
      </c>
      <c r="Y1311" s="161" t="str">
        <f t="shared" si="6"/>
        <v>goberru01,2015-16</v>
      </c>
      <c r="Z1311" s="168">
        <f t="array" ref="Z1311">iferror(index(I:I,match($A1311&amp;","&amp;index('Year Conversion'!$A:$A,match($C1311,'Year Conversion'!$B:$B,0)),$Y:$Y,0))-I1311,"")</f>
        <v>1</v>
      </c>
      <c r="AA1311" s="168">
        <f t="array" ref="AA1311">iferror(index(J:J,match($A1311&amp;","&amp;index('Year Conversion'!$A:$A,match($C1311,'Year Conversion'!$B:$B,0)),$Y:$Y,0))-J1311,"")</f>
        <v>2.567210266</v>
      </c>
      <c r="AB1311" s="168">
        <f t="array" ref="AB1311">iferror(index(K:K,match($A1311&amp;","&amp;index('Year Conversion'!$A:$A,match($C1311,'Year Conversion'!$B:$B,0)),$Y:$Y,0))-K1311,"")</f>
        <v>1.720975736</v>
      </c>
      <c r="AC1311" s="168" t="str">
        <f t="shared" si="7"/>
        <v>UTA,2015-16</v>
      </c>
    </row>
    <row r="1312">
      <c r="A1312" s="161" t="str">
        <f>IFERROR(__xludf.DUMMYFUNCTION("""COMPUTED_VALUE"""),"muhamsh01")</f>
        <v>muhamsh01</v>
      </c>
      <c r="B1312" s="161" t="str">
        <f>IFERROR(__xludf.DUMMYFUNCTION("""COMPUTED_VALUE"""),"Shabazz Muhammad")</f>
        <v>Shabazz Muhammad</v>
      </c>
      <c r="C1312" s="162" t="str">
        <f>IFERROR(__xludf.DUMMYFUNCTION("""COMPUTED_VALUE"""),"2015-16")</f>
        <v>2015-16</v>
      </c>
      <c r="D1312" s="163" t="str">
        <f>IFERROR(__xludf.DUMMYFUNCTION("""COMPUTED_VALUE"""),"MIN")</f>
        <v>MIN</v>
      </c>
      <c r="E1312" s="164" t="str">
        <f>IFERROR(__xludf.DUMMYFUNCTION("""COMPUTED_VALUE"""),"Athletic Finisher")</f>
        <v>Athletic Finisher</v>
      </c>
      <c r="F1312" s="164">
        <f>IFERROR(__xludf.DUMMYFUNCTION("""COMPUTED_VALUE"""),1681.985)</f>
        <v>1681.985</v>
      </c>
      <c r="G1312" s="163">
        <f>IFERROR(__xludf.DUMMYFUNCTION("""COMPUTED_VALUE"""),82.0)</f>
        <v>82</v>
      </c>
      <c r="H1312" s="163" t="str">
        <f>IFERROR(__xludf.DUMMYFUNCTION("""COMPUTED_VALUE"""),"SF")</f>
        <v>SF</v>
      </c>
      <c r="I1312" s="163">
        <f>IFERROR(__xludf.DUMMYFUNCTION("""COMPUTED_VALUE"""),23.0)</f>
        <v>23</v>
      </c>
      <c r="J1312" s="165">
        <f>IFERROR(__xludf.DUMMYFUNCTION("""COMPUTED_VALUE"""),-2.95780782144475)</f>
        <v>-2.957807821</v>
      </c>
      <c r="K1312" s="165">
        <f>IFERROR(__xludf.DUMMYFUNCTION("""COMPUTED_VALUE"""),0.301064449731658)</f>
        <v>0.3010644497</v>
      </c>
      <c r="L1312" s="165">
        <f>IFERROR(__xludf.DUMMYFUNCTION("""COMPUTED_VALUE"""),-3.2588722711764)</f>
        <v>-3.258872271</v>
      </c>
      <c r="M1312" s="166">
        <f t="shared" si="2"/>
        <v>-0.7208471233</v>
      </c>
      <c r="N1312" s="167">
        <f t="shared" si="3"/>
        <v>20.5120122</v>
      </c>
      <c r="O1312" s="163">
        <f t="shared" ref="O1312:Q1312" si="1316">rank(I1312,I:I)</f>
        <v>2765</v>
      </c>
      <c r="P1312" s="163">
        <f t="shared" si="1316"/>
        <v>3878</v>
      </c>
      <c r="Q1312" s="163">
        <f t="shared" si="1316"/>
        <v>909</v>
      </c>
      <c r="R1312" s="163">
        <f>IFERROR(__xludf.DUMMYFUNCTION("RANK(M1312,filter(M:M,C:C=C1312))"),458.0)</f>
        <v>458</v>
      </c>
      <c r="S1312" s="161" t="b">
        <f t="shared" si="5"/>
        <v>0</v>
      </c>
      <c r="T1312" s="161" t="b">
        <f t="array" ref="T1312">index('Query Tool'!B:B,match(H1312,'Query Tool'!C:C,0))</f>
        <v>1</v>
      </c>
      <c r="U1312" s="161" t="b">
        <f t="array" ref="U1312">index('Query Tool'!B:B,match(C1312,'Query Tool'!C:C,0))</f>
        <v>0</v>
      </c>
      <c r="V1312" s="161" t="b">
        <f>F1312&gt;='Query Tool'!C$32</f>
        <v>1</v>
      </c>
      <c r="W1312" s="161" t="b">
        <f t="array" ref="W1312">index(Dropdowns!B:B,match(I1312,Dropdowns!A:A,0))</f>
        <v>1</v>
      </c>
      <c r="X1312" s="161" t="b">
        <f t="array" ref="X1312">index('Query Tool'!B:B,match(D1312,'Query Tool'!C:C,0))</f>
        <v>1</v>
      </c>
      <c r="Y1312" s="161" t="str">
        <f t="shared" si="6"/>
        <v>muhamsh01,2015-16</v>
      </c>
      <c r="Z1312" s="168">
        <f t="array" ref="Z1312">iferror(index(I:I,match($A1312&amp;","&amp;index('Year Conversion'!$A:$A,match($C1312,'Year Conversion'!$B:$B,0)),$Y:$Y,0))-I1312,"")</f>
        <v>1</v>
      </c>
      <c r="AA1312" s="168">
        <f t="array" ref="AA1312">iferror(index(J:J,match($A1312&amp;","&amp;index('Year Conversion'!$A:$A,match($C1312,'Year Conversion'!$B:$B,0)),$Y:$Y,0))-J1312,"")</f>
        <v>1.174445296</v>
      </c>
      <c r="AB1312" s="168">
        <f t="array" ref="AB1312">iferror(index(K:K,match($A1312&amp;","&amp;index('Year Conversion'!$A:$A,match($C1312,'Year Conversion'!$B:$B,0)),$Y:$Y,0))-K1312,"")</f>
        <v>0.1355432823</v>
      </c>
      <c r="AC1312" s="168" t="str">
        <f t="shared" si="7"/>
        <v>MIN,2015-16</v>
      </c>
    </row>
    <row r="1313">
      <c r="A1313" s="161" t="str">
        <f>IFERROR(__xludf.DUMMYFUNCTION("""COMPUTED_VALUE"""),"larkish01")</f>
        <v>larkish01</v>
      </c>
      <c r="B1313" s="161" t="str">
        <f>IFERROR(__xludf.DUMMYFUNCTION("""COMPUTED_VALUE"""),"Shane Larkin")</f>
        <v>Shane Larkin</v>
      </c>
      <c r="C1313" s="162" t="str">
        <f>IFERROR(__xludf.DUMMYFUNCTION("""COMPUTED_VALUE"""),"2015-16")</f>
        <v>2015-16</v>
      </c>
      <c r="D1313" s="163" t="str">
        <f>IFERROR(__xludf.DUMMYFUNCTION("""COMPUTED_VALUE"""),"BRK")</f>
        <v>BRK</v>
      </c>
      <c r="E1313" s="164" t="str">
        <f>IFERROR(__xludf.DUMMYFUNCTION("""COMPUTED_VALUE"""),"Slasher")</f>
        <v>Slasher</v>
      </c>
      <c r="F1313" s="164">
        <f>IFERROR(__xludf.DUMMYFUNCTION("""COMPUTED_VALUE"""),1750.65166666667)</f>
        <v>1750.651667</v>
      </c>
      <c r="G1313" s="163">
        <f>IFERROR(__xludf.DUMMYFUNCTION("""COMPUTED_VALUE"""),78.0)</f>
        <v>78</v>
      </c>
      <c r="H1313" s="163" t="str">
        <f>IFERROR(__xludf.DUMMYFUNCTION("""COMPUTED_VALUE"""),"PG")</f>
        <v>PG</v>
      </c>
      <c r="I1313" s="163">
        <f>IFERROR(__xludf.DUMMYFUNCTION("""COMPUTED_VALUE"""),23.0)</f>
        <v>23</v>
      </c>
      <c r="J1313" s="165">
        <f>IFERROR(__xludf.DUMMYFUNCTION("""COMPUTED_VALUE"""),-1.87633271231745)</f>
        <v>-1.876332712</v>
      </c>
      <c r="K1313" s="165">
        <f>IFERROR(__xludf.DUMMYFUNCTION("""COMPUTED_VALUE"""),-0.919764948756486)</f>
        <v>-0.9197649488</v>
      </c>
      <c r="L1313" s="165">
        <f>IFERROR(__xludf.DUMMYFUNCTION("""COMPUTED_VALUE"""),-0.956567763560963)</f>
        <v>-0.9565677636</v>
      </c>
      <c r="M1313" s="166">
        <f t="shared" si="2"/>
        <v>0.4951072384</v>
      </c>
      <c r="N1313" s="167">
        <f t="shared" si="3"/>
        <v>22.44425214</v>
      </c>
      <c r="O1313" s="163">
        <f t="shared" ref="O1313:Q1313" si="1317">rank(I1313,I:I)</f>
        <v>2765</v>
      </c>
      <c r="P1313" s="163">
        <f t="shared" si="1317"/>
        <v>3401</v>
      </c>
      <c r="Q1313" s="163">
        <f t="shared" si="1317"/>
        <v>2714</v>
      </c>
      <c r="R1313" s="163">
        <f>IFERROR(__xludf.DUMMYFUNCTION("RANK(M1313,filter(M:M,C:C=C1313))"),283.0)</f>
        <v>283</v>
      </c>
      <c r="S1313" s="161" t="b">
        <f t="shared" si="5"/>
        <v>0</v>
      </c>
      <c r="T1313" s="161" t="b">
        <f t="array" ref="T1313">index('Query Tool'!B:B,match(H1313,'Query Tool'!C:C,0))</f>
        <v>1</v>
      </c>
      <c r="U1313" s="161" t="b">
        <f t="array" ref="U1313">index('Query Tool'!B:B,match(C1313,'Query Tool'!C:C,0))</f>
        <v>0</v>
      </c>
      <c r="V1313" s="161" t="b">
        <f>F1313&gt;='Query Tool'!C$32</f>
        <v>1</v>
      </c>
      <c r="W1313" s="161" t="b">
        <f t="array" ref="W1313">index(Dropdowns!B:B,match(I1313,Dropdowns!A:A,0))</f>
        <v>1</v>
      </c>
      <c r="X1313" s="161" t="b">
        <f t="array" ref="X1313">index('Query Tool'!B:B,match(D1313,'Query Tool'!C:C,0))</f>
        <v>1</v>
      </c>
      <c r="Y1313" s="161" t="str">
        <f t="shared" si="6"/>
        <v>larkish01,2015-16</v>
      </c>
      <c r="Z1313" s="168" t="str">
        <f t="array" ref="Z1313">iferror(index(I:I,match($A1313&amp;","&amp;index('Year Conversion'!$A:$A,match($C1313,'Year Conversion'!$B:$B,0)),$Y:$Y,0))-I1313,"")</f>
        <v/>
      </c>
      <c r="AA1313" s="168" t="str">
        <f t="array" ref="AA1313">iferror(index(J:J,match($A1313&amp;","&amp;index('Year Conversion'!$A:$A,match($C1313,'Year Conversion'!$B:$B,0)),$Y:$Y,0))-J1313,"")</f>
        <v/>
      </c>
      <c r="AB1313" s="168" t="str">
        <f t="array" ref="AB1313">iferror(index(K:K,match($A1313&amp;","&amp;index('Year Conversion'!$A:$A,match($C1313,'Year Conversion'!$B:$B,0)),$Y:$Y,0))-K1313,"")</f>
        <v/>
      </c>
      <c r="AC1313" s="168" t="str">
        <f t="shared" si="7"/>
        <v>BRK,2015-16</v>
      </c>
    </row>
    <row r="1314">
      <c r="A1314" s="161" t="str">
        <f>IFERROR(__xludf.DUMMYFUNCTION("""COMPUTED_VALUE"""),"adamsst01")</f>
        <v>adamsst01</v>
      </c>
      <c r="B1314" s="161" t="str">
        <f>IFERROR(__xludf.DUMMYFUNCTION("""COMPUTED_VALUE"""),"Steven Adams")</f>
        <v>Steven Adams</v>
      </c>
      <c r="C1314" s="162" t="str">
        <f>IFERROR(__xludf.DUMMYFUNCTION("""COMPUTED_VALUE"""),"2015-16")</f>
        <v>2015-16</v>
      </c>
      <c r="D1314" s="163" t="str">
        <f>IFERROR(__xludf.DUMMYFUNCTION("""COMPUTED_VALUE"""),"OKC")</f>
        <v>OKC</v>
      </c>
      <c r="E1314" s="164" t="str">
        <f>IFERROR(__xludf.DUMMYFUNCTION("""COMPUTED_VALUE"""),"Roll + Cut Big")</f>
        <v>Roll + Cut Big</v>
      </c>
      <c r="F1314" s="164">
        <f>IFERROR(__xludf.DUMMYFUNCTION("""COMPUTED_VALUE"""),2014.38833333333)</f>
        <v>2014.388333</v>
      </c>
      <c r="G1314" s="163">
        <f>IFERROR(__xludf.DUMMYFUNCTION("""COMPUTED_VALUE"""),80.0)</f>
        <v>80</v>
      </c>
      <c r="H1314" s="163" t="str">
        <f>IFERROR(__xludf.DUMMYFUNCTION("""COMPUTED_VALUE"""),"C")</f>
        <v>C</v>
      </c>
      <c r="I1314" s="163">
        <f>IFERROR(__xludf.DUMMYFUNCTION("""COMPUTED_VALUE"""),22.0)</f>
        <v>22</v>
      </c>
      <c r="J1314" s="165">
        <f>IFERROR(__xludf.DUMMYFUNCTION("""COMPUTED_VALUE"""),1.36798326162843)</f>
        <v>1.367983262</v>
      </c>
      <c r="K1314" s="165">
        <f>IFERROR(__xludf.DUMMYFUNCTION("""COMPUTED_VALUE"""),-0.305090580820956)</f>
        <v>-0.3050905808</v>
      </c>
      <c r="L1314" s="165">
        <f>IFERROR(__xludf.DUMMYFUNCTION("""COMPUTED_VALUE"""),1.67307384244939)</f>
        <v>1.673073842</v>
      </c>
      <c r="M1314" s="166">
        <f t="shared" si="2"/>
        <v>4.95853141</v>
      </c>
      <c r="N1314" s="167">
        <f t="shared" si="3"/>
        <v>25.17985417</v>
      </c>
      <c r="O1314" s="163">
        <f t="shared" ref="O1314:Q1314" si="1318">rank(I1314,I:I)</f>
        <v>3178</v>
      </c>
      <c r="P1314" s="163">
        <f t="shared" si="1318"/>
        <v>503</v>
      </c>
      <c r="Q1314" s="163">
        <f t="shared" si="1318"/>
        <v>1768</v>
      </c>
      <c r="R1314" s="163">
        <f>IFERROR(__xludf.DUMMYFUNCTION("RANK(M1314,filter(M:M,C:C=C1314))"),62.0)</f>
        <v>62</v>
      </c>
      <c r="S1314" s="161" t="b">
        <f t="shared" si="5"/>
        <v>0</v>
      </c>
      <c r="T1314" s="161" t="b">
        <f t="array" ref="T1314">index('Query Tool'!B:B,match(H1314,'Query Tool'!C:C,0))</f>
        <v>1</v>
      </c>
      <c r="U1314" s="161" t="b">
        <f t="array" ref="U1314">index('Query Tool'!B:B,match(C1314,'Query Tool'!C:C,0))</f>
        <v>0</v>
      </c>
      <c r="V1314" s="161" t="b">
        <f>F1314&gt;='Query Tool'!C$32</f>
        <v>1</v>
      </c>
      <c r="W1314" s="161" t="b">
        <f t="array" ref="W1314">index(Dropdowns!B:B,match(I1314,Dropdowns!A:A,0))</f>
        <v>1</v>
      </c>
      <c r="X1314" s="161" t="b">
        <f t="array" ref="X1314">index('Query Tool'!B:B,match(D1314,'Query Tool'!C:C,0))</f>
        <v>1</v>
      </c>
      <c r="Y1314" s="161" t="str">
        <f t="shared" si="6"/>
        <v>adamsst01,2015-16</v>
      </c>
      <c r="Z1314" s="168">
        <f t="array" ref="Z1314">iferror(index(I:I,match($A1314&amp;","&amp;index('Year Conversion'!$A:$A,match($C1314,'Year Conversion'!$B:$B,0)),$Y:$Y,0))-I1314,"")</f>
        <v>1</v>
      </c>
      <c r="AA1314" s="168">
        <f t="array" ref="AA1314">iferror(index(J:J,match($A1314&amp;","&amp;index('Year Conversion'!$A:$A,match($C1314,'Year Conversion'!$B:$B,0)),$Y:$Y,0))-J1314,"")</f>
        <v>-0.4481096352</v>
      </c>
      <c r="AB1314" s="168">
        <f t="array" ref="AB1314">iferror(index(K:K,match($A1314&amp;","&amp;index('Year Conversion'!$A:$A,match($C1314,'Year Conversion'!$B:$B,0)),$Y:$Y,0))-K1314,"")</f>
        <v>-0.09806075715</v>
      </c>
      <c r="AC1314" s="168" t="str">
        <f t="shared" si="7"/>
        <v>OKC,2015-16</v>
      </c>
    </row>
    <row r="1315">
      <c r="A1315" s="161" t="str">
        <f>IFERROR(__xludf.DUMMYFUNCTION("""COMPUTED_VALUE"""),"hardati02")</f>
        <v>hardati02</v>
      </c>
      <c r="B1315" s="161" t="str">
        <f>IFERROR(__xludf.DUMMYFUNCTION("""COMPUTED_VALUE"""),"Tim Hardaway Jr.")</f>
        <v>Tim Hardaway Jr.</v>
      </c>
      <c r="C1315" s="162" t="str">
        <f>IFERROR(__xludf.DUMMYFUNCTION("""COMPUTED_VALUE"""),"2015-16")</f>
        <v>2015-16</v>
      </c>
      <c r="D1315" s="163" t="str">
        <f>IFERROR(__xludf.DUMMYFUNCTION("""COMPUTED_VALUE"""),"ATL")</f>
        <v>ATL</v>
      </c>
      <c r="E1315" s="164" t="str">
        <f>IFERROR(__xludf.DUMMYFUNCTION("""COMPUTED_VALUE"""),"Stationary Shooter")</f>
        <v>Stationary Shooter</v>
      </c>
      <c r="F1315" s="164">
        <f>IFERROR(__xludf.DUMMYFUNCTION("""COMPUTED_VALUE"""),864.11)</f>
        <v>864.11</v>
      </c>
      <c r="G1315" s="163">
        <f>IFERROR(__xludf.DUMMYFUNCTION("""COMPUTED_VALUE"""),51.0)</f>
        <v>51</v>
      </c>
      <c r="H1315" s="163" t="str">
        <f>IFERROR(__xludf.DUMMYFUNCTION("""COMPUTED_VALUE"""),"SG")</f>
        <v>SG</v>
      </c>
      <c r="I1315" s="163">
        <f>IFERROR(__xludf.DUMMYFUNCTION("""COMPUTED_VALUE"""),23.0)</f>
        <v>23</v>
      </c>
      <c r="J1315" s="165">
        <f>IFERROR(__xludf.DUMMYFUNCTION("""COMPUTED_VALUE"""),-0.855183100699305)</f>
        <v>-0.8551831007</v>
      </c>
      <c r="K1315" s="165">
        <f>IFERROR(__xludf.DUMMYFUNCTION("""COMPUTED_VALUE"""),0.190257697386271)</f>
        <v>0.1902576974</v>
      </c>
      <c r="L1315" s="165">
        <f>IFERROR(__xludf.DUMMYFUNCTION("""COMPUTED_VALUE"""),-1.04544079808558)</f>
        <v>-1.045440798</v>
      </c>
      <c r="M1315" s="166">
        <f t="shared" si="2"/>
        <v>0.8344675495</v>
      </c>
      <c r="N1315" s="167">
        <f t="shared" si="3"/>
        <v>16.94333333</v>
      </c>
      <c r="O1315" s="163">
        <f t="shared" ref="O1315:Q1315" si="1319">rank(I1315,I:I)</f>
        <v>2765</v>
      </c>
      <c r="P1315" s="163">
        <f t="shared" si="1319"/>
        <v>2348</v>
      </c>
      <c r="Q1315" s="163">
        <f t="shared" si="1319"/>
        <v>992</v>
      </c>
      <c r="R1315" s="163">
        <f>IFERROR(__xludf.DUMMYFUNCTION("RANK(M1315,filter(M:M,C:C=C1315))"),236.0)</f>
        <v>236</v>
      </c>
      <c r="S1315" s="161" t="b">
        <f t="shared" si="5"/>
        <v>0</v>
      </c>
      <c r="T1315" s="161" t="b">
        <f t="array" ref="T1315">index('Query Tool'!B:B,match(H1315,'Query Tool'!C:C,0))</f>
        <v>1</v>
      </c>
      <c r="U1315" s="161" t="b">
        <f t="array" ref="U1315">index('Query Tool'!B:B,match(C1315,'Query Tool'!C:C,0))</f>
        <v>0</v>
      </c>
      <c r="V1315" s="161" t="b">
        <f>F1315&gt;='Query Tool'!C$32</f>
        <v>1</v>
      </c>
      <c r="W1315" s="161" t="b">
        <f t="array" ref="W1315">index(Dropdowns!B:B,match(I1315,Dropdowns!A:A,0))</f>
        <v>1</v>
      </c>
      <c r="X1315" s="161" t="b">
        <f t="array" ref="X1315">index('Query Tool'!B:B,match(D1315,'Query Tool'!C:C,0))</f>
        <v>1</v>
      </c>
      <c r="Y1315" s="161" t="str">
        <f t="shared" si="6"/>
        <v>hardati02,2015-16</v>
      </c>
      <c r="Z1315" s="168">
        <f t="array" ref="Z1315">iferror(index(I:I,match($A1315&amp;","&amp;index('Year Conversion'!$A:$A,match($C1315,'Year Conversion'!$B:$B,0)),$Y:$Y,0))-I1315,"")</f>
        <v>1</v>
      </c>
      <c r="AA1315" s="168">
        <f t="array" ref="AA1315">iferror(index(J:J,match($A1315&amp;","&amp;index('Year Conversion'!$A:$A,match($C1315,'Year Conversion'!$B:$B,0)),$Y:$Y,0))-J1315,"")</f>
        <v>1.327332413</v>
      </c>
      <c r="AB1315" s="168">
        <f t="array" ref="AB1315">iferror(index(K:K,match($A1315&amp;","&amp;index('Year Conversion'!$A:$A,match($C1315,'Year Conversion'!$B:$B,0)),$Y:$Y,0))-K1315,"")</f>
        <v>0.9157494307</v>
      </c>
      <c r="AC1315" s="168" t="str">
        <f t="shared" si="7"/>
        <v>ATL,2015-16</v>
      </c>
    </row>
    <row r="1316">
      <c r="A1316" s="161" t="str">
        <f>IFERROR(__xludf.DUMMYFUNCTION("""COMPUTED_VALUE"""),"snellto01")</f>
        <v>snellto01</v>
      </c>
      <c r="B1316" s="161" t="str">
        <f>IFERROR(__xludf.DUMMYFUNCTION("""COMPUTED_VALUE"""),"Tony Snell")</f>
        <v>Tony Snell</v>
      </c>
      <c r="C1316" s="162" t="str">
        <f>IFERROR(__xludf.DUMMYFUNCTION("""COMPUTED_VALUE"""),"2015-16")</f>
        <v>2015-16</v>
      </c>
      <c r="D1316" s="163" t="str">
        <f>IFERROR(__xludf.DUMMYFUNCTION("""COMPUTED_VALUE"""),"CHI")</f>
        <v>CHI</v>
      </c>
      <c r="E1316" s="164" t="str">
        <f>IFERROR(__xludf.DUMMYFUNCTION("""COMPUTED_VALUE"""),"Stationary Shooter")</f>
        <v>Stationary Shooter</v>
      </c>
      <c r="F1316" s="164">
        <f>IFERROR(__xludf.DUMMYFUNCTION("""COMPUTED_VALUE"""),1301.01333333333)</f>
        <v>1301.013333</v>
      </c>
      <c r="G1316" s="163">
        <f>IFERROR(__xludf.DUMMYFUNCTION("""COMPUTED_VALUE"""),64.0)</f>
        <v>64</v>
      </c>
      <c r="H1316" s="163" t="str">
        <f>IFERROR(__xludf.DUMMYFUNCTION("""COMPUTED_VALUE"""),"SF")</f>
        <v>SF</v>
      </c>
      <c r="I1316" s="163">
        <f>IFERROR(__xludf.DUMMYFUNCTION("""COMPUTED_VALUE"""),24.0)</f>
        <v>24</v>
      </c>
      <c r="J1316" s="165">
        <f>IFERROR(__xludf.DUMMYFUNCTION("""COMPUTED_VALUE"""),-1.53866914395091)</f>
        <v>-1.538669144</v>
      </c>
      <c r="K1316" s="165">
        <f>IFERROR(__xludf.DUMMYFUNCTION("""COMPUTED_VALUE"""),-2.14233386994369)</f>
        <v>-2.14233387</v>
      </c>
      <c r="L1316" s="165">
        <f>IFERROR(__xludf.DUMMYFUNCTION("""COMPUTED_VALUE"""),0.603664725992782)</f>
        <v>0.603664726</v>
      </c>
      <c r="M1316" s="166">
        <f t="shared" si="2"/>
        <v>0.6605374305</v>
      </c>
      <c r="N1316" s="167">
        <f t="shared" si="3"/>
        <v>20.32833333</v>
      </c>
      <c r="O1316" s="163">
        <f t="shared" ref="O1316:Q1316" si="1320">rank(I1316,I:I)</f>
        <v>2361</v>
      </c>
      <c r="P1316" s="163">
        <f t="shared" si="1320"/>
        <v>3085</v>
      </c>
      <c r="Q1316" s="163">
        <f t="shared" si="1320"/>
        <v>3779</v>
      </c>
      <c r="R1316" s="163">
        <f>IFERROR(__xludf.DUMMYFUNCTION("RANK(M1316,filter(M:M,C:C=C1316))"),261.0)</f>
        <v>261</v>
      </c>
      <c r="S1316" s="161" t="b">
        <f t="shared" si="5"/>
        <v>0</v>
      </c>
      <c r="T1316" s="161" t="b">
        <f t="array" ref="T1316">index('Query Tool'!B:B,match(H1316,'Query Tool'!C:C,0))</f>
        <v>1</v>
      </c>
      <c r="U1316" s="161" t="b">
        <f t="array" ref="U1316">index('Query Tool'!B:B,match(C1316,'Query Tool'!C:C,0))</f>
        <v>0</v>
      </c>
      <c r="V1316" s="161" t="b">
        <f>F1316&gt;='Query Tool'!C$32</f>
        <v>1</v>
      </c>
      <c r="W1316" s="161" t="b">
        <f t="array" ref="W1316">index(Dropdowns!B:B,match(I1316,Dropdowns!A:A,0))</f>
        <v>1</v>
      </c>
      <c r="X1316" s="161" t="b">
        <f t="array" ref="X1316">index('Query Tool'!B:B,match(D1316,'Query Tool'!C:C,0))</f>
        <v>1</v>
      </c>
      <c r="Y1316" s="161" t="str">
        <f t="shared" si="6"/>
        <v>snellto01,2015-16</v>
      </c>
      <c r="Z1316" s="168">
        <f t="array" ref="Z1316">iferror(index(I:I,match($A1316&amp;","&amp;index('Year Conversion'!$A:$A,match($C1316,'Year Conversion'!$B:$B,0)),$Y:$Y,0))-I1316,"")</f>
        <v>1</v>
      </c>
      <c r="AA1316" s="168">
        <f t="array" ref="AA1316">iferror(index(J:J,match($A1316&amp;","&amp;index('Year Conversion'!$A:$A,match($C1316,'Year Conversion'!$B:$B,0)),$Y:$Y,0))-J1316,"")</f>
        <v>-0.305829443</v>
      </c>
      <c r="AB1316" s="168">
        <f t="array" ref="AB1316">iferror(index(K:K,match($A1316&amp;","&amp;index('Year Conversion'!$A:$A,match($C1316,'Year Conversion'!$B:$B,0)),$Y:$Y,0))-K1316,"")</f>
        <v>1.263945769</v>
      </c>
      <c r="AC1316" s="168" t="str">
        <f t="shared" si="7"/>
        <v>CHI,2015-16</v>
      </c>
    </row>
    <row r="1317">
      <c r="A1317" s="161" t="str">
        <f>IFERROR(__xludf.DUMMYFUNCTION("""COMPUTED_VALUE"""),"burketr01")</f>
        <v>burketr01</v>
      </c>
      <c r="B1317" s="161" t="str">
        <f>IFERROR(__xludf.DUMMYFUNCTION("""COMPUTED_VALUE"""),"Trey Burke")</f>
        <v>Trey Burke</v>
      </c>
      <c r="C1317" s="162" t="str">
        <f>IFERROR(__xludf.DUMMYFUNCTION("""COMPUTED_VALUE"""),"2015-16")</f>
        <v>2015-16</v>
      </c>
      <c r="D1317" s="163" t="str">
        <f>IFERROR(__xludf.DUMMYFUNCTION("""COMPUTED_VALUE"""),"UTA")</f>
        <v>UTA</v>
      </c>
      <c r="E1317" s="164" t="str">
        <f>IFERROR(__xludf.DUMMYFUNCTION("""COMPUTED_VALUE"""),"Primary Ball Handler")</f>
        <v>Primary Ball Handler</v>
      </c>
      <c r="F1317" s="164">
        <f>IFERROR(__xludf.DUMMYFUNCTION("""COMPUTED_VALUE"""),1365.79166666667)</f>
        <v>1365.791667</v>
      </c>
      <c r="G1317" s="163">
        <f>IFERROR(__xludf.DUMMYFUNCTION("""COMPUTED_VALUE"""),64.0)</f>
        <v>64</v>
      </c>
      <c r="H1317" s="163" t="str">
        <f>IFERROR(__xludf.DUMMYFUNCTION("""COMPUTED_VALUE"""),"PG")</f>
        <v>PG</v>
      </c>
      <c r="I1317" s="163">
        <f>IFERROR(__xludf.DUMMYFUNCTION("""COMPUTED_VALUE"""),23.0)</f>
        <v>23</v>
      </c>
      <c r="J1317" s="165">
        <f>IFERROR(__xludf.DUMMYFUNCTION("""COMPUTED_VALUE"""),-0.996584704965845)</f>
        <v>-0.996584705</v>
      </c>
      <c r="K1317" s="165">
        <f>IFERROR(__xludf.DUMMYFUNCTION("""COMPUTED_VALUE"""),0.415656851357517)</f>
        <v>0.4156568514</v>
      </c>
      <c r="L1317" s="165">
        <f>IFERROR(__xludf.DUMMYFUNCTION("""COMPUTED_VALUE"""),-1.41224155632336)</f>
        <v>-1.412241556</v>
      </c>
      <c r="M1317" s="166">
        <f t="shared" si="2"/>
        <v>1.189201478</v>
      </c>
      <c r="N1317" s="167">
        <f t="shared" si="3"/>
        <v>21.34049479</v>
      </c>
      <c r="O1317" s="163">
        <f t="shared" ref="O1317:Q1317" si="1321">rank(I1317,I:I)</f>
        <v>2765</v>
      </c>
      <c r="P1317" s="163">
        <f t="shared" si="1321"/>
        <v>2498</v>
      </c>
      <c r="Q1317" s="163">
        <f t="shared" si="1321"/>
        <v>821</v>
      </c>
      <c r="R1317" s="163">
        <f>IFERROR(__xludf.DUMMYFUNCTION("RANK(M1317,filter(M:M,C:C=C1317))"),209.0)</f>
        <v>209</v>
      </c>
      <c r="S1317" s="161" t="b">
        <f t="shared" si="5"/>
        <v>0</v>
      </c>
      <c r="T1317" s="161" t="b">
        <f t="array" ref="T1317">index('Query Tool'!B:B,match(H1317,'Query Tool'!C:C,0))</f>
        <v>1</v>
      </c>
      <c r="U1317" s="161" t="b">
        <f t="array" ref="U1317">index('Query Tool'!B:B,match(C1317,'Query Tool'!C:C,0))</f>
        <v>0</v>
      </c>
      <c r="V1317" s="161" t="b">
        <f>F1317&gt;='Query Tool'!C$32</f>
        <v>1</v>
      </c>
      <c r="W1317" s="161" t="b">
        <f t="array" ref="W1317">index(Dropdowns!B:B,match(I1317,Dropdowns!A:A,0))</f>
        <v>1</v>
      </c>
      <c r="X1317" s="161" t="b">
        <f t="array" ref="X1317">index('Query Tool'!B:B,match(D1317,'Query Tool'!C:C,0))</f>
        <v>1</v>
      </c>
      <c r="Y1317" s="161" t="str">
        <f t="shared" si="6"/>
        <v>burketr01,2015-16</v>
      </c>
      <c r="Z1317" s="168">
        <f t="array" ref="Z1317">iferror(index(I:I,match($A1317&amp;","&amp;index('Year Conversion'!$A:$A,match($C1317,'Year Conversion'!$B:$B,0)),$Y:$Y,0))-I1317,"")</f>
        <v>1</v>
      </c>
      <c r="AA1317" s="168">
        <f t="array" ref="AA1317">iferror(index(J:J,match($A1317&amp;","&amp;index('Year Conversion'!$A:$A,match($C1317,'Year Conversion'!$B:$B,0)),$Y:$Y,0))-J1317,"")</f>
        <v>-3.161004461</v>
      </c>
      <c r="AB1317" s="168">
        <f t="array" ref="AB1317">iferror(index(K:K,match($A1317&amp;","&amp;index('Year Conversion'!$A:$A,match($C1317,'Year Conversion'!$B:$B,0)),$Y:$Y,0))-K1317,"")</f>
        <v>-2.385068525</v>
      </c>
      <c r="AC1317" s="168" t="str">
        <f t="shared" si="7"/>
        <v>UTA,2015-16</v>
      </c>
    </row>
    <row r="1318">
      <c r="A1318" s="161" t="str">
        <f>IFERROR(__xludf.DUMMYFUNCTION("""COMPUTED_VALUE"""),"oladivi01")</f>
        <v>oladivi01</v>
      </c>
      <c r="B1318" s="161" t="str">
        <f>IFERROR(__xludf.DUMMYFUNCTION("""COMPUTED_VALUE"""),"Victor Oladipo")</f>
        <v>Victor Oladipo</v>
      </c>
      <c r="C1318" s="162" t="str">
        <f>IFERROR(__xludf.DUMMYFUNCTION("""COMPUTED_VALUE"""),"2015-16")</f>
        <v>2015-16</v>
      </c>
      <c r="D1318" s="163" t="str">
        <f>IFERROR(__xludf.DUMMYFUNCTION("""COMPUTED_VALUE"""),"ORL")</f>
        <v>ORL</v>
      </c>
      <c r="E1318" s="164" t="str">
        <f>IFERROR(__xludf.DUMMYFUNCTION("""COMPUTED_VALUE"""),"Primary Ball Handler")</f>
        <v>Primary Ball Handler</v>
      </c>
      <c r="F1318" s="164">
        <f>IFERROR(__xludf.DUMMYFUNCTION("""COMPUTED_VALUE"""),2379.33)</f>
        <v>2379.33</v>
      </c>
      <c r="G1318" s="163">
        <f>IFERROR(__xludf.DUMMYFUNCTION("""COMPUTED_VALUE"""),72.0)</f>
        <v>72</v>
      </c>
      <c r="H1318" s="163" t="str">
        <f>IFERROR(__xludf.DUMMYFUNCTION("""COMPUTED_VALUE"""),"SG")</f>
        <v>SG</v>
      </c>
      <c r="I1318" s="163">
        <f>IFERROR(__xludf.DUMMYFUNCTION("""COMPUTED_VALUE"""),23.0)</f>
        <v>23</v>
      </c>
      <c r="J1318" s="165">
        <f>IFERROR(__xludf.DUMMYFUNCTION("""COMPUTED_VALUE"""),1.09035606351003)</f>
        <v>1.090356064</v>
      </c>
      <c r="K1318" s="165">
        <f>IFERROR(__xludf.DUMMYFUNCTION("""COMPUTED_VALUE"""),1.00977988436664)</f>
        <v>1.009779884</v>
      </c>
      <c r="L1318" s="165">
        <f>IFERROR(__xludf.DUMMYFUNCTION("""COMPUTED_VALUE"""),0.08057617914339)</f>
        <v>0.08057617914</v>
      </c>
      <c r="M1318" s="166">
        <f t="shared" si="2"/>
        <v>5.414312793</v>
      </c>
      <c r="N1318" s="167">
        <f t="shared" si="3"/>
        <v>33.04625</v>
      </c>
      <c r="O1318" s="163">
        <f t="shared" ref="O1318:Q1318" si="1322">rank(I1318,I:I)</f>
        <v>2765</v>
      </c>
      <c r="P1318" s="163">
        <f t="shared" si="1322"/>
        <v>622</v>
      </c>
      <c r="Q1318" s="163">
        <f t="shared" si="1322"/>
        <v>500</v>
      </c>
      <c r="R1318" s="163">
        <f>IFERROR(__xludf.DUMMYFUNCTION("RANK(M1318,filter(M:M,C:C=C1318))"),55.0)</f>
        <v>55</v>
      </c>
      <c r="S1318" s="161" t="b">
        <f t="shared" si="5"/>
        <v>0</v>
      </c>
      <c r="T1318" s="161" t="b">
        <f t="array" ref="T1318">index('Query Tool'!B:B,match(H1318,'Query Tool'!C:C,0))</f>
        <v>1</v>
      </c>
      <c r="U1318" s="161" t="b">
        <f t="array" ref="U1318">index('Query Tool'!B:B,match(C1318,'Query Tool'!C:C,0))</f>
        <v>0</v>
      </c>
      <c r="V1318" s="161" t="b">
        <f>F1318&gt;='Query Tool'!C$32</f>
        <v>1</v>
      </c>
      <c r="W1318" s="161" t="b">
        <f t="array" ref="W1318">index(Dropdowns!B:B,match(I1318,Dropdowns!A:A,0))</f>
        <v>1</v>
      </c>
      <c r="X1318" s="161" t="b">
        <f t="array" ref="X1318">index('Query Tool'!B:B,match(D1318,'Query Tool'!C:C,0))</f>
        <v>1</v>
      </c>
      <c r="Y1318" s="161" t="str">
        <f t="shared" si="6"/>
        <v>oladivi01,2015-16</v>
      </c>
      <c r="Z1318" s="168">
        <f t="array" ref="Z1318">iferror(index(I:I,match($A1318&amp;","&amp;index('Year Conversion'!$A:$A,match($C1318,'Year Conversion'!$B:$B,0)),$Y:$Y,0))-I1318,"")</f>
        <v>1</v>
      </c>
      <c r="AA1318" s="168">
        <f t="array" ref="AA1318">iferror(index(J:J,match($A1318&amp;","&amp;index('Year Conversion'!$A:$A,match($C1318,'Year Conversion'!$B:$B,0)),$Y:$Y,0))-J1318,"")</f>
        <v>-0.6308066454</v>
      </c>
      <c r="AB1318" s="168">
        <f t="array" ref="AB1318">iferror(index(K:K,match($A1318&amp;","&amp;index('Year Conversion'!$A:$A,match($C1318,'Year Conversion'!$B:$B,0)),$Y:$Y,0))-K1318,"")</f>
        <v>-1.594463546</v>
      </c>
      <c r="AC1318" s="168" t="str">
        <f t="shared" si="7"/>
        <v>ORL,2015-16</v>
      </c>
    </row>
    <row r="1319">
      <c r="A1319" s="161" t="str">
        <f>IFERROR(__xludf.DUMMYFUNCTION("""COMPUTED_VALUE"""),"antetgi01")</f>
        <v>antetgi01</v>
      </c>
      <c r="B1319" s="161" t="str">
        <f>IFERROR(__xludf.DUMMYFUNCTION("""COMPUTED_VALUE"""),"Giannis Antetokounmpo")</f>
        <v>Giannis Antetokounmpo</v>
      </c>
      <c r="C1319" s="162" t="str">
        <f>IFERROR(__xludf.DUMMYFUNCTION("""COMPUTED_VALUE"""),"2015-16")</f>
        <v>2015-16</v>
      </c>
      <c r="D1319" s="163" t="str">
        <f>IFERROR(__xludf.DUMMYFUNCTION("""COMPUTED_VALUE"""),"MIL")</f>
        <v>MIL</v>
      </c>
      <c r="E1319" s="164" t="str">
        <f>IFERROR(__xludf.DUMMYFUNCTION("""COMPUTED_VALUE"""),"Shot Creator")</f>
        <v>Shot Creator</v>
      </c>
      <c r="F1319" s="164">
        <f>IFERROR(__xludf.DUMMYFUNCTION("""COMPUTED_VALUE"""),2823.41333333333)</f>
        <v>2823.413333</v>
      </c>
      <c r="G1319" s="163">
        <f>IFERROR(__xludf.DUMMYFUNCTION("""COMPUTED_VALUE"""),80.0)</f>
        <v>80</v>
      </c>
      <c r="H1319" s="163" t="str">
        <f>IFERROR(__xludf.DUMMYFUNCTION("""COMPUTED_VALUE"""),"PG")</f>
        <v>PG</v>
      </c>
      <c r="I1319" s="163">
        <f>IFERROR(__xludf.DUMMYFUNCTION("""COMPUTED_VALUE"""),21.0)</f>
        <v>21</v>
      </c>
      <c r="J1319" s="165">
        <f>IFERROR(__xludf.DUMMYFUNCTION("""COMPUTED_VALUE"""),1.46174539339125)</f>
        <v>1.461745393</v>
      </c>
      <c r="K1319" s="165">
        <f>IFERROR(__xludf.DUMMYFUNCTION("""COMPUTED_VALUE"""),1.2270468116877)</f>
        <v>1.227046812</v>
      </c>
      <c r="L1319" s="165">
        <f>IFERROR(__xludf.DUMMYFUNCTION("""COMPUTED_VALUE"""),0.234698581703551)</f>
        <v>0.2346985817</v>
      </c>
      <c r="M1319" s="166">
        <f t="shared" si="2"/>
        <v>7.126988912</v>
      </c>
      <c r="N1319" s="167">
        <f t="shared" si="3"/>
        <v>35.29266667</v>
      </c>
      <c r="O1319" s="163">
        <f t="shared" ref="O1319:Q1319" si="1323">rank(I1319,I:I)</f>
        <v>3528</v>
      </c>
      <c r="P1319" s="163">
        <f t="shared" si="1323"/>
        <v>469</v>
      </c>
      <c r="Q1319" s="163">
        <f t="shared" si="1323"/>
        <v>409</v>
      </c>
      <c r="R1319" s="163">
        <f>IFERROR(__xludf.DUMMYFUNCTION("RANK(M1319,filter(M:M,C:C=C1319))"),32.0)</f>
        <v>32</v>
      </c>
      <c r="S1319" s="161" t="b">
        <f t="shared" si="5"/>
        <v>0</v>
      </c>
      <c r="T1319" s="161" t="b">
        <f t="array" ref="T1319">index('Query Tool'!B:B,match(H1319,'Query Tool'!C:C,0))</f>
        <v>1</v>
      </c>
      <c r="U1319" s="161" t="b">
        <f t="array" ref="U1319">index('Query Tool'!B:B,match(C1319,'Query Tool'!C:C,0))</f>
        <v>0</v>
      </c>
      <c r="V1319" s="161" t="b">
        <f>F1319&gt;='Query Tool'!C$32</f>
        <v>1</v>
      </c>
      <c r="W1319" s="161" t="b">
        <f t="array" ref="W1319">index(Dropdowns!B:B,match(I1319,Dropdowns!A:A,0))</f>
        <v>1</v>
      </c>
      <c r="X1319" s="161" t="b">
        <f t="array" ref="X1319">index('Query Tool'!B:B,match(D1319,'Query Tool'!C:C,0))</f>
        <v>1</v>
      </c>
      <c r="Y1319" s="161" t="str">
        <f t="shared" si="6"/>
        <v>antetgi01,2015-16</v>
      </c>
      <c r="Z1319" s="168">
        <f t="array" ref="Z1319">iferror(index(I:I,match($A1319&amp;","&amp;index('Year Conversion'!$A:$A,match($C1319,'Year Conversion'!$B:$B,0)),$Y:$Y,0))-I1319,"")</f>
        <v>1</v>
      </c>
      <c r="AA1319" s="168">
        <f t="array" ref="AA1319">iferror(index(J:J,match($A1319&amp;","&amp;index('Year Conversion'!$A:$A,match($C1319,'Year Conversion'!$B:$B,0)),$Y:$Y,0))-J1319,"")</f>
        <v>3.042841289</v>
      </c>
      <c r="AB1319" s="168">
        <f t="array" ref="AB1319">iferror(index(K:K,match($A1319&amp;","&amp;index('Year Conversion'!$A:$A,match($C1319,'Year Conversion'!$B:$B,0)),$Y:$Y,0))-K1319,"")</f>
        <v>1.070560732</v>
      </c>
      <c r="AC1319" s="168" t="str">
        <f t="shared" si="7"/>
        <v>MIL,2015-16</v>
      </c>
    </row>
    <row r="1320">
      <c r="A1320" s="161" t="str">
        <f>IFERROR(__xludf.DUMMYFUNCTION("""COMPUTED_VALUE"""),"karasse01")</f>
        <v>karasse01</v>
      </c>
      <c r="B1320" s="161" t="str">
        <f>IFERROR(__xludf.DUMMYFUNCTION("""COMPUTED_VALUE"""),"Sergey Karasev")</f>
        <v>Sergey Karasev</v>
      </c>
      <c r="C1320" s="162" t="str">
        <f>IFERROR(__xludf.DUMMYFUNCTION("""COMPUTED_VALUE"""),"2015-16")</f>
        <v>2015-16</v>
      </c>
      <c r="D1320" s="163" t="str">
        <f>IFERROR(__xludf.DUMMYFUNCTION("""COMPUTED_VALUE"""),"BRK")</f>
        <v>BRK</v>
      </c>
      <c r="E1320" s="164" t="str">
        <f>IFERROR(__xludf.DUMMYFUNCTION("""COMPUTED_VALUE"""),"Movement Shooter")</f>
        <v>Movement Shooter</v>
      </c>
      <c r="F1320" s="164">
        <f>IFERROR(__xludf.DUMMYFUNCTION("""COMPUTED_VALUE"""),399.423333333333)</f>
        <v>399.4233333</v>
      </c>
      <c r="G1320" s="163">
        <f>IFERROR(__xludf.DUMMYFUNCTION("""COMPUTED_VALUE"""),40.0)</f>
        <v>40</v>
      </c>
      <c r="H1320" s="163" t="str">
        <f>IFERROR(__xludf.DUMMYFUNCTION("""COMPUTED_VALUE"""),"SF")</f>
        <v>SF</v>
      </c>
      <c r="I1320" s="163">
        <f>IFERROR(__xludf.DUMMYFUNCTION("""COMPUTED_VALUE"""),22.0)</f>
        <v>22</v>
      </c>
      <c r="J1320" s="165">
        <f>IFERROR(__xludf.DUMMYFUNCTION("""COMPUTED_VALUE"""),-1.41648850738754)</f>
        <v>-1.416488507</v>
      </c>
      <c r="K1320" s="165">
        <f>IFERROR(__xludf.DUMMYFUNCTION("""COMPUTED_VALUE"""),-1.0719879980155)</f>
        <v>-1.071987998</v>
      </c>
      <c r="L1320" s="165">
        <f>IFERROR(__xludf.DUMMYFUNCTION("""COMPUTED_VALUE"""),-0.344500509372046)</f>
        <v>-0.3445005094</v>
      </c>
      <c r="M1320" s="166">
        <f t="shared" si="2"/>
        <v>0.2353951544</v>
      </c>
      <c r="N1320" s="167">
        <f t="shared" si="3"/>
        <v>9.985583333</v>
      </c>
      <c r="O1320" s="163">
        <f t="shared" ref="O1320:Q1320" si="1324">rank(I1320,I:I)</f>
        <v>3178</v>
      </c>
      <c r="P1320" s="163">
        <f t="shared" si="1324"/>
        <v>2967</v>
      </c>
      <c r="Q1320" s="163">
        <f t="shared" si="1324"/>
        <v>2901</v>
      </c>
      <c r="R1320" s="163">
        <f>IFERROR(__xludf.DUMMYFUNCTION("RANK(M1320,filter(M:M,C:C=C1320))"),333.0)</f>
        <v>333</v>
      </c>
      <c r="S1320" s="161" t="b">
        <f t="shared" si="5"/>
        <v>0</v>
      </c>
      <c r="T1320" s="161" t="b">
        <f t="array" ref="T1320">index('Query Tool'!B:B,match(H1320,'Query Tool'!C:C,0))</f>
        <v>1</v>
      </c>
      <c r="U1320" s="161" t="b">
        <f t="array" ref="U1320">index('Query Tool'!B:B,match(C1320,'Query Tool'!C:C,0))</f>
        <v>0</v>
      </c>
      <c r="V1320" s="161" t="b">
        <f>F1320&gt;='Query Tool'!C$32</f>
        <v>0</v>
      </c>
      <c r="W1320" s="161" t="b">
        <f t="array" ref="W1320">index(Dropdowns!B:B,match(I1320,Dropdowns!A:A,0))</f>
        <v>1</v>
      </c>
      <c r="X1320" s="161" t="b">
        <f t="array" ref="X1320">index('Query Tool'!B:B,match(D1320,'Query Tool'!C:C,0))</f>
        <v>1</v>
      </c>
      <c r="Y1320" s="161" t="str">
        <f t="shared" si="6"/>
        <v>karasse01,2015-16</v>
      </c>
      <c r="Z1320" s="168" t="str">
        <f t="array" ref="Z1320">iferror(index(I:I,match($A1320&amp;","&amp;index('Year Conversion'!$A:$A,match($C1320,'Year Conversion'!$B:$B,0)),$Y:$Y,0))-I1320,"")</f>
        <v/>
      </c>
      <c r="AA1320" s="168" t="str">
        <f t="array" ref="AA1320">iferror(index(J:J,match($A1320&amp;","&amp;index('Year Conversion'!$A:$A,match($C1320,'Year Conversion'!$B:$B,0)),$Y:$Y,0))-J1320,"")</f>
        <v/>
      </c>
      <c r="AB1320" s="168" t="str">
        <f t="array" ref="AB1320">iferror(index(K:K,match($A1320&amp;","&amp;index('Year Conversion'!$A:$A,match($C1320,'Year Conversion'!$B:$B,0)),$Y:$Y,0))-K1320,"")</f>
        <v/>
      </c>
      <c r="AC1320" s="168" t="str">
        <f t="shared" si="7"/>
        <v>BRK,2015-16</v>
      </c>
    </row>
    <row r="1321">
      <c r="A1321" s="161" t="str">
        <f>IFERROR(__xludf.DUMMYFUNCTION("""COMPUTED_VALUE"""),"noguelu01")</f>
        <v>noguelu01</v>
      </c>
      <c r="B1321" s="161" t="str">
        <f>IFERROR(__xludf.DUMMYFUNCTION("""COMPUTED_VALUE"""),"Lucas Nogueira")</f>
        <v>Lucas Nogueira</v>
      </c>
      <c r="C1321" s="162" t="str">
        <f>IFERROR(__xludf.DUMMYFUNCTION("""COMPUTED_VALUE"""),"2015-16")</f>
        <v>2015-16</v>
      </c>
      <c r="D1321" s="163" t="str">
        <f>IFERROR(__xludf.DUMMYFUNCTION("""COMPUTED_VALUE"""),"TOR")</f>
        <v>TOR</v>
      </c>
      <c r="E1321" s="164" t="str">
        <f>IFERROR(__xludf.DUMMYFUNCTION("""COMPUTED_VALUE"""),"Roll + Cut Big")</f>
        <v>Roll + Cut Big</v>
      </c>
      <c r="F1321" s="164">
        <f>IFERROR(__xludf.DUMMYFUNCTION("""COMPUTED_VALUE"""),224.73)</f>
        <v>224.73</v>
      </c>
      <c r="G1321" s="163">
        <f>IFERROR(__xludf.DUMMYFUNCTION("""COMPUTED_VALUE"""),29.0)</f>
        <v>29</v>
      </c>
      <c r="H1321" s="163" t="str">
        <f>IFERROR(__xludf.DUMMYFUNCTION("""COMPUTED_VALUE"""),"C")</f>
        <v>C</v>
      </c>
      <c r="I1321" s="163">
        <f>IFERROR(__xludf.DUMMYFUNCTION("""COMPUTED_VALUE"""),23.0)</f>
        <v>23</v>
      </c>
      <c r="J1321" s="165">
        <f>IFERROR(__xludf.DUMMYFUNCTION("""COMPUTED_VALUE"""),-0.27903638407252)</f>
        <v>-0.2790363841</v>
      </c>
      <c r="K1321" s="165">
        <f>IFERROR(__xludf.DUMMYFUNCTION("""COMPUTED_VALUE"""),-0.857493155372484)</f>
        <v>-0.8574931554</v>
      </c>
      <c r="L1321" s="165">
        <f>IFERROR(__xludf.DUMMYFUNCTION("""COMPUTED_VALUE"""),0.578456771299964)</f>
        <v>0.5784567713</v>
      </c>
      <c r="M1321" s="166">
        <f t="shared" si="2"/>
        <v>0.3041863307</v>
      </c>
      <c r="N1321" s="167">
        <f t="shared" si="3"/>
        <v>7.749310345</v>
      </c>
      <c r="O1321" s="163">
        <f t="shared" ref="O1321:Q1321" si="1325">rank(I1321,I:I)</f>
        <v>2765</v>
      </c>
      <c r="P1321" s="163">
        <f t="shared" si="1325"/>
        <v>1590</v>
      </c>
      <c r="Q1321" s="163">
        <f t="shared" si="1325"/>
        <v>2631</v>
      </c>
      <c r="R1321" s="163">
        <f>IFERROR(__xludf.DUMMYFUNCTION("RANK(M1321,filter(M:M,C:C=C1321))"),311.0)</f>
        <v>311</v>
      </c>
      <c r="S1321" s="161" t="b">
        <f t="shared" si="5"/>
        <v>0</v>
      </c>
      <c r="T1321" s="161" t="b">
        <f t="array" ref="T1321">index('Query Tool'!B:B,match(H1321,'Query Tool'!C:C,0))</f>
        <v>1</v>
      </c>
      <c r="U1321" s="161" t="b">
        <f t="array" ref="U1321">index('Query Tool'!B:B,match(C1321,'Query Tool'!C:C,0))</f>
        <v>0</v>
      </c>
      <c r="V1321" s="161" t="b">
        <f>F1321&gt;='Query Tool'!C$32</f>
        <v>0</v>
      </c>
      <c r="W1321" s="161" t="b">
        <f t="array" ref="W1321">index(Dropdowns!B:B,match(I1321,Dropdowns!A:A,0))</f>
        <v>1</v>
      </c>
      <c r="X1321" s="161" t="b">
        <f t="array" ref="X1321">index('Query Tool'!B:B,match(D1321,'Query Tool'!C:C,0))</f>
        <v>1</v>
      </c>
      <c r="Y1321" s="161" t="str">
        <f t="shared" si="6"/>
        <v>noguelu01,2015-16</v>
      </c>
      <c r="Z1321" s="168">
        <f t="array" ref="Z1321">iferror(index(I:I,match($A1321&amp;","&amp;index('Year Conversion'!$A:$A,match($C1321,'Year Conversion'!$B:$B,0)),$Y:$Y,0))-I1321,"")</f>
        <v>1</v>
      </c>
      <c r="AA1321" s="168">
        <f t="array" ref="AA1321">iferror(index(J:J,match($A1321&amp;","&amp;index('Year Conversion'!$A:$A,match($C1321,'Year Conversion'!$B:$B,0)),$Y:$Y,0))-J1321,"")</f>
        <v>1.004055445</v>
      </c>
      <c r="AB1321" s="168">
        <f t="array" ref="AB1321">iferror(index(K:K,match($A1321&amp;","&amp;index('Year Conversion'!$A:$A,match($C1321,'Year Conversion'!$B:$B,0)),$Y:$Y,0))-K1321,"")</f>
        <v>-0.6077835441</v>
      </c>
      <c r="AC1321" s="168" t="str">
        <f t="shared" si="7"/>
        <v>TOR,2015-16</v>
      </c>
    </row>
    <row r="1322">
      <c r="A1322" s="161" t="str">
        <f>IFERROR(__xludf.DUMMYFUNCTION("""COMPUTED_VALUE"""),"pressph01")</f>
        <v>pressph01</v>
      </c>
      <c r="B1322" s="161" t="str">
        <f>IFERROR(__xludf.DUMMYFUNCTION("""COMPUTED_VALUE"""),"Phil Pressey")</f>
        <v>Phil Pressey</v>
      </c>
      <c r="C1322" s="162" t="str">
        <f>IFERROR(__xludf.DUMMYFUNCTION("""COMPUTED_VALUE"""),"2015-16")</f>
        <v>2015-16</v>
      </c>
      <c r="D1322" s="163" t="str">
        <f>IFERROR(__xludf.DUMMYFUNCTION("""COMPUTED_VALUE"""),"TOT")</f>
        <v>TOT</v>
      </c>
      <c r="E1322" s="164" t="str">
        <f>IFERROR(__xludf.DUMMYFUNCTION("""COMPUTED_VALUE"""),"Slasher")</f>
        <v>Slasher</v>
      </c>
      <c r="F1322" s="164">
        <f>IFERROR(__xludf.DUMMYFUNCTION("""COMPUTED_VALUE"""),283.443333333333)</f>
        <v>283.4433333</v>
      </c>
      <c r="G1322" s="163">
        <f>IFERROR(__xludf.DUMMYFUNCTION("""COMPUTED_VALUE"""),23.0)</f>
        <v>23</v>
      </c>
      <c r="H1322" s="163" t="str">
        <f>IFERROR(__xludf.DUMMYFUNCTION("""COMPUTED_VALUE"""),"PG")</f>
        <v>PG</v>
      </c>
      <c r="I1322" s="163">
        <f>IFERROR(__xludf.DUMMYFUNCTION("""COMPUTED_VALUE"""),24.0)</f>
        <v>24</v>
      </c>
      <c r="J1322" s="165">
        <f>IFERROR(__xludf.DUMMYFUNCTION("""COMPUTED_VALUE"""),0.58739345598082)</f>
        <v>0.587393456</v>
      </c>
      <c r="K1322" s="165">
        <f>IFERROR(__xludf.DUMMYFUNCTION("""COMPUTED_VALUE"""),-0.0473153406721761)</f>
        <v>-0.04731534067</v>
      </c>
      <c r="L1322" s="165">
        <f>IFERROR(__xludf.DUMMYFUNCTION("""COMPUTED_VALUE"""),0.634708796652997)</f>
        <v>0.6347087967</v>
      </c>
      <c r="M1322" s="166">
        <f t="shared" si="2"/>
        <v>0.5491690908</v>
      </c>
      <c r="N1322" s="167">
        <f t="shared" si="3"/>
        <v>12.32362319</v>
      </c>
      <c r="O1322" s="163">
        <f t="shared" ref="O1322:Q1322" si="1326">rank(I1322,I:I)</f>
        <v>2361</v>
      </c>
      <c r="P1322" s="163">
        <f t="shared" si="1326"/>
        <v>851</v>
      </c>
      <c r="Q1322" s="163">
        <f t="shared" si="1326"/>
        <v>1272</v>
      </c>
      <c r="R1322" s="163">
        <f>IFERROR(__xludf.DUMMYFUNCTION("RANK(M1322,filter(M:M,C:C=C1322))"),278.0)</f>
        <v>278</v>
      </c>
      <c r="S1322" s="161" t="b">
        <f t="shared" si="5"/>
        <v>0</v>
      </c>
      <c r="T1322" s="161" t="b">
        <f t="array" ref="T1322">index('Query Tool'!B:B,match(H1322,'Query Tool'!C:C,0))</f>
        <v>1</v>
      </c>
      <c r="U1322" s="161" t="b">
        <f t="array" ref="U1322">index('Query Tool'!B:B,match(C1322,'Query Tool'!C:C,0))</f>
        <v>0</v>
      </c>
      <c r="V1322" s="161" t="b">
        <f>F1322&gt;='Query Tool'!C$32</f>
        <v>0</v>
      </c>
      <c r="W1322" s="161" t="b">
        <f t="array" ref="W1322">index(Dropdowns!B:B,match(I1322,Dropdowns!A:A,0))</f>
        <v>1</v>
      </c>
      <c r="X1322" s="161" t="b">
        <f t="array" ref="X1322">index('Query Tool'!B:B,match(D1322,'Query Tool'!C:C,0))</f>
        <v>1</v>
      </c>
      <c r="Y1322" s="161" t="str">
        <f t="shared" si="6"/>
        <v>pressph01,2015-16</v>
      </c>
      <c r="Z1322" s="168" t="str">
        <f t="array" ref="Z1322">iferror(index(I:I,match($A1322&amp;","&amp;index('Year Conversion'!$A:$A,match($C1322,'Year Conversion'!$B:$B,0)),$Y:$Y,0))-I1322,"")</f>
        <v/>
      </c>
      <c r="AA1322" s="168" t="str">
        <f t="array" ref="AA1322">iferror(index(J:J,match($A1322&amp;","&amp;index('Year Conversion'!$A:$A,match($C1322,'Year Conversion'!$B:$B,0)),$Y:$Y,0))-J1322,"")</f>
        <v/>
      </c>
      <c r="AB1322" s="168" t="str">
        <f t="array" ref="AB1322">iferror(index(K:K,match($A1322&amp;","&amp;index('Year Conversion'!$A:$A,match($C1322,'Year Conversion'!$B:$B,0)),$Y:$Y,0))-K1322,"")</f>
        <v/>
      </c>
      <c r="AC1322" s="168" t="str">
        <f t="shared" si="7"/>
        <v>TOT,2015-16</v>
      </c>
    </row>
    <row r="1323">
      <c r="A1323" s="161" t="str">
        <f>IFERROR(__xludf.DUMMYFUNCTION("""COMPUTED_VALUE"""),"ennisja01")</f>
        <v>ennisja01</v>
      </c>
      <c r="B1323" s="161" t="str">
        <f>IFERROR(__xludf.DUMMYFUNCTION("""COMPUTED_VALUE"""),"James Ennis III")</f>
        <v>James Ennis III</v>
      </c>
      <c r="C1323" s="162" t="str">
        <f>IFERROR(__xludf.DUMMYFUNCTION("""COMPUTED_VALUE"""),"2015-16")</f>
        <v>2015-16</v>
      </c>
      <c r="D1323" s="163" t="str">
        <f>IFERROR(__xludf.DUMMYFUNCTION("""COMPUTED_VALUE"""),"TOT")</f>
        <v>TOT</v>
      </c>
      <c r="E1323" s="164" t="str">
        <f>IFERROR(__xludf.DUMMYFUNCTION("""COMPUTED_VALUE"""),"Athletic Finisher")</f>
        <v>Athletic Finisher</v>
      </c>
      <c r="F1323" s="164">
        <f>IFERROR(__xludf.DUMMYFUNCTION("""COMPUTED_VALUE"""),328.515)</f>
        <v>328.515</v>
      </c>
      <c r="G1323" s="163">
        <f>IFERROR(__xludf.DUMMYFUNCTION("""COMPUTED_VALUE"""),22.0)</f>
        <v>22</v>
      </c>
      <c r="H1323" s="163" t="str">
        <f>IFERROR(__xludf.DUMMYFUNCTION("""COMPUTED_VALUE"""),"SF")</f>
        <v>SF</v>
      </c>
      <c r="I1323" s="163">
        <f>IFERROR(__xludf.DUMMYFUNCTION("""COMPUTED_VALUE"""),25.0)</f>
        <v>25</v>
      </c>
      <c r="J1323" s="165">
        <f>IFERROR(__xludf.DUMMYFUNCTION("""COMPUTED_VALUE"""),-0.715846181354115)</f>
        <v>-0.7158461814</v>
      </c>
      <c r="K1323" s="165">
        <f>IFERROR(__xludf.DUMMYFUNCTION("""COMPUTED_VALUE"""),0.0595877926951461)</f>
        <v>0.0595877927</v>
      </c>
      <c r="L1323" s="165">
        <f>IFERROR(__xludf.DUMMYFUNCTION("""COMPUTED_VALUE"""),-0.775433974049262)</f>
        <v>-0.775433974</v>
      </c>
      <c r="M1323" s="166">
        <f t="shared" si="2"/>
        <v>0.3480267302</v>
      </c>
      <c r="N1323" s="167">
        <f t="shared" si="3"/>
        <v>14.9325</v>
      </c>
      <c r="O1323" s="163">
        <f t="shared" ref="O1323:Q1323" si="1327">rank(I1323,I:I)</f>
        <v>1995</v>
      </c>
      <c r="P1323" s="163">
        <f t="shared" si="1327"/>
        <v>2170</v>
      </c>
      <c r="Q1323" s="163">
        <f t="shared" si="1327"/>
        <v>1120</v>
      </c>
      <c r="R1323" s="163">
        <f>IFERROR(__xludf.DUMMYFUNCTION("RANK(M1323,filter(M:M,C:C=C1323))"),302.0)</f>
        <v>302</v>
      </c>
      <c r="S1323" s="161" t="b">
        <f t="shared" si="5"/>
        <v>0</v>
      </c>
      <c r="T1323" s="161" t="b">
        <f t="array" ref="T1323">index('Query Tool'!B:B,match(H1323,'Query Tool'!C:C,0))</f>
        <v>1</v>
      </c>
      <c r="U1323" s="161" t="b">
        <f t="array" ref="U1323">index('Query Tool'!B:B,match(C1323,'Query Tool'!C:C,0))</f>
        <v>0</v>
      </c>
      <c r="V1323" s="161" t="b">
        <f>F1323&gt;='Query Tool'!C$32</f>
        <v>0</v>
      </c>
      <c r="W1323" s="161" t="b">
        <f t="array" ref="W1323">index(Dropdowns!B:B,match(I1323,Dropdowns!A:A,0))</f>
        <v>1</v>
      </c>
      <c r="X1323" s="161" t="b">
        <f t="array" ref="X1323">index('Query Tool'!B:B,match(D1323,'Query Tool'!C:C,0))</f>
        <v>1</v>
      </c>
      <c r="Y1323" s="161" t="str">
        <f t="shared" si="6"/>
        <v>ennisja01,2015-16</v>
      </c>
      <c r="Z1323" s="168">
        <f t="array" ref="Z1323">iferror(index(I:I,match($A1323&amp;","&amp;index('Year Conversion'!$A:$A,match($C1323,'Year Conversion'!$B:$B,0)),$Y:$Y,0))-I1323,"")</f>
        <v>1</v>
      </c>
      <c r="AA1323" s="168">
        <f t="array" ref="AA1323">iferror(index(J:J,match($A1323&amp;","&amp;index('Year Conversion'!$A:$A,match($C1323,'Year Conversion'!$B:$B,0)),$Y:$Y,0))-J1323,"")</f>
        <v>-0.2584730902</v>
      </c>
      <c r="AB1323" s="168">
        <f t="array" ref="AB1323">iferror(index(K:K,match($A1323&amp;","&amp;index('Year Conversion'!$A:$A,match($C1323,'Year Conversion'!$B:$B,0)),$Y:$Y,0))-K1323,"")</f>
        <v>-2.077428293</v>
      </c>
      <c r="AC1323" s="168" t="str">
        <f t="shared" si="7"/>
        <v>TOT,2015-16</v>
      </c>
    </row>
    <row r="1324">
      <c r="A1324" s="161" t="str">
        <f>IFERROR(__xludf.DUMMYFUNCTION("""COMPUTED_VALUE"""),"dellama01")</f>
        <v>dellama01</v>
      </c>
      <c r="B1324" s="161" t="str">
        <f>IFERROR(__xludf.DUMMYFUNCTION("""COMPUTED_VALUE"""),"Matthew Dellavedova")</f>
        <v>Matthew Dellavedova</v>
      </c>
      <c r="C1324" s="162" t="str">
        <f>IFERROR(__xludf.DUMMYFUNCTION("""COMPUTED_VALUE"""),"2015-16")</f>
        <v>2015-16</v>
      </c>
      <c r="D1324" s="163" t="str">
        <f>IFERROR(__xludf.DUMMYFUNCTION("""COMPUTED_VALUE"""),"CLE")</f>
        <v>CLE</v>
      </c>
      <c r="E1324" s="164" t="str">
        <f>IFERROR(__xludf.DUMMYFUNCTION("""COMPUTED_VALUE"""),"Primary Ball Handler")</f>
        <v>Primary Ball Handler</v>
      </c>
      <c r="F1324" s="164">
        <f>IFERROR(__xludf.DUMMYFUNCTION("""COMPUTED_VALUE"""),1867.33333333333)</f>
        <v>1867.333333</v>
      </c>
      <c r="G1324" s="163">
        <f>IFERROR(__xludf.DUMMYFUNCTION("""COMPUTED_VALUE"""),76.0)</f>
        <v>76</v>
      </c>
      <c r="H1324" s="163" t="str">
        <f>IFERROR(__xludf.DUMMYFUNCTION("""COMPUTED_VALUE"""),"PG")</f>
        <v>PG</v>
      </c>
      <c r="I1324" s="163">
        <f>IFERROR(__xludf.DUMMYFUNCTION("""COMPUTED_VALUE"""),25.0)</f>
        <v>25</v>
      </c>
      <c r="J1324" s="165">
        <f>IFERROR(__xludf.DUMMYFUNCTION("""COMPUTED_VALUE"""),0.800232730839588)</f>
        <v>0.8002327308</v>
      </c>
      <c r="K1324" s="165">
        <f>IFERROR(__xludf.DUMMYFUNCTION("""COMPUTED_VALUE"""),0.928427671508617)</f>
        <v>0.9284276715</v>
      </c>
      <c r="L1324" s="165">
        <f>IFERROR(__xludf.DUMMYFUNCTION("""COMPUTED_VALUE"""),-0.128194940669029)</f>
        <v>-0.1281949407</v>
      </c>
      <c r="M1324" s="166">
        <f t="shared" si="2"/>
        <v>3.885352982</v>
      </c>
      <c r="N1324" s="167">
        <f t="shared" si="3"/>
        <v>24.57017544</v>
      </c>
      <c r="O1324" s="163">
        <f t="shared" ref="O1324:Q1324" si="1328">rank(I1324,I:I)</f>
        <v>1995</v>
      </c>
      <c r="P1324" s="163">
        <f t="shared" si="1328"/>
        <v>743</v>
      </c>
      <c r="Q1324" s="163">
        <f t="shared" si="1328"/>
        <v>544</v>
      </c>
      <c r="R1324" s="163">
        <f>IFERROR(__xludf.DUMMYFUNCTION("RANK(M1324,filter(M:M,C:C=C1324))"),88.0)</f>
        <v>88</v>
      </c>
      <c r="S1324" s="161" t="b">
        <f t="shared" si="5"/>
        <v>0</v>
      </c>
      <c r="T1324" s="161" t="b">
        <f t="array" ref="T1324">index('Query Tool'!B:B,match(H1324,'Query Tool'!C:C,0))</f>
        <v>1</v>
      </c>
      <c r="U1324" s="161" t="b">
        <f t="array" ref="U1324">index('Query Tool'!B:B,match(C1324,'Query Tool'!C:C,0))</f>
        <v>0</v>
      </c>
      <c r="V1324" s="161" t="b">
        <f>F1324&gt;='Query Tool'!C$32</f>
        <v>1</v>
      </c>
      <c r="W1324" s="161" t="b">
        <f t="array" ref="W1324">index(Dropdowns!B:B,match(I1324,Dropdowns!A:A,0))</f>
        <v>1</v>
      </c>
      <c r="X1324" s="161" t="b">
        <f t="array" ref="X1324">index('Query Tool'!B:B,match(D1324,'Query Tool'!C:C,0))</f>
        <v>1</v>
      </c>
      <c r="Y1324" s="161" t="str">
        <f t="shared" si="6"/>
        <v>dellama01,2015-16</v>
      </c>
      <c r="Z1324" s="168">
        <f t="array" ref="Z1324">iferror(index(I:I,match($A1324&amp;","&amp;index('Year Conversion'!$A:$A,match($C1324,'Year Conversion'!$B:$B,0)),$Y:$Y,0))-I1324,"")</f>
        <v>1</v>
      </c>
      <c r="AA1324" s="168">
        <f t="array" ref="AA1324">iferror(index(J:J,match($A1324&amp;","&amp;index('Year Conversion'!$A:$A,match($C1324,'Year Conversion'!$B:$B,0)),$Y:$Y,0))-J1324,"")</f>
        <v>-1.892046477</v>
      </c>
      <c r="AB1324" s="168">
        <f t="array" ref="AB1324">iferror(index(K:K,match($A1324&amp;","&amp;index('Year Conversion'!$A:$A,match($C1324,'Year Conversion'!$B:$B,0)),$Y:$Y,0))-K1324,"")</f>
        <v>-1.285131198</v>
      </c>
      <c r="AC1324" s="168" t="str">
        <f t="shared" si="7"/>
        <v>CLE,2015-16</v>
      </c>
    </row>
    <row r="1325">
      <c r="A1325" s="161" t="str">
        <f>IFERROR(__xludf.DUMMYFUNCTION("""COMPUTED_VALUE"""),"hillso01")</f>
        <v>hillso01</v>
      </c>
      <c r="B1325" s="161" t="str">
        <f>IFERROR(__xludf.DUMMYFUNCTION("""COMPUTED_VALUE"""),"Solomon Hill")</f>
        <v>Solomon Hill</v>
      </c>
      <c r="C1325" s="162" t="str">
        <f>IFERROR(__xludf.DUMMYFUNCTION("""COMPUTED_VALUE"""),"2015-16")</f>
        <v>2015-16</v>
      </c>
      <c r="D1325" s="163" t="str">
        <f>IFERROR(__xludf.DUMMYFUNCTION("""COMPUTED_VALUE"""),"IND")</f>
        <v>IND</v>
      </c>
      <c r="E1325" s="164" t="str">
        <f>IFERROR(__xludf.DUMMYFUNCTION("""COMPUTED_VALUE"""),"Athletic Finisher")</f>
        <v>Athletic Finisher</v>
      </c>
      <c r="F1325" s="164">
        <f>IFERROR(__xludf.DUMMYFUNCTION("""COMPUTED_VALUE"""),866.166666666667)</f>
        <v>866.1666667</v>
      </c>
      <c r="G1325" s="163">
        <f>IFERROR(__xludf.DUMMYFUNCTION("""COMPUTED_VALUE"""),59.0)</f>
        <v>59</v>
      </c>
      <c r="H1325" s="163" t="str">
        <f>IFERROR(__xludf.DUMMYFUNCTION("""COMPUTED_VALUE"""),"SF")</f>
        <v>SF</v>
      </c>
      <c r="I1325" s="163">
        <f>IFERROR(__xludf.DUMMYFUNCTION("""COMPUTED_VALUE"""),24.0)</f>
        <v>24</v>
      </c>
      <c r="J1325" s="165">
        <f>IFERROR(__xludf.DUMMYFUNCTION("""COMPUTED_VALUE"""),0.693469321730685)</f>
        <v>0.6934693217</v>
      </c>
      <c r="K1325" s="165">
        <f>IFERROR(__xludf.DUMMYFUNCTION("""COMPUTED_VALUE"""),0.64931697583226)</f>
        <v>0.6493169758</v>
      </c>
      <c r="L1325" s="165">
        <f>IFERROR(__xludf.DUMMYFUNCTION("""COMPUTED_VALUE"""),0.0441523458984253)</f>
        <v>0.0441523459</v>
      </c>
      <c r="M1325" s="166">
        <f t="shared" si="2"/>
        <v>1.740028821</v>
      </c>
      <c r="N1325" s="167">
        <f t="shared" si="3"/>
        <v>14.68079096</v>
      </c>
      <c r="O1325" s="163">
        <f t="shared" ref="O1325:Q1325" si="1329">rank(I1325,I:I)</f>
        <v>2361</v>
      </c>
      <c r="P1325" s="163">
        <f t="shared" si="1329"/>
        <v>801</v>
      </c>
      <c r="Q1325" s="163">
        <f t="shared" si="1329"/>
        <v>678</v>
      </c>
      <c r="R1325" s="163">
        <f>IFERROR(__xludf.DUMMYFUNCTION("RANK(M1325,filter(M:M,C:C=C1325))"),170.0)</f>
        <v>170</v>
      </c>
      <c r="S1325" s="161" t="b">
        <f t="shared" si="5"/>
        <v>0</v>
      </c>
      <c r="T1325" s="161" t="b">
        <f t="array" ref="T1325">index('Query Tool'!B:B,match(H1325,'Query Tool'!C:C,0))</f>
        <v>1</v>
      </c>
      <c r="U1325" s="161" t="b">
        <f t="array" ref="U1325">index('Query Tool'!B:B,match(C1325,'Query Tool'!C:C,0))</f>
        <v>0</v>
      </c>
      <c r="V1325" s="161" t="b">
        <f>F1325&gt;='Query Tool'!C$32</f>
        <v>1</v>
      </c>
      <c r="W1325" s="161" t="b">
        <f t="array" ref="W1325">index(Dropdowns!B:B,match(I1325,Dropdowns!A:A,0))</f>
        <v>1</v>
      </c>
      <c r="X1325" s="161" t="b">
        <f t="array" ref="X1325">index('Query Tool'!B:B,match(D1325,'Query Tool'!C:C,0))</f>
        <v>1</v>
      </c>
      <c r="Y1325" s="161" t="str">
        <f t="shared" si="6"/>
        <v>hillso01,2015-16</v>
      </c>
      <c r="Z1325" s="168">
        <f t="array" ref="Z1325">iferror(index(I:I,match($A1325&amp;","&amp;index('Year Conversion'!$A:$A,match($C1325,'Year Conversion'!$B:$B,0)),$Y:$Y,0))-I1325,"")</f>
        <v>1</v>
      </c>
      <c r="AA1325" s="168">
        <f t="array" ref="AA1325">iferror(index(J:J,match($A1325&amp;","&amp;index('Year Conversion'!$A:$A,match($C1325,'Year Conversion'!$B:$B,0)),$Y:$Y,0))-J1325,"")</f>
        <v>-2.548582393</v>
      </c>
      <c r="AB1325" s="168">
        <f t="array" ref="AB1325">iferror(index(K:K,match($A1325&amp;","&amp;index('Year Conversion'!$A:$A,match($C1325,'Year Conversion'!$B:$B,0)),$Y:$Y,0))-K1325,"")</f>
        <v>-2.735277594</v>
      </c>
      <c r="AC1325" s="168" t="str">
        <f t="shared" si="7"/>
        <v>IND,2015-16</v>
      </c>
    </row>
    <row r="1326">
      <c r="A1326" s="161" t="str">
        <f>IFERROR(__xludf.DUMMYFUNCTION("""COMPUTED_VALUE"""),"netora01")</f>
        <v>netora01</v>
      </c>
      <c r="B1326" s="161" t="str">
        <f>IFERROR(__xludf.DUMMYFUNCTION("""COMPUTED_VALUE"""),"Raul Neto")</f>
        <v>Raul Neto</v>
      </c>
      <c r="C1326" s="162" t="str">
        <f>IFERROR(__xludf.DUMMYFUNCTION("""COMPUTED_VALUE"""),"2015-16")</f>
        <v>2015-16</v>
      </c>
      <c r="D1326" s="163" t="str">
        <f>IFERROR(__xludf.DUMMYFUNCTION("""COMPUTED_VALUE"""),"UTA")</f>
        <v>UTA</v>
      </c>
      <c r="E1326" s="164" t="str">
        <f>IFERROR(__xludf.DUMMYFUNCTION("""COMPUTED_VALUE"""),"Primary Ball Handler")</f>
        <v>Primary Ball Handler</v>
      </c>
      <c r="F1326" s="164">
        <f>IFERROR(__xludf.DUMMYFUNCTION("""COMPUTED_VALUE"""),1498.60166666667)</f>
        <v>1498.601667</v>
      </c>
      <c r="G1326" s="163">
        <f>IFERROR(__xludf.DUMMYFUNCTION("""COMPUTED_VALUE"""),81.0)</f>
        <v>81</v>
      </c>
      <c r="H1326" s="163" t="str">
        <f>IFERROR(__xludf.DUMMYFUNCTION("""COMPUTED_VALUE"""),"PG")</f>
        <v>PG</v>
      </c>
      <c r="I1326" s="163">
        <f>IFERROR(__xludf.DUMMYFUNCTION("""COMPUTED_VALUE"""),23.0)</f>
        <v>23</v>
      </c>
      <c r="J1326" s="165">
        <f>IFERROR(__xludf.DUMMYFUNCTION("""COMPUTED_VALUE"""),-1.71924789635931)</f>
        <v>-1.719247896</v>
      </c>
      <c r="K1326" s="165">
        <f>IFERROR(__xludf.DUMMYFUNCTION("""COMPUTED_VALUE"""),-1.35744955928254)</f>
        <v>-1.357449559</v>
      </c>
      <c r="L1326" s="165">
        <f>IFERROR(__xludf.DUMMYFUNCTION("""COMPUTED_VALUE"""),-0.361798337076779)</f>
        <v>-0.3617983371</v>
      </c>
      <c r="M1326" s="166">
        <f t="shared" si="2"/>
        <v>0.5804135293</v>
      </c>
      <c r="N1326" s="167">
        <f t="shared" si="3"/>
        <v>18.50125514</v>
      </c>
      <c r="O1326" s="163">
        <f t="shared" ref="O1326:Q1326" si="1330">rank(I1326,I:I)</f>
        <v>2765</v>
      </c>
      <c r="P1326" s="163">
        <f t="shared" si="1330"/>
        <v>3263</v>
      </c>
      <c r="Q1326" s="163">
        <f t="shared" si="1330"/>
        <v>3212</v>
      </c>
      <c r="R1326" s="163">
        <f>IFERROR(__xludf.DUMMYFUNCTION("RANK(M1326,filter(M:M,C:C=C1326))"),274.0)</f>
        <v>274</v>
      </c>
      <c r="S1326" s="161" t="b">
        <f t="shared" si="5"/>
        <v>0</v>
      </c>
      <c r="T1326" s="161" t="b">
        <f t="array" ref="T1326">index('Query Tool'!B:B,match(H1326,'Query Tool'!C:C,0))</f>
        <v>1</v>
      </c>
      <c r="U1326" s="161" t="b">
        <f t="array" ref="U1326">index('Query Tool'!B:B,match(C1326,'Query Tool'!C:C,0))</f>
        <v>0</v>
      </c>
      <c r="V1326" s="161" t="b">
        <f>F1326&gt;='Query Tool'!C$32</f>
        <v>1</v>
      </c>
      <c r="W1326" s="161" t="b">
        <f t="array" ref="W1326">index(Dropdowns!B:B,match(I1326,Dropdowns!A:A,0))</f>
        <v>1</v>
      </c>
      <c r="X1326" s="161" t="b">
        <f t="array" ref="X1326">index('Query Tool'!B:B,match(D1326,'Query Tool'!C:C,0))</f>
        <v>1</v>
      </c>
      <c r="Y1326" s="161" t="str">
        <f t="shared" si="6"/>
        <v>netora01,2015-16</v>
      </c>
      <c r="Z1326" s="168">
        <f t="array" ref="Z1326">iferror(index(I:I,match($A1326&amp;","&amp;index('Year Conversion'!$A:$A,match($C1326,'Year Conversion'!$B:$B,0)),$Y:$Y,0))-I1326,"")</f>
        <v>1</v>
      </c>
      <c r="AA1326" s="168">
        <f t="array" ref="AA1326">iferror(index(J:J,match($A1326&amp;","&amp;index('Year Conversion'!$A:$A,match($C1326,'Year Conversion'!$B:$B,0)),$Y:$Y,0))-J1326,"")</f>
        <v>1.465672428</v>
      </c>
      <c r="AB1326" s="168">
        <f t="array" ref="AB1326">iferror(index(K:K,match($A1326&amp;","&amp;index('Year Conversion'!$A:$A,match($C1326,'Year Conversion'!$B:$B,0)),$Y:$Y,0))-K1326,"")</f>
        <v>0.3875608477</v>
      </c>
      <c r="AC1326" s="168" t="str">
        <f t="shared" si="7"/>
        <v>UTA,2015-16</v>
      </c>
    </row>
    <row r="1327">
      <c r="A1327" s="161" t="str">
        <f>IFERROR(__xludf.DUMMYFUNCTION("""COMPUTED_VALUE"""),"kellyry01")</f>
        <v>kellyry01</v>
      </c>
      <c r="B1327" s="161" t="str">
        <f>IFERROR(__xludf.DUMMYFUNCTION("""COMPUTED_VALUE"""),"Ryan Kelly")</f>
        <v>Ryan Kelly</v>
      </c>
      <c r="C1327" s="162" t="str">
        <f>IFERROR(__xludf.DUMMYFUNCTION("""COMPUTED_VALUE"""),"2015-16")</f>
        <v>2015-16</v>
      </c>
      <c r="D1327" s="163" t="str">
        <f>IFERROR(__xludf.DUMMYFUNCTION("""COMPUTED_VALUE"""),"LAL")</f>
        <v>LAL</v>
      </c>
      <c r="E1327" s="164" t="str">
        <f>IFERROR(__xludf.DUMMYFUNCTION("""COMPUTED_VALUE"""),"Roll + Cut Big")</f>
        <v>Roll + Cut Big</v>
      </c>
      <c r="F1327" s="164">
        <f>IFERROR(__xludf.DUMMYFUNCTION("""COMPUTED_VALUE"""),469.806666666667)</f>
        <v>469.8066667</v>
      </c>
      <c r="G1327" s="163">
        <f>IFERROR(__xludf.DUMMYFUNCTION("""COMPUTED_VALUE"""),36.0)</f>
        <v>36</v>
      </c>
      <c r="H1327" s="163" t="str">
        <f>IFERROR(__xludf.DUMMYFUNCTION("""COMPUTED_VALUE"""),"PF")</f>
        <v>PF</v>
      </c>
      <c r="I1327" s="163">
        <f>IFERROR(__xludf.DUMMYFUNCTION("""COMPUTED_VALUE"""),24.0)</f>
        <v>24</v>
      </c>
      <c r="J1327" s="165">
        <f>IFERROR(__xludf.DUMMYFUNCTION("""COMPUTED_VALUE"""),-0.230858470757975)</f>
        <v>-0.2308584708</v>
      </c>
      <c r="K1327" s="165">
        <f>IFERROR(__xludf.DUMMYFUNCTION("""COMPUTED_VALUE"""),-0.77371852558433)</f>
        <v>-0.7737185256</v>
      </c>
      <c r="L1327" s="165">
        <f>IFERROR(__xludf.DUMMYFUNCTION("""COMPUTED_VALUE"""),0.542860054826355)</f>
        <v>0.5428600548</v>
      </c>
      <c r="M1327" s="166">
        <f t="shared" si="2"/>
        <v>0.65116884</v>
      </c>
      <c r="N1327" s="167">
        <f t="shared" si="3"/>
        <v>13.05018519</v>
      </c>
      <c r="O1327" s="163">
        <f t="shared" ref="O1327:Q1327" si="1331">rank(I1327,I:I)</f>
        <v>2361</v>
      </c>
      <c r="P1327" s="163">
        <f t="shared" si="1331"/>
        <v>1536</v>
      </c>
      <c r="Q1327" s="163">
        <f t="shared" si="1331"/>
        <v>2521</v>
      </c>
      <c r="R1327" s="163">
        <f>IFERROR(__xludf.DUMMYFUNCTION("RANK(M1327,filter(M:M,C:C=C1327))"),263.0)</f>
        <v>263</v>
      </c>
      <c r="S1327" s="161" t="b">
        <f t="shared" si="5"/>
        <v>0</v>
      </c>
      <c r="T1327" s="161" t="b">
        <f t="array" ref="T1327">index('Query Tool'!B:B,match(H1327,'Query Tool'!C:C,0))</f>
        <v>1</v>
      </c>
      <c r="U1327" s="161" t="b">
        <f t="array" ref="U1327">index('Query Tool'!B:B,match(C1327,'Query Tool'!C:C,0))</f>
        <v>0</v>
      </c>
      <c r="V1327" s="161" t="b">
        <f>F1327&gt;='Query Tool'!C$32</f>
        <v>0</v>
      </c>
      <c r="W1327" s="161" t="b">
        <f t="array" ref="W1327">index(Dropdowns!B:B,match(I1327,Dropdowns!A:A,0))</f>
        <v>1</v>
      </c>
      <c r="X1327" s="161" t="b">
        <f t="array" ref="X1327">index('Query Tool'!B:B,match(D1327,'Query Tool'!C:C,0))</f>
        <v>1</v>
      </c>
      <c r="Y1327" s="161" t="str">
        <f t="shared" si="6"/>
        <v>kellyry01,2015-16</v>
      </c>
      <c r="Z1327" s="168">
        <f t="array" ref="Z1327">iferror(index(I:I,match($A1327&amp;","&amp;index('Year Conversion'!$A:$A,match($C1327,'Year Conversion'!$B:$B,0)),$Y:$Y,0))-I1327,"")</f>
        <v>1</v>
      </c>
      <c r="AA1327" s="168">
        <f t="array" ref="AA1327">iferror(index(J:J,match($A1327&amp;","&amp;index('Year Conversion'!$A:$A,match($C1327,'Year Conversion'!$B:$B,0)),$Y:$Y,0))-J1327,"")</f>
        <v>-0.04475172647</v>
      </c>
      <c r="AB1327" s="168">
        <f t="array" ref="AB1327">iferror(index(K:K,match($A1327&amp;","&amp;index('Year Conversion'!$A:$A,match($C1327,'Year Conversion'!$B:$B,0)),$Y:$Y,0))-K1327,"")</f>
        <v>0.1291443806</v>
      </c>
      <c r="AC1327" s="168" t="str">
        <f t="shared" si="7"/>
        <v>LAL,2015-16</v>
      </c>
    </row>
    <row r="1328">
      <c r="A1328" s="161" t="str">
        <f>IFERROR(__xludf.DUMMYFUNCTION("""COMPUTED_VALUE"""),"lauvejo01")</f>
        <v>lauvejo01</v>
      </c>
      <c r="B1328" s="161" t="str">
        <f>IFERROR(__xludf.DUMMYFUNCTION("""COMPUTED_VALUE"""),"Joffrey Lauvergne")</f>
        <v>Joffrey Lauvergne</v>
      </c>
      <c r="C1328" s="162" t="str">
        <f>IFERROR(__xludf.DUMMYFUNCTION("""COMPUTED_VALUE"""),"2015-16")</f>
        <v>2015-16</v>
      </c>
      <c r="D1328" s="163" t="str">
        <f>IFERROR(__xludf.DUMMYFUNCTION("""COMPUTED_VALUE"""),"DEN")</f>
        <v>DEN</v>
      </c>
      <c r="E1328" s="164" t="str">
        <f>IFERROR(__xludf.DUMMYFUNCTION("""COMPUTED_VALUE"""),"Roll + Cut Big")</f>
        <v>Roll + Cut Big</v>
      </c>
      <c r="F1328" s="164">
        <f>IFERROR(__xludf.DUMMYFUNCTION("""COMPUTED_VALUE"""),1041.24333333333)</f>
        <v>1041.243333</v>
      </c>
      <c r="G1328" s="163">
        <f>IFERROR(__xludf.DUMMYFUNCTION("""COMPUTED_VALUE"""),59.0)</f>
        <v>59</v>
      </c>
      <c r="H1328" s="163" t="str">
        <f>IFERROR(__xludf.DUMMYFUNCTION("""COMPUTED_VALUE"""),"C")</f>
        <v>C</v>
      </c>
      <c r="I1328" s="163">
        <f>IFERROR(__xludf.DUMMYFUNCTION("""COMPUTED_VALUE"""),24.0)</f>
        <v>24</v>
      </c>
      <c r="J1328" s="165">
        <f>IFERROR(__xludf.DUMMYFUNCTION("""COMPUTED_VALUE"""),-2.91085990367545)</f>
        <v>-2.910859904</v>
      </c>
      <c r="K1328" s="165">
        <f>IFERROR(__xludf.DUMMYFUNCTION("""COMPUTED_VALUE"""),-1.07395154170016)</f>
        <v>-1.073951542</v>
      </c>
      <c r="L1328" s="165">
        <f>IFERROR(__xludf.DUMMYFUNCTION("""COMPUTED_VALUE"""),-1.83690836197529)</f>
        <v>-1.836908362</v>
      </c>
      <c r="M1328" s="166">
        <f t="shared" si="2"/>
        <v>-0.4144426802</v>
      </c>
      <c r="N1328" s="167">
        <f t="shared" si="3"/>
        <v>17.64819209</v>
      </c>
      <c r="O1328" s="163">
        <f t="shared" ref="O1328:Q1328" si="1332">rank(I1328,I:I)</f>
        <v>2361</v>
      </c>
      <c r="P1328" s="163">
        <f t="shared" si="1332"/>
        <v>3869</v>
      </c>
      <c r="Q1328" s="163">
        <f t="shared" si="1332"/>
        <v>2903</v>
      </c>
      <c r="R1328" s="163">
        <f>IFERROR(__xludf.DUMMYFUNCTION("RANK(M1328,filter(M:M,C:C=C1328))"),452.0)</f>
        <v>452</v>
      </c>
      <c r="S1328" s="161" t="b">
        <f t="shared" si="5"/>
        <v>0</v>
      </c>
      <c r="T1328" s="161" t="b">
        <f t="array" ref="T1328">index('Query Tool'!B:B,match(H1328,'Query Tool'!C:C,0))</f>
        <v>1</v>
      </c>
      <c r="U1328" s="161" t="b">
        <f t="array" ref="U1328">index('Query Tool'!B:B,match(C1328,'Query Tool'!C:C,0))</f>
        <v>0</v>
      </c>
      <c r="V1328" s="161" t="b">
        <f>F1328&gt;='Query Tool'!C$32</f>
        <v>1</v>
      </c>
      <c r="W1328" s="161" t="b">
        <f t="array" ref="W1328">index(Dropdowns!B:B,match(I1328,Dropdowns!A:A,0))</f>
        <v>1</v>
      </c>
      <c r="X1328" s="161" t="b">
        <f t="array" ref="X1328">index('Query Tool'!B:B,match(D1328,'Query Tool'!C:C,0))</f>
        <v>1</v>
      </c>
      <c r="Y1328" s="161" t="str">
        <f t="shared" si="6"/>
        <v>lauvejo01,2015-16</v>
      </c>
      <c r="Z1328" s="168">
        <f t="array" ref="Z1328">iferror(index(I:I,match($A1328&amp;","&amp;index('Year Conversion'!$A:$A,match($C1328,'Year Conversion'!$B:$B,0)),$Y:$Y,0))-I1328,"")</f>
        <v>1</v>
      </c>
      <c r="AA1328" s="168">
        <f t="array" ref="AA1328">iferror(index(J:J,match($A1328&amp;","&amp;index('Year Conversion'!$A:$A,match($C1328,'Year Conversion'!$B:$B,0)),$Y:$Y,0))-J1328,"")</f>
        <v>0.9250311214</v>
      </c>
      <c r="AB1328" s="168">
        <f t="array" ref="AB1328">iferror(index(K:K,match($A1328&amp;","&amp;index('Year Conversion'!$A:$A,match($C1328,'Year Conversion'!$B:$B,0)),$Y:$Y,0))-K1328,"")</f>
        <v>0.4130365433</v>
      </c>
      <c r="AC1328" s="168" t="str">
        <f t="shared" si="7"/>
        <v>DEN,2015-16</v>
      </c>
    </row>
    <row r="1329">
      <c r="A1329" s="161" t="str">
        <f>IFERROR(__xludf.DUMMYFUNCTION("""COMPUTED_VALUE"""),"clarkia01")</f>
        <v>clarkia01</v>
      </c>
      <c r="B1329" s="161" t="str">
        <f>IFERROR(__xludf.DUMMYFUNCTION("""COMPUTED_VALUE"""),"Ian Clark")</f>
        <v>Ian Clark</v>
      </c>
      <c r="C1329" s="162" t="str">
        <f>IFERROR(__xludf.DUMMYFUNCTION("""COMPUTED_VALUE"""),"2015-16")</f>
        <v>2015-16</v>
      </c>
      <c r="D1329" s="163" t="str">
        <f>IFERROR(__xludf.DUMMYFUNCTION("""COMPUTED_VALUE"""),"GSW")</f>
        <v>GSW</v>
      </c>
      <c r="E1329" s="164" t="str">
        <f>IFERROR(__xludf.DUMMYFUNCTION("""COMPUTED_VALUE"""),"Secondary Ball Handler")</f>
        <v>Secondary Ball Handler</v>
      </c>
      <c r="F1329" s="164">
        <f>IFERROR(__xludf.DUMMYFUNCTION("""COMPUTED_VALUE"""),578.18)</f>
        <v>578.18</v>
      </c>
      <c r="G1329" s="163">
        <f>IFERROR(__xludf.DUMMYFUNCTION("""COMPUTED_VALUE"""),66.0)</f>
        <v>66</v>
      </c>
      <c r="H1329" s="163" t="str">
        <f>IFERROR(__xludf.DUMMYFUNCTION("""COMPUTED_VALUE"""),"SG")</f>
        <v>SG</v>
      </c>
      <c r="I1329" s="163">
        <f>IFERROR(__xludf.DUMMYFUNCTION("""COMPUTED_VALUE"""),24.0)</f>
        <v>24</v>
      </c>
      <c r="J1329" s="165">
        <f>IFERROR(__xludf.DUMMYFUNCTION("""COMPUTED_VALUE"""),-3.61753485744104)</f>
        <v>-3.617534857</v>
      </c>
      <c r="K1329" s="165">
        <f>IFERROR(__xludf.DUMMYFUNCTION("""COMPUTED_VALUE"""),-1.35732788471304)</f>
        <v>-1.357327885</v>
      </c>
      <c r="L1329" s="165">
        <f>IFERROR(__xludf.DUMMYFUNCTION("""COMPUTED_VALUE"""),-2.260206972728)</f>
        <v>-2.260206973</v>
      </c>
      <c r="M1329" s="166">
        <f t="shared" si="2"/>
        <v>-0.4936756873</v>
      </c>
      <c r="N1329" s="167">
        <f t="shared" si="3"/>
        <v>8.76030303</v>
      </c>
      <c r="O1329" s="163">
        <f t="shared" ref="O1329:Q1329" si="1333">rank(I1329,I:I)</f>
        <v>2361</v>
      </c>
      <c r="P1329" s="163">
        <f t="shared" si="1333"/>
        <v>3977</v>
      </c>
      <c r="Q1329" s="163">
        <f t="shared" si="1333"/>
        <v>3211</v>
      </c>
      <c r="R1329" s="163">
        <f>IFERROR(__xludf.DUMMYFUNCTION("RANK(M1329,filter(M:M,C:C=C1329))"),454.0)</f>
        <v>454</v>
      </c>
      <c r="S1329" s="161" t="b">
        <f t="shared" si="5"/>
        <v>0</v>
      </c>
      <c r="T1329" s="161" t="b">
        <f t="array" ref="T1329">index('Query Tool'!B:B,match(H1329,'Query Tool'!C:C,0))</f>
        <v>1</v>
      </c>
      <c r="U1329" s="161" t="b">
        <f t="array" ref="U1329">index('Query Tool'!B:B,match(C1329,'Query Tool'!C:C,0))</f>
        <v>0</v>
      </c>
      <c r="V1329" s="161" t="b">
        <f>F1329&gt;='Query Tool'!C$32</f>
        <v>1</v>
      </c>
      <c r="W1329" s="161" t="b">
        <f t="array" ref="W1329">index(Dropdowns!B:B,match(I1329,Dropdowns!A:A,0))</f>
        <v>1</v>
      </c>
      <c r="X1329" s="161" t="b">
        <f t="array" ref="X1329">index('Query Tool'!B:B,match(D1329,'Query Tool'!C:C,0))</f>
        <v>1</v>
      </c>
      <c r="Y1329" s="161" t="str">
        <f t="shared" si="6"/>
        <v>clarkia01,2015-16</v>
      </c>
      <c r="Z1329" s="168">
        <f t="array" ref="Z1329">iferror(index(I:I,match($A1329&amp;","&amp;index('Year Conversion'!$A:$A,match($C1329,'Year Conversion'!$B:$B,0)),$Y:$Y,0))-I1329,"")</f>
        <v>1</v>
      </c>
      <c r="AA1329" s="168">
        <f t="array" ref="AA1329">iferror(index(J:J,match($A1329&amp;","&amp;index('Year Conversion'!$A:$A,match($C1329,'Year Conversion'!$B:$B,0)),$Y:$Y,0))-J1329,"")</f>
        <v>0.8567590112</v>
      </c>
      <c r="AB1329" s="168">
        <f t="array" ref="AB1329">iferror(index(K:K,match($A1329&amp;","&amp;index('Year Conversion'!$A:$A,match($C1329,'Year Conversion'!$B:$B,0)),$Y:$Y,0))-K1329,"")</f>
        <v>0.6430626615</v>
      </c>
      <c r="AC1329" s="168" t="str">
        <f t="shared" si="7"/>
        <v>GSW,2015-16</v>
      </c>
    </row>
    <row r="1330">
      <c r="A1330" s="161" t="str">
        <f>IFERROR(__xludf.DUMMYFUNCTION("""COMPUTED_VALUE"""),"curryse01")</f>
        <v>curryse01</v>
      </c>
      <c r="B1330" s="161" t="str">
        <f>IFERROR(__xludf.DUMMYFUNCTION("""COMPUTED_VALUE"""),"Seth Curry")</f>
        <v>Seth Curry</v>
      </c>
      <c r="C1330" s="162" t="str">
        <f>IFERROR(__xludf.DUMMYFUNCTION("""COMPUTED_VALUE"""),"2015-16")</f>
        <v>2015-16</v>
      </c>
      <c r="D1330" s="163" t="str">
        <f>IFERROR(__xludf.DUMMYFUNCTION("""COMPUTED_VALUE"""),"SAC")</f>
        <v>SAC</v>
      </c>
      <c r="E1330" s="164" t="str">
        <f>IFERROR(__xludf.DUMMYFUNCTION("""COMPUTED_VALUE"""),"Secondary Ball Handler")</f>
        <v>Secondary Ball Handler</v>
      </c>
      <c r="F1330" s="164">
        <f>IFERROR(__xludf.DUMMYFUNCTION("""COMPUTED_VALUE"""),691.743333333333)</f>
        <v>691.7433333</v>
      </c>
      <c r="G1330" s="163">
        <f>IFERROR(__xludf.DUMMYFUNCTION("""COMPUTED_VALUE"""),44.0)</f>
        <v>44</v>
      </c>
      <c r="H1330" s="163" t="str">
        <f>IFERROR(__xludf.DUMMYFUNCTION("""COMPUTED_VALUE"""),"PG")</f>
        <v>PG</v>
      </c>
      <c r="I1330" s="163">
        <f>IFERROR(__xludf.DUMMYFUNCTION("""COMPUTED_VALUE"""),25.0)</f>
        <v>25</v>
      </c>
      <c r="J1330" s="165">
        <f>IFERROR(__xludf.DUMMYFUNCTION("""COMPUTED_VALUE"""),-1.37855386135795)</f>
        <v>-1.378553861</v>
      </c>
      <c r="K1330" s="165">
        <f>IFERROR(__xludf.DUMMYFUNCTION("""COMPUTED_VALUE"""),-0.344208167295224)</f>
        <v>-0.3442081673</v>
      </c>
      <c r="L1330" s="165">
        <f>IFERROR(__xludf.DUMMYFUNCTION("""COMPUTED_VALUE"""),-1.03434569406272)</f>
        <v>-1.034345694</v>
      </c>
      <c r="M1330" s="166">
        <f t="shared" si="2"/>
        <v>0.4252185059</v>
      </c>
      <c r="N1330" s="167">
        <f t="shared" si="3"/>
        <v>15.72143939</v>
      </c>
      <c r="O1330" s="163">
        <f t="shared" ref="O1330:Q1330" si="1334">rank(I1330,I:I)</f>
        <v>1995</v>
      </c>
      <c r="P1330" s="163">
        <f t="shared" si="1334"/>
        <v>2933</v>
      </c>
      <c r="Q1330" s="163">
        <f t="shared" si="1334"/>
        <v>1838</v>
      </c>
      <c r="R1330" s="163">
        <f>IFERROR(__xludf.DUMMYFUNCTION("RANK(M1330,filter(M:M,C:C=C1330))"),290.0)</f>
        <v>290</v>
      </c>
      <c r="S1330" s="161" t="b">
        <f t="shared" si="5"/>
        <v>0</v>
      </c>
      <c r="T1330" s="161" t="b">
        <f t="array" ref="T1330">index('Query Tool'!B:B,match(H1330,'Query Tool'!C:C,0))</f>
        <v>1</v>
      </c>
      <c r="U1330" s="161" t="b">
        <f t="array" ref="U1330">index('Query Tool'!B:B,match(C1330,'Query Tool'!C:C,0))</f>
        <v>0</v>
      </c>
      <c r="V1330" s="161" t="b">
        <f>F1330&gt;='Query Tool'!C$32</f>
        <v>1</v>
      </c>
      <c r="W1330" s="161" t="b">
        <f t="array" ref="W1330">index(Dropdowns!B:B,match(I1330,Dropdowns!A:A,0))</f>
        <v>1</v>
      </c>
      <c r="X1330" s="161" t="b">
        <f t="array" ref="X1330">index('Query Tool'!B:B,match(D1330,'Query Tool'!C:C,0))</f>
        <v>1</v>
      </c>
      <c r="Y1330" s="161" t="str">
        <f t="shared" si="6"/>
        <v>curryse01,2015-16</v>
      </c>
      <c r="Z1330" s="168">
        <f t="array" ref="Z1330">iferror(index(I:I,match($A1330&amp;","&amp;index('Year Conversion'!$A:$A,match($C1330,'Year Conversion'!$B:$B,0)),$Y:$Y,0))-I1330,"")</f>
        <v>1</v>
      </c>
      <c r="AA1330" s="168">
        <f t="array" ref="AA1330">iferror(index(J:J,match($A1330&amp;","&amp;index('Year Conversion'!$A:$A,match($C1330,'Year Conversion'!$B:$B,0)),$Y:$Y,0))-J1330,"")</f>
        <v>1.165554867</v>
      </c>
      <c r="AB1330" s="168">
        <f t="array" ref="AB1330">iferror(index(K:K,match($A1330&amp;","&amp;index('Year Conversion'!$A:$A,match($C1330,'Year Conversion'!$B:$B,0)),$Y:$Y,0))-K1330,"")</f>
        <v>0.1868764436</v>
      </c>
      <c r="AC1330" s="168" t="str">
        <f t="shared" si="7"/>
        <v>SAC,2015-16</v>
      </c>
    </row>
    <row r="1331">
      <c r="A1331" s="161" t="str">
        <f>IFERROR(__xludf.DUMMYFUNCTION("""COMPUTED_VALUE"""),"danietr01")</f>
        <v>danietr01</v>
      </c>
      <c r="B1331" s="161" t="str">
        <f>IFERROR(__xludf.DUMMYFUNCTION("""COMPUTED_VALUE"""),"Troy Daniels")</f>
        <v>Troy Daniels</v>
      </c>
      <c r="C1331" s="162" t="str">
        <f>IFERROR(__xludf.DUMMYFUNCTION("""COMPUTED_VALUE"""),"2015-16")</f>
        <v>2015-16</v>
      </c>
      <c r="D1331" s="163" t="str">
        <f>IFERROR(__xludf.DUMMYFUNCTION("""COMPUTED_VALUE"""),"CHO")</f>
        <v>CHO</v>
      </c>
      <c r="E1331" s="164" t="str">
        <f>IFERROR(__xludf.DUMMYFUNCTION("""COMPUTED_VALUE"""),"Off Screen Shooter")</f>
        <v>Off Screen Shooter</v>
      </c>
      <c r="F1331" s="164">
        <f>IFERROR(__xludf.DUMMYFUNCTION("""COMPUTED_VALUE"""),476.256666666667)</f>
        <v>476.2566667</v>
      </c>
      <c r="G1331" s="163">
        <f>IFERROR(__xludf.DUMMYFUNCTION("""COMPUTED_VALUE"""),43.0)</f>
        <v>43</v>
      </c>
      <c r="H1331" s="163" t="str">
        <f>IFERROR(__xludf.DUMMYFUNCTION("""COMPUTED_VALUE"""),"SG")</f>
        <v>SG</v>
      </c>
      <c r="I1331" s="163">
        <f>IFERROR(__xludf.DUMMYFUNCTION("""COMPUTED_VALUE"""),24.0)</f>
        <v>24</v>
      </c>
      <c r="J1331" s="165">
        <f>IFERROR(__xludf.DUMMYFUNCTION("""COMPUTED_VALUE"""),-2.11247242144812)</f>
        <v>-2.112472421</v>
      </c>
      <c r="K1331" s="165">
        <f>IFERROR(__xludf.DUMMYFUNCTION("""COMPUTED_VALUE"""),-0.353538196952993)</f>
        <v>-0.353538197</v>
      </c>
      <c r="L1331" s="165">
        <f>IFERROR(__xludf.DUMMYFUNCTION("""COMPUTED_VALUE"""),-1.75893422449513)</f>
        <v>-1.758934224</v>
      </c>
      <c r="M1331" s="166">
        <f t="shared" si="2"/>
        <v>0.06011468072</v>
      </c>
      <c r="N1331" s="167">
        <f t="shared" si="3"/>
        <v>11.07573643</v>
      </c>
      <c r="O1331" s="163">
        <f t="shared" ref="O1331:Q1331" si="1335">rank(I1331,I:I)</f>
        <v>2361</v>
      </c>
      <c r="P1331" s="163">
        <f t="shared" si="1335"/>
        <v>3565</v>
      </c>
      <c r="Q1331" s="163">
        <f t="shared" si="1335"/>
        <v>1863</v>
      </c>
      <c r="R1331" s="163">
        <f>IFERROR(__xludf.DUMMYFUNCTION("RANK(M1331,filter(M:M,C:C=C1331))"),392.0)</f>
        <v>392</v>
      </c>
      <c r="S1331" s="161" t="b">
        <f t="shared" si="5"/>
        <v>0</v>
      </c>
      <c r="T1331" s="161" t="b">
        <f t="array" ref="T1331">index('Query Tool'!B:B,match(H1331,'Query Tool'!C:C,0))</f>
        <v>1</v>
      </c>
      <c r="U1331" s="161" t="b">
        <f t="array" ref="U1331">index('Query Tool'!B:B,match(C1331,'Query Tool'!C:C,0))</f>
        <v>0</v>
      </c>
      <c r="V1331" s="161" t="b">
        <f>F1331&gt;='Query Tool'!C$32</f>
        <v>0</v>
      </c>
      <c r="W1331" s="161" t="b">
        <f t="array" ref="W1331">index(Dropdowns!B:B,match(I1331,Dropdowns!A:A,0))</f>
        <v>1</v>
      </c>
      <c r="X1331" s="161" t="b">
        <f t="array" ref="X1331">index('Query Tool'!B:B,match(D1331,'Query Tool'!C:C,0))</f>
        <v>1</v>
      </c>
      <c r="Y1331" s="161" t="str">
        <f t="shared" si="6"/>
        <v>danietr01,2015-16</v>
      </c>
      <c r="Z1331" s="168">
        <f t="array" ref="Z1331">iferror(index(I:I,match($A1331&amp;","&amp;index('Year Conversion'!$A:$A,match($C1331,'Year Conversion'!$B:$B,0)),$Y:$Y,0))-I1331,"")</f>
        <v>1</v>
      </c>
      <c r="AA1331" s="168">
        <f t="array" ref="AA1331">iferror(index(J:J,match($A1331&amp;","&amp;index('Year Conversion'!$A:$A,match($C1331,'Year Conversion'!$B:$B,0)),$Y:$Y,0))-J1331,"")</f>
        <v>0.9360232336</v>
      </c>
      <c r="AB1331" s="168">
        <f t="array" ref="AB1331">iferror(index(K:K,match($A1331&amp;","&amp;index('Year Conversion'!$A:$A,match($C1331,'Year Conversion'!$B:$B,0)),$Y:$Y,0))-K1331,"")</f>
        <v>1.062323742</v>
      </c>
      <c r="AC1331" s="168" t="str">
        <f t="shared" si="7"/>
        <v>CHO,2015-16</v>
      </c>
    </row>
    <row r="1332">
      <c r="A1332" s="161" t="str">
        <f>IFERROR(__xludf.DUMMYFUNCTION("""COMPUTED_VALUE"""),"simmojo02")</f>
        <v>simmojo02</v>
      </c>
      <c r="B1332" s="161" t="str">
        <f>IFERROR(__xludf.DUMMYFUNCTION("""COMPUTED_VALUE"""),"Jonathon Simmons")</f>
        <v>Jonathon Simmons</v>
      </c>
      <c r="C1332" s="162" t="str">
        <f>IFERROR(__xludf.DUMMYFUNCTION("""COMPUTED_VALUE"""),"2015-16")</f>
        <v>2015-16</v>
      </c>
      <c r="D1332" s="163" t="str">
        <f>IFERROR(__xludf.DUMMYFUNCTION("""COMPUTED_VALUE"""),"SAS")</f>
        <v>SAS</v>
      </c>
      <c r="E1332" s="164" t="str">
        <f>IFERROR(__xludf.DUMMYFUNCTION("""COMPUTED_VALUE"""),"Slasher")</f>
        <v>Slasher</v>
      </c>
      <c r="F1332" s="164">
        <f>IFERROR(__xludf.DUMMYFUNCTION("""COMPUTED_VALUE"""),812.83)</f>
        <v>812.83</v>
      </c>
      <c r="G1332" s="163">
        <f>IFERROR(__xludf.DUMMYFUNCTION("""COMPUTED_VALUE"""),55.0)</f>
        <v>55</v>
      </c>
      <c r="H1332" s="163" t="str">
        <f>IFERROR(__xludf.DUMMYFUNCTION("""COMPUTED_VALUE"""),"SG")</f>
        <v>SG</v>
      </c>
      <c r="I1332" s="163">
        <f>IFERROR(__xludf.DUMMYFUNCTION("""COMPUTED_VALUE"""),26.0)</f>
        <v>26</v>
      </c>
      <c r="J1332" s="165">
        <f>IFERROR(__xludf.DUMMYFUNCTION("""COMPUTED_VALUE"""),-2.57810970975223)</f>
        <v>-2.57810971</v>
      </c>
      <c r="K1332" s="165">
        <f>IFERROR(__xludf.DUMMYFUNCTION("""COMPUTED_VALUE"""),-1.4238436492097)</f>
        <v>-1.423843649</v>
      </c>
      <c r="L1332" s="165">
        <f>IFERROR(__xludf.DUMMYFUNCTION("""COMPUTED_VALUE"""),-1.15426606054252)</f>
        <v>-1.154266061</v>
      </c>
      <c r="M1332" s="166">
        <f t="shared" si="2"/>
        <v>-0.1467931868</v>
      </c>
      <c r="N1332" s="167">
        <f t="shared" si="3"/>
        <v>14.77872727</v>
      </c>
      <c r="O1332" s="163">
        <f t="shared" ref="O1332:Q1332" si="1336">rank(I1332,I:I)</f>
        <v>1665</v>
      </c>
      <c r="P1332" s="163">
        <f t="shared" si="1336"/>
        <v>3779</v>
      </c>
      <c r="Q1332" s="163">
        <f t="shared" si="1336"/>
        <v>3273</v>
      </c>
      <c r="R1332" s="163">
        <f>IFERROR(__xludf.DUMMYFUNCTION("RANK(M1332,filter(M:M,C:C=C1332))"),445.0)</f>
        <v>445</v>
      </c>
      <c r="S1332" s="161" t="b">
        <f t="shared" si="5"/>
        <v>0</v>
      </c>
      <c r="T1332" s="161" t="b">
        <f t="array" ref="T1332">index('Query Tool'!B:B,match(H1332,'Query Tool'!C:C,0))</f>
        <v>1</v>
      </c>
      <c r="U1332" s="161" t="b">
        <f t="array" ref="U1332">index('Query Tool'!B:B,match(C1332,'Query Tool'!C:C,0))</f>
        <v>0</v>
      </c>
      <c r="V1332" s="161" t="b">
        <f>F1332&gt;='Query Tool'!C$32</f>
        <v>1</v>
      </c>
      <c r="W1332" s="161" t="b">
        <f t="array" ref="W1332">index(Dropdowns!B:B,match(I1332,Dropdowns!A:A,0))</f>
        <v>1</v>
      </c>
      <c r="X1332" s="161" t="b">
        <f t="array" ref="X1332">index('Query Tool'!B:B,match(D1332,'Query Tool'!C:C,0))</f>
        <v>1</v>
      </c>
      <c r="Y1332" s="161" t="str">
        <f t="shared" si="6"/>
        <v>simmojo02,2015-16</v>
      </c>
      <c r="Z1332" s="168">
        <f t="array" ref="Z1332">iferror(index(I:I,match($A1332&amp;","&amp;index('Year Conversion'!$A:$A,match($C1332,'Year Conversion'!$B:$B,0)),$Y:$Y,0))-I1332,"")</f>
        <v>1</v>
      </c>
      <c r="AA1332" s="168">
        <f t="array" ref="AA1332">iferror(index(J:J,match($A1332&amp;","&amp;index('Year Conversion'!$A:$A,match($C1332,'Year Conversion'!$B:$B,0)),$Y:$Y,0))-J1332,"")</f>
        <v>1.301382392</v>
      </c>
      <c r="AB1332" s="168">
        <f t="array" ref="AB1332">iferror(index(K:K,match($A1332&amp;","&amp;index('Year Conversion'!$A:$A,match($C1332,'Year Conversion'!$B:$B,0)),$Y:$Y,0))-K1332,"")</f>
        <v>-0.2695650877</v>
      </c>
      <c r="AC1332" s="168" t="str">
        <f t="shared" si="7"/>
        <v>SAS,2015-16</v>
      </c>
    </row>
    <row r="1333">
      <c r="A1333" s="161" t="str">
        <f>IFERROR(__xludf.DUMMYFUNCTION("""COMPUTED_VALUE"""),"antetth01")</f>
        <v>antetth01</v>
      </c>
      <c r="B1333" s="161" t="str">
        <f>IFERROR(__xludf.DUMMYFUNCTION("""COMPUTED_VALUE"""),"Thanasis Antetokounmpo")</f>
        <v>Thanasis Antetokounmpo</v>
      </c>
      <c r="C1333" s="162" t="str">
        <f>IFERROR(__xludf.DUMMYFUNCTION("""COMPUTED_VALUE"""),"2015-16")</f>
        <v>2015-16</v>
      </c>
      <c r="D1333" s="163" t="str">
        <f>IFERROR(__xludf.DUMMYFUNCTION("""COMPUTED_VALUE"""),"NYK")</f>
        <v>NYK</v>
      </c>
      <c r="E1333" s="164" t="str">
        <f>IFERROR(__xludf.DUMMYFUNCTION("""COMPUTED_VALUE"""),"Slasher")</f>
        <v>Slasher</v>
      </c>
      <c r="F1333" s="164">
        <f>IFERROR(__xludf.DUMMYFUNCTION("""COMPUTED_VALUE"""),6.25)</f>
        <v>6.25</v>
      </c>
      <c r="G1333" s="163">
        <f>IFERROR(__xludf.DUMMYFUNCTION("""COMPUTED_VALUE"""),2.0)</f>
        <v>2</v>
      </c>
      <c r="H1333" s="163" t="str">
        <f>IFERROR(__xludf.DUMMYFUNCTION("""COMPUTED_VALUE"""),"SF")</f>
        <v>SF</v>
      </c>
      <c r="I1333" s="163">
        <f>IFERROR(__xludf.DUMMYFUNCTION("""COMPUTED_VALUE"""),23.0)</f>
        <v>23</v>
      </c>
      <c r="J1333" s="165">
        <f>IFERROR(__xludf.DUMMYFUNCTION("""COMPUTED_VALUE"""),-0.361958635222703)</f>
        <v>-0.3619586352</v>
      </c>
      <c r="K1333" s="165">
        <f>IFERROR(__xludf.DUMMYFUNCTION("""COMPUTED_VALUE"""),-0.046817950061014)</f>
        <v>-0.04681795006</v>
      </c>
      <c r="L1333" s="165">
        <f>IFERROR(__xludf.DUMMYFUNCTION("""COMPUTED_VALUE"""),-0.315140685161689)</f>
        <v>-0.3151406852</v>
      </c>
      <c r="M1333" s="166">
        <f t="shared" si="2"/>
        <v>0.008110514034</v>
      </c>
      <c r="N1333" s="167">
        <f t="shared" si="3"/>
        <v>3.125</v>
      </c>
      <c r="O1333" s="163">
        <f t="shared" ref="O1333:Q1333" si="1337">rank(I1333,I:I)</f>
        <v>2765</v>
      </c>
      <c r="P1333" s="163">
        <f t="shared" si="1337"/>
        <v>1685</v>
      </c>
      <c r="Q1333" s="163">
        <f t="shared" si="1337"/>
        <v>1270</v>
      </c>
      <c r="R1333" s="163">
        <f>IFERROR(__xludf.DUMMYFUNCTION("RANK(M1333,filter(M:M,C:C=C1333))"),423.0)</f>
        <v>423</v>
      </c>
      <c r="S1333" s="161" t="b">
        <f t="shared" si="5"/>
        <v>0</v>
      </c>
      <c r="T1333" s="161" t="b">
        <f t="array" ref="T1333">index('Query Tool'!B:B,match(H1333,'Query Tool'!C:C,0))</f>
        <v>1</v>
      </c>
      <c r="U1333" s="161" t="b">
        <f t="array" ref="U1333">index('Query Tool'!B:B,match(C1333,'Query Tool'!C:C,0))</f>
        <v>0</v>
      </c>
      <c r="V1333" s="161" t="b">
        <f>F1333&gt;='Query Tool'!C$32</f>
        <v>0</v>
      </c>
      <c r="W1333" s="161" t="b">
        <f t="array" ref="W1333">index(Dropdowns!B:B,match(I1333,Dropdowns!A:A,0))</f>
        <v>1</v>
      </c>
      <c r="X1333" s="161" t="b">
        <f t="array" ref="X1333">index('Query Tool'!B:B,match(D1333,'Query Tool'!C:C,0))</f>
        <v>1</v>
      </c>
      <c r="Y1333" s="161" t="str">
        <f t="shared" si="6"/>
        <v>antetth01,2015-16</v>
      </c>
      <c r="Z1333" s="168" t="str">
        <f t="array" ref="Z1333">iferror(index(I:I,match($A1333&amp;","&amp;index('Year Conversion'!$A:$A,match($C1333,'Year Conversion'!$B:$B,0)),$Y:$Y,0))-I1333,"")</f>
        <v/>
      </c>
      <c r="AA1333" s="168" t="str">
        <f t="array" ref="AA1333">iferror(index(J:J,match($A1333&amp;","&amp;index('Year Conversion'!$A:$A,match($C1333,'Year Conversion'!$B:$B,0)),$Y:$Y,0))-J1333,"")</f>
        <v/>
      </c>
      <c r="AB1333" s="168" t="str">
        <f t="array" ref="AB1333">iferror(index(K:K,match($A1333&amp;","&amp;index('Year Conversion'!$A:$A,match($C1333,'Year Conversion'!$B:$B,0)),$Y:$Y,0))-K1333,"")</f>
        <v/>
      </c>
      <c r="AC1333" s="168" t="str">
        <f t="shared" si="7"/>
        <v>NYK,2015-16</v>
      </c>
    </row>
    <row r="1334">
      <c r="A1334" s="161" t="str">
        <f>IFERROR(__xludf.DUMMYFUNCTION("""COMPUTED_VALUE"""),"hairspj02")</f>
        <v>hairspj02</v>
      </c>
      <c r="B1334" s="161" t="str">
        <f>IFERROR(__xludf.DUMMYFUNCTION("""COMPUTED_VALUE"""),"PJ Hairston")</f>
        <v>PJ Hairston</v>
      </c>
      <c r="C1334" s="162" t="str">
        <f>IFERROR(__xludf.DUMMYFUNCTION("""COMPUTED_VALUE"""),"2015-16")</f>
        <v>2015-16</v>
      </c>
      <c r="D1334" s="163" t="str">
        <f>IFERROR(__xludf.DUMMYFUNCTION("""COMPUTED_VALUE"""),"TOT")</f>
        <v>TOT</v>
      </c>
      <c r="E1334" s="164" t="str">
        <f>IFERROR(__xludf.DUMMYFUNCTION("""COMPUTED_VALUE"""),"Stationary Shooter")</f>
        <v>Stationary Shooter</v>
      </c>
      <c r="F1334" s="164">
        <f>IFERROR(__xludf.DUMMYFUNCTION("""COMPUTED_VALUE"""),1313.12)</f>
        <v>1313.12</v>
      </c>
      <c r="G1334" s="163">
        <f>IFERROR(__xludf.DUMMYFUNCTION("""COMPUTED_VALUE"""),66.0)</f>
        <v>66</v>
      </c>
      <c r="H1334" s="163" t="str">
        <f>IFERROR(__xludf.DUMMYFUNCTION("""COMPUTED_VALUE"""),"SF")</f>
        <v>SF</v>
      </c>
      <c r="I1334" s="163">
        <f>IFERROR(__xludf.DUMMYFUNCTION("""COMPUTED_VALUE"""),23.0)</f>
        <v>23</v>
      </c>
      <c r="J1334" s="165">
        <f>IFERROR(__xludf.DUMMYFUNCTION("""COMPUTED_VALUE"""),-1.79584572712318)</f>
        <v>-1.795845727</v>
      </c>
      <c r="K1334" s="165">
        <f>IFERROR(__xludf.DUMMYFUNCTION("""COMPUTED_VALUE"""),-1.59739856843999)</f>
        <v>-1.597398568</v>
      </c>
      <c r="L1334" s="165">
        <f>IFERROR(__xludf.DUMMYFUNCTION("""COMPUTED_VALUE"""),-0.198447158683181)</f>
        <v>-0.1984471587</v>
      </c>
      <c r="M1334" s="166">
        <f t="shared" si="2"/>
        <v>0.4416300669</v>
      </c>
      <c r="N1334" s="167">
        <f t="shared" si="3"/>
        <v>19.89575758</v>
      </c>
      <c r="O1334" s="163">
        <f t="shared" ref="O1334:Q1334" si="1338">rank(I1334,I:I)</f>
        <v>2765</v>
      </c>
      <c r="P1334" s="163">
        <f t="shared" si="1338"/>
        <v>3324</v>
      </c>
      <c r="Q1334" s="163">
        <f t="shared" si="1338"/>
        <v>3444</v>
      </c>
      <c r="R1334" s="163">
        <f>IFERROR(__xludf.DUMMYFUNCTION("RANK(M1334,filter(M:M,C:C=C1334))"),289.0)</f>
        <v>289</v>
      </c>
      <c r="S1334" s="161" t="b">
        <f t="shared" si="5"/>
        <v>0</v>
      </c>
      <c r="T1334" s="161" t="b">
        <f t="array" ref="T1334">index('Query Tool'!B:B,match(H1334,'Query Tool'!C:C,0))</f>
        <v>1</v>
      </c>
      <c r="U1334" s="161" t="b">
        <f t="array" ref="U1334">index('Query Tool'!B:B,match(C1334,'Query Tool'!C:C,0))</f>
        <v>0</v>
      </c>
      <c r="V1334" s="161" t="b">
        <f>F1334&gt;='Query Tool'!C$32</f>
        <v>1</v>
      </c>
      <c r="W1334" s="161" t="b">
        <f t="array" ref="W1334">index(Dropdowns!B:B,match(I1334,Dropdowns!A:A,0))</f>
        <v>1</v>
      </c>
      <c r="X1334" s="161" t="b">
        <f t="array" ref="X1334">index('Query Tool'!B:B,match(D1334,'Query Tool'!C:C,0))</f>
        <v>1</v>
      </c>
      <c r="Y1334" s="161" t="str">
        <f t="shared" si="6"/>
        <v>hairspj02,2015-16</v>
      </c>
      <c r="Z1334" s="168" t="str">
        <f t="array" ref="Z1334">iferror(index(I:I,match($A1334&amp;","&amp;index('Year Conversion'!$A:$A,match($C1334,'Year Conversion'!$B:$B,0)),$Y:$Y,0))-I1334,"")</f>
        <v/>
      </c>
      <c r="AA1334" s="168" t="str">
        <f t="array" ref="AA1334">iferror(index(J:J,match($A1334&amp;","&amp;index('Year Conversion'!$A:$A,match($C1334,'Year Conversion'!$B:$B,0)),$Y:$Y,0))-J1334,"")</f>
        <v/>
      </c>
      <c r="AB1334" s="168" t="str">
        <f t="array" ref="AB1334">iferror(index(K:K,match($A1334&amp;","&amp;index('Year Conversion'!$A:$A,match($C1334,'Year Conversion'!$B:$B,0)),$Y:$Y,0))-K1334,"")</f>
        <v/>
      </c>
      <c r="AC1334" s="168" t="str">
        <f t="shared" si="7"/>
        <v>TOT,2015-16</v>
      </c>
    </row>
    <row r="1335">
      <c r="A1335" s="161" t="str">
        <f>IFERROR(__xludf.DUMMYFUNCTION("""COMPUTED_VALUE"""),"smithru01")</f>
        <v>smithru01</v>
      </c>
      <c r="B1335" s="161" t="str">
        <f>IFERROR(__xludf.DUMMYFUNCTION("""COMPUTED_VALUE"""),"Russ Smith")</f>
        <v>Russ Smith</v>
      </c>
      <c r="C1335" s="162" t="str">
        <f>IFERROR(__xludf.DUMMYFUNCTION("""COMPUTED_VALUE"""),"2015-16")</f>
        <v>2015-16</v>
      </c>
      <c r="D1335" s="163" t="str">
        <f>IFERROR(__xludf.DUMMYFUNCTION("""COMPUTED_VALUE"""),"MEM")</f>
        <v>MEM</v>
      </c>
      <c r="E1335" s="164" t="str">
        <f>IFERROR(__xludf.DUMMYFUNCTION("""COMPUTED_VALUE"""),"Slasher")</f>
        <v>Slasher</v>
      </c>
      <c r="F1335" s="164">
        <f>IFERROR(__xludf.DUMMYFUNCTION("""COMPUTED_VALUE"""),66.185)</f>
        <v>66.185</v>
      </c>
      <c r="G1335" s="163">
        <f>IFERROR(__xludf.DUMMYFUNCTION("""COMPUTED_VALUE"""),15.0)</f>
        <v>15</v>
      </c>
      <c r="H1335" s="163" t="str">
        <f>IFERROR(__xludf.DUMMYFUNCTION("""COMPUTED_VALUE"""),"PG")</f>
        <v>PG</v>
      </c>
      <c r="I1335" s="163">
        <f>IFERROR(__xludf.DUMMYFUNCTION("""COMPUTED_VALUE"""),24.0)</f>
        <v>24</v>
      </c>
      <c r="J1335" s="165">
        <f>IFERROR(__xludf.DUMMYFUNCTION("""COMPUTED_VALUE"""),-0.443023012010993)</f>
        <v>-0.443023012</v>
      </c>
      <c r="K1335" s="165">
        <f>IFERROR(__xludf.DUMMYFUNCTION("""COMPUTED_VALUE"""),-0.24457252935264)</f>
        <v>-0.2445725294</v>
      </c>
      <c r="L1335" s="165">
        <f>IFERROR(__xludf.DUMMYFUNCTION("""COMPUTED_VALUE"""),-0.198450482658353)</f>
        <v>-0.1984504827</v>
      </c>
      <c r="M1335" s="166">
        <f t="shared" si="2"/>
        <v>0.08227235459</v>
      </c>
      <c r="N1335" s="167">
        <f t="shared" si="3"/>
        <v>4.412333333</v>
      </c>
      <c r="O1335" s="163">
        <f t="shared" ref="O1335:Q1335" si="1339">rank(I1335,I:I)</f>
        <v>2361</v>
      </c>
      <c r="P1335" s="163">
        <f t="shared" si="1339"/>
        <v>1768</v>
      </c>
      <c r="Q1335" s="163">
        <f t="shared" si="1339"/>
        <v>1657</v>
      </c>
      <c r="R1335" s="163">
        <f>IFERROR(__xludf.DUMMYFUNCTION("RANK(M1335,filter(M:M,C:C=C1335))"),377.0)</f>
        <v>377</v>
      </c>
      <c r="S1335" s="161" t="b">
        <f t="shared" si="5"/>
        <v>0</v>
      </c>
      <c r="T1335" s="161" t="b">
        <f t="array" ref="T1335">index('Query Tool'!B:B,match(H1335,'Query Tool'!C:C,0))</f>
        <v>1</v>
      </c>
      <c r="U1335" s="161" t="b">
        <f t="array" ref="U1335">index('Query Tool'!B:B,match(C1335,'Query Tool'!C:C,0))</f>
        <v>0</v>
      </c>
      <c r="V1335" s="161" t="b">
        <f>F1335&gt;='Query Tool'!C$32</f>
        <v>0</v>
      </c>
      <c r="W1335" s="161" t="b">
        <f t="array" ref="W1335">index(Dropdowns!B:B,match(I1335,Dropdowns!A:A,0))</f>
        <v>1</v>
      </c>
      <c r="X1335" s="161" t="b">
        <f t="array" ref="X1335">index('Query Tool'!B:B,match(D1335,'Query Tool'!C:C,0))</f>
        <v>1</v>
      </c>
      <c r="Y1335" s="161" t="str">
        <f t="shared" si="6"/>
        <v>smithru01,2015-16</v>
      </c>
      <c r="Z1335" s="168" t="str">
        <f t="array" ref="Z1335">iferror(index(I:I,match($A1335&amp;","&amp;index('Year Conversion'!$A:$A,match($C1335,'Year Conversion'!$B:$B,0)),$Y:$Y,0))-I1335,"")</f>
        <v/>
      </c>
      <c r="AA1335" s="168" t="str">
        <f t="array" ref="AA1335">iferror(index(J:J,match($A1335&amp;","&amp;index('Year Conversion'!$A:$A,match($C1335,'Year Conversion'!$B:$B,0)),$Y:$Y,0))-J1335,"")</f>
        <v/>
      </c>
      <c r="AB1335" s="168" t="str">
        <f t="array" ref="AB1335">iferror(index(K:K,match($A1335&amp;","&amp;index('Year Conversion'!$A:$A,match($C1335,'Year Conversion'!$B:$B,0)),$Y:$Y,0))-K1335,"")</f>
        <v/>
      </c>
      <c r="AC1335" s="168" t="str">
        <f t="shared" si="7"/>
        <v>MEM,2015-16</v>
      </c>
    </row>
    <row r="1336">
      <c r="A1336" s="161" t="str">
        <f>IFERROR(__xludf.DUMMYFUNCTION("""COMPUTED_VALUE"""),"napiesh01")</f>
        <v>napiesh01</v>
      </c>
      <c r="B1336" s="161" t="str">
        <f>IFERROR(__xludf.DUMMYFUNCTION("""COMPUTED_VALUE"""),"Shabazz Napier")</f>
        <v>Shabazz Napier</v>
      </c>
      <c r="C1336" s="162" t="str">
        <f>IFERROR(__xludf.DUMMYFUNCTION("""COMPUTED_VALUE"""),"2015-16")</f>
        <v>2015-16</v>
      </c>
      <c r="D1336" s="163" t="str">
        <f>IFERROR(__xludf.DUMMYFUNCTION("""COMPUTED_VALUE"""),"ORL")</f>
        <v>ORL</v>
      </c>
      <c r="E1336" s="164" t="str">
        <f>IFERROR(__xludf.DUMMYFUNCTION("""COMPUTED_VALUE"""),"Secondary Ball Handler")</f>
        <v>Secondary Ball Handler</v>
      </c>
      <c r="F1336" s="164">
        <f>IFERROR(__xludf.DUMMYFUNCTION("""COMPUTED_VALUE"""),599.865)</f>
        <v>599.865</v>
      </c>
      <c r="G1336" s="163">
        <f>IFERROR(__xludf.DUMMYFUNCTION("""COMPUTED_VALUE"""),55.0)</f>
        <v>55</v>
      </c>
      <c r="H1336" s="163" t="str">
        <f>IFERROR(__xludf.DUMMYFUNCTION("""COMPUTED_VALUE"""),"PG")</f>
        <v>PG</v>
      </c>
      <c r="I1336" s="163">
        <f>IFERROR(__xludf.DUMMYFUNCTION("""COMPUTED_VALUE"""),24.0)</f>
        <v>24</v>
      </c>
      <c r="J1336" s="165">
        <f>IFERROR(__xludf.DUMMYFUNCTION("""COMPUTED_VALUE"""),-2.00283580179785)</f>
        <v>-2.002835802</v>
      </c>
      <c r="K1336" s="165">
        <f>IFERROR(__xludf.DUMMYFUNCTION("""COMPUTED_VALUE"""),-0.773714994558293)</f>
        <v>-0.7737149946</v>
      </c>
      <c r="L1336" s="165">
        <f>IFERROR(__xludf.DUMMYFUNCTION("""COMPUTED_VALUE"""),-1.22912080723956)</f>
        <v>-1.229120807</v>
      </c>
      <c r="M1336" s="166">
        <f t="shared" si="2"/>
        <v>0.1192830287</v>
      </c>
      <c r="N1336" s="167">
        <f t="shared" si="3"/>
        <v>10.90663636</v>
      </c>
      <c r="O1336" s="163">
        <f t="shared" ref="O1336:Q1336" si="1340">rank(I1336,I:I)</f>
        <v>2361</v>
      </c>
      <c r="P1336" s="163">
        <f t="shared" si="1340"/>
        <v>3482</v>
      </c>
      <c r="Q1336" s="163">
        <f t="shared" si="1340"/>
        <v>2520</v>
      </c>
      <c r="R1336" s="163">
        <f>IFERROR(__xludf.DUMMYFUNCTION("RANK(M1336,filter(M:M,C:C=C1336))"),363.0)</f>
        <v>363</v>
      </c>
      <c r="S1336" s="161" t="b">
        <f t="shared" si="5"/>
        <v>0</v>
      </c>
      <c r="T1336" s="161" t="b">
        <f t="array" ref="T1336">index('Query Tool'!B:B,match(H1336,'Query Tool'!C:C,0))</f>
        <v>1</v>
      </c>
      <c r="U1336" s="161" t="b">
        <f t="array" ref="U1336">index('Query Tool'!B:B,match(C1336,'Query Tool'!C:C,0))</f>
        <v>0</v>
      </c>
      <c r="V1336" s="161" t="b">
        <f>F1336&gt;='Query Tool'!C$32</f>
        <v>1</v>
      </c>
      <c r="W1336" s="161" t="b">
        <f t="array" ref="W1336">index(Dropdowns!B:B,match(I1336,Dropdowns!A:A,0))</f>
        <v>1</v>
      </c>
      <c r="X1336" s="161" t="b">
        <f t="array" ref="X1336">index('Query Tool'!B:B,match(D1336,'Query Tool'!C:C,0))</f>
        <v>1</v>
      </c>
      <c r="Y1336" s="161" t="str">
        <f t="shared" si="6"/>
        <v>napiesh01,2015-16</v>
      </c>
      <c r="Z1336" s="168">
        <f t="array" ref="Z1336">iferror(index(I:I,match($A1336&amp;","&amp;index('Year Conversion'!$A:$A,match($C1336,'Year Conversion'!$B:$B,0)),$Y:$Y,0))-I1336,"")</f>
        <v>1</v>
      </c>
      <c r="AA1336" s="168">
        <f t="array" ref="AA1336">iferror(index(J:J,match($A1336&amp;","&amp;index('Year Conversion'!$A:$A,match($C1336,'Year Conversion'!$B:$B,0)),$Y:$Y,0))-J1336,"")</f>
        <v>1.93940096</v>
      </c>
      <c r="AB1336" s="168">
        <f t="array" ref="AB1336">iferror(index(K:K,match($A1336&amp;","&amp;index('Year Conversion'!$A:$A,match($C1336,'Year Conversion'!$B:$B,0)),$Y:$Y,0))-K1336,"")</f>
        <v>1.08269842</v>
      </c>
      <c r="AC1336" s="168" t="str">
        <f t="shared" si="7"/>
        <v>ORL,2015-16</v>
      </c>
    </row>
    <row r="1337">
      <c r="A1337" s="161" t="str">
        <f>IFERROR(__xludf.DUMMYFUNCTION("""COMPUTED_VALUE"""),"mcraejo01")</f>
        <v>mcraejo01</v>
      </c>
      <c r="B1337" s="161" t="str">
        <f>IFERROR(__xludf.DUMMYFUNCTION("""COMPUTED_VALUE"""),"Jordan McRae")</f>
        <v>Jordan McRae</v>
      </c>
      <c r="C1337" s="162" t="str">
        <f>IFERROR(__xludf.DUMMYFUNCTION("""COMPUTED_VALUE"""),"2015-16")</f>
        <v>2015-16</v>
      </c>
      <c r="D1337" s="163" t="str">
        <f>IFERROR(__xludf.DUMMYFUNCTION("""COMPUTED_VALUE"""),"TOT")</f>
        <v>TOT</v>
      </c>
      <c r="E1337" s="164" t="str">
        <f>IFERROR(__xludf.DUMMYFUNCTION("""COMPUTED_VALUE"""),"Secondary Ball Handler")</f>
        <v>Secondary Ball Handler</v>
      </c>
      <c r="F1337" s="164">
        <f>IFERROR(__xludf.DUMMYFUNCTION("""COMPUTED_VALUE"""),195.951666666667)</f>
        <v>195.9516667</v>
      </c>
      <c r="G1337" s="163">
        <f>IFERROR(__xludf.DUMMYFUNCTION("""COMPUTED_VALUE"""),22.0)</f>
        <v>22</v>
      </c>
      <c r="H1337" s="163" t="str">
        <f>IFERROR(__xludf.DUMMYFUNCTION("""COMPUTED_VALUE"""),"PG")</f>
        <v>PG</v>
      </c>
      <c r="I1337" s="163">
        <f>IFERROR(__xludf.DUMMYFUNCTION("""COMPUTED_VALUE"""),24.0)</f>
        <v>24</v>
      </c>
      <c r="J1337" s="165">
        <f>IFERROR(__xludf.DUMMYFUNCTION("""COMPUTED_VALUE"""),-0.112754788596001)</f>
        <v>-0.1127547886</v>
      </c>
      <c r="K1337" s="165">
        <f>IFERROR(__xludf.DUMMYFUNCTION("""COMPUTED_VALUE"""),0.159435401820135)</f>
        <v>0.1594354018</v>
      </c>
      <c r="L1337" s="165">
        <f>IFERROR(__xludf.DUMMYFUNCTION("""COMPUTED_VALUE"""),-0.272190190416137)</f>
        <v>-0.2721901904</v>
      </c>
      <c r="M1337" s="166">
        <f t="shared" si="2"/>
        <v>0.2871965366</v>
      </c>
      <c r="N1337" s="167">
        <f t="shared" si="3"/>
        <v>8.906893939</v>
      </c>
      <c r="O1337" s="163">
        <f t="shared" ref="O1337:Q1337" si="1341">rank(I1337,I:I)</f>
        <v>2361</v>
      </c>
      <c r="P1337" s="163">
        <f t="shared" si="1341"/>
        <v>1396</v>
      </c>
      <c r="Q1337" s="163">
        <f t="shared" si="1341"/>
        <v>1020</v>
      </c>
      <c r="R1337" s="163">
        <f>IFERROR(__xludf.DUMMYFUNCTION("RANK(M1337,filter(M:M,C:C=C1337))"),313.0)</f>
        <v>313</v>
      </c>
      <c r="S1337" s="161" t="b">
        <f t="shared" si="5"/>
        <v>0</v>
      </c>
      <c r="T1337" s="161" t="b">
        <f t="array" ref="T1337">index('Query Tool'!B:B,match(H1337,'Query Tool'!C:C,0))</f>
        <v>1</v>
      </c>
      <c r="U1337" s="161" t="b">
        <f t="array" ref="U1337">index('Query Tool'!B:B,match(C1337,'Query Tool'!C:C,0))</f>
        <v>0</v>
      </c>
      <c r="V1337" s="161" t="b">
        <f>F1337&gt;='Query Tool'!C$32</f>
        <v>0</v>
      </c>
      <c r="W1337" s="161" t="b">
        <f t="array" ref="W1337">index(Dropdowns!B:B,match(I1337,Dropdowns!A:A,0))</f>
        <v>1</v>
      </c>
      <c r="X1337" s="161" t="b">
        <f t="array" ref="X1337">index('Query Tool'!B:B,match(D1337,'Query Tool'!C:C,0))</f>
        <v>1</v>
      </c>
      <c r="Y1337" s="161" t="str">
        <f t="shared" si="6"/>
        <v>mcraejo01,2015-16</v>
      </c>
      <c r="Z1337" s="168">
        <f t="array" ref="Z1337">iferror(index(I:I,match($A1337&amp;","&amp;index('Year Conversion'!$A:$A,match($C1337,'Year Conversion'!$B:$B,0)),$Y:$Y,0))-I1337,"")</f>
        <v>1</v>
      </c>
      <c r="AA1337" s="168">
        <f t="array" ref="AA1337">iferror(index(J:J,match($A1337&amp;","&amp;index('Year Conversion'!$A:$A,match($C1337,'Year Conversion'!$B:$B,0)),$Y:$Y,0))-J1337,"")</f>
        <v>-2.264234175</v>
      </c>
      <c r="AB1337" s="168">
        <f t="array" ref="AB1337">iferror(index(K:K,match($A1337&amp;","&amp;index('Year Conversion'!$A:$A,match($C1337,'Year Conversion'!$B:$B,0)),$Y:$Y,0))-K1337,"")</f>
        <v>-1.290051638</v>
      </c>
      <c r="AC1337" s="168" t="str">
        <f t="shared" si="7"/>
        <v>TOT,2015-16</v>
      </c>
    </row>
    <row r="1338">
      <c r="A1338" s="161" t="str">
        <f>IFERROR(__xludf.DUMMYFUNCTION("""COMPUTED_VALUE"""),"lavinza01")</f>
        <v>lavinza01</v>
      </c>
      <c r="B1338" s="161" t="str">
        <f>IFERROR(__xludf.DUMMYFUNCTION("""COMPUTED_VALUE"""),"Zach LaVine")</f>
        <v>Zach LaVine</v>
      </c>
      <c r="C1338" s="162" t="str">
        <f>IFERROR(__xludf.DUMMYFUNCTION("""COMPUTED_VALUE"""),"2015-16")</f>
        <v>2015-16</v>
      </c>
      <c r="D1338" s="163" t="str">
        <f>IFERROR(__xludf.DUMMYFUNCTION("""COMPUTED_VALUE"""),"MIN")</f>
        <v>MIN</v>
      </c>
      <c r="E1338" s="164" t="str">
        <f>IFERROR(__xludf.DUMMYFUNCTION("""COMPUTED_VALUE"""),"Primary Ball Handler")</f>
        <v>Primary Ball Handler</v>
      </c>
      <c r="F1338" s="164">
        <f>IFERROR(__xludf.DUMMYFUNCTION("""COMPUTED_VALUE"""),2293.48333333333)</f>
        <v>2293.483333</v>
      </c>
      <c r="G1338" s="163">
        <f>IFERROR(__xludf.DUMMYFUNCTION("""COMPUTED_VALUE"""),82.0)</f>
        <v>82</v>
      </c>
      <c r="H1338" s="163" t="str">
        <f>IFERROR(__xludf.DUMMYFUNCTION("""COMPUTED_VALUE"""),"SG")</f>
        <v>SG</v>
      </c>
      <c r="I1338" s="163">
        <f>IFERROR(__xludf.DUMMYFUNCTION("""COMPUTED_VALUE"""),20.0)</f>
        <v>20</v>
      </c>
      <c r="J1338" s="165">
        <f>IFERROR(__xludf.DUMMYFUNCTION("""COMPUTED_VALUE"""),-3.28081971656372)</f>
        <v>-3.280819717</v>
      </c>
      <c r="K1338" s="165">
        <f>IFERROR(__xludf.DUMMYFUNCTION("""COMPUTED_VALUE"""),-0.597648013644014)</f>
        <v>-0.5976480136</v>
      </c>
      <c r="L1338" s="165">
        <f>IFERROR(__xludf.DUMMYFUNCTION("""COMPUTED_VALUE"""),-2.6831717029197)</f>
        <v>-2.683171703</v>
      </c>
      <c r="M1338" s="166">
        <f t="shared" si="2"/>
        <v>-1.462636788</v>
      </c>
      <c r="N1338" s="167">
        <f t="shared" si="3"/>
        <v>27.96930894</v>
      </c>
      <c r="O1338" s="163">
        <f t="shared" ref="O1338:Q1338" si="1342">rank(I1338,I:I)</f>
        <v>3770</v>
      </c>
      <c r="P1338" s="163">
        <f t="shared" si="1342"/>
        <v>3943</v>
      </c>
      <c r="Q1338" s="163">
        <f t="shared" si="1342"/>
        <v>2262</v>
      </c>
      <c r="R1338" s="163">
        <f>IFERROR(__xludf.DUMMYFUNCTION("RANK(M1338,filter(M:M,C:C=C1338))"),473.0)</f>
        <v>473</v>
      </c>
      <c r="S1338" s="161" t="b">
        <f t="shared" si="5"/>
        <v>0</v>
      </c>
      <c r="T1338" s="161" t="b">
        <f t="array" ref="T1338">index('Query Tool'!B:B,match(H1338,'Query Tool'!C:C,0))</f>
        <v>1</v>
      </c>
      <c r="U1338" s="161" t="b">
        <f t="array" ref="U1338">index('Query Tool'!B:B,match(C1338,'Query Tool'!C:C,0))</f>
        <v>0</v>
      </c>
      <c r="V1338" s="161" t="b">
        <f>F1338&gt;='Query Tool'!C$32</f>
        <v>1</v>
      </c>
      <c r="W1338" s="161" t="b">
        <f t="array" ref="W1338">index(Dropdowns!B:B,match(I1338,Dropdowns!A:A,0))</f>
        <v>1</v>
      </c>
      <c r="X1338" s="161" t="b">
        <f t="array" ref="X1338">index('Query Tool'!B:B,match(D1338,'Query Tool'!C:C,0))</f>
        <v>1</v>
      </c>
      <c r="Y1338" s="161" t="str">
        <f t="shared" si="6"/>
        <v>lavinza01,2015-16</v>
      </c>
      <c r="Z1338" s="168">
        <f t="array" ref="Z1338">iferror(index(I:I,match($A1338&amp;","&amp;index('Year Conversion'!$A:$A,match($C1338,'Year Conversion'!$B:$B,0)),$Y:$Y,0))-I1338,"")</f>
        <v>1</v>
      </c>
      <c r="AA1338" s="168">
        <f t="array" ref="AA1338">iferror(index(J:J,match($A1338&amp;","&amp;index('Year Conversion'!$A:$A,match($C1338,'Year Conversion'!$B:$B,0)),$Y:$Y,0))-J1338,"")</f>
        <v>1.850043718</v>
      </c>
      <c r="AB1338" s="168">
        <f t="array" ref="AB1338">iferror(index(K:K,match($A1338&amp;","&amp;index('Year Conversion'!$A:$A,match($C1338,'Year Conversion'!$B:$B,0)),$Y:$Y,0))-K1338,"")</f>
        <v>0.7060661405</v>
      </c>
      <c r="AC1338" s="168" t="str">
        <f t="shared" si="7"/>
        <v>MIN,2015-16</v>
      </c>
    </row>
    <row r="1339">
      <c r="A1339" s="161" t="str">
        <f>IFERROR(__xludf.DUMMYFUNCTION("""COMPUTED_VALUE"""),"ennisty01")</f>
        <v>ennisty01</v>
      </c>
      <c r="B1339" s="161" t="str">
        <f>IFERROR(__xludf.DUMMYFUNCTION("""COMPUTED_VALUE"""),"Tyler Ennis")</f>
        <v>Tyler Ennis</v>
      </c>
      <c r="C1339" s="162" t="str">
        <f>IFERROR(__xludf.DUMMYFUNCTION("""COMPUTED_VALUE"""),"2015-16")</f>
        <v>2015-16</v>
      </c>
      <c r="D1339" s="163" t="str">
        <f>IFERROR(__xludf.DUMMYFUNCTION("""COMPUTED_VALUE"""),"MIL")</f>
        <v>MIL</v>
      </c>
      <c r="E1339" s="164" t="str">
        <f>IFERROR(__xludf.DUMMYFUNCTION("""COMPUTED_VALUE"""),"Slasher")</f>
        <v>Slasher</v>
      </c>
      <c r="F1339" s="164">
        <f>IFERROR(__xludf.DUMMYFUNCTION("""COMPUTED_VALUE"""),654.478333333333)</f>
        <v>654.4783333</v>
      </c>
      <c r="G1339" s="163">
        <f>IFERROR(__xludf.DUMMYFUNCTION("""COMPUTED_VALUE"""),46.0)</f>
        <v>46</v>
      </c>
      <c r="H1339" s="163" t="str">
        <f>IFERROR(__xludf.DUMMYFUNCTION("""COMPUTED_VALUE"""),"PG")</f>
        <v>PG</v>
      </c>
      <c r="I1339" s="163">
        <f>IFERROR(__xludf.DUMMYFUNCTION("""COMPUTED_VALUE"""),21.0)</f>
        <v>21</v>
      </c>
      <c r="J1339" s="165">
        <f>IFERROR(__xludf.DUMMYFUNCTION("""COMPUTED_VALUE"""),-2.22788003948911)</f>
        <v>-2.227880039</v>
      </c>
      <c r="K1339" s="165">
        <f>IFERROR(__xludf.DUMMYFUNCTION("""COMPUTED_VALUE"""),-1.21371535246425)</f>
        <v>-1.213715352</v>
      </c>
      <c r="L1339" s="165">
        <f>IFERROR(__xludf.DUMMYFUNCTION("""COMPUTED_VALUE"""),-1.01416468702486)</f>
        <v>-1.014164687</v>
      </c>
      <c r="M1339" s="166">
        <f t="shared" si="2"/>
        <v>0.03267445599</v>
      </c>
      <c r="N1339" s="167">
        <f t="shared" si="3"/>
        <v>14.22778986</v>
      </c>
      <c r="O1339" s="163">
        <f t="shared" ref="O1339:Q1339" si="1343">rank(I1339,I:I)</f>
        <v>3528</v>
      </c>
      <c r="P1339" s="163">
        <f t="shared" si="1343"/>
        <v>3617</v>
      </c>
      <c r="Q1339" s="163">
        <f t="shared" si="1343"/>
        <v>3046</v>
      </c>
      <c r="R1339" s="163">
        <f>IFERROR(__xludf.DUMMYFUNCTION("RANK(M1339,filter(M:M,C:C=C1339))"),411.0)</f>
        <v>411</v>
      </c>
      <c r="S1339" s="161" t="b">
        <f t="shared" si="5"/>
        <v>0</v>
      </c>
      <c r="T1339" s="161" t="b">
        <f t="array" ref="T1339">index('Query Tool'!B:B,match(H1339,'Query Tool'!C:C,0))</f>
        <v>1</v>
      </c>
      <c r="U1339" s="161" t="b">
        <f t="array" ref="U1339">index('Query Tool'!B:B,match(C1339,'Query Tool'!C:C,0))</f>
        <v>0</v>
      </c>
      <c r="V1339" s="161" t="b">
        <f>F1339&gt;='Query Tool'!C$32</f>
        <v>1</v>
      </c>
      <c r="W1339" s="161" t="b">
        <f t="array" ref="W1339">index(Dropdowns!B:B,match(I1339,Dropdowns!A:A,0))</f>
        <v>1</v>
      </c>
      <c r="X1339" s="161" t="b">
        <f t="array" ref="X1339">index('Query Tool'!B:B,match(D1339,'Query Tool'!C:C,0))</f>
        <v>1</v>
      </c>
      <c r="Y1339" s="161" t="str">
        <f t="shared" si="6"/>
        <v>ennisty01,2015-16</v>
      </c>
      <c r="Z1339" s="168">
        <f t="array" ref="Z1339">iferror(index(I:I,match($A1339&amp;","&amp;index('Year Conversion'!$A:$A,match($C1339,'Year Conversion'!$B:$B,0)),$Y:$Y,0))-I1339,"")</f>
        <v>1</v>
      </c>
      <c r="AA1339" s="168">
        <f t="array" ref="AA1339">iferror(index(J:J,match($A1339&amp;","&amp;index('Year Conversion'!$A:$A,match($C1339,'Year Conversion'!$B:$B,0)),$Y:$Y,0))-J1339,"")</f>
        <v>1.14957765</v>
      </c>
      <c r="AB1339" s="168">
        <f t="array" ref="AB1339">iferror(index(K:K,match($A1339&amp;","&amp;index('Year Conversion'!$A:$A,match($C1339,'Year Conversion'!$B:$B,0)),$Y:$Y,0))-K1339,"")</f>
        <v>0.2956311121</v>
      </c>
      <c r="AC1339" s="168" t="str">
        <f t="shared" si="7"/>
        <v>MIL,2015-16</v>
      </c>
    </row>
    <row r="1340">
      <c r="A1340" s="161" t="str">
        <f>IFERROR(__xludf.DUMMYFUNCTION("""COMPUTED_VALUE"""),"brownma02")</f>
        <v>brownma02</v>
      </c>
      <c r="B1340" s="161" t="str">
        <f>IFERROR(__xludf.DUMMYFUNCTION("""COMPUTED_VALUE"""),"Markel Brown")</f>
        <v>Markel Brown</v>
      </c>
      <c r="C1340" s="162" t="str">
        <f>IFERROR(__xludf.DUMMYFUNCTION("""COMPUTED_VALUE"""),"2015-16")</f>
        <v>2015-16</v>
      </c>
      <c r="D1340" s="163" t="str">
        <f>IFERROR(__xludf.DUMMYFUNCTION("""COMPUTED_VALUE"""),"BRK")</f>
        <v>BRK</v>
      </c>
      <c r="E1340" s="164" t="str">
        <f>IFERROR(__xludf.DUMMYFUNCTION("""COMPUTED_VALUE"""),"Secondary Ball Handler")</f>
        <v>Secondary Ball Handler</v>
      </c>
      <c r="F1340" s="164">
        <f>IFERROR(__xludf.DUMMYFUNCTION("""COMPUTED_VALUE"""),982.351666666667)</f>
        <v>982.3516667</v>
      </c>
      <c r="G1340" s="163">
        <f>IFERROR(__xludf.DUMMYFUNCTION("""COMPUTED_VALUE"""),62.0)</f>
        <v>62</v>
      </c>
      <c r="H1340" s="163" t="str">
        <f>IFERROR(__xludf.DUMMYFUNCTION("""COMPUTED_VALUE"""),"SG")</f>
        <v>SG</v>
      </c>
      <c r="I1340" s="163">
        <f>IFERROR(__xludf.DUMMYFUNCTION("""COMPUTED_VALUE"""),24.0)</f>
        <v>24</v>
      </c>
      <c r="J1340" s="165">
        <f>IFERROR(__xludf.DUMMYFUNCTION("""COMPUTED_VALUE"""),-1.52086471242263)</f>
        <v>-1.520864712</v>
      </c>
      <c r="K1340" s="165">
        <f>IFERROR(__xludf.DUMMYFUNCTION("""COMPUTED_VALUE"""),-0.15062410643331)</f>
        <v>-0.1506241064</v>
      </c>
      <c r="L1340" s="165">
        <f>IFERROR(__xludf.DUMMYFUNCTION("""COMPUTED_VALUE"""),-1.37024060598932)</f>
        <v>-1.370240606</v>
      </c>
      <c r="M1340" s="166">
        <f t="shared" si="2"/>
        <v>0.5104271892</v>
      </c>
      <c r="N1340" s="167">
        <f t="shared" si="3"/>
        <v>15.84438172</v>
      </c>
      <c r="O1340" s="163">
        <f t="shared" ref="O1340:Q1340" si="1344">rank(I1340,I:I)</f>
        <v>2361</v>
      </c>
      <c r="P1340" s="163">
        <f t="shared" si="1344"/>
        <v>3071</v>
      </c>
      <c r="Q1340" s="163">
        <f t="shared" si="1344"/>
        <v>1477</v>
      </c>
      <c r="R1340" s="163">
        <f>IFERROR(__xludf.DUMMYFUNCTION("RANK(M1340,filter(M:M,C:C=C1340))"),281.0)</f>
        <v>281</v>
      </c>
      <c r="S1340" s="161" t="b">
        <f t="shared" si="5"/>
        <v>0</v>
      </c>
      <c r="T1340" s="161" t="b">
        <f t="array" ref="T1340">index('Query Tool'!B:B,match(H1340,'Query Tool'!C:C,0))</f>
        <v>1</v>
      </c>
      <c r="U1340" s="161" t="b">
        <f t="array" ref="U1340">index('Query Tool'!B:B,match(C1340,'Query Tool'!C:C,0))</f>
        <v>0</v>
      </c>
      <c r="V1340" s="161" t="b">
        <f>F1340&gt;='Query Tool'!C$32</f>
        <v>1</v>
      </c>
      <c r="W1340" s="161" t="b">
        <f t="array" ref="W1340">index(Dropdowns!B:B,match(I1340,Dropdowns!A:A,0))</f>
        <v>1</v>
      </c>
      <c r="X1340" s="161" t="b">
        <f t="array" ref="X1340">index('Query Tool'!B:B,match(D1340,'Query Tool'!C:C,0))</f>
        <v>1</v>
      </c>
      <c r="Y1340" s="161" t="str">
        <f t="shared" si="6"/>
        <v>brownma02,2015-16</v>
      </c>
      <c r="Z1340" s="168" t="str">
        <f t="array" ref="Z1340">iferror(index(I:I,match($A1340&amp;","&amp;index('Year Conversion'!$A:$A,match($C1340,'Year Conversion'!$B:$B,0)),$Y:$Y,0))-I1340,"")</f>
        <v/>
      </c>
      <c r="AA1340" s="168" t="str">
        <f t="array" ref="AA1340">iferror(index(J:J,match($A1340&amp;","&amp;index('Year Conversion'!$A:$A,match($C1340,'Year Conversion'!$B:$B,0)),$Y:$Y,0))-J1340,"")</f>
        <v/>
      </c>
      <c r="AB1340" s="168" t="str">
        <f t="array" ref="AB1340">iferror(index(K:K,match($A1340&amp;","&amp;index('Year Conversion'!$A:$A,match($C1340,'Year Conversion'!$B:$B,0)),$Y:$Y,0))-K1340,"")</f>
        <v/>
      </c>
      <c r="AC1340" s="168" t="str">
        <f t="shared" si="7"/>
        <v>BRK,2015-16</v>
      </c>
    </row>
    <row r="1341">
      <c r="A1341" s="161" t="str">
        <f>IFERROR(__xludf.DUMMYFUNCTION("""COMPUTED_VALUE"""),"paytoel01")</f>
        <v>paytoel01</v>
      </c>
      <c r="B1341" s="161" t="str">
        <f>IFERROR(__xludf.DUMMYFUNCTION("""COMPUTED_VALUE"""),"Elfrid Payton")</f>
        <v>Elfrid Payton</v>
      </c>
      <c r="C1341" s="162" t="str">
        <f>IFERROR(__xludf.DUMMYFUNCTION("""COMPUTED_VALUE"""),"2015-16")</f>
        <v>2015-16</v>
      </c>
      <c r="D1341" s="163" t="str">
        <f>IFERROR(__xludf.DUMMYFUNCTION("""COMPUTED_VALUE"""),"ORL")</f>
        <v>ORL</v>
      </c>
      <c r="E1341" s="164" t="str">
        <f>IFERROR(__xludf.DUMMYFUNCTION("""COMPUTED_VALUE"""),"Slasher")</f>
        <v>Slasher</v>
      </c>
      <c r="F1341" s="164">
        <f>IFERROR(__xludf.DUMMYFUNCTION("""COMPUTED_VALUE"""),2144.92)</f>
        <v>2144.92</v>
      </c>
      <c r="G1341" s="163">
        <f>IFERROR(__xludf.DUMMYFUNCTION("""COMPUTED_VALUE"""),73.0)</f>
        <v>73</v>
      </c>
      <c r="H1341" s="163" t="str">
        <f>IFERROR(__xludf.DUMMYFUNCTION("""COMPUTED_VALUE"""),"PG")</f>
        <v>PG</v>
      </c>
      <c r="I1341" s="163">
        <f>IFERROR(__xludf.DUMMYFUNCTION("""COMPUTED_VALUE"""),21.0)</f>
        <v>21</v>
      </c>
      <c r="J1341" s="165">
        <f>IFERROR(__xludf.DUMMYFUNCTION("""COMPUTED_VALUE"""),-0.340292959547225)</f>
        <v>-0.3402929595</v>
      </c>
      <c r="K1341" s="165">
        <f>IFERROR(__xludf.DUMMYFUNCTION("""COMPUTED_VALUE"""),-0.106836568297594)</f>
        <v>-0.1068365683</v>
      </c>
      <c r="L1341" s="165">
        <f>IFERROR(__xludf.DUMMYFUNCTION("""COMPUTED_VALUE"""),-0.233456391249631)</f>
        <v>-0.2334563912</v>
      </c>
      <c r="M1341" s="166">
        <f t="shared" si="2"/>
        <v>2.814738874</v>
      </c>
      <c r="N1341" s="167">
        <f t="shared" si="3"/>
        <v>29.38246575</v>
      </c>
      <c r="O1341" s="163">
        <f t="shared" ref="O1341:Q1341" si="1345">rank(I1341,I:I)</f>
        <v>3528</v>
      </c>
      <c r="P1341" s="163">
        <f t="shared" si="1345"/>
        <v>1660</v>
      </c>
      <c r="Q1341" s="163">
        <f t="shared" si="1345"/>
        <v>1380</v>
      </c>
      <c r="R1341" s="163">
        <f>IFERROR(__xludf.DUMMYFUNCTION("RANK(M1341,filter(M:M,C:C=C1341))"),123.0)</f>
        <v>123</v>
      </c>
      <c r="S1341" s="161" t="b">
        <f t="shared" si="5"/>
        <v>0</v>
      </c>
      <c r="T1341" s="161" t="b">
        <f t="array" ref="T1341">index('Query Tool'!B:B,match(H1341,'Query Tool'!C:C,0))</f>
        <v>1</v>
      </c>
      <c r="U1341" s="161" t="b">
        <f t="array" ref="U1341">index('Query Tool'!B:B,match(C1341,'Query Tool'!C:C,0))</f>
        <v>0</v>
      </c>
      <c r="V1341" s="161" t="b">
        <f>F1341&gt;='Query Tool'!C$32</f>
        <v>1</v>
      </c>
      <c r="W1341" s="161" t="b">
        <f t="array" ref="W1341">index(Dropdowns!B:B,match(I1341,Dropdowns!A:A,0))</f>
        <v>1</v>
      </c>
      <c r="X1341" s="161" t="b">
        <f t="array" ref="X1341">index('Query Tool'!B:B,match(D1341,'Query Tool'!C:C,0))</f>
        <v>1</v>
      </c>
      <c r="Y1341" s="161" t="str">
        <f t="shared" si="6"/>
        <v>paytoel01,2015-16</v>
      </c>
      <c r="Z1341" s="168">
        <f t="array" ref="Z1341">iferror(index(I:I,match($A1341&amp;","&amp;index('Year Conversion'!$A:$A,match($C1341,'Year Conversion'!$B:$B,0)),$Y:$Y,0))-I1341,"")</f>
        <v>1</v>
      </c>
      <c r="AA1341" s="168">
        <f t="array" ref="AA1341">iferror(index(J:J,match($A1341&amp;","&amp;index('Year Conversion'!$A:$A,match($C1341,'Year Conversion'!$B:$B,0)),$Y:$Y,0))-J1341,"")</f>
        <v>0.7654384347</v>
      </c>
      <c r="AB1341" s="168">
        <f t="array" ref="AB1341">iferror(index(K:K,match($A1341&amp;","&amp;index('Year Conversion'!$A:$A,match($C1341,'Year Conversion'!$B:$B,0)),$Y:$Y,0))-K1341,"")</f>
        <v>1.065309732</v>
      </c>
      <c r="AC1341" s="168" t="str">
        <f t="shared" si="7"/>
        <v>ORL,2015-16</v>
      </c>
    </row>
    <row r="1342">
      <c r="A1342" s="161" t="str">
        <f>IFERROR(__xludf.DUMMYFUNCTION("""COMPUTED_VALUE"""),"clarkjo01")</f>
        <v>clarkjo01</v>
      </c>
      <c r="B1342" s="161" t="str">
        <f>IFERROR(__xludf.DUMMYFUNCTION("""COMPUTED_VALUE"""),"Jordan Clarkson")</f>
        <v>Jordan Clarkson</v>
      </c>
      <c r="C1342" s="162" t="str">
        <f>IFERROR(__xludf.DUMMYFUNCTION("""COMPUTED_VALUE"""),"2015-16")</f>
        <v>2015-16</v>
      </c>
      <c r="D1342" s="163" t="str">
        <f>IFERROR(__xludf.DUMMYFUNCTION("""COMPUTED_VALUE"""),"LAL")</f>
        <v>LAL</v>
      </c>
      <c r="E1342" s="164" t="str">
        <f>IFERROR(__xludf.DUMMYFUNCTION("""COMPUTED_VALUE"""),"Primary Ball Handler")</f>
        <v>Primary Ball Handler</v>
      </c>
      <c r="F1342" s="164">
        <f>IFERROR(__xludf.DUMMYFUNCTION("""COMPUTED_VALUE"""),2552.435)</f>
        <v>2552.435</v>
      </c>
      <c r="G1342" s="163">
        <f>IFERROR(__xludf.DUMMYFUNCTION("""COMPUTED_VALUE"""),79.0)</f>
        <v>79</v>
      </c>
      <c r="H1342" s="163" t="str">
        <f>IFERROR(__xludf.DUMMYFUNCTION("""COMPUTED_VALUE"""),"SG")</f>
        <v>SG</v>
      </c>
      <c r="I1342" s="163">
        <f>IFERROR(__xludf.DUMMYFUNCTION("""COMPUTED_VALUE"""),23.0)</f>
        <v>23</v>
      </c>
      <c r="J1342" s="165">
        <f>IFERROR(__xludf.DUMMYFUNCTION("""COMPUTED_VALUE"""),-2.87105840813396)</f>
        <v>-2.871058408</v>
      </c>
      <c r="K1342" s="165">
        <f>IFERROR(__xludf.DUMMYFUNCTION("""COMPUTED_VALUE"""),-0.12660506385041)</f>
        <v>-0.1266050639</v>
      </c>
      <c r="L1342" s="165">
        <f>IFERROR(__xludf.DUMMYFUNCTION("""COMPUTED_VALUE"""),-2.74445334428355)</f>
        <v>-2.744453344</v>
      </c>
      <c r="M1342" s="166">
        <f t="shared" si="2"/>
        <v>-0.94977738</v>
      </c>
      <c r="N1342" s="167">
        <f t="shared" si="3"/>
        <v>32.3093038</v>
      </c>
      <c r="O1342" s="163">
        <f t="shared" ref="O1342:Q1342" si="1346">rank(I1342,I:I)</f>
        <v>2765</v>
      </c>
      <c r="P1342" s="163">
        <f t="shared" si="1346"/>
        <v>3860</v>
      </c>
      <c r="Q1342" s="163">
        <f t="shared" si="1346"/>
        <v>1426</v>
      </c>
      <c r="R1342" s="163">
        <f>IFERROR(__xludf.DUMMYFUNCTION("RANK(M1342,filter(M:M,C:C=C1342))"),463.0)</f>
        <v>463</v>
      </c>
      <c r="S1342" s="161" t="b">
        <f t="shared" si="5"/>
        <v>0</v>
      </c>
      <c r="T1342" s="161" t="b">
        <f t="array" ref="T1342">index('Query Tool'!B:B,match(H1342,'Query Tool'!C:C,0))</f>
        <v>1</v>
      </c>
      <c r="U1342" s="161" t="b">
        <f t="array" ref="U1342">index('Query Tool'!B:B,match(C1342,'Query Tool'!C:C,0))</f>
        <v>0</v>
      </c>
      <c r="V1342" s="161" t="b">
        <f>F1342&gt;='Query Tool'!C$32</f>
        <v>1</v>
      </c>
      <c r="W1342" s="161" t="b">
        <f t="array" ref="W1342">index(Dropdowns!B:B,match(I1342,Dropdowns!A:A,0))</f>
        <v>1</v>
      </c>
      <c r="X1342" s="161" t="b">
        <f t="array" ref="X1342">index('Query Tool'!B:B,match(D1342,'Query Tool'!C:C,0))</f>
        <v>1</v>
      </c>
      <c r="Y1342" s="161" t="str">
        <f t="shared" si="6"/>
        <v>clarkjo01,2015-16</v>
      </c>
      <c r="Z1342" s="168">
        <f t="array" ref="Z1342">iferror(index(I:I,match($A1342&amp;","&amp;index('Year Conversion'!$A:$A,match($C1342,'Year Conversion'!$B:$B,0)),$Y:$Y,0))-I1342,"")</f>
        <v>1</v>
      </c>
      <c r="AA1342" s="168">
        <f t="array" ref="AA1342">iferror(index(J:J,match($A1342&amp;","&amp;index('Year Conversion'!$A:$A,match($C1342,'Year Conversion'!$B:$B,0)),$Y:$Y,0))-J1342,"")</f>
        <v>-0.1033304622</v>
      </c>
      <c r="AB1342" s="168">
        <f t="array" ref="AB1342">iferror(index(K:K,match($A1342&amp;","&amp;index('Year Conversion'!$A:$A,match($C1342,'Year Conversion'!$B:$B,0)),$Y:$Y,0))-K1342,"")</f>
        <v>-0.4408469661</v>
      </c>
      <c r="AC1342" s="168" t="str">
        <f t="shared" si="7"/>
        <v>LAL,2015-16</v>
      </c>
    </row>
    <row r="1343">
      <c r="A1343" s="161" t="str">
        <f>IFERROR(__xludf.DUMMYFUNCTION("""COMPUTED_VALUE"""),"marblde01")</f>
        <v>marblde01</v>
      </c>
      <c r="B1343" s="161" t="str">
        <f>IFERROR(__xludf.DUMMYFUNCTION("""COMPUTED_VALUE"""),"Devyn Marble")</f>
        <v>Devyn Marble</v>
      </c>
      <c r="C1343" s="162" t="str">
        <f>IFERROR(__xludf.DUMMYFUNCTION("""COMPUTED_VALUE"""),"2015-16")</f>
        <v>2015-16</v>
      </c>
      <c r="D1343" s="163" t="str">
        <f>IFERROR(__xludf.DUMMYFUNCTION("""COMPUTED_VALUE"""),"ORL")</f>
        <v>ORL</v>
      </c>
      <c r="E1343" s="164" t="str">
        <f>IFERROR(__xludf.DUMMYFUNCTION("""COMPUTED_VALUE"""),"Movement Shooter")</f>
        <v>Movement Shooter</v>
      </c>
      <c r="F1343" s="164">
        <f>IFERROR(__xludf.DUMMYFUNCTION("""COMPUTED_VALUE"""),248.746666666667)</f>
        <v>248.7466667</v>
      </c>
      <c r="G1343" s="163">
        <f>IFERROR(__xludf.DUMMYFUNCTION("""COMPUTED_VALUE"""),28.0)</f>
        <v>28</v>
      </c>
      <c r="H1343" s="163" t="str">
        <f>IFERROR(__xludf.DUMMYFUNCTION("""COMPUTED_VALUE"""),"SG")</f>
        <v>SG</v>
      </c>
      <c r="I1343" s="163">
        <f>IFERROR(__xludf.DUMMYFUNCTION("""COMPUTED_VALUE"""),23.0)</f>
        <v>23</v>
      </c>
      <c r="J1343" s="165">
        <f>IFERROR(__xludf.DUMMYFUNCTION("""COMPUTED_VALUE"""),-0.925737536857638)</f>
        <v>-0.9257375369</v>
      </c>
      <c r="K1343" s="165">
        <f>IFERROR(__xludf.DUMMYFUNCTION("""COMPUTED_VALUE"""),-0.847868618870114)</f>
        <v>-0.8478686189</v>
      </c>
      <c r="L1343" s="165">
        <f>IFERROR(__xludf.DUMMYFUNCTION("""COMPUTED_VALUE"""),-0.0778689179875238)</f>
        <v>-0.07786891799</v>
      </c>
      <c r="M1343" s="166">
        <f t="shared" si="2"/>
        <v>0.2284205358</v>
      </c>
      <c r="N1343" s="167">
        <f t="shared" si="3"/>
        <v>8.883809524</v>
      </c>
      <c r="O1343" s="163">
        <f t="shared" ref="O1343:Q1343" si="1347">rank(I1343,I:I)</f>
        <v>2765</v>
      </c>
      <c r="P1343" s="163">
        <f t="shared" si="1347"/>
        <v>2425</v>
      </c>
      <c r="Q1343" s="163">
        <f t="shared" si="1347"/>
        <v>2619</v>
      </c>
      <c r="R1343" s="163">
        <f>IFERROR(__xludf.DUMMYFUNCTION("RANK(M1343,filter(M:M,C:C=C1343))"),337.0)</f>
        <v>337</v>
      </c>
      <c r="S1343" s="161" t="b">
        <f t="shared" si="5"/>
        <v>0</v>
      </c>
      <c r="T1343" s="161" t="b">
        <f t="array" ref="T1343">index('Query Tool'!B:B,match(H1343,'Query Tool'!C:C,0))</f>
        <v>1</v>
      </c>
      <c r="U1343" s="161" t="b">
        <f t="array" ref="U1343">index('Query Tool'!B:B,match(C1343,'Query Tool'!C:C,0))</f>
        <v>0</v>
      </c>
      <c r="V1343" s="161" t="b">
        <f>F1343&gt;='Query Tool'!C$32</f>
        <v>0</v>
      </c>
      <c r="W1343" s="161" t="b">
        <f t="array" ref="W1343">index(Dropdowns!B:B,match(I1343,Dropdowns!A:A,0))</f>
        <v>1</v>
      </c>
      <c r="X1343" s="161" t="b">
        <f t="array" ref="X1343">index('Query Tool'!B:B,match(D1343,'Query Tool'!C:C,0))</f>
        <v>1</v>
      </c>
      <c r="Y1343" s="161" t="str">
        <f t="shared" si="6"/>
        <v>marblde01,2015-16</v>
      </c>
      <c r="Z1343" s="168" t="str">
        <f t="array" ref="Z1343">iferror(index(I:I,match($A1343&amp;","&amp;index('Year Conversion'!$A:$A,match($C1343,'Year Conversion'!$B:$B,0)),$Y:$Y,0))-I1343,"")</f>
        <v/>
      </c>
      <c r="AA1343" s="168" t="str">
        <f t="array" ref="AA1343">iferror(index(J:J,match($A1343&amp;","&amp;index('Year Conversion'!$A:$A,match($C1343,'Year Conversion'!$B:$B,0)),$Y:$Y,0))-J1343,"")</f>
        <v/>
      </c>
      <c r="AB1343" s="168" t="str">
        <f t="array" ref="AB1343">iferror(index(K:K,match($A1343&amp;","&amp;index('Year Conversion'!$A:$A,match($C1343,'Year Conversion'!$B:$B,0)),$Y:$Y,0))-K1343,"")</f>
        <v/>
      </c>
      <c r="AC1343" s="168" t="str">
        <f t="shared" si="7"/>
        <v>ORL,2015-16</v>
      </c>
    </row>
    <row r="1344">
      <c r="A1344" s="161" t="str">
        <f>IFERROR(__xludf.DUMMYFUNCTION("""COMPUTED_VALUE"""),"mcdankj01")</f>
        <v>mcdankj01</v>
      </c>
      <c r="B1344" s="161" t="str">
        <f>IFERROR(__xludf.DUMMYFUNCTION("""COMPUTED_VALUE"""),"KJ McDaniels")</f>
        <v>KJ McDaniels</v>
      </c>
      <c r="C1344" s="162" t="str">
        <f>IFERROR(__xludf.DUMMYFUNCTION("""COMPUTED_VALUE"""),"2015-16")</f>
        <v>2015-16</v>
      </c>
      <c r="D1344" s="163" t="str">
        <f>IFERROR(__xludf.DUMMYFUNCTION("""COMPUTED_VALUE"""),"HOU")</f>
        <v>HOU</v>
      </c>
      <c r="E1344" s="164" t="str">
        <f>IFERROR(__xludf.DUMMYFUNCTION("""COMPUTED_VALUE"""),"Stationary Shooter")</f>
        <v>Stationary Shooter</v>
      </c>
      <c r="F1344" s="164">
        <f>IFERROR(__xludf.DUMMYFUNCTION("""COMPUTED_VALUE"""),235.323333333333)</f>
        <v>235.3233333</v>
      </c>
      <c r="G1344" s="163">
        <f>IFERROR(__xludf.DUMMYFUNCTION("""COMPUTED_VALUE"""),37.0)</f>
        <v>37</v>
      </c>
      <c r="H1344" s="163" t="str">
        <f>IFERROR(__xludf.DUMMYFUNCTION("""COMPUTED_VALUE"""),"SF")</f>
        <v>SF</v>
      </c>
      <c r="I1344" s="163">
        <f>IFERROR(__xludf.DUMMYFUNCTION("""COMPUTED_VALUE"""),22.0)</f>
        <v>22</v>
      </c>
      <c r="J1344" s="165">
        <f>IFERROR(__xludf.DUMMYFUNCTION("""COMPUTED_VALUE"""),-0.551930114329727)</f>
        <v>-0.5519301143</v>
      </c>
      <c r="K1344" s="165">
        <f>IFERROR(__xludf.DUMMYFUNCTION("""COMPUTED_VALUE"""),0.0535974233989285)</f>
        <v>0.0535974234</v>
      </c>
      <c r="L1344" s="165">
        <f>IFERROR(__xludf.DUMMYFUNCTION("""COMPUTED_VALUE"""),-0.605527537728656)</f>
        <v>-0.6055275377</v>
      </c>
      <c r="M1344" s="166">
        <f t="shared" si="2"/>
        <v>0.2752620314</v>
      </c>
      <c r="N1344" s="167">
        <f t="shared" si="3"/>
        <v>6.36009009</v>
      </c>
      <c r="O1344" s="163">
        <f t="shared" ref="O1344:Q1344" si="1348">rank(I1344,I:I)</f>
        <v>3178</v>
      </c>
      <c r="P1344" s="163">
        <f t="shared" si="1348"/>
        <v>1919</v>
      </c>
      <c r="Q1344" s="163">
        <f t="shared" si="1348"/>
        <v>1129</v>
      </c>
      <c r="R1344" s="163">
        <f>IFERROR(__xludf.DUMMYFUNCTION("RANK(M1344,filter(M:M,C:C=C1344))"),322.0)</f>
        <v>322</v>
      </c>
      <c r="S1344" s="161" t="b">
        <f t="shared" si="5"/>
        <v>0</v>
      </c>
      <c r="T1344" s="161" t="b">
        <f t="array" ref="T1344">index('Query Tool'!B:B,match(H1344,'Query Tool'!C:C,0))</f>
        <v>1</v>
      </c>
      <c r="U1344" s="161" t="b">
        <f t="array" ref="U1344">index('Query Tool'!B:B,match(C1344,'Query Tool'!C:C,0))</f>
        <v>0</v>
      </c>
      <c r="V1344" s="161" t="b">
        <f>F1344&gt;='Query Tool'!C$32</f>
        <v>0</v>
      </c>
      <c r="W1344" s="161" t="b">
        <f t="array" ref="W1344">index(Dropdowns!B:B,match(I1344,Dropdowns!A:A,0))</f>
        <v>1</v>
      </c>
      <c r="X1344" s="161" t="b">
        <f t="array" ref="X1344">index('Query Tool'!B:B,match(D1344,'Query Tool'!C:C,0))</f>
        <v>1</v>
      </c>
      <c r="Y1344" s="161" t="str">
        <f t="shared" si="6"/>
        <v>mcdankj01,2015-16</v>
      </c>
      <c r="Z1344" s="168">
        <f t="array" ref="Z1344">iferror(index(I:I,match($A1344&amp;","&amp;index('Year Conversion'!$A:$A,match($C1344,'Year Conversion'!$B:$B,0)),$Y:$Y,0))-I1344,"")</f>
        <v>1</v>
      </c>
      <c r="AA1344" s="168">
        <f t="array" ref="AA1344">iferror(index(J:J,match($A1344&amp;","&amp;index('Year Conversion'!$A:$A,match($C1344,'Year Conversion'!$B:$B,0)),$Y:$Y,0))-J1344,"")</f>
        <v>-0.8269637267</v>
      </c>
      <c r="AB1344" s="168">
        <f t="array" ref="AB1344">iferror(index(K:K,match($A1344&amp;","&amp;index('Year Conversion'!$A:$A,match($C1344,'Year Conversion'!$B:$B,0)),$Y:$Y,0))-K1344,"")</f>
        <v>-1.023665553</v>
      </c>
      <c r="AC1344" s="168" t="str">
        <f t="shared" si="7"/>
        <v>HOU,2015-16</v>
      </c>
    </row>
    <row r="1345">
      <c r="A1345" s="161" t="str">
        <f>IFERROR(__xludf.DUMMYFUNCTION("""COMPUTED_VALUE"""),"wilcocj01")</f>
        <v>wilcocj01</v>
      </c>
      <c r="B1345" s="161" t="str">
        <f>IFERROR(__xludf.DUMMYFUNCTION("""COMPUTED_VALUE"""),"C.J. Wilcox")</f>
        <v>C.J. Wilcox</v>
      </c>
      <c r="C1345" s="162" t="str">
        <f>IFERROR(__xludf.DUMMYFUNCTION("""COMPUTED_VALUE"""),"2015-16")</f>
        <v>2015-16</v>
      </c>
      <c r="D1345" s="163" t="str">
        <f>IFERROR(__xludf.DUMMYFUNCTION("""COMPUTED_VALUE"""),"LAC")</f>
        <v>LAC</v>
      </c>
      <c r="E1345" s="164" t="str">
        <f>IFERROR(__xludf.DUMMYFUNCTION("""COMPUTED_VALUE"""),"Movement Shooter")</f>
        <v>Movement Shooter</v>
      </c>
      <c r="F1345" s="164">
        <f>IFERROR(__xludf.DUMMYFUNCTION("""COMPUTED_VALUE"""),166.818333333333)</f>
        <v>166.8183333</v>
      </c>
      <c r="G1345" s="163">
        <f>IFERROR(__xludf.DUMMYFUNCTION("""COMPUTED_VALUE"""),23.0)</f>
        <v>23</v>
      </c>
      <c r="H1345" s="163" t="str">
        <f>IFERROR(__xludf.DUMMYFUNCTION("""COMPUTED_VALUE"""),"SG")</f>
        <v>SG</v>
      </c>
      <c r="I1345" s="163">
        <f>IFERROR(__xludf.DUMMYFUNCTION("""COMPUTED_VALUE"""),25.0)</f>
        <v>25</v>
      </c>
      <c r="J1345" s="165">
        <f>IFERROR(__xludf.DUMMYFUNCTION("""COMPUTED_VALUE"""),-1.00934099800794)</f>
        <v>-1.009340998</v>
      </c>
      <c r="K1345" s="165">
        <f>IFERROR(__xludf.DUMMYFUNCTION("""COMPUTED_VALUE"""),-0.278271162590664)</f>
        <v>-0.2782711626</v>
      </c>
      <c r="L1345" s="165">
        <f>IFERROR(__xludf.DUMMYFUNCTION("""COMPUTED_VALUE"""),-0.731069835417274)</f>
        <v>-0.7310698354</v>
      </c>
      <c r="M1345" s="166">
        <f t="shared" si="2"/>
        <v>0.1438208711</v>
      </c>
      <c r="N1345" s="167">
        <f t="shared" si="3"/>
        <v>7.252971014</v>
      </c>
      <c r="O1345" s="163">
        <f t="shared" ref="O1345:Q1345" si="1349">rank(I1345,I:I)</f>
        <v>1995</v>
      </c>
      <c r="P1345" s="163">
        <f t="shared" si="1349"/>
        <v>2511</v>
      </c>
      <c r="Q1345" s="163">
        <f t="shared" si="1349"/>
        <v>1723</v>
      </c>
      <c r="R1345" s="163">
        <f>IFERROR(__xludf.DUMMYFUNCTION("RANK(M1345,filter(M:M,C:C=C1345))"),356.0)</f>
        <v>356</v>
      </c>
      <c r="S1345" s="161" t="b">
        <f t="shared" si="5"/>
        <v>0</v>
      </c>
      <c r="T1345" s="161" t="b">
        <f t="array" ref="T1345">index('Query Tool'!B:B,match(H1345,'Query Tool'!C:C,0))</f>
        <v>1</v>
      </c>
      <c r="U1345" s="161" t="b">
        <f t="array" ref="U1345">index('Query Tool'!B:B,match(C1345,'Query Tool'!C:C,0))</f>
        <v>0</v>
      </c>
      <c r="V1345" s="161" t="b">
        <f>F1345&gt;='Query Tool'!C$32</f>
        <v>0</v>
      </c>
      <c r="W1345" s="161" t="b">
        <f t="array" ref="W1345">index(Dropdowns!B:B,match(I1345,Dropdowns!A:A,0))</f>
        <v>1</v>
      </c>
      <c r="X1345" s="161" t="b">
        <f t="array" ref="X1345">index('Query Tool'!B:B,match(D1345,'Query Tool'!C:C,0))</f>
        <v>1</v>
      </c>
      <c r="Y1345" s="161" t="str">
        <f t="shared" si="6"/>
        <v>wilcocj01,2015-16</v>
      </c>
      <c r="Z1345" s="168">
        <f t="array" ref="Z1345">iferror(index(I:I,match($A1345&amp;","&amp;index('Year Conversion'!$A:$A,match($C1345,'Year Conversion'!$B:$B,0)),$Y:$Y,0))-I1345,"")</f>
        <v>1</v>
      </c>
      <c r="AA1345" s="168">
        <f t="array" ref="AA1345">iferror(index(J:J,match($A1345&amp;","&amp;index('Year Conversion'!$A:$A,match($C1345,'Year Conversion'!$B:$B,0)),$Y:$Y,0))-J1345,"")</f>
        <v>0.2099112653</v>
      </c>
      <c r="AB1345" s="168">
        <f t="array" ref="AB1345">iferror(index(K:K,match($A1345&amp;","&amp;index('Year Conversion'!$A:$A,match($C1345,'Year Conversion'!$B:$B,0)),$Y:$Y,0))-K1345,"")</f>
        <v>-0.3083527827</v>
      </c>
      <c r="AC1345" s="168" t="str">
        <f t="shared" si="7"/>
        <v>LAC,2015-16</v>
      </c>
    </row>
    <row r="1346">
      <c r="A1346" s="161" t="str">
        <f>IFERROR(__xludf.DUMMYFUNCTION("""COMPUTED_VALUE"""),"harriga01")</f>
        <v>harriga01</v>
      </c>
      <c r="B1346" s="161" t="str">
        <f>IFERROR(__xludf.DUMMYFUNCTION("""COMPUTED_VALUE"""),"Gary Harris")</f>
        <v>Gary Harris</v>
      </c>
      <c r="C1346" s="162" t="str">
        <f>IFERROR(__xludf.DUMMYFUNCTION("""COMPUTED_VALUE"""),"2015-16")</f>
        <v>2015-16</v>
      </c>
      <c r="D1346" s="163" t="str">
        <f>IFERROR(__xludf.DUMMYFUNCTION("""COMPUTED_VALUE"""),"DEN")</f>
        <v>DEN</v>
      </c>
      <c r="E1346" s="164" t="str">
        <f>IFERROR(__xludf.DUMMYFUNCTION("""COMPUTED_VALUE"""),"Movement Shooter")</f>
        <v>Movement Shooter</v>
      </c>
      <c r="F1346" s="164">
        <f>IFERROR(__xludf.DUMMYFUNCTION("""COMPUTED_VALUE"""),2438.63666666667)</f>
        <v>2438.636667</v>
      </c>
      <c r="G1346" s="163">
        <f>IFERROR(__xludf.DUMMYFUNCTION("""COMPUTED_VALUE"""),76.0)</f>
        <v>76</v>
      </c>
      <c r="H1346" s="163" t="str">
        <f>IFERROR(__xludf.DUMMYFUNCTION("""COMPUTED_VALUE"""),"SG")</f>
        <v>SG</v>
      </c>
      <c r="I1346" s="163">
        <f>IFERROR(__xludf.DUMMYFUNCTION("""COMPUTED_VALUE"""),21.0)</f>
        <v>21</v>
      </c>
      <c r="J1346" s="165">
        <f>IFERROR(__xludf.DUMMYFUNCTION("""COMPUTED_VALUE"""),-0.291413312281905)</f>
        <v>-0.2914133123</v>
      </c>
      <c r="K1346" s="165">
        <f>IFERROR(__xludf.DUMMYFUNCTION("""COMPUTED_VALUE"""),0.611404705674078)</f>
        <v>0.6114047057</v>
      </c>
      <c r="L1346" s="165">
        <f>IFERROR(__xludf.DUMMYFUNCTION("""COMPUTED_VALUE"""),-0.902818017955984)</f>
        <v>-0.902818018</v>
      </c>
      <c r="M1346" s="166">
        <f t="shared" si="2"/>
        <v>3.280507582</v>
      </c>
      <c r="N1346" s="167">
        <f t="shared" si="3"/>
        <v>32.08732456</v>
      </c>
      <c r="O1346" s="163">
        <f t="shared" ref="O1346:Q1346" si="1350">rank(I1346,I:I)</f>
        <v>3528</v>
      </c>
      <c r="P1346" s="163">
        <f t="shared" si="1350"/>
        <v>1599</v>
      </c>
      <c r="Q1346" s="163">
        <f t="shared" si="1350"/>
        <v>701</v>
      </c>
      <c r="R1346" s="163">
        <f>IFERROR(__xludf.DUMMYFUNCTION("RANK(M1346,filter(M:M,C:C=C1346))"),109.0)</f>
        <v>109</v>
      </c>
      <c r="S1346" s="161" t="b">
        <f t="shared" si="5"/>
        <v>0</v>
      </c>
      <c r="T1346" s="161" t="b">
        <f t="array" ref="T1346">index('Query Tool'!B:B,match(H1346,'Query Tool'!C:C,0))</f>
        <v>1</v>
      </c>
      <c r="U1346" s="161" t="b">
        <f t="array" ref="U1346">index('Query Tool'!B:B,match(C1346,'Query Tool'!C:C,0))</f>
        <v>0</v>
      </c>
      <c r="V1346" s="161" t="b">
        <f>F1346&gt;='Query Tool'!C$32</f>
        <v>1</v>
      </c>
      <c r="W1346" s="161" t="b">
        <f t="array" ref="W1346">index(Dropdowns!B:B,match(I1346,Dropdowns!A:A,0))</f>
        <v>1</v>
      </c>
      <c r="X1346" s="161" t="b">
        <f t="array" ref="X1346">index('Query Tool'!B:B,match(D1346,'Query Tool'!C:C,0))</f>
        <v>1</v>
      </c>
      <c r="Y1346" s="161" t="str">
        <f t="shared" si="6"/>
        <v>harriga01,2015-16</v>
      </c>
      <c r="Z1346" s="168">
        <f t="array" ref="Z1346">iferror(index(I:I,match($A1346&amp;","&amp;index('Year Conversion'!$A:$A,match($C1346,'Year Conversion'!$B:$B,0)),$Y:$Y,0))-I1346,"")</f>
        <v>1</v>
      </c>
      <c r="AA1346" s="168">
        <f t="array" ref="AA1346">iferror(index(J:J,match($A1346&amp;","&amp;index('Year Conversion'!$A:$A,match($C1346,'Year Conversion'!$B:$B,0)),$Y:$Y,0))-J1346,"")</f>
        <v>0.8362237482</v>
      </c>
      <c r="AB1346" s="168">
        <f t="array" ref="AB1346">iferror(index(K:K,match($A1346&amp;","&amp;index('Year Conversion'!$A:$A,match($C1346,'Year Conversion'!$B:$B,0)),$Y:$Y,0))-K1346,"")</f>
        <v>0.9659486451</v>
      </c>
      <c r="AC1346" s="168" t="str">
        <f t="shared" si="7"/>
        <v>DEN,2015-16</v>
      </c>
    </row>
    <row r="1347">
      <c r="A1347" s="161" t="str">
        <f>IFERROR(__xludf.DUMMYFUNCTION("""COMPUTED_VALUE"""),"dinwisp01")</f>
        <v>dinwisp01</v>
      </c>
      <c r="B1347" s="161" t="str">
        <f>IFERROR(__xludf.DUMMYFUNCTION("""COMPUTED_VALUE"""),"Spencer Dinwiddie")</f>
        <v>Spencer Dinwiddie</v>
      </c>
      <c r="C1347" s="162" t="str">
        <f>IFERROR(__xludf.DUMMYFUNCTION("""COMPUTED_VALUE"""),"2015-16")</f>
        <v>2015-16</v>
      </c>
      <c r="D1347" s="163" t="str">
        <f>IFERROR(__xludf.DUMMYFUNCTION("""COMPUTED_VALUE"""),"DET")</f>
        <v>DET</v>
      </c>
      <c r="E1347" s="164" t="str">
        <f>IFERROR(__xludf.DUMMYFUNCTION("""COMPUTED_VALUE"""),"Shot Creator")</f>
        <v>Shot Creator</v>
      </c>
      <c r="F1347" s="164">
        <f>IFERROR(__xludf.DUMMYFUNCTION("""COMPUTED_VALUE"""),159.23)</f>
        <v>159.23</v>
      </c>
      <c r="G1347" s="163">
        <f>IFERROR(__xludf.DUMMYFUNCTION("""COMPUTED_VALUE"""),12.0)</f>
        <v>12</v>
      </c>
      <c r="H1347" s="163" t="str">
        <f>IFERROR(__xludf.DUMMYFUNCTION("""COMPUTED_VALUE"""),"PG")</f>
        <v>PG</v>
      </c>
      <c r="I1347" s="163">
        <f>IFERROR(__xludf.DUMMYFUNCTION("""COMPUTED_VALUE"""),22.0)</f>
        <v>22</v>
      </c>
      <c r="J1347" s="165">
        <f>IFERROR(__xludf.DUMMYFUNCTION("""COMPUTED_VALUE"""),-0.148611212838596)</f>
        <v>-0.1486112128</v>
      </c>
      <c r="K1347" s="165">
        <f>IFERROR(__xludf.DUMMYFUNCTION("""COMPUTED_VALUE"""),-0.0131337766455512)</f>
        <v>-0.01313377665</v>
      </c>
      <c r="L1347" s="165">
        <f>IFERROR(__xludf.DUMMYFUNCTION("""COMPUTED_VALUE"""),-0.135477436193044)</f>
        <v>-0.1354774362</v>
      </c>
      <c r="M1347" s="166">
        <f t="shared" si="2"/>
        <v>0.2295264742</v>
      </c>
      <c r="N1347" s="167">
        <f t="shared" si="3"/>
        <v>13.26916667</v>
      </c>
      <c r="O1347" s="163">
        <f t="shared" ref="O1347:Q1347" si="1351">rank(I1347,I:I)</f>
        <v>3178</v>
      </c>
      <c r="P1347" s="163">
        <f t="shared" si="1351"/>
        <v>1439</v>
      </c>
      <c r="Q1347" s="163">
        <f t="shared" si="1351"/>
        <v>1219</v>
      </c>
      <c r="R1347" s="163">
        <f>IFERROR(__xludf.DUMMYFUNCTION("RANK(M1347,filter(M:M,C:C=C1347))"),336.0)</f>
        <v>336</v>
      </c>
      <c r="S1347" s="161" t="b">
        <f t="shared" si="5"/>
        <v>0</v>
      </c>
      <c r="T1347" s="161" t="b">
        <f t="array" ref="T1347">index('Query Tool'!B:B,match(H1347,'Query Tool'!C:C,0))</f>
        <v>1</v>
      </c>
      <c r="U1347" s="161" t="b">
        <f t="array" ref="U1347">index('Query Tool'!B:B,match(C1347,'Query Tool'!C:C,0))</f>
        <v>0</v>
      </c>
      <c r="V1347" s="161" t="b">
        <f>F1347&gt;='Query Tool'!C$32</f>
        <v>0</v>
      </c>
      <c r="W1347" s="161" t="b">
        <f t="array" ref="W1347">index(Dropdowns!B:B,match(I1347,Dropdowns!A:A,0))</f>
        <v>1</v>
      </c>
      <c r="X1347" s="161" t="b">
        <f t="array" ref="X1347">index('Query Tool'!B:B,match(D1347,'Query Tool'!C:C,0))</f>
        <v>1</v>
      </c>
      <c r="Y1347" s="161" t="str">
        <f t="shared" si="6"/>
        <v>dinwisp01,2015-16</v>
      </c>
      <c r="Z1347" s="168">
        <f t="array" ref="Z1347">iferror(index(I:I,match($A1347&amp;","&amp;index('Year Conversion'!$A:$A,match($C1347,'Year Conversion'!$B:$B,0)),$Y:$Y,0))-I1347,"")</f>
        <v>1</v>
      </c>
      <c r="AA1347" s="168">
        <f t="array" ref="AA1347">iferror(index(J:J,match($A1347&amp;","&amp;index('Year Conversion'!$A:$A,match($C1347,'Year Conversion'!$B:$B,0)),$Y:$Y,0))-J1347,"")</f>
        <v>0.09184589195</v>
      </c>
      <c r="AB1347" s="168">
        <f t="array" ref="AB1347">iferror(index(K:K,match($A1347&amp;","&amp;index('Year Conversion'!$A:$A,match($C1347,'Year Conversion'!$B:$B,0)),$Y:$Y,0))-K1347,"")</f>
        <v>-0.5245331849</v>
      </c>
      <c r="AC1347" s="168" t="str">
        <f t="shared" si="7"/>
        <v>DET,2015-16</v>
      </c>
    </row>
    <row r="1348">
      <c r="A1348" s="161" t="str">
        <f>IFERROR(__xludf.DUMMYFUNCTION("""COMPUTED_VALUE"""),"stausni01")</f>
        <v>stausni01</v>
      </c>
      <c r="B1348" s="161" t="str">
        <f>IFERROR(__xludf.DUMMYFUNCTION("""COMPUTED_VALUE"""),"Nik Stauskas")</f>
        <v>Nik Stauskas</v>
      </c>
      <c r="C1348" s="162" t="str">
        <f>IFERROR(__xludf.DUMMYFUNCTION("""COMPUTED_VALUE"""),"2015-16")</f>
        <v>2015-16</v>
      </c>
      <c r="D1348" s="163" t="str">
        <f>IFERROR(__xludf.DUMMYFUNCTION("""COMPUTED_VALUE"""),"PHI")</f>
        <v>PHI</v>
      </c>
      <c r="E1348" s="164" t="str">
        <f>IFERROR(__xludf.DUMMYFUNCTION("""COMPUTED_VALUE"""),"Stationary Shooter")</f>
        <v>Stationary Shooter</v>
      </c>
      <c r="F1348" s="164">
        <f>IFERROR(__xludf.DUMMYFUNCTION("""COMPUTED_VALUE"""),1809.05)</f>
        <v>1809.05</v>
      </c>
      <c r="G1348" s="163">
        <f>IFERROR(__xludf.DUMMYFUNCTION("""COMPUTED_VALUE"""),73.0)</f>
        <v>73</v>
      </c>
      <c r="H1348" s="163" t="str">
        <f>IFERROR(__xludf.DUMMYFUNCTION("""COMPUTED_VALUE"""),"SG")</f>
        <v>SG</v>
      </c>
      <c r="I1348" s="163">
        <f>IFERROR(__xludf.DUMMYFUNCTION("""COMPUTED_VALUE"""),22.0)</f>
        <v>22</v>
      </c>
      <c r="J1348" s="165">
        <f>IFERROR(__xludf.DUMMYFUNCTION("""COMPUTED_VALUE"""),-2.40190679394424)</f>
        <v>-2.401906794</v>
      </c>
      <c r="K1348" s="165">
        <f>IFERROR(__xludf.DUMMYFUNCTION("""COMPUTED_VALUE"""),-1.03718434408127)</f>
        <v>-1.037184344</v>
      </c>
      <c r="L1348" s="165">
        <f>IFERROR(__xludf.DUMMYFUNCTION("""COMPUTED_VALUE"""),-1.36472244986297)</f>
        <v>-1.36472245</v>
      </c>
      <c r="M1348" s="166">
        <f t="shared" si="2"/>
        <v>-0.1172620917</v>
      </c>
      <c r="N1348" s="167">
        <f t="shared" si="3"/>
        <v>24.78150685</v>
      </c>
      <c r="O1348" s="163">
        <f t="shared" ref="O1348:Q1348" si="1352">rank(I1348,I:I)</f>
        <v>3178</v>
      </c>
      <c r="P1348" s="163">
        <f t="shared" si="1352"/>
        <v>3719</v>
      </c>
      <c r="Q1348" s="163">
        <f t="shared" si="1352"/>
        <v>2854</v>
      </c>
      <c r="R1348" s="163">
        <f>IFERROR(__xludf.DUMMYFUNCTION("RANK(M1348,filter(M:M,C:C=C1348))"),440.0)</f>
        <v>440</v>
      </c>
      <c r="S1348" s="161" t="b">
        <f t="shared" si="5"/>
        <v>0</v>
      </c>
      <c r="T1348" s="161" t="b">
        <f t="array" ref="T1348">index('Query Tool'!B:B,match(H1348,'Query Tool'!C:C,0))</f>
        <v>1</v>
      </c>
      <c r="U1348" s="161" t="b">
        <f t="array" ref="U1348">index('Query Tool'!B:B,match(C1348,'Query Tool'!C:C,0))</f>
        <v>0</v>
      </c>
      <c r="V1348" s="161" t="b">
        <f>F1348&gt;='Query Tool'!C$32</f>
        <v>1</v>
      </c>
      <c r="W1348" s="161" t="b">
        <f t="array" ref="W1348">index(Dropdowns!B:B,match(I1348,Dropdowns!A:A,0))</f>
        <v>1</v>
      </c>
      <c r="X1348" s="161" t="b">
        <f t="array" ref="X1348">index('Query Tool'!B:B,match(D1348,'Query Tool'!C:C,0))</f>
        <v>1</v>
      </c>
      <c r="Y1348" s="161" t="str">
        <f t="shared" si="6"/>
        <v>stausni01,2015-16</v>
      </c>
      <c r="Z1348" s="168">
        <f t="array" ref="Z1348">iferror(index(I:I,match($A1348&amp;","&amp;index('Year Conversion'!$A:$A,match($C1348,'Year Conversion'!$B:$B,0)),$Y:$Y,0))-I1348,"")</f>
        <v>1</v>
      </c>
      <c r="AA1348" s="168">
        <f t="array" ref="AA1348">iferror(index(J:J,match($A1348&amp;","&amp;index('Year Conversion'!$A:$A,match($C1348,'Year Conversion'!$B:$B,0)),$Y:$Y,0))-J1348,"")</f>
        <v>-0.762539912</v>
      </c>
      <c r="AB1348" s="168">
        <f t="array" ref="AB1348">iferror(index(K:K,match($A1348&amp;","&amp;index('Year Conversion'!$A:$A,match($C1348,'Year Conversion'!$B:$B,0)),$Y:$Y,0))-K1348,"")</f>
        <v>-0.1680589192</v>
      </c>
      <c r="AC1348" s="168" t="str">
        <f t="shared" si="7"/>
        <v>PHI,2015-16</v>
      </c>
    </row>
    <row r="1349">
      <c r="A1349" s="161" t="str">
        <f>IFERROR(__xludf.DUMMYFUNCTION("""COMPUTED_VALUE"""),"hoodro01")</f>
        <v>hoodro01</v>
      </c>
      <c r="B1349" s="161" t="str">
        <f>IFERROR(__xludf.DUMMYFUNCTION("""COMPUTED_VALUE"""),"Rodney Hood")</f>
        <v>Rodney Hood</v>
      </c>
      <c r="C1349" s="162" t="str">
        <f>IFERROR(__xludf.DUMMYFUNCTION("""COMPUTED_VALUE"""),"2015-16")</f>
        <v>2015-16</v>
      </c>
      <c r="D1349" s="163" t="str">
        <f>IFERROR(__xludf.DUMMYFUNCTION("""COMPUTED_VALUE"""),"UTA")</f>
        <v>UTA</v>
      </c>
      <c r="E1349" s="164" t="str">
        <f>IFERROR(__xludf.DUMMYFUNCTION("""COMPUTED_VALUE"""),"Secondary Ball Handler")</f>
        <v>Secondary Ball Handler</v>
      </c>
      <c r="F1349" s="164">
        <f>IFERROR(__xludf.DUMMYFUNCTION("""COMPUTED_VALUE"""),2541.01666666667)</f>
        <v>2541.016667</v>
      </c>
      <c r="G1349" s="163">
        <f>IFERROR(__xludf.DUMMYFUNCTION("""COMPUTED_VALUE"""),79.0)</f>
        <v>79</v>
      </c>
      <c r="H1349" s="163" t="str">
        <f>IFERROR(__xludf.DUMMYFUNCTION("""COMPUTED_VALUE"""),"SG")</f>
        <v>SG</v>
      </c>
      <c r="I1349" s="163">
        <f>IFERROR(__xludf.DUMMYFUNCTION("""COMPUTED_VALUE"""),23.0)</f>
        <v>23</v>
      </c>
      <c r="J1349" s="165">
        <f>IFERROR(__xludf.DUMMYFUNCTION("""COMPUTED_VALUE"""),0.375984121956008)</f>
        <v>0.375984122</v>
      </c>
      <c r="K1349" s="165">
        <f>IFERROR(__xludf.DUMMYFUNCTION("""COMPUTED_VALUE"""),0.963298141448063)</f>
        <v>0.9632981414</v>
      </c>
      <c r="L1349" s="165">
        <f>IFERROR(__xludf.DUMMYFUNCTION("""COMPUTED_VALUE"""),-0.587314019492055)</f>
        <v>-0.5873140195</v>
      </c>
      <c r="M1349" s="166">
        <f t="shared" si="2"/>
        <v>4.561382994</v>
      </c>
      <c r="N1349" s="167">
        <f t="shared" si="3"/>
        <v>32.16476793</v>
      </c>
      <c r="O1349" s="163">
        <f t="shared" ref="O1349:Q1349" si="1353">rank(I1349,I:I)</f>
        <v>2765</v>
      </c>
      <c r="P1349" s="163">
        <f t="shared" si="1353"/>
        <v>967</v>
      </c>
      <c r="Q1349" s="163">
        <f t="shared" si="1353"/>
        <v>521</v>
      </c>
      <c r="R1349" s="163">
        <f>IFERROR(__xludf.DUMMYFUNCTION("RANK(M1349,filter(M:M,C:C=C1349))"),73.0)</f>
        <v>73</v>
      </c>
      <c r="S1349" s="161" t="b">
        <f t="shared" si="5"/>
        <v>0</v>
      </c>
      <c r="T1349" s="161" t="b">
        <f t="array" ref="T1349">index('Query Tool'!B:B,match(H1349,'Query Tool'!C:C,0))</f>
        <v>1</v>
      </c>
      <c r="U1349" s="161" t="b">
        <f t="array" ref="U1349">index('Query Tool'!B:B,match(C1349,'Query Tool'!C:C,0))</f>
        <v>0</v>
      </c>
      <c r="V1349" s="161" t="b">
        <f>F1349&gt;='Query Tool'!C$32</f>
        <v>1</v>
      </c>
      <c r="W1349" s="161" t="b">
        <f t="array" ref="W1349">index(Dropdowns!B:B,match(I1349,Dropdowns!A:A,0))</f>
        <v>1</v>
      </c>
      <c r="X1349" s="161" t="b">
        <f t="array" ref="X1349">index('Query Tool'!B:B,match(D1349,'Query Tool'!C:C,0))</f>
        <v>1</v>
      </c>
      <c r="Y1349" s="161" t="str">
        <f t="shared" si="6"/>
        <v>hoodro01,2015-16</v>
      </c>
      <c r="Z1349" s="168">
        <f t="array" ref="Z1349">iferror(index(I:I,match($A1349&amp;","&amp;index('Year Conversion'!$A:$A,match($C1349,'Year Conversion'!$B:$B,0)),$Y:$Y,0))-I1349,"")</f>
        <v>1</v>
      </c>
      <c r="AA1349" s="168">
        <f t="array" ref="AA1349">iferror(index(J:J,match($A1349&amp;","&amp;index('Year Conversion'!$A:$A,match($C1349,'Year Conversion'!$B:$B,0)),$Y:$Y,0))-J1349,"")</f>
        <v>-0.7417948599</v>
      </c>
      <c r="AB1349" s="168">
        <f t="array" ref="AB1349">iferror(index(K:K,match($A1349&amp;","&amp;index('Year Conversion'!$A:$A,match($C1349,'Year Conversion'!$B:$B,0)),$Y:$Y,0))-K1349,"")</f>
        <v>-1.749190699</v>
      </c>
      <c r="AC1349" s="168" t="str">
        <f t="shared" si="7"/>
        <v>UTA,2015-16</v>
      </c>
    </row>
    <row r="1350">
      <c r="A1350" s="161" t="str">
        <f>IFERROR(__xludf.DUMMYFUNCTION("""COMPUTED_VALUE"""),"adamsjo01")</f>
        <v>adamsjo01</v>
      </c>
      <c r="B1350" s="161" t="str">
        <f>IFERROR(__xludf.DUMMYFUNCTION("""COMPUTED_VALUE"""),"Jordan Adams")</f>
        <v>Jordan Adams</v>
      </c>
      <c r="C1350" s="162" t="str">
        <f>IFERROR(__xludf.DUMMYFUNCTION("""COMPUTED_VALUE"""),"2015-16")</f>
        <v>2015-16</v>
      </c>
      <c r="D1350" s="163" t="str">
        <f>IFERROR(__xludf.DUMMYFUNCTION("""COMPUTED_VALUE"""),"MEM")</f>
        <v>MEM</v>
      </c>
      <c r="E1350" s="164" t="str">
        <f>IFERROR(__xludf.DUMMYFUNCTION("""COMPUTED_VALUE"""),"Off Screen Shooter")</f>
        <v>Off Screen Shooter</v>
      </c>
      <c r="F1350" s="164">
        <f>IFERROR(__xludf.DUMMYFUNCTION("""COMPUTED_VALUE"""),14.6666666666667)</f>
        <v>14.66666667</v>
      </c>
      <c r="G1350" s="163">
        <f>IFERROR(__xludf.DUMMYFUNCTION("""COMPUTED_VALUE"""),2.0)</f>
        <v>2</v>
      </c>
      <c r="H1350" s="163" t="str">
        <f>IFERROR(__xludf.DUMMYFUNCTION("""COMPUTED_VALUE"""),"SG")</f>
        <v>SG</v>
      </c>
      <c r="I1350" s="163">
        <f>IFERROR(__xludf.DUMMYFUNCTION("""COMPUTED_VALUE"""),21.0)</f>
        <v>21</v>
      </c>
      <c r="J1350" s="165">
        <f>IFERROR(__xludf.DUMMYFUNCTION("""COMPUTED_VALUE"""),-0.123110005917442)</f>
        <v>-0.1231100059</v>
      </c>
      <c r="K1350" s="165">
        <f>IFERROR(__xludf.DUMMYFUNCTION("""COMPUTED_VALUE"""),-0.00214866610894261)</f>
        <v>-0.002148666109</v>
      </c>
      <c r="L1350" s="165">
        <f>IFERROR(__xludf.DUMMYFUNCTION("""COMPUTED_VALUE"""),-0.1209613398085)</f>
        <v>-0.1209613398</v>
      </c>
      <c r="M1350" s="166">
        <f t="shared" si="2"/>
        <v>0.02139381056</v>
      </c>
      <c r="N1350" s="167">
        <f t="shared" si="3"/>
        <v>7.333333333</v>
      </c>
      <c r="O1350" s="163">
        <f t="shared" ref="O1350:Q1350" si="1354">rank(I1350,I:I)</f>
        <v>3528</v>
      </c>
      <c r="P1350" s="163">
        <f t="shared" si="1354"/>
        <v>1406</v>
      </c>
      <c r="Q1350" s="163">
        <f t="shared" si="1354"/>
        <v>1203</v>
      </c>
      <c r="R1350" s="163">
        <f>IFERROR(__xludf.DUMMYFUNCTION("RANK(M1350,filter(M:M,C:C=C1350))"),416.0)</f>
        <v>416</v>
      </c>
      <c r="S1350" s="161" t="b">
        <f t="shared" si="5"/>
        <v>0</v>
      </c>
      <c r="T1350" s="161" t="b">
        <f t="array" ref="T1350">index('Query Tool'!B:B,match(H1350,'Query Tool'!C:C,0))</f>
        <v>1</v>
      </c>
      <c r="U1350" s="161" t="b">
        <f t="array" ref="U1350">index('Query Tool'!B:B,match(C1350,'Query Tool'!C:C,0))</f>
        <v>0</v>
      </c>
      <c r="V1350" s="161" t="b">
        <f>F1350&gt;='Query Tool'!C$32</f>
        <v>0</v>
      </c>
      <c r="W1350" s="161" t="b">
        <f t="array" ref="W1350">index(Dropdowns!B:B,match(I1350,Dropdowns!A:A,0))</f>
        <v>1</v>
      </c>
      <c r="X1350" s="161" t="b">
        <f t="array" ref="X1350">index('Query Tool'!B:B,match(D1350,'Query Tool'!C:C,0))</f>
        <v>1</v>
      </c>
      <c r="Y1350" s="161" t="str">
        <f t="shared" si="6"/>
        <v>adamsjo01,2015-16</v>
      </c>
      <c r="Z1350" s="168" t="str">
        <f t="array" ref="Z1350">iferror(index(I:I,match($A1350&amp;","&amp;index('Year Conversion'!$A:$A,match($C1350,'Year Conversion'!$B:$B,0)),$Y:$Y,0))-I1350,"")</f>
        <v/>
      </c>
      <c r="AA1350" s="168" t="str">
        <f t="array" ref="AA1350">iferror(index(J:J,match($A1350&amp;","&amp;index('Year Conversion'!$A:$A,match($C1350,'Year Conversion'!$B:$B,0)),$Y:$Y,0))-J1350,"")</f>
        <v/>
      </c>
      <c r="AB1350" s="168" t="str">
        <f t="array" ref="AB1350">iferror(index(K:K,match($A1350&amp;","&amp;index('Year Conversion'!$A:$A,match($C1350,'Year Conversion'!$B:$B,0)),$Y:$Y,0))-K1350,"")</f>
        <v/>
      </c>
      <c r="AC1350" s="168" t="str">
        <f t="shared" si="7"/>
        <v>MEM,2015-16</v>
      </c>
    </row>
    <row r="1351">
      <c r="A1351" s="161" t="str">
        <f>IFERROR(__xludf.DUMMYFUNCTION("""COMPUTED_VALUE"""),"earlycl01")</f>
        <v>earlycl01</v>
      </c>
      <c r="B1351" s="161" t="str">
        <f>IFERROR(__xludf.DUMMYFUNCTION("""COMPUTED_VALUE"""),"Cleanthony Early")</f>
        <v>Cleanthony Early</v>
      </c>
      <c r="C1351" s="162" t="str">
        <f>IFERROR(__xludf.DUMMYFUNCTION("""COMPUTED_VALUE"""),"2015-16")</f>
        <v>2015-16</v>
      </c>
      <c r="D1351" s="163" t="str">
        <f>IFERROR(__xludf.DUMMYFUNCTION("""COMPUTED_VALUE"""),"NYK")</f>
        <v>NYK</v>
      </c>
      <c r="E1351" s="164" t="str">
        <f>IFERROR(__xludf.DUMMYFUNCTION("""COMPUTED_VALUE"""),"Stationary Shooter")</f>
        <v>Stationary Shooter</v>
      </c>
      <c r="F1351" s="164">
        <f>IFERROR(__xludf.DUMMYFUNCTION("""COMPUTED_VALUE"""),153.823333333333)</f>
        <v>153.8233333</v>
      </c>
      <c r="G1351" s="163">
        <f>IFERROR(__xludf.DUMMYFUNCTION("""COMPUTED_VALUE"""),17.0)</f>
        <v>17</v>
      </c>
      <c r="H1351" s="163" t="str">
        <f>IFERROR(__xludf.DUMMYFUNCTION("""COMPUTED_VALUE"""),"SF")</f>
        <v>SF</v>
      </c>
      <c r="I1351" s="163">
        <f>IFERROR(__xludf.DUMMYFUNCTION("""COMPUTED_VALUE"""),24.0)</f>
        <v>24</v>
      </c>
      <c r="J1351" s="165">
        <f>IFERROR(__xludf.DUMMYFUNCTION("""COMPUTED_VALUE"""),-1.18736344786024)</f>
        <v>-1.187363448</v>
      </c>
      <c r="K1351" s="165">
        <f>IFERROR(__xludf.DUMMYFUNCTION("""COMPUTED_VALUE"""),-1.03589531396995)</f>
        <v>-1.035895314</v>
      </c>
      <c r="L1351" s="165">
        <f>IFERROR(__xludf.DUMMYFUNCTION("""COMPUTED_VALUE"""),-0.151468133890288)</f>
        <v>-0.1514681339</v>
      </c>
      <c r="M1351" s="166">
        <f t="shared" si="2"/>
        <v>0.1142480443</v>
      </c>
      <c r="N1351" s="167">
        <f t="shared" si="3"/>
        <v>9.048431373</v>
      </c>
      <c r="O1351" s="163">
        <f t="shared" ref="O1351:Q1351" si="1355">rank(I1351,I:I)</f>
        <v>2361</v>
      </c>
      <c r="P1351" s="163">
        <f t="shared" si="1355"/>
        <v>2724</v>
      </c>
      <c r="Q1351" s="163">
        <f t="shared" si="1355"/>
        <v>2850</v>
      </c>
      <c r="R1351" s="163">
        <f>IFERROR(__xludf.DUMMYFUNCTION("RANK(M1351,filter(M:M,C:C=C1351))"),366.0)</f>
        <v>366</v>
      </c>
      <c r="S1351" s="161" t="b">
        <f t="shared" si="5"/>
        <v>0</v>
      </c>
      <c r="T1351" s="161" t="b">
        <f t="array" ref="T1351">index('Query Tool'!B:B,match(H1351,'Query Tool'!C:C,0))</f>
        <v>1</v>
      </c>
      <c r="U1351" s="161" t="b">
        <f t="array" ref="U1351">index('Query Tool'!B:B,match(C1351,'Query Tool'!C:C,0))</f>
        <v>0</v>
      </c>
      <c r="V1351" s="161" t="b">
        <f>F1351&gt;='Query Tool'!C$32</f>
        <v>0</v>
      </c>
      <c r="W1351" s="161" t="b">
        <f t="array" ref="W1351">index(Dropdowns!B:B,match(I1351,Dropdowns!A:A,0))</f>
        <v>1</v>
      </c>
      <c r="X1351" s="161" t="b">
        <f t="array" ref="X1351">index('Query Tool'!B:B,match(D1351,'Query Tool'!C:C,0))</f>
        <v>1</v>
      </c>
      <c r="Y1351" s="161" t="str">
        <f t="shared" si="6"/>
        <v>earlycl01,2015-16</v>
      </c>
      <c r="Z1351" s="168" t="str">
        <f t="array" ref="Z1351">iferror(index(I:I,match($A1351&amp;","&amp;index('Year Conversion'!$A:$A,match($C1351,'Year Conversion'!$B:$B,0)),$Y:$Y,0))-I1351,"")</f>
        <v/>
      </c>
      <c r="AA1351" s="168" t="str">
        <f t="array" ref="AA1351">iferror(index(J:J,match($A1351&amp;","&amp;index('Year Conversion'!$A:$A,match($C1351,'Year Conversion'!$B:$B,0)),$Y:$Y,0))-J1351,"")</f>
        <v/>
      </c>
      <c r="AB1351" s="168" t="str">
        <f t="array" ref="AB1351">iferror(index(K:K,match($A1351&amp;","&amp;index('Year Conversion'!$A:$A,match($C1351,'Year Conversion'!$B:$B,0)),$Y:$Y,0))-K1351,"")</f>
        <v/>
      </c>
      <c r="AC1351" s="168" t="str">
        <f t="shared" si="7"/>
        <v>NYK,2015-16</v>
      </c>
    </row>
    <row r="1352">
      <c r="A1352" s="161" t="str">
        <f>IFERROR(__xludf.DUMMYFUNCTION("""COMPUTED_VALUE"""),"robingl02")</f>
        <v>robingl02</v>
      </c>
      <c r="B1352" s="161" t="str">
        <f>IFERROR(__xludf.DUMMYFUNCTION("""COMPUTED_VALUE"""),"Glenn Robinson III")</f>
        <v>Glenn Robinson III</v>
      </c>
      <c r="C1352" s="162" t="str">
        <f>IFERROR(__xludf.DUMMYFUNCTION("""COMPUTED_VALUE"""),"2015-16")</f>
        <v>2015-16</v>
      </c>
      <c r="D1352" s="163" t="str">
        <f>IFERROR(__xludf.DUMMYFUNCTION("""COMPUTED_VALUE"""),"IND")</f>
        <v>IND</v>
      </c>
      <c r="E1352" s="164" t="str">
        <f>IFERROR(__xludf.DUMMYFUNCTION("""COMPUTED_VALUE"""),"Athletic Finisher")</f>
        <v>Athletic Finisher</v>
      </c>
      <c r="F1352" s="164">
        <f>IFERROR(__xludf.DUMMYFUNCTION("""COMPUTED_VALUE"""),508.198333333333)</f>
        <v>508.1983333</v>
      </c>
      <c r="G1352" s="163">
        <f>IFERROR(__xludf.DUMMYFUNCTION("""COMPUTED_VALUE"""),45.0)</f>
        <v>45</v>
      </c>
      <c r="H1352" s="163" t="str">
        <f>IFERROR(__xludf.DUMMYFUNCTION("""COMPUTED_VALUE"""),"SF")</f>
        <v>SF</v>
      </c>
      <c r="I1352" s="163">
        <f>IFERROR(__xludf.DUMMYFUNCTION("""COMPUTED_VALUE"""),22.0)</f>
        <v>22</v>
      </c>
      <c r="J1352" s="165">
        <f>IFERROR(__xludf.DUMMYFUNCTION("""COMPUTED_VALUE"""),-1.14009312320446)</f>
        <v>-1.140093123</v>
      </c>
      <c r="K1352" s="165">
        <f>IFERROR(__xludf.DUMMYFUNCTION("""COMPUTED_VALUE"""),-1.23205396825585)</f>
        <v>-1.232053968</v>
      </c>
      <c r="L1352" s="165">
        <f>IFERROR(__xludf.DUMMYFUNCTION("""COMPUTED_VALUE"""),0.0919608450513834)</f>
        <v>0.09196084505</v>
      </c>
      <c r="M1352" s="166">
        <f t="shared" si="2"/>
        <v>0.3935550965</v>
      </c>
      <c r="N1352" s="167">
        <f t="shared" si="3"/>
        <v>11.2932963</v>
      </c>
      <c r="O1352" s="163">
        <f t="shared" ref="O1352:Q1352" si="1356">rank(I1352,I:I)</f>
        <v>3178</v>
      </c>
      <c r="P1352" s="163">
        <f t="shared" si="1356"/>
        <v>2670</v>
      </c>
      <c r="Q1352" s="163">
        <f t="shared" si="1356"/>
        <v>3066</v>
      </c>
      <c r="R1352" s="163">
        <f>IFERROR(__xludf.DUMMYFUNCTION("RANK(M1352,filter(M:M,C:C=C1352))"),296.0)</f>
        <v>296</v>
      </c>
      <c r="S1352" s="161" t="b">
        <f t="shared" si="5"/>
        <v>0</v>
      </c>
      <c r="T1352" s="161" t="b">
        <f t="array" ref="T1352">index('Query Tool'!B:B,match(H1352,'Query Tool'!C:C,0))</f>
        <v>1</v>
      </c>
      <c r="U1352" s="161" t="b">
        <f t="array" ref="U1352">index('Query Tool'!B:B,match(C1352,'Query Tool'!C:C,0))</f>
        <v>0</v>
      </c>
      <c r="V1352" s="161" t="b">
        <f>F1352&gt;='Query Tool'!C$32</f>
        <v>1</v>
      </c>
      <c r="W1352" s="161" t="b">
        <f t="array" ref="W1352">index(Dropdowns!B:B,match(I1352,Dropdowns!A:A,0))</f>
        <v>1</v>
      </c>
      <c r="X1352" s="161" t="b">
        <f t="array" ref="X1352">index('Query Tool'!B:B,match(D1352,'Query Tool'!C:C,0))</f>
        <v>1</v>
      </c>
      <c r="Y1352" s="161" t="str">
        <f t="shared" si="6"/>
        <v>robingl02,2015-16</v>
      </c>
      <c r="Z1352" s="168">
        <f t="array" ref="Z1352">iferror(index(I:I,match($A1352&amp;","&amp;index('Year Conversion'!$A:$A,match($C1352,'Year Conversion'!$B:$B,0)),$Y:$Y,0))-I1352,"")</f>
        <v>1</v>
      </c>
      <c r="AA1352" s="168">
        <f t="array" ref="AA1352">iferror(index(J:J,match($A1352&amp;","&amp;index('Year Conversion'!$A:$A,match($C1352,'Year Conversion'!$B:$B,0)),$Y:$Y,0))-J1352,"")</f>
        <v>-0.9204509697</v>
      </c>
      <c r="AB1352" s="168">
        <f t="array" ref="AB1352">iferror(index(K:K,match($A1352&amp;","&amp;index('Year Conversion'!$A:$A,match($C1352,'Year Conversion'!$B:$B,0)),$Y:$Y,0))-K1352,"")</f>
        <v>-0.8839662472</v>
      </c>
      <c r="AC1352" s="168" t="str">
        <f t="shared" si="7"/>
        <v>IND,2015-16</v>
      </c>
    </row>
    <row r="1353">
      <c r="A1353" s="161" t="str">
        <f>IFERROR(__xludf.DUMMYFUNCTION("""COMPUTED_VALUE"""),"youngja01")</f>
        <v>youngja01</v>
      </c>
      <c r="B1353" s="161" t="str">
        <f>IFERROR(__xludf.DUMMYFUNCTION("""COMPUTED_VALUE"""),"James Young")</f>
        <v>James Young</v>
      </c>
      <c r="C1353" s="162" t="str">
        <f>IFERROR(__xludf.DUMMYFUNCTION("""COMPUTED_VALUE"""),"2015-16")</f>
        <v>2015-16</v>
      </c>
      <c r="D1353" s="163" t="str">
        <f>IFERROR(__xludf.DUMMYFUNCTION("""COMPUTED_VALUE"""),"BOS")</f>
        <v>BOS</v>
      </c>
      <c r="E1353" s="164" t="str">
        <f>IFERROR(__xludf.DUMMYFUNCTION("""COMPUTED_VALUE"""),"Stationary Shooter")</f>
        <v>Stationary Shooter</v>
      </c>
      <c r="F1353" s="164">
        <f>IFERROR(__xludf.DUMMYFUNCTION("""COMPUTED_VALUE"""),198.901666666667)</f>
        <v>198.9016667</v>
      </c>
      <c r="G1353" s="163">
        <f>IFERROR(__xludf.DUMMYFUNCTION("""COMPUTED_VALUE"""),29.0)</f>
        <v>29</v>
      </c>
      <c r="H1353" s="163" t="str">
        <f>IFERROR(__xludf.DUMMYFUNCTION("""COMPUTED_VALUE"""),"SG")</f>
        <v>SG</v>
      </c>
      <c r="I1353" s="163">
        <f>IFERROR(__xludf.DUMMYFUNCTION("""COMPUTED_VALUE"""),20.0)</f>
        <v>20</v>
      </c>
      <c r="J1353" s="165">
        <f>IFERROR(__xludf.DUMMYFUNCTION("""COMPUTED_VALUE"""),-1.70679816882692)</f>
        <v>-1.706798169</v>
      </c>
      <c r="K1353" s="165">
        <f>IFERROR(__xludf.DUMMYFUNCTION("""COMPUTED_VALUE"""),-1.07905386813906)</f>
        <v>-1.079053868</v>
      </c>
      <c r="L1353" s="165">
        <f>IFERROR(__xludf.DUMMYFUNCTION("""COMPUTED_VALUE"""),-0.627744300687855)</f>
        <v>-0.6277443007</v>
      </c>
      <c r="M1353" s="166">
        <f t="shared" si="2"/>
        <v>0.07868451805</v>
      </c>
      <c r="N1353" s="167">
        <f t="shared" si="3"/>
        <v>6.858678161</v>
      </c>
      <c r="O1353" s="163">
        <f t="shared" ref="O1353:Q1353" si="1357">rank(I1353,I:I)</f>
        <v>3770</v>
      </c>
      <c r="P1353" s="163">
        <f t="shared" si="1357"/>
        <v>3250</v>
      </c>
      <c r="Q1353" s="163">
        <f t="shared" si="1357"/>
        <v>2909</v>
      </c>
      <c r="R1353" s="163">
        <f>IFERROR(__xludf.DUMMYFUNCTION("RANK(M1353,filter(M:M,C:C=C1353))"),380.0)</f>
        <v>380</v>
      </c>
      <c r="S1353" s="161" t="b">
        <f t="shared" si="5"/>
        <v>0</v>
      </c>
      <c r="T1353" s="161" t="b">
        <f t="array" ref="T1353">index('Query Tool'!B:B,match(H1353,'Query Tool'!C:C,0))</f>
        <v>1</v>
      </c>
      <c r="U1353" s="161" t="b">
        <f t="array" ref="U1353">index('Query Tool'!B:B,match(C1353,'Query Tool'!C:C,0))</f>
        <v>0</v>
      </c>
      <c r="V1353" s="161" t="b">
        <f>F1353&gt;='Query Tool'!C$32</f>
        <v>0</v>
      </c>
      <c r="W1353" s="161" t="b">
        <f t="array" ref="W1353">index(Dropdowns!B:B,match(I1353,Dropdowns!A:A,0))</f>
        <v>1</v>
      </c>
      <c r="X1353" s="161" t="b">
        <f t="array" ref="X1353">index('Query Tool'!B:B,match(D1353,'Query Tool'!C:C,0))</f>
        <v>1</v>
      </c>
      <c r="Y1353" s="161" t="str">
        <f t="shared" si="6"/>
        <v>youngja01,2015-16</v>
      </c>
      <c r="Z1353" s="168">
        <f t="array" ref="Z1353">iferror(index(I:I,match($A1353&amp;","&amp;index('Year Conversion'!$A:$A,match($C1353,'Year Conversion'!$B:$B,0)),$Y:$Y,0))-I1353,"")</f>
        <v>1</v>
      </c>
      <c r="AA1353" s="168">
        <f t="array" ref="AA1353">iferror(index(J:J,match($A1353&amp;","&amp;index('Year Conversion'!$A:$A,match($C1353,'Year Conversion'!$B:$B,0)),$Y:$Y,0))-J1353,"")</f>
        <v>-0.04652035319</v>
      </c>
      <c r="AB1353" s="168">
        <f t="array" ref="AB1353">iferror(index(K:K,match($A1353&amp;","&amp;index('Year Conversion'!$A:$A,match($C1353,'Year Conversion'!$B:$B,0)),$Y:$Y,0))-K1353,"")</f>
        <v>-0.2516793771</v>
      </c>
      <c r="AC1353" s="168" t="str">
        <f t="shared" si="7"/>
        <v>BOS,2015-16</v>
      </c>
    </row>
    <row r="1354">
      <c r="A1354" s="161" t="str">
        <f>IFERROR(__xludf.DUMMYFUNCTION("""COMPUTED_VALUE"""),"grantje01")</f>
        <v>grantje01</v>
      </c>
      <c r="B1354" s="161" t="str">
        <f>IFERROR(__xludf.DUMMYFUNCTION("""COMPUTED_VALUE"""),"Jerami Grant")</f>
        <v>Jerami Grant</v>
      </c>
      <c r="C1354" s="162" t="str">
        <f>IFERROR(__xludf.DUMMYFUNCTION("""COMPUTED_VALUE"""),"2015-16")</f>
        <v>2015-16</v>
      </c>
      <c r="D1354" s="163" t="str">
        <f>IFERROR(__xludf.DUMMYFUNCTION("""COMPUTED_VALUE"""),"PHI")</f>
        <v>PHI</v>
      </c>
      <c r="E1354" s="164" t="str">
        <f>IFERROR(__xludf.DUMMYFUNCTION("""COMPUTED_VALUE"""),"Roll + Cut Big")</f>
        <v>Roll + Cut Big</v>
      </c>
      <c r="F1354" s="164">
        <f>IFERROR(__xludf.DUMMYFUNCTION("""COMPUTED_VALUE"""),2066.33333333333)</f>
        <v>2066.333333</v>
      </c>
      <c r="G1354" s="163">
        <f>IFERROR(__xludf.DUMMYFUNCTION("""COMPUTED_VALUE"""),77.0)</f>
        <v>77</v>
      </c>
      <c r="H1354" s="163" t="str">
        <f>IFERROR(__xludf.DUMMYFUNCTION("""COMPUTED_VALUE"""),"PF")</f>
        <v>PF</v>
      </c>
      <c r="I1354" s="163">
        <f>IFERROR(__xludf.DUMMYFUNCTION("""COMPUTED_VALUE"""),21.0)</f>
        <v>21</v>
      </c>
      <c r="J1354" s="165">
        <f>IFERROR(__xludf.DUMMYFUNCTION("""COMPUTED_VALUE"""),-2.03168897177432)</f>
        <v>-2.031688972</v>
      </c>
      <c r="K1354" s="165">
        <f>IFERROR(__xludf.DUMMYFUNCTION("""COMPUTED_VALUE"""),-2.23841627896762)</f>
        <v>-2.238416279</v>
      </c>
      <c r="L1354" s="165">
        <f>IFERROR(__xludf.DUMMYFUNCTION("""COMPUTED_VALUE"""),0.2067273071933)</f>
        <v>0.2067273072</v>
      </c>
      <c r="M1354" s="166">
        <f t="shared" si="2"/>
        <v>0.3713686463</v>
      </c>
      <c r="N1354" s="167">
        <f t="shared" si="3"/>
        <v>26.83549784</v>
      </c>
      <c r="O1354" s="163">
        <f t="shared" ref="O1354:Q1354" si="1358">rank(I1354,I:I)</f>
        <v>3528</v>
      </c>
      <c r="P1354" s="163">
        <f t="shared" si="1358"/>
        <v>3505</v>
      </c>
      <c r="Q1354" s="163">
        <f t="shared" si="1358"/>
        <v>3815</v>
      </c>
      <c r="R1354" s="163">
        <f>IFERROR(__xludf.DUMMYFUNCTION("RANK(M1354,filter(M:M,C:C=C1354))"),299.0)</f>
        <v>299</v>
      </c>
      <c r="S1354" s="161" t="b">
        <f t="shared" si="5"/>
        <v>0</v>
      </c>
      <c r="T1354" s="161" t="b">
        <f t="array" ref="T1354">index('Query Tool'!B:B,match(H1354,'Query Tool'!C:C,0))</f>
        <v>1</v>
      </c>
      <c r="U1354" s="161" t="b">
        <f t="array" ref="U1354">index('Query Tool'!B:B,match(C1354,'Query Tool'!C:C,0))</f>
        <v>0</v>
      </c>
      <c r="V1354" s="161" t="b">
        <f>F1354&gt;='Query Tool'!C$32</f>
        <v>1</v>
      </c>
      <c r="W1354" s="161" t="b">
        <f t="array" ref="W1354">index(Dropdowns!B:B,match(I1354,Dropdowns!A:A,0))</f>
        <v>1</v>
      </c>
      <c r="X1354" s="161" t="b">
        <f t="array" ref="X1354">index('Query Tool'!B:B,match(D1354,'Query Tool'!C:C,0))</f>
        <v>1</v>
      </c>
      <c r="Y1354" s="161" t="str">
        <f t="shared" si="6"/>
        <v>grantje01,2015-16</v>
      </c>
      <c r="Z1354" s="168">
        <f t="array" ref="Z1354">iferror(index(I:I,match($A1354&amp;","&amp;index('Year Conversion'!$A:$A,match($C1354,'Year Conversion'!$B:$B,0)),$Y:$Y,0))-I1354,"")</f>
        <v>1</v>
      </c>
      <c r="AA1354" s="168">
        <f t="array" ref="AA1354">iferror(index(J:J,match($A1354&amp;","&amp;index('Year Conversion'!$A:$A,match($C1354,'Year Conversion'!$B:$B,0)),$Y:$Y,0))-J1354,"")</f>
        <v>0.20889106</v>
      </c>
      <c r="AB1354" s="168">
        <f t="array" ref="AB1354">iferror(index(K:K,match($A1354&amp;","&amp;index('Year Conversion'!$A:$A,match($C1354,'Year Conversion'!$B:$B,0)),$Y:$Y,0))-K1354,"")</f>
        <v>-0.01753013507</v>
      </c>
      <c r="AC1354" s="168" t="str">
        <f t="shared" si="7"/>
        <v>PHI,2015-16</v>
      </c>
    </row>
    <row r="1355">
      <c r="A1355" s="161" t="str">
        <f>IFERROR(__xludf.DUMMYFUNCTION("""COMPUTED_VALUE"""),"harrijo01")</f>
        <v>harrijo01</v>
      </c>
      <c r="B1355" s="161" t="str">
        <f>IFERROR(__xludf.DUMMYFUNCTION("""COMPUTED_VALUE"""),"Joe Harris")</f>
        <v>Joe Harris</v>
      </c>
      <c r="C1355" s="162" t="str">
        <f>IFERROR(__xludf.DUMMYFUNCTION("""COMPUTED_VALUE"""),"2015-16")</f>
        <v>2015-16</v>
      </c>
      <c r="D1355" s="163" t="str">
        <f>IFERROR(__xludf.DUMMYFUNCTION("""COMPUTED_VALUE"""),"CLE")</f>
        <v>CLE</v>
      </c>
      <c r="E1355" s="164" t="str">
        <f>IFERROR(__xludf.DUMMYFUNCTION("""COMPUTED_VALUE"""),"Stationary Shooter")</f>
        <v>Stationary Shooter</v>
      </c>
      <c r="F1355" s="164">
        <f>IFERROR(__xludf.DUMMYFUNCTION("""COMPUTED_VALUE"""),15.1033333333333)</f>
        <v>15.10333333</v>
      </c>
      <c r="G1355" s="163">
        <f>IFERROR(__xludf.DUMMYFUNCTION("""COMPUTED_VALUE"""),5.0)</f>
        <v>5</v>
      </c>
      <c r="H1355" s="163" t="str">
        <f>IFERROR(__xludf.DUMMYFUNCTION("""COMPUTED_VALUE"""),"SG")</f>
        <v>SG</v>
      </c>
      <c r="I1355" s="163">
        <f>IFERROR(__xludf.DUMMYFUNCTION("""COMPUTED_VALUE"""),24.0)</f>
        <v>24</v>
      </c>
      <c r="J1355" s="165">
        <f>IFERROR(__xludf.DUMMYFUNCTION("""COMPUTED_VALUE"""),-0.869728638321624)</f>
        <v>-0.8697286383</v>
      </c>
      <c r="K1355" s="165">
        <f>IFERROR(__xludf.DUMMYFUNCTION("""COMPUTED_VALUE"""),-0.389528337370115)</f>
        <v>-0.3895283374</v>
      </c>
      <c r="L1355" s="165">
        <f>IFERROR(__xludf.DUMMYFUNCTION("""COMPUTED_VALUE"""),-0.480200300951508)</f>
        <v>-0.480200301</v>
      </c>
      <c r="M1355" s="166">
        <f t="shared" si="2"/>
        <v>0.01443757628</v>
      </c>
      <c r="N1355" s="167">
        <f t="shared" si="3"/>
        <v>3.020666667</v>
      </c>
      <c r="O1355" s="163">
        <f t="shared" ref="O1355:Q1355" si="1359">rank(I1355,I:I)</f>
        <v>2361</v>
      </c>
      <c r="P1355" s="163">
        <f t="shared" si="1359"/>
        <v>2362</v>
      </c>
      <c r="Q1355" s="163">
        <f t="shared" si="1359"/>
        <v>1930</v>
      </c>
      <c r="R1355" s="163">
        <f>IFERROR(__xludf.DUMMYFUNCTION("RANK(M1355,filter(M:M,C:C=C1355))"),420.0)</f>
        <v>420</v>
      </c>
      <c r="S1355" s="161" t="b">
        <f t="shared" si="5"/>
        <v>0</v>
      </c>
      <c r="T1355" s="161" t="b">
        <f t="array" ref="T1355">index('Query Tool'!B:B,match(H1355,'Query Tool'!C:C,0))</f>
        <v>1</v>
      </c>
      <c r="U1355" s="161" t="b">
        <f t="array" ref="U1355">index('Query Tool'!B:B,match(C1355,'Query Tool'!C:C,0))</f>
        <v>0</v>
      </c>
      <c r="V1355" s="161" t="b">
        <f>F1355&gt;='Query Tool'!C$32</f>
        <v>0</v>
      </c>
      <c r="W1355" s="161" t="b">
        <f t="array" ref="W1355">index(Dropdowns!B:B,match(I1355,Dropdowns!A:A,0))</f>
        <v>1</v>
      </c>
      <c r="X1355" s="161" t="b">
        <f t="array" ref="X1355">index('Query Tool'!B:B,match(D1355,'Query Tool'!C:C,0))</f>
        <v>1</v>
      </c>
      <c r="Y1355" s="161" t="str">
        <f t="shared" si="6"/>
        <v>harrijo01,2015-16</v>
      </c>
      <c r="Z1355" s="168">
        <f t="array" ref="Z1355">iferror(index(I:I,match($A1355&amp;","&amp;index('Year Conversion'!$A:$A,match($C1355,'Year Conversion'!$B:$B,0)),$Y:$Y,0))-I1355,"")</f>
        <v>1</v>
      </c>
      <c r="AA1355" s="168">
        <f t="array" ref="AA1355">iferror(index(J:J,match($A1355&amp;","&amp;index('Year Conversion'!$A:$A,match($C1355,'Year Conversion'!$B:$B,0)),$Y:$Y,0))-J1355,"")</f>
        <v>-2.176160705</v>
      </c>
      <c r="AB1355" s="168">
        <f t="array" ref="AB1355">iferror(index(K:K,match($A1355&amp;","&amp;index('Year Conversion'!$A:$A,match($C1355,'Year Conversion'!$B:$B,0)),$Y:$Y,0))-K1355,"")</f>
        <v>-1.104713172</v>
      </c>
      <c r="AC1355" s="168" t="str">
        <f t="shared" si="7"/>
        <v>CLE,2015-16</v>
      </c>
    </row>
    <row r="1356">
      <c r="A1356" s="161" t="str">
        <f>IFERROR(__xludf.DUMMYFUNCTION("""COMPUTED_VALUE"""),"mcderdo01")</f>
        <v>mcderdo01</v>
      </c>
      <c r="B1356" s="161" t="str">
        <f>IFERROR(__xludf.DUMMYFUNCTION("""COMPUTED_VALUE"""),"Doug McDermott")</f>
        <v>Doug McDermott</v>
      </c>
      <c r="C1356" s="162" t="str">
        <f>IFERROR(__xludf.DUMMYFUNCTION("""COMPUTED_VALUE"""),"2015-16")</f>
        <v>2015-16</v>
      </c>
      <c r="D1356" s="163" t="str">
        <f>IFERROR(__xludf.DUMMYFUNCTION("""COMPUTED_VALUE"""),"CHI")</f>
        <v>CHI</v>
      </c>
      <c r="E1356" s="164" t="str">
        <f>IFERROR(__xludf.DUMMYFUNCTION("""COMPUTED_VALUE"""),"Movement Shooter")</f>
        <v>Movement Shooter</v>
      </c>
      <c r="F1356" s="164">
        <f>IFERROR(__xludf.DUMMYFUNCTION("""COMPUTED_VALUE"""),1860.56)</f>
        <v>1860.56</v>
      </c>
      <c r="G1356" s="163">
        <f>IFERROR(__xludf.DUMMYFUNCTION("""COMPUTED_VALUE"""),81.0)</f>
        <v>81</v>
      </c>
      <c r="H1356" s="163" t="str">
        <f>IFERROR(__xludf.DUMMYFUNCTION("""COMPUTED_VALUE"""),"SF")</f>
        <v>SF</v>
      </c>
      <c r="I1356" s="163">
        <f>IFERROR(__xludf.DUMMYFUNCTION("""COMPUTED_VALUE"""),24.0)</f>
        <v>24</v>
      </c>
      <c r="J1356" s="165">
        <f>IFERROR(__xludf.DUMMYFUNCTION("""COMPUTED_VALUE"""),-3.13689336046184)</f>
        <v>-3.13689336</v>
      </c>
      <c r="K1356" s="165">
        <f>IFERROR(__xludf.DUMMYFUNCTION("""COMPUTED_VALUE"""),-1.38719724083049)</f>
        <v>-1.387197241</v>
      </c>
      <c r="L1356" s="165">
        <f>IFERROR(__xludf.DUMMYFUNCTION("""COMPUTED_VALUE"""),-1.74969611963135)</f>
        <v>-1.74969612</v>
      </c>
      <c r="M1356" s="166">
        <f t="shared" si="2"/>
        <v>-1.013541508</v>
      </c>
      <c r="N1356" s="167">
        <f t="shared" si="3"/>
        <v>22.96987654</v>
      </c>
      <c r="O1356" s="163">
        <f t="shared" ref="O1356:Q1356" si="1360">rank(I1356,I:I)</f>
        <v>2361</v>
      </c>
      <c r="P1356" s="163">
        <f t="shared" si="1360"/>
        <v>3914</v>
      </c>
      <c r="Q1356" s="163">
        <f t="shared" si="1360"/>
        <v>3237</v>
      </c>
      <c r="R1356" s="163">
        <f>IFERROR(__xludf.DUMMYFUNCTION("RANK(M1356,filter(M:M,C:C=C1356))"),465.0)</f>
        <v>465</v>
      </c>
      <c r="S1356" s="161" t="b">
        <f t="shared" si="5"/>
        <v>0</v>
      </c>
      <c r="T1356" s="161" t="b">
        <f t="array" ref="T1356">index('Query Tool'!B:B,match(H1356,'Query Tool'!C:C,0))</f>
        <v>1</v>
      </c>
      <c r="U1356" s="161" t="b">
        <f t="array" ref="U1356">index('Query Tool'!B:B,match(C1356,'Query Tool'!C:C,0))</f>
        <v>0</v>
      </c>
      <c r="V1356" s="161" t="b">
        <f>F1356&gt;='Query Tool'!C$32</f>
        <v>1</v>
      </c>
      <c r="W1356" s="161" t="b">
        <f t="array" ref="W1356">index(Dropdowns!B:B,match(I1356,Dropdowns!A:A,0))</f>
        <v>1</v>
      </c>
      <c r="X1356" s="161" t="b">
        <f t="array" ref="X1356">index('Query Tool'!B:B,match(D1356,'Query Tool'!C:C,0))</f>
        <v>1</v>
      </c>
      <c r="Y1356" s="161" t="str">
        <f t="shared" si="6"/>
        <v>mcderdo01,2015-16</v>
      </c>
      <c r="Z1356" s="168">
        <f t="array" ref="Z1356">iferror(index(I:I,match($A1356&amp;","&amp;index('Year Conversion'!$A:$A,match($C1356,'Year Conversion'!$B:$B,0)),$Y:$Y,0))-I1356,"")</f>
        <v>1</v>
      </c>
      <c r="AA1356" s="168">
        <f t="array" ref="AA1356">iferror(index(J:J,match($A1356&amp;","&amp;index('Year Conversion'!$A:$A,match($C1356,'Year Conversion'!$B:$B,0)),$Y:$Y,0))-J1356,"")</f>
        <v>0.6521953308</v>
      </c>
      <c r="AB1356" s="168">
        <f t="array" ref="AB1356">iferror(index(K:K,match($A1356&amp;","&amp;index('Year Conversion'!$A:$A,match($C1356,'Year Conversion'!$B:$B,0)),$Y:$Y,0))-K1356,"")</f>
        <v>1.331159697</v>
      </c>
      <c r="AC1356" s="168" t="str">
        <f t="shared" si="7"/>
        <v>CHI,2015-16</v>
      </c>
    </row>
    <row r="1357">
      <c r="A1357" s="161" t="str">
        <f>IFERROR(__xludf.DUMMYFUNCTION("""COMPUTED_VALUE"""),"jeffeco01")</f>
        <v>jeffeco01</v>
      </c>
      <c r="B1357" s="161" t="str">
        <f>IFERROR(__xludf.DUMMYFUNCTION("""COMPUTED_VALUE"""),"Cory Jefferson")</f>
        <v>Cory Jefferson</v>
      </c>
      <c r="C1357" s="162" t="str">
        <f>IFERROR(__xludf.DUMMYFUNCTION("""COMPUTED_VALUE"""),"2015-16")</f>
        <v>2015-16</v>
      </c>
      <c r="D1357" s="163" t="str">
        <f>IFERROR(__xludf.DUMMYFUNCTION("""COMPUTED_VALUE"""),"PHO")</f>
        <v>PHO</v>
      </c>
      <c r="E1357" s="164" t="str">
        <f>IFERROR(__xludf.DUMMYFUNCTION("""COMPUTED_VALUE"""),"Roll + Cut Big")</f>
        <v>Roll + Cut Big</v>
      </c>
      <c r="F1357" s="164">
        <f>IFERROR(__xludf.DUMMYFUNCTION("""COMPUTED_VALUE"""),50.0633333333333)</f>
        <v>50.06333333</v>
      </c>
      <c r="G1357" s="163">
        <f>IFERROR(__xludf.DUMMYFUNCTION("""COMPUTED_VALUE"""),8.0)</f>
        <v>8</v>
      </c>
      <c r="H1357" s="163" t="str">
        <f>IFERROR(__xludf.DUMMYFUNCTION("""COMPUTED_VALUE"""),"PF")</f>
        <v>PF</v>
      </c>
      <c r="I1357" s="163">
        <f>IFERROR(__xludf.DUMMYFUNCTION("""COMPUTED_VALUE"""),25.0)</f>
        <v>25</v>
      </c>
      <c r="J1357" s="165">
        <f>IFERROR(__xludf.DUMMYFUNCTION("""COMPUTED_VALUE"""),0.264793517769557)</f>
        <v>0.2647935178</v>
      </c>
      <c r="K1357" s="165">
        <f>IFERROR(__xludf.DUMMYFUNCTION("""COMPUTED_VALUE"""),-0.167825692843337)</f>
        <v>-0.1678256928</v>
      </c>
      <c r="L1357" s="165">
        <f>IFERROR(__xludf.DUMMYFUNCTION("""COMPUTED_VALUE"""),0.432619210612893)</f>
        <v>0.4326192106</v>
      </c>
      <c r="M1357" s="166">
        <f t="shared" si="2"/>
        <v>0.08611746277</v>
      </c>
      <c r="N1357" s="167">
        <f t="shared" si="3"/>
        <v>6.257916667</v>
      </c>
      <c r="O1357" s="163">
        <f t="shared" ref="O1357:Q1357" si="1361">rank(I1357,I:I)</f>
        <v>1995</v>
      </c>
      <c r="P1357" s="163">
        <f t="shared" si="1361"/>
        <v>1044</v>
      </c>
      <c r="Q1357" s="163">
        <f t="shared" si="1361"/>
        <v>1510</v>
      </c>
      <c r="R1357" s="163">
        <f>IFERROR(__xludf.DUMMYFUNCTION("RANK(M1357,filter(M:M,C:C=C1357))"),375.0)</f>
        <v>375</v>
      </c>
      <c r="S1357" s="161" t="b">
        <f t="shared" si="5"/>
        <v>0</v>
      </c>
      <c r="T1357" s="161" t="b">
        <f t="array" ref="T1357">index('Query Tool'!B:B,match(H1357,'Query Tool'!C:C,0))</f>
        <v>1</v>
      </c>
      <c r="U1357" s="161" t="b">
        <f t="array" ref="U1357">index('Query Tool'!B:B,match(C1357,'Query Tool'!C:C,0))</f>
        <v>0</v>
      </c>
      <c r="V1357" s="161" t="b">
        <f>F1357&gt;='Query Tool'!C$32</f>
        <v>0</v>
      </c>
      <c r="W1357" s="161" t="b">
        <f t="array" ref="W1357">index(Dropdowns!B:B,match(I1357,Dropdowns!A:A,0))</f>
        <v>1</v>
      </c>
      <c r="X1357" s="161" t="b">
        <f t="array" ref="X1357">index('Query Tool'!B:B,match(D1357,'Query Tool'!C:C,0))</f>
        <v>1</v>
      </c>
      <c r="Y1357" s="161" t="str">
        <f t="shared" si="6"/>
        <v>jeffeco01,2015-16</v>
      </c>
      <c r="Z1357" s="168" t="str">
        <f t="array" ref="Z1357">iferror(index(I:I,match($A1357&amp;","&amp;index('Year Conversion'!$A:$A,match($C1357,'Year Conversion'!$B:$B,0)),$Y:$Y,0))-I1357,"")</f>
        <v/>
      </c>
      <c r="AA1357" s="168" t="str">
        <f t="array" ref="AA1357">iferror(index(J:J,match($A1357&amp;","&amp;index('Year Conversion'!$A:$A,match($C1357,'Year Conversion'!$B:$B,0)),$Y:$Y,0))-J1357,"")</f>
        <v/>
      </c>
      <c r="AB1357" s="168" t="str">
        <f t="array" ref="AB1357">iferror(index(K:K,match($A1357&amp;","&amp;index('Year Conversion'!$A:$A,match($C1357,'Year Conversion'!$B:$B,0)),$Y:$Y,0))-K1357,"")</f>
        <v/>
      </c>
      <c r="AC1357" s="168" t="str">
        <f t="shared" si="7"/>
        <v>PHO,2015-16</v>
      </c>
    </row>
    <row r="1358">
      <c r="A1358" s="161" t="str">
        <f>IFERROR(__xludf.DUMMYFUNCTION("""COMPUTED_VALUE"""),"kilpase01")</f>
        <v>kilpase01</v>
      </c>
      <c r="B1358" s="161" t="str">
        <f>IFERROR(__xludf.DUMMYFUNCTION("""COMPUTED_VALUE"""),"Sean Kilpatrick")</f>
        <v>Sean Kilpatrick</v>
      </c>
      <c r="C1358" s="162" t="str">
        <f>IFERROR(__xludf.DUMMYFUNCTION("""COMPUTED_VALUE"""),"2015-16")</f>
        <v>2015-16</v>
      </c>
      <c r="D1358" s="163" t="str">
        <f>IFERROR(__xludf.DUMMYFUNCTION("""COMPUTED_VALUE"""),"TOT")</f>
        <v>TOT</v>
      </c>
      <c r="E1358" s="164" t="str">
        <f>IFERROR(__xludf.DUMMYFUNCTION("""COMPUTED_VALUE"""),"Stationary Shooter")</f>
        <v>Stationary Shooter</v>
      </c>
      <c r="F1358" s="164">
        <f>IFERROR(__xludf.DUMMYFUNCTION("""COMPUTED_VALUE"""),616.175)</f>
        <v>616.175</v>
      </c>
      <c r="G1358" s="163">
        <f>IFERROR(__xludf.DUMMYFUNCTION("""COMPUTED_VALUE"""),31.0)</f>
        <v>31</v>
      </c>
      <c r="H1358" s="163" t="str">
        <f>IFERROR(__xludf.DUMMYFUNCTION("""COMPUTED_VALUE"""),"SG")</f>
        <v>SG</v>
      </c>
      <c r="I1358" s="163">
        <f>IFERROR(__xludf.DUMMYFUNCTION("""COMPUTED_VALUE"""),26.0)</f>
        <v>26</v>
      </c>
      <c r="J1358" s="165">
        <f>IFERROR(__xludf.DUMMYFUNCTION("""COMPUTED_VALUE"""),-1.96747602700283)</f>
        <v>-1.967476027</v>
      </c>
      <c r="K1358" s="165">
        <f>IFERROR(__xludf.DUMMYFUNCTION("""COMPUTED_VALUE"""),1.02532561011054)</f>
        <v>1.02532561</v>
      </c>
      <c r="L1358" s="165">
        <f>IFERROR(__xludf.DUMMYFUNCTION("""COMPUTED_VALUE"""),-2.99280163711338)</f>
        <v>-2.992801637</v>
      </c>
      <c r="M1358" s="166">
        <f t="shared" si="2"/>
        <v>0.1369767441</v>
      </c>
      <c r="N1358" s="167">
        <f t="shared" si="3"/>
        <v>19.8766129</v>
      </c>
      <c r="O1358" s="163">
        <f t="shared" ref="O1358:Q1358" si="1362">rank(I1358,I:I)</f>
        <v>1665</v>
      </c>
      <c r="P1358" s="163">
        <f t="shared" si="1362"/>
        <v>3456</v>
      </c>
      <c r="Q1358" s="163">
        <f t="shared" si="1362"/>
        <v>494</v>
      </c>
      <c r="R1358" s="163">
        <f>IFERROR(__xludf.DUMMYFUNCTION("RANK(M1358,filter(M:M,C:C=C1358))"),358.0)</f>
        <v>358</v>
      </c>
      <c r="S1358" s="161" t="b">
        <f t="shared" si="5"/>
        <v>0</v>
      </c>
      <c r="T1358" s="161" t="b">
        <f t="array" ref="T1358">index('Query Tool'!B:B,match(H1358,'Query Tool'!C:C,0))</f>
        <v>1</v>
      </c>
      <c r="U1358" s="161" t="b">
        <f t="array" ref="U1358">index('Query Tool'!B:B,match(C1358,'Query Tool'!C:C,0))</f>
        <v>0</v>
      </c>
      <c r="V1358" s="161" t="b">
        <f>F1358&gt;='Query Tool'!C$32</f>
        <v>1</v>
      </c>
      <c r="W1358" s="161" t="b">
        <f t="array" ref="W1358">index(Dropdowns!B:B,match(I1358,Dropdowns!A:A,0))</f>
        <v>1</v>
      </c>
      <c r="X1358" s="161" t="b">
        <f t="array" ref="X1358">index('Query Tool'!B:B,match(D1358,'Query Tool'!C:C,0))</f>
        <v>1</v>
      </c>
      <c r="Y1358" s="161" t="str">
        <f t="shared" si="6"/>
        <v>kilpase01,2015-16</v>
      </c>
      <c r="Z1358" s="168">
        <f t="array" ref="Z1358">iferror(index(I:I,match($A1358&amp;","&amp;index('Year Conversion'!$A:$A,match($C1358,'Year Conversion'!$B:$B,0)),$Y:$Y,0))-I1358,"")</f>
        <v>1</v>
      </c>
      <c r="AA1358" s="168">
        <f t="array" ref="AA1358">iferror(index(J:J,match($A1358&amp;","&amp;index('Year Conversion'!$A:$A,match($C1358,'Year Conversion'!$B:$B,0)),$Y:$Y,0))-J1358,"")</f>
        <v>-0.4488474437</v>
      </c>
      <c r="AB1358" s="168">
        <f t="array" ref="AB1358">iferror(index(K:K,match($A1358&amp;","&amp;index('Year Conversion'!$A:$A,match($C1358,'Year Conversion'!$B:$B,0)),$Y:$Y,0))-K1358,"")</f>
        <v>-1.787075689</v>
      </c>
      <c r="AC1358" s="168" t="str">
        <f t="shared" si="7"/>
        <v>TOT,2015-16</v>
      </c>
    </row>
    <row r="1359">
      <c r="A1359" s="161" t="str">
        <f>IFERROR(__xludf.DUMMYFUNCTION("""COMPUTED_VALUE"""),"gordoaa01")</f>
        <v>gordoaa01</v>
      </c>
      <c r="B1359" s="161" t="str">
        <f>IFERROR(__xludf.DUMMYFUNCTION("""COMPUTED_VALUE"""),"Aaron Gordon")</f>
        <v>Aaron Gordon</v>
      </c>
      <c r="C1359" s="162" t="str">
        <f>IFERROR(__xludf.DUMMYFUNCTION("""COMPUTED_VALUE"""),"2015-16")</f>
        <v>2015-16</v>
      </c>
      <c r="D1359" s="163" t="str">
        <f>IFERROR(__xludf.DUMMYFUNCTION("""COMPUTED_VALUE"""),"ORL")</f>
        <v>ORL</v>
      </c>
      <c r="E1359" s="164" t="str">
        <f>IFERROR(__xludf.DUMMYFUNCTION("""COMPUTED_VALUE"""),"Roll + Cut Big")</f>
        <v>Roll + Cut Big</v>
      </c>
      <c r="F1359" s="164">
        <f>IFERROR(__xludf.DUMMYFUNCTION("""COMPUTED_VALUE"""),1863.12)</f>
        <v>1863.12</v>
      </c>
      <c r="G1359" s="163">
        <f>IFERROR(__xludf.DUMMYFUNCTION("""COMPUTED_VALUE"""),78.0)</f>
        <v>78</v>
      </c>
      <c r="H1359" s="163" t="str">
        <f>IFERROR(__xludf.DUMMYFUNCTION("""COMPUTED_VALUE"""),"PF")</f>
        <v>PF</v>
      </c>
      <c r="I1359" s="163">
        <f>IFERROR(__xludf.DUMMYFUNCTION("""COMPUTED_VALUE"""),20.0)</f>
        <v>20</v>
      </c>
      <c r="J1359" s="165">
        <f>IFERROR(__xludf.DUMMYFUNCTION("""COMPUTED_VALUE"""),1.31329759080882)</f>
        <v>1.313297591</v>
      </c>
      <c r="K1359" s="165">
        <f>IFERROR(__xludf.DUMMYFUNCTION("""COMPUTED_VALUE"""),0.679005637475294)</f>
        <v>0.6790056375</v>
      </c>
      <c r="L1359" s="165">
        <f>IFERROR(__xludf.DUMMYFUNCTION("""COMPUTED_VALUE"""),0.634291953333524)</f>
        <v>0.6342919533</v>
      </c>
      <c r="M1359" s="166">
        <f t="shared" si="2"/>
        <v>4.517997361</v>
      </c>
      <c r="N1359" s="167">
        <f t="shared" si="3"/>
        <v>23.88615385</v>
      </c>
      <c r="O1359" s="163">
        <f t="shared" ref="O1359:Q1359" si="1363">rank(I1359,I:I)</f>
        <v>3770</v>
      </c>
      <c r="P1359" s="163">
        <f t="shared" si="1363"/>
        <v>518</v>
      </c>
      <c r="Q1359" s="163">
        <f t="shared" si="1363"/>
        <v>662</v>
      </c>
      <c r="R1359" s="163">
        <f>IFERROR(__xludf.DUMMYFUNCTION("RANK(M1359,filter(M:M,C:C=C1359))"),75.0)</f>
        <v>75</v>
      </c>
      <c r="S1359" s="161" t="b">
        <f t="shared" si="5"/>
        <v>0</v>
      </c>
      <c r="T1359" s="161" t="b">
        <f t="array" ref="T1359">index('Query Tool'!B:B,match(H1359,'Query Tool'!C:C,0))</f>
        <v>1</v>
      </c>
      <c r="U1359" s="161" t="b">
        <f t="array" ref="U1359">index('Query Tool'!B:B,match(C1359,'Query Tool'!C:C,0))</f>
        <v>0</v>
      </c>
      <c r="V1359" s="161" t="b">
        <f>F1359&gt;='Query Tool'!C$32</f>
        <v>1</v>
      </c>
      <c r="W1359" s="161" t="b">
        <f t="array" ref="W1359">index(Dropdowns!B:B,match(I1359,Dropdowns!A:A,0))</f>
        <v>1</v>
      </c>
      <c r="X1359" s="161" t="b">
        <f t="array" ref="X1359">index('Query Tool'!B:B,match(D1359,'Query Tool'!C:C,0))</f>
        <v>1</v>
      </c>
      <c r="Y1359" s="161" t="str">
        <f t="shared" si="6"/>
        <v>gordoaa01,2015-16</v>
      </c>
      <c r="Z1359" s="168">
        <f t="array" ref="Z1359">iferror(index(I:I,match($A1359&amp;","&amp;index('Year Conversion'!$A:$A,match($C1359,'Year Conversion'!$B:$B,0)),$Y:$Y,0))-I1359,"")</f>
        <v>1</v>
      </c>
      <c r="AA1359" s="168">
        <f t="array" ref="AA1359">iferror(index(J:J,match($A1359&amp;","&amp;index('Year Conversion'!$A:$A,match($C1359,'Year Conversion'!$B:$B,0)),$Y:$Y,0))-J1359,"")</f>
        <v>-0.9636483961</v>
      </c>
      <c r="AB1359" s="168">
        <f t="array" ref="AB1359">iferror(index(K:K,match($A1359&amp;","&amp;index('Year Conversion'!$A:$A,match($C1359,'Year Conversion'!$B:$B,0)),$Y:$Y,0))-K1359,"")</f>
        <v>0.2859366169</v>
      </c>
      <c r="AC1359" s="168" t="str">
        <f t="shared" si="7"/>
        <v>ORL,2015-16</v>
      </c>
    </row>
    <row r="1360">
      <c r="A1360" s="161" t="str">
        <f>IFERROR(__xludf.DUMMYFUNCTION("""COMPUTED_VALUE"""),"warretj01")</f>
        <v>warretj01</v>
      </c>
      <c r="B1360" s="161" t="str">
        <f>IFERROR(__xludf.DUMMYFUNCTION("""COMPUTED_VALUE"""),"T.J. Warren")</f>
        <v>T.J. Warren</v>
      </c>
      <c r="C1360" s="162" t="str">
        <f>IFERROR(__xludf.DUMMYFUNCTION("""COMPUTED_VALUE"""),"2015-16")</f>
        <v>2015-16</v>
      </c>
      <c r="D1360" s="163" t="str">
        <f>IFERROR(__xludf.DUMMYFUNCTION("""COMPUTED_VALUE"""),"PHO")</f>
        <v>PHO</v>
      </c>
      <c r="E1360" s="164" t="str">
        <f>IFERROR(__xludf.DUMMYFUNCTION("""COMPUTED_VALUE"""),"Athletic Finisher")</f>
        <v>Athletic Finisher</v>
      </c>
      <c r="F1360" s="164">
        <f>IFERROR(__xludf.DUMMYFUNCTION("""COMPUTED_VALUE"""),1070.19)</f>
        <v>1070.19</v>
      </c>
      <c r="G1360" s="163">
        <f>IFERROR(__xludf.DUMMYFUNCTION("""COMPUTED_VALUE"""),47.0)</f>
        <v>47</v>
      </c>
      <c r="H1360" s="163" t="str">
        <f>IFERROR(__xludf.DUMMYFUNCTION("""COMPUTED_VALUE"""),"SF")</f>
        <v>SF</v>
      </c>
      <c r="I1360" s="163">
        <f>IFERROR(__xludf.DUMMYFUNCTION("""COMPUTED_VALUE"""),22.0)</f>
        <v>22</v>
      </c>
      <c r="J1360" s="165">
        <f>IFERROR(__xludf.DUMMYFUNCTION("""COMPUTED_VALUE"""),-2.11715636867907)</f>
        <v>-2.117156369</v>
      </c>
      <c r="K1360" s="165">
        <f>IFERROR(__xludf.DUMMYFUNCTION("""COMPUTED_VALUE"""),-0.922624680022433)</f>
        <v>-0.92262468</v>
      </c>
      <c r="L1360" s="165">
        <f>IFERROR(__xludf.DUMMYFUNCTION("""COMPUTED_VALUE"""),-1.19453168865664)</f>
        <v>-1.194531689</v>
      </c>
      <c r="M1360" s="166">
        <f t="shared" si="2"/>
        <v>0.1317655949</v>
      </c>
      <c r="N1360" s="167">
        <f t="shared" si="3"/>
        <v>22.77</v>
      </c>
      <c r="O1360" s="163">
        <f t="shared" ref="O1360:Q1360" si="1364">rank(I1360,I:I)</f>
        <v>3178</v>
      </c>
      <c r="P1360" s="163">
        <f t="shared" si="1364"/>
        <v>3568</v>
      </c>
      <c r="Q1360" s="163">
        <f t="shared" si="1364"/>
        <v>2716</v>
      </c>
      <c r="R1360" s="163">
        <f>IFERROR(__xludf.DUMMYFUNCTION("RANK(M1360,filter(M:M,C:C=C1360))"),359.0)</f>
        <v>359</v>
      </c>
      <c r="S1360" s="161" t="b">
        <f t="shared" si="5"/>
        <v>0</v>
      </c>
      <c r="T1360" s="161" t="b">
        <f t="array" ref="T1360">index('Query Tool'!B:B,match(H1360,'Query Tool'!C:C,0))</f>
        <v>1</v>
      </c>
      <c r="U1360" s="161" t="b">
        <f t="array" ref="U1360">index('Query Tool'!B:B,match(C1360,'Query Tool'!C:C,0))</f>
        <v>0</v>
      </c>
      <c r="V1360" s="161" t="b">
        <f>F1360&gt;='Query Tool'!C$32</f>
        <v>1</v>
      </c>
      <c r="W1360" s="161" t="b">
        <f t="array" ref="W1360">index(Dropdowns!B:B,match(I1360,Dropdowns!A:A,0))</f>
        <v>1</v>
      </c>
      <c r="X1360" s="161" t="b">
        <f t="array" ref="X1360">index('Query Tool'!B:B,match(D1360,'Query Tool'!C:C,0))</f>
        <v>1</v>
      </c>
      <c r="Y1360" s="161" t="str">
        <f t="shared" si="6"/>
        <v>warretj01,2015-16</v>
      </c>
      <c r="Z1360" s="168">
        <f t="array" ref="Z1360">iferror(index(I:I,match($A1360&amp;","&amp;index('Year Conversion'!$A:$A,match($C1360,'Year Conversion'!$B:$B,0)),$Y:$Y,0))-I1360,"")</f>
        <v>1</v>
      </c>
      <c r="AA1360" s="168">
        <f t="array" ref="AA1360">iferror(index(J:J,match($A1360&amp;","&amp;index('Year Conversion'!$A:$A,match($C1360,'Year Conversion'!$B:$B,0)),$Y:$Y,0))-J1360,"")</f>
        <v>1.535679231</v>
      </c>
      <c r="AB1360" s="168">
        <f t="array" ref="AB1360">iferror(index(K:K,match($A1360&amp;","&amp;index('Year Conversion'!$A:$A,match($C1360,'Year Conversion'!$B:$B,0)),$Y:$Y,0))-K1360,"")</f>
        <v>1.758966254</v>
      </c>
      <c r="AC1360" s="168" t="str">
        <f t="shared" si="7"/>
        <v>PHO,2015-16</v>
      </c>
    </row>
    <row r="1361">
      <c r="A1361" s="161" t="str">
        <f>IFERROR(__xludf.DUMMYFUNCTION("""COMPUTED_VALUE"""),"pattela01")</f>
        <v>pattela01</v>
      </c>
      <c r="B1361" s="161" t="str">
        <f>IFERROR(__xludf.DUMMYFUNCTION("""COMPUTED_VALUE"""),"Lamar Patterson")</f>
        <v>Lamar Patterson</v>
      </c>
      <c r="C1361" s="162" t="str">
        <f>IFERROR(__xludf.DUMMYFUNCTION("""COMPUTED_VALUE"""),"2015-16")</f>
        <v>2015-16</v>
      </c>
      <c r="D1361" s="163" t="str">
        <f>IFERROR(__xludf.DUMMYFUNCTION("""COMPUTED_VALUE"""),"ATL")</f>
        <v>ATL</v>
      </c>
      <c r="E1361" s="164" t="str">
        <f>IFERROR(__xludf.DUMMYFUNCTION("""COMPUTED_VALUE"""),"Movement Shooter")</f>
        <v>Movement Shooter</v>
      </c>
      <c r="F1361" s="164">
        <f>IFERROR(__xludf.DUMMYFUNCTION("""COMPUTED_VALUE"""),394.9)</f>
        <v>394.9</v>
      </c>
      <c r="G1361" s="163">
        <f>IFERROR(__xludf.DUMMYFUNCTION("""COMPUTED_VALUE"""),35.0)</f>
        <v>35</v>
      </c>
      <c r="H1361" s="163" t="str">
        <f>IFERROR(__xludf.DUMMYFUNCTION("""COMPUTED_VALUE"""),"SG")</f>
        <v>SG</v>
      </c>
      <c r="I1361" s="163">
        <f>IFERROR(__xludf.DUMMYFUNCTION("""COMPUTED_VALUE"""),24.0)</f>
        <v>24</v>
      </c>
      <c r="J1361" s="165">
        <f>IFERROR(__xludf.DUMMYFUNCTION("""COMPUTED_VALUE"""),-1.85647224523736)</f>
        <v>-1.856472245</v>
      </c>
      <c r="K1361" s="165">
        <f>IFERROR(__xludf.DUMMYFUNCTION("""COMPUTED_VALUE"""),-1.26621504930949)</f>
        <v>-1.266215049</v>
      </c>
      <c r="L1361" s="165">
        <f>IFERROR(__xludf.DUMMYFUNCTION("""COMPUTED_VALUE"""),-0.590257195927871)</f>
        <v>-0.5902571959</v>
      </c>
      <c r="M1361" s="166">
        <f t="shared" si="2"/>
        <v>0.1168944704</v>
      </c>
      <c r="N1361" s="167">
        <f t="shared" si="3"/>
        <v>11.28285714</v>
      </c>
      <c r="O1361" s="163">
        <f t="shared" ref="O1361:Q1361" si="1365">rank(I1361,I:I)</f>
        <v>2361</v>
      </c>
      <c r="P1361" s="163">
        <f t="shared" si="1365"/>
        <v>3385</v>
      </c>
      <c r="Q1361" s="163">
        <f t="shared" si="1365"/>
        <v>3103</v>
      </c>
      <c r="R1361" s="163">
        <f>IFERROR(__xludf.DUMMYFUNCTION("RANK(M1361,filter(M:M,C:C=C1361))"),364.0)</f>
        <v>364</v>
      </c>
      <c r="S1361" s="161" t="b">
        <f t="shared" si="5"/>
        <v>0</v>
      </c>
      <c r="T1361" s="161" t="b">
        <f t="array" ref="T1361">index('Query Tool'!B:B,match(H1361,'Query Tool'!C:C,0))</f>
        <v>1</v>
      </c>
      <c r="U1361" s="161" t="b">
        <f t="array" ref="U1361">index('Query Tool'!B:B,match(C1361,'Query Tool'!C:C,0))</f>
        <v>0</v>
      </c>
      <c r="V1361" s="161" t="b">
        <f>F1361&gt;='Query Tool'!C$32</f>
        <v>0</v>
      </c>
      <c r="W1361" s="161" t="b">
        <f t="array" ref="W1361">index(Dropdowns!B:B,match(I1361,Dropdowns!A:A,0))</f>
        <v>1</v>
      </c>
      <c r="X1361" s="161" t="b">
        <f t="array" ref="X1361">index('Query Tool'!B:B,match(D1361,'Query Tool'!C:C,0))</f>
        <v>1</v>
      </c>
      <c r="Y1361" s="161" t="str">
        <f t="shared" si="6"/>
        <v>pattela01,2015-16</v>
      </c>
      <c r="Z1361" s="168">
        <f t="array" ref="Z1361">iferror(index(I:I,match($A1361&amp;","&amp;index('Year Conversion'!$A:$A,match($C1361,'Year Conversion'!$B:$B,0)),$Y:$Y,0))-I1361,"")</f>
        <v>1</v>
      </c>
      <c r="AA1361" s="168">
        <f t="array" ref="AA1361">iferror(index(J:J,match($A1361&amp;","&amp;index('Year Conversion'!$A:$A,match($C1361,'Year Conversion'!$B:$B,0)),$Y:$Y,0))-J1361,"")</f>
        <v>1.685835522</v>
      </c>
      <c r="AB1361" s="168">
        <f t="array" ref="AB1361">iferror(index(K:K,match($A1361&amp;","&amp;index('Year Conversion'!$A:$A,match($C1361,'Year Conversion'!$B:$B,0)),$Y:$Y,0))-K1361,"")</f>
        <v>1.077480863</v>
      </c>
      <c r="AC1361" s="168" t="str">
        <f t="shared" si="7"/>
        <v>ATL,2015-16</v>
      </c>
    </row>
    <row r="1362">
      <c r="A1362" s="161" t="str">
        <f>IFERROR(__xludf.DUMMYFUNCTION("""COMPUTED_VALUE"""),"smartma01")</f>
        <v>smartma01</v>
      </c>
      <c r="B1362" s="161" t="str">
        <f>IFERROR(__xludf.DUMMYFUNCTION("""COMPUTED_VALUE"""),"Marcus Smart")</f>
        <v>Marcus Smart</v>
      </c>
      <c r="C1362" s="162" t="str">
        <f>IFERROR(__xludf.DUMMYFUNCTION("""COMPUTED_VALUE"""),"2015-16")</f>
        <v>2015-16</v>
      </c>
      <c r="D1362" s="163" t="str">
        <f>IFERROR(__xludf.DUMMYFUNCTION("""COMPUTED_VALUE"""),"BOS")</f>
        <v>BOS</v>
      </c>
      <c r="E1362" s="164" t="str">
        <f>IFERROR(__xludf.DUMMYFUNCTION("""COMPUTED_VALUE"""),"Movement Shooter")</f>
        <v>Movement Shooter</v>
      </c>
      <c r="F1362" s="164">
        <f>IFERROR(__xludf.DUMMYFUNCTION("""COMPUTED_VALUE"""),1666.805)</f>
        <v>1666.805</v>
      </c>
      <c r="G1362" s="163">
        <f>IFERROR(__xludf.DUMMYFUNCTION("""COMPUTED_VALUE"""),61.0)</f>
        <v>61</v>
      </c>
      <c r="H1362" s="163" t="str">
        <f>IFERROR(__xludf.DUMMYFUNCTION("""COMPUTED_VALUE"""),"PG")</f>
        <v>PG</v>
      </c>
      <c r="I1362" s="163">
        <f>IFERROR(__xludf.DUMMYFUNCTION("""COMPUTED_VALUE"""),21.0)</f>
        <v>21</v>
      </c>
      <c r="J1362" s="165">
        <f>IFERROR(__xludf.DUMMYFUNCTION("""COMPUTED_VALUE"""),0.196772340103107)</f>
        <v>0.1967723401</v>
      </c>
      <c r="K1362" s="165">
        <f>IFERROR(__xludf.DUMMYFUNCTION("""COMPUTED_VALUE"""),-0.325450380041946)</f>
        <v>-0.32545038</v>
      </c>
      <c r="L1362" s="165">
        <f>IFERROR(__xludf.DUMMYFUNCTION("""COMPUTED_VALUE"""),0.522222720145053)</f>
        <v>0.5222227201</v>
      </c>
      <c r="M1362" s="166">
        <f t="shared" si="2"/>
        <v>2.790767346</v>
      </c>
      <c r="N1362" s="167">
        <f t="shared" si="3"/>
        <v>27.32467213</v>
      </c>
      <c r="O1362" s="163">
        <f t="shared" ref="O1362:Q1362" si="1366">rank(I1362,I:I)</f>
        <v>3528</v>
      </c>
      <c r="P1362" s="163">
        <f t="shared" si="1366"/>
        <v>1093</v>
      </c>
      <c r="Q1362" s="163">
        <f t="shared" si="1366"/>
        <v>1803</v>
      </c>
      <c r="R1362" s="163">
        <f>IFERROR(__xludf.DUMMYFUNCTION("RANK(M1362,filter(M:M,C:C=C1362))"),126.0)</f>
        <v>126</v>
      </c>
      <c r="S1362" s="161" t="b">
        <f t="shared" si="5"/>
        <v>0</v>
      </c>
      <c r="T1362" s="161" t="b">
        <f t="array" ref="T1362">index('Query Tool'!B:B,match(H1362,'Query Tool'!C:C,0))</f>
        <v>1</v>
      </c>
      <c r="U1362" s="161" t="b">
        <f t="array" ref="U1362">index('Query Tool'!B:B,match(C1362,'Query Tool'!C:C,0))</f>
        <v>0</v>
      </c>
      <c r="V1362" s="161" t="b">
        <f>F1362&gt;='Query Tool'!C$32</f>
        <v>1</v>
      </c>
      <c r="W1362" s="161" t="b">
        <f t="array" ref="W1362">index(Dropdowns!B:B,match(I1362,Dropdowns!A:A,0))</f>
        <v>1</v>
      </c>
      <c r="X1362" s="161" t="b">
        <f t="array" ref="X1362">index('Query Tool'!B:B,match(D1362,'Query Tool'!C:C,0))</f>
        <v>1</v>
      </c>
      <c r="Y1362" s="161" t="str">
        <f t="shared" si="6"/>
        <v>smartma01,2015-16</v>
      </c>
      <c r="Z1362" s="168">
        <f t="array" ref="Z1362">iferror(index(I:I,match($A1362&amp;","&amp;index('Year Conversion'!$A:$A,match($C1362,'Year Conversion'!$B:$B,0)),$Y:$Y,0))-I1362,"")</f>
        <v>1</v>
      </c>
      <c r="AA1362" s="168">
        <f t="array" ref="AA1362">iferror(index(J:J,match($A1362&amp;","&amp;index('Year Conversion'!$A:$A,match($C1362,'Year Conversion'!$B:$B,0)),$Y:$Y,0))-J1362,"")</f>
        <v>0.126671845</v>
      </c>
      <c r="AB1362" s="168">
        <f t="array" ref="AB1362">iferror(index(K:K,match($A1362&amp;","&amp;index('Year Conversion'!$A:$A,match($C1362,'Year Conversion'!$B:$B,0)),$Y:$Y,0))-K1362,"")</f>
        <v>0.6154050942</v>
      </c>
      <c r="AC1362" s="168" t="str">
        <f t="shared" si="7"/>
        <v>BOS,2015-16</v>
      </c>
    </row>
    <row r="1363">
      <c r="A1363" s="161" t="str">
        <f>IFERROR(__xludf.DUMMYFUNCTION("""COMPUTED_VALUE"""),"anderky01")</f>
        <v>anderky01</v>
      </c>
      <c r="B1363" s="161" t="str">
        <f>IFERROR(__xludf.DUMMYFUNCTION("""COMPUTED_VALUE"""),"Kyle Anderson")</f>
        <v>Kyle Anderson</v>
      </c>
      <c r="C1363" s="162" t="str">
        <f>IFERROR(__xludf.DUMMYFUNCTION("""COMPUTED_VALUE"""),"2015-16")</f>
        <v>2015-16</v>
      </c>
      <c r="D1363" s="163" t="str">
        <f>IFERROR(__xludf.DUMMYFUNCTION("""COMPUTED_VALUE"""),"SAS")</f>
        <v>SAS</v>
      </c>
      <c r="E1363" s="164" t="str">
        <f>IFERROR(__xludf.DUMMYFUNCTION("""COMPUTED_VALUE"""),"Shot Creator")</f>
        <v>Shot Creator</v>
      </c>
      <c r="F1363" s="164">
        <f>IFERROR(__xludf.DUMMYFUNCTION("""COMPUTED_VALUE"""),1245.06166666667)</f>
        <v>1245.061667</v>
      </c>
      <c r="G1363" s="163">
        <f>IFERROR(__xludf.DUMMYFUNCTION("""COMPUTED_VALUE"""),78.0)</f>
        <v>78</v>
      </c>
      <c r="H1363" s="163" t="str">
        <f>IFERROR(__xludf.DUMMYFUNCTION("""COMPUTED_VALUE"""),"SF")</f>
        <v>SF</v>
      </c>
      <c r="I1363" s="163">
        <f>IFERROR(__xludf.DUMMYFUNCTION("""COMPUTED_VALUE"""),22.0)</f>
        <v>22</v>
      </c>
      <c r="J1363" s="165">
        <f>IFERROR(__xludf.DUMMYFUNCTION("""COMPUTED_VALUE"""),0.961894944083203)</f>
        <v>0.9618949441</v>
      </c>
      <c r="K1363" s="165">
        <f>IFERROR(__xludf.DUMMYFUNCTION("""COMPUTED_VALUE"""),-0.515905430875081)</f>
        <v>-0.5159054309</v>
      </c>
      <c r="L1363" s="165">
        <f>IFERROR(__xludf.DUMMYFUNCTION("""COMPUTED_VALUE"""),1.47780037495828)</f>
        <v>1.477800375</v>
      </c>
      <c r="M1363" s="166">
        <f t="shared" si="2"/>
        <v>2.725856073</v>
      </c>
      <c r="N1363" s="167">
        <f t="shared" si="3"/>
        <v>15.96232906</v>
      </c>
      <c r="O1363" s="163">
        <f t="shared" ref="O1363:Q1363" si="1367">rank(I1363,I:I)</f>
        <v>3178</v>
      </c>
      <c r="P1363" s="163">
        <f t="shared" si="1367"/>
        <v>673</v>
      </c>
      <c r="Q1363" s="163">
        <f t="shared" si="1367"/>
        <v>2131</v>
      </c>
      <c r="R1363" s="163">
        <f>IFERROR(__xludf.DUMMYFUNCTION("RANK(M1363,filter(M:M,C:C=C1363))"),128.0)</f>
        <v>128</v>
      </c>
      <c r="S1363" s="161" t="b">
        <f t="shared" si="5"/>
        <v>0</v>
      </c>
      <c r="T1363" s="161" t="b">
        <f t="array" ref="T1363">index('Query Tool'!B:B,match(H1363,'Query Tool'!C:C,0))</f>
        <v>1</v>
      </c>
      <c r="U1363" s="161" t="b">
        <f t="array" ref="U1363">index('Query Tool'!B:B,match(C1363,'Query Tool'!C:C,0))</f>
        <v>0</v>
      </c>
      <c r="V1363" s="161" t="b">
        <f>F1363&gt;='Query Tool'!C$32</f>
        <v>1</v>
      </c>
      <c r="W1363" s="161" t="b">
        <f t="array" ref="W1363">index(Dropdowns!B:B,match(I1363,Dropdowns!A:A,0))</f>
        <v>1</v>
      </c>
      <c r="X1363" s="161" t="b">
        <f t="array" ref="X1363">index('Query Tool'!B:B,match(D1363,'Query Tool'!C:C,0))</f>
        <v>1</v>
      </c>
      <c r="Y1363" s="161" t="str">
        <f t="shared" si="6"/>
        <v>anderky01,2015-16</v>
      </c>
      <c r="Z1363" s="168">
        <f t="array" ref="Z1363">iferror(index(I:I,match($A1363&amp;","&amp;index('Year Conversion'!$A:$A,match($C1363,'Year Conversion'!$B:$B,0)),$Y:$Y,0))-I1363,"")</f>
        <v>1</v>
      </c>
      <c r="AA1363" s="168">
        <f t="array" ref="AA1363">iferror(index(J:J,match($A1363&amp;","&amp;index('Year Conversion'!$A:$A,match($C1363,'Year Conversion'!$B:$B,0)),$Y:$Y,0))-J1363,"")</f>
        <v>-0.4013972157</v>
      </c>
      <c r="AB1363" s="168">
        <f t="array" ref="AB1363">iferror(index(K:K,match($A1363&amp;","&amp;index('Year Conversion'!$A:$A,match($C1363,'Year Conversion'!$B:$B,0)),$Y:$Y,0))-K1363,"")</f>
        <v>-0.7560892455</v>
      </c>
      <c r="AC1363" s="168" t="str">
        <f t="shared" si="7"/>
        <v>SAS,2015-16</v>
      </c>
    </row>
    <row r="1364">
      <c r="A1364" s="161" t="str">
        <f>IFERROR(__xludf.DUMMYFUNCTION("""COMPUTED_VALUE"""),"poweldw01")</f>
        <v>poweldw01</v>
      </c>
      <c r="B1364" s="161" t="str">
        <f>IFERROR(__xludf.DUMMYFUNCTION("""COMPUTED_VALUE"""),"Dwight Powell")</f>
        <v>Dwight Powell</v>
      </c>
      <c r="C1364" s="162" t="str">
        <f>IFERROR(__xludf.DUMMYFUNCTION("""COMPUTED_VALUE"""),"2015-16")</f>
        <v>2015-16</v>
      </c>
      <c r="D1364" s="163" t="str">
        <f>IFERROR(__xludf.DUMMYFUNCTION("""COMPUTED_VALUE"""),"DAL")</f>
        <v>DAL</v>
      </c>
      <c r="E1364" s="164" t="str">
        <f>IFERROR(__xludf.DUMMYFUNCTION("""COMPUTED_VALUE"""),"Roll + Cut Big")</f>
        <v>Roll + Cut Big</v>
      </c>
      <c r="F1364" s="164">
        <f>IFERROR(__xludf.DUMMYFUNCTION("""COMPUTED_VALUE"""),991.628333333333)</f>
        <v>991.6283333</v>
      </c>
      <c r="G1364" s="163">
        <f>IFERROR(__xludf.DUMMYFUNCTION("""COMPUTED_VALUE"""),69.0)</f>
        <v>69</v>
      </c>
      <c r="H1364" s="163" t="str">
        <f>IFERROR(__xludf.DUMMYFUNCTION("""COMPUTED_VALUE"""),"PF")</f>
        <v>PF</v>
      </c>
      <c r="I1364" s="163">
        <f>IFERROR(__xludf.DUMMYFUNCTION("""COMPUTED_VALUE"""),24.0)</f>
        <v>24</v>
      </c>
      <c r="J1364" s="165">
        <f>IFERROR(__xludf.DUMMYFUNCTION("""COMPUTED_VALUE"""),-0.507551599461244)</f>
        <v>-0.5075515995</v>
      </c>
      <c r="K1364" s="165">
        <f>IFERROR(__xludf.DUMMYFUNCTION("""COMPUTED_VALUE"""),-1.3893850203857)</f>
        <v>-1.38938502</v>
      </c>
      <c r="L1364" s="165">
        <f>IFERROR(__xludf.DUMMYFUNCTION("""COMPUTED_VALUE"""),0.881833420924456)</f>
        <v>0.8818334209</v>
      </c>
      <c r="M1364" s="166">
        <f t="shared" si="2"/>
        <v>1.189560275</v>
      </c>
      <c r="N1364" s="167">
        <f t="shared" si="3"/>
        <v>14.37142512</v>
      </c>
      <c r="O1364" s="163">
        <f t="shared" ref="O1364:Q1364" si="1368">rank(I1364,I:I)</f>
        <v>2361</v>
      </c>
      <c r="P1364" s="163">
        <f t="shared" si="1368"/>
        <v>1866</v>
      </c>
      <c r="Q1364" s="163">
        <f t="shared" si="1368"/>
        <v>3240</v>
      </c>
      <c r="R1364" s="163">
        <f>IFERROR(__xludf.DUMMYFUNCTION("RANK(M1364,filter(M:M,C:C=C1364))"),208.0)</f>
        <v>208</v>
      </c>
      <c r="S1364" s="161" t="b">
        <f t="shared" si="5"/>
        <v>0</v>
      </c>
      <c r="T1364" s="161" t="b">
        <f t="array" ref="T1364">index('Query Tool'!B:B,match(H1364,'Query Tool'!C:C,0))</f>
        <v>1</v>
      </c>
      <c r="U1364" s="161" t="b">
        <f t="array" ref="U1364">index('Query Tool'!B:B,match(C1364,'Query Tool'!C:C,0))</f>
        <v>0</v>
      </c>
      <c r="V1364" s="161" t="b">
        <f>F1364&gt;='Query Tool'!C$32</f>
        <v>1</v>
      </c>
      <c r="W1364" s="161" t="b">
        <f t="array" ref="W1364">index(Dropdowns!B:B,match(I1364,Dropdowns!A:A,0))</f>
        <v>1</v>
      </c>
      <c r="X1364" s="161" t="b">
        <f t="array" ref="X1364">index('Query Tool'!B:B,match(D1364,'Query Tool'!C:C,0))</f>
        <v>1</v>
      </c>
      <c r="Y1364" s="161" t="str">
        <f t="shared" si="6"/>
        <v>poweldw01,2015-16</v>
      </c>
      <c r="Z1364" s="168">
        <f t="array" ref="Z1364">iferror(index(I:I,match($A1364&amp;","&amp;index('Year Conversion'!$A:$A,match($C1364,'Year Conversion'!$B:$B,0)),$Y:$Y,0))-I1364,"")</f>
        <v>1</v>
      </c>
      <c r="AA1364" s="168">
        <f t="array" ref="AA1364">iferror(index(J:J,match($A1364&amp;","&amp;index('Year Conversion'!$A:$A,match($C1364,'Year Conversion'!$B:$B,0)),$Y:$Y,0))-J1364,"")</f>
        <v>-0.1874515001</v>
      </c>
      <c r="AB1364" s="168">
        <f t="array" ref="AB1364">iferror(index(K:K,match($A1364&amp;","&amp;index('Year Conversion'!$A:$A,match($C1364,'Year Conversion'!$B:$B,0)),$Y:$Y,0))-K1364,"")</f>
        <v>0.4027841318</v>
      </c>
      <c r="AC1364" s="168" t="str">
        <f t="shared" si="7"/>
        <v>DAL,2015-16</v>
      </c>
    </row>
    <row r="1365">
      <c r="A1365" s="161" t="str">
        <f>IFERROR(__xludf.DUMMYFUNCTION("""COMPUTED_VALUE"""),"paynead01")</f>
        <v>paynead01</v>
      </c>
      <c r="B1365" s="161" t="str">
        <f>IFERROR(__xludf.DUMMYFUNCTION("""COMPUTED_VALUE"""),"Adreian Payne")</f>
        <v>Adreian Payne</v>
      </c>
      <c r="C1365" s="162" t="str">
        <f>IFERROR(__xludf.DUMMYFUNCTION("""COMPUTED_VALUE"""),"2015-16")</f>
        <v>2015-16</v>
      </c>
      <c r="D1365" s="163" t="str">
        <f>IFERROR(__xludf.DUMMYFUNCTION("""COMPUTED_VALUE"""),"MIN")</f>
        <v>MIN</v>
      </c>
      <c r="E1365" s="164" t="str">
        <f>IFERROR(__xludf.DUMMYFUNCTION("""COMPUTED_VALUE"""),"Post Scorer")</f>
        <v>Post Scorer</v>
      </c>
      <c r="F1365" s="164">
        <f>IFERROR(__xludf.DUMMYFUNCTION("""COMPUTED_VALUE"""),485.59)</f>
        <v>485.59</v>
      </c>
      <c r="G1365" s="163">
        <f>IFERROR(__xludf.DUMMYFUNCTION("""COMPUTED_VALUE"""),52.0)</f>
        <v>52</v>
      </c>
      <c r="H1365" s="163" t="str">
        <f>IFERROR(__xludf.DUMMYFUNCTION("""COMPUTED_VALUE"""),"PF")</f>
        <v>PF</v>
      </c>
      <c r="I1365" s="163">
        <f>IFERROR(__xludf.DUMMYFUNCTION("""COMPUTED_VALUE"""),24.0)</f>
        <v>24</v>
      </c>
      <c r="J1365" s="165">
        <f>IFERROR(__xludf.DUMMYFUNCTION("""COMPUTED_VALUE"""),-3.06803594093864)</f>
        <v>-3.068035941</v>
      </c>
      <c r="K1365" s="165">
        <f>IFERROR(__xludf.DUMMYFUNCTION("""COMPUTED_VALUE"""),-2.45514619694165)</f>
        <v>-2.455146197</v>
      </c>
      <c r="L1365" s="165">
        <f>IFERROR(__xludf.DUMMYFUNCTION("""COMPUTED_VALUE"""),-0.61288974399699)</f>
        <v>-0.612889744</v>
      </c>
      <c r="M1365" s="166">
        <f t="shared" si="2"/>
        <v>-0.242863711</v>
      </c>
      <c r="N1365" s="167">
        <f t="shared" si="3"/>
        <v>9.338269231</v>
      </c>
      <c r="O1365" s="163">
        <f t="shared" ref="O1365:Q1365" si="1369">rank(I1365,I:I)</f>
        <v>2361</v>
      </c>
      <c r="P1365" s="163">
        <f t="shared" si="1369"/>
        <v>3900</v>
      </c>
      <c r="Q1365" s="163">
        <f t="shared" si="1369"/>
        <v>3881</v>
      </c>
      <c r="R1365" s="163">
        <f>IFERROR(__xludf.DUMMYFUNCTION("RANK(M1365,filter(M:M,C:C=C1365))"),446.0)</f>
        <v>446</v>
      </c>
      <c r="S1365" s="161" t="b">
        <f t="shared" si="5"/>
        <v>0</v>
      </c>
      <c r="T1365" s="161" t="b">
        <f t="array" ref="T1365">index('Query Tool'!B:B,match(H1365,'Query Tool'!C:C,0))</f>
        <v>1</v>
      </c>
      <c r="U1365" s="161" t="b">
        <f t="array" ref="U1365">index('Query Tool'!B:B,match(C1365,'Query Tool'!C:C,0))</f>
        <v>0</v>
      </c>
      <c r="V1365" s="161" t="b">
        <f>F1365&gt;='Query Tool'!C$32</f>
        <v>0</v>
      </c>
      <c r="W1365" s="161" t="b">
        <f t="array" ref="W1365">index(Dropdowns!B:B,match(I1365,Dropdowns!A:A,0))</f>
        <v>1</v>
      </c>
      <c r="X1365" s="161" t="b">
        <f t="array" ref="X1365">index('Query Tool'!B:B,match(D1365,'Query Tool'!C:C,0))</f>
        <v>1</v>
      </c>
      <c r="Y1365" s="161" t="str">
        <f t="shared" si="6"/>
        <v>paynead01,2015-16</v>
      </c>
      <c r="Z1365" s="168">
        <f t="array" ref="Z1365">iferror(index(I:I,match($A1365&amp;","&amp;index('Year Conversion'!$A:$A,match($C1365,'Year Conversion'!$B:$B,0)),$Y:$Y,0))-I1365,"")</f>
        <v>1</v>
      </c>
      <c r="AA1365" s="168">
        <f t="array" ref="AA1365">iferror(index(J:J,match($A1365&amp;","&amp;index('Year Conversion'!$A:$A,match($C1365,'Year Conversion'!$B:$B,0)),$Y:$Y,0))-J1365,"")</f>
        <v>2.983607742</v>
      </c>
      <c r="AB1365" s="168">
        <f t="array" ref="AB1365">iferror(index(K:K,match($A1365&amp;","&amp;index('Year Conversion'!$A:$A,match($C1365,'Year Conversion'!$B:$B,0)),$Y:$Y,0))-K1365,"")</f>
        <v>2.320395727</v>
      </c>
      <c r="AC1365" s="168" t="str">
        <f t="shared" si="7"/>
        <v>MIN,2015-16</v>
      </c>
    </row>
    <row r="1366">
      <c r="A1366" s="161" t="str">
        <f>IFERROR(__xludf.DUMMYFUNCTION("""COMPUTED_VALUE"""),"vonleno01")</f>
        <v>vonleno01</v>
      </c>
      <c r="B1366" s="161" t="str">
        <f>IFERROR(__xludf.DUMMYFUNCTION("""COMPUTED_VALUE"""),"Noah Vonleh")</f>
        <v>Noah Vonleh</v>
      </c>
      <c r="C1366" s="162" t="str">
        <f>IFERROR(__xludf.DUMMYFUNCTION("""COMPUTED_VALUE"""),"2015-16")</f>
        <v>2015-16</v>
      </c>
      <c r="D1366" s="163" t="str">
        <f>IFERROR(__xludf.DUMMYFUNCTION("""COMPUTED_VALUE"""),"POR")</f>
        <v>POR</v>
      </c>
      <c r="E1366" s="164" t="str">
        <f>IFERROR(__xludf.DUMMYFUNCTION("""COMPUTED_VALUE"""),"Roll + Cut Big")</f>
        <v>Roll + Cut Big</v>
      </c>
      <c r="F1366" s="164">
        <f>IFERROR(__xludf.DUMMYFUNCTION("""COMPUTED_VALUE"""),1173.49333333333)</f>
        <v>1173.493333</v>
      </c>
      <c r="G1366" s="163">
        <f>IFERROR(__xludf.DUMMYFUNCTION("""COMPUTED_VALUE"""),78.0)</f>
        <v>78</v>
      </c>
      <c r="H1366" s="163" t="str">
        <f>IFERROR(__xludf.DUMMYFUNCTION("""COMPUTED_VALUE"""),"PF")</f>
        <v>PF</v>
      </c>
      <c r="I1366" s="163">
        <f>IFERROR(__xludf.DUMMYFUNCTION("""COMPUTED_VALUE"""),20.0)</f>
        <v>20</v>
      </c>
      <c r="J1366" s="165">
        <f>IFERROR(__xludf.DUMMYFUNCTION("""COMPUTED_VALUE"""),-2.68622199035302)</f>
        <v>-2.68622199</v>
      </c>
      <c r="K1366" s="165">
        <f>IFERROR(__xludf.DUMMYFUNCTION("""COMPUTED_VALUE"""),-2.902700679538)</f>
        <v>-2.90270068</v>
      </c>
      <c r="L1366" s="165">
        <f>IFERROR(__xludf.DUMMYFUNCTION("""COMPUTED_VALUE"""),0.216478689184974)</f>
        <v>0.2164786892</v>
      </c>
      <c r="M1366" s="166">
        <f t="shared" si="2"/>
        <v>-0.295037716</v>
      </c>
      <c r="N1366" s="167">
        <f t="shared" si="3"/>
        <v>15.04478632</v>
      </c>
      <c r="O1366" s="163">
        <f t="shared" ref="O1366:Q1366" si="1370">rank(I1366,I:I)</f>
        <v>3770</v>
      </c>
      <c r="P1366" s="163">
        <f t="shared" si="1370"/>
        <v>3806</v>
      </c>
      <c r="Q1366" s="163">
        <f t="shared" si="1370"/>
        <v>3966</v>
      </c>
      <c r="R1366" s="163">
        <f>IFERROR(__xludf.DUMMYFUNCTION("RANK(M1366,filter(M:M,C:C=C1366))"),448.0)</f>
        <v>448</v>
      </c>
      <c r="S1366" s="161" t="b">
        <f t="shared" si="5"/>
        <v>0</v>
      </c>
      <c r="T1366" s="161" t="b">
        <f t="array" ref="T1366">index('Query Tool'!B:B,match(H1366,'Query Tool'!C:C,0))</f>
        <v>1</v>
      </c>
      <c r="U1366" s="161" t="b">
        <f t="array" ref="U1366">index('Query Tool'!B:B,match(C1366,'Query Tool'!C:C,0))</f>
        <v>0</v>
      </c>
      <c r="V1366" s="161" t="b">
        <f>F1366&gt;='Query Tool'!C$32</f>
        <v>1</v>
      </c>
      <c r="W1366" s="161" t="b">
        <f t="array" ref="W1366">index(Dropdowns!B:B,match(I1366,Dropdowns!A:A,0))</f>
        <v>1</v>
      </c>
      <c r="X1366" s="161" t="b">
        <f t="array" ref="X1366">index('Query Tool'!B:B,match(D1366,'Query Tool'!C:C,0))</f>
        <v>1</v>
      </c>
      <c r="Y1366" s="161" t="str">
        <f t="shared" si="6"/>
        <v>vonleno01,2015-16</v>
      </c>
      <c r="Z1366" s="168">
        <f t="array" ref="Z1366">iferror(index(I:I,match($A1366&amp;","&amp;index('Year Conversion'!$A:$A,match($C1366,'Year Conversion'!$B:$B,0)),$Y:$Y,0))-I1366,"")</f>
        <v>1</v>
      </c>
      <c r="AA1366" s="168">
        <f t="array" ref="AA1366">iferror(index(J:J,match($A1366&amp;","&amp;index('Year Conversion'!$A:$A,match($C1366,'Year Conversion'!$B:$B,0)),$Y:$Y,0))-J1366,"")</f>
        <v>1.099352226</v>
      </c>
      <c r="AB1366" s="168">
        <f t="array" ref="AB1366">iferror(index(K:K,match($A1366&amp;","&amp;index('Year Conversion'!$A:$A,match($C1366,'Year Conversion'!$B:$B,0)),$Y:$Y,0))-K1366,"")</f>
        <v>0.08797037421</v>
      </c>
      <c r="AC1366" s="168" t="str">
        <f t="shared" si="7"/>
        <v>POR,2015-16</v>
      </c>
    </row>
    <row r="1367">
      <c r="A1367" s="161" t="str">
        <f>IFERROR(__xludf.DUMMYFUNCTION("""COMPUTED_VALUE"""),"randlju01")</f>
        <v>randlju01</v>
      </c>
      <c r="B1367" s="161" t="str">
        <f>IFERROR(__xludf.DUMMYFUNCTION("""COMPUTED_VALUE"""),"Julius Randle")</f>
        <v>Julius Randle</v>
      </c>
      <c r="C1367" s="162" t="str">
        <f>IFERROR(__xludf.DUMMYFUNCTION("""COMPUTED_VALUE"""),"2015-16")</f>
        <v>2015-16</v>
      </c>
      <c r="D1367" s="163" t="str">
        <f>IFERROR(__xludf.DUMMYFUNCTION("""COMPUTED_VALUE"""),"LAL")</f>
        <v>LAL</v>
      </c>
      <c r="E1367" s="164" t="str">
        <f>IFERROR(__xludf.DUMMYFUNCTION("""COMPUTED_VALUE"""),"Roll + Cut Big")</f>
        <v>Roll + Cut Big</v>
      </c>
      <c r="F1367" s="164">
        <f>IFERROR(__xludf.DUMMYFUNCTION("""COMPUTED_VALUE"""),2286.19666666667)</f>
        <v>2286.196667</v>
      </c>
      <c r="G1367" s="163">
        <f>IFERROR(__xludf.DUMMYFUNCTION("""COMPUTED_VALUE"""),81.0)</f>
        <v>81</v>
      </c>
      <c r="H1367" s="163" t="str">
        <f>IFERROR(__xludf.DUMMYFUNCTION("""COMPUTED_VALUE"""),"PF")</f>
        <v>PF</v>
      </c>
      <c r="I1367" s="163">
        <f>IFERROR(__xludf.DUMMYFUNCTION("""COMPUTED_VALUE"""),21.0)</f>
        <v>21</v>
      </c>
      <c r="J1367" s="165">
        <f>IFERROR(__xludf.DUMMYFUNCTION("""COMPUTED_VALUE"""),-3.22300450291205)</f>
        <v>-3.223004503</v>
      </c>
      <c r="K1367" s="165">
        <f>IFERROR(__xludf.DUMMYFUNCTION("""COMPUTED_VALUE"""),-1.74576901093169)</f>
        <v>-1.745769011</v>
      </c>
      <c r="L1367" s="165">
        <f>IFERROR(__xludf.DUMMYFUNCTION("""COMPUTED_VALUE"""),-1.47723549198036)</f>
        <v>-1.477235492</v>
      </c>
      <c r="M1367" s="166">
        <f t="shared" si="2"/>
        <v>-1.372692566</v>
      </c>
      <c r="N1367" s="167">
        <f t="shared" si="3"/>
        <v>28.22465021</v>
      </c>
      <c r="O1367" s="163">
        <f t="shared" ref="O1367:Q1367" si="1371">rank(I1367,I:I)</f>
        <v>3528</v>
      </c>
      <c r="P1367" s="163">
        <f t="shared" si="1371"/>
        <v>3930</v>
      </c>
      <c r="Q1367" s="163">
        <f t="shared" si="1371"/>
        <v>3547</v>
      </c>
      <c r="R1367" s="163">
        <f>IFERROR(__xludf.DUMMYFUNCTION("RANK(M1367,filter(M:M,C:C=C1367))"),472.0)</f>
        <v>472</v>
      </c>
      <c r="S1367" s="161" t="b">
        <f t="shared" si="5"/>
        <v>0</v>
      </c>
      <c r="T1367" s="161" t="b">
        <f t="array" ref="T1367">index('Query Tool'!B:B,match(H1367,'Query Tool'!C:C,0))</f>
        <v>1</v>
      </c>
      <c r="U1367" s="161" t="b">
        <f t="array" ref="U1367">index('Query Tool'!B:B,match(C1367,'Query Tool'!C:C,0))</f>
        <v>0</v>
      </c>
      <c r="V1367" s="161" t="b">
        <f>F1367&gt;='Query Tool'!C$32</f>
        <v>1</v>
      </c>
      <c r="W1367" s="161" t="b">
        <f t="array" ref="W1367">index(Dropdowns!B:B,match(I1367,Dropdowns!A:A,0))</f>
        <v>1</v>
      </c>
      <c r="X1367" s="161" t="b">
        <f t="array" ref="X1367">index('Query Tool'!B:B,match(D1367,'Query Tool'!C:C,0))</f>
        <v>1</v>
      </c>
      <c r="Y1367" s="161" t="str">
        <f t="shared" si="6"/>
        <v>randlju01,2015-16</v>
      </c>
      <c r="Z1367" s="168">
        <f t="array" ref="Z1367">iferror(index(I:I,match($A1367&amp;","&amp;index('Year Conversion'!$A:$A,match($C1367,'Year Conversion'!$B:$B,0)),$Y:$Y,0))-I1367,"")</f>
        <v>1</v>
      </c>
      <c r="AA1367" s="168">
        <f t="array" ref="AA1367">iferror(index(J:J,match($A1367&amp;","&amp;index('Year Conversion'!$A:$A,match($C1367,'Year Conversion'!$B:$B,0)),$Y:$Y,0))-J1367,"")</f>
        <v>1.689790174</v>
      </c>
      <c r="AB1367" s="168">
        <f t="array" ref="AB1367">iferror(index(K:K,match($A1367&amp;","&amp;index('Year Conversion'!$A:$A,match($C1367,'Year Conversion'!$B:$B,0)),$Y:$Y,0))-K1367,"")</f>
        <v>0.9103582026</v>
      </c>
      <c r="AC1367" s="168" t="str">
        <f t="shared" si="7"/>
        <v>LAL,2015-16</v>
      </c>
    </row>
    <row r="1368">
      <c r="A1368" s="161" t="str">
        <f>IFERROR(__xludf.DUMMYFUNCTION("""COMPUTED_VALUE"""),"bairsca01")</f>
        <v>bairsca01</v>
      </c>
      <c r="B1368" s="161" t="str">
        <f>IFERROR(__xludf.DUMMYFUNCTION("""COMPUTED_VALUE"""),"Cameron Bairstow")</f>
        <v>Cameron Bairstow</v>
      </c>
      <c r="C1368" s="162" t="str">
        <f>IFERROR(__xludf.DUMMYFUNCTION("""COMPUTED_VALUE"""),"2015-16")</f>
        <v>2015-16</v>
      </c>
      <c r="D1368" s="163" t="str">
        <f>IFERROR(__xludf.DUMMYFUNCTION("""COMPUTED_VALUE"""),"CHI")</f>
        <v>CHI</v>
      </c>
      <c r="E1368" s="164" t="str">
        <f>IFERROR(__xludf.DUMMYFUNCTION("""COMPUTED_VALUE"""),"Post Scorer")</f>
        <v>Post Scorer</v>
      </c>
      <c r="F1368" s="164">
        <f>IFERROR(__xludf.DUMMYFUNCTION("""COMPUTED_VALUE"""),102.6)</f>
        <v>102.6</v>
      </c>
      <c r="G1368" s="163">
        <f>IFERROR(__xludf.DUMMYFUNCTION("""COMPUTED_VALUE"""),18.0)</f>
        <v>18</v>
      </c>
      <c r="H1368" s="163" t="str">
        <f>IFERROR(__xludf.DUMMYFUNCTION("""COMPUTED_VALUE"""),"C")</f>
        <v>C</v>
      </c>
      <c r="I1368" s="163">
        <f>IFERROR(__xludf.DUMMYFUNCTION("""COMPUTED_VALUE"""),25.0)</f>
        <v>25</v>
      </c>
      <c r="J1368" s="165">
        <f>IFERROR(__xludf.DUMMYFUNCTION("""COMPUTED_VALUE"""),-0.488767399655517)</f>
        <v>-0.4887673997</v>
      </c>
      <c r="K1368" s="165">
        <f>IFERROR(__xludf.DUMMYFUNCTION("""COMPUTED_VALUE"""),-0.737597319566355)</f>
        <v>-0.7375973196</v>
      </c>
      <c r="L1368" s="165">
        <f>IFERROR(__xludf.DUMMYFUNCTION("""COMPUTED_VALUE"""),0.248829919910838)</f>
        <v>0.2488299199</v>
      </c>
      <c r="M1368" s="166">
        <f t="shared" si="2"/>
        <v>0.1243772581</v>
      </c>
      <c r="N1368" s="167">
        <f t="shared" si="3"/>
        <v>5.7</v>
      </c>
      <c r="O1368" s="163">
        <f t="shared" ref="O1368:Q1368" si="1372">rank(I1368,I:I)</f>
        <v>1995</v>
      </c>
      <c r="P1368" s="163">
        <f t="shared" si="1372"/>
        <v>1837</v>
      </c>
      <c r="Q1368" s="163">
        <f t="shared" si="1372"/>
        <v>2465</v>
      </c>
      <c r="R1368" s="163">
        <f>IFERROR(__xludf.DUMMYFUNCTION("RANK(M1368,filter(M:M,C:C=C1368))"),360.0)</f>
        <v>360</v>
      </c>
      <c r="S1368" s="161" t="b">
        <f t="shared" si="5"/>
        <v>0</v>
      </c>
      <c r="T1368" s="161" t="b">
        <f t="array" ref="T1368">index('Query Tool'!B:B,match(H1368,'Query Tool'!C:C,0))</f>
        <v>1</v>
      </c>
      <c r="U1368" s="161" t="b">
        <f t="array" ref="U1368">index('Query Tool'!B:B,match(C1368,'Query Tool'!C:C,0))</f>
        <v>0</v>
      </c>
      <c r="V1368" s="161" t="b">
        <f>F1368&gt;='Query Tool'!C$32</f>
        <v>0</v>
      </c>
      <c r="W1368" s="161" t="b">
        <f t="array" ref="W1368">index(Dropdowns!B:B,match(I1368,Dropdowns!A:A,0))</f>
        <v>1</v>
      </c>
      <c r="X1368" s="161" t="b">
        <f t="array" ref="X1368">index('Query Tool'!B:B,match(D1368,'Query Tool'!C:C,0))</f>
        <v>1</v>
      </c>
      <c r="Y1368" s="161" t="str">
        <f t="shared" si="6"/>
        <v>bairsca01,2015-16</v>
      </c>
      <c r="Z1368" s="168" t="str">
        <f t="array" ref="Z1368">iferror(index(I:I,match($A1368&amp;","&amp;index('Year Conversion'!$A:$A,match($C1368,'Year Conversion'!$B:$B,0)),$Y:$Y,0))-I1368,"")</f>
        <v/>
      </c>
      <c r="AA1368" s="168" t="str">
        <f t="array" ref="AA1368">iferror(index(J:J,match($A1368&amp;","&amp;index('Year Conversion'!$A:$A,match($C1368,'Year Conversion'!$B:$B,0)),$Y:$Y,0))-J1368,"")</f>
        <v/>
      </c>
      <c r="AB1368" s="168" t="str">
        <f t="array" ref="AB1368">iferror(index(K:K,match($A1368&amp;","&amp;index('Year Conversion'!$A:$A,match($C1368,'Year Conversion'!$B:$B,0)),$Y:$Y,0))-K1368,"")</f>
        <v/>
      </c>
      <c r="AC1368" s="168" t="str">
        <f t="shared" si="7"/>
        <v>CHI,2015-16</v>
      </c>
    </row>
    <row r="1369">
      <c r="A1369" s="161" t="str">
        <f>IFERROR(__xludf.DUMMYFUNCTION("""COMPUTED_VALUE"""),"obryajo01")</f>
        <v>obryajo01</v>
      </c>
      <c r="B1369" s="161" t="str">
        <f>IFERROR(__xludf.DUMMYFUNCTION("""COMPUTED_VALUE"""),"Johnny O'Bryant III")</f>
        <v>Johnny O'Bryant III</v>
      </c>
      <c r="C1369" s="162" t="str">
        <f>IFERROR(__xludf.DUMMYFUNCTION("""COMPUTED_VALUE"""),"2015-16")</f>
        <v>2015-16</v>
      </c>
      <c r="D1369" s="163" t="str">
        <f>IFERROR(__xludf.DUMMYFUNCTION("""COMPUTED_VALUE"""),"MIL")</f>
        <v>MIL</v>
      </c>
      <c r="E1369" s="164" t="str">
        <f>IFERROR(__xludf.DUMMYFUNCTION("""COMPUTED_VALUE"""),"Roll + Cut Big")</f>
        <v>Roll + Cut Big</v>
      </c>
      <c r="F1369" s="164">
        <f>IFERROR(__xludf.DUMMYFUNCTION("""COMPUTED_VALUE"""),857.085)</f>
        <v>857.085</v>
      </c>
      <c r="G1369" s="163">
        <f>IFERROR(__xludf.DUMMYFUNCTION("""COMPUTED_VALUE"""),66.0)</f>
        <v>66</v>
      </c>
      <c r="H1369" s="163" t="str">
        <f>IFERROR(__xludf.DUMMYFUNCTION("""COMPUTED_VALUE"""),"PF")</f>
        <v>PF</v>
      </c>
      <c r="I1369" s="163">
        <f>IFERROR(__xludf.DUMMYFUNCTION("""COMPUTED_VALUE"""),22.0)</f>
        <v>22</v>
      </c>
      <c r="J1369" s="165">
        <f>IFERROR(__xludf.DUMMYFUNCTION("""COMPUTED_VALUE"""),-4.0468382525115)</f>
        <v>-4.046838253</v>
      </c>
      <c r="K1369" s="165">
        <f>IFERROR(__xludf.DUMMYFUNCTION("""COMPUTED_VALUE"""),-2.70513495766983)</f>
        <v>-2.705134958</v>
      </c>
      <c r="L1369" s="165">
        <f>IFERROR(__xludf.DUMMYFUNCTION("""COMPUTED_VALUE"""),-1.34170329484168)</f>
        <v>-1.341703295</v>
      </c>
      <c r="M1369" s="166">
        <f t="shared" si="2"/>
        <v>-0.9652873165</v>
      </c>
      <c r="N1369" s="167">
        <f t="shared" si="3"/>
        <v>12.98613636</v>
      </c>
      <c r="O1369" s="163">
        <f t="shared" ref="O1369:Q1369" si="1373">rank(I1369,I:I)</f>
        <v>3178</v>
      </c>
      <c r="P1369" s="163">
        <f t="shared" si="1373"/>
        <v>3998</v>
      </c>
      <c r="Q1369" s="163">
        <f t="shared" si="1373"/>
        <v>3934</v>
      </c>
      <c r="R1369" s="163">
        <f>IFERROR(__xludf.DUMMYFUNCTION("RANK(M1369,filter(M:M,C:C=C1369))"),464.0)</f>
        <v>464</v>
      </c>
      <c r="S1369" s="161" t="b">
        <f t="shared" si="5"/>
        <v>0</v>
      </c>
      <c r="T1369" s="161" t="b">
        <f t="array" ref="T1369">index('Query Tool'!B:B,match(H1369,'Query Tool'!C:C,0))</f>
        <v>1</v>
      </c>
      <c r="U1369" s="161" t="b">
        <f t="array" ref="U1369">index('Query Tool'!B:B,match(C1369,'Query Tool'!C:C,0))</f>
        <v>0</v>
      </c>
      <c r="V1369" s="161" t="b">
        <f>F1369&gt;='Query Tool'!C$32</f>
        <v>1</v>
      </c>
      <c r="W1369" s="161" t="b">
        <f t="array" ref="W1369">index(Dropdowns!B:B,match(I1369,Dropdowns!A:A,0))</f>
        <v>1</v>
      </c>
      <c r="X1369" s="161" t="b">
        <f t="array" ref="X1369">index('Query Tool'!B:B,match(D1369,'Query Tool'!C:C,0))</f>
        <v>1</v>
      </c>
      <c r="Y1369" s="161" t="str">
        <f t="shared" si="6"/>
        <v>obryajo01,2015-16</v>
      </c>
      <c r="Z1369" s="168">
        <f t="array" ref="Z1369">iferror(index(I:I,match($A1369&amp;","&amp;index('Year Conversion'!$A:$A,match($C1369,'Year Conversion'!$B:$B,0)),$Y:$Y,0))-I1369,"")</f>
        <v>1</v>
      </c>
      <c r="AA1369" s="168">
        <f t="array" ref="AA1369">iferror(index(J:J,match($A1369&amp;","&amp;index('Year Conversion'!$A:$A,match($C1369,'Year Conversion'!$B:$B,0)),$Y:$Y,0))-J1369,"")</f>
        <v>3.150988908</v>
      </c>
      <c r="AB1369" s="168">
        <f t="array" ref="AB1369">iferror(index(K:K,match($A1369&amp;","&amp;index('Year Conversion'!$A:$A,match($C1369,'Year Conversion'!$B:$B,0)),$Y:$Y,0))-K1369,"")</f>
        <v>1.957783509</v>
      </c>
      <c r="AC1369" s="168" t="str">
        <f t="shared" si="7"/>
        <v>MIL,2015-16</v>
      </c>
    </row>
    <row r="1370">
      <c r="A1370" s="161" t="str">
        <f>IFERROR(__xludf.DUMMYFUNCTION("""COMPUTED_VALUE"""),"mcadoja01")</f>
        <v>mcadoja01</v>
      </c>
      <c r="B1370" s="161" t="str">
        <f>IFERROR(__xludf.DUMMYFUNCTION("""COMPUTED_VALUE"""),"James Michael McAdoo")</f>
        <v>James Michael McAdoo</v>
      </c>
      <c r="C1370" s="162" t="str">
        <f>IFERROR(__xludf.DUMMYFUNCTION("""COMPUTED_VALUE"""),"2015-16")</f>
        <v>2015-16</v>
      </c>
      <c r="D1370" s="163" t="str">
        <f>IFERROR(__xludf.DUMMYFUNCTION("""COMPUTED_VALUE"""),"GSW")</f>
        <v>GSW</v>
      </c>
      <c r="E1370" s="164" t="str">
        <f>IFERROR(__xludf.DUMMYFUNCTION("""COMPUTED_VALUE"""),"Roll + Cut Big")</f>
        <v>Roll + Cut Big</v>
      </c>
      <c r="F1370" s="164">
        <f>IFERROR(__xludf.DUMMYFUNCTION("""COMPUTED_VALUE"""),261.525)</f>
        <v>261.525</v>
      </c>
      <c r="G1370" s="163">
        <f>IFERROR(__xludf.DUMMYFUNCTION("""COMPUTED_VALUE"""),41.0)</f>
        <v>41</v>
      </c>
      <c r="H1370" s="163" t="str">
        <f>IFERROR(__xludf.DUMMYFUNCTION("""COMPUTED_VALUE"""),"PF")</f>
        <v>PF</v>
      </c>
      <c r="I1370" s="163">
        <f>IFERROR(__xludf.DUMMYFUNCTION("""COMPUTED_VALUE"""),23.0)</f>
        <v>23</v>
      </c>
      <c r="J1370" s="165">
        <f>IFERROR(__xludf.DUMMYFUNCTION("""COMPUTED_VALUE"""),-3.08485884023141)</f>
        <v>-3.08485884</v>
      </c>
      <c r="K1370" s="165">
        <f>IFERROR(__xludf.DUMMYFUNCTION("""COMPUTED_VALUE"""),-1.46285569914255)</f>
        <v>-1.462855699</v>
      </c>
      <c r="L1370" s="165">
        <f>IFERROR(__xludf.DUMMYFUNCTION("""COMPUTED_VALUE"""),-1.62200314108887)</f>
        <v>-1.622003141</v>
      </c>
      <c r="M1370" s="166">
        <f t="shared" si="2"/>
        <v>-0.1336516817</v>
      </c>
      <c r="N1370" s="167">
        <f t="shared" si="3"/>
        <v>6.378658537</v>
      </c>
      <c r="O1370" s="163">
        <f t="shared" ref="O1370:Q1370" si="1374">rank(I1370,I:I)</f>
        <v>2765</v>
      </c>
      <c r="P1370" s="163">
        <f t="shared" si="1374"/>
        <v>3906</v>
      </c>
      <c r="Q1370" s="163">
        <f t="shared" si="1374"/>
        <v>3313</v>
      </c>
      <c r="R1370" s="163">
        <f>IFERROR(__xludf.DUMMYFUNCTION("RANK(M1370,filter(M:M,C:C=C1370))"),441.0)</f>
        <v>441</v>
      </c>
      <c r="S1370" s="161" t="b">
        <f t="shared" si="5"/>
        <v>0</v>
      </c>
      <c r="T1370" s="161" t="b">
        <f t="array" ref="T1370">index('Query Tool'!B:B,match(H1370,'Query Tool'!C:C,0))</f>
        <v>1</v>
      </c>
      <c r="U1370" s="161" t="b">
        <f t="array" ref="U1370">index('Query Tool'!B:B,match(C1370,'Query Tool'!C:C,0))</f>
        <v>0</v>
      </c>
      <c r="V1370" s="161" t="b">
        <f>F1370&gt;='Query Tool'!C$32</f>
        <v>0</v>
      </c>
      <c r="W1370" s="161" t="b">
        <f t="array" ref="W1370">index(Dropdowns!B:B,match(I1370,Dropdowns!A:A,0))</f>
        <v>1</v>
      </c>
      <c r="X1370" s="161" t="b">
        <f t="array" ref="X1370">index('Query Tool'!B:B,match(D1370,'Query Tool'!C:C,0))</f>
        <v>1</v>
      </c>
      <c r="Y1370" s="161" t="str">
        <f t="shared" si="6"/>
        <v>mcadoja01,2015-16</v>
      </c>
      <c r="Z1370" s="168">
        <f t="array" ref="Z1370">iferror(index(I:I,match($A1370&amp;","&amp;index('Year Conversion'!$A:$A,match($C1370,'Year Conversion'!$B:$B,0)),$Y:$Y,0))-I1370,"")</f>
        <v>1</v>
      </c>
      <c r="AA1370" s="168">
        <f t="array" ref="AA1370">iferror(index(J:J,match($A1370&amp;","&amp;index('Year Conversion'!$A:$A,match($C1370,'Year Conversion'!$B:$B,0)),$Y:$Y,0))-J1370,"")</f>
        <v>1.288311385</v>
      </c>
      <c r="AB1370" s="168">
        <f t="array" ref="AB1370">iferror(index(K:K,match($A1370&amp;","&amp;index('Year Conversion'!$A:$A,match($C1370,'Year Conversion'!$B:$B,0)),$Y:$Y,0))-K1370,"")</f>
        <v>-0.9226509579</v>
      </c>
      <c r="AC1370" s="168" t="str">
        <f t="shared" si="7"/>
        <v>GSW,2015-16</v>
      </c>
    </row>
    <row r="1371">
      <c r="A1371" s="161" t="str">
        <f>IFERROR(__xludf.DUMMYFUNCTION("""COMPUTED_VALUE"""),"stokeja01")</f>
        <v>stokeja01</v>
      </c>
      <c r="B1371" s="161" t="str">
        <f>IFERROR(__xludf.DUMMYFUNCTION("""COMPUTED_VALUE"""),"Jarnell Stokes")</f>
        <v>Jarnell Stokes</v>
      </c>
      <c r="C1371" s="162" t="str">
        <f>IFERROR(__xludf.DUMMYFUNCTION("""COMPUTED_VALUE"""),"2015-16")</f>
        <v>2015-16</v>
      </c>
      <c r="D1371" s="163" t="str">
        <f>IFERROR(__xludf.DUMMYFUNCTION("""COMPUTED_VALUE"""),"TOT")</f>
        <v>TOT</v>
      </c>
      <c r="E1371" s="164" t="str">
        <f>IFERROR(__xludf.DUMMYFUNCTION("""COMPUTED_VALUE"""),"Roll + Cut Big")</f>
        <v>Roll + Cut Big</v>
      </c>
      <c r="F1371" s="164">
        <f>IFERROR(__xludf.DUMMYFUNCTION("""COMPUTED_VALUE"""),18.5833333333333)</f>
        <v>18.58333333</v>
      </c>
      <c r="G1371" s="163">
        <f>IFERROR(__xludf.DUMMYFUNCTION("""COMPUTED_VALUE"""),7.0)</f>
        <v>7</v>
      </c>
      <c r="H1371" s="163" t="str">
        <f>IFERROR(__xludf.DUMMYFUNCTION("""COMPUTED_VALUE"""),"C")</f>
        <v>C</v>
      </c>
      <c r="I1371" s="163">
        <f>IFERROR(__xludf.DUMMYFUNCTION("""COMPUTED_VALUE"""),22.0)</f>
        <v>22</v>
      </c>
      <c r="J1371" s="165">
        <f>IFERROR(__xludf.DUMMYFUNCTION("""COMPUTED_VALUE"""),-0.316192556551745)</f>
        <v>-0.3161925566</v>
      </c>
      <c r="K1371" s="165">
        <f>IFERROR(__xludf.DUMMYFUNCTION("""COMPUTED_VALUE"""),-0.0475497057737447)</f>
        <v>-0.04754970577</v>
      </c>
      <c r="L1371" s="165">
        <f>IFERROR(__xludf.DUMMYFUNCTION("""COMPUTED_VALUE"""),-0.268642850778)</f>
        <v>-0.2686428508</v>
      </c>
      <c r="M1371" s="166">
        <f t="shared" si="2"/>
        <v>0.02468837586</v>
      </c>
      <c r="N1371" s="167">
        <f t="shared" si="3"/>
        <v>2.654761905</v>
      </c>
      <c r="O1371" s="163">
        <f t="shared" ref="O1371:Q1371" si="1375">rank(I1371,I:I)</f>
        <v>3178</v>
      </c>
      <c r="P1371" s="163">
        <f t="shared" si="1375"/>
        <v>1633</v>
      </c>
      <c r="Q1371" s="163">
        <f t="shared" si="1375"/>
        <v>1273</v>
      </c>
      <c r="R1371" s="163">
        <f>IFERROR(__xludf.DUMMYFUNCTION("RANK(M1371,filter(M:M,C:C=C1371))"),414.0)</f>
        <v>414</v>
      </c>
      <c r="S1371" s="161" t="b">
        <f t="shared" si="5"/>
        <v>0</v>
      </c>
      <c r="T1371" s="161" t="b">
        <f t="array" ref="T1371">index('Query Tool'!B:B,match(H1371,'Query Tool'!C:C,0))</f>
        <v>1</v>
      </c>
      <c r="U1371" s="161" t="b">
        <f t="array" ref="U1371">index('Query Tool'!B:B,match(C1371,'Query Tool'!C:C,0))</f>
        <v>0</v>
      </c>
      <c r="V1371" s="161" t="b">
        <f>F1371&gt;='Query Tool'!C$32</f>
        <v>0</v>
      </c>
      <c r="W1371" s="161" t="b">
        <f t="array" ref="W1371">index(Dropdowns!B:B,match(I1371,Dropdowns!A:A,0))</f>
        <v>1</v>
      </c>
      <c r="X1371" s="161" t="b">
        <f t="array" ref="X1371">index('Query Tool'!B:B,match(D1371,'Query Tool'!C:C,0))</f>
        <v>1</v>
      </c>
      <c r="Y1371" s="161" t="str">
        <f t="shared" si="6"/>
        <v>stokeja01,2015-16</v>
      </c>
      <c r="Z1371" s="168">
        <f t="array" ref="Z1371">iferror(index(I:I,match($A1371&amp;","&amp;index('Year Conversion'!$A:$A,match($C1371,'Year Conversion'!$B:$B,0)),$Y:$Y,0))-I1371,"")</f>
        <v>1</v>
      </c>
      <c r="AA1371" s="168">
        <f t="array" ref="AA1371">iferror(index(J:J,match($A1371&amp;","&amp;index('Year Conversion'!$A:$A,match($C1371,'Year Conversion'!$B:$B,0)),$Y:$Y,0))-J1371,"")</f>
        <v>0.1424272845</v>
      </c>
      <c r="AB1371" s="168">
        <f t="array" ref="AB1371">iferror(index(K:K,match($A1371&amp;","&amp;index('Year Conversion'!$A:$A,match($C1371,'Year Conversion'!$B:$B,0)),$Y:$Y,0))-K1371,"")</f>
        <v>-0.1591981136</v>
      </c>
      <c r="AC1371" s="168" t="str">
        <f t="shared" si="7"/>
        <v>TOT,2015-16</v>
      </c>
    </row>
    <row r="1372">
      <c r="A1372" s="161" t="str">
        <f>IFERROR(__xludf.DUMMYFUNCTION("""COMPUTED_VALUE"""),"applike01")</f>
        <v>applike01</v>
      </c>
      <c r="B1372" s="161" t="str">
        <f>IFERROR(__xludf.DUMMYFUNCTION("""COMPUTED_VALUE"""),"Keith Appling")</f>
        <v>Keith Appling</v>
      </c>
      <c r="C1372" s="162" t="str">
        <f>IFERROR(__xludf.DUMMYFUNCTION("""COMPUTED_VALUE"""),"2015-16")</f>
        <v>2015-16</v>
      </c>
      <c r="D1372" s="163" t="str">
        <f>IFERROR(__xludf.DUMMYFUNCTION("""COMPUTED_VALUE"""),"ORL")</f>
        <v>ORL</v>
      </c>
      <c r="E1372" s="164" t="str">
        <f>IFERROR(__xludf.DUMMYFUNCTION("""COMPUTED_VALUE"""),"Movement Shooter")</f>
        <v>Movement Shooter</v>
      </c>
      <c r="F1372" s="164">
        <f>IFERROR(__xludf.DUMMYFUNCTION("""COMPUTED_VALUE"""),26.85)</f>
        <v>26.85</v>
      </c>
      <c r="G1372" s="163">
        <f>IFERROR(__xludf.DUMMYFUNCTION("""COMPUTED_VALUE"""),5.0)</f>
        <v>5</v>
      </c>
      <c r="H1372" s="163" t="str">
        <f>IFERROR(__xludf.DUMMYFUNCTION("""COMPUTED_VALUE"""),"PG")</f>
        <v>PG</v>
      </c>
      <c r="I1372" s="163">
        <f>IFERROR(__xludf.DUMMYFUNCTION("""COMPUTED_VALUE"""),23.0)</f>
        <v>23</v>
      </c>
      <c r="J1372" s="165">
        <f>IFERROR(__xludf.DUMMYFUNCTION("""COMPUTED_VALUE"""),-0.344851832361353)</f>
        <v>-0.3448518324</v>
      </c>
      <c r="K1372" s="165">
        <f>IFERROR(__xludf.DUMMYFUNCTION("""COMPUTED_VALUE"""),-0.207018025799748)</f>
        <v>-0.2070180258</v>
      </c>
      <c r="L1372" s="165">
        <f>IFERROR(__xludf.DUMMYFUNCTION("""COMPUTED_VALUE"""),-0.137833806561606)</f>
        <v>-0.1378338066</v>
      </c>
      <c r="M1372" s="166">
        <f t="shared" si="2"/>
        <v>0.03515227442</v>
      </c>
      <c r="N1372" s="167">
        <f t="shared" si="3"/>
        <v>5.37</v>
      </c>
      <c r="O1372" s="163">
        <f t="shared" ref="O1372:Q1372" si="1376">rank(I1372,I:I)</f>
        <v>2765</v>
      </c>
      <c r="P1372" s="163">
        <f t="shared" si="1376"/>
        <v>1667</v>
      </c>
      <c r="Q1372" s="163">
        <f t="shared" si="1376"/>
        <v>1574</v>
      </c>
      <c r="R1372" s="163">
        <f>IFERROR(__xludf.DUMMYFUNCTION("RANK(M1372,filter(M:M,C:C=C1372))"),407.0)</f>
        <v>407</v>
      </c>
      <c r="S1372" s="161" t="b">
        <f t="shared" si="5"/>
        <v>0</v>
      </c>
      <c r="T1372" s="161" t="b">
        <f t="array" ref="T1372">index('Query Tool'!B:B,match(H1372,'Query Tool'!C:C,0))</f>
        <v>1</v>
      </c>
      <c r="U1372" s="161" t="b">
        <f t="array" ref="U1372">index('Query Tool'!B:B,match(C1372,'Query Tool'!C:C,0))</f>
        <v>0</v>
      </c>
      <c r="V1372" s="161" t="b">
        <f>F1372&gt;='Query Tool'!C$32</f>
        <v>0</v>
      </c>
      <c r="W1372" s="161" t="b">
        <f t="array" ref="W1372">index(Dropdowns!B:B,match(I1372,Dropdowns!A:A,0))</f>
        <v>1</v>
      </c>
      <c r="X1372" s="161" t="b">
        <f t="array" ref="X1372">index('Query Tool'!B:B,match(D1372,'Query Tool'!C:C,0))</f>
        <v>1</v>
      </c>
      <c r="Y1372" s="161" t="str">
        <f t="shared" si="6"/>
        <v>applike01,2015-16</v>
      </c>
      <c r="Z1372" s="168" t="str">
        <f t="array" ref="Z1372">iferror(index(I:I,match($A1372&amp;","&amp;index('Year Conversion'!$A:$A,match($C1372,'Year Conversion'!$B:$B,0)),$Y:$Y,0))-I1372,"")</f>
        <v/>
      </c>
      <c r="AA1372" s="168" t="str">
        <f t="array" ref="AA1372">iferror(index(J:J,match($A1372&amp;","&amp;index('Year Conversion'!$A:$A,match($C1372,'Year Conversion'!$B:$B,0)),$Y:$Y,0))-J1372,"")</f>
        <v/>
      </c>
      <c r="AB1372" s="168" t="str">
        <f t="array" ref="AB1372">iferror(index(K:K,match($A1372&amp;","&amp;index('Year Conversion'!$A:$A,match($C1372,'Year Conversion'!$B:$B,0)),$Y:$Y,0))-K1372,"")</f>
        <v/>
      </c>
      <c r="AC1372" s="168" t="str">
        <f t="shared" si="7"/>
        <v>ORL,2015-16</v>
      </c>
    </row>
    <row r="1373">
      <c r="A1373" s="161" t="str">
        <f>IFERROR(__xludf.DUMMYFUNCTION("""COMPUTED_VALUE"""),"wiggian01")</f>
        <v>wiggian01</v>
      </c>
      <c r="B1373" s="161" t="str">
        <f>IFERROR(__xludf.DUMMYFUNCTION("""COMPUTED_VALUE"""),"Andrew Wiggins")</f>
        <v>Andrew Wiggins</v>
      </c>
      <c r="C1373" s="162" t="str">
        <f>IFERROR(__xludf.DUMMYFUNCTION("""COMPUTED_VALUE"""),"2015-16")</f>
        <v>2015-16</v>
      </c>
      <c r="D1373" s="163" t="str">
        <f>IFERROR(__xludf.DUMMYFUNCTION("""COMPUTED_VALUE"""),"MIN")</f>
        <v>MIN</v>
      </c>
      <c r="E1373" s="164" t="str">
        <f>IFERROR(__xludf.DUMMYFUNCTION("""COMPUTED_VALUE"""),"Shot Creator")</f>
        <v>Shot Creator</v>
      </c>
      <c r="F1373" s="164">
        <f>IFERROR(__xludf.DUMMYFUNCTION("""COMPUTED_VALUE"""),2844.59)</f>
        <v>2844.59</v>
      </c>
      <c r="G1373" s="163">
        <f>IFERROR(__xludf.DUMMYFUNCTION("""COMPUTED_VALUE"""),81.0)</f>
        <v>81</v>
      </c>
      <c r="H1373" s="163" t="str">
        <f>IFERROR(__xludf.DUMMYFUNCTION("""COMPUTED_VALUE"""),"SF")</f>
        <v>SF</v>
      </c>
      <c r="I1373" s="163">
        <f>IFERROR(__xludf.DUMMYFUNCTION("""COMPUTED_VALUE"""),20.0)</f>
        <v>20</v>
      </c>
      <c r="J1373" s="165">
        <f>IFERROR(__xludf.DUMMYFUNCTION("""COMPUTED_VALUE"""),-0.359640011252588)</f>
        <v>-0.3596400113</v>
      </c>
      <c r="K1373" s="165">
        <f>IFERROR(__xludf.DUMMYFUNCTION("""COMPUTED_VALUE"""),1.0965123250268)</f>
        <v>1.096512325</v>
      </c>
      <c r="L1373" s="165">
        <f>IFERROR(__xludf.DUMMYFUNCTION("""COMPUTED_VALUE"""),-1.45615233627939)</f>
        <v>-1.456152336</v>
      </c>
      <c r="M1373" s="166">
        <f t="shared" si="2"/>
        <v>3.695818169</v>
      </c>
      <c r="N1373" s="167">
        <f t="shared" si="3"/>
        <v>35.11839506</v>
      </c>
      <c r="O1373" s="163">
        <f t="shared" ref="O1373:Q1373" si="1377">rank(I1373,I:I)</f>
        <v>3770</v>
      </c>
      <c r="P1373" s="163">
        <f t="shared" si="1377"/>
        <v>1680</v>
      </c>
      <c r="Q1373" s="163">
        <f t="shared" si="1377"/>
        <v>453</v>
      </c>
      <c r="R1373" s="163">
        <f>IFERROR(__xludf.DUMMYFUNCTION("RANK(M1373,filter(M:M,C:C=C1373))"),94.0)</f>
        <v>94</v>
      </c>
      <c r="S1373" s="161" t="b">
        <f t="shared" si="5"/>
        <v>0</v>
      </c>
      <c r="T1373" s="161" t="b">
        <f t="array" ref="T1373">index('Query Tool'!B:B,match(H1373,'Query Tool'!C:C,0))</f>
        <v>1</v>
      </c>
      <c r="U1373" s="161" t="b">
        <f t="array" ref="U1373">index('Query Tool'!B:B,match(C1373,'Query Tool'!C:C,0))</f>
        <v>0</v>
      </c>
      <c r="V1373" s="161" t="b">
        <f>F1373&gt;='Query Tool'!C$32</f>
        <v>1</v>
      </c>
      <c r="W1373" s="161" t="b">
        <f t="array" ref="W1373">index(Dropdowns!B:B,match(I1373,Dropdowns!A:A,0))</f>
        <v>1</v>
      </c>
      <c r="X1373" s="161" t="b">
        <f t="array" ref="X1373">index('Query Tool'!B:B,match(D1373,'Query Tool'!C:C,0))</f>
        <v>1</v>
      </c>
      <c r="Y1373" s="161" t="str">
        <f t="shared" si="6"/>
        <v>wiggian01,2015-16</v>
      </c>
      <c r="Z1373" s="168">
        <f t="array" ref="Z1373">iferror(index(I:I,match($A1373&amp;","&amp;index('Year Conversion'!$A:$A,match($C1373,'Year Conversion'!$B:$B,0)),$Y:$Y,0))-I1373,"")</f>
        <v>1</v>
      </c>
      <c r="AA1373" s="168">
        <f t="array" ref="AA1373">iferror(index(J:J,match($A1373&amp;","&amp;index('Year Conversion'!$A:$A,match($C1373,'Year Conversion'!$B:$B,0)),$Y:$Y,0))-J1373,"")</f>
        <v>-0.08770763557</v>
      </c>
      <c r="AB1373" s="168">
        <f t="array" ref="AB1373">iferror(index(K:K,match($A1373&amp;","&amp;index('Year Conversion'!$A:$A,match($C1373,'Year Conversion'!$B:$B,0)),$Y:$Y,0))-K1373,"")</f>
        <v>0.5044317575</v>
      </c>
      <c r="AC1373" s="168" t="str">
        <f t="shared" si="7"/>
        <v>MIN,2015-16</v>
      </c>
    </row>
    <row r="1374">
      <c r="A1374" s="161" t="str">
        <f>IFERROR(__xludf.DUMMYFUNCTION("""COMPUTED_VALUE"""),"parkeja01")</f>
        <v>parkeja01</v>
      </c>
      <c r="B1374" s="161" t="str">
        <f>IFERROR(__xludf.DUMMYFUNCTION("""COMPUTED_VALUE"""),"Jabari Parker")</f>
        <v>Jabari Parker</v>
      </c>
      <c r="C1374" s="162" t="str">
        <f>IFERROR(__xludf.DUMMYFUNCTION("""COMPUTED_VALUE"""),"2015-16")</f>
        <v>2015-16</v>
      </c>
      <c r="D1374" s="163" t="str">
        <f>IFERROR(__xludf.DUMMYFUNCTION("""COMPUTED_VALUE"""),"MIL")</f>
        <v>MIL</v>
      </c>
      <c r="E1374" s="164" t="str">
        <f>IFERROR(__xludf.DUMMYFUNCTION("""COMPUTED_VALUE"""),"Roll + Cut Big")</f>
        <v>Roll + Cut Big</v>
      </c>
      <c r="F1374" s="164">
        <f>IFERROR(__xludf.DUMMYFUNCTION("""COMPUTED_VALUE"""),2407.97166666667)</f>
        <v>2407.971667</v>
      </c>
      <c r="G1374" s="163">
        <f>IFERROR(__xludf.DUMMYFUNCTION("""COMPUTED_VALUE"""),76.0)</f>
        <v>76</v>
      </c>
      <c r="H1374" s="163" t="str">
        <f>IFERROR(__xludf.DUMMYFUNCTION("""COMPUTED_VALUE"""),"PF")</f>
        <v>PF</v>
      </c>
      <c r="I1374" s="163">
        <f>IFERROR(__xludf.DUMMYFUNCTION("""COMPUTED_VALUE"""),20.0)</f>
        <v>20</v>
      </c>
      <c r="J1374" s="165">
        <f>IFERROR(__xludf.DUMMYFUNCTION("""COMPUTED_VALUE"""),-1.82230426321198)</f>
        <v>-1.822304263</v>
      </c>
      <c r="K1374" s="165">
        <f>IFERROR(__xludf.DUMMYFUNCTION("""COMPUTED_VALUE"""),-0.512601142532249)</f>
        <v>-0.5126011425</v>
      </c>
      <c r="L1374" s="165">
        <f>IFERROR(__xludf.DUMMYFUNCTION("""COMPUTED_VALUE"""),-1.30970312067973)</f>
        <v>-1.309703121</v>
      </c>
      <c r="M1374" s="166">
        <f t="shared" si="2"/>
        <v>0.767478884</v>
      </c>
      <c r="N1374" s="167">
        <f t="shared" si="3"/>
        <v>31.68383772</v>
      </c>
      <c r="O1374" s="163">
        <f t="shared" ref="O1374:Q1374" si="1378">rank(I1374,I:I)</f>
        <v>3770</v>
      </c>
      <c r="P1374" s="163">
        <f t="shared" si="1378"/>
        <v>3359</v>
      </c>
      <c r="Q1374" s="163">
        <f t="shared" si="1378"/>
        <v>2127</v>
      </c>
      <c r="R1374" s="163">
        <f>IFERROR(__xludf.DUMMYFUNCTION("RANK(M1374,filter(M:M,C:C=C1374))"),246.0)</f>
        <v>246</v>
      </c>
      <c r="S1374" s="161" t="b">
        <f t="shared" si="5"/>
        <v>0</v>
      </c>
      <c r="T1374" s="161" t="b">
        <f t="array" ref="T1374">index('Query Tool'!B:B,match(H1374,'Query Tool'!C:C,0))</f>
        <v>1</v>
      </c>
      <c r="U1374" s="161" t="b">
        <f t="array" ref="U1374">index('Query Tool'!B:B,match(C1374,'Query Tool'!C:C,0))</f>
        <v>0</v>
      </c>
      <c r="V1374" s="161" t="b">
        <f>F1374&gt;='Query Tool'!C$32</f>
        <v>1</v>
      </c>
      <c r="W1374" s="161" t="b">
        <f t="array" ref="W1374">index(Dropdowns!B:B,match(I1374,Dropdowns!A:A,0))</f>
        <v>1</v>
      </c>
      <c r="X1374" s="161" t="b">
        <f t="array" ref="X1374">index('Query Tool'!B:B,match(D1374,'Query Tool'!C:C,0))</f>
        <v>1</v>
      </c>
      <c r="Y1374" s="161" t="str">
        <f t="shared" si="6"/>
        <v>parkeja01,2015-16</v>
      </c>
      <c r="Z1374" s="168">
        <f t="array" ref="Z1374">iferror(index(I:I,match($A1374&amp;","&amp;index('Year Conversion'!$A:$A,match($C1374,'Year Conversion'!$B:$B,0)),$Y:$Y,0))-I1374,"")</f>
        <v>1</v>
      </c>
      <c r="AA1374" s="168">
        <f t="array" ref="AA1374">iferror(index(J:J,match($A1374&amp;","&amp;index('Year Conversion'!$A:$A,match($C1374,'Year Conversion'!$B:$B,0)),$Y:$Y,0))-J1374,"")</f>
        <v>2.060123728</v>
      </c>
      <c r="AB1374" s="168">
        <f t="array" ref="AB1374">iferror(index(K:K,match($A1374&amp;","&amp;index('Year Conversion'!$A:$A,match($C1374,'Year Conversion'!$B:$B,0)),$Y:$Y,0))-K1374,"")</f>
        <v>1.689455224</v>
      </c>
      <c r="AC1374" s="168" t="str">
        <f t="shared" si="7"/>
        <v>MIL,2015-16</v>
      </c>
    </row>
    <row r="1375">
      <c r="A1375" s="161" t="str">
        <f>IFERROR(__xludf.DUMMYFUNCTION("""COMPUTED_VALUE"""),"cottobr01")</f>
        <v>cottobr01</v>
      </c>
      <c r="B1375" s="161" t="str">
        <f>IFERROR(__xludf.DUMMYFUNCTION("""COMPUTED_VALUE"""),"Bryce Cotton")</f>
        <v>Bryce Cotton</v>
      </c>
      <c r="C1375" s="162" t="str">
        <f>IFERROR(__xludf.DUMMYFUNCTION("""COMPUTED_VALUE"""),"2015-16")</f>
        <v>2015-16</v>
      </c>
      <c r="D1375" s="163" t="str">
        <f>IFERROR(__xludf.DUMMYFUNCTION("""COMPUTED_VALUE"""),"TOT")</f>
        <v>TOT</v>
      </c>
      <c r="E1375" s="164" t="str">
        <f>IFERROR(__xludf.DUMMYFUNCTION("""COMPUTED_VALUE"""),"Secondary Ball Handler")</f>
        <v>Secondary Ball Handler</v>
      </c>
      <c r="F1375" s="164">
        <f>IFERROR(__xludf.DUMMYFUNCTION("""COMPUTED_VALUE"""),38.7583333333333)</f>
        <v>38.75833333</v>
      </c>
      <c r="G1375" s="163">
        <f>IFERROR(__xludf.DUMMYFUNCTION("""COMPUTED_VALUE"""),8.0)</f>
        <v>8</v>
      </c>
      <c r="H1375" s="163" t="str">
        <f>IFERROR(__xludf.DUMMYFUNCTION("""COMPUTED_VALUE"""),"PG")</f>
        <v>PG</v>
      </c>
      <c r="I1375" s="163">
        <f>IFERROR(__xludf.DUMMYFUNCTION("""COMPUTED_VALUE"""),23.0)</f>
        <v>23</v>
      </c>
      <c r="J1375" s="165">
        <f>IFERROR(__xludf.DUMMYFUNCTION("""COMPUTED_VALUE"""),-0.352113408441257)</f>
        <v>-0.3521134084</v>
      </c>
      <c r="K1375" s="165">
        <f>IFERROR(__xludf.DUMMYFUNCTION("""COMPUTED_VALUE"""),-0.12932317161181)</f>
        <v>-0.1293231716</v>
      </c>
      <c r="L1375" s="165">
        <f>IFERROR(__xludf.DUMMYFUNCTION("""COMPUTED_VALUE"""),-0.222790236829446)</f>
        <v>-0.2227902368</v>
      </c>
      <c r="M1375" s="166">
        <f t="shared" si="2"/>
        <v>0.05055312484</v>
      </c>
      <c r="N1375" s="167">
        <f t="shared" si="3"/>
        <v>4.844791667</v>
      </c>
      <c r="O1375" s="163">
        <f t="shared" ref="O1375:Q1375" si="1379">rank(I1375,I:I)</f>
        <v>2765</v>
      </c>
      <c r="P1375" s="163">
        <f t="shared" si="1379"/>
        <v>1673</v>
      </c>
      <c r="Q1375" s="163">
        <f t="shared" si="1379"/>
        <v>1436</v>
      </c>
      <c r="R1375" s="163">
        <f>IFERROR(__xludf.DUMMYFUNCTION("RANK(M1375,filter(M:M,C:C=C1375))"),397.0)</f>
        <v>397</v>
      </c>
      <c r="S1375" s="161" t="b">
        <f t="shared" si="5"/>
        <v>0</v>
      </c>
      <c r="T1375" s="161" t="b">
        <f t="array" ref="T1375">index('Query Tool'!B:B,match(H1375,'Query Tool'!C:C,0))</f>
        <v>1</v>
      </c>
      <c r="U1375" s="161" t="b">
        <f t="array" ref="U1375">index('Query Tool'!B:B,match(C1375,'Query Tool'!C:C,0))</f>
        <v>0</v>
      </c>
      <c r="V1375" s="161" t="b">
        <f>F1375&gt;='Query Tool'!C$32</f>
        <v>0</v>
      </c>
      <c r="W1375" s="161" t="b">
        <f t="array" ref="W1375">index(Dropdowns!B:B,match(I1375,Dropdowns!A:A,0))</f>
        <v>1</v>
      </c>
      <c r="X1375" s="161" t="b">
        <f t="array" ref="X1375">index('Query Tool'!B:B,match(D1375,'Query Tool'!C:C,0))</f>
        <v>1</v>
      </c>
      <c r="Y1375" s="161" t="str">
        <f t="shared" si="6"/>
        <v>cottobr01,2015-16</v>
      </c>
      <c r="Z1375" s="168" t="str">
        <f t="array" ref="Z1375">iferror(index(I:I,match($A1375&amp;","&amp;index('Year Conversion'!$A:$A,match($C1375,'Year Conversion'!$B:$B,0)),$Y:$Y,0))-I1375,"")</f>
        <v/>
      </c>
      <c r="AA1375" s="168" t="str">
        <f t="array" ref="AA1375">iferror(index(J:J,match($A1375&amp;","&amp;index('Year Conversion'!$A:$A,match($C1375,'Year Conversion'!$B:$B,0)),$Y:$Y,0))-J1375,"")</f>
        <v/>
      </c>
      <c r="AB1375" s="168" t="str">
        <f t="array" ref="AB1375">iferror(index(K:K,match($A1375&amp;","&amp;index('Year Conversion'!$A:$A,match($C1375,'Year Conversion'!$B:$B,0)),$Y:$Y,0))-K1375,"")</f>
        <v/>
      </c>
      <c r="AC1375" s="168" t="str">
        <f t="shared" si="7"/>
        <v>TOT,2015-16</v>
      </c>
    </row>
    <row r="1376">
      <c r="A1376" s="161" t="str">
        <f>IFERROR(__xludf.DUMMYFUNCTION("""COMPUTED_VALUE"""),"mcgarmi01")</f>
        <v>mcgarmi01</v>
      </c>
      <c r="B1376" s="161" t="str">
        <f>IFERROR(__xludf.DUMMYFUNCTION("""COMPUTED_VALUE"""),"Mitch McGary")</f>
        <v>Mitch McGary</v>
      </c>
      <c r="C1376" s="162" t="str">
        <f>IFERROR(__xludf.DUMMYFUNCTION("""COMPUTED_VALUE"""),"2015-16")</f>
        <v>2015-16</v>
      </c>
      <c r="D1376" s="163" t="str">
        <f>IFERROR(__xludf.DUMMYFUNCTION("""COMPUTED_VALUE"""),"OKC")</f>
        <v>OKC</v>
      </c>
      <c r="E1376" s="164" t="str">
        <f>IFERROR(__xludf.DUMMYFUNCTION("""COMPUTED_VALUE"""),"Roll + Cut Big")</f>
        <v>Roll + Cut Big</v>
      </c>
      <c r="F1376" s="164">
        <f>IFERROR(__xludf.DUMMYFUNCTION("""COMPUTED_VALUE"""),72.4499999999999)</f>
        <v>72.45</v>
      </c>
      <c r="G1376" s="163">
        <f>IFERROR(__xludf.DUMMYFUNCTION("""COMPUTED_VALUE"""),20.0)</f>
        <v>20</v>
      </c>
      <c r="H1376" s="163" t="str">
        <f>IFERROR(__xludf.DUMMYFUNCTION("""COMPUTED_VALUE"""),"PF")</f>
        <v>PF</v>
      </c>
      <c r="I1376" s="163">
        <f>IFERROR(__xludf.DUMMYFUNCTION("""COMPUTED_VALUE"""),23.0)</f>
        <v>23</v>
      </c>
      <c r="J1376" s="165">
        <f>IFERROR(__xludf.DUMMYFUNCTION("""COMPUTED_VALUE"""),-1.43099603814648)</f>
        <v>-1.430996038</v>
      </c>
      <c r="K1376" s="165">
        <f>IFERROR(__xludf.DUMMYFUNCTION("""COMPUTED_VALUE"""),-0.537462794574793)</f>
        <v>-0.5374627946</v>
      </c>
      <c r="L1376" s="165">
        <f>IFERROR(__xludf.DUMMYFUNCTION("""COMPUTED_VALUE"""),-0.893533243571684)</f>
        <v>-0.8935332436</v>
      </c>
      <c r="M1376" s="166">
        <f t="shared" si="2"/>
        <v>0.04199483466</v>
      </c>
      <c r="N1376" s="167">
        <f t="shared" si="3"/>
        <v>3.6225</v>
      </c>
      <c r="O1376" s="163">
        <f t="shared" ref="O1376:Q1376" si="1380">rank(I1376,I:I)</f>
        <v>2765</v>
      </c>
      <c r="P1376" s="163">
        <f t="shared" si="1380"/>
        <v>2991</v>
      </c>
      <c r="Q1376" s="163">
        <f t="shared" si="1380"/>
        <v>2168</v>
      </c>
      <c r="R1376" s="163">
        <f>IFERROR(__xludf.DUMMYFUNCTION("RANK(M1376,filter(M:M,C:C=C1376))"),404.0)</f>
        <v>404</v>
      </c>
      <c r="S1376" s="161" t="b">
        <f t="shared" si="5"/>
        <v>0</v>
      </c>
      <c r="T1376" s="161" t="b">
        <f t="array" ref="T1376">index('Query Tool'!B:B,match(H1376,'Query Tool'!C:C,0))</f>
        <v>1</v>
      </c>
      <c r="U1376" s="161" t="b">
        <f t="array" ref="U1376">index('Query Tool'!B:B,match(C1376,'Query Tool'!C:C,0))</f>
        <v>0</v>
      </c>
      <c r="V1376" s="161" t="b">
        <f>F1376&gt;='Query Tool'!C$32</f>
        <v>0</v>
      </c>
      <c r="W1376" s="161" t="b">
        <f t="array" ref="W1376">index(Dropdowns!B:B,match(I1376,Dropdowns!A:A,0))</f>
        <v>1</v>
      </c>
      <c r="X1376" s="161" t="b">
        <f t="array" ref="X1376">index('Query Tool'!B:B,match(D1376,'Query Tool'!C:C,0))</f>
        <v>1</v>
      </c>
      <c r="Y1376" s="161" t="str">
        <f t="shared" si="6"/>
        <v>mcgarmi01,2015-16</v>
      </c>
      <c r="Z1376" s="168" t="str">
        <f t="array" ref="Z1376">iferror(index(I:I,match($A1376&amp;","&amp;index('Year Conversion'!$A:$A,match($C1376,'Year Conversion'!$B:$B,0)),$Y:$Y,0))-I1376,"")</f>
        <v/>
      </c>
      <c r="AA1376" s="168" t="str">
        <f t="array" ref="AA1376">iferror(index(J:J,match($A1376&amp;","&amp;index('Year Conversion'!$A:$A,match($C1376,'Year Conversion'!$B:$B,0)),$Y:$Y,0))-J1376,"")</f>
        <v/>
      </c>
      <c r="AB1376" s="168" t="str">
        <f t="array" ref="AB1376">iferror(index(K:K,match($A1376&amp;","&amp;index('Year Conversion'!$A:$A,match($C1376,'Year Conversion'!$B:$B,0)),$Y:$Y,0))-K1376,"")</f>
        <v/>
      </c>
      <c r="AC1376" s="168" t="str">
        <f t="shared" si="7"/>
        <v>OKC,2015-16</v>
      </c>
    </row>
    <row r="1377">
      <c r="A1377" s="161" t="str">
        <f>IFERROR(__xludf.DUMMYFUNCTION("""COMPUTED_VALUE"""),"sampsja02")</f>
        <v>sampsja02</v>
      </c>
      <c r="B1377" s="161" t="str">
        <f>IFERROR(__xludf.DUMMYFUNCTION("""COMPUTED_VALUE"""),"JaKarr Sampson")</f>
        <v>JaKarr Sampson</v>
      </c>
      <c r="C1377" s="162" t="str">
        <f>IFERROR(__xludf.DUMMYFUNCTION("""COMPUTED_VALUE"""),"2015-16")</f>
        <v>2015-16</v>
      </c>
      <c r="D1377" s="163" t="str">
        <f>IFERROR(__xludf.DUMMYFUNCTION("""COMPUTED_VALUE"""),"TOT")</f>
        <v>TOT</v>
      </c>
      <c r="E1377" s="164" t="str">
        <f>IFERROR(__xludf.DUMMYFUNCTION("""COMPUTED_VALUE"""),"Athletic Finisher")</f>
        <v>Athletic Finisher</v>
      </c>
      <c r="F1377" s="164">
        <f>IFERROR(__xludf.DUMMYFUNCTION("""COMPUTED_VALUE"""),1159.73166666667)</f>
        <v>1159.731667</v>
      </c>
      <c r="G1377" s="163">
        <f>IFERROR(__xludf.DUMMYFUNCTION("""COMPUTED_VALUE"""),73.0)</f>
        <v>73</v>
      </c>
      <c r="H1377" s="163" t="str">
        <f>IFERROR(__xludf.DUMMYFUNCTION("""COMPUTED_VALUE"""),"SF")</f>
        <v>SF</v>
      </c>
      <c r="I1377" s="163">
        <f>IFERROR(__xludf.DUMMYFUNCTION("""COMPUTED_VALUE"""),22.0)</f>
        <v>22</v>
      </c>
      <c r="J1377" s="165">
        <f>IFERROR(__xludf.DUMMYFUNCTION("""COMPUTED_VALUE"""),-2.48805114778215)</f>
        <v>-2.488051148</v>
      </c>
      <c r="K1377" s="165">
        <f>IFERROR(__xludf.DUMMYFUNCTION("""COMPUTED_VALUE"""),-2.69253331073088)</f>
        <v>-2.692533311</v>
      </c>
      <c r="L1377" s="165">
        <f>IFERROR(__xludf.DUMMYFUNCTION("""COMPUTED_VALUE"""),0.204482162948736)</f>
        <v>0.2044821629</v>
      </c>
      <c r="M1377" s="166">
        <f t="shared" si="2"/>
        <v>-0.1408771927</v>
      </c>
      <c r="N1377" s="167">
        <f t="shared" si="3"/>
        <v>15.88673516</v>
      </c>
      <c r="O1377" s="163">
        <f t="shared" ref="O1377:Q1377" si="1381">rank(I1377,I:I)</f>
        <v>3178</v>
      </c>
      <c r="P1377" s="163">
        <f t="shared" si="1381"/>
        <v>3751</v>
      </c>
      <c r="Q1377" s="163">
        <f t="shared" si="1381"/>
        <v>3928</v>
      </c>
      <c r="R1377" s="163">
        <f>IFERROR(__xludf.DUMMYFUNCTION("RANK(M1377,filter(M:M,C:C=C1377))"),443.0)</f>
        <v>443</v>
      </c>
      <c r="S1377" s="161" t="b">
        <f t="shared" si="5"/>
        <v>0</v>
      </c>
      <c r="T1377" s="161" t="b">
        <f t="array" ref="T1377">index('Query Tool'!B:B,match(H1377,'Query Tool'!C:C,0))</f>
        <v>1</v>
      </c>
      <c r="U1377" s="161" t="b">
        <f t="array" ref="U1377">index('Query Tool'!B:B,match(C1377,'Query Tool'!C:C,0))</f>
        <v>0</v>
      </c>
      <c r="V1377" s="161" t="b">
        <f>F1377&gt;='Query Tool'!C$32</f>
        <v>1</v>
      </c>
      <c r="W1377" s="161" t="b">
        <f t="array" ref="W1377">index(Dropdowns!B:B,match(I1377,Dropdowns!A:A,0))</f>
        <v>1</v>
      </c>
      <c r="X1377" s="161" t="b">
        <f t="array" ref="X1377">index('Query Tool'!B:B,match(D1377,'Query Tool'!C:C,0))</f>
        <v>1</v>
      </c>
      <c r="Y1377" s="161" t="str">
        <f t="shared" si="6"/>
        <v>sampsja02,2015-16</v>
      </c>
      <c r="Z1377" s="168" t="str">
        <f t="array" ref="Z1377">iferror(index(I:I,match($A1377&amp;","&amp;index('Year Conversion'!$A:$A,match($C1377,'Year Conversion'!$B:$B,0)),$Y:$Y,0))-I1377,"")</f>
        <v/>
      </c>
      <c r="AA1377" s="168" t="str">
        <f t="array" ref="AA1377">iferror(index(J:J,match($A1377&amp;","&amp;index('Year Conversion'!$A:$A,match($C1377,'Year Conversion'!$B:$B,0)),$Y:$Y,0))-J1377,"")</f>
        <v/>
      </c>
      <c r="AB1377" s="168" t="str">
        <f t="array" ref="AB1377">iferror(index(K:K,match($A1377&amp;","&amp;index('Year Conversion'!$A:$A,match($C1377,'Year Conversion'!$B:$B,0)),$Y:$Y,0))-K1377,"")</f>
        <v/>
      </c>
      <c r="AC1377" s="168" t="str">
        <f t="shared" si="7"/>
        <v>TOT,2015-16</v>
      </c>
    </row>
    <row r="1378">
      <c r="A1378" s="161" t="str">
        <f>IFERROR(__xludf.DUMMYFUNCTION("""COMPUTED_VALUE"""),"moreler01")</f>
        <v>moreler01</v>
      </c>
      <c r="B1378" s="161" t="str">
        <f>IFERROR(__xludf.DUMMYFUNCTION("""COMPUTED_VALUE"""),"Eric Moreland")</f>
        <v>Eric Moreland</v>
      </c>
      <c r="C1378" s="162" t="str">
        <f>IFERROR(__xludf.DUMMYFUNCTION("""COMPUTED_VALUE"""),"2015-16")</f>
        <v>2015-16</v>
      </c>
      <c r="D1378" s="163" t="str">
        <f>IFERROR(__xludf.DUMMYFUNCTION("""COMPUTED_VALUE"""),"SAC")</f>
        <v>SAC</v>
      </c>
      <c r="E1378" s="164" t="str">
        <f>IFERROR(__xludf.DUMMYFUNCTION("""COMPUTED_VALUE"""),"Roll + Cut Big")</f>
        <v>Roll + Cut Big</v>
      </c>
      <c r="F1378" s="164">
        <f>IFERROR(__xludf.DUMMYFUNCTION("""COMPUTED_VALUE"""),47.5833333333334)</f>
        <v>47.58333333</v>
      </c>
      <c r="G1378" s="163">
        <f>IFERROR(__xludf.DUMMYFUNCTION("""COMPUTED_VALUE"""),8.0)</f>
        <v>8</v>
      </c>
      <c r="H1378" s="163" t="str">
        <f>IFERROR(__xludf.DUMMYFUNCTION("""COMPUTED_VALUE"""),"PF")</f>
        <v>PF</v>
      </c>
      <c r="I1378" s="163">
        <f>IFERROR(__xludf.DUMMYFUNCTION("""COMPUTED_VALUE"""),24.0)</f>
        <v>24</v>
      </c>
      <c r="J1378" s="165">
        <f>IFERROR(__xludf.DUMMYFUNCTION("""COMPUTED_VALUE"""),-0.406834686576679)</f>
        <v>-0.4068346866</v>
      </c>
      <c r="K1378" s="165">
        <f>IFERROR(__xludf.DUMMYFUNCTION("""COMPUTED_VALUE"""),-0.518367137089882)</f>
        <v>-0.5183671371</v>
      </c>
      <c r="L1378" s="165">
        <f>IFERROR(__xludf.DUMMYFUNCTION("""COMPUTED_VALUE"""),0.111532450513203)</f>
        <v>0.1115324505</v>
      </c>
      <c r="M1378" s="166">
        <f t="shared" si="2"/>
        <v>0.06030930137</v>
      </c>
      <c r="N1378" s="167">
        <f t="shared" si="3"/>
        <v>5.947916667</v>
      </c>
      <c r="O1378" s="163">
        <f t="shared" ref="O1378:Q1378" si="1382">rank(I1378,I:I)</f>
        <v>2361</v>
      </c>
      <c r="P1378" s="163">
        <f t="shared" si="1382"/>
        <v>1735</v>
      </c>
      <c r="Q1378" s="163">
        <f t="shared" si="1382"/>
        <v>2136</v>
      </c>
      <c r="R1378" s="163">
        <f>IFERROR(__xludf.DUMMYFUNCTION("RANK(M1378,filter(M:M,C:C=C1378))"),391.0)</f>
        <v>391</v>
      </c>
      <c r="S1378" s="161" t="b">
        <f t="shared" si="5"/>
        <v>0</v>
      </c>
      <c r="T1378" s="161" t="b">
        <f t="array" ref="T1378">index('Query Tool'!B:B,match(H1378,'Query Tool'!C:C,0))</f>
        <v>1</v>
      </c>
      <c r="U1378" s="161" t="b">
        <f t="array" ref="U1378">index('Query Tool'!B:B,match(C1378,'Query Tool'!C:C,0))</f>
        <v>0</v>
      </c>
      <c r="V1378" s="161" t="b">
        <f>F1378&gt;='Query Tool'!C$32</f>
        <v>0</v>
      </c>
      <c r="W1378" s="161" t="b">
        <f t="array" ref="W1378">index(Dropdowns!B:B,match(I1378,Dropdowns!A:A,0))</f>
        <v>1</v>
      </c>
      <c r="X1378" s="161" t="b">
        <f t="array" ref="X1378">index('Query Tool'!B:B,match(D1378,'Query Tool'!C:C,0))</f>
        <v>1</v>
      </c>
      <c r="Y1378" s="161" t="str">
        <f t="shared" si="6"/>
        <v>moreler01,2015-16</v>
      </c>
      <c r="Z1378" s="168" t="str">
        <f t="array" ref="Z1378">iferror(index(I:I,match($A1378&amp;","&amp;index('Year Conversion'!$A:$A,match($C1378,'Year Conversion'!$B:$B,0)),$Y:$Y,0))-I1378,"")</f>
        <v/>
      </c>
      <c r="AA1378" s="168" t="str">
        <f t="array" ref="AA1378">iferror(index(J:J,match($A1378&amp;","&amp;index('Year Conversion'!$A:$A,match($C1378,'Year Conversion'!$B:$B,0)),$Y:$Y,0))-J1378,"")</f>
        <v/>
      </c>
      <c r="AB1378" s="168" t="str">
        <f t="array" ref="AB1378">iferror(index(K:K,match($A1378&amp;","&amp;index('Year Conversion'!$A:$A,match($C1378,'Year Conversion'!$B:$B,0)),$Y:$Y,0))-K1378,"")</f>
        <v/>
      </c>
      <c r="AC1378" s="168" t="str">
        <f t="shared" si="7"/>
        <v>SAC,2015-16</v>
      </c>
    </row>
    <row r="1379">
      <c r="A1379" s="161" t="str">
        <f>IFERROR(__xludf.DUMMYFUNCTION("""COMPUTED_VALUE"""),"huestjo01")</f>
        <v>huestjo01</v>
      </c>
      <c r="B1379" s="161" t="str">
        <f>IFERROR(__xludf.DUMMYFUNCTION("""COMPUTED_VALUE"""),"Josh Huestis")</f>
        <v>Josh Huestis</v>
      </c>
      <c r="C1379" s="162" t="str">
        <f>IFERROR(__xludf.DUMMYFUNCTION("""COMPUTED_VALUE"""),"2015-16")</f>
        <v>2015-16</v>
      </c>
      <c r="D1379" s="163" t="str">
        <f>IFERROR(__xludf.DUMMYFUNCTION("""COMPUTED_VALUE"""),"OKC")</f>
        <v>OKC</v>
      </c>
      <c r="E1379" s="164" t="str">
        <f>IFERROR(__xludf.DUMMYFUNCTION("""COMPUTED_VALUE"""),"Athletic Finisher")</f>
        <v>Athletic Finisher</v>
      </c>
      <c r="F1379" s="164">
        <f>IFERROR(__xludf.DUMMYFUNCTION("""COMPUTED_VALUE"""),54.9833333333333)</f>
        <v>54.98333333</v>
      </c>
      <c r="G1379" s="163">
        <f>IFERROR(__xludf.DUMMYFUNCTION("""COMPUTED_VALUE"""),5.0)</f>
        <v>5</v>
      </c>
      <c r="H1379" s="163" t="str">
        <f>IFERROR(__xludf.DUMMYFUNCTION("""COMPUTED_VALUE"""),"PF")</f>
        <v>PF</v>
      </c>
      <c r="I1379" s="163">
        <f>IFERROR(__xludf.DUMMYFUNCTION("""COMPUTED_VALUE"""),24.0)</f>
        <v>24</v>
      </c>
      <c r="J1379" s="165">
        <f>IFERROR(__xludf.DUMMYFUNCTION("""COMPUTED_VALUE"""),-1.06836182077789)</f>
        <v>-1.068361821</v>
      </c>
      <c r="K1379" s="165">
        <f>IFERROR(__xludf.DUMMYFUNCTION("""COMPUTED_VALUE"""),-0.457196768118334)</f>
        <v>-0.4571967681</v>
      </c>
      <c r="L1379" s="165">
        <f>IFERROR(__xludf.DUMMYFUNCTION("""COMPUTED_VALUE"""),-0.61116505265956)</f>
        <v>-0.6111650527</v>
      </c>
      <c r="M1379" s="166">
        <f t="shared" si="2"/>
        <v>0.04522532687</v>
      </c>
      <c r="N1379" s="167">
        <f t="shared" si="3"/>
        <v>10.99666667</v>
      </c>
      <c r="O1379" s="163">
        <f t="shared" ref="O1379:Q1379" si="1383">rank(I1379,I:I)</f>
        <v>2361</v>
      </c>
      <c r="P1379" s="163">
        <f t="shared" si="1383"/>
        <v>2577</v>
      </c>
      <c r="Q1379" s="163">
        <f t="shared" si="1383"/>
        <v>2048</v>
      </c>
      <c r="R1379" s="163">
        <f>IFERROR(__xludf.DUMMYFUNCTION("RANK(M1379,filter(M:M,C:C=C1379))"),401.0)</f>
        <v>401</v>
      </c>
      <c r="S1379" s="161" t="b">
        <f t="shared" si="5"/>
        <v>0</v>
      </c>
      <c r="T1379" s="161" t="b">
        <f t="array" ref="T1379">index('Query Tool'!B:B,match(H1379,'Query Tool'!C:C,0))</f>
        <v>1</v>
      </c>
      <c r="U1379" s="161" t="b">
        <f t="array" ref="U1379">index('Query Tool'!B:B,match(C1379,'Query Tool'!C:C,0))</f>
        <v>0</v>
      </c>
      <c r="V1379" s="161" t="b">
        <f>F1379&gt;='Query Tool'!C$32</f>
        <v>0</v>
      </c>
      <c r="W1379" s="161" t="b">
        <f t="array" ref="W1379">index(Dropdowns!B:B,match(I1379,Dropdowns!A:A,0))</f>
        <v>1</v>
      </c>
      <c r="X1379" s="161" t="b">
        <f t="array" ref="X1379">index('Query Tool'!B:B,match(D1379,'Query Tool'!C:C,0))</f>
        <v>1</v>
      </c>
      <c r="Y1379" s="161" t="str">
        <f t="shared" si="6"/>
        <v>huestjo01,2015-16</v>
      </c>
      <c r="Z1379" s="168">
        <f t="array" ref="Z1379">iferror(index(I:I,match($A1379&amp;","&amp;index('Year Conversion'!$A:$A,match($C1379,'Year Conversion'!$B:$B,0)),$Y:$Y,0))-I1379,"")</f>
        <v>1</v>
      </c>
      <c r="AA1379" s="168">
        <f t="array" ref="AA1379">iferror(index(J:J,match($A1379&amp;","&amp;index('Year Conversion'!$A:$A,match($C1379,'Year Conversion'!$B:$B,0)),$Y:$Y,0))-J1379,"")</f>
        <v>0.9218190474</v>
      </c>
      <c r="AB1379" s="168">
        <f t="array" ref="AB1379">iferror(index(K:K,match($A1379&amp;","&amp;index('Year Conversion'!$A:$A,match($C1379,'Year Conversion'!$B:$B,0)),$Y:$Y,0))-K1379,"")</f>
        <v>0.4472874266</v>
      </c>
      <c r="AC1379" s="168" t="str">
        <f t="shared" si="7"/>
        <v>OKC,2015-16</v>
      </c>
    </row>
    <row r="1380">
      <c r="A1380" s="161" t="str">
        <f>IFERROR(__xludf.DUMMYFUNCTION("""COMPUTED_VALUE"""),"whittsh01")</f>
        <v>whittsh01</v>
      </c>
      <c r="B1380" s="161" t="str">
        <f>IFERROR(__xludf.DUMMYFUNCTION("""COMPUTED_VALUE"""),"Shayne Whittington")</f>
        <v>Shayne Whittington</v>
      </c>
      <c r="C1380" s="162" t="str">
        <f>IFERROR(__xludf.DUMMYFUNCTION("""COMPUTED_VALUE"""),"2015-16")</f>
        <v>2015-16</v>
      </c>
      <c r="D1380" s="163" t="str">
        <f>IFERROR(__xludf.DUMMYFUNCTION("""COMPUTED_VALUE"""),"IND")</f>
        <v>IND</v>
      </c>
      <c r="E1380" s="164" t="str">
        <f>IFERROR(__xludf.DUMMYFUNCTION("""COMPUTED_VALUE"""),"Post Scorer")</f>
        <v>Post Scorer</v>
      </c>
      <c r="F1380" s="164">
        <f>IFERROR(__xludf.DUMMYFUNCTION("""COMPUTED_VALUE"""),40.7166666666666)</f>
        <v>40.71666667</v>
      </c>
      <c r="G1380" s="163">
        <f>IFERROR(__xludf.DUMMYFUNCTION("""COMPUTED_VALUE"""),7.0)</f>
        <v>7</v>
      </c>
      <c r="H1380" s="163" t="str">
        <f>IFERROR(__xludf.DUMMYFUNCTION("""COMPUTED_VALUE"""),"PF")</f>
        <v>PF</v>
      </c>
      <c r="I1380" s="163">
        <f>IFERROR(__xludf.DUMMYFUNCTION("""COMPUTED_VALUE"""),24.0)</f>
        <v>24</v>
      </c>
      <c r="J1380" s="165">
        <f>IFERROR(__xludf.DUMMYFUNCTION("""COMPUTED_VALUE"""),-0.523005755641697)</f>
        <v>-0.5230057556</v>
      </c>
      <c r="K1380" s="165">
        <f>IFERROR(__xludf.DUMMYFUNCTION("""COMPUTED_VALUE"""),-0.273064335871892)</f>
        <v>-0.2730643359</v>
      </c>
      <c r="L1380" s="165">
        <f>IFERROR(__xludf.DUMMYFUNCTION("""COMPUTED_VALUE"""),-0.249941419769805)</f>
        <v>-0.2499414198</v>
      </c>
      <c r="M1380" s="166">
        <f t="shared" si="2"/>
        <v>0.04842007426</v>
      </c>
      <c r="N1380" s="167">
        <f t="shared" si="3"/>
        <v>5.816666667</v>
      </c>
      <c r="O1380" s="163">
        <f t="shared" ref="O1380:Q1380" si="1384">rank(I1380,I:I)</f>
        <v>2361</v>
      </c>
      <c r="P1380" s="163">
        <f t="shared" si="1384"/>
        <v>1887</v>
      </c>
      <c r="Q1380" s="163">
        <f t="shared" si="1384"/>
        <v>1710</v>
      </c>
      <c r="R1380" s="163">
        <f>IFERROR(__xludf.DUMMYFUNCTION("RANK(M1380,filter(M:M,C:C=C1380))"),399.0)</f>
        <v>399</v>
      </c>
      <c r="S1380" s="161" t="b">
        <f t="shared" si="5"/>
        <v>0</v>
      </c>
      <c r="T1380" s="161" t="b">
        <f t="array" ref="T1380">index('Query Tool'!B:B,match(H1380,'Query Tool'!C:C,0))</f>
        <v>1</v>
      </c>
      <c r="U1380" s="161" t="b">
        <f t="array" ref="U1380">index('Query Tool'!B:B,match(C1380,'Query Tool'!C:C,0))</f>
        <v>0</v>
      </c>
      <c r="V1380" s="161" t="b">
        <f>F1380&gt;='Query Tool'!C$32</f>
        <v>0</v>
      </c>
      <c r="W1380" s="161" t="b">
        <f t="array" ref="W1380">index(Dropdowns!B:B,match(I1380,Dropdowns!A:A,0))</f>
        <v>1</v>
      </c>
      <c r="X1380" s="161" t="b">
        <f t="array" ref="X1380">index('Query Tool'!B:B,match(D1380,'Query Tool'!C:C,0))</f>
        <v>1</v>
      </c>
      <c r="Y1380" s="161" t="str">
        <f t="shared" si="6"/>
        <v>whittsh01,2015-16</v>
      </c>
      <c r="Z1380" s="168" t="str">
        <f t="array" ref="Z1380">iferror(index(I:I,match($A1380&amp;","&amp;index('Year Conversion'!$A:$A,match($C1380,'Year Conversion'!$B:$B,0)),$Y:$Y,0))-I1380,"")</f>
        <v/>
      </c>
      <c r="AA1380" s="168" t="str">
        <f t="array" ref="AA1380">iferror(index(J:J,match($A1380&amp;","&amp;index('Year Conversion'!$A:$A,match($C1380,'Year Conversion'!$B:$B,0)),$Y:$Y,0))-J1380,"")</f>
        <v/>
      </c>
      <c r="AB1380" s="168" t="str">
        <f t="array" ref="AB1380">iferror(index(K:K,match($A1380&amp;","&amp;index('Year Conversion'!$A:$A,match($C1380,'Year Conversion'!$B:$B,0)),$Y:$Y,0))-K1380,"")</f>
        <v/>
      </c>
      <c r="AC1380" s="168" t="str">
        <f t="shared" si="7"/>
        <v>IND,2015-16</v>
      </c>
    </row>
    <row r="1381">
      <c r="A1381" s="161" t="str">
        <f>IFERROR(__xludf.DUMMYFUNCTION("""COMPUTED_VALUE"""),"capelca01")</f>
        <v>capelca01</v>
      </c>
      <c r="B1381" s="161" t="str">
        <f>IFERROR(__xludf.DUMMYFUNCTION("""COMPUTED_VALUE"""),"Clint Capela")</f>
        <v>Clint Capela</v>
      </c>
      <c r="C1381" s="162" t="str">
        <f>IFERROR(__xludf.DUMMYFUNCTION("""COMPUTED_VALUE"""),"2015-16")</f>
        <v>2015-16</v>
      </c>
      <c r="D1381" s="163" t="str">
        <f>IFERROR(__xludf.DUMMYFUNCTION("""COMPUTED_VALUE"""),"HOU")</f>
        <v>HOU</v>
      </c>
      <c r="E1381" s="164" t="str">
        <f>IFERROR(__xludf.DUMMYFUNCTION("""COMPUTED_VALUE"""),"Roll + Cut Big")</f>
        <v>Roll + Cut Big</v>
      </c>
      <c r="F1381" s="164">
        <f>IFERROR(__xludf.DUMMYFUNCTION("""COMPUTED_VALUE"""),1470.71)</f>
        <v>1470.71</v>
      </c>
      <c r="G1381" s="163">
        <f>IFERROR(__xludf.DUMMYFUNCTION("""COMPUTED_VALUE"""),77.0)</f>
        <v>77</v>
      </c>
      <c r="H1381" s="163" t="str">
        <f>IFERROR(__xludf.DUMMYFUNCTION("""COMPUTED_VALUE"""),"C")</f>
        <v>C</v>
      </c>
      <c r="I1381" s="163">
        <f>IFERROR(__xludf.DUMMYFUNCTION("""COMPUTED_VALUE"""),21.0)</f>
        <v>21</v>
      </c>
      <c r="J1381" s="165">
        <f>IFERROR(__xludf.DUMMYFUNCTION("""COMPUTED_VALUE"""),2.42990192193963)</f>
        <v>2.429901922</v>
      </c>
      <c r="K1381" s="165">
        <f>IFERROR(__xludf.DUMMYFUNCTION("""COMPUTED_VALUE"""),0.470385516452547)</f>
        <v>0.4703855165</v>
      </c>
      <c r="L1381" s="165">
        <f>IFERROR(__xludf.DUMMYFUNCTION("""COMPUTED_VALUE"""),1.95951640548708)</f>
        <v>1.959516405</v>
      </c>
      <c r="M1381" s="166">
        <f t="shared" si="2"/>
        <v>4.657113953</v>
      </c>
      <c r="N1381" s="167">
        <f t="shared" si="3"/>
        <v>19.10012987</v>
      </c>
      <c r="O1381" s="163">
        <f t="shared" ref="O1381:Q1381" si="1385">rank(I1381,I:I)</f>
        <v>3528</v>
      </c>
      <c r="P1381" s="163">
        <f t="shared" si="1385"/>
        <v>232</v>
      </c>
      <c r="Q1381" s="163">
        <f t="shared" si="1385"/>
        <v>785</v>
      </c>
      <c r="R1381" s="163">
        <f>IFERROR(__xludf.DUMMYFUNCTION("RANK(M1381,filter(M:M,C:C=C1381))"),71.0)</f>
        <v>71</v>
      </c>
      <c r="S1381" s="161" t="b">
        <f t="shared" si="5"/>
        <v>0</v>
      </c>
      <c r="T1381" s="161" t="b">
        <f t="array" ref="T1381">index('Query Tool'!B:B,match(H1381,'Query Tool'!C:C,0))</f>
        <v>1</v>
      </c>
      <c r="U1381" s="161" t="b">
        <f t="array" ref="U1381">index('Query Tool'!B:B,match(C1381,'Query Tool'!C:C,0))</f>
        <v>0</v>
      </c>
      <c r="V1381" s="161" t="b">
        <f>F1381&gt;='Query Tool'!C$32</f>
        <v>1</v>
      </c>
      <c r="W1381" s="161" t="b">
        <f t="array" ref="W1381">index(Dropdowns!B:B,match(I1381,Dropdowns!A:A,0))</f>
        <v>1</v>
      </c>
      <c r="X1381" s="161" t="b">
        <f t="array" ref="X1381">index('Query Tool'!B:B,match(D1381,'Query Tool'!C:C,0))</f>
        <v>1</v>
      </c>
      <c r="Y1381" s="161" t="str">
        <f t="shared" si="6"/>
        <v>capelca01,2015-16</v>
      </c>
      <c r="Z1381" s="168">
        <f t="array" ref="Z1381">iferror(index(I:I,match($A1381&amp;","&amp;index('Year Conversion'!$A:$A,match($C1381,'Year Conversion'!$B:$B,0)),$Y:$Y,0))-I1381,"")</f>
        <v>1</v>
      </c>
      <c r="AA1381" s="168">
        <f t="array" ref="AA1381">iferror(index(J:J,match($A1381&amp;","&amp;index('Year Conversion'!$A:$A,match($C1381,'Year Conversion'!$B:$B,0)),$Y:$Y,0))-J1381,"")</f>
        <v>-1.166590977</v>
      </c>
      <c r="AB1381" s="168">
        <f t="array" ref="AB1381">iferror(index(K:K,match($A1381&amp;","&amp;index('Year Conversion'!$A:$A,match($C1381,'Year Conversion'!$B:$B,0)),$Y:$Y,0))-K1381,"")</f>
        <v>0.05629340288</v>
      </c>
      <c r="AC1381" s="168" t="str">
        <f t="shared" si="7"/>
        <v>HOU,2015-16</v>
      </c>
    </row>
    <row r="1382">
      <c r="A1382" s="161" t="str">
        <f>IFERROR(__xludf.DUMMYFUNCTION("""COMPUTED_VALUE"""),"nurkiju01")</f>
        <v>nurkiju01</v>
      </c>
      <c r="B1382" s="161" t="str">
        <f>IFERROR(__xludf.DUMMYFUNCTION("""COMPUTED_VALUE"""),"Jusuf Nurkic")</f>
        <v>Jusuf Nurkic</v>
      </c>
      <c r="C1382" s="162" t="str">
        <f>IFERROR(__xludf.DUMMYFUNCTION("""COMPUTED_VALUE"""),"2015-16")</f>
        <v>2015-16</v>
      </c>
      <c r="D1382" s="163" t="str">
        <f>IFERROR(__xludf.DUMMYFUNCTION("""COMPUTED_VALUE"""),"DEN")</f>
        <v>DEN</v>
      </c>
      <c r="E1382" s="164" t="str">
        <f>IFERROR(__xludf.DUMMYFUNCTION("""COMPUTED_VALUE"""),"Post Scorer")</f>
        <v>Post Scorer</v>
      </c>
      <c r="F1382" s="164">
        <f>IFERROR(__xludf.DUMMYFUNCTION("""COMPUTED_VALUE"""),547.075)</f>
        <v>547.075</v>
      </c>
      <c r="G1382" s="163">
        <f>IFERROR(__xludf.DUMMYFUNCTION("""COMPUTED_VALUE"""),32.0)</f>
        <v>32</v>
      </c>
      <c r="H1382" s="163" t="str">
        <f>IFERROR(__xludf.DUMMYFUNCTION("""COMPUTED_VALUE"""),"C")</f>
        <v>C</v>
      </c>
      <c r="I1382" s="163">
        <f>IFERROR(__xludf.DUMMYFUNCTION("""COMPUTED_VALUE"""),21.0)</f>
        <v>21</v>
      </c>
      <c r="J1382" s="165">
        <f>IFERROR(__xludf.DUMMYFUNCTION("""COMPUTED_VALUE"""),0.672271238256486)</f>
        <v>0.6722712383</v>
      </c>
      <c r="K1382" s="165">
        <f>IFERROR(__xludf.DUMMYFUNCTION("""COMPUTED_VALUE"""),-0.625950953958513)</f>
        <v>-0.625950954</v>
      </c>
      <c r="L1382" s="165">
        <f>IFERROR(__xludf.DUMMYFUNCTION("""COMPUTED_VALUE"""),1.298222192215)</f>
        <v>1.298222192</v>
      </c>
      <c r="M1382" s="166">
        <f t="shared" si="2"/>
        <v>1.091207143</v>
      </c>
      <c r="N1382" s="167">
        <f t="shared" si="3"/>
        <v>17.09609375</v>
      </c>
      <c r="O1382" s="163">
        <f t="shared" ref="O1382:Q1382" si="1386">rank(I1382,I:I)</f>
        <v>3528</v>
      </c>
      <c r="P1382" s="163">
        <f t="shared" si="1386"/>
        <v>811</v>
      </c>
      <c r="Q1382" s="163">
        <f t="shared" si="1386"/>
        <v>2301</v>
      </c>
      <c r="R1382" s="163">
        <f>IFERROR(__xludf.DUMMYFUNCTION("RANK(M1382,filter(M:M,C:C=C1382))"),214.0)</f>
        <v>214</v>
      </c>
      <c r="S1382" s="161" t="b">
        <f t="shared" si="5"/>
        <v>0</v>
      </c>
      <c r="T1382" s="161" t="b">
        <f t="array" ref="T1382">index('Query Tool'!B:B,match(H1382,'Query Tool'!C:C,0))</f>
        <v>1</v>
      </c>
      <c r="U1382" s="161" t="b">
        <f t="array" ref="U1382">index('Query Tool'!B:B,match(C1382,'Query Tool'!C:C,0))</f>
        <v>0</v>
      </c>
      <c r="V1382" s="161" t="b">
        <f>F1382&gt;='Query Tool'!C$32</f>
        <v>1</v>
      </c>
      <c r="W1382" s="161" t="b">
        <f t="array" ref="W1382">index(Dropdowns!B:B,match(I1382,Dropdowns!A:A,0))</f>
        <v>1</v>
      </c>
      <c r="X1382" s="161" t="b">
        <f t="array" ref="X1382">index('Query Tool'!B:B,match(D1382,'Query Tool'!C:C,0))</f>
        <v>1</v>
      </c>
      <c r="Y1382" s="161" t="str">
        <f t="shared" si="6"/>
        <v>nurkiju01,2015-16</v>
      </c>
      <c r="Z1382" s="168">
        <f t="array" ref="Z1382">iferror(index(I:I,match($A1382&amp;","&amp;index('Year Conversion'!$A:$A,match($C1382,'Year Conversion'!$B:$B,0)),$Y:$Y,0))-I1382,"")</f>
        <v>1</v>
      </c>
      <c r="AA1382" s="168">
        <f t="array" ref="AA1382">iferror(index(J:J,match($A1382&amp;","&amp;index('Year Conversion'!$A:$A,match($C1382,'Year Conversion'!$B:$B,0)),$Y:$Y,0))-J1382,"")</f>
        <v>-0.025967726</v>
      </c>
      <c r="AB1382" s="168">
        <f t="array" ref="AB1382">iferror(index(K:K,match($A1382&amp;","&amp;index('Year Conversion'!$A:$A,match($C1382,'Year Conversion'!$B:$B,0)),$Y:$Y,0))-K1382,"")</f>
        <v>-0.6620698551</v>
      </c>
      <c r="AC1382" s="168" t="str">
        <f t="shared" si="7"/>
        <v>DEN,2015-16</v>
      </c>
    </row>
    <row r="1383">
      <c r="A1383" s="161" t="str">
        <f>IFERROR(__xludf.DUMMYFUNCTION("""COMPUTED_VALUE"""),"inglida01")</f>
        <v>inglida01</v>
      </c>
      <c r="B1383" s="161" t="str">
        <f>IFERROR(__xludf.DUMMYFUNCTION("""COMPUTED_VALUE"""),"Damien Inglis")</f>
        <v>Damien Inglis</v>
      </c>
      <c r="C1383" s="162" t="str">
        <f>IFERROR(__xludf.DUMMYFUNCTION("""COMPUTED_VALUE"""),"2015-16")</f>
        <v>2015-16</v>
      </c>
      <c r="D1383" s="163" t="str">
        <f>IFERROR(__xludf.DUMMYFUNCTION("""COMPUTED_VALUE"""),"MIL")</f>
        <v>MIL</v>
      </c>
      <c r="E1383" s="164" t="str">
        <f>IFERROR(__xludf.DUMMYFUNCTION("""COMPUTED_VALUE"""),"Stationary Shooter")</f>
        <v>Stationary Shooter</v>
      </c>
      <c r="F1383" s="164">
        <f>IFERROR(__xludf.DUMMYFUNCTION("""COMPUTED_VALUE"""),156.351666666667)</f>
        <v>156.3516667</v>
      </c>
      <c r="G1383" s="163">
        <f>IFERROR(__xludf.DUMMYFUNCTION("""COMPUTED_VALUE"""),20.0)</f>
        <v>20</v>
      </c>
      <c r="H1383" s="163" t="str">
        <f>IFERROR(__xludf.DUMMYFUNCTION("""COMPUTED_VALUE"""),"SF")</f>
        <v>SF</v>
      </c>
      <c r="I1383" s="163">
        <f>IFERROR(__xludf.DUMMYFUNCTION("""COMPUTED_VALUE"""),20.0)</f>
        <v>20</v>
      </c>
      <c r="J1383" s="165">
        <f>IFERROR(__xludf.DUMMYFUNCTION("""COMPUTED_VALUE"""),-0.644266495034682)</f>
        <v>-0.644266495</v>
      </c>
      <c r="K1383" s="165">
        <f>IFERROR(__xludf.DUMMYFUNCTION("""COMPUTED_VALUE"""),-1.01495853638485)</f>
        <v>-1.014958536</v>
      </c>
      <c r="L1383" s="165">
        <f>IFERROR(__xludf.DUMMYFUNCTION("""COMPUTED_VALUE"""),0.370692041350164)</f>
        <v>0.3706920414</v>
      </c>
      <c r="M1383" s="166">
        <f t="shared" si="2"/>
        <v>0.1731687024</v>
      </c>
      <c r="N1383" s="167">
        <f t="shared" si="3"/>
        <v>7.817583333</v>
      </c>
      <c r="O1383" s="163">
        <f t="shared" ref="O1383:Q1383" si="1387">rank(I1383,I:I)</f>
        <v>3770</v>
      </c>
      <c r="P1383" s="163">
        <f t="shared" si="1387"/>
        <v>2053</v>
      </c>
      <c r="Q1383" s="163">
        <f t="shared" si="1387"/>
        <v>2826</v>
      </c>
      <c r="R1383" s="163">
        <f>IFERROR(__xludf.DUMMYFUNCTION("RANK(M1383,filter(M:M,C:C=C1383))"),348.0)</f>
        <v>348</v>
      </c>
      <c r="S1383" s="161" t="b">
        <f t="shared" si="5"/>
        <v>0</v>
      </c>
      <c r="T1383" s="161" t="b">
        <f t="array" ref="T1383">index('Query Tool'!B:B,match(H1383,'Query Tool'!C:C,0))</f>
        <v>1</v>
      </c>
      <c r="U1383" s="161" t="b">
        <f t="array" ref="U1383">index('Query Tool'!B:B,match(C1383,'Query Tool'!C:C,0))</f>
        <v>0</v>
      </c>
      <c r="V1383" s="161" t="b">
        <f>F1383&gt;='Query Tool'!C$32</f>
        <v>0</v>
      </c>
      <c r="W1383" s="161" t="b">
        <f t="array" ref="W1383">index(Dropdowns!B:B,match(I1383,Dropdowns!A:A,0))</f>
        <v>1</v>
      </c>
      <c r="X1383" s="161" t="b">
        <f t="array" ref="X1383">index('Query Tool'!B:B,match(D1383,'Query Tool'!C:C,0))</f>
        <v>1</v>
      </c>
      <c r="Y1383" s="161" t="str">
        <f t="shared" si="6"/>
        <v>inglida01,2015-16</v>
      </c>
      <c r="Z1383" s="168" t="str">
        <f t="array" ref="Z1383">iferror(index(I:I,match($A1383&amp;","&amp;index('Year Conversion'!$A:$A,match($C1383,'Year Conversion'!$B:$B,0)),$Y:$Y,0))-I1383,"")</f>
        <v/>
      </c>
      <c r="AA1383" s="168" t="str">
        <f t="array" ref="AA1383">iferror(index(J:J,match($A1383&amp;","&amp;index('Year Conversion'!$A:$A,match($C1383,'Year Conversion'!$B:$B,0)),$Y:$Y,0))-J1383,"")</f>
        <v/>
      </c>
      <c r="AB1383" s="168" t="str">
        <f t="array" ref="AB1383">iferror(index(K:K,match($A1383&amp;","&amp;index('Year Conversion'!$A:$A,match($C1383,'Year Conversion'!$B:$B,0)),$Y:$Y,0))-K1383,"")</f>
        <v/>
      </c>
      <c r="AC1383" s="168" t="str">
        <f t="shared" si="7"/>
        <v>MIL,2015-16</v>
      </c>
    </row>
    <row r="1384">
      <c r="A1384" s="161" t="str">
        <f>IFERROR(__xludf.DUMMYFUNCTION("""COMPUTED_VALUE"""),"cabocbr01")</f>
        <v>cabocbr01</v>
      </c>
      <c r="B1384" s="161" t="str">
        <f>IFERROR(__xludf.DUMMYFUNCTION("""COMPUTED_VALUE"""),"Bruno Caboclo")</f>
        <v>Bruno Caboclo</v>
      </c>
      <c r="C1384" s="162" t="str">
        <f>IFERROR(__xludf.DUMMYFUNCTION("""COMPUTED_VALUE"""),"2015-16")</f>
        <v>2015-16</v>
      </c>
      <c r="D1384" s="163" t="str">
        <f>IFERROR(__xludf.DUMMYFUNCTION("""COMPUTED_VALUE"""),"TOR")</f>
        <v>TOR</v>
      </c>
      <c r="E1384" s="164" t="str">
        <f>IFERROR(__xludf.DUMMYFUNCTION("""COMPUTED_VALUE"""),"Stationary Shooter")</f>
        <v>Stationary Shooter</v>
      </c>
      <c r="F1384" s="164">
        <f>IFERROR(__xludf.DUMMYFUNCTION("""COMPUTED_VALUE"""),42.6833333333333)</f>
        <v>42.68333333</v>
      </c>
      <c r="G1384" s="163">
        <f>IFERROR(__xludf.DUMMYFUNCTION("""COMPUTED_VALUE"""),6.0)</f>
        <v>6</v>
      </c>
      <c r="H1384" s="163" t="str">
        <f>IFERROR(__xludf.DUMMYFUNCTION("""COMPUTED_VALUE"""),"SF")</f>
        <v>SF</v>
      </c>
      <c r="I1384" s="163">
        <f>IFERROR(__xludf.DUMMYFUNCTION("""COMPUTED_VALUE"""),20.0)</f>
        <v>20</v>
      </c>
      <c r="J1384" s="165">
        <f>IFERROR(__xludf.DUMMYFUNCTION("""COMPUTED_VALUE"""),-1.07517643662081)</f>
        <v>-1.075176437</v>
      </c>
      <c r="K1384" s="165">
        <f>IFERROR(__xludf.DUMMYFUNCTION("""COMPUTED_VALUE"""),-0.562474946509663)</f>
        <v>-0.5624749465</v>
      </c>
      <c r="L1384" s="165">
        <f>IFERROR(__xludf.DUMMYFUNCTION("""COMPUTED_VALUE"""),-0.512701490111144)</f>
        <v>-0.5127014901</v>
      </c>
      <c r="M1384" s="166">
        <f t="shared" si="2"/>
        <v>0.0349130673</v>
      </c>
      <c r="N1384" s="167">
        <f t="shared" si="3"/>
        <v>7.113888889</v>
      </c>
      <c r="O1384" s="163">
        <f t="shared" ref="O1384:Q1384" si="1388">rank(I1384,I:I)</f>
        <v>3770</v>
      </c>
      <c r="P1384" s="163">
        <f t="shared" si="1388"/>
        <v>2583</v>
      </c>
      <c r="Q1384" s="163">
        <f t="shared" si="1388"/>
        <v>2207</v>
      </c>
      <c r="R1384" s="163">
        <f>IFERROR(__xludf.DUMMYFUNCTION("RANK(M1384,filter(M:M,C:C=C1384))"),408.0)</f>
        <v>408</v>
      </c>
      <c r="S1384" s="161" t="b">
        <f t="shared" si="5"/>
        <v>0</v>
      </c>
      <c r="T1384" s="161" t="b">
        <f t="array" ref="T1384">index('Query Tool'!B:B,match(H1384,'Query Tool'!C:C,0))</f>
        <v>1</v>
      </c>
      <c r="U1384" s="161" t="b">
        <f t="array" ref="U1384">index('Query Tool'!B:B,match(C1384,'Query Tool'!C:C,0))</f>
        <v>0</v>
      </c>
      <c r="V1384" s="161" t="b">
        <f>F1384&gt;='Query Tool'!C$32</f>
        <v>0</v>
      </c>
      <c r="W1384" s="161" t="b">
        <f t="array" ref="W1384">index(Dropdowns!B:B,match(I1384,Dropdowns!A:A,0))</f>
        <v>1</v>
      </c>
      <c r="X1384" s="161" t="b">
        <f t="array" ref="X1384">index('Query Tool'!B:B,match(D1384,'Query Tool'!C:C,0))</f>
        <v>1</v>
      </c>
      <c r="Y1384" s="161" t="str">
        <f t="shared" si="6"/>
        <v>cabocbr01,2015-16</v>
      </c>
      <c r="Z1384" s="168">
        <f t="array" ref="Z1384">iferror(index(I:I,match($A1384&amp;","&amp;index('Year Conversion'!$A:$A,match($C1384,'Year Conversion'!$B:$B,0)),$Y:$Y,0))-I1384,"")</f>
        <v>1</v>
      </c>
      <c r="AA1384" s="168">
        <f t="array" ref="AA1384">iferror(index(J:J,match($A1384&amp;","&amp;index('Year Conversion'!$A:$A,match($C1384,'Year Conversion'!$B:$B,0)),$Y:$Y,0))-J1384,"")</f>
        <v>0.5944993289</v>
      </c>
      <c r="AB1384" s="168">
        <f t="array" ref="AB1384">iferror(index(K:K,match($A1384&amp;","&amp;index('Year Conversion'!$A:$A,match($C1384,'Year Conversion'!$B:$B,0)),$Y:$Y,0))-K1384,"")</f>
        <v>0.4517375145</v>
      </c>
      <c r="AC1384" s="168" t="str">
        <f t="shared" si="7"/>
        <v>TOR,2015-16</v>
      </c>
    </row>
    <row r="1385">
      <c r="A1385" s="161" t="str">
        <f>IFERROR(__xludf.DUMMYFUNCTION("""COMPUTED_VALUE"""),"jokicni01")</f>
        <v>jokicni01</v>
      </c>
      <c r="B1385" s="161" t="str">
        <f>IFERROR(__xludf.DUMMYFUNCTION("""COMPUTED_VALUE"""),"Nikola Jokic")</f>
        <v>Nikola Jokic</v>
      </c>
      <c r="C1385" s="162" t="str">
        <f>IFERROR(__xludf.DUMMYFUNCTION("""COMPUTED_VALUE"""),"2015-16")</f>
        <v>2015-16</v>
      </c>
      <c r="D1385" s="163" t="str">
        <f>IFERROR(__xludf.DUMMYFUNCTION("""COMPUTED_VALUE"""),"DEN")</f>
        <v>DEN</v>
      </c>
      <c r="E1385" s="164" t="str">
        <f>IFERROR(__xludf.DUMMYFUNCTION("""COMPUTED_VALUE"""),"Post Scorer")</f>
        <v>Post Scorer</v>
      </c>
      <c r="F1385" s="164">
        <f>IFERROR(__xludf.DUMMYFUNCTION("""COMPUTED_VALUE"""),1732.55166666667)</f>
        <v>1732.551667</v>
      </c>
      <c r="G1385" s="163">
        <f>IFERROR(__xludf.DUMMYFUNCTION("""COMPUTED_VALUE"""),80.0)</f>
        <v>80</v>
      </c>
      <c r="H1385" s="163" t="str">
        <f>IFERROR(__xludf.DUMMYFUNCTION("""COMPUTED_VALUE"""),"C")</f>
        <v>C</v>
      </c>
      <c r="I1385" s="163">
        <f>IFERROR(__xludf.DUMMYFUNCTION("""COMPUTED_VALUE"""),20.0)</f>
        <v>20</v>
      </c>
      <c r="J1385" s="165">
        <f>IFERROR(__xludf.DUMMYFUNCTION("""COMPUTED_VALUE"""),4.29240000793779)</f>
        <v>4.292400008</v>
      </c>
      <c r="K1385" s="165">
        <f>IFERROR(__xludf.DUMMYFUNCTION("""COMPUTED_VALUE"""),1.23528256907355)</f>
        <v>1.235282569</v>
      </c>
      <c r="L1385" s="165">
        <f>IFERROR(__xludf.DUMMYFUNCTION("""COMPUTED_VALUE"""),3.05711743886423)</f>
        <v>3.057117439</v>
      </c>
      <c r="M1385" s="166">
        <f t="shared" si="2"/>
        <v>7.560318909</v>
      </c>
      <c r="N1385" s="167">
        <f t="shared" si="3"/>
        <v>21.65689583</v>
      </c>
      <c r="O1385" s="163">
        <f t="shared" ref="O1385:Q1385" si="1389">rank(I1385,I:I)</f>
        <v>3770</v>
      </c>
      <c r="P1385" s="163">
        <f t="shared" si="1389"/>
        <v>83</v>
      </c>
      <c r="Q1385" s="163">
        <f t="shared" si="1389"/>
        <v>408</v>
      </c>
      <c r="R1385" s="163">
        <f>IFERROR(__xludf.DUMMYFUNCTION("RANK(M1385,filter(M:M,C:C=C1385))"),24.0)</f>
        <v>24</v>
      </c>
      <c r="S1385" s="161" t="b">
        <f t="shared" si="5"/>
        <v>0</v>
      </c>
      <c r="T1385" s="161" t="b">
        <f t="array" ref="T1385">index('Query Tool'!B:B,match(H1385,'Query Tool'!C:C,0))</f>
        <v>1</v>
      </c>
      <c r="U1385" s="161" t="b">
        <f t="array" ref="U1385">index('Query Tool'!B:B,match(C1385,'Query Tool'!C:C,0))</f>
        <v>0</v>
      </c>
      <c r="V1385" s="161" t="b">
        <f>F1385&gt;='Query Tool'!C$32</f>
        <v>1</v>
      </c>
      <c r="W1385" s="161" t="b">
        <f t="array" ref="W1385">index(Dropdowns!B:B,match(I1385,Dropdowns!A:A,0))</f>
        <v>1</v>
      </c>
      <c r="X1385" s="161" t="b">
        <f t="array" ref="X1385">index('Query Tool'!B:B,match(D1385,'Query Tool'!C:C,0))</f>
        <v>1</v>
      </c>
      <c r="Y1385" s="161" t="str">
        <f t="shared" si="6"/>
        <v>jokicni01,2015-16</v>
      </c>
      <c r="Z1385" s="168">
        <f t="array" ref="Z1385">iferror(index(I:I,match($A1385&amp;","&amp;index('Year Conversion'!$A:$A,match($C1385,'Year Conversion'!$B:$B,0)),$Y:$Y,0))-I1385,"")</f>
        <v>1</v>
      </c>
      <c r="AA1385" s="168">
        <f t="array" ref="AA1385">iferror(index(J:J,match($A1385&amp;","&amp;index('Year Conversion'!$A:$A,match($C1385,'Year Conversion'!$B:$B,0)),$Y:$Y,0))-J1385,"")</f>
        <v>0.01072571376</v>
      </c>
      <c r="AB1385" s="168">
        <f t="array" ref="AB1385">iferror(index(K:K,match($A1385&amp;","&amp;index('Year Conversion'!$A:$A,match($C1385,'Year Conversion'!$B:$B,0)),$Y:$Y,0))-K1385,"")</f>
        <v>2.558960115</v>
      </c>
      <c r="AC1385" s="168" t="str">
        <f t="shared" si="7"/>
        <v>DEN,2015-16</v>
      </c>
    </row>
    <row r="1386">
      <c r="A1386" s="161" t="str">
        <f>IFERROR(__xludf.DUMMYFUNCTION("""COMPUTED_VALUE"""),"porzikr01")</f>
        <v>porzikr01</v>
      </c>
      <c r="B1386" s="161" t="str">
        <f>IFERROR(__xludf.DUMMYFUNCTION("""COMPUTED_VALUE"""),"Kristaps Porzingis")</f>
        <v>Kristaps Porzingis</v>
      </c>
      <c r="C1386" s="162" t="str">
        <f>IFERROR(__xludf.DUMMYFUNCTION("""COMPUTED_VALUE"""),"2015-16")</f>
        <v>2015-16</v>
      </c>
      <c r="D1386" s="163" t="str">
        <f>IFERROR(__xludf.DUMMYFUNCTION("""COMPUTED_VALUE"""),"NYK")</f>
        <v>NYK</v>
      </c>
      <c r="E1386" s="164" t="str">
        <f>IFERROR(__xludf.DUMMYFUNCTION("""COMPUTED_VALUE"""),"Versatile Big")</f>
        <v>Versatile Big</v>
      </c>
      <c r="F1386" s="164">
        <f>IFERROR(__xludf.DUMMYFUNCTION("""COMPUTED_VALUE"""),2046.46166666667)</f>
        <v>2046.461667</v>
      </c>
      <c r="G1386" s="163">
        <f>IFERROR(__xludf.DUMMYFUNCTION("""COMPUTED_VALUE"""),72.0)</f>
        <v>72</v>
      </c>
      <c r="H1386" s="163" t="str">
        <f>IFERROR(__xludf.DUMMYFUNCTION("""COMPUTED_VALUE"""),"PF")</f>
        <v>PF</v>
      </c>
      <c r="I1386" s="163">
        <f>IFERROR(__xludf.DUMMYFUNCTION("""COMPUTED_VALUE"""),20.0)</f>
        <v>20</v>
      </c>
      <c r="J1386" s="165">
        <f>IFERROR(__xludf.DUMMYFUNCTION("""COMPUTED_VALUE"""),2.10333512708425)</f>
        <v>2.103335127</v>
      </c>
      <c r="K1386" s="165">
        <f>IFERROR(__xludf.DUMMYFUNCTION("""COMPUTED_VALUE"""),0.459458494516795)</f>
        <v>0.4594584945</v>
      </c>
      <c r="L1386" s="165">
        <f>IFERROR(__xludf.DUMMYFUNCTION("""COMPUTED_VALUE"""),1.64387663256745)</f>
        <v>1.643876633</v>
      </c>
      <c r="M1386" s="166">
        <f t="shared" si="2"/>
        <v>6.039236201</v>
      </c>
      <c r="N1386" s="167">
        <f t="shared" si="3"/>
        <v>28.4230787</v>
      </c>
      <c r="O1386" s="163">
        <f t="shared" ref="O1386:Q1386" si="1390">rank(I1386,I:I)</f>
        <v>3770</v>
      </c>
      <c r="P1386" s="163">
        <f t="shared" si="1390"/>
        <v>292</v>
      </c>
      <c r="Q1386" s="163">
        <f t="shared" si="1390"/>
        <v>793</v>
      </c>
      <c r="R1386" s="163">
        <f>IFERROR(__xludf.DUMMYFUNCTION("RANK(M1386,filter(M:M,C:C=C1386))"),44.0)</f>
        <v>44</v>
      </c>
      <c r="S1386" s="161" t="b">
        <f t="shared" si="5"/>
        <v>0</v>
      </c>
      <c r="T1386" s="161" t="b">
        <f t="array" ref="T1386">index('Query Tool'!B:B,match(H1386,'Query Tool'!C:C,0))</f>
        <v>1</v>
      </c>
      <c r="U1386" s="161" t="b">
        <f t="array" ref="U1386">index('Query Tool'!B:B,match(C1386,'Query Tool'!C:C,0))</f>
        <v>0</v>
      </c>
      <c r="V1386" s="161" t="b">
        <f>F1386&gt;='Query Tool'!C$32</f>
        <v>1</v>
      </c>
      <c r="W1386" s="161" t="b">
        <f t="array" ref="W1386">index(Dropdowns!B:B,match(I1386,Dropdowns!A:A,0))</f>
        <v>1</v>
      </c>
      <c r="X1386" s="161" t="b">
        <f t="array" ref="X1386">index('Query Tool'!B:B,match(D1386,'Query Tool'!C:C,0))</f>
        <v>1</v>
      </c>
      <c r="Y1386" s="161" t="str">
        <f t="shared" si="6"/>
        <v>porzikr01,2015-16</v>
      </c>
      <c r="Z1386" s="168">
        <f t="array" ref="Z1386">iferror(index(I:I,match($A1386&amp;","&amp;index('Year Conversion'!$A:$A,match($C1386,'Year Conversion'!$B:$B,0)),$Y:$Y,0))-I1386,"")</f>
        <v>1</v>
      </c>
      <c r="AA1386" s="168">
        <f t="array" ref="AA1386">iferror(index(J:J,match($A1386&amp;","&amp;index('Year Conversion'!$A:$A,match($C1386,'Year Conversion'!$B:$B,0)),$Y:$Y,0))-J1386,"")</f>
        <v>-1.291290532</v>
      </c>
      <c r="AB1386" s="168">
        <f t="array" ref="AB1386">iferror(index(K:K,match($A1386&amp;","&amp;index('Year Conversion'!$A:$A,match($C1386,'Year Conversion'!$B:$B,0)),$Y:$Y,0))-K1386,"")</f>
        <v>-0.7981835215</v>
      </c>
      <c r="AC1386" s="168" t="str">
        <f t="shared" si="7"/>
        <v>NYK,2015-16</v>
      </c>
    </row>
    <row r="1387">
      <c r="A1387" s="161" t="str">
        <f>IFERROR(__xludf.DUMMYFUNCTION("""COMPUTED_VALUE"""),"tavarwa01")</f>
        <v>tavarwa01</v>
      </c>
      <c r="B1387" s="161" t="str">
        <f>IFERROR(__xludf.DUMMYFUNCTION("""COMPUTED_VALUE"""),"Edy Tavares")</f>
        <v>Edy Tavares</v>
      </c>
      <c r="C1387" s="162" t="str">
        <f>IFERROR(__xludf.DUMMYFUNCTION("""COMPUTED_VALUE"""),"2015-16")</f>
        <v>2015-16</v>
      </c>
      <c r="D1387" s="163" t="str">
        <f>IFERROR(__xludf.DUMMYFUNCTION("""COMPUTED_VALUE"""),"ATL")</f>
        <v>ATL</v>
      </c>
      <c r="E1387" s="164" t="str">
        <f>IFERROR(__xludf.DUMMYFUNCTION("""COMPUTED_VALUE"""),"Roll + Cut Big")</f>
        <v>Roll + Cut Big</v>
      </c>
      <c r="F1387" s="164">
        <f>IFERROR(__xludf.DUMMYFUNCTION("""COMPUTED_VALUE"""),72.6500000000001)</f>
        <v>72.65</v>
      </c>
      <c r="G1387" s="163">
        <f>IFERROR(__xludf.DUMMYFUNCTION("""COMPUTED_VALUE"""),11.0)</f>
        <v>11</v>
      </c>
      <c r="H1387" s="163" t="str">
        <f>IFERROR(__xludf.DUMMYFUNCTION("""COMPUTED_VALUE"""),"C")</f>
        <v>C</v>
      </c>
      <c r="I1387" s="163">
        <f>IFERROR(__xludf.DUMMYFUNCTION("""COMPUTED_VALUE"""),23.0)</f>
        <v>23</v>
      </c>
      <c r="J1387" s="165">
        <f>IFERROR(__xludf.DUMMYFUNCTION("""COMPUTED_VALUE"""),-1.21317785821027)</f>
        <v>-1.213177858</v>
      </c>
      <c r="K1387" s="165">
        <f>IFERROR(__xludf.DUMMYFUNCTION("""COMPUTED_VALUE"""),-0.688626706991972)</f>
        <v>-0.688626707</v>
      </c>
      <c r="L1387" s="165">
        <f>IFERROR(__xludf.DUMMYFUNCTION("""COMPUTED_VALUE"""),-0.5245511512183)</f>
        <v>-0.5245511512</v>
      </c>
      <c r="M1387" s="166">
        <f t="shared" si="2"/>
        <v>0.05270196101</v>
      </c>
      <c r="N1387" s="167">
        <f t="shared" si="3"/>
        <v>6.604545455</v>
      </c>
      <c r="O1387" s="163">
        <f t="shared" ref="O1387:Q1387" si="1391">rank(I1387,I:I)</f>
        <v>2765</v>
      </c>
      <c r="P1387" s="163">
        <f t="shared" si="1391"/>
        <v>2763</v>
      </c>
      <c r="Q1387" s="163">
        <f t="shared" si="1391"/>
        <v>2400</v>
      </c>
      <c r="R1387" s="163">
        <f>IFERROR(__xludf.DUMMYFUNCTION("RANK(M1387,filter(M:M,C:C=C1387))"),396.0)</f>
        <v>396</v>
      </c>
      <c r="S1387" s="161" t="b">
        <f t="shared" si="5"/>
        <v>0</v>
      </c>
      <c r="T1387" s="161" t="b">
        <f t="array" ref="T1387">index('Query Tool'!B:B,match(H1387,'Query Tool'!C:C,0))</f>
        <v>1</v>
      </c>
      <c r="U1387" s="161" t="b">
        <f t="array" ref="U1387">index('Query Tool'!B:B,match(C1387,'Query Tool'!C:C,0))</f>
        <v>0</v>
      </c>
      <c r="V1387" s="161" t="b">
        <f>F1387&gt;='Query Tool'!C$32</f>
        <v>0</v>
      </c>
      <c r="W1387" s="161" t="b">
        <f t="array" ref="W1387">index(Dropdowns!B:B,match(I1387,Dropdowns!A:A,0))</f>
        <v>1</v>
      </c>
      <c r="X1387" s="161" t="b">
        <f t="array" ref="X1387">index('Query Tool'!B:B,match(D1387,'Query Tool'!C:C,0))</f>
        <v>1</v>
      </c>
      <c r="Y1387" s="161" t="str">
        <f t="shared" si="6"/>
        <v>tavarwa01,2015-16</v>
      </c>
      <c r="Z1387" s="168">
        <f t="array" ref="Z1387">iferror(index(I:I,match($A1387&amp;","&amp;index('Year Conversion'!$A:$A,match($C1387,'Year Conversion'!$B:$B,0)),$Y:$Y,0))-I1387,"")</f>
        <v>1</v>
      </c>
      <c r="AA1387" s="168">
        <f t="array" ref="AA1387">iferror(index(J:J,match($A1387&amp;","&amp;index('Year Conversion'!$A:$A,match($C1387,'Year Conversion'!$B:$B,0)),$Y:$Y,0))-J1387,"")</f>
        <v>1.038390052</v>
      </c>
      <c r="AB1387" s="168">
        <f t="array" ref="AB1387">iferror(index(K:K,match($A1387&amp;","&amp;index('Year Conversion'!$A:$A,match($C1387,'Year Conversion'!$B:$B,0)),$Y:$Y,0))-K1387,"")</f>
        <v>0.5377183469</v>
      </c>
      <c r="AC1387" s="168" t="str">
        <f t="shared" si="7"/>
        <v>ATL,2015-16</v>
      </c>
    </row>
    <row r="1388">
      <c r="A1388" s="161" t="str">
        <f>IFERROR(__xludf.DUMMYFUNCTION("""COMPUTED_VALUE"""),"rudezda01")</f>
        <v>rudezda01</v>
      </c>
      <c r="B1388" s="161" t="str">
        <f>IFERROR(__xludf.DUMMYFUNCTION("""COMPUTED_VALUE"""),"Damjan Rudez")</f>
        <v>Damjan Rudez</v>
      </c>
      <c r="C1388" s="162" t="str">
        <f>IFERROR(__xludf.DUMMYFUNCTION("""COMPUTED_VALUE"""),"2015-16")</f>
        <v>2015-16</v>
      </c>
      <c r="D1388" s="163" t="str">
        <f>IFERROR(__xludf.DUMMYFUNCTION("""COMPUTED_VALUE"""),"MIN")</f>
        <v>MIN</v>
      </c>
      <c r="E1388" s="164" t="str">
        <f>IFERROR(__xludf.DUMMYFUNCTION("""COMPUTED_VALUE"""),"Movement Shooter")</f>
        <v>Movement Shooter</v>
      </c>
      <c r="F1388" s="164">
        <f>IFERROR(__xludf.DUMMYFUNCTION("""COMPUTED_VALUE"""),277.285)</f>
        <v>277.285</v>
      </c>
      <c r="G1388" s="163">
        <f>IFERROR(__xludf.DUMMYFUNCTION("""COMPUTED_VALUE"""),33.0)</f>
        <v>33</v>
      </c>
      <c r="H1388" s="163" t="str">
        <f>IFERROR(__xludf.DUMMYFUNCTION("""COMPUTED_VALUE"""),"SF")</f>
        <v>SF</v>
      </c>
      <c r="I1388" s="163">
        <f>IFERROR(__xludf.DUMMYFUNCTION("""COMPUTED_VALUE"""),29.0)</f>
        <v>29</v>
      </c>
      <c r="J1388" s="165">
        <f>IFERROR(__xludf.DUMMYFUNCTION("""COMPUTED_VALUE"""),-1.86492175909044)</f>
        <v>-1.864921759</v>
      </c>
      <c r="K1388" s="165">
        <f>IFERROR(__xludf.DUMMYFUNCTION("""COMPUTED_VALUE"""),-0.93229872550402)</f>
        <v>-0.9322987255</v>
      </c>
      <c r="L1388" s="165">
        <f>IFERROR(__xludf.DUMMYFUNCTION("""COMPUTED_VALUE"""),-0.932623033586425)</f>
        <v>-0.9326230336</v>
      </c>
      <c r="M1388" s="166">
        <f t="shared" si="2"/>
        <v>0.0805222175</v>
      </c>
      <c r="N1388" s="167">
        <f t="shared" si="3"/>
        <v>8.402575758</v>
      </c>
      <c r="O1388" s="163">
        <f t="shared" ref="O1388:Q1388" si="1392">rank(I1388,I:I)</f>
        <v>855</v>
      </c>
      <c r="P1388" s="163">
        <f t="shared" si="1392"/>
        <v>3389</v>
      </c>
      <c r="Q1388" s="163">
        <f t="shared" si="1392"/>
        <v>2728</v>
      </c>
      <c r="R1388" s="163">
        <f>IFERROR(__xludf.DUMMYFUNCTION("RANK(M1388,filter(M:M,C:C=C1388))"),378.0)</f>
        <v>378</v>
      </c>
      <c r="S1388" s="161" t="b">
        <f t="shared" si="5"/>
        <v>0</v>
      </c>
      <c r="T1388" s="161" t="b">
        <f t="array" ref="T1388">index('Query Tool'!B:B,match(H1388,'Query Tool'!C:C,0))</f>
        <v>1</v>
      </c>
      <c r="U1388" s="161" t="b">
        <f t="array" ref="U1388">index('Query Tool'!B:B,match(C1388,'Query Tool'!C:C,0))</f>
        <v>0</v>
      </c>
      <c r="V1388" s="161" t="b">
        <f>F1388&gt;='Query Tool'!C$32</f>
        <v>0</v>
      </c>
      <c r="W1388" s="161" t="b">
        <f t="array" ref="W1388">index(Dropdowns!B:B,match(I1388,Dropdowns!A:A,0))</f>
        <v>1</v>
      </c>
      <c r="X1388" s="161" t="b">
        <f t="array" ref="X1388">index('Query Tool'!B:B,match(D1388,'Query Tool'!C:C,0))</f>
        <v>1</v>
      </c>
      <c r="Y1388" s="161" t="str">
        <f t="shared" si="6"/>
        <v>rudezda01,2015-16</v>
      </c>
      <c r="Z1388" s="168">
        <f t="array" ref="Z1388">iferror(index(I:I,match($A1388&amp;","&amp;index('Year Conversion'!$A:$A,match($C1388,'Year Conversion'!$B:$B,0)),$Y:$Y,0))-I1388,"")</f>
        <v>1</v>
      </c>
      <c r="AA1388" s="168">
        <f t="array" ref="AA1388">iferror(index(J:J,match($A1388&amp;","&amp;index('Year Conversion'!$A:$A,match($C1388,'Year Conversion'!$B:$B,0)),$Y:$Y,0))-J1388,"")</f>
        <v>-0.1077426362</v>
      </c>
      <c r="AB1388" s="168">
        <f t="array" ref="AB1388">iferror(index(K:K,match($A1388&amp;","&amp;index('Year Conversion'!$A:$A,match($C1388,'Year Conversion'!$B:$B,0)),$Y:$Y,0))-K1388,"")</f>
        <v>-0.3216958311</v>
      </c>
      <c r="AC1388" s="168" t="str">
        <f t="shared" si="7"/>
        <v>MIN,2015-16</v>
      </c>
    </row>
    <row r="1389">
      <c r="A1389" s="161" t="str">
        <f>IFERROR(__xludf.DUMMYFUNCTION("""COMPUTED_VALUE"""),"johnsty01")</f>
        <v>johnsty01</v>
      </c>
      <c r="B1389" s="161" t="str">
        <f>IFERROR(__xludf.DUMMYFUNCTION("""COMPUTED_VALUE"""),"Tyler Johnson")</f>
        <v>Tyler Johnson</v>
      </c>
      <c r="C1389" s="162" t="str">
        <f>IFERROR(__xludf.DUMMYFUNCTION("""COMPUTED_VALUE"""),"2015-16")</f>
        <v>2015-16</v>
      </c>
      <c r="D1389" s="163" t="str">
        <f>IFERROR(__xludf.DUMMYFUNCTION("""COMPUTED_VALUE"""),"MIA")</f>
        <v>MIA</v>
      </c>
      <c r="E1389" s="164" t="str">
        <f>IFERROR(__xludf.DUMMYFUNCTION("""COMPUTED_VALUE"""),"Secondary Ball Handler")</f>
        <v>Secondary Ball Handler</v>
      </c>
      <c r="F1389" s="164">
        <f>IFERROR(__xludf.DUMMYFUNCTION("""COMPUTED_VALUE"""),862.556666666667)</f>
        <v>862.5566667</v>
      </c>
      <c r="G1389" s="163">
        <f>IFERROR(__xludf.DUMMYFUNCTION("""COMPUTED_VALUE"""),36.0)</f>
        <v>36</v>
      </c>
      <c r="H1389" s="163" t="str">
        <f>IFERROR(__xludf.DUMMYFUNCTION("""COMPUTED_VALUE"""),"SG")</f>
        <v>SG</v>
      </c>
      <c r="I1389" s="163">
        <f>IFERROR(__xludf.DUMMYFUNCTION("""COMPUTED_VALUE"""),23.0)</f>
        <v>23</v>
      </c>
      <c r="J1389" s="165">
        <f>IFERROR(__xludf.DUMMYFUNCTION("""COMPUTED_VALUE"""),-1.12380710876002)</f>
        <v>-1.123807109</v>
      </c>
      <c r="K1389" s="165">
        <f>IFERROR(__xludf.DUMMYFUNCTION("""COMPUTED_VALUE"""),-0.599255585015374)</f>
        <v>-0.599255585</v>
      </c>
      <c r="L1389" s="165">
        <f>IFERROR(__xludf.DUMMYFUNCTION("""COMPUTED_VALUE"""),-0.524551523744642)</f>
        <v>-0.5245515237</v>
      </c>
      <c r="M1389" s="166">
        <f t="shared" si="2"/>
        <v>0.6773949487</v>
      </c>
      <c r="N1389" s="167">
        <f t="shared" si="3"/>
        <v>23.95990741</v>
      </c>
      <c r="O1389" s="163">
        <f t="shared" ref="O1389:Q1389" si="1393">rank(I1389,I:I)</f>
        <v>2765</v>
      </c>
      <c r="P1389" s="163">
        <f t="shared" si="1393"/>
        <v>2649</v>
      </c>
      <c r="Q1389" s="163">
        <f t="shared" si="1393"/>
        <v>2263</v>
      </c>
      <c r="R1389" s="163">
        <f>IFERROR(__xludf.DUMMYFUNCTION("RANK(M1389,filter(M:M,C:C=C1389))"),258.0)</f>
        <v>258</v>
      </c>
      <c r="S1389" s="161" t="b">
        <f t="shared" si="5"/>
        <v>0</v>
      </c>
      <c r="T1389" s="161" t="b">
        <f t="array" ref="T1389">index('Query Tool'!B:B,match(H1389,'Query Tool'!C:C,0))</f>
        <v>1</v>
      </c>
      <c r="U1389" s="161" t="b">
        <f t="array" ref="U1389">index('Query Tool'!B:B,match(C1389,'Query Tool'!C:C,0))</f>
        <v>0</v>
      </c>
      <c r="V1389" s="161" t="b">
        <f>F1389&gt;='Query Tool'!C$32</f>
        <v>1</v>
      </c>
      <c r="W1389" s="161" t="b">
        <f t="array" ref="W1389">index(Dropdowns!B:B,match(I1389,Dropdowns!A:A,0))</f>
        <v>1</v>
      </c>
      <c r="X1389" s="161" t="b">
        <f t="array" ref="X1389">index('Query Tool'!B:B,match(D1389,'Query Tool'!C:C,0))</f>
        <v>1</v>
      </c>
      <c r="Y1389" s="161" t="str">
        <f t="shared" si="6"/>
        <v>johnsty01,2015-16</v>
      </c>
      <c r="Z1389" s="168">
        <f t="array" ref="Z1389">iferror(index(I:I,match($A1389&amp;","&amp;index('Year Conversion'!$A:$A,match($C1389,'Year Conversion'!$B:$B,0)),$Y:$Y,0))-I1389,"")</f>
        <v>1</v>
      </c>
      <c r="AA1389" s="168">
        <f t="array" ref="AA1389">iferror(index(J:J,match($A1389&amp;","&amp;index('Year Conversion'!$A:$A,match($C1389,'Year Conversion'!$B:$B,0)),$Y:$Y,0))-J1389,"")</f>
        <v>1.257956476</v>
      </c>
      <c r="AB1389" s="168">
        <f t="array" ref="AB1389">iferror(index(K:K,match($A1389&amp;","&amp;index('Year Conversion'!$A:$A,match($C1389,'Year Conversion'!$B:$B,0)),$Y:$Y,0))-K1389,"")</f>
        <v>0.7812786261</v>
      </c>
      <c r="AC1389" s="168" t="str">
        <f t="shared" si="7"/>
        <v>MIA,2015-16</v>
      </c>
    </row>
    <row r="1390">
      <c r="A1390" s="161" t="str">
        <f>IFERROR(__xludf.DUMMYFUNCTION("""COMPUTED_VALUE"""),"fraziti01")</f>
        <v>fraziti01</v>
      </c>
      <c r="B1390" s="161" t="str">
        <f>IFERROR(__xludf.DUMMYFUNCTION("""COMPUTED_VALUE"""),"Tim Frazier")</f>
        <v>Tim Frazier</v>
      </c>
      <c r="C1390" s="162" t="str">
        <f>IFERROR(__xludf.DUMMYFUNCTION("""COMPUTED_VALUE"""),"2015-16")</f>
        <v>2015-16</v>
      </c>
      <c r="D1390" s="163" t="str">
        <f>IFERROR(__xludf.DUMMYFUNCTION("""COMPUTED_VALUE"""),"TOT")</f>
        <v>TOT</v>
      </c>
      <c r="E1390" s="164" t="str">
        <f>IFERROR(__xludf.DUMMYFUNCTION("""COMPUTED_VALUE"""),"Slasher")</f>
        <v>Slasher</v>
      </c>
      <c r="F1390" s="164">
        <f>IFERROR(__xludf.DUMMYFUNCTION("""COMPUTED_VALUE"""),741.255)</f>
        <v>741.255</v>
      </c>
      <c r="G1390" s="163">
        <f>IFERROR(__xludf.DUMMYFUNCTION("""COMPUTED_VALUE"""),51.0)</f>
        <v>51</v>
      </c>
      <c r="H1390" s="163" t="str">
        <f>IFERROR(__xludf.DUMMYFUNCTION("""COMPUTED_VALUE"""),"PG")</f>
        <v>PG</v>
      </c>
      <c r="I1390" s="163">
        <f>IFERROR(__xludf.DUMMYFUNCTION("""COMPUTED_VALUE"""),25.0)</f>
        <v>25</v>
      </c>
      <c r="J1390" s="165">
        <f>IFERROR(__xludf.DUMMYFUNCTION("""COMPUTED_VALUE"""),-0.0625476458821111)</f>
        <v>-0.06254764588</v>
      </c>
      <c r="K1390" s="165">
        <f>IFERROR(__xludf.DUMMYFUNCTION("""COMPUTED_VALUE"""),0.610904646431882)</f>
        <v>0.6109046464</v>
      </c>
      <c r="L1390" s="165">
        <f>IFERROR(__xludf.DUMMYFUNCTION("""COMPUTED_VALUE"""),-0.673452292313993)</f>
        <v>-0.6734522923</v>
      </c>
      <c r="M1390" s="166">
        <f t="shared" si="2"/>
        <v>1.111510323</v>
      </c>
      <c r="N1390" s="167">
        <f t="shared" si="3"/>
        <v>14.53441176</v>
      </c>
      <c r="O1390" s="163">
        <f t="shared" ref="O1390:Q1390" si="1394">rank(I1390,I:I)</f>
        <v>1995</v>
      </c>
      <c r="P1390" s="163">
        <f t="shared" si="1394"/>
        <v>1350</v>
      </c>
      <c r="Q1390" s="163">
        <f t="shared" si="1394"/>
        <v>702</v>
      </c>
      <c r="R1390" s="163">
        <f>IFERROR(__xludf.DUMMYFUNCTION("RANK(M1390,filter(M:M,C:C=C1390))"),213.0)</f>
        <v>213</v>
      </c>
      <c r="S1390" s="161" t="b">
        <f t="shared" si="5"/>
        <v>0</v>
      </c>
      <c r="T1390" s="161" t="b">
        <f t="array" ref="T1390">index('Query Tool'!B:B,match(H1390,'Query Tool'!C:C,0))</f>
        <v>1</v>
      </c>
      <c r="U1390" s="161" t="b">
        <f t="array" ref="U1390">index('Query Tool'!B:B,match(C1390,'Query Tool'!C:C,0))</f>
        <v>0</v>
      </c>
      <c r="V1390" s="161" t="b">
        <f>F1390&gt;='Query Tool'!C$32</f>
        <v>1</v>
      </c>
      <c r="W1390" s="161" t="b">
        <f t="array" ref="W1390">index(Dropdowns!B:B,match(I1390,Dropdowns!A:A,0))</f>
        <v>1</v>
      </c>
      <c r="X1390" s="161" t="b">
        <f t="array" ref="X1390">index('Query Tool'!B:B,match(D1390,'Query Tool'!C:C,0))</f>
        <v>1</v>
      </c>
      <c r="Y1390" s="161" t="str">
        <f t="shared" si="6"/>
        <v>fraziti01,2015-16</v>
      </c>
      <c r="Z1390" s="168">
        <f t="array" ref="Z1390">iferror(index(I:I,match($A1390&amp;","&amp;index('Year Conversion'!$A:$A,match($C1390,'Year Conversion'!$B:$B,0)),$Y:$Y,0))-I1390,"")</f>
        <v>1</v>
      </c>
      <c r="AA1390" s="168">
        <f t="array" ref="AA1390">iferror(index(J:J,match($A1390&amp;","&amp;index('Year Conversion'!$A:$A,match($C1390,'Year Conversion'!$B:$B,0)),$Y:$Y,0))-J1390,"")</f>
        <v>-0.5069037581</v>
      </c>
      <c r="AB1390" s="168">
        <f t="array" ref="AB1390">iferror(index(K:K,match($A1390&amp;","&amp;index('Year Conversion'!$A:$A,match($C1390,'Year Conversion'!$B:$B,0)),$Y:$Y,0))-K1390,"")</f>
        <v>-1.11643216</v>
      </c>
      <c r="AC1390" s="168" t="str">
        <f t="shared" si="7"/>
        <v>TOT,2015-16</v>
      </c>
    </row>
    <row r="1391">
      <c r="A1391" s="161" t="str">
        <f>IFERROR(__xludf.DUMMYFUNCTION("""COMPUTED_VALUE"""),"blackta01")</f>
        <v>blackta01</v>
      </c>
      <c r="B1391" s="161" t="str">
        <f>IFERROR(__xludf.DUMMYFUNCTION("""COMPUTED_VALUE"""),"Tarik Black")</f>
        <v>Tarik Black</v>
      </c>
      <c r="C1391" s="162" t="str">
        <f>IFERROR(__xludf.DUMMYFUNCTION("""COMPUTED_VALUE"""),"2015-16")</f>
        <v>2015-16</v>
      </c>
      <c r="D1391" s="163" t="str">
        <f>IFERROR(__xludf.DUMMYFUNCTION("""COMPUTED_VALUE"""),"LAL")</f>
        <v>LAL</v>
      </c>
      <c r="E1391" s="164" t="str">
        <f>IFERROR(__xludf.DUMMYFUNCTION("""COMPUTED_VALUE"""),"Roll + Cut Big")</f>
        <v>Roll + Cut Big</v>
      </c>
      <c r="F1391" s="164">
        <f>IFERROR(__xludf.DUMMYFUNCTION("""COMPUTED_VALUE"""),495.59)</f>
        <v>495.59</v>
      </c>
      <c r="G1391" s="163">
        <f>IFERROR(__xludf.DUMMYFUNCTION("""COMPUTED_VALUE"""),39.0)</f>
        <v>39</v>
      </c>
      <c r="H1391" s="163" t="str">
        <f>IFERROR(__xludf.DUMMYFUNCTION("""COMPUTED_VALUE"""),"C")</f>
        <v>C</v>
      </c>
      <c r="I1391" s="163">
        <f>IFERROR(__xludf.DUMMYFUNCTION("""COMPUTED_VALUE"""),24.0)</f>
        <v>24</v>
      </c>
      <c r="J1391" s="165">
        <f>IFERROR(__xludf.DUMMYFUNCTION("""COMPUTED_VALUE"""),0.0904134762018765)</f>
        <v>0.0904134762</v>
      </c>
      <c r="K1391" s="165">
        <f>IFERROR(__xludf.DUMMYFUNCTION("""COMPUTED_VALUE"""),-1.46914172061912)</f>
        <v>-1.469141721</v>
      </c>
      <c r="L1391" s="165">
        <f>IFERROR(__xludf.DUMMYFUNCTION("""COMPUTED_VALUE"""),1.559555196821)</f>
        <v>1.559555197</v>
      </c>
      <c r="M1391" s="166">
        <f t="shared" si="2"/>
        <v>0.7942433474</v>
      </c>
      <c r="N1391" s="167">
        <f t="shared" si="3"/>
        <v>12.7074359</v>
      </c>
      <c r="O1391" s="163">
        <f t="shared" ref="O1391:Q1391" si="1395">rank(I1391,I:I)</f>
        <v>2361</v>
      </c>
      <c r="P1391" s="163">
        <f t="shared" si="1395"/>
        <v>1201</v>
      </c>
      <c r="Q1391" s="163">
        <f t="shared" si="1395"/>
        <v>3324</v>
      </c>
      <c r="R1391" s="163">
        <f>IFERROR(__xludf.DUMMYFUNCTION("RANK(M1391,filter(M:M,C:C=C1391))"),242.0)</f>
        <v>242</v>
      </c>
      <c r="S1391" s="161" t="b">
        <f t="shared" si="5"/>
        <v>0</v>
      </c>
      <c r="T1391" s="161" t="b">
        <f t="array" ref="T1391">index('Query Tool'!B:B,match(H1391,'Query Tool'!C:C,0))</f>
        <v>1</v>
      </c>
      <c r="U1391" s="161" t="b">
        <f t="array" ref="U1391">index('Query Tool'!B:B,match(C1391,'Query Tool'!C:C,0))</f>
        <v>0</v>
      </c>
      <c r="V1391" s="161" t="b">
        <f>F1391&gt;='Query Tool'!C$32</f>
        <v>0</v>
      </c>
      <c r="W1391" s="161" t="b">
        <f t="array" ref="W1391">index(Dropdowns!B:B,match(I1391,Dropdowns!A:A,0))</f>
        <v>1</v>
      </c>
      <c r="X1391" s="161" t="b">
        <f t="array" ref="X1391">index('Query Tool'!B:B,match(D1391,'Query Tool'!C:C,0))</f>
        <v>1</v>
      </c>
      <c r="Y1391" s="161" t="str">
        <f t="shared" si="6"/>
        <v>blackta01,2015-16</v>
      </c>
      <c r="Z1391" s="168">
        <f t="array" ref="Z1391">iferror(index(I:I,match($A1391&amp;","&amp;index('Year Conversion'!$A:$A,match($C1391,'Year Conversion'!$B:$B,0)),$Y:$Y,0))-I1391,"")</f>
        <v>1</v>
      </c>
      <c r="AA1391" s="168">
        <f t="array" ref="AA1391">iferror(index(J:J,match($A1391&amp;","&amp;index('Year Conversion'!$A:$A,match($C1391,'Year Conversion'!$B:$B,0)),$Y:$Y,0))-J1391,"")</f>
        <v>-0.226265117</v>
      </c>
      <c r="AB1391" s="168">
        <f t="array" ref="AB1391">iferror(index(K:K,match($A1391&amp;","&amp;index('Year Conversion'!$A:$A,match($C1391,'Year Conversion'!$B:$B,0)),$Y:$Y,0))-K1391,"")</f>
        <v>-0.04634343916</v>
      </c>
      <c r="AC1391" s="168" t="str">
        <f t="shared" si="7"/>
        <v>LAL,2015-16</v>
      </c>
    </row>
    <row r="1392">
      <c r="A1392" s="161" t="str">
        <f>IFERROR(__xludf.DUMMYFUNCTION("""COMPUTED_VALUE"""),"gallola01")</f>
        <v>gallola01</v>
      </c>
      <c r="B1392" s="161" t="str">
        <f>IFERROR(__xludf.DUMMYFUNCTION("""COMPUTED_VALUE"""),"Langston Galloway")</f>
        <v>Langston Galloway</v>
      </c>
      <c r="C1392" s="162" t="str">
        <f>IFERROR(__xludf.DUMMYFUNCTION("""COMPUTED_VALUE"""),"2015-16")</f>
        <v>2015-16</v>
      </c>
      <c r="D1392" s="163" t="str">
        <f>IFERROR(__xludf.DUMMYFUNCTION("""COMPUTED_VALUE"""),"NYK")</f>
        <v>NYK</v>
      </c>
      <c r="E1392" s="164" t="str">
        <f>IFERROR(__xludf.DUMMYFUNCTION("""COMPUTED_VALUE"""),"Primary Ball Handler")</f>
        <v>Primary Ball Handler</v>
      </c>
      <c r="F1392" s="164">
        <f>IFERROR(__xludf.DUMMYFUNCTION("""COMPUTED_VALUE"""),2033.29833333333)</f>
        <v>2033.298333</v>
      </c>
      <c r="G1392" s="163">
        <f>IFERROR(__xludf.DUMMYFUNCTION("""COMPUTED_VALUE"""),82.0)</f>
        <v>82</v>
      </c>
      <c r="H1392" s="163" t="str">
        <f>IFERROR(__xludf.DUMMYFUNCTION("""COMPUTED_VALUE"""),"PG")</f>
        <v>PG</v>
      </c>
      <c r="I1392" s="163">
        <f>IFERROR(__xludf.DUMMYFUNCTION("""COMPUTED_VALUE"""),24.0)</f>
        <v>24</v>
      </c>
      <c r="J1392" s="165">
        <f>IFERROR(__xludf.DUMMYFUNCTION("""COMPUTED_VALUE"""),-1.24270000852453)</f>
        <v>-1.242700009</v>
      </c>
      <c r="K1392" s="165">
        <f>IFERROR(__xludf.DUMMYFUNCTION("""COMPUTED_VALUE"""),-0.977284700131754)</f>
        <v>-0.9772847001</v>
      </c>
      <c r="L1392" s="165">
        <f>IFERROR(__xludf.DUMMYFUNCTION("""COMPUTED_VALUE"""),-0.265415308392778)</f>
        <v>-0.2654153084</v>
      </c>
      <c r="M1392" s="166">
        <f t="shared" si="2"/>
        <v>1.434784262</v>
      </c>
      <c r="N1392" s="167">
        <f t="shared" si="3"/>
        <v>24.79632114</v>
      </c>
      <c r="O1392" s="163">
        <f t="shared" ref="O1392:Q1392" si="1396">rank(I1392,I:I)</f>
        <v>2361</v>
      </c>
      <c r="P1392" s="163">
        <f t="shared" si="1396"/>
        <v>2803</v>
      </c>
      <c r="Q1392" s="163">
        <f t="shared" si="1396"/>
        <v>2774</v>
      </c>
      <c r="R1392" s="163">
        <f>IFERROR(__xludf.DUMMYFUNCTION("RANK(M1392,filter(M:M,C:C=C1392))"),190.0)</f>
        <v>190</v>
      </c>
      <c r="S1392" s="161" t="b">
        <f t="shared" si="5"/>
        <v>0</v>
      </c>
      <c r="T1392" s="161" t="b">
        <f t="array" ref="T1392">index('Query Tool'!B:B,match(H1392,'Query Tool'!C:C,0))</f>
        <v>1</v>
      </c>
      <c r="U1392" s="161" t="b">
        <f t="array" ref="U1392">index('Query Tool'!B:B,match(C1392,'Query Tool'!C:C,0))</f>
        <v>0</v>
      </c>
      <c r="V1392" s="161" t="b">
        <f>F1392&gt;='Query Tool'!C$32</f>
        <v>1</v>
      </c>
      <c r="W1392" s="161" t="b">
        <f t="array" ref="W1392">index(Dropdowns!B:B,match(I1392,Dropdowns!A:A,0))</f>
        <v>1</v>
      </c>
      <c r="X1392" s="161" t="b">
        <f t="array" ref="X1392">index('Query Tool'!B:B,match(D1392,'Query Tool'!C:C,0))</f>
        <v>1</v>
      </c>
      <c r="Y1392" s="161" t="str">
        <f t="shared" si="6"/>
        <v>gallola01,2015-16</v>
      </c>
      <c r="Z1392" s="168">
        <f t="array" ref="Z1392">iferror(index(I:I,match($A1392&amp;","&amp;index('Year Conversion'!$A:$A,match($C1392,'Year Conversion'!$B:$B,0)),$Y:$Y,0))-I1392,"")</f>
        <v>1</v>
      </c>
      <c r="AA1392" s="168">
        <f t="array" ref="AA1392">iferror(index(J:J,match($A1392&amp;","&amp;index('Year Conversion'!$A:$A,match($C1392,'Year Conversion'!$B:$B,0)),$Y:$Y,0))-J1392,"")</f>
        <v>-1.018545331</v>
      </c>
      <c r="AB1392" s="168">
        <f t="array" ref="AB1392">iferror(index(K:K,match($A1392&amp;","&amp;index('Year Conversion'!$A:$A,match($C1392,'Year Conversion'!$B:$B,0)),$Y:$Y,0))-K1392,"")</f>
        <v>0.1016353992</v>
      </c>
      <c r="AC1392" s="168" t="str">
        <f t="shared" si="7"/>
        <v>NYK,2015-16</v>
      </c>
    </row>
    <row r="1393">
      <c r="A1393" s="161" t="str">
        <f>IFERROR(__xludf.DUMMYFUNCTION("""COMPUTED_VALUE"""),"inglejo01")</f>
        <v>inglejo01</v>
      </c>
      <c r="B1393" s="161" t="str">
        <f>IFERROR(__xludf.DUMMYFUNCTION("""COMPUTED_VALUE"""),"Joe Ingles")</f>
        <v>Joe Ingles</v>
      </c>
      <c r="C1393" s="162" t="str">
        <f>IFERROR(__xludf.DUMMYFUNCTION("""COMPUTED_VALUE"""),"2015-16")</f>
        <v>2015-16</v>
      </c>
      <c r="D1393" s="163" t="str">
        <f>IFERROR(__xludf.DUMMYFUNCTION("""COMPUTED_VALUE"""),"UTA")</f>
        <v>UTA</v>
      </c>
      <c r="E1393" s="164" t="str">
        <f>IFERROR(__xludf.DUMMYFUNCTION("""COMPUTED_VALUE"""),"Stationary Shooter")</f>
        <v>Stationary Shooter</v>
      </c>
      <c r="F1393" s="164">
        <f>IFERROR(__xludf.DUMMYFUNCTION("""COMPUTED_VALUE"""),1241.09666666667)</f>
        <v>1241.096667</v>
      </c>
      <c r="G1393" s="163">
        <f>IFERROR(__xludf.DUMMYFUNCTION("""COMPUTED_VALUE"""),81.0)</f>
        <v>81</v>
      </c>
      <c r="H1393" s="163" t="str">
        <f>IFERROR(__xludf.DUMMYFUNCTION("""COMPUTED_VALUE"""),"SF")</f>
        <v>SF</v>
      </c>
      <c r="I1393" s="163">
        <f>IFERROR(__xludf.DUMMYFUNCTION("""COMPUTED_VALUE"""),28.0)</f>
        <v>28</v>
      </c>
      <c r="J1393" s="165">
        <f>IFERROR(__xludf.DUMMYFUNCTION("""COMPUTED_VALUE"""),-1.81565788389618)</f>
        <v>-1.815657884</v>
      </c>
      <c r="K1393" s="165">
        <f>IFERROR(__xludf.DUMMYFUNCTION("""COMPUTED_VALUE"""),-1.5361626003028)</f>
        <v>-1.5361626</v>
      </c>
      <c r="L1393" s="165">
        <f>IFERROR(__xludf.DUMMYFUNCTION("""COMPUTED_VALUE"""),-0.279495283593384)</f>
        <v>-0.2794952836</v>
      </c>
      <c r="M1393" s="166">
        <f t="shared" si="2"/>
        <v>0.4010528327</v>
      </c>
      <c r="N1393" s="167">
        <f t="shared" si="3"/>
        <v>15.32218107</v>
      </c>
      <c r="O1393" s="163">
        <f t="shared" ref="O1393:Q1393" si="1397">rank(I1393,I:I)</f>
        <v>1090</v>
      </c>
      <c r="P1393" s="163">
        <f t="shared" si="1397"/>
        <v>3346</v>
      </c>
      <c r="Q1393" s="163">
        <f t="shared" si="1397"/>
        <v>3393</v>
      </c>
      <c r="R1393" s="163">
        <f>IFERROR(__xludf.DUMMYFUNCTION("RANK(M1393,filter(M:M,C:C=C1393))"),294.0)</f>
        <v>294</v>
      </c>
      <c r="S1393" s="161" t="b">
        <f t="shared" si="5"/>
        <v>0</v>
      </c>
      <c r="T1393" s="161" t="b">
        <f t="array" ref="T1393">index('Query Tool'!B:B,match(H1393,'Query Tool'!C:C,0))</f>
        <v>1</v>
      </c>
      <c r="U1393" s="161" t="b">
        <f t="array" ref="U1393">index('Query Tool'!B:B,match(C1393,'Query Tool'!C:C,0))</f>
        <v>0</v>
      </c>
      <c r="V1393" s="161" t="b">
        <f>F1393&gt;='Query Tool'!C$32</f>
        <v>1</v>
      </c>
      <c r="W1393" s="161" t="b">
        <f t="array" ref="W1393">index(Dropdowns!B:B,match(I1393,Dropdowns!A:A,0))</f>
        <v>1</v>
      </c>
      <c r="X1393" s="161" t="b">
        <f t="array" ref="X1393">index('Query Tool'!B:B,match(D1393,'Query Tool'!C:C,0))</f>
        <v>1</v>
      </c>
      <c r="Y1393" s="161" t="str">
        <f t="shared" si="6"/>
        <v>inglejo01,2015-16</v>
      </c>
      <c r="Z1393" s="168">
        <f t="array" ref="Z1393">iferror(index(I:I,match($A1393&amp;","&amp;index('Year Conversion'!$A:$A,match($C1393,'Year Conversion'!$B:$B,0)),$Y:$Y,0))-I1393,"")</f>
        <v>1</v>
      </c>
      <c r="AA1393" s="168">
        <f t="array" ref="AA1393">iferror(index(J:J,match($A1393&amp;","&amp;index('Year Conversion'!$A:$A,match($C1393,'Year Conversion'!$B:$B,0)),$Y:$Y,0))-J1393,"")</f>
        <v>2.732567276</v>
      </c>
      <c r="AB1393" s="168">
        <f t="array" ref="AB1393">iferror(index(K:K,match($A1393&amp;","&amp;index('Year Conversion'!$A:$A,match($C1393,'Year Conversion'!$B:$B,0)),$Y:$Y,0))-K1393,"")</f>
        <v>2.210920273</v>
      </c>
      <c r="AC1393" s="168" t="str">
        <f t="shared" si="7"/>
        <v>UTA,2015-16</v>
      </c>
    </row>
    <row r="1394">
      <c r="A1394" s="161" t="str">
        <f>IFERROR(__xludf.DUMMYFUNCTION("""COMPUTED_VALUE"""),"eddieja01")</f>
        <v>eddieja01</v>
      </c>
      <c r="B1394" s="161" t="str">
        <f>IFERROR(__xludf.DUMMYFUNCTION("""COMPUTED_VALUE"""),"Jarell Eddie")</f>
        <v>Jarell Eddie</v>
      </c>
      <c r="C1394" s="162" t="str">
        <f>IFERROR(__xludf.DUMMYFUNCTION("""COMPUTED_VALUE"""),"2015-16")</f>
        <v>2015-16</v>
      </c>
      <c r="D1394" s="163" t="str">
        <f>IFERROR(__xludf.DUMMYFUNCTION("""COMPUTED_VALUE"""),"WAS")</f>
        <v>WAS</v>
      </c>
      <c r="E1394" s="164" t="str">
        <f>IFERROR(__xludf.DUMMYFUNCTION("""COMPUTED_VALUE"""),"Off Screen Shooter")</f>
        <v>Off Screen Shooter</v>
      </c>
      <c r="F1394" s="164">
        <f>IFERROR(__xludf.DUMMYFUNCTION("""COMPUTED_VALUE"""),146.766666666667)</f>
        <v>146.7666667</v>
      </c>
      <c r="G1394" s="163">
        <f>IFERROR(__xludf.DUMMYFUNCTION("""COMPUTED_VALUE"""),26.0)</f>
        <v>26</v>
      </c>
      <c r="H1394" s="163" t="str">
        <f>IFERROR(__xludf.DUMMYFUNCTION("""COMPUTED_VALUE"""),"SF")</f>
        <v>SF</v>
      </c>
      <c r="I1394" s="163">
        <f>IFERROR(__xludf.DUMMYFUNCTION("""COMPUTED_VALUE"""),24.0)</f>
        <v>24</v>
      </c>
      <c r="J1394" s="165">
        <f>IFERROR(__xludf.DUMMYFUNCTION("""COMPUTED_VALUE"""),-0.123233748939273)</f>
        <v>-0.1232337489</v>
      </c>
      <c r="K1394" s="165">
        <f>IFERROR(__xludf.DUMMYFUNCTION("""COMPUTED_VALUE"""),0.551031547284942)</f>
        <v>0.5510315473</v>
      </c>
      <c r="L1394" s="165">
        <f>IFERROR(__xludf.DUMMYFUNCTION("""COMPUTED_VALUE"""),-0.674265296224216)</f>
        <v>-0.6742652962</v>
      </c>
      <c r="M1394" s="166">
        <f t="shared" si="2"/>
        <v>0.2140717291</v>
      </c>
      <c r="N1394" s="167">
        <f t="shared" si="3"/>
        <v>5.644871795</v>
      </c>
      <c r="O1394" s="163">
        <f t="shared" ref="O1394:Q1394" si="1398">rank(I1394,I:I)</f>
        <v>2361</v>
      </c>
      <c r="P1394" s="163">
        <f t="shared" si="1398"/>
        <v>1408</v>
      </c>
      <c r="Q1394" s="163">
        <f t="shared" si="1398"/>
        <v>741</v>
      </c>
      <c r="R1394" s="163">
        <f>IFERROR(__xludf.DUMMYFUNCTION("RANK(M1394,filter(M:M,C:C=C1394))"),341.0)</f>
        <v>341</v>
      </c>
      <c r="S1394" s="161" t="b">
        <f t="shared" si="5"/>
        <v>0</v>
      </c>
      <c r="T1394" s="161" t="b">
        <f t="array" ref="T1394">index('Query Tool'!B:B,match(H1394,'Query Tool'!C:C,0))</f>
        <v>1</v>
      </c>
      <c r="U1394" s="161" t="b">
        <f t="array" ref="U1394">index('Query Tool'!B:B,match(C1394,'Query Tool'!C:C,0))</f>
        <v>0</v>
      </c>
      <c r="V1394" s="161" t="b">
        <f>F1394&gt;='Query Tool'!C$32</f>
        <v>0</v>
      </c>
      <c r="W1394" s="161" t="b">
        <f t="array" ref="W1394">index(Dropdowns!B:B,match(I1394,Dropdowns!A:A,0))</f>
        <v>1</v>
      </c>
      <c r="X1394" s="161" t="b">
        <f t="array" ref="X1394">index('Query Tool'!B:B,match(D1394,'Query Tool'!C:C,0))</f>
        <v>1</v>
      </c>
      <c r="Y1394" s="161" t="str">
        <f t="shared" si="6"/>
        <v>eddieja01,2015-16</v>
      </c>
      <c r="Z1394" s="168">
        <f t="array" ref="Z1394">iferror(index(I:I,match($A1394&amp;","&amp;index('Year Conversion'!$A:$A,match($C1394,'Year Conversion'!$B:$B,0)),$Y:$Y,0))-I1394,"")</f>
        <v>1</v>
      </c>
      <c r="AA1394" s="168">
        <f t="array" ref="AA1394">iferror(index(J:J,match($A1394&amp;","&amp;index('Year Conversion'!$A:$A,match($C1394,'Year Conversion'!$B:$B,0)),$Y:$Y,0))-J1394,"")</f>
        <v>0.2718274909</v>
      </c>
      <c r="AB1394" s="168">
        <f t="array" ref="AB1394">iferror(index(K:K,match($A1394&amp;","&amp;index('Year Conversion'!$A:$A,match($C1394,'Year Conversion'!$B:$B,0)),$Y:$Y,0))-K1394,"")</f>
        <v>-0.4368670271</v>
      </c>
      <c r="AC1394" s="168" t="str">
        <f t="shared" si="7"/>
        <v>WAS,2015-16</v>
      </c>
    </row>
    <row r="1395">
      <c r="A1395" s="161" t="str">
        <f>IFERROR(__xludf.DUMMYFUNCTION("""COMPUTED_VALUE"""),"munfoxa02")</f>
        <v>munfoxa02</v>
      </c>
      <c r="B1395" s="161" t="str">
        <f>IFERROR(__xludf.DUMMYFUNCTION("""COMPUTED_VALUE"""),"Xavier Munford")</f>
        <v>Xavier Munford</v>
      </c>
      <c r="C1395" s="162" t="str">
        <f>IFERROR(__xludf.DUMMYFUNCTION("""COMPUTED_VALUE"""),"2015-16")</f>
        <v>2015-16</v>
      </c>
      <c r="D1395" s="163" t="str">
        <f>IFERROR(__xludf.DUMMYFUNCTION("""COMPUTED_VALUE"""),"MEM")</f>
        <v>MEM</v>
      </c>
      <c r="E1395" s="164" t="str">
        <f>IFERROR(__xludf.DUMMYFUNCTION("""COMPUTED_VALUE"""),"Secondary Ball Handler")</f>
        <v>Secondary Ball Handler</v>
      </c>
      <c r="F1395" s="164">
        <f>IFERROR(__xludf.DUMMYFUNCTION("""COMPUTED_VALUE"""),244.293333333333)</f>
        <v>244.2933333</v>
      </c>
      <c r="G1395" s="163">
        <f>IFERROR(__xludf.DUMMYFUNCTION("""COMPUTED_VALUE"""),14.0)</f>
        <v>14</v>
      </c>
      <c r="H1395" s="163" t="str">
        <f>IFERROR(__xludf.DUMMYFUNCTION("""COMPUTED_VALUE"""),"SG")</f>
        <v>SG</v>
      </c>
      <c r="I1395" s="163">
        <f>IFERROR(__xludf.DUMMYFUNCTION("""COMPUTED_VALUE"""),23.0)</f>
        <v>23</v>
      </c>
      <c r="J1395" s="165">
        <f>IFERROR(__xludf.DUMMYFUNCTION("""COMPUTED_VALUE"""),-0.644018342366242)</f>
        <v>-0.6440183424</v>
      </c>
      <c r="K1395" s="165">
        <f>IFERROR(__xludf.DUMMYFUNCTION("""COMPUTED_VALUE"""),-0.762625008275462)</f>
        <v>-0.7626250083</v>
      </c>
      <c r="L1395" s="165">
        <f>IFERROR(__xludf.DUMMYFUNCTION("""COMPUTED_VALUE"""),0.11860666590922)</f>
        <v>0.1186066659</v>
      </c>
      <c r="M1395" s="166">
        <f t="shared" si="2"/>
        <v>0.2706100909</v>
      </c>
      <c r="N1395" s="167">
        <f t="shared" si="3"/>
        <v>17.44952381</v>
      </c>
      <c r="O1395" s="163">
        <f t="shared" ref="O1395:Q1395" si="1399">rank(I1395,I:I)</f>
        <v>2765</v>
      </c>
      <c r="P1395" s="163">
        <f t="shared" si="1399"/>
        <v>2051</v>
      </c>
      <c r="Q1395" s="163">
        <f t="shared" si="1399"/>
        <v>2503</v>
      </c>
      <c r="R1395" s="163">
        <f>IFERROR(__xludf.DUMMYFUNCTION("RANK(M1395,filter(M:M,C:C=C1395))"),323.0)</f>
        <v>323</v>
      </c>
      <c r="S1395" s="161" t="b">
        <f t="shared" si="5"/>
        <v>0</v>
      </c>
      <c r="T1395" s="161" t="b">
        <f t="array" ref="T1395">index('Query Tool'!B:B,match(H1395,'Query Tool'!C:C,0))</f>
        <v>1</v>
      </c>
      <c r="U1395" s="161" t="b">
        <f t="array" ref="U1395">index('Query Tool'!B:B,match(C1395,'Query Tool'!C:C,0))</f>
        <v>0</v>
      </c>
      <c r="V1395" s="161" t="b">
        <f>F1395&gt;='Query Tool'!C$32</f>
        <v>0</v>
      </c>
      <c r="W1395" s="161" t="b">
        <f t="array" ref="W1395">index(Dropdowns!B:B,match(I1395,Dropdowns!A:A,0))</f>
        <v>1</v>
      </c>
      <c r="X1395" s="161" t="b">
        <f t="array" ref="X1395">index('Query Tool'!B:B,match(D1395,'Query Tool'!C:C,0))</f>
        <v>1</v>
      </c>
      <c r="Y1395" s="161" t="str">
        <f t="shared" si="6"/>
        <v>munfoxa02,2015-16</v>
      </c>
      <c r="Z1395" s="168" t="str">
        <f t="array" ref="Z1395">iferror(index(I:I,match($A1395&amp;","&amp;index('Year Conversion'!$A:$A,match($C1395,'Year Conversion'!$B:$B,0)),$Y:$Y,0))-I1395,"")</f>
        <v/>
      </c>
      <c r="AA1395" s="168" t="str">
        <f t="array" ref="AA1395">iferror(index(J:J,match($A1395&amp;","&amp;index('Year Conversion'!$A:$A,match($C1395,'Year Conversion'!$B:$B,0)),$Y:$Y,0))-J1395,"")</f>
        <v/>
      </c>
      <c r="AB1395" s="168" t="str">
        <f t="array" ref="AB1395">iferror(index(K:K,match($A1395&amp;","&amp;index('Year Conversion'!$A:$A,match($C1395,'Year Conversion'!$B:$B,0)),$Y:$Y,0))-K1395,"")</f>
        <v/>
      </c>
      <c r="AC1395" s="168" t="str">
        <f t="shared" si="7"/>
        <v>MEM,2015-16</v>
      </c>
    </row>
    <row r="1396">
      <c r="A1396" s="161" t="str">
        <f>IFERROR(__xludf.DUMMYFUNCTION("""COMPUTED_VALUE"""),"mccontj01")</f>
        <v>mccontj01</v>
      </c>
      <c r="B1396" s="161" t="str">
        <f>IFERROR(__xludf.DUMMYFUNCTION("""COMPUTED_VALUE"""),"T.J. McConnell")</f>
        <v>T.J. McConnell</v>
      </c>
      <c r="C1396" s="162" t="str">
        <f>IFERROR(__xludf.DUMMYFUNCTION("""COMPUTED_VALUE"""),"2015-16")</f>
        <v>2015-16</v>
      </c>
      <c r="D1396" s="163" t="str">
        <f>IFERROR(__xludf.DUMMYFUNCTION("""COMPUTED_VALUE"""),"PHI")</f>
        <v>PHI</v>
      </c>
      <c r="E1396" s="164" t="str">
        <f>IFERROR(__xludf.DUMMYFUNCTION("""COMPUTED_VALUE"""),"Slasher")</f>
        <v>Slasher</v>
      </c>
      <c r="F1396" s="164">
        <f>IFERROR(__xludf.DUMMYFUNCTION("""COMPUTED_VALUE"""),1605.94166666667)</f>
        <v>1605.941667</v>
      </c>
      <c r="G1396" s="163">
        <f>IFERROR(__xludf.DUMMYFUNCTION("""COMPUTED_VALUE"""),81.0)</f>
        <v>81</v>
      </c>
      <c r="H1396" s="163" t="str">
        <f>IFERROR(__xludf.DUMMYFUNCTION("""COMPUTED_VALUE"""),"PG")</f>
        <v>PG</v>
      </c>
      <c r="I1396" s="163">
        <f>IFERROR(__xludf.DUMMYFUNCTION("""COMPUTED_VALUE"""),23.0)</f>
        <v>23</v>
      </c>
      <c r="J1396" s="165">
        <f>IFERROR(__xludf.DUMMYFUNCTION("""COMPUTED_VALUE"""),-0.683168679269649)</f>
        <v>-0.6831686793</v>
      </c>
      <c r="K1396" s="165">
        <f>IFERROR(__xludf.DUMMYFUNCTION("""COMPUTED_VALUE"""),-0.344996348800387)</f>
        <v>-0.3449963488</v>
      </c>
      <c r="L1396" s="165">
        <f>IFERROR(__xludf.DUMMYFUNCTION("""COMPUTED_VALUE"""),-0.338172330469262)</f>
        <v>-0.3381723305</v>
      </c>
      <c r="M1396" s="166">
        <f t="shared" si="2"/>
        <v>1.736632707</v>
      </c>
      <c r="N1396" s="167">
        <f t="shared" si="3"/>
        <v>19.82644033</v>
      </c>
      <c r="O1396" s="163">
        <f t="shared" ref="O1396:Q1396" si="1400">rank(I1396,I:I)</f>
        <v>2765</v>
      </c>
      <c r="P1396" s="163">
        <f t="shared" si="1400"/>
        <v>2115</v>
      </c>
      <c r="Q1396" s="163">
        <f t="shared" si="1400"/>
        <v>1840</v>
      </c>
      <c r="R1396" s="163">
        <f>IFERROR(__xludf.DUMMYFUNCTION("RANK(M1396,filter(M:M,C:C=C1396))"),172.0)</f>
        <v>172</v>
      </c>
      <c r="S1396" s="161" t="b">
        <f t="shared" si="5"/>
        <v>0</v>
      </c>
      <c r="T1396" s="161" t="b">
        <f t="array" ref="T1396">index('Query Tool'!B:B,match(H1396,'Query Tool'!C:C,0))</f>
        <v>1</v>
      </c>
      <c r="U1396" s="161" t="b">
        <f t="array" ref="U1396">index('Query Tool'!B:B,match(C1396,'Query Tool'!C:C,0))</f>
        <v>0</v>
      </c>
      <c r="V1396" s="161" t="b">
        <f>F1396&gt;='Query Tool'!C$32</f>
        <v>1</v>
      </c>
      <c r="W1396" s="161" t="b">
        <f t="array" ref="W1396">index(Dropdowns!B:B,match(I1396,Dropdowns!A:A,0))</f>
        <v>1</v>
      </c>
      <c r="X1396" s="161" t="b">
        <f t="array" ref="X1396">index('Query Tool'!B:B,match(D1396,'Query Tool'!C:C,0))</f>
        <v>1</v>
      </c>
      <c r="Y1396" s="161" t="str">
        <f t="shared" si="6"/>
        <v>mccontj01,2015-16</v>
      </c>
      <c r="Z1396" s="168">
        <f t="array" ref="Z1396">iferror(index(I:I,match($A1396&amp;","&amp;index('Year Conversion'!$A:$A,match($C1396,'Year Conversion'!$B:$B,0)),$Y:$Y,0))-I1396,"")</f>
        <v>1</v>
      </c>
      <c r="AA1396" s="168">
        <f t="array" ref="AA1396">iferror(index(J:J,match($A1396&amp;","&amp;index('Year Conversion'!$A:$A,match($C1396,'Year Conversion'!$B:$B,0)),$Y:$Y,0))-J1396,"")</f>
        <v>0.03649071218</v>
      </c>
      <c r="AB1396" s="168">
        <f t="array" ref="AB1396">iferror(index(K:K,match($A1396&amp;","&amp;index('Year Conversion'!$A:$A,match($C1396,'Year Conversion'!$B:$B,0)),$Y:$Y,0))-K1396,"")</f>
        <v>-0.8540263624</v>
      </c>
      <c r="AC1396" s="168" t="str">
        <f t="shared" si="7"/>
        <v>PHI,2015-16</v>
      </c>
    </row>
    <row r="1397">
      <c r="A1397" s="161" t="str">
        <f>IFERROR(__xludf.DUMMYFUNCTION("""COMPUTED_VALUE"""),"okafoja01")</f>
        <v>okafoja01</v>
      </c>
      <c r="B1397" s="161" t="str">
        <f>IFERROR(__xludf.DUMMYFUNCTION("""COMPUTED_VALUE"""),"Jahlil Okafor")</f>
        <v>Jahlil Okafor</v>
      </c>
      <c r="C1397" s="162" t="str">
        <f>IFERROR(__xludf.DUMMYFUNCTION("""COMPUTED_VALUE"""),"2015-16")</f>
        <v>2015-16</v>
      </c>
      <c r="D1397" s="163" t="str">
        <f>IFERROR(__xludf.DUMMYFUNCTION("""COMPUTED_VALUE"""),"PHI")</f>
        <v>PHI</v>
      </c>
      <c r="E1397" s="164" t="str">
        <f>IFERROR(__xludf.DUMMYFUNCTION("""COMPUTED_VALUE"""),"Post Scorer")</f>
        <v>Post Scorer</v>
      </c>
      <c r="F1397" s="164">
        <f>IFERROR(__xludf.DUMMYFUNCTION("""COMPUTED_VALUE"""),1590.565)</f>
        <v>1590.565</v>
      </c>
      <c r="G1397" s="163">
        <f>IFERROR(__xludf.DUMMYFUNCTION("""COMPUTED_VALUE"""),53.0)</f>
        <v>53</v>
      </c>
      <c r="H1397" s="163" t="str">
        <f>IFERROR(__xludf.DUMMYFUNCTION("""COMPUTED_VALUE"""),"C")</f>
        <v>C</v>
      </c>
      <c r="I1397" s="163">
        <f>IFERROR(__xludf.DUMMYFUNCTION("""COMPUTED_VALUE"""),20.0)</f>
        <v>20</v>
      </c>
      <c r="J1397" s="165">
        <f>IFERROR(__xludf.DUMMYFUNCTION("""COMPUTED_VALUE"""),-2.58609657852884)</f>
        <v>-2.586096579</v>
      </c>
      <c r="K1397" s="165">
        <f>IFERROR(__xludf.DUMMYFUNCTION("""COMPUTED_VALUE"""),-2.30536374134868)</f>
        <v>-2.305363741</v>
      </c>
      <c r="L1397" s="165">
        <f>IFERROR(__xludf.DUMMYFUNCTION("""COMPUTED_VALUE"""),-0.280732837180162)</f>
        <v>-0.2807328372</v>
      </c>
      <c r="M1397" s="166">
        <f t="shared" si="2"/>
        <v>-0.2955793972</v>
      </c>
      <c r="N1397" s="167">
        <f t="shared" si="3"/>
        <v>30.01066038</v>
      </c>
      <c r="O1397" s="163">
        <f t="shared" ref="O1397:Q1397" si="1401">rank(I1397,I:I)</f>
        <v>3770</v>
      </c>
      <c r="P1397" s="163">
        <f t="shared" si="1401"/>
        <v>3781</v>
      </c>
      <c r="Q1397" s="163">
        <f t="shared" si="1401"/>
        <v>3837</v>
      </c>
      <c r="R1397" s="163">
        <f>IFERROR(__xludf.DUMMYFUNCTION("RANK(M1397,filter(M:M,C:C=C1397))"),449.0)</f>
        <v>449</v>
      </c>
      <c r="S1397" s="161" t="b">
        <f t="shared" si="5"/>
        <v>0</v>
      </c>
      <c r="T1397" s="161" t="b">
        <f t="array" ref="T1397">index('Query Tool'!B:B,match(H1397,'Query Tool'!C:C,0))</f>
        <v>1</v>
      </c>
      <c r="U1397" s="161" t="b">
        <f t="array" ref="U1397">index('Query Tool'!B:B,match(C1397,'Query Tool'!C:C,0))</f>
        <v>0</v>
      </c>
      <c r="V1397" s="161" t="b">
        <f>F1397&gt;='Query Tool'!C$32</f>
        <v>1</v>
      </c>
      <c r="W1397" s="161" t="b">
        <f t="array" ref="W1397">index(Dropdowns!B:B,match(I1397,Dropdowns!A:A,0))</f>
        <v>1</v>
      </c>
      <c r="X1397" s="161" t="b">
        <f t="array" ref="X1397">index('Query Tool'!B:B,match(D1397,'Query Tool'!C:C,0))</f>
        <v>1</v>
      </c>
      <c r="Y1397" s="161" t="str">
        <f t="shared" si="6"/>
        <v>okafoja01,2015-16</v>
      </c>
      <c r="Z1397" s="168">
        <f t="array" ref="Z1397">iferror(index(I:I,match($A1397&amp;","&amp;index('Year Conversion'!$A:$A,match($C1397,'Year Conversion'!$B:$B,0)),$Y:$Y,0))-I1397,"")</f>
        <v>1</v>
      </c>
      <c r="AA1397" s="168">
        <f t="array" ref="AA1397">iferror(index(J:J,match($A1397&amp;","&amp;index('Year Conversion'!$A:$A,match($C1397,'Year Conversion'!$B:$B,0)),$Y:$Y,0))-J1397,"")</f>
        <v>-0.2759488995</v>
      </c>
      <c r="AB1397" s="168">
        <f t="array" ref="AB1397">iferror(index(K:K,match($A1397&amp;","&amp;index('Year Conversion'!$A:$A,match($C1397,'Year Conversion'!$B:$B,0)),$Y:$Y,0))-K1397,"")</f>
        <v>0.1197411046</v>
      </c>
      <c r="AC1397" s="168" t="str">
        <f t="shared" si="7"/>
        <v>PHI,2015-16</v>
      </c>
    </row>
    <row r="1398">
      <c r="A1398" s="161" t="str">
        <f>IFERROR(__xludf.DUMMYFUNCTION("""COMPUTED_VALUE"""),"mudiaem01")</f>
        <v>mudiaem01</v>
      </c>
      <c r="B1398" s="161" t="str">
        <f>IFERROR(__xludf.DUMMYFUNCTION("""COMPUTED_VALUE"""),"Emmanuel Mudiay")</f>
        <v>Emmanuel Mudiay</v>
      </c>
      <c r="C1398" s="162" t="str">
        <f>IFERROR(__xludf.DUMMYFUNCTION("""COMPUTED_VALUE"""),"2015-16")</f>
        <v>2015-16</v>
      </c>
      <c r="D1398" s="163" t="str">
        <f>IFERROR(__xludf.DUMMYFUNCTION("""COMPUTED_VALUE"""),"DEN")</f>
        <v>DEN</v>
      </c>
      <c r="E1398" s="164" t="str">
        <f>IFERROR(__xludf.DUMMYFUNCTION("""COMPUTED_VALUE"""),"Slasher")</f>
        <v>Slasher</v>
      </c>
      <c r="F1398" s="164">
        <f>IFERROR(__xludf.DUMMYFUNCTION("""COMPUTED_VALUE"""),2067.88666666667)</f>
        <v>2067.886667</v>
      </c>
      <c r="G1398" s="163">
        <f>IFERROR(__xludf.DUMMYFUNCTION("""COMPUTED_VALUE"""),68.0)</f>
        <v>68</v>
      </c>
      <c r="H1398" s="163" t="str">
        <f>IFERROR(__xludf.DUMMYFUNCTION("""COMPUTED_VALUE"""),"PG")</f>
        <v>PG</v>
      </c>
      <c r="I1398" s="163">
        <f>IFERROR(__xludf.DUMMYFUNCTION("""COMPUTED_VALUE"""),19.0)</f>
        <v>19</v>
      </c>
      <c r="J1398" s="165">
        <f>IFERROR(__xludf.DUMMYFUNCTION("""COMPUTED_VALUE"""),-1.76185841058535)</f>
        <v>-1.761858411</v>
      </c>
      <c r="K1398" s="165">
        <f>IFERROR(__xludf.DUMMYFUNCTION("""COMPUTED_VALUE"""),-1.05507059904614)</f>
        <v>-1.055070599</v>
      </c>
      <c r="L1398" s="165">
        <f>IFERROR(__xludf.DUMMYFUNCTION("""COMPUTED_VALUE"""),-0.706787811539206)</f>
        <v>-0.7067878115</v>
      </c>
      <c r="M1398" s="166">
        <f t="shared" si="2"/>
        <v>0.7422379944</v>
      </c>
      <c r="N1398" s="167">
        <f t="shared" si="3"/>
        <v>30.41009804</v>
      </c>
      <c r="O1398" s="163">
        <f t="shared" ref="O1398:Q1398" si="1402">rank(I1398,I:I)</f>
        <v>3945</v>
      </c>
      <c r="P1398" s="163">
        <f t="shared" si="1402"/>
        <v>3303</v>
      </c>
      <c r="Q1398" s="163">
        <f t="shared" si="1402"/>
        <v>2878</v>
      </c>
      <c r="R1398" s="163">
        <f>IFERROR(__xludf.DUMMYFUNCTION("RANK(M1398,filter(M:M,C:C=C1398))"),247.0)</f>
        <v>247</v>
      </c>
      <c r="S1398" s="161" t="b">
        <f t="shared" si="5"/>
        <v>0</v>
      </c>
      <c r="T1398" s="161" t="b">
        <f t="array" ref="T1398">index('Query Tool'!B:B,match(H1398,'Query Tool'!C:C,0))</f>
        <v>1</v>
      </c>
      <c r="U1398" s="161" t="b">
        <f t="array" ref="U1398">index('Query Tool'!B:B,match(C1398,'Query Tool'!C:C,0))</f>
        <v>0</v>
      </c>
      <c r="V1398" s="161" t="b">
        <f>F1398&gt;='Query Tool'!C$32</f>
        <v>1</v>
      </c>
      <c r="W1398" s="161" t="b">
        <f t="array" ref="W1398">index(Dropdowns!B:B,match(I1398,Dropdowns!A:A,0))</f>
        <v>1</v>
      </c>
      <c r="X1398" s="161" t="b">
        <f t="array" ref="X1398">index('Query Tool'!B:B,match(D1398,'Query Tool'!C:C,0))</f>
        <v>1</v>
      </c>
      <c r="Y1398" s="161" t="str">
        <f t="shared" si="6"/>
        <v>mudiaem01,2015-16</v>
      </c>
      <c r="Z1398" s="168">
        <f t="array" ref="Z1398">iferror(index(I:I,match($A1398&amp;","&amp;index('Year Conversion'!$A:$A,match($C1398,'Year Conversion'!$B:$B,0)),$Y:$Y,0))-I1398,"")</f>
        <v>1</v>
      </c>
      <c r="AA1398" s="168">
        <f t="array" ref="AA1398">iferror(index(J:J,match($A1398&amp;","&amp;index('Year Conversion'!$A:$A,match($C1398,'Year Conversion'!$B:$B,0)),$Y:$Y,0))-J1398,"")</f>
        <v>-0.05723270275</v>
      </c>
      <c r="AB1398" s="168">
        <f t="array" ref="AB1398">iferror(index(K:K,match($A1398&amp;","&amp;index('Year Conversion'!$A:$A,match($C1398,'Year Conversion'!$B:$B,0)),$Y:$Y,0))-K1398,"")</f>
        <v>0.5053953224</v>
      </c>
      <c r="AC1398" s="168" t="str">
        <f t="shared" si="7"/>
        <v>DEN,2015-16</v>
      </c>
    </row>
    <row r="1399">
      <c r="A1399" s="161" t="str">
        <f>IFERROR(__xludf.DUMMYFUNCTION("""COMPUTED_VALUE"""),"jonesty01")</f>
        <v>jonesty01</v>
      </c>
      <c r="B1399" s="161" t="str">
        <f>IFERROR(__xludf.DUMMYFUNCTION("""COMPUTED_VALUE"""),"Tyus Jones")</f>
        <v>Tyus Jones</v>
      </c>
      <c r="C1399" s="162" t="str">
        <f>IFERROR(__xludf.DUMMYFUNCTION("""COMPUTED_VALUE"""),"2015-16")</f>
        <v>2015-16</v>
      </c>
      <c r="D1399" s="163" t="str">
        <f>IFERROR(__xludf.DUMMYFUNCTION("""COMPUTED_VALUE"""),"MIN")</f>
        <v>MIN</v>
      </c>
      <c r="E1399" s="164" t="str">
        <f>IFERROR(__xludf.DUMMYFUNCTION("""COMPUTED_VALUE"""),"Secondary Ball Handler")</f>
        <v>Secondary Ball Handler</v>
      </c>
      <c r="F1399" s="164">
        <f>IFERROR(__xludf.DUMMYFUNCTION("""COMPUTED_VALUE"""),572.72)</f>
        <v>572.72</v>
      </c>
      <c r="G1399" s="163">
        <f>IFERROR(__xludf.DUMMYFUNCTION("""COMPUTED_VALUE"""),37.0)</f>
        <v>37</v>
      </c>
      <c r="H1399" s="163" t="str">
        <f>IFERROR(__xludf.DUMMYFUNCTION("""COMPUTED_VALUE"""),"PG")</f>
        <v>PG</v>
      </c>
      <c r="I1399" s="163">
        <f>IFERROR(__xludf.DUMMYFUNCTION("""COMPUTED_VALUE"""),19.0)</f>
        <v>19</v>
      </c>
      <c r="J1399" s="165">
        <f>IFERROR(__xludf.DUMMYFUNCTION("""COMPUTED_VALUE"""),-0.683363925549982)</f>
        <v>-0.6833639255</v>
      </c>
      <c r="K1399" s="165">
        <f>IFERROR(__xludf.DUMMYFUNCTION("""COMPUTED_VALUE"""),-0.0375880119146774)</f>
        <v>-0.03758801191</v>
      </c>
      <c r="L1399" s="165">
        <f>IFERROR(__xludf.DUMMYFUNCTION("""COMPUTED_VALUE"""),-0.645775913635305)</f>
        <v>-0.6457759136</v>
      </c>
      <c r="M1399" s="166">
        <f t="shared" si="2"/>
        <v>0.6192525354</v>
      </c>
      <c r="N1399" s="167">
        <f t="shared" si="3"/>
        <v>15.47891892</v>
      </c>
      <c r="O1399" s="163">
        <f t="shared" ref="O1399:Q1399" si="1403">rank(I1399,I:I)</f>
        <v>3945</v>
      </c>
      <c r="P1399" s="163">
        <f t="shared" si="1403"/>
        <v>2116</v>
      </c>
      <c r="Q1399" s="163">
        <f t="shared" si="1403"/>
        <v>1250</v>
      </c>
      <c r="R1399" s="163">
        <f>IFERROR(__xludf.DUMMYFUNCTION("RANK(M1399,filter(M:M,C:C=C1399))"),268.0)</f>
        <v>268</v>
      </c>
      <c r="S1399" s="161" t="b">
        <f t="shared" si="5"/>
        <v>0</v>
      </c>
      <c r="T1399" s="161" t="b">
        <f t="array" ref="T1399">index('Query Tool'!B:B,match(H1399,'Query Tool'!C:C,0))</f>
        <v>1</v>
      </c>
      <c r="U1399" s="161" t="b">
        <f t="array" ref="U1399">index('Query Tool'!B:B,match(C1399,'Query Tool'!C:C,0))</f>
        <v>0</v>
      </c>
      <c r="V1399" s="161" t="b">
        <f>F1399&gt;='Query Tool'!C$32</f>
        <v>1</v>
      </c>
      <c r="W1399" s="161" t="b">
        <f t="array" ref="W1399">index(Dropdowns!B:B,match(I1399,Dropdowns!A:A,0))</f>
        <v>1</v>
      </c>
      <c r="X1399" s="161" t="b">
        <f t="array" ref="X1399">index('Query Tool'!B:B,match(D1399,'Query Tool'!C:C,0))</f>
        <v>1</v>
      </c>
      <c r="Y1399" s="161" t="str">
        <f t="shared" si="6"/>
        <v>jonesty01,2015-16</v>
      </c>
      <c r="Z1399" s="168">
        <f t="array" ref="Z1399">iferror(index(I:I,match($A1399&amp;","&amp;index('Year Conversion'!$A:$A,match($C1399,'Year Conversion'!$B:$B,0)),$Y:$Y,0))-I1399,"")</f>
        <v>1</v>
      </c>
      <c r="AA1399" s="168">
        <f t="array" ref="AA1399">iferror(index(J:J,match($A1399&amp;","&amp;index('Year Conversion'!$A:$A,match($C1399,'Year Conversion'!$B:$B,0)),$Y:$Y,0))-J1399,"")</f>
        <v>0.6551054566</v>
      </c>
      <c r="AB1399" s="168">
        <f t="array" ref="AB1399">iferror(index(K:K,match($A1399&amp;","&amp;index('Year Conversion'!$A:$A,match($C1399,'Year Conversion'!$B:$B,0)),$Y:$Y,0))-K1399,"")</f>
        <v>0.343502528</v>
      </c>
      <c r="AC1399" s="168" t="str">
        <f t="shared" si="7"/>
        <v>MIN,2015-16</v>
      </c>
    </row>
    <row r="1400">
      <c r="A1400" s="161" t="str">
        <f>IFERROR(__xludf.DUMMYFUNCTION("""COMPUTED_VALUE"""),"alexacl01")</f>
        <v>alexacl01</v>
      </c>
      <c r="B1400" s="161" t="str">
        <f>IFERROR(__xludf.DUMMYFUNCTION("""COMPUTED_VALUE"""),"Cliff Alexander")</f>
        <v>Cliff Alexander</v>
      </c>
      <c r="C1400" s="162" t="str">
        <f>IFERROR(__xludf.DUMMYFUNCTION("""COMPUTED_VALUE"""),"2015-16")</f>
        <v>2015-16</v>
      </c>
      <c r="D1400" s="163" t="str">
        <f>IFERROR(__xludf.DUMMYFUNCTION("""COMPUTED_VALUE"""),"POR")</f>
        <v>POR</v>
      </c>
      <c r="E1400" s="164" t="str">
        <f>IFERROR(__xludf.DUMMYFUNCTION("""COMPUTED_VALUE"""),"Roll + Cut Big")</f>
        <v>Roll + Cut Big</v>
      </c>
      <c r="F1400" s="164">
        <f>IFERROR(__xludf.DUMMYFUNCTION("""COMPUTED_VALUE"""),35.9583333333333)</f>
        <v>35.95833333</v>
      </c>
      <c r="G1400" s="163">
        <f>IFERROR(__xludf.DUMMYFUNCTION("""COMPUTED_VALUE"""),8.0)</f>
        <v>8</v>
      </c>
      <c r="H1400" s="163" t="str">
        <f>IFERROR(__xludf.DUMMYFUNCTION("""COMPUTED_VALUE"""),"PF")</f>
        <v>PF</v>
      </c>
      <c r="I1400" s="163">
        <f>IFERROR(__xludf.DUMMYFUNCTION("""COMPUTED_VALUE"""),20.0)</f>
        <v>20</v>
      </c>
      <c r="J1400" s="165">
        <f>IFERROR(__xludf.DUMMYFUNCTION("""COMPUTED_VALUE"""),-0.477406244122988)</f>
        <v>-0.4774062441</v>
      </c>
      <c r="K1400" s="165">
        <f>IFERROR(__xludf.DUMMYFUNCTION("""COMPUTED_VALUE"""),-0.349267590922269)</f>
        <v>-0.3492675909</v>
      </c>
      <c r="L1400" s="165">
        <f>IFERROR(__xludf.DUMMYFUNCTION("""COMPUTED_VALUE"""),-0.128138653200719)</f>
        <v>-0.1281386532</v>
      </c>
      <c r="M1400" s="166">
        <f t="shared" si="2"/>
        <v>0.04386579046</v>
      </c>
      <c r="N1400" s="167">
        <f t="shared" si="3"/>
        <v>4.494791667</v>
      </c>
      <c r="O1400" s="163">
        <f t="shared" ref="O1400:Q1400" si="1404">rank(I1400,I:I)</f>
        <v>3770</v>
      </c>
      <c r="P1400" s="163">
        <f t="shared" si="1404"/>
        <v>1821</v>
      </c>
      <c r="Q1400" s="163">
        <f t="shared" si="1404"/>
        <v>1851</v>
      </c>
      <c r="R1400" s="163">
        <f>IFERROR(__xludf.DUMMYFUNCTION("RANK(M1400,filter(M:M,C:C=C1400))"),403.0)</f>
        <v>403</v>
      </c>
      <c r="S1400" s="161" t="b">
        <f t="shared" si="5"/>
        <v>0</v>
      </c>
      <c r="T1400" s="161" t="b">
        <f t="array" ref="T1400">index('Query Tool'!B:B,match(H1400,'Query Tool'!C:C,0))</f>
        <v>1</v>
      </c>
      <c r="U1400" s="161" t="b">
        <f t="array" ref="U1400">index('Query Tool'!B:B,match(C1400,'Query Tool'!C:C,0))</f>
        <v>0</v>
      </c>
      <c r="V1400" s="161" t="b">
        <f>F1400&gt;='Query Tool'!C$32</f>
        <v>0</v>
      </c>
      <c r="W1400" s="161" t="b">
        <f t="array" ref="W1400">index(Dropdowns!B:B,match(I1400,Dropdowns!A:A,0))</f>
        <v>1</v>
      </c>
      <c r="X1400" s="161" t="b">
        <f t="array" ref="X1400">index('Query Tool'!B:B,match(D1400,'Query Tool'!C:C,0))</f>
        <v>1</v>
      </c>
      <c r="Y1400" s="161" t="str">
        <f t="shared" si="6"/>
        <v>alexacl01,2015-16</v>
      </c>
      <c r="Z1400" s="168" t="str">
        <f t="array" ref="Z1400">iferror(index(I:I,match($A1400&amp;","&amp;index('Year Conversion'!$A:$A,match($C1400,'Year Conversion'!$B:$B,0)),$Y:$Y,0))-I1400,"")</f>
        <v/>
      </c>
      <c r="AA1400" s="168" t="str">
        <f t="array" ref="AA1400">iferror(index(J:J,match($A1400&amp;","&amp;index('Year Conversion'!$A:$A,match($C1400,'Year Conversion'!$B:$B,0)),$Y:$Y,0))-J1400,"")</f>
        <v/>
      </c>
      <c r="AB1400" s="168" t="str">
        <f t="array" ref="AB1400">iferror(index(K:K,match($A1400&amp;","&amp;index('Year Conversion'!$A:$A,match($C1400,'Year Conversion'!$B:$B,0)),$Y:$Y,0))-K1400,"")</f>
        <v/>
      </c>
      <c r="AC1400" s="168" t="str">
        <f t="shared" si="7"/>
        <v>POR,2015-16</v>
      </c>
    </row>
    <row r="1401">
      <c r="A1401" s="161" t="str">
        <f>IFERROR(__xludf.DUMMYFUNCTION("""COMPUTED_VALUE"""),"anderju01")</f>
        <v>anderju01</v>
      </c>
      <c r="B1401" s="161" t="str">
        <f>IFERROR(__xludf.DUMMYFUNCTION("""COMPUTED_VALUE"""),"Justin Anderson")</f>
        <v>Justin Anderson</v>
      </c>
      <c r="C1401" s="162" t="str">
        <f>IFERROR(__xludf.DUMMYFUNCTION("""COMPUTED_VALUE"""),"2015-16")</f>
        <v>2015-16</v>
      </c>
      <c r="D1401" s="163" t="str">
        <f>IFERROR(__xludf.DUMMYFUNCTION("""COMPUTED_VALUE"""),"DAL")</f>
        <v>DAL</v>
      </c>
      <c r="E1401" s="164" t="str">
        <f>IFERROR(__xludf.DUMMYFUNCTION("""COMPUTED_VALUE"""),"Stationary Shooter")</f>
        <v>Stationary Shooter</v>
      </c>
      <c r="F1401" s="164">
        <f>IFERROR(__xludf.DUMMYFUNCTION("""COMPUTED_VALUE"""),646.876666666667)</f>
        <v>646.8766667</v>
      </c>
      <c r="G1401" s="163">
        <f>IFERROR(__xludf.DUMMYFUNCTION("""COMPUTED_VALUE"""),55.0)</f>
        <v>55</v>
      </c>
      <c r="H1401" s="163" t="str">
        <f>IFERROR(__xludf.DUMMYFUNCTION("""COMPUTED_VALUE"""),"SF")</f>
        <v>SF</v>
      </c>
      <c r="I1401" s="163">
        <f>IFERROR(__xludf.DUMMYFUNCTION("""COMPUTED_VALUE"""),22.0)</f>
        <v>22</v>
      </c>
      <c r="J1401" s="165">
        <f>IFERROR(__xludf.DUMMYFUNCTION("""COMPUTED_VALUE"""),0.658010012419796)</f>
        <v>0.6580100124</v>
      </c>
      <c r="K1401" s="165">
        <f>IFERROR(__xludf.DUMMYFUNCTION("""COMPUTED_VALUE"""),-0.527043166608708)</f>
        <v>-0.5270431666</v>
      </c>
      <c r="L1401" s="165">
        <f>IFERROR(__xludf.DUMMYFUNCTION("""COMPUTED_VALUE"""),1.1850531790285)</f>
        <v>1.185053179</v>
      </c>
      <c r="M1401" s="166">
        <f t="shared" si="2"/>
        <v>1.284065498</v>
      </c>
      <c r="N1401" s="167">
        <f t="shared" si="3"/>
        <v>11.76139394</v>
      </c>
      <c r="O1401" s="163">
        <f t="shared" ref="O1401:Q1401" si="1405">rank(I1401,I:I)</f>
        <v>3178</v>
      </c>
      <c r="P1401" s="163">
        <f t="shared" si="1405"/>
        <v>818</v>
      </c>
      <c r="Q1401" s="163">
        <f t="shared" si="1405"/>
        <v>2148</v>
      </c>
      <c r="R1401" s="163">
        <f>IFERROR(__xludf.DUMMYFUNCTION("RANK(M1401,filter(M:M,C:C=C1401))"),201.0)</f>
        <v>201</v>
      </c>
      <c r="S1401" s="161" t="b">
        <f t="shared" si="5"/>
        <v>0</v>
      </c>
      <c r="T1401" s="161" t="b">
        <f t="array" ref="T1401">index('Query Tool'!B:B,match(H1401,'Query Tool'!C:C,0))</f>
        <v>1</v>
      </c>
      <c r="U1401" s="161" t="b">
        <f t="array" ref="U1401">index('Query Tool'!B:B,match(C1401,'Query Tool'!C:C,0))</f>
        <v>0</v>
      </c>
      <c r="V1401" s="161" t="b">
        <f>F1401&gt;='Query Tool'!C$32</f>
        <v>1</v>
      </c>
      <c r="W1401" s="161" t="b">
        <f t="array" ref="W1401">index(Dropdowns!B:B,match(I1401,Dropdowns!A:A,0))</f>
        <v>1</v>
      </c>
      <c r="X1401" s="161" t="b">
        <f t="array" ref="X1401">index('Query Tool'!B:B,match(D1401,'Query Tool'!C:C,0))</f>
        <v>1</v>
      </c>
      <c r="Y1401" s="161" t="str">
        <f t="shared" si="6"/>
        <v>anderju01,2015-16</v>
      </c>
      <c r="Z1401" s="168">
        <f t="array" ref="Z1401">iferror(index(I:I,match($A1401&amp;","&amp;index('Year Conversion'!$A:$A,match($C1401,'Year Conversion'!$B:$B,0)),$Y:$Y,0))-I1401,"")</f>
        <v>1</v>
      </c>
      <c r="AA1401" s="168">
        <f t="array" ref="AA1401">iferror(index(J:J,match($A1401&amp;","&amp;index('Year Conversion'!$A:$A,match($C1401,'Year Conversion'!$B:$B,0)),$Y:$Y,0))-J1401,"")</f>
        <v>-1.925625981</v>
      </c>
      <c r="AB1401" s="168">
        <f t="array" ref="AB1401">iferror(index(K:K,match($A1401&amp;","&amp;index('Year Conversion'!$A:$A,match($C1401,'Year Conversion'!$B:$B,0)),$Y:$Y,0))-K1401,"")</f>
        <v>0.6159588034</v>
      </c>
      <c r="AC1401" s="168" t="str">
        <f t="shared" si="7"/>
        <v>DAL,2015-16</v>
      </c>
    </row>
    <row r="1402">
      <c r="A1402" s="161" t="str">
        <f>IFERROR(__xludf.DUMMYFUNCTION("""COMPUTED_VALUE"""),"brownan02")</f>
        <v>brownan02</v>
      </c>
      <c r="B1402" s="161" t="str">
        <f>IFERROR(__xludf.DUMMYFUNCTION("""COMPUTED_VALUE"""),"Anthony Brown")</f>
        <v>Anthony Brown</v>
      </c>
      <c r="C1402" s="162" t="str">
        <f>IFERROR(__xludf.DUMMYFUNCTION("""COMPUTED_VALUE"""),"2015-16")</f>
        <v>2015-16</v>
      </c>
      <c r="D1402" s="163" t="str">
        <f>IFERROR(__xludf.DUMMYFUNCTION("""COMPUTED_VALUE"""),"LAL")</f>
        <v>LAL</v>
      </c>
      <c r="E1402" s="164" t="str">
        <f>IFERROR(__xludf.DUMMYFUNCTION("""COMPUTED_VALUE"""),"Movement Shooter")</f>
        <v>Movement Shooter</v>
      </c>
      <c r="F1402" s="164">
        <f>IFERROR(__xludf.DUMMYFUNCTION("""COMPUTED_VALUE"""),598.666666666667)</f>
        <v>598.6666667</v>
      </c>
      <c r="G1402" s="163">
        <f>IFERROR(__xludf.DUMMYFUNCTION("""COMPUTED_VALUE"""),29.0)</f>
        <v>29</v>
      </c>
      <c r="H1402" s="163" t="str">
        <f>IFERROR(__xludf.DUMMYFUNCTION("""COMPUTED_VALUE"""),"SF")</f>
        <v>SF</v>
      </c>
      <c r="I1402" s="163">
        <f>IFERROR(__xludf.DUMMYFUNCTION("""COMPUTED_VALUE"""),23.0)</f>
        <v>23</v>
      </c>
      <c r="J1402" s="165">
        <f>IFERROR(__xludf.DUMMYFUNCTION("""COMPUTED_VALUE"""),-1.85868431598608)</f>
        <v>-1.858684316</v>
      </c>
      <c r="K1402" s="165">
        <f>IFERROR(__xludf.DUMMYFUNCTION("""COMPUTED_VALUE"""),-1.50116136503839)</f>
        <v>-1.501161365</v>
      </c>
      <c r="L1402" s="165">
        <f>IFERROR(__xludf.DUMMYFUNCTION("""COMPUTED_VALUE"""),-0.35752295094769)</f>
        <v>-0.3575229509</v>
      </c>
      <c r="M1402" s="166">
        <f t="shared" si="2"/>
        <v>0.1763313967</v>
      </c>
      <c r="N1402" s="167">
        <f t="shared" si="3"/>
        <v>20.64367816</v>
      </c>
      <c r="O1402" s="163">
        <f t="shared" ref="O1402:Q1402" si="1406">rank(I1402,I:I)</f>
        <v>2765</v>
      </c>
      <c r="P1402" s="163">
        <f t="shared" si="1406"/>
        <v>3386</v>
      </c>
      <c r="Q1402" s="163">
        <f t="shared" si="1406"/>
        <v>3354</v>
      </c>
      <c r="R1402" s="163">
        <f>IFERROR(__xludf.DUMMYFUNCTION("RANK(M1402,filter(M:M,C:C=C1402))"),346.0)</f>
        <v>346</v>
      </c>
      <c r="S1402" s="161" t="b">
        <f t="shared" si="5"/>
        <v>0</v>
      </c>
      <c r="T1402" s="161" t="b">
        <f t="array" ref="T1402">index('Query Tool'!B:B,match(H1402,'Query Tool'!C:C,0))</f>
        <v>1</v>
      </c>
      <c r="U1402" s="161" t="b">
        <f t="array" ref="U1402">index('Query Tool'!B:B,match(C1402,'Query Tool'!C:C,0))</f>
        <v>0</v>
      </c>
      <c r="V1402" s="161" t="b">
        <f>F1402&gt;='Query Tool'!C$32</f>
        <v>1</v>
      </c>
      <c r="W1402" s="161" t="b">
        <f t="array" ref="W1402">index(Dropdowns!B:B,match(I1402,Dropdowns!A:A,0))</f>
        <v>1</v>
      </c>
      <c r="X1402" s="161" t="b">
        <f t="array" ref="X1402">index('Query Tool'!B:B,match(D1402,'Query Tool'!C:C,0))</f>
        <v>1</v>
      </c>
      <c r="Y1402" s="161" t="str">
        <f t="shared" si="6"/>
        <v>brownan02,2015-16</v>
      </c>
      <c r="Z1402" s="168">
        <f t="array" ref="Z1402">iferror(index(I:I,match($A1402&amp;","&amp;index('Year Conversion'!$A:$A,match($C1402,'Year Conversion'!$B:$B,0)),$Y:$Y,0))-I1402,"")</f>
        <v>1</v>
      </c>
      <c r="AA1402" s="168">
        <f t="array" ref="AA1402">iferror(index(J:J,match($A1402&amp;","&amp;index('Year Conversion'!$A:$A,match($C1402,'Year Conversion'!$B:$B,0)),$Y:$Y,0))-J1402,"")</f>
        <v>0.8262935109</v>
      </c>
      <c r="AB1402" s="168">
        <f t="array" ref="AB1402">iferror(index(K:K,match($A1402&amp;","&amp;index('Year Conversion'!$A:$A,match($C1402,'Year Conversion'!$B:$B,0)),$Y:$Y,0))-K1402,"")</f>
        <v>0.8333761011</v>
      </c>
      <c r="AC1402" s="168" t="str">
        <f t="shared" si="7"/>
        <v>LAL,2015-16</v>
      </c>
    </row>
    <row r="1403">
      <c r="A1403" s="161" t="str">
        <f>IFERROR(__xludf.DUMMYFUNCTION("""COMPUTED_VALUE"""),"harremo01")</f>
        <v>harremo01</v>
      </c>
      <c r="B1403" s="161" t="str">
        <f>IFERROR(__xludf.DUMMYFUNCTION("""COMPUTED_VALUE"""),"Montrezl Harrell")</f>
        <v>Montrezl Harrell</v>
      </c>
      <c r="C1403" s="162" t="str">
        <f>IFERROR(__xludf.DUMMYFUNCTION("""COMPUTED_VALUE"""),"2015-16")</f>
        <v>2015-16</v>
      </c>
      <c r="D1403" s="163" t="str">
        <f>IFERROR(__xludf.DUMMYFUNCTION("""COMPUTED_VALUE"""),"HOU")</f>
        <v>HOU</v>
      </c>
      <c r="E1403" s="164" t="str">
        <f>IFERROR(__xludf.DUMMYFUNCTION("""COMPUTED_VALUE"""),"Post Scorer")</f>
        <v>Post Scorer</v>
      </c>
      <c r="F1403" s="164">
        <f>IFERROR(__xludf.DUMMYFUNCTION("""COMPUTED_VALUE"""),378.611666666667)</f>
        <v>378.6116667</v>
      </c>
      <c r="G1403" s="163">
        <f>IFERROR(__xludf.DUMMYFUNCTION("""COMPUTED_VALUE"""),39.0)</f>
        <v>39</v>
      </c>
      <c r="H1403" s="163" t="str">
        <f>IFERROR(__xludf.DUMMYFUNCTION("""COMPUTED_VALUE"""),"PF")</f>
        <v>PF</v>
      </c>
      <c r="I1403" s="163">
        <f>IFERROR(__xludf.DUMMYFUNCTION("""COMPUTED_VALUE"""),22.0)</f>
        <v>22</v>
      </c>
      <c r="J1403" s="165">
        <f>IFERROR(__xludf.DUMMYFUNCTION("""COMPUTED_VALUE"""),-1.16496224396511)</f>
        <v>-1.164962244</v>
      </c>
      <c r="K1403" s="165">
        <f>IFERROR(__xludf.DUMMYFUNCTION("""COMPUTED_VALUE"""),-1.06517354726433)</f>
        <v>-1.065173547</v>
      </c>
      <c r="L1403" s="165">
        <f>IFERROR(__xludf.DUMMYFUNCTION("""COMPUTED_VALUE"""),-0.0997886967007799)</f>
        <v>-0.0997886967</v>
      </c>
      <c r="M1403" s="166">
        <f t="shared" si="2"/>
        <v>0.2868885917</v>
      </c>
      <c r="N1403" s="167">
        <f t="shared" si="3"/>
        <v>9.707991453</v>
      </c>
      <c r="O1403" s="163">
        <f t="shared" ref="O1403:Q1403" si="1407">rank(I1403,I:I)</f>
        <v>3178</v>
      </c>
      <c r="P1403" s="163">
        <f t="shared" si="1407"/>
        <v>2701</v>
      </c>
      <c r="Q1403" s="163">
        <f t="shared" si="1407"/>
        <v>2892</v>
      </c>
      <c r="R1403" s="163">
        <f>IFERROR(__xludf.DUMMYFUNCTION("RANK(M1403,filter(M:M,C:C=C1403))"),314.0)</f>
        <v>314</v>
      </c>
      <c r="S1403" s="161" t="b">
        <f t="shared" si="5"/>
        <v>0</v>
      </c>
      <c r="T1403" s="161" t="b">
        <f t="array" ref="T1403">index('Query Tool'!B:B,match(H1403,'Query Tool'!C:C,0))</f>
        <v>1</v>
      </c>
      <c r="U1403" s="161" t="b">
        <f t="array" ref="U1403">index('Query Tool'!B:B,match(C1403,'Query Tool'!C:C,0))</f>
        <v>0</v>
      </c>
      <c r="V1403" s="161" t="b">
        <f>F1403&gt;='Query Tool'!C$32</f>
        <v>0</v>
      </c>
      <c r="W1403" s="161" t="b">
        <f t="array" ref="W1403">index(Dropdowns!B:B,match(I1403,Dropdowns!A:A,0))</f>
        <v>1</v>
      </c>
      <c r="X1403" s="161" t="b">
        <f t="array" ref="X1403">index('Query Tool'!B:B,match(D1403,'Query Tool'!C:C,0))</f>
        <v>1</v>
      </c>
      <c r="Y1403" s="161" t="str">
        <f t="shared" si="6"/>
        <v>harremo01,2015-16</v>
      </c>
      <c r="Z1403" s="168">
        <f t="array" ref="Z1403">iferror(index(I:I,match($A1403&amp;","&amp;index('Year Conversion'!$A:$A,match($C1403,'Year Conversion'!$B:$B,0)),$Y:$Y,0))-I1403,"")</f>
        <v>1</v>
      </c>
      <c r="AA1403" s="168">
        <f t="array" ref="AA1403">iferror(index(J:J,match($A1403&amp;","&amp;index('Year Conversion'!$A:$A,match($C1403,'Year Conversion'!$B:$B,0)),$Y:$Y,0))-J1403,"")</f>
        <v>0.09139177679</v>
      </c>
      <c r="AB1403" s="168">
        <f t="array" ref="AB1403">iferror(index(K:K,match($A1403&amp;","&amp;index('Year Conversion'!$A:$A,match($C1403,'Year Conversion'!$B:$B,0)),$Y:$Y,0))-K1403,"")</f>
        <v>0.8244836858</v>
      </c>
      <c r="AC1403" s="168" t="str">
        <f t="shared" si="7"/>
        <v>HOU,2015-16</v>
      </c>
    </row>
    <row r="1404">
      <c r="A1404" s="161" t="str">
        <f>IFERROR(__xludf.DUMMYFUNCTION("""COMPUTED_VALUE"""),"harriaa01")</f>
        <v>harriaa01</v>
      </c>
      <c r="B1404" s="161" t="str">
        <f>IFERROR(__xludf.DUMMYFUNCTION("""COMPUTED_VALUE"""),"Aaron Harrison")</f>
        <v>Aaron Harrison</v>
      </c>
      <c r="C1404" s="162" t="str">
        <f>IFERROR(__xludf.DUMMYFUNCTION("""COMPUTED_VALUE"""),"2015-16")</f>
        <v>2015-16</v>
      </c>
      <c r="D1404" s="163" t="str">
        <f>IFERROR(__xludf.DUMMYFUNCTION("""COMPUTED_VALUE"""),"CHO")</f>
        <v>CHO</v>
      </c>
      <c r="E1404" s="164" t="str">
        <f>IFERROR(__xludf.DUMMYFUNCTION("""COMPUTED_VALUE"""),"Off Screen Shooter")</f>
        <v>Off Screen Shooter</v>
      </c>
      <c r="F1404" s="164">
        <f>IFERROR(__xludf.DUMMYFUNCTION("""COMPUTED_VALUE"""),93.3)</f>
        <v>93.3</v>
      </c>
      <c r="G1404" s="163">
        <f>IFERROR(__xludf.DUMMYFUNCTION("""COMPUTED_VALUE"""),21.0)</f>
        <v>21</v>
      </c>
      <c r="H1404" s="163" t="str">
        <f>IFERROR(__xludf.DUMMYFUNCTION("""COMPUTED_VALUE"""),"SG")</f>
        <v>SG</v>
      </c>
      <c r="I1404" s="163">
        <f>IFERROR(__xludf.DUMMYFUNCTION("""COMPUTED_VALUE"""),21.0)</f>
        <v>21</v>
      </c>
      <c r="J1404" s="165">
        <f>IFERROR(__xludf.DUMMYFUNCTION("""COMPUTED_VALUE"""),-1.14478600683663)</f>
        <v>-1.144786007</v>
      </c>
      <c r="K1404" s="165">
        <f>IFERROR(__xludf.DUMMYFUNCTION("""COMPUTED_VALUE"""),-0.887065876034526)</f>
        <v>-0.887065876</v>
      </c>
      <c r="L1404" s="165">
        <f>IFERROR(__xludf.DUMMYFUNCTION("""COMPUTED_VALUE"""),-0.257720130802104)</f>
        <v>-0.2577201308</v>
      </c>
      <c r="M1404" s="166">
        <f t="shared" si="2"/>
        <v>0.07195908644</v>
      </c>
      <c r="N1404" s="167">
        <f t="shared" si="3"/>
        <v>4.442857143</v>
      </c>
      <c r="O1404" s="163">
        <f t="shared" ref="O1404:Q1404" si="1408">rank(I1404,I:I)</f>
        <v>3528</v>
      </c>
      <c r="P1404" s="163">
        <f t="shared" si="1408"/>
        <v>2676</v>
      </c>
      <c r="Q1404" s="163">
        <f t="shared" si="1408"/>
        <v>2677</v>
      </c>
      <c r="R1404" s="163">
        <f>IFERROR(__xludf.DUMMYFUNCTION("RANK(M1404,filter(M:M,C:C=C1404))"),388.0)</f>
        <v>388</v>
      </c>
      <c r="S1404" s="161" t="b">
        <f t="shared" si="5"/>
        <v>0</v>
      </c>
      <c r="T1404" s="161" t="b">
        <f t="array" ref="T1404">index('Query Tool'!B:B,match(H1404,'Query Tool'!C:C,0))</f>
        <v>1</v>
      </c>
      <c r="U1404" s="161" t="b">
        <f t="array" ref="U1404">index('Query Tool'!B:B,match(C1404,'Query Tool'!C:C,0))</f>
        <v>0</v>
      </c>
      <c r="V1404" s="161" t="b">
        <f>F1404&gt;='Query Tool'!C$32</f>
        <v>0</v>
      </c>
      <c r="W1404" s="161" t="b">
        <f t="array" ref="W1404">index(Dropdowns!B:B,match(I1404,Dropdowns!A:A,0))</f>
        <v>1</v>
      </c>
      <c r="X1404" s="161" t="b">
        <f t="array" ref="X1404">index('Query Tool'!B:B,match(D1404,'Query Tool'!C:C,0))</f>
        <v>1</v>
      </c>
      <c r="Y1404" s="161" t="str">
        <f t="shared" si="6"/>
        <v>harriaa01,2015-16</v>
      </c>
      <c r="Z1404" s="168">
        <f t="array" ref="Z1404">iferror(index(I:I,match($A1404&amp;","&amp;index('Year Conversion'!$A:$A,match($C1404,'Year Conversion'!$B:$B,0)),$Y:$Y,0))-I1404,"")</f>
        <v>1</v>
      </c>
      <c r="AA1404" s="168">
        <f t="array" ref="AA1404">iferror(index(J:J,match($A1404&amp;","&amp;index('Year Conversion'!$A:$A,match($C1404,'Year Conversion'!$B:$B,0)),$Y:$Y,0))-J1404,"")</f>
        <v>0.3617995688</v>
      </c>
      <c r="AB1404" s="168">
        <f t="array" ref="AB1404">iferror(index(K:K,match($A1404&amp;","&amp;index('Year Conversion'!$A:$A,match($C1404,'Year Conversion'!$B:$B,0)),$Y:$Y,0))-K1404,"")</f>
        <v>0.2660301718</v>
      </c>
      <c r="AC1404" s="168" t="str">
        <f t="shared" si="7"/>
        <v>CHO,2015-16</v>
      </c>
    </row>
    <row r="1405">
      <c r="A1405" s="161" t="str">
        <f>IFERROR(__xludf.DUMMYFUNCTION("""COMPUTED_VALUE"""),"wrighde01")</f>
        <v>wrighde01</v>
      </c>
      <c r="B1405" s="161" t="str">
        <f>IFERROR(__xludf.DUMMYFUNCTION("""COMPUTED_VALUE"""),"Delon Wright")</f>
        <v>Delon Wright</v>
      </c>
      <c r="C1405" s="162" t="str">
        <f>IFERROR(__xludf.DUMMYFUNCTION("""COMPUTED_VALUE"""),"2015-16")</f>
        <v>2015-16</v>
      </c>
      <c r="D1405" s="163" t="str">
        <f>IFERROR(__xludf.DUMMYFUNCTION("""COMPUTED_VALUE"""),"TOR")</f>
        <v>TOR</v>
      </c>
      <c r="E1405" s="164" t="str">
        <f>IFERROR(__xludf.DUMMYFUNCTION("""COMPUTED_VALUE"""),"Slasher")</f>
        <v>Slasher</v>
      </c>
      <c r="F1405" s="164">
        <f>IFERROR(__xludf.DUMMYFUNCTION("""COMPUTED_VALUE"""),229.275)</f>
        <v>229.275</v>
      </c>
      <c r="G1405" s="163">
        <f>IFERROR(__xludf.DUMMYFUNCTION("""COMPUTED_VALUE"""),27.0)</f>
        <v>27</v>
      </c>
      <c r="H1405" s="163" t="str">
        <f>IFERROR(__xludf.DUMMYFUNCTION("""COMPUTED_VALUE"""),"PG")</f>
        <v>PG</v>
      </c>
      <c r="I1405" s="163">
        <f>IFERROR(__xludf.DUMMYFUNCTION("""COMPUTED_VALUE"""),23.0)</f>
        <v>23</v>
      </c>
      <c r="J1405" s="165">
        <f>IFERROR(__xludf.DUMMYFUNCTION("""COMPUTED_VALUE"""),-0.474646109347403)</f>
        <v>-0.4746461093</v>
      </c>
      <c r="K1405" s="165">
        <f>IFERROR(__xludf.DUMMYFUNCTION("""COMPUTED_VALUE"""),0.198272680915936)</f>
        <v>0.1982726809</v>
      </c>
      <c r="L1405" s="165">
        <f>IFERROR(__xludf.DUMMYFUNCTION("""COMPUTED_VALUE"""),-0.672918790263339)</f>
        <v>-0.6729187903</v>
      </c>
      <c r="M1405" s="166">
        <f t="shared" si="2"/>
        <v>0.2801202177</v>
      </c>
      <c r="N1405" s="167">
        <f t="shared" si="3"/>
        <v>8.491666667</v>
      </c>
      <c r="O1405" s="163">
        <f t="shared" ref="O1405:Q1405" si="1409">rank(I1405,I:I)</f>
        <v>2765</v>
      </c>
      <c r="P1405" s="163">
        <f t="shared" si="1409"/>
        <v>1819</v>
      </c>
      <c r="Q1405" s="163">
        <f t="shared" si="1409"/>
        <v>982</v>
      </c>
      <c r="R1405" s="163">
        <f>IFERROR(__xludf.DUMMYFUNCTION("RANK(M1405,filter(M:M,C:C=C1405))"),319.0)</f>
        <v>319</v>
      </c>
      <c r="S1405" s="161" t="b">
        <f t="shared" si="5"/>
        <v>0</v>
      </c>
      <c r="T1405" s="161" t="b">
        <f t="array" ref="T1405">index('Query Tool'!B:B,match(H1405,'Query Tool'!C:C,0))</f>
        <v>1</v>
      </c>
      <c r="U1405" s="161" t="b">
        <f t="array" ref="U1405">index('Query Tool'!B:B,match(C1405,'Query Tool'!C:C,0))</f>
        <v>0</v>
      </c>
      <c r="V1405" s="161" t="b">
        <f>F1405&gt;='Query Tool'!C$32</f>
        <v>0</v>
      </c>
      <c r="W1405" s="161" t="b">
        <f t="array" ref="W1405">index(Dropdowns!B:B,match(I1405,Dropdowns!A:A,0))</f>
        <v>1</v>
      </c>
      <c r="X1405" s="161" t="b">
        <f t="array" ref="X1405">index('Query Tool'!B:B,match(D1405,'Query Tool'!C:C,0))</f>
        <v>1</v>
      </c>
      <c r="Y1405" s="161" t="str">
        <f t="shared" si="6"/>
        <v>wrighde01,2015-16</v>
      </c>
      <c r="Z1405" s="168">
        <f t="array" ref="Z1405">iferror(index(I:I,match($A1405&amp;","&amp;index('Year Conversion'!$A:$A,match($C1405,'Year Conversion'!$B:$B,0)),$Y:$Y,0))-I1405,"")</f>
        <v>1</v>
      </c>
      <c r="AA1405" s="168">
        <f t="array" ref="AA1405">iferror(index(J:J,match($A1405&amp;","&amp;index('Year Conversion'!$A:$A,match($C1405,'Year Conversion'!$B:$B,0)),$Y:$Y,0))-J1405,"")</f>
        <v>0.5883307545</v>
      </c>
      <c r="AB1405" s="168">
        <f t="array" ref="AB1405">iferror(index(K:K,match($A1405&amp;","&amp;index('Year Conversion'!$A:$A,match($C1405,'Year Conversion'!$B:$B,0)),$Y:$Y,0))-K1405,"")</f>
        <v>-0.4266366293</v>
      </c>
      <c r="AC1405" s="168" t="str">
        <f t="shared" si="7"/>
        <v>TOR,2015-16</v>
      </c>
    </row>
    <row r="1406">
      <c r="A1406" s="161" t="str">
        <f>IFERROR(__xludf.DUMMYFUNCTION("""COMPUTED_VALUE"""),"hunterj01")</f>
        <v>hunterj01</v>
      </c>
      <c r="B1406" s="161" t="str">
        <f>IFERROR(__xludf.DUMMYFUNCTION("""COMPUTED_VALUE"""),"RJ Hunter")</f>
        <v>RJ Hunter</v>
      </c>
      <c r="C1406" s="162" t="str">
        <f>IFERROR(__xludf.DUMMYFUNCTION("""COMPUTED_VALUE"""),"2015-16")</f>
        <v>2015-16</v>
      </c>
      <c r="D1406" s="163" t="str">
        <f>IFERROR(__xludf.DUMMYFUNCTION("""COMPUTED_VALUE"""),"BOS")</f>
        <v>BOS</v>
      </c>
      <c r="E1406" s="164" t="str">
        <f>IFERROR(__xludf.DUMMYFUNCTION("""COMPUTED_VALUE"""),"Movement Shooter")</f>
        <v>Movement Shooter</v>
      </c>
      <c r="F1406" s="164">
        <f>IFERROR(__xludf.DUMMYFUNCTION("""COMPUTED_VALUE"""),314.568333333333)</f>
        <v>314.5683333</v>
      </c>
      <c r="G1406" s="163">
        <f>IFERROR(__xludf.DUMMYFUNCTION("""COMPUTED_VALUE"""),36.0)</f>
        <v>36</v>
      </c>
      <c r="H1406" s="163" t="str">
        <f>IFERROR(__xludf.DUMMYFUNCTION("""COMPUTED_VALUE"""),"SG")</f>
        <v>SG</v>
      </c>
      <c r="I1406" s="163">
        <f>IFERROR(__xludf.DUMMYFUNCTION("""COMPUTED_VALUE"""),22.0)</f>
        <v>22</v>
      </c>
      <c r="J1406" s="165">
        <f>IFERROR(__xludf.DUMMYFUNCTION("""COMPUTED_VALUE"""),-1.8139065006936)</f>
        <v>-1.813906501</v>
      </c>
      <c r="K1406" s="165">
        <f>IFERROR(__xludf.DUMMYFUNCTION("""COMPUTED_VALUE"""),-1.7280257842616)</f>
        <v>-1.728025784</v>
      </c>
      <c r="L1406" s="165">
        <f>IFERROR(__xludf.DUMMYFUNCTION("""COMPUTED_VALUE"""),-0.085880716431998)</f>
        <v>-0.08588071643</v>
      </c>
      <c r="M1406" s="166">
        <f t="shared" si="2"/>
        <v>0.1020172213</v>
      </c>
      <c r="N1406" s="167">
        <f t="shared" si="3"/>
        <v>8.738009259</v>
      </c>
      <c r="O1406" s="163">
        <f t="shared" ref="O1406:Q1406" si="1410">rank(I1406,I:I)</f>
        <v>3178</v>
      </c>
      <c r="P1406" s="163">
        <f t="shared" si="1410"/>
        <v>3343</v>
      </c>
      <c r="Q1406" s="163">
        <f t="shared" si="1410"/>
        <v>3537</v>
      </c>
      <c r="R1406" s="163">
        <f>IFERROR(__xludf.DUMMYFUNCTION("RANK(M1406,filter(M:M,C:C=C1406))"),371.0)</f>
        <v>371</v>
      </c>
      <c r="S1406" s="161" t="b">
        <f t="shared" si="5"/>
        <v>0</v>
      </c>
      <c r="T1406" s="161" t="b">
        <f t="array" ref="T1406">index('Query Tool'!B:B,match(H1406,'Query Tool'!C:C,0))</f>
        <v>1</v>
      </c>
      <c r="U1406" s="161" t="b">
        <f t="array" ref="U1406">index('Query Tool'!B:B,match(C1406,'Query Tool'!C:C,0))</f>
        <v>0</v>
      </c>
      <c r="V1406" s="161" t="b">
        <f>F1406&gt;='Query Tool'!C$32</f>
        <v>0</v>
      </c>
      <c r="W1406" s="161" t="b">
        <f t="array" ref="W1406">index(Dropdowns!B:B,match(I1406,Dropdowns!A:A,0))</f>
        <v>1</v>
      </c>
      <c r="X1406" s="161" t="b">
        <f t="array" ref="X1406">index('Query Tool'!B:B,match(D1406,'Query Tool'!C:C,0))</f>
        <v>1</v>
      </c>
      <c r="Y1406" s="161" t="str">
        <f t="shared" si="6"/>
        <v>hunterj01,2015-16</v>
      </c>
      <c r="Z1406" s="168">
        <f t="array" ref="Z1406">iferror(index(I:I,match($A1406&amp;","&amp;index('Year Conversion'!$A:$A,match($C1406,'Year Conversion'!$B:$B,0)),$Y:$Y,0))-I1406,"")</f>
        <v>1</v>
      </c>
      <c r="AA1406" s="168">
        <f t="array" ref="AA1406">iferror(index(J:J,match($A1406&amp;","&amp;index('Year Conversion'!$A:$A,match($C1406,'Year Conversion'!$B:$B,0)),$Y:$Y,0))-J1406,"")</f>
        <v>1.179084383</v>
      </c>
      <c r="AB1406" s="168">
        <f t="array" ref="AB1406">iferror(index(K:K,match($A1406&amp;","&amp;index('Year Conversion'!$A:$A,match($C1406,'Year Conversion'!$B:$B,0)),$Y:$Y,0))-K1406,"")</f>
        <v>1.315633531</v>
      </c>
      <c r="AC1406" s="168" t="str">
        <f t="shared" si="7"/>
        <v>BOS,2015-16</v>
      </c>
    </row>
    <row r="1407">
      <c r="A1407" s="161" t="str">
        <f>IFERROR(__xludf.DUMMYFUNCTION("""COMPUTED_VALUE"""),"dekkesa01")</f>
        <v>dekkesa01</v>
      </c>
      <c r="B1407" s="161" t="str">
        <f>IFERROR(__xludf.DUMMYFUNCTION("""COMPUTED_VALUE"""),"Sam Dekker")</f>
        <v>Sam Dekker</v>
      </c>
      <c r="C1407" s="162" t="str">
        <f>IFERROR(__xludf.DUMMYFUNCTION("""COMPUTED_VALUE"""),"2015-16")</f>
        <v>2015-16</v>
      </c>
      <c r="D1407" s="163" t="str">
        <f>IFERROR(__xludf.DUMMYFUNCTION("""COMPUTED_VALUE"""),"HOU")</f>
        <v>HOU</v>
      </c>
      <c r="E1407" s="164" t="str">
        <f>IFERROR(__xludf.DUMMYFUNCTION("""COMPUTED_VALUE"""),"Low Minutes")</f>
        <v>Low Minutes</v>
      </c>
      <c r="F1407" s="164">
        <f>IFERROR(__xludf.DUMMYFUNCTION("""COMPUTED_VALUE"""),6.14833333333333)</f>
        <v>6.148333333</v>
      </c>
      <c r="G1407" s="163">
        <f>IFERROR(__xludf.DUMMYFUNCTION("""COMPUTED_VALUE"""),3.0)</f>
        <v>3</v>
      </c>
      <c r="H1407" s="163" t="str">
        <f>IFERROR(__xludf.DUMMYFUNCTION("""COMPUTED_VALUE"""),"PF")</f>
        <v>PF</v>
      </c>
      <c r="I1407" s="163">
        <f>IFERROR(__xludf.DUMMYFUNCTION("""COMPUTED_VALUE"""),21.0)</f>
        <v>21</v>
      </c>
      <c r="J1407" s="165">
        <f>IFERROR(__xludf.DUMMYFUNCTION("""COMPUTED_VALUE"""),-0.893737110875922)</f>
        <v>-0.8937371109</v>
      </c>
      <c r="K1407" s="165">
        <f>IFERROR(__xludf.DUMMYFUNCTION("""COMPUTED_VALUE"""),-0.236021445870091)</f>
        <v>-0.2360214459</v>
      </c>
      <c r="L1407" s="165">
        <f>IFERROR(__xludf.DUMMYFUNCTION("""COMPUTED_VALUE"""),-0.657715665005831)</f>
        <v>-0.657715665</v>
      </c>
      <c r="M1407" s="166">
        <f t="shared" si="2"/>
        <v>0.005778117142</v>
      </c>
      <c r="N1407" s="167">
        <f t="shared" si="3"/>
        <v>2.049444444</v>
      </c>
      <c r="O1407" s="163">
        <f t="shared" ref="O1407:Q1407" si="1411">rank(I1407,I:I)</f>
        <v>3528</v>
      </c>
      <c r="P1407" s="163">
        <f t="shared" si="1411"/>
        <v>2385</v>
      </c>
      <c r="Q1407" s="163">
        <f t="shared" si="1411"/>
        <v>1637</v>
      </c>
      <c r="R1407" s="163">
        <f>IFERROR(__xludf.DUMMYFUNCTION("RANK(M1407,filter(M:M,C:C=C1407))"),426.0)</f>
        <v>426</v>
      </c>
      <c r="S1407" s="161" t="b">
        <f t="shared" si="5"/>
        <v>0</v>
      </c>
      <c r="T1407" s="161" t="b">
        <f t="array" ref="T1407">index('Query Tool'!B:B,match(H1407,'Query Tool'!C:C,0))</f>
        <v>1</v>
      </c>
      <c r="U1407" s="161" t="b">
        <f t="array" ref="U1407">index('Query Tool'!B:B,match(C1407,'Query Tool'!C:C,0))</f>
        <v>0</v>
      </c>
      <c r="V1407" s="161" t="b">
        <f>F1407&gt;='Query Tool'!C$32</f>
        <v>0</v>
      </c>
      <c r="W1407" s="161" t="b">
        <f t="array" ref="W1407">index(Dropdowns!B:B,match(I1407,Dropdowns!A:A,0))</f>
        <v>1</v>
      </c>
      <c r="X1407" s="161" t="b">
        <f t="array" ref="X1407">index('Query Tool'!B:B,match(D1407,'Query Tool'!C:C,0))</f>
        <v>1</v>
      </c>
      <c r="Y1407" s="161" t="str">
        <f t="shared" si="6"/>
        <v>dekkesa01,2015-16</v>
      </c>
      <c r="Z1407" s="168">
        <f t="array" ref="Z1407">iferror(index(I:I,match($A1407&amp;","&amp;index('Year Conversion'!$A:$A,match($C1407,'Year Conversion'!$B:$B,0)),$Y:$Y,0))-I1407,"")</f>
        <v>1</v>
      </c>
      <c r="AA1407" s="168">
        <f t="array" ref="AA1407">iferror(index(J:J,match($A1407&amp;","&amp;index('Year Conversion'!$A:$A,match($C1407,'Year Conversion'!$B:$B,0)),$Y:$Y,0))-J1407,"")</f>
        <v>-0.7224302136</v>
      </c>
      <c r="AB1407" s="168">
        <f t="array" ref="AB1407">iferror(index(K:K,match($A1407&amp;","&amp;index('Year Conversion'!$A:$A,match($C1407,'Year Conversion'!$B:$B,0)),$Y:$Y,0))-K1407,"")</f>
        <v>-0.6956641352</v>
      </c>
      <c r="AC1407" s="168" t="str">
        <f t="shared" si="7"/>
        <v>HOU,2015-16</v>
      </c>
    </row>
    <row r="1408">
      <c r="A1408" s="161" t="str">
        <f>IFERROR(__xludf.DUMMYFUNCTION("""COMPUTED_VALUE"""),"russeda01")</f>
        <v>russeda01</v>
      </c>
      <c r="B1408" s="161" t="str">
        <f>IFERROR(__xludf.DUMMYFUNCTION("""COMPUTED_VALUE"""),"D'Angelo Russell")</f>
        <v>D'Angelo Russell</v>
      </c>
      <c r="C1408" s="162" t="str">
        <f>IFERROR(__xludf.DUMMYFUNCTION("""COMPUTED_VALUE"""),"2015-16")</f>
        <v>2015-16</v>
      </c>
      <c r="D1408" s="163" t="str">
        <f>IFERROR(__xludf.DUMMYFUNCTION("""COMPUTED_VALUE"""),"LAL")</f>
        <v>LAL</v>
      </c>
      <c r="E1408" s="164" t="str">
        <f>IFERROR(__xludf.DUMMYFUNCTION("""COMPUTED_VALUE"""),"Secondary Ball Handler")</f>
        <v>Secondary Ball Handler</v>
      </c>
      <c r="F1408" s="164">
        <f>IFERROR(__xludf.DUMMYFUNCTION("""COMPUTED_VALUE"""),2259.08)</f>
        <v>2259.08</v>
      </c>
      <c r="G1408" s="163">
        <f>IFERROR(__xludf.DUMMYFUNCTION("""COMPUTED_VALUE"""),80.0)</f>
        <v>80</v>
      </c>
      <c r="H1408" s="163" t="str">
        <f>IFERROR(__xludf.DUMMYFUNCTION("""COMPUTED_VALUE"""),"PG")</f>
        <v>PG</v>
      </c>
      <c r="I1408" s="163">
        <f>IFERROR(__xludf.DUMMYFUNCTION("""COMPUTED_VALUE"""),19.0)</f>
        <v>19</v>
      </c>
      <c r="J1408" s="165">
        <f>IFERROR(__xludf.DUMMYFUNCTION("""COMPUTED_VALUE"""),-2.99573730642485)</f>
        <v>-2.995737306</v>
      </c>
      <c r="K1408" s="165">
        <f>IFERROR(__xludf.DUMMYFUNCTION("""COMPUTED_VALUE"""),-0.909615570249972)</f>
        <v>-0.9096155702</v>
      </c>
      <c r="L1408" s="165">
        <f>IFERROR(__xludf.DUMMYFUNCTION("""COMPUTED_VALUE"""),-2.08612173617488)</f>
        <v>-2.086121736</v>
      </c>
      <c r="M1408" s="166">
        <f t="shared" si="2"/>
        <v>-1.023858719</v>
      </c>
      <c r="N1408" s="167">
        <f t="shared" si="3"/>
        <v>28.2385</v>
      </c>
      <c r="O1408" s="163">
        <f t="shared" ref="O1408:Q1408" si="1412">rank(I1408,I:I)</f>
        <v>3945</v>
      </c>
      <c r="P1408" s="163">
        <f t="shared" si="1412"/>
        <v>3886</v>
      </c>
      <c r="Q1408" s="163">
        <f t="shared" si="1412"/>
        <v>2703</v>
      </c>
      <c r="R1408" s="163">
        <f>IFERROR(__xludf.DUMMYFUNCTION("RANK(M1408,filter(M:M,C:C=C1408))"),466.0)</f>
        <v>466</v>
      </c>
      <c r="S1408" s="161" t="b">
        <f t="shared" si="5"/>
        <v>0</v>
      </c>
      <c r="T1408" s="161" t="b">
        <f t="array" ref="T1408">index('Query Tool'!B:B,match(H1408,'Query Tool'!C:C,0))</f>
        <v>1</v>
      </c>
      <c r="U1408" s="161" t="b">
        <f t="array" ref="U1408">index('Query Tool'!B:B,match(C1408,'Query Tool'!C:C,0))</f>
        <v>0</v>
      </c>
      <c r="V1408" s="161" t="b">
        <f>F1408&gt;='Query Tool'!C$32</f>
        <v>1</v>
      </c>
      <c r="W1408" s="161" t="b">
        <f t="array" ref="W1408">index(Dropdowns!B:B,match(I1408,Dropdowns!A:A,0))</f>
        <v>1</v>
      </c>
      <c r="X1408" s="161" t="b">
        <f t="array" ref="X1408">index('Query Tool'!B:B,match(D1408,'Query Tool'!C:C,0))</f>
        <v>1</v>
      </c>
      <c r="Y1408" s="161" t="str">
        <f t="shared" si="6"/>
        <v>russeda01,2015-16</v>
      </c>
      <c r="Z1408" s="168">
        <f t="array" ref="Z1408">iferror(index(I:I,match($A1408&amp;","&amp;index('Year Conversion'!$A:$A,match($C1408,'Year Conversion'!$B:$B,0)),$Y:$Y,0))-I1408,"")</f>
        <v>1</v>
      </c>
      <c r="AA1408" s="168">
        <f t="array" ref="AA1408">iferror(index(J:J,match($A1408&amp;","&amp;index('Year Conversion'!$A:$A,match($C1408,'Year Conversion'!$B:$B,0)),$Y:$Y,0))-J1408,"")</f>
        <v>2.825188191</v>
      </c>
      <c r="AB1408" s="168">
        <f t="array" ref="AB1408">iferror(index(K:K,match($A1408&amp;","&amp;index('Year Conversion'!$A:$A,match($C1408,'Year Conversion'!$B:$B,0)),$Y:$Y,0))-K1408,"")</f>
        <v>1.966030855</v>
      </c>
      <c r="AC1408" s="168" t="str">
        <f t="shared" si="7"/>
        <v>LAL,2015-16</v>
      </c>
    </row>
    <row r="1409">
      <c r="A1409" s="161" t="str">
        <f>IFERROR(__xludf.DUMMYFUNCTION("""COMPUTED_VALUE"""),"townska01")</f>
        <v>townska01</v>
      </c>
      <c r="B1409" s="161" t="str">
        <f>IFERROR(__xludf.DUMMYFUNCTION("""COMPUTED_VALUE"""),"Karl-Anthony Towns")</f>
        <v>Karl-Anthony Towns</v>
      </c>
      <c r="C1409" s="162" t="str">
        <f>IFERROR(__xludf.DUMMYFUNCTION("""COMPUTED_VALUE"""),"2015-16")</f>
        <v>2015-16</v>
      </c>
      <c r="D1409" s="163" t="str">
        <f>IFERROR(__xludf.DUMMYFUNCTION("""COMPUTED_VALUE"""),"MIN")</f>
        <v>MIN</v>
      </c>
      <c r="E1409" s="164" t="str">
        <f>IFERROR(__xludf.DUMMYFUNCTION("""COMPUTED_VALUE"""),"Post Scorer")</f>
        <v>Post Scorer</v>
      </c>
      <c r="F1409" s="164">
        <f>IFERROR(__xludf.DUMMYFUNCTION("""COMPUTED_VALUE"""),2626.485)</f>
        <v>2626.485</v>
      </c>
      <c r="G1409" s="163">
        <f>IFERROR(__xludf.DUMMYFUNCTION("""COMPUTED_VALUE"""),82.0)</f>
        <v>82</v>
      </c>
      <c r="H1409" s="163" t="str">
        <f>IFERROR(__xludf.DUMMYFUNCTION("""COMPUTED_VALUE"""),"C")</f>
        <v>C</v>
      </c>
      <c r="I1409" s="163">
        <f>IFERROR(__xludf.DUMMYFUNCTION("""COMPUTED_VALUE"""),20.0)</f>
        <v>20</v>
      </c>
      <c r="J1409" s="165">
        <f>IFERROR(__xludf.DUMMYFUNCTION("""COMPUTED_VALUE"""),1.34100102997578)</f>
        <v>1.34100103</v>
      </c>
      <c r="K1409" s="165">
        <f>IFERROR(__xludf.DUMMYFUNCTION("""COMPUTED_VALUE"""),1.46611741730606)</f>
        <v>1.466117417</v>
      </c>
      <c r="L1409" s="165">
        <f>IFERROR(__xludf.DUMMYFUNCTION("""COMPUTED_VALUE"""),-0.125116387330281)</f>
        <v>-0.1251163873</v>
      </c>
      <c r="M1409" s="166">
        <f t="shared" si="2"/>
        <v>6.417826861</v>
      </c>
      <c r="N1409" s="167">
        <f t="shared" si="3"/>
        <v>32.03030488</v>
      </c>
      <c r="O1409" s="163">
        <f t="shared" ref="O1409:Q1409" si="1413">rank(I1409,I:I)</f>
        <v>3770</v>
      </c>
      <c r="P1409" s="163">
        <f t="shared" si="1413"/>
        <v>510</v>
      </c>
      <c r="Q1409" s="163">
        <f t="shared" si="1413"/>
        <v>328</v>
      </c>
      <c r="R1409" s="163">
        <f>IFERROR(__xludf.DUMMYFUNCTION("RANK(M1409,filter(M:M,C:C=C1409))"),38.0)</f>
        <v>38</v>
      </c>
      <c r="S1409" s="161" t="b">
        <f t="shared" si="5"/>
        <v>0</v>
      </c>
      <c r="T1409" s="161" t="b">
        <f t="array" ref="T1409">index('Query Tool'!B:B,match(H1409,'Query Tool'!C:C,0))</f>
        <v>1</v>
      </c>
      <c r="U1409" s="161" t="b">
        <f t="array" ref="U1409">index('Query Tool'!B:B,match(C1409,'Query Tool'!C:C,0))</f>
        <v>0</v>
      </c>
      <c r="V1409" s="161" t="b">
        <f>F1409&gt;='Query Tool'!C$32</f>
        <v>1</v>
      </c>
      <c r="W1409" s="161" t="b">
        <f t="array" ref="W1409">index(Dropdowns!B:B,match(I1409,Dropdowns!A:A,0))</f>
        <v>1</v>
      </c>
      <c r="X1409" s="161" t="b">
        <f t="array" ref="X1409">index('Query Tool'!B:B,match(D1409,'Query Tool'!C:C,0))</f>
        <v>1</v>
      </c>
      <c r="Y1409" s="161" t="str">
        <f t="shared" si="6"/>
        <v>townska01,2015-16</v>
      </c>
      <c r="Z1409" s="168">
        <f t="array" ref="Z1409">iferror(index(I:I,match($A1409&amp;","&amp;index('Year Conversion'!$A:$A,match($C1409,'Year Conversion'!$B:$B,0)),$Y:$Y,0))-I1409,"")</f>
        <v>1</v>
      </c>
      <c r="AA1409" s="168">
        <f t="array" ref="AA1409">iferror(index(J:J,match($A1409&amp;","&amp;index('Year Conversion'!$A:$A,match($C1409,'Year Conversion'!$B:$B,0)),$Y:$Y,0))-J1409,"")</f>
        <v>1.108355721</v>
      </c>
      <c r="AB1409" s="168">
        <f t="array" ref="AB1409">iferror(index(K:K,match($A1409&amp;","&amp;index('Year Conversion'!$A:$A,match($C1409,'Year Conversion'!$B:$B,0)),$Y:$Y,0))-K1409,"")</f>
        <v>1.648495142</v>
      </c>
      <c r="AC1409" s="168" t="str">
        <f t="shared" si="7"/>
        <v>MIN,2015-16</v>
      </c>
    </row>
    <row r="1410">
      <c r="A1410" s="161" t="str">
        <f>IFERROR(__xludf.DUMMYFUNCTION("""COMPUTED_VALUE"""),"holmeri01")</f>
        <v>holmeri01</v>
      </c>
      <c r="B1410" s="161" t="str">
        <f>IFERROR(__xludf.DUMMYFUNCTION("""COMPUTED_VALUE"""),"Richaun Holmes")</f>
        <v>Richaun Holmes</v>
      </c>
      <c r="C1410" s="162" t="str">
        <f>IFERROR(__xludf.DUMMYFUNCTION("""COMPUTED_VALUE"""),"2015-16")</f>
        <v>2015-16</v>
      </c>
      <c r="D1410" s="163" t="str">
        <f>IFERROR(__xludf.DUMMYFUNCTION("""COMPUTED_VALUE"""),"PHI")</f>
        <v>PHI</v>
      </c>
      <c r="E1410" s="164" t="str">
        <f>IFERROR(__xludf.DUMMYFUNCTION("""COMPUTED_VALUE"""),"Roll + Cut Big")</f>
        <v>Roll + Cut Big</v>
      </c>
      <c r="F1410" s="164">
        <f>IFERROR(__xludf.DUMMYFUNCTION("""COMPUTED_VALUE"""),702.001666666667)</f>
        <v>702.0016667</v>
      </c>
      <c r="G1410" s="163">
        <f>IFERROR(__xludf.DUMMYFUNCTION("""COMPUTED_VALUE"""),51.0)</f>
        <v>51</v>
      </c>
      <c r="H1410" s="163" t="str">
        <f>IFERROR(__xludf.DUMMYFUNCTION("""COMPUTED_VALUE"""),"PF")</f>
        <v>PF</v>
      </c>
      <c r="I1410" s="163">
        <f>IFERROR(__xludf.DUMMYFUNCTION("""COMPUTED_VALUE"""),22.0)</f>
        <v>22</v>
      </c>
      <c r="J1410" s="165">
        <f>IFERROR(__xludf.DUMMYFUNCTION("""COMPUTED_VALUE"""),0.701893239115909)</f>
        <v>0.7018932391</v>
      </c>
      <c r="K1410" s="165">
        <f>IFERROR(__xludf.DUMMYFUNCTION("""COMPUTED_VALUE"""),0.464885905177271)</f>
        <v>0.4648859052</v>
      </c>
      <c r="L1410" s="165">
        <f>IFERROR(__xludf.DUMMYFUNCTION("""COMPUTED_VALUE"""),0.237007333938637)</f>
        <v>0.2370073339</v>
      </c>
      <c r="M1410" s="166">
        <f t="shared" si="2"/>
        <v>1.414219106</v>
      </c>
      <c r="N1410" s="167">
        <f t="shared" si="3"/>
        <v>13.76473856</v>
      </c>
      <c r="O1410" s="163">
        <f t="shared" ref="O1410:Q1410" si="1414">rank(I1410,I:I)</f>
        <v>3178</v>
      </c>
      <c r="P1410" s="163">
        <f t="shared" si="1414"/>
        <v>797</v>
      </c>
      <c r="Q1410" s="163">
        <f t="shared" si="1414"/>
        <v>788</v>
      </c>
      <c r="R1410" s="163">
        <f>IFERROR(__xludf.DUMMYFUNCTION("RANK(M1410,filter(M:M,C:C=C1410))"),193.0)</f>
        <v>193</v>
      </c>
      <c r="S1410" s="161" t="b">
        <f t="shared" si="5"/>
        <v>0</v>
      </c>
      <c r="T1410" s="161" t="b">
        <f t="array" ref="T1410">index('Query Tool'!B:B,match(H1410,'Query Tool'!C:C,0))</f>
        <v>1</v>
      </c>
      <c r="U1410" s="161" t="b">
        <f t="array" ref="U1410">index('Query Tool'!B:B,match(C1410,'Query Tool'!C:C,0))</f>
        <v>0</v>
      </c>
      <c r="V1410" s="161" t="b">
        <f>F1410&gt;='Query Tool'!C$32</f>
        <v>1</v>
      </c>
      <c r="W1410" s="161" t="b">
        <f t="array" ref="W1410">index(Dropdowns!B:B,match(I1410,Dropdowns!A:A,0))</f>
        <v>1</v>
      </c>
      <c r="X1410" s="161" t="b">
        <f t="array" ref="X1410">index('Query Tool'!B:B,match(D1410,'Query Tool'!C:C,0))</f>
        <v>1</v>
      </c>
      <c r="Y1410" s="161" t="str">
        <f t="shared" si="6"/>
        <v>holmeri01,2015-16</v>
      </c>
      <c r="Z1410" s="168">
        <f t="array" ref="Z1410">iferror(index(I:I,match($A1410&amp;","&amp;index('Year Conversion'!$A:$A,match($C1410,'Year Conversion'!$B:$B,0)),$Y:$Y,0))-I1410,"")</f>
        <v>1</v>
      </c>
      <c r="AA1410" s="168">
        <f t="array" ref="AA1410">iferror(index(J:J,match($A1410&amp;","&amp;index('Year Conversion'!$A:$A,match($C1410,'Year Conversion'!$B:$B,0)),$Y:$Y,0))-J1410,"")</f>
        <v>-1.11046165</v>
      </c>
      <c r="AB1410" s="168">
        <f t="array" ref="AB1410">iferror(index(K:K,match($A1410&amp;","&amp;index('Year Conversion'!$A:$A,match($C1410,'Year Conversion'!$B:$B,0)),$Y:$Y,0))-K1410,"")</f>
        <v>-0.9952196703</v>
      </c>
      <c r="AC1410" s="168" t="str">
        <f t="shared" si="7"/>
        <v>PHI,2015-16</v>
      </c>
    </row>
    <row r="1411">
      <c r="A1411" s="161" t="str">
        <f>IFERROR(__xludf.DUMMYFUNCTION("""COMPUTED_VALUE"""),"winslju01")</f>
        <v>winslju01</v>
      </c>
      <c r="B1411" s="161" t="str">
        <f>IFERROR(__xludf.DUMMYFUNCTION("""COMPUTED_VALUE"""),"Justise Winslow")</f>
        <v>Justise Winslow</v>
      </c>
      <c r="C1411" s="162" t="str">
        <f>IFERROR(__xludf.DUMMYFUNCTION("""COMPUTED_VALUE"""),"2015-16")</f>
        <v>2015-16</v>
      </c>
      <c r="D1411" s="163" t="str">
        <f>IFERROR(__xludf.DUMMYFUNCTION("""COMPUTED_VALUE"""),"MIA")</f>
        <v>MIA</v>
      </c>
      <c r="E1411" s="164" t="str">
        <f>IFERROR(__xludf.DUMMYFUNCTION("""COMPUTED_VALUE"""),"Athletic Finisher")</f>
        <v>Athletic Finisher</v>
      </c>
      <c r="F1411" s="164">
        <f>IFERROR(__xludf.DUMMYFUNCTION("""COMPUTED_VALUE"""),2232.135)</f>
        <v>2232.135</v>
      </c>
      <c r="G1411" s="163">
        <f>IFERROR(__xludf.DUMMYFUNCTION("""COMPUTED_VALUE"""),78.0)</f>
        <v>78</v>
      </c>
      <c r="H1411" s="163" t="str">
        <f>IFERROR(__xludf.DUMMYFUNCTION("""COMPUTED_VALUE"""),"SF")</f>
        <v>SF</v>
      </c>
      <c r="I1411" s="163">
        <f>IFERROR(__xludf.DUMMYFUNCTION("""COMPUTED_VALUE"""),19.0)</f>
        <v>19</v>
      </c>
      <c r="J1411" s="165">
        <f>IFERROR(__xludf.DUMMYFUNCTION("""COMPUTED_VALUE"""),-0.221275156140468)</f>
        <v>-0.2212751561</v>
      </c>
      <c r="K1411" s="165">
        <f>IFERROR(__xludf.DUMMYFUNCTION("""COMPUTED_VALUE"""),-1.57424027760039)</f>
        <v>-1.574240278</v>
      </c>
      <c r="L1411" s="165">
        <f>IFERROR(__xludf.DUMMYFUNCTION("""COMPUTED_VALUE"""),1.35296512145992)</f>
        <v>1.352965121</v>
      </c>
      <c r="M1411" s="166">
        <f t="shared" si="2"/>
        <v>3.108237622</v>
      </c>
      <c r="N1411" s="167">
        <f t="shared" si="3"/>
        <v>28.61711538</v>
      </c>
      <c r="O1411" s="163">
        <f t="shared" ref="O1411:Q1411" si="1415">rank(I1411,I:I)</f>
        <v>3945</v>
      </c>
      <c r="P1411" s="163">
        <f t="shared" si="1415"/>
        <v>1525</v>
      </c>
      <c r="Q1411" s="163">
        <f t="shared" si="1415"/>
        <v>3426</v>
      </c>
      <c r="R1411" s="163">
        <f>IFERROR(__xludf.DUMMYFUNCTION("RANK(M1411,filter(M:M,C:C=C1411))"),116.0)</f>
        <v>116</v>
      </c>
      <c r="S1411" s="161" t="b">
        <f t="shared" si="5"/>
        <v>0</v>
      </c>
      <c r="T1411" s="161" t="b">
        <f t="array" ref="T1411">index('Query Tool'!B:B,match(H1411,'Query Tool'!C:C,0))</f>
        <v>1</v>
      </c>
      <c r="U1411" s="161" t="b">
        <f t="array" ref="U1411">index('Query Tool'!B:B,match(C1411,'Query Tool'!C:C,0))</f>
        <v>0</v>
      </c>
      <c r="V1411" s="161" t="b">
        <f>F1411&gt;='Query Tool'!C$32</f>
        <v>1</v>
      </c>
      <c r="W1411" s="161" t="b">
        <f t="array" ref="W1411">index(Dropdowns!B:B,match(I1411,Dropdowns!A:A,0))</f>
        <v>1</v>
      </c>
      <c r="X1411" s="161" t="b">
        <f t="array" ref="X1411">index('Query Tool'!B:B,match(D1411,'Query Tool'!C:C,0))</f>
        <v>1</v>
      </c>
      <c r="Y1411" s="161" t="str">
        <f t="shared" si="6"/>
        <v>winslju01,2015-16</v>
      </c>
      <c r="Z1411" s="168">
        <f t="array" ref="Z1411">iferror(index(I:I,match($A1411&amp;","&amp;index('Year Conversion'!$A:$A,match($C1411,'Year Conversion'!$B:$B,0)),$Y:$Y,0))-I1411,"")</f>
        <v>1</v>
      </c>
      <c r="AA1411" s="168">
        <f t="array" ref="AA1411">iferror(index(J:J,match($A1411&amp;","&amp;index('Year Conversion'!$A:$A,match($C1411,'Year Conversion'!$B:$B,0)),$Y:$Y,0))-J1411,"")</f>
        <v>-0.8081907553</v>
      </c>
      <c r="AB1411" s="168">
        <f t="array" ref="AB1411">iferror(index(K:K,match($A1411&amp;","&amp;index('Year Conversion'!$A:$A,match($C1411,'Year Conversion'!$B:$B,0)),$Y:$Y,0))-K1411,"")</f>
        <v>0.1932178581</v>
      </c>
      <c r="AC1411" s="168" t="str">
        <f t="shared" si="7"/>
        <v>MIA,2015-16</v>
      </c>
    </row>
    <row r="1412">
      <c r="A1412" s="161" t="str">
        <f>IFERROR(__xludf.DUMMYFUNCTION("""COMPUTED_VALUE"""),"caulewi01")</f>
        <v>caulewi01</v>
      </c>
      <c r="B1412" s="161" t="str">
        <f>IFERROR(__xludf.DUMMYFUNCTION("""COMPUTED_VALUE"""),"Willie Cauley-Stein")</f>
        <v>Willie Cauley-Stein</v>
      </c>
      <c r="C1412" s="162" t="str">
        <f>IFERROR(__xludf.DUMMYFUNCTION("""COMPUTED_VALUE"""),"2015-16")</f>
        <v>2015-16</v>
      </c>
      <c r="D1412" s="163" t="str">
        <f>IFERROR(__xludf.DUMMYFUNCTION("""COMPUTED_VALUE"""),"SAC")</f>
        <v>SAC</v>
      </c>
      <c r="E1412" s="164" t="str">
        <f>IFERROR(__xludf.DUMMYFUNCTION("""COMPUTED_VALUE"""),"Roll + Cut Big")</f>
        <v>Roll + Cut Big</v>
      </c>
      <c r="F1412" s="164">
        <f>IFERROR(__xludf.DUMMYFUNCTION("""COMPUTED_VALUE"""),1411.545)</f>
        <v>1411.545</v>
      </c>
      <c r="G1412" s="163">
        <f>IFERROR(__xludf.DUMMYFUNCTION("""COMPUTED_VALUE"""),66.0)</f>
        <v>66</v>
      </c>
      <c r="H1412" s="163" t="str">
        <f>IFERROR(__xludf.DUMMYFUNCTION("""COMPUTED_VALUE"""),"C")</f>
        <v>C</v>
      </c>
      <c r="I1412" s="163">
        <f>IFERROR(__xludf.DUMMYFUNCTION("""COMPUTED_VALUE"""),22.0)</f>
        <v>22</v>
      </c>
      <c r="J1412" s="165">
        <f>IFERROR(__xludf.DUMMYFUNCTION("""COMPUTED_VALUE"""),-0.785602428687043)</f>
        <v>-0.7856024287</v>
      </c>
      <c r="K1412" s="165">
        <f>IFERROR(__xludf.DUMMYFUNCTION("""COMPUTED_VALUE"""),-0.612713202595242)</f>
        <v>-0.6127132026</v>
      </c>
      <c r="L1412" s="165">
        <f>IFERROR(__xludf.DUMMYFUNCTION("""COMPUTED_VALUE"""),-0.172889226091802)</f>
        <v>-0.1728892261</v>
      </c>
      <c r="M1412" s="166">
        <f t="shared" si="2"/>
        <v>1.429154224</v>
      </c>
      <c r="N1412" s="167">
        <f t="shared" si="3"/>
        <v>21.38704545</v>
      </c>
      <c r="O1412" s="163">
        <f t="shared" ref="O1412:Q1412" si="1416">rank(I1412,I:I)</f>
        <v>3178</v>
      </c>
      <c r="P1412" s="163">
        <f t="shared" si="1416"/>
        <v>2255</v>
      </c>
      <c r="Q1412" s="163">
        <f t="shared" si="1416"/>
        <v>2279</v>
      </c>
      <c r="R1412" s="163">
        <f>IFERROR(__xludf.DUMMYFUNCTION("RANK(M1412,filter(M:M,C:C=C1412))"),191.0)</f>
        <v>191</v>
      </c>
      <c r="S1412" s="161" t="b">
        <f t="shared" si="5"/>
        <v>0</v>
      </c>
      <c r="T1412" s="161" t="b">
        <f t="array" ref="T1412">index('Query Tool'!B:B,match(H1412,'Query Tool'!C:C,0))</f>
        <v>1</v>
      </c>
      <c r="U1412" s="161" t="b">
        <f t="array" ref="U1412">index('Query Tool'!B:B,match(C1412,'Query Tool'!C:C,0))</f>
        <v>0</v>
      </c>
      <c r="V1412" s="161" t="b">
        <f>F1412&gt;='Query Tool'!C$32</f>
        <v>1</v>
      </c>
      <c r="W1412" s="161" t="b">
        <f t="array" ref="W1412">index(Dropdowns!B:B,match(I1412,Dropdowns!A:A,0))</f>
        <v>1</v>
      </c>
      <c r="X1412" s="161" t="b">
        <f t="array" ref="X1412">index('Query Tool'!B:B,match(D1412,'Query Tool'!C:C,0))</f>
        <v>1</v>
      </c>
      <c r="Y1412" s="161" t="str">
        <f t="shared" si="6"/>
        <v>caulewi01,2015-16</v>
      </c>
      <c r="Z1412" s="168">
        <f t="array" ref="Z1412">iferror(index(I:I,match($A1412&amp;","&amp;index('Year Conversion'!$A:$A,match($C1412,'Year Conversion'!$B:$B,0)),$Y:$Y,0))-I1412,"")</f>
        <v>1</v>
      </c>
      <c r="AA1412" s="168">
        <f t="array" ref="AA1412">iferror(index(J:J,match($A1412&amp;","&amp;index('Year Conversion'!$A:$A,match($C1412,'Year Conversion'!$B:$B,0)),$Y:$Y,0))-J1412,"")</f>
        <v>0.02283722973</v>
      </c>
      <c r="AB1412" s="168">
        <f t="array" ref="AB1412">iferror(index(K:K,match($A1412&amp;","&amp;index('Year Conversion'!$A:$A,match($C1412,'Year Conversion'!$B:$B,0)),$Y:$Y,0))-K1412,"")</f>
        <v>-0.5377427149</v>
      </c>
      <c r="AC1412" s="168" t="str">
        <f t="shared" si="7"/>
        <v>SAC,2015-16</v>
      </c>
    </row>
    <row r="1413">
      <c r="A1413" s="161" t="str">
        <f>IFERROR(__xludf.DUMMYFUNCTION("""COMPUTED_VALUE"""),"oubreke01")</f>
        <v>oubreke01</v>
      </c>
      <c r="B1413" s="161" t="str">
        <f>IFERROR(__xludf.DUMMYFUNCTION("""COMPUTED_VALUE"""),"Kelly Oubre Jr.")</f>
        <v>Kelly Oubre Jr.</v>
      </c>
      <c r="C1413" s="162" t="str">
        <f>IFERROR(__xludf.DUMMYFUNCTION("""COMPUTED_VALUE"""),"2015-16")</f>
        <v>2015-16</v>
      </c>
      <c r="D1413" s="163" t="str">
        <f>IFERROR(__xludf.DUMMYFUNCTION("""COMPUTED_VALUE"""),"WAS")</f>
        <v>WAS</v>
      </c>
      <c r="E1413" s="164" t="str">
        <f>IFERROR(__xludf.DUMMYFUNCTION("""COMPUTED_VALUE"""),"Athletic Finisher")</f>
        <v>Athletic Finisher</v>
      </c>
      <c r="F1413" s="164">
        <f>IFERROR(__xludf.DUMMYFUNCTION("""COMPUTED_VALUE"""),671.381666666667)</f>
        <v>671.3816667</v>
      </c>
      <c r="G1413" s="163">
        <f>IFERROR(__xludf.DUMMYFUNCTION("""COMPUTED_VALUE"""),63.0)</f>
        <v>63</v>
      </c>
      <c r="H1413" s="163" t="str">
        <f>IFERROR(__xludf.DUMMYFUNCTION("""COMPUTED_VALUE"""),"SF")</f>
        <v>SF</v>
      </c>
      <c r="I1413" s="163">
        <f>IFERROR(__xludf.DUMMYFUNCTION("""COMPUTED_VALUE"""),20.0)</f>
        <v>20</v>
      </c>
      <c r="J1413" s="165">
        <f>IFERROR(__xludf.DUMMYFUNCTION("""COMPUTED_VALUE"""),-1.74347239238395)</f>
        <v>-1.743472392</v>
      </c>
      <c r="K1413" s="165">
        <f>IFERROR(__xludf.DUMMYFUNCTION("""COMPUTED_VALUE"""),-1.66067137156495)</f>
        <v>-1.660671372</v>
      </c>
      <c r="L1413" s="165">
        <f>IFERROR(__xludf.DUMMYFUNCTION("""COMPUTED_VALUE"""),-0.0828010208190022)</f>
        <v>-0.08280102082</v>
      </c>
      <c r="M1413" s="166">
        <f t="shared" si="2"/>
        <v>0.2491993153</v>
      </c>
      <c r="N1413" s="167">
        <f t="shared" si="3"/>
        <v>10.65685185</v>
      </c>
      <c r="O1413" s="163">
        <f t="shared" ref="O1413:Q1413" si="1417">rank(I1413,I:I)</f>
        <v>3770</v>
      </c>
      <c r="P1413" s="163">
        <f t="shared" si="1417"/>
        <v>3288</v>
      </c>
      <c r="Q1413" s="163">
        <f t="shared" si="1417"/>
        <v>3491</v>
      </c>
      <c r="R1413" s="163">
        <f>IFERROR(__xludf.DUMMYFUNCTION("RANK(M1413,filter(M:M,C:C=C1413))"),328.0)</f>
        <v>328</v>
      </c>
      <c r="S1413" s="161" t="b">
        <f t="shared" si="5"/>
        <v>0</v>
      </c>
      <c r="T1413" s="161" t="b">
        <f t="array" ref="T1413">index('Query Tool'!B:B,match(H1413,'Query Tool'!C:C,0))</f>
        <v>1</v>
      </c>
      <c r="U1413" s="161" t="b">
        <f t="array" ref="U1413">index('Query Tool'!B:B,match(C1413,'Query Tool'!C:C,0))</f>
        <v>0</v>
      </c>
      <c r="V1413" s="161" t="b">
        <f>F1413&gt;='Query Tool'!C$32</f>
        <v>1</v>
      </c>
      <c r="W1413" s="161" t="b">
        <f t="array" ref="W1413">index(Dropdowns!B:B,match(I1413,Dropdowns!A:A,0))</f>
        <v>1</v>
      </c>
      <c r="X1413" s="161" t="b">
        <f t="array" ref="X1413">index('Query Tool'!B:B,match(D1413,'Query Tool'!C:C,0))</f>
        <v>1</v>
      </c>
      <c r="Y1413" s="161" t="str">
        <f t="shared" si="6"/>
        <v>oubreke01,2015-16</v>
      </c>
      <c r="Z1413" s="168">
        <f t="array" ref="Z1413">iferror(index(I:I,match($A1413&amp;","&amp;index('Year Conversion'!$A:$A,match($C1413,'Year Conversion'!$B:$B,0)),$Y:$Y,0))-I1413,"")</f>
        <v>1</v>
      </c>
      <c r="AA1413" s="168">
        <f t="array" ref="AA1413">iferror(index(J:J,match($A1413&amp;","&amp;index('Year Conversion'!$A:$A,match($C1413,'Year Conversion'!$B:$B,0)),$Y:$Y,0))-J1413,"")</f>
        <v>0.5488289903</v>
      </c>
      <c r="AB1413" s="168">
        <f t="array" ref="AB1413">iferror(index(K:K,match($A1413&amp;","&amp;index('Year Conversion'!$A:$A,match($C1413,'Year Conversion'!$B:$B,0)),$Y:$Y,0))-K1413,"")</f>
        <v>0.5975105769</v>
      </c>
      <c r="AC1413" s="168" t="str">
        <f t="shared" si="7"/>
        <v>WAS,2015-16</v>
      </c>
    </row>
    <row r="1414">
      <c r="A1414" s="161" t="str">
        <f>IFERROR(__xludf.DUMMYFUNCTION("""COMPUTED_VALUE"""),"kaminfr01")</f>
        <v>kaminfr01</v>
      </c>
      <c r="B1414" s="161" t="str">
        <f>IFERROR(__xludf.DUMMYFUNCTION("""COMPUTED_VALUE"""),"Frank Kaminsky")</f>
        <v>Frank Kaminsky</v>
      </c>
      <c r="C1414" s="162" t="str">
        <f>IFERROR(__xludf.DUMMYFUNCTION("""COMPUTED_VALUE"""),"2015-16")</f>
        <v>2015-16</v>
      </c>
      <c r="D1414" s="163" t="str">
        <f>IFERROR(__xludf.DUMMYFUNCTION("""COMPUTED_VALUE"""),"CHO")</f>
        <v>CHO</v>
      </c>
      <c r="E1414" s="164" t="str">
        <f>IFERROR(__xludf.DUMMYFUNCTION("""COMPUTED_VALUE"""),"Stretch Big")</f>
        <v>Stretch Big</v>
      </c>
      <c r="F1414" s="164">
        <f>IFERROR(__xludf.DUMMYFUNCTION("""COMPUTED_VALUE"""),1707.57333333333)</f>
        <v>1707.573333</v>
      </c>
      <c r="G1414" s="163">
        <f>IFERROR(__xludf.DUMMYFUNCTION("""COMPUTED_VALUE"""),81.0)</f>
        <v>81</v>
      </c>
      <c r="H1414" s="163" t="str">
        <f>IFERROR(__xludf.DUMMYFUNCTION("""COMPUTED_VALUE"""),"C")</f>
        <v>C</v>
      </c>
      <c r="I1414" s="163">
        <f>IFERROR(__xludf.DUMMYFUNCTION("""COMPUTED_VALUE"""),22.0)</f>
        <v>22</v>
      </c>
      <c r="J1414" s="165">
        <f>IFERROR(__xludf.DUMMYFUNCTION("""COMPUTED_VALUE"""),-1.08711913958278)</f>
        <v>-1.08711914</v>
      </c>
      <c r="K1414" s="165">
        <f>IFERROR(__xludf.DUMMYFUNCTION("""COMPUTED_VALUE"""),-1.08007991966056)</f>
        <v>-1.08007992</v>
      </c>
      <c r="L1414" s="165">
        <f>IFERROR(__xludf.DUMMYFUNCTION("""COMPUTED_VALUE"""),-0.00703921992221906)</f>
        <v>-0.007039219922</v>
      </c>
      <c r="M1414" s="166">
        <f t="shared" si="2"/>
        <v>1.38303698</v>
      </c>
      <c r="N1414" s="167">
        <f t="shared" si="3"/>
        <v>21.08115226</v>
      </c>
      <c r="O1414" s="163">
        <f t="shared" ref="O1414:Q1414" si="1418">rank(I1414,I:I)</f>
        <v>3178</v>
      </c>
      <c r="P1414" s="163">
        <f t="shared" si="1418"/>
        <v>2599</v>
      </c>
      <c r="Q1414" s="163">
        <f t="shared" si="1418"/>
        <v>2910</v>
      </c>
      <c r="R1414" s="163">
        <f>IFERROR(__xludf.DUMMYFUNCTION("RANK(M1414,filter(M:M,C:C=C1414))"),195.0)</f>
        <v>195</v>
      </c>
      <c r="S1414" s="161" t="b">
        <f t="shared" si="5"/>
        <v>0</v>
      </c>
      <c r="T1414" s="161" t="b">
        <f t="array" ref="T1414">index('Query Tool'!B:B,match(H1414,'Query Tool'!C:C,0))</f>
        <v>1</v>
      </c>
      <c r="U1414" s="161" t="b">
        <f t="array" ref="U1414">index('Query Tool'!B:B,match(C1414,'Query Tool'!C:C,0))</f>
        <v>0</v>
      </c>
      <c r="V1414" s="161" t="b">
        <f>F1414&gt;='Query Tool'!C$32</f>
        <v>1</v>
      </c>
      <c r="W1414" s="161" t="b">
        <f t="array" ref="W1414">index(Dropdowns!B:B,match(I1414,Dropdowns!A:A,0))</f>
        <v>1</v>
      </c>
      <c r="X1414" s="161" t="b">
        <f t="array" ref="X1414">index('Query Tool'!B:B,match(D1414,'Query Tool'!C:C,0))</f>
        <v>1</v>
      </c>
      <c r="Y1414" s="161" t="str">
        <f t="shared" si="6"/>
        <v>kaminfr01,2015-16</v>
      </c>
      <c r="Z1414" s="168">
        <f t="array" ref="Z1414">iferror(index(I:I,match($A1414&amp;","&amp;index('Year Conversion'!$A:$A,match($C1414,'Year Conversion'!$B:$B,0)),$Y:$Y,0))-I1414,"")</f>
        <v>1</v>
      </c>
      <c r="AA1414" s="168">
        <f t="array" ref="AA1414">iferror(index(J:J,match($A1414&amp;","&amp;index('Year Conversion'!$A:$A,match($C1414,'Year Conversion'!$B:$B,0)),$Y:$Y,0))-J1414,"")</f>
        <v>0.5964876123</v>
      </c>
      <c r="AB1414" s="168">
        <f t="array" ref="AB1414">iferror(index(K:K,match($A1414&amp;","&amp;index('Year Conversion'!$A:$A,match($C1414,'Year Conversion'!$B:$B,0)),$Y:$Y,0))-K1414,"")</f>
        <v>1.486205415</v>
      </c>
      <c r="AC1414" s="168" t="str">
        <f t="shared" si="7"/>
        <v>CHO,2015-16</v>
      </c>
    </row>
    <row r="1415">
      <c r="A1415" s="161" t="str">
        <f>IFERROR(__xludf.DUMMYFUNCTION("""COMPUTED_VALUE"""),"bookede01")</f>
        <v>bookede01</v>
      </c>
      <c r="B1415" s="161" t="str">
        <f>IFERROR(__xludf.DUMMYFUNCTION("""COMPUTED_VALUE"""),"Devin Booker")</f>
        <v>Devin Booker</v>
      </c>
      <c r="C1415" s="162" t="str">
        <f>IFERROR(__xludf.DUMMYFUNCTION("""COMPUTED_VALUE"""),"2015-16")</f>
        <v>2015-16</v>
      </c>
      <c r="D1415" s="163" t="str">
        <f>IFERROR(__xludf.DUMMYFUNCTION("""COMPUTED_VALUE"""),"PHO")</f>
        <v>PHO</v>
      </c>
      <c r="E1415" s="164" t="str">
        <f>IFERROR(__xludf.DUMMYFUNCTION("""COMPUTED_VALUE"""),"Secondary Ball Handler")</f>
        <v>Secondary Ball Handler</v>
      </c>
      <c r="F1415" s="164">
        <f>IFERROR(__xludf.DUMMYFUNCTION("""COMPUTED_VALUE"""),2107.665)</f>
        <v>2107.665</v>
      </c>
      <c r="G1415" s="163">
        <f>IFERROR(__xludf.DUMMYFUNCTION("""COMPUTED_VALUE"""),76.0)</f>
        <v>76</v>
      </c>
      <c r="H1415" s="163" t="str">
        <f>IFERROR(__xludf.DUMMYFUNCTION("""COMPUTED_VALUE"""),"SG")</f>
        <v>SG</v>
      </c>
      <c r="I1415" s="163">
        <f>IFERROR(__xludf.DUMMYFUNCTION("""COMPUTED_VALUE"""),19.0)</f>
        <v>19</v>
      </c>
      <c r="J1415" s="165">
        <f>IFERROR(__xludf.DUMMYFUNCTION("""COMPUTED_VALUE"""),-2.90849450020885)</f>
        <v>-2.9084945</v>
      </c>
      <c r="K1415" s="165">
        <f>IFERROR(__xludf.DUMMYFUNCTION("""COMPUTED_VALUE"""),-0.744724252167691)</f>
        <v>-0.7447242522</v>
      </c>
      <c r="L1415" s="165">
        <f>IFERROR(__xludf.DUMMYFUNCTION("""COMPUTED_VALUE"""),-2.16377024804116)</f>
        <v>-2.163770248</v>
      </c>
      <c r="M1415" s="166">
        <f t="shared" si="2"/>
        <v>-0.8356617162</v>
      </c>
      <c r="N1415" s="167">
        <f t="shared" si="3"/>
        <v>27.73243421</v>
      </c>
      <c r="O1415" s="163">
        <f t="shared" ref="O1415:Q1415" si="1419">rank(I1415,I:I)</f>
        <v>3945</v>
      </c>
      <c r="P1415" s="163">
        <f t="shared" si="1419"/>
        <v>3868</v>
      </c>
      <c r="Q1415" s="163">
        <f t="shared" si="1419"/>
        <v>2471</v>
      </c>
      <c r="R1415" s="163">
        <f>IFERROR(__xludf.DUMMYFUNCTION("RANK(M1415,filter(M:M,C:C=C1415))"),461.0)</f>
        <v>461</v>
      </c>
      <c r="S1415" s="161" t="b">
        <f t="shared" si="5"/>
        <v>0</v>
      </c>
      <c r="T1415" s="161" t="b">
        <f t="array" ref="T1415">index('Query Tool'!B:B,match(H1415,'Query Tool'!C:C,0))</f>
        <v>1</v>
      </c>
      <c r="U1415" s="161" t="b">
        <f t="array" ref="U1415">index('Query Tool'!B:B,match(C1415,'Query Tool'!C:C,0))</f>
        <v>0</v>
      </c>
      <c r="V1415" s="161" t="b">
        <f>F1415&gt;='Query Tool'!C$32</f>
        <v>1</v>
      </c>
      <c r="W1415" s="161" t="b">
        <f t="array" ref="W1415">index(Dropdowns!B:B,match(I1415,Dropdowns!A:A,0))</f>
        <v>1</v>
      </c>
      <c r="X1415" s="161" t="b">
        <f t="array" ref="X1415">index('Query Tool'!B:B,match(D1415,'Query Tool'!C:C,0))</f>
        <v>1</v>
      </c>
      <c r="Y1415" s="161" t="str">
        <f t="shared" si="6"/>
        <v>bookede01,2015-16</v>
      </c>
      <c r="Z1415" s="168">
        <f t="array" ref="Z1415">iferror(index(I:I,match($A1415&amp;","&amp;index('Year Conversion'!$A:$A,match($C1415,'Year Conversion'!$B:$B,0)),$Y:$Y,0))-I1415,"")</f>
        <v>1</v>
      </c>
      <c r="AA1415" s="168">
        <f t="array" ref="AA1415">iferror(index(J:J,match($A1415&amp;","&amp;index('Year Conversion'!$A:$A,match($C1415,'Year Conversion'!$B:$B,0)),$Y:$Y,0))-J1415,"")</f>
        <v>1.834596716</v>
      </c>
      <c r="AB1415" s="168">
        <f t="array" ref="AB1415">iferror(index(K:K,match($A1415&amp;","&amp;index('Year Conversion'!$A:$A,match($C1415,'Year Conversion'!$B:$B,0)),$Y:$Y,0))-K1415,"")</f>
        <v>1.745355238</v>
      </c>
      <c r="AC1415" s="168" t="str">
        <f t="shared" si="7"/>
        <v>PHO,2015-16</v>
      </c>
    </row>
    <row r="1416">
      <c r="A1416" s="161" t="str">
        <f>IFERROR(__xludf.DUMMYFUNCTION("""COMPUTED_VALUE"""),"payneca01")</f>
        <v>payneca01</v>
      </c>
      <c r="B1416" s="161" t="str">
        <f>IFERROR(__xludf.DUMMYFUNCTION("""COMPUTED_VALUE"""),"Cameron Payne")</f>
        <v>Cameron Payne</v>
      </c>
      <c r="C1416" s="162" t="str">
        <f>IFERROR(__xludf.DUMMYFUNCTION("""COMPUTED_VALUE"""),"2015-16")</f>
        <v>2015-16</v>
      </c>
      <c r="D1416" s="163" t="str">
        <f>IFERROR(__xludf.DUMMYFUNCTION("""COMPUTED_VALUE"""),"OKC")</f>
        <v>OKC</v>
      </c>
      <c r="E1416" s="164" t="str">
        <f>IFERROR(__xludf.DUMMYFUNCTION("""COMPUTED_VALUE"""),"Secondary Ball Handler")</f>
        <v>Secondary Ball Handler</v>
      </c>
      <c r="F1416" s="164">
        <f>IFERROR(__xludf.DUMMYFUNCTION("""COMPUTED_VALUE"""),697.613333333333)</f>
        <v>697.6133333</v>
      </c>
      <c r="G1416" s="163">
        <f>IFERROR(__xludf.DUMMYFUNCTION("""COMPUTED_VALUE"""),57.0)</f>
        <v>57</v>
      </c>
      <c r="H1416" s="163" t="str">
        <f>IFERROR(__xludf.DUMMYFUNCTION("""COMPUTED_VALUE"""),"PG")</f>
        <v>PG</v>
      </c>
      <c r="I1416" s="163">
        <f>IFERROR(__xludf.DUMMYFUNCTION("""COMPUTED_VALUE"""),21.0)</f>
        <v>21</v>
      </c>
      <c r="J1416" s="165">
        <f>IFERROR(__xludf.DUMMYFUNCTION("""COMPUTED_VALUE"""),-0.740343726227319)</f>
        <v>-0.7403437262</v>
      </c>
      <c r="K1416" s="165">
        <f>IFERROR(__xludf.DUMMYFUNCTION("""COMPUTED_VALUE"""),0.102702154415776)</f>
        <v>0.1027021544</v>
      </c>
      <c r="L1416" s="165">
        <f>IFERROR(__xludf.DUMMYFUNCTION("""COMPUTED_VALUE"""),-0.843045880643095)</f>
        <v>-0.8430458806</v>
      </c>
      <c r="M1416" s="166">
        <f t="shared" si="2"/>
        <v>0.7275508308</v>
      </c>
      <c r="N1416" s="167">
        <f t="shared" si="3"/>
        <v>12.23883041</v>
      </c>
      <c r="O1416" s="163">
        <f t="shared" ref="O1416:Q1416" si="1420">rank(I1416,I:I)</f>
        <v>3528</v>
      </c>
      <c r="P1416" s="163">
        <f t="shared" si="1420"/>
        <v>2203</v>
      </c>
      <c r="Q1416" s="163">
        <f t="shared" si="1420"/>
        <v>1066</v>
      </c>
      <c r="R1416" s="163">
        <f>IFERROR(__xludf.DUMMYFUNCTION("RANK(M1416,filter(M:M,C:C=C1416))"),251.0)</f>
        <v>251</v>
      </c>
      <c r="S1416" s="161" t="b">
        <f t="shared" si="5"/>
        <v>0</v>
      </c>
      <c r="T1416" s="161" t="b">
        <f t="array" ref="T1416">index('Query Tool'!B:B,match(H1416,'Query Tool'!C:C,0))</f>
        <v>1</v>
      </c>
      <c r="U1416" s="161" t="b">
        <f t="array" ref="U1416">index('Query Tool'!B:B,match(C1416,'Query Tool'!C:C,0))</f>
        <v>0</v>
      </c>
      <c r="V1416" s="161" t="b">
        <f>F1416&gt;='Query Tool'!C$32</f>
        <v>1</v>
      </c>
      <c r="W1416" s="161" t="b">
        <f t="array" ref="W1416">index(Dropdowns!B:B,match(I1416,Dropdowns!A:A,0))</f>
        <v>1</v>
      </c>
      <c r="X1416" s="161" t="b">
        <f t="array" ref="X1416">index('Query Tool'!B:B,match(D1416,'Query Tool'!C:C,0))</f>
        <v>1</v>
      </c>
      <c r="Y1416" s="161" t="str">
        <f t="shared" si="6"/>
        <v>payneca01,2015-16</v>
      </c>
      <c r="Z1416" s="168">
        <f t="array" ref="Z1416">iferror(index(I:I,match($A1416&amp;","&amp;index('Year Conversion'!$A:$A,match($C1416,'Year Conversion'!$B:$B,0)),$Y:$Y,0))-I1416,"")</f>
        <v>1</v>
      </c>
      <c r="AA1416" s="168">
        <f t="array" ref="AA1416">iferror(index(J:J,match($A1416&amp;","&amp;index('Year Conversion'!$A:$A,match($C1416,'Year Conversion'!$B:$B,0)),$Y:$Y,0))-J1416,"")</f>
        <v>-1.504053291</v>
      </c>
      <c r="AB1416" s="168">
        <f t="array" ref="AB1416">iferror(index(K:K,match($A1416&amp;","&amp;index('Year Conversion'!$A:$A,match($C1416,'Year Conversion'!$B:$B,0)),$Y:$Y,0))-K1416,"")</f>
        <v>-1.555485576</v>
      </c>
      <c r="AC1416" s="168" t="str">
        <f t="shared" si="7"/>
        <v>OKC,2015-16</v>
      </c>
    </row>
    <row r="1417">
      <c r="A1417" s="161" t="str">
        <f>IFERROR(__xludf.DUMMYFUNCTION("""COMPUTED_VALUE"""),"turnemy01")</f>
        <v>turnemy01</v>
      </c>
      <c r="B1417" s="161" t="str">
        <f>IFERROR(__xludf.DUMMYFUNCTION("""COMPUTED_VALUE"""),"Myles Turner")</f>
        <v>Myles Turner</v>
      </c>
      <c r="C1417" s="162" t="str">
        <f>IFERROR(__xludf.DUMMYFUNCTION("""COMPUTED_VALUE"""),"2015-16")</f>
        <v>2015-16</v>
      </c>
      <c r="D1417" s="163" t="str">
        <f>IFERROR(__xludf.DUMMYFUNCTION("""COMPUTED_VALUE"""),"IND")</f>
        <v>IND</v>
      </c>
      <c r="E1417" s="164" t="str">
        <f>IFERROR(__xludf.DUMMYFUNCTION("""COMPUTED_VALUE"""),"Post Scorer")</f>
        <v>Post Scorer</v>
      </c>
      <c r="F1417" s="164">
        <f>IFERROR(__xludf.DUMMYFUNCTION("""COMPUTED_VALUE"""),1367.185)</f>
        <v>1367.185</v>
      </c>
      <c r="G1417" s="163">
        <f>IFERROR(__xludf.DUMMYFUNCTION("""COMPUTED_VALUE"""),60.0)</f>
        <v>60</v>
      </c>
      <c r="H1417" s="163" t="str">
        <f>IFERROR(__xludf.DUMMYFUNCTION("""COMPUTED_VALUE"""),"C")</f>
        <v>C</v>
      </c>
      <c r="I1417" s="163">
        <f>IFERROR(__xludf.DUMMYFUNCTION("""COMPUTED_VALUE"""),19.0)</f>
        <v>19</v>
      </c>
      <c r="J1417" s="165">
        <f>IFERROR(__xludf.DUMMYFUNCTION("""COMPUTED_VALUE"""),-1.00111592572048)</f>
        <v>-1.001115926</v>
      </c>
      <c r="K1417" s="165">
        <f>IFERROR(__xludf.DUMMYFUNCTION("""COMPUTED_VALUE"""),-1.8905135250332)</f>
        <v>-1.890513525</v>
      </c>
      <c r="L1417" s="165">
        <f>IFERROR(__xludf.DUMMYFUNCTION("""COMPUTED_VALUE"""),0.889397599312711)</f>
        <v>0.8893975993</v>
      </c>
      <c r="M1417" s="166">
        <f t="shared" si="2"/>
        <v>1.186255362</v>
      </c>
      <c r="N1417" s="167">
        <f t="shared" si="3"/>
        <v>22.78641667</v>
      </c>
      <c r="O1417" s="163">
        <f t="shared" ref="O1417:Q1417" si="1421">rank(I1417,I:I)</f>
        <v>3945</v>
      </c>
      <c r="P1417" s="163">
        <f t="shared" si="1421"/>
        <v>2504</v>
      </c>
      <c r="Q1417" s="163">
        <f t="shared" si="1421"/>
        <v>3639</v>
      </c>
      <c r="R1417" s="163">
        <f>IFERROR(__xludf.DUMMYFUNCTION("RANK(M1417,filter(M:M,C:C=C1417))"),210.0)</f>
        <v>210</v>
      </c>
      <c r="S1417" s="161" t="b">
        <f t="shared" si="5"/>
        <v>0</v>
      </c>
      <c r="T1417" s="161" t="b">
        <f t="array" ref="T1417">index('Query Tool'!B:B,match(H1417,'Query Tool'!C:C,0))</f>
        <v>1</v>
      </c>
      <c r="U1417" s="161" t="b">
        <f t="array" ref="U1417">index('Query Tool'!B:B,match(C1417,'Query Tool'!C:C,0))</f>
        <v>0</v>
      </c>
      <c r="V1417" s="161" t="b">
        <f>F1417&gt;='Query Tool'!C$32</f>
        <v>1</v>
      </c>
      <c r="W1417" s="161" t="b">
        <f t="array" ref="W1417">index(Dropdowns!B:B,match(I1417,Dropdowns!A:A,0))</f>
        <v>1</v>
      </c>
      <c r="X1417" s="161" t="b">
        <f t="array" ref="X1417">index('Query Tool'!B:B,match(D1417,'Query Tool'!C:C,0))</f>
        <v>1</v>
      </c>
      <c r="Y1417" s="161" t="str">
        <f t="shared" si="6"/>
        <v>turnemy01,2015-16</v>
      </c>
      <c r="Z1417" s="168">
        <f t="array" ref="Z1417">iferror(index(I:I,match($A1417&amp;","&amp;index('Year Conversion'!$A:$A,match($C1417,'Year Conversion'!$B:$B,0)),$Y:$Y,0))-I1417,"")</f>
        <v>1</v>
      </c>
      <c r="AA1417" s="168">
        <f t="array" ref="AA1417">iferror(index(J:J,match($A1417&amp;","&amp;index('Year Conversion'!$A:$A,match($C1417,'Year Conversion'!$B:$B,0)),$Y:$Y,0))-J1417,"")</f>
        <v>2.693735788</v>
      </c>
      <c r="AB1417" s="168">
        <f t="array" ref="AB1417">iferror(index(K:K,match($A1417&amp;","&amp;index('Year Conversion'!$A:$A,match($C1417,'Year Conversion'!$B:$B,0)),$Y:$Y,0))-K1417,"")</f>
        <v>1.638385015</v>
      </c>
      <c r="AC1417" s="168" t="str">
        <f t="shared" si="7"/>
        <v>IND,2015-16</v>
      </c>
    </row>
    <row r="1418">
      <c r="A1418" s="161" t="str">
        <f>IFERROR(__xludf.DUMMYFUNCTION("""COMPUTED_VALUE"""),"lylestr01")</f>
        <v>lylestr01</v>
      </c>
      <c r="B1418" s="161" t="str">
        <f>IFERROR(__xludf.DUMMYFUNCTION("""COMPUTED_VALUE"""),"Trey Lyles")</f>
        <v>Trey Lyles</v>
      </c>
      <c r="C1418" s="162" t="str">
        <f>IFERROR(__xludf.DUMMYFUNCTION("""COMPUTED_VALUE"""),"2015-16")</f>
        <v>2015-16</v>
      </c>
      <c r="D1418" s="163" t="str">
        <f>IFERROR(__xludf.DUMMYFUNCTION("""COMPUTED_VALUE"""),"UTA")</f>
        <v>UTA</v>
      </c>
      <c r="E1418" s="164" t="str">
        <f>IFERROR(__xludf.DUMMYFUNCTION("""COMPUTED_VALUE"""),"Stretch Big")</f>
        <v>Stretch Big</v>
      </c>
      <c r="F1418" s="164">
        <f>IFERROR(__xludf.DUMMYFUNCTION("""COMPUTED_VALUE"""),1382.39333333333)</f>
        <v>1382.393333</v>
      </c>
      <c r="G1418" s="163">
        <f>IFERROR(__xludf.DUMMYFUNCTION("""COMPUTED_VALUE"""),80.0)</f>
        <v>80</v>
      </c>
      <c r="H1418" s="163" t="str">
        <f>IFERROR(__xludf.DUMMYFUNCTION("""COMPUTED_VALUE"""),"PF")</f>
        <v>PF</v>
      </c>
      <c r="I1418" s="163">
        <f>IFERROR(__xludf.DUMMYFUNCTION("""COMPUTED_VALUE"""),20.0)</f>
        <v>20</v>
      </c>
      <c r="J1418" s="165">
        <f>IFERROR(__xludf.DUMMYFUNCTION("""COMPUTED_VALUE"""),-2.17586222024217)</f>
        <v>-2.17586222</v>
      </c>
      <c r="K1418" s="165">
        <f>IFERROR(__xludf.DUMMYFUNCTION("""COMPUTED_VALUE"""),-1.57916693278938)</f>
        <v>-1.579166933</v>
      </c>
      <c r="L1418" s="165">
        <f>IFERROR(__xludf.DUMMYFUNCTION("""COMPUTED_VALUE"""),-0.596695287452794)</f>
        <v>-0.5966952875</v>
      </c>
      <c r="M1418" s="166">
        <f t="shared" si="2"/>
        <v>0.1165289846</v>
      </c>
      <c r="N1418" s="167">
        <f t="shared" si="3"/>
        <v>17.27991667</v>
      </c>
      <c r="O1418" s="163">
        <f t="shared" ref="O1418:Q1418" si="1422">rank(I1418,I:I)</f>
        <v>3770</v>
      </c>
      <c r="P1418" s="163">
        <f t="shared" si="1422"/>
        <v>3597</v>
      </c>
      <c r="Q1418" s="163">
        <f t="shared" si="1422"/>
        <v>3432</v>
      </c>
      <c r="R1418" s="163">
        <f>IFERROR(__xludf.DUMMYFUNCTION("RANK(M1418,filter(M:M,C:C=C1418))"),365.0)</f>
        <v>365</v>
      </c>
      <c r="S1418" s="161" t="b">
        <f t="shared" si="5"/>
        <v>0</v>
      </c>
      <c r="T1418" s="161" t="b">
        <f t="array" ref="T1418">index('Query Tool'!B:B,match(H1418,'Query Tool'!C:C,0))</f>
        <v>1</v>
      </c>
      <c r="U1418" s="161" t="b">
        <f t="array" ref="U1418">index('Query Tool'!B:B,match(C1418,'Query Tool'!C:C,0))</f>
        <v>0</v>
      </c>
      <c r="V1418" s="161" t="b">
        <f>F1418&gt;='Query Tool'!C$32</f>
        <v>1</v>
      </c>
      <c r="W1418" s="161" t="b">
        <f t="array" ref="W1418">index(Dropdowns!B:B,match(I1418,Dropdowns!A:A,0))</f>
        <v>1</v>
      </c>
      <c r="X1418" s="161" t="b">
        <f t="array" ref="X1418">index('Query Tool'!B:B,match(D1418,'Query Tool'!C:C,0))</f>
        <v>1</v>
      </c>
      <c r="Y1418" s="161" t="str">
        <f t="shared" si="6"/>
        <v>lylestr01,2015-16</v>
      </c>
      <c r="Z1418" s="168">
        <f t="array" ref="Z1418">iferror(index(I:I,match($A1418&amp;","&amp;index('Year Conversion'!$A:$A,match($C1418,'Year Conversion'!$B:$B,0)),$Y:$Y,0))-I1418,"")</f>
        <v>1</v>
      </c>
      <c r="AA1418" s="168">
        <f t="array" ref="AA1418">iferror(index(J:J,match($A1418&amp;","&amp;index('Year Conversion'!$A:$A,match($C1418,'Year Conversion'!$B:$B,0)),$Y:$Y,0))-J1418,"")</f>
        <v>1.467025634</v>
      </c>
      <c r="AB1418" s="168">
        <f t="array" ref="AB1418">iferror(index(K:K,match($A1418&amp;","&amp;index('Year Conversion'!$A:$A,match($C1418,'Year Conversion'!$B:$B,0)),$Y:$Y,0))-K1418,"")</f>
        <v>0.7319485327</v>
      </c>
      <c r="AC1418" s="168" t="str">
        <f t="shared" si="7"/>
        <v>UTA,2015-16</v>
      </c>
    </row>
    <row r="1419">
      <c r="A1419" s="161" t="str">
        <f>IFERROR(__xludf.DUMMYFUNCTION("""COMPUTED_VALUE"""),"johnsst04")</f>
        <v>johnsst04</v>
      </c>
      <c r="B1419" s="161" t="str">
        <f>IFERROR(__xludf.DUMMYFUNCTION("""COMPUTED_VALUE"""),"Stanley Johnson")</f>
        <v>Stanley Johnson</v>
      </c>
      <c r="C1419" s="162" t="str">
        <f>IFERROR(__xludf.DUMMYFUNCTION("""COMPUTED_VALUE"""),"2015-16")</f>
        <v>2015-16</v>
      </c>
      <c r="D1419" s="163" t="str">
        <f>IFERROR(__xludf.DUMMYFUNCTION("""COMPUTED_VALUE"""),"DET")</f>
        <v>DET</v>
      </c>
      <c r="E1419" s="164" t="str">
        <f>IFERROR(__xludf.DUMMYFUNCTION("""COMPUTED_VALUE"""),"Secondary Ball Handler")</f>
        <v>Secondary Ball Handler</v>
      </c>
      <c r="F1419" s="164">
        <f>IFERROR(__xludf.DUMMYFUNCTION("""COMPUTED_VALUE"""),1687.07166666667)</f>
        <v>1687.071667</v>
      </c>
      <c r="G1419" s="163">
        <f>IFERROR(__xludf.DUMMYFUNCTION("""COMPUTED_VALUE"""),73.0)</f>
        <v>73</v>
      </c>
      <c r="H1419" s="163" t="str">
        <f>IFERROR(__xludf.DUMMYFUNCTION("""COMPUTED_VALUE"""),"SF")</f>
        <v>SF</v>
      </c>
      <c r="I1419" s="163">
        <f>IFERROR(__xludf.DUMMYFUNCTION("""COMPUTED_VALUE"""),19.0)</f>
        <v>19</v>
      </c>
      <c r="J1419" s="165">
        <f>IFERROR(__xludf.DUMMYFUNCTION("""COMPUTED_VALUE"""),-1.09641236146705)</f>
        <v>-1.096412361</v>
      </c>
      <c r="K1419" s="165">
        <f>IFERROR(__xludf.DUMMYFUNCTION("""COMPUTED_VALUE"""),-1.38681500880645)</f>
        <v>-1.386815009</v>
      </c>
      <c r="L1419" s="165">
        <f>IFERROR(__xludf.DUMMYFUNCTION("""COMPUTED_VALUE"""),0.290402647339398)</f>
        <v>0.2904026473</v>
      </c>
      <c r="M1419" s="166">
        <f t="shared" si="2"/>
        <v>1.355913963</v>
      </c>
      <c r="N1419" s="167">
        <f t="shared" si="3"/>
        <v>23.11057078</v>
      </c>
      <c r="O1419" s="163">
        <f t="shared" ref="O1419:Q1419" si="1423">rank(I1419,I:I)</f>
        <v>3945</v>
      </c>
      <c r="P1419" s="163">
        <f t="shared" si="1423"/>
        <v>2608</v>
      </c>
      <c r="Q1419" s="163">
        <f t="shared" si="1423"/>
        <v>3236</v>
      </c>
      <c r="R1419" s="163">
        <f>IFERROR(__xludf.DUMMYFUNCTION("RANK(M1419,filter(M:M,C:C=C1419))"),198.0)</f>
        <v>198</v>
      </c>
      <c r="S1419" s="161" t="b">
        <f t="shared" si="5"/>
        <v>0</v>
      </c>
      <c r="T1419" s="161" t="b">
        <f t="array" ref="T1419">index('Query Tool'!B:B,match(H1419,'Query Tool'!C:C,0))</f>
        <v>1</v>
      </c>
      <c r="U1419" s="161" t="b">
        <f t="array" ref="U1419">index('Query Tool'!B:B,match(C1419,'Query Tool'!C:C,0))</f>
        <v>0</v>
      </c>
      <c r="V1419" s="161" t="b">
        <f>F1419&gt;='Query Tool'!C$32</f>
        <v>1</v>
      </c>
      <c r="W1419" s="161" t="b">
        <f t="array" ref="W1419">index(Dropdowns!B:B,match(I1419,Dropdowns!A:A,0))</f>
        <v>1</v>
      </c>
      <c r="X1419" s="161" t="b">
        <f t="array" ref="X1419">index('Query Tool'!B:B,match(D1419,'Query Tool'!C:C,0))</f>
        <v>1</v>
      </c>
      <c r="Y1419" s="161" t="str">
        <f t="shared" si="6"/>
        <v>johnsst04,2015-16</v>
      </c>
      <c r="Z1419" s="168">
        <f t="array" ref="Z1419">iferror(index(I:I,match($A1419&amp;","&amp;index('Year Conversion'!$A:$A,match($C1419,'Year Conversion'!$B:$B,0)),$Y:$Y,0))-I1419,"")</f>
        <v>1</v>
      </c>
      <c r="AA1419" s="168">
        <f t="array" ref="AA1419">iferror(index(J:J,match($A1419&amp;","&amp;index('Year Conversion'!$A:$A,match($C1419,'Year Conversion'!$B:$B,0)),$Y:$Y,0))-J1419,"")</f>
        <v>0.6593594013</v>
      </c>
      <c r="AB1419" s="168">
        <f t="array" ref="AB1419">iferror(index(K:K,match($A1419&amp;","&amp;index('Year Conversion'!$A:$A,match($C1419,'Year Conversion'!$B:$B,0)),$Y:$Y,0))-K1419,"")</f>
        <v>0.05312627545</v>
      </c>
      <c r="AC1419" s="168" t="str">
        <f t="shared" si="7"/>
        <v>DET,2015-16</v>
      </c>
    </row>
    <row r="1420">
      <c r="A1420" s="161" t="str">
        <f>IFERROR(__xludf.DUMMYFUNCTION("""COMPUTED_VALUE"""),"grantje02")</f>
        <v>grantje02</v>
      </c>
      <c r="B1420" s="161" t="str">
        <f>IFERROR(__xludf.DUMMYFUNCTION("""COMPUTED_VALUE"""),"Jerian Grant")</f>
        <v>Jerian Grant</v>
      </c>
      <c r="C1420" s="162" t="str">
        <f>IFERROR(__xludf.DUMMYFUNCTION("""COMPUTED_VALUE"""),"2015-16")</f>
        <v>2015-16</v>
      </c>
      <c r="D1420" s="163" t="str">
        <f>IFERROR(__xludf.DUMMYFUNCTION("""COMPUTED_VALUE"""),"NYK")</f>
        <v>NYK</v>
      </c>
      <c r="E1420" s="164" t="str">
        <f>IFERROR(__xludf.DUMMYFUNCTION("""COMPUTED_VALUE"""),"Slasher")</f>
        <v>Slasher</v>
      </c>
      <c r="F1420" s="164">
        <f>IFERROR(__xludf.DUMMYFUNCTION("""COMPUTED_VALUE"""),1264.77333333333)</f>
        <v>1264.773333</v>
      </c>
      <c r="G1420" s="163">
        <f>IFERROR(__xludf.DUMMYFUNCTION("""COMPUTED_VALUE"""),76.0)</f>
        <v>76</v>
      </c>
      <c r="H1420" s="163" t="str">
        <f>IFERROR(__xludf.DUMMYFUNCTION("""COMPUTED_VALUE"""),"PG")</f>
        <v>PG</v>
      </c>
      <c r="I1420" s="163">
        <f>IFERROR(__xludf.DUMMYFUNCTION("""COMPUTED_VALUE"""),23.0)</f>
        <v>23</v>
      </c>
      <c r="J1420" s="165">
        <f>IFERROR(__xludf.DUMMYFUNCTION("""COMPUTED_VALUE"""),-1.57201777912158)</f>
        <v>-1.572017779</v>
      </c>
      <c r="K1420" s="165">
        <f>IFERROR(__xludf.DUMMYFUNCTION("""COMPUTED_VALUE"""),-1.13319929206849)</f>
        <v>-1.133199292</v>
      </c>
      <c r="L1420" s="165">
        <f>IFERROR(__xludf.DUMMYFUNCTION("""COMPUTED_VALUE"""),-0.438818487053088)</f>
        <v>-0.4388184871</v>
      </c>
      <c r="M1420" s="166">
        <f t="shared" si="2"/>
        <v>0.6139865146</v>
      </c>
      <c r="N1420" s="167">
        <f t="shared" si="3"/>
        <v>16.64175439</v>
      </c>
      <c r="O1420" s="163">
        <f t="shared" ref="O1420:Q1420" si="1424">rank(I1420,I:I)</f>
        <v>2765</v>
      </c>
      <c r="P1420" s="163">
        <f t="shared" si="1424"/>
        <v>3118</v>
      </c>
      <c r="Q1420" s="163">
        <f t="shared" si="1424"/>
        <v>2966</v>
      </c>
      <c r="R1420" s="163">
        <f>IFERROR(__xludf.DUMMYFUNCTION("RANK(M1420,filter(M:M,C:C=C1420))"),269.0)</f>
        <v>269</v>
      </c>
      <c r="S1420" s="161" t="b">
        <f t="shared" si="5"/>
        <v>0</v>
      </c>
      <c r="T1420" s="161" t="b">
        <f t="array" ref="T1420">index('Query Tool'!B:B,match(H1420,'Query Tool'!C:C,0))</f>
        <v>1</v>
      </c>
      <c r="U1420" s="161" t="b">
        <f t="array" ref="U1420">index('Query Tool'!B:B,match(C1420,'Query Tool'!C:C,0))</f>
        <v>0</v>
      </c>
      <c r="V1420" s="161" t="b">
        <f>F1420&gt;='Query Tool'!C$32</f>
        <v>1</v>
      </c>
      <c r="W1420" s="161" t="b">
        <f t="array" ref="W1420">index(Dropdowns!B:B,match(I1420,Dropdowns!A:A,0))</f>
        <v>1</v>
      </c>
      <c r="X1420" s="161" t="b">
        <f t="array" ref="X1420">index('Query Tool'!B:B,match(D1420,'Query Tool'!C:C,0))</f>
        <v>1</v>
      </c>
      <c r="Y1420" s="161" t="str">
        <f t="shared" si="6"/>
        <v>grantje02,2015-16</v>
      </c>
      <c r="Z1420" s="168">
        <f t="array" ref="Z1420">iferror(index(I:I,match($A1420&amp;","&amp;index('Year Conversion'!$A:$A,match($C1420,'Year Conversion'!$B:$B,0)),$Y:$Y,0))-I1420,"")</f>
        <v>1</v>
      </c>
      <c r="AA1420" s="168">
        <f t="array" ref="AA1420">iferror(index(J:J,match($A1420&amp;","&amp;index('Year Conversion'!$A:$A,match($C1420,'Year Conversion'!$B:$B,0)),$Y:$Y,0))-J1420,"")</f>
        <v>1.110607981</v>
      </c>
      <c r="AB1420" s="168">
        <f t="array" ref="AB1420">iferror(index(K:K,match($A1420&amp;","&amp;index('Year Conversion'!$A:$A,match($C1420,'Year Conversion'!$B:$B,0)),$Y:$Y,0))-K1420,"")</f>
        <v>0.6382417985</v>
      </c>
      <c r="AC1420" s="168" t="str">
        <f t="shared" si="7"/>
        <v>NYK,2015-16</v>
      </c>
    </row>
    <row r="1421">
      <c r="A1421" s="161" t="str">
        <f>IFERROR(__xludf.DUMMYFUNCTION("""COMPUTED_VALUE"""),"portibo01")</f>
        <v>portibo01</v>
      </c>
      <c r="B1421" s="161" t="str">
        <f>IFERROR(__xludf.DUMMYFUNCTION("""COMPUTED_VALUE"""),"Bobby Portis")</f>
        <v>Bobby Portis</v>
      </c>
      <c r="C1421" s="162" t="str">
        <f>IFERROR(__xludf.DUMMYFUNCTION("""COMPUTED_VALUE"""),"2015-16")</f>
        <v>2015-16</v>
      </c>
      <c r="D1421" s="163" t="str">
        <f>IFERROR(__xludf.DUMMYFUNCTION("""COMPUTED_VALUE"""),"CHI")</f>
        <v>CHI</v>
      </c>
      <c r="E1421" s="164" t="str">
        <f>IFERROR(__xludf.DUMMYFUNCTION("""COMPUTED_VALUE"""),"Post Scorer")</f>
        <v>Post Scorer</v>
      </c>
      <c r="F1421" s="164">
        <f>IFERROR(__xludf.DUMMYFUNCTION("""COMPUTED_VALUE"""),1102.08)</f>
        <v>1102.08</v>
      </c>
      <c r="G1421" s="163">
        <f>IFERROR(__xludf.DUMMYFUNCTION("""COMPUTED_VALUE"""),62.0)</f>
        <v>62</v>
      </c>
      <c r="H1421" s="163" t="str">
        <f>IFERROR(__xludf.DUMMYFUNCTION("""COMPUTED_VALUE"""),"PF")</f>
        <v>PF</v>
      </c>
      <c r="I1421" s="163">
        <f>IFERROR(__xludf.DUMMYFUNCTION("""COMPUTED_VALUE"""),20.0)</f>
        <v>20</v>
      </c>
      <c r="J1421" s="165">
        <f>IFERROR(__xludf.DUMMYFUNCTION("""COMPUTED_VALUE"""),-1.92319236107234)</f>
        <v>-1.923192361</v>
      </c>
      <c r="K1421" s="165">
        <f>IFERROR(__xludf.DUMMYFUNCTION("""COMPUTED_VALUE"""),-0.659422836133394)</f>
        <v>-0.6594228361</v>
      </c>
      <c r="L1421" s="165">
        <f>IFERROR(__xludf.DUMMYFUNCTION("""COMPUTED_VALUE"""),-1.26376952493895)</f>
        <v>-1.263769525</v>
      </c>
      <c r="M1421" s="166">
        <f t="shared" si="2"/>
        <v>0.2773839488</v>
      </c>
      <c r="N1421" s="167">
        <f t="shared" si="3"/>
        <v>17.77548387</v>
      </c>
      <c r="O1421" s="163">
        <f t="shared" ref="O1421:Q1421" si="1425">rank(I1421,I:I)</f>
        <v>3770</v>
      </c>
      <c r="P1421" s="163">
        <f t="shared" si="1425"/>
        <v>3429</v>
      </c>
      <c r="Q1421" s="163">
        <f t="shared" si="1425"/>
        <v>2347</v>
      </c>
      <c r="R1421" s="163">
        <f>IFERROR(__xludf.DUMMYFUNCTION("RANK(M1421,filter(M:M,C:C=C1421))"),321.0)</f>
        <v>321</v>
      </c>
      <c r="S1421" s="161" t="b">
        <f t="shared" si="5"/>
        <v>0</v>
      </c>
      <c r="T1421" s="161" t="b">
        <f t="array" ref="T1421">index('Query Tool'!B:B,match(H1421,'Query Tool'!C:C,0))</f>
        <v>1</v>
      </c>
      <c r="U1421" s="161" t="b">
        <f t="array" ref="U1421">index('Query Tool'!B:B,match(C1421,'Query Tool'!C:C,0))</f>
        <v>0</v>
      </c>
      <c r="V1421" s="161" t="b">
        <f>F1421&gt;='Query Tool'!C$32</f>
        <v>1</v>
      </c>
      <c r="W1421" s="161" t="b">
        <f t="array" ref="W1421">index(Dropdowns!B:B,match(I1421,Dropdowns!A:A,0))</f>
        <v>1</v>
      </c>
      <c r="X1421" s="161" t="b">
        <f t="array" ref="X1421">index('Query Tool'!B:B,match(D1421,'Query Tool'!C:C,0))</f>
        <v>1</v>
      </c>
      <c r="Y1421" s="161" t="str">
        <f t="shared" si="6"/>
        <v>portibo01,2015-16</v>
      </c>
      <c r="Z1421" s="168">
        <f t="array" ref="Z1421">iferror(index(I:I,match($A1421&amp;","&amp;index('Year Conversion'!$A:$A,match($C1421,'Year Conversion'!$B:$B,0)),$Y:$Y,0))-I1421,"")</f>
        <v>1</v>
      </c>
      <c r="AA1421" s="168">
        <f t="array" ref="AA1421">iferror(index(J:J,match($A1421&amp;","&amp;index('Year Conversion'!$A:$A,match($C1421,'Year Conversion'!$B:$B,0)),$Y:$Y,0))-J1421,"")</f>
        <v>0.06908121916</v>
      </c>
      <c r="AB1421" s="168">
        <f t="array" ref="AB1421">iferror(index(K:K,match($A1421&amp;","&amp;index('Year Conversion'!$A:$A,match($C1421,'Year Conversion'!$B:$B,0)),$Y:$Y,0))-K1421,"")</f>
        <v>-0.7024649358</v>
      </c>
      <c r="AC1421" s="168" t="str">
        <f t="shared" si="7"/>
        <v>CHI,2015-16</v>
      </c>
    </row>
    <row r="1422">
      <c r="A1422" s="161" t="str">
        <f>IFERROR(__xludf.DUMMYFUNCTION("""COMPUTED_VALUE"""),"looneke01")</f>
        <v>looneke01</v>
      </c>
      <c r="B1422" s="161" t="str">
        <f>IFERROR(__xludf.DUMMYFUNCTION("""COMPUTED_VALUE"""),"Kevon Looney")</f>
        <v>Kevon Looney</v>
      </c>
      <c r="C1422" s="162" t="str">
        <f>IFERROR(__xludf.DUMMYFUNCTION("""COMPUTED_VALUE"""),"2015-16")</f>
        <v>2015-16</v>
      </c>
      <c r="D1422" s="163" t="str">
        <f>IFERROR(__xludf.DUMMYFUNCTION("""COMPUTED_VALUE"""),"GSW")</f>
        <v>GSW</v>
      </c>
      <c r="E1422" s="164" t="str">
        <f>IFERROR(__xludf.DUMMYFUNCTION("""COMPUTED_VALUE"""),"Stretch Big")</f>
        <v>Stretch Big</v>
      </c>
      <c r="F1422" s="164">
        <f>IFERROR(__xludf.DUMMYFUNCTION("""COMPUTED_VALUE"""),20.5983333333333)</f>
        <v>20.59833333</v>
      </c>
      <c r="G1422" s="163">
        <f>IFERROR(__xludf.DUMMYFUNCTION("""COMPUTED_VALUE"""),5.0)</f>
        <v>5</v>
      </c>
      <c r="H1422" s="163" t="str">
        <f>IFERROR(__xludf.DUMMYFUNCTION("""COMPUTED_VALUE"""),"PF")</f>
        <v>PF</v>
      </c>
      <c r="I1422" s="163">
        <f>IFERROR(__xludf.DUMMYFUNCTION("""COMPUTED_VALUE"""),19.0)</f>
        <v>19</v>
      </c>
      <c r="J1422" s="165">
        <f>IFERROR(__xludf.DUMMYFUNCTION("""COMPUTED_VALUE"""),-1.48929419532075)</f>
        <v>-1.489294195</v>
      </c>
      <c r="K1422" s="165">
        <f>IFERROR(__xludf.DUMMYFUNCTION("""COMPUTED_VALUE"""),-0.342462153911733)</f>
        <v>-0.3424621539</v>
      </c>
      <c r="L1422" s="165">
        <f>IFERROR(__xludf.DUMMYFUNCTION("""COMPUTED_VALUE"""),-1.14683204140902)</f>
        <v>-1.146832041</v>
      </c>
      <c r="M1422" s="166">
        <f t="shared" si="2"/>
        <v>0.01113714899</v>
      </c>
      <c r="N1422" s="167">
        <f t="shared" si="3"/>
        <v>4.119666667</v>
      </c>
      <c r="O1422" s="163">
        <f t="shared" ref="O1422:Q1422" si="1426">rank(I1422,I:I)</f>
        <v>3945</v>
      </c>
      <c r="P1422" s="163">
        <f t="shared" si="1426"/>
        <v>3044</v>
      </c>
      <c r="Q1422" s="163">
        <f t="shared" si="1426"/>
        <v>1835</v>
      </c>
      <c r="R1422" s="163">
        <f>IFERROR(__xludf.DUMMYFUNCTION("RANK(M1422,filter(M:M,C:C=C1422))"),421.0)</f>
        <v>421</v>
      </c>
      <c r="S1422" s="161" t="b">
        <f t="shared" si="5"/>
        <v>0</v>
      </c>
      <c r="T1422" s="161" t="b">
        <f t="array" ref="T1422">index('Query Tool'!B:B,match(H1422,'Query Tool'!C:C,0))</f>
        <v>1</v>
      </c>
      <c r="U1422" s="161" t="b">
        <f t="array" ref="U1422">index('Query Tool'!B:B,match(C1422,'Query Tool'!C:C,0))</f>
        <v>0</v>
      </c>
      <c r="V1422" s="161" t="b">
        <f>F1422&gt;='Query Tool'!C$32</f>
        <v>0</v>
      </c>
      <c r="W1422" s="161" t="b">
        <f t="array" ref="W1422">index(Dropdowns!B:B,match(I1422,Dropdowns!A:A,0))</f>
        <v>1</v>
      </c>
      <c r="X1422" s="161" t="b">
        <f t="array" ref="X1422">index('Query Tool'!B:B,match(D1422,'Query Tool'!C:C,0))</f>
        <v>1</v>
      </c>
      <c r="Y1422" s="161" t="str">
        <f t="shared" si="6"/>
        <v>looneke01,2015-16</v>
      </c>
      <c r="Z1422" s="168">
        <f t="array" ref="Z1422">iferror(index(I:I,match($A1422&amp;","&amp;index('Year Conversion'!$A:$A,match($C1422,'Year Conversion'!$B:$B,0)),$Y:$Y,0))-I1422,"")</f>
        <v>1</v>
      </c>
      <c r="AA1422" s="168">
        <f t="array" ref="AA1422">iferror(index(J:J,match($A1422&amp;","&amp;index('Year Conversion'!$A:$A,match($C1422,'Year Conversion'!$B:$B,0)),$Y:$Y,0))-J1422,"")</f>
        <v>-0.1158767543</v>
      </c>
      <c r="AB1422" s="168">
        <f t="array" ref="AB1422">iferror(index(K:K,match($A1422&amp;","&amp;index('Year Conversion'!$A:$A,match($C1422,'Year Conversion'!$B:$B,0)),$Y:$Y,0))-K1422,"")</f>
        <v>-1.360948497</v>
      </c>
      <c r="AC1422" s="168" t="str">
        <f t="shared" si="7"/>
        <v>GSW,2015-16</v>
      </c>
    </row>
    <row r="1423">
      <c r="A1423" s="161" t="str">
        <f>IFERROR(__xludf.DUMMYFUNCTION("""COMPUTED_VALUE"""),"vaughra01")</f>
        <v>vaughra01</v>
      </c>
      <c r="B1423" s="161" t="str">
        <f>IFERROR(__xludf.DUMMYFUNCTION("""COMPUTED_VALUE"""),"Rashad Vaughn")</f>
        <v>Rashad Vaughn</v>
      </c>
      <c r="C1423" s="162" t="str">
        <f>IFERROR(__xludf.DUMMYFUNCTION("""COMPUTED_VALUE"""),"2015-16")</f>
        <v>2015-16</v>
      </c>
      <c r="D1423" s="163" t="str">
        <f>IFERROR(__xludf.DUMMYFUNCTION("""COMPUTED_VALUE"""),"MIL")</f>
        <v>MIL</v>
      </c>
      <c r="E1423" s="164" t="str">
        <f>IFERROR(__xludf.DUMMYFUNCTION("""COMPUTED_VALUE"""),"Movement Shooter")</f>
        <v>Movement Shooter</v>
      </c>
      <c r="F1423" s="164">
        <f>IFERROR(__xludf.DUMMYFUNCTION("""COMPUTED_VALUE"""),1000.69333333333)</f>
        <v>1000.693333</v>
      </c>
      <c r="G1423" s="163">
        <f>IFERROR(__xludf.DUMMYFUNCTION("""COMPUTED_VALUE"""),70.0)</f>
        <v>70</v>
      </c>
      <c r="H1423" s="163" t="str">
        <f>IFERROR(__xludf.DUMMYFUNCTION("""COMPUTED_VALUE"""),"SG")</f>
        <v>SG</v>
      </c>
      <c r="I1423" s="163">
        <f>IFERROR(__xludf.DUMMYFUNCTION("""COMPUTED_VALUE"""),19.0)</f>
        <v>19</v>
      </c>
      <c r="J1423" s="165">
        <f>IFERROR(__xludf.DUMMYFUNCTION("""COMPUTED_VALUE"""),-2.90437636261058)</f>
        <v>-2.904376363</v>
      </c>
      <c r="K1423" s="165">
        <f>IFERROR(__xludf.DUMMYFUNCTION("""COMPUTED_VALUE"""),-1.99480013151148)</f>
        <v>-1.994800132</v>
      </c>
      <c r="L1423" s="165">
        <f>IFERROR(__xludf.DUMMYFUNCTION("""COMPUTED_VALUE"""),-0.909576231099103)</f>
        <v>-0.9095762311</v>
      </c>
      <c r="M1423" s="166">
        <f t="shared" si="2"/>
        <v>-0.3940791046</v>
      </c>
      <c r="N1423" s="167">
        <f t="shared" si="3"/>
        <v>14.29561905</v>
      </c>
      <c r="O1423" s="163">
        <f t="shared" ref="O1423:Q1423" si="1427">rank(I1423,I:I)</f>
        <v>3945</v>
      </c>
      <c r="P1423" s="163">
        <f t="shared" si="1427"/>
        <v>3867</v>
      </c>
      <c r="Q1423" s="163">
        <f t="shared" si="1427"/>
        <v>3708</v>
      </c>
      <c r="R1423" s="163">
        <f>IFERROR(__xludf.DUMMYFUNCTION("RANK(M1423,filter(M:M,C:C=C1423))"),451.0)</f>
        <v>451</v>
      </c>
      <c r="S1423" s="161" t="b">
        <f t="shared" si="5"/>
        <v>0</v>
      </c>
      <c r="T1423" s="161" t="b">
        <f t="array" ref="T1423">index('Query Tool'!B:B,match(H1423,'Query Tool'!C:C,0))</f>
        <v>1</v>
      </c>
      <c r="U1423" s="161" t="b">
        <f t="array" ref="U1423">index('Query Tool'!B:B,match(C1423,'Query Tool'!C:C,0))</f>
        <v>0</v>
      </c>
      <c r="V1423" s="161" t="b">
        <f>F1423&gt;='Query Tool'!C$32</f>
        <v>1</v>
      </c>
      <c r="W1423" s="161" t="b">
        <f t="array" ref="W1423">index(Dropdowns!B:B,match(I1423,Dropdowns!A:A,0))</f>
        <v>1</v>
      </c>
      <c r="X1423" s="161" t="b">
        <f t="array" ref="X1423">index('Query Tool'!B:B,match(D1423,'Query Tool'!C:C,0))</f>
        <v>1</v>
      </c>
      <c r="Y1423" s="161" t="str">
        <f t="shared" si="6"/>
        <v>vaughra01,2015-16</v>
      </c>
      <c r="Z1423" s="168">
        <f t="array" ref="Z1423">iferror(index(I:I,match($A1423&amp;","&amp;index('Year Conversion'!$A:$A,match($C1423,'Year Conversion'!$B:$B,0)),$Y:$Y,0))-I1423,"")</f>
        <v>1</v>
      </c>
      <c r="AA1423" s="168">
        <f t="array" ref="AA1423">iferror(index(J:J,match($A1423&amp;","&amp;index('Year Conversion'!$A:$A,match($C1423,'Year Conversion'!$B:$B,0)),$Y:$Y,0))-J1423,"")</f>
        <v>0.3978957326</v>
      </c>
      <c r="AB1423" s="168">
        <f t="array" ref="AB1423">iferror(index(K:K,match($A1423&amp;","&amp;index('Year Conversion'!$A:$A,match($C1423,'Year Conversion'!$B:$B,0)),$Y:$Y,0))-K1423,"")</f>
        <v>0.1165637649</v>
      </c>
      <c r="AC1423" s="168" t="str">
        <f t="shared" si="7"/>
        <v>MIL,2015-16</v>
      </c>
    </row>
    <row r="1424">
      <c r="A1424" s="161" t="str">
        <f>IFERROR(__xludf.DUMMYFUNCTION("""COMPUTED_VALUE"""),"woodch01")</f>
        <v>woodch01</v>
      </c>
      <c r="B1424" s="161" t="str">
        <f>IFERROR(__xludf.DUMMYFUNCTION("""COMPUTED_VALUE"""),"Christian Wood")</f>
        <v>Christian Wood</v>
      </c>
      <c r="C1424" s="162" t="str">
        <f>IFERROR(__xludf.DUMMYFUNCTION("""COMPUTED_VALUE"""),"2015-16")</f>
        <v>2015-16</v>
      </c>
      <c r="D1424" s="163" t="str">
        <f>IFERROR(__xludf.DUMMYFUNCTION("""COMPUTED_VALUE"""),"PHI")</f>
        <v>PHI</v>
      </c>
      <c r="E1424" s="164" t="str">
        <f>IFERROR(__xludf.DUMMYFUNCTION("""COMPUTED_VALUE"""),"Roll + Cut Big")</f>
        <v>Roll + Cut Big</v>
      </c>
      <c r="F1424" s="164">
        <f>IFERROR(__xludf.DUMMYFUNCTION("""COMPUTED_VALUE"""),144.798333333333)</f>
        <v>144.7983333</v>
      </c>
      <c r="G1424" s="163">
        <f>IFERROR(__xludf.DUMMYFUNCTION("""COMPUTED_VALUE"""),17.0)</f>
        <v>17</v>
      </c>
      <c r="H1424" s="163" t="str">
        <f>IFERROR(__xludf.DUMMYFUNCTION("""COMPUTED_VALUE"""),"PF")</f>
        <v>PF</v>
      </c>
      <c r="I1424" s="163">
        <f>IFERROR(__xludf.DUMMYFUNCTION("""COMPUTED_VALUE"""),20.0)</f>
        <v>20</v>
      </c>
      <c r="J1424" s="165">
        <f>IFERROR(__xludf.DUMMYFUNCTION("""COMPUTED_VALUE"""),-0.0200448218786552)</f>
        <v>-0.02004482188</v>
      </c>
      <c r="K1424" s="165">
        <f>IFERROR(__xludf.DUMMYFUNCTION("""COMPUTED_VALUE"""),-0.238034448089863)</f>
        <v>-0.2380344481</v>
      </c>
      <c r="L1424" s="165">
        <f>IFERROR(__xludf.DUMMYFUNCTION("""COMPUTED_VALUE"""),0.217989626211207)</f>
        <v>0.2179896262</v>
      </c>
      <c r="M1424" s="166">
        <f t="shared" si="2"/>
        <v>0.2212739582</v>
      </c>
      <c r="N1424" s="167">
        <f t="shared" si="3"/>
        <v>8.51754902</v>
      </c>
      <c r="O1424" s="163">
        <f t="shared" ref="O1424:Q1424" si="1428">rank(I1424,I:I)</f>
        <v>3770</v>
      </c>
      <c r="P1424" s="163">
        <f t="shared" si="1428"/>
        <v>1304</v>
      </c>
      <c r="Q1424" s="163">
        <f t="shared" si="1428"/>
        <v>1641</v>
      </c>
      <c r="R1424" s="163">
        <f>IFERROR(__xludf.DUMMYFUNCTION("RANK(M1424,filter(M:M,C:C=C1424))"),340.0)</f>
        <v>340</v>
      </c>
      <c r="S1424" s="161" t="b">
        <f t="shared" si="5"/>
        <v>0</v>
      </c>
      <c r="T1424" s="161" t="b">
        <f t="array" ref="T1424">index('Query Tool'!B:B,match(H1424,'Query Tool'!C:C,0))</f>
        <v>1</v>
      </c>
      <c r="U1424" s="161" t="b">
        <f t="array" ref="U1424">index('Query Tool'!B:B,match(C1424,'Query Tool'!C:C,0))</f>
        <v>0</v>
      </c>
      <c r="V1424" s="161" t="b">
        <f>F1424&gt;='Query Tool'!C$32</f>
        <v>0</v>
      </c>
      <c r="W1424" s="161" t="b">
        <f t="array" ref="W1424">index(Dropdowns!B:B,match(I1424,Dropdowns!A:A,0))</f>
        <v>1</v>
      </c>
      <c r="X1424" s="161" t="b">
        <f t="array" ref="X1424">index('Query Tool'!B:B,match(D1424,'Query Tool'!C:C,0))</f>
        <v>1</v>
      </c>
      <c r="Y1424" s="161" t="str">
        <f t="shared" si="6"/>
        <v>woodch01,2015-16</v>
      </c>
      <c r="Z1424" s="168">
        <f t="array" ref="Z1424">iferror(index(I:I,match($A1424&amp;","&amp;index('Year Conversion'!$A:$A,match($C1424,'Year Conversion'!$B:$B,0)),$Y:$Y,0))-I1424,"")</f>
        <v>1</v>
      </c>
      <c r="AA1424" s="168">
        <f t="array" ref="AA1424">iferror(index(J:J,match($A1424&amp;","&amp;index('Year Conversion'!$A:$A,match($C1424,'Year Conversion'!$B:$B,0)),$Y:$Y,0))-J1424,"")</f>
        <v>-0.5394305896</v>
      </c>
      <c r="AB1424" s="168">
        <f t="array" ref="AB1424">iferror(index(K:K,match($A1424&amp;","&amp;index('Year Conversion'!$A:$A,match($C1424,'Year Conversion'!$B:$B,0)),$Y:$Y,0))-K1424,"")</f>
        <v>-0.4278226162</v>
      </c>
      <c r="AC1424" s="168" t="str">
        <f t="shared" si="7"/>
        <v>PHI,2015-16</v>
      </c>
    </row>
    <row r="1425">
      <c r="A1425" s="161" t="str">
        <f>IFERROR(__xludf.DUMMYFUNCTION("""COMPUTED_VALUE"""),"mickejo01")</f>
        <v>mickejo01</v>
      </c>
      <c r="B1425" s="161" t="str">
        <f>IFERROR(__xludf.DUMMYFUNCTION("""COMPUTED_VALUE"""),"Jordan Mickey")</f>
        <v>Jordan Mickey</v>
      </c>
      <c r="C1425" s="162" t="str">
        <f>IFERROR(__xludf.DUMMYFUNCTION("""COMPUTED_VALUE"""),"2015-16")</f>
        <v>2015-16</v>
      </c>
      <c r="D1425" s="163" t="str">
        <f>IFERROR(__xludf.DUMMYFUNCTION("""COMPUTED_VALUE"""),"BOS")</f>
        <v>BOS</v>
      </c>
      <c r="E1425" s="164" t="str">
        <f>IFERROR(__xludf.DUMMYFUNCTION("""COMPUTED_VALUE"""),"Roll + Cut Big")</f>
        <v>Roll + Cut Big</v>
      </c>
      <c r="F1425" s="164">
        <f>IFERROR(__xludf.DUMMYFUNCTION("""COMPUTED_VALUE"""),57.1783333333333)</f>
        <v>57.17833333</v>
      </c>
      <c r="G1425" s="163">
        <f>IFERROR(__xludf.DUMMYFUNCTION("""COMPUTED_VALUE"""),16.0)</f>
        <v>16</v>
      </c>
      <c r="H1425" s="163" t="str">
        <f>IFERROR(__xludf.DUMMYFUNCTION("""COMPUTED_VALUE"""),"PF")</f>
        <v>PF</v>
      </c>
      <c r="I1425" s="163">
        <f>IFERROR(__xludf.DUMMYFUNCTION("""COMPUTED_VALUE"""),21.0)</f>
        <v>21</v>
      </c>
      <c r="J1425" s="165">
        <f>IFERROR(__xludf.DUMMYFUNCTION("""COMPUTED_VALUE"""),-0.594478450607034)</f>
        <v>-0.5944784506</v>
      </c>
      <c r="K1425" s="165">
        <f>IFERROR(__xludf.DUMMYFUNCTION("""COMPUTED_VALUE"""),-0.511541305646591)</f>
        <v>-0.5115413056</v>
      </c>
      <c r="L1425" s="165">
        <f>IFERROR(__xludf.DUMMYFUNCTION("""COMPUTED_VALUE"""),-0.0829371449604424)</f>
        <v>-0.08293714496</v>
      </c>
      <c r="M1425" s="166">
        <f t="shared" si="2"/>
        <v>0.06524459516</v>
      </c>
      <c r="N1425" s="167">
        <f t="shared" si="3"/>
        <v>3.573645833</v>
      </c>
      <c r="O1425" s="163">
        <f t="shared" ref="O1425:Q1425" si="1429">rank(I1425,I:I)</f>
        <v>3528</v>
      </c>
      <c r="P1425" s="163">
        <f t="shared" si="1429"/>
        <v>1986</v>
      </c>
      <c r="Q1425" s="163">
        <f t="shared" si="1429"/>
        <v>2124</v>
      </c>
      <c r="R1425" s="163">
        <f>IFERROR(__xludf.DUMMYFUNCTION("RANK(M1425,filter(M:M,C:C=C1425))"),389.0)</f>
        <v>389</v>
      </c>
      <c r="S1425" s="161" t="b">
        <f t="shared" si="5"/>
        <v>0</v>
      </c>
      <c r="T1425" s="161" t="b">
        <f t="array" ref="T1425">index('Query Tool'!B:B,match(H1425,'Query Tool'!C:C,0))</f>
        <v>1</v>
      </c>
      <c r="U1425" s="161" t="b">
        <f t="array" ref="U1425">index('Query Tool'!B:B,match(C1425,'Query Tool'!C:C,0))</f>
        <v>0</v>
      </c>
      <c r="V1425" s="161" t="b">
        <f>F1425&gt;='Query Tool'!C$32</f>
        <v>0</v>
      </c>
      <c r="W1425" s="161" t="b">
        <f t="array" ref="W1425">index(Dropdowns!B:B,match(I1425,Dropdowns!A:A,0))</f>
        <v>1</v>
      </c>
      <c r="X1425" s="161" t="b">
        <f t="array" ref="X1425">index('Query Tool'!B:B,match(D1425,'Query Tool'!C:C,0))</f>
        <v>1</v>
      </c>
      <c r="Y1425" s="161" t="str">
        <f t="shared" si="6"/>
        <v>mickejo01,2015-16</v>
      </c>
      <c r="Z1425" s="168">
        <f t="array" ref="Z1425">iferror(index(I:I,match($A1425&amp;","&amp;index('Year Conversion'!$A:$A,match($C1425,'Year Conversion'!$B:$B,0)),$Y:$Y,0))-I1425,"")</f>
        <v>1</v>
      </c>
      <c r="AA1425" s="168">
        <f t="array" ref="AA1425">iferror(index(J:J,match($A1425&amp;","&amp;index('Year Conversion'!$A:$A,match($C1425,'Year Conversion'!$B:$B,0)),$Y:$Y,0))-J1425,"")</f>
        <v>-0.6837686126</v>
      </c>
      <c r="AB1425" s="168">
        <f t="array" ref="AB1425">iferror(index(K:K,match($A1425&amp;","&amp;index('Year Conversion'!$A:$A,match($C1425,'Year Conversion'!$B:$B,0)),$Y:$Y,0))-K1425,"")</f>
        <v>-0.6786471427</v>
      </c>
      <c r="AC1425" s="168" t="str">
        <f t="shared" si="7"/>
        <v>BOS,2015-16</v>
      </c>
    </row>
    <row r="1426">
      <c r="A1426" s="161" t="str">
        <f>IFERROR(__xludf.DUMMYFUNCTION("""COMPUTED_VALUE"""),"chrisra01")</f>
        <v>chrisra01</v>
      </c>
      <c r="B1426" s="161" t="str">
        <f>IFERROR(__xludf.DUMMYFUNCTION("""COMPUTED_VALUE"""),"Rakeem Christmas")</f>
        <v>Rakeem Christmas</v>
      </c>
      <c r="C1426" s="162" t="str">
        <f>IFERROR(__xludf.DUMMYFUNCTION("""COMPUTED_VALUE"""),"2015-16")</f>
        <v>2015-16</v>
      </c>
      <c r="D1426" s="163" t="str">
        <f>IFERROR(__xludf.DUMMYFUNCTION("""COMPUTED_VALUE"""),"IND")</f>
        <v>IND</v>
      </c>
      <c r="E1426" s="164" t="str">
        <f>IFERROR(__xludf.DUMMYFUNCTION("""COMPUTED_VALUE"""),"Roll + Cut Big")</f>
        <v>Roll + Cut Big</v>
      </c>
      <c r="F1426" s="164">
        <f>IFERROR(__xludf.DUMMYFUNCTION("""COMPUTED_VALUE"""),6.1)</f>
        <v>6.1</v>
      </c>
      <c r="G1426" s="163">
        <f>IFERROR(__xludf.DUMMYFUNCTION("""COMPUTED_VALUE"""),1.0)</f>
        <v>1</v>
      </c>
      <c r="H1426" s="163" t="str">
        <f>IFERROR(__xludf.DUMMYFUNCTION("""COMPUTED_VALUE"""),"PF")</f>
        <v>PF</v>
      </c>
      <c r="I1426" s="163">
        <f>IFERROR(__xludf.DUMMYFUNCTION("""COMPUTED_VALUE"""),24.0)</f>
        <v>24</v>
      </c>
      <c r="J1426" s="165">
        <f>IFERROR(__xludf.DUMMYFUNCTION("""COMPUTED_VALUE"""),-0.57882869678862)</f>
        <v>-0.5788286968</v>
      </c>
      <c r="K1426" s="165">
        <f>IFERROR(__xludf.DUMMYFUNCTION("""COMPUTED_VALUE"""),-0.0625164707483388)</f>
        <v>-0.06251647075</v>
      </c>
      <c r="L1426" s="165">
        <f>IFERROR(__xludf.DUMMYFUNCTION("""COMPUTED_VALUE"""),-0.516312226040281)</f>
        <v>-0.516312226</v>
      </c>
      <c r="M1426" s="166">
        <f t="shared" si="2"/>
        <v>0.007024807487</v>
      </c>
      <c r="N1426" s="167">
        <f t="shared" si="3"/>
        <v>6.1</v>
      </c>
      <c r="O1426" s="163">
        <f t="shared" ref="O1426:Q1426" si="1430">rank(I1426,I:I)</f>
        <v>2361</v>
      </c>
      <c r="P1426" s="163">
        <f t="shared" si="1430"/>
        <v>1962</v>
      </c>
      <c r="Q1426" s="163">
        <f t="shared" si="1430"/>
        <v>1292</v>
      </c>
      <c r="R1426" s="163">
        <f>IFERROR(__xludf.DUMMYFUNCTION("RANK(M1426,filter(M:M,C:C=C1426))"),425.0)</f>
        <v>425</v>
      </c>
      <c r="S1426" s="161" t="b">
        <f t="shared" si="5"/>
        <v>0</v>
      </c>
      <c r="T1426" s="161" t="b">
        <f t="array" ref="T1426">index('Query Tool'!B:B,match(H1426,'Query Tool'!C:C,0))</f>
        <v>1</v>
      </c>
      <c r="U1426" s="161" t="b">
        <f t="array" ref="U1426">index('Query Tool'!B:B,match(C1426,'Query Tool'!C:C,0))</f>
        <v>0</v>
      </c>
      <c r="V1426" s="161" t="b">
        <f>F1426&gt;='Query Tool'!C$32</f>
        <v>0</v>
      </c>
      <c r="W1426" s="161" t="b">
        <f t="array" ref="W1426">index(Dropdowns!B:B,match(I1426,Dropdowns!A:A,0))</f>
        <v>1</v>
      </c>
      <c r="X1426" s="161" t="b">
        <f t="array" ref="X1426">index('Query Tool'!B:B,match(D1426,'Query Tool'!C:C,0))</f>
        <v>1</v>
      </c>
      <c r="Y1426" s="161" t="str">
        <f t="shared" si="6"/>
        <v>chrisra01,2015-16</v>
      </c>
      <c r="Z1426" s="168">
        <f t="array" ref="Z1426">iferror(index(I:I,match($A1426&amp;","&amp;index('Year Conversion'!$A:$A,match($C1426,'Year Conversion'!$B:$B,0)),$Y:$Y,0))-I1426,"")</f>
        <v>1</v>
      </c>
      <c r="AA1426" s="168">
        <f t="array" ref="AA1426">iferror(index(J:J,match($A1426&amp;","&amp;index('Year Conversion'!$A:$A,match($C1426,'Year Conversion'!$B:$B,0)),$Y:$Y,0))-J1426,"")</f>
        <v>-1.186406918</v>
      </c>
      <c r="AB1426" s="168">
        <f t="array" ref="AB1426">iferror(index(K:K,match($A1426&amp;","&amp;index('Year Conversion'!$A:$A,match($C1426,'Year Conversion'!$B:$B,0)),$Y:$Y,0))-K1426,"")</f>
        <v>-1.292270162</v>
      </c>
      <c r="AC1426" s="168" t="str">
        <f t="shared" si="7"/>
        <v>IND,2015-16</v>
      </c>
    </row>
    <row r="1427">
      <c r="A1427" s="161" t="str">
        <f>IFERROR(__xludf.DUMMYFUNCTION("""COMPUTED_VALUE"""),"holliro01")</f>
        <v>holliro01</v>
      </c>
      <c r="B1427" s="161" t="str">
        <f>IFERROR(__xludf.DUMMYFUNCTION("""COMPUTED_VALUE"""),"Rondae Hollis-Jefferson")</f>
        <v>Rondae Hollis-Jefferson</v>
      </c>
      <c r="C1427" s="162" t="str">
        <f>IFERROR(__xludf.DUMMYFUNCTION("""COMPUTED_VALUE"""),"2015-16")</f>
        <v>2015-16</v>
      </c>
      <c r="D1427" s="163" t="str">
        <f>IFERROR(__xludf.DUMMYFUNCTION("""COMPUTED_VALUE"""),"BRK")</f>
        <v>BRK</v>
      </c>
      <c r="E1427" s="164" t="str">
        <f>IFERROR(__xludf.DUMMYFUNCTION("""COMPUTED_VALUE"""),"Athletic Finisher")</f>
        <v>Athletic Finisher</v>
      </c>
      <c r="F1427" s="164">
        <f>IFERROR(__xludf.DUMMYFUNCTION("""COMPUTED_VALUE"""),615.456666666667)</f>
        <v>615.4566667</v>
      </c>
      <c r="G1427" s="163">
        <f>IFERROR(__xludf.DUMMYFUNCTION("""COMPUTED_VALUE"""),29.0)</f>
        <v>29</v>
      </c>
      <c r="H1427" s="163" t="str">
        <f>IFERROR(__xludf.DUMMYFUNCTION("""COMPUTED_VALUE"""),"SF")</f>
        <v>SF</v>
      </c>
      <c r="I1427" s="163">
        <f>IFERROR(__xludf.DUMMYFUNCTION("""COMPUTED_VALUE"""),21.0)</f>
        <v>21</v>
      </c>
      <c r="J1427" s="165">
        <f>IFERROR(__xludf.DUMMYFUNCTION("""COMPUTED_VALUE"""),1.23263595283079)</f>
        <v>1.232635953</v>
      </c>
      <c r="K1427" s="165">
        <f>IFERROR(__xludf.DUMMYFUNCTION("""COMPUTED_VALUE"""),-1.2427748006512)</f>
        <v>-1.242774801</v>
      </c>
      <c r="L1427" s="165">
        <f>IFERROR(__xludf.DUMMYFUNCTION("""COMPUTED_VALUE"""),2.47541075348199)</f>
        <v>2.475410753</v>
      </c>
      <c r="M1427" s="166">
        <f t="shared" si="2"/>
        <v>1.459215526</v>
      </c>
      <c r="N1427" s="167">
        <f t="shared" si="3"/>
        <v>21.22264368</v>
      </c>
      <c r="O1427" s="163">
        <f t="shared" ref="O1427:Q1427" si="1431">rank(I1427,I:I)</f>
        <v>3528</v>
      </c>
      <c r="P1427" s="163">
        <f t="shared" si="1431"/>
        <v>561</v>
      </c>
      <c r="Q1427" s="163">
        <f t="shared" si="1431"/>
        <v>3077</v>
      </c>
      <c r="R1427" s="163">
        <f>IFERROR(__xludf.DUMMYFUNCTION("RANK(M1427,filter(M:M,C:C=C1427))"),188.0)</f>
        <v>188</v>
      </c>
      <c r="S1427" s="161" t="b">
        <f t="shared" si="5"/>
        <v>0</v>
      </c>
      <c r="T1427" s="161" t="b">
        <f t="array" ref="T1427">index('Query Tool'!B:B,match(H1427,'Query Tool'!C:C,0))</f>
        <v>1</v>
      </c>
      <c r="U1427" s="161" t="b">
        <f t="array" ref="U1427">index('Query Tool'!B:B,match(C1427,'Query Tool'!C:C,0))</f>
        <v>0</v>
      </c>
      <c r="V1427" s="161" t="b">
        <f>F1427&gt;='Query Tool'!C$32</f>
        <v>1</v>
      </c>
      <c r="W1427" s="161" t="b">
        <f t="array" ref="W1427">index(Dropdowns!B:B,match(I1427,Dropdowns!A:A,0))</f>
        <v>1</v>
      </c>
      <c r="X1427" s="161" t="b">
        <f t="array" ref="X1427">index('Query Tool'!B:B,match(D1427,'Query Tool'!C:C,0))</f>
        <v>1</v>
      </c>
      <c r="Y1427" s="161" t="str">
        <f t="shared" si="6"/>
        <v>holliro01,2015-16</v>
      </c>
      <c r="Z1427" s="168">
        <f t="array" ref="Z1427">iferror(index(I:I,match($A1427&amp;","&amp;index('Year Conversion'!$A:$A,match($C1427,'Year Conversion'!$B:$B,0)),$Y:$Y,0))-I1427,"")</f>
        <v>1</v>
      </c>
      <c r="AA1427" s="168">
        <f t="array" ref="AA1427">iferror(index(J:J,match($A1427&amp;","&amp;index('Year Conversion'!$A:$A,match($C1427,'Year Conversion'!$B:$B,0)),$Y:$Y,0))-J1427,"")</f>
        <v>-1.91978095</v>
      </c>
      <c r="AB1427" s="168">
        <f t="array" ref="AB1427">iferror(index(K:K,match($A1427&amp;","&amp;index('Year Conversion'!$A:$A,match($C1427,'Year Conversion'!$B:$B,0)),$Y:$Y,0))-K1427,"")</f>
        <v>-0.8429803681</v>
      </c>
      <c r="AC1427" s="168" t="str">
        <f t="shared" si="7"/>
        <v>BRK,2015-16</v>
      </c>
    </row>
    <row r="1428">
      <c r="A1428" s="161" t="str">
        <f>IFERROR(__xludf.DUMMYFUNCTION("""COMPUTED_VALUE"""),"roziete01")</f>
        <v>roziete01</v>
      </c>
      <c r="B1428" s="161" t="str">
        <f>IFERROR(__xludf.DUMMYFUNCTION("""COMPUTED_VALUE"""),"Terry Rozier")</f>
        <v>Terry Rozier</v>
      </c>
      <c r="C1428" s="162" t="str">
        <f>IFERROR(__xludf.DUMMYFUNCTION("""COMPUTED_VALUE"""),"2015-16")</f>
        <v>2015-16</v>
      </c>
      <c r="D1428" s="163" t="str">
        <f>IFERROR(__xludf.DUMMYFUNCTION("""COMPUTED_VALUE"""),"BOS")</f>
        <v>BOS</v>
      </c>
      <c r="E1428" s="164" t="str">
        <f>IFERROR(__xludf.DUMMYFUNCTION("""COMPUTED_VALUE"""),"Secondary Ball Handler")</f>
        <v>Secondary Ball Handler</v>
      </c>
      <c r="F1428" s="164">
        <f>IFERROR(__xludf.DUMMYFUNCTION("""COMPUTED_VALUE"""),311.325)</f>
        <v>311.325</v>
      </c>
      <c r="G1428" s="163">
        <f>IFERROR(__xludf.DUMMYFUNCTION("""COMPUTED_VALUE"""),39.0)</f>
        <v>39</v>
      </c>
      <c r="H1428" s="163" t="str">
        <f>IFERROR(__xludf.DUMMYFUNCTION("""COMPUTED_VALUE"""),"PG")</f>
        <v>PG</v>
      </c>
      <c r="I1428" s="163">
        <f>IFERROR(__xludf.DUMMYFUNCTION("""COMPUTED_VALUE"""),21.0)</f>
        <v>21</v>
      </c>
      <c r="J1428" s="165">
        <f>IFERROR(__xludf.DUMMYFUNCTION("""COMPUTED_VALUE"""),-2.99591933886717)</f>
        <v>-2.995919339</v>
      </c>
      <c r="K1428" s="165">
        <f>IFERROR(__xludf.DUMMYFUNCTION("""COMPUTED_VALUE"""),-1.7749684499238)</f>
        <v>-1.77496845</v>
      </c>
      <c r="L1428" s="165">
        <f>IFERROR(__xludf.DUMMYFUNCTION("""COMPUTED_VALUE"""),-1.22095088894337)</f>
        <v>-1.220950889</v>
      </c>
      <c r="M1428" s="166">
        <f t="shared" si="2"/>
        <v>-0.1411353201</v>
      </c>
      <c r="N1428" s="167">
        <f t="shared" si="3"/>
        <v>7.982692308</v>
      </c>
      <c r="O1428" s="163">
        <f t="shared" ref="O1428:Q1428" si="1432">rank(I1428,I:I)</f>
        <v>3528</v>
      </c>
      <c r="P1428" s="163">
        <f t="shared" si="1432"/>
        <v>3887</v>
      </c>
      <c r="Q1428" s="163">
        <f t="shared" si="1432"/>
        <v>3562</v>
      </c>
      <c r="R1428" s="163">
        <f>IFERROR(__xludf.DUMMYFUNCTION("RANK(M1428,filter(M:M,C:C=C1428))"),444.0)</f>
        <v>444</v>
      </c>
      <c r="S1428" s="161" t="b">
        <f t="shared" si="5"/>
        <v>0</v>
      </c>
      <c r="T1428" s="161" t="b">
        <f t="array" ref="T1428">index('Query Tool'!B:B,match(H1428,'Query Tool'!C:C,0))</f>
        <v>1</v>
      </c>
      <c r="U1428" s="161" t="b">
        <f t="array" ref="U1428">index('Query Tool'!B:B,match(C1428,'Query Tool'!C:C,0))</f>
        <v>0</v>
      </c>
      <c r="V1428" s="161" t="b">
        <f>F1428&gt;='Query Tool'!C$32</f>
        <v>0</v>
      </c>
      <c r="W1428" s="161" t="b">
        <f t="array" ref="W1428">index(Dropdowns!B:B,match(I1428,Dropdowns!A:A,0))</f>
        <v>1</v>
      </c>
      <c r="X1428" s="161" t="b">
        <f t="array" ref="X1428">index('Query Tool'!B:B,match(D1428,'Query Tool'!C:C,0))</f>
        <v>1</v>
      </c>
      <c r="Y1428" s="161" t="str">
        <f t="shared" si="6"/>
        <v>roziete01,2015-16</v>
      </c>
      <c r="Z1428" s="168">
        <f t="array" ref="Z1428">iferror(index(I:I,match($A1428&amp;","&amp;index('Year Conversion'!$A:$A,match($C1428,'Year Conversion'!$B:$B,0)),$Y:$Y,0))-I1428,"")</f>
        <v>1</v>
      </c>
      <c r="AA1428" s="168">
        <f t="array" ref="AA1428">iferror(index(J:J,match($A1428&amp;","&amp;index('Year Conversion'!$A:$A,match($C1428,'Year Conversion'!$B:$B,0)),$Y:$Y,0))-J1428,"")</f>
        <v>2.594675668</v>
      </c>
      <c r="AB1428" s="168">
        <f t="array" ref="AB1428">iferror(index(K:K,match($A1428&amp;","&amp;index('Year Conversion'!$A:$A,match($C1428,'Year Conversion'!$B:$B,0)),$Y:$Y,0))-K1428,"")</f>
        <v>1.158537152</v>
      </c>
      <c r="AC1428" s="168" t="str">
        <f t="shared" si="7"/>
        <v>BOS,2015-16</v>
      </c>
    </row>
    <row r="1429">
      <c r="A1429" s="161" t="str">
        <f>IFERROR(__xludf.DUMMYFUNCTION("""COMPUTED_VALUE"""),"powelno01")</f>
        <v>powelno01</v>
      </c>
      <c r="B1429" s="161" t="str">
        <f>IFERROR(__xludf.DUMMYFUNCTION("""COMPUTED_VALUE"""),"Norman Powell")</f>
        <v>Norman Powell</v>
      </c>
      <c r="C1429" s="162" t="str">
        <f>IFERROR(__xludf.DUMMYFUNCTION("""COMPUTED_VALUE"""),"2015-16")</f>
        <v>2015-16</v>
      </c>
      <c r="D1429" s="163" t="str">
        <f>IFERROR(__xludf.DUMMYFUNCTION("""COMPUTED_VALUE"""),"TOR")</f>
        <v>TOR</v>
      </c>
      <c r="E1429" s="164" t="str">
        <f>IFERROR(__xludf.DUMMYFUNCTION("""COMPUTED_VALUE"""),"Stationary Shooter")</f>
        <v>Stationary Shooter</v>
      </c>
      <c r="F1429" s="164">
        <f>IFERROR(__xludf.DUMMYFUNCTION("""COMPUTED_VALUE"""),725.226666666667)</f>
        <v>725.2266667</v>
      </c>
      <c r="G1429" s="163">
        <f>IFERROR(__xludf.DUMMYFUNCTION("""COMPUTED_VALUE"""),49.0)</f>
        <v>49</v>
      </c>
      <c r="H1429" s="163" t="str">
        <f>IFERROR(__xludf.DUMMYFUNCTION("""COMPUTED_VALUE"""),"SG")</f>
        <v>SG</v>
      </c>
      <c r="I1429" s="163">
        <f>IFERROR(__xludf.DUMMYFUNCTION("""COMPUTED_VALUE"""),22.0)</f>
        <v>22</v>
      </c>
      <c r="J1429" s="165">
        <f>IFERROR(__xludf.DUMMYFUNCTION("""COMPUTED_VALUE"""),-0.478248862546523)</f>
        <v>-0.4782488625</v>
      </c>
      <c r="K1429" s="165">
        <f>IFERROR(__xludf.DUMMYFUNCTION("""COMPUTED_VALUE"""),-0.511607071626918)</f>
        <v>-0.5116070716</v>
      </c>
      <c r="L1429" s="165">
        <f>IFERROR(__xludf.DUMMYFUNCTION("""COMPUTED_VALUE"""),0.0333582090803955)</f>
        <v>0.03335820908</v>
      </c>
      <c r="M1429" s="166">
        <f t="shared" si="2"/>
        <v>0.8842968418</v>
      </c>
      <c r="N1429" s="167">
        <f t="shared" si="3"/>
        <v>14.80054422</v>
      </c>
      <c r="O1429" s="163">
        <f t="shared" ref="O1429:Q1429" si="1433">rank(I1429,I:I)</f>
        <v>3178</v>
      </c>
      <c r="P1429" s="163">
        <f t="shared" si="1433"/>
        <v>1823</v>
      </c>
      <c r="Q1429" s="163">
        <f t="shared" si="1433"/>
        <v>2125</v>
      </c>
      <c r="R1429" s="163">
        <f>IFERROR(__xludf.DUMMYFUNCTION("RANK(M1429,filter(M:M,C:C=C1429))"),229.0)</f>
        <v>229</v>
      </c>
      <c r="S1429" s="161" t="b">
        <f t="shared" si="5"/>
        <v>0</v>
      </c>
      <c r="T1429" s="161" t="b">
        <f t="array" ref="T1429">index('Query Tool'!B:B,match(H1429,'Query Tool'!C:C,0))</f>
        <v>1</v>
      </c>
      <c r="U1429" s="161" t="b">
        <f t="array" ref="U1429">index('Query Tool'!B:B,match(C1429,'Query Tool'!C:C,0))</f>
        <v>0</v>
      </c>
      <c r="V1429" s="161" t="b">
        <f>F1429&gt;='Query Tool'!C$32</f>
        <v>1</v>
      </c>
      <c r="W1429" s="161" t="b">
        <f t="array" ref="W1429">index(Dropdowns!B:B,match(I1429,Dropdowns!A:A,0))</f>
        <v>1</v>
      </c>
      <c r="X1429" s="161" t="b">
        <f t="array" ref="X1429">index('Query Tool'!B:B,match(D1429,'Query Tool'!C:C,0))</f>
        <v>1</v>
      </c>
      <c r="Y1429" s="161" t="str">
        <f t="shared" si="6"/>
        <v>powelno01,2015-16</v>
      </c>
      <c r="Z1429" s="168">
        <f t="array" ref="Z1429">iferror(index(I:I,match($A1429&amp;","&amp;index('Year Conversion'!$A:$A,match($C1429,'Year Conversion'!$B:$B,0)),$Y:$Y,0))-I1429,"")</f>
        <v>1</v>
      </c>
      <c r="AA1429" s="168">
        <f t="array" ref="AA1429">iferror(index(J:J,match($A1429&amp;","&amp;index('Year Conversion'!$A:$A,match($C1429,'Year Conversion'!$B:$B,0)),$Y:$Y,0))-J1429,"")</f>
        <v>-0.3332097295</v>
      </c>
      <c r="AB1429" s="168">
        <f t="array" ref="AB1429">iferror(index(K:K,match($A1429&amp;","&amp;index('Year Conversion'!$A:$A,match($C1429,'Year Conversion'!$B:$B,0)),$Y:$Y,0))-K1429,"")</f>
        <v>0.7946682666</v>
      </c>
      <c r="AC1429" s="168" t="str">
        <f t="shared" si="7"/>
        <v>TOR,2015-16</v>
      </c>
    </row>
    <row r="1430">
      <c r="A1430" s="161" t="str">
        <f>IFERROR(__xludf.DUMMYFUNCTION("""COMPUTED_VALUE"""),"dawsobr01")</f>
        <v>dawsobr01</v>
      </c>
      <c r="B1430" s="161" t="str">
        <f>IFERROR(__xludf.DUMMYFUNCTION("""COMPUTED_VALUE"""),"Branden Dawson")</f>
        <v>Branden Dawson</v>
      </c>
      <c r="C1430" s="162" t="str">
        <f>IFERROR(__xludf.DUMMYFUNCTION("""COMPUTED_VALUE"""),"2015-16")</f>
        <v>2015-16</v>
      </c>
      <c r="D1430" s="163" t="str">
        <f>IFERROR(__xludf.DUMMYFUNCTION("""COMPUTED_VALUE"""),"LAC")</f>
        <v>LAC</v>
      </c>
      <c r="E1430" s="164" t="str">
        <f>IFERROR(__xludf.DUMMYFUNCTION("""COMPUTED_VALUE"""),"Post Scorer")</f>
        <v>Post Scorer</v>
      </c>
      <c r="F1430" s="164">
        <f>IFERROR(__xludf.DUMMYFUNCTION("""COMPUTED_VALUE"""),28.865)</f>
        <v>28.865</v>
      </c>
      <c r="G1430" s="163">
        <f>IFERROR(__xludf.DUMMYFUNCTION("""COMPUTED_VALUE"""),6.0)</f>
        <v>6</v>
      </c>
      <c r="H1430" s="163" t="str">
        <f>IFERROR(__xludf.DUMMYFUNCTION("""COMPUTED_VALUE"""),"PF")</f>
        <v>PF</v>
      </c>
      <c r="I1430" s="163">
        <f>IFERROR(__xludf.DUMMYFUNCTION("""COMPUTED_VALUE"""),22.0)</f>
        <v>22</v>
      </c>
      <c r="J1430" s="165">
        <f>IFERROR(__xludf.DUMMYFUNCTION("""COMPUTED_VALUE"""),-1.4777561193068)</f>
        <v>-1.477756119</v>
      </c>
      <c r="K1430" s="165">
        <f>IFERROR(__xludf.DUMMYFUNCTION("""COMPUTED_VALUE"""),-0.447771058049546)</f>
        <v>-0.447771058</v>
      </c>
      <c r="L1430" s="165">
        <f>IFERROR(__xludf.DUMMYFUNCTION("""COMPUTED_VALUE"""),-1.02998506125725)</f>
        <v>-1.029985061</v>
      </c>
      <c r="M1430" s="166">
        <f t="shared" si="2"/>
        <v>0.01582927684</v>
      </c>
      <c r="N1430" s="167">
        <f t="shared" si="3"/>
        <v>4.810833333</v>
      </c>
      <c r="O1430" s="163">
        <f t="shared" ref="O1430:Q1430" si="1434">rank(I1430,I:I)</f>
        <v>3178</v>
      </c>
      <c r="P1430" s="163">
        <f t="shared" si="1434"/>
        <v>3033</v>
      </c>
      <c r="Q1430" s="163">
        <f t="shared" si="1434"/>
        <v>2028</v>
      </c>
      <c r="R1430" s="163">
        <f>IFERROR(__xludf.DUMMYFUNCTION("RANK(M1430,filter(M:M,C:C=C1430))"),418.0)</f>
        <v>418</v>
      </c>
      <c r="S1430" s="161" t="b">
        <f t="shared" si="5"/>
        <v>0</v>
      </c>
      <c r="T1430" s="161" t="b">
        <f t="array" ref="T1430">index('Query Tool'!B:B,match(H1430,'Query Tool'!C:C,0))</f>
        <v>1</v>
      </c>
      <c r="U1430" s="161" t="b">
        <f t="array" ref="U1430">index('Query Tool'!B:B,match(C1430,'Query Tool'!C:C,0))</f>
        <v>0</v>
      </c>
      <c r="V1430" s="161" t="b">
        <f>F1430&gt;='Query Tool'!C$32</f>
        <v>0</v>
      </c>
      <c r="W1430" s="161" t="b">
        <f t="array" ref="W1430">index(Dropdowns!B:B,match(I1430,Dropdowns!A:A,0))</f>
        <v>1</v>
      </c>
      <c r="X1430" s="161" t="b">
        <f t="array" ref="X1430">index('Query Tool'!B:B,match(D1430,'Query Tool'!C:C,0))</f>
        <v>1</v>
      </c>
      <c r="Y1430" s="161" t="str">
        <f t="shared" si="6"/>
        <v>dawsobr01,2015-16</v>
      </c>
      <c r="Z1430" s="168" t="str">
        <f t="array" ref="Z1430">iferror(index(I:I,match($A1430&amp;","&amp;index('Year Conversion'!$A:$A,match($C1430,'Year Conversion'!$B:$B,0)),$Y:$Y,0))-I1430,"")</f>
        <v/>
      </c>
      <c r="AA1430" s="168" t="str">
        <f t="array" ref="AA1430">iferror(index(J:J,match($A1430&amp;","&amp;index('Year Conversion'!$A:$A,match($C1430,'Year Conversion'!$B:$B,0)),$Y:$Y,0))-J1430,"")</f>
        <v/>
      </c>
      <c r="AB1430" s="168" t="str">
        <f t="array" ref="AB1430">iferror(index(K:K,match($A1430&amp;","&amp;index('Year Conversion'!$A:$A,match($C1430,'Year Conversion'!$B:$B,0)),$Y:$Y,0))-K1430,"")</f>
        <v/>
      </c>
      <c r="AC1430" s="168" t="str">
        <f t="shared" si="7"/>
        <v>LAC,2015-16</v>
      </c>
    </row>
    <row r="1431">
      <c r="A1431" s="161" t="str">
        <f>IFERROR(__xludf.DUMMYFUNCTION("""COMPUTED_VALUE"""),"martija01")</f>
        <v>martija01</v>
      </c>
      <c r="B1431" s="161" t="str">
        <f>IFERROR(__xludf.DUMMYFUNCTION("""COMPUTED_VALUE"""),"Jarell Martin")</f>
        <v>Jarell Martin</v>
      </c>
      <c r="C1431" s="162" t="str">
        <f>IFERROR(__xludf.DUMMYFUNCTION("""COMPUTED_VALUE"""),"2015-16")</f>
        <v>2015-16</v>
      </c>
      <c r="D1431" s="163" t="str">
        <f>IFERROR(__xludf.DUMMYFUNCTION("""COMPUTED_VALUE"""),"MEM")</f>
        <v>MEM</v>
      </c>
      <c r="E1431" s="164" t="str">
        <f>IFERROR(__xludf.DUMMYFUNCTION("""COMPUTED_VALUE"""),"Roll + Cut Big")</f>
        <v>Roll + Cut Big</v>
      </c>
      <c r="F1431" s="164">
        <f>IFERROR(__xludf.DUMMYFUNCTION("""COMPUTED_VALUE"""),379.54)</f>
        <v>379.54</v>
      </c>
      <c r="G1431" s="163">
        <f>IFERROR(__xludf.DUMMYFUNCTION("""COMPUTED_VALUE"""),27.0)</f>
        <v>27</v>
      </c>
      <c r="H1431" s="163" t="str">
        <f>IFERROR(__xludf.DUMMYFUNCTION("""COMPUTED_VALUE"""),"PF")</f>
        <v>PF</v>
      </c>
      <c r="I1431" s="163">
        <f>IFERROR(__xludf.DUMMYFUNCTION("""COMPUTED_VALUE"""),21.0)</f>
        <v>21</v>
      </c>
      <c r="J1431" s="165">
        <f>IFERROR(__xludf.DUMMYFUNCTION("""COMPUTED_VALUE"""),-1.04223538968195)</f>
        <v>-1.04223539</v>
      </c>
      <c r="K1431" s="165">
        <f>IFERROR(__xludf.DUMMYFUNCTION("""COMPUTED_VALUE"""),-0.406572965179023)</f>
        <v>-0.4065729652</v>
      </c>
      <c r="L1431" s="165">
        <f>IFERROR(__xludf.DUMMYFUNCTION("""COMPUTED_VALUE"""),-0.635662424502929)</f>
        <v>-0.6356624245</v>
      </c>
      <c r="M1431" s="166">
        <f t="shared" si="2"/>
        <v>0.318836597</v>
      </c>
      <c r="N1431" s="167">
        <f t="shared" si="3"/>
        <v>14.05703704</v>
      </c>
      <c r="O1431" s="163">
        <f t="shared" ref="O1431:Q1431" si="1435">rank(I1431,I:I)</f>
        <v>3528</v>
      </c>
      <c r="P1431" s="163">
        <f t="shared" si="1435"/>
        <v>2545</v>
      </c>
      <c r="Q1431" s="163">
        <f t="shared" si="1435"/>
        <v>1954</v>
      </c>
      <c r="R1431" s="163">
        <f>IFERROR(__xludf.DUMMYFUNCTION("RANK(M1431,filter(M:M,C:C=C1431))"),307.0)</f>
        <v>307</v>
      </c>
      <c r="S1431" s="161" t="b">
        <f t="shared" si="5"/>
        <v>0</v>
      </c>
      <c r="T1431" s="161" t="b">
        <f t="array" ref="T1431">index('Query Tool'!B:B,match(H1431,'Query Tool'!C:C,0))</f>
        <v>1</v>
      </c>
      <c r="U1431" s="161" t="b">
        <f t="array" ref="U1431">index('Query Tool'!B:B,match(C1431,'Query Tool'!C:C,0))</f>
        <v>0</v>
      </c>
      <c r="V1431" s="161" t="b">
        <f>F1431&gt;='Query Tool'!C$32</f>
        <v>0</v>
      </c>
      <c r="W1431" s="161" t="b">
        <f t="array" ref="W1431">index(Dropdowns!B:B,match(I1431,Dropdowns!A:A,0))</f>
        <v>1</v>
      </c>
      <c r="X1431" s="161" t="b">
        <f t="array" ref="X1431">index('Query Tool'!B:B,match(D1431,'Query Tool'!C:C,0))</f>
        <v>1</v>
      </c>
      <c r="Y1431" s="161" t="str">
        <f t="shared" si="6"/>
        <v>martija01,2015-16</v>
      </c>
      <c r="Z1431" s="168">
        <f t="array" ref="Z1431">iferror(index(I:I,match($A1431&amp;","&amp;index('Year Conversion'!$A:$A,match($C1431,'Year Conversion'!$B:$B,0)),$Y:$Y,0))-I1431,"")</f>
        <v>1</v>
      </c>
      <c r="AA1431" s="168">
        <f t="array" ref="AA1431">iferror(index(J:J,match($A1431&amp;","&amp;index('Year Conversion'!$A:$A,match($C1431,'Year Conversion'!$B:$B,0)),$Y:$Y,0))-J1431,"")</f>
        <v>-1.502932044</v>
      </c>
      <c r="AB1431" s="168">
        <f t="array" ref="AB1431">iferror(index(K:K,match($A1431&amp;","&amp;index('Year Conversion'!$A:$A,match($C1431,'Year Conversion'!$B:$B,0)),$Y:$Y,0))-K1431,"")</f>
        <v>-3.202092524</v>
      </c>
      <c r="AC1431" s="168" t="str">
        <f t="shared" si="7"/>
        <v>MEM,2015-16</v>
      </c>
    </row>
    <row r="1432">
      <c r="A1432" s="161" t="str">
        <f>IFERROR(__xludf.DUMMYFUNCTION("""COMPUTED_VALUE"""),"mcculch01")</f>
        <v>mcculch01</v>
      </c>
      <c r="B1432" s="161" t="str">
        <f>IFERROR(__xludf.DUMMYFUNCTION("""COMPUTED_VALUE"""),"Chris McCullough")</f>
        <v>Chris McCullough</v>
      </c>
      <c r="C1432" s="162" t="str">
        <f>IFERROR(__xludf.DUMMYFUNCTION("""COMPUTED_VALUE"""),"2015-16")</f>
        <v>2015-16</v>
      </c>
      <c r="D1432" s="163" t="str">
        <f>IFERROR(__xludf.DUMMYFUNCTION("""COMPUTED_VALUE"""),"BRK")</f>
        <v>BRK</v>
      </c>
      <c r="E1432" s="164" t="str">
        <f>IFERROR(__xludf.DUMMYFUNCTION("""COMPUTED_VALUE"""),"Stretch Big")</f>
        <v>Stretch Big</v>
      </c>
      <c r="F1432" s="164">
        <f>IFERROR(__xludf.DUMMYFUNCTION("""COMPUTED_VALUE"""),362.385)</f>
        <v>362.385</v>
      </c>
      <c r="G1432" s="163">
        <f>IFERROR(__xludf.DUMMYFUNCTION("""COMPUTED_VALUE"""),24.0)</f>
        <v>24</v>
      </c>
      <c r="H1432" s="163" t="str">
        <f>IFERROR(__xludf.DUMMYFUNCTION("""COMPUTED_VALUE"""),"PF")</f>
        <v>PF</v>
      </c>
      <c r="I1432" s="163">
        <f>IFERROR(__xludf.DUMMYFUNCTION("""COMPUTED_VALUE"""),20.0)</f>
        <v>20</v>
      </c>
      <c r="J1432" s="165">
        <f>IFERROR(__xludf.DUMMYFUNCTION("""COMPUTED_VALUE"""),-1.23746950152578)</f>
        <v>-1.237469502</v>
      </c>
      <c r="K1432" s="165">
        <f>IFERROR(__xludf.DUMMYFUNCTION("""COMPUTED_VALUE"""),-1.30009069891679)</f>
        <v>-1.300090699</v>
      </c>
      <c r="L1432" s="165">
        <f>IFERROR(__xludf.DUMMYFUNCTION("""COMPUTED_VALUE"""),0.0626211973910117)</f>
        <v>0.06262119739</v>
      </c>
      <c r="M1432" s="166">
        <f t="shared" si="2"/>
        <v>0.2569844533</v>
      </c>
      <c r="N1432" s="167">
        <f t="shared" si="3"/>
        <v>15.099375</v>
      </c>
      <c r="O1432" s="163">
        <f t="shared" ref="O1432:Q1432" si="1436">rank(I1432,I:I)</f>
        <v>3770</v>
      </c>
      <c r="P1432" s="163">
        <f t="shared" si="1436"/>
        <v>2799</v>
      </c>
      <c r="Q1432" s="163">
        <f t="shared" si="1436"/>
        <v>3146</v>
      </c>
      <c r="R1432" s="163">
        <f>IFERROR(__xludf.DUMMYFUNCTION("RANK(M1432,filter(M:M,C:C=C1432))"),326.0)</f>
        <v>326</v>
      </c>
      <c r="S1432" s="161" t="b">
        <f t="shared" si="5"/>
        <v>0</v>
      </c>
      <c r="T1432" s="161" t="b">
        <f t="array" ref="T1432">index('Query Tool'!B:B,match(H1432,'Query Tool'!C:C,0))</f>
        <v>1</v>
      </c>
      <c r="U1432" s="161" t="b">
        <f t="array" ref="U1432">index('Query Tool'!B:B,match(C1432,'Query Tool'!C:C,0))</f>
        <v>0</v>
      </c>
      <c r="V1432" s="161" t="b">
        <f>F1432&gt;='Query Tool'!C$32</f>
        <v>0</v>
      </c>
      <c r="W1432" s="161" t="b">
        <f t="array" ref="W1432">index(Dropdowns!B:B,match(I1432,Dropdowns!A:A,0))</f>
        <v>1</v>
      </c>
      <c r="X1432" s="161" t="b">
        <f t="array" ref="X1432">index('Query Tool'!B:B,match(D1432,'Query Tool'!C:C,0))</f>
        <v>1</v>
      </c>
      <c r="Y1432" s="161" t="str">
        <f t="shared" si="6"/>
        <v>mcculch01,2015-16</v>
      </c>
      <c r="Z1432" s="168">
        <f t="array" ref="Z1432">iferror(index(I:I,match($A1432&amp;","&amp;index('Year Conversion'!$A:$A,match($C1432,'Year Conversion'!$B:$B,0)),$Y:$Y,0))-I1432,"")</f>
        <v>1</v>
      </c>
      <c r="AA1432" s="168">
        <f t="array" ref="AA1432">iferror(index(J:J,match($A1432&amp;","&amp;index('Year Conversion'!$A:$A,match($C1432,'Year Conversion'!$B:$B,0)),$Y:$Y,0))-J1432,"")</f>
        <v>1.507402709</v>
      </c>
      <c r="AB1432" s="168">
        <f t="array" ref="AB1432">iferror(index(K:K,match($A1432&amp;","&amp;index('Year Conversion'!$A:$A,match($C1432,'Year Conversion'!$B:$B,0)),$Y:$Y,0))-K1432,"")</f>
        <v>1.48407397</v>
      </c>
      <c r="AC1432" s="168" t="str">
        <f t="shared" si="7"/>
        <v>BRK,2015-16</v>
      </c>
    </row>
    <row r="1433">
      <c r="A1433" s="161" t="str">
        <f>IFERROR(__xludf.DUMMYFUNCTION("""COMPUTED_VALUE"""),"connapa01")</f>
        <v>connapa01</v>
      </c>
      <c r="B1433" s="161" t="str">
        <f>IFERROR(__xludf.DUMMYFUNCTION("""COMPUTED_VALUE"""),"Pat Connaughton")</f>
        <v>Pat Connaughton</v>
      </c>
      <c r="C1433" s="162" t="str">
        <f>IFERROR(__xludf.DUMMYFUNCTION("""COMPUTED_VALUE"""),"2015-16")</f>
        <v>2015-16</v>
      </c>
      <c r="D1433" s="163" t="str">
        <f>IFERROR(__xludf.DUMMYFUNCTION("""COMPUTED_VALUE"""),"POR")</f>
        <v>POR</v>
      </c>
      <c r="E1433" s="164" t="str">
        <f>IFERROR(__xludf.DUMMYFUNCTION("""COMPUTED_VALUE"""),"Secondary Ball Handler")</f>
        <v>Secondary Ball Handler</v>
      </c>
      <c r="F1433" s="164">
        <f>IFERROR(__xludf.DUMMYFUNCTION("""COMPUTED_VALUE"""),143.466666666667)</f>
        <v>143.4666667</v>
      </c>
      <c r="G1433" s="163">
        <f>IFERROR(__xludf.DUMMYFUNCTION("""COMPUTED_VALUE"""),34.0)</f>
        <v>34</v>
      </c>
      <c r="H1433" s="163" t="str">
        <f>IFERROR(__xludf.DUMMYFUNCTION("""COMPUTED_VALUE"""),"SG")</f>
        <v>SG</v>
      </c>
      <c r="I1433" s="163">
        <f>IFERROR(__xludf.DUMMYFUNCTION("""COMPUTED_VALUE"""),23.0)</f>
        <v>23</v>
      </c>
      <c r="J1433" s="165">
        <f>IFERROR(__xludf.DUMMYFUNCTION("""COMPUTED_VALUE"""),-1.2170943450957)</f>
        <v>-1.217094345</v>
      </c>
      <c r="K1433" s="165">
        <f>IFERROR(__xludf.DUMMYFUNCTION("""COMPUTED_VALUE"""),-0.519916028378184)</f>
        <v>-0.5199160284</v>
      </c>
      <c r="L1433" s="165">
        <f>IFERROR(__xludf.DUMMYFUNCTION("""COMPUTED_VALUE"""),-0.697178316717512)</f>
        <v>-0.6971783167</v>
      </c>
      <c r="M1433" s="166">
        <f t="shared" si="2"/>
        <v>0.1036974846</v>
      </c>
      <c r="N1433" s="167">
        <f t="shared" si="3"/>
        <v>4.219607843</v>
      </c>
      <c r="O1433" s="163">
        <f t="shared" ref="O1433:Q1433" si="1437">rank(I1433,I:I)</f>
        <v>2765</v>
      </c>
      <c r="P1433" s="163">
        <f t="shared" si="1437"/>
        <v>2766</v>
      </c>
      <c r="Q1433" s="163">
        <f t="shared" si="1437"/>
        <v>2143</v>
      </c>
      <c r="R1433" s="163">
        <f>IFERROR(__xludf.DUMMYFUNCTION("RANK(M1433,filter(M:M,C:C=C1433))"),370.0)</f>
        <v>370</v>
      </c>
      <c r="S1433" s="161" t="b">
        <f t="shared" si="5"/>
        <v>0</v>
      </c>
      <c r="T1433" s="161" t="b">
        <f t="array" ref="T1433">index('Query Tool'!B:B,match(H1433,'Query Tool'!C:C,0))</f>
        <v>1</v>
      </c>
      <c r="U1433" s="161" t="b">
        <f t="array" ref="U1433">index('Query Tool'!B:B,match(C1433,'Query Tool'!C:C,0))</f>
        <v>0</v>
      </c>
      <c r="V1433" s="161" t="b">
        <f>F1433&gt;='Query Tool'!C$32</f>
        <v>0</v>
      </c>
      <c r="W1433" s="161" t="b">
        <f t="array" ref="W1433">index(Dropdowns!B:B,match(I1433,Dropdowns!A:A,0))</f>
        <v>1</v>
      </c>
      <c r="X1433" s="161" t="b">
        <f t="array" ref="X1433">index('Query Tool'!B:B,match(D1433,'Query Tool'!C:C,0))</f>
        <v>1</v>
      </c>
      <c r="Y1433" s="161" t="str">
        <f t="shared" si="6"/>
        <v>connapa01,2015-16</v>
      </c>
      <c r="Z1433" s="168">
        <f t="array" ref="Z1433">iferror(index(I:I,match($A1433&amp;","&amp;index('Year Conversion'!$A:$A,match($C1433,'Year Conversion'!$B:$B,0)),$Y:$Y,0))-I1433,"")</f>
        <v>1</v>
      </c>
      <c r="AA1433" s="168">
        <f t="array" ref="AA1433">iferror(index(J:J,match($A1433&amp;","&amp;index('Year Conversion'!$A:$A,match($C1433,'Year Conversion'!$B:$B,0)),$Y:$Y,0))-J1433,"")</f>
        <v>-0.8896812764</v>
      </c>
      <c r="AB1433" s="168">
        <f t="array" ref="AB1433">iferror(index(K:K,match($A1433&amp;","&amp;index('Year Conversion'!$A:$A,match($C1433,'Year Conversion'!$B:$B,0)),$Y:$Y,0))-K1433,"")</f>
        <v>-1.092908727</v>
      </c>
      <c r="AC1433" s="168" t="str">
        <f t="shared" si="7"/>
        <v>POR,2015-16</v>
      </c>
    </row>
    <row r="1434">
      <c r="A1434" s="161" t="str">
        <f>IFERROR(__xludf.DUMMYFUNCTION("""COMPUTED_VALUE"""),"richajo01")</f>
        <v>richajo01</v>
      </c>
      <c r="B1434" s="161" t="str">
        <f>IFERROR(__xludf.DUMMYFUNCTION("""COMPUTED_VALUE"""),"Josh Richardson")</f>
        <v>Josh Richardson</v>
      </c>
      <c r="C1434" s="162" t="str">
        <f>IFERROR(__xludf.DUMMYFUNCTION("""COMPUTED_VALUE"""),"2015-16")</f>
        <v>2015-16</v>
      </c>
      <c r="D1434" s="163" t="str">
        <f>IFERROR(__xludf.DUMMYFUNCTION("""COMPUTED_VALUE"""),"MIA")</f>
        <v>MIA</v>
      </c>
      <c r="E1434" s="164" t="str">
        <f>IFERROR(__xludf.DUMMYFUNCTION("""COMPUTED_VALUE"""),"Secondary Ball Handler")</f>
        <v>Secondary Ball Handler</v>
      </c>
      <c r="F1434" s="164">
        <f>IFERROR(__xludf.DUMMYFUNCTION("""COMPUTED_VALUE"""),1106.95)</f>
        <v>1106.95</v>
      </c>
      <c r="G1434" s="163">
        <f>IFERROR(__xludf.DUMMYFUNCTION("""COMPUTED_VALUE"""),52.0)</f>
        <v>52</v>
      </c>
      <c r="H1434" s="163" t="str">
        <f>IFERROR(__xludf.DUMMYFUNCTION("""COMPUTED_VALUE"""),"SG")</f>
        <v>SG</v>
      </c>
      <c r="I1434" s="163">
        <f>IFERROR(__xludf.DUMMYFUNCTION("""COMPUTED_VALUE"""),22.0)</f>
        <v>22</v>
      </c>
      <c r="J1434" s="165">
        <f>IFERROR(__xludf.DUMMYFUNCTION("""COMPUTED_VALUE"""),-0.465121404361888)</f>
        <v>-0.4651214044</v>
      </c>
      <c r="K1434" s="165">
        <f>IFERROR(__xludf.DUMMYFUNCTION("""COMPUTED_VALUE"""),-0.852721349650724)</f>
        <v>-0.8527213497</v>
      </c>
      <c r="L1434" s="165">
        <f>IFERROR(__xludf.DUMMYFUNCTION("""COMPUTED_VALUE"""),0.387599945288836)</f>
        <v>0.3875999453</v>
      </c>
      <c r="M1434" s="166">
        <f t="shared" si="2"/>
        <v>1.359534692</v>
      </c>
      <c r="N1434" s="167">
        <f t="shared" si="3"/>
        <v>21.2875</v>
      </c>
      <c r="O1434" s="163">
        <f t="shared" ref="O1434:Q1434" si="1438">rank(I1434,I:I)</f>
        <v>3178</v>
      </c>
      <c r="P1434" s="163">
        <f t="shared" si="1438"/>
        <v>1800</v>
      </c>
      <c r="Q1434" s="163">
        <f t="shared" si="1438"/>
        <v>2628</v>
      </c>
      <c r="R1434" s="163">
        <f>IFERROR(__xludf.DUMMYFUNCTION("RANK(M1434,filter(M:M,C:C=C1434))"),197.0)</f>
        <v>197</v>
      </c>
      <c r="S1434" s="161" t="b">
        <f t="shared" si="5"/>
        <v>0</v>
      </c>
      <c r="T1434" s="161" t="b">
        <f t="array" ref="T1434">index('Query Tool'!B:B,match(H1434,'Query Tool'!C:C,0))</f>
        <v>1</v>
      </c>
      <c r="U1434" s="161" t="b">
        <f t="array" ref="U1434">index('Query Tool'!B:B,match(C1434,'Query Tool'!C:C,0))</f>
        <v>0</v>
      </c>
      <c r="V1434" s="161" t="b">
        <f>F1434&gt;='Query Tool'!C$32</f>
        <v>1</v>
      </c>
      <c r="W1434" s="161" t="b">
        <f t="array" ref="W1434">index(Dropdowns!B:B,match(I1434,Dropdowns!A:A,0))</f>
        <v>1</v>
      </c>
      <c r="X1434" s="161" t="b">
        <f t="array" ref="X1434">index('Query Tool'!B:B,match(D1434,'Query Tool'!C:C,0))</f>
        <v>1</v>
      </c>
      <c r="Y1434" s="161" t="str">
        <f t="shared" si="6"/>
        <v>richajo01,2015-16</v>
      </c>
      <c r="Z1434" s="168">
        <f t="array" ref="Z1434">iferror(index(I:I,match($A1434&amp;","&amp;index('Year Conversion'!$A:$A,match($C1434,'Year Conversion'!$B:$B,0)),$Y:$Y,0))-I1434,"")</f>
        <v>1</v>
      </c>
      <c r="AA1434" s="168">
        <f t="array" ref="AA1434">iferror(index(J:J,match($A1434&amp;","&amp;index('Year Conversion'!$A:$A,match($C1434,'Year Conversion'!$B:$B,0)),$Y:$Y,0))-J1434,"")</f>
        <v>-0.14886106</v>
      </c>
      <c r="AB1434" s="168">
        <f t="array" ref="AB1434">iferror(index(K:K,match($A1434&amp;","&amp;index('Year Conversion'!$A:$A,match($C1434,'Year Conversion'!$B:$B,0)),$Y:$Y,0))-K1434,"")</f>
        <v>0.1204697038</v>
      </c>
      <c r="AC1434" s="168" t="str">
        <f t="shared" si="7"/>
        <v>MIA,2015-16</v>
      </c>
    </row>
    <row r="1435">
      <c r="A1435" s="161" t="str">
        <f>IFERROR(__xludf.DUMMYFUNCTION("""COMPUTED_VALUE"""),"hillida01")</f>
        <v>hillida01</v>
      </c>
      <c r="B1435" s="161" t="str">
        <f>IFERROR(__xludf.DUMMYFUNCTION("""COMPUTED_VALUE"""),"Darrun Hilliard")</f>
        <v>Darrun Hilliard</v>
      </c>
      <c r="C1435" s="162" t="str">
        <f>IFERROR(__xludf.DUMMYFUNCTION("""COMPUTED_VALUE"""),"2015-16")</f>
        <v>2015-16</v>
      </c>
      <c r="D1435" s="163" t="str">
        <f>IFERROR(__xludf.DUMMYFUNCTION("""COMPUTED_VALUE"""),"DET")</f>
        <v>DET</v>
      </c>
      <c r="E1435" s="164" t="str">
        <f>IFERROR(__xludf.DUMMYFUNCTION("""COMPUTED_VALUE"""),"Secondary Ball Handler")</f>
        <v>Secondary Ball Handler</v>
      </c>
      <c r="F1435" s="164">
        <f>IFERROR(__xludf.DUMMYFUNCTION("""COMPUTED_VALUE"""),383.016666666666)</f>
        <v>383.0166667</v>
      </c>
      <c r="G1435" s="163">
        <f>IFERROR(__xludf.DUMMYFUNCTION("""COMPUTED_VALUE"""),38.0)</f>
        <v>38</v>
      </c>
      <c r="H1435" s="163" t="str">
        <f>IFERROR(__xludf.DUMMYFUNCTION("""COMPUTED_VALUE"""),"SG")</f>
        <v>SG</v>
      </c>
      <c r="I1435" s="163">
        <f>IFERROR(__xludf.DUMMYFUNCTION("""COMPUTED_VALUE"""),22.0)</f>
        <v>22</v>
      </c>
      <c r="J1435" s="165">
        <f>IFERROR(__xludf.DUMMYFUNCTION("""COMPUTED_VALUE"""),-1.10369450300901)</f>
        <v>-1.103694503</v>
      </c>
      <c r="K1435" s="165">
        <f>IFERROR(__xludf.DUMMYFUNCTION("""COMPUTED_VALUE"""),-0.986353080021819)</f>
        <v>-0.98635308</v>
      </c>
      <c r="L1435" s="165">
        <f>IFERROR(__xludf.DUMMYFUNCTION("""COMPUTED_VALUE"""),-0.117341422987194)</f>
        <v>-0.117341423</v>
      </c>
      <c r="M1435" s="166">
        <f t="shared" si="2"/>
        <v>0.3059627929</v>
      </c>
      <c r="N1435" s="167">
        <f t="shared" si="3"/>
        <v>10.07938596</v>
      </c>
      <c r="O1435" s="163">
        <f t="shared" ref="O1435:Q1435" si="1439">rank(I1435,I:I)</f>
        <v>3178</v>
      </c>
      <c r="P1435" s="163">
        <f t="shared" si="1439"/>
        <v>2618</v>
      </c>
      <c r="Q1435" s="163">
        <f t="shared" si="1439"/>
        <v>2782</v>
      </c>
      <c r="R1435" s="163">
        <f>IFERROR(__xludf.DUMMYFUNCTION("RANK(M1435,filter(M:M,C:C=C1435))"),310.0)</f>
        <v>310</v>
      </c>
      <c r="S1435" s="161" t="b">
        <f t="shared" si="5"/>
        <v>0</v>
      </c>
      <c r="T1435" s="161" t="b">
        <f t="array" ref="T1435">index('Query Tool'!B:B,match(H1435,'Query Tool'!C:C,0))</f>
        <v>1</v>
      </c>
      <c r="U1435" s="161" t="b">
        <f t="array" ref="U1435">index('Query Tool'!B:B,match(C1435,'Query Tool'!C:C,0))</f>
        <v>0</v>
      </c>
      <c r="V1435" s="161" t="b">
        <f>F1435&gt;='Query Tool'!C$32</f>
        <v>0</v>
      </c>
      <c r="W1435" s="161" t="b">
        <f t="array" ref="W1435">index(Dropdowns!B:B,match(I1435,Dropdowns!A:A,0))</f>
        <v>1</v>
      </c>
      <c r="X1435" s="161" t="b">
        <f t="array" ref="X1435">index('Query Tool'!B:B,match(D1435,'Query Tool'!C:C,0))</f>
        <v>1</v>
      </c>
      <c r="Y1435" s="161" t="str">
        <f t="shared" si="6"/>
        <v>hillida01,2015-16</v>
      </c>
      <c r="Z1435" s="168">
        <f t="array" ref="Z1435">iferror(index(I:I,match($A1435&amp;","&amp;index('Year Conversion'!$A:$A,match($C1435,'Year Conversion'!$B:$B,0)),$Y:$Y,0))-I1435,"")</f>
        <v>1</v>
      </c>
      <c r="AA1435" s="168">
        <f t="array" ref="AA1435">iferror(index(J:J,match($A1435&amp;","&amp;index('Year Conversion'!$A:$A,match($C1435,'Year Conversion'!$B:$B,0)),$Y:$Y,0))-J1435,"")</f>
        <v>-1.147612876</v>
      </c>
      <c r="AB1435" s="168">
        <f t="array" ref="AB1435">iferror(index(K:K,match($A1435&amp;","&amp;index('Year Conversion'!$A:$A,match($C1435,'Year Conversion'!$B:$B,0)),$Y:$Y,0))-K1435,"")</f>
        <v>-0.9696239681</v>
      </c>
      <c r="AC1435" s="168" t="str">
        <f t="shared" si="7"/>
        <v>DET,2015-16</v>
      </c>
    </row>
    <row r="1436">
      <c r="A1436" s="161" t="str">
        <f>IFERROR(__xludf.DUMMYFUNCTION("""COMPUTED_VALUE"""),"youngjo01")</f>
        <v>youngjo01</v>
      </c>
      <c r="B1436" s="161" t="str">
        <f>IFERROR(__xludf.DUMMYFUNCTION("""COMPUTED_VALUE"""),"Joe Young")</f>
        <v>Joe Young</v>
      </c>
      <c r="C1436" s="162" t="str">
        <f>IFERROR(__xludf.DUMMYFUNCTION("""COMPUTED_VALUE"""),"2015-16")</f>
        <v>2015-16</v>
      </c>
      <c r="D1436" s="163" t="str">
        <f>IFERROR(__xludf.DUMMYFUNCTION("""COMPUTED_VALUE"""),"IND")</f>
        <v>IND</v>
      </c>
      <c r="E1436" s="164" t="str">
        <f>IFERROR(__xludf.DUMMYFUNCTION("""COMPUTED_VALUE"""),"Slasher")</f>
        <v>Slasher</v>
      </c>
      <c r="F1436" s="164">
        <f>IFERROR(__xludf.DUMMYFUNCTION("""COMPUTED_VALUE"""),383.513333333333)</f>
        <v>383.5133333</v>
      </c>
      <c r="G1436" s="163">
        <f>IFERROR(__xludf.DUMMYFUNCTION("""COMPUTED_VALUE"""),41.0)</f>
        <v>41</v>
      </c>
      <c r="H1436" s="163" t="str">
        <f>IFERROR(__xludf.DUMMYFUNCTION("""COMPUTED_VALUE"""),"PG")</f>
        <v>PG</v>
      </c>
      <c r="I1436" s="163">
        <f>IFERROR(__xludf.DUMMYFUNCTION("""COMPUTED_VALUE"""),23.0)</f>
        <v>23</v>
      </c>
      <c r="J1436" s="165">
        <f>IFERROR(__xludf.DUMMYFUNCTION("""COMPUTED_VALUE"""),-1.62978064297944)</f>
        <v>-1.629780643</v>
      </c>
      <c r="K1436" s="165">
        <f>IFERROR(__xludf.DUMMYFUNCTION("""COMPUTED_VALUE"""),-0.180475405038263)</f>
        <v>-0.180475405</v>
      </c>
      <c r="L1436" s="165">
        <f>IFERROR(__xludf.DUMMYFUNCTION("""COMPUTED_VALUE"""),-1.44930523794117)</f>
        <v>-1.449305238</v>
      </c>
      <c r="M1436" s="166">
        <f t="shared" si="2"/>
        <v>0.1714004453</v>
      </c>
      <c r="N1436" s="167">
        <f t="shared" si="3"/>
        <v>9.35398374</v>
      </c>
      <c r="O1436" s="163">
        <f t="shared" ref="O1436:Q1436" si="1440">rank(I1436,I:I)</f>
        <v>2765</v>
      </c>
      <c r="P1436" s="163">
        <f t="shared" si="1440"/>
        <v>3175</v>
      </c>
      <c r="Q1436" s="163">
        <f t="shared" si="1440"/>
        <v>1536</v>
      </c>
      <c r="R1436" s="163">
        <f>IFERROR(__xludf.DUMMYFUNCTION("RANK(M1436,filter(M:M,C:C=C1436))"),349.0)</f>
        <v>349</v>
      </c>
      <c r="S1436" s="161" t="b">
        <f t="shared" si="5"/>
        <v>0</v>
      </c>
      <c r="T1436" s="161" t="b">
        <f t="array" ref="T1436">index('Query Tool'!B:B,match(H1436,'Query Tool'!C:C,0))</f>
        <v>1</v>
      </c>
      <c r="U1436" s="161" t="b">
        <f t="array" ref="U1436">index('Query Tool'!B:B,match(C1436,'Query Tool'!C:C,0))</f>
        <v>0</v>
      </c>
      <c r="V1436" s="161" t="b">
        <f>F1436&gt;='Query Tool'!C$32</f>
        <v>0</v>
      </c>
      <c r="W1436" s="161" t="b">
        <f t="array" ref="W1436">index(Dropdowns!B:B,match(I1436,Dropdowns!A:A,0))</f>
        <v>1</v>
      </c>
      <c r="X1436" s="161" t="b">
        <f t="array" ref="X1436">index('Query Tool'!B:B,match(D1436,'Query Tool'!C:C,0))</f>
        <v>1</v>
      </c>
      <c r="Y1436" s="161" t="str">
        <f t="shared" si="6"/>
        <v>youngjo01,2015-16</v>
      </c>
      <c r="Z1436" s="168">
        <f t="array" ref="Z1436">iferror(index(I:I,match($A1436&amp;","&amp;index('Year Conversion'!$A:$A,match($C1436,'Year Conversion'!$B:$B,0)),$Y:$Y,0))-I1436,"")</f>
        <v>1</v>
      </c>
      <c r="AA1436" s="168">
        <f t="array" ref="AA1436">iferror(index(J:J,match($A1436&amp;","&amp;index('Year Conversion'!$A:$A,match($C1436,'Year Conversion'!$B:$B,0)),$Y:$Y,0))-J1436,"")</f>
        <v>0.7430474014</v>
      </c>
      <c r="AB1436" s="168">
        <f t="array" ref="AB1436">iferror(index(K:K,match($A1436&amp;","&amp;index('Year Conversion'!$A:$A,match($C1436,'Year Conversion'!$B:$B,0)),$Y:$Y,0))-K1436,"")</f>
        <v>0.05631830573</v>
      </c>
      <c r="AC1436" s="168" t="str">
        <f t="shared" si="7"/>
        <v>IND,2015-16</v>
      </c>
    </row>
    <row r="1437">
      <c r="A1437" s="161" t="str">
        <f>IFERROR(__xludf.DUMMYFUNCTION("""COMPUTED_VALUE"""),"nancela02")</f>
        <v>nancela02</v>
      </c>
      <c r="B1437" s="161" t="str">
        <f>IFERROR(__xludf.DUMMYFUNCTION("""COMPUTED_VALUE"""),"Larry Nance Jr.")</f>
        <v>Larry Nance Jr.</v>
      </c>
      <c r="C1437" s="162" t="str">
        <f>IFERROR(__xludf.DUMMYFUNCTION("""COMPUTED_VALUE"""),"2015-16")</f>
        <v>2015-16</v>
      </c>
      <c r="D1437" s="163" t="str">
        <f>IFERROR(__xludf.DUMMYFUNCTION("""COMPUTED_VALUE"""),"LAL")</f>
        <v>LAL</v>
      </c>
      <c r="E1437" s="164" t="str">
        <f>IFERROR(__xludf.DUMMYFUNCTION("""COMPUTED_VALUE"""),"Roll + Cut Big")</f>
        <v>Roll + Cut Big</v>
      </c>
      <c r="F1437" s="164">
        <f>IFERROR(__xludf.DUMMYFUNCTION("""COMPUTED_VALUE"""),1265.715)</f>
        <v>1265.715</v>
      </c>
      <c r="G1437" s="163">
        <f>IFERROR(__xludf.DUMMYFUNCTION("""COMPUTED_VALUE"""),63.0)</f>
        <v>63</v>
      </c>
      <c r="H1437" s="163" t="str">
        <f>IFERROR(__xludf.DUMMYFUNCTION("""COMPUTED_VALUE"""),"PF")</f>
        <v>PF</v>
      </c>
      <c r="I1437" s="163">
        <f>IFERROR(__xludf.DUMMYFUNCTION("""COMPUTED_VALUE"""),23.0)</f>
        <v>23</v>
      </c>
      <c r="J1437" s="165">
        <f>IFERROR(__xludf.DUMMYFUNCTION("""COMPUTED_VALUE"""),-0.109198003769925)</f>
        <v>-0.1091980038</v>
      </c>
      <c r="K1437" s="165">
        <f>IFERROR(__xludf.DUMMYFUNCTION("""COMPUTED_VALUE"""),-0.794906444357736)</f>
        <v>-0.7949064444</v>
      </c>
      <c r="L1437" s="165">
        <f>IFERROR(__xludf.DUMMYFUNCTION("""COMPUTED_VALUE"""),0.685708440587812)</f>
        <v>0.6857084406</v>
      </c>
      <c r="M1437" s="166">
        <f t="shared" si="2"/>
        <v>1.85813</v>
      </c>
      <c r="N1437" s="167">
        <f t="shared" si="3"/>
        <v>20.09071429</v>
      </c>
      <c r="O1437" s="163">
        <f t="shared" ref="O1437:Q1437" si="1441">rank(I1437,I:I)</f>
        <v>2765</v>
      </c>
      <c r="P1437" s="163">
        <f t="shared" si="1441"/>
        <v>1392</v>
      </c>
      <c r="Q1437" s="163">
        <f t="shared" si="1441"/>
        <v>2549</v>
      </c>
      <c r="R1437" s="163">
        <f>IFERROR(__xludf.DUMMYFUNCTION("RANK(M1437,filter(M:M,C:C=C1437))"),164.0)</f>
        <v>164</v>
      </c>
      <c r="S1437" s="161" t="b">
        <f t="shared" si="5"/>
        <v>0</v>
      </c>
      <c r="T1437" s="161" t="b">
        <f t="array" ref="T1437">index('Query Tool'!B:B,match(H1437,'Query Tool'!C:C,0))</f>
        <v>1</v>
      </c>
      <c r="U1437" s="161" t="b">
        <f t="array" ref="U1437">index('Query Tool'!B:B,match(C1437,'Query Tool'!C:C,0))</f>
        <v>0</v>
      </c>
      <c r="V1437" s="161" t="b">
        <f>F1437&gt;='Query Tool'!C$32</f>
        <v>1</v>
      </c>
      <c r="W1437" s="161" t="b">
        <f t="array" ref="W1437">index(Dropdowns!B:B,match(I1437,Dropdowns!A:A,0))</f>
        <v>1</v>
      </c>
      <c r="X1437" s="161" t="b">
        <f t="array" ref="X1437">index('Query Tool'!B:B,match(D1437,'Query Tool'!C:C,0))</f>
        <v>1</v>
      </c>
      <c r="Y1437" s="161" t="str">
        <f t="shared" si="6"/>
        <v>nancela02,2015-16</v>
      </c>
      <c r="Z1437" s="168">
        <f t="array" ref="Z1437">iferror(index(I:I,match($A1437&amp;","&amp;index('Year Conversion'!$A:$A,match($C1437,'Year Conversion'!$B:$B,0)),$Y:$Y,0))-I1437,"")</f>
        <v>1</v>
      </c>
      <c r="AA1437" s="168">
        <f t="array" ref="AA1437">iferror(index(J:J,match($A1437&amp;","&amp;index('Year Conversion'!$A:$A,match($C1437,'Year Conversion'!$B:$B,0)),$Y:$Y,0))-J1437,"")</f>
        <v>0.3765569206</v>
      </c>
      <c r="AB1437" s="168">
        <f t="array" ref="AB1437">iferror(index(K:K,match($A1437&amp;","&amp;index('Year Conversion'!$A:$A,match($C1437,'Year Conversion'!$B:$B,0)),$Y:$Y,0))-K1437,"")</f>
        <v>-0.2020872627</v>
      </c>
      <c r="AC1437" s="168" t="str">
        <f t="shared" si="7"/>
        <v>LAL,2015-16</v>
      </c>
    </row>
    <row r="1438">
      <c r="A1438" s="161" t="str">
        <f>IFERROR(__xludf.DUMMYFUNCTION("""COMPUTED_VALUE"""),"hezonma01")</f>
        <v>hezonma01</v>
      </c>
      <c r="B1438" s="161" t="str">
        <f>IFERROR(__xludf.DUMMYFUNCTION("""COMPUTED_VALUE"""),"Mario Hezonja")</f>
        <v>Mario Hezonja</v>
      </c>
      <c r="C1438" s="162" t="str">
        <f>IFERROR(__xludf.DUMMYFUNCTION("""COMPUTED_VALUE"""),"2015-16")</f>
        <v>2015-16</v>
      </c>
      <c r="D1438" s="163" t="str">
        <f>IFERROR(__xludf.DUMMYFUNCTION("""COMPUTED_VALUE"""),"ORL")</f>
        <v>ORL</v>
      </c>
      <c r="E1438" s="164" t="str">
        <f>IFERROR(__xludf.DUMMYFUNCTION("""COMPUTED_VALUE"""),"Stationary Shooter")</f>
        <v>Stationary Shooter</v>
      </c>
      <c r="F1438" s="164">
        <f>IFERROR(__xludf.DUMMYFUNCTION("""COMPUTED_VALUE"""),1412.85333333333)</f>
        <v>1412.853333</v>
      </c>
      <c r="G1438" s="163">
        <f>IFERROR(__xludf.DUMMYFUNCTION("""COMPUTED_VALUE"""),79.0)</f>
        <v>79</v>
      </c>
      <c r="H1438" s="163" t="str">
        <f>IFERROR(__xludf.DUMMYFUNCTION("""COMPUTED_VALUE"""),"SF")</f>
        <v>SF</v>
      </c>
      <c r="I1438" s="163">
        <f>IFERROR(__xludf.DUMMYFUNCTION("""COMPUTED_VALUE"""),20.0)</f>
        <v>20</v>
      </c>
      <c r="J1438" s="165">
        <f>IFERROR(__xludf.DUMMYFUNCTION("""COMPUTED_VALUE"""),-3.10629084698736)</f>
        <v>-3.106290847</v>
      </c>
      <c r="K1438" s="165">
        <f>IFERROR(__xludf.DUMMYFUNCTION("""COMPUTED_VALUE"""),-1.80474383768536)</f>
        <v>-1.804743838</v>
      </c>
      <c r="L1438" s="165">
        <f>IFERROR(__xludf.DUMMYFUNCTION("""COMPUTED_VALUE"""),-1.301547009302)</f>
        <v>-1.301547009</v>
      </c>
      <c r="M1438" s="166">
        <f t="shared" si="2"/>
        <v>-0.7416556312</v>
      </c>
      <c r="N1438" s="167">
        <f t="shared" si="3"/>
        <v>17.88421941</v>
      </c>
      <c r="O1438" s="163">
        <f t="shared" ref="O1438:Q1438" si="1442">rank(I1438,I:I)</f>
        <v>3770</v>
      </c>
      <c r="P1438" s="163">
        <f t="shared" si="1442"/>
        <v>3908</v>
      </c>
      <c r="Q1438" s="163">
        <f t="shared" si="1442"/>
        <v>3577</v>
      </c>
      <c r="R1438" s="163">
        <f>IFERROR(__xludf.DUMMYFUNCTION("RANK(M1438,filter(M:M,C:C=C1438))"),460.0)</f>
        <v>460</v>
      </c>
      <c r="S1438" s="161" t="b">
        <f t="shared" si="5"/>
        <v>0</v>
      </c>
      <c r="T1438" s="161" t="b">
        <f t="array" ref="T1438">index('Query Tool'!B:B,match(H1438,'Query Tool'!C:C,0))</f>
        <v>1</v>
      </c>
      <c r="U1438" s="161" t="b">
        <f t="array" ref="U1438">index('Query Tool'!B:B,match(C1438,'Query Tool'!C:C,0))</f>
        <v>0</v>
      </c>
      <c r="V1438" s="161" t="b">
        <f>F1438&gt;='Query Tool'!C$32</f>
        <v>1</v>
      </c>
      <c r="W1438" s="161" t="b">
        <f t="array" ref="W1438">index(Dropdowns!B:B,match(I1438,Dropdowns!A:A,0))</f>
        <v>1</v>
      </c>
      <c r="X1438" s="161" t="b">
        <f t="array" ref="X1438">index('Query Tool'!B:B,match(D1438,'Query Tool'!C:C,0))</f>
        <v>1</v>
      </c>
      <c r="Y1438" s="161" t="str">
        <f t="shared" si="6"/>
        <v>hezonma01,2015-16</v>
      </c>
      <c r="Z1438" s="168">
        <f t="array" ref="Z1438">iferror(index(I:I,match($A1438&amp;","&amp;index('Year Conversion'!$A:$A,match($C1438,'Year Conversion'!$B:$B,0)),$Y:$Y,0))-I1438,"")</f>
        <v>1</v>
      </c>
      <c r="AA1438" s="168">
        <f t="array" ref="AA1438">iferror(index(J:J,match($A1438&amp;","&amp;index('Year Conversion'!$A:$A,match($C1438,'Year Conversion'!$B:$B,0)),$Y:$Y,0))-J1438,"")</f>
        <v>-0.5450262626</v>
      </c>
      <c r="AB1438" s="168">
        <f t="array" ref="AB1438">iferror(index(K:K,match($A1438&amp;","&amp;index('Year Conversion'!$A:$A,match($C1438,'Year Conversion'!$B:$B,0)),$Y:$Y,0))-K1438,"")</f>
        <v>-0.9225729289</v>
      </c>
      <c r="AC1438" s="168" t="str">
        <f t="shared" si="7"/>
        <v>ORL,2015-16</v>
      </c>
    </row>
    <row r="1439">
      <c r="A1439" s="161" t="str">
        <f>IFERROR(__xludf.DUMMYFUNCTION("""COMPUTED_VALUE"""),"willial03")</f>
        <v>willial03</v>
      </c>
      <c r="B1439" s="161" t="str">
        <f>IFERROR(__xludf.DUMMYFUNCTION("""COMPUTED_VALUE"""),"Alan Williams")</f>
        <v>Alan Williams</v>
      </c>
      <c r="C1439" s="162" t="str">
        <f>IFERROR(__xludf.DUMMYFUNCTION("""COMPUTED_VALUE"""),"2015-16")</f>
        <v>2015-16</v>
      </c>
      <c r="D1439" s="163" t="str">
        <f>IFERROR(__xludf.DUMMYFUNCTION("""COMPUTED_VALUE"""),"PHO")</f>
        <v>PHO</v>
      </c>
      <c r="E1439" s="164" t="str">
        <f>IFERROR(__xludf.DUMMYFUNCTION("""COMPUTED_VALUE"""),"Post Scorer")</f>
        <v>Post Scorer</v>
      </c>
      <c r="F1439" s="164">
        <f>IFERROR(__xludf.DUMMYFUNCTION("""COMPUTED_VALUE"""),68.15)</f>
        <v>68.15</v>
      </c>
      <c r="G1439" s="163">
        <f>IFERROR(__xludf.DUMMYFUNCTION("""COMPUTED_VALUE"""),10.0)</f>
        <v>10</v>
      </c>
      <c r="H1439" s="163" t="str">
        <f>IFERROR(__xludf.DUMMYFUNCTION("""COMPUTED_VALUE"""),"PF")</f>
        <v>PF</v>
      </c>
      <c r="I1439" s="163">
        <f>IFERROR(__xludf.DUMMYFUNCTION("""COMPUTED_VALUE"""),23.0)</f>
        <v>23</v>
      </c>
      <c r="J1439" s="165">
        <f>IFERROR(__xludf.DUMMYFUNCTION("""COMPUTED_VALUE"""),0.805013604990259)</f>
        <v>0.805013605</v>
      </c>
      <c r="K1439" s="165">
        <f>IFERROR(__xludf.DUMMYFUNCTION("""COMPUTED_VALUE"""),0.362078667190394)</f>
        <v>0.3620786672</v>
      </c>
      <c r="L1439" s="165">
        <f>IFERROR(__xludf.DUMMYFUNCTION("""COMPUTED_VALUE"""),0.442934937799865)</f>
        <v>0.4429349378</v>
      </c>
      <c r="M1439" s="166">
        <f t="shared" si="2"/>
        <v>0.1420185054</v>
      </c>
      <c r="N1439" s="167">
        <f t="shared" si="3"/>
        <v>6.815</v>
      </c>
      <c r="O1439" s="163">
        <f t="shared" ref="O1439:Q1439" si="1443">rank(I1439,I:I)</f>
        <v>2765</v>
      </c>
      <c r="P1439" s="163">
        <f t="shared" si="1443"/>
        <v>739</v>
      </c>
      <c r="Q1439" s="163">
        <f t="shared" si="1443"/>
        <v>859</v>
      </c>
      <c r="R1439" s="163">
        <f>IFERROR(__xludf.DUMMYFUNCTION("RANK(M1439,filter(M:M,C:C=C1439))"),357.0)</f>
        <v>357</v>
      </c>
      <c r="S1439" s="161" t="b">
        <f t="shared" si="5"/>
        <v>0</v>
      </c>
      <c r="T1439" s="161" t="b">
        <f t="array" ref="T1439">index('Query Tool'!B:B,match(H1439,'Query Tool'!C:C,0))</f>
        <v>1</v>
      </c>
      <c r="U1439" s="161" t="b">
        <f t="array" ref="U1439">index('Query Tool'!B:B,match(C1439,'Query Tool'!C:C,0))</f>
        <v>0</v>
      </c>
      <c r="V1439" s="161" t="b">
        <f>F1439&gt;='Query Tool'!C$32</f>
        <v>0</v>
      </c>
      <c r="W1439" s="161" t="b">
        <f t="array" ref="W1439">index(Dropdowns!B:B,match(I1439,Dropdowns!A:A,0))</f>
        <v>1</v>
      </c>
      <c r="X1439" s="161" t="b">
        <f t="array" ref="X1439">index('Query Tool'!B:B,match(D1439,'Query Tool'!C:C,0))</f>
        <v>1</v>
      </c>
      <c r="Y1439" s="161" t="str">
        <f t="shared" si="6"/>
        <v>willial03,2015-16</v>
      </c>
      <c r="Z1439" s="168">
        <f t="array" ref="Z1439">iferror(index(I:I,match($A1439&amp;","&amp;index('Year Conversion'!$A:$A,match($C1439,'Year Conversion'!$B:$B,0)),$Y:$Y,0))-I1439,"")</f>
        <v>1</v>
      </c>
      <c r="AA1439" s="168">
        <f t="array" ref="AA1439">iferror(index(J:J,match($A1439&amp;","&amp;index('Year Conversion'!$A:$A,match($C1439,'Year Conversion'!$B:$B,0)),$Y:$Y,0))-J1439,"")</f>
        <v>1.0434152</v>
      </c>
      <c r="AB1439" s="168">
        <f t="array" ref="AB1439">iferror(index(K:K,match($A1439&amp;","&amp;index('Year Conversion'!$A:$A,match($C1439,'Year Conversion'!$B:$B,0)),$Y:$Y,0))-K1439,"")</f>
        <v>0.111721043</v>
      </c>
      <c r="AC1439" s="168" t="str">
        <f t="shared" si="7"/>
        <v>PHO,2015-16</v>
      </c>
    </row>
    <row r="1440">
      <c r="A1440" s="161" t="str">
        <f>IFERROR(__xludf.DUMMYFUNCTION("""COMPUTED_VALUE"""),"dejeabr01")</f>
        <v>dejeabr01</v>
      </c>
      <c r="B1440" s="161" t="str">
        <f>IFERROR(__xludf.DUMMYFUNCTION("""COMPUTED_VALUE"""),"Bryce Dejean-Jones")</f>
        <v>Bryce Dejean-Jones</v>
      </c>
      <c r="C1440" s="162" t="str">
        <f>IFERROR(__xludf.DUMMYFUNCTION("""COMPUTED_VALUE"""),"2015-16")</f>
        <v>2015-16</v>
      </c>
      <c r="D1440" s="163" t="str">
        <f>IFERROR(__xludf.DUMMYFUNCTION("""COMPUTED_VALUE"""),"NOP")</f>
        <v>NOP</v>
      </c>
      <c r="E1440" s="164" t="str">
        <f>IFERROR(__xludf.DUMMYFUNCTION("""COMPUTED_VALUE"""),"Movement Shooter")</f>
        <v>Movement Shooter</v>
      </c>
      <c r="F1440" s="164">
        <f>IFERROR(__xludf.DUMMYFUNCTION("""COMPUTED_VALUE"""),278.556666666667)</f>
        <v>278.5566667</v>
      </c>
      <c r="G1440" s="163">
        <f>IFERROR(__xludf.DUMMYFUNCTION("""COMPUTED_VALUE"""),14.0)</f>
        <v>14</v>
      </c>
      <c r="H1440" s="163" t="str">
        <f>IFERROR(__xludf.DUMMYFUNCTION("""COMPUTED_VALUE"""),"SG")</f>
        <v>SG</v>
      </c>
      <c r="I1440" s="163">
        <f>IFERROR(__xludf.DUMMYFUNCTION("""COMPUTED_VALUE"""),23.0)</f>
        <v>23</v>
      </c>
      <c r="J1440" s="165">
        <f>IFERROR(__xludf.DUMMYFUNCTION("""COMPUTED_VALUE"""),-0.241511341236787)</f>
        <v>-0.2415113412</v>
      </c>
      <c r="K1440" s="165">
        <f>IFERROR(__xludf.DUMMYFUNCTION("""COMPUTED_VALUE"""),-0.830269751897077)</f>
        <v>-0.8302697519</v>
      </c>
      <c r="L1440" s="165">
        <f>IFERROR(__xludf.DUMMYFUNCTION("""COMPUTED_VALUE"""),0.588758410660289)</f>
        <v>0.5887584107</v>
      </c>
      <c r="M1440" s="166">
        <f t="shared" si="2"/>
        <v>0.3840893563</v>
      </c>
      <c r="N1440" s="167">
        <f t="shared" si="3"/>
        <v>19.89690476</v>
      </c>
      <c r="O1440" s="163">
        <f t="shared" ref="O1440:Q1440" si="1444">rank(I1440,I:I)</f>
        <v>2765</v>
      </c>
      <c r="P1440" s="163">
        <f t="shared" si="1444"/>
        <v>1549</v>
      </c>
      <c r="Q1440" s="163">
        <f t="shared" si="1444"/>
        <v>2592</v>
      </c>
      <c r="R1440" s="163">
        <f>IFERROR(__xludf.DUMMYFUNCTION("RANK(M1440,filter(M:M,C:C=C1440))"),298.0)</f>
        <v>298</v>
      </c>
      <c r="S1440" s="161" t="b">
        <f t="shared" si="5"/>
        <v>0</v>
      </c>
      <c r="T1440" s="161" t="b">
        <f t="array" ref="T1440">index('Query Tool'!B:B,match(H1440,'Query Tool'!C:C,0))</f>
        <v>1</v>
      </c>
      <c r="U1440" s="161" t="b">
        <f t="array" ref="U1440">index('Query Tool'!B:B,match(C1440,'Query Tool'!C:C,0))</f>
        <v>0</v>
      </c>
      <c r="V1440" s="161" t="b">
        <f>F1440&gt;='Query Tool'!C$32</f>
        <v>0</v>
      </c>
      <c r="W1440" s="161" t="b">
        <f t="array" ref="W1440">index(Dropdowns!B:B,match(I1440,Dropdowns!A:A,0))</f>
        <v>1</v>
      </c>
      <c r="X1440" s="161" t="b">
        <f t="array" ref="X1440">index('Query Tool'!B:B,match(D1440,'Query Tool'!C:C,0))</f>
        <v>1</v>
      </c>
      <c r="Y1440" s="161" t="str">
        <f t="shared" si="6"/>
        <v>dejeabr01,2015-16</v>
      </c>
      <c r="Z1440" s="168" t="str">
        <f t="array" ref="Z1440">iferror(index(I:I,match($A1440&amp;","&amp;index('Year Conversion'!$A:$A,match($C1440,'Year Conversion'!$B:$B,0)),$Y:$Y,0))-I1440,"")</f>
        <v/>
      </c>
      <c r="AA1440" s="168" t="str">
        <f t="array" ref="AA1440">iferror(index(J:J,match($A1440&amp;","&amp;index('Year Conversion'!$A:$A,match($C1440,'Year Conversion'!$B:$B,0)),$Y:$Y,0))-J1440,"")</f>
        <v/>
      </c>
      <c r="AB1440" s="168" t="str">
        <f t="array" ref="AB1440">iferror(index(K:K,match($A1440&amp;","&amp;index('Year Conversion'!$A:$A,match($C1440,'Year Conversion'!$B:$B,0)),$Y:$Y,0))-K1440,"")</f>
        <v/>
      </c>
      <c r="AC1440" s="168" t="str">
        <f t="shared" si="7"/>
        <v>NOP,2015-16</v>
      </c>
    </row>
    <row r="1441">
      <c r="A1441" s="161" t="str">
        <f>IFERROR(__xludf.DUMMYFUNCTION("""COMPUTED_VALUE"""),"montelu01")</f>
        <v>montelu01</v>
      </c>
      <c r="B1441" s="161" t="str">
        <f>IFERROR(__xludf.DUMMYFUNCTION("""COMPUTED_VALUE"""),"Luis Montero")</f>
        <v>Luis Montero</v>
      </c>
      <c r="C1441" s="162" t="str">
        <f>IFERROR(__xludf.DUMMYFUNCTION("""COMPUTED_VALUE"""),"2015-16")</f>
        <v>2015-16</v>
      </c>
      <c r="D1441" s="163" t="str">
        <f>IFERROR(__xludf.DUMMYFUNCTION("""COMPUTED_VALUE"""),"POR")</f>
        <v>POR</v>
      </c>
      <c r="E1441" s="164" t="str">
        <f>IFERROR(__xludf.DUMMYFUNCTION("""COMPUTED_VALUE"""),"Stationary Shooter")</f>
        <v>Stationary Shooter</v>
      </c>
      <c r="F1441" s="164">
        <f>IFERROR(__xludf.DUMMYFUNCTION("""COMPUTED_VALUE"""),42.0366666666667)</f>
        <v>42.03666667</v>
      </c>
      <c r="G1441" s="163">
        <f>IFERROR(__xludf.DUMMYFUNCTION("""COMPUTED_VALUE"""),12.0)</f>
        <v>12</v>
      </c>
      <c r="H1441" s="163" t="str">
        <f>IFERROR(__xludf.DUMMYFUNCTION("""COMPUTED_VALUE"""),"SG")</f>
        <v>SG</v>
      </c>
      <c r="I1441" s="163">
        <f>IFERROR(__xludf.DUMMYFUNCTION("""COMPUTED_VALUE"""),22.0)</f>
        <v>22</v>
      </c>
      <c r="J1441" s="165">
        <f>IFERROR(__xludf.DUMMYFUNCTION("""COMPUTED_VALUE"""),-0.828741076728263)</f>
        <v>-0.8287410767</v>
      </c>
      <c r="K1441" s="165">
        <f>IFERROR(__xludf.DUMMYFUNCTION("""COMPUTED_VALUE"""),-0.441533040003024)</f>
        <v>-0.44153304</v>
      </c>
      <c r="L1441" s="165">
        <f>IFERROR(__xludf.DUMMYFUNCTION("""COMPUTED_VALUE"""),-0.387208036725239)</f>
        <v>-0.3872080367</v>
      </c>
      <c r="M1441" s="166">
        <f t="shared" si="2"/>
        <v>0.04134181531</v>
      </c>
      <c r="N1441" s="167">
        <f t="shared" si="3"/>
        <v>3.503055556</v>
      </c>
      <c r="O1441" s="163">
        <f t="shared" ref="O1441:Q1441" si="1445">rank(I1441,I:I)</f>
        <v>3178</v>
      </c>
      <c r="P1441" s="163">
        <f t="shared" si="1445"/>
        <v>2322</v>
      </c>
      <c r="Q1441" s="163">
        <f t="shared" si="1445"/>
        <v>2018</v>
      </c>
      <c r="R1441" s="163">
        <f>IFERROR(__xludf.DUMMYFUNCTION("RANK(M1441,filter(M:M,C:C=C1441))"),405.0)</f>
        <v>405</v>
      </c>
      <c r="S1441" s="161" t="b">
        <f t="shared" si="5"/>
        <v>0</v>
      </c>
      <c r="T1441" s="161" t="b">
        <f t="array" ref="T1441">index('Query Tool'!B:B,match(H1441,'Query Tool'!C:C,0))</f>
        <v>1</v>
      </c>
      <c r="U1441" s="161" t="b">
        <f t="array" ref="U1441">index('Query Tool'!B:B,match(C1441,'Query Tool'!C:C,0))</f>
        <v>0</v>
      </c>
      <c r="V1441" s="161" t="b">
        <f>F1441&gt;='Query Tool'!C$32</f>
        <v>0</v>
      </c>
      <c r="W1441" s="161" t="b">
        <f t="array" ref="W1441">index(Dropdowns!B:B,match(I1441,Dropdowns!A:A,0))</f>
        <v>1</v>
      </c>
      <c r="X1441" s="161" t="b">
        <f t="array" ref="X1441">index('Query Tool'!B:B,match(D1441,'Query Tool'!C:C,0))</f>
        <v>1</v>
      </c>
      <c r="Y1441" s="161" t="str">
        <f t="shared" si="6"/>
        <v>montelu01,2015-16</v>
      </c>
      <c r="Z1441" s="168" t="str">
        <f t="array" ref="Z1441">iferror(index(I:I,match($A1441&amp;","&amp;index('Year Conversion'!$A:$A,match($C1441,'Year Conversion'!$B:$B,0)),$Y:$Y,0))-I1441,"")</f>
        <v/>
      </c>
      <c r="AA1441" s="168" t="str">
        <f t="array" ref="AA1441">iferror(index(J:J,match($A1441&amp;","&amp;index('Year Conversion'!$A:$A,match($C1441,'Year Conversion'!$B:$B,0)),$Y:$Y,0))-J1441,"")</f>
        <v/>
      </c>
      <c r="AB1441" s="168" t="str">
        <f t="array" ref="AB1441">iferror(index(K:K,match($A1441&amp;","&amp;index('Year Conversion'!$A:$A,match($C1441,'Year Conversion'!$B:$B,0)),$Y:$Y,0))-K1441,"")</f>
        <v/>
      </c>
      <c r="AC1441" s="168" t="str">
        <f t="shared" si="7"/>
        <v>POR,2015-16</v>
      </c>
    </row>
    <row r="1442">
      <c r="A1442" s="161" t="str">
        <f>IFERROR(__xludf.DUMMYFUNCTION("""COMPUTED_VALUE"""),"feliccr01")</f>
        <v>feliccr01</v>
      </c>
      <c r="B1442" s="161" t="str">
        <f>IFERROR(__xludf.DUMMYFUNCTION("""COMPUTED_VALUE"""),"Cristiano Felicio")</f>
        <v>Cristiano Felicio</v>
      </c>
      <c r="C1442" s="162" t="str">
        <f>IFERROR(__xludf.DUMMYFUNCTION("""COMPUTED_VALUE"""),"2015-16")</f>
        <v>2015-16</v>
      </c>
      <c r="D1442" s="163" t="str">
        <f>IFERROR(__xludf.DUMMYFUNCTION("""COMPUTED_VALUE"""),"CHI")</f>
        <v>CHI</v>
      </c>
      <c r="E1442" s="164" t="str">
        <f>IFERROR(__xludf.DUMMYFUNCTION("""COMPUTED_VALUE"""),"Roll + Cut Big")</f>
        <v>Roll + Cut Big</v>
      </c>
      <c r="F1442" s="164">
        <f>IFERROR(__xludf.DUMMYFUNCTION("""COMPUTED_VALUE"""),320.703333333333)</f>
        <v>320.7033333</v>
      </c>
      <c r="G1442" s="163">
        <f>IFERROR(__xludf.DUMMYFUNCTION("""COMPUTED_VALUE"""),31.0)</f>
        <v>31</v>
      </c>
      <c r="H1442" s="163" t="str">
        <f>IFERROR(__xludf.DUMMYFUNCTION("""COMPUTED_VALUE"""),"C")</f>
        <v>C</v>
      </c>
      <c r="I1442" s="163">
        <f>IFERROR(__xludf.DUMMYFUNCTION("""COMPUTED_VALUE"""),23.0)</f>
        <v>23</v>
      </c>
      <c r="J1442" s="165">
        <f>IFERROR(__xludf.DUMMYFUNCTION("""COMPUTED_VALUE"""),1.49505321150051)</f>
        <v>1.495053212</v>
      </c>
      <c r="K1442" s="165">
        <f>IFERROR(__xludf.DUMMYFUNCTION("""COMPUTED_VALUE"""),0.0710573443812518)</f>
        <v>0.07105734438</v>
      </c>
      <c r="L1442" s="165">
        <f>IFERROR(__xludf.DUMMYFUNCTION("""COMPUTED_VALUE"""),1.42399586711926)</f>
        <v>1.423995867</v>
      </c>
      <c r="M1442" s="166">
        <f t="shared" si="2"/>
        <v>0.8166704453</v>
      </c>
      <c r="N1442" s="167">
        <f t="shared" si="3"/>
        <v>10.34526882</v>
      </c>
      <c r="O1442" s="163">
        <f t="shared" ref="O1442:Q1442" si="1446">rank(I1442,I:I)</f>
        <v>2765</v>
      </c>
      <c r="P1442" s="163">
        <f t="shared" si="1446"/>
        <v>455</v>
      </c>
      <c r="Q1442" s="163">
        <f t="shared" si="1446"/>
        <v>1107</v>
      </c>
      <c r="R1442" s="163">
        <f>IFERROR(__xludf.DUMMYFUNCTION("RANK(M1442,filter(M:M,C:C=C1442))"),239.0)</f>
        <v>239</v>
      </c>
      <c r="S1442" s="161" t="b">
        <f t="shared" si="5"/>
        <v>0</v>
      </c>
      <c r="T1442" s="161" t="b">
        <f t="array" ref="T1442">index('Query Tool'!B:B,match(H1442,'Query Tool'!C:C,0))</f>
        <v>1</v>
      </c>
      <c r="U1442" s="161" t="b">
        <f t="array" ref="U1442">index('Query Tool'!B:B,match(C1442,'Query Tool'!C:C,0))</f>
        <v>0</v>
      </c>
      <c r="V1442" s="161" t="b">
        <f>F1442&gt;='Query Tool'!C$32</f>
        <v>0</v>
      </c>
      <c r="W1442" s="161" t="b">
        <f t="array" ref="W1442">index(Dropdowns!B:B,match(I1442,Dropdowns!A:A,0))</f>
        <v>1</v>
      </c>
      <c r="X1442" s="161" t="b">
        <f t="array" ref="X1442">index('Query Tool'!B:B,match(D1442,'Query Tool'!C:C,0))</f>
        <v>1</v>
      </c>
      <c r="Y1442" s="161" t="str">
        <f t="shared" si="6"/>
        <v>feliccr01,2015-16</v>
      </c>
      <c r="Z1442" s="168">
        <f t="array" ref="Z1442">iferror(index(I:I,match($A1442&amp;","&amp;index('Year Conversion'!$A:$A,match($C1442,'Year Conversion'!$B:$B,0)),$Y:$Y,0))-I1442,"")</f>
        <v>1</v>
      </c>
      <c r="AA1442" s="168">
        <f t="array" ref="AA1442">iferror(index(J:J,match($A1442&amp;","&amp;index('Year Conversion'!$A:$A,match($C1442,'Year Conversion'!$B:$B,0)),$Y:$Y,0))-J1442,"")</f>
        <v>-2.870851014</v>
      </c>
      <c r="AB1442" s="168">
        <f t="array" ref="AB1442">iferror(index(K:K,match($A1442&amp;","&amp;index('Year Conversion'!$A:$A,match($C1442,'Year Conversion'!$B:$B,0)),$Y:$Y,0))-K1442,"")</f>
        <v>-1.025562818</v>
      </c>
      <c r="AC1442" s="168" t="str">
        <f t="shared" si="7"/>
        <v>CHI,2015-16</v>
      </c>
    </row>
    <row r="1443">
      <c r="A1443" s="161" t="str">
        <f>IFERROR(__xludf.DUMMYFUNCTION("""COMPUTED_VALUE"""),"marjabo01")</f>
        <v>marjabo01</v>
      </c>
      <c r="B1443" s="161" t="str">
        <f>IFERROR(__xludf.DUMMYFUNCTION("""COMPUTED_VALUE"""),"Boban Marjanovic")</f>
        <v>Boban Marjanovic</v>
      </c>
      <c r="C1443" s="162" t="str">
        <f>IFERROR(__xludf.DUMMYFUNCTION("""COMPUTED_VALUE"""),"2015-16")</f>
        <v>2015-16</v>
      </c>
      <c r="D1443" s="163" t="str">
        <f>IFERROR(__xludf.DUMMYFUNCTION("""COMPUTED_VALUE"""),"SAS")</f>
        <v>SAS</v>
      </c>
      <c r="E1443" s="164" t="str">
        <f>IFERROR(__xludf.DUMMYFUNCTION("""COMPUTED_VALUE"""),"Post Scorer")</f>
        <v>Post Scorer</v>
      </c>
      <c r="F1443" s="164">
        <f>IFERROR(__xludf.DUMMYFUNCTION("""COMPUTED_VALUE"""),507.805)</f>
        <v>507.805</v>
      </c>
      <c r="G1443" s="163">
        <f>IFERROR(__xludf.DUMMYFUNCTION("""COMPUTED_VALUE"""),54.0)</f>
        <v>54</v>
      </c>
      <c r="H1443" s="163" t="str">
        <f>IFERROR(__xludf.DUMMYFUNCTION("""COMPUTED_VALUE"""),"C")</f>
        <v>C</v>
      </c>
      <c r="I1443" s="163">
        <f>IFERROR(__xludf.DUMMYFUNCTION("""COMPUTED_VALUE"""),27.0)</f>
        <v>27</v>
      </c>
      <c r="J1443" s="165">
        <f>IFERROR(__xludf.DUMMYFUNCTION("""COMPUTED_VALUE"""),2.41777469468974)</f>
        <v>2.417774695</v>
      </c>
      <c r="K1443" s="165">
        <f>IFERROR(__xludf.DUMMYFUNCTION("""COMPUTED_VALUE"""),2.5703285850205)</f>
        <v>2.570328585</v>
      </c>
      <c r="L1443" s="165">
        <f>IFERROR(__xludf.DUMMYFUNCTION("""COMPUTED_VALUE"""),-0.152553890330763)</f>
        <v>-0.1525538903</v>
      </c>
      <c r="M1443" s="166">
        <f t="shared" si="2"/>
        <v>1.60395095</v>
      </c>
      <c r="N1443" s="167">
        <f t="shared" si="3"/>
        <v>9.403796296</v>
      </c>
      <c r="O1443" s="163">
        <f t="shared" ref="O1443:Q1443" si="1447">rank(I1443,I:I)</f>
        <v>1366</v>
      </c>
      <c r="P1443" s="163">
        <f t="shared" si="1447"/>
        <v>235</v>
      </c>
      <c r="Q1443" s="163">
        <f t="shared" si="1447"/>
        <v>150</v>
      </c>
      <c r="R1443" s="163">
        <f>IFERROR(__xludf.DUMMYFUNCTION("RANK(M1443,filter(M:M,C:C=C1443))"),181.0)</f>
        <v>181</v>
      </c>
      <c r="S1443" s="161" t="b">
        <f t="shared" si="5"/>
        <v>0</v>
      </c>
      <c r="T1443" s="161" t="b">
        <f t="array" ref="T1443">index('Query Tool'!B:B,match(H1443,'Query Tool'!C:C,0))</f>
        <v>1</v>
      </c>
      <c r="U1443" s="161" t="b">
        <f t="array" ref="U1443">index('Query Tool'!B:B,match(C1443,'Query Tool'!C:C,0))</f>
        <v>0</v>
      </c>
      <c r="V1443" s="161" t="b">
        <f>F1443&gt;='Query Tool'!C$32</f>
        <v>1</v>
      </c>
      <c r="W1443" s="161" t="b">
        <f t="array" ref="W1443">index(Dropdowns!B:B,match(I1443,Dropdowns!A:A,0))</f>
        <v>1</v>
      </c>
      <c r="X1443" s="161" t="b">
        <f t="array" ref="X1443">index('Query Tool'!B:B,match(D1443,'Query Tool'!C:C,0))</f>
        <v>1</v>
      </c>
      <c r="Y1443" s="161" t="str">
        <f t="shared" si="6"/>
        <v>marjabo01,2015-16</v>
      </c>
      <c r="Z1443" s="168">
        <f t="array" ref="Z1443">iferror(index(I:I,match($A1443&amp;","&amp;index('Year Conversion'!$A:$A,match($C1443,'Year Conversion'!$B:$B,0)),$Y:$Y,0))-I1443,"")</f>
        <v>1</v>
      </c>
      <c r="AA1443" s="168">
        <f t="array" ref="AA1443">iferror(index(J:J,match($A1443&amp;","&amp;index('Year Conversion'!$A:$A,match($C1443,'Year Conversion'!$B:$B,0)),$Y:$Y,0))-J1443,"")</f>
        <v>0.01318363732</v>
      </c>
      <c r="AB1443" s="168">
        <f t="array" ref="AB1443">iferror(index(K:K,match($A1443&amp;","&amp;index('Year Conversion'!$A:$A,match($C1443,'Year Conversion'!$B:$B,0)),$Y:$Y,0))-K1443,"")</f>
        <v>-1.080937533</v>
      </c>
      <c r="AC1443" s="168" t="str">
        <f t="shared" si="7"/>
        <v>SAS,2015-16</v>
      </c>
    </row>
    <row r="1444">
      <c r="A1444" s="161" t="str">
        <f>IFERROR(__xludf.DUMMYFUNCTION("""COMPUTED_VALUE"""),"dukandu01")</f>
        <v>dukandu01</v>
      </c>
      <c r="B1444" s="161" t="str">
        <f>IFERROR(__xludf.DUMMYFUNCTION("""COMPUTED_VALUE"""),"Duje Dukan")</f>
        <v>Duje Dukan</v>
      </c>
      <c r="C1444" s="162" t="str">
        <f>IFERROR(__xludf.DUMMYFUNCTION("""COMPUTED_VALUE"""),"2015-16")</f>
        <v>2015-16</v>
      </c>
      <c r="D1444" s="163" t="str">
        <f>IFERROR(__xludf.DUMMYFUNCTION("""COMPUTED_VALUE"""),"SAC")</f>
        <v>SAC</v>
      </c>
      <c r="E1444" s="164" t="str">
        <f>IFERROR(__xludf.DUMMYFUNCTION("""COMPUTED_VALUE"""),"Secondary Ball Handler")</f>
        <v>Secondary Ball Handler</v>
      </c>
      <c r="F1444" s="164">
        <f>IFERROR(__xludf.DUMMYFUNCTION("""COMPUTED_VALUE"""),24.2333333333333)</f>
        <v>24.23333333</v>
      </c>
      <c r="G1444" s="163">
        <f>IFERROR(__xludf.DUMMYFUNCTION("""COMPUTED_VALUE"""),1.0)</f>
        <v>1</v>
      </c>
      <c r="H1444" s="163" t="str">
        <f>IFERROR(__xludf.DUMMYFUNCTION("""COMPUTED_VALUE"""),"SF")</f>
        <v>SF</v>
      </c>
      <c r="I1444" s="163">
        <f>IFERROR(__xludf.DUMMYFUNCTION("""COMPUTED_VALUE"""),24.0)</f>
        <v>24</v>
      </c>
      <c r="J1444" s="165">
        <f>IFERROR(__xludf.DUMMYFUNCTION("""COMPUTED_VALUE"""),-0.429453005166848)</f>
        <v>-0.4294530052</v>
      </c>
      <c r="K1444" s="165">
        <f>IFERROR(__xludf.DUMMYFUNCTION("""COMPUTED_VALUE"""),-0.0814635095758658)</f>
        <v>-0.08146350958</v>
      </c>
      <c r="L1444" s="165">
        <f>IFERROR(__xludf.DUMMYFUNCTION("""COMPUTED_VALUE"""),-0.347989495590982)</f>
        <v>-0.3479894956</v>
      </c>
      <c r="M1444" s="166">
        <f t="shared" si="2"/>
        <v>0.03034517343</v>
      </c>
      <c r="N1444" s="167">
        <f t="shared" si="3"/>
        <v>24.23333333</v>
      </c>
      <c r="O1444" s="163">
        <f t="shared" ref="O1444:Q1444" si="1448">rank(I1444,I:I)</f>
        <v>2361</v>
      </c>
      <c r="P1444" s="163">
        <f t="shared" si="1448"/>
        <v>1757</v>
      </c>
      <c r="Q1444" s="163">
        <f t="shared" si="1448"/>
        <v>1328</v>
      </c>
      <c r="R1444" s="163">
        <f>IFERROR(__xludf.DUMMYFUNCTION("RANK(M1444,filter(M:M,C:C=C1444))"),413.0)</f>
        <v>413</v>
      </c>
      <c r="S1444" s="161" t="b">
        <f t="shared" si="5"/>
        <v>0</v>
      </c>
      <c r="T1444" s="161" t="b">
        <f t="array" ref="T1444">index('Query Tool'!B:B,match(H1444,'Query Tool'!C:C,0))</f>
        <v>1</v>
      </c>
      <c r="U1444" s="161" t="b">
        <f t="array" ref="U1444">index('Query Tool'!B:B,match(C1444,'Query Tool'!C:C,0))</f>
        <v>0</v>
      </c>
      <c r="V1444" s="161" t="b">
        <f>F1444&gt;='Query Tool'!C$32</f>
        <v>0</v>
      </c>
      <c r="W1444" s="161" t="b">
        <f t="array" ref="W1444">index(Dropdowns!B:B,match(I1444,Dropdowns!A:A,0))</f>
        <v>1</v>
      </c>
      <c r="X1444" s="161" t="b">
        <f t="array" ref="X1444">index('Query Tool'!B:B,match(D1444,'Query Tool'!C:C,0))</f>
        <v>1</v>
      </c>
      <c r="Y1444" s="161" t="str">
        <f t="shared" si="6"/>
        <v>dukandu01,2015-16</v>
      </c>
      <c r="Z1444" s="168" t="str">
        <f t="array" ref="Z1444">iferror(index(I:I,match($A1444&amp;","&amp;index('Year Conversion'!$A:$A,match($C1444,'Year Conversion'!$B:$B,0)),$Y:$Y,0))-I1444,"")</f>
        <v/>
      </c>
      <c r="AA1444" s="168" t="str">
        <f t="array" ref="AA1444">iferror(index(J:J,match($A1444&amp;","&amp;index('Year Conversion'!$A:$A,match($C1444,'Year Conversion'!$B:$B,0)),$Y:$Y,0))-J1444,"")</f>
        <v/>
      </c>
      <c r="AB1444" s="168" t="str">
        <f t="array" ref="AB1444">iferror(index(K:K,match($A1444&amp;","&amp;index('Year Conversion'!$A:$A,match($C1444,'Year Conversion'!$B:$B,0)),$Y:$Y,0))-K1444,"")</f>
        <v/>
      </c>
      <c r="AC1444" s="168" t="str">
        <f t="shared" si="7"/>
        <v>SAC,2015-16</v>
      </c>
    </row>
    <row r="1445">
      <c r="A1445" s="161" t="str">
        <f>IFERROR(__xludf.DUMMYFUNCTION("""COMPUTED_VALUE"""),"toupaax01")</f>
        <v>toupaax01</v>
      </c>
      <c r="B1445" s="161" t="str">
        <f>IFERROR(__xludf.DUMMYFUNCTION("""COMPUTED_VALUE"""),"Axel Toupane")</f>
        <v>Axel Toupane</v>
      </c>
      <c r="C1445" s="162" t="str">
        <f>IFERROR(__xludf.DUMMYFUNCTION("""COMPUTED_VALUE"""),"2015-16")</f>
        <v>2015-16</v>
      </c>
      <c r="D1445" s="163" t="str">
        <f>IFERROR(__xludf.DUMMYFUNCTION("""COMPUTED_VALUE"""),"DEN")</f>
        <v>DEN</v>
      </c>
      <c r="E1445" s="164" t="str">
        <f>IFERROR(__xludf.DUMMYFUNCTION("""COMPUTED_VALUE"""),"Athletic Finisher")</f>
        <v>Athletic Finisher</v>
      </c>
      <c r="F1445" s="164">
        <f>IFERROR(__xludf.DUMMYFUNCTION("""COMPUTED_VALUE"""),305.425)</f>
        <v>305.425</v>
      </c>
      <c r="G1445" s="163">
        <f>IFERROR(__xludf.DUMMYFUNCTION("""COMPUTED_VALUE"""),21.0)</f>
        <v>21</v>
      </c>
      <c r="H1445" s="163" t="str">
        <f>IFERROR(__xludf.DUMMYFUNCTION("""COMPUTED_VALUE"""),"SF")</f>
        <v>SF</v>
      </c>
      <c r="I1445" s="163">
        <f>IFERROR(__xludf.DUMMYFUNCTION("""COMPUTED_VALUE"""),23.0)</f>
        <v>23</v>
      </c>
      <c r="J1445" s="165">
        <f>IFERROR(__xludf.DUMMYFUNCTION("""COMPUTED_VALUE"""),-1.21305754654716)</f>
        <v>-1.213057547</v>
      </c>
      <c r="K1445" s="165">
        <f>IFERROR(__xludf.DUMMYFUNCTION("""COMPUTED_VALUE"""),-0.978149644287055)</f>
        <v>-0.9781496443</v>
      </c>
      <c r="L1445" s="165">
        <f>IFERROR(__xludf.DUMMYFUNCTION("""COMPUTED_VALUE"""),-0.2349079022601)</f>
        <v>-0.2349079023</v>
      </c>
      <c r="M1445" s="166">
        <f t="shared" si="2"/>
        <v>0.2215868585</v>
      </c>
      <c r="N1445" s="167">
        <f t="shared" si="3"/>
        <v>14.54404762</v>
      </c>
      <c r="O1445" s="163">
        <f t="shared" ref="O1445:Q1445" si="1449">rank(I1445,I:I)</f>
        <v>2765</v>
      </c>
      <c r="P1445" s="163">
        <f t="shared" si="1449"/>
        <v>2761</v>
      </c>
      <c r="Q1445" s="163">
        <f t="shared" si="1449"/>
        <v>2775</v>
      </c>
      <c r="R1445" s="163">
        <f>IFERROR(__xludf.DUMMYFUNCTION("RANK(M1445,filter(M:M,C:C=C1445))"),339.0)</f>
        <v>339</v>
      </c>
      <c r="S1445" s="161" t="b">
        <f t="shared" si="5"/>
        <v>0</v>
      </c>
      <c r="T1445" s="161" t="b">
        <f t="array" ref="T1445">index('Query Tool'!B:B,match(H1445,'Query Tool'!C:C,0))</f>
        <v>1</v>
      </c>
      <c r="U1445" s="161" t="b">
        <f t="array" ref="U1445">index('Query Tool'!B:B,match(C1445,'Query Tool'!C:C,0))</f>
        <v>0</v>
      </c>
      <c r="V1445" s="161" t="b">
        <f>F1445&gt;='Query Tool'!C$32</f>
        <v>0</v>
      </c>
      <c r="W1445" s="161" t="b">
        <f t="array" ref="W1445">index(Dropdowns!B:B,match(I1445,Dropdowns!A:A,0))</f>
        <v>1</v>
      </c>
      <c r="X1445" s="161" t="b">
        <f t="array" ref="X1445">index('Query Tool'!B:B,match(D1445,'Query Tool'!C:C,0))</f>
        <v>1</v>
      </c>
      <c r="Y1445" s="161" t="str">
        <f t="shared" si="6"/>
        <v>toupaax01,2015-16</v>
      </c>
      <c r="Z1445" s="168">
        <f t="array" ref="Z1445">iferror(index(I:I,match($A1445&amp;","&amp;index('Year Conversion'!$A:$A,match($C1445,'Year Conversion'!$B:$B,0)),$Y:$Y,0))-I1445,"")</f>
        <v>1</v>
      </c>
      <c r="AA1445" s="168">
        <f t="array" ref="AA1445">iferror(index(J:J,match($A1445&amp;","&amp;index('Year Conversion'!$A:$A,match($C1445,'Year Conversion'!$B:$B,0)),$Y:$Y,0))-J1445,"")</f>
        <v>0.1007773673</v>
      </c>
      <c r="AB1445" s="168">
        <f t="array" ref="AB1445">iferror(index(K:K,match($A1445&amp;","&amp;index('Year Conversion'!$A:$A,match($C1445,'Year Conversion'!$B:$B,0)),$Y:$Y,0))-K1445,"")</f>
        <v>0.3694261531</v>
      </c>
      <c r="AC1445" s="168" t="str">
        <f t="shared" si="7"/>
        <v>DEN,2015-16</v>
      </c>
    </row>
    <row r="1446">
      <c r="A1446" s="161" t="str">
        <f>IFERROR(__xludf.DUMMYFUNCTION("""COMPUTED_VALUE"""),"mejrisa01")</f>
        <v>mejrisa01</v>
      </c>
      <c r="B1446" s="161" t="str">
        <f>IFERROR(__xludf.DUMMYFUNCTION("""COMPUTED_VALUE"""),"Salah Mejri")</f>
        <v>Salah Mejri</v>
      </c>
      <c r="C1446" s="162" t="str">
        <f>IFERROR(__xludf.DUMMYFUNCTION("""COMPUTED_VALUE"""),"2015-16")</f>
        <v>2015-16</v>
      </c>
      <c r="D1446" s="163" t="str">
        <f>IFERROR(__xludf.DUMMYFUNCTION("""COMPUTED_VALUE"""),"DAL")</f>
        <v>DAL</v>
      </c>
      <c r="E1446" s="164" t="str">
        <f>IFERROR(__xludf.DUMMYFUNCTION("""COMPUTED_VALUE"""),"Roll + Cut Big")</f>
        <v>Roll + Cut Big</v>
      </c>
      <c r="F1446" s="164">
        <f>IFERROR(__xludf.DUMMYFUNCTION("""COMPUTED_VALUE"""),397.23)</f>
        <v>397.23</v>
      </c>
      <c r="G1446" s="163">
        <f>IFERROR(__xludf.DUMMYFUNCTION("""COMPUTED_VALUE"""),34.0)</f>
        <v>34</v>
      </c>
      <c r="H1446" s="163" t="str">
        <f>IFERROR(__xludf.DUMMYFUNCTION("""COMPUTED_VALUE"""),"C")</f>
        <v>C</v>
      </c>
      <c r="I1446" s="163">
        <f>IFERROR(__xludf.DUMMYFUNCTION("""COMPUTED_VALUE"""),29.0)</f>
        <v>29</v>
      </c>
      <c r="J1446" s="165">
        <f>IFERROR(__xludf.DUMMYFUNCTION("""COMPUTED_VALUE"""),0.974089350153225)</f>
        <v>0.9740893502</v>
      </c>
      <c r="K1446" s="165">
        <f>IFERROR(__xludf.DUMMYFUNCTION("""COMPUTED_VALUE"""),-1.41370113389527)</f>
        <v>-1.413701134</v>
      </c>
      <c r="L1446" s="165">
        <f>IFERROR(__xludf.DUMMYFUNCTION("""COMPUTED_VALUE"""),2.38779048404849)</f>
        <v>2.387790484</v>
      </c>
      <c r="M1446" s="166">
        <f t="shared" si="2"/>
        <v>0.8729222642</v>
      </c>
      <c r="N1446" s="167">
        <f t="shared" si="3"/>
        <v>11.68323529</v>
      </c>
      <c r="O1446" s="163">
        <f t="shared" ref="O1446:Q1446" si="1450">rank(I1446,I:I)</f>
        <v>855</v>
      </c>
      <c r="P1446" s="163">
        <f t="shared" si="1450"/>
        <v>667</v>
      </c>
      <c r="Q1446" s="163">
        <f t="shared" si="1450"/>
        <v>3263</v>
      </c>
      <c r="R1446" s="163">
        <f>IFERROR(__xludf.DUMMYFUNCTION("RANK(M1446,filter(M:M,C:C=C1446))"),232.0)</f>
        <v>232</v>
      </c>
      <c r="S1446" s="161" t="b">
        <f t="shared" si="5"/>
        <v>0</v>
      </c>
      <c r="T1446" s="161" t="b">
        <f t="array" ref="T1446">index('Query Tool'!B:B,match(H1446,'Query Tool'!C:C,0))</f>
        <v>1</v>
      </c>
      <c r="U1446" s="161" t="b">
        <f t="array" ref="U1446">index('Query Tool'!B:B,match(C1446,'Query Tool'!C:C,0))</f>
        <v>0</v>
      </c>
      <c r="V1446" s="161" t="b">
        <f>F1446&gt;='Query Tool'!C$32</f>
        <v>0</v>
      </c>
      <c r="W1446" s="161" t="b">
        <f t="array" ref="W1446">index(Dropdowns!B:B,match(I1446,Dropdowns!A:A,0))</f>
        <v>1</v>
      </c>
      <c r="X1446" s="161" t="b">
        <f t="array" ref="X1446">index('Query Tool'!B:B,match(D1446,'Query Tool'!C:C,0))</f>
        <v>1</v>
      </c>
      <c r="Y1446" s="161" t="str">
        <f t="shared" si="6"/>
        <v>mejrisa01,2015-16</v>
      </c>
      <c r="Z1446" s="168">
        <f t="array" ref="Z1446">iferror(index(I:I,match($A1446&amp;","&amp;index('Year Conversion'!$A:$A,match($C1446,'Year Conversion'!$B:$B,0)),$Y:$Y,0))-I1446,"")</f>
        <v>1</v>
      </c>
      <c r="AA1446" s="168">
        <f t="array" ref="AA1446">iferror(index(J:J,match($A1446&amp;","&amp;index('Year Conversion'!$A:$A,match($C1446,'Year Conversion'!$B:$B,0)),$Y:$Y,0))-J1446,"")</f>
        <v>0.176684015</v>
      </c>
      <c r="AB1446" s="168">
        <f t="array" ref="AB1446">iferror(index(K:K,match($A1446&amp;","&amp;index('Year Conversion'!$A:$A,match($C1446,'Year Conversion'!$B:$B,0)),$Y:$Y,0))-K1446,"")</f>
        <v>-0.7391759814</v>
      </c>
      <c r="AC1446" s="168" t="str">
        <f t="shared" si="7"/>
        <v>DAL,2015-16</v>
      </c>
    </row>
    <row r="1447">
      <c r="A1447" s="161" t="str">
        <f>IFERROR(__xludf.DUMMYFUNCTION("""COMPUTED_VALUE"""),"clarkco01")</f>
        <v>clarkco01</v>
      </c>
      <c r="B1447" s="161" t="str">
        <f>IFERROR(__xludf.DUMMYFUNCTION("""COMPUTED_VALUE"""),"Coty Clarke")</f>
        <v>Coty Clarke</v>
      </c>
      <c r="C1447" s="162" t="str">
        <f>IFERROR(__xludf.DUMMYFUNCTION("""COMPUTED_VALUE"""),"2015-16")</f>
        <v>2015-16</v>
      </c>
      <c r="D1447" s="163" t="str">
        <f>IFERROR(__xludf.DUMMYFUNCTION("""COMPUTED_VALUE"""),"BOS")</f>
        <v>BOS</v>
      </c>
      <c r="E1447" s="164" t="str">
        <f>IFERROR(__xludf.DUMMYFUNCTION("""COMPUTED_VALUE"""),"Stationary Shooter")</f>
        <v>Stationary Shooter</v>
      </c>
      <c r="F1447" s="164">
        <f>IFERROR(__xludf.DUMMYFUNCTION("""COMPUTED_VALUE"""),5.80166666666667)</f>
        <v>5.801666667</v>
      </c>
      <c r="G1447" s="163">
        <f>IFERROR(__xludf.DUMMYFUNCTION("""COMPUTED_VALUE"""),3.0)</f>
        <v>3</v>
      </c>
      <c r="H1447" s="163" t="str">
        <f>IFERROR(__xludf.DUMMYFUNCTION("""COMPUTED_VALUE"""),"SF")</f>
        <v>SF</v>
      </c>
      <c r="I1447" s="163">
        <f>IFERROR(__xludf.DUMMYFUNCTION("""COMPUTED_VALUE"""),23.0)</f>
        <v>23</v>
      </c>
      <c r="J1447" s="165">
        <f>IFERROR(__xludf.DUMMYFUNCTION("""COMPUTED_VALUE"""),-0.841385556924005)</f>
        <v>-0.8413855569</v>
      </c>
      <c r="K1447" s="165">
        <f>IFERROR(__xludf.DUMMYFUNCTION("""COMPUTED_VALUE"""),-0.271675078492925)</f>
        <v>-0.2716750785</v>
      </c>
      <c r="L1447" s="165">
        <f>IFERROR(__xludf.DUMMYFUNCTION("""COMPUTED_VALUE"""),-0.56971047843108)</f>
        <v>-0.5697104784</v>
      </c>
      <c r="M1447" s="166">
        <f t="shared" si="2"/>
        <v>0.005656452678</v>
      </c>
      <c r="N1447" s="167">
        <f t="shared" si="3"/>
        <v>1.933888889</v>
      </c>
      <c r="O1447" s="163">
        <f t="shared" ref="O1447:Q1447" si="1451">rank(I1447,I:I)</f>
        <v>2765</v>
      </c>
      <c r="P1447" s="163">
        <f t="shared" si="1451"/>
        <v>2337</v>
      </c>
      <c r="Q1447" s="163">
        <f t="shared" si="1451"/>
        <v>1706</v>
      </c>
      <c r="R1447" s="163">
        <f>IFERROR(__xludf.DUMMYFUNCTION("RANK(M1447,filter(M:M,C:C=C1447))"),427.0)</f>
        <v>427</v>
      </c>
      <c r="S1447" s="161" t="b">
        <f t="shared" si="5"/>
        <v>0</v>
      </c>
      <c r="T1447" s="161" t="b">
        <f t="array" ref="T1447">index('Query Tool'!B:B,match(H1447,'Query Tool'!C:C,0))</f>
        <v>1</v>
      </c>
      <c r="U1447" s="161" t="b">
        <f t="array" ref="U1447">index('Query Tool'!B:B,match(C1447,'Query Tool'!C:C,0))</f>
        <v>0</v>
      </c>
      <c r="V1447" s="161" t="b">
        <f>F1447&gt;='Query Tool'!C$32</f>
        <v>0</v>
      </c>
      <c r="W1447" s="161" t="b">
        <f t="array" ref="W1447">index(Dropdowns!B:B,match(I1447,Dropdowns!A:A,0))</f>
        <v>1</v>
      </c>
      <c r="X1447" s="161" t="b">
        <f t="array" ref="X1447">index('Query Tool'!B:B,match(D1447,'Query Tool'!C:C,0))</f>
        <v>1</v>
      </c>
      <c r="Y1447" s="161" t="str">
        <f t="shared" si="6"/>
        <v>clarkco01,2015-16</v>
      </c>
      <c r="Z1447" s="168" t="str">
        <f t="array" ref="Z1447">iferror(index(I:I,match($A1447&amp;","&amp;index('Year Conversion'!$A:$A,match($C1447,'Year Conversion'!$B:$B,0)),$Y:$Y,0))-I1447,"")</f>
        <v/>
      </c>
      <c r="AA1447" s="168" t="str">
        <f t="array" ref="AA1447">iferror(index(J:J,match($A1447&amp;","&amp;index('Year Conversion'!$A:$A,match($C1447,'Year Conversion'!$B:$B,0)),$Y:$Y,0))-J1447,"")</f>
        <v/>
      </c>
      <c r="AB1447" s="168" t="str">
        <f t="array" ref="AB1447">iferror(index(K:K,match($A1447&amp;","&amp;index('Year Conversion'!$A:$A,match($C1447,'Year Conversion'!$B:$B,0)),$Y:$Y,0))-K1447,"")</f>
        <v/>
      </c>
      <c r="AC1447" s="168" t="str">
        <f t="shared" si="7"/>
        <v>BOS,2015-16</v>
      </c>
    </row>
    <row r="1448">
      <c r="A1448" s="161" t="str">
        <f>IFERROR(__xludf.DUMMYFUNCTION("""COMPUTED_VALUE"""),"obriejj01")</f>
        <v>obriejj01</v>
      </c>
      <c r="B1448" s="161" t="str">
        <f>IFERROR(__xludf.DUMMYFUNCTION("""COMPUTED_VALUE"""),"JJ O'Brien")</f>
        <v>JJ O'Brien</v>
      </c>
      <c r="C1448" s="162" t="str">
        <f>IFERROR(__xludf.DUMMYFUNCTION("""COMPUTED_VALUE"""),"2015-16")</f>
        <v>2015-16</v>
      </c>
      <c r="D1448" s="163" t="str">
        <f>IFERROR(__xludf.DUMMYFUNCTION("""COMPUTED_VALUE"""),"UTA")</f>
        <v>UTA</v>
      </c>
      <c r="E1448" s="164" t="str">
        <f>IFERROR(__xludf.DUMMYFUNCTION("""COMPUTED_VALUE"""),"Athletic Finisher")</f>
        <v>Athletic Finisher</v>
      </c>
      <c r="F1448" s="164">
        <f>IFERROR(__xludf.DUMMYFUNCTION("""COMPUTED_VALUE"""),6.26666666666667)</f>
        <v>6.266666667</v>
      </c>
      <c r="G1448" s="163">
        <f>IFERROR(__xludf.DUMMYFUNCTION("""COMPUTED_VALUE"""),2.0)</f>
        <v>2</v>
      </c>
      <c r="H1448" s="163" t="str">
        <f>IFERROR(__xludf.DUMMYFUNCTION("""COMPUTED_VALUE"""),"SF")</f>
        <v>SF</v>
      </c>
      <c r="I1448" s="163">
        <f>IFERROR(__xludf.DUMMYFUNCTION("""COMPUTED_VALUE"""),23.0)</f>
        <v>23</v>
      </c>
      <c r="J1448" s="165">
        <f>IFERROR(__xludf.DUMMYFUNCTION("""COMPUTED_VALUE"""),-0.420884521186431)</f>
        <v>-0.4208845212</v>
      </c>
      <c r="K1448" s="165">
        <f>IFERROR(__xludf.DUMMYFUNCTION("""COMPUTED_VALUE"""),-0.103644182306951)</f>
        <v>-0.1036441823</v>
      </c>
      <c r="L1448" s="165">
        <f>IFERROR(__xludf.DUMMYFUNCTION("""COMPUTED_VALUE"""),-0.31724033887948)</f>
        <v>-0.3172403389</v>
      </c>
      <c r="M1448" s="166">
        <f t="shared" si="2"/>
        <v>0.007883343944</v>
      </c>
      <c r="N1448" s="167">
        <f t="shared" si="3"/>
        <v>3.133333333</v>
      </c>
      <c r="O1448" s="163">
        <f t="shared" ref="O1448:Q1448" si="1452">rank(I1448,I:I)</f>
        <v>2765</v>
      </c>
      <c r="P1448" s="163">
        <f t="shared" si="1452"/>
        <v>1752</v>
      </c>
      <c r="Q1448" s="163">
        <f t="shared" si="1452"/>
        <v>1373</v>
      </c>
      <c r="R1448" s="163">
        <f>IFERROR(__xludf.DUMMYFUNCTION("RANK(M1448,filter(M:M,C:C=C1448))"),424.0)</f>
        <v>424</v>
      </c>
      <c r="S1448" s="161" t="b">
        <f t="shared" si="5"/>
        <v>0</v>
      </c>
      <c r="T1448" s="161" t="b">
        <f t="array" ref="T1448">index('Query Tool'!B:B,match(H1448,'Query Tool'!C:C,0))</f>
        <v>1</v>
      </c>
      <c r="U1448" s="161" t="b">
        <f t="array" ref="U1448">index('Query Tool'!B:B,match(C1448,'Query Tool'!C:C,0))</f>
        <v>0</v>
      </c>
      <c r="V1448" s="161" t="b">
        <f>F1448&gt;='Query Tool'!C$32</f>
        <v>0</v>
      </c>
      <c r="W1448" s="161" t="b">
        <f t="array" ref="W1448">index(Dropdowns!B:B,match(I1448,Dropdowns!A:A,0))</f>
        <v>1</v>
      </c>
      <c r="X1448" s="161" t="b">
        <f t="array" ref="X1448">index('Query Tool'!B:B,match(D1448,'Query Tool'!C:C,0))</f>
        <v>1</v>
      </c>
      <c r="Y1448" s="161" t="str">
        <f t="shared" si="6"/>
        <v>obriejj01,2015-16</v>
      </c>
      <c r="Z1448" s="168" t="str">
        <f t="array" ref="Z1448">iferror(index(I:I,match($A1448&amp;","&amp;index('Year Conversion'!$A:$A,match($C1448,'Year Conversion'!$B:$B,0)),$Y:$Y,0))-I1448,"")</f>
        <v/>
      </c>
      <c r="AA1448" s="168" t="str">
        <f t="array" ref="AA1448">iferror(index(J:J,match($A1448&amp;","&amp;index('Year Conversion'!$A:$A,match($C1448,'Year Conversion'!$B:$B,0)),$Y:$Y,0))-J1448,"")</f>
        <v/>
      </c>
      <c r="AB1448" s="168" t="str">
        <f t="array" ref="AB1448">iferror(index(K:K,match($A1448&amp;","&amp;index('Year Conversion'!$A:$A,match($C1448,'Year Conversion'!$B:$B,0)),$Y:$Y,0))-K1448,"")</f>
        <v/>
      </c>
      <c r="AC1448" s="168" t="str">
        <f t="shared" si="7"/>
        <v>UTA,2015-16</v>
      </c>
    </row>
    <row r="1449">
      <c r="A1449" s="161" t="str">
        <f>IFERROR(__xludf.DUMMYFUNCTION("""COMPUTED_VALUE"""),"huertma01")</f>
        <v>huertma01</v>
      </c>
      <c r="B1449" s="161" t="str">
        <f>IFERROR(__xludf.DUMMYFUNCTION("""COMPUTED_VALUE"""),"Marcelo Huertas")</f>
        <v>Marcelo Huertas</v>
      </c>
      <c r="C1449" s="162" t="str">
        <f>IFERROR(__xludf.DUMMYFUNCTION("""COMPUTED_VALUE"""),"2015-16")</f>
        <v>2015-16</v>
      </c>
      <c r="D1449" s="163" t="str">
        <f>IFERROR(__xludf.DUMMYFUNCTION("""COMPUTED_VALUE"""),"LAL")</f>
        <v>LAL</v>
      </c>
      <c r="E1449" s="164" t="str">
        <f>IFERROR(__xludf.DUMMYFUNCTION("""COMPUTED_VALUE"""),"Secondary Ball Handler")</f>
        <v>Secondary Ball Handler</v>
      </c>
      <c r="F1449" s="164">
        <f>IFERROR(__xludf.DUMMYFUNCTION("""COMPUTED_VALUE"""),868.816666666666)</f>
        <v>868.8166667</v>
      </c>
      <c r="G1449" s="163">
        <f>IFERROR(__xludf.DUMMYFUNCTION("""COMPUTED_VALUE"""),53.0)</f>
        <v>53</v>
      </c>
      <c r="H1449" s="163" t="str">
        <f>IFERROR(__xludf.DUMMYFUNCTION("""COMPUTED_VALUE"""),"PG")</f>
        <v>PG</v>
      </c>
      <c r="I1449" s="163">
        <f>IFERROR(__xludf.DUMMYFUNCTION("""COMPUTED_VALUE"""),32.0)</f>
        <v>32</v>
      </c>
      <c r="J1449" s="165">
        <f>IFERROR(__xludf.DUMMYFUNCTION("""COMPUTED_VALUE"""),-1.76073485093137)</f>
        <v>-1.760734851</v>
      </c>
      <c r="K1449" s="165">
        <f>IFERROR(__xludf.DUMMYFUNCTION("""COMPUTED_VALUE"""),-0.904602360850712)</f>
        <v>-0.9046023609</v>
      </c>
      <c r="L1449" s="165">
        <f>IFERROR(__xludf.DUMMYFUNCTION("""COMPUTED_VALUE"""),-0.856132490080655)</f>
        <v>-0.8561324901</v>
      </c>
      <c r="M1449" s="166">
        <f t="shared" si="2"/>
        <v>0.312498856</v>
      </c>
      <c r="N1449" s="167">
        <f t="shared" si="3"/>
        <v>16.3927673</v>
      </c>
      <c r="O1449" s="163">
        <f t="shared" ref="O1449:Q1449" si="1453">rank(I1449,I:I)</f>
        <v>359</v>
      </c>
      <c r="P1449" s="163">
        <f t="shared" si="1453"/>
        <v>3302</v>
      </c>
      <c r="Q1449" s="163">
        <f t="shared" si="1453"/>
        <v>2697</v>
      </c>
      <c r="R1449" s="163">
        <f>IFERROR(__xludf.DUMMYFUNCTION("RANK(M1449,filter(M:M,C:C=C1449))"),309.0)</f>
        <v>309</v>
      </c>
      <c r="S1449" s="161" t="b">
        <f t="shared" si="5"/>
        <v>0</v>
      </c>
      <c r="T1449" s="161" t="b">
        <f t="array" ref="T1449">index('Query Tool'!B:B,match(H1449,'Query Tool'!C:C,0))</f>
        <v>1</v>
      </c>
      <c r="U1449" s="161" t="b">
        <f t="array" ref="U1449">index('Query Tool'!B:B,match(C1449,'Query Tool'!C:C,0))</f>
        <v>0</v>
      </c>
      <c r="V1449" s="161" t="b">
        <f>F1449&gt;='Query Tool'!C$32</f>
        <v>1</v>
      </c>
      <c r="W1449" s="161" t="b">
        <f t="array" ref="W1449">index(Dropdowns!B:B,match(I1449,Dropdowns!A:A,0))</f>
        <v>1</v>
      </c>
      <c r="X1449" s="161" t="b">
        <f t="array" ref="X1449">index('Query Tool'!B:B,match(D1449,'Query Tool'!C:C,0))</f>
        <v>1</v>
      </c>
      <c r="Y1449" s="161" t="str">
        <f t="shared" si="6"/>
        <v>huertma01,2015-16</v>
      </c>
      <c r="Z1449" s="168">
        <f t="array" ref="Z1449">iferror(index(I:I,match($A1449&amp;","&amp;index('Year Conversion'!$A:$A,match($C1449,'Year Conversion'!$B:$B,0)),$Y:$Y,0))-I1449,"")</f>
        <v>1</v>
      </c>
      <c r="AA1449" s="168">
        <f t="array" ref="AA1449">iferror(index(J:J,match($A1449&amp;","&amp;index('Year Conversion'!$A:$A,match($C1449,'Year Conversion'!$B:$B,0)),$Y:$Y,0))-J1449,"")</f>
        <v>1.3612429</v>
      </c>
      <c r="AB1449" s="168">
        <f t="array" ref="AB1449">iferror(index(K:K,match($A1449&amp;","&amp;index('Year Conversion'!$A:$A,match($C1449,'Year Conversion'!$B:$B,0)),$Y:$Y,0))-K1449,"")</f>
        <v>0.5986017713</v>
      </c>
      <c r="AC1449" s="168" t="str">
        <f t="shared" si="7"/>
        <v>LAL,2015-16</v>
      </c>
    </row>
    <row r="1450">
      <c r="A1450" s="161" t="str">
        <f>IFERROR(__xludf.DUMMYFUNCTION("""COMPUTED_VALUE"""),"stephal01")</f>
        <v>stephal01</v>
      </c>
      <c r="B1450" s="161" t="str">
        <f>IFERROR(__xludf.DUMMYFUNCTION("""COMPUTED_VALUE"""),"Alex Stepheson")</f>
        <v>Alex Stepheson</v>
      </c>
      <c r="C1450" s="162" t="str">
        <f>IFERROR(__xludf.DUMMYFUNCTION("""COMPUTED_VALUE"""),"2015-16")</f>
        <v>2015-16</v>
      </c>
      <c r="D1450" s="163" t="str">
        <f>IFERROR(__xludf.DUMMYFUNCTION("""COMPUTED_VALUE"""),"TOT")</f>
        <v>TOT</v>
      </c>
      <c r="E1450" s="164" t="str">
        <f>IFERROR(__xludf.DUMMYFUNCTION("""COMPUTED_VALUE"""),"Post Scorer")</f>
        <v>Post Scorer</v>
      </c>
      <c r="F1450" s="164">
        <f>IFERROR(__xludf.DUMMYFUNCTION("""COMPUTED_VALUE"""),72.1516666666667)</f>
        <v>72.15166667</v>
      </c>
      <c r="G1450" s="163">
        <f>IFERROR(__xludf.DUMMYFUNCTION("""COMPUTED_VALUE"""),8.0)</f>
        <v>8</v>
      </c>
      <c r="H1450" s="163" t="str">
        <f>IFERROR(__xludf.DUMMYFUNCTION("""COMPUTED_VALUE"""),"PF")</f>
        <v>PF</v>
      </c>
      <c r="I1450" s="163">
        <f>IFERROR(__xludf.DUMMYFUNCTION("""COMPUTED_VALUE"""),28.0)</f>
        <v>28</v>
      </c>
      <c r="J1450" s="165">
        <f>IFERROR(__xludf.DUMMYFUNCTION("""COMPUTED_VALUE"""),-0.487589287537894)</f>
        <v>-0.4875892875</v>
      </c>
      <c r="K1450" s="165">
        <f>IFERROR(__xludf.DUMMYFUNCTION("""COMPUTED_VALUE"""),-0.174549496988451)</f>
        <v>-0.174549497</v>
      </c>
      <c r="L1450" s="165">
        <f>IFERROR(__xludf.DUMMYFUNCTION("""COMPUTED_VALUE"""),-0.313039790549443)</f>
        <v>-0.3130397905</v>
      </c>
      <c r="M1450" s="166">
        <f t="shared" si="2"/>
        <v>0.08752339602</v>
      </c>
      <c r="N1450" s="167">
        <f t="shared" si="3"/>
        <v>9.018958333</v>
      </c>
      <c r="O1450" s="163">
        <f t="shared" ref="O1450:Q1450" si="1454">rank(I1450,I:I)</f>
        <v>1090</v>
      </c>
      <c r="P1450" s="163">
        <f t="shared" si="1454"/>
        <v>1834</v>
      </c>
      <c r="Q1450" s="163">
        <f t="shared" si="1454"/>
        <v>1521</v>
      </c>
      <c r="R1450" s="163">
        <f>IFERROR(__xludf.DUMMYFUNCTION("RANK(M1450,filter(M:M,C:C=C1450))"),374.0)</f>
        <v>374</v>
      </c>
      <c r="S1450" s="161" t="b">
        <f t="shared" si="5"/>
        <v>0</v>
      </c>
      <c r="T1450" s="161" t="b">
        <f t="array" ref="T1450">index('Query Tool'!B:B,match(H1450,'Query Tool'!C:C,0))</f>
        <v>1</v>
      </c>
      <c r="U1450" s="161" t="b">
        <f t="array" ref="U1450">index('Query Tool'!B:B,match(C1450,'Query Tool'!C:C,0))</f>
        <v>0</v>
      </c>
      <c r="V1450" s="161" t="b">
        <f>F1450&gt;='Query Tool'!C$32</f>
        <v>0</v>
      </c>
      <c r="W1450" s="161" t="b">
        <f t="array" ref="W1450">index(Dropdowns!B:B,match(I1450,Dropdowns!A:A,0))</f>
        <v>1</v>
      </c>
      <c r="X1450" s="161" t="b">
        <f t="array" ref="X1450">index('Query Tool'!B:B,match(D1450,'Query Tool'!C:C,0))</f>
        <v>1</v>
      </c>
      <c r="Y1450" s="161" t="str">
        <f t="shared" si="6"/>
        <v>stephal01,2015-16</v>
      </c>
      <c r="Z1450" s="168" t="str">
        <f t="array" ref="Z1450">iferror(index(I:I,match($A1450&amp;","&amp;index('Year Conversion'!$A:$A,match($C1450,'Year Conversion'!$B:$B,0)),$Y:$Y,0))-I1450,"")</f>
        <v/>
      </c>
      <c r="AA1450" s="168" t="str">
        <f t="array" ref="AA1450">iferror(index(J:J,match($A1450&amp;","&amp;index('Year Conversion'!$A:$A,match($C1450,'Year Conversion'!$B:$B,0)),$Y:$Y,0))-J1450,"")</f>
        <v/>
      </c>
      <c r="AB1450" s="168" t="str">
        <f t="array" ref="AB1450">iferror(index(K:K,match($A1450&amp;","&amp;index('Year Conversion'!$A:$A,match($C1450,'Year Conversion'!$B:$B,0)),$Y:$Y,0))-K1450,"")</f>
        <v/>
      </c>
      <c r="AC1450" s="168" t="str">
        <f t="shared" si="7"/>
        <v>TOT,2015-16</v>
      </c>
    </row>
    <row r="1451">
      <c r="A1451" s="161" t="str">
        <f>IFERROR(__xludf.DUMMYFUNCTION("""COMPUTED_VALUE"""),"weberbr01")</f>
        <v>weberbr01</v>
      </c>
      <c r="B1451" s="161" t="str">
        <f>IFERROR(__xludf.DUMMYFUNCTION("""COMPUTED_VALUE"""),"Briante Weber")</f>
        <v>Briante Weber</v>
      </c>
      <c r="C1451" s="162" t="str">
        <f>IFERROR(__xludf.DUMMYFUNCTION("""COMPUTED_VALUE"""),"2015-16")</f>
        <v>2015-16</v>
      </c>
      <c r="D1451" s="163" t="str">
        <f>IFERROR(__xludf.DUMMYFUNCTION("""COMPUTED_VALUE"""),"TOT")</f>
        <v>TOT</v>
      </c>
      <c r="E1451" s="164" t="str">
        <f>IFERROR(__xludf.DUMMYFUNCTION("""COMPUTED_VALUE"""),"Secondary Ball Handler")</f>
        <v>Secondary Ball Handler</v>
      </c>
      <c r="F1451" s="164">
        <f>IFERROR(__xludf.DUMMYFUNCTION("""COMPUTED_VALUE"""),168.655)</f>
        <v>168.655</v>
      </c>
      <c r="G1451" s="163">
        <f>IFERROR(__xludf.DUMMYFUNCTION("""COMPUTED_VALUE"""),7.0)</f>
        <v>7</v>
      </c>
      <c r="H1451" s="163" t="str">
        <f>IFERROR(__xludf.DUMMYFUNCTION("""COMPUTED_VALUE"""),"PG")</f>
        <v>PG</v>
      </c>
      <c r="I1451" s="163">
        <f>IFERROR(__xludf.DUMMYFUNCTION("""COMPUTED_VALUE"""),23.0)</f>
        <v>23</v>
      </c>
      <c r="J1451" s="165">
        <f>IFERROR(__xludf.DUMMYFUNCTION("""COMPUTED_VALUE"""),-1.29274326097008)</f>
        <v>-1.292743261</v>
      </c>
      <c r="K1451" s="165">
        <f>IFERROR(__xludf.DUMMYFUNCTION("""COMPUTED_VALUE"""),-0.688199521908719)</f>
        <v>-0.6881995219</v>
      </c>
      <c r="L1451" s="165">
        <f>IFERROR(__xludf.DUMMYFUNCTION("""COMPUTED_VALUE"""),-0.604543739061363)</f>
        <v>-0.6045437391</v>
      </c>
      <c r="M1451" s="166">
        <f t="shared" si="2"/>
        <v>0.1133581015</v>
      </c>
      <c r="N1451" s="167">
        <f t="shared" si="3"/>
        <v>24.09357143</v>
      </c>
      <c r="O1451" s="163">
        <f t="shared" ref="O1451:Q1451" si="1455">rank(I1451,I:I)</f>
        <v>2765</v>
      </c>
      <c r="P1451" s="163">
        <f t="shared" si="1455"/>
        <v>2853</v>
      </c>
      <c r="Q1451" s="163">
        <f t="shared" si="1455"/>
        <v>2399</v>
      </c>
      <c r="R1451" s="163">
        <f>IFERROR(__xludf.DUMMYFUNCTION("RANK(M1451,filter(M:M,C:C=C1451))"),367.0)</f>
        <v>367</v>
      </c>
      <c r="S1451" s="161" t="b">
        <f t="shared" si="5"/>
        <v>0</v>
      </c>
      <c r="T1451" s="161" t="b">
        <f t="array" ref="T1451">index('Query Tool'!B:B,match(H1451,'Query Tool'!C:C,0))</f>
        <v>1</v>
      </c>
      <c r="U1451" s="161" t="b">
        <f t="array" ref="U1451">index('Query Tool'!B:B,match(C1451,'Query Tool'!C:C,0))</f>
        <v>0</v>
      </c>
      <c r="V1451" s="161" t="b">
        <f>F1451&gt;='Query Tool'!C$32</f>
        <v>0</v>
      </c>
      <c r="W1451" s="161" t="b">
        <f t="array" ref="W1451">index(Dropdowns!B:B,match(I1451,Dropdowns!A:A,0))</f>
        <v>1</v>
      </c>
      <c r="X1451" s="161" t="b">
        <f t="array" ref="X1451">index('Query Tool'!B:B,match(D1451,'Query Tool'!C:C,0))</f>
        <v>1</v>
      </c>
      <c r="Y1451" s="161" t="str">
        <f t="shared" si="6"/>
        <v>weberbr01,2015-16</v>
      </c>
      <c r="Z1451" s="168">
        <f t="array" ref="Z1451">iferror(index(I:I,match($A1451&amp;","&amp;index('Year Conversion'!$A:$A,match($C1451,'Year Conversion'!$B:$B,0)),$Y:$Y,0))-I1451,"")</f>
        <v>1</v>
      </c>
      <c r="AA1451" s="168">
        <f t="array" ref="AA1451">iferror(index(J:J,match($A1451&amp;","&amp;index('Year Conversion'!$A:$A,match($C1451,'Year Conversion'!$B:$B,0)),$Y:$Y,0))-J1451,"")</f>
        <v>0.05003394849</v>
      </c>
      <c r="AB1451" s="168">
        <f t="array" ref="AB1451">iferror(index(K:K,match($A1451&amp;","&amp;index('Year Conversion'!$A:$A,match($C1451,'Year Conversion'!$B:$B,0)),$Y:$Y,0))-K1451,"")</f>
        <v>0.0803619055</v>
      </c>
      <c r="AC1451" s="168" t="str">
        <f t="shared" si="7"/>
        <v>TOT,2015-16</v>
      </c>
    </row>
    <row r="1452">
      <c r="A1452" s="161" t="str">
        <f>IFERROR(__xludf.DUMMYFUNCTION("""COMPUTED_VALUE"""),"cartevi01")</f>
        <v>cartevi01</v>
      </c>
      <c r="B1452" s="161" t="str">
        <f>IFERROR(__xludf.DUMMYFUNCTION("""COMPUTED_VALUE"""),"Vince Carter")</f>
        <v>Vince Carter</v>
      </c>
      <c r="C1452" s="162" t="str">
        <f>IFERROR(__xludf.DUMMYFUNCTION("""COMPUTED_VALUE"""),"2016-17")</f>
        <v>2016-17</v>
      </c>
      <c r="D1452" s="163" t="str">
        <f>IFERROR(__xludf.DUMMYFUNCTION("""COMPUTED_VALUE"""),"MEM")</f>
        <v>MEM</v>
      </c>
      <c r="E1452" s="164" t="str">
        <f>IFERROR(__xludf.DUMMYFUNCTION("""COMPUTED_VALUE"""),"Movement Shooter")</f>
        <v>Movement Shooter</v>
      </c>
      <c r="F1452" s="164">
        <f>IFERROR(__xludf.DUMMYFUNCTION("""COMPUTED_VALUE"""),1799.56)</f>
        <v>1799.56</v>
      </c>
      <c r="G1452" s="163">
        <f>IFERROR(__xludf.DUMMYFUNCTION("""COMPUTED_VALUE"""),73.0)</f>
        <v>73</v>
      </c>
      <c r="H1452" s="163" t="str">
        <f>IFERROR(__xludf.DUMMYFUNCTION("""COMPUTED_VALUE"""),"SF")</f>
        <v>SF</v>
      </c>
      <c r="I1452" s="163">
        <f>IFERROR(__xludf.DUMMYFUNCTION("""COMPUTED_VALUE"""),40.0)</f>
        <v>40</v>
      </c>
      <c r="J1452" s="165">
        <f>IFERROR(__xludf.DUMMYFUNCTION("""COMPUTED_VALUE"""),0.810410252066965)</f>
        <v>0.8104102521</v>
      </c>
      <c r="K1452" s="165">
        <f>IFERROR(__xludf.DUMMYFUNCTION("""COMPUTED_VALUE"""),0.67838724837444)</f>
        <v>0.6783872484</v>
      </c>
      <c r="L1452" s="165">
        <f>IFERROR(__xludf.DUMMYFUNCTION("""COMPUTED_VALUE"""),0.132023003692525)</f>
        <v>0.1320230037</v>
      </c>
      <c r="M1452" s="166">
        <f t="shared" si="2"/>
        <v>3.756651791</v>
      </c>
      <c r="N1452" s="167">
        <f t="shared" si="3"/>
        <v>24.65150685</v>
      </c>
      <c r="O1452" s="163">
        <f t="shared" ref="O1452:Q1452" si="1456">rank(I1452,I:I)</f>
        <v>4</v>
      </c>
      <c r="P1452" s="163">
        <f t="shared" si="1456"/>
        <v>734</v>
      </c>
      <c r="Q1452" s="163">
        <f t="shared" si="1456"/>
        <v>665</v>
      </c>
      <c r="R1452" s="163">
        <f>IFERROR(__xludf.DUMMYFUNCTION("RANK(M1452,filter(M:M,C:C=C1452))"),90.0)</f>
        <v>90</v>
      </c>
      <c r="S1452" s="161" t="b">
        <f t="shared" si="5"/>
        <v>0</v>
      </c>
      <c r="T1452" s="161" t="b">
        <f t="array" ref="T1452">index('Query Tool'!B:B,match(H1452,'Query Tool'!C:C,0))</f>
        <v>1</v>
      </c>
      <c r="U1452" s="161" t="b">
        <f t="array" ref="U1452">index('Query Tool'!B:B,match(C1452,'Query Tool'!C:C,0))</f>
        <v>0</v>
      </c>
      <c r="V1452" s="161" t="b">
        <f>F1452&gt;='Query Tool'!C$32</f>
        <v>1</v>
      </c>
      <c r="W1452" s="161" t="b">
        <f t="array" ref="W1452">index(Dropdowns!B:B,match(I1452,Dropdowns!A:A,0))</f>
        <v>1</v>
      </c>
      <c r="X1452" s="161" t="b">
        <f t="array" ref="X1452">index('Query Tool'!B:B,match(D1452,'Query Tool'!C:C,0))</f>
        <v>1</v>
      </c>
      <c r="Y1452" s="161" t="str">
        <f t="shared" si="6"/>
        <v>cartevi01,2016-17</v>
      </c>
      <c r="Z1452" s="168">
        <f t="array" ref="Z1452">iferror(index(I:I,match($A1452&amp;","&amp;index('Year Conversion'!$A:$A,match($C1452,'Year Conversion'!$B:$B,0)),$Y:$Y,0))-I1452,"")</f>
        <v>1</v>
      </c>
      <c r="AA1452" s="168">
        <f t="array" ref="AA1452">iferror(index(J:J,match($A1452&amp;","&amp;index('Year Conversion'!$A:$A,match($C1452,'Year Conversion'!$B:$B,0)),$Y:$Y,0))-J1452,"")</f>
        <v>-1.254427191</v>
      </c>
      <c r="AB1452" s="168">
        <f t="array" ref="AB1452">iferror(index(K:K,match($A1452&amp;","&amp;index('Year Conversion'!$A:$A,match($C1452,'Year Conversion'!$B:$B,0)),$Y:$Y,0))-K1452,"")</f>
        <v>-1.901121769</v>
      </c>
      <c r="AC1452" s="168" t="str">
        <f t="shared" si="7"/>
        <v>MEM,2016-17</v>
      </c>
    </row>
    <row r="1453">
      <c r="A1453" s="161" t="str">
        <f>IFERROR(__xludf.DUMMYFUNCTION("""COMPUTED_VALUE"""),"nowitdi01")</f>
        <v>nowitdi01</v>
      </c>
      <c r="B1453" s="161" t="str">
        <f>IFERROR(__xludf.DUMMYFUNCTION("""COMPUTED_VALUE"""),"Dirk Nowitzki")</f>
        <v>Dirk Nowitzki</v>
      </c>
      <c r="C1453" s="162" t="str">
        <f>IFERROR(__xludf.DUMMYFUNCTION("""COMPUTED_VALUE"""),"2016-17")</f>
        <v>2016-17</v>
      </c>
      <c r="D1453" s="163" t="str">
        <f>IFERROR(__xludf.DUMMYFUNCTION("""COMPUTED_VALUE"""),"DAL")</f>
        <v>DAL</v>
      </c>
      <c r="E1453" s="164" t="str">
        <f>IFERROR(__xludf.DUMMYFUNCTION("""COMPUTED_VALUE"""),"Versatile Big")</f>
        <v>Versatile Big</v>
      </c>
      <c r="F1453" s="164">
        <f>IFERROR(__xludf.DUMMYFUNCTION("""COMPUTED_VALUE"""),1424.235)</f>
        <v>1424.235</v>
      </c>
      <c r="G1453" s="163">
        <f>IFERROR(__xludf.DUMMYFUNCTION("""COMPUTED_VALUE"""),54.0)</f>
        <v>54</v>
      </c>
      <c r="H1453" s="163" t="str">
        <f>IFERROR(__xludf.DUMMYFUNCTION("""COMPUTED_VALUE"""),"PF")</f>
        <v>PF</v>
      </c>
      <c r="I1453" s="163">
        <f>IFERROR(__xludf.DUMMYFUNCTION("""COMPUTED_VALUE"""),38.0)</f>
        <v>38</v>
      </c>
      <c r="J1453" s="165">
        <f>IFERROR(__xludf.DUMMYFUNCTION("""COMPUTED_VALUE"""),0.947931685393608)</f>
        <v>0.9479316854</v>
      </c>
      <c r="K1453" s="165">
        <f>IFERROR(__xludf.DUMMYFUNCTION("""COMPUTED_VALUE"""),-0.19827275869138)</f>
        <v>-0.1982727587</v>
      </c>
      <c r="L1453" s="165">
        <f>IFERROR(__xludf.DUMMYFUNCTION("""COMPUTED_VALUE"""),1.14620444408499)</f>
        <v>1.146204444</v>
      </c>
      <c r="M1453" s="166">
        <f t="shared" si="2"/>
        <v>3.104769614</v>
      </c>
      <c r="N1453" s="167">
        <f t="shared" si="3"/>
        <v>26.37472222</v>
      </c>
      <c r="O1453" s="163">
        <f t="shared" ref="O1453:Q1453" si="1457">rank(I1453,I:I)</f>
        <v>20</v>
      </c>
      <c r="P1453" s="163">
        <f t="shared" si="1457"/>
        <v>681</v>
      </c>
      <c r="Q1453" s="163">
        <f t="shared" si="1457"/>
        <v>1561</v>
      </c>
      <c r="R1453" s="163">
        <f>IFERROR(__xludf.DUMMYFUNCTION("RANK(M1453,filter(M:M,C:C=C1453))"),107.0)</f>
        <v>107</v>
      </c>
      <c r="S1453" s="161" t="b">
        <f t="shared" si="5"/>
        <v>0</v>
      </c>
      <c r="T1453" s="161" t="b">
        <f t="array" ref="T1453">index('Query Tool'!B:B,match(H1453,'Query Tool'!C:C,0))</f>
        <v>1</v>
      </c>
      <c r="U1453" s="161" t="b">
        <f t="array" ref="U1453">index('Query Tool'!B:B,match(C1453,'Query Tool'!C:C,0))</f>
        <v>0</v>
      </c>
      <c r="V1453" s="161" t="b">
        <f>F1453&gt;='Query Tool'!C$32</f>
        <v>1</v>
      </c>
      <c r="W1453" s="161" t="b">
        <f t="array" ref="W1453">index(Dropdowns!B:B,match(I1453,Dropdowns!A:A,0))</f>
        <v>1</v>
      </c>
      <c r="X1453" s="161" t="b">
        <f t="array" ref="X1453">index('Query Tool'!B:B,match(D1453,'Query Tool'!C:C,0))</f>
        <v>1</v>
      </c>
      <c r="Y1453" s="161" t="str">
        <f t="shared" si="6"/>
        <v>nowitdi01,2016-17</v>
      </c>
      <c r="Z1453" s="168">
        <f t="array" ref="Z1453">iferror(index(I:I,match($A1453&amp;","&amp;index('Year Conversion'!$A:$A,match($C1453,'Year Conversion'!$B:$B,0)),$Y:$Y,0))-I1453,"")</f>
        <v>1</v>
      </c>
      <c r="AA1453" s="168">
        <f t="array" ref="AA1453">iferror(index(J:J,match($A1453&amp;","&amp;index('Year Conversion'!$A:$A,match($C1453,'Year Conversion'!$B:$B,0)),$Y:$Y,0))-J1453,"")</f>
        <v>-0.1062485225</v>
      </c>
      <c r="AB1453" s="168">
        <f t="array" ref="AB1453">iferror(index(K:K,match($A1453&amp;","&amp;index('Year Conversion'!$A:$A,match($C1453,'Year Conversion'!$B:$B,0)),$Y:$Y,0))-K1453,"")</f>
        <v>0.09720102685</v>
      </c>
      <c r="AC1453" s="168" t="str">
        <f t="shared" si="7"/>
        <v>DAL,2016-17</v>
      </c>
    </row>
    <row r="1454">
      <c r="A1454" s="161" t="str">
        <f>IFERROR(__xludf.DUMMYFUNCTION("""COMPUTED_VALUE"""),"piercpa01")</f>
        <v>piercpa01</v>
      </c>
      <c r="B1454" s="161" t="str">
        <f>IFERROR(__xludf.DUMMYFUNCTION("""COMPUTED_VALUE"""),"Paul Pierce")</f>
        <v>Paul Pierce</v>
      </c>
      <c r="C1454" s="162" t="str">
        <f>IFERROR(__xludf.DUMMYFUNCTION("""COMPUTED_VALUE"""),"2016-17")</f>
        <v>2016-17</v>
      </c>
      <c r="D1454" s="163" t="str">
        <f>IFERROR(__xludf.DUMMYFUNCTION("""COMPUTED_VALUE"""),"LAC")</f>
        <v>LAC</v>
      </c>
      <c r="E1454" s="164" t="str">
        <f>IFERROR(__xludf.DUMMYFUNCTION("""COMPUTED_VALUE"""),"Stationary Shooter")</f>
        <v>Stationary Shooter</v>
      </c>
      <c r="F1454" s="164">
        <f>IFERROR(__xludf.DUMMYFUNCTION("""COMPUTED_VALUE"""),277.098333333333)</f>
        <v>277.0983333</v>
      </c>
      <c r="G1454" s="163">
        <f>IFERROR(__xludf.DUMMYFUNCTION("""COMPUTED_VALUE"""),25.0)</f>
        <v>25</v>
      </c>
      <c r="H1454" s="163" t="str">
        <f>IFERROR(__xludf.DUMMYFUNCTION("""COMPUTED_VALUE"""),"SF")</f>
        <v>SF</v>
      </c>
      <c r="I1454" s="163">
        <f>IFERROR(__xludf.DUMMYFUNCTION("""COMPUTED_VALUE"""),39.0)</f>
        <v>39</v>
      </c>
      <c r="J1454" s="165">
        <f>IFERROR(__xludf.DUMMYFUNCTION("""COMPUTED_VALUE"""),-1.59935379669298)</f>
        <v>-1.599353797</v>
      </c>
      <c r="K1454" s="165">
        <f>IFERROR(__xludf.DUMMYFUNCTION("""COMPUTED_VALUE"""),-1.58069568220774)</f>
        <v>-1.580695682</v>
      </c>
      <c r="L1454" s="165">
        <f>IFERROR(__xludf.DUMMYFUNCTION("""COMPUTED_VALUE"""),-0.0186581144852344)</f>
        <v>-0.01865811449</v>
      </c>
      <c r="M1454" s="166">
        <f t="shared" si="2"/>
        <v>0.1294642047</v>
      </c>
      <c r="N1454" s="167">
        <f t="shared" si="3"/>
        <v>11.08393333</v>
      </c>
      <c r="O1454" s="163">
        <f t="shared" ref="O1454:Q1454" si="1458">rank(I1454,I:I)</f>
        <v>8</v>
      </c>
      <c r="P1454" s="163">
        <f t="shared" si="1458"/>
        <v>3143</v>
      </c>
      <c r="Q1454" s="163">
        <f t="shared" si="1458"/>
        <v>3433</v>
      </c>
      <c r="R1454" s="163">
        <f>IFERROR(__xludf.DUMMYFUNCTION("RANK(M1454,filter(M:M,C:C=C1454))"),365.0)</f>
        <v>365</v>
      </c>
      <c r="S1454" s="161" t="b">
        <f t="shared" si="5"/>
        <v>0</v>
      </c>
      <c r="T1454" s="161" t="b">
        <f t="array" ref="T1454">index('Query Tool'!B:B,match(H1454,'Query Tool'!C:C,0))</f>
        <v>1</v>
      </c>
      <c r="U1454" s="161" t="b">
        <f t="array" ref="U1454">index('Query Tool'!B:B,match(C1454,'Query Tool'!C:C,0))</f>
        <v>0</v>
      </c>
      <c r="V1454" s="161" t="b">
        <f>F1454&gt;='Query Tool'!C$32</f>
        <v>0</v>
      </c>
      <c r="W1454" s="161" t="b">
        <f t="array" ref="W1454">index(Dropdowns!B:B,match(I1454,Dropdowns!A:A,0))</f>
        <v>1</v>
      </c>
      <c r="X1454" s="161" t="b">
        <f t="array" ref="X1454">index('Query Tool'!B:B,match(D1454,'Query Tool'!C:C,0))</f>
        <v>1</v>
      </c>
      <c r="Y1454" s="161" t="str">
        <f t="shared" si="6"/>
        <v>piercpa01,2016-17</v>
      </c>
      <c r="Z1454" s="168" t="str">
        <f t="array" ref="Z1454">iferror(index(I:I,match($A1454&amp;","&amp;index('Year Conversion'!$A:$A,match($C1454,'Year Conversion'!$B:$B,0)),$Y:$Y,0))-I1454,"")</f>
        <v/>
      </c>
      <c r="AA1454" s="168" t="str">
        <f t="array" ref="AA1454">iferror(index(J:J,match($A1454&amp;","&amp;index('Year Conversion'!$A:$A,match($C1454,'Year Conversion'!$B:$B,0)),$Y:$Y,0))-J1454,"")</f>
        <v/>
      </c>
      <c r="AB1454" s="168" t="str">
        <f t="array" ref="AB1454">iferror(index(K:K,match($A1454&amp;","&amp;index('Year Conversion'!$A:$A,match($C1454,'Year Conversion'!$B:$B,0)),$Y:$Y,0))-K1454,"")</f>
        <v/>
      </c>
      <c r="AC1454" s="168" t="str">
        <f t="shared" si="7"/>
        <v>LAC,2016-17</v>
      </c>
    </row>
    <row r="1455">
      <c r="A1455" s="161" t="str">
        <f>IFERROR(__xludf.DUMMYFUNCTION("""COMPUTED_VALUE"""),"terryja01")</f>
        <v>terryja01</v>
      </c>
      <c r="B1455" s="161" t="str">
        <f>IFERROR(__xludf.DUMMYFUNCTION("""COMPUTED_VALUE"""),"Jason Terry")</f>
        <v>Jason Terry</v>
      </c>
      <c r="C1455" s="162" t="str">
        <f>IFERROR(__xludf.DUMMYFUNCTION("""COMPUTED_VALUE"""),"2016-17")</f>
        <v>2016-17</v>
      </c>
      <c r="D1455" s="163" t="str">
        <f>IFERROR(__xludf.DUMMYFUNCTION("""COMPUTED_VALUE"""),"MIL")</f>
        <v>MIL</v>
      </c>
      <c r="E1455" s="164" t="str">
        <f>IFERROR(__xludf.DUMMYFUNCTION("""COMPUTED_VALUE"""),"Stationary Shooter")</f>
        <v>Stationary Shooter</v>
      </c>
      <c r="F1455" s="164">
        <f>IFERROR(__xludf.DUMMYFUNCTION("""COMPUTED_VALUE"""),1365.08333333333)</f>
        <v>1365.083333</v>
      </c>
      <c r="G1455" s="163">
        <f>IFERROR(__xludf.DUMMYFUNCTION("""COMPUTED_VALUE"""),74.0)</f>
        <v>74</v>
      </c>
      <c r="H1455" s="163" t="str">
        <f>IFERROR(__xludf.DUMMYFUNCTION("""COMPUTED_VALUE"""),"SG")</f>
        <v>SG</v>
      </c>
      <c r="I1455" s="163">
        <f>IFERROR(__xludf.DUMMYFUNCTION("""COMPUTED_VALUE"""),39.0)</f>
        <v>39</v>
      </c>
      <c r="J1455" s="165">
        <f>IFERROR(__xludf.DUMMYFUNCTION("""COMPUTED_VALUE"""),-1.77665232691882)</f>
        <v>-1.776652327</v>
      </c>
      <c r="K1455" s="165">
        <f>IFERROR(__xludf.DUMMYFUNCTION("""COMPUTED_VALUE"""),-1.71833035620549)</f>
        <v>-1.718330356</v>
      </c>
      <c r="L1455" s="165">
        <f>IFERROR(__xludf.DUMMYFUNCTION("""COMPUTED_VALUE"""),-0.0583219707133339)</f>
        <v>-0.05832197071</v>
      </c>
      <c r="M1455" s="166">
        <f t="shared" si="2"/>
        <v>0.4765377816</v>
      </c>
      <c r="N1455" s="167">
        <f t="shared" si="3"/>
        <v>18.44707207</v>
      </c>
      <c r="O1455" s="163">
        <f t="shared" ref="O1455:Q1455" si="1459">rank(I1455,I:I)</f>
        <v>8</v>
      </c>
      <c r="P1455" s="163">
        <f t="shared" si="1459"/>
        <v>3309</v>
      </c>
      <c r="Q1455" s="163">
        <f t="shared" si="1459"/>
        <v>3530</v>
      </c>
      <c r="R1455" s="163">
        <f>IFERROR(__xludf.DUMMYFUNCTION("RANK(M1455,filter(M:M,C:C=C1455))"),288.0)</f>
        <v>288</v>
      </c>
      <c r="S1455" s="161" t="b">
        <f t="shared" si="5"/>
        <v>0</v>
      </c>
      <c r="T1455" s="161" t="b">
        <f t="array" ref="T1455">index('Query Tool'!B:B,match(H1455,'Query Tool'!C:C,0))</f>
        <v>1</v>
      </c>
      <c r="U1455" s="161" t="b">
        <f t="array" ref="U1455">index('Query Tool'!B:B,match(C1455,'Query Tool'!C:C,0))</f>
        <v>0</v>
      </c>
      <c r="V1455" s="161" t="b">
        <f>F1455&gt;='Query Tool'!C$32</f>
        <v>1</v>
      </c>
      <c r="W1455" s="161" t="b">
        <f t="array" ref="W1455">index(Dropdowns!B:B,match(I1455,Dropdowns!A:A,0))</f>
        <v>1</v>
      </c>
      <c r="X1455" s="161" t="b">
        <f t="array" ref="X1455">index('Query Tool'!B:B,match(D1455,'Query Tool'!C:C,0))</f>
        <v>1</v>
      </c>
      <c r="Y1455" s="161" t="str">
        <f t="shared" si="6"/>
        <v>terryja01,2016-17</v>
      </c>
      <c r="Z1455" s="168">
        <f t="array" ref="Z1455">iferror(index(I:I,match($A1455&amp;","&amp;index('Year Conversion'!$A:$A,match($C1455,'Year Conversion'!$B:$B,0)),$Y:$Y,0))-I1455,"")</f>
        <v>1</v>
      </c>
      <c r="AA1455" s="168">
        <f t="array" ref="AA1455">iferror(index(J:J,match($A1455&amp;","&amp;index('Year Conversion'!$A:$A,match($C1455,'Year Conversion'!$B:$B,0)),$Y:$Y,0))-J1455,"")</f>
        <v>0.1517156315</v>
      </c>
      <c r="AB1455" s="168">
        <f t="array" ref="AB1455">iferror(index(K:K,match($A1455&amp;","&amp;index('Year Conversion'!$A:$A,match($C1455,'Year Conversion'!$B:$B,0)),$Y:$Y,0))-K1455,"")</f>
        <v>0.05412383882</v>
      </c>
      <c r="AC1455" s="168" t="str">
        <f t="shared" si="7"/>
        <v>MIL,2016-17</v>
      </c>
    </row>
    <row r="1456">
      <c r="A1456" s="161" t="str">
        <f>IFERROR(__xludf.DUMMYFUNCTION("""COMPUTED_VALUE"""),"artesro01")</f>
        <v>artesro01</v>
      </c>
      <c r="B1456" s="161" t="str">
        <f>IFERROR(__xludf.DUMMYFUNCTION("""COMPUTED_VALUE"""),"Metta World Peace")</f>
        <v>Metta World Peace</v>
      </c>
      <c r="C1456" s="162" t="str">
        <f>IFERROR(__xludf.DUMMYFUNCTION("""COMPUTED_VALUE"""),"2016-17")</f>
        <v>2016-17</v>
      </c>
      <c r="D1456" s="163" t="str">
        <f>IFERROR(__xludf.DUMMYFUNCTION("""COMPUTED_VALUE"""),"LAL")</f>
        <v>LAL</v>
      </c>
      <c r="E1456" s="164" t="str">
        <f>IFERROR(__xludf.DUMMYFUNCTION("""COMPUTED_VALUE"""),"Movement Shooter")</f>
        <v>Movement Shooter</v>
      </c>
      <c r="F1456" s="164">
        <f>IFERROR(__xludf.DUMMYFUNCTION("""COMPUTED_VALUE"""),160.33)</f>
        <v>160.33</v>
      </c>
      <c r="G1456" s="163">
        <f>IFERROR(__xludf.DUMMYFUNCTION("""COMPUTED_VALUE"""),25.0)</f>
        <v>25</v>
      </c>
      <c r="H1456" s="163" t="str">
        <f>IFERROR(__xludf.DUMMYFUNCTION("""COMPUTED_VALUE"""),"SF")</f>
        <v>SF</v>
      </c>
      <c r="I1456" s="163">
        <f>IFERROR(__xludf.DUMMYFUNCTION("""COMPUTED_VALUE"""),37.0)</f>
        <v>37</v>
      </c>
      <c r="J1456" s="165">
        <f>IFERROR(__xludf.DUMMYFUNCTION("""COMPUTED_VALUE"""),-0.180594101742771)</f>
        <v>-0.1805941017</v>
      </c>
      <c r="K1456" s="165">
        <f>IFERROR(__xludf.DUMMYFUNCTION("""COMPUTED_VALUE"""),0.0946584338581084)</f>
        <v>0.09465843386</v>
      </c>
      <c r="L1456" s="165">
        <f>IFERROR(__xludf.DUMMYFUNCTION("""COMPUTED_VALUE"""),-0.27525253560088)</f>
        <v>-0.2752525356</v>
      </c>
      <c r="M1456" s="166">
        <f t="shared" si="2"/>
        <v>0.2276553694</v>
      </c>
      <c r="N1456" s="167">
        <f t="shared" si="3"/>
        <v>6.4132</v>
      </c>
      <c r="O1456" s="163">
        <f t="shared" ref="O1456:Q1456" si="1460">rank(I1456,I:I)</f>
        <v>38</v>
      </c>
      <c r="P1456" s="163">
        <f t="shared" si="1460"/>
        <v>1482</v>
      </c>
      <c r="Q1456" s="163">
        <f t="shared" si="1460"/>
        <v>1073</v>
      </c>
      <c r="R1456" s="163">
        <f>IFERROR(__xludf.DUMMYFUNCTION("RANK(M1456,filter(M:M,C:C=C1456))"),331.0)</f>
        <v>331</v>
      </c>
      <c r="S1456" s="161" t="b">
        <f t="shared" si="5"/>
        <v>0</v>
      </c>
      <c r="T1456" s="161" t="b">
        <f t="array" ref="T1456">index('Query Tool'!B:B,match(H1456,'Query Tool'!C:C,0))</f>
        <v>1</v>
      </c>
      <c r="U1456" s="161" t="b">
        <f t="array" ref="U1456">index('Query Tool'!B:B,match(C1456,'Query Tool'!C:C,0))</f>
        <v>0</v>
      </c>
      <c r="V1456" s="161" t="b">
        <f>F1456&gt;='Query Tool'!C$32</f>
        <v>0</v>
      </c>
      <c r="W1456" s="161" t="b">
        <f t="array" ref="W1456">index(Dropdowns!B:B,match(I1456,Dropdowns!A:A,0))</f>
        <v>1</v>
      </c>
      <c r="X1456" s="161" t="b">
        <f t="array" ref="X1456">index('Query Tool'!B:B,match(D1456,'Query Tool'!C:C,0))</f>
        <v>1</v>
      </c>
      <c r="Y1456" s="161" t="str">
        <f t="shared" si="6"/>
        <v>artesro01,2016-17</v>
      </c>
      <c r="Z1456" s="168" t="str">
        <f t="array" ref="Z1456">iferror(index(I:I,match($A1456&amp;","&amp;index('Year Conversion'!$A:$A,match($C1456,'Year Conversion'!$B:$B,0)),$Y:$Y,0))-I1456,"")</f>
        <v/>
      </c>
      <c r="AA1456" s="168" t="str">
        <f t="array" ref="AA1456">iferror(index(J:J,match($A1456&amp;","&amp;index('Year Conversion'!$A:$A,match($C1456,'Year Conversion'!$B:$B,0)),$Y:$Y,0))-J1456,"")</f>
        <v/>
      </c>
      <c r="AB1456" s="168" t="str">
        <f t="array" ref="AB1456">iferror(index(K:K,match($A1456&amp;","&amp;index('Year Conversion'!$A:$A,match($C1456,'Year Conversion'!$B:$B,0)),$Y:$Y,0))-K1456,"")</f>
        <v/>
      </c>
      <c r="AC1456" s="168" t="str">
        <f t="shared" si="7"/>
        <v>LAL,2016-17</v>
      </c>
    </row>
    <row r="1457">
      <c r="A1457" s="161" t="str">
        <f>IFERROR(__xludf.DUMMYFUNCTION("""COMPUTED_VALUE"""),"ginobma01")</f>
        <v>ginobma01</v>
      </c>
      <c r="B1457" s="161" t="str">
        <f>IFERROR(__xludf.DUMMYFUNCTION("""COMPUTED_VALUE"""),"Manu Ginobili")</f>
        <v>Manu Ginobili</v>
      </c>
      <c r="C1457" s="162" t="str">
        <f>IFERROR(__xludf.DUMMYFUNCTION("""COMPUTED_VALUE"""),"2016-17")</f>
        <v>2016-17</v>
      </c>
      <c r="D1457" s="163" t="str">
        <f>IFERROR(__xludf.DUMMYFUNCTION("""COMPUTED_VALUE"""),"SAS")</f>
        <v>SAS</v>
      </c>
      <c r="E1457" s="164" t="str">
        <f>IFERROR(__xludf.DUMMYFUNCTION("""COMPUTED_VALUE"""),"Secondary Ball Handler")</f>
        <v>Secondary Ball Handler</v>
      </c>
      <c r="F1457" s="164">
        <f>IFERROR(__xludf.DUMMYFUNCTION("""COMPUTED_VALUE"""),1291.45)</f>
        <v>1291.45</v>
      </c>
      <c r="G1457" s="163">
        <f>IFERROR(__xludf.DUMMYFUNCTION("""COMPUTED_VALUE"""),69.0)</f>
        <v>69</v>
      </c>
      <c r="H1457" s="163" t="str">
        <f>IFERROR(__xludf.DUMMYFUNCTION("""COMPUTED_VALUE"""),"SG")</f>
        <v>SG</v>
      </c>
      <c r="I1457" s="163">
        <f>IFERROR(__xludf.DUMMYFUNCTION("""COMPUTED_VALUE"""),39.0)</f>
        <v>39</v>
      </c>
      <c r="J1457" s="165">
        <f>IFERROR(__xludf.DUMMYFUNCTION("""COMPUTED_VALUE"""),1.21658447749127)</f>
        <v>1.216584477</v>
      </c>
      <c r="K1457" s="165">
        <f>IFERROR(__xludf.DUMMYFUNCTION("""COMPUTED_VALUE"""),0.436058354670859)</f>
        <v>0.4360583547</v>
      </c>
      <c r="L1457" s="165">
        <f>IFERROR(__xludf.DUMMYFUNCTION("""COMPUTED_VALUE"""),0.780526122820411)</f>
        <v>0.7805261228</v>
      </c>
      <c r="M1457" s="166">
        <f t="shared" si="2"/>
        <v>3.048071568</v>
      </c>
      <c r="N1457" s="167">
        <f t="shared" si="3"/>
        <v>18.71666667</v>
      </c>
      <c r="O1457" s="163">
        <f t="shared" ref="O1457:Q1457" si="1461">rank(I1457,I:I)</f>
        <v>8</v>
      </c>
      <c r="P1457" s="163">
        <f t="shared" si="1461"/>
        <v>566</v>
      </c>
      <c r="Q1457" s="163">
        <f t="shared" si="1461"/>
        <v>805</v>
      </c>
      <c r="R1457" s="163">
        <f>IFERROR(__xludf.DUMMYFUNCTION("RANK(M1457,filter(M:M,C:C=C1457))"),108.0)</f>
        <v>108</v>
      </c>
      <c r="S1457" s="161" t="b">
        <f t="shared" si="5"/>
        <v>0</v>
      </c>
      <c r="T1457" s="161" t="b">
        <f t="array" ref="T1457">index('Query Tool'!B:B,match(H1457,'Query Tool'!C:C,0))</f>
        <v>1</v>
      </c>
      <c r="U1457" s="161" t="b">
        <f t="array" ref="U1457">index('Query Tool'!B:B,match(C1457,'Query Tool'!C:C,0))</f>
        <v>0</v>
      </c>
      <c r="V1457" s="161" t="b">
        <f>F1457&gt;='Query Tool'!C$32</f>
        <v>1</v>
      </c>
      <c r="W1457" s="161" t="b">
        <f t="array" ref="W1457">index(Dropdowns!B:B,match(I1457,Dropdowns!A:A,0))</f>
        <v>1</v>
      </c>
      <c r="X1457" s="161" t="b">
        <f t="array" ref="X1457">index('Query Tool'!B:B,match(D1457,'Query Tool'!C:C,0))</f>
        <v>1</v>
      </c>
      <c r="Y1457" s="161" t="str">
        <f t="shared" si="6"/>
        <v>ginobma01,2016-17</v>
      </c>
      <c r="Z1457" s="168">
        <f t="array" ref="Z1457">iferror(index(I:I,match($A1457&amp;","&amp;index('Year Conversion'!$A:$A,match($C1457,'Year Conversion'!$B:$B,0)),$Y:$Y,0))-I1457,"")</f>
        <v>1</v>
      </c>
      <c r="AA1457" s="168">
        <f t="array" ref="AA1457">iferror(index(J:J,match($A1457&amp;","&amp;index('Year Conversion'!$A:$A,match($C1457,'Year Conversion'!$B:$B,0)),$Y:$Y,0))-J1457,"")</f>
        <v>-1.41856084</v>
      </c>
      <c r="AB1457" s="168">
        <f t="array" ref="AB1457">iferror(index(K:K,match($A1457&amp;","&amp;index('Year Conversion'!$A:$A,match($C1457,'Year Conversion'!$B:$B,0)),$Y:$Y,0))-K1457,"")</f>
        <v>0.1023651207</v>
      </c>
      <c r="AC1457" s="168" t="str">
        <f t="shared" si="7"/>
        <v>SAS,2016-17</v>
      </c>
    </row>
    <row r="1458">
      <c r="A1458" s="161" t="str">
        <f>IFERROR(__xludf.DUMMYFUNCTION("""COMPUTED_VALUE"""),"millemi01")</f>
        <v>millemi01</v>
      </c>
      <c r="B1458" s="161" t="str">
        <f>IFERROR(__xludf.DUMMYFUNCTION("""COMPUTED_VALUE"""),"Mike Miller")</f>
        <v>Mike Miller</v>
      </c>
      <c r="C1458" s="162" t="str">
        <f>IFERROR(__xludf.DUMMYFUNCTION("""COMPUTED_VALUE"""),"2016-17")</f>
        <v>2016-17</v>
      </c>
      <c r="D1458" s="163" t="str">
        <f>IFERROR(__xludf.DUMMYFUNCTION("""COMPUTED_VALUE"""),"DEN")</f>
        <v>DEN</v>
      </c>
      <c r="E1458" s="164" t="str">
        <f>IFERROR(__xludf.DUMMYFUNCTION("""COMPUTED_VALUE"""),"Stationary Shooter")</f>
        <v>Stationary Shooter</v>
      </c>
      <c r="F1458" s="164">
        <f>IFERROR(__xludf.DUMMYFUNCTION("""COMPUTED_VALUE"""),150.543333333333)</f>
        <v>150.5433333</v>
      </c>
      <c r="G1458" s="163">
        <f>IFERROR(__xludf.DUMMYFUNCTION("""COMPUTED_VALUE"""),20.0)</f>
        <v>20</v>
      </c>
      <c r="H1458" s="163" t="str">
        <f>IFERROR(__xludf.DUMMYFUNCTION("""COMPUTED_VALUE"""),"SF")</f>
        <v>SF</v>
      </c>
      <c r="I1458" s="163">
        <f>IFERROR(__xludf.DUMMYFUNCTION("""COMPUTED_VALUE"""),36.0)</f>
        <v>36</v>
      </c>
      <c r="J1458" s="165">
        <f>IFERROR(__xludf.DUMMYFUNCTION("""COMPUTED_VALUE"""),-0.482341336598194)</f>
        <v>-0.4823413366</v>
      </c>
      <c r="K1458" s="165">
        <f>IFERROR(__xludf.DUMMYFUNCTION("""COMPUTED_VALUE"""),-0.899814748719327)</f>
        <v>-0.8998147487</v>
      </c>
      <c r="L1458" s="165">
        <f>IFERROR(__xludf.DUMMYFUNCTION("""COMPUTED_VALUE"""),0.417473412121133)</f>
        <v>0.4174734121</v>
      </c>
      <c r="M1458" s="166">
        <f t="shared" si="2"/>
        <v>0.1831483261</v>
      </c>
      <c r="N1458" s="167">
        <f t="shared" si="3"/>
        <v>7.527166667</v>
      </c>
      <c r="O1458" s="163">
        <f t="shared" ref="O1458:Q1458" si="1462">rank(I1458,I:I)</f>
        <v>65</v>
      </c>
      <c r="P1458" s="163">
        <f t="shared" si="1462"/>
        <v>1828</v>
      </c>
      <c r="Q1458" s="163">
        <f t="shared" si="1462"/>
        <v>2689</v>
      </c>
      <c r="R1458" s="163">
        <f>IFERROR(__xludf.DUMMYFUNCTION("RANK(M1458,filter(M:M,C:C=C1458))"),346.0)</f>
        <v>346</v>
      </c>
      <c r="S1458" s="161" t="b">
        <f t="shared" si="5"/>
        <v>0</v>
      </c>
      <c r="T1458" s="161" t="b">
        <f t="array" ref="T1458">index('Query Tool'!B:B,match(H1458,'Query Tool'!C:C,0))</f>
        <v>1</v>
      </c>
      <c r="U1458" s="161" t="b">
        <f t="array" ref="U1458">index('Query Tool'!B:B,match(C1458,'Query Tool'!C:C,0))</f>
        <v>0</v>
      </c>
      <c r="V1458" s="161" t="b">
        <f>F1458&gt;='Query Tool'!C$32</f>
        <v>0</v>
      </c>
      <c r="W1458" s="161" t="b">
        <f t="array" ref="W1458">index(Dropdowns!B:B,match(I1458,Dropdowns!A:A,0))</f>
        <v>1</v>
      </c>
      <c r="X1458" s="161" t="b">
        <f t="array" ref="X1458">index('Query Tool'!B:B,match(D1458,'Query Tool'!C:C,0))</f>
        <v>1</v>
      </c>
      <c r="Y1458" s="161" t="str">
        <f t="shared" si="6"/>
        <v>millemi01,2016-17</v>
      </c>
      <c r="Z1458" s="168" t="str">
        <f t="array" ref="Z1458">iferror(index(I:I,match($A1458&amp;","&amp;index('Year Conversion'!$A:$A,match($C1458,'Year Conversion'!$B:$B,0)),$Y:$Y,0))-I1458,"")</f>
        <v/>
      </c>
      <c r="AA1458" s="168" t="str">
        <f t="array" ref="AA1458">iferror(index(J:J,match($A1458&amp;","&amp;index('Year Conversion'!$A:$A,match($C1458,'Year Conversion'!$B:$B,0)),$Y:$Y,0))-J1458,"")</f>
        <v/>
      </c>
      <c r="AB1458" s="168" t="str">
        <f t="array" ref="AB1458">iferror(index(K:K,match($A1458&amp;","&amp;index('Year Conversion'!$A:$A,match($C1458,'Year Conversion'!$B:$B,0)),$Y:$Y,0))-K1458,"")</f>
        <v/>
      </c>
      <c r="AC1458" s="168" t="str">
        <f t="shared" si="7"/>
        <v>DEN,2016-17</v>
      </c>
    </row>
    <row r="1459">
      <c r="A1459" s="161" t="str">
        <f>IFERROR(__xludf.DUMMYFUNCTION("""COMPUTED_VALUE"""),"crawfja01")</f>
        <v>crawfja01</v>
      </c>
      <c r="B1459" s="161" t="str">
        <f>IFERROR(__xludf.DUMMYFUNCTION("""COMPUTED_VALUE"""),"Jamal Crawford")</f>
        <v>Jamal Crawford</v>
      </c>
      <c r="C1459" s="162" t="str">
        <f>IFERROR(__xludf.DUMMYFUNCTION("""COMPUTED_VALUE"""),"2016-17")</f>
        <v>2016-17</v>
      </c>
      <c r="D1459" s="163" t="str">
        <f>IFERROR(__xludf.DUMMYFUNCTION("""COMPUTED_VALUE"""),"LAC")</f>
        <v>LAC</v>
      </c>
      <c r="E1459" s="164" t="str">
        <f>IFERROR(__xludf.DUMMYFUNCTION("""COMPUTED_VALUE"""),"Shot Creator")</f>
        <v>Shot Creator</v>
      </c>
      <c r="F1459" s="164">
        <f>IFERROR(__xludf.DUMMYFUNCTION("""COMPUTED_VALUE"""),2157.06833333333)</f>
        <v>2157.068333</v>
      </c>
      <c r="G1459" s="163">
        <f>IFERROR(__xludf.DUMMYFUNCTION("""COMPUTED_VALUE"""),82.0)</f>
        <v>82</v>
      </c>
      <c r="H1459" s="163" t="str">
        <f>IFERROR(__xludf.DUMMYFUNCTION("""COMPUTED_VALUE"""),"SG")</f>
        <v>SG</v>
      </c>
      <c r="I1459" s="163">
        <f>IFERROR(__xludf.DUMMYFUNCTION("""COMPUTED_VALUE"""),36.0)</f>
        <v>36</v>
      </c>
      <c r="J1459" s="165">
        <f>IFERROR(__xludf.DUMMYFUNCTION("""COMPUTED_VALUE"""),-2.62569254376163)</f>
        <v>-2.625692544</v>
      </c>
      <c r="K1459" s="165">
        <f>IFERROR(__xludf.DUMMYFUNCTION("""COMPUTED_VALUE"""),-0.242677157414984)</f>
        <v>-0.2426771574</v>
      </c>
      <c r="L1459" s="165">
        <f>IFERROR(__xludf.DUMMYFUNCTION("""COMPUTED_VALUE"""),-2.38301538634664)</f>
        <v>-2.383015386</v>
      </c>
      <c r="M1459" s="166">
        <f t="shared" si="2"/>
        <v>-0.4568382731</v>
      </c>
      <c r="N1459" s="167">
        <f t="shared" si="3"/>
        <v>26.30571138</v>
      </c>
      <c r="O1459" s="163">
        <f t="shared" ref="O1459:Q1459" si="1463">rank(I1459,I:I)</f>
        <v>65</v>
      </c>
      <c r="P1459" s="163">
        <f t="shared" si="1463"/>
        <v>3794</v>
      </c>
      <c r="Q1459" s="163">
        <f t="shared" si="1463"/>
        <v>1651</v>
      </c>
      <c r="R1459" s="163">
        <f>IFERROR(__xludf.DUMMYFUNCTION("RANK(M1459,filter(M:M,C:C=C1459))"),473.0)</f>
        <v>473</v>
      </c>
      <c r="S1459" s="161" t="b">
        <f t="shared" si="5"/>
        <v>0</v>
      </c>
      <c r="T1459" s="161" t="b">
        <f t="array" ref="T1459">index('Query Tool'!B:B,match(H1459,'Query Tool'!C:C,0))</f>
        <v>1</v>
      </c>
      <c r="U1459" s="161" t="b">
        <f t="array" ref="U1459">index('Query Tool'!B:B,match(C1459,'Query Tool'!C:C,0))</f>
        <v>0</v>
      </c>
      <c r="V1459" s="161" t="b">
        <f>F1459&gt;='Query Tool'!C$32</f>
        <v>1</v>
      </c>
      <c r="W1459" s="161" t="b">
        <f t="array" ref="W1459">index(Dropdowns!B:B,match(I1459,Dropdowns!A:A,0))</f>
        <v>1</v>
      </c>
      <c r="X1459" s="161" t="b">
        <f t="array" ref="X1459">index('Query Tool'!B:B,match(D1459,'Query Tool'!C:C,0))</f>
        <v>1</v>
      </c>
      <c r="Y1459" s="161" t="str">
        <f t="shared" si="6"/>
        <v>crawfja01,2016-17</v>
      </c>
      <c r="Z1459" s="168">
        <f t="array" ref="Z1459">iferror(index(I:I,match($A1459&amp;","&amp;index('Year Conversion'!$A:$A,match($C1459,'Year Conversion'!$B:$B,0)),$Y:$Y,0))-I1459,"")</f>
        <v>1</v>
      </c>
      <c r="AA1459" s="168">
        <f t="array" ref="AA1459">iferror(index(J:J,match($A1459&amp;","&amp;index('Year Conversion'!$A:$A,match($C1459,'Year Conversion'!$B:$B,0)),$Y:$Y,0))-J1459,"")</f>
        <v>-0.9386841815</v>
      </c>
      <c r="AB1459" s="168">
        <f t="array" ref="AB1459">iferror(index(K:K,match($A1459&amp;","&amp;index('Year Conversion'!$A:$A,match($C1459,'Year Conversion'!$B:$B,0)),$Y:$Y,0))-K1459,"")</f>
        <v>0.315743399</v>
      </c>
      <c r="AC1459" s="168" t="str">
        <f t="shared" si="7"/>
        <v>LAC,2016-17</v>
      </c>
    </row>
    <row r="1460">
      <c r="A1460" s="161" t="str">
        <f>IFERROR(__xludf.DUMMYFUNCTION("""COMPUTED_VALUE"""),"chandty01")</f>
        <v>chandty01</v>
      </c>
      <c r="B1460" s="161" t="str">
        <f>IFERROR(__xludf.DUMMYFUNCTION("""COMPUTED_VALUE"""),"Tyson Chandler")</f>
        <v>Tyson Chandler</v>
      </c>
      <c r="C1460" s="162" t="str">
        <f>IFERROR(__xludf.DUMMYFUNCTION("""COMPUTED_VALUE"""),"2016-17")</f>
        <v>2016-17</v>
      </c>
      <c r="D1460" s="163" t="str">
        <f>IFERROR(__xludf.DUMMYFUNCTION("""COMPUTED_VALUE"""),"PHO")</f>
        <v>PHO</v>
      </c>
      <c r="E1460" s="164" t="str">
        <f>IFERROR(__xludf.DUMMYFUNCTION("""COMPUTED_VALUE"""),"Roll + Cut Big")</f>
        <v>Roll + Cut Big</v>
      </c>
      <c r="F1460" s="164">
        <f>IFERROR(__xludf.DUMMYFUNCTION("""COMPUTED_VALUE"""),1297.61)</f>
        <v>1297.61</v>
      </c>
      <c r="G1460" s="163">
        <f>IFERROR(__xludf.DUMMYFUNCTION("""COMPUTED_VALUE"""),47.0)</f>
        <v>47</v>
      </c>
      <c r="H1460" s="163" t="str">
        <f>IFERROR(__xludf.DUMMYFUNCTION("""COMPUTED_VALUE"""),"C")</f>
        <v>C</v>
      </c>
      <c r="I1460" s="163">
        <f>IFERROR(__xludf.DUMMYFUNCTION("""COMPUTED_VALUE"""),34.0)</f>
        <v>34</v>
      </c>
      <c r="J1460" s="165">
        <f>IFERROR(__xludf.DUMMYFUNCTION("""COMPUTED_VALUE"""),0.928602741363513)</f>
        <v>0.9286027414</v>
      </c>
      <c r="K1460" s="165">
        <f>IFERROR(__xludf.DUMMYFUNCTION("""COMPUTED_VALUE"""),-0.787604623568477)</f>
        <v>-0.7876046236</v>
      </c>
      <c r="L1460" s="165">
        <f>IFERROR(__xludf.DUMMYFUNCTION("""COMPUTED_VALUE"""),1.71620736493199)</f>
        <v>1.716207365</v>
      </c>
      <c r="M1460" s="166">
        <f t="shared" si="2"/>
        <v>2.811884933</v>
      </c>
      <c r="N1460" s="167">
        <f t="shared" si="3"/>
        <v>27.6087234</v>
      </c>
      <c r="O1460" s="163">
        <f t="shared" ref="O1460:Q1460" si="1464">rank(I1460,I:I)</f>
        <v>164</v>
      </c>
      <c r="P1460" s="163">
        <f t="shared" si="1464"/>
        <v>685</v>
      </c>
      <c r="Q1460" s="163">
        <f t="shared" si="1464"/>
        <v>2544</v>
      </c>
      <c r="R1460" s="163">
        <f>IFERROR(__xludf.DUMMYFUNCTION("RANK(M1460,filter(M:M,C:C=C1460))"),119.0)</f>
        <v>119</v>
      </c>
      <c r="S1460" s="161" t="b">
        <f t="shared" si="5"/>
        <v>0</v>
      </c>
      <c r="T1460" s="161" t="b">
        <f t="array" ref="T1460">index('Query Tool'!B:B,match(H1460,'Query Tool'!C:C,0))</f>
        <v>1</v>
      </c>
      <c r="U1460" s="161" t="b">
        <f t="array" ref="U1460">index('Query Tool'!B:B,match(C1460,'Query Tool'!C:C,0))</f>
        <v>0</v>
      </c>
      <c r="V1460" s="161" t="b">
        <f>F1460&gt;='Query Tool'!C$32</f>
        <v>1</v>
      </c>
      <c r="W1460" s="161" t="b">
        <f t="array" ref="W1460">index(Dropdowns!B:B,match(I1460,Dropdowns!A:A,0))</f>
        <v>1</v>
      </c>
      <c r="X1460" s="161" t="b">
        <f t="array" ref="X1460">index('Query Tool'!B:B,match(D1460,'Query Tool'!C:C,0))</f>
        <v>1</v>
      </c>
      <c r="Y1460" s="161" t="str">
        <f t="shared" si="6"/>
        <v>chandty01,2016-17</v>
      </c>
      <c r="Z1460" s="168">
        <f t="array" ref="Z1460">iferror(index(I:I,match($A1460&amp;","&amp;index('Year Conversion'!$A:$A,match($C1460,'Year Conversion'!$B:$B,0)),$Y:$Y,0))-I1460,"")</f>
        <v>1</v>
      </c>
      <c r="AA1460" s="168">
        <f t="array" ref="AA1460">iferror(index(J:J,match($A1460&amp;","&amp;index('Year Conversion'!$A:$A,match($C1460,'Year Conversion'!$B:$B,0)),$Y:$Y,0))-J1460,"")</f>
        <v>-1.579375354</v>
      </c>
      <c r="AB1460" s="168">
        <f t="array" ref="AB1460">iferror(index(K:K,match($A1460&amp;","&amp;index('Year Conversion'!$A:$A,match($C1460,'Year Conversion'!$B:$B,0)),$Y:$Y,0))-K1460,"")</f>
        <v>-0.7276412961</v>
      </c>
      <c r="AC1460" s="168" t="str">
        <f t="shared" si="7"/>
        <v>PHO,2016-17</v>
      </c>
    </row>
    <row r="1461">
      <c r="A1461" s="161" t="str">
        <f>IFERROR(__xludf.DUMMYFUNCTION("""COMPUTED_VALUE"""),"gasolpa01")</f>
        <v>gasolpa01</v>
      </c>
      <c r="B1461" s="161" t="str">
        <f>IFERROR(__xludf.DUMMYFUNCTION("""COMPUTED_VALUE"""),"Pau Gasol")</f>
        <v>Pau Gasol</v>
      </c>
      <c r="C1461" s="162" t="str">
        <f>IFERROR(__xludf.DUMMYFUNCTION("""COMPUTED_VALUE"""),"2016-17")</f>
        <v>2016-17</v>
      </c>
      <c r="D1461" s="163" t="str">
        <f>IFERROR(__xludf.DUMMYFUNCTION("""COMPUTED_VALUE"""),"SAS")</f>
        <v>SAS</v>
      </c>
      <c r="E1461" s="164" t="str">
        <f>IFERROR(__xludf.DUMMYFUNCTION("""COMPUTED_VALUE"""),"Post Scorer")</f>
        <v>Post Scorer</v>
      </c>
      <c r="F1461" s="164">
        <f>IFERROR(__xludf.DUMMYFUNCTION("""COMPUTED_VALUE"""),1626.735)</f>
        <v>1626.735</v>
      </c>
      <c r="G1461" s="163">
        <f>IFERROR(__xludf.DUMMYFUNCTION("""COMPUTED_VALUE"""),64.0)</f>
        <v>64</v>
      </c>
      <c r="H1461" s="163" t="str">
        <f>IFERROR(__xludf.DUMMYFUNCTION("""COMPUTED_VALUE"""),"C")</f>
        <v>C</v>
      </c>
      <c r="I1461" s="163">
        <f>IFERROR(__xludf.DUMMYFUNCTION("""COMPUTED_VALUE"""),36.0)</f>
        <v>36</v>
      </c>
      <c r="J1461" s="165">
        <f>IFERROR(__xludf.DUMMYFUNCTION("""COMPUTED_VALUE"""),1.30277299377901)</f>
        <v>1.302772994</v>
      </c>
      <c r="K1461" s="165">
        <f>IFERROR(__xludf.DUMMYFUNCTION("""COMPUTED_VALUE"""),0.0531694220194734)</f>
        <v>0.05316942202</v>
      </c>
      <c r="L1461" s="165">
        <f>IFERROR(__xludf.DUMMYFUNCTION("""COMPUTED_VALUE"""),1.24960357175953)</f>
        <v>1.249603572</v>
      </c>
      <c r="M1461" s="166">
        <f t="shared" si="2"/>
        <v>3.933311739</v>
      </c>
      <c r="N1461" s="167">
        <f t="shared" si="3"/>
        <v>25.41773438</v>
      </c>
      <c r="O1461" s="163">
        <f t="shared" ref="O1461:Q1461" si="1465">rank(I1461,I:I)</f>
        <v>65</v>
      </c>
      <c r="P1461" s="163">
        <f t="shared" si="1465"/>
        <v>523</v>
      </c>
      <c r="Q1461" s="163">
        <f t="shared" si="1465"/>
        <v>1130</v>
      </c>
      <c r="R1461" s="163">
        <f>IFERROR(__xludf.DUMMYFUNCTION("RANK(M1461,filter(M:M,C:C=C1461))"),85.0)</f>
        <v>85</v>
      </c>
      <c r="S1461" s="161" t="b">
        <f t="shared" si="5"/>
        <v>0</v>
      </c>
      <c r="T1461" s="161" t="b">
        <f t="array" ref="T1461">index('Query Tool'!B:B,match(H1461,'Query Tool'!C:C,0))</f>
        <v>1</v>
      </c>
      <c r="U1461" s="161" t="b">
        <f t="array" ref="U1461">index('Query Tool'!B:B,match(C1461,'Query Tool'!C:C,0))</f>
        <v>0</v>
      </c>
      <c r="V1461" s="161" t="b">
        <f>F1461&gt;='Query Tool'!C$32</f>
        <v>1</v>
      </c>
      <c r="W1461" s="161" t="b">
        <f t="array" ref="W1461">index(Dropdowns!B:B,match(I1461,Dropdowns!A:A,0))</f>
        <v>1</v>
      </c>
      <c r="X1461" s="161" t="b">
        <f t="array" ref="X1461">index('Query Tool'!B:B,match(D1461,'Query Tool'!C:C,0))</f>
        <v>1</v>
      </c>
      <c r="Y1461" s="161" t="str">
        <f t="shared" si="6"/>
        <v>gasolpa01,2016-17</v>
      </c>
      <c r="Z1461" s="168">
        <f t="array" ref="Z1461">iferror(index(I:I,match($A1461&amp;","&amp;index('Year Conversion'!$A:$A,match($C1461,'Year Conversion'!$B:$B,0)),$Y:$Y,0))-I1461,"")</f>
        <v>1</v>
      </c>
      <c r="AA1461" s="168">
        <f t="array" ref="AA1461">iferror(index(J:J,match($A1461&amp;","&amp;index('Year Conversion'!$A:$A,match($C1461,'Year Conversion'!$B:$B,0)),$Y:$Y,0))-J1461,"")</f>
        <v>-0.1455317351</v>
      </c>
      <c r="AB1461" s="168">
        <f t="array" ref="AB1461">iferror(index(K:K,match($A1461&amp;","&amp;index('Year Conversion'!$A:$A,match($C1461,'Year Conversion'!$B:$B,0)),$Y:$Y,0))-K1461,"")</f>
        <v>-0.5846852943</v>
      </c>
      <c r="AC1461" s="168" t="str">
        <f t="shared" si="7"/>
        <v>SAS,2016-17</v>
      </c>
    </row>
    <row r="1462">
      <c r="A1462" s="161" t="str">
        <f>IFERROR(__xludf.DUMMYFUNCTION("""COMPUTED_VALUE"""),"johnsjo02")</f>
        <v>johnsjo02</v>
      </c>
      <c r="B1462" s="161" t="str">
        <f>IFERROR(__xludf.DUMMYFUNCTION("""COMPUTED_VALUE"""),"Joe Johnson")</f>
        <v>Joe Johnson</v>
      </c>
      <c r="C1462" s="162" t="str">
        <f>IFERROR(__xludf.DUMMYFUNCTION("""COMPUTED_VALUE"""),"2016-17")</f>
        <v>2016-17</v>
      </c>
      <c r="D1462" s="163" t="str">
        <f>IFERROR(__xludf.DUMMYFUNCTION("""COMPUTED_VALUE"""),"UTA")</f>
        <v>UTA</v>
      </c>
      <c r="E1462" s="164" t="str">
        <f>IFERROR(__xludf.DUMMYFUNCTION("""COMPUTED_VALUE"""),"Shot Creator")</f>
        <v>Shot Creator</v>
      </c>
      <c r="F1462" s="164">
        <f>IFERROR(__xludf.DUMMYFUNCTION("""COMPUTED_VALUE"""),1842.92833333333)</f>
        <v>1842.928333</v>
      </c>
      <c r="G1462" s="163">
        <f>IFERROR(__xludf.DUMMYFUNCTION("""COMPUTED_VALUE"""),78.0)</f>
        <v>78</v>
      </c>
      <c r="H1462" s="163" t="str">
        <f>IFERROR(__xludf.DUMMYFUNCTION("""COMPUTED_VALUE"""),"SF")</f>
        <v>SF</v>
      </c>
      <c r="I1462" s="163">
        <f>IFERROR(__xludf.DUMMYFUNCTION("""COMPUTED_VALUE"""),35.0)</f>
        <v>35</v>
      </c>
      <c r="J1462" s="165">
        <f>IFERROR(__xludf.DUMMYFUNCTION("""COMPUTED_VALUE"""),-1.31325933269435)</f>
        <v>-1.313259333</v>
      </c>
      <c r="K1462" s="165">
        <f>IFERROR(__xludf.DUMMYFUNCTION("""COMPUTED_VALUE"""),0.30127053229639)</f>
        <v>0.3012705323</v>
      </c>
      <c r="L1462" s="165">
        <f>IFERROR(__xludf.DUMMYFUNCTION("""COMPUTED_VALUE"""),-1.61452986499074)</f>
        <v>-1.614529865</v>
      </c>
      <c r="M1462" s="166">
        <f t="shared" si="2"/>
        <v>1.213376243</v>
      </c>
      <c r="N1462" s="167">
        <f t="shared" si="3"/>
        <v>23.62728632</v>
      </c>
      <c r="O1462" s="163">
        <f t="shared" ref="O1462:Q1462" si="1466">rank(I1462,I:I)</f>
        <v>104</v>
      </c>
      <c r="P1462" s="163">
        <f t="shared" si="1466"/>
        <v>2877</v>
      </c>
      <c r="Q1462" s="163">
        <f t="shared" si="1466"/>
        <v>908</v>
      </c>
      <c r="R1462" s="163">
        <f>IFERROR(__xludf.DUMMYFUNCTION("RANK(M1462,filter(M:M,C:C=C1462))"),207.0)</f>
        <v>207</v>
      </c>
      <c r="S1462" s="161" t="b">
        <f t="shared" si="5"/>
        <v>0</v>
      </c>
      <c r="T1462" s="161" t="b">
        <f t="array" ref="T1462">index('Query Tool'!B:B,match(H1462,'Query Tool'!C:C,0))</f>
        <v>1</v>
      </c>
      <c r="U1462" s="161" t="b">
        <f t="array" ref="U1462">index('Query Tool'!B:B,match(C1462,'Query Tool'!C:C,0))</f>
        <v>0</v>
      </c>
      <c r="V1462" s="161" t="b">
        <f>F1462&gt;='Query Tool'!C$32</f>
        <v>1</v>
      </c>
      <c r="W1462" s="161" t="b">
        <f t="array" ref="W1462">index(Dropdowns!B:B,match(I1462,Dropdowns!A:A,0))</f>
        <v>1</v>
      </c>
      <c r="X1462" s="161" t="b">
        <f t="array" ref="X1462">index('Query Tool'!B:B,match(D1462,'Query Tool'!C:C,0))</f>
        <v>1</v>
      </c>
      <c r="Y1462" s="161" t="str">
        <f t="shared" si="6"/>
        <v>johnsjo02,2016-17</v>
      </c>
      <c r="Z1462" s="168">
        <f t="array" ref="Z1462">iferror(index(I:I,match($A1462&amp;","&amp;index('Year Conversion'!$A:$A,match($C1462,'Year Conversion'!$B:$B,0)),$Y:$Y,0))-I1462,"")</f>
        <v>1</v>
      </c>
      <c r="AA1462" s="168">
        <f t="array" ref="AA1462">iferror(index(J:J,match($A1462&amp;","&amp;index('Year Conversion'!$A:$A,match($C1462,'Year Conversion'!$B:$B,0)),$Y:$Y,0))-J1462,"")</f>
        <v>-0.5860865725</v>
      </c>
      <c r="AB1462" s="168">
        <f t="array" ref="AB1462">iferror(index(K:K,match($A1462&amp;","&amp;index('Year Conversion'!$A:$A,match($C1462,'Year Conversion'!$B:$B,0)),$Y:$Y,0))-K1462,"")</f>
        <v>-1.398717976</v>
      </c>
      <c r="AC1462" s="168" t="str">
        <f t="shared" si="7"/>
        <v>UTA,2016-17</v>
      </c>
    </row>
    <row r="1463">
      <c r="A1463" s="161" t="str">
        <f>IFERROR(__xludf.DUMMYFUNCTION("""COMPUTED_VALUE"""),"jefferi01")</f>
        <v>jefferi01</v>
      </c>
      <c r="B1463" s="161" t="str">
        <f>IFERROR(__xludf.DUMMYFUNCTION("""COMPUTED_VALUE"""),"Richard Jefferson")</f>
        <v>Richard Jefferson</v>
      </c>
      <c r="C1463" s="162" t="str">
        <f>IFERROR(__xludf.DUMMYFUNCTION("""COMPUTED_VALUE"""),"2016-17")</f>
        <v>2016-17</v>
      </c>
      <c r="D1463" s="163" t="str">
        <f>IFERROR(__xludf.DUMMYFUNCTION("""COMPUTED_VALUE"""),"CLE")</f>
        <v>CLE</v>
      </c>
      <c r="E1463" s="164" t="str">
        <f>IFERROR(__xludf.DUMMYFUNCTION("""COMPUTED_VALUE"""),"Stationary Shooter")</f>
        <v>Stationary Shooter</v>
      </c>
      <c r="F1463" s="164">
        <f>IFERROR(__xludf.DUMMYFUNCTION("""COMPUTED_VALUE"""),1613.61)</f>
        <v>1613.61</v>
      </c>
      <c r="G1463" s="163">
        <f>IFERROR(__xludf.DUMMYFUNCTION("""COMPUTED_VALUE"""),79.0)</f>
        <v>79</v>
      </c>
      <c r="H1463" s="163" t="str">
        <f>IFERROR(__xludf.DUMMYFUNCTION("""COMPUTED_VALUE"""),"SF")</f>
        <v>SF</v>
      </c>
      <c r="I1463" s="163">
        <f>IFERROR(__xludf.DUMMYFUNCTION("""COMPUTED_VALUE"""),36.0)</f>
        <v>36</v>
      </c>
      <c r="J1463" s="165">
        <f>IFERROR(__xludf.DUMMYFUNCTION("""COMPUTED_VALUE"""),-1.24588558495859)</f>
        <v>-1.245885585</v>
      </c>
      <c r="K1463" s="165">
        <f>IFERROR(__xludf.DUMMYFUNCTION("""COMPUTED_VALUE"""),-1.04932505271403)</f>
        <v>-1.049325053</v>
      </c>
      <c r="L1463" s="165">
        <f>IFERROR(__xludf.DUMMYFUNCTION("""COMPUTED_VALUE"""),-0.196560532244558)</f>
        <v>-0.1965605322</v>
      </c>
      <c r="M1463" s="166">
        <f t="shared" si="2"/>
        <v>1.135190554</v>
      </c>
      <c r="N1463" s="167">
        <f t="shared" si="3"/>
        <v>20.42544304</v>
      </c>
      <c r="O1463" s="163">
        <f t="shared" ref="O1463:Q1463" si="1467">rank(I1463,I:I)</f>
        <v>65</v>
      </c>
      <c r="P1463" s="163">
        <f t="shared" si="1467"/>
        <v>2808</v>
      </c>
      <c r="Q1463" s="163">
        <f t="shared" si="1467"/>
        <v>2871</v>
      </c>
      <c r="R1463" s="163">
        <f>IFERROR(__xludf.DUMMYFUNCTION("RANK(M1463,filter(M:M,C:C=C1463))"),214.0)</f>
        <v>214</v>
      </c>
      <c r="S1463" s="161" t="b">
        <f t="shared" si="5"/>
        <v>0</v>
      </c>
      <c r="T1463" s="161" t="b">
        <f t="array" ref="T1463">index('Query Tool'!B:B,match(H1463,'Query Tool'!C:C,0))</f>
        <v>1</v>
      </c>
      <c r="U1463" s="161" t="b">
        <f t="array" ref="U1463">index('Query Tool'!B:B,match(C1463,'Query Tool'!C:C,0))</f>
        <v>0</v>
      </c>
      <c r="V1463" s="161" t="b">
        <f>F1463&gt;='Query Tool'!C$32</f>
        <v>1</v>
      </c>
      <c r="W1463" s="161" t="b">
        <f t="array" ref="W1463">index(Dropdowns!B:B,match(I1463,Dropdowns!A:A,0))</f>
        <v>1</v>
      </c>
      <c r="X1463" s="161" t="b">
        <f t="array" ref="X1463">index('Query Tool'!B:B,match(D1463,'Query Tool'!C:C,0))</f>
        <v>1</v>
      </c>
      <c r="Y1463" s="161" t="str">
        <f t="shared" si="6"/>
        <v>jefferi01,2016-17</v>
      </c>
      <c r="Z1463" s="168">
        <f t="array" ref="Z1463">iferror(index(I:I,match($A1463&amp;","&amp;index('Year Conversion'!$A:$A,match($C1463,'Year Conversion'!$B:$B,0)),$Y:$Y,0))-I1463,"")</f>
        <v>1</v>
      </c>
      <c r="AA1463" s="168">
        <f t="array" ref="AA1463">iferror(index(J:J,match($A1463&amp;","&amp;index('Year Conversion'!$A:$A,match($C1463,'Year Conversion'!$B:$B,0)),$Y:$Y,0))-J1463,"")</f>
        <v>-0.733234216</v>
      </c>
      <c r="AB1463" s="168">
        <f t="array" ref="AB1463">iferror(index(K:K,match($A1463&amp;","&amp;index('Year Conversion'!$A:$A,match($C1463,'Year Conversion'!$B:$B,0)),$Y:$Y,0))-K1463,"")</f>
        <v>-0.5819481468</v>
      </c>
      <c r="AC1463" s="168" t="str">
        <f t="shared" si="7"/>
        <v>CLE,2016-17</v>
      </c>
    </row>
    <row r="1464">
      <c r="A1464" s="161" t="str">
        <f>IFERROR(__xludf.DUMMYFUNCTION("""COMPUTED_VALUE"""),"randoza01")</f>
        <v>randoza01</v>
      </c>
      <c r="B1464" s="161" t="str">
        <f>IFERROR(__xludf.DUMMYFUNCTION("""COMPUTED_VALUE"""),"Zach Randolph")</f>
        <v>Zach Randolph</v>
      </c>
      <c r="C1464" s="162" t="str">
        <f>IFERROR(__xludf.DUMMYFUNCTION("""COMPUTED_VALUE"""),"2016-17")</f>
        <v>2016-17</v>
      </c>
      <c r="D1464" s="163" t="str">
        <f>IFERROR(__xludf.DUMMYFUNCTION("""COMPUTED_VALUE"""),"MEM")</f>
        <v>MEM</v>
      </c>
      <c r="E1464" s="164" t="str">
        <f>IFERROR(__xludf.DUMMYFUNCTION("""COMPUTED_VALUE"""),"Post Scorer")</f>
        <v>Post Scorer</v>
      </c>
      <c r="F1464" s="164">
        <f>IFERROR(__xludf.DUMMYFUNCTION("""COMPUTED_VALUE"""),1786.235)</f>
        <v>1786.235</v>
      </c>
      <c r="G1464" s="163">
        <f>IFERROR(__xludf.DUMMYFUNCTION("""COMPUTED_VALUE"""),73.0)</f>
        <v>73</v>
      </c>
      <c r="H1464" s="163" t="str">
        <f>IFERROR(__xludf.DUMMYFUNCTION("""COMPUTED_VALUE"""),"PF")</f>
        <v>PF</v>
      </c>
      <c r="I1464" s="163">
        <f>IFERROR(__xludf.DUMMYFUNCTION("""COMPUTED_VALUE"""),35.0)</f>
        <v>35</v>
      </c>
      <c r="J1464" s="165">
        <f>IFERROR(__xludf.DUMMYFUNCTION("""COMPUTED_VALUE"""),-0.231889726449124)</f>
        <v>-0.2318897264</v>
      </c>
      <c r="K1464" s="165">
        <f>IFERROR(__xludf.DUMMYFUNCTION("""COMPUTED_VALUE"""),0.857408742198245)</f>
        <v>0.8574087422</v>
      </c>
      <c r="L1464" s="165">
        <f>IFERROR(__xludf.DUMMYFUNCTION("""COMPUTED_VALUE"""),-1.08929846864737)</f>
        <v>-1.089298469</v>
      </c>
      <c r="M1464" s="166">
        <f t="shared" si="2"/>
        <v>2.47454396</v>
      </c>
      <c r="N1464" s="167">
        <f t="shared" si="3"/>
        <v>24.4689726</v>
      </c>
      <c r="O1464" s="163">
        <f t="shared" ref="O1464:Q1464" si="1468">rank(I1464,I:I)</f>
        <v>104</v>
      </c>
      <c r="P1464" s="163">
        <f t="shared" si="1468"/>
        <v>1537</v>
      </c>
      <c r="Q1464" s="163">
        <f t="shared" si="1468"/>
        <v>574</v>
      </c>
      <c r="R1464" s="163">
        <f>IFERROR(__xludf.DUMMYFUNCTION("RANK(M1464,filter(M:M,C:C=C1464))"),133.0)</f>
        <v>133</v>
      </c>
      <c r="S1464" s="161" t="b">
        <f t="shared" si="5"/>
        <v>0</v>
      </c>
      <c r="T1464" s="161" t="b">
        <f t="array" ref="T1464">index('Query Tool'!B:B,match(H1464,'Query Tool'!C:C,0))</f>
        <v>1</v>
      </c>
      <c r="U1464" s="161" t="b">
        <f t="array" ref="U1464">index('Query Tool'!B:B,match(C1464,'Query Tool'!C:C,0))</f>
        <v>0</v>
      </c>
      <c r="V1464" s="161" t="b">
        <f>F1464&gt;='Query Tool'!C$32</f>
        <v>1</v>
      </c>
      <c r="W1464" s="161" t="b">
        <f t="array" ref="W1464">index(Dropdowns!B:B,match(I1464,Dropdowns!A:A,0))</f>
        <v>1</v>
      </c>
      <c r="X1464" s="161" t="b">
        <f t="array" ref="X1464">index('Query Tool'!B:B,match(D1464,'Query Tool'!C:C,0))</f>
        <v>1</v>
      </c>
      <c r="Y1464" s="161" t="str">
        <f t="shared" si="6"/>
        <v>randoza01,2016-17</v>
      </c>
      <c r="Z1464" s="168">
        <f t="array" ref="Z1464">iferror(index(I:I,match($A1464&amp;","&amp;index('Year Conversion'!$A:$A,match($C1464,'Year Conversion'!$B:$B,0)),$Y:$Y,0))-I1464,"")</f>
        <v>1</v>
      </c>
      <c r="AA1464" s="168">
        <f t="array" ref="AA1464">iferror(index(J:J,match($A1464&amp;","&amp;index('Year Conversion'!$A:$A,match($C1464,'Year Conversion'!$B:$B,0)),$Y:$Y,0))-J1464,"")</f>
        <v>-1.011421709</v>
      </c>
      <c r="AB1464" s="168">
        <f t="array" ref="AB1464">iferror(index(K:K,match($A1464&amp;","&amp;index('Year Conversion'!$A:$A,match($C1464,'Year Conversion'!$B:$B,0)),$Y:$Y,0))-K1464,"")</f>
        <v>-1.231176603</v>
      </c>
      <c r="AC1464" s="168" t="str">
        <f t="shared" si="7"/>
        <v>MEM,2016-17</v>
      </c>
    </row>
    <row r="1465">
      <c r="A1465" s="161" t="str">
        <f>IFERROR(__xludf.DUMMYFUNCTION("""COMPUTED_VALUE"""),"parketo01")</f>
        <v>parketo01</v>
      </c>
      <c r="B1465" s="161" t="str">
        <f>IFERROR(__xludf.DUMMYFUNCTION("""COMPUTED_VALUE"""),"Tony Parker")</f>
        <v>Tony Parker</v>
      </c>
      <c r="C1465" s="162" t="str">
        <f>IFERROR(__xludf.DUMMYFUNCTION("""COMPUTED_VALUE"""),"2016-17")</f>
        <v>2016-17</v>
      </c>
      <c r="D1465" s="163" t="str">
        <f>IFERROR(__xludf.DUMMYFUNCTION("""COMPUTED_VALUE"""),"SAS")</f>
        <v>SAS</v>
      </c>
      <c r="E1465" s="164" t="str">
        <f>IFERROR(__xludf.DUMMYFUNCTION("""COMPUTED_VALUE"""),"Slasher")</f>
        <v>Slasher</v>
      </c>
      <c r="F1465" s="164">
        <f>IFERROR(__xludf.DUMMYFUNCTION("""COMPUTED_VALUE"""),1587.02666666667)</f>
        <v>1587.026667</v>
      </c>
      <c r="G1465" s="163">
        <f>IFERROR(__xludf.DUMMYFUNCTION("""COMPUTED_VALUE"""),63.0)</f>
        <v>63</v>
      </c>
      <c r="H1465" s="163" t="str">
        <f>IFERROR(__xludf.DUMMYFUNCTION("""COMPUTED_VALUE"""),"PG")</f>
        <v>PG</v>
      </c>
      <c r="I1465" s="163">
        <f>IFERROR(__xludf.DUMMYFUNCTION("""COMPUTED_VALUE"""),34.0)</f>
        <v>34</v>
      </c>
      <c r="J1465" s="165">
        <f>IFERROR(__xludf.DUMMYFUNCTION("""COMPUTED_VALUE"""),-0.305445709229291)</f>
        <v>-0.3054457092</v>
      </c>
      <c r="K1465" s="165">
        <f>IFERROR(__xludf.DUMMYFUNCTION("""COMPUTED_VALUE"""),-0.0411216071343371)</f>
        <v>-0.04112160713</v>
      </c>
      <c r="L1465" s="165">
        <f>IFERROR(__xludf.DUMMYFUNCTION("""COMPUTED_VALUE"""),-0.264324102094954)</f>
        <v>-0.2643241021</v>
      </c>
      <c r="M1465" s="166">
        <f t="shared" si="2"/>
        <v>2.119894621</v>
      </c>
      <c r="N1465" s="167">
        <f t="shared" si="3"/>
        <v>25.19089947</v>
      </c>
      <c r="O1465" s="163">
        <f t="shared" ref="O1465:Q1465" si="1469">rank(I1465,I:I)</f>
        <v>164</v>
      </c>
      <c r="P1465" s="163">
        <f t="shared" si="1469"/>
        <v>1621</v>
      </c>
      <c r="Q1465" s="163">
        <f t="shared" si="1469"/>
        <v>1256</v>
      </c>
      <c r="R1465" s="163">
        <f>IFERROR(__xludf.DUMMYFUNCTION("RANK(M1465,filter(M:M,C:C=C1465))"),154.0)</f>
        <v>154</v>
      </c>
      <c r="S1465" s="161" t="b">
        <f t="shared" si="5"/>
        <v>0</v>
      </c>
      <c r="T1465" s="161" t="b">
        <f t="array" ref="T1465">index('Query Tool'!B:B,match(H1465,'Query Tool'!C:C,0))</f>
        <v>1</v>
      </c>
      <c r="U1465" s="161" t="b">
        <f t="array" ref="U1465">index('Query Tool'!B:B,match(C1465,'Query Tool'!C:C,0))</f>
        <v>0</v>
      </c>
      <c r="V1465" s="161" t="b">
        <f>F1465&gt;='Query Tool'!C$32</f>
        <v>1</v>
      </c>
      <c r="W1465" s="161" t="b">
        <f t="array" ref="W1465">index(Dropdowns!B:B,match(I1465,Dropdowns!A:A,0))</f>
        <v>1</v>
      </c>
      <c r="X1465" s="161" t="b">
        <f t="array" ref="X1465">index('Query Tool'!B:B,match(D1465,'Query Tool'!C:C,0))</f>
        <v>1</v>
      </c>
      <c r="Y1465" s="161" t="str">
        <f t="shared" si="6"/>
        <v>parketo01,2016-17</v>
      </c>
      <c r="Z1465" s="168">
        <f t="array" ref="Z1465">iferror(index(I:I,match($A1465&amp;","&amp;index('Year Conversion'!$A:$A,match($C1465,'Year Conversion'!$B:$B,0)),$Y:$Y,0))-I1465,"")</f>
        <v>1</v>
      </c>
      <c r="AA1465" s="168">
        <f t="array" ref="AA1465">iferror(index(J:J,match($A1465&amp;","&amp;index('Year Conversion'!$A:$A,match($C1465,'Year Conversion'!$B:$B,0)),$Y:$Y,0))-J1465,"")</f>
        <v>-1.796861969</v>
      </c>
      <c r="AB1465" s="168">
        <f t="array" ref="AB1465">iferror(index(K:K,match($A1465&amp;","&amp;index('Year Conversion'!$A:$A,match($C1465,'Year Conversion'!$B:$B,0)),$Y:$Y,0))-K1465,"")</f>
        <v>-0.9210099504</v>
      </c>
      <c r="AC1465" s="168" t="str">
        <f t="shared" si="7"/>
        <v>SAS,2016-17</v>
      </c>
    </row>
    <row r="1466">
      <c r="A1466" s="161" t="str">
        <f>IFERROR(__xludf.DUMMYFUNCTION("""COMPUTED_VALUE"""),"anderch01")</f>
        <v>anderch01</v>
      </c>
      <c r="B1466" s="161" t="str">
        <f>IFERROR(__xludf.DUMMYFUNCTION("""COMPUTED_VALUE"""),"Chris Andersen")</f>
        <v>Chris Andersen</v>
      </c>
      <c r="C1466" s="162" t="str">
        <f>IFERROR(__xludf.DUMMYFUNCTION("""COMPUTED_VALUE"""),"2016-17")</f>
        <v>2016-17</v>
      </c>
      <c r="D1466" s="163" t="str">
        <f>IFERROR(__xludf.DUMMYFUNCTION("""COMPUTED_VALUE"""),"CLE")</f>
        <v>CLE</v>
      </c>
      <c r="E1466" s="164" t="str">
        <f>IFERROR(__xludf.DUMMYFUNCTION("""COMPUTED_VALUE"""),"Roll + Cut Big")</f>
        <v>Roll + Cut Big</v>
      </c>
      <c r="F1466" s="164">
        <f>IFERROR(__xludf.DUMMYFUNCTION("""COMPUTED_VALUE"""),113.793333333333)</f>
        <v>113.7933333</v>
      </c>
      <c r="G1466" s="163">
        <f>IFERROR(__xludf.DUMMYFUNCTION("""COMPUTED_VALUE"""),12.0)</f>
        <v>12</v>
      </c>
      <c r="H1466" s="163" t="str">
        <f>IFERROR(__xludf.DUMMYFUNCTION("""COMPUTED_VALUE"""),"C")</f>
        <v>C</v>
      </c>
      <c r="I1466" s="163">
        <f>IFERROR(__xludf.DUMMYFUNCTION("""COMPUTED_VALUE"""),38.0)</f>
        <v>38</v>
      </c>
      <c r="J1466" s="165">
        <f>IFERROR(__xludf.DUMMYFUNCTION("""COMPUTED_VALUE"""),-0.389886991019524)</f>
        <v>-0.389886991</v>
      </c>
      <c r="K1466" s="165">
        <f>IFERROR(__xludf.DUMMYFUNCTION("""COMPUTED_VALUE"""),-0.728849957735633)</f>
        <v>-0.7288499577</v>
      </c>
      <c r="L1466" s="165">
        <f>IFERROR(__xludf.DUMMYFUNCTION("""COMPUTED_VALUE"""),0.338962966716109)</f>
        <v>0.3389629667</v>
      </c>
      <c r="M1466" s="166">
        <f t="shared" si="2"/>
        <v>0.1455262341</v>
      </c>
      <c r="N1466" s="167">
        <f t="shared" si="3"/>
        <v>9.482777778</v>
      </c>
      <c r="O1466" s="163">
        <f t="shared" ref="O1466:Q1466" si="1470">rank(I1466,I:I)</f>
        <v>20</v>
      </c>
      <c r="P1466" s="163">
        <f t="shared" si="1470"/>
        <v>1714</v>
      </c>
      <c r="Q1466" s="163">
        <f t="shared" si="1470"/>
        <v>2451</v>
      </c>
      <c r="R1466" s="163">
        <f>IFERROR(__xludf.DUMMYFUNCTION("RANK(M1466,filter(M:M,C:C=C1466))"),358.0)</f>
        <v>358</v>
      </c>
      <c r="S1466" s="161" t="b">
        <f t="shared" si="5"/>
        <v>0</v>
      </c>
      <c r="T1466" s="161" t="b">
        <f t="array" ref="T1466">index('Query Tool'!B:B,match(H1466,'Query Tool'!C:C,0))</f>
        <v>1</v>
      </c>
      <c r="U1466" s="161" t="b">
        <f t="array" ref="U1466">index('Query Tool'!B:B,match(C1466,'Query Tool'!C:C,0))</f>
        <v>0</v>
      </c>
      <c r="V1466" s="161" t="b">
        <f>F1466&gt;='Query Tool'!C$32</f>
        <v>0</v>
      </c>
      <c r="W1466" s="161" t="b">
        <f t="array" ref="W1466">index(Dropdowns!B:B,match(I1466,Dropdowns!A:A,0))</f>
        <v>1</v>
      </c>
      <c r="X1466" s="161" t="b">
        <f t="array" ref="X1466">index('Query Tool'!B:B,match(D1466,'Query Tool'!C:C,0))</f>
        <v>1</v>
      </c>
      <c r="Y1466" s="161" t="str">
        <f t="shared" si="6"/>
        <v>anderch01,2016-17</v>
      </c>
      <c r="Z1466" s="168" t="str">
        <f t="array" ref="Z1466">iferror(index(I:I,match($A1466&amp;","&amp;index('Year Conversion'!$A:$A,match($C1466,'Year Conversion'!$B:$B,0)),$Y:$Y,0))-I1466,"")</f>
        <v/>
      </c>
      <c r="AA1466" s="168" t="str">
        <f t="array" ref="AA1466">iferror(index(J:J,match($A1466&amp;","&amp;index('Year Conversion'!$A:$A,match($C1466,'Year Conversion'!$B:$B,0)),$Y:$Y,0))-J1466,"")</f>
        <v/>
      </c>
      <c r="AB1466" s="168" t="str">
        <f t="array" ref="AB1466">iferror(index(K:K,match($A1466&amp;","&amp;index('Year Conversion'!$A:$A,match($C1466,'Year Conversion'!$B:$B,0)),$Y:$Y,0))-K1466,"")</f>
        <v/>
      </c>
      <c r="AC1466" s="168" t="str">
        <f t="shared" si="7"/>
        <v>CLE,2016-17</v>
      </c>
    </row>
    <row r="1467">
      <c r="A1467" s="161" t="str">
        <f>IFERROR(__xludf.DUMMYFUNCTION("""COMPUTED_VALUE"""),"dunlemi02")</f>
        <v>dunlemi02</v>
      </c>
      <c r="B1467" s="161" t="str">
        <f>IFERROR(__xludf.DUMMYFUNCTION("""COMPUTED_VALUE"""),"Mike Dunleavy")</f>
        <v>Mike Dunleavy</v>
      </c>
      <c r="C1467" s="162" t="str">
        <f>IFERROR(__xludf.DUMMYFUNCTION("""COMPUTED_VALUE"""),"2016-17")</f>
        <v>2016-17</v>
      </c>
      <c r="D1467" s="163" t="str">
        <f>IFERROR(__xludf.DUMMYFUNCTION("""COMPUTED_VALUE"""),"TOT")</f>
        <v>TOT</v>
      </c>
      <c r="E1467" s="164" t="str">
        <f>IFERROR(__xludf.DUMMYFUNCTION("""COMPUTED_VALUE"""),"Off Screen Shooter")</f>
        <v>Off Screen Shooter</v>
      </c>
      <c r="F1467" s="164">
        <f>IFERROR(__xludf.DUMMYFUNCTION("""COMPUTED_VALUE"""),840.938333333334)</f>
        <v>840.9383333</v>
      </c>
      <c r="G1467" s="163">
        <f>IFERROR(__xludf.DUMMYFUNCTION("""COMPUTED_VALUE"""),53.0)</f>
        <v>53</v>
      </c>
      <c r="H1467" s="163" t="str">
        <f>IFERROR(__xludf.DUMMYFUNCTION("""COMPUTED_VALUE"""),"SF")</f>
        <v>SF</v>
      </c>
      <c r="I1467" s="163">
        <f>IFERROR(__xludf.DUMMYFUNCTION("""COMPUTED_VALUE"""),36.0)</f>
        <v>36</v>
      </c>
      <c r="J1467" s="165">
        <f>IFERROR(__xludf.DUMMYFUNCTION("""COMPUTED_VALUE"""),-2.33388270757124)</f>
        <v>-2.333882708</v>
      </c>
      <c r="K1467" s="165">
        <f>IFERROR(__xludf.DUMMYFUNCTION("""COMPUTED_VALUE"""),-2.0803155239628)</f>
        <v>-2.080315524</v>
      </c>
      <c r="L1467" s="165">
        <f>IFERROR(__xludf.DUMMYFUNCTION("""COMPUTED_VALUE"""),-0.253567183608448)</f>
        <v>-0.2535671836</v>
      </c>
      <c r="M1467" s="166">
        <f t="shared" si="2"/>
        <v>-0.01683040002</v>
      </c>
      <c r="N1467" s="167">
        <f t="shared" si="3"/>
        <v>15.86676101</v>
      </c>
      <c r="O1467" s="163">
        <f t="shared" ref="O1467:Q1467" si="1471">rank(I1467,I:I)</f>
        <v>65</v>
      </c>
      <c r="P1467" s="163">
        <f t="shared" si="1471"/>
        <v>3674</v>
      </c>
      <c r="Q1467" s="163">
        <f t="shared" si="1471"/>
        <v>3752</v>
      </c>
      <c r="R1467" s="163">
        <f>IFERROR(__xludf.DUMMYFUNCTION("RANK(M1467,filter(M:M,C:C=C1467))"),451.0)</f>
        <v>451</v>
      </c>
      <c r="S1467" s="161" t="b">
        <f t="shared" si="5"/>
        <v>0</v>
      </c>
      <c r="T1467" s="161" t="b">
        <f t="array" ref="T1467">index('Query Tool'!B:B,match(H1467,'Query Tool'!C:C,0))</f>
        <v>1</v>
      </c>
      <c r="U1467" s="161" t="b">
        <f t="array" ref="U1467">index('Query Tool'!B:B,match(C1467,'Query Tool'!C:C,0))</f>
        <v>0</v>
      </c>
      <c r="V1467" s="161" t="b">
        <f>F1467&gt;='Query Tool'!C$32</f>
        <v>1</v>
      </c>
      <c r="W1467" s="161" t="b">
        <f t="array" ref="W1467">index(Dropdowns!B:B,match(I1467,Dropdowns!A:A,0))</f>
        <v>1</v>
      </c>
      <c r="X1467" s="161" t="b">
        <f t="array" ref="X1467">index('Query Tool'!B:B,match(D1467,'Query Tool'!C:C,0))</f>
        <v>1</v>
      </c>
      <c r="Y1467" s="161" t="str">
        <f t="shared" si="6"/>
        <v>dunlemi02,2016-17</v>
      </c>
      <c r="Z1467" s="168" t="str">
        <f t="array" ref="Z1467">iferror(index(I:I,match($A1467&amp;","&amp;index('Year Conversion'!$A:$A,match($C1467,'Year Conversion'!$B:$B,0)),$Y:$Y,0))-I1467,"")</f>
        <v/>
      </c>
      <c r="AA1467" s="168" t="str">
        <f t="array" ref="AA1467">iferror(index(J:J,match($A1467&amp;","&amp;index('Year Conversion'!$A:$A,match($C1467,'Year Conversion'!$B:$B,0)),$Y:$Y,0))-J1467,"")</f>
        <v/>
      </c>
      <c r="AB1467" s="168" t="str">
        <f t="array" ref="AB1467">iferror(index(K:K,match($A1467&amp;","&amp;index('Year Conversion'!$A:$A,match($C1467,'Year Conversion'!$B:$B,0)),$Y:$Y,0))-K1467,"")</f>
        <v/>
      </c>
      <c r="AC1467" s="168" t="str">
        <f t="shared" si="7"/>
        <v>TOT,2016-17</v>
      </c>
    </row>
    <row r="1468">
      <c r="A1468" s="161" t="str">
        <f>IFERROR(__xludf.DUMMYFUNCTION("""COMPUTED_VALUE"""),"hilarne01")</f>
        <v>hilarne01</v>
      </c>
      <c r="B1468" s="161" t="str">
        <f>IFERROR(__xludf.DUMMYFUNCTION("""COMPUTED_VALUE"""),"Nene")</f>
        <v>Nene</v>
      </c>
      <c r="C1468" s="162" t="str">
        <f>IFERROR(__xludf.DUMMYFUNCTION("""COMPUTED_VALUE"""),"2016-17")</f>
        <v>2016-17</v>
      </c>
      <c r="D1468" s="163" t="str">
        <f>IFERROR(__xludf.DUMMYFUNCTION("""COMPUTED_VALUE"""),"HOU")</f>
        <v>HOU</v>
      </c>
      <c r="E1468" s="164" t="str">
        <f>IFERROR(__xludf.DUMMYFUNCTION("""COMPUTED_VALUE"""),"Roll + Cut Big")</f>
        <v>Roll + Cut Big</v>
      </c>
      <c r="F1468" s="164">
        <f>IFERROR(__xludf.DUMMYFUNCTION("""COMPUTED_VALUE"""),1197.73)</f>
        <v>1197.73</v>
      </c>
      <c r="G1468" s="163">
        <f>IFERROR(__xludf.DUMMYFUNCTION("""COMPUTED_VALUE"""),67.0)</f>
        <v>67</v>
      </c>
      <c r="H1468" s="163" t="str">
        <f>IFERROR(__xludf.DUMMYFUNCTION("""COMPUTED_VALUE"""),"C")</f>
        <v>C</v>
      </c>
      <c r="I1468" s="163">
        <f>IFERROR(__xludf.DUMMYFUNCTION("""COMPUTED_VALUE"""),34.0)</f>
        <v>34</v>
      </c>
      <c r="J1468" s="165">
        <f>IFERROR(__xludf.DUMMYFUNCTION("""COMPUTED_VALUE"""),1.34560401991395)</f>
        <v>1.34560402</v>
      </c>
      <c r="K1468" s="165">
        <f>IFERROR(__xludf.DUMMYFUNCTION("""COMPUTED_VALUE"""),-0.336027653250983)</f>
        <v>-0.3360276533</v>
      </c>
      <c r="L1468" s="165">
        <f>IFERROR(__xludf.DUMMYFUNCTION("""COMPUTED_VALUE"""),1.68163167316493)</f>
        <v>1.681631673</v>
      </c>
      <c r="M1468" s="166">
        <f t="shared" si="2"/>
        <v>2.930347253</v>
      </c>
      <c r="N1468" s="167">
        <f t="shared" si="3"/>
        <v>17.87656716</v>
      </c>
      <c r="O1468" s="163">
        <f t="shared" ref="O1468:Q1468" si="1472">rank(I1468,I:I)</f>
        <v>164</v>
      </c>
      <c r="P1468" s="163">
        <f t="shared" si="1472"/>
        <v>509</v>
      </c>
      <c r="Q1468" s="163">
        <f t="shared" si="1472"/>
        <v>1827</v>
      </c>
      <c r="R1468" s="163">
        <f>IFERROR(__xludf.DUMMYFUNCTION("RANK(M1468,filter(M:M,C:C=C1468))"),112.0)</f>
        <v>112</v>
      </c>
      <c r="S1468" s="161" t="b">
        <f t="shared" si="5"/>
        <v>0</v>
      </c>
      <c r="T1468" s="161" t="b">
        <f t="array" ref="T1468">index('Query Tool'!B:B,match(H1468,'Query Tool'!C:C,0))</f>
        <v>1</v>
      </c>
      <c r="U1468" s="161" t="b">
        <f t="array" ref="U1468">index('Query Tool'!B:B,match(C1468,'Query Tool'!C:C,0))</f>
        <v>0</v>
      </c>
      <c r="V1468" s="161" t="b">
        <f>F1468&gt;='Query Tool'!C$32</f>
        <v>1</v>
      </c>
      <c r="W1468" s="161" t="b">
        <f t="array" ref="W1468">index(Dropdowns!B:B,match(I1468,Dropdowns!A:A,0))</f>
        <v>1</v>
      </c>
      <c r="X1468" s="161" t="b">
        <f t="array" ref="X1468">index('Query Tool'!B:B,match(D1468,'Query Tool'!C:C,0))</f>
        <v>1</v>
      </c>
      <c r="Y1468" s="161" t="str">
        <f t="shared" si="6"/>
        <v>hilarne01,2016-17</v>
      </c>
      <c r="Z1468" s="168">
        <f t="array" ref="Z1468">iferror(index(I:I,match($A1468&amp;","&amp;index('Year Conversion'!$A:$A,match($C1468,'Year Conversion'!$B:$B,0)),$Y:$Y,0))-I1468,"")</f>
        <v>1</v>
      </c>
      <c r="AA1468" s="168">
        <f t="array" ref="AA1468">iferror(index(J:J,match($A1468&amp;","&amp;index('Year Conversion'!$A:$A,match($C1468,'Year Conversion'!$B:$B,0)),$Y:$Y,0))-J1468,"")</f>
        <v>-0.6204670971</v>
      </c>
      <c r="AB1468" s="168">
        <f t="array" ref="AB1468">iferror(index(K:K,match($A1468&amp;","&amp;index('Year Conversion'!$A:$A,match($C1468,'Year Conversion'!$B:$B,0)),$Y:$Y,0))-K1468,"")</f>
        <v>-0.2610621128</v>
      </c>
      <c r="AC1468" s="168" t="str">
        <f t="shared" si="7"/>
        <v>HOU,2016-17</v>
      </c>
    </row>
    <row r="1469">
      <c r="A1469" s="161" t="str">
        <f>IFERROR(__xludf.DUMMYFUNCTION("""COMPUTED_VALUE"""),"barnema02")</f>
        <v>barnema02</v>
      </c>
      <c r="B1469" s="161" t="str">
        <f>IFERROR(__xludf.DUMMYFUNCTION("""COMPUTED_VALUE"""),"Matt Barnes")</f>
        <v>Matt Barnes</v>
      </c>
      <c r="C1469" s="162" t="str">
        <f>IFERROR(__xludf.DUMMYFUNCTION("""COMPUTED_VALUE"""),"2016-17")</f>
        <v>2016-17</v>
      </c>
      <c r="D1469" s="163" t="str">
        <f>IFERROR(__xludf.DUMMYFUNCTION("""COMPUTED_VALUE"""),"TOT")</f>
        <v>TOT</v>
      </c>
      <c r="E1469" s="164" t="str">
        <f>IFERROR(__xludf.DUMMYFUNCTION("""COMPUTED_VALUE"""),"Athletic Finisher")</f>
        <v>Athletic Finisher</v>
      </c>
      <c r="F1469" s="164">
        <f>IFERROR(__xludf.DUMMYFUNCTION("""COMPUTED_VALUE"""),1775.91333333333)</f>
        <v>1775.913333</v>
      </c>
      <c r="G1469" s="163">
        <f>IFERROR(__xludf.DUMMYFUNCTION("""COMPUTED_VALUE"""),74.0)</f>
        <v>74</v>
      </c>
      <c r="H1469" s="163" t="str">
        <f>IFERROR(__xludf.DUMMYFUNCTION("""COMPUTED_VALUE"""),"SF")</f>
        <v>SF</v>
      </c>
      <c r="I1469" s="163">
        <f>IFERROR(__xludf.DUMMYFUNCTION("""COMPUTED_VALUE"""),36.0)</f>
        <v>36</v>
      </c>
      <c r="J1469" s="165">
        <f>IFERROR(__xludf.DUMMYFUNCTION("""COMPUTED_VALUE"""),-0.819728226269492)</f>
        <v>-0.8197282263</v>
      </c>
      <c r="K1469" s="165">
        <f>IFERROR(__xludf.DUMMYFUNCTION("""COMPUTED_VALUE"""),-0.755120228629848)</f>
        <v>-0.7551202286</v>
      </c>
      <c r="L1469" s="165">
        <f>IFERROR(__xludf.DUMMYFUNCTION("""COMPUTED_VALUE"""),-0.0646079976396436)</f>
        <v>-0.06460799764</v>
      </c>
      <c r="M1469" s="166">
        <f t="shared" si="2"/>
        <v>1.757318723</v>
      </c>
      <c r="N1469" s="167">
        <f t="shared" si="3"/>
        <v>23.99882883</v>
      </c>
      <c r="O1469" s="163">
        <f t="shared" ref="O1469:Q1469" si="1473">rank(I1469,I:I)</f>
        <v>65</v>
      </c>
      <c r="P1469" s="163">
        <f t="shared" si="1473"/>
        <v>2313</v>
      </c>
      <c r="Q1469" s="163">
        <f t="shared" si="1473"/>
        <v>2487</v>
      </c>
      <c r="R1469" s="163">
        <f>IFERROR(__xludf.DUMMYFUNCTION("RANK(M1469,filter(M:M,C:C=C1469))"),175.0)</f>
        <v>175</v>
      </c>
      <c r="S1469" s="161" t="b">
        <f t="shared" si="5"/>
        <v>0</v>
      </c>
      <c r="T1469" s="161" t="b">
        <f t="array" ref="T1469">index('Query Tool'!B:B,match(H1469,'Query Tool'!C:C,0))</f>
        <v>1</v>
      </c>
      <c r="U1469" s="161" t="b">
        <f t="array" ref="U1469">index('Query Tool'!B:B,match(C1469,'Query Tool'!C:C,0))</f>
        <v>0</v>
      </c>
      <c r="V1469" s="161" t="b">
        <f>F1469&gt;='Query Tool'!C$32</f>
        <v>1</v>
      </c>
      <c r="W1469" s="161" t="b">
        <f t="array" ref="W1469">index(Dropdowns!B:B,match(I1469,Dropdowns!A:A,0))</f>
        <v>1</v>
      </c>
      <c r="X1469" s="161" t="b">
        <f t="array" ref="X1469">index('Query Tool'!B:B,match(D1469,'Query Tool'!C:C,0))</f>
        <v>1</v>
      </c>
      <c r="Y1469" s="161" t="str">
        <f t="shared" si="6"/>
        <v>barnema02,2016-17</v>
      </c>
      <c r="Z1469" s="168" t="str">
        <f t="array" ref="Z1469">iferror(index(I:I,match($A1469&amp;","&amp;index('Year Conversion'!$A:$A,match($C1469,'Year Conversion'!$B:$B,0)),$Y:$Y,0))-I1469,"")</f>
        <v/>
      </c>
      <c r="AA1469" s="168" t="str">
        <f t="array" ref="AA1469">iferror(index(J:J,match($A1469&amp;","&amp;index('Year Conversion'!$A:$A,match($C1469,'Year Conversion'!$B:$B,0)),$Y:$Y,0))-J1469,"")</f>
        <v/>
      </c>
      <c r="AB1469" s="168" t="str">
        <f t="array" ref="AB1469">iferror(index(K:K,match($A1469&amp;","&amp;index('Year Conversion'!$A:$A,match($C1469,'Year Conversion'!$B:$B,0)),$Y:$Y,0))-K1469,"")</f>
        <v/>
      </c>
      <c r="AC1469" s="168" t="str">
        <f t="shared" si="7"/>
        <v>TOT,2016-17</v>
      </c>
    </row>
    <row r="1470">
      <c r="A1470" s="161" t="str">
        <f>IFERROR(__xludf.DUMMYFUNCTION("""COMPUTED_VALUE"""),"scolalu01")</f>
        <v>scolalu01</v>
      </c>
      <c r="B1470" s="161" t="str">
        <f>IFERROR(__xludf.DUMMYFUNCTION("""COMPUTED_VALUE"""),"Luis Scola")</f>
        <v>Luis Scola</v>
      </c>
      <c r="C1470" s="162" t="str">
        <f>IFERROR(__xludf.DUMMYFUNCTION("""COMPUTED_VALUE"""),"2016-17")</f>
        <v>2016-17</v>
      </c>
      <c r="D1470" s="163" t="str">
        <f>IFERROR(__xludf.DUMMYFUNCTION("""COMPUTED_VALUE"""),"BRK")</f>
        <v>BRK</v>
      </c>
      <c r="E1470" s="164" t="str">
        <f>IFERROR(__xludf.DUMMYFUNCTION("""COMPUTED_VALUE"""),"Versatile Big")</f>
        <v>Versatile Big</v>
      </c>
      <c r="F1470" s="164">
        <f>IFERROR(__xludf.DUMMYFUNCTION("""COMPUTED_VALUE"""),460.908333333333)</f>
        <v>460.9083333</v>
      </c>
      <c r="G1470" s="163">
        <f>IFERROR(__xludf.DUMMYFUNCTION("""COMPUTED_VALUE"""),36.0)</f>
        <v>36</v>
      </c>
      <c r="H1470" s="163" t="str">
        <f>IFERROR(__xludf.DUMMYFUNCTION("""COMPUTED_VALUE"""),"PF")</f>
        <v>PF</v>
      </c>
      <c r="I1470" s="163">
        <f>IFERROR(__xludf.DUMMYFUNCTION("""COMPUTED_VALUE"""),36.0)</f>
        <v>36</v>
      </c>
      <c r="J1470" s="165">
        <f>IFERROR(__xludf.DUMMYFUNCTION("""COMPUTED_VALUE"""),-1.06354746485895)</f>
        <v>-1.063547465</v>
      </c>
      <c r="K1470" s="165">
        <f>IFERROR(__xludf.DUMMYFUNCTION("""COMPUTED_VALUE"""),-0.160354301139963)</f>
        <v>-0.1603543011</v>
      </c>
      <c r="L1470" s="165">
        <f>IFERROR(__xludf.DUMMYFUNCTION("""COMPUTED_VALUE"""),-0.903193163718985)</f>
        <v>-0.9031931637</v>
      </c>
      <c r="M1470" s="166">
        <f t="shared" si="2"/>
        <v>0.3805989229</v>
      </c>
      <c r="N1470" s="167">
        <f t="shared" si="3"/>
        <v>12.80300926</v>
      </c>
      <c r="O1470" s="163">
        <f t="shared" ref="O1470:Q1470" si="1474">rank(I1470,I:I)</f>
        <v>65</v>
      </c>
      <c r="P1470" s="163">
        <f t="shared" si="1474"/>
        <v>2570</v>
      </c>
      <c r="Q1470" s="163">
        <f t="shared" si="1474"/>
        <v>1496</v>
      </c>
      <c r="R1470" s="163">
        <f>IFERROR(__xludf.DUMMYFUNCTION("RANK(M1470,filter(M:M,C:C=C1470))"),304.0)</f>
        <v>304</v>
      </c>
      <c r="S1470" s="161" t="b">
        <f t="shared" si="5"/>
        <v>0</v>
      </c>
      <c r="T1470" s="161" t="b">
        <f t="array" ref="T1470">index('Query Tool'!B:B,match(H1470,'Query Tool'!C:C,0))</f>
        <v>1</v>
      </c>
      <c r="U1470" s="161" t="b">
        <f t="array" ref="U1470">index('Query Tool'!B:B,match(C1470,'Query Tool'!C:C,0))</f>
        <v>0</v>
      </c>
      <c r="V1470" s="161" t="b">
        <f>F1470&gt;='Query Tool'!C$32</f>
        <v>0</v>
      </c>
      <c r="W1470" s="161" t="b">
        <f t="array" ref="W1470">index(Dropdowns!B:B,match(I1470,Dropdowns!A:A,0))</f>
        <v>1</v>
      </c>
      <c r="X1470" s="161" t="b">
        <f t="array" ref="X1470">index('Query Tool'!B:B,match(D1470,'Query Tool'!C:C,0))</f>
        <v>1</v>
      </c>
      <c r="Y1470" s="161" t="str">
        <f t="shared" si="6"/>
        <v>scolalu01,2016-17</v>
      </c>
      <c r="Z1470" s="168" t="str">
        <f t="array" ref="Z1470">iferror(index(I:I,match($A1470&amp;","&amp;index('Year Conversion'!$A:$A,match($C1470,'Year Conversion'!$B:$B,0)),$Y:$Y,0))-I1470,"")</f>
        <v/>
      </c>
      <c r="AA1470" s="168" t="str">
        <f t="array" ref="AA1470">iferror(index(J:J,match($A1470&amp;","&amp;index('Year Conversion'!$A:$A,match($C1470,'Year Conversion'!$B:$B,0)),$Y:$Y,0))-J1470,"")</f>
        <v/>
      </c>
      <c r="AB1470" s="168" t="str">
        <f t="array" ref="AB1470">iferror(index(K:K,match($A1470&amp;","&amp;index('Year Conversion'!$A:$A,match($C1470,'Year Conversion'!$B:$B,0)),$Y:$Y,0))-K1470,"")</f>
        <v/>
      </c>
      <c r="AC1470" s="168" t="str">
        <f t="shared" si="7"/>
        <v>BRK,2016-17</v>
      </c>
    </row>
    <row r="1471">
      <c r="A1471" s="161" t="str">
        <f>IFERROR(__xludf.DUMMYFUNCTION("""COMPUTED_VALUE"""),"jamesle01")</f>
        <v>jamesle01</v>
      </c>
      <c r="B1471" s="161" t="str">
        <f>IFERROR(__xludf.DUMMYFUNCTION("""COMPUTED_VALUE"""),"LeBron James")</f>
        <v>LeBron James</v>
      </c>
      <c r="C1471" s="162" t="str">
        <f>IFERROR(__xludf.DUMMYFUNCTION("""COMPUTED_VALUE"""),"2016-17")</f>
        <v>2016-17</v>
      </c>
      <c r="D1471" s="163" t="str">
        <f>IFERROR(__xludf.DUMMYFUNCTION("""COMPUTED_VALUE"""),"CLE")</f>
        <v>CLE</v>
      </c>
      <c r="E1471" s="164" t="str">
        <f>IFERROR(__xludf.DUMMYFUNCTION("""COMPUTED_VALUE"""),"Shot Creator")</f>
        <v>Shot Creator</v>
      </c>
      <c r="F1471" s="164">
        <f>IFERROR(__xludf.DUMMYFUNCTION("""COMPUTED_VALUE"""),2794.575)</f>
        <v>2794.575</v>
      </c>
      <c r="G1471" s="163">
        <f>IFERROR(__xludf.DUMMYFUNCTION("""COMPUTED_VALUE"""),74.0)</f>
        <v>74</v>
      </c>
      <c r="H1471" s="163" t="str">
        <f>IFERROR(__xludf.DUMMYFUNCTION("""COMPUTED_VALUE"""),"SF")</f>
        <v>SF</v>
      </c>
      <c r="I1471" s="163">
        <f>IFERROR(__xludf.DUMMYFUNCTION("""COMPUTED_VALUE"""),32.0)</f>
        <v>32</v>
      </c>
      <c r="J1471" s="165">
        <f>IFERROR(__xludf.DUMMYFUNCTION("""COMPUTED_VALUE"""),5.69401670515679)</f>
        <v>5.694016705</v>
      </c>
      <c r="K1471" s="165">
        <f>IFERROR(__xludf.DUMMYFUNCTION("""COMPUTED_VALUE"""),5.4857158552838)</f>
        <v>5.485715855</v>
      </c>
      <c r="L1471" s="165">
        <f>IFERROR(__xludf.DUMMYFUNCTION("""COMPUTED_VALUE"""),0.208300849872985)</f>
        <v>0.2083008499</v>
      </c>
      <c r="M1471" s="166">
        <f t="shared" si="2"/>
        <v>14.57776984</v>
      </c>
      <c r="N1471" s="167">
        <f t="shared" si="3"/>
        <v>37.76452703</v>
      </c>
      <c r="O1471" s="163">
        <f t="shared" ref="O1471:Q1471" si="1475">rank(I1471,I:I)</f>
        <v>359</v>
      </c>
      <c r="P1471" s="163">
        <f t="shared" si="1475"/>
        <v>28</v>
      </c>
      <c r="Q1471" s="163">
        <f t="shared" si="1475"/>
        <v>21</v>
      </c>
      <c r="R1471" s="163">
        <f>IFERROR(__xludf.DUMMYFUNCTION("RANK(M1471,filter(M:M,C:C=C1471))"),4.0)</f>
        <v>4</v>
      </c>
      <c r="S1471" s="161" t="b">
        <f t="shared" si="5"/>
        <v>0</v>
      </c>
      <c r="T1471" s="161" t="b">
        <f t="array" ref="T1471">index('Query Tool'!B:B,match(H1471,'Query Tool'!C:C,0))</f>
        <v>1</v>
      </c>
      <c r="U1471" s="161" t="b">
        <f t="array" ref="U1471">index('Query Tool'!B:B,match(C1471,'Query Tool'!C:C,0))</f>
        <v>0</v>
      </c>
      <c r="V1471" s="161" t="b">
        <f>F1471&gt;='Query Tool'!C$32</f>
        <v>1</v>
      </c>
      <c r="W1471" s="161" t="b">
        <f t="array" ref="W1471">index(Dropdowns!B:B,match(I1471,Dropdowns!A:A,0))</f>
        <v>1</v>
      </c>
      <c r="X1471" s="161" t="b">
        <f t="array" ref="X1471">index('Query Tool'!B:B,match(D1471,'Query Tool'!C:C,0))</f>
        <v>1</v>
      </c>
      <c r="Y1471" s="161" t="str">
        <f t="shared" si="6"/>
        <v>jamesle01,2016-17</v>
      </c>
      <c r="Z1471" s="168">
        <f t="array" ref="Z1471">iferror(index(I:I,match($A1471&amp;","&amp;index('Year Conversion'!$A:$A,match($C1471,'Year Conversion'!$B:$B,0)),$Y:$Y,0))-I1471,"")</f>
        <v>1</v>
      </c>
      <c r="AA1471" s="168">
        <f t="array" ref="AA1471">iferror(index(J:J,match($A1471&amp;","&amp;index('Year Conversion'!$A:$A,match($C1471,'Year Conversion'!$B:$B,0)),$Y:$Y,0))-J1471,"")</f>
        <v>-1.364433979</v>
      </c>
      <c r="AB1471" s="168">
        <f t="array" ref="AB1471">iferror(index(K:K,match($A1471&amp;","&amp;index('Year Conversion'!$A:$A,match($C1471,'Year Conversion'!$B:$B,0)),$Y:$Y,0))-K1471,"")</f>
        <v>-0.8979690787</v>
      </c>
      <c r="AC1471" s="168" t="str">
        <f t="shared" si="7"/>
        <v>CLE,2016-17</v>
      </c>
    </row>
    <row r="1472">
      <c r="A1472" s="161" t="str">
        <f>IFERROR(__xludf.DUMMYFUNCTION("""COMPUTED_VALUE"""),"anthoca01")</f>
        <v>anthoca01</v>
      </c>
      <c r="B1472" s="161" t="str">
        <f>IFERROR(__xludf.DUMMYFUNCTION("""COMPUTED_VALUE"""),"Carmelo Anthony")</f>
        <v>Carmelo Anthony</v>
      </c>
      <c r="C1472" s="162" t="str">
        <f>IFERROR(__xludf.DUMMYFUNCTION("""COMPUTED_VALUE"""),"2016-17")</f>
        <v>2016-17</v>
      </c>
      <c r="D1472" s="163" t="str">
        <f>IFERROR(__xludf.DUMMYFUNCTION("""COMPUTED_VALUE"""),"NYK")</f>
        <v>NYK</v>
      </c>
      <c r="E1472" s="164" t="str">
        <f>IFERROR(__xludf.DUMMYFUNCTION("""COMPUTED_VALUE"""),"Shot Creator")</f>
        <v>Shot Creator</v>
      </c>
      <c r="F1472" s="164">
        <f>IFERROR(__xludf.DUMMYFUNCTION("""COMPUTED_VALUE"""),2538.08)</f>
        <v>2538.08</v>
      </c>
      <c r="G1472" s="163">
        <f>IFERROR(__xludf.DUMMYFUNCTION("""COMPUTED_VALUE"""),74.0)</f>
        <v>74</v>
      </c>
      <c r="H1472" s="163" t="str">
        <f>IFERROR(__xludf.DUMMYFUNCTION("""COMPUTED_VALUE"""),"SF")</f>
        <v>SF</v>
      </c>
      <c r="I1472" s="163">
        <f>IFERROR(__xludf.DUMMYFUNCTION("""COMPUTED_VALUE"""),32.0)</f>
        <v>32</v>
      </c>
      <c r="J1472" s="165">
        <f>IFERROR(__xludf.DUMMYFUNCTION("""COMPUTED_VALUE"""),-0.559926687875005)</f>
        <v>-0.5599266879</v>
      </c>
      <c r="K1472" s="165">
        <f>IFERROR(__xludf.DUMMYFUNCTION("""COMPUTED_VALUE"""),1.06156695270706)</f>
        <v>1.061566953</v>
      </c>
      <c r="L1472" s="165">
        <f>IFERROR(__xludf.DUMMYFUNCTION("""COMPUTED_VALUE"""),-1.62149364058206)</f>
        <v>-1.621493641</v>
      </c>
      <c r="M1472" s="166">
        <f t="shared" si="2"/>
        <v>2.955173151</v>
      </c>
      <c r="N1472" s="167">
        <f t="shared" si="3"/>
        <v>34.29837838</v>
      </c>
      <c r="O1472" s="163">
        <f t="shared" ref="O1472:Q1472" si="1476">rank(I1472,I:I)</f>
        <v>359</v>
      </c>
      <c r="P1472" s="163">
        <f t="shared" si="1476"/>
        <v>1933</v>
      </c>
      <c r="Q1472" s="163">
        <f t="shared" si="1476"/>
        <v>470</v>
      </c>
      <c r="R1472" s="163">
        <f>IFERROR(__xludf.DUMMYFUNCTION("RANK(M1472,filter(M:M,C:C=C1472))"),110.0)</f>
        <v>110</v>
      </c>
      <c r="S1472" s="161" t="b">
        <f t="shared" si="5"/>
        <v>0</v>
      </c>
      <c r="T1472" s="161" t="b">
        <f t="array" ref="T1472">index('Query Tool'!B:B,match(H1472,'Query Tool'!C:C,0))</f>
        <v>1</v>
      </c>
      <c r="U1472" s="161" t="b">
        <f t="array" ref="U1472">index('Query Tool'!B:B,match(C1472,'Query Tool'!C:C,0))</f>
        <v>0</v>
      </c>
      <c r="V1472" s="161" t="b">
        <f>F1472&gt;='Query Tool'!C$32</f>
        <v>1</v>
      </c>
      <c r="W1472" s="161" t="b">
        <f t="array" ref="W1472">index(Dropdowns!B:B,match(I1472,Dropdowns!A:A,0))</f>
        <v>1</v>
      </c>
      <c r="X1472" s="161" t="b">
        <f t="array" ref="X1472">index('Query Tool'!B:B,match(D1472,'Query Tool'!C:C,0))</f>
        <v>1</v>
      </c>
      <c r="Y1472" s="161" t="str">
        <f t="shared" si="6"/>
        <v>anthoca01,2016-17</v>
      </c>
      <c r="Z1472" s="168">
        <f t="array" ref="Z1472">iferror(index(I:I,match($A1472&amp;","&amp;index('Year Conversion'!$A:$A,match($C1472,'Year Conversion'!$B:$B,0)),$Y:$Y,0))-I1472,"")</f>
        <v>1</v>
      </c>
      <c r="AA1472" s="168">
        <f t="array" ref="AA1472">iferror(index(J:J,match($A1472&amp;","&amp;index('Year Conversion'!$A:$A,match($C1472,'Year Conversion'!$B:$B,0)),$Y:$Y,0))-J1472,"")</f>
        <v>1.207837072</v>
      </c>
      <c r="AB1472" s="168">
        <f t="array" ref="AB1472">iferror(index(K:K,match($A1472&amp;","&amp;index('Year Conversion'!$A:$A,match($C1472,'Year Conversion'!$B:$B,0)),$Y:$Y,0))-K1472,"")</f>
        <v>-0.02607635122</v>
      </c>
      <c r="AC1472" s="168" t="str">
        <f t="shared" si="7"/>
        <v>NYK,2016-17</v>
      </c>
    </row>
    <row r="1473">
      <c r="A1473" s="161" t="str">
        <f>IFERROR(__xludf.DUMMYFUNCTION("""COMPUTED_VALUE"""),"wadedw01")</f>
        <v>wadedw01</v>
      </c>
      <c r="B1473" s="161" t="str">
        <f>IFERROR(__xludf.DUMMYFUNCTION("""COMPUTED_VALUE"""),"Dwyane Wade")</f>
        <v>Dwyane Wade</v>
      </c>
      <c r="C1473" s="162" t="str">
        <f>IFERROR(__xludf.DUMMYFUNCTION("""COMPUTED_VALUE"""),"2016-17")</f>
        <v>2016-17</v>
      </c>
      <c r="D1473" s="163" t="str">
        <f>IFERROR(__xludf.DUMMYFUNCTION("""COMPUTED_VALUE"""),"CHI")</f>
        <v>CHI</v>
      </c>
      <c r="E1473" s="164" t="str">
        <f>IFERROR(__xludf.DUMMYFUNCTION("""COMPUTED_VALUE"""),"Shot Creator")</f>
        <v>Shot Creator</v>
      </c>
      <c r="F1473" s="164">
        <f>IFERROR(__xludf.DUMMYFUNCTION("""COMPUTED_VALUE"""),1792.19666666667)</f>
        <v>1792.196667</v>
      </c>
      <c r="G1473" s="163">
        <f>IFERROR(__xludf.DUMMYFUNCTION("""COMPUTED_VALUE"""),60.0)</f>
        <v>60</v>
      </c>
      <c r="H1473" s="163" t="str">
        <f>IFERROR(__xludf.DUMMYFUNCTION("""COMPUTED_VALUE"""),"SG")</f>
        <v>SG</v>
      </c>
      <c r="I1473" s="163">
        <f>IFERROR(__xludf.DUMMYFUNCTION("""COMPUTED_VALUE"""),35.0)</f>
        <v>35</v>
      </c>
      <c r="J1473" s="165">
        <f>IFERROR(__xludf.DUMMYFUNCTION("""COMPUTED_VALUE"""),-0.47262391297802)</f>
        <v>-0.472623913</v>
      </c>
      <c r="K1473" s="165">
        <f>IFERROR(__xludf.DUMMYFUNCTION("""COMPUTED_VALUE"""),-0.0923952520881031)</f>
        <v>-0.09239525209</v>
      </c>
      <c r="L1473" s="165">
        <f>IFERROR(__xludf.DUMMYFUNCTION("""COMPUTED_VALUE"""),-0.380228660889917)</f>
        <v>-0.3802286609</v>
      </c>
      <c r="M1473" s="166">
        <f t="shared" si="2"/>
        <v>2.192084628</v>
      </c>
      <c r="N1473" s="167">
        <f t="shared" si="3"/>
        <v>29.86994444</v>
      </c>
      <c r="O1473" s="163">
        <f t="shared" ref="O1473:Q1473" si="1477">rank(I1473,I:I)</f>
        <v>104</v>
      </c>
      <c r="P1473" s="163">
        <f t="shared" si="1477"/>
        <v>1814</v>
      </c>
      <c r="Q1473" s="163">
        <f t="shared" si="1477"/>
        <v>1346</v>
      </c>
      <c r="R1473" s="163">
        <f>IFERROR(__xludf.DUMMYFUNCTION("RANK(M1473,filter(M:M,C:C=C1473))"),148.0)</f>
        <v>148</v>
      </c>
      <c r="S1473" s="161" t="b">
        <f t="shared" si="5"/>
        <v>0</v>
      </c>
      <c r="T1473" s="161" t="b">
        <f t="array" ref="T1473">index('Query Tool'!B:B,match(H1473,'Query Tool'!C:C,0))</f>
        <v>1</v>
      </c>
      <c r="U1473" s="161" t="b">
        <f t="array" ref="U1473">index('Query Tool'!B:B,match(C1473,'Query Tool'!C:C,0))</f>
        <v>0</v>
      </c>
      <c r="V1473" s="161" t="b">
        <f>F1473&gt;='Query Tool'!C$32</f>
        <v>1</v>
      </c>
      <c r="W1473" s="161" t="b">
        <f t="array" ref="W1473">index(Dropdowns!B:B,match(I1473,Dropdowns!A:A,0))</f>
        <v>1</v>
      </c>
      <c r="X1473" s="161" t="b">
        <f t="array" ref="X1473">index('Query Tool'!B:B,match(D1473,'Query Tool'!C:C,0))</f>
        <v>1</v>
      </c>
      <c r="Y1473" s="161" t="str">
        <f t="shared" si="6"/>
        <v>wadedw01,2016-17</v>
      </c>
      <c r="Z1473" s="168">
        <f t="array" ref="Z1473">iferror(index(I:I,match($A1473&amp;","&amp;index('Year Conversion'!$A:$A,match($C1473,'Year Conversion'!$B:$B,0)),$Y:$Y,0))-I1473,"")</f>
        <v>1</v>
      </c>
      <c r="AA1473" s="168">
        <f t="array" ref="AA1473">iferror(index(J:J,match($A1473&amp;","&amp;index('Year Conversion'!$A:$A,match($C1473,'Year Conversion'!$B:$B,0)),$Y:$Y,0))-J1473,"")</f>
        <v>0.3285049693</v>
      </c>
      <c r="AB1473" s="168">
        <f t="array" ref="AB1473">iferror(index(K:K,match($A1473&amp;","&amp;index('Year Conversion'!$A:$A,match($C1473,'Year Conversion'!$B:$B,0)),$Y:$Y,0))-K1473,"")</f>
        <v>0.06053294318</v>
      </c>
      <c r="AC1473" s="168" t="str">
        <f t="shared" si="7"/>
        <v>CHI,2016-17</v>
      </c>
    </row>
    <row r="1474">
      <c r="A1474" s="161" t="str">
        <f>IFERROR(__xludf.DUMMYFUNCTION("""COMPUTED_VALUE"""),"collini01")</f>
        <v>collini01</v>
      </c>
      <c r="B1474" s="161" t="str">
        <f>IFERROR(__xludf.DUMMYFUNCTION("""COMPUTED_VALUE"""),"Nick Collison")</f>
        <v>Nick Collison</v>
      </c>
      <c r="C1474" s="162" t="str">
        <f>IFERROR(__xludf.DUMMYFUNCTION("""COMPUTED_VALUE"""),"2016-17")</f>
        <v>2016-17</v>
      </c>
      <c r="D1474" s="163" t="str">
        <f>IFERROR(__xludf.DUMMYFUNCTION("""COMPUTED_VALUE"""),"OKC")</f>
        <v>OKC</v>
      </c>
      <c r="E1474" s="164" t="str">
        <f>IFERROR(__xludf.DUMMYFUNCTION("""COMPUTED_VALUE"""),"Roll + Cut Big")</f>
        <v>Roll + Cut Big</v>
      </c>
      <c r="F1474" s="164">
        <f>IFERROR(__xludf.DUMMYFUNCTION("""COMPUTED_VALUE"""),127.773333333333)</f>
        <v>127.7733333</v>
      </c>
      <c r="G1474" s="163">
        <f>IFERROR(__xludf.DUMMYFUNCTION("""COMPUTED_VALUE"""),20.0)</f>
        <v>20</v>
      </c>
      <c r="H1474" s="163" t="str">
        <f>IFERROR(__xludf.DUMMYFUNCTION("""COMPUTED_VALUE"""),"PF")</f>
        <v>PF</v>
      </c>
      <c r="I1474" s="163">
        <f>IFERROR(__xludf.DUMMYFUNCTION("""COMPUTED_VALUE"""),36.0)</f>
        <v>36</v>
      </c>
      <c r="J1474" s="165">
        <f>IFERROR(__xludf.DUMMYFUNCTION("""COMPUTED_VALUE"""),-0.729263859704181)</f>
        <v>-0.7292638597</v>
      </c>
      <c r="K1474" s="165">
        <f>IFERROR(__xludf.DUMMYFUNCTION("""COMPUTED_VALUE"""),-0.748963636441901)</f>
        <v>-0.7489636364</v>
      </c>
      <c r="L1474" s="165">
        <f>IFERROR(__xludf.DUMMYFUNCTION("""COMPUTED_VALUE"""),0.0196997767377199)</f>
        <v>0.01969977674</v>
      </c>
      <c r="M1474" s="166">
        <f t="shared" si="2"/>
        <v>0.1342089336</v>
      </c>
      <c r="N1474" s="167">
        <f t="shared" si="3"/>
        <v>6.388666667</v>
      </c>
      <c r="O1474" s="163">
        <f t="shared" ref="O1474:Q1474" si="1478">rank(I1474,I:I)</f>
        <v>65</v>
      </c>
      <c r="P1474" s="163">
        <f t="shared" si="1478"/>
        <v>2185</v>
      </c>
      <c r="Q1474" s="163">
        <f t="shared" si="1478"/>
        <v>2476</v>
      </c>
      <c r="R1474" s="163">
        <f>IFERROR(__xludf.DUMMYFUNCTION("RANK(M1474,filter(M:M,C:C=C1474))"),364.0)</f>
        <v>364</v>
      </c>
      <c r="S1474" s="161" t="b">
        <f t="shared" si="5"/>
        <v>0</v>
      </c>
      <c r="T1474" s="161" t="b">
        <f t="array" ref="T1474">index('Query Tool'!B:B,match(H1474,'Query Tool'!C:C,0))</f>
        <v>1</v>
      </c>
      <c r="U1474" s="161" t="b">
        <f t="array" ref="U1474">index('Query Tool'!B:B,match(C1474,'Query Tool'!C:C,0))</f>
        <v>0</v>
      </c>
      <c r="V1474" s="161" t="b">
        <f>F1474&gt;='Query Tool'!C$32</f>
        <v>0</v>
      </c>
      <c r="W1474" s="161" t="b">
        <f t="array" ref="W1474">index(Dropdowns!B:B,match(I1474,Dropdowns!A:A,0))</f>
        <v>1</v>
      </c>
      <c r="X1474" s="161" t="b">
        <f t="array" ref="X1474">index('Query Tool'!B:B,match(D1474,'Query Tool'!C:C,0))</f>
        <v>1</v>
      </c>
      <c r="Y1474" s="161" t="str">
        <f t="shared" si="6"/>
        <v>collini01,2016-17</v>
      </c>
      <c r="Z1474" s="168">
        <f t="array" ref="Z1474">iferror(index(I:I,match($A1474&amp;","&amp;index('Year Conversion'!$A:$A,match($C1474,'Year Conversion'!$B:$B,0)),$Y:$Y,0))-I1474,"")</f>
        <v>1</v>
      </c>
      <c r="AA1474" s="168">
        <f t="array" ref="AA1474">iferror(index(J:J,match($A1474&amp;","&amp;index('Year Conversion'!$A:$A,match($C1474,'Year Conversion'!$B:$B,0)),$Y:$Y,0))-J1474,"")</f>
        <v>-0.09093475711</v>
      </c>
      <c r="AB1474" s="168">
        <f t="array" ref="AB1474">iferror(index(K:K,match($A1474&amp;","&amp;index('Year Conversion'!$A:$A,match($C1474,'Year Conversion'!$B:$B,0)),$Y:$Y,0))-K1474,"")</f>
        <v>0.1293782857</v>
      </c>
      <c r="AC1474" s="168" t="str">
        <f t="shared" si="7"/>
        <v>OKC,2016-17</v>
      </c>
    </row>
    <row r="1475">
      <c r="A1475" s="161" t="str">
        <f>IFERROR(__xludf.DUMMYFUNCTION("""COMPUTED_VALUE"""),"westda01")</f>
        <v>westda01</v>
      </c>
      <c r="B1475" s="161" t="str">
        <f>IFERROR(__xludf.DUMMYFUNCTION("""COMPUTED_VALUE"""),"David West")</f>
        <v>David West</v>
      </c>
      <c r="C1475" s="162" t="str">
        <f>IFERROR(__xludf.DUMMYFUNCTION("""COMPUTED_VALUE"""),"2016-17")</f>
        <v>2016-17</v>
      </c>
      <c r="D1475" s="163" t="str">
        <f>IFERROR(__xludf.DUMMYFUNCTION("""COMPUTED_VALUE"""),"GSW")</f>
        <v>GSW</v>
      </c>
      <c r="E1475" s="164" t="str">
        <f>IFERROR(__xludf.DUMMYFUNCTION("""COMPUTED_VALUE"""),"Post Scorer")</f>
        <v>Post Scorer</v>
      </c>
      <c r="F1475" s="164">
        <f>IFERROR(__xludf.DUMMYFUNCTION("""COMPUTED_VALUE"""),854.08)</f>
        <v>854.08</v>
      </c>
      <c r="G1475" s="163">
        <f>IFERROR(__xludf.DUMMYFUNCTION("""COMPUTED_VALUE"""),68.0)</f>
        <v>68</v>
      </c>
      <c r="H1475" s="163" t="str">
        <f>IFERROR(__xludf.DUMMYFUNCTION("""COMPUTED_VALUE"""),"C")</f>
        <v>C</v>
      </c>
      <c r="I1475" s="163">
        <f>IFERROR(__xludf.DUMMYFUNCTION("""COMPUTED_VALUE"""),36.0)</f>
        <v>36</v>
      </c>
      <c r="J1475" s="165">
        <f>IFERROR(__xludf.DUMMYFUNCTION("""COMPUTED_VALUE"""),-0.152489435971114)</f>
        <v>-0.152489436</v>
      </c>
      <c r="K1475" s="165">
        <f>IFERROR(__xludf.DUMMYFUNCTION("""COMPUTED_VALUE"""),-1.27103745139852)</f>
        <v>-1.271037451</v>
      </c>
      <c r="L1475" s="165">
        <f>IFERROR(__xludf.DUMMYFUNCTION("""COMPUTED_VALUE"""),1.11854801542741)</f>
        <v>1.118548015</v>
      </c>
      <c r="M1475" s="166">
        <f t="shared" si="2"/>
        <v>1.22890425</v>
      </c>
      <c r="N1475" s="167">
        <f t="shared" si="3"/>
        <v>12.56</v>
      </c>
      <c r="O1475" s="163">
        <f t="shared" ref="O1475:Q1475" si="1479">rank(I1475,I:I)</f>
        <v>65</v>
      </c>
      <c r="P1475" s="163">
        <f t="shared" si="1479"/>
        <v>1444</v>
      </c>
      <c r="Q1475" s="163">
        <f t="shared" si="1479"/>
        <v>3110</v>
      </c>
      <c r="R1475" s="163">
        <f>IFERROR(__xludf.DUMMYFUNCTION("RANK(M1475,filter(M:M,C:C=C1475))"),205.0)</f>
        <v>205</v>
      </c>
      <c r="S1475" s="161" t="b">
        <f t="shared" si="5"/>
        <v>0</v>
      </c>
      <c r="T1475" s="161" t="b">
        <f t="array" ref="T1475">index('Query Tool'!B:B,match(H1475,'Query Tool'!C:C,0))</f>
        <v>1</v>
      </c>
      <c r="U1475" s="161" t="b">
        <f t="array" ref="U1475">index('Query Tool'!B:B,match(C1475,'Query Tool'!C:C,0))</f>
        <v>0</v>
      </c>
      <c r="V1475" s="161" t="b">
        <f>F1475&gt;='Query Tool'!C$32</f>
        <v>1</v>
      </c>
      <c r="W1475" s="161" t="b">
        <f t="array" ref="W1475">index(Dropdowns!B:B,match(I1475,Dropdowns!A:A,0))</f>
        <v>1</v>
      </c>
      <c r="X1475" s="161" t="b">
        <f t="array" ref="X1475">index('Query Tool'!B:B,match(D1475,'Query Tool'!C:C,0))</f>
        <v>1</v>
      </c>
      <c r="Y1475" s="161" t="str">
        <f t="shared" si="6"/>
        <v>westda01,2016-17</v>
      </c>
      <c r="Z1475" s="168">
        <f t="array" ref="Z1475">iferror(index(I:I,match($A1475&amp;","&amp;index('Year Conversion'!$A:$A,match($C1475,'Year Conversion'!$B:$B,0)),$Y:$Y,0))-I1475,"")</f>
        <v>1</v>
      </c>
      <c r="AA1475" s="168">
        <f t="array" ref="AA1475">iferror(index(J:J,match($A1475&amp;","&amp;index('Year Conversion'!$A:$A,match($C1475,'Year Conversion'!$B:$B,0)),$Y:$Y,0))-J1475,"")</f>
        <v>1.389214683</v>
      </c>
      <c r="AB1475" s="168">
        <f t="array" ref="AB1475">iferror(index(K:K,match($A1475&amp;","&amp;index('Year Conversion'!$A:$A,match($C1475,'Year Conversion'!$B:$B,0)),$Y:$Y,0))-K1475,"")</f>
        <v>0.9213314772</v>
      </c>
      <c r="AC1475" s="168" t="str">
        <f t="shared" si="7"/>
        <v>GSW,2016-17</v>
      </c>
    </row>
    <row r="1476">
      <c r="A1476" s="161" t="str">
        <f>IFERROR(__xludf.DUMMYFUNCTION("""COMPUTED_VALUE"""),"jonesda02")</f>
        <v>jonesda02</v>
      </c>
      <c r="B1476" s="161" t="str">
        <f>IFERROR(__xludf.DUMMYFUNCTION("""COMPUTED_VALUE"""),"Dahntay Jones")</f>
        <v>Dahntay Jones</v>
      </c>
      <c r="C1476" s="162" t="str">
        <f>IFERROR(__xludf.DUMMYFUNCTION("""COMPUTED_VALUE"""),"2016-17")</f>
        <v>2016-17</v>
      </c>
      <c r="D1476" s="163" t="str">
        <f>IFERROR(__xludf.DUMMYFUNCTION("""COMPUTED_VALUE"""),"CLE")</f>
        <v>CLE</v>
      </c>
      <c r="E1476" s="164" t="str">
        <f>IFERROR(__xludf.DUMMYFUNCTION("""COMPUTED_VALUE"""),"Slasher")</f>
        <v>Slasher</v>
      </c>
      <c r="F1476" s="164">
        <f>IFERROR(__xludf.DUMMYFUNCTION("""COMPUTED_VALUE"""),12.0)</f>
        <v>12</v>
      </c>
      <c r="G1476" s="163">
        <f>IFERROR(__xludf.DUMMYFUNCTION("""COMPUTED_VALUE"""),1.0)</f>
        <v>1</v>
      </c>
      <c r="H1476" s="163" t="str">
        <f>IFERROR(__xludf.DUMMYFUNCTION("""COMPUTED_VALUE"""),"SF")</f>
        <v>SF</v>
      </c>
      <c r="I1476" s="163">
        <f>IFERROR(__xludf.DUMMYFUNCTION("""COMPUTED_VALUE"""),36.0)</f>
        <v>36</v>
      </c>
      <c r="J1476" s="165">
        <f>IFERROR(__xludf.DUMMYFUNCTION("""COMPUTED_VALUE"""),-0.429959395319734)</f>
        <v>-0.4299593953</v>
      </c>
      <c r="K1476" s="165">
        <f>IFERROR(__xludf.DUMMYFUNCTION("""COMPUTED_VALUE"""),-0.154326052974877)</f>
        <v>-0.154326053</v>
      </c>
      <c r="L1476" s="165">
        <f>IFERROR(__xludf.DUMMYFUNCTION("""COMPUTED_VALUE"""),-0.275633342344858)</f>
        <v>-0.2756333423</v>
      </c>
      <c r="M1476" s="166">
        <f t="shared" si="2"/>
        <v>0.0150224021</v>
      </c>
      <c r="N1476" s="167">
        <f t="shared" si="3"/>
        <v>12</v>
      </c>
      <c r="O1476" s="163">
        <f t="shared" ref="O1476:Q1476" si="1480">rank(I1476,I:I)</f>
        <v>65</v>
      </c>
      <c r="P1476" s="163">
        <f t="shared" si="1480"/>
        <v>1759</v>
      </c>
      <c r="Q1476" s="163">
        <f t="shared" si="1480"/>
        <v>1484</v>
      </c>
      <c r="R1476" s="163">
        <f>IFERROR(__xludf.DUMMYFUNCTION("RANK(M1476,filter(M:M,C:C=C1476))"),437.0)</f>
        <v>437</v>
      </c>
      <c r="S1476" s="161" t="b">
        <f t="shared" si="5"/>
        <v>0</v>
      </c>
      <c r="T1476" s="161" t="b">
        <f t="array" ref="T1476">index('Query Tool'!B:B,match(H1476,'Query Tool'!C:C,0))</f>
        <v>1</v>
      </c>
      <c r="U1476" s="161" t="b">
        <f t="array" ref="U1476">index('Query Tool'!B:B,match(C1476,'Query Tool'!C:C,0))</f>
        <v>0</v>
      </c>
      <c r="V1476" s="161" t="b">
        <f>F1476&gt;='Query Tool'!C$32</f>
        <v>0</v>
      </c>
      <c r="W1476" s="161" t="b">
        <f t="array" ref="W1476">index(Dropdowns!B:B,match(I1476,Dropdowns!A:A,0))</f>
        <v>1</v>
      </c>
      <c r="X1476" s="161" t="b">
        <f t="array" ref="X1476">index('Query Tool'!B:B,match(D1476,'Query Tool'!C:C,0))</f>
        <v>1</v>
      </c>
      <c r="Y1476" s="161" t="str">
        <f t="shared" si="6"/>
        <v>jonesda02,2016-17</v>
      </c>
      <c r="Z1476" s="168" t="str">
        <f t="array" ref="Z1476">iferror(index(I:I,match($A1476&amp;","&amp;index('Year Conversion'!$A:$A,match($C1476,'Year Conversion'!$B:$B,0)),$Y:$Y,0))-I1476,"")</f>
        <v/>
      </c>
      <c r="AA1476" s="168" t="str">
        <f t="array" ref="AA1476">iferror(index(J:J,match($A1476&amp;","&amp;index('Year Conversion'!$A:$A,match($C1476,'Year Conversion'!$B:$B,0)),$Y:$Y,0))-J1476,"")</f>
        <v/>
      </c>
      <c r="AB1476" s="168" t="str">
        <f t="array" ref="AB1476">iferror(index(K:K,match($A1476&amp;","&amp;index('Year Conversion'!$A:$A,match($C1476,'Year Conversion'!$B:$B,0)),$Y:$Y,0))-K1476,"")</f>
        <v/>
      </c>
      <c r="AC1476" s="168" t="str">
        <f t="shared" si="7"/>
        <v>CLE,2016-17</v>
      </c>
    </row>
    <row r="1477">
      <c r="A1477" s="161" t="str">
        <f>IFERROR(__xludf.DUMMYFUNCTION("""COMPUTED_VALUE"""),"diawbo01")</f>
        <v>diawbo01</v>
      </c>
      <c r="B1477" s="161" t="str">
        <f>IFERROR(__xludf.DUMMYFUNCTION("""COMPUTED_VALUE"""),"Boris Diaw")</f>
        <v>Boris Diaw</v>
      </c>
      <c r="C1477" s="162" t="str">
        <f>IFERROR(__xludf.DUMMYFUNCTION("""COMPUTED_VALUE"""),"2016-17")</f>
        <v>2016-17</v>
      </c>
      <c r="D1477" s="163" t="str">
        <f>IFERROR(__xludf.DUMMYFUNCTION("""COMPUTED_VALUE"""),"UTA")</f>
        <v>UTA</v>
      </c>
      <c r="E1477" s="164" t="str">
        <f>IFERROR(__xludf.DUMMYFUNCTION("""COMPUTED_VALUE"""),"Post Scorer")</f>
        <v>Post Scorer</v>
      </c>
      <c r="F1477" s="164">
        <f>IFERROR(__xludf.DUMMYFUNCTION("""COMPUTED_VALUE"""),1282.69333333333)</f>
        <v>1282.693333</v>
      </c>
      <c r="G1477" s="163">
        <f>IFERROR(__xludf.DUMMYFUNCTION("""COMPUTED_VALUE"""),73.0)</f>
        <v>73</v>
      </c>
      <c r="H1477" s="163" t="str">
        <f>IFERROR(__xludf.DUMMYFUNCTION("""COMPUTED_VALUE"""),"PF")</f>
        <v>PF</v>
      </c>
      <c r="I1477" s="163">
        <f>IFERROR(__xludf.DUMMYFUNCTION("""COMPUTED_VALUE"""),34.0)</f>
        <v>34</v>
      </c>
      <c r="J1477" s="165">
        <f>IFERROR(__xludf.DUMMYFUNCTION("""COMPUTED_VALUE"""),-1.98600229921722)</f>
        <v>-1.986002299</v>
      </c>
      <c r="K1477" s="165">
        <f>IFERROR(__xludf.DUMMYFUNCTION("""COMPUTED_VALUE"""),-1.47391427486818)</f>
        <v>-1.473914275</v>
      </c>
      <c r="L1477" s="165">
        <f>IFERROR(__xludf.DUMMYFUNCTION("""COMPUTED_VALUE"""),-0.512088024349043)</f>
        <v>-0.5120880243</v>
      </c>
      <c r="M1477" s="166">
        <f t="shared" si="2"/>
        <v>0.2693818697</v>
      </c>
      <c r="N1477" s="167">
        <f t="shared" si="3"/>
        <v>17.57114155</v>
      </c>
      <c r="O1477" s="163">
        <f t="shared" ref="O1477:Q1477" si="1481">rank(I1477,I:I)</f>
        <v>164</v>
      </c>
      <c r="P1477" s="163">
        <f t="shared" si="1481"/>
        <v>3470</v>
      </c>
      <c r="Q1477" s="163">
        <f t="shared" si="1481"/>
        <v>3329</v>
      </c>
      <c r="R1477" s="163">
        <f>IFERROR(__xludf.DUMMYFUNCTION("RANK(M1477,filter(M:M,C:C=C1477))"),323.0)</f>
        <v>323</v>
      </c>
      <c r="S1477" s="161" t="b">
        <f t="shared" si="5"/>
        <v>0</v>
      </c>
      <c r="T1477" s="161" t="b">
        <f t="array" ref="T1477">index('Query Tool'!B:B,match(H1477,'Query Tool'!C:C,0))</f>
        <v>1</v>
      </c>
      <c r="U1477" s="161" t="b">
        <f t="array" ref="U1477">index('Query Tool'!B:B,match(C1477,'Query Tool'!C:C,0))</f>
        <v>0</v>
      </c>
      <c r="V1477" s="161" t="b">
        <f>F1477&gt;='Query Tool'!C$32</f>
        <v>1</v>
      </c>
      <c r="W1477" s="161" t="b">
        <f t="array" ref="W1477">index(Dropdowns!B:B,match(I1477,Dropdowns!A:A,0))</f>
        <v>1</v>
      </c>
      <c r="X1477" s="161" t="b">
        <f t="array" ref="X1477">index('Query Tool'!B:B,match(D1477,'Query Tool'!C:C,0))</f>
        <v>1</v>
      </c>
      <c r="Y1477" s="161" t="str">
        <f t="shared" si="6"/>
        <v>diawbo01,2016-17</v>
      </c>
      <c r="Z1477" s="168" t="str">
        <f t="array" ref="Z1477">iferror(index(I:I,match($A1477&amp;","&amp;index('Year Conversion'!$A:$A,match($C1477,'Year Conversion'!$B:$B,0)),$Y:$Y,0))-I1477,"")</f>
        <v/>
      </c>
      <c r="AA1477" s="168" t="str">
        <f t="array" ref="AA1477">iferror(index(J:J,match($A1477&amp;","&amp;index('Year Conversion'!$A:$A,match($C1477,'Year Conversion'!$B:$B,0)),$Y:$Y,0))-J1477,"")</f>
        <v/>
      </c>
      <c r="AB1477" s="168" t="str">
        <f t="array" ref="AB1477">iferror(index(K:K,match($A1477&amp;","&amp;index('Year Conversion'!$A:$A,match($C1477,'Year Conversion'!$B:$B,0)),$Y:$Y,0))-K1477,"")</f>
        <v/>
      </c>
      <c r="AC1477" s="168" t="str">
        <f t="shared" si="7"/>
        <v>UTA,2016-17</v>
      </c>
    </row>
    <row r="1478">
      <c r="A1478" s="161" t="str">
        <f>IFERROR(__xludf.DUMMYFUNCTION("""COMPUTED_VALUE"""),"barbole01")</f>
        <v>barbole01</v>
      </c>
      <c r="B1478" s="161" t="str">
        <f>IFERROR(__xludf.DUMMYFUNCTION("""COMPUTED_VALUE"""),"Leandro Barbosa")</f>
        <v>Leandro Barbosa</v>
      </c>
      <c r="C1478" s="162" t="str">
        <f>IFERROR(__xludf.DUMMYFUNCTION("""COMPUTED_VALUE"""),"2016-17")</f>
        <v>2016-17</v>
      </c>
      <c r="D1478" s="163" t="str">
        <f>IFERROR(__xludf.DUMMYFUNCTION("""COMPUTED_VALUE"""),"PHO")</f>
        <v>PHO</v>
      </c>
      <c r="E1478" s="164" t="str">
        <f>IFERROR(__xludf.DUMMYFUNCTION("""COMPUTED_VALUE"""),"Secondary Ball Handler")</f>
        <v>Secondary Ball Handler</v>
      </c>
      <c r="F1478" s="164">
        <f>IFERROR(__xludf.DUMMYFUNCTION("""COMPUTED_VALUE"""),963.398333333333)</f>
        <v>963.3983333</v>
      </c>
      <c r="G1478" s="163">
        <f>IFERROR(__xludf.DUMMYFUNCTION("""COMPUTED_VALUE"""),67.0)</f>
        <v>67</v>
      </c>
      <c r="H1478" s="163" t="str">
        <f>IFERROR(__xludf.DUMMYFUNCTION("""COMPUTED_VALUE"""),"SG")</f>
        <v>SG</v>
      </c>
      <c r="I1478" s="163">
        <f>IFERROR(__xludf.DUMMYFUNCTION("""COMPUTED_VALUE"""),34.0)</f>
        <v>34</v>
      </c>
      <c r="J1478" s="165">
        <f>IFERROR(__xludf.DUMMYFUNCTION("""COMPUTED_VALUE"""),-1.67427208949667)</f>
        <v>-1.674272089</v>
      </c>
      <c r="K1478" s="165">
        <f>IFERROR(__xludf.DUMMYFUNCTION("""COMPUTED_VALUE"""),-0.614764928507277)</f>
        <v>-0.6147649285</v>
      </c>
      <c r="L1478" s="165">
        <f>IFERROR(__xludf.DUMMYFUNCTION("""COMPUTED_VALUE"""),-1.05950716098939)</f>
        <v>-1.059507161</v>
      </c>
      <c r="M1478" s="166">
        <f t="shared" si="2"/>
        <v>0.4019921012</v>
      </c>
      <c r="N1478" s="167">
        <f t="shared" si="3"/>
        <v>14.3790796</v>
      </c>
      <c r="O1478" s="163">
        <f t="shared" ref="O1478:Q1478" si="1482">rank(I1478,I:I)</f>
        <v>164</v>
      </c>
      <c r="P1478" s="163">
        <f t="shared" si="1482"/>
        <v>3216</v>
      </c>
      <c r="Q1478" s="163">
        <f t="shared" si="1482"/>
        <v>2283</v>
      </c>
      <c r="R1478" s="163">
        <f>IFERROR(__xludf.DUMMYFUNCTION("RANK(M1478,filter(M:M,C:C=C1478))"),299.0)</f>
        <v>299</v>
      </c>
      <c r="S1478" s="161" t="b">
        <f t="shared" si="5"/>
        <v>0</v>
      </c>
      <c r="T1478" s="161" t="b">
        <f t="array" ref="T1478">index('Query Tool'!B:B,match(H1478,'Query Tool'!C:C,0))</f>
        <v>1</v>
      </c>
      <c r="U1478" s="161" t="b">
        <f t="array" ref="U1478">index('Query Tool'!B:B,match(C1478,'Query Tool'!C:C,0))</f>
        <v>0</v>
      </c>
      <c r="V1478" s="161" t="b">
        <f>F1478&gt;='Query Tool'!C$32</f>
        <v>1</v>
      </c>
      <c r="W1478" s="161" t="b">
        <f t="array" ref="W1478">index(Dropdowns!B:B,match(I1478,Dropdowns!A:A,0))</f>
        <v>1</v>
      </c>
      <c r="X1478" s="161" t="b">
        <f t="array" ref="X1478">index('Query Tool'!B:B,match(D1478,'Query Tool'!C:C,0))</f>
        <v>1</v>
      </c>
      <c r="Y1478" s="161" t="str">
        <f t="shared" si="6"/>
        <v>barbole01,2016-17</v>
      </c>
      <c r="Z1478" s="168" t="str">
        <f t="array" ref="Z1478">iferror(index(I:I,match($A1478&amp;","&amp;index('Year Conversion'!$A:$A,match($C1478,'Year Conversion'!$B:$B,0)),$Y:$Y,0))-I1478,"")</f>
        <v/>
      </c>
      <c r="AA1478" s="168" t="str">
        <f t="array" ref="AA1478">iferror(index(J:J,match($A1478&amp;","&amp;index('Year Conversion'!$A:$A,match($C1478,'Year Conversion'!$B:$B,0)),$Y:$Y,0))-J1478,"")</f>
        <v/>
      </c>
      <c r="AB1478" s="168" t="str">
        <f t="array" ref="AB1478">iferror(index(K:K,match($A1478&amp;","&amp;index('Year Conversion'!$A:$A,match($C1478,'Year Conversion'!$B:$B,0)),$Y:$Y,0))-K1478,"")</f>
        <v/>
      </c>
      <c r="AC1478" s="168" t="str">
        <f t="shared" si="7"/>
        <v>PHO,2016-17</v>
      </c>
    </row>
    <row r="1479">
      <c r="A1479" s="161" t="str">
        <f>IFERROR(__xludf.DUMMYFUNCTION("""COMPUTED_VALUE"""),"pachuza01")</f>
        <v>pachuza01</v>
      </c>
      <c r="B1479" s="161" t="str">
        <f>IFERROR(__xludf.DUMMYFUNCTION("""COMPUTED_VALUE"""),"Zaza Pachulia")</f>
        <v>Zaza Pachulia</v>
      </c>
      <c r="C1479" s="162" t="str">
        <f>IFERROR(__xludf.DUMMYFUNCTION("""COMPUTED_VALUE"""),"2016-17")</f>
        <v>2016-17</v>
      </c>
      <c r="D1479" s="163" t="str">
        <f>IFERROR(__xludf.DUMMYFUNCTION("""COMPUTED_VALUE"""),"GSW")</f>
        <v>GSW</v>
      </c>
      <c r="E1479" s="164" t="str">
        <f>IFERROR(__xludf.DUMMYFUNCTION("""COMPUTED_VALUE"""),"Roll + Cut Big")</f>
        <v>Roll + Cut Big</v>
      </c>
      <c r="F1479" s="164">
        <f>IFERROR(__xludf.DUMMYFUNCTION("""COMPUTED_VALUE"""),1268.33333333333)</f>
        <v>1268.333333</v>
      </c>
      <c r="G1479" s="163">
        <f>IFERROR(__xludf.DUMMYFUNCTION("""COMPUTED_VALUE"""),70.0)</f>
        <v>70</v>
      </c>
      <c r="H1479" s="163" t="str">
        <f>IFERROR(__xludf.DUMMYFUNCTION("""COMPUTED_VALUE"""),"C")</f>
        <v>C</v>
      </c>
      <c r="I1479" s="163">
        <f>IFERROR(__xludf.DUMMYFUNCTION("""COMPUTED_VALUE"""),32.0)</f>
        <v>32</v>
      </c>
      <c r="J1479" s="165">
        <f>IFERROR(__xludf.DUMMYFUNCTION("""COMPUTED_VALUE"""),0.816891577287975)</f>
        <v>0.8168915773</v>
      </c>
      <c r="K1479" s="165">
        <f>IFERROR(__xludf.DUMMYFUNCTION("""COMPUTED_VALUE"""),-0.809451905471353)</f>
        <v>-0.8094519055</v>
      </c>
      <c r="L1479" s="165">
        <f>IFERROR(__xludf.DUMMYFUNCTION("""COMPUTED_VALUE"""),1.62634348275933)</f>
        <v>1.626343483</v>
      </c>
      <c r="M1479" s="166">
        <f t="shared" si="2"/>
        <v>2.653222276</v>
      </c>
      <c r="N1479" s="167">
        <f t="shared" si="3"/>
        <v>18.11904762</v>
      </c>
      <c r="O1479" s="163">
        <f t="shared" ref="O1479:Q1479" si="1483">rank(I1479,I:I)</f>
        <v>359</v>
      </c>
      <c r="P1479" s="163">
        <f t="shared" si="1483"/>
        <v>728</v>
      </c>
      <c r="Q1479" s="163">
        <f t="shared" si="1483"/>
        <v>2565</v>
      </c>
      <c r="R1479" s="163">
        <f>IFERROR(__xludf.DUMMYFUNCTION("RANK(M1479,filter(M:M,C:C=C1479))"),125.0)</f>
        <v>125</v>
      </c>
      <c r="S1479" s="161" t="b">
        <f t="shared" si="5"/>
        <v>0</v>
      </c>
      <c r="T1479" s="161" t="b">
        <f t="array" ref="T1479">index('Query Tool'!B:B,match(H1479,'Query Tool'!C:C,0))</f>
        <v>1</v>
      </c>
      <c r="U1479" s="161" t="b">
        <f t="array" ref="U1479">index('Query Tool'!B:B,match(C1479,'Query Tool'!C:C,0))</f>
        <v>0</v>
      </c>
      <c r="V1479" s="161" t="b">
        <f>F1479&gt;='Query Tool'!C$32</f>
        <v>1</v>
      </c>
      <c r="W1479" s="161" t="b">
        <f t="array" ref="W1479">index(Dropdowns!B:B,match(I1479,Dropdowns!A:A,0))</f>
        <v>1</v>
      </c>
      <c r="X1479" s="161" t="b">
        <f t="array" ref="X1479">index('Query Tool'!B:B,match(D1479,'Query Tool'!C:C,0))</f>
        <v>1</v>
      </c>
      <c r="Y1479" s="161" t="str">
        <f t="shared" si="6"/>
        <v>pachuza01,2016-17</v>
      </c>
      <c r="Z1479" s="168">
        <f t="array" ref="Z1479">iferror(index(I:I,match($A1479&amp;","&amp;index('Year Conversion'!$A:$A,match($C1479,'Year Conversion'!$B:$B,0)),$Y:$Y,0))-I1479,"")</f>
        <v>1</v>
      </c>
      <c r="AA1479" s="168">
        <f t="array" ref="AA1479">iferror(index(J:J,match($A1479&amp;","&amp;index('Year Conversion'!$A:$A,match($C1479,'Year Conversion'!$B:$B,0)),$Y:$Y,0))-J1479,"")</f>
        <v>-0.2480162355</v>
      </c>
      <c r="AB1479" s="168">
        <f t="array" ref="AB1479">iferror(index(K:K,match($A1479&amp;","&amp;index('Year Conversion'!$A:$A,match($C1479,'Year Conversion'!$B:$B,0)),$Y:$Y,0))-K1479,"")</f>
        <v>0.05118029592</v>
      </c>
      <c r="AC1479" s="168" t="str">
        <f t="shared" si="7"/>
        <v>GSW,2016-17</v>
      </c>
    </row>
    <row r="1480">
      <c r="A1480" s="161" t="str">
        <f>IFERROR(__xludf.DUMMYFUNCTION("""COMPUTED_VALUE"""),"jonesja02")</f>
        <v>jonesja02</v>
      </c>
      <c r="B1480" s="161" t="str">
        <f>IFERROR(__xludf.DUMMYFUNCTION("""COMPUTED_VALUE"""),"James Jones")</f>
        <v>James Jones</v>
      </c>
      <c r="C1480" s="162" t="str">
        <f>IFERROR(__xludf.DUMMYFUNCTION("""COMPUTED_VALUE"""),"2016-17")</f>
        <v>2016-17</v>
      </c>
      <c r="D1480" s="163" t="str">
        <f>IFERROR(__xludf.DUMMYFUNCTION("""COMPUTED_VALUE"""),"CLE")</f>
        <v>CLE</v>
      </c>
      <c r="E1480" s="164" t="str">
        <f>IFERROR(__xludf.DUMMYFUNCTION("""COMPUTED_VALUE"""),"Movement Shooter")</f>
        <v>Movement Shooter</v>
      </c>
      <c r="F1480" s="164">
        <f>IFERROR(__xludf.DUMMYFUNCTION("""COMPUTED_VALUE"""),380.605)</f>
        <v>380.605</v>
      </c>
      <c r="G1480" s="163">
        <f>IFERROR(__xludf.DUMMYFUNCTION("""COMPUTED_VALUE"""),48.0)</f>
        <v>48</v>
      </c>
      <c r="H1480" s="163" t="str">
        <f>IFERROR(__xludf.DUMMYFUNCTION("""COMPUTED_VALUE"""),"SF")</f>
        <v>SF</v>
      </c>
      <c r="I1480" s="163">
        <f>IFERROR(__xludf.DUMMYFUNCTION("""COMPUTED_VALUE"""),36.0)</f>
        <v>36</v>
      </c>
      <c r="J1480" s="165">
        <f>IFERROR(__xludf.DUMMYFUNCTION("""COMPUTED_VALUE"""),-2.1611930730032)</f>
        <v>-2.161193073</v>
      </c>
      <c r="K1480" s="165">
        <f>IFERROR(__xludf.DUMMYFUNCTION("""COMPUTED_VALUE"""),-1.8834885122848)</f>
        <v>-1.883488512</v>
      </c>
      <c r="L1480" s="165">
        <f>IFERROR(__xludf.DUMMYFUNCTION("""COMPUTED_VALUE"""),-0.277704560718401)</f>
        <v>-0.2777045607</v>
      </c>
      <c r="M1480" s="166">
        <f t="shared" si="2"/>
        <v>0.03577442212</v>
      </c>
      <c r="N1480" s="167">
        <f t="shared" si="3"/>
        <v>7.929270833</v>
      </c>
      <c r="O1480" s="163">
        <f t="shared" ref="O1480:Q1480" si="1484">rank(I1480,I:I)</f>
        <v>65</v>
      </c>
      <c r="P1480" s="163">
        <f t="shared" si="1484"/>
        <v>3589</v>
      </c>
      <c r="Q1480" s="163">
        <f t="shared" si="1484"/>
        <v>3632</v>
      </c>
      <c r="R1480" s="163">
        <f>IFERROR(__xludf.DUMMYFUNCTION("RANK(M1480,filter(M:M,C:C=C1480))"),418.0)</f>
        <v>418</v>
      </c>
      <c r="S1480" s="161" t="b">
        <f t="shared" si="5"/>
        <v>0</v>
      </c>
      <c r="T1480" s="161" t="b">
        <f t="array" ref="T1480">index('Query Tool'!B:B,match(H1480,'Query Tool'!C:C,0))</f>
        <v>1</v>
      </c>
      <c r="U1480" s="161" t="b">
        <f t="array" ref="U1480">index('Query Tool'!B:B,match(C1480,'Query Tool'!C:C,0))</f>
        <v>0</v>
      </c>
      <c r="V1480" s="161" t="b">
        <f>F1480&gt;='Query Tool'!C$32</f>
        <v>0</v>
      </c>
      <c r="W1480" s="161" t="b">
        <f t="array" ref="W1480">index(Dropdowns!B:B,match(I1480,Dropdowns!A:A,0))</f>
        <v>1</v>
      </c>
      <c r="X1480" s="161" t="b">
        <f t="array" ref="X1480">index('Query Tool'!B:B,match(D1480,'Query Tool'!C:C,0))</f>
        <v>1</v>
      </c>
      <c r="Y1480" s="161" t="str">
        <f t="shared" si="6"/>
        <v>jonesja02,2016-17</v>
      </c>
      <c r="Z1480" s="168" t="str">
        <f t="array" ref="Z1480">iferror(index(I:I,match($A1480&amp;","&amp;index('Year Conversion'!$A:$A,match($C1480,'Year Conversion'!$B:$B,0)),$Y:$Y,0))-I1480,"")</f>
        <v/>
      </c>
      <c r="AA1480" s="168" t="str">
        <f t="array" ref="AA1480">iferror(index(J:J,match($A1480&amp;","&amp;index('Year Conversion'!$A:$A,match($C1480,'Year Conversion'!$B:$B,0)),$Y:$Y,0))-J1480,"")</f>
        <v/>
      </c>
      <c r="AB1480" s="168" t="str">
        <f t="array" ref="AB1480">iferror(index(K:K,match($A1480&amp;","&amp;index('Year Conversion'!$A:$A,match($C1480,'Year Conversion'!$B:$B,0)),$Y:$Y,0))-K1480,"")</f>
        <v/>
      </c>
      <c r="AC1480" s="168" t="str">
        <f t="shared" si="7"/>
        <v>CLE,2016-17</v>
      </c>
    </row>
    <row r="1481">
      <c r="A1481" s="161" t="str">
        <f>IFERROR(__xludf.DUMMYFUNCTION("""COMPUTED_VALUE"""),"korveky01")</f>
        <v>korveky01</v>
      </c>
      <c r="B1481" s="161" t="str">
        <f>IFERROR(__xludf.DUMMYFUNCTION("""COMPUTED_VALUE"""),"Kyle Korver")</f>
        <v>Kyle Korver</v>
      </c>
      <c r="C1481" s="162" t="str">
        <f>IFERROR(__xludf.DUMMYFUNCTION("""COMPUTED_VALUE"""),"2016-17")</f>
        <v>2016-17</v>
      </c>
      <c r="D1481" s="163" t="str">
        <f>IFERROR(__xludf.DUMMYFUNCTION("""COMPUTED_VALUE"""),"TOT")</f>
        <v>TOT</v>
      </c>
      <c r="E1481" s="164" t="str">
        <f>IFERROR(__xludf.DUMMYFUNCTION("""COMPUTED_VALUE"""),"Off Screen Shooter")</f>
        <v>Off Screen Shooter</v>
      </c>
      <c r="F1481" s="164">
        <f>IFERROR(__xludf.DUMMYFUNCTION("""COMPUTED_VALUE"""),1753.06666666667)</f>
        <v>1753.066667</v>
      </c>
      <c r="G1481" s="163">
        <f>IFERROR(__xludf.DUMMYFUNCTION("""COMPUTED_VALUE"""),67.0)</f>
        <v>67</v>
      </c>
      <c r="H1481" s="163" t="str">
        <f>IFERROR(__xludf.DUMMYFUNCTION("""COMPUTED_VALUE"""),"SG")</f>
        <v>SG</v>
      </c>
      <c r="I1481" s="163">
        <f>IFERROR(__xludf.DUMMYFUNCTION("""COMPUTED_VALUE"""),35.0)</f>
        <v>35</v>
      </c>
      <c r="J1481" s="165">
        <f>IFERROR(__xludf.DUMMYFUNCTION("""COMPUTED_VALUE"""),-1.73448888234252)</f>
        <v>-1.734488882</v>
      </c>
      <c r="K1481" s="165">
        <f>IFERROR(__xludf.DUMMYFUNCTION("""COMPUTED_VALUE"""),-0.335614828663932)</f>
        <v>-0.3356148287</v>
      </c>
      <c r="L1481" s="165">
        <f>IFERROR(__xludf.DUMMYFUNCTION("""COMPUTED_VALUE"""),-1.39887405367859)</f>
        <v>-1.398874054</v>
      </c>
      <c r="M1481" s="166">
        <f t="shared" si="2"/>
        <v>0.6611774056</v>
      </c>
      <c r="N1481" s="167">
        <f t="shared" si="3"/>
        <v>26.16517413</v>
      </c>
      <c r="O1481" s="163">
        <f t="shared" ref="O1481:Q1481" si="1485">rank(I1481,I:I)</f>
        <v>104</v>
      </c>
      <c r="P1481" s="163">
        <f t="shared" si="1485"/>
        <v>3276</v>
      </c>
      <c r="Q1481" s="163">
        <f t="shared" si="1485"/>
        <v>1825</v>
      </c>
      <c r="R1481" s="163">
        <f>IFERROR(__xludf.DUMMYFUNCTION("RANK(M1481,filter(M:M,C:C=C1481))"),258.0)</f>
        <v>258</v>
      </c>
      <c r="S1481" s="161" t="b">
        <f t="shared" si="5"/>
        <v>0</v>
      </c>
      <c r="T1481" s="161" t="b">
        <f t="array" ref="T1481">index('Query Tool'!B:B,match(H1481,'Query Tool'!C:C,0))</f>
        <v>1</v>
      </c>
      <c r="U1481" s="161" t="b">
        <f t="array" ref="U1481">index('Query Tool'!B:B,match(C1481,'Query Tool'!C:C,0))</f>
        <v>0</v>
      </c>
      <c r="V1481" s="161" t="b">
        <f>F1481&gt;='Query Tool'!C$32</f>
        <v>1</v>
      </c>
      <c r="W1481" s="161" t="b">
        <f t="array" ref="W1481">index(Dropdowns!B:B,match(I1481,Dropdowns!A:A,0))</f>
        <v>1</v>
      </c>
      <c r="X1481" s="161" t="b">
        <f t="array" ref="X1481">index('Query Tool'!B:B,match(D1481,'Query Tool'!C:C,0))</f>
        <v>1</v>
      </c>
      <c r="Y1481" s="161" t="str">
        <f t="shared" si="6"/>
        <v>korveky01,2016-17</v>
      </c>
      <c r="Z1481" s="168">
        <f t="array" ref="Z1481">iferror(index(I:I,match($A1481&amp;","&amp;index('Year Conversion'!$A:$A,match($C1481,'Year Conversion'!$B:$B,0)),$Y:$Y,0))-I1481,"")</f>
        <v>1</v>
      </c>
      <c r="AA1481" s="168">
        <f t="array" ref="AA1481">iferror(index(J:J,match($A1481&amp;","&amp;index('Year Conversion'!$A:$A,match($C1481,'Year Conversion'!$B:$B,0)),$Y:$Y,0))-J1481,"")</f>
        <v>2.883778494</v>
      </c>
      <c r="AB1481" s="168">
        <f t="array" ref="AB1481">iferror(index(K:K,match($A1481&amp;","&amp;index('Year Conversion'!$A:$A,match($C1481,'Year Conversion'!$B:$B,0)),$Y:$Y,0))-K1481,"")</f>
        <v>1.573609756</v>
      </c>
      <c r="AC1481" s="168" t="str">
        <f t="shared" si="7"/>
        <v>TOT,2016-17</v>
      </c>
    </row>
    <row r="1482">
      <c r="A1482" s="161" t="str">
        <f>IFERROR(__xludf.DUMMYFUNCTION("""COMPUTED_VALUE"""),"hasleud01")</f>
        <v>hasleud01</v>
      </c>
      <c r="B1482" s="161" t="str">
        <f>IFERROR(__xludf.DUMMYFUNCTION("""COMPUTED_VALUE"""),"Udonis Haslem")</f>
        <v>Udonis Haslem</v>
      </c>
      <c r="C1482" s="162" t="str">
        <f>IFERROR(__xludf.DUMMYFUNCTION("""COMPUTED_VALUE"""),"2016-17")</f>
        <v>2016-17</v>
      </c>
      <c r="D1482" s="163" t="str">
        <f>IFERROR(__xludf.DUMMYFUNCTION("""COMPUTED_VALUE"""),"MIA")</f>
        <v>MIA</v>
      </c>
      <c r="E1482" s="164" t="str">
        <f>IFERROR(__xludf.DUMMYFUNCTION("""COMPUTED_VALUE"""),"Roll + Cut Big")</f>
        <v>Roll + Cut Big</v>
      </c>
      <c r="F1482" s="164">
        <f>IFERROR(__xludf.DUMMYFUNCTION("""COMPUTED_VALUE"""),130.176666666667)</f>
        <v>130.1766667</v>
      </c>
      <c r="G1482" s="163">
        <f>IFERROR(__xludf.DUMMYFUNCTION("""COMPUTED_VALUE"""),16.0)</f>
        <v>16</v>
      </c>
      <c r="H1482" s="163" t="str">
        <f>IFERROR(__xludf.DUMMYFUNCTION("""COMPUTED_VALUE"""),"C")</f>
        <v>C</v>
      </c>
      <c r="I1482" s="163">
        <f>IFERROR(__xludf.DUMMYFUNCTION("""COMPUTED_VALUE"""),36.0)</f>
        <v>36</v>
      </c>
      <c r="J1482" s="165">
        <f>IFERROR(__xludf.DUMMYFUNCTION("""COMPUTED_VALUE"""),-1.97355786297557)</f>
        <v>-1.973557863</v>
      </c>
      <c r="K1482" s="165">
        <f>IFERROR(__xludf.DUMMYFUNCTION("""COMPUTED_VALUE"""),-1.74065297861425)</f>
        <v>-1.740652979</v>
      </c>
      <c r="L1482" s="165">
        <f>IFERROR(__xludf.DUMMYFUNCTION("""COMPUTED_VALUE"""),-0.232904884361319)</f>
        <v>-0.2329048844</v>
      </c>
      <c r="M1482" s="166">
        <f t="shared" si="2"/>
        <v>0.02841327356</v>
      </c>
      <c r="N1482" s="167">
        <f t="shared" si="3"/>
        <v>8.136041667</v>
      </c>
      <c r="O1482" s="163">
        <f t="shared" ref="O1482:Q1482" si="1486">rank(I1482,I:I)</f>
        <v>65</v>
      </c>
      <c r="P1482" s="163">
        <f t="shared" si="1486"/>
        <v>3461</v>
      </c>
      <c r="Q1482" s="163">
        <f t="shared" si="1486"/>
        <v>3544</v>
      </c>
      <c r="R1482" s="163">
        <f>IFERROR(__xludf.DUMMYFUNCTION("RANK(M1482,filter(M:M,C:C=C1482))"),424.0)</f>
        <v>424</v>
      </c>
      <c r="S1482" s="161" t="b">
        <f t="shared" si="5"/>
        <v>0</v>
      </c>
      <c r="T1482" s="161" t="b">
        <f t="array" ref="T1482">index('Query Tool'!B:B,match(H1482,'Query Tool'!C:C,0))</f>
        <v>1</v>
      </c>
      <c r="U1482" s="161" t="b">
        <f t="array" ref="U1482">index('Query Tool'!B:B,match(C1482,'Query Tool'!C:C,0))</f>
        <v>0</v>
      </c>
      <c r="V1482" s="161" t="b">
        <f>F1482&gt;='Query Tool'!C$32</f>
        <v>0</v>
      </c>
      <c r="W1482" s="161" t="b">
        <f t="array" ref="W1482">index(Dropdowns!B:B,match(I1482,Dropdowns!A:A,0))</f>
        <v>1</v>
      </c>
      <c r="X1482" s="161" t="b">
        <f t="array" ref="X1482">index('Query Tool'!B:B,match(D1482,'Query Tool'!C:C,0))</f>
        <v>1</v>
      </c>
      <c r="Y1482" s="161" t="str">
        <f t="shared" si="6"/>
        <v>hasleud01,2016-17</v>
      </c>
      <c r="Z1482" s="168">
        <f t="array" ref="Z1482">iferror(index(I:I,match($A1482&amp;","&amp;index('Year Conversion'!$A:$A,match($C1482,'Year Conversion'!$B:$B,0)),$Y:$Y,0))-I1482,"")</f>
        <v>1</v>
      </c>
      <c r="AA1482" s="168">
        <f t="array" ref="AA1482">iferror(index(J:J,match($A1482&amp;","&amp;index('Year Conversion'!$A:$A,match($C1482,'Year Conversion'!$B:$B,0)),$Y:$Y,0))-J1482,"")</f>
        <v>1.602015336</v>
      </c>
      <c r="AB1482" s="168">
        <f t="array" ref="AB1482">iferror(index(K:K,match($A1482&amp;","&amp;index('Year Conversion'!$A:$A,match($C1482,'Year Conversion'!$B:$B,0)),$Y:$Y,0))-K1482,"")</f>
        <v>1.418708713</v>
      </c>
      <c r="AC1482" s="168" t="str">
        <f t="shared" si="7"/>
        <v>MIA,2016-17</v>
      </c>
    </row>
    <row r="1483">
      <c r="A1483" s="161" t="str">
        <f>IFERROR(__xludf.DUMMYFUNCTION("""COMPUTED_VALUE"""),"howardw01")</f>
        <v>howardw01</v>
      </c>
      <c r="B1483" s="161" t="str">
        <f>IFERROR(__xludf.DUMMYFUNCTION("""COMPUTED_VALUE"""),"Dwight Howard")</f>
        <v>Dwight Howard</v>
      </c>
      <c r="C1483" s="162" t="str">
        <f>IFERROR(__xludf.DUMMYFUNCTION("""COMPUTED_VALUE"""),"2016-17")</f>
        <v>2016-17</v>
      </c>
      <c r="D1483" s="163" t="str">
        <f>IFERROR(__xludf.DUMMYFUNCTION("""COMPUTED_VALUE"""),"ATL")</f>
        <v>ATL</v>
      </c>
      <c r="E1483" s="164" t="str">
        <f>IFERROR(__xludf.DUMMYFUNCTION("""COMPUTED_VALUE"""),"Post Scorer")</f>
        <v>Post Scorer</v>
      </c>
      <c r="F1483" s="164">
        <f>IFERROR(__xludf.DUMMYFUNCTION("""COMPUTED_VALUE"""),2198.72)</f>
        <v>2198.72</v>
      </c>
      <c r="G1483" s="163">
        <f>IFERROR(__xludf.DUMMYFUNCTION("""COMPUTED_VALUE"""),74.0)</f>
        <v>74</v>
      </c>
      <c r="H1483" s="163" t="str">
        <f>IFERROR(__xludf.DUMMYFUNCTION("""COMPUTED_VALUE"""),"C")</f>
        <v>C</v>
      </c>
      <c r="I1483" s="163">
        <f>IFERROR(__xludf.DUMMYFUNCTION("""COMPUTED_VALUE"""),31.0)</f>
        <v>31</v>
      </c>
      <c r="J1483" s="165">
        <f>IFERROR(__xludf.DUMMYFUNCTION("""COMPUTED_VALUE"""),1.40092701310557)</f>
        <v>1.400927013</v>
      </c>
      <c r="K1483" s="165">
        <f>IFERROR(__xludf.DUMMYFUNCTION("""COMPUTED_VALUE"""),-0.845879420781648)</f>
        <v>-0.8458794208</v>
      </c>
      <c r="L1483" s="165">
        <f>IFERROR(__xludf.DUMMYFUNCTION("""COMPUTED_VALUE"""),2.24680643388722)</f>
        <v>2.246806434</v>
      </c>
      <c r="M1483" s="166">
        <f t="shared" si="2"/>
        <v>5.460720568</v>
      </c>
      <c r="N1483" s="167">
        <f t="shared" si="3"/>
        <v>29.71243243</v>
      </c>
      <c r="O1483" s="163">
        <f t="shared" ref="O1483:Q1483" si="1487">rank(I1483,I:I)</f>
        <v>490</v>
      </c>
      <c r="P1483" s="163">
        <f t="shared" si="1487"/>
        <v>493</v>
      </c>
      <c r="Q1483" s="163">
        <f t="shared" si="1487"/>
        <v>2614</v>
      </c>
      <c r="R1483" s="163">
        <f>IFERROR(__xludf.DUMMYFUNCTION("RANK(M1483,filter(M:M,C:C=C1483))"),52.0)</f>
        <v>52</v>
      </c>
      <c r="S1483" s="161" t="b">
        <f t="shared" si="5"/>
        <v>0</v>
      </c>
      <c r="T1483" s="161" t="b">
        <f t="array" ref="T1483">index('Query Tool'!B:B,match(H1483,'Query Tool'!C:C,0))</f>
        <v>1</v>
      </c>
      <c r="U1483" s="161" t="b">
        <f t="array" ref="U1483">index('Query Tool'!B:B,match(C1483,'Query Tool'!C:C,0))</f>
        <v>0</v>
      </c>
      <c r="V1483" s="161" t="b">
        <f>F1483&gt;='Query Tool'!C$32</f>
        <v>1</v>
      </c>
      <c r="W1483" s="161" t="b">
        <f t="array" ref="W1483">index(Dropdowns!B:B,match(I1483,Dropdowns!A:A,0))</f>
        <v>1</v>
      </c>
      <c r="X1483" s="161" t="b">
        <f t="array" ref="X1483">index('Query Tool'!B:B,match(D1483,'Query Tool'!C:C,0))</f>
        <v>1</v>
      </c>
      <c r="Y1483" s="161" t="str">
        <f t="shared" si="6"/>
        <v>howardw01,2016-17</v>
      </c>
      <c r="Z1483" s="168">
        <f t="array" ref="Z1483">iferror(index(I:I,match($A1483&amp;","&amp;index('Year Conversion'!$A:$A,match($C1483,'Year Conversion'!$B:$B,0)),$Y:$Y,0))-I1483,"")</f>
        <v>1</v>
      </c>
      <c r="AA1483" s="168">
        <f t="array" ref="AA1483">iferror(index(J:J,match($A1483&amp;","&amp;index('Year Conversion'!$A:$A,match($C1483,'Year Conversion'!$B:$B,0)),$Y:$Y,0))-J1483,"")</f>
        <v>0.2304792326</v>
      </c>
      <c r="AB1483" s="168">
        <f t="array" ref="AB1483">iferror(index(K:K,match($A1483&amp;","&amp;index('Year Conversion'!$A:$A,match($C1483,'Year Conversion'!$B:$B,0)),$Y:$Y,0))-K1483,"")</f>
        <v>0.6424498188</v>
      </c>
      <c r="AC1483" s="168" t="str">
        <f t="shared" si="7"/>
        <v>ATL,2016-17</v>
      </c>
    </row>
    <row r="1484">
      <c r="A1484" s="161" t="str">
        <f>IFERROR(__xludf.DUMMYFUNCTION("""COMPUTED_VALUE"""),"livinsh01")</f>
        <v>livinsh01</v>
      </c>
      <c r="B1484" s="161" t="str">
        <f>IFERROR(__xludf.DUMMYFUNCTION("""COMPUTED_VALUE"""),"Shaun Livingston")</f>
        <v>Shaun Livingston</v>
      </c>
      <c r="C1484" s="162" t="str">
        <f>IFERROR(__xludf.DUMMYFUNCTION("""COMPUTED_VALUE"""),"2016-17")</f>
        <v>2016-17</v>
      </c>
      <c r="D1484" s="163" t="str">
        <f>IFERROR(__xludf.DUMMYFUNCTION("""COMPUTED_VALUE"""),"GSW")</f>
        <v>GSW</v>
      </c>
      <c r="E1484" s="164" t="str">
        <f>IFERROR(__xludf.DUMMYFUNCTION("""COMPUTED_VALUE"""),"Post Scorer")</f>
        <v>Post Scorer</v>
      </c>
      <c r="F1484" s="164">
        <f>IFERROR(__xludf.DUMMYFUNCTION("""COMPUTED_VALUE"""),1344.74666666667)</f>
        <v>1344.746667</v>
      </c>
      <c r="G1484" s="163">
        <f>IFERROR(__xludf.DUMMYFUNCTION("""COMPUTED_VALUE"""),76.0)</f>
        <v>76</v>
      </c>
      <c r="H1484" s="163" t="str">
        <f>IFERROR(__xludf.DUMMYFUNCTION("""COMPUTED_VALUE"""),"PG")</f>
        <v>PG</v>
      </c>
      <c r="I1484" s="163">
        <f>IFERROR(__xludf.DUMMYFUNCTION("""COMPUTED_VALUE"""),31.0)</f>
        <v>31</v>
      </c>
      <c r="J1484" s="165">
        <f>IFERROR(__xludf.DUMMYFUNCTION("""COMPUTED_VALUE"""),-1.82758258543469)</f>
        <v>-1.827582585</v>
      </c>
      <c r="K1484" s="165">
        <f>IFERROR(__xludf.DUMMYFUNCTION("""COMPUTED_VALUE"""),-1.08202900121745)</f>
        <v>-1.082029001</v>
      </c>
      <c r="L1484" s="165">
        <f>IFERROR(__xludf.DUMMYFUNCTION("""COMPUTED_VALUE"""),-0.745553584217236)</f>
        <v>-0.7455535842</v>
      </c>
      <c r="M1484" s="166">
        <f t="shared" si="2"/>
        <v>0.4238837363</v>
      </c>
      <c r="N1484" s="167">
        <f t="shared" si="3"/>
        <v>17.69403509</v>
      </c>
      <c r="O1484" s="163">
        <f t="shared" ref="O1484:Q1484" si="1488">rank(I1484,I:I)</f>
        <v>490</v>
      </c>
      <c r="P1484" s="163">
        <f t="shared" si="1488"/>
        <v>3365</v>
      </c>
      <c r="Q1484" s="163">
        <f t="shared" si="1488"/>
        <v>2913</v>
      </c>
      <c r="R1484" s="163">
        <f>IFERROR(__xludf.DUMMYFUNCTION("RANK(M1484,filter(M:M,C:C=C1484))"),295.0)</f>
        <v>295</v>
      </c>
      <c r="S1484" s="161" t="b">
        <f t="shared" si="5"/>
        <v>0</v>
      </c>
      <c r="T1484" s="161" t="b">
        <f t="array" ref="T1484">index('Query Tool'!B:B,match(H1484,'Query Tool'!C:C,0))</f>
        <v>1</v>
      </c>
      <c r="U1484" s="161" t="b">
        <f t="array" ref="U1484">index('Query Tool'!B:B,match(C1484,'Query Tool'!C:C,0))</f>
        <v>0</v>
      </c>
      <c r="V1484" s="161" t="b">
        <f>F1484&gt;='Query Tool'!C$32</f>
        <v>1</v>
      </c>
      <c r="W1484" s="161" t="b">
        <f t="array" ref="W1484">index(Dropdowns!B:B,match(I1484,Dropdowns!A:A,0))</f>
        <v>1</v>
      </c>
      <c r="X1484" s="161" t="b">
        <f t="array" ref="X1484">index('Query Tool'!B:B,match(D1484,'Query Tool'!C:C,0))</f>
        <v>1</v>
      </c>
      <c r="Y1484" s="161" t="str">
        <f t="shared" si="6"/>
        <v>livinsh01,2016-17</v>
      </c>
      <c r="Z1484" s="168">
        <f t="array" ref="Z1484">iferror(index(I:I,match($A1484&amp;","&amp;index('Year Conversion'!$A:$A,match($C1484,'Year Conversion'!$B:$B,0)),$Y:$Y,0))-I1484,"")</f>
        <v>1</v>
      </c>
      <c r="AA1484" s="168">
        <f t="array" ref="AA1484">iferror(index(J:J,match($A1484&amp;","&amp;index('Year Conversion'!$A:$A,match($C1484,'Year Conversion'!$B:$B,0)),$Y:$Y,0))-J1484,"")</f>
        <v>0.5031946003</v>
      </c>
      <c r="AB1484" s="168">
        <f t="array" ref="AB1484">iferror(index(K:K,match($A1484&amp;","&amp;index('Year Conversion'!$A:$A,match($C1484,'Year Conversion'!$B:$B,0)),$Y:$Y,0))-K1484,"")</f>
        <v>0.0172860954</v>
      </c>
      <c r="AC1484" s="168" t="str">
        <f t="shared" si="7"/>
        <v>GSW,2016-17</v>
      </c>
    </row>
    <row r="1485">
      <c r="A1485" s="161" t="str">
        <f>IFERROR(__xludf.DUMMYFUNCTION("""COMPUTED_VALUE"""),"harride01")</f>
        <v>harride01</v>
      </c>
      <c r="B1485" s="161" t="str">
        <f>IFERROR(__xludf.DUMMYFUNCTION("""COMPUTED_VALUE"""),"Devin Harris")</f>
        <v>Devin Harris</v>
      </c>
      <c r="C1485" s="162" t="str">
        <f>IFERROR(__xludf.DUMMYFUNCTION("""COMPUTED_VALUE"""),"2016-17")</f>
        <v>2016-17</v>
      </c>
      <c r="D1485" s="163" t="str">
        <f>IFERROR(__xludf.DUMMYFUNCTION("""COMPUTED_VALUE"""),"DAL")</f>
        <v>DAL</v>
      </c>
      <c r="E1485" s="164" t="str">
        <f>IFERROR(__xludf.DUMMYFUNCTION("""COMPUTED_VALUE"""),"Secondary Ball Handler")</f>
        <v>Secondary Ball Handler</v>
      </c>
      <c r="F1485" s="164">
        <f>IFERROR(__xludf.DUMMYFUNCTION("""COMPUTED_VALUE"""),1087.16)</f>
        <v>1087.16</v>
      </c>
      <c r="G1485" s="163">
        <f>IFERROR(__xludf.DUMMYFUNCTION("""COMPUTED_VALUE"""),65.0)</f>
        <v>65</v>
      </c>
      <c r="H1485" s="163" t="str">
        <f>IFERROR(__xludf.DUMMYFUNCTION("""COMPUTED_VALUE"""),"PG")</f>
        <v>PG</v>
      </c>
      <c r="I1485" s="163">
        <f>IFERROR(__xludf.DUMMYFUNCTION("""COMPUTED_VALUE"""),33.0)</f>
        <v>33</v>
      </c>
      <c r="J1485" s="165">
        <f>IFERROR(__xludf.DUMMYFUNCTION("""COMPUTED_VALUE"""),0.0737549232877862)</f>
        <v>0.07375492329</v>
      </c>
      <c r="K1485" s="165">
        <f>IFERROR(__xludf.DUMMYFUNCTION("""COMPUTED_VALUE"""),0.461640362869219)</f>
        <v>0.4616403629</v>
      </c>
      <c r="L1485" s="165">
        <f>IFERROR(__xludf.DUMMYFUNCTION("""COMPUTED_VALUE"""),-0.387885439581433)</f>
        <v>-0.3878854396</v>
      </c>
      <c r="M1485" s="166">
        <f t="shared" si="2"/>
        <v>1.730096758</v>
      </c>
      <c r="N1485" s="167">
        <f t="shared" si="3"/>
        <v>16.72553846</v>
      </c>
      <c r="O1485" s="163">
        <f t="shared" ref="O1485:Q1485" si="1489">rank(I1485,I:I)</f>
        <v>246</v>
      </c>
      <c r="P1485" s="163">
        <f t="shared" si="1489"/>
        <v>1222</v>
      </c>
      <c r="Q1485" s="163">
        <f t="shared" si="1489"/>
        <v>791</v>
      </c>
      <c r="R1485" s="163">
        <f>IFERROR(__xludf.DUMMYFUNCTION("RANK(M1485,filter(M:M,C:C=C1485))"),179.0)</f>
        <v>179</v>
      </c>
      <c r="S1485" s="161" t="b">
        <f t="shared" si="5"/>
        <v>0</v>
      </c>
      <c r="T1485" s="161" t="b">
        <f t="array" ref="T1485">index('Query Tool'!B:B,match(H1485,'Query Tool'!C:C,0))</f>
        <v>1</v>
      </c>
      <c r="U1485" s="161" t="b">
        <f t="array" ref="U1485">index('Query Tool'!B:B,match(C1485,'Query Tool'!C:C,0))</f>
        <v>0</v>
      </c>
      <c r="V1485" s="161" t="b">
        <f>F1485&gt;='Query Tool'!C$32</f>
        <v>1</v>
      </c>
      <c r="W1485" s="161" t="b">
        <f t="array" ref="W1485">index(Dropdowns!B:B,match(I1485,Dropdowns!A:A,0))</f>
        <v>1</v>
      </c>
      <c r="X1485" s="161" t="b">
        <f t="array" ref="X1485">index('Query Tool'!B:B,match(D1485,'Query Tool'!C:C,0))</f>
        <v>1</v>
      </c>
      <c r="Y1485" s="161" t="str">
        <f t="shared" si="6"/>
        <v>harride01,2016-17</v>
      </c>
      <c r="Z1485" s="168">
        <f t="array" ref="Z1485">iferror(index(I:I,match($A1485&amp;","&amp;index('Year Conversion'!$A:$A,match($C1485,'Year Conversion'!$B:$B,0)),$Y:$Y,0))-I1485,"")</f>
        <v>1</v>
      </c>
      <c r="AA1485" s="168">
        <f t="array" ref="AA1485">iferror(index(J:J,match($A1485&amp;","&amp;index('Year Conversion'!$A:$A,match($C1485,'Year Conversion'!$B:$B,0)),$Y:$Y,0))-J1485,"")</f>
        <v>-0.0839012211</v>
      </c>
      <c r="AB1485" s="168">
        <f t="array" ref="AB1485">iferror(index(K:K,match($A1485&amp;","&amp;index('Year Conversion'!$A:$A,match($C1485,'Year Conversion'!$B:$B,0)),$Y:$Y,0))-K1485,"")</f>
        <v>-0.311154233</v>
      </c>
      <c r="AC1485" s="168" t="str">
        <f t="shared" si="7"/>
        <v>DAL,2016-17</v>
      </c>
    </row>
    <row r="1486">
      <c r="A1486" s="161" t="str">
        <f>IFERROR(__xludf.DUMMYFUNCTION("""COMPUTED_VALUE"""),"denglu01")</f>
        <v>denglu01</v>
      </c>
      <c r="B1486" s="161" t="str">
        <f>IFERROR(__xludf.DUMMYFUNCTION("""COMPUTED_VALUE"""),"Luol Deng")</f>
        <v>Luol Deng</v>
      </c>
      <c r="C1486" s="162" t="str">
        <f>IFERROR(__xludf.DUMMYFUNCTION("""COMPUTED_VALUE"""),"2016-17")</f>
        <v>2016-17</v>
      </c>
      <c r="D1486" s="163" t="str">
        <f>IFERROR(__xludf.DUMMYFUNCTION("""COMPUTED_VALUE"""),"LAL")</f>
        <v>LAL</v>
      </c>
      <c r="E1486" s="164" t="str">
        <f>IFERROR(__xludf.DUMMYFUNCTION("""COMPUTED_VALUE"""),"Stationary Shooter")</f>
        <v>Stationary Shooter</v>
      </c>
      <c r="F1486" s="164">
        <f>IFERROR(__xludf.DUMMYFUNCTION("""COMPUTED_VALUE"""),1485.87333333333)</f>
        <v>1485.873333</v>
      </c>
      <c r="G1486" s="163">
        <f>IFERROR(__xludf.DUMMYFUNCTION("""COMPUTED_VALUE"""),56.0)</f>
        <v>56</v>
      </c>
      <c r="H1486" s="163" t="str">
        <f>IFERROR(__xludf.DUMMYFUNCTION("""COMPUTED_VALUE"""),"SF")</f>
        <v>SF</v>
      </c>
      <c r="I1486" s="163">
        <f>IFERROR(__xludf.DUMMYFUNCTION("""COMPUTED_VALUE"""),31.0)</f>
        <v>31</v>
      </c>
      <c r="J1486" s="165">
        <f>IFERROR(__xludf.DUMMYFUNCTION("""COMPUTED_VALUE"""),-1.36084000283777)</f>
        <v>-1.360840003</v>
      </c>
      <c r="K1486" s="165">
        <f>IFERROR(__xludf.DUMMYFUNCTION("""COMPUTED_VALUE"""),-1.84389175780196)</f>
        <v>-1.843891758</v>
      </c>
      <c r="L1486" s="165">
        <f>IFERROR(__xludf.DUMMYFUNCTION("""COMPUTED_VALUE"""),0.483051754964193)</f>
        <v>0.483051755</v>
      </c>
      <c r="M1486" s="166">
        <f t="shared" si="2"/>
        <v>0.9309816919</v>
      </c>
      <c r="N1486" s="167">
        <f t="shared" si="3"/>
        <v>26.53345238</v>
      </c>
      <c r="O1486" s="163">
        <f t="shared" ref="O1486:Q1486" si="1490">rank(I1486,I:I)</f>
        <v>490</v>
      </c>
      <c r="P1486" s="163">
        <f t="shared" si="1490"/>
        <v>2913</v>
      </c>
      <c r="Q1486" s="163">
        <f t="shared" si="1490"/>
        <v>3601</v>
      </c>
      <c r="R1486" s="163">
        <f>IFERROR(__xludf.DUMMYFUNCTION("RANK(M1486,filter(M:M,C:C=C1486))"),230.0)</f>
        <v>230</v>
      </c>
      <c r="S1486" s="161" t="b">
        <f t="shared" si="5"/>
        <v>0</v>
      </c>
      <c r="T1486" s="161" t="b">
        <f t="array" ref="T1486">index('Query Tool'!B:B,match(H1486,'Query Tool'!C:C,0))</f>
        <v>1</v>
      </c>
      <c r="U1486" s="161" t="b">
        <f t="array" ref="U1486">index('Query Tool'!B:B,match(C1486,'Query Tool'!C:C,0))</f>
        <v>0</v>
      </c>
      <c r="V1486" s="161" t="b">
        <f>F1486&gt;='Query Tool'!C$32</f>
        <v>1</v>
      </c>
      <c r="W1486" s="161" t="b">
        <f t="array" ref="W1486">index(Dropdowns!B:B,match(I1486,Dropdowns!A:A,0))</f>
        <v>1</v>
      </c>
      <c r="X1486" s="161" t="b">
        <f t="array" ref="X1486">index('Query Tool'!B:B,match(D1486,'Query Tool'!C:C,0))</f>
        <v>1</v>
      </c>
      <c r="Y1486" s="161" t="str">
        <f t="shared" si="6"/>
        <v>denglu01,2016-17</v>
      </c>
      <c r="Z1486" s="168">
        <f t="array" ref="Z1486">iferror(index(I:I,match($A1486&amp;","&amp;index('Year Conversion'!$A:$A,match($C1486,'Year Conversion'!$B:$B,0)),$Y:$Y,0))-I1486,"")</f>
        <v>1</v>
      </c>
      <c r="AA1486" s="168">
        <f t="array" ref="AA1486">iferror(index(J:J,match($A1486&amp;","&amp;index('Year Conversion'!$A:$A,match($C1486,'Year Conversion'!$B:$B,0)),$Y:$Y,0))-J1486,"")</f>
        <v>1.06324654</v>
      </c>
      <c r="AB1486" s="168">
        <f t="array" ref="AB1486">iferror(index(K:K,match($A1486&amp;","&amp;index('Year Conversion'!$A:$A,match($C1486,'Year Conversion'!$B:$B,0)),$Y:$Y,0))-K1486,"")</f>
        <v>1.610306358</v>
      </c>
      <c r="AC1486" s="168" t="str">
        <f t="shared" si="7"/>
        <v>LAL,2016-17</v>
      </c>
    </row>
    <row r="1487">
      <c r="A1487" s="161" t="str">
        <f>IFERROR(__xludf.DUMMYFUNCTION("""COMPUTED_VALUE"""),"iguodan01")</f>
        <v>iguodan01</v>
      </c>
      <c r="B1487" s="161" t="str">
        <f>IFERROR(__xludf.DUMMYFUNCTION("""COMPUTED_VALUE"""),"Andre Iguodala")</f>
        <v>Andre Iguodala</v>
      </c>
      <c r="C1487" s="162" t="str">
        <f>IFERROR(__xludf.DUMMYFUNCTION("""COMPUTED_VALUE"""),"2016-17")</f>
        <v>2016-17</v>
      </c>
      <c r="D1487" s="163" t="str">
        <f>IFERROR(__xludf.DUMMYFUNCTION("""COMPUTED_VALUE"""),"GSW")</f>
        <v>GSW</v>
      </c>
      <c r="E1487" s="164" t="str">
        <f>IFERROR(__xludf.DUMMYFUNCTION("""COMPUTED_VALUE"""),"Stationary Shooter")</f>
        <v>Stationary Shooter</v>
      </c>
      <c r="F1487" s="164">
        <f>IFERROR(__xludf.DUMMYFUNCTION("""COMPUTED_VALUE"""),1997.54166666667)</f>
        <v>1997.541667</v>
      </c>
      <c r="G1487" s="163">
        <f>IFERROR(__xludf.DUMMYFUNCTION("""COMPUTED_VALUE"""),76.0)</f>
        <v>76</v>
      </c>
      <c r="H1487" s="163" t="str">
        <f>IFERROR(__xludf.DUMMYFUNCTION("""COMPUTED_VALUE"""),"SF")</f>
        <v>SF</v>
      </c>
      <c r="I1487" s="163">
        <f>IFERROR(__xludf.DUMMYFUNCTION("""COMPUTED_VALUE"""),33.0)</f>
        <v>33</v>
      </c>
      <c r="J1487" s="165">
        <f>IFERROR(__xludf.DUMMYFUNCTION("""COMPUTED_VALUE"""),2.02466546011067)</f>
        <v>2.02466546</v>
      </c>
      <c r="K1487" s="165">
        <f>IFERROR(__xludf.DUMMYFUNCTION("""COMPUTED_VALUE"""),1.36751349652692)</f>
        <v>1.367513497</v>
      </c>
      <c r="L1487" s="165">
        <f>IFERROR(__xludf.DUMMYFUNCTION("""COMPUTED_VALUE"""),0.657151963583759)</f>
        <v>0.6571519636</v>
      </c>
      <c r="M1487" s="166">
        <f t="shared" si="2"/>
        <v>5.79078324</v>
      </c>
      <c r="N1487" s="167">
        <f t="shared" si="3"/>
        <v>26.28344298</v>
      </c>
      <c r="O1487" s="163">
        <f t="shared" ref="O1487:Q1487" si="1491">rank(I1487,I:I)</f>
        <v>246</v>
      </c>
      <c r="P1487" s="163">
        <f t="shared" si="1491"/>
        <v>319</v>
      </c>
      <c r="Q1487" s="163">
        <f t="shared" si="1491"/>
        <v>365</v>
      </c>
      <c r="R1487" s="163">
        <f>IFERROR(__xludf.DUMMYFUNCTION("RANK(M1487,filter(M:M,C:C=C1487))"),50.0)</f>
        <v>50</v>
      </c>
      <c r="S1487" s="161" t="b">
        <f t="shared" si="5"/>
        <v>0</v>
      </c>
      <c r="T1487" s="161" t="b">
        <f t="array" ref="T1487">index('Query Tool'!B:B,match(H1487,'Query Tool'!C:C,0))</f>
        <v>1</v>
      </c>
      <c r="U1487" s="161" t="b">
        <f t="array" ref="U1487">index('Query Tool'!B:B,match(C1487,'Query Tool'!C:C,0))</f>
        <v>0</v>
      </c>
      <c r="V1487" s="161" t="b">
        <f>F1487&gt;='Query Tool'!C$32</f>
        <v>1</v>
      </c>
      <c r="W1487" s="161" t="b">
        <f t="array" ref="W1487">index(Dropdowns!B:B,match(I1487,Dropdowns!A:A,0))</f>
        <v>1</v>
      </c>
      <c r="X1487" s="161" t="b">
        <f t="array" ref="X1487">index('Query Tool'!B:B,match(D1487,'Query Tool'!C:C,0))</f>
        <v>1</v>
      </c>
      <c r="Y1487" s="161" t="str">
        <f t="shared" si="6"/>
        <v>iguodan01,2016-17</v>
      </c>
      <c r="Z1487" s="168">
        <f t="array" ref="Z1487">iferror(index(I:I,match($A1487&amp;","&amp;index('Year Conversion'!$A:$A,match($C1487,'Year Conversion'!$B:$B,0)),$Y:$Y,0))-I1487,"")</f>
        <v>1</v>
      </c>
      <c r="AA1487" s="168">
        <f t="array" ref="AA1487">iferror(index(J:J,match($A1487&amp;","&amp;index('Year Conversion'!$A:$A,match($C1487,'Year Conversion'!$B:$B,0)),$Y:$Y,0))-J1487,"")</f>
        <v>-1.753325074</v>
      </c>
      <c r="AB1487" s="168">
        <f t="array" ref="AB1487">iferror(index(K:K,match($A1487&amp;","&amp;index('Year Conversion'!$A:$A,match($C1487,'Year Conversion'!$B:$B,0)),$Y:$Y,0))-K1487,"")</f>
        <v>-1.736295905</v>
      </c>
      <c r="AC1487" s="168" t="str">
        <f t="shared" si="7"/>
        <v>GSW,2016-17</v>
      </c>
    </row>
    <row r="1488">
      <c r="A1488" s="161" t="str">
        <f>IFERROR(__xludf.DUMMYFUNCTION("""COMPUTED_VALUE"""),"humphkr01")</f>
        <v>humphkr01</v>
      </c>
      <c r="B1488" s="161" t="str">
        <f>IFERROR(__xludf.DUMMYFUNCTION("""COMPUTED_VALUE"""),"Kris Humphries")</f>
        <v>Kris Humphries</v>
      </c>
      <c r="C1488" s="162" t="str">
        <f>IFERROR(__xludf.DUMMYFUNCTION("""COMPUTED_VALUE"""),"2016-17")</f>
        <v>2016-17</v>
      </c>
      <c r="D1488" s="163" t="str">
        <f>IFERROR(__xludf.DUMMYFUNCTION("""COMPUTED_VALUE"""),"ATL")</f>
        <v>ATL</v>
      </c>
      <c r="E1488" s="164" t="str">
        <f>IFERROR(__xludf.DUMMYFUNCTION("""COMPUTED_VALUE"""),"Stretch Big")</f>
        <v>Stretch Big</v>
      </c>
      <c r="F1488" s="164">
        <f>IFERROR(__xludf.DUMMYFUNCTION("""COMPUTED_VALUE"""),688.648333333333)</f>
        <v>688.6483333</v>
      </c>
      <c r="G1488" s="163">
        <f>IFERROR(__xludf.DUMMYFUNCTION("""COMPUTED_VALUE"""),56.0)</f>
        <v>56</v>
      </c>
      <c r="H1488" s="163" t="str">
        <f>IFERROR(__xludf.DUMMYFUNCTION("""COMPUTED_VALUE"""),"PF")</f>
        <v>PF</v>
      </c>
      <c r="I1488" s="163">
        <f>IFERROR(__xludf.DUMMYFUNCTION("""COMPUTED_VALUE"""),31.0)</f>
        <v>31</v>
      </c>
      <c r="J1488" s="165">
        <f>IFERROR(__xludf.DUMMYFUNCTION("""COMPUTED_VALUE"""),-1.43770408597255)</f>
        <v>-1.437704086</v>
      </c>
      <c r="K1488" s="165">
        <f>IFERROR(__xludf.DUMMYFUNCTION("""COMPUTED_VALUE"""),-1.63299426100991)</f>
        <v>-1.632994261</v>
      </c>
      <c r="L1488" s="165">
        <f>IFERROR(__xludf.DUMMYFUNCTION("""COMPUTED_VALUE"""),0.195290175037361)</f>
        <v>0.195290175</v>
      </c>
      <c r="M1488" s="166">
        <f t="shared" si="2"/>
        <v>0.3960794693</v>
      </c>
      <c r="N1488" s="167">
        <f t="shared" si="3"/>
        <v>12.29729167</v>
      </c>
      <c r="O1488" s="163">
        <f t="shared" ref="O1488:Q1488" si="1492">rank(I1488,I:I)</f>
        <v>490</v>
      </c>
      <c r="P1488" s="163">
        <f t="shared" si="1492"/>
        <v>3000</v>
      </c>
      <c r="Q1488" s="163">
        <f t="shared" si="1492"/>
        <v>3471</v>
      </c>
      <c r="R1488" s="163">
        <f>IFERROR(__xludf.DUMMYFUNCTION("RANK(M1488,filter(M:M,C:C=C1488))"),301.0)</f>
        <v>301</v>
      </c>
      <c r="S1488" s="161" t="b">
        <f t="shared" si="5"/>
        <v>0</v>
      </c>
      <c r="T1488" s="161" t="b">
        <f t="array" ref="T1488">index('Query Tool'!B:B,match(H1488,'Query Tool'!C:C,0))</f>
        <v>1</v>
      </c>
      <c r="U1488" s="161" t="b">
        <f t="array" ref="U1488">index('Query Tool'!B:B,match(C1488,'Query Tool'!C:C,0))</f>
        <v>0</v>
      </c>
      <c r="V1488" s="161" t="b">
        <f>F1488&gt;='Query Tool'!C$32</f>
        <v>1</v>
      </c>
      <c r="W1488" s="161" t="b">
        <f t="array" ref="W1488">index(Dropdowns!B:B,match(I1488,Dropdowns!A:A,0))</f>
        <v>1</v>
      </c>
      <c r="X1488" s="161" t="b">
        <f t="array" ref="X1488">index('Query Tool'!B:B,match(D1488,'Query Tool'!C:C,0))</f>
        <v>1</v>
      </c>
      <c r="Y1488" s="161" t="str">
        <f t="shared" si="6"/>
        <v>humphkr01,2016-17</v>
      </c>
      <c r="Z1488" s="168" t="str">
        <f t="array" ref="Z1488">iferror(index(I:I,match($A1488&amp;","&amp;index('Year Conversion'!$A:$A,match($C1488,'Year Conversion'!$B:$B,0)),$Y:$Y,0))-I1488,"")</f>
        <v/>
      </c>
      <c r="AA1488" s="168" t="str">
        <f t="array" ref="AA1488">iferror(index(J:J,match($A1488&amp;","&amp;index('Year Conversion'!$A:$A,match($C1488,'Year Conversion'!$B:$B,0)),$Y:$Y,0))-J1488,"")</f>
        <v/>
      </c>
      <c r="AB1488" s="168" t="str">
        <f t="array" ref="AB1488">iferror(index(K:K,match($A1488&amp;","&amp;index('Year Conversion'!$A:$A,match($C1488,'Year Conversion'!$B:$B,0)),$Y:$Y,0))-K1488,"")</f>
        <v/>
      </c>
      <c r="AC1488" s="168" t="str">
        <f t="shared" si="7"/>
        <v>ATL,2016-17</v>
      </c>
    </row>
    <row r="1489">
      <c r="A1489" s="161" t="str">
        <f>IFERROR(__xludf.DUMMYFUNCTION("""COMPUTED_VALUE"""),"jeffeal01")</f>
        <v>jeffeal01</v>
      </c>
      <c r="B1489" s="161" t="str">
        <f>IFERROR(__xludf.DUMMYFUNCTION("""COMPUTED_VALUE"""),"Al Jefferson")</f>
        <v>Al Jefferson</v>
      </c>
      <c r="C1489" s="162" t="str">
        <f>IFERROR(__xludf.DUMMYFUNCTION("""COMPUTED_VALUE"""),"2016-17")</f>
        <v>2016-17</v>
      </c>
      <c r="D1489" s="163" t="str">
        <f>IFERROR(__xludf.DUMMYFUNCTION("""COMPUTED_VALUE"""),"IND")</f>
        <v>IND</v>
      </c>
      <c r="E1489" s="164" t="str">
        <f>IFERROR(__xludf.DUMMYFUNCTION("""COMPUTED_VALUE"""),"Post Scorer")</f>
        <v>Post Scorer</v>
      </c>
      <c r="F1489" s="164">
        <f>IFERROR(__xludf.DUMMYFUNCTION("""COMPUTED_VALUE"""),930.635)</f>
        <v>930.635</v>
      </c>
      <c r="G1489" s="163">
        <f>IFERROR(__xludf.DUMMYFUNCTION("""COMPUTED_VALUE"""),66.0)</f>
        <v>66</v>
      </c>
      <c r="H1489" s="163" t="str">
        <f>IFERROR(__xludf.DUMMYFUNCTION("""COMPUTED_VALUE"""),"C")</f>
        <v>C</v>
      </c>
      <c r="I1489" s="163">
        <f>IFERROR(__xludf.DUMMYFUNCTION("""COMPUTED_VALUE"""),32.0)</f>
        <v>32</v>
      </c>
      <c r="J1489" s="165">
        <f>IFERROR(__xludf.DUMMYFUNCTION("""COMPUTED_VALUE"""),-1.08441083010486)</f>
        <v>-1.08441083</v>
      </c>
      <c r="K1489" s="165">
        <f>IFERROR(__xludf.DUMMYFUNCTION("""COMPUTED_VALUE"""),-0.614661412913209)</f>
        <v>-0.6146614129</v>
      </c>
      <c r="L1489" s="165">
        <f>IFERROR(__xludf.DUMMYFUNCTION("""COMPUTED_VALUE"""),-0.469749417191652)</f>
        <v>-0.4697494172</v>
      </c>
      <c r="M1489" s="166">
        <f t="shared" si="2"/>
        <v>0.7554521945</v>
      </c>
      <c r="N1489" s="167">
        <f t="shared" si="3"/>
        <v>14.1005303</v>
      </c>
      <c r="O1489" s="163">
        <f t="shared" ref="O1489:Q1489" si="1493">rank(I1489,I:I)</f>
        <v>359</v>
      </c>
      <c r="P1489" s="163">
        <f t="shared" si="1493"/>
        <v>2596</v>
      </c>
      <c r="Q1489" s="163">
        <f t="shared" si="1493"/>
        <v>2282</v>
      </c>
      <c r="R1489" s="163">
        <f>IFERROR(__xludf.DUMMYFUNCTION("RANK(M1489,filter(M:M,C:C=C1489))"),247.0)</f>
        <v>247</v>
      </c>
      <c r="S1489" s="161" t="b">
        <f t="shared" si="5"/>
        <v>0</v>
      </c>
      <c r="T1489" s="161" t="b">
        <f t="array" ref="T1489">index('Query Tool'!B:B,match(H1489,'Query Tool'!C:C,0))</f>
        <v>1</v>
      </c>
      <c r="U1489" s="161" t="b">
        <f t="array" ref="U1489">index('Query Tool'!B:B,match(C1489,'Query Tool'!C:C,0))</f>
        <v>0</v>
      </c>
      <c r="V1489" s="161" t="b">
        <f>F1489&gt;='Query Tool'!C$32</f>
        <v>1</v>
      </c>
      <c r="W1489" s="161" t="b">
        <f t="array" ref="W1489">index(Dropdowns!B:B,match(I1489,Dropdowns!A:A,0))</f>
        <v>1</v>
      </c>
      <c r="X1489" s="161" t="b">
        <f t="array" ref="X1489">index('Query Tool'!B:B,match(D1489,'Query Tool'!C:C,0))</f>
        <v>1</v>
      </c>
      <c r="Y1489" s="161" t="str">
        <f t="shared" si="6"/>
        <v>jeffeal01,2016-17</v>
      </c>
      <c r="Z1489" s="168">
        <f t="array" ref="Z1489">iferror(index(I:I,match($A1489&amp;","&amp;index('Year Conversion'!$A:$A,match($C1489,'Year Conversion'!$B:$B,0)),$Y:$Y,0))-I1489,"")</f>
        <v>1</v>
      </c>
      <c r="AA1489" s="168">
        <f t="array" ref="AA1489">iferror(index(J:J,match($A1489&amp;","&amp;index('Year Conversion'!$A:$A,match($C1489,'Year Conversion'!$B:$B,0)),$Y:$Y,0))-J1489,"")</f>
        <v>1.21048656</v>
      </c>
      <c r="AB1489" s="168">
        <f t="array" ref="AB1489">iferror(index(K:K,match($A1489&amp;","&amp;index('Year Conversion'!$A:$A,match($C1489,'Year Conversion'!$B:$B,0)),$Y:$Y,0))-K1489,"")</f>
        <v>0.2280480783</v>
      </c>
      <c r="AC1489" s="168" t="str">
        <f t="shared" si="7"/>
        <v>IND,2016-17</v>
      </c>
    </row>
    <row r="1490">
      <c r="A1490" s="161" t="str">
        <f>IFERROR(__xludf.DUMMYFUNCTION("""COMPUTED_VALUE"""),"smithjr01")</f>
        <v>smithjr01</v>
      </c>
      <c r="B1490" s="161" t="str">
        <f>IFERROR(__xludf.DUMMYFUNCTION("""COMPUTED_VALUE"""),"JR Smith")</f>
        <v>JR Smith</v>
      </c>
      <c r="C1490" s="162" t="str">
        <f>IFERROR(__xludf.DUMMYFUNCTION("""COMPUTED_VALUE"""),"2016-17")</f>
        <v>2016-17</v>
      </c>
      <c r="D1490" s="163" t="str">
        <f>IFERROR(__xludf.DUMMYFUNCTION("""COMPUTED_VALUE"""),"CLE")</f>
        <v>CLE</v>
      </c>
      <c r="E1490" s="164" t="str">
        <f>IFERROR(__xludf.DUMMYFUNCTION("""COMPUTED_VALUE"""),"Movement Shooter")</f>
        <v>Movement Shooter</v>
      </c>
      <c r="F1490" s="164">
        <f>IFERROR(__xludf.DUMMYFUNCTION("""COMPUTED_VALUE"""),1187.22166666667)</f>
        <v>1187.221667</v>
      </c>
      <c r="G1490" s="163">
        <f>IFERROR(__xludf.DUMMYFUNCTION("""COMPUTED_VALUE"""),41.0)</f>
        <v>41</v>
      </c>
      <c r="H1490" s="163" t="str">
        <f>IFERROR(__xludf.DUMMYFUNCTION("""COMPUTED_VALUE"""),"SG")</f>
        <v>SG</v>
      </c>
      <c r="I1490" s="163">
        <f>IFERROR(__xludf.DUMMYFUNCTION("""COMPUTED_VALUE"""),31.0)</f>
        <v>31</v>
      </c>
      <c r="J1490" s="165">
        <f>IFERROR(__xludf.DUMMYFUNCTION("""COMPUTED_VALUE"""),-1.6853145679175)</f>
        <v>-1.685314568</v>
      </c>
      <c r="K1490" s="165">
        <f>IFERROR(__xludf.DUMMYFUNCTION("""COMPUTED_VALUE"""),-0.66406232611784)</f>
        <v>-0.6640623261</v>
      </c>
      <c r="L1490" s="165">
        <f>IFERROR(__xludf.DUMMYFUNCTION("""COMPUTED_VALUE"""),-1.02125224179966)</f>
        <v>-1.021252242</v>
      </c>
      <c r="M1490" s="166">
        <f t="shared" si="2"/>
        <v>0.4866502633</v>
      </c>
      <c r="N1490" s="167">
        <f t="shared" si="3"/>
        <v>28.95662602</v>
      </c>
      <c r="O1490" s="163">
        <f t="shared" ref="O1490:Q1490" si="1494">rank(I1490,I:I)</f>
        <v>490</v>
      </c>
      <c r="P1490" s="163">
        <f t="shared" si="1494"/>
        <v>3228</v>
      </c>
      <c r="Q1490" s="163">
        <f t="shared" si="1494"/>
        <v>2359</v>
      </c>
      <c r="R1490" s="163">
        <f>IFERROR(__xludf.DUMMYFUNCTION("RANK(M1490,filter(M:M,C:C=C1490))"),286.0)</f>
        <v>286</v>
      </c>
      <c r="S1490" s="161" t="b">
        <f t="shared" si="5"/>
        <v>0</v>
      </c>
      <c r="T1490" s="161" t="b">
        <f t="array" ref="T1490">index('Query Tool'!B:B,match(H1490,'Query Tool'!C:C,0))</f>
        <v>1</v>
      </c>
      <c r="U1490" s="161" t="b">
        <f t="array" ref="U1490">index('Query Tool'!B:B,match(C1490,'Query Tool'!C:C,0))</f>
        <v>0</v>
      </c>
      <c r="V1490" s="161" t="b">
        <f>F1490&gt;='Query Tool'!C$32</f>
        <v>1</v>
      </c>
      <c r="W1490" s="161" t="b">
        <f t="array" ref="W1490">index(Dropdowns!B:B,match(I1490,Dropdowns!A:A,0))</f>
        <v>1</v>
      </c>
      <c r="X1490" s="161" t="b">
        <f t="array" ref="X1490">index('Query Tool'!B:B,match(D1490,'Query Tool'!C:C,0))</f>
        <v>1</v>
      </c>
      <c r="Y1490" s="161" t="str">
        <f t="shared" si="6"/>
        <v>smithjr01,2016-17</v>
      </c>
      <c r="Z1490" s="168">
        <f t="array" ref="Z1490">iferror(index(I:I,match($A1490&amp;","&amp;index('Year Conversion'!$A:$A,match($C1490,'Year Conversion'!$B:$B,0)),$Y:$Y,0))-I1490,"")</f>
        <v>1</v>
      </c>
      <c r="AA1490" s="168">
        <f t="array" ref="AA1490">iferror(index(J:J,match($A1490&amp;","&amp;index('Year Conversion'!$A:$A,match($C1490,'Year Conversion'!$B:$B,0)),$Y:$Y,0))-J1490,"")</f>
        <v>-0.09180541667</v>
      </c>
      <c r="AB1490" s="168">
        <f t="array" ref="AB1490">iferror(index(K:K,match($A1490&amp;","&amp;index('Year Conversion'!$A:$A,match($C1490,'Year Conversion'!$B:$B,0)),$Y:$Y,0))-K1490,"")</f>
        <v>-0.03622121226</v>
      </c>
      <c r="AC1490" s="168" t="str">
        <f t="shared" si="7"/>
        <v>CLE,2016-17</v>
      </c>
    </row>
    <row r="1491">
      <c r="A1491" s="161" t="str">
        <f>IFERROR(__xludf.DUMMYFUNCTION("""COMPUTED_VALUE"""),"nelsoja01")</f>
        <v>nelsoja01</v>
      </c>
      <c r="B1491" s="161" t="str">
        <f>IFERROR(__xludf.DUMMYFUNCTION("""COMPUTED_VALUE"""),"Jameer Nelson")</f>
        <v>Jameer Nelson</v>
      </c>
      <c r="C1491" s="162" t="str">
        <f>IFERROR(__xludf.DUMMYFUNCTION("""COMPUTED_VALUE"""),"2016-17")</f>
        <v>2016-17</v>
      </c>
      <c r="D1491" s="163" t="str">
        <f>IFERROR(__xludf.DUMMYFUNCTION("""COMPUTED_VALUE"""),"DEN")</f>
        <v>DEN</v>
      </c>
      <c r="E1491" s="164" t="str">
        <f>IFERROR(__xludf.DUMMYFUNCTION("""COMPUTED_VALUE"""),"Primary Ball Handler")</f>
        <v>Primary Ball Handler</v>
      </c>
      <c r="F1491" s="164">
        <f>IFERROR(__xludf.DUMMYFUNCTION("""COMPUTED_VALUE"""),2044.81166666667)</f>
        <v>2044.811667</v>
      </c>
      <c r="G1491" s="163">
        <f>IFERROR(__xludf.DUMMYFUNCTION("""COMPUTED_VALUE"""),75.0)</f>
        <v>75</v>
      </c>
      <c r="H1491" s="163" t="str">
        <f>IFERROR(__xludf.DUMMYFUNCTION("""COMPUTED_VALUE"""),"PG")</f>
        <v>PG</v>
      </c>
      <c r="I1491" s="163">
        <f>IFERROR(__xludf.DUMMYFUNCTION("""COMPUTED_VALUE"""),34.0)</f>
        <v>34</v>
      </c>
      <c r="J1491" s="165">
        <f>IFERROR(__xludf.DUMMYFUNCTION("""COMPUTED_VALUE"""),0.209340338127292)</f>
        <v>0.2093403381</v>
      </c>
      <c r="K1491" s="165">
        <f>IFERROR(__xludf.DUMMYFUNCTION("""COMPUTED_VALUE"""),0.375383526709069)</f>
        <v>0.3753835267</v>
      </c>
      <c r="L1491" s="165">
        <f>IFERROR(__xludf.DUMMYFUNCTION("""COMPUTED_VALUE"""),-0.166043188581777)</f>
        <v>-0.1660431886</v>
      </c>
      <c r="M1491" s="166">
        <f t="shared" si="2"/>
        <v>3.440995166</v>
      </c>
      <c r="N1491" s="167">
        <f t="shared" si="3"/>
        <v>27.26415556</v>
      </c>
      <c r="O1491" s="163">
        <f t="shared" ref="O1491:Q1491" si="1495">rank(I1491,I:I)</f>
        <v>164</v>
      </c>
      <c r="P1491" s="163">
        <f t="shared" si="1495"/>
        <v>1079</v>
      </c>
      <c r="Q1491" s="163">
        <f t="shared" si="1495"/>
        <v>849</v>
      </c>
      <c r="R1491" s="163">
        <f>IFERROR(__xludf.DUMMYFUNCTION("RANK(M1491,filter(M:M,C:C=C1491))"),102.0)</f>
        <v>102</v>
      </c>
      <c r="S1491" s="161" t="b">
        <f t="shared" si="5"/>
        <v>0</v>
      </c>
      <c r="T1491" s="161" t="b">
        <f t="array" ref="T1491">index('Query Tool'!B:B,match(H1491,'Query Tool'!C:C,0))</f>
        <v>1</v>
      </c>
      <c r="U1491" s="161" t="b">
        <f t="array" ref="U1491">index('Query Tool'!B:B,match(C1491,'Query Tool'!C:C,0))</f>
        <v>0</v>
      </c>
      <c r="V1491" s="161" t="b">
        <f>F1491&gt;='Query Tool'!C$32</f>
        <v>1</v>
      </c>
      <c r="W1491" s="161" t="b">
        <f t="array" ref="W1491">index(Dropdowns!B:B,match(I1491,Dropdowns!A:A,0))</f>
        <v>1</v>
      </c>
      <c r="X1491" s="161" t="b">
        <f t="array" ref="X1491">index('Query Tool'!B:B,match(D1491,'Query Tool'!C:C,0))</f>
        <v>1</v>
      </c>
      <c r="Y1491" s="161" t="str">
        <f t="shared" si="6"/>
        <v>nelsoja01,2016-17</v>
      </c>
      <c r="Z1491" s="168">
        <f t="array" ref="Z1491">iferror(index(I:I,match($A1491&amp;","&amp;index('Year Conversion'!$A:$A,match($C1491,'Year Conversion'!$B:$B,0)),$Y:$Y,0))-I1491,"")</f>
        <v>1</v>
      </c>
      <c r="AA1491" s="168">
        <f t="array" ref="AA1491">iferror(index(J:J,match($A1491&amp;","&amp;index('Year Conversion'!$A:$A,match($C1491,'Year Conversion'!$B:$B,0)),$Y:$Y,0))-J1491,"")</f>
        <v>-3.048016289</v>
      </c>
      <c r="AB1491" s="168">
        <f t="array" ref="AB1491">iferror(index(K:K,match($A1491&amp;","&amp;index('Year Conversion'!$A:$A,match($C1491,'Year Conversion'!$B:$B,0)),$Y:$Y,0))-K1491,"")</f>
        <v>-2.034999934</v>
      </c>
      <c r="AC1491" s="168" t="str">
        <f t="shared" si="7"/>
        <v>DEN,2016-17</v>
      </c>
    </row>
    <row r="1492">
      <c r="A1492" s="161" t="str">
        <f>IFERROR(__xludf.DUMMYFUNCTION("""COMPUTED_VALUE"""),"allento01")</f>
        <v>allento01</v>
      </c>
      <c r="B1492" s="161" t="str">
        <f>IFERROR(__xludf.DUMMYFUNCTION("""COMPUTED_VALUE"""),"Tony Allen")</f>
        <v>Tony Allen</v>
      </c>
      <c r="C1492" s="162" t="str">
        <f>IFERROR(__xludf.DUMMYFUNCTION("""COMPUTED_VALUE"""),"2016-17")</f>
        <v>2016-17</v>
      </c>
      <c r="D1492" s="163" t="str">
        <f>IFERROR(__xludf.DUMMYFUNCTION("""COMPUTED_VALUE"""),"MEM")</f>
        <v>MEM</v>
      </c>
      <c r="E1492" s="164" t="str">
        <f>IFERROR(__xludf.DUMMYFUNCTION("""COMPUTED_VALUE"""),"Roll + Cut Big")</f>
        <v>Roll + Cut Big</v>
      </c>
      <c r="F1492" s="164">
        <f>IFERROR(__xludf.DUMMYFUNCTION("""COMPUTED_VALUE"""),1913.73833333333)</f>
        <v>1913.738333</v>
      </c>
      <c r="G1492" s="163">
        <f>IFERROR(__xludf.DUMMYFUNCTION("""COMPUTED_VALUE"""),71.0)</f>
        <v>71</v>
      </c>
      <c r="H1492" s="163" t="str">
        <f>IFERROR(__xludf.DUMMYFUNCTION("""COMPUTED_VALUE"""),"SG")</f>
        <v>SG</v>
      </c>
      <c r="I1492" s="163">
        <f>IFERROR(__xludf.DUMMYFUNCTION("""COMPUTED_VALUE"""),35.0)</f>
        <v>35</v>
      </c>
      <c r="J1492" s="165">
        <f>IFERROR(__xludf.DUMMYFUNCTION("""COMPUTED_VALUE"""),-0.0230243905969756)</f>
        <v>-0.0230243906</v>
      </c>
      <c r="K1492" s="165">
        <f>IFERROR(__xludf.DUMMYFUNCTION("""COMPUTED_VALUE"""),-1.26423297226757)</f>
        <v>-1.264232972</v>
      </c>
      <c r="L1492" s="165">
        <f>IFERROR(__xludf.DUMMYFUNCTION("""COMPUTED_VALUE"""),1.2412085816706)</f>
        <v>1.241208582</v>
      </c>
      <c r="M1492" s="166">
        <f t="shared" si="2"/>
        <v>2.920640023</v>
      </c>
      <c r="N1492" s="167">
        <f t="shared" si="3"/>
        <v>26.95406103</v>
      </c>
      <c r="O1492" s="163">
        <f t="shared" ref="O1492:Q1492" si="1496">rank(I1492,I:I)</f>
        <v>104</v>
      </c>
      <c r="P1492" s="163">
        <f t="shared" si="1496"/>
        <v>1307</v>
      </c>
      <c r="Q1492" s="163">
        <f t="shared" si="1496"/>
        <v>3099</v>
      </c>
      <c r="R1492" s="163">
        <f>IFERROR(__xludf.DUMMYFUNCTION("RANK(M1492,filter(M:M,C:C=C1492))"),113.0)</f>
        <v>113</v>
      </c>
      <c r="S1492" s="161" t="b">
        <f t="shared" si="5"/>
        <v>0</v>
      </c>
      <c r="T1492" s="161" t="b">
        <f t="array" ref="T1492">index('Query Tool'!B:B,match(H1492,'Query Tool'!C:C,0))</f>
        <v>1</v>
      </c>
      <c r="U1492" s="161" t="b">
        <f t="array" ref="U1492">index('Query Tool'!B:B,match(C1492,'Query Tool'!C:C,0))</f>
        <v>0</v>
      </c>
      <c r="V1492" s="161" t="b">
        <f>F1492&gt;='Query Tool'!C$32</f>
        <v>1</v>
      </c>
      <c r="W1492" s="161" t="b">
        <f t="array" ref="W1492">index(Dropdowns!B:B,match(I1492,Dropdowns!A:A,0))</f>
        <v>1</v>
      </c>
      <c r="X1492" s="161" t="b">
        <f t="array" ref="X1492">index('Query Tool'!B:B,match(D1492,'Query Tool'!C:C,0))</f>
        <v>1</v>
      </c>
      <c r="Y1492" s="161" t="str">
        <f t="shared" si="6"/>
        <v>allento01,2016-17</v>
      </c>
      <c r="Z1492" s="168">
        <f t="array" ref="Z1492">iferror(index(I:I,match($A1492&amp;","&amp;index('Year Conversion'!$A:$A,match($C1492,'Year Conversion'!$B:$B,0)),$Y:$Y,0))-I1492,"")</f>
        <v>1</v>
      </c>
      <c r="AA1492" s="168">
        <f t="array" ref="AA1492">iferror(index(J:J,match($A1492&amp;","&amp;index('Year Conversion'!$A:$A,match($C1492,'Year Conversion'!$B:$B,0)),$Y:$Y,0))-J1492,"")</f>
        <v>-2.250416041</v>
      </c>
      <c r="AB1492" s="168">
        <f t="array" ref="AB1492">iferror(index(K:K,match($A1492&amp;","&amp;index('Year Conversion'!$A:$A,match($C1492,'Year Conversion'!$B:$B,0)),$Y:$Y,0))-K1492,"")</f>
        <v>-0.3701848495</v>
      </c>
      <c r="AC1492" s="168" t="str">
        <f t="shared" si="7"/>
        <v>MEM,2016-17</v>
      </c>
    </row>
    <row r="1493">
      <c r="A1493" s="161" t="str">
        <f>IFERROR(__xludf.DUMMYFUNCTION("""COMPUTED_VALUE"""),"vujacsa01")</f>
        <v>vujacsa01</v>
      </c>
      <c r="B1493" s="161" t="str">
        <f>IFERROR(__xludf.DUMMYFUNCTION("""COMPUTED_VALUE"""),"Sasha Vujacic")</f>
        <v>Sasha Vujacic</v>
      </c>
      <c r="C1493" s="162" t="str">
        <f>IFERROR(__xludf.DUMMYFUNCTION("""COMPUTED_VALUE"""),"2016-17")</f>
        <v>2016-17</v>
      </c>
      <c r="D1493" s="163" t="str">
        <f>IFERROR(__xludf.DUMMYFUNCTION("""COMPUTED_VALUE"""),"NYK")</f>
        <v>NYK</v>
      </c>
      <c r="E1493" s="164" t="str">
        <f>IFERROR(__xludf.DUMMYFUNCTION("""COMPUTED_VALUE"""),"Movement Shooter")</f>
        <v>Movement Shooter</v>
      </c>
      <c r="F1493" s="164">
        <f>IFERROR(__xludf.DUMMYFUNCTION("""COMPUTED_VALUE"""),408.228333333333)</f>
        <v>408.2283333</v>
      </c>
      <c r="G1493" s="163">
        <f>IFERROR(__xludf.DUMMYFUNCTION("""COMPUTED_VALUE"""),42.0)</f>
        <v>42</v>
      </c>
      <c r="H1493" s="163" t="str">
        <f>IFERROR(__xludf.DUMMYFUNCTION("""COMPUTED_VALUE"""),"SG")</f>
        <v>SG</v>
      </c>
      <c r="I1493" s="163">
        <f>IFERROR(__xludf.DUMMYFUNCTION("""COMPUTED_VALUE"""),32.0)</f>
        <v>32</v>
      </c>
      <c r="J1493" s="165">
        <f>IFERROR(__xludf.DUMMYFUNCTION("""COMPUTED_VALUE"""),-0.569730758538895)</f>
        <v>-0.5697307585</v>
      </c>
      <c r="K1493" s="165">
        <f>IFERROR(__xludf.DUMMYFUNCTION("""COMPUTED_VALUE"""),-0.044581180704692)</f>
        <v>-0.0445811807</v>
      </c>
      <c r="L1493" s="165">
        <f>IFERROR(__xludf.DUMMYFUNCTION("""COMPUTED_VALUE"""),-0.525149577834203)</f>
        <v>-0.5251495778</v>
      </c>
      <c r="M1493" s="166">
        <f t="shared" si="2"/>
        <v>0.4726194535</v>
      </c>
      <c r="N1493" s="167">
        <f t="shared" si="3"/>
        <v>9.719722222</v>
      </c>
      <c r="O1493" s="163">
        <f t="shared" ref="O1493:Q1493" si="1497">rank(I1493,I:I)</f>
        <v>359</v>
      </c>
      <c r="P1493" s="163">
        <f t="shared" si="1497"/>
        <v>1952</v>
      </c>
      <c r="Q1493" s="163">
        <f t="shared" si="1497"/>
        <v>1264</v>
      </c>
      <c r="R1493" s="163">
        <f>IFERROR(__xludf.DUMMYFUNCTION("RANK(M1493,filter(M:M,C:C=C1493))"),290.0)</f>
        <v>290</v>
      </c>
      <c r="S1493" s="161" t="b">
        <f t="shared" si="5"/>
        <v>0</v>
      </c>
      <c r="T1493" s="161" t="b">
        <f t="array" ref="T1493">index('Query Tool'!B:B,match(H1493,'Query Tool'!C:C,0))</f>
        <v>1</v>
      </c>
      <c r="U1493" s="161" t="b">
        <f t="array" ref="U1493">index('Query Tool'!B:B,match(C1493,'Query Tool'!C:C,0))</f>
        <v>0</v>
      </c>
      <c r="V1493" s="161" t="b">
        <f>F1493&gt;='Query Tool'!C$32</f>
        <v>0</v>
      </c>
      <c r="W1493" s="161" t="b">
        <f t="array" ref="W1493">index(Dropdowns!B:B,match(I1493,Dropdowns!A:A,0))</f>
        <v>1</v>
      </c>
      <c r="X1493" s="161" t="b">
        <f t="array" ref="X1493">index('Query Tool'!B:B,match(D1493,'Query Tool'!C:C,0))</f>
        <v>1</v>
      </c>
      <c r="Y1493" s="161" t="str">
        <f t="shared" si="6"/>
        <v>vujacsa01,2016-17</v>
      </c>
      <c r="Z1493" s="168" t="str">
        <f t="array" ref="Z1493">iferror(index(I:I,match($A1493&amp;","&amp;index('Year Conversion'!$A:$A,match($C1493,'Year Conversion'!$B:$B,0)),$Y:$Y,0))-I1493,"")</f>
        <v/>
      </c>
      <c r="AA1493" s="168" t="str">
        <f t="array" ref="AA1493">iferror(index(J:J,match($A1493&amp;","&amp;index('Year Conversion'!$A:$A,match($C1493,'Year Conversion'!$B:$B,0)),$Y:$Y,0))-J1493,"")</f>
        <v/>
      </c>
      <c r="AB1493" s="168" t="str">
        <f t="array" ref="AB1493">iferror(index(K:K,match($A1493&amp;","&amp;index('Year Conversion'!$A:$A,match($C1493,'Year Conversion'!$B:$B,0)),$Y:$Y,0))-K1493,"")</f>
        <v/>
      </c>
      <c r="AC1493" s="168" t="str">
        <f t="shared" si="7"/>
        <v>NYK,2016-17</v>
      </c>
    </row>
    <row r="1494">
      <c r="A1494" s="161" t="str">
        <f>IFERROR(__xludf.DUMMYFUNCTION("""COMPUTED_VALUE"""),"udrihbe01")</f>
        <v>udrihbe01</v>
      </c>
      <c r="B1494" s="161" t="str">
        <f>IFERROR(__xludf.DUMMYFUNCTION("""COMPUTED_VALUE"""),"Beno Udrih")</f>
        <v>Beno Udrih</v>
      </c>
      <c r="C1494" s="162" t="str">
        <f>IFERROR(__xludf.DUMMYFUNCTION("""COMPUTED_VALUE"""),"2016-17")</f>
        <v>2016-17</v>
      </c>
      <c r="D1494" s="163" t="str">
        <f>IFERROR(__xludf.DUMMYFUNCTION("""COMPUTED_VALUE"""),"DET")</f>
        <v>DET</v>
      </c>
      <c r="E1494" s="164" t="str">
        <f>IFERROR(__xludf.DUMMYFUNCTION("""COMPUTED_VALUE"""),"Slasher")</f>
        <v>Slasher</v>
      </c>
      <c r="F1494" s="164">
        <f>IFERROR(__xludf.DUMMYFUNCTION("""COMPUTED_VALUE"""),560.18)</f>
        <v>560.18</v>
      </c>
      <c r="G1494" s="163">
        <f>IFERROR(__xludf.DUMMYFUNCTION("""COMPUTED_VALUE"""),39.0)</f>
        <v>39</v>
      </c>
      <c r="H1494" s="163" t="str">
        <f>IFERROR(__xludf.DUMMYFUNCTION("""COMPUTED_VALUE"""),"PG")</f>
        <v>PG</v>
      </c>
      <c r="I1494" s="163">
        <f>IFERROR(__xludf.DUMMYFUNCTION("""COMPUTED_VALUE"""),34.0)</f>
        <v>34</v>
      </c>
      <c r="J1494" s="165">
        <f>IFERROR(__xludf.DUMMYFUNCTION("""COMPUTED_VALUE"""),0.21362186673726)</f>
        <v>0.2136218667</v>
      </c>
      <c r="K1494" s="165">
        <f>IFERROR(__xludf.DUMMYFUNCTION("""COMPUTED_VALUE"""),0.328016222939065)</f>
        <v>0.3280162229</v>
      </c>
      <c r="L1494" s="165">
        <f>IFERROR(__xludf.DUMMYFUNCTION("""COMPUTED_VALUE"""),-0.114394356201805)</f>
        <v>-0.1143943562</v>
      </c>
      <c r="M1494" s="166">
        <f t="shared" si="2"/>
        <v>0.9442837877</v>
      </c>
      <c r="N1494" s="167">
        <f t="shared" si="3"/>
        <v>14.36358974</v>
      </c>
      <c r="O1494" s="163">
        <f t="shared" ref="O1494:Q1494" si="1498">rank(I1494,I:I)</f>
        <v>164</v>
      </c>
      <c r="P1494" s="163">
        <f t="shared" si="1498"/>
        <v>1075</v>
      </c>
      <c r="Q1494" s="163">
        <f t="shared" si="1498"/>
        <v>884</v>
      </c>
      <c r="R1494" s="163">
        <f>IFERROR(__xludf.DUMMYFUNCTION("RANK(M1494,filter(M:M,C:C=C1494))"),228.0)</f>
        <v>228</v>
      </c>
      <c r="S1494" s="161" t="b">
        <f t="shared" si="5"/>
        <v>0</v>
      </c>
      <c r="T1494" s="161" t="b">
        <f t="array" ref="T1494">index('Query Tool'!B:B,match(H1494,'Query Tool'!C:C,0))</f>
        <v>1</v>
      </c>
      <c r="U1494" s="161" t="b">
        <f t="array" ref="U1494">index('Query Tool'!B:B,match(C1494,'Query Tool'!C:C,0))</f>
        <v>0</v>
      </c>
      <c r="V1494" s="161" t="b">
        <f>F1494&gt;='Query Tool'!C$32</f>
        <v>1</v>
      </c>
      <c r="W1494" s="161" t="b">
        <f t="array" ref="W1494">index(Dropdowns!B:B,match(I1494,Dropdowns!A:A,0))</f>
        <v>1</v>
      </c>
      <c r="X1494" s="161" t="b">
        <f t="array" ref="X1494">index('Query Tool'!B:B,match(D1494,'Query Tool'!C:C,0))</f>
        <v>1</v>
      </c>
      <c r="Y1494" s="161" t="str">
        <f t="shared" si="6"/>
        <v>udrihbe01,2016-17</v>
      </c>
      <c r="Z1494" s="168" t="str">
        <f t="array" ref="Z1494">iferror(index(I:I,match($A1494&amp;","&amp;index('Year Conversion'!$A:$A,match($C1494,'Year Conversion'!$B:$B,0)),$Y:$Y,0))-I1494,"")</f>
        <v/>
      </c>
      <c r="AA1494" s="168" t="str">
        <f t="array" ref="AA1494">iferror(index(J:J,match($A1494&amp;","&amp;index('Year Conversion'!$A:$A,match($C1494,'Year Conversion'!$B:$B,0)),$Y:$Y,0))-J1494,"")</f>
        <v/>
      </c>
      <c r="AB1494" s="168" t="str">
        <f t="array" ref="AB1494">iferror(index(K:K,match($A1494&amp;","&amp;index('Year Conversion'!$A:$A,match($C1494,'Year Conversion'!$B:$B,0)),$Y:$Y,0))-K1494,"")</f>
        <v/>
      </c>
      <c r="AC1494" s="168" t="str">
        <f t="shared" si="7"/>
        <v>DET,2016-17</v>
      </c>
    </row>
    <row r="1495">
      <c r="A1495" s="161" t="str">
        <f>IFERROR(__xludf.DUMMYFUNCTION("""COMPUTED_VALUE"""),"varejan01")</f>
        <v>varejan01</v>
      </c>
      <c r="B1495" s="161" t="str">
        <f>IFERROR(__xludf.DUMMYFUNCTION("""COMPUTED_VALUE"""),"Anderson Varejao")</f>
        <v>Anderson Varejao</v>
      </c>
      <c r="C1495" s="162" t="str">
        <f>IFERROR(__xludf.DUMMYFUNCTION("""COMPUTED_VALUE"""),"2016-17")</f>
        <v>2016-17</v>
      </c>
      <c r="D1495" s="163" t="str">
        <f>IFERROR(__xludf.DUMMYFUNCTION("""COMPUTED_VALUE"""),"GSW")</f>
        <v>GSW</v>
      </c>
      <c r="E1495" s="164" t="str">
        <f>IFERROR(__xludf.DUMMYFUNCTION("""COMPUTED_VALUE"""),"Roll + Cut Big")</f>
        <v>Roll + Cut Big</v>
      </c>
      <c r="F1495" s="164">
        <f>IFERROR(__xludf.DUMMYFUNCTION("""COMPUTED_VALUE"""),91.8616666666667)</f>
        <v>91.86166667</v>
      </c>
      <c r="G1495" s="163">
        <f>IFERROR(__xludf.DUMMYFUNCTION("""COMPUTED_VALUE"""),14.0)</f>
        <v>14</v>
      </c>
      <c r="H1495" s="163" t="str">
        <f>IFERROR(__xludf.DUMMYFUNCTION("""COMPUTED_VALUE"""),"C")</f>
        <v>C</v>
      </c>
      <c r="I1495" s="163">
        <f>IFERROR(__xludf.DUMMYFUNCTION("""COMPUTED_VALUE"""),34.0)</f>
        <v>34</v>
      </c>
      <c r="J1495" s="165">
        <f>IFERROR(__xludf.DUMMYFUNCTION("""COMPUTED_VALUE"""),-2.29093607723005)</f>
        <v>-2.290936077</v>
      </c>
      <c r="K1495" s="165">
        <f>IFERROR(__xludf.DUMMYFUNCTION("""COMPUTED_VALUE"""),-0.913045036551106)</f>
        <v>-0.9130450366</v>
      </c>
      <c r="L1495" s="165">
        <f>IFERROR(__xludf.DUMMYFUNCTION("""COMPUTED_VALUE"""),-1.37789104067894)</f>
        <v>-1.377891041</v>
      </c>
      <c r="M1495" s="166">
        <f t="shared" si="2"/>
        <v>0.0007628683974</v>
      </c>
      <c r="N1495" s="167">
        <f t="shared" si="3"/>
        <v>6.561547619</v>
      </c>
      <c r="O1495" s="163">
        <f t="shared" ref="O1495:Q1495" si="1499">rank(I1495,I:I)</f>
        <v>164</v>
      </c>
      <c r="P1495" s="163">
        <f t="shared" si="1499"/>
        <v>3651</v>
      </c>
      <c r="Q1495" s="163">
        <f t="shared" si="1499"/>
        <v>2706</v>
      </c>
      <c r="R1495" s="163">
        <f>IFERROR(__xludf.DUMMYFUNCTION("RANK(M1495,filter(M:M,C:C=C1495))"),447.0)</f>
        <v>447</v>
      </c>
      <c r="S1495" s="161" t="b">
        <f t="shared" si="5"/>
        <v>0</v>
      </c>
      <c r="T1495" s="161" t="b">
        <f t="array" ref="T1495">index('Query Tool'!B:B,match(H1495,'Query Tool'!C:C,0))</f>
        <v>1</v>
      </c>
      <c r="U1495" s="161" t="b">
        <f t="array" ref="U1495">index('Query Tool'!B:B,match(C1495,'Query Tool'!C:C,0))</f>
        <v>0</v>
      </c>
      <c r="V1495" s="161" t="b">
        <f>F1495&gt;='Query Tool'!C$32</f>
        <v>0</v>
      </c>
      <c r="W1495" s="161" t="b">
        <f t="array" ref="W1495">index(Dropdowns!B:B,match(I1495,Dropdowns!A:A,0))</f>
        <v>1</v>
      </c>
      <c r="X1495" s="161" t="b">
        <f t="array" ref="X1495">index('Query Tool'!B:B,match(D1495,'Query Tool'!C:C,0))</f>
        <v>1</v>
      </c>
      <c r="Y1495" s="161" t="str">
        <f t="shared" si="6"/>
        <v>varejan01,2016-17</v>
      </c>
      <c r="Z1495" s="168" t="str">
        <f t="array" ref="Z1495">iferror(index(I:I,match($A1495&amp;","&amp;index('Year Conversion'!$A:$A,match($C1495,'Year Conversion'!$B:$B,0)),$Y:$Y,0))-I1495,"")</f>
        <v/>
      </c>
      <c r="AA1495" s="168" t="str">
        <f t="array" ref="AA1495">iferror(index(J:J,match($A1495&amp;","&amp;index('Year Conversion'!$A:$A,match($C1495,'Year Conversion'!$B:$B,0)),$Y:$Y,0))-J1495,"")</f>
        <v/>
      </c>
      <c r="AB1495" s="168" t="str">
        <f t="array" ref="AB1495">iferror(index(K:K,match($A1495&amp;","&amp;index('Year Conversion'!$A:$A,match($C1495,'Year Conversion'!$B:$B,0)),$Y:$Y,0))-K1495,"")</f>
        <v/>
      </c>
      <c r="AC1495" s="168" t="str">
        <f t="shared" si="7"/>
        <v>GSW,2016-17</v>
      </c>
    </row>
    <row r="1496">
      <c r="A1496" s="161" t="str">
        <f>IFERROR(__xludf.DUMMYFUNCTION("""COMPUTED_VALUE"""),"arizatr01")</f>
        <v>arizatr01</v>
      </c>
      <c r="B1496" s="161" t="str">
        <f>IFERROR(__xludf.DUMMYFUNCTION("""COMPUTED_VALUE"""),"Trevor Ariza")</f>
        <v>Trevor Ariza</v>
      </c>
      <c r="C1496" s="162" t="str">
        <f>IFERROR(__xludf.DUMMYFUNCTION("""COMPUTED_VALUE"""),"2016-17")</f>
        <v>2016-17</v>
      </c>
      <c r="D1496" s="163" t="str">
        <f>IFERROR(__xludf.DUMMYFUNCTION("""COMPUTED_VALUE"""),"HOU")</f>
        <v>HOU</v>
      </c>
      <c r="E1496" s="164" t="str">
        <f>IFERROR(__xludf.DUMMYFUNCTION("""COMPUTED_VALUE"""),"Stationary Shooter")</f>
        <v>Stationary Shooter</v>
      </c>
      <c r="F1496" s="164">
        <f>IFERROR(__xludf.DUMMYFUNCTION("""COMPUTED_VALUE"""),2772.61)</f>
        <v>2772.61</v>
      </c>
      <c r="G1496" s="163">
        <f>IFERROR(__xludf.DUMMYFUNCTION("""COMPUTED_VALUE"""),80.0)</f>
        <v>80</v>
      </c>
      <c r="H1496" s="163" t="str">
        <f>IFERROR(__xludf.DUMMYFUNCTION("""COMPUTED_VALUE"""),"SF")</f>
        <v>SF</v>
      </c>
      <c r="I1496" s="163">
        <f>IFERROR(__xludf.DUMMYFUNCTION("""COMPUTED_VALUE"""),31.0)</f>
        <v>31</v>
      </c>
      <c r="J1496" s="165">
        <f>IFERROR(__xludf.DUMMYFUNCTION("""COMPUTED_VALUE"""),1.7939259001625)</f>
        <v>1.7939259</v>
      </c>
      <c r="K1496" s="165">
        <f>IFERROR(__xludf.DUMMYFUNCTION("""COMPUTED_VALUE"""),1.09536571696884)</f>
        <v>1.095365717</v>
      </c>
      <c r="L1496" s="165">
        <f>IFERROR(__xludf.DUMMYFUNCTION("""COMPUTED_VALUE"""),0.698560183193657)</f>
        <v>0.6985601832</v>
      </c>
      <c r="M1496" s="166">
        <f t="shared" si="2"/>
        <v>7.612852458</v>
      </c>
      <c r="N1496" s="167">
        <f t="shared" si="3"/>
        <v>34.657625</v>
      </c>
      <c r="O1496" s="163">
        <f t="shared" ref="O1496:Q1496" si="1500">rank(I1496,I:I)</f>
        <v>490</v>
      </c>
      <c r="P1496" s="163">
        <f t="shared" si="1500"/>
        <v>375</v>
      </c>
      <c r="Q1496" s="163">
        <f t="shared" si="1500"/>
        <v>454</v>
      </c>
      <c r="R1496" s="163">
        <f>IFERROR(__xludf.DUMMYFUNCTION("RANK(M1496,filter(M:M,C:C=C1496))"),27.0)</f>
        <v>27</v>
      </c>
      <c r="S1496" s="161" t="b">
        <f t="shared" si="5"/>
        <v>0</v>
      </c>
      <c r="T1496" s="161" t="b">
        <f t="array" ref="T1496">index('Query Tool'!B:B,match(H1496,'Query Tool'!C:C,0))</f>
        <v>1</v>
      </c>
      <c r="U1496" s="161" t="b">
        <f t="array" ref="U1496">index('Query Tool'!B:B,match(C1496,'Query Tool'!C:C,0))</f>
        <v>0</v>
      </c>
      <c r="V1496" s="161" t="b">
        <f>F1496&gt;='Query Tool'!C$32</f>
        <v>1</v>
      </c>
      <c r="W1496" s="161" t="b">
        <f t="array" ref="W1496">index(Dropdowns!B:B,match(I1496,Dropdowns!A:A,0))</f>
        <v>1</v>
      </c>
      <c r="X1496" s="161" t="b">
        <f t="array" ref="X1496">index('Query Tool'!B:B,match(D1496,'Query Tool'!C:C,0))</f>
        <v>1</v>
      </c>
      <c r="Y1496" s="161" t="str">
        <f t="shared" si="6"/>
        <v>arizatr01,2016-17</v>
      </c>
      <c r="Z1496" s="168">
        <f t="array" ref="Z1496">iferror(index(I:I,match($A1496&amp;","&amp;index('Year Conversion'!$A:$A,match($C1496,'Year Conversion'!$B:$B,0)),$Y:$Y,0))-I1496,"")</f>
        <v>1</v>
      </c>
      <c r="AA1496" s="168">
        <f t="array" ref="AA1496">iferror(index(J:J,match($A1496&amp;","&amp;index('Year Conversion'!$A:$A,match($C1496,'Year Conversion'!$B:$B,0)),$Y:$Y,0))-J1496,"")</f>
        <v>-1.288655715</v>
      </c>
      <c r="AB1496" s="168">
        <f t="array" ref="AB1496">iferror(index(K:K,match($A1496&amp;","&amp;index('Year Conversion'!$A:$A,match($C1496,'Year Conversion'!$B:$B,0)),$Y:$Y,0))-K1496,"")</f>
        <v>-1.131126776</v>
      </c>
      <c r="AC1496" s="168" t="str">
        <f t="shared" si="7"/>
        <v>HOU,2016-17</v>
      </c>
    </row>
    <row r="1497">
      <c r="A1497" s="161" t="str">
        <f>IFERROR(__xludf.DUMMYFUNCTION("""COMPUTED_VALUE"""),"bogutan01")</f>
        <v>bogutan01</v>
      </c>
      <c r="B1497" s="161" t="str">
        <f>IFERROR(__xludf.DUMMYFUNCTION("""COMPUTED_VALUE"""),"Andrew Bogut")</f>
        <v>Andrew Bogut</v>
      </c>
      <c r="C1497" s="162" t="str">
        <f>IFERROR(__xludf.DUMMYFUNCTION("""COMPUTED_VALUE"""),"2016-17")</f>
        <v>2016-17</v>
      </c>
      <c r="D1497" s="163" t="str">
        <f>IFERROR(__xludf.DUMMYFUNCTION("""COMPUTED_VALUE"""),"TOT")</f>
        <v>TOT</v>
      </c>
      <c r="E1497" s="164" t="str">
        <f>IFERROR(__xludf.DUMMYFUNCTION("""COMPUTED_VALUE"""),"Roll + Cut Big")</f>
        <v>Roll + Cut Big</v>
      </c>
      <c r="F1497" s="164">
        <f>IFERROR(__xludf.DUMMYFUNCTION("""COMPUTED_VALUE"""),583.183333333333)</f>
        <v>583.1833333</v>
      </c>
      <c r="G1497" s="163">
        <f>IFERROR(__xludf.DUMMYFUNCTION("""COMPUTED_VALUE"""),27.0)</f>
        <v>27</v>
      </c>
      <c r="H1497" s="163" t="str">
        <f>IFERROR(__xludf.DUMMYFUNCTION("""COMPUTED_VALUE"""),"C")</f>
        <v>C</v>
      </c>
      <c r="I1497" s="163">
        <f>IFERROR(__xludf.DUMMYFUNCTION("""COMPUTED_VALUE"""),32.0)</f>
        <v>32</v>
      </c>
      <c r="J1497" s="165">
        <f>IFERROR(__xludf.DUMMYFUNCTION("""COMPUTED_VALUE"""),0.596776517277973)</f>
        <v>0.5967765173</v>
      </c>
      <c r="K1497" s="165">
        <f>IFERROR(__xludf.DUMMYFUNCTION("""COMPUTED_VALUE"""),-3.53668960153199)</f>
        <v>-3.536689602</v>
      </c>
      <c r="L1497" s="165">
        <f>IFERROR(__xludf.DUMMYFUNCTION("""COMPUTED_VALUE"""),4.13346611880996)</f>
        <v>4.133466119</v>
      </c>
      <c r="M1497" s="166">
        <f t="shared" si="2"/>
        <v>1.133596649</v>
      </c>
      <c r="N1497" s="167">
        <f t="shared" si="3"/>
        <v>21.59938272</v>
      </c>
      <c r="O1497" s="163">
        <f t="shared" ref="O1497:Q1497" si="1501">rank(I1497,I:I)</f>
        <v>359</v>
      </c>
      <c r="P1497" s="163">
        <f t="shared" si="1501"/>
        <v>847</v>
      </c>
      <c r="Q1497" s="163">
        <f t="shared" si="1501"/>
        <v>4006</v>
      </c>
      <c r="R1497" s="163">
        <f>IFERROR(__xludf.DUMMYFUNCTION("RANK(M1497,filter(M:M,C:C=C1497))"),215.0)</f>
        <v>215</v>
      </c>
      <c r="S1497" s="161" t="b">
        <f t="shared" si="5"/>
        <v>0</v>
      </c>
      <c r="T1497" s="161" t="b">
        <f t="array" ref="T1497">index('Query Tool'!B:B,match(H1497,'Query Tool'!C:C,0))</f>
        <v>1</v>
      </c>
      <c r="U1497" s="161" t="b">
        <f t="array" ref="U1497">index('Query Tool'!B:B,match(C1497,'Query Tool'!C:C,0))</f>
        <v>0</v>
      </c>
      <c r="V1497" s="161" t="b">
        <f>F1497&gt;='Query Tool'!C$32</f>
        <v>1</v>
      </c>
      <c r="W1497" s="161" t="b">
        <f t="array" ref="W1497">index(Dropdowns!B:B,match(I1497,Dropdowns!A:A,0))</f>
        <v>1</v>
      </c>
      <c r="X1497" s="161" t="b">
        <f t="array" ref="X1497">index('Query Tool'!B:B,match(D1497,'Query Tool'!C:C,0))</f>
        <v>1</v>
      </c>
      <c r="Y1497" s="161" t="str">
        <f t="shared" si="6"/>
        <v>bogutan01,2016-17</v>
      </c>
      <c r="Z1497" s="168">
        <f t="array" ref="Z1497">iferror(index(I:I,match($A1497&amp;","&amp;index('Year Conversion'!$A:$A,match($C1497,'Year Conversion'!$B:$B,0)),$Y:$Y,0))-I1497,"")</f>
        <v>1</v>
      </c>
      <c r="AA1497" s="168">
        <f t="array" ref="AA1497">iferror(index(J:J,match($A1497&amp;","&amp;index('Year Conversion'!$A:$A,match($C1497,'Year Conversion'!$B:$B,0)),$Y:$Y,0))-J1497,"")</f>
        <v>-2.097437527</v>
      </c>
      <c r="AB1497" s="168">
        <f t="array" ref="AB1497">iferror(index(K:K,match($A1497&amp;","&amp;index('Year Conversion'!$A:$A,match($C1497,'Year Conversion'!$B:$B,0)),$Y:$Y,0))-K1497,"")</f>
        <v>0.928072594</v>
      </c>
      <c r="AC1497" s="168" t="str">
        <f t="shared" si="7"/>
        <v>TOT,2016-17</v>
      </c>
    </row>
    <row r="1498">
      <c r="A1498" s="161" t="str">
        <f>IFERROR(__xludf.DUMMYFUNCTION("""COMPUTED_VALUE"""),"willima02")</f>
        <v>willima02</v>
      </c>
      <c r="B1498" s="161" t="str">
        <f>IFERROR(__xludf.DUMMYFUNCTION("""COMPUTED_VALUE"""),"Marvin Williams")</f>
        <v>Marvin Williams</v>
      </c>
      <c r="C1498" s="162" t="str">
        <f>IFERROR(__xludf.DUMMYFUNCTION("""COMPUTED_VALUE"""),"2016-17")</f>
        <v>2016-17</v>
      </c>
      <c r="D1498" s="163" t="str">
        <f>IFERROR(__xludf.DUMMYFUNCTION("""COMPUTED_VALUE"""),"CHO")</f>
        <v>CHO</v>
      </c>
      <c r="E1498" s="164" t="str">
        <f>IFERROR(__xludf.DUMMYFUNCTION("""COMPUTED_VALUE"""),"Movement Shooter")</f>
        <v>Movement Shooter</v>
      </c>
      <c r="F1498" s="164">
        <f>IFERROR(__xludf.DUMMYFUNCTION("""COMPUTED_VALUE"""),2294.54333333333)</f>
        <v>2294.543333</v>
      </c>
      <c r="G1498" s="163">
        <f>IFERROR(__xludf.DUMMYFUNCTION("""COMPUTED_VALUE"""),76.0)</f>
        <v>76</v>
      </c>
      <c r="H1498" s="163" t="str">
        <f>IFERROR(__xludf.DUMMYFUNCTION("""COMPUTED_VALUE"""),"PF")</f>
        <v>PF</v>
      </c>
      <c r="I1498" s="163">
        <f>IFERROR(__xludf.DUMMYFUNCTION("""COMPUTED_VALUE"""),30.0)</f>
        <v>30</v>
      </c>
      <c r="J1498" s="165">
        <f>IFERROR(__xludf.DUMMYFUNCTION("""COMPUTED_VALUE"""),0.241423406596146)</f>
        <v>0.2414234066</v>
      </c>
      <c r="K1498" s="165">
        <f>IFERROR(__xludf.DUMMYFUNCTION("""COMPUTED_VALUE"""),-0.580572051076777)</f>
        <v>-0.5805720511</v>
      </c>
      <c r="L1498" s="165">
        <f>IFERROR(__xludf.DUMMYFUNCTION("""COMPUTED_VALUE"""),0.821995457672923)</f>
        <v>0.8219954577</v>
      </c>
      <c r="M1498" s="166">
        <f t="shared" si="2"/>
        <v>3.910862544</v>
      </c>
      <c r="N1498" s="167">
        <f t="shared" si="3"/>
        <v>30.19135965</v>
      </c>
      <c r="O1498" s="163">
        <f t="shared" ref="O1498:Q1498" si="1502">rank(I1498,I:I)</f>
        <v>655</v>
      </c>
      <c r="P1498" s="163">
        <f t="shared" si="1502"/>
        <v>1059</v>
      </c>
      <c r="Q1498" s="163">
        <f t="shared" si="1502"/>
        <v>2233</v>
      </c>
      <c r="R1498" s="163">
        <f>IFERROR(__xludf.DUMMYFUNCTION("RANK(M1498,filter(M:M,C:C=C1498))"),86.0)</f>
        <v>86</v>
      </c>
      <c r="S1498" s="161" t="b">
        <f t="shared" si="5"/>
        <v>0</v>
      </c>
      <c r="T1498" s="161" t="b">
        <f t="array" ref="T1498">index('Query Tool'!B:B,match(H1498,'Query Tool'!C:C,0))</f>
        <v>1</v>
      </c>
      <c r="U1498" s="161" t="b">
        <f t="array" ref="U1498">index('Query Tool'!B:B,match(C1498,'Query Tool'!C:C,0))</f>
        <v>0</v>
      </c>
      <c r="V1498" s="161" t="b">
        <f>F1498&gt;='Query Tool'!C$32</f>
        <v>1</v>
      </c>
      <c r="W1498" s="161" t="b">
        <f t="array" ref="W1498">index(Dropdowns!B:B,match(I1498,Dropdowns!A:A,0))</f>
        <v>1</v>
      </c>
      <c r="X1498" s="161" t="b">
        <f t="array" ref="X1498">index('Query Tool'!B:B,match(D1498,'Query Tool'!C:C,0))</f>
        <v>1</v>
      </c>
      <c r="Y1498" s="161" t="str">
        <f t="shared" si="6"/>
        <v>willima02,2016-17</v>
      </c>
      <c r="Z1498" s="168">
        <f t="array" ref="Z1498">iferror(index(I:I,match($A1498&amp;","&amp;index('Year Conversion'!$A:$A,match($C1498,'Year Conversion'!$B:$B,0)),$Y:$Y,0))-I1498,"")</f>
        <v>1</v>
      </c>
      <c r="AA1498" s="168">
        <f t="array" ref="AA1498">iferror(index(J:J,match($A1498&amp;","&amp;index('Year Conversion'!$A:$A,match($C1498,'Year Conversion'!$B:$B,0)),$Y:$Y,0))-J1498,"")</f>
        <v>0.2308549349</v>
      </c>
      <c r="AB1498" s="168">
        <f t="array" ref="AB1498">iferror(index(K:K,match($A1498&amp;","&amp;index('Year Conversion'!$A:$A,match($C1498,'Year Conversion'!$B:$B,0)),$Y:$Y,0))-K1498,"")</f>
        <v>0.2588572076</v>
      </c>
      <c r="AC1498" s="168" t="str">
        <f t="shared" si="7"/>
        <v>CHO,2016-17</v>
      </c>
    </row>
    <row r="1499">
      <c r="A1499" s="161" t="str">
        <f>IFERROR(__xludf.DUMMYFUNCTION("""COMPUTED_VALUE"""),"paulch01")</f>
        <v>paulch01</v>
      </c>
      <c r="B1499" s="161" t="str">
        <f>IFERROR(__xludf.DUMMYFUNCTION("""COMPUTED_VALUE"""),"Chris Paul")</f>
        <v>Chris Paul</v>
      </c>
      <c r="C1499" s="162" t="str">
        <f>IFERROR(__xludf.DUMMYFUNCTION("""COMPUTED_VALUE"""),"2016-17")</f>
        <v>2016-17</v>
      </c>
      <c r="D1499" s="163" t="str">
        <f>IFERROR(__xludf.DUMMYFUNCTION("""COMPUTED_VALUE"""),"LAC")</f>
        <v>LAC</v>
      </c>
      <c r="E1499" s="164" t="str">
        <f>IFERROR(__xludf.DUMMYFUNCTION("""COMPUTED_VALUE"""),"Shot Creator")</f>
        <v>Shot Creator</v>
      </c>
      <c r="F1499" s="164">
        <f>IFERROR(__xludf.DUMMYFUNCTION("""COMPUTED_VALUE"""),1920.82333333333)</f>
        <v>1920.823333</v>
      </c>
      <c r="G1499" s="163">
        <f>IFERROR(__xludf.DUMMYFUNCTION("""COMPUTED_VALUE"""),61.0)</f>
        <v>61</v>
      </c>
      <c r="H1499" s="163" t="str">
        <f>IFERROR(__xludf.DUMMYFUNCTION("""COMPUTED_VALUE"""),"PG")</f>
        <v>PG</v>
      </c>
      <c r="I1499" s="163">
        <f>IFERROR(__xludf.DUMMYFUNCTION("""COMPUTED_VALUE"""),31.0)</f>
        <v>31</v>
      </c>
      <c r="J1499" s="165">
        <f>IFERROR(__xludf.DUMMYFUNCTION("""COMPUTED_VALUE"""),6.19098478402205)</f>
        <v>6.190984784</v>
      </c>
      <c r="K1499" s="165">
        <f>IFERROR(__xludf.DUMMYFUNCTION("""COMPUTED_VALUE"""),4.60211830219157)</f>
        <v>4.602118302</v>
      </c>
      <c r="L1499" s="165">
        <f>IFERROR(__xludf.DUMMYFUNCTION("""COMPUTED_VALUE"""),1.58886648183048)</f>
        <v>1.588866482</v>
      </c>
      <c r="M1499" s="166">
        <f t="shared" si="2"/>
        <v>10.57726873</v>
      </c>
      <c r="N1499" s="167">
        <f t="shared" si="3"/>
        <v>31.4889071</v>
      </c>
      <c r="O1499" s="163">
        <f t="shared" ref="O1499:Q1499" si="1503">rank(I1499,I:I)</f>
        <v>490</v>
      </c>
      <c r="P1499" s="163">
        <f t="shared" si="1503"/>
        <v>14</v>
      </c>
      <c r="Q1499" s="163">
        <f t="shared" si="1503"/>
        <v>40</v>
      </c>
      <c r="R1499" s="163">
        <f>IFERROR(__xludf.DUMMYFUNCTION("RANK(M1499,filter(M:M,C:C=C1499))"),12.0)</f>
        <v>12</v>
      </c>
      <c r="S1499" s="161" t="b">
        <f t="shared" si="5"/>
        <v>0</v>
      </c>
      <c r="T1499" s="161" t="b">
        <f t="array" ref="T1499">index('Query Tool'!B:B,match(H1499,'Query Tool'!C:C,0))</f>
        <v>1</v>
      </c>
      <c r="U1499" s="161" t="b">
        <f t="array" ref="U1499">index('Query Tool'!B:B,match(C1499,'Query Tool'!C:C,0))</f>
        <v>0</v>
      </c>
      <c r="V1499" s="161" t="b">
        <f>F1499&gt;='Query Tool'!C$32</f>
        <v>1</v>
      </c>
      <c r="W1499" s="161" t="b">
        <f t="array" ref="W1499">index(Dropdowns!B:B,match(I1499,Dropdowns!A:A,0))</f>
        <v>1</v>
      </c>
      <c r="X1499" s="161" t="b">
        <f t="array" ref="X1499">index('Query Tool'!B:B,match(D1499,'Query Tool'!C:C,0))</f>
        <v>1</v>
      </c>
      <c r="Y1499" s="161" t="str">
        <f t="shared" si="6"/>
        <v>paulch01,2016-17</v>
      </c>
      <c r="Z1499" s="168">
        <f t="array" ref="Z1499">iferror(index(I:I,match($A1499&amp;","&amp;index('Year Conversion'!$A:$A,match($C1499,'Year Conversion'!$B:$B,0)),$Y:$Y,0))-I1499,"")</f>
        <v>1</v>
      </c>
      <c r="AA1499" s="168">
        <f t="array" ref="AA1499">iferror(index(J:J,match($A1499&amp;","&amp;index('Year Conversion'!$A:$A,match($C1499,'Year Conversion'!$B:$B,0)),$Y:$Y,0))-J1499,"")</f>
        <v>-0.899190285</v>
      </c>
      <c r="AB1499" s="168">
        <f t="array" ref="AB1499">iferror(index(K:K,match($A1499&amp;","&amp;index('Year Conversion'!$A:$A,match($C1499,'Year Conversion'!$B:$B,0)),$Y:$Y,0))-K1499,"")</f>
        <v>-0.3230631597</v>
      </c>
      <c r="AC1499" s="168" t="str">
        <f t="shared" si="7"/>
        <v>LAC,2016-17</v>
      </c>
    </row>
    <row r="1500">
      <c r="A1500" s="161" t="str">
        <f>IFERROR(__xludf.DUMMYFUNCTION("""COMPUTED_VALUE"""),"feltora01")</f>
        <v>feltora01</v>
      </c>
      <c r="B1500" s="161" t="str">
        <f>IFERROR(__xludf.DUMMYFUNCTION("""COMPUTED_VALUE"""),"Raymond Felton")</f>
        <v>Raymond Felton</v>
      </c>
      <c r="C1500" s="162" t="str">
        <f>IFERROR(__xludf.DUMMYFUNCTION("""COMPUTED_VALUE"""),"2016-17")</f>
        <v>2016-17</v>
      </c>
      <c r="D1500" s="163" t="str">
        <f>IFERROR(__xludf.DUMMYFUNCTION("""COMPUTED_VALUE"""),"LAC")</f>
        <v>LAC</v>
      </c>
      <c r="E1500" s="164" t="str">
        <f>IFERROR(__xludf.DUMMYFUNCTION("""COMPUTED_VALUE"""),"Primary Ball Handler")</f>
        <v>Primary Ball Handler</v>
      </c>
      <c r="F1500" s="164">
        <f>IFERROR(__xludf.DUMMYFUNCTION("""COMPUTED_VALUE"""),1699.82833333333)</f>
        <v>1699.828333</v>
      </c>
      <c r="G1500" s="163">
        <f>IFERROR(__xludf.DUMMYFUNCTION("""COMPUTED_VALUE"""),80.0)</f>
        <v>80</v>
      </c>
      <c r="H1500" s="163" t="str">
        <f>IFERROR(__xludf.DUMMYFUNCTION("""COMPUTED_VALUE"""),"PG")</f>
        <v>PG</v>
      </c>
      <c r="I1500" s="163">
        <f>IFERROR(__xludf.DUMMYFUNCTION("""COMPUTED_VALUE"""),32.0)</f>
        <v>32</v>
      </c>
      <c r="J1500" s="165">
        <f>IFERROR(__xludf.DUMMYFUNCTION("""COMPUTED_VALUE"""),-2.03869113412296)</f>
        <v>-2.038691134</v>
      </c>
      <c r="K1500" s="165">
        <f>IFERROR(__xludf.DUMMYFUNCTION("""COMPUTED_VALUE"""),-1.45609766498032)</f>
        <v>-1.456097665</v>
      </c>
      <c r="L1500" s="165">
        <f>IFERROR(__xludf.DUMMYFUNCTION("""COMPUTED_VALUE"""),-0.582593469142637)</f>
        <v>-0.5825934691</v>
      </c>
      <c r="M1500" s="166">
        <f t="shared" si="2"/>
        <v>0.2976115046</v>
      </c>
      <c r="N1500" s="167">
        <f t="shared" si="3"/>
        <v>21.24785417</v>
      </c>
      <c r="O1500" s="163">
        <f t="shared" ref="O1500:Q1500" si="1504">rank(I1500,I:I)</f>
        <v>359</v>
      </c>
      <c r="P1500" s="163">
        <f t="shared" si="1504"/>
        <v>3510</v>
      </c>
      <c r="Q1500" s="163">
        <f t="shared" si="1504"/>
        <v>3306</v>
      </c>
      <c r="R1500" s="163">
        <f>IFERROR(__xludf.DUMMYFUNCTION("RANK(M1500,filter(M:M,C:C=C1500))"),318.0)</f>
        <v>318</v>
      </c>
      <c r="S1500" s="161" t="b">
        <f t="shared" si="5"/>
        <v>0</v>
      </c>
      <c r="T1500" s="161" t="b">
        <f t="array" ref="T1500">index('Query Tool'!B:B,match(H1500,'Query Tool'!C:C,0))</f>
        <v>1</v>
      </c>
      <c r="U1500" s="161" t="b">
        <f t="array" ref="U1500">index('Query Tool'!B:B,match(C1500,'Query Tool'!C:C,0))</f>
        <v>0</v>
      </c>
      <c r="V1500" s="161" t="b">
        <f>F1500&gt;='Query Tool'!C$32</f>
        <v>1</v>
      </c>
      <c r="W1500" s="161" t="b">
        <f t="array" ref="W1500">index(Dropdowns!B:B,match(I1500,Dropdowns!A:A,0))</f>
        <v>1</v>
      </c>
      <c r="X1500" s="161" t="b">
        <f t="array" ref="X1500">index('Query Tool'!B:B,match(D1500,'Query Tool'!C:C,0))</f>
        <v>1</v>
      </c>
      <c r="Y1500" s="161" t="str">
        <f t="shared" si="6"/>
        <v>feltora01,2016-17</v>
      </c>
      <c r="Z1500" s="168">
        <f t="array" ref="Z1500">iferror(index(I:I,match($A1500&amp;","&amp;index('Year Conversion'!$A:$A,match($C1500,'Year Conversion'!$B:$B,0)),$Y:$Y,0))-I1500,"")</f>
        <v>1</v>
      </c>
      <c r="AA1500" s="168">
        <f t="array" ref="AA1500">iferror(index(J:J,match($A1500&amp;","&amp;index('Year Conversion'!$A:$A,match($C1500,'Year Conversion'!$B:$B,0)),$Y:$Y,0))-J1500,"")</f>
        <v>1.347290777</v>
      </c>
      <c r="AB1500" s="168">
        <f t="array" ref="AB1500">iferror(index(K:K,match($A1500&amp;","&amp;index('Year Conversion'!$A:$A,match($C1500,'Year Conversion'!$B:$B,0)),$Y:$Y,0))-K1500,"")</f>
        <v>1.618696545</v>
      </c>
      <c r="AC1500" s="168" t="str">
        <f t="shared" si="7"/>
        <v>LAC,2016-17</v>
      </c>
    </row>
    <row r="1501">
      <c r="A1501" s="161" t="str">
        <f>IFERROR(__xludf.DUMMYFUNCTION("""COMPUTED_VALUE"""),"fryech01")</f>
        <v>fryech01</v>
      </c>
      <c r="B1501" s="161" t="str">
        <f>IFERROR(__xludf.DUMMYFUNCTION("""COMPUTED_VALUE"""),"Channing Frye")</f>
        <v>Channing Frye</v>
      </c>
      <c r="C1501" s="162" t="str">
        <f>IFERROR(__xludf.DUMMYFUNCTION("""COMPUTED_VALUE"""),"2016-17")</f>
        <v>2016-17</v>
      </c>
      <c r="D1501" s="163" t="str">
        <f>IFERROR(__xludf.DUMMYFUNCTION("""COMPUTED_VALUE"""),"CLE")</f>
        <v>CLE</v>
      </c>
      <c r="E1501" s="164" t="str">
        <f>IFERROR(__xludf.DUMMYFUNCTION("""COMPUTED_VALUE"""),"Stretch Big")</f>
        <v>Stretch Big</v>
      </c>
      <c r="F1501" s="164">
        <f>IFERROR(__xludf.DUMMYFUNCTION("""COMPUTED_VALUE"""),1397.83166666667)</f>
        <v>1397.831667</v>
      </c>
      <c r="G1501" s="163">
        <f>IFERROR(__xludf.DUMMYFUNCTION("""COMPUTED_VALUE"""),74.0)</f>
        <v>74</v>
      </c>
      <c r="H1501" s="163" t="str">
        <f>IFERROR(__xludf.DUMMYFUNCTION("""COMPUTED_VALUE"""),"C")</f>
        <v>C</v>
      </c>
      <c r="I1501" s="163">
        <f>IFERROR(__xludf.DUMMYFUNCTION("""COMPUTED_VALUE"""),33.0)</f>
        <v>33</v>
      </c>
      <c r="J1501" s="165">
        <f>IFERROR(__xludf.DUMMYFUNCTION("""COMPUTED_VALUE"""),1.17006378329746)</f>
        <v>1.170063783</v>
      </c>
      <c r="K1501" s="165">
        <f>IFERROR(__xludf.DUMMYFUNCTION("""COMPUTED_VALUE"""),1.0826926336949)</f>
        <v>1.082692634</v>
      </c>
      <c r="L1501" s="165">
        <f>IFERROR(__xludf.DUMMYFUNCTION("""COMPUTED_VALUE"""),0.0873711496025611)</f>
        <v>0.0873711496</v>
      </c>
      <c r="M1501" s="166">
        <f t="shared" si="2"/>
        <v>3.255570769</v>
      </c>
      <c r="N1501" s="167">
        <f t="shared" si="3"/>
        <v>18.88961712</v>
      </c>
      <c r="O1501" s="163">
        <f t="shared" ref="O1501:Q1501" si="1505">rank(I1501,I:I)</f>
        <v>246</v>
      </c>
      <c r="P1501" s="163">
        <f t="shared" si="1505"/>
        <v>582</v>
      </c>
      <c r="Q1501" s="163">
        <f t="shared" si="1505"/>
        <v>462</v>
      </c>
      <c r="R1501" s="163">
        <f>IFERROR(__xludf.DUMMYFUNCTION("RANK(M1501,filter(M:M,C:C=C1501))"),105.0)</f>
        <v>105</v>
      </c>
      <c r="S1501" s="161" t="b">
        <f t="shared" si="5"/>
        <v>0</v>
      </c>
      <c r="T1501" s="161" t="b">
        <f t="array" ref="T1501">index('Query Tool'!B:B,match(H1501,'Query Tool'!C:C,0))</f>
        <v>1</v>
      </c>
      <c r="U1501" s="161" t="b">
        <f t="array" ref="U1501">index('Query Tool'!B:B,match(C1501,'Query Tool'!C:C,0))</f>
        <v>0</v>
      </c>
      <c r="V1501" s="161" t="b">
        <f>F1501&gt;='Query Tool'!C$32</f>
        <v>1</v>
      </c>
      <c r="W1501" s="161" t="b">
        <f t="array" ref="W1501">index(Dropdowns!B:B,match(I1501,Dropdowns!A:A,0))</f>
        <v>1</v>
      </c>
      <c r="X1501" s="161" t="b">
        <f t="array" ref="X1501">index('Query Tool'!B:B,match(D1501,'Query Tool'!C:C,0))</f>
        <v>1</v>
      </c>
      <c r="Y1501" s="161" t="str">
        <f t="shared" si="6"/>
        <v>fryech01,2016-17</v>
      </c>
      <c r="Z1501" s="168">
        <f t="array" ref="Z1501">iferror(index(I:I,match($A1501&amp;","&amp;index('Year Conversion'!$A:$A,match($C1501,'Year Conversion'!$B:$B,0)),$Y:$Y,0))-I1501,"")</f>
        <v>1</v>
      </c>
      <c r="AA1501" s="168">
        <f t="array" ref="AA1501">iferror(index(J:J,match($A1501&amp;","&amp;index('Year Conversion'!$A:$A,match($C1501,'Year Conversion'!$B:$B,0)),$Y:$Y,0))-J1501,"")</f>
        <v>-1.094307598</v>
      </c>
      <c r="AB1501" s="168">
        <f t="array" ref="AB1501">iferror(index(K:K,match($A1501&amp;","&amp;index('Year Conversion'!$A:$A,match($C1501,'Year Conversion'!$B:$B,0)),$Y:$Y,0))-K1501,"")</f>
        <v>-1.13131956</v>
      </c>
      <c r="AC1501" s="168" t="str">
        <f t="shared" si="7"/>
        <v>CLE,2016-17</v>
      </c>
    </row>
    <row r="1502">
      <c r="A1502" s="161" t="str">
        <f>IFERROR(__xludf.DUMMYFUNCTION("""COMPUTED_VALUE"""),"willide01")</f>
        <v>willide01</v>
      </c>
      <c r="B1502" s="161" t="str">
        <f>IFERROR(__xludf.DUMMYFUNCTION("""COMPUTED_VALUE"""),"Deron Williams")</f>
        <v>Deron Williams</v>
      </c>
      <c r="C1502" s="162" t="str">
        <f>IFERROR(__xludf.DUMMYFUNCTION("""COMPUTED_VALUE"""),"2016-17")</f>
        <v>2016-17</v>
      </c>
      <c r="D1502" s="163" t="str">
        <f>IFERROR(__xludf.DUMMYFUNCTION("""COMPUTED_VALUE"""),"TOT")</f>
        <v>TOT</v>
      </c>
      <c r="E1502" s="164" t="str">
        <f>IFERROR(__xludf.DUMMYFUNCTION("""COMPUTED_VALUE"""),"Shot Creator")</f>
        <v>Shot Creator</v>
      </c>
      <c r="F1502" s="164">
        <f>IFERROR(__xludf.DUMMYFUNCTION("""COMPUTED_VALUE"""),1657.32666666667)</f>
        <v>1657.326667</v>
      </c>
      <c r="G1502" s="163">
        <f>IFERROR(__xludf.DUMMYFUNCTION("""COMPUTED_VALUE"""),64.0)</f>
        <v>64</v>
      </c>
      <c r="H1502" s="163" t="str">
        <f>IFERROR(__xludf.DUMMYFUNCTION("""COMPUTED_VALUE"""),"PG")</f>
        <v>PG</v>
      </c>
      <c r="I1502" s="163">
        <f>IFERROR(__xludf.DUMMYFUNCTION("""COMPUTED_VALUE"""),32.0)</f>
        <v>32</v>
      </c>
      <c r="J1502" s="165">
        <f>IFERROR(__xludf.DUMMYFUNCTION("""COMPUTED_VALUE"""),0.999426613482568)</f>
        <v>0.9994266135</v>
      </c>
      <c r="K1502" s="165">
        <f>IFERROR(__xludf.DUMMYFUNCTION("""COMPUTED_VALUE"""),0.857080996069714)</f>
        <v>0.8570809961</v>
      </c>
      <c r="L1502" s="165">
        <f>IFERROR(__xludf.DUMMYFUNCTION("""COMPUTED_VALUE"""),0.142345617412853)</f>
        <v>0.1423456174</v>
      </c>
      <c r="M1502" s="166">
        <f t="shared" si="2"/>
        <v>3.670210398</v>
      </c>
      <c r="N1502" s="167">
        <f t="shared" si="3"/>
        <v>25.89572917</v>
      </c>
      <c r="O1502" s="163">
        <f t="shared" ref="O1502:Q1502" si="1506">rank(I1502,I:I)</f>
        <v>359</v>
      </c>
      <c r="P1502" s="163">
        <f t="shared" si="1506"/>
        <v>659</v>
      </c>
      <c r="Q1502" s="163">
        <f t="shared" si="1506"/>
        <v>575</v>
      </c>
      <c r="R1502" s="163">
        <f>IFERROR(__xludf.DUMMYFUNCTION("RANK(M1502,filter(M:M,C:C=C1502))"),96.0)</f>
        <v>96</v>
      </c>
      <c r="S1502" s="161" t="b">
        <f t="shared" si="5"/>
        <v>0</v>
      </c>
      <c r="T1502" s="161" t="b">
        <f t="array" ref="T1502">index('Query Tool'!B:B,match(H1502,'Query Tool'!C:C,0))</f>
        <v>1</v>
      </c>
      <c r="U1502" s="161" t="b">
        <f t="array" ref="U1502">index('Query Tool'!B:B,match(C1502,'Query Tool'!C:C,0))</f>
        <v>0</v>
      </c>
      <c r="V1502" s="161" t="b">
        <f>F1502&gt;='Query Tool'!C$32</f>
        <v>1</v>
      </c>
      <c r="W1502" s="161" t="b">
        <f t="array" ref="W1502">index(Dropdowns!B:B,match(I1502,Dropdowns!A:A,0))</f>
        <v>1</v>
      </c>
      <c r="X1502" s="161" t="b">
        <f t="array" ref="X1502">index('Query Tool'!B:B,match(D1502,'Query Tool'!C:C,0))</f>
        <v>1</v>
      </c>
      <c r="Y1502" s="161" t="str">
        <f t="shared" si="6"/>
        <v>willide01,2016-17</v>
      </c>
      <c r="Z1502" s="168" t="str">
        <f t="array" ref="Z1502">iferror(index(I:I,match($A1502&amp;","&amp;index('Year Conversion'!$A:$A,match($C1502,'Year Conversion'!$B:$B,0)),$Y:$Y,0))-I1502,"")</f>
        <v/>
      </c>
      <c r="AA1502" s="168" t="str">
        <f t="array" ref="AA1502">iferror(index(J:J,match($A1502&amp;","&amp;index('Year Conversion'!$A:$A,match($C1502,'Year Conversion'!$B:$B,0)),$Y:$Y,0))-J1502,"")</f>
        <v/>
      </c>
      <c r="AB1502" s="168" t="str">
        <f t="array" ref="AB1502">iferror(index(K:K,match($A1502&amp;","&amp;index('Year Conversion'!$A:$A,match($C1502,'Year Conversion'!$B:$B,0)),$Y:$Y,0))-K1502,"")</f>
        <v/>
      </c>
      <c r="AC1502" s="168" t="str">
        <f t="shared" si="7"/>
        <v>TOT,2016-17</v>
      </c>
    </row>
    <row r="1503">
      <c r="A1503" s="161" t="str">
        <f>IFERROR(__xludf.DUMMYFUNCTION("""COMPUTED_VALUE"""),"greenge01")</f>
        <v>greenge01</v>
      </c>
      <c r="B1503" s="161" t="str">
        <f>IFERROR(__xludf.DUMMYFUNCTION("""COMPUTED_VALUE"""),"Gerald Green")</f>
        <v>Gerald Green</v>
      </c>
      <c r="C1503" s="162" t="str">
        <f>IFERROR(__xludf.DUMMYFUNCTION("""COMPUTED_VALUE"""),"2016-17")</f>
        <v>2016-17</v>
      </c>
      <c r="D1503" s="163" t="str">
        <f>IFERROR(__xludf.DUMMYFUNCTION("""COMPUTED_VALUE"""),"BOS")</f>
        <v>BOS</v>
      </c>
      <c r="E1503" s="164" t="str">
        <f>IFERROR(__xludf.DUMMYFUNCTION("""COMPUTED_VALUE"""),"Movement Shooter")</f>
        <v>Movement Shooter</v>
      </c>
      <c r="F1503" s="164">
        <f>IFERROR(__xludf.DUMMYFUNCTION("""COMPUTED_VALUE"""),537.883333333333)</f>
        <v>537.8833333</v>
      </c>
      <c r="G1503" s="163">
        <f>IFERROR(__xludf.DUMMYFUNCTION("""COMPUTED_VALUE"""),47.0)</f>
        <v>47</v>
      </c>
      <c r="H1503" s="163" t="str">
        <f>IFERROR(__xludf.DUMMYFUNCTION("""COMPUTED_VALUE"""),"SF")</f>
        <v>SF</v>
      </c>
      <c r="I1503" s="163">
        <f>IFERROR(__xludf.DUMMYFUNCTION("""COMPUTED_VALUE"""),31.0)</f>
        <v>31</v>
      </c>
      <c r="J1503" s="165">
        <f>IFERROR(__xludf.DUMMYFUNCTION("""COMPUTED_VALUE"""),-1.38833684831531)</f>
        <v>-1.388336848</v>
      </c>
      <c r="K1503" s="165">
        <f>IFERROR(__xludf.DUMMYFUNCTION("""COMPUTED_VALUE"""),0.293453689834332)</f>
        <v>0.2934536898</v>
      </c>
      <c r="L1503" s="165">
        <f>IFERROR(__xludf.DUMMYFUNCTION("""COMPUTED_VALUE"""),-1.68179053814964)</f>
        <v>-1.681790538</v>
      </c>
      <c r="M1503" s="166">
        <f t="shared" si="2"/>
        <v>0.3271203911</v>
      </c>
      <c r="N1503" s="167">
        <f t="shared" si="3"/>
        <v>11.44432624</v>
      </c>
      <c r="O1503" s="163">
        <f t="shared" ref="O1503:Q1503" si="1507">rank(I1503,I:I)</f>
        <v>490</v>
      </c>
      <c r="P1503" s="163">
        <f t="shared" si="1507"/>
        <v>2939</v>
      </c>
      <c r="Q1503" s="163">
        <f t="shared" si="1507"/>
        <v>916</v>
      </c>
      <c r="R1503" s="163">
        <f>IFERROR(__xludf.DUMMYFUNCTION("RANK(M1503,filter(M:M,C:C=C1503))"),313.0)</f>
        <v>313</v>
      </c>
      <c r="S1503" s="161" t="b">
        <f t="shared" si="5"/>
        <v>0</v>
      </c>
      <c r="T1503" s="161" t="b">
        <f t="array" ref="T1503">index('Query Tool'!B:B,match(H1503,'Query Tool'!C:C,0))</f>
        <v>1</v>
      </c>
      <c r="U1503" s="161" t="b">
        <f t="array" ref="U1503">index('Query Tool'!B:B,match(C1503,'Query Tool'!C:C,0))</f>
        <v>0</v>
      </c>
      <c r="V1503" s="161" t="b">
        <f>F1503&gt;='Query Tool'!C$32</f>
        <v>1</v>
      </c>
      <c r="W1503" s="161" t="b">
        <f t="array" ref="W1503">index(Dropdowns!B:B,match(I1503,Dropdowns!A:A,0))</f>
        <v>1</v>
      </c>
      <c r="X1503" s="161" t="b">
        <f t="array" ref="X1503">index('Query Tool'!B:B,match(D1503,'Query Tool'!C:C,0))</f>
        <v>1</v>
      </c>
      <c r="Y1503" s="161" t="str">
        <f t="shared" si="6"/>
        <v>greenge01,2016-17</v>
      </c>
      <c r="Z1503" s="168">
        <f t="array" ref="Z1503">iferror(index(I:I,match($A1503&amp;","&amp;index('Year Conversion'!$A:$A,match($C1503,'Year Conversion'!$B:$B,0)),$Y:$Y,0))-I1503,"")</f>
        <v>1</v>
      </c>
      <c r="AA1503" s="168">
        <f t="array" ref="AA1503">iferror(index(J:J,match($A1503&amp;","&amp;index('Year Conversion'!$A:$A,match($C1503,'Year Conversion'!$B:$B,0)),$Y:$Y,0))-J1503,"")</f>
        <v>1.306200104</v>
      </c>
      <c r="AB1503" s="168">
        <f t="array" ref="AB1503">iferror(index(K:K,match($A1503&amp;","&amp;index('Year Conversion'!$A:$A,match($C1503,'Year Conversion'!$B:$B,0)),$Y:$Y,0))-K1503,"")</f>
        <v>0.9159329802</v>
      </c>
      <c r="AC1503" s="168" t="str">
        <f t="shared" si="7"/>
        <v>BOS,2016-17</v>
      </c>
    </row>
    <row r="1504">
      <c r="A1504" s="161" t="str">
        <f>IFERROR(__xludf.DUMMYFUNCTION("""COMPUTED_VALUE"""),"jackja01")</f>
        <v>jackja01</v>
      </c>
      <c r="B1504" s="161" t="str">
        <f>IFERROR(__xludf.DUMMYFUNCTION("""COMPUTED_VALUE"""),"Jarrett Jack")</f>
        <v>Jarrett Jack</v>
      </c>
      <c r="C1504" s="162" t="str">
        <f>IFERROR(__xludf.DUMMYFUNCTION("""COMPUTED_VALUE"""),"2016-17")</f>
        <v>2016-17</v>
      </c>
      <c r="D1504" s="163" t="str">
        <f>IFERROR(__xludf.DUMMYFUNCTION("""COMPUTED_VALUE"""),"NOP")</f>
        <v>NOP</v>
      </c>
      <c r="E1504" s="164" t="str">
        <f>IFERROR(__xludf.DUMMYFUNCTION("""COMPUTED_VALUE"""),"Secondary Ball Handler")</f>
        <v>Secondary Ball Handler</v>
      </c>
      <c r="F1504" s="164">
        <f>IFERROR(__xludf.DUMMYFUNCTION("""COMPUTED_VALUE"""),33.0833333333333)</f>
        <v>33.08333333</v>
      </c>
      <c r="G1504" s="163">
        <f>IFERROR(__xludf.DUMMYFUNCTION("""COMPUTED_VALUE"""),2.0)</f>
        <v>2</v>
      </c>
      <c r="H1504" s="163" t="str">
        <f>IFERROR(__xludf.DUMMYFUNCTION("""COMPUTED_VALUE"""),"PG")</f>
        <v>PG</v>
      </c>
      <c r="I1504" s="163">
        <f>IFERROR(__xludf.DUMMYFUNCTION("""COMPUTED_VALUE"""),33.0)</f>
        <v>33</v>
      </c>
      <c r="J1504" s="165">
        <f>IFERROR(__xludf.DUMMYFUNCTION("""COMPUTED_VALUE"""),-0.816502419400902)</f>
        <v>-0.8165024194</v>
      </c>
      <c r="K1504" s="165">
        <f>IFERROR(__xludf.DUMMYFUNCTION("""COMPUTED_VALUE"""),-0.455525845130999)</f>
        <v>-0.4555258451</v>
      </c>
      <c r="L1504" s="165">
        <f>IFERROR(__xludf.DUMMYFUNCTION("""COMPUTED_VALUE"""),-0.360976574269902)</f>
        <v>-0.3609765743</v>
      </c>
      <c r="M1504" s="166">
        <f t="shared" si="2"/>
        <v>0.03280868549</v>
      </c>
      <c r="N1504" s="167">
        <f t="shared" si="3"/>
        <v>16.54166667</v>
      </c>
      <c r="O1504" s="163">
        <f t="shared" ref="O1504:Q1504" si="1508">rank(I1504,I:I)</f>
        <v>246</v>
      </c>
      <c r="P1504" s="163">
        <f t="shared" si="1508"/>
        <v>2308</v>
      </c>
      <c r="Q1504" s="163">
        <f t="shared" si="1508"/>
        <v>2045</v>
      </c>
      <c r="R1504" s="163">
        <f>IFERROR(__xludf.DUMMYFUNCTION("RANK(M1504,filter(M:M,C:C=C1504))"),420.0)</f>
        <v>420</v>
      </c>
      <c r="S1504" s="161" t="b">
        <f t="shared" si="5"/>
        <v>0</v>
      </c>
      <c r="T1504" s="161" t="b">
        <f t="array" ref="T1504">index('Query Tool'!B:B,match(H1504,'Query Tool'!C:C,0))</f>
        <v>1</v>
      </c>
      <c r="U1504" s="161" t="b">
        <f t="array" ref="U1504">index('Query Tool'!B:B,match(C1504,'Query Tool'!C:C,0))</f>
        <v>0</v>
      </c>
      <c r="V1504" s="161" t="b">
        <f>F1504&gt;='Query Tool'!C$32</f>
        <v>0</v>
      </c>
      <c r="W1504" s="161" t="b">
        <f t="array" ref="W1504">index(Dropdowns!B:B,match(I1504,Dropdowns!A:A,0))</f>
        <v>1</v>
      </c>
      <c r="X1504" s="161" t="b">
        <f t="array" ref="X1504">index('Query Tool'!B:B,match(D1504,'Query Tool'!C:C,0))</f>
        <v>1</v>
      </c>
      <c r="Y1504" s="161" t="str">
        <f t="shared" si="6"/>
        <v>jackja01,2016-17</v>
      </c>
      <c r="Z1504" s="168">
        <f t="array" ref="Z1504">iferror(index(I:I,match($A1504&amp;","&amp;index('Year Conversion'!$A:$A,match($C1504,'Year Conversion'!$B:$B,0)),$Y:$Y,0))-I1504,"")</f>
        <v>1</v>
      </c>
      <c r="AA1504" s="168">
        <f t="array" ref="AA1504">iferror(index(J:J,match($A1504&amp;","&amp;index('Year Conversion'!$A:$A,match($C1504,'Year Conversion'!$B:$B,0)),$Y:$Y,0))-J1504,"")</f>
        <v>0.2241000313</v>
      </c>
      <c r="AB1504" s="168">
        <f t="array" ref="AB1504">iferror(index(K:K,match($A1504&amp;","&amp;index('Year Conversion'!$A:$A,match($C1504,'Year Conversion'!$B:$B,0)),$Y:$Y,0))-K1504,"")</f>
        <v>0.3067569996</v>
      </c>
      <c r="AC1504" s="168" t="str">
        <f t="shared" si="7"/>
        <v>NOP,2016-17</v>
      </c>
    </row>
    <row r="1505">
      <c r="A1505" s="161" t="str">
        <f>IFERROR(__xludf.DUMMYFUNCTION("""COMPUTED_VALUE"""),"mahinia01")</f>
        <v>mahinia01</v>
      </c>
      <c r="B1505" s="161" t="str">
        <f>IFERROR(__xludf.DUMMYFUNCTION("""COMPUTED_VALUE"""),"Ian Mahinmi")</f>
        <v>Ian Mahinmi</v>
      </c>
      <c r="C1505" s="162" t="str">
        <f>IFERROR(__xludf.DUMMYFUNCTION("""COMPUTED_VALUE"""),"2016-17")</f>
        <v>2016-17</v>
      </c>
      <c r="D1505" s="163" t="str">
        <f>IFERROR(__xludf.DUMMYFUNCTION("""COMPUTED_VALUE"""),"WAS")</f>
        <v>WAS</v>
      </c>
      <c r="E1505" s="164" t="str">
        <f>IFERROR(__xludf.DUMMYFUNCTION("""COMPUTED_VALUE"""),"Roll + Cut Big")</f>
        <v>Roll + Cut Big</v>
      </c>
      <c r="F1505" s="164">
        <f>IFERROR(__xludf.DUMMYFUNCTION("""COMPUTED_VALUE"""),554.801666666667)</f>
        <v>554.8016667</v>
      </c>
      <c r="G1505" s="163">
        <f>IFERROR(__xludf.DUMMYFUNCTION("""COMPUTED_VALUE"""),31.0)</f>
        <v>31</v>
      </c>
      <c r="H1505" s="163" t="str">
        <f>IFERROR(__xludf.DUMMYFUNCTION("""COMPUTED_VALUE"""),"C")</f>
        <v>C</v>
      </c>
      <c r="I1505" s="163">
        <f>IFERROR(__xludf.DUMMYFUNCTION("""COMPUTED_VALUE"""),30.0)</f>
        <v>30</v>
      </c>
      <c r="J1505" s="165">
        <f>IFERROR(__xludf.DUMMYFUNCTION("""COMPUTED_VALUE"""),0.410945703598427)</f>
        <v>0.4109457036</v>
      </c>
      <c r="K1505" s="165">
        <f>IFERROR(__xludf.DUMMYFUNCTION("""COMPUTED_VALUE"""),-1.67079932960152)</f>
        <v>-1.67079933</v>
      </c>
      <c r="L1505" s="165">
        <f>IFERROR(__xludf.DUMMYFUNCTION("""COMPUTED_VALUE"""),2.08174503319994)</f>
        <v>2.081745033</v>
      </c>
      <c r="M1505" s="166">
        <f t="shared" si="2"/>
        <v>1.008993988</v>
      </c>
      <c r="N1505" s="167">
        <f t="shared" si="3"/>
        <v>17.89682796</v>
      </c>
      <c r="O1505" s="163">
        <f t="shared" ref="O1505:Q1505" si="1509">rank(I1505,I:I)</f>
        <v>655</v>
      </c>
      <c r="P1505" s="163">
        <f t="shared" si="1509"/>
        <v>943</v>
      </c>
      <c r="Q1505" s="163">
        <f t="shared" si="1509"/>
        <v>3500</v>
      </c>
      <c r="R1505" s="163">
        <f>IFERROR(__xludf.DUMMYFUNCTION("RANK(M1505,filter(M:M,C:C=C1505))"),225.0)</f>
        <v>225</v>
      </c>
      <c r="S1505" s="161" t="b">
        <f t="shared" si="5"/>
        <v>0</v>
      </c>
      <c r="T1505" s="161" t="b">
        <f t="array" ref="T1505">index('Query Tool'!B:B,match(H1505,'Query Tool'!C:C,0))</f>
        <v>1</v>
      </c>
      <c r="U1505" s="161" t="b">
        <f t="array" ref="U1505">index('Query Tool'!B:B,match(C1505,'Query Tool'!C:C,0))</f>
        <v>0</v>
      </c>
      <c r="V1505" s="161" t="b">
        <f>F1505&gt;='Query Tool'!C$32</f>
        <v>1</v>
      </c>
      <c r="W1505" s="161" t="b">
        <f t="array" ref="W1505">index(Dropdowns!B:B,match(I1505,Dropdowns!A:A,0))</f>
        <v>1</v>
      </c>
      <c r="X1505" s="161" t="b">
        <f t="array" ref="X1505">index('Query Tool'!B:B,match(D1505,'Query Tool'!C:C,0))</f>
        <v>1</v>
      </c>
      <c r="Y1505" s="161" t="str">
        <f t="shared" si="6"/>
        <v>mahinia01,2016-17</v>
      </c>
      <c r="Z1505" s="168">
        <f t="array" ref="Z1505">iferror(index(I:I,match($A1505&amp;","&amp;index('Year Conversion'!$A:$A,match($C1505,'Year Conversion'!$B:$B,0)),$Y:$Y,0))-I1505,"")</f>
        <v>1</v>
      </c>
      <c r="AA1505" s="168">
        <f t="array" ref="AA1505">iferror(index(J:J,match($A1505&amp;","&amp;index('Year Conversion'!$A:$A,match($C1505,'Year Conversion'!$B:$B,0)),$Y:$Y,0))-J1505,"")</f>
        <v>-1.731235978</v>
      </c>
      <c r="AB1505" s="168">
        <f t="array" ref="AB1505">iferror(index(K:K,match($A1505&amp;","&amp;index('Year Conversion'!$A:$A,match($C1505,'Year Conversion'!$B:$B,0)),$Y:$Y,0))-K1505,"")</f>
        <v>-0.2179813147</v>
      </c>
      <c r="AC1505" s="168" t="str">
        <f t="shared" si="7"/>
        <v>WAS,2016-17</v>
      </c>
    </row>
    <row r="1506">
      <c r="A1506" s="161" t="str">
        <f>IFERROR(__xludf.DUMMYFUNCTION("""COMPUTED_VALUE"""),"leeda02")</f>
        <v>leeda02</v>
      </c>
      <c r="B1506" s="161" t="str">
        <f>IFERROR(__xludf.DUMMYFUNCTION("""COMPUTED_VALUE"""),"David Lee")</f>
        <v>David Lee</v>
      </c>
      <c r="C1506" s="162" t="str">
        <f>IFERROR(__xludf.DUMMYFUNCTION("""COMPUTED_VALUE"""),"2016-17")</f>
        <v>2016-17</v>
      </c>
      <c r="D1506" s="163" t="str">
        <f>IFERROR(__xludf.DUMMYFUNCTION("""COMPUTED_VALUE"""),"SAS")</f>
        <v>SAS</v>
      </c>
      <c r="E1506" s="164" t="str">
        <f>IFERROR(__xludf.DUMMYFUNCTION("""COMPUTED_VALUE"""),"Roll + Cut Big")</f>
        <v>Roll + Cut Big</v>
      </c>
      <c r="F1506" s="164">
        <f>IFERROR(__xludf.DUMMYFUNCTION("""COMPUTED_VALUE"""),1476.95833333333)</f>
        <v>1476.958333</v>
      </c>
      <c r="G1506" s="163">
        <f>IFERROR(__xludf.DUMMYFUNCTION("""COMPUTED_VALUE"""),79.0)</f>
        <v>79</v>
      </c>
      <c r="H1506" s="163" t="str">
        <f>IFERROR(__xludf.DUMMYFUNCTION("""COMPUTED_VALUE"""),"PF")</f>
        <v>PF</v>
      </c>
      <c r="I1506" s="163">
        <f>IFERROR(__xludf.DUMMYFUNCTION("""COMPUTED_VALUE"""),33.0)</f>
        <v>33</v>
      </c>
      <c r="J1506" s="165">
        <f>IFERROR(__xludf.DUMMYFUNCTION("""COMPUTED_VALUE"""),0.543464499809654)</f>
        <v>0.5434644998</v>
      </c>
      <c r="K1506" s="165">
        <f>IFERROR(__xludf.DUMMYFUNCTION("""COMPUTED_VALUE"""),-0.21668181280447)</f>
        <v>-0.2166818128</v>
      </c>
      <c r="L1506" s="165">
        <f>IFERROR(__xludf.DUMMYFUNCTION("""COMPUTED_VALUE"""),0.760146312614124)</f>
        <v>0.7601463126</v>
      </c>
      <c r="M1506" s="166">
        <f t="shared" si="2"/>
        <v>2.817910424</v>
      </c>
      <c r="N1506" s="167">
        <f t="shared" si="3"/>
        <v>18.69567511</v>
      </c>
      <c r="O1506" s="163">
        <f t="shared" ref="O1506:Q1506" si="1510">rank(I1506,I:I)</f>
        <v>246</v>
      </c>
      <c r="P1506" s="163">
        <f t="shared" si="1510"/>
        <v>874</v>
      </c>
      <c r="Q1506" s="163">
        <f t="shared" si="1510"/>
        <v>1592</v>
      </c>
      <c r="R1506" s="163">
        <f>IFERROR(__xludf.DUMMYFUNCTION("RANK(M1506,filter(M:M,C:C=C1506))"),118.0)</f>
        <v>118</v>
      </c>
      <c r="S1506" s="161" t="b">
        <f t="shared" si="5"/>
        <v>0</v>
      </c>
      <c r="T1506" s="161" t="b">
        <f t="array" ref="T1506">index('Query Tool'!B:B,match(H1506,'Query Tool'!C:C,0))</f>
        <v>1</v>
      </c>
      <c r="U1506" s="161" t="b">
        <f t="array" ref="U1506">index('Query Tool'!B:B,match(C1506,'Query Tool'!C:C,0))</f>
        <v>0</v>
      </c>
      <c r="V1506" s="161" t="b">
        <f>F1506&gt;='Query Tool'!C$32</f>
        <v>1</v>
      </c>
      <c r="W1506" s="161" t="b">
        <f t="array" ref="W1506">index(Dropdowns!B:B,match(I1506,Dropdowns!A:A,0))</f>
        <v>1</v>
      </c>
      <c r="X1506" s="161" t="b">
        <f t="array" ref="X1506">index('Query Tool'!B:B,match(D1506,'Query Tool'!C:C,0))</f>
        <v>1</v>
      </c>
      <c r="Y1506" s="161" t="str">
        <f t="shared" si="6"/>
        <v>leeda02,2016-17</v>
      </c>
      <c r="Z1506" s="168" t="str">
        <f t="array" ref="Z1506">iferror(index(I:I,match($A1506&amp;","&amp;index('Year Conversion'!$A:$A,match($C1506,'Year Conversion'!$B:$B,0)),$Y:$Y,0))-I1506,"")</f>
        <v/>
      </c>
      <c r="AA1506" s="168" t="str">
        <f t="array" ref="AA1506">iferror(index(J:J,match($A1506&amp;","&amp;index('Year Conversion'!$A:$A,match($C1506,'Year Conversion'!$B:$B,0)),$Y:$Y,0))-J1506,"")</f>
        <v/>
      </c>
      <c r="AB1506" s="168" t="str">
        <f t="array" ref="AB1506">iferror(index(K:K,match($A1506&amp;","&amp;index('Year Conversion'!$A:$A,match($C1506,'Year Conversion'!$B:$B,0)),$Y:$Y,0))-K1506,"")</f>
        <v/>
      </c>
      <c r="AC1506" s="168" t="str">
        <f t="shared" si="7"/>
        <v>SAS,2016-17</v>
      </c>
    </row>
    <row r="1507">
      <c r="A1507" s="161" t="str">
        <f>IFERROR(__xludf.DUMMYFUNCTION("""COMPUTED_VALUE"""),"bassbr01")</f>
        <v>bassbr01</v>
      </c>
      <c r="B1507" s="161" t="str">
        <f>IFERROR(__xludf.DUMMYFUNCTION("""COMPUTED_VALUE"""),"Brandon Bass")</f>
        <v>Brandon Bass</v>
      </c>
      <c r="C1507" s="162" t="str">
        <f>IFERROR(__xludf.DUMMYFUNCTION("""COMPUTED_VALUE"""),"2016-17")</f>
        <v>2016-17</v>
      </c>
      <c r="D1507" s="163" t="str">
        <f>IFERROR(__xludf.DUMMYFUNCTION("""COMPUTED_VALUE"""),"LAC")</f>
        <v>LAC</v>
      </c>
      <c r="E1507" s="164" t="str">
        <f>IFERROR(__xludf.DUMMYFUNCTION("""COMPUTED_VALUE"""),"Post Scorer")</f>
        <v>Post Scorer</v>
      </c>
      <c r="F1507" s="164">
        <f>IFERROR(__xludf.DUMMYFUNCTION("""COMPUTED_VALUE"""),576.865)</f>
        <v>576.865</v>
      </c>
      <c r="G1507" s="163">
        <f>IFERROR(__xludf.DUMMYFUNCTION("""COMPUTED_VALUE"""),52.0)</f>
        <v>52</v>
      </c>
      <c r="H1507" s="163" t="str">
        <f>IFERROR(__xludf.DUMMYFUNCTION("""COMPUTED_VALUE"""),"PF")</f>
        <v>PF</v>
      </c>
      <c r="I1507" s="163">
        <f>IFERROR(__xludf.DUMMYFUNCTION("""COMPUTED_VALUE"""),31.0)</f>
        <v>31</v>
      </c>
      <c r="J1507" s="165">
        <f>IFERROR(__xludf.DUMMYFUNCTION("""COMPUTED_VALUE"""),-2.26037745206547)</f>
        <v>-2.260377452</v>
      </c>
      <c r="K1507" s="165">
        <f>IFERROR(__xludf.DUMMYFUNCTION("""COMPUTED_VALUE"""),-0.770956870107136)</f>
        <v>-0.7709568701</v>
      </c>
      <c r="L1507" s="165">
        <f>IFERROR(__xludf.DUMMYFUNCTION("""COMPUTED_VALUE"""),-1.48942058195833)</f>
        <v>-1.489420582</v>
      </c>
      <c r="M1507" s="166">
        <f t="shared" si="2"/>
        <v>0.01642248502</v>
      </c>
      <c r="N1507" s="167">
        <f t="shared" si="3"/>
        <v>11.09355769</v>
      </c>
      <c r="O1507" s="163">
        <f t="shared" ref="O1507:Q1507" si="1511">rank(I1507,I:I)</f>
        <v>490</v>
      </c>
      <c r="P1507" s="163">
        <f t="shared" si="1511"/>
        <v>3635</v>
      </c>
      <c r="Q1507" s="163">
        <f t="shared" si="1511"/>
        <v>2515</v>
      </c>
      <c r="R1507" s="163">
        <f>IFERROR(__xludf.DUMMYFUNCTION("RANK(M1507,filter(M:M,C:C=C1507))"),436.0)</f>
        <v>436</v>
      </c>
      <c r="S1507" s="161" t="b">
        <f t="shared" si="5"/>
        <v>0</v>
      </c>
      <c r="T1507" s="161" t="b">
        <f t="array" ref="T1507">index('Query Tool'!B:B,match(H1507,'Query Tool'!C:C,0))</f>
        <v>1</v>
      </c>
      <c r="U1507" s="161" t="b">
        <f t="array" ref="U1507">index('Query Tool'!B:B,match(C1507,'Query Tool'!C:C,0))</f>
        <v>0</v>
      </c>
      <c r="V1507" s="161" t="b">
        <f>F1507&gt;='Query Tool'!C$32</f>
        <v>1</v>
      </c>
      <c r="W1507" s="161" t="b">
        <f t="array" ref="W1507">index(Dropdowns!B:B,match(I1507,Dropdowns!A:A,0))</f>
        <v>1</v>
      </c>
      <c r="X1507" s="161" t="b">
        <f t="array" ref="X1507">index('Query Tool'!B:B,match(D1507,'Query Tool'!C:C,0))</f>
        <v>1</v>
      </c>
      <c r="Y1507" s="161" t="str">
        <f t="shared" si="6"/>
        <v>bassbr01,2016-17</v>
      </c>
      <c r="Z1507" s="168" t="str">
        <f t="array" ref="Z1507">iferror(index(I:I,match($A1507&amp;","&amp;index('Year Conversion'!$A:$A,match($C1507,'Year Conversion'!$B:$B,0)),$Y:$Y,0))-I1507,"")</f>
        <v/>
      </c>
      <c r="AA1507" s="168" t="str">
        <f t="array" ref="AA1507">iferror(index(J:J,match($A1507&amp;","&amp;index('Year Conversion'!$A:$A,match($C1507,'Year Conversion'!$B:$B,0)),$Y:$Y,0))-J1507,"")</f>
        <v/>
      </c>
      <c r="AB1507" s="168" t="str">
        <f t="array" ref="AB1507">iferror(index(K:K,match($A1507&amp;","&amp;index('Year Conversion'!$A:$A,match($C1507,'Year Conversion'!$B:$B,0)),$Y:$Y,0))-K1507,"")</f>
        <v/>
      </c>
      <c r="AC1507" s="168" t="str">
        <f t="shared" si="7"/>
        <v>LAC,2016-17</v>
      </c>
    </row>
    <row r="1508">
      <c r="A1508" s="161" t="str">
        <f>IFERROR(__xludf.DUMMYFUNCTION("""COMPUTED_VALUE"""),"milescj01")</f>
        <v>milescj01</v>
      </c>
      <c r="B1508" s="161" t="str">
        <f>IFERROR(__xludf.DUMMYFUNCTION("""COMPUTED_VALUE"""),"CJ Miles")</f>
        <v>CJ Miles</v>
      </c>
      <c r="C1508" s="162" t="str">
        <f>IFERROR(__xludf.DUMMYFUNCTION("""COMPUTED_VALUE"""),"2016-17")</f>
        <v>2016-17</v>
      </c>
      <c r="D1508" s="163" t="str">
        <f>IFERROR(__xludf.DUMMYFUNCTION("""COMPUTED_VALUE"""),"IND")</f>
        <v>IND</v>
      </c>
      <c r="E1508" s="164" t="str">
        <f>IFERROR(__xludf.DUMMYFUNCTION("""COMPUTED_VALUE"""),"Off Screen Shooter")</f>
        <v>Off Screen Shooter</v>
      </c>
      <c r="F1508" s="164">
        <f>IFERROR(__xludf.DUMMYFUNCTION("""COMPUTED_VALUE"""),1776.35166666667)</f>
        <v>1776.351667</v>
      </c>
      <c r="G1508" s="163">
        <f>IFERROR(__xludf.DUMMYFUNCTION("""COMPUTED_VALUE"""),76.0)</f>
        <v>76</v>
      </c>
      <c r="H1508" s="163" t="str">
        <f>IFERROR(__xludf.DUMMYFUNCTION("""COMPUTED_VALUE"""),"SF")</f>
        <v>SF</v>
      </c>
      <c r="I1508" s="163">
        <f>IFERROR(__xludf.DUMMYFUNCTION("""COMPUTED_VALUE"""),29.0)</f>
        <v>29</v>
      </c>
      <c r="J1508" s="165">
        <f>IFERROR(__xludf.DUMMYFUNCTION("""COMPUTED_VALUE"""),-0.0563576635214886)</f>
        <v>-0.05635766352</v>
      </c>
      <c r="K1508" s="165">
        <f>IFERROR(__xludf.DUMMYFUNCTION("""COMPUTED_VALUE"""),0.457290514547472)</f>
        <v>0.4572905145</v>
      </c>
      <c r="L1508" s="165">
        <f>IFERROR(__xludf.DUMMYFUNCTION("""COMPUTED_VALUE"""),-0.513648178068961)</f>
        <v>-0.5136481781</v>
      </c>
      <c r="M1508" s="166">
        <f t="shared" si="2"/>
        <v>2.671048614</v>
      </c>
      <c r="N1508" s="167">
        <f t="shared" si="3"/>
        <v>23.37304825</v>
      </c>
      <c r="O1508" s="163">
        <f t="shared" ref="O1508:Q1508" si="1512">rank(I1508,I:I)</f>
        <v>855</v>
      </c>
      <c r="P1508" s="163">
        <f t="shared" si="1512"/>
        <v>1339</v>
      </c>
      <c r="Q1508" s="163">
        <f t="shared" si="1512"/>
        <v>796</v>
      </c>
      <c r="R1508" s="163">
        <f>IFERROR(__xludf.DUMMYFUNCTION("RANK(M1508,filter(M:M,C:C=C1508))"),122.0)</f>
        <v>122</v>
      </c>
      <c r="S1508" s="161" t="b">
        <f t="shared" si="5"/>
        <v>0</v>
      </c>
      <c r="T1508" s="161" t="b">
        <f t="array" ref="T1508">index('Query Tool'!B:B,match(H1508,'Query Tool'!C:C,0))</f>
        <v>1</v>
      </c>
      <c r="U1508" s="161" t="b">
        <f t="array" ref="U1508">index('Query Tool'!B:B,match(C1508,'Query Tool'!C:C,0))</f>
        <v>0</v>
      </c>
      <c r="V1508" s="161" t="b">
        <f>F1508&gt;='Query Tool'!C$32</f>
        <v>1</v>
      </c>
      <c r="W1508" s="161" t="b">
        <f t="array" ref="W1508">index(Dropdowns!B:B,match(I1508,Dropdowns!A:A,0))</f>
        <v>1</v>
      </c>
      <c r="X1508" s="161" t="b">
        <f t="array" ref="X1508">index('Query Tool'!B:B,match(D1508,'Query Tool'!C:C,0))</f>
        <v>1</v>
      </c>
      <c r="Y1508" s="161" t="str">
        <f t="shared" si="6"/>
        <v>milescj01,2016-17</v>
      </c>
      <c r="Z1508" s="168">
        <f t="array" ref="Z1508">iferror(index(I:I,match($A1508&amp;","&amp;index('Year Conversion'!$A:$A,match($C1508,'Year Conversion'!$B:$B,0)),$Y:$Y,0))-I1508,"")</f>
        <v>1</v>
      </c>
      <c r="AA1508" s="168">
        <f t="array" ref="AA1508">iferror(index(J:J,match($A1508&amp;","&amp;index('Year Conversion'!$A:$A,match($C1508,'Year Conversion'!$B:$B,0)),$Y:$Y,0))-J1508,"")</f>
        <v>0.6283260545</v>
      </c>
      <c r="AB1508" s="168">
        <f t="array" ref="AB1508">iferror(index(K:K,match($A1508&amp;","&amp;index('Year Conversion'!$A:$A,match($C1508,'Year Conversion'!$B:$B,0)),$Y:$Y,0))-K1508,"")</f>
        <v>1.18152187</v>
      </c>
      <c r="AC1508" s="168" t="str">
        <f t="shared" si="7"/>
        <v>IND,2016-17</v>
      </c>
    </row>
    <row r="1509">
      <c r="A1509" s="161" t="str">
        <f>IFERROR(__xludf.DUMMYFUNCTION("""COMPUTED_VALUE"""),"ilyaser01")</f>
        <v>ilyaser01</v>
      </c>
      <c r="B1509" s="161" t="str">
        <f>IFERROR(__xludf.DUMMYFUNCTION("""COMPUTED_VALUE"""),"Ersan Ilyasova")</f>
        <v>Ersan Ilyasova</v>
      </c>
      <c r="C1509" s="162" t="str">
        <f>IFERROR(__xludf.DUMMYFUNCTION("""COMPUTED_VALUE"""),"2016-17")</f>
        <v>2016-17</v>
      </c>
      <c r="D1509" s="163" t="str">
        <f>IFERROR(__xludf.DUMMYFUNCTION("""COMPUTED_VALUE"""),"TOT")</f>
        <v>TOT</v>
      </c>
      <c r="E1509" s="164" t="str">
        <f>IFERROR(__xludf.DUMMYFUNCTION("""COMPUTED_VALUE"""),"Stretch Big")</f>
        <v>Stretch Big</v>
      </c>
      <c r="F1509" s="164">
        <f>IFERROR(__xludf.DUMMYFUNCTION("""COMPUTED_VALUE"""),2142.39833333333)</f>
        <v>2142.398333</v>
      </c>
      <c r="G1509" s="163">
        <f>IFERROR(__xludf.DUMMYFUNCTION("""COMPUTED_VALUE"""),82.0)</f>
        <v>82</v>
      </c>
      <c r="H1509" s="163" t="str">
        <f>IFERROR(__xludf.DUMMYFUNCTION("""COMPUTED_VALUE"""),"PF")</f>
        <v>PF</v>
      </c>
      <c r="I1509" s="163">
        <f>IFERROR(__xludf.DUMMYFUNCTION("""COMPUTED_VALUE"""),29.0)</f>
        <v>29</v>
      </c>
      <c r="J1509" s="165">
        <f>IFERROR(__xludf.DUMMYFUNCTION("""COMPUTED_VALUE"""),0.227073944913662)</f>
        <v>0.2270739449</v>
      </c>
      <c r="K1509" s="165">
        <f>IFERROR(__xludf.DUMMYFUNCTION("""COMPUTED_VALUE"""),0.27277518832148)</f>
        <v>0.2727751883</v>
      </c>
      <c r="L1509" s="165">
        <f>IFERROR(__xludf.DUMMYFUNCTION("""COMPUTED_VALUE"""),-0.0457012434078174)</f>
        <v>-0.04570124341</v>
      </c>
      <c r="M1509" s="166">
        <f t="shared" si="2"/>
        <v>3.630822383</v>
      </c>
      <c r="N1509" s="167">
        <f t="shared" si="3"/>
        <v>26.12680894</v>
      </c>
      <c r="O1509" s="163">
        <f t="shared" ref="O1509:Q1509" si="1513">rank(I1509,I:I)</f>
        <v>855</v>
      </c>
      <c r="P1509" s="163">
        <f t="shared" si="1513"/>
        <v>1069</v>
      </c>
      <c r="Q1509" s="163">
        <f t="shared" si="1513"/>
        <v>934</v>
      </c>
      <c r="R1509" s="163">
        <f>IFERROR(__xludf.DUMMYFUNCTION("RANK(M1509,filter(M:M,C:C=C1509))"),99.0)</f>
        <v>99</v>
      </c>
      <c r="S1509" s="161" t="b">
        <f t="shared" si="5"/>
        <v>0</v>
      </c>
      <c r="T1509" s="161" t="b">
        <f t="array" ref="T1509">index('Query Tool'!B:B,match(H1509,'Query Tool'!C:C,0))</f>
        <v>1</v>
      </c>
      <c r="U1509" s="161" t="b">
        <f t="array" ref="U1509">index('Query Tool'!B:B,match(C1509,'Query Tool'!C:C,0))</f>
        <v>0</v>
      </c>
      <c r="V1509" s="161" t="b">
        <f>F1509&gt;='Query Tool'!C$32</f>
        <v>1</v>
      </c>
      <c r="W1509" s="161" t="b">
        <f t="array" ref="W1509">index(Dropdowns!B:B,match(I1509,Dropdowns!A:A,0))</f>
        <v>1</v>
      </c>
      <c r="X1509" s="161" t="b">
        <f t="array" ref="X1509">index('Query Tool'!B:B,match(D1509,'Query Tool'!C:C,0))</f>
        <v>1</v>
      </c>
      <c r="Y1509" s="161" t="str">
        <f t="shared" si="6"/>
        <v>ilyaser01,2016-17</v>
      </c>
      <c r="Z1509" s="168">
        <f t="array" ref="Z1509">iferror(index(I:I,match($A1509&amp;","&amp;index('Year Conversion'!$A:$A,match($C1509,'Year Conversion'!$B:$B,0)),$Y:$Y,0))-I1509,"")</f>
        <v>1</v>
      </c>
      <c r="AA1509" s="168">
        <f t="array" ref="AA1509">iferror(index(J:J,match($A1509&amp;","&amp;index('Year Conversion'!$A:$A,match($C1509,'Year Conversion'!$B:$B,0)),$Y:$Y,0))-J1509,"")</f>
        <v>0.4456651938</v>
      </c>
      <c r="AB1509" s="168">
        <f t="array" ref="AB1509">iferror(index(K:K,match($A1509&amp;","&amp;index('Year Conversion'!$A:$A,match($C1509,'Year Conversion'!$B:$B,0)),$Y:$Y,0))-K1509,"")</f>
        <v>-0.04337872945</v>
      </c>
      <c r="AC1509" s="168" t="str">
        <f t="shared" si="7"/>
        <v>TOT,2016-17</v>
      </c>
    </row>
    <row r="1510">
      <c r="A1510" s="161" t="str">
        <f>IFERROR(__xludf.DUMMYFUNCTION("""COMPUTED_VALUE"""),"ellismo01")</f>
        <v>ellismo01</v>
      </c>
      <c r="B1510" s="161" t="str">
        <f>IFERROR(__xludf.DUMMYFUNCTION("""COMPUTED_VALUE"""),"Monta Ellis")</f>
        <v>Monta Ellis</v>
      </c>
      <c r="C1510" s="162" t="str">
        <f>IFERROR(__xludf.DUMMYFUNCTION("""COMPUTED_VALUE"""),"2016-17")</f>
        <v>2016-17</v>
      </c>
      <c r="D1510" s="163" t="str">
        <f>IFERROR(__xludf.DUMMYFUNCTION("""COMPUTED_VALUE"""),"IND")</f>
        <v>IND</v>
      </c>
      <c r="E1510" s="164" t="str">
        <f>IFERROR(__xludf.DUMMYFUNCTION("""COMPUTED_VALUE"""),"Secondary Ball Handler")</f>
        <v>Secondary Ball Handler</v>
      </c>
      <c r="F1510" s="164">
        <f>IFERROR(__xludf.DUMMYFUNCTION("""COMPUTED_VALUE"""),1997.70833333333)</f>
        <v>1997.708333</v>
      </c>
      <c r="G1510" s="163">
        <f>IFERROR(__xludf.DUMMYFUNCTION("""COMPUTED_VALUE"""),74.0)</f>
        <v>74</v>
      </c>
      <c r="H1510" s="163" t="str">
        <f>IFERROR(__xludf.DUMMYFUNCTION("""COMPUTED_VALUE"""),"SG")</f>
        <v>SG</v>
      </c>
      <c r="I1510" s="163">
        <f>IFERROR(__xludf.DUMMYFUNCTION("""COMPUTED_VALUE"""),31.0)</f>
        <v>31</v>
      </c>
      <c r="J1510" s="165">
        <f>IFERROR(__xludf.DUMMYFUNCTION("""COMPUTED_VALUE"""),-2.1292674528346)</f>
        <v>-2.129267453</v>
      </c>
      <c r="K1510" s="165">
        <f>IFERROR(__xludf.DUMMYFUNCTION("""COMPUTED_VALUE"""),-1.50487230794107)</f>
        <v>-1.504872308</v>
      </c>
      <c r="L1510" s="165">
        <f>IFERROR(__xludf.DUMMYFUNCTION("""COMPUTED_VALUE"""),-0.624395144893522)</f>
        <v>-0.6243951449</v>
      </c>
      <c r="M1510" s="166">
        <f t="shared" si="2"/>
        <v>0.229955985</v>
      </c>
      <c r="N1510" s="167">
        <f t="shared" si="3"/>
        <v>26.99605856</v>
      </c>
      <c r="O1510" s="163">
        <f t="shared" ref="O1510:Q1510" si="1514">rank(I1510,I:I)</f>
        <v>490</v>
      </c>
      <c r="P1510" s="163">
        <f t="shared" si="1514"/>
        <v>3574</v>
      </c>
      <c r="Q1510" s="163">
        <f t="shared" si="1514"/>
        <v>3360</v>
      </c>
      <c r="R1510" s="163">
        <f>IFERROR(__xludf.DUMMYFUNCTION("RANK(M1510,filter(M:M,C:C=C1510))"),329.0)</f>
        <v>329</v>
      </c>
      <c r="S1510" s="161" t="b">
        <f t="shared" si="5"/>
        <v>0</v>
      </c>
      <c r="T1510" s="161" t="b">
        <f t="array" ref="T1510">index('Query Tool'!B:B,match(H1510,'Query Tool'!C:C,0))</f>
        <v>1</v>
      </c>
      <c r="U1510" s="161" t="b">
        <f t="array" ref="U1510">index('Query Tool'!B:B,match(C1510,'Query Tool'!C:C,0))</f>
        <v>0</v>
      </c>
      <c r="V1510" s="161" t="b">
        <f>F1510&gt;='Query Tool'!C$32</f>
        <v>1</v>
      </c>
      <c r="W1510" s="161" t="b">
        <f t="array" ref="W1510">index(Dropdowns!B:B,match(I1510,Dropdowns!A:A,0))</f>
        <v>1</v>
      </c>
      <c r="X1510" s="161" t="b">
        <f t="array" ref="X1510">index('Query Tool'!B:B,match(D1510,'Query Tool'!C:C,0))</f>
        <v>1</v>
      </c>
      <c r="Y1510" s="161" t="str">
        <f t="shared" si="6"/>
        <v>ellismo01,2016-17</v>
      </c>
      <c r="Z1510" s="168" t="str">
        <f t="array" ref="Z1510">iferror(index(I:I,match($A1510&amp;","&amp;index('Year Conversion'!$A:$A,match($C1510,'Year Conversion'!$B:$B,0)),$Y:$Y,0))-I1510,"")</f>
        <v/>
      </c>
      <c r="AA1510" s="168" t="str">
        <f t="array" ref="AA1510">iferror(index(J:J,match($A1510&amp;","&amp;index('Year Conversion'!$A:$A,match($C1510,'Year Conversion'!$B:$B,0)),$Y:$Y,0))-J1510,"")</f>
        <v/>
      </c>
      <c r="AB1510" s="168" t="str">
        <f t="array" ref="AB1510">iferror(index(K:K,match($A1510&amp;","&amp;index('Year Conversion'!$A:$A,match($C1510,'Year Conversion'!$B:$B,0)),$Y:$Y,0))-K1510,"")</f>
        <v/>
      </c>
      <c r="AC1510" s="168" t="str">
        <f t="shared" si="7"/>
        <v>IND,2016-17</v>
      </c>
    </row>
    <row r="1511">
      <c r="A1511" s="161" t="str">
        <f>IFERROR(__xludf.DUMMYFUNCTION("""COMPUTED_VALUE"""),"willilo02")</f>
        <v>willilo02</v>
      </c>
      <c r="B1511" s="161" t="str">
        <f>IFERROR(__xludf.DUMMYFUNCTION("""COMPUTED_VALUE"""),"Lou Williams")</f>
        <v>Lou Williams</v>
      </c>
      <c r="C1511" s="162" t="str">
        <f>IFERROR(__xludf.DUMMYFUNCTION("""COMPUTED_VALUE"""),"2016-17")</f>
        <v>2016-17</v>
      </c>
      <c r="D1511" s="163" t="str">
        <f>IFERROR(__xludf.DUMMYFUNCTION("""COMPUTED_VALUE"""),"TOT")</f>
        <v>TOT</v>
      </c>
      <c r="E1511" s="164" t="str">
        <f>IFERROR(__xludf.DUMMYFUNCTION("""COMPUTED_VALUE"""),"Secondary Ball Handler")</f>
        <v>Secondary Ball Handler</v>
      </c>
      <c r="F1511" s="164">
        <f>IFERROR(__xludf.DUMMYFUNCTION("""COMPUTED_VALUE"""),1993.41333333333)</f>
        <v>1993.413333</v>
      </c>
      <c r="G1511" s="163">
        <f>IFERROR(__xludf.DUMMYFUNCTION("""COMPUTED_VALUE"""),81.0)</f>
        <v>81</v>
      </c>
      <c r="H1511" s="163" t="str">
        <f>IFERROR(__xludf.DUMMYFUNCTION("""COMPUTED_VALUE"""),"SG")</f>
        <v>SG</v>
      </c>
      <c r="I1511" s="163">
        <f>IFERROR(__xludf.DUMMYFUNCTION("""COMPUTED_VALUE"""),30.0)</f>
        <v>30</v>
      </c>
      <c r="J1511" s="165">
        <f>IFERROR(__xludf.DUMMYFUNCTION("""COMPUTED_VALUE"""),0.702142179514754)</f>
        <v>0.7021421795</v>
      </c>
      <c r="K1511" s="165">
        <f>IFERROR(__xludf.DUMMYFUNCTION("""COMPUTED_VALUE"""),3.01387068843134)</f>
        <v>3.013870688</v>
      </c>
      <c r="L1511" s="165">
        <f>IFERROR(__xludf.DUMMYFUNCTION("""COMPUTED_VALUE"""),-2.31172850891659)</f>
        <v>-2.311728509</v>
      </c>
      <c r="M1511" s="166">
        <f t="shared" si="2"/>
        <v>4.016169385</v>
      </c>
      <c r="N1511" s="167">
        <f t="shared" si="3"/>
        <v>24.61004115</v>
      </c>
      <c r="O1511" s="163">
        <f t="shared" ref="O1511:Q1511" si="1515">rank(I1511,I:I)</f>
        <v>655</v>
      </c>
      <c r="P1511" s="163">
        <f t="shared" si="1515"/>
        <v>796</v>
      </c>
      <c r="Q1511" s="163">
        <f t="shared" si="1515"/>
        <v>122</v>
      </c>
      <c r="R1511" s="163">
        <f>IFERROR(__xludf.DUMMYFUNCTION("RANK(M1511,filter(M:M,C:C=C1511))"),83.0)</f>
        <v>83</v>
      </c>
      <c r="S1511" s="161" t="b">
        <f t="shared" si="5"/>
        <v>0</v>
      </c>
      <c r="T1511" s="161" t="b">
        <f t="array" ref="T1511">index('Query Tool'!B:B,match(H1511,'Query Tool'!C:C,0))</f>
        <v>1</v>
      </c>
      <c r="U1511" s="161" t="b">
        <f t="array" ref="U1511">index('Query Tool'!B:B,match(C1511,'Query Tool'!C:C,0))</f>
        <v>0</v>
      </c>
      <c r="V1511" s="161" t="b">
        <f>F1511&gt;='Query Tool'!C$32</f>
        <v>1</v>
      </c>
      <c r="W1511" s="161" t="b">
        <f t="array" ref="W1511">index(Dropdowns!B:B,match(I1511,Dropdowns!A:A,0))</f>
        <v>1</v>
      </c>
      <c r="X1511" s="161" t="b">
        <f t="array" ref="X1511">index('Query Tool'!B:B,match(D1511,'Query Tool'!C:C,0))</f>
        <v>1</v>
      </c>
      <c r="Y1511" s="161" t="str">
        <f t="shared" si="6"/>
        <v>willilo02,2016-17</v>
      </c>
      <c r="Z1511" s="168">
        <f t="array" ref="Z1511">iferror(index(I:I,match($A1511&amp;","&amp;index('Year Conversion'!$A:$A,match($C1511,'Year Conversion'!$B:$B,0)),$Y:$Y,0))-I1511,"")</f>
        <v>1</v>
      </c>
      <c r="AA1511" s="168">
        <f t="array" ref="AA1511">iferror(index(J:J,match($A1511&amp;","&amp;index('Year Conversion'!$A:$A,match($C1511,'Year Conversion'!$B:$B,0)),$Y:$Y,0))-J1511,"")</f>
        <v>-0.3065167148</v>
      </c>
      <c r="AB1511" s="168">
        <f t="array" ref="AB1511">iferror(index(K:K,match($A1511&amp;","&amp;index('Year Conversion'!$A:$A,match($C1511,'Year Conversion'!$B:$B,0)),$Y:$Y,0))-K1511,"")</f>
        <v>0.5905208854</v>
      </c>
      <c r="AC1511" s="168" t="str">
        <f t="shared" si="7"/>
        <v>TOT,2016-17</v>
      </c>
    </row>
    <row r="1512">
      <c r="A1512" s="161" t="str">
        <f>IFERROR(__xludf.DUMMYFUNCTION("""COMPUTED_VALUE"""),"johnsam01")</f>
        <v>johnsam01</v>
      </c>
      <c r="B1512" s="161" t="str">
        <f>IFERROR(__xludf.DUMMYFUNCTION("""COMPUTED_VALUE"""),"Amir Johnson")</f>
        <v>Amir Johnson</v>
      </c>
      <c r="C1512" s="162" t="str">
        <f>IFERROR(__xludf.DUMMYFUNCTION("""COMPUTED_VALUE"""),"2016-17")</f>
        <v>2016-17</v>
      </c>
      <c r="D1512" s="163" t="str">
        <f>IFERROR(__xludf.DUMMYFUNCTION("""COMPUTED_VALUE"""),"BOS")</f>
        <v>BOS</v>
      </c>
      <c r="E1512" s="164" t="str">
        <f>IFERROR(__xludf.DUMMYFUNCTION("""COMPUTED_VALUE"""),"Roll + Cut Big")</f>
        <v>Roll + Cut Big</v>
      </c>
      <c r="F1512" s="164">
        <f>IFERROR(__xludf.DUMMYFUNCTION("""COMPUTED_VALUE"""),1607.985)</f>
        <v>1607.985</v>
      </c>
      <c r="G1512" s="163">
        <f>IFERROR(__xludf.DUMMYFUNCTION("""COMPUTED_VALUE"""),80.0)</f>
        <v>80</v>
      </c>
      <c r="H1512" s="163" t="str">
        <f>IFERROR(__xludf.DUMMYFUNCTION("""COMPUTED_VALUE"""),"PF")</f>
        <v>PF</v>
      </c>
      <c r="I1512" s="163">
        <f>IFERROR(__xludf.DUMMYFUNCTION("""COMPUTED_VALUE"""),29.0)</f>
        <v>29</v>
      </c>
      <c r="J1512" s="165">
        <f>IFERROR(__xludf.DUMMYFUNCTION("""COMPUTED_VALUE"""),0.11522213278174)</f>
        <v>0.1152221328</v>
      </c>
      <c r="K1512" s="165">
        <f>IFERROR(__xludf.DUMMYFUNCTION("""COMPUTED_VALUE"""),-1.72979733390287)</f>
        <v>-1.729797334</v>
      </c>
      <c r="L1512" s="165">
        <f>IFERROR(__xludf.DUMMYFUNCTION("""COMPUTED_VALUE"""),1.84501946668461)</f>
        <v>1.845019467</v>
      </c>
      <c r="M1512" s="166">
        <f t="shared" si="2"/>
        <v>2.6038854</v>
      </c>
      <c r="N1512" s="167">
        <f t="shared" si="3"/>
        <v>20.0998125</v>
      </c>
      <c r="O1512" s="163">
        <f t="shared" ref="O1512:Q1512" si="1516">rank(I1512,I:I)</f>
        <v>855</v>
      </c>
      <c r="P1512" s="163">
        <f t="shared" si="1516"/>
        <v>1168</v>
      </c>
      <c r="Q1512" s="163">
        <f t="shared" si="1516"/>
        <v>3538</v>
      </c>
      <c r="R1512" s="163">
        <f>IFERROR(__xludf.DUMMYFUNCTION("RANK(M1512,filter(M:M,C:C=C1512))"),127.0)</f>
        <v>127</v>
      </c>
      <c r="S1512" s="161" t="b">
        <f t="shared" si="5"/>
        <v>0</v>
      </c>
      <c r="T1512" s="161" t="b">
        <f t="array" ref="T1512">index('Query Tool'!B:B,match(H1512,'Query Tool'!C:C,0))</f>
        <v>1</v>
      </c>
      <c r="U1512" s="161" t="b">
        <f t="array" ref="U1512">index('Query Tool'!B:B,match(C1512,'Query Tool'!C:C,0))</f>
        <v>0</v>
      </c>
      <c r="V1512" s="161" t="b">
        <f>F1512&gt;='Query Tool'!C$32</f>
        <v>1</v>
      </c>
      <c r="W1512" s="161" t="b">
        <f t="array" ref="W1512">index(Dropdowns!B:B,match(I1512,Dropdowns!A:A,0))</f>
        <v>1</v>
      </c>
      <c r="X1512" s="161" t="b">
        <f t="array" ref="X1512">index('Query Tool'!B:B,match(D1512,'Query Tool'!C:C,0))</f>
        <v>1</v>
      </c>
      <c r="Y1512" s="161" t="str">
        <f t="shared" si="6"/>
        <v>johnsam01,2016-17</v>
      </c>
      <c r="Z1512" s="168">
        <f t="array" ref="Z1512">iferror(index(I:I,match($A1512&amp;","&amp;index('Year Conversion'!$A:$A,match($C1512,'Year Conversion'!$B:$B,0)),$Y:$Y,0))-I1512,"")</f>
        <v>1</v>
      </c>
      <c r="AA1512" s="168">
        <f t="array" ref="AA1512">iferror(index(J:J,match($A1512&amp;","&amp;index('Year Conversion'!$A:$A,match($C1512,'Year Conversion'!$B:$B,0)),$Y:$Y,0))-J1512,"")</f>
        <v>-0.6531447002</v>
      </c>
      <c r="AB1512" s="168">
        <f t="array" ref="AB1512">iferror(index(K:K,match($A1512&amp;","&amp;index('Year Conversion'!$A:$A,match($C1512,'Year Conversion'!$B:$B,0)),$Y:$Y,0))-K1512,"")</f>
        <v>-0.326317423</v>
      </c>
      <c r="AC1512" s="168" t="str">
        <f t="shared" si="7"/>
        <v>BOS,2016-17</v>
      </c>
    </row>
    <row r="1513">
      <c r="A1513" s="161" t="str">
        <f>IFERROR(__xludf.DUMMYFUNCTION("""COMPUTED_VALUE"""),"gortama01")</f>
        <v>gortama01</v>
      </c>
      <c r="B1513" s="161" t="str">
        <f>IFERROR(__xludf.DUMMYFUNCTION("""COMPUTED_VALUE"""),"Marcin Gortat")</f>
        <v>Marcin Gortat</v>
      </c>
      <c r="C1513" s="162" t="str">
        <f>IFERROR(__xludf.DUMMYFUNCTION("""COMPUTED_VALUE"""),"2016-17")</f>
        <v>2016-17</v>
      </c>
      <c r="D1513" s="163" t="str">
        <f>IFERROR(__xludf.DUMMYFUNCTION("""COMPUTED_VALUE"""),"WAS")</f>
        <v>WAS</v>
      </c>
      <c r="E1513" s="164" t="str">
        <f>IFERROR(__xludf.DUMMYFUNCTION("""COMPUTED_VALUE"""),"Post Scorer")</f>
        <v>Post Scorer</v>
      </c>
      <c r="F1513" s="164">
        <f>IFERROR(__xludf.DUMMYFUNCTION("""COMPUTED_VALUE"""),2555.47833333333)</f>
        <v>2555.478333</v>
      </c>
      <c r="G1513" s="163">
        <f>IFERROR(__xludf.DUMMYFUNCTION("""COMPUTED_VALUE"""),82.0)</f>
        <v>82</v>
      </c>
      <c r="H1513" s="163" t="str">
        <f>IFERROR(__xludf.DUMMYFUNCTION("""COMPUTED_VALUE"""),"C")</f>
        <v>C</v>
      </c>
      <c r="I1513" s="163">
        <f>IFERROR(__xludf.DUMMYFUNCTION("""COMPUTED_VALUE"""),32.0)</f>
        <v>32</v>
      </c>
      <c r="J1513" s="165">
        <f>IFERROR(__xludf.DUMMYFUNCTION("""COMPUTED_VALUE"""),0.155120339987415)</f>
        <v>0.15512034</v>
      </c>
      <c r="K1513" s="165">
        <f>IFERROR(__xludf.DUMMYFUNCTION("""COMPUTED_VALUE"""),-0.37150246671802)</f>
        <v>-0.3715024667</v>
      </c>
      <c r="L1513" s="165">
        <f>IFERROR(__xludf.DUMMYFUNCTION("""COMPUTED_VALUE"""),0.526622806705434)</f>
        <v>0.5266228067</v>
      </c>
      <c r="M1513" s="166">
        <f t="shared" si="2"/>
        <v>4.206940169</v>
      </c>
      <c r="N1513" s="167">
        <f t="shared" si="3"/>
        <v>31.16436992</v>
      </c>
      <c r="O1513" s="163">
        <f t="shared" ref="O1513:Q1513" si="1517">rank(I1513,I:I)</f>
        <v>359</v>
      </c>
      <c r="P1513" s="163">
        <f t="shared" si="1517"/>
        <v>1125</v>
      </c>
      <c r="Q1513" s="163">
        <f t="shared" si="1517"/>
        <v>1897</v>
      </c>
      <c r="R1513" s="163">
        <f>IFERROR(__xludf.DUMMYFUNCTION("RANK(M1513,filter(M:M,C:C=C1513))"),75.0)</f>
        <v>75</v>
      </c>
      <c r="S1513" s="161" t="b">
        <f t="shared" si="5"/>
        <v>0</v>
      </c>
      <c r="T1513" s="161" t="b">
        <f t="array" ref="T1513">index('Query Tool'!B:B,match(H1513,'Query Tool'!C:C,0))</f>
        <v>1</v>
      </c>
      <c r="U1513" s="161" t="b">
        <f t="array" ref="U1513">index('Query Tool'!B:B,match(C1513,'Query Tool'!C:C,0))</f>
        <v>0</v>
      </c>
      <c r="V1513" s="161" t="b">
        <f>F1513&gt;='Query Tool'!C$32</f>
        <v>1</v>
      </c>
      <c r="W1513" s="161" t="b">
        <f t="array" ref="W1513">index(Dropdowns!B:B,match(I1513,Dropdowns!A:A,0))</f>
        <v>1</v>
      </c>
      <c r="X1513" s="161" t="b">
        <f t="array" ref="X1513">index('Query Tool'!B:B,match(D1513,'Query Tool'!C:C,0))</f>
        <v>1</v>
      </c>
      <c r="Y1513" s="161" t="str">
        <f t="shared" si="6"/>
        <v>gortama01,2016-17</v>
      </c>
      <c r="Z1513" s="168">
        <f t="array" ref="Z1513">iferror(index(I:I,match($A1513&amp;","&amp;index('Year Conversion'!$A:$A,match($C1513,'Year Conversion'!$B:$B,0)),$Y:$Y,0))-I1513,"")</f>
        <v>1</v>
      </c>
      <c r="AA1513" s="168">
        <f t="array" ref="AA1513">iferror(index(J:J,match($A1513&amp;","&amp;index('Year Conversion'!$A:$A,match($C1513,'Year Conversion'!$B:$B,0)),$Y:$Y,0))-J1513,"")</f>
        <v>-0.6696526333</v>
      </c>
      <c r="AB1513" s="168">
        <f t="array" ref="AB1513">iferror(index(K:K,match($A1513&amp;","&amp;index('Year Conversion'!$A:$A,match($C1513,'Year Conversion'!$B:$B,0)),$Y:$Y,0))-K1513,"")</f>
        <v>-1.550133792</v>
      </c>
      <c r="AC1513" s="168" t="str">
        <f t="shared" si="7"/>
        <v>WAS,2016-17</v>
      </c>
    </row>
    <row r="1514">
      <c r="A1514" s="161" t="str">
        <f>IFERROR(__xludf.DUMMYFUNCTION("""COMPUTED_VALUE"""),"pricero01")</f>
        <v>pricero01</v>
      </c>
      <c r="B1514" s="161" t="str">
        <f>IFERROR(__xludf.DUMMYFUNCTION("""COMPUTED_VALUE"""),"Ronnie Price")</f>
        <v>Ronnie Price</v>
      </c>
      <c r="C1514" s="162" t="str">
        <f>IFERROR(__xludf.DUMMYFUNCTION("""COMPUTED_VALUE"""),"2016-17")</f>
        <v>2016-17</v>
      </c>
      <c r="D1514" s="163" t="str">
        <f>IFERROR(__xludf.DUMMYFUNCTION("""COMPUTED_VALUE"""),"PHO")</f>
        <v>PHO</v>
      </c>
      <c r="E1514" s="164" t="str">
        <f>IFERROR(__xludf.DUMMYFUNCTION("""COMPUTED_VALUE"""),"Secondary Ball Handler")</f>
        <v>Secondary Ball Handler</v>
      </c>
      <c r="F1514" s="164">
        <f>IFERROR(__xludf.DUMMYFUNCTION("""COMPUTED_VALUE"""),134.195)</f>
        <v>134.195</v>
      </c>
      <c r="G1514" s="163">
        <f>IFERROR(__xludf.DUMMYFUNCTION("""COMPUTED_VALUE"""),14.0)</f>
        <v>14</v>
      </c>
      <c r="H1514" s="163" t="str">
        <f>IFERROR(__xludf.DUMMYFUNCTION("""COMPUTED_VALUE"""),"PG")</f>
        <v>PG</v>
      </c>
      <c r="I1514" s="163">
        <f>IFERROR(__xludf.DUMMYFUNCTION("""COMPUTED_VALUE"""),33.0)</f>
        <v>33</v>
      </c>
      <c r="J1514" s="165">
        <f>IFERROR(__xludf.DUMMYFUNCTION("""COMPUTED_VALUE"""),-0.559842314315701)</f>
        <v>-0.5598423143</v>
      </c>
      <c r="K1514" s="165">
        <f>IFERROR(__xludf.DUMMYFUNCTION("""COMPUTED_VALUE"""),-0.506338836075121)</f>
        <v>-0.5063388361</v>
      </c>
      <c r="L1514" s="165">
        <f>IFERROR(__xludf.DUMMYFUNCTION("""COMPUTED_VALUE"""),-0.0535034782405802)</f>
        <v>-0.05350347824</v>
      </c>
      <c r="M1514" s="166">
        <f t="shared" si="2"/>
        <v>0.1562554412</v>
      </c>
      <c r="N1514" s="167">
        <f t="shared" si="3"/>
        <v>9.585357143</v>
      </c>
      <c r="O1514" s="163">
        <f t="shared" ref="O1514:Q1514" si="1518">rank(I1514,I:I)</f>
        <v>246</v>
      </c>
      <c r="P1514" s="163">
        <f t="shared" si="1518"/>
        <v>1932</v>
      </c>
      <c r="Q1514" s="163">
        <f t="shared" si="1518"/>
        <v>2114</v>
      </c>
      <c r="R1514" s="163">
        <f>IFERROR(__xludf.DUMMYFUNCTION("RANK(M1514,filter(M:M,C:C=C1514))"),354.0)</f>
        <v>354</v>
      </c>
      <c r="S1514" s="161" t="b">
        <f t="shared" si="5"/>
        <v>0</v>
      </c>
      <c r="T1514" s="161" t="b">
        <f t="array" ref="T1514">index('Query Tool'!B:B,match(H1514,'Query Tool'!C:C,0))</f>
        <v>1</v>
      </c>
      <c r="U1514" s="161" t="b">
        <f t="array" ref="U1514">index('Query Tool'!B:B,match(C1514,'Query Tool'!C:C,0))</f>
        <v>0</v>
      </c>
      <c r="V1514" s="161" t="b">
        <f>F1514&gt;='Query Tool'!C$32</f>
        <v>0</v>
      </c>
      <c r="W1514" s="161" t="b">
        <f t="array" ref="W1514">index(Dropdowns!B:B,match(I1514,Dropdowns!A:A,0))</f>
        <v>1</v>
      </c>
      <c r="X1514" s="161" t="b">
        <f t="array" ref="X1514">index('Query Tool'!B:B,match(D1514,'Query Tool'!C:C,0))</f>
        <v>1</v>
      </c>
      <c r="Y1514" s="161" t="str">
        <f t="shared" si="6"/>
        <v>pricero01,2016-17</v>
      </c>
      <c r="Z1514" s="168" t="str">
        <f t="array" ref="Z1514">iferror(index(I:I,match($A1514&amp;","&amp;index('Year Conversion'!$A:$A,match($C1514,'Year Conversion'!$B:$B,0)),$Y:$Y,0))-I1514,"")</f>
        <v/>
      </c>
      <c r="AA1514" s="168" t="str">
        <f t="array" ref="AA1514">iferror(index(J:J,match($A1514&amp;","&amp;index('Year Conversion'!$A:$A,match($C1514,'Year Conversion'!$B:$B,0)),$Y:$Y,0))-J1514,"")</f>
        <v/>
      </c>
      <c r="AB1514" s="168" t="str">
        <f t="array" ref="AB1514">iferror(index(K:K,match($A1514&amp;","&amp;index('Year Conversion'!$A:$A,match($C1514,'Year Conversion'!$B:$B,0)),$Y:$Y,0))-K1514,"")</f>
        <v/>
      </c>
      <c r="AC1514" s="168" t="str">
        <f t="shared" si="7"/>
        <v>PHO,2016-17</v>
      </c>
    </row>
    <row r="1515">
      <c r="A1515" s="161" t="str">
        <f>IFERROR(__xludf.DUMMYFUNCTION("""COMPUTED_VALUE"""),"caldejo01")</f>
        <v>caldejo01</v>
      </c>
      <c r="B1515" s="161" t="str">
        <f>IFERROR(__xludf.DUMMYFUNCTION("""COMPUTED_VALUE"""),"Jose Calderon")</f>
        <v>Jose Calderon</v>
      </c>
      <c r="C1515" s="162" t="str">
        <f>IFERROR(__xludf.DUMMYFUNCTION("""COMPUTED_VALUE"""),"2016-17")</f>
        <v>2016-17</v>
      </c>
      <c r="D1515" s="163" t="str">
        <f>IFERROR(__xludf.DUMMYFUNCTION("""COMPUTED_VALUE"""),"TOT")</f>
        <v>TOT</v>
      </c>
      <c r="E1515" s="164" t="str">
        <f>IFERROR(__xludf.DUMMYFUNCTION("""COMPUTED_VALUE"""),"Secondary Ball Handler")</f>
        <v>Secondary Ball Handler</v>
      </c>
      <c r="F1515" s="164">
        <f>IFERROR(__xludf.DUMMYFUNCTION("""COMPUTED_VALUE"""),538.798333333333)</f>
        <v>538.7983333</v>
      </c>
      <c r="G1515" s="163">
        <f>IFERROR(__xludf.DUMMYFUNCTION("""COMPUTED_VALUE"""),41.0)</f>
        <v>41</v>
      </c>
      <c r="H1515" s="163" t="str">
        <f>IFERROR(__xludf.DUMMYFUNCTION("""COMPUTED_VALUE"""),"PG")</f>
        <v>PG</v>
      </c>
      <c r="I1515" s="163">
        <f>IFERROR(__xludf.DUMMYFUNCTION("""COMPUTED_VALUE"""),35.0)</f>
        <v>35</v>
      </c>
      <c r="J1515" s="165">
        <f>IFERROR(__xludf.DUMMYFUNCTION("""COMPUTED_VALUE"""),-1.4977766149161)</f>
        <v>-1.497776615</v>
      </c>
      <c r="K1515" s="165">
        <f>IFERROR(__xludf.DUMMYFUNCTION("""COMPUTED_VALUE"""),-1.13740548515938)</f>
        <v>-1.137405485</v>
      </c>
      <c r="L1515" s="165">
        <f>IFERROR(__xludf.DUMMYFUNCTION("""COMPUTED_VALUE"""),-0.360371129756721)</f>
        <v>-0.3603711298</v>
      </c>
      <c r="M1515" s="166">
        <f t="shared" si="2"/>
        <v>0.2882657941</v>
      </c>
      <c r="N1515" s="167">
        <f t="shared" si="3"/>
        <v>13.14142276</v>
      </c>
      <c r="O1515" s="163">
        <f t="shared" ref="O1515:Q1515" si="1519">rank(I1515,I:I)</f>
        <v>104</v>
      </c>
      <c r="P1515" s="163">
        <f t="shared" si="1519"/>
        <v>3052</v>
      </c>
      <c r="Q1515" s="163">
        <f t="shared" si="1519"/>
        <v>2970</v>
      </c>
      <c r="R1515" s="163">
        <f>IFERROR(__xludf.DUMMYFUNCTION("RANK(M1515,filter(M:M,C:C=C1515))"),321.0)</f>
        <v>321</v>
      </c>
      <c r="S1515" s="161" t="b">
        <f t="shared" si="5"/>
        <v>0</v>
      </c>
      <c r="T1515" s="161" t="b">
        <f t="array" ref="T1515">index('Query Tool'!B:B,match(H1515,'Query Tool'!C:C,0))</f>
        <v>1</v>
      </c>
      <c r="U1515" s="161" t="b">
        <f t="array" ref="U1515">index('Query Tool'!B:B,match(C1515,'Query Tool'!C:C,0))</f>
        <v>0</v>
      </c>
      <c r="V1515" s="161" t="b">
        <f>F1515&gt;='Query Tool'!C$32</f>
        <v>1</v>
      </c>
      <c r="W1515" s="161" t="b">
        <f t="array" ref="W1515">index(Dropdowns!B:B,match(I1515,Dropdowns!A:A,0))</f>
        <v>1</v>
      </c>
      <c r="X1515" s="161" t="b">
        <f t="array" ref="X1515">index('Query Tool'!B:B,match(D1515,'Query Tool'!C:C,0))</f>
        <v>1</v>
      </c>
      <c r="Y1515" s="161" t="str">
        <f t="shared" si="6"/>
        <v>caldejo01,2016-17</v>
      </c>
      <c r="Z1515" s="168">
        <f t="array" ref="Z1515">iferror(index(I:I,match($A1515&amp;","&amp;index('Year Conversion'!$A:$A,match($C1515,'Year Conversion'!$B:$B,0)),$Y:$Y,0))-I1515,"")</f>
        <v>1</v>
      </c>
      <c r="AA1515" s="168">
        <f t="array" ref="AA1515">iferror(index(J:J,match($A1515&amp;","&amp;index('Year Conversion'!$A:$A,match($C1515,'Year Conversion'!$B:$B,0)),$Y:$Y,0))-J1515,"")</f>
        <v>-0.6292038669</v>
      </c>
      <c r="AB1515" s="168">
        <f t="array" ref="AB1515">iferror(index(K:K,match($A1515&amp;","&amp;index('Year Conversion'!$A:$A,match($C1515,'Year Conversion'!$B:$B,0)),$Y:$Y,0))-K1515,"")</f>
        <v>-0.3977841434</v>
      </c>
      <c r="AC1515" s="168" t="str">
        <f t="shared" si="7"/>
        <v>TOT,2016-17</v>
      </c>
    </row>
    <row r="1516">
      <c r="A1516" s="161" t="str">
        <f>IFERROR(__xludf.DUMMYFUNCTION("""COMPUTED_VALUE"""),"anderal01")</f>
        <v>anderal01</v>
      </c>
      <c r="B1516" s="161" t="str">
        <f>IFERROR(__xludf.DUMMYFUNCTION("""COMPUTED_VALUE"""),"Alan Anderson")</f>
        <v>Alan Anderson</v>
      </c>
      <c r="C1516" s="162" t="str">
        <f>IFERROR(__xludf.DUMMYFUNCTION("""COMPUTED_VALUE"""),"2016-17")</f>
        <v>2016-17</v>
      </c>
      <c r="D1516" s="163" t="str">
        <f>IFERROR(__xludf.DUMMYFUNCTION("""COMPUTED_VALUE"""),"LAC")</f>
        <v>LAC</v>
      </c>
      <c r="E1516" s="164" t="str">
        <f>IFERROR(__xludf.DUMMYFUNCTION("""COMPUTED_VALUE"""),"Stationary Shooter")</f>
        <v>Stationary Shooter</v>
      </c>
      <c r="F1516" s="164">
        <f>IFERROR(__xludf.DUMMYFUNCTION("""COMPUTED_VALUE"""),308.368333333333)</f>
        <v>308.3683333</v>
      </c>
      <c r="G1516" s="163">
        <f>IFERROR(__xludf.DUMMYFUNCTION("""COMPUTED_VALUE"""),30.0)</f>
        <v>30</v>
      </c>
      <c r="H1516" s="163" t="str">
        <f>IFERROR(__xludf.DUMMYFUNCTION("""COMPUTED_VALUE"""),"SF")</f>
        <v>SF</v>
      </c>
      <c r="I1516" s="163">
        <f>IFERROR(__xludf.DUMMYFUNCTION("""COMPUTED_VALUE"""),34.0)</f>
        <v>34</v>
      </c>
      <c r="J1516" s="165">
        <f>IFERROR(__xludf.DUMMYFUNCTION("""COMPUTED_VALUE"""),-3.74082049683108)</f>
        <v>-3.740820497</v>
      </c>
      <c r="K1516" s="165">
        <f>IFERROR(__xludf.DUMMYFUNCTION("""COMPUTED_VALUE"""),-1.70315620183464)</f>
        <v>-1.703156202</v>
      </c>
      <c r="L1516" s="165">
        <f>IFERROR(__xludf.DUMMYFUNCTION("""COMPUTED_VALUE"""),-2.03766429499643)</f>
        <v>-2.037664295</v>
      </c>
      <c r="M1516" s="166">
        <f t="shared" si="2"/>
        <v>-0.2875360044</v>
      </c>
      <c r="N1516" s="167">
        <f t="shared" si="3"/>
        <v>10.27894444</v>
      </c>
      <c r="O1516" s="163">
        <f t="shared" ref="O1516:Q1516" si="1520">rank(I1516,I:I)</f>
        <v>164</v>
      </c>
      <c r="P1516" s="163">
        <f t="shared" si="1520"/>
        <v>3987</v>
      </c>
      <c r="Q1516" s="163">
        <f t="shared" si="1520"/>
        <v>3519</v>
      </c>
      <c r="R1516" s="163">
        <f>IFERROR(__xludf.DUMMYFUNCTION("RANK(M1516,filter(M:M,C:C=C1516))"),467.0)</f>
        <v>467</v>
      </c>
      <c r="S1516" s="161" t="b">
        <f t="shared" si="5"/>
        <v>0</v>
      </c>
      <c r="T1516" s="161" t="b">
        <f t="array" ref="T1516">index('Query Tool'!B:B,match(H1516,'Query Tool'!C:C,0))</f>
        <v>1</v>
      </c>
      <c r="U1516" s="161" t="b">
        <f t="array" ref="U1516">index('Query Tool'!B:B,match(C1516,'Query Tool'!C:C,0))</f>
        <v>0</v>
      </c>
      <c r="V1516" s="161" t="b">
        <f>F1516&gt;='Query Tool'!C$32</f>
        <v>0</v>
      </c>
      <c r="W1516" s="161" t="b">
        <f t="array" ref="W1516">index(Dropdowns!B:B,match(I1516,Dropdowns!A:A,0))</f>
        <v>1</v>
      </c>
      <c r="X1516" s="161" t="b">
        <f t="array" ref="X1516">index('Query Tool'!B:B,match(D1516,'Query Tool'!C:C,0))</f>
        <v>1</v>
      </c>
      <c r="Y1516" s="161" t="str">
        <f t="shared" si="6"/>
        <v>anderal01,2016-17</v>
      </c>
      <c r="Z1516" s="168" t="str">
        <f t="array" ref="Z1516">iferror(index(I:I,match($A1516&amp;","&amp;index('Year Conversion'!$A:$A,match($C1516,'Year Conversion'!$B:$B,0)),$Y:$Y,0))-I1516,"")</f>
        <v/>
      </c>
      <c r="AA1516" s="168" t="str">
        <f t="array" ref="AA1516">iferror(index(J:J,match($A1516&amp;","&amp;index('Year Conversion'!$A:$A,match($C1516,'Year Conversion'!$B:$B,0)),$Y:$Y,0))-J1516,"")</f>
        <v/>
      </c>
      <c r="AB1516" s="168" t="str">
        <f t="array" ref="AB1516">iferror(index(K:K,match($A1516&amp;","&amp;index('Year Conversion'!$A:$A,match($C1516,'Year Conversion'!$B:$B,0)),$Y:$Y,0))-K1516,"")</f>
        <v/>
      </c>
      <c r="AC1516" s="168" t="str">
        <f t="shared" si="7"/>
        <v>LAC,2016-17</v>
      </c>
    </row>
    <row r="1517">
      <c r="A1517" s="161" t="str">
        <f>IFERROR(__xludf.DUMMYFUNCTION("""COMPUTED_VALUE"""),"lucasjo02")</f>
        <v>lucasjo02</v>
      </c>
      <c r="B1517" s="161" t="str">
        <f>IFERROR(__xludf.DUMMYFUNCTION("""COMPUTED_VALUE"""),"John Lucas III")</f>
        <v>John Lucas III</v>
      </c>
      <c r="C1517" s="162" t="str">
        <f>IFERROR(__xludf.DUMMYFUNCTION("""COMPUTED_VALUE"""),"2016-17")</f>
        <v>2016-17</v>
      </c>
      <c r="D1517" s="163" t="str">
        <f>IFERROR(__xludf.DUMMYFUNCTION("""COMPUTED_VALUE"""),"MIN")</f>
        <v>MIN</v>
      </c>
      <c r="E1517" s="164" t="str">
        <f>IFERROR(__xludf.DUMMYFUNCTION("""COMPUTED_VALUE"""),"Stationary Shooter")</f>
        <v>Stationary Shooter</v>
      </c>
      <c r="F1517" s="164">
        <f>IFERROR(__xludf.DUMMYFUNCTION("""COMPUTED_VALUE"""),10.68)</f>
        <v>10.68</v>
      </c>
      <c r="G1517" s="163">
        <f>IFERROR(__xludf.DUMMYFUNCTION("""COMPUTED_VALUE"""),5.0)</f>
        <v>5</v>
      </c>
      <c r="H1517" s="163" t="str">
        <f>IFERROR(__xludf.DUMMYFUNCTION("""COMPUTED_VALUE"""),"PG")</f>
        <v>PG</v>
      </c>
      <c r="I1517" s="163">
        <f>IFERROR(__xludf.DUMMYFUNCTION("""COMPUTED_VALUE"""),34.0)</f>
        <v>34</v>
      </c>
      <c r="J1517" s="165">
        <f>IFERROR(__xludf.DUMMYFUNCTION("""COMPUTED_VALUE"""),-0.456411655796758)</f>
        <v>-0.4564116558</v>
      </c>
      <c r="K1517" s="165">
        <f>IFERROR(__xludf.DUMMYFUNCTION("""COMPUTED_VALUE"""),-0.253090950643454)</f>
        <v>-0.2530909506</v>
      </c>
      <c r="L1517" s="165">
        <f>IFERROR(__xludf.DUMMYFUNCTION("""COMPUTED_VALUE"""),-0.203320705153304)</f>
        <v>-0.2033207052</v>
      </c>
      <c r="M1517" s="166">
        <f t="shared" si="2"/>
        <v>0.01317962827</v>
      </c>
      <c r="N1517" s="167">
        <f t="shared" si="3"/>
        <v>2.136</v>
      </c>
      <c r="O1517" s="163">
        <f t="shared" ref="O1517:Q1517" si="1521">rank(I1517,I:I)</f>
        <v>164</v>
      </c>
      <c r="P1517" s="163">
        <f t="shared" si="1521"/>
        <v>1786</v>
      </c>
      <c r="Q1517" s="163">
        <f t="shared" si="1521"/>
        <v>1673</v>
      </c>
      <c r="R1517" s="163">
        <f>IFERROR(__xludf.DUMMYFUNCTION("RANK(M1517,filter(M:M,C:C=C1517))"),439.0)</f>
        <v>439</v>
      </c>
      <c r="S1517" s="161" t="b">
        <f t="shared" si="5"/>
        <v>0</v>
      </c>
      <c r="T1517" s="161" t="b">
        <f t="array" ref="T1517">index('Query Tool'!B:B,match(H1517,'Query Tool'!C:C,0))</f>
        <v>1</v>
      </c>
      <c r="U1517" s="161" t="b">
        <f t="array" ref="U1517">index('Query Tool'!B:B,match(C1517,'Query Tool'!C:C,0))</f>
        <v>0</v>
      </c>
      <c r="V1517" s="161" t="b">
        <f>F1517&gt;='Query Tool'!C$32</f>
        <v>0</v>
      </c>
      <c r="W1517" s="161" t="b">
        <f t="array" ref="W1517">index(Dropdowns!B:B,match(I1517,Dropdowns!A:A,0))</f>
        <v>1</v>
      </c>
      <c r="X1517" s="161" t="b">
        <f t="array" ref="X1517">index('Query Tool'!B:B,match(D1517,'Query Tool'!C:C,0))</f>
        <v>1</v>
      </c>
      <c r="Y1517" s="161" t="str">
        <f t="shared" si="6"/>
        <v>lucasjo02,2016-17</v>
      </c>
      <c r="Z1517" s="168" t="str">
        <f t="array" ref="Z1517">iferror(index(I:I,match($A1517&amp;","&amp;index('Year Conversion'!$A:$A,match($C1517,'Year Conversion'!$B:$B,0)),$Y:$Y,0))-I1517,"")</f>
        <v/>
      </c>
      <c r="AA1517" s="168" t="str">
        <f t="array" ref="AA1517">iferror(index(J:J,match($A1517&amp;","&amp;index('Year Conversion'!$A:$A,match($C1517,'Year Conversion'!$B:$B,0)),$Y:$Y,0))-J1517,"")</f>
        <v/>
      </c>
      <c r="AB1517" s="168" t="str">
        <f t="array" ref="AB1517">iferror(index(K:K,match($A1517&amp;","&amp;index('Year Conversion'!$A:$A,match($C1517,'Year Conversion'!$B:$B,0)),$Y:$Y,0))-K1517,"")</f>
        <v/>
      </c>
      <c r="AC1517" s="168" t="str">
        <f t="shared" si="7"/>
        <v>MIN,2016-17</v>
      </c>
    </row>
    <row r="1518">
      <c r="A1518" s="161" t="str">
        <f>IFERROR(__xludf.DUMMYFUNCTION("""COMPUTED_VALUE"""),"aldrila01")</f>
        <v>aldrila01</v>
      </c>
      <c r="B1518" s="161" t="str">
        <f>IFERROR(__xludf.DUMMYFUNCTION("""COMPUTED_VALUE"""),"LaMarcus Aldridge")</f>
        <v>LaMarcus Aldridge</v>
      </c>
      <c r="C1518" s="162" t="str">
        <f>IFERROR(__xludf.DUMMYFUNCTION("""COMPUTED_VALUE"""),"2016-17")</f>
        <v>2016-17</v>
      </c>
      <c r="D1518" s="163" t="str">
        <f>IFERROR(__xludf.DUMMYFUNCTION("""COMPUTED_VALUE"""),"SAS")</f>
        <v>SAS</v>
      </c>
      <c r="E1518" s="164" t="str">
        <f>IFERROR(__xludf.DUMMYFUNCTION("""COMPUTED_VALUE"""),"Post Scorer")</f>
        <v>Post Scorer</v>
      </c>
      <c r="F1518" s="164">
        <f>IFERROR(__xludf.DUMMYFUNCTION("""COMPUTED_VALUE"""),2335.01166666667)</f>
        <v>2335.011667</v>
      </c>
      <c r="G1518" s="163">
        <f>IFERROR(__xludf.DUMMYFUNCTION("""COMPUTED_VALUE"""),72.0)</f>
        <v>72</v>
      </c>
      <c r="H1518" s="163" t="str">
        <f>IFERROR(__xludf.DUMMYFUNCTION("""COMPUTED_VALUE"""),"PF")</f>
        <v>PF</v>
      </c>
      <c r="I1518" s="163">
        <f>IFERROR(__xludf.DUMMYFUNCTION("""COMPUTED_VALUE"""),31.0)</f>
        <v>31</v>
      </c>
      <c r="J1518" s="165">
        <f>IFERROR(__xludf.DUMMYFUNCTION("""COMPUTED_VALUE"""),1.61658669791552)</f>
        <v>1.616586698</v>
      </c>
      <c r="K1518" s="165">
        <f>IFERROR(__xludf.DUMMYFUNCTION("""COMPUTED_VALUE"""),0.527247721065868)</f>
        <v>0.5272477211</v>
      </c>
      <c r="L1518" s="165">
        <f>IFERROR(__xludf.DUMMYFUNCTION("""COMPUTED_VALUE"""),1.08933897684965)</f>
        <v>1.089338977</v>
      </c>
      <c r="M1518" s="166">
        <f t="shared" si="2"/>
        <v>6.135507796</v>
      </c>
      <c r="N1518" s="167">
        <f t="shared" si="3"/>
        <v>32.43071759</v>
      </c>
      <c r="O1518" s="163">
        <f t="shared" ref="O1518:Q1518" si="1522">rank(I1518,I:I)</f>
        <v>490</v>
      </c>
      <c r="P1518" s="163">
        <f t="shared" si="1522"/>
        <v>425</v>
      </c>
      <c r="Q1518" s="163">
        <f t="shared" si="1522"/>
        <v>753</v>
      </c>
      <c r="R1518" s="163">
        <f>IFERROR(__xludf.DUMMYFUNCTION("RANK(M1518,filter(M:M,C:C=C1518))"),45.0)</f>
        <v>45</v>
      </c>
      <c r="S1518" s="161" t="b">
        <f t="shared" si="5"/>
        <v>0</v>
      </c>
      <c r="T1518" s="161" t="b">
        <f t="array" ref="T1518">index('Query Tool'!B:B,match(H1518,'Query Tool'!C:C,0))</f>
        <v>1</v>
      </c>
      <c r="U1518" s="161" t="b">
        <f t="array" ref="U1518">index('Query Tool'!B:B,match(C1518,'Query Tool'!C:C,0))</f>
        <v>0</v>
      </c>
      <c r="V1518" s="161" t="b">
        <f>F1518&gt;='Query Tool'!C$32</f>
        <v>1</v>
      </c>
      <c r="W1518" s="161" t="b">
        <f t="array" ref="W1518">index(Dropdowns!B:B,match(I1518,Dropdowns!A:A,0))</f>
        <v>1</v>
      </c>
      <c r="X1518" s="161" t="b">
        <f t="array" ref="X1518">index('Query Tool'!B:B,match(D1518,'Query Tool'!C:C,0))</f>
        <v>1</v>
      </c>
      <c r="Y1518" s="161" t="str">
        <f t="shared" si="6"/>
        <v>aldrila01,2016-17</v>
      </c>
      <c r="Z1518" s="168">
        <f t="array" ref="Z1518">iferror(index(I:I,match($A1518&amp;","&amp;index('Year Conversion'!$A:$A,match($C1518,'Year Conversion'!$B:$B,0)),$Y:$Y,0))-I1518,"")</f>
        <v>1</v>
      </c>
      <c r="AA1518" s="168">
        <f t="array" ref="AA1518">iferror(index(J:J,match($A1518&amp;","&amp;index('Year Conversion'!$A:$A,match($C1518,'Year Conversion'!$B:$B,0)),$Y:$Y,0))-J1518,"")</f>
        <v>2.778430378</v>
      </c>
      <c r="AB1518" s="168">
        <f t="array" ref="AB1518">iferror(index(K:K,match($A1518&amp;","&amp;index('Year Conversion'!$A:$A,match($C1518,'Year Conversion'!$B:$B,0)),$Y:$Y,0))-K1518,"")</f>
        <v>2.483696252</v>
      </c>
      <c r="AC1518" s="168" t="str">
        <f t="shared" si="7"/>
        <v>SAS,2016-17</v>
      </c>
    </row>
    <row r="1519">
      <c r="A1519" s="161" t="str">
        <f>IFERROR(__xludf.DUMMYFUNCTION("""COMPUTED_VALUE"""),"foyera01")</f>
        <v>foyera01</v>
      </c>
      <c r="B1519" s="161" t="str">
        <f>IFERROR(__xludf.DUMMYFUNCTION("""COMPUTED_VALUE"""),"Randy Foye")</f>
        <v>Randy Foye</v>
      </c>
      <c r="C1519" s="162" t="str">
        <f>IFERROR(__xludf.DUMMYFUNCTION("""COMPUTED_VALUE"""),"2016-17")</f>
        <v>2016-17</v>
      </c>
      <c r="D1519" s="163" t="str">
        <f>IFERROR(__xludf.DUMMYFUNCTION("""COMPUTED_VALUE"""),"BRK")</f>
        <v>BRK</v>
      </c>
      <c r="E1519" s="164" t="str">
        <f>IFERROR(__xludf.DUMMYFUNCTION("""COMPUTED_VALUE"""),"Secondary Ball Handler")</f>
        <v>Secondary Ball Handler</v>
      </c>
      <c r="F1519" s="164">
        <f>IFERROR(__xludf.DUMMYFUNCTION("""COMPUTED_VALUE"""),1284.27833333333)</f>
        <v>1284.278333</v>
      </c>
      <c r="G1519" s="163">
        <f>IFERROR(__xludf.DUMMYFUNCTION("""COMPUTED_VALUE"""),69.0)</f>
        <v>69</v>
      </c>
      <c r="H1519" s="163" t="str">
        <f>IFERROR(__xludf.DUMMYFUNCTION("""COMPUTED_VALUE"""),"SG")</f>
        <v>SG</v>
      </c>
      <c r="I1519" s="163">
        <f>IFERROR(__xludf.DUMMYFUNCTION("""COMPUTED_VALUE"""),33.0)</f>
        <v>33</v>
      </c>
      <c r="J1519" s="165">
        <f>IFERROR(__xludf.DUMMYFUNCTION("""COMPUTED_VALUE"""),-1.71147470555605)</f>
        <v>-1.711474706</v>
      </c>
      <c r="K1519" s="165">
        <f>IFERROR(__xludf.DUMMYFUNCTION("""COMPUTED_VALUE"""),-1.94531564209695)</f>
        <v>-1.945315642</v>
      </c>
      <c r="L1519" s="165">
        <f>IFERROR(__xludf.DUMMYFUNCTION("""COMPUTED_VALUE"""),0.233840936540898)</f>
        <v>0.2338409365</v>
      </c>
      <c r="M1519" s="166">
        <f t="shared" si="2"/>
        <v>0.5040539038</v>
      </c>
      <c r="N1519" s="167">
        <f t="shared" si="3"/>
        <v>18.61272947</v>
      </c>
      <c r="O1519" s="163">
        <f t="shared" ref="O1519:Q1519" si="1523">rank(I1519,I:I)</f>
        <v>246</v>
      </c>
      <c r="P1519" s="163">
        <f t="shared" si="1523"/>
        <v>3256</v>
      </c>
      <c r="Q1519" s="163">
        <f t="shared" si="1523"/>
        <v>3682</v>
      </c>
      <c r="R1519" s="163">
        <f>IFERROR(__xludf.DUMMYFUNCTION("RANK(M1519,filter(M:M,C:C=C1519))"),283.0)</f>
        <v>283</v>
      </c>
      <c r="S1519" s="161" t="b">
        <f t="shared" si="5"/>
        <v>0</v>
      </c>
      <c r="T1519" s="161" t="b">
        <f t="array" ref="T1519">index('Query Tool'!B:B,match(H1519,'Query Tool'!C:C,0))</f>
        <v>1</v>
      </c>
      <c r="U1519" s="161" t="b">
        <f t="array" ref="U1519">index('Query Tool'!B:B,match(C1519,'Query Tool'!C:C,0))</f>
        <v>0</v>
      </c>
      <c r="V1519" s="161" t="b">
        <f>F1519&gt;='Query Tool'!C$32</f>
        <v>1</v>
      </c>
      <c r="W1519" s="161" t="b">
        <f t="array" ref="W1519">index(Dropdowns!B:B,match(I1519,Dropdowns!A:A,0))</f>
        <v>1</v>
      </c>
      <c r="X1519" s="161" t="b">
        <f t="array" ref="X1519">index('Query Tool'!B:B,match(D1519,'Query Tool'!C:C,0))</f>
        <v>1</v>
      </c>
      <c r="Y1519" s="161" t="str">
        <f t="shared" si="6"/>
        <v>foyera01,2016-17</v>
      </c>
      <c r="Z1519" s="168" t="str">
        <f t="array" ref="Z1519">iferror(index(I:I,match($A1519&amp;","&amp;index('Year Conversion'!$A:$A,match($C1519,'Year Conversion'!$B:$B,0)),$Y:$Y,0))-I1519,"")</f>
        <v/>
      </c>
      <c r="AA1519" s="168" t="str">
        <f t="array" ref="AA1519">iferror(index(J:J,match($A1519&amp;","&amp;index('Year Conversion'!$A:$A,match($C1519,'Year Conversion'!$B:$B,0)),$Y:$Y,0))-J1519,"")</f>
        <v/>
      </c>
      <c r="AB1519" s="168" t="str">
        <f t="array" ref="AB1519">iferror(index(K:K,match($A1519&amp;","&amp;index('Year Conversion'!$A:$A,match($C1519,'Year Conversion'!$B:$B,0)),$Y:$Y,0))-K1519,"")</f>
        <v/>
      </c>
      <c r="AC1519" s="168" t="str">
        <f t="shared" si="7"/>
        <v>BRK,2016-17</v>
      </c>
    </row>
    <row r="1520">
      <c r="A1520" s="161" t="str">
        <f>IFERROR(__xludf.DUMMYFUNCTION("""COMPUTED_VALUE"""),"gayru01")</f>
        <v>gayru01</v>
      </c>
      <c r="B1520" s="161" t="str">
        <f>IFERROR(__xludf.DUMMYFUNCTION("""COMPUTED_VALUE"""),"Rudy Gay")</f>
        <v>Rudy Gay</v>
      </c>
      <c r="C1520" s="162" t="str">
        <f>IFERROR(__xludf.DUMMYFUNCTION("""COMPUTED_VALUE"""),"2016-17")</f>
        <v>2016-17</v>
      </c>
      <c r="D1520" s="163" t="str">
        <f>IFERROR(__xludf.DUMMYFUNCTION("""COMPUTED_VALUE"""),"SAC")</f>
        <v>SAC</v>
      </c>
      <c r="E1520" s="164" t="str">
        <f>IFERROR(__xludf.DUMMYFUNCTION("""COMPUTED_VALUE"""),"Shot Creator")</f>
        <v>Shot Creator</v>
      </c>
      <c r="F1520" s="164">
        <f>IFERROR(__xludf.DUMMYFUNCTION("""COMPUTED_VALUE"""),1012.89166666667)</f>
        <v>1012.891667</v>
      </c>
      <c r="G1520" s="163">
        <f>IFERROR(__xludf.DUMMYFUNCTION("""COMPUTED_VALUE"""),30.0)</f>
        <v>30</v>
      </c>
      <c r="H1520" s="163" t="str">
        <f>IFERROR(__xludf.DUMMYFUNCTION("""COMPUTED_VALUE"""),"SF")</f>
        <v>SF</v>
      </c>
      <c r="I1520" s="163">
        <f>IFERROR(__xludf.DUMMYFUNCTION("""COMPUTED_VALUE"""),30.0)</f>
        <v>30</v>
      </c>
      <c r="J1520" s="165">
        <f>IFERROR(__xludf.DUMMYFUNCTION("""COMPUTED_VALUE"""),1.99531589281102)</f>
        <v>1.995315893</v>
      </c>
      <c r="K1520" s="165">
        <f>IFERROR(__xludf.DUMMYFUNCTION("""COMPUTED_VALUE"""),0.570701902479671)</f>
        <v>0.5707019025</v>
      </c>
      <c r="L1520" s="165">
        <f>IFERROR(__xludf.DUMMYFUNCTION("""COMPUTED_VALUE"""),1.42461399033135)</f>
        <v>1.42461399</v>
      </c>
      <c r="M1520" s="166">
        <f t="shared" si="2"/>
        <v>2.916618727</v>
      </c>
      <c r="N1520" s="167">
        <f t="shared" si="3"/>
        <v>33.76305556</v>
      </c>
      <c r="O1520" s="163">
        <f t="shared" ref="O1520:Q1520" si="1524">rank(I1520,I:I)</f>
        <v>655</v>
      </c>
      <c r="P1520" s="163">
        <f t="shared" si="1524"/>
        <v>327</v>
      </c>
      <c r="Q1520" s="163">
        <f t="shared" si="1524"/>
        <v>731</v>
      </c>
      <c r="R1520" s="163">
        <f>IFERROR(__xludf.DUMMYFUNCTION("RANK(M1520,filter(M:M,C:C=C1520))"),114.0)</f>
        <v>114</v>
      </c>
      <c r="S1520" s="161" t="b">
        <f t="shared" si="5"/>
        <v>0</v>
      </c>
      <c r="T1520" s="161" t="b">
        <f t="array" ref="T1520">index('Query Tool'!B:B,match(H1520,'Query Tool'!C:C,0))</f>
        <v>1</v>
      </c>
      <c r="U1520" s="161" t="b">
        <f t="array" ref="U1520">index('Query Tool'!B:B,match(C1520,'Query Tool'!C:C,0))</f>
        <v>0</v>
      </c>
      <c r="V1520" s="161" t="b">
        <f>F1520&gt;='Query Tool'!C$32</f>
        <v>1</v>
      </c>
      <c r="W1520" s="161" t="b">
        <f t="array" ref="W1520">index(Dropdowns!B:B,match(I1520,Dropdowns!A:A,0))</f>
        <v>1</v>
      </c>
      <c r="X1520" s="161" t="b">
        <f t="array" ref="X1520">index('Query Tool'!B:B,match(D1520,'Query Tool'!C:C,0))</f>
        <v>1</v>
      </c>
      <c r="Y1520" s="161" t="str">
        <f t="shared" si="6"/>
        <v>gayru01,2016-17</v>
      </c>
      <c r="Z1520" s="168">
        <f t="array" ref="Z1520">iferror(index(I:I,match($A1520&amp;","&amp;index('Year Conversion'!$A:$A,match($C1520,'Year Conversion'!$B:$B,0)),$Y:$Y,0))-I1520,"")</f>
        <v>1</v>
      </c>
      <c r="AA1520" s="168">
        <f t="array" ref="AA1520">iferror(index(J:J,match($A1520&amp;","&amp;index('Year Conversion'!$A:$A,match($C1520,'Year Conversion'!$B:$B,0)),$Y:$Y,0))-J1520,"")</f>
        <v>-1.722505709</v>
      </c>
      <c r="AB1520" s="168">
        <f t="array" ref="AB1520">iferror(index(K:K,match($A1520&amp;","&amp;index('Year Conversion'!$A:$A,match($C1520,'Year Conversion'!$B:$B,0)),$Y:$Y,0))-K1520,"")</f>
        <v>-0.2456403612</v>
      </c>
      <c r="AC1520" s="168" t="str">
        <f t="shared" si="7"/>
        <v>SAC,2016-17</v>
      </c>
    </row>
    <row r="1521">
      <c r="A1521" s="161" t="str">
        <f>IFERROR(__xludf.DUMMYFUNCTION("""COMPUTED_VALUE"""),"redicjj01")</f>
        <v>redicjj01</v>
      </c>
      <c r="B1521" s="161" t="str">
        <f>IFERROR(__xludf.DUMMYFUNCTION("""COMPUTED_VALUE"""),"JJ Redick")</f>
        <v>JJ Redick</v>
      </c>
      <c r="C1521" s="162" t="str">
        <f>IFERROR(__xludf.DUMMYFUNCTION("""COMPUTED_VALUE"""),"2016-17")</f>
        <v>2016-17</v>
      </c>
      <c r="D1521" s="163" t="str">
        <f>IFERROR(__xludf.DUMMYFUNCTION("""COMPUTED_VALUE"""),"LAC")</f>
        <v>LAC</v>
      </c>
      <c r="E1521" s="164" t="str">
        <f>IFERROR(__xludf.DUMMYFUNCTION("""COMPUTED_VALUE"""),"Off Screen Shooter")</f>
        <v>Off Screen Shooter</v>
      </c>
      <c r="F1521" s="164">
        <f>IFERROR(__xludf.DUMMYFUNCTION("""COMPUTED_VALUE"""),2198.13166666667)</f>
        <v>2198.131667</v>
      </c>
      <c r="G1521" s="163">
        <f>IFERROR(__xludf.DUMMYFUNCTION("""COMPUTED_VALUE"""),78.0)</f>
        <v>78</v>
      </c>
      <c r="H1521" s="163" t="str">
        <f>IFERROR(__xludf.DUMMYFUNCTION("""COMPUTED_VALUE"""),"SG")</f>
        <v>SG</v>
      </c>
      <c r="I1521" s="163">
        <f>IFERROR(__xludf.DUMMYFUNCTION("""COMPUTED_VALUE"""),32.0)</f>
        <v>32</v>
      </c>
      <c r="J1521" s="165">
        <f>IFERROR(__xludf.DUMMYFUNCTION("""COMPUTED_VALUE"""),1.08509180426132)</f>
        <v>1.085091804</v>
      </c>
      <c r="K1521" s="165">
        <f>IFERROR(__xludf.DUMMYFUNCTION("""COMPUTED_VALUE"""),1.53446599929049)</f>
        <v>1.534465999</v>
      </c>
      <c r="L1521" s="165">
        <f>IFERROR(__xludf.DUMMYFUNCTION("""COMPUTED_VALUE"""),-0.449374195029167)</f>
        <v>-0.449374195</v>
      </c>
      <c r="M1521" s="166">
        <f t="shared" si="2"/>
        <v>4.994221692</v>
      </c>
      <c r="N1521" s="167">
        <f t="shared" si="3"/>
        <v>28.18117521</v>
      </c>
      <c r="O1521" s="163">
        <f t="shared" ref="O1521:Q1521" si="1525">rank(I1521,I:I)</f>
        <v>359</v>
      </c>
      <c r="P1521" s="163">
        <f t="shared" si="1525"/>
        <v>627</v>
      </c>
      <c r="Q1521" s="163">
        <f t="shared" si="1525"/>
        <v>309</v>
      </c>
      <c r="R1521" s="163">
        <f>IFERROR(__xludf.DUMMYFUNCTION("RANK(M1521,filter(M:M,C:C=C1521))"),55.0)</f>
        <v>55</v>
      </c>
      <c r="S1521" s="161" t="b">
        <f t="shared" si="5"/>
        <v>0</v>
      </c>
      <c r="T1521" s="161" t="b">
        <f t="array" ref="T1521">index('Query Tool'!B:B,match(H1521,'Query Tool'!C:C,0))</f>
        <v>1</v>
      </c>
      <c r="U1521" s="161" t="b">
        <f t="array" ref="U1521">index('Query Tool'!B:B,match(C1521,'Query Tool'!C:C,0))</f>
        <v>0</v>
      </c>
      <c r="V1521" s="161" t="b">
        <f>F1521&gt;='Query Tool'!C$32</f>
        <v>1</v>
      </c>
      <c r="W1521" s="161" t="b">
        <f t="array" ref="W1521">index(Dropdowns!B:B,match(I1521,Dropdowns!A:A,0))</f>
        <v>1</v>
      </c>
      <c r="X1521" s="161" t="b">
        <f t="array" ref="X1521">index('Query Tool'!B:B,match(D1521,'Query Tool'!C:C,0))</f>
        <v>1</v>
      </c>
      <c r="Y1521" s="161" t="str">
        <f t="shared" si="6"/>
        <v>redicjj01,2016-17</v>
      </c>
      <c r="Z1521" s="168">
        <f t="array" ref="Z1521">iferror(index(I:I,match($A1521&amp;","&amp;index('Year Conversion'!$A:$A,match($C1521,'Year Conversion'!$B:$B,0)),$Y:$Y,0))-I1521,"")</f>
        <v>1</v>
      </c>
      <c r="AA1521" s="168">
        <f t="array" ref="AA1521">iferror(index(J:J,match($A1521&amp;","&amp;index('Year Conversion'!$A:$A,match($C1521,'Year Conversion'!$B:$B,0)),$Y:$Y,0))-J1521,"")</f>
        <v>-0.4294061195</v>
      </c>
      <c r="AB1521" s="168">
        <f t="array" ref="AB1521">iferror(index(K:K,match($A1521&amp;","&amp;index('Year Conversion'!$A:$A,match($C1521,'Year Conversion'!$B:$B,0)),$Y:$Y,0))-K1521,"")</f>
        <v>-0.01942253133</v>
      </c>
      <c r="AC1521" s="168" t="str">
        <f t="shared" si="7"/>
        <v>LAC,2016-17</v>
      </c>
    </row>
    <row r="1522">
      <c r="A1522" s="161" t="str">
        <f>IFERROR(__xludf.DUMMYFUNCTION("""COMPUTED_VALUE"""),"sefolth01")</f>
        <v>sefolth01</v>
      </c>
      <c r="B1522" s="161" t="str">
        <f>IFERROR(__xludf.DUMMYFUNCTION("""COMPUTED_VALUE"""),"Thabo Sefolosha")</f>
        <v>Thabo Sefolosha</v>
      </c>
      <c r="C1522" s="162" t="str">
        <f>IFERROR(__xludf.DUMMYFUNCTION("""COMPUTED_VALUE"""),"2016-17")</f>
        <v>2016-17</v>
      </c>
      <c r="D1522" s="163" t="str">
        <f>IFERROR(__xludf.DUMMYFUNCTION("""COMPUTED_VALUE"""),"ATL")</f>
        <v>ATL</v>
      </c>
      <c r="E1522" s="164" t="str">
        <f>IFERROR(__xludf.DUMMYFUNCTION("""COMPUTED_VALUE"""),"Athletic Finisher")</f>
        <v>Athletic Finisher</v>
      </c>
      <c r="F1522" s="164">
        <f>IFERROR(__xludf.DUMMYFUNCTION("""COMPUTED_VALUE"""),1595.565)</f>
        <v>1595.565</v>
      </c>
      <c r="G1522" s="163">
        <f>IFERROR(__xludf.DUMMYFUNCTION("""COMPUTED_VALUE"""),62.0)</f>
        <v>62</v>
      </c>
      <c r="H1522" s="163" t="str">
        <f>IFERROR(__xludf.DUMMYFUNCTION("""COMPUTED_VALUE"""),"SF")</f>
        <v>SF</v>
      </c>
      <c r="I1522" s="163">
        <f>IFERROR(__xludf.DUMMYFUNCTION("""COMPUTED_VALUE"""),32.0)</f>
        <v>32</v>
      </c>
      <c r="J1522" s="165">
        <f>IFERROR(__xludf.DUMMYFUNCTION("""COMPUTED_VALUE"""),0.116622177135667)</f>
        <v>0.1166221771</v>
      </c>
      <c r="K1522" s="165">
        <f>IFERROR(__xludf.DUMMYFUNCTION("""COMPUTED_VALUE"""),-1.41200809850147)</f>
        <v>-1.412008099</v>
      </c>
      <c r="L1522" s="165">
        <f>IFERROR(__xludf.DUMMYFUNCTION("""COMPUTED_VALUE"""),1.52863027563713)</f>
        <v>1.528630276</v>
      </c>
      <c r="M1522" s="166">
        <f t="shared" si="2"/>
        <v>2.585279075</v>
      </c>
      <c r="N1522" s="167">
        <f t="shared" si="3"/>
        <v>25.73491935</v>
      </c>
      <c r="O1522" s="163">
        <f t="shared" ref="O1522:Q1522" si="1526">rank(I1522,I:I)</f>
        <v>359</v>
      </c>
      <c r="P1522" s="163">
        <f t="shared" si="1526"/>
        <v>1166</v>
      </c>
      <c r="Q1522" s="163">
        <f t="shared" si="1526"/>
        <v>3261</v>
      </c>
      <c r="R1522" s="163">
        <f>IFERROR(__xludf.DUMMYFUNCTION("RANK(M1522,filter(M:M,C:C=C1522))"),128.0)</f>
        <v>128</v>
      </c>
      <c r="S1522" s="161" t="b">
        <f t="shared" si="5"/>
        <v>0</v>
      </c>
      <c r="T1522" s="161" t="b">
        <f t="array" ref="T1522">index('Query Tool'!B:B,match(H1522,'Query Tool'!C:C,0))</f>
        <v>1</v>
      </c>
      <c r="U1522" s="161" t="b">
        <f t="array" ref="U1522">index('Query Tool'!B:B,match(C1522,'Query Tool'!C:C,0))</f>
        <v>0</v>
      </c>
      <c r="V1522" s="161" t="b">
        <f>F1522&gt;='Query Tool'!C$32</f>
        <v>1</v>
      </c>
      <c r="W1522" s="161" t="b">
        <f t="array" ref="W1522">index(Dropdowns!B:B,match(I1522,Dropdowns!A:A,0))</f>
        <v>1</v>
      </c>
      <c r="X1522" s="161" t="b">
        <f t="array" ref="X1522">index('Query Tool'!B:B,match(D1522,'Query Tool'!C:C,0))</f>
        <v>1</v>
      </c>
      <c r="Y1522" s="161" t="str">
        <f t="shared" si="6"/>
        <v>sefolth01,2016-17</v>
      </c>
      <c r="Z1522" s="168">
        <f t="array" ref="Z1522">iferror(index(I:I,match($A1522&amp;","&amp;index('Year Conversion'!$A:$A,match($C1522,'Year Conversion'!$B:$B,0)),$Y:$Y,0))-I1522,"")</f>
        <v>1</v>
      </c>
      <c r="AA1522" s="168">
        <f t="array" ref="AA1522">iferror(index(J:J,match($A1522&amp;","&amp;index('Year Conversion'!$A:$A,match($C1522,'Year Conversion'!$B:$B,0)),$Y:$Y,0))-J1522,"")</f>
        <v>-0.06797464743</v>
      </c>
      <c r="AB1522" s="168">
        <f t="array" ref="AB1522">iferror(index(K:K,match($A1522&amp;","&amp;index('Year Conversion'!$A:$A,match($C1522,'Year Conversion'!$B:$B,0)),$Y:$Y,0))-K1522,"")</f>
        <v>0.210417144</v>
      </c>
      <c r="AC1522" s="168" t="str">
        <f t="shared" si="7"/>
        <v>ATL,2016-17</v>
      </c>
    </row>
    <row r="1523">
      <c r="A1523" s="161" t="str">
        <f>IFERROR(__xludf.DUMMYFUNCTION("""COMPUTED_VALUE"""),"rondora01")</f>
        <v>rondora01</v>
      </c>
      <c r="B1523" s="161" t="str">
        <f>IFERROR(__xludf.DUMMYFUNCTION("""COMPUTED_VALUE"""),"Rajon Rondo")</f>
        <v>Rajon Rondo</v>
      </c>
      <c r="C1523" s="162" t="str">
        <f>IFERROR(__xludf.DUMMYFUNCTION("""COMPUTED_VALUE"""),"2016-17")</f>
        <v>2016-17</v>
      </c>
      <c r="D1523" s="163" t="str">
        <f>IFERROR(__xludf.DUMMYFUNCTION("""COMPUTED_VALUE"""),"CHI")</f>
        <v>CHI</v>
      </c>
      <c r="E1523" s="164" t="str">
        <f>IFERROR(__xludf.DUMMYFUNCTION("""COMPUTED_VALUE"""),"Slasher")</f>
        <v>Slasher</v>
      </c>
      <c r="F1523" s="164">
        <f>IFERROR(__xludf.DUMMYFUNCTION("""COMPUTED_VALUE"""),1842.70166666667)</f>
        <v>1842.701667</v>
      </c>
      <c r="G1523" s="163">
        <f>IFERROR(__xludf.DUMMYFUNCTION("""COMPUTED_VALUE"""),69.0)</f>
        <v>69</v>
      </c>
      <c r="H1523" s="163" t="str">
        <f>IFERROR(__xludf.DUMMYFUNCTION("""COMPUTED_VALUE"""),"PG")</f>
        <v>PG</v>
      </c>
      <c r="I1523" s="163">
        <f>IFERROR(__xludf.DUMMYFUNCTION("""COMPUTED_VALUE"""),30.0)</f>
        <v>30</v>
      </c>
      <c r="J1523" s="165">
        <f>IFERROR(__xludf.DUMMYFUNCTION("""COMPUTED_VALUE"""),-0.168427376524164)</f>
        <v>-0.1684273765</v>
      </c>
      <c r="K1523" s="165">
        <f>IFERROR(__xludf.DUMMYFUNCTION("""COMPUTED_VALUE"""),-0.505801000730659)</f>
        <v>-0.5058010007</v>
      </c>
      <c r="L1523" s="165">
        <f>IFERROR(__xludf.DUMMYFUNCTION("""COMPUTED_VALUE"""),0.337373624206495)</f>
        <v>0.3373736242</v>
      </c>
      <c r="M1523" s="166">
        <f t="shared" si="2"/>
        <v>2.631597482</v>
      </c>
      <c r="N1523" s="167">
        <f t="shared" si="3"/>
        <v>26.70582126</v>
      </c>
      <c r="O1523" s="163">
        <f t="shared" ref="O1523:Q1523" si="1527">rank(I1523,I:I)</f>
        <v>655</v>
      </c>
      <c r="P1523" s="163">
        <f t="shared" si="1527"/>
        <v>1465</v>
      </c>
      <c r="Q1523" s="163">
        <f t="shared" si="1527"/>
        <v>2112</v>
      </c>
      <c r="R1523" s="163">
        <f>IFERROR(__xludf.DUMMYFUNCTION("RANK(M1523,filter(M:M,C:C=C1523))"),126.0)</f>
        <v>126</v>
      </c>
      <c r="S1523" s="161" t="b">
        <f t="shared" si="5"/>
        <v>0</v>
      </c>
      <c r="T1523" s="161" t="b">
        <f t="array" ref="T1523">index('Query Tool'!B:B,match(H1523,'Query Tool'!C:C,0))</f>
        <v>1</v>
      </c>
      <c r="U1523" s="161" t="b">
        <f t="array" ref="U1523">index('Query Tool'!B:B,match(C1523,'Query Tool'!C:C,0))</f>
        <v>0</v>
      </c>
      <c r="V1523" s="161" t="b">
        <f>F1523&gt;='Query Tool'!C$32</f>
        <v>1</v>
      </c>
      <c r="W1523" s="161" t="b">
        <f t="array" ref="W1523">index(Dropdowns!B:B,match(I1523,Dropdowns!A:A,0))</f>
        <v>1</v>
      </c>
      <c r="X1523" s="161" t="b">
        <f t="array" ref="X1523">index('Query Tool'!B:B,match(D1523,'Query Tool'!C:C,0))</f>
        <v>1</v>
      </c>
      <c r="Y1523" s="161" t="str">
        <f t="shared" si="6"/>
        <v>rondora01,2016-17</v>
      </c>
      <c r="Z1523" s="168">
        <f t="array" ref="Z1523">iferror(index(I:I,match($A1523&amp;","&amp;index('Year Conversion'!$A:$A,match($C1523,'Year Conversion'!$B:$B,0)),$Y:$Y,0))-I1523,"")</f>
        <v>1</v>
      </c>
      <c r="AA1523" s="168">
        <f t="array" ref="AA1523">iferror(index(J:J,match($A1523&amp;","&amp;index('Year Conversion'!$A:$A,match($C1523,'Year Conversion'!$B:$B,0)),$Y:$Y,0))-J1523,"")</f>
        <v>-0.2981400587</v>
      </c>
      <c r="AB1523" s="168">
        <f t="array" ref="AB1523">iferror(index(K:K,match($A1523&amp;","&amp;index('Year Conversion'!$A:$A,match($C1523,'Year Conversion'!$B:$B,0)),$Y:$Y,0))-K1523,"")</f>
        <v>0.223922236</v>
      </c>
      <c r="AC1523" s="168" t="str">
        <f t="shared" si="7"/>
        <v>CHI,2016-17</v>
      </c>
    </row>
    <row r="1524">
      <c r="A1524" s="161" t="str">
        <f>IFERROR(__xludf.DUMMYFUNCTION("""COMPUTED_VALUE"""),"lowryky01")</f>
        <v>lowryky01</v>
      </c>
      <c r="B1524" s="161" t="str">
        <f>IFERROR(__xludf.DUMMYFUNCTION("""COMPUTED_VALUE"""),"Kyle Lowry")</f>
        <v>Kyle Lowry</v>
      </c>
      <c r="C1524" s="162" t="str">
        <f>IFERROR(__xludf.DUMMYFUNCTION("""COMPUTED_VALUE"""),"2016-17")</f>
        <v>2016-17</v>
      </c>
      <c r="D1524" s="163" t="str">
        <f>IFERROR(__xludf.DUMMYFUNCTION("""COMPUTED_VALUE"""),"TOR")</f>
        <v>TOR</v>
      </c>
      <c r="E1524" s="164" t="str">
        <f>IFERROR(__xludf.DUMMYFUNCTION("""COMPUTED_VALUE"""),"Primary Ball Handler")</f>
        <v>Primary Ball Handler</v>
      </c>
      <c r="F1524" s="164">
        <f>IFERROR(__xludf.DUMMYFUNCTION("""COMPUTED_VALUE"""),2244.025)</f>
        <v>2244.025</v>
      </c>
      <c r="G1524" s="163">
        <f>IFERROR(__xludf.DUMMYFUNCTION("""COMPUTED_VALUE"""),60.0)</f>
        <v>60</v>
      </c>
      <c r="H1524" s="163" t="str">
        <f>IFERROR(__xludf.DUMMYFUNCTION("""COMPUTED_VALUE"""),"PG")</f>
        <v>PG</v>
      </c>
      <c r="I1524" s="163">
        <f>IFERROR(__xludf.DUMMYFUNCTION("""COMPUTED_VALUE"""),30.0)</f>
        <v>30</v>
      </c>
      <c r="J1524" s="165">
        <f>IFERROR(__xludf.DUMMYFUNCTION("""COMPUTED_VALUE"""),4.83739734101984)</f>
        <v>4.837397341</v>
      </c>
      <c r="K1524" s="165">
        <f>IFERROR(__xludf.DUMMYFUNCTION("""COMPUTED_VALUE"""),4.08543118959051)</f>
        <v>4.08543119</v>
      </c>
      <c r="L1524" s="165">
        <f>IFERROR(__xludf.DUMMYFUNCTION("""COMPUTED_VALUE"""),0.751966151429332)</f>
        <v>0.7519661514</v>
      </c>
      <c r="M1524" s="166">
        <f t="shared" si="2"/>
        <v>10.54903262</v>
      </c>
      <c r="N1524" s="167">
        <f t="shared" si="3"/>
        <v>37.40041667</v>
      </c>
      <c r="O1524" s="163">
        <f t="shared" ref="O1524:Q1524" si="1528">rank(I1524,I:I)</f>
        <v>655</v>
      </c>
      <c r="P1524" s="163">
        <f t="shared" si="1528"/>
        <v>53</v>
      </c>
      <c r="Q1524" s="163">
        <f t="shared" si="1528"/>
        <v>57</v>
      </c>
      <c r="R1524" s="163">
        <f>IFERROR(__xludf.DUMMYFUNCTION("RANK(M1524,filter(M:M,C:C=C1524))"),13.0)</f>
        <v>13</v>
      </c>
      <c r="S1524" s="161" t="b">
        <f t="shared" si="5"/>
        <v>0</v>
      </c>
      <c r="T1524" s="161" t="b">
        <f t="array" ref="T1524">index('Query Tool'!B:B,match(H1524,'Query Tool'!C:C,0))</f>
        <v>1</v>
      </c>
      <c r="U1524" s="161" t="b">
        <f t="array" ref="U1524">index('Query Tool'!B:B,match(C1524,'Query Tool'!C:C,0))</f>
        <v>0</v>
      </c>
      <c r="V1524" s="161" t="b">
        <f>F1524&gt;='Query Tool'!C$32</f>
        <v>1</v>
      </c>
      <c r="W1524" s="161" t="b">
        <f t="array" ref="W1524">index(Dropdowns!B:B,match(I1524,Dropdowns!A:A,0))</f>
        <v>1</v>
      </c>
      <c r="X1524" s="161" t="b">
        <f t="array" ref="X1524">index('Query Tool'!B:B,match(D1524,'Query Tool'!C:C,0))</f>
        <v>1</v>
      </c>
      <c r="Y1524" s="161" t="str">
        <f t="shared" si="6"/>
        <v>lowryky01,2016-17</v>
      </c>
      <c r="Z1524" s="168">
        <f t="array" ref="Z1524">iferror(index(I:I,match($A1524&amp;","&amp;index('Year Conversion'!$A:$A,match($C1524,'Year Conversion'!$B:$B,0)),$Y:$Y,0))-I1524,"")</f>
        <v>1</v>
      </c>
      <c r="AA1524" s="168">
        <f t="array" ref="AA1524">iferror(index(J:J,match($A1524&amp;","&amp;index('Year Conversion'!$A:$A,match($C1524,'Year Conversion'!$B:$B,0)),$Y:$Y,0))-J1524,"")</f>
        <v>-0.9799705129</v>
      </c>
      <c r="AB1524" s="168">
        <f t="array" ref="AB1524">iferror(index(K:K,match($A1524&amp;","&amp;index('Year Conversion'!$A:$A,match($C1524,'Year Conversion'!$B:$B,0)),$Y:$Y,0))-K1524,"")</f>
        <v>-1.063201186</v>
      </c>
      <c r="AC1524" s="168" t="str">
        <f t="shared" si="7"/>
        <v>TOR,2016-17</v>
      </c>
    </row>
    <row r="1525">
      <c r="A1525" s="161" t="str">
        <f>IFERROR(__xludf.DUMMYFUNCTION("""COMPUTED_VALUE"""),"farmajo01")</f>
        <v>farmajo01</v>
      </c>
      <c r="B1525" s="161" t="str">
        <f>IFERROR(__xludf.DUMMYFUNCTION("""COMPUTED_VALUE"""),"Jordan Farmar")</f>
        <v>Jordan Farmar</v>
      </c>
      <c r="C1525" s="162" t="str">
        <f>IFERROR(__xludf.DUMMYFUNCTION("""COMPUTED_VALUE"""),"2016-17")</f>
        <v>2016-17</v>
      </c>
      <c r="D1525" s="163" t="str">
        <f>IFERROR(__xludf.DUMMYFUNCTION("""COMPUTED_VALUE"""),"SAC")</f>
        <v>SAC</v>
      </c>
      <c r="E1525" s="164" t="str">
        <f>IFERROR(__xludf.DUMMYFUNCTION("""COMPUTED_VALUE"""),"Secondary Ball Handler")</f>
        <v>Secondary Ball Handler</v>
      </c>
      <c r="F1525" s="164">
        <f>IFERROR(__xludf.DUMMYFUNCTION("""COMPUTED_VALUE"""),35.38)</f>
        <v>35.38</v>
      </c>
      <c r="G1525" s="163">
        <f>IFERROR(__xludf.DUMMYFUNCTION("""COMPUTED_VALUE"""),2.0)</f>
        <v>2</v>
      </c>
      <c r="H1525" s="163" t="str">
        <f>IFERROR(__xludf.DUMMYFUNCTION("""COMPUTED_VALUE"""),"PG")</f>
        <v>PG</v>
      </c>
      <c r="I1525" s="163">
        <f>IFERROR(__xludf.DUMMYFUNCTION("""COMPUTED_VALUE"""),30.0)</f>
        <v>30</v>
      </c>
      <c r="J1525" s="165">
        <f>IFERROR(__xludf.DUMMYFUNCTION("""COMPUTED_VALUE"""),-0.26855679176229)</f>
        <v>-0.2685567918</v>
      </c>
      <c r="K1525" s="165">
        <f>IFERROR(__xludf.DUMMYFUNCTION("""COMPUTED_VALUE"""),0.0914283154721501)</f>
        <v>0.09142831547</v>
      </c>
      <c r="L1525" s="165">
        <f>IFERROR(__xludf.DUMMYFUNCTION("""COMPUTED_VALUE"""),-0.35998510723444)</f>
        <v>-0.3599851072</v>
      </c>
      <c r="M1525" s="166">
        <f t="shared" si="2"/>
        <v>0.04813896738</v>
      </c>
      <c r="N1525" s="167">
        <f t="shared" si="3"/>
        <v>17.69</v>
      </c>
      <c r="O1525" s="163">
        <f t="shared" ref="O1525:Q1525" si="1529">rank(I1525,I:I)</f>
        <v>655</v>
      </c>
      <c r="P1525" s="163">
        <f t="shared" si="1529"/>
        <v>1579</v>
      </c>
      <c r="Q1525" s="163">
        <f t="shared" si="1529"/>
        <v>1078</v>
      </c>
      <c r="R1525" s="163">
        <f>IFERROR(__xludf.DUMMYFUNCTION("RANK(M1525,filter(M:M,C:C=C1525))"),403.0)</f>
        <v>403</v>
      </c>
      <c r="S1525" s="161" t="b">
        <f t="shared" si="5"/>
        <v>0</v>
      </c>
      <c r="T1525" s="161" t="b">
        <f t="array" ref="T1525">index('Query Tool'!B:B,match(H1525,'Query Tool'!C:C,0))</f>
        <v>1</v>
      </c>
      <c r="U1525" s="161" t="b">
        <f t="array" ref="U1525">index('Query Tool'!B:B,match(C1525,'Query Tool'!C:C,0))</f>
        <v>0</v>
      </c>
      <c r="V1525" s="161" t="b">
        <f>F1525&gt;='Query Tool'!C$32</f>
        <v>0</v>
      </c>
      <c r="W1525" s="161" t="b">
        <f t="array" ref="W1525">index(Dropdowns!B:B,match(I1525,Dropdowns!A:A,0))</f>
        <v>1</v>
      </c>
      <c r="X1525" s="161" t="b">
        <f t="array" ref="X1525">index('Query Tool'!B:B,match(D1525,'Query Tool'!C:C,0))</f>
        <v>1</v>
      </c>
      <c r="Y1525" s="161" t="str">
        <f t="shared" si="6"/>
        <v>farmajo01,2016-17</v>
      </c>
      <c r="Z1525" s="168" t="str">
        <f t="array" ref="Z1525">iferror(index(I:I,match($A1525&amp;","&amp;index('Year Conversion'!$A:$A,match($C1525,'Year Conversion'!$B:$B,0)),$Y:$Y,0))-I1525,"")</f>
        <v/>
      </c>
      <c r="AA1525" s="168" t="str">
        <f t="array" ref="AA1525">iferror(index(J:J,match($A1525&amp;","&amp;index('Year Conversion'!$A:$A,match($C1525,'Year Conversion'!$B:$B,0)),$Y:$Y,0))-J1525,"")</f>
        <v/>
      </c>
      <c r="AB1525" s="168" t="str">
        <f t="array" ref="AB1525">iferror(index(K:K,match($A1525&amp;","&amp;index('Year Conversion'!$A:$A,match($C1525,'Year Conversion'!$B:$B,0)),$Y:$Y,0))-K1525,"")</f>
        <v/>
      </c>
      <c r="AC1525" s="168" t="str">
        <f t="shared" si="7"/>
        <v>SAC,2016-17</v>
      </c>
    </row>
    <row r="1526">
      <c r="A1526" s="161" t="str">
        <f>IFERROR(__xludf.DUMMYFUNCTION("""COMPUTED_VALUE"""),"rodrise01")</f>
        <v>rodrise01</v>
      </c>
      <c r="B1526" s="161" t="str">
        <f>IFERROR(__xludf.DUMMYFUNCTION("""COMPUTED_VALUE"""),"Sergio Rodriguez")</f>
        <v>Sergio Rodriguez</v>
      </c>
      <c r="C1526" s="162" t="str">
        <f>IFERROR(__xludf.DUMMYFUNCTION("""COMPUTED_VALUE"""),"2016-17")</f>
        <v>2016-17</v>
      </c>
      <c r="D1526" s="163" t="str">
        <f>IFERROR(__xludf.DUMMYFUNCTION("""COMPUTED_VALUE"""),"PHI")</f>
        <v>PHI</v>
      </c>
      <c r="E1526" s="164" t="str">
        <f>IFERROR(__xludf.DUMMYFUNCTION("""COMPUTED_VALUE"""),"Primary Ball Handler")</f>
        <v>Primary Ball Handler</v>
      </c>
      <c r="F1526" s="164">
        <f>IFERROR(__xludf.DUMMYFUNCTION("""COMPUTED_VALUE"""),1517.41166666667)</f>
        <v>1517.411667</v>
      </c>
      <c r="G1526" s="163">
        <f>IFERROR(__xludf.DUMMYFUNCTION("""COMPUTED_VALUE"""),68.0)</f>
        <v>68</v>
      </c>
      <c r="H1526" s="163" t="str">
        <f>IFERROR(__xludf.DUMMYFUNCTION("""COMPUTED_VALUE"""),"PG")</f>
        <v>PG</v>
      </c>
      <c r="I1526" s="163">
        <f>IFERROR(__xludf.DUMMYFUNCTION("""COMPUTED_VALUE"""),30.0)</f>
        <v>30</v>
      </c>
      <c r="J1526" s="165">
        <f>IFERROR(__xludf.DUMMYFUNCTION("""COMPUTED_VALUE"""),-0.95226519806802)</f>
        <v>-0.9522651981</v>
      </c>
      <c r="K1526" s="165">
        <f>IFERROR(__xludf.DUMMYFUNCTION("""COMPUTED_VALUE"""),-0.132414647475136)</f>
        <v>-0.1324146475</v>
      </c>
      <c r="L1526" s="165">
        <f>IFERROR(__xludf.DUMMYFUNCTION("""COMPUTED_VALUE"""),-0.819850550592884)</f>
        <v>-0.8198505506</v>
      </c>
      <c r="M1526" s="166">
        <f t="shared" si="2"/>
        <v>1.366378677</v>
      </c>
      <c r="N1526" s="167">
        <f t="shared" si="3"/>
        <v>22.31487745</v>
      </c>
      <c r="O1526" s="163">
        <f t="shared" ref="O1526:Q1526" si="1530">rank(I1526,I:I)</f>
        <v>655</v>
      </c>
      <c r="P1526" s="163">
        <f t="shared" si="1530"/>
        <v>2455</v>
      </c>
      <c r="Q1526" s="163">
        <f t="shared" si="1530"/>
        <v>1444</v>
      </c>
      <c r="R1526" s="163">
        <f>IFERROR(__xludf.DUMMYFUNCTION("RANK(M1526,filter(M:M,C:C=C1526))"),195.0)</f>
        <v>195</v>
      </c>
      <c r="S1526" s="161" t="b">
        <f t="shared" si="5"/>
        <v>0</v>
      </c>
      <c r="T1526" s="161" t="b">
        <f t="array" ref="T1526">index('Query Tool'!B:B,match(H1526,'Query Tool'!C:C,0))</f>
        <v>1</v>
      </c>
      <c r="U1526" s="161" t="b">
        <f t="array" ref="U1526">index('Query Tool'!B:B,match(C1526,'Query Tool'!C:C,0))</f>
        <v>0</v>
      </c>
      <c r="V1526" s="161" t="b">
        <f>F1526&gt;='Query Tool'!C$32</f>
        <v>1</v>
      </c>
      <c r="W1526" s="161" t="b">
        <f t="array" ref="W1526">index(Dropdowns!B:B,match(I1526,Dropdowns!A:A,0))</f>
        <v>1</v>
      </c>
      <c r="X1526" s="161" t="b">
        <f t="array" ref="X1526">index('Query Tool'!B:B,match(D1526,'Query Tool'!C:C,0))</f>
        <v>1</v>
      </c>
      <c r="Y1526" s="161" t="str">
        <f t="shared" si="6"/>
        <v>rodrise01,2016-17</v>
      </c>
      <c r="Z1526" s="168" t="str">
        <f t="array" ref="Z1526">iferror(index(I:I,match($A1526&amp;","&amp;index('Year Conversion'!$A:$A,match($C1526,'Year Conversion'!$B:$B,0)),$Y:$Y,0))-I1526,"")</f>
        <v/>
      </c>
      <c r="AA1526" s="168" t="str">
        <f t="array" ref="AA1526">iferror(index(J:J,match($A1526&amp;","&amp;index('Year Conversion'!$A:$A,match($C1526,'Year Conversion'!$B:$B,0)),$Y:$Y,0))-J1526,"")</f>
        <v/>
      </c>
      <c r="AB1526" s="168" t="str">
        <f t="array" ref="AB1526">iferror(index(K:K,match($A1526&amp;","&amp;index('Year Conversion'!$A:$A,match($C1526,'Year Conversion'!$B:$B,0)),$Y:$Y,0))-K1526,"")</f>
        <v/>
      </c>
      <c r="AC1526" s="168" t="str">
        <f t="shared" si="7"/>
        <v>PHI,2016-17</v>
      </c>
    </row>
    <row r="1527">
      <c r="A1527" s="161" t="str">
        <f>IFERROR(__xludf.DUMMYFUNCTION("""COMPUTED_VALUE"""),"novakst01")</f>
        <v>novakst01</v>
      </c>
      <c r="B1527" s="161" t="str">
        <f>IFERROR(__xludf.DUMMYFUNCTION("""COMPUTED_VALUE"""),"Steve Novak")</f>
        <v>Steve Novak</v>
      </c>
      <c r="C1527" s="162" t="str">
        <f>IFERROR(__xludf.DUMMYFUNCTION("""COMPUTED_VALUE"""),"2016-17")</f>
        <v>2016-17</v>
      </c>
      <c r="D1527" s="163" t="str">
        <f>IFERROR(__xludf.DUMMYFUNCTION("""COMPUTED_VALUE"""),"MIL")</f>
        <v>MIL</v>
      </c>
      <c r="E1527" s="164" t="str">
        <f>IFERROR(__xludf.DUMMYFUNCTION("""COMPUTED_VALUE"""),"Movement Shooter")</f>
        <v>Movement Shooter</v>
      </c>
      <c r="F1527" s="164">
        <f>IFERROR(__xludf.DUMMYFUNCTION("""COMPUTED_VALUE"""),21.9166666666667)</f>
        <v>21.91666667</v>
      </c>
      <c r="G1527" s="163">
        <f>IFERROR(__xludf.DUMMYFUNCTION("""COMPUTED_VALUE"""),8.0)</f>
        <v>8</v>
      </c>
      <c r="H1527" s="163" t="str">
        <f>IFERROR(__xludf.DUMMYFUNCTION("""COMPUTED_VALUE"""),"PF")</f>
        <v>PF</v>
      </c>
      <c r="I1527" s="163">
        <f>IFERROR(__xludf.DUMMYFUNCTION("""COMPUTED_VALUE"""),33.0)</f>
        <v>33</v>
      </c>
      <c r="J1527" s="165">
        <f>IFERROR(__xludf.DUMMYFUNCTION("""COMPUTED_VALUE"""),-0.786209463813391)</f>
        <v>-0.7862094638</v>
      </c>
      <c r="K1527" s="165">
        <f>IFERROR(__xludf.DUMMYFUNCTION("""COMPUTED_VALUE"""),-0.123002645616149)</f>
        <v>-0.1230026456</v>
      </c>
      <c r="L1527" s="165">
        <f>IFERROR(__xludf.DUMMYFUNCTION("""COMPUTED_VALUE"""),-0.663206818197243)</f>
        <v>-0.6632068182</v>
      </c>
      <c r="M1527" s="166">
        <f t="shared" si="2"/>
        <v>0.0221811337</v>
      </c>
      <c r="N1527" s="167">
        <f t="shared" si="3"/>
        <v>2.739583333</v>
      </c>
      <c r="O1527" s="163">
        <f t="shared" ref="O1527:Q1527" si="1531">rank(I1527,I:I)</f>
        <v>246</v>
      </c>
      <c r="P1527" s="163">
        <f t="shared" si="1531"/>
        <v>2257</v>
      </c>
      <c r="Q1527" s="163">
        <f t="shared" si="1531"/>
        <v>1416</v>
      </c>
      <c r="R1527" s="163">
        <f>IFERROR(__xludf.DUMMYFUNCTION("RANK(M1527,filter(M:M,C:C=C1527))"),430.0)</f>
        <v>430</v>
      </c>
      <c r="S1527" s="161" t="b">
        <f t="shared" si="5"/>
        <v>0</v>
      </c>
      <c r="T1527" s="161" t="b">
        <f t="array" ref="T1527">index('Query Tool'!B:B,match(H1527,'Query Tool'!C:C,0))</f>
        <v>1</v>
      </c>
      <c r="U1527" s="161" t="b">
        <f t="array" ref="U1527">index('Query Tool'!B:B,match(C1527,'Query Tool'!C:C,0))</f>
        <v>0</v>
      </c>
      <c r="V1527" s="161" t="b">
        <f>F1527&gt;='Query Tool'!C$32</f>
        <v>0</v>
      </c>
      <c r="W1527" s="161" t="b">
        <f t="array" ref="W1527">index(Dropdowns!B:B,match(I1527,Dropdowns!A:A,0))</f>
        <v>1</v>
      </c>
      <c r="X1527" s="161" t="b">
        <f t="array" ref="X1527">index('Query Tool'!B:B,match(D1527,'Query Tool'!C:C,0))</f>
        <v>1</v>
      </c>
      <c r="Y1527" s="161" t="str">
        <f t="shared" si="6"/>
        <v>novakst01,2016-17</v>
      </c>
      <c r="Z1527" s="168" t="str">
        <f t="array" ref="Z1527">iferror(index(I:I,match($A1527&amp;","&amp;index('Year Conversion'!$A:$A,match($C1527,'Year Conversion'!$B:$B,0)),$Y:$Y,0))-I1527,"")</f>
        <v/>
      </c>
      <c r="AA1527" s="168" t="str">
        <f t="array" ref="AA1527">iferror(index(J:J,match($A1527&amp;","&amp;index('Year Conversion'!$A:$A,match($C1527,'Year Conversion'!$B:$B,0)),$Y:$Y,0))-J1527,"")</f>
        <v/>
      </c>
      <c r="AB1527" s="168" t="str">
        <f t="array" ref="AB1527">iferror(index(K:K,match($A1527&amp;","&amp;index('Year Conversion'!$A:$A,match($C1527,'Year Conversion'!$B:$B,0)),$Y:$Y,0))-K1527,"")</f>
        <v/>
      </c>
      <c r="AC1527" s="168" t="str">
        <f t="shared" si="7"/>
        <v>MIL,2016-17</v>
      </c>
    </row>
    <row r="1528">
      <c r="A1528" s="161" t="str">
        <f>IFERROR(__xludf.DUMMYFUNCTION("""COMPUTED_VALUE"""),"tuckepj01")</f>
        <v>tuckepj01</v>
      </c>
      <c r="B1528" s="161" t="str">
        <f>IFERROR(__xludf.DUMMYFUNCTION("""COMPUTED_VALUE"""),"P.J. Tucker")</f>
        <v>P.J. Tucker</v>
      </c>
      <c r="C1528" s="162" t="str">
        <f>IFERROR(__xludf.DUMMYFUNCTION("""COMPUTED_VALUE"""),"2016-17")</f>
        <v>2016-17</v>
      </c>
      <c r="D1528" s="163" t="str">
        <f>IFERROR(__xludf.DUMMYFUNCTION("""COMPUTED_VALUE"""),"TOT")</f>
        <v>TOT</v>
      </c>
      <c r="E1528" s="164" t="str">
        <f>IFERROR(__xludf.DUMMYFUNCTION("""COMPUTED_VALUE"""),"Athletic Finisher")</f>
        <v>Athletic Finisher</v>
      </c>
      <c r="F1528" s="164">
        <f>IFERROR(__xludf.DUMMYFUNCTION("""COMPUTED_VALUE"""),2235.895)</f>
        <v>2235.895</v>
      </c>
      <c r="G1528" s="163">
        <f>IFERROR(__xludf.DUMMYFUNCTION("""COMPUTED_VALUE"""),81.0)</f>
        <v>81</v>
      </c>
      <c r="H1528" s="163" t="str">
        <f>IFERROR(__xludf.DUMMYFUNCTION("""COMPUTED_VALUE"""),"SF")</f>
        <v>SF</v>
      </c>
      <c r="I1528" s="163">
        <f>IFERROR(__xludf.DUMMYFUNCTION("""COMPUTED_VALUE"""),31.0)</f>
        <v>31</v>
      </c>
      <c r="J1528" s="165">
        <f>IFERROR(__xludf.DUMMYFUNCTION("""COMPUTED_VALUE"""),0.154731573746608)</f>
        <v>0.1547315737</v>
      </c>
      <c r="K1528" s="165">
        <f>IFERROR(__xludf.DUMMYFUNCTION("""COMPUTED_VALUE"""),-1.07543358424005)</f>
        <v>-1.075433584</v>
      </c>
      <c r="L1528" s="165">
        <f>IFERROR(__xludf.DUMMYFUNCTION("""COMPUTED_VALUE"""),1.23016515798666)</f>
        <v>1.230165158</v>
      </c>
      <c r="M1528" s="166">
        <f t="shared" si="2"/>
        <v>3.680242137</v>
      </c>
      <c r="N1528" s="167">
        <f t="shared" si="3"/>
        <v>27.60364198</v>
      </c>
      <c r="O1528" s="163">
        <f t="shared" ref="O1528:Q1528" si="1532">rank(I1528,I:I)</f>
        <v>490</v>
      </c>
      <c r="P1528" s="163">
        <f t="shared" si="1532"/>
        <v>1127</v>
      </c>
      <c r="Q1528" s="163">
        <f t="shared" si="1532"/>
        <v>2904</v>
      </c>
      <c r="R1528" s="163">
        <f>IFERROR(__xludf.DUMMYFUNCTION("RANK(M1528,filter(M:M,C:C=C1528))"),95.0)</f>
        <v>95</v>
      </c>
      <c r="S1528" s="161" t="b">
        <f t="shared" si="5"/>
        <v>0</v>
      </c>
      <c r="T1528" s="161" t="b">
        <f t="array" ref="T1528">index('Query Tool'!B:B,match(H1528,'Query Tool'!C:C,0))</f>
        <v>1</v>
      </c>
      <c r="U1528" s="161" t="b">
        <f t="array" ref="U1528">index('Query Tool'!B:B,match(C1528,'Query Tool'!C:C,0))</f>
        <v>0</v>
      </c>
      <c r="V1528" s="161" t="b">
        <f>F1528&gt;='Query Tool'!C$32</f>
        <v>1</v>
      </c>
      <c r="W1528" s="161" t="b">
        <f t="array" ref="W1528">index(Dropdowns!B:B,match(I1528,Dropdowns!A:A,0))</f>
        <v>1</v>
      </c>
      <c r="X1528" s="161" t="b">
        <f t="array" ref="X1528">index('Query Tool'!B:B,match(D1528,'Query Tool'!C:C,0))</f>
        <v>1</v>
      </c>
      <c r="Y1528" s="161" t="str">
        <f t="shared" si="6"/>
        <v>tuckepj01,2016-17</v>
      </c>
      <c r="Z1528" s="168">
        <f t="array" ref="Z1528">iferror(index(I:I,match($A1528&amp;","&amp;index('Year Conversion'!$A:$A,match($C1528,'Year Conversion'!$B:$B,0)),$Y:$Y,0))-I1528,"")</f>
        <v>1</v>
      </c>
      <c r="AA1528" s="168">
        <f t="array" ref="AA1528">iferror(index(J:J,match($A1528&amp;","&amp;index('Year Conversion'!$A:$A,match($C1528,'Year Conversion'!$B:$B,0)),$Y:$Y,0))-J1528,"")</f>
        <v>0.2623502749</v>
      </c>
      <c r="AB1528" s="168">
        <f t="array" ref="AB1528">iferror(index(K:K,match($A1528&amp;","&amp;index('Year Conversion'!$A:$A,match($C1528,'Year Conversion'!$B:$B,0)),$Y:$Y,0))-K1528,"")</f>
        <v>0.7233523288</v>
      </c>
      <c r="AC1528" s="168" t="str">
        <f t="shared" si="7"/>
        <v>TOT,2016-17</v>
      </c>
    </row>
    <row r="1529">
      <c r="A1529" s="161" t="str">
        <f>IFERROR(__xludf.DUMMYFUNCTION("""COMPUTED_VALUE"""),"millspa01")</f>
        <v>millspa01</v>
      </c>
      <c r="B1529" s="161" t="str">
        <f>IFERROR(__xludf.DUMMYFUNCTION("""COMPUTED_VALUE"""),"Paul Millsap")</f>
        <v>Paul Millsap</v>
      </c>
      <c r="C1529" s="162" t="str">
        <f>IFERROR(__xludf.DUMMYFUNCTION("""COMPUTED_VALUE"""),"2016-17")</f>
        <v>2016-17</v>
      </c>
      <c r="D1529" s="163" t="str">
        <f>IFERROR(__xludf.DUMMYFUNCTION("""COMPUTED_VALUE"""),"ATL")</f>
        <v>ATL</v>
      </c>
      <c r="E1529" s="164" t="str">
        <f>IFERROR(__xludf.DUMMYFUNCTION("""COMPUTED_VALUE"""),"Post Scorer")</f>
        <v>Post Scorer</v>
      </c>
      <c r="F1529" s="164">
        <f>IFERROR(__xludf.DUMMYFUNCTION("""COMPUTED_VALUE"""),2342.83)</f>
        <v>2342.83</v>
      </c>
      <c r="G1529" s="163">
        <f>IFERROR(__xludf.DUMMYFUNCTION("""COMPUTED_VALUE"""),69.0)</f>
        <v>69</v>
      </c>
      <c r="H1529" s="163" t="str">
        <f>IFERROR(__xludf.DUMMYFUNCTION("""COMPUTED_VALUE"""),"PF")</f>
        <v>PF</v>
      </c>
      <c r="I1529" s="163">
        <f>IFERROR(__xludf.DUMMYFUNCTION("""COMPUTED_VALUE"""),31.0)</f>
        <v>31</v>
      </c>
      <c r="J1529" s="165">
        <f>IFERROR(__xludf.DUMMYFUNCTION("""COMPUTED_VALUE"""),2.53817790154297)</f>
        <v>2.538177902</v>
      </c>
      <c r="K1529" s="165">
        <f>IFERROR(__xludf.DUMMYFUNCTION("""COMPUTED_VALUE"""),0.391603280717444)</f>
        <v>0.3916032807</v>
      </c>
      <c r="L1529" s="165">
        <f>IFERROR(__xludf.DUMMYFUNCTION("""COMPUTED_VALUE"""),2.14657462082552)</f>
        <v>2.146574621</v>
      </c>
      <c r="M1529" s="166">
        <f t="shared" si="2"/>
        <v>7.585446361</v>
      </c>
      <c r="N1529" s="167">
        <f t="shared" si="3"/>
        <v>33.95405797</v>
      </c>
      <c r="O1529" s="163">
        <f t="shared" ref="O1529:Q1529" si="1533">rank(I1529,I:I)</f>
        <v>490</v>
      </c>
      <c r="P1529" s="163">
        <f t="shared" si="1533"/>
        <v>218</v>
      </c>
      <c r="Q1529" s="163">
        <f t="shared" si="1533"/>
        <v>839</v>
      </c>
      <c r="R1529" s="163">
        <f>IFERROR(__xludf.DUMMYFUNCTION("RANK(M1529,filter(M:M,C:C=C1529))"),28.0)</f>
        <v>28</v>
      </c>
      <c r="S1529" s="161" t="b">
        <f t="shared" si="5"/>
        <v>0</v>
      </c>
      <c r="T1529" s="161" t="b">
        <f t="array" ref="T1529">index('Query Tool'!B:B,match(H1529,'Query Tool'!C:C,0))</f>
        <v>1</v>
      </c>
      <c r="U1529" s="161" t="b">
        <f t="array" ref="U1529">index('Query Tool'!B:B,match(C1529,'Query Tool'!C:C,0))</f>
        <v>0</v>
      </c>
      <c r="V1529" s="161" t="b">
        <f>F1529&gt;='Query Tool'!C$32</f>
        <v>1</v>
      </c>
      <c r="W1529" s="161" t="b">
        <f t="array" ref="W1529">index(Dropdowns!B:B,match(I1529,Dropdowns!A:A,0))</f>
        <v>1</v>
      </c>
      <c r="X1529" s="161" t="b">
        <f t="array" ref="X1529">index('Query Tool'!B:B,match(D1529,'Query Tool'!C:C,0))</f>
        <v>1</v>
      </c>
      <c r="Y1529" s="161" t="str">
        <f t="shared" si="6"/>
        <v>millspa01,2016-17</v>
      </c>
      <c r="Z1529" s="168">
        <f t="array" ref="Z1529">iferror(index(I:I,match($A1529&amp;","&amp;index('Year Conversion'!$A:$A,match($C1529,'Year Conversion'!$B:$B,0)),$Y:$Y,0))-I1529,"")</f>
        <v>1</v>
      </c>
      <c r="AA1529" s="168">
        <f t="array" ref="AA1529">iferror(index(J:J,match($A1529&amp;","&amp;index('Year Conversion'!$A:$A,match($C1529,'Year Conversion'!$B:$B,0)),$Y:$Y,0))-J1529,"")</f>
        <v>-1.648087743</v>
      </c>
      <c r="AB1529" s="168">
        <f t="array" ref="AB1529">iferror(index(K:K,match($A1529&amp;","&amp;index('Year Conversion'!$A:$A,match($C1529,'Year Conversion'!$B:$B,0)),$Y:$Y,0))-K1529,"")</f>
        <v>-0.2749343186</v>
      </c>
      <c r="AC1529" s="168" t="str">
        <f t="shared" si="7"/>
        <v>ATL,2016-17</v>
      </c>
    </row>
    <row r="1530">
      <c r="A1530" s="161" t="str">
        <f>IFERROR(__xludf.DUMMYFUNCTION("""COMPUTED_VALUE"""),"bareajo01")</f>
        <v>bareajo01</v>
      </c>
      <c r="B1530" s="161" t="str">
        <f>IFERROR(__xludf.DUMMYFUNCTION("""COMPUTED_VALUE"""),"J.J. Barea")</f>
        <v>J.J. Barea</v>
      </c>
      <c r="C1530" s="162" t="str">
        <f>IFERROR(__xludf.DUMMYFUNCTION("""COMPUTED_VALUE"""),"2016-17")</f>
        <v>2016-17</v>
      </c>
      <c r="D1530" s="163" t="str">
        <f>IFERROR(__xludf.DUMMYFUNCTION("""COMPUTED_VALUE"""),"DAL")</f>
        <v>DAL</v>
      </c>
      <c r="E1530" s="164" t="str">
        <f>IFERROR(__xludf.DUMMYFUNCTION("""COMPUTED_VALUE"""),"Secondary Ball Handler")</f>
        <v>Secondary Ball Handler</v>
      </c>
      <c r="F1530" s="164">
        <f>IFERROR(__xludf.DUMMYFUNCTION("""COMPUTED_VALUE"""),770.775)</f>
        <v>770.775</v>
      </c>
      <c r="G1530" s="163">
        <f>IFERROR(__xludf.DUMMYFUNCTION("""COMPUTED_VALUE"""),35.0)</f>
        <v>35</v>
      </c>
      <c r="H1530" s="163" t="str">
        <f>IFERROR(__xludf.DUMMYFUNCTION("""COMPUTED_VALUE"""),"PG")</f>
        <v>PG</v>
      </c>
      <c r="I1530" s="163">
        <f>IFERROR(__xludf.DUMMYFUNCTION("""COMPUTED_VALUE"""),32.0)</f>
        <v>32</v>
      </c>
      <c r="J1530" s="165">
        <f>IFERROR(__xludf.DUMMYFUNCTION("""COMPUTED_VALUE"""),0.724188104716567)</f>
        <v>0.7241881047</v>
      </c>
      <c r="K1530" s="165">
        <f>IFERROR(__xludf.DUMMYFUNCTION("""COMPUTED_VALUE"""),1.58579830532982)</f>
        <v>1.585798305</v>
      </c>
      <c r="L1530" s="165">
        <f>IFERROR(__xludf.DUMMYFUNCTION("""COMPUTED_VALUE"""),-0.861610200613254)</f>
        <v>-0.8616102006</v>
      </c>
      <c r="M1530" s="166">
        <f t="shared" si="2"/>
        <v>1.564327567</v>
      </c>
      <c r="N1530" s="167">
        <f t="shared" si="3"/>
        <v>22.02214286</v>
      </c>
      <c r="O1530" s="163">
        <f t="shared" ref="O1530:Q1530" si="1534">rank(I1530,I:I)</f>
        <v>359</v>
      </c>
      <c r="P1530" s="163">
        <f t="shared" si="1534"/>
        <v>779</v>
      </c>
      <c r="Q1530" s="163">
        <f t="shared" si="1534"/>
        <v>298</v>
      </c>
      <c r="R1530" s="163">
        <f>IFERROR(__xludf.DUMMYFUNCTION("RANK(M1530,filter(M:M,C:C=C1530))"),188.0)</f>
        <v>188</v>
      </c>
      <c r="S1530" s="161" t="b">
        <f t="shared" si="5"/>
        <v>0</v>
      </c>
      <c r="T1530" s="161" t="b">
        <f t="array" ref="T1530">index('Query Tool'!B:B,match(H1530,'Query Tool'!C:C,0))</f>
        <v>1</v>
      </c>
      <c r="U1530" s="161" t="b">
        <f t="array" ref="U1530">index('Query Tool'!B:B,match(C1530,'Query Tool'!C:C,0))</f>
        <v>0</v>
      </c>
      <c r="V1530" s="161" t="b">
        <f>F1530&gt;='Query Tool'!C$32</f>
        <v>1</v>
      </c>
      <c r="W1530" s="161" t="b">
        <f t="array" ref="W1530">index(Dropdowns!B:B,match(I1530,Dropdowns!A:A,0))</f>
        <v>1</v>
      </c>
      <c r="X1530" s="161" t="b">
        <f t="array" ref="X1530">index('Query Tool'!B:B,match(D1530,'Query Tool'!C:C,0))</f>
        <v>1</v>
      </c>
      <c r="Y1530" s="161" t="str">
        <f t="shared" si="6"/>
        <v>bareajo01,2016-17</v>
      </c>
      <c r="Z1530" s="168">
        <f t="array" ref="Z1530">iferror(index(I:I,match($A1530&amp;","&amp;index('Year Conversion'!$A:$A,match($C1530,'Year Conversion'!$B:$B,0)),$Y:$Y,0))-I1530,"")</f>
        <v>1</v>
      </c>
      <c r="AA1530" s="168">
        <f t="array" ref="AA1530">iferror(index(J:J,match($A1530&amp;","&amp;index('Year Conversion'!$A:$A,match($C1530,'Year Conversion'!$B:$B,0)),$Y:$Y,0))-J1530,"")</f>
        <v>0.08112050109</v>
      </c>
      <c r="AB1530" s="168">
        <f t="array" ref="AB1530">iferror(index(K:K,match($A1530&amp;","&amp;index('Year Conversion'!$A:$A,match($C1530,'Year Conversion'!$B:$B,0)),$Y:$Y,0))-K1530,"")</f>
        <v>0.259027008</v>
      </c>
      <c r="AC1530" s="168" t="str">
        <f t="shared" si="7"/>
        <v>DAL,2016-17</v>
      </c>
    </row>
    <row r="1531">
      <c r="A1531" s="161" t="str">
        <f>IFERROR(__xludf.DUMMYFUNCTION("""COMPUTED_VALUE"""),"duranke01")</f>
        <v>duranke01</v>
      </c>
      <c r="B1531" s="161" t="str">
        <f>IFERROR(__xludf.DUMMYFUNCTION("""COMPUTED_VALUE"""),"Kevin Durant")</f>
        <v>Kevin Durant</v>
      </c>
      <c r="C1531" s="162" t="str">
        <f>IFERROR(__xludf.DUMMYFUNCTION("""COMPUTED_VALUE"""),"2016-17")</f>
        <v>2016-17</v>
      </c>
      <c r="D1531" s="163" t="str">
        <f>IFERROR(__xludf.DUMMYFUNCTION("""COMPUTED_VALUE"""),"GSW")</f>
        <v>GSW</v>
      </c>
      <c r="E1531" s="164" t="str">
        <f>IFERROR(__xludf.DUMMYFUNCTION("""COMPUTED_VALUE"""),"Shot Creator")</f>
        <v>Shot Creator</v>
      </c>
      <c r="F1531" s="164">
        <f>IFERROR(__xludf.DUMMYFUNCTION("""COMPUTED_VALUE"""),2070.36)</f>
        <v>2070.36</v>
      </c>
      <c r="G1531" s="163">
        <f>IFERROR(__xludf.DUMMYFUNCTION("""COMPUTED_VALUE"""),62.0)</f>
        <v>62</v>
      </c>
      <c r="H1531" s="163" t="str">
        <f>IFERROR(__xludf.DUMMYFUNCTION("""COMPUTED_VALUE"""),"PF")</f>
        <v>PF</v>
      </c>
      <c r="I1531" s="163">
        <f>IFERROR(__xludf.DUMMYFUNCTION("""COMPUTED_VALUE"""),28.0)</f>
        <v>28</v>
      </c>
      <c r="J1531" s="165">
        <f>IFERROR(__xludf.DUMMYFUNCTION("""COMPUTED_VALUE"""),5.25369907994012)</f>
        <v>5.25369908</v>
      </c>
      <c r="K1531" s="165">
        <f>IFERROR(__xludf.DUMMYFUNCTION("""COMPUTED_VALUE"""),4.40648588147851)</f>
        <v>4.406485881</v>
      </c>
      <c r="L1531" s="165">
        <f>IFERROR(__xludf.DUMMYFUNCTION("""COMPUTED_VALUE"""),0.847213198461607)</f>
        <v>0.8472131985</v>
      </c>
      <c r="M1531" s="166">
        <f t="shared" si="2"/>
        <v>10.25615416</v>
      </c>
      <c r="N1531" s="167">
        <f t="shared" si="3"/>
        <v>33.39290323</v>
      </c>
      <c r="O1531" s="163">
        <f t="shared" ref="O1531:Q1531" si="1535">rank(I1531,I:I)</f>
        <v>1090</v>
      </c>
      <c r="P1531" s="163">
        <f t="shared" si="1535"/>
        <v>42</v>
      </c>
      <c r="Q1531" s="163">
        <f t="shared" si="1535"/>
        <v>46</v>
      </c>
      <c r="R1531" s="163">
        <f>IFERROR(__xludf.DUMMYFUNCTION("RANK(M1531,filter(M:M,C:C=C1531))"),15.0)</f>
        <v>15</v>
      </c>
      <c r="S1531" s="161" t="b">
        <f t="shared" si="5"/>
        <v>0</v>
      </c>
      <c r="T1531" s="161" t="b">
        <f t="array" ref="T1531">index('Query Tool'!B:B,match(H1531,'Query Tool'!C:C,0))</f>
        <v>1</v>
      </c>
      <c r="U1531" s="161" t="b">
        <f t="array" ref="U1531">index('Query Tool'!B:B,match(C1531,'Query Tool'!C:C,0))</f>
        <v>0</v>
      </c>
      <c r="V1531" s="161" t="b">
        <f>F1531&gt;='Query Tool'!C$32</f>
        <v>1</v>
      </c>
      <c r="W1531" s="161" t="b">
        <f t="array" ref="W1531">index(Dropdowns!B:B,match(I1531,Dropdowns!A:A,0))</f>
        <v>1</v>
      </c>
      <c r="X1531" s="161" t="b">
        <f t="array" ref="X1531">index('Query Tool'!B:B,match(D1531,'Query Tool'!C:C,0))</f>
        <v>1</v>
      </c>
      <c r="Y1531" s="161" t="str">
        <f t="shared" si="6"/>
        <v>duranke01,2016-17</v>
      </c>
      <c r="Z1531" s="168">
        <f t="array" ref="Z1531">iferror(index(I:I,match($A1531&amp;","&amp;index('Year Conversion'!$A:$A,match($C1531,'Year Conversion'!$B:$B,0)),$Y:$Y,0))-I1531,"")</f>
        <v>1</v>
      </c>
      <c r="AA1531" s="168">
        <f t="array" ref="AA1531">iferror(index(J:J,match($A1531&amp;","&amp;index('Year Conversion'!$A:$A,match($C1531,'Year Conversion'!$B:$B,0)),$Y:$Y,0))-J1531,"")</f>
        <v>-1.495480876</v>
      </c>
      <c r="AB1531" s="168">
        <f t="array" ref="AB1531">iferror(index(K:K,match($A1531&amp;","&amp;index('Year Conversion'!$A:$A,match($C1531,'Year Conversion'!$B:$B,0)),$Y:$Y,0))-K1531,"")</f>
        <v>-0.330607652</v>
      </c>
      <c r="AC1531" s="168" t="str">
        <f t="shared" si="7"/>
        <v>GSW,2016-17</v>
      </c>
    </row>
    <row r="1532">
      <c r="A1532" s="161" t="str">
        <f>IFERROR(__xludf.DUMMYFUNCTION("""COMPUTED_VALUE"""),"horfoal01")</f>
        <v>horfoal01</v>
      </c>
      <c r="B1532" s="161" t="str">
        <f>IFERROR(__xludf.DUMMYFUNCTION("""COMPUTED_VALUE"""),"Al Horford")</f>
        <v>Al Horford</v>
      </c>
      <c r="C1532" s="162" t="str">
        <f>IFERROR(__xludf.DUMMYFUNCTION("""COMPUTED_VALUE"""),"2016-17")</f>
        <v>2016-17</v>
      </c>
      <c r="D1532" s="163" t="str">
        <f>IFERROR(__xludf.DUMMYFUNCTION("""COMPUTED_VALUE"""),"BOS")</f>
        <v>BOS</v>
      </c>
      <c r="E1532" s="164" t="str">
        <f>IFERROR(__xludf.DUMMYFUNCTION("""COMPUTED_VALUE"""),"Versatile Big")</f>
        <v>Versatile Big</v>
      </c>
      <c r="F1532" s="164">
        <f>IFERROR(__xludf.DUMMYFUNCTION("""COMPUTED_VALUE"""),2193.26166666667)</f>
        <v>2193.261667</v>
      </c>
      <c r="G1532" s="163">
        <f>IFERROR(__xludf.DUMMYFUNCTION("""COMPUTED_VALUE"""),68.0)</f>
        <v>68</v>
      </c>
      <c r="H1532" s="163" t="str">
        <f>IFERROR(__xludf.DUMMYFUNCTION("""COMPUTED_VALUE"""),"C")</f>
        <v>C</v>
      </c>
      <c r="I1532" s="163">
        <f>IFERROR(__xludf.DUMMYFUNCTION("""COMPUTED_VALUE"""),30.0)</f>
        <v>30</v>
      </c>
      <c r="J1532" s="165">
        <f>IFERROR(__xludf.DUMMYFUNCTION("""COMPUTED_VALUE"""),1.04161427365337)</f>
        <v>1.041614274</v>
      </c>
      <c r="K1532" s="165">
        <f>IFERROR(__xludf.DUMMYFUNCTION("""COMPUTED_VALUE"""),0.41971619209132)</f>
        <v>0.4197161921</v>
      </c>
      <c r="L1532" s="165">
        <f>IFERROR(__xludf.DUMMYFUNCTION("""COMPUTED_VALUE"""),0.621898081562053)</f>
        <v>0.6218980816</v>
      </c>
      <c r="M1532" s="166">
        <f t="shared" si="2"/>
        <v>4.919169826</v>
      </c>
      <c r="N1532" s="167">
        <f t="shared" si="3"/>
        <v>32.25384804</v>
      </c>
      <c r="O1532" s="163">
        <f t="shared" ref="O1532:Q1532" si="1536">rank(I1532,I:I)</f>
        <v>655</v>
      </c>
      <c r="P1532" s="163">
        <f t="shared" si="1536"/>
        <v>641</v>
      </c>
      <c r="Q1532" s="163">
        <f t="shared" si="1536"/>
        <v>816</v>
      </c>
      <c r="R1532" s="163">
        <f>IFERROR(__xludf.DUMMYFUNCTION("RANK(M1532,filter(M:M,C:C=C1532))"),56.0)</f>
        <v>56</v>
      </c>
      <c r="S1532" s="161" t="b">
        <f t="shared" si="5"/>
        <v>0</v>
      </c>
      <c r="T1532" s="161" t="b">
        <f t="array" ref="T1532">index('Query Tool'!B:B,match(H1532,'Query Tool'!C:C,0))</f>
        <v>1</v>
      </c>
      <c r="U1532" s="161" t="b">
        <f t="array" ref="U1532">index('Query Tool'!B:B,match(C1532,'Query Tool'!C:C,0))</f>
        <v>0</v>
      </c>
      <c r="V1532" s="161" t="b">
        <f>F1532&gt;='Query Tool'!C$32</f>
        <v>1</v>
      </c>
      <c r="W1532" s="161" t="b">
        <f t="array" ref="W1532">index(Dropdowns!B:B,match(I1532,Dropdowns!A:A,0))</f>
        <v>1</v>
      </c>
      <c r="X1532" s="161" t="b">
        <f t="array" ref="X1532">index('Query Tool'!B:B,match(D1532,'Query Tool'!C:C,0))</f>
        <v>1</v>
      </c>
      <c r="Y1532" s="161" t="str">
        <f t="shared" si="6"/>
        <v>horfoal01,2016-17</v>
      </c>
      <c r="Z1532" s="168">
        <f t="array" ref="Z1532">iferror(index(I:I,match($A1532&amp;","&amp;index('Year Conversion'!$A:$A,match($C1532,'Year Conversion'!$B:$B,0)),$Y:$Y,0))-I1532,"")</f>
        <v>1</v>
      </c>
      <c r="AA1532" s="168">
        <f t="array" ref="AA1532">iferror(index(J:J,match($A1532&amp;","&amp;index('Year Conversion'!$A:$A,match($C1532,'Year Conversion'!$B:$B,0)),$Y:$Y,0))-J1532,"")</f>
        <v>0.8899130252</v>
      </c>
      <c r="AB1532" s="168">
        <f t="array" ref="AB1532">iferror(index(K:K,match($A1532&amp;","&amp;index('Year Conversion'!$A:$A,match($C1532,'Year Conversion'!$B:$B,0)),$Y:$Y,0))-K1532,"")</f>
        <v>-0.3778783114</v>
      </c>
      <c r="AC1532" s="168" t="str">
        <f t="shared" si="7"/>
        <v>BOS,2016-17</v>
      </c>
    </row>
    <row r="1533">
      <c r="A1533" s="161" t="str">
        <f>IFERROR(__xludf.DUMMYFUNCTION("""COMPUTED_VALUE"""),"conlemi01")</f>
        <v>conlemi01</v>
      </c>
      <c r="B1533" s="161" t="str">
        <f>IFERROR(__xludf.DUMMYFUNCTION("""COMPUTED_VALUE"""),"Mike Conley")</f>
        <v>Mike Conley</v>
      </c>
      <c r="C1533" s="162" t="str">
        <f>IFERROR(__xludf.DUMMYFUNCTION("""COMPUTED_VALUE"""),"2016-17")</f>
        <v>2016-17</v>
      </c>
      <c r="D1533" s="163" t="str">
        <f>IFERROR(__xludf.DUMMYFUNCTION("""COMPUTED_VALUE"""),"MEM")</f>
        <v>MEM</v>
      </c>
      <c r="E1533" s="164" t="str">
        <f>IFERROR(__xludf.DUMMYFUNCTION("""COMPUTED_VALUE"""),"Primary Ball Handler")</f>
        <v>Primary Ball Handler</v>
      </c>
      <c r="F1533" s="164">
        <f>IFERROR(__xludf.DUMMYFUNCTION("""COMPUTED_VALUE"""),2291.86333333333)</f>
        <v>2291.863333</v>
      </c>
      <c r="G1533" s="163">
        <f>IFERROR(__xludf.DUMMYFUNCTION("""COMPUTED_VALUE"""),69.0)</f>
        <v>69</v>
      </c>
      <c r="H1533" s="163" t="str">
        <f>IFERROR(__xludf.DUMMYFUNCTION("""COMPUTED_VALUE"""),"PG")</f>
        <v>PG</v>
      </c>
      <c r="I1533" s="163">
        <f>IFERROR(__xludf.DUMMYFUNCTION("""COMPUTED_VALUE"""),29.0)</f>
        <v>29</v>
      </c>
      <c r="J1533" s="165">
        <f>IFERROR(__xludf.DUMMYFUNCTION("""COMPUTED_VALUE"""),3.77173959381114)</f>
        <v>3.771739594</v>
      </c>
      <c r="K1533" s="165">
        <f>IFERROR(__xludf.DUMMYFUNCTION("""COMPUTED_VALUE"""),3.95842410037971)</f>
        <v>3.9584241</v>
      </c>
      <c r="L1533" s="165">
        <f>IFERROR(__xludf.DUMMYFUNCTION("""COMPUTED_VALUE"""),-0.186684506568573)</f>
        <v>-0.1866845066</v>
      </c>
      <c r="M1533" s="166">
        <f t="shared" si="2"/>
        <v>9.248683053</v>
      </c>
      <c r="N1533" s="167">
        <f t="shared" si="3"/>
        <v>33.21541063</v>
      </c>
      <c r="O1533" s="163">
        <f t="shared" ref="O1533:Q1533" si="1537">rank(I1533,I:I)</f>
        <v>855</v>
      </c>
      <c r="P1533" s="163">
        <f t="shared" si="1537"/>
        <v>110</v>
      </c>
      <c r="Q1533" s="163">
        <f t="shared" si="1537"/>
        <v>64</v>
      </c>
      <c r="R1533" s="163">
        <f>IFERROR(__xludf.DUMMYFUNCTION("RANK(M1533,filter(M:M,C:C=C1533))"),20.0)</f>
        <v>20</v>
      </c>
      <c r="S1533" s="161" t="b">
        <f t="shared" si="5"/>
        <v>0</v>
      </c>
      <c r="T1533" s="161" t="b">
        <f t="array" ref="T1533">index('Query Tool'!B:B,match(H1533,'Query Tool'!C:C,0))</f>
        <v>1</v>
      </c>
      <c r="U1533" s="161" t="b">
        <f t="array" ref="U1533">index('Query Tool'!B:B,match(C1533,'Query Tool'!C:C,0))</f>
        <v>0</v>
      </c>
      <c r="V1533" s="161" t="b">
        <f>F1533&gt;='Query Tool'!C$32</f>
        <v>1</v>
      </c>
      <c r="W1533" s="161" t="b">
        <f t="array" ref="W1533">index(Dropdowns!B:B,match(I1533,Dropdowns!A:A,0))</f>
        <v>1</v>
      </c>
      <c r="X1533" s="161" t="b">
        <f t="array" ref="X1533">index('Query Tool'!B:B,match(D1533,'Query Tool'!C:C,0))</f>
        <v>1</v>
      </c>
      <c r="Y1533" s="161" t="str">
        <f t="shared" si="6"/>
        <v>conlemi01,2016-17</v>
      </c>
      <c r="Z1533" s="168">
        <f t="array" ref="Z1533">iferror(index(I:I,match($A1533&amp;","&amp;index('Year Conversion'!$A:$A,match($C1533,'Year Conversion'!$B:$B,0)),$Y:$Y,0))-I1533,"")</f>
        <v>1</v>
      </c>
      <c r="AA1533" s="168">
        <f t="array" ref="AA1533">iferror(index(J:J,match($A1533&amp;","&amp;index('Year Conversion'!$A:$A,match($C1533,'Year Conversion'!$B:$B,0)),$Y:$Y,0))-J1533,"")</f>
        <v>-1.717818809</v>
      </c>
      <c r="AB1533" s="168">
        <f t="array" ref="AB1533">iferror(index(K:K,match($A1533&amp;","&amp;index('Year Conversion'!$A:$A,match($C1533,'Year Conversion'!$B:$B,0)),$Y:$Y,0))-K1533,"")</f>
        <v>-1.77478503</v>
      </c>
      <c r="AC1533" s="168" t="str">
        <f t="shared" si="7"/>
        <v>MEM,2016-17</v>
      </c>
    </row>
    <row r="1534">
      <c r="A1534" s="161" t="str">
        <f>IFERROR(__xludf.DUMMYFUNCTION("""COMPUTED_VALUE"""),"greenje02")</f>
        <v>greenje02</v>
      </c>
      <c r="B1534" s="161" t="str">
        <f>IFERROR(__xludf.DUMMYFUNCTION("""COMPUTED_VALUE"""),"Jeff Green")</f>
        <v>Jeff Green</v>
      </c>
      <c r="C1534" s="162" t="str">
        <f>IFERROR(__xludf.DUMMYFUNCTION("""COMPUTED_VALUE"""),"2016-17")</f>
        <v>2016-17</v>
      </c>
      <c r="D1534" s="163" t="str">
        <f>IFERROR(__xludf.DUMMYFUNCTION("""COMPUTED_VALUE"""),"ORL")</f>
        <v>ORL</v>
      </c>
      <c r="E1534" s="164" t="str">
        <f>IFERROR(__xludf.DUMMYFUNCTION("""COMPUTED_VALUE"""),"Shot Creator")</f>
        <v>Shot Creator</v>
      </c>
      <c r="F1534" s="164">
        <f>IFERROR(__xludf.DUMMYFUNCTION("""COMPUTED_VALUE"""),1533.745)</f>
        <v>1533.745</v>
      </c>
      <c r="G1534" s="163">
        <f>IFERROR(__xludf.DUMMYFUNCTION("""COMPUTED_VALUE"""),69.0)</f>
        <v>69</v>
      </c>
      <c r="H1534" s="163" t="str">
        <f>IFERROR(__xludf.DUMMYFUNCTION("""COMPUTED_VALUE"""),"PF")</f>
        <v>PF</v>
      </c>
      <c r="I1534" s="163">
        <f>IFERROR(__xludf.DUMMYFUNCTION("""COMPUTED_VALUE"""),30.0)</f>
        <v>30</v>
      </c>
      <c r="J1534" s="165">
        <f>IFERROR(__xludf.DUMMYFUNCTION("""COMPUTED_VALUE"""),-2.65261818279673)</f>
        <v>-2.652618183</v>
      </c>
      <c r="K1534" s="165">
        <f>IFERROR(__xludf.DUMMYFUNCTION("""COMPUTED_VALUE"""),-1.83266909794846)</f>
        <v>-1.832669098</v>
      </c>
      <c r="L1534" s="165">
        <f>IFERROR(__xludf.DUMMYFUNCTION("""COMPUTED_VALUE"""),-0.81994908484827)</f>
        <v>-0.8199490848</v>
      </c>
      <c r="M1534" s="166">
        <f t="shared" si="2"/>
        <v>-0.3518759306</v>
      </c>
      <c r="N1534" s="167">
        <f t="shared" si="3"/>
        <v>22.22818841</v>
      </c>
      <c r="O1534" s="163">
        <f t="shared" ref="O1534:Q1534" si="1538">rank(I1534,I:I)</f>
        <v>655</v>
      </c>
      <c r="P1534" s="163">
        <f t="shared" si="1538"/>
        <v>3802</v>
      </c>
      <c r="Q1534" s="163">
        <f t="shared" si="1538"/>
        <v>3594</v>
      </c>
      <c r="R1534" s="163">
        <f>IFERROR(__xludf.DUMMYFUNCTION("RANK(M1534,filter(M:M,C:C=C1534))"),470.0)</f>
        <v>470</v>
      </c>
      <c r="S1534" s="161" t="b">
        <f t="shared" si="5"/>
        <v>0</v>
      </c>
      <c r="T1534" s="161" t="b">
        <f t="array" ref="T1534">index('Query Tool'!B:B,match(H1534,'Query Tool'!C:C,0))</f>
        <v>1</v>
      </c>
      <c r="U1534" s="161" t="b">
        <f t="array" ref="U1534">index('Query Tool'!B:B,match(C1534,'Query Tool'!C:C,0))</f>
        <v>0</v>
      </c>
      <c r="V1534" s="161" t="b">
        <f>F1534&gt;='Query Tool'!C$32</f>
        <v>1</v>
      </c>
      <c r="W1534" s="161" t="b">
        <f t="array" ref="W1534">index(Dropdowns!B:B,match(I1534,Dropdowns!A:A,0))</f>
        <v>1</v>
      </c>
      <c r="X1534" s="161" t="b">
        <f t="array" ref="X1534">index('Query Tool'!B:B,match(D1534,'Query Tool'!C:C,0))</f>
        <v>1</v>
      </c>
      <c r="Y1534" s="161" t="str">
        <f t="shared" si="6"/>
        <v>greenje02,2016-17</v>
      </c>
      <c r="Z1534" s="168">
        <f t="array" ref="Z1534">iferror(index(I:I,match($A1534&amp;","&amp;index('Year Conversion'!$A:$A,match($C1534,'Year Conversion'!$B:$B,0)),$Y:$Y,0))-I1534,"")</f>
        <v>1</v>
      </c>
      <c r="AA1534" s="168">
        <f t="array" ref="AA1534">iferror(index(J:J,match($A1534&amp;","&amp;index('Year Conversion'!$A:$A,match($C1534,'Year Conversion'!$B:$B,0)),$Y:$Y,0))-J1534,"")</f>
        <v>2.188477148</v>
      </c>
      <c r="AB1534" s="168">
        <f t="array" ref="AB1534">iferror(index(K:K,match($A1534&amp;","&amp;index('Year Conversion'!$A:$A,match($C1534,'Year Conversion'!$B:$B,0)),$Y:$Y,0))-K1534,"")</f>
        <v>2.458988271</v>
      </c>
      <c r="AC1534" s="168" t="str">
        <f t="shared" si="7"/>
        <v>ORL,2016-17</v>
      </c>
    </row>
    <row r="1535">
      <c r="A1535" s="161" t="str">
        <f>IFERROR(__xludf.DUMMYFUNCTION("""COMPUTED_VALUE"""),"breweco01")</f>
        <v>breweco01</v>
      </c>
      <c r="B1535" s="161" t="str">
        <f>IFERROR(__xludf.DUMMYFUNCTION("""COMPUTED_VALUE"""),"Corey Brewer")</f>
        <v>Corey Brewer</v>
      </c>
      <c r="C1535" s="162" t="str">
        <f>IFERROR(__xludf.DUMMYFUNCTION("""COMPUTED_VALUE"""),"2016-17")</f>
        <v>2016-17</v>
      </c>
      <c r="D1535" s="163" t="str">
        <f>IFERROR(__xludf.DUMMYFUNCTION("""COMPUTED_VALUE"""),"TOT")</f>
        <v>TOT</v>
      </c>
      <c r="E1535" s="164" t="str">
        <f>IFERROR(__xludf.DUMMYFUNCTION("""COMPUTED_VALUE"""),"Stationary Shooter")</f>
        <v>Stationary Shooter</v>
      </c>
      <c r="F1535" s="164">
        <f>IFERROR(__xludf.DUMMYFUNCTION("""COMPUTED_VALUE"""),1281.21666666667)</f>
        <v>1281.216667</v>
      </c>
      <c r="G1535" s="163">
        <f>IFERROR(__xludf.DUMMYFUNCTION("""COMPUTED_VALUE"""),82.0)</f>
        <v>82</v>
      </c>
      <c r="H1535" s="163" t="str">
        <f>IFERROR(__xludf.DUMMYFUNCTION("""COMPUTED_VALUE"""),"SF")</f>
        <v>SF</v>
      </c>
      <c r="I1535" s="163">
        <f>IFERROR(__xludf.DUMMYFUNCTION("""COMPUTED_VALUE"""),30.0)</f>
        <v>30</v>
      </c>
      <c r="J1535" s="165">
        <f>IFERROR(__xludf.DUMMYFUNCTION("""COMPUTED_VALUE"""),-0.916173734092187)</f>
        <v>-0.9161737341</v>
      </c>
      <c r="K1535" s="165">
        <f>IFERROR(__xludf.DUMMYFUNCTION("""COMPUTED_VALUE"""),-1.52694845654398)</f>
        <v>-1.526948457</v>
      </c>
      <c r="L1535" s="165">
        <f>IFERROR(__xludf.DUMMYFUNCTION("""COMPUTED_VALUE"""),0.610774722451789)</f>
        <v>0.6107747225</v>
      </c>
      <c r="M1535" s="166">
        <f t="shared" si="2"/>
        <v>1.184755012</v>
      </c>
      <c r="N1535" s="167">
        <f t="shared" si="3"/>
        <v>15.6245935</v>
      </c>
      <c r="O1535" s="163">
        <f t="shared" ref="O1535:Q1535" si="1539">rank(I1535,I:I)</f>
        <v>655</v>
      </c>
      <c r="P1535" s="163">
        <f t="shared" si="1539"/>
        <v>2414</v>
      </c>
      <c r="Q1535" s="163">
        <f t="shared" si="1539"/>
        <v>3384</v>
      </c>
      <c r="R1535" s="163">
        <f>IFERROR(__xludf.DUMMYFUNCTION("RANK(M1535,filter(M:M,C:C=C1535))"),208.0)</f>
        <v>208</v>
      </c>
      <c r="S1535" s="161" t="b">
        <f t="shared" si="5"/>
        <v>0</v>
      </c>
      <c r="T1535" s="161" t="b">
        <f t="array" ref="T1535">index('Query Tool'!B:B,match(H1535,'Query Tool'!C:C,0))</f>
        <v>1</v>
      </c>
      <c r="U1535" s="161" t="b">
        <f t="array" ref="U1535">index('Query Tool'!B:B,match(C1535,'Query Tool'!C:C,0))</f>
        <v>0</v>
      </c>
      <c r="V1535" s="161" t="b">
        <f>F1535&gt;='Query Tool'!C$32</f>
        <v>1</v>
      </c>
      <c r="W1535" s="161" t="b">
        <f t="array" ref="W1535">index(Dropdowns!B:B,match(I1535,Dropdowns!A:A,0))</f>
        <v>1</v>
      </c>
      <c r="X1535" s="161" t="b">
        <f t="array" ref="X1535">index('Query Tool'!B:B,match(D1535,'Query Tool'!C:C,0))</f>
        <v>1</v>
      </c>
      <c r="Y1535" s="161" t="str">
        <f t="shared" si="6"/>
        <v>breweco01,2016-17</v>
      </c>
      <c r="Z1535" s="168">
        <f t="array" ref="Z1535">iferror(index(I:I,match($A1535&amp;","&amp;index('Year Conversion'!$A:$A,match($C1535,'Year Conversion'!$B:$B,0)),$Y:$Y,0))-I1535,"")</f>
        <v>1</v>
      </c>
      <c r="AA1535" s="168">
        <f t="array" ref="AA1535">iferror(index(J:J,match($A1535&amp;","&amp;index('Year Conversion'!$A:$A,match($C1535,'Year Conversion'!$B:$B,0)),$Y:$Y,0))-J1535,"")</f>
        <v>-0.4884837938</v>
      </c>
      <c r="AB1535" s="168">
        <f t="array" ref="AB1535">iferror(index(K:K,match($A1535&amp;","&amp;index('Year Conversion'!$A:$A,match($C1535,'Year Conversion'!$B:$B,0)),$Y:$Y,0))-K1535,"")</f>
        <v>0.01181182615</v>
      </c>
      <c r="AC1535" s="168" t="str">
        <f t="shared" si="7"/>
        <v>TOT,2016-17</v>
      </c>
    </row>
    <row r="1536">
      <c r="A1536" s="161" t="str">
        <f>IFERROR(__xludf.DUMMYFUNCTION("""COMPUTED_VALUE"""),"wrighbr03")</f>
        <v>wrighbr03</v>
      </c>
      <c r="B1536" s="161" t="str">
        <f>IFERROR(__xludf.DUMMYFUNCTION("""COMPUTED_VALUE"""),"Brandan Wright")</f>
        <v>Brandan Wright</v>
      </c>
      <c r="C1536" s="162" t="str">
        <f>IFERROR(__xludf.DUMMYFUNCTION("""COMPUTED_VALUE"""),"2016-17")</f>
        <v>2016-17</v>
      </c>
      <c r="D1536" s="163" t="str">
        <f>IFERROR(__xludf.DUMMYFUNCTION("""COMPUTED_VALUE"""),"MEM")</f>
        <v>MEM</v>
      </c>
      <c r="E1536" s="164" t="str">
        <f>IFERROR(__xludf.DUMMYFUNCTION("""COMPUTED_VALUE"""),"Roll + Cut Big")</f>
        <v>Roll + Cut Big</v>
      </c>
      <c r="F1536" s="164">
        <f>IFERROR(__xludf.DUMMYFUNCTION("""COMPUTED_VALUE"""),446.875)</f>
        <v>446.875</v>
      </c>
      <c r="G1536" s="163">
        <f>IFERROR(__xludf.DUMMYFUNCTION("""COMPUTED_VALUE"""),28.0)</f>
        <v>28</v>
      </c>
      <c r="H1536" s="163" t="str">
        <f>IFERROR(__xludf.DUMMYFUNCTION("""COMPUTED_VALUE"""),"PF")</f>
        <v>PF</v>
      </c>
      <c r="I1536" s="163">
        <f>IFERROR(__xludf.DUMMYFUNCTION("""COMPUTED_VALUE"""),29.0)</f>
        <v>29</v>
      </c>
      <c r="J1536" s="165">
        <f>IFERROR(__xludf.DUMMYFUNCTION("""COMPUTED_VALUE"""),-0.468444228955171)</f>
        <v>-0.468444229</v>
      </c>
      <c r="K1536" s="165">
        <f>IFERROR(__xludf.DUMMYFUNCTION("""COMPUTED_VALUE"""),-0.812215653516427)</f>
        <v>-0.8122156535</v>
      </c>
      <c r="L1536" s="165">
        <f>IFERROR(__xludf.DUMMYFUNCTION("""COMPUTED_VALUE"""),0.343771424561256)</f>
        <v>0.3437714246</v>
      </c>
      <c r="M1536" s="166">
        <f t="shared" si="2"/>
        <v>0.5478430898</v>
      </c>
      <c r="N1536" s="167">
        <f t="shared" si="3"/>
        <v>15.95982143</v>
      </c>
      <c r="O1536" s="163">
        <f t="shared" ref="O1536:Q1536" si="1540">rank(I1536,I:I)</f>
        <v>855</v>
      </c>
      <c r="P1536" s="163">
        <f t="shared" si="1540"/>
        <v>1806</v>
      </c>
      <c r="Q1536" s="163">
        <f t="shared" si="1540"/>
        <v>2571</v>
      </c>
      <c r="R1536" s="163">
        <f>IFERROR(__xludf.DUMMYFUNCTION("RANK(M1536,filter(M:M,C:C=C1536))"),274.0)</f>
        <v>274</v>
      </c>
      <c r="S1536" s="161" t="b">
        <f t="shared" si="5"/>
        <v>0</v>
      </c>
      <c r="T1536" s="161" t="b">
        <f t="array" ref="T1536">index('Query Tool'!B:B,match(H1536,'Query Tool'!C:C,0))</f>
        <v>1</v>
      </c>
      <c r="U1536" s="161" t="b">
        <f t="array" ref="U1536">index('Query Tool'!B:B,match(C1536,'Query Tool'!C:C,0))</f>
        <v>0</v>
      </c>
      <c r="V1536" s="161" t="b">
        <f>F1536&gt;='Query Tool'!C$32</f>
        <v>0</v>
      </c>
      <c r="W1536" s="161" t="b">
        <f t="array" ref="W1536">index(Dropdowns!B:B,match(I1536,Dropdowns!A:A,0))</f>
        <v>1</v>
      </c>
      <c r="X1536" s="161" t="b">
        <f t="array" ref="X1536">index('Query Tool'!B:B,match(D1536,'Query Tool'!C:C,0))</f>
        <v>1</v>
      </c>
      <c r="Y1536" s="161" t="str">
        <f t="shared" si="6"/>
        <v>wrighbr03,2016-17</v>
      </c>
      <c r="Z1536" s="168">
        <f t="array" ref="Z1536">iferror(index(I:I,match($A1536&amp;","&amp;index('Year Conversion'!$A:$A,match($C1536,'Year Conversion'!$B:$B,0)),$Y:$Y,0))-I1536,"")</f>
        <v>1</v>
      </c>
      <c r="AA1536" s="168">
        <f t="array" ref="AA1536">iferror(index(J:J,match($A1536&amp;","&amp;index('Year Conversion'!$A:$A,match($C1536,'Year Conversion'!$B:$B,0)),$Y:$Y,0))-J1536,"")</f>
        <v>1.58351223</v>
      </c>
      <c r="AB1536" s="168">
        <f t="array" ref="AB1536">iferror(index(K:K,match($A1536&amp;","&amp;index('Year Conversion'!$A:$A,match($C1536,'Year Conversion'!$B:$B,0)),$Y:$Y,0))-K1536,"")</f>
        <v>0.3872395918</v>
      </c>
      <c r="AC1536" s="168" t="str">
        <f t="shared" si="7"/>
        <v>MEM,2016-17</v>
      </c>
    </row>
    <row r="1537">
      <c r="A1537" s="161" t="str">
        <f>IFERROR(__xludf.DUMMYFUNCTION("""COMPUTED_VALUE"""),"noahjo01")</f>
        <v>noahjo01</v>
      </c>
      <c r="B1537" s="161" t="str">
        <f>IFERROR(__xludf.DUMMYFUNCTION("""COMPUTED_VALUE"""),"Joakim Noah")</f>
        <v>Joakim Noah</v>
      </c>
      <c r="C1537" s="162" t="str">
        <f>IFERROR(__xludf.DUMMYFUNCTION("""COMPUTED_VALUE"""),"2016-17")</f>
        <v>2016-17</v>
      </c>
      <c r="D1537" s="163" t="str">
        <f>IFERROR(__xludf.DUMMYFUNCTION("""COMPUTED_VALUE"""),"NYK")</f>
        <v>NYK</v>
      </c>
      <c r="E1537" s="164" t="str">
        <f>IFERROR(__xludf.DUMMYFUNCTION("""COMPUTED_VALUE"""),"Roll + Cut Big")</f>
        <v>Roll + Cut Big</v>
      </c>
      <c r="F1537" s="164">
        <f>IFERROR(__xludf.DUMMYFUNCTION("""COMPUTED_VALUE"""),1014.58166666667)</f>
        <v>1014.581667</v>
      </c>
      <c r="G1537" s="163">
        <f>IFERROR(__xludf.DUMMYFUNCTION("""COMPUTED_VALUE"""),46.0)</f>
        <v>46</v>
      </c>
      <c r="H1537" s="163" t="str">
        <f>IFERROR(__xludf.DUMMYFUNCTION("""COMPUTED_VALUE"""),"C")</f>
        <v>C</v>
      </c>
      <c r="I1537" s="163">
        <f>IFERROR(__xludf.DUMMYFUNCTION("""COMPUTED_VALUE"""),31.0)</f>
        <v>31</v>
      </c>
      <c r="J1537" s="165">
        <f>IFERROR(__xludf.DUMMYFUNCTION("""COMPUTED_VALUE"""),0.296583273370667)</f>
        <v>0.2965832734</v>
      </c>
      <c r="K1537" s="165">
        <f>IFERROR(__xludf.DUMMYFUNCTION("""COMPUTED_VALUE"""),-0.993947361702517)</f>
        <v>-0.9939473617</v>
      </c>
      <c r="L1537" s="165">
        <f>IFERROR(__xludf.DUMMYFUNCTION("""COMPUTED_VALUE"""),1.29053063507318)</f>
        <v>1.290530635</v>
      </c>
      <c r="M1537" s="166">
        <f t="shared" si="2"/>
        <v>1.766991027</v>
      </c>
      <c r="N1537" s="167">
        <f t="shared" si="3"/>
        <v>22.05612319</v>
      </c>
      <c r="O1537" s="163">
        <f t="shared" ref="O1537:Q1537" si="1541">rank(I1537,I:I)</f>
        <v>490</v>
      </c>
      <c r="P1537" s="163">
        <f t="shared" si="1541"/>
        <v>1023</v>
      </c>
      <c r="Q1537" s="163">
        <f t="shared" si="1541"/>
        <v>2795</v>
      </c>
      <c r="R1537" s="163">
        <f>IFERROR(__xludf.DUMMYFUNCTION("RANK(M1537,filter(M:M,C:C=C1537))"),173.0)</f>
        <v>173</v>
      </c>
      <c r="S1537" s="161" t="b">
        <f t="shared" si="5"/>
        <v>0</v>
      </c>
      <c r="T1537" s="161" t="b">
        <f t="array" ref="T1537">index('Query Tool'!B:B,match(H1537,'Query Tool'!C:C,0))</f>
        <v>1</v>
      </c>
      <c r="U1537" s="161" t="b">
        <f t="array" ref="U1537">index('Query Tool'!B:B,match(C1537,'Query Tool'!C:C,0))</f>
        <v>0</v>
      </c>
      <c r="V1537" s="161" t="b">
        <f>F1537&gt;='Query Tool'!C$32</f>
        <v>1</v>
      </c>
      <c r="W1537" s="161" t="b">
        <f t="array" ref="W1537">index(Dropdowns!B:B,match(I1537,Dropdowns!A:A,0))</f>
        <v>1</v>
      </c>
      <c r="X1537" s="161" t="b">
        <f t="array" ref="X1537">index('Query Tool'!B:B,match(D1537,'Query Tool'!C:C,0))</f>
        <v>1</v>
      </c>
      <c r="Y1537" s="161" t="str">
        <f t="shared" si="6"/>
        <v>noahjo01,2016-17</v>
      </c>
      <c r="Z1537" s="168">
        <f t="array" ref="Z1537">iferror(index(I:I,match($A1537&amp;","&amp;index('Year Conversion'!$A:$A,match($C1537,'Year Conversion'!$B:$B,0)),$Y:$Y,0))-I1537,"")</f>
        <v>1</v>
      </c>
      <c r="AA1537" s="168">
        <f t="array" ref="AA1537">iferror(index(J:J,match($A1537&amp;","&amp;index('Year Conversion'!$A:$A,match($C1537,'Year Conversion'!$B:$B,0)),$Y:$Y,0))-J1537,"")</f>
        <v>-0.484249991</v>
      </c>
      <c r="AB1537" s="168">
        <f t="array" ref="AB1537">iferror(index(K:K,match($A1537&amp;","&amp;index('Year Conversion'!$A:$A,match($C1537,'Year Conversion'!$B:$B,0)),$Y:$Y,0))-K1537,"")</f>
        <v>0.6829855885</v>
      </c>
      <c r="AC1537" s="168" t="str">
        <f t="shared" si="7"/>
        <v>NYK,2016-17</v>
      </c>
    </row>
    <row r="1538">
      <c r="A1538" s="161" t="str">
        <f>IFERROR(__xludf.DUMMYFUNCTION("""COMPUTED_VALUE"""),"hawessp01")</f>
        <v>hawessp01</v>
      </c>
      <c r="B1538" s="161" t="str">
        <f>IFERROR(__xludf.DUMMYFUNCTION("""COMPUTED_VALUE"""),"Spencer Hawes")</f>
        <v>Spencer Hawes</v>
      </c>
      <c r="C1538" s="162" t="str">
        <f>IFERROR(__xludf.DUMMYFUNCTION("""COMPUTED_VALUE"""),"2016-17")</f>
        <v>2016-17</v>
      </c>
      <c r="D1538" s="163" t="str">
        <f>IFERROR(__xludf.DUMMYFUNCTION("""COMPUTED_VALUE"""),"TOT")</f>
        <v>TOT</v>
      </c>
      <c r="E1538" s="164" t="str">
        <f>IFERROR(__xludf.DUMMYFUNCTION("""COMPUTED_VALUE"""),"Stretch Big")</f>
        <v>Stretch Big</v>
      </c>
      <c r="F1538" s="164">
        <f>IFERROR(__xludf.DUMMYFUNCTION("""COMPUTED_VALUE"""),797.128333333334)</f>
        <v>797.1283333</v>
      </c>
      <c r="G1538" s="163">
        <f>IFERROR(__xludf.DUMMYFUNCTION("""COMPUTED_VALUE"""),54.0)</f>
        <v>54</v>
      </c>
      <c r="H1538" s="163" t="str">
        <f>IFERROR(__xludf.DUMMYFUNCTION("""COMPUTED_VALUE"""),"PF")</f>
        <v>PF</v>
      </c>
      <c r="I1538" s="163">
        <f>IFERROR(__xludf.DUMMYFUNCTION("""COMPUTED_VALUE"""),28.0)</f>
        <v>28</v>
      </c>
      <c r="J1538" s="165">
        <f>IFERROR(__xludf.DUMMYFUNCTION("""COMPUTED_VALUE"""),-1.53714183135867)</f>
        <v>-1.537141831</v>
      </c>
      <c r="K1538" s="165">
        <f>IFERROR(__xludf.DUMMYFUNCTION("""COMPUTED_VALUE"""),-1.11465285331716)</f>
        <v>-1.114652853</v>
      </c>
      <c r="L1538" s="165">
        <f>IFERROR(__xludf.DUMMYFUNCTION("""COMPUTED_VALUE"""),-0.422488978041517)</f>
        <v>-0.422488978</v>
      </c>
      <c r="M1538" s="166">
        <f t="shared" si="2"/>
        <v>0.4055227602</v>
      </c>
      <c r="N1538" s="167">
        <f t="shared" si="3"/>
        <v>14.7616358</v>
      </c>
      <c r="O1538" s="163">
        <f t="shared" ref="O1538:Q1538" si="1542">rank(I1538,I:I)</f>
        <v>1090</v>
      </c>
      <c r="P1538" s="163">
        <f t="shared" si="1542"/>
        <v>3083</v>
      </c>
      <c r="Q1538" s="163">
        <f t="shared" si="1542"/>
        <v>2944</v>
      </c>
      <c r="R1538" s="163">
        <f>IFERROR(__xludf.DUMMYFUNCTION("RANK(M1538,filter(M:M,C:C=C1538))"),297.0)</f>
        <v>297</v>
      </c>
      <c r="S1538" s="161" t="b">
        <f t="shared" si="5"/>
        <v>0</v>
      </c>
      <c r="T1538" s="161" t="b">
        <f t="array" ref="T1538">index('Query Tool'!B:B,match(H1538,'Query Tool'!C:C,0))</f>
        <v>1</v>
      </c>
      <c r="U1538" s="161" t="b">
        <f t="array" ref="U1538">index('Query Tool'!B:B,match(C1538,'Query Tool'!C:C,0))</f>
        <v>0</v>
      </c>
      <c r="V1538" s="161" t="b">
        <f>F1538&gt;='Query Tool'!C$32</f>
        <v>1</v>
      </c>
      <c r="W1538" s="161" t="b">
        <f t="array" ref="W1538">index(Dropdowns!B:B,match(I1538,Dropdowns!A:A,0))</f>
        <v>1</v>
      </c>
      <c r="X1538" s="161" t="b">
        <f t="array" ref="X1538">index('Query Tool'!B:B,match(D1538,'Query Tool'!C:C,0))</f>
        <v>1</v>
      </c>
      <c r="Y1538" s="161" t="str">
        <f t="shared" si="6"/>
        <v>hawessp01,2016-17</v>
      </c>
      <c r="Z1538" s="168" t="str">
        <f t="array" ref="Z1538">iferror(index(I:I,match($A1538&amp;","&amp;index('Year Conversion'!$A:$A,match($C1538,'Year Conversion'!$B:$B,0)),$Y:$Y,0))-I1538,"")</f>
        <v/>
      </c>
      <c r="AA1538" s="168" t="str">
        <f t="array" ref="AA1538">iferror(index(J:J,match($A1538&amp;","&amp;index('Year Conversion'!$A:$A,match($C1538,'Year Conversion'!$B:$B,0)),$Y:$Y,0))-J1538,"")</f>
        <v/>
      </c>
      <c r="AB1538" s="168" t="str">
        <f t="array" ref="AB1538">iferror(index(K:K,match($A1538&amp;","&amp;index('Year Conversion'!$A:$A,match($C1538,'Year Conversion'!$B:$B,0)),$Y:$Y,0))-K1538,"")</f>
        <v/>
      </c>
      <c r="AC1538" s="168" t="str">
        <f t="shared" si="7"/>
        <v>TOT,2016-17</v>
      </c>
    </row>
    <row r="1539">
      <c r="A1539" s="161" t="str">
        <f>IFERROR(__xludf.DUMMYFUNCTION("""COMPUTED_VALUE"""),"youngth01")</f>
        <v>youngth01</v>
      </c>
      <c r="B1539" s="161" t="str">
        <f>IFERROR(__xludf.DUMMYFUNCTION("""COMPUTED_VALUE"""),"Thaddeus Young")</f>
        <v>Thaddeus Young</v>
      </c>
      <c r="C1539" s="162" t="str">
        <f>IFERROR(__xludf.DUMMYFUNCTION("""COMPUTED_VALUE"""),"2016-17")</f>
        <v>2016-17</v>
      </c>
      <c r="D1539" s="163" t="str">
        <f>IFERROR(__xludf.DUMMYFUNCTION("""COMPUTED_VALUE"""),"IND")</f>
        <v>IND</v>
      </c>
      <c r="E1539" s="164" t="str">
        <f>IFERROR(__xludf.DUMMYFUNCTION("""COMPUTED_VALUE"""),"Roll + Cut Big")</f>
        <v>Roll + Cut Big</v>
      </c>
      <c r="F1539" s="164">
        <f>IFERROR(__xludf.DUMMYFUNCTION("""COMPUTED_VALUE"""),2236.59166666667)</f>
        <v>2236.591667</v>
      </c>
      <c r="G1539" s="163">
        <f>IFERROR(__xludf.DUMMYFUNCTION("""COMPUTED_VALUE"""),74.0)</f>
        <v>74</v>
      </c>
      <c r="H1539" s="163" t="str">
        <f>IFERROR(__xludf.DUMMYFUNCTION("""COMPUTED_VALUE"""),"PF")</f>
        <v>PF</v>
      </c>
      <c r="I1539" s="163">
        <f>IFERROR(__xludf.DUMMYFUNCTION("""COMPUTED_VALUE"""),28.0)</f>
        <v>28</v>
      </c>
      <c r="J1539" s="165">
        <f>IFERROR(__xludf.DUMMYFUNCTION("""COMPUTED_VALUE"""),-1.05907674432329)</f>
        <v>-1.059076744</v>
      </c>
      <c r="K1539" s="165">
        <f>IFERROR(__xludf.DUMMYFUNCTION("""COMPUTED_VALUE"""),-1.47754529651128)</f>
        <v>-1.477545297</v>
      </c>
      <c r="L1539" s="165">
        <f>IFERROR(__xludf.DUMMYFUNCTION("""COMPUTED_VALUE"""),0.418468552187994)</f>
        <v>0.4184685522</v>
      </c>
      <c r="M1539" s="166">
        <f t="shared" si="2"/>
        <v>1.853594128</v>
      </c>
      <c r="N1539" s="167">
        <f t="shared" si="3"/>
        <v>30.22421171</v>
      </c>
      <c r="O1539" s="163">
        <f t="shared" ref="O1539:Q1539" si="1543">rank(I1539,I:I)</f>
        <v>1090</v>
      </c>
      <c r="P1539" s="163">
        <f t="shared" si="1543"/>
        <v>2563</v>
      </c>
      <c r="Q1539" s="163">
        <f t="shared" si="1543"/>
        <v>3333</v>
      </c>
      <c r="R1539" s="163">
        <f>IFERROR(__xludf.DUMMYFUNCTION("RANK(M1539,filter(M:M,C:C=C1539))"),168.0)</f>
        <v>168</v>
      </c>
      <c r="S1539" s="161" t="b">
        <f t="shared" si="5"/>
        <v>0</v>
      </c>
      <c r="T1539" s="161" t="b">
        <f t="array" ref="T1539">index('Query Tool'!B:B,match(H1539,'Query Tool'!C:C,0))</f>
        <v>1</v>
      </c>
      <c r="U1539" s="161" t="b">
        <f t="array" ref="U1539">index('Query Tool'!B:B,match(C1539,'Query Tool'!C:C,0))</f>
        <v>0</v>
      </c>
      <c r="V1539" s="161" t="b">
        <f>F1539&gt;='Query Tool'!C$32</f>
        <v>1</v>
      </c>
      <c r="W1539" s="161" t="b">
        <f t="array" ref="W1539">index(Dropdowns!B:B,match(I1539,Dropdowns!A:A,0))</f>
        <v>1</v>
      </c>
      <c r="X1539" s="161" t="b">
        <f t="array" ref="X1539">index('Query Tool'!B:B,match(D1539,'Query Tool'!C:C,0))</f>
        <v>1</v>
      </c>
      <c r="Y1539" s="161" t="str">
        <f t="shared" si="6"/>
        <v>youngth01,2016-17</v>
      </c>
      <c r="Z1539" s="168">
        <f t="array" ref="Z1539">iferror(index(I:I,match($A1539&amp;","&amp;index('Year Conversion'!$A:$A,match($C1539,'Year Conversion'!$B:$B,0)),$Y:$Y,0))-I1539,"")</f>
        <v>1</v>
      </c>
      <c r="AA1539" s="168">
        <f t="array" ref="AA1539">iferror(index(J:J,match($A1539&amp;","&amp;index('Year Conversion'!$A:$A,match($C1539,'Year Conversion'!$B:$B,0)),$Y:$Y,0))-J1539,"")</f>
        <v>1.765069292</v>
      </c>
      <c r="AB1539" s="168">
        <f t="array" ref="AB1539">iferror(index(K:K,match($A1539&amp;","&amp;index('Year Conversion'!$A:$A,match($C1539,'Year Conversion'!$B:$B,0)),$Y:$Y,0))-K1539,"")</f>
        <v>0.8878507466</v>
      </c>
      <c r="AC1539" s="168" t="str">
        <f t="shared" si="7"/>
        <v>IND,2016-17</v>
      </c>
    </row>
    <row r="1540">
      <c r="A1540" s="161" t="str">
        <f>IFERROR(__xludf.DUMMYFUNCTION("""COMPUTED_VALUE"""),"stuckro01")</f>
        <v>stuckro01</v>
      </c>
      <c r="B1540" s="161" t="str">
        <f>IFERROR(__xludf.DUMMYFUNCTION("""COMPUTED_VALUE"""),"Rodney Stuckey")</f>
        <v>Rodney Stuckey</v>
      </c>
      <c r="C1540" s="162" t="str">
        <f>IFERROR(__xludf.DUMMYFUNCTION("""COMPUTED_VALUE"""),"2016-17")</f>
        <v>2016-17</v>
      </c>
      <c r="D1540" s="163" t="str">
        <f>IFERROR(__xludf.DUMMYFUNCTION("""COMPUTED_VALUE"""),"IND")</f>
        <v>IND</v>
      </c>
      <c r="E1540" s="164" t="str">
        <f>IFERROR(__xludf.DUMMYFUNCTION("""COMPUTED_VALUE"""),"Secondary Ball Handler")</f>
        <v>Secondary Ball Handler</v>
      </c>
      <c r="F1540" s="164">
        <f>IFERROR(__xludf.DUMMYFUNCTION("""COMPUTED_VALUE"""),696.18)</f>
        <v>696.18</v>
      </c>
      <c r="G1540" s="163">
        <f>IFERROR(__xludf.DUMMYFUNCTION("""COMPUTED_VALUE"""),39.0)</f>
        <v>39</v>
      </c>
      <c r="H1540" s="163" t="str">
        <f>IFERROR(__xludf.DUMMYFUNCTION("""COMPUTED_VALUE"""),"PG")</f>
        <v>PG</v>
      </c>
      <c r="I1540" s="163">
        <f>IFERROR(__xludf.DUMMYFUNCTION("""COMPUTED_VALUE"""),30.0)</f>
        <v>30</v>
      </c>
      <c r="J1540" s="165">
        <f>IFERROR(__xludf.DUMMYFUNCTION("""COMPUTED_VALUE"""),-2.03262653118411)</f>
        <v>-2.032626531</v>
      </c>
      <c r="K1540" s="165">
        <f>IFERROR(__xludf.DUMMYFUNCTION("""COMPUTED_VALUE"""),-1.08319818189525)</f>
        <v>-1.083198182</v>
      </c>
      <c r="L1540" s="165">
        <f>IFERROR(__xludf.DUMMYFUNCTION("""COMPUTED_VALUE"""),-0.949428349288861)</f>
        <v>-0.9494283493</v>
      </c>
      <c r="M1540" s="166">
        <f t="shared" si="2"/>
        <v>0.1246873391</v>
      </c>
      <c r="N1540" s="167">
        <f t="shared" si="3"/>
        <v>17.85076923</v>
      </c>
      <c r="O1540" s="163">
        <f t="shared" ref="O1540:Q1540" si="1544">rank(I1540,I:I)</f>
        <v>655</v>
      </c>
      <c r="P1540" s="163">
        <f t="shared" si="1544"/>
        <v>3506</v>
      </c>
      <c r="Q1540" s="163">
        <f t="shared" si="1544"/>
        <v>2915</v>
      </c>
      <c r="R1540" s="163">
        <f>IFERROR(__xludf.DUMMYFUNCTION("RANK(M1540,filter(M:M,C:C=C1540))"),367.0)</f>
        <v>367</v>
      </c>
      <c r="S1540" s="161" t="b">
        <f t="shared" si="5"/>
        <v>0</v>
      </c>
      <c r="T1540" s="161" t="b">
        <f t="array" ref="T1540">index('Query Tool'!B:B,match(H1540,'Query Tool'!C:C,0))</f>
        <v>1</v>
      </c>
      <c r="U1540" s="161" t="b">
        <f t="array" ref="U1540">index('Query Tool'!B:B,match(C1540,'Query Tool'!C:C,0))</f>
        <v>0</v>
      </c>
      <c r="V1540" s="161" t="b">
        <f>F1540&gt;='Query Tool'!C$32</f>
        <v>1</v>
      </c>
      <c r="W1540" s="161" t="b">
        <f t="array" ref="W1540">index(Dropdowns!B:B,match(I1540,Dropdowns!A:A,0))</f>
        <v>1</v>
      </c>
      <c r="X1540" s="161" t="b">
        <f t="array" ref="X1540">index('Query Tool'!B:B,match(D1540,'Query Tool'!C:C,0))</f>
        <v>1</v>
      </c>
      <c r="Y1540" s="161" t="str">
        <f t="shared" si="6"/>
        <v>stuckro01,2016-17</v>
      </c>
      <c r="Z1540" s="168" t="str">
        <f t="array" ref="Z1540">iferror(index(I:I,match($A1540&amp;","&amp;index('Year Conversion'!$A:$A,match($C1540,'Year Conversion'!$B:$B,0)),$Y:$Y,0))-I1540,"")</f>
        <v/>
      </c>
      <c r="AA1540" s="168" t="str">
        <f t="array" ref="AA1540">iferror(index(J:J,match($A1540&amp;","&amp;index('Year Conversion'!$A:$A,match($C1540,'Year Conversion'!$B:$B,0)),$Y:$Y,0))-J1540,"")</f>
        <v/>
      </c>
      <c r="AB1540" s="168" t="str">
        <f t="array" ref="AB1540">iferror(index(K:K,match($A1540&amp;","&amp;index('Year Conversion'!$A:$A,match($C1540,'Year Conversion'!$B:$B,0)),$Y:$Y,0))-K1540,"")</f>
        <v/>
      </c>
      <c r="AC1540" s="168" t="str">
        <f t="shared" si="7"/>
        <v>IND,2016-17</v>
      </c>
    </row>
    <row r="1541">
      <c r="A1541" s="161" t="str">
        <f>IFERROR(__xludf.DUMMYFUNCTION("""COMPUTED_VALUE"""),"youngni01")</f>
        <v>youngni01</v>
      </c>
      <c r="B1541" s="161" t="str">
        <f>IFERROR(__xludf.DUMMYFUNCTION("""COMPUTED_VALUE"""),"Nick Young")</f>
        <v>Nick Young</v>
      </c>
      <c r="C1541" s="162" t="str">
        <f>IFERROR(__xludf.DUMMYFUNCTION("""COMPUTED_VALUE"""),"2016-17")</f>
        <v>2016-17</v>
      </c>
      <c r="D1541" s="163" t="str">
        <f>IFERROR(__xludf.DUMMYFUNCTION("""COMPUTED_VALUE"""),"LAL")</f>
        <v>LAL</v>
      </c>
      <c r="E1541" s="164" t="str">
        <f>IFERROR(__xludf.DUMMYFUNCTION("""COMPUTED_VALUE"""),"Movement Shooter")</f>
        <v>Movement Shooter</v>
      </c>
      <c r="F1541" s="164">
        <f>IFERROR(__xludf.DUMMYFUNCTION("""COMPUTED_VALUE"""),1556.26666666667)</f>
        <v>1556.266667</v>
      </c>
      <c r="G1541" s="163">
        <f>IFERROR(__xludf.DUMMYFUNCTION("""COMPUTED_VALUE"""),60.0)</f>
        <v>60</v>
      </c>
      <c r="H1541" s="163" t="str">
        <f>IFERROR(__xludf.DUMMYFUNCTION("""COMPUTED_VALUE"""),"SG")</f>
        <v>SG</v>
      </c>
      <c r="I1541" s="163">
        <f>IFERROR(__xludf.DUMMYFUNCTION("""COMPUTED_VALUE"""),31.0)</f>
        <v>31</v>
      </c>
      <c r="J1541" s="165">
        <f>IFERROR(__xludf.DUMMYFUNCTION("""COMPUTED_VALUE"""),-1.08386209276103)</f>
        <v>-1.083862093</v>
      </c>
      <c r="K1541" s="165">
        <f>IFERROR(__xludf.DUMMYFUNCTION("""COMPUTED_VALUE"""),0.476714147003911)</f>
        <v>0.476714147</v>
      </c>
      <c r="L1541" s="165">
        <f>IFERROR(__xludf.DUMMYFUNCTION("""COMPUTED_VALUE"""),-1.56057623976494)</f>
        <v>-1.56057624</v>
      </c>
      <c r="M1541" s="166">
        <f t="shared" si="2"/>
        <v>1.263887842</v>
      </c>
      <c r="N1541" s="167">
        <f t="shared" si="3"/>
        <v>25.93777778</v>
      </c>
      <c r="O1541" s="163">
        <f t="shared" ref="O1541:Q1541" si="1545">rank(I1541,I:I)</f>
        <v>490</v>
      </c>
      <c r="P1541" s="163">
        <f t="shared" si="1545"/>
        <v>2594</v>
      </c>
      <c r="Q1541" s="163">
        <f t="shared" si="1545"/>
        <v>777</v>
      </c>
      <c r="R1541" s="163">
        <f>IFERROR(__xludf.DUMMYFUNCTION("RANK(M1541,filter(M:M,C:C=C1541))"),202.0)</f>
        <v>202</v>
      </c>
      <c r="S1541" s="161" t="b">
        <f t="shared" si="5"/>
        <v>0</v>
      </c>
      <c r="T1541" s="161" t="b">
        <f t="array" ref="T1541">index('Query Tool'!B:B,match(H1541,'Query Tool'!C:C,0))</f>
        <v>1</v>
      </c>
      <c r="U1541" s="161" t="b">
        <f t="array" ref="U1541">index('Query Tool'!B:B,match(C1541,'Query Tool'!C:C,0))</f>
        <v>0</v>
      </c>
      <c r="V1541" s="161" t="b">
        <f>F1541&gt;='Query Tool'!C$32</f>
        <v>1</v>
      </c>
      <c r="W1541" s="161" t="b">
        <f t="array" ref="W1541">index(Dropdowns!B:B,match(I1541,Dropdowns!A:A,0))</f>
        <v>1</v>
      </c>
      <c r="X1541" s="161" t="b">
        <f t="array" ref="X1541">index('Query Tool'!B:B,match(D1541,'Query Tool'!C:C,0))</f>
        <v>1</v>
      </c>
      <c r="Y1541" s="161" t="str">
        <f t="shared" si="6"/>
        <v>youngni01,2016-17</v>
      </c>
      <c r="Z1541" s="168">
        <f t="array" ref="Z1541">iferror(index(I:I,match($A1541&amp;","&amp;index('Year Conversion'!$A:$A,match($C1541,'Year Conversion'!$B:$B,0)),$Y:$Y,0))-I1541,"")</f>
        <v>1</v>
      </c>
      <c r="AA1541" s="168">
        <f t="array" ref="AA1541">iferror(index(J:J,match($A1541&amp;","&amp;index('Year Conversion'!$A:$A,match($C1541,'Year Conversion'!$B:$B,0)),$Y:$Y,0))-J1541,"")</f>
        <v>-1.020185685</v>
      </c>
      <c r="AB1541" s="168">
        <f t="array" ref="AB1541">iferror(index(K:K,match($A1541&amp;","&amp;index('Year Conversion'!$A:$A,match($C1541,'Year Conversion'!$B:$B,0)),$Y:$Y,0))-K1541,"")</f>
        <v>-0.6153080393</v>
      </c>
      <c r="AC1541" s="168" t="str">
        <f t="shared" si="7"/>
        <v>LAL,2016-17</v>
      </c>
    </row>
    <row r="1542">
      <c r="A1542" s="161" t="str">
        <f>IFERROR(__xludf.DUMMYFUNCTION("""COMPUTED_VALUE"""),"belinma01")</f>
        <v>belinma01</v>
      </c>
      <c r="B1542" s="161" t="str">
        <f>IFERROR(__xludf.DUMMYFUNCTION("""COMPUTED_VALUE"""),"Marco Belinelli")</f>
        <v>Marco Belinelli</v>
      </c>
      <c r="C1542" s="162" t="str">
        <f>IFERROR(__xludf.DUMMYFUNCTION("""COMPUTED_VALUE"""),"2016-17")</f>
        <v>2016-17</v>
      </c>
      <c r="D1542" s="163" t="str">
        <f>IFERROR(__xludf.DUMMYFUNCTION("""COMPUTED_VALUE"""),"CHO")</f>
        <v>CHO</v>
      </c>
      <c r="E1542" s="164" t="str">
        <f>IFERROR(__xludf.DUMMYFUNCTION("""COMPUTED_VALUE"""),"Off Screen Shooter")</f>
        <v>Off Screen Shooter</v>
      </c>
      <c r="F1542" s="164">
        <f>IFERROR(__xludf.DUMMYFUNCTION("""COMPUTED_VALUE"""),1777.56333333333)</f>
        <v>1777.563333</v>
      </c>
      <c r="G1542" s="163">
        <f>IFERROR(__xludf.DUMMYFUNCTION("""COMPUTED_VALUE"""),74.0)</f>
        <v>74</v>
      </c>
      <c r="H1542" s="163" t="str">
        <f>IFERROR(__xludf.DUMMYFUNCTION("""COMPUTED_VALUE"""),"SG")</f>
        <v>SG</v>
      </c>
      <c r="I1542" s="163">
        <f>IFERROR(__xludf.DUMMYFUNCTION("""COMPUTED_VALUE"""),30.0)</f>
        <v>30</v>
      </c>
      <c r="J1542" s="165">
        <f>IFERROR(__xludf.DUMMYFUNCTION("""COMPUTED_VALUE"""),-1.66142829962637)</f>
        <v>-1.6614283</v>
      </c>
      <c r="K1542" s="165">
        <f>IFERROR(__xludf.DUMMYFUNCTION("""COMPUTED_VALUE"""),-0.0460910818618762)</f>
        <v>-0.04609108186</v>
      </c>
      <c r="L1542" s="165">
        <f>IFERROR(__xludf.DUMMYFUNCTION("""COMPUTED_VALUE"""),-1.6153372177645)</f>
        <v>-1.615337218</v>
      </c>
      <c r="M1542" s="166">
        <f t="shared" si="2"/>
        <v>0.7569295195</v>
      </c>
      <c r="N1542" s="167">
        <f t="shared" si="3"/>
        <v>24.02112613</v>
      </c>
      <c r="O1542" s="163">
        <f t="shared" ref="O1542:Q1542" si="1546">rank(I1542,I:I)</f>
        <v>655</v>
      </c>
      <c r="P1542" s="163">
        <f t="shared" si="1546"/>
        <v>3204</v>
      </c>
      <c r="Q1542" s="163">
        <f t="shared" si="1546"/>
        <v>1265</v>
      </c>
      <c r="R1542" s="163">
        <f>IFERROR(__xludf.DUMMYFUNCTION("RANK(M1542,filter(M:M,C:C=C1542))"),246.0)</f>
        <v>246</v>
      </c>
      <c r="S1542" s="161" t="b">
        <f t="shared" si="5"/>
        <v>0</v>
      </c>
      <c r="T1542" s="161" t="b">
        <f t="array" ref="T1542">index('Query Tool'!B:B,match(H1542,'Query Tool'!C:C,0))</f>
        <v>1</v>
      </c>
      <c r="U1542" s="161" t="b">
        <f t="array" ref="U1542">index('Query Tool'!B:B,match(C1542,'Query Tool'!C:C,0))</f>
        <v>0</v>
      </c>
      <c r="V1542" s="161" t="b">
        <f>F1542&gt;='Query Tool'!C$32</f>
        <v>1</v>
      </c>
      <c r="W1542" s="161" t="b">
        <f t="array" ref="W1542">index(Dropdowns!B:B,match(I1542,Dropdowns!A:A,0))</f>
        <v>1</v>
      </c>
      <c r="X1542" s="161" t="b">
        <f t="array" ref="X1542">index('Query Tool'!B:B,match(D1542,'Query Tool'!C:C,0))</f>
        <v>1</v>
      </c>
      <c r="Y1542" s="161" t="str">
        <f t="shared" si="6"/>
        <v>belinma01,2016-17</v>
      </c>
      <c r="Z1542" s="168">
        <f t="array" ref="Z1542">iferror(index(I:I,match($A1542&amp;","&amp;index('Year Conversion'!$A:$A,match($C1542,'Year Conversion'!$B:$B,0)),$Y:$Y,0))-I1542,"")</f>
        <v>1</v>
      </c>
      <c r="AA1542" s="168">
        <f t="array" ref="AA1542">iferror(index(J:J,match($A1542&amp;","&amp;index('Year Conversion'!$A:$A,match($C1542,'Year Conversion'!$B:$B,0)),$Y:$Y,0))-J1542,"")</f>
        <v>1.325675819</v>
      </c>
      <c r="AB1542" s="168">
        <f t="array" ref="AB1542">iferror(index(K:K,match($A1542&amp;","&amp;index('Year Conversion'!$A:$A,match($C1542,'Year Conversion'!$B:$B,0)),$Y:$Y,0))-K1542,"")</f>
        <v>1.187622103</v>
      </c>
      <c r="AC1542" s="168" t="str">
        <f t="shared" si="7"/>
        <v>CHO,2016-17</v>
      </c>
    </row>
    <row r="1543">
      <c r="A1543" s="161" t="str">
        <f>IFERROR(__xludf.DUMMYFUNCTION("""COMPUTED_VALUE"""),"smithja02")</f>
        <v>smithja02</v>
      </c>
      <c r="B1543" s="161" t="str">
        <f>IFERROR(__xludf.DUMMYFUNCTION("""COMPUTED_VALUE"""),"Jason Smith")</f>
        <v>Jason Smith</v>
      </c>
      <c r="C1543" s="162" t="str">
        <f>IFERROR(__xludf.DUMMYFUNCTION("""COMPUTED_VALUE"""),"2016-17")</f>
        <v>2016-17</v>
      </c>
      <c r="D1543" s="163" t="str">
        <f>IFERROR(__xludf.DUMMYFUNCTION("""COMPUTED_VALUE"""),"WAS")</f>
        <v>WAS</v>
      </c>
      <c r="E1543" s="164" t="str">
        <f>IFERROR(__xludf.DUMMYFUNCTION("""COMPUTED_VALUE"""),"Roll + Cut Big")</f>
        <v>Roll + Cut Big</v>
      </c>
      <c r="F1543" s="164">
        <f>IFERROR(__xludf.DUMMYFUNCTION("""COMPUTED_VALUE"""),1067.74333333333)</f>
        <v>1067.743333</v>
      </c>
      <c r="G1543" s="163">
        <f>IFERROR(__xludf.DUMMYFUNCTION("""COMPUTED_VALUE"""),74.0)</f>
        <v>74</v>
      </c>
      <c r="H1543" s="163" t="str">
        <f>IFERROR(__xludf.DUMMYFUNCTION("""COMPUTED_VALUE"""),"C")</f>
        <v>C</v>
      </c>
      <c r="I1543" s="163">
        <f>IFERROR(__xludf.DUMMYFUNCTION("""COMPUTED_VALUE"""),30.0)</f>
        <v>30</v>
      </c>
      <c r="J1543" s="165">
        <f>IFERROR(__xludf.DUMMYFUNCTION("""COMPUTED_VALUE"""),-1.39793369860262)</f>
        <v>-1.397933699</v>
      </c>
      <c r="K1543" s="165">
        <f>IFERROR(__xludf.DUMMYFUNCTION("""COMPUTED_VALUE"""),-1.62239983164933)</f>
        <v>-1.622399832</v>
      </c>
      <c r="L1543" s="165">
        <f>IFERROR(__xludf.DUMMYFUNCTION("""COMPUTED_VALUE"""),0.224466133046715)</f>
        <v>0.224466133</v>
      </c>
      <c r="M1543" s="166">
        <f t="shared" si="2"/>
        <v>0.6425084676</v>
      </c>
      <c r="N1543" s="167">
        <f t="shared" si="3"/>
        <v>14.42896396</v>
      </c>
      <c r="O1543" s="163">
        <f t="shared" ref="O1543:Q1543" si="1547">rank(I1543,I:I)</f>
        <v>655</v>
      </c>
      <c r="P1543" s="163">
        <f t="shared" si="1547"/>
        <v>2946</v>
      </c>
      <c r="Q1543" s="163">
        <f t="shared" si="1547"/>
        <v>3461</v>
      </c>
      <c r="R1543" s="163">
        <f>IFERROR(__xludf.DUMMYFUNCTION("RANK(M1543,filter(M:M,C:C=C1543))"),261.0)</f>
        <v>261</v>
      </c>
      <c r="S1543" s="161" t="b">
        <f t="shared" si="5"/>
        <v>0</v>
      </c>
      <c r="T1543" s="161" t="b">
        <f t="array" ref="T1543">index('Query Tool'!B:B,match(H1543,'Query Tool'!C:C,0))</f>
        <v>1</v>
      </c>
      <c r="U1543" s="161" t="b">
        <f t="array" ref="U1543">index('Query Tool'!B:B,match(C1543,'Query Tool'!C:C,0))</f>
        <v>0</v>
      </c>
      <c r="V1543" s="161" t="b">
        <f>F1543&gt;='Query Tool'!C$32</f>
        <v>1</v>
      </c>
      <c r="W1543" s="161" t="b">
        <f t="array" ref="W1543">index(Dropdowns!B:B,match(I1543,Dropdowns!A:A,0))</f>
        <v>1</v>
      </c>
      <c r="X1543" s="161" t="b">
        <f t="array" ref="X1543">index('Query Tool'!B:B,match(D1543,'Query Tool'!C:C,0))</f>
        <v>1</v>
      </c>
      <c r="Y1543" s="161" t="str">
        <f t="shared" si="6"/>
        <v>smithja02,2016-17</v>
      </c>
      <c r="Z1543" s="168">
        <f t="array" ref="Z1543">iferror(index(I:I,match($A1543&amp;","&amp;index('Year Conversion'!$A:$A,match($C1543,'Year Conversion'!$B:$B,0)),$Y:$Y,0))-I1543,"")</f>
        <v>1</v>
      </c>
      <c r="AA1543" s="168">
        <f t="array" ref="AA1543">iferror(index(J:J,match($A1543&amp;","&amp;index('Year Conversion'!$A:$A,match($C1543,'Year Conversion'!$B:$B,0)),$Y:$Y,0))-J1543,"")</f>
        <v>-0.2868468226</v>
      </c>
      <c r="AB1543" s="168">
        <f t="array" ref="AB1543">iferror(index(K:K,match($A1543&amp;","&amp;index('Year Conversion'!$A:$A,match($C1543,'Year Conversion'!$B:$B,0)),$Y:$Y,0))-K1543,"")</f>
        <v>0.3587117204</v>
      </c>
      <c r="AC1543" s="168" t="str">
        <f t="shared" si="7"/>
        <v>WAS,2016-17</v>
      </c>
    </row>
    <row r="1544">
      <c r="A1544" s="161" t="str">
        <f>IFERROR(__xludf.DUMMYFUNCTION("""COMPUTED_VALUE"""),"dudleja01")</f>
        <v>dudleja01</v>
      </c>
      <c r="B1544" s="161" t="str">
        <f>IFERROR(__xludf.DUMMYFUNCTION("""COMPUTED_VALUE"""),"Jared Dudley")</f>
        <v>Jared Dudley</v>
      </c>
      <c r="C1544" s="162" t="str">
        <f>IFERROR(__xludf.DUMMYFUNCTION("""COMPUTED_VALUE"""),"2016-17")</f>
        <v>2016-17</v>
      </c>
      <c r="D1544" s="163" t="str">
        <f>IFERROR(__xludf.DUMMYFUNCTION("""COMPUTED_VALUE"""),"PHO")</f>
        <v>PHO</v>
      </c>
      <c r="E1544" s="164" t="str">
        <f>IFERROR(__xludf.DUMMYFUNCTION("""COMPUTED_VALUE"""),"Movement Shooter")</f>
        <v>Movement Shooter</v>
      </c>
      <c r="F1544" s="164">
        <f>IFERROR(__xludf.DUMMYFUNCTION("""COMPUTED_VALUE"""),1362.44)</f>
        <v>1362.44</v>
      </c>
      <c r="G1544" s="163">
        <f>IFERROR(__xludf.DUMMYFUNCTION("""COMPUTED_VALUE"""),64.0)</f>
        <v>64</v>
      </c>
      <c r="H1544" s="163" t="str">
        <f>IFERROR(__xludf.DUMMYFUNCTION("""COMPUTED_VALUE"""),"PF")</f>
        <v>PF</v>
      </c>
      <c r="I1544" s="163">
        <f>IFERROR(__xludf.DUMMYFUNCTION("""COMPUTED_VALUE"""),31.0)</f>
        <v>31</v>
      </c>
      <c r="J1544" s="165">
        <f>IFERROR(__xludf.DUMMYFUNCTION("""COMPUTED_VALUE"""),0.12908260554159)</f>
        <v>0.1290826055</v>
      </c>
      <c r="K1544" s="165">
        <f>IFERROR(__xludf.DUMMYFUNCTION("""COMPUTED_VALUE"""),-1.02858870697372)</f>
        <v>-1.028588707</v>
      </c>
      <c r="L1544" s="165">
        <f>IFERROR(__xludf.DUMMYFUNCTION("""COMPUTED_VALUE"""),1.15767131251531)</f>
        <v>1.157671313</v>
      </c>
      <c r="M1544" s="166">
        <f t="shared" si="2"/>
        <v>2.218993535</v>
      </c>
      <c r="N1544" s="167">
        <f t="shared" si="3"/>
        <v>21.288125</v>
      </c>
      <c r="O1544" s="163">
        <f t="shared" ref="O1544:Q1544" si="1548">rank(I1544,I:I)</f>
        <v>490</v>
      </c>
      <c r="P1544" s="163">
        <f t="shared" si="1548"/>
        <v>1153</v>
      </c>
      <c r="Q1544" s="163">
        <f t="shared" si="1548"/>
        <v>2839</v>
      </c>
      <c r="R1544" s="163">
        <f>IFERROR(__xludf.DUMMYFUNCTION("RANK(M1544,filter(M:M,C:C=C1544))"),144.0)</f>
        <v>144</v>
      </c>
      <c r="S1544" s="161" t="b">
        <f t="shared" si="5"/>
        <v>0</v>
      </c>
      <c r="T1544" s="161" t="b">
        <f t="array" ref="T1544">index('Query Tool'!B:B,match(H1544,'Query Tool'!C:C,0))</f>
        <v>1</v>
      </c>
      <c r="U1544" s="161" t="b">
        <f t="array" ref="U1544">index('Query Tool'!B:B,match(C1544,'Query Tool'!C:C,0))</f>
        <v>0</v>
      </c>
      <c r="V1544" s="161" t="b">
        <f>F1544&gt;='Query Tool'!C$32</f>
        <v>1</v>
      </c>
      <c r="W1544" s="161" t="b">
        <f t="array" ref="W1544">index(Dropdowns!B:B,match(I1544,Dropdowns!A:A,0))</f>
        <v>1</v>
      </c>
      <c r="X1544" s="161" t="b">
        <f t="array" ref="X1544">index('Query Tool'!B:B,match(D1544,'Query Tool'!C:C,0))</f>
        <v>1</v>
      </c>
      <c r="Y1544" s="161" t="str">
        <f t="shared" si="6"/>
        <v>dudleja01,2016-17</v>
      </c>
      <c r="Z1544" s="168">
        <f t="array" ref="Z1544">iferror(index(I:I,match($A1544&amp;","&amp;index('Year Conversion'!$A:$A,match($C1544,'Year Conversion'!$B:$B,0)),$Y:$Y,0))-I1544,"")</f>
        <v>1</v>
      </c>
      <c r="AA1544" s="168">
        <f t="array" ref="AA1544">iferror(index(J:J,match($A1544&amp;","&amp;index('Year Conversion'!$A:$A,match($C1544,'Year Conversion'!$B:$B,0)),$Y:$Y,0))-J1544,"")</f>
        <v>-0.3686529527</v>
      </c>
      <c r="AB1544" s="168">
        <f t="array" ref="AB1544">iferror(index(K:K,match($A1544&amp;","&amp;index('Year Conversion'!$A:$A,match($C1544,'Year Conversion'!$B:$B,0)),$Y:$Y,0))-K1544,"")</f>
        <v>-0.1044486774</v>
      </c>
      <c r="AC1544" s="168" t="str">
        <f t="shared" si="7"/>
        <v>PHO,2016-17</v>
      </c>
    </row>
    <row r="1545">
      <c r="A1545" s="161" t="str">
        <f>IFERROR(__xludf.DUMMYFUNCTION("""COMPUTED_VALUE"""),"chandwi01")</f>
        <v>chandwi01</v>
      </c>
      <c r="B1545" s="161" t="str">
        <f>IFERROR(__xludf.DUMMYFUNCTION("""COMPUTED_VALUE"""),"Wilson Chandler")</f>
        <v>Wilson Chandler</v>
      </c>
      <c r="C1545" s="162" t="str">
        <f>IFERROR(__xludf.DUMMYFUNCTION("""COMPUTED_VALUE"""),"2016-17")</f>
        <v>2016-17</v>
      </c>
      <c r="D1545" s="163" t="str">
        <f>IFERROR(__xludf.DUMMYFUNCTION("""COMPUTED_VALUE"""),"DEN")</f>
        <v>DEN</v>
      </c>
      <c r="E1545" s="164" t="str">
        <f>IFERROR(__xludf.DUMMYFUNCTION("""COMPUTED_VALUE"""),"Shot Creator")</f>
        <v>Shot Creator</v>
      </c>
      <c r="F1545" s="164">
        <f>IFERROR(__xludf.DUMMYFUNCTION("""COMPUTED_VALUE"""),2196.68333333333)</f>
        <v>2196.683333</v>
      </c>
      <c r="G1545" s="163">
        <f>IFERROR(__xludf.DUMMYFUNCTION("""COMPUTED_VALUE"""),71.0)</f>
        <v>71</v>
      </c>
      <c r="H1545" s="163" t="str">
        <f>IFERROR(__xludf.DUMMYFUNCTION("""COMPUTED_VALUE"""),"SF")</f>
        <v>SF</v>
      </c>
      <c r="I1545" s="163">
        <f>IFERROR(__xludf.DUMMYFUNCTION("""COMPUTED_VALUE"""),29.0)</f>
        <v>29</v>
      </c>
      <c r="J1545" s="165">
        <f>IFERROR(__xludf.DUMMYFUNCTION("""COMPUTED_VALUE"""),-0.390464976314133)</f>
        <v>-0.3904649763</v>
      </c>
      <c r="K1545" s="165">
        <f>IFERROR(__xludf.DUMMYFUNCTION("""COMPUTED_VALUE"""),0.758851277045036)</f>
        <v>0.758851277</v>
      </c>
      <c r="L1545" s="165">
        <f>IFERROR(__xludf.DUMMYFUNCTION("""COMPUTED_VALUE"""),-1.14931625335917)</f>
        <v>-1.149316253</v>
      </c>
      <c r="M1545" s="166">
        <f t="shared" si="2"/>
        <v>2.8084045</v>
      </c>
      <c r="N1545" s="167">
        <f t="shared" si="3"/>
        <v>30.93920188</v>
      </c>
      <c r="O1545" s="163">
        <f t="shared" ref="O1545:Q1545" si="1549">rank(I1545,I:I)</f>
        <v>855</v>
      </c>
      <c r="P1545" s="163">
        <f t="shared" si="1549"/>
        <v>1715</v>
      </c>
      <c r="Q1545" s="163">
        <f t="shared" si="1549"/>
        <v>617</v>
      </c>
      <c r="R1545" s="163">
        <f>IFERROR(__xludf.DUMMYFUNCTION("RANK(M1545,filter(M:M,C:C=C1545))"),120.0)</f>
        <v>120</v>
      </c>
      <c r="S1545" s="161" t="b">
        <f t="shared" si="5"/>
        <v>0</v>
      </c>
      <c r="T1545" s="161" t="b">
        <f t="array" ref="T1545">index('Query Tool'!B:B,match(H1545,'Query Tool'!C:C,0))</f>
        <v>1</v>
      </c>
      <c r="U1545" s="161" t="b">
        <f t="array" ref="U1545">index('Query Tool'!B:B,match(C1545,'Query Tool'!C:C,0))</f>
        <v>0</v>
      </c>
      <c r="V1545" s="161" t="b">
        <f>F1545&gt;='Query Tool'!C$32</f>
        <v>1</v>
      </c>
      <c r="W1545" s="161" t="b">
        <f t="array" ref="W1545">index(Dropdowns!B:B,match(I1545,Dropdowns!A:A,0))</f>
        <v>1</v>
      </c>
      <c r="X1545" s="161" t="b">
        <f t="array" ref="X1545">index('Query Tool'!B:B,match(D1545,'Query Tool'!C:C,0))</f>
        <v>1</v>
      </c>
      <c r="Y1545" s="161" t="str">
        <f t="shared" si="6"/>
        <v>chandwi01,2016-17</v>
      </c>
      <c r="Z1545" s="168">
        <f t="array" ref="Z1545">iferror(index(I:I,match($A1545&amp;","&amp;index('Year Conversion'!$A:$A,match($C1545,'Year Conversion'!$B:$B,0)),$Y:$Y,0))-I1545,"")</f>
        <v>1</v>
      </c>
      <c r="AA1545" s="168">
        <f t="array" ref="AA1545">iferror(index(J:J,match($A1545&amp;","&amp;index('Year Conversion'!$A:$A,match($C1545,'Year Conversion'!$B:$B,0)),$Y:$Y,0))-J1545,"")</f>
        <v>-1.168774398</v>
      </c>
      <c r="AB1545" s="168">
        <f t="array" ref="AB1545">iferror(index(K:K,match($A1545&amp;","&amp;index('Year Conversion'!$A:$A,match($C1545,'Year Conversion'!$B:$B,0)),$Y:$Y,0))-K1545,"")</f>
        <v>-1.845630536</v>
      </c>
      <c r="AC1545" s="168" t="str">
        <f t="shared" si="7"/>
        <v>DEN,2016-17</v>
      </c>
    </row>
    <row r="1546">
      <c r="A1546" s="161" t="str">
        <f>IFERROR(__xludf.DUMMYFUNCTION("""COMPUTED_VALUE"""),"brookaa01")</f>
        <v>brookaa01</v>
      </c>
      <c r="B1546" s="161" t="str">
        <f>IFERROR(__xludf.DUMMYFUNCTION("""COMPUTED_VALUE"""),"Aaron Brooks")</f>
        <v>Aaron Brooks</v>
      </c>
      <c r="C1546" s="162" t="str">
        <f>IFERROR(__xludf.DUMMYFUNCTION("""COMPUTED_VALUE"""),"2016-17")</f>
        <v>2016-17</v>
      </c>
      <c r="D1546" s="163" t="str">
        <f>IFERROR(__xludf.DUMMYFUNCTION("""COMPUTED_VALUE"""),"IND")</f>
        <v>IND</v>
      </c>
      <c r="E1546" s="164" t="str">
        <f>IFERROR(__xludf.DUMMYFUNCTION("""COMPUTED_VALUE"""),"Secondary Ball Handler")</f>
        <v>Secondary Ball Handler</v>
      </c>
      <c r="F1546" s="164">
        <f>IFERROR(__xludf.DUMMYFUNCTION("""COMPUTED_VALUE"""),893.731666666667)</f>
        <v>893.7316667</v>
      </c>
      <c r="G1546" s="163">
        <f>IFERROR(__xludf.DUMMYFUNCTION("""COMPUTED_VALUE"""),65.0)</f>
        <v>65</v>
      </c>
      <c r="H1546" s="163" t="str">
        <f>IFERROR(__xludf.DUMMYFUNCTION("""COMPUTED_VALUE"""),"PG")</f>
        <v>PG</v>
      </c>
      <c r="I1546" s="163">
        <f>IFERROR(__xludf.DUMMYFUNCTION("""COMPUTED_VALUE"""),32.0)</f>
        <v>32</v>
      </c>
      <c r="J1546" s="165">
        <f>IFERROR(__xludf.DUMMYFUNCTION("""COMPUTED_VALUE"""),-2.57363351145736)</f>
        <v>-2.573633511</v>
      </c>
      <c r="K1546" s="165">
        <f>IFERROR(__xludf.DUMMYFUNCTION("""COMPUTED_VALUE"""),-1.51049520448693)</f>
        <v>-1.510495204</v>
      </c>
      <c r="L1546" s="165">
        <f>IFERROR(__xludf.DUMMYFUNCTION("""COMPUTED_VALUE"""),-1.06313830697043)</f>
        <v>-1.063138307</v>
      </c>
      <c r="M1546" s="166">
        <f t="shared" si="2"/>
        <v>-0.158779759</v>
      </c>
      <c r="N1546" s="167">
        <f t="shared" si="3"/>
        <v>13.74971795</v>
      </c>
      <c r="O1546" s="163">
        <f t="shared" ref="O1546:Q1546" si="1550">rank(I1546,I:I)</f>
        <v>359</v>
      </c>
      <c r="P1546" s="163">
        <f t="shared" si="1550"/>
        <v>3778</v>
      </c>
      <c r="Q1546" s="163">
        <f t="shared" si="1550"/>
        <v>3367</v>
      </c>
      <c r="R1546" s="163">
        <f>IFERROR(__xludf.DUMMYFUNCTION("RANK(M1546,filter(M:M,C:C=C1546))"),462.0)</f>
        <v>462</v>
      </c>
      <c r="S1546" s="161" t="b">
        <f t="shared" si="5"/>
        <v>0</v>
      </c>
      <c r="T1546" s="161" t="b">
        <f t="array" ref="T1546">index('Query Tool'!B:B,match(H1546,'Query Tool'!C:C,0))</f>
        <v>1</v>
      </c>
      <c r="U1546" s="161" t="b">
        <f t="array" ref="U1546">index('Query Tool'!B:B,match(C1546,'Query Tool'!C:C,0))</f>
        <v>0</v>
      </c>
      <c r="V1546" s="161" t="b">
        <f>F1546&gt;='Query Tool'!C$32</f>
        <v>1</v>
      </c>
      <c r="W1546" s="161" t="b">
        <f t="array" ref="W1546">index(Dropdowns!B:B,match(I1546,Dropdowns!A:A,0))</f>
        <v>1</v>
      </c>
      <c r="X1546" s="161" t="b">
        <f t="array" ref="X1546">index('Query Tool'!B:B,match(D1546,'Query Tool'!C:C,0))</f>
        <v>1</v>
      </c>
      <c r="Y1546" s="161" t="str">
        <f t="shared" si="6"/>
        <v>brookaa01,2016-17</v>
      </c>
      <c r="Z1546" s="168">
        <f t="array" ref="Z1546">iferror(index(I:I,match($A1546&amp;","&amp;index('Year Conversion'!$A:$A,match($C1546,'Year Conversion'!$B:$B,0)),$Y:$Y,0))-I1546,"")</f>
        <v>1</v>
      </c>
      <c r="AA1546" s="168">
        <f t="array" ref="AA1546">iferror(index(J:J,match($A1546&amp;","&amp;index('Year Conversion'!$A:$A,match($C1546,'Year Conversion'!$B:$B,0)),$Y:$Y,0))-J1546,"")</f>
        <v>0.1899243862</v>
      </c>
      <c r="AB1546" s="168">
        <f t="array" ref="AB1546">iferror(index(K:K,match($A1546&amp;","&amp;index('Year Conversion'!$A:$A,match($C1546,'Year Conversion'!$B:$B,0)),$Y:$Y,0))-K1546,"")</f>
        <v>0.4799407657</v>
      </c>
      <c r="AC1546" s="168" t="str">
        <f t="shared" si="7"/>
        <v>IND,2016-17</v>
      </c>
    </row>
    <row r="1547">
      <c r="A1547" s="161" t="str">
        <f>IFERROR(__xludf.DUMMYFUNCTION("""COMPUTED_VALUE"""),"afflaar01")</f>
        <v>afflaar01</v>
      </c>
      <c r="B1547" s="161" t="str">
        <f>IFERROR(__xludf.DUMMYFUNCTION("""COMPUTED_VALUE"""),"Arron Afflalo")</f>
        <v>Arron Afflalo</v>
      </c>
      <c r="C1547" s="162" t="str">
        <f>IFERROR(__xludf.DUMMYFUNCTION("""COMPUTED_VALUE"""),"2016-17")</f>
        <v>2016-17</v>
      </c>
      <c r="D1547" s="163" t="str">
        <f>IFERROR(__xludf.DUMMYFUNCTION("""COMPUTED_VALUE"""),"SAC")</f>
        <v>SAC</v>
      </c>
      <c r="E1547" s="164" t="str">
        <f>IFERROR(__xludf.DUMMYFUNCTION("""COMPUTED_VALUE"""),"Shot Creator")</f>
        <v>Shot Creator</v>
      </c>
      <c r="F1547" s="164">
        <f>IFERROR(__xludf.DUMMYFUNCTION("""COMPUTED_VALUE"""),1579.815)</f>
        <v>1579.815</v>
      </c>
      <c r="G1547" s="163">
        <f>IFERROR(__xludf.DUMMYFUNCTION("""COMPUTED_VALUE"""),61.0)</f>
        <v>61</v>
      </c>
      <c r="H1547" s="163" t="str">
        <f>IFERROR(__xludf.DUMMYFUNCTION("""COMPUTED_VALUE"""),"SG")</f>
        <v>SG</v>
      </c>
      <c r="I1547" s="163">
        <f>IFERROR(__xludf.DUMMYFUNCTION("""COMPUTED_VALUE"""),31.0)</f>
        <v>31</v>
      </c>
      <c r="J1547" s="165">
        <f>IFERROR(__xludf.DUMMYFUNCTION("""COMPUTED_VALUE"""),-4.01069194782061)</f>
        <v>-4.010691948</v>
      </c>
      <c r="K1547" s="165">
        <f>IFERROR(__xludf.DUMMYFUNCTION("""COMPUTED_VALUE"""),-2.14352389980942)</f>
        <v>-2.1435239</v>
      </c>
      <c r="L1547" s="165">
        <f>IFERROR(__xludf.DUMMYFUNCTION("""COMPUTED_VALUE"""),-1.86716804801119)</f>
        <v>-1.867168048</v>
      </c>
      <c r="M1547" s="166">
        <f t="shared" si="2"/>
        <v>-1.743250197</v>
      </c>
      <c r="N1547" s="167">
        <f t="shared" si="3"/>
        <v>25.89860656</v>
      </c>
      <c r="O1547" s="163">
        <f t="shared" ref="O1547:Q1547" si="1551">rank(I1547,I:I)</f>
        <v>490</v>
      </c>
      <c r="P1547" s="163">
        <f t="shared" si="1551"/>
        <v>3997</v>
      </c>
      <c r="Q1547" s="163">
        <f t="shared" si="1551"/>
        <v>3780</v>
      </c>
      <c r="R1547" s="163">
        <f>IFERROR(__xludf.DUMMYFUNCTION("RANK(M1547,filter(M:M,C:C=C1547))"),486.0)</f>
        <v>486</v>
      </c>
      <c r="S1547" s="161" t="b">
        <f t="shared" si="5"/>
        <v>0</v>
      </c>
      <c r="T1547" s="161" t="b">
        <f t="array" ref="T1547">index('Query Tool'!B:B,match(H1547,'Query Tool'!C:C,0))</f>
        <v>1</v>
      </c>
      <c r="U1547" s="161" t="b">
        <f t="array" ref="U1547">index('Query Tool'!B:B,match(C1547,'Query Tool'!C:C,0))</f>
        <v>0</v>
      </c>
      <c r="V1547" s="161" t="b">
        <f>F1547&gt;='Query Tool'!C$32</f>
        <v>1</v>
      </c>
      <c r="W1547" s="161" t="b">
        <f t="array" ref="W1547">index(Dropdowns!B:B,match(I1547,Dropdowns!A:A,0))</f>
        <v>1</v>
      </c>
      <c r="X1547" s="161" t="b">
        <f t="array" ref="X1547">index('Query Tool'!B:B,match(D1547,'Query Tool'!C:C,0))</f>
        <v>1</v>
      </c>
      <c r="Y1547" s="161" t="str">
        <f t="shared" si="6"/>
        <v>afflaar01,2016-17</v>
      </c>
      <c r="Z1547" s="168">
        <f t="array" ref="Z1547">iferror(index(I:I,match($A1547&amp;","&amp;index('Year Conversion'!$A:$A,match($C1547,'Year Conversion'!$B:$B,0)),$Y:$Y,0))-I1547,"")</f>
        <v>1</v>
      </c>
      <c r="AA1547" s="168">
        <f t="array" ref="AA1547">iferror(index(J:J,match($A1547&amp;","&amp;index('Year Conversion'!$A:$A,match($C1547,'Year Conversion'!$B:$B,0)),$Y:$Y,0))-J1547,"")</f>
        <v>0.4604502475</v>
      </c>
      <c r="AB1547" s="168">
        <f t="array" ref="AB1547">iferror(index(K:K,match($A1547&amp;","&amp;index('Year Conversion'!$A:$A,match($C1547,'Year Conversion'!$B:$B,0)),$Y:$Y,0))-K1547,"")</f>
        <v>-0.6034787533</v>
      </c>
      <c r="AC1547" s="168" t="str">
        <f t="shared" si="7"/>
        <v>SAC,2016-17</v>
      </c>
    </row>
    <row r="1548">
      <c r="A1548" s="161" t="str">
        <f>IFERROR(__xludf.DUMMYFUNCTION("""COMPUTED_VALUE"""),"splitti01")</f>
        <v>splitti01</v>
      </c>
      <c r="B1548" s="161" t="str">
        <f>IFERROR(__xludf.DUMMYFUNCTION("""COMPUTED_VALUE"""),"Tiago Splitter")</f>
        <v>Tiago Splitter</v>
      </c>
      <c r="C1548" s="162" t="str">
        <f>IFERROR(__xludf.DUMMYFUNCTION("""COMPUTED_VALUE"""),"2016-17")</f>
        <v>2016-17</v>
      </c>
      <c r="D1548" s="163" t="str">
        <f>IFERROR(__xludf.DUMMYFUNCTION("""COMPUTED_VALUE"""),"PHI")</f>
        <v>PHI</v>
      </c>
      <c r="E1548" s="164" t="str">
        <f>IFERROR(__xludf.DUMMYFUNCTION("""COMPUTED_VALUE"""),"Post Scorer")</f>
        <v>Post Scorer</v>
      </c>
      <c r="F1548" s="164">
        <f>IFERROR(__xludf.DUMMYFUNCTION("""COMPUTED_VALUE"""),75.9666666666667)</f>
        <v>75.96666667</v>
      </c>
      <c r="G1548" s="163">
        <f>IFERROR(__xludf.DUMMYFUNCTION("""COMPUTED_VALUE"""),8.0)</f>
        <v>8</v>
      </c>
      <c r="H1548" s="163" t="str">
        <f>IFERROR(__xludf.DUMMYFUNCTION("""COMPUTED_VALUE"""),"C")</f>
        <v>C</v>
      </c>
      <c r="I1548" s="163">
        <f>IFERROR(__xludf.DUMMYFUNCTION("""COMPUTED_VALUE"""),32.0)</f>
        <v>32</v>
      </c>
      <c r="J1548" s="165">
        <f>IFERROR(__xludf.DUMMYFUNCTION("""COMPUTED_VALUE"""),0.0593210772584337)</f>
        <v>0.05932107726</v>
      </c>
      <c r="K1548" s="165">
        <f>IFERROR(__xludf.DUMMYFUNCTION("""COMPUTED_VALUE"""),0.15373139157783)</f>
        <v>0.1537313916</v>
      </c>
      <c r="L1548" s="165">
        <f>IFERROR(__xludf.DUMMYFUNCTION("""COMPUTED_VALUE"""),-0.0944103143193962)</f>
        <v>-0.09441031432</v>
      </c>
      <c r="M1548" s="166">
        <f t="shared" si="2"/>
        <v>0.1201534484</v>
      </c>
      <c r="N1548" s="167">
        <f t="shared" si="3"/>
        <v>9.495833333</v>
      </c>
      <c r="O1548" s="163">
        <f t="shared" ref="O1548:Q1548" si="1552">rank(I1548,I:I)</f>
        <v>359</v>
      </c>
      <c r="P1548" s="163">
        <f t="shared" si="1552"/>
        <v>1234</v>
      </c>
      <c r="Q1548" s="163">
        <f t="shared" si="1552"/>
        <v>1023</v>
      </c>
      <c r="R1548" s="163">
        <f>IFERROR(__xludf.DUMMYFUNCTION("RANK(M1548,filter(M:M,C:C=C1548))"),371.0)</f>
        <v>371</v>
      </c>
      <c r="S1548" s="161" t="b">
        <f t="shared" si="5"/>
        <v>0</v>
      </c>
      <c r="T1548" s="161" t="b">
        <f t="array" ref="T1548">index('Query Tool'!B:B,match(H1548,'Query Tool'!C:C,0))</f>
        <v>1</v>
      </c>
      <c r="U1548" s="161" t="b">
        <f t="array" ref="U1548">index('Query Tool'!B:B,match(C1548,'Query Tool'!C:C,0))</f>
        <v>0</v>
      </c>
      <c r="V1548" s="161" t="b">
        <f>F1548&gt;='Query Tool'!C$32</f>
        <v>0</v>
      </c>
      <c r="W1548" s="161" t="b">
        <f t="array" ref="W1548">index(Dropdowns!B:B,match(I1548,Dropdowns!A:A,0))</f>
        <v>1</v>
      </c>
      <c r="X1548" s="161" t="b">
        <f t="array" ref="X1548">index('Query Tool'!B:B,match(D1548,'Query Tool'!C:C,0))</f>
        <v>1</v>
      </c>
      <c r="Y1548" s="161" t="str">
        <f t="shared" si="6"/>
        <v>splitti01,2016-17</v>
      </c>
      <c r="Z1548" s="168" t="str">
        <f t="array" ref="Z1548">iferror(index(I:I,match($A1548&amp;","&amp;index('Year Conversion'!$A:$A,match($C1548,'Year Conversion'!$B:$B,0)),$Y:$Y,0))-I1548,"")</f>
        <v/>
      </c>
      <c r="AA1548" s="168" t="str">
        <f t="array" ref="AA1548">iferror(index(J:J,match($A1548&amp;","&amp;index('Year Conversion'!$A:$A,match($C1548,'Year Conversion'!$B:$B,0)),$Y:$Y,0))-J1548,"")</f>
        <v/>
      </c>
      <c r="AB1548" s="168" t="str">
        <f t="array" ref="AB1548">iferror(index(K:K,match($A1548&amp;","&amp;index('Year Conversion'!$A:$A,match($C1548,'Year Conversion'!$B:$B,0)),$Y:$Y,0))-K1548,"")</f>
        <v/>
      </c>
      <c r="AC1548" s="168" t="str">
        <f t="shared" si="7"/>
        <v>PHI,2016-17</v>
      </c>
    </row>
    <row r="1549">
      <c r="A1549" s="161" t="str">
        <f>IFERROR(__xludf.DUMMYFUNCTION("""COMPUTED_VALUE"""),"mcrobjo01")</f>
        <v>mcrobjo01</v>
      </c>
      <c r="B1549" s="161" t="str">
        <f>IFERROR(__xludf.DUMMYFUNCTION("""COMPUTED_VALUE"""),"Josh McRoberts")</f>
        <v>Josh McRoberts</v>
      </c>
      <c r="C1549" s="162" t="str">
        <f>IFERROR(__xludf.DUMMYFUNCTION("""COMPUTED_VALUE"""),"2016-17")</f>
        <v>2016-17</v>
      </c>
      <c r="D1549" s="163" t="str">
        <f>IFERROR(__xludf.DUMMYFUNCTION("""COMPUTED_VALUE"""),"MIA")</f>
        <v>MIA</v>
      </c>
      <c r="E1549" s="164" t="str">
        <f>IFERROR(__xludf.DUMMYFUNCTION("""COMPUTED_VALUE"""),"Stretch Big")</f>
        <v>Stretch Big</v>
      </c>
      <c r="F1549" s="164">
        <f>IFERROR(__xludf.DUMMYFUNCTION("""COMPUTED_VALUE"""),381.213333333333)</f>
        <v>381.2133333</v>
      </c>
      <c r="G1549" s="163">
        <f>IFERROR(__xludf.DUMMYFUNCTION("""COMPUTED_VALUE"""),22.0)</f>
        <v>22</v>
      </c>
      <c r="H1549" s="163" t="str">
        <f>IFERROR(__xludf.DUMMYFUNCTION("""COMPUTED_VALUE"""),"PF")</f>
        <v>PF</v>
      </c>
      <c r="I1549" s="163">
        <f>IFERROR(__xludf.DUMMYFUNCTION("""COMPUTED_VALUE"""),29.0)</f>
        <v>29</v>
      </c>
      <c r="J1549" s="165">
        <f>IFERROR(__xludf.DUMMYFUNCTION("""COMPUTED_VALUE"""),-2.0631567153811)</f>
        <v>-2.063156715</v>
      </c>
      <c r="K1549" s="165">
        <f>IFERROR(__xludf.DUMMYFUNCTION("""COMPUTED_VALUE"""),-1.13832477561653)</f>
        <v>-1.138324776</v>
      </c>
      <c r="L1549" s="165">
        <f>IFERROR(__xludf.DUMMYFUNCTION("""COMPUTED_VALUE"""),-0.924831939764568)</f>
        <v>-0.9248319398</v>
      </c>
      <c r="M1549" s="166">
        <f t="shared" si="2"/>
        <v>0.06056512964</v>
      </c>
      <c r="N1549" s="167">
        <f t="shared" si="3"/>
        <v>17.32787879</v>
      </c>
      <c r="O1549" s="163">
        <f t="shared" ref="O1549:Q1549" si="1553">rank(I1549,I:I)</f>
        <v>855</v>
      </c>
      <c r="P1549" s="163">
        <f t="shared" si="1553"/>
        <v>3526</v>
      </c>
      <c r="Q1549" s="163">
        <f t="shared" si="1553"/>
        <v>2972</v>
      </c>
      <c r="R1549" s="163">
        <f>IFERROR(__xludf.DUMMYFUNCTION("RANK(M1549,filter(M:M,C:C=C1549))"),393.0)</f>
        <v>393</v>
      </c>
      <c r="S1549" s="161" t="b">
        <f t="shared" si="5"/>
        <v>0</v>
      </c>
      <c r="T1549" s="161" t="b">
        <f t="array" ref="T1549">index('Query Tool'!B:B,match(H1549,'Query Tool'!C:C,0))</f>
        <v>1</v>
      </c>
      <c r="U1549" s="161" t="b">
        <f t="array" ref="U1549">index('Query Tool'!B:B,match(C1549,'Query Tool'!C:C,0))</f>
        <v>0</v>
      </c>
      <c r="V1549" s="161" t="b">
        <f>F1549&gt;='Query Tool'!C$32</f>
        <v>0</v>
      </c>
      <c r="W1549" s="161" t="b">
        <f t="array" ref="W1549">index(Dropdowns!B:B,match(I1549,Dropdowns!A:A,0))</f>
        <v>1</v>
      </c>
      <c r="X1549" s="161" t="b">
        <f t="array" ref="X1549">index('Query Tool'!B:B,match(D1549,'Query Tool'!C:C,0))</f>
        <v>1</v>
      </c>
      <c r="Y1549" s="161" t="str">
        <f t="shared" si="6"/>
        <v>mcrobjo01,2016-17</v>
      </c>
      <c r="Z1549" s="168">
        <f t="array" ref="Z1549">iferror(index(I:I,match($A1549&amp;","&amp;index('Year Conversion'!$A:$A,match($C1549,'Year Conversion'!$B:$B,0)),$Y:$Y,0))-I1549,"")</f>
        <v>1</v>
      </c>
      <c r="AA1549" s="168">
        <f t="array" ref="AA1549">iferror(index(J:J,match($A1549&amp;","&amp;index('Year Conversion'!$A:$A,match($C1549,'Year Conversion'!$B:$B,0)),$Y:$Y,0))-J1549,"")</f>
        <v>1.877677987</v>
      </c>
      <c r="AB1549" s="168">
        <f t="array" ref="AB1549">iferror(index(K:K,match($A1549&amp;","&amp;index('Year Conversion'!$A:$A,match($C1549,'Year Conversion'!$B:$B,0)),$Y:$Y,0))-K1549,"")</f>
        <v>0.8117217198</v>
      </c>
      <c r="AC1549" s="168" t="str">
        <f t="shared" si="7"/>
        <v>MIA,2016-17</v>
      </c>
    </row>
    <row r="1550">
      <c r="A1550" s="161" t="str">
        <f>IFERROR(__xludf.DUMMYFUNCTION("""COMPUTED_VALUE"""),"gasolma01")</f>
        <v>gasolma01</v>
      </c>
      <c r="B1550" s="161" t="str">
        <f>IFERROR(__xludf.DUMMYFUNCTION("""COMPUTED_VALUE"""),"Marc Gasol")</f>
        <v>Marc Gasol</v>
      </c>
      <c r="C1550" s="162" t="str">
        <f>IFERROR(__xludf.DUMMYFUNCTION("""COMPUTED_VALUE"""),"2016-17")</f>
        <v>2016-17</v>
      </c>
      <c r="D1550" s="163" t="str">
        <f>IFERROR(__xludf.DUMMYFUNCTION("""COMPUTED_VALUE"""),"MEM")</f>
        <v>MEM</v>
      </c>
      <c r="E1550" s="164" t="str">
        <f>IFERROR(__xludf.DUMMYFUNCTION("""COMPUTED_VALUE"""),"Post Scorer")</f>
        <v>Post Scorer</v>
      </c>
      <c r="F1550" s="164">
        <f>IFERROR(__xludf.DUMMYFUNCTION("""COMPUTED_VALUE"""),2531.03333333333)</f>
        <v>2531.033333</v>
      </c>
      <c r="G1550" s="163">
        <f>IFERROR(__xludf.DUMMYFUNCTION("""COMPUTED_VALUE"""),74.0)</f>
        <v>74</v>
      </c>
      <c r="H1550" s="163" t="str">
        <f>IFERROR(__xludf.DUMMYFUNCTION("""COMPUTED_VALUE"""),"C")</f>
        <v>C</v>
      </c>
      <c r="I1550" s="163">
        <f>IFERROR(__xludf.DUMMYFUNCTION("""COMPUTED_VALUE"""),32.0)</f>
        <v>32</v>
      </c>
      <c r="J1550" s="165">
        <f>IFERROR(__xludf.DUMMYFUNCTION("""COMPUTED_VALUE"""),1.72767203186261)</f>
        <v>1.727672032</v>
      </c>
      <c r="K1550" s="165">
        <f>IFERROR(__xludf.DUMMYFUNCTION("""COMPUTED_VALUE"""),1.03386800313975)</f>
        <v>1.033868003</v>
      </c>
      <c r="L1550" s="165">
        <f>IFERROR(__xludf.DUMMYFUNCTION("""COMPUTED_VALUE"""),0.693804028722862)</f>
        <v>0.6938040287</v>
      </c>
      <c r="M1550" s="166">
        <f t="shared" si="2"/>
        <v>6.837940042</v>
      </c>
      <c r="N1550" s="167">
        <f t="shared" si="3"/>
        <v>34.20315315</v>
      </c>
      <c r="O1550" s="163">
        <f t="shared" ref="O1550:Q1550" si="1554">rank(I1550,I:I)</f>
        <v>359</v>
      </c>
      <c r="P1550" s="163">
        <f t="shared" si="1554"/>
        <v>388</v>
      </c>
      <c r="Q1550" s="163">
        <f t="shared" si="1554"/>
        <v>489</v>
      </c>
      <c r="R1550" s="163">
        <f>IFERROR(__xludf.DUMMYFUNCTION("RANK(M1550,filter(M:M,C:C=C1550))"),36.0)</f>
        <v>36</v>
      </c>
      <c r="S1550" s="161" t="b">
        <f t="shared" si="5"/>
        <v>0</v>
      </c>
      <c r="T1550" s="161" t="b">
        <f t="array" ref="T1550">index('Query Tool'!B:B,match(H1550,'Query Tool'!C:C,0))</f>
        <v>1</v>
      </c>
      <c r="U1550" s="161" t="b">
        <f t="array" ref="U1550">index('Query Tool'!B:B,match(C1550,'Query Tool'!C:C,0))</f>
        <v>0</v>
      </c>
      <c r="V1550" s="161" t="b">
        <f>F1550&gt;='Query Tool'!C$32</f>
        <v>1</v>
      </c>
      <c r="W1550" s="161" t="b">
        <f t="array" ref="W1550">index(Dropdowns!B:B,match(I1550,Dropdowns!A:A,0))</f>
        <v>1</v>
      </c>
      <c r="X1550" s="161" t="b">
        <f t="array" ref="X1550">index('Query Tool'!B:B,match(D1550,'Query Tool'!C:C,0))</f>
        <v>1</v>
      </c>
      <c r="Y1550" s="161" t="str">
        <f t="shared" si="6"/>
        <v>gasolma01,2016-17</v>
      </c>
      <c r="Z1550" s="168">
        <f t="array" ref="Z1550">iferror(index(I:I,match($A1550&amp;","&amp;index('Year Conversion'!$A:$A,match($C1550,'Year Conversion'!$B:$B,0)),$Y:$Y,0))-I1550,"")</f>
        <v>1</v>
      </c>
      <c r="AA1550" s="168">
        <f t="array" ref="AA1550">iferror(index(J:J,match($A1550&amp;","&amp;index('Year Conversion'!$A:$A,match($C1550,'Year Conversion'!$B:$B,0)),$Y:$Y,0))-J1550,"")</f>
        <v>0.03809192911</v>
      </c>
      <c r="AB1550" s="168">
        <f t="array" ref="AB1550">iferror(index(K:K,match($A1550&amp;","&amp;index('Year Conversion'!$A:$A,match($C1550,'Year Conversion'!$B:$B,0)),$Y:$Y,0))-K1550,"")</f>
        <v>-0.940747792</v>
      </c>
      <c r="AC1550" s="168" t="str">
        <f t="shared" si="7"/>
        <v>MEM,2016-17</v>
      </c>
    </row>
    <row r="1551">
      <c r="A1551" s="161" t="str">
        <f>IFERROR(__xludf.DUMMYFUNCTION("""COMPUTED_VALUE"""),"sessira01")</f>
        <v>sessira01</v>
      </c>
      <c r="B1551" s="161" t="str">
        <f>IFERROR(__xludf.DUMMYFUNCTION("""COMPUTED_VALUE"""),"Ramon Sessions")</f>
        <v>Ramon Sessions</v>
      </c>
      <c r="C1551" s="162" t="str">
        <f>IFERROR(__xludf.DUMMYFUNCTION("""COMPUTED_VALUE"""),"2016-17")</f>
        <v>2016-17</v>
      </c>
      <c r="D1551" s="163" t="str">
        <f>IFERROR(__xludf.DUMMYFUNCTION("""COMPUTED_VALUE"""),"CHO")</f>
        <v>CHO</v>
      </c>
      <c r="E1551" s="164" t="str">
        <f>IFERROR(__xludf.DUMMYFUNCTION("""COMPUTED_VALUE"""),"Slasher")</f>
        <v>Slasher</v>
      </c>
      <c r="F1551" s="164">
        <f>IFERROR(__xludf.DUMMYFUNCTION("""COMPUTED_VALUE"""),810.676666666667)</f>
        <v>810.6766667</v>
      </c>
      <c r="G1551" s="163">
        <f>IFERROR(__xludf.DUMMYFUNCTION("""COMPUTED_VALUE"""),50.0)</f>
        <v>50</v>
      </c>
      <c r="H1551" s="163" t="str">
        <f>IFERROR(__xludf.DUMMYFUNCTION("""COMPUTED_VALUE"""),"PG")</f>
        <v>PG</v>
      </c>
      <c r="I1551" s="163">
        <f>IFERROR(__xludf.DUMMYFUNCTION("""COMPUTED_VALUE"""),30.0)</f>
        <v>30</v>
      </c>
      <c r="J1551" s="165">
        <f>IFERROR(__xludf.DUMMYFUNCTION("""COMPUTED_VALUE"""),-0.989898961928417)</f>
        <v>-0.9898989619</v>
      </c>
      <c r="K1551" s="165">
        <f>IFERROR(__xludf.DUMMYFUNCTION("""COMPUTED_VALUE"""),-0.27525760903023)</f>
        <v>-0.275257609</v>
      </c>
      <c r="L1551" s="165">
        <f>IFERROR(__xludf.DUMMYFUNCTION("""COMPUTED_VALUE"""),-0.714641352898186)</f>
        <v>-0.7146413529</v>
      </c>
      <c r="M1551" s="166">
        <f t="shared" si="2"/>
        <v>0.7094992453</v>
      </c>
      <c r="N1551" s="167">
        <f t="shared" si="3"/>
        <v>16.21353333</v>
      </c>
      <c r="O1551" s="163">
        <f t="shared" ref="O1551:Q1551" si="1555">rank(I1551,I:I)</f>
        <v>655</v>
      </c>
      <c r="P1551" s="163">
        <f t="shared" si="1555"/>
        <v>2493</v>
      </c>
      <c r="Q1551" s="163">
        <f t="shared" si="1555"/>
        <v>1713</v>
      </c>
      <c r="R1551" s="163">
        <f>IFERROR(__xludf.DUMMYFUNCTION("RANK(M1551,filter(M:M,C:C=C1551))"),252.0)</f>
        <v>252</v>
      </c>
      <c r="S1551" s="161" t="b">
        <f t="shared" si="5"/>
        <v>0</v>
      </c>
      <c r="T1551" s="161" t="b">
        <f t="array" ref="T1551">index('Query Tool'!B:B,match(H1551,'Query Tool'!C:C,0))</f>
        <v>1</v>
      </c>
      <c r="U1551" s="161" t="b">
        <f t="array" ref="U1551">index('Query Tool'!B:B,match(C1551,'Query Tool'!C:C,0))</f>
        <v>0</v>
      </c>
      <c r="V1551" s="161" t="b">
        <f>F1551&gt;='Query Tool'!C$32</f>
        <v>1</v>
      </c>
      <c r="W1551" s="161" t="b">
        <f t="array" ref="W1551">index(Dropdowns!B:B,match(I1551,Dropdowns!A:A,0))</f>
        <v>1</v>
      </c>
      <c r="X1551" s="161" t="b">
        <f t="array" ref="X1551">index('Query Tool'!B:B,match(D1551,'Query Tool'!C:C,0))</f>
        <v>1</v>
      </c>
      <c r="Y1551" s="161" t="str">
        <f t="shared" si="6"/>
        <v>sessira01,2016-17</v>
      </c>
      <c r="Z1551" s="168">
        <f t="array" ref="Z1551">iferror(index(I:I,match($A1551&amp;","&amp;index('Year Conversion'!$A:$A,match($C1551,'Year Conversion'!$B:$B,0)),$Y:$Y,0))-I1551,"")</f>
        <v>1</v>
      </c>
      <c r="AA1551" s="168">
        <f t="array" ref="AA1551">iferror(index(J:J,match($A1551&amp;","&amp;index('Year Conversion'!$A:$A,match($C1551,'Year Conversion'!$B:$B,0)),$Y:$Y,0))-J1551,"")</f>
        <v>-0.3158118676</v>
      </c>
      <c r="AB1551" s="168">
        <f t="array" ref="AB1551">iferror(index(K:K,match($A1551&amp;","&amp;index('Year Conversion'!$A:$A,match($C1551,'Year Conversion'!$B:$B,0)),$Y:$Y,0))-K1551,"")</f>
        <v>-0.1540801574</v>
      </c>
      <c r="AC1551" s="168" t="str">
        <f t="shared" si="7"/>
        <v>CHO,2016-17</v>
      </c>
    </row>
    <row r="1552">
      <c r="A1552" s="161" t="str">
        <f>IFERROR(__xludf.DUMMYFUNCTION("""COMPUTED_VALUE"""),"anthojo01")</f>
        <v>anthojo01</v>
      </c>
      <c r="B1552" s="161" t="str">
        <f>IFERROR(__xludf.DUMMYFUNCTION("""COMPUTED_VALUE"""),"Joel Anthony")</f>
        <v>Joel Anthony</v>
      </c>
      <c r="C1552" s="162" t="str">
        <f>IFERROR(__xludf.DUMMYFUNCTION("""COMPUTED_VALUE"""),"2016-17")</f>
        <v>2016-17</v>
      </c>
      <c r="D1552" s="163" t="str">
        <f>IFERROR(__xludf.DUMMYFUNCTION("""COMPUTED_VALUE"""),"SAS")</f>
        <v>SAS</v>
      </c>
      <c r="E1552" s="164" t="str">
        <f>IFERROR(__xludf.DUMMYFUNCTION("""COMPUTED_VALUE"""),"Roll + Cut Big")</f>
        <v>Roll + Cut Big</v>
      </c>
      <c r="F1552" s="164">
        <f>IFERROR(__xludf.DUMMYFUNCTION("""COMPUTED_VALUE"""),121.965)</f>
        <v>121.965</v>
      </c>
      <c r="G1552" s="163">
        <f>IFERROR(__xludf.DUMMYFUNCTION("""COMPUTED_VALUE"""),19.0)</f>
        <v>19</v>
      </c>
      <c r="H1552" s="163" t="str">
        <f>IFERROR(__xludf.DUMMYFUNCTION("""COMPUTED_VALUE"""),"C")</f>
        <v>C</v>
      </c>
      <c r="I1552" s="163">
        <f>IFERROR(__xludf.DUMMYFUNCTION("""COMPUTED_VALUE"""),34.0)</f>
        <v>34</v>
      </c>
      <c r="J1552" s="165">
        <f>IFERROR(__xludf.DUMMYFUNCTION("""COMPUTED_VALUE"""),-1.32307643684504)</f>
        <v>-1.323076437</v>
      </c>
      <c r="K1552" s="165">
        <f>IFERROR(__xludf.DUMMYFUNCTION("""COMPUTED_VALUE"""),-1.21243940118477)</f>
        <v>-1.212439401</v>
      </c>
      <c r="L1552" s="165">
        <f>IFERROR(__xludf.DUMMYFUNCTION("""COMPUTED_VALUE"""),-0.110637035660266)</f>
        <v>-0.1106370357</v>
      </c>
      <c r="M1552" s="166">
        <f t="shared" si="2"/>
        <v>0.07949982262</v>
      </c>
      <c r="N1552" s="167">
        <f t="shared" si="3"/>
        <v>6.419210526</v>
      </c>
      <c r="O1552" s="163">
        <f t="shared" ref="O1552:Q1552" si="1556">rank(I1552,I:I)</f>
        <v>164</v>
      </c>
      <c r="P1552" s="163">
        <f t="shared" si="1556"/>
        <v>2888</v>
      </c>
      <c r="Q1552" s="163">
        <f t="shared" si="1556"/>
        <v>3044</v>
      </c>
      <c r="R1552" s="163">
        <f>IFERROR(__xludf.DUMMYFUNCTION("RANK(M1552,filter(M:M,C:C=C1552))"),384.0)</f>
        <v>384</v>
      </c>
      <c r="S1552" s="161" t="b">
        <f t="shared" si="5"/>
        <v>0</v>
      </c>
      <c r="T1552" s="161" t="b">
        <f t="array" ref="T1552">index('Query Tool'!B:B,match(H1552,'Query Tool'!C:C,0))</f>
        <v>1</v>
      </c>
      <c r="U1552" s="161" t="b">
        <f t="array" ref="U1552">index('Query Tool'!B:B,match(C1552,'Query Tool'!C:C,0))</f>
        <v>0</v>
      </c>
      <c r="V1552" s="161" t="b">
        <f>F1552&gt;='Query Tool'!C$32</f>
        <v>0</v>
      </c>
      <c r="W1552" s="161" t="b">
        <f t="array" ref="W1552">index(Dropdowns!B:B,match(I1552,Dropdowns!A:A,0))</f>
        <v>1</v>
      </c>
      <c r="X1552" s="161" t="b">
        <f t="array" ref="X1552">index('Query Tool'!B:B,match(D1552,'Query Tool'!C:C,0))</f>
        <v>1</v>
      </c>
      <c r="Y1552" s="161" t="str">
        <f t="shared" si="6"/>
        <v>anthojo01,2016-17</v>
      </c>
      <c r="Z1552" s="168" t="str">
        <f t="array" ref="Z1552">iferror(index(I:I,match($A1552&amp;","&amp;index('Year Conversion'!$A:$A,match($C1552,'Year Conversion'!$B:$B,0)),$Y:$Y,0))-I1552,"")</f>
        <v/>
      </c>
      <c r="AA1552" s="168" t="str">
        <f t="array" ref="AA1552">iferror(index(J:J,match($A1552&amp;","&amp;index('Year Conversion'!$A:$A,match($C1552,'Year Conversion'!$B:$B,0)),$Y:$Y,0))-J1552,"")</f>
        <v/>
      </c>
      <c r="AB1552" s="168" t="str">
        <f t="array" ref="AB1552">iferror(index(K:K,match($A1552&amp;","&amp;index('Year Conversion'!$A:$A,match($C1552,'Year Conversion'!$B:$B,0)),$Y:$Y,0))-K1552,"")</f>
        <v/>
      </c>
      <c r="AC1552" s="168" t="str">
        <f t="shared" si="7"/>
        <v>SAS,2016-17</v>
      </c>
    </row>
    <row r="1553">
      <c r="A1553" s="161" t="str">
        <f>IFERROR(__xludf.DUMMYFUNCTION("""COMPUTED_VALUE"""),"watsocj01")</f>
        <v>watsocj01</v>
      </c>
      <c r="B1553" s="161" t="str">
        <f>IFERROR(__xludf.DUMMYFUNCTION("""COMPUTED_VALUE"""),"C.J. Watson")</f>
        <v>C.J. Watson</v>
      </c>
      <c r="C1553" s="162" t="str">
        <f>IFERROR(__xludf.DUMMYFUNCTION("""COMPUTED_VALUE"""),"2016-17")</f>
        <v>2016-17</v>
      </c>
      <c r="D1553" s="163" t="str">
        <f>IFERROR(__xludf.DUMMYFUNCTION("""COMPUTED_VALUE"""),"ORL")</f>
        <v>ORL</v>
      </c>
      <c r="E1553" s="164" t="str">
        <f>IFERROR(__xludf.DUMMYFUNCTION("""COMPUTED_VALUE"""),"Secondary Ball Handler")</f>
        <v>Secondary Ball Handler</v>
      </c>
      <c r="F1553" s="164">
        <f>IFERROR(__xludf.DUMMYFUNCTION("""COMPUTED_VALUE"""),1012.5)</f>
        <v>1012.5</v>
      </c>
      <c r="G1553" s="163">
        <f>IFERROR(__xludf.DUMMYFUNCTION("""COMPUTED_VALUE"""),62.0)</f>
        <v>62</v>
      </c>
      <c r="H1553" s="163" t="str">
        <f>IFERROR(__xludf.DUMMYFUNCTION("""COMPUTED_VALUE"""),"PG")</f>
        <v>PG</v>
      </c>
      <c r="I1553" s="163">
        <f>IFERROR(__xludf.DUMMYFUNCTION("""COMPUTED_VALUE"""),32.0)</f>
        <v>32</v>
      </c>
      <c r="J1553" s="165">
        <f>IFERROR(__xludf.DUMMYFUNCTION("""COMPUTED_VALUE"""),-1.60258786306837)</f>
        <v>-1.602587863</v>
      </c>
      <c r="K1553" s="165">
        <f>IFERROR(__xludf.DUMMYFUNCTION("""COMPUTED_VALUE"""),-1.68569017381135)</f>
        <v>-1.685690174</v>
      </c>
      <c r="L1553" s="165">
        <f>IFERROR(__xludf.DUMMYFUNCTION("""COMPUTED_VALUE"""),0.0831023107429795)</f>
        <v>0.08310231074</v>
      </c>
      <c r="M1553" s="166">
        <f t="shared" si="2"/>
        <v>0.4708699022</v>
      </c>
      <c r="N1553" s="167">
        <f t="shared" si="3"/>
        <v>16.33064516</v>
      </c>
      <c r="O1553" s="163">
        <f t="shared" ref="O1553:Q1553" si="1557">rank(I1553,I:I)</f>
        <v>359</v>
      </c>
      <c r="P1553" s="163">
        <f t="shared" si="1557"/>
        <v>3147</v>
      </c>
      <c r="Q1553" s="163">
        <f t="shared" si="1557"/>
        <v>3511</v>
      </c>
      <c r="R1553" s="163">
        <f>IFERROR(__xludf.DUMMYFUNCTION("RANK(M1553,filter(M:M,C:C=C1553))"),291.0)</f>
        <v>291</v>
      </c>
      <c r="S1553" s="161" t="b">
        <f t="shared" si="5"/>
        <v>0</v>
      </c>
      <c r="T1553" s="161" t="b">
        <f t="array" ref="T1553">index('Query Tool'!B:B,match(H1553,'Query Tool'!C:C,0))</f>
        <v>1</v>
      </c>
      <c r="U1553" s="161" t="b">
        <f t="array" ref="U1553">index('Query Tool'!B:B,match(C1553,'Query Tool'!C:C,0))</f>
        <v>0</v>
      </c>
      <c r="V1553" s="161" t="b">
        <f>F1553&gt;='Query Tool'!C$32</f>
        <v>1</v>
      </c>
      <c r="W1553" s="161" t="b">
        <f t="array" ref="W1553">index(Dropdowns!B:B,match(I1553,Dropdowns!A:A,0))</f>
        <v>1</v>
      </c>
      <c r="X1553" s="161" t="b">
        <f t="array" ref="X1553">index('Query Tool'!B:B,match(D1553,'Query Tool'!C:C,0))</f>
        <v>1</v>
      </c>
      <c r="Y1553" s="161" t="str">
        <f t="shared" si="6"/>
        <v>watsocj01,2016-17</v>
      </c>
      <c r="Z1553" s="168" t="str">
        <f t="array" ref="Z1553">iferror(index(I:I,match($A1553&amp;","&amp;index('Year Conversion'!$A:$A,match($C1553,'Year Conversion'!$B:$B,0)),$Y:$Y,0))-I1553,"")</f>
        <v/>
      </c>
      <c r="AA1553" s="168" t="str">
        <f t="array" ref="AA1553">iferror(index(J:J,match($A1553&amp;","&amp;index('Year Conversion'!$A:$A,match($C1553,'Year Conversion'!$B:$B,0)),$Y:$Y,0))-J1553,"")</f>
        <v/>
      </c>
      <c r="AB1553" s="168" t="str">
        <f t="array" ref="AB1553">iferror(index(K:K,match($A1553&amp;","&amp;index('Year Conversion'!$A:$A,match($C1553,'Year Conversion'!$B:$B,0)),$Y:$Y,0))-K1553,"")</f>
        <v/>
      </c>
      <c r="AC1553" s="168" t="str">
        <f t="shared" si="7"/>
        <v>ORL,2016-17</v>
      </c>
    </row>
    <row r="1554">
      <c r="A1554" s="161" t="str">
        <f>IFERROR(__xludf.DUMMYFUNCTION("""COMPUTED_VALUE"""),"tollian01")</f>
        <v>tollian01</v>
      </c>
      <c r="B1554" s="161" t="str">
        <f>IFERROR(__xludf.DUMMYFUNCTION("""COMPUTED_VALUE"""),"Anthony Tolliver")</f>
        <v>Anthony Tolliver</v>
      </c>
      <c r="C1554" s="162" t="str">
        <f>IFERROR(__xludf.DUMMYFUNCTION("""COMPUTED_VALUE"""),"2016-17")</f>
        <v>2016-17</v>
      </c>
      <c r="D1554" s="163" t="str">
        <f>IFERROR(__xludf.DUMMYFUNCTION("""COMPUTED_VALUE"""),"SAC")</f>
        <v>SAC</v>
      </c>
      <c r="E1554" s="164" t="str">
        <f>IFERROR(__xludf.DUMMYFUNCTION("""COMPUTED_VALUE"""),"Stationary Shooter")</f>
        <v>Stationary Shooter</v>
      </c>
      <c r="F1554" s="164">
        <f>IFERROR(__xludf.DUMMYFUNCTION("""COMPUTED_VALUE"""),1476.725)</f>
        <v>1476.725</v>
      </c>
      <c r="G1554" s="163">
        <f>IFERROR(__xludf.DUMMYFUNCTION("""COMPUTED_VALUE"""),65.0)</f>
        <v>65</v>
      </c>
      <c r="H1554" s="163" t="str">
        <f>IFERROR(__xludf.DUMMYFUNCTION("""COMPUTED_VALUE"""),"PF")</f>
        <v>PF</v>
      </c>
      <c r="I1554" s="163">
        <f>IFERROR(__xludf.DUMMYFUNCTION("""COMPUTED_VALUE"""),31.0)</f>
        <v>31</v>
      </c>
      <c r="J1554" s="165">
        <f>IFERROR(__xludf.DUMMYFUNCTION("""COMPUTED_VALUE"""),-2.08332237972084)</f>
        <v>-2.08332238</v>
      </c>
      <c r="K1554" s="165">
        <f>IFERROR(__xludf.DUMMYFUNCTION("""COMPUTED_VALUE"""),-1.19002782003829)</f>
        <v>-1.19002782</v>
      </c>
      <c r="L1554" s="165">
        <f>IFERROR(__xludf.DUMMYFUNCTION("""COMPUTED_VALUE"""),-0.893294559682547)</f>
        <v>-0.8932945597</v>
      </c>
      <c r="M1554" s="166">
        <f t="shared" si="2"/>
        <v>0.214892759</v>
      </c>
      <c r="N1554" s="167">
        <f t="shared" si="3"/>
        <v>22.71884615</v>
      </c>
      <c r="O1554" s="163">
        <f t="shared" ref="O1554:Q1554" si="1558">rank(I1554,I:I)</f>
        <v>490</v>
      </c>
      <c r="P1554" s="163">
        <f t="shared" si="1558"/>
        <v>3545</v>
      </c>
      <c r="Q1554" s="163">
        <f t="shared" si="1558"/>
        <v>3026</v>
      </c>
      <c r="R1554" s="163">
        <f>IFERROR(__xludf.DUMMYFUNCTION("RANK(M1554,filter(M:M,C:C=C1554))"),334.0)</f>
        <v>334</v>
      </c>
      <c r="S1554" s="161" t="b">
        <f t="shared" si="5"/>
        <v>0</v>
      </c>
      <c r="T1554" s="161" t="b">
        <f t="array" ref="T1554">index('Query Tool'!B:B,match(H1554,'Query Tool'!C:C,0))</f>
        <v>1</v>
      </c>
      <c r="U1554" s="161" t="b">
        <f t="array" ref="U1554">index('Query Tool'!B:B,match(C1554,'Query Tool'!C:C,0))</f>
        <v>0</v>
      </c>
      <c r="V1554" s="161" t="b">
        <f>F1554&gt;='Query Tool'!C$32</f>
        <v>1</v>
      </c>
      <c r="W1554" s="161" t="b">
        <f t="array" ref="W1554">index(Dropdowns!B:B,match(I1554,Dropdowns!A:A,0))</f>
        <v>1</v>
      </c>
      <c r="X1554" s="161" t="b">
        <f t="array" ref="X1554">index('Query Tool'!B:B,match(D1554,'Query Tool'!C:C,0))</f>
        <v>1</v>
      </c>
      <c r="Y1554" s="161" t="str">
        <f t="shared" si="6"/>
        <v>tollian01,2016-17</v>
      </c>
      <c r="Z1554" s="168">
        <f t="array" ref="Z1554">iferror(index(I:I,match($A1554&amp;","&amp;index('Year Conversion'!$A:$A,match($C1554,'Year Conversion'!$B:$B,0)),$Y:$Y,0))-I1554,"")</f>
        <v>1</v>
      </c>
      <c r="AA1554" s="168">
        <f t="array" ref="AA1554">iferror(index(J:J,match($A1554&amp;","&amp;index('Year Conversion'!$A:$A,match($C1554,'Year Conversion'!$B:$B,0)),$Y:$Y,0))-J1554,"")</f>
        <v>2.126332885</v>
      </c>
      <c r="AB1554" s="168">
        <f t="array" ref="AB1554">iferror(index(K:K,match($A1554&amp;","&amp;index('Year Conversion'!$A:$A,match($C1554,'Year Conversion'!$B:$B,0)),$Y:$Y,0))-K1554,"")</f>
        <v>1.235728308</v>
      </c>
      <c r="AC1554" s="168" t="str">
        <f t="shared" si="7"/>
        <v>SAC,2016-17</v>
      </c>
    </row>
    <row r="1555">
      <c r="A1555" s="161" t="str">
        <f>IFERROR(__xludf.DUMMYFUNCTION("""COMPUTED_VALUE"""),"beaslmi01")</f>
        <v>beaslmi01</v>
      </c>
      <c r="B1555" s="161" t="str">
        <f>IFERROR(__xludf.DUMMYFUNCTION("""COMPUTED_VALUE"""),"Michael Beasley")</f>
        <v>Michael Beasley</v>
      </c>
      <c r="C1555" s="162" t="str">
        <f>IFERROR(__xludf.DUMMYFUNCTION("""COMPUTED_VALUE"""),"2016-17")</f>
        <v>2016-17</v>
      </c>
      <c r="D1555" s="163" t="str">
        <f>IFERROR(__xludf.DUMMYFUNCTION("""COMPUTED_VALUE"""),"MIL")</f>
        <v>MIL</v>
      </c>
      <c r="E1555" s="164" t="str">
        <f>IFERROR(__xludf.DUMMYFUNCTION("""COMPUTED_VALUE"""),"Athletic Finisher")</f>
        <v>Athletic Finisher</v>
      </c>
      <c r="F1555" s="164">
        <f>IFERROR(__xludf.DUMMYFUNCTION("""COMPUTED_VALUE"""),934.5)</f>
        <v>934.5</v>
      </c>
      <c r="G1555" s="163">
        <f>IFERROR(__xludf.DUMMYFUNCTION("""COMPUTED_VALUE"""),56.0)</f>
        <v>56</v>
      </c>
      <c r="H1555" s="163" t="str">
        <f>IFERROR(__xludf.DUMMYFUNCTION("""COMPUTED_VALUE"""),"PF")</f>
        <v>PF</v>
      </c>
      <c r="I1555" s="163">
        <f>IFERROR(__xludf.DUMMYFUNCTION("""COMPUTED_VALUE"""),28.0)</f>
        <v>28</v>
      </c>
      <c r="J1555" s="165">
        <f>IFERROR(__xludf.DUMMYFUNCTION("""COMPUTED_VALUE"""),-1.30180197547169)</f>
        <v>-1.301801975</v>
      </c>
      <c r="K1555" s="165">
        <f>IFERROR(__xludf.DUMMYFUNCTION("""COMPUTED_VALUE"""),-0.655595982982683)</f>
        <v>-0.655595983</v>
      </c>
      <c r="L1555" s="165">
        <f>IFERROR(__xludf.DUMMYFUNCTION("""COMPUTED_VALUE"""),-0.646205992489004)</f>
        <v>-0.6462059925</v>
      </c>
      <c r="M1555" s="166">
        <f t="shared" si="2"/>
        <v>0.6224381532</v>
      </c>
      <c r="N1555" s="167">
        <f t="shared" si="3"/>
        <v>16.6875</v>
      </c>
      <c r="O1555" s="163">
        <f t="shared" ref="O1555:Q1555" si="1559">rank(I1555,I:I)</f>
        <v>1090</v>
      </c>
      <c r="P1555" s="163">
        <f t="shared" si="1559"/>
        <v>2861</v>
      </c>
      <c r="Q1555" s="163">
        <f t="shared" si="1559"/>
        <v>2341</v>
      </c>
      <c r="R1555" s="163">
        <f>IFERROR(__xludf.DUMMYFUNCTION("RANK(M1555,filter(M:M,C:C=C1555))"),263.0)</f>
        <v>263</v>
      </c>
      <c r="S1555" s="161" t="b">
        <f t="shared" si="5"/>
        <v>0</v>
      </c>
      <c r="T1555" s="161" t="b">
        <f t="array" ref="T1555">index('Query Tool'!B:B,match(H1555,'Query Tool'!C:C,0))</f>
        <v>1</v>
      </c>
      <c r="U1555" s="161" t="b">
        <f t="array" ref="U1555">index('Query Tool'!B:B,match(C1555,'Query Tool'!C:C,0))</f>
        <v>0</v>
      </c>
      <c r="V1555" s="161" t="b">
        <f>F1555&gt;='Query Tool'!C$32</f>
        <v>1</v>
      </c>
      <c r="W1555" s="161" t="b">
        <f t="array" ref="W1555">index(Dropdowns!B:B,match(I1555,Dropdowns!A:A,0))</f>
        <v>1</v>
      </c>
      <c r="X1555" s="161" t="b">
        <f t="array" ref="X1555">index('Query Tool'!B:B,match(D1555,'Query Tool'!C:C,0))</f>
        <v>1</v>
      </c>
      <c r="Y1555" s="161" t="str">
        <f t="shared" si="6"/>
        <v>beaslmi01,2016-17</v>
      </c>
      <c r="Z1555" s="168">
        <f t="array" ref="Z1555">iferror(index(I:I,match($A1555&amp;","&amp;index('Year Conversion'!$A:$A,match($C1555,'Year Conversion'!$B:$B,0)),$Y:$Y,0))-I1555,"")</f>
        <v>1</v>
      </c>
      <c r="AA1555" s="168">
        <f t="array" ref="AA1555">iferror(index(J:J,match($A1555&amp;","&amp;index('Year Conversion'!$A:$A,match($C1555,'Year Conversion'!$B:$B,0)),$Y:$Y,0))-J1555,"")</f>
        <v>0.1732271202</v>
      </c>
      <c r="AB1555" s="168">
        <f t="array" ref="AB1555">iferror(index(K:K,match($A1555&amp;","&amp;index('Year Conversion'!$A:$A,match($C1555,'Year Conversion'!$B:$B,0)),$Y:$Y,0))-K1555,"")</f>
        <v>0.8328767683</v>
      </c>
      <c r="AC1555" s="168" t="str">
        <f t="shared" si="7"/>
        <v>MIL,2016-17</v>
      </c>
    </row>
    <row r="1556">
      <c r="A1556" s="161" t="str">
        <f>IFERROR(__xludf.DUMMYFUNCTION("""COMPUTED_VALUE"""),"rosede01")</f>
        <v>rosede01</v>
      </c>
      <c r="B1556" s="161" t="str">
        <f>IFERROR(__xludf.DUMMYFUNCTION("""COMPUTED_VALUE"""),"Derrick Rose")</f>
        <v>Derrick Rose</v>
      </c>
      <c r="C1556" s="162" t="str">
        <f>IFERROR(__xludf.DUMMYFUNCTION("""COMPUTED_VALUE"""),"2016-17")</f>
        <v>2016-17</v>
      </c>
      <c r="D1556" s="163" t="str">
        <f>IFERROR(__xludf.DUMMYFUNCTION("""COMPUTED_VALUE"""),"NYK")</f>
        <v>NYK</v>
      </c>
      <c r="E1556" s="164" t="str">
        <f>IFERROR(__xludf.DUMMYFUNCTION("""COMPUTED_VALUE"""),"Slasher")</f>
        <v>Slasher</v>
      </c>
      <c r="F1556" s="164">
        <f>IFERROR(__xludf.DUMMYFUNCTION("""COMPUTED_VALUE"""),2081.825)</f>
        <v>2081.825</v>
      </c>
      <c r="G1556" s="163">
        <f>IFERROR(__xludf.DUMMYFUNCTION("""COMPUTED_VALUE"""),64.0)</f>
        <v>64</v>
      </c>
      <c r="H1556" s="163" t="str">
        <f>IFERROR(__xludf.DUMMYFUNCTION("""COMPUTED_VALUE"""),"PG")</f>
        <v>PG</v>
      </c>
      <c r="I1556" s="163">
        <f>IFERROR(__xludf.DUMMYFUNCTION("""COMPUTED_VALUE"""),28.0)</f>
        <v>28</v>
      </c>
      <c r="J1556" s="165">
        <f>IFERROR(__xludf.DUMMYFUNCTION("""COMPUTED_VALUE"""),-0.490393224742437)</f>
        <v>-0.4903932247</v>
      </c>
      <c r="K1556" s="165">
        <f>IFERROR(__xludf.DUMMYFUNCTION("""COMPUTED_VALUE"""),1.07116229702202)</f>
        <v>1.071162297</v>
      </c>
      <c r="L1556" s="165">
        <f>IFERROR(__xludf.DUMMYFUNCTION("""COMPUTED_VALUE"""),-1.56155552176446)</f>
        <v>-1.561555522</v>
      </c>
      <c r="M1556" s="166">
        <f t="shared" si="2"/>
        <v>2.521420996</v>
      </c>
      <c r="N1556" s="167">
        <f t="shared" si="3"/>
        <v>32.52851563</v>
      </c>
      <c r="O1556" s="163">
        <f t="shared" ref="O1556:Q1556" si="1560">rank(I1556,I:I)</f>
        <v>1090</v>
      </c>
      <c r="P1556" s="163">
        <f t="shared" si="1560"/>
        <v>1841</v>
      </c>
      <c r="Q1556" s="163">
        <f t="shared" si="1560"/>
        <v>468</v>
      </c>
      <c r="R1556" s="163">
        <f>IFERROR(__xludf.DUMMYFUNCTION("RANK(M1556,filter(M:M,C:C=C1556))"),130.0)</f>
        <v>130</v>
      </c>
      <c r="S1556" s="161" t="b">
        <f t="shared" si="5"/>
        <v>0</v>
      </c>
      <c r="T1556" s="161" t="b">
        <f t="array" ref="T1556">index('Query Tool'!B:B,match(H1556,'Query Tool'!C:C,0))</f>
        <v>1</v>
      </c>
      <c r="U1556" s="161" t="b">
        <f t="array" ref="U1556">index('Query Tool'!B:B,match(C1556,'Query Tool'!C:C,0))</f>
        <v>0</v>
      </c>
      <c r="V1556" s="161" t="b">
        <f>F1556&gt;='Query Tool'!C$32</f>
        <v>1</v>
      </c>
      <c r="W1556" s="161" t="b">
        <f t="array" ref="W1556">index(Dropdowns!B:B,match(I1556,Dropdowns!A:A,0))</f>
        <v>1</v>
      </c>
      <c r="X1556" s="161" t="b">
        <f t="array" ref="X1556">index('Query Tool'!B:B,match(D1556,'Query Tool'!C:C,0))</f>
        <v>1</v>
      </c>
      <c r="Y1556" s="161" t="str">
        <f t="shared" si="6"/>
        <v>rosede01,2016-17</v>
      </c>
      <c r="Z1556" s="168">
        <f t="array" ref="Z1556">iferror(index(I:I,match($A1556&amp;","&amp;index('Year Conversion'!$A:$A,match($C1556,'Year Conversion'!$B:$B,0)),$Y:$Y,0))-I1556,"")</f>
        <v>1</v>
      </c>
      <c r="AA1556" s="168">
        <f t="array" ref="AA1556">iferror(index(J:J,match($A1556&amp;","&amp;index('Year Conversion'!$A:$A,match($C1556,'Year Conversion'!$B:$B,0)),$Y:$Y,0))-J1556,"")</f>
        <v>-2.090966242</v>
      </c>
      <c r="AB1556" s="168">
        <f t="array" ref="AB1556">iferror(index(K:K,match($A1556&amp;","&amp;index('Year Conversion'!$A:$A,match($C1556,'Year Conversion'!$B:$B,0)),$Y:$Y,0))-K1556,"")</f>
        <v>-2.065096338</v>
      </c>
      <c r="AC1556" s="168" t="str">
        <f t="shared" si="7"/>
        <v>NYK,2016-17</v>
      </c>
    </row>
    <row r="1557">
      <c r="A1557" s="161" t="str">
        <f>IFERROR(__xludf.DUMMYFUNCTION("""COMPUTED_VALUE"""),"westbru01")</f>
        <v>westbru01</v>
      </c>
      <c r="B1557" s="161" t="str">
        <f>IFERROR(__xludf.DUMMYFUNCTION("""COMPUTED_VALUE"""),"Russell Westbrook")</f>
        <v>Russell Westbrook</v>
      </c>
      <c r="C1557" s="162" t="str">
        <f>IFERROR(__xludf.DUMMYFUNCTION("""COMPUTED_VALUE"""),"2016-17")</f>
        <v>2016-17</v>
      </c>
      <c r="D1557" s="163" t="str">
        <f>IFERROR(__xludf.DUMMYFUNCTION("""COMPUTED_VALUE"""),"OKC")</f>
        <v>OKC</v>
      </c>
      <c r="E1557" s="164" t="str">
        <f>IFERROR(__xludf.DUMMYFUNCTION("""COMPUTED_VALUE"""),"Shot Creator")</f>
        <v>Shot Creator</v>
      </c>
      <c r="F1557" s="164">
        <f>IFERROR(__xludf.DUMMYFUNCTION("""COMPUTED_VALUE"""),2801.74833333333)</f>
        <v>2801.748333</v>
      </c>
      <c r="G1557" s="163">
        <f>IFERROR(__xludf.DUMMYFUNCTION("""COMPUTED_VALUE"""),81.0)</f>
        <v>81</v>
      </c>
      <c r="H1557" s="163" t="str">
        <f>IFERROR(__xludf.DUMMYFUNCTION("""COMPUTED_VALUE"""),"PG")</f>
        <v>PG</v>
      </c>
      <c r="I1557" s="163">
        <f>IFERROR(__xludf.DUMMYFUNCTION("""COMPUTED_VALUE"""),28.0)</f>
        <v>28</v>
      </c>
      <c r="J1557" s="165">
        <f>IFERROR(__xludf.DUMMYFUNCTION("""COMPUTED_VALUE"""),5.8651054851818)</f>
        <v>5.865105485</v>
      </c>
      <c r="K1557" s="165">
        <f>IFERROR(__xludf.DUMMYFUNCTION("""COMPUTED_VALUE"""),5.72672959133021)</f>
        <v>5.726729591</v>
      </c>
      <c r="L1557" s="165">
        <f>IFERROR(__xludf.DUMMYFUNCTION("""COMPUTED_VALUE"""),0.138375893851585)</f>
        <v>0.1383758939</v>
      </c>
      <c r="M1557" s="166">
        <f t="shared" si="2"/>
        <v>14.89722941</v>
      </c>
      <c r="N1557" s="167">
        <f t="shared" si="3"/>
        <v>34.5894856</v>
      </c>
      <c r="O1557" s="163">
        <f t="shared" ref="O1557:Q1557" si="1561">rank(I1557,I:I)</f>
        <v>1090</v>
      </c>
      <c r="P1557" s="163">
        <f t="shared" si="1561"/>
        <v>21</v>
      </c>
      <c r="Q1557" s="163">
        <f t="shared" si="1561"/>
        <v>15</v>
      </c>
      <c r="R1557" s="163">
        <f>IFERROR(__xludf.DUMMYFUNCTION("RANK(M1557,filter(M:M,C:C=C1557))"),3.0)</f>
        <v>3</v>
      </c>
      <c r="S1557" s="161" t="b">
        <f t="shared" si="5"/>
        <v>0</v>
      </c>
      <c r="T1557" s="161" t="b">
        <f t="array" ref="T1557">index('Query Tool'!B:B,match(H1557,'Query Tool'!C:C,0))</f>
        <v>1</v>
      </c>
      <c r="U1557" s="161" t="b">
        <f t="array" ref="U1557">index('Query Tool'!B:B,match(C1557,'Query Tool'!C:C,0))</f>
        <v>0</v>
      </c>
      <c r="V1557" s="161" t="b">
        <f>F1557&gt;='Query Tool'!C$32</f>
        <v>1</v>
      </c>
      <c r="W1557" s="161" t="b">
        <f t="array" ref="W1557">index(Dropdowns!B:B,match(I1557,Dropdowns!A:A,0))</f>
        <v>1</v>
      </c>
      <c r="X1557" s="161" t="b">
        <f t="array" ref="X1557">index('Query Tool'!B:B,match(D1557,'Query Tool'!C:C,0))</f>
        <v>1</v>
      </c>
      <c r="Y1557" s="161" t="str">
        <f t="shared" si="6"/>
        <v>westbru01,2016-17</v>
      </c>
      <c r="Z1557" s="168">
        <f t="array" ref="Z1557">iferror(index(I:I,match($A1557&amp;","&amp;index('Year Conversion'!$A:$A,match($C1557,'Year Conversion'!$B:$B,0)),$Y:$Y,0))-I1557,"")</f>
        <v>1</v>
      </c>
      <c r="AA1557" s="168">
        <f t="array" ref="AA1557">iferror(index(J:J,match($A1557&amp;","&amp;index('Year Conversion'!$A:$A,match($C1557,'Year Conversion'!$B:$B,0)),$Y:$Y,0))-J1557,"")</f>
        <v>-1.455171503</v>
      </c>
      <c r="AB1557" s="168">
        <f t="array" ref="AB1557">iferror(index(K:K,match($A1557&amp;","&amp;index('Year Conversion'!$A:$A,match($C1557,'Year Conversion'!$B:$B,0)),$Y:$Y,0))-K1557,"")</f>
        <v>-1.922217041</v>
      </c>
      <c r="AC1557" s="168" t="str">
        <f t="shared" si="7"/>
        <v>OKC,2016-17</v>
      </c>
    </row>
    <row r="1558">
      <c r="A1558" s="161" t="str">
        <f>IFERROR(__xludf.DUMMYFUNCTION("""COMPUTED_VALUE"""),"loveke01")</f>
        <v>loveke01</v>
      </c>
      <c r="B1558" s="161" t="str">
        <f>IFERROR(__xludf.DUMMYFUNCTION("""COMPUTED_VALUE"""),"Kevin Love")</f>
        <v>Kevin Love</v>
      </c>
      <c r="C1558" s="162" t="str">
        <f>IFERROR(__xludf.DUMMYFUNCTION("""COMPUTED_VALUE"""),"2016-17")</f>
        <v>2016-17</v>
      </c>
      <c r="D1558" s="163" t="str">
        <f>IFERROR(__xludf.DUMMYFUNCTION("""COMPUTED_VALUE"""),"CLE")</f>
        <v>CLE</v>
      </c>
      <c r="E1558" s="164" t="str">
        <f>IFERROR(__xludf.DUMMYFUNCTION("""COMPUTED_VALUE"""),"Versatile Big")</f>
        <v>Versatile Big</v>
      </c>
      <c r="F1558" s="164">
        <f>IFERROR(__xludf.DUMMYFUNCTION("""COMPUTED_VALUE"""),1884.645)</f>
        <v>1884.645</v>
      </c>
      <c r="G1558" s="163">
        <f>IFERROR(__xludf.DUMMYFUNCTION("""COMPUTED_VALUE"""),60.0)</f>
        <v>60</v>
      </c>
      <c r="H1558" s="163" t="str">
        <f>IFERROR(__xludf.DUMMYFUNCTION("""COMPUTED_VALUE"""),"PF")</f>
        <v>PF</v>
      </c>
      <c r="I1558" s="163">
        <f>IFERROR(__xludf.DUMMYFUNCTION("""COMPUTED_VALUE"""),28.0)</f>
        <v>28</v>
      </c>
      <c r="J1558" s="165">
        <f>IFERROR(__xludf.DUMMYFUNCTION("""COMPUTED_VALUE"""),3.27224241751549)</f>
        <v>3.272242418</v>
      </c>
      <c r="K1558" s="165">
        <f>IFERROR(__xludf.DUMMYFUNCTION("""COMPUTED_VALUE"""),2.8573758678001)</f>
        <v>2.857375868</v>
      </c>
      <c r="L1558" s="165">
        <f>IFERROR(__xludf.DUMMYFUNCTION("""COMPUTED_VALUE"""),0.414866549715397)</f>
        <v>0.4148665497</v>
      </c>
      <c r="M1558" s="166">
        <f t="shared" si="2"/>
        <v>7.002469702</v>
      </c>
      <c r="N1558" s="167">
        <f t="shared" si="3"/>
        <v>31.41075</v>
      </c>
      <c r="O1558" s="163">
        <f t="shared" ref="O1558:Q1558" si="1562">rank(I1558,I:I)</f>
        <v>1090</v>
      </c>
      <c r="P1558" s="163">
        <f t="shared" si="1562"/>
        <v>149</v>
      </c>
      <c r="Q1558" s="163">
        <f t="shared" si="1562"/>
        <v>131</v>
      </c>
      <c r="R1558" s="163">
        <f>IFERROR(__xludf.DUMMYFUNCTION("RANK(M1558,filter(M:M,C:C=C1558))"),33.0)</f>
        <v>33</v>
      </c>
      <c r="S1558" s="161" t="b">
        <f t="shared" si="5"/>
        <v>0</v>
      </c>
      <c r="T1558" s="161" t="b">
        <f t="array" ref="T1558">index('Query Tool'!B:B,match(H1558,'Query Tool'!C:C,0))</f>
        <v>1</v>
      </c>
      <c r="U1558" s="161" t="b">
        <f t="array" ref="U1558">index('Query Tool'!B:B,match(C1558,'Query Tool'!C:C,0))</f>
        <v>0</v>
      </c>
      <c r="V1558" s="161" t="b">
        <f>F1558&gt;='Query Tool'!C$32</f>
        <v>1</v>
      </c>
      <c r="W1558" s="161" t="b">
        <f t="array" ref="W1558">index(Dropdowns!B:B,match(I1558,Dropdowns!A:A,0))</f>
        <v>1</v>
      </c>
      <c r="X1558" s="161" t="b">
        <f t="array" ref="X1558">index('Query Tool'!B:B,match(D1558,'Query Tool'!C:C,0))</f>
        <v>1</v>
      </c>
      <c r="Y1558" s="161" t="str">
        <f t="shared" si="6"/>
        <v>loveke01,2016-17</v>
      </c>
      <c r="Z1558" s="168">
        <f t="array" ref="Z1558">iferror(index(I:I,match($A1558&amp;","&amp;index('Year Conversion'!$A:$A,match($C1558,'Year Conversion'!$B:$B,0)),$Y:$Y,0))-I1558,"")</f>
        <v>1</v>
      </c>
      <c r="AA1558" s="168">
        <f t="array" ref="AA1558">iferror(index(J:J,match($A1558&amp;","&amp;index('Year Conversion'!$A:$A,match($C1558,'Year Conversion'!$B:$B,0)),$Y:$Y,0))-J1558,"")</f>
        <v>-0.6506915213</v>
      </c>
      <c r="AB1558" s="168">
        <f t="array" ref="AB1558">iferror(index(K:K,match($A1558&amp;","&amp;index('Year Conversion'!$A:$A,match($C1558,'Year Conversion'!$B:$B,0)),$Y:$Y,0))-K1558,"")</f>
        <v>-0.5999311326</v>
      </c>
      <c r="AC1558" s="168" t="str">
        <f t="shared" si="7"/>
        <v>CLE,2016-17</v>
      </c>
    </row>
    <row r="1559">
      <c r="A1559" s="161" t="str">
        <f>IFERROR(__xludf.DUMMYFUNCTION("""COMPUTED_VALUE"""),"gallida01")</f>
        <v>gallida01</v>
      </c>
      <c r="B1559" s="161" t="str">
        <f>IFERROR(__xludf.DUMMYFUNCTION("""COMPUTED_VALUE"""),"Danilo Gallinari")</f>
        <v>Danilo Gallinari</v>
      </c>
      <c r="C1559" s="162" t="str">
        <f>IFERROR(__xludf.DUMMYFUNCTION("""COMPUTED_VALUE"""),"2016-17")</f>
        <v>2016-17</v>
      </c>
      <c r="D1559" s="163" t="str">
        <f>IFERROR(__xludf.DUMMYFUNCTION("""COMPUTED_VALUE"""),"DEN")</f>
        <v>DEN</v>
      </c>
      <c r="E1559" s="164" t="str">
        <f>IFERROR(__xludf.DUMMYFUNCTION("""COMPUTED_VALUE"""),"Shot Creator")</f>
        <v>Shot Creator</v>
      </c>
      <c r="F1559" s="164">
        <f>IFERROR(__xludf.DUMMYFUNCTION("""COMPUTED_VALUE"""),2134.00666666667)</f>
        <v>2134.006667</v>
      </c>
      <c r="G1559" s="163">
        <f>IFERROR(__xludf.DUMMYFUNCTION("""COMPUTED_VALUE"""),63.0)</f>
        <v>63</v>
      </c>
      <c r="H1559" s="163" t="str">
        <f>IFERROR(__xludf.DUMMYFUNCTION("""COMPUTED_VALUE"""),"SF")</f>
        <v>SF</v>
      </c>
      <c r="I1559" s="163">
        <f>IFERROR(__xludf.DUMMYFUNCTION("""COMPUTED_VALUE"""),28.0)</f>
        <v>28</v>
      </c>
      <c r="J1559" s="165">
        <f>IFERROR(__xludf.DUMMYFUNCTION("""COMPUTED_VALUE"""),2.09805571913076)</f>
        <v>2.098055719</v>
      </c>
      <c r="K1559" s="165">
        <f>IFERROR(__xludf.DUMMYFUNCTION("""COMPUTED_VALUE"""),2.28187236583267)</f>
        <v>2.281872366</v>
      </c>
      <c r="L1559" s="165">
        <f>IFERROR(__xludf.DUMMYFUNCTION("""COMPUTED_VALUE"""),-0.183816646701908)</f>
        <v>-0.1838166467</v>
      </c>
      <c r="M1559" s="166">
        <f t="shared" si="2"/>
        <v>6.290129346</v>
      </c>
      <c r="N1559" s="167">
        <f t="shared" si="3"/>
        <v>33.87312169</v>
      </c>
      <c r="O1559" s="163">
        <f t="shared" ref="O1559:Q1559" si="1563">rank(I1559,I:I)</f>
        <v>1090</v>
      </c>
      <c r="P1559" s="163">
        <f t="shared" si="1563"/>
        <v>293</v>
      </c>
      <c r="Q1559" s="163">
        <f t="shared" si="1563"/>
        <v>181</v>
      </c>
      <c r="R1559" s="163">
        <f>IFERROR(__xludf.DUMMYFUNCTION("RANK(M1559,filter(M:M,C:C=C1559))"),42.0)</f>
        <v>42</v>
      </c>
      <c r="S1559" s="161" t="b">
        <f t="shared" si="5"/>
        <v>0</v>
      </c>
      <c r="T1559" s="161" t="b">
        <f t="array" ref="T1559">index('Query Tool'!B:B,match(H1559,'Query Tool'!C:C,0))</f>
        <v>1</v>
      </c>
      <c r="U1559" s="161" t="b">
        <f t="array" ref="U1559">index('Query Tool'!B:B,match(C1559,'Query Tool'!C:C,0))</f>
        <v>0</v>
      </c>
      <c r="V1559" s="161" t="b">
        <f>F1559&gt;='Query Tool'!C$32</f>
        <v>1</v>
      </c>
      <c r="W1559" s="161" t="b">
        <f t="array" ref="W1559">index(Dropdowns!B:B,match(I1559,Dropdowns!A:A,0))</f>
        <v>1</v>
      </c>
      <c r="X1559" s="161" t="b">
        <f t="array" ref="X1559">index('Query Tool'!B:B,match(D1559,'Query Tool'!C:C,0))</f>
        <v>1</v>
      </c>
      <c r="Y1559" s="161" t="str">
        <f t="shared" si="6"/>
        <v>gallida01,2016-17</v>
      </c>
      <c r="Z1559" s="168">
        <f t="array" ref="Z1559">iferror(index(I:I,match($A1559&amp;","&amp;index('Year Conversion'!$A:$A,match($C1559,'Year Conversion'!$B:$B,0)),$Y:$Y,0))-I1559,"")</f>
        <v>1</v>
      </c>
      <c r="AA1559" s="168">
        <f t="array" ref="AA1559">iferror(index(J:J,match($A1559&amp;","&amp;index('Year Conversion'!$A:$A,match($C1559,'Year Conversion'!$B:$B,0)),$Y:$Y,0))-J1559,"")</f>
        <v>-0.9898958457</v>
      </c>
      <c r="AB1559" s="168">
        <f t="array" ref="AB1559">iferror(index(K:K,match($A1559&amp;","&amp;index('Year Conversion'!$A:$A,match($C1559,'Year Conversion'!$B:$B,0)),$Y:$Y,0))-K1559,"")</f>
        <v>-1.678585139</v>
      </c>
      <c r="AC1559" s="168" t="str">
        <f t="shared" si="7"/>
        <v>DEN,2016-17</v>
      </c>
    </row>
    <row r="1560">
      <c r="A1560" s="161" t="str">
        <f>IFERROR(__xludf.DUMMYFUNCTION("""COMPUTED_VALUE"""),"gordoer01")</f>
        <v>gordoer01</v>
      </c>
      <c r="B1560" s="161" t="str">
        <f>IFERROR(__xludf.DUMMYFUNCTION("""COMPUTED_VALUE"""),"Eric Gordon")</f>
        <v>Eric Gordon</v>
      </c>
      <c r="C1560" s="162" t="str">
        <f>IFERROR(__xludf.DUMMYFUNCTION("""COMPUTED_VALUE"""),"2016-17")</f>
        <v>2016-17</v>
      </c>
      <c r="D1560" s="163" t="str">
        <f>IFERROR(__xludf.DUMMYFUNCTION("""COMPUTED_VALUE"""),"HOU")</f>
        <v>HOU</v>
      </c>
      <c r="E1560" s="164" t="str">
        <f>IFERROR(__xludf.DUMMYFUNCTION("""COMPUTED_VALUE"""),"Secondary Ball Handler")</f>
        <v>Secondary Ball Handler</v>
      </c>
      <c r="F1560" s="164">
        <f>IFERROR(__xludf.DUMMYFUNCTION("""COMPUTED_VALUE"""),2323.465)</f>
        <v>2323.465</v>
      </c>
      <c r="G1560" s="163">
        <f>IFERROR(__xludf.DUMMYFUNCTION("""COMPUTED_VALUE"""),75.0)</f>
        <v>75</v>
      </c>
      <c r="H1560" s="163" t="str">
        <f>IFERROR(__xludf.DUMMYFUNCTION("""COMPUTED_VALUE"""),"SG")</f>
        <v>SG</v>
      </c>
      <c r="I1560" s="163">
        <f>IFERROR(__xludf.DUMMYFUNCTION("""COMPUTED_VALUE"""),28.0)</f>
        <v>28</v>
      </c>
      <c r="J1560" s="165">
        <f>IFERROR(__xludf.DUMMYFUNCTION("""COMPUTED_VALUE"""),0.178176714686027)</f>
        <v>0.1781767147</v>
      </c>
      <c r="K1560" s="165">
        <f>IFERROR(__xludf.DUMMYFUNCTION("""COMPUTED_VALUE"""),1.6215285517275)</f>
        <v>1.621528552</v>
      </c>
      <c r="L1560" s="165">
        <f>IFERROR(__xludf.DUMMYFUNCTION("""COMPUTED_VALUE"""),-1.44335183704147)</f>
        <v>-1.443351837</v>
      </c>
      <c r="M1560" s="166">
        <f t="shared" si="2"/>
        <v>3.861102295</v>
      </c>
      <c r="N1560" s="167">
        <f t="shared" si="3"/>
        <v>30.97953333</v>
      </c>
      <c r="O1560" s="163">
        <f t="shared" ref="O1560:Q1560" si="1564">rank(I1560,I:I)</f>
        <v>1090</v>
      </c>
      <c r="P1560" s="163">
        <f t="shared" si="1564"/>
        <v>1108</v>
      </c>
      <c r="Q1560" s="163">
        <f t="shared" si="1564"/>
        <v>288</v>
      </c>
      <c r="R1560" s="163">
        <f>IFERROR(__xludf.DUMMYFUNCTION("RANK(M1560,filter(M:M,C:C=C1560))"),87.0)</f>
        <v>87</v>
      </c>
      <c r="S1560" s="161" t="b">
        <f t="shared" si="5"/>
        <v>0</v>
      </c>
      <c r="T1560" s="161" t="b">
        <f t="array" ref="T1560">index('Query Tool'!B:B,match(H1560,'Query Tool'!C:C,0))</f>
        <v>1</v>
      </c>
      <c r="U1560" s="161" t="b">
        <f t="array" ref="U1560">index('Query Tool'!B:B,match(C1560,'Query Tool'!C:C,0))</f>
        <v>0</v>
      </c>
      <c r="V1560" s="161" t="b">
        <f>F1560&gt;='Query Tool'!C$32</f>
        <v>1</v>
      </c>
      <c r="W1560" s="161" t="b">
        <f t="array" ref="W1560">index(Dropdowns!B:B,match(I1560,Dropdowns!A:A,0))</f>
        <v>1</v>
      </c>
      <c r="X1560" s="161" t="b">
        <f t="array" ref="X1560">index('Query Tool'!B:B,match(D1560,'Query Tool'!C:C,0))</f>
        <v>1</v>
      </c>
      <c r="Y1560" s="161" t="str">
        <f t="shared" si="6"/>
        <v>gordoer01,2016-17</v>
      </c>
      <c r="Z1560" s="168">
        <f t="array" ref="Z1560">iferror(index(I:I,match($A1560&amp;","&amp;index('Year Conversion'!$A:$A,match($C1560,'Year Conversion'!$B:$B,0)),$Y:$Y,0))-I1560,"")</f>
        <v>1</v>
      </c>
      <c r="AA1560" s="168">
        <f t="array" ref="AA1560">iferror(index(J:J,match($A1560&amp;","&amp;index('Year Conversion'!$A:$A,match($C1560,'Year Conversion'!$B:$B,0)),$Y:$Y,0))-J1560,"")</f>
        <v>0.672494686</v>
      </c>
      <c r="AB1560" s="168">
        <f t="array" ref="AB1560">iferror(index(K:K,match($A1560&amp;","&amp;index('Year Conversion'!$A:$A,match($C1560,'Year Conversion'!$B:$B,0)),$Y:$Y,0))-K1560,"")</f>
        <v>0.8070391874</v>
      </c>
      <c r="AC1560" s="168" t="str">
        <f t="shared" si="7"/>
        <v>HOU,2016-17</v>
      </c>
    </row>
    <row r="1561">
      <c r="A1561" s="161" t="str">
        <f>IFERROR(__xludf.DUMMYFUNCTION("""COMPUTED_VALUE"""),"augusdj01")</f>
        <v>augusdj01</v>
      </c>
      <c r="B1561" s="161" t="str">
        <f>IFERROR(__xludf.DUMMYFUNCTION("""COMPUTED_VALUE"""),"D.J. Augustin")</f>
        <v>D.J. Augustin</v>
      </c>
      <c r="C1561" s="162" t="str">
        <f>IFERROR(__xludf.DUMMYFUNCTION("""COMPUTED_VALUE"""),"2016-17")</f>
        <v>2016-17</v>
      </c>
      <c r="D1561" s="163" t="str">
        <f>IFERROR(__xludf.DUMMYFUNCTION("""COMPUTED_VALUE"""),"ORL")</f>
        <v>ORL</v>
      </c>
      <c r="E1561" s="164" t="str">
        <f>IFERROR(__xludf.DUMMYFUNCTION("""COMPUTED_VALUE"""),"Primary Ball Handler")</f>
        <v>Primary Ball Handler</v>
      </c>
      <c r="F1561" s="164">
        <f>IFERROR(__xludf.DUMMYFUNCTION("""COMPUTED_VALUE"""),1538.255)</f>
        <v>1538.255</v>
      </c>
      <c r="G1561" s="163">
        <f>IFERROR(__xludf.DUMMYFUNCTION("""COMPUTED_VALUE"""),78.0)</f>
        <v>78</v>
      </c>
      <c r="H1561" s="163" t="str">
        <f>IFERROR(__xludf.DUMMYFUNCTION("""COMPUTED_VALUE"""),"PG")</f>
        <v>PG</v>
      </c>
      <c r="I1561" s="163">
        <f>IFERROR(__xludf.DUMMYFUNCTION("""COMPUTED_VALUE"""),29.0)</f>
        <v>29</v>
      </c>
      <c r="J1561" s="165">
        <f>IFERROR(__xludf.DUMMYFUNCTION("""COMPUTED_VALUE"""),-3.18703235995056)</f>
        <v>-3.18703236</v>
      </c>
      <c r="K1561" s="165">
        <f>IFERROR(__xludf.DUMMYFUNCTION("""COMPUTED_VALUE"""),-1.27045927867802)</f>
        <v>-1.270459279</v>
      </c>
      <c r="L1561" s="165">
        <f>IFERROR(__xludf.DUMMYFUNCTION("""COMPUTED_VALUE"""),-1.91657308127254)</f>
        <v>-1.916573081</v>
      </c>
      <c r="M1561" s="166">
        <f t="shared" si="2"/>
        <v>-0.8878555622</v>
      </c>
      <c r="N1561" s="167">
        <f t="shared" si="3"/>
        <v>19.72121795</v>
      </c>
      <c r="O1561" s="163">
        <f t="shared" ref="O1561:Q1561" si="1565">rank(I1561,I:I)</f>
        <v>855</v>
      </c>
      <c r="P1561" s="163">
        <f t="shared" si="1565"/>
        <v>3925</v>
      </c>
      <c r="Q1561" s="163">
        <f t="shared" si="1565"/>
        <v>3108</v>
      </c>
      <c r="R1561" s="163">
        <f>IFERROR(__xludf.DUMMYFUNCTION("RANK(M1561,filter(M:M,C:C=C1561))"),481.0)</f>
        <v>481</v>
      </c>
      <c r="S1561" s="161" t="b">
        <f t="shared" si="5"/>
        <v>0</v>
      </c>
      <c r="T1561" s="161" t="b">
        <f t="array" ref="T1561">index('Query Tool'!B:B,match(H1561,'Query Tool'!C:C,0))</f>
        <v>1</v>
      </c>
      <c r="U1561" s="161" t="b">
        <f t="array" ref="U1561">index('Query Tool'!B:B,match(C1561,'Query Tool'!C:C,0))</f>
        <v>0</v>
      </c>
      <c r="V1561" s="161" t="b">
        <f>F1561&gt;='Query Tool'!C$32</f>
        <v>1</v>
      </c>
      <c r="W1561" s="161" t="b">
        <f t="array" ref="W1561">index(Dropdowns!B:B,match(I1561,Dropdowns!A:A,0))</f>
        <v>1</v>
      </c>
      <c r="X1561" s="161" t="b">
        <f t="array" ref="X1561">index('Query Tool'!B:B,match(D1561,'Query Tool'!C:C,0))</f>
        <v>1</v>
      </c>
      <c r="Y1561" s="161" t="str">
        <f t="shared" si="6"/>
        <v>augusdj01,2016-17</v>
      </c>
      <c r="Z1561" s="168">
        <f t="array" ref="Z1561">iferror(index(I:I,match($A1561&amp;","&amp;index('Year Conversion'!$A:$A,match($C1561,'Year Conversion'!$B:$B,0)),$Y:$Y,0))-I1561,"")</f>
        <v>1</v>
      </c>
      <c r="AA1561" s="168">
        <f t="array" ref="AA1561">iferror(index(J:J,match($A1561&amp;","&amp;index('Year Conversion'!$A:$A,match($C1561,'Year Conversion'!$B:$B,0)),$Y:$Y,0))-J1561,"")</f>
        <v>2.37940802</v>
      </c>
      <c r="AB1561" s="168">
        <f t="array" ref="AB1561">iferror(index(K:K,match($A1561&amp;","&amp;index('Year Conversion'!$A:$A,match($C1561,'Year Conversion'!$B:$B,0)),$Y:$Y,0))-K1561,"")</f>
        <v>1.766925417</v>
      </c>
      <c r="AC1561" s="168" t="str">
        <f t="shared" si="7"/>
        <v>ORL,2016-17</v>
      </c>
    </row>
    <row r="1562">
      <c r="A1562" s="161" t="str">
        <f>IFERROR(__xludf.DUMMYFUNCTION("""COMPUTED_VALUE"""),"lopezbr01")</f>
        <v>lopezbr01</v>
      </c>
      <c r="B1562" s="161" t="str">
        <f>IFERROR(__xludf.DUMMYFUNCTION("""COMPUTED_VALUE"""),"Brook Lopez")</f>
        <v>Brook Lopez</v>
      </c>
      <c r="C1562" s="162" t="str">
        <f>IFERROR(__xludf.DUMMYFUNCTION("""COMPUTED_VALUE"""),"2016-17")</f>
        <v>2016-17</v>
      </c>
      <c r="D1562" s="163" t="str">
        <f>IFERROR(__xludf.DUMMYFUNCTION("""COMPUTED_VALUE"""),"BRK")</f>
        <v>BRK</v>
      </c>
      <c r="E1562" s="164" t="str">
        <f>IFERROR(__xludf.DUMMYFUNCTION("""COMPUTED_VALUE"""),"Versatile Big")</f>
        <v>Versatile Big</v>
      </c>
      <c r="F1562" s="164">
        <f>IFERROR(__xludf.DUMMYFUNCTION("""COMPUTED_VALUE"""),2222.03166666667)</f>
        <v>2222.031667</v>
      </c>
      <c r="G1562" s="163">
        <f>IFERROR(__xludf.DUMMYFUNCTION("""COMPUTED_VALUE"""),75.0)</f>
        <v>75</v>
      </c>
      <c r="H1562" s="163" t="str">
        <f>IFERROR(__xludf.DUMMYFUNCTION("""COMPUTED_VALUE"""),"C")</f>
        <v>C</v>
      </c>
      <c r="I1562" s="163">
        <f>IFERROR(__xludf.DUMMYFUNCTION("""COMPUTED_VALUE"""),28.0)</f>
        <v>28</v>
      </c>
      <c r="J1562" s="165">
        <f>IFERROR(__xludf.DUMMYFUNCTION("""COMPUTED_VALUE"""),0.197191889424402)</f>
        <v>0.1971918894</v>
      </c>
      <c r="K1562" s="165">
        <f>IFERROR(__xludf.DUMMYFUNCTION("""COMPUTED_VALUE"""),0.766812160399077)</f>
        <v>0.7668121604</v>
      </c>
      <c r="L1562" s="165">
        <f>IFERROR(__xludf.DUMMYFUNCTION("""COMPUTED_VALUE"""),-0.569620270974675)</f>
        <v>-0.569620271</v>
      </c>
      <c r="M1562" s="166">
        <f t="shared" si="2"/>
        <v>3.721023671</v>
      </c>
      <c r="N1562" s="167">
        <f t="shared" si="3"/>
        <v>29.62708889</v>
      </c>
      <c r="O1562" s="163">
        <f t="shared" ref="O1562:Q1562" si="1566">rank(I1562,I:I)</f>
        <v>1090</v>
      </c>
      <c r="P1562" s="163">
        <f t="shared" si="1566"/>
        <v>1091</v>
      </c>
      <c r="Q1562" s="163">
        <f t="shared" si="1566"/>
        <v>612</v>
      </c>
      <c r="R1562" s="163">
        <f>IFERROR(__xludf.DUMMYFUNCTION("RANK(M1562,filter(M:M,C:C=C1562))"),91.0)</f>
        <v>91</v>
      </c>
      <c r="S1562" s="161" t="b">
        <f t="shared" si="5"/>
        <v>0</v>
      </c>
      <c r="T1562" s="161" t="b">
        <f t="array" ref="T1562">index('Query Tool'!B:B,match(H1562,'Query Tool'!C:C,0))</f>
        <v>1</v>
      </c>
      <c r="U1562" s="161" t="b">
        <f t="array" ref="U1562">index('Query Tool'!B:B,match(C1562,'Query Tool'!C:C,0))</f>
        <v>0</v>
      </c>
      <c r="V1562" s="161" t="b">
        <f>F1562&gt;='Query Tool'!C$32</f>
        <v>1</v>
      </c>
      <c r="W1562" s="161" t="b">
        <f t="array" ref="W1562">index(Dropdowns!B:B,match(I1562,Dropdowns!A:A,0))</f>
        <v>1</v>
      </c>
      <c r="X1562" s="161" t="b">
        <f t="array" ref="X1562">index('Query Tool'!B:B,match(D1562,'Query Tool'!C:C,0))</f>
        <v>1</v>
      </c>
      <c r="Y1562" s="161" t="str">
        <f t="shared" si="6"/>
        <v>lopezbr01,2016-17</v>
      </c>
      <c r="Z1562" s="168">
        <f t="array" ref="Z1562">iferror(index(I:I,match($A1562&amp;","&amp;index('Year Conversion'!$A:$A,match($C1562,'Year Conversion'!$B:$B,0)),$Y:$Y,0))-I1562,"")</f>
        <v>1</v>
      </c>
      <c r="AA1562" s="168">
        <f t="array" ref="AA1562">iferror(index(J:J,match($A1562&amp;","&amp;index('Year Conversion'!$A:$A,match($C1562,'Year Conversion'!$B:$B,0)),$Y:$Y,0))-J1562,"")</f>
        <v>0.1706907209</v>
      </c>
      <c r="AB1562" s="168">
        <f t="array" ref="AB1562">iferror(index(K:K,match($A1562&amp;","&amp;index('Year Conversion'!$A:$A,match($C1562,'Year Conversion'!$B:$B,0)),$Y:$Y,0))-K1562,"")</f>
        <v>-0.7105332126</v>
      </c>
      <c r="AC1562" s="168" t="str">
        <f t="shared" si="7"/>
        <v>BRK,2016-17</v>
      </c>
    </row>
    <row r="1563">
      <c r="A1563" s="161" t="str">
        <f>IFERROR(__xludf.DUMMYFUNCTION("""COMPUTED_VALUE"""),"bayleje01")</f>
        <v>bayleje01</v>
      </c>
      <c r="B1563" s="161" t="str">
        <f>IFERROR(__xludf.DUMMYFUNCTION("""COMPUTED_VALUE"""),"Jerryd Bayless")</f>
        <v>Jerryd Bayless</v>
      </c>
      <c r="C1563" s="162" t="str">
        <f>IFERROR(__xludf.DUMMYFUNCTION("""COMPUTED_VALUE"""),"2016-17")</f>
        <v>2016-17</v>
      </c>
      <c r="D1563" s="163" t="str">
        <f>IFERROR(__xludf.DUMMYFUNCTION("""COMPUTED_VALUE"""),"PHI")</f>
        <v>PHI</v>
      </c>
      <c r="E1563" s="164" t="str">
        <f>IFERROR(__xludf.DUMMYFUNCTION("""COMPUTED_VALUE"""),"Slasher")</f>
        <v>Slasher</v>
      </c>
      <c r="F1563" s="164">
        <f>IFERROR(__xludf.DUMMYFUNCTION("""COMPUTED_VALUE"""),71.49)</f>
        <v>71.49</v>
      </c>
      <c r="G1563" s="163">
        <f>IFERROR(__xludf.DUMMYFUNCTION("""COMPUTED_VALUE"""),3.0)</f>
        <v>3</v>
      </c>
      <c r="H1563" s="163" t="str">
        <f>IFERROR(__xludf.DUMMYFUNCTION("""COMPUTED_VALUE"""),"PG")</f>
        <v>PG</v>
      </c>
      <c r="I1563" s="163">
        <f>IFERROR(__xludf.DUMMYFUNCTION("""COMPUTED_VALUE"""),28.0)</f>
        <v>28</v>
      </c>
      <c r="J1563" s="165">
        <f>IFERROR(__xludf.DUMMYFUNCTION("""COMPUTED_VALUE"""),-0.659876055588644)</f>
        <v>-0.6598760556</v>
      </c>
      <c r="K1563" s="165">
        <f>IFERROR(__xludf.DUMMYFUNCTION("""COMPUTED_VALUE"""),-0.2780810753687)</f>
        <v>-0.2780810754</v>
      </c>
      <c r="L1563" s="165">
        <f>IFERROR(__xludf.DUMMYFUNCTION("""COMPUTED_VALUE"""),-0.381794980219944)</f>
        <v>-0.3817949802</v>
      </c>
      <c r="M1563" s="166">
        <f t="shared" si="2"/>
        <v>0.07842838077</v>
      </c>
      <c r="N1563" s="167">
        <f t="shared" si="3"/>
        <v>23.83</v>
      </c>
      <c r="O1563" s="163">
        <f t="shared" ref="O1563:Q1563" si="1567">rank(I1563,I:I)</f>
        <v>1090</v>
      </c>
      <c r="P1563" s="163">
        <f t="shared" si="1567"/>
        <v>2078</v>
      </c>
      <c r="Q1563" s="163">
        <f t="shared" si="1567"/>
        <v>1721</v>
      </c>
      <c r="R1563" s="163">
        <f>IFERROR(__xludf.DUMMYFUNCTION("RANK(M1563,filter(M:M,C:C=C1563))"),385.0)</f>
        <v>385</v>
      </c>
      <c r="S1563" s="161" t="b">
        <f t="shared" si="5"/>
        <v>0</v>
      </c>
      <c r="T1563" s="161" t="b">
        <f t="array" ref="T1563">index('Query Tool'!B:B,match(H1563,'Query Tool'!C:C,0))</f>
        <v>1</v>
      </c>
      <c r="U1563" s="161" t="b">
        <f t="array" ref="U1563">index('Query Tool'!B:B,match(C1563,'Query Tool'!C:C,0))</f>
        <v>0</v>
      </c>
      <c r="V1563" s="161" t="b">
        <f>F1563&gt;='Query Tool'!C$32</f>
        <v>0</v>
      </c>
      <c r="W1563" s="161" t="b">
        <f t="array" ref="W1563">index(Dropdowns!B:B,match(I1563,Dropdowns!A:A,0))</f>
        <v>1</v>
      </c>
      <c r="X1563" s="161" t="b">
        <f t="array" ref="X1563">index('Query Tool'!B:B,match(D1563,'Query Tool'!C:C,0))</f>
        <v>1</v>
      </c>
      <c r="Y1563" s="161" t="str">
        <f t="shared" si="6"/>
        <v>bayleje01,2016-17</v>
      </c>
      <c r="Z1563" s="168">
        <f t="array" ref="Z1563">iferror(index(I:I,match($A1563&amp;","&amp;index('Year Conversion'!$A:$A,match($C1563,'Year Conversion'!$B:$B,0)),$Y:$Y,0))-I1563,"")</f>
        <v>1</v>
      </c>
      <c r="AA1563" s="168">
        <f t="array" ref="AA1563">iferror(index(J:J,match($A1563&amp;","&amp;index('Year Conversion'!$A:$A,match($C1563,'Year Conversion'!$B:$B,0)),$Y:$Y,0))-J1563,"")</f>
        <v>-3.623379759</v>
      </c>
      <c r="AB1563" s="168">
        <f t="array" ref="AB1563">iferror(index(K:K,match($A1563&amp;","&amp;index('Year Conversion'!$A:$A,match($C1563,'Year Conversion'!$B:$B,0)),$Y:$Y,0))-K1563,"")</f>
        <v>-2.211797605</v>
      </c>
      <c r="AC1563" s="168" t="str">
        <f t="shared" si="7"/>
        <v>PHI,2016-17</v>
      </c>
    </row>
    <row r="1564">
      <c r="A1564" s="161" t="str">
        <f>IFERROR(__xludf.DUMMYFUNCTION("""COMPUTED_VALUE"""),"rushbr01")</f>
        <v>rushbr01</v>
      </c>
      <c r="B1564" s="161" t="str">
        <f>IFERROR(__xludf.DUMMYFUNCTION("""COMPUTED_VALUE"""),"Brandon Rush")</f>
        <v>Brandon Rush</v>
      </c>
      <c r="C1564" s="162" t="str">
        <f>IFERROR(__xludf.DUMMYFUNCTION("""COMPUTED_VALUE"""),"2016-17")</f>
        <v>2016-17</v>
      </c>
      <c r="D1564" s="163" t="str">
        <f>IFERROR(__xludf.DUMMYFUNCTION("""COMPUTED_VALUE"""),"MIN")</f>
        <v>MIN</v>
      </c>
      <c r="E1564" s="164" t="str">
        <f>IFERROR(__xludf.DUMMYFUNCTION("""COMPUTED_VALUE"""),"Stationary Shooter")</f>
        <v>Stationary Shooter</v>
      </c>
      <c r="F1564" s="164">
        <f>IFERROR(__xludf.DUMMYFUNCTION("""COMPUTED_VALUE"""),1029.905)</f>
        <v>1029.905</v>
      </c>
      <c r="G1564" s="163">
        <f>IFERROR(__xludf.DUMMYFUNCTION("""COMPUTED_VALUE"""),47.0)</f>
        <v>47</v>
      </c>
      <c r="H1564" s="163" t="str">
        <f>IFERROR(__xludf.DUMMYFUNCTION("""COMPUTED_VALUE"""),"SG")</f>
        <v>SG</v>
      </c>
      <c r="I1564" s="163">
        <f>IFERROR(__xludf.DUMMYFUNCTION("""COMPUTED_VALUE"""),31.0)</f>
        <v>31</v>
      </c>
      <c r="J1564" s="165">
        <f>IFERROR(__xludf.DUMMYFUNCTION("""COMPUTED_VALUE"""),-2.68692772925802)</f>
        <v>-2.686927729</v>
      </c>
      <c r="K1564" s="165">
        <f>IFERROR(__xludf.DUMMYFUNCTION("""COMPUTED_VALUE"""),-1.85787655325766)</f>
        <v>-1.857876553</v>
      </c>
      <c r="L1564" s="165">
        <f>IFERROR(__xludf.DUMMYFUNCTION("""COMPUTED_VALUE"""),-0.829051176000359)</f>
        <v>-0.829051176</v>
      </c>
      <c r="M1564" s="166">
        <f t="shared" si="2"/>
        <v>-0.2594125599</v>
      </c>
      <c r="N1564" s="167">
        <f t="shared" si="3"/>
        <v>21.91287234</v>
      </c>
      <c r="O1564" s="163">
        <f t="shared" ref="O1564:Q1564" si="1568">rank(I1564,I:I)</f>
        <v>490</v>
      </c>
      <c r="P1564" s="163">
        <f t="shared" si="1568"/>
        <v>3809</v>
      </c>
      <c r="Q1564" s="163">
        <f t="shared" si="1568"/>
        <v>3612</v>
      </c>
      <c r="R1564" s="163">
        <f>IFERROR(__xludf.DUMMYFUNCTION("RANK(M1564,filter(M:M,C:C=C1564))"),466.0)</f>
        <v>466</v>
      </c>
      <c r="S1564" s="161" t="b">
        <f t="shared" si="5"/>
        <v>0</v>
      </c>
      <c r="T1564" s="161" t="b">
        <f t="array" ref="T1564">index('Query Tool'!B:B,match(H1564,'Query Tool'!C:C,0))</f>
        <v>1</v>
      </c>
      <c r="U1564" s="161" t="b">
        <f t="array" ref="U1564">index('Query Tool'!B:B,match(C1564,'Query Tool'!C:C,0))</f>
        <v>0</v>
      </c>
      <c r="V1564" s="161" t="b">
        <f>F1564&gt;='Query Tool'!C$32</f>
        <v>1</v>
      </c>
      <c r="W1564" s="161" t="b">
        <f t="array" ref="W1564">index(Dropdowns!B:B,match(I1564,Dropdowns!A:A,0))</f>
        <v>1</v>
      </c>
      <c r="X1564" s="161" t="b">
        <f t="array" ref="X1564">index('Query Tool'!B:B,match(D1564,'Query Tool'!C:C,0))</f>
        <v>1</v>
      </c>
      <c r="Y1564" s="161" t="str">
        <f t="shared" si="6"/>
        <v>rushbr01,2016-17</v>
      </c>
      <c r="Z1564" s="168" t="str">
        <f t="array" ref="Z1564">iferror(index(I:I,match($A1564&amp;","&amp;index('Year Conversion'!$A:$A,match($C1564,'Year Conversion'!$B:$B,0)),$Y:$Y,0))-I1564,"")</f>
        <v/>
      </c>
      <c r="AA1564" s="168" t="str">
        <f t="array" ref="AA1564">iferror(index(J:J,match($A1564&amp;","&amp;index('Year Conversion'!$A:$A,match($C1564,'Year Conversion'!$B:$B,0)),$Y:$Y,0))-J1564,"")</f>
        <v/>
      </c>
      <c r="AB1564" s="168" t="str">
        <f t="array" ref="AB1564">iferror(index(K:K,match($A1564&amp;","&amp;index('Year Conversion'!$A:$A,match($C1564,'Year Conversion'!$B:$B,0)),$Y:$Y,0))-K1564,"")</f>
        <v/>
      </c>
      <c r="AC1564" s="168" t="str">
        <f t="shared" si="7"/>
        <v>MIN,2016-17</v>
      </c>
    </row>
    <row r="1565">
      <c r="A1565" s="161" t="str">
        <f>IFERROR(__xludf.DUMMYFUNCTION("""COMPUTED_VALUE"""),"lopezro01")</f>
        <v>lopezro01</v>
      </c>
      <c r="B1565" s="161" t="str">
        <f>IFERROR(__xludf.DUMMYFUNCTION("""COMPUTED_VALUE"""),"Robin Lopez")</f>
        <v>Robin Lopez</v>
      </c>
      <c r="C1565" s="162" t="str">
        <f>IFERROR(__xludf.DUMMYFUNCTION("""COMPUTED_VALUE"""),"2016-17")</f>
        <v>2016-17</v>
      </c>
      <c r="D1565" s="163" t="str">
        <f>IFERROR(__xludf.DUMMYFUNCTION("""COMPUTED_VALUE"""),"CHI")</f>
        <v>CHI</v>
      </c>
      <c r="E1565" s="164" t="str">
        <f>IFERROR(__xludf.DUMMYFUNCTION("""COMPUTED_VALUE"""),"Post Scorer")</f>
        <v>Post Scorer</v>
      </c>
      <c r="F1565" s="164">
        <f>IFERROR(__xludf.DUMMYFUNCTION("""COMPUTED_VALUE"""),2270.75666666667)</f>
        <v>2270.756667</v>
      </c>
      <c r="G1565" s="163">
        <f>IFERROR(__xludf.DUMMYFUNCTION("""COMPUTED_VALUE"""),81.0)</f>
        <v>81</v>
      </c>
      <c r="H1565" s="163" t="str">
        <f>IFERROR(__xludf.DUMMYFUNCTION("""COMPUTED_VALUE"""),"C")</f>
        <v>C</v>
      </c>
      <c r="I1565" s="163">
        <f>IFERROR(__xludf.DUMMYFUNCTION("""COMPUTED_VALUE"""),28.0)</f>
        <v>28</v>
      </c>
      <c r="J1565" s="165">
        <f>IFERROR(__xludf.DUMMYFUNCTION("""COMPUTED_VALUE"""),-0.551473738028151)</f>
        <v>-0.551473738</v>
      </c>
      <c r="K1565" s="165">
        <f>IFERROR(__xludf.DUMMYFUNCTION("""COMPUTED_VALUE"""),-1.52969527736514)</f>
        <v>-1.529695277</v>
      </c>
      <c r="L1565" s="165">
        <f>IFERROR(__xludf.DUMMYFUNCTION("""COMPUTED_VALUE"""),0.978221539336988)</f>
        <v>0.9782215393</v>
      </c>
      <c r="M1565" s="166">
        <f t="shared" si="2"/>
        <v>2.65684363</v>
      </c>
      <c r="N1565" s="167">
        <f t="shared" si="3"/>
        <v>28.03403292</v>
      </c>
      <c r="O1565" s="163">
        <f t="shared" ref="O1565:Q1565" si="1569">rank(I1565,I:I)</f>
        <v>1090</v>
      </c>
      <c r="P1565" s="163">
        <f t="shared" si="1569"/>
        <v>1918</v>
      </c>
      <c r="Q1565" s="163">
        <f t="shared" si="1569"/>
        <v>3388</v>
      </c>
      <c r="R1565" s="163">
        <f>IFERROR(__xludf.DUMMYFUNCTION("RANK(M1565,filter(M:M,C:C=C1565))"),123.0)</f>
        <v>123</v>
      </c>
      <c r="S1565" s="161" t="b">
        <f t="shared" si="5"/>
        <v>0</v>
      </c>
      <c r="T1565" s="161" t="b">
        <f t="array" ref="T1565">index('Query Tool'!B:B,match(H1565,'Query Tool'!C:C,0))</f>
        <v>1</v>
      </c>
      <c r="U1565" s="161" t="b">
        <f t="array" ref="U1565">index('Query Tool'!B:B,match(C1565,'Query Tool'!C:C,0))</f>
        <v>0</v>
      </c>
      <c r="V1565" s="161" t="b">
        <f>F1565&gt;='Query Tool'!C$32</f>
        <v>1</v>
      </c>
      <c r="W1565" s="161" t="b">
        <f t="array" ref="W1565">index(Dropdowns!B:B,match(I1565,Dropdowns!A:A,0))</f>
        <v>1</v>
      </c>
      <c r="X1565" s="161" t="b">
        <f t="array" ref="X1565">index('Query Tool'!B:B,match(D1565,'Query Tool'!C:C,0))</f>
        <v>1</v>
      </c>
      <c r="Y1565" s="161" t="str">
        <f t="shared" si="6"/>
        <v>lopezro01,2016-17</v>
      </c>
      <c r="Z1565" s="168">
        <f t="array" ref="Z1565">iferror(index(I:I,match($A1565&amp;","&amp;index('Year Conversion'!$A:$A,match($C1565,'Year Conversion'!$B:$B,0)),$Y:$Y,0))-I1565,"")</f>
        <v>1</v>
      </c>
      <c r="AA1565" s="168">
        <f t="array" ref="AA1565">iferror(index(J:J,match($A1565&amp;","&amp;index('Year Conversion'!$A:$A,match($C1565,'Year Conversion'!$B:$B,0)),$Y:$Y,0))-J1565,"")</f>
        <v>-0.6073948887</v>
      </c>
      <c r="AB1565" s="168">
        <f t="array" ref="AB1565">iferror(index(K:K,match($A1565&amp;","&amp;index('Year Conversion'!$A:$A,match($C1565,'Year Conversion'!$B:$B,0)),$Y:$Y,0))-K1565,"")</f>
        <v>0.2741170413</v>
      </c>
      <c r="AC1565" s="168" t="str">
        <f t="shared" si="7"/>
        <v>CHI,2016-17</v>
      </c>
    </row>
    <row r="1566">
      <c r="A1566" s="161" t="str">
        <f>IFERROR(__xludf.DUMMYFUNCTION("""COMPUTED_VALUE"""),"speigma01")</f>
        <v>speigma01</v>
      </c>
      <c r="B1566" s="161" t="str">
        <f>IFERROR(__xludf.DUMMYFUNCTION("""COMPUTED_VALUE"""),"Marreese Speights")</f>
        <v>Marreese Speights</v>
      </c>
      <c r="C1566" s="162" t="str">
        <f>IFERROR(__xludf.DUMMYFUNCTION("""COMPUTED_VALUE"""),"2016-17")</f>
        <v>2016-17</v>
      </c>
      <c r="D1566" s="163" t="str">
        <f>IFERROR(__xludf.DUMMYFUNCTION("""COMPUTED_VALUE"""),"LAC")</f>
        <v>LAC</v>
      </c>
      <c r="E1566" s="164" t="str">
        <f>IFERROR(__xludf.DUMMYFUNCTION("""COMPUTED_VALUE"""),"Stretch Big")</f>
        <v>Stretch Big</v>
      </c>
      <c r="F1566" s="164">
        <f>IFERROR(__xludf.DUMMYFUNCTION("""COMPUTED_VALUE"""),1285.86166666667)</f>
        <v>1285.861667</v>
      </c>
      <c r="G1566" s="163">
        <f>IFERROR(__xludf.DUMMYFUNCTION("""COMPUTED_VALUE"""),82.0)</f>
        <v>82</v>
      </c>
      <c r="H1566" s="163" t="str">
        <f>IFERROR(__xludf.DUMMYFUNCTION("""COMPUTED_VALUE"""),"C")</f>
        <v>C</v>
      </c>
      <c r="I1566" s="163">
        <f>IFERROR(__xludf.DUMMYFUNCTION("""COMPUTED_VALUE"""),29.0)</f>
        <v>29</v>
      </c>
      <c r="J1566" s="165">
        <f>IFERROR(__xludf.DUMMYFUNCTION("""COMPUTED_VALUE"""),0.393409860844671)</f>
        <v>0.3934098608</v>
      </c>
      <c r="K1566" s="165">
        <f>IFERROR(__xludf.DUMMYFUNCTION("""COMPUTED_VALUE"""),0.533702319269815)</f>
        <v>0.5337023193</v>
      </c>
      <c r="L1566" s="165">
        <f>IFERROR(__xludf.DUMMYFUNCTION("""COMPUTED_VALUE"""),-0.140292458425144)</f>
        <v>-0.1402924584</v>
      </c>
      <c r="M1566" s="166">
        <f t="shared" si="2"/>
        <v>2.323349606</v>
      </c>
      <c r="N1566" s="167">
        <f t="shared" si="3"/>
        <v>15.68123984</v>
      </c>
      <c r="O1566" s="163">
        <f t="shared" ref="O1566:Q1566" si="1570">rank(I1566,I:I)</f>
        <v>855</v>
      </c>
      <c r="P1566" s="163">
        <f t="shared" si="1570"/>
        <v>953</v>
      </c>
      <c r="Q1566" s="163">
        <f t="shared" si="1570"/>
        <v>751</v>
      </c>
      <c r="R1566" s="163">
        <f>IFERROR(__xludf.DUMMYFUNCTION("RANK(M1566,filter(M:M,C:C=C1566))"),140.0)</f>
        <v>140</v>
      </c>
      <c r="S1566" s="161" t="b">
        <f t="shared" si="5"/>
        <v>0</v>
      </c>
      <c r="T1566" s="161" t="b">
        <f t="array" ref="T1566">index('Query Tool'!B:B,match(H1566,'Query Tool'!C:C,0))</f>
        <v>1</v>
      </c>
      <c r="U1566" s="161" t="b">
        <f t="array" ref="U1566">index('Query Tool'!B:B,match(C1566,'Query Tool'!C:C,0))</f>
        <v>0</v>
      </c>
      <c r="V1566" s="161" t="b">
        <f>F1566&gt;='Query Tool'!C$32</f>
        <v>1</v>
      </c>
      <c r="W1566" s="161" t="b">
        <f t="array" ref="W1566">index(Dropdowns!B:B,match(I1566,Dropdowns!A:A,0))</f>
        <v>1</v>
      </c>
      <c r="X1566" s="161" t="b">
        <f t="array" ref="X1566">index('Query Tool'!B:B,match(D1566,'Query Tool'!C:C,0))</f>
        <v>1</v>
      </c>
      <c r="Y1566" s="161" t="str">
        <f t="shared" si="6"/>
        <v>speigma01,2016-17</v>
      </c>
      <c r="Z1566" s="168">
        <f t="array" ref="Z1566">iferror(index(I:I,match($A1566&amp;","&amp;index('Year Conversion'!$A:$A,match($C1566,'Year Conversion'!$B:$B,0)),$Y:$Y,0))-I1566,"")</f>
        <v>1</v>
      </c>
      <c r="AA1566" s="168">
        <f t="array" ref="AA1566">iferror(index(J:J,match($A1566&amp;","&amp;index('Year Conversion'!$A:$A,match($C1566,'Year Conversion'!$B:$B,0)),$Y:$Y,0))-J1566,"")</f>
        <v>-0.1366399486</v>
      </c>
      <c r="AB1566" s="168">
        <f t="array" ref="AB1566">iferror(index(K:K,match($A1566&amp;","&amp;index('Year Conversion'!$A:$A,match($C1566,'Year Conversion'!$B:$B,0)),$Y:$Y,0))-K1566,"")</f>
        <v>0.6018544924</v>
      </c>
      <c r="AC1566" s="168" t="str">
        <f t="shared" si="7"/>
        <v>LAC,2016-17</v>
      </c>
    </row>
    <row r="1567">
      <c r="A1567" s="161" t="str">
        <f>IFERROR(__xludf.DUMMYFUNCTION("""COMPUTED_VALUE"""),"hibbero01")</f>
        <v>hibbero01</v>
      </c>
      <c r="B1567" s="161" t="str">
        <f>IFERROR(__xludf.DUMMYFUNCTION("""COMPUTED_VALUE"""),"Roy Hibbert")</f>
        <v>Roy Hibbert</v>
      </c>
      <c r="C1567" s="162" t="str">
        <f>IFERROR(__xludf.DUMMYFUNCTION("""COMPUTED_VALUE"""),"2016-17")</f>
        <v>2016-17</v>
      </c>
      <c r="D1567" s="163" t="str">
        <f>IFERROR(__xludf.DUMMYFUNCTION("""COMPUTED_VALUE"""),"TOT")</f>
        <v>TOT</v>
      </c>
      <c r="E1567" s="164" t="str">
        <f>IFERROR(__xludf.DUMMYFUNCTION("""COMPUTED_VALUE"""),"Post Scorer")</f>
        <v>Post Scorer</v>
      </c>
      <c r="F1567" s="164">
        <f>IFERROR(__xludf.DUMMYFUNCTION("""COMPUTED_VALUE"""),682.31)</f>
        <v>682.31</v>
      </c>
      <c r="G1567" s="163">
        <f>IFERROR(__xludf.DUMMYFUNCTION("""COMPUTED_VALUE"""),48.0)</f>
        <v>48</v>
      </c>
      <c r="H1567" s="163" t="str">
        <f>IFERROR(__xludf.DUMMYFUNCTION("""COMPUTED_VALUE"""),"C")</f>
        <v>C</v>
      </c>
      <c r="I1567" s="163">
        <f>IFERROR(__xludf.DUMMYFUNCTION("""COMPUTED_VALUE"""),30.0)</f>
        <v>30</v>
      </c>
      <c r="J1567" s="165">
        <f>IFERROR(__xludf.DUMMYFUNCTION("""COMPUTED_VALUE"""),-1.16655937224768)</f>
        <v>-1.166559372</v>
      </c>
      <c r="K1567" s="165">
        <f>IFERROR(__xludf.DUMMYFUNCTION("""COMPUTED_VALUE"""),-2.64129066658285)</f>
        <v>-2.641290667</v>
      </c>
      <c r="L1567" s="165">
        <f>IFERROR(__xludf.DUMMYFUNCTION("""COMPUTED_VALUE"""),1.47473129433517)</f>
        <v>1.474731294</v>
      </c>
      <c r="M1567" s="166">
        <f t="shared" si="2"/>
        <v>0.5162819316</v>
      </c>
      <c r="N1567" s="167">
        <f t="shared" si="3"/>
        <v>14.21479167</v>
      </c>
      <c r="O1567" s="163">
        <f t="shared" ref="O1567:Q1567" si="1571">rank(I1567,I:I)</f>
        <v>655</v>
      </c>
      <c r="P1567" s="163">
        <f t="shared" si="1571"/>
        <v>2703</v>
      </c>
      <c r="Q1567" s="163">
        <f t="shared" si="1571"/>
        <v>3921</v>
      </c>
      <c r="R1567" s="163">
        <f>IFERROR(__xludf.DUMMYFUNCTION("RANK(M1567,filter(M:M,C:C=C1567))"),280.0)</f>
        <v>280</v>
      </c>
      <c r="S1567" s="161" t="b">
        <f t="shared" si="5"/>
        <v>0</v>
      </c>
      <c r="T1567" s="161" t="b">
        <f t="array" ref="T1567">index('Query Tool'!B:B,match(H1567,'Query Tool'!C:C,0))</f>
        <v>1</v>
      </c>
      <c r="U1567" s="161" t="b">
        <f t="array" ref="U1567">index('Query Tool'!B:B,match(C1567,'Query Tool'!C:C,0))</f>
        <v>0</v>
      </c>
      <c r="V1567" s="161" t="b">
        <f>F1567&gt;='Query Tool'!C$32</f>
        <v>1</v>
      </c>
      <c r="W1567" s="161" t="b">
        <f t="array" ref="W1567">index(Dropdowns!B:B,match(I1567,Dropdowns!A:A,0))</f>
        <v>1</v>
      </c>
      <c r="X1567" s="161" t="b">
        <f t="array" ref="X1567">index('Query Tool'!B:B,match(D1567,'Query Tool'!C:C,0))</f>
        <v>1</v>
      </c>
      <c r="Y1567" s="161" t="str">
        <f t="shared" si="6"/>
        <v>hibbero01,2016-17</v>
      </c>
      <c r="Z1567" s="168" t="str">
        <f t="array" ref="Z1567">iferror(index(I:I,match($A1567&amp;","&amp;index('Year Conversion'!$A:$A,match($C1567,'Year Conversion'!$B:$B,0)),$Y:$Y,0))-I1567,"")</f>
        <v/>
      </c>
      <c r="AA1567" s="168" t="str">
        <f t="array" ref="AA1567">iferror(index(J:J,match($A1567&amp;","&amp;index('Year Conversion'!$A:$A,match($C1567,'Year Conversion'!$B:$B,0)),$Y:$Y,0))-J1567,"")</f>
        <v/>
      </c>
      <c r="AB1567" s="168" t="str">
        <f t="array" ref="AB1567">iferror(index(K:K,match($A1567&amp;","&amp;index('Year Conversion'!$A:$A,match($C1567,'Year Conversion'!$B:$B,0)),$Y:$Y,0))-K1567,"")</f>
        <v/>
      </c>
      <c r="AC1567" s="168" t="str">
        <f t="shared" si="7"/>
        <v>TOT,2016-17</v>
      </c>
    </row>
    <row r="1568">
      <c r="A1568" s="161" t="str">
        <f>IFERROR(__xludf.DUMMYFUNCTION("""COMPUTED_VALUE"""),"mcgeeja01")</f>
        <v>mcgeeja01</v>
      </c>
      <c r="B1568" s="161" t="str">
        <f>IFERROR(__xludf.DUMMYFUNCTION("""COMPUTED_VALUE"""),"JaVale McGee")</f>
        <v>JaVale McGee</v>
      </c>
      <c r="C1568" s="162" t="str">
        <f>IFERROR(__xludf.DUMMYFUNCTION("""COMPUTED_VALUE"""),"2016-17")</f>
        <v>2016-17</v>
      </c>
      <c r="D1568" s="163" t="str">
        <f>IFERROR(__xludf.DUMMYFUNCTION("""COMPUTED_VALUE"""),"GSW")</f>
        <v>GSW</v>
      </c>
      <c r="E1568" s="164" t="str">
        <f>IFERROR(__xludf.DUMMYFUNCTION("""COMPUTED_VALUE"""),"Roll + Cut Big")</f>
        <v>Roll + Cut Big</v>
      </c>
      <c r="F1568" s="164">
        <f>IFERROR(__xludf.DUMMYFUNCTION("""COMPUTED_VALUE"""),739.098333333333)</f>
        <v>739.0983333</v>
      </c>
      <c r="G1568" s="163">
        <f>IFERROR(__xludf.DUMMYFUNCTION("""COMPUTED_VALUE"""),77.0)</f>
        <v>77</v>
      </c>
      <c r="H1568" s="163" t="str">
        <f>IFERROR(__xludf.DUMMYFUNCTION("""COMPUTED_VALUE"""),"C")</f>
        <v>C</v>
      </c>
      <c r="I1568" s="163">
        <f>IFERROR(__xludf.DUMMYFUNCTION("""COMPUTED_VALUE"""),29.0)</f>
        <v>29</v>
      </c>
      <c r="J1568" s="165">
        <f>IFERROR(__xludf.DUMMYFUNCTION("""COMPUTED_VALUE"""),2.02230541522426)</f>
        <v>2.022305415</v>
      </c>
      <c r="K1568" s="165">
        <f>IFERROR(__xludf.DUMMYFUNCTION("""COMPUTED_VALUE"""),1.59225483645141)</f>
        <v>1.592254836</v>
      </c>
      <c r="L1568" s="165">
        <f>IFERROR(__xludf.DUMMYFUNCTION("""COMPUTED_VALUE"""),0.430050578772846)</f>
        <v>0.4300505788</v>
      </c>
      <c r="M1568" s="166">
        <f t="shared" si="2"/>
        <v>2.141456598</v>
      </c>
      <c r="N1568" s="167">
        <f t="shared" si="3"/>
        <v>9.598679654</v>
      </c>
      <c r="O1568" s="163">
        <f t="shared" ref="O1568:Q1568" si="1572">rank(I1568,I:I)</f>
        <v>855</v>
      </c>
      <c r="P1568" s="163">
        <f t="shared" si="1572"/>
        <v>320</v>
      </c>
      <c r="Q1568" s="163">
        <f t="shared" si="1572"/>
        <v>296</v>
      </c>
      <c r="R1568" s="163">
        <f>IFERROR(__xludf.DUMMYFUNCTION("RANK(M1568,filter(M:M,C:C=C1568))"),152.0)</f>
        <v>152</v>
      </c>
      <c r="S1568" s="161" t="b">
        <f t="shared" si="5"/>
        <v>0</v>
      </c>
      <c r="T1568" s="161" t="b">
        <f t="array" ref="T1568">index('Query Tool'!B:B,match(H1568,'Query Tool'!C:C,0))</f>
        <v>1</v>
      </c>
      <c r="U1568" s="161" t="b">
        <f t="array" ref="U1568">index('Query Tool'!B:B,match(C1568,'Query Tool'!C:C,0))</f>
        <v>0</v>
      </c>
      <c r="V1568" s="161" t="b">
        <f>F1568&gt;='Query Tool'!C$32</f>
        <v>1</v>
      </c>
      <c r="W1568" s="161" t="b">
        <f t="array" ref="W1568">index(Dropdowns!B:B,match(I1568,Dropdowns!A:A,0))</f>
        <v>1</v>
      </c>
      <c r="X1568" s="161" t="b">
        <f t="array" ref="X1568">index('Query Tool'!B:B,match(D1568,'Query Tool'!C:C,0))</f>
        <v>1</v>
      </c>
      <c r="Y1568" s="161" t="str">
        <f t="shared" si="6"/>
        <v>mcgeeja01,2016-17</v>
      </c>
      <c r="Z1568" s="168">
        <f t="array" ref="Z1568">iferror(index(I:I,match($A1568&amp;","&amp;index('Year Conversion'!$A:$A,match($C1568,'Year Conversion'!$B:$B,0)),$Y:$Y,0))-I1568,"")</f>
        <v>1</v>
      </c>
      <c r="AA1568" s="168">
        <f t="array" ref="AA1568">iferror(index(J:J,match($A1568&amp;","&amp;index('Year Conversion'!$A:$A,match($C1568,'Year Conversion'!$B:$B,0)),$Y:$Y,0))-J1568,"")</f>
        <v>-1.371110237</v>
      </c>
      <c r="AB1568" s="168">
        <f t="array" ref="AB1568">iferror(index(K:K,match($A1568&amp;","&amp;index('Year Conversion'!$A:$A,match($C1568,'Year Conversion'!$B:$B,0)),$Y:$Y,0))-K1568,"")</f>
        <v>-1.83286137</v>
      </c>
      <c r="AC1568" s="168" t="str">
        <f t="shared" si="7"/>
        <v>GSW,2016-17</v>
      </c>
    </row>
    <row r="1569">
      <c r="A1569" s="161" t="str">
        <f>IFERROR(__xludf.DUMMYFUNCTION("""COMPUTED_VALUE"""),"ajincal01")</f>
        <v>ajincal01</v>
      </c>
      <c r="B1569" s="161" t="str">
        <f>IFERROR(__xludf.DUMMYFUNCTION("""COMPUTED_VALUE"""),"Alexis Ajinca")</f>
        <v>Alexis Ajinca</v>
      </c>
      <c r="C1569" s="162" t="str">
        <f>IFERROR(__xludf.DUMMYFUNCTION("""COMPUTED_VALUE"""),"2016-17")</f>
        <v>2016-17</v>
      </c>
      <c r="D1569" s="163" t="str">
        <f>IFERROR(__xludf.DUMMYFUNCTION("""COMPUTED_VALUE"""),"NOP")</f>
        <v>NOP</v>
      </c>
      <c r="E1569" s="164" t="str">
        <f>IFERROR(__xludf.DUMMYFUNCTION("""COMPUTED_VALUE"""),"Roll + Cut Big")</f>
        <v>Roll + Cut Big</v>
      </c>
      <c r="F1569" s="164">
        <f>IFERROR(__xludf.DUMMYFUNCTION("""COMPUTED_VALUE"""),584.335)</f>
        <v>584.335</v>
      </c>
      <c r="G1569" s="163">
        <f>IFERROR(__xludf.DUMMYFUNCTION("""COMPUTED_VALUE"""),39.0)</f>
        <v>39</v>
      </c>
      <c r="H1569" s="163" t="str">
        <f>IFERROR(__xludf.DUMMYFUNCTION("""COMPUTED_VALUE"""),"C")</f>
        <v>C</v>
      </c>
      <c r="I1569" s="163">
        <f>IFERROR(__xludf.DUMMYFUNCTION("""COMPUTED_VALUE"""),28.0)</f>
        <v>28</v>
      </c>
      <c r="J1569" s="165">
        <f>IFERROR(__xludf.DUMMYFUNCTION("""COMPUTED_VALUE"""),-0.889533898404089)</f>
        <v>-0.8895338984</v>
      </c>
      <c r="K1569" s="165">
        <f>IFERROR(__xludf.DUMMYFUNCTION("""COMPUTED_VALUE"""),-1.90208028976651)</f>
        <v>-1.90208029</v>
      </c>
      <c r="L1569" s="165">
        <f>IFERROR(__xludf.DUMMYFUNCTION("""COMPUTED_VALUE"""),1.01254639136242)</f>
        <v>1.012546391</v>
      </c>
      <c r="M1569" s="166">
        <f t="shared" si="2"/>
        <v>0.5508002024</v>
      </c>
      <c r="N1569" s="167">
        <f t="shared" si="3"/>
        <v>14.98294872</v>
      </c>
      <c r="O1569" s="163">
        <f t="shared" ref="O1569:Q1569" si="1573">rank(I1569,I:I)</f>
        <v>1090</v>
      </c>
      <c r="P1569" s="163">
        <f t="shared" si="1573"/>
        <v>2378</v>
      </c>
      <c r="Q1569" s="163">
        <f t="shared" si="1573"/>
        <v>3647</v>
      </c>
      <c r="R1569" s="163">
        <f>IFERROR(__xludf.DUMMYFUNCTION("RANK(M1569,filter(M:M,C:C=C1569))"),273.0)</f>
        <v>273</v>
      </c>
      <c r="S1569" s="161" t="b">
        <f t="shared" si="5"/>
        <v>0</v>
      </c>
      <c r="T1569" s="161" t="b">
        <f t="array" ref="T1569">index('Query Tool'!B:B,match(H1569,'Query Tool'!C:C,0))</f>
        <v>1</v>
      </c>
      <c r="U1569" s="161" t="b">
        <f t="array" ref="U1569">index('Query Tool'!B:B,match(C1569,'Query Tool'!C:C,0))</f>
        <v>0</v>
      </c>
      <c r="V1569" s="161" t="b">
        <f>F1569&gt;='Query Tool'!C$32</f>
        <v>1</v>
      </c>
      <c r="W1569" s="161" t="b">
        <f t="array" ref="W1569">index(Dropdowns!B:B,match(I1569,Dropdowns!A:A,0))</f>
        <v>1</v>
      </c>
      <c r="X1569" s="161" t="b">
        <f t="array" ref="X1569">index('Query Tool'!B:B,match(D1569,'Query Tool'!C:C,0))</f>
        <v>1</v>
      </c>
      <c r="Y1569" s="161" t="str">
        <f t="shared" si="6"/>
        <v>ajincal01,2016-17</v>
      </c>
      <c r="Z1569" s="168" t="str">
        <f t="array" ref="Z1569">iferror(index(I:I,match($A1569&amp;","&amp;index('Year Conversion'!$A:$A,match($C1569,'Year Conversion'!$B:$B,0)),$Y:$Y,0))-I1569,"")</f>
        <v/>
      </c>
      <c r="AA1569" s="168" t="str">
        <f t="array" ref="AA1569">iferror(index(J:J,match($A1569&amp;","&amp;index('Year Conversion'!$A:$A,match($C1569,'Year Conversion'!$B:$B,0)),$Y:$Y,0))-J1569,"")</f>
        <v/>
      </c>
      <c r="AB1569" s="168" t="str">
        <f t="array" ref="AB1569">iferror(index(K:K,match($A1569&amp;","&amp;index('Year Conversion'!$A:$A,match($C1569,'Year Conversion'!$B:$B,0)),$Y:$Y,0))-K1569,"")</f>
        <v/>
      </c>
      <c r="AC1569" s="168" t="str">
        <f t="shared" si="7"/>
        <v>NOP,2016-17</v>
      </c>
    </row>
    <row r="1570">
      <c r="A1570" s="161" t="str">
        <f>IFERROR(__xludf.DUMMYFUNCTION("""COMPUTED_VALUE"""),"anderry01")</f>
        <v>anderry01</v>
      </c>
      <c r="B1570" s="161" t="str">
        <f>IFERROR(__xludf.DUMMYFUNCTION("""COMPUTED_VALUE"""),"Ryan Anderson")</f>
        <v>Ryan Anderson</v>
      </c>
      <c r="C1570" s="162" t="str">
        <f>IFERROR(__xludf.DUMMYFUNCTION("""COMPUTED_VALUE"""),"2016-17")</f>
        <v>2016-17</v>
      </c>
      <c r="D1570" s="163" t="str">
        <f>IFERROR(__xludf.DUMMYFUNCTION("""COMPUTED_VALUE"""),"HOU")</f>
        <v>HOU</v>
      </c>
      <c r="E1570" s="164" t="str">
        <f>IFERROR(__xludf.DUMMYFUNCTION("""COMPUTED_VALUE"""),"Stretch Big")</f>
        <v>Stretch Big</v>
      </c>
      <c r="F1570" s="164">
        <f>IFERROR(__xludf.DUMMYFUNCTION("""COMPUTED_VALUE"""),2116.39166666667)</f>
        <v>2116.391667</v>
      </c>
      <c r="G1570" s="163">
        <f>IFERROR(__xludf.DUMMYFUNCTION("""COMPUTED_VALUE"""),72.0)</f>
        <v>72</v>
      </c>
      <c r="H1570" s="163" t="str">
        <f>IFERROR(__xludf.DUMMYFUNCTION("""COMPUTED_VALUE"""),"PF")</f>
        <v>PF</v>
      </c>
      <c r="I1570" s="163">
        <f>IFERROR(__xludf.DUMMYFUNCTION("""COMPUTED_VALUE"""),28.0)</f>
        <v>28</v>
      </c>
      <c r="J1570" s="165">
        <f>IFERROR(__xludf.DUMMYFUNCTION("""COMPUTED_VALUE"""),0.753702696521816)</f>
        <v>0.7537026965</v>
      </c>
      <c r="K1570" s="165">
        <f>IFERROR(__xludf.DUMMYFUNCTION("""COMPUTED_VALUE"""),1.4134060215768)</f>
        <v>1.413406022</v>
      </c>
      <c r="L1570" s="165">
        <f>IFERROR(__xludf.DUMMYFUNCTION("""COMPUTED_VALUE"""),-0.659703325054986)</f>
        <v>-0.6597033251</v>
      </c>
      <c r="M1570" s="166">
        <f t="shared" si="2"/>
        <v>4.337343093</v>
      </c>
      <c r="N1570" s="167">
        <f t="shared" si="3"/>
        <v>29.3943287</v>
      </c>
      <c r="O1570" s="163">
        <f t="shared" ref="O1570:Q1570" si="1574">rank(I1570,I:I)</f>
        <v>1090</v>
      </c>
      <c r="P1570" s="163">
        <f t="shared" si="1574"/>
        <v>766</v>
      </c>
      <c r="Q1570" s="163">
        <f t="shared" si="1574"/>
        <v>346</v>
      </c>
      <c r="R1570" s="163">
        <f>IFERROR(__xludf.DUMMYFUNCTION("RANK(M1570,filter(M:M,C:C=C1570))"),68.0)</f>
        <v>68</v>
      </c>
      <c r="S1570" s="161" t="b">
        <f t="shared" si="5"/>
        <v>0</v>
      </c>
      <c r="T1570" s="161" t="b">
        <f t="array" ref="T1570">index('Query Tool'!B:B,match(H1570,'Query Tool'!C:C,0))</f>
        <v>1</v>
      </c>
      <c r="U1570" s="161" t="b">
        <f t="array" ref="U1570">index('Query Tool'!B:B,match(C1570,'Query Tool'!C:C,0))</f>
        <v>0</v>
      </c>
      <c r="V1570" s="161" t="b">
        <f>F1570&gt;='Query Tool'!C$32</f>
        <v>1</v>
      </c>
      <c r="W1570" s="161" t="b">
        <f t="array" ref="W1570">index(Dropdowns!B:B,match(I1570,Dropdowns!A:A,0))</f>
        <v>1</v>
      </c>
      <c r="X1570" s="161" t="b">
        <f t="array" ref="X1570">index('Query Tool'!B:B,match(D1570,'Query Tool'!C:C,0))</f>
        <v>1</v>
      </c>
      <c r="Y1570" s="161" t="str">
        <f t="shared" si="6"/>
        <v>anderry01,2016-17</v>
      </c>
      <c r="Z1570" s="168">
        <f t="array" ref="Z1570">iferror(index(I:I,match($A1570&amp;","&amp;index('Year Conversion'!$A:$A,match($C1570,'Year Conversion'!$B:$B,0)),$Y:$Y,0))-I1570,"")</f>
        <v>1</v>
      </c>
      <c r="AA1570" s="168">
        <f t="array" ref="AA1570">iferror(index(J:J,match($A1570&amp;","&amp;index('Year Conversion'!$A:$A,match($C1570,'Year Conversion'!$B:$B,0)),$Y:$Y,0))-J1570,"")</f>
        <v>-1.694952082</v>
      </c>
      <c r="AB1570" s="168">
        <f t="array" ref="AB1570">iferror(index(K:K,match($A1570&amp;","&amp;index('Year Conversion'!$A:$A,match($C1570,'Year Conversion'!$B:$B,0)),$Y:$Y,0))-K1570,"")</f>
        <v>-1.428703251</v>
      </c>
      <c r="AC1570" s="168" t="str">
        <f t="shared" si="7"/>
        <v>HOU,2016-17</v>
      </c>
    </row>
    <row r="1571">
      <c r="A1571" s="161" t="str">
        <f>IFERROR(__xludf.DUMMYFUNCTION("""COMPUTED_VALUE"""),"leeco01")</f>
        <v>leeco01</v>
      </c>
      <c r="B1571" s="161" t="str">
        <f>IFERROR(__xludf.DUMMYFUNCTION("""COMPUTED_VALUE"""),"Courtney Lee")</f>
        <v>Courtney Lee</v>
      </c>
      <c r="C1571" s="162" t="str">
        <f>IFERROR(__xludf.DUMMYFUNCTION("""COMPUTED_VALUE"""),"2016-17")</f>
        <v>2016-17</v>
      </c>
      <c r="D1571" s="163" t="str">
        <f>IFERROR(__xludf.DUMMYFUNCTION("""COMPUTED_VALUE"""),"NYK")</f>
        <v>NYK</v>
      </c>
      <c r="E1571" s="164" t="str">
        <f>IFERROR(__xludf.DUMMYFUNCTION("""COMPUTED_VALUE"""),"Movement Shooter")</f>
        <v>Movement Shooter</v>
      </c>
      <c r="F1571" s="164">
        <f>IFERROR(__xludf.DUMMYFUNCTION("""COMPUTED_VALUE"""),2459.41333333333)</f>
        <v>2459.413333</v>
      </c>
      <c r="G1571" s="163">
        <f>IFERROR(__xludf.DUMMYFUNCTION("""COMPUTED_VALUE"""),77.0)</f>
        <v>77</v>
      </c>
      <c r="H1571" s="163" t="str">
        <f>IFERROR(__xludf.DUMMYFUNCTION("""COMPUTED_VALUE"""),"SG")</f>
        <v>SG</v>
      </c>
      <c r="I1571" s="163">
        <f>IFERROR(__xludf.DUMMYFUNCTION("""COMPUTED_VALUE"""),31.0)</f>
        <v>31</v>
      </c>
      <c r="J1571" s="165">
        <f>IFERROR(__xludf.DUMMYFUNCTION("""COMPUTED_VALUE"""),-1.71348304849948)</f>
        <v>-1.713483048</v>
      </c>
      <c r="K1571" s="165">
        <f>IFERROR(__xludf.DUMMYFUNCTION("""COMPUTED_VALUE"""),0.0204667449739113)</f>
        <v>0.02046674497</v>
      </c>
      <c r="L1571" s="165">
        <f>IFERROR(__xludf.DUMMYFUNCTION("""COMPUTED_VALUE"""),-1.73394979347339)</f>
        <v>-1.733949793</v>
      </c>
      <c r="M1571" s="166">
        <f t="shared" si="2"/>
        <v>0.9619815168</v>
      </c>
      <c r="N1571" s="167">
        <f t="shared" si="3"/>
        <v>31.9404329</v>
      </c>
      <c r="O1571" s="163">
        <f t="shared" ref="O1571:Q1571" si="1575">rank(I1571,I:I)</f>
        <v>490</v>
      </c>
      <c r="P1571" s="163">
        <f t="shared" si="1575"/>
        <v>3258</v>
      </c>
      <c r="Q1571" s="163">
        <f t="shared" si="1575"/>
        <v>1172</v>
      </c>
      <c r="R1571" s="163">
        <f>IFERROR(__xludf.DUMMYFUNCTION("RANK(M1571,filter(M:M,C:C=C1571))"),226.0)</f>
        <v>226</v>
      </c>
      <c r="S1571" s="161" t="b">
        <f t="shared" si="5"/>
        <v>0</v>
      </c>
      <c r="T1571" s="161" t="b">
        <f t="array" ref="T1571">index('Query Tool'!B:B,match(H1571,'Query Tool'!C:C,0))</f>
        <v>1</v>
      </c>
      <c r="U1571" s="161" t="b">
        <f t="array" ref="U1571">index('Query Tool'!B:B,match(C1571,'Query Tool'!C:C,0))</f>
        <v>0</v>
      </c>
      <c r="V1571" s="161" t="b">
        <f>F1571&gt;='Query Tool'!C$32</f>
        <v>1</v>
      </c>
      <c r="W1571" s="161" t="b">
        <f t="array" ref="W1571">index(Dropdowns!B:B,match(I1571,Dropdowns!A:A,0))</f>
        <v>1</v>
      </c>
      <c r="X1571" s="161" t="b">
        <f t="array" ref="X1571">index('Query Tool'!B:B,match(D1571,'Query Tool'!C:C,0))</f>
        <v>1</v>
      </c>
      <c r="Y1571" s="161" t="str">
        <f t="shared" si="6"/>
        <v>leeco01,2016-17</v>
      </c>
      <c r="Z1571" s="168">
        <f t="array" ref="Z1571">iferror(index(I:I,match($A1571&amp;","&amp;index('Year Conversion'!$A:$A,match($C1571,'Year Conversion'!$B:$B,0)),$Y:$Y,0))-I1571,"")</f>
        <v>1</v>
      </c>
      <c r="AA1571" s="168">
        <f t="array" ref="AA1571">iferror(index(J:J,match($A1571&amp;","&amp;index('Year Conversion'!$A:$A,match($C1571,'Year Conversion'!$B:$B,0)),$Y:$Y,0))-J1571,"")</f>
        <v>-0.1100044798</v>
      </c>
      <c r="AB1571" s="168">
        <f t="array" ref="AB1571">iferror(index(K:K,match($A1571&amp;","&amp;index('Year Conversion'!$A:$A,match($C1571,'Year Conversion'!$B:$B,0)),$Y:$Y,0))-K1571,"")</f>
        <v>-0.821774191</v>
      </c>
      <c r="AC1571" s="168" t="str">
        <f t="shared" si="7"/>
        <v>NYK,2016-17</v>
      </c>
    </row>
    <row r="1572">
      <c r="A1572" s="161" t="str">
        <f>IFERROR(__xludf.DUMMYFUNCTION("""COMPUTED_VALUE"""),"koufoko01")</f>
        <v>koufoko01</v>
      </c>
      <c r="B1572" s="161" t="str">
        <f>IFERROR(__xludf.DUMMYFUNCTION("""COMPUTED_VALUE"""),"Kosta Koufos")</f>
        <v>Kosta Koufos</v>
      </c>
      <c r="C1572" s="162" t="str">
        <f>IFERROR(__xludf.DUMMYFUNCTION("""COMPUTED_VALUE"""),"2016-17")</f>
        <v>2016-17</v>
      </c>
      <c r="D1572" s="163" t="str">
        <f>IFERROR(__xludf.DUMMYFUNCTION("""COMPUTED_VALUE"""),"SAC")</f>
        <v>SAC</v>
      </c>
      <c r="E1572" s="164" t="str">
        <f>IFERROR(__xludf.DUMMYFUNCTION("""COMPUTED_VALUE"""),"Roll + Cut Big")</f>
        <v>Roll + Cut Big</v>
      </c>
      <c r="F1572" s="164">
        <f>IFERROR(__xludf.DUMMYFUNCTION("""COMPUTED_VALUE"""),1419.37166666667)</f>
        <v>1419.371667</v>
      </c>
      <c r="G1572" s="163">
        <f>IFERROR(__xludf.DUMMYFUNCTION("""COMPUTED_VALUE"""),71.0)</f>
        <v>71</v>
      </c>
      <c r="H1572" s="163" t="str">
        <f>IFERROR(__xludf.DUMMYFUNCTION("""COMPUTED_VALUE"""),"C")</f>
        <v>C</v>
      </c>
      <c r="I1572" s="163">
        <f>IFERROR(__xludf.DUMMYFUNCTION("""COMPUTED_VALUE"""),27.0)</f>
        <v>27</v>
      </c>
      <c r="J1572" s="165">
        <f>IFERROR(__xludf.DUMMYFUNCTION("""COMPUTED_VALUE"""),-0.533496545319521)</f>
        <v>-0.5334965453</v>
      </c>
      <c r="K1572" s="165">
        <f>IFERROR(__xludf.DUMMYFUNCTION("""COMPUTED_VALUE"""),-2.2227148071608)</f>
        <v>-2.222714807</v>
      </c>
      <c r="L1572" s="165">
        <f>IFERROR(__xludf.DUMMYFUNCTION("""COMPUTED_VALUE"""),1.68921826184128)</f>
        <v>1.689218262</v>
      </c>
      <c r="M1572" s="166">
        <f t="shared" si="2"/>
        <v>1.677883069</v>
      </c>
      <c r="N1572" s="167">
        <f t="shared" si="3"/>
        <v>19.99115023</v>
      </c>
      <c r="O1572" s="163">
        <f t="shared" ref="O1572:Q1572" si="1576">rank(I1572,I:I)</f>
        <v>1366</v>
      </c>
      <c r="P1572" s="163">
        <f t="shared" si="1576"/>
        <v>1899</v>
      </c>
      <c r="Q1572" s="163">
        <f t="shared" si="1576"/>
        <v>3808</v>
      </c>
      <c r="R1572" s="163">
        <f>IFERROR(__xludf.DUMMYFUNCTION("RANK(M1572,filter(M:M,C:C=C1572))"),183.0)</f>
        <v>183</v>
      </c>
      <c r="S1572" s="161" t="b">
        <f t="shared" si="5"/>
        <v>0</v>
      </c>
      <c r="T1572" s="161" t="b">
        <f t="array" ref="T1572">index('Query Tool'!B:B,match(H1572,'Query Tool'!C:C,0))</f>
        <v>1</v>
      </c>
      <c r="U1572" s="161" t="b">
        <f t="array" ref="U1572">index('Query Tool'!B:B,match(C1572,'Query Tool'!C:C,0))</f>
        <v>0</v>
      </c>
      <c r="V1572" s="161" t="b">
        <f>F1572&gt;='Query Tool'!C$32</f>
        <v>1</v>
      </c>
      <c r="W1572" s="161" t="b">
        <f t="array" ref="W1572">index(Dropdowns!B:B,match(I1572,Dropdowns!A:A,0))</f>
        <v>1</v>
      </c>
      <c r="X1572" s="161" t="b">
        <f t="array" ref="X1572">index('Query Tool'!B:B,match(D1572,'Query Tool'!C:C,0))</f>
        <v>1</v>
      </c>
      <c r="Y1572" s="161" t="str">
        <f t="shared" si="6"/>
        <v>koufoko01,2016-17</v>
      </c>
      <c r="Z1572" s="168">
        <f t="array" ref="Z1572">iferror(index(I:I,match($A1572&amp;","&amp;index('Year Conversion'!$A:$A,match($C1572,'Year Conversion'!$B:$B,0)),$Y:$Y,0))-I1572,"")</f>
        <v>1</v>
      </c>
      <c r="AA1572" s="168">
        <f t="array" ref="AA1572">iferror(index(J:J,match($A1572&amp;","&amp;index('Year Conversion'!$A:$A,match($C1572,'Year Conversion'!$B:$B,0)),$Y:$Y,0))-J1572,"")</f>
        <v>0.1661665684</v>
      </c>
      <c r="AB1572" s="168">
        <f t="array" ref="AB1572">iferror(index(K:K,match($A1572&amp;","&amp;index('Year Conversion'!$A:$A,match($C1572,'Year Conversion'!$B:$B,0)),$Y:$Y,0))-K1572,"")</f>
        <v>1.066948572</v>
      </c>
      <c r="AC1572" s="168" t="str">
        <f t="shared" si="7"/>
        <v>SAC,2016-17</v>
      </c>
    </row>
    <row r="1573">
      <c r="A1573" s="161" t="str">
        <f>IFERROR(__xludf.DUMMYFUNCTION("""COMPUTED_VALUE"""),"ibakase01")</f>
        <v>ibakase01</v>
      </c>
      <c r="B1573" s="161" t="str">
        <f>IFERROR(__xludf.DUMMYFUNCTION("""COMPUTED_VALUE"""),"Serge Ibaka")</f>
        <v>Serge Ibaka</v>
      </c>
      <c r="C1573" s="162" t="str">
        <f>IFERROR(__xludf.DUMMYFUNCTION("""COMPUTED_VALUE"""),"2016-17")</f>
        <v>2016-17</v>
      </c>
      <c r="D1573" s="163" t="str">
        <f>IFERROR(__xludf.DUMMYFUNCTION("""COMPUTED_VALUE"""),"TOT")</f>
        <v>TOT</v>
      </c>
      <c r="E1573" s="164" t="str">
        <f>IFERROR(__xludf.DUMMYFUNCTION("""COMPUTED_VALUE"""),"Versatile Big")</f>
        <v>Versatile Big</v>
      </c>
      <c r="F1573" s="164">
        <f>IFERROR(__xludf.DUMMYFUNCTION("""COMPUTED_VALUE"""),2422.08)</f>
        <v>2422.08</v>
      </c>
      <c r="G1573" s="163">
        <f>IFERROR(__xludf.DUMMYFUNCTION("""COMPUTED_VALUE"""),79.0)</f>
        <v>79</v>
      </c>
      <c r="H1573" s="163" t="str">
        <f>IFERROR(__xludf.DUMMYFUNCTION("""COMPUTED_VALUE"""),"PF")</f>
        <v>PF</v>
      </c>
      <c r="I1573" s="163">
        <f>IFERROR(__xludf.DUMMYFUNCTION("""COMPUTED_VALUE"""),27.0)</f>
        <v>27</v>
      </c>
      <c r="J1573" s="165">
        <f>IFERROR(__xludf.DUMMYFUNCTION("""COMPUTED_VALUE"""),0.302266456611577)</f>
        <v>0.3022664566</v>
      </c>
      <c r="K1573" s="165">
        <f>IFERROR(__xludf.DUMMYFUNCTION("""COMPUTED_VALUE"""),-0.2626535734561)</f>
        <v>-0.2626535735</v>
      </c>
      <c r="L1573" s="165">
        <f>IFERROR(__xludf.DUMMYFUNCTION("""COMPUTED_VALUE"""),0.564920030067678)</f>
        <v>0.5649200301</v>
      </c>
      <c r="M1573" s="166">
        <f t="shared" si="2"/>
        <v>4.227560854</v>
      </c>
      <c r="N1573" s="167">
        <f t="shared" si="3"/>
        <v>30.65924051</v>
      </c>
      <c r="O1573" s="163">
        <f t="shared" ref="O1573:Q1573" si="1577">rank(I1573,I:I)</f>
        <v>1366</v>
      </c>
      <c r="P1573" s="163">
        <f t="shared" si="1577"/>
        <v>1017</v>
      </c>
      <c r="Q1573" s="163">
        <f t="shared" si="1577"/>
        <v>1693</v>
      </c>
      <c r="R1573" s="163">
        <f>IFERROR(__xludf.DUMMYFUNCTION("RANK(M1573,filter(M:M,C:C=C1573))"),73.0)</f>
        <v>73</v>
      </c>
      <c r="S1573" s="161" t="b">
        <f t="shared" si="5"/>
        <v>0</v>
      </c>
      <c r="T1573" s="161" t="b">
        <f t="array" ref="T1573">index('Query Tool'!B:B,match(H1573,'Query Tool'!C:C,0))</f>
        <v>1</v>
      </c>
      <c r="U1573" s="161" t="b">
        <f t="array" ref="U1573">index('Query Tool'!B:B,match(C1573,'Query Tool'!C:C,0))</f>
        <v>0</v>
      </c>
      <c r="V1573" s="161" t="b">
        <f>F1573&gt;='Query Tool'!C$32</f>
        <v>1</v>
      </c>
      <c r="W1573" s="161" t="b">
        <f t="array" ref="W1573">index(Dropdowns!B:B,match(I1573,Dropdowns!A:A,0))</f>
        <v>1</v>
      </c>
      <c r="X1573" s="161" t="b">
        <f t="array" ref="X1573">index('Query Tool'!B:B,match(D1573,'Query Tool'!C:C,0))</f>
        <v>1</v>
      </c>
      <c r="Y1573" s="161" t="str">
        <f t="shared" si="6"/>
        <v>ibakase01,2016-17</v>
      </c>
      <c r="Z1573" s="168">
        <f t="array" ref="Z1573">iferror(index(I:I,match($A1573&amp;","&amp;index('Year Conversion'!$A:$A,match($C1573,'Year Conversion'!$B:$B,0)),$Y:$Y,0))-I1573,"")</f>
        <v>1</v>
      </c>
      <c r="AA1573" s="168">
        <f t="array" ref="AA1573">iferror(index(J:J,match($A1573&amp;","&amp;index('Year Conversion'!$A:$A,match($C1573,'Year Conversion'!$B:$B,0)),$Y:$Y,0))-J1573,"")</f>
        <v>0.9650722382</v>
      </c>
      <c r="AB1573" s="168">
        <f t="array" ref="AB1573">iferror(index(K:K,match($A1573&amp;","&amp;index('Year Conversion'!$A:$A,match($C1573,'Year Conversion'!$B:$B,0)),$Y:$Y,0))-K1573,"")</f>
        <v>0.5070051085</v>
      </c>
      <c r="AC1573" s="168" t="str">
        <f t="shared" si="7"/>
        <v>TOT,2016-17</v>
      </c>
    </row>
    <row r="1574">
      <c r="A1574" s="161" t="str">
        <f>IFERROR(__xludf.DUMMYFUNCTION("""COMPUTED_VALUE"""),"batumni01")</f>
        <v>batumni01</v>
      </c>
      <c r="B1574" s="161" t="str">
        <f>IFERROR(__xludf.DUMMYFUNCTION("""COMPUTED_VALUE"""),"Nicolas Batum")</f>
        <v>Nicolas Batum</v>
      </c>
      <c r="C1574" s="162" t="str">
        <f>IFERROR(__xludf.DUMMYFUNCTION("""COMPUTED_VALUE"""),"2016-17")</f>
        <v>2016-17</v>
      </c>
      <c r="D1574" s="163" t="str">
        <f>IFERROR(__xludf.DUMMYFUNCTION("""COMPUTED_VALUE"""),"CHO")</f>
        <v>CHO</v>
      </c>
      <c r="E1574" s="164" t="str">
        <f>IFERROR(__xludf.DUMMYFUNCTION("""COMPUTED_VALUE"""),"Off Screen Shooter")</f>
        <v>Off Screen Shooter</v>
      </c>
      <c r="F1574" s="164">
        <f>IFERROR(__xludf.DUMMYFUNCTION("""COMPUTED_VALUE"""),2617.24833333333)</f>
        <v>2617.248333</v>
      </c>
      <c r="G1574" s="163">
        <f>IFERROR(__xludf.DUMMYFUNCTION("""COMPUTED_VALUE"""),77.0)</f>
        <v>77</v>
      </c>
      <c r="H1574" s="163" t="str">
        <f>IFERROR(__xludf.DUMMYFUNCTION("""COMPUTED_VALUE"""),"SG")</f>
        <v>SG</v>
      </c>
      <c r="I1574" s="163">
        <f>IFERROR(__xludf.DUMMYFUNCTION("""COMPUTED_VALUE"""),28.0)</f>
        <v>28</v>
      </c>
      <c r="J1574" s="165">
        <f>IFERROR(__xludf.DUMMYFUNCTION("""COMPUTED_VALUE"""),1.3511821461941)</f>
        <v>1.351182146</v>
      </c>
      <c r="K1574" s="165">
        <f>IFERROR(__xludf.DUMMYFUNCTION("""COMPUTED_VALUE"""),0.958445463561379)</f>
        <v>0.9584454636</v>
      </c>
      <c r="L1574" s="165">
        <f>IFERROR(__xludf.DUMMYFUNCTION("""COMPUTED_VALUE"""),0.392736682632722)</f>
        <v>0.3927366826</v>
      </c>
      <c r="M1574" s="166">
        <f t="shared" si="2"/>
        <v>6.413086852</v>
      </c>
      <c r="N1574" s="167">
        <f t="shared" si="3"/>
        <v>33.9902381</v>
      </c>
      <c r="O1574" s="163">
        <f t="shared" ref="O1574:Q1574" si="1578">rank(I1574,I:I)</f>
        <v>1090</v>
      </c>
      <c r="P1574" s="163">
        <f t="shared" si="1578"/>
        <v>508</v>
      </c>
      <c r="Q1574" s="163">
        <f t="shared" si="1578"/>
        <v>523</v>
      </c>
      <c r="R1574" s="163">
        <f>IFERROR(__xludf.DUMMYFUNCTION("RANK(M1574,filter(M:M,C:C=C1574))"),41.0)</f>
        <v>41</v>
      </c>
      <c r="S1574" s="161" t="b">
        <f t="shared" si="5"/>
        <v>0</v>
      </c>
      <c r="T1574" s="161" t="b">
        <f t="array" ref="T1574">index('Query Tool'!B:B,match(H1574,'Query Tool'!C:C,0))</f>
        <v>1</v>
      </c>
      <c r="U1574" s="161" t="b">
        <f t="array" ref="U1574">index('Query Tool'!B:B,match(C1574,'Query Tool'!C:C,0))</f>
        <v>0</v>
      </c>
      <c r="V1574" s="161" t="b">
        <f>F1574&gt;='Query Tool'!C$32</f>
        <v>1</v>
      </c>
      <c r="W1574" s="161" t="b">
        <f t="array" ref="W1574">index(Dropdowns!B:B,match(I1574,Dropdowns!A:A,0))</f>
        <v>1</v>
      </c>
      <c r="X1574" s="161" t="b">
        <f t="array" ref="X1574">index('Query Tool'!B:B,match(D1574,'Query Tool'!C:C,0))</f>
        <v>1</v>
      </c>
      <c r="Y1574" s="161" t="str">
        <f t="shared" si="6"/>
        <v>batumni01,2016-17</v>
      </c>
      <c r="Z1574" s="168">
        <f t="array" ref="Z1574">iferror(index(I:I,match($A1574&amp;","&amp;index('Year Conversion'!$A:$A,match($C1574,'Year Conversion'!$B:$B,0)),$Y:$Y,0))-I1574,"")</f>
        <v>1</v>
      </c>
      <c r="AA1574" s="168">
        <f t="array" ref="AA1574">iferror(index(J:J,match($A1574&amp;","&amp;index('Year Conversion'!$A:$A,match($C1574,'Year Conversion'!$B:$B,0)),$Y:$Y,0))-J1574,"")</f>
        <v>-1.039577197</v>
      </c>
      <c r="AB1574" s="168">
        <f t="array" ref="AB1574">iferror(index(K:K,match($A1574&amp;","&amp;index('Year Conversion'!$A:$A,match($C1574,'Year Conversion'!$B:$B,0)),$Y:$Y,0))-K1574,"")</f>
        <v>-0.1867656562</v>
      </c>
      <c r="AC1574" s="168" t="str">
        <f t="shared" si="7"/>
        <v>CHO,2016-17</v>
      </c>
    </row>
    <row r="1575">
      <c r="A1575" s="161" t="str">
        <f>IFERROR(__xludf.DUMMYFUNCTION("""COMPUTED_VALUE"""),"hillge01")</f>
        <v>hillge01</v>
      </c>
      <c r="B1575" s="161" t="str">
        <f>IFERROR(__xludf.DUMMYFUNCTION("""COMPUTED_VALUE"""),"George Hill")</f>
        <v>George Hill</v>
      </c>
      <c r="C1575" s="162" t="str">
        <f>IFERROR(__xludf.DUMMYFUNCTION("""COMPUTED_VALUE"""),"2016-17")</f>
        <v>2016-17</v>
      </c>
      <c r="D1575" s="163" t="str">
        <f>IFERROR(__xludf.DUMMYFUNCTION("""COMPUTED_VALUE"""),"UTA")</f>
        <v>UTA</v>
      </c>
      <c r="E1575" s="164" t="str">
        <f>IFERROR(__xludf.DUMMYFUNCTION("""COMPUTED_VALUE"""),"Primary Ball Handler")</f>
        <v>Primary Ball Handler</v>
      </c>
      <c r="F1575" s="164">
        <f>IFERROR(__xludf.DUMMYFUNCTION("""COMPUTED_VALUE"""),1543.99166666667)</f>
        <v>1543.991667</v>
      </c>
      <c r="G1575" s="163">
        <f>IFERROR(__xludf.DUMMYFUNCTION("""COMPUTED_VALUE"""),49.0)</f>
        <v>49</v>
      </c>
      <c r="H1575" s="163" t="str">
        <f>IFERROR(__xludf.DUMMYFUNCTION("""COMPUTED_VALUE"""),"PG")</f>
        <v>PG</v>
      </c>
      <c r="I1575" s="163">
        <f>IFERROR(__xludf.DUMMYFUNCTION("""COMPUTED_VALUE"""),30.0)</f>
        <v>30</v>
      </c>
      <c r="J1575" s="165">
        <f>IFERROR(__xludf.DUMMYFUNCTION("""COMPUTED_VALUE"""),2.90085076562106)</f>
        <v>2.900850766</v>
      </c>
      <c r="K1575" s="165">
        <f>IFERROR(__xludf.DUMMYFUNCTION("""COMPUTED_VALUE"""),1.9261944812093)</f>
        <v>1.926194481</v>
      </c>
      <c r="L1575" s="165">
        <f>IFERROR(__xludf.DUMMYFUNCTION("""COMPUTED_VALUE"""),0.974656284411766)</f>
        <v>0.9746562844</v>
      </c>
      <c r="M1575" s="166">
        <f t="shared" si="2"/>
        <v>5.365130219</v>
      </c>
      <c r="N1575" s="167">
        <f t="shared" si="3"/>
        <v>31.51003401</v>
      </c>
      <c r="O1575" s="163">
        <f t="shared" ref="O1575:Q1575" si="1579">rank(I1575,I:I)</f>
        <v>655</v>
      </c>
      <c r="P1575" s="163">
        <f t="shared" si="1579"/>
        <v>179</v>
      </c>
      <c r="Q1575" s="163">
        <f t="shared" si="1579"/>
        <v>237</v>
      </c>
      <c r="R1575" s="163">
        <f>IFERROR(__xludf.DUMMYFUNCTION("RANK(M1575,filter(M:M,C:C=C1575))"),53.0)</f>
        <v>53</v>
      </c>
      <c r="S1575" s="161" t="b">
        <f t="shared" si="5"/>
        <v>0</v>
      </c>
      <c r="T1575" s="161" t="b">
        <f t="array" ref="T1575">index('Query Tool'!B:B,match(H1575,'Query Tool'!C:C,0))</f>
        <v>1</v>
      </c>
      <c r="U1575" s="161" t="b">
        <f t="array" ref="U1575">index('Query Tool'!B:B,match(C1575,'Query Tool'!C:C,0))</f>
        <v>0</v>
      </c>
      <c r="V1575" s="161" t="b">
        <f>F1575&gt;='Query Tool'!C$32</f>
        <v>1</v>
      </c>
      <c r="W1575" s="161" t="b">
        <f t="array" ref="W1575">index(Dropdowns!B:B,match(I1575,Dropdowns!A:A,0))</f>
        <v>1</v>
      </c>
      <c r="X1575" s="161" t="b">
        <f t="array" ref="X1575">index('Query Tool'!B:B,match(D1575,'Query Tool'!C:C,0))</f>
        <v>1</v>
      </c>
      <c r="Y1575" s="161" t="str">
        <f t="shared" si="6"/>
        <v>hillge01,2016-17</v>
      </c>
      <c r="Z1575" s="168">
        <f t="array" ref="Z1575">iferror(index(I:I,match($A1575&amp;","&amp;index('Year Conversion'!$A:$A,match($C1575,'Year Conversion'!$B:$B,0)),$Y:$Y,0))-I1575,"")</f>
        <v>1</v>
      </c>
      <c r="AA1575" s="168">
        <f t="array" ref="AA1575">iferror(index(J:J,match($A1575&amp;","&amp;index('Year Conversion'!$A:$A,match($C1575,'Year Conversion'!$B:$B,0)),$Y:$Y,0))-J1575,"")</f>
        <v>-3.045019051</v>
      </c>
      <c r="AB1575" s="168">
        <f t="array" ref="AB1575">iferror(index(K:K,match($A1575&amp;","&amp;index('Year Conversion'!$A:$A,match($C1575,'Year Conversion'!$B:$B,0)),$Y:$Y,0))-K1575,"")</f>
        <v>-1.802163829</v>
      </c>
      <c r="AC1575" s="168" t="str">
        <f t="shared" si="7"/>
        <v>UTA,2016-17</v>
      </c>
    </row>
    <row r="1576">
      <c r="A1576" s="161" t="str">
        <f>IFERROR(__xludf.DUMMYFUNCTION("""COMPUTED_VALUE"""),"arthuda01")</f>
        <v>arthuda01</v>
      </c>
      <c r="B1576" s="161" t="str">
        <f>IFERROR(__xludf.DUMMYFUNCTION("""COMPUTED_VALUE"""),"Darrell Arthur")</f>
        <v>Darrell Arthur</v>
      </c>
      <c r="C1576" s="162" t="str">
        <f>IFERROR(__xludf.DUMMYFUNCTION("""COMPUTED_VALUE"""),"2016-17")</f>
        <v>2016-17</v>
      </c>
      <c r="D1576" s="163" t="str">
        <f>IFERROR(__xludf.DUMMYFUNCTION("""COMPUTED_VALUE"""),"DEN")</f>
        <v>DEN</v>
      </c>
      <c r="E1576" s="164" t="str">
        <f>IFERROR(__xludf.DUMMYFUNCTION("""COMPUTED_VALUE"""),"Stretch Big")</f>
        <v>Stretch Big</v>
      </c>
      <c r="F1576" s="164">
        <f>IFERROR(__xludf.DUMMYFUNCTION("""COMPUTED_VALUE"""),638.54)</f>
        <v>638.54</v>
      </c>
      <c r="G1576" s="163">
        <f>IFERROR(__xludf.DUMMYFUNCTION("""COMPUTED_VALUE"""),41.0)</f>
        <v>41</v>
      </c>
      <c r="H1576" s="163" t="str">
        <f>IFERROR(__xludf.DUMMYFUNCTION("""COMPUTED_VALUE"""),"PF")</f>
        <v>PF</v>
      </c>
      <c r="I1576" s="163">
        <f>IFERROR(__xludf.DUMMYFUNCTION("""COMPUTED_VALUE"""),28.0)</f>
        <v>28</v>
      </c>
      <c r="J1576" s="165">
        <f>IFERROR(__xludf.DUMMYFUNCTION("""COMPUTED_VALUE"""),-0.960450459070125)</f>
        <v>-0.9604504591</v>
      </c>
      <c r="K1576" s="165">
        <f>IFERROR(__xludf.DUMMYFUNCTION("""COMPUTED_VALUE"""),-1.1905215246843)</f>
        <v>-1.190521525</v>
      </c>
      <c r="L1576" s="165">
        <f>IFERROR(__xludf.DUMMYFUNCTION("""COMPUTED_VALUE"""),0.230071065614177)</f>
        <v>0.2300710656</v>
      </c>
      <c r="M1576" s="166">
        <f t="shared" si="2"/>
        <v>0.5714736728</v>
      </c>
      <c r="N1576" s="167">
        <f t="shared" si="3"/>
        <v>15.57414634</v>
      </c>
      <c r="O1576" s="163">
        <f t="shared" ref="O1576:Q1576" si="1580">rank(I1576,I:I)</f>
        <v>1090</v>
      </c>
      <c r="P1576" s="163">
        <f t="shared" si="1580"/>
        <v>2463</v>
      </c>
      <c r="Q1576" s="163">
        <f t="shared" si="1580"/>
        <v>3029</v>
      </c>
      <c r="R1576" s="163">
        <f>IFERROR(__xludf.DUMMYFUNCTION("RANK(M1576,filter(M:M,C:C=C1576))"),270.0)</f>
        <v>270</v>
      </c>
      <c r="S1576" s="161" t="b">
        <f t="shared" si="5"/>
        <v>0</v>
      </c>
      <c r="T1576" s="161" t="b">
        <f t="array" ref="T1576">index('Query Tool'!B:B,match(H1576,'Query Tool'!C:C,0))</f>
        <v>1</v>
      </c>
      <c r="U1576" s="161" t="b">
        <f t="array" ref="U1576">index('Query Tool'!B:B,match(C1576,'Query Tool'!C:C,0))</f>
        <v>0</v>
      </c>
      <c r="V1576" s="161" t="b">
        <f>F1576&gt;='Query Tool'!C$32</f>
        <v>1</v>
      </c>
      <c r="W1576" s="161" t="b">
        <f t="array" ref="W1576">index(Dropdowns!B:B,match(I1576,Dropdowns!A:A,0))</f>
        <v>1</v>
      </c>
      <c r="X1576" s="161" t="b">
        <f t="array" ref="X1576">index('Query Tool'!B:B,match(D1576,'Query Tool'!C:C,0))</f>
        <v>1</v>
      </c>
      <c r="Y1576" s="161" t="str">
        <f t="shared" si="6"/>
        <v>arthuda01,2016-17</v>
      </c>
      <c r="Z1576" s="168">
        <f t="array" ref="Z1576">iferror(index(I:I,match($A1576&amp;","&amp;index('Year Conversion'!$A:$A,match($C1576,'Year Conversion'!$B:$B,0)),$Y:$Y,0))-I1576,"")</f>
        <v>1</v>
      </c>
      <c r="AA1576" s="168">
        <f t="array" ref="AA1576">iferror(index(J:J,match($A1576&amp;","&amp;index('Year Conversion'!$A:$A,match($C1576,'Year Conversion'!$B:$B,0)),$Y:$Y,0))-J1576,"")</f>
        <v>-0.8555206759</v>
      </c>
      <c r="AB1576" s="168">
        <f t="array" ref="AB1576">iferror(index(K:K,match($A1576&amp;","&amp;index('Year Conversion'!$A:$A,match($C1576,'Year Conversion'!$B:$B,0)),$Y:$Y,0))-K1576,"")</f>
        <v>-0.0509356659</v>
      </c>
      <c r="AC1576" s="168" t="str">
        <f t="shared" si="7"/>
        <v>DEN,2016-17</v>
      </c>
    </row>
    <row r="1577">
      <c r="A1577" s="161" t="str">
        <f>IFERROR(__xludf.DUMMYFUNCTION("""COMPUTED_VALUE"""),"jordade01")</f>
        <v>jordade01</v>
      </c>
      <c r="B1577" s="161" t="str">
        <f>IFERROR(__xludf.DUMMYFUNCTION("""COMPUTED_VALUE"""),"DeAndre Jordan")</f>
        <v>DeAndre Jordan</v>
      </c>
      <c r="C1577" s="162" t="str">
        <f>IFERROR(__xludf.DUMMYFUNCTION("""COMPUTED_VALUE"""),"2016-17")</f>
        <v>2016-17</v>
      </c>
      <c r="D1577" s="163" t="str">
        <f>IFERROR(__xludf.DUMMYFUNCTION("""COMPUTED_VALUE"""),"LAC")</f>
        <v>LAC</v>
      </c>
      <c r="E1577" s="164" t="str">
        <f>IFERROR(__xludf.DUMMYFUNCTION("""COMPUTED_VALUE"""),"Roll + Cut Big")</f>
        <v>Roll + Cut Big</v>
      </c>
      <c r="F1577" s="164">
        <f>IFERROR(__xludf.DUMMYFUNCTION("""COMPUTED_VALUE"""),2570.305)</f>
        <v>2570.305</v>
      </c>
      <c r="G1577" s="163">
        <f>IFERROR(__xludf.DUMMYFUNCTION("""COMPUTED_VALUE"""),81.0)</f>
        <v>81</v>
      </c>
      <c r="H1577" s="163" t="str">
        <f>IFERROR(__xludf.DUMMYFUNCTION("""COMPUTED_VALUE"""),"C")</f>
        <v>C</v>
      </c>
      <c r="I1577" s="163">
        <f>IFERROR(__xludf.DUMMYFUNCTION("""COMPUTED_VALUE"""),28.0)</f>
        <v>28</v>
      </c>
      <c r="J1577" s="165">
        <f>IFERROR(__xludf.DUMMYFUNCTION("""COMPUTED_VALUE"""),3.76876764412894)</f>
        <v>3.768767644</v>
      </c>
      <c r="K1577" s="165">
        <f>IFERROR(__xludf.DUMMYFUNCTION("""COMPUTED_VALUE"""),1.04379137975661)</f>
        <v>1.04379138</v>
      </c>
      <c r="L1577" s="165">
        <f>IFERROR(__xludf.DUMMYFUNCTION("""COMPUTED_VALUE"""),2.72497626437234)</f>
        <v>2.724976264</v>
      </c>
      <c r="M1577" s="166">
        <f t="shared" si="2"/>
        <v>10.36746188</v>
      </c>
      <c r="N1577" s="167">
        <f t="shared" si="3"/>
        <v>31.73216049</v>
      </c>
      <c r="O1577" s="163">
        <f t="shared" ref="O1577:Q1577" si="1581">rank(I1577,I:I)</f>
        <v>1090</v>
      </c>
      <c r="P1577" s="163">
        <f t="shared" si="1581"/>
        <v>112</v>
      </c>
      <c r="Q1577" s="163">
        <f t="shared" si="1581"/>
        <v>480</v>
      </c>
      <c r="R1577" s="163">
        <f>IFERROR(__xludf.DUMMYFUNCTION("RANK(M1577,filter(M:M,C:C=C1577))"),14.0)</f>
        <v>14</v>
      </c>
      <c r="S1577" s="161" t="b">
        <f t="shared" si="5"/>
        <v>0</v>
      </c>
      <c r="T1577" s="161" t="b">
        <f t="array" ref="T1577">index('Query Tool'!B:B,match(H1577,'Query Tool'!C:C,0))</f>
        <v>1</v>
      </c>
      <c r="U1577" s="161" t="b">
        <f t="array" ref="U1577">index('Query Tool'!B:B,match(C1577,'Query Tool'!C:C,0))</f>
        <v>0</v>
      </c>
      <c r="V1577" s="161" t="b">
        <f>F1577&gt;='Query Tool'!C$32</f>
        <v>1</v>
      </c>
      <c r="W1577" s="161" t="b">
        <f t="array" ref="W1577">index(Dropdowns!B:B,match(I1577,Dropdowns!A:A,0))</f>
        <v>1</v>
      </c>
      <c r="X1577" s="161" t="b">
        <f t="array" ref="X1577">index('Query Tool'!B:B,match(D1577,'Query Tool'!C:C,0))</f>
        <v>1</v>
      </c>
      <c r="Y1577" s="161" t="str">
        <f t="shared" si="6"/>
        <v>jordade01,2016-17</v>
      </c>
      <c r="Z1577" s="168">
        <f t="array" ref="Z1577">iferror(index(I:I,match($A1577&amp;","&amp;index('Year Conversion'!$A:$A,match($C1577,'Year Conversion'!$B:$B,0)),$Y:$Y,0))-I1577,"")</f>
        <v>1</v>
      </c>
      <c r="AA1577" s="168">
        <f t="array" ref="AA1577">iferror(index(J:J,match($A1577&amp;","&amp;index('Year Conversion'!$A:$A,match($C1577,'Year Conversion'!$B:$B,0)),$Y:$Y,0))-J1577,"")</f>
        <v>-3.128881368</v>
      </c>
      <c r="AB1577" s="168">
        <f t="array" ref="AB1577">iferror(index(K:K,match($A1577&amp;","&amp;index('Year Conversion'!$A:$A,match($C1577,'Year Conversion'!$B:$B,0)),$Y:$Y,0))-K1577,"")</f>
        <v>-1.372579476</v>
      </c>
      <c r="AC1577" s="168" t="str">
        <f t="shared" si="7"/>
        <v>LAC,2016-17</v>
      </c>
    </row>
    <row r="1578">
      <c r="A1578" s="161" t="str">
        <f>IFERROR(__xludf.DUMMYFUNCTION("""COMPUTED_VALUE"""),"asikom01")</f>
        <v>asikom01</v>
      </c>
      <c r="B1578" s="161" t="str">
        <f>IFERROR(__xludf.DUMMYFUNCTION("""COMPUTED_VALUE"""),"Omer Asik")</f>
        <v>Omer Asik</v>
      </c>
      <c r="C1578" s="162" t="str">
        <f>IFERROR(__xludf.DUMMYFUNCTION("""COMPUTED_VALUE"""),"2016-17")</f>
        <v>2016-17</v>
      </c>
      <c r="D1578" s="163" t="str">
        <f>IFERROR(__xludf.DUMMYFUNCTION("""COMPUTED_VALUE"""),"NOP")</f>
        <v>NOP</v>
      </c>
      <c r="E1578" s="164" t="str">
        <f>IFERROR(__xludf.DUMMYFUNCTION("""COMPUTED_VALUE"""),"Roll + Cut Big")</f>
        <v>Roll + Cut Big</v>
      </c>
      <c r="F1578" s="164">
        <f>IFERROR(__xludf.DUMMYFUNCTION("""COMPUTED_VALUE"""),482.123333333333)</f>
        <v>482.1233333</v>
      </c>
      <c r="G1578" s="163">
        <f>IFERROR(__xludf.DUMMYFUNCTION("""COMPUTED_VALUE"""),31.0)</f>
        <v>31</v>
      </c>
      <c r="H1578" s="163" t="str">
        <f>IFERROR(__xludf.DUMMYFUNCTION("""COMPUTED_VALUE"""),"C")</f>
        <v>C</v>
      </c>
      <c r="I1578" s="163">
        <f>IFERROR(__xludf.DUMMYFUNCTION("""COMPUTED_VALUE"""),30.0)</f>
        <v>30</v>
      </c>
      <c r="J1578" s="165">
        <f>IFERROR(__xludf.DUMMYFUNCTION("""COMPUTED_VALUE"""),-1.68012856146764)</f>
        <v>-1.680128561</v>
      </c>
      <c r="K1578" s="165">
        <f>IFERROR(__xludf.DUMMYFUNCTION("""COMPUTED_VALUE"""),-2.76516898389662)</f>
        <v>-2.765168984</v>
      </c>
      <c r="L1578" s="165">
        <f>IFERROR(__xludf.DUMMYFUNCTION("""COMPUTED_VALUE"""),1.08504042242897)</f>
        <v>1.085040422</v>
      </c>
      <c r="M1578" s="166">
        <f t="shared" si="2"/>
        <v>0.1992915809</v>
      </c>
      <c r="N1578" s="167">
        <f t="shared" si="3"/>
        <v>15.55236559</v>
      </c>
      <c r="O1578" s="163">
        <f t="shared" ref="O1578:Q1578" si="1582">rank(I1578,I:I)</f>
        <v>655</v>
      </c>
      <c r="P1578" s="163">
        <f t="shared" si="1582"/>
        <v>3224</v>
      </c>
      <c r="Q1578" s="163">
        <f t="shared" si="1582"/>
        <v>3946</v>
      </c>
      <c r="R1578" s="163">
        <f>IFERROR(__xludf.DUMMYFUNCTION("RANK(M1578,filter(M:M,C:C=C1578))"),342.0)</f>
        <v>342</v>
      </c>
      <c r="S1578" s="161" t="b">
        <f t="shared" si="5"/>
        <v>0</v>
      </c>
      <c r="T1578" s="161" t="b">
        <f t="array" ref="T1578">index('Query Tool'!B:B,match(H1578,'Query Tool'!C:C,0))</f>
        <v>1</v>
      </c>
      <c r="U1578" s="161" t="b">
        <f t="array" ref="U1578">index('Query Tool'!B:B,match(C1578,'Query Tool'!C:C,0))</f>
        <v>0</v>
      </c>
      <c r="V1578" s="161" t="b">
        <f>F1578&gt;='Query Tool'!C$32</f>
        <v>0</v>
      </c>
      <c r="W1578" s="161" t="b">
        <f t="array" ref="W1578">index(Dropdowns!B:B,match(I1578,Dropdowns!A:A,0))</f>
        <v>1</v>
      </c>
      <c r="X1578" s="161" t="b">
        <f t="array" ref="X1578">index('Query Tool'!B:B,match(D1578,'Query Tool'!C:C,0))</f>
        <v>1</v>
      </c>
      <c r="Y1578" s="161" t="str">
        <f t="shared" si="6"/>
        <v>asikom01,2016-17</v>
      </c>
      <c r="Z1578" s="168">
        <f t="array" ref="Z1578">iferror(index(I:I,match($A1578&amp;","&amp;index('Year Conversion'!$A:$A,match($C1578,'Year Conversion'!$B:$B,0)),$Y:$Y,0))-I1578,"")</f>
        <v>1</v>
      </c>
      <c r="AA1578" s="168">
        <f t="array" ref="AA1578">iferror(index(J:J,match($A1578&amp;","&amp;index('Year Conversion'!$A:$A,match($C1578,'Year Conversion'!$B:$B,0)),$Y:$Y,0))-J1578,"")</f>
        <v>0.681654506</v>
      </c>
      <c r="AB1578" s="168">
        <f t="array" ref="AB1578">iferror(index(K:K,match($A1578&amp;","&amp;index('Year Conversion'!$A:$A,match($C1578,'Year Conversion'!$B:$B,0)),$Y:$Y,0))-K1578,"")</f>
        <v>1.733820404</v>
      </c>
      <c r="AC1578" s="168" t="str">
        <f t="shared" si="7"/>
        <v>NOP,2016-17</v>
      </c>
    </row>
    <row r="1579">
      <c r="A1579" s="161" t="str">
        <f>IFERROR(__xludf.DUMMYFUNCTION("""COMPUTED_VALUE"""),"mbahalu01")</f>
        <v>mbahalu01</v>
      </c>
      <c r="B1579" s="161" t="str">
        <f>IFERROR(__xludf.DUMMYFUNCTION("""COMPUTED_VALUE"""),"Luc Mbah a Moute")</f>
        <v>Luc Mbah a Moute</v>
      </c>
      <c r="C1579" s="162" t="str">
        <f>IFERROR(__xludf.DUMMYFUNCTION("""COMPUTED_VALUE"""),"2016-17")</f>
        <v>2016-17</v>
      </c>
      <c r="D1579" s="163" t="str">
        <f>IFERROR(__xludf.DUMMYFUNCTION("""COMPUTED_VALUE"""),"LAC")</f>
        <v>LAC</v>
      </c>
      <c r="E1579" s="164" t="str">
        <f>IFERROR(__xludf.DUMMYFUNCTION("""COMPUTED_VALUE"""),"Athletic Finisher")</f>
        <v>Athletic Finisher</v>
      </c>
      <c r="F1579" s="164">
        <f>IFERROR(__xludf.DUMMYFUNCTION("""COMPUTED_VALUE"""),1787.185)</f>
        <v>1787.185</v>
      </c>
      <c r="G1579" s="163">
        <f>IFERROR(__xludf.DUMMYFUNCTION("""COMPUTED_VALUE"""),80.0)</f>
        <v>80</v>
      </c>
      <c r="H1579" s="163" t="str">
        <f>IFERROR(__xludf.DUMMYFUNCTION("""COMPUTED_VALUE"""),"SF")</f>
        <v>SF</v>
      </c>
      <c r="I1579" s="163">
        <f>IFERROR(__xludf.DUMMYFUNCTION("""COMPUTED_VALUE"""),30.0)</f>
        <v>30</v>
      </c>
      <c r="J1579" s="165">
        <f>IFERROR(__xludf.DUMMYFUNCTION("""COMPUTED_VALUE"""),-0.600046867651445)</f>
        <v>-0.6000468677</v>
      </c>
      <c r="K1579" s="165">
        <f>IFERROR(__xludf.DUMMYFUNCTION("""COMPUTED_VALUE"""),-2.43197937913484)</f>
        <v>-2.431979379</v>
      </c>
      <c r="L1579" s="165">
        <f>IFERROR(__xludf.DUMMYFUNCTION("""COMPUTED_VALUE"""),1.83193251148339)</f>
        <v>1.831932511</v>
      </c>
      <c r="M1579" s="166">
        <f t="shared" si="2"/>
        <v>2.03260733</v>
      </c>
      <c r="N1579" s="167">
        <f t="shared" si="3"/>
        <v>22.3398125</v>
      </c>
      <c r="O1579" s="163">
        <f t="shared" ref="O1579:Q1579" si="1583">rank(I1579,I:I)</f>
        <v>655</v>
      </c>
      <c r="P1579" s="163">
        <f t="shared" si="1583"/>
        <v>1997</v>
      </c>
      <c r="Q1579" s="163">
        <f t="shared" si="1583"/>
        <v>3875</v>
      </c>
      <c r="R1579" s="163">
        <f>IFERROR(__xludf.DUMMYFUNCTION("RANK(M1579,filter(M:M,C:C=C1579))"),159.0)</f>
        <v>159</v>
      </c>
      <c r="S1579" s="161" t="b">
        <f t="shared" si="5"/>
        <v>0</v>
      </c>
      <c r="T1579" s="161" t="b">
        <f t="array" ref="T1579">index('Query Tool'!B:B,match(H1579,'Query Tool'!C:C,0))</f>
        <v>1</v>
      </c>
      <c r="U1579" s="161" t="b">
        <f t="array" ref="U1579">index('Query Tool'!B:B,match(C1579,'Query Tool'!C:C,0))</f>
        <v>0</v>
      </c>
      <c r="V1579" s="161" t="b">
        <f>F1579&gt;='Query Tool'!C$32</f>
        <v>1</v>
      </c>
      <c r="W1579" s="161" t="b">
        <f t="array" ref="W1579">index(Dropdowns!B:B,match(I1579,Dropdowns!A:A,0))</f>
        <v>1</v>
      </c>
      <c r="X1579" s="161" t="b">
        <f t="array" ref="X1579">index('Query Tool'!B:B,match(D1579,'Query Tool'!C:C,0))</f>
        <v>1</v>
      </c>
      <c r="Y1579" s="161" t="str">
        <f t="shared" si="6"/>
        <v>mbahalu01,2016-17</v>
      </c>
      <c r="Z1579" s="168">
        <f t="array" ref="Z1579">iferror(index(I:I,match($A1579&amp;","&amp;index('Year Conversion'!$A:$A,match($C1579,'Year Conversion'!$B:$B,0)),$Y:$Y,0))-I1579,"")</f>
        <v>1</v>
      </c>
      <c r="AA1579" s="168">
        <f t="array" ref="AA1579">iferror(index(J:J,match($A1579&amp;","&amp;index('Year Conversion'!$A:$A,match($C1579,'Year Conversion'!$B:$B,0)),$Y:$Y,0))-J1579,"")</f>
        <v>0.5375032844</v>
      </c>
      <c r="AB1579" s="168">
        <f t="array" ref="AB1579">iferror(index(K:K,match($A1579&amp;","&amp;index('Year Conversion'!$A:$A,match($C1579,'Year Conversion'!$B:$B,0)),$Y:$Y,0))-K1579,"")</f>
        <v>1.143487913</v>
      </c>
      <c r="AC1579" s="168" t="str">
        <f t="shared" si="7"/>
        <v>LAC,2016-17</v>
      </c>
    </row>
    <row r="1580">
      <c r="A1580" s="161" t="str">
        <f>IFERROR(__xludf.DUMMYFUNCTION("""COMPUTED_VALUE"""),"dragigo01")</f>
        <v>dragigo01</v>
      </c>
      <c r="B1580" s="161" t="str">
        <f>IFERROR(__xludf.DUMMYFUNCTION("""COMPUTED_VALUE"""),"Goran Dragic")</f>
        <v>Goran Dragic</v>
      </c>
      <c r="C1580" s="162" t="str">
        <f>IFERROR(__xludf.DUMMYFUNCTION("""COMPUTED_VALUE"""),"2016-17")</f>
        <v>2016-17</v>
      </c>
      <c r="D1580" s="163" t="str">
        <f>IFERROR(__xludf.DUMMYFUNCTION("""COMPUTED_VALUE"""),"MIA")</f>
        <v>MIA</v>
      </c>
      <c r="E1580" s="164" t="str">
        <f>IFERROR(__xludf.DUMMYFUNCTION("""COMPUTED_VALUE"""),"Slasher")</f>
        <v>Slasher</v>
      </c>
      <c r="F1580" s="164">
        <f>IFERROR(__xludf.DUMMYFUNCTION("""COMPUTED_VALUE"""),2459.43833333333)</f>
        <v>2459.438333</v>
      </c>
      <c r="G1580" s="163">
        <f>IFERROR(__xludf.DUMMYFUNCTION("""COMPUTED_VALUE"""),73.0)</f>
        <v>73</v>
      </c>
      <c r="H1580" s="163" t="str">
        <f>IFERROR(__xludf.DUMMYFUNCTION("""COMPUTED_VALUE"""),"PG")</f>
        <v>PG</v>
      </c>
      <c r="I1580" s="163">
        <f>IFERROR(__xludf.DUMMYFUNCTION("""COMPUTED_VALUE"""),30.0)</f>
        <v>30</v>
      </c>
      <c r="J1580" s="165">
        <f>IFERROR(__xludf.DUMMYFUNCTION("""COMPUTED_VALUE"""),0.461163288056086)</f>
        <v>0.4611632881</v>
      </c>
      <c r="K1580" s="165">
        <f>IFERROR(__xludf.DUMMYFUNCTION("""COMPUTED_VALUE"""),1.34726161448001)</f>
        <v>1.347261614</v>
      </c>
      <c r="L1580" s="165">
        <f>IFERROR(__xludf.DUMMYFUNCTION("""COMPUTED_VALUE"""),-0.886098326423923)</f>
        <v>-0.8860983264</v>
      </c>
      <c r="M1580" s="166">
        <f t="shared" si="2"/>
        <v>4.556076152</v>
      </c>
      <c r="N1580" s="167">
        <f t="shared" si="3"/>
        <v>33.69093607</v>
      </c>
      <c r="O1580" s="163">
        <f t="shared" ref="O1580:Q1580" si="1584">rank(I1580,I:I)</f>
        <v>655</v>
      </c>
      <c r="P1580" s="163">
        <f t="shared" si="1584"/>
        <v>919</v>
      </c>
      <c r="Q1580" s="163">
        <f t="shared" si="1584"/>
        <v>372</v>
      </c>
      <c r="R1580" s="163">
        <f>IFERROR(__xludf.DUMMYFUNCTION("RANK(M1580,filter(M:M,C:C=C1580))"),60.0)</f>
        <v>60</v>
      </c>
      <c r="S1580" s="161" t="b">
        <f t="shared" si="5"/>
        <v>0</v>
      </c>
      <c r="T1580" s="161" t="b">
        <f t="array" ref="T1580">index('Query Tool'!B:B,match(H1580,'Query Tool'!C:C,0))</f>
        <v>1</v>
      </c>
      <c r="U1580" s="161" t="b">
        <f t="array" ref="U1580">index('Query Tool'!B:B,match(C1580,'Query Tool'!C:C,0))</f>
        <v>0</v>
      </c>
      <c r="V1580" s="161" t="b">
        <f>F1580&gt;='Query Tool'!C$32</f>
        <v>1</v>
      </c>
      <c r="W1580" s="161" t="b">
        <f t="array" ref="W1580">index(Dropdowns!B:B,match(I1580,Dropdowns!A:A,0))</f>
        <v>1</v>
      </c>
      <c r="X1580" s="161" t="b">
        <f t="array" ref="X1580">index('Query Tool'!B:B,match(D1580,'Query Tool'!C:C,0))</f>
        <v>1</v>
      </c>
      <c r="Y1580" s="161" t="str">
        <f t="shared" si="6"/>
        <v>dragigo01,2016-17</v>
      </c>
      <c r="Z1580" s="168">
        <f t="array" ref="Z1580">iferror(index(I:I,match($A1580&amp;","&amp;index('Year Conversion'!$A:$A,match($C1580,'Year Conversion'!$B:$B,0)),$Y:$Y,0))-I1580,"")</f>
        <v>1</v>
      </c>
      <c r="AA1580" s="168">
        <f t="array" ref="AA1580">iferror(index(J:J,match($A1580&amp;","&amp;index('Year Conversion'!$A:$A,match($C1580,'Year Conversion'!$B:$B,0)),$Y:$Y,0))-J1580,"")</f>
        <v>-0.2527310219</v>
      </c>
      <c r="AB1580" s="168">
        <f t="array" ref="AB1580">iferror(index(K:K,match($A1580&amp;","&amp;index('Year Conversion'!$A:$A,match($C1580,'Year Conversion'!$B:$B,0)),$Y:$Y,0))-K1580,"")</f>
        <v>-0.4171740178</v>
      </c>
      <c r="AC1580" s="168" t="str">
        <f t="shared" si="7"/>
        <v>MIA,2016-17</v>
      </c>
    </row>
    <row r="1581">
      <c r="A1581" s="161" t="str">
        <f>IFERROR(__xludf.DUMMYFUNCTION("""COMPUTED_VALUE"""),"morroan01")</f>
        <v>morroan01</v>
      </c>
      <c r="B1581" s="161" t="str">
        <f>IFERROR(__xludf.DUMMYFUNCTION("""COMPUTED_VALUE"""),"Anthony Morrow")</f>
        <v>Anthony Morrow</v>
      </c>
      <c r="C1581" s="162" t="str">
        <f>IFERROR(__xludf.DUMMYFUNCTION("""COMPUTED_VALUE"""),"2016-17")</f>
        <v>2016-17</v>
      </c>
      <c r="D1581" s="163" t="str">
        <f>IFERROR(__xludf.DUMMYFUNCTION("""COMPUTED_VALUE"""),"TOT")</f>
        <v>TOT</v>
      </c>
      <c r="E1581" s="164" t="str">
        <f>IFERROR(__xludf.DUMMYFUNCTION("""COMPUTED_VALUE"""),"Stationary Shooter")</f>
        <v>Stationary Shooter</v>
      </c>
      <c r="F1581" s="164">
        <f>IFERROR(__xludf.DUMMYFUNCTION("""COMPUTED_VALUE"""),714.073333333333)</f>
        <v>714.0733333</v>
      </c>
      <c r="G1581" s="163">
        <f>IFERROR(__xludf.DUMMYFUNCTION("""COMPUTED_VALUE"""),49.0)</f>
        <v>49</v>
      </c>
      <c r="H1581" s="163" t="str">
        <f>IFERROR(__xludf.DUMMYFUNCTION("""COMPUTED_VALUE"""),"SG")</f>
        <v>SG</v>
      </c>
      <c r="I1581" s="163">
        <f>IFERROR(__xludf.DUMMYFUNCTION("""COMPUTED_VALUE"""),31.0)</f>
        <v>31</v>
      </c>
      <c r="J1581" s="165">
        <f>IFERROR(__xludf.DUMMYFUNCTION("""COMPUTED_VALUE"""),-1.55855235785501)</f>
        <v>-1.558552358</v>
      </c>
      <c r="K1581" s="165">
        <f>IFERROR(__xludf.DUMMYFUNCTION("""COMPUTED_VALUE"""),-0.119277381162456)</f>
        <v>-0.1192773812</v>
      </c>
      <c r="L1581" s="165">
        <f>IFERROR(__xludf.DUMMYFUNCTION("""COMPUTED_VALUE"""),-1.43927497669255)</f>
        <v>-1.439274977</v>
      </c>
      <c r="M1581" s="166">
        <f t="shared" si="2"/>
        <v>0.353064988</v>
      </c>
      <c r="N1581" s="167">
        <f t="shared" si="3"/>
        <v>14.57292517</v>
      </c>
      <c r="O1581" s="163">
        <f t="shared" ref="O1581:Q1581" si="1585">rank(I1581,I:I)</f>
        <v>490</v>
      </c>
      <c r="P1581" s="163">
        <f t="shared" si="1585"/>
        <v>3106</v>
      </c>
      <c r="Q1581" s="163">
        <f t="shared" si="1585"/>
        <v>1404</v>
      </c>
      <c r="R1581" s="163">
        <f>IFERROR(__xludf.DUMMYFUNCTION("RANK(M1581,filter(M:M,C:C=C1581))"),306.0)</f>
        <v>306</v>
      </c>
      <c r="S1581" s="161" t="b">
        <f t="shared" si="5"/>
        <v>0</v>
      </c>
      <c r="T1581" s="161" t="b">
        <f t="array" ref="T1581">index('Query Tool'!B:B,match(H1581,'Query Tool'!C:C,0))</f>
        <v>1</v>
      </c>
      <c r="U1581" s="161" t="b">
        <f t="array" ref="U1581">index('Query Tool'!B:B,match(C1581,'Query Tool'!C:C,0))</f>
        <v>0</v>
      </c>
      <c r="V1581" s="161" t="b">
        <f>F1581&gt;='Query Tool'!C$32</f>
        <v>1</v>
      </c>
      <c r="W1581" s="161" t="b">
        <f t="array" ref="W1581">index(Dropdowns!B:B,match(I1581,Dropdowns!A:A,0))</f>
        <v>1</v>
      </c>
      <c r="X1581" s="161" t="b">
        <f t="array" ref="X1581">index('Query Tool'!B:B,match(D1581,'Query Tool'!C:C,0))</f>
        <v>1</v>
      </c>
      <c r="Y1581" s="161" t="str">
        <f t="shared" si="6"/>
        <v>morroan01,2016-17</v>
      </c>
      <c r="Z1581" s="168" t="str">
        <f t="array" ref="Z1581">iferror(index(I:I,match($A1581&amp;","&amp;index('Year Conversion'!$A:$A,match($C1581,'Year Conversion'!$B:$B,0)),$Y:$Y,0))-I1581,"")</f>
        <v/>
      </c>
      <c r="AA1581" s="168" t="str">
        <f t="array" ref="AA1581">iferror(index(J:J,match($A1581&amp;","&amp;index('Year Conversion'!$A:$A,match($C1581,'Year Conversion'!$B:$B,0)),$Y:$Y,0))-J1581,"")</f>
        <v/>
      </c>
      <c r="AB1581" s="168" t="str">
        <f t="array" ref="AB1581">iferror(index(K:K,match($A1581&amp;","&amp;index('Year Conversion'!$A:$A,match($C1581,'Year Conversion'!$B:$B,0)),$Y:$Y,0))-K1581,"")</f>
        <v/>
      </c>
      <c r="AC1581" s="168" t="str">
        <f t="shared" si="7"/>
        <v>TOT,2016-17</v>
      </c>
    </row>
    <row r="1582">
      <c r="A1582" s="161" t="str">
        <f>IFERROR(__xludf.DUMMYFUNCTION("""COMPUTED_VALUE"""),"brownbo02")</f>
        <v>brownbo02</v>
      </c>
      <c r="B1582" s="161" t="str">
        <f>IFERROR(__xludf.DUMMYFUNCTION("""COMPUTED_VALUE"""),"Bobby Brown")</f>
        <v>Bobby Brown</v>
      </c>
      <c r="C1582" s="162" t="str">
        <f>IFERROR(__xludf.DUMMYFUNCTION("""COMPUTED_VALUE"""),"2016-17")</f>
        <v>2016-17</v>
      </c>
      <c r="D1582" s="163" t="str">
        <f>IFERROR(__xludf.DUMMYFUNCTION("""COMPUTED_VALUE"""),"HOU")</f>
        <v>HOU</v>
      </c>
      <c r="E1582" s="164" t="str">
        <f>IFERROR(__xludf.DUMMYFUNCTION("""COMPUTED_VALUE"""),"Secondary Ball Handler")</f>
        <v>Secondary Ball Handler</v>
      </c>
      <c r="F1582" s="164">
        <f>IFERROR(__xludf.DUMMYFUNCTION("""COMPUTED_VALUE"""),123.03)</f>
        <v>123.03</v>
      </c>
      <c r="G1582" s="163">
        <f>IFERROR(__xludf.DUMMYFUNCTION("""COMPUTED_VALUE"""),25.0)</f>
        <v>25</v>
      </c>
      <c r="H1582" s="163" t="str">
        <f>IFERROR(__xludf.DUMMYFUNCTION("""COMPUTED_VALUE"""),"PG")</f>
        <v>PG</v>
      </c>
      <c r="I1582" s="163">
        <f>IFERROR(__xludf.DUMMYFUNCTION("""COMPUTED_VALUE"""),32.0)</f>
        <v>32</v>
      </c>
      <c r="J1582" s="165">
        <f>IFERROR(__xludf.DUMMYFUNCTION("""COMPUTED_VALUE"""),-1.82931510789502)</f>
        <v>-1.829315108</v>
      </c>
      <c r="K1582" s="165">
        <f>IFERROR(__xludf.DUMMYFUNCTION("""COMPUTED_VALUE"""),-0.371443454331482)</f>
        <v>-0.3714434543</v>
      </c>
      <c r="L1582" s="165">
        <f>IFERROR(__xludf.DUMMYFUNCTION("""COMPUTED_VALUE"""),-1.45787165356354)</f>
        <v>-1.457871654</v>
      </c>
      <c r="M1582" s="166">
        <f t="shared" si="2"/>
        <v>0.03863912677</v>
      </c>
      <c r="N1582" s="167">
        <f t="shared" si="3"/>
        <v>4.9212</v>
      </c>
      <c r="O1582" s="163">
        <f t="shared" ref="O1582:Q1582" si="1586">rank(I1582,I:I)</f>
        <v>359</v>
      </c>
      <c r="P1582" s="163">
        <f t="shared" si="1586"/>
        <v>3366</v>
      </c>
      <c r="Q1582" s="163">
        <f t="shared" si="1586"/>
        <v>1896</v>
      </c>
      <c r="R1582" s="163">
        <f>IFERROR(__xludf.DUMMYFUNCTION("RANK(M1582,filter(M:M,C:C=C1582))"),414.0)</f>
        <v>414</v>
      </c>
      <c r="S1582" s="161" t="b">
        <f t="shared" si="5"/>
        <v>0</v>
      </c>
      <c r="T1582" s="161" t="b">
        <f t="array" ref="T1582">index('Query Tool'!B:B,match(H1582,'Query Tool'!C:C,0))</f>
        <v>1</v>
      </c>
      <c r="U1582" s="161" t="b">
        <f t="array" ref="U1582">index('Query Tool'!B:B,match(C1582,'Query Tool'!C:C,0))</f>
        <v>0</v>
      </c>
      <c r="V1582" s="161" t="b">
        <f>F1582&gt;='Query Tool'!C$32</f>
        <v>0</v>
      </c>
      <c r="W1582" s="161" t="b">
        <f t="array" ref="W1582">index(Dropdowns!B:B,match(I1582,Dropdowns!A:A,0))</f>
        <v>1</v>
      </c>
      <c r="X1582" s="161" t="b">
        <f t="array" ref="X1582">index('Query Tool'!B:B,match(D1582,'Query Tool'!C:C,0))</f>
        <v>1</v>
      </c>
      <c r="Y1582" s="161" t="str">
        <f t="shared" si="6"/>
        <v>brownbo02,2016-17</v>
      </c>
      <c r="Z1582" s="168">
        <f t="array" ref="Z1582">iferror(index(I:I,match($A1582&amp;","&amp;index('Year Conversion'!$A:$A,match($C1582,'Year Conversion'!$B:$B,0)),$Y:$Y,0))-I1582,"")</f>
        <v>1</v>
      </c>
      <c r="AA1582" s="168">
        <f t="array" ref="AA1582">iferror(index(J:J,match($A1582&amp;","&amp;index('Year Conversion'!$A:$A,match($C1582,'Year Conversion'!$B:$B,0)),$Y:$Y,0))-J1582,"")</f>
        <v>0.429620759</v>
      </c>
      <c r="AB1582" s="168">
        <f t="array" ref="AB1582">iferror(index(K:K,match($A1582&amp;","&amp;index('Year Conversion'!$A:$A,match($C1582,'Year Conversion'!$B:$B,0)),$Y:$Y,0))-K1582,"")</f>
        <v>0.163982548</v>
      </c>
      <c r="AC1582" s="168" t="str">
        <f t="shared" si="7"/>
        <v>HOU,2016-17</v>
      </c>
    </row>
    <row r="1583">
      <c r="A1583" s="161" t="str">
        <f>IFERROR(__xludf.DUMMYFUNCTION("""COMPUTED_VALUE"""),"griffbl01")</f>
        <v>griffbl01</v>
      </c>
      <c r="B1583" s="161" t="str">
        <f>IFERROR(__xludf.DUMMYFUNCTION("""COMPUTED_VALUE"""),"Blake Griffin")</f>
        <v>Blake Griffin</v>
      </c>
      <c r="C1583" s="162" t="str">
        <f>IFERROR(__xludf.DUMMYFUNCTION("""COMPUTED_VALUE"""),"2016-17")</f>
        <v>2016-17</v>
      </c>
      <c r="D1583" s="163" t="str">
        <f>IFERROR(__xludf.DUMMYFUNCTION("""COMPUTED_VALUE"""),"LAC")</f>
        <v>LAC</v>
      </c>
      <c r="E1583" s="164" t="str">
        <f>IFERROR(__xludf.DUMMYFUNCTION("""COMPUTED_VALUE"""),"Post Scorer")</f>
        <v>Post Scorer</v>
      </c>
      <c r="F1583" s="164">
        <f>IFERROR(__xludf.DUMMYFUNCTION("""COMPUTED_VALUE"""),2076.17666666667)</f>
        <v>2076.176667</v>
      </c>
      <c r="G1583" s="163">
        <f>IFERROR(__xludf.DUMMYFUNCTION("""COMPUTED_VALUE"""),61.0)</f>
        <v>61</v>
      </c>
      <c r="H1583" s="163" t="str">
        <f>IFERROR(__xludf.DUMMYFUNCTION("""COMPUTED_VALUE"""),"PF")</f>
        <v>PF</v>
      </c>
      <c r="I1583" s="163">
        <f>IFERROR(__xludf.DUMMYFUNCTION("""COMPUTED_VALUE"""),27.0)</f>
        <v>27</v>
      </c>
      <c r="J1583" s="165">
        <f>IFERROR(__xludf.DUMMYFUNCTION("""COMPUTED_VALUE"""),2.77291232821679)</f>
        <v>2.772912328</v>
      </c>
      <c r="K1583" s="165">
        <f>IFERROR(__xludf.DUMMYFUNCTION("""COMPUTED_VALUE"""),2.47607328009727)</f>
        <v>2.47607328</v>
      </c>
      <c r="L1583" s="165">
        <f>IFERROR(__xludf.DUMMYFUNCTION("""COMPUTED_VALUE"""),0.296839048119516)</f>
        <v>0.2968390481</v>
      </c>
      <c r="M1583" s="166">
        <f t="shared" si="2"/>
        <v>7.041185655</v>
      </c>
      <c r="N1583" s="167">
        <f t="shared" si="3"/>
        <v>34.03568306</v>
      </c>
      <c r="O1583" s="163">
        <f t="shared" ref="O1583:Q1583" si="1587">rank(I1583,I:I)</f>
        <v>1366</v>
      </c>
      <c r="P1583" s="163">
        <f t="shared" si="1587"/>
        <v>193</v>
      </c>
      <c r="Q1583" s="163">
        <f t="shared" si="1587"/>
        <v>160</v>
      </c>
      <c r="R1583" s="163">
        <f>IFERROR(__xludf.DUMMYFUNCTION("RANK(M1583,filter(M:M,C:C=C1583))"),32.0)</f>
        <v>32</v>
      </c>
      <c r="S1583" s="161" t="b">
        <f t="shared" si="5"/>
        <v>0</v>
      </c>
      <c r="T1583" s="161" t="b">
        <f t="array" ref="T1583">index('Query Tool'!B:B,match(H1583,'Query Tool'!C:C,0))</f>
        <v>1</v>
      </c>
      <c r="U1583" s="161" t="b">
        <f t="array" ref="U1583">index('Query Tool'!B:B,match(C1583,'Query Tool'!C:C,0))</f>
        <v>0</v>
      </c>
      <c r="V1583" s="161" t="b">
        <f>F1583&gt;='Query Tool'!C$32</f>
        <v>1</v>
      </c>
      <c r="W1583" s="161" t="b">
        <f t="array" ref="W1583">index(Dropdowns!B:B,match(I1583,Dropdowns!A:A,0))</f>
        <v>1</v>
      </c>
      <c r="X1583" s="161" t="b">
        <f t="array" ref="X1583">index('Query Tool'!B:B,match(D1583,'Query Tool'!C:C,0))</f>
        <v>1</v>
      </c>
      <c r="Y1583" s="161" t="str">
        <f t="shared" si="6"/>
        <v>griffbl01,2016-17</v>
      </c>
      <c r="Z1583" s="168">
        <f t="array" ref="Z1583">iferror(index(I:I,match($A1583&amp;","&amp;index('Year Conversion'!$A:$A,match($C1583,'Year Conversion'!$B:$B,0)),$Y:$Y,0))-I1583,"")</f>
        <v>1</v>
      </c>
      <c r="AA1583" s="168">
        <f t="array" ref="AA1583">iferror(index(J:J,match($A1583&amp;","&amp;index('Year Conversion'!$A:$A,match($C1583,'Year Conversion'!$B:$B,0)),$Y:$Y,0))-J1583,"")</f>
        <v>-2.233763358</v>
      </c>
      <c r="AB1583" s="168">
        <f t="array" ref="AB1583">iferror(index(K:K,match($A1583&amp;","&amp;index('Year Conversion'!$A:$A,match($C1583,'Year Conversion'!$B:$B,0)),$Y:$Y,0))-K1583,"")</f>
        <v>-1.126458926</v>
      </c>
      <c r="AC1583" s="168" t="str">
        <f t="shared" si="7"/>
        <v>LAC,2016-17</v>
      </c>
    </row>
    <row r="1584">
      <c r="A1584" s="161" t="str">
        <f>IFERROR(__xludf.DUMMYFUNCTION("""COMPUTED_VALUE"""),"hardeja01")</f>
        <v>hardeja01</v>
      </c>
      <c r="B1584" s="161" t="str">
        <f>IFERROR(__xludf.DUMMYFUNCTION("""COMPUTED_VALUE"""),"James Harden")</f>
        <v>James Harden</v>
      </c>
      <c r="C1584" s="162" t="str">
        <f>IFERROR(__xludf.DUMMYFUNCTION("""COMPUTED_VALUE"""),"2016-17")</f>
        <v>2016-17</v>
      </c>
      <c r="D1584" s="163" t="str">
        <f>IFERROR(__xludf.DUMMYFUNCTION("""COMPUTED_VALUE"""),"HOU")</f>
        <v>HOU</v>
      </c>
      <c r="E1584" s="164" t="str">
        <f>IFERROR(__xludf.DUMMYFUNCTION("""COMPUTED_VALUE"""),"Shot Creator")</f>
        <v>Shot Creator</v>
      </c>
      <c r="F1584" s="164">
        <f>IFERROR(__xludf.DUMMYFUNCTION("""COMPUTED_VALUE"""),2946.72)</f>
        <v>2946.72</v>
      </c>
      <c r="G1584" s="163">
        <f>IFERROR(__xludf.DUMMYFUNCTION("""COMPUTED_VALUE"""),81.0)</f>
        <v>81</v>
      </c>
      <c r="H1584" s="163" t="str">
        <f>IFERROR(__xludf.DUMMYFUNCTION("""COMPUTED_VALUE"""),"PG")</f>
        <v>PG</v>
      </c>
      <c r="I1584" s="163">
        <f>IFERROR(__xludf.DUMMYFUNCTION("""COMPUTED_VALUE"""),27.0)</f>
        <v>27</v>
      </c>
      <c r="J1584" s="165">
        <f>IFERROR(__xludf.DUMMYFUNCTION("""COMPUTED_VALUE"""),5.55064493036645)</f>
        <v>5.55064493</v>
      </c>
      <c r="K1584" s="165">
        <f>IFERROR(__xludf.DUMMYFUNCTION("""COMPUTED_VALUE"""),6.2705357205564)</f>
        <v>6.270535721</v>
      </c>
      <c r="L1584" s="165">
        <f>IFERROR(__xludf.DUMMYFUNCTION("""COMPUTED_VALUE"""),-0.719890790189957)</f>
        <v>-0.7198907902</v>
      </c>
      <c r="M1584" s="166">
        <f t="shared" si="2"/>
        <v>15.12106373</v>
      </c>
      <c r="N1584" s="167">
        <f t="shared" si="3"/>
        <v>36.37925926</v>
      </c>
      <c r="O1584" s="163">
        <f t="shared" ref="O1584:Q1584" si="1588">rank(I1584,I:I)</f>
        <v>1366</v>
      </c>
      <c r="P1584" s="163">
        <f t="shared" si="1588"/>
        <v>31</v>
      </c>
      <c r="Q1584" s="163">
        <f t="shared" si="1588"/>
        <v>6</v>
      </c>
      <c r="R1584" s="163">
        <f>IFERROR(__xludf.DUMMYFUNCTION("RANK(M1584,filter(M:M,C:C=C1584))"),2.0)</f>
        <v>2</v>
      </c>
      <c r="S1584" s="161" t="b">
        <f t="shared" si="5"/>
        <v>0</v>
      </c>
      <c r="T1584" s="161" t="b">
        <f t="array" ref="T1584">index('Query Tool'!B:B,match(H1584,'Query Tool'!C:C,0))</f>
        <v>1</v>
      </c>
      <c r="U1584" s="161" t="b">
        <f t="array" ref="U1584">index('Query Tool'!B:B,match(C1584,'Query Tool'!C:C,0))</f>
        <v>0</v>
      </c>
      <c r="V1584" s="161" t="b">
        <f>F1584&gt;='Query Tool'!C$32</f>
        <v>1</v>
      </c>
      <c r="W1584" s="161" t="b">
        <f t="array" ref="W1584">index(Dropdowns!B:B,match(I1584,Dropdowns!A:A,0))</f>
        <v>1</v>
      </c>
      <c r="X1584" s="161" t="b">
        <f t="array" ref="X1584">index('Query Tool'!B:B,match(D1584,'Query Tool'!C:C,0))</f>
        <v>1</v>
      </c>
      <c r="Y1584" s="161" t="str">
        <f t="shared" si="6"/>
        <v>hardeja01,2016-17</v>
      </c>
      <c r="Z1584" s="168">
        <f t="array" ref="Z1584">iferror(index(I:I,match($A1584&amp;","&amp;index('Year Conversion'!$A:$A,match($C1584,'Year Conversion'!$B:$B,0)),$Y:$Y,0))-I1584,"")</f>
        <v>1</v>
      </c>
      <c r="AA1584" s="168">
        <f t="array" ref="AA1584">iferror(index(J:J,match($A1584&amp;","&amp;index('Year Conversion'!$A:$A,match($C1584,'Year Conversion'!$B:$B,0)),$Y:$Y,0))-J1584,"")</f>
        <v>0.722636579</v>
      </c>
      <c r="AB1584" s="168">
        <f t="array" ref="AB1584">iferror(index(K:K,match($A1584&amp;","&amp;index('Year Conversion'!$A:$A,match($C1584,'Year Conversion'!$B:$B,0)),$Y:$Y,0))-K1584,"")</f>
        <v>0.3043161212</v>
      </c>
      <c r="AC1584" s="168" t="str">
        <f t="shared" si="7"/>
        <v>HOU,2016-17</v>
      </c>
    </row>
    <row r="1585">
      <c r="A1585" s="161" t="str">
        <f>IFERROR(__xludf.DUMMYFUNCTION("""COMPUTED_VALUE"""),"evansty01")</f>
        <v>evansty01</v>
      </c>
      <c r="B1585" s="161" t="str">
        <f>IFERROR(__xludf.DUMMYFUNCTION("""COMPUTED_VALUE"""),"Tyreke Evans")</f>
        <v>Tyreke Evans</v>
      </c>
      <c r="C1585" s="162" t="str">
        <f>IFERROR(__xludf.DUMMYFUNCTION("""COMPUTED_VALUE"""),"2016-17")</f>
        <v>2016-17</v>
      </c>
      <c r="D1585" s="163" t="str">
        <f>IFERROR(__xludf.DUMMYFUNCTION("""COMPUTED_VALUE"""),"TOT")</f>
        <v>TOT</v>
      </c>
      <c r="E1585" s="164" t="str">
        <f>IFERROR(__xludf.DUMMYFUNCTION("""COMPUTED_VALUE"""),"Secondary Ball Handler")</f>
        <v>Secondary Ball Handler</v>
      </c>
      <c r="F1585" s="164">
        <f>IFERROR(__xludf.DUMMYFUNCTION("""COMPUTED_VALUE"""),788.065)</f>
        <v>788.065</v>
      </c>
      <c r="G1585" s="163">
        <f>IFERROR(__xludf.DUMMYFUNCTION("""COMPUTED_VALUE"""),40.0)</f>
        <v>40</v>
      </c>
      <c r="H1585" s="163" t="str">
        <f>IFERROR(__xludf.DUMMYFUNCTION("""COMPUTED_VALUE"""),"SF")</f>
        <v>SF</v>
      </c>
      <c r="I1585" s="163">
        <f>IFERROR(__xludf.DUMMYFUNCTION("""COMPUTED_VALUE"""),27.0)</f>
        <v>27</v>
      </c>
      <c r="J1585" s="165">
        <f>IFERROR(__xludf.DUMMYFUNCTION("""COMPUTED_VALUE"""),-0.32079009204047)</f>
        <v>-0.320790092</v>
      </c>
      <c r="K1585" s="165">
        <f>IFERROR(__xludf.DUMMYFUNCTION("""COMPUTED_VALUE"""),-0.372820437887388)</f>
        <v>-0.3728204379</v>
      </c>
      <c r="L1585" s="165">
        <f>IFERROR(__xludf.DUMMYFUNCTION("""COMPUTED_VALUE"""),0.0520303458469175)</f>
        <v>0.05203034585</v>
      </c>
      <c r="M1585" s="166">
        <f t="shared" si="2"/>
        <v>1.044520395</v>
      </c>
      <c r="N1585" s="167">
        <f t="shared" si="3"/>
        <v>19.701625</v>
      </c>
      <c r="O1585" s="163">
        <f t="shared" ref="O1585:Q1585" si="1589">rank(I1585,I:I)</f>
        <v>1366</v>
      </c>
      <c r="P1585" s="163">
        <f t="shared" si="1589"/>
        <v>1641</v>
      </c>
      <c r="Q1585" s="163">
        <f t="shared" si="1589"/>
        <v>1900</v>
      </c>
      <c r="R1585" s="163">
        <f>IFERROR(__xludf.DUMMYFUNCTION("RANK(M1585,filter(M:M,C:C=C1585))"),222.0)</f>
        <v>222</v>
      </c>
      <c r="S1585" s="161" t="b">
        <f t="shared" si="5"/>
        <v>0</v>
      </c>
      <c r="T1585" s="161" t="b">
        <f t="array" ref="T1585">index('Query Tool'!B:B,match(H1585,'Query Tool'!C:C,0))</f>
        <v>1</v>
      </c>
      <c r="U1585" s="161" t="b">
        <f t="array" ref="U1585">index('Query Tool'!B:B,match(C1585,'Query Tool'!C:C,0))</f>
        <v>0</v>
      </c>
      <c r="V1585" s="161" t="b">
        <f>F1585&gt;='Query Tool'!C$32</f>
        <v>1</v>
      </c>
      <c r="W1585" s="161" t="b">
        <f t="array" ref="W1585">index(Dropdowns!B:B,match(I1585,Dropdowns!A:A,0))</f>
        <v>1</v>
      </c>
      <c r="X1585" s="161" t="b">
        <f t="array" ref="X1585">index('Query Tool'!B:B,match(D1585,'Query Tool'!C:C,0))</f>
        <v>1</v>
      </c>
      <c r="Y1585" s="161" t="str">
        <f t="shared" si="6"/>
        <v>evansty01,2016-17</v>
      </c>
      <c r="Z1585" s="168">
        <f t="array" ref="Z1585">iferror(index(I:I,match($A1585&amp;","&amp;index('Year Conversion'!$A:$A,match($C1585,'Year Conversion'!$B:$B,0)),$Y:$Y,0))-I1585,"")</f>
        <v>1</v>
      </c>
      <c r="AA1585" s="168">
        <f t="array" ref="AA1585">iferror(index(J:J,match($A1585&amp;","&amp;index('Year Conversion'!$A:$A,match($C1585,'Year Conversion'!$B:$B,0)),$Y:$Y,0))-J1585,"")</f>
        <v>2.367694995</v>
      </c>
      <c r="AB1585" s="168">
        <f t="array" ref="AB1585">iferror(index(K:K,match($A1585&amp;","&amp;index('Year Conversion'!$A:$A,match($C1585,'Year Conversion'!$B:$B,0)),$Y:$Y,0))-K1585,"")</f>
        <v>2.810415663</v>
      </c>
      <c r="AC1585" s="168" t="str">
        <f t="shared" si="7"/>
        <v>TOT,2016-17</v>
      </c>
    </row>
    <row r="1586">
      <c r="A1586" s="161" t="str">
        <f>IFERROR(__xludf.DUMMYFUNCTION("""COMPUTED_VALUE"""),"rubiori01")</f>
        <v>rubiori01</v>
      </c>
      <c r="B1586" s="161" t="str">
        <f>IFERROR(__xludf.DUMMYFUNCTION("""COMPUTED_VALUE"""),"Ricky Rubio")</f>
        <v>Ricky Rubio</v>
      </c>
      <c r="C1586" s="162" t="str">
        <f>IFERROR(__xludf.DUMMYFUNCTION("""COMPUTED_VALUE"""),"2016-17")</f>
        <v>2016-17</v>
      </c>
      <c r="D1586" s="163" t="str">
        <f>IFERROR(__xludf.DUMMYFUNCTION("""COMPUTED_VALUE"""),"MIN")</f>
        <v>MIN</v>
      </c>
      <c r="E1586" s="164" t="str">
        <f>IFERROR(__xludf.DUMMYFUNCTION("""COMPUTED_VALUE"""),"Primary Ball Handler")</f>
        <v>Primary Ball Handler</v>
      </c>
      <c r="F1586" s="164">
        <f>IFERROR(__xludf.DUMMYFUNCTION("""COMPUTED_VALUE"""),2469.11)</f>
        <v>2469.11</v>
      </c>
      <c r="G1586" s="163">
        <f>IFERROR(__xludf.DUMMYFUNCTION("""COMPUTED_VALUE"""),75.0)</f>
        <v>75</v>
      </c>
      <c r="H1586" s="163" t="str">
        <f>IFERROR(__xludf.DUMMYFUNCTION("""COMPUTED_VALUE"""),"PG")</f>
        <v>PG</v>
      </c>
      <c r="I1586" s="163">
        <f>IFERROR(__xludf.DUMMYFUNCTION("""COMPUTED_VALUE"""),26.0)</f>
        <v>26</v>
      </c>
      <c r="J1586" s="165">
        <f>IFERROR(__xludf.DUMMYFUNCTION("""COMPUTED_VALUE"""),2.04319270764868)</f>
        <v>2.043192708</v>
      </c>
      <c r="K1586" s="165">
        <f>IFERROR(__xludf.DUMMYFUNCTION("""COMPUTED_VALUE"""),1.61920302052551)</f>
        <v>1.619203021</v>
      </c>
      <c r="L1586" s="165">
        <f>IFERROR(__xludf.DUMMYFUNCTION("""COMPUTED_VALUE"""),0.423989687123177)</f>
        <v>0.4239896871</v>
      </c>
      <c r="M1586" s="166">
        <f t="shared" si="2"/>
        <v>7.188154253</v>
      </c>
      <c r="N1586" s="167">
        <f t="shared" si="3"/>
        <v>32.92146667</v>
      </c>
      <c r="O1586" s="163">
        <f t="shared" ref="O1586:Q1586" si="1590">rank(I1586,I:I)</f>
        <v>1665</v>
      </c>
      <c r="P1586" s="163">
        <f t="shared" si="1590"/>
        <v>310</v>
      </c>
      <c r="Q1586" s="163">
        <f t="shared" si="1590"/>
        <v>289</v>
      </c>
      <c r="R1586" s="163">
        <f>IFERROR(__xludf.DUMMYFUNCTION("RANK(M1586,filter(M:M,C:C=C1586))"),30.0)</f>
        <v>30</v>
      </c>
      <c r="S1586" s="161" t="b">
        <f t="shared" si="5"/>
        <v>0</v>
      </c>
      <c r="T1586" s="161" t="b">
        <f t="array" ref="T1586">index('Query Tool'!B:B,match(H1586,'Query Tool'!C:C,0))</f>
        <v>1</v>
      </c>
      <c r="U1586" s="161" t="b">
        <f t="array" ref="U1586">index('Query Tool'!B:B,match(C1586,'Query Tool'!C:C,0))</f>
        <v>0</v>
      </c>
      <c r="V1586" s="161" t="b">
        <f>F1586&gt;='Query Tool'!C$32</f>
        <v>1</v>
      </c>
      <c r="W1586" s="161" t="b">
        <f t="array" ref="W1586">index(Dropdowns!B:B,match(I1586,Dropdowns!A:A,0))</f>
        <v>1</v>
      </c>
      <c r="X1586" s="161" t="b">
        <f t="array" ref="X1586">index('Query Tool'!B:B,match(D1586,'Query Tool'!C:C,0))</f>
        <v>1</v>
      </c>
      <c r="Y1586" s="161" t="str">
        <f t="shared" si="6"/>
        <v>rubiori01,2016-17</v>
      </c>
      <c r="Z1586" s="168">
        <f t="array" ref="Z1586">iferror(index(I:I,match($A1586&amp;","&amp;index('Year Conversion'!$A:$A,match($C1586,'Year Conversion'!$B:$B,0)),$Y:$Y,0))-I1586,"")</f>
        <v>1</v>
      </c>
      <c r="AA1586" s="168">
        <f t="array" ref="AA1586">iferror(index(J:J,match($A1586&amp;","&amp;index('Year Conversion'!$A:$A,match($C1586,'Year Conversion'!$B:$B,0)),$Y:$Y,0))-J1586,"")</f>
        <v>-0.6628909636</v>
      </c>
      <c r="AB1586" s="168">
        <f t="array" ref="AB1586">iferror(index(K:K,match($A1586&amp;","&amp;index('Year Conversion'!$A:$A,match($C1586,'Year Conversion'!$B:$B,0)),$Y:$Y,0))-K1586,"")</f>
        <v>-1.620355964</v>
      </c>
      <c r="AC1586" s="168" t="str">
        <f t="shared" si="7"/>
        <v>MIN,2016-17</v>
      </c>
    </row>
    <row r="1587">
      <c r="A1587" s="161" t="str">
        <f>IFERROR(__xludf.DUMMYFUNCTION("""COMPUTED_VALUE"""),"curryst01")</f>
        <v>curryst01</v>
      </c>
      <c r="B1587" s="161" t="str">
        <f>IFERROR(__xludf.DUMMYFUNCTION("""COMPUTED_VALUE"""),"Stephen Curry")</f>
        <v>Stephen Curry</v>
      </c>
      <c r="C1587" s="162" t="str">
        <f>IFERROR(__xludf.DUMMYFUNCTION("""COMPUTED_VALUE"""),"2016-17")</f>
        <v>2016-17</v>
      </c>
      <c r="D1587" s="163" t="str">
        <f>IFERROR(__xludf.DUMMYFUNCTION("""COMPUTED_VALUE"""),"GSW")</f>
        <v>GSW</v>
      </c>
      <c r="E1587" s="164" t="str">
        <f>IFERROR(__xludf.DUMMYFUNCTION("""COMPUTED_VALUE"""),"Primary Ball Handler")</f>
        <v>Primary Ball Handler</v>
      </c>
      <c r="F1587" s="164">
        <f>IFERROR(__xludf.DUMMYFUNCTION("""COMPUTED_VALUE"""),2638.555)</f>
        <v>2638.555</v>
      </c>
      <c r="G1587" s="163">
        <f>IFERROR(__xludf.DUMMYFUNCTION("""COMPUTED_VALUE"""),79.0)</f>
        <v>79</v>
      </c>
      <c r="H1587" s="163" t="str">
        <f>IFERROR(__xludf.DUMMYFUNCTION("""COMPUTED_VALUE"""),"PG")</f>
        <v>PG</v>
      </c>
      <c r="I1587" s="163">
        <f>IFERROR(__xludf.DUMMYFUNCTION("""COMPUTED_VALUE"""),28.0)</f>
        <v>28</v>
      </c>
      <c r="J1587" s="165">
        <f>IFERROR(__xludf.DUMMYFUNCTION("""COMPUTED_VALUE"""),6.66887418107166)</f>
        <v>6.668874181</v>
      </c>
      <c r="K1587" s="165">
        <f>IFERROR(__xludf.DUMMYFUNCTION("""COMPUTED_VALUE"""),6.31566828510573)</f>
        <v>6.315668285</v>
      </c>
      <c r="L1587" s="165">
        <f>IFERROR(__xludf.DUMMYFUNCTION("""COMPUTED_VALUE"""),0.353205895965934)</f>
        <v>0.353205896</v>
      </c>
      <c r="M1587" s="166">
        <f t="shared" si="2"/>
        <v>15.2484412</v>
      </c>
      <c r="N1587" s="167">
        <f t="shared" si="3"/>
        <v>33.39943038</v>
      </c>
      <c r="O1587" s="163">
        <f t="shared" ref="O1587:Q1587" si="1591">rank(I1587,I:I)</f>
        <v>1090</v>
      </c>
      <c r="P1587" s="163">
        <f t="shared" si="1591"/>
        <v>9</v>
      </c>
      <c r="Q1587" s="163">
        <f t="shared" si="1591"/>
        <v>5</v>
      </c>
      <c r="R1587" s="163">
        <f>IFERROR(__xludf.DUMMYFUNCTION("RANK(M1587,filter(M:M,C:C=C1587))"),1.0)</f>
        <v>1</v>
      </c>
      <c r="S1587" s="161" t="b">
        <f t="shared" si="5"/>
        <v>0</v>
      </c>
      <c r="T1587" s="161" t="b">
        <f t="array" ref="T1587">index('Query Tool'!B:B,match(H1587,'Query Tool'!C:C,0))</f>
        <v>1</v>
      </c>
      <c r="U1587" s="161" t="b">
        <f t="array" ref="U1587">index('Query Tool'!B:B,match(C1587,'Query Tool'!C:C,0))</f>
        <v>0</v>
      </c>
      <c r="V1587" s="161" t="b">
        <f>F1587&gt;='Query Tool'!C$32</f>
        <v>1</v>
      </c>
      <c r="W1587" s="161" t="b">
        <f t="array" ref="W1587">index(Dropdowns!B:B,match(I1587,Dropdowns!A:A,0))</f>
        <v>1</v>
      </c>
      <c r="X1587" s="161" t="b">
        <f t="array" ref="X1587">index('Query Tool'!B:B,match(D1587,'Query Tool'!C:C,0))</f>
        <v>1</v>
      </c>
      <c r="Y1587" s="161" t="str">
        <f t="shared" si="6"/>
        <v>curryst01,2016-17</v>
      </c>
      <c r="Z1587" s="168">
        <f t="array" ref="Z1587">iferror(index(I:I,match($A1587&amp;","&amp;index('Year Conversion'!$A:$A,match($C1587,'Year Conversion'!$B:$B,0)),$Y:$Y,0))-I1587,"")</f>
        <v>1</v>
      </c>
      <c r="AA1587" s="168">
        <f t="array" ref="AA1587">iferror(index(J:J,match($A1587&amp;","&amp;index('Year Conversion'!$A:$A,match($C1587,'Year Conversion'!$B:$B,0)),$Y:$Y,0))-J1587,"")</f>
        <v>-1.281813076</v>
      </c>
      <c r="AB1587" s="168">
        <f t="array" ref="AB1587">iferror(index(K:K,match($A1587&amp;","&amp;index('Year Conversion'!$A:$A,match($C1587,'Year Conversion'!$B:$B,0)),$Y:$Y,0))-K1587,"")</f>
        <v>-0.1920457401</v>
      </c>
      <c r="AC1587" s="168" t="str">
        <f t="shared" si="7"/>
        <v>GSW,2016-17</v>
      </c>
    </row>
    <row r="1588">
      <c r="A1588" s="161" t="str">
        <f>IFERROR(__xludf.DUMMYFUNCTION("""COMPUTED_VALUE"""),"hilljo01")</f>
        <v>hilljo01</v>
      </c>
      <c r="B1588" s="161" t="str">
        <f>IFERROR(__xludf.DUMMYFUNCTION("""COMPUTED_VALUE"""),"Jordan Hill")</f>
        <v>Jordan Hill</v>
      </c>
      <c r="C1588" s="162" t="str">
        <f>IFERROR(__xludf.DUMMYFUNCTION("""COMPUTED_VALUE"""),"2016-17")</f>
        <v>2016-17</v>
      </c>
      <c r="D1588" s="163" t="str">
        <f>IFERROR(__xludf.DUMMYFUNCTION("""COMPUTED_VALUE"""),"MIN")</f>
        <v>MIN</v>
      </c>
      <c r="E1588" s="164" t="str">
        <f>IFERROR(__xludf.DUMMYFUNCTION("""COMPUTED_VALUE"""),"Post Scorer")</f>
        <v>Post Scorer</v>
      </c>
      <c r="F1588" s="164">
        <f>IFERROR(__xludf.DUMMYFUNCTION("""COMPUTED_VALUE"""),46.5666666666667)</f>
        <v>46.56666667</v>
      </c>
      <c r="G1588" s="163">
        <f>IFERROR(__xludf.DUMMYFUNCTION("""COMPUTED_VALUE"""),7.0)</f>
        <v>7</v>
      </c>
      <c r="H1588" s="163" t="str">
        <f>IFERROR(__xludf.DUMMYFUNCTION("""COMPUTED_VALUE"""),"C")</f>
        <v>C</v>
      </c>
      <c r="I1588" s="163">
        <f>IFERROR(__xludf.DUMMYFUNCTION("""COMPUTED_VALUE"""),29.0)</f>
        <v>29</v>
      </c>
      <c r="J1588" s="165">
        <f>IFERROR(__xludf.DUMMYFUNCTION("""COMPUTED_VALUE"""),-0.71280579966822)</f>
        <v>-0.7128057997</v>
      </c>
      <c r="K1588" s="165">
        <f>IFERROR(__xludf.DUMMYFUNCTION("""COMPUTED_VALUE"""),-0.409794373241296)</f>
        <v>-0.4097943732</v>
      </c>
      <c r="L1588" s="165">
        <f>IFERROR(__xludf.DUMMYFUNCTION("""COMPUTED_VALUE"""),-0.303011426426925)</f>
        <v>-0.3030114264</v>
      </c>
      <c r="M1588" s="166">
        <f t="shared" si="2"/>
        <v>0.04942768395</v>
      </c>
      <c r="N1588" s="167">
        <f t="shared" si="3"/>
        <v>6.652380952</v>
      </c>
      <c r="O1588" s="163">
        <f t="shared" ref="O1588:Q1588" si="1592">rank(I1588,I:I)</f>
        <v>855</v>
      </c>
      <c r="P1588" s="163">
        <f t="shared" si="1592"/>
        <v>2166</v>
      </c>
      <c r="Q1588" s="163">
        <f t="shared" si="1592"/>
        <v>1960</v>
      </c>
      <c r="R1588" s="163">
        <f>IFERROR(__xludf.DUMMYFUNCTION("RANK(M1588,filter(M:M,C:C=C1588))"),401.0)</f>
        <v>401</v>
      </c>
      <c r="S1588" s="161" t="b">
        <f t="shared" si="5"/>
        <v>0</v>
      </c>
      <c r="T1588" s="161" t="b">
        <f t="array" ref="T1588">index('Query Tool'!B:B,match(H1588,'Query Tool'!C:C,0))</f>
        <v>1</v>
      </c>
      <c r="U1588" s="161" t="b">
        <f t="array" ref="U1588">index('Query Tool'!B:B,match(C1588,'Query Tool'!C:C,0))</f>
        <v>0</v>
      </c>
      <c r="V1588" s="161" t="b">
        <f>F1588&gt;='Query Tool'!C$32</f>
        <v>0</v>
      </c>
      <c r="W1588" s="161" t="b">
        <f t="array" ref="W1588">index(Dropdowns!B:B,match(I1588,Dropdowns!A:A,0))</f>
        <v>1</v>
      </c>
      <c r="X1588" s="161" t="b">
        <f t="array" ref="X1588">index('Query Tool'!B:B,match(D1588,'Query Tool'!C:C,0))</f>
        <v>1</v>
      </c>
      <c r="Y1588" s="161" t="str">
        <f t="shared" si="6"/>
        <v>hilljo01,2016-17</v>
      </c>
      <c r="Z1588" s="168" t="str">
        <f t="array" ref="Z1588">iferror(index(I:I,match($A1588&amp;","&amp;index('Year Conversion'!$A:$A,match($C1588,'Year Conversion'!$B:$B,0)),$Y:$Y,0))-I1588,"")</f>
        <v/>
      </c>
      <c r="AA1588" s="168" t="str">
        <f t="array" ref="AA1588">iferror(index(J:J,match($A1588&amp;","&amp;index('Year Conversion'!$A:$A,match($C1588,'Year Conversion'!$B:$B,0)),$Y:$Y,0))-J1588,"")</f>
        <v/>
      </c>
      <c r="AB1588" s="168" t="str">
        <f t="array" ref="AB1588">iferror(index(K:K,match($A1588&amp;","&amp;index('Year Conversion'!$A:$A,match($C1588,'Year Conversion'!$B:$B,0)),$Y:$Y,0))-K1588,"")</f>
        <v/>
      </c>
      <c r="AC1588" s="168" t="str">
        <f t="shared" si="7"/>
        <v>MIN,2016-17</v>
      </c>
    </row>
    <row r="1589">
      <c r="A1589" s="161" t="str">
        <f>IFERROR(__xludf.DUMMYFUNCTION("""COMPUTED_VALUE"""),"derozde01")</f>
        <v>derozde01</v>
      </c>
      <c r="B1589" s="161" t="str">
        <f>IFERROR(__xludf.DUMMYFUNCTION("""COMPUTED_VALUE"""),"DeMar DeRozan")</f>
        <v>DeMar DeRozan</v>
      </c>
      <c r="C1589" s="162" t="str">
        <f>IFERROR(__xludf.DUMMYFUNCTION("""COMPUTED_VALUE"""),"2016-17")</f>
        <v>2016-17</v>
      </c>
      <c r="D1589" s="163" t="str">
        <f>IFERROR(__xludf.DUMMYFUNCTION("""COMPUTED_VALUE"""),"TOR")</f>
        <v>TOR</v>
      </c>
      <c r="E1589" s="164" t="str">
        <f>IFERROR(__xludf.DUMMYFUNCTION("""COMPUTED_VALUE"""),"Shot Creator")</f>
        <v>Shot Creator</v>
      </c>
      <c r="F1589" s="164">
        <f>IFERROR(__xludf.DUMMYFUNCTION("""COMPUTED_VALUE"""),2620.24166666667)</f>
        <v>2620.241667</v>
      </c>
      <c r="G1589" s="163">
        <f>IFERROR(__xludf.DUMMYFUNCTION("""COMPUTED_VALUE"""),74.0)</f>
        <v>74</v>
      </c>
      <c r="H1589" s="163" t="str">
        <f>IFERROR(__xludf.DUMMYFUNCTION("""COMPUTED_VALUE"""),"SG")</f>
        <v>SG</v>
      </c>
      <c r="I1589" s="163">
        <f>IFERROR(__xludf.DUMMYFUNCTION("""COMPUTED_VALUE"""),27.0)</f>
        <v>27</v>
      </c>
      <c r="J1589" s="165">
        <f>IFERROR(__xludf.DUMMYFUNCTION("""COMPUTED_VALUE"""),1.57252660341277)</f>
        <v>1.572526603</v>
      </c>
      <c r="K1589" s="165">
        <f>IFERROR(__xludf.DUMMYFUNCTION("""COMPUTED_VALUE"""),2.81734883294012)</f>
        <v>2.817348833</v>
      </c>
      <c r="L1589" s="165">
        <f>IFERROR(__xludf.DUMMYFUNCTION("""COMPUTED_VALUE"""),-1.24482222952735)</f>
        <v>-1.24482223</v>
      </c>
      <c r="M1589" s="166">
        <f t="shared" si="2"/>
        <v>6.807967052</v>
      </c>
      <c r="N1589" s="167">
        <f t="shared" si="3"/>
        <v>35.40867117</v>
      </c>
      <c r="O1589" s="163">
        <f t="shared" ref="O1589:Q1589" si="1593">rank(I1589,I:I)</f>
        <v>1366</v>
      </c>
      <c r="P1589" s="163">
        <f t="shared" si="1593"/>
        <v>439</v>
      </c>
      <c r="Q1589" s="163">
        <f t="shared" si="1593"/>
        <v>136</v>
      </c>
      <c r="R1589" s="163">
        <f>IFERROR(__xludf.DUMMYFUNCTION("RANK(M1589,filter(M:M,C:C=C1589))"),37.0)</f>
        <v>37</v>
      </c>
      <c r="S1589" s="161" t="b">
        <f t="shared" si="5"/>
        <v>0</v>
      </c>
      <c r="T1589" s="161" t="b">
        <f t="array" ref="T1589">index('Query Tool'!B:B,match(H1589,'Query Tool'!C:C,0))</f>
        <v>1</v>
      </c>
      <c r="U1589" s="161" t="b">
        <f t="array" ref="U1589">index('Query Tool'!B:B,match(C1589,'Query Tool'!C:C,0))</f>
        <v>0</v>
      </c>
      <c r="V1589" s="161" t="b">
        <f>F1589&gt;='Query Tool'!C$32</f>
        <v>1</v>
      </c>
      <c r="W1589" s="161" t="b">
        <f t="array" ref="W1589">index(Dropdowns!B:B,match(I1589,Dropdowns!A:A,0))</f>
        <v>1</v>
      </c>
      <c r="X1589" s="161" t="b">
        <f t="array" ref="X1589">index('Query Tool'!B:B,match(D1589,'Query Tool'!C:C,0))</f>
        <v>1</v>
      </c>
      <c r="Y1589" s="161" t="str">
        <f t="shared" si="6"/>
        <v>derozde01,2016-17</v>
      </c>
      <c r="Z1589" s="168">
        <f t="array" ref="Z1589">iferror(index(I:I,match($A1589&amp;","&amp;index('Year Conversion'!$A:$A,match($C1589,'Year Conversion'!$B:$B,0)),$Y:$Y,0))-I1589,"")</f>
        <v>1</v>
      </c>
      <c r="AA1589" s="168">
        <f t="array" ref="AA1589">iferror(index(J:J,match($A1589&amp;","&amp;index('Year Conversion'!$A:$A,match($C1589,'Year Conversion'!$B:$B,0)),$Y:$Y,0))-J1589,"")</f>
        <v>1.547489977</v>
      </c>
      <c r="AB1589" s="168">
        <f t="array" ref="AB1589">iferror(index(K:K,match($A1589&amp;","&amp;index('Year Conversion'!$A:$A,match($C1589,'Year Conversion'!$B:$B,0)),$Y:$Y,0))-K1589,"")</f>
        <v>1.086595004</v>
      </c>
      <c r="AC1589" s="168" t="str">
        <f t="shared" si="7"/>
        <v>TOR,2016-17</v>
      </c>
    </row>
    <row r="1590">
      <c r="A1590" s="161" t="str">
        <f>IFERROR(__xludf.DUMMYFUNCTION("""COMPUTED_VALUE"""),"jennibr01")</f>
        <v>jennibr01</v>
      </c>
      <c r="B1590" s="161" t="str">
        <f>IFERROR(__xludf.DUMMYFUNCTION("""COMPUTED_VALUE"""),"Brandon Jennings")</f>
        <v>Brandon Jennings</v>
      </c>
      <c r="C1590" s="162" t="str">
        <f>IFERROR(__xludf.DUMMYFUNCTION("""COMPUTED_VALUE"""),"2016-17")</f>
        <v>2016-17</v>
      </c>
      <c r="D1590" s="163" t="str">
        <f>IFERROR(__xludf.DUMMYFUNCTION("""COMPUTED_VALUE"""),"TOT")</f>
        <v>TOT</v>
      </c>
      <c r="E1590" s="164" t="str">
        <f>IFERROR(__xludf.DUMMYFUNCTION("""COMPUTED_VALUE"""),"Primary Ball Handler")</f>
        <v>Primary Ball Handler</v>
      </c>
      <c r="F1590" s="164">
        <f>IFERROR(__xludf.DUMMYFUNCTION("""COMPUTED_VALUE"""),1801.48)</f>
        <v>1801.48</v>
      </c>
      <c r="G1590" s="163">
        <f>IFERROR(__xludf.DUMMYFUNCTION("""COMPUTED_VALUE"""),81.0)</f>
        <v>81</v>
      </c>
      <c r="H1590" s="163" t="str">
        <f>IFERROR(__xludf.DUMMYFUNCTION("""COMPUTED_VALUE"""),"PG")</f>
        <v>PG</v>
      </c>
      <c r="I1590" s="163">
        <f>IFERROR(__xludf.DUMMYFUNCTION("""COMPUTED_VALUE"""),27.0)</f>
        <v>27</v>
      </c>
      <c r="J1590" s="165">
        <f>IFERROR(__xludf.DUMMYFUNCTION("""COMPUTED_VALUE"""),-0.468824321548113)</f>
        <v>-0.4688243215</v>
      </c>
      <c r="K1590" s="165">
        <f>IFERROR(__xludf.DUMMYFUNCTION("""COMPUTED_VALUE"""),1.00426272048651)</f>
        <v>1.00426272</v>
      </c>
      <c r="L1590" s="165">
        <f>IFERROR(__xludf.DUMMYFUNCTION("""COMPUTED_VALUE"""),-1.47308704203462)</f>
        <v>-1.473087042</v>
      </c>
      <c r="M1590" s="166">
        <f t="shared" si="2"/>
        <v>2.208049821</v>
      </c>
      <c r="N1590" s="167">
        <f t="shared" si="3"/>
        <v>22.24049383</v>
      </c>
      <c r="O1590" s="163">
        <f t="shared" ref="O1590:Q1590" si="1594">rank(I1590,I:I)</f>
        <v>1366</v>
      </c>
      <c r="P1590" s="163">
        <f t="shared" si="1594"/>
        <v>1808</v>
      </c>
      <c r="Q1590" s="163">
        <f t="shared" si="1594"/>
        <v>505</v>
      </c>
      <c r="R1590" s="163">
        <f>IFERROR(__xludf.DUMMYFUNCTION("RANK(M1590,filter(M:M,C:C=C1590))"),146.0)</f>
        <v>146</v>
      </c>
      <c r="S1590" s="161" t="b">
        <f t="shared" si="5"/>
        <v>0</v>
      </c>
      <c r="T1590" s="161" t="b">
        <f t="array" ref="T1590">index('Query Tool'!B:B,match(H1590,'Query Tool'!C:C,0))</f>
        <v>1</v>
      </c>
      <c r="U1590" s="161" t="b">
        <f t="array" ref="U1590">index('Query Tool'!B:B,match(C1590,'Query Tool'!C:C,0))</f>
        <v>0</v>
      </c>
      <c r="V1590" s="161" t="b">
        <f>F1590&gt;='Query Tool'!C$32</f>
        <v>1</v>
      </c>
      <c r="W1590" s="161" t="b">
        <f t="array" ref="W1590">index(Dropdowns!B:B,match(I1590,Dropdowns!A:A,0))</f>
        <v>1</v>
      </c>
      <c r="X1590" s="161" t="b">
        <f t="array" ref="X1590">index('Query Tool'!B:B,match(D1590,'Query Tool'!C:C,0))</f>
        <v>1</v>
      </c>
      <c r="Y1590" s="161" t="str">
        <f t="shared" si="6"/>
        <v>jennibr01,2016-17</v>
      </c>
      <c r="Z1590" s="168">
        <f t="array" ref="Z1590">iferror(index(I:I,match($A1590&amp;","&amp;index('Year Conversion'!$A:$A,match($C1590,'Year Conversion'!$B:$B,0)),$Y:$Y,0))-I1590,"")</f>
        <v>1</v>
      </c>
      <c r="AA1590" s="168">
        <f t="array" ref="AA1590">iferror(index(J:J,match($A1590&amp;","&amp;index('Year Conversion'!$A:$A,match($C1590,'Year Conversion'!$B:$B,0)),$Y:$Y,0))-J1590,"")</f>
        <v>-0.4937755929</v>
      </c>
      <c r="AB1590" s="168">
        <f t="array" ref="AB1590">iferror(index(K:K,match($A1590&amp;","&amp;index('Year Conversion'!$A:$A,match($C1590,'Year Conversion'!$B:$B,0)),$Y:$Y,0))-K1590,"")</f>
        <v>-1.096876019</v>
      </c>
      <c r="AC1590" s="168" t="str">
        <f t="shared" si="7"/>
        <v>TOT,2016-17</v>
      </c>
    </row>
    <row r="1591">
      <c r="A1591" s="161" t="str">
        <f>IFERROR(__xludf.DUMMYFUNCTION("""COMPUTED_VALUE"""),"hendege02")</f>
        <v>hendege02</v>
      </c>
      <c r="B1591" s="161" t="str">
        <f>IFERROR(__xludf.DUMMYFUNCTION("""COMPUTED_VALUE"""),"Gerald Henderson")</f>
        <v>Gerald Henderson</v>
      </c>
      <c r="C1591" s="162" t="str">
        <f>IFERROR(__xludf.DUMMYFUNCTION("""COMPUTED_VALUE"""),"2016-17")</f>
        <v>2016-17</v>
      </c>
      <c r="D1591" s="163" t="str">
        <f>IFERROR(__xludf.DUMMYFUNCTION("""COMPUTED_VALUE"""),"PHI")</f>
        <v>PHI</v>
      </c>
      <c r="E1591" s="164" t="str">
        <f>IFERROR(__xludf.DUMMYFUNCTION("""COMPUTED_VALUE"""),"Movement Shooter")</f>
        <v>Movement Shooter</v>
      </c>
      <c r="F1591" s="164">
        <f>IFERROR(__xludf.DUMMYFUNCTION("""COMPUTED_VALUE"""),1667.12333333333)</f>
        <v>1667.123333</v>
      </c>
      <c r="G1591" s="163">
        <f>IFERROR(__xludf.DUMMYFUNCTION("""COMPUTED_VALUE"""),72.0)</f>
        <v>72</v>
      </c>
      <c r="H1591" s="163" t="str">
        <f>IFERROR(__xludf.DUMMYFUNCTION("""COMPUTED_VALUE"""),"SG")</f>
        <v>SG</v>
      </c>
      <c r="I1591" s="163">
        <f>IFERROR(__xludf.DUMMYFUNCTION("""COMPUTED_VALUE"""),29.0)</f>
        <v>29</v>
      </c>
      <c r="J1591" s="165">
        <f>IFERROR(__xludf.DUMMYFUNCTION("""COMPUTED_VALUE"""),-2.85954146034296)</f>
        <v>-2.85954146</v>
      </c>
      <c r="K1591" s="165">
        <f>IFERROR(__xludf.DUMMYFUNCTION("""COMPUTED_VALUE"""),-1.89364052492802)</f>
        <v>-1.893640525</v>
      </c>
      <c r="L1591" s="165">
        <f>IFERROR(__xludf.DUMMYFUNCTION("""COMPUTED_VALUE"""),-0.965900935414939)</f>
        <v>-0.9659009354</v>
      </c>
      <c r="M1591" s="166">
        <f t="shared" si="2"/>
        <v>-0.6078357048</v>
      </c>
      <c r="N1591" s="167">
        <f t="shared" si="3"/>
        <v>23.15449074</v>
      </c>
      <c r="O1591" s="163">
        <f t="shared" ref="O1591:Q1591" si="1595">rank(I1591,I:I)</f>
        <v>855</v>
      </c>
      <c r="P1591" s="163">
        <f t="shared" si="1595"/>
        <v>3857</v>
      </c>
      <c r="Q1591" s="163">
        <f t="shared" si="1595"/>
        <v>3641</v>
      </c>
      <c r="R1591" s="163">
        <f>IFERROR(__xludf.DUMMYFUNCTION("RANK(M1591,filter(M:M,C:C=C1591))"),476.0)</f>
        <v>476</v>
      </c>
      <c r="S1591" s="161" t="b">
        <f t="shared" si="5"/>
        <v>0</v>
      </c>
      <c r="T1591" s="161" t="b">
        <f t="array" ref="T1591">index('Query Tool'!B:B,match(H1591,'Query Tool'!C:C,0))</f>
        <v>1</v>
      </c>
      <c r="U1591" s="161" t="b">
        <f t="array" ref="U1591">index('Query Tool'!B:B,match(C1591,'Query Tool'!C:C,0))</f>
        <v>0</v>
      </c>
      <c r="V1591" s="161" t="b">
        <f>F1591&gt;='Query Tool'!C$32</f>
        <v>1</v>
      </c>
      <c r="W1591" s="161" t="b">
        <f t="array" ref="W1591">index(Dropdowns!B:B,match(I1591,Dropdowns!A:A,0))</f>
        <v>1</v>
      </c>
      <c r="X1591" s="161" t="b">
        <f t="array" ref="X1591">index('Query Tool'!B:B,match(D1591,'Query Tool'!C:C,0))</f>
        <v>1</v>
      </c>
      <c r="Y1591" s="161" t="str">
        <f t="shared" si="6"/>
        <v>hendege02,2016-17</v>
      </c>
      <c r="Z1591" s="168" t="str">
        <f t="array" ref="Z1591">iferror(index(I:I,match($A1591&amp;","&amp;index('Year Conversion'!$A:$A,match($C1591,'Year Conversion'!$B:$B,0)),$Y:$Y,0))-I1591,"")</f>
        <v/>
      </c>
      <c r="AA1591" s="168" t="str">
        <f t="array" ref="AA1591">iferror(index(J:J,match($A1591&amp;","&amp;index('Year Conversion'!$A:$A,match($C1591,'Year Conversion'!$B:$B,0)),$Y:$Y,0))-J1591,"")</f>
        <v/>
      </c>
      <c r="AB1591" s="168" t="str">
        <f t="array" ref="AB1591">iferror(index(K:K,match($A1591&amp;","&amp;index('Year Conversion'!$A:$A,match($C1591,'Year Conversion'!$B:$B,0)),$Y:$Y,0))-K1591,"")</f>
        <v/>
      </c>
      <c r="AC1591" s="168" t="str">
        <f t="shared" si="7"/>
        <v>PHI,2016-17</v>
      </c>
    </row>
    <row r="1592">
      <c r="A1592" s="161" t="str">
        <f>IFERROR(__xludf.DUMMYFUNCTION("""COMPUTED_VALUE"""),"johnsja01")</f>
        <v>johnsja01</v>
      </c>
      <c r="B1592" s="161" t="str">
        <f>IFERROR(__xludf.DUMMYFUNCTION("""COMPUTED_VALUE"""),"James Johnson")</f>
        <v>James Johnson</v>
      </c>
      <c r="C1592" s="162" t="str">
        <f>IFERROR(__xludf.DUMMYFUNCTION("""COMPUTED_VALUE"""),"2016-17")</f>
        <v>2016-17</v>
      </c>
      <c r="D1592" s="163" t="str">
        <f>IFERROR(__xludf.DUMMYFUNCTION("""COMPUTED_VALUE"""),"MIA")</f>
        <v>MIA</v>
      </c>
      <c r="E1592" s="164" t="str">
        <f>IFERROR(__xludf.DUMMYFUNCTION("""COMPUTED_VALUE"""),"Shot Creator")</f>
        <v>Shot Creator</v>
      </c>
      <c r="F1592" s="164">
        <f>IFERROR(__xludf.DUMMYFUNCTION("""COMPUTED_VALUE"""),2084.91666666667)</f>
        <v>2084.916667</v>
      </c>
      <c r="G1592" s="163">
        <f>IFERROR(__xludf.DUMMYFUNCTION("""COMPUTED_VALUE"""),76.0)</f>
        <v>76</v>
      </c>
      <c r="H1592" s="163" t="str">
        <f>IFERROR(__xludf.DUMMYFUNCTION("""COMPUTED_VALUE"""),"PF")</f>
        <v>PF</v>
      </c>
      <c r="I1592" s="163">
        <f>IFERROR(__xludf.DUMMYFUNCTION("""COMPUTED_VALUE"""),29.0)</f>
        <v>29</v>
      </c>
      <c r="J1592" s="165">
        <f>IFERROR(__xludf.DUMMYFUNCTION("""COMPUTED_VALUE"""),1.6329708184105)</f>
        <v>1.632970818</v>
      </c>
      <c r="K1592" s="165">
        <f>IFERROR(__xludf.DUMMYFUNCTION("""COMPUTED_VALUE"""),-0.0421286120755131)</f>
        <v>-0.04212861208</v>
      </c>
      <c r="L1592" s="165">
        <f>IFERROR(__xludf.DUMMYFUNCTION("""COMPUTED_VALUE"""),1.67509943048601)</f>
        <v>1.67509943</v>
      </c>
      <c r="M1592" s="166">
        <f t="shared" si="2"/>
        <v>5.501133309</v>
      </c>
      <c r="N1592" s="167">
        <f t="shared" si="3"/>
        <v>27.43311404</v>
      </c>
      <c r="O1592" s="163">
        <f t="shared" ref="O1592:Q1592" si="1596">rank(I1592,I:I)</f>
        <v>855</v>
      </c>
      <c r="P1592" s="163">
        <f t="shared" si="1596"/>
        <v>421</v>
      </c>
      <c r="Q1592" s="163">
        <f t="shared" si="1596"/>
        <v>1259</v>
      </c>
      <c r="R1592" s="163">
        <f>IFERROR(__xludf.DUMMYFUNCTION("RANK(M1592,filter(M:M,C:C=C1592))"),51.0)</f>
        <v>51</v>
      </c>
      <c r="S1592" s="161" t="b">
        <f t="shared" si="5"/>
        <v>0</v>
      </c>
      <c r="T1592" s="161" t="b">
        <f t="array" ref="T1592">index('Query Tool'!B:B,match(H1592,'Query Tool'!C:C,0))</f>
        <v>1</v>
      </c>
      <c r="U1592" s="161" t="b">
        <f t="array" ref="U1592">index('Query Tool'!B:B,match(C1592,'Query Tool'!C:C,0))</f>
        <v>0</v>
      </c>
      <c r="V1592" s="161" t="b">
        <f>F1592&gt;='Query Tool'!C$32</f>
        <v>1</v>
      </c>
      <c r="W1592" s="161" t="b">
        <f t="array" ref="W1592">index(Dropdowns!B:B,match(I1592,Dropdowns!A:A,0))</f>
        <v>1</v>
      </c>
      <c r="X1592" s="161" t="b">
        <f t="array" ref="X1592">index('Query Tool'!B:B,match(D1592,'Query Tool'!C:C,0))</f>
        <v>1</v>
      </c>
      <c r="Y1592" s="161" t="str">
        <f t="shared" si="6"/>
        <v>johnsja01,2016-17</v>
      </c>
      <c r="Z1592" s="168">
        <f t="array" ref="Z1592">iferror(index(I:I,match($A1592&amp;","&amp;index('Year Conversion'!$A:$A,match($C1592,'Year Conversion'!$B:$B,0)),$Y:$Y,0))-I1592,"")</f>
        <v>1</v>
      </c>
      <c r="AA1592" s="168">
        <f t="array" ref="AA1592">iferror(index(J:J,match($A1592&amp;","&amp;index('Year Conversion'!$A:$A,match($C1592,'Year Conversion'!$B:$B,0)),$Y:$Y,0))-J1592,"")</f>
        <v>-1.695873872</v>
      </c>
      <c r="AB1592" s="168">
        <f t="array" ref="AB1592">iferror(index(K:K,match($A1592&amp;","&amp;index('Year Conversion'!$A:$A,match($C1592,'Year Conversion'!$B:$B,0)),$Y:$Y,0))-K1592,"")</f>
        <v>-0.2762923032</v>
      </c>
      <c r="AC1592" s="168" t="str">
        <f t="shared" si="7"/>
        <v>MIA,2016-17</v>
      </c>
    </row>
    <row r="1593">
      <c r="A1593" s="161" t="str">
        <f>IFERROR(__xludf.DUMMYFUNCTION("""COMPUTED_VALUE"""),"holidjr01")</f>
        <v>holidjr01</v>
      </c>
      <c r="B1593" s="161" t="str">
        <f>IFERROR(__xludf.DUMMYFUNCTION("""COMPUTED_VALUE"""),"Jrue Holiday")</f>
        <v>Jrue Holiday</v>
      </c>
      <c r="C1593" s="162" t="str">
        <f>IFERROR(__xludf.DUMMYFUNCTION("""COMPUTED_VALUE"""),"2016-17")</f>
        <v>2016-17</v>
      </c>
      <c r="D1593" s="163" t="str">
        <f>IFERROR(__xludf.DUMMYFUNCTION("""COMPUTED_VALUE"""),"NOP")</f>
        <v>NOP</v>
      </c>
      <c r="E1593" s="164" t="str">
        <f>IFERROR(__xludf.DUMMYFUNCTION("""COMPUTED_VALUE"""),"Primary Ball Handler")</f>
        <v>Primary Ball Handler</v>
      </c>
      <c r="F1593" s="164">
        <f>IFERROR(__xludf.DUMMYFUNCTION("""COMPUTED_VALUE"""),2189.90333333333)</f>
        <v>2189.903333</v>
      </c>
      <c r="G1593" s="163">
        <f>IFERROR(__xludf.DUMMYFUNCTION("""COMPUTED_VALUE"""),67.0)</f>
        <v>67</v>
      </c>
      <c r="H1593" s="163" t="str">
        <f>IFERROR(__xludf.DUMMYFUNCTION("""COMPUTED_VALUE"""),"PG")</f>
        <v>PG</v>
      </c>
      <c r="I1593" s="163">
        <f>IFERROR(__xludf.DUMMYFUNCTION("""COMPUTED_VALUE"""),26.0)</f>
        <v>26</v>
      </c>
      <c r="J1593" s="165">
        <f>IFERROR(__xludf.DUMMYFUNCTION("""COMPUTED_VALUE"""),0.907744525640239)</f>
        <v>0.9077445256</v>
      </c>
      <c r="K1593" s="165">
        <f>IFERROR(__xludf.DUMMYFUNCTION("""COMPUTED_VALUE"""),0.442313612704744)</f>
        <v>0.4423136127</v>
      </c>
      <c r="L1593" s="165">
        <f>IFERROR(__xludf.DUMMYFUNCTION("""COMPUTED_VALUE"""),0.465430912935496)</f>
        <v>0.4654309129</v>
      </c>
      <c r="M1593" s="166">
        <f t="shared" si="2"/>
        <v>4.714772533</v>
      </c>
      <c r="N1593" s="167">
        <f t="shared" si="3"/>
        <v>32.68512438</v>
      </c>
      <c r="O1593" s="163">
        <f t="shared" ref="O1593:Q1593" si="1597">rank(I1593,I:I)</f>
        <v>1665</v>
      </c>
      <c r="P1593" s="163">
        <f t="shared" si="1597"/>
        <v>691</v>
      </c>
      <c r="Q1593" s="163">
        <f t="shared" si="1597"/>
        <v>801</v>
      </c>
      <c r="R1593" s="163">
        <f>IFERROR(__xludf.DUMMYFUNCTION("RANK(M1593,filter(M:M,C:C=C1593))"),57.0)</f>
        <v>57</v>
      </c>
      <c r="S1593" s="161" t="b">
        <f t="shared" si="5"/>
        <v>0</v>
      </c>
      <c r="T1593" s="161" t="b">
        <f t="array" ref="T1593">index('Query Tool'!B:B,match(H1593,'Query Tool'!C:C,0))</f>
        <v>1</v>
      </c>
      <c r="U1593" s="161" t="b">
        <f t="array" ref="U1593">index('Query Tool'!B:B,match(C1593,'Query Tool'!C:C,0))</f>
        <v>0</v>
      </c>
      <c r="V1593" s="161" t="b">
        <f>F1593&gt;='Query Tool'!C$32</f>
        <v>1</v>
      </c>
      <c r="W1593" s="161" t="b">
        <f t="array" ref="W1593">index(Dropdowns!B:B,match(I1593,Dropdowns!A:A,0))</f>
        <v>1</v>
      </c>
      <c r="X1593" s="161" t="b">
        <f t="array" ref="X1593">index('Query Tool'!B:B,match(D1593,'Query Tool'!C:C,0))</f>
        <v>1</v>
      </c>
      <c r="Y1593" s="161" t="str">
        <f t="shared" si="6"/>
        <v>holidjr01,2016-17</v>
      </c>
      <c r="Z1593" s="168">
        <f t="array" ref="Z1593">iferror(index(I:I,match($A1593&amp;","&amp;index('Year Conversion'!$A:$A,match($C1593,'Year Conversion'!$B:$B,0)),$Y:$Y,0))-I1593,"")</f>
        <v>1</v>
      </c>
      <c r="AA1593" s="168">
        <f t="array" ref="AA1593">iferror(index(J:J,match($A1593&amp;","&amp;index('Year Conversion'!$A:$A,match($C1593,'Year Conversion'!$B:$B,0)),$Y:$Y,0))-J1593,"")</f>
        <v>1.295924778</v>
      </c>
      <c r="AB1593" s="168">
        <f t="array" ref="AB1593">iferror(index(K:K,match($A1593&amp;","&amp;index('Year Conversion'!$A:$A,match($C1593,'Year Conversion'!$B:$B,0)),$Y:$Y,0))-K1593,"")</f>
        <v>0.5857692794</v>
      </c>
      <c r="AC1593" s="168" t="str">
        <f t="shared" si="7"/>
        <v>NOP,2016-17</v>
      </c>
    </row>
    <row r="1594">
      <c r="A1594" s="161" t="str">
        <f>IFERROR(__xludf.DUMMYFUNCTION("""COMPUTED_VALUE"""),"lawsoty01")</f>
        <v>lawsoty01</v>
      </c>
      <c r="B1594" s="161" t="str">
        <f>IFERROR(__xludf.DUMMYFUNCTION("""COMPUTED_VALUE"""),"Ty Lawson")</f>
        <v>Ty Lawson</v>
      </c>
      <c r="C1594" s="162" t="str">
        <f>IFERROR(__xludf.DUMMYFUNCTION("""COMPUTED_VALUE"""),"2016-17")</f>
        <v>2016-17</v>
      </c>
      <c r="D1594" s="163" t="str">
        <f>IFERROR(__xludf.DUMMYFUNCTION("""COMPUTED_VALUE"""),"SAC")</f>
        <v>SAC</v>
      </c>
      <c r="E1594" s="164" t="str">
        <f>IFERROR(__xludf.DUMMYFUNCTION("""COMPUTED_VALUE"""),"Slasher")</f>
        <v>Slasher</v>
      </c>
      <c r="F1594" s="164">
        <f>IFERROR(__xludf.DUMMYFUNCTION("""COMPUTED_VALUE"""),1732.12333333333)</f>
        <v>1732.123333</v>
      </c>
      <c r="G1594" s="163">
        <f>IFERROR(__xludf.DUMMYFUNCTION("""COMPUTED_VALUE"""),69.0)</f>
        <v>69</v>
      </c>
      <c r="H1594" s="163" t="str">
        <f>IFERROR(__xludf.DUMMYFUNCTION("""COMPUTED_VALUE"""),"PG")</f>
        <v>PG</v>
      </c>
      <c r="I1594" s="163">
        <f>IFERROR(__xludf.DUMMYFUNCTION("""COMPUTED_VALUE"""),29.0)</f>
        <v>29</v>
      </c>
      <c r="J1594" s="165">
        <f>IFERROR(__xludf.DUMMYFUNCTION("""COMPUTED_VALUE"""),-0.449605086486276)</f>
        <v>-0.4496050865</v>
      </c>
      <c r="K1594" s="165">
        <f>IFERROR(__xludf.DUMMYFUNCTION("""COMPUTED_VALUE"""),0.385699707232051)</f>
        <v>0.3856997072</v>
      </c>
      <c r="L1594" s="165">
        <f>IFERROR(__xludf.DUMMYFUNCTION("""COMPUTED_VALUE"""),-0.835304793718327)</f>
        <v>-0.8353047937</v>
      </c>
      <c r="M1594" s="166">
        <f t="shared" si="2"/>
        <v>2.145464408</v>
      </c>
      <c r="N1594" s="167">
        <f t="shared" si="3"/>
        <v>25.10323671</v>
      </c>
      <c r="O1594" s="163">
        <f t="shared" ref="O1594:Q1594" si="1598">rank(I1594,I:I)</f>
        <v>855</v>
      </c>
      <c r="P1594" s="163">
        <f t="shared" si="1598"/>
        <v>1775</v>
      </c>
      <c r="Q1594" s="163">
        <f t="shared" si="1598"/>
        <v>843</v>
      </c>
      <c r="R1594" s="163">
        <f>IFERROR(__xludf.DUMMYFUNCTION("RANK(M1594,filter(M:M,C:C=C1594))"),151.0)</f>
        <v>151</v>
      </c>
      <c r="S1594" s="161" t="b">
        <f t="shared" si="5"/>
        <v>0</v>
      </c>
      <c r="T1594" s="161" t="b">
        <f t="array" ref="T1594">index('Query Tool'!B:B,match(H1594,'Query Tool'!C:C,0))</f>
        <v>1</v>
      </c>
      <c r="U1594" s="161" t="b">
        <f t="array" ref="U1594">index('Query Tool'!B:B,match(C1594,'Query Tool'!C:C,0))</f>
        <v>0</v>
      </c>
      <c r="V1594" s="161" t="b">
        <f>F1594&gt;='Query Tool'!C$32</f>
        <v>1</v>
      </c>
      <c r="W1594" s="161" t="b">
        <f t="array" ref="W1594">index(Dropdowns!B:B,match(I1594,Dropdowns!A:A,0))</f>
        <v>1</v>
      </c>
      <c r="X1594" s="161" t="b">
        <f t="array" ref="X1594">index('Query Tool'!B:B,match(D1594,'Query Tool'!C:C,0))</f>
        <v>1</v>
      </c>
      <c r="Y1594" s="161" t="str">
        <f t="shared" si="6"/>
        <v>lawsoty01,2016-17</v>
      </c>
      <c r="Z1594" s="168" t="str">
        <f t="array" ref="Z1594">iferror(index(I:I,match($A1594&amp;","&amp;index('Year Conversion'!$A:$A,match($C1594,'Year Conversion'!$B:$B,0)),$Y:$Y,0))-I1594,"")</f>
        <v/>
      </c>
      <c r="AA1594" s="168" t="str">
        <f t="array" ref="AA1594">iferror(index(J:J,match($A1594&amp;","&amp;index('Year Conversion'!$A:$A,match($C1594,'Year Conversion'!$B:$B,0)),$Y:$Y,0))-J1594,"")</f>
        <v/>
      </c>
      <c r="AB1594" s="168" t="str">
        <f t="array" ref="AB1594">iferror(index(K:K,match($A1594&amp;","&amp;index('Year Conversion'!$A:$A,match($C1594,'Year Conversion'!$B:$B,0)),$Y:$Y,0))-K1594,"")</f>
        <v/>
      </c>
      <c r="AC1594" s="168" t="str">
        <f t="shared" si="7"/>
        <v>SAC,2016-17</v>
      </c>
    </row>
    <row r="1595">
      <c r="A1595" s="161" t="str">
        <f>IFERROR(__xludf.DUMMYFUNCTION("""COMPUTED_VALUE"""),"teaguje01")</f>
        <v>teaguje01</v>
      </c>
      <c r="B1595" s="161" t="str">
        <f>IFERROR(__xludf.DUMMYFUNCTION("""COMPUTED_VALUE"""),"Jeff Teague")</f>
        <v>Jeff Teague</v>
      </c>
      <c r="C1595" s="162" t="str">
        <f>IFERROR(__xludf.DUMMYFUNCTION("""COMPUTED_VALUE"""),"2016-17")</f>
        <v>2016-17</v>
      </c>
      <c r="D1595" s="163" t="str">
        <f>IFERROR(__xludf.DUMMYFUNCTION("""COMPUTED_VALUE"""),"IND")</f>
        <v>IND</v>
      </c>
      <c r="E1595" s="164" t="str">
        <f>IFERROR(__xludf.DUMMYFUNCTION("""COMPUTED_VALUE"""),"Shot Creator")</f>
        <v>Shot Creator</v>
      </c>
      <c r="F1595" s="164">
        <f>IFERROR(__xludf.DUMMYFUNCTION("""COMPUTED_VALUE"""),2657.025)</f>
        <v>2657.025</v>
      </c>
      <c r="G1595" s="163">
        <f>IFERROR(__xludf.DUMMYFUNCTION("""COMPUTED_VALUE"""),82.0)</f>
        <v>82</v>
      </c>
      <c r="H1595" s="163" t="str">
        <f>IFERROR(__xludf.DUMMYFUNCTION("""COMPUTED_VALUE"""),"PG")</f>
        <v>PG</v>
      </c>
      <c r="I1595" s="163">
        <f>IFERROR(__xludf.DUMMYFUNCTION("""COMPUTED_VALUE"""),28.0)</f>
        <v>28</v>
      </c>
      <c r="J1595" s="165">
        <f>IFERROR(__xludf.DUMMYFUNCTION("""COMPUTED_VALUE"""),1.62194074864424)</f>
        <v>1.621940749</v>
      </c>
      <c r="K1595" s="165">
        <f>IFERROR(__xludf.DUMMYFUNCTION("""COMPUTED_VALUE"""),1.67138869263986)</f>
        <v>1.671388693</v>
      </c>
      <c r="L1595" s="165">
        <f>IFERROR(__xludf.DUMMYFUNCTION("""COMPUTED_VALUE"""),-0.0494479439956231)</f>
        <v>-0.049447944</v>
      </c>
      <c r="M1595" s="166">
        <f t="shared" si="2"/>
        <v>6.991121199</v>
      </c>
      <c r="N1595" s="167">
        <f t="shared" si="3"/>
        <v>32.4027439</v>
      </c>
      <c r="O1595" s="163">
        <f t="shared" ref="O1595:Q1595" si="1599">rank(I1595,I:I)</f>
        <v>1090</v>
      </c>
      <c r="P1595" s="163">
        <f t="shared" si="1599"/>
        <v>424</v>
      </c>
      <c r="Q1595" s="163">
        <f t="shared" si="1599"/>
        <v>278</v>
      </c>
      <c r="R1595" s="163">
        <f>IFERROR(__xludf.DUMMYFUNCTION("RANK(M1595,filter(M:M,C:C=C1595))"),34.0)</f>
        <v>34</v>
      </c>
      <c r="S1595" s="161" t="b">
        <f t="shared" si="5"/>
        <v>0</v>
      </c>
      <c r="T1595" s="161" t="b">
        <f t="array" ref="T1595">index('Query Tool'!B:B,match(H1595,'Query Tool'!C:C,0))</f>
        <v>1</v>
      </c>
      <c r="U1595" s="161" t="b">
        <f t="array" ref="U1595">index('Query Tool'!B:B,match(C1595,'Query Tool'!C:C,0))</f>
        <v>0</v>
      </c>
      <c r="V1595" s="161" t="b">
        <f>F1595&gt;='Query Tool'!C$32</f>
        <v>1</v>
      </c>
      <c r="W1595" s="161" t="b">
        <f t="array" ref="W1595">index(Dropdowns!B:B,match(I1595,Dropdowns!A:A,0))</f>
        <v>1</v>
      </c>
      <c r="X1595" s="161" t="b">
        <f t="array" ref="X1595">index('Query Tool'!B:B,match(D1595,'Query Tool'!C:C,0))</f>
        <v>1</v>
      </c>
      <c r="Y1595" s="161" t="str">
        <f t="shared" si="6"/>
        <v>teaguje01,2016-17</v>
      </c>
      <c r="Z1595" s="168">
        <f t="array" ref="Z1595">iferror(index(I:I,match($A1595&amp;","&amp;index('Year Conversion'!$A:$A,match($C1595,'Year Conversion'!$B:$B,0)),$Y:$Y,0))-I1595,"")</f>
        <v>1</v>
      </c>
      <c r="AA1595" s="168">
        <f t="array" ref="AA1595">iferror(index(J:J,match($A1595&amp;","&amp;index('Year Conversion'!$A:$A,match($C1595,'Year Conversion'!$B:$B,0)),$Y:$Y,0))-J1595,"")</f>
        <v>-1.139411232</v>
      </c>
      <c r="AB1595" s="168">
        <f t="array" ref="AB1595">iferror(index(K:K,match($A1595&amp;","&amp;index('Year Conversion'!$A:$A,match($C1595,'Year Conversion'!$B:$B,0)),$Y:$Y,0))-K1595,"")</f>
        <v>-0.6732277131</v>
      </c>
      <c r="AC1595" s="168" t="str">
        <f t="shared" si="7"/>
        <v>IND,2016-17</v>
      </c>
    </row>
    <row r="1596">
      <c r="A1596" s="161" t="str">
        <f>IFERROR(__xludf.DUMMYFUNCTION("""COMPUTED_VALUE"""),"collida01")</f>
        <v>collida01</v>
      </c>
      <c r="B1596" s="161" t="str">
        <f>IFERROR(__xludf.DUMMYFUNCTION("""COMPUTED_VALUE"""),"Darren Collison")</f>
        <v>Darren Collison</v>
      </c>
      <c r="C1596" s="162" t="str">
        <f>IFERROR(__xludf.DUMMYFUNCTION("""COMPUTED_VALUE"""),"2016-17")</f>
        <v>2016-17</v>
      </c>
      <c r="D1596" s="163" t="str">
        <f>IFERROR(__xludf.DUMMYFUNCTION("""COMPUTED_VALUE"""),"SAC")</f>
        <v>SAC</v>
      </c>
      <c r="E1596" s="164" t="str">
        <f>IFERROR(__xludf.DUMMYFUNCTION("""COMPUTED_VALUE"""),"Primary Ball Handler")</f>
        <v>Primary Ball Handler</v>
      </c>
      <c r="F1596" s="164">
        <f>IFERROR(__xludf.DUMMYFUNCTION("""COMPUTED_VALUE"""),2063.32)</f>
        <v>2063.32</v>
      </c>
      <c r="G1596" s="163">
        <f>IFERROR(__xludf.DUMMYFUNCTION("""COMPUTED_VALUE"""),68.0)</f>
        <v>68</v>
      </c>
      <c r="H1596" s="163" t="str">
        <f>IFERROR(__xludf.DUMMYFUNCTION("""COMPUTED_VALUE"""),"PG")</f>
        <v>PG</v>
      </c>
      <c r="I1596" s="163">
        <f>IFERROR(__xludf.DUMMYFUNCTION("""COMPUTED_VALUE"""),29.0)</f>
        <v>29</v>
      </c>
      <c r="J1596" s="165">
        <f>IFERROR(__xludf.DUMMYFUNCTION("""COMPUTED_VALUE"""),-0.379294817463082)</f>
        <v>-0.3792948175</v>
      </c>
      <c r="K1596" s="165">
        <f>IFERROR(__xludf.DUMMYFUNCTION("""COMPUTED_VALUE"""),0.439789526284946)</f>
        <v>0.4397895263</v>
      </c>
      <c r="L1596" s="165">
        <f>IFERROR(__xludf.DUMMYFUNCTION("""COMPUTED_VALUE"""),-0.819084343748028)</f>
        <v>-0.8190843437</v>
      </c>
      <c r="M1596" s="166">
        <f t="shared" si="2"/>
        <v>2.653431702</v>
      </c>
      <c r="N1596" s="167">
        <f t="shared" si="3"/>
        <v>30.34294118</v>
      </c>
      <c r="O1596" s="163">
        <f t="shared" ref="O1596:Q1596" si="1600">rank(I1596,I:I)</f>
        <v>855</v>
      </c>
      <c r="P1596" s="163">
        <f t="shared" si="1600"/>
        <v>1707</v>
      </c>
      <c r="Q1596" s="163">
        <f t="shared" si="1600"/>
        <v>803</v>
      </c>
      <c r="R1596" s="163">
        <f>IFERROR(__xludf.DUMMYFUNCTION("RANK(M1596,filter(M:M,C:C=C1596))"),124.0)</f>
        <v>124</v>
      </c>
      <c r="S1596" s="161" t="b">
        <f t="shared" si="5"/>
        <v>0</v>
      </c>
      <c r="T1596" s="161" t="b">
        <f t="array" ref="T1596">index('Query Tool'!B:B,match(H1596,'Query Tool'!C:C,0))</f>
        <v>1</v>
      </c>
      <c r="U1596" s="161" t="b">
        <f t="array" ref="U1596">index('Query Tool'!B:B,match(C1596,'Query Tool'!C:C,0))</f>
        <v>0</v>
      </c>
      <c r="V1596" s="161" t="b">
        <f>F1596&gt;='Query Tool'!C$32</f>
        <v>1</v>
      </c>
      <c r="W1596" s="161" t="b">
        <f t="array" ref="W1596">index(Dropdowns!B:B,match(I1596,Dropdowns!A:A,0))</f>
        <v>1</v>
      </c>
      <c r="X1596" s="161" t="b">
        <f t="array" ref="X1596">index('Query Tool'!B:B,match(D1596,'Query Tool'!C:C,0))</f>
        <v>1</v>
      </c>
      <c r="Y1596" s="161" t="str">
        <f t="shared" si="6"/>
        <v>collida01,2016-17</v>
      </c>
      <c r="Z1596" s="168">
        <f t="array" ref="Z1596">iferror(index(I:I,match($A1596&amp;","&amp;index('Year Conversion'!$A:$A,match($C1596,'Year Conversion'!$B:$B,0)),$Y:$Y,0))-I1596,"")</f>
        <v>1</v>
      </c>
      <c r="AA1596" s="168">
        <f t="array" ref="AA1596">iferror(index(J:J,match($A1596&amp;","&amp;index('Year Conversion'!$A:$A,match($C1596,'Year Conversion'!$B:$B,0)),$Y:$Y,0))-J1596,"")</f>
        <v>1.027071021</v>
      </c>
      <c r="AB1596" s="168">
        <f t="array" ref="AB1596">iferror(index(K:K,match($A1596&amp;","&amp;index('Year Conversion'!$A:$A,match($C1596,'Year Conversion'!$B:$B,0)),$Y:$Y,0))-K1596,"")</f>
        <v>0.4421472292</v>
      </c>
      <c r="AC1596" s="168" t="str">
        <f t="shared" si="7"/>
        <v>SAC,2016-17</v>
      </c>
    </row>
    <row r="1597">
      <c r="A1597" s="161" t="str">
        <f>IFERROR(__xludf.DUMMYFUNCTION("""COMPUTED_VALUE"""),"casspom01")</f>
        <v>casspom01</v>
      </c>
      <c r="B1597" s="161" t="str">
        <f>IFERROR(__xludf.DUMMYFUNCTION("""COMPUTED_VALUE"""),"Omri Casspi")</f>
        <v>Omri Casspi</v>
      </c>
      <c r="C1597" s="162" t="str">
        <f>IFERROR(__xludf.DUMMYFUNCTION("""COMPUTED_VALUE"""),"2016-17")</f>
        <v>2016-17</v>
      </c>
      <c r="D1597" s="163" t="str">
        <f>IFERROR(__xludf.DUMMYFUNCTION("""COMPUTED_VALUE"""),"TOT")</f>
        <v>TOT</v>
      </c>
      <c r="E1597" s="164" t="str">
        <f>IFERROR(__xludf.DUMMYFUNCTION("""COMPUTED_VALUE"""),"Athletic Finisher")</f>
        <v>Athletic Finisher</v>
      </c>
      <c r="F1597" s="164">
        <f>IFERROR(__xludf.DUMMYFUNCTION("""COMPUTED_VALUE"""),642.155)</f>
        <v>642.155</v>
      </c>
      <c r="G1597" s="163">
        <f>IFERROR(__xludf.DUMMYFUNCTION("""COMPUTED_VALUE"""),36.0)</f>
        <v>36</v>
      </c>
      <c r="H1597" s="163" t="str">
        <f>IFERROR(__xludf.DUMMYFUNCTION("""COMPUTED_VALUE"""),"PF")</f>
        <v>PF</v>
      </c>
      <c r="I1597" s="163">
        <f>IFERROR(__xludf.DUMMYFUNCTION("""COMPUTED_VALUE"""),28.0)</f>
        <v>28</v>
      </c>
      <c r="J1597" s="165">
        <f>IFERROR(__xludf.DUMMYFUNCTION("""COMPUTED_VALUE"""),-1.09905842266076)</f>
        <v>-1.099058423</v>
      </c>
      <c r="K1597" s="165">
        <f>IFERROR(__xludf.DUMMYFUNCTION("""COMPUTED_VALUE"""),-1.05474884903673)</f>
        <v>-1.054748849</v>
      </c>
      <c r="L1597" s="165">
        <f>IFERROR(__xludf.DUMMYFUNCTION("""COMPUTED_VALUE"""),-0.0443095736240307)</f>
        <v>-0.04430957362</v>
      </c>
      <c r="M1597" s="166">
        <f t="shared" si="2"/>
        <v>0.5149656423</v>
      </c>
      <c r="N1597" s="167">
        <f t="shared" si="3"/>
        <v>17.83763889</v>
      </c>
      <c r="O1597" s="163">
        <f t="shared" ref="O1597:Q1597" si="1601">rank(I1597,I:I)</f>
        <v>1090</v>
      </c>
      <c r="P1597" s="163">
        <f t="shared" si="1601"/>
        <v>2610</v>
      </c>
      <c r="Q1597" s="163">
        <f t="shared" si="1601"/>
        <v>2877</v>
      </c>
      <c r="R1597" s="163">
        <f>IFERROR(__xludf.DUMMYFUNCTION("RANK(M1597,filter(M:M,C:C=C1597))"),281.0)</f>
        <v>281</v>
      </c>
      <c r="S1597" s="161" t="b">
        <f t="shared" si="5"/>
        <v>0</v>
      </c>
      <c r="T1597" s="161" t="b">
        <f t="array" ref="T1597">index('Query Tool'!B:B,match(H1597,'Query Tool'!C:C,0))</f>
        <v>1</v>
      </c>
      <c r="U1597" s="161" t="b">
        <f t="array" ref="U1597">index('Query Tool'!B:B,match(C1597,'Query Tool'!C:C,0))</f>
        <v>0</v>
      </c>
      <c r="V1597" s="161" t="b">
        <f>F1597&gt;='Query Tool'!C$32</f>
        <v>1</v>
      </c>
      <c r="W1597" s="161" t="b">
        <f t="array" ref="W1597">index(Dropdowns!B:B,match(I1597,Dropdowns!A:A,0))</f>
        <v>1</v>
      </c>
      <c r="X1597" s="161" t="b">
        <f t="array" ref="X1597">index('Query Tool'!B:B,match(D1597,'Query Tool'!C:C,0))</f>
        <v>1</v>
      </c>
      <c r="Y1597" s="161" t="str">
        <f t="shared" si="6"/>
        <v>casspom01,2016-17</v>
      </c>
      <c r="Z1597" s="168">
        <f t="array" ref="Z1597">iferror(index(I:I,match($A1597&amp;","&amp;index('Year Conversion'!$A:$A,match($C1597,'Year Conversion'!$B:$B,0)),$Y:$Y,0))-I1597,"")</f>
        <v>1</v>
      </c>
      <c r="AA1597" s="168">
        <f t="array" ref="AA1597">iferror(index(J:J,match($A1597&amp;","&amp;index('Year Conversion'!$A:$A,match($C1597,'Year Conversion'!$B:$B,0)),$Y:$Y,0))-J1597,"")</f>
        <v>0.7814301686</v>
      </c>
      <c r="AB1597" s="168">
        <f t="array" ref="AB1597">iferror(index(K:K,match($A1597&amp;","&amp;index('Year Conversion'!$A:$A,match($C1597,'Year Conversion'!$B:$B,0)),$Y:$Y,0))-K1597,"")</f>
        <v>0.5118737417</v>
      </c>
      <c r="AC1597" s="168" t="str">
        <f t="shared" si="7"/>
        <v>TOT,2016-17</v>
      </c>
    </row>
    <row r="1598">
      <c r="A1598" s="161" t="str">
        <f>IFERROR(__xludf.DUMMYFUNCTION("""COMPUTED_VALUE"""),"gibsota01")</f>
        <v>gibsota01</v>
      </c>
      <c r="B1598" s="161" t="str">
        <f>IFERROR(__xludf.DUMMYFUNCTION("""COMPUTED_VALUE"""),"Taj Gibson")</f>
        <v>Taj Gibson</v>
      </c>
      <c r="C1598" s="162" t="str">
        <f>IFERROR(__xludf.DUMMYFUNCTION("""COMPUTED_VALUE"""),"2016-17")</f>
        <v>2016-17</v>
      </c>
      <c r="D1598" s="163" t="str">
        <f>IFERROR(__xludf.DUMMYFUNCTION("""COMPUTED_VALUE"""),"TOT")</f>
        <v>TOT</v>
      </c>
      <c r="E1598" s="164" t="str">
        <f>IFERROR(__xludf.DUMMYFUNCTION("""COMPUTED_VALUE"""),"Post Scorer")</f>
        <v>Post Scorer</v>
      </c>
      <c r="F1598" s="164">
        <f>IFERROR(__xludf.DUMMYFUNCTION("""COMPUTED_VALUE"""),1988.55833333333)</f>
        <v>1988.558333</v>
      </c>
      <c r="G1598" s="163">
        <f>IFERROR(__xludf.DUMMYFUNCTION("""COMPUTED_VALUE"""),78.0)</f>
        <v>78</v>
      </c>
      <c r="H1598" s="163" t="str">
        <f>IFERROR(__xludf.DUMMYFUNCTION("""COMPUTED_VALUE"""),"PF")</f>
        <v>PF</v>
      </c>
      <c r="I1598" s="163">
        <f>IFERROR(__xludf.DUMMYFUNCTION("""COMPUTED_VALUE"""),31.0)</f>
        <v>31</v>
      </c>
      <c r="J1598" s="165">
        <f>IFERROR(__xludf.DUMMYFUNCTION("""COMPUTED_VALUE"""),0.471066801367508)</f>
        <v>0.4710668014</v>
      </c>
      <c r="K1598" s="165">
        <f>IFERROR(__xludf.DUMMYFUNCTION("""COMPUTED_VALUE"""),-0.78273261448692)</f>
        <v>-0.7827326145</v>
      </c>
      <c r="L1598" s="165">
        <f>IFERROR(__xludf.DUMMYFUNCTION("""COMPUTED_VALUE"""),1.25379941585443)</f>
        <v>1.253799416</v>
      </c>
      <c r="M1598" s="166">
        <f t="shared" si="2"/>
        <v>3.697042625</v>
      </c>
      <c r="N1598" s="167">
        <f t="shared" si="3"/>
        <v>25.49433761</v>
      </c>
      <c r="O1598" s="163">
        <f t="shared" ref="O1598:Q1598" si="1602">rank(I1598,I:I)</f>
        <v>490</v>
      </c>
      <c r="P1598" s="163">
        <f t="shared" si="1602"/>
        <v>917</v>
      </c>
      <c r="Q1598" s="163">
        <f t="shared" si="1602"/>
        <v>2537</v>
      </c>
      <c r="R1598" s="163">
        <f>IFERROR(__xludf.DUMMYFUNCTION("RANK(M1598,filter(M:M,C:C=C1598))"),94.0)</f>
        <v>94</v>
      </c>
      <c r="S1598" s="161" t="b">
        <f t="shared" si="5"/>
        <v>0</v>
      </c>
      <c r="T1598" s="161" t="b">
        <f t="array" ref="T1598">index('Query Tool'!B:B,match(H1598,'Query Tool'!C:C,0))</f>
        <v>1</v>
      </c>
      <c r="U1598" s="161" t="b">
        <f t="array" ref="U1598">index('Query Tool'!B:B,match(C1598,'Query Tool'!C:C,0))</f>
        <v>0</v>
      </c>
      <c r="V1598" s="161" t="b">
        <f>F1598&gt;='Query Tool'!C$32</f>
        <v>1</v>
      </c>
      <c r="W1598" s="161" t="b">
        <f t="array" ref="W1598">index(Dropdowns!B:B,match(I1598,Dropdowns!A:A,0))</f>
        <v>1</v>
      </c>
      <c r="X1598" s="161" t="b">
        <f t="array" ref="X1598">index('Query Tool'!B:B,match(D1598,'Query Tool'!C:C,0))</f>
        <v>1</v>
      </c>
      <c r="Y1598" s="161" t="str">
        <f t="shared" si="6"/>
        <v>gibsota01,2016-17</v>
      </c>
      <c r="Z1598" s="168">
        <f t="array" ref="Z1598">iferror(index(I:I,match($A1598&amp;","&amp;index('Year Conversion'!$A:$A,match($C1598,'Year Conversion'!$B:$B,0)),$Y:$Y,0))-I1598,"")</f>
        <v>1</v>
      </c>
      <c r="AA1598" s="168">
        <f t="array" ref="AA1598">iferror(index(J:J,match($A1598&amp;","&amp;index('Year Conversion'!$A:$A,match($C1598,'Year Conversion'!$B:$B,0)),$Y:$Y,0))-J1598,"")</f>
        <v>0.1129272453</v>
      </c>
      <c r="AB1598" s="168">
        <f t="array" ref="AB1598">iferror(index(K:K,match($A1598&amp;","&amp;index('Year Conversion'!$A:$A,match($C1598,'Year Conversion'!$B:$B,0)),$Y:$Y,0))-K1598,"")</f>
        <v>1.338107505</v>
      </c>
      <c r="AC1598" s="168" t="str">
        <f t="shared" si="7"/>
        <v>TOT,2016-17</v>
      </c>
    </row>
    <row r="1599">
      <c r="A1599" s="161" t="str">
        <f>IFERROR(__xludf.DUMMYFUNCTION("""COMPUTED_VALUE"""),"carrode01")</f>
        <v>carrode01</v>
      </c>
      <c r="B1599" s="161" t="str">
        <f>IFERROR(__xludf.DUMMYFUNCTION("""COMPUTED_VALUE"""),"DeMarre Carroll")</f>
        <v>DeMarre Carroll</v>
      </c>
      <c r="C1599" s="162" t="str">
        <f>IFERROR(__xludf.DUMMYFUNCTION("""COMPUTED_VALUE"""),"2016-17")</f>
        <v>2016-17</v>
      </c>
      <c r="D1599" s="163" t="str">
        <f>IFERROR(__xludf.DUMMYFUNCTION("""COMPUTED_VALUE"""),"TOR")</f>
        <v>TOR</v>
      </c>
      <c r="E1599" s="164" t="str">
        <f>IFERROR(__xludf.DUMMYFUNCTION("""COMPUTED_VALUE"""),"Stationary Shooter")</f>
        <v>Stationary Shooter</v>
      </c>
      <c r="F1599" s="164">
        <f>IFERROR(__xludf.DUMMYFUNCTION("""COMPUTED_VALUE"""),1881.38333333333)</f>
        <v>1881.383333</v>
      </c>
      <c r="G1599" s="163">
        <f>IFERROR(__xludf.DUMMYFUNCTION("""COMPUTED_VALUE"""),72.0)</f>
        <v>72</v>
      </c>
      <c r="H1599" s="163" t="str">
        <f>IFERROR(__xludf.DUMMYFUNCTION("""COMPUTED_VALUE"""),"SF")</f>
        <v>SF</v>
      </c>
      <c r="I1599" s="163">
        <f>IFERROR(__xludf.DUMMYFUNCTION("""COMPUTED_VALUE"""),30.0)</f>
        <v>30</v>
      </c>
      <c r="J1599" s="165">
        <f>IFERROR(__xludf.DUMMYFUNCTION("""COMPUTED_VALUE"""),1.23199270344186)</f>
        <v>1.231992703</v>
      </c>
      <c r="K1599" s="165">
        <f>IFERROR(__xludf.DUMMYFUNCTION("""COMPUTED_VALUE"""),0.285716489577162)</f>
        <v>0.2857164896</v>
      </c>
      <c r="L1599" s="165">
        <f>IFERROR(__xludf.DUMMYFUNCTION("""COMPUTED_VALUE"""),0.946276213864696)</f>
        <v>0.9462762139</v>
      </c>
      <c r="M1599" s="166">
        <f t="shared" si="2"/>
        <v>4.459850597</v>
      </c>
      <c r="N1599" s="167">
        <f t="shared" si="3"/>
        <v>26.13032407</v>
      </c>
      <c r="O1599" s="163">
        <f t="shared" ref="O1599:Q1599" si="1603">rank(I1599,I:I)</f>
        <v>655</v>
      </c>
      <c r="P1599" s="163">
        <f t="shared" si="1603"/>
        <v>562</v>
      </c>
      <c r="Q1599" s="163">
        <f t="shared" si="1603"/>
        <v>922</v>
      </c>
      <c r="R1599" s="163">
        <f>IFERROR(__xludf.DUMMYFUNCTION("RANK(M1599,filter(M:M,C:C=C1599))"),63.0)</f>
        <v>63</v>
      </c>
      <c r="S1599" s="161" t="b">
        <f t="shared" si="5"/>
        <v>0</v>
      </c>
      <c r="T1599" s="161" t="b">
        <f t="array" ref="T1599">index('Query Tool'!B:B,match(H1599,'Query Tool'!C:C,0))</f>
        <v>1</v>
      </c>
      <c r="U1599" s="161" t="b">
        <f t="array" ref="U1599">index('Query Tool'!B:B,match(C1599,'Query Tool'!C:C,0))</f>
        <v>0</v>
      </c>
      <c r="V1599" s="161" t="b">
        <f>F1599&gt;='Query Tool'!C$32</f>
        <v>1</v>
      </c>
      <c r="W1599" s="161" t="b">
        <f t="array" ref="W1599">index(Dropdowns!B:B,match(I1599,Dropdowns!A:A,0))</f>
        <v>1</v>
      </c>
      <c r="X1599" s="161" t="b">
        <f t="array" ref="X1599">index('Query Tool'!B:B,match(D1599,'Query Tool'!C:C,0))</f>
        <v>1</v>
      </c>
      <c r="Y1599" s="161" t="str">
        <f t="shared" si="6"/>
        <v>carrode01,2016-17</v>
      </c>
      <c r="Z1599" s="168">
        <f t="array" ref="Z1599">iferror(index(I:I,match($A1599&amp;","&amp;index('Year Conversion'!$A:$A,match($C1599,'Year Conversion'!$B:$B,0)),$Y:$Y,0))-I1599,"")</f>
        <v>1</v>
      </c>
      <c r="AA1599" s="168">
        <f t="array" ref="AA1599">iferror(index(J:J,match($A1599&amp;","&amp;index('Year Conversion'!$A:$A,match($C1599,'Year Conversion'!$B:$B,0)),$Y:$Y,0))-J1599,"")</f>
        <v>-0.1381644286</v>
      </c>
      <c r="AB1599" s="168">
        <f t="array" ref="AB1599">iferror(index(K:K,match($A1599&amp;","&amp;index('Year Conversion'!$A:$A,match($C1599,'Year Conversion'!$B:$B,0)),$Y:$Y,0))-K1599,"")</f>
        <v>0.3305465874</v>
      </c>
      <c r="AC1599" s="168" t="str">
        <f t="shared" si="7"/>
        <v>TOR,2016-17</v>
      </c>
    </row>
    <row r="1600">
      <c r="A1600" s="161" t="str">
        <f>IFERROR(__xludf.DUMMYFUNCTION("""COMPUTED_VALUE"""),"ellinwa01")</f>
        <v>ellinwa01</v>
      </c>
      <c r="B1600" s="161" t="str">
        <f>IFERROR(__xludf.DUMMYFUNCTION("""COMPUTED_VALUE"""),"Wayne Ellington")</f>
        <v>Wayne Ellington</v>
      </c>
      <c r="C1600" s="162" t="str">
        <f>IFERROR(__xludf.DUMMYFUNCTION("""COMPUTED_VALUE"""),"2016-17")</f>
        <v>2016-17</v>
      </c>
      <c r="D1600" s="163" t="str">
        <f>IFERROR(__xludf.DUMMYFUNCTION("""COMPUTED_VALUE"""),"MIA")</f>
        <v>MIA</v>
      </c>
      <c r="E1600" s="164" t="str">
        <f>IFERROR(__xludf.DUMMYFUNCTION("""COMPUTED_VALUE"""),"Off Screen Shooter")</f>
        <v>Off Screen Shooter</v>
      </c>
      <c r="F1600" s="164">
        <f>IFERROR(__xludf.DUMMYFUNCTION("""COMPUTED_VALUE"""),1499.71666666667)</f>
        <v>1499.716667</v>
      </c>
      <c r="G1600" s="163">
        <f>IFERROR(__xludf.DUMMYFUNCTION("""COMPUTED_VALUE"""),62.0)</f>
        <v>62</v>
      </c>
      <c r="H1600" s="163" t="str">
        <f>IFERROR(__xludf.DUMMYFUNCTION("""COMPUTED_VALUE"""),"SG")</f>
        <v>SG</v>
      </c>
      <c r="I1600" s="163">
        <f>IFERROR(__xludf.DUMMYFUNCTION("""COMPUTED_VALUE"""),29.0)</f>
        <v>29</v>
      </c>
      <c r="J1600" s="165">
        <f>IFERROR(__xludf.DUMMYFUNCTION("""COMPUTED_VALUE"""),-0.53314099214271)</f>
        <v>-0.5331409921</v>
      </c>
      <c r="K1600" s="165">
        <f>IFERROR(__xludf.DUMMYFUNCTION("""COMPUTED_VALUE"""),0.967610660998684)</f>
        <v>0.967610661</v>
      </c>
      <c r="L1600" s="165">
        <f>IFERROR(__xludf.DUMMYFUNCTION("""COMPUTED_VALUE"""),-1.50075165314139)</f>
        <v>-1.500751653</v>
      </c>
      <c r="M1600" s="166">
        <f t="shared" si="2"/>
        <v>1.773220445</v>
      </c>
      <c r="N1600" s="167">
        <f t="shared" si="3"/>
        <v>24.18897849</v>
      </c>
      <c r="O1600" s="163">
        <f t="shared" ref="O1600:Q1600" si="1604">rank(I1600,I:I)</f>
        <v>855</v>
      </c>
      <c r="P1600" s="163">
        <f t="shared" si="1604"/>
        <v>1896</v>
      </c>
      <c r="Q1600" s="163">
        <f t="shared" si="1604"/>
        <v>516</v>
      </c>
      <c r="R1600" s="163">
        <f>IFERROR(__xludf.DUMMYFUNCTION("RANK(M1600,filter(M:M,C:C=C1600))"),172.0)</f>
        <v>172</v>
      </c>
      <c r="S1600" s="161" t="b">
        <f t="shared" si="5"/>
        <v>0</v>
      </c>
      <c r="T1600" s="161" t="b">
        <f t="array" ref="T1600">index('Query Tool'!B:B,match(H1600,'Query Tool'!C:C,0))</f>
        <v>1</v>
      </c>
      <c r="U1600" s="161" t="b">
        <f t="array" ref="U1600">index('Query Tool'!B:B,match(C1600,'Query Tool'!C:C,0))</f>
        <v>0</v>
      </c>
      <c r="V1600" s="161" t="b">
        <f>F1600&gt;='Query Tool'!C$32</f>
        <v>1</v>
      </c>
      <c r="W1600" s="161" t="b">
        <f t="array" ref="W1600">index(Dropdowns!B:B,match(I1600,Dropdowns!A:A,0))</f>
        <v>1</v>
      </c>
      <c r="X1600" s="161" t="b">
        <f t="array" ref="X1600">index('Query Tool'!B:B,match(D1600,'Query Tool'!C:C,0))</f>
        <v>1</v>
      </c>
      <c r="Y1600" s="161" t="str">
        <f t="shared" si="6"/>
        <v>ellinwa01,2016-17</v>
      </c>
      <c r="Z1600" s="168">
        <f t="array" ref="Z1600">iferror(index(I:I,match($A1600&amp;","&amp;index('Year Conversion'!$A:$A,match($C1600,'Year Conversion'!$B:$B,0)),$Y:$Y,0))-I1600,"")</f>
        <v>1</v>
      </c>
      <c r="AA1600" s="168">
        <f t="array" ref="AA1600">iferror(index(J:J,match($A1600&amp;","&amp;index('Year Conversion'!$A:$A,match($C1600,'Year Conversion'!$B:$B,0)),$Y:$Y,0))-J1600,"")</f>
        <v>0.1278988817</v>
      </c>
      <c r="AB1600" s="168">
        <f t="array" ref="AB1600">iferror(index(K:K,match($A1600&amp;","&amp;index('Year Conversion'!$A:$A,match($C1600,'Year Conversion'!$B:$B,0)),$Y:$Y,0))-K1600,"")</f>
        <v>-0.2626814446</v>
      </c>
      <c r="AC1600" s="168" t="str">
        <f t="shared" si="7"/>
        <v>MIA,2016-17</v>
      </c>
    </row>
    <row r="1601">
      <c r="A1601" s="161" t="str">
        <f>IFERROR(__xludf.DUMMYFUNCTION("""COMPUTED_VALUE"""),"douglto01")</f>
        <v>douglto01</v>
      </c>
      <c r="B1601" s="161" t="str">
        <f>IFERROR(__xludf.DUMMYFUNCTION("""COMPUTED_VALUE"""),"Toney Douglas")</f>
        <v>Toney Douglas</v>
      </c>
      <c r="C1601" s="162" t="str">
        <f>IFERROR(__xludf.DUMMYFUNCTION("""COMPUTED_VALUE"""),"2016-17")</f>
        <v>2016-17</v>
      </c>
      <c r="D1601" s="163" t="str">
        <f>IFERROR(__xludf.DUMMYFUNCTION("""COMPUTED_VALUE"""),"MEM")</f>
        <v>MEM</v>
      </c>
      <c r="E1601" s="164" t="str">
        <f>IFERROR(__xludf.DUMMYFUNCTION("""COMPUTED_VALUE"""),"Secondary Ball Handler")</f>
        <v>Secondary Ball Handler</v>
      </c>
      <c r="F1601" s="164">
        <f>IFERROR(__xludf.DUMMYFUNCTION("""COMPUTED_VALUE"""),393.803333333333)</f>
        <v>393.8033333</v>
      </c>
      <c r="G1601" s="163">
        <f>IFERROR(__xludf.DUMMYFUNCTION("""COMPUTED_VALUE"""),24.0)</f>
        <v>24</v>
      </c>
      <c r="H1601" s="163" t="str">
        <f>IFERROR(__xludf.DUMMYFUNCTION("""COMPUTED_VALUE"""),"PG")</f>
        <v>PG</v>
      </c>
      <c r="I1601" s="163">
        <f>IFERROR(__xludf.DUMMYFUNCTION("""COMPUTED_VALUE"""),30.0)</f>
        <v>30</v>
      </c>
      <c r="J1601" s="165">
        <f>IFERROR(__xludf.DUMMYFUNCTION("""COMPUTED_VALUE"""),0.0571672852159513)</f>
        <v>0.05716728522</v>
      </c>
      <c r="K1601" s="165">
        <f>IFERROR(__xludf.DUMMYFUNCTION("""COMPUTED_VALUE"""),-0.0466474326105212)</f>
        <v>-0.04664743261</v>
      </c>
      <c r="L1601" s="165">
        <f>IFERROR(__xludf.DUMMYFUNCTION("""COMPUTED_VALUE"""),0.103814717826472)</f>
        <v>0.1038147178</v>
      </c>
      <c r="M1601" s="166">
        <f t="shared" si="2"/>
        <v>0.6222912144</v>
      </c>
      <c r="N1601" s="167">
        <f t="shared" si="3"/>
        <v>16.40847222</v>
      </c>
      <c r="O1601" s="163">
        <f t="shared" ref="O1601:Q1601" si="1605">rank(I1601,I:I)</f>
        <v>655</v>
      </c>
      <c r="P1601" s="163">
        <f t="shared" si="1605"/>
        <v>1235</v>
      </c>
      <c r="Q1601" s="163">
        <f t="shared" si="1605"/>
        <v>1269</v>
      </c>
      <c r="R1601" s="163">
        <f>IFERROR(__xludf.DUMMYFUNCTION("RANK(M1601,filter(M:M,C:C=C1601))"),264.0)</f>
        <v>264</v>
      </c>
      <c r="S1601" s="161" t="b">
        <f t="shared" si="5"/>
        <v>0</v>
      </c>
      <c r="T1601" s="161" t="b">
        <f t="array" ref="T1601">index('Query Tool'!B:B,match(H1601,'Query Tool'!C:C,0))</f>
        <v>1</v>
      </c>
      <c r="U1601" s="161" t="b">
        <f t="array" ref="U1601">index('Query Tool'!B:B,match(C1601,'Query Tool'!C:C,0))</f>
        <v>0</v>
      </c>
      <c r="V1601" s="161" t="b">
        <f>F1601&gt;='Query Tool'!C$32</f>
        <v>0</v>
      </c>
      <c r="W1601" s="161" t="b">
        <f t="array" ref="W1601">index(Dropdowns!B:B,match(I1601,Dropdowns!A:A,0))</f>
        <v>1</v>
      </c>
      <c r="X1601" s="161" t="b">
        <f t="array" ref="X1601">index('Query Tool'!B:B,match(D1601,'Query Tool'!C:C,0))</f>
        <v>1</v>
      </c>
      <c r="Y1601" s="161" t="str">
        <f t="shared" si="6"/>
        <v>douglto01,2016-17</v>
      </c>
      <c r="Z1601" s="168" t="str">
        <f t="array" ref="Z1601">iferror(index(I:I,match($A1601&amp;","&amp;index('Year Conversion'!$A:$A,match($C1601,'Year Conversion'!$B:$B,0)),$Y:$Y,0))-I1601,"")</f>
        <v/>
      </c>
      <c r="AA1601" s="168" t="str">
        <f t="array" ref="AA1601">iferror(index(J:J,match($A1601&amp;","&amp;index('Year Conversion'!$A:$A,match($C1601,'Year Conversion'!$B:$B,0)),$Y:$Y,0))-J1601,"")</f>
        <v/>
      </c>
      <c r="AB1601" s="168" t="str">
        <f t="array" ref="AB1601">iferror(index(K:K,match($A1601&amp;","&amp;index('Year Conversion'!$A:$A,match($C1601,'Year Conversion'!$B:$B,0)),$Y:$Y,0))-K1601,"")</f>
        <v/>
      </c>
      <c r="AC1601" s="168" t="str">
        <f t="shared" si="7"/>
        <v>MEM,2016-17</v>
      </c>
    </row>
    <row r="1602">
      <c r="A1602" s="161" t="str">
        <f>IFERROR(__xludf.DUMMYFUNCTION("""COMPUTED_VALUE"""),"cunnida01")</f>
        <v>cunnida01</v>
      </c>
      <c r="B1602" s="161" t="str">
        <f>IFERROR(__xludf.DUMMYFUNCTION("""COMPUTED_VALUE"""),"Dante Cunningham")</f>
        <v>Dante Cunningham</v>
      </c>
      <c r="C1602" s="162" t="str">
        <f>IFERROR(__xludf.DUMMYFUNCTION("""COMPUTED_VALUE"""),"2016-17")</f>
        <v>2016-17</v>
      </c>
      <c r="D1602" s="163" t="str">
        <f>IFERROR(__xludf.DUMMYFUNCTION("""COMPUTED_VALUE"""),"NOP")</f>
        <v>NOP</v>
      </c>
      <c r="E1602" s="164" t="str">
        <f>IFERROR(__xludf.DUMMYFUNCTION("""COMPUTED_VALUE"""),"Athletic Finisher")</f>
        <v>Athletic Finisher</v>
      </c>
      <c r="F1602" s="164">
        <f>IFERROR(__xludf.DUMMYFUNCTION("""COMPUTED_VALUE"""),1648.57833333333)</f>
        <v>1648.578333</v>
      </c>
      <c r="G1602" s="163">
        <f>IFERROR(__xludf.DUMMYFUNCTION("""COMPUTED_VALUE"""),66.0)</f>
        <v>66</v>
      </c>
      <c r="H1602" s="163" t="str">
        <f>IFERROR(__xludf.DUMMYFUNCTION("""COMPUTED_VALUE"""),"PF")</f>
        <v>PF</v>
      </c>
      <c r="I1602" s="163">
        <f>IFERROR(__xludf.DUMMYFUNCTION("""COMPUTED_VALUE"""),29.0)</f>
        <v>29</v>
      </c>
      <c r="J1602" s="165">
        <f>IFERROR(__xludf.DUMMYFUNCTION("""COMPUTED_VALUE"""),-1.9915363333364)</f>
        <v>-1.991536333</v>
      </c>
      <c r="K1602" s="165">
        <f>IFERROR(__xludf.DUMMYFUNCTION("""COMPUTED_VALUE"""),-1.83759979898268)</f>
        <v>-1.837599799</v>
      </c>
      <c r="L1602" s="165">
        <f>IFERROR(__xludf.DUMMYFUNCTION("""COMPUTED_VALUE"""),-0.153936534353719)</f>
        <v>-0.1539365344</v>
      </c>
      <c r="M1602" s="166">
        <f t="shared" si="2"/>
        <v>0.3401718181</v>
      </c>
      <c r="N1602" s="167">
        <f t="shared" si="3"/>
        <v>24.9784596</v>
      </c>
      <c r="O1602" s="163">
        <f t="shared" ref="O1602:Q1602" si="1606">rank(I1602,I:I)</f>
        <v>855</v>
      </c>
      <c r="P1602" s="163">
        <f t="shared" si="1606"/>
        <v>3473</v>
      </c>
      <c r="Q1602" s="163">
        <f t="shared" si="1606"/>
        <v>3599</v>
      </c>
      <c r="R1602" s="163">
        <f>IFERROR(__xludf.DUMMYFUNCTION("RANK(M1602,filter(M:M,C:C=C1602))"),311.0)</f>
        <v>311</v>
      </c>
      <c r="S1602" s="161" t="b">
        <f t="shared" si="5"/>
        <v>0</v>
      </c>
      <c r="T1602" s="161" t="b">
        <f t="array" ref="T1602">index('Query Tool'!B:B,match(H1602,'Query Tool'!C:C,0))</f>
        <v>1</v>
      </c>
      <c r="U1602" s="161" t="b">
        <f t="array" ref="U1602">index('Query Tool'!B:B,match(C1602,'Query Tool'!C:C,0))</f>
        <v>0</v>
      </c>
      <c r="V1602" s="161" t="b">
        <f>F1602&gt;='Query Tool'!C$32</f>
        <v>1</v>
      </c>
      <c r="W1602" s="161" t="b">
        <f t="array" ref="W1602">index(Dropdowns!B:B,match(I1602,Dropdowns!A:A,0))</f>
        <v>1</v>
      </c>
      <c r="X1602" s="161" t="b">
        <f t="array" ref="X1602">index('Query Tool'!B:B,match(D1602,'Query Tool'!C:C,0))</f>
        <v>1</v>
      </c>
      <c r="Y1602" s="161" t="str">
        <f t="shared" si="6"/>
        <v>cunnida01,2016-17</v>
      </c>
      <c r="Z1602" s="168">
        <f t="array" ref="Z1602">iferror(index(I:I,match($A1602&amp;","&amp;index('Year Conversion'!$A:$A,match($C1602,'Year Conversion'!$B:$B,0)),$Y:$Y,0))-I1602,"")</f>
        <v>1</v>
      </c>
      <c r="AA1602" s="168">
        <f t="array" ref="AA1602">iferror(index(J:J,match($A1602&amp;","&amp;index('Year Conversion'!$A:$A,match($C1602,'Year Conversion'!$B:$B,0)),$Y:$Y,0))-J1602,"")</f>
        <v>0.3117041141</v>
      </c>
      <c r="AB1602" s="168">
        <f t="array" ref="AB1602">iferror(index(K:K,match($A1602&amp;","&amp;index('Year Conversion'!$A:$A,match($C1602,'Year Conversion'!$B:$B,0)),$Y:$Y,0))-K1602,"")</f>
        <v>0.3113301148</v>
      </c>
      <c r="AC1602" s="168" t="str">
        <f t="shared" si="7"/>
        <v>NOP,2016-17</v>
      </c>
    </row>
    <row r="1603">
      <c r="A1603" s="161" t="str">
        <f>IFERROR(__xludf.DUMMYFUNCTION("""COMPUTED_VALUE"""),"jerebjo01")</f>
        <v>jerebjo01</v>
      </c>
      <c r="B1603" s="161" t="str">
        <f>IFERROR(__xludf.DUMMYFUNCTION("""COMPUTED_VALUE"""),"Jonas Jerebko")</f>
        <v>Jonas Jerebko</v>
      </c>
      <c r="C1603" s="162" t="str">
        <f>IFERROR(__xludf.DUMMYFUNCTION("""COMPUTED_VALUE"""),"2016-17")</f>
        <v>2016-17</v>
      </c>
      <c r="D1603" s="163" t="str">
        <f>IFERROR(__xludf.DUMMYFUNCTION("""COMPUTED_VALUE"""),"BOS")</f>
        <v>BOS</v>
      </c>
      <c r="E1603" s="164" t="str">
        <f>IFERROR(__xludf.DUMMYFUNCTION("""COMPUTED_VALUE"""),"Athletic Finisher")</f>
        <v>Athletic Finisher</v>
      </c>
      <c r="F1603" s="164">
        <f>IFERROR(__xludf.DUMMYFUNCTION("""COMPUTED_VALUE"""),1231.76333333333)</f>
        <v>1231.763333</v>
      </c>
      <c r="G1603" s="163">
        <f>IFERROR(__xludf.DUMMYFUNCTION("""COMPUTED_VALUE"""),78.0)</f>
        <v>78</v>
      </c>
      <c r="H1603" s="163" t="str">
        <f>IFERROR(__xludf.DUMMYFUNCTION("""COMPUTED_VALUE"""),"PF")</f>
        <v>PF</v>
      </c>
      <c r="I1603" s="163">
        <f>IFERROR(__xludf.DUMMYFUNCTION("""COMPUTED_VALUE"""),29.0)</f>
        <v>29</v>
      </c>
      <c r="J1603" s="165">
        <f>IFERROR(__xludf.DUMMYFUNCTION("""COMPUTED_VALUE"""),-1.80139495217221)</f>
        <v>-1.801394952</v>
      </c>
      <c r="K1603" s="165">
        <f>IFERROR(__xludf.DUMMYFUNCTION("""COMPUTED_VALUE"""),-1.14604993433892)</f>
        <v>-1.146049934</v>
      </c>
      <c r="L1603" s="165">
        <f>IFERROR(__xludf.DUMMYFUNCTION("""COMPUTED_VALUE"""),-0.655345017833289)</f>
        <v>-0.6553450178</v>
      </c>
      <c r="M1603" s="166">
        <f t="shared" si="2"/>
        <v>0.4097213627</v>
      </c>
      <c r="N1603" s="167">
        <f t="shared" si="3"/>
        <v>15.79183761</v>
      </c>
      <c r="O1603" s="163">
        <f t="shared" ref="O1603:Q1603" si="1607">rank(I1603,I:I)</f>
        <v>855</v>
      </c>
      <c r="P1603" s="163">
        <f t="shared" si="1607"/>
        <v>3330</v>
      </c>
      <c r="Q1603" s="163">
        <f t="shared" si="1607"/>
        <v>2981</v>
      </c>
      <c r="R1603" s="163">
        <f>IFERROR(__xludf.DUMMYFUNCTION("RANK(M1603,filter(M:M,C:C=C1603))"),296.0)</f>
        <v>296</v>
      </c>
      <c r="S1603" s="161" t="b">
        <f t="shared" si="5"/>
        <v>0</v>
      </c>
      <c r="T1603" s="161" t="b">
        <f t="array" ref="T1603">index('Query Tool'!B:B,match(H1603,'Query Tool'!C:C,0))</f>
        <v>1</v>
      </c>
      <c r="U1603" s="161" t="b">
        <f t="array" ref="U1603">index('Query Tool'!B:B,match(C1603,'Query Tool'!C:C,0))</f>
        <v>0</v>
      </c>
      <c r="V1603" s="161" t="b">
        <f>F1603&gt;='Query Tool'!C$32</f>
        <v>1</v>
      </c>
      <c r="W1603" s="161" t="b">
        <f t="array" ref="W1603">index(Dropdowns!B:B,match(I1603,Dropdowns!A:A,0))</f>
        <v>1</v>
      </c>
      <c r="X1603" s="161" t="b">
        <f t="array" ref="X1603">index('Query Tool'!B:B,match(D1603,'Query Tool'!C:C,0))</f>
        <v>1</v>
      </c>
      <c r="Y1603" s="161" t="str">
        <f t="shared" si="6"/>
        <v>jerebjo01,2016-17</v>
      </c>
      <c r="Z1603" s="168">
        <f t="array" ref="Z1603">iferror(index(I:I,match($A1603&amp;","&amp;index('Year Conversion'!$A:$A,match($C1603,'Year Conversion'!$B:$B,0)),$Y:$Y,0))-I1603,"")</f>
        <v>1</v>
      </c>
      <c r="AA1603" s="168">
        <f t="array" ref="AA1603">iferror(index(J:J,match($A1603&amp;","&amp;index('Year Conversion'!$A:$A,match($C1603,'Year Conversion'!$B:$B,0)),$Y:$Y,0))-J1603,"")</f>
        <v>0.9298932459</v>
      </c>
      <c r="AB1603" s="168">
        <f t="array" ref="AB1603">iferror(index(K:K,match($A1603&amp;","&amp;index('Year Conversion'!$A:$A,match($C1603,'Year Conversion'!$B:$B,0)),$Y:$Y,0))-K1603,"")</f>
        <v>0.6280455079</v>
      </c>
      <c r="AC1603" s="168" t="str">
        <f t="shared" si="7"/>
        <v>BOS,2016-17</v>
      </c>
    </row>
    <row r="1604">
      <c r="A1604" s="161" t="str">
        <f>IFERROR(__xludf.DUMMYFUNCTION("""COMPUTED_VALUE"""),"meeksjo01")</f>
        <v>meeksjo01</v>
      </c>
      <c r="B1604" s="161" t="str">
        <f>IFERROR(__xludf.DUMMYFUNCTION("""COMPUTED_VALUE"""),"Jodie Meeks")</f>
        <v>Jodie Meeks</v>
      </c>
      <c r="C1604" s="162" t="str">
        <f>IFERROR(__xludf.DUMMYFUNCTION("""COMPUTED_VALUE"""),"2016-17")</f>
        <v>2016-17</v>
      </c>
      <c r="D1604" s="163" t="str">
        <f>IFERROR(__xludf.DUMMYFUNCTION("""COMPUTED_VALUE"""),"ORL")</f>
        <v>ORL</v>
      </c>
      <c r="E1604" s="164" t="str">
        <f>IFERROR(__xludf.DUMMYFUNCTION("""COMPUTED_VALUE"""),"Off Screen Shooter")</f>
        <v>Off Screen Shooter</v>
      </c>
      <c r="F1604" s="164">
        <f>IFERROR(__xludf.DUMMYFUNCTION("""COMPUTED_VALUE"""),737.621666666667)</f>
        <v>737.6216667</v>
      </c>
      <c r="G1604" s="163">
        <f>IFERROR(__xludf.DUMMYFUNCTION("""COMPUTED_VALUE"""),36.0)</f>
        <v>36</v>
      </c>
      <c r="H1604" s="163" t="str">
        <f>IFERROR(__xludf.DUMMYFUNCTION("""COMPUTED_VALUE"""),"SG")</f>
        <v>SG</v>
      </c>
      <c r="I1604" s="163">
        <f>IFERROR(__xludf.DUMMYFUNCTION("""COMPUTED_VALUE"""),29.0)</f>
        <v>29</v>
      </c>
      <c r="J1604" s="165">
        <f>IFERROR(__xludf.DUMMYFUNCTION("""COMPUTED_VALUE"""),-0.909971816129307)</f>
        <v>-0.9099718161</v>
      </c>
      <c r="K1604" s="165">
        <f>IFERROR(__xludf.DUMMYFUNCTION("""COMPUTED_VALUE"""),0.107303268206319)</f>
        <v>0.1073032682</v>
      </c>
      <c r="L1604" s="165">
        <f>IFERROR(__xludf.DUMMYFUNCTION("""COMPUTED_VALUE"""),-1.01727508433563)</f>
        <v>-1.017275084</v>
      </c>
      <c r="M1604" s="166">
        <f t="shared" si="2"/>
        <v>0.6851602966</v>
      </c>
      <c r="N1604" s="167">
        <f t="shared" si="3"/>
        <v>20.48949074</v>
      </c>
      <c r="O1604" s="163">
        <f t="shared" ref="O1604:Q1604" si="1608">rank(I1604,I:I)</f>
        <v>855</v>
      </c>
      <c r="P1604" s="163">
        <f t="shared" si="1608"/>
        <v>2405</v>
      </c>
      <c r="Q1604" s="163">
        <f t="shared" si="1608"/>
        <v>1060</v>
      </c>
      <c r="R1604" s="163">
        <f>IFERROR(__xludf.DUMMYFUNCTION("RANK(M1604,filter(M:M,C:C=C1604))"),255.0)</f>
        <v>255</v>
      </c>
      <c r="S1604" s="161" t="b">
        <f t="shared" si="5"/>
        <v>0</v>
      </c>
      <c r="T1604" s="161" t="b">
        <f t="array" ref="T1604">index('Query Tool'!B:B,match(H1604,'Query Tool'!C:C,0))</f>
        <v>1</v>
      </c>
      <c r="U1604" s="161" t="b">
        <f t="array" ref="U1604">index('Query Tool'!B:B,match(C1604,'Query Tool'!C:C,0))</f>
        <v>0</v>
      </c>
      <c r="V1604" s="161" t="b">
        <f>F1604&gt;='Query Tool'!C$32</f>
        <v>1</v>
      </c>
      <c r="W1604" s="161" t="b">
        <f t="array" ref="W1604">index(Dropdowns!B:B,match(I1604,Dropdowns!A:A,0))</f>
        <v>1</v>
      </c>
      <c r="X1604" s="161" t="b">
        <f t="array" ref="X1604">index('Query Tool'!B:B,match(D1604,'Query Tool'!C:C,0))</f>
        <v>1</v>
      </c>
      <c r="Y1604" s="161" t="str">
        <f t="shared" si="6"/>
        <v>meeksjo01,2016-17</v>
      </c>
      <c r="Z1604" s="168">
        <f t="array" ref="Z1604">iferror(index(I:I,match($A1604&amp;","&amp;index('Year Conversion'!$A:$A,match($C1604,'Year Conversion'!$B:$B,0)),$Y:$Y,0))-I1604,"")</f>
        <v>1</v>
      </c>
      <c r="AA1604" s="168">
        <f t="array" ref="AA1604">iferror(index(J:J,match($A1604&amp;","&amp;index('Year Conversion'!$A:$A,match($C1604,'Year Conversion'!$B:$B,0)),$Y:$Y,0))-J1604,"")</f>
        <v>-0.6142596007</v>
      </c>
      <c r="AB1604" s="168">
        <f t="array" ref="AB1604">iferror(index(K:K,match($A1604&amp;","&amp;index('Year Conversion'!$A:$A,match($C1604,'Year Conversion'!$B:$B,0)),$Y:$Y,0))-K1604,"")</f>
        <v>0.1261562012</v>
      </c>
      <c r="AC1604" s="168" t="str">
        <f t="shared" si="7"/>
        <v>ORL,2016-17</v>
      </c>
    </row>
    <row r="1605">
      <c r="A1605" s="161" t="str">
        <f>IFERROR(__xludf.DUMMYFUNCTION("""COMPUTED_VALUE"""),"beverpa01")</f>
        <v>beverpa01</v>
      </c>
      <c r="B1605" s="161" t="str">
        <f>IFERROR(__xludf.DUMMYFUNCTION("""COMPUTED_VALUE"""),"Patrick Beverley")</f>
        <v>Patrick Beverley</v>
      </c>
      <c r="C1605" s="162" t="str">
        <f>IFERROR(__xludf.DUMMYFUNCTION("""COMPUTED_VALUE"""),"2016-17")</f>
        <v>2016-17</v>
      </c>
      <c r="D1605" s="163" t="str">
        <f>IFERROR(__xludf.DUMMYFUNCTION("""COMPUTED_VALUE"""),"HOU")</f>
        <v>HOU</v>
      </c>
      <c r="E1605" s="164" t="str">
        <f>IFERROR(__xludf.DUMMYFUNCTION("""COMPUTED_VALUE"""),"Primary Ball Handler")</f>
        <v>Primary Ball Handler</v>
      </c>
      <c r="F1605" s="164">
        <f>IFERROR(__xludf.DUMMYFUNCTION("""COMPUTED_VALUE"""),2057.96333333333)</f>
        <v>2057.963333</v>
      </c>
      <c r="G1605" s="163">
        <f>IFERROR(__xludf.DUMMYFUNCTION("""COMPUTED_VALUE"""),67.0)</f>
        <v>67</v>
      </c>
      <c r="H1605" s="163" t="str">
        <f>IFERROR(__xludf.DUMMYFUNCTION("""COMPUTED_VALUE"""),"SG")</f>
        <v>SG</v>
      </c>
      <c r="I1605" s="163">
        <f>IFERROR(__xludf.DUMMYFUNCTION("""COMPUTED_VALUE"""),28.0)</f>
        <v>28</v>
      </c>
      <c r="J1605" s="165">
        <f>IFERROR(__xludf.DUMMYFUNCTION("""COMPUTED_VALUE"""),2.35666527056888)</f>
        <v>2.356665271</v>
      </c>
      <c r="K1605" s="165">
        <f>IFERROR(__xludf.DUMMYFUNCTION("""COMPUTED_VALUE"""),1.21094526954358)</f>
        <v>1.21094527</v>
      </c>
      <c r="L1605" s="165">
        <f>IFERROR(__xludf.DUMMYFUNCTION("""COMPUTED_VALUE"""),1.1457200010253)</f>
        <v>1.145720001</v>
      </c>
      <c r="M1605" s="166">
        <f t="shared" si="2"/>
        <v>6.417470842</v>
      </c>
      <c r="N1605" s="167">
        <f t="shared" si="3"/>
        <v>30.71587065</v>
      </c>
      <c r="O1605" s="163">
        <f t="shared" ref="O1605:Q1605" si="1609">rank(I1605,I:I)</f>
        <v>1090</v>
      </c>
      <c r="P1605" s="163">
        <f t="shared" si="1609"/>
        <v>246</v>
      </c>
      <c r="Q1605" s="163">
        <f t="shared" si="1609"/>
        <v>412</v>
      </c>
      <c r="R1605" s="163">
        <f>IFERROR(__xludf.DUMMYFUNCTION("RANK(M1605,filter(M:M,C:C=C1605))"),40.0)</f>
        <v>40</v>
      </c>
      <c r="S1605" s="161" t="b">
        <f t="shared" si="5"/>
        <v>0</v>
      </c>
      <c r="T1605" s="161" t="b">
        <f t="array" ref="T1605">index('Query Tool'!B:B,match(H1605,'Query Tool'!C:C,0))</f>
        <v>1</v>
      </c>
      <c r="U1605" s="161" t="b">
        <f t="array" ref="U1605">index('Query Tool'!B:B,match(C1605,'Query Tool'!C:C,0))</f>
        <v>0</v>
      </c>
      <c r="V1605" s="161" t="b">
        <f>F1605&gt;='Query Tool'!C$32</f>
        <v>1</v>
      </c>
      <c r="W1605" s="161" t="b">
        <f t="array" ref="W1605">index(Dropdowns!B:B,match(I1605,Dropdowns!A:A,0))</f>
        <v>1</v>
      </c>
      <c r="X1605" s="161" t="b">
        <f t="array" ref="X1605">index('Query Tool'!B:B,match(D1605,'Query Tool'!C:C,0))</f>
        <v>1</v>
      </c>
      <c r="Y1605" s="161" t="str">
        <f t="shared" si="6"/>
        <v>beverpa01,2016-17</v>
      </c>
      <c r="Z1605" s="168">
        <f t="array" ref="Z1605">iferror(index(I:I,match($A1605&amp;","&amp;index('Year Conversion'!$A:$A,match($C1605,'Year Conversion'!$B:$B,0)),$Y:$Y,0))-I1605,"")</f>
        <v>1</v>
      </c>
      <c r="AA1605" s="168">
        <f t="array" ref="AA1605">iferror(index(J:J,match($A1605&amp;","&amp;index('Year Conversion'!$A:$A,match($C1605,'Year Conversion'!$B:$B,0)),$Y:$Y,0))-J1605,"")</f>
        <v>-1.76707965</v>
      </c>
      <c r="AB1605" s="168">
        <f t="array" ref="AB1605">iferror(index(K:K,match($A1605&amp;","&amp;index('Year Conversion'!$A:$A,match($C1605,'Year Conversion'!$B:$B,0)),$Y:$Y,0))-K1605,"")</f>
        <v>-1.033754164</v>
      </c>
      <c r="AC1605" s="168" t="str">
        <f t="shared" si="7"/>
        <v>HOU,2016-17</v>
      </c>
    </row>
    <row r="1606">
      <c r="A1606" s="161" t="str">
        <f>IFERROR(__xludf.DUMMYFUNCTION("""COMPUTED_VALUE"""),"thornma01")</f>
        <v>thornma01</v>
      </c>
      <c r="B1606" s="161" t="str">
        <f>IFERROR(__xludf.DUMMYFUNCTION("""COMPUTED_VALUE"""),"Marcus Thornton")</f>
        <v>Marcus Thornton</v>
      </c>
      <c r="C1606" s="162" t="str">
        <f>IFERROR(__xludf.DUMMYFUNCTION("""COMPUTED_VALUE"""),"2016-17")</f>
        <v>2016-17</v>
      </c>
      <c r="D1606" s="163" t="str">
        <f>IFERROR(__xludf.DUMMYFUNCTION("""COMPUTED_VALUE"""),"WAS")</f>
        <v>WAS</v>
      </c>
      <c r="E1606" s="164" t="str">
        <f>IFERROR(__xludf.DUMMYFUNCTION("""COMPUTED_VALUE"""),"Secondary Ball Handler")</f>
        <v>Secondary Ball Handler</v>
      </c>
      <c r="F1606" s="164">
        <f>IFERROR(__xludf.DUMMYFUNCTION("""COMPUTED_VALUE"""),574.671666666667)</f>
        <v>574.6716667</v>
      </c>
      <c r="G1606" s="163">
        <f>IFERROR(__xludf.DUMMYFUNCTION("""COMPUTED_VALUE"""),33.0)</f>
        <v>33</v>
      </c>
      <c r="H1606" s="163" t="str">
        <f>IFERROR(__xludf.DUMMYFUNCTION("""COMPUTED_VALUE"""),"SG")</f>
        <v>SG</v>
      </c>
      <c r="I1606" s="163">
        <f>IFERROR(__xludf.DUMMYFUNCTION("""COMPUTED_VALUE"""),29.0)</f>
        <v>29</v>
      </c>
      <c r="J1606" s="165">
        <f>IFERROR(__xludf.DUMMYFUNCTION("""COMPUTED_VALUE"""),-2.81112848094477)</f>
        <v>-2.811128481</v>
      </c>
      <c r="K1606" s="165">
        <f>IFERROR(__xludf.DUMMYFUNCTION("""COMPUTED_VALUE"""),-0.966981088204203)</f>
        <v>-0.9669810882</v>
      </c>
      <c r="L1606" s="165">
        <f>IFERROR(__xludf.DUMMYFUNCTION("""COMPUTED_VALUE"""),-1.84414739274056)</f>
        <v>-1.844147393</v>
      </c>
      <c r="M1606" s="166">
        <f t="shared" si="2"/>
        <v>-0.1913838428</v>
      </c>
      <c r="N1606" s="167">
        <f t="shared" si="3"/>
        <v>17.41429293</v>
      </c>
      <c r="O1606" s="163">
        <f t="shared" ref="O1606:Q1606" si="1610">rank(I1606,I:I)</f>
        <v>855</v>
      </c>
      <c r="P1606" s="163">
        <f t="shared" si="1610"/>
        <v>3847</v>
      </c>
      <c r="Q1606" s="163">
        <f t="shared" si="1610"/>
        <v>2765</v>
      </c>
      <c r="R1606" s="163">
        <f>IFERROR(__xludf.DUMMYFUNCTION("RANK(M1606,filter(M:M,C:C=C1606))"),465.0)</f>
        <v>465</v>
      </c>
      <c r="S1606" s="161" t="b">
        <f t="shared" si="5"/>
        <v>0</v>
      </c>
      <c r="T1606" s="161" t="b">
        <f t="array" ref="T1606">index('Query Tool'!B:B,match(H1606,'Query Tool'!C:C,0))</f>
        <v>1</v>
      </c>
      <c r="U1606" s="161" t="b">
        <f t="array" ref="U1606">index('Query Tool'!B:B,match(C1606,'Query Tool'!C:C,0))</f>
        <v>0</v>
      </c>
      <c r="V1606" s="161" t="b">
        <f>F1606&gt;='Query Tool'!C$32</f>
        <v>1</v>
      </c>
      <c r="W1606" s="161" t="b">
        <f t="array" ref="W1606">index(Dropdowns!B:B,match(I1606,Dropdowns!A:A,0))</f>
        <v>1</v>
      </c>
      <c r="X1606" s="161" t="b">
        <f t="array" ref="X1606">index('Query Tool'!B:B,match(D1606,'Query Tool'!C:C,0))</f>
        <v>1</v>
      </c>
      <c r="Y1606" s="161" t="str">
        <f t="shared" si="6"/>
        <v>thornma01,2016-17</v>
      </c>
      <c r="Z1606" s="168" t="str">
        <f t="array" ref="Z1606">iferror(index(I:I,match($A1606&amp;","&amp;index('Year Conversion'!$A:$A,match($C1606,'Year Conversion'!$B:$B,0)),$Y:$Y,0))-I1606,"")</f>
        <v/>
      </c>
      <c r="AA1606" s="168" t="str">
        <f t="array" ref="AA1606">iferror(index(J:J,match($A1606&amp;","&amp;index('Year Conversion'!$A:$A,match($C1606,'Year Conversion'!$B:$B,0)),$Y:$Y,0))-J1606,"")</f>
        <v/>
      </c>
      <c r="AB1606" s="168" t="str">
        <f t="array" ref="AB1606">iferror(index(K:K,match($A1606&amp;","&amp;index('Year Conversion'!$A:$A,match($C1606,'Year Conversion'!$B:$B,0)),$Y:$Y,0))-K1606,"")</f>
        <v/>
      </c>
      <c r="AC1606" s="168" t="str">
        <f t="shared" si="7"/>
        <v>WAS,2016-17</v>
      </c>
    </row>
    <row r="1607">
      <c r="A1607" s="161" t="str">
        <f>IFERROR(__xludf.DUMMYFUNCTION("""COMPUTED_VALUE"""),"greenda02")</f>
        <v>greenda02</v>
      </c>
      <c r="B1607" s="161" t="str">
        <f>IFERROR(__xludf.DUMMYFUNCTION("""COMPUTED_VALUE"""),"Danny Green")</f>
        <v>Danny Green</v>
      </c>
      <c r="C1607" s="162" t="str">
        <f>IFERROR(__xludf.DUMMYFUNCTION("""COMPUTED_VALUE"""),"2016-17")</f>
        <v>2016-17</v>
      </c>
      <c r="D1607" s="163" t="str">
        <f>IFERROR(__xludf.DUMMYFUNCTION("""COMPUTED_VALUE"""),"SAS")</f>
        <v>SAS</v>
      </c>
      <c r="E1607" s="164" t="str">
        <f>IFERROR(__xludf.DUMMYFUNCTION("""COMPUTED_VALUE"""),"Movement Shooter")</f>
        <v>Movement Shooter</v>
      </c>
      <c r="F1607" s="164">
        <f>IFERROR(__xludf.DUMMYFUNCTION("""COMPUTED_VALUE"""),1806.825)</f>
        <v>1806.825</v>
      </c>
      <c r="G1607" s="163">
        <f>IFERROR(__xludf.DUMMYFUNCTION("""COMPUTED_VALUE"""),68.0)</f>
        <v>68</v>
      </c>
      <c r="H1607" s="163" t="str">
        <f>IFERROR(__xludf.DUMMYFUNCTION("""COMPUTED_VALUE"""),"SG")</f>
        <v>SG</v>
      </c>
      <c r="I1607" s="163">
        <f>IFERROR(__xludf.DUMMYFUNCTION("""COMPUTED_VALUE"""),29.0)</f>
        <v>29</v>
      </c>
      <c r="J1607" s="165">
        <f>IFERROR(__xludf.DUMMYFUNCTION("""COMPUTED_VALUE"""),1.25453937398757)</f>
        <v>1.254539374</v>
      </c>
      <c r="K1607" s="165">
        <f>IFERROR(__xludf.DUMMYFUNCTION("""COMPUTED_VALUE"""),-0.192301773297485)</f>
        <v>-0.1923017733</v>
      </c>
      <c r="L1607" s="165">
        <f>IFERROR(__xludf.DUMMYFUNCTION("""COMPUTED_VALUE"""),1.44684114728506)</f>
        <v>1.446841147</v>
      </c>
      <c r="M1607" s="166">
        <f t="shared" si="2"/>
        <v>4.310397718</v>
      </c>
      <c r="N1607" s="167">
        <f t="shared" si="3"/>
        <v>26.57095588</v>
      </c>
      <c r="O1607" s="163">
        <f t="shared" ref="O1607:Q1607" si="1611">rank(I1607,I:I)</f>
        <v>855</v>
      </c>
      <c r="P1607" s="163">
        <f t="shared" si="1611"/>
        <v>546</v>
      </c>
      <c r="Q1607" s="163">
        <f t="shared" si="1611"/>
        <v>1551</v>
      </c>
      <c r="R1607" s="163">
        <f>IFERROR(__xludf.DUMMYFUNCTION("RANK(M1607,filter(M:M,C:C=C1607))"),71.0)</f>
        <v>71</v>
      </c>
      <c r="S1607" s="161" t="b">
        <f t="shared" si="5"/>
        <v>0</v>
      </c>
      <c r="T1607" s="161" t="b">
        <f t="array" ref="T1607">index('Query Tool'!B:B,match(H1607,'Query Tool'!C:C,0))</f>
        <v>1</v>
      </c>
      <c r="U1607" s="161" t="b">
        <f t="array" ref="U1607">index('Query Tool'!B:B,match(C1607,'Query Tool'!C:C,0))</f>
        <v>0</v>
      </c>
      <c r="V1607" s="161" t="b">
        <f>F1607&gt;='Query Tool'!C$32</f>
        <v>1</v>
      </c>
      <c r="W1607" s="161" t="b">
        <f t="array" ref="W1607">index(Dropdowns!B:B,match(I1607,Dropdowns!A:A,0))</f>
        <v>1</v>
      </c>
      <c r="X1607" s="161" t="b">
        <f t="array" ref="X1607">index('Query Tool'!B:B,match(D1607,'Query Tool'!C:C,0))</f>
        <v>1</v>
      </c>
      <c r="Y1607" s="161" t="str">
        <f t="shared" si="6"/>
        <v>greenda02,2016-17</v>
      </c>
      <c r="Z1607" s="168">
        <f t="array" ref="Z1607">iferror(index(I:I,match($A1607&amp;","&amp;index('Year Conversion'!$A:$A,match($C1607,'Year Conversion'!$B:$B,0)),$Y:$Y,0))-I1607,"")</f>
        <v>1</v>
      </c>
      <c r="AA1607" s="168">
        <f t="array" ref="AA1607">iferror(index(J:J,match($A1607&amp;","&amp;index('Year Conversion'!$A:$A,match($C1607,'Year Conversion'!$B:$B,0)),$Y:$Y,0))-J1607,"")</f>
        <v>-0.3637281215</v>
      </c>
      <c r="AB1607" s="168">
        <f t="array" ref="AB1607">iferror(index(K:K,match($A1607&amp;","&amp;index('Year Conversion'!$A:$A,match($C1607,'Year Conversion'!$B:$B,0)),$Y:$Y,0))-K1607,"")</f>
        <v>-0.04226535962</v>
      </c>
      <c r="AC1607" s="168" t="str">
        <f t="shared" si="7"/>
        <v>SAS,2016-17</v>
      </c>
    </row>
    <row r="1608">
      <c r="A1608" s="161" t="str">
        <f>IFERROR(__xludf.DUMMYFUNCTION("""COMPUTED_VALUE"""),"millspa02")</f>
        <v>millspa02</v>
      </c>
      <c r="B1608" s="161" t="str">
        <f>IFERROR(__xludf.DUMMYFUNCTION("""COMPUTED_VALUE"""),"Patty Mills")</f>
        <v>Patty Mills</v>
      </c>
      <c r="C1608" s="162" t="str">
        <f>IFERROR(__xludf.DUMMYFUNCTION("""COMPUTED_VALUE"""),"2016-17")</f>
        <v>2016-17</v>
      </c>
      <c r="D1608" s="163" t="str">
        <f>IFERROR(__xludf.DUMMYFUNCTION("""COMPUTED_VALUE"""),"SAS")</f>
        <v>SAS</v>
      </c>
      <c r="E1608" s="164" t="str">
        <f>IFERROR(__xludf.DUMMYFUNCTION("""COMPUTED_VALUE"""),"Primary Ball Handler")</f>
        <v>Primary Ball Handler</v>
      </c>
      <c r="F1608" s="164">
        <f>IFERROR(__xludf.DUMMYFUNCTION("""COMPUTED_VALUE"""),1754.41333333333)</f>
        <v>1754.413333</v>
      </c>
      <c r="G1608" s="163">
        <f>IFERROR(__xludf.DUMMYFUNCTION("""COMPUTED_VALUE"""),80.0)</f>
        <v>80</v>
      </c>
      <c r="H1608" s="163" t="str">
        <f>IFERROR(__xludf.DUMMYFUNCTION("""COMPUTED_VALUE"""),"PG")</f>
        <v>PG</v>
      </c>
      <c r="I1608" s="163">
        <f>IFERROR(__xludf.DUMMYFUNCTION("""COMPUTED_VALUE"""),28.0)</f>
        <v>28</v>
      </c>
      <c r="J1608" s="165">
        <f>IFERROR(__xludf.DUMMYFUNCTION("""COMPUTED_VALUE"""),0.786632677657064)</f>
        <v>0.7866326777</v>
      </c>
      <c r="K1608" s="165">
        <f>IFERROR(__xludf.DUMMYFUNCTION("""COMPUTED_VALUE"""),1.40685335000184)</f>
        <v>1.40685335</v>
      </c>
      <c r="L1608" s="165">
        <f>IFERROR(__xludf.DUMMYFUNCTION("""COMPUTED_VALUE"""),-0.62022067234478)</f>
        <v>-0.6202206723</v>
      </c>
      <c r="M1608" s="166">
        <f t="shared" si="2"/>
        <v>3.634356676</v>
      </c>
      <c r="N1608" s="167">
        <f t="shared" si="3"/>
        <v>21.93016667</v>
      </c>
      <c r="O1608" s="163">
        <f t="shared" ref="O1608:Q1608" si="1612">rank(I1608,I:I)</f>
        <v>1090</v>
      </c>
      <c r="P1608" s="163">
        <f t="shared" si="1612"/>
        <v>752</v>
      </c>
      <c r="Q1608" s="163">
        <f t="shared" si="1612"/>
        <v>350</v>
      </c>
      <c r="R1608" s="163">
        <f>IFERROR(__xludf.DUMMYFUNCTION("RANK(M1608,filter(M:M,C:C=C1608))"),98.0)</f>
        <v>98</v>
      </c>
      <c r="S1608" s="161" t="b">
        <f t="shared" si="5"/>
        <v>0</v>
      </c>
      <c r="T1608" s="161" t="b">
        <f t="array" ref="T1608">index('Query Tool'!B:B,match(H1608,'Query Tool'!C:C,0))</f>
        <v>1</v>
      </c>
      <c r="U1608" s="161" t="b">
        <f t="array" ref="U1608">index('Query Tool'!B:B,match(C1608,'Query Tool'!C:C,0))</f>
        <v>0</v>
      </c>
      <c r="V1608" s="161" t="b">
        <f>F1608&gt;='Query Tool'!C$32</f>
        <v>1</v>
      </c>
      <c r="W1608" s="161" t="b">
        <f t="array" ref="W1608">index(Dropdowns!B:B,match(I1608,Dropdowns!A:A,0))</f>
        <v>1</v>
      </c>
      <c r="X1608" s="161" t="b">
        <f t="array" ref="X1608">index('Query Tool'!B:B,match(D1608,'Query Tool'!C:C,0))</f>
        <v>1</v>
      </c>
      <c r="Y1608" s="161" t="str">
        <f t="shared" si="6"/>
        <v>millspa02,2016-17</v>
      </c>
      <c r="Z1608" s="168">
        <f t="array" ref="Z1608">iferror(index(I:I,match($A1608&amp;","&amp;index('Year Conversion'!$A:$A,match($C1608,'Year Conversion'!$B:$B,0)),$Y:$Y,0))-I1608,"")</f>
        <v>1</v>
      </c>
      <c r="AA1608" s="168">
        <f t="array" ref="AA1608">iferror(index(J:J,match($A1608&amp;","&amp;index('Year Conversion'!$A:$A,match($C1608,'Year Conversion'!$B:$B,0)),$Y:$Y,0))-J1608,"")</f>
        <v>-1.019297899</v>
      </c>
      <c r="AB1608" s="168">
        <f t="array" ref="AB1608">iferror(index(K:K,match($A1608&amp;","&amp;index('Year Conversion'!$A:$A,match($C1608,'Year Conversion'!$B:$B,0)),$Y:$Y,0))-K1608,"")</f>
        <v>-0.1559282372</v>
      </c>
      <c r="AC1608" s="168" t="str">
        <f t="shared" si="7"/>
        <v>SAS,2016-17</v>
      </c>
    </row>
    <row r="1609">
      <c r="A1609" s="161" t="str">
        <f>IFERROR(__xludf.DUMMYFUNCTION("""COMPUTED_VALUE"""),"templga01")</f>
        <v>templga01</v>
      </c>
      <c r="B1609" s="161" t="str">
        <f>IFERROR(__xludf.DUMMYFUNCTION("""COMPUTED_VALUE"""),"Garrett Temple")</f>
        <v>Garrett Temple</v>
      </c>
      <c r="C1609" s="162" t="str">
        <f>IFERROR(__xludf.DUMMYFUNCTION("""COMPUTED_VALUE"""),"2016-17")</f>
        <v>2016-17</v>
      </c>
      <c r="D1609" s="163" t="str">
        <f>IFERROR(__xludf.DUMMYFUNCTION("""COMPUTED_VALUE"""),"SAC")</f>
        <v>SAC</v>
      </c>
      <c r="E1609" s="164" t="str">
        <f>IFERROR(__xludf.DUMMYFUNCTION("""COMPUTED_VALUE"""),"Stationary Shooter")</f>
        <v>Stationary Shooter</v>
      </c>
      <c r="F1609" s="164">
        <f>IFERROR(__xludf.DUMMYFUNCTION("""COMPUTED_VALUE"""),1728.38166666667)</f>
        <v>1728.381667</v>
      </c>
      <c r="G1609" s="163">
        <f>IFERROR(__xludf.DUMMYFUNCTION("""COMPUTED_VALUE"""),65.0)</f>
        <v>65</v>
      </c>
      <c r="H1609" s="163" t="str">
        <f>IFERROR(__xludf.DUMMYFUNCTION("""COMPUTED_VALUE"""),"SG")</f>
        <v>SG</v>
      </c>
      <c r="I1609" s="163">
        <f>IFERROR(__xludf.DUMMYFUNCTION("""COMPUTED_VALUE"""),30.0)</f>
        <v>30</v>
      </c>
      <c r="J1609" s="165">
        <f>IFERROR(__xludf.DUMMYFUNCTION("""COMPUTED_VALUE"""),-1.2002522395837)</f>
        <v>-1.20025224</v>
      </c>
      <c r="K1609" s="165">
        <f>IFERROR(__xludf.DUMMYFUNCTION("""COMPUTED_VALUE"""),-0.886776795786857)</f>
        <v>-0.8867767958</v>
      </c>
      <c r="L1609" s="165">
        <f>IFERROR(__xludf.DUMMYFUNCTION("""COMPUTED_VALUE"""),-0.313475443796847)</f>
        <v>-0.3134754438</v>
      </c>
      <c r="M1609" s="166">
        <f t="shared" si="2"/>
        <v>1.268777975</v>
      </c>
      <c r="N1609" s="167">
        <f t="shared" si="3"/>
        <v>26.59048718</v>
      </c>
      <c r="O1609" s="163">
        <f t="shared" ref="O1609:Q1609" si="1613">rank(I1609,I:I)</f>
        <v>655</v>
      </c>
      <c r="P1609" s="163">
        <f t="shared" si="1613"/>
        <v>2747</v>
      </c>
      <c r="Q1609" s="163">
        <f t="shared" si="1613"/>
        <v>2676</v>
      </c>
      <c r="R1609" s="163">
        <f>IFERROR(__xludf.DUMMYFUNCTION("RANK(M1609,filter(M:M,C:C=C1609))"),200.0)</f>
        <v>200</v>
      </c>
      <c r="S1609" s="161" t="b">
        <f t="shared" si="5"/>
        <v>0</v>
      </c>
      <c r="T1609" s="161" t="b">
        <f t="array" ref="T1609">index('Query Tool'!B:B,match(H1609,'Query Tool'!C:C,0))</f>
        <v>1</v>
      </c>
      <c r="U1609" s="161" t="b">
        <f t="array" ref="U1609">index('Query Tool'!B:B,match(C1609,'Query Tool'!C:C,0))</f>
        <v>0</v>
      </c>
      <c r="V1609" s="161" t="b">
        <f>F1609&gt;='Query Tool'!C$32</f>
        <v>1</v>
      </c>
      <c r="W1609" s="161" t="b">
        <f t="array" ref="W1609">index(Dropdowns!B:B,match(I1609,Dropdowns!A:A,0))</f>
        <v>1</v>
      </c>
      <c r="X1609" s="161" t="b">
        <f t="array" ref="X1609">index('Query Tool'!B:B,match(D1609,'Query Tool'!C:C,0))</f>
        <v>1</v>
      </c>
      <c r="Y1609" s="161" t="str">
        <f t="shared" si="6"/>
        <v>templga01,2016-17</v>
      </c>
      <c r="Z1609" s="168">
        <f t="array" ref="Z1609">iferror(index(I:I,match($A1609&amp;","&amp;index('Year Conversion'!$A:$A,match($C1609,'Year Conversion'!$B:$B,0)),$Y:$Y,0))-I1609,"")</f>
        <v>1</v>
      </c>
      <c r="AA1609" s="168">
        <f t="array" ref="AA1609">iferror(index(J:J,match($A1609&amp;","&amp;index('Year Conversion'!$A:$A,match($C1609,'Year Conversion'!$B:$B,0)),$Y:$Y,0))-J1609,"")</f>
        <v>-0.2621355143</v>
      </c>
      <c r="AB1609" s="168">
        <f t="array" ref="AB1609">iferror(index(K:K,match($A1609&amp;","&amp;index('Year Conversion'!$A:$A,match($C1609,'Year Conversion'!$B:$B,0)),$Y:$Y,0))-K1609,"")</f>
        <v>-0.8015595866</v>
      </c>
      <c r="AC1609" s="168" t="str">
        <f t="shared" si="7"/>
        <v>SAC,2016-17</v>
      </c>
    </row>
    <row r="1610">
      <c r="A1610" s="161" t="str">
        <f>IFERROR(__xludf.DUMMYFUNCTION("""COMPUTED_VALUE"""),"matthwe02")</f>
        <v>matthwe02</v>
      </c>
      <c r="B1610" s="161" t="str">
        <f>IFERROR(__xludf.DUMMYFUNCTION("""COMPUTED_VALUE"""),"Wesley Matthews")</f>
        <v>Wesley Matthews</v>
      </c>
      <c r="C1610" s="162" t="str">
        <f>IFERROR(__xludf.DUMMYFUNCTION("""COMPUTED_VALUE"""),"2016-17")</f>
        <v>2016-17</v>
      </c>
      <c r="D1610" s="163" t="str">
        <f>IFERROR(__xludf.DUMMYFUNCTION("""COMPUTED_VALUE"""),"DAL")</f>
        <v>DAL</v>
      </c>
      <c r="E1610" s="164" t="str">
        <f>IFERROR(__xludf.DUMMYFUNCTION("""COMPUTED_VALUE"""),"Shot Creator")</f>
        <v>Shot Creator</v>
      </c>
      <c r="F1610" s="164">
        <f>IFERROR(__xludf.DUMMYFUNCTION("""COMPUTED_VALUE"""),2494.805)</f>
        <v>2494.805</v>
      </c>
      <c r="G1610" s="163">
        <f>IFERROR(__xludf.DUMMYFUNCTION("""COMPUTED_VALUE"""),73.0)</f>
        <v>73</v>
      </c>
      <c r="H1610" s="163" t="str">
        <f>IFERROR(__xludf.DUMMYFUNCTION("""COMPUTED_VALUE"""),"SG")</f>
        <v>SG</v>
      </c>
      <c r="I1610" s="163">
        <f>IFERROR(__xludf.DUMMYFUNCTION("""COMPUTED_VALUE"""),30.0)</f>
        <v>30</v>
      </c>
      <c r="J1610" s="165">
        <f>IFERROR(__xludf.DUMMYFUNCTION("""COMPUTED_VALUE"""),-0.348735816750756)</f>
        <v>-0.3487358168</v>
      </c>
      <c r="K1610" s="165">
        <f>IFERROR(__xludf.DUMMYFUNCTION("""COMPUTED_VALUE"""),-0.808703919153192)</f>
        <v>-0.8087039192</v>
      </c>
      <c r="L1610" s="165">
        <f>IFERROR(__xludf.DUMMYFUNCTION("""COMPUTED_VALUE"""),0.459968102402436)</f>
        <v>0.4599681024</v>
      </c>
      <c r="M1610" s="166">
        <f t="shared" si="2"/>
        <v>3.259692865</v>
      </c>
      <c r="N1610" s="167">
        <f t="shared" si="3"/>
        <v>34.17541096</v>
      </c>
      <c r="O1610" s="163">
        <f t="shared" ref="O1610:Q1610" si="1614">rank(I1610,I:I)</f>
        <v>655</v>
      </c>
      <c r="P1610" s="163">
        <f t="shared" si="1614"/>
        <v>1670</v>
      </c>
      <c r="Q1610" s="163">
        <f t="shared" si="1614"/>
        <v>2564</v>
      </c>
      <c r="R1610" s="163">
        <f>IFERROR(__xludf.DUMMYFUNCTION("RANK(M1610,filter(M:M,C:C=C1610))"),104.0)</f>
        <v>104</v>
      </c>
      <c r="S1610" s="161" t="b">
        <f t="shared" si="5"/>
        <v>0</v>
      </c>
      <c r="T1610" s="161" t="b">
        <f t="array" ref="T1610">index('Query Tool'!B:B,match(H1610,'Query Tool'!C:C,0))</f>
        <v>1</v>
      </c>
      <c r="U1610" s="161" t="b">
        <f t="array" ref="U1610">index('Query Tool'!B:B,match(C1610,'Query Tool'!C:C,0))</f>
        <v>0</v>
      </c>
      <c r="V1610" s="161" t="b">
        <f>F1610&gt;='Query Tool'!C$32</f>
        <v>1</v>
      </c>
      <c r="W1610" s="161" t="b">
        <f t="array" ref="W1610">index(Dropdowns!B:B,match(I1610,Dropdowns!A:A,0))</f>
        <v>1</v>
      </c>
      <c r="X1610" s="161" t="b">
        <f t="array" ref="X1610">index('Query Tool'!B:B,match(D1610,'Query Tool'!C:C,0))</f>
        <v>1</v>
      </c>
      <c r="Y1610" s="161" t="str">
        <f t="shared" si="6"/>
        <v>matthwe02,2016-17</v>
      </c>
      <c r="Z1610" s="168">
        <f t="array" ref="Z1610">iferror(index(I:I,match($A1610&amp;","&amp;index('Year Conversion'!$A:$A,match($C1610,'Year Conversion'!$B:$B,0)),$Y:$Y,0))-I1610,"")</f>
        <v>1</v>
      </c>
      <c r="AA1610" s="168">
        <f t="array" ref="AA1610">iferror(index(J:J,match($A1610&amp;","&amp;index('Year Conversion'!$A:$A,match($C1610,'Year Conversion'!$B:$B,0)),$Y:$Y,0))-J1610,"")</f>
        <v>-1.418765832</v>
      </c>
      <c r="AB1610" s="168">
        <f t="array" ref="AB1610">iferror(index(K:K,match($A1610&amp;","&amp;index('Year Conversion'!$A:$A,match($C1610,'Year Conversion'!$B:$B,0)),$Y:$Y,0))-K1610,"")</f>
        <v>0.1309174705</v>
      </c>
      <c r="AC1610" s="168" t="str">
        <f t="shared" si="7"/>
        <v>DAL,2016-17</v>
      </c>
    </row>
    <row r="1611">
      <c r="A1611" s="161" t="str">
        <f>IFERROR(__xludf.DUMMYFUNCTION("""COMPUTED_VALUE"""),"geeal01")</f>
        <v>geeal01</v>
      </c>
      <c r="B1611" s="161" t="str">
        <f>IFERROR(__xludf.DUMMYFUNCTION("""COMPUTED_VALUE"""),"Alonzo Gee")</f>
        <v>Alonzo Gee</v>
      </c>
      <c r="C1611" s="162" t="str">
        <f>IFERROR(__xludf.DUMMYFUNCTION("""COMPUTED_VALUE"""),"2016-17")</f>
        <v>2016-17</v>
      </c>
      <c r="D1611" s="163" t="str">
        <f>IFERROR(__xludf.DUMMYFUNCTION("""COMPUTED_VALUE"""),"DEN")</f>
        <v>DEN</v>
      </c>
      <c r="E1611" s="164" t="str">
        <f>IFERROR(__xludf.DUMMYFUNCTION("""COMPUTED_VALUE"""),"Athletic Finisher")</f>
        <v>Athletic Finisher</v>
      </c>
      <c r="F1611" s="164">
        <f>IFERROR(__xludf.DUMMYFUNCTION("""COMPUTED_VALUE"""),89.4166666666666)</f>
        <v>89.41666667</v>
      </c>
      <c r="G1611" s="163">
        <f>IFERROR(__xludf.DUMMYFUNCTION("""COMPUTED_VALUE"""),13.0)</f>
        <v>13</v>
      </c>
      <c r="H1611" s="163" t="str">
        <f>IFERROR(__xludf.DUMMYFUNCTION("""COMPUTED_VALUE"""),"SF")</f>
        <v>SF</v>
      </c>
      <c r="I1611" s="163">
        <f>IFERROR(__xludf.DUMMYFUNCTION("""COMPUTED_VALUE"""),29.0)</f>
        <v>29</v>
      </c>
      <c r="J1611" s="165">
        <f>IFERROR(__xludf.DUMMYFUNCTION("""COMPUTED_VALUE"""),-0.464096413059464)</f>
        <v>-0.4640964131</v>
      </c>
      <c r="K1611" s="165">
        <f>IFERROR(__xludf.DUMMYFUNCTION("""COMPUTED_VALUE"""),-0.7352209213731)</f>
        <v>-0.7352209214</v>
      </c>
      <c r="L1611" s="165">
        <f>IFERROR(__xludf.DUMMYFUNCTION("""COMPUTED_VALUE"""),0.271124508313636)</f>
        <v>0.2711245083</v>
      </c>
      <c r="M1611" s="166">
        <f t="shared" si="2"/>
        <v>0.1098815645</v>
      </c>
      <c r="N1611" s="167">
        <f t="shared" si="3"/>
        <v>6.878205128</v>
      </c>
      <c r="O1611" s="163">
        <f t="shared" ref="O1611:Q1611" si="1615">rank(I1611,I:I)</f>
        <v>855</v>
      </c>
      <c r="P1611" s="163">
        <f t="shared" si="1615"/>
        <v>1797</v>
      </c>
      <c r="Q1611" s="163">
        <f t="shared" si="1615"/>
        <v>2461</v>
      </c>
      <c r="R1611" s="163">
        <f>IFERROR(__xludf.DUMMYFUNCTION("RANK(M1611,filter(M:M,C:C=C1611))"),374.0)</f>
        <v>374</v>
      </c>
      <c r="S1611" s="161" t="b">
        <f t="shared" si="5"/>
        <v>0</v>
      </c>
      <c r="T1611" s="161" t="b">
        <f t="array" ref="T1611">index('Query Tool'!B:B,match(H1611,'Query Tool'!C:C,0))</f>
        <v>1</v>
      </c>
      <c r="U1611" s="161" t="b">
        <f t="array" ref="U1611">index('Query Tool'!B:B,match(C1611,'Query Tool'!C:C,0))</f>
        <v>0</v>
      </c>
      <c r="V1611" s="161" t="b">
        <f>F1611&gt;='Query Tool'!C$32</f>
        <v>0</v>
      </c>
      <c r="W1611" s="161" t="b">
        <f t="array" ref="W1611">index(Dropdowns!B:B,match(I1611,Dropdowns!A:A,0))</f>
        <v>1</v>
      </c>
      <c r="X1611" s="161" t="b">
        <f t="array" ref="X1611">index('Query Tool'!B:B,match(D1611,'Query Tool'!C:C,0))</f>
        <v>1</v>
      </c>
      <c r="Y1611" s="161" t="str">
        <f t="shared" si="6"/>
        <v>geeal01,2016-17</v>
      </c>
      <c r="Z1611" s="168" t="str">
        <f t="array" ref="Z1611">iferror(index(I:I,match($A1611&amp;","&amp;index('Year Conversion'!$A:$A,match($C1611,'Year Conversion'!$B:$B,0)),$Y:$Y,0))-I1611,"")</f>
        <v/>
      </c>
      <c r="AA1611" s="168" t="str">
        <f t="array" ref="AA1611">iferror(index(J:J,match($A1611&amp;","&amp;index('Year Conversion'!$A:$A,match($C1611,'Year Conversion'!$B:$B,0)),$Y:$Y,0))-J1611,"")</f>
        <v/>
      </c>
      <c r="AB1611" s="168" t="str">
        <f t="array" ref="AB1611">iferror(index(K:K,match($A1611&amp;","&amp;index('Year Conversion'!$A:$A,match($C1611,'Year Conversion'!$B:$B,0)),$Y:$Y,0))-K1611,"")</f>
        <v/>
      </c>
      <c r="AC1611" s="168" t="str">
        <f t="shared" si="7"/>
        <v>DEN,2016-17</v>
      </c>
    </row>
    <row r="1612">
      <c r="A1612" s="161" t="str">
        <f>IFERROR(__xludf.DUMMYFUNCTION("""COMPUTED_VALUE"""),"willire02")</f>
        <v>willire02</v>
      </c>
      <c r="B1612" s="161" t="str">
        <f>IFERROR(__xludf.DUMMYFUNCTION("""COMPUTED_VALUE"""),"Reggie Williams")</f>
        <v>Reggie Williams</v>
      </c>
      <c r="C1612" s="162" t="str">
        <f>IFERROR(__xludf.DUMMYFUNCTION("""COMPUTED_VALUE"""),"2016-17")</f>
        <v>2016-17</v>
      </c>
      <c r="D1612" s="163" t="str">
        <f>IFERROR(__xludf.DUMMYFUNCTION("""COMPUTED_VALUE"""),"NOP")</f>
        <v>NOP</v>
      </c>
      <c r="E1612" s="164" t="str">
        <f>IFERROR(__xludf.DUMMYFUNCTION("""COMPUTED_VALUE"""),"Stationary Shooter")</f>
        <v>Stationary Shooter</v>
      </c>
      <c r="F1612" s="164">
        <f>IFERROR(__xludf.DUMMYFUNCTION("""COMPUTED_VALUE"""),79.4533333333333)</f>
        <v>79.45333333</v>
      </c>
      <c r="G1612" s="163">
        <f>IFERROR(__xludf.DUMMYFUNCTION("""COMPUTED_VALUE"""),6.0)</f>
        <v>6</v>
      </c>
      <c r="H1612" s="163" t="str">
        <f>IFERROR(__xludf.DUMMYFUNCTION("""COMPUTED_VALUE"""),"SF")</f>
        <v>SF</v>
      </c>
      <c r="I1612" s="163">
        <f>IFERROR(__xludf.DUMMYFUNCTION("""COMPUTED_VALUE"""),30.0)</f>
        <v>30</v>
      </c>
      <c r="J1612" s="165">
        <f>IFERROR(__xludf.DUMMYFUNCTION("""COMPUTED_VALUE"""),-1.24590390561603)</f>
        <v>-1.245903906</v>
      </c>
      <c r="K1612" s="165">
        <f>IFERROR(__xludf.DUMMYFUNCTION("""COMPUTED_VALUE"""),-0.669760993596793)</f>
        <v>-0.6697609936</v>
      </c>
      <c r="L1612" s="165">
        <f>IFERROR(__xludf.DUMMYFUNCTION("""COMPUTED_VALUE"""),-0.576142912019234)</f>
        <v>-0.576142912</v>
      </c>
      <c r="M1612" s="166">
        <f t="shared" si="2"/>
        <v>0.05589522881</v>
      </c>
      <c r="N1612" s="167">
        <f t="shared" si="3"/>
        <v>13.24222222</v>
      </c>
      <c r="O1612" s="163">
        <f t="shared" ref="O1612:Q1612" si="1616">rank(I1612,I:I)</f>
        <v>655</v>
      </c>
      <c r="P1612" s="163">
        <f t="shared" si="1616"/>
        <v>2809</v>
      </c>
      <c r="Q1612" s="163">
        <f t="shared" si="1616"/>
        <v>2373</v>
      </c>
      <c r="R1612" s="163">
        <f>IFERROR(__xludf.DUMMYFUNCTION("RANK(M1612,filter(M:M,C:C=C1612))"),397.0)</f>
        <v>397</v>
      </c>
      <c r="S1612" s="161" t="b">
        <f t="shared" si="5"/>
        <v>0</v>
      </c>
      <c r="T1612" s="161" t="b">
        <f t="array" ref="T1612">index('Query Tool'!B:B,match(H1612,'Query Tool'!C:C,0))</f>
        <v>1</v>
      </c>
      <c r="U1612" s="161" t="b">
        <f t="array" ref="U1612">index('Query Tool'!B:B,match(C1612,'Query Tool'!C:C,0))</f>
        <v>0</v>
      </c>
      <c r="V1612" s="161" t="b">
        <f>F1612&gt;='Query Tool'!C$32</f>
        <v>0</v>
      </c>
      <c r="W1612" s="161" t="b">
        <f t="array" ref="W1612">index(Dropdowns!B:B,match(I1612,Dropdowns!A:A,0))</f>
        <v>1</v>
      </c>
      <c r="X1612" s="161" t="b">
        <f t="array" ref="X1612">index('Query Tool'!B:B,match(D1612,'Query Tool'!C:C,0))</f>
        <v>1</v>
      </c>
      <c r="Y1612" s="161" t="str">
        <f t="shared" si="6"/>
        <v>willire02,2016-17</v>
      </c>
      <c r="Z1612" s="168" t="str">
        <f t="array" ref="Z1612">iferror(index(I:I,match($A1612&amp;","&amp;index('Year Conversion'!$A:$A,match($C1612,'Year Conversion'!$B:$B,0)),$Y:$Y,0))-I1612,"")</f>
        <v/>
      </c>
      <c r="AA1612" s="168" t="str">
        <f t="array" ref="AA1612">iferror(index(J:J,match($A1612&amp;","&amp;index('Year Conversion'!$A:$A,match($C1612,'Year Conversion'!$B:$B,0)),$Y:$Y,0))-J1612,"")</f>
        <v/>
      </c>
      <c r="AB1612" s="168" t="str">
        <f t="array" ref="AB1612">iferror(index(K:K,match($A1612&amp;","&amp;index('Year Conversion'!$A:$A,match($C1612,'Year Conversion'!$B:$B,0)),$Y:$Y,0))-K1612,"")</f>
        <v/>
      </c>
      <c r="AC1612" s="168" t="str">
        <f t="shared" si="7"/>
        <v>NOP,2016-17</v>
      </c>
    </row>
    <row r="1613">
      <c r="A1613" s="161" t="str">
        <f>IFERROR(__xludf.DUMMYFUNCTION("""COMPUTED_VALUE"""),"walljo01")</f>
        <v>walljo01</v>
      </c>
      <c r="B1613" s="161" t="str">
        <f>IFERROR(__xludf.DUMMYFUNCTION("""COMPUTED_VALUE"""),"John Wall")</f>
        <v>John Wall</v>
      </c>
      <c r="C1613" s="162" t="str">
        <f>IFERROR(__xludf.DUMMYFUNCTION("""COMPUTED_VALUE"""),"2016-17")</f>
        <v>2016-17</v>
      </c>
      <c r="D1613" s="163" t="str">
        <f>IFERROR(__xludf.DUMMYFUNCTION("""COMPUTED_VALUE"""),"WAS")</f>
        <v>WAS</v>
      </c>
      <c r="E1613" s="164" t="str">
        <f>IFERROR(__xludf.DUMMYFUNCTION("""COMPUTED_VALUE"""),"Shot Creator")</f>
        <v>Shot Creator</v>
      </c>
      <c r="F1613" s="164">
        <f>IFERROR(__xludf.DUMMYFUNCTION("""COMPUTED_VALUE"""),2835.48333333333)</f>
        <v>2835.483333</v>
      </c>
      <c r="G1613" s="163">
        <f>IFERROR(__xludf.DUMMYFUNCTION("""COMPUTED_VALUE"""),78.0)</f>
        <v>78</v>
      </c>
      <c r="H1613" s="163" t="str">
        <f>IFERROR(__xludf.DUMMYFUNCTION("""COMPUTED_VALUE"""),"PG")</f>
        <v>PG</v>
      </c>
      <c r="I1613" s="163">
        <f>IFERROR(__xludf.DUMMYFUNCTION("""COMPUTED_VALUE"""),26.0)</f>
        <v>26</v>
      </c>
      <c r="J1613" s="165">
        <f>IFERROR(__xludf.DUMMYFUNCTION("""COMPUTED_VALUE"""),2.88663024178584)</f>
        <v>2.886630242</v>
      </c>
      <c r="K1613" s="165">
        <f>IFERROR(__xludf.DUMMYFUNCTION("""COMPUTED_VALUE"""),3.41890456036104)</f>
        <v>3.41890456</v>
      </c>
      <c r="L1613" s="165">
        <f>IFERROR(__xludf.DUMMYFUNCTION("""COMPUTED_VALUE"""),-0.532274318575205)</f>
        <v>-0.5322743186</v>
      </c>
      <c r="M1613" s="166">
        <f t="shared" si="2"/>
        <v>9.8266047</v>
      </c>
      <c r="N1613" s="167">
        <f t="shared" si="3"/>
        <v>36.35235043</v>
      </c>
      <c r="O1613" s="163">
        <f t="shared" ref="O1613:Q1613" si="1617">rank(I1613,I:I)</f>
        <v>1665</v>
      </c>
      <c r="P1613" s="163">
        <f t="shared" si="1617"/>
        <v>181</v>
      </c>
      <c r="Q1613" s="163">
        <f t="shared" si="1617"/>
        <v>96</v>
      </c>
      <c r="R1613" s="163">
        <f>IFERROR(__xludf.DUMMYFUNCTION("RANK(M1613,filter(M:M,C:C=C1613))"),16.0)</f>
        <v>16</v>
      </c>
      <c r="S1613" s="161" t="b">
        <f t="shared" si="5"/>
        <v>0</v>
      </c>
      <c r="T1613" s="161" t="b">
        <f t="array" ref="T1613">index('Query Tool'!B:B,match(H1613,'Query Tool'!C:C,0))</f>
        <v>1</v>
      </c>
      <c r="U1613" s="161" t="b">
        <f t="array" ref="U1613">index('Query Tool'!B:B,match(C1613,'Query Tool'!C:C,0))</f>
        <v>0</v>
      </c>
      <c r="V1613" s="161" t="b">
        <f>F1613&gt;='Query Tool'!C$32</f>
        <v>1</v>
      </c>
      <c r="W1613" s="161" t="b">
        <f t="array" ref="W1613">index(Dropdowns!B:B,match(I1613,Dropdowns!A:A,0))</f>
        <v>1</v>
      </c>
      <c r="X1613" s="161" t="b">
        <f t="array" ref="X1613">index('Query Tool'!B:B,match(D1613,'Query Tool'!C:C,0))</f>
        <v>1</v>
      </c>
      <c r="Y1613" s="161" t="str">
        <f t="shared" si="6"/>
        <v>walljo01,2016-17</v>
      </c>
      <c r="Z1613" s="168">
        <f t="array" ref="Z1613">iferror(index(I:I,match($A1613&amp;","&amp;index('Year Conversion'!$A:$A,match($C1613,'Year Conversion'!$B:$B,0)),$Y:$Y,0))-I1613,"")</f>
        <v>1</v>
      </c>
      <c r="AA1613" s="168">
        <f t="array" ref="AA1613">iferror(index(J:J,match($A1613&amp;","&amp;index('Year Conversion'!$A:$A,match($C1613,'Year Conversion'!$B:$B,0)),$Y:$Y,0))-J1613,"")</f>
        <v>-0.7523468586</v>
      </c>
      <c r="AB1613" s="168">
        <f t="array" ref="AB1613">iferror(index(K:K,match($A1613&amp;","&amp;index('Year Conversion'!$A:$A,match($C1613,'Year Conversion'!$B:$B,0)),$Y:$Y,0))-K1613,"")</f>
        <v>-1.694592855</v>
      </c>
      <c r="AC1613" s="168" t="str">
        <f t="shared" si="7"/>
        <v>WAS,2016-17</v>
      </c>
    </row>
    <row r="1614">
      <c r="A1614" s="161" t="str">
        <f>IFERROR(__xludf.DUMMYFUNCTION("""COMPUTED_VALUE"""),"turneev01")</f>
        <v>turneev01</v>
      </c>
      <c r="B1614" s="161" t="str">
        <f>IFERROR(__xludf.DUMMYFUNCTION("""COMPUTED_VALUE"""),"Evan Turner")</f>
        <v>Evan Turner</v>
      </c>
      <c r="C1614" s="162" t="str">
        <f>IFERROR(__xludf.DUMMYFUNCTION("""COMPUTED_VALUE"""),"2016-17")</f>
        <v>2016-17</v>
      </c>
      <c r="D1614" s="163" t="str">
        <f>IFERROR(__xludf.DUMMYFUNCTION("""COMPUTED_VALUE"""),"POR")</f>
        <v>POR</v>
      </c>
      <c r="E1614" s="164" t="str">
        <f>IFERROR(__xludf.DUMMYFUNCTION("""COMPUTED_VALUE"""),"Shot Creator")</f>
        <v>Shot Creator</v>
      </c>
      <c r="F1614" s="164">
        <f>IFERROR(__xludf.DUMMYFUNCTION("""COMPUTED_VALUE"""),1658.56)</f>
        <v>1658.56</v>
      </c>
      <c r="G1614" s="163">
        <f>IFERROR(__xludf.DUMMYFUNCTION("""COMPUTED_VALUE"""),65.0)</f>
        <v>65</v>
      </c>
      <c r="H1614" s="163" t="str">
        <f>IFERROR(__xludf.DUMMYFUNCTION("""COMPUTED_VALUE"""),"SF")</f>
        <v>SF</v>
      </c>
      <c r="I1614" s="163">
        <f>IFERROR(__xludf.DUMMYFUNCTION("""COMPUTED_VALUE"""),28.0)</f>
        <v>28</v>
      </c>
      <c r="J1614" s="165">
        <f>IFERROR(__xludf.DUMMYFUNCTION("""COMPUTED_VALUE"""),-1.50099324886557)</f>
        <v>-1.500993249</v>
      </c>
      <c r="K1614" s="165">
        <f>IFERROR(__xludf.DUMMYFUNCTION("""COMPUTED_VALUE"""),-1.72564540159156)</f>
        <v>-1.725645402</v>
      </c>
      <c r="L1614" s="165">
        <f>IFERROR(__xludf.DUMMYFUNCTION("""COMPUTED_VALUE"""),0.22465215272599)</f>
        <v>0.2246521527</v>
      </c>
      <c r="M1614" s="166">
        <f t="shared" si="2"/>
        <v>0.8837930379</v>
      </c>
      <c r="N1614" s="167">
        <f t="shared" si="3"/>
        <v>25.51630769</v>
      </c>
      <c r="O1614" s="163">
        <f t="shared" ref="O1614:Q1614" si="1618">rank(I1614,I:I)</f>
        <v>1090</v>
      </c>
      <c r="P1614" s="163">
        <f t="shared" si="1618"/>
        <v>3056</v>
      </c>
      <c r="Q1614" s="163">
        <f t="shared" si="1618"/>
        <v>3534</v>
      </c>
      <c r="R1614" s="163">
        <f>IFERROR(__xludf.DUMMYFUNCTION("RANK(M1614,filter(M:M,C:C=C1614))"),236.0)</f>
        <v>236</v>
      </c>
      <c r="S1614" s="161" t="b">
        <f t="shared" si="5"/>
        <v>0</v>
      </c>
      <c r="T1614" s="161" t="b">
        <f t="array" ref="T1614">index('Query Tool'!B:B,match(H1614,'Query Tool'!C:C,0))</f>
        <v>1</v>
      </c>
      <c r="U1614" s="161" t="b">
        <f t="array" ref="U1614">index('Query Tool'!B:B,match(C1614,'Query Tool'!C:C,0))</f>
        <v>0</v>
      </c>
      <c r="V1614" s="161" t="b">
        <f>F1614&gt;='Query Tool'!C$32</f>
        <v>1</v>
      </c>
      <c r="W1614" s="161" t="b">
        <f t="array" ref="W1614">index(Dropdowns!B:B,match(I1614,Dropdowns!A:A,0))</f>
        <v>1</v>
      </c>
      <c r="X1614" s="161" t="b">
        <f t="array" ref="X1614">index('Query Tool'!B:B,match(D1614,'Query Tool'!C:C,0))</f>
        <v>1</v>
      </c>
      <c r="Y1614" s="161" t="str">
        <f t="shared" si="6"/>
        <v>turneev01,2016-17</v>
      </c>
      <c r="Z1614" s="168">
        <f t="array" ref="Z1614">iferror(index(I:I,match($A1614&amp;","&amp;index('Year Conversion'!$A:$A,match($C1614,'Year Conversion'!$B:$B,0)),$Y:$Y,0))-I1614,"")</f>
        <v>1</v>
      </c>
      <c r="AA1614" s="168">
        <f t="array" ref="AA1614">iferror(index(J:J,match($A1614&amp;","&amp;index('Year Conversion'!$A:$A,match($C1614,'Year Conversion'!$B:$B,0)),$Y:$Y,0))-J1614,"")</f>
        <v>-1.46785953</v>
      </c>
      <c r="AB1614" s="168">
        <f t="array" ref="AB1614">iferror(index(K:K,match($A1614&amp;","&amp;index('Year Conversion'!$A:$A,match($C1614,'Year Conversion'!$B:$B,0)),$Y:$Y,0))-K1614,"")</f>
        <v>-0.5626083654</v>
      </c>
      <c r="AC1614" s="168" t="str">
        <f t="shared" si="7"/>
        <v>POR,2016-17</v>
      </c>
    </row>
    <row r="1615">
      <c r="A1615" s="161" t="str">
        <f>IFERROR(__xludf.DUMMYFUNCTION("""COMPUTED_VALUE"""),"favorde01")</f>
        <v>favorde01</v>
      </c>
      <c r="B1615" s="161" t="str">
        <f>IFERROR(__xludf.DUMMYFUNCTION("""COMPUTED_VALUE"""),"Derrick Favors")</f>
        <v>Derrick Favors</v>
      </c>
      <c r="C1615" s="162" t="str">
        <f>IFERROR(__xludf.DUMMYFUNCTION("""COMPUTED_VALUE"""),"2016-17")</f>
        <v>2016-17</v>
      </c>
      <c r="D1615" s="163" t="str">
        <f>IFERROR(__xludf.DUMMYFUNCTION("""COMPUTED_VALUE"""),"UTA")</f>
        <v>UTA</v>
      </c>
      <c r="E1615" s="164" t="str">
        <f>IFERROR(__xludf.DUMMYFUNCTION("""COMPUTED_VALUE"""),"Post Scorer")</f>
        <v>Post Scorer</v>
      </c>
      <c r="F1615" s="164">
        <f>IFERROR(__xludf.DUMMYFUNCTION("""COMPUTED_VALUE"""),1185.61166666667)</f>
        <v>1185.611667</v>
      </c>
      <c r="G1615" s="163">
        <f>IFERROR(__xludf.DUMMYFUNCTION("""COMPUTED_VALUE"""),50.0)</f>
        <v>50</v>
      </c>
      <c r="H1615" s="163" t="str">
        <f>IFERROR(__xludf.DUMMYFUNCTION("""COMPUTED_VALUE"""),"PF")</f>
        <v>PF</v>
      </c>
      <c r="I1615" s="163">
        <f>IFERROR(__xludf.DUMMYFUNCTION("""COMPUTED_VALUE"""),25.0)</f>
        <v>25</v>
      </c>
      <c r="J1615" s="165">
        <f>IFERROR(__xludf.DUMMYFUNCTION("""COMPUTED_VALUE"""),-0.0966452795302584)</f>
        <v>-0.09664527953</v>
      </c>
      <c r="K1615" s="165">
        <f>IFERROR(__xludf.DUMMYFUNCTION("""COMPUTED_VALUE"""),-1.68168423509264)</f>
        <v>-1.681684235</v>
      </c>
      <c r="L1615" s="165">
        <f>IFERROR(__xludf.DUMMYFUNCTION("""COMPUTED_VALUE"""),1.58503895556238)</f>
        <v>1.585038956</v>
      </c>
      <c r="M1615" s="166">
        <f t="shared" si="2"/>
        <v>1.750567777</v>
      </c>
      <c r="N1615" s="167">
        <f t="shared" si="3"/>
        <v>23.71223333</v>
      </c>
      <c r="O1615" s="163">
        <f t="shared" ref="O1615:Q1615" si="1619">rank(I1615,I:I)</f>
        <v>1995</v>
      </c>
      <c r="P1615" s="163">
        <f t="shared" si="1619"/>
        <v>1381</v>
      </c>
      <c r="Q1615" s="163">
        <f t="shared" si="1619"/>
        <v>3506</v>
      </c>
      <c r="R1615" s="163">
        <f>IFERROR(__xludf.DUMMYFUNCTION("RANK(M1615,filter(M:M,C:C=C1615))"),176.0)</f>
        <v>176</v>
      </c>
      <c r="S1615" s="161" t="b">
        <f t="shared" si="5"/>
        <v>0</v>
      </c>
      <c r="T1615" s="161" t="b">
        <f t="array" ref="T1615">index('Query Tool'!B:B,match(H1615,'Query Tool'!C:C,0))</f>
        <v>1</v>
      </c>
      <c r="U1615" s="161" t="b">
        <f t="array" ref="U1615">index('Query Tool'!B:B,match(C1615,'Query Tool'!C:C,0))</f>
        <v>0</v>
      </c>
      <c r="V1615" s="161" t="b">
        <f>F1615&gt;='Query Tool'!C$32</f>
        <v>1</v>
      </c>
      <c r="W1615" s="161" t="b">
        <f t="array" ref="W1615">index(Dropdowns!B:B,match(I1615,Dropdowns!A:A,0))</f>
        <v>1</v>
      </c>
      <c r="X1615" s="161" t="b">
        <f t="array" ref="X1615">index('Query Tool'!B:B,match(D1615,'Query Tool'!C:C,0))</f>
        <v>1</v>
      </c>
      <c r="Y1615" s="161" t="str">
        <f t="shared" si="6"/>
        <v>favorde01,2016-17</v>
      </c>
      <c r="Z1615" s="168">
        <f t="array" ref="Z1615">iferror(index(I:I,match($A1615&amp;","&amp;index('Year Conversion'!$A:$A,match($C1615,'Year Conversion'!$B:$B,0)),$Y:$Y,0))-I1615,"")</f>
        <v>1</v>
      </c>
      <c r="AA1615" s="168">
        <f t="array" ref="AA1615">iferror(index(J:J,match($A1615&amp;","&amp;index('Year Conversion'!$A:$A,match($C1615,'Year Conversion'!$B:$B,0)),$Y:$Y,0))-J1615,"")</f>
        <v>1.898844417</v>
      </c>
      <c r="AB1615" s="168">
        <f t="array" ref="AB1615">iferror(index(K:K,match($A1615&amp;","&amp;index('Year Conversion'!$A:$A,match($C1615,'Year Conversion'!$B:$B,0)),$Y:$Y,0))-K1615,"")</f>
        <v>1.833546962</v>
      </c>
      <c r="AC1615" s="168" t="str">
        <f t="shared" si="7"/>
        <v>UTA,2016-17</v>
      </c>
    </row>
    <row r="1616">
      <c r="A1616" s="161" t="str">
        <f>IFERROR(__xludf.DUMMYFUNCTION("""COMPUTED_VALUE"""),"johnswe01")</f>
        <v>johnswe01</v>
      </c>
      <c r="B1616" s="161" t="str">
        <f>IFERROR(__xludf.DUMMYFUNCTION("""COMPUTED_VALUE"""),"Wesley Johnson")</f>
        <v>Wesley Johnson</v>
      </c>
      <c r="C1616" s="162" t="str">
        <f>IFERROR(__xludf.DUMMYFUNCTION("""COMPUTED_VALUE"""),"2016-17")</f>
        <v>2016-17</v>
      </c>
      <c r="D1616" s="163" t="str">
        <f>IFERROR(__xludf.DUMMYFUNCTION("""COMPUTED_VALUE"""),"LAC")</f>
        <v>LAC</v>
      </c>
      <c r="E1616" s="164" t="str">
        <f>IFERROR(__xludf.DUMMYFUNCTION("""COMPUTED_VALUE"""),"Stationary Shooter")</f>
        <v>Stationary Shooter</v>
      </c>
      <c r="F1616" s="164">
        <f>IFERROR(__xludf.DUMMYFUNCTION("""COMPUTED_VALUE"""),810.118333333333)</f>
        <v>810.1183333</v>
      </c>
      <c r="G1616" s="163">
        <f>IFERROR(__xludf.DUMMYFUNCTION("""COMPUTED_VALUE"""),68.0)</f>
        <v>68</v>
      </c>
      <c r="H1616" s="163" t="str">
        <f>IFERROR(__xludf.DUMMYFUNCTION("""COMPUTED_VALUE"""),"SF")</f>
        <v>SF</v>
      </c>
      <c r="I1616" s="163">
        <f>IFERROR(__xludf.DUMMYFUNCTION("""COMPUTED_VALUE"""),29.0)</f>
        <v>29</v>
      </c>
      <c r="J1616" s="165">
        <f>IFERROR(__xludf.DUMMYFUNCTION("""COMPUTED_VALUE"""),0.0937177200287267)</f>
        <v>0.09371772003</v>
      </c>
      <c r="K1616" s="165">
        <f>IFERROR(__xludf.DUMMYFUNCTION("""COMPUTED_VALUE"""),-1.80910821833608)</f>
        <v>-1.809108218</v>
      </c>
      <c r="L1616" s="165">
        <f>IFERROR(__xludf.DUMMYFUNCTION("""COMPUTED_VALUE"""),1.90282593836481)</f>
        <v>1.902825938</v>
      </c>
      <c r="M1616" s="166">
        <f t="shared" si="2"/>
        <v>1.300117944</v>
      </c>
      <c r="N1616" s="167">
        <f t="shared" si="3"/>
        <v>11.9135049</v>
      </c>
      <c r="O1616" s="163">
        <f t="shared" ref="O1616:Q1616" si="1620">rank(I1616,I:I)</f>
        <v>855</v>
      </c>
      <c r="P1616" s="163">
        <f t="shared" si="1620"/>
        <v>1195</v>
      </c>
      <c r="Q1616" s="163">
        <f t="shared" si="1620"/>
        <v>3579</v>
      </c>
      <c r="R1616" s="163">
        <f>IFERROR(__xludf.DUMMYFUNCTION("RANK(M1616,filter(M:M,C:C=C1616))"),199.0)</f>
        <v>199</v>
      </c>
      <c r="S1616" s="161" t="b">
        <f t="shared" si="5"/>
        <v>0</v>
      </c>
      <c r="T1616" s="161" t="b">
        <f t="array" ref="T1616">index('Query Tool'!B:B,match(H1616,'Query Tool'!C:C,0))</f>
        <v>1</v>
      </c>
      <c r="U1616" s="161" t="b">
        <f t="array" ref="U1616">index('Query Tool'!B:B,match(C1616,'Query Tool'!C:C,0))</f>
        <v>0</v>
      </c>
      <c r="V1616" s="161" t="b">
        <f>F1616&gt;='Query Tool'!C$32</f>
        <v>1</v>
      </c>
      <c r="W1616" s="161" t="b">
        <f t="array" ref="W1616">index(Dropdowns!B:B,match(I1616,Dropdowns!A:A,0))</f>
        <v>1</v>
      </c>
      <c r="X1616" s="161" t="b">
        <f t="array" ref="X1616">index('Query Tool'!B:B,match(D1616,'Query Tool'!C:C,0))</f>
        <v>1</v>
      </c>
      <c r="Y1616" s="161" t="str">
        <f t="shared" si="6"/>
        <v>johnswe01,2016-17</v>
      </c>
      <c r="Z1616" s="168">
        <f t="array" ref="Z1616">iferror(index(I:I,match($A1616&amp;","&amp;index('Year Conversion'!$A:$A,match($C1616,'Year Conversion'!$B:$B,0)),$Y:$Y,0))-I1616,"")</f>
        <v>1</v>
      </c>
      <c r="AA1616" s="168">
        <f t="array" ref="AA1616">iferror(index(J:J,match($A1616&amp;","&amp;index('Year Conversion'!$A:$A,match($C1616,'Year Conversion'!$B:$B,0)),$Y:$Y,0))-J1616,"")</f>
        <v>-1.228390805</v>
      </c>
      <c r="AB1616" s="168">
        <f t="array" ref="AB1616">iferror(index(K:K,match($A1616&amp;","&amp;index('Year Conversion'!$A:$A,match($C1616,'Year Conversion'!$B:$B,0)),$Y:$Y,0))-K1616,"")</f>
        <v>-0.6123988048</v>
      </c>
      <c r="AC1616" s="168" t="str">
        <f t="shared" si="7"/>
        <v>LAC,2016-17</v>
      </c>
    </row>
    <row r="1617">
      <c r="A1617" s="161" t="str">
        <f>IFERROR(__xludf.DUMMYFUNCTION("""COMPUTED_VALUE"""),"couside01")</f>
        <v>couside01</v>
      </c>
      <c r="B1617" s="161" t="str">
        <f>IFERROR(__xludf.DUMMYFUNCTION("""COMPUTED_VALUE"""),"DeMarcus Cousins")</f>
        <v>DeMarcus Cousins</v>
      </c>
      <c r="C1617" s="162" t="str">
        <f>IFERROR(__xludf.DUMMYFUNCTION("""COMPUTED_VALUE"""),"2016-17")</f>
        <v>2016-17</v>
      </c>
      <c r="D1617" s="163" t="str">
        <f>IFERROR(__xludf.DUMMYFUNCTION("""COMPUTED_VALUE"""),"TOT")</f>
        <v>TOT</v>
      </c>
      <c r="E1617" s="164" t="str">
        <f>IFERROR(__xludf.DUMMYFUNCTION("""COMPUTED_VALUE"""),"Versatile Big")</f>
        <v>Versatile Big</v>
      </c>
      <c r="F1617" s="164">
        <f>IFERROR(__xludf.DUMMYFUNCTION("""COMPUTED_VALUE"""),2465.36333333333)</f>
        <v>2465.363333</v>
      </c>
      <c r="G1617" s="163">
        <f>IFERROR(__xludf.DUMMYFUNCTION("""COMPUTED_VALUE"""),72.0)</f>
        <v>72</v>
      </c>
      <c r="H1617" s="163" t="str">
        <f>IFERROR(__xludf.DUMMYFUNCTION("""COMPUTED_VALUE"""),"C")</f>
        <v>C</v>
      </c>
      <c r="I1617" s="163">
        <f>IFERROR(__xludf.DUMMYFUNCTION("""COMPUTED_VALUE"""),26.0)</f>
        <v>26</v>
      </c>
      <c r="J1617" s="165">
        <f>IFERROR(__xludf.DUMMYFUNCTION("""COMPUTED_VALUE"""),3.51602624392686)</f>
        <v>3.516026244</v>
      </c>
      <c r="K1617" s="165">
        <f>IFERROR(__xludf.DUMMYFUNCTION("""COMPUTED_VALUE"""),2.66192265380503)</f>
        <v>2.661922654</v>
      </c>
      <c r="L1617" s="165">
        <f>IFERROR(__xludf.DUMMYFUNCTION("""COMPUTED_VALUE"""),0.854103590121831)</f>
        <v>0.8541035901</v>
      </c>
      <c r="M1617" s="166">
        <f t="shared" si="2"/>
        <v>9.546493211</v>
      </c>
      <c r="N1617" s="167">
        <f t="shared" si="3"/>
        <v>34.24115741</v>
      </c>
      <c r="O1617" s="163">
        <f t="shared" ref="O1617:Q1617" si="1621">rank(I1617,I:I)</f>
        <v>1665</v>
      </c>
      <c r="P1617" s="163">
        <f t="shared" si="1621"/>
        <v>131</v>
      </c>
      <c r="Q1617" s="163">
        <f t="shared" si="1621"/>
        <v>143</v>
      </c>
      <c r="R1617" s="163">
        <f>IFERROR(__xludf.DUMMYFUNCTION("RANK(M1617,filter(M:M,C:C=C1617))"),18.0)</f>
        <v>18</v>
      </c>
      <c r="S1617" s="161" t="b">
        <f t="shared" si="5"/>
        <v>0</v>
      </c>
      <c r="T1617" s="161" t="b">
        <f t="array" ref="T1617">index('Query Tool'!B:B,match(H1617,'Query Tool'!C:C,0))</f>
        <v>1</v>
      </c>
      <c r="U1617" s="161" t="b">
        <f t="array" ref="U1617">index('Query Tool'!B:B,match(C1617,'Query Tool'!C:C,0))</f>
        <v>0</v>
      </c>
      <c r="V1617" s="161" t="b">
        <f>F1617&gt;='Query Tool'!C$32</f>
        <v>1</v>
      </c>
      <c r="W1617" s="161" t="b">
        <f t="array" ref="W1617">index(Dropdowns!B:B,match(I1617,Dropdowns!A:A,0))</f>
        <v>1</v>
      </c>
      <c r="X1617" s="161" t="b">
        <f t="array" ref="X1617">index('Query Tool'!B:B,match(D1617,'Query Tool'!C:C,0))</f>
        <v>1</v>
      </c>
      <c r="Y1617" s="161" t="str">
        <f t="shared" si="6"/>
        <v>couside01,2016-17</v>
      </c>
      <c r="Z1617" s="168">
        <f t="array" ref="Z1617">iferror(index(I:I,match($A1617&amp;","&amp;index('Year Conversion'!$A:$A,match($C1617,'Year Conversion'!$B:$B,0)),$Y:$Y,0))-I1617,"")</f>
        <v>1</v>
      </c>
      <c r="AA1617" s="168">
        <f t="array" ref="AA1617">iferror(index(J:J,match($A1617&amp;","&amp;index('Year Conversion'!$A:$A,match($C1617,'Year Conversion'!$B:$B,0)),$Y:$Y,0))-J1617,"")</f>
        <v>-0.1798073361</v>
      </c>
      <c r="AB1617" s="168">
        <f t="array" ref="AB1617">iferror(index(K:K,match($A1617&amp;","&amp;index('Year Conversion'!$A:$A,match($C1617,'Year Conversion'!$B:$B,0)),$Y:$Y,0))-K1617,"")</f>
        <v>-0.8030263522</v>
      </c>
      <c r="AC1617" s="168" t="str">
        <f t="shared" si="7"/>
        <v>TOT,2016-17</v>
      </c>
    </row>
    <row r="1618">
      <c r="A1618" s="161" t="str">
        <f>IFERROR(__xludf.DUMMYFUNCTION("""COMPUTED_VALUE"""),"monrogr01")</f>
        <v>monrogr01</v>
      </c>
      <c r="B1618" s="161" t="str">
        <f>IFERROR(__xludf.DUMMYFUNCTION("""COMPUTED_VALUE"""),"Greg Monroe")</f>
        <v>Greg Monroe</v>
      </c>
      <c r="C1618" s="162" t="str">
        <f>IFERROR(__xludf.DUMMYFUNCTION("""COMPUTED_VALUE"""),"2016-17")</f>
        <v>2016-17</v>
      </c>
      <c r="D1618" s="163" t="str">
        <f>IFERROR(__xludf.DUMMYFUNCTION("""COMPUTED_VALUE"""),"MIL")</f>
        <v>MIL</v>
      </c>
      <c r="E1618" s="164" t="str">
        <f>IFERROR(__xludf.DUMMYFUNCTION("""COMPUTED_VALUE"""),"Post Scorer")</f>
        <v>Post Scorer</v>
      </c>
      <c r="F1618" s="164">
        <f>IFERROR(__xludf.DUMMYFUNCTION("""COMPUTED_VALUE"""),1822.69333333333)</f>
        <v>1822.693333</v>
      </c>
      <c r="G1618" s="163">
        <f>IFERROR(__xludf.DUMMYFUNCTION("""COMPUTED_VALUE"""),81.0)</f>
        <v>81</v>
      </c>
      <c r="H1618" s="163" t="str">
        <f>IFERROR(__xludf.DUMMYFUNCTION("""COMPUTED_VALUE"""),"C")</f>
        <v>C</v>
      </c>
      <c r="I1618" s="163">
        <f>IFERROR(__xludf.DUMMYFUNCTION("""COMPUTED_VALUE"""),26.0)</f>
        <v>26</v>
      </c>
      <c r="J1618" s="165">
        <f>IFERROR(__xludf.DUMMYFUNCTION("""COMPUTED_VALUE"""),1.25990071019543)</f>
        <v>1.25990071</v>
      </c>
      <c r="K1618" s="165">
        <f>IFERROR(__xludf.DUMMYFUNCTION("""COMPUTED_VALUE"""),0.996219210388244)</f>
        <v>0.9962192104</v>
      </c>
      <c r="L1618" s="165">
        <f>IFERROR(__xludf.DUMMYFUNCTION("""COMPUTED_VALUE"""),0.263681499807185)</f>
        <v>0.2636814998</v>
      </c>
      <c r="M1618" s="166">
        <f t="shared" si="2"/>
        <v>4.354798553</v>
      </c>
      <c r="N1618" s="167">
        <f t="shared" si="3"/>
        <v>22.50238683</v>
      </c>
      <c r="O1618" s="163">
        <f t="shared" ref="O1618:Q1618" si="1622">rank(I1618,I:I)</f>
        <v>1665</v>
      </c>
      <c r="P1618" s="163">
        <f t="shared" si="1622"/>
        <v>542</v>
      </c>
      <c r="Q1618" s="163">
        <f t="shared" si="1622"/>
        <v>508</v>
      </c>
      <c r="R1618" s="163">
        <f>IFERROR(__xludf.DUMMYFUNCTION("RANK(M1618,filter(M:M,C:C=C1618))"),67.0)</f>
        <v>67</v>
      </c>
      <c r="S1618" s="161" t="b">
        <f t="shared" si="5"/>
        <v>0</v>
      </c>
      <c r="T1618" s="161" t="b">
        <f t="array" ref="T1618">index('Query Tool'!B:B,match(H1618,'Query Tool'!C:C,0))</f>
        <v>1</v>
      </c>
      <c r="U1618" s="161" t="b">
        <f t="array" ref="U1618">index('Query Tool'!B:B,match(C1618,'Query Tool'!C:C,0))</f>
        <v>0</v>
      </c>
      <c r="V1618" s="161" t="b">
        <f>F1618&gt;='Query Tool'!C$32</f>
        <v>1</v>
      </c>
      <c r="W1618" s="161" t="b">
        <f t="array" ref="W1618">index(Dropdowns!B:B,match(I1618,Dropdowns!A:A,0))</f>
        <v>1</v>
      </c>
      <c r="X1618" s="161" t="b">
        <f t="array" ref="X1618">index('Query Tool'!B:B,match(D1618,'Query Tool'!C:C,0))</f>
        <v>1</v>
      </c>
      <c r="Y1618" s="161" t="str">
        <f t="shared" si="6"/>
        <v>monrogr01,2016-17</v>
      </c>
      <c r="Z1618" s="168">
        <f t="array" ref="Z1618">iferror(index(I:I,match($A1618&amp;","&amp;index('Year Conversion'!$A:$A,match($C1618,'Year Conversion'!$B:$B,0)),$Y:$Y,0))-I1618,"")</f>
        <v>1</v>
      </c>
      <c r="AA1618" s="168">
        <f t="array" ref="AA1618">iferror(index(J:J,match($A1618&amp;","&amp;index('Year Conversion'!$A:$A,match($C1618,'Year Conversion'!$B:$B,0)),$Y:$Y,0))-J1618,"")</f>
        <v>-1.920661926</v>
      </c>
      <c r="AB1618" s="168">
        <f t="array" ref="AB1618">iferror(index(K:K,match($A1618&amp;","&amp;index('Year Conversion'!$A:$A,match($C1618,'Year Conversion'!$B:$B,0)),$Y:$Y,0))-K1618,"")</f>
        <v>-1.074564203</v>
      </c>
      <c r="AC1618" s="168" t="str">
        <f t="shared" si="7"/>
        <v>MIL,2016-17</v>
      </c>
    </row>
    <row r="1619">
      <c r="A1619" s="161" t="str">
        <f>IFERROR(__xludf.DUMMYFUNCTION("""COMPUTED_VALUE"""),"aminual01")</f>
        <v>aminual01</v>
      </c>
      <c r="B1619" s="161" t="str">
        <f>IFERROR(__xludf.DUMMYFUNCTION("""COMPUTED_VALUE"""),"Al-Farouq Aminu")</f>
        <v>Al-Farouq Aminu</v>
      </c>
      <c r="C1619" s="162" t="str">
        <f>IFERROR(__xludf.DUMMYFUNCTION("""COMPUTED_VALUE"""),"2016-17")</f>
        <v>2016-17</v>
      </c>
      <c r="D1619" s="163" t="str">
        <f>IFERROR(__xludf.DUMMYFUNCTION("""COMPUTED_VALUE"""),"POR")</f>
        <v>POR</v>
      </c>
      <c r="E1619" s="164" t="str">
        <f>IFERROR(__xludf.DUMMYFUNCTION("""COMPUTED_VALUE"""),"Stationary Shooter")</f>
        <v>Stationary Shooter</v>
      </c>
      <c r="F1619" s="164">
        <f>IFERROR(__xludf.DUMMYFUNCTION("""COMPUTED_VALUE"""),1772.91833333333)</f>
        <v>1772.918333</v>
      </c>
      <c r="G1619" s="163">
        <f>IFERROR(__xludf.DUMMYFUNCTION("""COMPUTED_VALUE"""),61.0)</f>
        <v>61</v>
      </c>
      <c r="H1619" s="163" t="str">
        <f>IFERROR(__xludf.DUMMYFUNCTION("""COMPUTED_VALUE"""),"PF")</f>
        <v>PF</v>
      </c>
      <c r="I1619" s="163">
        <f>IFERROR(__xludf.DUMMYFUNCTION("""COMPUTED_VALUE"""),26.0)</f>
        <v>26</v>
      </c>
      <c r="J1619" s="165">
        <f>IFERROR(__xludf.DUMMYFUNCTION("""COMPUTED_VALUE"""),-0.619923457502841)</f>
        <v>-0.6199234575</v>
      </c>
      <c r="K1619" s="165">
        <f>IFERROR(__xludf.DUMMYFUNCTION("""COMPUTED_VALUE"""),-1.77711954123155)</f>
        <v>-1.777119541</v>
      </c>
      <c r="L1619" s="165">
        <f>IFERROR(__xludf.DUMMYFUNCTION("""COMPUTED_VALUE"""),1.15719608372871)</f>
        <v>1.157196084</v>
      </c>
      <c r="M1619" s="166">
        <f t="shared" si="2"/>
        <v>1.992660163</v>
      </c>
      <c r="N1619" s="167">
        <f t="shared" si="3"/>
        <v>29.06423497</v>
      </c>
      <c r="O1619" s="163">
        <f t="shared" ref="O1619:Q1619" si="1623">rank(I1619,I:I)</f>
        <v>1665</v>
      </c>
      <c r="P1619" s="163">
        <f t="shared" si="1623"/>
        <v>2024</v>
      </c>
      <c r="Q1619" s="163">
        <f t="shared" si="1623"/>
        <v>3565</v>
      </c>
      <c r="R1619" s="163">
        <f>IFERROR(__xludf.DUMMYFUNCTION("RANK(M1619,filter(M:M,C:C=C1619))"),162.0)</f>
        <v>162</v>
      </c>
      <c r="S1619" s="161" t="b">
        <f t="shared" si="5"/>
        <v>0</v>
      </c>
      <c r="T1619" s="161" t="b">
        <f t="array" ref="T1619">index('Query Tool'!B:B,match(H1619,'Query Tool'!C:C,0))</f>
        <v>1</v>
      </c>
      <c r="U1619" s="161" t="b">
        <f t="array" ref="U1619">index('Query Tool'!B:B,match(C1619,'Query Tool'!C:C,0))</f>
        <v>0</v>
      </c>
      <c r="V1619" s="161" t="b">
        <f>F1619&gt;='Query Tool'!C$32</f>
        <v>1</v>
      </c>
      <c r="W1619" s="161" t="b">
        <f t="array" ref="W1619">index(Dropdowns!B:B,match(I1619,Dropdowns!A:A,0))</f>
        <v>1</v>
      </c>
      <c r="X1619" s="161" t="b">
        <f t="array" ref="X1619">index('Query Tool'!B:B,match(D1619,'Query Tool'!C:C,0))</f>
        <v>1</v>
      </c>
      <c r="Y1619" s="161" t="str">
        <f t="shared" si="6"/>
        <v>aminual01,2016-17</v>
      </c>
      <c r="Z1619" s="168">
        <f t="array" ref="Z1619">iferror(index(I:I,match($A1619&amp;","&amp;index('Year Conversion'!$A:$A,match($C1619,'Year Conversion'!$B:$B,0)),$Y:$Y,0))-I1619,"")</f>
        <v>1</v>
      </c>
      <c r="AA1619" s="168">
        <f t="array" ref="AA1619">iferror(index(J:J,match($A1619&amp;","&amp;index('Year Conversion'!$A:$A,match($C1619,'Year Conversion'!$B:$B,0)),$Y:$Y,0))-J1619,"")</f>
        <v>2.705792156</v>
      </c>
      <c r="AB1619" s="168">
        <f t="array" ref="AB1619">iferror(index(K:K,match($A1619&amp;","&amp;index('Year Conversion'!$A:$A,match($C1619,'Year Conversion'!$B:$B,0)),$Y:$Y,0))-K1619,"")</f>
        <v>1.754460311</v>
      </c>
      <c r="AC1619" s="168" t="str">
        <f t="shared" si="7"/>
        <v>POR,2016-17</v>
      </c>
    </row>
    <row r="1620">
      <c r="A1620" s="161" t="str">
        <f>IFERROR(__xludf.DUMMYFUNCTION("""COMPUTED_VALUE"""),"haywago01")</f>
        <v>haywago01</v>
      </c>
      <c r="B1620" s="161" t="str">
        <f>IFERROR(__xludf.DUMMYFUNCTION("""COMPUTED_VALUE"""),"Gordon Hayward")</f>
        <v>Gordon Hayward</v>
      </c>
      <c r="C1620" s="162" t="str">
        <f>IFERROR(__xludf.DUMMYFUNCTION("""COMPUTED_VALUE"""),"2016-17")</f>
        <v>2016-17</v>
      </c>
      <c r="D1620" s="163" t="str">
        <f>IFERROR(__xludf.DUMMYFUNCTION("""COMPUTED_VALUE"""),"UTA")</f>
        <v>UTA</v>
      </c>
      <c r="E1620" s="164" t="str">
        <f>IFERROR(__xludf.DUMMYFUNCTION("""COMPUTED_VALUE"""),"Secondary Ball Handler")</f>
        <v>Secondary Ball Handler</v>
      </c>
      <c r="F1620" s="164">
        <f>IFERROR(__xludf.DUMMYFUNCTION("""COMPUTED_VALUE"""),2515.535)</f>
        <v>2515.535</v>
      </c>
      <c r="G1620" s="163">
        <f>IFERROR(__xludf.DUMMYFUNCTION("""COMPUTED_VALUE"""),73.0)</f>
        <v>73</v>
      </c>
      <c r="H1620" s="163" t="str">
        <f>IFERROR(__xludf.DUMMYFUNCTION("""COMPUTED_VALUE"""),"SF")</f>
        <v>SF</v>
      </c>
      <c r="I1620" s="163">
        <f>IFERROR(__xludf.DUMMYFUNCTION("""COMPUTED_VALUE"""),26.0)</f>
        <v>26</v>
      </c>
      <c r="J1620" s="165">
        <f>IFERROR(__xludf.DUMMYFUNCTION("""COMPUTED_VALUE"""),3.26920649847337)</f>
        <v>3.269206498</v>
      </c>
      <c r="K1620" s="165">
        <f>IFERROR(__xludf.DUMMYFUNCTION("""COMPUTED_VALUE"""),2.85016921623267)</f>
        <v>2.850169216</v>
      </c>
      <c r="L1620" s="165">
        <f>IFERROR(__xludf.DUMMYFUNCTION("""COMPUTED_VALUE"""),0.419037282240695)</f>
        <v>0.4190372822</v>
      </c>
      <c r="M1620" s="166">
        <f t="shared" si="2"/>
        <v>9.34163948</v>
      </c>
      <c r="N1620" s="167">
        <f t="shared" si="3"/>
        <v>34.45938356</v>
      </c>
      <c r="O1620" s="163">
        <f t="shared" ref="O1620:Q1620" si="1624">rank(I1620,I:I)</f>
        <v>1665</v>
      </c>
      <c r="P1620" s="163">
        <f t="shared" si="1624"/>
        <v>150</v>
      </c>
      <c r="Q1620" s="163">
        <f t="shared" si="1624"/>
        <v>132</v>
      </c>
      <c r="R1620" s="163">
        <f>IFERROR(__xludf.DUMMYFUNCTION("RANK(M1620,filter(M:M,C:C=C1620))"),19.0)</f>
        <v>19</v>
      </c>
      <c r="S1620" s="161" t="b">
        <f t="shared" si="5"/>
        <v>0</v>
      </c>
      <c r="T1620" s="161" t="b">
        <f t="array" ref="T1620">index('Query Tool'!B:B,match(H1620,'Query Tool'!C:C,0))</f>
        <v>1</v>
      </c>
      <c r="U1620" s="161" t="b">
        <f t="array" ref="U1620">index('Query Tool'!B:B,match(C1620,'Query Tool'!C:C,0))</f>
        <v>0</v>
      </c>
      <c r="V1620" s="161" t="b">
        <f>F1620&gt;='Query Tool'!C$32</f>
        <v>1</v>
      </c>
      <c r="W1620" s="161" t="b">
        <f t="array" ref="W1620">index(Dropdowns!B:B,match(I1620,Dropdowns!A:A,0))</f>
        <v>1</v>
      </c>
      <c r="X1620" s="161" t="b">
        <f t="array" ref="X1620">index('Query Tool'!B:B,match(D1620,'Query Tool'!C:C,0))</f>
        <v>1</v>
      </c>
      <c r="Y1620" s="161" t="str">
        <f t="shared" si="6"/>
        <v>haywago01,2016-17</v>
      </c>
      <c r="Z1620" s="168">
        <f t="array" ref="Z1620">iferror(index(I:I,match($A1620&amp;","&amp;index('Year Conversion'!$A:$A,match($C1620,'Year Conversion'!$B:$B,0)),$Y:$Y,0))-I1620,"")</f>
        <v>1</v>
      </c>
      <c r="AA1620" s="168">
        <f t="array" ref="AA1620">iferror(index(J:J,match($A1620&amp;","&amp;index('Year Conversion'!$A:$A,match($C1620,'Year Conversion'!$B:$B,0)),$Y:$Y,0))-J1620,"")</f>
        <v>-3.778892866</v>
      </c>
      <c r="AB1620" s="168">
        <f t="array" ref="AB1620">iferror(index(K:K,match($A1620&amp;","&amp;index('Year Conversion'!$A:$A,match($C1620,'Year Conversion'!$B:$B,0)),$Y:$Y,0))-K1620,"")</f>
        <v>-3.014856482</v>
      </c>
      <c r="AC1620" s="168" t="str">
        <f t="shared" si="7"/>
        <v>UTA,2016-17</v>
      </c>
    </row>
    <row r="1621">
      <c r="A1621" s="161" t="str">
        <f>IFERROR(__xludf.DUMMYFUNCTION("""COMPUTED_VALUE"""),"georgpa01")</f>
        <v>georgpa01</v>
      </c>
      <c r="B1621" s="161" t="str">
        <f>IFERROR(__xludf.DUMMYFUNCTION("""COMPUTED_VALUE"""),"Paul George")</f>
        <v>Paul George</v>
      </c>
      <c r="C1621" s="162" t="str">
        <f>IFERROR(__xludf.DUMMYFUNCTION("""COMPUTED_VALUE"""),"2016-17")</f>
        <v>2016-17</v>
      </c>
      <c r="D1621" s="163" t="str">
        <f>IFERROR(__xludf.DUMMYFUNCTION("""COMPUTED_VALUE"""),"IND")</f>
        <v>IND</v>
      </c>
      <c r="E1621" s="164" t="str">
        <f>IFERROR(__xludf.DUMMYFUNCTION("""COMPUTED_VALUE"""),"Shot Creator")</f>
        <v>Shot Creator</v>
      </c>
      <c r="F1621" s="164">
        <f>IFERROR(__xludf.DUMMYFUNCTION("""COMPUTED_VALUE"""),2689.34666666667)</f>
        <v>2689.346667</v>
      </c>
      <c r="G1621" s="163">
        <f>IFERROR(__xludf.DUMMYFUNCTION("""COMPUTED_VALUE"""),75.0)</f>
        <v>75</v>
      </c>
      <c r="H1621" s="163" t="str">
        <f>IFERROR(__xludf.DUMMYFUNCTION("""COMPUTED_VALUE"""),"SF")</f>
        <v>SF</v>
      </c>
      <c r="I1621" s="163">
        <f>IFERROR(__xludf.DUMMYFUNCTION("""COMPUTED_VALUE"""),26.0)</f>
        <v>26</v>
      </c>
      <c r="J1621" s="165">
        <f>IFERROR(__xludf.DUMMYFUNCTION("""COMPUTED_VALUE"""),2.26731452719997)</f>
        <v>2.267314527</v>
      </c>
      <c r="K1621" s="165">
        <f>IFERROR(__xludf.DUMMYFUNCTION("""COMPUTED_VALUE"""),2.06677552021177)</f>
        <v>2.06677552</v>
      </c>
      <c r="L1621" s="165">
        <f>IFERROR(__xludf.DUMMYFUNCTION("""COMPUTED_VALUE"""),0.2005390069882)</f>
        <v>0.200539007</v>
      </c>
      <c r="M1621" s="166">
        <f t="shared" si="2"/>
        <v>8.227903484</v>
      </c>
      <c r="N1621" s="167">
        <f t="shared" si="3"/>
        <v>35.85795556</v>
      </c>
      <c r="O1621" s="163">
        <f t="shared" ref="O1621:Q1621" si="1625">rank(I1621,I:I)</f>
        <v>1665</v>
      </c>
      <c r="P1621" s="163">
        <f t="shared" si="1625"/>
        <v>262</v>
      </c>
      <c r="Q1621" s="163">
        <f t="shared" si="1625"/>
        <v>220</v>
      </c>
      <c r="R1621" s="163">
        <f>IFERROR(__xludf.DUMMYFUNCTION("RANK(M1621,filter(M:M,C:C=C1621))"),25.0)</f>
        <v>25</v>
      </c>
      <c r="S1621" s="161" t="b">
        <f t="shared" si="5"/>
        <v>0</v>
      </c>
      <c r="T1621" s="161" t="b">
        <f t="array" ref="T1621">index('Query Tool'!B:B,match(H1621,'Query Tool'!C:C,0))</f>
        <v>1</v>
      </c>
      <c r="U1621" s="161" t="b">
        <f t="array" ref="U1621">index('Query Tool'!B:B,match(C1621,'Query Tool'!C:C,0))</f>
        <v>0</v>
      </c>
      <c r="V1621" s="161" t="b">
        <f>F1621&gt;='Query Tool'!C$32</f>
        <v>1</v>
      </c>
      <c r="W1621" s="161" t="b">
        <f t="array" ref="W1621">index(Dropdowns!B:B,match(I1621,Dropdowns!A:A,0))</f>
        <v>1</v>
      </c>
      <c r="X1621" s="161" t="b">
        <f t="array" ref="X1621">index('Query Tool'!B:B,match(D1621,'Query Tool'!C:C,0))</f>
        <v>1</v>
      </c>
      <c r="Y1621" s="161" t="str">
        <f t="shared" si="6"/>
        <v>georgpa01,2016-17</v>
      </c>
      <c r="Z1621" s="168">
        <f t="array" ref="Z1621">iferror(index(I:I,match($A1621&amp;","&amp;index('Year Conversion'!$A:$A,match($C1621,'Year Conversion'!$B:$B,0)),$Y:$Y,0))-I1621,"")</f>
        <v>1</v>
      </c>
      <c r="AA1621" s="168">
        <f t="array" ref="AA1621">iferror(index(J:J,match($A1621&amp;","&amp;index('Year Conversion'!$A:$A,match($C1621,'Year Conversion'!$B:$B,0)),$Y:$Y,0))-J1621,"")</f>
        <v>0.07682454636</v>
      </c>
      <c r="AB1621" s="168">
        <f t="array" ref="AB1621">iferror(index(K:K,match($A1621&amp;","&amp;index('Year Conversion'!$A:$A,match($C1621,'Year Conversion'!$B:$B,0)),$Y:$Y,0))-K1621,"")</f>
        <v>-0.6093150001</v>
      </c>
      <c r="AC1621" s="168" t="str">
        <f t="shared" si="7"/>
        <v>IND,2016-17</v>
      </c>
    </row>
    <row r="1622">
      <c r="A1622" s="161" t="str">
        <f>IFERROR(__xludf.DUMMYFUNCTION("""COMPUTED_VALUE"""),"aldrico01")</f>
        <v>aldrico01</v>
      </c>
      <c r="B1622" s="161" t="str">
        <f>IFERROR(__xludf.DUMMYFUNCTION("""COMPUTED_VALUE"""),"Cole Aldrich")</f>
        <v>Cole Aldrich</v>
      </c>
      <c r="C1622" s="162" t="str">
        <f>IFERROR(__xludf.DUMMYFUNCTION("""COMPUTED_VALUE"""),"2016-17")</f>
        <v>2016-17</v>
      </c>
      <c r="D1622" s="163" t="str">
        <f>IFERROR(__xludf.DUMMYFUNCTION("""COMPUTED_VALUE"""),"MIN")</f>
        <v>MIN</v>
      </c>
      <c r="E1622" s="164" t="str">
        <f>IFERROR(__xludf.DUMMYFUNCTION("""COMPUTED_VALUE"""),"Roll + Cut Big")</f>
        <v>Roll + Cut Big</v>
      </c>
      <c r="F1622" s="164">
        <f>IFERROR(__xludf.DUMMYFUNCTION("""COMPUTED_VALUE"""),531.045)</f>
        <v>531.045</v>
      </c>
      <c r="G1622" s="163">
        <f>IFERROR(__xludf.DUMMYFUNCTION("""COMPUTED_VALUE"""),62.0)</f>
        <v>62</v>
      </c>
      <c r="H1622" s="163" t="str">
        <f>IFERROR(__xludf.DUMMYFUNCTION("""COMPUTED_VALUE"""),"C")</f>
        <v>C</v>
      </c>
      <c r="I1622" s="163">
        <f>IFERROR(__xludf.DUMMYFUNCTION("""COMPUTED_VALUE"""),28.0)</f>
        <v>28</v>
      </c>
      <c r="J1622" s="165">
        <f>IFERROR(__xludf.DUMMYFUNCTION("""COMPUTED_VALUE"""),-0.566329950855275)</f>
        <v>-0.5663299509</v>
      </c>
      <c r="K1622" s="165">
        <f>IFERROR(__xludf.DUMMYFUNCTION("""COMPUTED_VALUE"""),-1.7732177780354)</f>
        <v>-1.773217778</v>
      </c>
      <c r="L1622" s="165">
        <f>IFERROR(__xludf.DUMMYFUNCTION("""COMPUTED_VALUE"""),1.20688782718012)</f>
        <v>1.206887827</v>
      </c>
      <c r="M1622" s="166">
        <f t="shared" si="2"/>
        <v>0.6160243124</v>
      </c>
      <c r="N1622" s="167">
        <f t="shared" si="3"/>
        <v>8.565241935</v>
      </c>
      <c r="O1622" s="163">
        <f t="shared" ref="O1622:Q1622" si="1626">rank(I1622,I:I)</f>
        <v>1090</v>
      </c>
      <c r="P1622" s="163">
        <f t="shared" si="1626"/>
        <v>1946</v>
      </c>
      <c r="Q1622" s="163">
        <f t="shared" si="1626"/>
        <v>3561</v>
      </c>
      <c r="R1622" s="163">
        <f>IFERROR(__xludf.DUMMYFUNCTION("RANK(M1622,filter(M:M,C:C=C1622))"),265.0)</f>
        <v>265</v>
      </c>
      <c r="S1622" s="161" t="b">
        <f t="shared" si="5"/>
        <v>0</v>
      </c>
      <c r="T1622" s="161" t="b">
        <f t="array" ref="T1622">index('Query Tool'!B:B,match(H1622,'Query Tool'!C:C,0))</f>
        <v>1</v>
      </c>
      <c r="U1622" s="161" t="b">
        <f t="array" ref="U1622">index('Query Tool'!B:B,match(C1622,'Query Tool'!C:C,0))</f>
        <v>0</v>
      </c>
      <c r="V1622" s="161" t="b">
        <f>F1622&gt;='Query Tool'!C$32</f>
        <v>1</v>
      </c>
      <c r="W1622" s="161" t="b">
        <f t="array" ref="W1622">index(Dropdowns!B:B,match(I1622,Dropdowns!A:A,0))</f>
        <v>1</v>
      </c>
      <c r="X1622" s="161" t="b">
        <f t="array" ref="X1622">index('Query Tool'!B:B,match(D1622,'Query Tool'!C:C,0))</f>
        <v>1</v>
      </c>
      <c r="Y1622" s="161" t="str">
        <f t="shared" si="6"/>
        <v>aldrico01,2016-17</v>
      </c>
      <c r="Z1622" s="168">
        <f t="array" ref="Z1622">iferror(index(I:I,match($A1622&amp;","&amp;index('Year Conversion'!$A:$A,match($C1622,'Year Conversion'!$B:$B,0)),$Y:$Y,0))-I1622,"")</f>
        <v>1</v>
      </c>
      <c r="AA1622" s="168">
        <f t="array" ref="AA1622">iferror(index(J:J,match($A1622&amp;","&amp;index('Year Conversion'!$A:$A,match($C1622,'Year Conversion'!$B:$B,0)),$Y:$Y,0))-J1622,"")</f>
        <v>-0.1722231218</v>
      </c>
      <c r="AB1622" s="168">
        <f t="array" ref="AB1622">iferror(index(K:K,match($A1622&amp;","&amp;index('Year Conversion'!$A:$A,match($C1622,'Year Conversion'!$B:$B,0)),$Y:$Y,0))-K1622,"")</f>
        <v>1.238446182</v>
      </c>
      <c r="AC1622" s="168" t="str">
        <f t="shared" si="7"/>
        <v>MIN,2016-17</v>
      </c>
    </row>
    <row r="1623">
      <c r="A1623" s="161" t="str">
        <f>IFERROR(__xludf.DUMMYFUNCTION("""COMPUTED_VALUE"""),"davised01")</f>
        <v>davised01</v>
      </c>
      <c r="B1623" s="161" t="str">
        <f>IFERROR(__xludf.DUMMYFUNCTION("""COMPUTED_VALUE"""),"Ed Davis")</f>
        <v>Ed Davis</v>
      </c>
      <c r="C1623" s="162" t="str">
        <f>IFERROR(__xludf.DUMMYFUNCTION("""COMPUTED_VALUE"""),"2016-17")</f>
        <v>2016-17</v>
      </c>
      <c r="D1623" s="163" t="str">
        <f>IFERROR(__xludf.DUMMYFUNCTION("""COMPUTED_VALUE"""),"POR")</f>
        <v>POR</v>
      </c>
      <c r="E1623" s="164" t="str">
        <f>IFERROR(__xludf.DUMMYFUNCTION("""COMPUTED_VALUE"""),"Roll + Cut Big")</f>
        <v>Roll + Cut Big</v>
      </c>
      <c r="F1623" s="164">
        <f>IFERROR(__xludf.DUMMYFUNCTION("""COMPUTED_VALUE"""),788.995)</f>
        <v>788.995</v>
      </c>
      <c r="G1623" s="163">
        <f>IFERROR(__xludf.DUMMYFUNCTION("""COMPUTED_VALUE"""),46.0)</f>
        <v>46</v>
      </c>
      <c r="H1623" s="163" t="str">
        <f>IFERROR(__xludf.DUMMYFUNCTION("""COMPUTED_VALUE"""),"PF")</f>
        <v>PF</v>
      </c>
      <c r="I1623" s="163">
        <f>IFERROR(__xludf.DUMMYFUNCTION("""COMPUTED_VALUE"""),27.0)</f>
        <v>27</v>
      </c>
      <c r="J1623" s="165">
        <f>IFERROR(__xludf.DUMMYFUNCTION("""COMPUTED_VALUE"""),-2.18066416600919)</f>
        <v>-2.180664166</v>
      </c>
      <c r="K1623" s="165">
        <f>IFERROR(__xludf.DUMMYFUNCTION("""COMPUTED_VALUE"""),-2.58312120680311)</f>
        <v>-2.583121207</v>
      </c>
      <c r="L1623" s="165">
        <f>IFERROR(__xludf.DUMMYFUNCTION("""COMPUTED_VALUE"""),0.402457040793926)</f>
        <v>0.4024570408</v>
      </c>
      <c r="M1623" s="166">
        <f t="shared" si="2"/>
        <v>0.06400395484</v>
      </c>
      <c r="N1623" s="167">
        <f t="shared" si="3"/>
        <v>17.15206522</v>
      </c>
      <c r="O1623" s="163">
        <f t="shared" ref="O1623:Q1623" si="1627">rank(I1623,I:I)</f>
        <v>1366</v>
      </c>
      <c r="P1623" s="163">
        <f t="shared" si="1627"/>
        <v>3600</v>
      </c>
      <c r="Q1623" s="163">
        <f t="shared" si="1627"/>
        <v>3911</v>
      </c>
      <c r="R1623" s="163">
        <f>IFERROR(__xludf.DUMMYFUNCTION("RANK(M1623,filter(M:M,C:C=C1623))"),392.0)</f>
        <v>392</v>
      </c>
      <c r="S1623" s="161" t="b">
        <f t="shared" si="5"/>
        <v>0</v>
      </c>
      <c r="T1623" s="161" t="b">
        <f t="array" ref="T1623">index('Query Tool'!B:B,match(H1623,'Query Tool'!C:C,0))</f>
        <v>1</v>
      </c>
      <c r="U1623" s="161" t="b">
        <f t="array" ref="U1623">index('Query Tool'!B:B,match(C1623,'Query Tool'!C:C,0))</f>
        <v>0</v>
      </c>
      <c r="V1623" s="161" t="b">
        <f>F1623&gt;='Query Tool'!C$32</f>
        <v>1</v>
      </c>
      <c r="W1623" s="161" t="b">
        <f t="array" ref="W1623">index(Dropdowns!B:B,match(I1623,Dropdowns!A:A,0))</f>
        <v>1</v>
      </c>
      <c r="X1623" s="161" t="b">
        <f t="array" ref="X1623">index('Query Tool'!B:B,match(D1623,'Query Tool'!C:C,0))</f>
        <v>1</v>
      </c>
      <c r="Y1623" s="161" t="str">
        <f t="shared" si="6"/>
        <v>davised01,2016-17</v>
      </c>
      <c r="Z1623" s="168">
        <f t="array" ref="Z1623">iferror(index(I:I,match($A1623&amp;","&amp;index('Year Conversion'!$A:$A,match($C1623,'Year Conversion'!$B:$B,0)),$Y:$Y,0))-I1623,"")</f>
        <v>1</v>
      </c>
      <c r="AA1623" s="168">
        <f t="array" ref="AA1623">iferror(index(J:J,match($A1623&amp;","&amp;index('Year Conversion'!$A:$A,match($C1623,'Year Conversion'!$B:$B,0)),$Y:$Y,0))-J1623,"")</f>
        <v>1.732408337</v>
      </c>
      <c r="AB1623" s="168">
        <f t="array" ref="AB1623">iferror(index(K:K,match($A1623&amp;","&amp;index('Year Conversion'!$A:$A,match($C1623,'Year Conversion'!$B:$B,0)),$Y:$Y,0))-K1623,"")</f>
        <v>0.935479103</v>
      </c>
      <c r="AC1623" s="168" t="str">
        <f t="shared" si="7"/>
        <v>POR,2016-17</v>
      </c>
    </row>
    <row r="1624">
      <c r="A1624" s="161" t="str">
        <f>IFERROR(__xludf.DUMMYFUNCTION("""COMPUTED_VALUE"""),"pattepa01")</f>
        <v>pattepa01</v>
      </c>
      <c r="B1624" s="161" t="str">
        <f>IFERROR(__xludf.DUMMYFUNCTION("""COMPUTED_VALUE"""),"Patrick Patterson")</f>
        <v>Patrick Patterson</v>
      </c>
      <c r="C1624" s="162" t="str">
        <f>IFERROR(__xludf.DUMMYFUNCTION("""COMPUTED_VALUE"""),"2016-17")</f>
        <v>2016-17</v>
      </c>
      <c r="D1624" s="163" t="str">
        <f>IFERROR(__xludf.DUMMYFUNCTION("""COMPUTED_VALUE"""),"TOR")</f>
        <v>TOR</v>
      </c>
      <c r="E1624" s="164" t="str">
        <f>IFERROR(__xludf.DUMMYFUNCTION("""COMPUTED_VALUE"""),"Stationary Shooter")</f>
        <v>Stationary Shooter</v>
      </c>
      <c r="F1624" s="164">
        <f>IFERROR(__xludf.DUMMYFUNCTION("""COMPUTED_VALUE"""),1598.53166666667)</f>
        <v>1598.531667</v>
      </c>
      <c r="G1624" s="163">
        <f>IFERROR(__xludf.DUMMYFUNCTION("""COMPUTED_VALUE"""),65.0)</f>
        <v>65</v>
      </c>
      <c r="H1624" s="163" t="str">
        <f>IFERROR(__xludf.DUMMYFUNCTION("""COMPUTED_VALUE"""),"PF")</f>
        <v>PF</v>
      </c>
      <c r="I1624" s="163">
        <f>IFERROR(__xludf.DUMMYFUNCTION("""COMPUTED_VALUE"""),27.0)</f>
        <v>27</v>
      </c>
      <c r="J1624" s="165">
        <f>IFERROR(__xludf.DUMMYFUNCTION("""COMPUTED_VALUE"""),1.55415404871089)</f>
        <v>1.554154049</v>
      </c>
      <c r="K1624" s="165">
        <f>IFERROR(__xludf.DUMMYFUNCTION("""COMPUTED_VALUE"""),0.653957323581602)</f>
        <v>0.6539573236</v>
      </c>
      <c r="L1624" s="165">
        <f>IFERROR(__xludf.DUMMYFUNCTION("""COMPUTED_VALUE"""),0.900196725129289)</f>
        <v>0.9001967251</v>
      </c>
      <c r="M1624" s="166">
        <f t="shared" si="2"/>
        <v>4.133738591</v>
      </c>
      <c r="N1624" s="167">
        <f t="shared" si="3"/>
        <v>24.59279487</v>
      </c>
      <c r="O1624" s="163">
        <f t="shared" ref="O1624:Q1624" si="1628">rank(I1624,I:I)</f>
        <v>1366</v>
      </c>
      <c r="P1624" s="163">
        <f t="shared" si="1628"/>
        <v>441</v>
      </c>
      <c r="Q1624" s="163">
        <f t="shared" si="1628"/>
        <v>675</v>
      </c>
      <c r="R1624" s="163">
        <f>IFERROR(__xludf.DUMMYFUNCTION("RANK(M1624,filter(M:M,C:C=C1624))"),78.0)</f>
        <v>78</v>
      </c>
      <c r="S1624" s="161" t="b">
        <f t="shared" si="5"/>
        <v>0</v>
      </c>
      <c r="T1624" s="161" t="b">
        <f t="array" ref="T1624">index('Query Tool'!B:B,match(H1624,'Query Tool'!C:C,0))</f>
        <v>1</v>
      </c>
      <c r="U1624" s="161" t="b">
        <f t="array" ref="U1624">index('Query Tool'!B:B,match(C1624,'Query Tool'!C:C,0))</f>
        <v>0</v>
      </c>
      <c r="V1624" s="161" t="b">
        <f>F1624&gt;='Query Tool'!C$32</f>
        <v>1</v>
      </c>
      <c r="W1624" s="161" t="b">
        <f t="array" ref="W1624">index(Dropdowns!B:B,match(I1624,Dropdowns!A:A,0))</f>
        <v>1</v>
      </c>
      <c r="X1624" s="161" t="b">
        <f t="array" ref="X1624">index('Query Tool'!B:B,match(D1624,'Query Tool'!C:C,0))</f>
        <v>1</v>
      </c>
      <c r="Y1624" s="161" t="str">
        <f t="shared" si="6"/>
        <v>pattepa01,2016-17</v>
      </c>
      <c r="Z1624" s="168">
        <f t="array" ref="Z1624">iferror(index(I:I,match($A1624&amp;","&amp;index('Year Conversion'!$A:$A,match($C1624,'Year Conversion'!$B:$B,0)),$Y:$Y,0))-I1624,"")</f>
        <v>1</v>
      </c>
      <c r="AA1624" s="168">
        <f t="array" ref="AA1624">iferror(index(J:J,match($A1624&amp;","&amp;index('Year Conversion'!$A:$A,match($C1624,'Year Conversion'!$B:$B,0)),$Y:$Y,0))-J1624,"")</f>
        <v>-3.000436024</v>
      </c>
      <c r="AB1624" s="168">
        <f t="array" ref="AB1624">iferror(index(K:K,match($A1624&amp;","&amp;index('Year Conversion'!$A:$A,match($C1624,'Year Conversion'!$B:$B,0)),$Y:$Y,0))-K1624,"")</f>
        <v>-2.337734013</v>
      </c>
      <c r="AC1624" s="168" t="str">
        <f t="shared" si="7"/>
        <v>TOR,2016-17</v>
      </c>
    </row>
    <row r="1625">
      <c r="A1625" s="161" t="str">
        <f>IFERROR(__xludf.DUMMYFUNCTION("""COMPUTED_VALUE"""),"sandela01")</f>
        <v>sandela01</v>
      </c>
      <c r="B1625" s="161" t="str">
        <f>IFERROR(__xludf.DUMMYFUNCTION("""COMPUTED_VALUE"""),"Larry Sanders")</f>
        <v>Larry Sanders</v>
      </c>
      <c r="C1625" s="162" t="str">
        <f>IFERROR(__xludf.DUMMYFUNCTION("""COMPUTED_VALUE"""),"2016-17")</f>
        <v>2016-17</v>
      </c>
      <c r="D1625" s="163" t="str">
        <f>IFERROR(__xludf.DUMMYFUNCTION("""COMPUTED_VALUE"""),"CLE")</f>
        <v>CLE</v>
      </c>
      <c r="E1625" s="164" t="str">
        <f>IFERROR(__xludf.DUMMYFUNCTION("""COMPUTED_VALUE"""),"Roll + Cut Big")</f>
        <v>Roll + Cut Big</v>
      </c>
      <c r="F1625" s="164">
        <f>IFERROR(__xludf.DUMMYFUNCTION("""COMPUTED_VALUE"""),12.6933333333333)</f>
        <v>12.69333333</v>
      </c>
      <c r="G1625" s="163">
        <f>IFERROR(__xludf.DUMMYFUNCTION("""COMPUTED_VALUE"""),5.0)</f>
        <v>5</v>
      </c>
      <c r="H1625" s="163" t="str">
        <f>IFERROR(__xludf.DUMMYFUNCTION("""COMPUTED_VALUE"""),"C")</f>
        <v>C</v>
      </c>
      <c r="I1625" s="163">
        <f>IFERROR(__xludf.DUMMYFUNCTION("""COMPUTED_VALUE"""),28.0)</f>
        <v>28</v>
      </c>
      <c r="J1625" s="165">
        <f>IFERROR(__xludf.DUMMYFUNCTION("""COMPUTED_VALUE"""),-0.724729821832202)</f>
        <v>-0.7247298218</v>
      </c>
      <c r="K1625" s="165">
        <f>IFERROR(__xludf.DUMMYFUNCTION("""COMPUTED_VALUE"""),-0.416728955989017)</f>
        <v>-0.416728956</v>
      </c>
      <c r="L1625" s="165">
        <f>IFERROR(__xludf.DUMMYFUNCTION("""COMPUTED_VALUE"""),-0.308000865843185)</f>
        <v>-0.3080008658</v>
      </c>
      <c r="M1625" s="166">
        <f t="shared" si="2"/>
        <v>0.01337137818</v>
      </c>
      <c r="N1625" s="167">
        <f t="shared" si="3"/>
        <v>2.538666667</v>
      </c>
      <c r="O1625" s="163">
        <f t="shared" ref="O1625:Q1625" si="1629">rank(I1625,I:I)</f>
        <v>1090</v>
      </c>
      <c r="P1625" s="163">
        <f t="shared" si="1629"/>
        <v>2181</v>
      </c>
      <c r="Q1625" s="163">
        <f t="shared" si="1629"/>
        <v>1975</v>
      </c>
      <c r="R1625" s="163">
        <f>IFERROR(__xludf.DUMMYFUNCTION("RANK(M1625,filter(M:M,C:C=C1625))"),438.0)</f>
        <v>438</v>
      </c>
      <c r="S1625" s="161" t="b">
        <f t="shared" si="5"/>
        <v>0</v>
      </c>
      <c r="T1625" s="161" t="b">
        <f t="array" ref="T1625">index('Query Tool'!B:B,match(H1625,'Query Tool'!C:C,0))</f>
        <v>1</v>
      </c>
      <c r="U1625" s="161" t="b">
        <f t="array" ref="U1625">index('Query Tool'!B:B,match(C1625,'Query Tool'!C:C,0))</f>
        <v>0</v>
      </c>
      <c r="V1625" s="161" t="b">
        <f>F1625&gt;='Query Tool'!C$32</f>
        <v>0</v>
      </c>
      <c r="W1625" s="161" t="b">
        <f t="array" ref="W1625">index(Dropdowns!B:B,match(I1625,Dropdowns!A:A,0))</f>
        <v>1</v>
      </c>
      <c r="X1625" s="161" t="b">
        <f t="array" ref="X1625">index('Query Tool'!B:B,match(D1625,'Query Tool'!C:C,0))</f>
        <v>1</v>
      </c>
      <c r="Y1625" s="161" t="str">
        <f t="shared" si="6"/>
        <v>sandela01,2016-17</v>
      </c>
      <c r="Z1625" s="168" t="str">
        <f t="array" ref="Z1625">iferror(index(I:I,match($A1625&amp;","&amp;index('Year Conversion'!$A:$A,match($C1625,'Year Conversion'!$B:$B,0)),$Y:$Y,0))-I1625,"")</f>
        <v/>
      </c>
      <c r="AA1625" s="168" t="str">
        <f t="array" ref="AA1625">iferror(index(J:J,match($A1625&amp;","&amp;index('Year Conversion'!$A:$A,match($C1625,'Year Conversion'!$B:$B,0)),$Y:$Y,0))-J1625,"")</f>
        <v/>
      </c>
      <c r="AB1625" s="168" t="str">
        <f t="array" ref="AB1625">iferror(index(K:K,match($A1625&amp;","&amp;index('Year Conversion'!$A:$A,match($C1625,'Year Conversion'!$B:$B,0)),$Y:$Y,0))-K1625,"")</f>
        <v/>
      </c>
      <c r="AC1625" s="168" t="str">
        <f t="shared" si="7"/>
        <v>CLE,2016-17</v>
      </c>
    </row>
    <row r="1626">
      <c r="A1626" s="161" t="str">
        <f>IFERROR(__xludf.DUMMYFUNCTION("""COMPUTED_VALUE"""),"babbilu01")</f>
        <v>babbilu01</v>
      </c>
      <c r="B1626" s="161" t="str">
        <f>IFERROR(__xludf.DUMMYFUNCTION("""COMPUTED_VALUE"""),"Luke Babbitt")</f>
        <v>Luke Babbitt</v>
      </c>
      <c r="C1626" s="162" t="str">
        <f>IFERROR(__xludf.DUMMYFUNCTION("""COMPUTED_VALUE"""),"2016-17")</f>
        <v>2016-17</v>
      </c>
      <c r="D1626" s="163" t="str">
        <f>IFERROR(__xludf.DUMMYFUNCTION("""COMPUTED_VALUE"""),"MIA")</f>
        <v>MIA</v>
      </c>
      <c r="E1626" s="164" t="str">
        <f>IFERROR(__xludf.DUMMYFUNCTION("""COMPUTED_VALUE"""),"Stationary Shooter")</f>
        <v>Stationary Shooter</v>
      </c>
      <c r="F1626" s="164">
        <f>IFERROR(__xludf.DUMMYFUNCTION("""COMPUTED_VALUE"""),1064.93833333333)</f>
        <v>1064.938333</v>
      </c>
      <c r="G1626" s="163">
        <f>IFERROR(__xludf.DUMMYFUNCTION("""COMPUTED_VALUE"""),68.0)</f>
        <v>68</v>
      </c>
      <c r="H1626" s="163" t="str">
        <f>IFERROR(__xludf.DUMMYFUNCTION("""COMPUTED_VALUE"""),"SF")</f>
        <v>SF</v>
      </c>
      <c r="I1626" s="163">
        <f>IFERROR(__xludf.DUMMYFUNCTION("""COMPUTED_VALUE"""),27.0)</f>
        <v>27</v>
      </c>
      <c r="J1626" s="165">
        <f>IFERROR(__xludf.DUMMYFUNCTION("""COMPUTED_VALUE"""),-1.37159032625512)</f>
        <v>-1.371590326</v>
      </c>
      <c r="K1626" s="165">
        <f>IFERROR(__xludf.DUMMYFUNCTION("""COMPUTED_VALUE"""),-1.47093258447043)</f>
        <v>-1.470932584</v>
      </c>
      <c r="L1626" s="165">
        <f>IFERROR(__xludf.DUMMYFUNCTION("""COMPUTED_VALUE"""),0.0993422582153036)</f>
        <v>0.09934225822</v>
      </c>
      <c r="M1626" s="166">
        <f t="shared" si="2"/>
        <v>0.6595839866</v>
      </c>
      <c r="N1626" s="167">
        <f t="shared" si="3"/>
        <v>15.66085784</v>
      </c>
      <c r="O1626" s="163">
        <f t="shared" ref="O1626:Q1626" si="1630">rank(I1626,I:I)</f>
        <v>1366</v>
      </c>
      <c r="P1626" s="163">
        <f t="shared" si="1630"/>
        <v>2927</v>
      </c>
      <c r="Q1626" s="163">
        <f t="shared" si="1630"/>
        <v>3327</v>
      </c>
      <c r="R1626" s="163">
        <f>IFERROR(__xludf.DUMMYFUNCTION("RANK(M1626,filter(M:M,C:C=C1626))"),259.0)</f>
        <v>259</v>
      </c>
      <c r="S1626" s="161" t="b">
        <f t="shared" si="5"/>
        <v>0</v>
      </c>
      <c r="T1626" s="161" t="b">
        <f t="array" ref="T1626">index('Query Tool'!B:B,match(H1626,'Query Tool'!C:C,0))</f>
        <v>1</v>
      </c>
      <c r="U1626" s="161" t="b">
        <f t="array" ref="U1626">index('Query Tool'!B:B,match(C1626,'Query Tool'!C:C,0))</f>
        <v>0</v>
      </c>
      <c r="V1626" s="161" t="b">
        <f>F1626&gt;='Query Tool'!C$32</f>
        <v>1</v>
      </c>
      <c r="W1626" s="161" t="b">
        <f t="array" ref="W1626">index(Dropdowns!B:B,match(I1626,Dropdowns!A:A,0))</f>
        <v>1</v>
      </c>
      <c r="X1626" s="161" t="b">
        <f t="array" ref="X1626">index('Query Tool'!B:B,match(D1626,'Query Tool'!C:C,0))</f>
        <v>1</v>
      </c>
      <c r="Y1626" s="161" t="str">
        <f t="shared" si="6"/>
        <v>babbilu01,2016-17</v>
      </c>
      <c r="Z1626" s="168">
        <f t="array" ref="Z1626">iferror(index(I:I,match($A1626&amp;","&amp;index('Year Conversion'!$A:$A,match($C1626,'Year Conversion'!$B:$B,0)),$Y:$Y,0))-I1626,"")</f>
        <v>1</v>
      </c>
      <c r="AA1626" s="168">
        <f t="array" ref="AA1626">iferror(index(J:J,match($A1626&amp;","&amp;index('Year Conversion'!$A:$A,match($C1626,'Year Conversion'!$B:$B,0)),$Y:$Y,0))-J1626,"")</f>
        <v>-0.4957490599</v>
      </c>
      <c r="AB1626" s="168">
        <f t="array" ref="AB1626">iferror(index(K:K,match($A1626&amp;","&amp;index('Year Conversion'!$A:$A,match($C1626,'Year Conversion'!$B:$B,0)),$Y:$Y,0))-K1626,"")</f>
        <v>0.5029030044</v>
      </c>
      <c r="AC1626" s="168" t="str">
        <f t="shared" si="7"/>
        <v>MIA,2016-17</v>
      </c>
    </row>
    <row r="1627">
      <c r="A1627" s="161" t="str">
        <f>IFERROR(__xludf.DUMMYFUNCTION("""COMPUTED_VALUE"""),"serapke01")</f>
        <v>serapke01</v>
      </c>
      <c r="B1627" s="161" t="str">
        <f>IFERROR(__xludf.DUMMYFUNCTION("""COMPUTED_VALUE"""),"Kevin Seraphin")</f>
        <v>Kevin Seraphin</v>
      </c>
      <c r="C1627" s="162" t="str">
        <f>IFERROR(__xludf.DUMMYFUNCTION("""COMPUTED_VALUE"""),"2016-17")</f>
        <v>2016-17</v>
      </c>
      <c r="D1627" s="163" t="str">
        <f>IFERROR(__xludf.DUMMYFUNCTION("""COMPUTED_VALUE"""),"IND")</f>
        <v>IND</v>
      </c>
      <c r="E1627" s="164" t="str">
        <f>IFERROR(__xludf.DUMMYFUNCTION("""COMPUTED_VALUE"""),"Post Scorer")</f>
        <v>Post Scorer</v>
      </c>
      <c r="F1627" s="164">
        <f>IFERROR(__xludf.DUMMYFUNCTION("""COMPUTED_VALUE"""),559.315)</f>
        <v>559.315</v>
      </c>
      <c r="G1627" s="163">
        <f>IFERROR(__xludf.DUMMYFUNCTION("""COMPUTED_VALUE"""),49.0)</f>
        <v>49</v>
      </c>
      <c r="H1627" s="163" t="str">
        <f>IFERROR(__xludf.DUMMYFUNCTION("""COMPUTED_VALUE"""),"PF")</f>
        <v>PF</v>
      </c>
      <c r="I1627" s="163">
        <f>IFERROR(__xludf.DUMMYFUNCTION("""COMPUTED_VALUE"""),27.0)</f>
        <v>27</v>
      </c>
      <c r="J1627" s="165">
        <f>IFERROR(__xludf.DUMMYFUNCTION("""COMPUTED_VALUE"""),-2.29546845389973)</f>
        <v>-2.295468454</v>
      </c>
      <c r="K1627" s="165">
        <f>IFERROR(__xludf.DUMMYFUNCTION("""COMPUTED_VALUE"""),-2.31718769108567)</f>
        <v>-2.317187691</v>
      </c>
      <c r="L1627" s="165">
        <f>IFERROR(__xludf.DUMMYFUNCTION("""COMPUTED_VALUE"""),0.0217192371859424)</f>
        <v>0.02171923719</v>
      </c>
      <c r="M1627" s="166">
        <f t="shared" si="2"/>
        <v>0.00297267937</v>
      </c>
      <c r="N1627" s="167">
        <f t="shared" si="3"/>
        <v>11.41459184</v>
      </c>
      <c r="O1627" s="163">
        <f t="shared" ref="O1627:Q1627" si="1631">rank(I1627,I:I)</f>
        <v>1366</v>
      </c>
      <c r="P1627" s="163">
        <f t="shared" si="1631"/>
        <v>3655</v>
      </c>
      <c r="Q1627" s="163">
        <f t="shared" si="1631"/>
        <v>3841</v>
      </c>
      <c r="R1627" s="163">
        <f>IFERROR(__xludf.DUMMYFUNCTION("RANK(M1627,filter(M:M,C:C=C1627))"),445.0)</f>
        <v>445</v>
      </c>
      <c r="S1627" s="161" t="b">
        <f t="shared" si="5"/>
        <v>0</v>
      </c>
      <c r="T1627" s="161" t="b">
        <f t="array" ref="T1627">index('Query Tool'!B:B,match(H1627,'Query Tool'!C:C,0))</f>
        <v>1</v>
      </c>
      <c r="U1627" s="161" t="b">
        <f t="array" ref="U1627">index('Query Tool'!B:B,match(C1627,'Query Tool'!C:C,0))</f>
        <v>0</v>
      </c>
      <c r="V1627" s="161" t="b">
        <f>F1627&gt;='Query Tool'!C$32</f>
        <v>1</v>
      </c>
      <c r="W1627" s="161" t="b">
        <f t="array" ref="W1627">index(Dropdowns!B:B,match(I1627,Dropdowns!A:A,0))</f>
        <v>1</v>
      </c>
      <c r="X1627" s="161" t="b">
        <f t="array" ref="X1627">index('Query Tool'!B:B,match(D1627,'Query Tool'!C:C,0))</f>
        <v>1</v>
      </c>
      <c r="Y1627" s="161" t="str">
        <f t="shared" si="6"/>
        <v>serapke01,2016-17</v>
      </c>
      <c r="Z1627" s="168" t="str">
        <f t="array" ref="Z1627">iferror(index(I:I,match($A1627&amp;","&amp;index('Year Conversion'!$A:$A,match($C1627,'Year Conversion'!$B:$B,0)),$Y:$Y,0))-I1627,"")</f>
        <v/>
      </c>
      <c r="AA1627" s="168" t="str">
        <f t="array" ref="AA1627">iferror(index(J:J,match($A1627&amp;","&amp;index('Year Conversion'!$A:$A,match($C1627,'Year Conversion'!$B:$B,0)),$Y:$Y,0))-J1627,"")</f>
        <v/>
      </c>
      <c r="AB1627" s="168" t="str">
        <f t="array" ref="AB1627">iferror(index(K:K,match($A1627&amp;","&amp;index('Year Conversion'!$A:$A,match($C1627,'Year Conversion'!$B:$B,0)),$Y:$Y,0))-K1627,"")</f>
        <v/>
      </c>
      <c r="AC1627" s="168" t="str">
        <f t="shared" si="7"/>
        <v>IND,2016-17</v>
      </c>
    </row>
    <row r="1628">
      <c r="A1628" s="161" t="str">
        <f>IFERROR(__xludf.DUMMYFUNCTION("""COMPUTED_VALUE"""),"bledser01")</f>
        <v>bledser01</v>
      </c>
      <c r="B1628" s="161" t="str">
        <f>IFERROR(__xludf.DUMMYFUNCTION("""COMPUTED_VALUE"""),"Eric Bledsoe")</f>
        <v>Eric Bledsoe</v>
      </c>
      <c r="C1628" s="162" t="str">
        <f>IFERROR(__xludf.DUMMYFUNCTION("""COMPUTED_VALUE"""),"2016-17")</f>
        <v>2016-17</v>
      </c>
      <c r="D1628" s="163" t="str">
        <f>IFERROR(__xludf.DUMMYFUNCTION("""COMPUTED_VALUE"""),"PHO")</f>
        <v>PHO</v>
      </c>
      <c r="E1628" s="164" t="str">
        <f>IFERROR(__xludf.DUMMYFUNCTION("""COMPUTED_VALUE"""),"Primary Ball Handler")</f>
        <v>Primary Ball Handler</v>
      </c>
      <c r="F1628" s="164">
        <f>IFERROR(__xludf.DUMMYFUNCTION("""COMPUTED_VALUE"""),2176.24833333333)</f>
        <v>2176.248333</v>
      </c>
      <c r="G1628" s="163">
        <f>IFERROR(__xludf.DUMMYFUNCTION("""COMPUTED_VALUE"""),66.0)</f>
        <v>66</v>
      </c>
      <c r="H1628" s="163" t="str">
        <f>IFERROR(__xludf.DUMMYFUNCTION("""COMPUTED_VALUE"""),"PG")</f>
        <v>PG</v>
      </c>
      <c r="I1628" s="163">
        <f>IFERROR(__xludf.DUMMYFUNCTION("""COMPUTED_VALUE"""),27.0)</f>
        <v>27</v>
      </c>
      <c r="J1628" s="165">
        <f>IFERROR(__xludf.DUMMYFUNCTION("""COMPUTED_VALUE"""),2.1687988138463)</f>
        <v>2.168798814</v>
      </c>
      <c r="K1628" s="165">
        <f>IFERROR(__xludf.DUMMYFUNCTION("""COMPUTED_VALUE"""),2.2311602973968)</f>
        <v>2.231160297</v>
      </c>
      <c r="L1628" s="165">
        <f>IFERROR(__xludf.DUMMYFUNCTION("""COMPUTED_VALUE"""),-0.0623614835505032)</f>
        <v>-0.06236148355</v>
      </c>
      <c r="M1628" s="166">
        <f t="shared" si="2"/>
        <v>6.516489674</v>
      </c>
      <c r="N1628" s="167">
        <f t="shared" si="3"/>
        <v>32.9734596</v>
      </c>
      <c r="O1628" s="163">
        <f t="shared" ref="O1628:Q1628" si="1632">rank(I1628,I:I)</f>
        <v>1366</v>
      </c>
      <c r="P1628" s="163">
        <f t="shared" si="1632"/>
        <v>279</v>
      </c>
      <c r="Q1628" s="163">
        <f t="shared" si="1632"/>
        <v>192</v>
      </c>
      <c r="R1628" s="163">
        <f>IFERROR(__xludf.DUMMYFUNCTION("RANK(M1628,filter(M:M,C:C=C1628))"),39.0)</f>
        <v>39</v>
      </c>
      <c r="S1628" s="161" t="b">
        <f t="shared" si="5"/>
        <v>0</v>
      </c>
      <c r="T1628" s="161" t="b">
        <f t="array" ref="T1628">index('Query Tool'!B:B,match(H1628,'Query Tool'!C:C,0))</f>
        <v>1</v>
      </c>
      <c r="U1628" s="161" t="b">
        <f t="array" ref="U1628">index('Query Tool'!B:B,match(C1628,'Query Tool'!C:C,0))</f>
        <v>0</v>
      </c>
      <c r="V1628" s="161" t="b">
        <f>F1628&gt;='Query Tool'!C$32</f>
        <v>1</v>
      </c>
      <c r="W1628" s="161" t="b">
        <f t="array" ref="W1628">index(Dropdowns!B:B,match(I1628,Dropdowns!A:A,0))</f>
        <v>1</v>
      </c>
      <c r="X1628" s="161" t="b">
        <f t="array" ref="X1628">index('Query Tool'!B:B,match(D1628,'Query Tool'!C:C,0))</f>
        <v>1</v>
      </c>
      <c r="Y1628" s="161" t="str">
        <f t="shared" si="6"/>
        <v>bledser01,2016-17</v>
      </c>
      <c r="Z1628" s="168">
        <f t="array" ref="Z1628">iferror(index(I:I,match($A1628&amp;","&amp;index('Year Conversion'!$A:$A,match($C1628,'Year Conversion'!$B:$B,0)),$Y:$Y,0))-I1628,"")</f>
        <v>1</v>
      </c>
      <c r="AA1628" s="168">
        <f t="array" ref="AA1628">iferror(index(J:J,match($A1628&amp;","&amp;index('Year Conversion'!$A:$A,match($C1628,'Year Conversion'!$B:$B,0)),$Y:$Y,0))-J1628,"")</f>
        <v>0.2426082667</v>
      </c>
      <c r="AB1628" s="168">
        <f t="array" ref="AB1628">iferror(index(K:K,match($A1628&amp;","&amp;index('Year Conversion'!$A:$A,match($C1628,'Year Conversion'!$B:$B,0)),$Y:$Y,0))-K1628,"")</f>
        <v>-0.2079743044</v>
      </c>
      <c r="AC1628" s="168" t="str">
        <f t="shared" si="7"/>
        <v>PHO,2016-17</v>
      </c>
    </row>
    <row r="1629">
      <c r="A1629" s="161" t="str">
        <f>IFERROR(__xludf.DUMMYFUNCTION("""COMPUTED_VALUE"""),"bradlav01")</f>
        <v>bradlav01</v>
      </c>
      <c r="B1629" s="161" t="str">
        <f>IFERROR(__xludf.DUMMYFUNCTION("""COMPUTED_VALUE"""),"Avery Bradley")</f>
        <v>Avery Bradley</v>
      </c>
      <c r="C1629" s="162" t="str">
        <f>IFERROR(__xludf.DUMMYFUNCTION("""COMPUTED_VALUE"""),"2016-17")</f>
        <v>2016-17</v>
      </c>
      <c r="D1629" s="163" t="str">
        <f>IFERROR(__xludf.DUMMYFUNCTION("""COMPUTED_VALUE"""),"BOS")</f>
        <v>BOS</v>
      </c>
      <c r="E1629" s="164" t="str">
        <f>IFERROR(__xludf.DUMMYFUNCTION("""COMPUTED_VALUE"""),"Movement Shooter")</f>
        <v>Movement Shooter</v>
      </c>
      <c r="F1629" s="164">
        <f>IFERROR(__xludf.DUMMYFUNCTION("""COMPUTED_VALUE"""),1834.49)</f>
        <v>1834.49</v>
      </c>
      <c r="G1629" s="163">
        <f>IFERROR(__xludf.DUMMYFUNCTION("""COMPUTED_VALUE"""),55.0)</f>
        <v>55</v>
      </c>
      <c r="H1629" s="163" t="str">
        <f>IFERROR(__xludf.DUMMYFUNCTION("""COMPUTED_VALUE"""),"SG")</f>
        <v>SG</v>
      </c>
      <c r="I1629" s="163">
        <f>IFERROR(__xludf.DUMMYFUNCTION("""COMPUTED_VALUE"""),26.0)</f>
        <v>26</v>
      </c>
      <c r="J1629" s="165">
        <f>IFERROR(__xludf.DUMMYFUNCTION("""COMPUTED_VALUE"""),-0.387320496878645)</f>
        <v>-0.3873204969</v>
      </c>
      <c r="K1629" s="165">
        <f>IFERROR(__xludf.DUMMYFUNCTION("""COMPUTED_VALUE"""),0.175872848632768)</f>
        <v>0.1758728486</v>
      </c>
      <c r="L1629" s="165">
        <f>IFERROR(__xludf.DUMMYFUNCTION("""COMPUTED_VALUE"""),-0.563193345511413)</f>
        <v>-0.5631933455</v>
      </c>
      <c r="M1629" s="166">
        <f t="shared" si="2"/>
        <v>2.34923604</v>
      </c>
      <c r="N1629" s="167">
        <f t="shared" si="3"/>
        <v>33.35436364</v>
      </c>
      <c r="O1629" s="163">
        <f t="shared" ref="O1629:Q1629" si="1633">rank(I1629,I:I)</f>
        <v>1665</v>
      </c>
      <c r="P1629" s="163">
        <f t="shared" si="1633"/>
        <v>1713</v>
      </c>
      <c r="Q1629" s="163">
        <f t="shared" si="1633"/>
        <v>1006</v>
      </c>
      <c r="R1629" s="163">
        <f>IFERROR(__xludf.DUMMYFUNCTION("RANK(M1629,filter(M:M,C:C=C1629))"),139.0)</f>
        <v>139</v>
      </c>
      <c r="S1629" s="161" t="b">
        <f t="shared" si="5"/>
        <v>0</v>
      </c>
      <c r="T1629" s="161" t="b">
        <f t="array" ref="T1629">index('Query Tool'!B:B,match(H1629,'Query Tool'!C:C,0))</f>
        <v>1</v>
      </c>
      <c r="U1629" s="161" t="b">
        <f t="array" ref="U1629">index('Query Tool'!B:B,match(C1629,'Query Tool'!C:C,0))</f>
        <v>0</v>
      </c>
      <c r="V1629" s="161" t="b">
        <f>F1629&gt;='Query Tool'!C$32</f>
        <v>1</v>
      </c>
      <c r="W1629" s="161" t="b">
        <f t="array" ref="W1629">index(Dropdowns!B:B,match(I1629,Dropdowns!A:A,0))</f>
        <v>1</v>
      </c>
      <c r="X1629" s="161" t="b">
        <f t="array" ref="X1629">index('Query Tool'!B:B,match(D1629,'Query Tool'!C:C,0))</f>
        <v>1</v>
      </c>
      <c r="Y1629" s="161" t="str">
        <f t="shared" si="6"/>
        <v>bradlav01,2016-17</v>
      </c>
      <c r="Z1629" s="168">
        <f t="array" ref="Z1629">iferror(index(I:I,match($A1629&amp;","&amp;index('Year Conversion'!$A:$A,match($C1629,'Year Conversion'!$B:$B,0)),$Y:$Y,0))-I1629,"")</f>
        <v>1</v>
      </c>
      <c r="AA1629" s="168">
        <f t="array" ref="AA1629">iferror(index(J:J,match($A1629&amp;","&amp;index('Year Conversion'!$A:$A,match($C1629,'Year Conversion'!$B:$B,0)),$Y:$Y,0))-J1629,"")</f>
        <v>-1.459188926</v>
      </c>
      <c r="AB1629" s="168">
        <f t="array" ref="AB1629">iferror(index(K:K,match($A1629&amp;","&amp;index('Year Conversion'!$A:$A,match($C1629,'Year Conversion'!$B:$B,0)),$Y:$Y,0))-K1629,"")</f>
        <v>-2.133584095</v>
      </c>
      <c r="AC1629" s="168" t="str">
        <f t="shared" si="7"/>
        <v>BOS,2016-17</v>
      </c>
    </row>
    <row r="1630">
      <c r="A1630" s="161" t="str">
        <f>IFERROR(__xludf.DUMMYFUNCTION("""COMPUTED_VALUE"""),"booketr01")</f>
        <v>booketr01</v>
      </c>
      <c r="B1630" s="161" t="str">
        <f>IFERROR(__xludf.DUMMYFUNCTION("""COMPUTED_VALUE"""),"Trevor Booker")</f>
        <v>Trevor Booker</v>
      </c>
      <c r="C1630" s="162" t="str">
        <f>IFERROR(__xludf.DUMMYFUNCTION("""COMPUTED_VALUE"""),"2016-17")</f>
        <v>2016-17</v>
      </c>
      <c r="D1630" s="163" t="str">
        <f>IFERROR(__xludf.DUMMYFUNCTION("""COMPUTED_VALUE"""),"BRK")</f>
        <v>BRK</v>
      </c>
      <c r="E1630" s="164" t="str">
        <f>IFERROR(__xludf.DUMMYFUNCTION("""COMPUTED_VALUE"""),"Roll + Cut Big")</f>
        <v>Roll + Cut Big</v>
      </c>
      <c r="F1630" s="164">
        <f>IFERROR(__xludf.DUMMYFUNCTION("""COMPUTED_VALUE"""),1754.315)</f>
        <v>1754.315</v>
      </c>
      <c r="G1630" s="163">
        <f>IFERROR(__xludf.DUMMYFUNCTION("""COMPUTED_VALUE"""),71.0)</f>
        <v>71</v>
      </c>
      <c r="H1630" s="163" t="str">
        <f>IFERROR(__xludf.DUMMYFUNCTION("""COMPUTED_VALUE"""),"PF")</f>
        <v>PF</v>
      </c>
      <c r="I1630" s="163">
        <f>IFERROR(__xludf.DUMMYFUNCTION("""COMPUTED_VALUE"""),29.0)</f>
        <v>29</v>
      </c>
      <c r="J1630" s="165">
        <f>IFERROR(__xludf.DUMMYFUNCTION("""COMPUTED_VALUE"""),-0.781671527796566)</f>
        <v>-0.7816715278</v>
      </c>
      <c r="K1630" s="165">
        <f>IFERROR(__xludf.DUMMYFUNCTION("""COMPUTED_VALUE"""),-1.77940126634497)</f>
        <v>-1.779401266</v>
      </c>
      <c r="L1630" s="165">
        <f>IFERROR(__xludf.DUMMYFUNCTION("""COMPUTED_VALUE"""),0.997729738548402)</f>
        <v>0.9977297385</v>
      </c>
      <c r="M1630" s="166">
        <f t="shared" si="2"/>
        <v>1.780837689</v>
      </c>
      <c r="N1630" s="167">
        <f t="shared" si="3"/>
        <v>24.70866197</v>
      </c>
      <c r="O1630" s="163">
        <f t="shared" ref="O1630:Q1630" si="1634">rank(I1630,I:I)</f>
        <v>855</v>
      </c>
      <c r="P1630" s="163">
        <f t="shared" si="1634"/>
        <v>2246</v>
      </c>
      <c r="Q1630" s="163">
        <f t="shared" si="1634"/>
        <v>3566</v>
      </c>
      <c r="R1630" s="163">
        <f>IFERROR(__xludf.DUMMYFUNCTION("RANK(M1630,filter(M:M,C:C=C1630))"),171.0)</f>
        <v>171</v>
      </c>
      <c r="S1630" s="161" t="b">
        <f t="shared" si="5"/>
        <v>0</v>
      </c>
      <c r="T1630" s="161" t="b">
        <f t="array" ref="T1630">index('Query Tool'!B:B,match(H1630,'Query Tool'!C:C,0))</f>
        <v>1</v>
      </c>
      <c r="U1630" s="161" t="b">
        <f t="array" ref="U1630">index('Query Tool'!B:B,match(C1630,'Query Tool'!C:C,0))</f>
        <v>0</v>
      </c>
      <c r="V1630" s="161" t="b">
        <f>F1630&gt;='Query Tool'!C$32</f>
        <v>1</v>
      </c>
      <c r="W1630" s="161" t="b">
        <f t="array" ref="W1630">index(Dropdowns!B:B,match(I1630,Dropdowns!A:A,0))</f>
        <v>1</v>
      </c>
      <c r="X1630" s="161" t="b">
        <f t="array" ref="X1630">index('Query Tool'!B:B,match(D1630,'Query Tool'!C:C,0))</f>
        <v>1</v>
      </c>
      <c r="Y1630" s="161" t="str">
        <f t="shared" si="6"/>
        <v>booketr01,2016-17</v>
      </c>
      <c r="Z1630" s="168">
        <f t="array" ref="Z1630">iferror(index(I:I,match($A1630&amp;","&amp;index('Year Conversion'!$A:$A,match($C1630,'Year Conversion'!$B:$B,0)),$Y:$Y,0))-I1630,"")</f>
        <v>1</v>
      </c>
      <c r="AA1630" s="168">
        <f t="array" ref="AA1630">iferror(index(J:J,match($A1630&amp;","&amp;index('Year Conversion'!$A:$A,match($C1630,'Year Conversion'!$B:$B,0)),$Y:$Y,0))-J1630,"")</f>
        <v>-0.4097977906</v>
      </c>
      <c r="AB1630" s="168">
        <f t="array" ref="AB1630">iferror(index(K:K,match($A1630&amp;","&amp;index('Year Conversion'!$A:$A,match($C1630,'Year Conversion'!$B:$B,0)),$Y:$Y,0))-K1630,"")</f>
        <v>0.9373968674</v>
      </c>
      <c r="AC1630" s="168" t="str">
        <f t="shared" si="7"/>
        <v>BRK,2016-17</v>
      </c>
    </row>
    <row r="1631">
      <c r="A1631" s="161" t="str">
        <f>IFERROR(__xludf.DUMMYFUNCTION("""COMPUTED_VALUE"""),"crawfjo02")</f>
        <v>crawfjo02</v>
      </c>
      <c r="B1631" s="161" t="str">
        <f>IFERROR(__xludf.DUMMYFUNCTION("""COMPUTED_VALUE"""),"Jordan Crawford")</f>
        <v>Jordan Crawford</v>
      </c>
      <c r="C1631" s="162" t="str">
        <f>IFERROR(__xludf.DUMMYFUNCTION("""COMPUTED_VALUE"""),"2016-17")</f>
        <v>2016-17</v>
      </c>
      <c r="D1631" s="163" t="str">
        <f>IFERROR(__xludf.DUMMYFUNCTION("""COMPUTED_VALUE"""),"NOP")</f>
        <v>NOP</v>
      </c>
      <c r="E1631" s="164" t="str">
        <f>IFERROR(__xludf.DUMMYFUNCTION("""COMPUTED_VALUE"""),"Secondary Ball Handler")</f>
        <v>Secondary Ball Handler</v>
      </c>
      <c r="F1631" s="164">
        <f>IFERROR(__xludf.DUMMYFUNCTION("""COMPUTED_VALUE"""),442.303333333333)</f>
        <v>442.3033333</v>
      </c>
      <c r="G1631" s="163">
        <f>IFERROR(__xludf.DUMMYFUNCTION("""COMPUTED_VALUE"""),19.0)</f>
        <v>19</v>
      </c>
      <c r="H1631" s="163" t="str">
        <f>IFERROR(__xludf.DUMMYFUNCTION("""COMPUTED_VALUE"""),"SG")</f>
        <v>SG</v>
      </c>
      <c r="I1631" s="163">
        <f>IFERROR(__xludf.DUMMYFUNCTION("""COMPUTED_VALUE"""),28.0)</f>
        <v>28</v>
      </c>
      <c r="J1631" s="165">
        <f>IFERROR(__xludf.DUMMYFUNCTION("""COMPUTED_VALUE"""),-0.9477935908924)</f>
        <v>-0.9477935909</v>
      </c>
      <c r="K1631" s="165">
        <f>IFERROR(__xludf.DUMMYFUNCTION("""COMPUTED_VALUE"""),1.26858900961929)</f>
        <v>1.26858901</v>
      </c>
      <c r="L1631" s="165">
        <f>IFERROR(__xludf.DUMMYFUNCTION("""COMPUTED_VALUE"""),-2.21638260051169)</f>
        <v>-2.216382601</v>
      </c>
      <c r="M1631" s="166">
        <f t="shared" si="2"/>
        <v>0.3996078373</v>
      </c>
      <c r="N1631" s="167">
        <f t="shared" si="3"/>
        <v>23.27912281</v>
      </c>
      <c r="O1631" s="163">
        <f t="shared" ref="O1631:Q1631" si="1635">rank(I1631,I:I)</f>
        <v>1090</v>
      </c>
      <c r="P1631" s="163">
        <f t="shared" si="1635"/>
        <v>2446</v>
      </c>
      <c r="Q1631" s="163">
        <f t="shared" si="1635"/>
        <v>395</v>
      </c>
      <c r="R1631" s="163">
        <f>IFERROR(__xludf.DUMMYFUNCTION("RANK(M1631,filter(M:M,C:C=C1631))"),300.0)</f>
        <v>300</v>
      </c>
      <c r="S1631" s="161" t="b">
        <f t="shared" si="5"/>
        <v>0</v>
      </c>
      <c r="T1631" s="161" t="b">
        <f t="array" ref="T1631">index('Query Tool'!B:B,match(H1631,'Query Tool'!C:C,0))</f>
        <v>1</v>
      </c>
      <c r="U1631" s="161" t="b">
        <f t="array" ref="U1631">index('Query Tool'!B:B,match(C1631,'Query Tool'!C:C,0))</f>
        <v>0</v>
      </c>
      <c r="V1631" s="161" t="b">
        <f>F1631&gt;='Query Tool'!C$32</f>
        <v>0</v>
      </c>
      <c r="W1631" s="161" t="b">
        <f t="array" ref="W1631">index(Dropdowns!B:B,match(I1631,Dropdowns!A:A,0))</f>
        <v>1</v>
      </c>
      <c r="X1631" s="161" t="b">
        <f t="array" ref="X1631">index('Query Tool'!B:B,match(D1631,'Query Tool'!C:C,0))</f>
        <v>1</v>
      </c>
      <c r="Y1631" s="161" t="str">
        <f t="shared" si="6"/>
        <v>crawfjo02,2016-17</v>
      </c>
      <c r="Z1631" s="168">
        <f t="array" ref="Z1631">iferror(index(I:I,match($A1631&amp;","&amp;index('Year Conversion'!$A:$A,match($C1631,'Year Conversion'!$B:$B,0)),$Y:$Y,0))-I1631,"")</f>
        <v>1</v>
      </c>
      <c r="AA1631" s="168">
        <f t="array" ref="AA1631">iferror(index(J:J,match($A1631&amp;","&amp;index('Year Conversion'!$A:$A,match($C1631,'Year Conversion'!$B:$B,0)),$Y:$Y,0))-J1631,"")</f>
        <v>-0.2792099128</v>
      </c>
      <c r="AB1631" s="168">
        <f t="array" ref="AB1631">iferror(index(K:K,match($A1631&amp;","&amp;index('Year Conversion'!$A:$A,match($C1631,'Year Conversion'!$B:$B,0)),$Y:$Y,0))-K1631,"")</f>
        <v>-1.309949543</v>
      </c>
      <c r="AC1631" s="168" t="str">
        <f t="shared" si="7"/>
        <v>NOP,2016-17</v>
      </c>
    </row>
    <row r="1632">
      <c r="A1632" s="161" t="str">
        <f>IFERROR(__xludf.DUMMYFUNCTION("""COMPUTED_VALUE"""),"vasqugr01")</f>
        <v>vasqugr01</v>
      </c>
      <c r="B1632" s="161" t="str">
        <f>IFERROR(__xludf.DUMMYFUNCTION("""COMPUTED_VALUE"""),"Greivis Vasquez")</f>
        <v>Greivis Vasquez</v>
      </c>
      <c r="C1632" s="162" t="str">
        <f>IFERROR(__xludf.DUMMYFUNCTION("""COMPUTED_VALUE"""),"2016-17")</f>
        <v>2016-17</v>
      </c>
      <c r="D1632" s="163" t="str">
        <f>IFERROR(__xludf.DUMMYFUNCTION("""COMPUTED_VALUE"""),"BRK")</f>
        <v>BRK</v>
      </c>
      <c r="E1632" s="164" t="str">
        <f>IFERROR(__xludf.DUMMYFUNCTION("""COMPUTED_VALUE"""),"Secondary Ball Handler")</f>
        <v>Secondary Ball Handler</v>
      </c>
      <c r="F1632" s="164">
        <f>IFERROR(__xludf.DUMMYFUNCTION("""COMPUTED_VALUE"""),38.5666666666666)</f>
        <v>38.56666667</v>
      </c>
      <c r="G1632" s="163">
        <f>IFERROR(__xludf.DUMMYFUNCTION("""COMPUTED_VALUE"""),3.0)</f>
        <v>3</v>
      </c>
      <c r="H1632" s="163" t="str">
        <f>IFERROR(__xludf.DUMMYFUNCTION("""COMPUTED_VALUE"""),"PG")</f>
        <v>PG</v>
      </c>
      <c r="I1632" s="163">
        <f>IFERROR(__xludf.DUMMYFUNCTION("""COMPUTED_VALUE"""),30.0)</f>
        <v>30</v>
      </c>
      <c r="J1632" s="165">
        <f>IFERROR(__xludf.DUMMYFUNCTION("""COMPUTED_VALUE"""),-0.203350100607603)</f>
        <v>-0.2033501006</v>
      </c>
      <c r="K1632" s="165">
        <f>IFERROR(__xludf.DUMMYFUNCTION("""COMPUTED_VALUE"""),-0.265402895872879)</f>
        <v>-0.2654028959</v>
      </c>
      <c r="L1632" s="165">
        <f>IFERROR(__xludf.DUMMYFUNCTION("""COMPUTED_VALUE"""),0.0620527952652755)</f>
        <v>0.06205279527</v>
      </c>
      <c r="M1632" s="166">
        <f t="shared" si="2"/>
        <v>0.05416989056</v>
      </c>
      <c r="N1632" s="167">
        <f t="shared" si="3"/>
        <v>12.85555556</v>
      </c>
      <c r="O1632" s="163">
        <f t="shared" ref="O1632:Q1632" si="1636">rank(I1632,I:I)</f>
        <v>655</v>
      </c>
      <c r="P1632" s="163">
        <f t="shared" si="1636"/>
        <v>1511</v>
      </c>
      <c r="Q1632" s="163">
        <f t="shared" si="1636"/>
        <v>1694</v>
      </c>
      <c r="R1632" s="163">
        <f>IFERROR(__xludf.DUMMYFUNCTION("RANK(M1632,filter(M:M,C:C=C1632))"),398.0)</f>
        <v>398</v>
      </c>
      <c r="S1632" s="161" t="b">
        <f t="shared" si="5"/>
        <v>0</v>
      </c>
      <c r="T1632" s="161" t="b">
        <f t="array" ref="T1632">index('Query Tool'!B:B,match(H1632,'Query Tool'!C:C,0))</f>
        <v>1</v>
      </c>
      <c r="U1632" s="161" t="b">
        <f t="array" ref="U1632">index('Query Tool'!B:B,match(C1632,'Query Tool'!C:C,0))</f>
        <v>0</v>
      </c>
      <c r="V1632" s="161" t="b">
        <f>F1632&gt;='Query Tool'!C$32</f>
        <v>0</v>
      </c>
      <c r="W1632" s="161" t="b">
        <f t="array" ref="W1632">index(Dropdowns!B:B,match(I1632,Dropdowns!A:A,0))</f>
        <v>1</v>
      </c>
      <c r="X1632" s="161" t="b">
        <f t="array" ref="X1632">index('Query Tool'!B:B,match(D1632,'Query Tool'!C:C,0))</f>
        <v>1</v>
      </c>
      <c r="Y1632" s="161" t="str">
        <f t="shared" si="6"/>
        <v>vasqugr01,2016-17</v>
      </c>
      <c r="Z1632" s="168" t="str">
        <f t="array" ref="Z1632">iferror(index(I:I,match($A1632&amp;","&amp;index('Year Conversion'!$A:$A,match($C1632,'Year Conversion'!$B:$B,0)),$Y:$Y,0))-I1632,"")</f>
        <v/>
      </c>
      <c r="AA1632" s="168" t="str">
        <f t="array" ref="AA1632">iferror(index(J:J,match($A1632&amp;","&amp;index('Year Conversion'!$A:$A,match($C1632,'Year Conversion'!$B:$B,0)),$Y:$Y,0))-J1632,"")</f>
        <v/>
      </c>
      <c r="AB1632" s="168" t="str">
        <f t="array" ref="AB1632">iferror(index(K:K,match($A1632&amp;","&amp;index('Year Conversion'!$A:$A,match($C1632,'Year Conversion'!$B:$B,0)),$Y:$Y,0))-K1632,"")</f>
        <v/>
      </c>
      <c r="AC1632" s="168" t="str">
        <f t="shared" si="7"/>
        <v>BRK,2016-17</v>
      </c>
    </row>
    <row r="1633">
      <c r="A1633" s="161" t="str">
        <f>IFERROR(__xludf.DUMMYFUNCTION("""COMPUTED_VALUE"""),"whiteha01")</f>
        <v>whiteha01</v>
      </c>
      <c r="B1633" s="161" t="str">
        <f>IFERROR(__xludf.DUMMYFUNCTION("""COMPUTED_VALUE"""),"Hassan Whiteside")</f>
        <v>Hassan Whiteside</v>
      </c>
      <c r="C1633" s="162" t="str">
        <f>IFERROR(__xludf.DUMMYFUNCTION("""COMPUTED_VALUE"""),"2016-17")</f>
        <v>2016-17</v>
      </c>
      <c r="D1633" s="163" t="str">
        <f>IFERROR(__xludf.DUMMYFUNCTION("""COMPUTED_VALUE"""),"MIA")</f>
        <v>MIA</v>
      </c>
      <c r="E1633" s="164" t="str">
        <f>IFERROR(__xludf.DUMMYFUNCTION("""COMPUTED_VALUE"""),"Post Scorer")</f>
        <v>Post Scorer</v>
      </c>
      <c r="F1633" s="164">
        <f>IFERROR(__xludf.DUMMYFUNCTION("""COMPUTED_VALUE"""),2513.37666666667)</f>
        <v>2513.376667</v>
      </c>
      <c r="G1633" s="163">
        <f>IFERROR(__xludf.DUMMYFUNCTION("""COMPUTED_VALUE"""),77.0)</f>
        <v>77</v>
      </c>
      <c r="H1633" s="163" t="str">
        <f>IFERROR(__xludf.DUMMYFUNCTION("""COMPUTED_VALUE"""),"C")</f>
        <v>C</v>
      </c>
      <c r="I1633" s="163">
        <f>IFERROR(__xludf.DUMMYFUNCTION("""COMPUTED_VALUE"""),27.0)</f>
        <v>27</v>
      </c>
      <c r="J1633" s="165">
        <f>IFERROR(__xludf.DUMMYFUNCTION("""COMPUTED_VALUE"""),2.52296244460583)</f>
        <v>2.522962445</v>
      </c>
      <c r="K1633" s="165">
        <f>IFERROR(__xludf.DUMMYFUNCTION("""COMPUTED_VALUE"""),0.373699264941777)</f>
        <v>0.3736992649</v>
      </c>
      <c r="L1633" s="165">
        <f>IFERROR(__xludf.DUMMYFUNCTION("""COMPUTED_VALUE"""),2.14926317966405)</f>
        <v>2.14926318</v>
      </c>
      <c r="M1633" s="166">
        <f t="shared" si="2"/>
        <v>8.112523654</v>
      </c>
      <c r="N1633" s="167">
        <f t="shared" si="3"/>
        <v>32.64125541</v>
      </c>
      <c r="O1633" s="163">
        <f t="shared" ref="O1633:Q1633" si="1637">rank(I1633,I:I)</f>
        <v>1366</v>
      </c>
      <c r="P1633" s="163">
        <f t="shared" si="1637"/>
        <v>220</v>
      </c>
      <c r="Q1633" s="163">
        <f t="shared" si="1637"/>
        <v>851</v>
      </c>
      <c r="R1633" s="163">
        <f>IFERROR(__xludf.DUMMYFUNCTION("RANK(M1633,filter(M:M,C:C=C1633))"),26.0)</f>
        <v>26</v>
      </c>
      <c r="S1633" s="161" t="b">
        <f t="shared" si="5"/>
        <v>0</v>
      </c>
      <c r="T1633" s="161" t="b">
        <f t="array" ref="T1633">index('Query Tool'!B:B,match(H1633,'Query Tool'!C:C,0))</f>
        <v>1</v>
      </c>
      <c r="U1633" s="161" t="b">
        <f t="array" ref="U1633">index('Query Tool'!B:B,match(C1633,'Query Tool'!C:C,0))</f>
        <v>0</v>
      </c>
      <c r="V1633" s="161" t="b">
        <f>F1633&gt;='Query Tool'!C$32</f>
        <v>1</v>
      </c>
      <c r="W1633" s="161" t="b">
        <f t="array" ref="W1633">index(Dropdowns!B:B,match(I1633,Dropdowns!A:A,0))</f>
        <v>1</v>
      </c>
      <c r="X1633" s="161" t="b">
        <f t="array" ref="X1633">index('Query Tool'!B:B,match(D1633,'Query Tool'!C:C,0))</f>
        <v>1</v>
      </c>
      <c r="Y1633" s="161" t="str">
        <f t="shared" si="6"/>
        <v>whiteha01,2016-17</v>
      </c>
      <c r="Z1633" s="168">
        <f t="array" ref="Z1633">iferror(index(I:I,match($A1633&amp;","&amp;index('Year Conversion'!$A:$A,match($C1633,'Year Conversion'!$B:$B,0)),$Y:$Y,0))-I1633,"")</f>
        <v>1</v>
      </c>
      <c r="AA1633" s="168">
        <f t="array" ref="AA1633">iferror(index(J:J,match($A1633&amp;","&amp;index('Year Conversion'!$A:$A,match($C1633,'Year Conversion'!$B:$B,0)),$Y:$Y,0))-J1633,"")</f>
        <v>-0.2622132707</v>
      </c>
      <c r="AB1633" s="168">
        <f t="array" ref="AB1633">iferror(index(K:K,match($A1633&amp;","&amp;index('Year Conversion'!$A:$A,match($C1633,'Year Conversion'!$B:$B,0)),$Y:$Y,0))-K1633,"")</f>
        <v>-0.8202198329</v>
      </c>
      <c r="AC1633" s="168" t="str">
        <f t="shared" si="7"/>
        <v>MIA,2016-17</v>
      </c>
    </row>
    <row r="1634">
      <c r="A1634" s="161" t="str">
        <f>IFERROR(__xludf.DUMMYFUNCTION("""COMPUTED_VALUE"""),"bjeline01")</f>
        <v>bjeline01</v>
      </c>
      <c r="B1634" s="161" t="str">
        <f>IFERROR(__xludf.DUMMYFUNCTION("""COMPUTED_VALUE"""),"Nemanja Bjelica")</f>
        <v>Nemanja Bjelica</v>
      </c>
      <c r="C1634" s="162" t="str">
        <f>IFERROR(__xludf.DUMMYFUNCTION("""COMPUTED_VALUE"""),"2016-17")</f>
        <v>2016-17</v>
      </c>
      <c r="D1634" s="163" t="str">
        <f>IFERROR(__xludf.DUMMYFUNCTION("""COMPUTED_VALUE"""),"MIN")</f>
        <v>MIN</v>
      </c>
      <c r="E1634" s="164" t="str">
        <f>IFERROR(__xludf.DUMMYFUNCTION("""COMPUTED_VALUE"""),"Stationary Shooter")</f>
        <v>Stationary Shooter</v>
      </c>
      <c r="F1634" s="164">
        <f>IFERROR(__xludf.DUMMYFUNCTION("""COMPUTED_VALUE"""),1189.645)</f>
        <v>1189.645</v>
      </c>
      <c r="G1634" s="163">
        <f>IFERROR(__xludf.DUMMYFUNCTION("""COMPUTED_VALUE"""),65.0)</f>
        <v>65</v>
      </c>
      <c r="H1634" s="163" t="str">
        <f>IFERROR(__xludf.DUMMYFUNCTION("""COMPUTED_VALUE"""),"PF")</f>
        <v>PF</v>
      </c>
      <c r="I1634" s="163">
        <f>IFERROR(__xludf.DUMMYFUNCTION("""COMPUTED_VALUE"""),28.0)</f>
        <v>28</v>
      </c>
      <c r="J1634" s="165">
        <f>IFERROR(__xludf.DUMMYFUNCTION("""COMPUTED_VALUE"""),-0.741857905452565)</f>
        <v>-0.7418579055</v>
      </c>
      <c r="K1634" s="165">
        <f>IFERROR(__xludf.DUMMYFUNCTION("""COMPUTED_VALUE"""),-0.823612491310078)</f>
        <v>-0.8236124913</v>
      </c>
      <c r="L1634" s="165">
        <f>IFERROR(__xludf.DUMMYFUNCTION("""COMPUTED_VALUE"""),0.0817545858575125)</f>
        <v>0.08175458586</v>
      </c>
      <c r="M1634" s="166">
        <f t="shared" si="2"/>
        <v>1.239485962</v>
      </c>
      <c r="N1634" s="167">
        <f t="shared" si="3"/>
        <v>18.30223077</v>
      </c>
      <c r="O1634" s="163">
        <f t="shared" ref="O1634:Q1634" si="1638">rank(I1634,I:I)</f>
        <v>1090</v>
      </c>
      <c r="P1634" s="163">
        <f t="shared" si="1638"/>
        <v>2205</v>
      </c>
      <c r="Q1634" s="163">
        <f t="shared" si="1638"/>
        <v>2587</v>
      </c>
      <c r="R1634" s="163">
        <f>IFERROR(__xludf.DUMMYFUNCTION("RANK(M1634,filter(M:M,C:C=C1634))"),203.0)</f>
        <v>203</v>
      </c>
      <c r="S1634" s="161" t="b">
        <f t="shared" si="5"/>
        <v>0</v>
      </c>
      <c r="T1634" s="161" t="b">
        <f t="array" ref="T1634">index('Query Tool'!B:B,match(H1634,'Query Tool'!C:C,0))</f>
        <v>1</v>
      </c>
      <c r="U1634" s="161" t="b">
        <f t="array" ref="U1634">index('Query Tool'!B:B,match(C1634,'Query Tool'!C:C,0))</f>
        <v>0</v>
      </c>
      <c r="V1634" s="161" t="b">
        <f>F1634&gt;='Query Tool'!C$32</f>
        <v>1</v>
      </c>
      <c r="W1634" s="161" t="b">
        <f t="array" ref="W1634">index(Dropdowns!B:B,match(I1634,Dropdowns!A:A,0))</f>
        <v>1</v>
      </c>
      <c r="X1634" s="161" t="b">
        <f t="array" ref="X1634">index('Query Tool'!B:B,match(D1634,'Query Tool'!C:C,0))</f>
        <v>1</v>
      </c>
      <c r="Y1634" s="161" t="str">
        <f t="shared" si="6"/>
        <v>bjeline01,2016-17</v>
      </c>
      <c r="Z1634" s="168">
        <f t="array" ref="Z1634">iferror(index(I:I,match($A1634&amp;","&amp;index('Year Conversion'!$A:$A,match($C1634,'Year Conversion'!$B:$B,0)),$Y:$Y,0))-I1634,"")</f>
        <v>1</v>
      </c>
      <c r="AA1634" s="168">
        <f t="array" ref="AA1634">iferror(index(J:J,match($A1634&amp;","&amp;index('Year Conversion'!$A:$A,match($C1634,'Year Conversion'!$B:$B,0)),$Y:$Y,0))-J1634,"")</f>
        <v>-0.5654368022</v>
      </c>
      <c r="AB1634" s="168">
        <f t="array" ref="AB1634">iferror(index(K:K,match($A1634&amp;","&amp;index('Year Conversion'!$A:$A,match($C1634,'Year Conversion'!$B:$B,0)),$Y:$Y,0))-K1634,"")</f>
        <v>0.4004340388</v>
      </c>
      <c r="AC1634" s="168" t="str">
        <f t="shared" si="7"/>
        <v>MIN,2016-17</v>
      </c>
    </row>
    <row r="1635">
      <c r="A1635" s="161" t="str">
        <f>IFERROR(__xludf.DUMMYFUNCTION("""COMPUTED_VALUE"""),"stephla01")</f>
        <v>stephla01</v>
      </c>
      <c r="B1635" s="161" t="str">
        <f>IFERROR(__xludf.DUMMYFUNCTION("""COMPUTED_VALUE"""),"Lance Stephenson")</f>
        <v>Lance Stephenson</v>
      </c>
      <c r="C1635" s="162" t="str">
        <f>IFERROR(__xludf.DUMMYFUNCTION("""COMPUTED_VALUE"""),"2016-17")</f>
        <v>2016-17</v>
      </c>
      <c r="D1635" s="163" t="str">
        <f>IFERROR(__xludf.DUMMYFUNCTION("""COMPUTED_VALUE"""),"TOT")</f>
        <v>TOT</v>
      </c>
      <c r="E1635" s="164" t="str">
        <f>IFERROR(__xludf.DUMMYFUNCTION("""COMPUTED_VALUE"""),"Slasher")</f>
        <v>Slasher</v>
      </c>
      <c r="F1635" s="164">
        <f>IFERROR(__xludf.DUMMYFUNCTION("""COMPUTED_VALUE"""),361.616666666667)</f>
        <v>361.6166667</v>
      </c>
      <c r="G1635" s="163">
        <f>IFERROR(__xludf.DUMMYFUNCTION("""COMPUTED_VALUE"""),18.0)</f>
        <v>18</v>
      </c>
      <c r="H1635" s="163" t="str">
        <f>IFERROR(__xludf.DUMMYFUNCTION("""COMPUTED_VALUE"""),"SG")</f>
        <v>SG</v>
      </c>
      <c r="I1635" s="163">
        <f>IFERROR(__xludf.DUMMYFUNCTION("""COMPUTED_VALUE"""),26.0)</f>
        <v>26</v>
      </c>
      <c r="J1635" s="165">
        <f>IFERROR(__xludf.DUMMYFUNCTION("""COMPUTED_VALUE"""),-0.289943997840571)</f>
        <v>-0.2899439978</v>
      </c>
      <c r="K1635" s="165">
        <f>IFERROR(__xludf.DUMMYFUNCTION("""COMPUTED_VALUE"""),-0.281428223308001)</f>
        <v>-0.2814282233</v>
      </c>
      <c r="L1635" s="165">
        <f>IFERROR(__xludf.DUMMYFUNCTION("""COMPUTED_VALUE"""),-0.00851577453256946)</f>
        <v>-0.008515774533</v>
      </c>
      <c r="M1635" s="166">
        <f t="shared" si="2"/>
        <v>0.4868127691</v>
      </c>
      <c r="N1635" s="167">
        <f t="shared" si="3"/>
        <v>20.08981481</v>
      </c>
      <c r="O1635" s="163">
        <f t="shared" ref="O1635:Q1635" si="1639">rank(I1635,I:I)</f>
        <v>1665</v>
      </c>
      <c r="P1635" s="163">
        <f t="shared" si="1639"/>
        <v>1597</v>
      </c>
      <c r="Q1635" s="163">
        <f t="shared" si="1639"/>
        <v>1728</v>
      </c>
      <c r="R1635" s="163">
        <f>IFERROR(__xludf.DUMMYFUNCTION("RANK(M1635,filter(M:M,C:C=C1635))"),285.0)</f>
        <v>285</v>
      </c>
      <c r="S1635" s="161" t="b">
        <f t="shared" si="5"/>
        <v>0</v>
      </c>
      <c r="T1635" s="161" t="b">
        <f t="array" ref="T1635">index('Query Tool'!B:B,match(H1635,'Query Tool'!C:C,0))</f>
        <v>1</v>
      </c>
      <c r="U1635" s="161" t="b">
        <f t="array" ref="U1635">index('Query Tool'!B:B,match(C1635,'Query Tool'!C:C,0))</f>
        <v>0</v>
      </c>
      <c r="V1635" s="161" t="b">
        <f>F1635&gt;='Query Tool'!C$32</f>
        <v>0</v>
      </c>
      <c r="W1635" s="161" t="b">
        <f t="array" ref="W1635">index(Dropdowns!B:B,match(I1635,Dropdowns!A:A,0))</f>
        <v>1</v>
      </c>
      <c r="X1635" s="161" t="b">
        <f t="array" ref="X1635">index('Query Tool'!B:B,match(D1635,'Query Tool'!C:C,0))</f>
        <v>1</v>
      </c>
      <c r="Y1635" s="161" t="str">
        <f t="shared" si="6"/>
        <v>stephla01,2016-17</v>
      </c>
      <c r="Z1635" s="168">
        <f t="array" ref="Z1635">iferror(index(I:I,match($A1635&amp;","&amp;index('Year Conversion'!$A:$A,match($C1635,'Year Conversion'!$B:$B,0)),$Y:$Y,0))-I1635,"")</f>
        <v>1</v>
      </c>
      <c r="AA1635" s="168">
        <f t="array" ref="AA1635">iferror(index(J:J,match($A1635&amp;","&amp;index('Year Conversion'!$A:$A,match($C1635,'Year Conversion'!$B:$B,0)),$Y:$Y,0))-J1635,"")</f>
        <v>-1.231866623</v>
      </c>
      <c r="AB1635" s="168">
        <f t="array" ref="AB1635">iferror(index(K:K,match($A1635&amp;","&amp;index('Year Conversion'!$A:$A,match($C1635,'Year Conversion'!$B:$B,0)),$Y:$Y,0))-K1635,"")</f>
        <v>0.5580560346</v>
      </c>
      <c r="AC1635" s="168" t="str">
        <f t="shared" si="7"/>
        <v>TOT,2016-17</v>
      </c>
    </row>
    <row r="1636">
      <c r="A1636" s="161" t="str">
        <f>IFERROR(__xludf.DUMMYFUNCTION("""COMPUTED_VALUE"""),"mozgoti01")</f>
        <v>mozgoti01</v>
      </c>
      <c r="B1636" s="161" t="str">
        <f>IFERROR(__xludf.DUMMYFUNCTION("""COMPUTED_VALUE"""),"Timofey Mozgov")</f>
        <v>Timofey Mozgov</v>
      </c>
      <c r="C1636" s="162" t="str">
        <f>IFERROR(__xludf.DUMMYFUNCTION("""COMPUTED_VALUE"""),"2016-17")</f>
        <v>2016-17</v>
      </c>
      <c r="D1636" s="163" t="str">
        <f>IFERROR(__xludf.DUMMYFUNCTION("""COMPUTED_VALUE"""),"LAL")</f>
        <v>LAL</v>
      </c>
      <c r="E1636" s="164" t="str">
        <f>IFERROR(__xludf.DUMMYFUNCTION("""COMPUTED_VALUE"""),"Post Scorer")</f>
        <v>Post Scorer</v>
      </c>
      <c r="F1636" s="164">
        <f>IFERROR(__xludf.DUMMYFUNCTION("""COMPUTED_VALUE"""),1103.86)</f>
        <v>1103.86</v>
      </c>
      <c r="G1636" s="163">
        <f>IFERROR(__xludf.DUMMYFUNCTION("""COMPUTED_VALUE"""),54.0)</f>
        <v>54</v>
      </c>
      <c r="H1636" s="163" t="str">
        <f>IFERROR(__xludf.DUMMYFUNCTION("""COMPUTED_VALUE"""),"C")</f>
        <v>C</v>
      </c>
      <c r="I1636" s="163">
        <f>IFERROR(__xludf.DUMMYFUNCTION("""COMPUTED_VALUE"""),30.0)</f>
        <v>30</v>
      </c>
      <c r="J1636" s="165">
        <f>IFERROR(__xludf.DUMMYFUNCTION("""COMPUTED_VALUE"""),-2.02496205306188)</f>
        <v>-2.024962053</v>
      </c>
      <c r="K1636" s="165">
        <f>IFERROR(__xludf.DUMMYFUNCTION("""COMPUTED_VALUE"""),-2.63142791847099)</f>
        <v>-2.631427918</v>
      </c>
      <c r="L1636" s="165">
        <f>IFERROR(__xludf.DUMMYFUNCTION("""COMPUTED_VALUE"""),0.606465865409106)</f>
        <v>0.6064658654</v>
      </c>
      <c r="M1636" s="166">
        <f t="shared" si="2"/>
        <v>0.2033109577</v>
      </c>
      <c r="N1636" s="167">
        <f t="shared" si="3"/>
        <v>20.44185185</v>
      </c>
      <c r="O1636" s="163">
        <f t="shared" ref="O1636:Q1636" si="1640">rank(I1636,I:I)</f>
        <v>655</v>
      </c>
      <c r="P1636" s="163">
        <f t="shared" si="1640"/>
        <v>3498</v>
      </c>
      <c r="Q1636" s="163">
        <f t="shared" si="1640"/>
        <v>3920</v>
      </c>
      <c r="R1636" s="163">
        <f>IFERROR(__xludf.DUMMYFUNCTION("RANK(M1636,filter(M:M,C:C=C1636))"),340.0)</f>
        <v>340</v>
      </c>
      <c r="S1636" s="161" t="b">
        <f t="shared" si="5"/>
        <v>0</v>
      </c>
      <c r="T1636" s="161" t="b">
        <f t="array" ref="T1636">index('Query Tool'!B:B,match(H1636,'Query Tool'!C:C,0))</f>
        <v>1</v>
      </c>
      <c r="U1636" s="161" t="b">
        <f t="array" ref="U1636">index('Query Tool'!B:B,match(C1636,'Query Tool'!C:C,0))</f>
        <v>0</v>
      </c>
      <c r="V1636" s="161" t="b">
        <f>F1636&gt;='Query Tool'!C$32</f>
        <v>1</v>
      </c>
      <c r="W1636" s="161" t="b">
        <f t="array" ref="W1636">index(Dropdowns!B:B,match(I1636,Dropdowns!A:A,0))</f>
        <v>1</v>
      </c>
      <c r="X1636" s="161" t="b">
        <f t="array" ref="X1636">index('Query Tool'!B:B,match(D1636,'Query Tool'!C:C,0))</f>
        <v>1</v>
      </c>
      <c r="Y1636" s="161" t="str">
        <f t="shared" si="6"/>
        <v>mozgoti01,2016-17</v>
      </c>
      <c r="Z1636" s="168">
        <f t="array" ref="Z1636">iferror(index(I:I,match($A1636&amp;","&amp;index('Year Conversion'!$A:$A,match($C1636,'Year Conversion'!$B:$B,0)),$Y:$Y,0))-I1636,"")</f>
        <v>1</v>
      </c>
      <c r="AA1636" s="168">
        <f t="array" ref="AA1636">iferror(index(J:J,match($A1636&amp;","&amp;index('Year Conversion'!$A:$A,match($C1636,'Year Conversion'!$B:$B,0)),$Y:$Y,0))-J1636,"")</f>
        <v>-0.2336129554</v>
      </c>
      <c r="AB1636" s="168">
        <f t="array" ref="AB1636">iferror(index(K:K,match($A1636&amp;","&amp;index('Year Conversion'!$A:$A,match($C1636,'Year Conversion'!$B:$B,0)),$Y:$Y,0))-K1636,"")</f>
        <v>-0.1589320715</v>
      </c>
      <c r="AC1636" s="168" t="str">
        <f t="shared" si="7"/>
        <v>LAL,2016-17</v>
      </c>
    </row>
    <row r="1637">
      <c r="A1637" s="161" t="str">
        <f>IFERROR(__xludf.DUMMYFUNCTION("""COMPUTED_VALUE"""),"nealga01")</f>
        <v>nealga01</v>
      </c>
      <c r="B1637" s="161" t="str">
        <f>IFERROR(__xludf.DUMMYFUNCTION("""COMPUTED_VALUE"""),"Gary Neal")</f>
        <v>Gary Neal</v>
      </c>
      <c r="C1637" s="162" t="str">
        <f>IFERROR(__xludf.DUMMYFUNCTION("""COMPUTED_VALUE"""),"2016-17")</f>
        <v>2016-17</v>
      </c>
      <c r="D1637" s="163" t="str">
        <f>IFERROR(__xludf.DUMMYFUNCTION("""COMPUTED_VALUE"""),"ATL")</f>
        <v>ATL</v>
      </c>
      <c r="E1637" s="164" t="str">
        <f>IFERROR(__xludf.DUMMYFUNCTION("""COMPUTED_VALUE"""),"Secondary Ball Handler")</f>
        <v>Secondary Ball Handler</v>
      </c>
      <c r="F1637" s="164">
        <f>IFERROR(__xludf.DUMMYFUNCTION("""COMPUTED_VALUE"""),18.3333333333333)</f>
        <v>18.33333333</v>
      </c>
      <c r="G1637" s="163">
        <f>IFERROR(__xludf.DUMMYFUNCTION("""COMPUTED_VALUE"""),2.0)</f>
        <v>2</v>
      </c>
      <c r="H1637" s="163" t="str">
        <f>IFERROR(__xludf.DUMMYFUNCTION("""COMPUTED_VALUE"""),"SG")</f>
        <v>SG</v>
      </c>
      <c r="I1637" s="163">
        <f>IFERROR(__xludf.DUMMYFUNCTION("""COMPUTED_VALUE"""),32.0)</f>
        <v>32</v>
      </c>
      <c r="J1637" s="165">
        <f>IFERROR(__xludf.DUMMYFUNCTION("""COMPUTED_VALUE"""),-0.287035299313953)</f>
        <v>-0.2870352993</v>
      </c>
      <c r="K1637" s="165">
        <f>IFERROR(__xludf.DUMMYFUNCTION("""COMPUTED_VALUE"""),-0.195478395181447)</f>
        <v>-0.1954783952</v>
      </c>
      <c r="L1637" s="165">
        <f>IFERROR(__xludf.DUMMYFUNCTION("""COMPUTED_VALUE"""),-0.0915569041325061)</f>
        <v>-0.09155690413</v>
      </c>
      <c r="M1637" s="166">
        <f t="shared" si="2"/>
        <v>0.02471649651</v>
      </c>
      <c r="N1637" s="167">
        <f t="shared" si="3"/>
        <v>9.166666667</v>
      </c>
      <c r="O1637" s="163">
        <f t="shared" ref="O1637:Q1637" si="1641">rank(I1637,I:I)</f>
        <v>359</v>
      </c>
      <c r="P1637" s="163">
        <f t="shared" si="1641"/>
        <v>1596</v>
      </c>
      <c r="Q1637" s="163">
        <f t="shared" si="1641"/>
        <v>1557</v>
      </c>
      <c r="R1637" s="163">
        <f>IFERROR(__xludf.DUMMYFUNCTION("RANK(M1637,filter(M:M,C:C=C1637))"),427.0)</f>
        <v>427</v>
      </c>
      <c r="S1637" s="161" t="b">
        <f t="shared" si="5"/>
        <v>0</v>
      </c>
      <c r="T1637" s="161" t="b">
        <f t="array" ref="T1637">index('Query Tool'!B:B,match(H1637,'Query Tool'!C:C,0))</f>
        <v>1</v>
      </c>
      <c r="U1637" s="161" t="b">
        <f t="array" ref="U1637">index('Query Tool'!B:B,match(C1637,'Query Tool'!C:C,0))</f>
        <v>0</v>
      </c>
      <c r="V1637" s="161" t="b">
        <f>F1637&gt;='Query Tool'!C$32</f>
        <v>0</v>
      </c>
      <c r="W1637" s="161" t="b">
        <f t="array" ref="W1637">index(Dropdowns!B:B,match(I1637,Dropdowns!A:A,0))</f>
        <v>1</v>
      </c>
      <c r="X1637" s="161" t="b">
        <f t="array" ref="X1637">index('Query Tool'!B:B,match(D1637,'Query Tool'!C:C,0))</f>
        <v>1</v>
      </c>
      <c r="Y1637" s="161" t="str">
        <f t="shared" si="6"/>
        <v>nealga01,2016-17</v>
      </c>
      <c r="Z1637" s="168" t="str">
        <f t="array" ref="Z1637">iferror(index(I:I,match($A1637&amp;","&amp;index('Year Conversion'!$A:$A,match($C1637,'Year Conversion'!$B:$B,0)),$Y:$Y,0))-I1637,"")</f>
        <v/>
      </c>
      <c r="AA1637" s="168" t="str">
        <f t="array" ref="AA1637">iferror(index(J:J,match($A1637&amp;","&amp;index('Year Conversion'!$A:$A,match($C1637,'Year Conversion'!$B:$B,0)),$Y:$Y,0))-J1637,"")</f>
        <v/>
      </c>
      <c r="AB1637" s="168" t="str">
        <f t="array" ref="AB1637">iferror(index(K:K,match($A1637&amp;","&amp;index('Year Conversion'!$A:$A,match($C1637,'Year Conversion'!$B:$B,0)),$Y:$Y,0))-K1637,"")</f>
        <v/>
      </c>
      <c r="AC1637" s="168" t="str">
        <f t="shared" si="7"/>
        <v>ATL,2016-17</v>
      </c>
    </row>
    <row r="1638">
      <c r="A1638" s="161" t="str">
        <f>IFERROR(__xludf.DUMMYFUNCTION("""COMPUTED_VALUE"""),"linje01")</f>
        <v>linje01</v>
      </c>
      <c r="B1638" s="161" t="str">
        <f>IFERROR(__xludf.DUMMYFUNCTION("""COMPUTED_VALUE"""),"Jeremy Lin")</f>
        <v>Jeremy Lin</v>
      </c>
      <c r="C1638" s="162" t="str">
        <f>IFERROR(__xludf.DUMMYFUNCTION("""COMPUTED_VALUE"""),"2016-17")</f>
        <v>2016-17</v>
      </c>
      <c r="D1638" s="163" t="str">
        <f>IFERROR(__xludf.DUMMYFUNCTION("""COMPUTED_VALUE"""),"BRK")</f>
        <v>BRK</v>
      </c>
      <c r="E1638" s="164" t="str">
        <f>IFERROR(__xludf.DUMMYFUNCTION("""COMPUTED_VALUE"""),"Primary Ball Handler")</f>
        <v>Primary Ball Handler</v>
      </c>
      <c r="F1638" s="164">
        <f>IFERROR(__xludf.DUMMYFUNCTION("""COMPUTED_VALUE"""),882.588333333333)</f>
        <v>882.5883333</v>
      </c>
      <c r="G1638" s="163">
        <f>IFERROR(__xludf.DUMMYFUNCTION("""COMPUTED_VALUE"""),36.0)</f>
        <v>36</v>
      </c>
      <c r="H1638" s="163" t="str">
        <f>IFERROR(__xludf.DUMMYFUNCTION("""COMPUTED_VALUE"""),"PG")</f>
        <v>PG</v>
      </c>
      <c r="I1638" s="163">
        <f>IFERROR(__xludf.DUMMYFUNCTION("""COMPUTED_VALUE"""),28.0)</f>
        <v>28</v>
      </c>
      <c r="J1638" s="165">
        <f>IFERROR(__xludf.DUMMYFUNCTION("""COMPUTED_VALUE"""),1.8363385773256)</f>
        <v>1.836338577</v>
      </c>
      <c r="K1638" s="165">
        <f>IFERROR(__xludf.DUMMYFUNCTION("""COMPUTED_VALUE"""),1.23885496129141)</f>
        <v>1.238854961</v>
      </c>
      <c r="L1638" s="165">
        <f>IFERROR(__xludf.DUMMYFUNCTION("""COMPUTED_VALUE"""),0.59748361603419)</f>
        <v>0.597483616</v>
      </c>
      <c r="M1638" s="166">
        <f t="shared" si="2"/>
        <v>2.448247227</v>
      </c>
      <c r="N1638" s="167">
        <f t="shared" si="3"/>
        <v>24.51634259</v>
      </c>
      <c r="O1638" s="163">
        <f t="shared" ref="O1638:Q1638" si="1642">rank(I1638,I:I)</f>
        <v>1090</v>
      </c>
      <c r="P1638" s="163">
        <f t="shared" si="1642"/>
        <v>364</v>
      </c>
      <c r="Q1638" s="163">
        <f t="shared" si="1642"/>
        <v>402</v>
      </c>
      <c r="R1638" s="163">
        <f>IFERROR(__xludf.DUMMYFUNCTION("RANK(M1638,filter(M:M,C:C=C1638))"),134.0)</f>
        <v>134</v>
      </c>
      <c r="S1638" s="161" t="b">
        <f t="shared" si="5"/>
        <v>0</v>
      </c>
      <c r="T1638" s="161" t="b">
        <f t="array" ref="T1638">index('Query Tool'!B:B,match(H1638,'Query Tool'!C:C,0))</f>
        <v>1</v>
      </c>
      <c r="U1638" s="161" t="b">
        <f t="array" ref="U1638">index('Query Tool'!B:B,match(C1638,'Query Tool'!C:C,0))</f>
        <v>0</v>
      </c>
      <c r="V1638" s="161" t="b">
        <f>F1638&gt;='Query Tool'!C$32</f>
        <v>1</v>
      </c>
      <c r="W1638" s="161" t="b">
        <f t="array" ref="W1638">index(Dropdowns!B:B,match(I1638,Dropdowns!A:A,0))</f>
        <v>1</v>
      </c>
      <c r="X1638" s="161" t="b">
        <f t="array" ref="X1638">index('Query Tool'!B:B,match(D1638,'Query Tool'!C:C,0))</f>
        <v>1</v>
      </c>
      <c r="Y1638" s="161" t="str">
        <f t="shared" si="6"/>
        <v>linje01,2016-17</v>
      </c>
      <c r="Z1638" s="168">
        <f t="array" ref="Z1638">iferror(index(I:I,match($A1638&amp;","&amp;index('Year Conversion'!$A:$A,match($C1638,'Year Conversion'!$B:$B,0)),$Y:$Y,0))-I1638,"")</f>
        <v>1</v>
      </c>
      <c r="AA1638" s="168">
        <f t="array" ref="AA1638">iferror(index(J:J,match($A1638&amp;","&amp;index('Year Conversion'!$A:$A,match($C1638,'Year Conversion'!$B:$B,0)),$Y:$Y,0))-J1638,"")</f>
        <v>-2.491866562</v>
      </c>
      <c r="AB1638" s="168">
        <f t="array" ref="AB1638">iferror(index(K:K,match($A1638&amp;","&amp;index('Year Conversion'!$A:$A,match($C1638,'Year Conversion'!$B:$B,0)),$Y:$Y,0))-K1638,"")</f>
        <v>-1.567147942</v>
      </c>
      <c r="AC1638" s="168" t="str">
        <f t="shared" si="7"/>
        <v>BRK,2016-17</v>
      </c>
    </row>
    <row r="1639">
      <c r="A1639" s="161" t="str">
        <f>IFERROR(__xludf.DUMMYFUNCTION("""COMPUTED_VALUE"""),"smithis01")</f>
        <v>smithis01</v>
      </c>
      <c r="B1639" s="161" t="str">
        <f>IFERROR(__xludf.DUMMYFUNCTION("""COMPUTED_VALUE"""),"Ish Smith")</f>
        <v>Ish Smith</v>
      </c>
      <c r="C1639" s="162" t="str">
        <f>IFERROR(__xludf.DUMMYFUNCTION("""COMPUTED_VALUE"""),"2016-17")</f>
        <v>2016-17</v>
      </c>
      <c r="D1639" s="163" t="str">
        <f>IFERROR(__xludf.DUMMYFUNCTION("""COMPUTED_VALUE"""),"DET")</f>
        <v>DET</v>
      </c>
      <c r="E1639" s="164" t="str">
        <f>IFERROR(__xludf.DUMMYFUNCTION("""COMPUTED_VALUE"""),"Slasher")</f>
        <v>Slasher</v>
      </c>
      <c r="F1639" s="164">
        <f>IFERROR(__xludf.DUMMYFUNCTION("""COMPUTED_VALUE"""),1955.215)</f>
        <v>1955.215</v>
      </c>
      <c r="G1639" s="163">
        <f>IFERROR(__xludf.DUMMYFUNCTION("""COMPUTED_VALUE"""),81.0)</f>
        <v>81</v>
      </c>
      <c r="H1639" s="163" t="str">
        <f>IFERROR(__xludf.DUMMYFUNCTION("""COMPUTED_VALUE"""),"PG")</f>
        <v>PG</v>
      </c>
      <c r="I1639" s="163">
        <f>IFERROR(__xludf.DUMMYFUNCTION("""COMPUTED_VALUE"""),28.0)</f>
        <v>28</v>
      </c>
      <c r="J1639" s="165">
        <f>IFERROR(__xludf.DUMMYFUNCTION("""COMPUTED_VALUE"""),0.79889860075646)</f>
        <v>0.7988986008</v>
      </c>
      <c r="K1639" s="165">
        <f>IFERROR(__xludf.DUMMYFUNCTION("""COMPUTED_VALUE"""),0.39233449630126)</f>
        <v>0.3923344963</v>
      </c>
      <c r="L1639" s="165">
        <f>IFERROR(__xludf.DUMMYFUNCTION("""COMPUTED_VALUE"""),0.4065641044552)</f>
        <v>0.4065641045</v>
      </c>
      <c r="M1639" s="166">
        <f t="shared" si="2"/>
        <v>4.066454059</v>
      </c>
      <c r="N1639" s="167">
        <f t="shared" si="3"/>
        <v>24.13845679</v>
      </c>
      <c r="O1639" s="163">
        <f t="shared" ref="O1639:Q1639" si="1643">rank(I1639,I:I)</f>
        <v>1090</v>
      </c>
      <c r="P1639" s="163">
        <f t="shared" si="1643"/>
        <v>747</v>
      </c>
      <c r="Q1639" s="163">
        <f t="shared" si="1643"/>
        <v>837</v>
      </c>
      <c r="R1639" s="163">
        <f>IFERROR(__xludf.DUMMYFUNCTION("RANK(M1639,filter(M:M,C:C=C1639))"),81.0)</f>
        <v>81</v>
      </c>
      <c r="S1639" s="161" t="b">
        <f t="shared" si="5"/>
        <v>0</v>
      </c>
      <c r="T1639" s="161" t="b">
        <f t="array" ref="T1639">index('Query Tool'!B:B,match(H1639,'Query Tool'!C:C,0))</f>
        <v>1</v>
      </c>
      <c r="U1639" s="161" t="b">
        <f t="array" ref="U1639">index('Query Tool'!B:B,match(C1639,'Query Tool'!C:C,0))</f>
        <v>0</v>
      </c>
      <c r="V1639" s="161" t="b">
        <f>F1639&gt;='Query Tool'!C$32</f>
        <v>1</v>
      </c>
      <c r="W1639" s="161" t="b">
        <f t="array" ref="W1639">index(Dropdowns!B:B,match(I1639,Dropdowns!A:A,0))</f>
        <v>1</v>
      </c>
      <c r="X1639" s="161" t="b">
        <f t="array" ref="X1639">index('Query Tool'!B:B,match(D1639,'Query Tool'!C:C,0))</f>
        <v>1</v>
      </c>
      <c r="Y1639" s="161" t="str">
        <f t="shared" si="6"/>
        <v>smithis01,2016-17</v>
      </c>
      <c r="Z1639" s="168">
        <f t="array" ref="Z1639">iferror(index(I:I,match($A1639&amp;","&amp;index('Year Conversion'!$A:$A,match($C1639,'Year Conversion'!$B:$B,0)),$Y:$Y,0))-I1639,"")</f>
        <v>1</v>
      </c>
      <c r="AA1639" s="168">
        <f t="array" ref="AA1639">iferror(index(J:J,match($A1639&amp;","&amp;index('Year Conversion'!$A:$A,match($C1639,'Year Conversion'!$B:$B,0)),$Y:$Y,0))-J1639,"")</f>
        <v>-1.341718579</v>
      </c>
      <c r="AB1639" s="168">
        <f t="array" ref="AB1639">iferror(index(K:K,match($A1639&amp;","&amp;index('Year Conversion'!$A:$A,match($C1639,'Year Conversion'!$B:$B,0)),$Y:$Y,0))-K1639,"")</f>
        <v>-0.4881516797</v>
      </c>
      <c r="AC1639" s="168" t="str">
        <f t="shared" si="7"/>
        <v>DET,2016-17</v>
      </c>
    </row>
    <row r="1640">
      <c r="A1640" s="161" t="str">
        <f>IFERROR(__xludf.DUMMYFUNCTION("""COMPUTED_VALUE"""),"millsel01")</f>
        <v>millsel01</v>
      </c>
      <c r="B1640" s="161" t="str">
        <f>IFERROR(__xludf.DUMMYFUNCTION("""COMPUTED_VALUE"""),"Elijah Millsap")</f>
        <v>Elijah Millsap</v>
      </c>
      <c r="C1640" s="162" t="str">
        <f>IFERROR(__xludf.DUMMYFUNCTION("""COMPUTED_VALUE"""),"2016-17")</f>
        <v>2016-17</v>
      </c>
      <c r="D1640" s="163" t="str">
        <f>IFERROR(__xludf.DUMMYFUNCTION("""COMPUTED_VALUE"""),"PHO")</f>
        <v>PHO</v>
      </c>
      <c r="E1640" s="164" t="str">
        <f>IFERROR(__xludf.DUMMYFUNCTION("""COMPUTED_VALUE"""),"Off Screen Shooter")</f>
        <v>Off Screen Shooter</v>
      </c>
      <c r="F1640" s="164">
        <f>IFERROR(__xludf.DUMMYFUNCTION("""COMPUTED_VALUE"""),23.1333333333333)</f>
        <v>23.13333333</v>
      </c>
      <c r="G1640" s="163">
        <f>IFERROR(__xludf.DUMMYFUNCTION("""COMPUTED_VALUE"""),2.0)</f>
        <v>2</v>
      </c>
      <c r="H1640" s="163" t="str">
        <f>IFERROR(__xludf.DUMMYFUNCTION("""COMPUTED_VALUE"""),"SG")</f>
        <v>SG</v>
      </c>
      <c r="I1640" s="163">
        <f>IFERROR(__xludf.DUMMYFUNCTION("""COMPUTED_VALUE"""),29.0)</f>
        <v>29</v>
      </c>
      <c r="J1640" s="165">
        <f>IFERROR(__xludf.DUMMYFUNCTION("""COMPUTED_VALUE"""),0.120681473537643)</f>
        <v>0.1206814735</v>
      </c>
      <c r="K1640" s="165">
        <f>IFERROR(__xludf.DUMMYFUNCTION("""COMPUTED_VALUE"""),0.0847875010573166)</f>
        <v>0.08478750106</v>
      </c>
      <c r="L1640" s="165">
        <f>IFERROR(__xludf.DUMMYFUNCTION("""COMPUTED_VALUE"""),0.0358939724803267)</f>
        <v>0.03589397248</v>
      </c>
      <c r="M1640" s="166">
        <f t="shared" si="2"/>
        <v>0.03754603017</v>
      </c>
      <c r="N1640" s="167">
        <f t="shared" si="3"/>
        <v>11.56666667</v>
      </c>
      <c r="O1640" s="163">
        <f t="shared" ref="O1640:Q1640" si="1644">rank(I1640,I:I)</f>
        <v>855</v>
      </c>
      <c r="P1640" s="163">
        <f t="shared" si="1644"/>
        <v>1162</v>
      </c>
      <c r="Q1640" s="163">
        <f t="shared" si="1644"/>
        <v>1088</v>
      </c>
      <c r="R1640" s="163">
        <f>IFERROR(__xludf.DUMMYFUNCTION("RANK(M1640,filter(M:M,C:C=C1640))"),417.0)</f>
        <v>417</v>
      </c>
      <c r="S1640" s="161" t="b">
        <f t="shared" si="5"/>
        <v>0</v>
      </c>
      <c r="T1640" s="161" t="b">
        <f t="array" ref="T1640">index('Query Tool'!B:B,match(H1640,'Query Tool'!C:C,0))</f>
        <v>1</v>
      </c>
      <c r="U1640" s="161" t="b">
        <f t="array" ref="U1640">index('Query Tool'!B:B,match(C1640,'Query Tool'!C:C,0))</f>
        <v>0</v>
      </c>
      <c r="V1640" s="161" t="b">
        <f>F1640&gt;='Query Tool'!C$32</f>
        <v>0</v>
      </c>
      <c r="W1640" s="161" t="b">
        <f t="array" ref="W1640">index(Dropdowns!B:B,match(I1640,Dropdowns!A:A,0))</f>
        <v>1</v>
      </c>
      <c r="X1640" s="161" t="b">
        <f t="array" ref="X1640">index('Query Tool'!B:B,match(D1640,'Query Tool'!C:C,0))</f>
        <v>1</v>
      </c>
      <c r="Y1640" s="161" t="str">
        <f t="shared" si="6"/>
        <v>millsel01,2016-17</v>
      </c>
      <c r="Z1640" s="168" t="str">
        <f t="array" ref="Z1640">iferror(index(I:I,match($A1640&amp;","&amp;index('Year Conversion'!$A:$A,match($C1640,'Year Conversion'!$B:$B,0)),$Y:$Y,0))-I1640,"")</f>
        <v/>
      </c>
      <c r="AA1640" s="168" t="str">
        <f t="array" ref="AA1640">iferror(index(J:J,match($A1640&amp;","&amp;index('Year Conversion'!$A:$A,match($C1640,'Year Conversion'!$B:$B,0)),$Y:$Y,0))-J1640,"")</f>
        <v/>
      </c>
      <c r="AB1640" s="168" t="str">
        <f t="array" ref="AB1640">iferror(index(K:K,match($A1640&amp;","&amp;index('Year Conversion'!$A:$A,match($C1640,'Year Conversion'!$B:$B,0)),$Y:$Y,0))-K1640,"")</f>
        <v/>
      </c>
      <c r="AC1640" s="168" t="str">
        <f t="shared" si="7"/>
        <v>PHO,2016-17</v>
      </c>
    </row>
    <row r="1641">
      <c r="A1641" s="161" t="str">
        <f>IFERROR(__xludf.DUMMYFUNCTION("""COMPUTED_VALUE"""),"harrima01")</f>
        <v>harrima01</v>
      </c>
      <c r="B1641" s="161" t="str">
        <f>IFERROR(__xludf.DUMMYFUNCTION("""COMPUTED_VALUE"""),"Manny Harris")</f>
        <v>Manny Harris</v>
      </c>
      <c r="C1641" s="162" t="str">
        <f>IFERROR(__xludf.DUMMYFUNCTION("""COMPUTED_VALUE"""),"2016-17")</f>
        <v>2016-17</v>
      </c>
      <c r="D1641" s="163" t="str">
        <f>IFERROR(__xludf.DUMMYFUNCTION("""COMPUTED_VALUE"""),"DAL")</f>
        <v>DAL</v>
      </c>
      <c r="E1641" s="164" t="str">
        <f>IFERROR(__xludf.DUMMYFUNCTION("""COMPUTED_VALUE"""),"Slasher")</f>
        <v>Slasher</v>
      </c>
      <c r="F1641" s="164">
        <f>IFERROR(__xludf.DUMMYFUNCTION("""COMPUTED_VALUE"""),24.75)</f>
        <v>24.75</v>
      </c>
      <c r="G1641" s="163">
        <f>IFERROR(__xludf.DUMMYFUNCTION("""COMPUTED_VALUE"""),4.0)</f>
        <v>4</v>
      </c>
      <c r="H1641" s="163" t="str">
        <f>IFERROR(__xludf.DUMMYFUNCTION("""COMPUTED_VALUE"""),"SG")</f>
        <v>SG</v>
      </c>
      <c r="I1641" s="163">
        <f>IFERROR(__xludf.DUMMYFUNCTION("""COMPUTED_VALUE"""),27.0)</f>
        <v>27</v>
      </c>
      <c r="J1641" s="165">
        <f>IFERROR(__xludf.DUMMYFUNCTION("""COMPUTED_VALUE"""),-0.379385328275529)</f>
        <v>-0.3793853283</v>
      </c>
      <c r="K1641" s="165">
        <f>IFERROR(__xludf.DUMMYFUNCTION("""COMPUTED_VALUE"""),-0.171410041529808)</f>
        <v>-0.1714100415</v>
      </c>
      <c r="L1641" s="165">
        <f>IFERROR(__xludf.DUMMYFUNCTION("""COMPUTED_VALUE"""),-0.207975286745721)</f>
        <v>-0.2079752867</v>
      </c>
      <c r="M1641" s="166">
        <f t="shared" si="2"/>
        <v>0.0318270168</v>
      </c>
      <c r="N1641" s="167">
        <f t="shared" si="3"/>
        <v>6.1875</v>
      </c>
      <c r="O1641" s="163">
        <f t="shared" ref="O1641:Q1641" si="1645">rank(I1641,I:I)</f>
        <v>1366</v>
      </c>
      <c r="P1641" s="163">
        <f t="shared" si="1645"/>
        <v>1708</v>
      </c>
      <c r="Q1641" s="163">
        <f t="shared" si="1645"/>
        <v>1517</v>
      </c>
      <c r="R1641" s="163">
        <f>IFERROR(__xludf.DUMMYFUNCTION("RANK(M1641,filter(M:M,C:C=C1641))"),421.0)</f>
        <v>421</v>
      </c>
      <c r="S1641" s="161" t="b">
        <f t="shared" si="5"/>
        <v>0</v>
      </c>
      <c r="T1641" s="161" t="b">
        <f t="array" ref="T1641">index('Query Tool'!B:B,match(H1641,'Query Tool'!C:C,0))</f>
        <v>1</v>
      </c>
      <c r="U1641" s="161" t="b">
        <f t="array" ref="U1641">index('Query Tool'!B:B,match(C1641,'Query Tool'!C:C,0))</f>
        <v>0</v>
      </c>
      <c r="V1641" s="161" t="b">
        <f>F1641&gt;='Query Tool'!C$32</f>
        <v>0</v>
      </c>
      <c r="W1641" s="161" t="b">
        <f t="array" ref="W1641">index(Dropdowns!B:B,match(I1641,Dropdowns!A:A,0))</f>
        <v>1</v>
      </c>
      <c r="X1641" s="161" t="b">
        <f t="array" ref="X1641">index('Query Tool'!B:B,match(D1641,'Query Tool'!C:C,0))</f>
        <v>1</v>
      </c>
      <c r="Y1641" s="161" t="str">
        <f t="shared" si="6"/>
        <v>harrima01,2016-17</v>
      </c>
      <c r="Z1641" s="168" t="str">
        <f t="array" ref="Z1641">iferror(index(I:I,match($A1641&amp;","&amp;index('Year Conversion'!$A:$A,match($C1641,'Year Conversion'!$B:$B,0)),$Y:$Y,0))-I1641,"")</f>
        <v/>
      </c>
      <c r="AA1641" s="168" t="str">
        <f t="array" ref="AA1641">iferror(index(J:J,match($A1641&amp;","&amp;index('Year Conversion'!$A:$A,match($C1641,'Year Conversion'!$B:$B,0)),$Y:$Y,0))-J1641,"")</f>
        <v/>
      </c>
      <c r="AB1641" s="168" t="str">
        <f t="array" ref="AB1641">iferror(index(K:K,match($A1641&amp;","&amp;index('Year Conversion'!$A:$A,match($C1641,'Year Conversion'!$B:$B,0)),$Y:$Y,0))-K1641,"")</f>
        <v/>
      </c>
      <c r="AC1641" s="168" t="str">
        <f t="shared" si="7"/>
        <v>DAL,2016-17</v>
      </c>
    </row>
    <row r="1642">
      <c r="A1642" s="161" t="str">
        <f>IFERROR(__xludf.DUMMYFUNCTION("""COMPUTED_VALUE"""),"thomala01")</f>
        <v>thomala01</v>
      </c>
      <c r="B1642" s="161" t="str">
        <f>IFERROR(__xludf.DUMMYFUNCTION("""COMPUTED_VALUE"""),"Lance Thomas")</f>
        <v>Lance Thomas</v>
      </c>
      <c r="C1642" s="162" t="str">
        <f>IFERROR(__xludf.DUMMYFUNCTION("""COMPUTED_VALUE"""),"2016-17")</f>
        <v>2016-17</v>
      </c>
      <c r="D1642" s="163" t="str">
        <f>IFERROR(__xludf.DUMMYFUNCTION("""COMPUTED_VALUE"""),"NYK")</f>
        <v>NYK</v>
      </c>
      <c r="E1642" s="164" t="str">
        <f>IFERROR(__xludf.DUMMYFUNCTION("""COMPUTED_VALUE"""),"Stationary Shooter")</f>
        <v>Stationary Shooter</v>
      </c>
      <c r="F1642" s="164">
        <f>IFERROR(__xludf.DUMMYFUNCTION("""COMPUTED_VALUE"""),967.648333333333)</f>
        <v>967.6483333</v>
      </c>
      <c r="G1642" s="163">
        <f>IFERROR(__xludf.DUMMYFUNCTION("""COMPUTED_VALUE"""),46.0)</f>
        <v>46</v>
      </c>
      <c r="H1642" s="163" t="str">
        <f>IFERROR(__xludf.DUMMYFUNCTION("""COMPUTED_VALUE"""),"PF")</f>
        <v>PF</v>
      </c>
      <c r="I1642" s="163">
        <f>IFERROR(__xludf.DUMMYFUNCTION("""COMPUTED_VALUE"""),28.0)</f>
        <v>28</v>
      </c>
      <c r="J1642" s="165">
        <f>IFERROR(__xludf.DUMMYFUNCTION("""COMPUTED_VALUE"""),-3.42036863544654)</f>
        <v>-3.420368635</v>
      </c>
      <c r="K1642" s="165">
        <f>IFERROR(__xludf.DUMMYFUNCTION("""COMPUTED_VALUE"""),-2.00505486161276)</f>
        <v>-2.005054862</v>
      </c>
      <c r="L1642" s="165">
        <f>IFERROR(__xludf.DUMMYFUNCTION("""COMPUTED_VALUE"""),-1.41531377383378)</f>
        <v>-1.415313774</v>
      </c>
      <c r="M1642" s="166">
        <f t="shared" si="2"/>
        <v>-0.7040120536</v>
      </c>
      <c r="N1642" s="167">
        <f t="shared" si="3"/>
        <v>21.03583333</v>
      </c>
      <c r="O1642" s="163">
        <f t="shared" ref="O1642:Q1642" si="1646">rank(I1642,I:I)</f>
        <v>1090</v>
      </c>
      <c r="P1642" s="163">
        <f t="shared" si="1646"/>
        <v>3954</v>
      </c>
      <c r="Q1642" s="163">
        <f t="shared" si="1646"/>
        <v>3712</v>
      </c>
      <c r="R1642" s="163">
        <f>IFERROR(__xludf.DUMMYFUNCTION("RANK(M1642,filter(M:M,C:C=C1642))"),478.0)</f>
        <v>478</v>
      </c>
      <c r="S1642" s="161" t="b">
        <f t="shared" si="5"/>
        <v>0</v>
      </c>
      <c r="T1642" s="161" t="b">
        <f t="array" ref="T1642">index('Query Tool'!B:B,match(H1642,'Query Tool'!C:C,0))</f>
        <v>1</v>
      </c>
      <c r="U1642" s="161" t="b">
        <f t="array" ref="U1642">index('Query Tool'!B:B,match(C1642,'Query Tool'!C:C,0))</f>
        <v>0</v>
      </c>
      <c r="V1642" s="161" t="b">
        <f>F1642&gt;='Query Tool'!C$32</f>
        <v>1</v>
      </c>
      <c r="W1642" s="161" t="b">
        <f t="array" ref="W1642">index(Dropdowns!B:B,match(I1642,Dropdowns!A:A,0))</f>
        <v>1</v>
      </c>
      <c r="X1642" s="161" t="b">
        <f t="array" ref="X1642">index('Query Tool'!B:B,match(D1642,'Query Tool'!C:C,0))</f>
        <v>1</v>
      </c>
      <c r="Y1642" s="161" t="str">
        <f t="shared" si="6"/>
        <v>thomala01,2016-17</v>
      </c>
      <c r="Z1642" s="168">
        <f t="array" ref="Z1642">iferror(index(I:I,match($A1642&amp;","&amp;index('Year Conversion'!$A:$A,match($C1642,'Year Conversion'!$B:$B,0)),$Y:$Y,0))-I1642,"")</f>
        <v>1</v>
      </c>
      <c r="AA1642" s="168">
        <f t="array" ref="AA1642">iferror(index(J:J,match($A1642&amp;","&amp;index('Year Conversion'!$A:$A,match($C1642,'Year Conversion'!$B:$B,0)),$Y:$Y,0))-J1642,"")</f>
        <v>0.6694976811</v>
      </c>
      <c r="AB1642" s="168">
        <f t="array" ref="AB1642">iferror(index(K:K,match($A1642&amp;","&amp;index('Year Conversion'!$A:$A,match($C1642,'Year Conversion'!$B:$B,0)),$Y:$Y,0))-K1642,"")</f>
        <v>-0.5397167268</v>
      </c>
      <c r="AC1642" s="168" t="str">
        <f t="shared" si="7"/>
        <v>NYK,2016-17</v>
      </c>
    </row>
    <row r="1643">
      <c r="A1643" s="161" t="str">
        <f>IFERROR(__xludf.DUMMYFUNCTION("""COMPUTED_VALUE"""),"onuakar01")</f>
        <v>onuakar01</v>
      </c>
      <c r="B1643" s="161" t="str">
        <f>IFERROR(__xludf.DUMMYFUNCTION("""COMPUTED_VALUE"""),"Arinze Onuaku")</f>
        <v>Arinze Onuaku</v>
      </c>
      <c r="C1643" s="162" t="str">
        <f>IFERROR(__xludf.DUMMYFUNCTION("""COMPUTED_VALUE"""),"2016-17")</f>
        <v>2016-17</v>
      </c>
      <c r="D1643" s="163" t="str">
        <f>IFERROR(__xludf.DUMMYFUNCTION("""COMPUTED_VALUE"""),"ORL")</f>
        <v>ORL</v>
      </c>
      <c r="E1643" s="164" t="str">
        <f>IFERROR(__xludf.DUMMYFUNCTION("""COMPUTED_VALUE"""),"Post Scorer")</f>
        <v>Post Scorer</v>
      </c>
      <c r="F1643" s="164">
        <f>IFERROR(__xludf.DUMMYFUNCTION("""COMPUTED_VALUE"""),28.3333333333333)</f>
        <v>28.33333333</v>
      </c>
      <c r="G1643" s="163">
        <f>IFERROR(__xludf.DUMMYFUNCTION("""COMPUTED_VALUE"""),8.0)</f>
        <v>8</v>
      </c>
      <c r="H1643" s="163" t="str">
        <f>IFERROR(__xludf.DUMMYFUNCTION("""COMPUTED_VALUE"""),"C")</f>
        <v>C</v>
      </c>
      <c r="I1643" s="163">
        <f>IFERROR(__xludf.DUMMYFUNCTION("""COMPUTED_VALUE"""),29.0)</f>
        <v>29</v>
      </c>
      <c r="J1643" s="165">
        <f>IFERROR(__xludf.DUMMYFUNCTION("""COMPUTED_VALUE"""),-0.317732859770002)</f>
        <v>-0.3177328598</v>
      </c>
      <c r="K1643" s="165">
        <f>IFERROR(__xludf.DUMMYFUNCTION("""COMPUTED_VALUE"""),-0.481069066357142)</f>
        <v>-0.4810690664</v>
      </c>
      <c r="L1643" s="165">
        <f>IFERROR(__xludf.DUMMYFUNCTION("""COMPUTED_VALUE"""),0.16333620658714)</f>
        <v>0.1633362066</v>
      </c>
      <c r="M1643" s="166">
        <f t="shared" si="2"/>
        <v>0.03761205929</v>
      </c>
      <c r="N1643" s="167">
        <f t="shared" si="3"/>
        <v>3.541666667</v>
      </c>
      <c r="O1643" s="163">
        <f t="shared" ref="O1643:Q1643" si="1647">rank(I1643,I:I)</f>
        <v>855</v>
      </c>
      <c r="P1643" s="163">
        <f t="shared" si="1647"/>
        <v>1635</v>
      </c>
      <c r="Q1643" s="163">
        <f t="shared" si="1647"/>
        <v>2083</v>
      </c>
      <c r="R1643" s="163">
        <f>IFERROR(__xludf.DUMMYFUNCTION("RANK(M1643,filter(M:M,C:C=C1643))"),416.0)</f>
        <v>416</v>
      </c>
      <c r="S1643" s="161" t="b">
        <f t="shared" si="5"/>
        <v>0</v>
      </c>
      <c r="T1643" s="161" t="b">
        <f t="array" ref="T1643">index('Query Tool'!B:B,match(H1643,'Query Tool'!C:C,0))</f>
        <v>1</v>
      </c>
      <c r="U1643" s="161" t="b">
        <f t="array" ref="U1643">index('Query Tool'!B:B,match(C1643,'Query Tool'!C:C,0))</f>
        <v>0</v>
      </c>
      <c r="V1643" s="161" t="b">
        <f>F1643&gt;='Query Tool'!C$32</f>
        <v>0</v>
      </c>
      <c r="W1643" s="161" t="b">
        <f t="array" ref="W1643">index(Dropdowns!B:B,match(I1643,Dropdowns!A:A,0))</f>
        <v>1</v>
      </c>
      <c r="X1643" s="161" t="b">
        <f t="array" ref="X1643">index('Query Tool'!B:B,match(D1643,'Query Tool'!C:C,0))</f>
        <v>1</v>
      </c>
      <c r="Y1643" s="161" t="str">
        <f t="shared" si="6"/>
        <v>onuakar01,2016-17</v>
      </c>
      <c r="Z1643" s="168" t="str">
        <f t="array" ref="Z1643">iferror(index(I:I,match($A1643&amp;","&amp;index('Year Conversion'!$A:$A,match($C1643,'Year Conversion'!$B:$B,0)),$Y:$Y,0))-I1643,"")</f>
        <v/>
      </c>
      <c r="AA1643" s="168" t="str">
        <f t="array" ref="AA1643">iferror(index(J:J,match($A1643&amp;","&amp;index('Year Conversion'!$A:$A,match($C1643,'Year Conversion'!$B:$B,0)),$Y:$Y,0))-J1643,"")</f>
        <v/>
      </c>
      <c r="AB1643" s="168" t="str">
        <f t="array" ref="AB1643">iferror(index(K:K,match($A1643&amp;","&amp;index('Year Conversion'!$A:$A,match($C1643,'Year Conversion'!$B:$B,0)),$Y:$Y,0))-K1643,"")</f>
        <v/>
      </c>
      <c r="AC1643" s="168" t="str">
        <f t="shared" si="7"/>
        <v>ORL,2016-17</v>
      </c>
    </row>
    <row r="1644">
      <c r="A1644" s="161" t="str">
        <f>IFERROR(__xludf.DUMMYFUNCTION("""COMPUTED_VALUE"""),"irvinky01")</f>
        <v>irvinky01</v>
      </c>
      <c r="B1644" s="161" t="str">
        <f>IFERROR(__xludf.DUMMYFUNCTION("""COMPUTED_VALUE"""),"Kyrie Irving")</f>
        <v>Kyrie Irving</v>
      </c>
      <c r="C1644" s="162" t="str">
        <f>IFERROR(__xludf.DUMMYFUNCTION("""COMPUTED_VALUE"""),"2016-17")</f>
        <v>2016-17</v>
      </c>
      <c r="D1644" s="163" t="str">
        <f>IFERROR(__xludf.DUMMYFUNCTION("""COMPUTED_VALUE"""),"CLE")</f>
        <v>CLE</v>
      </c>
      <c r="E1644" s="164" t="str">
        <f>IFERROR(__xludf.DUMMYFUNCTION("""COMPUTED_VALUE"""),"Shot Creator")</f>
        <v>Shot Creator</v>
      </c>
      <c r="F1644" s="164">
        <f>IFERROR(__xludf.DUMMYFUNCTION("""COMPUTED_VALUE"""),2524.63)</f>
        <v>2524.63</v>
      </c>
      <c r="G1644" s="163">
        <f>IFERROR(__xludf.DUMMYFUNCTION("""COMPUTED_VALUE"""),72.0)</f>
        <v>72</v>
      </c>
      <c r="H1644" s="163" t="str">
        <f>IFERROR(__xludf.DUMMYFUNCTION("""COMPUTED_VALUE"""),"PG")</f>
        <v>PG</v>
      </c>
      <c r="I1644" s="163">
        <f>IFERROR(__xludf.DUMMYFUNCTION("""COMPUTED_VALUE"""),24.0)</f>
        <v>24</v>
      </c>
      <c r="J1644" s="165">
        <f>IFERROR(__xludf.DUMMYFUNCTION("""COMPUTED_VALUE"""),2.76608074623389)</f>
        <v>2.766080746</v>
      </c>
      <c r="K1644" s="165">
        <f>IFERROR(__xludf.DUMMYFUNCTION("""COMPUTED_VALUE"""),4.05479119824002)</f>
        <v>4.054791198</v>
      </c>
      <c r="L1644" s="165">
        <f>IFERROR(__xludf.DUMMYFUNCTION("""COMPUTED_VALUE"""),-1.28871045200613)</f>
        <v>-1.288710452</v>
      </c>
      <c r="M1644" s="166">
        <f t="shared" si="2"/>
        <v>8.550814985</v>
      </c>
      <c r="N1644" s="167">
        <f t="shared" si="3"/>
        <v>35.06430556</v>
      </c>
      <c r="O1644" s="163">
        <f t="shared" ref="O1644:Q1644" si="1648">rank(I1644,I:I)</f>
        <v>2361</v>
      </c>
      <c r="P1644" s="163">
        <f t="shared" si="1648"/>
        <v>194</v>
      </c>
      <c r="Q1644" s="163">
        <f t="shared" si="1648"/>
        <v>60</v>
      </c>
      <c r="R1644" s="163">
        <f>IFERROR(__xludf.DUMMYFUNCTION("RANK(M1644,filter(M:M,C:C=C1644))"),24.0)</f>
        <v>24</v>
      </c>
      <c r="S1644" s="161" t="b">
        <f t="shared" si="5"/>
        <v>0</v>
      </c>
      <c r="T1644" s="161" t="b">
        <f t="array" ref="T1644">index('Query Tool'!B:B,match(H1644,'Query Tool'!C:C,0))</f>
        <v>1</v>
      </c>
      <c r="U1644" s="161" t="b">
        <f t="array" ref="U1644">index('Query Tool'!B:B,match(C1644,'Query Tool'!C:C,0))</f>
        <v>0</v>
      </c>
      <c r="V1644" s="161" t="b">
        <f>F1644&gt;='Query Tool'!C$32</f>
        <v>1</v>
      </c>
      <c r="W1644" s="161" t="b">
        <f t="array" ref="W1644">index(Dropdowns!B:B,match(I1644,Dropdowns!A:A,0))</f>
        <v>1</v>
      </c>
      <c r="X1644" s="161" t="b">
        <f t="array" ref="X1644">index('Query Tool'!B:B,match(D1644,'Query Tool'!C:C,0))</f>
        <v>1</v>
      </c>
      <c r="Y1644" s="161" t="str">
        <f t="shared" si="6"/>
        <v>irvinky01,2016-17</v>
      </c>
      <c r="Z1644" s="168">
        <f t="array" ref="Z1644">iferror(index(I:I,match($A1644&amp;","&amp;index('Year Conversion'!$A:$A,match($C1644,'Year Conversion'!$B:$B,0)),$Y:$Y,0))-I1644,"")</f>
        <v>1</v>
      </c>
      <c r="AA1644" s="168">
        <f t="array" ref="AA1644">iferror(index(J:J,match($A1644&amp;","&amp;index('Year Conversion'!$A:$A,match($C1644,'Year Conversion'!$B:$B,0)),$Y:$Y,0))-J1644,"")</f>
        <v>-0.7204127875</v>
      </c>
      <c r="AB1644" s="168">
        <f t="array" ref="AB1644">iferror(index(K:K,match($A1644&amp;","&amp;index('Year Conversion'!$A:$A,match($C1644,'Year Conversion'!$B:$B,0)),$Y:$Y,0))-K1644,"")</f>
        <v>-0.7710362857</v>
      </c>
      <c r="AC1644" s="168" t="str">
        <f t="shared" si="7"/>
        <v>CLE,2016-17</v>
      </c>
    </row>
    <row r="1645">
      <c r="A1645" s="161" t="str">
        <f>IFERROR(__xludf.DUMMYFUNCTION("""COMPUTED_VALUE"""),"willide02")</f>
        <v>willide02</v>
      </c>
      <c r="B1645" s="161" t="str">
        <f>IFERROR(__xludf.DUMMYFUNCTION("""COMPUTED_VALUE"""),"Derrick Williams")</f>
        <v>Derrick Williams</v>
      </c>
      <c r="C1645" s="162" t="str">
        <f>IFERROR(__xludf.DUMMYFUNCTION("""COMPUTED_VALUE"""),"2016-17")</f>
        <v>2016-17</v>
      </c>
      <c r="D1645" s="163" t="str">
        <f>IFERROR(__xludf.DUMMYFUNCTION("""COMPUTED_VALUE"""),"TOT")</f>
        <v>TOT</v>
      </c>
      <c r="E1645" s="164" t="str">
        <f>IFERROR(__xludf.DUMMYFUNCTION("""COMPUTED_VALUE"""),"Athletic Finisher")</f>
        <v>Athletic Finisher</v>
      </c>
      <c r="F1645" s="164">
        <f>IFERROR(__xludf.DUMMYFUNCTION("""COMPUTED_VALUE"""),804.315)</f>
        <v>804.315</v>
      </c>
      <c r="G1645" s="163">
        <f>IFERROR(__xludf.DUMMYFUNCTION("""COMPUTED_VALUE"""),50.0)</f>
        <v>50</v>
      </c>
      <c r="H1645" s="163" t="str">
        <f>IFERROR(__xludf.DUMMYFUNCTION("""COMPUTED_VALUE"""),"PF")</f>
        <v>PF</v>
      </c>
      <c r="I1645" s="163">
        <f>IFERROR(__xludf.DUMMYFUNCTION("""COMPUTED_VALUE"""),25.0)</f>
        <v>25</v>
      </c>
      <c r="J1645" s="165">
        <f>IFERROR(__xludf.DUMMYFUNCTION("""COMPUTED_VALUE"""),-2.44176294254092)</f>
        <v>-2.441762943</v>
      </c>
      <c r="K1645" s="165">
        <f>IFERROR(__xludf.DUMMYFUNCTION("""COMPUTED_VALUE"""),-1.12207645408275)</f>
        <v>-1.122076454</v>
      </c>
      <c r="L1645" s="165">
        <f>IFERROR(__xludf.DUMMYFUNCTION("""COMPUTED_VALUE"""),-1.31968648845817)</f>
        <v>-1.319686488</v>
      </c>
      <c r="M1645" s="166">
        <f t="shared" si="2"/>
        <v>-0.07322806689</v>
      </c>
      <c r="N1645" s="167">
        <f t="shared" si="3"/>
        <v>16.0863</v>
      </c>
      <c r="O1645" s="163">
        <f t="shared" ref="O1645:Q1645" si="1649">rank(I1645,I:I)</f>
        <v>1995</v>
      </c>
      <c r="P1645" s="163">
        <f t="shared" si="1649"/>
        <v>3733</v>
      </c>
      <c r="Q1645" s="163">
        <f t="shared" si="1649"/>
        <v>2949</v>
      </c>
      <c r="R1645" s="163">
        <f>IFERROR(__xludf.DUMMYFUNCTION("RANK(M1645,filter(M:M,C:C=C1645))"),457.0)</f>
        <v>457</v>
      </c>
      <c r="S1645" s="161" t="b">
        <f t="shared" si="5"/>
        <v>0</v>
      </c>
      <c r="T1645" s="161" t="b">
        <f t="array" ref="T1645">index('Query Tool'!B:B,match(H1645,'Query Tool'!C:C,0))</f>
        <v>1</v>
      </c>
      <c r="U1645" s="161" t="b">
        <f t="array" ref="U1645">index('Query Tool'!B:B,match(C1645,'Query Tool'!C:C,0))</f>
        <v>0</v>
      </c>
      <c r="V1645" s="161" t="b">
        <f>F1645&gt;='Query Tool'!C$32</f>
        <v>1</v>
      </c>
      <c r="W1645" s="161" t="b">
        <f t="array" ref="W1645">index(Dropdowns!B:B,match(I1645,Dropdowns!A:A,0))</f>
        <v>1</v>
      </c>
      <c r="X1645" s="161" t="b">
        <f t="array" ref="X1645">index('Query Tool'!B:B,match(D1645,'Query Tool'!C:C,0))</f>
        <v>1</v>
      </c>
      <c r="Y1645" s="161" t="str">
        <f t="shared" si="6"/>
        <v>willide02,2016-17</v>
      </c>
      <c r="Z1645" s="168">
        <f t="array" ref="Z1645">iferror(index(I:I,match($A1645&amp;","&amp;index('Year Conversion'!$A:$A,match($C1645,'Year Conversion'!$B:$B,0)),$Y:$Y,0))-I1645,"")</f>
        <v>1</v>
      </c>
      <c r="AA1645" s="168">
        <f t="array" ref="AA1645">iferror(index(J:J,match($A1645&amp;","&amp;index('Year Conversion'!$A:$A,match($C1645,'Year Conversion'!$B:$B,0)),$Y:$Y,0))-J1645,"")</f>
        <v>2.252941612</v>
      </c>
      <c r="AB1645" s="168">
        <f t="array" ref="AB1645">iferror(index(K:K,match($A1645&amp;","&amp;index('Year Conversion'!$A:$A,match($C1645,'Year Conversion'!$B:$B,0)),$Y:$Y,0))-K1645,"")</f>
        <v>0.9468903509</v>
      </c>
      <c r="AC1645" s="168" t="str">
        <f t="shared" si="7"/>
        <v>TOT,2016-17</v>
      </c>
    </row>
    <row r="1646">
      <c r="A1646" s="161" t="str">
        <f>IFERROR(__xludf.DUMMYFUNCTION("""COMPUTED_VALUE"""),"kanteen01")</f>
        <v>kanteen01</v>
      </c>
      <c r="B1646" s="161" t="str">
        <f>IFERROR(__xludf.DUMMYFUNCTION("""COMPUTED_VALUE"""),"Enes Kanter")</f>
        <v>Enes Kanter</v>
      </c>
      <c r="C1646" s="162" t="str">
        <f>IFERROR(__xludf.DUMMYFUNCTION("""COMPUTED_VALUE"""),"2016-17")</f>
        <v>2016-17</v>
      </c>
      <c r="D1646" s="163" t="str">
        <f>IFERROR(__xludf.DUMMYFUNCTION("""COMPUTED_VALUE"""),"OKC")</f>
        <v>OKC</v>
      </c>
      <c r="E1646" s="164" t="str">
        <f>IFERROR(__xludf.DUMMYFUNCTION("""COMPUTED_VALUE"""),"Post Scorer")</f>
        <v>Post Scorer</v>
      </c>
      <c r="F1646" s="164">
        <f>IFERROR(__xludf.DUMMYFUNCTION("""COMPUTED_VALUE"""),1532.835)</f>
        <v>1532.835</v>
      </c>
      <c r="G1646" s="163">
        <f>IFERROR(__xludf.DUMMYFUNCTION("""COMPUTED_VALUE"""),72.0)</f>
        <v>72</v>
      </c>
      <c r="H1646" s="163" t="str">
        <f>IFERROR(__xludf.DUMMYFUNCTION("""COMPUTED_VALUE"""),"C")</f>
        <v>C</v>
      </c>
      <c r="I1646" s="163">
        <f>IFERROR(__xludf.DUMMYFUNCTION("""COMPUTED_VALUE"""),24.0)</f>
        <v>24</v>
      </c>
      <c r="J1646" s="165">
        <f>IFERROR(__xludf.DUMMYFUNCTION("""COMPUTED_VALUE"""),-0.261380474730302)</f>
        <v>-0.2613804747</v>
      </c>
      <c r="K1646" s="165">
        <f>IFERROR(__xludf.DUMMYFUNCTION("""COMPUTED_VALUE"""),1.56526925664439)</f>
        <v>1.565269257</v>
      </c>
      <c r="L1646" s="165">
        <f>IFERROR(__xludf.DUMMYFUNCTION("""COMPUTED_VALUE"""),-1.82664973137469)</f>
        <v>-1.826649731</v>
      </c>
      <c r="M1646" s="166">
        <f t="shared" si="2"/>
        <v>2.093029992</v>
      </c>
      <c r="N1646" s="167">
        <f t="shared" si="3"/>
        <v>21.289375</v>
      </c>
      <c r="O1646" s="163">
        <f t="shared" ref="O1646:Q1646" si="1650">rank(I1646,I:I)</f>
        <v>2361</v>
      </c>
      <c r="P1646" s="163">
        <f t="shared" si="1650"/>
        <v>1572</v>
      </c>
      <c r="Q1646" s="163">
        <f t="shared" si="1650"/>
        <v>302</v>
      </c>
      <c r="R1646" s="163">
        <f>IFERROR(__xludf.DUMMYFUNCTION("RANK(M1646,filter(M:M,C:C=C1646))"),157.0)</f>
        <v>157</v>
      </c>
      <c r="S1646" s="161" t="b">
        <f t="shared" si="5"/>
        <v>0</v>
      </c>
      <c r="T1646" s="161" t="b">
        <f t="array" ref="T1646">index('Query Tool'!B:B,match(H1646,'Query Tool'!C:C,0))</f>
        <v>1</v>
      </c>
      <c r="U1646" s="161" t="b">
        <f t="array" ref="U1646">index('Query Tool'!B:B,match(C1646,'Query Tool'!C:C,0))</f>
        <v>0</v>
      </c>
      <c r="V1646" s="161" t="b">
        <f>F1646&gt;='Query Tool'!C$32</f>
        <v>1</v>
      </c>
      <c r="W1646" s="161" t="b">
        <f t="array" ref="W1646">index(Dropdowns!B:B,match(I1646,Dropdowns!A:A,0))</f>
        <v>1</v>
      </c>
      <c r="X1646" s="161" t="b">
        <f t="array" ref="X1646">index('Query Tool'!B:B,match(D1646,'Query Tool'!C:C,0))</f>
        <v>1</v>
      </c>
      <c r="Y1646" s="161" t="str">
        <f t="shared" si="6"/>
        <v>kanteen01,2016-17</v>
      </c>
      <c r="Z1646" s="168">
        <f t="array" ref="Z1646">iferror(index(I:I,match($A1646&amp;","&amp;index('Year Conversion'!$A:$A,match($C1646,'Year Conversion'!$B:$B,0)),$Y:$Y,0))-I1646,"")</f>
        <v>1</v>
      </c>
      <c r="AA1646" s="168">
        <f t="array" ref="AA1646">iferror(index(J:J,match($A1646&amp;","&amp;index('Year Conversion'!$A:$A,match($C1646,'Year Conversion'!$B:$B,0)),$Y:$Y,0))-J1646,"")</f>
        <v>1.019700049</v>
      </c>
      <c r="AB1646" s="168">
        <f t="array" ref="AB1646">iferror(index(K:K,match($A1646&amp;","&amp;index('Year Conversion'!$A:$A,match($C1646,'Year Conversion'!$B:$B,0)),$Y:$Y,0))-K1646,"")</f>
        <v>-0.6867906901</v>
      </c>
      <c r="AC1646" s="168" t="str">
        <f t="shared" si="7"/>
        <v>OKC,2016-17</v>
      </c>
    </row>
    <row r="1647">
      <c r="A1647" s="161" t="str">
        <f>IFERROR(__xludf.DUMMYFUNCTION("""COMPUTED_VALUE"""),"thomptr01")</f>
        <v>thomptr01</v>
      </c>
      <c r="B1647" s="161" t="str">
        <f>IFERROR(__xludf.DUMMYFUNCTION("""COMPUTED_VALUE"""),"Tristan Thompson")</f>
        <v>Tristan Thompson</v>
      </c>
      <c r="C1647" s="162" t="str">
        <f>IFERROR(__xludf.DUMMYFUNCTION("""COMPUTED_VALUE"""),"2016-17")</f>
        <v>2016-17</v>
      </c>
      <c r="D1647" s="163" t="str">
        <f>IFERROR(__xludf.DUMMYFUNCTION("""COMPUTED_VALUE"""),"CLE")</f>
        <v>CLE</v>
      </c>
      <c r="E1647" s="164" t="str">
        <f>IFERROR(__xludf.DUMMYFUNCTION("""COMPUTED_VALUE"""),"Roll + Cut Big")</f>
        <v>Roll + Cut Big</v>
      </c>
      <c r="F1647" s="164">
        <f>IFERROR(__xludf.DUMMYFUNCTION("""COMPUTED_VALUE"""),2336.38166666667)</f>
        <v>2336.381667</v>
      </c>
      <c r="G1647" s="163">
        <f>IFERROR(__xludf.DUMMYFUNCTION("""COMPUTED_VALUE"""),78.0)</f>
        <v>78</v>
      </c>
      <c r="H1647" s="163" t="str">
        <f>IFERROR(__xludf.DUMMYFUNCTION("""COMPUTED_VALUE"""),"C")</f>
        <v>C</v>
      </c>
      <c r="I1647" s="163">
        <f>IFERROR(__xludf.DUMMYFUNCTION("""COMPUTED_VALUE"""),25.0)</f>
        <v>25</v>
      </c>
      <c r="J1647" s="165">
        <f>IFERROR(__xludf.DUMMYFUNCTION("""COMPUTED_VALUE"""),0.342792323856977)</f>
        <v>0.3427923239</v>
      </c>
      <c r="K1647" s="165">
        <f>IFERROR(__xludf.DUMMYFUNCTION("""COMPUTED_VALUE"""),-1.04471894655694)</f>
        <v>-1.044718947</v>
      </c>
      <c r="L1647" s="165">
        <f>IFERROR(__xludf.DUMMYFUNCTION("""COMPUTED_VALUE"""),1.38751127041392)</f>
        <v>1.38751127</v>
      </c>
      <c r="M1647" s="166">
        <f t="shared" si="2"/>
        <v>4.141787988</v>
      </c>
      <c r="N1647" s="167">
        <f t="shared" si="3"/>
        <v>29.95361111</v>
      </c>
      <c r="O1647" s="163">
        <f t="shared" ref="O1647:Q1647" si="1651">rank(I1647,I:I)</f>
        <v>1995</v>
      </c>
      <c r="P1647" s="163">
        <f t="shared" si="1651"/>
        <v>988</v>
      </c>
      <c r="Q1647" s="163">
        <f t="shared" si="1651"/>
        <v>2862</v>
      </c>
      <c r="R1647" s="163">
        <f>IFERROR(__xludf.DUMMYFUNCTION("RANK(M1647,filter(M:M,C:C=C1647))"),77.0)</f>
        <v>77</v>
      </c>
      <c r="S1647" s="161" t="b">
        <f t="shared" si="5"/>
        <v>0</v>
      </c>
      <c r="T1647" s="161" t="b">
        <f t="array" ref="T1647">index('Query Tool'!B:B,match(H1647,'Query Tool'!C:C,0))</f>
        <v>1</v>
      </c>
      <c r="U1647" s="161" t="b">
        <f t="array" ref="U1647">index('Query Tool'!B:B,match(C1647,'Query Tool'!C:C,0))</f>
        <v>0</v>
      </c>
      <c r="V1647" s="161" t="b">
        <f>F1647&gt;='Query Tool'!C$32</f>
        <v>1</v>
      </c>
      <c r="W1647" s="161" t="b">
        <f t="array" ref="W1647">index(Dropdowns!B:B,match(I1647,Dropdowns!A:A,0))</f>
        <v>1</v>
      </c>
      <c r="X1647" s="161" t="b">
        <f t="array" ref="X1647">index('Query Tool'!B:B,match(D1647,'Query Tool'!C:C,0))</f>
        <v>1</v>
      </c>
      <c r="Y1647" s="161" t="str">
        <f t="shared" si="6"/>
        <v>thomptr01,2016-17</v>
      </c>
      <c r="Z1647" s="168">
        <f t="array" ref="Z1647">iferror(index(I:I,match($A1647&amp;","&amp;index('Year Conversion'!$A:$A,match($C1647,'Year Conversion'!$B:$B,0)),$Y:$Y,0))-I1647,"")</f>
        <v>1</v>
      </c>
      <c r="AA1647" s="168">
        <f t="array" ref="AA1647">iferror(index(J:J,match($A1647&amp;","&amp;index('Year Conversion'!$A:$A,match($C1647,'Year Conversion'!$B:$B,0)),$Y:$Y,0))-J1647,"")</f>
        <v>-2.284786411</v>
      </c>
      <c r="AB1647" s="168">
        <f t="array" ref="AB1647">iferror(index(K:K,match($A1647&amp;","&amp;index('Year Conversion'!$A:$A,match($C1647,'Year Conversion'!$B:$B,0)),$Y:$Y,0))-K1647,"")</f>
        <v>-0.1599438396</v>
      </c>
      <c r="AC1647" s="168" t="str">
        <f t="shared" si="7"/>
        <v>CLE,2016-17</v>
      </c>
    </row>
    <row r="1648">
      <c r="A1648" s="161" t="str">
        <f>IFERROR(__xludf.DUMMYFUNCTION("""COMPUTED_VALUE"""),"valanjo01")</f>
        <v>valanjo01</v>
      </c>
      <c r="B1648" s="161" t="str">
        <f>IFERROR(__xludf.DUMMYFUNCTION("""COMPUTED_VALUE"""),"Jonas Valanciunas")</f>
        <v>Jonas Valanciunas</v>
      </c>
      <c r="C1648" s="162" t="str">
        <f>IFERROR(__xludf.DUMMYFUNCTION("""COMPUTED_VALUE"""),"2016-17")</f>
        <v>2016-17</v>
      </c>
      <c r="D1648" s="163" t="str">
        <f>IFERROR(__xludf.DUMMYFUNCTION("""COMPUTED_VALUE"""),"TOR")</f>
        <v>TOR</v>
      </c>
      <c r="E1648" s="164" t="str">
        <f>IFERROR(__xludf.DUMMYFUNCTION("""COMPUTED_VALUE"""),"Post Scorer")</f>
        <v>Post Scorer</v>
      </c>
      <c r="F1648" s="164">
        <f>IFERROR(__xludf.DUMMYFUNCTION("""COMPUTED_VALUE"""),2065.475)</f>
        <v>2065.475</v>
      </c>
      <c r="G1648" s="163">
        <f>IFERROR(__xludf.DUMMYFUNCTION("""COMPUTED_VALUE"""),80.0)</f>
        <v>80</v>
      </c>
      <c r="H1648" s="163" t="str">
        <f>IFERROR(__xludf.DUMMYFUNCTION("""COMPUTED_VALUE"""),"C")</f>
        <v>C</v>
      </c>
      <c r="I1648" s="163">
        <f>IFERROR(__xludf.DUMMYFUNCTION("""COMPUTED_VALUE"""),24.0)</f>
        <v>24</v>
      </c>
      <c r="J1648" s="165">
        <f>IFERROR(__xludf.DUMMYFUNCTION("""COMPUTED_VALUE"""),0.809868779412937)</f>
        <v>0.8098687794</v>
      </c>
      <c r="K1648" s="165">
        <f>IFERROR(__xludf.DUMMYFUNCTION("""COMPUTED_VALUE"""),0.224676346129477)</f>
        <v>0.2246763461</v>
      </c>
      <c r="L1648" s="165">
        <f>IFERROR(__xludf.DUMMYFUNCTION("""COMPUTED_VALUE"""),0.585192433283459)</f>
        <v>0.5851924333</v>
      </c>
      <c r="M1648" s="166">
        <f t="shared" si="2"/>
        <v>4.311007786</v>
      </c>
      <c r="N1648" s="167">
        <f t="shared" si="3"/>
        <v>25.8184375</v>
      </c>
      <c r="O1648" s="163">
        <f t="shared" ref="O1648:Q1648" si="1652">rank(I1648,I:I)</f>
        <v>2361</v>
      </c>
      <c r="P1648" s="163">
        <f t="shared" si="1652"/>
        <v>736</v>
      </c>
      <c r="Q1648" s="163">
        <f t="shared" si="1652"/>
        <v>965</v>
      </c>
      <c r="R1648" s="163">
        <f>IFERROR(__xludf.DUMMYFUNCTION("RANK(M1648,filter(M:M,C:C=C1648))"),70.0)</f>
        <v>70</v>
      </c>
      <c r="S1648" s="161" t="b">
        <f t="shared" si="5"/>
        <v>0</v>
      </c>
      <c r="T1648" s="161" t="b">
        <f t="array" ref="T1648">index('Query Tool'!B:B,match(H1648,'Query Tool'!C:C,0))</f>
        <v>1</v>
      </c>
      <c r="U1648" s="161" t="b">
        <f t="array" ref="U1648">index('Query Tool'!B:B,match(C1648,'Query Tool'!C:C,0))</f>
        <v>0</v>
      </c>
      <c r="V1648" s="161" t="b">
        <f>F1648&gt;='Query Tool'!C$32</f>
        <v>1</v>
      </c>
      <c r="W1648" s="161" t="b">
        <f t="array" ref="W1648">index(Dropdowns!B:B,match(I1648,Dropdowns!A:A,0))</f>
        <v>1</v>
      </c>
      <c r="X1648" s="161" t="b">
        <f t="array" ref="X1648">index('Query Tool'!B:B,match(D1648,'Query Tool'!C:C,0))</f>
        <v>1</v>
      </c>
      <c r="Y1648" s="161" t="str">
        <f t="shared" si="6"/>
        <v>valanjo01,2016-17</v>
      </c>
      <c r="Z1648" s="168">
        <f t="array" ref="Z1648">iferror(index(I:I,match($A1648&amp;","&amp;index('Year Conversion'!$A:$A,match($C1648,'Year Conversion'!$B:$B,0)),$Y:$Y,0))-I1648,"")</f>
        <v>1</v>
      </c>
      <c r="AA1648" s="168">
        <f t="array" ref="AA1648">iferror(index(J:J,match($A1648&amp;","&amp;index('Year Conversion'!$A:$A,match($C1648,'Year Conversion'!$B:$B,0)),$Y:$Y,0))-J1648,"")</f>
        <v>0.2037210689</v>
      </c>
      <c r="AB1648" s="168">
        <f t="array" ref="AB1648">iferror(index(K:K,match($A1648&amp;","&amp;index('Year Conversion'!$A:$A,match($C1648,'Year Conversion'!$B:$B,0)),$Y:$Y,0))-K1648,"")</f>
        <v>-0.008749926117</v>
      </c>
      <c r="AC1648" s="168" t="str">
        <f t="shared" si="7"/>
        <v>TOR,2016-17</v>
      </c>
    </row>
    <row r="1649">
      <c r="A1649" s="161" t="str">
        <f>IFERROR(__xludf.DUMMYFUNCTION("""COMPUTED_VALUE"""),"biyombi01")</f>
        <v>biyombi01</v>
      </c>
      <c r="B1649" s="161" t="str">
        <f>IFERROR(__xludf.DUMMYFUNCTION("""COMPUTED_VALUE"""),"Bismack Biyombo")</f>
        <v>Bismack Biyombo</v>
      </c>
      <c r="C1649" s="162" t="str">
        <f>IFERROR(__xludf.DUMMYFUNCTION("""COMPUTED_VALUE"""),"2016-17")</f>
        <v>2016-17</v>
      </c>
      <c r="D1649" s="163" t="str">
        <f>IFERROR(__xludf.DUMMYFUNCTION("""COMPUTED_VALUE"""),"ORL")</f>
        <v>ORL</v>
      </c>
      <c r="E1649" s="164" t="str">
        <f>IFERROR(__xludf.DUMMYFUNCTION("""COMPUTED_VALUE"""),"Roll + Cut Big")</f>
        <v>Roll + Cut Big</v>
      </c>
      <c r="F1649" s="164">
        <f>IFERROR(__xludf.DUMMYFUNCTION("""COMPUTED_VALUE"""),1793.415)</f>
        <v>1793.415</v>
      </c>
      <c r="G1649" s="163">
        <f>IFERROR(__xludf.DUMMYFUNCTION("""COMPUTED_VALUE"""),81.0)</f>
        <v>81</v>
      </c>
      <c r="H1649" s="163" t="str">
        <f>IFERROR(__xludf.DUMMYFUNCTION("""COMPUTED_VALUE"""),"C")</f>
        <v>C</v>
      </c>
      <c r="I1649" s="163">
        <f>IFERROR(__xludf.DUMMYFUNCTION("""COMPUTED_VALUE"""),24.0)</f>
        <v>24</v>
      </c>
      <c r="J1649" s="165">
        <f>IFERROR(__xludf.DUMMYFUNCTION("""COMPUTED_VALUE"""),-0.511055692155276)</f>
        <v>-0.5110556922</v>
      </c>
      <c r="K1649" s="165">
        <f>IFERROR(__xludf.DUMMYFUNCTION("""COMPUTED_VALUE"""),-2.02023357248697)</f>
        <v>-2.020233572</v>
      </c>
      <c r="L1649" s="165">
        <f>IFERROR(__xludf.DUMMYFUNCTION("""COMPUTED_VALUE"""),1.5091778803317)</f>
        <v>1.50917788</v>
      </c>
      <c r="M1649" s="166">
        <f t="shared" si="2"/>
        <v>2.147153698</v>
      </c>
      <c r="N1649" s="167">
        <f t="shared" si="3"/>
        <v>22.14092593</v>
      </c>
      <c r="O1649" s="163">
        <f t="shared" ref="O1649:Q1649" si="1653">rank(I1649,I:I)</f>
        <v>2361</v>
      </c>
      <c r="P1649" s="163">
        <f t="shared" si="1653"/>
        <v>1870</v>
      </c>
      <c r="Q1649" s="163">
        <f t="shared" si="1653"/>
        <v>3717</v>
      </c>
      <c r="R1649" s="163">
        <f>IFERROR(__xludf.DUMMYFUNCTION("RANK(M1649,filter(M:M,C:C=C1649))"),150.0)</f>
        <v>150</v>
      </c>
      <c r="S1649" s="161" t="b">
        <f t="shared" si="5"/>
        <v>0</v>
      </c>
      <c r="T1649" s="161" t="b">
        <f t="array" ref="T1649">index('Query Tool'!B:B,match(H1649,'Query Tool'!C:C,0))</f>
        <v>1</v>
      </c>
      <c r="U1649" s="161" t="b">
        <f t="array" ref="U1649">index('Query Tool'!B:B,match(C1649,'Query Tool'!C:C,0))</f>
        <v>0</v>
      </c>
      <c r="V1649" s="161" t="b">
        <f>F1649&gt;='Query Tool'!C$32</f>
        <v>1</v>
      </c>
      <c r="W1649" s="161" t="b">
        <f t="array" ref="W1649">index(Dropdowns!B:B,match(I1649,Dropdowns!A:A,0))</f>
        <v>1</v>
      </c>
      <c r="X1649" s="161" t="b">
        <f t="array" ref="X1649">index('Query Tool'!B:B,match(D1649,'Query Tool'!C:C,0))</f>
        <v>1</v>
      </c>
      <c r="Y1649" s="161" t="str">
        <f t="shared" si="6"/>
        <v>biyombi01,2016-17</v>
      </c>
      <c r="Z1649" s="168">
        <f t="array" ref="Z1649">iferror(index(I:I,match($A1649&amp;","&amp;index('Year Conversion'!$A:$A,match($C1649,'Year Conversion'!$B:$B,0)),$Y:$Y,0))-I1649,"")</f>
        <v>1</v>
      </c>
      <c r="AA1649" s="168">
        <f t="array" ref="AA1649">iferror(index(J:J,match($A1649&amp;","&amp;index('Year Conversion'!$A:$A,match($C1649,'Year Conversion'!$B:$B,0)),$Y:$Y,0))-J1649,"")</f>
        <v>-2.626112513</v>
      </c>
      <c r="AB1649" s="168">
        <f t="array" ref="AB1649">iferror(index(K:K,match($A1649&amp;","&amp;index('Year Conversion'!$A:$A,match($C1649,'Year Conversion'!$B:$B,0)),$Y:$Y,0))-K1649,"")</f>
        <v>-1.400011168</v>
      </c>
      <c r="AC1649" s="168" t="str">
        <f t="shared" si="7"/>
        <v>ORL,2016-17</v>
      </c>
    </row>
    <row r="1650">
      <c r="A1650" s="161" t="str">
        <f>IFERROR(__xludf.DUMMYFUNCTION("""COMPUTED_VALUE"""),"knighbr03")</f>
        <v>knighbr03</v>
      </c>
      <c r="B1650" s="161" t="str">
        <f>IFERROR(__xludf.DUMMYFUNCTION("""COMPUTED_VALUE"""),"Brandon Knight")</f>
        <v>Brandon Knight</v>
      </c>
      <c r="C1650" s="162" t="str">
        <f>IFERROR(__xludf.DUMMYFUNCTION("""COMPUTED_VALUE"""),"2016-17")</f>
        <v>2016-17</v>
      </c>
      <c r="D1650" s="163" t="str">
        <f>IFERROR(__xludf.DUMMYFUNCTION("""COMPUTED_VALUE"""),"PHO")</f>
        <v>PHO</v>
      </c>
      <c r="E1650" s="164" t="str">
        <f>IFERROR(__xludf.DUMMYFUNCTION("""COMPUTED_VALUE"""),"Slasher")</f>
        <v>Slasher</v>
      </c>
      <c r="F1650" s="164">
        <f>IFERROR(__xludf.DUMMYFUNCTION("""COMPUTED_VALUE"""),1139.78833333333)</f>
        <v>1139.788333</v>
      </c>
      <c r="G1650" s="163">
        <f>IFERROR(__xludf.DUMMYFUNCTION("""COMPUTED_VALUE"""),54.0)</f>
        <v>54</v>
      </c>
      <c r="H1650" s="163" t="str">
        <f>IFERROR(__xludf.DUMMYFUNCTION("""COMPUTED_VALUE"""),"SG")</f>
        <v>SG</v>
      </c>
      <c r="I1650" s="163">
        <f>IFERROR(__xludf.DUMMYFUNCTION("""COMPUTED_VALUE"""),25.0)</f>
        <v>25</v>
      </c>
      <c r="J1650" s="165">
        <f>IFERROR(__xludf.DUMMYFUNCTION("""COMPUTED_VALUE"""),-3.18702047018624)</f>
        <v>-3.18702047</v>
      </c>
      <c r="K1650" s="165">
        <f>IFERROR(__xludf.DUMMYFUNCTION("""COMPUTED_VALUE"""),-1.2952371280451)</f>
        <v>-1.295237128</v>
      </c>
      <c r="L1650" s="165">
        <f>IFERROR(__xludf.DUMMYFUNCTION("""COMPUTED_VALUE"""),-1.89178334214114)</f>
        <v>-1.891783342</v>
      </c>
      <c r="M1650" s="166">
        <f t="shared" si="2"/>
        <v>-0.6578583758</v>
      </c>
      <c r="N1650" s="167">
        <f t="shared" si="3"/>
        <v>21.10719136</v>
      </c>
      <c r="O1650" s="163">
        <f t="shared" ref="O1650:Q1650" si="1654">rank(I1650,I:I)</f>
        <v>1995</v>
      </c>
      <c r="P1650" s="163">
        <f t="shared" si="1654"/>
        <v>3924</v>
      </c>
      <c r="Q1650" s="163">
        <f t="shared" si="1654"/>
        <v>3139</v>
      </c>
      <c r="R1650" s="163">
        <f>IFERROR(__xludf.DUMMYFUNCTION("RANK(M1650,filter(M:M,C:C=C1650))"),477.0)</f>
        <v>477</v>
      </c>
      <c r="S1650" s="161" t="b">
        <f t="shared" si="5"/>
        <v>0</v>
      </c>
      <c r="T1650" s="161" t="b">
        <f t="array" ref="T1650">index('Query Tool'!B:B,match(H1650,'Query Tool'!C:C,0))</f>
        <v>1</v>
      </c>
      <c r="U1650" s="161" t="b">
        <f t="array" ref="U1650">index('Query Tool'!B:B,match(C1650,'Query Tool'!C:C,0))</f>
        <v>0</v>
      </c>
      <c r="V1650" s="161" t="b">
        <f>F1650&gt;='Query Tool'!C$32</f>
        <v>1</v>
      </c>
      <c r="W1650" s="161" t="b">
        <f t="array" ref="W1650">index(Dropdowns!B:B,match(I1650,Dropdowns!A:A,0))</f>
        <v>1</v>
      </c>
      <c r="X1650" s="161" t="b">
        <f t="array" ref="X1650">index('Query Tool'!B:B,match(D1650,'Query Tool'!C:C,0))</f>
        <v>1</v>
      </c>
      <c r="Y1650" s="161" t="str">
        <f t="shared" si="6"/>
        <v>knighbr03,2016-17</v>
      </c>
      <c r="Z1650" s="168" t="str">
        <f t="array" ref="Z1650">iferror(index(I:I,match($A1650&amp;","&amp;index('Year Conversion'!$A:$A,match($C1650,'Year Conversion'!$B:$B,0)),$Y:$Y,0))-I1650,"")</f>
        <v/>
      </c>
      <c r="AA1650" s="168" t="str">
        <f t="array" ref="AA1650">iferror(index(J:J,match($A1650&amp;","&amp;index('Year Conversion'!$A:$A,match($C1650,'Year Conversion'!$B:$B,0)),$Y:$Y,0))-J1650,"")</f>
        <v/>
      </c>
      <c r="AB1650" s="168" t="str">
        <f t="array" ref="AB1650">iferror(index(K:K,match($A1650&amp;","&amp;index('Year Conversion'!$A:$A,match($C1650,'Year Conversion'!$B:$B,0)),$Y:$Y,0))-K1650,"")</f>
        <v/>
      </c>
      <c r="AC1650" s="168" t="str">
        <f t="shared" si="7"/>
        <v>PHO,2016-17</v>
      </c>
    </row>
    <row r="1651">
      <c r="A1651" s="161" t="str">
        <f>IFERROR(__xludf.DUMMYFUNCTION("""COMPUTED_VALUE"""),"walkeke02")</f>
        <v>walkeke02</v>
      </c>
      <c r="B1651" s="161" t="str">
        <f>IFERROR(__xludf.DUMMYFUNCTION("""COMPUTED_VALUE"""),"Kemba Walker")</f>
        <v>Kemba Walker</v>
      </c>
      <c r="C1651" s="162" t="str">
        <f>IFERROR(__xludf.DUMMYFUNCTION("""COMPUTED_VALUE"""),"2016-17")</f>
        <v>2016-17</v>
      </c>
      <c r="D1651" s="163" t="str">
        <f>IFERROR(__xludf.DUMMYFUNCTION("""COMPUTED_VALUE"""),"CHO")</f>
        <v>CHO</v>
      </c>
      <c r="E1651" s="164" t="str">
        <f>IFERROR(__xludf.DUMMYFUNCTION("""COMPUTED_VALUE"""),"Primary Ball Handler")</f>
        <v>Primary Ball Handler</v>
      </c>
      <c r="F1651" s="164">
        <f>IFERROR(__xludf.DUMMYFUNCTION("""COMPUTED_VALUE"""),2739.30833333333)</f>
        <v>2739.308333</v>
      </c>
      <c r="G1651" s="163">
        <f>IFERROR(__xludf.DUMMYFUNCTION("""COMPUTED_VALUE"""),79.0)</f>
        <v>79</v>
      </c>
      <c r="H1651" s="163" t="str">
        <f>IFERROR(__xludf.DUMMYFUNCTION("""COMPUTED_VALUE"""),"PG")</f>
        <v>PG</v>
      </c>
      <c r="I1651" s="163">
        <f>IFERROR(__xludf.DUMMYFUNCTION("""COMPUTED_VALUE"""),26.0)</f>
        <v>26</v>
      </c>
      <c r="J1651" s="165">
        <f>IFERROR(__xludf.DUMMYFUNCTION("""COMPUTED_VALUE"""),2.58047475898768)</f>
        <v>2.580474759</v>
      </c>
      <c r="K1651" s="165">
        <f>IFERROR(__xludf.DUMMYFUNCTION("""COMPUTED_VALUE"""),3.43794943000871)</f>
        <v>3.43794943</v>
      </c>
      <c r="L1651" s="165">
        <f>IFERROR(__xludf.DUMMYFUNCTION("""COMPUTED_VALUE"""),-0.857474671021039)</f>
        <v>-0.857474671</v>
      </c>
      <c r="M1651" s="166">
        <f t="shared" si="2"/>
        <v>8.945155502</v>
      </c>
      <c r="N1651" s="167">
        <f t="shared" si="3"/>
        <v>34.67478903</v>
      </c>
      <c r="O1651" s="163">
        <f t="shared" ref="O1651:Q1651" si="1655">rank(I1651,I:I)</f>
        <v>1665</v>
      </c>
      <c r="P1651" s="163">
        <f t="shared" si="1655"/>
        <v>212</v>
      </c>
      <c r="Q1651" s="163">
        <f t="shared" si="1655"/>
        <v>93</v>
      </c>
      <c r="R1651" s="163">
        <f>IFERROR(__xludf.DUMMYFUNCTION("RANK(M1651,filter(M:M,C:C=C1651))"),21.0)</f>
        <v>21</v>
      </c>
      <c r="S1651" s="161" t="b">
        <f t="shared" si="5"/>
        <v>0</v>
      </c>
      <c r="T1651" s="161" t="b">
        <f t="array" ref="T1651">index('Query Tool'!B:B,match(H1651,'Query Tool'!C:C,0))</f>
        <v>1</v>
      </c>
      <c r="U1651" s="161" t="b">
        <f t="array" ref="U1651">index('Query Tool'!B:B,match(C1651,'Query Tool'!C:C,0))</f>
        <v>0</v>
      </c>
      <c r="V1651" s="161" t="b">
        <f>F1651&gt;='Query Tool'!C$32</f>
        <v>1</v>
      </c>
      <c r="W1651" s="161" t="b">
        <f t="array" ref="W1651">index(Dropdowns!B:B,match(I1651,Dropdowns!A:A,0))</f>
        <v>1</v>
      </c>
      <c r="X1651" s="161" t="b">
        <f t="array" ref="X1651">index('Query Tool'!B:B,match(D1651,'Query Tool'!C:C,0))</f>
        <v>1</v>
      </c>
      <c r="Y1651" s="161" t="str">
        <f t="shared" si="6"/>
        <v>walkeke02,2016-17</v>
      </c>
      <c r="Z1651" s="168">
        <f t="array" ref="Z1651">iferror(index(I:I,match($A1651&amp;","&amp;index('Year Conversion'!$A:$A,match($C1651,'Year Conversion'!$B:$B,0)),$Y:$Y,0))-I1651,"")</f>
        <v>1</v>
      </c>
      <c r="AA1651" s="168">
        <f t="array" ref="AA1651">iferror(index(J:J,match($A1651&amp;","&amp;index('Year Conversion'!$A:$A,match($C1651,'Year Conversion'!$B:$B,0)),$Y:$Y,0))-J1651,"")</f>
        <v>0.8592305766</v>
      </c>
      <c r="AB1651" s="168">
        <f t="array" ref="AB1651">iferror(index(K:K,match($A1651&amp;","&amp;index('Year Conversion'!$A:$A,match($C1651,'Year Conversion'!$B:$B,0)),$Y:$Y,0))-K1651,"")</f>
        <v>-0.01326635005</v>
      </c>
      <c r="AC1651" s="168" t="str">
        <f t="shared" si="7"/>
        <v>CHO,2016-17</v>
      </c>
    </row>
    <row r="1652">
      <c r="A1652" s="161" t="str">
        <f>IFERROR(__xludf.DUMMYFUNCTION("""COMPUTED_VALUE"""),"thompkl01")</f>
        <v>thompkl01</v>
      </c>
      <c r="B1652" s="161" t="str">
        <f>IFERROR(__xludf.DUMMYFUNCTION("""COMPUTED_VALUE"""),"Klay Thompson")</f>
        <v>Klay Thompson</v>
      </c>
      <c r="C1652" s="162" t="str">
        <f>IFERROR(__xludf.DUMMYFUNCTION("""COMPUTED_VALUE"""),"2016-17")</f>
        <v>2016-17</v>
      </c>
      <c r="D1652" s="163" t="str">
        <f>IFERROR(__xludf.DUMMYFUNCTION("""COMPUTED_VALUE"""),"GSW")</f>
        <v>GSW</v>
      </c>
      <c r="E1652" s="164" t="str">
        <f>IFERROR(__xludf.DUMMYFUNCTION("""COMPUTED_VALUE"""),"Off Screen Shooter")</f>
        <v>Off Screen Shooter</v>
      </c>
      <c r="F1652" s="164">
        <f>IFERROR(__xludf.DUMMYFUNCTION("""COMPUTED_VALUE"""),2649.04)</f>
        <v>2649.04</v>
      </c>
      <c r="G1652" s="163">
        <f>IFERROR(__xludf.DUMMYFUNCTION("""COMPUTED_VALUE"""),78.0)</f>
        <v>78</v>
      </c>
      <c r="H1652" s="163" t="str">
        <f>IFERROR(__xludf.DUMMYFUNCTION("""COMPUTED_VALUE"""),"SG")</f>
        <v>SG</v>
      </c>
      <c r="I1652" s="163">
        <f>IFERROR(__xludf.DUMMYFUNCTION("""COMPUTED_VALUE"""),26.0)</f>
        <v>26</v>
      </c>
      <c r="J1652" s="165">
        <f>IFERROR(__xludf.DUMMYFUNCTION("""COMPUTED_VALUE"""),1.61192349596576)</f>
        <v>1.611923496</v>
      </c>
      <c r="K1652" s="165">
        <f>IFERROR(__xludf.DUMMYFUNCTION("""COMPUTED_VALUE"""),2.6601324895614)</f>
        <v>2.66013249</v>
      </c>
      <c r="L1652" s="165">
        <f>IFERROR(__xludf.DUMMYFUNCTION("""COMPUTED_VALUE"""),-1.04820899359564)</f>
        <v>-1.048208994</v>
      </c>
      <c r="M1652" s="166">
        <f t="shared" si="2"/>
        <v>6.952414355</v>
      </c>
      <c r="N1652" s="167">
        <f t="shared" si="3"/>
        <v>33.96205128</v>
      </c>
      <c r="O1652" s="163">
        <f t="shared" ref="O1652:Q1652" si="1656">rank(I1652,I:I)</f>
        <v>1665</v>
      </c>
      <c r="P1652" s="163">
        <f t="shared" si="1656"/>
        <v>428</v>
      </c>
      <c r="Q1652" s="163">
        <f t="shared" si="1656"/>
        <v>144</v>
      </c>
      <c r="R1652" s="163">
        <f>IFERROR(__xludf.DUMMYFUNCTION("RANK(M1652,filter(M:M,C:C=C1652))"),35.0)</f>
        <v>35</v>
      </c>
      <c r="S1652" s="161" t="b">
        <f t="shared" si="5"/>
        <v>0</v>
      </c>
      <c r="T1652" s="161" t="b">
        <f t="array" ref="T1652">index('Query Tool'!B:B,match(H1652,'Query Tool'!C:C,0))</f>
        <v>1</v>
      </c>
      <c r="U1652" s="161" t="b">
        <f t="array" ref="U1652">index('Query Tool'!B:B,match(C1652,'Query Tool'!C:C,0))</f>
        <v>0</v>
      </c>
      <c r="V1652" s="161" t="b">
        <f>F1652&gt;='Query Tool'!C$32</f>
        <v>1</v>
      </c>
      <c r="W1652" s="161" t="b">
        <f t="array" ref="W1652">index(Dropdowns!B:B,match(I1652,Dropdowns!A:A,0))</f>
        <v>1</v>
      </c>
      <c r="X1652" s="161" t="b">
        <f t="array" ref="X1652">index('Query Tool'!B:B,match(D1652,'Query Tool'!C:C,0))</f>
        <v>1</v>
      </c>
      <c r="Y1652" s="161" t="str">
        <f t="shared" si="6"/>
        <v>thompkl01,2016-17</v>
      </c>
      <c r="Z1652" s="168">
        <f t="array" ref="Z1652">iferror(index(I:I,match($A1652&amp;","&amp;index('Year Conversion'!$A:$A,match($C1652,'Year Conversion'!$B:$B,0)),$Y:$Y,0))-I1652,"")</f>
        <v>1</v>
      </c>
      <c r="AA1652" s="168">
        <f t="array" ref="AA1652">iferror(index(J:J,match($A1652&amp;","&amp;index('Year Conversion'!$A:$A,match($C1652,'Year Conversion'!$B:$B,0)),$Y:$Y,0))-J1652,"")</f>
        <v>-0.7950238834</v>
      </c>
      <c r="AB1652" s="168">
        <f t="array" ref="AB1652">iferror(index(K:K,match($A1652&amp;","&amp;index('Year Conversion'!$A:$A,match($C1652,'Year Conversion'!$B:$B,0)),$Y:$Y,0))-K1652,"")</f>
        <v>-1.509180676</v>
      </c>
      <c r="AC1652" s="168" t="str">
        <f t="shared" si="7"/>
        <v>GSW,2016-17</v>
      </c>
    </row>
    <row r="1653">
      <c r="A1653" s="161" t="str">
        <f>IFERROR(__xludf.DUMMYFUNCTION("""COMPUTED_VALUE"""),"burksal01")</f>
        <v>burksal01</v>
      </c>
      <c r="B1653" s="161" t="str">
        <f>IFERROR(__xludf.DUMMYFUNCTION("""COMPUTED_VALUE"""),"Alec Burks")</f>
        <v>Alec Burks</v>
      </c>
      <c r="C1653" s="162" t="str">
        <f>IFERROR(__xludf.DUMMYFUNCTION("""COMPUTED_VALUE"""),"2016-17")</f>
        <v>2016-17</v>
      </c>
      <c r="D1653" s="163" t="str">
        <f>IFERROR(__xludf.DUMMYFUNCTION("""COMPUTED_VALUE"""),"UTA")</f>
        <v>UTA</v>
      </c>
      <c r="E1653" s="164" t="str">
        <f>IFERROR(__xludf.DUMMYFUNCTION("""COMPUTED_VALUE"""),"Secondary Ball Handler")</f>
        <v>Secondary Ball Handler</v>
      </c>
      <c r="F1653" s="164">
        <f>IFERROR(__xludf.DUMMYFUNCTION("""COMPUTED_VALUE"""),653.04)</f>
        <v>653.04</v>
      </c>
      <c r="G1653" s="163">
        <f>IFERROR(__xludf.DUMMYFUNCTION("""COMPUTED_VALUE"""),42.0)</f>
        <v>42</v>
      </c>
      <c r="H1653" s="163" t="str">
        <f>IFERROR(__xludf.DUMMYFUNCTION("""COMPUTED_VALUE"""),"SG")</f>
        <v>SG</v>
      </c>
      <c r="I1653" s="163">
        <f>IFERROR(__xludf.DUMMYFUNCTION("""COMPUTED_VALUE"""),25.0)</f>
        <v>25</v>
      </c>
      <c r="J1653" s="165">
        <f>IFERROR(__xludf.DUMMYFUNCTION("""COMPUTED_VALUE"""),-1.40324016671685)</f>
        <v>-1.403240167</v>
      </c>
      <c r="K1653" s="165">
        <f>IFERROR(__xludf.DUMMYFUNCTION("""COMPUTED_VALUE"""),-0.160176900674718)</f>
        <v>-0.1601769007</v>
      </c>
      <c r="L1653" s="165">
        <f>IFERROR(__xludf.DUMMYFUNCTION("""COMPUTED_VALUE"""),-1.24306326604213)</f>
        <v>-1.243063266</v>
      </c>
      <c r="M1653" s="166">
        <f t="shared" si="2"/>
        <v>0.3906458016</v>
      </c>
      <c r="N1653" s="167">
        <f t="shared" si="3"/>
        <v>15.54857143</v>
      </c>
      <c r="O1653" s="163">
        <f t="shared" ref="O1653:Q1653" si="1657">rank(I1653,I:I)</f>
        <v>1995</v>
      </c>
      <c r="P1653" s="163">
        <f t="shared" si="1657"/>
        <v>2952</v>
      </c>
      <c r="Q1653" s="163">
        <f t="shared" si="1657"/>
        <v>1495</v>
      </c>
      <c r="R1653" s="163">
        <f>IFERROR(__xludf.DUMMYFUNCTION("RANK(M1653,filter(M:M,C:C=C1653))"),302.0)</f>
        <v>302</v>
      </c>
      <c r="S1653" s="161" t="b">
        <f t="shared" si="5"/>
        <v>0</v>
      </c>
      <c r="T1653" s="161" t="b">
        <f t="array" ref="T1653">index('Query Tool'!B:B,match(H1653,'Query Tool'!C:C,0))</f>
        <v>1</v>
      </c>
      <c r="U1653" s="161" t="b">
        <f t="array" ref="U1653">index('Query Tool'!B:B,match(C1653,'Query Tool'!C:C,0))</f>
        <v>0</v>
      </c>
      <c r="V1653" s="161" t="b">
        <f>F1653&gt;='Query Tool'!C$32</f>
        <v>1</v>
      </c>
      <c r="W1653" s="161" t="b">
        <f t="array" ref="W1653">index(Dropdowns!B:B,match(I1653,Dropdowns!A:A,0))</f>
        <v>1</v>
      </c>
      <c r="X1653" s="161" t="b">
        <f t="array" ref="X1653">index('Query Tool'!B:B,match(D1653,'Query Tool'!C:C,0))</f>
        <v>1</v>
      </c>
      <c r="Y1653" s="161" t="str">
        <f t="shared" si="6"/>
        <v>burksal01,2016-17</v>
      </c>
      <c r="Z1653" s="168">
        <f t="array" ref="Z1653">iferror(index(I:I,match($A1653&amp;","&amp;index('Year Conversion'!$A:$A,match($C1653,'Year Conversion'!$B:$B,0)),$Y:$Y,0))-I1653,"")</f>
        <v>1</v>
      </c>
      <c r="AA1653" s="168">
        <f t="array" ref="AA1653">iferror(index(J:J,match($A1653&amp;","&amp;index('Year Conversion'!$A:$A,match($C1653,'Year Conversion'!$B:$B,0)),$Y:$Y,0))-J1653,"")</f>
        <v>0.310012582</v>
      </c>
      <c r="AB1653" s="168">
        <f t="array" ref="AB1653">iferror(index(K:K,match($A1653&amp;","&amp;index('Year Conversion'!$A:$A,match($C1653,'Year Conversion'!$B:$B,0)),$Y:$Y,0))-K1653,"")</f>
        <v>-0.4298316572</v>
      </c>
      <c r="AC1653" s="168" t="str">
        <f t="shared" si="7"/>
        <v>UTA,2016-17</v>
      </c>
    </row>
    <row r="1654">
      <c r="A1654" s="161" t="str">
        <f>IFERROR(__xludf.DUMMYFUNCTION("""COMPUTED_VALUE"""),"morrima02")</f>
        <v>morrima02</v>
      </c>
      <c r="B1654" s="161" t="str">
        <f>IFERROR(__xludf.DUMMYFUNCTION("""COMPUTED_VALUE"""),"Markieff Morris")</f>
        <v>Markieff Morris</v>
      </c>
      <c r="C1654" s="162" t="str">
        <f>IFERROR(__xludf.DUMMYFUNCTION("""COMPUTED_VALUE"""),"2016-17")</f>
        <v>2016-17</v>
      </c>
      <c r="D1654" s="163" t="str">
        <f>IFERROR(__xludf.DUMMYFUNCTION("""COMPUTED_VALUE"""),"WAS")</f>
        <v>WAS</v>
      </c>
      <c r="E1654" s="164" t="str">
        <f>IFERROR(__xludf.DUMMYFUNCTION("""COMPUTED_VALUE"""),"Post Scorer")</f>
        <v>Post Scorer</v>
      </c>
      <c r="F1654" s="164">
        <f>IFERROR(__xludf.DUMMYFUNCTION("""COMPUTED_VALUE"""),2374.33333333333)</f>
        <v>2374.333333</v>
      </c>
      <c r="G1654" s="163">
        <f>IFERROR(__xludf.DUMMYFUNCTION("""COMPUTED_VALUE"""),76.0)</f>
        <v>76</v>
      </c>
      <c r="H1654" s="163" t="str">
        <f>IFERROR(__xludf.DUMMYFUNCTION("""COMPUTED_VALUE"""),"PF")</f>
        <v>PF</v>
      </c>
      <c r="I1654" s="163">
        <f>IFERROR(__xludf.DUMMYFUNCTION("""COMPUTED_VALUE"""),27.0)</f>
        <v>27</v>
      </c>
      <c r="J1654" s="165">
        <f>IFERROR(__xludf.DUMMYFUNCTION("""COMPUTED_VALUE"""),0.324102337270992)</f>
        <v>0.3241023373</v>
      </c>
      <c r="K1654" s="165">
        <f>IFERROR(__xludf.DUMMYFUNCTION("""COMPUTED_VALUE"""),-1.27179425458493)</f>
        <v>-1.271794255</v>
      </c>
      <c r="L1654" s="165">
        <f>IFERROR(__xludf.DUMMYFUNCTION("""COMPUTED_VALUE"""),1.59589659185592)</f>
        <v>1.595896592</v>
      </c>
      <c r="M1654" s="166">
        <f t="shared" si="2"/>
        <v>4.179162117</v>
      </c>
      <c r="N1654" s="167">
        <f t="shared" si="3"/>
        <v>31.24122807</v>
      </c>
      <c r="O1654" s="163">
        <f t="shared" ref="O1654:Q1654" si="1658">rank(I1654,I:I)</f>
        <v>1366</v>
      </c>
      <c r="P1654" s="163">
        <f t="shared" si="1658"/>
        <v>1001</v>
      </c>
      <c r="Q1654" s="163">
        <f t="shared" si="1658"/>
        <v>3112</v>
      </c>
      <c r="R1654" s="163">
        <f>IFERROR(__xludf.DUMMYFUNCTION("RANK(M1654,filter(M:M,C:C=C1654))"),76.0)</f>
        <v>76</v>
      </c>
      <c r="S1654" s="161" t="b">
        <f t="shared" si="5"/>
        <v>0</v>
      </c>
      <c r="T1654" s="161" t="b">
        <f t="array" ref="T1654">index('Query Tool'!B:B,match(H1654,'Query Tool'!C:C,0))</f>
        <v>1</v>
      </c>
      <c r="U1654" s="161" t="b">
        <f t="array" ref="U1654">index('Query Tool'!B:B,match(C1654,'Query Tool'!C:C,0))</f>
        <v>0</v>
      </c>
      <c r="V1654" s="161" t="b">
        <f>F1654&gt;='Query Tool'!C$32</f>
        <v>1</v>
      </c>
      <c r="W1654" s="161" t="b">
        <f t="array" ref="W1654">index(Dropdowns!B:B,match(I1654,Dropdowns!A:A,0))</f>
        <v>1</v>
      </c>
      <c r="X1654" s="161" t="b">
        <f t="array" ref="X1654">index('Query Tool'!B:B,match(D1654,'Query Tool'!C:C,0))</f>
        <v>1</v>
      </c>
      <c r="Y1654" s="161" t="str">
        <f t="shared" si="6"/>
        <v>morrima02,2016-17</v>
      </c>
      <c r="Z1654" s="168">
        <f t="array" ref="Z1654">iferror(index(I:I,match($A1654&amp;","&amp;index('Year Conversion'!$A:$A,match($C1654,'Year Conversion'!$B:$B,0)),$Y:$Y,0))-I1654,"")</f>
        <v>1</v>
      </c>
      <c r="AA1654" s="168">
        <f t="array" ref="AA1654">iferror(index(J:J,match($A1654&amp;","&amp;index('Year Conversion'!$A:$A,match($C1654,'Year Conversion'!$B:$B,0)),$Y:$Y,0))-J1654,"")</f>
        <v>-1.779983019</v>
      </c>
      <c r="AB1654" s="168">
        <f t="array" ref="AB1654">iferror(index(K:K,match($A1654&amp;","&amp;index('Year Conversion'!$A:$A,match($C1654,'Year Conversion'!$B:$B,0)),$Y:$Y,0))-K1654,"")</f>
        <v>0.166635604</v>
      </c>
      <c r="AC1654" s="168" t="str">
        <f t="shared" si="7"/>
        <v>WAS,2016-17</v>
      </c>
    </row>
    <row r="1655">
      <c r="A1655" s="161" t="str">
        <f>IFERROR(__xludf.DUMMYFUNCTION("""COMPUTED_VALUE"""),"morrima03")</f>
        <v>morrima03</v>
      </c>
      <c r="B1655" s="161" t="str">
        <f>IFERROR(__xludf.DUMMYFUNCTION("""COMPUTED_VALUE"""),"Marcus Morris Sr.")</f>
        <v>Marcus Morris Sr.</v>
      </c>
      <c r="C1655" s="162" t="str">
        <f>IFERROR(__xludf.DUMMYFUNCTION("""COMPUTED_VALUE"""),"2016-17")</f>
        <v>2016-17</v>
      </c>
      <c r="D1655" s="163" t="str">
        <f>IFERROR(__xludf.DUMMYFUNCTION("""COMPUTED_VALUE"""),"DET")</f>
        <v>DET</v>
      </c>
      <c r="E1655" s="164" t="str">
        <f>IFERROR(__xludf.DUMMYFUNCTION("""COMPUTED_VALUE"""),"Secondary Ball Handler")</f>
        <v>Secondary Ball Handler</v>
      </c>
      <c r="F1655" s="164">
        <f>IFERROR(__xludf.DUMMYFUNCTION("""COMPUTED_VALUE"""),2565.09)</f>
        <v>2565.09</v>
      </c>
      <c r="G1655" s="163">
        <f>IFERROR(__xludf.DUMMYFUNCTION("""COMPUTED_VALUE"""),79.0)</f>
        <v>79</v>
      </c>
      <c r="H1655" s="163" t="str">
        <f>IFERROR(__xludf.DUMMYFUNCTION("""COMPUTED_VALUE"""),"SF")</f>
        <v>SF</v>
      </c>
      <c r="I1655" s="163">
        <f>IFERROR(__xludf.DUMMYFUNCTION("""COMPUTED_VALUE"""),27.0)</f>
        <v>27</v>
      </c>
      <c r="J1655" s="165">
        <f>IFERROR(__xludf.DUMMYFUNCTION("""COMPUTED_VALUE"""),-0.838091261707443)</f>
        <v>-0.8380912617</v>
      </c>
      <c r="K1655" s="165">
        <f>IFERROR(__xludf.DUMMYFUNCTION("""COMPUTED_VALUE"""),-0.881490730597291)</f>
        <v>-0.8814907306</v>
      </c>
      <c r="L1655" s="165">
        <f>IFERROR(__xludf.DUMMYFUNCTION("""COMPUTED_VALUE"""),0.0433994688898483)</f>
        <v>0.04339946889</v>
      </c>
      <c r="M1655" s="166">
        <f t="shared" si="2"/>
        <v>2.506566866</v>
      </c>
      <c r="N1655" s="167">
        <f t="shared" si="3"/>
        <v>32.46949367</v>
      </c>
      <c r="O1655" s="163">
        <f t="shared" ref="O1655:Q1655" si="1659">rank(I1655,I:I)</f>
        <v>1366</v>
      </c>
      <c r="P1655" s="163">
        <f t="shared" si="1659"/>
        <v>2333</v>
      </c>
      <c r="Q1655" s="163">
        <f t="shared" si="1659"/>
        <v>2666</v>
      </c>
      <c r="R1655" s="163">
        <f>IFERROR(__xludf.DUMMYFUNCTION("RANK(M1655,filter(M:M,C:C=C1655))"),131.0)</f>
        <v>131</v>
      </c>
      <c r="S1655" s="161" t="b">
        <f t="shared" si="5"/>
        <v>0</v>
      </c>
      <c r="T1655" s="161" t="b">
        <f t="array" ref="T1655">index('Query Tool'!B:B,match(H1655,'Query Tool'!C:C,0))</f>
        <v>1</v>
      </c>
      <c r="U1655" s="161" t="b">
        <f t="array" ref="U1655">index('Query Tool'!B:B,match(C1655,'Query Tool'!C:C,0))</f>
        <v>0</v>
      </c>
      <c r="V1655" s="161" t="b">
        <f>F1655&gt;='Query Tool'!C$32</f>
        <v>1</v>
      </c>
      <c r="W1655" s="161" t="b">
        <f t="array" ref="W1655">index(Dropdowns!B:B,match(I1655,Dropdowns!A:A,0))</f>
        <v>1</v>
      </c>
      <c r="X1655" s="161" t="b">
        <f t="array" ref="X1655">index('Query Tool'!B:B,match(D1655,'Query Tool'!C:C,0))</f>
        <v>1</v>
      </c>
      <c r="Y1655" s="161" t="str">
        <f t="shared" si="6"/>
        <v>morrima03,2016-17</v>
      </c>
      <c r="Z1655" s="168">
        <f t="array" ref="Z1655">iferror(index(I:I,match($A1655&amp;","&amp;index('Year Conversion'!$A:$A,match($C1655,'Year Conversion'!$B:$B,0)),$Y:$Y,0))-I1655,"")</f>
        <v>1</v>
      </c>
      <c r="AA1655" s="168">
        <f t="array" ref="AA1655">iferror(index(J:J,match($A1655&amp;","&amp;index('Year Conversion'!$A:$A,match($C1655,'Year Conversion'!$B:$B,0)),$Y:$Y,0))-J1655,"")</f>
        <v>-0.7680529033</v>
      </c>
      <c r="AB1655" s="168">
        <f t="array" ref="AB1655">iferror(index(K:K,match($A1655&amp;","&amp;index('Year Conversion'!$A:$A,match($C1655,'Year Conversion'!$B:$B,0)),$Y:$Y,0))-K1655,"")</f>
        <v>0.4831879774</v>
      </c>
      <c r="AC1655" s="168" t="str">
        <f t="shared" si="7"/>
        <v>DET,2016-17</v>
      </c>
    </row>
    <row r="1656">
      <c r="A1656" s="161" t="str">
        <f>IFERROR(__xludf.DUMMYFUNCTION("""COMPUTED_VALUE"""),"leonaka01")</f>
        <v>leonaka01</v>
      </c>
      <c r="B1656" s="161" t="str">
        <f>IFERROR(__xludf.DUMMYFUNCTION("""COMPUTED_VALUE"""),"Kawhi Leonard")</f>
        <v>Kawhi Leonard</v>
      </c>
      <c r="C1656" s="162" t="str">
        <f>IFERROR(__xludf.DUMMYFUNCTION("""COMPUTED_VALUE"""),"2016-17")</f>
        <v>2016-17</v>
      </c>
      <c r="D1656" s="163" t="str">
        <f>IFERROR(__xludf.DUMMYFUNCTION("""COMPUTED_VALUE"""),"SAS")</f>
        <v>SAS</v>
      </c>
      <c r="E1656" s="164" t="str">
        <f>IFERROR(__xludf.DUMMYFUNCTION("""COMPUTED_VALUE"""),"Shot Creator")</f>
        <v>Shot Creator</v>
      </c>
      <c r="F1656" s="164">
        <f>IFERROR(__xludf.DUMMYFUNCTION("""COMPUTED_VALUE"""),2474.48)</f>
        <v>2474.48</v>
      </c>
      <c r="G1656" s="163">
        <f>IFERROR(__xludf.DUMMYFUNCTION("""COMPUTED_VALUE"""),74.0)</f>
        <v>74</v>
      </c>
      <c r="H1656" s="163" t="str">
        <f>IFERROR(__xludf.DUMMYFUNCTION("""COMPUTED_VALUE"""),"SF")</f>
        <v>SF</v>
      </c>
      <c r="I1656" s="163">
        <f>IFERROR(__xludf.DUMMYFUNCTION("""COMPUTED_VALUE"""),25.0)</f>
        <v>25</v>
      </c>
      <c r="J1656" s="165">
        <f>IFERROR(__xludf.DUMMYFUNCTION("""COMPUTED_VALUE"""),6.02111717668726)</f>
        <v>6.021117177</v>
      </c>
      <c r="K1656" s="165">
        <f>IFERROR(__xludf.DUMMYFUNCTION("""COMPUTED_VALUE"""),4.76010815319887)</f>
        <v>4.760108153</v>
      </c>
      <c r="L1656" s="165">
        <f>IFERROR(__xludf.DUMMYFUNCTION("""COMPUTED_VALUE"""),1.26100902348839)</f>
        <v>1.261009023</v>
      </c>
      <c r="M1656" s="166">
        <f t="shared" si="2"/>
        <v>13.38252188</v>
      </c>
      <c r="N1656" s="167">
        <f t="shared" si="3"/>
        <v>33.43891892</v>
      </c>
      <c r="O1656" s="163">
        <f t="shared" ref="O1656:Q1656" si="1660">rank(I1656,I:I)</f>
        <v>1995</v>
      </c>
      <c r="P1656" s="163">
        <f t="shared" si="1660"/>
        <v>17</v>
      </c>
      <c r="Q1656" s="163">
        <f t="shared" si="1660"/>
        <v>35</v>
      </c>
      <c r="R1656" s="163">
        <f>IFERROR(__xludf.DUMMYFUNCTION("RANK(M1656,filter(M:M,C:C=C1656))"),6.0)</f>
        <v>6</v>
      </c>
      <c r="S1656" s="161" t="b">
        <f t="shared" si="5"/>
        <v>0</v>
      </c>
      <c r="T1656" s="161" t="b">
        <f t="array" ref="T1656">index('Query Tool'!B:B,match(H1656,'Query Tool'!C:C,0))</f>
        <v>1</v>
      </c>
      <c r="U1656" s="161" t="b">
        <f t="array" ref="U1656">index('Query Tool'!B:B,match(C1656,'Query Tool'!C:C,0))</f>
        <v>0</v>
      </c>
      <c r="V1656" s="161" t="b">
        <f>F1656&gt;='Query Tool'!C$32</f>
        <v>1</v>
      </c>
      <c r="W1656" s="161" t="b">
        <f t="array" ref="W1656">index(Dropdowns!B:B,match(I1656,Dropdowns!A:A,0))</f>
        <v>1</v>
      </c>
      <c r="X1656" s="161" t="b">
        <f t="array" ref="X1656">index('Query Tool'!B:B,match(D1656,'Query Tool'!C:C,0))</f>
        <v>1</v>
      </c>
      <c r="Y1656" s="161" t="str">
        <f t="shared" si="6"/>
        <v>leonaka01,2016-17</v>
      </c>
      <c r="Z1656" s="168">
        <f t="array" ref="Z1656">iferror(index(I:I,match($A1656&amp;","&amp;index('Year Conversion'!$A:$A,match($C1656,'Year Conversion'!$B:$B,0)),$Y:$Y,0))-I1656,"")</f>
        <v>1</v>
      </c>
      <c r="AA1656" s="168">
        <f t="array" ref="AA1656">iferror(index(J:J,match($A1656&amp;","&amp;index('Year Conversion'!$A:$A,match($C1656,'Year Conversion'!$B:$B,0)),$Y:$Y,0))-J1656,"")</f>
        <v>-4.567535766</v>
      </c>
      <c r="AB1656" s="168">
        <f t="array" ref="AB1656">iferror(index(K:K,match($A1656&amp;","&amp;index('Year Conversion'!$A:$A,match($C1656,'Year Conversion'!$B:$B,0)),$Y:$Y,0))-K1656,"")</f>
        <v>-4.108617176</v>
      </c>
      <c r="AC1656" s="168" t="str">
        <f t="shared" si="7"/>
        <v>SAS,2016-17</v>
      </c>
    </row>
    <row r="1657">
      <c r="A1657" s="161" t="str">
        <f>IFERROR(__xludf.DUMMYFUNCTION("""COMPUTED_VALUE"""),"vucevni01")</f>
        <v>vucevni01</v>
      </c>
      <c r="B1657" s="161" t="str">
        <f>IFERROR(__xludf.DUMMYFUNCTION("""COMPUTED_VALUE"""),"Nikola Vucevic")</f>
        <v>Nikola Vucevic</v>
      </c>
      <c r="C1657" s="162" t="str">
        <f>IFERROR(__xludf.DUMMYFUNCTION("""COMPUTED_VALUE"""),"2016-17")</f>
        <v>2016-17</v>
      </c>
      <c r="D1657" s="163" t="str">
        <f>IFERROR(__xludf.DUMMYFUNCTION("""COMPUTED_VALUE"""),"ORL")</f>
        <v>ORL</v>
      </c>
      <c r="E1657" s="164" t="str">
        <f>IFERROR(__xludf.DUMMYFUNCTION("""COMPUTED_VALUE"""),"Post Scorer")</f>
        <v>Post Scorer</v>
      </c>
      <c r="F1657" s="164">
        <f>IFERROR(__xludf.DUMMYFUNCTION("""COMPUTED_VALUE"""),2162.735)</f>
        <v>2162.735</v>
      </c>
      <c r="G1657" s="163">
        <f>IFERROR(__xludf.DUMMYFUNCTION("""COMPUTED_VALUE"""),75.0)</f>
        <v>75</v>
      </c>
      <c r="H1657" s="163" t="str">
        <f>IFERROR(__xludf.DUMMYFUNCTION("""COMPUTED_VALUE"""),"C")</f>
        <v>C</v>
      </c>
      <c r="I1657" s="163">
        <f>IFERROR(__xludf.DUMMYFUNCTION("""COMPUTED_VALUE"""),26.0)</f>
        <v>26</v>
      </c>
      <c r="J1657" s="165">
        <f>IFERROR(__xludf.DUMMYFUNCTION("""COMPUTED_VALUE"""),0.130826881988536)</f>
        <v>0.130826882</v>
      </c>
      <c r="K1657" s="165">
        <f>IFERROR(__xludf.DUMMYFUNCTION("""COMPUTED_VALUE"""),-1.05768751811032)</f>
        <v>-1.057687518</v>
      </c>
      <c r="L1657" s="165">
        <f>IFERROR(__xludf.DUMMYFUNCTION("""COMPUTED_VALUE"""),1.18851440009885)</f>
        <v>1.1885144</v>
      </c>
      <c r="M1657" s="166">
        <f t="shared" si="2"/>
        <v>3.524969803</v>
      </c>
      <c r="N1657" s="167">
        <f t="shared" si="3"/>
        <v>28.83646667</v>
      </c>
      <c r="O1657" s="163">
        <f t="shared" ref="O1657:Q1657" si="1661">rank(I1657,I:I)</f>
        <v>1665</v>
      </c>
      <c r="P1657" s="163">
        <f t="shared" si="1661"/>
        <v>1152</v>
      </c>
      <c r="Q1657" s="163">
        <f t="shared" si="1661"/>
        <v>2881</v>
      </c>
      <c r="R1657" s="163">
        <f>IFERROR(__xludf.DUMMYFUNCTION("RANK(M1657,filter(M:M,C:C=C1657))"),101.0)</f>
        <v>101</v>
      </c>
      <c r="S1657" s="161" t="b">
        <f t="shared" si="5"/>
        <v>0</v>
      </c>
      <c r="T1657" s="161" t="b">
        <f t="array" ref="T1657">index('Query Tool'!B:B,match(H1657,'Query Tool'!C:C,0))</f>
        <v>1</v>
      </c>
      <c r="U1657" s="161" t="b">
        <f t="array" ref="U1657">index('Query Tool'!B:B,match(C1657,'Query Tool'!C:C,0))</f>
        <v>0</v>
      </c>
      <c r="V1657" s="161" t="b">
        <f>F1657&gt;='Query Tool'!C$32</f>
        <v>1</v>
      </c>
      <c r="W1657" s="161" t="b">
        <f t="array" ref="W1657">index(Dropdowns!B:B,match(I1657,Dropdowns!A:A,0))</f>
        <v>1</v>
      </c>
      <c r="X1657" s="161" t="b">
        <f t="array" ref="X1657">index('Query Tool'!B:B,match(D1657,'Query Tool'!C:C,0))</f>
        <v>1</v>
      </c>
      <c r="Y1657" s="161" t="str">
        <f t="shared" si="6"/>
        <v>vucevni01,2016-17</v>
      </c>
      <c r="Z1657" s="168">
        <f t="array" ref="Z1657">iferror(index(I:I,match($A1657&amp;","&amp;index('Year Conversion'!$A:$A,match($C1657,'Year Conversion'!$B:$B,0)),$Y:$Y,0))-I1657,"")</f>
        <v>1</v>
      </c>
      <c r="AA1657" s="168">
        <f t="array" ref="AA1657">iferror(index(J:J,match($A1657&amp;","&amp;index('Year Conversion'!$A:$A,match($C1657,'Year Conversion'!$B:$B,0)),$Y:$Y,0))-J1657,"")</f>
        <v>1.799571237</v>
      </c>
      <c r="AB1657" s="168">
        <f t="array" ref="AB1657">iferror(index(K:K,match($A1657&amp;","&amp;index('Year Conversion'!$A:$A,match($C1657,'Year Conversion'!$B:$B,0)),$Y:$Y,0))-K1657,"")</f>
        <v>1.355847762</v>
      </c>
      <c r="AC1657" s="168" t="str">
        <f t="shared" si="7"/>
        <v>ORL,2016-17</v>
      </c>
    </row>
    <row r="1658">
      <c r="A1658" s="161" t="str">
        <f>IFERROR(__xludf.DUMMYFUNCTION("""COMPUTED_VALUE"""),"shumpim01")</f>
        <v>shumpim01</v>
      </c>
      <c r="B1658" s="161" t="str">
        <f>IFERROR(__xludf.DUMMYFUNCTION("""COMPUTED_VALUE"""),"Iman Shumpert")</f>
        <v>Iman Shumpert</v>
      </c>
      <c r="C1658" s="162" t="str">
        <f>IFERROR(__xludf.DUMMYFUNCTION("""COMPUTED_VALUE"""),"2016-17")</f>
        <v>2016-17</v>
      </c>
      <c r="D1658" s="163" t="str">
        <f>IFERROR(__xludf.DUMMYFUNCTION("""COMPUTED_VALUE"""),"CLE")</f>
        <v>CLE</v>
      </c>
      <c r="E1658" s="164" t="str">
        <f>IFERROR(__xludf.DUMMYFUNCTION("""COMPUTED_VALUE"""),"Secondary Ball Handler")</f>
        <v>Secondary Ball Handler</v>
      </c>
      <c r="F1658" s="164">
        <f>IFERROR(__xludf.DUMMYFUNCTION("""COMPUTED_VALUE"""),1937.24166666667)</f>
        <v>1937.241667</v>
      </c>
      <c r="G1658" s="163">
        <f>IFERROR(__xludf.DUMMYFUNCTION("""COMPUTED_VALUE"""),76.0)</f>
        <v>76</v>
      </c>
      <c r="H1658" s="163" t="str">
        <f>IFERROR(__xludf.DUMMYFUNCTION("""COMPUTED_VALUE"""),"SG")</f>
        <v>SG</v>
      </c>
      <c r="I1658" s="163">
        <f>IFERROR(__xludf.DUMMYFUNCTION("""COMPUTED_VALUE"""),26.0)</f>
        <v>26</v>
      </c>
      <c r="J1658" s="165">
        <f>IFERROR(__xludf.DUMMYFUNCTION("""COMPUTED_VALUE"""),-1.7046440693912)</f>
        <v>-1.704644069</v>
      </c>
      <c r="K1658" s="165">
        <f>IFERROR(__xludf.DUMMYFUNCTION("""COMPUTED_VALUE"""),-1.04294295145701)</f>
        <v>-1.042942951</v>
      </c>
      <c r="L1658" s="165">
        <f>IFERROR(__xludf.DUMMYFUNCTION("""COMPUTED_VALUE"""),-0.661701117934184)</f>
        <v>-0.6617011179</v>
      </c>
      <c r="M1658" s="166">
        <f t="shared" si="2"/>
        <v>0.7691428072</v>
      </c>
      <c r="N1658" s="167">
        <f t="shared" si="3"/>
        <v>25.49002193</v>
      </c>
      <c r="O1658" s="163">
        <f t="shared" ref="O1658:Q1658" si="1662">rank(I1658,I:I)</f>
        <v>1665</v>
      </c>
      <c r="P1658" s="163">
        <f t="shared" si="1662"/>
        <v>3249</v>
      </c>
      <c r="Q1658" s="163">
        <f t="shared" si="1662"/>
        <v>2860</v>
      </c>
      <c r="R1658" s="163">
        <f>IFERROR(__xludf.DUMMYFUNCTION("RANK(M1658,filter(M:M,C:C=C1658))"),244.0)</f>
        <v>244</v>
      </c>
      <c r="S1658" s="161" t="b">
        <f t="shared" si="5"/>
        <v>0</v>
      </c>
      <c r="T1658" s="161" t="b">
        <f t="array" ref="T1658">index('Query Tool'!B:B,match(H1658,'Query Tool'!C:C,0))</f>
        <v>1</v>
      </c>
      <c r="U1658" s="161" t="b">
        <f t="array" ref="U1658">index('Query Tool'!B:B,match(C1658,'Query Tool'!C:C,0))</f>
        <v>0</v>
      </c>
      <c r="V1658" s="161" t="b">
        <f>F1658&gt;='Query Tool'!C$32</f>
        <v>1</v>
      </c>
      <c r="W1658" s="161" t="b">
        <f t="array" ref="W1658">index(Dropdowns!B:B,match(I1658,Dropdowns!A:A,0))</f>
        <v>1</v>
      </c>
      <c r="X1658" s="161" t="b">
        <f t="array" ref="X1658">index('Query Tool'!B:B,match(D1658,'Query Tool'!C:C,0))</f>
        <v>1</v>
      </c>
      <c r="Y1658" s="161" t="str">
        <f t="shared" si="6"/>
        <v>shumpim01,2016-17</v>
      </c>
      <c r="Z1658" s="168">
        <f t="array" ref="Z1658">iferror(index(I:I,match($A1658&amp;","&amp;index('Year Conversion'!$A:$A,match($C1658,'Year Conversion'!$B:$B,0)),$Y:$Y,0))-I1658,"")</f>
        <v>1</v>
      </c>
      <c r="AA1658" s="168">
        <f t="array" ref="AA1658">iferror(index(J:J,match($A1658&amp;","&amp;index('Year Conversion'!$A:$A,match($C1658,'Year Conversion'!$B:$B,0)),$Y:$Y,0))-J1658,"")</f>
        <v>0.2092520483</v>
      </c>
      <c r="AB1658" s="168">
        <f t="array" ref="AB1658">iferror(index(K:K,match($A1658&amp;","&amp;index('Year Conversion'!$A:$A,match($C1658,'Year Conversion'!$B:$B,0)),$Y:$Y,0))-K1658,"")</f>
        <v>-0.550226366</v>
      </c>
      <c r="AC1658" s="168" t="str">
        <f t="shared" si="7"/>
        <v>CLE,2016-17</v>
      </c>
    </row>
    <row r="1659">
      <c r="A1659" s="161" t="str">
        <f>IFERROR(__xludf.DUMMYFUNCTION("""COMPUTED_VALUE"""),"harrito02")</f>
        <v>harrito02</v>
      </c>
      <c r="B1659" s="161" t="str">
        <f>IFERROR(__xludf.DUMMYFUNCTION("""COMPUTED_VALUE"""),"Tobias Harris")</f>
        <v>Tobias Harris</v>
      </c>
      <c r="C1659" s="162" t="str">
        <f>IFERROR(__xludf.DUMMYFUNCTION("""COMPUTED_VALUE"""),"2016-17")</f>
        <v>2016-17</v>
      </c>
      <c r="D1659" s="163" t="str">
        <f>IFERROR(__xludf.DUMMYFUNCTION("""COMPUTED_VALUE"""),"DET")</f>
        <v>DET</v>
      </c>
      <c r="E1659" s="164" t="str">
        <f>IFERROR(__xludf.DUMMYFUNCTION("""COMPUTED_VALUE"""),"Shot Creator")</f>
        <v>Shot Creator</v>
      </c>
      <c r="F1659" s="164">
        <f>IFERROR(__xludf.DUMMYFUNCTION("""COMPUTED_VALUE"""),2566.44333333333)</f>
        <v>2566.443333</v>
      </c>
      <c r="G1659" s="163">
        <f>IFERROR(__xludf.DUMMYFUNCTION("""COMPUTED_VALUE"""),82.0)</f>
        <v>82</v>
      </c>
      <c r="H1659" s="163" t="str">
        <f>IFERROR(__xludf.DUMMYFUNCTION("""COMPUTED_VALUE"""),"PF")</f>
        <v>PF</v>
      </c>
      <c r="I1659" s="163">
        <f>IFERROR(__xludf.DUMMYFUNCTION("""COMPUTED_VALUE"""),24.0)</f>
        <v>24</v>
      </c>
      <c r="J1659" s="165">
        <f>IFERROR(__xludf.DUMMYFUNCTION("""COMPUTED_VALUE"""),0.318399119986181)</f>
        <v>0.31839912</v>
      </c>
      <c r="K1659" s="165">
        <f>IFERROR(__xludf.DUMMYFUNCTION("""COMPUTED_VALUE"""),0.109817913742544)</f>
        <v>0.1098179137</v>
      </c>
      <c r="L1659" s="165">
        <f>IFERROR(__xludf.DUMMYFUNCTION("""COMPUTED_VALUE"""),0.208581206243638)</f>
        <v>0.2085812062</v>
      </c>
      <c r="M1659" s="166">
        <f t="shared" si="2"/>
        <v>4.507438996</v>
      </c>
      <c r="N1659" s="167">
        <f t="shared" si="3"/>
        <v>31.29808943</v>
      </c>
      <c r="O1659" s="163">
        <f t="shared" ref="O1659:Q1659" si="1663">rank(I1659,I:I)</f>
        <v>2361</v>
      </c>
      <c r="P1659" s="163">
        <f t="shared" si="1663"/>
        <v>1007</v>
      </c>
      <c r="Q1659" s="163">
        <f t="shared" si="1663"/>
        <v>1058</v>
      </c>
      <c r="R1659" s="163">
        <f>IFERROR(__xludf.DUMMYFUNCTION("RANK(M1659,filter(M:M,C:C=C1659))"),62.0)</f>
        <v>62</v>
      </c>
      <c r="S1659" s="161" t="b">
        <f t="shared" si="5"/>
        <v>0</v>
      </c>
      <c r="T1659" s="161" t="b">
        <f t="array" ref="T1659">index('Query Tool'!B:B,match(H1659,'Query Tool'!C:C,0))</f>
        <v>1</v>
      </c>
      <c r="U1659" s="161" t="b">
        <f t="array" ref="U1659">index('Query Tool'!B:B,match(C1659,'Query Tool'!C:C,0))</f>
        <v>0</v>
      </c>
      <c r="V1659" s="161" t="b">
        <f>F1659&gt;='Query Tool'!C$32</f>
        <v>1</v>
      </c>
      <c r="W1659" s="161" t="b">
        <f t="array" ref="W1659">index(Dropdowns!B:B,match(I1659,Dropdowns!A:A,0))</f>
        <v>1</v>
      </c>
      <c r="X1659" s="161" t="b">
        <f t="array" ref="X1659">index('Query Tool'!B:B,match(D1659,'Query Tool'!C:C,0))</f>
        <v>1</v>
      </c>
      <c r="Y1659" s="161" t="str">
        <f t="shared" si="6"/>
        <v>harrito02,2016-17</v>
      </c>
      <c r="Z1659" s="168">
        <f t="array" ref="Z1659">iferror(index(I:I,match($A1659&amp;","&amp;index('Year Conversion'!$A:$A,match($C1659,'Year Conversion'!$B:$B,0)),$Y:$Y,0))-I1659,"")</f>
        <v>1</v>
      </c>
      <c r="AA1659" s="168">
        <f t="array" ref="AA1659">iferror(index(J:J,match($A1659&amp;","&amp;index('Year Conversion'!$A:$A,match($C1659,'Year Conversion'!$B:$B,0)),$Y:$Y,0))-J1659,"")</f>
        <v>0.09544260556</v>
      </c>
      <c r="AB1659" s="168">
        <f t="array" ref="AB1659">iferror(index(K:K,match($A1659&amp;","&amp;index('Year Conversion'!$A:$A,match($C1659,'Year Conversion'!$B:$B,0)),$Y:$Y,0))-K1659,"")</f>
        <v>0.6166749076</v>
      </c>
      <c r="AC1659" s="168" t="str">
        <f t="shared" si="7"/>
        <v>DET,2016-17</v>
      </c>
    </row>
    <row r="1660">
      <c r="A1660" s="161" t="str">
        <f>IFERROR(__xludf.DUMMYFUNCTION("""COMPUTED_VALUE"""),"motiedo01")</f>
        <v>motiedo01</v>
      </c>
      <c r="B1660" s="161" t="str">
        <f>IFERROR(__xludf.DUMMYFUNCTION("""COMPUTED_VALUE"""),"Donatas Motiejunas")</f>
        <v>Donatas Motiejunas</v>
      </c>
      <c r="C1660" s="162" t="str">
        <f>IFERROR(__xludf.DUMMYFUNCTION("""COMPUTED_VALUE"""),"2016-17")</f>
        <v>2016-17</v>
      </c>
      <c r="D1660" s="163" t="str">
        <f>IFERROR(__xludf.DUMMYFUNCTION("""COMPUTED_VALUE"""),"NOP")</f>
        <v>NOP</v>
      </c>
      <c r="E1660" s="164" t="str">
        <f>IFERROR(__xludf.DUMMYFUNCTION("""COMPUTED_VALUE"""),"Stretch Big")</f>
        <v>Stretch Big</v>
      </c>
      <c r="F1660" s="164">
        <f>IFERROR(__xludf.DUMMYFUNCTION("""COMPUTED_VALUE"""),478.685)</f>
        <v>478.685</v>
      </c>
      <c r="G1660" s="163">
        <f>IFERROR(__xludf.DUMMYFUNCTION("""COMPUTED_VALUE"""),34.0)</f>
        <v>34</v>
      </c>
      <c r="H1660" s="163" t="str">
        <f>IFERROR(__xludf.DUMMYFUNCTION("""COMPUTED_VALUE"""),"PF")</f>
        <v>PF</v>
      </c>
      <c r="I1660" s="163">
        <f>IFERROR(__xludf.DUMMYFUNCTION("""COMPUTED_VALUE"""),26.0)</f>
        <v>26</v>
      </c>
      <c r="J1660" s="165">
        <f>IFERROR(__xludf.DUMMYFUNCTION("""COMPUTED_VALUE"""),-1.57464020697321)</f>
        <v>-1.574640207</v>
      </c>
      <c r="K1660" s="165">
        <f>IFERROR(__xludf.DUMMYFUNCTION("""COMPUTED_VALUE"""),-1.38866904151548)</f>
        <v>-1.388669042</v>
      </c>
      <c r="L1660" s="165">
        <f>IFERROR(__xludf.DUMMYFUNCTION("""COMPUTED_VALUE"""),-0.185971165457729)</f>
        <v>-0.1859711655</v>
      </c>
      <c r="M1660" s="166">
        <f t="shared" si="2"/>
        <v>0.2315408531</v>
      </c>
      <c r="N1660" s="167">
        <f t="shared" si="3"/>
        <v>14.07897059</v>
      </c>
      <c r="O1660" s="163">
        <f t="shared" ref="O1660:Q1660" si="1664">rank(I1660,I:I)</f>
        <v>1665</v>
      </c>
      <c r="P1660" s="163">
        <f t="shared" si="1664"/>
        <v>3122</v>
      </c>
      <c r="Q1660" s="163">
        <f t="shared" si="1664"/>
        <v>3239</v>
      </c>
      <c r="R1660" s="163">
        <f>IFERROR(__xludf.DUMMYFUNCTION("RANK(M1660,filter(M:M,C:C=C1660))"),327.0)</f>
        <v>327</v>
      </c>
      <c r="S1660" s="161" t="b">
        <f t="shared" si="5"/>
        <v>0</v>
      </c>
      <c r="T1660" s="161" t="b">
        <f t="array" ref="T1660">index('Query Tool'!B:B,match(H1660,'Query Tool'!C:C,0))</f>
        <v>1</v>
      </c>
      <c r="U1660" s="161" t="b">
        <f t="array" ref="U1660">index('Query Tool'!B:B,match(C1660,'Query Tool'!C:C,0))</f>
        <v>0</v>
      </c>
      <c r="V1660" s="161" t="b">
        <f>F1660&gt;='Query Tool'!C$32</f>
        <v>0</v>
      </c>
      <c r="W1660" s="161" t="b">
        <f t="array" ref="W1660">index(Dropdowns!B:B,match(I1660,Dropdowns!A:A,0))</f>
        <v>1</v>
      </c>
      <c r="X1660" s="161" t="b">
        <f t="array" ref="X1660">index('Query Tool'!B:B,match(D1660,'Query Tool'!C:C,0))</f>
        <v>1</v>
      </c>
      <c r="Y1660" s="161" t="str">
        <f t="shared" si="6"/>
        <v>motiedo01,2016-17</v>
      </c>
      <c r="Z1660" s="168" t="str">
        <f t="array" ref="Z1660">iferror(index(I:I,match($A1660&amp;","&amp;index('Year Conversion'!$A:$A,match($C1660,'Year Conversion'!$B:$B,0)),$Y:$Y,0))-I1660,"")</f>
        <v/>
      </c>
      <c r="AA1660" s="168" t="str">
        <f t="array" ref="AA1660">iferror(index(J:J,match($A1660&amp;","&amp;index('Year Conversion'!$A:$A,match($C1660,'Year Conversion'!$B:$B,0)),$Y:$Y,0))-J1660,"")</f>
        <v/>
      </c>
      <c r="AB1660" s="168" t="str">
        <f t="array" ref="AB1660">iferror(index(K:K,match($A1660&amp;","&amp;index('Year Conversion'!$A:$A,match($C1660,'Year Conversion'!$B:$B,0)),$Y:$Y,0))-K1660,"")</f>
        <v/>
      </c>
      <c r="AC1660" s="168" t="str">
        <f t="shared" si="7"/>
        <v>NOP,2016-17</v>
      </c>
    </row>
    <row r="1661">
      <c r="A1661" s="161" t="str">
        <f>IFERROR(__xludf.DUMMYFUNCTION("""COMPUTED_VALUE"""),"farieke01")</f>
        <v>farieke01</v>
      </c>
      <c r="B1661" s="161" t="str">
        <f>IFERROR(__xludf.DUMMYFUNCTION("""COMPUTED_VALUE"""),"Kenneth Faried")</f>
        <v>Kenneth Faried</v>
      </c>
      <c r="C1661" s="162" t="str">
        <f>IFERROR(__xludf.DUMMYFUNCTION("""COMPUTED_VALUE"""),"2016-17")</f>
        <v>2016-17</v>
      </c>
      <c r="D1661" s="163" t="str">
        <f>IFERROR(__xludf.DUMMYFUNCTION("""COMPUTED_VALUE"""),"DEN")</f>
        <v>DEN</v>
      </c>
      <c r="E1661" s="164" t="str">
        <f>IFERROR(__xludf.DUMMYFUNCTION("""COMPUTED_VALUE"""),"Roll + Cut Big")</f>
        <v>Roll + Cut Big</v>
      </c>
      <c r="F1661" s="164">
        <f>IFERROR(__xludf.DUMMYFUNCTION("""COMPUTED_VALUE"""),1295.87666666667)</f>
        <v>1295.876667</v>
      </c>
      <c r="G1661" s="163">
        <f>IFERROR(__xludf.DUMMYFUNCTION("""COMPUTED_VALUE"""),61.0)</f>
        <v>61</v>
      </c>
      <c r="H1661" s="163" t="str">
        <f>IFERROR(__xludf.DUMMYFUNCTION("""COMPUTED_VALUE"""),"PF")</f>
        <v>PF</v>
      </c>
      <c r="I1661" s="163">
        <f>IFERROR(__xludf.DUMMYFUNCTION("""COMPUTED_VALUE"""),27.0)</f>
        <v>27</v>
      </c>
      <c r="J1661" s="165">
        <f>IFERROR(__xludf.DUMMYFUNCTION("""COMPUTED_VALUE"""),1.02118039130253)</f>
        <v>1.021180391</v>
      </c>
      <c r="K1661" s="165">
        <f>IFERROR(__xludf.DUMMYFUNCTION("""COMPUTED_VALUE"""),1.00536085503929)</f>
        <v>1.005360855</v>
      </c>
      <c r="L1661" s="165">
        <f>IFERROR(__xludf.DUMMYFUNCTION("""COMPUTED_VALUE"""),0.0158195362632458)</f>
        <v>0.01581953626</v>
      </c>
      <c r="M1661" s="166">
        <f t="shared" si="2"/>
        <v>2.888691112</v>
      </c>
      <c r="N1661" s="167">
        <f t="shared" si="3"/>
        <v>21.24387978</v>
      </c>
      <c r="O1661" s="163">
        <f t="shared" ref="O1661:Q1661" si="1665">rank(I1661,I:I)</f>
        <v>1366</v>
      </c>
      <c r="P1661" s="163">
        <f t="shared" si="1665"/>
        <v>652</v>
      </c>
      <c r="Q1661" s="163">
        <f t="shared" si="1665"/>
        <v>503</v>
      </c>
      <c r="R1661" s="163">
        <f>IFERROR(__xludf.DUMMYFUNCTION("RANK(M1661,filter(M:M,C:C=C1661))"),116.0)</f>
        <v>116</v>
      </c>
      <c r="S1661" s="161" t="b">
        <f t="shared" si="5"/>
        <v>0</v>
      </c>
      <c r="T1661" s="161" t="b">
        <f t="array" ref="T1661">index('Query Tool'!B:B,match(H1661,'Query Tool'!C:C,0))</f>
        <v>1</v>
      </c>
      <c r="U1661" s="161" t="b">
        <f t="array" ref="U1661">index('Query Tool'!B:B,match(C1661,'Query Tool'!C:C,0))</f>
        <v>0</v>
      </c>
      <c r="V1661" s="161" t="b">
        <f>F1661&gt;='Query Tool'!C$32</f>
        <v>1</v>
      </c>
      <c r="W1661" s="161" t="b">
        <f t="array" ref="W1661">index(Dropdowns!B:B,match(I1661,Dropdowns!A:A,0))</f>
        <v>1</v>
      </c>
      <c r="X1661" s="161" t="b">
        <f t="array" ref="X1661">index('Query Tool'!B:B,match(D1661,'Query Tool'!C:C,0))</f>
        <v>1</v>
      </c>
      <c r="Y1661" s="161" t="str">
        <f t="shared" si="6"/>
        <v>farieke01,2016-17</v>
      </c>
      <c r="Z1661" s="168">
        <f t="array" ref="Z1661">iferror(index(I:I,match($A1661&amp;","&amp;index('Year Conversion'!$A:$A,match($C1661,'Year Conversion'!$B:$B,0)),$Y:$Y,0))-I1661,"")</f>
        <v>1</v>
      </c>
      <c r="AA1661" s="168">
        <f t="array" ref="AA1661">iferror(index(J:J,match($A1661&amp;","&amp;index('Year Conversion'!$A:$A,match($C1661,'Year Conversion'!$B:$B,0)),$Y:$Y,0))-J1661,"")</f>
        <v>-2.504132452</v>
      </c>
      <c r="AB1661" s="168">
        <f t="array" ref="AB1661">iferror(index(K:K,match($A1661&amp;","&amp;index('Year Conversion'!$A:$A,match($C1661,'Year Conversion'!$B:$B,0)),$Y:$Y,0))-K1661,"")</f>
        <v>-1.727542245</v>
      </c>
      <c r="AC1661" s="168" t="str">
        <f t="shared" si="7"/>
        <v>DEN,2016-17</v>
      </c>
    </row>
    <row r="1662">
      <c r="A1662" s="161" t="str">
        <f>IFERROR(__xludf.DUMMYFUNCTION("""COMPUTED_VALUE"""),"mirotni01")</f>
        <v>mirotni01</v>
      </c>
      <c r="B1662" s="161" t="str">
        <f>IFERROR(__xludf.DUMMYFUNCTION("""COMPUTED_VALUE"""),"Nikola Mirotic")</f>
        <v>Nikola Mirotic</v>
      </c>
      <c r="C1662" s="162" t="str">
        <f>IFERROR(__xludf.DUMMYFUNCTION("""COMPUTED_VALUE"""),"2016-17")</f>
        <v>2016-17</v>
      </c>
      <c r="D1662" s="163" t="str">
        <f>IFERROR(__xludf.DUMMYFUNCTION("""COMPUTED_VALUE"""),"CHI")</f>
        <v>CHI</v>
      </c>
      <c r="E1662" s="164" t="str">
        <f>IFERROR(__xludf.DUMMYFUNCTION("""COMPUTED_VALUE"""),"Movement Shooter")</f>
        <v>Movement Shooter</v>
      </c>
      <c r="F1662" s="164">
        <f>IFERROR(__xludf.DUMMYFUNCTION("""COMPUTED_VALUE"""),1678.91166666667)</f>
        <v>1678.911667</v>
      </c>
      <c r="G1662" s="163">
        <f>IFERROR(__xludf.DUMMYFUNCTION("""COMPUTED_VALUE"""),70.0)</f>
        <v>70</v>
      </c>
      <c r="H1662" s="163" t="str">
        <f>IFERROR(__xludf.DUMMYFUNCTION("""COMPUTED_VALUE"""),"PF")</f>
        <v>PF</v>
      </c>
      <c r="I1662" s="163">
        <f>IFERROR(__xludf.DUMMYFUNCTION("""COMPUTED_VALUE"""),25.0)</f>
        <v>25</v>
      </c>
      <c r="J1662" s="165">
        <f>IFERROR(__xludf.DUMMYFUNCTION("""COMPUTED_VALUE"""),1.29491900432305)</f>
        <v>1.294919004</v>
      </c>
      <c r="K1662" s="165">
        <f>IFERROR(__xludf.DUMMYFUNCTION("""COMPUTED_VALUE"""),1.02120278800994)</f>
        <v>1.021202788</v>
      </c>
      <c r="L1662" s="165">
        <f>IFERROR(__xludf.DUMMYFUNCTION("""COMPUTED_VALUE"""),0.273716216313113)</f>
        <v>0.2737162163</v>
      </c>
      <c r="M1662" s="166">
        <f t="shared" si="2"/>
        <v>4.050642877</v>
      </c>
      <c r="N1662" s="167">
        <f t="shared" si="3"/>
        <v>23.98445238</v>
      </c>
      <c r="O1662" s="163">
        <f t="shared" ref="O1662:Q1662" si="1666">rank(I1662,I:I)</f>
        <v>1995</v>
      </c>
      <c r="P1662" s="163">
        <f t="shared" si="1666"/>
        <v>526</v>
      </c>
      <c r="Q1662" s="163">
        <f t="shared" si="1666"/>
        <v>496</v>
      </c>
      <c r="R1662" s="163">
        <f>IFERROR(__xludf.DUMMYFUNCTION("RANK(M1662,filter(M:M,C:C=C1662))"),82.0)</f>
        <v>82</v>
      </c>
      <c r="S1662" s="161" t="b">
        <f t="shared" si="5"/>
        <v>0</v>
      </c>
      <c r="T1662" s="161" t="b">
        <f t="array" ref="T1662">index('Query Tool'!B:B,match(H1662,'Query Tool'!C:C,0))</f>
        <v>1</v>
      </c>
      <c r="U1662" s="161" t="b">
        <f t="array" ref="U1662">index('Query Tool'!B:B,match(C1662,'Query Tool'!C:C,0))</f>
        <v>0</v>
      </c>
      <c r="V1662" s="161" t="b">
        <f>F1662&gt;='Query Tool'!C$32</f>
        <v>1</v>
      </c>
      <c r="W1662" s="161" t="b">
        <f t="array" ref="W1662">index(Dropdowns!B:B,match(I1662,Dropdowns!A:A,0))</f>
        <v>1</v>
      </c>
      <c r="X1662" s="161" t="b">
        <f t="array" ref="X1662">index('Query Tool'!B:B,match(D1662,'Query Tool'!C:C,0))</f>
        <v>1</v>
      </c>
      <c r="Y1662" s="161" t="str">
        <f t="shared" si="6"/>
        <v>mirotni01,2016-17</v>
      </c>
      <c r="Z1662" s="168">
        <f t="array" ref="Z1662">iferror(index(I:I,match($A1662&amp;","&amp;index('Year Conversion'!$A:$A,match($C1662,'Year Conversion'!$B:$B,0)),$Y:$Y,0))-I1662,"")</f>
        <v>1</v>
      </c>
      <c r="AA1662" s="168">
        <f t="array" ref="AA1662">iferror(index(J:J,match($A1662&amp;","&amp;index('Year Conversion'!$A:$A,match($C1662,'Year Conversion'!$B:$B,0)),$Y:$Y,0))-J1662,"")</f>
        <v>1.094482434</v>
      </c>
      <c r="AB1662" s="168">
        <f t="array" ref="AB1662">iferror(index(K:K,match($A1662&amp;","&amp;index('Year Conversion'!$A:$A,match($C1662,'Year Conversion'!$B:$B,0)),$Y:$Y,0))-K1662,"")</f>
        <v>1.13068954</v>
      </c>
      <c r="AC1662" s="168" t="str">
        <f t="shared" si="7"/>
        <v>CHI,2016-17</v>
      </c>
    </row>
    <row r="1663">
      <c r="A1663" s="161" t="str">
        <f>IFERROR(__xludf.DUMMYFUNCTION("""COMPUTED_VALUE"""),"jacksre01")</f>
        <v>jacksre01</v>
      </c>
      <c r="B1663" s="161" t="str">
        <f>IFERROR(__xludf.DUMMYFUNCTION("""COMPUTED_VALUE"""),"Reggie Jackson")</f>
        <v>Reggie Jackson</v>
      </c>
      <c r="C1663" s="162" t="str">
        <f>IFERROR(__xludf.DUMMYFUNCTION("""COMPUTED_VALUE"""),"2016-17")</f>
        <v>2016-17</v>
      </c>
      <c r="D1663" s="163" t="str">
        <f>IFERROR(__xludf.DUMMYFUNCTION("""COMPUTED_VALUE"""),"DET")</f>
        <v>DET</v>
      </c>
      <c r="E1663" s="164" t="str">
        <f>IFERROR(__xludf.DUMMYFUNCTION("""COMPUTED_VALUE"""),"Slasher")</f>
        <v>Slasher</v>
      </c>
      <c r="F1663" s="164">
        <f>IFERROR(__xludf.DUMMYFUNCTION("""COMPUTED_VALUE"""),1424.395)</f>
        <v>1424.395</v>
      </c>
      <c r="G1663" s="163">
        <f>IFERROR(__xludf.DUMMYFUNCTION("""COMPUTED_VALUE"""),52.0)</f>
        <v>52</v>
      </c>
      <c r="H1663" s="163" t="str">
        <f>IFERROR(__xludf.DUMMYFUNCTION("""COMPUTED_VALUE"""),"PG")</f>
        <v>PG</v>
      </c>
      <c r="I1663" s="163">
        <f>IFERROR(__xludf.DUMMYFUNCTION("""COMPUTED_VALUE"""),26.0)</f>
        <v>26</v>
      </c>
      <c r="J1663" s="165">
        <f>IFERROR(__xludf.DUMMYFUNCTION("""COMPUTED_VALUE"""),-1.16840446802)</f>
        <v>-1.168404468</v>
      </c>
      <c r="K1663" s="165">
        <f>IFERROR(__xludf.DUMMYFUNCTION("""COMPUTED_VALUE"""),-0.0296508476101528)</f>
        <v>-0.02965084761</v>
      </c>
      <c r="L1663" s="165">
        <f>IFERROR(__xludf.DUMMYFUNCTION("""COMPUTED_VALUE"""),-1.13875362040985)</f>
        <v>-1.13875362</v>
      </c>
      <c r="M1663" s="166">
        <f t="shared" si="2"/>
        <v>1.076031833</v>
      </c>
      <c r="N1663" s="167">
        <f t="shared" si="3"/>
        <v>27.39221154</v>
      </c>
      <c r="O1663" s="163">
        <f t="shared" ref="O1663:Q1663" si="1667">rank(I1663,I:I)</f>
        <v>1665</v>
      </c>
      <c r="P1663" s="163">
        <f t="shared" si="1667"/>
        <v>2705</v>
      </c>
      <c r="Q1663" s="163">
        <f t="shared" si="1667"/>
        <v>1238</v>
      </c>
      <c r="R1663" s="163">
        <f>IFERROR(__xludf.DUMMYFUNCTION("RANK(M1663,filter(M:M,C:C=C1663))"),218.0)</f>
        <v>218</v>
      </c>
      <c r="S1663" s="161" t="b">
        <f t="shared" si="5"/>
        <v>0</v>
      </c>
      <c r="T1663" s="161" t="b">
        <f t="array" ref="T1663">index('Query Tool'!B:B,match(H1663,'Query Tool'!C:C,0))</f>
        <v>1</v>
      </c>
      <c r="U1663" s="161" t="b">
        <f t="array" ref="U1663">index('Query Tool'!B:B,match(C1663,'Query Tool'!C:C,0))</f>
        <v>0</v>
      </c>
      <c r="V1663" s="161" t="b">
        <f>F1663&gt;='Query Tool'!C$32</f>
        <v>1</v>
      </c>
      <c r="W1663" s="161" t="b">
        <f t="array" ref="W1663">index(Dropdowns!B:B,match(I1663,Dropdowns!A:A,0))</f>
        <v>1</v>
      </c>
      <c r="X1663" s="161" t="b">
        <f t="array" ref="X1663">index('Query Tool'!B:B,match(D1663,'Query Tool'!C:C,0))</f>
        <v>1</v>
      </c>
      <c r="Y1663" s="161" t="str">
        <f t="shared" si="6"/>
        <v>jacksre01,2016-17</v>
      </c>
      <c r="Z1663" s="168">
        <f t="array" ref="Z1663">iferror(index(I:I,match($A1663&amp;","&amp;index('Year Conversion'!$A:$A,match($C1663,'Year Conversion'!$B:$B,0)),$Y:$Y,0))-I1663,"")</f>
        <v>1</v>
      </c>
      <c r="AA1663" s="168">
        <f t="array" ref="AA1663">iferror(index(J:J,match($A1663&amp;","&amp;index('Year Conversion'!$A:$A,match($C1663,'Year Conversion'!$B:$B,0)),$Y:$Y,0))-J1663,"")</f>
        <v>1.27739302</v>
      </c>
      <c r="AB1663" s="168">
        <f t="array" ref="AB1663">iferror(index(K:K,match($A1663&amp;","&amp;index('Year Conversion'!$A:$A,match($C1663,'Year Conversion'!$B:$B,0)),$Y:$Y,0))-K1663,"")</f>
        <v>0.9554647871</v>
      </c>
      <c r="AC1663" s="168" t="str">
        <f t="shared" si="7"/>
        <v>DET,2016-17</v>
      </c>
    </row>
    <row r="1664">
      <c r="A1664" s="161" t="str">
        <f>IFERROR(__xludf.DUMMYFUNCTION("""COMPUTED_VALUE"""),"coleno01")</f>
        <v>coleno01</v>
      </c>
      <c r="B1664" s="161" t="str">
        <f>IFERROR(__xludf.DUMMYFUNCTION("""COMPUTED_VALUE"""),"Norris Cole")</f>
        <v>Norris Cole</v>
      </c>
      <c r="C1664" s="162" t="str">
        <f>IFERROR(__xludf.DUMMYFUNCTION("""COMPUTED_VALUE"""),"2016-17")</f>
        <v>2016-17</v>
      </c>
      <c r="D1664" s="163" t="str">
        <f>IFERROR(__xludf.DUMMYFUNCTION("""COMPUTED_VALUE"""),"OKC")</f>
        <v>OKC</v>
      </c>
      <c r="E1664" s="164" t="str">
        <f>IFERROR(__xludf.DUMMYFUNCTION("""COMPUTED_VALUE"""),"Secondary Ball Handler")</f>
        <v>Secondary Ball Handler</v>
      </c>
      <c r="F1664" s="164">
        <f>IFERROR(__xludf.DUMMYFUNCTION("""COMPUTED_VALUE"""),124.926666666667)</f>
        <v>124.9266667</v>
      </c>
      <c r="G1664" s="163">
        <f>IFERROR(__xludf.DUMMYFUNCTION("""COMPUTED_VALUE"""),13.0)</f>
        <v>13</v>
      </c>
      <c r="H1664" s="163" t="str">
        <f>IFERROR(__xludf.DUMMYFUNCTION("""COMPUTED_VALUE"""),"PG")</f>
        <v>PG</v>
      </c>
      <c r="I1664" s="163">
        <f>IFERROR(__xludf.DUMMYFUNCTION("""COMPUTED_VALUE"""),28.0)</f>
        <v>28</v>
      </c>
      <c r="J1664" s="165">
        <f>IFERROR(__xludf.DUMMYFUNCTION("""COMPUTED_VALUE"""),-0.830313416448273)</f>
        <v>-0.8303134164</v>
      </c>
      <c r="K1664" s="165">
        <f>IFERROR(__xludf.DUMMYFUNCTION("""COMPUTED_VALUE"""),-0.432350218268031)</f>
        <v>-0.4323502183</v>
      </c>
      <c r="L1664" s="165">
        <f>IFERROR(__xludf.DUMMYFUNCTION("""COMPUTED_VALUE"""),-0.397963198180242)</f>
        <v>-0.3979631982</v>
      </c>
      <c r="M1664" s="166">
        <f t="shared" si="2"/>
        <v>0.1227296225</v>
      </c>
      <c r="N1664" s="167">
        <f t="shared" si="3"/>
        <v>9.60974359</v>
      </c>
      <c r="O1664" s="163">
        <f t="shared" ref="O1664:Q1664" si="1668">rank(I1664,I:I)</f>
        <v>1090</v>
      </c>
      <c r="P1664" s="163">
        <f t="shared" si="1668"/>
        <v>2325</v>
      </c>
      <c r="Q1664" s="163">
        <f t="shared" si="1668"/>
        <v>2005</v>
      </c>
      <c r="R1664" s="163">
        <f>IFERROR(__xludf.DUMMYFUNCTION("RANK(M1664,filter(M:M,C:C=C1664))"),370.0)</f>
        <v>370</v>
      </c>
      <c r="S1664" s="161" t="b">
        <f t="shared" si="5"/>
        <v>0</v>
      </c>
      <c r="T1664" s="161" t="b">
        <f t="array" ref="T1664">index('Query Tool'!B:B,match(H1664,'Query Tool'!C:C,0))</f>
        <v>1</v>
      </c>
      <c r="U1664" s="161" t="b">
        <f t="array" ref="U1664">index('Query Tool'!B:B,match(C1664,'Query Tool'!C:C,0))</f>
        <v>0</v>
      </c>
      <c r="V1664" s="161" t="b">
        <f>F1664&gt;='Query Tool'!C$32</f>
        <v>0</v>
      </c>
      <c r="W1664" s="161" t="b">
        <f t="array" ref="W1664">index(Dropdowns!B:B,match(I1664,Dropdowns!A:A,0))</f>
        <v>1</v>
      </c>
      <c r="X1664" s="161" t="b">
        <f t="array" ref="X1664">index('Query Tool'!B:B,match(D1664,'Query Tool'!C:C,0))</f>
        <v>1</v>
      </c>
      <c r="Y1664" s="161" t="str">
        <f t="shared" si="6"/>
        <v>coleno01,2016-17</v>
      </c>
      <c r="Z1664" s="168" t="str">
        <f t="array" ref="Z1664">iferror(index(I:I,match($A1664&amp;","&amp;index('Year Conversion'!$A:$A,match($C1664,'Year Conversion'!$B:$B,0)),$Y:$Y,0))-I1664,"")</f>
        <v/>
      </c>
      <c r="AA1664" s="168" t="str">
        <f t="array" ref="AA1664">iferror(index(J:J,match($A1664&amp;","&amp;index('Year Conversion'!$A:$A,match($C1664,'Year Conversion'!$B:$B,0)),$Y:$Y,0))-J1664,"")</f>
        <v/>
      </c>
      <c r="AB1664" s="168" t="str">
        <f t="array" ref="AB1664">iferror(index(K:K,match($A1664&amp;","&amp;index('Year Conversion'!$A:$A,match($C1664,'Year Conversion'!$B:$B,0)),$Y:$Y,0))-K1664,"")</f>
        <v/>
      </c>
      <c r="AC1664" s="168" t="str">
        <f t="shared" si="7"/>
        <v>OKC,2016-17</v>
      </c>
    </row>
    <row r="1665">
      <c r="A1665" s="161" t="str">
        <f>IFERROR(__xludf.DUMMYFUNCTION("""COMPUTED_VALUE"""),"josepco01")</f>
        <v>josepco01</v>
      </c>
      <c r="B1665" s="161" t="str">
        <f>IFERROR(__xludf.DUMMYFUNCTION("""COMPUTED_VALUE"""),"Cory Joseph")</f>
        <v>Cory Joseph</v>
      </c>
      <c r="C1665" s="162" t="str">
        <f>IFERROR(__xludf.DUMMYFUNCTION("""COMPUTED_VALUE"""),"2016-17")</f>
        <v>2016-17</v>
      </c>
      <c r="D1665" s="163" t="str">
        <f>IFERROR(__xludf.DUMMYFUNCTION("""COMPUTED_VALUE"""),"TOR")</f>
        <v>TOR</v>
      </c>
      <c r="E1665" s="164" t="str">
        <f>IFERROR(__xludf.DUMMYFUNCTION("""COMPUTED_VALUE"""),"Slasher")</f>
        <v>Slasher</v>
      </c>
      <c r="F1665" s="164">
        <f>IFERROR(__xludf.DUMMYFUNCTION("""COMPUTED_VALUE"""),2002.72333333333)</f>
        <v>2002.723333</v>
      </c>
      <c r="G1665" s="163">
        <f>IFERROR(__xludf.DUMMYFUNCTION("""COMPUTED_VALUE"""),80.0)</f>
        <v>80</v>
      </c>
      <c r="H1665" s="163" t="str">
        <f>IFERROR(__xludf.DUMMYFUNCTION("""COMPUTED_VALUE"""),"PG")</f>
        <v>PG</v>
      </c>
      <c r="I1665" s="163">
        <f>IFERROR(__xludf.DUMMYFUNCTION("""COMPUTED_VALUE"""),25.0)</f>
        <v>25</v>
      </c>
      <c r="J1665" s="165">
        <f>IFERROR(__xludf.DUMMYFUNCTION("""COMPUTED_VALUE"""),-0.875067869649896)</f>
        <v>-0.8750678696</v>
      </c>
      <c r="K1665" s="165">
        <f>IFERROR(__xludf.DUMMYFUNCTION("""COMPUTED_VALUE"""),0.239592475511503)</f>
        <v>0.2395924755</v>
      </c>
      <c r="L1665" s="165">
        <f>IFERROR(__xludf.DUMMYFUNCTION("""COMPUTED_VALUE"""),-1.1146603451614)</f>
        <v>-1.114660345</v>
      </c>
      <c r="M1665" s="166">
        <f t="shared" si="2"/>
        <v>1.907256712</v>
      </c>
      <c r="N1665" s="167">
        <f t="shared" si="3"/>
        <v>25.03404167</v>
      </c>
      <c r="O1665" s="163">
        <f t="shared" ref="O1665:Q1665" si="1669">rank(I1665,I:I)</f>
        <v>1995</v>
      </c>
      <c r="P1665" s="163">
        <f t="shared" si="1669"/>
        <v>2371</v>
      </c>
      <c r="Q1665" s="163">
        <f t="shared" si="1669"/>
        <v>955</v>
      </c>
      <c r="R1665" s="163">
        <f>IFERROR(__xludf.DUMMYFUNCTION("RANK(M1665,filter(M:M,C:C=C1665))"),166.0)</f>
        <v>166</v>
      </c>
      <c r="S1665" s="161" t="b">
        <f t="shared" si="5"/>
        <v>0</v>
      </c>
      <c r="T1665" s="161" t="b">
        <f t="array" ref="T1665">index('Query Tool'!B:B,match(H1665,'Query Tool'!C:C,0))</f>
        <v>1</v>
      </c>
      <c r="U1665" s="161" t="b">
        <f t="array" ref="U1665">index('Query Tool'!B:B,match(C1665,'Query Tool'!C:C,0))</f>
        <v>0</v>
      </c>
      <c r="V1665" s="161" t="b">
        <f>F1665&gt;='Query Tool'!C$32</f>
        <v>1</v>
      </c>
      <c r="W1665" s="161" t="b">
        <f t="array" ref="W1665">index(Dropdowns!B:B,match(I1665,Dropdowns!A:A,0))</f>
        <v>1</v>
      </c>
      <c r="X1665" s="161" t="b">
        <f t="array" ref="X1665">index('Query Tool'!B:B,match(D1665,'Query Tool'!C:C,0))</f>
        <v>1</v>
      </c>
      <c r="Y1665" s="161" t="str">
        <f t="shared" si="6"/>
        <v>josepco01,2016-17</v>
      </c>
      <c r="Z1665" s="168">
        <f t="array" ref="Z1665">iferror(index(I:I,match($A1665&amp;","&amp;index('Year Conversion'!$A:$A,match($C1665,'Year Conversion'!$B:$B,0)),$Y:$Y,0))-I1665,"")</f>
        <v>1</v>
      </c>
      <c r="AA1665" s="168">
        <f t="array" ref="AA1665">iferror(index(J:J,match($A1665&amp;","&amp;index('Year Conversion'!$A:$A,match($C1665,'Year Conversion'!$B:$B,0)),$Y:$Y,0))-J1665,"")</f>
        <v>-0.307120793</v>
      </c>
      <c r="AB1665" s="168">
        <f t="array" ref="AB1665">iferror(index(K:K,match($A1665&amp;","&amp;index('Year Conversion'!$A:$A,match($C1665,'Year Conversion'!$B:$B,0)),$Y:$Y,0))-K1665,"")</f>
        <v>-0.6449609437</v>
      </c>
      <c r="AC1665" s="168" t="str">
        <f t="shared" si="7"/>
        <v>TOR,2016-17</v>
      </c>
    </row>
    <row r="1666">
      <c r="A1666" s="161" t="str">
        <f>IFERROR(__xludf.DUMMYFUNCTION("""COMPUTED_VALUE"""),"butleji01")</f>
        <v>butleji01</v>
      </c>
      <c r="B1666" s="161" t="str">
        <f>IFERROR(__xludf.DUMMYFUNCTION("""COMPUTED_VALUE"""),"Jimmy Butler")</f>
        <v>Jimmy Butler</v>
      </c>
      <c r="C1666" s="162" t="str">
        <f>IFERROR(__xludf.DUMMYFUNCTION("""COMPUTED_VALUE"""),"2016-17")</f>
        <v>2016-17</v>
      </c>
      <c r="D1666" s="163" t="str">
        <f>IFERROR(__xludf.DUMMYFUNCTION("""COMPUTED_VALUE"""),"CHI")</f>
        <v>CHI</v>
      </c>
      <c r="E1666" s="164" t="str">
        <f>IFERROR(__xludf.DUMMYFUNCTION("""COMPUTED_VALUE"""),"Shot Creator")</f>
        <v>Shot Creator</v>
      </c>
      <c r="F1666" s="164">
        <f>IFERROR(__xludf.DUMMYFUNCTION("""COMPUTED_VALUE"""),2808.95666666667)</f>
        <v>2808.956667</v>
      </c>
      <c r="G1666" s="163">
        <f>IFERROR(__xludf.DUMMYFUNCTION("""COMPUTED_VALUE"""),76.0)</f>
        <v>76</v>
      </c>
      <c r="H1666" s="163" t="str">
        <f>IFERROR(__xludf.DUMMYFUNCTION("""COMPUTED_VALUE"""),"SF")</f>
        <v>SF</v>
      </c>
      <c r="I1666" s="163">
        <f>IFERROR(__xludf.DUMMYFUNCTION("""COMPUTED_VALUE"""),27.0)</f>
        <v>27</v>
      </c>
      <c r="J1666" s="165">
        <f>IFERROR(__xludf.DUMMYFUNCTION("""COMPUTED_VALUE"""),4.8292890784506)</f>
        <v>4.829289078</v>
      </c>
      <c r="K1666" s="165">
        <f>IFERROR(__xludf.DUMMYFUNCTION("""COMPUTED_VALUE"""),3.44669470115334)</f>
        <v>3.446694701</v>
      </c>
      <c r="L1666" s="165">
        <f>IFERROR(__xludf.DUMMYFUNCTION("""COMPUTED_VALUE"""),1.38259437729726)</f>
        <v>1.382594377</v>
      </c>
      <c r="M1666" s="166">
        <f t="shared" si="2"/>
        <v>13.19079199</v>
      </c>
      <c r="N1666" s="167">
        <f t="shared" si="3"/>
        <v>36.95995614</v>
      </c>
      <c r="O1666" s="163">
        <f t="shared" ref="O1666:Q1666" si="1670">rank(I1666,I:I)</f>
        <v>1366</v>
      </c>
      <c r="P1666" s="163">
        <f t="shared" si="1670"/>
        <v>54</v>
      </c>
      <c r="Q1666" s="163">
        <f t="shared" si="1670"/>
        <v>92</v>
      </c>
      <c r="R1666" s="163">
        <f>IFERROR(__xludf.DUMMYFUNCTION("RANK(M1666,filter(M:M,C:C=C1666))"),7.0)</f>
        <v>7</v>
      </c>
      <c r="S1666" s="161" t="b">
        <f t="shared" si="5"/>
        <v>0</v>
      </c>
      <c r="T1666" s="161" t="b">
        <f t="array" ref="T1666">index('Query Tool'!B:B,match(H1666,'Query Tool'!C:C,0))</f>
        <v>1</v>
      </c>
      <c r="U1666" s="161" t="b">
        <f t="array" ref="U1666">index('Query Tool'!B:B,match(C1666,'Query Tool'!C:C,0))</f>
        <v>0</v>
      </c>
      <c r="V1666" s="161" t="b">
        <f>F1666&gt;='Query Tool'!C$32</f>
        <v>1</v>
      </c>
      <c r="W1666" s="161" t="b">
        <f t="array" ref="W1666">index(Dropdowns!B:B,match(I1666,Dropdowns!A:A,0))</f>
        <v>1</v>
      </c>
      <c r="X1666" s="161" t="b">
        <f t="array" ref="X1666">index('Query Tool'!B:B,match(D1666,'Query Tool'!C:C,0))</f>
        <v>1</v>
      </c>
      <c r="Y1666" s="161" t="str">
        <f t="shared" si="6"/>
        <v>butleji01,2016-17</v>
      </c>
      <c r="Z1666" s="168">
        <f t="array" ref="Z1666">iferror(index(I:I,match($A1666&amp;","&amp;index('Year Conversion'!$A:$A,match($C1666,'Year Conversion'!$B:$B,0)),$Y:$Y,0))-I1666,"")</f>
        <v>1</v>
      </c>
      <c r="AA1666" s="168">
        <f t="array" ref="AA1666">iferror(index(J:J,match($A1666&amp;","&amp;index('Year Conversion'!$A:$A,match($C1666,'Year Conversion'!$B:$B,0)),$Y:$Y,0))-J1666,"")</f>
        <v>-0.600188957</v>
      </c>
      <c r="AB1666" s="168">
        <f t="array" ref="AB1666">iferror(index(K:K,match($A1666&amp;","&amp;index('Year Conversion'!$A:$A,match($C1666,'Year Conversion'!$B:$B,0)),$Y:$Y,0))-K1666,"")</f>
        <v>0.02422951232</v>
      </c>
      <c r="AC1666" s="168" t="str">
        <f t="shared" si="7"/>
        <v>CHI,2016-17</v>
      </c>
    </row>
    <row r="1667">
      <c r="A1667" s="161" t="str">
        <f>IFERROR(__xludf.DUMMYFUNCTION("""COMPUTED_VALUE"""),"bogdabo02")</f>
        <v>bogdabo02</v>
      </c>
      <c r="B1667" s="161" t="str">
        <f>IFERROR(__xludf.DUMMYFUNCTION("""COMPUTED_VALUE"""),"Bojan Bogdanovic")</f>
        <v>Bojan Bogdanovic</v>
      </c>
      <c r="C1667" s="162" t="str">
        <f>IFERROR(__xludf.DUMMYFUNCTION("""COMPUTED_VALUE"""),"2016-17")</f>
        <v>2016-17</v>
      </c>
      <c r="D1667" s="163" t="str">
        <f>IFERROR(__xludf.DUMMYFUNCTION("""COMPUTED_VALUE"""),"TOT")</f>
        <v>TOT</v>
      </c>
      <c r="E1667" s="164" t="str">
        <f>IFERROR(__xludf.DUMMYFUNCTION("""COMPUTED_VALUE"""),"Movement Shooter")</f>
        <v>Movement Shooter</v>
      </c>
      <c r="F1667" s="164">
        <f>IFERROR(__xludf.DUMMYFUNCTION("""COMPUTED_VALUE"""),2082.855)</f>
        <v>2082.855</v>
      </c>
      <c r="G1667" s="163">
        <f>IFERROR(__xludf.DUMMYFUNCTION("""COMPUTED_VALUE"""),81.0)</f>
        <v>81</v>
      </c>
      <c r="H1667" s="163" t="str">
        <f>IFERROR(__xludf.DUMMYFUNCTION("""COMPUTED_VALUE"""),"SF")</f>
        <v>SF</v>
      </c>
      <c r="I1667" s="163">
        <f>IFERROR(__xludf.DUMMYFUNCTION("""COMPUTED_VALUE"""),27.0)</f>
        <v>27</v>
      </c>
      <c r="J1667" s="165">
        <f>IFERROR(__xludf.DUMMYFUNCTION("""COMPUTED_VALUE"""),-2.04990062806329)</f>
        <v>-2.049900628</v>
      </c>
      <c r="K1667" s="165">
        <f>IFERROR(__xludf.DUMMYFUNCTION("""COMPUTED_VALUE"""),-0.526706415290777)</f>
        <v>-0.5267064153</v>
      </c>
      <c r="L1667" s="165">
        <f>IFERROR(__xludf.DUMMYFUNCTION("""COMPUTED_VALUE"""),-1.52319421277251)</f>
        <v>-1.523194213</v>
      </c>
      <c r="M1667" s="166">
        <f t="shared" si="2"/>
        <v>0.3492032607</v>
      </c>
      <c r="N1667" s="167">
        <f t="shared" si="3"/>
        <v>25.71425926</v>
      </c>
      <c r="O1667" s="163">
        <f t="shared" ref="O1667:Q1667" si="1671">rank(I1667,I:I)</f>
        <v>1366</v>
      </c>
      <c r="P1667" s="163">
        <f t="shared" si="1671"/>
        <v>3517</v>
      </c>
      <c r="Q1667" s="163">
        <f t="shared" si="1671"/>
        <v>2147</v>
      </c>
      <c r="R1667" s="163">
        <f>IFERROR(__xludf.DUMMYFUNCTION("RANK(M1667,filter(M:M,C:C=C1667))"),308.0)</f>
        <v>308</v>
      </c>
      <c r="S1667" s="161" t="b">
        <f t="shared" si="5"/>
        <v>0</v>
      </c>
      <c r="T1667" s="161" t="b">
        <f t="array" ref="T1667">index('Query Tool'!B:B,match(H1667,'Query Tool'!C:C,0))</f>
        <v>1</v>
      </c>
      <c r="U1667" s="161" t="b">
        <f t="array" ref="U1667">index('Query Tool'!B:B,match(C1667,'Query Tool'!C:C,0))</f>
        <v>0</v>
      </c>
      <c r="V1667" s="161" t="b">
        <f>F1667&gt;='Query Tool'!C$32</f>
        <v>1</v>
      </c>
      <c r="W1667" s="161" t="b">
        <f t="array" ref="W1667">index(Dropdowns!B:B,match(I1667,Dropdowns!A:A,0))</f>
        <v>1</v>
      </c>
      <c r="X1667" s="161" t="b">
        <f t="array" ref="X1667">index('Query Tool'!B:B,match(D1667,'Query Tool'!C:C,0))</f>
        <v>1</v>
      </c>
      <c r="Y1667" s="161" t="str">
        <f t="shared" si="6"/>
        <v>bogdabo02,2016-17</v>
      </c>
      <c r="Z1667" s="168">
        <f t="array" ref="Z1667">iferror(index(I:I,match($A1667&amp;","&amp;index('Year Conversion'!$A:$A,match($C1667,'Year Conversion'!$B:$B,0)),$Y:$Y,0))-I1667,"")</f>
        <v>1</v>
      </c>
      <c r="AA1667" s="168">
        <f t="array" ref="AA1667">iferror(index(J:J,match($A1667&amp;","&amp;index('Year Conversion'!$A:$A,match($C1667,'Year Conversion'!$B:$B,0)),$Y:$Y,0))-J1667,"")</f>
        <v>0.8605987641</v>
      </c>
      <c r="AB1667" s="168">
        <f t="array" ref="AB1667">iferror(index(K:K,match($A1667&amp;","&amp;index('Year Conversion'!$A:$A,match($C1667,'Year Conversion'!$B:$B,0)),$Y:$Y,0))-K1667,"")</f>
        <v>0.05206725747</v>
      </c>
      <c r="AC1667" s="168" t="str">
        <f t="shared" si="7"/>
        <v>TOT,2016-17</v>
      </c>
    </row>
    <row r="1668">
      <c r="A1668" s="161" t="str">
        <f>IFERROR(__xludf.DUMMYFUNCTION("""COMPUTED_VALUE"""),"harpeju01")</f>
        <v>harpeju01</v>
      </c>
      <c r="B1668" s="161" t="str">
        <f>IFERROR(__xludf.DUMMYFUNCTION("""COMPUTED_VALUE"""),"Justin Harper")</f>
        <v>Justin Harper</v>
      </c>
      <c r="C1668" s="162" t="str">
        <f>IFERROR(__xludf.DUMMYFUNCTION("""COMPUTED_VALUE"""),"2016-17")</f>
        <v>2016-17</v>
      </c>
      <c r="D1668" s="163" t="str">
        <f>IFERROR(__xludf.DUMMYFUNCTION("""COMPUTED_VALUE"""),"PHI")</f>
        <v>PHI</v>
      </c>
      <c r="E1668" s="164" t="str">
        <f>IFERROR(__xludf.DUMMYFUNCTION("""COMPUTED_VALUE"""),"Stretch Big")</f>
        <v>Stretch Big</v>
      </c>
      <c r="F1668" s="164">
        <f>IFERROR(__xludf.DUMMYFUNCTION("""COMPUTED_VALUE"""),31.3166666666667)</f>
        <v>31.31666667</v>
      </c>
      <c r="G1668" s="163">
        <f>IFERROR(__xludf.DUMMYFUNCTION("""COMPUTED_VALUE"""),3.0)</f>
        <v>3</v>
      </c>
      <c r="H1668" s="163" t="str">
        <f>IFERROR(__xludf.DUMMYFUNCTION("""COMPUTED_VALUE"""),"PF")</f>
        <v>PF</v>
      </c>
      <c r="I1668" s="163">
        <f>IFERROR(__xludf.DUMMYFUNCTION("""COMPUTED_VALUE"""),27.0)</f>
        <v>27</v>
      </c>
      <c r="J1668" s="165">
        <f>IFERROR(__xludf.DUMMYFUNCTION("""COMPUTED_VALUE"""),-0.4280878875179)</f>
        <v>-0.4280878875</v>
      </c>
      <c r="K1668" s="165">
        <f>IFERROR(__xludf.DUMMYFUNCTION("""COMPUTED_VALUE"""),-0.135634563472882)</f>
        <v>-0.1356345635</v>
      </c>
      <c r="L1668" s="165">
        <f>IFERROR(__xludf.DUMMYFUNCTION("""COMPUTED_VALUE"""),-0.292453324045018)</f>
        <v>-0.292453324</v>
      </c>
      <c r="M1668" s="166">
        <f t="shared" si="2"/>
        <v>0.03924378014</v>
      </c>
      <c r="N1668" s="167">
        <f t="shared" si="3"/>
        <v>10.43888889</v>
      </c>
      <c r="O1668" s="163">
        <f t="shared" ref="O1668:Q1668" si="1672">rank(I1668,I:I)</f>
        <v>1366</v>
      </c>
      <c r="P1668" s="163">
        <f t="shared" si="1672"/>
        <v>1755</v>
      </c>
      <c r="Q1668" s="163">
        <f t="shared" si="1672"/>
        <v>1456</v>
      </c>
      <c r="R1668" s="163">
        <f>IFERROR(__xludf.DUMMYFUNCTION("RANK(M1668,filter(M:M,C:C=C1668))"),413.0)</f>
        <v>413</v>
      </c>
      <c r="S1668" s="161" t="b">
        <f t="shared" si="5"/>
        <v>0</v>
      </c>
      <c r="T1668" s="161" t="b">
        <f t="array" ref="T1668">index('Query Tool'!B:B,match(H1668,'Query Tool'!C:C,0))</f>
        <v>1</v>
      </c>
      <c r="U1668" s="161" t="b">
        <f t="array" ref="U1668">index('Query Tool'!B:B,match(C1668,'Query Tool'!C:C,0))</f>
        <v>0</v>
      </c>
      <c r="V1668" s="161" t="b">
        <f>F1668&gt;='Query Tool'!C$32</f>
        <v>0</v>
      </c>
      <c r="W1668" s="161" t="b">
        <f t="array" ref="W1668">index(Dropdowns!B:B,match(I1668,Dropdowns!A:A,0))</f>
        <v>1</v>
      </c>
      <c r="X1668" s="161" t="b">
        <f t="array" ref="X1668">index('Query Tool'!B:B,match(D1668,'Query Tool'!C:C,0))</f>
        <v>1</v>
      </c>
      <c r="Y1668" s="161" t="str">
        <f t="shared" si="6"/>
        <v>harpeju01,2016-17</v>
      </c>
      <c r="Z1668" s="168" t="str">
        <f t="array" ref="Z1668">iferror(index(I:I,match($A1668&amp;","&amp;index('Year Conversion'!$A:$A,match($C1668,'Year Conversion'!$B:$B,0)),$Y:$Y,0))-I1668,"")</f>
        <v/>
      </c>
      <c r="AA1668" s="168" t="str">
        <f t="array" ref="AA1668">iferror(index(J:J,match($A1668&amp;","&amp;index('Year Conversion'!$A:$A,match($C1668,'Year Conversion'!$B:$B,0)),$Y:$Y,0))-J1668,"")</f>
        <v/>
      </c>
      <c r="AB1668" s="168" t="str">
        <f t="array" ref="AB1668">iferror(index(K:K,match($A1668&amp;","&amp;index('Year Conversion'!$A:$A,match($C1668,'Year Conversion'!$B:$B,0)),$Y:$Y,0))-K1668,"")</f>
        <v/>
      </c>
      <c r="AC1668" s="168" t="str">
        <f t="shared" si="7"/>
        <v>PHI,2016-17</v>
      </c>
    </row>
    <row r="1669">
      <c r="A1669" s="161" t="str">
        <f>IFERROR(__xludf.DUMMYFUNCTION("""COMPUTED_VALUE"""),"singlky01")</f>
        <v>singlky01</v>
      </c>
      <c r="B1669" s="161" t="str">
        <f>IFERROR(__xludf.DUMMYFUNCTION("""COMPUTED_VALUE"""),"Kyle Singler")</f>
        <v>Kyle Singler</v>
      </c>
      <c r="C1669" s="162" t="str">
        <f>IFERROR(__xludf.DUMMYFUNCTION("""COMPUTED_VALUE"""),"2016-17")</f>
        <v>2016-17</v>
      </c>
      <c r="D1669" s="163" t="str">
        <f>IFERROR(__xludf.DUMMYFUNCTION("""COMPUTED_VALUE"""),"OKC")</f>
        <v>OKC</v>
      </c>
      <c r="E1669" s="164" t="str">
        <f>IFERROR(__xludf.DUMMYFUNCTION("""COMPUTED_VALUE"""),"Stationary Shooter")</f>
        <v>Stationary Shooter</v>
      </c>
      <c r="F1669" s="164">
        <f>IFERROR(__xludf.DUMMYFUNCTION("""COMPUTED_VALUE"""),385.246666666667)</f>
        <v>385.2466667</v>
      </c>
      <c r="G1669" s="163">
        <f>IFERROR(__xludf.DUMMYFUNCTION("""COMPUTED_VALUE"""),32.0)</f>
        <v>32</v>
      </c>
      <c r="H1669" s="163" t="str">
        <f>IFERROR(__xludf.DUMMYFUNCTION("""COMPUTED_VALUE"""),"SF")</f>
        <v>SF</v>
      </c>
      <c r="I1669" s="163">
        <f>IFERROR(__xludf.DUMMYFUNCTION("""COMPUTED_VALUE"""),28.0)</f>
        <v>28</v>
      </c>
      <c r="J1669" s="165">
        <f>IFERROR(__xludf.DUMMYFUNCTION("""COMPUTED_VALUE"""),-2.39520872740741)</f>
        <v>-2.395208727</v>
      </c>
      <c r="K1669" s="165">
        <f>IFERROR(__xludf.DUMMYFUNCTION("""COMPUTED_VALUE"""),-2.27068463788241)</f>
        <v>-2.270684638</v>
      </c>
      <c r="L1669" s="165">
        <f>IFERROR(__xludf.DUMMYFUNCTION("""COMPUTED_VALUE"""),-0.124524089525002)</f>
        <v>-0.1245240895</v>
      </c>
      <c r="M1669" s="166">
        <f t="shared" si="2"/>
        <v>-0.02327294641</v>
      </c>
      <c r="N1669" s="167">
        <f t="shared" si="3"/>
        <v>12.03895833</v>
      </c>
      <c r="O1669" s="163">
        <f t="shared" ref="O1669:Q1669" si="1673">rank(I1669,I:I)</f>
        <v>1090</v>
      </c>
      <c r="P1669" s="163">
        <f t="shared" si="1673"/>
        <v>3712</v>
      </c>
      <c r="Q1669" s="163">
        <f t="shared" si="1673"/>
        <v>3826</v>
      </c>
      <c r="R1669" s="163">
        <f>IFERROR(__xludf.DUMMYFUNCTION("RANK(M1669,filter(M:M,C:C=C1669))"),453.0)</f>
        <v>453</v>
      </c>
      <c r="S1669" s="161" t="b">
        <f t="shared" si="5"/>
        <v>0</v>
      </c>
      <c r="T1669" s="161" t="b">
        <f t="array" ref="T1669">index('Query Tool'!B:B,match(H1669,'Query Tool'!C:C,0))</f>
        <v>1</v>
      </c>
      <c r="U1669" s="161" t="b">
        <f t="array" ref="U1669">index('Query Tool'!B:B,match(C1669,'Query Tool'!C:C,0))</f>
        <v>0</v>
      </c>
      <c r="V1669" s="161" t="b">
        <f>F1669&gt;='Query Tool'!C$32</f>
        <v>0</v>
      </c>
      <c r="W1669" s="161" t="b">
        <f t="array" ref="W1669">index(Dropdowns!B:B,match(I1669,Dropdowns!A:A,0))</f>
        <v>1</v>
      </c>
      <c r="X1669" s="161" t="b">
        <f t="array" ref="X1669">index('Query Tool'!B:B,match(D1669,'Query Tool'!C:C,0))</f>
        <v>1</v>
      </c>
      <c r="Y1669" s="161" t="str">
        <f t="shared" si="6"/>
        <v>singlky01,2016-17</v>
      </c>
      <c r="Z1669" s="168">
        <f t="array" ref="Z1669">iferror(index(I:I,match($A1669&amp;","&amp;index('Year Conversion'!$A:$A,match($C1669,'Year Conversion'!$B:$B,0)),$Y:$Y,0))-I1669,"")</f>
        <v>1</v>
      </c>
      <c r="AA1669" s="168">
        <f t="array" ref="AA1669">iferror(index(J:J,match($A1669&amp;","&amp;index('Year Conversion'!$A:$A,match($C1669,'Year Conversion'!$B:$B,0)),$Y:$Y,0))-J1669,"")</f>
        <v>1.65716479</v>
      </c>
      <c r="AB1669" s="168">
        <f t="array" ref="AB1669">iferror(index(K:K,match($A1669&amp;","&amp;index('Year Conversion'!$A:$A,match($C1669,'Year Conversion'!$B:$B,0)),$Y:$Y,0))-K1669,"")</f>
        <v>1.884972418</v>
      </c>
      <c r="AC1669" s="168" t="str">
        <f t="shared" si="7"/>
        <v>OKC,2016-17</v>
      </c>
    </row>
    <row r="1670">
      <c r="A1670" s="161" t="str">
        <f>IFERROR(__xludf.DUMMYFUNCTION("""COMPUTED_VALUE"""),"macksh01")</f>
        <v>macksh01</v>
      </c>
      <c r="B1670" s="161" t="str">
        <f>IFERROR(__xludf.DUMMYFUNCTION("""COMPUTED_VALUE"""),"Shelvin Mack")</f>
        <v>Shelvin Mack</v>
      </c>
      <c r="C1670" s="162" t="str">
        <f>IFERROR(__xludf.DUMMYFUNCTION("""COMPUTED_VALUE"""),"2016-17")</f>
        <v>2016-17</v>
      </c>
      <c r="D1670" s="163" t="str">
        <f>IFERROR(__xludf.DUMMYFUNCTION("""COMPUTED_VALUE"""),"UTA")</f>
        <v>UTA</v>
      </c>
      <c r="E1670" s="164" t="str">
        <f>IFERROR(__xludf.DUMMYFUNCTION("""COMPUTED_VALUE"""),"Primary Ball Handler")</f>
        <v>Primary Ball Handler</v>
      </c>
      <c r="F1670" s="164">
        <f>IFERROR(__xludf.DUMMYFUNCTION("""COMPUTED_VALUE"""),1205.12666666667)</f>
        <v>1205.126667</v>
      </c>
      <c r="G1670" s="163">
        <f>IFERROR(__xludf.DUMMYFUNCTION("""COMPUTED_VALUE"""),55.0)</f>
        <v>55</v>
      </c>
      <c r="H1670" s="163" t="str">
        <f>IFERROR(__xludf.DUMMYFUNCTION("""COMPUTED_VALUE"""),"PG")</f>
        <v>PG</v>
      </c>
      <c r="I1670" s="163">
        <f>IFERROR(__xludf.DUMMYFUNCTION("""COMPUTED_VALUE"""),26.0)</f>
        <v>26</v>
      </c>
      <c r="J1670" s="165">
        <f>IFERROR(__xludf.DUMMYFUNCTION("""COMPUTED_VALUE"""),-1.93515790510189)</f>
        <v>-1.935157905</v>
      </c>
      <c r="K1670" s="165">
        <f>IFERROR(__xludf.DUMMYFUNCTION("""COMPUTED_VALUE"""),-1.12655963087204)</f>
        <v>-1.126559631</v>
      </c>
      <c r="L1670" s="165">
        <f>IFERROR(__xludf.DUMMYFUNCTION("""COMPUTED_VALUE"""),-0.808598274229848)</f>
        <v>-0.8085982742</v>
      </c>
      <c r="M1670" s="166">
        <f t="shared" si="2"/>
        <v>0.2937473316</v>
      </c>
      <c r="N1670" s="167">
        <f t="shared" si="3"/>
        <v>21.91139394</v>
      </c>
      <c r="O1670" s="163">
        <f t="shared" ref="O1670:Q1670" si="1674">rank(I1670,I:I)</f>
        <v>1665</v>
      </c>
      <c r="P1670" s="163">
        <f t="shared" si="1674"/>
        <v>3436</v>
      </c>
      <c r="Q1670" s="163">
        <f t="shared" si="1674"/>
        <v>2955</v>
      </c>
      <c r="R1670" s="163">
        <f>IFERROR(__xludf.DUMMYFUNCTION("RANK(M1670,filter(M:M,C:C=C1670))"),320.0)</f>
        <v>320</v>
      </c>
      <c r="S1670" s="161" t="b">
        <f t="shared" si="5"/>
        <v>0</v>
      </c>
      <c r="T1670" s="161" t="b">
        <f t="array" ref="T1670">index('Query Tool'!B:B,match(H1670,'Query Tool'!C:C,0))</f>
        <v>1</v>
      </c>
      <c r="U1670" s="161" t="b">
        <f t="array" ref="U1670">index('Query Tool'!B:B,match(C1670,'Query Tool'!C:C,0))</f>
        <v>0</v>
      </c>
      <c r="V1670" s="161" t="b">
        <f>F1670&gt;='Query Tool'!C$32</f>
        <v>1</v>
      </c>
      <c r="W1670" s="161" t="b">
        <f t="array" ref="W1670">index(Dropdowns!B:B,match(I1670,Dropdowns!A:A,0))</f>
        <v>1</v>
      </c>
      <c r="X1670" s="161" t="b">
        <f t="array" ref="X1670">index('Query Tool'!B:B,match(D1670,'Query Tool'!C:C,0))</f>
        <v>1</v>
      </c>
      <c r="Y1670" s="161" t="str">
        <f t="shared" si="6"/>
        <v>macksh01,2016-17</v>
      </c>
      <c r="Z1670" s="168">
        <f t="array" ref="Z1670">iferror(index(I:I,match($A1670&amp;","&amp;index('Year Conversion'!$A:$A,match($C1670,'Year Conversion'!$B:$B,0)),$Y:$Y,0))-I1670,"")</f>
        <v>1</v>
      </c>
      <c r="AA1670" s="168">
        <f t="array" ref="AA1670">iferror(index(J:J,match($A1670&amp;","&amp;index('Year Conversion'!$A:$A,match($C1670,'Year Conversion'!$B:$B,0)),$Y:$Y,0))-J1670,"")</f>
        <v>0.8109474673</v>
      </c>
      <c r="AB1670" s="168">
        <f t="array" ref="AB1670">iferror(index(K:K,match($A1670&amp;","&amp;index('Year Conversion'!$A:$A,match($C1670,'Year Conversion'!$B:$B,0)),$Y:$Y,0))-K1670,"")</f>
        <v>0.580295394</v>
      </c>
      <c r="AC1670" s="168" t="str">
        <f t="shared" si="7"/>
        <v>UTA,2016-17</v>
      </c>
    </row>
    <row r="1671">
      <c r="A1671" s="161" t="str">
        <f>IFERROR(__xludf.DUMMYFUNCTION("""COMPUTED_VALUE"""),"parsoch01")</f>
        <v>parsoch01</v>
      </c>
      <c r="B1671" s="161" t="str">
        <f>IFERROR(__xludf.DUMMYFUNCTION("""COMPUTED_VALUE"""),"Chandler Parsons")</f>
        <v>Chandler Parsons</v>
      </c>
      <c r="C1671" s="162" t="str">
        <f>IFERROR(__xludf.DUMMYFUNCTION("""COMPUTED_VALUE"""),"2016-17")</f>
        <v>2016-17</v>
      </c>
      <c r="D1671" s="163" t="str">
        <f>IFERROR(__xludf.DUMMYFUNCTION("""COMPUTED_VALUE"""),"MEM")</f>
        <v>MEM</v>
      </c>
      <c r="E1671" s="164" t="str">
        <f>IFERROR(__xludf.DUMMYFUNCTION("""COMPUTED_VALUE"""),"Movement Shooter")</f>
        <v>Movement Shooter</v>
      </c>
      <c r="F1671" s="164">
        <f>IFERROR(__xludf.DUMMYFUNCTION("""COMPUTED_VALUE"""),674.675)</f>
        <v>674.675</v>
      </c>
      <c r="G1671" s="163">
        <f>IFERROR(__xludf.DUMMYFUNCTION("""COMPUTED_VALUE"""),34.0)</f>
        <v>34</v>
      </c>
      <c r="H1671" s="163" t="str">
        <f>IFERROR(__xludf.DUMMYFUNCTION("""COMPUTED_VALUE"""),"SF")</f>
        <v>SF</v>
      </c>
      <c r="I1671" s="163">
        <f>IFERROR(__xludf.DUMMYFUNCTION("""COMPUTED_VALUE"""),28.0)</f>
        <v>28</v>
      </c>
      <c r="J1671" s="165">
        <f>IFERROR(__xludf.DUMMYFUNCTION("""COMPUTED_VALUE"""),-1.16121565486355)</f>
        <v>-1.161215655</v>
      </c>
      <c r="K1671" s="165">
        <f>IFERROR(__xludf.DUMMYFUNCTION("""COMPUTED_VALUE"""),-1.1604706314964)</f>
        <v>-1.160470631</v>
      </c>
      <c r="L1671" s="165">
        <f>IFERROR(__xludf.DUMMYFUNCTION("""COMPUTED_VALUE"""),-7.45023367147019E-4)</f>
        <v>-0.0007450233671</v>
      </c>
      <c r="M1671" s="166">
        <f t="shared" si="2"/>
        <v>0.512921741</v>
      </c>
      <c r="N1671" s="167">
        <f t="shared" si="3"/>
        <v>19.84338235</v>
      </c>
      <c r="O1671" s="163">
        <f t="shared" ref="O1671:Q1671" si="1675">rank(I1671,I:I)</f>
        <v>1090</v>
      </c>
      <c r="P1671" s="163">
        <f t="shared" si="1675"/>
        <v>2697</v>
      </c>
      <c r="Q1671" s="163">
        <f t="shared" si="1675"/>
        <v>2998</v>
      </c>
      <c r="R1671" s="163">
        <f>IFERROR(__xludf.DUMMYFUNCTION("RANK(M1671,filter(M:M,C:C=C1671))"),282.0)</f>
        <v>282</v>
      </c>
      <c r="S1671" s="161" t="b">
        <f t="shared" si="5"/>
        <v>0</v>
      </c>
      <c r="T1671" s="161" t="b">
        <f t="array" ref="T1671">index('Query Tool'!B:B,match(H1671,'Query Tool'!C:C,0))</f>
        <v>1</v>
      </c>
      <c r="U1671" s="161" t="b">
        <f t="array" ref="U1671">index('Query Tool'!B:B,match(C1671,'Query Tool'!C:C,0))</f>
        <v>0</v>
      </c>
      <c r="V1671" s="161" t="b">
        <f>F1671&gt;='Query Tool'!C$32</f>
        <v>1</v>
      </c>
      <c r="W1671" s="161" t="b">
        <f t="array" ref="W1671">index(Dropdowns!B:B,match(I1671,Dropdowns!A:A,0))</f>
        <v>1</v>
      </c>
      <c r="X1671" s="161" t="b">
        <f t="array" ref="X1671">index('Query Tool'!B:B,match(D1671,'Query Tool'!C:C,0))</f>
        <v>1</v>
      </c>
      <c r="Y1671" s="161" t="str">
        <f t="shared" si="6"/>
        <v>parsoch01,2016-17</v>
      </c>
      <c r="Z1671" s="168">
        <f t="array" ref="Z1671">iferror(index(I:I,match($A1671&amp;","&amp;index('Year Conversion'!$A:$A,match($C1671,'Year Conversion'!$B:$B,0)),$Y:$Y,0))-I1671,"")</f>
        <v>1</v>
      </c>
      <c r="AA1671" s="168">
        <f t="array" ref="AA1671">iferror(index(J:J,match($A1671&amp;","&amp;index('Year Conversion'!$A:$A,match($C1671,'Year Conversion'!$B:$B,0)),$Y:$Y,0))-J1671,"")</f>
        <v>-0.2179921466</v>
      </c>
      <c r="AB1671" s="168">
        <f t="array" ref="AB1671">iferror(index(K:K,match($A1671&amp;","&amp;index('Year Conversion'!$A:$A,match($C1671,'Year Conversion'!$B:$B,0)),$Y:$Y,0))-K1671,"")</f>
        <v>0.7359504625</v>
      </c>
      <c r="AC1671" s="168" t="str">
        <f t="shared" si="7"/>
        <v>MEM,2016-17</v>
      </c>
    </row>
    <row r="1672">
      <c r="A1672" s="161" t="str">
        <f>IFERROR(__xludf.DUMMYFUNCTION("""COMPUTED_VALUE"""),"leuerjo01")</f>
        <v>leuerjo01</v>
      </c>
      <c r="B1672" s="161" t="str">
        <f>IFERROR(__xludf.DUMMYFUNCTION("""COMPUTED_VALUE"""),"Jon Leuer")</f>
        <v>Jon Leuer</v>
      </c>
      <c r="C1672" s="162" t="str">
        <f>IFERROR(__xludf.DUMMYFUNCTION("""COMPUTED_VALUE"""),"2016-17")</f>
        <v>2016-17</v>
      </c>
      <c r="D1672" s="163" t="str">
        <f>IFERROR(__xludf.DUMMYFUNCTION("""COMPUTED_VALUE"""),"DET")</f>
        <v>DET</v>
      </c>
      <c r="E1672" s="164" t="str">
        <f>IFERROR(__xludf.DUMMYFUNCTION("""COMPUTED_VALUE"""),"Stretch Big")</f>
        <v>Stretch Big</v>
      </c>
      <c r="F1672" s="164">
        <f>IFERROR(__xludf.DUMMYFUNCTION("""COMPUTED_VALUE"""),1943.73833333333)</f>
        <v>1943.738333</v>
      </c>
      <c r="G1672" s="163">
        <f>IFERROR(__xludf.DUMMYFUNCTION("""COMPUTED_VALUE"""),75.0)</f>
        <v>75</v>
      </c>
      <c r="H1672" s="163" t="str">
        <f>IFERROR(__xludf.DUMMYFUNCTION("""COMPUTED_VALUE"""),"PF")</f>
        <v>PF</v>
      </c>
      <c r="I1672" s="163">
        <f>IFERROR(__xludf.DUMMYFUNCTION("""COMPUTED_VALUE"""),27.0)</f>
        <v>27</v>
      </c>
      <c r="J1672" s="165">
        <f>IFERROR(__xludf.DUMMYFUNCTION("""COMPUTED_VALUE"""),-0.568764430619299)</f>
        <v>-0.5687644306</v>
      </c>
      <c r="K1672" s="165">
        <f>IFERROR(__xludf.DUMMYFUNCTION("""COMPUTED_VALUE"""),-1.08565578688876)</f>
        <v>-1.085655787</v>
      </c>
      <c r="L1672" s="165">
        <f>IFERROR(__xludf.DUMMYFUNCTION("""COMPUTED_VALUE"""),0.516891356269457)</f>
        <v>0.5168913563</v>
      </c>
      <c r="M1672" s="166">
        <f t="shared" si="2"/>
        <v>2.251594819</v>
      </c>
      <c r="N1672" s="167">
        <f t="shared" si="3"/>
        <v>25.91651111</v>
      </c>
      <c r="O1672" s="163">
        <f t="shared" ref="O1672:Q1672" si="1676">rank(I1672,I:I)</f>
        <v>1366</v>
      </c>
      <c r="P1672" s="163">
        <f t="shared" si="1676"/>
        <v>1949</v>
      </c>
      <c r="Q1672" s="163">
        <f t="shared" si="1676"/>
        <v>2916</v>
      </c>
      <c r="R1672" s="163">
        <f>IFERROR(__xludf.DUMMYFUNCTION("RANK(M1672,filter(M:M,C:C=C1672))"),142.0)</f>
        <v>142</v>
      </c>
      <c r="S1672" s="161" t="b">
        <f t="shared" si="5"/>
        <v>0</v>
      </c>
      <c r="T1672" s="161" t="b">
        <f t="array" ref="T1672">index('Query Tool'!B:B,match(H1672,'Query Tool'!C:C,0))</f>
        <v>1</v>
      </c>
      <c r="U1672" s="161" t="b">
        <f t="array" ref="U1672">index('Query Tool'!B:B,match(C1672,'Query Tool'!C:C,0))</f>
        <v>0</v>
      </c>
      <c r="V1672" s="161" t="b">
        <f>F1672&gt;='Query Tool'!C$32</f>
        <v>1</v>
      </c>
      <c r="W1672" s="161" t="b">
        <f t="array" ref="W1672">index(Dropdowns!B:B,match(I1672,Dropdowns!A:A,0))</f>
        <v>1</v>
      </c>
      <c r="X1672" s="161" t="b">
        <f t="array" ref="X1672">index('Query Tool'!B:B,match(D1672,'Query Tool'!C:C,0))</f>
        <v>1</v>
      </c>
      <c r="Y1672" s="161" t="str">
        <f t="shared" si="6"/>
        <v>leuerjo01,2016-17</v>
      </c>
      <c r="Z1672" s="168">
        <f t="array" ref="Z1672">iferror(index(I:I,match($A1672&amp;","&amp;index('Year Conversion'!$A:$A,match($C1672,'Year Conversion'!$B:$B,0)),$Y:$Y,0))-I1672,"")</f>
        <v>1</v>
      </c>
      <c r="AA1672" s="168">
        <f t="array" ref="AA1672">iferror(index(J:J,match($A1672&amp;","&amp;index('Year Conversion'!$A:$A,match($C1672,'Year Conversion'!$B:$B,0)),$Y:$Y,0))-J1672,"")</f>
        <v>0.04976363158</v>
      </c>
      <c r="AB1672" s="168">
        <f t="array" ref="AB1672">iferror(index(K:K,match($A1672&amp;","&amp;index('Year Conversion'!$A:$A,match($C1672,'Year Conversion'!$B:$B,0)),$Y:$Y,0))-K1672,"")</f>
        <v>0.07306268774</v>
      </c>
      <c r="AC1672" s="168" t="str">
        <f t="shared" si="7"/>
        <v>DET,2016-17</v>
      </c>
    </row>
    <row r="1673">
      <c r="A1673" s="161" t="str">
        <f>IFERROR(__xludf.DUMMYFUNCTION("""COMPUTED_VALUE"""),"bertada01")</f>
        <v>bertada01</v>
      </c>
      <c r="B1673" s="161" t="str">
        <f>IFERROR(__xludf.DUMMYFUNCTION("""COMPUTED_VALUE"""),"Davis Bertans")</f>
        <v>Davis Bertans</v>
      </c>
      <c r="C1673" s="162" t="str">
        <f>IFERROR(__xludf.DUMMYFUNCTION("""COMPUTED_VALUE"""),"2016-17")</f>
        <v>2016-17</v>
      </c>
      <c r="D1673" s="163" t="str">
        <f>IFERROR(__xludf.DUMMYFUNCTION("""COMPUTED_VALUE"""),"SAS")</f>
        <v>SAS</v>
      </c>
      <c r="E1673" s="164" t="str">
        <f>IFERROR(__xludf.DUMMYFUNCTION("""COMPUTED_VALUE"""),"Movement Shooter")</f>
        <v>Movement Shooter</v>
      </c>
      <c r="F1673" s="164">
        <f>IFERROR(__xludf.DUMMYFUNCTION("""COMPUTED_VALUE"""),807.558333333333)</f>
        <v>807.5583333</v>
      </c>
      <c r="G1673" s="163">
        <f>IFERROR(__xludf.DUMMYFUNCTION("""COMPUTED_VALUE"""),67.0)</f>
        <v>67</v>
      </c>
      <c r="H1673" s="163" t="str">
        <f>IFERROR(__xludf.DUMMYFUNCTION("""COMPUTED_VALUE"""),"PF")</f>
        <v>PF</v>
      </c>
      <c r="I1673" s="163">
        <f>IFERROR(__xludf.DUMMYFUNCTION("""COMPUTED_VALUE"""),24.0)</f>
        <v>24</v>
      </c>
      <c r="J1673" s="165">
        <f>IFERROR(__xludf.DUMMYFUNCTION("""COMPUTED_VALUE"""),-1.16835554859274)</f>
        <v>-1.168355549</v>
      </c>
      <c r="K1673" s="165">
        <f>IFERROR(__xludf.DUMMYFUNCTION("""COMPUTED_VALUE"""),-0.751379675490165)</f>
        <v>-0.7513796755</v>
      </c>
      <c r="L1673" s="165">
        <f>IFERROR(__xludf.DUMMYFUNCTION("""COMPUTED_VALUE"""),-0.416975873102579)</f>
        <v>-0.4169758731</v>
      </c>
      <c r="M1673" s="166">
        <f t="shared" si="2"/>
        <v>0.6100809086</v>
      </c>
      <c r="N1673" s="167">
        <f t="shared" si="3"/>
        <v>12.05310945</v>
      </c>
      <c r="O1673" s="163">
        <f t="shared" ref="O1673:Q1673" si="1677">rank(I1673,I:I)</f>
        <v>2361</v>
      </c>
      <c r="P1673" s="163">
        <f t="shared" si="1677"/>
        <v>2704</v>
      </c>
      <c r="Q1673" s="163">
        <f t="shared" si="1677"/>
        <v>2480</v>
      </c>
      <c r="R1673" s="163">
        <f>IFERROR(__xludf.DUMMYFUNCTION("RANK(M1673,filter(M:M,C:C=C1673))"),266.0)</f>
        <v>266</v>
      </c>
      <c r="S1673" s="161" t="b">
        <f t="shared" si="5"/>
        <v>0</v>
      </c>
      <c r="T1673" s="161" t="b">
        <f t="array" ref="T1673">index('Query Tool'!B:B,match(H1673,'Query Tool'!C:C,0))</f>
        <v>1</v>
      </c>
      <c r="U1673" s="161" t="b">
        <f t="array" ref="U1673">index('Query Tool'!B:B,match(C1673,'Query Tool'!C:C,0))</f>
        <v>0</v>
      </c>
      <c r="V1673" s="161" t="b">
        <f>F1673&gt;='Query Tool'!C$32</f>
        <v>1</v>
      </c>
      <c r="W1673" s="161" t="b">
        <f t="array" ref="W1673">index(Dropdowns!B:B,match(I1673,Dropdowns!A:A,0))</f>
        <v>1</v>
      </c>
      <c r="X1673" s="161" t="b">
        <f t="array" ref="X1673">index('Query Tool'!B:B,match(D1673,'Query Tool'!C:C,0))</f>
        <v>1</v>
      </c>
      <c r="Y1673" s="161" t="str">
        <f t="shared" si="6"/>
        <v>bertada01,2016-17</v>
      </c>
      <c r="Z1673" s="168">
        <f t="array" ref="Z1673">iferror(index(I:I,match($A1673&amp;","&amp;index('Year Conversion'!$A:$A,match($C1673,'Year Conversion'!$B:$B,0)),$Y:$Y,0))-I1673,"")</f>
        <v>1</v>
      </c>
      <c r="AA1673" s="168">
        <f t="array" ref="AA1673">iferror(index(J:J,match($A1673&amp;","&amp;index('Year Conversion'!$A:$A,match($C1673,'Year Conversion'!$B:$B,0)),$Y:$Y,0))-J1673,"")</f>
        <v>2.20156488</v>
      </c>
      <c r="AB1673" s="168">
        <f t="array" ref="AB1673">iferror(index(K:K,match($A1673&amp;","&amp;index('Year Conversion'!$A:$A,match($C1673,'Year Conversion'!$B:$B,0)),$Y:$Y,0))-K1673,"")</f>
        <v>1.296443269</v>
      </c>
      <c r="AC1673" s="168" t="str">
        <f t="shared" si="7"/>
        <v>SAS,2016-17</v>
      </c>
    </row>
    <row r="1674">
      <c r="A1674" s="161" t="str">
        <f>IFERROR(__xludf.DUMMYFUNCTION("""COMPUTED_VALUE"""),"allenla01")</f>
        <v>allenla01</v>
      </c>
      <c r="B1674" s="161" t="str">
        <f>IFERROR(__xludf.DUMMYFUNCTION("""COMPUTED_VALUE"""),"Lavoy Allen")</f>
        <v>Lavoy Allen</v>
      </c>
      <c r="C1674" s="162" t="str">
        <f>IFERROR(__xludf.DUMMYFUNCTION("""COMPUTED_VALUE"""),"2016-17")</f>
        <v>2016-17</v>
      </c>
      <c r="D1674" s="163" t="str">
        <f>IFERROR(__xludf.DUMMYFUNCTION("""COMPUTED_VALUE"""),"IND")</f>
        <v>IND</v>
      </c>
      <c r="E1674" s="164" t="str">
        <f>IFERROR(__xludf.DUMMYFUNCTION("""COMPUTED_VALUE"""),"Roll + Cut Big")</f>
        <v>Roll + Cut Big</v>
      </c>
      <c r="F1674" s="164">
        <f>IFERROR(__xludf.DUMMYFUNCTION("""COMPUTED_VALUE"""),871.321666666667)</f>
        <v>871.3216667</v>
      </c>
      <c r="G1674" s="163">
        <f>IFERROR(__xludf.DUMMYFUNCTION("""COMPUTED_VALUE"""),61.0)</f>
        <v>61</v>
      </c>
      <c r="H1674" s="163" t="str">
        <f>IFERROR(__xludf.DUMMYFUNCTION("""COMPUTED_VALUE"""),"PF")</f>
        <v>PF</v>
      </c>
      <c r="I1674" s="163">
        <f>IFERROR(__xludf.DUMMYFUNCTION("""COMPUTED_VALUE"""),27.0)</f>
        <v>27</v>
      </c>
      <c r="J1674" s="165">
        <f>IFERROR(__xludf.DUMMYFUNCTION("""COMPUTED_VALUE"""),-2.03121411404642)</f>
        <v>-2.031214114</v>
      </c>
      <c r="K1674" s="165">
        <f>IFERROR(__xludf.DUMMYFUNCTION("""COMPUTED_VALUE"""),-1.45810826774222)</f>
        <v>-1.458108268</v>
      </c>
      <c r="L1674" s="165">
        <f>IFERROR(__xludf.DUMMYFUNCTION("""COMPUTED_VALUE"""),-0.5731058463042)</f>
        <v>-0.5731058463</v>
      </c>
      <c r="M1674" s="166">
        <f t="shared" si="2"/>
        <v>0.1568711797</v>
      </c>
      <c r="N1674" s="167">
        <f t="shared" si="3"/>
        <v>14.28396175</v>
      </c>
      <c r="O1674" s="163">
        <f t="shared" ref="O1674:Q1674" si="1678">rank(I1674,I:I)</f>
        <v>1366</v>
      </c>
      <c r="P1674" s="163">
        <f t="shared" si="1678"/>
        <v>3504</v>
      </c>
      <c r="Q1674" s="163">
        <f t="shared" si="1678"/>
        <v>3307</v>
      </c>
      <c r="R1674" s="163">
        <f>IFERROR(__xludf.DUMMYFUNCTION("RANK(M1674,filter(M:M,C:C=C1674))"),353.0)</f>
        <v>353</v>
      </c>
      <c r="S1674" s="161" t="b">
        <f t="shared" si="5"/>
        <v>0</v>
      </c>
      <c r="T1674" s="161" t="b">
        <f t="array" ref="T1674">index('Query Tool'!B:B,match(H1674,'Query Tool'!C:C,0))</f>
        <v>1</v>
      </c>
      <c r="U1674" s="161" t="b">
        <f t="array" ref="U1674">index('Query Tool'!B:B,match(C1674,'Query Tool'!C:C,0))</f>
        <v>0</v>
      </c>
      <c r="V1674" s="161" t="b">
        <f>F1674&gt;='Query Tool'!C$32</f>
        <v>1</v>
      </c>
      <c r="W1674" s="161" t="b">
        <f t="array" ref="W1674">index(Dropdowns!B:B,match(I1674,Dropdowns!A:A,0))</f>
        <v>1</v>
      </c>
      <c r="X1674" s="161" t="b">
        <f t="array" ref="X1674">index('Query Tool'!B:B,match(D1674,'Query Tool'!C:C,0))</f>
        <v>1</v>
      </c>
      <c r="Y1674" s="161" t="str">
        <f t="shared" si="6"/>
        <v>allenla01,2016-17</v>
      </c>
      <c r="Z1674" s="168" t="str">
        <f t="array" ref="Z1674">iferror(index(I:I,match($A1674&amp;","&amp;index('Year Conversion'!$A:$A,match($C1674,'Year Conversion'!$B:$B,0)),$Y:$Y,0))-I1674,"")</f>
        <v/>
      </c>
      <c r="AA1674" s="168" t="str">
        <f t="array" ref="AA1674">iferror(index(J:J,match($A1674&amp;","&amp;index('Year Conversion'!$A:$A,match($C1674,'Year Conversion'!$B:$B,0)),$Y:$Y,0))-J1674,"")</f>
        <v/>
      </c>
      <c r="AB1674" s="168" t="str">
        <f t="array" ref="AB1674">iferror(index(K:K,match($A1674&amp;","&amp;index('Year Conversion'!$A:$A,match($C1674,'Year Conversion'!$B:$B,0)),$Y:$Y,0))-K1674,"")</f>
        <v/>
      </c>
      <c r="AC1674" s="168" t="str">
        <f t="shared" si="7"/>
        <v>IND,2016-17</v>
      </c>
    </row>
    <row r="1675">
      <c r="A1675" s="161" t="str">
        <f>IFERROR(__xludf.DUMMYFUNCTION("""COMPUTED_VALUE"""),"liggide01")</f>
        <v>liggide01</v>
      </c>
      <c r="B1675" s="161" t="str">
        <f>IFERROR(__xludf.DUMMYFUNCTION("""COMPUTED_VALUE"""),"DeAndre Liggins")</f>
        <v>DeAndre Liggins</v>
      </c>
      <c r="C1675" s="162" t="str">
        <f>IFERROR(__xludf.DUMMYFUNCTION("""COMPUTED_VALUE"""),"2016-17")</f>
        <v>2016-17</v>
      </c>
      <c r="D1675" s="163" t="str">
        <f>IFERROR(__xludf.DUMMYFUNCTION("""COMPUTED_VALUE"""),"TOT")</f>
        <v>TOT</v>
      </c>
      <c r="E1675" s="164" t="str">
        <f>IFERROR(__xludf.DUMMYFUNCTION("""COMPUTED_VALUE"""),"Stationary Shooter")</f>
        <v>Stationary Shooter</v>
      </c>
      <c r="F1675" s="164">
        <f>IFERROR(__xludf.DUMMYFUNCTION("""COMPUTED_VALUE"""),776.563333333334)</f>
        <v>776.5633333</v>
      </c>
      <c r="G1675" s="163">
        <f>IFERROR(__xludf.DUMMYFUNCTION("""COMPUTED_VALUE"""),62.0)</f>
        <v>62</v>
      </c>
      <c r="H1675" s="163" t="str">
        <f>IFERROR(__xludf.DUMMYFUNCTION("""COMPUTED_VALUE"""),"SG")</f>
        <v>SG</v>
      </c>
      <c r="I1675" s="163">
        <f>IFERROR(__xludf.DUMMYFUNCTION("""COMPUTED_VALUE"""),28.0)</f>
        <v>28</v>
      </c>
      <c r="J1675" s="165">
        <f>IFERROR(__xludf.DUMMYFUNCTION("""COMPUTED_VALUE"""),-2.11090814215969)</f>
        <v>-2.110908142</v>
      </c>
      <c r="K1675" s="165">
        <f>IFERROR(__xludf.DUMMYFUNCTION("""COMPUTED_VALUE"""),-2.9529446360425)</f>
        <v>-2.952944636</v>
      </c>
      <c r="L1675" s="165">
        <f>IFERROR(__xludf.DUMMYFUNCTION("""COMPUTED_VALUE"""),0.842036493882813)</f>
        <v>0.8420364939</v>
      </c>
      <c r="M1675" s="166">
        <f t="shared" si="2"/>
        <v>0.09882432086</v>
      </c>
      <c r="N1675" s="167">
        <f t="shared" si="3"/>
        <v>12.52521505</v>
      </c>
      <c r="O1675" s="163">
        <f t="shared" ref="O1675:Q1675" si="1679">rank(I1675,I:I)</f>
        <v>1090</v>
      </c>
      <c r="P1675" s="163">
        <f t="shared" si="1679"/>
        <v>3562</v>
      </c>
      <c r="Q1675" s="163">
        <f t="shared" si="1679"/>
        <v>3973</v>
      </c>
      <c r="R1675" s="163">
        <f>IFERROR(__xludf.DUMMYFUNCTION("RANK(M1675,filter(M:M,C:C=C1675))"),377.0)</f>
        <v>377</v>
      </c>
      <c r="S1675" s="161" t="b">
        <f t="shared" si="5"/>
        <v>0</v>
      </c>
      <c r="T1675" s="161" t="b">
        <f t="array" ref="T1675">index('Query Tool'!B:B,match(H1675,'Query Tool'!C:C,0))</f>
        <v>1</v>
      </c>
      <c r="U1675" s="161" t="b">
        <f t="array" ref="U1675">index('Query Tool'!B:B,match(C1675,'Query Tool'!C:C,0))</f>
        <v>0</v>
      </c>
      <c r="V1675" s="161" t="b">
        <f>F1675&gt;='Query Tool'!C$32</f>
        <v>1</v>
      </c>
      <c r="W1675" s="161" t="b">
        <f t="array" ref="W1675">index(Dropdowns!B:B,match(I1675,Dropdowns!A:A,0))</f>
        <v>1</v>
      </c>
      <c r="X1675" s="161" t="b">
        <f t="array" ref="X1675">index('Query Tool'!B:B,match(D1675,'Query Tool'!C:C,0))</f>
        <v>1</v>
      </c>
      <c r="Y1675" s="161" t="str">
        <f t="shared" si="6"/>
        <v>liggide01,2016-17</v>
      </c>
      <c r="Z1675" s="168">
        <f t="array" ref="Z1675">iferror(index(I:I,match($A1675&amp;","&amp;index('Year Conversion'!$A:$A,match($C1675,'Year Conversion'!$B:$B,0)),$Y:$Y,0))-I1675,"")</f>
        <v>1</v>
      </c>
      <c r="AA1675" s="168">
        <f t="array" ref="AA1675">iferror(index(J:J,match($A1675&amp;","&amp;index('Year Conversion'!$A:$A,match($C1675,'Year Conversion'!$B:$B,0)),$Y:$Y,0))-J1675,"")</f>
        <v>-0.220330713</v>
      </c>
      <c r="AB1675" s="168">
        <f t="array" ref="AB1675">iferror(index(K:K,match($A1675&amp;","&amp;index('Year Conversion'!$A:$A,match($C1675,'Year Conversion'!$B:$B,0)),$Y:$Y,0))-K1675,"")</f>
        <v>0.3307628693</v>
      </c>
      <c r="AC1675" s="168" t="str">
        <f t="shared" si="7"/>
        <v>TOT,2016-17</v>
      </c>
    </row>
    <row r="1676">
      <c r="A1676" s="161" t="str">
        <f>IFERROR(__xludf.DUMMYFUNCTION("""COMPUTED_VALUE"""),"mooreet01")</f>
        <v>mooreet01</v>
      </c>
      <c r="B1676" s="161" t="str">
        <f>IFERROR(__xludf.DUMMYFUNCTION("""COMPUTED_VALUE"""),"E'Twaun Moore")</f>
        <v>E'Twaun Moore</v>
      </c>
      <c r="C1676" s="162" t="str">
        <f>IFERROR(__xludf.DUMMYFUNCTION("""COMPUTED_VALUE"""),"2016-17")</f>
        <v>2016-17</v>
      </c>
      <c r="D1676" s="163" t="str">
        <f>IFERROR(__xludf.DUMMYFUNCTION("""COMPUTED_VALUE"""),"NOP")</f>
        <v>NOP</v>
      </c>
      <c r="E1676" s="164" t="str">
        <f>IFERROR(__xludf.DUMMYFUNCTION("""COMPUTED_VALUE"""),"Movement Shooter")</f>
        <v>Movement Shooter</v>
      </c>
      <c r="F1676" s="164">
        <f>IFERROR(__xludf.DUMMYFUNCTION("""COMPUTED_VALUE"""),1819.68333333333)</f>
        <v>1819.683333</v>
      </c>
      <c r="G1676" s="163">
        <f>IFERROR(__xludf.DUMMYFUNCTION("""COMPUTED_VALUE"""),73.0)</f>
        <v>73</v>
      </c>
      <c r="H1676" s="163" t="str">
        <f>IFERROR(__xludf.DUMMYFUNCTION("""COMPUTED_VALUE"""),"SG")</f>
        <v>SG</v>
      </c>
      <c r="I1676" s="163">
        <f>IFERROR(__xludf.DUMMYFUNCTION("""COMPUTED_VALUE"""),27.0)</f>
        <v>27</v>
      </c>
      <c r="J1676" s="165">
        <f>IFERROR(__xludf.DUMMYFUNCTION("""COMPUTED_VALUE"""),-1.5692707666871)</f>
        <v>-1.569270767</v>
      </c>
      <c r="K1676" s="165">
        <f>IFERROR(__xludf.DUMMYFUNCTION("""COMPUTED_VALUE"""),-1.14199351417982)</f>
        <v>-1.141993514</v>
      </c>
      <c r="L1676" s="165">
        <f>IFERROR(__xludf.DUMMYFUNCTION("""COMPUTED_VALUE"""),-0.427277252507282)</f>
        <v>-0.4272772525</v>
      </c>
      <c r="M1676" s="166">
        <f t="shared" si="2"/>
        <v>0.8867042388</v>
      </c>
      <c r="N1676" s="167">
        <f t="shared" si="3"/>
        <v>24.92716895</v>
      </c>
      <c r="O1676" s="163">
        <f t="shared" ref="O1676:Q1676" si="1680">rank(I1676,I:I)</f>
        <v>1366</v>
      </c>
      <c r="P1676" s="163">
        <f t="shared" si="1680"/>
        <v>3116</v>
      </c>
      <c r="Q1676" s="163">
        <f t="shared" si="1680"/>
        <v>2975</v>
      </c>
      <c r="R1676" s="163">
        <f>IFERROR(__xludf.DUMMYFUNCTION("RANK(M1676,filter(M:M,C:C=C1676))"),235.0)</f>
        <v>235</v>
      </c>
      <c r="S1676" s="161" t="b">
        <f t="shared" si="5"/>
        <v>0</v>
      </c>
      <c r="T1676" s="161" t="b">
        <f t="array" ref="T1676">index('Query Tool'!B:B,match(H1676,'Query Tool'!C:C,0))</f>
        <v>1</v>
      </c>
      <c r="U1676" s="161" t="b">
        <f t="array" ref="U1676">index('Query Tool'!B:B,match(C1676,'Query Tool'!C:C,0))</f>
        <v>0</v>
      </c>
      <c r="V1676" s="161" t="b">
        <f>F1676&gt;='Query Tool'!C$32</f>
        <v>1</v>
      </c>
      <c r="W1676" s="161" t="b">
        <f t="array" ref="W1676">index(Dropdowns!B:B,match(I1676,Dropdowns!A:A,0))</f>
        <v>1</v>
      </c>
      <c r="X1676" s="161" t="b">
        <f t="array" ref="X1676">index('Query Tool'!B:B,match(D1676,'Query Tool'!C:C,0))</f>
        <v>1</v>
      </c>
      <c r="Y1676" s="161" t="str">
        <f t="shared" si="6"/>
        <v>mooreet01,2016-17</v>
      </c>
      <c r="Z1676" s="168">
        <f t="array" ref="Z1676">iferror(index(I:I,match($A1676&amp;","&amp;index('Year Conversion'!$A:$A,match($C1676,'Year Conversion'!$B:$B,0)),$Y:$Y,0))-I1676,"")</f>
        <v>1</v>
      </c>
      <c r="AA1676" s="168">
        <f t="array" ref="AA1676">iferror(index(J:J,match($A1676&amp;","&amp;index('Year Conversion'!$A:$A,match($C1676,'Year Conversion'!$B:$B,0)),$Y:$Y,0))-J1676,"")</f>
        <v>0.6293828949</v>
      </c>
      <c r="AB1676" s="168">
        <f t="array" ref="AB1676">iferror(index(K:K,match($A1676&amp;","&amp;index('Year Conversion'!$A:$A,match($C1676,'Year Conversion'!$B:$B,0)),$Y:$Y,0))-K1676,"")</f>
        <v>0.2806757334</v>
      </c>
      <c r="AC1676" s="168" t="str">
        <f t="shared" si="7"/>
        <v>NOP,2016-17</v>
      </c>
    </row>
    <row r="1677">
      <c r="A1677" s="161" t="str">
        <f>IFERROR(__xludf.DUMMYFUNCTION("""COMPUTED_VALUE"""),"thomais02")</f>
        <v>thomais02</v>
      </c>
      <c r="B1677" s="161" t="str">
        <f>IFERROR(__xludf.DUMMYFUNCTION("""COMPUTED_VALUE"""),"Isaiah Thomas")</f>
        <v>Isaiah Thomas</v>
      </c>
      <c r="C1677" s="162" t="str">
        <f>IFERROR(__xludf.DUMMYFUNCTION("""COMPUTED_VALUE"""),"2016-17")</f>
        <v>2016-17</v>
      </c>
      <c r="D1677" s="163" t="str">
        <f>IFERROR(__xludf.DUMMYFUNCTION("""COMPUTED_VALUE"""),"BOS")</f>
        <v>BOS</v>
      </c>
      <c r="E1677" s="164" t="str">
        <f>IFERROR(__xludf.DUMMYFUNCTION("""COMPUTED_VALUE"""),"Primary Ball Handler")</f>
        <v>Primary Ball Handler</v>
      </c>
      <c r="F1677" s="164">
        <f>IFERROR(__xludf.DUMMYFUNCTION("""COMPUTED_VALUE"""),2569.45166666667)</f>
        <v>2569.451667</v>
      </c>
      <c r="G1677" s="163">
        <f>IFERROR(__xludf.DUMMYFUNCTION("""COMPUTED_VALUE"""),76.0)</f>
        <v>76</v>
      </c>
      <c r="H1677" s="163" t="str">
        <f>IFERROR(__xludf.DUMMYFUNCTION("""COMPUTED_VALUE"""),"PG")</f>
        <v>PG</v>
      </c>
      <c r="I1677" s="163">
        <f>IFERROR(__xludf.DUMMYFUNCTION("""COMPUTED_VALUE"""),27.0)</f>
        <v>27</v>
      </c>
      <c r="J1677" s="165">
        <f>IFERROR(__xludf.DUMMYFUNCTION("""COMPUTED_VALUE"""),2.77640050149777)</f>
        <v>2.776400501</v>
      </c>
      <c r="K1677" s="165">
        <f>IFERROR(__xludf.DUMMYFUNCTION("""COMPUTED_VALUE"""),5.4913777870422)</f>
        <v>5.491377787</v>
      </c>
      <c r="L1677" s="165">
        <f>IFERROR(__xludf.DUMMYFUNCTION("""COMPUTED_VALUE"""),-2.71497728554444)</f>
        <v>-2.714977286</v>
      </c>
      <c r="M1677" s="166">
        <f t="shared" si="2"/>
        <v>8.719940764</v>
      </c>
      <c r="N1677" s="167">
        <f t="shared" si="3"/>
        <v>33.80857456</v>
      </c>
      <c r="O1677" s="163">
        <f t="shared" ref="O1677:Q1677" si="1681">rank(I1677,I:I)</f>
        <v>1366</v>
      </c>
      <c r="P1677" s="163">
        <f t="shared" si="1681"/>
        <v>192</v>
      </c>
      <c r="Q1677" s="163">
        <f t="shared" si="1681"/>
        <v>20</v>
      </c>
      <c r="R1677" s="163">
        <f>IFERROR(__xludf.DUMMYFUNCTION("RANK(M1677,filter(M:M,C:C=C1677))"),23.0)</f>
        <v>23</v>
      </c>
      <c r="S1677" s="161" t="b">
        <f t="shared" si="5"/>
        <v>0</v>
      </c>
      <c r="T1677" s="161" t="b">
        <f t="array" ref="T1677">index('Query Tool'!B:B,match(H1677,'Query Tool'!C:C,0))</f>
        <v>1</v>
      </c>
      <c r="U1677" s="161" t="b">
        <f t="array" ref="U1677">index('Query Tool'!B:B,match(C1677,'Query Tool'!C:C,0))</f>
        <v>0</v>
      </c>
      <c r="V1677" s="161" t="b">
        <f>F1677&gt;='Query Tool'!C$32</f>
        <v>1</v>
      </c>
      <c r="W1677" s="161" t="b">
        <f t="array" ref="W1677">index(Dropdowns!B:B,match(I1677,Dropdowns!A:A,0))</f>
        <v>1</v>
      </c>
      <c r="X1677" s="161" t="b">
        <f t="array" ref="X1677">index('Query Tool'!B:B,match(D1677,'Query Tool'!C:C,0))</f>
        <v>1</v>
      </c>
      <c r="Y1677" s="161" t="str">
        <f t="shared" si="6"/>
        <v>thomais02,2016-17</v>
      </c>
      <c r="Z1677" s="168">
        <f t="array" ref="Z1677">iferror(index(I:I,match($A1677&amp;","&amp;index('Year Conversion'!$A:$A,match($C1677,'Year Conversion'!$B:$B,0)),$Y:$Y,0))-I1677,"")</f>
        <v>1</v>
      </c>
      <c r="AA1677" s="168">
        <f t="array" ref="AA1677">iferror(index(J:J,match($A1677&amp;","&amp;index('Year Conversion'!$A:$A,match($C1677,'Year Conversion'!$B:$B,0)),$Y:$Y,0))-J1677,"")</f>
        <v>-4.12269201</v>
      </c>
      <c r="AB1677" s="168">
        <f t="array" ref="AB1677">iferror(index(K:K,match($A1677&amp;","&amp;index('Year Conversion'!$A:$A,match($C1677,'Year Conversion'!$B:$B,0)),$Y:$Y,0))-K1677,"")</f>
        <v>-4.141074903</v>
      </c>
      <c r="AC1677" s="168" t="str">
        <f t="shared" si="7"/>
        <v>BOS,2016-17</v>
      </c>
    </row>
    <row r="1678">
      <c r="A1678" s="161" t="str">
        <f>IFERROR(__xludf.DUMMYFUNCTION("""COMPUTED_VALUE"""),"davisan02")</f>
        <v>davisan02</v>
      </c>
      <c r="B1678" s="161" t="str">
        <f>IFERROR(__xludf.DUMMYFUNCTION("""COMPUTED_VALUE"""),"Anthony Davis")</f>
        <v>Anthony Davis</v>
      </c>
      <c r="C1678" s="162" t="str">
        <f>IFERROR(__xludf.DUMMYFUNCTION("""COMPUTED_VALUE"""),"2016-17")</f>
        <v>2016-17</v>
      </c>
      <c r="D1678" s="163" t="str">
        <f>IFERROR(__xludf.DUMMYFUNCTION("""COMPUTED_VALUE"""),"NOP")</f>
        <v>NOP</v>
      </c>
      <c r="E1678" s="164" t="str">
        <f>IFERROR(__xludf.DUMMYFUNCTION("""COMPUTED_VALUE"""),"Post Scorer")</f>
        <v>Post Scorer</v>
      </c>
      <c r="F1678" s="164">
        <f>IFERROR(__xludf.DUMMYFUNCTION("""COMPUTED_VALUE"""),2707.66166666667)</f>
        <v>2707.661667</v>
      </c>
      <c r="G1678" s="163">
        <f>IFERROR(__xludf.DUMMYFUNCTION("""COMPUTED_VALUE"""),75.0)</f>
        <v>75</v>
      </c>
      <c r="H1678" s="163" t="str">
        <f>IFERROR(__xludf.DUMMYFUNCTION("""COMPUTED_VALUE"""),"C")</f>
        <v>C</v>
      </c>
      <c r="I1678" s="163">
        <f>IFERROR(__xludf.DUMMYFUNCTION("""COMPUTED_VALUE"""),23.0)</f>
        <v>23</v>
      </c>
      <c r="J1678" s="165">
        <f>IFERROR(__xludf.DUMMYFUNCTION("""COMPUTED_VALUE"""),4.44375569789523)</f>
        <v>4.443755698</v>
      </c>
      <c r="K1678" s="165">
        <f>IFERROR(__xludf.DUMMYFUNCTION("""COMPUTED_VALUE"""),2.03055362232194)</f>
        <v>2.030553622</v>
      </c>
      <c r="L1678" s="165">
        <f>IFERROR(__xludf.DUMMYFUNCTION("""COMPUTED_VALUE"""),2.41320207557328)</f>
        <v>2.413202076</v>
      </c>
      <c r="M1678" s="166">
        <f t="shared" si="2"/>
        <v>12.07083317</v>
      </c>
      <c r="N1678" s="167">
        <f t="shared" si="3"/>
        <v>36.10215556</v>
      </c>
      <c r="O1678" s="163">
        <f t="shared" ref="O1678:Q1678" si="1682">rank(I1678,I:I)</f>
        <v>2765</v>
      </c>
      <c r="P1678" s="163">
        <f t="shared" si="1682"/>
        <v>70</v>
      </c>
      <c r="Q1678" s="163">
        <f t="shared" si="1682"/>
        <v>223</v>
      </c>
      <c r="R1678" s="163">
        <f>IFERROR(__xludf.DUMMYFUNCTION("RANK(M1678,filter(M:M,C:C=C1678))"),9.0)</f>
        <v>9</v>
      </c>
      <c r="S1678" s="161" t="b">
        <f t="shared" si="5"/>
        <v>0</v>
      </c>
      <c r="T1678" s="161" t="b">
        <f t="array" ref="T1678">index('Query Tool'!B:B,match(H1678,'Query Tool'!C:C,0))</f>
        <v>1</v>
      </c>
      <c r="U1678" s="161" t="b">
        <f t="array" ref="U1678">index('Query Tool'!B:B,match(C1678,'Query Tool'!C:C,0))</f>
        <v>0</v>
      </c>
      <c r="V1678" s="161" t="b">
        <f>F1678&gt;='Query Tool'!C$32</f>
        <v>1</v>
      </c>
      <c r="W1678" s="161" t="b">
        <f t="array" ref="W1678">index(Dropdowns!B:B,match(I1678,Dropdowns!A:A,0))</f>
        <v>1</v>
      </c>
      <c r="X1678" s="161" t="b">
        <f t="array" ref="X1678">index('Query Tool'!B:B,match(D1678,'Query Tool'!C:C,0))</f>
        <v>1</v>
      </c>
      <c r="Y1678" s="161" t="str">
        <f t="shared" si="6"/>
        <v>davisan02,2016-17</v>
      </c>
      <c r="Z1678" s="168">
        <f t="array" ref="Z1678">iferror(index(I:I,match($A1678&amp;","&amp;index('Year Conversion'!$A:$A,match($C1678,'Year Conversion'!$B:$B,0)),$Y:$Y,0))-I1678,"")</f>
        <v>1</v>
      </c>
      <c r="AA1678" s="168">
        <f t="array" ref="AA1678">iferror(index(J:J,match($A1678&amp;","&amp;index('Year Conversion'!$A:$A,match($C1678,'Year Conversion'!$B:$B,0)),$Y:$Y,0))-J1678,"")</f>
        <v>0.2906091776</v>
      </c>
      <c r="AB1678" s="168">
        <f t="array" ref="AB1678">iferror(index(K:K,match($A1678&amp;","&amp;index('Year Conversion'!$A:$A,match($C1678,'Year Conversion'!$B:$B,0)),$Y:$Y,0))-K1678,"")</f>
        <v>0.44544376</v>
      </c>
      <c r="AC1678" s="168" t="str">
        <f t="shared" si="7"/>
        <v>NOP,2016-17</v>
      </c>
    </row>
    <row r="1679">
      <c r="A1679" s="161" t="str">
        <f>IFERROR(__xludf.DUMMYFUNCTION("""COMPUTED_VALUE"""),"kiddgmi01")</f>
        <v>kiddgmi01</v>
      </c>
      <c r="B1679" s="161" t="str">
        <f>IFERROR(__xludf.DUMMYFUNCTION("""COMPUTED_VALUE"""),"Michael Kidd-Gilchrist")</f>
        <v>Michael Kidd-Gilchrist</v>
      </c>
      <c r="C1679" s="162" t="str">
        <f>IFERROR(__xludf.DUMMYFUNCTION("""COMPUTED_VALUE"""),"2016-17")</f>
        <v>2016-17</v>
      </c>
      <c r="D1679" s="163" t="str">
        <f>IFERROR(__xludf.DUMMYFUNCTION("""COMPUTED_VALUE"""),"CHO")</f>
        <v>CHO</v>
      </c>
      <c r="E1679" s="164" t="str">
        <f>IFERROR(__xludf.DUMMYFUNCTION("""COMPUTED_VALUE"""),"Athletic Finisher")</f>
        <v>Athletic Finisher</v>
      </c>
      <c r="F1679" s="164">
        <f>IFERROR(__xludf.DUMMYFUNCTION("""COMPUTED_VALUE"""),2349.40833333333)</f>
        <v>2349.408333</v>
      </c>
      <c r="G1679" s="163">
        <f>IFERROR(__xludf.DUMMYFUNCTION("""COMPUTED_VALUE"""),81.0)</f>
        <v>81</v>
      </c>
      <c r="H1679" s="163" t="str">
        <f>IFERROR(__xludf.DUMMYFUNCTION("""COMPUTED_VALUE"""),"SF")</f>
        <v>SF</v>
      </c>
      <c r="I1679" s="163">
        <f>IFERROR(__xludf.DUMMYFUNCTION("""COMPUTED_VALUE"""),23.0)</f>
        <v>23</v>
      </c>
      <c r="J1679" s="165">
        <f>IFERROR(__xludf.DUMMYFUNCTION("""COMPUTED_VALUE"""),1.61472907836258)</f>
        <v>1.614729078</v>
      </c>
      <c r="K1679" s="165">
        <f>IFERROR(__xludf.DUMMYFUNCTION("""COMPUTED_VALUE"""),-1.29031012557361)</f>
        <v>-1.290310126</v>
      </c>
      <c r="L1679" s="165">
        <f>IFERROR(__xludf.DUMMYFUNCTION("""COMPUTED_VALUE"""),2.9050392039362)</f>
        <v>2.905039204</v>
      </c>
      <c r="M1679" s="166">
        <f t="shared" si="2"/>
        <v>6.170426077</v>
      </c>
      <c r="N1679" s="167">
        <f t="shared" si="3"/>
        <v>29.00504115</v>
      </c>
      <c r="O1679" s="163">
        <f t="shared" ref="O1679:Q1679" si="1683">rank(I1679,I:I)</f>
        <v>2765</v>
      </c>
      <c r="P1679" s="163">
        <f t="shared" si="1683"/>
        <v>426</v>
      </c>
      <c r="Q1679" s="163">
        <f t="shared" si="1683"/>
        <v>3132</v>
      </c>
      <c r="R1679" s="163">
        <f>IFERROR(__xludf.DUMMYFUNCTION("RANK(M1679,filter(M:M,C:C=C1679))"),44.0)</f>
        <v>44</v>
      </c>
      <c r="S1679" s="161" t="b">
        <f t="shared" si="5"/>
        <v>0</v>
      </c>
      <c r="T1679" s="161" t="b">
        <f t="array" ref="T1679">index('Query Tool'!B:B,match(H1679,'Query Tool'!C:C,0))</f>
        <v>1</v>
      </c>
      <c r="U1679" s="161" t="b">
        <f t="array" ref="U1679">index('Query Tool'!B:B,match(C1679,'Query Tool'!C:C,0))</f>
        <v>0</v>
      </c>
      <c r="V1679" s="161" t="b">
        <f>F1679&gt;='Query Tool'!C$32</f>
        <v>1</v>
      </c>
      <c r="W1679" s="161" t="b">
        <f t="array" ref="W1679">index(Dropdowns!B:B,match(I1679,Dropdowns!A:A,0))</f>
        <v>1</v>
      </c>
      <c r="X1679" s="161" t="b">
        <f t="array" ref="X1679">index('Query Tool'!B:B,match(D1679,'Query Tool'!C:C,0))</f>
        <v>1</v>
      </c>
      <c r="Y1679" s="161" t="str">
        <f t="shared" si="6"/>
        <v>kiddgmi01,2016-17</v>
      </c>
      <c r="Z1679" s="168">
        <f t="array" ref="Z1679">iferror(index(I:I,match($A1679&amp;","&amp;index('Year Conversion'!$A:$A,match($C1679,'Year Conversion'!$B:$B,0)),$Y:$Y,0))-I1679,"")</f>
        <v>1</v>
      </c>
      <c r="AA1679" s="168">
        <f t="array" ref="AA1679">iferror(index(J:J,match($A1679&amp;","&amp;index('Year Conversion'!$A:$A,match($C1679,'Year Conversion'!$B:$B,0)),$Y:$Y,0))-J1679,"")</f>
        <v>-2.489716175</v>
      </c>
      <c r="AB1679" s="168">
        <f t="array" ref="AB1679">iferror(index(K:K,match($A1679&amp;","&amp;index('Year Conversion'!$A:$A,match($C1679,'Year Conversion'!$B:$B,0)),$Y:$Y,0))-K1679,"")</f>
        <v>-0.4765134351</v>
      </c>
      <c r="AC1679" s="168" t="str">
        <f t="shared" si="7"/>
        <v>CHO,2016-17</v>
      </c>
    </row>
    <row r="1680">
      <c r="A1680" s="161" t="str">
        <f>IFERROR(__xludf.DUMMYFUNCTION("""COMPUTED_VALUE"""),"bealbr01")</f>
        <v>bealbr01</v>
      </c>
      <c r="B1680" s="161" t="str">
        <f>IFERROR(__xludf.DUMMYFUNCTION("""COMPUTED_VALUE"""),"Bradley Beal")</f>
        <v>Bradley Beal</v>
      </c>
      <c r="C1680" s="162" t="str">
        <f>IFERROR(__xludf.DUMMYFUNCTION("""COMPUTED_VALUE"""),"2016-17")</f>
        <v>2016-17</v>
      </c>
      <c r="D1680" s="163" t="str">
        <f>IFERROR(__xludf.DUMMYFUNCTION("""COMPUTED_VALUE"""),"WAS")</f>
        <v>WAS</v>
      </c>
      <c r="E1680" s="164" t="str">
        <f>IFERROR(__xludf.DUMMYFUNCTION("""COMPUTED_VALUE"""),"Off Screen Shooter")</f>
        <v>Off Screen Shooter</v>
      </c>
      <c r="F1680" s="164">
        <f>IFERROR(__xludf.DUMMYFUNCTION("""COMPUTED_VALUE"""),2684.01333333333)</f>
        <v>2684.013333</v>
      </c>
      <c r="G1680" s="163">
        <f>IFERROR(__xludf.DUMMYFUNCTION("""COMPUTED_VALUE"""),77.0)</f>
        <v>77</v>
      </c>
      <c r="H1680" s="163" t="str">
        <f>IFERROR(__xludf.DUMMYFUNCTION("""COMPUTED_VALUE"""),"SG")</f>
        <v>SG</v>
      </c>
      <c r="I1680" s="163">
        <f>IFERROR(__xludf.DUMMYFUNCTION("""COMPUTED_VALUE"""),23.0)</f>
        <v>23</v>
      </c>
      <c r="J1680" s="165">
        <f>IFERROR(__xludf.DUMMYFUNCTION("""COMPUTED_VALUE"""),1.86682619836805)</f>
        <v>1.866826198</v>
      </c>
      <c r="K1680" s="165">
        <f>IFERROR(__xludf.DUMMYFUNCTION("""COMPUTED_VALUE"""),3.17286105825677)</f>
        <v>3.172861058</v>
      </c>
      <c r="L1680" s="165">
        <f>IFERROR(__xludf.DUMMYFUNCTION("""COMPUTED_VALUE"""),-1.30603485988872)</f>
        <v>-1.30603486</v>
      </c>
      <c r="M1680" s="166">
        <f t="shared" si="2"/>
        <v>7.499679965</v>
      </c>
      <c r="N1680" s="167">
        <f t="shared" si="3"/>
        <v>34.85731602</v>
      </c>
      <c r="O1680" s="163">
        <f t="shared" ref="O1680:Q1680" si="1684">rank(I1680,I:I)</f>
        <v>2765</v>
      </c>
      <c r="P1680" s="163">
        <f t="shared" si="1684"/>
        <v>356</v>
      </c>
      <c r="Q1680" s="163">
        <f t="shared" si="1684"/>
        <v>108</v>
      </c>
      <c r="R1680" s="163">
        <f>IFERROR(__xludf.DUMMYFUNCTION("RANK(M1680,filter(M:M,C:C=C1680))"),29.0)</f>
        <v>29</v>
      </c>
      <c r="S1680" s="161" t="b">
        <f t="shared" si="5"/>
        <v>0</v>
      </c>
      <c r="T1680" s="161" t="b">
        <f t="array" ref="T1680">index('Query Tool'!B:B,match(H1680,'Query Tool'!C:C,0))</f>
        <v>1</v>
      </c>
      <c r="U1680" s="161" t="b">
        <f t="array" ref="U1680">index('Query Tool'!B:B,match(C1680,'Query Tool'!C:C,0))</f>
        <v>0</v>
      </c>
      <c r="V1680" s="161" t="b">
        <f>F1680&gt;='Query Tool'!C$32</f>
        <v>1</v>
      </c>
      <c r="W1680" s="161" t="b">
        <f t="array" ref="W1680">index(Dropdowns!B:B,match(I1680,Dropdowns!A:A,0))</f>
        <v>1</v>
      </c>
      <c r="X1680" s="161" t="b">
        <f t="array" ref="X1680">index('Query Tool'!B:B,match(D1680,'Query Tool'!C:C,0))</f>
        <v>1</v>
      </c>
      <c r="Y1680" s="161" t="str">
        <f t="shared" si="6"/>
        <v>bealbr01,2016-17</v>
      </c>
      <c r="Z1680" s="168">
        <f t="array" ref="Z1680">iferror(index(I:I,match($A1680&amp;","&amp;index('Year Conversion'!$A:$A,match($C1680,'Year Conversion'!$B:$B,0)),$Y:$Y,0))-I1680,"")</f>
        <v>1</v>
      </c>
      <c r="AA1680" s="168">
        <f t="array" ref="AA1680">iferror(index(J:J,match($A1680&amp;","&amp;index('Year Conversion'!$A:$A,match($C1680,'Year Conversion'!$B:$B,0)),$Y:$Y,0))-J1680,"")</f>
        <v>-0.6230891278</v>
      </c>
      <c r="AB1680" s="168">
        <f t="array" ref="AB1680">iferror(index(K:K,match($A1680&amp;","&amp;index('Year Conversion'!$A:$A,match($C1680,'Year Conversion'!$B:$B,0)),$Y:$Y,0))-K1680,"")</f>
        <v>-1.539009627</v>
      </c>
      <c r="AC1680" s="168" t="str">
        <f t="shared" si="7"/>
        <v>WAS,2016-17</v>
      </c>
    </row>
    <row r="1681">
      <c r="A1681" s="161" t="str">
        <f>IFERROR(__xludf.DUMMYFUNCTION("""COMPUTED_VALUE"""),"waitedi01")</f>
        <v>waitedi01</v>
      </c>
      <c r="B1681" s="161" t="str">
        <f>IFERROR(__xludf.DUMMYFUNCTION("""COMPUTED_VALUE"""),"Dion Waiters")</f>
        <v>Dion Waiters</v>
      </c>
      <c r="C1681" s="162" t="str">
        <f>IFERROR(__xludf.DUMMYFUNCTION("""COMPUTED_VALUE"""),"2016-17")</f>
        <v>2016-17</v>
      </c>
      <c r="D1681" s="163" t="str">
        <f>IFERROR(__xludf.DUMMYFUNCTION("""COMPUTED_VALUE"""),"MIA")</f>
        <v>MIA</v>
      </c>
      <c r="E1681" s="164" t="str">
        <f>IFERROR(__xludf.DUMMYFUNCTION("""COMPUTED_VALUE"""),"Shot Creator")</f>
        <v>Shot Creator</v>
      </c>
      <c r="F1681" s="164">
        <f>IFERROR(__xludf.DUMMYFUNCTION("""COMPUTED_VALUE"""),1384.225)</f>
        <v>1384.225</v>
      </c>
      <c r="G1681" s="163">
        <f>IFERROR(__xludf.DUMMYFUNCTION("""COMPUTED_VALUE"""),46.0)</f>
        <v>46</v>
      </c>
      <c r="H1681" s="163" t="str">
        <f>IFERROR(__xludf.DUMMYFUNCTION("""COMPUTED_VALUE"""),"SG")</f>
        <v>SG</v>
      </c>
      <c r="I1681" s="163">
        <f>IFERROR(__xludf.DUMMYFUNCTION("""COMPUTED_VALUE"""),25.0)</f>
        <v>25</v>
      </c>
      <c r="J1681" s="165">
        <f>IFERROR(__xludf.DUMMYFUNCTION("""COMPUTED_VALUE"""),0.0377118241759291)</f>
        <v>0.03771182418</v>
      </c>
      <c r="K1681" s="165">
        <f>IFERROR(__xludf.DUMMYFUNCTION("""COMPUTED_VALUE"""),0.098784123606644)</f>
        <v>0.09878412361</v>
      </c>
      <c r="L1681" s="165">
        <f>IFERROR(__xludf.DUMMYFUNCTION("""COMPUTED_VALUE"""),-0.0610722994307149)</f>
        <v>-0.06107229943</v>
      </c>
      <c r="M1681" s="166">
        <f t="shared" si="2"/>
        <v>2.169207293</v>
      </c>
      <c r="N1681" s="167">
        <f t="shared" si="3"/>
        <v>30.09184783</v>
      </c>
      <c r="O1681" s="163">
        <f t="shared" ref="O1681:Q1681" si="1685">rank(I1681,I:I)</f>
        <v>1995</v>
      </c>
      <c r="P1681" s="163">
        <f t="shared" si="1685"/>
        <v>1257</v>
      </c>
      <c r="Q1681" s="163">
        <f t="shared" si="1685"/>
        <v>1069</v>
      </c>
      <c r="R1681" s="163">
        <f>IFERROR(__xludf.DUMMYFUNCTION("RANK(M1681,filter(M:M,C:C=C1681))"),149.0)</f>
        <v>149</v>
      </c>
      <c r="S1681" s="161" t="b">
        <f t="shared" si="5"/>
        <v>0</v>
      </c>
      <c r="T1681" s="161" t="b">
        <f t="array" ref="T1681">index('Query Tool'!B:B,match(H1681,'Query Tool'!C:C,0))</f>
        <v>1</v>
      </c>
      <c r="U1681" s="161" t="b">
        <f t="array" ref="U1681">index('Query Tool'!B:B,match(C1681,'Query Tool'!C:C,0))</f>
        <v>0</v>
      </c>
      <c r="V1681" s="161" t="b">
        <f>F1681&gt;='Query Tool'!C$32</f>
        <v>1</v>
      </c>
      <c r="W1681" s="161" t="b">
        <f t="array" ref="W1681">index(Dropdowns!B:B,match(I1681,Dropdowns!A:A,0))</f>
        <v>1</v>
      </c>
      <c r="X1681" s="161" t="b">
        <f t="array" ref="X1681">index('Query Tool'!B:B,match(D1681,'Query Tool'!C:C,0))</f>
        <v>1</v>
      </c>
      <c r="Y1681" s="161" t="str">
        <f t="shared" si="6"/>
        <v>waitedi01,2016-17</v>
      </c>
      <c r="Z1681" s="168">
        <f t="array" ref="Z1681">iferror(index(I:I,match($A1681&amp;","&amp;index('Year Conversion'!$A:$A,match($C1681,'Year Conversion'!$B:$B,0)),$Y:$Y,0))-I1681,"")</f>
        <v>1</v>
      </c>
      <c r="AA1681" s="168">
        <f t="array" ref="AA1681">iferror(index(J:J,match($A1681&amp;","&amp;index('Year Conversion'!$A:$A,match($C1681,'Year Conversion'!$B:$B,0)),$Y:$Y,0))-J1681,"")</f>
        <v>-1.054221489</v>
      </c>
      <c r="AB1681" s="168">
        <f t="array" ref="AB1681">iferror(index(K:K,match($A1681&amp;","&amp;index('Year Conversion'!$A:$A,match($C1681,'Year Conversion'!$B:$B,0)),$Y:$Y,0))-K1681,"")</f>
        <v>-1.058306802</v>
      </c>
      <c r="AC1681" s="168" t="str">
        <f t="shared" si="7"/>
        <v>MIA,2016-17</v>
      </c>
    </row>
    <row r="1682">
      <c r="A1682" s="161" t="str">
        <f>IFERROR(__xludf.DUMMYFUNCTION("""COMPUTED_VALUE"""),"robinth01")</f>
        <v>robinth01</v>
      </c>
      <c r="B1682" s="161" t="str">
        <f>IFERROR(__xludf.DUMMYFUNCTION("""COMPUTED_VALUE"""),"Thomas Robinson")</f>
        <v>Thomas Robinson</v>
      </c>
      <c r="C1682" s="162" t="str">
        <f>IFERROR(__xludf.DUMMYFUNCTION("""COMPUTED_VALUE"""),"2016-17")</f>
        <v>2016-17</v>
      </c>
      <c r="D1682" s="163" t="str">
        <f>IFERROR(__xludf.DUMMYFUNCTION("""COMPUTED_VALUE"""),"LAL")</f>
        <v>LAL</v>
      </c>
      <c r="E1682" s="164" t="str">
        <f>IFERROR(__xludf.DUMMYFUNCTION("""COMPUTED_VALUE"""),"Roll + Cut Big")</f>
        <v>Roll + Cut Big</v>
      </c>
      <c r="F1682" s="164">
        <f>IFERROR(__xludf.DUMMYFUNCTION("""COMPUTED_VALUE"""),560.408333333333)</f>
        <v>560.4083333</v>
      </c>
      <c r="G1682" s="163">
        <f>IFERROR(__xludf.DUMMYFUNCTION("""COMPUTED_VALUE"""),48.0)</f>
        <v>48</v>
      </c>
      <c r="H1682" s="163" t="str">
        <f>IFERROR(__xludf.DUMMYFUNCTION("""COMPUTED_VALUE"""),"PF")</f>
        <v>PF</v>
      </c>
      <c r="I1682" s="163">
        <f>IFERROR(__xludf.DUMMYFUNCTION("""COMPUTED_VALUE"""),25.0)</f>
        <v>25</v>
      </c>
      <c r="J1682" s="165">
        <f>IFERROR(__xludf.DUMMYFUNCTION("""COMPUTED_VALUE"""),0.00532902764291227)</f>
        <v>0.005329027643</v>
      </c>
      <c r="K1682" s="165">
        <f>IFERROR(__xludf.DUMMYFUNCTION("""COMPUTED_VALUE"""),-0.3457292697692)</f>
        <v>-0.3457292698</v>
      </c>
      <c r="L1682" s="165">
        <f>IFERROR(__xludf.DUMMYFUNCTION("""COMPUTED_VALUE"""),0.351058297412112)</f>
        <v>0.3510582974</v>
      </c>
      <c r="M1682" s="166">
        <f t="shared" si="2"/>
        <v>0.8659762688</v>
      </c>
      <c r="N1682" s="167">
        <f t="shared" si="3"/>
        <v>11.67517361</v>
      </c>
      <c r="O1682" s="163">
        <f t="shared" ref="O1682:Q1682" si="1686">rank(I1682,I:I)</f>
        <v>1995</v>
      </c>
      <c r="P1682" s="163">
        <f t="shared" si="1686"/>
        <v>1278</v>
      </c>
      <c r="Q1682" s="163">
        <f t="shared" si="1686"/>
        <v>1842</v>
      </c>
      <c r="R1682" s="163">
        <f>IFERROR(__xludf.DUMMYFUNCTION("RANK(M1682,filter(M:M,C:C=C1682))"),239.0)</f>
        <v>239</v>
      </c>
      <c r="S1682" s="161" t="b">
        <f t="shared" si="5"/>
        <v>0</v>
      </c>
      <c r="T1682" s="161" t="b">
        <f t="array" ref="T1682">index('Query Tool'!B:B,match(H1682,'Query Tool'!C:C,0))</f>
        <v>1</v>
      </c>
      <c r="U1682" s="161" t="b">
        <f t="array" ref="U1682">index('Query Tool'!B:B,match(C1682,'Query Tool'!C:C,0))</f>
        <v>0</v>
      </c>
      <c r="V1682" s="161" t="b">
        <f>F1682&gt;='Query Tool'!C$32</f>
        <v>1</v>
      </c>
      <c r="W1682" s="161" t="b">
        <f t="array" ref="W1682">index(Dropdowns!B:B,match(I1682,Dropdowns!A:A,0))</f>
        <v>1</v>
      </c>
      <c r="X1682" s="161" t="b">
        <f t="array" ref="X1682">index('Query Tool'!B:B,match(D1682,'Query Tool'!C:C,0))</f>
        <v>1</v>
      </c>
      <c r="Y1682" s="161" t="str">
        <f t="shared" si="6"/>
        <v>robinth01,2016-17</v>
      </c>
      <c r="Z1682" s="168" t="str">
        <f t="array" ref="Z1682">iferror(index(I:I,match($A1682&amp;","&amp;index('Year Conversion'!$A:$A,match($C1682,'Year Conversion'!$B:$B,0)),$Y:$Y,0))-I1682,"")</f>
        <v/>
      </c>
      <c r="AA1682" s="168" t="str">
        <f t="array" ref="AA1682">iferror(index(J:J,match($A1682&amp;","&amp;index('Year Conversion'!$A:$A,match($C1682,'Year Conversion'!$B:$B,0)),$Y:$Y,0))-J1682,"")</f>
        <v/>
      </c>
      <c r="AB1682" s="168" t="str">
        <f t="array" ref="AB1682">iferror(index(K:K,match($A1682&amp;","&amp;index('Year Conversion'!$A:$A,match($C1682,'Year Conversion'!$B:$B,0)),$Y:$Y,0))-K1682,"")</f>
        <v/>
      </c>
      <c r="AC1682" s="168" t="str">
        <f t="shared" si="7"/>
        <v>LAL,2016-17</v>
      </c>
    </row>
    <row r="1683">
      <c r="A1683" s="161" t="str">
        <f>IFERROR(__xludf.DUMMYFUNCTION("""COMPUTED_VALUE"""),"lillada01")</f>
        <v>lillada01</v>
      </c>
      <c r="B1683" s="161" t="str">
        <f>IFERROR(__xludf.DUMMYFUNCTION("""COMPUTED_VALUE"""),"Damian Lillard")</f>
        <v>Damian Lillard</v>
      </c>
      <c r="C1683" s="162" t="str">
        <f>IFERROR(__xludf.DUMMYFUNCTION("""COMPUTED_VALUE"""),"2016-17")</f>
        <v>2016-17</v>
      </c>
      <c r="D1683" s="163" t="str">
        <f>IFERROR(__xludf.DUMMYFUNCTION("""COMPUTED_VALUE"""),"POR")</f>
        <v>POR</v>
      </c>
      <c r="E1683" s="164" t="str">
        <f>IFERROR(__xludf.DUMMYFUNCTION("""COMPUTED_VALUE"""),"Shot Creator")</f>
        <v>Shot Creator</v>
      </c>
      <c r="F1683" s="164">
        <f>IFERROR(__xludf.DUMMYFUNCTION("""COMPUTED_VALUE"""),2693.075)</f>
        <v>2693.075</v>
      </c>
      <c r="G1683" s="163">
        <f>IFERROR(__xludf.DUMMYFUNCTION("""COMPUTED_VALUE"""),75.0)</f>
        <v>75</v>
      </c>
      <c r="H1683" s="163" t="str">
        <f>IFERROR(__xludf.DUMMYFUNCTION("""COMPUTED_VALUE"""),"PG")</f>
        <v>PG</v>
      </c>
      <c r="I1683" s="163">
        <f>IFERROR(__xludf.DUMMYFUNCTION("""COMPUTED_VALUE"""),26.0)</f>
        <v>26</v>
      </c>
      <c r="J1683" s="165">
        <f>IFERROR(__xludf.DUMMYFUNCTION("""COMPUTED_VALUE"""),4.23861582636903)</f>
        <v>4.238615826</v>
      </c>
      <c r="K1683" s="165">
        <f>IFERROR(__xludf.DUMMYFUNCTION("""COMPUTED_VALUE"""),5.68928479445768)</f>
        <v>5.689284794</v>
      </c>
      <c r="L1683" s="165">
        <f>IFERROR(__xludf.DUMMYFUNCTION("""COMPUTED_VALUE"""),-1.45066896808866)</f>
        <v>-1.450668968</v>
      </c>
      <c r="M1683" s="166">
        <f t="shared" si="2"/>
        <v>11.66113913</v>
      </c>
      <c r="N1683" s="167">
        <f t="shared" si="3"/>
        <v>35.90766667</v>
      </c>
      <c r="O1683" s="163">
        <f t="shared" ref="O1683:Q1683" si="1687">rank(I1683,I:I)</f>
        <v>1665</v>
      </c>
      <c r="P1683" s="163">
        <f t="shared" si="1687"/>
        <v>86</v>
      </c>
      <c r="Q1683" s="163">
        <f t="shared" si="1687"/>
        <v>16</v>
      </c>
      <c r="R1683" s="163">
        <f>IFERROR(__xludf.DUMMYFUNCTION("RANK(M1683,filter(M:M,C:C=C1683))"),11.0)</f>
        <v>11</v>
      </c>
      <c r="S1683" s="161" t="b">
        <f t="shared" si="5"/>
        <v>0</v>
      </c>
      <c r="T1683" s="161" t="b">
        <f t="array" ref="T1683">index('Query Tool'!B:B,match(H1683,'Query Tool'!C:C,0))</f>
        <v>1</v>
      </c>
      <c r="U1683" s="161" t="b">
        <f t="array" ref="U1683">index('Query Tool'!B:B,match(C1683,'Query Tool'!C:C,0))</f>
        <v>0</v>
      </c>
      <c r="V1683" s="161" t="b">
        <f>F1683&gt;='Query Tool'!C$32</f>
        <v>1</v>
      </c>
      <c r="W1683" s="161" t="b">
        <f t="array" ref="W1683">index(Dropdowns!B:B,match(I1683,Dropdowns!A:A,0))</f>
        <v>1</v>
      </c>
      <c r="X1683" s="161" t="b">
        <f t="array" ref="X1683">index('Query Tool'!B:B,match(D1683,'Query Tool'!C:C,0))</f>
        <v>1</v>
      </c>
      <c r="Y1683" s="161" t="str">
        <f t="shared" si="6"/>
        <v>lillada01,2016-17</v>
      </c>
      <c r="Z1683" s="168">
        <f t="array" ref="Z1683">iferror(index(I:I,match($A1683&amp;","&amp;index('Year Conversion'!$A:$A,match($C1683,'Year Conversion'!$B:$B,0)),$Y:$Y,0))-I1683,"")</f>
        <v>1</v>
      </c>
      <c r="AA1683" s="168">
        <f t="array" ref="AA1683">iferror(index(J:J,match($A1683&amp;","&amp;index('Year Conversion'!$A:$A,match($C1683,'Year Conversion'!$B:$B,0)),$Y:$Y,0))-J1683,"")</f>
        <v>0.2404188281</v>
      </c>
      <c r="AB1683" s="168">
        <f t="array" ref="AB1683">iferror(index(K:K,match($A1683&amp;","&amp;index('Year Conversion'!$A:$A,match($C1683,'Year Conversion'!$B:$B,0)),$Y:$Y,0))-K1683,"")</f>
        <v>-1.058019242</v>
      </c>
      <c r="AC1683" s="168" t="str">
        <f t="shared" si="7"/>
        <v>POR,2016-17</v>
      </c>
    </row>
    <row r="1684">
      <c r="A1684" s="161" t="str">
        <f>IFERROR(__xludf.DUMMYFUNCTION("""COMPUTED_VALUE"""),"rosste01")</f>
        <v>rosste01</v>
      </c>
      <c r="B1684" s="161" t="str">
        <f>IFERROR(__xludf.DUMMYFUNCTION("""COMPUTED_VALUE"""),"Terrence Ross")</f>
        <v>Terrence Ross</v>
      </c>
      <c r="C1684" s="162" t="str">
        <f>IFERROR(__xludf.DUMMYFUNCTION("""COMPUTED_VALUE"""),"2016-17")</f>
        <v>2016-17</v>
      </c>
      <c r="D1684" s="163" t="str">
        <f>IFERROR(__xludf.DUMMYFUNCTION("""COMPUTED_VALUE"""),"TOT")</f>
        <v>TOT</v>
      </c>
      <c r="E1684" s="164" t="str">
        <f>IFERROR(__xludf.DUMMYFUNCTION("""COMPUTED_VALUE"""),"Movement Shooter")</f>
        <v>Movement Shooter</v>
      </c>
      <c r="F1684" s="164">
        <f>IFERROR(__xludf.DUMMYFUNCTION("""COMPUTED_VALUE"""),1954.96666666667)</f>
        <v>1954.966667</v>
      </c>
      <c r="G1684" s="163">
        <f>IFERROR(__xludf.DUMMYFUNCTION("""COMPUTED_VALUE"""),78.0)</f>
        <v>78</v>
      </c>
      <c r="H1684" s="163" t="str">
        <f>IFERROR(__xludf.DUMMYFUNCTION("""COMPUTED_VALUE"""),"SF")</f>
        <v>SF</v>
      </c>
      <c r="I1684" s="163">
        <f>IFERROR(__xludf.DUMMYFUNCTION("""COMPUTED_VALUE"""),25.0)</f>
        <v>25</v>
      </c>
      <c r="J1684" s="165">
        <f>IFERROR(__xludf.DUMMYFUNCTION("""COMPUTED_VALUE"""),1.00193268681897)</f>
        <v>1.001932687</v>
      </c>
      <c r="K1684" s="165">
        <f>IFERROR(__xludf.DUMMYFUNCTION("""COMPUTED_VALUE"""),1.31438601519801)</f>
        <v>1.314386015</v>
      </c>
      <c r="L1684" s="165">
        <f>IFERROR(__xludf.DUMMYFUNCTION("""COMPUTED_VALUE"""),-0.312453328379041)</f>
        <v>-0.3124533284</v>
      </c>
      <c r="M1684" s="166">
        <f t="shared" si="2"/>
        <v>4.332634347</v>
      </c>
      <c r="N1684" s="167">
        <f t="shared" si="3"/>
        <v>25.06367521</v>
      </c>
      <c r="O1684" s="163">
        <f t="shared" ref="O1684:Q1684" si="1688">rank(I1684,I:I)</f>
        <v>1995</v>
      </c>
      <c r="P1684" s="163">
        <f t="shared" si="1688"/>
        <v>657</v>
      </c>
      <c r="Q1684" s="163">
        <f t="shared" si="1688"/>
        <v>379</v>
      </c>
      <c r="R1684" s="163">
        <f>IFERROR(__xludf.DUMMYFUNCTION("RANK(M1684,filter(M:M,C:C=C1684))"),69.0)</f>
        <v>69</v>
      </c>
      <c r="S1684" s="161" t="b">
        <f t="shared" si="5"/>
        <v>0</v>
      </c>
      <c r="T1684" s="161" t="b">
        <f t="array" ref="T1684">index('Query Tool'!B:B,match(H1684,'Query Tool'!C:C,0))</f>
        <v>1</v>
      </c>
      <c r="U1684" s="161" t="b">
        <f t="array" ref="U1684">index('Query Tool'!B:B,match(C1684,'Query Tool'!C:C,0))</f>
        <v>0</v>
      </c>
      <c r="V1684" s="161" t="b">
        <f>F1684&gt;='Query Tool'!C$32</f>
        <v>1</v>
      </c>
      <c r="W1684" s="161" t="b">
        <f t="array" ref="W1684">index(Dropdowns!B:B,match(I1684,Dropdowns!A:A,0))</f>
        <v>1</v>
      </c>
      <c r="X1684" s="161" t="b">
        <f t="array" ref="X1684">index('Query Tool'!B:B,match(D1684,'Query Tool'!C:C,0))</f>
        <v>1</v>
      </c>
      <c r="Y1684" s="161" t="str">
        <f t="shared" si="6"/>
        <v>rosste01,2016-17</v>
      </c>
      <c r="Z1684" s="168">
        <f t="array" ref="Z1684">iferror(index(I:I,match($A1684&amp;","&amp;index('Year Conversion'!$A:$A,match($C1684,'Year Conversion'!$B:$B,0)),$Y:$Y,0))-I1684,"")</f>
        <v>1</v>
      </c>
      <c r="AA1684" s="168">
        <f t="array" ref="AA1684">iferror(index(J:J,match($A1684&amp;","&amp;index('Year Conversion'!$A:$A,match($C1684,'Year Conversion'!$B:$B,0)),$Y:$Y,0))-J1684,"")</f>
        <v>-2.1648066</v>
      </c>
      <c r="AB1684" s="168">
        <f t="array" ref="AB1684">iferror(index(K:K,match($A1684&amp;","&amp;index('Year Conversion'!$A:$A,match($C1684,'Year Conversion'!$B:$B,0)),$Y:$Y,0))-K1684,"")</f>
        <v>-2.754719365</v>
      </c>
      <c r="AC1684" s="168" t="str">
        <f t="shared" si="7"/>
        <v>TOT,2016-17</v>
      </c>
    </row>
    <row r="1685">
      <c r="A1685" s="161" t="str">
        <f>IFERROR(__xludf.DUMMYFUNCTION("""COMPUTED_VALUE"""),"drumman01")</f>
        <v>drumman01</v>
      </c>
      <c r="B1685" s="161" t="str">
        <f>IFERROR(__xludf.DUMMYFUNCTION("""COMPUTED_VALUE"""),"Andre Drummond")</f>
        <v>Andre Drummond</v>
      </c>
      <c r="C1685" s="162" t="str">
        <f>IFERROR(__xludf.DUMMYFUNCTION("""COMPUTED_VALUE"""),"2016-17")</f>
        <v>2016-17</v>
      </c>
      <c r="D1685" s="163" t="str">
        <f>IFERROR(__xludf.DUMMYFUNCTION("""COMPUTED_VALUE"""),"DET")</f>
        <v>DET</v>
      </c>
      <c r="E1685" s="164" t="str">
        <f>IFERROR(__xludf.DUMMYFUNCTION("""COMPUTED_VALUE"""),"Post Scorer")</f>
        <v>Post Scorer</v>
      </c>
      <c r="F1685" s="164">
        <f>IFERROR(__xludf.DUMMYFUNCTION("""COMPUTED_VALUE"""),2409.42166666667)</f>
        <v>2409.421667</v>
      </c>
      <c r="G1685" s="163">
        <f>IFERROR(__xludf.DUMMYFUNCTION("""COMPUTED_VALUE"""),81.0)</f>
        <v>81</v>
      </c>
      <c r="H1685" s="163" t="str">
        <f>IFERROR(__xludf.DUMMYFUNCTION("""COMPUTED_VALUE"""),"C")</f>
        <v>C</v>
      </c>
      <c r="I1685" s="163">
        <f>IFERROR(__xludf.DUMMYFUNCTION("""COMPUTED_VALUE"""),23.0)</f>
        <v>23</v>
      </c>
      <c r="J1685" s="165">
        <f>IFERROR(__xludf.DUMMYFUNCTION("""COMPUTED_VALUE"""),1.38665915528068)</f>
        <v>1.386659155</v>
      </c>
      <c r="K1685" s="165">
        <f>IFERROR(__xludf.DUMMYFUNCTION("""COMPUTED_VALUE"""),-0.494153536532008)</f>
        <v>-0.4941535365</v>
      </c>
      <c r="L1685" s="165">
        <f>IFERROR(__xludf.DUMMYFUNCTION("""COMPUTED_VALUE"""),1.88081269181269)</f>
        <v>1.880812692</v>
      </c>
      <c r="M1685" s="166">
        <f t="shared" si="2"/>
        <v>5.961027092</v>
      </c>
      <c r="N1685" s="167">
        <f t="shared" si="3"/>
        <v>29.7459465</v>
      </c>
      <c r="O1685" s="163">
        <f t="shared" ref="O1685:Q1685" si="1689">rank(I1685,I:I)</f>
        <v>2765</v>
      </c>
      <c r="P1685" s="163">
        <f t="shared" si="1689"/>
        <v>496</v>
      </c>
      <c r="Q1685" s="163">
        <f t="shared" si="1689"/>
        <v>2099</v>
      </c>
      <c r="R1685" s="163">
        <f>IFERROR(__xludf.DUMMYFUNCTION("RANK(M1685,filter(M:M,C:C=C1685))"),48.0)</f>
        <v>48</v>
      </c>
      <c r="S1685" s="161" t="b">
        <f t="shared" si="5"/>
        <v>0</v>
      </c>
      <c r="T1685" s="161" t="b">
        <f t="array" ref="T1685">index('Query Tool'!B:B,match(H1685,'Query Tool'!C:C,0))</f>
        <v>1</v>
      </c>
      <c r="U1685" s="161" t="b">
        <f t="array" ref="U1685">index('Query Tool'!B:B,match(C1685,'Query Tool'!C:C,0))</f>
        <v>0</v>
      </c>
      <c r="V1685" s="161" t="b">
        <f>F1685&gt;='Query Tool'!C$32</f>
        <v>1</v>
      </c>
      <c r="W1685" s="161" t="b">
        <f t="array" ref="W1685">index(Dropdowns!B:B,match(I1685,Dropdowns!A:A,0))</f>
        <v>1</v>
      </c>
      <c r="X1685" s="161" t="b">
        <f t="array" ref="X1685">index('Query Tool'!B:B,match(D1685,'Query Tool'!C:C,0))</f>
        <v>1</v>
      </c>
      <c r="Y1685" s="161" t="str">
        <f t="shared" si="6"/>
        <v>drumman01,2016-17</v>
      </c>
      <c r="Z1685" s="168">
        <f t="array" ref="Z1685">iferror(index(I:I,match($A1685&amp;","&amp;index('Year Conversion'!$A:$A,match($C1685,'Year Conversion'!$B:$B,0)),$Y:$Y,0))-I1685,"")</f>
        <v>1</v>
      </c>
      <c r="AA1685" s="168">
        <f t="array" ref="AA1685">iferror(index(J:J,match($A1685&amp;","&amp;index('Year Conversion'!$A:$A,match($C1685,'Year Conversion'!$B:$B,0)),$Y:$Y,0))-J1685,"")</f>
        <v>0.6136824281</v>
      </c>
      <c r="AB1685" s="168">
        <f t="array" ref="AB1685">iferror(index(K:K,match($A1685&amp;","&amp;index('Year Conversion'!$A:$A,match($C1685,'Year Conversion'!$B:$B,0)),$Y:$Y,0))-K1685,"")</f>
        <v>0.4092789608</v>
      </c>
      <c r="AC1685" s="168" t="str">
        <f t="shared" si="7"/>
        <v>DET,2016-17</v>
      </c>
    </row>
    <row r="1686">
      <c r="A1686" s="161" t="str">
        <f>IFERROR(__xludf.DUMMYFUNCTION("""COMPUTED_VALUE"""),"barneha02")</f>
        <v>barneha02</v>
      </c>
      <c r="B1686" s="161" t="str">
        <f>IFERROR(__xludf.DUMMYFUNCTION("""COMPUTED_VALUE"""),"Harrison Barnes")</f>
        <v>Harrison Barnes</v>
      </c>
      <c r="C1686" s="162" t="str">
        <f>IFERROR(__xludf.DUMMYFUNCTION("""COMPUTED_VALUE"""),"2016-17")</f>
        <v>2016-17</v>
      </c>
      <c r="D1686" s="163" t="str">
        <f>IFERROR(__xludf.DUMMYFUNCTION("""COMPUTED_VALUE"""),"DAL")</f>
        <v>DAL</v>
      </c>
      <c r="E1686" s="164" t="str">
        <f>IFERROR(__xludf.DUMMYFUNCTION("""COMPUTED_VALUE"""),"Slasher")</f>
        <v>Slasher</v>
      </c>
      <c r="F1686" s="164">
        <f>IFERROR(__xludf.DUMMYFUNCTION("""COMPUTED_VALUE"""),2803.51)</f>
        <v>2803.51</v>
      </c>
      <c r="G1686" s="163">
        <f>IFERROR(__xludf.DUMMYFUNCTION("""COMPUTED_VALUE"""),79.0)</f>
        <v>79</v>
      </c>
      <c r="H1686" s="163" t="str">
        <f>IFERROR(__xludf.DUMMYFUNCTION("""COMPUTED_VALUE"""),"PF")</f>
        <v>PF</v>
      </c>
      <c r="I1686" s="163">
        <f>IFERROR(__xludf.DUMMYFUNCTION("""COMPUTED_VALUE"""),24.0)</f>
        <v>24</v>
      </c>
      <c r="J1686" s="165">
        <f>IFERROR(__xludf.DUMMYFUNCTION("""COMPUTED_VALUE"""),0.0426686722439094)</f>
        <v>0.04266867224</v>
      </c>
      <c r="K1686" s="165">
        <f>IFERROR(__xludf.DUMMYFUNCTION("""COMPUTED_VALUE"""),-0.76469356317325)</f>
        <v>-0.7646935632</v>
      </c>
      <c r="L1686" s="165">
        <f>IFERROR(__xludf.DUMMYFUNCTION("""COMPUTED_VALUE"""),0.807362235417159)</f>
        <v>0.8073622354</v>
      </c>
      <c r="M1686" s="166">
        <f t="shared" si="2"/>
        <v>4.40272568</v>
      </c>
      <c r="N1686" s="167">
        <f t="shared" si="3"/>
        <v>35.48746835</v>
      </c>
      <c r="O1686" s="163">
        <f t="shared" ref="O1686:Q1686" si="1690">rank(I1686,I:I)</f>
        <v>2361</v>
      </c>
      <c r="P1686" s="163">
        <f t="shared" si="1690"/>
        <v>1251</v>
      </c>
      <c r="Q1686" s="163">
        <f t="shared" si="1690"/>
        <v>2507</v>
      </c>
      <c r="R1686" s="163">
        <f>IFERROR(__xludf.DUMMYFUNCTION("RANK(M1686,filter(M:M,C:C=C1686))"),66.0)</f>
        <v>66</v>
      </c>
      <c r="S1686" s="161" t="b">
        <f t="shared" si="5"/>
        <v>0</v>
      </c>
      <c r="T1686" s="161" t="b">
        <f t="array" ref="T1686">index('Query Tool'!B:B,match(H1686,'Query Tool'!C:C,0))</f>
        <v>1</v>
      </c>
      <c r="U1686" s="161" t="b">
        <f t="array" ref="U1686">index('Query Tool'!B:B,match(C1686,'Query Tool'!C:C,0))</f>
        <v>0</v>
      </c>
      <c r="V1686" s="161" t="b">
        <f>F1686&gt;='Query Tool'!C$32</f>
        <v>1</v>
      </c>
      <c r="W1686" s="161" t="b">
        <f t="array" ref="W1686">index(Dropdowns!B:B,match(I1686,Dropdowns!A:A,0))</f>
        <v>1</v>
      </c>
      <c r="X1686" s="161" t="b">
        <f t="array" ref="X1686">index('Query Tool'!B:B,match(D1686,'Query Tool'!C:C,0))</f>
        <v>1</v>
      </c>
      <c r="Y1686" s="161" t="str">
        <f t="shared" si="6"/>
        <v>barneha02,2016-17</v>
      </c>
      <c r="Z1686" s="168">
        <f t="array" ref="Z1686">iferror(index(I:I,match($A1686&amp;","&amp;index('Year Conversion'!$A:$A,match($C1686,'Year Conversion'!$B:$B,0)),$Y:$Y,0))-I1686,"")</f>
        <v>1</v>
      </c>
      <c r="AA1686" s="168">
        <f t="array" ref="AA1686">iferror(index(J:J,match($A1686&amp;","&amp;index('Year Conversion'!$A:$A,match($C1686,'Year Conversion'!$B:$B,0)),$Y:$Y,0))-J1686,"")</f>
        <v>-1.156255199</v>
      </c>
      <c r="AB1686" s="168">
        <f t="array" ref="AB1686">iferror(index(K:K,match($A1686&amp;","&amp;index('Year Conversion'!$A:$A,match($C1686,'Year Conversion'!$B:$B,0)),$Y:$Y,0))-K1686,"")</f>
        <v>0.6745799056</v>
      </c>
      <c r="AC1686" s="168" t="str">
        <f t="shared" si="7"/>
        <v>DAL,2016-17</v>
      </c>
    </row>
    <row r="1687">
      <c r="A1687" s="161" t="str">
        <f>IFERROR(__xludf.DUMMYFUNCTION("""COMPUTED_VALUE"""),"riverau01")</f>
        <v>riverau01</v>
      </c>
      <c r="B1687" s="161" t="str">
        <f>IFERROR(__xludf.DUMMYFUNCTION("""COMPUTED_VALUE"""),"Austin Rivers")</f>
        <v>Austin Rivers</v>
      </c>
      <c r="C1687" s="162" t="str">
        <f>IFERROR(__xludf.DUMMYFUNCTION("""COMPUTED_VALUE"""),"2016-17")</f>
        <v>2016-17</v>
      </c>
      <c r="D1687" s="163" t="str">
        <f>IFERROR(__xludf.DUMMYFUNCTION("""COMPUTED_VALUE"""),"LAC")</f>
        <v>LAC</v>
      </c>
      <c r="E1687" s="164" t="str">
        <f>IFERROR(__xludf.DUMMYFUNCTION("""COMPUTED_VALUE"""),"Shot Creator")</f>
        <v>Shot Creator</v>
      </c>
      <c r="F1687" s="164">
        <f>IFERROR(__xludf.DUMMYFUNCTION("""COMPUTED_VALUE"""),2053.69833333333)</f>
        <v>2053.698333</v>
      </c>
      <c r="G1687" s="163">
        <f>IFERROR(__xludf.DUMMYFUNCTION("""COMPUTED_VALUE"""),74.0)</f>
        <v>74</v>
      </c>
      <c r="H1687" s="163" t="str">
        <f>IFERROR(__xludf.DUMMYFUNCTION("""COMPUTED_VALUE"""),"SG")</f>
        <v>SG</v>
      </c>
      <c r="I1687" s="163">
        <f>IFERROR(__xludf.DUMMYFUNCTION("""COMPUTED_VALUE"""),24.0)</f>
        <v>24</v>
      </c>
      <c r="J1687" s="165">
        <f>IFERROR(__xludf.DUMMYFUNCTION("""COMPUTED_VALUE"""),-1.81323363165757)</f>
        <v>-1.813233632</v>
      </c>
      <c r="K1687" s="165">
        <f>IFERROR(__xludf.DUMMYFUNCTION("""COMPUTED_VALUE"""),-0.109484399909952)</f>
        <v>-0.1094843999</v>
      </c>
      <c r="L1687" s="165">
        <f>IFERROR(__xludf.DUMMYFUNCTION("""COMPUTED_VALUE"""),-1.70374923174762)</f>
        <v>-1.703749232</v>
      </c>
      <c r="M1687" s="166">
        <f t="shared" si="2"/>
        <v>0.6669510552</v>
      </c>
      <c r="N1687" s="167">
        <f t="shared" si="3"/>
        <v>27.75268018</v>
      </c>
      <c r="O1687" s="163">
        <f t="shared" ref="O1687:Q1687" si="1691">rank(I1687,I:I)</f>
        <v>2361</v>
      </c>
      <c r="P1687" s="163">
        <f t="shared" si="1691"/>
        <v>3341</v>
      </c>
      <c r="Q1687" s="163">
        <f t="shared" si="1691"/>
        <v>1388</v>
      </c>
      <c r="R1687" s="163">
        <f>IFERROR(__xludf.DUMMYFUNCTION("RANK(M1687,filter(M:M,C:C=C1687))"),257.0)</f>
        <v>257</v>
      </c>
      <c r="S1687" s="161" t="b">
        <f t="shared" si="5"/>
        <v>0</v>
      </c>
      <c r="T1687" s="161" t="b">
        <f t="array" ref="T1687">index('Query Tool'!B:B,match(H1687,'Query Tool'!C:C,0))</f>
        <v>1</v>
      </c>
      <c r="U1687" s="161" t="b">
        <f t="array" ref="U1687">index('Query Tool'!B:B,match(C1687,'Query Tool'!C:C,0))</f>
        <v>0</v>
      </c>
      <c r="V1687" s="161" t="b">
        <f>F1687&gt;='Query Tool'!C$32</f>
        <v>1</v>
      </c>
      <c r="W1687" s="161" t="b">
        <f t="array" ref="W1687">index(Dropdowns!B:B,match(I1687,Dropdowns!A:A,0))</f>
        <v>1</v>
      </c>
      <c r="X1687" s="161" t="b">
        <f t="array" ref="X1687">index('Query Tool'!B:B,match(D1687,'Query Tool'!C:C,0))</f>
        <v>1</v>
      </c>
      <c r="Y1687" s="161" t="str">
        <f t="shared" si="6"/>
        <v>riverau01,2016-17</v>
      </c>
      <c r="Z1687" s="168">
        <f t="array" ref="Z1687">iferror(index(I:I,match($A1687&amp;","&amp;index('Year Conversion'!$A:$A,match($C1687,'Year Conversion'!$B:$B,0)),$Y:$Y,0))-I1687,"")</f>
        <v>1</v>
      </c>
      <c r="AA1687" s="168">
        <f t="array" ref="AA1687">iferror(index(J:J,match($A1687&amp;","&amp;index('Year Conversion'!$A:$A,match($C1687,'Year Conversion'!$B:$B,0)),$Y:$Y,0))-J1687,"")</f>
        <v>1.258744747</v>
      </c>
      <c r="AB1687" s="168">
        <f t="array" ref="AB1687">iferror(index(K:K,match($A1687&amp;","&amp;index('Year Conversion'!$A:$A,match($C1687,'Year Conversion'!$B:$B,0)),$Y:$Y,0))-K1687,"")</f>
        <v>0.7283827899</v>
      </c>
      <c r="AC1687" s="168" t="str">
        <f t="shared" si="7"/>
        <v>LAC,2016-17</v>
      </c>
    </row>
    <row r="1688">
      <c r="A1688" s="161" t="str">
        <f>IFERROR(__xludf.DUMMYFUNCTION("""COMPUTED_VALUE"""),"leoname01")</f>
        <v>leoname01</v>
      </c>
      <c r="B1688" s="161" t="str">
        <f>IFERROR(__xludf.DUMMYFUNCTION("""COMPUTED_VALUE"""),"Meyers Leonard")</f>
        <v>Meyers Leonard</v>
      </c>
      <c r="C1688" s="162" t="str">
        <f>IFERROR(__xludf.DUMMYFUNCTION("""COMPUTED_VALUE"""),"2016-17")</f>
        <v>2016-17</v>
      </c>
      <c r="D1688" s="163" t="str">
        <f>IFERROR(__xludf.DUMMYFUNCTION("""COMPUTED_VALUE"""),"POR")</f>
        <v>POR</v>
      </c>
      <c r="E1688" s="164" t="str">
        <f>IFERROR(__xludf.DUMMYFUNCTION("""COMPUTED_VALUE"""),"Stretch Big")</f>
        <v>Stretch Big</v>
      </c>
      <c r="F1688" s="164">
        <f>IFERROR(__xludf.DUMMYFUNCTION("""COMPUTED_VALUE"""),1221.90333333333)</f>
        <v>1221.903333</v>
      </c>
      <c r="G1688" s="163">
        <f>IFERROR(__xludf.DUMMYFUNCTION("""COMPUTED_VALUE"""),74.0)</f>
        <v>74</v>
      </c>
      <c r="H1688" s="163" t="str">
        <f>IFERROR(__xludf.DUMMYFUNCTION("""COMPUTED_VALUE"""),"PF")</f>
        <v>PF</v>
      </c>
      <c r="I1688" s="163">
        <f>IFERROR(__xludf.DUMMYFUNCTION("""COMPUTED_VALUE"""),24.0)</f>
        <v>24</v>
      </c>
      <c r="J1688" s="165">
        <f>IFERROR(__xludf.DUMMYFUNCTION("""COMPUTED_VALUE"""),-1.25966238725884)</f>
        <v>-1.259662387</v>
      </c>
      <c r="K1688" s="165">
        <f>IFERROR(__xludf.DUMMYFUNCTION("""COMPUTED_VALUE"""),-1.64956568967251)</f>
        <v>-1.64956569</v>
      </c>
      <c r="L1688" s="165">
        <f>IFERROR(__xludf.DUMMYFUNCTION("""COMPUTED_VALUE"""),0.389903302413673)</f>
        <v>0.3899033024</v>
      </c>
      <c r="M1688" s="166">
        <f t="shared" si="2"/>
        <v>0.8483457034</v>
      </c>
      <c r="N1688" s="167">
        <f t="shared" si="3"/>
        <v>16.51220721</v>
      </c>
      <c r="O1688" s="163">
        <f t="shared" ref="O1688:Q1688" si="1692">rank(I1688,I:I)</f>
        <v>2361</v>
      </c>
      <c r="P1688" s="163">
        <f t="shared" si="1692"/>
        <v>2823</v>
      </c>
      <c r="Q1688" s="163">
        <f t="shared" si="1692"/>
        <v>3484</v>
      </c>
      <c r="R1688" s="163">
        <f>IFERROR(__xludf.DUMMYFUNCTION("RANK(M1688,filter(M:M,C:C=C1688))"),240.0)</f>
        <v>240</v>
      </c>
      <c r="S1688" s="161" t="b">
        <f t="shared" si="5"/>
        <v>0</v>
      </c>
      <c r="T1688" s="161" t="b">
        <f t="array" ref="T1688">index('Query Tool'!B:B,match(H1688,'Query Tool'!C:C,0))</f>
        <v>1</v>
      </c>
      <c r="U1688" s="161" t="b">
        <f t="array" ref="U1688">index('Query Tool'!B:B,match(C1688,'Query Tool'!C:C,0))</f>
        <v>0</v>
      </c>
      <c r="V1688" s="161" t="b">
        <f>F1688&gt;='Query Tool'!C$32</f>
        <v>1</v>
      </c>
      <c r="W1688" s="161" t="b">
        <f t="array" ref="W1688">index(Dropdowns!B:B,match(I1688,Dropdowns!A:A,0))</f>
        <v>1</v>
      </c>
      <c r="X1688" s="161" t="b">
        <f t="array" ref="X1688">index('Query Tool'!B:B,match(D1688,'Query Tool'!C:C,0))</f>
        <v>1</v>
      </c>
      <c r="Y1688" s="161" t="str">
        <f t="shared" si="6"/>
        <v>leoname01,2016-17</v>
      </c>
      <c r="Z1688" s="168">
        <f t="array" ref="Z1688">iferror(index(I:I,match($A1688&amp;","&amp;index('Year Conversion'!$A:$A,match($C1688,'Year Conversion'!$B:$B,0)),$Y:$Y,0))-I1688,"")</f>
        <v>1</v>
      </c>
      <c r="AA1688" s="168">
        <f t="array" ref="AA1688">iferror(index(J:J,match($A1688&amp;","&amp;index('Year Conversion'!$A:$A,match($C1688,'Year Conversion'!$B:$B,0)),$Y:$Y,0))-J1688,"")</f>
        <v>0.394715417</v>
      </c>
      <c r="AB1688" s="168">
        <f t="array" ref="AB1688">iferror(index(K:K,match($A1688&amp;","&amp;index('Year Conversion'!$A:$A,match($C1688,'Year Conversion'!$B:$B,0)),$Y:$Y,0))-K1688,"")</f>
        <v>0.9431579416</v>
      </c>
      <c r="AC1688" s="168" t="str">
        <f t="shared" si="7"/>
        <v>POR,2016-17</v>
      </c>
    </row>
    <row r="1689">
      <c r="A1689" s="161" t="str">
        <f>IFERROR(__xludf.DUMMYFUNCTION("""COMPUTED_VALUE"""),"lambje01")</f>
        <v>lambje01</v>
      </c>
      <c r="B1689" s="161" t="str">
        <f>IFERROR(__xludf.DUMMYFUNCTION("""COMPUTED_VALUE"""),"Jeremy Lamb")</f>
        <v>Jeremy Lamb</v>
      </c>
      <c r="C1689" s="162" t="str">
        <f>IFERROR(__xludf.DUMMYFUNCTION("""COMPUTED_VALUE"""),"2016-17")</f>
        <v>2016-17</v>
      </c>
      <c r="D1689" s="163" t="str">
        <f>IFERROR(__xludf.DUMMYFUNCTION("""COMPUTED_VALUE"""),"CHO")</f>
        <v>CHO</v>
      </c>
      <c r="E1689" s="164" t="str">
        <f>IFERROR(__xludf.DUMMYFUNCTION("""COMPUTED_VALUE"""),"Secondary Ball Handler")</f>
        <v>Secondary Ball Handler</v>
      </c>
      <c r="F1689" s="164">
        <f>IFERROR(__xludf.DUMMYFUNCTION("""COMPUTED_VALUE"""),1142.545)</f>
        <v>1142.545</v>
      </c>
      <c r="G1689" s="163">
        <f>IFERROR(__xludf.DUMMYFUNCTION("""COMPUTED_VALUE"""),62.0)</f>
        <v>62</v>
      </c>
      <c r="H1689" s="163" t="str">
        <f>IFERROR(__xludf.DUMMYFUNCTION("""COMPUTED_VALUE"""),"SG")</f>
        <v>SG</v>
      </c>
      <c r="I1689" s="163">
        <f>IFERROR(__xludf.DUMMYFUNCTION("""COMPUTED_VALUE"""),24.0)</f>
        <v>24</v>
      </c>
      <c r="J1689" s="165">
        <f>IFERROR(__xludf.DUMMYFUNCTION("""COMPUTED_VALUE"""),-0.0540185392877207)</f>
        <v>-0.05401853929</v>
      </c>
      <c r="K1689" s="165">
        <f>IFERROR(__xludf.DUMMYFUNCTION("""COMPUTED_VALUE"""),0.417310338741479)</f>
        <v>0.4173103387</v>
      </c>
      <c r="L1689" s="165">
        <f>IFERROR(__xludf.DUMMYFUNCTION("""COMPUTED_VALUE"""),-0.4713288780292)</f>
        <v>-0.471328878</v>
      </c>
      <c r="M1689" s="166">
        <f t="shared" si="2"/>
        <v>1.719813651</v>
      </c>
      <c r="N1689" s="167">
        <f t="shared" si="3"/>
        <v>18.42814516</v>
      </c>
      <c r="O1689" s="163">
        <f t="shared" ref="O1689:Q1689" si="1693">rank(I1689,I:I)</f>
        <v>2361</v>
      </c>
      <c r="P1689" s="163">
        <f t="shared" si="1693"/>
        <v>1334</v>
      </c>
      <c r="Q1689" s="163">
        <f t="shared" si="1693"/>
        <v>819</v>
      </c>
      <c r="R1689" s="163">
        <f>IFERROR(__xludf.DUMMYFUNCTION("RANK(M1689,filter(M:M,C:C=C1689))"),180.0)</f>
        <v>180</v>
      </c>
      <c r="S1689" s="161" t="b">
        <f t="shared" si="5"/>
        <v>0</v>
      </c>
      <c r="T1689" s="161" t="b">
        <f t="array" ref="T1689">index('Query Tool'!B:B,match(H1689,'Query Tool'!C:C,0))</f>
        <v>1</v>
      </c>
      <c r="U1689" s="161" t="b">
        <f t="array" ref="U1689">index('Query Tool'!B:B,match(C1689,'Query Tool'!C:C,0))</f>
        <v>0</v>
      </c>
      <c r="V1689" s="161" t="b">
        <f>F1689&gt;='Query Tool'!C$32</f>
        <v>1</v>
      </c>
      <c r="W1689" s="161" t="b">
        <f t="array" ref="W1689">index(Dropdowns!B:B,match(I1689,Dropdowns!A:A,0))</f>
        <v>1</v>
      </c>
      <c r="X1689" s="161" t="b">
        <f t="array" ref="X1689">index('Query Tool'!B:B,match(D1689,'Query Tool'!C:C,0))</f>
        <v>1</v>
      </c>
      <c r="Y1689" s="161" t="str">
        <f t="shared" si="6"/>
        <v>lambje01,2016-17</v>
      </c>
      <c r="Z1689" s="168">
        <f t="array" ref="Z1689">iferror(index(I:I,match($A1689&amp;","&amp;index('Year Conversion'!$A:$A,match($C1689,'Year Conversion'!$B:$B,0)),$Y:$Y,0))-I1689,"")</f>
        <v>1</v>
      </c>
      <c r="AA1689" s="168">
        <f t="array" ref="AA1689">iferror(index(J:J,match($A1689&amp;","&amp;index('Year Conversion'!$A:$A,match($C1689,'Year Conversion'!$B:$B,0)),$Y:$Y,0))-J1689,"")</f>
        <v>-0.1002155431</v>
      </c>
      <c r="AB1689" s="168">
        <f t="array" ref="AB1689">iferror(index(K:K,match($A1689&amp;","&amp;index('Year Conversion'!$A:$A,match($C1689,'Year Conversion'!$B:$B,0)),$Y:$Y,0))-K1689,"")</f>
        <v>-0.1464636492</v>
      </c>
      <c r="AC1689" s="168" t="str">
        <f t="shared" si="7"/>
        <v>CHO,2016-17</v>
      </c>
    </row>
    <row r="1690">
      <c r="A1690" s="161" t="str">
        <f>IFERROR(__xludf.DUMMYFUNCTION("""COMPUTED_VALUE"""),"hensojo01")</f>
        <v>hensojo01</v>
      </c>
      <c r="B1690" s="161" t="str">
        <f>IFERROR(__xludf.DUMMYFUNCTION("""COMPUTED_VALUE"""),"John Henson")</f>
        <v>John Henson</v>
      </c>
      <c r="C1690" s="162" t="str">
        <f>IFERROR(__xludf.DUMMYFUNCTION("""COMPUTED_VALUE"""),"2016-17")</f>
        <v>2016-17</v>
      </c>
      <c r="D1690" s="163" t="str">
        <f>IFERROR(__xludf.DUMMYFUNCTION("""COMPUTED_VALUE"""),"MIL")</f>
        <v>MIL</v>
      </c>
      <c r="E1690" s="164" t="str">
        <f>IFERROR(__xludf.DUMMYFUNCTION("""COMPUTED_VALUE"""),"Roll + Cut Big")</f>
        <v>Roll + Cut Big</v>
      </c>
      <c r="F1690" s="164">
        <f>IFERROR(__xludf.DUMMYFUNCTION("""COMPUTED_VALUE"""),1122.52666666667)</f>
        <v>1122.526667</v>
      </c>
      <c r="G1690" s="163">
        <f>IFERROR(__xludf.DUMMYFUNCTION("""COMPUTED_VALUE"""),58.0)</f>
        <v>58</v>
      </c>
      <c r="H1690" s="163" t="str">
        <f>IFERROR(__xludf.DUMMYFUNCTION("""COMPUTED_VALUE"""),"C")</f>
        <v>C</v>
      </c>
      <c r="I1690" s="163">
        <f>IFERROR(__xludf.DUMMYFUNCTION("""COMPUTED_VALUE"""),26.0)</f>
        <v>26</v>
      </c>
      <c r="J1690" s="165">
        <f>IFERROR(__xludf.DUMMYFUNCTION("""COMPUTED_VALUE"""),0.304332415782088)</f>
        <v>0.3043324158</v>
      </c>
      <c r="K1690" s="165">
        <f>IFERROR(__xludf.DUMMYFUNCTION("""COMPUTED_VALUE"""),-1.29991666632173)</f>
        <v>-1.299916666</v>
      </c>
      <c r="L1690" s="165">
        <f>IFERROR(__xludf.DUMMYFUNCTION("""COMPUTED_VALUE"""),1.60424908210382)</f>
        <v>1.604249082</v>
      </c>
      <c r="M1690" s="166">
        <f t="shared" si="2"/>
        <v>1.960849884</v>
      </c>
      <c r="N1690" s="167">
        <f t="shared" si="3"/>
        <v>19.35390805</v>
      </c>
      <c r="O1690" s="163">
        <f t="shared" ref="O1690:Q1690" si="1694">rank(I1690,I:I)</f>
        <v>1665</v>
      </c>
      <c r="P1690" s="163">
        <f t="shared" si="1694"/>
        <v>1016</v>
      </c>
      <c r="Q1690" s="163">
        <f t="shared" si="1694"/>
        <v>3145</v>
      </c>
      <c r="R1690" s="163">
        <f>IFERROR(__xludf.DUMMYFUNCTION("RANK(M1690,filter(M:M,C:C=C1690))"),164.0)</f>
        <v>164</v>
      </c>
      <c r="S1690" s="161" t="b">
        <f t="shared" si="5"/>
        <v>0</v>
      </c>
      <c r="T1690" s="161" t="b">
        <f t="array" ref="T1690">index('Query Tool'!B:B,match(H1690,'Query Tool'!C:C,0))</f>
        <v>1</v>
      </c>
      <c r="U1690" s="161" t="b">
        <f t="array" ref="U1690">index('Query Tool'!B:B,match(C1690,'Query Tool'!C:C,0))</f>
        <v>0</v>
      </c>
      <c r="V1690" s="161" t="b">
        <f>F1690&gt;='Query Tool'!C$32</f>
        <v>1</v>
      </c>
      <c r="W1690" s="161" t="b">
        <f t="array" ref="W1690">index(Dropdowns!B:B,match(I1690,Dropdowns!A:A,0))</f>
        <v>1</v>
      </c>
      <c r="X1690" s="161" t="b">
        <f t="array" ref="X1690">index('Query Tool'!B:B,match(D1690,'Query Tool'!C:C,0))</f>
        <v>1</v>
      </c>
      <c r="Y1690" s="161" t="str">
        <f t="shared" si="6"/>
        <v>hensojo01,2016-17</v>
      </c>
      <c r="Z1690" s="168">
        <f t="array" ref="Z1690">iferror(index(I:I,match($A1690&amp;","&amp;index('Year Conversion'!$A:$A,match($C1690,'Year Conversion'!$B:$B,0)),$Y:$Y,0))-I1690,"")</f>
        <v>1</v>
      </c>
      <c r="AA1690" s="168">
        <f t="array" ref="AA1690">iferror(index(J:J,match($A1690&amp;","&amp;index('Year Conversion'!$A:$A,match($C1690,'Year Conversion'!$B:$B,0)),$Y:$Y,0))-J1690,"")</f>
        <v>-0.1786901915</v>
      </c>
      <c r="AB1690" s="168">
        <f t="array" ref="AB1690">iferror(index(K:K,match($A1690&amp;","&amp;index('Year Conversion'!$A:$A,match($C1690,'Year Conversion'!$B:$B,0)),$Y:$Y,0))-K1690,"")</f>
        <v>0.1806413816</v>
      </c>
      <c r="AC1690" s="168" t="str">
        <f t="shared" si="7"/>
        <v>MIL,2016-17</v>
      </c>
    </row>
    <row r="1691">
      <c r="A1691" s="161" t="str">
        <f>IFERROR(__xludf.DUMMYFUNCTION("""COMPUTED_VALUE"""),"harklma01")</f>
        <v>harklma01</v>
      </c>
      <c r="B1691" s="161" t="str">
        <f>IFERROR(__xludf.DUMMYFUNCTION("""COMPUTED_VALUE"""),"Maurice Harkless")</f>
        <v>Maurice Harkless</v>
      </c>
      <c r="C1691" s="162" t="str">
        <f>IFERROR(__xludf.DUMMYFUNCTION("""COMPUTED_VALUE"""),"2016-17")</f>
        <v>2016-17</v>
      </c>
      <c r="D1691" s="163" t="str">
        <f>IFERROR(__xludf.DUMMYFUNCTION("""COMPUTED_VALUE"""),"POR")</f>
        <v>POR</v>
      </c>
      <c r="E1691" s="164" t="str">
        <f>IFERROR(__xludf.DUMMYFUNCTION("""COMPUTED_VALUE"""),"Stretch Big")</f>
        <v>Stretch Big</v>
      </c>
      <c r="F1691" s="164">
        <f>IFERROR(__xludf.DUMMYFUNCTION("""COMPUTED_VALUE"""),2223.06333333333)</f>
        <v>2223.063333</v>
      </c>
      <c r="G1691" s="163">
        <f>IFERROR(__xludf.DUMMYFUNCTION("""COMPUTED_VALUE"""),77.0)</f>
        <v>77</v>
      </c>
      <c r="H1691" s="163" t="str">
        <f>IFERROR(__xludf.DUMMYFUNCTION("""COMPUTED_VALUE"""),"SF")</f>
        <v>SF</v>
      </c>
      <c r="I1691" s="163">
        <f>IFERROR(__xludf.DUMMYFUNCTION("""COMPUTED_VALUE"""),23.0)</f>
        <v>23</v>
      </c>
      <c r="J1691" s="165">
        <f>IFERROR(__xludf.DUMMYFUNCTION("""COMPUTED_VALUE"""),0.235520320743212)</f>
        <v>0.2355203207</v>
      </c>
      <c r="K1691" s="165">
        <f>IFERROR(__xludf.DUMMYFUNCTION("""COMPUTED_VALUE"""),-0.122709266708749)</f>
        <v>-0.1227092667</v>
      </c>
      <c r="L1691" s="165">
        <f>IFERROR(__xludf.DUMMYFUNCTION("""COMPUTED_VALUE"""),0.358229587451962)</f>
        <v>0.3582295875</v>
      </c>
      <c r="M1691" s="166">
        <f t="shared" si="2"/>
        <v>3.780185445</v>
      </c>
      <c r="N1691" s="167">
        <f t="shared" si="3"/>
        <v>28.87095238</v>
      </c>
      <c r="O1691" s="163">
        <f t="shared" ref="O1691:Q1691" si="1695">rank(I1691,I:I)</f>
        <v>2765</v>
      </c>
      <c r="P1691" s="163">
        <f t="shared" si="1695"/>
        <v>1065</v>
      </c>
      <c r="Q1691" s="163">
        <f t="shared" si="1695"/>
        <v>1415</v>
      </c>
      <c r="R1691" s="163">
        <f>IFERROR(__xludf.DUMMYFUNCTION("RANK(M1691,filter(M:M,C:C=C1691))"),89.0)</f>
        <v>89</v>
      </c>
      <c r="S1691" s="161" t="b">
        <f t="shared" si="5"/>
        <v>0</v>
      </c>
      <c r="T1691" s="161" t="b">
        <f t="array" ref="T1691">index('Query Tool'!B:B,match(H1691,'Query Tool'!C:C,0))</f>
        <v>1</v>
      </c>
      <c r="U1691" s="161" t="b">
        <f t="array" ref="U1691">index('Query Tool'!B:B,match(C1691,'Query Tool'!C:C,0))</f>
        <v>0</v>
      </c>
      <c r="V1691" s="161" t="b">
        <f>F1691&gt;='Query Tool'!C$32</f>
        <v>1</v>
      </c>
      <c r="W1691" s="161" t="b">
        <f t="array" ref="W1691">index(Dropdowns!B:B,match(I1691,Dropdowns!A:A,0))</f>
        <v>1</v>
      </c>
      <c r="X1691" s="161" t="b">
        <f t="array" ref="X1691">index('Query Tool'!B:B,match(D1691,'Query Tool'!C:C,0))</f>
        <v>1</v>
      </c>
      <c r="Y1691" s="161" t="str">
        <f t="shared" si="6"/>
        <v>harklma01,2016-17</v>
      </c>
      <c r="Z1691" s="168">
        <f t="array" ref="Z1691">iferror(index(I:I,match($A1691&amp;","&amp;index('Year Conversion'!$A:$A,match($C1691,'Year Conversion'!$B:$B,0)),$Y:$Y,0))-I1691,"")</f>
        <v>1</v>
      </c>
      <c r="AA1691" s="168">
        <f t="array" ref="AA1691">iferror(index(J:J,match($A1691&amp;","&amp;index('Year Conversion'!$A:$A,match($C1691,'Year Conversion'!$B:$B,0)),$Y:$Y,0))-J1691,"")</f>
        <v>-1.45445148</v>
      </c>
      <c r="AB1691" s="168">
        <f t="array" ref="AB1691">iferror(index(K:K,match($A1691&amp;","&amp;index('Year Conversion'!$A:$A,match($C1691,'Year Conversion'!$B:$B,0)),$Y:$Y,0))-K1691,"")</f>
        <v>-2.041374929</v>
      </c>
      <c r="AC1691" s="168" t="str">
        <f t="shared" si="7"/>
        <v>POR,2016-17</v>
      </c>
    </row>
    <row r="1692">
      <c r="A1692" s="161" t="str">
        <f>IFERROR(__xludf.DUMMYFUNCTION("""COMPUTED_VALUE"""),"zellety01")</f>
        <v>zellety01</v>
      </c>
      <c r="B1692" s="161" t="str">
        <f>IFERROR(__xludf.DUMMYFUNCTION("""COMPUTED_VALUE"""),"Tyler Zeller")</f>
        <v>Tyler Zeller</v>
      </c>
      <c r="C1692" s="162" t="str">
        <f>IFERROR(__xludf.DUMMYFUNCTION("""COMPUTED_VALUE"""),"2016-17")</f>
        <v>2016-17</v>
      </c>
      <c r="D1692" s="163" t="str">
        <f>IFERROR(__xludf.DUMMYFUNCTION("""COMPUTED_VALUE"""),"BOS")</f>
        <v>BOS</v>
      </c>
      <c r="E1692" s="164" t="str">
        <f>IFERROR(__xludf.DUMMYFUNCTION("""COMPUTED_VALUE"""),"Roll + Cut Big")</f>
        <v>Roll + Cut Big</v>
      </c>
      <c r="F1692" s="164">
        <f>IFERROR(__xludf.DUMMYFUNCTION("""COMPUTED_VALUE"""),524.655)</f>
        <v>524.655</v>
      </c>
      <c r="G1692" s="163">
        <f>IFERROR(__xludf.DUMMYFUNCTION("""COMPUTED_VALUE"""),51.0)</f>
        <v>51</v>
      </c>
      <c r="H1692" s="163" t="str">
        <f>IFERROR(__xludf.DUMMYFUNCTION("""COMPUTED_VALUE"""),"C")</f>
        <v>C</v>
      </c>
      <c r="I1692" s="163">
        <f>IFERROR(__xludf.DUMMYFUNCTION("""COMPUTED_VALUE"""),27.0)</f>
        <v>27</v>
      </c>
      <c r="J1692" s="165">
        <f>IFERROR(__xludf.DUMMYFUNCTION("""COMPUTED_VALUE"""),-1.55453676134151)</f>
        <v>-1.554536761</v>
      </c>
      <c r="K1692" s="165">
        <f>IFERROR(__xludf.DUMMYFUNCTION("""COMPUTED_VALUE"""),-1.76355896044358)</f>
        <v>-1.76355896</v>
      </c>
      <c r="L1692" s="165">
        <f>IFERROR(__xludf.DUMMYFUNCTION("""COMPUTED_VALUE"""),0.209022199102067)</f>
        <v>0.2090221991</v>
      </c>
      <c r="M1692" s="166">
        <f t="shared" si="2"/>
        <v>0.2608155056</v>
      </c>
      <c r="N1692" s="167">
        <f t="shared" si="3"/>
        <v>10.28735294</v>
      </c>
      <c r="O1692" s="163">
        <f t="shared" ref="O1692:Q1692" si="1696">rank(I1692,I:I)</f>
        <v>1366</v>
      </c>
      <c r="P1692" s="163">
        <f t="shared" si="1696"/>
        <v>3101</v>
      </c>
      <c r="Q1692" s="163">
        <f t="shared" si="1696"/>
        <v>3555</v>
      </c>
      <c r="R1692" s="163">
        <f>IFERROR(__xludf.DUMMYFUNCTION("RANK(M1692,filter(M:M,C:C=C1692))"),324.0)</f>
        <v>324</v>
      </c>
      <c r="S1692" s="161" t="b">
        <f t="shared" si="5"/>
        <v>0</v>
      </c>
      <c r="T1692" s="161" t="b">
        <f t="array" ref="T1692">index('Query Tool'!B:B,match(H1692,'Query Tool'!C:C,0))</f>
        <v>1</v>
      </c>
      <c r="U1692" s="161" t="b">
        <f t="array" ref="U1692">index('Query Tool'!B:B,match(C1692,'Query Tool'!C:C,0))</f>
        <v>0</v>
      </c>
      <c r="V1692" s="161" t="b">
        <f>F1692&gt;='Query Tool'!C$32</f>
        <v>1</v>
      </c>
      <c r="W1692" s="161" t="b">
        <f t="array" ref="W1692">index(Dropdowns!B:B,match(I1692,Dropdowns!A:A,0))</f>
        <v>1</v>
      </c>
      <c r="X1692" s="161" t="b">
        <f t="array" ref="X1692">index('Query Tool'!B:B,match(D1692,'Query Tool'!C:C,0))</f>
        <v>1</v>
      </c>
      <c r="Y1692" s="161" t="str">
        <f t="shared" si="6"/>
        <v>zellety01,2016-17</v>
      </c>
      <c r="Z1692" s="168">
        <f t="array" ref="Z1692">iferror(index(I:I,match($A1692&amp;","&amp;index('Year Conversion'!$A:$A,match($C1692,'Year Conversion'!$B:$B,0)),$Y:$Y,0))-I1692,"")</f>
        <v>1</v>
      </c>
      <c r="AA1692" s="168">
        <f t="array" ref="AA1692">iferror(index(J:J,match($A1692&amp;","&amp;index('Year Conversion'!$A:$A,match($C1692,'Year Conversion'!$B:$B,0)),$Y:$Y,0))-J1692,"")</f>
        <v>1.089310122</v>
      </c>
      <c r="AB1692" s="168">
        <f t="array" ref="AB1692">iferror(index(K:K,match($A1692&amp;","&amp;index('Year Conversion'!$A:$A,match($C1692,'Year Conversion'!$B:$B,0)),$Y:$Y,0))-K1692,"")</f>
        <v>1.050927289</v>
      </c>
      <c r="AC1692" s="168" t="str">
        <f t="shared" si="7"/>
        <v>BOS,2016-17</v>
      </c>
    </row>
    <row r="1693">
      <c r="A1693" s="161" t="str">
        <f>IFERROR(__xludf.DUMMYFUNCTION("""COMPUTED_VALUE"""),"joneste01")</f>
        <v>joneste01</v>
      </c>
      <c r="B1693" s="161" t="str">
        <f>IFERROR(__xludf.DUMMYFUNCTION("""COMPUTED_VALUE"""),"Terrence Jones")</f>
        <v>Terrence Jones</v>
      </c>
      <c r="C1693" s="162" t="str">
        <f>IFERROR(__xludf.DUMMYFUNCTION("""COMPUTED_VALUE"""),"2016-17")</f>
        <v>2016-17</v>
      </c>
      <c r="D1693" s="163" t="str">
        <f>IFERROR(__xludf.DUMMYFUNCTION("""COMPUTED_VALUE"""),"TOT")</f>
        <v>TOT</v>
      </c>
      <c r="E1693" s="164" t="str">
        <f>IFERROR(__xludf.DUMMYFUNCTION("""COMPUTED_VALUE"""),"Roll + Cut Big")</f>
        <v>Roll + Cut Big</v>
      </c>
      <c r="F1693" s="164">
        <f>IFERROR(__xludf.DUMMYFUNCTION("""COMPUTED_VALUE"""),1270.85666666667)</f>
        <v>1270.856667</v>
      </c>
      <c r="G1693" s="163">
        <f>IFERROR(__xludf.DUMMYFUNCTION("""COMPUTED_VALUE"""),54.0)</f>
        <v>54</v>
      </c>
      <c r="H1693" s="163" t="str">
        <f>IFERROR(__xludf.DUMMYFUNCTION("""COMPUTED_VALUE"""),"PF")</f>
        <v>PF</v>
      </c>
      <c r="I1693" s="163">
        <f>IFERROR(__xludf.DUMMYFUNCTION("""COMPUTED_VALUE"""),25.0)</f>
        <v>25</v>
      </c>
      <c r="J1693" s="165">
        <f>IFERROR(__xludf.DUMMYFUNCTION("""COMPUTED_VALUE"""),-0.265253340621708)</f>
        <v>-0.2652533406</v>
      </c>
      <c r="K1693" s="165">
        <f>IFERROR(__xludf.DUMMYFUNCTION("""COMPUTED_VALUE"""),-0.944700336871131)</f>
        <v>-0.9447003369</v>
      </c>
      <c r="L1693" s="165">
        <f>IFERROR(__xludf.DUMMYFUNCTION("""COMPUTED_VALUE"""),0.679446996249423)</f>
        <v>0.6794469962</v>
      </c>
      <c r="M1693" s="166">
        <f t="shared" si="2"/>
        <v>1.731990876</v>
      </c>
      <c r="N1693" s="167">
        <f t="shared" si="3"/>
        <v>23.53438272</v>
      </c>
      <c r="O1693" s="163">
        <f t="shared" ref="O1693:Q1693" si="1697">rank(I1693,I:I)</f>
        <v>1995</v>
      </c>
      <c r="P1693" s="163">
        <f t="shared" si="1697"/>
        <v>1576</v>
      </c>
      <c r="Q1693" s="163">
        <f t="shared" si="1697"/>
        <v>2740</v>
      </c>
      <c r="R1693" s="163">
        <f>IFERROR(__xludf.DUMMYFUNCTION("RANK(M1693,filter(M:M,C:C=C1693))"),178.0)</f>
        <v>178</v>
      </c>
      <c r="S1693" s="161" t="b">
        <f t="shared" si="5"/>
        <v>0</v>
      </c>
      <c r="T1693" s="161" t="b">
        <f t="array" ref="T1693">index('Query Tool'!B:B,match(H1693,'Query Tool'!C:C,0))</f>
        <v>1</v>
      </c>
      <c r="U1693" s="161" t="b">
        <f t="array" ref="U1693">index('Query Tool'!B:B,match(C1693,'Query Tool'!C:C,0))</f>
        <v>0</v>
      </c>
      <c r="V1693" s="161" t="b">
        <f>F1693&gt;='Query Tool'!C$32</f>
        <v>1</v>
      </c>
      <c r="W1693" s="161" t="b">
        <f t="array" ref="W1693">index(Dropdowns!B:B,match(I1693,Dropdowns!A:A,0))</f>
        <v>1</v>
      </c>
      <c r="X1693" s="161" t="b">
        <f t="array" ref="X1693">index('Query Tool'!B:B,match(D1693,'Query Tool'!C:C,0))</f>
        <v>1</v>
      </c>
      <c r="Y1693" s="161" t="str">
        <f t="shared" si="6"/>
        <v>joneste01,2016-17</v>
      </c>
      <c r="Z1693" s="168" t="str">
        <f t="array" ref="Z1693">iferror(index(I:I,match($A1693&amp;","&amp;index('Year Conversion'!$A:$A,match($C1693,'Year Conversion'!$B:$B,0)),$Y:$Y,0))-I1693,"")</f>
        <v/>
      </c>
      <c r="AA1693" s="168" t="str">
        <f t="array" ref="AA1693">iferror(index(J:J,match($A1693&amp;","&amp;index('Year Conversion'!$A:$A,match($C1693,'Year Conversion'!$B:$B,0)),$Y:$Y,0))-J1693,"")</f>
        <v/>
      </c>
      <c r="AB1693" s="168" t="str">
        <f t="array" ref="AB1693">iferror(index(K:K,match($A1693&amp;","&amp;index('Year Conversion'!$A:$A,match($C1693,'Year Conversion'!$B:$B,0)),$Y:$Y,0))-K1693,"")</f>
        <v/>
      </c>
      <c r="AC1693" s="168" t="str">
        <f t="shared" si="7"/>
        <v>TOT,2016-17</v>
      </c>
    </row>
    <row r="1694">
      <c r="A1694" s="161" t="str">
        <f>IFERROR(__xludf.DUMMYFUNCTION("""COMPUTED_VALUE"""),"nichoan01")</f>
        <v>nichoan01</v>
      </c>
      <c r="B1694" s="161" t="str">
        <f>IFERROR(__xludf.DUMMYFUNCTION("""COMPUTED_VALUE"""),"Andrew Nicholson")</f>
        <v>Andrew Nicholson</v>
      </c>
      <c r="C1694" s="162" t="str">
        <f>IFERROR(__xludf.DUMMYFUNCTION("""COMPUTED_VALUE"""),"2016-17")</f>
        <v>2016-17</v>
      </c>
      <c r="D1694" s="163" t="str">
        <f>IFERROR(__xludf.DUMMYFUNCTION("""COMPUTED_VALUE"""),"TOT")</f>
        <v>TOT</v>
      </c>
      <c r="E1694" s="164" t="str">
        <f>IFERROR(__xludf.DUMMYFUNCTION("""COMPUTED_VALUE"""),"Post Scorer")</f>
        <v>Post Scorer</v>
      </c>
      <c r="F1694" s="164">
        <f>IFERROR(__xludf.DUMMYFUNCTION("""COMPUTED_VALUE"""),341.991666666667)</f>
        <v>341.9916667</v>
      </c>
      <c r="G1694" s="163">
        <f>IFERROR(__xludf.DUMMYFUNCTION("""COMPUTED_VALUE"""),38.0)</f>
        <v>38</v>
      </c>
      <c r="H1694" s="163" t="str">
        <f>IFERROR(__xludf.DUMMYFUNCTION("""COMPUTED_VALUE"""),"PF")</f>
        <v>PF</v>
      </c>
      <c r="I1694" s="163">
        <f>IFERROR(__xludf.DUMMYFUNCTION("""COMPUTED_VALUE"""),27.0)</f>
        <v>27</v>
      </c>
      <c r="J1694" s="165">
        <f>IFERROR(__xludf.DUMMYFUNCTION("""COMPUTED_VALUE"""),-2.20935583437789)</f>
        <v>-2.209355834</v>
      </c>
      <c r="K1694" s="165">
        <f>IFERROR(__xludf.DUMMYFUNCTION("""COMPUTED_VALUE"""),-1.50558927522976)</f>
        <v>-1.505589275</v>
      </c>
      <c r="L1694" s="165">
        <f>IFERROR(__xludf.DUMMYFUNCTION("""COMPUTED_VALUE"""),-0.703766559148134)</f>
        <v>-0.7037665591</v>
      </c>
      <c r="M1694" s="166">
        <f t="shared" si="2"/>
        <v>0.02125837942</v>
      </c>
      <c r="N1694" s="167">
        <f t="shared" si="3"/>
        <v>8.999780702</v>
      </c>
      <c r="O1694" s="163">
        <f t="shared" ref="O1694:Q1694" si="1698">rank(I1694,I:I)</f>
        <v>1366</v>
      </c>
      <c r="P1694" s="163">
        <f t="shared" si="1698"/>
        <v>3611</v>
      </c>
      <c r="Q1694" s="163">
        <f t="shared" si="1698"/>
        <v>3362</v>
      </c>
      <c r="R1694" s="163">
        <f>IFERROR(__xludf.DUMMYFUNCTION("RANK(M1694,filter(M:M,C:C=C1694))"),431.0)</f>
        <v>431</v>
      </c>
      <c r="S1694" s="161" t="b">
        <f t="shared" si="5"/>
        <v>0</v>
      </c>
      <c r="T1694" s="161" t="b">
        <f t="array" ref="T1694">index('Query Tool'!B:B,match(H1694,'Query Tool'!C:C,0))</f>
        <v>1</v>
      </c>
      <c r="U1694" s="161" t="b">
        <f t="array" ref="U1694">index('Query Tool'!B:B,match(C1694,'Query Tool'!C:C,0))</f>
        <v>0</v>
      </c>
      <c r="V1694" s="161" t="b">
        <f>F1694&gt;='Query Tool'!C$32</f>
        <v>0</v>
      </c>
      <c r="W1694" s="161" t="b">
        <f t="array" ref="W1694">index(Dropdowns!B:B,match(I1694,Dropdowns!A:A,0))</f>
        <v>1</v>
      </c>
      <c r="X1694" s="161" t="b">
        <f t="array" ref="X1694">index('Query Tool'!B:B,match(D1694,'Query Tool'!C:C,0))</f>
        <v>1</v>
      </c>
      <c r="Y1694" s="161" t="str">
        <f t="shared" si="6"/>
        <v>nichoan01,2016-17</v>
      </c>
      <c r="Z1694" s="168" t="str">
        <f t="array" ref="Z1694">iferror(index(I:I,match($A1694&amp;","&amp;index('Year Conversion'!$A:$A,match($C1694,'Year Conversion'!$B:$B,0)),$Y:$Y,0))-I1694,"")</f>
        <v/>
      </c>
      <c r="AA1694" s="168" t="str">
        <f t="array" ref="AA1694">iferror(index(J:J,match($A1694&amp;","&amp;index('Year Conversion'!$A:$A,match($C1694,'Year Conversion'!$B:$B,0)),$Y:$Y,0))-J1694,"")</f>
        <v/>
      </c>
      <c r="AB1694" s="168" t="str">
        <f t="array" ref="AB1694">iferror(index(K:K,match($A1694&amp;","&amp;index('Year Conversion'!$A:$A,match($C1694,'Year Conversion'!$B:$B,0)),$Y:$Y,0))-K1694,"")</f>
        <v/>
      </c>
      <c r="AC1694" s="168" t="str">
        <f t="shared" si="7"/>
        <v>TOT,2016-17</v>
      </c>
    </row>
    <row r="1695">
      <c r="A1695" s="161" t="str">
        <f>IFERROR(__xludf.DUMMYFUNCTION("""COMPUTED_VALUE"""),"fournev01")</f>
        <v>fournev01</v>
      </c>
      <c r="B1695" s="161" t="str">
        <f>IFERROR(__xludf.DUMMYFUNCTION("""COMPUTED_VALUE"""),"Evan Fournier")</f>
        <v>Evan Fournier</v>
      </c>
      <c r="C1695" s="162" t="str">
        <f>IFERROR(__xludf.DUMMYFUNCTION("""COMPUTED_VALUE"""),"2016-17")</f>
        <v>2016-17</v>
      </c>
      <c r="D1695" s="163" t="str">
        <f>IFERROR(__xludf.DUMMYFUNCTION("""COMPUTED_VALUE"""),"ORL")</f>
        <v>ORL</v>
      </c>
      <c r="E1695" s="164" t="str">
        <f>IFERROR(__xludf.DUMMYFUNCTION("""COMPUTED_VALUE"""),"Off Screen Shooter")</f>
        <v>Off Screen Shooter</v>
      </c>
      <c r="F1695" s="164">
        <f>IFERROR(__xludf.DUMMYFUNCTION("""COMPUTED_VALUE"""),2233.66166666667)</f>
        <v>2233.661667</v>
      </c>
      <c r="G1695" s="163">
        <f>IFERROR(__xludf.DUMMYFUNCTION("""COMPUTED_VALUE"""),68.0)</f>
        <v>68</v>
      </c>
      <c r="H1695" s="163" t="str">
        <f>IFERROR(__xludf.DUMMYFUNCTION("""COMPUTED_VALUE"""),"SG")</f>
        <v>SG</v>
      </c>
      <c r="I1695" s="163">
        <f>IFERROR(__xludf.DUMMYFUNCTION("""COMPUTED_VALUE"""),24.0)</f>
        <v>24</v>
      </c>
      <c r="J1695" s="165">
        <f>IFERROR(__xludf.DUMMYFUNCTION("""COMPUTED_VALUE"""),-0.745804025342361)</f>
        <v>-0.7458040253</v>
      </c>
      <c r="K1695" s="165">
        <f>IFERROR(__xludf.DUMMYFUNCTION("""COMPUTED_VALUE"""),0.254972682338555)</f>
        <v>0.2549726823</v>
      </c>
      <c r="L1695" s="165">
        <f>IFERROR(__xludf.DUMMYFUNCTION("""COMPUTED_VALUE"""),-1.00077670768092)</f>
        <v>-1.000776708</v>
      </c>
      <c r="M1695" s="166">
        <f t="shared" si="2"/>
        <v>2.321313567</v>
      </c>
      <c r="N1695" s="167">
        <f t="shared" si="3"/>
        <v>32.84796569</v>
      </c>
      <c r="O1695" s="163">
        <f t="shared" ref="O1695:Q1695" si="1699">rank(I1695,I:I)</f>
        <v>2361</v>
      </c>
      <c r="P1695" s="163">
        <f t="shared" si="1699"/>
        <v>2210</v>
      </c>
      <c r="Q1695" s="163">
        <f t="shared" si="1699"/>
        <v>944</v>
      </c>
      <c r="R1695" s="163">
        <f>IFERROR(__xludf.DUMMYFUNCTION("RANK(M1695,filter(M:M,C:C=C1695))"),141.0)</f>
        <v>141</v>
      </c>
      <c r="S1695" s="161" t="b">
        <f t="shared" si="5"/>
        <v>0</v>
      </c>
      <c r="T1695" s="161" t="b">
        <f t="array" ref="T1695">index('Query Tool'!B:B,match(H1695,'Query Tool'!C:C,0))</f>
        <v>1</v>
      </c>
      <c r="U1695" s="161" t="b">
        <f t="array" ref="U1695">index('Query Tool'!B:B,match(C1695,'Query Tool'!C:C,0))</f>
        <v>0</v>
      </c>
      <c r="V1695" s="161" t="b">
        <f>F1695&gt;='Query Tool'!C$32</f>
        <v>1</v>
      </c>
      <c r="W1695" s="161" t="b">
        <f t="array" ref="W1695">index(Dropdowns!B:B,match(I1695,Dropdowns!A:A,0))</f>
        <v>1</v>
      </c>
      <c r="X1695" s="161" t="b">
        <f t="array" ref="X1695">index('Query Tool'!B:B,match(D1695,'Query Tool'!C:C,0))</f>
        <v>1</v>
      </c>
      <c r="Y1695" s="161" t="str">
        <f t="shared" si="6"/>
        <v>fournev01,2016-17</v>
      </c>
      <c r="Z1695" s="168">
        <f t="array" ref="Z1695">iferror(index(I:I,match($A1695&amp;","&amp;index('Year Conversion'!$A:$A,match($C1695,'Year Conversion'!$B:$B,0)),$Y:$Y,0))-I1695,"")</f>
        <v>1</v>
      </c>
      <c r="AA1695" s="168">
        <f t="array" ref="AA1695">iferror(index(J:J,match($A1695&amp;","&amp;index('Year Conversion'!$A:$A,match($C1695,'Year Conversion'!$B:$B,0)),$Y:$Y,0))-J1695,"")</f>
        <v>-0.2233642377</v>
      </c>
      <c r="AB1695" s="168">
        <f t="array" ref="AB1695">iferror(index(K:K,match($A1695&amp;","&amp;index('Year Conversion'!$A:$A,match($C1695,'Year Conversion'!$B:$B,0)),$Y:$Y,0))-K1695,"")</f>
        <v>0.2158087609</v>
      </c>
      <c r="AC1695" s="168" t="str">
        <f t="shared" si="7"/>
        <v>ORL,2016-17</v>
      </c>
    </row>
    <row r="1696">
      <c r="A1696" s="161" t="str">
        <f>IFERROR(__xludf.DUMMYFUNCTION("""COMPUTED_VALUE"""),"sullija01")</f>
        <v>sullija01</v>
      </c>
      <c r="B1696" s="161" t="str">
        <f>IFERROR(__xludf.DUMMYFUNCTION("""COMPUTED_VALUE"""),"Jared Sullinger")</f>
        <v>Jared Sullinger</v>
      </c>
      <c r="C1696" s="162" t="str">
        <f>IFERROR(__xludf.DUMMYFUNCTION("""COMPUTED_VALUE"""),"2016-17")</f>
        <v>2016-17</v>
      </c>
      <c r="D1696" s="163" t="str">
        <f>IFERROR(__xludf.DUMMYFUNCTION("""COMPUTED_VALUE"""),"TOR")</f>
        <v>TOR</v>
      </c>
      <c r="E1696" s="164" t="str">
        <f>IFERROR(__xludf.DUMMYFUNCTION("""COMPUTED_VALUE"""),"Stretch Big")</f>
        <v>Stretch Big</v>
      </c>
      <c r="F1696" s="164">
        <f>IFERROR(__xludf.DUMMYFUNCTION("""COMPUTED_VALUE"""),117.736666666667)</f>
        <v>117.7366667</v>
      </c>
      <c r="G1696" s="163">
        <f>IFERROR(__xludf.DUMMYFUNCTION("""COMPUTED_VALUE"""),11.0)</f>
        <v>11</v>
      </c>
      <c r="H1696" s="163" t="str">
        <f>IFERROR(__xludf.DUMMYFUNCTION("""COMPUTED_VALUE"""),"PF")</f>
        <v>PF</v>
      </c>
      <c r="I1696" s="163">
        <f>IFERROR(__xludf.DUMMYFUNCTION("""COMPUTED_VALUE"""),24.0)</f>
        <v>24</v>
      </c>
      <c r="J1696" s="165">
        <f>IFERROR(__xludf.DUMMYFUNCTION("""COMPUTED_VALUE"""),-0.899536763502882)</f>
        <v>-0.8995367635</v>
      </c>
      <c r="K1696" s="165">
        <f>IFERROR(__xludf.DUMMYFUNCTION("""COMPUTED_VALUE"""),-0.523324140508415)</f>
        <v>-0.5233241405</v>
      </c>
      <c r="L1696" s="165">
        <f>IFERROR(__xludf.DUMMYFUNCTION("""COMPUTED_VALUE"""),-0.376212622994466)</f>
        <v>-0.376212623</v>
      </c>
      <c r="M1696" s="166">
        <f t="shared" si="2"/>
        <v>0.1101884432</v>
      </c>
      <c r="N1696" s="167">
        <f t="shared" si="3"/>
        <v>10.70333333</v>
      </c>
      <c r="O1696" s="163">
        <f t="shared" ref="O1696:Q1696" si="1700">rank(I1696,I:I)</f>
        <v>2361</v>
      </c>
      <c r="P1696" s="163">
        <f t="shared" si="1700"/>
        <v>2393</v>
      </c>
      <c r="Q1696" s="163">
        <f t="shared" si="1700"/>
        <v>2145</v>
      </c>
      <c r="R1696" s="163">
        <f>IFERROR(__xludf.DUMMYFUNCTION("RANK(M1696,filter(M:M,C:C=C1696))"),373.0)</f>
        <v>373</v>
      </c>
      <c r="S1696" s="161" t="b">
        <f t="shared" si="5"/>
        <v>0</v>
      </c>
      <c r="T1696" s="161" t="b">
        <f t="array" ref="T1696">index('Query Tool'!B:B,match(H1696,'Query Tool'!C:C,0))</f>
        <v>1</v>
      </c>
      <c r="U1696" s="161" t="b">
        <f t="array" ref="U1696">index('Query Tool'!B:B,match(C1696,'Query Tool'!C:C,0))</f>
        <v>0</v>
      </c>
      <c r="V1696" s="161" t="b">
        <f>F1696&gt;='Query Tool'!C$32</f>
        <v>0</v>
      </c>
      <c r="W1696" s="161" t="b">
        <f t="array" ref="W1696">index(Dropdowns!B:B,match(I1696,Dropdowns!A:A,0))</f>
        <v>1</v>
      </c>
      <c r="X1696" s="161" t="b">
        <f t="array" ref="X1696">index('Query Tool'!B:B,match(D1696,'Query Tool'!C:C,0))</f>
        <v>1</v>
      </c>
      <c r="Y1696" s="161" t="str">
        <f t="shared" si="6"/>
        <v>sullija01,2016-17</v>
      </c>
      <c r="Z1696" s="168" t="str">
        <f t="array" ref="Z1696">iferror(index(I:I,match($A1696&amp;","&amp;index('Year Conversion'!$A:$A,match($C1696,'Year Conversion'!$B:$B,0)),$Y:$Y,0))-I1696,"")</f>
        <v/>
      </c>
      <c r="AA1696" s="168" t="str">
        <f t="array" ref="AA1696">iferror(index(J:J,match($A1696&amp;","&amp;index('Year Conversion'!$A:$A,match($C1696,'Year Conversion'!$B:$B,0)),$Y:$Y,0))-J1696,"")</f>
        <v/>
      </c>
      <c r="AB1696" s="168" t="str">
        <f t="array" ref="AB1696">iferror(index(K:K,match($A1696&amp;","&amp;index('Year Conversion'!$A:$A,match($C1696,'Year Conversion'!$B:$B,0)),$Y:$Y,0))-K1696,"")</f>
        <v/>
      </c>
      <c r="AC1696" s="168" t="str">
        <f t="shared" si="7"/>
        <v>TOR,2016-17</v>
      </c>
    </row>
    <row r="1697">
      <c r="A1697" s="161" t="str">
        <f>IFERROR(__xludf.DUMMYFUNCTION("""COMPUTED_VALUE"""),"jenkijo01")</f>
        <v>jenkijo01</v>
      </c>
      <c r="B1697" s="161" t="str">
        <f>IFERROR(__xludf.DUMMYFUNCTION("""COMPUTED_VALUE"""),"John Jenkins")</f>
        <v>John Jenkins</v>
      </c>
      <c r="C1697" s="162" t="str">
        <f>IFERROR(__xludf.DUMMYFUNCTION("""COMPUTED_VALUE"""),"2016-17")</f>
        <v>2016-17</v>
      </c>
      <c r="D1697" s="163" t="str">
        <f>IFERROR(__xludf.DUMMYFUNCTION("""COMPUTED_VALUE"""),"PHO")</f>
        <v>PHO</v>
      </c>
      <c r="E1697" s="164" t="str">
        <f>IFERROR(__xludf.DUMMYFUNCTION("""COMPUTED_VALUE"""),"Secondary Ball Handler")</f>
        <v>Secondary Ball Handler</v>
      </c>
      <c r="F1697" s="164">
        <f>IFERROR(__xludf.DUMMYFUNCTION("""COMPUTED_VALUE"""),12.9333333333333)</f>
        <v>12.93333333</v>
      </c>
      <c r="G1697" s="163">
        <f>IFERROR(__xludf.DUMMYFUNCTION("""COMPUTED_VALUE"""),4.0)</f>
        <v>4</v>
      </c>
      <c r="H1697" s="163" t="str">
        <f>IFERROR(__xludf.DUMMYFUNCTION("""COMPUTED_VALUE"""),"SG")</f>
        <v>SG</v>
      </c>
      <c r="I1697" s="163">
        <f>IFERROR(__xludf.DUMMYFUNCTION("""COMPUTED_VALUE"""),25.0)</f>
        <v>25</v>
      </c>
      <c r="J1697" s="165">
        <f>IFERROR(__xludf.DUMMYFUNCTION("""COMPUTED_VALUE"""),0.450804262084393)</f>
        <v>0.4508042621</v>
      </c>
      <c r="K1697" s="165">
        <f>IFERROR(__xludf.DUMMYFUNCTION("""COMPUTED_VALUE"""),0.401223155667545)</f>
        <v>0.4012231557</v>
      </c>
      <c r="L1697" s="165">
        <f>IFERROR(__xludf.DUMMYFUNCTION("""COMPUTED_VALUE"""),0.0495811064168471)</f>
        <v>0.04958110642</v>
      </c>
      <c r="M1697" s="166">
        <f t="shared" si="2"/>
        <v>0.02386857704</v>
      </c>
      <c r="N1697" s="167">
        <f t="shared" si="3"/>
        <v>3.233333333</v>
      </c>
      <c r="O1697" s="163">
        <f t="shared" ref="O1697:Q1697" si="1701">rank(I1697,I:I)</f>
        <v>1995</v>
      </c>
      <c r="P1697" s="163">
        <f t="shared" si="1701"/>
        <v>926</v>
      </c>
      <c r="Q1697" s="163">
        <f t="shared" si="1701"/>
        <v>831</v>
      </c>
      <c r="R1697" s="163">
        <f>IFERROR(__xludf.DUMMYFUNCTION("RANK(M1697,filter(M:M,C:C=C1697))"),429.0)</f>
        <v>429</v>
      </c>
      <c r="S1697" s="161" t="b">
        <f t="shared" si="5"/>
        <v>0</v>
      </c>
      <c r="T1697" s="161" t="b">
        <f t="array" ref="T1697">index('Query Tool'!B:B,match(H1697,'Query Tool'!C:C,0))</f>
        <v>1</v>
      </c>
      <c r="U1697" s="161" t="b">
        <f t="array" ref="U1697">index('Query Tool'!B:B,match(C1697,'Query Tool'!C:C,0))</f>
        <v>0</v>
      </c>
      <c r="V1697" s="161" t="b">
        <f>F1697&gt;='Query Tool'!C$32</f>
        <v>0</v>
      </c>
      <c r="W1697" s="161" t="b">
        <f t="array" ref="W1697">index(Dropdowns!B:B,match(I1697,Dropdowns!A:A,0))</f>
        <v>1</v>
      </c>
      <c r="X1697" s="161" t="b">
        <f t="array" ref="X1697">index('Query Tool'!B:B,match(D1697,'Query Tool'!C:C,0))</f>
        <v>1</v>
      </c>
      <c r="Y1697" s="161" t="str">
        <f t="shared" si="6"/>
        <v>jenkijo01,2016-17</v>
      </c>
      <c r="Z1697" s="168" t="str">
        <f t="array" ref="Z1697">iferror(index(I:I,match($A1697&amp;","&amp;index('Year Conversion'!$A:$A,match($C1697,'Year Conversion'!$B:$B,0)),$Y:$Y,0))-I1697,"")</f>
        <v/>
      </c>
      <c r="AA1697" s="168" t="str">
        <f t="array" ref="AA1697">iferror(index(J:J,match($A1697&amp;","&amp;index('Year Conversion'!$A:$A,match($C1697,'Year Conversion'!$B:$B,0)),$Y:$Y,0))-J1697,"")</f>
        <v/>
      </c>
      <c r="AB1697" s="168" t="str">
        <f t="array" ref="AB1697">iferror(index(K:K,match($A1697&amp;","&amp;index('Year Conversion'!$A:$A,match($C1697,'Year Conversion'!$B:$B,0)),$Y:$Y,0))-K1697,"")</f>
        <v/>
      </c>
      <c r="AC1697" s="168" t="str">
        <f t="shared" si="7"/>
        <v>PHO,2016-17</v>
      </c>
    </row>
    <row r="1698">
      <c r="A1698" s="161" t="str">
        <f>IFERROR(__xludf.DUMMYFUNCTION("""COMPUTED_VALUE"""),"plumlmi01")</f>
        <v>plumlmi01</v>
      </c>
      <c r="B1698" s="161" t="str">
        <f>IFERROR(__xludf.DUMMYFUNCTION("""COMPUTED_VALUE"""),"Miles Plumlee")</f>
        <v>Miles Plumlee</v>
      </c>
      <c r="C1698" s="162" t="str">
        <f>IFERROR(__xludf.DUMMYFUNCTION("""COMPUTED_VALUE"""),"2016-17")</f>
        <v>2016-17</v>
      </c>
      <c r="D1698" s="163" t="str">
        <f>IFERROR(__xludf.DUMMYFUNCTION("""COMPUTED_VALUE"""),"TOT")</f>
        <v>TOT</v>
      </c>
      <c r="E1698" s="164" t="str">
        <f>IFERROR(__xludf.DUMMYFUNCTION("""COMPUTED_VALUE"""),"Roll + Cut Big")</f>
        <v>Roll + Cut Big</v>
      </c>
      <c r="F1698" s="164">
        <f>IFERROR(__xludf.DUMMYFUNCTION("""COMPUTED_VALUE"""),484.61)</f>
        <v>484.61</v>
      </c>
      <c r="G1698" s="163">
        <f>IFERROR(__xludf.DUMMYFUNCTION("""COMPUTED_VALUE"""),45.0)</f>
        <v>45</v>
      </c>
      <c r="H1698" s="163" t="str">
        <f>IFERROR(__xludf.DUMMYFUNCTION("""COMPUTED_VALUE"""),"C")</f>
        <v>C</v>
      </c>
      <c r="I1698" s="163">
        <f>IFERROR(__xludf.DUMMYFUNCTION("""COMPUTED_VALUE"""),28.0)</f>
        <v>28</v>
      </c>
      <c r="J1698" s="165">
        <f>IFERROR(__xludf.DUMMYFUNCTION("""COMPUTED_VALUE"""),-2.3335267800931)</f>
        <v>-2.33352678</v>
      </c>
      <c r="K1698" s="165">
        <f>IFERROR(__xludf.DUMMYFUNCTION("""COMPUTED_VALUE"""),-2.47504252539917)</f>
        <v>-2.475042525</v>
      </c>
      <c r="L1698" s="165">
        <f>IFERROR(__xludf.DUMMYFUNCTION("""COMPUTED_VALUE"""),0.141515745306069)</f>
        <v>0.1415157453</v>
      </c>
      <c r="M1698" s="166">
        <f t="shared" si="2"/>
        <v>-0.009585215752</v>
      </c>
      <c r="N1698" s="167">
        <f t="shared" si="3"/>
        <v>10.76911111</v>
      </c>
      <c r="O1698" s="163">
        <f t="shared" ref="O1698:Q1698" si="1702">rank(I1698,I:I)</f>
        <v>1090</v>
      </c>
      <c r="P1698" s="163">
        <f t="shared" si="1702"/>
        <v>3672</v>
      </c>
      <c r="Q1698" s="163">
        <f t="shared" si="1702"/>
        <v>3884</v>
      </c>
      <c r="R1698" s="163">
        <f>IFERROR(__xludf.DUMMYFUNCTION("RANK(M1698,filter(M:M,C:C=C1698))"),450.0)</f>
        <v>450</v>
      </c>
      <c r="S1698" s="161" t="b">
        <f t="shared" si="5"/>
        <v>0</v>
      </c>
      <c r="T1698" s="161" t="b">
        <f t="array" ref="T1698">index('Query Tool'!B:B,match(H1698,'Query Tool'!C:C,0))</f>
        <v>1</v>
      </c>
      <c r="U1698" s="161" t="b">
        <f t="array" ref="U1698">index('Query Tool'!B:B,match(C1698,'Query Tool'!C:C,0))</f>
        <v>0</v>
      </c>
      <c r="V1698" s="161" t="b">
        <f>F1698&gt;='Query Tool'!C$32</f>
        <v>0</v>
      </c>
      <c r="W1698" s="161" t="b">
        <f t="array" ref="W1698">index(Dropdowns!B:B,match(I1698,Dropdowns!A:A,0))</f>
        <v>1</v>
      </c>
      <c r="X1698" s="161" t="b">
        <f t="array" ref="X1698">index('Query Tool'!B:B,match(D1698,'Query Tool'!C:C,0))</f>
        <v>1</v>
      </c>
      <c r="Y1698" s="161" t="str">
        <f t="shared" si="6"/>
        <v>plumlmi01,2016-17</v>
      </c>
      <c r="Z1698" s="168">
        <f t="array" ref="Z1698">iferror(index(I:I,match($A1698&amp;","&amp;index('Year Conversion'!$A:$A,match($C1698,'Year Conversion'!$B:$B,0)),$Y:$Y,0))-I1698,"")</f>
        <v>1</v>
      </c>
      <c r="AA1698" s="168">
        <f t="array" ref="AA1698">iferror(index(J:J,match($A1698&amp;","&amp;index('Year Conversion'!$A:$A,match($C1698,'Year Conversion'!$B:$B,0)),$Y:$Y,0))-J1698,"")</f>
        <v>0.1019358197</v>
      </c>
      <c r="AB1698" s="168">
        <f t="array" ref="AB1698">iferror(index(K:K,match($A1698&amp;","&amp;index('Year Conversion'!$A:$A,match($C1698,'Year Conversion'!$B:$B,0)),$Y:$Y,0))-K1698,"")</f>
        <v>-0.7197631585</v>
      </c>
      <c r="AC1698" s="168" t="str">
        <f t="shared" si="7"/>
        <v>TOT,2016-17</v>
      </c>
    </row>
    <row r="1699">
      <c r="A1699" s="161" t="str">
        <f>IFERROR(__xludf.DUMMYFUNCTION("""COMPUTED_VALUE"""),"satorto01")</f>
        <v>satorto01</v>
      </c>
      <c r="B1699" s="161" t="str">
        <f>IFERROR(__xludf.DUMMYFUNCTION("""COMPUTED_VALUE"""),"Tomas Satoransky")</f>
        <v>Tomas Satoransky</v>
      </c>
      <c r="C1699" s="162" t="str">
        <f>IFERROR(__xludf.DUMMYFUNCTION("""COMPUTED_VALUE"""),"2016-17")</f>
        <v>2016-17</v>
      </c>
      <c r="D1699" s="163" t="str">
        <f>IFERROR(__xludf.DUMMYFUNCTION("""COMPUTED_VALUE"""),"WAS")</f>
        <v>WAS</v>
      </c>
      <c r="E1699" s="164" t="str">
        <f>IFERROR(__xludf.DUMMYFUNCTION("""COMPUTED_VALUE"""),"Secondary Ball Handler")</f>
        <v>Secondary Ball Handler</v>
      </c>
      <c r="F1699" s="164">
        <f>IFERROR(__xludf.DUMMYFUNCTION("""COMPUTED_VALUE"""),719.208333333333)</f>
        <v>719.2083333</v>
      </c>
      <c r="G1699" s="163">
        <f>IFERROR(__xludf.DUMMYFUNCTION("""COMPUTED_VALUE"""),57.0)</f>
        <v>57</v>
      </c>
      <c r="H1699" s="163" t="str">
        <f>IFERROR(__xludf.DUMMYFUNCTION("""COMPUTED_VALUE"""),"SG")</f>
        <v>SG</v>
      </c>
      <c r="I1699" s="163">
        <f>IFERROR(__xludf.DUMMYFUNCTION("""COMPUTED_VALUE"""),25.0)</f>
        <v>25</v>
      </c>
      <c r="J1699" s="165">
        <f>IFERROR(__xludf.DUMMYFUNCTION("""COMPUTED_VALUE"""),-1.45990107142903)</f>
        <v>-1.459901071</v>
      </c>
      <c r="K1699" s="165">
        <f>IFERROR(__xludf.DUMMYFUNCTION("""COMPUTED_VALUE"""),-1.56849126660653)</f>
        <v>-1.568491267</v>
      </c>
      <c r="L1699" s="165">
        <f>IFERROR(__xludf.DUMMYFUNCTION("""COMPUTED_VALUE"""),0.108590195177503)</f>
        <v>0.1085901952</v>
      </c>
      <c r="M1699" s="166">
        <f t="shared" si="2"/>
        <v>0.4029868724</v>
      </c>
      <c r="N1699" s="167">
        <f t="shared" si="3"/>
        <v>12.61769006</v>
      </c>
      <c r="O1699" s="163">
        <f t="shared" ref="O1699:Q1699" si="1703">rank(I1699,I:I)</f>
        <v>1995</v>
      </c>
      <c r="P1699" s="163">
        <f t="shared" si="1703"/>
        <v>3014</v>
      </c>
      <c r="Q1699" s="163">
        <f t="shared" si="1703"/>
        <v>3422</v>
      </c>
      <c r="R1699" s="163">
        <f>IFERROR(__xludf.DUMMYFUNCTION("RANK(M1699,filter(M:M,C:C=C1699))"),298.0)</f>
        <v>298</v>
      </c>
      <c r="S1699" s="161" t="b">
        <f t="shared" si="5"/>
        <v>0</v>
      </c>
      <c r="T1699" s="161" t="b">
        <f t="array" ref="T1699">index('Query Tool'!B:B,match(H1699,'Query Tool'!C:C,0))</f>
        <v>1</v>
      </c>
      <c r="U1699" s="161" t="b">
        <f t="array" ref="U1699">index('Query Tool'!B:B,match(C1699,'Query Tool'!C:C,0))</f>
        <v>0</v>
      </c>
      <c r="V1699" s="161" t="b">
        <f>F1699&gt;='Query Tool'!C$32</f>
        <v>1</v>
      </c>
      <c r="W1699" s="161" t="b">
        <f t="array" ref="W1699">index(Dropdowns!B:B,match(I1699,Dropdowns!A:A,0))</f>
        <v>1</v>
      </c>
      <c r="X1699" s="161" t="b">
        <f t="array" ref="X1699">index('Query Tool'!B:B,match(D1699,'Query Tool'!C:C,0))</f>
        <v>1</v>
      </c>
      <c r="Y1699" s="161" t="str">
        <f t="shared" si="6"/>
        <v>satorto01,2016-17</v>
      </c>
      <c r="Z1699" s="168">
        <f t="array" ref="Z1699">iferror(index(I:I,match($A1699&amp;","&amp;index('Year Conversion'!$A:$A,match($C1699,'Year Conversion'!$B:$B,0)),$Y:$Y,0))-I1699,"")</f>
        <v>1</v>
      </c>
      <c r="AA1699" s="168">
        <f t="array" ref="AA1699">iferror(index(J:J,match($A1699&amp;","&amp;index('Year Conversion'!$A:$A,match($C1699,'Year Conversion'!$B:$B,0)),$Y:$Y,0))-J1699,"")</f>
        <v>1.565522793</v>
      </c>
      <c r="AB1699" s="168">
        <f t="array" ref="AB1699">iferror(index(K:K,match($A1699&amp;","&amp;index('Year Conversion'!$A:$A,match($C1699,'Year Conversion'!$B:$B,0)),$Y:$Y,0))-K1699,"")</f>
        <v>2.299352826</v>
      </c>
      <c r="AC1699" s="168" t="str">
        <f t="shared" si="7"/>
        <v>WAS,2016-17</v>
      </c>
    </row>
    <row r="1700">
      <c r="A1700" s="161" t="str">
        <f>IFERROR(__xludf.DUMMYFUNCTION("""COMPUTED_VALUE"""),"crowdja01")</f>
        <v>crowdja01</v>
      </c>
      <c r="B1700" s="161" t="str">
        <f>IFERROR(__xludf.DUMMYFUNCTION("""COMPUTED_VALUE"""),"Jae Crowder")</f>
        <v>Jae Crowder</v>
      </c>
      <c r="C1700" s="162" t="str">
        <f>IFERROR(__xludf.DUMMYFUNCTION("""COMPUTED_VALUE"""),"2016-17")</f>
        <v>2016-17</v>
      </c>
      <c r="D1700" s="163" t="str">
        <f>IFERROR(__xludf.DUMMYFUNCTION("""COMPUTED_VALUE"""),"BOS")</f>
        <v>BOS</v>
      </c>
      <c r="E1700" s="164" t="str">
        <f>IFERROR(__xludf.DUMMYFUNCTION("""COMPUTED_VALUE"""),"Movement Shooter")</f>
        <v>Movement Shooter</v>
      </c>
      <c r="F1700" s="164">
        <f>IFERROR(__xludf.DUMMYFUNCTION("""COMPUTED_VALUE"""),2335.37833333333)</f>
        <v>2335.378333</v>
      </c>
      <c r="G1700" s="163">
        <f>IFERROR(__xludf.DUMMYFUNCTION("""COMPUTED_VALUE"""),72.0)</f>
        <v>72</v>
      </c>
      <c r="H1700" s="163" t="str">
        <f>IFERROR(__xludf.DUMMYFUNCTION("""COMPUTED_VALUE"""),"SF")</f>
        <v>SF</v>
      </c>
      <c r="I1700" s="163">
        <f>IFERROR(__xludf.DUMMYFUNCTION("""COMPUTED_VALUE"""),26.0)</f>
        <v>26</v>
      </c>
      <c r="J1700" s="165">
        <f>IFERROR(__xludf.DUMMYFUNCTION("""COMPUTED_VALUE"""),1.54354379522344)</f>
        <v>1.543543795</v>
      </c>
      <c r="K1700" s="165">
        <f>IFERROR(__xludf.DUMMYFUNCTION("""COMPUTED_VALUE"""),0.860637819716874)</f>
        <v>0.8606378197</v>
      </c>
      <c r="L1700" s="165">
        <f>IFERROR(__xludf.DUMMYFUNCTION("""COMPUTED_VALUE"""),0.68290597550657)</f>
        <v>0.6829059755</v>
      </c>
      <c r="M1700" s="166">
        <f t="shared" si="2"/>
        <v>6.022654627</v>
      </c>
      <c r="N1700" s="167">
        <f t="shared" si="3"/>
        <v>32.43581019</v>
      </c>
      <c r="O1700" s="163">
        <f t="shared" ref="O1700:Q1700" si="1704">rank(I1700,I:I)</f>
        <v>1665</v>
      </c>
      <c r="P1700" s="163">
        <f t="shared" si="1704"/>
        <v>445</v>
      </c>
      <c r="Q1700" s="163">
        <f t="shared" si="1704"/>
        <v>571</v>
      </c>
      <c r="R1700" s="163">
        <f>IFERROR(__xludf.DUMMYFUNCTION("RANK(M1700,filter(M:M,C:C=C1700))"),47.0)</f>
        <v>47</v>
      </c>
      <c r="S1700" s="161" t="b">
        <f t="shared" si="5"/>
        <v>0</v>
      </c>
      <c r="T1700" s="161" t="b">
        <f t="array" ref="T1700">index('Query Tool'!B:B,match(H1700,'Query Tool'!C:C,0))</f>
        <v>1</v>
      </c>
      <c r="U1700" s="161" t="b">
        <f t="array" ref="U1700">index('Query Tool'!B:B,match(C1700,'Query Tool'!C:C,0))</f>
        <v>0</v>
      </c>
      <c r="V1700" s="161" t="b">
        <f>F1700&gt;='Query Tool'!C$32</f>
        <v>1</v>
      </c>
      <c r="W1700" s="161" t="b">
        <f t="array" ref="W1700">index(Dropdowns!B:B,match(I1700,Dropdowns!A:A,0))</f>
        <v>1</v>
      </c>
      <c r="X1700" s="161" t="b">
        <f t="array" ref="X1700">index('Query Tool'!B:B,match(D1700,'Query Tool'!C:C,0))</f>
        <v>1</v>
      </c>
      <c r="Y1700" s="161" t="str">
        <f t="shared" si="6"/>
        <v>crowdja01,2016-17</v>
      </c>
      <c r="Z1700" s="168">
        <f t="array" ref="Z1700">iferror(index(I:I,match($A1700&amp;","&amp;index('Year Conversion'!$A:$A,match($C1700,'Year Conversion'!$B:$B,0)),$Y:$Y,0))-I1700,"")</f>
        <v>1</v>
      </c>
      <c r="AA1700" s="168">
        <f t="array" ref="AA1700">iferror(index(J:J,match($A1700&amp;","&amp;index('Year Conversion'!$A:$A,match($C1700,'Year Conversion'!$B:$B,0)),$Y:$Y,0))-J1700,"")</f>
        <v>-2.051105855</v>
      </c>
      <c r="AB1700" s="168">
        <f t="array" ref="AB1700">iferror(index(K:K,match($A1700&amp;","&amp;index('Year Conversion'!$A:$A,match($C1700,'Year Conversion'!$B:$B,0)),$Y:$Y,0))-K1700,"")</f>
        <v>-1.191928701</v>
      </c>
      <c r="AC1700" s="168" t="str">
        <f t="shared" si="7"/>
        <v>BOS,2016-17</v>
      </c>
    </row>
    <row r="1701">
      <c r="A1701" s="161" t="str">
        <f>IFERROR(__xludf.DUMMYFUNCTION("""COMPUTED_VALUE"""),"greendr01")</f>
        <v>greendr01</v>
      </c>
      <c r="B1701" s="161" t="str">
        <f>IFERROR(__xludf.DUMMYFUNCTION("""COMPUTED_VALUE"""),"Draymond Green")</f>
        <v>Draymond Green</v>
      </c>
      <c r="C1701" s="162" t="str">
        <f>IFERROR(__xludf.DUMMYFUNCTION("""COMPUTED_VALUE"""),"2016-17")</f>
        <v>2016-17</v>
      </c>
      <c r="D1701" s="163" t="str">
        <f>IFERROR(__xludf.DUMMYFUNCTION("""COMPUTED_VALUE"""),"GSW")</f>
        <v>GSW</v>
      </c>
      <c r="E1701" s="164" t="str">
        <f>IFERROR(__xludf.DUMMYFUNCTION("""COMPUTED_VALUE"""),"Stretch Big")</f>
        <v>Stretch Big</v>
      </c>
      <c r="F1701" s="164">
        <f>IFERROR(__xludf.DUMMYFUNCTION("""COMPUTED_VALUE"""),2470.88666666667)</f>
        <v>2470.886667</v>
      </c>
      <c r="G1701" s="163">
        <f>IFERROR(__xludf.DUMMYFUNCTION("""COMPUTED_VALUE"""),76.0)</f>
        <v>76</v>
      </c>
      <c r="H1701" s="163" t="str">
        <f>IFERROR(__xludf.DUMMYFUNCTION("""COMPUTED_VALUE"""),"PF")</f>
        <v>PF</v>
      </c>
      <c r="I1701" s="163">
        <f>IFERROR(__xludf.DUMMYFUNCTION("""COMPUTED_VALUE"""),26.0)</f>
        <v>26</v>
      </c>
      <c r="J1701" s="165">
        <f>IFERROR(__xludf.DUMMYFUNCTION("""COMPUTED_VALUE"""),5.13437341592571)</f>
        <v>5.134373416</v>
      </c>
      <c r="K1701" s="165">
        <f>IFERROR(__xludf.DUMMYFUNCTION("""COMPUTED_VALUE"""),1.12862206335092)</f>
        <v>1.128622063</v>
      </c>
      <c r="L1701" s="165">
        <f>IFERROR(__xludf.DUMMYFUNCTION("""COMPUTED_VALUE"""),4.00575135257479)</f>
        <v>4.005751353</v>
      </c>
      <c r="M1701" s="166">
        <f t="shared" si="2"/>
        <v>12.06228482</v>
      </c>
      <c r="N1701" s="167">
        <f t="shared" si="3"/>
        <v>32.51166667</v>
      </c>
      <c r="O1701" s="163">
        <f t="shared" ref="O1701:Q1701" si="1705">rank(I1701,I:I)</f>
        <v>1665</v>
      </c>
      <c r="P1701" s="163">
        <f t="shared" si="1705"/>
        <v>45</v>
      </c>
      <c r="Q1701" s="163">
        <f t="shared" si="1705"/>
        <v>442</v>
      </c>
      <c r="R1701" s="163">
        <f>IFERROR(__xludf.DUMMYFUNCTION("RANK(M1701,filter(M:M,C:C=C1701))"),10.0)</f>
        <v>10</v>
      </c>
      <c r="S1701" s="161" t="b">
        <f t="shared" si="5"/>
        <v>0</v>
      </c>
      <c r="T1701" s="161" t="b">
        <f t="array" ref="T1701">index('Query Tool'!B:B,match(H1701,'Query Tool'!C:C,0))</f>
        <v>1</v>
      </c>
      <c r="U1701" s="161" t="b">
        <f t="array" ref="U1701">index('Query Tool'!B:B,match(C1701,'Query Tool'!C:C,0))</f>
        <v>0</v>
      </c>
      <c r="V1701" s="161" t="b">
        <f>F1701&gt;='Query Tool'!C$32</f>
        <v>1</v>
      </c>
      <c r="W1701" s="161" t="b">
        <f t="array" ref="W1701">index(Dropdowns!B:B,match(I1701,Dropdowns!A:A,0))</f>
        <v>1</v>
      </c>
      <c r="X1701" s="161" t="b">
        <f t="array" ref="X1701">index('Query Tool'!B:B,match(D1701,'Query Tool'!C:C,0))</f>
        <v>1</v>
      </c>
      <c r="Y1701" s="161" t="str">
        <f t="shared" si="6"/>
        <v>greendr01,2016-17</v>
      </c>
      <c r="Z1701" s="168">
        <f t="array" ref="Z1701">iferror(index(I:I,match($A1701&amp;","&amp;index('Year Conversion'!$A:$A,match($C1701,'Year Conversion'!$B:$B,0)),$Y:$Y,0))-I1701,"")</f>
        <v>1</v>
      </c>
      <c r="AA1701" s="168">
        <f t="array" ref="AA1701">iferror(index(J:J,match($A1701&amp;","&amp;index('Year Conversion'!$A:$A,match($C1701,'Year Conversion'!$B:$B,0)),$Y:$Y,0))-J1701,"")</f>
        <v>-1.963051053</v>
      </c>
      <c r="AB1701" s="168">
        <f t="array" ref="AB1701">iferror(index(K:K,match($A1701&amp;","&amp;index('Year Conversion'!$A:$A,match($C1701,'Year Conversion'!$B:$B,0)),$Y:$Y,0))-K1701,"")</f>
        <v>-0.7841259224</v>
      </c>
      <c r="AC1701" s="168" t="str">
        <f t="shared" si="7"/>
        <v>GSW,2016-17</v>
      </c>
    </row>
    <row r="1702">
      <c r="A1702" s="161" t="str">
        <f>IFERROR(__xludf.DUMMYFUNCTION("""COMPUTED_VALUE"""),"acyqu01")</f>
        <v>acyqu01</v>
      </c>
      <c r="B1702" s="161" t="str">
        <f>IFERROR(__xludf.DUMMYFUNCTION("""COMPUTED_VALUE"""),"Quincy Acy")</f>
        <v>Quincy Acy</v>
      </c>
      <c r="C1702" s="162" t="str">
        <f>IFERROR(__xludf.DUMMYFUNCTION("""COMPUTED_VALUE"""),"2016-17")</f>
        <v>2016-17</v>
      </c>
      <c r="D1702" s="163" t="str">
        <f>IFERROR(__xludf.DUMMYFUNCTION("""COMPUTED_VALUE"""),"TOT")</f>
        <v>TOT</v>
      </c>
      <c r="E1702" s="164" t="str">
        <f>IFERROR(__xludf.DUMMYFUNCTION("""COMPUTED_VALUE"""),"Stretch Big")</f>
        <v>Stretch Big</v>
      </c>
      <c r="F1702" s="164">
        <f>IFERROR(__xludf.DUMMYFUNCTION("""COMPUTED_VALUE"""),557.733333333333)</f>
        <v>557.7333333</v>
      </c>
      <c r="G1702" s="163">
        <f>IFERROR(__xludf.DUMMYFUNCTION("""COMPUTED_VALUE"""),38.0)</f>
        <v>38</v>
      </c>
      <c r="H1702" s="163" t="str">
        <f>IFERROR(__xludf.DUMMYFUNCTION("""COMPUTED_VALUE"""),"PF")</f>
        <v>PF</v>
      </c>
      <c r="I1702" s="163">
        <f>IFERROR(__xludf.DUMMYFUNCTION("""COMPUTED_VALUE"""),26.0)</f>
        <v>26</v>
      </c>
      <c r="J1702" s="165">
        <f>IFERROR(__xludf.DUMMYFUNCTION("""COMPUTED_VALUE"""),-0.448791613030438)</f>
        <v>-0.448791613</v>
      </c>
      <c r="K1702" s="165">
        <f>IFERROR(__xludf.DUMMYFUNCTION("""COMPUTED_VALUE"""),-0.716757623853083)</f>
        <v>-0.7167576239</v>
      </c>
      <c r="L1702" s="165">
        <f>IFERROR(__xludf.DUMMYFUNCTION("""COMPUTED_VALUE"""),0.267966010822645)</f>
        <v>0.2679660108</v>
      </c>
      <c r="M1702" s="166">
        <f t="shared" si="2"/>
        <v>0.691132306</v>
      </c>
      <c r="N1702" s="167">
        <f t="shared" si="3"/>
        <v>14.67719298</v>
      </c>
      <c r="O1702" s="163">
        <f t="shared" ref="O1702:Q1702" si="1706">rank(I1702,I:I)</f>
        <v>1665</v>
      </c>
      <c r="P1702" s="163">
        <f t="shared" si="1706"/>
        <v>1774</v>
      </c>
      <c r="Q1702" s="163">
        <f t="shared" si="1706"/>
        <v>2440</v>
      </c>
      <c r="R1702" s="163">
        <f>IFERROR(__xludf.DUMMYFUNCTION("RANK(M1702,filter(M:M,C:C=C1702))"),254.0)</f>
        <v>254</v>
      </c>
      <c r="S1702" s="161" t="b">
        <f t="shared" si="5"/>
        <v>0</v>
      </c>
      <c r="T1702" s="161" t="b">
        <f t="array" ref="T1702">index('Query Tool'!B:B,match(H1702,'Query Tool'!C:C,0))</f>
        <v>1</v>
      </c>
      <c r="U1702" s="161" t="b">
        <f t="array" ref="U1702">index('Query Tool'!B:B,match(C1702,'Query Tool'!C:C,0))</f>
        <v>0</v>
      </c>
      <c r="V1702" s="161" t="b">
        <f>F1702&gt;='Query Tool'!C$32</f>
        <v>1</v>
      </c>
      <c r="W1702" s="161" t="b">
        <f t="array" ref="W1702">index(Dropdowns!B:B,match(I1702,Dropdowns!A:A,0))</f>
        <v>1</v>
      </c>
      <c r="X1702" s="161" t="b">
        <f t="array" ref="X1702">index('Query Tool'!B:B,match(D1702,'Query Tool'!C:C,0))</f>
        <v>1</v>
      </c>
      <c r="Y1702" s="161" t="str">
        <f t="shared" si="6"/>
        <v>acyqu01,2016-17</v>
      </c>
      <c r="Z1702" s="168">
        <f t="array" ref="Z1702">iferror(index(I:I,match($A1702&amp;","&amp;index('Year Conversion'!$A:$A,match($C1702,'Year Conversion'!$B:$B,0)),$Y:$Y,0))-I1702,"")</f>
        <v>1</v>
      </c>
      <c r="AA1702" s="168">
        <f t="array" ref="AA1702">iferror(index(J:J,match($A1702&amp;","&amp;index('Year Conversion'!$A:$A,match($C1702,'Year Conversion'!$B:$B,0)),$Y:$Y,0))-J1702,"")</f>
        <v>-0.2867010101</v>
      </c>
      <c r="AB1702" s="168">
        <f t="array" ref="AB1702">iferror(index(K:K,match($A1702&amp;","&amp;index('Year Conversion'!$A:$A,match($C1702,'Year Conversion'!$B:$B,0)),$Y:$Y,0))-K1702,"")</f>
        <v>-0.6682809782</v>
      </c>
      <c r="AC1702" s="168" t="str">
        <f t="shared" si="7"/>
        <v>TOT,2016-17</v>
      </c>
    </row>
    <row r="1703">
      <c r="A1703" s="161" t="str">
        <f>IFERROR(__xludf.DUMMYFUNCTION("""COMPUTED_VALUE"""),"middlkh01")</f>
        <v>middlkh01</v>
      </c>
      <c r="B1703" s="161" t="str">
        <f>IFERROR(__xludf.DUMMYFUNCTION("""COMPUTED_VALUE"""),"Khris Middleton")</f>
        <v>Khris Middleton</v>
      </c>
      <c r="C1703" s="162" t="str">
        <f>IFERROR(__xludf.DUMMYFUNCTION("""COMPUTED_VALUE"""),"2016-17")</f>
        <v>2016-17</v>
      </c>
      <c r="D1703" s="163" t="str">
        <f>IFERROR(__xludf.DUMMYFUNCTION("""COMPUTED_VALUE"""),"MIL")</f>
        <v>MIL</v>
      </c>
      <c r="E1703" s="164" t="str">
        <f>IFERROR(__xludf.DUMMYFUNCTION("""COMPUTED_VALUE"""),"Shot Creator")</f>
        <v>Shot Creator</v>
      </c>
      <c r="F1703" s="164">
        <f>IFERROR(__xludf.DUMMYFUNCTION("""COMPUTED_VALUE"""),889.046666666667)</f>
        <v>889.0466667</v>
      </c>
      <c r="G1703" s="163">
        <f>IFERROR(__xludf.DUMMYFUNCTION("""COMPUTED_VALUE"""),29.0)</f>
        <v>29</v>
      </c>
      <c r="H1703" s="163" t="str">
        <f>IFERROR(__xludf.DUMMYFUNCTION("""COMPUTED_VALUE"""),"SF")</f>
        <v>SF</v>
      </c>
      <c r="I1703" s="163">
        <f>IFERROR(__xludf.DUMMYFUNCTION("""COMPUTED_VALUE"""),25.0)</f>
        <v>25</v>
      </c>
      <c r="J1703" s="165">
        <f>IFERROR(__xludf.DUMMYFUNCTION("""COMPUTED_VALUE"""),-0.0277817751333269)</f>
        <v>-0.02778177513</v>
      </c>
      <c r="K1703" s="165">
        <f>IFERROR(__xludf.DUMMYFUNCTION("""COMPUTED_VALUE"""),0.0386097093141867)</f>
        <v>0.03860970931</v>
      </c>
      <c r="L1703" s="165">
        <f>IFERROR(__xludf.DUMMYFUNCTION("""COMPUTED_VALUE"""),-0.0663914844475136)</f>
        <v>-0.06639148445</v>
      </c>
      <c r="M1703" s="166">
        <f t="shared" si="2"/>
        <v>1.353961616</v>
      </c>
      <c r="N1703" s="167">
        <f t="shared" si="3"/>
        <v>30.65678161</v>
      </c>
      <c r="O1703" s="163">
        <f t="shared" ref="O1703:Q1703" si="1707">rank(I1703,I:I)</f>
        <v>1995</v>
      </c>
      <c r="P1703" s="163">
        <f t="shared" si="1707"/>
        <v>1312</v>
      </c>
      <c r="Q1703" s="163">
        <f t="shared" si="1707"/>
        <v>1140</v>
      </c>
      <c r="R1703" s="163">
        <f>IFERROR(__xludf.DUMMYFUNCTION("RANK(M1703,filter(M:M,C:C=C1703))"),197.0)</f>
        <v>197</v>
      </c>
      <c r="S1703" s="161" t="b">
        <f t="shared" si="5"/>
        <v>0</v>
      </c>
      <c r="T1703" s="161" t="b">
        <f t="array" ref="T1703">index('Query Tool'!B:B,match(H1703,'Query Tool'!C:C,0))</f>
        <v>1</v>
      </c>
      <c r="U1703" s="161" t="b">
        <f t="array" ref="U1703">index('Query Tool'!B:B,match(C1703,'Query Tool'!C:C,0))</f>
        <v>0</v>
      </c>
      <c r="V1703" s="161" t="b">
        <f>F1703&gt;='Query Tool'!C$32</f>
        <v>1</v>
      </c>
      <c r="W1703" s="161" t="b">
        <f t="array" ref="W1703">index(Dropdowns!B:B,match(I1703,Dropdowns!A:A,0))</f>
        <v>1</v>
      </c>
      <c r="X1703" s="161" t="b">
        <f t="array" ref="X1703">index('Query Tool'!B:B,match(D1703,'Query Tool'!C:C,0))</f>
        <v>1</v>
      </c>
      <c r="Y1703" s="161" t="str">
        <f t="shared" si="6"/>
        <v>middlkh01,2016-17</v>
      </c>
      <c r="Z1703" s="168">
        <f t="array" ref="Z1703">iferror(index(I:I,match($A1703&amp;","&amp;index('Year Conversion'!$A:$A,match($C1703,'Year Conversion'!$B:$B,0)),$Y:$Y,0))-I1703,"")</f>
        <v>1</v>
      </c>
      <c r="AA1703" s="168">
        <f t="array" ref="AA1703">iferror(index(J:J,match($A1703&amp;","&amp;index('Year Conversion'!$A:$A,match($C1703,'Year Conversion'!$B:$B,0)),$Y:$Y,0))-J1703,"")</f>
        <v>2.042779808</v>
      </c>
      <c r="AB1703" s="168">
        <f t="array" ref="AB1703">iferror(index(K:K,match($A1703&amp;","&amp;index('Year Conversion'!$A:$A,match($C1703,'Year Conversion'!$B:$B,0)),$Y:$Y,0))-K1703,"")</f>
        <v>2.037275863</v>
      </c>
      <c r="AC1703" s="168" t="str">
        <f t="shared" si="7"/>
        <v>MIL,2016-17</v>
      </c>
    </row>
    <row r="1704">
      <c r="A1704" s="161" t="str">
        <f>IFERROR(__xludf.DUMMYFUNCTION("""COMPUTED_VALUE"""),"bartowi01")</f>
        <v>bartowi01</v>
      </c>
      <c r="B1704" s="161" t="str">
        <f>IFERROR(__xludf.DUMMYFUNCTION("""COMPUTED_VALUE"""),"Will Barton")</f>
        <v>Will Barton</v>
      </c>
      <c r="C1704" s="162" t="str">
        <f>IFERROR(__xludf.DUMMYFUNCTION("""COMPUTED_VALUE"""),"2016-17")</f>
        <v>2016-17</v>
      </c>
      <c r="D1704" s="163" t="str">
        <f>IFERROR(__xludf.DUMMYFUNCTION("""COMPUTED_VALUE"""),"DEN")</f>
        <v>DEN</v>
      </c>
      <c r="E1704" s="164" t="str">
        <f>IFERROR(__xludf.DUMMYFUNCTION("""COMPUTED_VALUE"""),"Secondary Ball Handler")</f>
        <v>Secondary Ball Handler</v>
      </c>
      <c r="F1704" s="164">
        <f>IFERROR(__xludf.DUMMYFUNCTION("""COMPUTED_VALUE"""),1705.05666666667)</f>
        <v>1705.056667</v>
      </c>
      <c r="G1704" s="163">
        <f>IFERROR(__xludf.DUMMYFUNCTION("""COMPUTED_VALUE"""),60.0)</f>
        <v>60</v>
      </c>
      <c r="H1704" s="163" t="str">
        <f>IFERROR(__xludf.DUMMYFUNCTION("""COMPUTED_VALUE"""),"SG")</f>
        <v>SG</v>
      </c>
      <c r="I1704" s="163">
        <f>IFERROR(__xludf.DUMMYFUNCTION("""COMPUTED_VALUE"""),26.0)</f>
        <v>26</v>
      </c>
      <c r="J1704" s="165">
        <f>IFERROR(__xludf.DUMMYFUNCTION("""COMPUTED_VALUE"""),-1.28539297245744)</f>
        <v>-1.285392972</v>
      </c>
      <c r="K1704" s="165">
        <f>IFERROR(__xludf.DUMMYFUNCTION("""COMPUTED_VALUE"""),-0.032195923427242)</f>
        <v>-0.03219592343</v>
      </c>
      <c r="L1704" s="165">
        <f>IFERROR(__xludf.DUMMYFUNCTION("""COMPUTED_VALUE"""),-1.25319704903019)</f>
        <v>-1.253197049</v>
      </c>
      <c r="M1704" s="166">
        <f t="shared" si="2"/>
        <v>1.154411048</v>
      </c>
      <c r="N1704" s="167">
        <f t="shared" si="3"/>
        <v>28.41761111</v>
      </c>
      <c r="O1704" s="163">
        <f t="shared" ref="O1704:Q1704" si="1708">rank(I1704,I:I)</f>
        <v>1665</v>
      </c>
      <c r="P1704" s="163">
        <f t="shared" si="1708"/>
        <v>2846</v>
      </c>
      <c r="Q1704" s="163">
        <f t="shared" si="1708"/>
        <v>1243</v>
      </c>
      <c r="R1704" s="163">
        <f>IFERROR(__xludf.DUMMYFUNCTION("RANK(M1704,filter(M:M,C:C=C1704))"),212.0)</f>
        <v>212</v>
      </c>
      <c r="S1704" s="161" t="b">
        <f t="shared" si="5"/>
        <v>0</v>
      </c>
      <c r="T1704" s="161" t="b">
        <f t="array" ref="T1704">index('Query Tool'!B:B,match(H1704,'Query Tool'!C:C,0))</f>
        <v>1</v>
      </c>
      <c r="U1704" s="161" t="b">
        <f t="array" ref="U1704">index('Query Tool'!B:B,match(C1704,'Query Tool'!C:C,0))</f>
        <v>0</v>
      </c>
      <c r="V1704" s="161" t="b">
        <f>F1704&gt;='Query Tool'!C$32</f>
        <v>1</v>
      </c>
      <c r="W1704" s="161" t="b">
        <f t="array" ref="W1704">index(Dropdowns!B:B,match(I1704,Dropdowns!A:A,0))</f>
        <v>1</v>
      </c>
      <c r="X1704" s="161" t="b">
        <f t="array" ref="X1704">index('Query Tool'!B:B,match(D1704,'Query Tool'!C:C,0))</f>
        <v>1</v>
      </c>
      <c r="Y1704" s="161" t="str">
        <f t="shared" si="6"/>
        <v>bartowi01,2016-17</v>
      </c>
      <c r="Z1704" s="168">
        <f t="array" ref="Z1704">iferror(index(I:I,match($A1704&amp;","&amp;index('Year Conversion'!$A:$A,match($C1704,'Year Conversion'!$B:$B,0)),$Y:$Y,0))-I1704,"")</f>
        <v>1</v>
      </c>
      <c r="AA1704" s="168">
        <f t="array" ref="AA1704">iferror(index(J:J,match($A1704&amp;","&amp;index('Year Conversion'!$A:$A,match($C1704,'Year Conversion'!$B:$B,0)),$Y:$Y,0))-J1704,"")</f>
        <v>0.9917826828</v>
      </c>
      <c r="AB1704" s="168">
        <f t="array" ref="AB1704">iferror(index(K:K,match($A1704&amp;","&amp;index('Year Conversion'!$A:$A,match($C1704,'Year Conversion'!$B:$B,0)),$Y:$Y,0))-K1704,"")</f>
        <v>1.089019952</v>
      </c>
      <c r="AC1704" s="168" t="str">
        <f t="shared" si="7"/>
        <v>DEN,2016-17</v>
      </c>
    </row>
    <row r="1705">
      <c r="A1705" s="161" t="str">
        <f>IFERROR(__xludf.DUMMYFUNCTION("""COMPUTED_VALUE"""),"scottmi01")</f>
        <v>scottmi01</v>
      </c>
      <c r="B1705" s="161" t="str">
        <f>IFERROR(__xludf.DUMMYFUNCTION("""COMPUTED_VALUE"""),"Mike Scott")</f>
        <v>Mike Scott</v>
      </c>
      <c r="C1705" s="162" t="str">
        <f>IFERROR(__xludf.DUMMYFUNCTION("""COMPUTED_VALUE"""),"2016-17")</f>
        <v>2016-17</v>
      </c>
      <c r="D1705" s="163" t="str">
        <f>IFERROR(__xludf.DUMMYFUNCTION("""COMPUTED_VALUE"""),"ATL")</f>
        <v>ATL</v>
      </c>
      <c r="E1705" s="164" t="str">
        <f>IFERROR(__xludf.DUMMYFUNCTION("""COMPUTED_VALUE"""),"Stretch Big")</f>
        <v>Stretch Big</v>
      </c>
      <c r="F1705" s="164">
        <f>IFERROR(__xludf.DUMMYFUNCTION("""COMPUTED_VALUE"""),194.956666666667)</f>
        <v>194.9566667</v>
      </c>
      <c r="G1705" s="163">
        <f>IFERROR(__xludf.DUMMYFUNCTION("""COMPUTED_VALUE"""),18.0)</f>
        <v>18</v>
      </c>
      <c r="H1705" s="163" t="str">
        <f>IFERROR(__xludf.DUMMYFUNCTION("""COMPUTED_VALUE"""),"PF")</f>
        <v>PF</v>
      </c>
      <c r="I1705" s="163">
        <f>IFERROR(__xludf.DUMMYFUNCTION("""COMPUTED_VALUE"""),28.0)</f>
        <v>28</v>
      </c>
      <c r="J1705" s="165">
        <f>IFERROR(__xludf.DUMMYFUNCTION("""COMPUTED_VALUE"""),-0.629122635085979)</f>
        <v>-0.6291226351</v>
      </c>
      <c r="K1705" s="165">
        <f>IFERROR(__xludf.DUMMYFUNCTION("""COMPUTED_VALUE"""),-0.531061023285647)</f>
        <v>-0.5310610233</v>
      </c>
      <c r="L1705" s="165">
        <f>IFERROR(__xludf.DUMMYFUNCTION("""COMPUTED_VALUE"""),-0.0980616118003319)</f>
        <v>-0.0980616118</v>
      </c>
      <c r="M1705" s="166">
        <f t="shared" si="2"/>
        <v>0.2179131358</v>
      </c>
      <c r="N1705" s="167">
        <f t="shared" si="3"/>
        <v>10.83092593</v>
      </c>
      <c r="O1705" s="163">
        <f t="shared" ref="O1705:Q1705" si="1709">rank(I1705,I:I)</f>
        <v>1090</v>
      </c>
      <c r="P1705" s="163">
        <f t="shared" si="1709"/>
        <v>2032</v>
      </c>
      <c r="Q1705" s="163">
        <f t="shared" si="1709"/>
        <v>2155</v>
      </c>
      <c r="R1705" s="163">
        <f>IFERROR(__xludf.DUMMYFUNCTION("RANK(M1705,filter(M:M,C:C=C1705))"),333.0)</f>
        <v>333</v>
      </c>
      <c r="S1705" s="161" t="b">
        <f t="shared" si="5"/>
        <v>0</v>
      </c>
      <c r="T1705" s="161" t="b">
        <f t="array" ref="T1705">index('Query Tool'!B:B,match(H1705,'Query Tool'!C:C,0))</f>
        <v>1</v>
      </c>
      <c r="U1705" s="161" t="b">
        <f t="array" ref="U1705">index('Query Tool'!B:B,match(C1705,'Query Tool'!C:C,0))</f>
        <v>0</v>
      </c>
      <c r="V1705" s="161" t="b">
        <f>F1705&gt;='Query Tool'!C$32</f>
        <v>0</v>
      </c>
      <c r="W1705" s="161" t="b">
        <f t="array" ref="W1705">index(Dropdowns!B:B,match(I1705,Dropdowns!A:A,0))</f>
        <v>1</v>
      </c>
      <c r="X1705" s="161" t="b">
        <f t="array" ref="X1705">index('Query Tool'!B:B,match(D1705,'Query Tool'!C:C,0))</f>
        <v>1</v>
      </c>
      <c r="Y1705" s="161" t="str">
        <f t="shared" si="6"/>
        <v>scottmi01,2016-17</v>
      </c>
      <c r="Z1705" s="168">
        <f t="array" ref="Z1705">iferror(index(I:I,match($A1705&amp;","&amp;index('Year Conversion'!$A:$A,match($C1705,'Year Conversion'!$B:$B,0)),$Y:$Y,0))-I1705,"")</f>
        <v>1</v>
      </c>
      <c r="AA1705" s="168">
        <f t="array" ref="AA1705">iferror(index(J:J,match($A1705&amp;","&amp;index('Year Conversion'!$A:$A,match($C1705,'Year Conversion'!$B:$B,0)),$Y:$Y,0))-J1705,"")</f>
        <v>-1.343236497</v>
      </c>
      <c r="AB1705" s="168">
        <f t="array" ref="AB1705">iferror(index(K:K,match($A1705&amp;","&amp;index('Year Conversion'!$A:$A,match($C1705,'Year Conversion'!$B:$B,0)),$Y:$Y,0))-K1705,"")</f>
        <v>-0.154885579</v>
      </c>
      <c r="AC1705" s="168" t="str">
        <f t="shared" si="7"/>
        <v>ATL,2016-17</v>
      </c>
    </row>
    <row r="1706">
      <c r="A1706" s="161" t="str">
        <f>IFERROR(__xludf.DUMMYFUNCTION("""COMPUTED_VALUE"""),"hamilju01")</f>
        <v>hamilju01</v>
      </c>
      <c r="B1706" s="161" t="str">
        <f>IFERROR(__xludf.DUMMYFUNCTION("""COMPUTED_VALUE"""),"Justin Hamilton")</f>
        <v>Justin Hamilton</v>
      </c>
      <c r="C1706" s="162" t="str">
        <f>IFERROR(__xludf.DUMMYFUNCTION("""COMPUTED_VALUE"""),"2016-17")</f>
        <v>2016-17</v>
      </c>
      <c r="D1706" s="163" t="str">
        <f>IFERROR(__xludf.DUMMYFUNCTION("""COMPUTED_VALUE"""),"BRK")</f>
        <v>BRK</v>
      </c>
      <c r="E1706" s="164" t="str">
        <f>IFERROR(__xludf.DUMMYFUNCTION("""COMPUTED_VALUE"""),"Stretch Big")</f>
        <v>Stretch Big</v>
      </c>
      <c r="F1706" s="164">
        <f>IFERROR(__xludf.DUMMYFUNCTION("""COMPUTED_VALUE"""),1176.51333333333)</f>
        <v>1176.513333</v>
      </c>
      <c r="G1706" s="163">
        <f>IFERROR(__xludf.DUMMYFUNCTION("""COMPUTED_VALUE"""),64.0)</f>
        <v>64</v>
      </c>
      <c r="H1706" s="163" t="str">
        <f>IFERROR(__xludf.DUMMYFUNCTION("""COMPUTED_VALUE"""),"C")</f>
        <v>C</v>
      </c>
      <c r="I1706" s="163">
        <f>IFERROR(__xludf.DUMMYFUNCTION("""COMPUTED_VALUE"""),26.0)</f>
        <v>26</v>
      </c>
      <c r="J1706" s="165">
        <f>IFERROR(__xludf.DUMMYFUNCTION("""COMPUTED_VALUE"""),-1.155129745057)</f>
        <v>-1.155129745</v>
      </c>
      <c r="K1706" s="165">
        <f>IFERROR(__xludf.DUMMYFUNCTION("""COMPUTED_VALUE"""),-1.00087152588718)</f>
        <v>-1.000871526</v>
      </c>
      <c r="L1706" s="165">
        <f>IFERROR(__xludf.DUMMYFUNCTION("""COMPUTED_VALUE"""),-0.154258219169821)</f>
        <v>-0.1542582192</v>
      </c>
      <c r="M1706" s="166">
        <f t="shared" si="2"/>
        <v>0.899244805</v>
      </c>
      <c r="N1706" s="167">
        <f t="shared" si="3"/>
        <v>18.38302083</v>
      </c>
      <c r="O1706" s="163">
        <f t="shared" ref="O1706:Q1706" si="1710">rank(I1706,I:I)</f>
        <v>1665</v>
      </c>
      <c r="P1706" s="163">
        <f t="shared" si="1710"/>
        <v>2687</v>
      </c>
      <c r="Q1706" s="163">
        <f t="shared" si="1710"/>
        <v>2805</v>
      </c>
      <c r="R1706" s="163">
        <f>IFERROR(__xludf.DUMMYFUNCTION("RANK(M1706,filter(M:M,C:C=C1706))"),232.0)</f>
        <v>232</v>
      </c>
      <c r="S1706" s="161" t="b">
        <f t="shared" si="5"/>
        <v>0</v>
      </c>
      <c r="T1706" s="161" t="b">
        <f t="array" ref="T1706">index('Query Tool'!B:B,match(H1706,'Query Tool'!C:C,0))</f>
        <v>1</v>
      </c>
      <c r="U1706" s="161" t="b">
        <f t="array" ref="U1706">index('Query Tool'!B:B,match(C1706,'Query Tool'!C:C,0))</f>
        <v>0</v>
      </c>
      <c r="V1706" s="161" t="b">
        <f>F1706&gt;='Query Tool'!C$32</f>
        <v>1</v>
      </c>
      <c r="W1706" s="161" t="b">
        <f t="array" ref="W1706">index(Dropdowns!B:B,match(I1706,Dropdowns!A:A,0))</f>
        <v>1</v>
      </c>
      <c r="X1706" s="161" t="b">
        <f t="array" ref="X1706">index('Query Tool'!B:B,match(D1706,'Query Tool'!C:C,0))</f>
        <v>1</v>
      </c>
      <c r="Y1706" s="161" t="str">
        <f t="shared" si="6"/>
        <v>hamilju01,2016-17</v>
      </c>
      <c r="Z1706" s="168" t="str">
        <f t="array" ref="Z1706">iferror(index(I:I,match($A1706&amp;","&amp;index('Year Conversion'!$A:$A,match($C1706,'Year Conversion'!$B:$B,0)),$Y:$Y,0))-I1706,"")</f>
        <v/>
      </c>
      <c r="AA1706" s="168" t="str">
        <f t="array" ref="AA1706">iferror(index(J:J,match($A1706&amp;","&amp;index('Year Conversion'!$A:$A,match($C1706,'Year Conversion'!$B:$B,0)),$Y:$Y,0))-J1706,"")</f>
        <v/>
      </c>
      <c r="AB1706" s="168" t="str">
        <f t="array" ref="AB1706">iferror(index(K:K,match($A1706&amp;","&amp;index('Year Conversion'!$A:$A,match($C1706,'Year Conversion'!$B:$B,0)),$Y:$Y,0))-K1706,"")</f>
        <v/>
      </c>
      <c r="AC1706" s="168" t="str">
        <f t="shared" si="7"/>
        <v>BRK,2016-17</v>
      </c>
    </row>
    <row r="1707">
      <c r="A1707" s="161" t="str">
        <f>IFERROR(__xludf.DUMMYFUNCTION("""COMPUTED_VALUE"""),"oquinky01")</f>
        <v>oquinky01</v>
      </c>
      <c r="B1707" s="161" t="str">
        <f>IFERROR(__xludf.DUMMYFUNCTION("""COMPUTED_VALUE"""),"Kyle O'Quinn")</f>
        <v>Kyle O'Quinn</v>
      </c>
      <c r="C1707" s="162" t="str">
        <f>IFERROR(__xludf.DUMMYFUNCTION("""COMPUTED_VALUE"""),"2016-17")</f>
        <v>2016-17</v>
      </c>
      <c r="D1707" s="163" t="str">
        <f>IFERROR(__xludf.DUMMYFUNCTION("""COMPUTED_VALUE"""),"NYK")</f>
        <v>NYK</v>
      </c>
      <c r="E1707" s="164" t="str">
        <f>IFERROR(__xludf.DUMMYFUNCTION("""COMPUTED_VALUE"""),"Roll + Cut Big")</f>
        <v>Roll + Cut Big</v>
      </c>
      <c r="F1707" s="164">
        <f>IFERROR(__xludf.DUMMYFUNCTION("""COMPUTED_VALUE"""),1229.16833333333)</f>
        <v>1229.168333</v>
      </c>
      <c r="G1707" s="163">
        <f>IFERROR(__xludf.DUMMYFUNCTION("""COMPUTED_VALUE"""),79.0)</f>
        <v>79</v>
      </c>
      <c r="H1707" s="163" t="str">
        <f>IFERROR(__xludf.DUMMYFUNCTION("""COMPUTED_VALUE"""),"C")</f>
        <v>C</v>
      </c>
      <c r="I1707" s="163">
        <f>IFERROR(__xludf.DUMMYFUNCTION("""COMPUTED_VALUE"""),26.0)</f>
        <v>26</v>
      </c>
      <c r="J1707" s="165">
        <f>IFERROR(__xludf.DUMMYFUNCTION("""COMPUTED_VALUE"""),0.597615515222683)</f>
        <v>0.5976155152</v>
      </c>
      <c r="K1707" s="165">
        <f>IFERROR(__xludf.DUMMYFUNCTION("""COMPUTED_VALUE"""),-0.430302445246074)</f>
        <v>-0.4303024452</v>
      </c>
      <c r="L1707" s="165">
        <f>IFERROR(__xludf.DUMMYFUNCTION("""COMPUTED_VALUE"""),1.02791796046876)</f>
        <v>1.02791796</v>
      </c>
      <c r="M1707" s="166">
        <f t="shared" si="2"/>
        <v>2.389961944</v>
      </c>
      <c r="N1707" s="167">
        <f t="shared" si="3"/>
        <v>15.55909283</v>
      </c>
      <c r="O1707" s="163">
        <f t="shared" ref="O1707:Q1707" si="1711">rank(I1707,I:I)</f>
        <v>1665</v>
      </c>
      <c r="P1707" s="163">
        <f t="shared" si="1711"/>
        <v>846</v>
      </c>
      <c r="Q1707" s="163">
        <f t="shared" si="1711"/>
        <v>2003</v>
      </c>
      <c r="R1707" s="163">
        <f>IFERROR(__xludf.DUMMYFUNCTION("RANK(M1707,filter(M:M,C:C=C1707))"),135.0)</f>
        <v>135</v>
      </c>
      <c r="S1707" s="161" t="b">
        <f t="shared" si="5"/>
        <v>0</v>
      </c>
      <c r="T1707" s="161" t="b">
        <f t="array" ref="T1707">index('Query Tool'!B:B,match(H1707,'Query Tool'!C:C,0))</f>
        <v>1</v>
      </c>
      <c r="U1707" s="161" t="b">
        <f t="array" ref="U1707">index('Query Tool'!B:B,match(C1707,'Query Tool'!C:C,0))</f>
        <v>0</v>
      </c>
      <c r="V1707" s="161" t="b">
        <f>F1707&gt;='Query Tool'!C$32</f>
        <v>1</v>
      </c>
      <c r="W1707" s="161" t="b">
        <f t="array" ref="W1707">index(Dropdowns!B:B,match(I1707,Dropdowns!A:A,0))</f>
        <v>1</v>
      </c>
      <c r="X1707" s="161" t="b">
        <f t="array" ref="X1707">index('Query Tool'!B:B,match(D1707,'Query Tool'!C:C,0))</f>
        <v>1</v>
      </c>
      <c r="Y1707" s="161" t="str">
        <f t="shared" si="6"/>
        <v>oquinky01,2016-17</v>
      </c>
      <c r="Z1707" s="168">
        <f t="array" ref="Z1707">iferror(index(I:I,match($A1707&amp;","&amp;index('Year Conversion'!$A:$A,match($C1707,'Year Conversion'!$B:$B,0)),$Y:$Y,0))-I1707,"")</f>
        <v>1</v>
      </c>
      <c r="AA1707" s="168">
        <f t="array" ref="AA1707">iferror(index(J:J,match($A1707&amp;","&amp;index('Year Conversion'!$A:$A,match($C1707,'Year Conversion'!$B:$B,0)),$Y:$Y,0))-J1707,"")</f>
        <v>1.429777956</v>
      </c>
      <c r="AB1707" s="168">
        <f t="array" ref="AB1707">iferror(index(K:K,match($A1707&amp;","&amp;index('Year Conversion'!$A:$A,match($C1707,'Year Conversion'!$B:$B,0)),$Y:$Y,0))-K1707,"")</f>
        <v>0.6796919022</v>
      </c>
      <c r="AC1707" s="168" t="str">
        <f t="shared" si="7"/>
        <v>NYK,2016-17</v>
      </c>
    </row>
    <row r="1708">
      <c r="A1708" s="161" t="str">
        <f>IFERROR(__xludf.DUMMYFUNCTION("""COMPUTED_VALUE"""),"thompho01")</f>
        <v>thompho01</v>
      </c>
      <c r="B1708" s="161" t="str">
        <f>IFERROR(__xludf.DUMMYFUNCTION("""COMPUTED_VALUE"""),"Hollis Thompson")</f>
        <v>Hollis Thompson</v>
      </c>
      <c r="C1708" s="162" t="str">
        <f>IFERROR(__xludf.DUMMYFUNCTION("""COMPUTED_VALUE"""),"2016-17")</f>
        <v>2016-17</v>
      </c>
      <c r="D1708" s="163" t="str">
        <f>IFERROR(__xludf.DUMMYFUNCTION("""COMPUTED_VALUE"""),"TOT")</f>
        <v>TOT</v>
      </c>
      <c r="E1708" s="164" t="str">
        <f>IFERROR(__xludf.DUMMYFUNCTION("""COMPUTED_VALUE"""),"Stationary Shooter")</f>
        <v>Stationary Shooter</v>
      </c>
      <c r="F1708" s="164">
        <f>IFERROR(__xludf.DUMMYFUNCTION("""COMPUTED_VALUE"""),752.183333333334)</f>
        <v>752.1833333</v>
      </c>
      <c r="G1708" s="163">
        <f>IFERROR(__xludf.DUMMYFUNCTION("""COMPUTED_VALUE"""),40.0)</f>
        <v>40</v>
      </c>
      <c r="H1708" s="163" t="str">
        <f>IFERROR(__xludf.DUMMYFUNCTION("""COMPUTED_VALUE"""),"SG")</f>
        <v>SG</v>
      </c>
      <c r="I1708" s="163">
        <f>IFERROR(__xludf.DUMMYFUNCTION("""COMPUTED_VALUE"""),25.0)</f>
        <v>25</v>
      </c>
      <c r="J1708" s="165">
        <f>IFERROR(__xludf.DUMMYFUNCTION("""COMPUTED_VALUE"""),-2.39673798679732)</f>
        <v>-2.396737987</v>
      </c>
      <c r="K1708" s="165">
        <f>IFERROR(__xludf.DUMMYFUNCTION("""COMPUTED_VALUE"""),-1.83251080386539)</f>
        <v>-1.832510804</v>
      </c>
      <c r="L1708" s="165">
        <f>IFERROR(__xludf.DUMMYFUNCTION("""COMPUTED_VALUE"""),-0.56422718293193)</f>
        <v>-0.5642271829</v>
      </c>
      <c r="M1708" s="166">
        <f t="shared" si="2"/>
        <v>-0.04619702336</v>
      </c>
      <c r="N1708" s="167">
        <f t="shared" si="3"/>
        <v>18.80458333</v>
      </c>
      <c r="O1708" s="163">
        <f t="shared" ref="O1708:Q1708" si="1712">rank(I1708,I:I)</f>
        <v>1995</v>
      </c>
      <c r="P1708" s="163">
        <f t="shared" si="1712"/>
        <v>3714</v>
      </c>
      <c r="Q1708" s="163">
        <f t="shared" si="1712"/>
        <v>3593</v>
      </c>
      <c r="R1708" s="163">
        <f>IFERROR(__xludf.DUMMYFUNCTION("RANK(M1708,filter(M:M,C:C=C1708))"),455.0)</f>
        <v>455</v>
      </c>
      <c r="S1708" s="161" t="b">
        <f t="shared" si="5"/>
        <v>0</v>
      </c>
      <c r="T1708" s="161" t="b">
        <f t="array" ref="T1708">index('Query Tool'!B:B,match(H1708,'Query Tool'!C:C,0))</f>
        <v>1</v>
      </c>
      <c r="U1708" s="161" t="b">
        <f t="array" ref="U1708">index('Query Tool'!B:B,match(C1708,'Query Tool'!C:C,0))</f>
        <v>0</v>
      </c>
      <c r="V1708" s="161" t="b">
        <f>F1708&gt;='Query Tool'!C$32</f>
        <v>1</v>
      </c>
      <c r="W1708" s="161" t="b">
        <f t="array" ref="W1708">index(Dropdowns!B:B,match(I1708,Dropdowns!A:A,0))</f>
        <v>1</v>
      </c>
      <c r="X1708" s="161" t="b">
        <f t="array" ref="X1708">index('Query Tool'!B:B,match(D1708,'Query Tool'!C:C,0))</f>
        <v>1</v>
      </c>
      <c r="Y1708" s="161" t="str">
        <f t="shared" si="6"/>
        <v>thompho01,2016-17</v>
      </c>
      <c r="Z1708" s="168" t="str">
        <f t="array" ref="Z1708">iferror(index(I:I,match($A1708&amp;","&amp;index('Year Conversion'!$A:$A,match($C1708,'Year Conversion'!$B:$B,0)),$Y:$Y,0))-I1708,"")</f>
        <v/>
      </c>
      <c r="AA1708" s="168" t="str">
        <f t="array" ref="AA1708">iferror(index(J:J,match($A1708&amp;","&amp;index('Year Conversion'!$A:$A,match($C1708,'Year Conversion'!$B:$B,0)),$Y:$Y,0))-J1708,"")</f>
        <v/>
      </c>
      <c r="AB1708" s="168" t="str">
        <f t="array" ref="AB1708">iferror(index(K:K,match($A1708&amp;","&amp;index('Year Conversion'!$A:$A,match($C1708,'Year Conversion'!$B:$B,0)),$Y:$Y,0))-K1708,"")</f>
        <v/>
      </c>
      <c r="AC1708" s="168" t="str">
        <f t="shared" si="7"/>
        <v>TOT,2016-17</v>
      </c>
    </row>
    <row r="1709">
      <c r="A1709" s="161" t="str">
        <f>IFERROR(__xludf.DUMMYFUNCTION("""COMPUTED_VALUE"""),"teletmi01")</f>
        <v>teletmi01</v>
      </c>
      <c r="B1709" s="161" t="str">
        <f>IFERROR(__xludf.DUMMYFUNCTION("""COMPUTED_VALUE"""),"Mirza Teletovic")</f>
        <v>Mirza Teletovic</v>
      </c>
      <c r="C1709" s="162" t="str">
        <f>IFERROR(__xludf.DUMMYFUNCTION("""COMPUTED_VALUE"""),"2016-17")</f>
        <v>2016-17</v>
      </c>
      <c r="D1709" s="163" t="str">
        <f>IFERROR(__xludf.DUMMYFUNCTION("""COMPUTED_VALUE"""),"MIL")</f>
        <v>MIL</v>
      </c>
      <c r="E1709" s="164" t="str">
        <f>IFERROR(__xludf.DUMMYFUNCTION("""COMPUTED_VALUE"""),"Movement Shooter")</f>
        <v>Movement Shooter</v>
      </c>
      <c r="F1709" s="164">
        <f>IFERROR(__xludf.DUMMYFUNCTION("""COMPUTED_VALUE"""),1133.35833333333)</f>
        <v>1133.358333</v>
      </c>
      <c r="G1709" s="163">
        <f>IFERROR(__xludf.DUMMYFUNCTION("""COMPUTED_VALUE"""),70.0)</f>
        <v>70</v>
      </c>
      <c r="H1709" s="163" t="str">
        <f>IFERROR(__xludf.DUMMYFUNCTION("""COMPUTED_VALUE"""),"PF")</f>
        <v>PF</v>
      </c>
      <c r="I1709" s="163">
        <f>IFERROR(__xludf.DUMMYFUNCTION("""COMPUTED_VALUE"""),31.0)</f>
        <v>31</v>
      </c>
      <c r="J1709" s="165">
        <f>IFERROR(__xludf.DUMMYFUNCTION("""COMPUTED_VALUE"""),-0.794721219878095)</f>
        <v>-0.7947212199</v>
      </c>
      <c r="K1709" s="165">
        <f>IFERROR(__xludf.DUMMYFUNCTION("""COMPUTED_VALUE"""),-0.0826555589868804)</f>
        <v>-0.08265555899</v>
      </c>
      <c r="L1709" s="165">
        <f>IFERROR(__xludf.DUMMYFUNCTION("""COMPUTED_VALUE"""),-0.712065660891215)</f>
        <v>-0.7120656609</v>
      </c>
      <c r="M1709" s="166">
        <f t="shared" si="2"/>
        <v>1.140547582</v>
      </c>
      <c r="N1709" s="167">
        <f t="shared" si="3"/>
        <v>16.19083333</v>
      </c>
      <c r="O1709" s="163">
        <f t="shared" ref="O1709:Q1709" si="1713">rank(I1709,I:I)</f>
        <v>490</v>
      </c>
      <c r="P1709" s="163">
        <f t="shared" si="1713"/>
        <v>2266</v>
      </c>
      <c r="Q1709" s="163">
        <f t="shared" si="1713"/>
        <v>1330</v>
      </c>
      <c r="R1709" s="163">
        <f>IFERROR(__xludf.DUMMYFUNCTION("RANK(M1709,filter(M:M,C:C=C1709))"),213.0)</f>
        <v>213</v>
      </c>
      <c r="S1709" s="161" t="b">
        <f t="shared" si="5"/>
        <v>0</v>
      </c>
      <c r="T1709" s="161" t="b">
        <f t="array" ref="T1709">index('Query Tool'!B:B,match(H1709,'Query Tool'!C:C,0))</f>
        <v>1</v>
      </c>
      <c r="U1709" s="161" t="b">
        <f t="array" ref="U1709">index('Query Tool'!B:B,match(C1709,'Query Tool'!C:C,0))</f>
        <v>0</v>
      </c>
      <c r="V1709" s="161" t="b">
        <f>F1709&gt;='Query Tool'!C$32</f>
        <v>1</v>
      </c>
      <c r="W1709" s="161" t="b">
        <f t="array" ref="W1709">index(Dropdowns!B:B,match(I1709,Dropdowns!A:A,0))</f>
        <v>1</v>
      </c>
      <c r="X1709" s="161" t="b">
        <f t="array" ref="X1709">index('Query Tool'!B:B,match(D1709,'Query Tool'!C:C,0))</f>
        <v>1</v>
      </c>
      <c r="Y1709" s="161" t="str">
        <f t="shared" si="6"/>
        <v>teletmi01,2016-17</v>
      </c>
      <c r="Z1709" s="168">
        <f t="array" ref="Z1709">iferror(index(I:I,match($A1709&amp;","&amp;index('Year Conversion'!$A:$A,match($C1709,'Year Conversion'!$B:$B,0)),$Y:$Y,0))-I1709,"")</f>
        <v>1</v>
      </c>
      <c r="AA1709" s="168">
        <f t="array" ref="AA1709">iferror(index(J:J,match($A1709&amp;","&amp;index('Year Conversion'!$A:$A,match($C1709,'Year Conversion'!$B:$B,0)),$Y:$Y,0))-J1709,"")</f>
        <v>-0.4164302157</v>
      </c>
      <c r="AB1709" s="168">
        <f t="array" ref="AB1709">iferror(index(K:K,match($A1709&amp;","&amp;index('Year Conversion'!$A:$A,match($C1709,'Year Conversion'!$B:$B,0)),$Y:$Y,0))-K1709,"")</f>
        <v>-0.3872689723</v>
      </c>
      <c r="AC1709" s="168" t="str">
        <f t="shared" si="7"/>
        <v>MIL,2016-17</v>
      </c>
    </row>
    <row r="1710">
      <c r="A1710" s="161" t="str">
        <f>IFERROR(__xludf.DUMMYFUNCTION("""COMPUTED_VALUE"""),"bazemke01")</f>
        <v>bazemke01</v>
      </c>
      <c r="B1710" s="161" t="str">
        <f>IFERROR(__xludf.DUMMYFUNCTION("""COMPUTED_VALUE"""),"Kent Bazemore")</f>
        <v>Kent Bazemore</v>
      </c>
      <c r="C1710" s="162" t="str">
        <f>IFERROR(__xludf.DUMMYFUNCTION("""COMPUTED_VALUE"""),"2016-17")</f>
        <v>2016-17</v>
      </c>
      <c r="D1710" s="163" t="str">
        <f>IFERROR(__xludf.DUMMYFUNCTION("""COMPUTED_VALUE"""),"ATL")</f>
        <v>ATL</v>
      </c>
      <c r="E1710" s="164" t="str">
        <f>IFERROR(__xludf.DUMMYFUNCTION("""COMPUTED_VALUE"""),"Secondary Ball Handler")</f>
        <v>Secondary Ball Handler</v>
      </c>
      <c r="F1710" s="164">
        <f>IFERROR(__xludf.DUMMYFUNCTION("""COMPUTED_VALUE"""),1962.78166666667)</f>
        <v>1962.781667</v>
      </c>
      <c r="G1710" s="163">
        <f>IFERROR(__xludf.DUMMYFUNCTION("""COMPUTED_VALUE"""),73.0)</f>
        <v>73</v>
      </c>
      <c r="H1710" s="163" t="str">
        <f>IFERROR(__xludf.DUMMYFUNCTION("""COMPUTED_VALUE"""),"SF")</f>
        <v>SF</v>
      </c>
      <c r="I1710" s="163">
        <f>IFERROR(__xludf.DUMMYFUNCTION("""COMPUTED_VALUE"""),27.0)</f>
        <v>27</v>
      </c>
      <c r="J1710" s="165">
        <f>IFERROR(__xludf.DUMMYFUNCTION("""COMPUTED_VALUE"""),-0.103577895934216)</f>
        <v>-0.1035778959</v>
      </c>
      <c r="K1710" s="165">
        <f>IFERROR(__xludf.DUMMYFUNCTION("""COMPUTED_VALUE"""),-1.07387290207848)</f>
        <v>-1.073872902</v>
      </c>
      <c r="L1710" s="165">
        <f>IFERROR(__xludf.DUMMYFUNCTION("""COMPUTED_VALUE"""),0.970295006144262)</f>
        <v>0.9702950061</v>
      </c>
      <c r="M1710" s="166">
        <f t="shared" si="2"/>
        <v>2.888893787</v>
      </c>
      <c r="N1710" s="167">
        <f t="shared" si="3"/>
        <v>26.88742009</v>
      </c>
      <c r="O1710" s="163">
        <f t="shared" ref="O1710:Q1710" si="1714">rank(I1710,I:I)</f>
        <v>1366</v>
      </c>
      <c r="P1710" s="163">
        <f t="shared" si="1714"/>
        <v>1387</v>
      </c>
      <c r="Q1710" s="163">
        <f t="shared" si="1714"/>
        <v>2902</v>
      </c>
      <c r="R1710" s="163">
        <f>IFERROR(__xludf.DUMMYFUNCTION("RANK(M1710,filter(M:M,C:C=C1710))"),115.0)</f>
        <v>115</v>
      </c>
      <c r="S1710" s="161" t="b">
        <f t="shared" si="5"/>
        <v>0</v>
      </c>
      <c r="T1710" s="161" t="b">
        <f t="array" ref="T1710">index('Query Tool'!B:B,match(H1710,'Query Tool'!C:C,0))</f>
        <v>1</v>
      </c>
      <c r="U1710" s="161" t="b">
        <f t="array" ref="U1710">index('Query Tool'!B:B,match(C1710,'Query Tool'!C:C,0))</f>
        <v>0</v>
      </c>
      <c r="V1710" s="161" t="b">
        <f>F1710&gt;='Query Tool'!C$32</f>
        <v>1</v>
      </c>
      <c r="W1710" s="161" t="b">
        <f t="array" ref="W1710">index(Dropdowns!B:B,match(I1710,Dropdowns!A:A,0))</f>
        <v>1</v>
      </c>
      <c r="X1710" s="161" t="b">
        <f t="array" ref="X1710">index('Query Tool'!B:B,match(D1710,'Query Tool'!C:C,0))</f>
        <v>1</v>
      </c>
      <c r="Y1710" s="161" t="str">
        <f t="shared" si="6"/>
        <v>bazemke01,2016-17</v>
      </c>
      <c r="Z1710" s="168">
        <f t="array" ref="Z1710">iferror(index(I:I,match($A1710&amp;","&amp;index('Year Conversion'!$A:$A,match($C1710,'Year Conversion'!$B:$B,0)),$Y:$Y,0))-I1710,"")</f>
        <v>1</v>
      </c>
      <c r="AA1710" s="168">
        <f t="array" ref="AA1710">iferror(index(J:J,match($A1710&amp;","&amp;index('Year Conversion'!$A:$A,match($C1710,'Year Conversion'!$B:$B,0)),$Y:$Y,0))-J1710,"")</f>
        <v>-0.05918842132</v>
      </c>
      <c r="AB1710" s="168">
        <f t="array" ref="AB1710">iferror(index(K:K,match($A1710&amp;","&amp;index('Year Conversion'!$A:$A,match($C1710,'Year Conversion'!$B:$B,0)),$Y:$Y,0))-K1710,"")</f>
        <v>0.05983558384</v>
      </c>
      <c r="AC1710" s="168" t="str">
        <f t="shared" si="7"/>
        <v>ATL,2016-17</v>
      </c>
    </row>
    <row r="1711">
      <c r="A1711" s="161" t="str">
        <f>IFERROR(__xludf.DUMMYFUNCTION("""COMPUTED_VALUE"""),"roberbr01")</f>
        <v>roberbr01</v>
      </c>
      <c r="B1711" s="161" t="str">
        <f>IFERROR(__xludf.DUMMYFUNCTION("""COMPUTED_VALUE"""),"Brian Roberts")</f>
        <v>Brian Roberts</v>
      </c>
      <c r="C1711" s="162" t="str">
        <f>IFERROR(__xludf.DUMMYFUNCTION("""COMPUTED_VALUE"""),"2016-17")</f>
        <v>2016-17</v>
      </c>
      <c r="D1711" s="163" t="str">
        <f>IFERROR(__xludf.DUMMYFUNCTION("""COMPUTED_VALUE"""),"CHO")</f>
        <v>CHO</v>
      </c>
      <c r="E1711" s="164" t="str">
        <f>IFERROR(__xludf.DUMMYFUNCTION("""COMPUTED_VALUE"""),"Secondary Ball Handler")</f>
        <v>Secondary Ball Handler</v>
      </c>
      <c r="F1711" s="164">
        <f>IFERROR(__xludf.DUMMYFUNCTION("""COMPUTED_VALUE"""),416.271666666667)</f>
        <v>416.2716667</v>
      </c>
      <c r="G1711" s="163">
        <f>IFERROR(__xludf.DUMMYFUNCTION("""COMPUTED_VALUE"""),41.0)</f>
        <v>41</v>
      </c>
      <c r="H1711" s="163" t="str">
        <f>IFERROR(__xludf.DUMMYFUNCTION("""COMPUTED_VALUE"""),"PG")</f>
        <v>PG</v>
      </c>
      <c r="I1711" s="163">
        <f>IFERROR(__xludf.DUMMYFUNCTION("""COMPUTED_VALUE"""),31.0)</f>
        <v>31</v>
      </c>
      <c r="J1711" s="165">
        <f>IFERROR(__xludf.DUMMYFUNCTION("""COMPUTED_VALUE"""),-2.18822436690154)</f>
        <v>-2.188224367</v>
      </c>
      <c r="K1711" s="165">
        <f>IFERROR(__xludf.DUMMYFUNCTION("""COMPUTED_VALUE"""),-1.39208854478202)</f>
        <v>-1.392088545</v>
      </c>
      <c r="L1711" s="165">
        <f>IFERROR(__xludf.DUMMYFUNCTION("""COMPUTED_VALUE"""),-0.796135822119518)</f>
        <v>-0.7961358221</v>
      </c>
      <c r="M1711" s="166">
        <f t="shared" si="2"/>
        <v>0.0316882181</v>
      </c>
      <c r="N1711" s="167">
        <f t="shared" si="3"/>
        <v>10.15296748</v>
      </c>
      <c r="O1711" s="163">
        <f t="shared" ref="O1711:Q1711" si="1715">rank(I1711,I:I)</f>
        <v>490</v>
      </c>
      <c r="P1711" s="163">
        <f t="shared" si="1715"/>
        <v>3604</v>
      </c>
      <c r="Q1711" s="163">
        <f t="shared" si="1715"/>
        <v>3246</v>
      </c>
      <c r="R1711" s="163">
        <f>IFERROR(__xludf.DUMMYFUNCTION("RANK(M1711,filter(M:M,C:C=C1711))"),422.0)</f>
        <v>422</v>
      </c>
      <c r="S1711" s="161" t="b">
        <f t="shared" si="5"/>
        <v>0</v>
      </c>
      <c r="T1711" s="161" t="b">
        <f t="array" ref="T1711">index('Query Tool'!B:B,match(H1711,'Query Tool'!C:C,0))</f>
        <v>1</v>
      </c>
      <c r="U1711" s="161" t="b">
        <f t="array" ref="U1711">index('Query Tool'!B:B,match(C1711,'Query Tool'!C:C,0))</f>
        <v>0</v>
      </c>
      <c r="V1711" s="161" t="b">
        <f>F1711&gt;='Query Tool'!C$32</f>
        <v>0</v>
      </c>
      <c r="W1711" s="161" t="b">
        <f t="array" ref="W1711">index(Dropdowns!B:B,match(I1711,Dropdowns!A:A,0))</f>
        <v>1</v>
      </c>
      <c r="X1711" s="161" t="b">
        <f t="array" ref="X1711">index('Query Tool'!B:B,match(D1711,'Query Tool'!C:C,0))</f>
        <v>1</v>
      </c>
      <c r="Y1711" s="161" t="str">
        <f t="shared" si="6"/>
        <v>roberbr01,2016-17</v>
      </c>
      <c r="Z1711" s="168" t="str">
        <f t="array" ref="Z1711">iferror(index(I:I,match($A1711&amp;","&amp;index('Year Conversion'!$A:$A,match($C1711,'Year Conversion'!$B:$B,0)),$Y:$Y,0))-I1711,"")</f>
        <v/>
      </c>
      <c r="AA1711" s="168" t="str">
        <f t="array" ref="AA1711">iferror(index(J:J,match($A1711&amp;","&amp;index('Year Conversion'!$A:$A,match($C1711,'Year Conversion'!$B:$B,0)),$Y:$Y,0))-J1711,"")</f>
        <v/>
      </c>
      <c r="AB1711" s="168" t="str">
        <f t="array" ref="AB1711">iferror(index(K:K,match($A1711&amp;","&amp;index('Year Conversion'!$A:$A,match($C1711,'Year Conversion'!$B:$B,0)),$Y:$Y,0))-K1711,"")</f>
        <v/>
      </c>
      <c r="AC1711" s="168" t="str">
        <f t="shared" si="7"/>
        <v>CHO,2016-17</v>
      </c>
    </row>
    <row r="1712">
      <c r="A1712" s="161" t="str">
        <f>IFERROR(__xludf.DUMMYFUNCTION("""COMPUTED_VALUE"""),"reedwi02")</f>
        <v>reedwi02</v>
      </c>
      <c r="B1712" s="161" t="str">
        <f>IFERROR(__xludf.DUMMYFUNCTION("""COMPUTED_VALUE"""),"Willie Reed")</f>
        <v>Willie Reed</v>
      </c>
      <c r="C1712" s="162" t="str">
        <f>IFERROR(__xludf.DUMMYFUNCTION("""COMPUTED_VALUE"""),"2016-17")</f>
        <v>2016-17</v>
      </c>
      <c r="D1712" s="163" t="str">
        <f>IFERROR(__xludf.DUMMYFUNCTION("""COMPUTED_VALUE"""),"MIA")</f>
        <v>MIA</v>
      </c>
      <c r="E1712" s="164" t="str">
        <f>IFERROR(__xludf.DUMMYFUNCTION("""COMPUTED_VALUE"""),"Roll + Cut Big")</f>
        <v>Roll + Cut Big</v>
      </c>
      <c r="F1712" s="164">
        <f>IFERROR(__xludf.DUMMYFUNCTION("""COMPUTED_VALUE"""),1030.71666666667)</f>
        <v>1030.716667</v>
      </c>
      <c r="G1712" s="163">
        <f>IFERROR(__xludf.DUMMYFUNCTION("""COMPUTED_VALUE"""),71.0)</f>
        <v>71</v>
      </c>
      <c r="H1712" s="163" t="str">
        <f>IFERROR(__xludf.DUMMYFUNCTION("""COMPUTED_VALUE"""),"C")</f>
        <v>C</v>
      </c>
      <c r="I1712" s="163">
        <f>IFERROR(__xludf.DUMMYFUNCTION("""COMPUTED_VALUE"""),26.0)</f>
        <v>26</v>
      </c>
      <c r="J1712" s="165">
        <f>IFERROR(__xludf.DUMMYFUNCTION("""COMPUTED_VALUE"""),0.213584181951572)</f>
        <v>0.213584182</v>
      </c>
      <c r="K1712" s="165">
        <f>IFERROR(__xludf.DUMMYFUNCTION("""COMPUTED_VALUE"""),-0.87449147755301)</f>
        <v>-0.8744914776</v>
      </c>
      <c r="L1712" s="165">
        <f>IFERROR(__xludf.DUMMYFUNCTION("""COMPUTED_VALUE"""),1.08807565950458)</f>
        <v>1.08807566</v>
      </c>
      <c r="M1712" s="166">
        <f t="shared" si="2"/>
        <v>1.737431489</v>
      </c>
      <c r="N1712" s="167">
        <f t="shared" si="3"/>
        <v>14.51713615</v>
      </c>
      <c r="O1712" s="163">
        <f t="shared" ref="O1712:Q1712" si="1716">rank(I1712,I:I)</f>
        <v>1665</v>
      </c>
      <c r="P1712" s="163">
        <f t="shared" si="1716"/>
        <v>1076</v>
      </c>
      <c r="Q1712" s="163">
        <f t="shared" si="1716"/>
        <v>2653</v>
      </c>
      <c r="R1712" s="163">
        <f>IFERROR(__xludf.DUMMYFUNCTION("RANK(M1712,filter(M:M,C:C=C1712))"),177.0)</f>
        <v>177</v>
      </c>
      <c r="S1712" s="161" t="b">
        <f t="shared" si="5"/>
        <v>0</v>
      </c>
      <c r="T1712" s="161" t="b">
        <f t="array" ref="T1712">index('Query Tool'!B:B,match(H1712,'Query Tool'!C:C,0))</f>
        <v>1</v>
      </c>
      <c r="U1712" s="161" t="b">
        <f t="array" ref="U1712">index('Query Tool'!B:B,match(C1712,'Query Tool'!C:C,0))</f>
        <v>0</v>
      </c>
      <c r="V1712" s="161" t="b">
        <f>F1712&gt;='Query Tool'!C$32</f>
        <v>1</v>
      </c>
      <c r="W1712" s="161" t="b">
        <f t="array" ref="W1712">index(Dropdowns!B:B,match(I1712,Dropdowns!A:A,0))</f>
        <v>1</v>
      </c>
      <c r="X1712" s="161" t="b">
        <f t="array" ref="X1712">index('Query Tool'!B:B,match(D1712,'Query Tool'!C:C,0))</f>
        <v>1</v>
      </c>
      <c r="Y1712" s="161" t="str">
        <f t="shared" si="6"/>
        <v>reedwi02,2016-17</v>
      </c>
      <c r="Z1712" s="168">
        <f t="array" ref="Z1712">iferror(index(I:I,match($A1712&amp;","&amp;index('Year Conversion'!$A:$A,match($C1712,'Year Conversion'!$B:$B,0)),$Y:$Y,0))-I1712,"")</f>
        <v>1</v>
      </c>
      <c r="AA1712" s="168">
        <f t="array" ref="AA1712">iferror(index(J:J,match($A1712&amp;","&amp;index('Year Conversion'!$A:$A,match($C1712,'Year Conversion'!$B:$B,0)),$Y:$Y,0))-J1712,"")</f>
        <v>-0.2441021645</v>
      </c>
      <c r="AB1712" s="168">
        <f t="array" ref="AB1712">iferror(index(K:K,match($A1712&amp;","&amp;index('Year Conversion'!$A:$A,match($C1712,'Year Conversion'!$B:$B,0)),$Y:$Y,0))-K1712,"")</f>
        <v>0.1165935777</v>
      </c>
      <c r="AC1712" s="168" t="str">
        <f t="shared" si="7"/>
        <v>MIA,2016-17</v>
      </c>
    </row>
    <row r="1713">
      <c r="A1713" s="161" t="str">
        <f>IFERROR(__xludf.DUMMYFUNCTION("""COMPUTED_VALUE"""),"holidju01")</f>
        <v>holidju01</v>
      </c>
      <c r="B1713" s="161" t="str">
        <f>IFERROR(__xludf.DUMMYFUNCTION("""COMPUTED_VALUE"""),"Justin Holiday")</f>
        <v>Justin Holiday</v>
      </c>
      <c r="C1713" s="162" t="str">
        <f>IFERROR(__xludf.DUMMYFUNCTION("""COMPUTED_VALUE"""),"2016-17")</f>
        <v>2016-17</v>
      </c>
      <c r="D1713" s="163" t="str">
        <f>IFERROR(__xludf.DUMMYFUNCTION("""COMPUTED_VALUE"""),"NYK")</f>
        <v>NYK</v>
      </c>
      <c r="E1713" s="164" t="str">
        <f>IFERROR(__xludf.DUMMYFUNCTION("""COMPUTED_VALUE"""),"Movement Shooter")</f>
        <v>Movement Shooter</v>
      </c>
      <c r="F1713" s="164">
        <f>IFERROR(__xludf.DUMMYFUNCTION("""COMPUTED_VALUE"""),1639.12333333333)</f>
        <v>1639.123333</v>
      </c>
      <c r="G1713" s="163">
        <f>IFERROR(__xludf.DUMMYFUNCTION("""COMPUTED_VALUE"""),82.0)</f>
        <v>82</v>
      </c>
      <c r="H1713" s="163" t="str">
        <f>IFERROR(__xludf.DUMMYFUNCTION("""COMPUTED_VALUE"""),"SG")</f>
        <v>SG</v>
      </c>
      <c r="I1713" s="163">
        <f>IFERROR(__xludf.DUMMYFUNCTION("""COMPUTED_VALUE"""),27.0)</f>
        <v>27</v>
      </c>
      <c r="J1713" s="165">
        <f>IFERROR(__xludf.DUMMYFUNCTION("""COMPUTED_VALUE"""),-0.372650788888537)</f>
        <v>-0.3726507889</v>
      </c>
      <c r="K1713" s="165">
        <f>IFERROR(__xludf.DUMMYFUNCTION("""COMPUTED_VALUE"""),-0.448093272544393)</f>
        <v>-0.4480932725</v>
      </c>
      <c r="L1713" s="165">
        <f>IFERROR(__xludf.DUMMYFUNCTION("""COMPUTED_VALUE"""),0.0754424836558559)</f>
        <v>0.07544248366</v>
      </c>
      <c r="M1713" s="166">
        <f t="shared" si="2"/>
        <v>2.115252201</v>
      </c>
      <c r="N1713" s="167">
        <f t="shared" si="3"/>
        <v>19.98930894</v>
      </c>
      <c r="O1713" s="163">
        <f t="shared" ref="O1713:Q1713" si="1717">rank(I1713,I:I)</f>
        <v>1366</v>
      </c>
      <c r="P1713" s="163">
        <f t="shared" si="1717"/>
        <v>1697</v>
      </c>
      <c r="Q1713" s="163">
        <f t="shared" si="1717"/>
        <v>2030</v>
      </c>
      <c r="R1713" s="163">
        <f>IFERROR(__xludf.DUMMYFUNCTION("RANK(M1713,filter(M:M,C:C=C1713))"),155.0)</f>
        <v>155</v>
      </c>
      <c r="S1713" s="161" t="b">
        <f t="shared" si="5"/>
        <v>0</v>
      </c>
      <c r="T1713" s="161" t="b">
        <f t="array" ref="T1713">index('Query Tool'!B:B,match(H1713,'Query Tool'!C:C,0))</f>
        <v>1</v>
      </c>
      <c r="U1713" s="161" t="b">
        <f t="array" ref="U1713">index('Query Tool'!B:B,match(C1713,'Query Tool'!C:C,0))</f>
        <v>0</v>
      </c>
      <c r="V1713" s="161" t="b">
        <f>F1713&gt;='Query Tool'!C$32</f>
        <v>1</v>
      </c>
      <c r="W1713" s="161" t="b">
        <f t="array" ref="W1713">index(Dropdowns!B:B,match(I1713,Dropdowns!A:A,0))</f>
        <v>1</v>
      </c>
      <c r="X1713" s="161" t="b">
        <f t="array" ref="X1713">index('Query Tool'!B:B,match(D1713,'Query Tool'!C:C,0))</f>
        <v>1</v>
      </c>
      <c r="Y1713" s="161" t="str">
        <f t="shared" si="6"/>
        <v>holidju01,2016-17</v>
      </c>
      <c r="Z1713" s="168">
        <f t="array" ref="Z1713">iferror(index(I:I,match($A1713&amp;","&amp;index('Year Conversion'!$A:$A,match($C1713,'Year Conversion'!$B:$B,0)),$Y:$Y,0))-I1713,"")</f>
        <v>1</v>
      </c>
      <c r="AA1713" s="168">
        <f t="array" ref="AA1713">iferror(index(J:J,match($A1713&amp;","&amp;index('Year Conversion'!$A:$A,match($C1713,'Year Conversion'!$B:$B,0)),$Y:$Y,0))-J1713,"")</f>
        <v>0.9863345492</v>
      </c>
      <c r="AB1713" s="168">
        <f t="array" ref="AB1713">iferror(index(K:K,match($A1713&amp;","&amp;index('Year Conversion'!$A:$A,match($C1713,'Year Conversion'!$B:$B,0)),$Y:$Y,0))-K1713,"")</f>
        <v>-0.07906405201</v>
      </c>
      <c r="AC1713" s="168" t="str">
        <f t="shared" si="7"/>
        <v>NYK,2016-17</v>
      </c>
    </row>
    <row r="1714">
      <c r="A1714" s="161" t="str">
        <f>IFERROR(__xludf.DUMMYFUNCTION("""COMPUTED_VALUE"""),"greenja01")</f>
        <v>greenja01</v>
      </c>
      <c r="B1714" s="161" t="str">
        <f>IFERROR(__xludf.DUMMYFUNCTION("""COMPUTED_VALUE"""),"JaMychal Green")</f>
        <v>JaMychal Green</v>
      </c>
      <c r="C1714" s="162" t="str">
        <f>IFERROR(__xludf.DUMMYFUNCTION("""COMPUTED_VALUE"""),"2016-17")</f>
        <v>2016-17</v>
      </c>
      <c r="D1714" s="163" t="str">
        <f>IFERROR(__xludf.DUMMYFUNCTION("""COMPUTED_VALUE"""),"MEM")</f>
        <v>MEM</v>
      </c>
      <c r="E1714" s="164" t="str">
        <f>IFERROR(__xludf.DUMMYFUNCTION("""COMPUTED_VALUE"""),"Stretch Big")</f>
        <v>Stretch Big</v>
      </c>
      <c r="F1714" s="164">
        <f>IFERROR(__xludf.DUMMYFUNCTION("""COMPUTED_VALUE"""),2101.10333333333)</f>
        <v>2101.103333</v>
      </c>
      <c r="G1714" s="163">
        <f>IFERROR(__xludf.DUMMYFUNCTION("""COMPUTED_VALUE"""),77.0)</f>
        <v>77</v>
      </c>
      <c r="H1714" s="163" t="str">
        <f>IFERROR(__xludf.DUMMYFUNCTION("""COMPUTED_VALUE"""),"PF")</f>
        <v>PF</v>
      </c>
      <c r="I1714" s="163">
        <f>IFERROR(__xludf.DUMMYFUNCTION("""COMPUTED_VALUE"""),26.0)</f>
        <v>26</v>
      </c>
      <c r="J1714" s="165">
        <f>IFERROR(__xludf.DUMMYFUNCTION("""COMPUTED_VALUE"""),-0.865230810289334)</f>
        <v>-0.8652308103</v>
      </c>
      <c r="K1714" s="165">
        <f>IFERROR(__xludf.DUMMYFUNCTION("""COMPUTED_VALUE"""),-1.93990749257583)</f>
        <v>-1.939907493</v>
      </c>
      <c r="L1714" s="165">
        <f>IFERROR(__xludf.DUMMYFUNCTION("""COMPUTED_VALUE"""),1.07467668228649)</f>
        <v>1.074676682</v>
      </c>
      <c r="M1714" s="166">
        <f t="shared" si="2"/>
        <v>2.014837828</v>
      </c>
      <c r="N1714" s="167">
        <f t="shared" si="3"/>
        <v>27.28705628</v>
      </c>
      <c r="O1714" s="163">
        <f t="shared" ref="O1714:Q1714" si="1718">rank(I1714,I:I)</f>
        <v>1665</v>
      </c>
      <c r="P1714" s="163">
        <f t="shared" si="1718"/>
        <v>2358</v>
      </c>
      <c r="Q1714" s="163">
        <f t="shared" si="1718"/>
        <v>3679</v>
      </c>
      <c r="R1714" s="163">
        <f>IFERROR(__xludf.DUMMYFUNCTION("RANK(M1714,filter(M:M,C:C=C1714))"),160.0)</f>
        <v>160</v>
      </c>
      <c r="S1714" s="161" t="b">
        <f t="shared" si="5"/>
        <v>0</v>
      </c>
      <c r="T1714" s="161" t="b">
        <f t="array" ref="T1714">index('Query Tool'!B:B,match(H1714,'Query Tool'!C:C,0))</f>
        <v>1</v>
      </c>
      <c r="U1714" s="161" t="b">
        <f t="array" ref="U1714">index('Query Tool'!B:B,match(C1714,'Query Tool'!C:C,0))</f>
        <v>0</v>
      </c>
      <c r="V1714" s="161" t="b">
        <f>F1714&gt;='Query Tool'!C$32</f>
        <v>1</v>
      </c>
      <c r="W1714" s="161" t="b">
        <f t="array" ref="W1714">index(Dropdowns!B:B,match(I1714,Dropdowns!A:A,0))</f>
        <v>1</v>
      </c>
      <c r="X1714" s="161" t="b">
        <f t="array" ref="X1714">index('Query Tool'!B:B,match(D1714,'Query Tool'!C:C,0))</f>
        <v>1</v>
      </c>
      <c r="Y1714" s="161" t="str">
        <f t="shared" si="6"/>
        <v>greenja01,2016-17</v>
      </c>
      <c r="Z1714" s="168">
        <f t="array" ref="Z1714">iferror(index(I:I,match($A1714&amp;","&amp;index('Year Conversion'!$A:$A,match($C1714,'Year Conversion'!$B:$B,0)),$Y:$Y,0))-I1714,"")</f>
        <v>1</v>
      </c>
      <c r="AA1714" s="168">
        <f t="array" ref="AA1714">iferror(index(J:J,match($A1714&amp;","&amp;index('Year Conversion'!$A:$A,match($C1714,'Year Conversion'!$B:$B,0)),$Y:$Y,0))-J1714,"")</f>
        <v>-0.5669380249</v>
      </c>
      <c r="AB1714" s="168">
        <f t="array" ref="AB1714">iferror(index(K:K,match($A1714&amp;","&amp;index('Year Conversion'!$A:$A,match($C1714,'Year Conversion'!$B:$B,0)),$Y:$Y,0))-K1714,"")</f>
        <v>1.070116239</v>
      </c>
      <c r="AC1714" s="168" t="str">
        <f t="shared" si="7"/>
        <v>MEM,2016-17</v>
      </c>
    </row>
    <row r="1715">
      <c r="A1715" s="161" t="str">
        <f>IFERROR(__xludf.DUMMYFUNCTION("""COMPUTED_VALUE"""),"baynear01")</f>
        <v>baynear01</v>
      </c>
      <c r="B1715" s="161" t="str">
        <f>IFERROR(__xludf.DUMMYFUNCTION("""COMPUTED_VALUE"""),"Aron Baynes")</f>
        <v>Aron Baynes</v>
      </c>
      <c r="C1715" s="162" t="str">
        <f>IFERROR(__xludf.DUMMYFUNCTION("""COMPUTED_VALUE"""),"2016-17")</f>
        <v>2016-17</v>
      </c>
      <c r="D1715" s="163" t="str">
        <f>IFERROR(__xludf.DUMMYFUNCTION("""COMPUTED_VALUE"""),"DET")</f>
        <v>DET</v>
      </c>
      <c r="E1715" s="164" t="str">
        <f>IFERROR(__xludf.DUMMYFUNCTION("""COMPUTED_VALUE"""),"Roll + Cut Big")</f>
        <v>Roll + Cut Big</v>
      </c>
      <c r="F1715" s="164">
        <f>IFERROR(__xludf.DUMMYFUNCTION("""COMPUTED_VALUE"""),1162.545)</f>
        <v>1162.545</v>
      </c>
      <c r="G1715" s="163">
        <f>IFERROR(__xludf.DUMMYFUNCTION("""COMPUTED_VALUE"""),75.0)</f>
        <v>75</v>
      </c>
      <c r="H1715" s="163" t="str">
        <f>IFERROR(__xludf.DUMMYFUNCTION("""COMPUTED_VALUE"""),"C")</f>
        <v>C</v>
      </c>
      <c r="I1715" s="163">
        <f>IFERROR(__xludf.DUMMYFUNCTION("""COMPUTED_VALUE"""),30.0)</f>
        <v>30</v>
      </c>
      <c r="J1715" s="165">
        <f>IFERROR(__xludf.DUMMYFUNCTION("""COMPUTED_VALUE"""),0.518712983861285)</f>
        <v>0.5187129839</v>
      </c>
      <c r="K1715" s="165">
        <f>IFERROR(__xludf.DUMMYFUNCTION("""COMPUTED_VALUE"""),-1.37475372685676)</f>
        <v>-1.374753727</v>
      </c>
      <c r="L1715" s="165">
        <f>IFERROR(__xludf.DUMMYFUNCTION("""COMPUTED_VALUE"""),1.89346671071804)</f>
        <v>1.893466711</v>
      </c>
      <c r="M1715" s="166">
        <f t="shared" si="2"/>
        <v>2.198659769</v>
      </c>
      <c r="N1715" s="167">
        <f t="shared" si="3"/>
        <v>15.5006</v>
      </c>
      <c r="O1715" s="163">
        <f t="shared" ref="O1715:Q1715" si="1719">rank(I1715,I:I)</f>
        <v>655</v>
      </c>
      <c r="P1715" s="163">
        <f t="shared" si="1719"/>
        <v>895</v>
      </c>
      <c r="Q1715" s="163">
        <f t="shared" si="1719"/>
        <v>3225</v>
      </c>
      <c r="R1715" s="163">
        <f>IFERROR(__xludf.DUMMYFUNCTION("RANK(M1715,filter(M:M,C:C=C1715))"),147.0)</f>
        <v>147</v>
      </c>
      <c r="S1715" s="161" t="b">
        <f t="shared" si="5"/>
        <v>0</v>
      </c>
      <c r="T1715" s="161" t="b">
        <f t="array" ref="T1715">index('Query Tool'!B:B,match(H1715,'Query Tool'!C:C,0))</f>
        <v>1</v>
      </c>
      <c r="U1715" s="161" t="b">
        <f t="array" ref="U1715">index('Query Tool'!B:B,match(C1715,'Query Tool'!C:C,0))</f>
        <v>0</v>
      </c>
      <c r="V1715" s="161" t="b">
        <f>F1715&gt;='Query Tool'!C$32</f>
        <v>1</v>
      </c>
      <c r="W1715" s="161" t="b">
        <f t="array" ref="W1715">index(Dropdowns!B:B,match(I1715,Dropdowns!A:A,0))</f>
        <v>1</v>
      </c>
      <c r="X1715" s="161" t="b">
        <f t="array" ref="X1715">index('Query Tool'!B:B,match(D1715,'Query Tool'!C:C,0))</f>
        <v>1</v>
      </c>
      <c r="Y1715" s="161" t="str">
        <f t="shared" si="6"/>
        <v>baynear01,2016-17</v>
      </c>
      <c r="Z1715" s="168">
        <f t="array" ref="Z1715">iferror(index(I:I,match($A1715&amp;","&amp;index('Year Conversion'!$A:$A,match($C1715,'Year Conversion'!$B:$B,0)),$Y:$Y,0))-I1715,"")</f>
        <v>1</v>
      </c>
      <c r="AA1715" s="168">
        <f t="array" ref="AA1715">iferror(index(J:J,match($A1715&amp;","&amp;index('Year Conversion'!$A:$A,match($C1715,'Year Conversion'!$B:$B,0)),$Y:$Y,0))-J1715,"")</f>
        <v>-1.146610763</v>
      </c>
      <c r="AB1715" s="168">
        <f t="array" ref="AB1715">iferror(index(K:K,match($A1715&amp;","&amp;index('Year Conversion'!$A:$A,match($C1715,'Year Conversion'!$B:$B,0)),$Y:$Y,0))-K1715,"")</f>
        <v>-1.323779693</v>
      </c>
      <c r="AC1715" s="168" t="str">
        <f t="shared" si="7"/>
        <v>DET,2016-17</v>
      </c>
    </row>
    <row r="1716">
      <c r="A1716" s="161" t="str">
        <f>IFERROR(__xludf.DUMMYFUNCTION("""COMPUTED_VALUE"""),"noelne01")</f>
        <v>noelne01</v>
      </c>
      <c r="B1716" s="161" t="str">
        <f>IFERROR(__xludf.DUMMYFUNCTION("""COMPUTED_VALUE"""),"Nerlens Noel")</f>
        <v>Nerlens Noel</v>
      </c>
      <c r="C1716" s="162" t="str">
        <f>IFERROR(__xludf.DUMMYFUNCTION("""COMPUTED_VALUE"""),"2016-17")</f>
        <v>2016-17</v>
      </c>
      <c r="D1716" s="163" t="str">
        <f>IFERROR(__xludf.DUMMYFUNCTION("""COMPUTED_VALUE"""),"TOT")</f>
        <v>TOT</v>
      </c>
      <c r="E1716" s="164" t="str">
        <f>IFERROR(__xludf.DUMMYFUNCTION("""COMPUTED_VALUE"""),"Roll + Cut Big")</f>
        <v>Roll + Cut Big</v>
      </c>
      <c r="F1716" s="164">
        <f>IFERROR(__xludf.DUMMYFUNCTION("""COMPUTED_VALUE"""),1046.82333333333)</f>
        <v>1046.823333</v>
      </c>
      <c r="G1716" s="163">
        <f>IFERROR(__xludf.DUMMYFUNCTION("""COMPUTED_VALUE"""),51.0)</f>
        <v>51</v>
      </c>
      <c r="H1716" s="163" t="str">
        <f>IFERROR(__xludf.DUMMYFUNCTION("""COMPUTED_VALUE"""),"C")</f>
        <v>C</v>
      </c>
      <c r="I1716" s="163">
        <f>IFERROR(__xludf.DUMMYFUNCTION("""COMPUTED_VALUE"""),22.0)</f>
        <v>22</v>
      </c>
      <c r="J1716" s="165">
        <f>IFERROR(__xludf.DUMMYFUNCTION("""COMPUTED_VALUE"""),2.03225062962975)</f>
        <v>2.03225063</v>
      </c>
      <c r="K1716" s="165">
        <f>IFERROR(__xludf.DUMMYFUNCTION("""COMPUTED_VALUE"""),-0.56843266368761)</f>
        <v>-0.5684326637</v>
      </c>
      <c r="L1716" s="165">
        <f>IFERROR(__xludf.DUMMYFUNCTION("""COMPUTED_VALUE"""),2.60068329331736)</f>
        <v>2.600683293</v>
      </c>
      <c r="M1716" s="166">
        <f t="shared" si="2"/>
        <v>3.039956182</v>
      </c>
      <c r="N1716" s="167">
        <f t="shared" si="3"/>
        <v>20.52594771</v>
      </c>
      <c r="O1716" s="163">
        <f t="shared" ref="O1716:Q1716" si="1720">rank(I1716,I:I)</f>
        <v>3178</v>
      </c>
      <c r="P1716" s="163">
        <f t="shared" si="1720"/>
        <v>314</v>
      </c>
      <c r="Q1716" s="163">
        <f t="shared" si="1720"/>
        <v>2215</v>
      </c>
      <c r="R1716" s="163">
        <f>IFERROR(__xludf.DUMMYFUNCTION("RANK(M1716,filter(M:M,C:C=C1716))"),109.0)</f>
        <v>109</v>
      </c>
      <c r="S1716" s="161" t="b">
        <f t="shared" si="5"/>
        <v>0</v>
      </c>
      <c r="T1716" s="161" t="b">
        <f t="array" ref="T1716">index('Query Tool'!B:B,match(H1716,'Query Tool'!C:C,0))</f>
        <v>1</v>
      </c>
      <c r="U1716" s="161" t="b">
        <f t="array" ref="U1716">index('Query Tool'!B:B,match(C1716,'Query Tool'!C:C,0))</f>
        <v>0</v>
      </c>
      <c r="V1716" s="161" t="b">
        <f>F1716&gt;='Query Tool'!C$32</f>
        <v>1</v>
      </c>
      <c r="W1716" s="161" t="b">
        <f t="array" ref="W1716">index(Dropdowns!B:B,match(I1716,Dropdowns!A:A,0))</f>
        <v>1</v>
      </c>
      <c r="X1716" s="161" t="b">
        <f t="array" ref="X1716">index('Query Tool'!B:B,match(D1716,'Query Tool'!C:C,0))</f>
        <v>1</v>
      </c>
      <c r="Y1716" s="161" t="str">
        <f t="shared" si="6"/>
        <v>noelne01,2016-17</v>
      </c>
      <c r="Z1716" s="168">
        <f t="array" ref="Z1716">iferror(index(I:I,match($A1716&amp;","&amp;index('Year Conversion'!$A:$A,match($C1716,'Year Conversion'!$B:$B,0)),$Y:$Y,0))-I1716,"")</f>
        <v>1</v>
      </c>
      <c r="AA1716" s="168">
        <f t="array" ref="AA1716">iferror(index(J:J,match($A1716&amp;","&amp;index('Year Conversion'!$A:$A,match($C1716,'Year Conversion'!$B:$B,0)),$Y:$Y,0))-J1716,"")</f>
        <v>-2.107443141</v>
      </c>
      <c r="AB1716" s="168">
        <f t="array" ref="AB1716">iferror(index(K:K,match($A1716&amp;","&amp;index('Year Conversion'!$A:$A,match($C1716,'Year Conversion'!$B:$B,0)),$Y:$Y,0))-K1716,"")</f>
        <v>-2.156816516</v>
      </c>
      <c r="AC1716" s="168" t="str">
        <f t="shared" si="7"/>
        <v>TOT,2016-17</v>
      </c>
    </row>
    <row r="1717">
      <c r="A1717" s="161" t="str">
        <f>IFERROR(__xludf.DUMMYFUNCTION("""COMPUTED_VALUE"""),"lenal01")</f>
        <v>lenal01</v>
      </c>
      <c r="B1717" s="161" t="str">
        <f>IFERROR(__xludf.DUMMYFUNCTION("""COMPUTED_VALUE"""),"Alex Len")</f>
        <v>Alex Len</v>
      </c>
      <c r="C1717" s="162" t="str">
        <f>IFERROR(__xludf.DUMMYFUNCTION("""COMPUTED_VALUE"""),"2016-17")</f>
        <v>2016-17</v>
      </c>
      <c r="D1717" s="163" t="str">
        <f>IFERROR(__xludf.DUMMYFUNCTION("""COMPUTED_VALUE"""),"PHO")</f>
        <v>PHO</v>
      </c>
      <c r="E1717" s="164" t="str">
        <f>IFERROR(__xludf.DUMMYFUNCTION("""COMPUTED_VALUE"""),"Post Scorer")</f>
        <v>Post Scorer</v>
      </c>
      <c r="F1717" s="164">
        <f>IFERROR(__xludf.DUMMYFUNCTION("""COMPUTED_VALUE"""),1559.59666666667)</f>
        <v>1559.596667</v>
      </c>
      <c r="G1717" s="163">
        <f>IFERROR(__xludf.DUMMYFUNCTION("""COMPUTED_VALUE"""),77.0)</f>
        <v>77</v>
      </c>
      <c r="H1717" s="163" t="str">
        <f>IFERROR(__xludf.DUMMYFUNCTION("""COMPUTED_VALUE"""),"C")</f>
        <v>C</v>
      </c>
      <c r="I1717" s="163">
        <f>IFERROR(__xludf.DUMMYFUNCTION("""COMPUTED_VALUE"""),23.0)</f>
        <v>23</v>
      </c>
      <c r="J1717" s="165">
        <f>IFERROR(__xludf.DUMMYFUNCTION("""COMPUTED_VALUE"""),-1.97813251750684)</f>
        <v>-1.978132518</v>
      </c>
      <c r="K1717" s="165">
        <f>IFERROR(__xludf.DUMMYFUNCTION("""COMPUTED_VALUE"""),-3.12127342116855)</f>
        <v>-3.121273421</v>
      </c>
      <c r="L1717" s="165">
        <f>IFERROR(__xludf.DUMMYFUNCTION("""COMPUTED_VALUE"""),1.14314090366171)</f>
        <v>1.143140904</v>
      </c>
      <c r="M1717" s="166">
        <f t="shared" si="2"/>
        <v>0.3356758576</v>
      </c>
      <c r="N1717" s="167">
        <f t="shared" si="3"/>
        <v>20.25450216</v>
      </c>
      <c r="O1717" s="163">
        <f t="shared" ref="O1717:Q1717" si="1721">rank(I1717,I:I)</f>
        <v>2765</v>
      </c>
      <c r="P1717" s="163">
        <f t="shared" si="1721"/>
        <v>3463</v>
      </c>
      <c r="Q1717" s="163">
        <f t="shared" si="1721"/>
        <v>3988</v>
      </c>
      <c r="R1717" s="163">
        <f>IFERROR(__xludf.DUMMYFUNCTION("RANK(M1717,filter(M:M,C:C=C1717))"),312.0)</f>
        <v>312</v>
      </c>
      <c r="S1717" s="161" t="b">
        <f t="shared" si="5"/>
        <v>0</v>
      </c>
      <c r="T1717" s="161" t="b">
        <f t="array" ref="T1717">index('Query Tool'!B:B,match(H1717,'Query Tool'!C:C,0))</f>
        <v>1</v>
      </c>
      <c r="U1717" s="161" t="b">
        <f t="array" ref="U1717">index('Query Tool'!B:B,match(C1717,'Query Tool'!C:C,0))</f>
        <v>0</v>
      </c>
      <c r="V1717" s="161" t="b">
        <f>F1717&gt;='Query Tool'!C$32</f>
        <v>1</v>
      </c>
      <c r="W1717" s="161" t="b">
        <f t="array" ref="W1717">index(Dropdowns!B:B,match(I1717,Dropdowns!A:A,0))</f>
        <v>1</v>
      </c>
      <c r="X1717" s="161" t="b">
        <f t="array" ref="X1717">index('Query Tool'!B:B,match(D1717,'Query Tool'!C:C,0))</f>
        <v>1</v>
      </c>
      <c r="Y1717" s="161" t="str">
        <f t="shared" si="6"/>
        <v>lenal01,2016-17</v>
      </c>
      <c r="Z1717" s="168">
        <f t="array" ref="Z1717">iferror(index(I:I,match($A1717&amp;","&amp;index('Year Conversion'!$A:$A,match($C1717,'Year Conversion'!$B:$B,0)),$Y:$Y,0))-I1717,"")</f>
        <v>1</v>
      </c>
      <c r="AA1717" s="168">
        <f t="array" ref="AA1717">iferror(index(J:J,match($A1717&amp;","&amp;index('Year Conversion'!$A:$A,match($C1717,'Year Conversion'!$B:$B,0)),$Y:$Y,0))-J1717,"")</f>
        <v>2.262832854</v>
      </c>
      <c r="AB1717" s="168">
        <f t="array" ref="AB1717">iferror(index(K:K,match($A1717&amp;","&amp;index('Year Conversion'!$A:$A,match($C1717,'Year Conversion'!$B:$B,0)),$Y:$Y,0))-K1717,"")</f>
        <v>2.79389422</v>
      </c>
      <c r="AC1717" s="168" t="str">
        <f t="shared" si="7"/>
        <v>PHO,2016-17</v>
      </c>
    </row>
    <row r="1718">
      <c r="A1718" s="161" t="str">
        <f>IFERROR(__xludf.DUMMYFUNCTION("""COMPUTED_VALUE"""),"crabbal01")</f>
        <v>crabbal01</v>
      </c>
      <c r="B1718" s="161" t="str">
        <f>IFERROR(__xludf.DUMMYFUNCTION("""COMPUTED_VALUE"""),"Allen Crabbe")</f>
        <v>Allen Crabbe</v>
      </c>
      <c r="C1718" s="162" t="str">
        <f>IFERROR(__xludf.DUMMYFUNCTION("""COMPUTED_VALUE"""),"2016-17")</f>
        <v>2016-17</v>
      </c>
      <c r="D1718" s="163" t="str">
        <f>IFERROR(__xludf.DUMMYFUNCTION("""COMPUTED_VALUE"""),"POR")</f>
        <v>POR</v>
      </c>
      <c r="E1718" s="164" t="str">
        <f>IFERROR(__xludf.DUMMYFUNCTION("""COMPUTED_VALUE"""),"Off Screen Shooter")</f>
        <v>Off Screen Shooter</v>
      </c>
      <c r="F1718" s="164">
        <f>IFERROR(__xludf.DUMMYFUNCTION("""COMPUTED_VALUE"""),2254.10833333333)</f>
        <v>2254.108333</v>
      </c>
      <c r="G1718" s="163">
        <f>IFERROR(__xludf.DUMMYFUNCTION("""COMPUTED_VALUE"""),79.0)</f>
        <v>79</v>
      </c>
      <c r="H1718" s="163" t="str">
        <f>IFERROR(__xludf.DUMMYFUNCTION("""COMPUTED_VALUE"""),"SG")</f>
        <v>SG</v>
      </c>
      <c r="I1718" s="163">
        <f>IFERROR(__xludf.DUMMYFUNCTION("""COMPUTED_VALUE"""),24.0)</f>
        <v>24</v>
      </c>
      <c r="J1718" s="165">
        <f>IFERROR(__xludf.DUMMYFUNCTION("""COMPUTED_VALUE"""),-2.42775313989566)</f>
        <v>-2.42775314</v>
      </c>
      <c r="K1718" s="165">
        <f>IFERROR(__xludf.DUMMYFUNCTION("""COMPUTED_VALUE"""),-0.798761284801518)</f>
        <v>-0.7987612848</v>
      </c>
      <c r="L1718" s="165">
        <f>IFERROR(__xludf.DUMMYFUNCTION("""COMPUTED_VALUE"""),-1.62899185509414)</f>
        <v>-1.628991855</v>
      </c>
      <c r="M1718" s="166">
        <f t="shared" si="2"/>
        <v>-0.1844498915</v>
      </c>
      <c r="N1718" s="167">
        <f t="shared" si="3"/>
        <v>28.53301688</v>
      </c>
      <c r="O1718" s="163">
        <f t="shared" ref="O1718:Q1718" si="1722">rank(I1718,I:I)</f>
        <v>2361</v>
      </c>
      <c r="P1718" s="163">
        <f t="shared" si="1722"/>
        <v>3730</v>
      </c>
      <c r="Q1718" s="163">
        <f t="shared" si="1722"/>
        <v>2555</v>
      </c>
      <c r="R1718" s="163">
        <f>IFERROR(__xludf.DUMMYFUNCTION("RANK(M1718,filter(M:M,C:C=C1718))"),464.0)</f>
        <v>464</v>
      </c>
      <c r="S1718" s="161" t="b">
        <f t="shared" si="5"/>
        <v>0</v>
      </c>
      <c r="T1718" s="161" t="b">
        <f t="array" ref="T1718">index('Query Tool'!B:B,match(H1718,'Query Tool'!C:C,0))</f>
        <v>1</v>
      </c>
      <c r="U1718" s="161" t="b">
        <f t="array" ref="U1718">index('Query Tool'!B:B,match(C1718,'Query Tool'!C:C,0))</f>
        <v>0</v>
      </c>
      <c r="V1718" s="161" t="b">
        <f>F1718&gt;='Query Tool'!C$32</f>
        <v>1</v>
      </c>
      <c r="W1718" s="161" t="b">
        <f t="array" ref="W1718">index(Dropdowns!B:B,match(I1718,Dropdowns!A:A,0))</f>
        <v>1</v>
      </c>
      <c r="X1718" s="161" t="b">
        <f t="array" ref="X1718">index('Query Tool'!B:B,match(D1718,'Query Tool'!C:C,0))</f>
        <v>1</v>
      </c>
      <c r="Y1718" s="161" t="str">
        <f t="shared" si="6"/>
        <v>crabbal01,2016-17</v>
      </c>
      <c r="Z1718" s="168">
        <f t="array" ref="Z1718">iferror(index(I:I,match($A1718&amp;","&amp;index('Year Conversion'!$A:$A,match($C1718,'Year Conversion'!$B:$B,0)),$Y:$Y,0))-I1718,"")</f>
        <v>1</v>
      </c>
      <c r="AA1718" s="168">
        <f t="array" ref="AA1718">iferror(index(J:J,match($A1718&amp;","&amp;index('Year Conversion'!$A:$A,match($C1718,'Year Conversion'!$B:$B,0)),$Y:$Y,0))-J1718,"")</f>
        <v>1.639236747</v>
      </c>
      <c r="AB1718" s="168">
        <f t="array" ref="AB1718">iferror(index(K:K,match($A1718&amp;","&amp;index('Year Conversion'!$A:$A,match($C1718,'Year Conversion'!$B:$B,0)),$Y:$Y,0))-K1718,"")</f>
        <v>0.7522118668</v>
      </c>
      <c r="AC1718" s="168" t="str">
        <f t="shared" si="7"/>
        <v>POR,2016-17</v>
      </c>
    </row>
    <row r="1719">
      <c r="A1719" s="161" t="str">
        <f>IFERROR(__xludf.DUMMYFUNCTION("""COMPUTED_VALUE"""),"roberan03")</f>
        <v>roberan03</v>
      </c>
      <c r="B1719" s="161" t="str">
        <f>IFERROR(__xludf.DUMMYFUNCTION("""COMPUTED_VALUE"""),"Andre Roberson")</f>
        <v>Andre Roberson</v>
      </c>
      <c r="C1719" s="162" t="str">
        <f>IFERROR(__xludf.DUMMYFUNCTION("""COMPUTED_VALUE"""),"2016-17")</f>
        <v>2016-17</v>
      </c>
      <c r="D1719" s="163" t="str">
        <f>IFERROR(__xludf.DUMMYFUNCTION("""COMPUTED_VALUE"""),"OKC")</f>
        <v>OKC</v>
      </c>
      <c r="E1719" s="164" t="str">
        <f>IFERROR(__xludf.DUMMYFUNCTION("""COMPUTED_VALUE"""),"Athletic Finisher")</f>
        <v>Athletic Finisher</v>
      </c>
      <c r="F1719" s="164">
        <f>IFERROR(__xludf.DUMMYFUNCTION("""COMPUTED_VALUE"""),2375.83666666667)</f>
        <v>2375.836667</v>
      </c>
      <c r="G1719" s="163">
        <f>IFERROR(__xludf.DUMMYFUNCTION("""COMPUTED_VALUE"""),79.0)</f>
        <v>79</v>
      </c>
      <c r="H1719" s="163" t="str">
        <f>IFERROR(__xludf.DUMMYFUNCTION("""COMPUTED_VALUE"""),"SF")</f>
        <v>SF</v>
      </c>
      <c r="I1719" s="163">
        <f>IFERROR(__xludf.DUMMYFUNCTION("""COMPUTED_VALUE"""),25.0)</f>
        <v>25</v>
      </c>
      <c r="J1719" s="165">
        <f>IFERROR(__xludf.DUMMYFUNCTION("""COMPUTED_VALUE"""),0.478902879983865)</f>
        <v>0.47890288</v>
      </c>
      <c r="K1719" s="165">
        <f>IFERROR(__xludf.DUMMYFUNCTION("""COMPUTED_VALUE"""),-1.51731375576815)</f>
        <v>-1.517313756</v>
      </c>
      <c r="L1719" s="165">
        <f>IFERROR(__xludf.DUMMYFUNCTION("""COMPUTED_VALUE"""),1.99621663575201)</f>
        <v>1.996216636</v>
      </c>
      <c r="M1719" s="166">
        <f t="shared" si="2"/>
        <v>4.429593704</v>
      </c>
      <c r="N1719" s="167">
        <f t="shared" si="3"/>
        <v>30.07388186</v>
      </c>
      <c r="O1719" s="163">
        <f t="shared" ref="O1719:Q1719" si="1723">rank(I1719,I:I)</f>
        <v>1995</v>
      </c>
      <c r="P1719" s="163">
        <f t="shared" si="1723"/>
        <v>910</v>
      </c>
      <c r="Q1719" s="163">
        <f t="shared" si="1723"/>
        <v>3375</v>
      </c>
      <c r="R1719" s="163">
        <f>IFERROR(__xludf.DUMMYFUNCTION("RANK(M1719,filter(M:M,C:C=C1719))"),64.0)</f>
        <v>64</v>
      </c>
      <c r="S1719" s="161" t="b">
        <f t="shared" si="5"/>
        <v>0</v>
      </c>
      <c r="T1719" s="161" t="b">
        <f t="array" ref="T1719">index('Query Tool'!B:B,match(H1719,'Query Tool'!C:C,0))</f>
        <v>1</v>
      </c>
      <c r="U1719" s="161" t="b">
        <f t="array" ref="U1719">index('Query Tool'!B:B,match(C1719,'Query Tool'!C:C,0))</f>
        <v>0</v>
      </c>
      <c r="V1719" s="161" t="b">
        <f>F1719&gt;='Query Tool'!C$32</f>
        <v>1</v>
      </c>
      <c r="W1719" s="161" t="b">
        <f t="array" ref="W1719">index(Dropdowns!B:B,match(I1719,Dropdowns!A:A,0))</f>
        <v>1</v>
      </c>
      <c r="X1719" s="161" t="b">
        <f t="array" ref="X1719">index('Query Tool'!B:B,match(D1719,'Query Tool'!C:C,0))</f>
        <v>1</v>
      </c>
      <c r="Y1719" s="161" t="str">
        <f t="shared" si="6"/>
        <v>roberan03,2016-17</v>
      </c>
      <c r="Z1719" s="168">
        <f t="array" ref="Z1719">iferror(index(I:I,match($A1719&amp;","&amp;index('Year Conversion'!$A:$A,match($C1719,'Year Conversion'!$B:$B,0)),$Y:$Y,0))-I1719,"")</f>
        <v>1</v>
      </c>
      <c r="AA1719" s="168">
        <f t="array" ref="AA1719">iferror(index(J:J,match($A1719&amp;","&amp;index('Year Conversion'!$A:$A,match($C1719,'Year Conversion'!$B:$B,0)),$Y:$Y,0))-J1719,"")</f>
        <v>0.6625920486</v>
      </c>
      <c r="AB1719" s="168">
        <f t="array" ref="AB1719">iferror(index(K:K,match($A1719&amp;","&amp;index('Year Conversion'!$A:$A,match($C1719,'Year Conversion'!$B:$B,0)),$Y:$Y,0))-K1719,"")</f>
        <v>0.2033944254</v>
      </c>
      <c r="AC1719" s="168" t="str">
        <f t="shared" si="7"/>
        <v>OKC,2016-17</v>
      </c>
    </row>
    <row r="1720">
      <c r="A1720" s="161" t="str">
        <f>IFERROR(__xludf.DUMMYFUNCTION("""COMPUTED_VALUE"""),"bennean01")</f>
        <v>bennean01</v>
      </c>
      <c r="B1720" s="161" t="str">
        <f>IFERROR(__xludf.DUMMYFUNCTION("""COMPUTED_VALUE"""),"Anthony Bennett")</f>
        <v>Anthony Bennett</v>
      </c>
      <c r="C1720" s="162" t="str">
        <f>IFERROR(__xludf.DUMMYFUNCTION("""COMPUTED_VALUE"""),"2016-17")</f>
        <v>2016-17</v>
      </c>
      <c r="D1720" s="163" t="str">
        <f>IFERROR(__xludf.DUMMYFUNCTION("""COMPUTED_VALUE"""),"BRK")</f>
        <v>BRK</v>
      </c>
      <c r="E1720" s="164" t="str">
        <f>IFERROR(__xludf.DUMMYFUNCTION("""COMPUTED_VALUE"""),"Stretch Big")</f>
        <v>Stretch Big</v>
      </c>
      <c r="F1720" s="164">
        <f>IFERROR(__xludf.DUMMYFUNCTION("""COMPUTED_VALUE"""),264.15)</f>
        <v>264.15</v>
      </c>
      <c r="G1720" s="163">
        <f>IFERROR(__xludf.DUMMYFUNCTION("""COMPUTED_VALUE"""),23.0)</f>
        <v>23</v>
      </c>
      <c r="H1720" s="163" t="str">
        <f>IFERROR(__xludf.DUMMYFUNCTION("""COMPUTED_VALUE"""),"PF")</f>
        <v>PF</v>
      </c>
      <c r="I1720" s="163">
        <f>IFERROR(__xludf.DUMMYFUNCTION("""COMPUTED_VALUE"""),23.0)</f>
        <v>23</v>
      </c>
      <c r="J1720" s="165">
        <f>IFERROR(__xludf.DUMMYFUNCTION("""COMPUTED_VALUE"""),-0.304700961877943)</f>
        <v>-0.3047009619</v>
      </c>
      <c r="K1720" s="165">
        <f>IFERROR(__xludf.DUMMYFUNCTION("""COMPUTED_VALUE"""),0.611614241428132)</f>
        <v>0.6116142414</v>
      </c>
      <c r="L1720" s="165">
        <f>IFERROR(__xludf.DUMMYFUNCTION("""COMPUTED_VALUE"""),-0.916315203306075)</f>
        <v>-0.9163152033</v>
      </c>
      <c r="M1720" s="166">
        <f t="shared" si="2"/>
        <v>0.3529748943</v>
      </c>
      <c r="N1720" s="167">
        <f t="shared" si="3"/>
        <v>11.48478261</v>
      </c>
      <c r="O1720" s="163">
        <f t="shared" ref="O1720:Q1720" si="1724">rank(I1720,I:I)</f>
        <v>2765</v>
      </c>
      <c r="P1720" s="163">
        <f t="shared" si="1724"/>
        <v>1620</v>
      </c>
      <c r="Q1720" s="163">
        <f t="shared" si="1724"/>
        <v>700</v>
      </c>
      <c r="R1720" s="163">
        <f>IFERROR(__xludf.DUMMYFUNCTION("RANK(M1720,filter(M:M,C:C=C1720))"),307.0)</f>
        <v>307</v>
      </c>
      <c r="S1720" s="161" t="b">
        <f t="shared" si="5"/>
        <v>0</v>
      </c>
      <c r="T1720" s="161" t="b">
        <f t="array" ref="T1720">index('Query Tool'!B:B,match(H1720,'Query Tool'!C:C,0))</f>
        <v>1</v>
      </c>
      <c r="U1720" s="161" t="b">
        <f t="array" ref="U1720">index('Query Tool'!B:B,match(C1720,'Query Tool'!C:C,0))</f>
        <v>0</v>
      </c>
      <c r="V1720" s="161" t="b">
        <f>F1720&gt;='Query Tool'!C$32</f>
        <v>0</v>
      </c>
      <c r="W1720" s="161" t="b">
        <f t="array" ref="W1720">index(Dropdowns!B:B,match(I1720,Dropdowns!A:A,0))</f>
        <v>1</v>
      </c>
      <c r="X1720" s="161" t="b">
        <f t="array" ref="X1720">index('Query Tool'!B:B,match(D1720,'Query Tool'!C:C,0))</f>
        <v>1</v>
      </c>
      <c r="Y1720" s="161" t="str">
        <f t="shared" si="6"/>
        <v>bennean01,2016-17</v>
      </c>
      <c r="Z1720" s="168" t="str">
        <f t="array" ref="Z1720">iferror(index(I:I,match($A1720&amp;","&amp;index('Year Conversion'!$A:$A,match($C1720,'Year Conversion'!$B:$B,0)),$Y:$Y,0))-I1720,"")</f>
        <v/>
      </c>
      <c r="AA1720" s="168" t="str">
        <f t="array" ref="AA1720">iferror(index(J:J,match($A1720&amp;","&amp;index('Year Conversion'!$A:$A,match($C1720,'Year Conversion'!$B:$B,0)),$Y:$Y,0))-J1720,"")</f>
        <v/>
      </c>
      <c r="AB1720" s="168" t="str">
        <f t="array" ref="AB1720">iferror(index(K:K,match($A1720&amp;","&amp;index('Year Conversion'!$A:$A,match($C1720,'Year Conversion'!$B:$B,0)),$Y:$Y,0))-K1720,"")</f>
        <v/>
      </c>
      <c r="AC1720" s="168" t="str">
        <f t="shared" si="7"/>
        <v>BRK,2016-17</v>
      </c>
    </row>
    <row r="1721">
      <c r="A1721" s="161" t="str">
        <f>IFERROR(__xludf.DUMMYFUNCTION("""COMPUTED_VALUE"""),"goodwar01")</f>
        <v>goodwar01</v>
      </c>
      <c r="B1721" s="161" t="str">
        <f>IFERROR(__xludf.DUMMYFUNCTION("""COMPUTED_VALUE"""),"Archie Goodwin")</f>
        <v>Archie Goodwin</v>
      </c>
      <c r="C1721" s="162" t="str">
        <f>IFERROR(__xludf.DUMMYFUNCTION("""COMPUTED_VALUE"""),"2016-17")</f>
        <v>2016-17</v>
      </c>
      <c r="D1721" s="163" t="str">
        <f>IFERROR(__xludf.DUMMYFUNCTION("""COMPUTED_VALUE"""),"TOT")</f>
        <v>TOT</v>
      </c>
      <c r="E1721" s="164" t="str">
        <f>IFERROR(__xludf.DUMMYFUNCTION("""COMPUTED_VALUE"""),"Slasher")</f>
        <v>Slasher</v>
      </c>
      <c r="F1721" s="164">
        <f>IFERROR(__xludf.DUMMYFUNCTION("""COMPUTED_VALUE"""),214.14)</f>
        <v>214.14</v>
      </c>
      <c r="G1721" s="163">
        <f>IFERROR(__xludf.DUMMYFUNCTION("""COMPUTED_VALUE"""),15.0)</f>
        <v>15</v>
      </c>
      <c r="H1721" s="163" t="str">
        <f>IFERROR(__xludf.DUMMYFUNCTION("""COMPUTED_VALUE"""),"SG")</f>
        <v>SG</v>
      </c>
      <c r="I1721" s="163">
        <f>IFERROR(__xludf.DUMMYFUNCTION("""COMPUTED_VALUE"""),22.0)</f>
        <v>22</v>
      </c>
      <c r="J1721" s="165">
        <f>IFERROR(__xludf.DUMMYFUNCTION("""COMPUTED_VALUE"""),-0.294857653757897)</f>
        <v>-0.2948576538</v>
      </c>
      <c r="K1721" s="165">
        <f>IFERROR(__xludf.DUMMYFUNCTION("""COMPUTED_VALUE"""),-0.0278800124237753)</f>
        <v>-0.02788001242</v>
      </c>
      <c r="L1721" s="165">
        <f>IFERROR(__xludf.DUMMYFUNCTION("""COMPUTED_VALUE"""),-0.266977641334121)</f>
        <v>-0.2669776413</v>
      </c>
      <c r="M1721" s="166">
        <f t="shared" si="2"/>
        <v>0.2875687442</v>
      </c>
      <c r="N1721" s="167">
        <f t="shared" si="3"/>
        <v>14.276</v>
      </c>
      <c r="O1721" s="163">
        <f t="shared" ref="O1721:Q1721" si="1725">rank(I1721,I:I)</f>
        <v>3178</v>
      </c>
      <c r="P1721" s="163">
        <f t="shared" si="1725"/>
        <v>1603</v>
      </c>
      <c r="Q1721" s="163">
        <f t="shared" si="1725"/>
        <v>1236</v>
      </c>
      <c r="R1721" s="163">
        <f>IFERROR(__xludf.DUMMYFUNCTION("RANK(M1721,filter(M:M,C:C=C1721))"),322.0)</f>
        <v>322</v>
      </c>
      <c r="S1721" s="161" t="b">
        <f t="shared" si="5"/>
        <v>0</v>
      </c>
      <c r="T1721" s="161" t="b">
        <f t="array" ref="T1721">index('Query Tool'!B:B,match(H1721,'Query Tool'!C:C,0))</f>
        <v>1</v>
      </c>
      <c r="U1721" s="161" t="b">
        <f t="array" ref="U1721">index('Query Tool'!B:B,match(C1721,'Query Tool'!C:C,0))</f>
        <v>0</v>
      </c>
      <c r="V1721" s="161" t="b">
        <f>F1721&gt;='Query Tool'!C$32</f>
        <v>0</v>
      </c>
      <c r="W1721" s="161" t="b">
        <f t="array" ref="W1721">index(Dropdowns!B:B,match(I1721,Dropdowns!A:A,0))</f>
        <v>1</v>
      </c>
      <c r="X1721" s="161" t="b">
        <f t="array" ref="X1721">index('Query Tool'!B:B,match(D1721,'Query Tool'!C:C,0))</f>
        <v>1</v>
      </c>
      <c r="Y1721" s="161" t="str">
        <f t="shared" si="6"/>
        <v>goodwar01,2016-17</v>
      </c>
      <c r="Z1721" s="168" t="str">
        <f t="array" ref="Z1721">iferror(index(I:I,match($A1721&amp;","&amp;index('Year Conversion'!$A:$A,match($C1721,'Year Conversion'!$B:$B,0)),$Y:$Y,0))-I1721,"")</f>
        <v/>
      </c>
      <c r="AA1721" s="168" t="str">
        <f t="array" ref="AA1721">iferror(index(J:J,match($A1721&amp;","&amp;index('Year Conversion'!$A:$A,match($C1721,'Year Conversion'!$B:$B,0)),$Y:$Y,0))-J1721,"")</f>
        <v/>
      </c>
      <c r="AB1721" s="168" t="str">
        <f t="array" ref="AB1721">iferror(index(K:K,match($A1721&amp;","&amp;index('Year Conversion'!$A:$A,match($C1721,'Year Conversion'!$B:$B,0)),$Y:$Y,0))-K1721,"")</f>
        <v/>
      </c>
      <c r="AC1721" s="168" t="str">
        <f t="shared" si="7"/>
        <v>TOT,2016-17</v>
      </c>
    </row>
    <row r="1722">
      <c r="A1722" s="161" t="str">
        <f>IFERROR(__xludf.DUMMYFUNCTION("""COMPUTED_VALUE"""),"mclembe01")</f>
        <v>mclembe01</v>
      </c>
      <c r="B1722" s="161" t="str">
        <f>IFERROR(__xludf.DUMMYFUNCTION("""COMPUTED_VALUE"""),"Ben McLemore")</f>
        <v>Ben McLemore</v>
      </c>
      <c r="C1722" s="162" t="str">
        <f>IFERROR(__xludf.DUMMYFUNCTION("""COMPUTED_VALUE"""),"2016-17")</f>
        <v>2016-17</v>
      </c>
      <c r="D1722" s="163" t="str">
        <f>IFERROR(__xludf.DUMMYFUNCTION("""COMPUTED_VALUE"""),"SAC")</f>
        <v>SAC</v>
      </c>
      <c r="E1722" s="164" t="str">
        <f>IFERROR(__xludf.DUMMYFUNCTION("""COMPUTED_VALUE"""),"Movement Shooter")</f>
        <v>Movement Shooter</v>
      </c>
      <c r="F1722" s="164">
        <f>IFERROR(__xludf.DUMMYFUNCTION("""COMPUTED_VALUE"""),1176.23833333333)</f>
        <v>1176.238333</v>
      </c>
      <c r="G1722" s="163">
        <f>IFERROR(__xludf.DUMMYFUNCTION("""COMPUTED_VALUE"""),61.0)</f>
        <v>61</v>
      </c>
      <c r="H1722" s="163" t="str">
        <f>IFERROR(__xludf.DUMMYFUNCTION("""COMPUTED_VALUE"""),"SG")</f>
        <v>SG</v>
      </c>
      <c r="I1722" s="163">
        <f>IFERROR(__xludf.DUMMYFUNCTION("""COMPUTED_VALUE"""),23.0)</f>
        <v>23</v>
      </c>
      <c r="J1722" s="165">
        <f>IFERROR(__xludf.DUMMYFUNCTION("""COMPUTED_VALUE"""),-1.9217044795761)</f>
        <v>-1.92170448</v>
      </c>
      <c r="K1722" s="165">
        <f>IFERROR(__xludf.DUMMYFUNCTION("""COMPUTED_VALUE"""),-1.56057515681908)</f>
        <v>-1.560575157</v>
      </c>
      <c r="L1722" s="165">
        <f>IFERROR(__xludf.DUMMYFUNCTION("""COMPUTED_VALUE"""),-0.361129322757027)</f>
        <v>-0.3611293228</v>
      </c>
      <c r="M1722" s="166">
        <f t="shared" si="2"/>
        <v>0.2972108691</v>
      </c>
      <c r="N1722" s="167">
        <f t="shared" si="3"/>
        <v>19.28259563</v>
      </c>
      <c r="O1722" s="163">
        <f t="shared" ref="O1722:Q1722" si="1726">rank(I1722,I:I)</f>
        <v>2765</v>
      </c>
      <c r="P1722" s="163">
        <f t="shared" si="1726"/>
        <v>3428</v>
      </c>
      <c r="Q1722" s="163">
        <f t="shared" si="1726"/>
        <v>3413</v>
      </c>
      <c r="R1722" s="163">
        <f>IFERROR(__xludf.DUMMYFUNCTION("RANK(M1722,filter(M:M,C:C=C1722))"),319.0)</f>
        <v>319</v>
      </c>
      <c r="S1722" s="161" t="b">
        <f t="shared" si="5"/>
        <v>0</v>
      </c>
      <c r="T1722" s="161" t="b">
        <f t="array" ref="T1722">index('Query Tool'!B:B,match(H1722,'Query Tool'!C:C,0))</f>
        <v>1</v>
      </c>
      <c r="U1722" s="161" t="b">
        <f t="array" ref="U1722">index('Query Tool'!B:B,match(C1722,'Query Tool'!C:C,0))</f>
        <v>0</v>
      </c>
      <c r="V1722" s="161" t="b">
        <f>F1722&gt;='Query Tool'!C$32</f>
        <v>1</v>
      </c>
      <c r="W1722" s="161" t="b">
        <f t="array" ref="W1722">index(Dropdowns!B:B,match(I1722,Dropdowns!A:A,0))</f>
        <v>1</v>
      </c>
      <c r="X1722" s="161" t="b">
        <f t="array" ref="X1722">index('Query Tool'!B:B,match(D1722,'Query Tool'!C:C,0))</f>
        <v>1</v>
      </c>
      <c r="Y1722" s="161" t="str">
        <f t="shared" si="6"/>
        <v>mclembe01,2016-17</v>
      </c>
      <c r="Z1722" s="168">
        <f t="array" ref="Z1722">iferror(index(I:I,match($A1722&amp;","&amp;index('Year Conversion'!$A:$A,match($C1722,'Year Conversion'!$B:$B,0)),$Y:$Y,0))-I1722,"")</f>
        <v>1</v>
      </c>
      <c r="AA1722" s="168">
        <f t="array" ref="AA1722">iferror(index(J:J,match($A1722&amp;","&amp;index('Year Conversion'!$A:$A,match($C1722,'Year Conversion'!$B:$B,0)),$Y:$Y,0))-J1722,"")</f>
        <v>-1.300943271</v>
      </c>
      <c r="AB1722" s="168">
        <f t="array" ref="AB1722">iferror(index(K:K,match($A1722&amp;","&amp;index('Year Conversion'!$A:$A,match($C1722,'Year Conversion'!$B:$B,0)),$Y:$Y,0))-K1722,"")</f>
        <v>-0.6935445042</v>
      </c>
      <c r="AC1722" s="168" t="str">
        <f t="shared" si="7"/>
        <v>SAC,2016-17</v>
      </c>
    </row>
    <row r="1723">
      <c r="A1723" s="161" t="str">
        <f>IFERROR(__xludf.DUMMYFUNCTION("""COMPUTED_VALUE"""),"mccolcj01")</f>
        <v>mccolcj01</v>
      </c>
      <c r="B1723" s="161" t="str">
        <f>IFERROR(__xludf.DUMMYFUNCTION("""COMPUTED_VALUE"""),"CJ McCollum")</f>
        <v>CJ McCollum</v>
      </c>
      <c r="C1723" s="162" t="str">
        <f>IFERROR(__xludf.DUMMYFUNCTION("""COMPUTED_VALUE"""),"2016-17")</f>
        <v>2016-17</v>
      </c>
      <c r="D1723" s="163" t="str">
        <f>IFERROR(__xludf.DUMMYFUNCTION("""COMPUTED_VALUE"""),"POR")</f>
        <v>POR</v>
      </c>
      <c r="E1723" s="164" t="str">
        <f>IFERROR(__xludf.DUMMYFUNCTION("""COMPUTED_VALUE"""),"Primary Ball Handler")</f>
        <v>Primary Ball Handler</v>
      </c>
      <c r="F1723" s="164">
        <f>IFERROR(__xludf.DUMMYFUNCTION("""COMPUTED_VALUE"""),2795.58)</f>
        <v>2795.58</v>
      </c>
      <c r="G1723" s="163">
        <f>IFERROR(__xludf.DUMMYFUNCTION("""COMPUTED_VALUE"""),80.0)</f>
        <v>80</v>
      </c>
      <c r="H1723" s="163" t="str">
        <f>IFERROR(__xludf.DUMMYFUNCTION("""COMPUTED_VALUE"""),"SG")</f>
        <v>SG</v>
      </c>
      <c r="I1723" s="163">
        <f>IFERROR(__xludf.DUMMYFUNCTION("""COMPUTED_VALUE"""),25.0)</f>
        <v>25</v>
      </c>
      <c r="J1723" s="165">
        <f>IFERROR(__xludf.DUMMYFUNCTION("""COMPUTED_VALUE"""),1.46019034605146)</f>
        <v>1.460190346</v>
      </c>
      <c r="K1723" s="165">
        <f>IFERROR(__xludf.DUMMYFUNCTION("""COMPUTED_VALUE"""),2.21825225779346)</f>
        <v>2.218252258</v>
      </c>
      <c r="L1723" s="165">
        <f>IFERROR(__xludf.DUMMYFUNCTION("""COMPUTED_VALUE"""),-0.758061911742003)</f>
        <v>-0.7580619117</v>
      </c>
      <c r="M1723" s="166">
        <f t="shared" si="2"/>
        <v>7.05382578</v>
      </c>
      <c r="N1723" s="167">
        <f t="shared" si="3"/>
        <v>34.94475</v>
      </c>
      <c r="O1723" s="163">
        <f t="shared" ref="O1723:Q1723" si="1727">rank(I1723,I:I)</f>
        <v>1995</v>
      </c>
      <c r="P1723" s="163">
        <f t="shared" si="1727"/>
        <v>470</v>
      </c>
      <c r="Q1723" s="163">
        <f t="shared" si="1727"/>
        <v>196</v>
      </c>
      <c r="R1723" s="163">
        <f>IFERROR(__xludf.DUMMYFUNCTION("RANK(M1723,filter(M:M,C:C=C1723))"),31.0)</f>
        <v>31</v>
      </c>
      <c r="S1723" s="161" t="b">
        <f t="shared" si="5"/>
        <v>0</v>
      </c>
      <c r="T1723" s="161" t="b">
        <f t="array" ref="T1723">index('Query Tool'!B:B,match(H1723,'Query Tool'!C:C,0))</f>
        <v>1</v>
      </c>
      <c r="U1723" s="161" t="b">
        <f t="array" ref="U1723">index('Query Tool'!B:B,match(C1723,'Query Tool'!C:C,0))</f>
        <v>0</v>
      </c>
      <c r="V1723" s="161" t="b">
        <f>F1723&gt;='Query Tool'!C$32</f>
        <v>1</v>
      </c>
      <c r="W1723" s="161" t="b">
        <f t="array" ref="W1723">index(Dropdowns!B:B,match(I1723,Dropdowns!A:A,0))</f>
        <v>1</v>
      </c>
      <c r="X1723" s="161" t="b">
        <f t="array" ref="X1723">index('Query Tool'!B:B,match(D1723,'Query Tool'!C:C,0))</f>
        <v>1</v>
      </c>
      <c r="Y1723" s="161" t="str">
        <f t="shared" si="6"/>
        <v>mccolcj01,2016-17</v>
      </c>
      <c r="Z1723" s="168">
        <f t="array" ref="Z1723">iferror(index(I:I,match($A1723&amp;","&amp;index('Year Conversion'!$A:$A,match($C1723,'Year Conversion'!$B:$B,0)),$Y:$Y,0))-I1723,"")</f>
        <v>1</v>
      </c>
      <c r="AA1723" s="168">
        <f t="array" ref="AA1723">iferror(index(J:J,match($A1723&amp;","&amp;index('Year Conversion'!$A:$A,match($C1723,'Year Conversion'!$B:$B,0)),$Y:$Y,0))-J1723,"")</f>
        <v>-0.6545762852</v>
      </c>
      <c r="AB1723" s="168">
        <f t="array" ref="AB1723">iferror(index(K:K,match($A1723&amp;","&amp;index('Year Conversion'!$A:$A,match($C1723,'Year Conversion'!$B:$B,0)),$Y:$Y,0))-K1723,"")</f>
        <v>-0.9029080442</v>
      </c>
      <c r="AC1723" s="168" t="str">
        <f t="shared" si="7"/>
        <v>POR,2016-17</v>
      </c>
    </row>
    <row r="1724">
      <c r="A1724" s="161" t="str">
        <f>IFERROR(__xludf.DUMMYFUNCTION("""COMPUTED_VALUE"""),"zelleco01")</f>
        <v>zelleco01</v>
      </c>
      <c r="B1724" s="161" t="str">
        <f>IFERROR(__xludf.DUMMYFUNCTION("""COMPUTED_VALUE"""),"Cody Zeller")</f>
        <v>Cody Zeller</v>
      </c>
      <c r="C1724" s="162" t="str">
        <f>IFERROR(__xludf.DUMMYFUNCTION("""COMPUTED_VALUE"""),"2016-17")</f>
        <v>2016-17</v>
      </c>
      <c r="D1724" s="163" t="str">
        <f>IFERROR(__xludf.DUMMYFUNCTION("""COMPUTED_VALUE"""),"CHO")</f>
        <v>CHO</v>
      </c>
      <c r="E1724" s="164" t="str">
        <f>IFERROR(__xludf.DUMMYFUNCTION("""COMPUTED_VALUE"""),"Roll + Cut Big")</f>
        <v>Roll + Cut Big</v>
      </c>
      <c r="F1724" s="164">
        <f>IFERROR(__xludf.DUMMYFUNCTION("""COMPUTED_VALUE"""),1725.47166666667)</f>
        <v>1725.471667</v>
      </c>
      <c r="G1724" s="163">
        <f>IFERROR(__xludf.DUMMYFUNCTION("""COMPUTED_VALUE"""),62.0)</f>
        <v>62</v>
      </c>
      <c r="H1724" s="163" t="str">
        <f>IFERROR(__xludf.DUMMYFUNCTION("""COMPUTED_VALUE"""),"C")</f>
        <v>C</v>
      </c>
      <c r="I1724" s="163">
        <f>IFERROR(__xludf.DUMMYFUNCTION("""COMPUTED_VALUE"""),24.0)</f>
        <v>24</v>
      </c>
      <c r="J1724" s="165">
        <f>IFERROR(__xludf.DUMMYFUNCTION("""COMPUTED_VALUE"""),1.65878639743482)</f>
        <v>1.658786397</v>
      </c>
      <c r="K1724" s="165">
        <f>IFERROR(__xludf.DUMMYFUNCTION("""COMPUTED_VALUE"""),-0.240723703089777)</f>
        <v>-0.2407237031</v>
      </c>
      <c r="L1724" s="165">
        <f>IFERROR(__xludf.DUMMYFUNCTION("""COMPUTED_VALUE"""),1.89951010052459)</f>
        <v>1.899510101</v>
      </c>
      <c r="M1724" s="166">
        <f t="shared" si="2"/>
        <v>4.582418397</v>
      </c>
      <c r="N1724" s="167">
        <f t="shared" si="3"/>
        <v>27.83018817</v>
      </c>
      <c r="O1724" s="163">
        <f t="shared" ref="O1724:Q1724" si="1728">rank(I1724,I:I)</f>
        <v>2361</v>
      </c>
      <c r="P1724" s="163">
        <f t="shared" si="1728"/>
        <v>409</v>
      </c>
      <c r="Q1724" s="163">
        <f t="shared" si="1728"/>
        <v>1646</v>
      </c>
      <c r="R1724" s="163">
        <f>IFERROR(__xludf.DUMMYFUNCTION("RANK(M1724,filter(M:M,C:C=C1724))"),59.0)</f>
        <v>59</v>
      </c>
      <c r="S1724" s="161" t="b">
        <f t="shared" si="5"/>
        <v>0</v>
      </c>
      <c r="T1724" s="161" t="b">
        <f t="array" ref="T1724">index('Query Tool'!B:B,match(H1724,'Query Tool'!C:C,0))</f>
        <v>1</v>
      </c>
      <c r="U1724" s="161" t="b">
        <f t="array" ref="U1724">index('Query Tool'!B:B,match(C1724,'Query Tool'!C:C,0))</f>
        <v>0</v>
      </c>
      <c r="V1724" s="161" t="b">
        <f>F1724&gt;='Query Tool'!C$32</f>
        <v>1</v>
      </c>
      <c r="W1724" s="161" t="b">
        <f t="array" ref="W1724">index(Dropdowns!B:B,match(I1724,Dropdowns!A:A,0))</f>
        <v>1</v>
      </c>
      <c r="X1724" s="161" t="b">
        <f t="array" ref="X1724">index('Query Tool'!B:B,match(D1724,'Query Tool'!C:C,0))</f>
        <v>1</v>
      </c>
      <c r="Y1724" s="161" t="str">
        <f t="shared" si="6"/>
        <v>zelleco01,2016-17</v>
      </c>
      <c r="Z1724" s="168">
        <f t="array" ref="Z1724">iferror(index(I:I,match($A1724&amp;","&amp;index('Year Conversion'!$A:$A,match($C1724,'Year Conversion'!$B:$B,0)),$Y:$Y,0))-I1724,"")</f>
        <v>1</v>
      </c>
      <c r="AA1724" s="168">
        <f t="array" ref="AA1724">iferror(index(J:J,match($A1724&amp;","&amp;index('Year Conversion'!$A:$A,match($C1724,'Year Conversion'!$B:$B,0)),$Y:$Y,0))-J1724,"")</f>
        <v>-1.722851513</v>
      </c>
      <c r="AB1724" s="168">
        <f t="array" ref="AB1724">iferror(index(K:K,match($A1724&amp;","&amp;index('Year Conversion'!$A:$A,match($C1724,'Year Conversion'!$B:$B,0)),$Y:$Y,0))-K1724,"")</f>
        <v>-0.7074990299</v>
      </c>
      <c r="AC1724" s="168" t="str">
        <f t="shared" si="7"/>
        <v>CHO,2016-17</v>
      </c>
    </row>
    <row r="1725">
      <c r="A1725" s="161" t="str">
        <f>IFERROR(__xludf.DUMMYFUNCTION("""COMPUTED_VALUE"""),"schrode01")</f>
        <v>schrode01</v>
      </c>
      <c r="B1725" s="161" t="str">
        <f>IFERROR(__xludf.DUMMYFUNCTION("""COMPUTED_VALUE"""),"Dennis Schroder")</f>
        <v>Dennis Schroder</v>
      </c>
      <c r="C1725" s="162" t="str">
        <f>IFERROR(__xludf.DUMMYFUNCTION("""COMPUTED_VALUE"""),"2016-17")</f>
        <v>2016-17</v>
      </c>
      <c r="D1725" s="163" t="str">
        <f>IFERROR(__xludf.DUMMYFUNCTION("""COMPUTED_VALUE"""),"ATL")</f>
        <v>ATL</v>
      </c>
      <c r="E1725" s="164" t="str">
        <f>IFERROR(__xludf.DUMMYFUNCTION("""COMPUTED_VALUE"""),"Slasher")</f>
        <v>Slasher</v>
      </c>
      <c r="F1725" s="164">
        <f>IFERROR(__xludf.DUMMYFUNCTION("""COMPUTED_VALUE"""),2484.82333333333)</f>
        <v>2484.823333</v>
      </c>
      <c r="G1725" s="163">
        <f>IFERROR(__xludf.DUMMYFUNCTION("""COMPUTED_VALUE"""),79.0)</f>
        <v>79</v>
      </c>
      <c r="H1725" s="163" t="str">
        <f>IFERROR(__xludf.DUMMYFUNCTION("""COMPUTED_VALUE"""),"PG")</f>
        <v>PG</v>
      </c>
      <c r="I1725" s="163">
        <f>IFERROR(__xludf.DUMMYFUNCTION("""COMPUTED_VALUE"""),23.0)</f>
        <v>23</v>
      </c>
      <c r="J1725" s="165">
        <f>IFERROR(__xludf.DUMMYFUNCTION("""COMPUTED_VALUE"""),-1.19295720338564)</f>
        <v>-1.192957203</v>
      </c>
      <c r="K1725" s="165">
        <f>IFERROR(__xludf.DUMMYFUNCTION("""COMPUTED_VALUE"""),0.130650047958445)</f>
        <v>0.130650048</v>
      </c>
      <c r="L1725" s="165">
        <f>IFERROR(__xludf.DUMMYFUNCTION("""COMPUTED_VALUE"""),-1.32360725134409)</f>
        <v>-1.323607251</v>
      </c>
      <c r="M1725" s="166">
        <f t="shared" si="2"/>
        <v>1.836218299</v>
      </c>
      <c r="N1725" s="167">
        <f t="shared" si="3"/>
        <v>31.45345992</v>
      </c>
      <c r="O1725" s="163">
        <f t="shared" ref="O1725:Q1725" si="1729">rank(I1725,I:I)</f>
        <v>2765</v>
      </c>
      <c r="P1725" s="163">
        <f t="shared" si="1729"/>
        <v>2735</v>
      </c>
      <c r="Q1725" s="163">
        <f t="shared" si="1729"/>
        <v>1041</v>
      </c>
      <c r="R1725" s="163">
        <f>IFERROR(__xludf.DUMMYFUNCTION("RANK(M1725,filter(M:M,C:C=C1725))"),169.0)</f>
        <v>169</v>
      </c>
      <c r="S1725" s="161" t="b">
        <f t="shared" si="5"/>
        <v>0</v>
      </c>
      <c r="T1725" s="161" t="b">
        <f t="array" ref="T1725">index('Query Tool'!B:B,match(H1725,'Query Tool'!C:C,0))</f>
        <v>1</v>
      </c>
      <c r="U1725" s="161" t="b">
        <f t="array" ref="U1725">index('Query Tool'!B:B,match(C1725,'Query Tool'!C:C,0))</f>
        <v>0</v>
      </c>
      <c r="V1725" s="161" t="b">
        <f>F1725&gt;='Query Tool'!C$32</f>
        <v>1</v>
      </c>
      <c r="W1725" s="161" t="b">
        <f t="array" ref="W1725">index(Dropdowns!B:B,match(I1725,Dropdowns!A:A,0))</f>
        <v>1</v>
      </c>
      <c r="X1725" s="161" t="b">
        <f t="array" ref="X1725">index('Query Tool'!B:B,match(D1725,'Query Tool'!C:C,0))</f>
        <v>1</v>
      </c>
      <c r="Y1725" s="161" t="str">
        <f t="shared" si="6"/>
        <v>schrode01,2016-17</v>
      </c>
      <c r="Z1725" s="168">
        <f t="array" ref="Z1725">iferror(index(I:I,match($A1725&amp;","&amp;index('Year Conversion'!$A:$A,match($C1725,'Year Conversion'!$B:$B,0)),$Y:$Y,0))-I1725,"")</f>
        <v>1</v>
      </c>
      <c r="AA1725" s="168">
        <f t="array" ref="AA1725">iferror(index(J:J,match($A1725&amp;","&amp;index('Year Conversion'!$A:$A,match($C1725,'Year Conversion'!$B:$B,0)),$Y:$Y,0))-J1725,"")</f>
        <v>0.8804755393</v>
      </c>
      <c r="AB1725" s="168">
        <f t="array" ref="AB1725">iferror(index(K:K,match($A1725&amp;","&amp;index('Year Conversion'!$A:$A,match($C1725,'Year Conversion'!$B:$B,0)),$Y:$Y,0))-K1725,"")</f>
        <v>1.092813158</v>
      </c>
      <c r="AC1725" s="168" t="str">
        <f t="shared" si="7"/>
        <v>ATL,2016-17</v>
      </c>
    </row>
    <row r="1726">
      <c r="A1726" s="161" t="str">
        <f>IFERROR(__xludf.DUMMYFUNCTION("""COMPUTED_VALUE"""),"dedmode01")</f>
        <v>dedmode01</v>
      </c>
      <c r="B1726" s="161" t="str">
        <f>IFERROR(__xludf.DUMMYFUNCTION("""COMPUTED_VALUE"""),"Dewayne Dedmon")</f>
        <v>Dewayne Dedmon</v>
      </c>
      <c r="C1726" s="162" t="str">
        <f>IFERROR(__xludf.DUMMYFUNCTION("""COMPUTED_VALUE"""),"2016-17")</f>
        <v>2016-17</v>
      </c>
      <c r="D1726" s="163" t="str">
        <f>IFERROR(__xludf.DUMMYFUNCTION("""COMPUTED_VALUE"""),"SAS")</f>
        <v>SAS</v>
      </c>
      <c r="E1726" s="164" t="str">
        <f>IFERROR(__xludf.DUMMYFUNCTION("""COMPUTED_VALUE"""),"Roll + Cut Big")</f>
        <v>Roll + Cut Big</v>
      </c>
      <c r="F1726" s="164">
        <f>IFERROR(__xludf.DUMMYFUNCTION("""COMPUTED_VALUE"""),1329.68833333333)</f>
        <v>1329.688333</v>
      </c>
      <c r="G1726" s="163">
        <f>IFERROR(__xludf.DUMMYFUNCTION("""COMPUTED_VALUE"""),76.0)</f>
        <v>76</v>
      </c>
      <c r="H1726" s="163" t="str">
        <f>IFERROR(__xludf.DUMMYFUNCTION("""COMPUTED_VALUE"""),"C")</f>
        <v>C</v>
      </c>
      <c r="I1726" s="163">
        <f>IFERROR(__xludf.DUMMYFUNCTION("""COMPUTED_VALUE"""),27.0)</f>
        <v>27</v>
      </c>
      <c r="J1726" s="165">
        <f>IFERROR(__xludf.DUMMYFUNCTION("""COMPUTED_VALUE"""),1.77855225842805)</f>
        <v>1.778552258</v>
      </c>
      <c r="K1726" s="165">
        <f>IFERROR(__xludf.DUMMYFUNCTION("""COMPUTED_VALUE"""),-1.39053863893463)</f>
        <v>-1.390538639</v>
      </c>
      <c r="L1726" s="165">
        <f>IFERROR(__xludf.DUMMYFUNCTION("""COMPUTED_VALUE"""),3.16909089736268)</f>
        <v>3.169090897</v>
      </c>
      <c r="M1726" s="166">
        <f t="shared" si="2"/>
        <v>3.637371624</v>
      </c>
      <c r="N1726" s="167">
        <f t="shared" si="3"/>
        <v>17.49589912</v>
      </c>
      <c r="O1726" s="163">
        <f t="shared" ref="O1726:Q1726" si="1730">rank(I1726,I:I)</f>
        <v>1366</v>
      </c>
      <c r="P1726" s="163">
        <f t="shared" si="1730"/>
        <v>378</v>
      </c>
      <c r="Q1726" s="163">
        <f t="shared" si="1730"/>
        <v>3243</v>
      </c>
      <c r="R1726" s="163">
        <f>IFERROR(__xludf.DUMMYFUNCTION("RANK(M1726,filter(M:M,C:C=C1726))"),97.0)</f>
        <v>97</v>
      </c>
      <c r="S1726" s="161" t="b">
        <f t="shared" si="5"/>
        <v>0</v>
      </c>
      <c r="T1726" s="161" t="b">
        <f t="array" ref="T1726">index('Query Tool'!B:B,match(H1726,'Query Tool'!C:C,0))</f>
        <v>1</v>
      </c>
      <c r="U1726" s="161" t="b">
        <f t="array" ref="U1726">index('Query Tool'!B:B,match(C1726,'Query Tool'!C:C,0))</f>
        <v>0</v>
      </c>
      <c r="V1726" s="161" t="b">
        <f>F1726&gt;='Query Tool'!C$32</f>
        <v>1</v>
      </c>
      <c r="W1726" s="161" t="b">
        <f t="array" ref="W1726">index(Dropdowns!B:B,match(I1726,Dropdowns!A:A,0))</f>
        <v>1</v>
      </c>
      <c r="X1726" s="161" t="b">
        <f t="array" ref="X1726">index('Query Tool'!B:B,match(D1726,'Query Tool'!C:C,0))</f>
        <v>1</v>
      </c>
      <c r="Y1726" s="161" t="str">
        <f t="shared" si="6"/>
        <v>dedmode01,2016-17</v>
      </c>
      <c r="Z1726" s="168">
        <f t="array" ref="Z1726">iferror(index(I:I,match($A1726&amp;","&amp;index('Year Conversion'!$A:$A,match($C1726,'Year Conversion'!$B:$B,0)),$Y:$Y,0))-I1726,"")</f>
        <v>1</v>
      </c>
      <c r="AA1726" s="168">
        <f t="array" ref="AA1726">iferror(index(J:J,match($A1726&amp;","&amp;index('Year Conversion'!$A:$A,match($C1726,'Year Conversion'!$B:$B,0)),$Y:$Y,0))-J1726,"")</f>
        <v>-2.440725201</v>
      </c>
      <c r="AB1726" s="168">
        <f t="array" ref="AB1726">iferror(index(K:K,match($A1726&amp;","&amp;index('Year Conversion'!$A:$A,match($C1726,'Year Conversion'!$B:$B,0)),$Y:$Y,0))-K1726,"")</f>
        <v>0.1643692091</v>
      </c>
      <c r="AC1726" s="168" t="str">
        <f t="shared" si="7"/>
        <v>SAS,2016-17</v>
      </c>
    </row>
    <row r="1727">
      <c r="A1727" s="161" t="str">
        <f>IFERROR(__xludf.DUMMYFUNCTION("""COMPUTED_VALUE"""),"dienggo01")</f>
        <v>dienggo01</v>
      </c>
      <c r="B1727" s="161" t="str">
        <f>IFERROR(__xludf.DUMMYFUNCTION("""COMPUTED_VALUE"""),"Gorgui Dieng")</f>
        <v>Gorgui Dieng</v>
      </c>
      <c r="C1727" s="162" t="str">
        <f>IFERROR(__xludf.DUMMYFUNCTION("""COMPUTED_VALUE"""),"2016-17")</f>
        <v>2016-17</v>
      </c>
      <c r="D1727" s="163" t="str">
        <f>IFERROR(__xludf.DUMMYFUNCTION("""COMPUTED_VALUE"""),"MIN")</f>
        <v>MIN</v>
      </c>
      <c r="E1727" s="164" t="str">
        <f>IFERROR(__xludf.DUMMYFUNCTION("""COMPUTED_VALUE"""),"Roll + Cut Big")</f>
        <v>Roll + Cut Big</v>
      </c>
      <c r="F1727" s="164">
        <f>IFERROR(__xludf.DUMMYFUNCTION("""COMPUTED_VALUE"""),2653.215)</f>
        <v>2653.215</v>
      </c>
      <c r="G1727" s="163">
        <f>IFERROR(__xludf.DUMMYFUNCTION("""COMPUTED_VALUE"""),82.0)</f>
        <v>82</v>
      </c>
      <c r="H1727" s="163" t="str">
        <f>IFERROR(__xludf.DUMMYFUNCTION("""COMPUTED_VALUE"""),"PF")</f>
        <v>PF</v>
      </c>
      <c r="I1727" s="163">
        <f>IFERROR(__xludf.DUMMYFUNCTION("""COMPUTED_VALUE"""),27.0)</f>
        <v>27</v>
      </c>
      <c r="J1727" s="165">
        <f>IFERROR(__xludf.DUMMYFUNCTION("""COMPUTED_VALUE"""),0.324341524852457)</f>
        <v>0.3243415249</v>
      </c>
      <c r="K1727" s="165">
        <f>IFERROR(__xludf.DUMMYFUNCTION("""COMPUTED_VALUE"""),-1.44774719465346)</f>
        <v>-1.447747195</v>
      </c>
      <c r="L1727" s="165">
        <f>IFERROR(__xludf.DUMMYFUNCTION("""COMPUTED_VALUE"""),1.77208871950592)</f>
        <v>1.77208872</v>
      </c>
      <c r="M1727" s="166">
        <f t="shared" si="2"/>
        <v>4.670460916</v>
      </c>
      <c r="N1727" s="167">
        <f t="shared" si="3"/>
        <v>32.35628049</v>
      </c>
      <c r="O1727" s="163">
        <f t="shared" ref="O1727:Q1727" si="1731">rank(I1727,I:I)</f>
        <v>1366</v>
      </c>
      <c r="P1727" s="163">
        <f t="shared" si="1731"/>
        <v>1000</v>
      </c>
      <c r="Q1727" s="163">
        <f t="shared" si="1731"/>
        <v>3296</v>
      </c>
      <c r="R1727" s="163">
        <f>IFERROR(__xludf.DUMMYFUNCTION("RANK(M1727,filter(M:M,C:C=C1727))"),58.0)</f>
        <v>58</v>
      </c>
      <c r="S1727" s="161" t="b">
        <f t="shared" si="5"/>
        <v>0</v>
      </c>
      <c r="T1727" s="161" t="b">
        <f t="array" ref="T1727">index('Query Tool'!B:B,match(H1727,'Query Tool'!C:C,0))</f>
        <v>1</v>
      </c>
      <c r="U1727" s="161" t="b">
        <f t="array" ref="U1727">index('Query Tool'!B:B,match(C1727,'Query Tool'!C:C,0))</f>
        <v>0</v>
      </c>
      <c r="V1727" s="161" t="b">
        <f>F1727&gt;='Query Tool'!C$32</f>
        <v>1</v>
      </c>
      <c r="W1727" s="161" t="b">
        <f t="array" ref="W1727">index(Dropdowns!B:B,match(I1727,Dropdowns!A:A,0))</f>
        <v>1</v>
      </c>
      <c r="X1727" s="161" t="b">
        <f t="array" ref="X1727">index('Query Tool'!B:B,match(D1727,'Query Tool'!C:C,0))</f>
        <v>1</v>
      </c>
      <c r="Y1727" s="161" t="str">
        <f t="shared" si="6"/>
        <v>dienggo01,2016-17</v>
      </c>
      <c r="Z1727" s="168">
        <f t="array" ref="Z1727">iferror(index(I:I,match($A1727&amp;","&amp;index('Year Conversion'!$A:$A,match($C1727,'Year Conversion'!$B:$B,0)),$Y:$Y,0))-I1727,"")</f>
        <v>1</v>
      </c>
      <c r="AA1727" s="168">
        <f t="array" ref="AA1727">iferror(index(J:J,match($A1727&amp;","&amp;index('Year Conversion'!$A:$A,match($C1727,'Year Conversion'!$B:$B,0)),$Y:$Y,0))-J1727,"")</f>
        <v>-1.864911231</v>
      </c>
      <c r="AB1727" s="168">
        <f t="array" ref="AB1727">iferror(index(K:K,match($A1727&amp;","&amp;index('Year Conversion'!$A:$A,match($C1727,'Year Conversion'!$B:$B,0)),$Y:$Y,0))-K1727,"")</f>
        <v>0.05220005481</v>
      </c>
      <c r="AC1727" s="168" t="str">
        <f t="shared" si="7"/>
        <v>MIN,2016-17</v>
      </c>
    </row>
    <row r="1728">
      <c r="A1728" s="161" t="str">
        <f>IFERROR(__xludf.DUMMYFUNCTION("""COMPUTED_VALUE"""),"canaais01")</f>
        <v>canaais01</v>
      </c>
      <c r="B1728" s="161" t="str">
        <f>IFERROR(__xludf.DUMMYFUNCTION("""COMPUTED_VALUE"""),"Isaiah Canaan")</f>
        <v>Isaiah Canaan</v>
      </c>
      <c r="C1728" s="162" t="str">
        <f>IFERROR(__xludf.DUMMYFUNCTION("""COMPUTED_VALUE"""),"2016-17")</f>
        <v>2016-17</v>
      </c>
      <c r="D1728" s="163" t="str">
        <f>IFERROR(__xludf.DUMMYFUNCTION("""COMPUTED_VALUE"""),"CHI")</f>
        <v>CHI</v>
      </c>
      <c r="E1728" s="164" t="str">
        <f>IFERROR(__xludf.DUMMYFUNCTION("""COMPUTED_VALUE"""),"Secondary Ball Handler")</f>
        <v>Secondary Ball Handler</v>
      </c>
      <c r="F1728" s="164">
        <f>IFERROR(__xludf.DUMMYFUNCTION("""COMPUTED_VALUE"""),592.106666666667)</f>
        <v>592.1066667</v>
      </c>
      <c r="G1728" s="163">
        <f>IFERROR(__xludf.DUMMYFUNCTION("""COMPUTED_VALUE"""),39.0)</f>
        <v>39</v>
      </c>
      <c r="H1728" s="163" t="str">
        <f>IFERROR(__xludf.DUMMYFUNCTION("""COMPUTED_VALUE"""),"SG")</f>
        <v>SG</v>
      </c>
      <c r="I1728" s="163">
        <f>IFERROR(__xludf.DUMMYFUNCTION("""COMPUTED_VALUE"""),25.0)</f>
        <v>25</v>
      </c>
      <c r="J1728" s="165">
        <f>IFERROR(__xludf.DUMMYFUNCTION("""COMPUTED_VALUE"""),-2.22383568502195)</f>
        <v>-2.223835685</v>
      </c>
      <c r="K1728" s="165">
        <f>IFERROR(__xludf.DUMMYFUNCTION("""COMPUTED_VALUE"""),-1.48441408807757)</f>
        <v>-1.484414088</v>
      </c>
      <c r="L1728" s="165">
        <f>IFERROR(__xludf.DUMMYFUNCTION("""COMPUTED_VALUE"""),-0.739421596944384)</f>
        <v>-0.7394215969</v>
      </c>
      <c r="M1728" s="166">
        <f t="shared" si="2"/>
        <v>0.03114217838</v>
      </c>
      <c r="N1728" s="167">
        <f t="shared" si="3"/>
        <v>15.18222222</v>
      </c>
      <c r="O1728" s="163">
        <f t="shared" ref="O1728:Q1728" si="1732">rank(I1728,I:I)</f>
        <v>1995</v>
      </c>
      <c r="P1728" s="163">
        <f t="shared" si="1732"/>
        <v>3615</v>
      </c>
      <c r="Q1728" s="163">
        <f t="shared" si="1732"/>
        <v>3340</v>
      </c>
      <c r="R1728" s="163">
        <f>IFERROR(__xludf.DUMMYFUNCTION("RANK(M1728,filter(M:M,C:C=C1728))"),423.0)</f>
        <v>423</v>
      </c>
      <c r="S1728" s="161" t="b">
        <f t="shared" si="5"/>
        <v>0</v>
      </c>
      <c r="T1728" s="161" t="b">
        <f t="array" ref="T1728">index('Query Tool'!B:B,match(H1728,'Query Tool'!C:C,0))</f>
        <v>1</v>
      </c>
      <c r="U1728" s="161" t="b">
        <f t="array" ref="U1728">index('Query Tool'!B:B,match(C1728,'Query Tool'!C:C,0))</f>
        <v>0</v>
      </c>
      <c r="V1728" s="161" t="b">
        <f>F1728&gt;='Query Tool'!C$32</f>
        <v>1</v>
      </c>
      <c r="W1728" s="161" t="b">
        <f t="array" ref="W1728">index(Dropdowns!B:B,match(I1728,Dropdowns!A:A,0))</f>
        <v>1</v>
      </c>
      <c r="X1728" s="161" t="b">
        <f t="array" ref="X1728">index('Query Tool'!B:B,match(D1728,'Query Tool'!C:C,0))</f>
        <v>1</v>
      </c>
      <c r="Y1728" s="161" t="str">
        <f t="shared" si="6"/>
        <v>canaais01,2016-17</v>
      </c>
      <c r="Z1728" s="168">
        <f t="array" ref="Z1728">iferror(index(I:I,match($A1728&amp;","&amp;index('Year Conversion'!$A:$A,match($C1728,'Year Conversion'!$B:$B,0)),$Y:$Y,0))-I1728,"")</f>
        <v>1</v>
      </c>
      <c r="AA1728" s="168">
        <f t="array" ref="AA1728">iferror(index(J:J,match($A1728&amp;","&amp;index('Year Conversion'!$A:$A,match($C1728,'Year Conversion'!$B:$B,0)),$Y:$Y,0))-J1728,"")</f>
        <v>2.568231031</v>
      </c>
      <c r="AB1728" s="168">
        <f t="array" ref="AB1728">iferror(index(K:K,match($A1728&amp;","&amp;index('Year Conversion'!$A:$A,match($C1728,'Year Conversion'!$B:$B,0)),$Y:$Y,0))-K1728,"")</f>
        <v>2.297346555</v>
      </c>
      <c r="AC1728" s="168" t="str">
        <f t="shared" si="7"/>
        <v>CHI,2016-17</v>
      </c>
    </row>
    <row r="1729">
      <c r="A1729" s="161" t="str">
        <f>IFERROR(__xludf.DUMMYFUNCTION("""COMPUTED_VALUE"""),"witheje01")</f>
        <v>witheje01</v>
      </c>
      <c r="B1729" s="161" t="str">
        <f>IFERROR(__xludf.DUMMYFUNCTION("""COMPUTED_VALUE"""),"Jeff Withey")</f>
        <v>Jeff Withey</v>
      </c>
      <c r="C1729" s="162" t="str">
        <f>IFERROR(__xludf.DUMMYFUNCTION("""COMPUTED_VALUE"""),"2016-17")</f>
        <v>2016-17</v>
      </c>
      <c r="D1729" s="163" t="str">
        <f>IFERROR(__xludf.DUMMYFUNCTION("""COMPUTED_VALUE"""),"UTA")</f>
        <v>UTA</v>
      </c>
      <c r="E1729" s="164" t="str">
        <f>IFERROR(__xludf.DUMMYFUNCTION("""COMPUTED_VALUE"""),"Roll + Cut Big")</f>
        <v>Roll + Cut Big</v>
      </c>
      <c r="F1729" s="164">
        <f>IFERROR(__xludf.DUMMYFUNCTION("""COMPUTED_VALUE"""),432.348333333333)</f>
        <v>432.3483333</v>
      </c>
      <c r="G1729" s="163">
        <f>IFERROR(__xludf.DUMMYFUNCTION("""COMPUTED_VALUE"""),51.0)</f>
        <v>51</v>
      </c>
      <c r="H1729" s="163" t="str">
        <f>IFERROR(__xludf.DUMMYFUNCTION("""COMPUTED_VALUE"""),"C")</f>
        <v>C</v>
      </c>
      <c r="I1729" s="163">
        <f>IFERROR(__xludf.DUMMYFUNCTION("""COMPUTED_VALUE"""),26.0)</f>
        <v>26</v>
      </c>
      <c r="J1729" s="165">
        <f>IFERROR(__xludf.DUMMYFUNCTION("""COMPUTED_VALUE"""),0.791914140120499)</f>
        <v>0.7919141401</v>
      </c>
      <c r="K1729" s="165">
        <f>IFERROR(__xludf.DUMMYFUNCTION("""COMPUTED_VALUE"""),-0.384277364680791)</f>
        <v>-0.3842773647</v>
      </c>
      <c r="L1729" s="165">
        <f>IFERROR(__xludf.DUMMYFUNCTION("""COMPUTED_VALUE"""),1.17619150480129)</f>
        <v>1.176191505</v>
      </c>
      <c r="M1729" s="166">
        <f t="shared" si="2"/>
        <v>0.8971670939</v>
      </c>
      <c r="N1729" s="167">
        <f t="shared" si="3"/>
        <v>8.477418301</v>
      </c>
      <c r="O1729" s="163">
        <f t="shared" ref="O1729:Q1729" si="1733">rank(I1729,I:I)</f>
        <v>1665</v>
      </c>
      <c r="P1729" s="163">
        <f t="shared" si="1733"/>
        <v>751</v>
      </c>
      <c r="Q1729" s="163">
        <f t="shared" si="1733"/>
        <v>1922</v>
      </c>
      <c r="R1729" s="163">
        <f>IFERROR(__xludf.DUMMYFUNCTION("RANK(M1729,filter(M:M,C:C=C1729))"),233.0)</f>
        <v>233</v>
      </c>
      <c r="S1729" s="161" t="b">
        <f t="shared" si="5"/>
        <v>0</v>
      </c>
      <c r="T1729" s="161" t="b">
        <f t="array" ref="T1729">index('Query Tool'!B:B,match(H1729,'Query Tool'!C:C,0))</f>
        <v>1</v>
      </c>
      <c r="U1729" s="161" t="b">
        <f t="array" ref="U1729">index('Query Tool'!B:B,match(C1729,'Query Tool'!C:C,0))</f>
        <v>0</v>
      </c>
      <c r="V1729" s="161" t="b">
        <f>F1729&gt;='Query Tool'!C$32</f>
        <v>0</v>
      </c>
      <c r="W1729" s="161" t="b">
        <f t="array" ref="W1729">index(Dropdowns!B:B,match(I1729,Dropdowns!A:A,0))</f>
        <v>1</v>
      </c>
      <c r="X1729" s="161" t="b">
        <f t="array" ref="X1729">index('Query Tool'!B:B,match(D1729,'Query Tool'!C:C,0))</f>
        <v>1</v>
      </c>
      <c r="Y1729" s="161" t="str">
        <f t="shared" si="6"/>
        <v>witheje01,2016-17</v>
      </c>
      <c r="Z1729" s="168">
        <f t="array" ref="Z1729">iferror(index(I:I,match($A1729&amp;","&amp;index('Year Conversion'!$A:$A,match($C1729,'Year Conversion'!$B:$B,0)),$Y:$Y,0))-I1729,"")</f>
        <v>1</v>
      </c>
      <c r="AA1729" s="168">
        <f t="array" ref="AA1729">iferror(index(J:J,match($A1729&amp;","&amp;index('Year Conversion'!$A:$A,match($C1729,'Year Conversion'!$B:$B,0)),$Y:$Y,0))-J1729,"")</f>
        <v>-0.6645908457</v>
      </c>
      <c r="AB1729" s="168">
        <f t="array" ref="AB1729">iferror(index(K:K,match($A1729&amp;","&amp;index('Year Conversion'!$A:$A,match($C1729,'Year Conversion'!$B:$B,0)),$Y:$Y,0))-K1729,"")</f>
        <v>0.332276144</v>
      </c>
      <c r="AC1729" s="168" t="str">
        <f t="shared" si="7"/>
        <v>UTA,2016-17</v>
      </c>
    </row>
    <row r="1730">
      <c r="A1730" s="161" t="str">
        <f>IFERROR(__xludf.DUMMYFUNCTION("""COMPUTED_VALUE"""),"olynyke01")</f>
        <v>olynyke01</v>
      </c>
      <c r="B1730" s="161" t="str">
        <f>IFERROR(__xludf.DUMMYFUNCTION("""COMPUTED_VALUE"""),"Kelly Olynyk")</f>
        <v>Kelly Olynyk</v>
      </c>
      <c r="C1730" s="162" t="str">
        <f>IFERROR(__xludf.DUMMYFUNCTION("""COMPUTED_VALUE"""),"2016-17")</f>
        <v>2016-17</v>
      </c>
      <c r="D1730" s="163" t="str">
        <f>IFERROR(__xludf.DUMMYFUNCTION("""COMPUTED_VALUE"""),"BOS")</f>
        <v>BOS</v>
      </c>
      <c r="E1730" s="164" t="str">
        <f>IFERROR(__xludf.DUMMYFUNCTION("""COMPUTED_VALUE"""),"Stretch Big")</f>
        <v>Stretch Big</v>
      </c>
      <c r="F1730" s="164">
        <f>IFERROR(__xludf.DUMMYFUNCTION("""COMPUTED_VALUE"""),1538.33)</f>
        <v>1538.33</v>
      </c>
      <c r="G1730" s="163">
        <f>IFERROR(__xludf.DUMMYFUNCTION("""COMPUTED_VALUE"""),75.0)</f>
        <v>75</v>
      </c>
      <c r="H1730" s="163" t="str">
        <f>IFERROR(__xludf.DUMMYFUNCTION("""COMPUTED_VALUE"""),"C")</f>
        <v>C</v>
      </c>
      <c r="I1730" s="163">
        <f>IFERROR(__xludf.DUMMYFUNCTION("""COMPUTED_VALUE"""),25.0)</f>
        <v>25</v>
      </c>
      <c r="J1730" s="165">
        <f>IFERROR(__xludf.DUMMYFUNCTION("""COMPUTED_VALUE"""),-0.667785135640762)</f>
        <v>-0.6677851356</v>
      </c>
      <c r="K1730" s="165">
        <f>IFERROR(__xludf.DUMMYFUNCTION("""COMPUTED_VALUE"""),-0.774264697885229)</f>
        <v>-0.7742646979</v>
      </c>
      <c r="L1730" s="165">
        <f>IFERROR(__xludf.DUMMYFUNCTION("""COMPUTED_VALUE"""),0.106479562244467)</f>
        <v>0.1064795622</v>
      </c>
      <c r="M1730" s="166">
        <f t="shared" si="2"/>
        <v>1.679443202</v>
      </c>
      <c r="N1730" s="167">
        <f t="shared" si="3"/>
        <v>20.51106667</v>
      </c>
      <c r="O1730" s="163">
        <f t="shared" ref="O1730:Q1730" si="1734">rank(I1730,I:I)</f>
        <v>1995</v>
      </c>
      <c r="P1730" s="163">
        <f t="shared" si="1734"/>
        <v>2091</v>
      </c>
      <c r="Q1730" s="163">
        <f t="shared" si="1734"/>
        <v>2522</v>
      </c>
      <c r="R1730" s="163">
        <f>IFERROR(__xludf.DUMMYFUNCTION("RANK(M1730,filter(M:M,C:C=C1730))"),182.0)</f>
        <v>182</v>
      </c>
      <c r="S1730" s="161" t="b">
        <f t="shared" si="5"/>
        <v>0</v>
      </c>
      <c r="T1730" s="161" t="b">
        <f t="array" ref="T1730">index('Query Tool'!B:B,match(H1730,'Query Tool'!C:C,0))</f>
        <v>1</v>
      </c>
      <c r="U1730" s="161" t="b">
        <f t="array" ref="U1730">index('Query Tool'!B:B,match(C1730,'Query Tool'!C:C,0))</f>
        <v>0</v>
      </c>
      <c r="V1730" s="161" t="b">
        <f>F1730&gt;='Query Tool'!C$32</f>
        <v>1</v>
      </c>
      <c r="W1730" s="161" t="b">
        <f t="array" ref="W1730">index(Dropdowns!B:B,match(I1730,Dropdowns!A:A,0))</f>
        <v>1</v>
      </c>
      <c r="X1730" s="161" t="b">
        <f t="array" ref="X1730">index('Query Tool'!B:B,match(D1730,'Query Tool'!C:C,0))</f>
        <v>1</v>
      </c>
      <c r="Y1730" s="161" t="str">
        <f t="shared" si="6"/>
        <v>olynyke01,2016-17</v>
      </c>
      <c r="Z1730" s="168">
        <f t="array" ref="Z1730">iferror(index(I:I,match($A1730&amp;","&amp;index('Year Conversion'!$A:$A,match($C1730,'Year Conversion'!$B:$B,0)),$Y:$Y,0))-I1730,"")</f>
        <v>1</v>
      </c>
      <c r="AA1730" s="168">
        <f t="array" ref="AA1730">iferror(index(J:J,match($A1730&amp;","&amp;index('Year Conversion'!$A:$A,match($C1730,'Year Conversion'!$B:$B,0)),$Y:$Y,0))-J1730,"")</f>
        <v>2.081688232</v>
      </c>
      <c r="AB1730" s="168">
        <f t="array" ref="AB1730">iferror(index(K:K,match($A1730&amp;","&amp;index('Year Conversion'!$A:$A,match($C1730,'Year Conversion'!$B:$B,0)),$Y:$Y,0))-K1730,"")</f>
        <v>1.724950474</v>
      </c>
      <c r="AC1730" s="168" t="str">
        <f t="shared" si="7"/>
        <v>BOS,2016-17</v>
      </c>
    </row>
    <row r="1731">
      <c r="A1731" s="161" t="str">
        <f>IFERROR(__xludf.DUMMYFUNCTION("""COMPUTED_VALUE"""),"caldwke01")</f>
        <v>caldwke01</v>
      </c>
      <c r="B1731" s="161" t="str">
        <f>IFERROR(__xludf.DUMMYFUNCTION("""COMPUTED_VALUE"""),"Kentavious Caldwell-Pope")</f>
        <v>Kentavious Caldwell-Pope</v>
      </c>
      <c r="C1731" s="162" t="str">
        <f>IFERROR(__xludf.DUMMYFUNCTION("""COMPUTED_VALUE"""),"2016-17")</f>
        <v>2016-17</v>
      </c>
      <c r="D1731" s="163" t="str">
        <f>IFERROR(__xludf.DUMMYFUNCTION("""COMPUTED_VALUE"""),"DET")</f>
        <v>DET</v>
      </c>
      <c r="E1731" s="164" t="str">
        <f>IFERROR(__xludf.DUMMYFUNCTION("""COMPUTED_VALUE"""),"Secondary Ball Handler")</f>
        <v>Secondary Ball Handler</v>
      </c>
      <c r="F1731" s="164">
        <f>IFERROR(__xludf.DUMMYFUNCTION("""COMPUTED_VALUE"""),2528.49333333333)</f>
        <v>2528.493333</v>
      </c>
      <c r="G1731" s="163">
        <f>IFERROR(__xludf.DUMMYFUNCTION("""COMPUTED_VALUE"""),76.0)</f>
        <v>76</v>
      </c>
      <c r="H1731" s="163" t="str">
        <f>IFERROR(__xludf.DUMMYFUNCTION("""COMPUTED_VALUE"""),"SG")</f>
        <v>SG</v>
      </c>
      <c r="I1731" s="163">
        <f>IFERROR(__xludf.DUMMYFUNCTION("""COMPUTED_VALUE"""),23.0)</f>
        <v>23</v>
      </c>
      <c r="J1731" s="165">
        <f>IFERROR(__xludf.DUMMYFUNCTION("""COMPUTED_VALUE"""),-0.117348474346165)</f>
        <v>-0.1173484743</v>
      </c>
      <c r="K1731" s="165">
        <f>IFERROR(__xludf.DUMMYFUNCTION("""COMPUTED_VALUE"""),0.41418961407054)</f>
        <v>0.4141896141</v>
      </c>
      <c r="L1731" s="165">
        <f>IFERROR(__xludf.DUMMYFUNCTION("""COMPUTED_VALUE"""),-0.531538088416704)</f>
        <v>-0.5315380884</v>
      </c>
      <c r="M1731" s="166">
        <f t="shared" si="2"/>
        <v>3.698055596</v>
      </c>
      <c r="N1731" s="167">
        <f t="shared" si="3"/>
        <v>33.26964912</v>
      </c>
      <c r="O1731" s="163">
        <f t="shared" ref="O1731:Q1731" si="1735">rank(I1731,I:I)</f>
        <v>2765</v>
      </c>
      <c r="P1731" s="163">
        <f t="shared" si="1735"/>
        <v>1403</v>
      </c>
      <c r="Q1731" s="163">
        <f t="shared" si="1735"/>
        <v>822</v>
      </c>
      <c r="R1731" s="163">
        <f>IFERROR(__xludf.DUMMYFUNCTION("RANK(M1731,filter(M:M,C:C=C1731))"),93.0)</f>
        <v>93</v>
      </c>
      <c r="S1731" s="161" t="b">
        <f t="shared" si="5"/>
        <v>0</v>
      </c>
      <c r="T1731" s="161" t="b">
        <f t="array" ref="T1731">index('Query Tool'!B:B,match(H1731,'Query Tool'!C:C,0))</f>
        <v>1</v>
      </c>
      <c r="U1731" s="161" t="b">
        <f t="array" ref="U1731">index('Query Tool'!B:B,match(C1731,'Query Tool'!C:C,0))</f>
        <v>0</v>
      </c>
      <c r="V1731" s="161" t="b">
        <f>F1731&gt;='Query Tool'!C$32</f>
        <v>1</v>
      </c>
      <c r="W1731" s="161" t="b">
        <f t="array" ref="W1731">index(Dropdowns!B:B,match(I1731,Dropdowns!A:A,0))</f>
        <v>1</v>
      </c>
      <c r="X1731" s="161" t="b">
        <f t="array" ref="X1731">index('Query Tool'!B:B,match(D1731,'Query Tool'!C:C,0))</f>
        <v>1</v>
      </c>
      <c r="Y1731" s="161" t="str">
        <f t="shared" si="6"/>
        <v>caldwke01,2016-17</v>
      </c>
      <c r="Z1731" s="168">
        <f t="array" ref="Z1731">iferror(index(I:I,match($A1731&amp;","&amp;index('Year Conversion'!$A:$A,match($C1731,'Year Conversion'!$B:$B,0)),$Y:$Y,0))-I1731,"")</f>
        <v>1</v>
      </c>
      <c r="AA1731" s="168">
        <f t="array" ref="AA1731">iferror(index(J:J,match($A1731&amp;","&amp;index('Year Conversion'!$A:$A,match($C1731,'Year Conversion'!$B:$B,0)),$Y:$Y,0))-J1731,"")</f>
        <v>0.6075323534</v>
      </c>
      <c r="AB1731" s="168">
        <f t="array" ref="AB1731">iferror(index(K:K,match($A1731&amp;","&amp;index('Year Conversion'!$A:$A,match($C1731,'Year Conversion'!$B:$B,0)),$Y:$Y,0))-K1731,"")</f>
        <v>0.2873268233</v>
      </c>
      <c r="AC1731" s="168" t="str">
        <f t="shared" si="7"/>
        <v>DET,2016-17</v>
      </c>
    </row>
    <row r="1732">
      <c r="A1732" s="161" t="str">
        <f>IFERROR(__xludf.DUMMYFUNCTION("""COMPUTED_VALUE"""),"plumlma01")</f>
        <v>plumlma01</v>
      </c>
      <c r="B1732" s="161" t="str">
        <f>IFERROR(__xludf.DUMMYFUNCTION("""COMPUTED_VALUE"""),"Mason Plumlee")</f>
        <v>Mason Plumlee</v>
      </c>
      <c r="C1732" s="162" t="str">
        <f>IFERROR(__xludf.DUMMYFUNCTION("""COMPUTED_VALUE"""),"2016-17")</f>
        <v>2016-17</v>
      </c>
      <c r="D1732" s="163" t="str">
        <f>IFERROR(__xludf.DUMMYFUNCTION("""COMPUTED_VALUE"""),"TOT")</f>
        <v>TOT</v>
      </c>
      <c r="E1732" s="164" t="str">
        <f>IFERROR(__xludf.DUMMYFUNCTION("""COMPUTED_VALUE"""),"Roll + Cut Big")</f>
        <v>Roll + Cut Big</v>
      </c>
      <c r="F1732" s="164">
        <f>IFERROR(__xludf.DUMMYFUNCTION("""COMPUTED_VALUE"""),2147.58)</f>
        <v>2147.58</v>
      </c>
      <c r="G1732" s="163">
        <f>IFERROR(__xludf.DUMMYFUNCTION("""COMPUTED_VALUE"""),81.0)</f>
        <v>81</v>
      </c>
      <c r="H1732" s="163" t="str">
        <f>IFERROR(__xludf.DUMMYFUNCTION("""COMPUTED_VALUE"""),"C")</f>
        <v>C</v>
      </c>
      <c r="I1732" s="163">
        <f>IFERROR(__xludf.DUMMYFUNCTION("""COMPUTED_VALUE"""),26.0)</f>
        <v>26</v>
      </c>
      <c r="J1732" s="165">
        <f>IFERROR(__xludf.DUMMYFUNCTION("""COMPUTED_VALUE"""),1.93412053242032)</f>
        <v>1.934120532</v>
      </c>
      <c r="K1732" s="165">
        <f>IFERROR(__xludf.DUMMYFUNCTION("""COMPUTED_VALUE"""),0.592049338821771)</f>
        <v>0.5920493388</v>
      </c>
      <c r="L1732" s="165">
        <f>IFERROR(__xludf.DUMMYFUNCTION("""COMPUTED_VALUE"""),1.34207119359855)</f>
        <v>1.342071194</v>
      </c>
      <c r="M1732" s="166">
        <f t="shared" si="2"/>
        <v>6.096757662</v>
      </c>
      <c r="N1732" s="167">
        <f t="shared" si="3"/>
        <v>26.51333333</v>
      </c>
      <c r="O1732" s="163">
        <f t="shared" ref="O1732:Q1732" si="1736">rank(I1732,I:I)</f>
        <v>1665</v>
      </c>
      <c r="P1732" s="163">
        <f t="shared" si="1736"/>
        <v>334</v>
      </c>
      <c r="Q1732" s="163">
        <f t="shared" si="1736"/>
        <v>712</v>
      </c>
      <c r="R1732" s="163">
        <f>IFERROR(__xludf.DUMMYFUNCTION("RANK(M1732,filter(M:M,C:C=C1732))"),46.0)</f>
        <v>46</v>
      </c>
      <c r="S1732" s="161" t="b">
        <f t="shared" si="5"/>
        <v>0</v>
      </c>
      <c r="T1732" s="161" t="b">
        <f t="array" ref="T1732">index('Query Tool'!B:B,match(H1732,'Query Tool'!C:C,0))</f>
        <v>1</v>
      </c>
      <c r="U1732" s="161" t="b">
        <f t="array" ref="U1732">index('Query Tool'!B:B,match(C1732,'Query Tool'!C:C,0))</f>
        <v>0</v>
      </c>
      <c r="V1732" s="161" t="b">
        <f>F1732&gt;='Query Tool'!C$32</f>
        <v>1</v>
      </c>
      <c r="W1732" s="161" t="b">
        <f t="array" ref="W1732">index(Dropdowns!B:B,match(I1732,Dropdowns!A:A,0))</f>
        <v>1</v>
      </c>
      <c r="X1732" s="161" t="b">
        <f t="array" ref="X1732">index('Query Tool'!B:B,match(D1732,'Query Tool'!C:C,0))</f>
        <v>1</v>
      </c>
      <c r="Y1732" s="161" t="str">
        <f t="shared" si="6"/>
        <v>plumlma01,2016-17</v>
      </c>
      <c r="Z1732" s="168">
        <f t="array" ref="Z1732">iferror(index(I:I,match($A1732&amp;","&amp;index('Year Conversion'!$A:$A,match($C1732,'Year Conversion'!$B:$B,0)),$Y:$Y,0))-I1732,"")</f>
        <v>1</v>
      </c>
      <c r="AA1732" s="168">
        <f t="array" ref="AA1732">iferror(index(J:J,match($A1732&amp;","&amp;index('Year Conversion'!$A:$A,match($C1732,'Year Conversion'!$B:$B,0)),$Y:$Y,0))-J1732,"")</f>
        <v>-1.998254706</v>
      </c>
      <c r="AB1732" s="168">
        <f t="array" ref="AB1732">iferror(index(K:K,match($A1732&amp;","&amp;index('Year Conversion'!$A:$A,match($C1732,'Year Conversion'!$B:$B,0)),$Y:$Y,0))-K1732,"")</f>
        <v>-2.031153997</v>
      </c>
      <c r="AC1732" s="168" t="str">
        <f t="shared" si="7"/>
        <v>TOT,2016-17</v>
      </c>
    </row>
    <row r="1733">
      <c r="A1733" s="161" t="str">
        <f>IFERROR(__xludf.DUMMYFUNCTION("""COMPUTED_VALUE"""),"cartemi01")</f>
        <v>cartemi01</v>
      </c>
      <c r="B1733" s="161" t="str">
        <f>IFERROR(__xludf.DUMMYFUNCTION("""COMPUTED_VALUE"""),"Michael Carter-Williams")</f>
        <v>Michael Carter-Williams</v>
      </c>
      <c r="C1733" s="162" t="str">
        <f>IFERROR(__xludf.DUMMYFUNCTION("""COMPUTED_VALUE"""),"2016-17")</f>
        <v>2016-17</v>
      </c>
      <c r="D1733" s="163" t="str">
        <f>IFERROR(__xludf.DUMMYFUNCTION("""COMPUTED_VALUE"""),"CHI")</f>
        <v>CHI</v>
      </c>
      <c r="E1733" s="164" t="str">
        <f>IFERROR(__xludf.DUMMYFUNCTION("""COMPUTED_VALUE"""),"Slasher")</f>
        <v>Slasher</v>
      </c>
      <c r="F1733" s="164">
        <f>IFERROR(__xludf.DUMMYFUNCTION("""COMPUTED_VALUE"""),846.451666666667)</f>
        <v>846.4516667</v>
      </c>
      <c r="G1733" s="163">
        <f>IFERROR(__xludf.DUMMYFUNCTION("""COMPUTED_VALUE"""),45.0)</f>
        <v>45</v>
      </c>
      <c r="H1733" s="163" t="str">
        <f>IFERROR(__xludf.DUMMYFUNCTION("""COMPUTED_VALUE"""),"PG")</f>
        <v>PG</v>
      </c>
      <c r="I1733" s="163">
        <f>IFERROR(__xludf.DUMMYFUNCTION("""COMPUTED_VALUE"""),25.0)</f>
        <v>25</v>
      </c>
      <c r="J1733" s="165">
        <f>IFERROR(__xludf.DUMMYFUNCTION("""COMPUTED_VALUE"""),-0.242655071345876)</f>
        <v>-0.2426550713</v>
      </c>
      <c r="K1733" s="165">
        <f>IFERROR(__xludf.DUMMYFUNCTION("""COMPUTED_VALUE"""),-1.49326491061513)</f>
        <v>-1.493264911</v>
      </c>
      <c r="L1733" s="165">
        <f>IFERROR(__xludf.DUMMYFUNCTION("""COMPUTED_VALUE"""),1.25060983926925)</f>
        <v>1.250609839</v>
      </c>
      <c r="M1733" s="166">
        <f t="shared" si="2"/>
        <v>1.166481896</v>
      </c>
      <c r="N1733" s="167">
        <f t="shared" si="3"/>
        <v>18.81003704</v>
      </c>
      <c r="O1733" s="163">
        <f t="shared" ref="O1733:Q1733" si="1737">rank(I1733,I:I)</f>
        <v>1995</v>
      </c>
      <c r="P1733" s="163">
        <f t="shared" si="1737"/>
        <v>1550</v>
      </c>
      <c r="Q1733" s="163">
        <f t="shared" si="1737"/>
        <v>3344</v>
      </c>
      <c r="R1733" s="163">
        <f>IFERROR(__xludf.DUMMYFUNCTION("RANK(M1733,filter(M:M,C:C=C1733))"),211.0)</f>
        <v>211</v>
      </c>
      <c r="S1733" s="161" t="b">
        <f t="shared" si="5"/>
        <v>0</v>
      </c>
      <c r="T1733" s="161" t="b">
        <f t="array" ref="T1733">index('Query Tool'!B:B,match(H1733,'Query Tool'!C:C,0))</f>
        <v>1</v>
      </c>
      <c r="U1733" s="161" t="b">
        <f t="array" ref="U1733">index('Query Tool'!B:B,match(C1733,'Query Tool'!C:C,0))</f>
        <v>0</v>
      </c>
      <c r="V1733" s="161" t="b">
        <f>F1733&gt;='Query Tool'!C$32</f>
        <v>1</v>
      </c>
      <c r="W1733" s="161" t="b">
        <f t="array" ref="W1733">index(Dropdowns!B:B,match(I1733,Dropdowns!A:A,0))</f>
        <v>1</v>
      </c>
      <c r="X1733" s="161" t="b">
        <f t="array" ref="X1733">index('Query Tool'!B:B,match(D1733,'Query Tool'!C:C,0))</f>
        <v>1</v>
      </c>
      <c r="Y1733" s="161" t="str">
        <f t="shared" si="6"/>
        <v>cartemi01,2016-17</v>
      </c>
      <c r="Z1733" s="168">
        <f t="array" ref="Z1733">iferror(index(I:I,match($A1733&amp;","&amp;index('Year Conversion'!$A:$A,match($C1733,'Year Conversion'!$B:$B,0)),$Y:$Y,0))-I1733,"")</f>
        <v>1</v>
      </c>
      <c r="AA1733" s="168">
        <f t="array" ref="AA1733">iferror(index(J:J,match($A1733&amp;","&amp;index('Year Conversion'!$A:$A,match($C1733,'Year Conversion'!$B:$B,0)),$Y:$Y,0))-J1733,"")</f>
        <v>-0.3194518786</v>
      </c>
      <c r="AB1733" s="168">
        <f t="array" ref="AB1733">iferror(index(K:K,match($A1733&amp;","&amp;index('Year Conversion'!$A:$A,match($C1733,'Year Conversion'!$B:$B,0)),$Y:$Y,0))-K1733,"")</f>
        <v>0.1566762323</v>
      </c>
      <c r="AC1733" s="168" t="str">
        <f t="shared" si="7"/>
        <v>CHI,2016-17</v>
      </c>
    </row>
    <row r="1734">
      <c r="A1734" s="161" t="str">
        <f>IFERROR(__xludf.DUMMYFUNCTION("""COMPUTED_VALUE"""),"muscami01")</f>
        <v>muscami01</v>
      </c>
      <c r="B1734" s="161" t="str">
        <f>IFERROR(__xludf.DUMMYFUNCTION("""COMPUTED_VALUE"""),"Mike Muscala")</f>
        <v>Mike Muscala</v>
      </c>
      <c r="C1734" s="162" t="str">
        <f>IFERROR(__xludf.DUMMYFUNCTION("""COMPUTED_VALUE"""),"2016-17")</f>
        <v>2016-17</v>
      </c>
      <c r="D1734" s="163" t="str">
        <f>IFERROR(__xludf.DUMMYFUNCTION("""COMPUTED_VALUE"""),"ATL")</f>
        <v>ATL</v>
      </c>
      <c r="E1734" s="164" t="str">
        <f>IFERROR(__xludf.DUMMYFUNCTION("""COMPUTED_VALUE"""),"Stretch Big")</f>
        <v>Stretch Big</v>
      </c>
      <c r="F1734" s="164">
        <f>IFERROR(__xludf.DUMMYFUNCTION("""COMPUTED_VALUE"""),1236.86166666667)</f>
        <v>1236.861667</v>
      </c>
      <c r="G1734" s="163">
        <f>IFERROR(__xludf.DUMMYFUNCTION("""COMPUTED_VALUE"""),70.0)</f>
        <v>70</v>
      </c>
      <c r="H1734" s="163" t="str">
        <f>IFERROR(__xludf.DUMMYFUNCTION("""COMPUTED_VALUE"""),"C")</f>
        <v>C</v>
      </c>
      <c r="I1734" s="163">
        <f>IFERROR(__xludf.DUMMYFUNCTION("""COMPUTED_VALUE"""),25.0)</f>
        <v>25</v>
      </c>
      <c r="J1734" s="165">
        <f>IFERROR(__xludf.DUMMYFUNCTION("""COMPUTED_VALUE"""),-0.403887485465642)</f>
        <v>-0.4038874855</v>
      </c>
      <c r="K1734" s="165">
        <f>IFERROR(__xludf.DUMMYFUNCTION("""COMPUTED_VALUE"""),-0.711631284455501)</f>
        <v>-0.7116312845</v>
      </c>
      <c r="L1734" s="165">
        <f>IFERROR(__xludf.DUMMYFUNCTION("""COMPUTED_VALUE"""),0.307743798989859)</f>
        <v>0.307743799</v>
      </c>
      <c r="M1734" s="166">
        <f t="shared" si="2"/>
        <v>1.570111193</v>
      </c>
      <c r="N1734" s="167">
        <f t="shared" si="3"/>
        <v>17.66945238</v>
      </c>
      <c r="O1734" s="163">
        <f t="shared" ref="O1734:Q1734" si="1738">rank(I1734,I:I)</f>
        <v>1995</v>
      </c>
      <c r="P1734" s="163">
        <f t="shared" si="1738"/>
        <v>1733</v>
      </c>
      <c r="Q1734" s="163">
        <f t="shared" si="1738"/>
        <v>2429</v>
      </c>
      <c r="R1734" s="163">
        <f>IFERROR(__xludf.DUMMYFUNCTION("RANK(M1734,filter(M:M,C:C=C1734))"),187.0)</f>
        <v>187</v>
      </c>
      <c r="S1734" s="161" t="b">
        <f t="shared" si="5"/>
        <v>0</v>
      </c>
      <c r="T1734" s="161" t="b">
        <f t="array" ref="T1734">index('Query Tool'!B:B,match(H1734,'Query Tool'!C:C,0))</f>
        <v>1</v>
      </c>
      <c r="U1734" s="161" t="b">
        <f t="array" ref="U1734">index('Query Tool'!B:B,match(C1734,'Query Tool'!C:C,0))</f>
        <v>0</v>
      </c>
      <c r="V1734" s="161" t="b">
        <f>F1734&gt;='Query Tool'!C$32</f>
        <v>1</v>
      </c>
      <c r="W1734" s="161" t="b">
        <f t="array" ref="W1734">index(Dropdowns!B:B,match(I1734,Dropdowns!A:A,0))</f>
        <v>1</v>
      </c>
      <c r="X1734" s="161" t="b">
        <f t="array" ref="X1734">index('Query Tool'!B:B,match(D1734,'Query Tool'!C:C,0))</f>
        <v>1</v>
      </c>
      <c r="Y1734" s="161" t="str">
        <f t="shared" si="6"/>
        <v>muscami01,2016-17</v>
      </c>
      <c r="Z1734" s="168">
        <f t="array" ref="Z1734">iferror(index(I:I,match($A1734&amp;","&amp;index('Year Conversion'!$A:$A,match($C1734,'Year Conversion'!$B:$B,0)),$Y:$Y,0))-I1734,"")</f>
        <v>1</v>
      </c>
      <c r="AA1734" s="168">
        <f t="array" ref="AA1734">iferror(index(J:J,match($A1734&amp;","&amp;index('Year Conversion'!$A:$A,match($C1734,'Year Conversion'!$B:$B,0)),$Y:$Y,0))-J1734,"")</f>
        <v>-0.1162642828</v>
      </c>
      <c r="AB1734" s="168">
        <f t="array" ref="AB1734">iferror(index(K:K,match($A1734&amp;","&amp;index('Year Conversion'!$A:$A,match($C1734,'Year Conversion'!$B:$B,0)),$Y:$Y,0))-K1734,"")</f>
        <v>-0.0663371537</v>
      </c>
      <c r="AC1734" s="168" t="str">
        <f t="shared" si="7"/>
        <v>ATL,2016-17</v>
      </c>
    </row>
    <row r="1735">
      <c r="A1735" s="161" t="str">
        <f>IFERROR(__xludf.DUMMYFUNCTION("""COMPUTED_VALUE"""),"porteot01")</f>
        <v>porteot01</v>
      </c>
      <c r="B1735" s="161" t="str">
        <f>IFERROR(__xludf.DUMMYFUNCTION("""COMPUTED_VALUE"""),"Otto Porter Jr.")</f>
        <v>Otto Porter Jr.</v>
      </c>
      <c r="C1735" s="162" t="str">
        <f>IFERROR(__xludf.DUMMYFUNCTION("""COMPUTED_VALUE"""),"2016-17")</f>
        <v>2016-17</v>
      </c>
      <c r="D1735" s="163" t="str">
        <f>IFERROR(__xludf.DUMMYFUNCTION("""COMPUTED_VALUE"""),"WAS")</f>
        <v>WAS</v>
      </c>
      <c r="E1735" s="164" t="str">
        <f>IFERROR(__xludf.DUMMYFUNCTION("""COMPUTED_VALUE"""),"Athletic Finisher")</f>
        <v>Athletic Finisher</v>
      </c>
      <c r="F1735" s="164">
        <f>IFERROR(__xludf.DUMMYFUNCTION("""COMPUTED_VALUE"""),2605.07166666667)</f>
        <v>2605.071667</v>
      </c>
      <c r="G1735" s="163">
        <f>IFERROR(__xludf.DUMMYFUNCTION("""COMPUTED_VALUE"""),80.0)</f>
        <v>80</v>
      </c>
      <c r="H1735" s="163" t="str">
        <f>IFERROR(__xludf.DUMMYFUNCTION("""COMPUTED_VALUE"""),"SF")</f>
        <v>SF</v>
      </c>
      <c r="I1735" s="163">
        <f>IFERROR(__xludf.DUMMYFUNCTION("""COMPUTED_VALUE"""),23.0)</f>
        <v>23</v>
      </c>
      <c r="J1735" s="165">
        <f>IFERROR(__xludf.DUMMYFUNCTION("""COMPUTED_VALUE"""),1.28371635044117)</f>
        <v>1.28371635</v>
      </c>
      <c r="K1735" s="165">
        <f>IFERROR(__xludf.DUMMYFUNCTION("""COMPUTED_VALUE"""),0.366423437164618)</f>
        <v>0.3664234372</v>
      </c>
      <c r="L1735" s="165">
        <f>IFERROR(__xludf.DUMMYFUNCTION("""COMPUTED_VALUE"""),0.91729291327655)</f>
        <v>0.9172929133</v>
      </c>
      <c r="M1735" s="166">
        <f t="shared" si="2"/>
        <v>6.265612302</v>
      </c>
      <c r="N1735" s="167">
        <f t="shared" si="3"/>
        <v>32.56339583</v>
      </c>
      <c r="O1735" s="163">
        <f t="shared" ref="O1735:Q1735" si="1739">rank(I1735,I:I)</f>
        <v>2765</v>
      </c>
      <c r="P1735" s="163">
        <f t="shared" si="1739"/>
        <v>534</v>
      </c>
      <c r="Q1735" s="163">
        <f t="shared" si="1739"/>
        <v>856</v>
      </c>
      <c r="R1735" s="163">
        <f>IFERROR(__xludf.DUMMYFUNCTION("RANK(M1735,filter(M:M,C:C=C1735))"),43.0)</f>
        <v>43</v>
      </c>
      <c r="S1735" s="161" t="b">
        <f t="shared" si="5"/>
        <v>0</v>
      </c>
      <c r="T1735" s="161" t="b">
        <f t="array" ref="T1735">index('Query Tool'!B:B,match(H1735,'Query Tool'!C:C,0))</f>
        <v>1</v>
      </c>
      <c r="U1735" s="161" t="b">
        <f t="array" ref="U1735">index('Query Tool'!B:B,match(C1735,'Query Tool'!C:C,0))</f>
        <v>0</v>
      </c>
      <c r="V1735" s="161" t="b">
        <f>F1735&gt;='Query Tool'!C$32</f>
        <v>1</v>
      </c>
      <c r="W1735" s="161" t="b">
        <f t="array" ref="W1735">index(Dropdowns!B:B,match(I1735,Dropdowns!A:A,0))</f>
        <v>1</v>
      </c>
      <c r="X1735" s="161" t="b">
        <f t="array" ref="X1735">index('Query Tool'!B:B,match(D1735,'Query Tool'!C:C,0))</f>
        <v>1</v>
      </c>
      <c r="Y1735" s="161" t="str">
        <f t="shared" si="6"/>
        <v>porteot01,2016-17</v>
      </c>
      <c r="Z1735" s="168">
        <f t="array" ref="Z1735">iferror(index(I:I,match($A1735&amp;","&amp;index('Year Conversion'!$A:$A,match($C1735,'Year Conversion'!$B:$B,0)),$Y:$Y,0))-I1735,"")</f>
        <v>1</v>
      </c>
      <c r="AA1735" s="168">
        <f t="array" ref="AA1735">iferror(index(J:J,match($A1735&amp;","&amp;index('Year Conversion'!$A:$A,match($C1735,'Year Conversion'!$B:$B,0)),$Y:$Y,0))-J1735,"")</f>
        <v>1.319629884</v>
      </c>
      <c r="AB1735" s="168">
        <f t="array" ref="AB1735">iferror(index(K:K,match($A1735&amp;","&amp;index('Year Conversion'!$A:$A,match($C1735,'Year Conversion'!$B:$B,0)),$Y:$Y,0))-K1735,"")</f>
        <v>0.9968219124</v>
      </c>
      <c r="AC1735" s="168" t="str">
        <f t="shared" si="7"/>
        <v>WAS,2016-17</v>
      </c>
    </row>
    <row r="1736">
      <c r="A1736" s="161" t="str">
        <f>IFERROR(__xludf.DUMMYFUNCTION("""COMPUTED_VALUE"""),"bullore01")</f>
        <v>bullore01</v>
      </c>
      <c r="B1736" s="161" t="str">
        <f>IFERROR(__xludf.DUMMYFUNCTION("""COMPUTED_VALUE"""),"Reggie Bullock")</f>
        <v>Reggie Bullock</v>
      </c>
      <c r="C1736" s="162" t="str">
        <f>IFERROR(__xludf.DUMMYFUNCTION("""COMPUTED_VALUE"""),"2016-17")</f>
        <v>2016-17</v>
      </c>
      <c r="D1736" s="163" t="str">
        <f>IFERROR(__xludf.DUMMYFUNCTION("""COMPUTED_VALUE"""),"DET")</f>
        <v>DET</v>
      </c>
      <c r="E1736" s="164" t="str">
        <f>IFERROR(__xludf.DUMMYFUNCTION("""COMPUTED_VALUE"""),"Athletic Finisher")</f>
        <v>Athletic Finisher</v>
      </c>
      <c r="F1736" s="164">
        <f>IFERROR(__xludf.DUMMYFUNCTION("""COMPUTED_VALUE"""),466.793333333333)</f>
        <v>466.7933333</v>
      </c>
      <c r="G1736" s="163">
        <f>IFERROR(__xludf.DUMMYFUNCTION("""COMPUTED_VALUE"""),31.0)</f>
        <v>31</v>
      </c>
      <c r="H1736" s="163" t="str">
        <f>IFERROR(__xludf.DUMMYFUNCTION("""COMPUTED_VALUE"""),"SF")</f>
        <v>SF</v>
      </c>
      <c r="I1736" s="163">
        <f>IFERROR(__xludf.DUMMYFUNCTION("""COMPUTED_VALUE"""),25.0)</f>
        <v>25</v>
      </c>
      <c r="J1736" s="165">
        <f>IFERROR(__xludf.DUMMYFUNCTION("""COMPUTED_VALUE"""),0.0423736882388543)</f>
        <v>0.04237368824</v>
      </c>
      <c r="K1736" s="165">
        <f>IFERROR(__xludf.DUMMYFUNCTION("""COMPUTED_VALUE"""),-0.280509913457382)</f>
        <v>-0.2805099135</v>
      </c>
      <c r="L1736" s="165">
        <f>IFERROR(__xludf.DUMMYFUNCTION("""COMPUTED_VALUE"""),0.322883601696237)</f>
        <v>0.3228836017</v>
      </c>
      <c r="M1736" s="166">
        <f t="shared" si="2"/>
        <v>0.7329749984</v>
      </c>
      <c r="N1736" s="167">
        <f t="shared" si="3"/>
        <v>15.05784946</v>
      </c>
      <c r="O1736" s="163">
        <f t="shared" ref="O1736:Q1736" si="1740">rank(I1736,I:I)</f>
        <v>1995</v>
      </c>
      <c r="P1736" s="163">
        <f t="shared" si="1740"/>
        <v>1252</v>
      </c>
      <c r="Q1736" s="163">
        <f t="shared" si="1740"/>
        <v>1726</v>
      </c>
      <c r="R1736" s="163">
        <f>IFERROR(__xludf.DUMMYFUNCTION("RANK(M1736,filter(M:M,C:C=C1736))"),248.0)</f>
        <v>248</v>
      </c>
      <c r="S1736" s="161" t="b">
        <f t="shared" si="5"/>
        <v>0</v>
      </c>
      <c r="T1736" s="161" t="b">
        <f t="array" ref="T1736">index('Query Tool'!B:B,match(H1736,'Query Tool'!C:C,0))</f>
        <v>1</v>
      </c>
      <c r="U1736" s="161" t="b">
        <f t="array" ref="U1736">index('Query Tool'!B:B,match(C1736,'Query Tool'!C:C,0))</f>
        <v>0</v>
      </c>
      <c r="V1736" s="161" t="b">
        <f>F1736&gt;='Query Tool'!C$32</f>
        <v>0</v>
      </c>
      <c r="W1736" s="161" t="b">
        <f t="array" ref="W1736">index(Dropdowns!B:B,match(I1736,Dropdowns!A:A,0))</f>
        <v>1</v>
      </c>
      <c r="X1736" s="161" t="b">
        <f t="array" ref="X1736">index('Query Tool'!B:B,match(D1736,'Query Tool'!C:C,0))</f>
        <v>1</v>
      </c>
      <c r="Y1736" s="161" t="str">
        <f t="shared" si="6"/>
        <v>bullore01,2016-17</v>
      </c>
      <c r="Z1736" s="168">
        <f t="array" ref="Z1736">iferror(index(I:I,match($A1736&amp;","&amp;index('Year Conversion'!$A:$A,match($C1736,'Year Conversion'!$B:$B,0)),$Y:$Y,0))-I1736,"")</f>
        <v>1</v>
      </c>
      <c r="AA1736" s="168">
        <f t="array" ref="AA1736">iferror(index(J:J,match($A1736&amp;","&amp;index('Year Conversion'!$A:$A,match($C1736,'Year Conversion'!$B:$B,0)),$Y:$Y,0))-J1736,"")</f>
        <v>-1.271761429</v>
      </c>
      <c r="AB1736" s="168">
        <f t="array" ref="AB1736">iferror(index(K:K,match($A1736&amp;","&amp;index('Year Conversion'!$A:$A,match($C1736,'Year Conversion'!$B:$B,0)),$Y:$Y,0))-K1736,"")</f>
        <v>-0.6675681172</v>
      </c>
      <c r="AC1736" s="168" t="str">
        <f t="shared" si="7"/>
        <v>DET,2016-17</v>
      </c>
    </row>
    <row r="1737">
      <c r="A1737" s="161" t="str">
        <f>IFERROR(__xludf.DUMMYFUNCTION("""COMPUTED_VALUE"""),"covinro01")</f>
        <v>covinro01</v>
      </c>
      <c r="B1737" s="161" t="str">
        <f>IFERROR(__xludf.DUMMYFUNCTION("""COMPUTED_VALUE"""),"Robert Covington")</f>
        <v>Robert Covington</v>
      </c>
      <c r="C1737" s="162" t="str">
        <f>IFERROR(__xludf.DUMMYFUNCTION("""COMPUTED_VALUE"""),"2016-17")</f>
        <v>2016-17</v>
      </c>
      <c r="D1737" s="163" t="str">
        <f>IFERROR(__xludf.DUMMYFUNCTION("""COMPUTED_VALUE"""),"PHI")</f>
        <v>PHI</v>
      </c>
      <c r="E1737" s="164" t="str">
        <f>IFERROR(__xludf.DUMMYFUNCTION("""COMPUTED_VALUE"""),"Movement Shooter")</f>
        <v>Movement Shooter</v>
      </c>
      <c r="F1737" s="164">
        <f>IFERROR(__xludf.DUMMYFUNCTION("""COMPUTED_VALUE"""),2118.57)</f>
        <v>2118.57</v>
      </c>
      <c r="G1737" s="163">
        <f>IFERROR(__xludf.DUMMYFUNCTION("""COMPUTED_VALUE"""),67.0)</f>
        <v>67</v>
      </c>
      <c r="H1737" s="163" t="str">
        <f>IFERROR(__xludf.DUMMYFUNCTION("""COMPUTED_VALUE"""),"SF")</f>
        <v>SF</v>
      </c>
      <c r="I1737" s="163">
        <f>IFERROR(__xludf.DUMMYFUNCTION("""COMPUTED_VALUE"""),26.0)</f>
        <v>26</v>
      </c>
      <c r="J1737" s="165">
        <f>IFERROR(__xludf.DUMMYFUNCTION("""COMPUTED_VALUE"""),1.81262495689051)</f>
        <v>1.812624957</v>
      </c>
      <c r="K1737" s="165">
        <f>IFERROR(__xludf.DUMMYFUNCTION("""COMPUTED_VALUE"""),-1.08187631795645)</f>
        <v>-1.081876318</v>
      </c>
      <c r="L1737" s="165">
        <f>IFERROR(__xludf.DUMMYFUNCTION("""COMPUTED_VALUE"""),2.89450127484696)</f>
        <v>2.894501275</v>
      </c>
      <c r="M1737" s="166">
        <f t="shared" si="2"/>
        <v>5.843381395</v>
      </c>
      <c r="N1737" s="167">
        <f t="shared" si="3"/>
        <v>31.62044776</v>
      </c>
      <c r="O1737" s="163">
        <f t="shared" ref="O1737:Q1737" si="1741">rank(I1737,I:I)</f>
        <v>1665</v>
      </c>
      <c r="P1737" s="163">
        <f t="shared" si="1741"/>
        <v>369</v>
      </c>
      <c r="Q1737" s="163">
        <f t="shared" si="1741"/>
        <v>2912</v>
      </c>
      <c r="R1737" s="163">
        <f>IFERROR(__xludf.DUMMYFUNCTION("RANK(M1737,filter(M:M,C:C=C1737))"),49.0)</f>
        <v>49</v>
      </c>
      <c r="S1737" s="161" t="b">
        <f t="shared" si="5"/>
        <v>0</v>
      </c>
      <c r="T1737" s="161" t="b">
        <f t="array" ref="T1737">index('Query Tool'!B:B,match(H1737,'Query Tool'!C:C,0))</f>
        <v>1</v>
      </c>
      <c r="U1737" s="161" t="b">
        <f t="array" ref="U1737">index('Query Tool'!B:B,match(C1737,'Query Tool'!C:C,0))</f>
        <v>0</v>
      </c>
      <c r="V1737" s="161" t="b">
        <f>F1737&gt;='Query Tool'!C$32</f>
        <v>1</v>
      </c>
      <c r="W1737" s="161" t="b">
        <f t="array" ref="W1737">index(Dropdowns!B:B,match(I1737,Dropdowns!A:A,0))</f>
        <v>1</v>
      </c>
      <c r="X1737" s="161" t="b">
        <f t="array" ref="X1737">index('Query Tool'!B:B,match(D1737,'Query Tool'!C:C,0))</f>
        <v>1</v>
      </c>
      <c r="Y1737" s="161" t="str">
        <f t="shared" si="6"/>
        <v>covinro01,2016-17</v>
      </c>
      <c r="Z1737" s="168">
        <f t="array" ref="Z1737">iferror(index(I:I,match($A1737&amp;","&amp;index('Year Conversion'!$A:$A,match($C1737,'Year Conversion'!$B:$B,0)),$Y:$Y,0))-I1737,"")</f>
        <v>1</v>
      </c>
      <c r="AA1737" s="168">
        <f t="array" ref="AA1737">iferror(index(J:J,match($A1737&amp;","&amp;index('Year Conversion'!$A:$A,match($C1737,'Year Conversion'!$B:$B,0)),$Y:$Y,0))-J1737,"")</f>
        <v>1.08882005</v>
      </c>
      <c r="AB1737" s="168">
        <f t="array" ref="AB1737">iferror(index(K:K,match($A1737&amp;","&amp;index('Year Conversion'!$A:$A,match($C1737,'Year Conversion'!$B:$B,0)),$Y:$Y,0))-K1737,"")</f>
        <v>1.263237449</v>
      </c>
      <c r="AC1737" s="168" t="str">
        <f t="shared" si="7"/>
        <v>PHI,2016-17</v>
      </c>
    </row>
    <row r="1738">
      <c r="A1738" s="161" t="str">
        <f>IFERROR(__xludf.DUMMYFUNCTION("""COMPUTED_VALUE"""),"goberru01")</f>
        <v>goberru01</v>
      </c>
      <c r="B1738" s="161" t="str">
        <f>IFERROR(__xludf.DUMMYFUNCTION("""COMPUTED_VALUE"""),"Rudy Gobert")</f>
        <v>Rudy Gobert</v>
      </c>
      <c r="C1738" s="162" t="str">
        <f>IFERROR(__xludf.DUMMYFUNCTION("""COMPUTED_VALUE"""),"2016-17")</f>
        <v>2016-17</v>
      </c>
      <c r="D1738" s="163" t="str">
        <f>IFERROR(__xludf.DUMMYFUNCTION("""COMPUTED_VALUE"""),"UTA")</f>
        <v>UTA</v>
      </c>
      <c r="E1738" s="164" t="str">
        <f>IFERROR(__xludf.DUMMYFUNCTION("""COMPUTED_VALUE"""),"Roll + Cut Big")</f>
        <v>Roll + Cut Big</v>
      </c>
      <c r="F1738" s="164">
        <f>IFERROR(__xludf.DUMMYFUNCTION("""COMPUTED_VALUE"""),2743.74666666667)</f>
        <v>2743.746667</v>
      </c>
      <c r="G1738" s="163">
        <f>IFERROR(__xludf.DUMMYFUNCTION("""COMPUTED_VALUE"""),81.0)</f>
        <v>81</v>
      </c>
      <c r="H1738" s="163" t="str">
        <f>IFERROR(__xludf.DUMMYFUNCTION("""COMPUTED_VALUE"""),"C")</f>
        <v>C</v>
      </c>
      <c r="I1738" s="163">
        <f>IFERROR(__xludf.DUMMYFUNCTION("""COMPUTED_VALUE"""),24.0)</f>
        <v>24</v>
      </c>
      <c r="J1738" s="165">
        <f>IFERROR(__xludf.DUMMYFUNCTION("""COMPUTED_VALUE"""),5.72082772641842)</f>
        <v>5.720827726</v>
      </c>
      <c r="K1738" s="165">
        <f>IFERROR(__xludf.DUMMYFUNCTION("""COMPUTED_VALUE"""),1.19736676827567)</f>
        <v>1.197366768</v>
      </c>
      <c r="L1738" s="165">
        <f>IFERROR(__xludf.DUMMYFUNCTION("""COMPUTED_VALUE"""),4.52346095814276)</f>
        <v>4.523460958</v>
      </c>
      <c r="M1738" s="166">
        <f t="shared" si="2"/>
        <v>14.35605281</v>
      </c>
      <c r="N1738" s="167">
        <f t="shared" si="3"/>
        <v>33.87341564</v>
      </c>
      <c r="O1738" s="163">
        <f t="shared" ref="O1738:Q1738" si="1742">rank(I1738,I:I)</f>
        <v>2361</v>
      </c>
      <c r="P1738" s="163">
        <f t="shared" si="1742"/>
        <v>25</v>
      </c>
      <c r="Q1738" s="163">
        <f t="shared" si="1742"/>
        <v>420</v>
      </c>
      <c r="R1738" s="163">
        <f>IFERROR(__xludf.DUMMYFUNCTION("RANK(M1738,filter(M:M,C:C=C1738))"),5.0)</f>
        <v>5</v>
      </c>
      <c r="S1738" s="161" t="b">
        <f t="shared" si="5"/>
        <v>0</v>
      </c>
      <c r="T1738" s="161" t="b">
        <f t="array" ref="T1738">index('Query Tool'!B:B,match(H1738,'Query Tool'!C:C,0))</f>
        <v>1</v>
      </c>
      <c r="U1738" s="161" t="b">
        <f t="array" ref="U1738">index('Query Tool'!B:B,match(C1738,'Query Tool'!C:C,0))</f>
        <v>0</v>
      </c>
      <c r="V1738" s="161" t="b">
        <f>F1738&gt;='Query Tool'!C$32</f>
        <v>1</v>
      </c>
      <c r="W1738" s="161" t="b">
        <f t="array" ref="W1738">index(Dropdowns!B:B,match(I1738,Dropdowns!A:A,0))</f>
        <v>1</v>
      </c>
      <c r="X1738" s="161" t="b">
        <f t="array" ref="X1738">index('Query Tool'!B:B,match(D1738,'Query Tool'!C:C,0))</f>
        <v>1</v>
      </c>
      <c r="Y1738" s="161" t="str">
        <f t="shared" si="6"/>
        <v>goberru01,2016-17</v>
      </c>
      <c r="Z1738" s="168">
        <f t="array" ref="Z1738">iferror(index(I:I,match($A1738&amp;","&amp;index('Year Conversion'!$A:$A,match($C1738,'Year Conversion'!$B:$B,0)),$Y:$Y,0))-I1738,"")</f>
        <v>1</v>
      </c>
      <c r="AA1738" s="168">
        <f t="array" ref="AA1738">iferror(index(J:J,match($A1738&amp;","&amp;index('Year Conversion'!$A:$A,match($C1738,'Year Conversion'!$B:$B,0)),$Y:$Y,0))-J1738,"")</f>
        <v>-1.837156973</v>
      </c>
      <c r="AB1738" s="168">
        <f t="array" ref="AB1738">iferror(index(K:K,match($A1738&amp;","&amp;index('Year Conversion'!$A:$A,match($C1738,'Year Conversion'!$B:$B,0)),$Y:$Y,0))-K1738,"")</f>
        <v>-1.349274182</v>
      </c>
      <c r="AC1738" s="168" t="str">
        <f t="shared" si="7"/>
        <v>UTA,2016-17</v>
      </c>
    </row>
    <row r="1739">
      <c r="A1739" s="161" t="str">
        <f>IFERROR(__xludf.DUMMYFUNCTION("""COMPUTED_VALUE"""),"muhamsh01")</f>
        <v>muhamsh01</v>
      </c>
      <c r="B1739" s="161" t="str">
        <f>IFERROR(__xludf.DUMMYFUNCTION("""COMPUTED_VALUE"""),"Shabazz Muhammad")</f>
        <v>Shabazz Muhammad</v>
      </c>
      <c r="C1739" s="162" t="str">
        <f>IFERROR(__xludf.DUMMYFUNCTION("""COMPUTED_VALUE"""),"2016-17")</f>
        <v>2016-17</v>
      </c>
      <c r="D1739" s="163" t="str">
        <f>IFERROR(__xludf.DUMMYFUNCTION("""COMPUTED_VALUE"""),"MIN")</f>
        <v>MIN</v>
      </c>
      <c r="E1739" s="164" t="str">
        <f>IFERROR(__xludf.DUMMYFUNCTION("""COMPUTED_VALUE"""),"Roll + Cut Big")</f>
        <v>Roll + Cut Big</v>
      </c>
      <c r="F1739" s="164">
        <f>IFERROR(__xludf.DUMMYFUNCTION("""COMPUTED_VALUE"""),1515.52166666667)</f>
        <v>1515.521667</v>
      </c>
      <c r="G1739" s="163">
        <f>IFERROR(__xludf.DUMMYFUNCTION("""COMPUTED_VALUE"""),78.0)</f>
        <v>78</v>
      </c>
      <c r="H1739" s="163" t="str">
        <f>IFERROR(__xludf.DUMMYFUNCTION("""COMPUTED_VALUE"""),"SF")</f>
        <v>SF</v>
      </c>
      <c r="I1739" s="163">
        <f>IFERROR(__xludf.DUMMYFUNCTION("""COMPUTED_VALUE"""),24.0)</f>
        <v>24</v>
      </c>
      <c r="J1739" s="165">
        <f>IFERROR(__xludf.DUMMYFUNCTION("""COMPUTED_VALUE"""),-1.78336252562315)</f>
        <v>-1.783362526</v>
      </c>
      <c r="K1739" s="165">
        <f>IFERROR(__xludf.DUMMYFUNCTION("""COMPUTED_VALUE"""),0.436607732008362)</f>
        <v>0.436607732</v>
      </c>
      <c r="L1739" s="165">
        <f>IFERROR(__xludf.DUMMYFUNCTION("""COMPUTED_VALUE"""),-2.21997025763151)</f>
        <v>-2.219970258</v>
      </c>
      <c r="M1739" s="166">
        <f t="shared" si="2"/>
        <v>0.5222879945</v>
      </c>
      <c r="N1739" s="167">
        <f t="shared" si="3"/>
        <v>19.42976496</v>
      </c>
      <c r="O1739" s="163">
        <f t="shared" ref="O1739:Q1739" si="1743">rank(I1739,I:I)</f>
        <v>2361</v>
      </c>
      <c r="P1739" s="163">
        <f t="shared" si="1743"/>
        <v>3315</v>
      </c>
      <c r="Q1739" s="163">
        <f t="shared" si="1743"/>
        <v>804</v>
      </c>
      <c r="R1739" s="163">
        <f>IFERROR(__xludf.DUMMYFUNCTION("RANK(M1739,filter(M:M,C:C=C1739))"),278.0)</f>
        <v>278</v>
      </c>
      <c r="S1739" s="161" t="b">
        <f t="shared" si="5"/>
        <v>0</v>
      </c>
      <c r="T1739" s="161" t="b">
        <f t="array" ref="T1739">index('Query Tool'!B:B,match(H1739,'Query Tool'!C:C,0))</f>
        <v>1</v>
      </c>
      <c r="U1739" s="161" t="b">
        <f t="array" ref="U1739">index('Query Tool'!B:B,match(C1739,'Query Tool'!C:C,0))</f>
        <v>0</v>
      </c>
      <c r="V1739" s="161" t="b">
        <f>F1739&gt;='Query Tool'!C$32</f>
        <v>1</v>
      </c>
      <c r="W1739" s="161" t="b">
        <f t="array" ref="W1739">index(Dropdowns!B:B,match(I1739,Dropdowns!A:A,0))</f>
        <v>1</v>
      </c>
      <c r="X1739" s="161" t="b">
        <f t="array" ref="X1739">index('Query Tool'!B:B,match(D1739,'Query Tool'!C:C,0))</f>
        <v>1</v>
      </c>
      <c r="Y1739" s="161" t="str">
        <f t="shared" si="6"/>
        <v>muhamsh01,2016-17</v>
      </c>
      <c r="Z1739" s="168">
        <f t="array" ref="Z1739">iferror(index(I:I,match($A1739&amp;","&amp;index('Year Conversion'!$A:$A,match($C1739,'Year Conversion'!$B:$B,0)),$Y:$Y,0))-I1739,"")</f>
        <v>1</v>
      </c>
      <c r="AA1739" s="168">
        <f t="array" ref="AA1739">iferror(index(J:J,match($A1739&amp;","&amp;index('Year Conversion'!$A:$A,match($C1739,'Year Conversion'!$B:$B,0)),$Y:$Y,0))-J1739,"")</f>
        <v>-0.5595093332</v>
      </c>
      <c r="AB1739" s="168">
        <f t="array" ref="AB1739">iferror(index(K:K,match($A1739&amp;","&amp;index('Year Conversion'!$A:$A,match($C1739,'Year Conversion'!$B:$B,0)),$Y:$Y,0))-K1739,"")</f>
        <v>-1.167755917</v>
      </c>
      <c r="AC1739" s="168" t="str">
        <f t="shared" si="7"/>
        <v>MIN,2016-17</v>
      </c>
    </row>
    <row r="1740">
      <c r="A1740" s="161" t="str">
        <f>IFERROR(__xludf.DUMMYFUNCTION("""COMPUTED_VALUE"""),"adamsst01")</f>
        <v>adamsst01</v>
      </c>
      <c r="B1740" s="161" t="str">
        <f>IFERROR(__xludf.DUMMYFUNCTION("""COMPUTED_VALUE"""),"Steven Adams")</f>
        <v>Steven Adams</v>
      </c>
      <c r="C1740" s="162" t="str">
        <f>IFERROR(__xludf.DUMMYFUNCTION("""COMPUTED_VALUE"""),"2016-17")</f>
        <v>2016-17</v>
      </c>
      <c r="D1740" s="163" t="str">
        <f>IFERROR(__xludf.DUMMYFUNCTION("""COMPUTED_VALUE"""),"OKC")</f>
        <v>OKC</v>
      </c>
      <c r="E1740" s="164" t="str">
        <f>IFERROR(__xludf.DUMMYFUNCTION("""COMPUTED_VALUE"""),"Post Scorer")</f>
        <v>Post Scorer</v>
      </c>
      <c r="F1740" s="164">
        <f>IFERROR(__xludf.DUMMYFUNCTION("""COMPUTED_VALUE"""),2389.365)</f>
        <v>2389.365</v>
      </c>
      <c r="G1740" s="163">
        <f>IFERROR(__xludf.DUMMYFUNCTION("""COMPUTED_VALUE"""),80.0)</f>
        <v>80</v>
      </c>
      <c r="H1740" s="163" t="str">
        <f>IFERROR(__xludf.DUMMYFUNCTION("""COMPUTED_VALUE"""),"C")</f>
        <v>C</v>
      </c>
      <c r="I1740" s="163">
        <f>IFERROR(__xludf.DUMMYFUNCTION("""COMPUTED_VALUE"""),23.0)</f>
        <v>23</v>
      </c>
      <c r="J1740" s="165">
        <f>IFERROR(__xludf.DUMMYFUNCTION("""COMPUTED_VALUE"""),0.919873626433815)</f>
        <v>0.9198736264</v>
      </c>
      <c r="K1740" s="165">
        <f>IFERROR(__xludf.DUMMYFUNCTION("""COMPUTED_VALUE"""),-0.403151337967901)</f>
        <v>-0.403151338</v>
      </c>
      <c r="L1740" s="165">
        <f>IFERROR(__xludf.DUMMYFUNCTION("""COMPUTED_VALUE"""),1.32302496440172)</f>
        <v>1.323024964</v>
      </c>
      <c r="M1740" s="166">
        <f t="shared" si="2"/>
        <v>5.163676117</v>
      </c>
      <c r="N1740" s="167">
        <f t="shared" si="3"/>
        <v>29.8670625</v>
      </c>
      <c r="O1740" s="163">
        <f t="shared" ref="O1740:Q1740" si="1744">rank(I1740,I:I)</f>
        <v>2765</v>
      </c>
      <c r="P1740" s="163">
        <f t="shared" si="1744"/>
        <v>687</v>
      </c>
      <c r="Q1740" s="163">
        <f t="shared" si="1744"/>
        <v>1949</v>
      </c>
      <c r="R1740" s="163">
        <f>IFERROR(__xludf.DUMMYFUNCTION("RANK(M1740,filter(M:M,C:C=C1740))"),54.0)</f>
        <v>54</v>
      </c>
      <c r="S1740" s="161" t="b">
        <f t="shared" si="5"/>
        <v>0</v>
      </c>
      <c r="T1740" s="161" t="b">
        <f t="array" ref="T1740">index('Query Tool'!B:B,match(H1740,'Query Tool'!C:C,0))</f>
        <v>1</v>
      </c>
      <c r="U1740" s="161" t="b">
        <f t="array" ref="U1740">index('Query Tool'!B:B,match(C1740,'Query Tool'!C:C,0))</f>
        <v>0</v>
      </c>
      <c r="V1740" s="161" t="b">
        <f>F1740&gt;='Query Tool'!C$32</f>
        <v>1</v>
      </c>
      <c r="W1740" s="161" t="b">
        <f t="array" ref="W1740">index(Dropdowns!B:B,match(I1740,Dropdowns!A:A,0))</f>
        <v>1</v>
      </c>
      <c r="X1740" s="161" t="b">
        <f t="array" ref="X1740">index('Query Tool'!B:B,match(D1740,'Query Tool'!C:C,0))</f>
        <v>1</v>
      </c>
      <c r="Y1740" s="161" t="str">
        <f t="shared" si="6"/>
        <v>adamsst01,2016-17</v>
      </c>
      <c r="Z1740" s="168">
        <f t="array" ref="Z1740">iferror(index(I:I,match($A1740&amp;","&amp;index('Year Conversion'!$A:$A,match($C1740,'Year Conversion'!$B:$B,0)),$Y:$Y,0))-I1740,"")</f>
        <v>1</v>
      </c>
      <c r="AA1740" s="168">
        <f t="array" ref="AA1740">iferror(index(J:J,match($A1740&amp;","&amp;index('Year Conversion'!$A:$A,match($C1740,'Year Conversion'!$B:$B,0)),$Y:$Y,0))-J1740,"")</f>
        <v>0.1675710742</v>
      </c>
      <c r="AB1740" s="168">
        <f t="array" ref="AB1740">iferror(index(K:K,match($A1740&amp;","&amp;index('Year Conversion'!$A:$A,match($C1740,'Year Conversion'!$B:$B,0)),$Y:$Y,0))-K1740,"")</f>
        <v>1.478365233</v>
      </c>
      <c r="AC1740" s="168" t="str">
        <f t="shared" si="7"/>
        <v>OKC,2016-17</v>
      </c>
    </row>
    <row r="1741">
      <c r="A1741" s="161" t="str">
        <f>IFERROR(__xludf.DUMMYFUNCTION("""COMPUTED_VALUE"""),"hardati02")</f>
        <v>hardati02</v>
      </c>
      <c r="B1741" s="161" t="str">
        <f>IFERROR(__xludf.DUMMYFUNCTION("""COMPUTED_VALUE"""),"Tim Hardaway Jr.")</f>
        <v>Tim Hardaway Jr.</v>
      </c>
      <c r="C1741" s="162" t="str">
        <f>IFERROR(__xludf.DUMMYFUNCTION("""COMPUTED_VALUE"""),"2016-17")</f>
        <v>2016-17</v>
      </c>
      <c r="D1741" s="163" t="str">
        <f>IFERROR(__xludf.DUMMYFUNCTION("""COMPUTED_VALUE"""),"ATL")</f>
        <v>ATL</v>
      </c>
      <c r="E1741" s="164" t="str">
        <f>IFERROR(__xludf.DUMMYFUNCTION("""COMPUTED_VALUE"""),"Movement Shooter")</f>
        <v>Movement Shooter</v>
      </c>
      <c r="F1741" s="164">
        <f>IFERROR(__xludf.DUMMYFUNCTION("""COMPUTED_VALUE"""),2153.475)</f>
        <v>2153.475</v>
      </c>
      <c r="G1741" s="163">
        <f>IFERROR(__xludf.DUMMYFUNCTION("""COMPUTED_VALUE"""),79.0)</f>
        <v>79</v>
      </c>
      <c r="H1741" s="163" t="str">
        <f>IFERROR(__xludf.DUMMYFUNCTION("""COMPUTED_VALUE"""),"SG")</f>
        <v>SG</v>
      </c>
      <c r="I1741" s="163">
        <f>IFERROR(__xludf.DUMMYFUNCTION("""COMPUTED_VALUE"""),24.0)</f>
        <v>24</v>
      </c>
      <c r="J1741" s="165">
        <f>IFERROR(__xludf.DUMMYFUNCTION("""COMPUTED_VALUE"""),0.472149312175858)</f>
        <v>0.4721493122</v>
      </c>
      <c r="K1741" s="165">
        <f>IFERROR(__xludf.DUMMYFUNCTION("""COMPUTED_VALUE"""),1.10600712812134)</f>
        <v>1.106007128</v>
      </c>
      <c r="L1741" s="165">
        <f>IFERROR(__xludf.DUMMYFUNCTION("""COMPUTED_VALUE"""),-0.633857815945479)</f>
        <v>-0.6338578159</v>
      </c>
      <c r="M1741" s="166">
        <f t="shared" si="2"/>
        <v>4.005218829</v>
      </c>
      <c r="N1741" s="167">
        <f t="shared" si="3"/>
        <v>27.25917722</v>
      </c>
      <c r="O1741" s="163">
        <f t="shared" ref="O1741:Q1741" si="1745">rank(I1741,I:I)</f>
        <v>2361</v>
      </c>
      <c r="P1741" s="163">
        <f t="shared" si="1745"/>
        <v>916</v>
      </c>
      <c r="Q1741" s="163">
        <f t="shared" si="1745"/>
        <v>449</v>
      </c>
      <c r="R1741" s="163">
        <f>IFERROR(__xludf.DUMMYFUNCTION("RANK(M1741,filter(M:M,C:C=C1741))"),84.0)</f>
        <v>84</v>
      </c>
      <c r="S1741" s="161" t="b">
        <f t="shared" si="5"/>
        <v>0</v>
      </c>
      <c r="T1741" s="161" t="b">
        <f t="array" ref="T1741">index('Query Tool'!B:B,match(H1741,'Query Tool'!C:C,0))</f>
        <v>1</v>
      </c>
      <c r="U1741" s="161" t="b">
        <f t="array" ref="U1741">index('Query Tool'!B:B,match(C1741,'Query Tool'!C:C,0))</f>
        <v>0</v>
      </c>
      <c r="V1741" s="161" t="b">
        <f>F1741&gt;='Query Tool'!C$32</f>
        <v>1</v>
      </c>
      <c r="W1741" s="161" t="b">
        <f t="array" ref="W1741">index(Dropdowns!B:B,match(I1741,Dropdowns!A:A,0))</f>
        <v>1</v>
      </c>
      <c r="X1741" s="161" t="b">
        <f t="array" ref="X1741">index('Query Tool'!B:B,match(D1741,'Query Tool'!C:C,0))</f>
        <v>1</v>
      </c>
      <c r="Y1741" s="161" t="str">
        <f t="shared" si="6"/>
        <v>hardati02,2016-17</v>
      </c>
      <c r="Z1741" s="168">
        <f t="array" ref="Z1741">iferror(index(I:I,match($A1741&amp;","&amp;index('Year Conversion'!$A:$A,match($C1741,'Year Conversion'!$B:$B,0)),$Y:$Y,0))-I1741,"")</f>
        <v>1</v>
      </c>
      <c r="AA1741" s="168">
        <f t="array" ref="AA1741">iferror(index(J:J,match($A1741&amp;","&amp;index('Year Conversion'!$A:$A,match($C1741,'Year Conversion'!$B:$B,0)),$Y:$Y,0))-J1741,"")</f>
        <v>0.8659747438</v>
      </c>
      <c r="AB1741" s="168">
        <f t="array" ref="AB1741">iferror(index(K:K,match($A1741&amp;","&amp;index('Year Conversion'!$A:$A,match($C1741,'Year Conversion'!$B:$B,0)),$Y:$Y,0))-K1741,"")</f>
        <v>0.4135653888</v>
      </c>
      <c r="AC1741" s="168" t="str">
        <f t="shared" si="7"/>
        <v>ATL,2016-17</v>
      </c>
    </row>
    <row r="1742">
      <c r="A1742" s="161" t="str">
        <f>IFERROR(__xludf.DUMMYFUNCTION("""COMPUTED_VALUE"""),"snellto01")</f>
        <v>snellto01</v>
      </c>
      <c r="B1742" s="161" t="str">
        <f>IFERROR(__xludf.DUMMYFUNCTION("""COMPUTED_VALUE"""),"Tony Snell")</f>
        <v>Tony Snell</v>
      </c>
      <c r="C1742" s="162" t="str">
        <f>IFERROR(__xludf.DUMMYFUNCTION("""COMPUTED_VALUE"""),"2016-17")</f>
        <v>2016-17</v>
      </c>
      <c r="D1742" s="163" t="str">
        <f>IFERROR(__xludf.DUMMYFUNCTION("""COMPUTED_VALUE"""),"MIL")</f>
        <v>MIL</v>
      </c>
      <c r="E1742" s="164" t="str">
        <f>IFERROR(__xludf.DUMMYFUNCTION("""COMPUTED_VALUE"""),"Stationary Shooter")</f>
        <v>Stationary Shooter</v>
      </c>
      <c r="F1742" s="164">
        <f>IFERROR(__xludf.DUMMYFUNCTION("""COMPUTED_VALUE"""),2335.655)</f>
        <v>2335.655</v>
      </c>
      <c r="G1742" s="163">
        <f>IFERROR(__xludf.DUMMYFUNCTION("""COMPUTED_VALUE"""),80.0)</f>
        <v>80</v>
      </c>
      <c r="H1742" s="163" t="str">
        <f>IFERROR(__xludf.DUMMYFUNCTION("""COMPUTED_VALUE"""),"SG")</f>
        <v>SG</v>
      </c>
      <c r="I1742" s="163">
        <f>IFERROR(__xludf.DUMMYFUNCTION("""COMPUTED_VALUE"""),25.0)</f>
        <v>25</v>
      </c>
      <c r="J1742" s="165">
        <f>IFERROR(__xludf.DUMMYFUNCTION("""COMPUTED_VALUE"""),-1.84449858697398)</f>
        <v>-1.844498587</v>
      </c>
      <c r="K1742" s="165">
        <f>IFERROR(__xludf.DUMMYFUNCTION("""COMPUTED_VALUE"""),-0.878388100674352)</f>
        <v>-0.8783881007</v>
      </c>
      <c r="L1742" s="165">
        <f>IFERROR(__xludf.DUMMYFUNCTION("""COMPUTED_VALUE"""),-0.966110486299625)</f>
        <v>-0.9661104863</v>
      </c>
      <c r="M1742" s="166">
        <f t="shared" si="2"/>
        <v>0.7099660331</v>
      </c>
      <c r="N1742" s="167">
        <f t="shared" si="3"/>
        <v>29.1956875</v>
      </c>
      <c r="O1742" s="163">
        <f t="shared" ref="O1742:Q1742" si="1746">rank(I1742,I:I)</f>
        <v>1995</v>
      </c>
      <c r="P1742" s="163">
        <f t="shared" si="1746"/>
        <v>3374</v>
      </c>
      <c r="Q1742" s="163">
        <f t="shared" si="1746"/>
        <v>2661</v>
      </c>
      <c r="R1742" s="163">
        <f>IFERROR(__xludf.DUMMYFUNCTION("RANK(M1742,filter(M:M,C:C=C1742))"),251.0)</f>
        <v>251</v>
      </c>
      <c r="S1742" s="161" t="b">
        <f t="shared" si="5"/>
        <v>0</v>
      </c>
      <c r="T1742" s="161" t="b">
        <f t="array" ref="T1742">index('Query Tool'!B:B,match(H1742,'Query Tool'!C:C,0))</f>
        <v>1</v>
      </c>
      <c r="U1742" s="161" t="b">
        <f t="array" ref="U1742">index('Query Tool'!B:B,match(C1742,'Query Tool'!C:C,0))</f>
        <v>0</v>
      </c>
      <c r="V1742" s="161" t="b">
        <f>F1742&gt;='Query Tool'!C$32</f>
        <v>1</v>
      </c>
      <c r="W1742" s="161" t="b">
        <f t="array" ref="W1742">index(Dropdowns!B:B,match(I1742,Dropdowns!A:A,0))</f>
        <v>1</v>
      </c>
      <c r="X1742" s="161" t="b">
        <f t="array" ref="X1742">index('Query Tool'!B:B,match(D1742,'Query Tool'!C:C,0))</f>
        <v>1</v>
      </c>
      <c r="Y1742" s="161" t="str">
        <f t="shared" si="6"/>
        <v>snellto01,2016-17</v>
      </c>
      <c r="Z1742" s="168">
        <f t="array" ref="Z1742">iferror(index(I:I,match($A1742&amp;","&amp;index('Year Conversion'!$A:$A,match($C1742,'Year Conversion'!$B:$B,0)),$Y:$Y,0))-I1742,"")</f>
        <v>1</v>
      </c>
      <c r="AA1742" s="168">
        <f t="array" ref="AA1742">iferror(index(J:J,match($A1742&amp;","&amp;index('Year Conversion'!$A:$A,match($C1742,'Year Conversion'!$B:$B,0)),$Y:$Y,0))-J1742,"")</f>
        <v>-0.5513919117</v>
      </c>
      <c r="AB1742" s="168">
        <f t="array" ref="AB1742">iferror(index(K:K,match($A1742&amp;","&amp;index('Year Conversion'!$A:$A,match($C1742,'Year Conversion'!$B:$B,0)),$Y:$Y,0))-K1742,"")</f>
        <v>-0.3418371885</v>
      </c>
      <c r="AC1742" s="168" t="str">
        <f t="shared" si="7"/>
        <v>MIL,2016-17</v>
      </c>
    </row>
    <row r="1743">
      <c r="A1743" s="161" t="str">
        <f>IFERROR(__xludf.DUMMYFUNCTION("""COMPUTED_VALUE"""),"burketr01")</f>
        <v>burketr01</v>
      </c>
      <c r="B1743" s="161" t="str">
        <f>IFERROR(__xludf.DUMMYFUNCTION("""COMPUTED_VALUE"""),"Trey Burke")</f>
        <v>Trey Burke</v>
      </c>
      <c r="C1743" s="162" t="str">
        <f>IFERROR(__xludf.DUMMYFUNCTION("""COMPUTED_VALUE"""),"2016-17")</f>
        <v>2016-17</v>
      </c>
      <c r="D1743" s="163" t="str">
        <f>IFERROR(__xludf.DUMMYFUNCTION("""COMPUTED_VALUE"""),"WAS")</f>
        <v>WAS</v>
      </c>
      <c r="E1743" s="164" t="str">
        <f>IFERROR(__xludf.DUMMYFUNCTION("""COMPUTED_VALUE"""),"Secondary Ball Handler")</f>
        <v>Secondary Ball Handler</v>
      </c>
      <c r="F1743" s="164">
        <f>IFERROR(__xludf.DUMMYFUNCTION("""COMPUTED_VALUE"""),702.79)</f>
        <v>702.79</v>
      </c>
      <c r="G1743" s="163">
        <f>IFERROR(__xludf.DUMMYFUNCTION("""COMPUTED_VALUE"""),57.0)</f>
        <v>57</v>
      </c>
      <c r="H1743" s="163" t="str">
        <f>IFERROR(__xludf.DUMMYFUNCTION("""COMPUTED_VALUE"""),"PG")</f>
        <v>PG</v>
      </c>
      <c r="I1743" s="163">
        <f>IFERROR(__xludf.DUMMYFUNCTION("""COMPUTED_VALUE"""),24.0)</f>
        <v>24</v>
      </c>
      <c r="J1743" s="165">
        <f>IFERROR(__xludf.DUMMYFUNCTION("""COMPUTED_VALUE"""),-4.15758916642021)</f>
        <v>-4.157589166</v>
      </c>
      <c r="K1743" s="165">
        <f>IFERROR(__xludf.DUMMYFUNCTION("""COMPUTED_VALUE"""),-1.96941167398451)</f>
        <v>-1.969411674</v>
      </c>
      <c r="L1743" s="165">
        <f>IFERROR(__xludf.DUMMYFUNCTION("""COMPUTED_VALUE"""),-2.1881774924357)</f>
        <v>-2.188177492</v>
      </c>
      <c r="M1743" s="166">
        <f t="shared" si="2"/>
        <v>-0.8404734342</v>
      </c>
      <c r="N1743" s="167">
        <f t="shared" si="3"/>
        <v>12.32964912</v>
      </c>
      <c r="O1743" s="163">
        <f t="shared" ref="O1743:Q1743" si="1747">rank(I1743,I:I)</f>
        <v>2361</v>
      </c>
      <c r="P1743" s="163">
        <f t="shared" si="1747"/>
        <v>4002</v>
      </c>
      <c r="Q1743" s="163">
        <f t="shared" si="1747"/>
        <v>3700</v>
      </c>
      <c r="R1743" s="163">
        <f>IFERROR(__xludf.DUMMYFUNCTION("RANK(M1743,filter(M:M,C:C=C1743))"),479.0)</f>
        <v>479</v>
      </c>
      <c r="S1743" s="161" t="b">
        <f t="shared" si="5"/>
        <v>0</v>
      </c>
      <c r="T1743" s="161" t="b">
        <f t="array" ref="T1743">index('Query Tool'!B:B,match(H1743,'Query Tool'!C:C,0))</f>
        <v>1</v>
      </c>
      <c r="U1743" s="161" t="b">
        <f t="array" ref="U1743">index('Query Tool'!B:B,match(C1743,'Query Tool'!C:C,0))</f>
        <v>0</v>
      </c>
      <c r="V1743" s="161" t="b">
        <f>F1743&gt;='Query Tool'!C$32</f>
        <v>1</v>
      </c>
      <c r="W1743" s="161" t="b">
        <f t="array" ref="W1743">index(Dropdowns!B:B,match(I1743,Dropdowns!A:A,0))</f>
        <v>1</v>
      </c>
      <c r="X1743" s="161" t="b">
        <f t="array" ref="X1743">index('Query Tool'!B:B,match(D1743,'Query Tool'!C:C,0))</f>
        <v>1</v>
      </c>
      <c r="Y1743" s="161" t="str">
        <f t="shared" si="6"/>
        <v>burketr01,2016-17</v>
      </c>
      <c r="Z1743" s="168">
        <f t="array" ref="Z1743">iferror(index(I:I,match($A1743&amp;","&amp;index('Year Conversion'!$A:$A,match($C1743,'Year Conversion'!$B:$B,0)),$Y:$Y,0))-I1743,"")</f>
        <v>1</v>
      </c>
      <c r="AA1743" s="168">
        <f t="array" ref="AA1743">iferror(index(J:J,match($A1743&amp;","&amp;index('Year Conversion'!$A:$A,match($C1743,'Year Conversion'!$B:$B,0)),$Y:$Y,0))-J1743,"")</f>
        <v>4.248229642</v>
      </c>
      <c r="AB1743" s="168">
        <f t="array" ref="AB1743">iferror(index(K:K,match($A1743&amp;","&amp;index('Year Conversion'!$A:$A,match($C1743,'Year Conversion'!$B:$B,0)),$Y:$Y,0))-K1743,"")</f>
        <v>4.417912286</v>
      </c>
      <c r="AC1743" s="168" t="str">
        <f t="shared" si="7"/>
        <v>WAS,2016-17</v>
      </c>
    </row>
    <row r="1744">
      <c r="A1744" s="161" t="str">
        <f>IFERROR(__xludf.DUMMYFUNCTION("""COMPUTED_VALUE"""),"oladivi01")</f>
        <v>oladivi01</v>
      </c>
      <c r="B1744" s="161" t="str">
        <f>IFERROR(__xludf.DUMMYFUNCTION("""COMPUTED_VALUE"""),"Victor Oladipo")</f>
        <v>Victor Oladipo</v>
      </c>
      <c r="C1744" s="162" t="str">
        <f>IFERROR(__xludf.DUMMYFUNCTION("""COMPUTED_VALUE"""),"2016-17")</f>
        <v>2016-17</v>
      </c>
      <c r="D1744" s="163" t="str">
        <f>IFERROR(__xludf.DUMMYFUNCTION("""COMPUTED_VALUE"""),"OKC")</f>
        <v>OKC</v>
      </c>
      <c r="E1744" s="164" t="str">
        <f>IFERROR(__xludf.DUMMYFUNCTION("""COMPUTED_VALUE"""),"Secondary Ball Handler")</f>
        <v>Secondary Ball Handler</v>
      </c>
      <c r="F1744" s="164">
        <f>IFERROR(__xludf.DUMMYFUNCTION("""COMPUTED_VALUE"""),2222.63833333333)</f>
        <v>2222.638333</v>
      </c>
      <c r="G1744" s="163">
        <f>IFERROR(__xludf.DUMMYFUNCTION("""COMPUTED_VALUE"""),67.0)</f>
        <v>67</v>
      </c>
      <c r="H1744" s="163" t="str">
        <f>IFERROR(__xludf.DUMMYFUNCTION("""COMPUTED_VALUE"""),"SG")</f>
        <v>SG</v>
      </c>
      <c r="I1744" s="163">
        <f>IFERROR(__xludf.DUMMYFUNCTION("""COMPUTED_VALUE"""),24.0)</f>
        <v>24</v>
      </c>
      <c r="J1744" s="165">
        <f>IFERROR(__xludf.DUMMYFUNCTION("""COMPUTED_VALUE"""),0.459549418103368)</f>
        <v>0.4595494181</v>
      </c>
      <c r="K1744" s="165">
        <f>IFERROR(__xludf.DUMMYFUNCTION("""COMPUTED_VALUE"""),-0.584683661201694)</f>
        <v>-0.5846836612</v>
      </c>
      <c r="L1744" s="165">
        <f>IFERROR(__xludf.DUMMYFUNCTION("""COMPUTED_VALUE"""),1.04423307930506)</f>
        <v>1.044233079</v>
      </c>
      <c r="M1744" s="166">
        <f t="shared" si="2"/>
        <v>4.114991146</v>
      </c>
      <c r="N1744" s="167">
        <f t="shared" si="3"/>
        <v>33.17370647</v>
      </c>
      <c r="O1744" s="163">
        <f t="shared" ref="O1744:Q1744" si="1748">rank(I1744,I:I)</f>
        <v>2361</v>
      </c>
      <c r="P1744" s="163">
        <f t="shared" si="1748"/>
        <v>922</v>
      </c>
      <c r="Q1744" s="163">
        <f t="shared" si="1748"/>
        <v>2238</v>
      </c>
      <c r="R1744" s="163">
        <f>IFERROR(__xludf.DUMMYFUNCTION("RANK(M1744,filter(M:M,C:C=C1744))"),79.0)</f>
        <v>79</v>
      </c>
      <c r="S1744" s="161" t="b">
        <f t="shared" si="5"/>
        <v>0</v>
      </c>
      <c r="T1744" s="161" t="b">
        <f t="array" ref="T1744">index('Query Tool'!B:B,match(H1744,'Query Tool'!C:C,0))</f>
        <v>1</v>
      </c>
      <c r="U1744" s="161" t="b">
        <f t="array" ref="U1744">index('Query Tool'!B:B,match(C1744,'Query Tool'!C:C,0))</f>
        <v>0</v>
      </c>
      <c r="V1744" s="161" t="b">
        <f>F1744&gt;='Query Tool'!C$32</f>
        <v>1</v>
      </c>
      <c r="W1744" s="161" t="b">
        <f t="array" ref="W1744">index(Dropdowns!B:B,match(I1744,Dropdowns!A:A,0))</f>
        <v>1</v>
      </c>
      <c r="X1744" s="161" t="b">
        <f t="array" ref="X1744">index('Query Tool'!B:B,match(D1744,'Query Tool'!C:C,0))</f>
        <v>1</v>
      </c>
      <c r="Y1744" s="161" t="str">
        <f t="shared" si="6"/>
        <v>oladivi01,2016-17</v>
      </c>
      <c r="Z1744" s="168">
        <f t="array" ref="Z1744">iferror(index(I:I,match($A1744&amp;","&amp;index('Year Conversion'!$A:$A,match($C1744,'Year Conversion'!$B:$B,0)),$Y:$Y,0))-I1744,"")</f>
        <v>1</v>
      </c>
      <c r="AA1744" s="168">
        <f t="array" ref="AA1744">iferror(index(J:J,match($A1744&amp;","&amp;index('Year Conversion'!$A:$A,match($C1744,'Year Conversion'!$B:$B,0)),$Y:$Y,0))-J1744,"")</f>
        <v>3.86906914</v>
      </c>
      <c r="AB1744" s="168">
        <f t="array" ref="AB1744">iferror(index(K:K,match($A1744&amp;","&amp;index('Year Conversion'!$A:$A,match($C1744,'Year Conversion'!$B:$B,0)),$Y:$Y,0))-K1744,"")</f>
        <v>2.940996192</v>
      </c>
      <c r="AC1744" s="168" t="str">
        <f t="shared" si="7"/>
        <v>OKC,2016-17</v>
      </c>
    </row>
    <row r="1745">
      <c r="A1745" s="161" t="str">
        <f>IFERROR(__xludf.DUMMYFUNCTION("""COMPUTED_VALUE"""),"antetgi01")</f>
        <v>antetgi01</v>
      </c>
      <c r="B1745" s="161" t="str">
        <f>IFERROR(__xludf.DUMMYFUNCTION("""COMPUTED_VALUE"""),"Giannis Antetokounmpo")</f>
        <v>Giannis Antetokounmpo</v>
      </c>
      <c r="C1745" s="162" t="str">
        <f>IFERROR(__xludf.DUMMYFUNCTION("""COMPUTED_VALUE"""),"2016-17")</f>
        <v>2016-17</v>
      </c>
      <c r="D1745" s="163" t="str">
        <f>IFERROR(__xludf.DUMMYFUNCTION("""COMPUTED_VALUE"""),"MIL")</f>
        <v>MIL</v>
      </c>
      <c r="E1745" s="164" t="str">
        <f>IFERROR(__xludf.DUMMYFUNCTION("""COMPUTED_VALUE"""),"Shot Creator")</f>
        <v>Shot Creator</v>
      </c>
      <c r="F1745" s="164">
        <f>IFERROR(__xludf.DUMMYFUNCTION("""COMPUTED_VALUE"""),2845.03666666667)</f>
        <v>2845.036667</v>
      </c>
      <c r="G1745" s="163">
        <f>IFERROR(__xludf.DUMMYFUNCTION("""COMPUTED_VALUE"""),80.0)</f>
        <v>80</v>
      </c>
      <c r="H1745" s="163" t="str">
        <f>IFERROR(__xludf.DUMMYFUNCTION("""COMPUTED_VALUE"""),"SF")</f>
        <v>SF</v>
      </c>
      <c r="I1745" s="163">
        <f>IFERROR(__xludf.DUMMYFUNCTION("""COMPUTED_VALUE"""),22.0)</f>
        <v>22</v>
      </c>
      <c r="J1745" s="165">
        <f>IFERROR(__xludf.DUMMYFUNCTION("""COMPUTED_VALUE"""),4.50458668208226)</f>
        <v>4.504586682</v>
      </c>
      <c r="K1745" s="165">
        <f>IFERROR(__xludf.DUMMYFUNCTION("""COMPUTED_VALUE"""),2.29760754375737)</f>
        <v>2.297607544</v>
      </c>
      <c r="L1745" s="165">
        <f>IFERROR(__xludf.DUMMYFUNCTION("""COMPUTED_VALUE"""),2.20697913832488)</f>
        <v>2.206979138</v>
      </c>
      <c r="M1745" s="166">
        <f t="shared" si="2"/>
        <v>12.79071578</v>
      </c>
      <c r="N1745" s="167">
        <f t="shared" si="3"/>
        <v>35.56295833</v>
      </c>
      <c r="O1745" s="163">
        <f t="shared" ref="O1745:Q1745" si="1749">rank(I1745,I:I)</f>
        <v>3178</v>
      </c>
      <c r="P1745" s="163">
        <f t="shared" si="1749"/>
        <v>68</v>
      </c>
      <c r="Q1745" s="163">
        <f t="shared" si="1749"/>
        <v>179</v>
      </c>
      <c r="R1745" s="163">
        <f>IFERROR(__xludf.DUMMYFUNCTION("RANK(M1745,filter(M:M,C:C=C1745))"),8.0)</f>
        <v>8</v>
      </c>
      <c r="S1745" s="161" t="b">
        <f t="shared" si="5"/>
        <v>0</v>
      </c>
      <c r="T1745" s="161" t="b">
        <f t="array" ref="T1745">index('Query Tool'!B:B,match(H1745,'Query Tool'!C:C,0))</f>
        <v>1</v>
      </c>
      <c r="U1745" s="161" t="b">
        <f t="array" ref="U1745">index('Query Tool'!B:B,match(C1745,'Query Tool'!C:C,0))</f>
        <v>0</v>
      </c>
      <c r="V1745" s="161" t="b">
        <f>F1745&gt;='Query Tool'!C$32</f>
        <v>1</v>
      </c>
      <c r="W1745" s="161" t="b">
        <f t="array" ref="W1745">index(Dropdowns!B:B,match(I1745,Dropdowns!A:A,0))</f>
        <v>1</v>
      </c>
      <c r="X1745" s="161" t="b">
        <f t="array" ref="X1745">index('Query Tool'!B:B,match(D1745,'Query Tool'!C:C,0))</f>
        <v>1</v>
      </c>
      <c r="Y1745" s="161" t="str">
        <f t="shared" si="6"/>
        <v>antetgi01,2016-17</v>
      </c>
      <c r="Z1745" s="168">
        <f t="array" ref="Z1745">iferror(index(I:I,match($A1745&amp;","&amp;index('Year Conversion'!$A:$A,match($C1745,'Year Conversion'!$B:$B,0)),$Y:$Y,0))-I1745,"")</f>
        <v>1</v>
      </c>
      <c r="AA1745" s="168">
        <f t="array" ref="AA1745">iferror(index(J:J,match($A1745&amp;","&amp;index('Year Conversion'!$A:$A,match($C1745,'Year Conversion'!$B:$B,0)),$Y:$Y,0))-J1745,"")</f>
        <v>0.09316406444</v>
      </c>
      <c r="AB1745" s="168">
        <f t="array" ref="AB1745">iferror(index(K:K,match($A1745&amp;","&amp;index('Year Conversion'!$A:$A,match($C1745,'Year Conversion'!$B:$B,0)),$Y:$Y,0))-K1745,"")</f>
        <v>0.3848102325</v>
      </c>
      <c r="AC1745" s="168" t="str">
        <f t="shared" si="7"/>
        <v>MIL,2016-17</v>
      </c>
    </row>
    <row r="1746">
      <c r="A1746" s="161" t="str">
        <f>IFERROR(__xludf.DUMMYFUNCTION("""COMPUTED_VALUE"""),"jackspi01")</f>
        <v>jackspi01</v>
      </c>
      <c r="B1746" s="161" t="str">
        <f>IFERROR(__xludf.DUMMYFUNCTION("""COMPUTED_VALUE"""),"Pierre Jackson")</f>
        <v>Pierre Jackson</v>
      </c>
      <c r="C1746" s="162" t="str">
        <f>IFERROR(__xludf.DUMMYFUNCTION("""COMPUTED_VALUE"""),"2016-17")</f>
        <v>2016-17</v>
      </c>
      <c r="D1746" s="163" t="str">
        <f>IFERROR(__xludf.DUMMYFUNCTION("""COMPUTED_VALUE"""),"DAL")</f>
        <v>DAL</v>
      </c>
      <c r="E1746" s="164" t="str">
        <f>IFERROR(__xludf.DUMMYFUNCTION("""COMPUTED_VALUE"""),"Slasher")</f>
        <v>Slasher</v>
      </c>
      <c r="F1746" s="164">
        <f>IFERROR(__xludf.DUMMYFUNCTION("""COMPUTED_VALUE"""),84.4016666666666)</f>
        <v>84.40166667</v>
      </c>
      <c r="G1746" s="163">
        <f>IFERROR(__xludf.DUMMYFUNCTION("""COMPUTED_VALUE"""),8.0)</f>
        <v>8</v>
      </c>
      <c r="H1746" s="163" t="str">
        <f>IFERROR(__xludf.DUMMYFUNCTION("""COMPUTED_VALUE"""),"PG")</f>
        <v>PG</v>
      </c>
      <c r="I1746" s="163">
        <f>IFERROR(__xludf.DUMMYFUNCTION("""COMPUTED_VALUE"""),25.0)</f>
        <v>25</v>
      </c>
      <c r="J1746" s="165">
        <f>IFERROR(__xludf.DUMMYFUNCTION("""COMPUTED_VALUE"""),0.548187338227048)</f>
        <v>0.5481873382</v>
      </c>
      <c r="K1746" s="165">
        <f>IFERROR(__xludf.DUMMYFUNCTION("""COMPUTED_VALUE"""),0.372366164498506)</f>
        <v>0.3723661645</v>
      </c>
      <c r="L1746" s="165">
        <f>IFERROR(__xludf.DUMMYFUNCTION("""COMPUTED_VALUE"""),0.175821173728542)</f>
        <v>0.1758211737</v>
      </c>
      <c r="M1746" s="166">
        <f t="shared" si="2"/>
        <v>0.1612995844</v>
      </c>
      <c r="N1746" s="167">
        <f t="shared" si="3"/>
        <v>10.55020833</v>
      </c>
      <c r="O1746" s="163">
        <f t="shared" ref="O1746:Q1746" si="1750">rank(I1746,I:I)</f>
        <v>1995</v>
      </c>
      <c r="P1746" s="163">
        <f t="shared" si="1750"/>
        <v>871</v>
      </c>
      <c r="Q1746" s="163">
        <f t="shared" si="1750"/>
        <v>852</v>
      </c>
      <c r="R1746" s="163">
        <f>IFERROR(__xludf.DUMMYFUNCTION("RANK(M1746,filter(M:M,C:C=C1746))"),352.0)</f>
        <v>352</v>
      </c>
      <c r="S1746" s="161" t="b">
        <f t="shared" si="5"/>
        <v>0</v>
      </c>
      <c r="T1746" s="161" t="b">
        <f t="array" ref="T1746">index('Query Tool'!B:B,match(H1746,'Query Tool'!C:C,0))</f>
        <v>1</v>
      </c>
      <c r="U1746" s="161" t="b">
        <f t="array" ref="U1746">index('Query Tool'!B:B,match(C1746,'Query Tool'!C:C,0))</f>
        <v>0</v>
      </c>
      <c r="V1746" s="161" t="b">
        <f>F1746&gt;='Query Tool'!C$32</f>
        <v>0</v>
      </c>
      <c r="W1746" s="161" t="b">
        <f t="array" ref="W1746">index(Dropdowns!B:B,match(I1746,Dropdowns!A:A,0))</f>
        <v>1</v>
      </c>
      <c r="X1746" s="161" t="b">
        <f t="array" ref="X1746">index('Query Tool'!B:B,match(D1746,'Query Tool'!C:C,0))</f>
        <v>1</v>
      </c>
      <c r="Y1746" s="161" t="str">
        <f t="shared" si="6"/>
        <v>jackspi01,2016-17</v>
      </c>
      <c r="Z1746" s="168" t="str">
        <f t="array" ref="Z1746">iferror(index(I:I,match($A1746&amp;","&amp;index('Year Conversion'!$A:$A,match($C1746,'Year Conversion'!$B:$B,0)),$Y:$Y,0))-I1746,"")</f>
        <v/>
      </c>
      <c r="AA1746" s="168" t="str">
        <f t="array" ref="AA1746">iferror(index(J:J,match($A1746&amp;","&amp;index('Year Conversion'!$A:$A,match($C1746,'Year Conversion'!$B:$B,0)),$Y:$Y,0))-J1746,"")</f>
        <v/>
      </c>
      <c r="AB1746" s="168" t="str">
        <f t="array" ref="AB1746">iferror(index(K:K,match($A1746&amp;","&amp;index('Year Conversion'!$A:$A,match($C1746,'Year Conversion'!$B:$B,0)),$Y:$Y,0))-K1746,"")</f>
        <v/>
      </c>
      <c r="AC1746" s="168" t="str">
        <f t="shared" si="7"/>
        <v>DAL,2016-17</v>
      </c>
    </row>
    <row r="1747">
      <c r="A1747" s="161" t="str">
        <f>IFERROR(__xludf.DUMMYFUNCTION("""COMPUTED_VALUE"""),"noguelu01")</f>
        <v>noguelu01</v>
      </c>
      <c r="B1747" s="161" t="str">
        <f>IFERROR(__xludf.DUMMYFUNCTION("""COMPUTED_VALUE"""),"Lucas Nogueira")</f>
        <v>Lucas Nogueira</v>
      </c>
      <c r="C1747" s="162" t="str">
        <f>IFERROR(__xludf.DUMMYFUNCTION("""COMPUTED_VALUE"""),"2016-17")</f>
        <v>2016-17</v>
      </c>
      <c r="D1747" s="163" t="str">
        <f>IFERROR(__xludf.DUMMYFUNCTION("""COMPUTED_VALUE"""),"TOR")</f>
        <v>TOR</v>
      </c>
      <c r="E1747" s="164" t="str">
        <f>IFERROR(__xludf.DUMMYFUNCTION("""COMPUTED_VALUE"""),"Roll + Cut Big")</f>
        <v>Roll + Cut Big</v>
      </c>
      <c r="F1747" s="164">
        <f>IFERROR(__xludf.DUMMYFUNCTION("""COMPUTED_VALUE"""),1088.25)</f>
        <v>1088.25</v>
      </c>
      <c r="G1747" s="163">
        <f>IFERROR(__xludf.DUMMYFUNCTION("""COMPUTED_VALUE"""),57.0)</f>
        <v>57</v>
      </c>
      <c r="H1747" s="163" t="str">
        <f>IFERROR(__xludf.DUMMYFUNCTION("""COMPUTED_VALUE"""),"C")</f>
        <v>C</v>
      </c>
      <c r="I1747" s="163">
        <f>IFERROR(__xludf.DUMMYFUNCTION("""COMPUTED_VALUE"""),24.0)</f>
        <v>24</v>
      </c>
      <c r="J1747" s="165">
        <f>IFERROR(__xludf.DUMMYFUNCTION("""COMPUTED_VALUE"""),0.725019060863291)</f>
        <v>0.7250190609</v>
      </c>
      <c r="K1747" s="165">
        <f>IFERROR(__xludf.DUMMYFUNCTION("""COMPUTED_VALUE"""),-1.46527669946088)</f>
        <v>-1.465276699</v>
      </c>
      <c r="L1747" s="165">
        <f>IFERROR(__xludf.DUMMYFUNCTION("""COMPUTED_VALUE"""),2.19029576032417)</f>
        <v>2.19029576</v>
      </c>
      <c r="M1747" s="166">
        <f t="shared" si="2"/>
        <v>2.209267763</v>
      </c>
      <c r="N1747" s="167">
        <f t="shared" si="3"/>
        <v>19.09210526</v>
      </c>
      <c r="O1747" s="163">
        <f t="shared" ref="O1747:Q1747" si="1751">rank(I1747,I:I)</f>
        <v>2361</v>
      </c>
      <c r="P1747" s="163">
        <f t="shared" si="1751"/>
        <v>777</v>
      </c>
      <c r="Q1747" s="163">
        <f t="shared" si="1751"/>
        <v>3320</v>
      </c>
      <c r="R1747" s="163">
        <f>IFERROR(__xludf.DUMMYFUNCTION("RANK(M1747,filter(M:M,C:C=C1747))"),145.0)</f>
        <v>145</v>
      </c>
      <c r="S1747" s="161" t="b">
        <f t="shared" si="5"/>
        <v>0</v>
      </c>
      <c r="T1747" s="161" t="b">
        <f t="array" ref="T1747">index('Query Tool'!B:B,match(H1747,'Query Tool'!C:C,0))</f>
        <v>1</v>
      </c>
      <c r="U1747" s="161" t="b">
        <f t="array" ref="U1747">index('Query Tool'!B:B,match(C1747,'Query Tool'!C:C,0))</f>
        <v>0</v>
      </c>
      <c r="V1747" s="161" t="b">
        <f>F1747&gt;='Query Tool'!C$32</f>
        <v>1</v>
      </c>
      <c r="W1747" s="161" t="b">
        <f t="array" ref="W1747">index(Dropdowns!B:B,match(I1747,Dropdowns!A:A,0))</f>
        <v>1</v>
      </c>
      <c r="X1747" s="161" t="b">
        <f t="array" ref="X1747">index('Query Tool'!B:B,match(D1747,'Query Tool'!C:C,0))</f>
        <v>1</v>
      </c>
      <c r="Y1747" s="161" t="str">
        <f t="shared" si="6"/>
        <v>noguelu01,2016-17</v>
      </c>
      <c r="Z1747" s="168">
        <f t="array" ref="Z1747">iferror(index(I:I,match($A1747&amp;","&amp;index('Year Conversion'!$A:$A,match($C1747,'Year Conversion'!$B:$B,0)),$Y:$Y,0))-I1747,"")</f>
        <v>1</v>
      </c>
      <c r="AA1747" s="168">
        <f t="array" ref="AA1747">iferror(index(J:J,match($A1747&amp;","&amp;index('Year Conversion'!$A:$A,match($C1747,'Year Conversion'!$B:$B,0)),$Y:$Y,0))-J1747,"")</f>
        <v>1.035463059</v>
      </c>
      <c r="AB1747" s="168">
        <f t="array" ref="AB1747">iferror(index(K:K,match($A1747&amp;","&amp;index('Year Conversion'!$A:$A,match($C1747,'Year Conversion'!$B:$B,0)),$Y:$Y,0))-K1747,"")</f>
        <v>0.02193897568</v>
      </c>
      <c r="AC1747" s="168" t="str">
        <f t="shared" si="7"/>
        <v>TOR,2016-17</v>
      </c>
    </row>
    <row r="1748">
      <c r="A1748" s="161" t="str">
        <f>IFERROR(__xludf.DUMMYFUNCTION("""COMPUTED_VALUE"""),"ennisja01")</f>
        <v>ennisja01</v>
      </c>
      <c r="B1748" s="161" t="str">
        <f>IFERROR(__xludf.DUMMYFUNCTION("""COMPUTED_VALUE"""),"James Ennis III")</f>
        <v>James Ennis III</v>
      </c>
      <c r="C1748" s="162" t="str">
        <f>IFERROR(__xludf.DUMMYFUNCTION("""COMPUTED_VALUE"""),"2016-17")</f>
        <v>2016-17</v>
      </c>
      <c r="D1748" s="163" t="str">
        <f>IFERROR(__xludf.DUMMYFUNCTION("""COMPUTED_VALUE"""),"MEM")</f>
        <v>MEM</v>
      </c>
      <c r="E1748" s="164" t="str">
        <f>IFERROR(__xludf.DUMMYFUNCTION("""COMPUTED_VALUE"""),"Athletic Finisher")</f>
        <v>Athletic Finisher</v>
      </c>
      <c r="F1748" s="164">
        <f>IFERROR(__xludf.DUMMYFUNCTION("""COMPUTED_VALUE"""),1500.55833333333)</f>
        <v>1500.558333</v>
      </c>
      <c r="G1748" s="163">
        <f>IFERROR(__xludf.DUMMYFUNCTION("""COMPUTED_VALUE"""),64.0)</f>
        <v>64</v>
      </c>
      <c r="H1748" s="163" t="str">
        <f>IFERROR(__xludf.DUMMYFUNCTION("""COMPUTED_VALUE"""),"SF")</f>
        <v>SF</v>
      </c>
      <c r="I1748" s="163">
        <f>IFERROR(__xludf.DUMMYFUNCTION("""COMPUTED_VALUE"""),26.0)</f>
        <v>26</v>
      </c>
      <c r="J1748" s="165">
        <f>IFERROR(__xludf.DUMMYFUNCTION("""COMPUTED_VALUE"""),-0.974319271511416)</f>
        <v>-0.9743192715</v>
      </c>
      <c r="K1748" s="165">
        <f>IFERROR(__xludf.DUMMYFUNCTION("""COMPUTED_VALUE"""),-2.01784050077183)</f>
        <v>-2.017840501</v>
      </c>
      <c r="L1748" s="165">
        <f>IFERROR(__xludf.DUMMYFUNCTION("""COMPUTED_VALUE"""),1.04352122926041)</f>
        <v>1.043521229</v>
      </c>
      <c r="M1748" s="166">
        <f t="shared" si="2"/>
        <v>1.328977626</v>
      </c>
      <c r="N1748" s="167">
        <f t="shared" si="3"/>
        <v>23.44622396</v>
      </c>
      <c r="O1748" s="163">
        <f t="shared" ref="O1748:Q1748" si="1752">rank(I1748,I:I)</f>
        <v>1665</v>
      </c>
      <c r="P1748" s="163">
        <f t="shared" si="1752"/>
        <v>2477</v>
      </c>
      <c r="Q1748" s="163">
        <f t="shared" si="1752"/>
        <v>3714</v>
      </c>
      <c r="R1748" s="163">
        <f>IFERROR(__xludf.DUMMYFUNCTION("RANK(M1748,filter(M:M,C:C=C1748))"),198.0)</f>
        <v>198</v>
      </c>
      <c r="S1748" s="161" t="b">
        <f t="shared" si="5"/>
        <v>0</v>
      </c>
      <c r="T1748" s="161" t="b">
        <f t="array" ref="T1748">index('Query Tool'!B:B,match(H1748,'Query Tool'!C:C,0))</f>
        <v>1</v>
      </c>
      <c r="U1748" s="161" t="b">
        <f t="array" ref="U1748">index('Query Tool'!B:B,match(C1748,'Query Tool'!C:C,0))</f>
        <v>0</v>
      </c>
      <c r="V1748" s="161" t="b">
        <f>F1748&gt;='Query Tool'!C$32</f>
        <v>1</v>
      </c>
      <c r="W1748" s="161" t="b">
        <f t="array" ref="W1748">index(Dropdowns!B:B,match(I1748,Dropdowns!A:A,0))</f>
        <v>1</v>
      </c>
      <c r="X1748" s="161" t="b">
        <f t="array" ref="X1748">index('Query Tool'!B:B,match(D1748,'Query Tool'!C:C,0))</f>
        <v>1</v>
      </c>
      <c r="Y1748" s="161" t="str">
        <f t="shared" si="6"/>
        <v>ennisja01,2016-17</v>
      </c>
      <c r="Z1748" s="168">
        <f t="array" ref="Z1748">iferror(index(I:I,match($A1748&amp;","&amp;index('Year Conversion'!$A:$A,match($C1748,'Year Conversion'!$B:$B,0)),$Y:$Y,0))-I1748,"")</f>
        <v>1</v>
      </c>
      <c r="AA1748" s="168">
        <f t="array" ref="AA1748">iferror(index(J:J,match($A1748&amp;","&amp;index('Year Conversion'!$A:$A,match($C1748,'Year Conversion'!$B:$B,0)),$Y:$Y,0))-J1748,"")</f>
        <v>-1.418046104</v>
      </c>
      <c r="AB1748" s="168">
        <f t="array" ref="AB1748">iferror(index(K:K,match($A1748&amp;","&amp;index('Year Conversion'!$A:$A,match($C1748,'Year Conversion'!$B:$B,0)),$Y:$Y,0))-K1748,"")</f>
        <v>0.5118551137</v>
      </c>
      <c r="AC1748" s="168" t="str">
        <f t="shared" si="7"/>
        <v>MEM,2016-17</v>
      </c>
    </row>
    <row r="1749">
      <c r="A1749" s="161" t="str">
        <f>IFERROR(__xludf.DUMMYFUNCTION("""COMPUTED_VALUE"""),"abrinal01")</f>
        <v>abrinal01</v>
      </c>
      <c r="B1749" s="161" t="str">
        <f>IFERROR(__xludf.DUMMYFUNCTION("""COMPUTED_VALUE"""),"Alex Abrines")</f>
        <v>Alex Abrines</v>
      </c>
      <c r="C1749" s="162" t="str">
        <f>IFERROR(__xludf.DUMMYFUNCTION("""COMPUTED_VALUE"""),"2016-17")</f>
        <v>2016-17</v>
      </c>
      <c r="D1749" s="163" t="str">
        <f>IFERROR(__xludf.DUMMYFUNCTION("""COMPUTED_VALUE"""),"OKC")</f>
        <v>OKC</v>
      </c>
      <c r="E1749" s="164" t="str">
        <f>IFERROR(__xludf.DUMMYFUNCTION("""COMPUTED_VALUE"""),"Movement Shooter")</f>
        <v>Movement Shooter</v>
      </c>
      <c r="F1749" s="164">
        <f>IFERROR(__xludf.DUMMYFUNCTION("""COMPUTED_VALUE"""),1055.19666666667)</f>
        <v>1055.196667</v>
      </c>
      <c r="G1749" s="163">
        <f>IFERROR(__xludf.DUMMYFUNCTION("""COMPUTED_VALUE"""),68.0)</f>
        <v>68</v>
      </c>
      <c r="H1749" s="163" t="str">
        <f>IFERROR(__xludf.DUMMYFUNCTION("""COMPUTED_VALUE"""),"SG")</f>
        <v>SG</v>
      </c>
      <c r="I1749" s="163">
        <f>IFERROR(__xludf.DUMMYFUNCTION("""COMPUTED_VALUE"""),23.0)</f>
        <v>23</v>
      </c>
      <c r="J1749" s="165">
        <f>IFERROR(__xludf.DUMMYFUNCTION("""COMPUTED_VALUE"""),-1.27517859914894)</f>
        <v>-1.275178599</v>
      </c>
      <c r="K1749" s="165">
        <f>IFERROR(__xludf.DUMMYFUNCTION("""COMPUTED_VALUE"""),-0.313735209019087)</f>
        <v>-0.313735209</v>
      </c>
      <c r="L1749" s="165">
        <f>IFERROR(__xludf.DUMMYFUNCTION("""COMPUTED_VALUE"""),-0.961443390129853)</f>
        <v>-0.9614433901</v>
      </c>
      <c r="M1749" s="166">
        <f t="shared" si="2"/>
        <v>0.7216395283</v>
      </c>
      <c r="N1749" s="167">
        <f t="shared" si="3"/>
        <v>15.51759804</v>
      </c>
      <c r="O1749" s="163">
        <f t="shared" ref="O1749:Q1749" si="1753">rank(I1749,I:I)</f>
        <v>2765</v>
      </c>
      <c r="P1749" s="163">
        <f t="shared" si="1753"/>
        <v>2838</v>
      </c>
      <c r="Q1749" s="163">
        <f t="shared" si="1753"/>
        <v>1783</v>
      </c>
      <c r="R1749" s="163">
        <f>IFERROR(__xludf.DUMMYFUNCTION("RANK(M1749,filter(M:M,C:C=C1749))"),250.0)</f>
        <v>250</v>
      </c>
      <c r="S1749" s="161" t="b">
        <f t="shared" si="5"/>
        <v>0</v>
      </c>
      <c r="T1749" s="161" t="b">
        <f t="array" ref="T1749">index('Query Tool'!B:B,match(H1749,'Query Tool'!C:C,0))</f>
        <v>1</v>
      </c>
      <c r="U1749" s="161" t="b">
        <f t="array" ref="U1749">index('Query Tool'!B:B,match(C1749,'Query Tool'!C:C,0))</f>
        <v>0</v>
      </c>
      <c r="V1749" s="161" t="b">
        <f>F1749&gt;='Query Tool'!C$32</f>
        <v>1</v>
      </c>
      <c r="W1749" s="161" t="b">
        <f t="array" ref="W1749">index(Dropdowns!B:B,match(I1749,Dropdowns!A:A,0))</f>
        <v>1</v>
      </c>
      <c r="X1749" s="161" t="b">
        <f t="array" ref="X1749">index('Query Tool'!B:B,match(D1749,'Query Tool'!C:C,0))</f>
        <v>1</v>
      </c>
      <c r="Y1749" s="161" t="str">
        <f t="shared" si="6"/>
        <v>abrinal01,2016-17</v>
      </c>
      <c r="Z1749" s="168">
        <f t="array" ref="Z1749">iferror(index(I:I,match($A1749&amp;","&amp;index('Year Conversion'!$A:$A,match($C1749,'Year Conversion'!$B:$B,0)),$Y:$Y,0))-I1749,"")</f>
        <v>1</v>
      </c>
      <c r="AA1749" s="168">
        <f t="array" ref="AA1749">iferror(index(J:J,match($A1749&amp;","&amp;index('Year Conversion'!$A:$A,match($C1749,'Year Conversion'!$B:$B,0)),$Y:$Y,0))-J1749,"")</f>
        <v>-1.101311958</v>
      </c>
      <c r="AB1749" s="168">
        <f t="array" ref="AB1749">iferror(index(K:K,match($A1749&amp;","&amp;index('Year Conversion'!$A:$A,match($C1749,'Year Conversion'!$B:$B,0)),$Y:$Y,0))-K1749,"")</f>
        <v>-0.845074997</v>
      </c>
      <c r="AC1749" s="168" t="str">
        <f t="shared" si="7"/>
        <v>OKC,2016-17</v>
      </c>
    </row>
    <row r="1750">
      <c r="A1750" s="161" t="str">
        <f>IFERROR(__xludf.DUMMYFUNCTION("""COMPUTED_VALUE"""),"dellama01")</f>
        <v>dellama01</v>
      </c>
      <c r="B1750" s="161" t="str">
        <f>IFERROR(__xludf.DUMMYFUNCTION("""COMPUTED_VALUE"""),"Matthew Dellavedova")</f>
        <v>Matthew Dellavedova</v>
      </c>
      <c r="C1750" s="162" t="str">
        <f>IFERROR(__xludf.DUMMYFUNCTION("""COMPUTED_VALUE"""),"2016-17")</f>
        <v>2016-17</v>
      </c>
      <c r="D1750" s="163" t="str">
        <f>IFERROR(__xludf.DUMMYFUNCTION("""COMPUTED_VALUE"""),"MIL")</f>
        <v>MIL</v>
      </c>
      <c r="E1750" s="164" t="str">
        <f>IFERROR(__xludf.DUMMYFUNCTION("""COMPUTED_VALUE"""),"Primary Ball Handler")</f>
        <v>Primary Ball Handler</v>
      </c>
      <c r="F1750" s="164">
        <f>IFERROR(__xludf.DUMMYFUNCTION("""COMPUTED_VALUE"""),1986.00166666667)</f>
        <v>1986.001667</v>
      </c>
      <c r="G1750" s="163">
        <f>IFERROR(__xludf.DUMMYFUNCTION("""COMPUTED_VALUE"""),76.0)</f>
        <v>76</v>
      </c>
      <c r="H1750" s="163" t="str">
        <f>IFERROR(__xludf.DUMMYFUNCTION("""COMPUTED_VALUE"""),"PG")</f>
        <v>PG</v>
      </c>
      <c r="I1750" s="163">
        <f>IFERROR(__xludf.DUMMYFUNCTION("""COMPUTED_VALUE"""),26.0)</f>
        <v>26</v>
      </c>
      <c r="J1750" s="165">
        <f>IFERROR(__xludf.DUMMYFUNCTION("""COMPUTED_VALUE"""),-1.09181374597479)</f>
        <v>-1.091813746</v>
      </c>
      <c r="K1750" s="165">
        <f>IFERROR(__xludf.DUMMYFUNCTION("""COMPUTED_VALUE"""),-0.356703526042897)</f>
        <v>-0.356703526</v>
      </c>
      <c r="L1750" s="165">
        <f>IFERROR(__xludf.DUMMYFUNCTION("""COMPUTED_VALUE"""),-0.735110219931895)</f>
        <v>-0.7351102199</v>
      </c>
      <c r="M1750" s="166">
        <f t="shared" si="2"/>
        <v>1.602293231</v>
      </c>
      <c r="N1750" s="167">
        <f t="shared" si="3"/>
        <v>26.13160088</v>
      </c>
      <c r="O1750" s="163">
        <f t="shared" ref="O1750:Q1750" si="1754">rank(I1750,I:I)</f>
        <v>1665</v>
      </c>
      <c r="P1750" s="163">
        <f t="shared" si="1754"/>
        <v>2602</v>
      </c>
      <c r="Q1750" s="163">
        <f t="shared" si="1754"/>
        <v>1869</v>
      </c>
      <c r="R1750" s="163">
        <f>IFERROR(__xludf.DUMMYFUNCTION("RANK(M1750,filter(M:M,C:C=C1750))"),185.0)</f>
        <v>185</v>
      </c>
      <c r="S1750" s="161" t="b">
        <f t="shared" si="5"/>
        <v>0</v>
      </c>
      <c r="T1750" s="161" t="b">
        <f t="array" ref="T1750">index('Query Tool'!B:B,match(H1750,'Query Tool'!C:C,0))</f>
        <v>1</v>
      </c>
      <c r="U1750" s="161" t="b">
        <f t="array" ref="U1750">index('Query Tool'!B:B,match(C1750,'Query Tool'!C:C,0))</f>
        <v>0</v>
      </c>
      <c r="V1750" s="161" t="b">
        <f>F1750&gt;='Query Tool'!C$32</f>
        <v>1</v>
      </c>
      <c r="W1750" s="161" t="b">
        <f t="array" ref="W1750">index(Dropdowns!B:B,match(I1750,Dropdowns!A:A,0))</f>
        <v>1</v>
      </c>
      <c r="X1750" s="161" t="b">
        <f t="array" ref="X1750">index('Query Tool'!B:B,match(D1750,'Query Tool'!C:C,0))</f>
        <v>1</v>
      </c>
      <c r="Y1750" s="161" t="str">
        <f t="shared" si="6"/>
        <v>dellama01,2016-17</v>
      </c>
      <c r="Z1750" s="168">
        <f t="array" ref="Z1750">iferror(index(I:I,match($A1750&amp;","&amp;index('Year Conversion'!$A:$A,match($C1750,'Year Conversion'!$B:$B,0)),$Y:$Y,0))-I1750,"")</f>
        <v>1</v>
      </c>
      <c r="AA1750" s="168">
        <f t="array" ref="AA1750">iferror(index(J:J,match($A1750&amp;","&amp;index('Year Conversion'!$A:$A,match($C1750,'Year Conversion'!$B:$B,0)),$Y:$Y,0))-J1750,"")</f>
        <v>-1.810432789</v>
      </c>
      <c r="AB1750" s="168">
        <f t="array" ref="AB1750">iferror(index(K:K,match($A1750&amp;","&amp;index('Year Conversion'!$A:$A,match($C1750,'Year Conversion'!$B:$B,0)),$Y:$Y,0))-K1750,"")</f>
        <v>-0.895456676</v>
      </c>
      <c r="AC1750" s="168" t="str">
        <f t="shared" si="7"/>
        <v>MIL,2016-17</v>
      </c>
    </row>
    <row r="1751">
      <c r="A1751" s="161" t="str">
        <f>IFERROR(__xludf.DUMMYFUNCTION("""COMPUTED_VALUE"""),"hillso01")</f>
        <v>hillso01</v>
      </c>
      <c r="B1751" s="161" t="str">
        <f>IFERROR(__xludf.DUMMYFUNCTION("""COMPUTED_VALUE"""),"Solomon Hill")</f>
        <v>Solomon Hill</v>
      </c>
      <c r="C1751" s="162" t="str">
        <f>IFERROR(__xludf.DUMMYFUNCTION("""COMPUTED_VALUE"""),"2016-17")</f>
        <v>2016-17</v>
      </c>
      <c r="D1751" s="163" t="str">
        <f>IFERROR(__xludf.DUMMYFUNCTION("""COMPUTED_VALUE"""),"NOP")</f>
        <v>NOP</v>
      </c>
      <c r="E1751" s="164" t="str">
        <f>IFERROR(__xludf.DUMMYFUNCTION("""COMPUTED_VALUE"""),"Stationary Shooter")</f>
        <v>Stationary Shooter</v>
      </c>
      <c r="F1751" s="164">
        <f>IFERROR(__xludf.DUMMYFUNCTION("""COMPUTED_VALUE"""),2374.30166666667)</f>
        <v>2374.301667</v>
      </c>
      <c r="G1751" s="163">
        <f>IFERROR(__xludf.DUMMYFUNCTION("""COMPUTED_VALUE"""),80.0)</f>
        <v>80</v>
      </c>
      <c r="H1751" s="163" t="str">
        <f>IFERROR(__xludf.DUMMYFUNCTION("""COMPUTED_VALUE"""),"SF")</f>
        <v>SF</v>
      </c>
      <c r="I1751" s="163">
        <f>IFERROR(__xludf.DUMMYFUNCTION("""COMPUTED_VALUE"""),25.0)</f>
        <v>25</v>
      </c>
      <c r="J1751" s="165">
        <f>IFERROR(__xludf.DUMMYFUNCTION("""COMPUTED_VALUE"""),-1.8551130709488)</f>
        <v>-1.855113071</v>
      </c>
      <c r="K1751" s="165">
        <f>IFERROR(__xludf.DUMMYFUNCTION("""COMPUTED_VALUE"""),-2.08596061817191)</f>
        <v>-2.085960618</v>
      </c>
      <c r="L1751" s="165">
        <f>IFERROR(__xludf.DUMMYFUNCTION("""COMPUTED_VALUE"""),0.230847547223101)</f>
        <v>0.2308475472</v>
      </c>
      <c r="M1751" s="166">
        <f t="shared" si="2"/>
        <v>0.7049625061</v>
      </c>
      <c r="N1751" s="167">
        <f t="shared" si="3"/>
        <v>29.67877083</v>
      </c>
      <c r="O1751" s="163">
        <f t="shared" ref="O1751:Q1751" si="1755">rank(I1751,I:I)</f>
        <v>1995</v>
      </c>
      <c r="P1751" s="163">
        <f t="shared" si="1755"/>
        <v>3383</v>
      </c>
      <c r="Q1751" s="163">
        <f t="shared" si="1755"/>
        <v>3757</v>
      </c>
      <c r="R1751" s="163">
        <f>IFERROR(__xludf.DUMMYFUNCTION("RANK(M1751,filter(M:M,C:C=C1751))"),253.0)</f>
        <v>253</v>
      </c>
      <c r="S1751" s="161" t="b">
        <f t="shared" si="5"/>
        <v>0</v>
      </c>
      <c r="T1751" s="161" t="b">
        <f t="array" ref="T1751">index('Query Tool'!B:B,match(H1751,'Query Tool'!C:C,0))</f>
        <v>1</v>
      </c>
      <c r="U1751" s="161" t="b">
        <f t="array" ref="U1751">index('Query Tool'!B:B,match(C1751,'Query Tool'!C:C,0))</f>
        <v>0</v>
      </c>
      <c r="V1751" s="161" t="b">
        <f>F1751&gt;='Query Tool'!C$32</f>
        <v>1</v>
      </c>
      <c r="W1751" s="161" t="b">
        <f t="array" ref="W1751">index(Dropdowns!B:B,match(I1751,Dropdowns!A:A,0))</f>
        <v>1</v>
      </c>
      <c r="X1751" s="161" t="b">
        <f t="array" ref="X1751">index('Query Tool'!B:B,match(D1751,'Query Tool'!C:C,0))</f>
        <v>1</v>
      </c>
      <c r="Y1751" s="161" t="str">
        <f t="shared" si="6"/>
        <v>hillso01,2016-17</v>
      </c>
      <c r="Z1751" s="168">
        <f t="array" ref="Z1751">iferror(index(I:I,match($A1751&amp;","&amp;index('Year Conversion'!$A:$A,match($C1751,'Year Conversion'!$B:$B,0)),$Y:$Y,0))-I1751,"")</f>
        <v>1</v>
      </c>
      <c r="AA1751" s="168">
        <f t="array" ref="AA1751">iferror(index(J:J,match($A1751&amp;","&amp;index('Year Conversion'!$A:$A,match($C1751,'Year Conversion'!$B:$B,0)),$Y:$Y,0))-J1751,"")</f>
        <v>0.6052480384</v>
      </c>
      <c r="AB1751" s="168">
        <f t="array" ref="AB1751">iferror(index(K:K,match($A1751&amp;","&amp;index('Year Conversion'!$A:$A,match($C1751,'Year Conversion'!$B:$B,0)),$Y:$Y,0))-K1751,"")</f>
        <v>1.132244378</v>
      </c>
      <c r="AC1751" s="168" t="str">
        <f t="shared" si="7"/>
        <v>NOP,2016-17</v>
      </c>
    </row>
    <row r="1752">
      <c r="A1752" s="161" t="str">
        <f>IFERROR(__xludf.DUMMYFUNCTION("""COMPUTED_VALUE"""),"netora01")</f>
        <v>netora01</v>
      </c>
      <c r="B1752" s="161" t="str">
        <f>IFERROR(__xludf.DUMMYFUNCTION("""COMPUTED_VALUE"""),"Raul Neto")</f>
        <v>Raul Neto</v>
      </c>
      <c r="C1752" s="162" t="str">
        <f>IFERROR(__xludf.DUMMYFUNCTION("""COMPUTED_VALUE"""),"2016-17")</f>
        <v>2016-17</v>
      </c>
      <c r="D1752" s="163" t="str">
        <f>IFERROR(__xludf.DUMMYFUNCTION("""COMPUTED_VALUE"""),"UTA")</f>
        <v>UTA</v>
      </c>
      <c r="E1752" s="164" t="str">
        <f>IFERROR(__xludf.DUMMYFUNCTION("""COMPUTED_VALUE"""),"Secondary Ball Handler")</f>
        <v>Secondary Ball Handler</v>
      </c>
      <c r="F1752" s="164">
        <f>IFERROR(__xludf.DUMMYFUNCTION("""COMPUTED_VALUE"""),345.901666666667)</f>
        <v>345.9016667</v>
      </c>
      <c r="G1752" s="163">
        <f>IFERROR(__xludf.DUMMYFUNCTION("""COMPUTED_VALUE"""),40.0)</f>
        <v>40</v>
      </c>
      <c r="H1752" s="163" t="str">
        <f>IFERROR(__xludf.DUMMYFUNCTION("""COMPUTED_VALUE"""),"PG")</f>
        <v>PG</v>
      </c>
      <c r="I1752" s="163">
        <f>IFERROR(__xludf.DUMMYFUNCTION("""COMPUTED_VALUE"""),24.0)</f>
        <v>24</v>
      </c>
      <c r="J1752" s="165">
        <f>IFERROR(__xludf.DUMMYFUNCTION("""COMPUTED_VALUE"""),-0.253575468602834)</f>
        <v>-0.2535754686</v>
      </c>
      <c r="K1752" s="165">
        <f>IFERROR(__xludf.DUMMYFUNCTION("""COMPUTED_VALUE"""),-0.969888711562353)</f>
        <v>-0.9698887116</v>
      </c>
      <c r="L1752" s="165">
        <f>IFERROR(__xludf.DUMMYFUNCTION("""COMPUTED_VALUE"""),0.716313242959519)</f>
        <v>0.716313243</v>
      </c>
      <c r="M1752" s="166">
        <f t="shared" si="2"/>
        <v>0.4741356946</v>
      </c>
      <c r="N1752" s="167">
        <f t="shared" si="3"/>
        <v>8.647541667</v>
      </c>
      <c r="O1752" s="163">
        <f t="shared" ref="O1752:Q1752" si="1756">rank(I1752,I:I)</f>
        <v>2361</v>
      </c>
      <c r="P1752" s="163">
        <f t="shared" si="1756"/>
        <v>1562</v>
      </c>
      <c r="Q1752" s="163">
        <f t="shared" si="1756"/>
        <v>2768</v>
      </c>
      <c r="R1752" s="163">
        <f>IFERROR(__xludf.DUMMYFUNCTION("RANK(M1752,filter(M:M,C:C=C1752))"),289.0)</f>
        <v>289</v>
      </c>
      <c r="S1752" s="161" t="b">
        <f t="shared" si="5"/>
        <v>0</v>
      </c>
      <c r="T1752" s="161" t="b">
        <f t="array" ref="T1752">index('Query Tool'!B:B,match(H1752,'Query Tool'!C:C,0))</f>
        <v>1</v>
      </c>
      <c r="U1752" s="161" t="b">
        <f t="array" ref="U1752">index('Query Tool'!B:B,match(C1752,'Query Tool'!C:C,0))</f>
        <v>0</v>
      </c>
      <c r="V1752" s="161" t="b">
        <f>F1752&gt;='Query Tool'!C$32</f>
        <v>0</v>
      </c>
      <c r="W1752" s="161" t="b">
        <f t="array" ref="W1752">index(Dropdowns!B:B,match(I1752,Dropdowns!A:A,0))</f>
        <v>1</v>
      </c>
      <c r="X1752" s="161" t="b">
        <f t="array" ref="X1752">index('Query Tool'!B:B,match(D1752,'Query Tool'!C:C,0))</f>
        <v>1</v>
      </c>
      <c r="Y1752" s="161" t="str">
        <f t="shared" si="6"/>
        <v>netora01,2016-17</v>
      </c>
      <c r="Z1752" s="168">
        <f t="array" ref="Z1752">iferror(index(I:I,match($A1752&amp;","&amp;index('Year Conversion'!$A:$A,match($C1752,'Year Conversion'!$B:$B,0)),$Y:$Y,0))-I1752,"")</f>
        <v>1</v>
      </c>
      <c r="AA1752" s="168">
        <f t="array" ref="AA1752">iferror(index(J:J,match($A1752&amp;","&amp;index('Year Conversion'!$A:$A,match($C1752,'Year Conversion'!$B:$B,0)),$Y:$Y,0))-J1752,"")</f>
        <v>-0.7956619856</v>
      </c>
      <c r="AB1752" s="168">
        <f t="array" ref="AB1752">iferror(index(K:K,match($A1752&amp;","&amp;index('Year Conversion'!$A:$A,match($C1752,'Year Conversion'!$B:$B,0)),$Y:$Y,0))-K1752,"")</f>
        <v>0.2865885002</v>
      </c>
      <c r="AC1752" s="168" t="str">
        <f t="shared" si="7"/>
        <v>UTA,2016-17</v>
      </c>
    </row>
    <row r="1753">
      <c r="A1753" s="161" t="str">
        <f>IFERROR(__xludf.DUMMYFUNCTION("""COMPUTED_VALUE"""),"kellyry01")</f>
        <v>kellyry01</v>
      </c>
      <c r="B1753" s="161" t="str">
        <f>IFERROR(__xludf.DUMMYFUNCTION("""COMPUTED_VALUE"""),"Ryan Kelly")</f>
        <v>Ryan Kelly</v>
      </c>
      <c r="C1753" s="162" t="str">
        <f>IFERROR(__xludf.DUMMYFUNCTION("""COMPUTED_VALUE"""),"2016-17")</f>
        <v>2016-17</v>
      </c>
      <c r="D1753" s="163" t="str">
        <f>IFERROR(__xludf.DUMMYFUNCTION("""COMPUTED_VALUE"""),"ATL")</f>
        <v>ATL</v>
      </c>
      <c r="E1753" s="164" t="str">
        <f>IFERROR(__xludf.DUMMYFUNCTION("""COMPUTED_VALUE"""),"Stretch Big")</f>
        <v>Stretch Big</v>
      </c>
      <c r="F1753" s="164">
        <f>IFERROR(__xludf.DUMMYFUNCTION("""COMPUTED_VALUE"""),110.133333333333)</f>
        <v>110.1333333</v>
      </c>
      <c r="G1753" s="163">
        <f>IFERROR(__xludf.DUMMYFUNCTION("""COMPUTED_VALUE"""),16.0)</f>
        <v>16</v>
      </c>
      <c r="H1753" s="163" t="str">
        <f>IFERROR(__xludf.DUMMYFUNCTION("""COMPUTED_VALUE"""),"PF")</f>
        <v>PF</v>
      </c>
      <c r="I1753" s="163">
        <f>IFERROR(__xludf.DUMMYFUNCTION("""COMPUTED_VALUE"""),25.0)</f>
        <v>25</v>
      </c>
      <c r="J1753" s="165">
        <f>IFERROR(__xludf.DUMMYFUNCTION("""COMPUTED_VALUE"""),-0.275610197231178)</f>
        <v>-0.2756101972</v>
      </c>
      <c r="K1753" s="165">
        <f>IFERROR(__xludf.DUMMYFUNCTION("""COMPUTED_VALUE"""),-0.644574145000908)</f>
        <v>-0.644574145</v>
      </c>
      <c r="L1753" s="165">
        <f>IFERROR(__xludf.DUMMYFUNCTION("""COMPUTED_VALUE"""),0.36896394776973)</f>
        <v>0.3689639478</v>
      </c>
      <c r="M1753" s="166">
        <f t="shared" si="2"/>
        <v>0.1493267783</v>
      </c>
      <c r="N1753" s="167">
        <f t="shared" si="3"/>
        <v>6.883333333</v>
      </c>
      <c r="O1753" s="163">
        <f t="shared" ref="O1753:Q1753" si="1757">rank(I1753,I:I)</f>
        <v>1995</v>
      </c>
      <c r="P1753" s="163">
        <f t="shared" si="1757"/>
        <v>1584</v>
      </c>
      <c r="Q1753" s="163">
        <f t="shared" si="1757"/>
        <v>2328</v>
      </c>
      <c r="R1753" s="163">
        <f>IFERROR(__xludf.DUMMYFUNCTION("RANK(M1753,filter(M:M,C:C=C1753))"),357.0)</f>
        <v>357</v>
      </c>
      <c r="S1753" s="161" t="b">
        <f t="shared" si="5"/>
        <v>0</v>
      </c>
      <c r="T1753" s="161" t="b">
        <f t="array" ref="T1753">index('Query Tool'!B:B,match(H1753,'Query Tool'!C:C,0))</f>
        <v>1</v>
      </c>
      <c r="U1753" s="161" t="b">
        <f t="array" ref="U1753">index('Query Tool'!B:B,match(C1753,'Query Tool'!C:C,0))</f>
        <v>0</v>
      </c>
      <c r="V1753" s="161" t="b">
        <f>F1753&gt;='Query Tool'!C$32</f>
        <v>0</v>
      </c>
      <c r="W1753" s="161" t="b">
        <f t="array" ref="W1753">index(Dropdowns!B:B,match(I1753,Dropdowns!A:A,0))</f>
        <v>1</v>
      </c>
      <c r="X1753" s="161" t="b">
        <f t="array" ref="X1753">index('Query Tool'!B:B,match(D1753,'Query Tool'!C:C,0))</f>
        <v>1</v>
      </c>
      <c r="Y1753" s="161" t="str">
        <f t="shared" si="6"/>
        <v>kellyry01,2016-17</v>
      </c>
      <c r="Z1753" s="168" t="str">
        <f t="array" ref="Z1753">iferror(index(I:I,match($A1753&amp;","&amp;index('Year Conversion'!$A:$A,match($C1753,'Year Conversion'!$B:$B,0)),$Y:$Y,0))-I1753,"")</f>
        <v/>
      </c>
      <c r="AA1753" s="168" t="str">
        <f t="array" ref="AA1753">iferror(index(J:J,match($A1753&amp;","&amp;index('Year Conversion'!$A:$A,match($C1753,'Year Conversion'!$B:$B,0)),$Y:$Y,0))-J1753,"")</f>
        <v/>
      </c>
      <c r="AB1753" s="168" t="str">
        <f t="array" ref="AB1753">iferror(index(K:K,match($A1753&amp;","&amp;index('Year Conversion'!$A:$A,match($C1753,'Year Conversion'!$B:$B,0)),$Y:$Y,0))-K1753,"")</f>
        <v/>
      </c>
      <c r="AC1753" s="168" t="str">
        <f t="shared" si="7"/>
        <v>ATL,2016-17</v>
      </c>
    </row>
    <row r="1754">
      <c r="A1754" s="161" t="str">
        <f>IFERROR(__xludf.DUMMYFUNCTION("""COMPUTED_VALUE"""),"lauvejo01")</f>
        <v>lauvejo01</v>
      </c>
      <c r="B1754" s="161" t="str">
        <f>IFERROR(__xludf.DUMMYFUNCTION("""COMPUTED_VALUE"""),"Joffrey Lauvergne")</f>
        <v>Joffrey Lauvergne</v>
      </c>
      <c r="C1754" s="162" t="str">
        <f>IFERROR(__xludf.DUMMYFUNCTION("""COMPUTED_VALUE"""),"2016-17")</f>
        <v>2016-17</v>
      </c>
      <c r="D1754" s="163" t="str">
        <f>IFERROR(__xludf.DUMMYFUNCTION("""COMPUTED_VALUE"""),"TOT")</f>
        <v>TOT</v>
      </c>
      <c r="E1754" s="164" t="str">
        <f>IFERROR(__xludf.DUMMYFUNCTION("""COMPUTED_VALUE"""),"Stretch Big")</f>
        <v>Stretch Big</v>
      </c>
      <c r="F1754" s="164">
        <f>IFERROR(__xludf.DUMMYFUNCTION("""COMPUTED_VALUE"""),980.105)</f>
        <v>980.105</v>
      </c>
      <c r="G1754" s="163">
        <f>IFERROR(__xludf.DUMMYFUNCTION("""COMPUTED_VALUE"""),70.0)</f>
        <v>70</v>
      </c>
      <c r="H1754" s="163" t="str">
        <f>IFERROR(__xludf.DUMMYFUNCTION("""COMPUTED_VALUE"""),"PF-C")</f>
        <v>PF-C</v>
      </c>
      <c r="I1754" s="163">
        <f>IFERROR(__xludf.DUMMYFUNCTION("""COMPUTED_VALUE"""),25.0)</f>
        <v>25</v>
      </c>
      <c r="J1754" s="165">
        <f>IFERROR(__xludf.DUMMYFUNCTION("""COMPUTED_VALUE"""),-1.98582878227556)</f>
        <v>-1.985828782</v>
      </c>
      <c r="K1754" s="165">
        <f>IFERROR(__xludf.DUMMYFUNCTION("""COMPUTED_VALUE"""),-0.660914998443752)</f>
        <v>-0.6609149984</v>
      </c>
      <c r="L1754" s="165">
        <f>IFERROR(__xludf.DUMMYFUNCTION("""COMPUTED_VALUE"""),-1.32491378383181)</f>
        <v>-1.324913784</v>
      </c>
      <c r="M1754" s="166">
        <f t="shared" si="2"/>
        <v>0.2059472736</v>
      </c>
      <c r="N1754" s="167">
        <f t="shared" si="3"/>
        <v>14.0015</v>
      </c>
      <c r="O1754" s="163">
        <f t="shared" ref="O1754:Q1754" si="1758">rank(I1754,I:I)</f>
        <v>1995</v>
      </c>
      <c r="P1754" s="163">
        <f t="shared" si="1758"/>
        <v>3469</v>
      </c>
      <c r="Q1754" s="163">
        <f t="shared" si="1758"/>
        <v>2351</v>
      </c>
      <c r="R1754" s="163">
        <f>IFERROR(__xludf.DUMMYFUNCTION("RANK(M1754,filter(M:M,C:C=C1754))"),339.0)</f>
        <v>339</v>
      </c>
      <c r="S1754" s="161" t="b">
        <f t="shared" si="5"/>
        <v>0</v>
      </c>
      <c r="T1754" s="161" t="str">
        <f t="array" ref="T1754">index('Query Tool'!B:B,match(H1754,'Query Tool'!C:C,0))</f>
        <v>#N/A</v>
      </c>
      <c r="U1754" s="161" t="b">
        <f t="array" ref="U1754">index('Query Tool'!B:B,match(C1754,'Query Tool'!C:C,0))</f>
        <v>0</v>
      </c>
      <c r="V1754" s="161" t="b">
        <f>F1754&gt;='Query Tool'!C$32</f>
        <v>1</v>
      </c>
      <c r="W1754" s="161" t="b">
        <f t="array" ref="W1754">index(Dropdowns!B:B,match(I1754,Dropdowns!A:A,0))</f>
        <v>1</v>
      </c>
      <c r="X1754" s="161" t="b">
        <f t="array" ref="X1754">index('Query Tool'!B:B,match(D1754,'Query Tool'!C:C,0))</f>
        <v>1</v>
      </c>
      <c r="Y1754" s="161" t="str">
        <f t="shared" si="6"/>
        <v>lauvejo01,2016-17</v>
      </c>
      <c r="Z1754" s="168">
        <f t="array" ref="Z1754">iferror(index(I:I,match($A1754&amp;","&amp;index('Year Conversion'!$A:$A,match($C1754,'Year Conversion'!$B:$B,0)),$Y:$Y,0))-I1754,"")</f>
        <v>1</v>
      </c>
      <c r="AA1754" s="168">
        <f t="array" ref="AA1754">iferror(index(J:J,match($A1754&amp;","&amp;index('Year Conversion'!$A:$A,match($C1754,'Year Conversion'!$B:$B,0)),$Y:$Y,0))-J1754,"")</f>
        <v>0.7463515586</v>
      </c>
      <c r="AB1754" s="168">
        <f t="array" ref="AB1754">iferror(index(K:K,match($A1754&amp;","&amp;index('Year Conversion'!$A:$A,match($C1754,'Year Conversion'!$B:$B,0)),$Y:$Y,0))-K1754,"")</f>
        <v>0.4954708</v>
      </c>
      <c r="AC1754" s="168" t="str">
        <f t="shared" si="7"/>
        <v>TOT,2016-17</v>
      </c>
    </row>
    <row r="1755">
      <c r="A1755" s="161" t="str">
        <f>IFERROR(__xludf.DUMMYFUNCTION("""COMPUTED_VALUE"""),"clarkia01")</f>
        <v>clarkia01</v>
      </c>
      <c r="B1755" s="161" t="str">
        <f>IFERROR(__xludf.DUMMYFUNCTION("""COMPUTED_VALUE"""),"Ian Clark")</f>
        <v>Ian Clark</v>
      </c>
      <c r="C1755" s="162" t="str">
        <f>IFERROR(__xludf.DUMMYFUNCTION("""COMPUTED_VALUE"""),"2016-17")</f>
        <v>2016-17</v>
      </c>
      <c r="D1755" s="163" t="str">
        <f>IFERROR(__xludf.DUMMYFUNCTION("""COMPUTED_VALUE"""),"GSW")</f>
        <v>GSW</v>
      </c>
      <c r="E1755" s="164" t="str">
        <f>IFERROR(__xludf.DUMMYFUNCTION("""COMPUTED_VALUE"""),"Movement Shooter")</f>
        <v>Movement Shooter</v>
      </c>
      <c r="F1755" s="164">
        <f>IFERROR(__xludf.DUMMYFUNCTION("""COMPUTED_VALUE"""),1136.525)</f>
        <v>1136.525</v>
      </c>
      <c r="G1755" s="163">
        <f>IFERROR(__xludf.DUMMYFUNCTION("""COMPUTED_VALUE"""),77.0)</f>
        <v>77</v>
      </c>
      <c r="H1755" s="163" t="str">
        <f>IFERROR(__xludf.DUMMYFUNCTION("""COMPUTED_VALUE"""),"SG")</f>
        <v>SG</v>
      </c>
      <c r="I1755" s="163">
        <f>IFERROR(__xludf.DUMMYFUNCTION("""COMPUTED_VALUE"""),25.0)</f>
        <v>25</v>
      </c>
      <c r="J1755" s="165">
        <f>IFERROR(__xludf.DUMMYFUNCTION("""COMPUTED_VALUE"""),-2.76077584626201)</f>
        <v>-2.760775846</v>
      </c>
      <c r="K1755" s="165">
        <f>IFERROR(__xludf.DUMMYFUNCTION("""COMPUTED_VALUE"""),-0.714265223222374)</f>
        <v>-0.7142652232</v>
      </c>
      <c r="L1755" s="165">
        <f>IFERROR(__xludf.DUMMYFUNCTION("""COMPUTED_VALUE"""),-2.04651062303964)</f>
        <v>-2.046510623</v>
      </c>
      <c r="M1755" s="166">
        <f t="shared" si="2"/>
        <v>-0.341138551</v>
      </c>
      <c r="N1755" s="167">
        <f t="shared" si="3"/>
        <v>14.76006494</v>
      </c>
      <c r="O1755" s="163">
        <f t="shared" ref="O1755:Q1755" si="1759">rank(I1755,I:I)</f>
        <v>1995</v>
      </c>
      <c r="P1755" s="163">
        <f t="shared" si="1759"/>
        <v>3835</v>
      </c>
      <c r="Q1755" s="163">
        <f t="shared" si="1759"/>
        <v>2433</v>
      </c>
      <c r="R1755" s="163">
        <f>IFERROR(__xludf.DUMMYFUNCTION("RANK(M1755,filter(M:M,C:C=C1755))"),468.0)</f>
        <v>468</v>
      </c>
      <c r="S1755" s="161" t="b">
        <f t="shared" si="5"/>
        <v>0</v>
      </c>
      <c r="T1755" s="161" t="b">
        <f t="array" ref="T1755">index('Query Tool'!B:B,match(H1755,'Query Tool'!C:C,0))</f>
        <v>1</v>
      </c>
      <c r="U1755" s="161" t="b">
        <f t="array" ref="U1755">index('Query Tool'!B:B,match(C1755,'Query Tool'!C:C,0))</f>
        <v>0</v>
      </c>
      <c r="V1755" s="161" t="b">
        <f>F1755&gt;='Query Tool'!C$32</f>
        <v>1</v>
      </c>
      <c r="W1755" s="161" t="b">
        <f t="array" ref="W1755">index(Dropdowns!B:B,match(I1755,Dropdowns!A:A,0))</f>
        <v>1</v>
      </c>
      <c r="X1755" s="161" t="b">
        <f t="array" ref="X1755">index('Query Tool'!B:B,match(D1755,'Query Tool'!C:C,0))</f>
        <v>1</v>
      </c>
      <c r="Y1755" s="161" t="str">
        <f t="shared" si="6"/>
        <v>clarkia01,2016-17</v>
      </c>
      <c r="Z1755" s="168">
        <f t="array" ref="Z1755">iferror(index(I:I,match($A1755&amp;","&amp;index('Year Conversion'!$A:$A,match($C1755,'Year Conversion'!$B:$B,0)),$Y:$Y,0))-I1755,"")</f>
        <v>1</v>
      </c>
      <c r="AA1755" s="168">
        <f t="array" ref="AA1755">iferror(index(J:J,match($A1755&amp;","&amp;index('Year Conversion'!$A:$A,match($C1755,'Year Conversion'!$B:$B,0)),$Y:$Y,0))-J1755,"")</f>
        <v>0.474424873</v>
      </c>
      <c r="AB1755" s="168">
        <f t="array" ref="AB1755">iferror(index(K:K,match($A1755&amp;","&amp;index('Year Conversion'!$A:$A,match($C1755,'Year Conversion'!$B:$B,0)),$Y:$Y,0))-K1755,"")</f>
        <v>-0.04484640154</v>
      </c>
      <c r="AC1755" s="168" t="str">
        <f t="shared" si="7"/>
        <v>GSW,2016-17</v>
      </c>
    </row>
    <row r="1756">
      <c r="A1756" s="161" t="str">
        <f>IFERROR(__xludf.DUMMYFUNCTION("""COMPUTED_VALUE"""),"curryse01")</f>
        <v>curryse01</v>
      </c>
      <c r="B1756" s="161" t="str">
        <f>IFERROR(__xludf.DUMMYFUNCTION("""COMPUTED_VALUE"""),"Seth Curry")</f>
        <v>Seth Curry</v>
      </c>
      <c r="C1756" s="162" t="str">
        <f>IFERROR(__xludf.DUMMYFUNCTION("""COMPUTED_VALUE"""),"2016-17")</f>
        <v>2016-17</v>
      </c>
      <c r="D1756" s="163" t="str">
        <f>IFERROR(__xludf.DUMMYFUNCTION("""COMPUTED_VALUE"""),"DAL")</f>
        <v>DAL</v>
      </c>
      <c r="E1756" s="164" t="str">
        <f>IFERROR(__xludf.DUMMYFUNCTION("""COMPUTED_VALUE"""),"Primary Ball Handler")</f>
        <v>Primary Ball Handler</v>
      </c>
      <c r="F1756" s="164">
        <f>IFERROR(__xludf.DUMMYFUNCTION("""COMPUTED_VALUE"""),2029.03)</f>
        <v>2029.03</v>
      </c>
      <c r="G1756" s="163">
        <f>IFERROR(__xludf.DUMMYFUNCTION("""COMPUTED_VALUE"""),70.0)</f>
        <v>70</v>
      </c>
      <c r="H1756" s="163" t="str">
        <f>IFERROR(__xludf.DUMMYFUNCTION("""COMPUTED_VALUE"""),"PG")</f>
        <v>PG</v>
      </c>
      <c r="I1756" s="163">
        <f>IFERROR(__xludf.DUMMYFUNCTION("""COMPUTED_VALUE"""),26.0)</f>
        <v>26</v>
      </c>
      <c r="J1756" s="165">
        <f>IFERROR(__xludf.DUMMYFUNCTION("""COMPUTED_VALUE"""),-0.212998994636573)</f>
        <v>-0.2129989946</v>
      </c>
      <c r="K1756" s="165">
        <f>IFERROR(__xludf.DUMMYFUNCTION("""COMPUTED_VALUE"""),-0.157331723741951)</f>
        <v>-0.1573317237</v>
      </c>
      <c r="L1756" s="165">
        <f>IFERROR(__xludf.DUMMYFUNCTION("""COMPUTED_VALUE"""),-0.055667270894622)</f>
        <v>-0.05566727089</v>
      </c>
      <c r="M1756" s="166">
        <f t="shared" si="2"/>
        <v>2.836734015</v>
      </c>
      <c r="N1756" s="167">
        <f t="shared" si="3"/>
        <v>28.98614286</v>
      </c>
      <c r="O1756" s="163">
        <f t="shared" ref="O1756:Q1756" si="1760">rank(I1756,I:I)</f>
        <v>1665</v>
      </c>
      <c r="P1756" s="163">
        <f t="shared" si="1760"/>
        <v>1519</v>
      </c>
      <c r="Q1756" s="163">
        <f t="shared" si="1760"/>
        <v>1492</v>
      </c>
      <c r="R1756" s="163">
        <f>IFERROR(__xludf.DUMMYFUNCTION("RANK(M1756,filter(M:M,C:C=C1756))"),117.0)</f>
        <v>117</v>
      </c>
      <c r="S1756" s="161" t="b">
        <f t="shared" si="5"/>
        <v>0</v>
      </c>
      <c r="T1756" s="161" t="b">
        <f t="array" ref="T1756">index('Query Tool'!B:B,match(H1756,'Query Tool'!C:C,0))</f>
        <v>1</v>
      </c>
      <c r="U1756" s="161" t="b">
        <f t="array" ref="U1756">index('Query Tool'!B:B,match(C1756,'Query Tool'!C:C,0))</f>
        <v>0</v>
      </c>
      <c r="V1756" s="161" t="b">
        <f>F1756&gt;='Query Tool'!C$32</f>
        <v>1</v>
      </c>
      <c r="W1756" s="161" t="b">
        <f t="array" ref="W1756">index(Dropdowns!B:B,match(I1756,Dropdowns!A:A,0))</f>
        <v>1</v>
      </c>
      <c r="X1756" s="161" t="b">
        <f t="array" ref="X1756">index('Query Tool'!B:B,match(D1756,'Query Tool'!C:C,0))</f>
        <v>1</v>
      </c>
      <c r="Y1756" s="161" t="str">
        <f t="shared" si="6"/>
        <v>curryse01,2016-17</v>
      </c>
      <c r="Z1756" s="168" t="str">
        <f t="array" ref="Z1756">iferror(index(I:I,match($A1756&amp;","&amp;index('Year Conversion'!$A:$A,match($C1756,'Year Conversion'!$B:$B,0)),$Y:$Y,0))-I1756,"")</f>
        <v/>
      </c>
      <c r="AA1756" s="168" t="str">
        <f t="array" ref="AA1756">iferror(index(J:J,match($A1756&amp;","&amp;index('Year Conversion'!$A:$A,match($C1756,'Year Conversion'!$B:$B,0)),$Y:$Y,0))-J1756,"")</f>
        <v/>
      </c>
      <c r="AB1756" s="168" t="str">
        <f t="array" ref="AB1756">iferror(index(K:K,match($A1756&amp;","&amp;index('Year Conversion'!$A:$A,match($C1756,'Year Conversion'!$B:$B,0)),$Y:$Y,0))-K1756,"")</f>
        <v/>
      </c>
      <c r="AC1756" s="168" t="str">
        <f t="shared" si="7"/>
        <v>DAL,2016-17</v>
      </c>
    </row>
    <row r="1757">
      <c r="A1757" s="161" t="str">
        <f>IFERROR(__xludf.DUMMYFUNCTION("""COMPUTED_VALUE"""),"danietr01")</f>
        <v>danietr01</v>
      </c>
      <c r="B1757" s="161" t="str">
        <f>IFERROR(__xludf.DUMMYFUNCTION("""COMPUTED_VALUE"""),"Troy Daniels")</f>
        <v>Troy Daniels</v>
      </c>
      <c r="C1757" s="162" t="str">
        <f>IFERROR(__xludf.DUMMYFUNCTION("""COMPUTED_VALUE"""),"2016-17")</f>
        <v>2016-17</v>
      </c>
      <c r="D1757" s="163" t="str">
        <f>IFERROR(__xludf.DUMMYFUNCTION("""COMPUTED_VALUE"""),"MEM")</f>
        <v>MEM</v>
      </c>
      <c r="E1757" s="164" t="str">
        <f>IFERROR(__xludf.DUMMYFUNCTION("""COMPUTED_VALUE"""),"Off Screen Shooter")</f>
        <v>Off Screen Shooter</v>
      </c>
      <c r="F1757" s="164">
        <f>IFERROR(__xludf.DUMMYFUNCTION("""COMPUTED_VALUE"""),1183.30166666667)</f>
        <v>1183.301667</v>
      </c>
      <c r="G1757" s="163">
        <f>IFERROR(__xludf.DUMMYFUNCTION("""COMPUTED_VALUE"""),67.0)</f>
        <v>67</v>
      </c>
      <c r="H1757" s="163" t="str">
        <f>IFERROR(__xludf.DUMMYFUNCTION("""COMPUTED_VALUE"""),"SG")</f>
        <v>SG</v>
      </c>
      <c r="I1757" s="163">
        <f>IFERROR(__xludf.DUMMYFUNCTION("""COMPUTED_VALUE"""),25.0)</f>
        <v>25</v>
      </c>
      <c r="J1757" s="165">
        <f>IFERROR(__xludf.DUMMYFUNCTION("""COMPUTED_VALUE"""),-1.17644918782471)</f>
        <v>-1.176449188</v>
      </c>
      <c r="K1757" s="165">
        <f>IFERROR(__xludf.DUMMYFUNCTION("""COMPUTED_VALUE"""),0.708785544772237)</f>
        <v>0.7087855448</v>
      </c>
      <c r="L1757" s="165">
        <f>IFERROR(__xludf.DUMMYFUNCTION("""COMPUTED_VALUE"""),-1.88523473259695)</f>
        <v>-1.885234733</v>
      </c>
      <c r="M1757" s="166">
        <f t="shared" si="2"/>
        <v>0.887521297</v>
      </c>
      <c r="N1757" s="167">
        <f t="shared" si="3"/>
        <v>17.66121891</v>
      </c>
      <c r="O1757" s="163">
        <f t="shared" ref="O1757:Q1757" si="1761">rank(I1757,I:I)</f>
        <v>1995</v>
      </c>
      <c r="P1757" s="163">
        <f t="shared" si="1761"/>
        <v>2712</v>
      </c>
      <c r="Q1757" s="163">
        <f t="shared" si="1761"/>
        <v>644</v>
      </c>
      <c r="R1757" s="163">
        <f>IFERROR(__xludf.DUMMYFUNCTION("RANK(M1757,filter(M:M,C:C=C1757))"),234.0)</f>
        <v>234</v>
      </c>
      <c r="S1757" s="161" t="b">
        <f t="shared" si="5"/>
        <v>0</v>
      </c>
      <c r="T1757" s="161" t="b">
        <f t="array" ref="T1757">index('Query Tool'!B:B,match(H1757,'Query Tool'!C:C,0))</f>
        <v>1</v>
      </c>
      <c r="U1757" s="161" t="b">
        <f t="array" ref="U1757">index('Query Tool'!B:B,match(C1757,'Query Tool'!C:C,0))</f>
        <v>0</v>
      </c>
      <c r="V1757" s="161" t="b">
        <f>F1757&gt;='Query Tool'!C$32</f>
        <v>1</v>
      </c>
      <c r="W1757" s="161" t="b">
        <f t="array" ref="W1757">index(Dropdowns!B:B,match(I1757,Dropdowns!A:A,0))</f>
        <v>1</v>
      </c>
      <c r="X1757" s="161" t="b">
        <f t="array" ref="X1757">index('Query Tool'!B:B,match(D1757,'Query Tool'!C:C,0))</f>
        <v>1</v>
      </c>
      <c r="Y1757" s="161" t="str">
        <f t="shared" si="6"/>
        <v>danietr01,2016-17</v>
      </c>
      <c r="Z1757" s="168">
        <f t="array" ref="Z1757">iferror(index(I:I,match($A1757&amp;","&amp;index('Year Conversion'!$A:$A,match($C1757,'Year Conversion'!$B:$B,0)),$Y:$Y,0))-I1757,"")</f>
        <v>1</v>
      </c>
      <c r="AA1757" s="168">
        <f t="array" ref="AA1757">iferror(index(J:J,match($A1757&amp;","&amp;index('Year Conversion'!$A:$A,match($C1757,'Year Conversion'!$B:$B,0)),$Y:$Y,0))-J1757,"")</f>
        <v>-2.335313156</v>
      </c>
      <c r="AB1757" s="168">
        <f t="array" ref="AB1757">iferror(index(K:K,match($A1757&amp;","&amp;index('Year Conversion'!$A:$A,match($C1757,'Year Conversion'!$B:$B,0)),$Y:$Y,0))-K1757,"")</f>
        <v>-1.124023504</v>
      </c>
      <c r="AC1757" s="168" t="str">
        <f t="shared" si="7"/>
        <v>MEM,2016-17</v>
      </c>
    </row>
    <row r="1758">
      <c r="A1758" s="161" t="str">
        <f>IFERROR(__xludf.DUMMYFUNCTION("""COMPUTED_VALUE"""),"mcgruro01")</f>
        <v>mcgruro01</v>
      </c>
      <c r="B1758" s="161" t="str">
        <f>IFERROR(__xludf.DUMMYFUNCTION("""COMPUTED_VALUE"""),"Rodney McGruder")</f>
        <v>Rodney McGruder</v>
      </c>
      <c r="C1758" s="162" t="str">
        <f>IFERROR(__xludf.DUMMYFUNCTION("""COMPUTED_VALUE"""),"2016-17")</f>
        <v>2016-17</v>
      </c>
      <c r="D1758" s="163" t="str">
        <f>IFERROR(__xludf.DUMMYFUNCTION("""COMPUTED_VALUE"""),"MIA")</f>
        <v>MIA</v>
      </c>
      <c r="E1758" s="164" t="str">
        <f>IFERROR(__xludf.DUMMYFUNCTION("""COMPUTED_VALUE"""),"Athletic Finisher")</f>
        <v>Athletic Finisher</v>
      </c>
      <c r="F1758" s="164">
        <f>IFERROR(__xludf.DUMMYFUNCTION("""COMPUTED_VALUE"""),1965.88666666667)</f>
        <v>1965.886667</v>
      </c>
      <c r="G1758" s="163">
        <f>IFERROR(__xludf.DUMMYFUNCTION("""COMPUTED_VALUE"""),78.0)</f>
        <v>78</v>
      </c>
      <c r="H1758" s="163" t="str">
        <f>IFERROR(__xludf.DUMMYFUNCTION("""COMPUTED_VALUE"""),"SG")</f>
        <v>SG</v>
      </c>
      <c r="I1758" s="163">
        <f>IFERROR(__xludf.DUMMYFUNCTION("""COMPUTED_VALUE"""),25.0)</f>
        <v>25</v>
      </c>
      <c r="J1758" s="165">
        <f>IFERROR(__xludf.DUMMYFUNCTION("""COMPUTED_VALUE"""),-1.10927382894614)</f>
        <v>-1.109273829</v>
      </c>
      <c r="K1758" s="165">
        <f>IFERROR(__xludf.DUMMYFUNCTION("""COMPUTED_VALUE"""),-0.35757521073457)</f>
        <v>-0.3575752107</v>
      </c>
      <c r="L1758" s="165">
        <f>IFERROR(__xludf.DUMMYFUNCTION("""COMPUTED_VALUE"""),-0.751698618211571)</f>
        <v>-0.7516986182</v>
      </c>
      <c r="M1758" s="166">
        <f t="shared" si="2"/>
        <v>1.563039743</v>
      </c>
      <c r="N1758" s="167">
        <f t="shared" si="3"/>
        <v>25.20367521</v>
      </c>
      <c r="O1758" s="163">
        <f t="shared" ref="O1758:Q1758" si="1762">rank(I1758,I:I)</f>
        <v>1995</v>
      </c>
      <c r="P1758" s="163">
        <f t="shared" si="1762"/>
        <v>2627</v>
      </c>
      <c r="Q1758" s="163">
        <f t="shared" si="1762"/>
        <v>1871</v>
      </c>
      <c r="R1758" s="163">
        <f>IFERROR(__xludf.DUMMYFUNCTION("RANK(M1758,filter(M:M,C:C=C1758))"),189.0)</f>
        <v>189</v>
      </c>
      <c r="S1758" s="161" t="b">
        <f t="shared" si="5"/>
        <v>0</v>
      </c>
      <c r="T1758" s="161" t="b">
        <f t="array" ref="T1758">index('Query Tool'!B:B,match(H1758,'Query Tool'!C:C,0))</f>
        <v>1</v>
      </c>
      <c r="U1758" s="161" t="b">
        <f t="array" ref="U1758">index('Query Tool'!B:B,match(C1758,'Query Tool'!C:C,0))</f>
        <v>0</v>
      </c>
      <c r="V1758" s="161" t="b">
        <f>F1758&gt;='Query Tool'!C$32</f>
        <v>1</v>
      </c>
      <c r="W1758" s="161" t="b">
        <f t="array" ref="W1758">index(Dropdowns!B:B,match(I1758,Dropdowns!A:A,0))</f>
        <v>1</v>
      </c>
      <c r="X1758" s="161" t="b">
        <f t="array" ref="X1758">index('Query Tool'!B:B,match(D1758,'Query Tool'!C:C,0))</f>
        <v>1</v>
      </c>
      <c r="Y1758" s="161" t="str">
        <f t="shared" si="6"/>
        <v>mcgruro01,2016-17</v>
      </c>
      <c r="Z1758" s="168">
        <f t="array" ref="Z1758">iferror(index(I:I,match($A1758&amp;","&amp;index('Year Conversion'!$A:$A,match($C1758,'Year Conversion'!$B:$B,0)),$Y:$Y,0))-I1758,"")</f>
        <v>1</v>
      </c>
      <c r="AA1758" s="168">
        <f t="array" ref="AA1758">iferror(index(J:J,match($A1758&amp;","&amp;index('Year Conversion'!$A:$A,match($C1758,'Year Conversion'!$B:$B,0)),$Y:$Y,0))-J1758,"")</f>
        <v>0.6360963626</v>
      </c>
      <c r="AB1758" s="168">
        <f t="array" ref="AB1758">iferror(index(K:K,match($A1758&amp;","&amp;index('Year Conversion'!$A:$A,match($C1758,'Year Conversion'!$B:$B,0)),$Y:$Y,0))-K1758,"")</f>
        <v>-0.1877756546</v>
      </c>
      <c r="AC1758" s="168" t="str">
        <f t="shared" si="7"/>
        <v>MIA,2016-17</v>
      </c>
    </row>
    <row r="1759">
      <c r="A1759" s="161" t="str">
        <f>IFERROR(__xludf.DUMMYFUNCTION("""COMPUTED_VALUE"""),"simmojo02")</f>
        <v>simmojo02</v>
      </c>
      <c r="B1759" s="161" t="str">
        <f>IFERROR(__xludf.DUMMYFUNCTION("""COMPUTED_VALUE"""),"Jonathon Simmons")</f>
        <v>Jonathon Simmons</v>
      </c>
      <c r="C1759" s="162" t="str">
        <f>IFERROR(__xludf.DUMMYFUNCTION("""COMPUTED_VALUE"""),"2016-17")</f>
        <v>2016-17</v>
      </c>
      <c r="D1759" s="163" t="str">
        <f>IFERROR(__xludf.DUMMYFUNCTION("""COMPUTED_VALUE"""),"SAS")</f>
        <v>SAS</v>
      </c>
      <c r="E1759" s="164" t="str">
        <f>IFERROR(__xludf.DUMMYFUNCTION("""COMPUTED_VALUE"""),"Secondary Ball Handler")</f>
        <v>Secondary Ball Handler</v>
      </c>
      <c r="F1759" s="164">
        <f>IFERROR(__xludf.DUMMYFUNCTION("""COMPUTED_VALUE"""),1392.46666666667)</f>
        <v>1392.466667</v>
      </c>
      <c r="G1759" s="163">
        <f>IFERROR(__xludf.DUMMYFUNCTION("""COMPUTED_VALUE"""),78.0)</f>
        <v>78</v>
      </c>
      <c r="H1759" s="163" t="str">
        <f>IFERROR(__xludf.DUMMYFUNCTION("""COMPUTED_VALUE"""),"SG")</f>
        <v>SG</v>
      </c>
      <c r="I1759" s="163">
        <f>IFERROR(__xludf.DUMMYFUNCTION("""COMPUTED_VALUE"""),27.0)</f>
        <v>27</v>
      </c>
      <c r="J1759" s="165">
        <f>IFERROR(__xludf.DUMMYFUNCTION("""COMPUTED_VALUE"""),-1.27672731793965)</f>
        <v>-1.276727318</v>
      </c>
      <c r="K1759" s="165">
        <f>IFERROR(__xludf.DUMMYFUNCTION("""COMPUTED_VALUE"""),-1.69340873691965)</f>
        <v>-1.693408737</v>
      </c>
      <c r="L1759" s="165">
        <f>IFERROR(__xludf.DUMMYFUNCTION("""COMPUTED_VALUE"""),0.416681418980003)</f>
        <v>0.416681419</v>
      </c>
      <c r="M1759" s="166">
        <f t="shared" si="2"/>
        <v>0.9508513575</v>
      </c>
      <c r="N1759" s="167">
        <f t="shared" si="3"/>
        <v>17.85213675</v>
      </c>
      <c r="O1759" s="163">
        <f t="shared" ref="O1759:Q1759" si="1763">rank(I1759,I:I)</f>
        <v>1366</v>
      </c>
      <c r="P1759" s="163">
        <f t="shared" si="1763"/>
        <v>2840</v>
      </c>
      <c r="Q1759" s="163">
        <f t="shared" si="1763"/>
        <v>3516</v>
      </c>
      <c r="R1759" s="163">
        <f>IFERROR(__xludf.DUMMYFUNCTION("RANK(M1759,filter(M:M,C:C=C1759))"),227.0)</f>
        <v>227</v>
      </c>
      <c r="S1759" s="161" t="b">
        <f t="shared" si="5"/>
        <v>0</v>
      </c>
      <c r="T1759" s="161" t="b">
        <f t="array" ref="T1759">index('Query Tool'!B:B,match(H1759,'Query Tool'!C:C,0))</f>
        <v>1</v>
      </c>
      <c r="U1759" s="161" t="b">
        <f t="array" ref="U1759">index('Query Tool'!B:B,match(C1759,'Query Tool'!C:C,0))</f>
        <v>0</v>
      </c>
      <c r="V1759" s="161" t="b">
        <f>F1759&gt;='Query Tool'!C$32</f>
        <v>1</v>
      </c>
      <c r="W1759" s="161" t="b">
        <f t="array" ref="W1759">index(Dropdowns!B:B,match(I1759,Dropdowns!A:A,0))</f>
        <v>1</v>
      </c>
      <c r="X1759" s="161" t="b">
        <f t="array" ref="X1759">index('Query Tool'!B:B,match(D1759,'Query Tool'!C:C,0))</f>
        <v>1</v>
      </c>
      <c r="Y1759" s="161" t="str">
        <f t="shared" si="6"/>
        <v>simmojo02,2016-17</v>
      </c>
      <c r="Z1759" s="168">
        <f t="array" ref="Z1759">iferror(index(I:I,match($A1759&amp;","&amp;index('Year Conversion'!$A:$A,match($C1759,'Year Conversion'!$B:$B,0)),$Y:$Y,0))-I1759,"")</f>
        <v>1</v>
      </c>
      <c r="AA1759" s="168">
        <f t="array" ref="AA1759">iferror(index(J:J,match($A1759&amp;","&amp;index('Year Conversion'!$A:$A,match($C1759,'Year Conversion'!$B:$B,0)),$Y:$Y,0))-J1759,"")</f>
        <v>-1.617626681</v>
      </c>
      <c r="AB1759" s="168">
        <f t="array" ref="AB1759">iferror(index(K:K,match($A1759&amp;","&amp;index('Year Conversion'!$A:$A,match($C1759,'Year Conversion'!$B:$B,0)),$Y:$Y,0))-K1759,"")</f>
        <v>0.5886638079</v>
      </c>
      <c r="AC1759" s="168" t="str">
        <f t="shared" si="7"/>
        <v>SAS,2016-17</v>
      </c>
    </row>
    <row r="1760">
      <c r="A1760" s="161" t="str">
        <f>IFERROR(__xludf.DUMMYFUNCTION("""COMPUTED_VALUE"""),"napiesh01")</f>
        <v>napiesh01</v>
      </c>
      <c r="B1760" s="161" t="str">
        <f>IFERROR(__xludf.DUMMYFUNCTION("""COMPUTED_VALUE"""),"Shabazz Napier")</f>
        <v>Shabazz Napier</v>
      </c>
      <c r="C1760" s="162" t="str">
        <f>IFERROR(__xludf.DUMMYFUNCTION("""COMPUTED_VALUE"""),"2016-17")</f>
        <v>2016-17</v>
      </c>
      <c r="D1760" s="163" t="str">
        <f>IFERROR(__xludf.DUMMYFUNCTION("""COMPUTED_VALUE"""),"POR")</f>
        <v>POR</v>
      </c>
      <c r="E1760" s="164" t="str">
        <f>IFERROR(__xludf.DUMMYFUNCTION("""COMPUTED_VALUE"""),"Secondary Ball Handler")</f>
        <v>Secondary Ball Handler</v>
      </c>
      <c r="F1760" s="164">
        <f>IFERROR(__xludf.DUMMYFUNCTION("""COMPUTED_VALUE"""),512.281666666667)</f>
        <v>512.2816667</v>
      </c>
      <c r="G1760" s="163">
        <f>IFERROR(__xludf.DUMMYFUNCTION("""COMPUTED_VALUE"""),53.0)</f>
        <v>53</v>
      </c>
      <c r="H1760" s="163" t="str">
        <f>IFERROR(__xludf.DUMMYFUNCTION("""COMPUTED_VALUE"""),"PG")</f>
        <v>PG</v>
      </c>
      <c r="I1760" s="163">
        <f>IFERROR(__xludf.DUMMYFUNCTION("""COMPUTED_VALUE"""),25.0)</f>
        <v>25</v>
      </c>
      <c r="J1760" s="165">
        <f>IFERROR(__xludf.DUMMYFUNCTION("""COMPUTED_VALUE"""),-0.0634348419589424)</f>
        <v>-0.06343484196</v>
      </c>
      <c r="K1760" s="165">
        <f>IFERROR(__xludf.DUMMYFUNCTION("""COMPUTED_VALUE"""),0.308983425051747)</f>
        <v>0.3089834251</v>
      </c>
      <c r="L1760" s="165">
        <f>IFERROR(__xludf.DUMMYFUNCTION("""COMPUTED_VALUE"""),-0.372418267010689)</f>
        <v>-0.372418267</v>
      </c>
      <c r="M1760" s="166">
        <f t="shared" si="2"/>
        <v>0.7678588782</v>
      </c>
      <c r="N1760" s="167">
        <f t="shared" si="3"/>
        <v>9.665691824</v>
      </c>
      <c r="O1760" s="163">
        <f t="shared" ref="O1760:Q1760" si="1764">rank(I1760,I:I)</f>
        <v>1995</v>
      </c>
      <c r="P1760" s="163">
        <f t="shared" si="1764"/>
        <v>1352</v>
      </c>
      <c r="Q1760" s="163">
        <f t="shared" si="1764"/>
        <v>902</v>
      </c>
      <c r="R1760" s="163">
        <f>IFERROR(__xludf.DUMMYFUNCTION("RANK(M1760,filter(M:M,C:C=C1760))"),245.0)</f>
        <v>245</v>
      </c>
      <c r="S1760" s="161" t="b">
        <f t="shared" si="5"/>
        <v>0</v>
      </c>
      <c r="T1760" s="161" t="b">
        <f t="array" ref="T1760">index('Query Tool'!B:B,match(H1760,'Query Tool'!C:C,0))</f>
        <v>1</v>
      </c>
      <c r="U1760" s="161" t="b">
        <f t="array" ref="U1760">index('Query Tool'!B:B,match(C1760,'Query Tool'!C:C,0))</f>
        <v>0</v>
      </c>
      <c r="V1760" s="161" t="b">
        <f>F1760&gt;='Query Tool'!C$32</f>
        <v>1</v>
      </c>
      <c r="W1760" s="161" t="b">
        <f t="array" ref="W1760">index(Dropdowns!B:B,match(I1760,Dropdowns!A:A,0))</f>
        <v>1</v>
      </c>
      <c r="X1760" s="161" t="b">
        <f t="array" ref="X1760">index('Query Tool'!B:B,match(D1760,'Query Tool'!C:C,0))</f>
        <v>1</v>
      </c>
      <c r="Y1760" s="161" t="str">
        <f t="shared" si="6"/>
        <v>napiesh01,2016-17</v>
      </c>
      <c r="Z1760" s="168">
        <f t="array" ref="Z1760">iferror(index(I:I,match($A1760&amp;","&amp;index('Year Conversion'!$A:$A,match($C1760,'Year Conversion'!$B:$B,0)),$Y:$Y,0))-I1760,"")</f>
        <v>1</v>
      </c>
      <c r="AA1760" s="168">
        <f t="array" ref="AA1760">iferror(index(J:J,match($A1760&amp;","&amp;index('Year Conversion'!$A:$A,match($C1760,'Year Conversion'!$B:$B,0)),$Y:$Y,0))-J1760,"")</f>
        <v>0.4243482387</v>
      </c>
      <c r="AB1760" s="168">
        <f t="array" ref="AB1760">iferror(index(K:K,match($A1760&amp;","&amp;index('Year Conversion'!$A:$A,match($C1760,'Year Conversion'!$B:$B,0)),$Y:$Y,0))-K1760,"")</f>
        <v>-0.146494364</v>
      </c>
      <c r="AC1760" s="168" t="str">
        <f t="shared" si="7"/>
        <v>POR,2016-17</v>
      </c>
    </row>
    <row r="1761">
      <c r="A1761" s="161" t="str">
        <f>IFERROR(__xludf.DUMMYFUNCTION("""COMPUTED_VALUE"""),"mcraejo01")</f>
        <v>mcraejo01</v>
      </c>
      <c r="B1761" s="161" t="str">
        <f>IFERROR(__xludf.DUMMYFUNCTION("""COMPUTED_VALUE"""),"Jordan McRae")</f>
        <v>Jordan McRae</v>
      </c>
      <c r="C1761" s="162" t="str">
        <f>IFERROR(__xludf.DUMMYFUNCTION("""COMPUTED_VALUE"""),"2016-17")</f>
        <v>2016-17</v>
      </c>
      <c r="D1761" s="163" t="str">
        <f>IFERROR(__xludf.DUMMYFUNCTION("""COMPUTED_VALUE"""),"CLE")</f>
        <v>CLE</v>
      </c>
      <c r="E1761" s="164" t="str">
        <f>IFERROR(__xludf.DUMMYFUNCTION("""COMPUTED_VALUE"""),"Stationary Shooter")</f>
        <v>Stationary Shooter</v>
      </c>
      <c r="F1761" s="164">
        <f>IFERROR(__xludf.DUMMYFUNCTION("""COMPUTED_VALUE"""),383.506666666667)</f>
        <v>383.5066667</v>
      </c>
      <c r="G1761" s="163">
        <f>IFERROR(__xludf.DUMMYFUNCTION("""COMPUTED_VALUE"""),37.0)</f>
        <v>37</v>
      </c>
      <c r="H1761" s="163" t="str">
        <f>IFERROR(__xludf.DUMMYFUNCTION("""COMPUTED_VALUE"""),"SG")</f>
        <v>SG</v>
      </c>
      <c r="I1761" s="163">
        <f>IFERROR(__xludf.DUMMYFUNCTION("""COMPUTED_VALUE"""),25.0)</f>
        <v>25</v>
      </c>
      <c r="J1761" s="165">
        <f>IFERROR(__xludf.DUMMYFUNCTION("""COMPUTED_VALUE"""),-2.37698896363203)</f>
        <v>-2.376988964</v>
      </c>
      <c r="K1761" s="165">
        <f>IFERROR(__xludf.DUMMYFUNCTION("""COMPUTED_VALUE"""),-1.13061623600298)</f>
        <v>-1.130616236</v>
      </c>
      <c r="L1761" s="165">
        <f>IFERROR(__xludf.DUMMYFUNCTION("""COMPUTED_VALUE"""),-1.24637272762905)</f>
        <v>-1.246372728</v>
      </c>
      <c r="M1761" s="166">
        <f t="shared" si="2"/>
        <v>-0.0185670352</v>
      </c>
      <c r="N1761" s="167">
        <f t="shared" si="3"/>
        <v>10.36504505</v>
      </c>
      <c r="O1761" s="163">
        <f t="shared" ref="O1761:Q1761" si="1765">rank(I1761,I:I)</f>
        <v>1995</v>
      </c>
      <c r="P1761" s="163">
        <f t="shared" si="1765"/>
        <v>3701</v>
      </c>
      <c r="Q1761" s="163">
        <f t="shared" si="1765"/>
        <v>2960</v>
      </c>
      <c r="R1761" s="163">
        <f>IFERROR(__xludf.DUMMYFUNCTION("RANK(M1761,filter(M:M,C:C=C1761))"),452.0)</f>
        <v>452</v>
      </c>
      <c r="S1761" s="161" t="b">
        <f t="shared" si="5"/>
        <v>0</v>
      </c>
      <c r="T1761" s="161" t="b">
        <f t="array" ref="T1761">index('Query Tool'!B:B,match(H1761,'Query Tool'!C:C,0))</f>
        <v>1</v>
      </c>
      <c r="U1761" s="161" t="b">
        <f t="array" ref="U1761">index('Query Tool'!B:B,match(C1761,'Query Tool'!C:C,0))</f>
        <v>0</v>
      </c>
      <c r="V1761" s="161" t="b">
        <f>F1761&gt;='Query Tool'!C$32</f>
        <v>0</v>
      </c>
      <c r="W1761" s="161" t="b">
        <f t="array" ref="W1761">index(Dropdowns!B:B,match(I1761,Dropdowns!A:A,0))</f>
        <v>1</v>
      </c>
      <c r="X1761" s="161" t="b">
        <f t="array" ref="X1761">index('Query Tool'!B:B,match(D1761,'Query Tool'!C:C,0))</f>
        <v>1</v>
      </c>
      <c r="Y1761" s="161" t="str">
        <f t="shared" si="6"/>
        <v>mcraejo01,2016-17</v>
      </c>
      <c r="Z1761" s="168" t="str">
        <f t="array" ref="Z1761">iferror(index(I:I,match($A1761&amp;","&amp;index('Year Conversion'!$A:$A,match($C1761,'Year Conversion'!$B:$B,0)),$Y:$Y,0))-I1761,"")</f>
        <v/>
      </c>
      <c r="AA1761" s="168" t="str">
        <f t="array" ref="AA1761">iferror(index(J:J,match($A1761&amp;","&amp;index('Year Conversion'!$A:$A,match($C1761,'Year Conversion'!$B:$B,0)),$Y:$Y,0))-J1761,"")</f>
        <v/>
      </c>
      <c r="AB1761" s="168" t="str">
        <f t="array" ref="AB1761">iferror(index(K:K,match($A1761&amp;","&amp;index('Year Conversion'!$A:$A,match($C1761,'Year Conversion'!$B:$B,0)),$Y:$Y,0))-K1761,"")</f>
        <v/>
      </c>
      <c r="AC1761" s="168" t="str">
        <f t="shared" si="7"/>
        <v>CLE,2016-17</v>
      </c>
    </row>
    <row r="1762">
      <c r="A1762" s="161" t="str">
        <f>IFERROR(__xludf.DUMMYFUNCTION("""COMPUTED_VALUE"""),"lavinza01")</f>
        <v>lavinza01</v>
      </c>
      <c r="B1762" s="161" t="str">
        <f>IFERROR(__xludf.DUMMYFUNCTION("""COMPUTED_VALUE"""),"Zach LaVine")</f>
        <v>Zach LaVine</v>
      </c>
      <c r="C1762" s="162" t="str">
        <f>IFERROR(__xludf.DUMMYFUNCTION("""COMPUTED_VALUE"""),"2016-17")</f>
        <v>2016-17</v>
      </c>
      <c r="D1762" s="163" t="str">
        <f>IFERROR(__xludf.DUMMYFUNCTION("""COMPUTED_VALUE"""),"MIN")</f>
        <v>MIN</v>
      </c>
      <c r="E1762" s="164" t="str">
        <f>IFERROR(__xludf.DUMMYFUNCTION("""COMPUTED_VALUE"""),"Secondary Ball Handler")</f>
        <v>Secondary Ball Handler</v>
      </c>
      <c r="F1762" s="164">
        <f>IFERROR(__xludf.DUMMYFUNCTION("""COMPUTED_VALUE"""),1748.80333333333)</f>
        <v>1748.803333</v>
      </c>
      <c r="G1762" s="163">
        <f>IFERROR(__xludf.DUMMYFUNCTION("""COMPUTED_VALUE"""),47.0)</f>
        <v>47</v>
      </c>
      <c r="H1762" s="163" t="str">
        <f>IFERROR(__xludf.DUMMYFUNCTION("""COMPUTED_VALUE"""),"SG")</f>
        <v>SG</v>
      </c>
      <c r="I1762" s="163">
        <f>IFERROR(__xludf.DUMMYFUNCTION("""COMPUTED_VALUE"""),21.0)</f>
        <v>21</v>
      </c>
      <c r="J1762" s="165">
        <f>IFERROR(__xludf.DUMMYFUNCTION("""COMPUTED_VALUE"""),-1.43077599864124)</f>
        <v>-1.430775999</v>
      </c>
      <c r="K1762" s="165">
        <f>IFERROR(__xludf.DUMMYFUNCTION("""COMPUTED_VALUE"""),0.108418126870386)</f>
        <v>0.1084181269</v>
      </c>
      <c r="L1762" s="165">
        <f>IFERROR(__xludf.DUMMYFUNCTION("""COMPUTED_VALUE"""),-1.53919412551162)</f>
        <v>-1.539194126</v>
      </c>
      <c r="M1762" s="166">
        <f t="shared" si="2"/>
        <v>1.013931584</v>
      </c>
      <c r="N1762" s="167">
        <f t="shared" si="3"/>
        <v>37.20858156</v>
      </c>
      <c r="O1762" s="163">
        <f t="shared" ref="O1762:Q1762" si="1766">rank(I1762,I:I)</f>
        <v>3528</v>
      </c>
      <c r="P1762" s="163">
        <f t="shared" si="1766"/>
        <v>2990</v>
      </c>
      <c r="Q1762" s="163">
        <f t="shared" si="1766"/>
        <v>1059</v>
      </c>
      <c r="R1762" s="163">
        <f>IFERROR(__xludf.DUMMYFUNCTION("RANK(M1762,filter(M:M,C:C=C1762))"),223.0)</f>
        <v>223</v>
      </c>
      <c r="S1762" s="161" t="b">
        <f t="shared" si="5"/>
        <v>0</v>
      </c>
      <c r="T1762" s="161" t="b">
        <f t="array" ref="T1762">index('Query Tool'!B:B,match(H1762,'Query Tool'!C:C,0))</f>
        <v>1</v>
      </c>
      <c r="U1762" s="161" t="b">
        <f t="array" ref="U1762">index('Query Tool'!B:B,match(C1762,'Query Tool'!C:C,0))</f>
        <v>0</v>
      </c>
      <c r="V1762" s="161" t="b">
        <f>F1762&gt;='Query Tool'!C$32</f>
        <v>1</v>
      </c>
      <c r="W1762" s="161" t="b">
        <f t="array" ref="W1762">index(Dropdowns!B:B,match(I1762,Dropdowns!A:A,0))</f>
        <v>1</v>
      </c>
      <c r="X1762" s="161" t="b">
        <f t="array" ref="X1762">index('Query Tool'!B:B,match(D1762,'Query Tool'!C:C,0))</f>
        <v>1</v>
      </c>
      <c r="Y1762" s="161" t="str">
        <f t="shared" si="6"/>
        <v>lavinza01,2016-17</v>
      </c>
      <c r="Z1762" s="168">
        <f t="array" ref="Z1762">iferror(index(I:I,match($A1762&amp;","&amp;index('Year Conversion'!$A:$A,match($C1762,'Year Conversion'!$B:$B,0)),$Y:$Y,0))-I1762,"")</f>
        <v>1</v>
      </c>
      <c r="AA1762" s="168">
        <f t="array" ref="AA1762">iferror(index(J:J,match($A1762&amp;","&amp;index('Year Conversion'!$A:$A,match($C1762,'Year Conversion'!$B:$B,0)),$Y:$Y,0))-J1762,"")</f>
        <v>1.274771225</v>
      </c>
      <c r="AB1762" s="168">
        <f t="array" ref="AB1762">iferror(index(K:K,match($A1762&amp;","&amp;index('Year Conversion'!$A:$A,match($C1762,'Year Conversion'!$B:$B,0)),$Y:$Y,0))-K1762,"")</f>
        <v>0.5838368616</v>
      </c>
      <c r="AC1762" s="168" t="str">
        <f t="shared" si="7"/>
        <v>MIN,2016-17</v>
      </c>
    </row>
    <row r="1763">
      <c r="A1763" s="161" t="str">
        <f>IFERROR(__xludf.DUMMYFUNCTION("""COMPUTED_VALUE"""),"ennisty01")</f>
        <v>ennisty01</v>
      </c>
      <c r="B1763" s="161" t="str">
        <f>IFERROR(__xludf.DUMMYFUNCTION("""COMPUTED_VALUE"""),"Tyler Ennis")</f>
        <v>Tyler Ennis</v>
      </c>
      <c r="C1763" s="162" t="str">
        <f>IFERROR(__xludf.DUMMYFUNCTION("""COMPUTED_VALUE"""),"2016-17")</f>
        <v>2016-17</v>
      </c>
      <c r="D1763" s="163" t="str">
        <f>IFERROR(__xludf.DUMMYFUNCTION("""COMPUTED_VALUE"""),"TOT")</f>
        <v>TOT</v>
      </c>
      <c r="E1763" s="164" t="str">
        <f>IFERROR(__xludf.DUMMYFUNCTION("""COMPUTED_VALUE"""),"Secondary Ball Handler")</f>
        <v>Secondary Ball Handler</v>
      </c>
      <c r="F1763" s="164">
        <f>IFERROR(__xludf.DUMMYFUNCTION("""COMPUTED_VALUE"""),588.146666666667)</f>
        <v>588.1466667</v>
      </c>
      <c r="G1763" s="163">
        <f>IFERROR(__xludf.DUMMYFUNCTION("""COMPUTED_VALUE"""),53.0)</f>
        <v>53</v>
      </c>
      <c r="H1763" s="163" t="str">
        <f>IFERROR(__xludf.DUMMYFUNCTION("""COMPUTED_VALUE"""),"PG")</f>
        <v>PG</v>
      </c>
      <c r="I1763" s="163">
        <f>IFERROR(__xludf.DUMMYFUNCTION("""COMPUTED_VALUE"""),22.0)</f>
        <v>22</v>
      </c>
      <c r="J1763" s="165">
        <f>IFERROR(__xludf.DUMMYFUNCTION("""COMPUTED_VALUE"""),-1.07830238960385)</f>
        <v>-1.07830239</v>
      </c>
      <c r="K1763" s="165">
        <f>IFERROR(__xludf.DUMMYFUNCTION("""COMPUTED_VALUE"""),-0.918084240346723)</f>
        <v>-0.9180842403</v>
      </c>
      <c r="L1763" s="165">
        <f>IFERROR(__xludf.DUMMYFUNCTION("""COMPUTED_VALUE"""),-0.160218149257132)</f>
        <v>-0.1602181493</v>
      </c>
      <c r="M1763" s="166">
        <f t="shared" si="2"/>
        <v>0.4798442605</v>
      </c>
      <c r="N1763" s="167">
        <f t="shared" si="3"/>
        <v>11.09710692</v>
      </c>
      <c r="O1763" s="163">
        <f t="shared" ref="O1763:Q1763" si="1767">rank(I1763,I:I)</f>
        <v>3178</v>
      </c>
      <c r="P1763" s="163">
        <f t="shared" si="1767"/>
        <v>2587</v>
      </c>
      <c r="Q1763" s="163">
        <f t="shared" si="1767"/>
        <v>2711</v>
      </c>
      <c r="R1763" s="163">
        <f>IFERROR(__xludf.DUMMYFUNCTION("RANK(M1763,filter(M:M,C:C=C1763))"),287.0)</f>
        <v>287</v>
      </c>
      <c r="S1763" s="161" t="b">
        <f t="shared" si="5"/>
        <v>0</v>
      </c>
      <c r="T1763" s="161" t="b">
        <f t="array" ref="T1763">index('Query Tool'!B:B,match(H1763,'Query Tool'!C:C,0))</f>
        <v>1</v>
      </c>
      <c r="U1763" s="161" t="b">
        <f t="array" ref="U1763">index('Query Tool'!B:B,match(C1763,'Query Tool'!C:C,0))</f>
        <v>0</v>
      </c>
      <c r="V1763" s="161" t="b">
        <f>F1763&gt;='Query Tool'!C$32</f>
        <v>1</v>
      </c>
      <c r="W1763" s="161" t="b">
        <f t="array" ref="W1763">index(Dropdowns!B:B,match(I1763,Dropdowns!A:A,0))</f>
        <v>1</v>
      </c>
      <c r="X1763" s="161" t="b">
        <f t="array" ref="X1763">index('Query Tool'!B:B,match(D1763,'Query Tool'!C:C,0))</f>
        <v>1</v>
      </c>
      <c r="Y1763" s="161" t="str">
        <f t="shared" si="6"/>
        <v>ennisty01,2016-17</v>
      </c>
      <c r="Z1763" s="168">
        <f t="array" ref="Z1763">iferror(index(I:I,match($A1763&amp;","&amp;index('Year Conversion'!$A:$A,match($C1763,'Year Conversion'!$B:$B,0)),$Y:$Y,0))-I1763,"")</f>
        <v>1</v>
      </c>
      <c r="AA1763" s="168">
        <f t="array" ref="AA1763">iferror(index(J:J,match($A1763&amp;","&amp;index('Year Conversion'!$A:$A,match($C1763,'Year Conversion'!$B:$B,0)),$Y:$Y,0))-J1763,"")</f>
        <v>0.1701001371</v>
      </c>
      <c r="AB1763" s="168">
        <f t="array" ref="AB1763">iferror(index(K:K,match($A1763&amp;","&amp;index('Year Conversion'!$A:$A,match($C1763,'Year Conversion'!$B:$B,0)),$Y:$Y,0))-K1763,"")</f>
        <v>-0.4636049261</v>
      </c>
      <c r="AC1763" s="168" t="str">
        <f t="shared" si="7"/>
        <v>TOT,2016-17</v>
      </c>
    </row>
    <row r="1764">
      <c r="A1764" s="161" t="str">
        <f>IFERROR(__xludf.DUMMYFUNCTION("""COMPUTED_VALUE"""),"paytoel01")</f>
        <v>paytoel01</v>
      </c>
      <c r="B1764" s="161" t="str">
        <f>IFERROR(__xludf.DUMMYFUNCTION("""COMPUTED_VALUE"""),"Elfrid Payton")</f>
        <v>Elfrid Payton</v>
      </c>
      <c r="C1764" s="162" t="str">
        <f>IFERROR(__xludf.DUMMYFUNCTION("""COMPUTED_VALUE"""),"2016-17")</f>
        <v>2016-17</v>
      </c>
      <c r="D1764" s="163" t="str">
        <f>IFERROR(__xludf.DUMMYFUNCTION("""COMPUTED_VALUE"""),"ORL")</f>
        <v>ORL</v>
      </c>
      <c r="E1764" s="164" t="str">
        <f>IFERROR(__xludf.DUMMYFUNCTION("""COMPUTED_VALUE"""),"Slasher")</f>
        <v>Slasher</v>
      </c>
      <c r="F1764" s="164">
        <f>IFERROR(__xludf.DUMMYFUNCTION("""COMPUTED_VALUE"""),2412.17166666667)</f>
        <v>2412.171667</v>
      </c>
      <c r="G1764" s="163">
        <f>IFERROR(__xludf.DUMMYFUNCTION("""COMPUTED_VALUE"""),82.0)</f>
        <v>82</v>
      </c>
      <c r="H1764" s="163" t="str">
        <f>IFERROR(__xludf.DUMMYFUNCTION("""COMPUTED_VALUE"""),"PG")</f>
        <v>PG</v>
      </c>
      <c r="I1764" s="163">
        <f>IFERROR(__xludf.DUMMYFUNCTION("""COMPUTED_VALUE"""),22.0)</f>
        <v>22</v>
      </c>
      <c r="J1764" s="165">
        <f>IFERROR(__xludf.DUMMYFUNCTION("""COMPUTED_VALUE"""),0.425145475153864)</f>
        <v>0.4251454752</v>
      </c>
      <c r="K1764" s="165">
        <f>IFERROR(__xludf.DUMMYFUNCTION("""COMPUTED_VALUE"""),0.958473163429866)</f>
        <v>0.9584731634</v>
      </c>
      <c r="L1764" s="165">
        <f>IFERROR(__xludf.DUMMYFUNCTION("""COMPUTED_VALUE"""),-0.533327688276001)</f>
        <v>-0.5333276883</v>
      </c>
      <c r="M1764" s="166">
        <f t="shared" si="2"/>
        <v>4.409988848</v>
      </c>
      <c r="N1764" s="167">
        <f t="shared" si="3"/>
        <v>29.41672764</v>
      </c>
      <c r="O1764" s="163">
        <f t="shared" ref="O1764:Q1764" si="1768">rank(I1764,I:I)</f>
        <v>3178</v>
      </c>
      <c r="P1764" s="163">
        <f t="shared" si="1768"/>
        <v>938</v>
      </c>
      <c r="Q1764" s="163">
        <f t="shared" si="1768"/>
        <v>522</v>
      </c>
      <c r="R1764" s="163">
        <f>IFERROR(__xludf.DUMMYFUNCTION("RANK(M1764,filter(M:M,C:C=C1764))"),65.0)</f>
        <v>65</v>
      </c>
      <c r="S1764" s="161" t="b">
        <f t="shared" si="5"/>
        <v>0</v>
      </c>
      <c r="T1764" s="161" t="b">
        <f t="array" ref="T1764">index('Query Tool'!B:B,match(H1764,'Query Tool'!C:C,0))</f>
        <v>1</v>
      </c>
      <c r="U1764" s="161" t="b">
        <f t="array" ref="U1764">index('Query Tool'!B:B,match(C1764,'Query Tool'!C:C,0))</f>
        <v>0</v>
      </c>
      <c r="V1764" s="161" t="b">
        <f>F1764&gt;='Query Tool'!C$32</f>
        <v>1</v>
      </c>
      <c r="W1764" s="161" t="b">
        <f t="array" ref="W1764">index(Dropdowns!B:B,match(I1764,Dropdowns!A:A,0))</f>
        <v>1</v>
      </c>
      <c r="X1764" s="161" t="b">
        <f t="array" ref="X1764">index('Query Tool'!B:B,match(D1764,'Query Tool'!C:C,0))</f>
        <v>1</v>
      </c>
      <c r="Y1764" s="161" t="str">
        <f t="shared" si="6"/>
        <v>paytoel01,2016-17</v>
      </c>
      <c r="Z1764" s="168">
        <f t="array" ref="Z1764">iferror(index(I:I,match($A1764&amp;","&amp;index('Year Conversion'!$A:$A,match($C1764,'Year Conversion'!$B:$B,0)),$Y:$Y,0))-I1764,"")</f>
        <v>1</v>
      </c>
      <c r="AA1764" s="168">
        <f t="array" ref="AA1764">iferror(index(J:J,match($A1764&amp;","&amp;index('Year Conversion'!$A:$A,match($C1764,'Year Conversion'!$B:$B,0)),$Y:$Y,0))-J1764,"")</f>
        <v>-0.269619579</v>
      </c>
      <c r="AB1764" s="168">
        <f t="array" ref="AB1764">iferror(index(K:K,match($A1764&amp;","&amp;index('Year Conversion'!$A:$A,match($C1764,'Year Conversion'!$B:$B,0)),$Y:$Y,0))-K1764,"")</f>
        <v>-0.2589207889</v>
      </c>
      <c r="AC1764" s="168" t="str">
        <f t="shared" si="7"/>
        <v>ORL,2016-17</v>
      </c>
    </row>
    <row r="1765">
      <c r="A1765" s="161" t="str">
        <f>IFERROR(__xludf.DUMMYFUNCTION("""COMPUTED_VALUE"""),"chrisse01")</f>
        <v>chrisse01</v>
      </c>
      <c r="B1765" s="161" t="str">
        <f>IFERROR(__xludf.DUMMYFUNCTION("""COMPUTED_VALUE"""),"Semaj Christon")</f>
        <v>Semaj Christon</v>
      </c>
      <c r="C1765" s="162" t="str">
        <f>IFERROR(__xludf.DUMMYFUNCTION("""COMPUTED_VALUE"""),"2016-17")</f>
        <v>2016-17</v>
      </c>
      <c r="D1765" s="163" t="str">
        <f>IFERROR(__xludf.DUMMYFUNCTION("""COMPUTED_VALUE"""),"OKC")</f>
        <v>OKC</v>
      </c>
      <c r="E1765" s="164" t="str">
        <f>IFERROR(__xludf.DUMMYFUNCTION("""COMPUTED_VALUE"""),"Primary Ball Handler")</f>
        <v>Primary Ball Handler</v>
      </c>
      <c r="F1765" s="164">
        <f>IFERROR(__xludf.DUMMYFUNCTION("""COMPUTED_VALUE"""),972.641666666667)</f>
        <v>972.6416667</v>
      </c>
      <c r="G1765" s="163">
        <f>IFERROR(__xludf.DUMMYFUNCTION("""COMPUTED_VALUE"""),64.0)</f>
        <v>64</v>
      </c>
      <c r="H1765" s="163" t="str">
        <f>IFERROR(__xludf.DUMMYFUNCTION("""COMPUTED_VALUE"""),"PG")</f>
        <v>PG</v>
      </c>
      <c r="I1765" s="163">
        <f>IFERROR(__xludf.DUMMYFUNCTION("""COMPUTED_VALUE"""),24.0)</f>
        <v>24</v>
      </c>
      <c r="J1765" s="165">
        <f>IFERROR(__xludf.DUMMYFUNCTION("""COMPUTED_VALUE"""),-2.99704691550727)</f>
        <v>-2.997046916</v>
      </c>
      <c r="K1765" s="165">
        <f>IFERROR(__xludf.DUMMYFUNCTION("""COMPUTED_VALUE"""),-1.46383063541291)</f>
        <v>-1.463830635</v>
      </c>
      <c r="L1765" s="165">
        <f>IFERROR(__xludf.DUMMYFUNCTION("""COMPUTED_VALUE"""),-1.53321628009436)</f>
        <v>-1.53321628</v>
      </c>
      <c r="M1765" s="166">
        <f t="shared" si="2"/>
        <v>-0.4416474217</v>
      </c>
      <c r="N1765" s="167">
        <f t="shared" si="3"/>
        <v>15.19752604</v>
      </c>
      <c r="O1765" s="163">
        <f t="shared" ref="O1765:Q1765" si="1769">rank(I1765,I:I)</f>
        <v>2361</v>
      </c>
      <c r="P1765" s="163">
        <f t="shared" si="1769"/>
        <v>3889</v>
      </c>
      <c r="Q1765" s="163">
        <f t="shared" si="1769"/>
        <v>3316</v>
      </c>
      <c r="R1765" s="163">
        <f>IFERROR(__xludf.DUMMYFUNCTION("RANK(M1765,filter(M:M,C:C=C1765))"),472.0)</f>
        <v>472</v>
      </c>
      <c r="S1765" s="161" t="b">
        <f t="shared" si="5"/>
        <v>0</v>
      </c>
      <c r="T1765" s="161" t="b">
        <f t="array" ref="T1765">index('Query Tool'!B:B,match(H1765,'Query Tool'!C:C,0))</f>
        <v>1</v>
      </c>
      <c r="U1765" s="161" t="b">
        <f t="array" ref="U1765">index('Query Tool'!B:B,match(C1765,'Query Tool'!C:C,0))</f>
        <v>0</v>
      </c>
      <c r="V1765" s="161" t="b">
        <f>F1765&gt;='Query Tool'!C$32</f>
        <v>1</v>
      </c>
      <c r="W1765" s="161" t="b">
        <f t="array" ref="W1765">index(Dropdowns!B:B,match(I1765,Dropdowns!A:A,0))</f>
        <v>1</v>
      </c>
      <c r="X1765" s="161" t="b">
        <f t="array" ref="X1765">index('Query Tool'!B:B,match(D1765,'Query Tool'!C:C,0))</f>
        <v>1</v>
      </c>
      <c r="Y1765" s="161" t="str">
        <f t="shared" si="6"/>
        <v>chrisse01,2016-17</v>
      </c>
      <c r="Z1765" s="168" t="str">
        <f t="array" ref="Z1765">iferror(index(I:I,match($A1765&amp;","&amp;index('Year Conversion'!$A:$A,match($C1765,'Year Conversion'!$B:$B,0)),$Y:$Y,0))-I1765,"")</f>
        <v/>
      </c>
      <c r="AA1765" s="168" t="str">
        <f t="array" ref="AA1765">iferror(index(J:J,match($A1765&amp;","&amp;index('Year Conversion'!$A:$A,match($C1765,'Year Conversion'!$B:$B,0)),$Y:$Y,0))-J1765,"")</f>
        <v/>
      </c>
      <c r="AB1765" s="168" t="str">
        <f t="array" ref="AB1765">iferror(index(K:K,match($A1765&amp;","&amp;index('Year Conversion'!$A:$A,match($C1765,'Year Conversion'!$B:$B,0)),$Y:$Y,0))-K1765,"")</f>
        <v/>
      </c>
      <c r="AC1765" s="168" t="str">
        <f t="shared" si="7"/>
        <v>OKC,2016-17</v>
      </c>
    </row>
    <row r="1766">
      <c r="A1766" s="161" t="str">
        <f>IFERROR(__xludf.DUMMYFUNCTION("""COMPUTED_VALUE"""),"clarkjo01")</f>
        <v>clarkjo01</v>
      </c>
      <c r="B1766" s="161" t="str">
        <f>IFERROR(__xludf.DUMMYFUNCTION("""COMPUTED_VALUE"""),"Jordan Clarkson")</f>
        <v>Jordan Clarkson</v>
      </c>
      <c r="C1766" s="162" t="str">
        <f>IFERROR(__xludf.DUMMYFUNCTION("""COMPUTED_VALUE"""),"2016-17")</f>
        <v>2016-17</v>
      </c>
      <c r="D1766" s="163" t="str">
        <f>IFERROR(__xludf.DUMMYFUNCTION("""COMPUTED_VALUE"""),"LAL")</f>
        <v>LAL</v>
      </c>
      <c r="E1766" s="164" t="str">
        <f>IFERROR(__xludf.DUMMYFUNCTION("""COMPUTED_VALUE"""),"Primary Ball Handler")</f>
        <v>Primary Ball Handler</v>
      </c>
      <c r="F1766" s="164">
        <f>IFERROR(__xludf.DUMMYFUNCTION("""COMPUTED_VALUE"""),2396.555)</f>
        <v>2396.555</v>
      </c>
      <c r="G1766" s="163">
        <f>IFERROR(__xludf.DUMMYFUNCTION("""COMPUTED_VALUE"""),82.0)</f>
        <v>82</v>
      </c>
      <c r="H1766" s="163" t="str">
        <f>IFERROR(__xludf.DUMMYFUNCTION("""COMPUTED_VALUE"""),"SG")</f>
        <v>SG</v>
      </c>
      <c r="I1766" s="163">
        <f>IFERROR(__xludf.DUMMYFUNCTION("""COMPUTED_VALUE"""),24.0)</f>
        <v>24</v>
      </c>
      <c r="J1766" s="165">
        <f>IFERROR(__xludf.DUMMYFUNCTION("""COMPUTED_VALUE"""),-2.9743888703472)</f>
        <v>-2.97438887</v>
      </c>
      <c r="K1766" s="165">
        <f>IFERROR(__xludf.DUMMYFUNCTION("""COMPUTED_VALUE"""),-0.567452029928369)</f>
        <v>-0.5674520299</v>
      </c>
      <c r="L1766" s="165">
        <f>IFERROR(__xludf.DUMMYFUNCTION("""COMPUTED_VALUE"""),-2.40693684041883)</f>
        <v>-2.40693684</v>
      </c>
      <c r="M1766" s="166">
        <f t="shared" si="2"/>
        <v>-1.052921618</v>
      </c>
      <c r="N1766" s="167">
        <f t="shared" si="3"/>
        <v>29.22628049</v>
      </c>
      <c r="O1766" s="163">
        <f t="shared" ref="O1766:Q1766" si="1770">rank(I1766,I:I)</f>
        <v>2361</v>
      </c>
      <c r="P1766" s="163">
        <f t="shared" si="1770"/>
        <v>3882</v>
      </c>
      <c r="Q1766" s="163">
        <f t="shared" si="1770"/>
        <v>2214</v>
      </c>
      <c r="R1766" s="163">
        <f>IFERROR(__xludf.DUMMYFUNCTION("RANK(M1766,filter(M:M,C:C=C1766))"),483.0)</f>
        <v>483</v>
      </c>
      <c r="S1766" s="161" t="b">
        <f t="shared" si="5"/>
        <v>0</v>
      </c>
      <c r="T1766" s="161" t="b">
        <f t="array" ref="T1766">index('Query Tool'!B:B,match(H1766,'Query Tool'!C:C,0))</f>
        <v>1</v>
      </c>
      <c r="U1766" s="161" t="b">
        <f t="array" ref="U1766">index('Query Tool'!B:B,match(C1766,'Query Tool'!C:C,0))</f>
        <v>0</v>
      </c>
      <c r="V1766" s="161" t="b">
        <f>F1766&gt;='Query Tool'!C$32</f>
        <v>1</v>
      </c>
      <c r="W1766" s="161" t="b">
        <f t="array" ref="W1766">index(Dropdowns!B:B,match(I1766,Dropdowns!A:A,0))</f>
        <v>1</v>
      </c>
      <c r="X1766" s="161" t="b">
        <f t="array" ref="X1766">index('Query Tool'!B:B,match(D1766,'Query Tool'!C:C,0))</f>
        <v>1</v>
      </c>
      <c r="Y1766" s="161" t="str">
        <f t="shared" si="6"/>
        <v>clarkjo01,2016-17</v>
      </c>
      <c r="Z1766" s="168">
        <f t="array" ref="Z1766">iferror(index(I:I,match($A1766&amp;","&amp;index('Year Conversion'!$A:$A,match($C1766,'Year Conversion'!$B:$B,0)),$Y:$Y,0))-I1766,"")</f>
        <v>1</v>
      </c>
      <c r="AA1766" s="168">
        <f t="array" ref="AA1766">iferror(index(J:J,match($A1766&amp;","&amp;index('Year Conversion'!$A:$A,match($C1766,'Year Conversion'!$B:$B,0)),$Y:$Y,0))-J1766,"")</f>
        <v>2.022665419</v>
      </c>
      <c r="AB1766" s="168">
        <f t="array" ref="AB1766">iferror(index(K:K,match($A1766&amp;","&amp;index('Year Conversion'!$A:$A,match($C1766,'Year Conversion'!$B:$B,0)),$Y:$Y,0))-K1766,"")</f>
        <v>0.9806009597</v>
      </c>
      <c r="AC1766" s="168" t="str">
        <f t="shared" si="7"/>
        <v>LAL,2016-17</v>
      </c>
    </row>
    <row r="1767">
      <c r="A1767" s="161" t="str">
        <f>IFERROR(__xludf.DUMMYFUNCTION("""COMPUTED_VALUE"""),"mcdankj01")</f>
        <v>mcdankj01</v>
      </c>
      <c r="B1767" s="161" t="str">
        <f>IFERROR(__xludf.DUMMYFUNCTION("""COMPUTED_VALUE"""),"KJ McDaniels")</f>
        <v>KJ McDaniels</v>
      </c>
      <c r="C1767" s="162" t="str">
        <f>IFERROR(__xludf.DUMMYFUNCTION("""COMPUTED_VALUE"""),"2016-17")</f>
        <v>2016-17</v>
      </c>
      <c r="D1767" s="163" t="str">
        <f>IFERROR(__xludf.DUMMYFUNCTION("""COMPUTED_VALUE"""),"TOT")</f>
        <v>TOT</v>
      </c>
      <c r="E1767" s="164" t="str">
        <f>IFERROR(__xludf.DUMMYFUNCTION("""COMPUTED_VALUE"""),"Athletic Finisher")</f>
        <v>Athletic Finisher</v>
      </c>
      <c r="F1767" s="164">
        <f>IFERROR(__xludf.DUMMYFUNCTION("""COMPUTED_VALUE"""),505.51)</f>
        <v>505.51</v>
      </c>
      <c r="G1767" s="163">
        <f>IFERROR(__xludf.DUMMYFUNCTION("""COMPUTED_VALUE"""),49.0)</f>
        <v>49</v>
      </c>
      <c r="H1767" s="163" t="str">
        <f>IFERROR(__xludf.DUMMYFUNCTION("""COMPUTED_VALUE"""),"SF")</f>
        <v>SF</v>
      </c>
      <c r="I1767" s="163">
        <f>IFERROR(__xludf.DUMMYFUNCTION("""COMPUTED_VALUE"""),23.0)</f>
        <v>23</v>
      </c>
      <c r="J1767" s="165">
        <f>IFERROR(__xludf.DUMMYFUNCTION("""COMPUTED_VALUE"""),-1.37889384102895)</f>
        <v>-1.378893841</v>
      </c>
      <c r="K1767" s="165">
        <f>IFERROR(__xludf.DUMMYFUNCTION("""COMPUTED_VALUE"""),-0.970068129756149)</f>
        <v>-0.9700681298</v>
      </c>
      <c r="L1767" s="165">
        <f>IFERROR(__xludf.DUMMYFUNCTION("""COMPUTED_VALUE"""),-0.408825711272802)</f>
        <v>-0.4088257113</v>
      </c>
      <c r="M1767" s="166">
        <f t="shared" si="2"/>
        <v>0.3106248763</v>
      </c>
      <c r="N1767" s="167">
        <f t="shared" si="3"/>
        <v>10.31653061</v>
      </c>
      <c r="O1767" s="163">
        <f t="shared" ref="O1767:Q1767" si="1771">rank(I1767,I:I)</f>
        <v>2765</v>
      </c>
      <c r="P1767" s="163">
        <f t="shared" si="1771"/>
        <v>2934</v>
      </c>
      <c r="Q1767" s="163">
        <f t="shared" si="1771"/>
        <v>2769</v>
      </c>
      <c r="R1767" s="163">
        <f>IFERROR(__xludf.DUMMYFUNCTION("RANK(M1767,filter(M:M,C:C=C1767))"),315.0)</f>
        <v>315</v>
      </c>
      <c r="S1767" s="161" t="b">
        <f t="shared" si="5"/>
        <v>0</v>
      </c>
      <c r="T1767" s="161" t="b">
        <f t="array" ref="T1767">index('Query Tool'!B:B,match(H1767,'Query Tool'!C:C,0))</f>
        <v>1</v>
      </c>
      <c r="U1767" s="161" t="b">
        <f t="array" ref="U1767">index('Query Tool'!B:B,match(C1767,'Query Tool'!C:C,0))</f>
        <v>0</v>
      </c>
      <c r="V1767" s="161" t="b">
        <f>F1767&gt;='Query Tool'!C$32</f>
        <v>1</v>
      </c>
      <c r="W1767" s="161" t="b">
        <f t="array" ref="W1767">index(Dropdowns!B:B,match(I1767,Dropdowns!A:A,0))</f>
        <v>1</v>
      </c>
      <c r="X1767" s="161" t="b">
        <f t="array" ref="X1767">index('Query Tool'!B:B,match(D1767,'Query Tool'!C:C,0))</f>
        <v>1</v>
      </c>
      <c r="Y1767" s="161" t="str">
        <f t="shared" si="6"/>
        <v>mcdankj01,2016-17</v>
      </c>
      <c r="Z1767" s="168" t="str">
        <f t="array" ref="Z1767">iferror(index(I:I,match($A1767&amp;","&amp;index('Year Conversion'!$A:$A,match($C1767,'Year Conversion'!$B:$B,0)),$Y:$Y,0))-I1767,"")</f>
        <v/>
      </c>
      <c r="AA1767" s="168" t="str">
        <f t="array" ref="AA1767">iferror(index(J:J,match($A1767&amp;","&amp;index('Year Conversion'!$A:$A,match($C1767,'Year Conversion'!$B:$B,0)),$Y:$Y,0))-J1767,"")</f>
        <v/>
      </c>
      <c r="AB1767" s="168" t="str">
        <f t="array" ref="AB1767">iferror(index(K:K,match($A1767&amp;","&amp;index('Year Conversion'!$A:$A,match($C1767,'Year Conversion'!$B:$B,0)),$Y:$Y,0))-K1767,"")</f>
        <v/>
      </c>
      <c r="AC1767" s="168" t="str">
        <f t="shared" si="7"/>
        <v>TOT,2016-17</v>
      </c>
    </row>
    <row r="1768">
      <c r="A1768" s="161" t="str">
        <f>IFERROR(__xludf.DUMMYFUNCTION("""COMPUTED_VALUE"""),"wilcocj01")</f>
        <v>wilcocj01</v>
      </c>
      <c r="B1768" s="161" t="str">
        <f>IFERROR(__xludf.DUMMYFUNCTION("""COMPUTED_VALUE"""),"C.J. Wilcox")</f>
        <v>C.J. Wilcox</v>
      </c>
      <c r="C1768" s="162" t="str">
        <f>IFERROR(__xludf.DUMMYFUNCTION("""COMPUTED_VALUE"""),"2016-17")</f>
        <v>2016-17</v>
      </c>
      <c r="D1768" s="163" t="str">
        <f>IFERROR(__xludf.DUMMYFUNCTION("""COMPUTED_VALUE"""),"ORL")</f>
        <v>ORL</v>
      </c>
      <c r="E1768" s="164" t="str">
        <f>IFERROR(__xludf.DUMMYFUNCTION("""COMPUTED_VALUE"""),"Stationary Shooter")</f>
        <v>Stationary Shooter</v>
      </c>
      <c r="F1768" s="164">
        <f>IFERROR(__xludf.DUMMYFUNCTION("""COMPUTED_VALUE"""),107.73)</f>
        <v>107.73</v>
      </c>
      <c r="G1768" s="163">
        <f>IFERROR(__xludf.DUMMYFUNCTION("""COMPUTED_VALUE"""),22.0)</f>
        <v>22</v>
      </c>
      <c r="H1768" s="163" t="str">
        <f>IFERROR(__xludf.DUMMYFUNCTION("""COMPUTED_VALUE"""),"SG")</f>
        <v>SG</v>
      </c>
      <c r="I1768" s="163">
        <f>IFERROR(__xludf.DUMMYFUNCTION("""COMPUTED_VALUE"""),26.0)</f>
        <v>26</v>
      </c>
      <c r="J1768" s="165">
        <f>IFERROR(__xludf.DUMMYFUNCTION("""COMPUTED_VALUE"""),-0.799429732733024)</f>
        <v>-0.7994297327</v>
      </c>
      <c r="K1768" s="165">
        <f>IFERROR(__xludf.DUMMYFUNCTION("""COMPUTED_VALUE"""),-0.586623945288088)</f>
        <v>-0.5866239453</v>
      </c>
      <c r="L1768" s="165">
        <f>IFERROR(__xludf.DUMMYFUNCTION("""COMPUTED_VALUE"""),-0.212805787444936)</f>
        <v>-0.2128057874</v>
      </c>
      <c r="M1768" s="166">
        <f t="shared" si="2"/>
        <v>0.1080722877</v>
      </c>
      <c r="N1768" s="167">
        <f t="shared" si="3"/>
        <v>4.896818182</v>
      </c>
      <c r="O1768" s="163">
        <f t="shared" ref="O1768:Q1768" si="1772">rank(I1768,I:I)</f>
        <v>1665</v>
      </c>
      <c r="P1768" s="163">
        <f t="shared" si="1772"/>
        <v>2275</v>
      </c>
      <c r="Q1768" s="163">
        <f t="shared" si="1772"/>
        <v>2240</v>
      </c>
      <c r="R1768" s="163">
        <f>IFERROR(__xludf.DUMMYFUNCTION("RANK(M1768,filter(M:M,C:C=C1768))"),375.0)</f>
        <v>375</v>
      </c>
      <c r="S1768" s="161" t="b">
        <f t="shared" si="5"/>
        <v>0</v>
      </c>
      <c r="T1768" s="161" t="b">
        <f t="array" ref="T1768">index('Query Tool'!B:B,match(H1768,'Query Tool'!C:C,0))</f>
        <v>1</v>
      </c>
      <c r="U1768" s="161" t="b">
        <f t="array" ref="U1768">index('Query Tool'!B:B,match(C1768,'Query Tool'!C:C,0))</f>
        <v>0</v>
      </c>
      <c r="V1768" s="161" t="b">
        <f>F1768&gt;='Query Tool'!C$32</f>
        <v>0</v>
      </c>
      <c r="W1768" s="161" t="b">
        <f t="array" ref="W1768">index(Dropdowns!B:B,match(I1768,Dropdowns!A:A,0))</f>
        <v>1</v>
      </c>
      <c r="X1768" s="161" t="b">
        <f t="array" ref="X1768">index('Query Tool'!B:B,match(D1768,'Query Tool'!C:C,0))</f>
        <v>1</v>
      </c>
      <c r="Y1768" s="161" t="str">
        <f t="shared" si="6"/>
        <v>wilcocj01,2016-17</v>
      </c>
      <c r="Z1768" s="168" t="str">
        <f t="array" ref="Z1768">iferror(index(I:I,match($A1768&amp;","&amp;index('Year Conversion'!$A:$A,match($C1768,'Year Conversion'!$B:$B,0)),$Y:$Y,0))-I1768,"")</f>
        <v/>
      </c>
      <c r="AA1768" s="168" t="str">
        <f t="array" ref="AA1768">iferror(index(J:J,match($A1768&amp;","&amp;index('Year Conversion'!$A:$A,match($C1768,'Year Conversion'!$B:$B,0)),$Y:$Y,0))-J1768,"")</f>
        <v/>
      </c>
      <c r="AB1768" s="168" t="str">
        <f t="array" ref="AB1768">iferror(index(K:K,match($A1768&amp;","&amp;index('Year Conversion'!$A:$A,match($C1768,'Year Conversion'!$B:$B,0)),$Y:$Y,0))-K1768,"")</f>
        <v/>
      </c>
      <c r="AC1768" s="168" t="str">
        <f t="shared" si="7"/>
        <v>ORL,2016-17</v>
      </c>
    </row>
    <row r="1769">
      <c r="A1769" s="161" t="str">
        <f>IFERROR(__xludf.DUMMYFUNCTION("""COMPUTED_VALUE"""),"harriga01")</f>
        <v>harriga01</v>
      </c>
      <c r="B1769" s="161" t="str">
        <f>IFERROR(__xludf.DUMMYFUNCTION("""COMPUTED_VALUE"""),"Gary Harris")</f>
        <v>Gary Harris</v>
      </c>
      <c r="C1769" s="162" t="str">
        <f>IFERROR(__xludf.DUMMYFUNCTION("""COMPUTED_VALUE"""),"2016-17")</f>
        <v>2016-17</v>
      </c>
      <c r="D1769" s="163" t="str">
        <f>IFERROR(__xludf.DUMMYFUNCTION("""COMPUTED_VALUE"""),"DEN")</f>
        <v>DEN</v>
      </c>
      <c r="E1769" s="164" t="str">
        <f>IFERROR(__xludf.DUMMYFUNCTION("""COMPUTED_VALUE"""),"Athletic Finisher")</f>
        <v>Athletic Finisher</v>
      </c>
      <c r="F1769" s="164">
        <f>IFERROR(__xludf.DUMMYFUNCTION("""COMPUTED_VALUE"""),1782.28833333333)</f>
        <v>1782.288333</v>
      </c>
      <c r="G1769" s="163">
        <f>IFERROR(__xludf.DUMMYFUNCTION("""COMPUTED_VALUE"""),57.0)</f>
        <v>57</v>
      </c>
      <c r="H1769" s="163" t="str">
        <f>IFERROR(__xludf.DUMMYFUNCTION("""COMPUTED_VALUE"""),"SG")</f>
        <v>SG</v>
      </c>
      <c r="I1769" s="163">
        <f>IFERROR(__xludf.DUMMYFUNCTION("""COMPUTED_VALUE"""),22.0)</f>
        <v>22</v>
      </c>
      <c r="J1769" s="165">
        <f>IFERROR(__xludf.DUMMYFUNCTION("""COMPUTED_VALUE"""),0.544810435954611)</f>
        <v>0.544810436</v>
      </c>
      <c r="K1769" s="165">
        <f>IFERROR(__xludf.DUMMYFUNCTION("""COMPUTED_VALUE"""),1.57735335080857)</f>
        <v>1.577353351</v>
      </c>
      <c r="L1769" s="165">
        <f>IFERROR(__xludf.DUMMYFUNCTION("""COMPUTED_VALUE"""),-1.03254291485396)</f>
        <v>-1.032542915</v>
      </c>
      <c r="M1769" s="166">
        <f t="shared" si="2"/>
        <v>3.402069284</v>
      </c>
      <c r="N1769" s="167">
        <f t="shared" si="3"/>
        <v>31.26821637</v>
      </c>
      <c r="O1769" s="163">
        <f t="shared" ref="O1769:Q1769" si="1773">rank(I1769,I:I)</f>
        <v>3178</v>
      </c>
      <c r="P1769" s="163">
        <f t="shared" si="1773"/>
        <v>872</v>
      </c>
      <c r="Q1769" s="163">
        <f t="shared" si="1773"/>
        <v>300</v>
      </c>
      <c r="R1769" s="163">
        <f>IFERROR(__xludf.DUMMYFUNCTION("RANK(M1769,filter(M:M,C:C=C1769))"),103.0)</f>
        <v>103</v>
      </c>
      <c r="S1769" s="161" t="b">
        <f t="shared" si="5"/>
        <v>0</v>
      </c>
      <c r="T1769" s="161" t="b">
        <f t="array" ref="T1769">index('Query Tool'!B:B,match(H1769,'Query Tool'!C:C,0))</f>
        <v>1</v>
      </c>
      <c r="U1769" s="161" t="b">
        <f t="array" ref="U1769">index('Query Tool'!B:B,match(C1769,'Query Tool'!C:C,0))</f>
        <v>0</v>
      </c>
      <c r="V1769" s="161" t="b">
        <f>F1769&gt;='Query Tool'!C$32</f>
        <v>1</v>
      </c>
      <c r="W1769" s="161" t="b">
        <f t="array" ref="W1769">index(Dropdowns!B:B,match(I1769,Dropdowns!A:A,0))</f>
        <v>1</v>
      </c>
      <c r="X1769" s="161" t="b">
        <f t="array" ref="X1769">index('Query Tool'!B:B,match(D1769,'Query Tool'!C:C,0))</f>
        <v>1</v>
      </c>
      <c r="Y1769" s="161" t="str">
        <f t="shared" si="6"/>
        <v>harriga01,2016-17</v>
      </c>
      <c r="Z1769" s="168">
        <f t="array" ref="Z1769">iferror(index(I:I,match($A1769&amp;","&amp;index('Year Conversion'!$A:$A,match($C1769,'Year Conversion'!$B:$B,0)),$Y:$Y,0))-I1769,"")</f>
        <v>1</v>
      </c>
      <c r="AA1769" s="168">
        <f t="array" ref="AA1769">iferror(index(J:J,match($A1769&amp;","&amp;index('Year Conversion'!$A:$A,match($C1769,'Year Conversion'!$B:$B,0)),$Y:$Y,0))-J1769,"")</f>
        <v>-0.5483367825</v>
      </c>
      <c r="AB1769" s="168">
        <f t="array" ref="AB1769">iferror(index(K:K,match($A1769&amp;","&amp;index('Year Conversion'!$A:$A,match($C1769,'Year Conversion'!$B:$B,0)),$Y:$Y,0))-K1769,"")</f>
        <v>-0.6351663682</v>
      </c>
      <c r="AC1769" s="168" t="str">
        <f t="shared" si="7"/>
        <v>DEN,2016-17</v>
      </c>
    </row>
    <row r="1770">
      <c r="A1770" s="161" t="str">
        <f>IFERROR(__xludf.DUMMYFUNCTION("""COMPUTED_VALUE"""),"dinwisp01")</f>
        <v>dinwisp01</v>
      </c>
      <c r="B1770" s="161" t="str">
        <f>IFERROR(__xludf.DUMMYFUNCTION("""COMPUTED_VALUE"""),"Spencer Dinwiddie")</f>
        <v>Spencer Dinwiddie</v>
      </c>
      <c r="C1770" s="162" t="str">
        <f>IFERROR(__xludf.DUMMYFUNCTION("""COMPUTED_VALUE"""),"2016-17")</f>
        <v>2016-17</v>
      </c>
      <c r="D1770" s="163" t="str">
        <f>IFERROR(__xludf.DUMMYFUNCTION("""COMPUTED_VALUE"""),"BRK")</f>
        <v>BRK</v>
      </c>
      <c r="E1770" s="164" t="str">
        <f>IFERROR(__xludf.DUMMYFUNCTION("""COMPUTED_VALUE"""),"Primary Ball Handler")</f>
        <v>Primary Ball Handler</v>
      </c>
      <c r="F1770" s="164">
        <f>IFERROR(__xludf.DUMMYFUNCTION("""COMPUTED_VALUE"""),1333.74166666667)</f>
        <v>1333.741667</v>
      </c>
      <c r="G1770" s="163">
        <f>IFERROR(__xludf.DUMMYFUNCTION("""COMPUTED_VALUE"""),59.0)</f>
        <v>59</v>
      </c>
      <c r="H1770" s="163" t="str">
        <f>IFERROR(__xludf.DUMMYFUNCTION("""COMPUTED_VALUE"""),"PG")</f>
        <v>PG</v>
      </c>
      <c r="I1770" s="163">
        <f>IFERROR(__xludf.DUMMYFUNCTION("""COMPUTED_VALUE"""),23.0)</f>
        <v>23</v>
      </c>
      <c r="J1770" s="165">
        <f>IFERROR(__xludf.DUMMYFUNCTION("""COMPUTED_VALUE"""),-0.0567653208916859)</f>
        <v>-0.05676532089</v>
      </c>
      <c r="K1770" s="165">
        <f>IFERROR(__xludf.DUMMYFUNCTION("""COMPUTED_VALUE"""),-0.537666961591142)</f>
        <v>-0.5376669616</v>
      </c>
      <c r="L1770" s="165">
        <f>IFERROR(__xludf.DUMMYFUNCTION("""COMPUTED_VALUE"""),0.480901640699456)</f>
        <v>0.4809016407</v>
      </c>
      <c r="M1770" s="166">
        <f t="shared" si="2"/>
        <v>2.005142203</v>
      </c>
      <c r="N1770" s="167">
        <f t="shared" si="3"/>
        <v>22.60579096</v>
      </c>
      <c r="O1770" s="163">
        <f t="shared" ref="O1770:Q1770" si="1774">rank(I1770,I:I)</f>
        <v>2765</v>
      </c>
      <c r="P1770" s="163">
        <f t="shared" si="1774"/>
        <v>1340</v>
      </c>
      <c r="Q1770" s="163">
        <f t="shared" si="1774"/>
        <v>2169</v>
      </c>
      <c r="R1770" s="163">
        <f>IFERROR(__xludf.DUMMYFUNCTION("RANK(M1770,filter(M:M,C:C=C1770))"),161.0)</f>
        <v>161</v>
      </c>
      <c r="S1770" s="161" t="b">
        <f t="shared" si="5"/>
        <v>0</v>
      </c>
      <c r="T1770" s="161" t="b">
        <f t="array" ref="T1770">index('Query Tool'!B:B,match(H1770,'Query Tool'!C:C,0))</f>
        <v>1</v>
      </c>
      <c r="U1770" s="161" t="b">
        <f t="array" ref="U1770">index('Query Tool'!B:B,match(C1770,'Query Tool'!C:C,0))</f>
        <v>0</v>
      </c>
      <c r="V1770" s="161" t="b">
        <f>F1770&gt;='Query Tool'!C$32</f>
        <v>1</v>
      </c>
      <c r="W1770" s="161" t="b">
        <f t="array" ref="W1770">index(Dropdowns!B:B,match(I1770,Dropdowns!A:A,0))</f>
        <v>1</v>
      </c>
      <c r="X1770" s="161" t="b">
        <f t="array" ref="X1770">index('Query Tool'!B:B,match(D1770,'Query Tool'!C:C,0))</f>
        <v>1</v>
      </c>
      <c r="Y1770" s="161" t="str">
        <f t="shared" si="6"/>
        <v>dinwisp01,2016-17</v>
      </c>
      <c r="Z1770" s="168">
        <f t="array" ref="Z1770">iferror(index(I:I,match($A1770&amp;","&amp;index('Year Conversion'!$A:$A,match($C1770,'Year Conversion'!$B:$B,0)),$Y:$Y,0))-I1770,"")</f>
        <v>1</v>
      </c>
      <c r="AA1770" s="168">
        <f t="array" ref="AA1770">iferror(index(J:J,match($A1770&amp;","&amp;index('Year Conversion'!$A:$A,match($C1770,'Year Conversion'!$B:$B,0)),$Y:$Y,0))-J1770,"")</f>
        <v>0.9521878138</v>
      </c>
      <c r="AB1770" s="168">
        <f t="array" ref="AB1770">iferror(index(K:K,match($A1770&amp;","&amp;index('Year Conversion'!$A:$A,match($C1770,'Year Conversion'!$B:$B,0)),$Y:$Y,0))-K1770,"")</f>
        <v>1.928821254</v>
      </c>
      <c r="AC1770" s="168" t="str">
        <f t="shared" si="7"/>
        <v>BRK,2016-17</v>
      </c>
    </row>
    <row r="1771">
      <c r="A1771" s="161" t="str">
        <f>IFERROR(__xludf.DUMMYFUNCTION("""COMPUTED_VALUE"""),"stausni01")</f>
        <v>stausni01</v>
      </c>
      <c r="B1771" s="161" t="str">
        <f>IFERROR(__xludf.DUMMYFUNCTION("""COMPUTED_VALUE"""),"Nik Stauskas")</f>
        <v>Nik Stauskas</v>
      </c>
      <c r="C1771" s="162" t="str">
        <f>IFERROR(__xludf.DUMMYFUNCTION("""COMPUTED_VALUE"""),"2016-17")</f>
        <v>2016-17</v>
      </c>
      <c r="D1771" s="163" t="str">
        <f>IFERROR(__xludf.DUMMYFUNCTION("""COMPUTED_VALUE"""),"PHI")</f>
        <v>PHI</v>
      </c>
      <c r="E1771" s="164" t="str">
        <f>IFERROR(__xludf.DUMMYFUNCTION("""COMPUTED_VALUE"""),"Movement Shooter")</f>
        <v>Movement Shooter</v>
      </c>
      <c r="F1771" s="164">
        <f>IFERROR(__xludf.DUMMYFUNCTION("""COMPUTED_VALUE"""),2187.71166666667)</f>
        <v>2187.711667</v>
      </c>
      <c r="G1771" s="163">
        <f>IFERROR(__xludf.DUMMYFUNCTION("""COMPUTED_VALUE"""),80.0)</f>
        <v>80</v>
      </c>
      <c r="H1771" s="163" t="str">
        <f>IFERROR(__xludf.DUMMYFUNCTION("""COMPUTED_VALUE"""),"SG")</f>
        <v>SG</v>
      </c>
      <c r="I1771" s="163">
        <f>IFERROR(__xludf.DUMMYFUNCTION("""COMPUTED_VALUE"""),23.0)</f>
        <v>23</v>
      </c>
      <c r="J1771" s="165">
        <f>IFERROR(__xludf.DUMMYFUNCTION("""COMPUTED_VALUE"""),-3.16444670593618)</f>
        <v>-3.164446706</v>
      </c>
      <c r="K1771" s="165">
        <f>IFERROR(__xludf.DUMMYFUNCTION("""COMPUTED_VALUE"""),-1.20524326327049)</f>
        <v>-1.205243263</v>
      </c>
      <c r="L1771" s="165">
        <f>IFERROR(__xludf.DUMMYFUNCTION("""COMPUTED_VALUE"""),-1.95920344266569)</f>
        <v>-1.959203443</v>
      </c>
      <c r="M1771" s="166">
        <f t="shared" si="2"/>
        <v>-1.230760905</v>
      </c>
      <c r="N1771" s="167">
        <f t="shared" si="3"/>
        <v>27.34639583</v>
      </c>
      <c r="O1771" s="163">
        <f t="shared" ref="O1771:Q1771" si="1775">rank(I1771,I:I)</f>
        <v>2765</v>
      </c>
      <c r="P1771" s="163">
        <f t="shared" si="1775"/>
        <v>3920</v>
      </c>
      <c r="Q1771" s="163">
        <f t="shared" si="1775"/>
        <v>3043</v>
      </c>
      <c r="R1771" s="163">
        <f>IFERROR(__xludf.DUMMYFUNCTION("RANK(M1771,filter(M:M,C:C=C1771))"),484.0)</f>
        <v>484</v>
      </c>
      <c r="S1771" s="161" t="b">
        <f t="shared" si="5"/>
        <v>0</v>
      </c>
      <c r="T1771" s="161" t="b">
        <f t="array" ref="T1771">index('Query Tool'!B:B,match(H1771,'Query Tool'!C:C,0))</f>
        <v>1</v>
      </c>
      <c r="U1771" s="161" t="b">
        <f t="array" ref="U1771">index('Query Tool'!B:B,match(C1771,'Query Tool'!C:C,0))</f>
        <v>0</v>
      </c>
      <c r="V1771" s="161" t="b">
        <f>F1771&gt;='Query Tool'!C$32</f>
        <v>1</v>
      </c>
      <c r="W1771" s="161" t="b">
        <f t="array" ref="W1771">index(Dropdowns!B:B,match(I1771,Dropdowns!A:A,0))</f>
        <v>1</v>
      </c>
      <c r="X1771" s="161" t="b">
        <f t="array" ref="X1771">index('Query Tool'!B:B,match(D1771,'Query Tool'!C:C,0))</f>
        <v>1</v>
      </c>
      <c r="Y1771" s="161" t="str">
        <f t="shared" si="6"/>
        <v>stausni01,2016-17</v>
      </c>
      <c r="Z1771" s="168">
        <f t="array" ref="Z1771">iferror(index(I:I,match($A1771&amp;","&amp;index('Year Conversion'!$A:$A,match($C1771,'Year Conversion'!$B:$B,0)),$Y:$Y,0))-I1771,"")</f>
        <v>1</v>
      </c>
      <c r="AA1771" s="168">
        <f t="array" ref="AA1771">iferror(index(J:J,match($A1771&amp;","&amp;index('Year Conversion'!$A:$A,match($C1771,'Year Conversion'!$B:$B,0)),$Y:$Y,0))-J1771,"")</f>
        <v>0.8250685948</v>
      </c>
      <c r="AB1771" s="168">
        <f t="array" ref="AB1771">iferror(index(K:K,match($A1771&amp;","&amp;index('Year Conversion'!$A:$A,match($C1771,'Year Conversion'!$B:$B,0)),$Y:$Y,0))-K1771,"")</f>
        <v>0.1687642982</v>
      </c>
      <c r="AC1771" s="168" t="str">
        <f t="shared" si="7"/>
        <v>PHI,2016-17</v>
      </c>
    </row>
    <row r="1772">
      <c r="A1772" s="161" t="str">
        <f>IFERROR(__xludf.DUMMYFUNCTION("""COMPUTED_VALUE"""),"hoodro01")</f>
        <v>hoodro01</v>
      </c>
      <c r="B1772" s="161" t="str">
        <f>IFERROR(__xludf.DUMMYFUNCTION("""COMPUTED_VALUE"""),"Rodney Hood")</f>
        <v>Rodney Hood</v>
      </c>
      <c r="C1772" s="162" t="str">
        <f>IFERROR(__xludf.DUMMYFUNCTION("""COMPUTED_VALUE"""),"2016-17")</f>
        <v>2016-17</v>
      </c>
      <c r="D1772" s="163" t="str">
        <f>IFERROR(__xludf.DUMMYFUNCTION("""COMPUTED_VALUE"""),"UTA")</f>
        <v>UTA</v>
      </c>
      <c r="E1772" s="164" t="str">
        <f>IFERROR(__xludf.DUMMYFUNCTION("""COMPUTED_VALUE"""),"Secondary Ball Handler")</f>
        <v>Secondary Ball Handler</v>
      </c>
      <c r="F1772" s="164">
        <f>IFERROR(__xludf.DUMMYFUNCTION("""COMPUTED_VALUE"""),1593.27333333333)</f>
        <v>1593.273333</v>
      </c>
      <c r="G1772" s="163">
        <f>IFERROR(__xludf.DUMMYFUNCTION("""COMPUTED_VALUE"""),59.0)</f>
        <v>59</v>
      </c>
      <c r="H1772" s="163" t="str">
        <f>IFERROR(__xludf.DUMMYFUNCTION("""COMPUTED_VALUE"""),"SG")</f>
        <v>SG</v>
      </c>
      <c r="I1772" s="163">
        <f>IFERROR(__xludf.DUMMYFUNCTION("""COMPUTED_VALUE"""),24.0)</f>
        <v>24</v>
      </c>
      <c r="J1772" s="165">
        <f>IFERROR(__xludf.DUMMYFUNCTION("""COMPUTED_VALUE"""),-0.365810737940798)</f>
        <v>-0.3658107379</v>
      </c>
      <c r="K1772" s="165">
        <f>IFERROR(__xludf.DUMMYFUNCTION("""COMPUTED_VALUE"""),-0.785892557307261)</f>
        <v>-0.7858925573</v>
      </c>
      <c r="L1772" s="165">
        <f>IFERROR(__xludf.DUMMYFUNCTION("""COMPUTED_VALUE"""),0.420081819366463)</f>
        <v>0.4200818194</v>
      </c>
      <c r="M1772" s="166">
        <f t="shared" si="2"/>
        <v>2.063426991</v>
      </c>
      <c r="N1772" s="167">
        <f t="shared" si="3"/>
        <v>27.00463277</v>
      </c>
      <c r="O1772" s="163">
        <f t="shared" ref="O1772:Q1772" si="1776">rank(I1772,I:I)</f>
        <v>2361</v>
      </c>
      <c r="P1772" s="163">
        <f t="shared" si="1776"/>
        <v>1692</v>
      </c>
      <c r="Q1772" s="163">
        <f t="shared" si="1776"/>
        <v>2540</v>
      </c>
      <c r="R1772" s="163">
        <f>IFERROR(__xludf.DUMMYFUNCTION("RANK(M1772,filter(M:M,C:C=C1772))"),158.0)</f>
        <v>158</v>
      </c>
      <c r="S1772" s="161" t="b">
        <f t="shared" si="5"/>
        <v>0</v>
      </c>
      <c r="T1772" s="161" t="b">
        <f t="array" ref="T1772">index('Query Tool'!B:B,match(H1772,'Query Tool'!C:C,0))</f>
        <v>1</v>
      </c>
      <c r="U1772" s="161" t="b">
        <f t="array" ref="U1772">index('Query Tool'!B:B,match(C1772,'Query Tool'!C:C,0))</f>
        <v>0</v>
      </c>
      <c r="V1772" s="161" t="b">
        <f>F1772&gt;='Query Tool'!C$32</f>
        <v>1</v>
      </c>
      <c r="W1772" s="161" t="b">
        <f t="array" ref="W1772">index(Dropdowns!B:B,match(I1772,Dropdowns!A:A,0))</f>
        <v>1</v>
      </c>
      <c r="X1772" s="161" t="b">
        <f t="array" ref="X1772">index('Query Tool'!B:B,match(D1772,'Query Tool'!C:C,0))</f>
        <v>1</v>
      </c>
      <c r="Y1772" s="161" t="str">
        <f t="shared" si="6"/>
        <v>hoodro01,2016-17</v>
      </c>
      <c r="Z1772" s="168">
        <f t="array" ref="Z1772">iferror(index(I:I,match($A1772&amp;","&amp;index('Year Conversion'!$A:$A,match($C1772,'Year Conversion'!$B:$B,0)),$Y:$Y,0))-I1772,"")</f>
        <v>1</v>
      </c>
      <c r="AA1772" s="168">
        <f t="array" ref="AA1772">iferror(index(J:J,match($A1772&amp;","&amp;index('Year Conversion'!$A:$A,match($C1772,'Year Conversion'!$B:$B,0)),$Y:$Y,0))-J1772,"")</f>
        <v>-0.8317035666</v>
      </c>
      <c r="AB1772" s="168">
        <f t="array" ref="AB1772">iferror(index(K:K,match($A1772&amp;","&amp;index('Year Conversion'!$A:$A,match($C1772,'Year Conversion'!$B:$B,0)),$Y:$Y,0))-K1772,"")</f>
        <v>0.8207774844</v>
      </c>
      <c r="AC1772" s="168" t="str">
        <f t="shared" si="7"/>
        <v>UTA,2016-17</v>
      </c>
    </row>
    <row r="1773">
      <c r="A1773" s="161" t="str">
        <f>IFERROR(__xludf.DUMMYFUNCTION("""COMPUTED_VALUE"""),"robingl02")</f>
        <v>robingl02</v>
      </c>
      <c r="B1773" s="161" t="str">
        <f>IFERROR(__xludf.DUMMYFUNCTION("""COMPUTED_VALUE"""),"Glenn Robinson III")</f>
        <v>Glenn Robinson III</v>
      </c>
      <c r="C1773" s="162" t="str">
        <f>IFERROR(__xludf.DUMMYFUNCTION("""COMPUTED_VALUE"""),"2016-17")</f>
        <v>2016-17</v>
      </c>
      <c r="D1773" s="163" t="str">
        <f>IFERROR(__xludf.DUMMYFUNCTION("""COMPUTED_VALUE"""),"IND")</f>
        <v>IND</v>
      </c>
      <c r="E1773" s="164" t="str">
        <f>IFERROR(__xludf.DUMMYFUNCTION("""COMPUTED_VALUE"""),"Athletic Finisher")</f>
        <v>Athletic Finisher</v>
      </c>
      <c r="F1773" s="164">
        <f>IFERROR(__xludf.DUMMYFUNCTION("""COMPUTED_VALUE"""),1426.70666666667)</f>
        <v>1426.706667</v>
      </c>
      <c r="G1773" s="163">
        <f>IFERROR(__xludf.DUMMYFUNCTION("""COMPUTED_VALUE"""),69.0)</f>
        <v>69</v>
      </c>
      <c r="H1773" s="163" t="str">
        <f>IFERROR(__xludf.DUMMYFUNCTION("""COMPUTED_VALUE"""),"SF")</f>
        <v>SF</v>
      </c>
      <c r="I1773" s="163">
        <f>IFERROR(__xludf.DUMMYFUNCTION("""COMPUTED_VALUE"""),23.0)</f>
        <v>23</v>
      </c>
      <c r="J1773" s="165">
        <f>IFERROR(__xludf.DUMMYFUNCTION("""COMPUTED_VALUE"""),-2.06054409290326)</f>
        <v>-2.060544093</v>
      </c>
      <c r="K1773" s="165">
        <f>IFERROR(__xludf.DUMMYFUNCTION("""COMPUTED_VALUE"""),-2.11602021544629)</f>
        <v>-2.116020215</v>
      </c>
      <c r="L1773" s="165">
        <f>IFERROR(__xludf.DUMMYFUNCTION("""COMPUTED_VALUE"""),0.0554761225430362)</f>
        <v>0.05547612254</v>
      </c>
      <c r="M1773" s="166">
        <f t="shared" si="2"/>
        <v>0.2291365047</v>
      </c>
      <c r="N1773" s="167">
        <f t="shared" si="3"/>
        <v>20.67690821</v>
      </c>
      <c r="O1773" s="163">
        <f t="shared" ref="O1773:Q1773" si="1777">rank(I1773,I:I)</f>
        <v>2765</v>
      </c>
      <c r="P1773" s="163">
        <f t="shared" si="1777"/>
        <v>3525</v>
      </c>
      <c r="Q1773" s="163">
        <f t="shared" si="1777"/>
        <v>3772</v>
      </c>
      <c r="R1773" s="163">
        <f>IFERROR(__xludf.DUMMYFUNCTION("RANK(M1773,filter(M:M,C:C=C1773))"),330.0)</f>
        <v>330</v>
      </c>
      <c r="S1773" s="161" t="b">
        <f t="shared" si="5"/>
        <v>0</v>
      </c>
      <c r="T1773" s="161" t="b">
        <f t="array" ref="T1773">index('Query Tool'!B:B,match(H1773,'Query Tool'!C:C,0))</f>
        <v>1</v>
      </c>
      <c r="U1773" s="161" t="b">
        <f t="array" ref="U1773">index('Query Tool'!B:B,match(C1773,'Query Tool'!C:C,0))</f>
        <v>0</v>
      </c>
      <c r="V1773" s="161" t="b">
        <f>F1773&gt;='Query Tool'!C$32</f>
        <v>1</v>
      </c>
      <c r="W1773" s="161" t="b">
        <f t="array" ref="W1773">index(Dropdowns!B:B,match(I1773,Dropdowns!A:A,0))</f>
        <v>1</v>
      </c>
      <c r="X1773" s="161" t="b">
        <f t="array" ref="X1773">index('Query Tool'!B:B,match(D1773,'Query Tool'!C:C,0))</f>
        <v>1</v>
      </c>
      <c r="Y1773" s="161" t="str">
        <f t="shared" si="6"/>
        <v>robingl02,2016-17</v>
      </c>
      <c r="Z1773" s="168">
        <f t="array" ref="Z1773">iferror(index(I:I,match($A1773&amp;","&amp;index('Year Conversion'!$A:$A,match($C1773,'Year Conversion'!$B:$B,0)),$Y:$Y,0))-I1773,"")</f>
        <v>1</v>
      </c>
      <c r="AA1773" s="168">
        <f t="array" ref="AA1773">iferror(index(J:J,match($A1773&amp;","&amp;index('Year Conversion'!$A:$A,match($C1773,'Year Conversion'!$B:$B,0)),$Y:$Y,0))-J1773,"")</f>
        <v>0.6418927116</v>
      </c>
      <c r="AB1773" s="168">
        <f t="array" ref="AB1773">iferror(index(K:K,match($A1773&amp;","&amp;index('Year Conversion'!$A:$A,match($C1773,'Year Conversion'!$B:$B,0)),$Y:$Y,0))-K1773,"")</f>
        <v>1.115819183</v>
      </c>
      <c r="AC1773" s="168" t="str">
        <f t="shared" si="7"/>
        <v>IND,2016-17</v>
      </c>
    </row>
    <row r="1774">
      <c r="A1774" s="161" t="str">
        <f>IFERROR(__xludf.DUMMYFUNCTION("""COMPUTED_VALUE"""),"youngja01")</f>
        <v>youngja01</v>
      </c>
      <c r="B1774" s="161" t="str">
        <f>IFERROR(__xludf.DUMMYFUNCTION("""COMPUTED_VALUE"""),"James Young")</f>
        <v>James Young</v>
      </c>
      <c r="C1774" s="162" t="str">
        <f>IFERROR(__xludf.DUMMYFUNCTION("""COMPUTED_VALUE"""),"2016-17")</f>
        <v>2016-17</v>
      </c>
      <c r="D1774" s="163" t="str">
        <f>IFERROR(__xludf.DUMMYFUNCTION("""COMPUTED_VALUE"""),"BOS")</f>
        <v>BOS</v>
      </c>
      <c r="E1774" s="164" t="str">
        <f>IFERROR(__xludf.DUMMYFUNCTION("""COMPUTED_VALUE"""),"Stationary Shooter")</f>
        <v>Stationary Shooter</v>
      </c>
      <c r="F1774" s="164">
        <f>IFERROR(__xludf.DUMMYFUNCTION("""COMPUTED_VALUE"""),220.103333333333)</f>
        <v>220.1033333</v>
      </c>
      <c r="G1774" s="163">
        <f>IFERROR(__xludf.DUMMYFUNCTION("""COMPUTED_VALUE"""),29.0)</f>
        <v>29</v>
      </c>
      <c r="H1774" s="163" t="str">
        <f>IFERROR(__xludf.DUMMYFUNCTION("""COMPUTED_VALUE"""),"SG")</f>
        <v>SG</v>
      </c>
      <c r="I1774" s="163">
        <f>IFERROR(__xludf.DUMMYFUNCTION("""COMPUTED_VALUE"""),21.0)</f>
        <v>21</v>
      </c>
      <c r="J1774" s="165">
        <f>IFERROR(__xludf.DUMMYFUNCTION("""COMPUTED_VALUE"""),-1.75331852201193)</f>
        <v>-1.753318522</v>
      </c>
      <c r="K1774" s="165">
        <f>IFERROR(__xludf.DUMMYFUNCTION("""COMPUTED_VALUE"""),-1.33073324521096)</f>
        <v>-1.330733245</v>
      </c>
      <c r="L1774" s="165">
        <f>IFERROR(__xludf.DUMMYFUNCTION("""COMPUTED_VALUE"""),-0.42258527680097)</f>
        <v>-0.4225852768</v>
      </c>
      <c r="M1774" s="166">
        <f t="shared" si="2"/>
        <v>0.0802539767</v>
      </c>
      <c r="N1774" s="167">
        <f t="shared" si="3"/>
        <v>7.589770115</v>
      </c>
      <c r="O1774" s="163">
        <f t="shared" ref="O1774:Q1774" si="1778">rank(I1774,I:I)</f>
        <v>3528</v>
      </c>
      <c r="P1774" s="163">
        <f t="shared" si="1778"/>
        <v>3295</v>
      </c>
      <c r="Q1774" s="163">
        <f t="shared" si="1778"/>
        <v>3182</v>
      </c>
      <c r="R1774" s="163">
        <f>IFERROR(__xludf.DUMMYFUNCTION("RANK(M1774,filter(M:M,C:C=C1774))"),383.0)</f>
        <v>383</v>
      </c>
      <c r="S1774" s="161" t="b">
        <f t="shared" si="5"/>
        <v>0</v>
      </c>
      <c r="T1774" s="161" t="b">
        <f t="array" ref="T1774">index('Query Tool'!B:B,match(H1774,'Query Tool'!C:C,0))</f>
        <v>1</v>
      </c>
      <c r="U1774" s="161" t="b">
        <f t="array" ref="U1774">index('Query Tool'!B:B,match(C1774,'Query Tool'!C:C,0))</f>
        <v>0</v>
      </c>
      <c r="V1774" s="161" t="b">
        <f>F1774&gt;='Query Tool'!C$32</f>
        <v>0</v>
      </c>
      <c r="W1774" s="161" t="b">
        <f t="array" ref="W1774">index(Dropdowns!B:B,match(I1774,Dropdowns!A:A,0))</f>
        <v>1</v>
      </c>
      <c r="X1774" s="161" t="b">
        <f t="array" ref="X1774">index('Query Tool'!B:B,match(D1774,'Query Tool'!C:C,0))</f>
        <v>1</v>
      </c>
      <c r="Y1774" s="161" t="str">
        <f t="shared" si="6"/>
        <v>youngja01,2016-17</v>
      </c>
      <c r="Z1774" s="168">
        <f t="array" ref="Z1774">iferror(index(I:I,match($A1774&amp;","&amp;index('Year Conversion'!$A:$A,match($C1774,'Year Conversion'!$B:$B,0)),$Y:$Y,0))-I1774,"")</f>
        <v>1</v>
      </c>
      <c r="AA1774" s="168">
        <f t="array" ref="AA1774">iferror(index(J:J,match($A1774&amp;","&amp;index('Year Conversion'!$A:$A,match($C1774,'Year Conversion'!$B:$B,0)),$Y:$Y,0))-J1774,"")</f>
        <v>0.5778477578</v>
      </c>
      <c r="AB1774" s="168">
        <f t="array" ref="AB1774">iferror(index(K:K,match($A1774&amp;","&amp;index('Year Conversion'!$A:$A,match($C1774,'Year Conversion'!$B:$B,0)),$Y:$Y,0))-K1774,"")</f>
        <v>0.968983442</v>
      </c>
      <c r="AC1774" s="168" t="str">
        <f t="shared" si="7"/>
        <v>BOS,2016-17</v>
      </c>
    </row>
    <row r="1775">
      <c r="A1775" s="161" t="str">
        <f>IFERROR(__xludf.DUMMYFUNCTION("""COMPUTED_VALUE"""),"grantje01")</f>
        <v>grantje01</v>
      </c>
      <c r="B1775" s="161" t="str">
        <f>IFERROR(__xludf.DUMMYFUNCTION("""COMPUTED_VALUE"""),"Jerami Grant")</f>
        <v>Jerami Grant</v>
      </c>
      <c r="C1775" s="162" t="str">
        <f>IFERROR(__xludf.DUMMYFUNCTION("""COMPUTED_VALUE"""),"2016-17")</f>
        <v>2016-17</v>
      </c>
      <c r="D1775" s="163" t="str">
        <f>IFERROR(__xludf.DUMMYFUNCTION("""COMPUTED_VALUE"""),"TOT")</f>
        <v>TOT</v>
      </c>
      <c r="E1775" s="164" t="str">
        <f>IFERROR(__xludf.DUMMYFUNCTION("""COMPUTED_VALUE"""),"Stationary Shooter")</f>
        <v>Stationary Shooter</v>
      </c>
      <c r="F1775" s="164">
        <f>IFERROR(__xludf.DUMMYFUNCTION("""COMPUTED_VALUE"""),1531.00166666667)</f>
        <v>1531.001667</v>
      </c>
      <c r="G1775" s="163">
        <f>IFERROR(__xludf.DUMMYFUNCTION("""COMPUTED_VALUE"""),80.0)</f>
        <v>80</v>
      </c>
      <c r="H1775" s="163" t="str">
        <f>IFERROR(__xludf.DUMMYFUNCTION("""COMPUTED_VALUE"""),"PF")</f>
        <v>PF</v>
      </c>
      <c r="I1775" s="163">
        <f>IFERROR(__xludf.DUMMYFUNCTION("""COMPUTED_VALUE"""),22.0)</f>
        <v>22</v>
      </c>
      <c r="J1775" s="165">
        <f>IFERROR(__xludf.DUMMYFUNCTION("""COMPUTED_VALUE"""),-1.8227979117862)</f>
        <v>-1.822797912</v>
      </c>
      <c r="K1775" s="165">
        <f>IFERROR(__xludf.DUMMYFUNCTION("""COMPUTED_VALUE"""),-2.2559464140334)</f>
        <v>-2.255946414</v>
      </c>
      <c r="L1775" s="165">
        <f>IFERROR(__xludf.DUMMYFUNCTION("""COMPUTED_VALUE"""),0.433148502247199)</f>
        <v>0.4331485022</v>
      </c>
      <c r="M1775" s="166">
        <f t="shared" si="2"/>
        <v>0.4874647596</v>
      </c>
      <c r="N1775" s="167">
        <f t="shared" si="3"/>
        <v>19.13752083</v>
      </c>
      <c r="O1775" s="163">
        <f t="shared" ref="O1775:Q1775" si="1779">rank(I1775,I:I)</f>
        <v>3178</v>
      </c>
      <c r="P1775" s="163">
        <f t="shared" si="1779"/>
        <v>3360</v>
      </c>
      <c r="Q1775" s="163">
        <f t="shared" si="1779"/>
        <v>3821</v>
      </c>
      <c r="R1775" s="163">
        <f>IFERROR(__xludf.DUMMYFUNCTION("RANK(M1775,filter(M:M,C:C=C1775))"),284.0)</f>
        <v>284</v>
      </c>
      <c r="S1775" s="161" t="b">
        <f t="shared" si="5"/>
        <v>0</v>
      </c>
      <c r="T1775" s="161" t="b">
        <f t="array" ref="T1775">index('Query Tool'!B:B,match(H1775,'Query Tool'!C:C,0))</f>
        <v>1</v>
      </c>
      <c r="U1775" s="161" t="b">
        <f t="array" ref="U1775">index('Query Tool'!B:B,match(C1775,'Query Tool'!C:C,0))</f>
        <v>0</v>
      </c>
      <c r="V1775" s="161" t="b">
        <f>F1775&gt;='Query Tool'!C$32</f>
        <v>1</v>
      </c>
      <c r="W1775" s="161" t="b">
        <f t="array" ref="W1775">index(Dropdowns!B:B,match(I1775,Dropdowns!A:A,0))</f>
        <v>1</v>
      </c>
      <c r="X1775" s="161" t="b">
        <f t="array" ref="X1775">index('Query Tool'!B:B,match(D1775,'Query Tool'!C:C,0))</f>
        <v>1</v>
      </c>
      <c r="Y1775" s="161" t="str">
        <f t="shared" si="6"/>
        <v>grantje01,2016-17</v>
      </c>
      <c r="Z1775" s="168">
        <f t="array" ref="Z1775">iferror(index(I:I,match($A1775&amp;","&amp;index('Year Conversion'!$A:$A,match($C1775,'Year Conversion'!$B:$B,0)),$Y:$Y,0))-I1775,"")</f>
        <v>1</v>
      </c>
      <c r="AA1775" s="168">
        <f t="array" ref="AA1775">iferror(index(J:J,match($A1775&amp;","&amp;index('Year Conversion'!$A:$A,match($C1775,'Year Conversion'!$B:$B,0)),$Y:$Y,0))-J1775,"")</f>
        <v>2.065353869</v>
      </c>
      <c r="AB1775" s="168">
        <f t="array" ref="AB1775">iferror(index(K:K,match($A1775&amp;","&amp;index('Year Conversion'!$A:$A,match($C1775,'Year Conversion'!$B:$B,0)),$Y:$Y,0))-K1775,"")</f>
        <v>1.969948227</v>
      </c>
      <c r="AC1775" s="168" t="str">
        <f t="shared" si="7"/>
        <v>TOT,2016-17</v>
      </c>
    </row>
    <row r="1776">
      <c r="A1776" s="161" t="str">
        <f>IFERROR(__xludf.DUMMYFUNCTION("""COMPUTED_VALUE"""),"harrijo01")</f>
        <v>harrijo01</v>
      </c>
      <c r="B1776" s="161" t="str">
        <f>IFERROR(__xludf.DUMMYFUNCTION("""COMPUTED_VALUE"""),"Joe Harris")</f>
        <v>Joe Harris</v>
      </c>
      <c r="C1776" s="162" t="str">
        <f>IFERROR(__xludf.DUMMYFUNCTION("""COMPUTED_VALUE"""),"2016-17")</f>
        <v>2016-17</v>
      </c>
      <c r="D1776" s="163" t="str">
        <f>IFERROR(__xludf.DUMMYFUNCTION("""COMPUTED_VALUE"""),"BRK")</f>
        <v>BRK</v>
      </c>
      <c r="E1776" s="164" t="str">
        <f>IFERROR(__xludf.DUMMYFUNCTION("""COMPUTED_VALUE"""),"Movement Shooter")</f>
        <v>Movement Shooter</v>
      </c>
      <c r="F1776" s="164">
        <f>IFERROR(__xludf.DUMMYFUNCTION("""COMPUTED_VALUE"""),1138.375)</f>
        <v>1138.375</v>
      </c>
      <c r="G1776" s="163">
        <f>IFERROR(__xludf.DUMMYFUNCTION("""COMPUTED_VALUE"""),52.0)</f>
        <v>52</v>
      </c>
      <c r="H1776" s="163" t="str">
        <f>IFERROR(__xludf.DUMMYFUNCTION("""COMPUTED_VALUE"""),"SG")</f>
        <v>SG</v>
      </c>
      <c r="I1776" s="163">
        <f>IFERROR(__xludf.DUMMYFUNCTION("""COMPUTED_VALUE"""),25.0)</f>
        <v>25</v>
      </c>
      <c r="J1776" s="165">
        <f>IFERROR(__xludf.DUMMYFUNCTION("""COMPUTED_VALUE"""),-3.0458893438011)</f>
        <v>-3.045889344</v>
      </c>
      <c r="K1776" s="165">
        <f>IFERROR(__xludf.DUMMYFUNCTION("""COMPUTED_VALUE"""),-1.4942415089031)</f>
        <v>-1.494241509</v>
      </c>
      <c r="L1776" s="165">
        <f>IFERROR(__xludf.DUMMYFUNCTION("""COMPUTED_VALUE"""),-1.551647834898)</f>
        <v>-1.551647835</v>
      </c>
      <c r="M1776" s="166">
        <f t="shared" si="2"/>
        <v>-0.5529966838</v>
      </c>
      <c r="N1776" s="167">
        <f t="shared" si="3"/>
        <v>21.89182692</v>
      </c>
      <c r="O1776" s="163">
        <f t="shared" ref="O1776:Q1776" si="1780">rank(I1776,I:I)</f>
        <v>1995</v>
      </c>
      <c r="P1776" s="163">
        <f t="shared" si="1780"/>
        <v>3894</v>
      </c>
      <c r="Q1776" s="163">
        <f t="shared" si="1780"/>
        <v>3346</v>
      </c>
      <c r="R1776" s="163">
        <f>IFERROR(__xludf.DUMMYFUNCTION("RANK(M1776,filter(M:M,C:C=C1776))"),475.0)</f>
        <v>475</v>
      </c>
      <c r="S1776" s="161" t="b">
        <f t="shared" si="5"/>
        <v>0</v>
      </c>
      <c r="T1776" s="161" t="b">
        <f t="array" ref="T1776">index('Query Tool'!B:B,match(H1776,'Query Tool'!C:C,0))</f>
        <v>1</v>
      </c>
      <c r="U1776" s="161" t="b">
        <f t="array" ref="U1776">index('Query Tool'!B:B,match(C1776,'Query Tool'!C:C,0))</f>
        <v>0</v>
      </c>
      <c r="V1776" s="161" t="b">
        <f>F1776&gt;='Query Tool'!C$32</f>
        <v>1</v>
      </c>
      <c r="W1776" s="161" t="b">
        <f t="array" ref="W1776">index(Dropdowns!B:B,match(I1776,Dropdowns!A:A,0))</f>
        <v>1</v>
      </c>
      <c r="X1776" s="161" t="b">
        <f t="array" ref="X1776">index('Query Tool'!B:B,match(D1776,'Query Tool'!C:C,0))</f>
        <v>1</v>
      </c>
      <c r="Y1776" s="161" t="str">
        <f t="shared" si="6"/>
        <v>harrijo01,2016-17</v>
      </c>
      <c r="Z1776" s="168">
        <f t="array" ref="Z1776">iferror(index(I:I,match($A1776&amp;","&amp;index('Year Conversion'!$A:$A,match($C1776,'Year Conversion'!$B:$B,0)),$Y:$Y,0))-I1776,"")</f>
        <v>1</v>
      </c>
      <c r="AA1776" s="168">
        <f t="array" ref="AA1776">iferror(index(J:J,match($A1776&amp;","&amp;index('Year Conversion'!$A:$A,match($C1776,'Year Conversion'!$B:$B,0)),$Y:$Y,0))-J1776,"")</f>
        <v>1.255864836</v>
      </c>
      <c r="AB1776" s="168">
        <f t="array" ref="AB1776">iferror(index(K:K,match($A1776&amp;","&amp;index('Year Conversion'!$A:$A,match($C1776,'Year Conversion'!$B:$B,0)),$Y:$Y,0))-K1776,"")</f>
        <v>1.137810494</v>
      </c>
      <c r="AC1776" s="168" t="str">
        <f t="shared" si="7"/>
        <v>BRK,2016-17</v>
      </c>
    </row>
    <row r="1777">
      <c r="A1777" s="161" t="str">
        <f>IFERROR(__xludf.DUMMYFUNCTION("""COMPUTED_VALUE"""),"mcderdo01")</f>
        <v>mcderdo01</v>
      </c>
      <c r="B1777" s="161" t="str">
        <f>IFERROR(__xludf.DUMMYFUNCTION("""COMPUTED_VALUE"""),"Doug McDermott")</f>
        <v>Doug McDermott</v>
      </c>
      <c r="C1777" s="162" t="str">
        <f>IFERROR(__xludf.DUMMYFUNCTION("""COMPUTED_VALUE"""),"2016-17")</f>
        <v>2016-17</v>
      </c>
      <c r="D1777" s="163" t="str">
        <f>IFERROR(__xludf.DUMMYFUNCTION("""COMPUTED_VALUE"""),"TOT")</f>
        <v>TOT</v>
      </c>
      <c r="E1777" s="164" t="str">
        <f>IFERROR(__xludf.DUMMYFUNCTION("""COMPUTED_VALUE"""),"Off Screen Shooter")</f>
        <v>Off Screen Shooter</v>
      </c>
      <c r="F1777" s="164">
        <f>IFERROR(__xludf.DUMMYFUNCTION("""COMPUTED_VALUE"""),1507.72666666667)</f>
        <v>1507.726667</v>
      </c>
      <c r="G1777" s="163">
        <f>IFERROR(__xludf.DUMMYFUNCTION("""COMPUTED_VALUE"""),66.0)</f>
        <v>66</v>
      </c>
      <c r="H1777" s="163" t="str">
        <f>IFERROR(__xludf.DUMMYFUNCTION("""COMPUTED_VALUE"""),"SF")</f>
        <v>SF</v>
      </c>
      <c r="I1777" s="163">
        <f>IFERROR(__xludf.DUMMYFUNCTION("""COMPUTED_VALUE"""),25.0)</f>
        <v>25</v>
      </c>
      <c r="J1777" s="165">
        <f>IFERROR(__xludf.DUMMYFUNCTION("""COMPUTED_VALUE"""),-2.48469802969582)</f>
        <v>-2.48469803</v>
      </c>
      <c r="K1777" s="165">
        <f>IFERROR(__xludf.DUMMYFUNCTION("""COMPUTED_VALUE"""),-0.0560375433892644)</f>
        <v>-0.05603754339</v>
      </c>
      <c r="L1777" s="165">
        <f>IFERROR(__xludf.DUMMYFUNCTION("""COMPUTED_VALUE"""),-2.42866048630655)</f>
        <v>-2.428660486</v>
      </c>
      <c r="M1777" s="166">
        <f t="shared" si="2"/>
        <v>-0.1798274291</v>
      </c>
      <c r="N1777" s="167">
        <f t="shared" si="3"/>
        <v>22.84434343</v>
      </c>
      <c r="O1777" s="163">
        <f t="shared" ref="O1777:Q1777" si="1781">rank(I1777,I:I)</f>
        <v>1995</v>
      </c>
      <c r="P1777" s="163">
        <f t="shared" si="1781"/>
        <v>3749</v>
      </c>
      <c r="Q1777" s="163">
        <f t="shared" si="1781"/>
        <v>1286</v>
      </c>
      <c r="R1777" s="163">
        <f>IFERROR(__xludf.DUMMYFUNCTION("RANK(M1777,filter(M:M,C:C=C1777))"),463.0)</f>
        <v>463</v>
      </c>
      <c r="S1777" s="161" t="b">
        <f t="shared" si="5"/>
        <v>0</v>
      </c>
      <c r="T1777" s="161" t="b">
        <f t="array" ref="T1777">index('Query Tool'!B:B,match(H1777,'Query Tool'!C:C,0))</f>
        <v>1</v>
      </c>
      <c r="U1777" s="161" t="b">
        <f t="array" ref="U1777">index('Query Tool'!B:B,match(C1777,'Query Tool'!C:C,0))</f>
        <v>0</v>
      </c>
      <c r="V1777" s="161" t="b">
        <f>F1777&gt;='Query Tool'!C$32</f>
        <v>1</v>
      </c>
      <c r="W1777" s="161" t="b">
        <f t="array" ref="W1777">index(Dropdowns!B:B,match(I1777,Dropdowns!A:A,0))</f>
        <v>1</v>
      </c>
      <c r="X1777" s="161" t="b">
        <f t="array" ref="X1777">index('Query Tool'!B:B,match(D1777,'Query Tool'!C:C,0))</f>
        <v>1</v>
      </c>
      <c r="Y1777" s="161" t="str">
        <f t="shared" si="6"/>
        <v>mcderdo01,2016-17</v>
      </c>
      <c r="Z1777" s="168">
        <f t="array" ref="Z1777">iferror(index(I:I,match($A1777&amp;","&amp;index('Year Conversion'!$A:$A,match($C1777,'Year Conversion'!$B:$B,0)),$Y:$Y,0))-I1777,"")</f>
        <v>1</v>
      </c>
      <c r="AA1777" s="168">
        <f t="array" ref="AA1777">iferror(index(J:J,match($A1777&amp;","&amp;index('Year Conversion'!$A:$A,match($C1777,'Year Conversion'!$B:$B,0)),$Y:$Y,0))-J1777,"")</f>
        <v>0.304141991</v>
      </c>
      <c r="AB1777" s="168">
        <f t="array" ref="AB1777">iferror(index(K:K,match($A1777&amp;","&amp;index('Year Conversion'!$A:$A,match($C1777,'Year Conversion'!$B:$B,0)),$Y:$Y,0))-K1777,"")</f>
        <v>-0.9022654066</v>
      </c>
      <c r="AC1777" s="168" t="str">
        <f t="shared" si="7"/>
        <v>TOT,2016-17</v>
      </c>
    </row>
    <row r="1778">
      <c r="A1778" s="161" t="str">
        <f>IFERROR(__xludf.DUMMYFUNCTION("""COMPUTED_VALUE"""),"kilpase01")</f>
        <v>kilpase01</v>
      </c>
      <c r="B1778" s="161" t="str">
        <f>IFERROR(__xludf.DUMMYFUNCTION("""COMPUTED_VALUE"""),"Sean Kilpatrick")</f>
        <v>Sean Kilpatrick</v>
      </c>
      <c r="C1778" s="162" t="str">
        <f>IFERROR(__xludf.DUMMYFUNCTION("""COMPUTED_VALUE"""),"2016-17")</f>
        <v>2016-17</v>
      </c>
      <c r="D1778" s="163" t="str">
        <f>IFERROR(__xludf.DUMMYFUNCTION("""COMPUTED_VALUE"""),"BRK")</f>
        <v>BRK</v>
      </c>
      <c r="E1778" s="164" t="str">
        <f>IFERROR(__xludf.DUMMYFUNCTION("""COMPUTED_VALUE"""),"Secondary Ball Handler")</f>
        <v>Secondary Ball Handler</v>
      </c>
      <c r="F1778" s="164">
        <f>IFERROR(__xludf.DUMMYFUNCTION("""COMPUTED_VALUE"""),1753.55666666667)</f>
        <v>1753.556667</v>
      </c>
      <c r="G1778" s="163">
        <f>IFERROR(__xludf.DUMMYFUNCTION("""COMPUTED_VALUE"""),70.0)</f>
        <v>70</v>
      </c>
      <c r="H1778" s="163" t="str">
        <f>IFERROR(__xludf.DUMMYFUNCTION("""COMPUTED_VALUE"""),"SG")</f>
        <v>SG</v>
      </c>
      <c r="I1778" s="163">
        <f>IFERROR(__xludf.DUMMYFUNCTION("""COMPUTED_VALUE"""),27.0)</f>
        <v>27</v>
      </c>
      <c r="J1778" s="165">
        <f>IFERROR(__xludf.DUMMYFUNCTION("""COMPUTED_VALUE"""),-2.41632347066415)</f>
        <v>-2.416323471</v>
      </c>
      <c r="K1778" s="165">
        <f>IFERROR(__xludf.DUMMYFUNCTION("""COMPUTED_VALUE"""),-0.761750078979422)</f>
        <v>-0.761750079</v>
      </c>
      <c r="L1778" s="165">
        <f>IFERROR(__xludf.DUMMYFUNCTION("""COMPUTED_VALUE"""),-1.65457339168472)</f>
        <v>-1.654573392</v>
      </c>
      <c r="M1778" s="166">
        <f t="shared" si="2"/>
        <v>-0.1303031478</v>
      </c>
      <c r="N1778" s="167">
        <f t="shared" si="3"/>
        <v>25.05080952</v>
      </c>
      <c r="O1778" s="163">
        <f t="shared" ref="O1778:Q1778" si="1782">rank(I1778,I:I)</f>
        <v>1366</v>
      </c>
      <c r="P1778" s="163">
        <f t="shared" si="1782"/>
        <v>3726</v>
      </c>
      <c r="Q1778" s="163">
        <f t="shared" si="1782"/>
        <v>2500</v>
      </c>
      <c r="R1778" s="163">
        <f>IFERROR(__xludf.DUMMYFUNCTION("RANK(M1778,filter(M:M,C:C=C1778))"),461.0)</f>
        <v>461</v>
      </c>
      <c r="S1778" s="161" t="b">
        <f t="shared" si="5"/>
        <v>0</v>
      </c>
      <c r="T1778" s="161" t="b">
        <f t="array" ref="T1778">index('Query Tool'!B:B,match(H1778,'Query Tool'!C:C,0))</f>
        <v>1</v>
      </c>
      <c r="U1778" s="161" t="b">
        <f t="array" ref="U1778">index('Query Tool'!B:B,match(C1778,'Query Tool'!C:C,0))</f>
        <v>0</v>
      </c>
      <c r="V1778" s="161" t="b">
        <f>F1778&gt;='Query Tool'!C$32</f>
        <v>1</v>
      </c>
      <c r="W1778" s="161" t="b">
        <f t="array" ref="W1778">index(Dropdowns!B:B,match(I1778,Dropdowns!A:A,0))</f>
        <v>1</v>
      </c>
      <c r="X1778" s="161" t="b">
        <f t="array" ref="X1778">index('Query Tool'!B:B,match(D1778,'Query Tool'!C:C,0))</f>
        <v>1</v>
      </c>
      <c r="Y1778" s="161" t="str">
        <f t="shared" si="6"/>
        <v>kilpase01,2016-17</v>
      </c>
      <c r="Z1778" s="168">
        <f t="array" ref="Z1778">iferror(index(I:I,match($A1778&amp;","&amp;index('Year Conversion'!$A:$A,match($C1778,'Year Conversion'!$B:$B,0)),$Y:$Y,0))-I1778,"")</f>
        <v>1</v>
      </c>
      <c r="AA1778" s="168">
        <f t="array" ref="AA1778">iferror(index(J:J,match($A1778&amp;","&amp;index('Year Conversion'!$A:$A,match($C1778,'Year Conversion'!$B:$B,0)),$Y:$Y,0))-J1778,"")</f>
        <v>1.295447869</v>
      </c>
      <c r="AB1778" s="168">
        <f t="array" ref="AB1778">iferror(index(K:K,match($A1778&amp;","&amp;index('Year Conversion'!$A:$A,match($C1778,'Year Conversion'!$B:$B,0)),$Y:$Y,0))-K1778,"")</f>
        <v>0.6327824106</v>
      </c>
      <c r="AC1778" s="168" t="str">
        <f t="shared" si="7"/>
        <v>BRK,2016-17</v>
      </c>
    </row>
    <row r="1779">
      <c r="A1779" s="161" t="str">
        <f>IFERROR(__xludf.DUMMYFUNCTION("""COMPUTED_VALUE"""),"gordoaa01")</f>
        <v>gordoaa01</v>
      </c>
      <c r="B1779" s="161" t="str">
        <f>IFERROR(__xludf.DUMMYFUNCTION("""COMPUTED_VALUE"""),"Aaron Gordon")</f>
        <v>Aaron Gordon</v>
      </c>
      <c r="C1779" s="162" t="str">
        <f>IFERROR(__xludf.DUMMYFUNCTION("""COMPUTED_VALUE"""),"2016-17")</f>
        <v>2016-17</v>
      </c>
      <c r="D1779" s="163" t="str">
        <f>IFERROR(__xludf.DUMMYFUNCTION("""COMPUTED_VALUE"""),"ORL")</f>
        <v>ORL</v>
      </c>
      <c r="E1779" s="164" t="str">
        <f>IFERROR(__xludf.DUMMYFUNCTION("""COMPUTED_VALUE"""),"Athletic Finisher")</f>
        <v>Athletic Finisher</v>
      </c>
      <c r="F1779" s="164">
        <f>IFERROR(__xludf.DUMMYFUNCTION("""COMPUTED_VALUE"""),2297.965)</f>
        <v>2297.965</v>
      </c>
      <c r="G1779" s="163">
        <f>IFERROR(__xludf.DUMMYFUNCTION("""COMPUTED_VALUE"""),80.0)</f>
        <v>80</v>
      </c>
      <c r="H1779" s="163" t="str">
        <f>IFERROR(__xludf.DUMMYFUNCTION("""COMPUTED_VALUE"""),"SF")</f>
        <v>SF</v>
      </c>
      <c r="I1779" s="163">
        <f>IFERROR(__xludf.DUMMYFUNCTION("""COMPUTED_VALUE"""),21.0)</f>
        <v>21</v>
      </c>
      <c r="J1779" s="165">
        <f>IFERROR(__xludf.DUMMYFUNCTION("""COMPUTED_VALUE"""),0.349649194665486)</f>
        <v>0.3496491947</v>
      </c>
      <c r="K1779" s="165">
        <f>IFERROR(__xludf.DUMMYFUNCTION("""COMPUTED_VALUE"""),0.964942254378989)</f>
        <v>0.9649422544</v>
      </c>
      <c r="L1779" s="165">
        <f>IFERROR(__xludf.DUMMYFUNCTION("""COMPUTED_VALUE"""),-0.615293059713503)</f>
        <v>-0.6152930597</v>
      </c>
      <c r="M1779" s="166">
        <f t="shared" si="2"/>
        <v>4.084303181</v>
      </c>
      <c r="N1779" s="167">
        <f t="shared" si="3"/>
        <v>28.7245625</v>
      </c>
      <c r="O1779" s="163">
        <f t="shared" ref="O1779:Q1779" si="1783">rank(I1779,I:I)</f>
        <v>3528</v>
      </c>
      <c r="P1779" s="163">
        <f t="shared" si="1783"/>
        <v>985</v>
      </c>
      <c r="Q1779" s="163">
        <f t="shared" si="1783"/>
        <v>518</v>
      </c>
      <c r="R1779" s="163">
        <f>IFERROR(__xludf.DUMMYFUNCTION("RANK(M1779,filter(M:M,C:C=C1779))"),80.0)</f>
        <v>80</v>
      </c>
      <c r="S1779" s="161" t="b">
        <f t="shared" si="5"/>
        <v>0</v>
      </c>
      <c r="T1779" s="161" t="b">
        <f t="array" ref="T1779">index('Query Tool'!B:B,match(H1779,'Query Tool'!C:C,0))</f>
        <v>1</v>
      </c>
      <c r="U1779" s="161" t="b">
        <f t="array" ref="U1779">index('Query Tool'!B:B,match(C1779,'Query Tool'!C:C,0))</f>
        <v>0</v>
      </c>
      <c r="V1779" s="161" t="b">
        <f>F1779&gt;='Query Tool'!C$32</f>
        <v>1</v>
      </c>
      <c r="W1779" s="161" t="b">
        <f t="array" ref="W1779">index(Dropdowns!B:B,match(I1779,Dropdowns!A:A,0))</f>
        <v>1</v>
      </c>
      <c r="X1779" s="161" t="b">
        <f t="array" ref="X1779">index('Query Tool'!B:B,match(D1779,'Query Tool'!C:C,0))</f>
        <v>1</v>
      </c>
      <c r="Y1779" s="161" t="str">
        <f t="shared" si="6"/>
        <v>gordoaa01,2016-17</v>
      </c>
      <c r="Z1779" s="168">
        <f t="array" ref="Z1779">iferror(index(I:I,match($A1779&amp;","&amp;index('Year Conversion'!$A:$A,match($C1779,'Year Conversion'!$B:$B,0)),$Y:$Y,0))-I1779,"")</f>
        <v>1</v>
      </c>
      <c r="AA1779" s="168">
        <f t="array" ref="AA1779">iferror(index(J:J,match($A1779&amp;","&amp;index('Year Conversion'!$A:$A,match($C1779,'Year Conversion'!$B:$B,0)),$Y:$Y,0))-J1779,"")</f>
        <v>0.5846917828</v>
      </c>
      <c r="AB1779" s="168">
        <f t="array" ref="AB1779">iferror(index(K:K,match($A1779&amp;","&amp;index('Year Conversion'!$A:$A,match($C1779,'Year Conversion'!$B:$B,0)),$Y:$Y,0))-K1779,"")</f>
        <v>-0.1917225648</v>
      </c>
      <c r="AC1779" s="168" t="str">
        <f t="shared" si="7"/>
        <v>ORL,2016-17</v>
      </c>
    </row>
    <row r="1780">
      <c r="A1780" s="161" t="str">
        <f>IFERROR(__xludf.DUMMYFUNCTION("""COMPUTED_VALUE"""),"warretj01")</f>
        <v>warretj01</v>
      </c>
      <c r="B1780" s="161" t="str">
        <f>IFERROR(__xludf.DUMMYFUNCTION("""COMPUTED_VALUE"""),"T.J. Warren")</f>
        <v>T.J. Warren</v>
      </c>
      <c r="C1780" s="162" t="str">
        <f>IFERROR(__xludf.DUMMYFUNCTION("""COMPUTED_VALUE"""),"2016-17")</f>
        <v>2016-17</v>
      </c>
      <c r="D1780" s="163" t="str">
        <f>IFERROR(__xludf.DUMMYFUNCTION("""COMPUTED_VALUE"""),"PHO")</f>
        <v>PHO</v>
      </c>
      <c r="E1780" s="164" t="str">
        <f>IFERROR(__xludf.DUMMYFUNCTION("""COMPUTED_VALUE"""),"Athletic Finisher")</f>
        <v>Athletic Finisher</v>
      </c>
      <c r="F1780" s="164">
        <f>IFERROR(__xludf.DUMMYFUNCTION("""COMPUTED_VALUE"""),2048.03)</f>
        <v>2048.03</v>
      </c>
      <c r="G1780" s="163">
        <f>IFERROR(__xludf.DUMMYFUNCTION("""COMPUTED_VALUE"""),66.0)</f>
        <v>66</v>
      </c>
      <c r="H1780" s="163" t="str">
        <f>IFERROR(__xludf.DUMMYFUNCTION("""COMPUTED_VALUE"""),"SF")</f>
        <v>SF</v>
      </c>
      <c r="I1780" s="163">
        <f>IFERROR(__xludf.DUMMYFUNCTION("""COMPUTED_VALUE"""),23.0)</f>
        <v>23</v>
      </c>
      <c r="J1780" s="165">
        <f>IFERROR(__xludf.DUMMYFUNCTION("""COMPUTED_VALUE"""),-0.581477137623868)</f>
        <v>-0.5814771376</v>
      </c>
      <c r="K1780" s="165">
        <f>IFERROR(__xludf.DUMMYFUNCTION("""COMPUTED_VALUE"""),0.836341574065909)</f>
        <v>0.8363415741</v>
      </c>
      <c r="L1780" s="165">
        <f>IFERROR(__xludf.DUMMYFUNCTION("""COMPUTED_VALUE"""),-1.41781871168978)</f>
        <v>-1.417818712</v>
      </c>
      <c r="M1780" s="166">
        <f t="shared" si="2"/>
        <v>2.354875552</v>
      </c>
      <c r="N1780" s="167">
        <f t="shared" si="3"/>
        <v>31.03075758</v>
      </c>
      <c r="O1780" s="163">
        <f t="shared" ref="O1780:Q1780" si="1784">rank(I1780,I:I)</f>
        <v>2765</v>
      </c>
      <c r="P1780" s="163">
        <f t="shared" si="1784"/>
        <v>1966</v>
      </c>
      <c r="Q1780" s="163">
        <f t="shared" si="1784"/>
        <v>589</v>
      </c>
      <c r="R1780" s="163">
        <f>IFERROR(__xludf.DUMMYFUNCTION("RANK(M1780,filter(M:M,C:C=C1780))"),138.0)</f>
        <v>138</v>
      </c>
      <c r="S1780" s="161" t="b">
        <f t="shared" si="5"/>
        <v>0</v>
      </c>
      <c r="T1780" s="161" t="b">
        <f t="array" ref="T1780">index('Query Tool'!B:B,match(H1780,'Query Tool'!C:C,0))</f>
        <v>1</v>
      </c>
      <c r="U1780" s="161" t="b">
        <f t="array" ref="U1780">index('Query Tool'!B:B,match(C1780,'Query Tool'!C:C,0))</f>
        <v>0</v>
      </c>
      <c r="V1780" s="161" t="b">
        <f>F1780&gt;='Query Tool'!C$32</f>
        <v>1</v>
      </c>
      <c r="W1780" s="161" t="b">
        <f t="array" ref="W1780">index(Dropdowns!B:B,match(I1780,Dropdowns!A:A,0))</f>
        <v>1</v>
      </c>
      <c r="X1780" s="161" t="b">
        <f t="array" ref="X1780">index('Query Tool'!B:B,match(D1780,'Query Tool'!C:C,0))</f>
        <v>1</v>
      </c>
      <c r="Y1780" s="161" t="str">
        <f t="shared" si="6"/>
        <v>warretj01,2016-17</v>
      </c>
      <c r="Z1780" s="168">
        <f t="array" ref="Z1780">iferror(index(I:I,match($A1780&amp;","&amp;index('Year Conversion'!$A:$A,match($C1780,'Year Conversion'!$B:$B,0)),$Y:$Y,0))-I1780,"")</f>
        <v>1</v>
      </c>
      <c r="AA1780" s="168">
        <f t="array" ref="AA1780">iferror(index(J:J,match($A1780&amp;","&amp;index('Year Conversion'!$A:$A,match($C1780,'Year Conversion'!$B:$B,0)),$Y:$Y,0))-J1780,"")</f>
        <v>-0.6542854171</v>
      </c>
      <c r="AB1780" s="168">
        <f t="array" ref="AB1780">iferror(index(K:K,match($A1780&amp;","&amp;index('Year Conversion'!$A:$A,match($C1780,'Year Conversion'!$B:$B,0)),$Y:$Y,0))-K1780,"")</f>
        <v>-0.500998843</v>
      </c>
      <c r="AC1780" s="168" t="str">
        <f t="shared" si="7"/>
        <v>PHO,2016-17</v>
      </c>
    </row>
    <row r="1781">
      <c r="A1781" s="161" t="str">
        <f>IFERROR(__xludf.DUMMYFUNCTION("""COMPUTED_VALUE"""),"pattela01")</f>
        <v>pattela01</v>
      </c>
      <c r="B1781" s="161" t="str">
        <f>IFERROR(__xludf.DUMMYFUNCTION("""COMPUTED_VALUE"""),"Lamar Patterson")</f>
        <v>Lamar Patterson</v>
      </c>
      <c r="C1781" s="162" t="str">
        <f>IFERROR(__xludf.DUMMYFUNCTION("""COMPUTED_VALUE"""),"2016-17")</f>
        <v>2016-17</v>
      </c>
      <c r="D1781" s="163" t="str">
        <f>IFERROR(__xludf.DUMMYFUNCTION("""COMPUTED_VALUE"""),"ATL")</f>
        <v>ATL</v>
      </c>
      <c r="E1781" s="164" t="str">
        <f>IFERROR(__xludf.DUMMYFUNCTION("""COMPUTED_VALUE"""),"Secondary Ball Handler")</f>
        <v>Secondary Ball Handler</v>
      </c>
      <c r="F1781" s="164">
        <f>IFERROR(__xludf.DUMMYFUNCTION("""COMPUTED_VALUE"""),40.3666666666666)</f>
        <v>40.36666667</v>
      </c>
      <c r="G1781" s="163">
        <f>IFERROR(__xludf.DUMMYFUNCTION("""COMPUTED_VALUE"""),5.0)</f>
        <v>5</v>
      </c>
      <c r="H1781" s="163" t="str">
        <f>IFERROR(__xludf.DUMMYFUNCTION("""COMPUTED_VALUE"""),"SG")</f>
        <v>SG</v>
      </c>
      <c r="I1781" s="163">
        <f>IFERROR(__xludf.DUMMYFUNCTION("""COMPUTED_VALUE"""),25.0)</f>
        <v>25</v>
      </c>
      <c r="J1781" s="165">
        <f>IFERROR(__xludf.DUMMYFUNCTION("""COMPUTED_VALUE"""),-0.170636723188213)</f>
        <v>-0.1706367232</v>
      </c>
      <c r="K1781" s="165">
        <f>IFERROR(__xludf.DUMMYFUNCTION("""COMPUTED_VALUE"""),-0.188734186500129)</f>
        <v>-0.1887341865</v>
      </c>
      <c r="L1781" s="165">
        <f>IFERROR(__xludf.DUMMYFUNCTION("""COMPUTED_VALUE"""),0.0180974633119159)</f>
        <v>0.01809746331</v>
      </c>
      <c r="M1781" s="166">
        <f t="shared" si="2"/>
        <v>0.05758828874</v>
      </c>
      <c r="N1781" s="167">
        <f t="shared" si="3"/>
        <v>8.073333333</v>
      </c>
      <c r="O1781" s="163">
        <f t="shared" ref="O1781:Q1781" si="1785">rank(I1781,I:I)</f>
        <v>1995</v>
      </c>
      <c r="P1781" s="163">
        <f t="shared" si="1785"/>
        <v>1472</v>
      </c>
      <c r="Q1781" s="163">
        <f t="shared" si="1785"/>
        <v>1549</v>
      </c>
      <c r="R1781" s="163">
        <f>IFERROR(__xludf.DUMMYFUNCTION("RANK(M1781,filter(M:M,C:C=C1781))"),395.0)</f>
        <v>395</v>
      </c>
      <c r="S1781" s="161" t="b">
        <f t="shared" si="5"/>
        <v>0</v>
      </c>
      <c r="T1781" s="161" t="b">
        <f t="array" ref="T1781">index('Query Tool'!B:B,match(H1781,'Query Tool'!C:C,0))</f>
        <v>1</v>
      </c>
      <c r="U1781" s="161" t="b">
        <f t="array" ref="U1781">index('Query Tool'!B:B,match(C1781,'Query Tool'!C:C,0))</f>
        <v>0</v>
      </c>
      <c r="V1781" s="161" t="b">
        <f>F1781&gt;='Query Tool'!C$32</f>
        <v>0</v>
      </c>
      <c r="W1781" s="161" t="b">
        <f t="array" ref="W1781">index(Dropdowns!B:B,match(I1781,Dropdowns!A:A,0))</f>
        <v>1</v>
      </c>
      <c r="X1781" s="161" t="b">
        <f t="array" ref="X1781">index('Query Tool'!B:B,match(D1781,'Query Tool'!C:C,0))</f>
        <v>1</v>
      </c>
      <c r="Y1781" s="161" t="str">
        <f t="shared" si="6"/>
        <v>pattela01,2016-17</v>
      </c>
      <c r="Z1781" s="168" t="str">
        <f t="array" ref="Z1781">iferror(index(I:I,match($A1781&amp;","&amp;index('Year Conversion'!$A:$A,match($C1781,'Year Conversion'!$B:$B,0)),$Y:$Y,0))-I1781,"")</f>
        <v/>
      </c>
      <c r="AA1781" s="168" t="str">
        <f t="array" ref="AA1781">iferror(index(J:J,match($A1781&amp;","&amp;index('Year Conversion'!$A:$A,match($C1781,'Year Conversion'!$B:$B,0)),$Y:$Y,0))-J1781,"")</f>
        <v/>
      </c>
      <c r="AB1781" s="168" t="str">
        <f t="array" ref="AB1781">iferror(index(K:K,match($A1781&amp;","&amp;index('Year Conversion'!$A:$A,match($C1781,'Year Conversion'!$B:$B,0)),$Y:$Y,0))-K1781,"")</f>
        <v/>
      </c>
      <c r="AC1781" s="168" t="str">
        <f t="shared" si="7"/>
        <v>ATL,2016-17</v>
      </c>
    </row>
    <row r="1782">
      <c r="A1782" s="161" t="str">
        <f>IFERROR(__xludf.DUMMYFUNCTION("""COMPUTED_VALUE"""),"smartma01")</f>
        <v>smartma01</v>
      </c>
      <c r="B1782" s="161" t="str">
        <f>IFERROR(__xludf.DUMMYFUNCTION("""COMPUTED_VALUE"""),"Marcus Smart")</f>
        <v>Marcus Smart</v>
      </c>
      <c r="C1782" s="162" t="str">
        <f>IFERROR(__xludf.DUMMYFUNCTION("""COMPUTED_VALUE"""),"2016-17")</f>
        <v>2016-17</v>
      </c>
      <c r="D1782" s="163" t="str">
        <f>IFERROR(__xludf.DUMMYFUNCTION("""COMPUTED_VALUE"""),"BOS")</f>
        <v>BOS</v>
      </c>
      <c r="E1782" s="164" t="str">
        <f>IFERROR(__xludf.DUMMYFUNCTION("""COMPUTED_VALUE"""),"Shot Creator")</f>
        <v>Shot Creator</v>
      </c>
      <c r="F1782" s="164">
        <f>IFERROR(__xludf.DUMMYFUNCTION("""COMPUTED_VALUE"""),2399.28833333333)</f>
        <v>2399.288333</v>
      </c>
      <c r="G1782" s="163">
        <f>IFERROR(__xludf.DUMMYFUNCTION("""COMPUTED_VALUE"""),79.0)</f>
        <v>79</v>
      </c>
      <c r="H1782" s="163" t="str">
        <f>IFERROR(__xludf.DUMMYFUNCTION("""COMPUTED_VALUE"""),"SG")</f>
        <v>SG</v>
      </c>
      <c r="I1782" s="163">
        <f>IFERROR(__xludf.DUMMYFUNCTION("""COMPUTED_VALUE"""),22.0)</f>
        <v>22</v>
      </c>
      <c r="J1782" s="165">
        <f>IFERROR(__xludf.DUMMYFUNCTION("""COMPUTED_VALUE"""),0.32344418510768)</f>
        <v>0.3234441851</v>
      </c>
      <c r="K1782" s="165">
        <f>IFERROR(__xludf.DUMMYFUNCTION("""COMPUTED_VALUE"""),0.289954714150239)</f>
        <v>0.2899547142</v>
      </c>
      <c r="L1782" s="165">
        <f>IFERROR(__xludf.DUMMYFUNCTION("""COMPUTED_VALUE"""),0.0334894709574412)</f>
        <v>0.03348947096</v>
      </c>
      <c r="M1782" s="166">
        <f t="shared" si="2"/>
        <v>4.222022297</v>
      </c>
      <c r="N1782" s="167">
        <f t="shared" si="3"/>
        <v>30.3707384</v>
      </c>
      <c r="O1782" s="163">
        <f t="shared" ref="O1782:Q1782" si="1786">rank(I1782,I:I)</f>
        <v>3178</v>
      </c>
      <c r="P1782" s="163">
        <f t="shared" si="1786"/>
        <v>1002</v>
      </c>
      <c r="Q1782" s="163">
        <f t="shared" si="1786"/>
        <v>918</v>
      </c>
      <c r="R1782" s="163">
        <f>IFERROR(__xludf.DUMMYFUNCTION("RANK(M1782,filter(M:M,C:C=C1782))"),74.0)</f>
        <v>74</v>
      </c>
      <c r="S1782" s="161" t="b">
        <f t="shared" si="5"/>
        <v>0</v>
      </c>
      <c r="T1782" s="161" t="b">
        <f t="array" ref="T1782">index('Query Tool'!B:B,match(H1782,'Query Tool'!C:C,0))</f>
        <v>1</v>
      </c>
      <c r="U1782" s="161" t="b">
        <f t="array" ref="U1782">index('Query Tool'!B:B,match(C1782,'Query Tool'!C:C,0))</f>
        <v>0</v>
      </c>
      <c r="V1782" s="161" t="b">
        <f>F1782&gt;='Query Tool'!C$32</f>
        <v>1</v>
      </c>
      <c r="W1782" s="161" t="b">
        <f t="array" ref="W1782">index(Dropdowns!B:B,match(I1782,Dropdowns!A:A,0))</f>
        <v>1</v>
      </c>
      <c r="X1782" s="161" t="b">
        <f t="array" ref="X1782">index('Query Tool'!B:B,match(D1782,'Query Tool'!C:C,0))</f>
        <v>1</v>
      </c>
      <c r="Y1782" s="161" t="str">
        <f t="shared" si="6"/>
        <v>smartma01,2016-17</v>
      </c>
      <c r="Z1782" s="168">
        <f t="array" ref="Z1782">iferror(index(I:I,match($A1782&amp;","&amp;index('Year Conversion'!$A:$A,match($C1782,'Year Conversion'!$B:$B,0)),$Y:$Y,0))-I1782,"")</f>
        <v>1</v>
      </c>
      <c r="AA1782" s="168">
        <f t="array" ref="AA1782">iferror(index(J:J,match($A1782&amp;","&amp;index('Year Conversion'!$A:$A,match($C1782,'Year Conversion'!$B:$B,0)),$Y:$Y,0))-J1782,"")</f>
        <v>0.3314981898</v>
      </c>
      <c r="AB1782" s="168">
        <f t="array" ref="AB1782">iferror(index(K:K,match($A1782&amp;","&amp;index('Year Conversion'!$A:$A,match($C1782,'Year Conversion'!$B:$B,0)),$Y:$Y,0))-K1782,"")</f>
        <v>-0.3068790349</v>
      </c>
      <c r="AC1782" s="168" t="str">
        <f t="shared" si="7"/>
        <v>BOS,2016-17</v>
      </c>
    </row>
    <row r="1783">
      <c r="A1783" s="161" t="str">
        <f>IFERROR(__xludf.DUMMYFUNCTION("""COMPUTED_VALUE"""),"anderky01")</f>
        <v>anderky01</v>
      </c>
      <c r="B1783" s="161" t="str">
        <f>IFERROR(__xludf.DUMMYFUNCTION("""COMPUTED_VALUE"""),"Kyle Anderson")</f>
        <v>Kyle Anderson</v>
      </c>
      <c r="C1783" s="162" t="str">
        <f>IFERROR(__xludf.DUMMYFUNCTION("""COMPUTED_VALUE"""),"2016-17")</f>
        <v>2016-17</v>
      </c>
      <c r="D1783" s="163" t="str">
        <f>IFERROR(__xludf.DUMMYFUNCTION("""COMPUTED_VALUE"""),"SAS")</f>
        <v>SAS</v>
      </c>
      <c r="E1783" s="164" t="str">
        <f>IFERROR(__xludf.DUMMYFUNCTION("""COMPUTED_VALUE"""),"Athletic Finisher")</f>
        <v>Athletic Finisher</v>
      </c>
      <c r="F1783" s="164">
        <f>IFERROR(__xludf.DUMMYFUNCTION("""COMPUTED_VALUE"""),1020.09166666667)</f>
        <v>1020.091667</v>
      </c>
      <c r="G1783" s="163">
        <f>IFERROR(__xludf.DUMMYFUNCTION("""COMPUTED_VALUE"""),72.0)</f>
        <v>72</v>
      </c>
      <c r="H1783" s="163" t="str">
        <f>IFERROR(__xludf.DUMMYFUNCTION("""COMPUTED_VALUE"""),"SF")</f>
        <v>SF</v>
      </c>
      <c r="I1783" s="163">
        <f>IFERROR(__xludf.DUMMYFUNCTION("""COMPUTED_VALUE"""),23.0)</f>
        <v>23</v>
      </c>
      <c r="J1783" s="165">
        <f>IFERROR(__xludf.DUMMYFUNCTION("""COMPUTED_VALUE"""),0.560497728387968)</f>
        <v>0.5604977284</v>
      </c>
      <c r="K1783" s="165">
        <f>IFERROR(__xludf.DUMMYFUNCTION("""COMPUTED_VALUE"""),-1.2719946763946)</f>
        <v>-1.271994676</v>
      </c>
      <c r="L1783" s="165">
        <f>IFERROR(__xludf.DUMMYFUNCTION("""COMPUTED_VALUE"""),1.83249240478257)</f>
        <v>1.832492405</v>
      </c>
      <c r="M1783" s="166">
        <f t="shared" si="2"/>
        <v>1.957947314</v>
      </c>
      <c r="N1783" s="167">
        <f t="shared" si="3"/>
        <v>14.16793981</v>
      </c>
      <c r="O1783" s="163">
        <f t="shared" ref="O1783:Q1783" si="1787">rank(I1783,I:I)</f>
        <v>2765</v>
      </c>
      <c r="P1783" s="163">
        <f t="shared" si="1787"/>
        <v>863</v>
      </c>
      <c r="Q1783" s="163">
        <f t="shared" si="1787"/>
        <v>3113</v>
      </c>
      <c r="R1783" s="163">
        <f>IFERROR(__xludf.DUMMYFUNCTION("RANK(M1783,filter(M:M,C:C=C1783))"),165.0)</f>
        <v>165</v>
      </c>
      <c r="S1783" s="161" t="b">
        <f t="shared" si="5"/>
        <v>0</v>
      </c>
      <c r="T1783" s="161" t="b">
        <f t="array" ref="T1783">index('Query Tool'!B:B,match(H1783,'Query Tool'!C:C,0))</f>
        <v>1</v>
      </c>
      <c r="U1783" s="161" t="b">
        <f t="array" ref="U1783">index('Query Tool'!B:B,match(C1783,'Query Tool'!C:C,0))</f>
        <v>0</v>
      </c>
      <c r="V1783" s="161" t="b">
        <f>F1783&gt;='Query Tool'!C$32</f>
        <v>1</v>
      </c>
      <c r="W1783" s="161" t="b">
        <f t="array" ref="W1783">index(Dropdowns!B:B,match(I1783,Dropdowns!A:A,0))</f>
        <v>1</v>
      </c>
      <c r="X1783" s="161" t="b">
        <f t="array" ref="X1783">index('Query Tool'!B:B,match(D1783,'Query Tool'!C:C,0))</f>
        <v>1</v>
      </c>
      <c r="Y1783" s="161" t="str">
        <f t="shared" si="6"/>
        <v>anderky01,2016-17</v>
      </c>
      <c r="Z1783" s="168">
        <f t="array" ref="Z1783">iferror(index(I:I,match($A1783&amp;","&amp;index('Year Conversion'!$A:$A,match($C1783,'Year Conversion'!$B:$B,0)),$Y:$Y,0))-I1783,"")</f>
        <v>1</v>
      </c>
      <c r="AA1783" s="168">
        <f t="array" ref="AA1783">iferror(index(J:J,match($A1783&amp;","&amp;index('Year Conversion'!$A:$A,match($C1783,'Year Conversion'!$B:$B,0)),$Y:$Y,0))-J1783,"")</f>
        <v>0.8538886856</v>
      </c>
      <c r="AB1783" s="168">
        <f t="array" ref="AB1783">iferror(index(K:K,match($A1783&amp;","&amp;index('Year Conversion'!$A:$A,match($C1783,'Year Conversion'!$B:$B,0)),$Y:$Y,0))-K1783,"")</f>
        <v>0.3141849166</v>
      </c>
      <c r="AC1783" s="168" t="str">
        <f t="shared" si="7"/>
        <v>SAS,2016-17</v>
      </c>
    </row>
    <row r="1784">
      <c r="A1784" s="161" t="str">
        <f>IFERROR(__xludf.DUMMYFUNCTION("""COMPUTED_VALUE"""),"poweldw01")</f>
        <v>poweldw01</v>
      </c>
      <c r="B1784" s="161" t="str">
        <f>IFERROR(__xludf.DUMMYFUNCTION("""COMPUTED_VALUE"""),"Dwight Powell")</f>
        <v>Dwight Powell</v>
      </c>
      <c r="C1784" s="162" t="str">
        <f>IFERROR(__xludf.DUMMYFUNCTION("""COMPUTED_VALUE"""),"2016-17")</f>
        <v>2016-17</v>
      </c>
      <c r="D1784" s="163" t="str">
        <f>IFERROR(__xludf.DUMMYFUNCTION("""COMPUTED_VALUE"""),"DAL")</f>
        <v>DAL</v>
      </c>
      <c r="E1784" s="164" t="str">
        <f>IFERROR(__xludf.DUMMYFUNCTION("""COMPUTED_VALUE"""),"Roll + Cut Big")</f>
        <v>Roll + Cut Big</v>
      </c>
      <c r="F1784" s="164">
        <f>IFERROR(__xludf.DUMMYFUNCTION("""COMPUTED_VALUE"""),1333.45333333333)</f>
        <v>1333.453333</v>
      </c>
      <c r="G1784" s="163">
        <f>IFERROR(__xludf.DUMMYFUNCTION("""COMPUTED_VALUE"""),77.0)</f>
        <v>77</v>
      </c>
      <c r="H1784" s="163" t="str">
        <f>IFERROR(__xludf.DUMMYFUNCTION("""COMPUTED_VALUE"""),"C")</f>
        <v>C</v>
      </c>
      <c r="I1784" s="163">
        <f>IFERROR(__xludf.DUMMYFUNCTION("""COMPUTED_VALUE"""),25.0)</f>
        <v>25</v>
      </c>
      <c r="J1784" s="165">
        <f>IFERROR(__xludf.DUMMYFUNCTION("""COMPUTED_VALUE"""),-0.695003099598202)</f>
        <v>-0.6950030996</v>
      </c>
      <c r="K1784" s="165">
        <f>IFERROR(__xludf.DUMMYFUNCTION("""COMPUTED_VALUE"""),-0.986600888538198)</f>
        <v>-0.9866008885</v>
      </c>
      <c r="L1784" s="165">
        <f>IFERROR(__xludf.DUMMYFUNCTION("""COMPUTED_VALUE"""),0.291597788939996)</f>
        <v>0.2915977889</v>
      </c>
      <c r="M1784" s="166">
        <f t="shared" si="2"/>
        <v>1.431351231</v>
      </c>
      <c r="N1784" s="167">
        <f t="shared" si="3"/>
        <v>17.31757576</v>
      </c>
      <c r="O1784" s="163">
        <f t="shared" ref="O1784:Q1784" si="1788">rank(I1784,I:I)</f>
        <v>1995</v>
      </c>
      <c r="P1784" s="163">
        <f t="shared" si="1788"/>
        <v>2133</v>
      </c>
      <c r="Q1784" s="163">
        <f t="shared" si="1788"/>
        <v>2783</v>
      </c>
      <c r="R1784" s="163">
        <f>IFERROR(__xludf.DUMMYFUNCTION("RANK(M1784,filter(M:M,C:C=C1784))"),194.0)</f>
        <v>194</v>
      </c>
      <c r="S1784" s="161" t="b">
        <f t="shared" si="5"/>
        <v>0</v>
      </c>
      <c r="T1784" s="161" t="b">
        <f t="array" ref="T1784">index('Query Tool'!B:B,match(H1784,'Query Tool'!C:C,0))</f>
        <v>1</v>
      </c>
      <c r="U1784" s="161" t="b">
        <f t="array" ref="U1784">index('Query Tool'!B:B,match(C1784,'Query Tool'!C:C,0))</f>
        <v>0</v>
      </c>
      <c r="V1784" s="161" t="b">
        <f>F1784&gt;='Query Tool'!C$32</f>
        <v>1</v>
      </c>
      <c r="W1784" s="161" t="b">
        <f t="array" ref="W1784">index(Dropdowns!B:B,match(I1784,Dropdowns!A:A,0))</f>
        <v>1</v>
      </c>
      <c r="X1784" s="161" t="b">
        <f t="array" ref="X1784">index('Query Tool'!B:B,match(D1784,'Query Tool'!C:C,0))</f>
        <v>1</v>
      </c>
      <c r="Y1784" s="161" t="str">
        <f t="shared" si="6"/>
        <v>poweldw01,2016-17</v>
      </c>
      <c r="Z1784" s="168">
        <f t="array" ref="Z1784">iferror(index(I:I,match($A1784&amp;","&amp;index('Year Conversion'!$A:$A,match($C1784,'Year Conversion'!$B:$B,0)),$Y:$Y,0))-I1784,"")</f>
        <v>1</v>
      </c>
      <c r="AA1784" s="168">
        <f t="array" ref="AA1784">iferror(index(J:J,match($A1784&amp;","&amp;index('Year Conversion'!$A:$A,match($C1784,'Year Conversion'!$B:$B,0)),$Y:$Y,0))-J1784,"")</f>
        <v>1.936970344</v>
      </c>
      <c r="AB1784" s="168">
        <f t="array" ref="AB1784">iferror(index(K:K,match($A1784&amp;","&amp;index('Year Conversion'!$A:$A,match($C1784,'Year Conversion'!$B:$B,0)),$Y:$Y,0))-K1784,"")</f>
        <v>0.8935125521</v>
      </c>
      <c r="AC1784" s="168" t="str">
        <f t="shared" si="7"/>
        <v>DAL,2016-17</v>
      </c>
    </row>
    <row r="1785">
      <c r="A1785" s="161" t="str">
        <f>IFERROR(__xludf.DUMMYFUNCTION("""COMPUTED_VALUE"""),"paynead01")</f>
        <v>paynead01</v>
      </c>
      <c r="B1785" s="161" t="str">
        <f>IFERROR(__xludf.DUMMYFUNCTION("""COMPUTED_VALUE"""),"Adreian Payne")</f>
        <v>Adreian Payne</v>
      </c>
      <c r="C1785" s="162" t="str">
        <f>IFERROR(__xludf.DUMMYFUNCTION("""COMPUTED_VALUE"""),"2016-17")</f>
        <v>2016-17</v>
      </c>
      <c r="D1785" s="163" t="str">
        <f>IFERROR(__xludf.DUMMYFUNCTION("""COMPUTED_VALUE"""),"MIN")</f>
        <v>MIN</v>
      </c>
      <c r="E1785" s="164" t="str">
        <f>IFERROR(__xludf.DUMMYFUNCTION("""COMPUTED_VALUE"""),"Stretch Big")</f>
        <v>Stretch Big</v>
      </c>
      <c r="F1785" s="164">
        <f>IFERROR(__xludf.DUMMYFUNCTION("""COMPUTED_VALUE"""),135.271666666667)</f>
        <v>135.2716667</v>
      </c>
      <c r="G1785" s="163">
        <f>IFERROR(__xludf.DUMMYFUNCTION("""COMPUTED_VALUE"""),18.0)</f>
        <v>18</v>
      </c>
      <c r="H1785" s="163" t="str">
        <f>IFERROR(__xludf.DUMMYFUNCTION("""COMPUTED_VALUE"""),"PF")</f>
        <v>PF</v>
      </c>
      <c r="I1785" s="163">
        <f>IFERROR(__xludf.DUMMYFUNCTION("""COMPUTED_VALUE"""),25.0)</f>
        <v>25</v>
      </c>
      <c r="J1785" s="165">
        <f>IFERROR(__xludf.DUMMYFUNCTION("""COMPUTED_VALUE"""),-0.0844281991004938)</f>
        <v>-0.0844281991</v>
      </c>
      <c r="K1785" s="165">
        <f>IFERROR(__xludf.DUMMYFUNCTION("""COMPUTED_VALUE"""),-0.134750469520266)</f>
        <v>-0.1347504695</v>
      </c>
      <c r="L1785" s="165">
        <f>IFERROR(__xludf.DUMMYFUNCTION("""COMPUTED_VALUE"""),0.0503222704197724)</f>
        <v>0.05032227042</v>
      </c>
      <c r="M1785" s="166">
        <f t="shared" si="2"/>
        <v>0.2008441469</v>
      </c>
      <c r="N1785" s="167">
        <f t="shared" si="3"/>
        <v>7.515092593</v>
      </c>
      <c r="O1785" s="163">
        <f t="shared" ref="O1785:Q1785" si="1789">rank(I1785,I:I)</f>
        <v>1995</v>
      </c>
      <c r="P1785" s="163">
        <f t="shared" si="1789"/>
        <v>1372</v>
      </c>
      <c r="Q1785" s="163">
        <f t="shared" si="1789"/>
        <v>1454</v>
      </c>
      <c r="R1785" s="163">
        <f>IFERROR(__xludf.DUMMYFUNCTION("RANK(M1785,filter(M:M,C:C=C1785))"),341.0)</f>
        <v>341</v>
      </c>
      <c r="S1785" s="161" t="b">
        <f t="shared" si="5"/>
        <v>0</v>
      </c>
      <c r="T1785" s="161" t="b">
        <f t="array" ref="T1785">index('Query Tool'!B:B,match(H1785,'Query Tool'!C:C,0))</f>
        <v>1</v>
      </c>
      <c r="U1785" s="161" t="b">
        <f t="array" ref="U1785">index('Query Tool'!B:B,match(C1785,'Query Tool'!C:C,0))</f>
        <v>0</v>
      </c>
      <c r="V1785" s="161" t="b">
        <f>F1785&gt;='Query Tool'!C$32</f>
        <v>0</v>
      </c>
      <c r="W1785" s="161" t="b">
        <f t="array" ref="W1785">index(Dropdowns!B:B,match(I1785,Dropdowns!A:A,0))</f>
        <v>1</v>
      </c>
      <c r="X1785" s="161" t="b">
        <f t="array" ref="X1785">index('Query Tool'!B:B,match(D1785,'Query Tool'!C:C,0))</f>
        <v>1</v>
      </c>
      <c r="Y1785" s="161" t="str">
        <f t="shared" si="6"/>
        <v>paynead01,2016-17</v>
      </c>
      <c r="Z1785" s="168">
        <f t="array" ref="Z1785">iferror(index(I:I,match($A1785&amp;","&amp;index('Year Conversion'!$A:$A,match($C1785,'Year Conversion'!$B:$B,0)),$Y:$Y,0))-I1785,"")</f>
        <v>1</v>
      </c>
      <c r="AA1785" s="168">
        <f t="array" ref="AA1785">iferror(index(J:J,match($A1785&amp;","&amp;index('Year Conversion'!$A:$A,match($C1785,'Year Conversion'!$B:$B,0)),$Y:$Y,0))-J1785,"")</f>
        <v>-0.5149169308</v>
      </c>
      <c r="AB1785" s="168">
        <f t="array" ref="AB1785">iferror(index(K:K,match($A1785&amp;","&amp;index('Year Conversion'!$A:$A,match($C1785,'Year Conversion'!$B:$B,0)),$Y:$Y,0))-K1785,"")</f>
        <v>-0.1884071244</v>
      </c>
      <c r="AC1785" s="168" t="str">
        <f t="shared" si="7"/>
        <v>MIN,2016-17</v>
      </c>
    </row>
    <row r="1786">
      <c r="A1786" s="161" t="str">
        <f>IFERROR(__xludf.DUMMYFUNCTION("""COMPUTED_VALUE"""),"vonleno01")</f>
        <v>vonleno01</v>
      </c>
      <c r="B1786" s="161" t="str">
        <f>IFERROR(__xludf.DUMMYFUNCTION("""COMPUTED_VALUE"""),"Noah Vonleh")</f>
        <v>Noah Vonleh</v>
      </c>
      <c r="C1786" s="162" t="str">
        <f>IFERROR(__xludf.DUMMYFUNCTION("""COMPUTED_VALUE"""),"2016-17")</f>
        <v>2016-17</v>
      </c>
      <c r="D1786" s="163" t="str">
        <f>IFERROR(__xludf.DUMMYFUNCTION("""COMPUTED_VALUE"""),"POR")</f>
        <v>POR</v>
      </c>
      <c r="E1786" s="164" t="str">
        <f>IFERROR(__xludf.DUMMYFUNCTION("""COMPUTED_VALUE"""),"Roll + Cut Big")</f>
        <v>Roll + Cut Big</v>
      </c>
      <c r="F1786" s="164">
        <f>IFERROR(__xludf.DUMMYFUNCTION("""COMPUTED_VALUE"""),1265.375)</f>
        <v>1265.375</v>
      </c>
      <c r="G1786" s="163">
        <f>IFERROR(__xludf.DUMMYFUNCTION("""COMPUTED_VALUE"""),74.0)</f>
        <v>74</v>
      </c>
      <c r="H1786" s="163" t="str">
        <f>IFERROR(__xludf.DUMMYFUNCTION("""COMPUTED_VALUE"""),"PF")</f>
        <v>PF</v>
      </c>
      <c r="I1786" s="163">
        <f>IFERROR(__xludf.DUMMYFUNCTION("""COMPUTED_VALUE"""),21.0)</f>
        <v>21</v>
      </c>
      <c r="J1786" s="165">
        <f>IFERROR(__xludf.DUMMYFUNCTION("""COMPUTED_VALUE"""),-1.58686976401718)</f>
        <v>-1.586869764</v>
      </c>
      <c r="K1786" s="165">
        <f>IFERROR(__xludf.DUMMYFUNCTION("""COMPUTED_VALUE"""),-2.81473030532915)</f>
        <v>-2.814730305</v>
      </c>
      <c r="L1786" s="165">
        <f>IFERROR(__xludf.DUMMYFUNCTION("""COMPUTED_VALUE"""),1.22786054131197)</f>
        <v>1.227860541</v>
      </c>
      <c r="M1786" s="166">
        <f t="shared" si="2"/>
        <v>0.601739145</v>
      </c>
      <c r="N1786" s="167">
        <f t="shared" si="3"/>
        <v>17.09966216</v>
      </c>
      <c r="O1786" s="163">
        <f t="shared" ref="O1786:Q1786" si="1790">rank(I1786,I:I)</f>
        <v>3528</v>
      </c>
      <c r="P1786" s="163">
        <f t="shared" si="1790"/>
        <v>3133</v>
      </c>
      <c r="Q1786" s="163">
        <f t="shared" si="1790"/>
        <v>3954</v>
      </c>
      <c r="R1786" s="163">
        <f>IFERROR(__xludf.DUMMYFUNCTION("RANK(M1786,filter(M:M,C:C=C1786))"),267.0)</f>
        <v>267</v>
      </c>
      <c r="S1786" s="161" t="b">
        <f t="shared" si="5"/>
        <v>0</v>
      </c>
      <c r="T1786" s="161" t="b">
        <f t="array" ref="T1786">index('Query Tool'!B:B,match(H1786,'Query Tool'!C:C,0))</f>
        <v>1</v>
      </c>
      <c r="U1786" s="161" t="b">
        <f t="array" ref="U1786">index('Query Tool'!B:B,match(C1786,'Query Tool'!C:C,0))</f>
        <v>0</v>
      </c>
      <c r="V1786" s="161" t="b">
        <f>F1786&gt;='Query Tool'!C$32</f>
        <v>1</v>
      </c>
      <c r="W1786" s="161" t="b">
        <f t="array" ref="W1786">index(Dropdowns!B:B,match(I1786,Dropdowns!A:A,0))</f>
        <v>1</v>
      </c>
      <c r="X1786" s="161" t="b">
        <f t="array" ref="X1786">index('Query Tool'!B:B,match(D1786,'Query Tool'!C:C,0))</f>
        <v>1</v>
      </c>
      <c r="Y1786" s="161" t="str">
        <f t="shared" si="6"/>
        <v>vonleno01,2016-17</v>
      </c>
      <c r="Z1786" s="168">
        <f t="array" ref="Z1786">iferror(index(I:I,match($A1786&amp;","&amp;index('Year Conversion'!$A:$A,match($C1786,'Year Conversion'!$B:$B,0)),$Y:$Y,0))-I1786,"")</f>
        <v>1</v>
      </c>
      <c r="AA1786" s="168">
        <f t="array" ref="AA1786">iferror(index(J:J,match($A1786&amp;","&amp;index('Year Conversion'!$A:$A,match($C1786,'Year Conversion'!$B:$B,0)),$Y:$Y,0))-J1786,"")</f>
        <v>0.8383009974</v>
      </c>
      <c r="AB1786" s="168">
        <f t="array" ref="AB1786">iferror(index(K:K,match($A1786&amp;","&amp;index('Year Conversion'!$A:$A,match($C1786,'Year Conversion'!$B:$B,0)),$Y:$Y,0))-K1786,"")</f>
        <v>1.390437737</v>
      </c>
      <c r="AC1786" s="168" t="str">
        <f t="shared" si="7"/>
        <v>POR,2016-17</v>
      </c>
    </row>
    <row r="1787">
      <c r="A1787" s="161" t="str">
        <f>IFERROR(__xludf.DUMMYFUNCTION("""COMPUTED_VALUE"""),"randlju01")</f>
        <v>randlju01</v>
      </c>
      <c r="B1787" s="161" t="str">
        <f>IFERROR(__xludf.DUMMYFUNCTION("""COMPUTED_VALUE"""),"Julius Randle")</f>
        <v>Julius Randle</v>
      </c>
      <c r="C1787" s="162" t="str">
        <f>IFERROR(__xludf.DUMMYFUNCTION("""COMPUTED_VALUE"""),"2016-17")</f>
        <v>2016-17</v>
      </c>
      <c r="D1787" s="163" t="str">
        <f>IFERROR(__xludf.DUMMYFUNCTION("""COMPUTED_VALUE"""),"LAL")</f>
        <v>LAL</v>
      </c>
      <c r="E1787" s="164" t="str">
        <f>IFERROR(__xludf.DUMMYFUNCTION("""COMPUTED_VALUE"""),"Roll + Cut Big")</f>
        <v>Roll + Cut Big</v>
      </c>
      <c r="F1787" s="164">
        <f>IFERROR(__xludf.DUMMYFUNCTION("""COMPUTED_VALUE"""),2132.10666666667)</f>
        <v>2132.106667</v>
      </c>
      <c r="G1787" s="163">
        <f>IFERROR(__xludf.DUMMYFUNCTION("""COMPUTED_VALUE"""),74.0)</f>
        <v>74</v>
      </c>
      <c r="H1787" s="163" t="str">
        <f>IFERROR(__xludf.DUMMYFUNCTION("""COMPUTED_VALUE"""),"PF")</f>
        <v>PF</v>
      </c>
      <c r="I1787" s="163">
        <f>IFERROR(__xludf.DUMMYFUNCTION("""COMPUTED_VALUE"""),22.0)</f>
        <v>22</v>
      </c>
      <c r="J1787" s="165">
        <f>IFERROR(__xludf.DUMMYFUNCTION("""COMPUTED_VALUE"""),-1.5332143285853)</f>
        <v>-1.533214329</v>
      </c>
      <c r="K1787" s="165">
        <f>IFERROR(__xludf.DUMMYFUNCTION("""COMPUTED_VALUE"""),-0.835410808297609)</f>
        <v>-0.8354108083</v>
      </c>
      <c r="L1787" s="165">
        <f>IFERROR(__xludf.DUMMYFUNCTION("""COMPUTED_VALUE"""),-0.697803520287688)</f>
        <v>-0.6978035203</v>
      </c>
      <c r="M1787" s="166">
        <f t="shared" si="2"/>
        <v>1.090256201</v>
      </c>
      <c r="N1787" s="167">
        <f t="shared" si="3"/>
        <v>28.81225225</v>
      </c>
      <c r="O1787" s="163">
        <f t="shared" ref="O1787:Q1787" si="1791">rank(I1787,I:I)</f>
        <v>3178</v>
      </c>
      <c r="P1787" s="163">
        <f t="shared" si="1791"/>
        <v>3080</v>
      </c>
      <c r="Q1787" s="163">
        <f t="shared" si="1791"/>
        <v>2600</v>
      </c>
      <c r="R1787" s="163">
        <f>IFERROR(__xludf.DUMMYFUNCTION("RANK(M1787,filter(M:M,C:C=C1787))"),217.0)</f>
        <v>217</v>
      </c>
      <c r="S1787" s="161" t="b">
        <f t="shared" si="5"/>
        <v>0</v>
      </c>
      <c r="T1787" s="161" t="b">
        <f t="array" ref="T1787">index('Query Tool'!B:B,match(H1787,'Query Tool'!C:C,0))</f>
        <v>1</v>
      </c>
      <c r="U1787" s="161" t="b">
        <f t="array" ref="U1787">index('Query Tool'!B:B,match(C1787,'Query Tool'!C:C,0))</f>
        <v>0</v>
      </c>
      <c r="V1787" s="161" t="b">
        <f>F1787&gt;='Query Tool'!C$32</f>
        <v>1</v>
      </c>
      <c r="W1787" s="161" t="b">
        <f t="array" ref="W1787">index(Dropdowns!B:B,match(I1787,Dropdowns!A:A,0))</f>
        <v>1</v>
      </c>
      <c r="X1787" s="161" t="b">
        <f t="array" ref="X1787">index('Query Tool'!B:B,match(D1787,'Query Tool'!C:C,0))</f>
        <v>1</v>
      </c>
      <c r="Y1787" s="161" t="str">
        <f t="shared" si="6"/>
        <v>randlju01,2016-17</v>
      </c>
      <c r="Z1787" s="168">
        <f t="array" ref="Z1787">iferror(index(I:I,match($A1787&amp;","&amp;index('Year Conversion'!$A:$A,match($C1787,'Year Conversion'!$B:$B,0)),$Y:$Y,0))-I1787,"")</f>
        <v>1</v>
      </c>
      <c r="AA1787" s="168">
        <f t="array" ref="AA1787">iferror(index(J:J,match($A1787&amp;","&amp;index('Year Conversion'!$A:$A,match($C1787,'Year Conversion'!$B:$B,0)),$Y:$Y,0))-J1787,"")</f>
        <v>1.31206137</v>
      </c>
      <c r="AB1787" s="168">
        <f t="array" ref="AB1787">iferror(index(K:K,match($A1787&amp;","&amp;index('Year Conversion'!$A:$A,match($C1787,'Year Conversion'!$B:$B,0)),$Y:$Y,0))-K1787,"")</f>
        <v>1.07756377</v>
      </c>
      <c r="AC1787" s="168" t="str">
        <f t="shared" si="7"/>
        <v>LAL,2016-17</v>
      </c>
    </row>
    <row r="1788">
      <c r="A1788" s="161" t="str">
        <f>IFERROR(__xludf.DUMMYFUNCTION("""COMPUTED_VALUE"""),"obryajo01")</f>
        <v>obryajo01</v>
      </c>
      <c r="B1788" s="161" t="str">
        <f>IFERROR(__xludf.DUMMYFUNCTION("""COMPUTED_VALUE"""),"Johnny O'Bryant III")</f>
        <v>Johnny O'Bryant III</v>
      </c>
      <c r="C1788" s="162" t="str">
        <f>IFERROR(__xludf.DUMMYFUNCTION("""COMPUTED_VALUE"""),"2016-17")</f>
        <v>2016-17</v>
      </c>
      <c r="D1788" s="163" t="str">
        <f>IFERROR(__xludf.DUMMYFUNCTION("""COMPUTED_VALUE"""),"TOT")</f>
        <v>TOT</v>
      </c>
      <c r="E1788" s="164" t="str">
        <f>IFERROR(__xludf.DUMMYFUNCTION("""COMPUTED_VALUE"""),"Post Scorer")</f>
        <v>Post Scorer</v>
      </c>
      <c r="F1788" s="164">
        <f>IFERROR(__xludf.DUMMYFUNCTION("""COMPUTED_VALUE"""),80.6516666666666)</f>
        <v>80.65166667</v>
      </c>
      <c r="G1788" s="163">
        <f>IFERROR(__xludf.DUMMYFUNCTION("""COMPUTED_VALUE"""),11.0)</f>
        <v>11</v>
      </c>
      <c r="H1788" s="163" t="str">
        <f>IFERROR(__xludf.DUMMYFUNCTION("""COMPUTED_VALUE"""),"PF")</f>
        <v>PF</v>
      </c>
      <c r="I1788" s="163">
        <f>IFERROR(__xludf.DUMMYFUNCTION("""COMPUTED_VALUE"""),23.0)</f>
        <v>23</v>
      </c>
      <c r="J1788" s="165">
        <f>IFERROR(__xludf.DUMMYFUNCTION("""COMPUTED_VALUE"""),-0.895849344295763)</f>
        <v>-0.8958493443</v>
      </c>
      <c r="K1788" s="165">
        <f>IFERROR(__xludf.DUMMYFUNCTION("""COMPUTED_VALUE"""),-0.747351448988056)</f>
        <v>-0.747351449</v>
      </c>
      <c r="L1788" s="165">
        <f>IFERROR(__xludf.DUMMYFUNCTION("""COMPUTED_VALUE"""),-0.148497895307707)</f>
        <v>-0.1484978953</v>
      </c>
      <c r="M1788" s="166">
        <f t="shared" si="2"/>
        <v>0.07568083201</v>
      </c>
      <c r="N1788" s="167">
        <f t="shared" si="3"/>
        <v>7.331969697</v>
      </c>
      <c r="O1788" s="163">
        <f t="shared" ref="O1788:Q1788" si="1792">rank(I1788,I:I)</f>
        <v>2765</v>
      </c>
      <c r="P1788" s="163">
        <f t="shared" si="1792"/>
        <v>2387</v>
      </c>
      <c r="Q1788" s="163">
        <f t="shared" si="1792"/>
        <v>2473</v>
      </c>
      <c r="R1788" s="163">
        <f>IFERROR(__xludf.DUMMYFUNCTION("RANK(M1788,filter(M:M,C:C=C1788))"),388.0)</f>
        <v>388</v>
      </c>
      <c r="S1788" s="161" t="b">
        <f t="shared" si="5"/>
        <v>0</v>
      </c>
      <c r="T1788" s="161" t="b">
        <f t="array" ref="T1788">index('Query Tool'!B:B,match(H1788,'Query Tool'!C:C,0))</f>
        <v>1</v>
      </c>
      <c r="U1788" s="161" t="b">
        <f t="array" ref="U1788">index('Query Tool'!B:B,match(C1788,'Query Tool'!C:C,0))</f>
        <v>0</v>
      </c>
      <c r="V1788" s="161" t="b">
        <f>F1788&gt;='Query Tool'!C$32</f>
        <v>0</v>
      </c>
      <c r="W1788" s="161" t="b">
        <f t="array" ref="W1788">index(Dropdowns!B:B,match(I1788,Dropdowns!A:A,0))</f>
        <v>1</v>
      </c>
      <c r="X1788" s="161" t="b">
        <f t="array" ref="X1788">index('Query Tool'!B:B,match(D1788,'Query Tool'!C:C,0))</f>
        <v>1</v>
      </c>
      <c r="Y1788" s="161" t="str">
        <f t="shared" si="6"/>
        <v>obryajo01,2016-17</v>
      </c>
      <c r="Z1788" s="168">
        <f t="array" ref="Z1788">iferror(index(I:I,match($A1788&amp;","&amp;index('Year Conversion'!$A:$A,match($C1788,'Year Conversion'!$B:$B,0)),$Y:$Y,0))-I1788,"")</f>
        <v>1</v>
      </c>
      <c r="AA1788" s="168">
        <f t="array" ref="AA1788">iferror(index(J:J,match($A1788&amp;","&amp;index('Year Conversion'!$A:$A,match($C1788,'Year Conversion'!$B:$B,0)),$Y:$Y,0))-J1788,"")</f>
        <v>-0.7697229548</v>
      </c>
      <c r="AB1788" s="168">
        <f t="array" ref="AB1788">iferror(index(K:K,match($A1788&amp;","&amp;index('Year Conversion'!$A:$A,match($C1788,'Year Conversion'!$B:$B,0)),$Y:$Y,0))-K1788,"")</f>
        <v>-0.7242809926</v>
      </c>
      <c r="AC1788" s="168" t="str">
        <f t="shared" si="7"/>
        <v>TOT,2016-17</v>
      </c>
    </row>
    <row r="1789">
      <c r="A1789" s="161" t="str">
        <f>IFERROR(__xludf.DUMMYFUNCTION("""COMPUTED_VALUE"""),"mcadoja01")</f>
        <v>mcadoja01</v>
      </c>
      <c r="B1789" s="161" t="str">
        <f>IFERROR(__xludf.DUMMYFUNCTION("""COMPUTED_VALUE"""),"James Michael McAdoo")</f>
        <v>James Michael McAdoo</v>
      </c>
      <c r="C1789" s="162" t="str">
        <f>IFERROR(__xludf.DUMMYFUNCTION("""COMPUTED_VALUE"""),"2016-17")</f>
        <v>2016-17</v>
      </c>
      <c r="D1789" s="163" t="str">
        <f>IFERROR(__xludf.DUMMYFUNCTION("""COMPUTED_VALUE"""),"GSW")</f>
        <v>GSW</v>
      </c>
      <c r="E1789" s="164" t="str">
        <f>IFERROR(__xludf.DUMMYFUNCTION("""COMPUTED_VALUE"""),"Roll + Cut Big")</f>
        <v>Roll + Cut Big</v>
      </c>
      <c r="F1789" s="164">
        <f>IFERROR(__xludf.DUMMYFUNCTION("""COMPUTED_VALUE"""),457.445)</f>
        <v>457.445</v>
      </c>
      <c r="G1789" s="163">
        <f>IFERROR(__xludf.DUMMYFUNCTION("""COMPUTED_VALUE"""),52.0)</f>
        <v>52</v>
      </c>
      <c r="H1789" s="163" t="str">
        <f>IFERROR(__xludf.DUMMYFUNCTION("""COMPUTED_VALUE"""),"PF")</f>
        <v>PF</v>
      </c>
      <c r="I1789" s="163">
        <f>IFERROR(__xludf.DUMMYFUNCTION("""COMPUTED_VALUE"""),24.0)</f>
        <v>24</v>
      </c>
      <c r="J1789" s="165">
        <f>IFERROR(__xludf.DUMMYFUNCTION("""COMPUTED_VALUE"""),-1.79654745543058)</f>
        <v>-1.796547455</v>
      </c>
      <c r="K1789" s="165">
        <f>IFERROR(__xludf.DUMMYFUNCTION("""COMPUTED_VALUE"""),-2.38550665701565)</f>
        <v>-2.385506657</v>
      </c>
      <c r="L1789" s="165">
        <f>IFERROR(__xludf.DUMMYFUNCTION("""COMPUTED_VALUE"""),0.588959201585068)</f>
        <v>0.5889592016</v>
      </c>
      <c r="M1789" s="166">
        <f t="shared" si="2"/>
        <v>0.1536349096</v>
      </c>
      <c r="N1789" s="167">
        <f t="shared" si="3"/>
        <v>8.797019231</v>
      </c>
      <c r="O1789" s="163">
        <f t="shared" ref="O1789:Q1789" si="1793">rank(I1789,I:I)</f>
        <v>2361</v>
      </c>
      <c r="P1789" s="163">
        <f t="shared" si="1793"/>
        <v>3326</v>
      </c>
      <c r="Q1789" s="163">
        <f t="shared" si="1793"/>
        <v>3862</v>
      </c>
      <c r="R1789" s="163">
        <f>IFERROR(__xludf.DUMMYFUNCTION("RANK(M1789,filter(M:M,C:C=C1789))"),356.0)</f>
        <v>356</v>
      </c>
      <c r="S1789" s="161" t="b">
        <f t="shared" si="5"/>
        <v>0</v>
      </c>
      <c r="T1789" s="161" t="b">
        <f t="array" ref="T1789">index('Query Tool'!B:B,match(H1789,'Query Tool'!C:C,0))</f>
        <v>1</v>
      </c>
      <c r="U1789" s="161" t="b">
        <f t="array" ref="U1789">index('Query Tool'!B:B,match(C1789,'Query Tool'!C:C,0))</f>
        <v>0</v>
      </c>
      <c r="V1789" s="161" t="b">
        <f>F1789&gt;='Query Tool'!C$32</f>
        <v>0</v>
      </c>
      <c r="W1789" s="161" t="b">
        <f t="array" ref="W1789">index(Dropdowns!B:B,match(I1789,Dropdowns!A:A,0))</f>
        <v>1</v>
      </c>
      <c r="X1789" s="161" t="b">
        <f t="array" ref="X1789">index('Query Tool'!B:B,match(D1789,'Query Tool'!C:C,0))</f>
        <v>1</v>
      </c>
      <c r="Y1789" s="161" t="str">
        <f t="shared" si="6"/>
        <v>mcadoja01,2016-17</v>
      </c>
      <c r="Z1789" s="168">
        <f t="array" ref="Z1789">iferror(index(I:I,match($A1789&amp;","&amp;index('Year Conversion'!$A:$A,match($C1789,'Year Conversion'!$B:$B,0)),$Y:$Y,0))-I1789,"")</f>
        <v>1</v>
      </c>
      <c r="AA1789" s="168">
        <f t="array" ref="AA1789">iferror(index(J:J,match($A1789&amp;","&amp;index('Year Conversion'!$A:$A,match($C1789,'Year Conversion'!$B:$B,0)),$Y:$Y,0))-J1789,"")</f>
        <v>0.9562958152</v>
      </c>
      <c r="AB1789" s="168">
        <f t="array" ref="AB1789">iferror(index(K:K,match($A1789&amp;","&amp;index('Year Conversion'!$A:$A,match($C1789,'Year Conversion'!$B:$B,0)),$Y:$Y,0))-K1789,"")</f>
        <v>2.205766386</v>
      </c>
      <c r="AC1789" s="168" t="str">
        <f t="shared" si="7"/>
        <v>GSW,2016-17</v>
      </c>
    </row>
    <row r="1790">
      <c r="A1790" s="161" t="str">
        <f>IFERROR(__xludf.DUMMYFUNCTION("""COMPUTED_VALUE"""),"stokeja01")</f>
        <v>stokeja01</v>
      </c>
      <c r="B1790" s="161" t="str">
        <f>IFERROR(__xludf.DUMMYFUNCTION("""COMPUTED_VALUE"""),"Jarnell Stokes")</f>
        <v>Jarnell Stokes</v>
      </c>
      <c r="C1790" s="162" t="str">
        <f>IFERROR(__xludf.DUMMYFUNCTION("""COMPUTED_VALUE"""),"2016-17")</f>
        <v>2016-17</v>
      </c>
      <c r="D1790" s="163" t="str">
        <f>IFERROR(__xludf.DUMMYFUNCTION("""COMPUTED_VALUE"""),"DEN")</f>
        <v>DEN</v>
      </c>
      <c r="E1790" s="164" t="str">
        <f>IFERROR(__xludf.DUMMYFUNCTION("""COMPUTED_VALUE"""),"Roll + Cut Big")</f>
        <v>Roll + Cut Big</v>
      </c>
      <c r="F1790" s="164">
        <f>IFERROR(__xludf.DUMMYFUNCTION("""COMPUTED_VALUE"""),6.54333333333333)</f>
        <v>6.543333333</v>
      </c>
      <c r="G1790" s="163">
        <f>IFERROR(__xludf.DUMMYFUNCTION("""COMPUTED_VALUE"""),2.0)</f>
        <v>2</v>
      </c>
      <c r="H1790" s="163" t="str">
        <f>IFERROR(__xludf.DUMMYFUNCTION("""COMPUTED_VALUE"""),"C")</f>
        <v>C</v>
      </c>
      <c r="I1790" s="163">
        <f>IFERROR(__xludf.DUMMYFUNCTION("""COMPUTED_VALUE"""),23.0)</f>
        <v>23</v>
      </c>
      <c r="J1790" s="165">
        <f>IFERROR(__xludf.DUMMYFUNCTION("""COMPUTED_VALUE"""),-0.173765272062511)</f>
        <v>-0.1737652721</v>
      </c>
      <c r="K1790" s="165">
        <f>IFERROR(__xludf.DUMMYFUNCTION("""COMPUTED_VALUE"""),-0.206747819347916)</f>
        <v>-0.2067478193</v>
      </c>
      <c r="L1790" s="165">
        <f>IFERROR(__xludf.DUMMYFUNCTION("""COMPUTED_VALUE"""),0.0329825472854056)</f>
        <v>0.03298254729</v>
      </c>
      <c r="M1790" s="166">
        <f t="shared" si="2"/>
        <v>0.009321114459</v>
      </c>
      <c r="N1790" s="167">
        <f t="shared" si="3"/>
        <v>3.271666667</v>
      </c>
      <c r="O1790" s="163">
        <f t="shared" ref="O1790:Q1790" si="1794">rank(I1790,I:I)</f>
        <v>2765</v>
      </c>
      <c r="P1790" s="163">
        <f t="shared" si="1794"/>
        <v>1474</v>
      </c>
      <c r="Q1790" s="163">
        <f t="shared" si="1794"/>
        <v>1573</v>
      </c>
      <c r="R1790" s="163">
        <f>IFERROR(__xludf.DUMMYFUNCTION("RANK(M1790,filter(M:M,C:C=C1790))"),444.0)</f>
        <v>444</v>
      </c>
      <c r="S1790" s="161" t="b">
        <f t="shared" si="5"/>
        <v>0</v>
      </c>
      <c r="T1790" s="161" t="b">
        <f t="array" ref="T1790">index('Query Tool'!B:B,match(H1790,'Query Tool'!C:C,0))</f>
        <v>1</v>
      </c>
      <c r="U1790" s="161" t="b">
        <f t="array" ref="U1790">index('Query Tool'!B:B,match(C1790,'Query Tool'!C:C,0))</f>
        <v>0</v>
      </c>
      <c r="V1790" s="161" t="b">
        <f>F1790&gt;='Query Tool'!C$32</f>
        <v>0</v>
      </c>
      <c r="W1790" s="161" t="b">
        <f t="array" ref="W1790">index(Dropdowns!B:B,match(I1790,Dropdowns!A:A,0))</f>
        <v>1</v>
      </c>
      <c r="X1790" s="161" t="b">
        <f t="array" ref="X1790">index('Query Tool'!B:B,match(D1790,'Query Tool'!C:C,0))</f>
        <v>1</v>
      </c>
      <c r="Y1790" s="161" t="str">
        <f t="shared" si="6"/>
        <v>stokeja01,2016-17</v>
      </c>
      <c r="Z1790" s="168" t="str">
        <f t="array" ref="Z1790">iferror(index(I:I,match($A1790&amp;","&amp;index('Year Conversion'!$A:$A,match($C1790,'Year Conversion'!$B:$B,0)),$Y:$Y,0))-I1790,"")</f>
        <v/>
      </c>
      <c r="AA1790" s="168" t="str">
        <f t="array" ref="AA1790">iferror(index(J:J,match($A1790&amp;","&amp;index('Year Conversion'!$A:$A,match($C1790,'Year Conversion'!$B:$B,0)),$Y:$Y,0))-J1790,"")</f>
        <v/>
      </c>
      <c r="AB1790" s="168" t="str">
        <f t="array" ref="AB1790">iferror(index(K:K,match($A1790&amp;","&amp;index('Year Conversion'!$A:$A,match($C1790,'Year Conversion'!$B:$B,0)),$Y:$Y,0))-K1790,"")</f>
        <v/>
      </c>
      <c r="AC1790" s="168" t="str">
        <f t="shared" si="7"/>
        <v>DEN,2016-17</v>
      </c>
    </row>
    <row r="1791">
      <c r="A1791" s="161" t="str">
        <f>IFERROR(__xludf.DUMMYFUNCTION("""COMPUTED_VALUE"""),"wiggian01")</f>
        <v>wiggian01</v>
      </c>
      <c r="B1791" s="161" t="str">
        <f>IFERROR(__xludf.DUMMYFUNCTION("""COMPUTED_VALUE"""),"Andrew Wiggins")</f>
        <v>Andrew Wiggins</v>
      </c>
      <c r="C1791" s="162" t="str">
        <f>IFERROR(__xludf.DUMMYFUNCTION("""COMPUTED_VALUE"""),"2016-17")</f>
        <v>2016-17</v>
      </c>
      <c r="D1791" s="163" t="str">
        <f>IFERROR(__xludf.DUMMYFUNCTION("""COMPUTED_VALUE"""),"MIN")</f>
        <v>MIN</v>
      </c>
      <c r="E1791" s="164" t="str">
        <f>IFERROR(__xludf.DUMMYFUNCTION("""COMPUTED_VALUE"""),"Shot Creator")</f>
        <v>Shot Creator</v>
      </c>
      <c r="F1791" s="164">
        <f>IFERROR(__xludf.DUMMYFUNCTION("""COMPUTED_VALUE"""),3048.36833333333)</f>
        <v>3048.368333</v>
      </c>
      <c r="G1791" s="163">
        <f>IFERROR(__xludf.DUMMYFUNCTION("""COMPUTED_VALUE"""),82.0)</f>
        <v>82</v>
      </c>
      <c r="H1791" s="163" t="str">
        <f>IFERROR(__xludf.DUMMYFUNCTION("""COMPUTED_VALUE"""),"SF")</f>
        <v>SF</v>
      </c>
      <c r="I1791" s="163">
        <f>IFERROR(__xludf.DUMMYFUNCTION("""COMPUTED_VALUE"""),21.0)</f>
        <v>21</v>
      </c>
      <c r="J1791" s="165">
        <f>IFERROR(__xludf.DUMMYFUNCTION("""COMPUTED_VALUE"""),-0.447347646826015)</f>
        <v>-0.4473476468</v>
      </c>
      <c r="K1791" s="165">
        <f>IFERROR(__xludf.DUMMYFUNCTION("""COMPUTED_VALUE"""),1.60094408256051)</f>
        <v>1.600944083</v>
      </c>
      <c r="L1791" s="165">
        <f>IFERROR(__xludf.DUMMYFUNCTION("""COMPUTED_VALUE"""),-2.04829172938653)</f>
        <v>-2.048291729</v>
      </c>
      <c r="M1791" s="166">
        <f t="shared" si="2"/>
        <v>3.780443915</v>
      </c>
      <c r="N1791" s="167">
        <f t="shared" si="3"/>
        <v>37.17522358</v>
      </c>
      <c r="O1791" s="163">
        <f t="shared" ref="O1791:Q1791" si="1795">rank(I1791,I:I)</f>
        <v>3528</v>
      </c>
      <c r="P1791" s="163">
        <f t="shared" si="1795"/>
        <v>1771</v>
      </c>
      <c r="Q1791" s="163">
        <f t="shared" si="1795"/>
        <v>294</v>
      </c>
      <c r="R1791" s="163">
        <f>IFERROR(__xludf.DUMMYFUNCTION("RANK(M1791,filter(M:M,C:C=C1791))"),88.0)</f>
        <v>88</v>
      </c>
      <c r="S1791" s="161" t="b">
        <f t="shared" si="5"/>
        <v>0</v>
      </c>
      <c r="T1791" s="161" t="b">
        <f t="array" ref="T1791">index('Query Tool'!B:B,match(H1791,'Query Tool'!C:C,0))</f>
        <v>1</v>
      </c>
      <c r="U1791" s="161" t="b">
        <f t="array" ref="U1791">index('Query Tool'!B:B,match(C1791,'Query Tool'!C:C,0))</f>
        <v>0</v>
      </c>
      <c r="V1791" s="161" t="b">
        <f>F1791&gt;='Query Tool'!C$32</f>
        <v>1</v>
      </c>
      <c r="W1791" s="161" t="b">
        <f t="array" ref="W1791">index(Dropdowns!B:B,match(I1791,Dropdowns!A:A,0))</f>
        <v>1</v>
      </c>
      <c r="X1791" s="161" t="b">
        <f t="array" ref="X1791">index('Query Tool'!B:B,match(D1791,'Query Tool'!C:C,0))</f>
        <v>1</v>
      </c>
      <c r="Y1791" s="161" t="str">
        <f t="shared" si="6"/>
        <v>wiggian01,2016-17</v>
      </c>
      <c r="Z1791" s="168">
        <f t="array" ref="Z1791">iferror(index(I:I,match($A1791&amp;","&amp;index('Year Conversion'!$A:$A,match($C1791,'Year Conversion'!$B:$B,0)),$Y:$Y,0))-I1791,"")</f>
        <v>1</v>
      </c>
      <c r="AA1791" s="168">
        <f t="array" ref="AA1791">iferror(index(J:J,match($A1791&amp;","&amp;index('Year Conversion'!$A:$A,match($C1791,'Year Conversion'!$B:$B,0)),$Y:$Y,0))-J1791,"")</f>
        <v>0.3357345859</v>
      </c>
      <c r="AB1791" s="168">
        <f t="array" ref="AB1791">iferror(index(K:K,match($A1791&amp;","&amp;index('Year Conversion'!$A:$A,match($C1791,'Year Conversion'!$B:$B,0)),$Y:$Y,0))-K1791,"")</f>
        <v>-1.018928872</v>
      </c>
      <c r="AC1791" s="168" t="str">
        <f t="shared" si="7"/>
        <v>MIN,2016-17</v>
      </c>
    </row>
    <row r="1792">
      <c r="A1792" s="161" t="str">
        <f>IFERROR(__xludf.DUMMYFUNCTION("""COMPUTED_VALUE"""),"parkeja01")</f>
        <v>parkeja01</v>
      </c>
      <c r="B1792" s="161" t="str">
        <f>IFERROR(__xludf.DUMMYFUNCTION("""COMPUTED_VALUE"""),"Jabari Parker")</f>
        <v>Jabari Parker</v>
      </c>
      <c r="C1792" s="162" t="str">
        <f>IFERROR(__xludf.DUMMYFUNCTION("""COMPUTED_VALUE"""),"2016-17")</f>
        <v>2016-17</v>
      </c>
      <c r="D1792" s="163" t="str">
        <f>IFERROR(__xludf.DUMMYFUNCTION("""COMPUTED_VALUE"""),"MIL")</f>
        <v>MIL</v>
      </c>
      <c r="E1792" s="164" t="str">
        <f>IFERROR(__xludf.DUMMYFUNCTION("""COMPUTED_VALUE"""),"Shot Creator")</f>
        <v>Shot Creator</v>
      </c>
      <c r="F1792" s="164">
        <f>IFERROR(__xludf.DUMMYFUNCTION("""COMPUTED_VALUE"""),1727.88166666667)</f>
        <v>1727.881667</v>
      </c>
      <c r="G1792" s="163">
        <f>IFERROR(__xludf.DUMMYFUNCTION("""COMPUTED_VALUE"""),51.0)</f>
        <v>51</v>
      </c>
      <c r="H1792" s="163" t="str">
        <f>IFERROR(__xludf.DUMMYFUNCTION("""COMPUTED_VALUE"""),"PF")</f>
        <v>PF</v>
      </c>
      <c r="I1792" s="163">
        <f>IFERROR(__xludf.DUMMYFUNCTION("""COMPUTED_VALUE"""),21.0)</f>
        <v>21</v>
      </c>
      <c r="J1792" s="165">
        <f>IFERROR(__xludf.DUMMYFUNCTION("""COMPUTED_VALUE"""),0.237819464478051)</f>
        <v>0.2378194645</v>
      </c>
      <c r="K1792" s="165">
        <f>IFERROR(__xludf.DUMMYFUNCTION("""COMPUTED_VALUE"""),1.17685408135914)</f>
        <v>1.176854081</v>
      </c>
      <c r="L1792" s="165">
        <f>IFERROR(__xludf.DUMMYFUNCTION("""COMPUTED_VALUE"""),-0.939034616881088)</f>
        <v>-0.9390346169</v>
      </c>
      <c r="M1792" s="166">
        <f t="shared" si="2"/>
        <v>2.940836508</v>
      </c>
      <c r="N1792" s="167">
        <f t="shared" si="3"/>
        <v>33.88003268</v>
      </c>
      <c r="O1792" s="163">
        <f t="shared" ref="O1792:Q1792" si="1796">rank(I1792,I:I)</f>
        <v>3528</v>
      </c>
      <c r="P1792" s="163">
        <f t="shared" si="1796"/>
        <v>1062</v>
      </c>
      <c r="Q1792" s="163">
        <f t="shared" si="1796"/>
        <v>427</v>
      </c>
      <c r="R1792" s="163">
        <f>IFERROR(__xludf.DUMMYFUNCTION("RANK(M1792,filter(M:M,C:C=C1792))"),111.0)</f>
        <v>111</v>
      </c>
      <c r="S1792" s="161" t="b">
        <f t="shared" si="5"/>
        <v>0</v>
      </c>
      <c r="T1792" s="161" t="b">
        <f t="array" ref="T1792">index('Query Tool'!B:B,match(H1792,'Query Tool'!C:C,0))</f>
        <v>1</v>
      </c>
      <c r="U1792" s="161" t="b">
        <f t="array" ref="U1792">index('Query Tool'!B:B,match(C1792,'Query Tool'!C:C,0))</f>
        <v>0</v>
      </c>
      <c r="V1792" s="161" t="b">
        <f>F1792&gt;='Query Tool'!C$32</f>
        <v>1</v>
      </c>
      <c r="W1792" s="161" t="b">
        <f t="array" ref="W1792">index(Dropdowns!B:B,match(I1792,Dropdowns!A:A,0))</f>
        <v>1</v>
      </c>
      <c r="X1792" s="161" t="b">
        <f t="array" ref="X1792">index('Query Tool'!B:B,match(D1792,'Query Tool'!C:C,0))</f>
        <v>1</v>
      </c>
      <c r="Y1792" s="161" t="str">
        <f t="shared" si="6"/>
        <v>parkeja01,2016-17</v>
      </c>
      <c r="Z1792" s="168">
        <f t="array" ref="Z1792">iferror(index(I:I,match($A1792&amp;","&amp;index('Year Conversion'!$A:$A,match($C1792,'Year Conversion'!$B:$B,0)),$Y:$Y,0))-I1792,"")</f>
        <v>1</v>
      </c>
      <c r="AA1792" s="168">
        <f t="array" ref="AA1792">iferror(index(J:J,match($A1792&amp;","&amp;index('Year Conversion'!$A:$A,match($C1792,'Year Conversion'!$B:$B,0)),$Y:$Y,0))-J1792,"")</f>
        <v>-1.81395792</v>
      </c>
      <c r="AB1792" s="168">
        <f t="array" ref="AB1792">iferror(index(K:K,match($A1792&amp;","&amp;index('Year Conversion'!$A:$A,match($C1792,'Year Conversion'!$B:$B,0)),$Y:$Y,0))-K1792,"")</f>
        <v>-1.503820638</v>
      </c>
      <c r="AC1792" s="168" t="str">
        <f t="shared" si="7"/>
        <v>MIL,2016-17</v>
      </c>
    </row>
    <row r="1793">
      <c r="A1793" s="161" t="str">
        <f>IFERROR(__xludf.DUMMYFUNCTION("""COMPUTED_VALUE"""),"embiijo01")</f>
        <v>embiijo01</v>
      </c>
      <c r="B1793" s="161" t="str">
        <f>IFERROR(__xludf.DUMMYFUNCTION("""COMPUTED_VALUE"""),"Joel Embiid")</f>
        <v>Joel Embiid</v>
      </c>
      <c r="C1793" s="162" t="str">
        <f>IFERROR(__xludf.DUMMYFUNCTION("""COMPUTED_VALUE"""),"2016-17")</f>
        <v>2016-17</v>
      </c>
      <c r="D1793" s="163" t="str">
        <f>IFERROR(__xludf.DUMMYFUNCTION("""COMPUTED_VALUE"""),"PHI")</f>
        <v>PHI</v>
      </c>
      <c r="E1793" s="164" t="str">
        <f>IFERROR(__xludf.DUMMYFUNCTION("""COMPUTED_VALUE"""),"Post Scorer")</f>
        <v>Post Scorer</v>
      </c>
      <c r="F1793" s="164">
        <f>IFERROR(__xludf.DUMMYFUNCTION("""COMPUTED_VALUE"""),786.06)</f>
        <v>786.06</v>
      </c>
      <c r="G1793" s="163">
        <f>IFERROR(__xludf.DUMMYFUNCTION("""COMPUTED_VALUE"""),31.0)</f>
        <v>31</v>
      </c>
      <c r="H1793" s="163" t="str">
        <f>IFERROR(__xludf.DUMMYFUNCTION("""COMPUTED_VALUE"""),"C")</f>
        <v>C</v>
      </c>
      <c r="I1793" s="163">
        <f>IFERROR(__xludf.DUMMYFUNCTION("""COMPUTED_VALUE"""),22.0)</f>
        <v>22</v>
      </c>
      <c r="J1793" s="165">
        <f>IFERROR(__xludf.DUMMYFUNCTION("""COMPUTED_VALUE"""),3.74222756011817)</f>
        <v>3.74222756</v>
      </c>
      <c r="K1793" s="165">
        <f>IFERROR(__xludf.DUMMYFUNCTION("""COMPUTED_VALUE"""),0.930143483293891)</f>
        <v>0.9301434833</v>
      </c>
      <c r="L1793" s="165">
        <f>IFERROR(__xludf.DUMMYFUNCTION("""COMPUTED_VALUE"""),2.81208407682428)</f>
        <v>2.812084077</v>
      </c>
      <c r="M1793" s="166">
        <f t="shared" si="2"/>
        <v>3.157345235</v>
      </c>
      <c r="N1793" s="167">
        <f t="shared" si="3"/>
        <v>25.35677419</v>
      </c>
      <c r="O1793" s="163">
        <f t="shared" ref="O1793:Q1793" si="1797">rank(I1793,I:I)</f>
        <v>3178</v>
      </c>
      <c r="P1793" s="163">
        <f t="shared" si="1797"/>
        <v>114</v>
      </c>
      <c r="Q1793" s="163">
        <f t="shared" si="1797"/>
        <v>542</v>
      </c>
      <c r="R1793" s="163">
        <f>IFERROR(__xludf.DUMMYFUNCTION("RANK(M1793,filter(M:M,C:C=C1793))"),106.0)</f>
        <v>106</v>
      </c>
      <c r="S1793" s="161" t="b">
        <f t="shared" si="5"/>
        <v>0</v>
      </c>
      <c r="T1793" s="161" t="b">
        <f t="array" ref="T1793">index('Query Tool'!B:B,match(H1793,'Query Tool'!C:C,0))</f>
        <v>1</v>
      </c>
      <c r="U1793" s="161" t="b">
        <f t="array" ref="U1793">index('Query Tool'!B:B,match(C1793,'Query Tool'!C:C,0))</f>
        <v>0</v>
      </c>
      <c r="V1793" s="161" t="b">
        <f>F1793&gt;='Query Tool'!C$32</f>
        <v>1</v>
      </c>
      <c r="W1793" s="161" t="b">
        <f t="array" ref="W1793">index(Dropdowns!B:B,match(I1793,Dropdowns!A:A,0))</f>
        <v>1</v>
      </c>
      <c r="X1793" s="161" t="b">
        <f t="array" ref="X1793">index('Query Tool'!B:B,match(D1793,'Query Tool'!C:C,0))</f>
        <v>1</v>
      </c>
      <c r="Y1793" s="161" t="str">
        <f t="shared" si="6"/>
        <v>embiijo01,2016-17</v>
      </c>
      <c r="Z1793" s="168">
        <f t="array" ref="Z1793">iferror(index(I:I,match($A1793&amp;","&amp;index('Year Conversion'!$A:$A,match($C1793,'Year Conversion'!$B:$B,0)),$Y:$Y,0))-I1793,"")</f>
        <v>1</v>
      </c>
      <c r="AA1793" s="168">
        <f t="array" ref="AA1793">iferror(index(J:J,match($A1793&amp;","&amp;index('Year Conversion'!$A:$A,match($C1793,'Year Conversion'!$B:$B,0)),$Y:$Y,0))-J1793,"")</f>
        <v>0.1321472537</v>
      </c>
      <c r="AB1793" s="168">
        <f t="array" ref="AB1793">iferror(index(K:K,match($A1793&amp;","&amp;index('Year Conversion'!$A:$A,match($C1793,'Year Conversion'!$B:$B,0)),$Y:$Y,0))-K1793,"")</f>
        <v>1.282416173</v>
      </c>
      <c r="AC1793" s="168" t="str">
        <f t="shared" si="7"/>
        <v>PHI,2016-17</v>
      </c>
    </row>
    <row r="1794">
      <c r="A1794" s="161" t="str">
        <f>IFERROR(__xludf.DUMMYFUNCTION("""COMPUTED_VALUE"""),"exumda01")</f>
        <v>exumda01</v>
      </c>
      <c r="B1794" s="161" t="str">
        <f>IFERROR(__xludf.DUMMYFUNCTION("""COMPUTED_VALUE"""),"Dante Exum")</f>
        <v>Dante Exum</v>
      </c>
      <c r="C1794" s="162" t="str">
        <f>IFERROR(__xludf.DUMMYFUNCTION("""COMPUTED_VALUE"""),"2016-17")</f>
        <v>2016-17</v>
      </c>
      <c r="D1794" s="163" t="str">
        <f>IFERROR(__xludf.DUMMYFUNCTION("""COMPUTED_VALUE"""),"UTA")</f>
        <v>UTA</v>
      </c>
      <c r="E1794" s="164" t="str">
        <f>IFERROR(__xludf.DUMMYFUNCTION("""COMPUTED_VALUE"""),"Secondary Ball Handler")</f>
        <v>Secondary Ball Handler</v>
      </c>
      <c r="F1794" s="164">
        <f>IFERROR(__xludf.DUMMYFUNCTION("""COMPUTED_VALUE"""),1227.76166666667)</f>
        <v>1227.761667</v>
      </c>
      <c r="G1794" s="163">
        <f>IFERROR(__xludf.DUMMYFUNCTION("""COMPUTED_VALUE"""),66.0)</f>
        <v>66</v>
      </c>
      <c r="H1794" s="163" t="str">
        <f>IFERROR(__xludf.DUMMYFUNCTION("""COMPUTED_VALUE"""),"PG")</f>
        <v>PG</v>
      </c>
      <c r="I1794" s="163">
        <f>IFERROR(__xludf.DUMMYFUNCTION("""COMPUTED_VALUE"""),21.0)</f>
        <v>21</v>
      </c>
      <c r="J1794" s="165">
        <f>IFERROR(__xludf.DUMMYFUNCTION("""COMPUTED_VALUE"""),-2.2410124454678)</f>
        <v>-2.241012445</v>
      </c>
      <c r="K1794" s="165">
        <f>IFERROR(__xludf.DUMMYFUNCTION("""COMPUTED_VALUE"""),-1.8713177038376)</f>
        <v>-1.871317704</v>
      </c>
      <c r="L1794" s="165">
        <f>IFERROR(__xludf.DUMMYFUNCTION("""COMPUTED_VALUE"""),-0.369694741630193)</f>
        <v>-0.3696947416</v>
      </c>
      <c r="M1794" s="166">
        <f t="shared" si="2"/>
        <v>0.05064811268</v>
      </c>
      <c r="N1794" s="167">
        <f t="shared" si="3"/>
        <v>18.60244949</v>
      </c>
      <c r="O1794" s="163">
        <f t="shared" ref="O1794:Q1794" si="1798">rank(I1794,I:I)</f>
        <v>3528</v>
      </c>
      <c r="P1794" s="163">
        <f t="shared" si="1798"/>
        <v>3629</v>
      </c>
      <c r="Q1794" s="163">
        <f t="shared" si="1798"/>
        <v>3624</v>
      </c>
      <c r="R1794" s="163">
        <f>IFERROR(__xludf.DUMMYFUNCTION("RANK(M1794,filter(M:M,C:C=C1794))"),400.0)</f>
        <v>400</v>
      </c>
      <c r="S1794" s="161" t="b">
        <f t="shared" si="5"/>
        <v>0</v>
      </c>
      <c r="T1794" s="161" t="b">
        <f t="array" ref="T1794">index('Query Tool'!B:B,match(H1794,'Query Tool'!C:C,0))</f>
        <v>1</v>
      </c>
      <c r="U1794" s="161" t="b">
        <f t="array" ref="U1794">index('Query Tool'!B:B,match(C1794,'Query Tool'!C:C,0))</f>
        <v>0</v>
      </c>
      <c r="V1794" s="161" t="b">
        <f>F1794&gt;='Query Tool'!C$32</f>
        <v>1</v>
      </c>
      <c r="W1794" s="161" t="b">
        <f t="array" ref="W1794">index(Dropdowns!B:B,match(I1794,Dropdowns!A:A,0))</f>
        <v>1</v>
      </c>
      <c r="X1794" s="161" t="b">
        <f t="array" ref="X1794">index('Query Tool'!B:B,match(D1794,'Query Tool'!C:C,0))</f>
        <v>1</v>
      </c>
      <c r="Y1794" s="161" t="str">
        <f t="shared" si="6"/>
        <v>exumda01,2016-17</v>
      </c>
      <c r="Z1794" s="168">
        <f t="array" ref="Z1794">iferror(index(I:I,match($A1794&amp;","&amp;index('Year Conversion'!$A:$A,match($C1794,'Year Conversion'!$B:$B,0)),$Y:$Y,0))-I1794,"")</f>
        <v>1</v>
      </c>
      <c r="AA1794" s="168">
        <f t="array" ref="AA1794">iferror(index(J:J,match($A1794&amp;","&amp;index('Year Conversion'!$A:$A,match($C1794,'Year Conversion'!$B:$B,0)),$Y:$Y,0))-J1794,"")</f>
        <v>2.100487312</v>
      </c>
      <c r="AB1794" s="168">
        <f t="array" ref="AB1794">iferror(index(K:K,match($A1794&amp;","&amp;index('Year Conversion'!$A:$A,match($C1794,'Year Conversion'!$B:$B,0)),$Y:$Y,0))-K1794,"")</f>
        <v>2.171883344</v>
      </c>
      <c r="AC1794" s="168" t="str">
        <f t="shared" si="7"/>
        <v>UTA,2016-17</v>
      </c>
    </row>
    <row r="1795">
      <c r="A1795" s="161" t="str">
        <f>IFERROR(__xludf.DUMMYFUNCTION("""COMPUTED_VALUE"""),"huestjo01")</f>
        <v>huestjo01</v>
      </c>
      <c r="B1795" s="161" t="str">
        <f>IFERROR(__xludf.DUMMYFUNCTION("""COMPUTED_VALUE"""),"Josh Huestis")</f>
        <v>Josh Huestis</v>
      </c>
      <c r="C1795" s="162" t="str">
        <f>IFERROR(__xludf.DUMMYFUNCTION("""COMPUTED_VALUE"""),"2016-17")</f>
        <v>2016-17</v>
      </c>
      <c r="D1795" s="163" t="str">
        <f>IFERROR(__xludf.DUMMYFUNCTION("""COMPUTED_VALUE"""),"OKC")</f>
        <v>OKC</v>
      </c>
      <c r="E1795" s="164" t="str">
        <f>IFERROR(__xludf.DUMMYFUNCTION("""COMPUTED_VALUE"""),"Stretch Big")</f>
        <v>Stretch Big</v>
      </c>
      <c r="F1795" s="164">
        <f>IFERROR(__xludf.DUMMYFUNCTION("""COMPUTED_VALUE"""),30.8833333333333)</f>
        <v>30.88333333</v>
      </c>
      <c r="G1795" s="163">
        <f>IFERROR(__xludf.DUMMYFUNCTION("""COMPUTED_VALUE"""),2.0)</f>
        <v>2</v>
      </c>
      <c r="H1795" s="163" t="str">
        <f>IFERROR(__xludf.DUMMYFUNCTION("""COMPUTED_VALUE"""),"PF")</f>
        <v>PF</v>
      </c>
      <c r="I1795" s="163">
        <f>IFERROR(__xludf.DUMMYFUNCTION("""COMPUTED_VALUE"""),25.0)</f>
        <v>25</v>
      </c>
      <c r="J1795" s="165">
        <f>IFERROR(__xludf.DUMMYFUNCTION("""COMPUTED_VALUE"""),-0.146542773427877)</f>
        <v>-0.1465427734</v>
      </c>
      <c r="K1795" s="165">
        <f>IFERROR(__xludf.DUMMYFUNCTION("""COMPUTED_VALUE"""),-0.00990934151569416)</f>
        <v>-0.009909341516</v>
      </c>
      <c r="L1795" s="165">
        <f>IFERROR(__xludf.DUMMYFUNCTION("""COMPUTED_VALUE"""),-0.136633431912183)</f>
        <v>-0.1366334319</v>
      </c>
      <c r="M1795" s="166">
        <f t="shared" si="2"/>
        <v>0.04456069596</v>
      </c>
      <c r="N1795" s="167">
        <f t="shared" si="3"/>
        <v>15.44166667</v>
      </c>
      <c r="O1795" s="163">
        <f t="shared" ref="O1795:Q1795" si="1799">rank(I1795,I:I)</f>
        <v>1995</v>
      </c>
      <c r="P1795" s="163">
        <f t="shared" si="1799"/>
        <v>1434</v>
      </c>
      <c r="Q1795" s="163">
        <f t="shared" si="1799"/>
        <v>1213</v>
      </c>
      <c r="R1795" s="163">
        <f>IFERROR(__xludf.DUMMYFUNCTION("RANK(M1795,filter(M:M,C:C=C1795))"),407.0)</f>
        <v>407</v>
      </c>
      <c r="S1795" s="161" t="b">
        <f t="shared" si="5"/>
        <v>0</v>
      </c>
      <c r="T1795" s="161" t="b">
        <f t="array" ref="T1795">index('Query Tool'!B:B,match(H1795,'Query Tool'!C:C,0))</f>
        <v>1</v>
      </c>
      <c r="U1795" s="161" t="b">
        <f t="array" ref="U1795">index('Query Tool'!B:B,match(C1795,'Query Tool'!C:C,0))</f>
        <v>0</v>
      </c>
      <c r="V1795" s="161" t="b">
        <f>F1795&gt;='Query Tool'!C$32</f>
        <v>0</v>
      </c>
      <c r="W1795" s="161" t="b">
        <f t="array" ref="W1795">index(Dropdowns!B:B,match(I1795,Dropdowns!A:A,0))</f>
        <v>1</v>
      </c>
      <c r="X1795" s="161" t="b">
        <f t="array" ref="X1795">index('Query Tool'!B:B,match(D1795,'Query Tool'!C:C,0))</f>
        <v>1</v>
      </c>
      <c r="Y1795" s="161" t="str">
        <f t="shared" si="6"/>
        <v>huestjo01,2016-17</v>
      </c>
      <c r="Z1795" s="168">
        <f t="array" ref="Z1795">iferror(index(I:I,match($A1795&amp;","&amp;index('Year Conversion'!$A:$A,match($C1795,'Year Conversion'!$B:$B,0)),$Y:$Y,0))-I1795,"")</f>
        <v>1</v>
      </c>
      <c r="AA1795" s="168">
        <f t="array" ref="AA1795">iferror(index(J:J,match($A1795&amp;","&amp;index('Year Conversion'!$A:$A,match($C1795,'Year Conversion'!$B:$B,0)),$Y:$Y,0))-J1795,"")</f>
        <v>-0.6640789593</v>
      </c>
      <c r="AB1795" s="168">
        <f t="array" ref="AB1795">iferror(index(K:K,match($A1795&amp;","&amp;index('Year Conversion'!$A:$A,match($C1795,'Year Conversion'!$B:$B,0)),$Y:$Y,0))-K1795,"")</f>
        <v>-1.665112579</v>
      </c>
      <c r="AC1795" s="168" t="str">
        <f t="shared" si="7"/>
        <v>OKC,2016-17</v>
      </c>
    </row>
    <row r="1796">
      <c r="A1796" s="161" t="str">
        <f>IFERROR(__xludf.DUMMYFUNCTION("""COMPUTED_VALUE"""),"saricda01")</f>
        <v>saricda01</v>
      </c>
      <c r="B1796" s="161" t="str">
        <f>IFERROR(__xludf.DUMMYFUNCTION("""COMPUTED_VALUE"""),"Dario Saric")</f>
        <v>Dario Saric</v>
      </c>
      <c r="C1796" s="162" t="str">
        <f>IFERROR(__xludf.DUMMYFUNCTION("""COMPUTED_VALUE"""),"2016-17")</f>
        <v>2016-17</v>
      </c>
      <c r="D1796" s="163" t="str">
        <f>IFERROR(__xludf.DUMMYFUNCTION("""COMPUTED_VALUE"""),"PHI")</f>
        <v>PHI</v>
      </c>
      <c r="E1796" s="164" t="str">
        <f>IFERROR(__xludf.DUMMYFUNCTION("""COMPUTED_VALUE"""),"Shot Creator")</f>
        <v>Shot Creator</v>
      </c>
      <c r="F1796" s="164">
        <f>IFERROR(__xludf.DUMMYFUNCTION("""COMPUTED_VALUE"""),2129.02333333333)</f>
        <v>2129.023333</v>
      </c>
      <c r="G1796" s="163">
        <f>IFERROR(__xludf.DUMMYFUNCTION("""COMPUTED_VALUE"""),81.0)</f>
        <v>81</v>
      </c>
      <c r="H1796" s="163" t="str">
        <f>IFERROR(__xludf.DUMMYFUNCTION("""COMPUTED_VALUE"""),"PF")</f>
        <v>PF</v>
      </c>
      <c r="I1796" s="163">
        <f>IFERROR(__xludf.DUMMYFUNCTION("""COMPUTED_VALUE"""),22.0)</f>
        <v>22</v>
      </c>
      <c r="J1796" s="165">
        <f>IFERROR(__xludf.DUMMYFUNCTION("""COMPUTED_VALUE"""),-2.63810891104389)</f>
        <v>-2.638108911</v>
      </c>
      <c r="K1796" s="165">
        <f>IFERROR(__xludf.DUMMYFUNCTION("""COMPUTED_VALUE"""),-1.62756565103091)</f>
        <v>-1.627565651</v>
      </c>
      <c r="L1796" s="165">
        <f>IFERROR(__xludf.DUMMYFUNCTION("""COMPUTED_VALUE"""),-1.01054326001298)</f>
        <v>-1.01054326</v>
      </c>
      <c r="M1796" s="166">
        <f t="shared" si="2"/>
        <v>-0.4682159747</v>
      </c>
      <c r="N1796" s="167">
        <f t="shared" si="3"/>
        <v>26.28423868</v>
      </c>
      <c r="O1796" s="163">
        <f t="shared" ref="O1796:Q1796" si="1800">rank(I1796,I:I)</f>
        <v>3178</v>
      </c>
      <c r="P1796" s="163">
        <f t="shared" si="1800"/>
        <v>3797</v>
      </c>
      <c r="Q1796" s="163">
        <f t="shared" si="1800"/>
        <v>3466</v>
      </c>
      <c r="R1796" s="163">
        <f>IFERROR(__xludf.DUMMYFUNCTION("RANK(M1796,filter(M:M,C:C=C1796))"),474.0)</f>
        <v>474</v>
      </c>
      <c r="S1796" s="161" t="b">
        <f t="shared" si="5"/>
        <v>0</v>
      </c>
      <c r="T1796" s="161" t="b">
        <f t="array" ref="T1796">index('Query Tool'!B:B,match(H1796,'Query Tool'!C:C,0))</f>
        <v>1</v>
      </c>
      <c r="U1796" s="161" t="b">
        <f t="array" ref="U1796">index('Query Tool'!B:B,match(C1796,'Query Tool'!C:C,0))</f>
        <v>0</v>
      </c>
      <c r="V1796" s="161" t="b">
        <f>F1796&gt;='Query Tool'!C$32</f>
        <v>1</v>
      </c>
      <c r="W1796" s="161" t="b">
        <f t="array" ref="W1796">index(Dropdowns!B:B,match(I1796,Dropdowns!A:A,0))</f>
        <v>1</v>
      </c>
      <c r="X1796" s="161" t="b">
        <f t="array" ref="X1796">index('Query Tool'!B:B,match(D1796,'Query Tool'!C:C,0))</f>
        <v>1</v>
      </c>
      <c r="Y1796" s="161" t="str">
        <f t="shared" si="6"/>
        <v>saricda01,2016-17</v>
      </c>
      <c r="Z1796" s="168">
        <f t="array" ref="Z1796">iferror(index(I:I,match($A1796&amp;","&amp;index('Year Conversion'!$A:$A,match($C1796,'Year Conversion'!$B:$B,0)),$Y:$Y,0))-I1796,"")</f>
        <v>1</v>
      </c>
      <c r="AA1796" s="168">
        <f t="array" ref="AA1796">iferror(index(J:J,match($A1796&amp;","&amp;index('Year Conversion'!$A:$A,match($C1796,'Year Conversion'!$B:$B,0)),$Y:$Y,0))-J1796,"")</f>
        <v>3.63705628</v>
      </c>
      <c r="AB1796" s="168">
        <f t="array" ref="AB1796">iferror(index(K:K,match($A1796&amp;","&amp;index('Year Conversion'!$A:$A,match($C1796,'Year Conversion'!$B:$B,0)),$Y:$Y,0))-K1796,"")</f>
        <v>2.58416396</v>
      </c>
      <c r="AC1796" s="168" t="str">
        <f t="shared" si="7"/>
        <v>PHI,2016-17</v>
      </c>
    </row>
    <row r="1797">
      <c r="A1797" s="161" t="str">
        <f>IFERROR(__xludf.DUMMYFUNCTION("""COMPUTED_VALUE"""),"capelca01")</f>
        <v>capelca01</v>
      </c>
      <c r="B1797" s="161" t="str">
        <f>IFERROR(__xludf.DUMMYFUNCTION("""COMPUTED_VALUE"""),"Clint Capela")</f>
        <v>Clint Capela</v>
      </c>
      <c r="C1797" s="162" t="str">
        <f>IFERROR(__xludf.DUMMYFUNCTION("""COMPUTED_VALUE"""),"2016-17")</f>
        <v>2016-17</v>
      </c>
      <c r="D1797" s="163" t="str">
        <f>IFERROR(__xludf.DUMMYFUNCTION("""COMPUTED_VALUE"""),"HOU")</f>
        <v>HOU</v>
      </c>
      <c r="E1797" s="164" t="str">
        <f>IFERROR(__xludf.DUMMYFUNCTION("""COMPUTED_VALUE"""),"Roll + Cut Big")</f>
        <v>Roll + Cut Big</v>
      </c>
      <c r="F1797" s="164">
        <f>IFERROR(__xludf.DUMMYFUNCTION("""COMPUTED_VALUE"""),1551.30166666667)</f>
        <v>1551.301667</v>
      </c>
      <c r="G1797" s="163">
        <f>IFERROR(__xludf.DUMMYFUNCTION("""COMPUTED_VALUE"""),65.0)</f>
        <v>65</v>
      </c>
      <c r="H1797" s="163" t="str">
        <f>IFERROR(__xludf.DUMMYFUNCTION("""COMPUTED_VALUE"""),"C")</f>
        <v>C</v>
      </c>
      <c r="I1797" s="163">
        <f>IFERROR(__xludf.DUMMYFUNCTION("""COMPUTED_VALUE"""),22.0)</f>
        <v>22</v>
      </c>
      <c r="J1797" s="165">
        <f>IFERROR(__xludf.DUMMYFUNCTION("""COMPUTED_VALUE"""),1.26331094476889)</f>
        <v>1.263310945</v>
      </c>
      <c r="K1797" s="165">
        <f>IFERROR(__xludf.DUMMYFUNCTION("""COMPUTED_VALUE"""),0.526678919333367)</f>
        <v>0.5266789193</v>
      </c>
      <c r="L1797" s="165">
        <f>IFERROR(__xludf.DUMMYFUNCTION("""COMPUTED_VALUE"""),0.736632025435521)</f>
        <v>0.7366320254</v>
      </c>
      <c r="M1797" s="166">
        <f t="shared" si="2"/>
        <v>3.709929772</v>
      </c>
      <c r="N1797" s="167">
        <f t="shared" si="3"/>
        <v>23.86617949</v>
      </c>
      <c r="O1797" s="163">
        <f t="shared" ref="O1797:Q1797" si="1801">rank(I1797,I:I)</f>
        <v>3178</v>
      </c>
      <c r="P1797" s="163">
        <f t="shared" si="1801"/>
        <v>540</v>
      </c>
      <c r="Q1797" s="163">
        <f t="shared" si="1801"/>
        <v>755</v>
      </c>
      <c r="R1797" s="163">
        <f>IFERROR(__xludf.DUMMYFUNCTION("RANK(M1797,filter(M:M,C:C=C1797))"),92.0)</f>
        <v>92</v>
      </c>
      <c r="S1797" s="161" t="b">
        <f t="shared" si="5"/>
        <v>0</v>
      </c>
      <c r="T1797" s="161" t="b">
        <f t="array" ref="T1797">index('Query Tool'!B:B,match(H1797,'Query Tool'!C:C,0))</f>
        <v>1</v>
      </c>
      <c r="U1797" s="161" t="b">
        <f t="array" ref="U1797">index('Query Tool'!B:B,match(C1797,'Query Tool'!C:C,0))</f>
        <v>0</v>
      </c>
      <c r="V1797" s="161" t="b">
        <f>F1797&gt;='Query Tool'!C$32</f>
        <v>1</v>
      </c>
      <c r="W1797" s="161" t="b">
        <f t="array" ref="W1797">index(Dropdowns!B:B,match(I1797,Dropdowns!A:A,0))</f>
        <v>1</v>
      </c>
      <c r="X1797" s="161" t="b">
        <f t="array" ref="X1797">index('Query Tool'!B:B,match(D1797,'Query Tool'!C:C,0))</f>
        <v>1</v>
      </c>
      <c r="Y1797" s="161" t="str">
        <f t="shared" si="6"/>
        <v>capelca01,2016-17</v>
      </c>
      <c r="Z1797" s="168">
        <f t="array" ref="Z1797">iferror(index(I:I,match($A1797&amp;","&amp;index('Year Conversion'!$A:$A,match($C1797,'Year Conversion'!$B:$B,0)),$Y:$Y,0))-I1797,"")</f>
        <v>1</v>
      </c>
      <c r="AA1797" s="168">
        <f t="array" ref="AA1797">iferror(index(J:J,match($A1797&amp;","&amp;index('Year Conversion'!$A:$A,match($C1797,'Year Conversion'!$B:$B,0)),$Y:$Y,0))-J1797,"")</f>
        <v>1.521984225</v>
      </c>
      <c r="AB1797" s="168">
        <f t="array" ref="AB1797">iferror(index(K:K,match($A1797&amp;","&amp;index('Year Conversion'!$A:$A,match($C1797,'Year Conversion'!$B:$B,0)),$Y:$Y,0))-K1797,"")</f>
        <v>0.1941616845</v>
      </c>
      <c r="AC1797" s="168" t="str">
        <f t="shared" si="7"/>
        <v>HOU,2016-17</v>
      </c>
    </row>
    <row r="1798">
      <c r="A1798" s="161" t="str">
        <f>IFERROR(__xludf.DUMMYFUNCTION("""COMPUTED_VALUE"""),"nurkiju01")</f>
        <v>nurkiju01</v>
      </c>
      <c r="B1798" s="161" t="str">
        <f>IFERROR(__xludf.DUMMYFUNCTION("""COMPUTED_VALUE"""),"Jusuf Nurkic")</f>
        <v>Jusuf Nurkic</v>
      </c>
      <c r="C1798" s="162" t="str">
        <f>IFERROR(__xludf.DUMMYFUNCTION("""COMPUTED_VALUE"""),"2016-17")</f>
        <v>2016-17</v>
      </c>
      <c r="D1798" s="163" t="str">
        <f>IFERROR(__xludf.DUMMYFUNCTION("""COMPUTED_VALUE"""),"TOT")</f>
        <v>TOT</v>
      </c>
      <c r="E1798" s="164" t="str">
        <f>IFERROR(__xludf.DUMMYFUNCTION("""COMPUTED_VALUE"""),"Post Scorer")</f>
        <v>Post Scorer</v>
      </c>
      <c r="F1798" s="164">
        <f>IFERROR(__xludf.DUMMYFUNCTION("""COMPUTED_VALUE"""),1390.98)</f>
        <v>1390.98</v>
      </c>
      <c r="G1798" s="163">
        <f>IFERROR(__xludf.DUMMYFUNCTION("""COMPUTED_VALUE"""),65.0)</f>
        <v>65</v>
      </c>
      <c r="H1798" s="163" t="str">
        <f>IFERROR(__xludf.DUMMYFUNCTION("""COMPUTED_VALUE"""),"C")</f>
        <v>C</v>
      </c>
      <c r="I1798" s="163">
        <f>IFERROR(__xludf.DUMMYFUNCTION("""COMPUTED_VALUE"""),22.0)</f>
        <v>22</v>
      </c>
      <c r="J1798" s="165">
        <f>IFERROR(__xludf.DUMMYFUNCTION("""COMPUTED_VALUE"""),0.646303512257888)</f>
        <v>0.6463035123</v>
      </c>
      <c r="K1798" s="165">
        <f>IFERROR(__xludf.DUMMYFUNCTION("""COMPUTED_VALUE"""),-1.28802080905482)</f>
        <v>-1.288020809</v>
      </c>
      <c r="L1798" s="165">
        <f>IFERROR(__xludf.DUMMYFUNCTION("""COMPUTED_VALUE"""),1.9343243213127)</f>
        <v>1.934324321</v>
      </c>
      <c r="M1798" s="166">
        <f t="shared" si="2"/>
        <v>2.750169493</v>
      </c>
      <c r="N1798" s="167">
        <f t="shared" si="3"/>
        <v>21.39969231</v>
      </c>
      <c r="O1798" s="163">
        <f t="shared" ref="O1798:Q1798" si="1802">rank(I1798,I:I)</f>
        <v>3178</v>
      </c>
      <c r="P1798" s="163">
        <f t="shared" si="1802"/>
        <v>825</v>
      </c>
      <c r="Q1798" s="163">
        <f t="shared" si="1802"/>
        <v>3128</v>
      </c>
      <c r="R1798" s="163">
        <f>IFERROR(__xludf.DUMMYFUNCTION("RANK(M1798,filter(M:M,C:C=C1798))"),121.0)</f>
        <v>121</v>
      </c>
      <c r="S1798" s="161" t="b">
        <f t="shared" si="5"/>
        <v>0</v>
      </c>
      <c r="T1798" s="161" t="b">
        <f t="array" ref="T1798">index('Query Tool'!B:B,match(H1798,'Query Tool'!C:C,0))</f>
        <v>1</v>
      </c>
      <c r="U1798" s="161" t="b">
        <f t="array" ref="U1798">index('Query Tool'!B:B,match(C1798,'Query Tool'!C:C,0))</f>
        <v>0</v>
      </c>
      <c r="V1798" s="161" t="b">
        <f>F1798&gt;='Query Tool'!C$32</f>
        <v>1</v>
      </c>
      <c r="W1798" s="161" t="b">
        <f t="array" ref="W1798">index(Dropdowns!B:B,match(I1798,Dropdowns!A:A,0))</f>
        <v>1</v>
      </c>
      <c r="X1798" s="161" t="b">
        <f t="array" ref="X1798">index('Query Tool'!B:B,match(D1798,'Query Tool'!C:C,0))</f>
        <v>1</v>
      </c>
      <c r="Y1798" s="161" t="str">
        <f t="shared" si="6"/>
        <v>nurkiju01,2016-17</v>
      </c>
      <c r="Z1798" s="168">
        <f t="array" ref="Z1798">iferror(index(I:I,match($A1798&amp;","&amp;index('Year Conversion'!$A:$A,match($C1798,'Year Conversion'!$B:$B,0)),$Y:$Y,0))-I1798,"")</f>
        <v>1</v>
      </c>
      <c r="AA1798" s="168">
        <f t="array" ref="AA1798">iferror(index(J:J,match($A1798&amp;","&amp;index('Year Conversion'!$A:$A,match($C1798,'Year Conversion'!$B:$B,0)),$Y:$Y,0))-J1798,"")</f>
        <v>1.414909817</v>
      </c>
      <c r="AB1798" s="168">
        <f t="array" ref="AB1798">iferror(index(K:K,match($A1798&amp;","&amp;index('Year Conversion'!$A:$A,match($C1798,'Year Conversion'!$B:$B,0)),$Y:$Y,0))-K1798,"")</f>
        <v>0.4168131794</v>
      </c>
      <c r="AC1798" s="168" t="str">
        <f t="shared" si="7"/>
        <v>TOT,2016-17</v>
      </c>
    </row>
    <row r="1799">
      <c r="A1799" s="161" t="str">
        <f>IFERROR(__xludf.DUMMYFUNCTION("""COMPUTED_VALUE"""),"cabocbr01")</f>
        <v>cabocbr01</v>
      </c>
      <c r="B1799" s="161" t="str">
        <f>IFERROR(__xludf.DUMMYFUNCTION("""COMPUTED_VALUE"""),"Bruno Caboclo")</f>
        <v>Bruno Caboclo</v>
      </c>
      <c r="C1799" s="162" t="str">
        <f>IFERROR(__xludf.DUMMYFUNCTION("""COMPUTED_VALUE"""),"2016-17")</f>
        <v>2016-17</v>
      </c>
      <c r="D1799" s="163" t="str">
        <f>IFERROR(__xludf.DUMMYFUNCTION("""COMPUTED_VALUE"""),"TOR")</f>
        <v>TOR</v>
      </c>
      <c r="E1799" s="164" t="str">
        <f>IFERROR(__xludf.DUMMYFUNCTION("""COMPUTED_VALUE"""),"Athletic Finisher")</f>
        <v>Athletic Finisher</v>
      </c>
      <c r="F1799" s="164">
        <f>IFERROR(__xludf.DUMMYFUNCTION("""COMPUTED_VALUE"""),40.2983333333334)</f>
        <v>40.29833333</v>
      </c>
      <c r="G1799" s="163">
        <f>IFERROR(__xludf.DUMMYFUNCTION("""COMPUTED_VALUE"""),9.0)</f>
        <v>9</v>
      </c>
      <c r="H1799" s="163" t="str">
        <f>IFERROR(__xludf.DUMMYFUNCTION("""COMPUTED_VALUE"""),"SF")</f>
        <v>SF</v>
      </c>
      <c r="I1799" s="163">
        <f>IFERROR(__xludf.DUMMYFUNCTION("""COMPUTED_VALUE"""),21.0)</f>
        <v>21</v>
      </c>
      <c r="J1799" s="165">
        <f>IFERROR(__xludf.DUMMYFUNCTION("""COMPUTED_VALUE"""),-0.480677107768639)</f>
        <v>-0.4806771078</v>
      </c>
      <c r="K1799" s="165">
        <f>IFERROR(__xludf.DUMMYFUNCTION("""COMPUTED_VALUE"""),-0.110737432007264)</f>
        <v>-0.110737432</v>
      </c>
      <c r="L1799" s="165">
        <f>IFERROR(__xludf.DUMMYFUNCTION("""COMPUTED_VALUE"""),-0.369939675761376)</f>
        <v>-0.3699396758</v>
      </c>
      <c r="M1799" s="166">
        <f t="shared" si="2"/>
        <v>0.0490714027</v>
      </c>
      <c r="N1799" s="167">
        <f t="shared" si="3"/>
        <v>4.477592593</v>
      </c>
      <c r="O1799" s="163">
        <f t="shared" ref="O1799:Q1799" si="1803">rank(I1799,I:I)</f>
        <v>3528</v>
      </c>
      <c r="P1799" s="163">
        <f t="shared" si="1803"/>
        <v>1826</v>
      </c>
      <c r="Q1799" s="163">
        <f t="shared" si="1803"/>
        <v>1391</v>
      </c>
      <c r="R1799" s="163">
        <f>IFERROR(__xludf.DUMMYFUNCTION("RANK(M1799,filter(M:M,C:C=C1799))"),402.0)</f>
        <v>402</v>
      </c>
      <c r="S1799" s="161" t="b">
        <f t="shared" si="5"/>
        <v>0</v>
      </c>
      <c r="T1799" s="161" t="b">
        <f t="array" ref="T1799">index('Query Tool'!B:B,match(H1799,'Query Tool'!C:C,0))</f>
        <v>1</v>
      </c>
      <c r="U1799" s="161" t="b">
        <f t="array" ref="U1799">index('Query Tool'!B:B,match(C1799,'Query Tool'!C:C,0))</f>
        <v>0</v>
      </c>
      <c r="V1799" s="161" t="b">
        <f>F1799&gt;='Query Tool'!C$32</f>
        <v>0</v>
      </c>
      <c r="W1799" s="161" t="b">
        <f t="array" ref="W1799">index(Dropdowns!B:B,match(I1799,Dropdowns!A:A,0))</f>
        <v>1</v>
      </c>
      <c r="X1799" s="161" t="b">
        <f t="array" ref="X1799">index('Query Tool'!B:B,match(D1799,'Query Tool'!C:C,0))</f>
        <v>1</v>
      </c>
      <c r="Y1799" s="161" t="str">
        <f t="shared" si="6"/>
        <v>cabocbr01,2016-17</v>
      </c>
      <c r="Z1799" s="168">
        <f t="array" ref="Z1799">iferror(index(I:I,match($A1799&amp;","&amp;index('Year Conversion'!$A:$A,match($C1799,'Year Conversion'!$B:$B,0)),$Y:$Y,0))-I1799,"")</f>
        <v>1</v>
      </c>
      <c r="AA1799" s="168">
        <f t="array" ref="AA1799">iferror(index(J:J,match($A1799&amp;","&amp;index('Year Conversion'!$A:$A,match($C1799,'Year Conversion'!$B:$B,0)),$Y:$Y,0))-J1799,"")</f>
        <v>0.8649685457</v>
      </c>
      <c r="AB1799" s="168">
        <f t="array" ref="AB1799">iferror(index(K:K,match($A1799&amp;","&amp;index('Year Conversion'!$A:$A,match($C1799,'Year Conversion'!$B:$B,0)),$Y:$Y,0))-K1799,"")</f>
        <v>0.1357563068</v>
      </c>
      <c r="AC1799" s="168" t="str">
        <f t="shared" si="7"/>
        <v>TOR,2016-17</v>
      </c>
    </row>
    <row r="1800">
      <c r="A1800" s="161" t="str">
        <f>IFERROR(__xludf.DUMMYFUNCTION("""COMPUTED_VALUE"""),"jokicni01")</f>
        <v>jokicni01</v>
      </c>
      <c r="B1800" s="161" t="str">
        <f>IFERROR(__xludf.DUMMYFUNCTION("""COMPUTED_VALUE"""),"Nikola Jokic")</f>
        <v>Nikola Jokic</v>
      </c>
      <c r="C1800" s="162" t="str">
        <f>IFERROR(__xludf.DUMMYFUNCTION("""COMPUTED_VALUE"""),"2016-17")</f>
        <v>2016-17</v>
      </c>
      <c r="D1800" s="163" t="str">
        <f>IFERROR(__xludf.DUMMYFUNCTION("""COMPUTED_VALUE"""),"DEN")</f>
        <v>DEN</v>
      </c>
      <c r="E1800" s="164" t="str">
        <f>IFERROR(__xludf.DUMMYFUNCTION("""COMPUTED_VALUE"""),"Post Scorer")</f>
        <v>Post Scorer</v>
      </c>
      <c r="F1800" s="164">
        <f>IFERROR(__xludf.DUMMYFUNCTION("""COMPUTED_VALUE"""),2037.72833333333)</f>
        <v>2037.728333</v>
      </c>
      <c r="G1800" s="163">
        <f>IFERROR(__xludf.DUMMYFUNCTION("""COMPUTED_VALUE"""),73.0)</f>
        <v>73</v>
      </c>
      <c r="H1800" s="163" t="str">
        <f>IFERROR(__xludf.DUMMYFUNCTION("""COMPUTED_VALUE"""),"C")</f>
        <v>C</v>
      </c>
      <c r="I1800" s="163">
        <f>IFERROR(__xludf.DUMMYFUNCTION("""COMPUTED_VALUE"""),21.0)</f>
        <v>21</v>
      </c>
      <c r="J1800" s="165">
        <f>IFERROR(__xludf.DUMMYFUNCTION("""COMPUTED_VALUE"""),4.30312572170135)</f>
        <v>4.303125722</v>
      </c>
      <c r="K1800" s="165">
        <f>IFERROR(__xludf.DUMMYFUNCTION("""COMPUTED_VALUE"""),3.7942426838)</f>
        <v>3.794242684</v>
      </c>
      <c r="L1800" s="165">
        <f>IFERROR(__xludf.DUMMYFUNCTION("""COMPUTED_VALUE"""),0.508883037901348)</f>
        <v>0.5088830379</v>
      </c>
      <c r="M1800" s="166">
        <f t="shared" si="2"/>
        <v>8.90567188</v>
      </c>
      <c r="N1800" s="167">
        <f t="shared" si="3"/>
        <v>27.91408676</v>
      </c>
      <c r="O1800" s="163">
        <f t="shared" ref="O1800:Q1800" si="1804">rank(I1800,I:I)</f>
        <v>3528</v>
      </c>
      <c r="P1800" s="163">
        <f t="shared" si="1804"/>
        <v>81</v>
      </c>
      <c r="Q1800" s="163">
        <f t="shared" si="1804"/>
        <v>71</v>
      </c>
      <c r="R1800" s="163">
        <f>IFERROR(__xludf.DUMMYFUNCTION("RANK(M1800,filter(M:M,C:C=C1800))"),22.0)</f>
        <v>22</v>
      </c>
      <c r="S1800" s="161" t="b">
        <f t="shared" si="5"/>
        <v>0</v>
      </c>
      <c r="T1800" s="161" t="b">
        <f t="array" ref="T1800">index('Query Tool'!B:B,match(H1800,'Query Tool'!C:C,0))</f>
        <v>1</v>
      </c>
      <c r="U1800" s="161" t="b">
        <f t="array" ref="U1800">index('Query Tool'!B:B,match(C1800,'Query Tool'!C:C,0))</f>
        <v>0</v>
      </c>
      <c r="V1800" s="161" t="b">
        <f>F1800&gt;='Query Tool'!C$32</f>
        <v>1</v>
      </c>
      <c r="W1800" s="161" t="b">
        <f t="array" ref="W1800">index(Dropdowns!B:B,match(I1800,Dropdowns!A:A,0))</f>
        <v>1</v>
      </c>
      <c r="X1800" s="161" t="b">
        <f t="array" ref="X1800">index('Query Tool'!B:B,match(D1800,'Query Tool'!C:C,0))</f>
        <v>1</v>
      </c>
      <c r="Y1800" s="161" t="str">
        <f t="shared" si="6"/>
        <v>jokicni01,2016-17</v>
      </c>
      <c r="Z1800" s="168">
        <f t="array" ref="Z1800">iferror(index(I:I,match($A1800&amp;","&amp;index('Year Conversion'!$A:$A,match($C1800,'Year Conversion'!$B:$B,0)),$Y:$Y,0))-I1800,"")</f>
        <v>1</v>
      </c>
      <c r="AA1800" s="168">
        <f t="array" ref="AA1800">iferror(index(J:J,match($A1800&amp;","&amp;index('Year Conversion'!$A:$A,match($C1800,'Year Conversion'!$B:$B,0)),$Y:$Y,0))-J1800,"")</f>
        <v>0.3422355854</v>
      </c>
      <c r="AB1800" s="168">
        <f t="array" ref="AB1800">iferror(index(K:K,match($A1800&amp;","&amp;index('Year Conversion'!$A:$A,match($C1800,'Year Conversion'!$B:$B,0)),$Y:$Y,0))-K1800,"")</f>
        <v>-0.4918565129</v>
      </c>
      <c r="AC1800" s="168" t="str">
        <f t="shared" si="7"/>
        <v>DEN,2016-17</v>
      </c>
    </row>
    <row r="1801">
      <c r="A1801" s="161" t="str">
        <f>IFERROR(__xludf.DUMMYFUNCTION("""COMPUTED_VALUE"""),"porzikr01")</f>
        <v>porzikr01</v>
      </c>
      <c r="B1801" s="161" t="str">
        <f>IFERROR(__xludf.DUMMYFUNCTION("""COMPUTED_VALUE"""),"Kristaps Porzingis")</f>
        <v>Kristaps Porzingis</v>
      </c>
      <c r="C1801" s="162" t="str">
        <f>IFERROR(__xludf.DUMMYFUNCTION("""COMPUTED_VALUE"""),"2016-17")</f>
        <v>2016-17</v>
      </c>
      <c r="D1801" s="163" t="str">
        <f>IFERROR(__xludf.DUMMYFUNCTION("""COMPUTED_VALUE"""),"NYK")</f>
        <v>NYK</v>
      </c>
      <c r="E1801" s="164" t="str">
        <f>IFERROR(__xludf.DUMMYFUNCTION("""COMPUTED_VALUE"""),"Stretch Big")</f>
        <v>Stretch Big</v>
      </c>
      <c r="F1801" s="164">
        <f>IFERROR(__xludf.DUMMYFUNCTION("""COMPUTED_VALUE"""),2164.41333333333)</f>
        <v>2164.413333</v>
      </c>
      <c r="G1801" s="163">
        <f>IFERROR(__xludf.DUMMYFUNCTION("""COMPUTED_VALUE"""),66.0)</f>
        <v>66</v>
      </c>
      <c r="H1801" s="163" t="str">
        <f>IFERROR(__xludf.DUMMYFUNCTION("""COMPUTED_VALUE"""),"PF")</f>
        <v>PF</v>
      </c>
      <c r="I1801" s="163">
        <f>IFERROR(__xludf.DUMMYFUNCTION("""COMPUTED_VALUE"""),21.0)</f>
        <v>21</v>
      </c>
      <c r="J1801" s="165">
        <f>IFERROR(__xludf.DUMMYFUNCTION("""COMPUTED_VALUE"""),0.812044595508148)</f>
        <v>0.8120445955</v>
      </c>
      <c r="K1801" s="165">
        <f>IFERROR(__xludf.DUMMYFUNCTION("""COMPUTED_VALUE"""),-0.338725026981175)</f>
        <v>-0.338725027</v>
      </c>
      <c r="L1801" s="165">
        <f>IFERROR(__xludf.DUMMYFUNCTION("""COMPUTED_VALUE"""),1.15076962248932)</f>
        <v>1.150769622</v>
      </c>
      <c r="M1801" s="166">
        <f t="shared" si="2"/>
        <v>4.520675722</v>
      </c>
      <c r="N1801" s="167">
        <f t="shared" si="3"/>
        <v>32.79414141</v>
      </c>
      <c r="O1801" s="163">
        <f t="shared" ref="O1801:Q1801" si="1805">rank(I1801,I:I)</f>
        <v>3528</v>
      </c>
      <c r="P1801" s="163">
        <f t="shared" si="1805"/>
        <v>732</v>
      </c>
      <c r="Q1801" s="163">
        <f t="shared" si="1805"/>
        <v>1830</v>
      </c>
      <c r="R1801" s="163">
        <f>IFERROR(__xludf.DUMMYFUNCTION("RANK(M1801,filter(M:M,C:C=C1801))"),61.0)</f>
        <v>61</v>
      </c>
      <c r="S1801" s="161" t="b">
        <f t="shared" si="5"/>
        <v>0</v>
      </c>
      <c r="T1801" s="161" t="b">
        <f t="array" ref="T1801">index('Query Tool'!B:B,match(H1801,'Query Tool'!C:C,0))</f>
        <v>1</v>
      </c>
      <c r="U1801" s="161" t="b">
        <f t="array" ref="U1801">index('Query Tool'!B:B,match(C1801,'Query Tool'!C:C,0))</f>
        <v>0</v>
      </c>
      <c r="V1801" s="161" t="b">
        <f>F1801&gt;='Query Tool'!C$32</f>
        <v>1</v>
      </c>
      <c r="W1801" s="161" t="b">
        <f t="array" ref="W1801">index(Dropdowns!B:B,match(I1801,Dropdowns!A:A,0))</f>
        <v>1</v>
      </c>
      <c r="X1801" s="161" t="b">
        <f t="array" ref="X1801">index('Query Tool'!B:B,match(D1801,'Query Tool'!C:C,0))</f>
        <v>1</v>
      </c>
      <c r="Y1801" s="161" t="str">
        <f t="shared" si="6"/>
        <v>porzikr01,2016-17</v>
      </c>
      <c r="Z1801" s="168">
        <f t="array" ref="Z1801">iferror(index(I:I,match($A1801&amp;","&amp;index('Year Conversion'!$A:$A,match($C1801,'Year Conversion'!$B:$B,0)),$Y:$Y,0))-I1801,"")</f>
        <v>1</v>
      </c>
      <c r="AA1801" s="168">
        <f t="array" ref="AA1801">iferror(index(J:J,match($A1801&amp;","&amp;index('Year Conversion'!$A:$A,match($C1801,'Year Conversion'!$B:$B,0)),$Y:$Y,0))-J1801,"")</f>
        <v>1.53598012</v>
      </c>
      <c r="AB1801" s="168">
        <f t="array" ref="AB1801">iferror(index(K:K,match($A1801&amp;","&amp;index('Year Conversion'!$A:$A,match($C1801,'Year Conversion'!$B:$B,0)),$Y:$Y,0))-K1801,"")</f>
        <v>1.547640629</v>
      </c>
      <c r="AC1801" s="168" t="str">
        <f t="shared" si="7"/>
        <v>NYK,2016-17</v>
      </c>
    </row>
    <row r="1802">
      <c r="A1802" s="161" t="str">
        <f>IFERROR(__xludf.DUMMYFUNCTION("""COMPUTED_VALUE"""),"tavarwa01")</f>
        <v>tavarwa01</v>
      </c>
      <c r="B1802" s="161" t="str">
        <f>IFERROR(__xludf.DUMMYFUNCTION("""COMPUTED_VALUE"""),"Edy Tavares")</f>
        <v>Edy Tavares</v>
      </c>
      <c r="C1802" s="162" t="str">
        <f>IFERROR(__xludf.DUMMYFUNCTION("""COMPUTED_VALUE"""),"2016-17")</f>
        <v>2016-17</v>
      </c>
      <c r="D1802" s="163" t="str">
        <f>IFERROR(__xludf.DUMMYFUNCTION("""COMPUTED_VALUE"""),"TOT")</f>
        <v>TOT</v>
      </c>
      <c r="E1802" s="164" t="str">
        <f>IFERROR(__xludf.DUMMYFUNCTION("""COMPUTED_VALUE"""),"Post Scorer")</f>
        <v>Post Scorer</v>
      </c>
      <c r="F1802" s="164">
        <f>IFERROR(__xludf.DUMMYFUNCTION("""COMPUTED_VALUE"""),27.6)</f>
        <v>27.6</v>
      </c>
      <c r="G1802" s="163">
        <f>IFERROR(__xludf.DUMMYFUNCTION("""COMPUTED_VALUE"""),2.0)</f>
        <v>2</v>
      </c>
      <c r="H1802" s="163" t="str">
        <f>IFERROR(__xludf.DUMMYFUNCTION("""COMPUTED_VALUE"""),"C")</f>
        <v>C</v>
      </c>
      <c r="I1802" s="163">
        <f>IFERROR(__xludf.DUMMYFUNCTION("""COMPUTED_VALUE"""),24.0)</f>
        <v>24</v>
      </c>
      <c r="J1802" s="165">
        <f>IFERROR(__xludf.DUMMYFUNCTION("""COMPUTED_VALUE"""),-0.174787806201269)</f>
        <v>-0.1747878062</v>
      </c>
      <c r="K1802" s="165">
        <f>IFERROR(__xludf.DUMMYFUNCTION("""COMPUTED_VALUE"""),-0.150908360083345)</f>
        <v>-0.1509083601</v>
      </c>
      <c r="L1802" s="165">
        <f>IFERROR(__xludf.DUMMYFUNCTION("""COMPUTED_VALUE"""),-0.0238794461179244)</f>
        <v>-0.02387944612</v>
      </c>
      <c r="M1802" s="166">
        <f t="shared" si="2"/>
        <v>0.03929774965</v>
      </c>
      <c r="N1802" s="167">
        <f t="shared" si="3"/>
        <v>13.8</v>
      </c>
      <c r="O1802" s="163">
        <f t="shared" ref="O1802:Q1802" si="1806">rank(I1802,I:I)</f>
        <v>2361</v>
      </c>
      <c r="P1802" s="163">
        <f t="shared" si="1806"/>
        <v>1477</v>
      </c>
      <c r="Q1802" s="163">
        <f t="shared" si="1806"/>
        <v>1479</v>
      </c>
      <c r="R1802" s="163">
        <f>IFERROR(__xludf.DUMMYFUNCTION("RANK(M1802,filter(M:M,C:C=C1802))"),412.0)</f>
        <v>412</v>
      </c>
      <c r="S1802" s="161" t="b">
        <f t="shared" si="5"/>
        <v>0</v>
      </c>
      <c r="T1802" s="161" t="b">
        <f t="array" ref="T1802">index('Query Tool'!B:B,match(H1802,'Query Tool'!C:C,0))</f>
        <v>1</v>
      </c>
      <c r="U1802" s="161" t="b">
        <f t="array" ref="U1802">index('Query Tool'!B:B,match(C1802,'Query Tool'!C:C,0))</f>
        <v>0</v>
      </c>
      <c r="V1802" s="161" t="b">
        <f>F1802&gt;='Query Tool'!C$32</f>
        <v>0</v>
      </c>
      <c r="W1802" s="161" t="b">
        <f t="array" ref="W1802">index(Dropdowns!B:B,match(I1802,Dropdowns!A:A,0))</f>
        <v>1</v>
      </c>
      <c r="X1802" s="161" t="b">
        <f t="array" ref="X1802">index('Query Tool'!B:B,match(D1802,'Query Tool'!C:C,0))</f>
        <v>1</v>
      </c>
      <c r="Y1802" s="161" t="str">
        <f t="shared" si="6"/>
        <v>tavarwa01,2016-17</v>
      </c>
      <c r="Z1802" s="168" t="str">
        <f t="array" ref="Z1802">iferror(index(I:I,match($A1802&amp;","&amp;index('Year Conversion'!$A:$A,match($C1802,'Year Conversion'!$B:$B,0)),$Y:$Y,0))-I1802,"")</f>
        <v/>
      </c>
      <c r="AA1802" s="168" t="str">
        <f t="array" ref="AA1802">iferror(index(J:J,match($A1802&amp;","&amp;index('Year Conversion'!$A:$A,match($C1802,'Year Conversion'!$B:$B,0)),$Y:$Y,0))-J1802,"")</f>
        <v/>
      </c>
      <c r="AB1802" s="168" t="str">
        <f t="array" ref="AB1802">iferror(index(K:K,match($A1802&amp;","&amp;index('Year Conversion'!$A:$A,match($C1802,'Year Conversion'!$B:$B,0)),$Y:$Y,0))-K1802,"")</f>
        <v/>
      </c>
      <c r="AC1802" s="168" t="str">
        <f t="shared" si="7"/>
        <v>TOT,2016-17</v>
      </c>
    </row>
    <row r="1803">
      <c r="A1803" s="161" t="str">
        <f>IFERROR(__xludf.DUMMYFUNCTION("""COMPUTED_VALUE"""),"rudezda01")</f>
        <v>rudezda01</v>
      </c>
      <c r="B1803" s="161" t="str">
        <f>IFERROR(__xludf.DUMMYFUNCTION("""COMPUTED_VALUE"""),"Damjan Rudez")</f>
        <v>Damjan Rudez</v>
      </c>
      <c r="C1803" s="162" t="str">
        <f>IFERROR(__xludf.DUMMYFUNCTION("""COMPUTED_VALUE"""),"2016-17")</f>
        <v>2016-17</v>
      </c>
      <c r="D1803" s="163" t="str">
        <f>IFERROR(__xludf.DUMMYFUNCTION("""COMPUTED_VALUE"""),"ORL")</f>
        <v>ORL</v>
      </c>
      <c r="E1803" s="164" t="str">
        <f>IFERROR(__xludf.DUMMYFUNCTION("""COMPUTED_VALUE"""),"Stationary Shooter")</f>
        <v>Stationary Shooter</v>
      </c>
      <c r="F1803" s="164">
        <f>IFERROR(__xludf.DUMMYFUNCTION("""COMPUTED_VALUE"""),313.56)</f>
        <v>313.56</v>
      </c>
      <c r="G1803" s="163">
        <f>IFERROR(__xludf.DUMMYFUNCTION("""COMPUTED_VALUE"""),45.0)</f>
        <v>45</v>
      </c>
      <c r="H1803" s="163" t="str">
        <f>IFERROR(__xludf.DUMMYFUNCTION("""COMPUTED_VALUE"""),"SF")</f>
        <v>SF</v>
      </c>
      <c r="I1803" s="163">
        <f>IFERROR(__xludf.DUMMYFUNCTION("""COMPUTED_VALUE"""),30.0)</f>
        <v>30</v>
      </c>
      <c r="J1803" s="165">
        <f>IFERROR(__xludf.DUMMYFUNCTION("""COMPUTED_VALUE"""),-1.97266439525422)</f>
        <v>-1.972664395</v>
      </c>
      <c r="K1803" s="165">
        <f>IFERROR(__xludf.DUMMYFUNCTION("""COMPUTED_VALUE"""),-1.25399455659444)</f>
        <v>-1.253994557</v>
      </c>
      <c r="L1803" s="165">
        <f>IFERROR(__xludf.DUMMYFUNCTION("""COMPUTED_VALUE"""),-0.718669838659773)</f>
        <v>-0.7186698387</v>
      </c>
      <c r="M1803" s="166">
        <f t="shared" si="2"/>
        <v>0.06862565427</v>
      </c>
      <c r="N1803" s="167">
        <f t="shared" si="3"/>
        <v>6.968</v>
      </c>
      <c r="O1803" s="163">
        <f t="shared" ref="O1803:Q1803" si="1807">rank(I1803,I:I)</f>
        <v>655</v>
      </c>
      <c r="P1803" s="163">
        <f t="shared" si="1807"/>
        <v>3460</v>
      </c>
      <c r="Q1803" s="163">
        <f t="shared" si="1807"/>
        <v>3087</v>
      </c>
      <c r="R1803" s="163">
        <f>IFERROR(__xludf.DUMMYFUNCTION("RANK(M1803,filter(M:M,C:C=C1803))"),390.0)</f>
        <v>390</v>
      </c>
      <c r="S1803" s="161" t="b">
        <f t="shared" si="5"/>
        <v>0</v>
      </c>
      <c r="T1803" s="161" t="b">
        <f t="array" ref="T1803">index('Query Tool'!B:B,match(H1803,'Query Tool'!C:C,0))</f>
        <v>1</v>
      </c>
      <c r="U1803" s="161" t="b">
        <f t="array" ref="U1803">index('Query Tool'!B:B,match(C1803,'Query Tool'!C:C,0))</f>
        <v>0</v>
      </c>
      <c r="V1803" s="161" t="b">
        <f>F1803&gt;='Query Tool'!C$32</f>
        <v>0</v>
      </c>
      <c r="W1803" s="161" t="b">
        <f t="array" ref="W1803">index(Dropdowns!B:B,match(I1803,Dropdowns!A:A,0))</f>
        <v>1</v>
      </c>
      <c r="X1803" s="161" t="b">
        <f t="array" ref="X1803">index('Query Tool'!B:B,match(D1803,'Query Tool'!C:C,0))</f>
        <v>1</v>
      </c>
      <c r="Y1803" s="161" t="str">
        <f t="shared" si="6"/>
        <v>rudezda01,2016-17</v>
      </c>
      <c r="Z1803" s="168" t="str">
        <f t="array" ref="Z1803">iferror(index(I:I,match($A1803&amp;","&amp;index('Year Conversion'!$A:$A,match($C1803,'Year Conversion'!$B:$B,0)),$Y:$Y,0))-I1803,"")</f>
        <v/>
      </c>
      <c r="AA1803" s="168" t="str">
        <f t="array" ref="AA1803">iferror(index(J:J,match($A1803&amp;","&amp;index('Year Conversion'!$A:$A,match($C1803,'Year Conversion'!$B:$B,0)),$Y:$Y,0))-J1803,"")</f>
        <v/>
      </c>
      <c r="AB1803" s="168" t="str">
        <f t="array" ref="AB1803">iferror(index(K:K,match($A1803&amp;","&amp;index('Year Conversion'!$A:$A,match($C1803,'Year Conversion'!$B:$B,0)),$Y:$Y,0))-K1803,"")</f>
        <v/>
      </c>
      <c r="AC1803" s="168" t="str">
        <f t="shared" si="7"/>
        <v>ORL,2016-17</v>
      </c>
    </row>
    <row r="1804">
      <c r="A1804" s="161" t="str">
        <f>IFERROR(__xludf.DUMMYFUNCTION("""COMPUTED_VALUE"""),"johnsty01")</f>
        <v>johnsty01</v>
      </c>
      <c r="B1804" s="161" t="str">
        <f>IFERROR(__xludf.DUMMYFUNCTION("""COMPUTED_VALUE"""),"Tyler Johnson")</f>
        <v>Tyler Johnson</v>
      </c>
      <c r="C1804" s="162" t="str">
        <f>IFERROR(__xludf.DUMMYFUNCTION("""COMPUTED_VALUE"""),"2016-17")</f>
        <v>2016-17</v>
      </c>
      <c r="D1804" s="163" t="str">
        <f>IFERROR(__xludf.DUMMYFUNCTION("""COMPUTED_VALUE"""),"MIA")</f>
        <v>MIA</v>
      </c>
      <c r="E1804" s="164" t="str">
        <f>IFERROR(__xludf.DUMMYFUNCTION("""COMPUTED_VALUE"""),"Secondary Ball Handler")</f>
        <v>Secondary Ball Handler</v>
      </c>
      <c r="F1804" s="164">
        <f>IFERROR(__xludf.DUMMYFUNCTION("""COMPUTED_VALUE"""),2177.48333333333)</f>
        <v>2177.483333</v>
      </c>
      <c r="G1804" s="163">
        <f>IFERROR(__xludf.DUMMYFUNCTION("""COMPUTED_VALUE"""),73.0)</f>
        <v>73</v>
      </c>
      <c r="H1804" s="163" t="str">
        <f>IFERROR(__xludf.DUMMYFUNCTION("""COMPUTED_VALUE"""),"PG")</f>
        <v>PG</v>
      </c>
      <c r="I1804" s="163">
        <f>IFERROR(__xludf.DUMMYFUNCTION("""COMPUTED_VALUE"""),24.0)</f>
        <v>24</v>
      </c>
      <c r="J1804" s="165">
        <f>IFERROR(__xludf.DUMMYFUNCTION("""COMPUTED_VALUE"""),0.134149367423218)</f>
        <v>0.1341493674</v>
      </c>
      <c r="K1804" s="165">
        <f>IFERROR(__xludf.DUMMYFUNCTION("""COMPUTED_VALUE"""),0.182023041120846)</f>
        <v>0.1820230411</v>
      </c>
      <c r="L1804" s="165">
        <f>IFERROR(__xludf.DUMMYFUNCTION("""COMPUTED_VALUE"""),-0.0478736736976278)</f>
        <v>-0.0478736737</v>
      </c>
      <c r="M1804" s="166">
        <f t="shared" si="2"/>
        <v>3.553884795</v>
      </c>
      <c r="N1804" s="167">
        <f t="shared" si="3"/>
        <v>29.82853881</v>
      </c>
      <c r="O1804" s="163">
        <f t="shared" ref="O1804:Q1804" si="1808">rank(I1804,I:I)</f>
        <v>2361</v>
      </c>
      <c r="P1804" s="163">
        <f t="shared" si="1808"/>
        <v>1151</v>
      </c>
      <c r="Q1804" s="163">
        <f t="shared" si="1808"/>
        <v>998</v>
      </c>
      <c r="R1804" s="163">
        <f>IFERROR(__xludf.DUMMYFUNCTION("RANK(M1804,filter(M:M,C:C=C1804))"),100.0)</f>
        <v>100</v>
      </c>
      <c r="S1804" s="161" t="b">
        <f t="shared" si="5"/>
        <v>0</v>
      </c>
      <c r="T1804" s="161" t="b">
        <f t="array" ref="T1804">index('Query Tool'!B:B,match(H1804,'Query Tool'!C:C,0))</f>
        <v>1</v>
      </c>
      <c r="U1804" s="161" t="b">
        <f t="array" ref="U1804">index('Query Tool'!B:B,match(C1804,'Query Tool'!C:C,0))</f>
        <v>0</v>
      </c>
      <c r="V1804" s="161" t="b">
        <f>F1804&gt;='Query Tool'!C$32</f>
        <v>1</v>
      </c>
      <c r="W1804" s="161" t="b">
        <f t="array" ref="W1804">index(Dropdowns!B:B,match(I1804,Dropdowns!A:A,0))</f>
        <v>1</v>
      </c>
      <c r="X1804" s="161" t="b">
        <f t="array" ref="X1804">index('Query Tool'!B:B,match(D1804,'Query Tool'!C:C,0))</f>
        <v>1</v>
      </c>
      <c r="Y1804" s="161" t="str">
        <f t="shared" si="6"/>
        <v>johnsty01,2016-17</v>
      </c>
      <c r="Z1804" s="168">
        <f t="array" ref="Z1804">iferror(index(I:I,match($A1804&amp;","&amp;index('Year Conversion'!$A:$A,match($C1804,'Year Conversion'!$B:$B,0)),$Y:$Y,0))-I1804,"")</f>
        <v>1</v>
      </c>
      <c r="AA1804" s="168">
        <f t="array" ref="AA1804">iferror(index(J:J,match($A1804&amp;","&amp;index('Year Conversion'!$A:$A,match($C1804,'Year Conversion'!$B:$B,0)),$Y:$Y,0))-J1804,"")</f>
        <v>-0.4827288889</v>
      </c>
      <c r="AB1804" s="168">
        <f t="array" ref="AB1804">iferror(index(K:K,match($A1804&amp;","&amp;index('Year Conversion'!$A:$A,match($C1804,'Year Conversion'!$B:$B,0)),$Y:$Y,0))-K1804,"")</f>
        <v>-0.6556195392</v>
      </c>
      <c r="AC1804" s="168" t="str">
        <f t="shared" si="7"/>
        <v>MIA,2016-17</v>
      </c>
    </row>
    <row r="1805">
      <c r="A1805" s="161" t="str">
        <f>IFERROR(__xludf.DUMMYFUNCTION("""COMPUTED_VALUE"""),"fraziti01")</f>
        <v>fraziti01</v>
      </c>
      <c r="B1805" s="161" t="str">
        <f>IFERROR(__xludf.DUMMYFUNCTION("""COMPUTED_VALUE"""),"Tim Frazier")</f>
        <v>Tim Frazier</v>
      </c>
      <c r="C1805" s="162" t="str">
        <f>IFERROR(__xludf.DUMMYFUNCTION("""COMPUTED_VALUE"""),"2016-17")</f>
        <v>2016-17</v>
      </c>
      <c r="D1805" s="163" t="str">
        <f>IFERROR(__xludf.DUMMYFUNCTION("""COMPUTED_VALUE"""),"NOP")</f>
        <v>NOP</v>
      </c>
      <c r="E1805" s="164" t="str">
        <f>IFERROR(__xludf.DUMMYFUNCTION("""COMPUTED_VALUE"""),"Primary Ball Handler")</f>
        <v>Primary Ball Handler</v>
      </c>
      <c r="F1805" s="164">
        <f>IFERROR(__xludf.DUMMYFUNCTION("""COMPUTED_VALUE"""),1524.65166666667)</f>
        <v>1524.651667</v>
      </c>
      <c r="G1805" s="163">
        <f>IFERROR(__xludf.DUMMYFUNCTION("""COMPUTED_VALUE"""),65.0)</f>
        <v>65</v>
      </c>
      <c r="H1805" s="163" t="str">
        <f>IFERROR(__xludf.DUMMYFUNCTION("""COMPUTED_VALUE"""),"PG")</f>
        <v>PG</v>
      </c>
      <c r="I1805" s="163">
        <f>IFERROR(__xludf.DUMMYFUNCTION("""COMPUTED_VALUE"""),26.0)</f>
        <v>26</v>
      </c>
      <c r="J1805" s="165">
        <f>IFERROR(__xludf.DUMMYFUNCTION("""COMPUTED_VALUE"""),-0.569451403954173)</f>
        <v>-0.569451404</v>
      </c>
      <c r="K1805" s="165">
        <f>IFERROR(__xludf.DUMMYFUNCTION("""COMPUTED_VALUE"""),-0.505527513202674)</f>
        <v>-0.5055275132</v>
      </c>
      <c r="L1805" s="165">
        <f>IFERROR(__xludf.DUMMYFUNCTION("""COMPUTED_VALUE"""),-0.063923890751499)</f>
        <v>-0.06392389075</v>
      </c>
      <c r="M1805" s="166">
        <f t="shared" si="2"/>
        <v>1.765426461</v>
      </c>
      <c r="N1805" s="167">
        <f t="shared" si="3"/>
        <v>23.45617949</v>
      </c>
      <c r="O1805" s="163">
        <f t="shared" ref="O1805:Q1805" si="1809">rank(I1805,I:I)</f>
        <v>1665</v>
      </c>
      <c r="P1805" s="163">
        <f t="shared" si="1809"/>
        <v>1950</v>
      </c>
      <c r="Q1805" s="163">
        <f t="shared" si="1809"/>
        <v>2111</v>
      </c>
      <c r="R1805" s="163">
        <f>IFERROR(__xludf.DUMMYFUNCTION("RANK(M1805,filter(M:M,C:C=C1805))"),174.0)</f>
        <v>174</v>
      </c>
      <c r="S1805" s="161" t="b">
        <f t="shared" si="5"/>
        <v>0</v>
      </c>
      <c r="T1805" s="161" t="b">
        <f t="array" ref="T1805">index('Query Tool'!B:B,match(H1805,'Query Tool'!C:C,0))</f>
        <v>1</v>
      </c>
      <c r="U1805" s="161" t="b">
        <f t="array" ref="U1805">index('Query Tool'!B:B,match(C1805,'Query Tool'!C:C,0))</f>
        <v>0</v>
      </c>
      <c r="V1805" s="161" t="b">
        <f>F1805&gt;='Query Tool'!C$32</f>
        <v>1</v>
      </c>
      <c r="W1805" s="161" t="b">
        <f t="array" ref="W1805">index(Dropdowns!B:B,match(I1805,Dropdowns!A:A,0))</f>
        <v>1</v>
      </c>
      <c r="X1805" s="161" t="b">
        <f t="array" ref="X1805">index('Query Tool'!B:B,match(D1805,'Query Tool'!C:C,0))</f>
        <v>1</v>
      </c>
      <c r="Y1805" s="161" t="str">
        <f t="shared" si="6"/>
        <v>fraziti01,2016-17</v>
      </c>
      <c r="Z1805" s="168">
        <f t="array" ref="Z1805">iferror(index(I:I,match($A1805&amp;","&amp;index('Year Conversion'!$A:$A,match($C1805,'Year Conversion'!$B:$B,0)),$Y:$Y,0))-I1805,"")</f>
        <v>1</v>
      </c>
      <c r="AA1805" s="168">
        <f t="array" ref="AA1805">iferror(index(J:J,match($A1805&amp;","&amp;index('Year Conversion'!$A:$A,match($C1805,'Year Conversion'!$B:$B,0)),$Y:$Y,0))-J1805,"")</f>
        <v>0.2279437222</v>
      </c>
      <c r="AB1805" s="168">
        <f t="array" ref="AB1805">iferror(index(K:K,match($A1805&amp;","&amp;index('Year Conversion'!$A:$A,match($C1805,'Year Conversion'!$B:$B,0)),$Y:$Y,0))-K1805,"")</f>
        <v>-0.3051132612</v>
      </c>
      <c r="AC1805" s="168" t="str">
        <f t="shared" si="7"/>
        <v>NOP,2016-17</v>
      </c>
    </row>
    <row r="1806">
      <c r="A1806" s="161" t="str">
        <f>IFERROR(__xludf.DUMMYFUNCTION("""COMPUTED_VALUE"""),"blackta01")</f>
        <v>blackta01</v>
      </c>
      <c r="B1806" s="161" t="str">
        <f>IFERROR(__xludf.DUMMYFUNCTION("""COMPUTED_VALUE"""),"Tarik Black")</f>
        <v>Tarik Black</v>
      </c>
      <c r="C1806" s="162" t="str">
        <f>IFERROR(__xludf.DUMMYFUNCTION("""COMPUTED_VALUE"""),"2016-17")</f>
        <v>2016-17</v>
      </c>
      <c r="D1806" s="163" t="str">
        <f>IFERROR(__xludf.DUMMYFUNCTION("""COMPUTED_VALUE"""),"LAL")</f>
        <v>LAL</v>
      </c>
      <c r="E1806" s="164" t="str">
        <f>IFERROR(__xludf.DUMMYFUNCTION("""COMPUTED_VALUE"""),"Post Scorer")</f>
        <v>Post Scorer</v>
      </c>
      <c r="F1806" s="164">
        <f>IFERROR(__xludf.DUMMYFUNCTION("""COMPUTED_VALUE"""),1090.89833333333)</f>
        <v>1090.898333</v>
      </c>
      <c r="G1806" s="163">
        <f>IFERROR(__xludf.DUMMYFUNCTION("""COMPUTED_VALUE"""),67.0)</f>
        <v>67</v>
      </c>
      <c r="H1806" s="163" t="str">
        <f>IFERROR(__xludf.DUMMYFUNCTION("""COMPUTED_VALUE"""),"C")</f>
        <v>C</v>
      </c>
      <c r="I1806" s="163">
        <f>IFERROR(__xludf.DUMMYFUNCTION("""COMPUTED_VALUE"""),25.0)</f>
        <v>25</v>
      </c>
      <c r="J1806" s="165">
        <f>IFERROR(__xludf.DUMMYFUNCTION("""COMPUTED_VALUE"""),-0.135851640762525)</f>
        <v>-0.1358516408</v>
      </c>
      <c r="K1806" s="165">
        <f>IFERROR(__xludf.DUMMYFUNCTION("""COMPUTED_VALUE"""),-1.51548515977618)</f>
        <v>-1.51548516</v>
      </c>
      <c r="L1806" s="165">
        <f>IFERROR(__xludf.DUMMYFUNCTION("""COMPUTED_VALUE"""),1.37963351901365)</f>
        <v>1.379633519</v>
      </c>
      <c r="M1806" s="166">
        <f t="shared" si="2"/>
        <v>1.581889007</v>
      </c>
      <c r="N1806" s="167">
        <f t="shared" si="3"/>
        <v>16.28206468</v>
      </c>
      <c r="O1806" s="163">
        <f t="shared" ref="O1806:Q1806" si="1810">rank(I1806,I:I)</f>
        <v>1995</v>
      </c>
      <c r="P1806" s="163">
        <f t="shared" si="1810"/>
        <v>1420</v>
      </c>
      <c r="Q1806" s="163">
        <f t="shared" si="1810"/>
        <v>3373</v>
      </c>
      <c r="R1806" s="163">
        <f>IFERROR(__xludf.DUMMYFUNCTION("RANK(M1806,filter(M:M,C:C=C1806))"),186.0)</f>
        <v>186</v>
      </c>
      <c r="S1806" s="161" t="b">
        <f t="shared" si="5"/>
        <v>0</v>
      </c>
      <c r="T1806" s="161" t="b">
        <f t="array" ref="T1806">index('Query Tool'!B:B,match(H1806,'Query Tool'!C:C,0))</f>
        <v>1</v>
      </c>
      <c r="U1806" s="161" t="b">
        <f t="array" ref="U1806">index('Query Tool'!B:B,match(C1806,'Query Tool'!C:C,0))</f>
        <v>0</v>
      </c>
      <c r="V1806" s="161" t="b">
        <f>F1806&gt;='Query Tool'!C$32</f>
        <v>1</v>
      </c>
      <c r="W1806" s="161" t="b">
        <f t="array" ref="W1806">index(Dropdowns!B:B,match(I1806,Dropdowns!A:A,0))</f>
        <v>1</v>
      </c>
      <c r="X1806" s="161" t="b">
        <f t="array" ref="X1806">index('Query Tool'!B:B,match(D1806,'Query Tool'!C:C,0))</f>
        <v>1</v>
      </c>
      <c r="Y1806" s="161" t="str">
        <f t="shared" si="6"/>
        <v>blackta01,2016-17</v>
      </c>
      <c r="Z1806" s="168">
        <f t="array" ref="Z1806">iferror(index(I:I,match($A1806&amp;","&amp;index('Year Conversion'!$A:$A,match($C1806,'Year Conversion'!$B:$B,0)),$Y:$Y,0))-I1806,"")</f>
        <v>1</v>
      </c>
      <c r="AA1806" s="168">
        <f t="array" ref="AA1806">iferror(index(J:J,match($A1806&amp;","&amp;index('Year Conversion'!$A:$A,match($C1806,'Year Conversion'!$B:$B,0)),$Y:$Y,0))-J1806,"")</f>
        <v>-1.706332391</v>
      </c>
      <c r="AB1806" s="168">
        <f t="array" ref="AB1806">iferror(index(K:K,match($A1806&amp;","&amp;index('Year Conversion'!$A:$A,match($C1806,'Year Conversion'!$B:$B,0)),$Y:$Y,0))-K1806,"")</f>
        <v>-0.7855907697</v>
      </c>
      <c r="AC1806" s="168" t="str">
        <f t="shared" si="7"/>
        <v>LAL,2016-17</v>
      </c>
    </row>
    <row r="1807">
      <c r="A1807" s="161" t="str">
        <f>IFERROR(__xludf.DUMMYFUNCTION("""COMPUTED_VALUE"""),"gallola01")</f>
        <v>gallola01</v>
      </c>
      <c r="B1807" s="161" t="str">
        <f>IFERROR(__xludf.DUMMYFUNCTION("""COMPUTED_VALUE"""),"Langston Galloway")</f>
        <v>Langston Galloway</v>
      </c>
      <c r="C1807" s="162" t="str">
        <f>IFERROR(__xludf.DUMMYFUNCTION("""COMPUTED_VALUE"""),"2016-17")</f>
        <v>2016-17</v>
      </c>
      <c r="D1807" s="163" t="str">
        <f>IFERROR(__xludf.DUMMYFUNCTION("""COMPUTED_VALUE"""),"TOT")</f>
        <v>TOT</v>
      </c>
      <c r="E1807" s="164" t="str">
        <f>IFERROR(__xludf.DUMMYFUNCTION("""COMPUTED_VALUE"""),"Secondary Ball Handler")</f>
        <v>Secondary Ball Handler</v>
      </c>
      <c r="F1807" s="164">
        <f>IFERROR(__xludf.DUMMYFUNCTION("""COMPUTED_VALUE"""),1494.39166666667)</f>
        <v>1494.391667</v>
      </c>
      <c r="G1807" s="163">
        <f>IFERROR(__xludf.DUMMYFUNCTION("""COMPUTED_VALUE"""),74.0)</f>
        <v>74</v>
      </c>
      <c r="H1807" s="163" t="str">
        <f>IFERROR(__xludf.DUMMYFUNCTION("""COMPUTED_VALUE"""),"PG")</f>
        <v>PG</v>
      </c>
      <c r="I1807" s="163">
        <f>IFERROR(__xludf.DUMMYFUNCTION("""COMPUTED_VALUE"""),25.0)</f>
        <v>25</v>
      </c>
      <c r="J1807" s="165">
        <f>IFERROR(__xludf.DUMMYFUNCTION("""COMPUTED_VALUE"""),-2.26124533969391)</f>
        <v>-2.26124534</v>
      </c>
      <c r="K1807" s="165">
        <f>IFERROR(__xludf.DUMMYFUNCTION("""COMPUTED_VALUE"""),-0.875649300928341)</f>
        <v>-0.8756493009</v>
      </c>
      <c r="L1807" s="165">
        <f>IFERROR(__xludf.DUMMYFUNCTION("""COMPUTED_VALUE"""),-1.38559603876556)</f>
        <v>-1.385596039</v>
      </c>
      <c r="M1807" s="166">
        <f t="shared" si="2"/>
        <v>0.04168706421</v>
      </c>
      <c r="N1807" s="167">
        <f t="shared" si="3"/>
        <v>20.19448198</v>
      </c>
      <c r="O1807" s="163">
        <f t="shared" ref="O1807:Q1807" si="1811">rank(I1807,I:I)</f>
        <v>1995</v>
      </c>
      <c r="P1807" s="163">
        <f t="shared" si="1811"/>
        <v>3636</v>
      </c>
      <c r="Q1807" s="163">
        <f t="shared" si="1811"/>
        <v>2654</v>
      </c>
      <c r="R1807" s="163">
        <f>IFERROR(__xludf.DUMMYFUNCTION("RANK(M1807,filter(M:M,C:C=C1807))"),408.0)</f>
        <v>408</v>
      </c>
      <c r="S1807" s="161" t="b">
        <f t="shared" si="5"/>
        <v>0</v>
      </c>
      <c r="T1807" s="161" t="b">
        <f t="array" ref="T1807">index('Query Tool'!B:B,match(H1807,'Query Tool'!C:C,0))</f>
        <v>1</v>
      </c>
      <c r="U1807" s="161" t="b">
        <f t="array" ref="U1807">index('Query Tool'!B:B,match(C1807,'Query Tool'!C:C,0))</f>
        <v>0</v>
      </c>
      <c r="V1807" s="161" t="b">
        <f>F1807&gt;='Query Tool'!C$32</f>
        <v>1</v>
      </c>
      <c r="W1807" s="161" t="b">
        <f t="array" ref="W1807">index(Dropdowns!B:B,match(I1807,Dropdowns!A:A,0))</f>
        <v>1</v>
      </c>
      <c r="X1807" s="161" t="b">
        <f t="array" ref="X1807">index('Query Tool'!B:B,match(D1807,'Query Tool'!C:C,0))</f>
        <v>1</v>
      </c>
      <c r="Y1807" s="161" t="str">
        <f t="shared" si="6"/>
        <v>gallola01,2016-17</v>
      </c>
      <c r="Z1807" s="168">
        <f t="array" ref="Z1807">iferror(index(I:I,match($A1807&amp;","&amp;index('Year Conversion'!$A:$A,match($C1807,'Year Conversion'!$B:$B,0)),$Y:$Y,0))-I1807,"")</f>
        <v>1</v>
      </c>
      <c r="AA1807" s="168">
        <f t="array" ref="AA1807">iferror(index(J:J,match($A1807&amp;","&amp;index('Year Conversion'!$A:$A,match($C1807,'Year Conversion'!$B:$B,0)),$Y:$Y,0))-J1807,"")</f>
        <v>2.499758581</v>
      </c>
      <c r="AB1807" s="168">
        <f t="array" ref="AB1807">iferror(index(K:K,match($A1807&amp;","&amp;index('Year Conversion'!$A:$A,match($C1807,'Year Conversion'!$B:$B,0)),$Y:$Y,0))-K1807,"")</f>
        <v>1.10310436</v>
      </c>
      <c r="AC1807" s="168" t="str">
        <f t="shared" si="7"/>
        <v>TOT,2016-17</v>
      </c>
    </row>
    <row r="1808">
      <c r="A1808" s="161" t="str">
        <f>IFERROR(__xludf.DUMMYFUNCTION("""COMPUTED_VALUE"""),"inglejo01")</f>
        <v>inglejo01</v>
      </c>
      <c r="B1808" s="161" t="str">
        <f>IFERROR(__xludf.DUMMYFUNCTION("""COMPUTED_VALUE"""),"Joe Ingles")</f>
        <v>Joe Ingles</v>
      </c>
      <c r="C1808" s="162" t="str">
        <f>IFERROR(__xludf.DUMMYFUNCTION("""COMPUTED_VALUE"""),"2016-17")</f>
        <v>2016-17</v>
      </c>
      <c r="D1808" s="163" t="str">
        <f>IFERROR(__xludf.DUMMYFUNCTION("""COMPUTED_VALUE"""),"UTA")</f>
        <v>UTA</v>
      </c>
      <c r="E1808" s="164" t="str">
        <f>IFERROR(__xludf.DUMMYFUNCTION("""COMPUTED_VALUE"""),"Secondary Ball Handler")</f>
        <v>Secondary Ball Handler</v>
      </c>
      <c r="F1808" s="164">
        <f>IFERROR(__xludf.DUMMYFUNCTION("""COMPUTED_VALUE"""),1972.15833333333)</f>
        <v>1972.158333</v>
      </c>
      <c r="G1808" s="163">
        <f>IFERROR(__xludf.DUMMYFUNCTION("""COMPUTED_VALUE"""),82.0)</f>
        <v>82</v>
      </c>
      <c r="H1808" s="163" t="str">
        <f>IFERROR(__xludf.DUMMYFUNCTION("""COMPUTED_VALUE"""),"SF")</f>
        <v>SF</v>
      </c>
      <c r="I1808" s="163">
        <f>IFERROR(__xludf.DUMMYFUNCTION("""COMPUTED_VALUE"""),29.0)</f>
        <v>29</v>
      </c>
      <c r="J1808" s="165">
        <f>IFERROR(__xludf.DUMMYFUNCTION("""COMPUTED_VALUE"""),0.916909391854031)</f>
        <v>0.9169093919</v>
      </c>
      <c r="K1808" s="165">
        <f>IFERROR(__xludf.DUMMYFUNCTION("""COMPUTED_VALUE"""),0.674757672918633)</f>
        <v>0.6747576729</v>
      </c>
      <c r="L1808" s="165">
        <f>IFERROR(__xludf.DUMMYFUNCTION("""COMPUTED_VALUE"""),0.242151718935398)</f>
        <v>0.2421517189</v>
      </c>
      <c r="M1808" s="166">
        <f t="shared" si="2"/>
        <v>4.258119948</v>
      </c>
      <c r="N1808" s="167">
        <f t="shared" si="3"/>
        <v>24.05071138</v>
      </c>
      <c r="O1808" s="163">
        <f t="shared" ref="O1808:Q1808" si="1812">rank(I1808,I:I)</f>
        <v>855</v>
      </c>
      <c r="P1808" s="163">
        <f t="shared" si="1812"/>
        <v>688</v>
      </c>
      <c r="Q1808" s="163">
        <f t="shared" si="1812"/>
        <v>667</v>
      </c>
      <c r="R1808" s="163">
        <f>IFERROR(__xludf.DUMMYFUNCTION("RANK(M1808,filter(M:M,C:C=C1808))"),72.0)</f>
        <v>72</v>
      </c>
      <c r="S1808" s="161" t="b">
        <f t="shared" si="5"/>
        <v>0</v>
      </c>
      <c r="T1808" s="161" t="b">
        <f t="array" ref="T1808">index('Query Tool'!B:B,match(H1808,'Query Tool'!C:C,0))</f>
        <v>1</v>
      </c>
      <c r="U1808" s="161" t="b">
        <f t="array" ref="U1808">index('Query Tool'!B:B,match(C1808,'Query Tool'!C:C,0))</f>
        <v>0</v>
      </c>
      <c r="V1808" s="161" t="b">
        <f>F1808&gt;='Query Tool'!C$32</f>
        <v>1</v>
      </c>
      <c r="W1808" s="161" t="b">
        <f t="array" ref="W1808">index(Dropdowns!B:B,match(I1808,Dropdowns!A:A,0))</f>
        <v>1</v>
      </c>
      <c r="X1808" s="161" t="b">
        <f t="array" ref="X1808">index('Query Tool'!B:B,match(D1808,'Query Tool'!C:C,0))</f>
        <v>1</v>
      </c>
      <c r="Y1808" s="161" t="str">
        <f t="shared" si="6"/>
        <v>inglejo01,2016-17</v>
      </c>
      <c r="Z1808" s="168">
        <f t="array" ref="Z1808">iferror(index(I:I,match($A1808&amp;","&amp;index('Year Conversion'!$A:$A,match($C1808,'Year Conversion'!$B:$B,0)),$Y:$Y,0))-I1808,"")</f>
        <v>1</v>
      </c>
      <c r="AA1808" s="168">
        <f t="array" ref="AA1808">iferror(index(J:J,match($A1808&amp;","&amp;index('Year Conversion'!$A:$A,match($C1808,'Year Conversion'!$B:$B,0)),$Y:$Y,0))-J1808,"")</f>
        <v>0.8989052932</v>
      </c>
      <c r="AB1808" s="168">
        <f t="array" ref="AB1808">iferror(index(K:K,match($A1808&amp;","&amp;index('Year Conversion'!$A:$A,match($C1808,'Year Conversion'!$B:$B,0)),$Y:$Y,0))-K1808,"")</f>
        <v>-0.2332379114</v>
      </c>
      <c r="AC1808" s="168" t="str">
        <f t="shared" si="7"/>
        <v>UTA,2016-17</v>
      </c>
    </row>
    <row r="1809">
      <c r="A1809" s="161" t="str">
        <f>IFERROR(__xludf.DUMMYFUNCTION("""COMPUTED_VALUE"""),"eddieja01")</f>
        <v>eddieja01</v>
      </c>
      <c r="B1809" s="161" t="str">
        <f>IFERROR(__xludf.DUMMYFUNCTION("""COMPUTED_VALUE"""),"Jarell Eddie")</f>
        <v>Jarell Eddie</v>
      </c>
      <c r="C1809" s="162" t="str">
        <f>IFERROR(__xludf.DUMMYFUNCTION("""COMPUTED_VALUE"""),"2016-17")</f>
        <v>2016-17</v>
      </c>
      <c r="D1809" s="163" t="str">
        <f>IFERROR(__xludf.DUMMYFUNCTION("""COMPUTED_VALUE"""),"PHO")</f>
        <v>PHO</v>
      </c>
      <c r="E1809" s="164" t="str">
        <f>IFERROR(__xludf.DUMMYFUNCTION("""COMPUTED_VALUE"""),"Off Screen Shooter")</f>
        <v>Off Screen Shooter</v>
      </c>
      <c r="F1809" s="164">
        <f>IFERROR(__xludf.DUMMYFUNCTION("""COMPUTED_VALUE"""),62.3416666666667)</f>
        <v>62.34166667</v>
      </c>
      <c r="G1809" s="163">
        <f>IFERROR(__xludf.DUMMYFUNCTION("""COMPUTED_VALUE"""),5.0)</f>
        <v>5</v>
      </c>
      <c r="H1809" s="163" t="str">
        <f>IFERROR(__xludf.DUMMYFUNCTION("""COMPUTED_VALUE"""),"SF")</f>
        <v>SF</v>
      </c>
      <c r="I1809" s="163">
        <f>IFERROR(__xludf.DUMMYFUNCTION("""COMPUTED_VALUE"""),25.0)</f>
        <v>25</v>
      </c>
      <c r="J1809" s="165">
        <f>IFERROR(__xludf.DUMMYFUNCTION("""COMPUTED_VALUE"""),0.148593741930012)</f>
        <v>0.1485937419</v>
      </c>
      <c r="K1809" s="165">
        <f>IFERROR(__xludf.DUMMYFUNCTION("""COMPUTED_VALUE"""),0.114164520225845)</f>
        <v>0.1141645202</v>
      </c>
      <c r="L1809" s="165">
        <f>IFERROR(__xludf.DUMMYFUNCTION("""COMPUTED_VALUE"""),0.0344292217041664)</f>
        <v>0.0344292217</v>
      </c>
      <c r="M1809" s="166">
        <f t="shared" si="2"/>
        <v>0.1023552902</v>
      </c>
      <c r="N1809" s="167">
        <f t="shared" si="3"/>
        <v>12.46833333</v>
      </c>
      <c r="O1809" s="163">
        <f t="shared" ref="O1809:Q1809" si="1813">rank(I1809,I:I)</f>
        <v>1995</v>
      </c>
      <c r="P1809" s="163">
        <f t="shared" si="1813"/>
        <v>1137</v>
      </c>
      <c r="Q1809" s="163">
        <f t="shared" si="1813"/>
        <v>1052</v>
      </c>
      <c r="R1809" s="163">
        <f>IFERROR(__xludf.DUMMYFUNCTION("RANK(M1809,filter(M:M,C:C=C1809))"),376.0)</f>
        <v>376</v>
      </c>
      <c r="S1809" s="161" t="b">
        <f t="shared" si="5"/>
        <v>0</v>
      </c>
      <c r="T1809" s="161" t="b">
        <f t="array" ref="T1809">index('Query Tool'!B:B,match(H1809,'Query Tool'!C:C,0))</f>
        <v>1</v>
      </c>
      <c r="U1809" s="161" t="b">
        <f t="array" ref="U1809">index('Query Tool'!B:B,match(C1809,'Query Tool'!C:C,0))</f>
        <v>0</v>
      </c>
      <c r="V1809" s="161" t="b">
        <f>F1809&gt;='Query Tool'!C$32</f>
        <v>0</v>
      </c>
      <c r="W1809" s="161" t="b">
        <f t="array" ref="W1809">index(Dropdowns!B:B,match(I1809,Dropdowns!A:A,0))</f>
        <v>1</v>
      </c>
      <c r="X1809" s="161" t="b">
        <f t="array" ref="X1809">index('Query Tool'!B:B,match(D1809,'Query Tool'!C:C,0))</f>
        <v>1</v>
      </c>
      <c r="Y1809" s="161" t="str">
        <f t="shared" si="6"/>
        <v>eddieja01,2016-17</v>
      </c>
      <c r="Z1809" s="168">
        <f t="array" ref="Z1809">iferror(index(I:I,match($A1809&amp;","&amp;index('Year Conversion'!$A:$A,match($C1809,'Year Conversion'!$B:$B,0)),$Y:$Y,0))-I1809,"")</f>
        <v>1</v>
      </c>
      <c r="AA1809" s="168">
        <f t="array" ref="AA1809">iferror(index(J:J,match($A1809&amp;","&amp;index('Year Conversion'!$A:$A,match($C1809,'Year Conversion'!$B:$B,0)),$Y:$Y,0))-J1809,"")</f>
        <v>-0.3966823465</v>
      </c>
      <c r="AB1809" s="168">
        <f t="array" ref="AB1809">iferror(index(K:K,match($A1809&amp;","&amp;index('Year Conversion'!$A:$A,match($C1809,'Year Conversion'!$B:$B,0)),$Y:$Y,0))-K1809,"")</f>
        <v>-0.3234229122</v>
      </c>
      <c r="AC1809" s="168" t="str">
        <f t="shared" si="7"/>
        <v>PHO,2016-17</v>
      </c>
    </row>
    <row r="1810">
      <c r="A1810" s="161" t="str">
        <f>IFERROR(__xludf.DUMMYFUNCTION("""COMPUTED_VALUE"""),"mccontj01")</f>
        <v>mccontj01</v>
      </c>
      <c r="B1810" s="161" t="str">
        <f>IFERROR(__xludf.DUMMYFUNCTION("""COMPUTED_VALUE"""),"T.J. McConnell")</f>
        <v>T.J. McConnell</v>
      </c>
      <c r="C1810" s="162" t="str">
        <f>IFERROR(__xludf.DUMMYFUNCTION("""COMPUTED_VALUE"""),"2016-17")</f>
        <v>2016-17</v>
      </c>
      <c r="D1810" s="163" t="str">
        <f>IFERROR(__xludf.DUMMYFUNCTION("""COMPUTED_VALUE"""),"PHI")</f>
        <v>PHI</v>
      </c>
      <c r="E1810" s="164" t="str">
        <f>IFERROR(__xludf.DUMMYFUNCTION("""COMPUTED_VALUE"""),"Slasher")</f>
        <v>Slasher</v>
      </c>
      <c r="F1810" s="164">
        <f>IFERROR(__xludf.DUMMYFUNCTION("""COMPUTED_VALUE"""),2133.39666666667)</f>
        <v>2133.396667</v>
      </c>
      <c r="G1810" s="163">
        <f>IFERROR(__xludf.DUMMYFUNCTION("""COMPUTED_VALUE"""),81.0)</f>
        <v>81</v>
      </c>
      <c r="H1810" s="163" t="str">
        <f>IFERROR(__xludf.DUMMYFUNCTION("""COMPUTED_VALUE"""),"PG")</f>
        <v>PG</v>
      </c>
      <c r="I1810" s="163">
        <f>IFERROR(__xludf.DUMMYFUNCTION("""COMPUTED_VALUE"""),24.0)</f>
        <v>24</v>
      </c>
      <c r="J1810" s="165">
        <f>IFERROR(__xludf.DUMMYFUNCTION("""COMPUTED_VALUE"""),-0.64667796708651)</f>
        <v>-0.6466779671</v>
      </c>
      <c r="K1810" s="165">
        <f>IFERROR(__xludf.DUMMYFUNCTION("""COMPUTED_VALUE"""),-1.19902271117082)</f>
        <v>-1.199022711</v>
      </c>
      <c r="L1810" s="165">
        <f>IFERROR(__xludf.DUMMYFUNCTION("""COMPUTED_VALUE"""),0.552344744084313)</f>
        <v>0.5523447441</v>
      </c>
      <c r="M1810" s="166">
        <f t="shared" si="2"/>
        <v>2.359400333</v>
      </c>
      <c r="N1810" s="167">
        <f t="shared" si="3"/>
        <v>26.33823045</v>
      </c>
      <c r="O1810" s="163">
        <f t="shared" ref="O1810:Q1810" si="1814">rank(I1810,I:I)</f>
        <v>2361</v>
      </c>
      <c r="P1810" s="163">
        <f t="shared" si="1814"/>
        <v>2061</v>
      </c>
      <c r="Q1810" s="163">
        <f t="shared" si="1814"/>
        <v>3037</v>
      </c>
      <c r="R1810" s="163">
        <f>IFERROR(__xludf.DUMMYFUNCTION("RANK(M1810,filter(M:M,C:C=C1810))"),137.0)</f>
        <v>137</v>
      </c>
      <c r="S1810" s="161" t="b">
        <f t="shared" si="5"/>
        <v>0</v>
      </c>
      <c r="T1810" s="161" t="b">
        <f t="array" ref="T1810">index('Query Tool'!B:B,match(H1810,'Query Tool'!C:C,0))</f>
        <v>1</v>
      </c>
      <c r="U1810" s="161" t="b">
        <f t="array" ref="U1810">index('Query Tool'!B:B,match(C1810,'Query Tool'!C:C,0))</f>
        <v>0</v>
      </c>
      <c r="V1810" s="161" t="b">
        <f>F1810&gt;='Query Tool'!C$32</f>
        <v>1</v>
      </c>
      <c r="W1810" s="161" t="b">
        <f t="array" ref="W1810">index(Dropdowns!B:B,match(I1810,Dropdowns!A:A,0))</f>
        <v>1</v>
      </c>
      <c r="X1810" s="161" t="b">
        <f t="array" ref="X1810">index('Query Tool'!B:B,match(D1810,'Query Tool'!C:C,0))</f>
        <v>1</v>
      </c>
      <c r="Y1810" s="161" t="str">
        <f t="shared" si="6"/>
        <v>mccontj01,2016-17</v>
      </c>
      <c r="Z1810" s="168">
        <f t="array" ref="Z1810">iferror(index(I:I,match($A1810&amp;","&amp;index('Year Conversion'!$A:$A,match($C1810,'Year Conversion'!$B:$B,0)),$Y:$Y,0))-I1810,"")</f>
        <v>1</v>
      </c>
      <c r="AA1810" s="168">
        <f t="array" ref="AA1810">iferror(index(J:J,match($A1810&amp;","&amp;index('Year Conversion'!$A:$A,match($C1810,'Year Conversion'!$B:$B,0)),$Y:$Y,0))-J1810,"")</f>
        <v>-0.9311917404</v>
      </c>
      <c r="AB1810" s="168">
        <f t="array" ref="AB1810">iferror(index(K:K,match($A1810&amp;","&amp;index('Year Conversion'!$A:$A,match($C1810,'Year Conversion'!$B:$B,0)),$Y:$Y,0))-K1810,"")</f>
        <v>-0.7002918096</v>
      </c>
      <c r="AC1810" s="168" t="str">
        <f t="shared" si="7"/>
        <v>PHI,2016-17</v>
      </c>
    </row>
    <row r="1811">
      <c r="A1811" s="161" t="str">
        <f>IFERROR(__xludf.DUMMYFUNCTION("""COMPUTED_VALUE"""),"okafoja01")</f>
        <v>okafoja01</v>
      </c>
      <c r="B1811" s="161" t="str">
        <f>IFERROR(__xludf.DUMMYFUNCTION("""COMPUTED_VALUE"""),"Jahlil Okafor")</f>
        <v>Jahlil Okafor</v>
      </c>
      <c r="C1811" s="162" t="str">
        <f>IFERROR(__xludf.DUMMYFUNCTION("""COMPUTED_VALUE"""),"2016-17")</f>
        <v>2016-17</v>
      </c>
      <c r="D1811" s="163" t="str">
        <f>IFERROR(__xludf.DUMMYFUNCTION("""COMPUTED_VALUE"""),"PHI")</f>
        <v>PHI</v>
      </c>
      <c r="E1811" s="164" t="str">
        <f>IFERROR(__xludf.DUMMYFUNCTION("""COMPUTED_VALUE"""),"Post Scorer")</f>
        <v>Post Scorer</v>
      </c>
      <c r="F1811" s="164">
        <f>IFERROR(__xludf.DUMMYFUNCTION("""COMPUTED_VALUE"""),1133.98333333333)</f>
        <v>1133.983333</v>
      </c>
      <c r="G1811" s="163">
        <f>IFERROR(__xludf.DUMMYFUNCTION("""COMPUTED_VALUE"""),50.0)</f>
        <v>50</v>
      </c>
      <c r="H1811" s="163" t="str">
        <f>IFERROR(__xludf.DUMMYFUNCTION("""COMPUTED_VALUE"""),"C")</f>
        <v>C</v>
      </c>
      <c r="I1811" s="163">
        <f>IFERROR(__xludf.DUMMYFUNCTION("""COMPUTED_VALUE"""),21.0)</f>
        <v>21</v>
      </c>
      <c r="J1811" s="165">
        <f>IFERROR(__xludf.DUMMYFUNCTION("""COMPUTED_VALUE"""),-2.862045477983)</f>
        <v>-2.862045478</v>
      </c>
      <c r="K1811" s="165">
        <f>IFERROR(__xludf.DUMMYFUNCTION("""COMPUTED_VALUE"""),-2.18562263672164)</f>
        <v>-2.185622637</v>
      </c>
      <c r="L1811" s="165">
        <f>IFERROR(__xludf.DUMMYFUNCTION("""COMPUTED_VALUE"""),-0.676422841261361)</f>
        <v>-0.6764228413</v>
      </c>
      <c r="M1811" s="166">
        <f t="shared" si="2"/>
        <v>-0.415302579</v>
      </c>
      <c r="N1811" s="167">
        <f t="shared" si="3"/>
        <v>22.67966667</v>
      </c>
      <c r="O1811" s="163">
        <f t="shared" ref="O1811:Q1811" si="1815">rank(I1811,I:I)</f>
        <v>3528</v>
      </c>
      <c r="P1811" s="163">
        <f t="shared" si="1815"/>
        <v>3858</v>
      </c>
      <c r="Q1811" s="163">
        <f t="shared" si="1815"/>
        <v>3797</v>
      </c>
      <c r="R1811" s="163">
        <f>IFERROR(__xludf.DUMMYFUNCTION("RANK(M1811,filter(M:M,C:C=C1811))"),471.0)</f>
        <v>471</v>
      </c>
      <c r="S1811" s="161" t="b">
        <f t="shared" si="5"/>
        <v>0</v>
      </c>
      <c r="T1811" s="161" t="b">
        <f t="array" ref="T1811">index('Query Tool'!B:B,match(H1811,'Query Tool'!C:C,0))</f>
        <v>1</v>
      </c>
      <c r="U1811" s="161" t="b">
        <f t="array" ref="U1811">index('Query Tool'!B:B,match(C1811,'Query Tool'!C:C,0))</f>
        <v>0</v>
      </c>
      <c r="V1811" s="161" t="b">
        <f>F1811&gt;='Query Tool'!C$32</f>
        <v>1</v>
      </c>
      <c r="W1811" s="161" t="b">
        <f t="array" ref="W1811">index(Dropdowns!B:B,match(I1811,Dropdowns!A:A,0))</f>
        <v>1</v>
      </c>
      <c r="X1811" s="161" t="b">
        <f t="array" ref="X1811">index('Query Tool'!B:B,match(D1811,'Query Tool'!C:C,0))</f>
        <v>1</v>
      </c>
      <c r="Y1811" s="161" t="str">
        <f t="shared" si="6"/>
        <v>okafoja01,2016-17</v>
      </c>
      <c r="Z1811" s="168">
        <f t="array" ref="Z1811">iferror(index(I:I,match($A1811&amp;","&amp;index('Year Conversion'!$A:$A,match($C1811,'Year Conversion'!$B:$B,0)),$Y:$Y,0))-I1811,"")</f>
        <v>1</v>
      </c>
      <c r="AA1811" s="168">
        <f t="array" ref="AA1811">iferror(index(J:J,match($A1811&amp;","&amp;index('Year Conversion'!$A:$A,match($C1811,'Year Conversion'!$B:$B,0)),$Y:$Y,0))-J1811,"")</f>
        <v>0.5069543661</v>
      </c>
      <c r="AB1811" s="168">
        <f t="array" ref="AB1811">iferror(index(K:K,match($A1811&amp;","&amp;index('Year Conversion'!$A:$A,match($C1811,'Year Conversion'!$B:$B,0)),$Y:$Y,0))-K1811,"")</f>
        <v>-0.03405118425</v>
      </c>
      <c r="AC1811" s="168" t="str">
        <f t="shared" si="7"/>
        <v>PHI,2016-17</v>
      </c>
    </row>
    <row r="1812">
      <c r="A1812" s="161" t="str">
        <f>IFERROR(__xludf.DUMMYFUNCTION("""COMPUTED_VALUE"""),"mudiaem01")</f>
        <v>mudiaem01</v>
      </c>
      <c r="B1812" s="161" t="str">
        <f>IFERROR(__xludf.DUMMYFUNCTION("""COMPUTED_VALUE"""),"Emmanuel Mudiay")</f>
        <v>Emmanuel Mudiay</v>
      </c>
      <c r="C1812" s="162" t="str">
        <f>IFERROR(__xludf.DUMMYFUNCTION("""COMPUTED_VALUE"""),"2016-17")</f>
        <v>2016-17</v>
      </c>
      <c r="D1812" s="163" t="str">
        <f>IFERROR(__xludf.DUMMYFUNCTION("""COMPUTED_VALUE"""),"DEN")</f>
        <v>DEN</v>
      </c>
      <c r="E1812" s="164" t="str">
        <f>IFERROR(__xludf.DUMMYFUNCTION("""COMPUTED_VALUE"""),"Primary Ball Handler")</f>
        <v>Primary Ball Handler</v>
      </c>
      <c r="F1812" s="164">
        <f>IFERROR(__xludf.DUMMYFUNCTION("""COMPUTED_VALUE"""),1405.56166666667)</f>
        <v>1405.561667</v>
      </c>
      <c r="G1812" s="163">
        <f>IFERROR(__xludf.DUMMYFUNCTION("""COMPUTED_VALUE"""),55.0)</f>
        <v>55</v>
      </c>
      <c r="H1812" s="163" t="str">
        <f>IFERROR(__xludf.DUMMYFUNCTION("""COMPUTED_VALUE"""),"PG")</f>
        <v>PG</v>
      </c>
      <c r="I1812" s="163">
        <f>IFERROR(__xludf.DUMMYFUNCTION("""COMPUTED_VALUE"""),20.0)</f>
        <v>20</v>
      </c>
      <c r="J1812" s="165">
        <f>IFERROR(__xludf.DUMMYFUNCTION("""COMPUTED_VALUE"""),-1.8190911133342)</f>
        <v>-1.819091113</v>
      </c>
      <c r="K1812" s="165">
        <f>IFERROR(__xludf.DUMMYFUNCTION("""COMPUTED_VALUE"""),-0.549675276681723)</f>
        <v>-0.5496752767</v>
      </c>
      <c r="L1812" s="165">
        <f>IFERROR(__xludf.DUMMYFUNCTION("""COMPUTED_VALUE"""),-1.26941583665248)</f>
        <v>-1.269415837</v>
      </c>
      <c r="M1812" s="166">
        <f t="shared" si="2"/>
        <v>0.4509896906</v>
      </c>
      <c r="N1812" s="167">
        <f t="shared" si="3"/>
        <v>25.55566667</v>
      </c>
      <c r="O1812" s="163">
        <f t="shared" ref="O1812:Q1812" si="1816">rank(I1812,I:I)</f>
        <v>3770</v>
      </c>
      <c r="P1812" s="163">
        <f t="shared" si="1816"/>
        <v>3354</v>
      </c>
      <c r="Q1812" s="163">
        <f t="shared" si="1816"/>
        <v>2190</v>
      </c>
      <c r="R1812" s="163">
        <f>IFERROR(__xludf.DUMMYFUNCTION("RANK(M1812,filter(M:M,C:C=C1812))"),292.0)</f>
        <v>292</v>
      </c>
      <c r="S1812" s="161" t="b">
        <f t="shared" si="5"/>
        <v>0</v>
      </c>
      <c r="T1812" s="161" t="b">
        <f t="array" ref="T1812">index('Query Tool'!B:B,match(H1812,'Query Tool'!C:C,0))</f>
        <v>1</v>
      </c>
      <c r="U1812" s="161" t="b">
        <f t="array" ref="U1812">index('Query Tool'!B:B,match(C1812,'Query Tool'!C:C,0))</f>
        <v>0</v>
      </c>
      <c r="V1812" s="161" t="b">
        <f>F1812&gt;='Query Tool'!C$32</f>
        <v>1</v>
      </c>
      <c r="W1812" s="161" t="b">
        <f t="array" ref="W1812">index(Dropdowns!B:B,match(I1812,Dropdowns!A:A,0))</f>
        <v>1</v>
      </c>
      <c r="X1812" s="161" t="b">
        <f t="array" ref="X1812">index('Query Tool'!B:B,match(D1812,'Query Tool'!C:C,0))</f>
        <v>1</v>
      </c>
      <c r="Y1812" s="161" t="str">
        <f t="shared" si="6"/>
        <v>mudiaem01,2016-17</v>
      </c>
      <c r="Z1812" s="168">
        <f t="array" ref="Z1812">iferror(index(I:I,match($A1812&amp;","&amp;index('Year Conversion'!$A:$A,match($C1812,'Year Conversion'!$B:$B,0)),$Y:$Y,0))-I1812,"")</f>
        <v>1</v>
      </c>
      <c r="AA1812" s="168">
        <f t="array" ref="AA1812">iferror(index(J:J,match($A1812&amp;","&amp;index('Year Conversion'!$A:$A,match($C1812,'Year Conversion'!$B:$B,0)),$Y:$Y,0))-J1812,"")</f>
        <v>-1.023203263</v>
      </c>
      <c r="AB1812" s="168">
        <f t="array" ref="AB1812">iferror(index(K:K,match($A1812&amp;","&amp;index('Year Conversion'!$A:$A,match($C1812,'Year Conversion'!$B:$B,0)),$Y:$Y,0))-K1812,"")</f>
        <v>-0.8839197975</v>
      </c>
      <c r="AC1812" s="168" t="str">
        <f t="shared" si="7"/>
        <v>DEN,2016-17</v>
      </c>
    </row>
    <row r="1813">
      <c r="A1813" s="161" t="str">
        <f>IFERROR(__xludf.DUMMYFUNCTION("""COMPUTED_VALUE"""),"jonesty01")</f>
        <v>jonesty01</v>
      </c>
      <c r="B1813" s="161" t="str">
        <f>IFERROR(__xludf.DUMMYFUNCTION("""COMPUTED_VALUE"""),"Tyus Jones")</f>
        <v>Tyus Jones</v>
      </c>
      <c r="C1813" s="162" t="str">
        <f>IFERROR(__xludf.DUMMYFUNCTION("""COMPUTED_VALUE"""),"2016-17")</f>
        <v>2016-17</v>
      </c>
      <c r="D1813" s="163" t="str">
        <f>IFERROR(__xludf.DUMMYFUNCTION("""COMPUTED_VALUE"""),"MIN")</f>
        <v>MIN</v>
      </c>
      <c r="E1813" s="164" t="str">
        <f>IFERROR(__xludf.DUMMYFUNCTION("""COMPUTED_VALUE"""),"Secondary Ball Handler")</f>
        <v>Secondary Ball Handler</v>
      </c>
      <c r="F1813" s="164">
        <f>IFERROR(__xludf.DUMMYFUNCTION("""COMPUTED_VALUE"""),774.388333333333)</f>
        <v>774.3883333</v>
      </c>
      <c r="G1813" s="163">
        <f>IFERROR(__xludf.DUMMYFUNCTION("""COMPUTED_VALUE"""),60.0)</f>
        <v>60</v>
      </c>
      <c r="H1813" s="163" t="str">
        <f>IFERROR(__xludf.DUMMYFUNCTION("""COMPUTED_VALUE"""),"PG")</f>
        <v>PG</v>
      </c>
      <c r="I1813" s="163">
        <f>IFERROR(__xludf.DUMMYFUNCTION("""COMPUTED_VALUE"""),20.0)</f>
        <v>20</v>
      </c>
      <c r="J1813" s="165">
        <f>IFERROR(__xludf.DUMMYFUNCTION("""COMPUTED_VALUE"""),-0.0282584689588293)</f>
        <v>-0.02825846896</v>
      </c>
      <c r="K1813" s="165">
        <f>IFERROR(__xludf.DUMMYFUNCTION("""COMPUTED_VALUE"""),0.305914516059819)</f>
        <v>0.3059145161</v>
      </c>
      <c r="L1813" s="165">
        <f>IFERROR(__xludf.DUMMYFUNCTION("""COMPUTED_VALUE"""),-0.334172985018648)</f>
        <v>-0.334172985</v>
      </c>
      <c r="M1813" s="166">
        <f t="shared" si="2"/>
        <v>1.179095382</v>
      </c>
      <c r="N1813" s="167">
        <f t="shared" si="3"/>
        <v>12.90647222</v>
      </c>
      <c r="O1813" s="163">
        <f t="shared" ref="O1813:Q1813" si="1817">rank(I1813,I:I)</f>
        <v>3770</v>
      </c>
      <c r="P1813" s="163">
        <f t="shared" si="1817"/>
        <v>1313</v>
      </c>
      <c r="Q1813" s="163">
        <f t="shared" si="1817"/>
        <v>903</v>
      </c>
      <c r="R1813" s="163">
        <f>IFERROR(__xludf.DUMMYFUNCTION("RANK(M1813,filter(M:M,C:C=C1813))"),210.0)</f>
        <v>210</v>
      </c>
      <c r="S1813" s="161" t="b">
        <f t="shared" si="5"/>
        <v>0</v>
      </c>
      <c r="T1813" s="161" t="b">
        <f t="array" ref="T1813">index('Query Tool'!B:B,match(H1813,'Query Tool'!C:C,0))</f>
        <v>1</v>
      </c>
      <c r="U1813" s="161" t="b">
        <f t="array" ref="U1813">index('Query Tool'!B:B,match(C1813,'Query Tool'!C:C,0))</f>
        <v>0</v>
      </c>
      <c r="V1813" s="161" t="b">
        <f>F1813&gt;='Query Tool'!C$32</f>
        <v>1</v>
      </c>
      <c r="W1813" s="161" t="b">
        <f t="array" ref="W1813">index(Dropdowns!B:B,match(I1813,Dropdowns!A:A,0))</f>
        <v>1</v>
      </c>
      <c r="X1813" s="161" t="b">
        <f t="array" ref="X1813">index('Query Tool'!B:B,match(D1813,'Query Tool'!C:C,0))</f>
        <v>1</v>
      </c>
      <c r="Y1813" s="161" t="str">
        <f t="shared" si="6"/>
        <v>jonesty01,2016-17</v>
      </c>
      <c r="Z1813" s="168">
        <f t="array" ref="Z1813">iferror(index(I:I,match($A1813&amp;","&amp;index('Year Conversion'!$A:$A,match($C1813,'Year Conversion'!$B:$B,0)),$Y:$Y,0))-I1813,"")</f>
        <v>1</v>
      </c>
      <c r="AA1813" s="168">
        <f t="array" ref="AA1813">iferror(index(J:J,match($A1813&amp;","&amp;index('Year Conversion'!$A:$A,match($C1813,'Year Conversion'!$B:$B,0)),$Y:$Y,0))-J1813,"")</f>
        <v>1.878317941</v>
      </c>
      <c r="AB1813" s="168">
        <f t="array" ref="AB1813">iferror(index(K:K,match($A1813&amp;","&amp;index('Year Conversion'!$A:$A,match($C1813,'Year Conversion'!$B:$B,0)),$Y:$Y,0))-K1813,"")</f>
        <v>0.8861895419</v>
      </c>
      <c r="AC1813" s="168" t="str">
        <f t="shared" si="7"/>
        <v>MIN,2016-17</v>
      </c>
    </row>
    <row r="1814">
      <c r="A1814" s="161" t="str">
        <f>IFERROR(__xludf.DUMMYFUNCTION("""COMPUTED_VALUE"""),"anderju01")</f>
        <v>anderju01</v>
      </c>
      <c r="B1814" s="161" t="str">
        <f>IFERROR(__xludf.DUMMYFUNCTION("""COMPUTED_VALUE"""),"Justin Anderson")</f>
        <v>Justin Anderson</v>
      </c>
      <c r="C1814" s="162" t="str">
        <f>IFERROR(__xludf.DUMMYFUNCTION("""COMPUTED_VALUE"""),"2016-17")</f>
        <v>2016-17</v>
      </c>
      <c r="D1814" s="163" t="str">
        <f>IFERROR(__xludf.DUMMYFUNCTION("""COMPUTED_VALUE"""),"TOT")</f>
        <v>TOT</v>
      </c>
      <c r="E1814" s="164" t="str">
        <f>IFERROR(__xludf.DUMMYFUNCTION("""COMPUTED_VALUE"""),"Athletic Finisher")</f>
        <v>Athletic Finisher</v>
      </c>
      <c r="F1814" s="164">
        <f>IFERROR(__xludf.DUMMYFUNCTION("""COMPUTED_VALUE"""),1227.23333333333)</f>
        <v>1227.233333</v>
      </c>
      <c r="G1814" s="163">
        <f>IFERROR(__xludf.DUMMYFUNCTION("""COMPUTED_VALUE"""),75.0)</f>
        <v>75</v>
      </c>
      <c r="H1814" s="163" t="str">
        <f>IFERROR(__xludf.DUMMYFUNCTION("""COMPUTED_VALUE"""),"SF")</f>
        <v>SF</v>
      </c>
      <c r="I1814" s="163">
        <f>IFERROR(__xludf.DUMMYFUNCTION("""COMPUTED_VALUE"""),23.0)</f>
        <v>23</v>
      </c>
      <c r="J1814" s="165">
        <f>IFERROR(__xludf.DUMMYFUNCTION("""COMPUTED_VALUE"""),-1.26761596891334)</f>
        <v>-1.267615969</v>
      </c>
      <c r="K1814" s="165">
        <f>IFERROR(__xludf.DUMMYFUNCTION("""COMPUTED_VALUE"""),0.0889156367868742)</f>
        <v>0.08891563679</v>
      </c>
      <c r="L1814" s="165">
        <f>IFERROR(__xludf.DUMMYFUNCTION("""COMPUTED_VALUE"""),-1.35653160570022)</f>
        <v>-1.356531606</v>
      </c>
      <c r="M1814" s="166">
        <f t="shared" si="2"/>
        <v>0.845509127</v>
      </c>
      <c r="N1814" s="167">
        <f t="shared" si="3"/>
        <v>16.36311111</v>
      </c>
      <c r="O1814" s="163">
        <f t="shared" ref="O1814:Q1814" si="1818">rank(I1814,I:I)</f>
        <v>2765</v>
      </c>
      <c r="P1814" s="163">
        <f t="shared" si="1818"/>
        <v>2833</v>
      </c>
      <c r="Q1814" s="163">
        <f t="shared" si="1818"/>
        <v>1083</v>
      </c>
      <c r="R1814" s="163">
        <f>IFERROR(__xludf.DUMMYFUNCTION("RANK(M1814,filter(M:M,C:C=C1814))"),241.0)</f>
        <v>241</v>
      </c>
      <c r="S1814" s="161" t="b">
        <f t="shared" si="5"/>
        <v>0</v>
      </c>
      <c r="T1814" s="161" t="b">
        <f t="array" ref="T1814">index('Query Tool'!B:B,match(H1814,'Query Tool'!C:C,0))</f>
        <v>1</v>
      </c>
      <c r="U1814" s="161" t="b">
        <f t="array" ref="U1814">index('Query Tool'!B:B,match(C1814,'Query Tool'!C:C,0))</f>
        <v>0</v>
      </c>
      <c r="V1814" s="161" t="b">
        <f>F1814&gt;='Query Tool'!C$32</f>
        <v>1</v>
      </c>
      <c r="W1814" s="161" t="b">
        <f t="array" ref="W1814">index(Dropdowns!B:B,match(I1814,Dropdowns!A:A,0))</f>
        <v>1</v>
      </c>
      <c r="X1814" s="161" t="b">
        <f t="array" ref="X1814">index('Query Tool'!B:B,match(D1814,'Query Tool'!C:C,0))</f>
        <v>1</v>
      </c>
      <c r="Y1814" s="161" t="str">
        <f t="shared" si="6"/>
        <v>anderju01,2016-17</v>
      </c>
      <c r="Z1814" s="168">
        <f t="array" ref="Z1814">iferror(index(I:I,match($A1814&amp;","&amp;index('Year Conversion'!$A:$A,match($C1814,'Year Conversion'!$B:$B,0)),$Y:$Y,0))-I1814,"")</f>
        <v>1</v>
      </c>
      <c r="AA1814" s="168">
        <f t="array" ref="AA1814">iferror(index(J:J,match($A1814&amp;","&amp;index('Year Conversion'!$A:$A,match($C1814,'Year Conversion'!$B:$B,0)),$Y:$Y,0))-J1814,"")</f>
        <v>-0.4574653928</v>
      </c>
      <c r="AB1814" s="168">
        <f t="array" ref="AB1814">iferror(index(K:K,match($A1814&amp;","&amp;index('Year Conversion'!$A:$A,match($C1814,'Year Conversion'!$B:$B,0)),$Y:$Y,0))-K1814,"")</f>
        <v>-0.3691209166</v>
      </c>
      <c r="AC1814" s="168" t="str">
        <f t="shared" si="7"/>
        <v>TOT,2016-17</v>
      </c>
    </row>
    <row r="1815">
      <c r="A1815" s="161" t="str">
        <f>IFERROR(__xludf.DUMMYFUNCTION("""COMPUTED_VALUE"""),"brownan02")</f>
        <v>brownan02</v>
      </c>
      <c r="B1815" s="161" t="str">
        <f>IFERROR(__xludf.DUMMYFUNCTION("""COMPUTED_VALUE"""),"Anthony Brown")</f>
        <v>Anthony Brown</v>
      </c>
      <c r="C1815" s="162" t="str">
        <f>IFERROR(__xludf.DUMMYFUNCTION("""COMPUTED_VALUE"""),"2016-17")</f>
        <v>2016-17</v>
      </c>
      <c r="D1815" s="163" t="str">
        <f>IFERROR(__xludf.DUMMYFUNCTION("""COMPUTED_VALUE"""),"TOT")</f>
        <v>TOT</v>
      </c>
      <c r="E1815" s="164" t="str">
        <f>IFERROR(__xludf.DUMMYFUNCTION("""COMPUTED_VALUE"""),"Stationary Shooter")</f>
        <v>Stationary Shooter</v>
      </c>
      <c r="F1815" s="164">
        <f>IFERROR(__xludf.DUMMYFUNCTION("""COMPUTED_VALUE"""),159.025)</f>
        <v>159.025</v>
      </c>
      <c r="G1815" s="163">
        <f>IFERROR(__xludf.DUMMYFUNCTION("""COMPUTED_VALUE"""),11.0)</f>
        <v>11</v>
      </c>
      <c r="H1815" s="163" t="str">
        <f>IFERROR(__xludf.DUMMYFUNCTION("""COMPUTED_VALUE"""),"SF")</f>
        <v>SF</v>
      </c>
      <c r="I1815" s="163">
        <f>IFERROR(__xludf.DUMMYFUNCTION("""COMPUTED_VALUE"""),24.0)</f>
        <v>24</v>
      </c>
      <c r="J1815" s="165">
        <f>IFERROR(__xludf.DUMMYFUNCTION("""COMPUTED_VALUE"""),-1.03239080504245)</f>
        <v>-1.032390805</v>
      </c>
      <c r="K1815" s="165">
        <f>IFERROR(__xludf.DUMMYFUNCTION("""COMPUTED_VALUE"""),-0.667785263976564)</f>
        <v>-0.667785264</v>
      </c>
      <c r="L1815" s="165">
        <f>IFERROR(__xludf.DUMMYFUNCTION("""COMPUTED_VALUE"""),-0.364605541065882)</f>
        <v>-0.3646055411</v>
      </c>
      <c r="M1815" s="166">
        <f t="shared" si="2"/>
        <v>0.1346413844</v>
      </c>
      <c r="N1815" s="167">
        <f t="shared" si="3"/>
        <v>14.45681818</v>
      </c>
      <c r="O1815" s="163">
        <f t="shared" ref="O1815:Q1815" si="1819">rank(I1815,I:I)</f>
        <v>2361</v>
      </c>
      <c r="P1815" s="163">
        <f t="shared" si="1819"/>
        <v>2537</v>
      </c>
      <c r="Q1815" s="163">
        <f t="shared" si="1819"/>
        <v>2368</v>
      </c>
      <c r="R1815" s="163">
        <f>IFERROR(__xludf.DUMMYFUNCTION("RANK(M1815,filter(M:M,C:C=C1815))"),363.0)</f>
        <v>363</v>
      </c>
      <c r="S1815" s="161" t="b">
        <f t="shared" si="5"/>
        <v>0</v>
      </c>
      <c r="T1815" s="161" t="b">
        <f t="array" ref="T1815">index('Query Tool'!B:B,match(H1815,'Query Tool'!C:C,0))</f>
        <v>1</v>
      </c>
      <c r="U1815" s="161" t="b">
        <f t="array" ref="U1815">index('Query Tool'!B:B,match(C1815,'Query Tool'!C:C,0))</f>
        <v>0</v>
      </c>
      <c r="V1815" s="161" t="b">
        <f>F1815&gt;='Query Tool'!C$32</f>
        <v>0</v>
      </c>
      <c r="W1815" s="161" t="b">
        <f t="array" ref="W1815">index(Dropdowns!B:B,match(I1815,Dropdowns!A:A,0))</f>
        <v>1</v>
      </c>
      <c r="X1815" s="161" t="b">
        <f t="array" ref="X1815">index('Query Tool'!B:B,match(D1815,'Query Tool'!C:C,0))</f>
        <v>1</v>
      </c>
      <c r="Y1815" s="161" t="str">
        <f t="shared" si="6"/>
        <v>brownan02,2016-17</v>
      </c>
      <c r="Z1815" s="168">
        <f t="array" ref="Z1815">iferror(index(I:I,match($A1815&amp;","&amp;index('Year Conversion'!$A:$A,match($C1815,'Year Conversion'!$B:$B,0)),$Y:$Y,0))-I1815,"")</f>
        <v>1</v>
      </c>
      <c r="AA1815" s="168">
        <f t="array" ref="AA1815">iferror(index(J:J,match($A1815&amp;","&amp;index('Year Conversion'!$A:$A,match($C1815,'Year Conversion'!$B:$B,0)),$Y:$Y,0))-J1815,"")</f>
        <v>0.09731777485</v>
      </c>
      <c r="AB1815" s="168">
        <f t="array" ref="AB1815">iferror(index(K:K,match($A1815&amp;","&amp;index('Year Conversion'!$A:$A,match($C1815,'Year Conversion'!$B:$B,0)),$Y:$Y,0))-K1815,"")</f>
        <v>0.2024140568</v>
      </c>
      <c r="AC1815" s="168" t="str">
        <f t="shared" si="7"/>
        <v>TOT,2016-17</v>
      </c>
    </row>
    <row r="1816">
      <c r="A1816" s="161" t="str">
        <f>IFERROR(__xludf.DUMMYFUNCTION("""COMPUTED_VALUE"""),"harremo01")</f>
        <v>harremo01</v>
      </c>
      <c r="B1816" s="161" t="str">
        <f>IFERROR(__xludf.DUMMYFUNCTION("""COMPUTED_VALUE"""),"Montrezl Harrell")</f>
        <v>Montrezl Harrell</v>
      </c>
      <c r="C1816" s="162" t="str">
        <f>IFERROR(__xludf.DUMMYFUNCTION("""COMPUTED_VALUE"""),"2016-17")</f>
        <v>2016-17</v>
      </c>
      <c r="D1816" s="163" t="str">
        <f>IFERROR(__xludf.DUMMYFUNCTION("""COMPUTED_VALUE"""),"HOU")</f>
        <v>HOU</v>
      </c>
      <c r="E1816" s="164" t="str">
        <f>IFERROR(__xludf.DUMMYFUNCTION("""COMPUTED_VALUE"""),"Roll + Cut Big")</f>
        <v>Roll + Cut Big</v>
      </c>
      <c r="F1816" s="164">
        <f>IFERROR(__xludf.DUMMYFUNCTION("""COMPUTED_VALUE"""),1063.55833333333)</f>
        <v>1063.558333</v>
      </c>
      <c r="G1816" s="163">
        <f>IFERROR(__xludf.DUMMYFUNCTION("""COMPUTED_VALUE"""),58.0)</f>
        <v>58</v>
      </c>
      <c r="H1816" s="163" t="str">
        <f>IFERROR(__xludf.DUMMYFUNCTION("""COMPUTED_VALUE"""),"C")</f>
        <v>C</v>
      </c>
      <c r="I1816" s="163">
        <f>IFERROR(__xludf.DUMMYFUNCTION("""COMPUTED_VALUE"""),23.0)</f>
        <v>23</v>
      </c>
      <c r="J1816" s="165">
        <f>IFERROR(__xludf.DUMMYFUNCTION("""COMPUTED_VALUE"""),-1.07357046717206)</f>
        <v>-1.073570467</v>
      </c>
      <c r="K1816" s="165">
        <f>IFERROR(__xludf.DUMMYFUNCTION("""COMPUTED_VALUE"""),-0.240689861448323)</f>
        <v>-0.2406898614</v>
      </c>
      <c r="L1816" s="165">
        <f>IFERROR(__xludf.DUMMYFUNCTION("""COMPUTED_VALUE"""),-0.83288060572374)</f>
        <v>-0.8328806057</v>
      </c>
      <c r="M1816" s="166">
        <f t="shared" si="2"/>
        <v>0.8710894122</v>
      </c>
      <c r="N1816" s="167">
        <f t="shared" si="3"/>
        <v>18.33721264</v>
      </c>
      <c r="O1816" s="163">
        <f t="shared" ref="O1816:Q1816" si="1820">rank(I1816,I:I)</f>
        <v>2765</v>
      </c>
      <c r="P1816" s="163">
        <f t="shared" si="1820"/>
        <v>2580</v>
      </c>
      <c r="Q1816" s="163">
        <f t="shared" si="1820"/>
        <v>1645</v>
      </c>
      <c r="R1816" s="163">
        <f>IFERROR(__xludf.DUMMYFUNCTION("RANK(M1816,filter(M:M,C:C=C1816))"),238.0)</f>
        <v>238</v>
      </c>
      <c r="S1816" s="161" t="b">
        <f t="shared" si="5"/>
        <v>0</v>
      </c>
      <c r="T1816" s="161" t="b">
        <f t="array" ref="T1816">index('Query Tool'!B:B,match(H1816,'Query Tool'!C:C,0))</f>
        <v>1</v>
      </c>
      <c r="U1816" s="161" t="b">
        <f t="array" ref="U1816">index('Query Tool'!B:B,match(C1816,'Query Tool'!C:C,0))</f>
        <v>0</v>
      </c>
      <c r="V1816" s="161" t="b">
        <f>F1816&gt;='Query Tool'!C$32</f>
        <v>1</v>
      </c>
      <c r="W1816" s="161" t="b">
        <f t="array" ref="W1816">index(Dropdowns!B:B,match(I1816,Dropdowns!A:A,0))</f>
        <v>1</v>
      </c>
      <c r="X1816" s="161" t="b">
        <f t="array" ref="X1816">index('Query Tool'!B:B,match(D1816,'Query Tool'!C:C,0))</f>
        <v>1</v>
      </c>
      <c r="Y1816" s="161" t="str">
        <f t="shared" si="6"/>
        <v>harremo01,2016-17</v>
      </c>
      <c r="Z1816" s="168">
        <f t="array" ref="Z1816">iferror(index(I:I,match($A1816&amp;","&amp;index('Year Conversion'!$A:$A,match($C1816,'Year Conversion'!$B:$B,0)),$Y:$Y,0))-I1816,"")</f>
        <v>1</v>
      </c>
      <c r="AA1816" s="168">
        <f t="array" ref="AA1816">iferror(index(J:J,match($A1816&amp;","&amp;index('Year Conversion'!$A:$A,match($C1816,'Year Conversion'!$B:$B,0)),$Y:$Y,0))-J1816,"")</f>
        <v>3.325053918</v>
      </c>
      <c r="AB1816" s="168">
        <f t="array" ref="AB1816">iferror(index(K:K,match($A1816&amp;","&amp;index('Year Conversion'!$A:$A,match($C1816,'Year Conversion'!$B:$B,0)),$Y:$Y,0))-K1816,"")</f>
        <v>2.56783193</v>
      </c>
      <c r="AC1816" s="168" t="str">
        <f t="shared" si="7"/>
        <v>HOU,2016-17</v>
      </c>
    </row>
    <row r="1817">
      <c r="A1817" s="161" t="str">
        <f>IFERROR(__xludf.DUMMYFUNCTION("""COMPUTED_VALUE"""),"harrian01")</f>
        <v>harrian01</v>
      </c>
      <c r="B1817" s="161" t="str">
        <f>IFERROR(__xludf.DUMMYFUNCTION("""COMPUTED_VALUE"""),"Andrew Harrison")</f>
        <v>Andrew Harrison</v>
      </c>
      <c r="C1817" s="162" t="str">
        <f>IFERROR(__xludf.DUMMYFUNCTION("""COMPUTED_VALUE"""),"2016-17")</f>
        <v>2016-17</v>
      </c>
      <c r="D1817" s="163" t="str">
        <f>IFERROR(__xludf.DUMMYFUNCTION("""COMPUTED_VALUE"""),"MEM")</f>
        <v>MEM</v>
      </c>
      <c r="E1817" s="164" t="str">
        <f>IFERROR(__xludf.DUMMYFUNCTION("""COMPUTED_VALUE"""),"Primary Ball Handler")</f>
        <v>Primary Ball Handler</v>
      </c>
      <c r="F1817" s="164">
        <f>IFERROR(__xludf.DUMMYFUNCTION("""COMPUTED_VALUE"""),1473.87333333333)</f>
        <v>1473.873333</v>
      </c>
      <c r="G1817" s="163">
        <f>IFERROR(__xludf.DUMMYFUNCTION("""COMPUTED_VALUE"""),72.0)</f>
        <v>72</v>
      </c>
      <c r="H1817" s="163" t="str">
        <f>IFERROR(__xludf.DUMMYFUNCTION("""COMPUTED_VALUE"""),"PG")</f>
        <v>PG</v>
      </c>
      <c r="I1817" s="163">
        <f>IFERROR(__xludf.DUMMYFUNCTION("""COMPUTED_VALUE"""),22.0)</f>
        <v>22</v>
      </c>
      <c r="J1817" s="165">
        <f>IFERROR(__xludf.DUMMYFUNCTION("""COMPUTED_VALUE"""),-1.22470862887779)</f>
        <v>-1.224708629</v>
      </c>
      <c r="K1817" s="165">
        <f>IFERROR(__xludf.DUMMYFUNCTION("""COMPUTED_VALUE"""),-1.53770973743249)</f>
        <v>-1.537709737</v>
      </c>
      <c r="L1817" s="165">
        <f>IFERROR(__xludf.DUMMYFUNCTION("""COMPUTED_VALUE"""),0.313001108554699)</f>
        <v>0.3130011086</v>
      </c>
      <c r="M1817" s="166">
        <f t="shared" si="2"/>
        <v>1.057794084</v>
      </c>
      <c r="N1817" s="167">
        <f t="shared" si="3"/>
        <v>20.47046296</v>
      </c>
      <c r="O1817" s="163">
        <f t="shared" ref="O1817:Q1817" si="1821">rank(I1817,I:I)</f>
        <v>3178</v>
      </c>
      <c r="P1817" s="163">
        <f t="shared" si="1821"/>
        <v>2778</v>
      </c>
      <c r="Q1817" s="163">
        <f t="shared" si="1821"/>
        <v>3395</v>
      </c>
      <c r="R1817" s="163">
        <f>IFERROR(__xludf.DUMMYFUNCTION("RANK(M1817,filter(M:M,C:C=C1817))"),219.0)</f>
        <v>219</v>
      </c>
      <c r="S1817" s="161" t="b">
        <f t="shared" si="5"/>
        <v>0</v>
      </c>
      <c r="T1817" s="161" t="b">
        <f t="array" ref="T1817">index('Query Tool'!B:B,match(H1817,'Query Tool'!C:C,0))</f>
        <v>1</v>
      </c>
      <c r="U1817" s="161" t="b">
        <f t="array" ref="U1817">index('Query Tool'!B:B,match(C1817,'Query Tool'!C:C,0))</f>
        <v>0</v>
      </c>
      <c r="V1817" s="161" t="b">
        <f>F1817&gt;='Query Tool'!C$32</f>
        <v>1</v>
      </c>
      <c r="W1817" s="161" t="b">
        <f t="array" ref="W1817">index(Dropdowns!B:B,match(I1817,Dropdowns!A:A,0))</f>
        <v>1</v>
      </c>
      <c r="X1817" s="161" t="b">
        <f t="array" ref="X1817">index('Query Tool'!B:B,match(D1817,'Query Tool'!C:C,0))</f>
        <v>1</v>
      </c>
      <c r="Y1817" s="161" t="str">
        <f t="shared" si="6"/>
        <v>harrian01,2016-17</v>
      </c>
      <c r="Z1817" s="168">
        <f t="array" ref="Z1817">iferror(index(I:I,match($A1817&amp;","&amp;index('Year Conversion'!$A:$A,match($C1817,'Year Conversion'!$B:$B,0)),$Y:$Y,0))-I1817,"")</f>
        <v>1</v>
      </c>
      <c r="AA1817" s="168">
        <f t="array" ref="AA1817">iferror(index(J:J,match($A1817&amp;","&amp;index('Year Conversion'!$A:$A,match($C1817,'Year Conversion'!$B:$B,0)),$Y:$Y,0))-J1817,"")</f>
        <v>0.4081331413</v>
      </c>
      <c r="AB1817" s="168">
        <f t="array" ref="AB1817">iferror(index(K:K,match($A1817&amp;","&amp;index('Year Conversion'!$A:$A,match($C1817,'Year Conversion'!$B:$B,0)),$Y:$Y,0))-K1817,"")</f>
        <v>0.8573331688</v>
      </c>
      <c r="AC1817" s="168" t="str">
        <f t="shared" si="7"/>
        <v>MEM,2016-17</v>
      </c>
    </row>
    <row r="1818">
      <c r="A1818" s="161" t="str">
        <f>IFERROR(__xludf.DUMMYFUNCTION("""COMPUTED_VALUE"""),"harriaa01")</f>
        <v>harriaa01</v>
      </c>
      <c r="B1818" s="161" t="str">
        <f>IFERROR(__xludf.DUMMYFUNCTION("""COMPUTED_VALUE"""),"Aaron Harrison")</f>
        <v>Aaron Harrison</v>
      </c>
      <c r="C1818" s="162" t="str">
        <f>IFERROR(__xludf.DUMMYFUNCTION("""COMPUTED_VALUE"""),"2016-17")</f>
        <v>2016-17</v>
      </c>
      <c r="D1818" s="163" t="str">
        <f>IFERROR(__xludf.DUMMYFUNCTION("""COMPUTED_VALUE"""),"CHO")</f>
        <v>CHO</v>
      </c>
      <c r="E1818" s="164" t="str">
        <f>IFERROR(__xludf.DUMMYFUNCTION("""COMPUTED_VALUE"""),"Off Screen Shooter")</f>
        <v>Off Screen Shooter</v>
      </c>
      <c r="F1818" s="164">
        <f>IFERROR(__xludf.DUMMYFUNCTION("""COMPUTED_VALUE"""),16.5666666666667)</f>
        <v>16.56666667</v>
      </c>
      <c r="G1818" s="163">
        <f>IFERROR(__xludf.DUMMYFUNCTION("""COMPUTED_VALUE"""),5.0)</f>
        <v>5</v>
      </c>
      <c r="H1818" s="163" t="str">
        <f>IFERROR(__xludf.DUMMYFUNCTION("""COMPUTED_VALUE"""),"SG")</f>
        <v>SG</v>
      </c>
      <c r="I1818" s="163">
        <f>IFERROR(__xludf.DUMMYFUNCTION("""COMPUTED_VALUE"""),22.0)</f>
        <v>22</v>
      </c>
      <c r="J1818" s="165">
        <f>IFERROR(__xludf.DUMMYFUNCTION("""COMPUTED_VALUE"""),-0.782986437993809)</f>
        <v>-0.782986438</v>
      </c>
      <c r="K1818" s="165">
        <f>IFERROR(__xludf.DUMMYFUNCTION("""COMPUTED_VALUE"""),-0.621035704187576)</f>
        <v>-0.6210357042</v>
      </c>
      <c r="L1818" s="165">
        <f>IFERROR(__xludf.DUMMYFUNCTION("""COMPUTED_VALUE"""),-0.161950733806233)</f>
        <v>-0.1619507338</v>
      </c>
      <c r="M1818" s="166">
        <f t="shared" si="2"/>
        <v>0.01680248162</v>
      </c>
      <c r="N1818" s="167">
        <f t="shared" si="3"/>
        <v>3.313333333</v>
      </c>
      <c r="O1818" s="163">
        <f t="shared" ref="O1818:Q1818" si="1822">rank(I1818,I:I)</f>
        <v>3178</v>
      </c>
      <c r="P1818" s="163">
        <f t="shared" si="1822"/>
        <v>2250</v>
      </c>
      <c r="Q1818" s="163">
        <f t="shared" si="1822"/>
        <v>2294</v>
      </c>
      <c r="R1818" s="163">
        <f>IFERROR(__xludf.DUMMYFUNCTION("RANK(M1818,filter(M:M,C:C=C1818))"),435.0)</f>
        <v>435</v>
      </c>
      <c r="S1818" s="161" t="b">
        <f t="shared" si="5"/>
        <v>0</v>
      </c>
      <c r="T1818" s="161" t="b">
        <f t="array" ref="T1818">index('Query Tool'!B:B,match(H1818,'Query Tool'!C:C,0))</f>
        <v>1</v>
      </c>
      <c r="U1818" s="161" t="b">
        <f t="array" ref="U1818">index('Query Tool'!B:B,match(C1818,'Query Tool'!C:C,0))</f>
        <v>0</v>
      </c>
      <c r="V1818" s="161" t="b">
        <f>F1818&gt;='Query Tool'!C$32</f>
        <v>0</v>
      </c>
      <c r="W1818" s="161" t="b">
        <f t="array" ref="W1818">index(Dropdowns!B:B,match(I1818,Dropdowns!A:A,0))</f>
        <v>1</v>
      </c>
      <c r="X1818" s="161" t="b">
        <f t="array" ref="X1818">index('Query Tool'!B:B,match(D1818,'Query Tool'!C:C,0))</f>
        <v>1</v>
      </c>
      <c r="Y1818" s="161" t="str">
        <f t="shared" si="6"/>
        <v>harriaa01,2016-17</v>
      </c>
      <c r="Z1818" s="168">
        <f t="array" ref="Z1818">iferror(index(I:I,match($A1818&amp;","&amp;index('Year Conversion'!$A:$A,match($C1818,'Year Conversion'!$B:$B,0)),$Y:$Y,0))-I1818,"")</f>
        <v>1</v>
      </c>
      <c r="AA1818" s="168">
        <f t="array" ref="AA1818">iferror(index(J:J,match($A1818&amp;","&amp;index('Year Conversion'!$A:$A,match($C1818,'Year Conversion'!$B:$B,0)),$Y:$Y,0))-J1818,"")</f>
        <v>-0.6635907345</v>
      </c>
      <c r="AB1818" s="168">
        <f t="array" ref="AB1818">iferror(index(K:K,match($A1818&amp;","&amp;index('Year Conversion'!$A:$A,match($C1818,'Year Conversion'!$B:$B,0)),$Y:$Y,0))-K1818,"")</f>
        <v>0.02616568841</v>
      </c>
      <c r="AC1818" s="168" t="str">
        <f t="shared" si="7"/>
        <v>CHO,2016-17</v>
      </c>
    </row>
    <row r="1819">
      <c r="A1819" s="161" t="str">
        <f>IFERROR(__xludf.DUMMYFUNCTION("""COMPUTED_VALUE"""),"wrighde01")</f>
        <v>wrighde01</v>
      </c>
      <c r="B1819" s="161" t="str">
        <f>IFERROR(__xludf.DUMMYFUNCTION("""COMPUTED_VALUE"""),"Delon Wright")</f>
        <v>Delon Wright</v>
      </c>
      <c r="C1819" s="162" t="str">
        <f>IFERROR(__xludf.DUMMYFUNCTION("""COMPUTED_VALUE"""),"2016-17")</f>
        <v>2016-17</v>
      </c>
      <c r="D1819" s="163" t="str">
        <f>IFERROR(__xludf.DUMMYFUNCTION("""COMPUTED_VALUE"""),"TOR")</f>
        <v>TOR</v>
      </c>
      <c r="E1819" s="164" t="str">
        <f>IFERROR(__xludf.DUMMYFUNCTION("""COMPUTED_VALUE"""),"Slasher")</f>
        <v>Slasher</v>
      </c>
      <c r="F1819" s="164">
        <f>IFERROR(__xludf.DUMMYFUNCTION("""COMPUTED_VALUE"""),446.446666666667)</f>
        <v>446.4466667</v>
      </c>
      <c r="G1819" s="163">
        <f>IFERROR(__xludf.DUMMYFUNCTION("""COMPUTED_VALUE"""),27.0)</f>
        <v>27</v>
      </c>
      <c r="H1819" s="163" t="str">
        <f>IFERROR(__xludf.DUMMYFUNCTION("""COMPUTED_VALUE"""),"PG")</f>
        <v>PG</v>
      </c>
      <c r="I1819" s="163">
        <f>IFERROR(__xludf.DUMMYFUNCTION("""COMPUTED_VALUE"""),24.0)</f>
        <v>24</v>
      </c>
      <c r="J1819" s="165">
        <f>IFERROR(__xludf.DUMMYFUNCTION("""COMPUTED_VALUE"""),0.113684645153522)</f>
        <v>0.1136846452</v>
      </c>
      <c r="K1819" s="165">
        <f>IFERROR(__xludf.DUMMYFUNCTION("""COMPUTED_VALUE"""),-0.228363948369583)</f>
        <v>-0.2283639484</v>
      </c>
      <c r="L1819" s="165">
        <f>IFERROR(__xludf.DUMMYFUNCTION("""COMPUTED_VALUE"""),0.342048593523104)</f>
        <v>0.3420485935</v>
      </c>
      <c r="M1819" s="166">
        <f t="shared" si="2"/>
        <v>0.7224892482</v>
      </c>
      <c r="N1819" s="167">
        <f t="shared" si="3"/>
        <v>16.53506173</v>
      </c>
      <c r="O1819" s="163">
        <f t="shared" ref="O1819:Q1819" si="1823">rank(I1819,I:I)</f>
        <v>2361</v>
      </c>
      <c r="P1819" s="163">
        <f t="shared" si="1823"/>
        <v>1170</v>
      </c>
      <c r="Q1819" s="163">
        <f t="shared" si="1823"/>
        <v>1620</v>
      </c>
      <c r="R1819" s="163">
        <f>IFERROR(__xludf.DUMMYFUNCTION("RANK(M1819,filter(M:M,C:C=C1819))"),249.0)</f>
        <v>249</v>
      </c>
      <c r="S1819" s="161" t="b">
        <f t="shared" si="5"/>
        <v>0</v>
      </c>
      <c r="T1819" s="161" t="b">
        <f t="array" ref="T1819">index('Query Tool'!B:B,match(H1819,'Query Tool'!C:C,0))</f>
        <v>1</v>
      </c>
      <c r="U1819" s="161" t="b">
        <f t="array" ref="U1819">index('Query Tool'!B:B,match(C1819,'Query Tool'!C:C,0))</f>
        <v>0</v>
      </c>
      <c r="V1819" s="161" t="b">
        <f>F1819&gt;='Query Tool'!C$32</f>
        <v>0</v>
      </c>
      <c r="W1819" s="161" t="b">
        <f t="array" ref="W1819">index(Dropdowns!B:B,match(I1819,Dropdowns!A:A,0))</f>
        <v>1</v>
      </c>
      <c r="X1819" s="161" t="b">
        <f t="array" ref="X1819">index('Query Tool'!B:B,match(D1819,'Query Tool'!C:C,0))</f>
        <v>1</v>
      </c>
      <c r="Y1819" s="161" t="str">
        <f t="shared" si="6"/>
        <v>wrighde01,2016-17</v>
      </c>
      <c r="Z1819" s="168">
        <f t="array" ref="Z1819">iferror(index(I:I,match($A1819&amp;","&amp;index('Year Conversion'!$A:$A,match($C1819,'Year Conversion'!$B:$B,0)),$Y:$Y,0))-I1819,"")</f>
        <v>1</v>
      </c>
      <c r="AA1819" s="168">
        <f t="array" ref="AA1819">iferror(index(J:J,match($A1819&amp;","&amp;index('Year Conversion'!$A:$A,match($C1819,'Year Conversion'!$B:$B,0)),$Y:$Y,0))-J1819,"")</f>
        <v>0.7660673073</v>
      </c>
      <c r="AB1819" s="168">
        <f t="array" ref="AB1819">iferror(index(K:K,match($A1819&amp;","&amp;index('Year Conversion'!$A:$A,match($C1819,'Year Conversion'!$B:$B,0)),$Y:$Y,0))-K1819,"")</f>
        <v>0.8728992279</v>
      </c>
      <c r="AC1819" s="168" t="str">
        <f t="shared" si="7"/>
        <v>TOR,2016-17</v>
      </c>
    </row>
    <row r="1820">
      <c r="A1820" s="161" t="str">
        <f>IFERROR(__xludf.DUMMYFUNCTION("""COMPUTED_VALUE"""),"hunterj01")</f>
        <v>hunterj01</v>
      </c>
      <c r="B1820" s="161" t="str">
        <f>IFERROR(__xludf.DUMMYFUNCTION("""COMPUTED_VALUE"""),"RJ Hunter")</f>
        <v>RJ Hunter</v>
      </c>
      <c r="C1820" s="162" t="str">
        <f>IFERROR(__xludf.DUMMYFUNCTION("""COMPUTED_VALUE"""),"2016-17")</f>
        <v>2016-17</v>
      </c>
      <c r="D1820" s="163" t="str">
        <f>IFERROR(__xludf.DUMMYFUNCTION("""COMPUTED_VALUE"""),"CHI")</f>
        <v>CHI</v>
      </c>
      <c r="E1820" s="164" t="str">
        <f>IFERROR(__xludf.DUMMYFUNCTION("""COMPUTED_VALUE"""),"Stationary Shooter")</f>
        <v>Stationary Shooter</v>
      </c>
      <c r="F1820" s="164">
        <f>IFERROR(__xludf.DUMMYFUNCTION("""COMPUTED_VALUE"""),9.15)</f>
        <v>9.15</v>
      </c>
      <c r="G1820" s="163">
        <f>IFERROR(__xludf.DUMMYFUNCTION("""COMPUTED_VALUE"""),3.0)</f>
        <v>3</v>
      </c>
      <c r="H1820" s="163" t="str">
        <f>IFERROR(__xludf.DUMMYFUNCTION("""COMPUTED_VALUE"""),"SG")</f>
        <v>SG</v>
      </c>
      <c r="I1820" s="163">
        <f>IFERROR(__xludf.DUMMYFUNCTION("""COMPUTED_VALUE"""),23.0)</f>
        <v>23</v>
      </c>
      <c r="J1820" s="165">
        <f>IFERROR(__xludf.DUMMYFUNCTION("""COMPUTED_VALUE"""),-0.634822118092847)</f>
        <v>-0.6348221181</v>
      </c>
      <c r="K1820" s="165">
        <f>IFERROR(__xludf.DUMMYFUNCTION("""COMPUTED_VALUE"""),-0.412392253105385)</f>
        <v>-0.4123922531</v>
      </c>
      <c r="L1820" s="165">
        <f>IFERROR(__xludf.DUMMYFUNCTION("""COMPUTED_VALUE"""),-0.222429864987463)</f>
        <v>-0.222429865</v>
      </c>
      <c r="M1820" s="166">
        <f t="shared" si="2"/>
        <v>0.01019232687</v>
      </c>
      <c r="N1820" s="167">
        <f t="shared" si="3"/>
        <v>3.05</v>
      </c>
      <c r="O1820" s="163">
        <f t="shared" ref="O1820:Q1820" si="1824">rank(I1820,I:I)</f>
        <v>2765</v>
      </c>
      <c r="P1820" s="163">
        <f t="shared" si="1824"/>
        <v>2039</v>
      </c>
      <c r="Q1820" s="163">
        <f t="shared" si="1824"/>
        <v>1967</v>
      </c>
      <c r="R1820" s="163">
        <f>IFERROR(__xludf.DUMMYFUNCTION("RANK(M1820,filter(M:M,C:C=C1820))"),443.0)</f>
        <v>443</v>
      </c>
      <c r="S1820" s="161" t="b">
        <f t="shared" si="5"/>
        <v>0</v>
      </c>
      <c r="T1820" s="161" t="b">
        <f t="array" ref="T1820">index('Query Tool'!B:B,match(H1820,'Query Tool'!C:C,0))</f>
        <v>1</v>
      </c>
      <c r="U1820" s="161" t="b">
        <f t="array" ref="U1820">index('Query Tool'!B:B,match(C1820,'Query Tool'!C:C,0))</f>
        <v>0</v>
      </c>
      <c r="V1820" s="161" t="b">
        <f>F1820&gt;='Query Tool'!C$32</f>
        <v>0</v>
      </c>
      <c r="W1820" s="161" t="b">
        <f t="array" ref="W1820">index(Dropdowns!B:B,match(I1820,Dropdowns!A:A,0))</f>
        <v>1</v>
      </c>
      <c r="X1820" s="161" t="b">
        <f t="array" ref="X1820">index('Query Tool'!B:B,match(D1820,'Query Tool'!C:C,0))</f>
        <v>1</v>
      </c>
      <c r="Y1820" s="161" t="str">
        <f t="shared" si="6"/>
        <v>hunterj01,2016-17</v>
      </c>
      <c r="Z1820" s="168">
        <f t="array" ref="Z1820">iferror(index(I:I,match($A1820&amp;","&amp;index('Year Conversion'!$A:$A,match($C1820,'Year Conversion'!$B:$B,0)),$Y:$Y,0))-I1820,"")</f>
        <v>1</v>
      </c>
      <c r="AA1820" s="168">
        <f t="array" ref="AA1820">iferror(index(J:J,match($A1820&amp;","&amp;index('Year Conversion'!$A:$A,match($C1820,'Year Conversion'!$B:$B,0)),$Y:$Y,0))-J1820,"")</f>
        <v>-0.1134637262</v>
      </c>
      <c r="AB1820" s="168">
        <f t="array" ref="AB1820">iferror(index(K:K,match($A1820&amp;","&amp;index('Year Conversion'!$A:$A,match($C1820,'Year Conversion'!$B:$B,0)),$Y:$Y,0))-K1820,"")</f>
        <v>0.5290885223</v>
      </c>
      <c r="AC1820" s="168" t="str">
        <f t="shared" si="7"/>
        <v>CHI,2016-17</v>
      </c>
    </row>
    <row r="1821">
      <c r="A1821" s="161" t="str">
        <f>IFERROR(__xludf.DUMMYFUNCTION("""COMPUTED_VALUE"""),"dekkesa01")</f>
        <v>dekkesa01</v>
      </c>
      <c r="B1821" s="161" t="str">
        <f>IFERROR(__xludf.DUMMYFUNCTION("""COMPUTED_VALUE"""),"Sam Dekker")</f>
        <v>Sam Dekker</v>
      </c>
      <c r="C1821" s="162" t="str">
        <f>IFERROR(__xludf.DUMMYFUNCTION("""COMPUTED_VALUE"""),"2016-17")</f>
        <v>2016-17</v>
      </c>
      <c r="D1821" s="163" t="str">
        <f>IFERROR(__xludf.DUMMYFUNCTION("""COMPUTED_VALUE"""),"HOU")</f>
        <v>HOU</v>
      </c>
      <c r="E1821" s="164" t="str">
        <f>IFERROR(__xludf.DUMMYFUNCTION("""COMPUTED_VALUE"""),"Athletic Finisher")</f>
        <v>Athletic Finisher</v>
      </c>
      <c r="F1821" s="164">
        <f>IFERROR(__xludf.DUMMYFUNCTION("""COMPUTED_VALUE"""),1419.065)</f>
        <v>1419.065</v>
      </c>
      <c r="G1821" s="163">
        <f>IFERROR(__xludf.DUMMYFUNCTION("""COMPUTED_VALUE"""),77.0)</f>
        <v>77</v>
      </c>
      <c r="H1821" s="163" t="str">
        <f>IFERROR(__xludf.DUMMYFUNCTION("""COMPUTED_VALUE"""),"PF")</f>
        <v>PF</v>
      </c>
      <c r="I1821" s="163">
        <f>IFERROR(__xludf.DUMMYFUNCTION("""COMPUTED_VALUE"""),22.0)</f>
        <v>22</v>
      </c>
      <c r="J1821" s="165">
        <f>IFERROR(__xludf.DUMMYFUNCTION("""COMPUTED_VALUE"""),-1.61616732443209)</f>
        <v>-1.616167324</v>
      </c>
      <c r="K1821" s="165">
        <f>IFERROR(__xludf.DUMMYFUNCTION("""COMPUTED_VALUE"""),-0.931685581038276)</f>
        <v>-0.931685581</v>
      </c>
      <c r="L1821" s="165">
        <f>IFERROR(__xludf.DUMMYFUNCTION("""COMPUTED_VALUE"""),-0.684481743393817)</f>
        <v>-0.6844817434</v>
      </c>
      <c r="M1821" s="166">
        <f t="shared" si="2"/>
        <v>0.6470931829</v>
      </c>
      <c r="N1821" s="167">
        <f t="shared" si="3"/>
        <v>18.42941558</v>
      </c>
      <c r="O1821" s="163">
        <f t="shared" ref="O1821:Q1821" si="1825">rank(I1821,I:I)</f>
        <v>3178</v>
      </c>
      <c r="P1821" s="163">
        <f t="shared" si="1825"/>
        <v>3163</v>
      </c>
      <c r="Q1821" s="163">
        <f t="shared" si="1825"/>
        <v>2726</v>
      </c>
      <c r="R1821" s="163">
        <f>IFERROR(__xludf.DUMMYFUNCTION("RANK(M1821,filter(M:M,C:C=C1821))"),260.0)</f>
        <v>260</v>
      </c>
      <c r="S1821" s="161" t="b">
        <f t="shared" si="5"/>
        <v>0</v>
      </c>
      <c r="T1821" s="161" t="b">
        <f t="array" ref="T1821">index('Query Tool'!B:B,match(H1821,'Query Tool'!C:C,0))</f>
        <v>1</v>
      </c>
      <c r="U1821" s="161" t="b">
        <f t="array" ref="U1821">index('Query Tool'!B:B,match(C1821,'Query Tool'!C:C,0))</f>
        <v>0</v>
      </c>
      <c r="V1821" s="161" t="b">
        <f>F1821&gt;='Query Tool'!C$32</f>
        <v>1</v>
      </c>
      <c r="W1821" s="161" t="b">
        <f t="array" ref="W1821">index(Dropdowns!B:B,match(I1821,Dropdowns!A:A,0))</f>
        <v>1</v>
      </c>
      <c r="X1821" s="161" t="b">
        <f t="array" ref="X1821">index('Query Tool'!B:B,match(D1821,'Query Tool'!C:C,0))</f>
        <v>1</v>
      </c>
      <c r="Y1821" s="161" t="str">
        <f t="shared" si="6"/>
        <v>dekkesa01,2016-17</v>
      </c>
      <c r="Z1821" s="168">
        <f t="array" ref="Z1821">iferror(index(I:I,match($A1821&amp;","&amp;index('Year Conversion'!$A:$A,match($C1821,'Year Conversion'!$B:$B,0)),$Y:$Y,0))-I1821,"")</f>
        <v>1</v>
      </c>
      <c r="AA1821" s="168">
        <f t="array" ref="AA1821">iferror(index(J:J,match($A1821&amp;","&amp;index('Year Conversion'!$A:$A,match($C1821,'Year Conversion'!$B:$B,0)),$Y:$Y,0))-J1821,"")</f>
        <v>1.207656037</v>
      </c>
      <c r="AB1821" s="168">
        <f t="array" ref="AB1821">iferror(index(K:K,match($A1821&amp;","&amp;index('Year Conversion'!$A:$A,match($C1821,'Year Conversion'!$B:$B,0)),$Y:$Y,0))-K1821,"")</f>
        <v>0.9680141409</v>
      </c>
      <c r="AC1821" s="168" t="str">
        <f t="shared" si="7"/>
        <v>HOU,2016-17</v>
      </c>
    </row>
    <row r="1822">
      <c r="A1822" s="161" t="str">
        <f>IFERROR(__xludf.DUMMYFUNCTION("""COMPUTED_VALUE"""),"russeda01")</f>
        <v>russeda01</v>
      </c>
      <c r="B1822" s="161" t="str">
        <f>IFERROR(__xludf.DUMMYFUNCTION("""COMPUTED_VALUE"""),"D'Angelo Russell")</f>
        <v>D'Angelo Russell</v>
      </c>
      <c r="C1822" s="162" t="str">
        <f>IFERROR(__xludf.DUMMYFUNCTION("""COMPUTED_VALUE"""),"2016-17")</f>
        <v>2016-17</v>
      </c>
      <c r="D1822" s="163" t="str">
        <f>IFERROR(__xludf.DUMMYFUNCTION("""COMPUTED_VALUE"""),"LAL")</f>
        <v>LAL</v>
      </c>
      <c r="E1822" s="164" t="str">
        <f>IFERROR(__xludf.DUMMYFUNCTION("""COMPUTED_VALUE"""),"Secondary Ball Handler")</f>
        <v>Secondary Ball Handler</v>
      </c>
      <c r="F1822" s="164">
        <f>IFERROR(__xludf.DUMMYFUNCTION("""COMPUTED_VALUE"""),1810.57833333333)</f>
        <v>1810.578333</v>
      </c>
      <c r="G1822" s="163">
        <f>IFERROR(__xludf.DUMMYFUNCTION("""COMPUTED_VALUE"""),63.0)</f>
        <v>63</v>
      </c>
      <c r="H1822" s="163" t="str">
        <f>IFERROR(__xludf.DUMMYFUNCTION("""COMPUTED_VALUE"""),"PG")</f>
        <v>PG</v>
      </c>
      <c r="I1822" s="163">
        <f>IFERROR(__xludf.DUMMYFUNCTION("""COMPUTED_VALUE"""),20.0)</f>
        <v>20</v>
      </c>
      <c r="J1822" s="165">
        <f>IFERROR(__xludf.DUMMYFUNCTION("""COMPUTED_VALUE"""),-0.170549115153787)</f>
        <v>-0.1705491152</v>
      </c>
      <c r="K1822" s="165">
        <f>IFERROR(__xludf.DUMMYFUNCTION("""COMPUTED_VALUE"""),1.05641528519673)</f>
        <v>1.056415285</v>
      </c>
      <c r="L1822" s="165">
        <f>IFERROR(__xludf.DUMMYFUNCTION("""COMPUTED_VALUE"""),-1.22696440035051)</f>
        <v>-1.2269644</v>
      </c>
      <c r="M1822" s="166">
        <f t="shared" si="2"/>
        <v>2.583131895</v>
      </c>
      <c r="N1822" s="167">
        <f t="shared" si="3"/>
        <v>28.73933862</v>
      </c>
      <c r="O1822" s="163">
        <f t="shared" ref="O1822:Q1822" si="1826">rank(I1822,I:I)</f>
        <v>3770</v>
      </c>
      <c r="P1822" s="163">
        <f t="shared" si="1826"/>
        <v>1471</v>
      </c>
      <c r="Q1822" s="163">
        <f t="shared" si="1826"/>
        <v>474</v>
      </c>
      <c r="R1822" s="163">
        <f>IFERROR(__xludf.DUMMYFUNCTION("RANK(M1822,filter(M:M,C:C=C1822))"),129.0)</f>
        <v>129</v>
      </c>
      <c r="S1822" s="161" t="b">
        <f t="shared" si="5"/>
        <v>0</v>
      </c>
      <c r="T1822" s="161" t="b">
        <f t="array" ref="T1822">index('Query Tool'!B:B,match(H1822,'Query Tool'!C:C,0))</f>
        <v>1</v>
      </c>
      <c r="U1822" s="161" t="b">
        <f t="array" ref="U1822">index('Query Tool'!B:B,match(C1822,'Query Tool'!C:C,0))</f>
        <v>0</v>
      </c>
      <c r="V1822" s="161" t="b">
        <f>F1822&gt;='Query Tool'!C$32</f>
        <v>1</v>
      </c>
      <c r="W1822" s="161" t="b">
        <f t="array" ref="W1822">index(Dropdowns!B:B,match(I1822,Dropdowns!A:A,0))</f>
        <v>1</v>
      </c>
      <c r="X1822" s="161" t="b">
        <f t="array" ref="X1822">index('Query Tool'!B:B,match(D1822,'Query Tool'!C:C,0))</f>
        <v>1</v>
      </c>
      <c r="Y1822" s="161" t="str">
        <f t="shared" si="6"/>
        <v>russeda01,2016-17</v>
      </c>
      <c r="Z1822" s="168">
        <f t="array" ref="Z1822">iferror(index(I:I,match($A1822&amp;","&amp;index('Year Conversion'!$A:$A,match($C1822,'Year Conversion'!$B:$B,0)),$Y:$Y,0))-I1822,"")</f>
        <v>1</v>
      </c>
      <c r="AA1822" s="168">
        <f t="array" ref="AA1822">iferror(index(J:J,match($A1822&amp;","&amp;index('Year Conversion'!$A:$A,match($C1822,'Year Conversion'!$B:$B,0)),$Y:$Y,0))-J1822,"")</f>
        <v>-0.5014161384</v>
      </c>
      <c r="AB1822" s="168">
        <f t="array" ref="AB1822">iferror(index(K:K,match($A1822&amp;","&amp;index('Year Conversion'!$A:$A,match($C1822,'Year Conversion'!$B:$B,0)),$Y:$Y,0))-K1822,"")</f>
        <v>-0.3188573678</v>
      </c>
      <c r="AC1822" s="168" t="str">
        <f t="shared" si="7"/>
        <v>LAL,2016-17</v>
      </c>
    </row>
    <row r="1823">
      <c r="A1823" s="161" t="str">
        <f>IFERROR(__xludf.DUMMYFUNCTION("""COMPUTED_VALUE"""),"townska01")</f>
        <v>townska01</v>
      </c>
      <c r="B1823" s="161" t="str">
        <f>IFERROR(__xludf.DUMMYFUNCTION("""COMPUTED_VALUE"""),"Karl-Anthony Towns")</f>
        <v>Karl-Anthony Towns</v>
      </c>
      <c r="C1823" s="162" t="str">
        <f>IFERROR(__xludf.DUMMYFUNCTION("""COMPUTED_VALUE"""),"2016-17")</f>
        <v>2016-17</v>
      </c>
      <c r="D1823" s="163" t="str">
        <f>IFERROR(__xludf.DUMMYFUNCTION("""COMPUTED_VALUE"""),"MIN")</f>
        <v>MIN</v>
      </c>
      <c r="E1823" s="164" t="str">
        <f>IFERROR(__xludf.DUMMYFUNCTION("""COMPUTED_VALUE"""),"Post Scorer")</f>
        <v>Post Scorer</v>
      </c>
      <c r="F1823" s="164">
        <f>IFERROR(__xludf.DUMMYFUNCTION("""COMPUTED_VALUE"""),3030.33)</f>
        <v>3030.33</v>
      </c>
      <c r="G1823" s="163">
        <f>IFERROR(__xludf.DUMMYFUNCTION("""COMPUTED_VALUE"""),82.0)</f>
        <v>82</v>
      </c>
      <c r="H1823" s="163" t="str">
        <f>IFERROR(__xludf.DUMMYFUNCTION("""COMPUTED_VALUE"""),"C")</f>
        <v>C</v>
      </c>
      <c r="I1823" s="163">
        <f>IFERROR(__xludf.DUMMYFUNCTION("""COMPUTED_VALUE"""),21.0)</f>
        <v>21</v>
      </c>
      <c r="J1823" s="165">
        <f>IFERROR(__xludf.DUMMYFUNCTION("""COMPUTED_VALUE"""),2.44935675128614)</f>
        <v>2.449356751</v>
      </c>
      <c r="K1823" s="165">
        <f>IFERROR(__xludf.DUMMYFUNCTION("""COMPUTED_VALUE"""),3.11461255894171)</f>
        <v>3.114612559</v>
      </c>
      <c r="L1823" s="165">
        <f>IFERROR(__xludf.DUMMYFUNCTION("""COMPUTED_VALUE"""),-0.665255807655563)</f>
        <v>-0.6652558077</v>
      </c>
      <c r="M1823" s="166">
        <f t="shared" si="2"/>
        <v>9.634544821</v>
      </c>
      <c r="N1823" s="167">
        <f t="shared" si="3"/>
        <v>36.9552439</v>
      </c>
      <c r="O1823" s="163">
        <f t="shared" ref="O1823:Q1823" si="1827">rank(I1823,I:I)</f>
        <v>3528</v>
      </c>
      <c r="P1823" s="163">
        <f t="shared" si="1827"/>
        <v>229</v>
      </c>
      <c r="Q1823" s="163">
        <f t="shared" si="1827"/>
        <v>111</v>
      </c>
      <c r="R1823" s="163">
        <f>IFERROR(__xludf.DUMMYFUNCTION("RANK(M1823,filter(M:M,C:C=C1823))"),17.0)</f>
        <v>17</v>
      </c>
      <c r="S1823" s="161" t="b">
        <f t="shared" si="5"/>
        <v>0</v>
      </c>
      <c r="T1823" s="161" t="b">
        <f t="array" ref="T1823">index('Query Tool'!B:B,match(H1823,'Query Tool'!C:C,0))</f>
        <v>1</v>
      </c>
      <c r="U1823" s="161" t="b">
        <f t="array" ref="U1823">index('Query Tool'!B:B,match(C1823,'Query Tool'!C:C,0))</f>
        <v>0</v>
      </c>
      <c r="V1823" s="161" t="b">
        <f>F1823&gt;='Query Tool'!C$32</f>
        <v>1</v>
      </c>
      <c r="W1823" s="161" t="b">
        <f t="array" ref="W1823">index(Dropdowns!B:B,match(I1823,Dropdowns!A:A,0))</f>
        <v>1</v>
      </c>
      <c r="X1823" s="161" t="b">
        <f t="array" ref="X1823">index('Query Tool'!B:B,match(D1823,'Query Tool'!C:C,0))</f>
        <v>1</v>
      </c>
      <c r="Y1823" s="161" t="str">
        <f t="shared" si="6"/>
        <v>townska01,2016-17</v>
      </c>
      <c r="Z1823" s="168">
        <f t="array" ref="Z1823">iferror(index(I:I,match($A1823&amp;","&amp;index('Year Conversion'!$A:$A,match($C1823,'Year Conversion'!$B:$B,0)),$Y:$Y,0))-I1823,"")</f>
        <v>1</v>
      </c>
      <c r="AA1823" s="168">
        <f t="array" ref="AA1823">iferror(index(J:J,match($A1823&amp;","&amp;index('Year Conversion'!$A:$A,match($C1823,'Year Conversion'!$B:$B,0)),$Y:$Y,0))-J1823,"")</f>
        <v>1.976039612</v>
      </c>
      <c r="AB1823" s="168">
        <f t="array" ref="AB1823">iferror(index(K:K,match($A1823&amp;","&amp;index('Year Conversion'!$A:$A,match($C1823,'Year Conversion'!$B:$B,0)),$Y:$Y,0))-K1823,"")</f>
        <v>0.2356010604</v>
      </c>
      <c r="AC1823" s="168" t="str">
        <f t="shared" si="7"/>
        <v>MIN,2016-17</v>
      </c>
    </row>
    <row r="1824">
      <c r="A1824" s="161" t="str">
        <f>IFERROR(__xludf.DUMMYFUNCTION("""COMPUTED_VALUE"""),"holmeri01")</f>
        <v>holmeri01</v>
      </c>
      <c r="B1824" s="161" t="str">
        <f>IFERROR(__xludf.DUMMYFUNCTION("""COMPUTED_VALUE"""),"Richaun Holmes")</f>
        <v>Richaun Holmes</v>
      </c>
      <c r="C1824" s="162" t="str">
        <f>IFERROR(__xludf.DUMMYFUNCTION("""COMPUTED_VALUE"""),"2016-17")</f>
        <v>2016-17</v>
      </c>
      <c r="D1824" s="163" t="str">
        <f>IFERROR(__xludf.DUMMYFUNCTION("""COMPUTED_VALUE"""),"PHI")</f>
        <v>PHI</v>
      </c>
      <c r="E1824" s="164" t="str">
        <f>IFERROR(__xludf.DUMMYFUNCTION("""COMPUTED_VALUE"""),"Roll + Cut Big")</f>
        <v>Roll + Cut Big</v>
      </c>
      <c r="F1824" s="164">
        <f>IFERROR(__xludf.DUMMYFUNCTION("""COMPUTED_VALUE"""),1192.7)</f>
        <v>1192.7</v>
      </c>
      <c r="G1824" s="163">
        <f>IFERROR(__xludf.DUMMYFUNCTION("""COMPUTED_VALUE"""),57.0)</f>
        <v>57</v>
      </c>
      <c r="H1824" s="163" t="str">
        <f>IFERROR(__xludf.DUMMYFUNCTION("""COMPUTED_VALUE"""),"C")</f>
        <v>C</v>
      </c>
      <c r="I1824" s="163">
        <f>IFERROR(__xludf.DUMMYFUNCTION("""COMPUTED_VALUE"""),23.0)</f>
        <v>23</v>
      </c>
      <c r="J1824" s="165">
        <f>IFERROR(__xludf.DUMMYFUNCTION("""COMPUTED_VALUE"""),-0.408568410491753)</f>
        <v>-0.4085684105</v>
      </c>
      <c r="K1824" s="165">
        <f>IFERROR(__xludf.DUMMYFUNCTION("""COMPUTED_VALUE"""),-0.530333765160688)</f>
        <v>-0.5303337652</v>
      </c>
      <c r="L1824" s="165">
        <f>IFERROR(__xludf.DUMMYFUNCTION("""COMPUTED_VALUE"""),0.121765354668935)</f>
        <v>0.1217653547</v>
      </c>
      <c r="M1824" s="166">
        <f t="shared" si="2"/>
        <v>1.510289608</v>
      </c>
      <c r="N1824" s="167">
        <f t="shared" si="3"/>
        <v>20.9245614</v>
      </c>
      <c r="O1824" s="163">
        <f t="shared" ref="O1824:Q1824" si="1828">rank(I1824,I:I)</f>
        <v>2765</v>
      </c>
      <c r="P1824" s="163">
        <f t="shared" si="1828"/>
        <v>1740</v>
      </c>
      <c r="Q1824" s="163">
        <f t="shared" si="1828"/>
        <v>2154</v>
      </c>
      <c r="R1824" s="163">
        <f>IFERROR(__xludf.DUMMYFUNCTION("RANK(M1824,filter(M:M,C:C=C1824))"),191.0)</f>
        <v>191</v>
      </c>
      <c r="S1824" s="161" t="b">
        <f t="shared" si="5"/>
        <v>0</v>
      </c>
      <c r="T1824" s="161" t="b">
        <f t="array" ref="T1824">index('Query Tool'!B:B,match(H1824,'Query Tool'!C:C,0))</f>
        <v>1</v>
      </c>
      <c r="U1824" s="161" t="b">
        <f t="array" ref="U1824">index('Query Tool'!B:B,match(C1824,'Query Tool'!C:C,0))</f>
        <v>0</v>
      </c>
      <c r="V1824" s="161" t="b">
        <f>F1824&gt;='Query Tool'!C$32</f>
        <v>1</v>
      </c>
      <c r="W1824" s="161" t="b">
        <f t="array" ref="W1824">index(Dropdowns!B:B,match(I1824,Dropdowns!A:A,0))</f>
        <v>1</v>
      </c>
      <c r="X1824" s="161" t="b">
        <f t="array" ref="X1824">index('Query Tool'!B:B,match(D1824,'Query Tool'!C:C,0))</f>
        <v>1</v>
      </c>
      <c r="Y1824" s="161" t="str">
        <f t="shared" si="6"/>
        <v>holmeri01,2016-17</v>
      </c>
      <c r="Z1824" s="168">
        <f t="array" ref="Z1824">iferror(index(I:I,match($A1824&amp;","&amp;index('Year Conversion'!$A:$A,match($C1824,'Year Conversion'!$B:$B,0)),$Y:$Y,0))-I1824,"")</f>
        <v>1</v>
      </c>
      <c r="AA1824" s="168">
        <f t="array" ref="AA1824">iferror(index(J:J,match($A1824&amp;","&amp;index('Year Conversion'!$A:$A,match($C1824,'Year Conversion'!$B:$B,0)),$Y:$Y,0))-J1824,"")</f>
        <v>0.7107359849</v>
      </c>
      <c r="AB1824" s="168">
        <f t="array" ref="AB1824">iferror(index(K:K,match($A1824&amp;","&amp;index('Year Conversion'!$A:$A,match($C1824,'Year Conversion'!$B:$B,0)),$Y:$Y,0))-K1824,"")</f>
        <v>0.4868837474</v>
      </c>
      <c r="AC1824" s="168" t="str">
        <f t="shared" si="7"/>
        <v>PHI,2016-17</v>
      </c>
    </row>
    <row r="1825">
      <c r="A1825" s="161" t="str">
        <f>IFERROR(__xludf.DUMMYFUNCTION("""COMPUTED_VALUE"""),"winslju01")</f>
        <v>winslju01</v>
      </c>
      <c r="B1825" s="161" t="str">
        <f>IFERROR(__xludf.DUMMYFUNCTION("""COMPUTED_VALUE"""),"Justise Winslow")</f>
        <v>Justise Winslow</v>
      </c>
      <c r="C1825" s="162" t="str">
        <f>IFERROR(__xludf.DUMMYFUNCTION("""COMPUTED_VALUE"""),"2016-17")</f>
        <v>2016-17</v>
      </c>
      <c r="D1825" s="163" t="str">
        <f>IFERROR(__xludf.DUMMYFUNCTION("""COMPUTED_VALUE"""),"MIA")</f>
        <v>MIA</v>
      </c>
      <c r="E1825" s="164" t="str">
        <f>IFERROR(__xludf.DUMMYFUNCTION("""COMPUTED_VALUE"""),"Secondary Ball Handler")</f>
        <v>Secondary Ball Handler</v>
      </c>
      <c r="F1825" s="164">
        <f>IFERROR(__xludf.DUMMYFUNCTION("""COMPUTED_VALUE"""),625.295)</f>
        <v>625.295</v>
      </c>
      <c r="G1825" s="163">
        <f>IFERROR(__xludf.DUMMYFUNCTION("""COMPUTED_VALUE"""),18.0)</f>
        <v>18</v>
      </c>
      <c r="H1825" s="163" t="str">
        <f>IFERROR(__xludf.DUMMYFUNCTION("""COMPUTED_VALUE"""),"SF")</f>
        <v>SF</v>
      </c>
      <c r="I1825" s="163">
        <f>IFERROR(__xludf.DUMMYFUNCTION("""COMPUTED_VALUE"""),20.0)</f>
        <v>20</v>
      </c>
      <c r="J1825" s="165">
        <f>IFERROR(__xludf.DUMMYFUNCTION("""COMPUTED_VALUE"""),-1.02946591147782)</f>
        <v>-1.029465911</v>
      </c>
      <c r="K1825" s="165">
        <f>IFERROR(__xludf.DUMMYFUNCTION("""COMPUTED_VALUE"""),-1.38102241950488)</f>
        <v>-1.38102242</v>
      </c>
      <c r="L1825" s="165">
        <f>IFERROR(__xludf.DUMMYFUNCTION("""COMPUTED_VALUE"""),0.351556508027057)</f>
        <v>0.351556508</v>
      </c>
      <c r="M1825" s="166">
        <f t="shared" si="2"/>
        <v>0.530644884</v>
      </c>
      <c r="N1825" s="167">
        <f t="shared" si="3"/>
        <v>34.73861111</v>
      </c>
      <c r="O1825" s="163">
        <f t="shared" ref="O1825:Q1825" si="1829">rank(I1825,I:I)</f>
        <v>3770</v>
      </c>
      <c r="P1825" s="163">
        <f t="shared" si="1829"/>
        <v>2535</v>
      </c>
      <c r="Q1825" s="163">
        <f t="shared" si="1829"/>
        <v>3230</v>
      </c>
      <c r="R1825" s="163">
        <f>IFERROR(__xludf.DUMMYFUNCTION("RANK(M1825,filter(M:M,C:C=C1825))"),277.0)</f>
        <v>277</v>
      </c>
      <c r="S1825" s="161" t="b">
        <f t="shared" si="5"/>
        <v>0</v>
      </c>
      <c r="T1825" s="161" t="b">
        <f t="array" ref="T1825">index('Query Tool'!B:B,match(H1825,'Query Tool'!C:C,0))</f>
        <v>1</v>
      </c>
      <c r="U1825" s="161" t="b">
        <f t="array" ref="U1825">index('Query Tool'!B:B,match(C1825,'Query Tool'!C:C,0))</f>
        <v>0</v>
      </c>
      <c r="V1825" s="161" t="b">
        <f>F1825&gt;='Query Tool'!C$32</f>
        <v>1</v>
      </c>
      <c r="W1825" s="161" t="b">
        <f t="array" ref="W1825">index(Dropdowns!B:B,match(I1825,Dropdowns!A:A,0))</f>
        <v>1</v>
      </c>
      <c r="X1825" s="161" t="b">
        <f t="array" ref="X1825">index('Query Tool'!B:B,match(D1825,'Query Tool'!C:C,0))</f>
        <v>1</v>
      </c>
      <c r="Y1825" s="161" t="str">
        <f t="shared" si="6"/>
        <v>winslju01,2016-17</v>
      </c>
      <c r="Z1825" s="168">
        <f t="array" ref="Z1825">iferror(index(I:I,match($A1825&amp;","&amp;index('Year Conversion'!$A:$A,match($C1825,'Year Conversion'!$B:$B,0)),$Y:$Y,0))-I1825,"")</f>
        <v>1</v>
      </c>
      <c r="AA1825" s="168">
        <f t="array" ref="AA1825">iferror(index(J:J,match($A1825&amp;","&amp;index('Year Conversion'!$A:$A,match($C1825,'Year Conversion'!$B:$B,0)),$Y:$Y,0))-J1825,"")</f>
        <v>0.7380358825</v>
      </c>
      <c r="AB1825" s="168">
        <f t="array" ref="AB1825">iferror(index(K:K,match($A1825&amp;","&amp;index('Year Conversion'!$A:$A,match($C1825,'Year Conversion'!$B:$B,0)),$Y:$Y,0))-K1825,"")</f>
        <v>-0.3135265406</v>
      </c>
      <c r="AC1825" s="168" t="str">
        <f t="shared" si="7"/>
        <v>MIA,2016-17</v>
      </c>
    </row>
    <row r="1826">
      <c r="A1826" s="161" t="str">
        <f>IFERROR(__xludf.DUMMYFUNCTION("""COMPUTED_VALUE"""),"caulewi01")</f>
        <v>caulewi01</v>
      </c>
      <c r="B1826" s="161" t="str">
        <f>IFERROR(__xludf.DUMMYFUNCTION("""COMPUTED_VALUE"""),"Willie Cauley-Stein")</f>
        <v>Willie Cauley-Stein</v>
      </c>
      <c r="C1826" s="162" t="str">
        <f>IFERROR(__xludf.DUMMYFUNCTION("""COMPUTED_VALUE"""),"2016-17")</f>
        <v>2016-17</v>
      </c>
      <c r="D1826" s="163" t="str">
        <f>IFERROR(__xludf.DUMMYFUNCTION("""COMPUTED_VALUE"""),"SAC")</f>
        <v>SAC</v>
      </c>
      <c r="E1826" s="164" t="str">
        <f>IFERROR(__xludf.DUMMYFUNCTION("""COMPUTED_VALUE"""),"Roll + Cut Big")</f>
        <v>Roll + Cut Big</v>
      </c>
      <c r="F1826" s="164">
        <f>IFERROR(__xludf.DUMMYFUNCTION("""COMPUTED_VALUE"""),1420.79)</f>
        <v>1420.79</v>
      </c>
      <c r="G1826" s="163">
        <f>IFERROR(__xludf.DUMMYFUNCTION("""COMPUTED_VALUE"""),75.0)</f>
        <v>75</v>
      </c>
      <c r="H1826" s="163" t="str">
        <f>IFERROR(__xludf.DUMMYFUNCTION("""COMPUTED_VALUE"""),"C")</f>
        <v>C</v>
      </c>
      <c r="I1826" s="163">
        <f>IFERROR(__xludf.DUMMYFUNCTION("""COMPUTED_VALUE"""),23.0)</f>
        <v>23</v>
      </c>
      <c r="J1826" s="165">
        <f>IFERROR(__xludf.DUMMYFUNCTION("""COMPUTED_VALUE"""),-0.762765198957702)</f>
        <v>-0.762765199</v>
      </c>
      <c r="K1826" s="165">
        <f>IFERROR(__xludf.DUMMYFUNCTION("""COMPUTED_VALUE"""),-1.15045591748786)</f>
        <v>-1.150455917</v>
      </c>
      <c r="L1826" s="165">
        <f>IFERROR(__xludf.DUMMYFUNCTION("""COMPUTED_VALUE"""),0.387690718530155)</f>
        <v>0.3876907185</v>
      </c>
      <c r="M1826" s="166">
        <f t="shared" si="2"/>
        <v>1.460335377</v>
      </c>
      <c r="N1826" s="167">
        <f t="shared" si="3"/>
        <v>18.94386667</v>
      </c>
      <c r="O1826" s="163">
        <f t="shared" ref="O1826:Q1826" si="1830">rank(I1826,I:I)</f>
        <v>2765</v>
      </c>
      <c r="P1826" s="163">
        <f t="shared" si="1830"/>
        <v>2229</v>
      </c>
      <c r="Q1826" s="163">
        <f t="shared" si="1830"/>
        <v>2987</v>
      </c>
      <c r="R1826" s="163">
        <f>IFERROR(__xludf.DUMMYFUNCTION("RANK(M1826,filter(M:M,C:C=C1826))"),192.0)</f>
        <v>192</v>
      </c>
      <c r="S1826" s="161" t="b">
        <f t="shared" si="5"/>
        <v>0</v>
      </c>
      <c r="T1826" s="161" t="b">
        <f t="array" ref="T1826">index('Query Tool'!B:B,match(H1826,'Query Tool'!C:C,0))</f>
        <v>1</v>
      </c>
      <c r="U1826" s="161" t="b">
        <f t="array" ref="U1826">index('Query Tool'!B:B,match(C1826,'Query Tool'!C:C,0))</f>
        <v>0</v>
      </c>
      <c r="V1826" s="161" t="b">
        <f>F1826&gt;='Query Tool'!C$32</f>
        <v>1</v>
      </c>
      <c r="W1826" s="161" t="b">
        <f t="array" ref="W1826">index(Dropdowns!B:B,match(I1826,Dropdowns!A:A,0))</f>
        <v>1</v>
      </c>
      <c r="X1826" s="161" t="b">
        <f t="array" ref="X1826">index('Query Tool'!B:B,match(D1826,'Query Tool'!C:C,0))</f>
        <v>1</v>
      </c>
      <c r="Y1826" s="161" t="str">
        <f t="shared" si="6"/>
        <v>caulewi01,2016-17</v>
      </c>
      <c r="Z1826" s="168">
        <f t="array" ref="Z1826">iferror(index(I:I,match($A1826&amp;","&amp;index('Year Conversion'!$A:$A,match($C1826,'Year Conversion'!$B:$B,0)),$Y:$Y,0))-I1826,"")</f>
        <v>1</v>
      </c>
      <c r="AA1826" s="168">
        <f t="array" ref="AA1826">iferror(index(J:J,match($A1826&amp;","&amp;index('Year Conversion'!$A:$A,match($C1826,'Year Conversion'!$B:$B,0)),$Y:$Y,0))-J1826,"")</f>
        <v>0.8073002111</v>
      </c>
      <c r="AB1826" s="168">
        <f t="array" ref="AB1826">iferror(index(K:K,match($A1826&amp;","&amp;index('Year Conversion'!$A:$A,match($C1826,'Year Conversion'!$B:$B,0)),$Y:$Y,0))-K1826,"")</f>
        <v>0.04345080436</v>
      </c>
      <c r="AC1826" s="168" t="str">
        <f t="shared" si="7"/>
        <v>SAC,2016-17</v>
      </c>
    </row>
    <row r="1827">
      <c r="A1827" s="161" t="str">
        <f>IFERROR(__xludf.DUMMYFUNCTION("""COMPUTED_VALUE"""),"oubreke01")</f>
        <v>oubreke01</v>
      </c>
      <c r="B1827" s="161" t="str">
        <f>IFERROR(__xludf.DUMMYFUNCTION("""COMPUTED_VALUE"""),"Kelly Oubre Jr.")</f>
        <v>Kelly Oubre Jr.</v>
      </c>
      <c r="C1827" s="162" t="str">
        <f>IFERROR(__xludf.DUMMYFUNCTION("""COMPUTED_VALUE"""),"2016-17")</f>
        <v>2016-17</v>
      </c>
      <c r="D1827" s="163" t="str">
        <f>IFERROR(__xludf.DUMMYFUNCTION("""COMPUTED_VALUE"""),"WAS")</f>
        <v>WAS</v>
      </c>
      <c r="E1827" s="164" t="str">
        <f>IFERROR(__xludf.DUMMYFUNCTION("""COMPUTED_VALUE"""),"Stationary Shooter")</f>
        <v>Stationary Shooter</v>
      </c>
      <c r="F1827" s="164">
        <f>IFERROR(__xludf.DUMMYFUNCTION("""COMPUTED_VALUE"""),1605.255)</f>
        <v>1605.255</v>
      </c>
      <c r="G1827" s="163">
        <f>IFERROR(__xludf.DUMMYFUNCTION("""COMPUTED_VALUE"""),79.0)</f>
        <v>79</v>
      </c>
      <c r="H1827" s="163" t="str">
        <f>IFERROR(__xludf.DUMMYFUNCTION("""COMPUTED_VALUE"""),"SF")</f>
        <v>SF</v>
      </c>
      <c r="I1827" s="163">
        <f>IFERROR(__xludf.DUMMYFUNCTION("""COMPUTED_VALUE"""),21.0)</f>
        <v>21</v>
      </c>
      <c r="J1827" s="165">
        <f>IFERROR(__xludf.DUMMYFUNCTION("""COMPUTED_VALUE"""),-1.19464340208438)</f>
        <v>-1.194643402</v>
      </c>
      <c r="K1827" s="165">
        <f>IFERROR(__xludf.DUMMYFUNCTION("""COMPUTED_VALUE"""),-1.06316079464612)</f>
        <v>-1.063160795</v>
      </c>
      <c r="L1827" s="165">
        <f>IFERROR(__xludf.DUMMYFUNCTION("""COMPUTED_VALUE"""),-0.13148260743826)</f>
        <v>-0.1314826074</v>
      </c>
      <c r="M1827" s="166">
        <f t="shared" si="2"/>
        <v>1.184426628</v>
      </c>
      <c r="N1827" s="167">
        <f t="shared" si="3"/>
        <v>20.31968354</v>
      </c>
      <c r="O1827" s="163">
        <f t="shared" ref="O1827:Q1827" si="1831">rank(I1827,I:I)</f>
        <v>3528</v>
      </c>
      <c r="P1827" s="163">
        <f t="shared" si="1831"/>
        <v>2739</v>
      </c>
      <c r="Q1827" s="163">
        <f t="shared" si="1831"/>
        <v>2889</v>
      </c>
      <c r="R1827" s="163">
        <f>IFERROR(__xludf.DUMMYFUNCTION("RANK(M1827,filter(M:M,C:C=C1827))"),209.0)</f>
        <v>209</v>
      </c>
      <c r="S1827" s="161" t="b">
        <f t="shared" si="5"/>
        <v>0</v>
      </c>
      <c r="T1827" s="161" t="b">
        <f t="array" ref="T1827">index('Query Tool'!B:B,match(H1827,'Query Tool'!C:C,0))</f>
        <v>1</v>
      </c>
      <c r="U1827" s="161" t="b">
        <f t="array" ref="U1827">index('Query Tool'!B:B,match(C1827,'Query Tool'!C:C,0))</f>
        <v>0</v>
      </c>
      <c r="V1827" s="161" t="b">
        <f>F1827&gt;='Query Tool'!C$32</f>
        <v>1</v>
      </c>
      <c r="W1827" s="161" t="b">
        <f t="array" ref="W1827">index(Dropdowns!B:B,match(I1827,Dropdowns!A:A,0))</f>
        <v>1</v>
      </c>
      <c r="X1827" s="161" t="b">
        <f t="array" ref="X1827">index('Query Tool'!B:B,match(D1827,'Query Tool'!C:C,0))</f>
        <v>1</v>
      </c>
      <c r="Y1827" s="161" t="str">
        <f t="shared" si="6"/>
        <v>oubreke01,2016-17</v>
      </c>
      <c r="Z1827" s="168">
        <f t="array" ref="Z1827">iferror(index(I:I,match($A1827&amp;","&amp;index('Year Conversion'!$A:$A,match($C1827,'Year Conversion'!$B:$B,0)),$Y:$Y,0))-I1827,"")</f>
        <v>1</v>
      </c>
      <c r="AA1827" s="168">
        <f t="array" ref="AA1827">iferror(index(J:J,match($A1827&amp;","&amp;index('Year Conversion'!$A:$A,match($C1827,'Year Conversion'!$B:$B,0)),$Y:$Y,0))-J1827,"")</f>
        <v>-0.1008277785</v>
      </c>
      <c r="AB1827" s="168">
        <f t="array" ref="AB1827">iferror(index(K:K,match($A1827&amp;","&amp;index('Year Conversion'!$A:$A,match($C1827,'Year Conversion'!$B:$B,0)),$Y:$Y,0))-K1827,"")</f>
        <v>0.6940273677</v>
      </c>
      <c r="AC1827" s="168" t="str">
        <f t="shared" si="7"/>
        <v>WAS,2016-17</v>
      </c>
    </row>
    <row r="1828">
      <c r="A1828" s="161" t="str">
        <f>IFERROR(__xludf.DUMMYFUNCTION("""COMPUTED_VALUE"""),"kaminfr01")</f>
        <v>kaminfr01</v>
      </c>
      <c r="B1828" s="161" t="str">
        <f>IFERROR(__xludf.DUMMYFUNCTION("""COMPUTED_VALUE"""),"Frank Kaminsky")</f>
        <v>Frank Kaminsky</v>
      </c>
      <c r="C1828" s="162" t="str">
        <f>IFERROR(__xludf.DUMMYFUNCTION("""COMPUTED_VALUE"""),"2016-17")</f>
        <v>2016-17</v>
      </c>
      <c r="D1828" s="163" t="str">
        <f>IFERROR(__xludf.DUMMYFUNCTION("""COMPUTED_VALUE"""),"CHO")</f>
        <v>CHO</v>
      </c>
      <c r="E1828" s="164" t="str">
        <f>IFERROR(__xludf.DUMMYFUNCTION("""COMPUTED_VALUE"""),"Stretch Big")</f>
        <v>Stretch Big</v>
      </c>
      <c r="F1828" s="164">
        <f>IFERROR(__xludf.DUMMYFUNCTION("""COMPUTED_VALUE"""),1954.015)</f>
        <v>1954.015</v>
      </c>
      <c r="G1828" s="163">
        <f>IFERROR(__xludf.DUMMYFUNCTION("""COMPUTED_VALUE"""),75.0)</f>
        <v>75</v>
      </c>
      <c r="H1828" s="163" t="str">
        <f>IFERROR(__xludf.DUMMYFUNCTION("""COMPUTED_VALUE"""),"C")</f>
        <v>C</v>
      </c>
      <c r="I1828" s="163">
        <f>IFERROR(__xludf.DUMMYFUNCTION("""COMPUTED_VALUE"""),23.0)</f>
        <v>23</v>
      </c>
      <c r="J1828" s="165">
        <f>IFERROR(__xludf.DUMMYFUNCTION("""COMPUTED_VALUE"""),-0.49063152732715)</f>
        <v>-0.4906315273</v>
      </c>
      <c r="K1828" s="165">
        <f>IFERROR(__xludf.DUMMYFUNCTION("""COMPUTED_VALUE"""),0.406125495581476)</f>
        <v>0.4061254956</v>
      </c>
      <c r="L1828" s="165">
        <f>IFERROR(__xludf.DUMMYFUNCTION("""COMPUTED_VALUE"""),-0.896757022908627)</f>
        <v>-0.8967570229</v>
      </c>
      <c r="M1828" s="166">
        <f t="shared" si="2"/>
        <v>2.36630915</v>
      </c>
      <c r="N1828" s="167">
        <f t="shared" si="3"/>
        <v>26.05353333</v>
      </c>
      <c r="O1828" s="163">
        <f t="shared" ref="O1828:Q1828" si="1832">rank(I1828,I:I)</f>
        <v>2765</v>
      </c>
      <c r="P1828" s="163">
        <f t="shared" si="1832"/>
        <v>1842</v>
      </c>
      <c r="Q1828" s="163">
        <f t="shared" si="1832"/>
        <v>829</v>
      </c>
      <c r="R1828" s="163">
        <f>IFERROR(__xludf.DUMMYFUNCTION("RANK(M1828,filter(M:M,C:C=C1828))"),136.0)</f>
        <v>136</v>
      </c>
      <c r="S1828" s="161" t="b">
        <f t="shared" si="5"/>
        <v>0</v>
      </c>
      <c r="T1828" s="161" t="b">
        <f t="array" ref="T1828">index('Query Tool'!B:B,match(H1828,'Query Tool'!C:C,0))</f>
        <v>1</v>
      </c>
      <c r="U1828" s="161" t="b">
        <f t="array" ref="U1828">index('Query Tool'!B:B,match(C1828,'Query Tool'!C:C,0))</f>
        <v>0</v>
      </c>
      <c r="V1828" s="161" t="b">
        <f>F1828&gt;='Query Tool'!C$32</f>
        <v>1</v>
      </c>
      <c r="W1828" s="161" t="b">
        <f t="array" ref="W1828">index(Dropdowns!B:B,match(I1828,Dropdowns!A:A,0))</f>
        <v>1</v>
      </c>
      <c r="X1828" s="161" t="b">
        <f t="array" ref="X1828">index('Query Tool'!B:B,match(D1828,'Query Tool'!C:C,0))</f>
        <v>1</v>
      </c>
      <c r="Y1828" s="161" t="str">
        <f t="shared" si="6"/>
        <v>kaminfr01,2016-17</v>
      </c>
      <c r="Z1828" s="168">
        <f t="array" ref="Z1828">iferror(index(I:I,match($A1828&amp;","&amp;index('Year Conversion'!$A:$A,match($C1828,'Year Conversion'!$B:$B,0)),$Y:$Y,0))-I1828,"")</f>
        <v>1</v>
      </c>
      <c r="AA1828" s="168">
        <f t="array" ref="AA1828">iferror(index(J:J,match($A1828&amp;","&amp;index('Year Conversion'!$A:$A,match($C1828,'Year Conversion'!$B:$B,0)),$Y:$Y,0))-J1828,"")</f>
        <v>-0.6499909487</v>
      </c>
      <c r="AB1828" s="168">
        <f t="array" ref="AB1828">iferror(index(K:K,match($A1828&amp;","&amp;index('Year Conversion'!$A:$A,match($C1828,'Year Conversion'!$B:$B,0)),$Y:$Y,0))-K1828,"")</f>
        <v>-0.1250985411</v>
      </c>
      <c r="AC1828" s="168" t="str">
        <f t="shared" si="7"/>
        <v>CHO,2016-17</v>
      </c>
    </row>
    <row r="1829">
      <c r="A1829" s="161" t="str">
        <f>IFERROR(__xludf.DUMMYFUNCTION("""COMPUTED_VALUE"""),"bookede01")</f>
        <v>bookede01</v>
      </c>
      <c r="B1829" s="161" t="str">
        <f>IFERROR(__xludf.DUMMYFUNCTION("""COMPUTED_VALUE"""),"Devin Booker")</f>
        <v>Devin Booker</v>
      </c>
      <c r="C1829" s="162" t="str">
        <f>IFERROR(__xludf.DUMMYFUNCTION("""COMPUTED_VALUE"""),"2016-17")</f>
        <v>2016-17</v>
      </c>
      <c r="D1829" s="163" t="str">
        <f>IFERROR(__xludf.DUMMYFUNCTION("""COMPUTED_VALUE"""),"PHO")</f>
        <v>PHO</v>
      </c>
      <c r="E1829" s="164" t="str">
        <f>IFERROR(__xludf.DUMMYFUNCTION("""COMPUTED_VALUE"""),"Shot Creator")</f>
        <v>Shot Creator</v>
      </c>
      <c r="F1829" s="164">
        <f>IFERROR(__xludf.DUMMYFUNCTION("""COMPUTED_VALUE"""),2730.55333333333)</f>
        <v>2730.553333</v>
      </c>
      <c r="G1829" s="163">
        <f>IFERROR(__xludf.DUMMYFUNCTION("""COMPUTED_VALUE"""),78.0)</f>
        <v>78</v>
      </c>
      <c r="H1829" s="163" t="str">
        <f>IFERROR(__xludf.DUMMYFUNCTION("""COMPUTED_VALUE"""),"SG")</f>
        <v>SG</v>
      </c>
      <c r="I1829" s="163">
        <f>IFERROR(__xludf.DUMMYFUNCTION("""COMPUTED_VALUE"""),20.0)</f>
        <v>20</v>
      </c>
      <c r="J1829" s="165">
        <f>IFERROR(__xludf.DUMMYFUNCTION("""COMPUTED_VALUE"""),-1.07389778376335)</f>
        <v>-1.073897784</v>
      </c>
      <c r="K1829" s="165">
        <f>IFERROR(__xludf.DUMMYFUNCTION("""COMPUTED_VALUE"""),1.00063098602212)</f>
        <v>1.000630986</v>
      </c>
      <c r="L1829" s="165">
        <f>IFERROR(__xludf.DUMMYFUNCTION("""COMPUTED_VALUE"""),-2.07452876978547)</f>
        <v>-2.07452877</v>
      </c>
      <c r="M1829" s="166">
        <f t="shared" si="2"/>
        <v>2.235813715</v>
      </c>
      <c r="N1829" s="167">
        <f t="shared" si="3"/>
        <v>35.00709402</v>
      </c>
      <c r="O1829" s="163">
        <f t="shared" ref="O1829:Q1829" si="1833">rank(I1829,I:I)</f>
        <v>3770</v>
      </c>
      <c r="P1829" s="163">
        <f t="shared" si="1833"/>
        <v>2581</v>
      </c>
      <c r="Q1829" s="163">
        <f t="shared" si="1833"/>
        <v>506</v>
      </c>
      <c r="R1829" s="163">
        <f>IFERROR(__xludf.DUMMYFUNCTION("RANK(M1829,filter(M:M,C:C=C1829))"),143.0)</f>
        <v>143</v>
      </c>
      <c r="S1829" s="161" t="b">
        <f t="shared" si="5"/>
        <v>0</v>
      </c>
      <c r="T1829" s="161" t="b">
        <f t="array" ref="T1829">index('Query Tool'!B:B,match(H1829,'Query Tool'!C:C,0))</f>
        <v>1</v>
      </c>
      <c r="U1829" s="161" t="b">
        <f t="array" ref="U1829">index('Query Tool'!B:B,match(C1829,'Query Tool'!C:C,0))</f>
        <v>0</v>
      </c>
      <c r="V1829" s="161" t="b">
        <f>F1829&gt;='Query Tool'!C$32</f>
        <v>1</v>
      </c>
      <c r="W1829" s="161" t="b">
        <f t="array" ref="W1829">index(Dropdowns!B:B,match(I1829,Dropdowns!A:A,0))</f>
        <v>1</v>
      </c>
      <c r="X1829" s="161" t="b">
        <f t="array" ref="X1829">index('Query Tool'!B:B,match(D1829,'Query Tool'!C:C,0))</f>
        <v>1</v>
      </c>
      <c r="Y1829" s="161" t="str">
        <f t="shared" si="6"/>
        <v>bookede01,2016-17</v>
      </c>
      <c r="Z1829" s="168">
        <f t="array" ref="Z1829">iferror(index(I:I,match($A1829&amp;","&amp;index('Year Conversion'!$A:$A,match($C1829,'Year Conversion'!$B:$B,0)),$Y:$Y,0))-I1829,"")</f>
        <v>1</v>
      </c>
      <c r="AA1829" s="168">
        <f t="array" ref="AA1829">iferror(index(J:J,match($A1829&amp;","&amp;index('Year Conversion'!$A:$A,match($C1829,'Year Conversion'!$B:$B,0)),$Y:$Y,0))-J1829,"")</f>
        <v>0.1031685824</v>
      </c>
      <c r="AB1829" s="168">
        <f t="array" ref="AB1829">iferror(index(K:K,match($A1829&amp;","&amp;index('Year Conversion'!$A:$A,match($C1829,'Year Conversion'!$B:$B,0)),$Y:$Y,0))-K1829,"")</f>
        <v>0.237256625</v>
      </c>
      <c r="AC1829" s="168" t="str">
        <f t="shared" si="7"/>
        <v>PHO,2016-17</v>
      </c>
    </row>
    <row r="1830">
      <c r="A1830" s="161" t="str">
        <f>IFERROR(__xludf.DUMMYFUNCTION("""COMPUTED_VALUE"""),"payneca01")</f>
        <v>payneca01</v>
      </c>
      <c r="B1830" s="161" t="str">
        <f>IFERROR(__xludf.DUMMYFUNCTION("""COMPUTED_VALUE"""),"Cameron Payne")</f>
        <v>Cameron Payne</v>
      </c>
      <c r="C1830" s="162" t="str">
        <f>IFERROR(__xludf.DUMMYFUNCTION("""COMPUTED_VALUE"""),"2016-17")</f>
        <v>2016-17</v>
      </c>
      <c r="D1830" s="163" t="str">
        <f>IFERROR(__xludf.DUMMYFUNCTION("""COMPUTED_VALUE"""),"TOT")</f>
        <v>TOT</v>
      </c>
      <c r="E1830" s="164" t="str">
        <f>IFERROR(__xludf.DUMMYFUNCTION("""COMPUTED_VALUE"""),"Secondary Ball Handler")</f>
        <v>Secondary Ball Handler</v>
      </c>
      <c r="F1830" s="164">
        <f>IFERROR(__xludf.DUMMYFUNCTION("""COMPUTED_VALUE"""),462.06)</f>
        <v>462.06</v>
      </c>
      <c r="G1830" s="163">
        <f>IFERROR(__xludf.DUMMYFUNCTION("""COMPUTED_VALUE"""),31.0)</f>
        <v>31</v>
      </c>
      <c r="H1830" s="163" t="str">
        <f>IFERROR(__xludf.DUMMYFUNCTION("""COMPUTED_VALUE"""),"PG")</f>
        <v>PG</v>
      </c>
      <c r="I1830" s="163">
        <f>IFERROR(__xludf.DUMMYFUNCTION("""COMPUTED_VALUE"""),22.0)</f>
        <v>22</v>
      </c>
      <c r="J1830" s="165">
        <f>IFERROR(__xludf.DUMMYFUNCTION("""COMPUTED_VALUE"""),-2.24439701710198)</f>
        <v>-2.244397017</v>
      </c>
      <c r="K1830" s="165">
        <f>IFERROR(__xludf.DUMMYFUNCTION("""COMPUTED_VALUE"""),-1.45278342109013)</f>
        <v>-1.452783421</v>
      </c>
      <c r="L1830" s="165">
        <f>IFERROR(__xludf.DUMMYFUNCTION("""COMPUTED_VALUE"""),-0.791613596011841)</f>
        <v>-0.791613596</v>
      </c>
      <c r="M1830" s="166">
        <f t="shared" si="2"/>
        <v>0.01802853056</v>
      </c>
      <c r="N1830" s="167">
        <f t="shared" si="3"/>
        <v>14.90516129</v>
      </c>
      <c r="O1830" s="163">
        <f t="shared" ref="O1830:Q1830" si="1834">rank(I1830,I:I)</f>
        <v>3178</v>
      </c>
      <c r="P1830" s="163">
        <f t="shared" si="1834"/>
        <v>3631</v>
      </c>
      <c r="Q1830" s="163">
        <f t="shared" si="1834"/>
        <v>3300</v>
      </c>
      <c r="R1830" s="163">
        <f>IFERROR(__xludf.DUMMYFUNCTION("RANK(M1830,filter(M:M,C:C=C1830))"),432.0)</f>
        <v>432</v>
      </c>
      <c r="S1830" s="161" t="b">
        <f t="shared" si="5"/>
        <v>0</v>
      </c>
      <c r="T1830" s="161" t="b">
        <f t="array" ref="T1830">index('Query Tool'!B:B,match(H1830,'Query Tool'!C:C,0))</f>
        <v>1</v>
      </c>
      <c r="U1830" s="161" t="b">
        <f t="array" ref="U1830">index('Query Tool'!B:B,match(C1830,'Query Tool'!C:C,0))</f>
        <v>0</v>
      </c>
      <c r="V1830" s="161" t="b">
        <f>F1830&gt;='Query Tool'!C$32</f>
        <v>0</v>
      </c>
      <c r="W1830" s="161" t="b">
        <f t="array" ref="W1830">index(Dropdowns!B:B,match(I1830,Dropdowns!A:A,0))</f>
        <v>1</v>
      </c>
      <c r="X1830" s="161" t="b">
        <f t="array" ref="X1830">index('Query Tool'!B:B,match(D1830,'Query Tool'!C:C,0))</f>
        <v>1</v>
      </c>
      <c r="Y1830" s="161" t="str">
        <f t="shared" si="6"/>
        <v>payneca01,2016-17</v>
      </c>
      <c r="Z1830" s="168">
        <f t="array" ref="Z1830">iferror(index(I:I,match($A1830&amp;","&amp;index('Year Conversion'!$A:$A,match($C1830,'Year Conversion'!$B:$B,0)),$Y:$Y,0))-I1830,"")</f>
        <v>1</v>
      </c>
      <c r="AA1830" s="168">
        <f t="array" ref="AA1830">iferror(index(J:J,match($A1830&amp;","&amp;index('Year Conversion'!$A:$A,match($C1830,'Year Conversion'!$B:$B,0)),$Y:$Y,0))-J1830,"")</f>
        <v>1.442254166</v>
      </c>
      <c r="AB1830" s="168">
        <f t="array" ref="AB1830">iferror(index(K:K,match($A1830&amp;","&amp;index('Year Conversion'!$A:$A,match($C1830,'Year Conversion'!$B:$B,0)),$Y:$Y,0))-K1830,"")</f>
        <v>0.8505839342</v>
      </c>
      <c r="AC1830" s="168" t="str">
        <f t="shared" si="7"/>
        <v>TOT,2016-17</v>
      </c>
    </row>
    <row r="1831">
      <c r="A1831" s="161" t="str">
        <f>IFERROR(__xludf.DUMMYFUNCTION("""COMPUTED_VALUE"""),"turnemy01")</f>
        <v>turnemy01</v>
      </c>
      <c r="B1831" s="161" t="str">
        <f>IFERROR(__xludf.DUMMYFUNCTION("""COMPUTED_VALUE"""),"Myles Turner")</f>
        <v>Myles Turner</v>
      </c>
      <c r="C1831" s="162" t="str">
        <f>IFERROR(__xludf.DUMMYFUNCTION("""COMPUTED_VALUE"""),"2016-17")</f>
        <v>2016-17</v>
      </c>
      <c r="D1831" s="163" t="str">
        <f>IFERROR(__xludf.DUMMYFUNCTION("""COMPUTED_VALUE"""),"IND")</f>
        <v>IND</v>
      </c>
      <c r="E1831" s="164" t="str">
        <f>IFERROR(__xludf.DUMMYFUNCTION("""COMPUTED_VALUE"""),"Roll + Cut Big")</f>
        <v>Roll + Cut Big</v>
      </c>
      <c r="F1831" s="164">
        <f>IFERROR(__xludf.DUMMYFUNCTION("""COMPUTED_VALUE"""),2541.005)</f>
        <v>2541.005</v>
      </c>
      <c r="G1831" s="163">
        <f>IFERROR(__xludf.DUMMYFUNCTION("""COMPUTED_VALUE"""),81.0)</f>
        <v>81</v>
      </c>
      <c r="H1831" s="163" t="str">
        <f>IFERROR(__xludf.DUMMYFUNCTION("""COMPUTED_VALUE"""),"C")</f>
        <v>C</v>
      </c>
      <c r="I1831" s="163">
        <f>IFERROR(__xludf.DUMMYFUNCTION("""COMPUTED_VALUE"""),20.0)</f>
        <v>20</v>
      </c>
      <c r="J1831" s="165">
        <f>IFERROR(__xludf.DUMMYFUNCTION("""COMPUTED_VALUE"""),1.69261986257134)</f>
        <v>1.692619863</v>
      </c>
      <c r="K1831" s="165">
        <f>IFERROR(__xludf.DUMMYFUNCTION("""COMPUTED_VALUE"""),-0.252128509563086)</f>
        <v>-0.2521285096</v>
      </c>
      <c r="L1831" s="165">
        <f>IFERROR(__xludf.DUMMYFUNCTION("""COMPUTED_VALUE"""),1.94474837213443)</f>
        <v>1.944748372</v>
      </c>
      <c r="M1831" s="166">
        <f t="shared" si="2"/>
        <v>6.805557358</v>
      </c>
      <c r="N1831" s="167">
        <f t="shared" si="3"/>
        <v>31.3704321</v>
      </c>
      <c r="O1831" s="163">
        <f t="shared" ref="O1831:Q1831" si="1835">rank(I1831,I:I)</f>
        <v>3770</v>
      </c>
      <c r="P1831" s="163">
        <f t="shared" si="1835"/>
        <v>401</v>
      </c>
      <c r="Q1831" s="163">
        <f t="shared" si="1835"/>
        <v>1670</v>
      </c>
      <c r="R1831" s="163">
        <f>IFERROR(__xludf.DUMMYFUNCTION("RANK(M1831,filter(M:M,C:C=C1831))"),38.0)</f>
        <v>38</v>
      </c>
      <c r="S1831" s="161" t="b">
        <f t="shared" si="5"/>
        <v>0</v>
      </c>
      <c r="T1831" s="161" t="b">
        <f t="array" ref="T1831">index('Query Tool'!B:B,match(H1831,'Query Tool'!C:C,0))</f>
        <v>1</v>
      </c>
      <c r="U1831" s="161" t="b">
        <f t="array" ref="U1831">index('Query Tool'!B:B,match(C1831,'Query Tool'!C:C,0))</f>
        <v>0</v>
      </c>
      <c r="V1831" s="161" t="b">
        <f>F1831&gt;='Query Tool'!C$32</f>
        <v>1</v>
      </c>
      <c r="W1831" s="161" t="b">
        <f t="array" ref="W1831">index(Dropdowns!B:B,match(I1831,Dropdowns!A:A,0))</f>
        <v>1</v>
      </c>
      <c r="X1831" s="161" t="b">
        <f t="array" ref="X1831">index('Query Tool'!B:B,match(D1831,'Query Tool'!C:C,0))</f>
        <v>1</v>
      </c>
      <c r="Y1831" s="161" t="str">
        <f t="shared" si="6"/>
        <v>turnemy01,2016-17</v>
      </c>
      <c r="Z1831" s="168">
        <f t="array" ref="Z1831">iferror(index(I:I,match($A1831&amp;","&amp;index('Year Conversion'!$A:$A,match($C1831,'Year Conversion'!$B:$B,0)),$Y:$Y,0))-I1831,"")</f>
        <v>1</v>
      </c>
      <c r="AA1831" s="168">
        <f t="array" ref="AA1831">iferror(index(J:J,match($A1831&amp;","&amp;index('Year Conversion'!$A:$A,match($C1831,'Year Conversion'!$B:$B,0)),$Y:$Y,0))-J1831,"")</f>
        <v>-1.483564301</v>
      </c>
      <c r="AB1831" s="168">
        <f t="array" ref="AB1831">iferror(index(K:K,match($A1831&amp;","&amp;index('Year Conversion'!$A:$A,match($C1831,'Year Conversion'!$B:$B,0)),$Y:$Y,0))-K1831,"")</f>
        <v>-1.157734234</v>
      </c>
      <c r="AC1831" s="168" t="str">
        <f t="shared" si="7"/>
        <v>IND,2016-17</v>
      </c>
    </row>
    <row r="1832">
      <c r="A1832" s="161" t="str">
        <f>IFERROR(__xludf.DUMMYFUNCTION("""COMPUTED_VALUE"""),"lylestr01")</f>
        <v>lylestr01</v>
      </c>
      <c r="B1832" s="161" t="str">
        <f>IFERROR(__xludf.DUMMYFUNCTION("""COMPUTED_VALUE"""),"Trey Lyles")</f>
        <v>Trey Lyles</v>
      </c>
      <c r="C1832" s="162" t="str">
        <f>IFERROR(__xludf.DUMMYFUNCTION("""COMPUTED_VALUE"""),"2016-17")</f>
        <v>2016-17</v>
      </c>
      <c r="D1832" s="163" t="str">
        <f>IFERROR(__xludf.DUMMYFUNCTION("""COMPUTED_VALUE"""),"UTA")</f>
        <v>UTA</v>
      </c>
      <c r="E1832" s="164" t="str">
        <f>IFERROR(__xludf.DUMMYFUNCTION("""COMPUTED_VALUE"""),"Stationary Shooter")</f>
        <v>Stationary Shooter</v>
      </c>
      <c r="F1832" s="164">
        <f>IFERROR(__xludf.DUMMYFUNCTION("""COMPUTED_VALUE"""),1158.35)</f>
        <v>1158.35</v>
      </c>
      <c r="G1832" s="163">
        <f>IFERROR(__xludf.DUMMYFUNCTION("""COMPUTED_VALUE"""),71.0)</f>
        <v>71</v>
      </c>
      <c r="H1832" s="163" t="str">
        <f>IFERROR(__xludf.DUMMYFUNCTION("""COMPUTED_VALUE"""),"PF")</f>
        <v>PF</v>
      </c>
      <c r="I1832" s="163">
        <f>IFERROR(__xludf.DUMMYFUNCTION("""COMPUTED_VALUE"""),21.0)</f>
        <v>21</v>
      </c>
      <c r="J1832" s="165">
        <f>IFERROR(__xludf.DUMMYFUNCTION("""COMPUTED_VALUE"""),-0.708836586438762)</f>
        <v>-0.7088365864</v>
      </c>
      <c r="K1832" s="165">
        <f>IFERROR(__xludf.DUMMYFUNCTION("""COMPUTED_VALUE"""),-0.847218400107057)</f>
        <v>-0.8472184001</v>
      </c>
      <c r="L1832" s="165">
        <f>IFERROR(__xludf.DUMMYFUNCTION("""COMPUTED_VALUE"""),0.138381813668295)</f>
        <v>0.1383818137</v>
      </c>
      <c r="M1832" s="166">
        <f t="shared" si="2"/>
        <v>1.232611291</v>
      </c>
      <c r="N1832" s="167">
        <f t="shared" si="3"/>
        <v>16.31478873</v>
      </c>
      <c r="O1832" s="163">
        <f t="shared" ref="O1832:Q1832" si="1836">rank(I1832,I:I)</f>
        <v>3528</v>
      </c>
      <c r="P1832" s="163">
        <f t="shared" si="1836"/>
        <v>2156</v>
      </c>
      <c r="Q1832" s="163">
        <f t="shared" si="1836"/>
        <v>2618</v>
      </c>
      <c r="R1832" s="163">
        <f>IFERROR(__xludf.DUMMYFUNCTION("RANK(M1832,filter(M:M,C:C=C1832))"),204.0)</f>
        <v>204</v>
      </c>
      <c r="S1832" s="161" t="b">
        <f t="shared" si="5"/>
        <v>0</v>
      </c>
      <c r="T1832" s="161" t="b">
        <f t="array" ref="T1832">index('Query Tool'!B:B,match(H1832,'Query Tool'!C:C,0))</f>
        <v>1</v>
      </c>
      <c r="U1832" s="161" t="b">
        <f t="array" ref="U1832">index('Query Tool'!B:B,match(C1832,'Query Tool'!C:C,0))</f>
        <v>0</v>
      </c>
      <c r="V1832" s="161" t="b">
        <f>F1832&gt;='Query Tool'!C$32</f>
        <v>1</v>
      </c>
      <c r="W1832" s="161" t="b">
        <f t="array" ref="W1832">index(Dropdowns!B:B,match(I1832,Dropdowns!A:A,0))</f>
        <v>1</v>
      </c>
      <c r="X1832" s="161" t="b">
        <f t="array" ref="X1832">index('Query Tool'!B:B,match(D1832,'Query Tool'!C:C,0))</f>
        <v>1</v>
      </c>
      <c r="Y1832" s="161" t="str">
        <f t="shared" si="6"/>
        <v>lylestr01,2016-17</v>
      </c>
      <c r="Z1832" s="168">
        <f t="array" ref="Z1832">iferror(index(I:I,match($A1832&amp;","&amp;index('Year Conversion'!$A:$A,match($C1832,'Year Conversion'!$B:$B,0)),$Y:$Y,0))-I1832,"")</f>
        <v>1</v>
      </c>
      <c r="AA1832" s="168">
        <f t="array" ref="AA1832">iferror(index(J:J,match($A1832&amp;","&amp;index('Year Conversion'!$A:$A,match($C1832,'Year Conversion'!$B:$B,0)),$Y:$Y,0))-J1832,"")</f>
        <v>1.303647946</v>
      </c>
      <c r="AB1832" s="168">
        <f t="array" ref="AB1832">iferror(index(K:K,match($A1832&amp;","&amp;index('Year Conversion'!$A:$A,match($C1832,'Year Conversion'!$B:$B,0)),$Y:$Y,0))-K1832,"")</f>
        <v>2.436833781</v>
      </c>
      <c r="AC1832" s="168" t="str">
        <f t="shared" si="7"/>
        <v>UTA,2016-17</v>
      </c>
    </row>
    <row r="1833">
      <c r="A1833" s="161" t="str">
        <f>IFERROR(__xludf.DUMMYFUNCTION("""COMPUTED_VALUE"""),"johnsst04")</f>
        <v>johnsst04</v>
      </c>
      <c r="B1833" s="161" t="str">
        <f>IFERROR(__xludf.DUMMYFUNCTION("""COMPUTED_VALUE"""),"Stanley Johnson")</f>
        <v>Stanley Johnson</v>
      </c>
      <c r="C1833" s="162" t="str">
        <f>IFERROR(__xludf.DUMMYFUNCTION("""COMPUTED_VALUE"""),"2016-17")</f>
        <v>2016-17</v>
      </c>
      <c r="D1833" s="163" t="str">
        <f>IFERROR(__xludf.DUMMYFUNCTION("""COMPUTED_VALUE"""),"DET")</f>
        <v>DET</v>
      </c>
      <c r="E1833" s="164" t="str">
        <f>IFERROR(__xludf.DUMMYFUNCTION("""COMPUTED_VALUE"""),"Secondary Ball Handler")</f>
        <v>Secondary Ball Handler</v>
      </c>
      <c r="F1833" s="164">
        <f>IFERROR(__xludf.DUMMYFUNCTION("""COMPUTED_VALUE"""),1370.625)</f>
        <v>1370.625</v>
      </c>
      <c r="G1833" s="163">
        <f>IFERROR(__xludf.DUMMYFUNCTION("""COMPUTED_VALUE"""),77.0)</f>
        <v>77</v>
      </c>
      <c r="H1833" s="163" t="str">
        <f>IFERROR(__xludf.DUMMYFUNCTION("""COMPUTED_VALUE"""),"SF")</f>
        <v>SF</v>
      </c>
      <c r="I1833" s="163">
        <f>IFERROR(__xludf.DUMMYFUNCTION("""COMPUTED_VALUE"""),20.0)</f>
        <v>20</v>
      </c>
      <c r="J1833" s="165">
        <f>IFERROR(__xludf.DUMMYFUNCTION("""COMPUTED_VALUE"""),-0.437052960174919)</f>
        <v>-0.4370529602</v>
      </c>
      <c r="K1833" s="165">
        <f>IFERROR(__xludf.DUMMYFUNCTION("""COMPUTED_VALUE"""),-1.33368873335479)</f>
        <v>-1.333688733</v>
      </c>
      <c r="L1833" s="165">
        <f>IFERROR(__xludf.DUMMYFUNCTION("""COMPUTED_VALUE"""),0.896635773179874)</f>
        <v>0.8966357732</v>
      </c>
      <c r="M1833" s="166">
        <f t="shared" si="2"/>
        <v>1.709290231</v>
      </c>
      <c r="N1833" s="167">
        <f t="shared" si="3"/>
        <v>17.80032468</v>
      </c>
      <c r="O1833" s="163">
        <f t="shared" ref="O1833:Q1833" si="1837">rank(I1833,I:I)</f>
        <v>3770</v>
      </c>
      <c r="P1833" s="163">
        <f t="shared" si="1837"/>
        <v>1763</v>
      </c>
      <c r="Q1833" s="163">
        <f t="shared" si="1837"/>
        <v>3186</v>
      </c>
      <c r="R1833" s="163">
        <f>IFERROR(__xludf.DUMMYFUNCTION("RANK(M1833,filter(M:M,C:C=C1833))"),181.0)</f>
        <v>181</v>
      </c>
      <c r="S1833" s="161" t="b">
        <f t="shared" si="5"/>
        <v>0</v>
      </c>
      <c r="T1833" s="161" t="b">
        <f t="array" ref="T1833">index('Query Tool'!B:B,match(H1833,'Query Tool'!C:C,0))</f>
        <v>1</v>
      </c>
      <c r="U1833" s="161" t="b">
        <f t="array" ref="U1833">index('Query Tool'!B:B,match(C1833,'Query Tool'!C:C,0))</f>
        <v>0</v>
      </c>
      <c r="V1833" s="161" t="b">
        <f>F1833&gt;='Query Tool'!C$32</f>
        <v>1</v>
      </c>
      <c r="W1833" s="161" t="b">
        <f t="array" ref="W1833">index(Dropdowns!B:B,match(I1833,Dropdowns!A:A,0))</f>
        <v>1</v>
      </c>
      <c r="X1833" s="161" t="b">
        <f t="array" ref="X1833">index('Query Tool'!B:B,match(D1833,'Query Tool'!C:C,0))</f>
        <v>1</v>
      </c>
      <c r="Y1833" s="161" t="str">
        <f t="shared" si="6"/>
        <v>johnsst04,2016-17</v>
      </c>
      <c r="Z1833" s="168">
        <f t="array" ref="Z1833">iferror(index(I:I,match($A1833&amp;","&amp;index('Year Conversion'!$A:$A,match($C1833,'Year Conversion'!$B:$B,0)),$Y:$Y,0))-I1833,"")</f>
        <v>1</v>
      </c>
      <c r="AA1833" s="168">
        <f t="array" ref="AA1833">iferror(index(J:J,match($A1833&amp;","&amp;index('Year Conversion'!$A:$A,match($C1833,'Year Conversion'!$B:$B,0)),$Y:$Y,0))-J1833,"")</f>
        <v>-0.7432708244</v>
      </c>
      <c r="AB1833" s="168">
        <f t="array" ref="AB1833">iferror(index(K:K,match($A1833&amp;","&amp;index('Year Conversion'!$A:$A,match($C1833,'Year Conversion'!$B:$B,0)),$Y:$Y,0))-K1833,"")</f>
        <v>-0.8429042766</v>
      </c>
      <c r="AC1833" s="168" t="str">
        <f t="shared" si="7"/>
        <v>DET,2016-17</v>
      </c>
    </row>
    <row r="1834">
      <c r="A1834" s="161" t="str">
        <f>IFERROR(__xludf.DUMMYFUNCTION("""COMPUTED_VALUE"""),"grantje02")</f>
        <v>grantje02</v>
      </c>
      <c r="B1834" s="161" t="str">
        <f>IFERROR(__xludf.DUMMYFUNCTION("""COMPUTED_VALUE"""),"Jerian Grant")</f>
        <v>Jerian Grant</v>
      </c>
      <c r="C1834" s="162" t="str">
        <f>IFERROR(__xludf.DUMMYFUNCTION("""COMPUTED_VALUE"""),"2016-17")</f>
        <v>2016-17</v>
      </c>
      <c r="D1834" s="163" t="str">
        <f>IFERROR(__xludf.DUMMYFUNCTION("""COMPUTED_VALUE"""),"CHI")</f>
        <v>CHI</v>
      </c>
      <c r="E1834" s="164" t="str">
        <f>IFERROR(__xludf.DUMMYFUNCTION("""COMPUTED_VALUE"""),"Secondary Ball Handler")</f>
        <v>Secondary Ball Handler</v>
      </c>
      <c r="F1834" s="164">
        <f>IFERROR(__xludf.DUMMYFUNCTION("""COMPUTED_VALUE"""),1028.43)</f>
        <v>1028.43</v>
      </c>
      <c r="G1834" s="163">
        <f>IFERROR(__xludf.DUMMYFUNCTION("""COMPUTED_VALUE"""),63.0)</f>
        <v>63</v>
      </c>
      <c r="H1834" s="163" t="str">
        <f>IFERROR(__xludf.DUMMYFUNCTION("""COMPUTED_VALUE"""),"PG")</f>
        <v>PG</v>
      </c>
      <c r="I1834" s="163">
        <f>IFERROR(__xludf.DUMMYFUNCTION("""COMPUTED_VALUE"""),24.0)</f>
        <v>24</v>
      </c>
      <c r="J1834" s="165">
        <f>IFERROR(__xludf.DUMMYFUNCTION("""COMPUTED_VALUE"""),-0.461409797820072)</f>
        <v>-0.4614097978</v>
      </c>
      <c r="K1834" s="165">
        <f>IFERROR(__xludf.DUMMYFUNCTION("""COMPUTED_VALUE"""),-0.494957493613604)</f>
        <v>-0.4949574936</v>
      </c>
      <c r="L1834" s="165">
        <f>IFERROR(__xludf.DUMMYFUNCTION("""COMPUTED_VALUE"""),0.0335476957935318)</f>
        <v>0.03354769579</v>
      </c>
      <c r="M1834" s="166">
        <f t="shared" si="2"/>
        <v>1.265669107</v>
      </c>
      <c r="N1834" s="167">
        <f t="shared" si="3"/>
        <v>16.32428571</v>
      </c>
      <c r="O1834" s="163">
        <f t="shared" ref="O1834:Q1834" si="1838">rank(I1834,I:I)</f>
        <v>2361</v>
      </c>
      <c r="P1834" s="163">
        <f t="shared" si="1838"/>
        <v>1793</v>
      </c>
      <c r="Q1834" s="163">
        <f t="shared" si="1838"/>
        <v>2100</v>
      </c>
      <c r="R1834" s="163">
        <f>IFERROR(__xludf.DUMMYFUNCTION("RANK(M1834,filter(M:M,C:C=C1834))"),201.0)</f>
        <v>201</v>
      </c>
      <c r="S1834" s="161" t="b">
        <f t="shared" si="5"/>
        <v>0</v>
      </c>
      <c r="T1834" s="161" t="b">
        <f t="array" ref="T1834">index('Query Tool'!B:B,match(H1834,'Query Tool'!C:C,0))</f>
        <v>1</v>
      </c>
      <c r="U1834" s="161" t="b">
        <f t="array" ref="U1834">index('Query Tool'!B:B,match(C1834,'Query Tool'!C:C,0))</f>
        <v>0</v>
      </c>
      <c r="V1834" s="161" t="b">
        <f>F1834&gt;='Query Tool'!C$32</f>
        <v>1</v>
      </c>
      <c r="W1834" s="161" t="b">
        <f t="array" ref="W1834">index(Dropdowns!B:B,match(I1834,Dropdowns!A:A,0))</f>
        <v>1</v>
      </c>
      <c r="X1834" s="161" t="b">
        <f t="array" ref="X1834">index('Query Tool'!B:B,match(D1834,'Query Tool'!C:C,0))</f>
        <v>1</v>
      </c>
      <c r="Y1834" s="161" t="str">
        <f t="shared" si="6"/>
        <v>grantje02,2016-17</v>
      </c>
      <c r="Z1834" s="168">
        <f t="array" ref="Z1834">iferror(index(I:I,match($A1834&amp;","&amp;index('Year Conversion'!$A:$A,match($C1834,'Year Conversion'!$B:$B,0)),$Y:$Y,0))-I1834,"")</f>
        <v>1</v>
      </c>
      <c r="AA1834" s="168">
        <f t="array" ref="AA1834">iferror(index(J:J,match($A1834&amp;","&amp;index('Year Conversion'!$A:$A,match($C1834,'Year Conversion'!$B:$B,0)),$Y:$Y,0))-J1834,"")</f>
        <v>-0.07933958593</v>
      </c>
      <c r="AB1834" s="168">
        <f t="array" ref="AB1834">iferror(index(K:K,match($A1834&amp;","&amp;index('Year Conversion'!$A:$A,match($C1834,'Year Conversion'!$B:$B,0)),$Y:$Y,0))-K1834,"")</f>
        <v>0.5008251602</v>
      </c>
      <c r="AC1834" s="168" t="str">
        <f t="shared" si="7"/>
        <v>CHI,2016-17</v>
      </c>
    </row>
    <row r="1835">
      <c r="A1835" s="161" t="str">
        <f>IFERROR(__xludf.DUMMYFUNCTION("""COMPUTED_VALUE"""),"portibo01")</f>
        <v>portibo01</v>
      </c>
      <c r="B1835" s="161" t="str">
        <f>IFERROR(__xludf.DUMMYFUNCTION("""COMPUTED_VALUE"""),"Bobby Portis")</f>
        <v>Bobby Portis</v>
      </c>
      <c r="C1835" s="162" t="str">
        <f>IFERROR(__xludf.DUMMYFUNCTION("""COMPUTED_VALUE"""),"2016-17")</f>
        <v>2016-17</v>
      </c>
      <c r="D1835" s="163" t="str">
        <f>IFERROR(__xludf.DUMMYFUNCTION("""COMPUTED_VALUE"""),"CHI")</f>
        <v>CHI</v>
      </c>
      <c r="E1835" s="164" t="str">
        <f>IFERROR(__xludf.DUMMYFUNCTION("""COMPUTED_VALUE"""),"Stretch Big")</f>
        <v>Stretch Big</v>
      </c>
      <c r="F1835" s="164">
        <f>IFERROR(__xludf.DUMMYFUNCTION("""COMPUTED_VALUE"""),1000.45166666667)</f>
        <v>1000.451667</v>
      </c>
      <c r="G1835" s="163">
        <f>IFERROR(__xludf.DUMMYFUNCTION("""COMPUTED_VALUE"""),64.0)</f>
        <v>64</v>
      </c>
      <c r="H1835" s="163" t="str">
        <f>IFERROR(__xludf.DUMMYFUNCTION("""COMPUTED_VALUE"""),"PF")</f>
        <v>PF</v>
      </c>
      <c r="I1835" s="163">
        <f>IFERROR(__xludf.DUMMYFUNCTION("""COMPUTED_VALUE"""),21.0)</f>
        <v>21</v>
      </c>
      <c r="J1835" s="165">
        <f>IFERROR(__xludf.DUMMYFUNCTION("""COMPUTED_VALUE"""),-1.85411114190837)</f>
        <v>-1.854111142</v>
      </c>
      <c r="K1835" s="165">
        <f>IFERROR(__xludf.DUMMYFUNCTION("""COMPUTED_VALUE"""),-1.3618877719717)</f>
        <v>-1.361887772</v>
      </c>
      <c r="L1835" s="165">
        <f>IFERROR(__xludf.DUMMYFUNCTION("""COMPUTED_VALUE"""),-0.492223369936666)</f>
        <v>-0.4922233699</v>
      </c>
      <c r="M1835" s="166">
        <f t="shared" si="2"/>
        <v>0.2977139272</v>
      </c>
      <c r="N1835" s="167">
        <f t="shared" si="3"/>
        <v>15.63205729</v>
      </c>
      <c r="O1835" s="163">
        <f t="shared" ref="O1835:Q1835" si="1839">rank(I1835,I:I)</f>
        <v>3528</v>
      </c>
      <c r="P1835" s="163">
        <f t="shared" si="1839"/>
        <v>3382</v>
      </c>
      <c r="Q1835" s="163">
        <f t="shared" si="1839"/>
        <v>3216</v>
      </c>
      <c r="R1835" s="163">
        <f>IFERROR(__xludf.DUMMYFUNCTION("RANK(M1835,filter(M:M,C:C=C1835))"),317.0)</f>
        <v>317</v>
      </c>
      <c r="S1835" s="161" t="b">
        <f t="shared" si="5"/>
        <v>0</v>
      </c>
      <c r="T1835" s="161" t="b">
        <f t="array" ref="T1835">index('Query Tool'!B:B,match(H1835,'Query Tool'!C:C,0))</f>
        <v>1</v>
      </c>
      <c r="U1835" s="161" t="b">
        <f t="array" ref="U1835">index('Query Tool'!B:B,match(C1835,'Query Tool'!C:C,0))</f>
        <v>0</v>
      </c>
      <c r="V1835" s="161" t="b">
        <f>F1835&gt;='Query Tool'!C$32</f>
        <v>1</v>
      </c>
      <c r="W1835" s="161" t="b">
        <f t="array" ref="W1835">index(Dropdowns!B:B,match(I1835,Dropdowns!A:A,0))</f>
        <v>1</v>
      </c>
      <c r="X1835" s="161" t="b">
        <f t="array" ref="X1835">index('Query Tool'!B:B,match(D1835,'Query Tool'!C:C,0))</f>
        <v>1</v>
      </c>
      <c r="Y1835" s="161" t="str">
        <f t="shared" si="6"/>
        <v>portibo01,2016-17</v>
      </c>
      <c r="Z1835" s="168">
        <f t="array" ref="Z1835">iferror(index(I:I,match($A1835&amp;","&amp;index('Year Conversion'!$A:$A,match($C1835,'Year Conversion'!$B:$B,0)),$Y:$Y,0))-I1835,"")</f>
        <v>1</v>
      </c>
      <c r="AA1835" s="168">
        <f t="array" ref="AA1835">iferror(index(J:J,match($A1835&amp;","&amp;index('Year Conversion'!$A:$A,match($C1835,'Year Conversion'!$B:$B,0)),$Y:$Y,0))-J1835,"")</f>
        <v>1.821426448</v>
      </c>
      <c r="AB1835" s="168">
        <f t="array" ref="AB1835">iferror(index(K:K,match($A1835&amp;","&amp;index('Year Conversion'!$A:$A,match($C1835,'Year Conversion'!$B:$B,0)),$Y:$Y,0))-K1835,"")</f>
        <v>2.661134711</v>
      </c>
      <c r="AC1835" s="168" t="str">
        <f t="shared" si="7"/>
        <v>CHI,2016-17</v>
      </c>
    </row>
    <row r="1836">
      <c r="A1836" s="161" t="str">
        <f>IFERROR(__xludf.DUMMYFUNCTION("""COMPUTED_VALUE"""),"looneke01")</f>
        <v>looneke01</v>
      </c>
      <c r="B1836" s="161" t="str">
        <f>IFERROR(__xludf.DUMMYFUNCTION("""COMPUTED_VALUE"""),"Kevon Looney")</f>
        <v>Kevon Looney</v>
      </c>
      <c r="C1836" s="162" t="str">
        <f>IFERROR(__xludf.DUMMYFUNCTION("""COMPUTED_VALUE"""),"2016-17")</f>
        <v>2016-17</v>
      </c>
      <c r="D1836" s="163" t="str">
        <f>IFERROR(__xludf.DUMMYFUNCTION("""COMPUTED_VALUE"""),"GSW")</f>
        <v>GSW</v>
      </c>
      <c r="E1836" s="164" t="str">
        <f>IFERROR(__xludf.DUMMYFUNCTION("""COMPUTED_VALUE"""),"Roll + Cut Big")</f>
        <v>Roll + Cut Big</v>
      </c>
      <c r="F1836" s="164">
        <f>IFERROR(__xludf.DUMMYFUNCTION("""COMPUTED_VALUE"""),446.996666666667)</f>
        <v>446.9966667</v>
      </c>
      <c r="G1836" s="163">
        <f>IFERROR(__xludf.DUMMYFUNCTION("""COMPUTED_VALUE"""),53.0)</f>
        <v>53</v>
      </c>
      <c r="H1836" s="163" t="str">
        <f>IFERROR(__xludf.DUMMYFUNCTION("""COMPUTED_VALUE"""),"C")</f>
        <v>C</v>
      </c>
      <c r="I1836" s="163">
        <f>IFERROR(__xludf.DUMMYFUNCTION("""COMPUTED_VALUE"""),20.0)</f>
        <v>20</v>
      </c>
      <c r="J1836" s="165">
        <f>IFERROR(__xludf.DUMMYFUNCTION("""COMPUTED_VALUE"""),-1.60517094959437)</f>
        <v>-1.60517095</v>
      </c>
      <c r="K1836" s="165">
        <f>IFERROR(__xludf.DUMMYFUNCTION("""COMPUTED_VALUE"""),-1.70341065092)</f>
        <v>-1.703410651</v>
      </c>
      <c r="L1836" s="165">
        <f>IFERROR(__xludf.DUMMYFUNCTION("""COMPUTED_VALUE"""),0.0982397013256306)</f>
        <v>0.09823970133</v>
      </c>
      <c r="M1836" s="166">
        <f t="shared" si="2"/>
        <v>0.2071086376</v>
      </c>
      <c r="N1836" s="167">
        <f t="shared" si="3"/>
        <v>8.433899371</v>
      </c>
      <c r="O1836" s="163">
        <f t="shared" ref="O1836:Q1836" si="1840">rank(I1836,I:I)</f>
        <v>3770</v>
      </c>
      <c r="P1836" s="163">
        <f t="shared" si="1840"/>
        <v>3151</v>
      </c>
      <c r="Q1836" s="163">
        <f t="shared" si="1840"/>
        <v>3520</v>
      </c>
      <c r="R1836" s="163">
        <f>IFERROR(__xludf.DUMMYFUNCTION("RANK(M1836,filter(M:M,C:C=C1836))"),337.0)</f>
        <v>337</v>
      </c>
      <c r="S1836" s="161" t="b">
        <f t="shared" si="5"/>
        <v>0</v>
      </c>
      <c r="T1836" s="161" t="b">
        <f t="array" ref="T1836">index('Query Tool'!B:B,match(H1836,'Query Tool'!C:C,0))</f>
        <v>1</v>
      </c>
      <c r="U1836" s="161" t="b">
        <f t="array" ref="U1836">index('Query Tool'!B:B,match(C1836,'Query Tool'!C:C,0))</f>
        <v>0</v>
      </c>
      <c r="V1836" s="161" t="b">
        <f>F1836&gt;='Query Tool'!C$32</f>
        <v>0</v>
      </c>
      <c r="W1836" s="161" t="b">
        <f t="array" ref="W1836">index(Dropdowns!B:B,match(I1836,Dropdowns!A:A,0))</f>
        <v>1</v>
      </c>
      <c r="X1836" s="161" t="b">
        <f t="array" ref="X1836">index('Query Tool'!B:B,match(D1836,'Query Tool'!C:C,0))</f>
        <v>1</v>
      </c>
      <c r="Y1836" s="161" t="str">
        <f t="shared" si="6"/>
        <v>looneke01,2016-17</v>
      </c>
      <c r="Z1836" s="168">
        <f t="array" ref="Z1836">iferror(index(I:I,match($A1836&amp;","&amp;index('Year Conversion'!$A:$A,match($C1836,'Year Conversion'!$B:$B,0)),$Y:$Y,0))-I1836,"")</f>
        <v>1</v>
      </c>
      <c r="AA1836" s="168">
        <f t="array" ref="AA1836">iferror(index(J:J,match($A1836&amp;","&amp;index('Year Conversion'!$A:$A,match($C1836,'Year Conversion'!$B:$B,0)),$Y:$Y,0))-J1836,"")</f>
        <v>2.182813237</v>
      </c>
      <c r="AB1836" s="168">
        <f t="array" ref="AB1836">iferror(index(K:K,match($A1836&amp;","&amp;index('Year Conversion'!$A:$A,match($C1836,'Year Conversion'!$B:$B,0)),$Y:$Y,0))-K1836,"")</f>
        <v>1.14453201</v>
      </c>
      <c r="AC1836" s="168" t="str">
        <f t="shared" si="7"/>
        <v>GSW,2016-17</v>
      </c>
    </row>
    <row r="1837">
      <c r="A1837" s="161" t="str">
        <f>IFERROR(__xludf.DUMMYFUNCTION("""COMPUTED_VALUE"""),"vaughra01")</f>
        <v>vaughra01</v>
      </c>
      <c r="B1837" s="161" t="str">
        <f>IFERROR(__xludf.DUMMYFUNCTION("""COMPUTED_VALUE"""),"Rashad Vaughn")</f>
        <v>Rashad Vaughn</v>
      </c>
      <c r="C1837" s="162" t="str">
        <f>IFERROR(__xludf.DUMMYFUNCTION("""COMPUTED_VALUE"""),"2016-17")</f>
        <v>2016-17</v>
      </c>
      <c r="D1837" s="163" t="str">
        <f>IFERROR(__xludf.DUMMYFUNCTION("""COMPUTED_VALUE"""),"MIL")</f>
        <v>MIL</v>
      </c>
      <c r="E1837" s="164" t="str">
        <f>IFERROR(__xludf.DUMMYFUNCTION("""COMPUTED_VALUE"""),"Movement Shooter")</f>
        <v>Movement Shooter</v>
      </c>
      <c r="F1837" s="164">
        <f>IFERROR(__xludf.DUMMYFUNCTION("""COMPUTED_VALUE"""),458.536666666667)</f>
        <v>458.5366667</v>
      </c>
      <c r="G1837" s="163">
        <f>IFERROR(__xludf.DUMMYFUNCTION("""COMPUTED_VALUE"""),41.0)</f>
        <v>41</v>
      </c>
      <c r="H1837" s="163" t="str">
        <f>IFERROR(__xludf.DUMMYFUNCTION("""COMPUTED_VALUE"""),"SG")</f>
        <v>SG</v>
      </c>
      <c r="I1837" s="163">
        <f>IFERROR(__xludf.DUMMYFUNCTION("""COMPUTED_VALUE"""),20.0)</f>
        <v>20</v>
      </c>
      <c r="J1837" s="165">
        <f>IFERROR(__xludf.DUMMYFUNCTION("""COMPUTED_VALUE"""),-2.50648063004046)</f>
        <v>-2.50648063</v>
      </c>
      <c r="K1837" s="165">
        <f>IFERROR(__xludf.DUMMYFUNCTION("""COMPUTED_VALUE"""),-1.87823636656923)</f>
        <v>-1.878236367</v>
      </c>
      <c r="L1837" s="165">
        <f>IFERROR(__xludf.DUMMYFUNCTION("""COMPUTED_VALUE"""),-0.628244263471224)</f>
        <v>-0.6282442635</v>
      </c>
      <c r="M1837" s="166">
        <f t="shared" si="2"/>
        <v>-0.0612520142</v>
      </c>
      <c r="N1837" s="167">
        <f t="shared" si="3"/>
        <v>11.18382114</v>
      </c>
      <c r="O1837" s="163">
        <f t="shared" ref="O1837:Q1837" si="1841">rank(I1837,I:I)</f>
        <v>3770</v>
      </c>
      <c r="P1837" s="163">
        <f t="shared" si="1841"/>
        <v>3756</v>
      </c>
      <c r="Q1837" s="163">
        <f t="shared" si="1841"/>
        <v>3628</v>
      </c>
      <c r="R1837" s="163">
        <f>IFERROR(__xludf.DUMMYFUNCTION("RANK(M1837,filter(M:M,C:C=C1837))"),456.0)</f>
        <v>456</v>
      </c>
      <c r="S1837" s="161" t="b">
        <f t="shared" si="5"/>
        <v>0</v>
      </c>
      <c r="T1837" s="161" t="b">
        <f t="array" ref="T1837">index('Query Tool'!B:B,match(H1837,'Query Tool'!C:C,0))</f>
        <v>1</v>
      </c>
      <c r="U1837" s="161" t="b">
        <f t="array" ref="U1837">index('Query Tool'!B:B,match(C1837,'Query Tool'!C:C,0))</f>
        <v>0</v>
      </c>
      <c r="V1837" s="161" t="b">
        <f>F1837&gt;='Query Tool'!C$32</f>
        <v>0</v>
      </c>
      <c r="W1837" s="161" t="b">
        <f t="array" ref="W1837">index(Dropdowns!B:B,match(I1837,Dropdowns!A:A,0))</f>
        <v>1</v>
      </c>
      <c r="X1837" s="161" t="b">
        <f t="array" ref="X1837">index('Query Tool'!B:B,match(D1837,'Query Tool'!C:C,0))</f>
        <v>1</v>
      </c>
      <c r="Y1837" s="161" t="str">
        <f t="shared" si="6"/>
        <v>vaughra01,2016-17</v>
      </c>
      <c r="Z1837" s="168">
        <f t="array" ref="Z1837">iferror(index(I:I,match($A1837&amp;","&amp;index('Year Conversion'!$A:$A,match($C1837,'Year Conversion'!$B:$B,0)),$Y:$Y,0))-I1837,"")</f>
        <v>1</v>
      </c>
      <c r="AA1837" s="168">
        <f t="array" ref="AA1837">iferror(index(J:J,match($A1837&amp;","&amp;index('Year Conversion'!$A:$A,match($C1837,'Year Conversion'!$B:$B,0)),$Y:$Y,0))-J1837,"")</f>
        <v>1.053647362</v>
      </c>
      <c r="AB1837" s="168">
        <f t="array" ref="AB1837">iferror(index(K:K,match($A1837&amp;","&amp;index('Year Conversion'!$A:$A,match($C1837,'Year Conversion'!$B:$B,0)),$Y:$Y,0))-K1837,"")</f>
        <v>1.402000942</v>
      </c>
      <c r="AC1837" s="168" t="str">
        <f t="shared" si="7"/>
        <v>MIL,2016-17</v>
      </c>
    </row>
    <row r="1838">
      <c r="A1838" s="161" t="str">
        <f>IFERROR(__xludf.DUMMYFUNCTION("""COMPUTED_VALUE"""),"woodch01")</f>
        <v>woodch01</v>
      </c>
      <c r="B1838" s="161" t="str">
        <f>IFERROR(__xludf.DUMMYFUNCTION("""COMPUTED_VALUE"""),"Christian Wood")</f>
        <v>Christian Wood</v>
      </c>
      <c r="C1838" s="162" t="str">
        <f>IFERROR(__xludf.DUMMYFUNCTION("""COMPUTED_VALUE"""),"2016-17")</f>
        <v>2016-17</v>
      </c>
      <c r="D1838" s="163" t="str">
        <f>IFERROR(__xludf.DUMMYFUNCTION("""COMPUTED_VALUE"""),"CHO")</f>
        <v>CHO</v>
      </c>
      <c r="E1838" s="164" t="str">
        <f>IFERROR(__xludf.DUMMYFUNCTION("""COMPUTED_VALUE"""),"Roll + Cut Big")</f>
        <v>Roll + Cut Big</v>
      </c>
      <c r="F1838" s="164">
        <f>IFERROR(__xludf.DUMMYFUNCTION("""COMPUTED_VALUE"""),106.981666666667)</f>
        <v>106.9816667</v>
      </c>
      <c r="G1838" s="163">
        <f>IFERROR(__xludf.DUMMYFUNCTION("""COMPUTED_VALUE"""),13.0)</f>
        <v>13</v>
      </c>
      <c r="H1838" s="163" t="str">
        <f>IFERROR(__xludf.DUMMYFUNCTION("""COMPUTED_VALUE"""),"PF")</f>
        <v>PF</v>
      </c>
      <c r="I1838" s="163">
        <f>IFERROR(__xludf.DUMMYFUNCTION("""COMPUTED_VALUE"""),21.0)</f>
        <v>21</v>
      </c>
      <c r="J1838" s="165">
        <f>IFERROR(__xludf.DUMMYFUNCTION("""COMPUTED_VALUE"""),-0.559475411505352)</f>
        <v>-0.5594754115</v>
      </c>
      <c r="K1838" s="165">
        <f>IFERROR(__xludf.DUMMYFUNCTION("""COMPUTED_VALUE"""),-0.665857064241738)</f>
        <v>-0.6658570642</v>
      </c>
      <c r="L1838" s="165">
        <f>IFERROR(__xludf.DUMMYFUNCTION("""COMPUTED_VALUE"""),0.106381652736386)</f>
        <v>0.1063816527</v>
      </c>
      <c r="M1838" s="166">
        <f t="shared" si="2"/>
        <v>0.1245949113</v>
      </c>
      <c r="N1838" s="167">
        <f t="shared" si="3"/>
        <v>8.229358974</v>
      </c>
      <c r="O1838" s="163">
        <f t="shared" ref="O1838:Q1838" si="1842">rank(I1838,I:I)</f>
        <v>3528</v>
      </c>
      <c r="P1838" s="163">
        <f t="shared" si="1842"/>
        <v>1931</v>
      </c>
      <c r="Q1838" s="163">
        <f t="shared" si="1842"/>
        <v>2366</v>
      </c>
      <c r="R1838" s="163">
        <f>IFERROR(__xludf.DUMMYFUNCTION("RANK(M1838,filter(M:M,C:C=C1838))"),368.0)</f>
        <v>368</v>
      </c>
      <c r="S1838" s="161" t="b">
        <f t="shared" si="5"/>
        <v>0</v>
      </c>
      <c r="T1838" s="161" t="b">
        <f t="array" ref="T1838">index('Query Tool'!B:B,match(H1838,'Query Tool'!C:C,0))</f>
        <v>1</v>
      </c>
      <c r="U1838" s="161" t="b">
        <f t="array" ref="U1838">index('Query Tool'!B:B,match(C1838,'Query Tool'!C:C,0))</f>
        <v>0</v>
      </c>
      <c r="V1838" s="161" t="b">
        <f>F1838&gt;='Query Tool'!C$32</f>
        <v>0</v>
      </c>
      <c r="W1838" s="161" t="b">
        <f t="array" ref="W1838">index(Dropdowns!B:B,match(I1838,Dropdowns!A:A,0))</f>
        <v>1</v>
      </c>
      <c r="X1838" s="161" t="b">
        <f t="array" ref="X1838">index('Query Tool'!B:B,match(D1838,'Query Tool'!C:C,0))</f>
        <v>1</v>
      </c>
      <c r="Y1838" s="161" t="str">
        <f t="shared" si="6"/>
        <v>woodch01,2016-17</v>
      </c>
      <c r="Z1838" s="168" t="str">
        <f t="array" ref="Z1838">iferror(index(I:I,match($A1838&amp;","&amp;index('Year Conversion'!$A:$A,match($C1838,'Year Conversion'!$B:$B,0)),$Y:$Y,0))-I1838,"")</f>
        <v/>
      </c>
      <c r="AA1838" s="168" t="str">
        <f t="array" ref="AA1838">iferror(index(J:J,match($A1838&amp;","&amp;index('Year Conversion'!$A:$A,match($C1838,'Year Conversion'!$B:$B,0)),$Y:$Y,0))-J1838,"")</f>
        <v/>
      </c>
      <c r="AB1838" s="168" t="str">
        <f t="array" ref="AB1838">iferror(index(K:K,match($A1838&amp;","&amp;index('Year Conversion'!$A:$A,match($C1838,'Year Conversion'!$B:$B,0)),$Y:$Y,0))-K1838,"")</f>
        <v/>
      </c>
      <c r="AC1838" s="168" t="str">
        <f t="shared" si="7"/>
        <v>CHO,2016-17</v>
      </c>
    </row>
    <row r="1839">
      <c r="A1839" s="161" t="str">
        <f>IFERROR(__xludf.DUMMYFUNCTION("""COMPUTED_VALUE"""),"mickejo01")</f>
        <v>mickejo01</v>
      </c>
      <c r="B1839" s="161" t="str">
        <f>IFERROR(__xludf.DUMMYFUNCTION("""COMPUTED_VALUE"""),"Jordan Mickey")</f>
        <v>Jordan Mickey</v>
      </c>
      <c r="C1839" s="162" t="str">
        <f>IFERROR(__xludf.DUMMYFUNCTION("""COMPUTED_VALUE"""),"2016-17")</f>
        <v>2016-17</v>
      </c>
      <c r="D1839" s="163" t="str">
        <f>IFERROR(__xludf.DUMMYFUNCTION("""COMPUTED_VALUE"""),"BOS")</f>
        <v>BOS</v>
      </c>
      <c r="E1839" s="164" t="str">
        <f>IFERROR(__xludf.DUMMYFUNCTION("""COMPUTED_VALUE"""),"Roll + Cut Big")</f>
        <v>Roll + Cut Big</v>
      </c>
      <c r="F1839" s="164">
        <f>IFERROR(__xludf.DUMMYFUNCTION("""COMPUTED_VALUE"""),141.031666666667)</f>
        <v>141.0316667</v>
      </c>
      <c r="G1839" s="163">
        <f>IFERROR(__xludf.DUMMYFUNCTION("""COMPUTED_VALUE"""),25.0)</f>
        <v>25</v>
      </c>
      <c r="H1839" s="163" t="str">
        <f>IFERROR(__xludf.DUMMYFUNCTION("""COMPUTED_VALUE"""),"PF")</f>
        <v>PF</v>
      </c>
      <c r="I1839" s="163">
        <f>IFERROR(__xludf.DUMMYFUNCTION("""COMPUTED_VALUE"""),22.0)</f>
        <v>22</v>
      </c>
      <c r="J1839" s="165">
        <f>IFERROR(__xludf.DUMMYFUNCTION("""COMPUTED_VALUE"""),-1.27824706323074)</f>
        <v>-1.278247063</v>
      </c>
      <c r="K1839" s="165">
        <f>IFERROR(__xludf.DUMMYFUNCTION("""COMPUTED_VALUE"""),-1.19018844837847)</f>
        <v>-1.190188448</v>
      </c>
      <c r="L1839" s="165">
        <f>IFERROR(__xludf.DUMMYFUNCTION("""COMPUTED_VALUE"""),-0.0880586148522753)</f>
        <v>-0.08805861485</v>
      </c>
      <c r="M1839" s="166">
        <f t="shared" si="2"/>
        <v>0.09616050781</v>
      </c>
      <c r="N1839" s="167">
        <f t="shared" si="3"/>
        <v>5.641266667</v>
      </c>
      <c r="O1839" s="163">
        <f t="shared" ref="O1839:Q1839" si="1843">rank(I1839,I:I)</f>
        <v>3178</v>
      </c>
      <c r="P1839" s="163">
        <f t="shared" si="1843"/>
        <v>2842</v>
      </c>
      <c r="Q1839" s="163">
        <f t="shared" si="1843"/>
        <v>3028</v>
      </c>
      <c r="R1839" s="163">
        <f>IFERROR(__xludf.DUMMYFUNCTION("RANK(M1839,filter(M:M,C:C=C1839))"),378.0)</f>
        <v>378</v>
      </c>
      <c r="S1839" s="161" t="b">
        <f t="shared" si="5"/>
        <v>0</v>
      </c>
      <c r="T1839" s="161" t="b">
        <f t="array" ref="T1839">index('Query Tool'!B:B,match(H1839,'Query Tool'!C:C,0))</f>
        <v>1</v>
      </c>
      <c r="U1839" s="161" t="b">
        <f t="array" ref="U1839">index('Query Tool'!B:B,match(C1839,'Query Tool'!C:C,0))</f>
        <v>0</v>
      </c>
      <c r="V1839" s="161" t="b">
        <f>F1839&gt;='Query Tool'!C$32</f>
        <v>0</v>
      </c>
      <c r="W1839" s="161" t="b">
        <f t="array" ref="W1839">index(Dropdowns!B:B,match(I1839,Dropdowns!A:A,0))</f>
        <v>1</v>
      </c>
      <c r="X1839" s="161" t="b">
        <f t="array" ref="X1839">index('Query Tool'!B:B,match(D1839,'Query Tool'!C:C,0))</f>
        <v>1</v>
      </c>
      <c r="Y1839" s="161" t="str">
        <f t="shared" si="6"/>
        <v>mickejo01,2016-17</v>
      </c>
      <c r="Z1839" s="168">
        <f t="array" ref="Z1839">iferror(index(I:I,match($A1839&amp;","&amp;index('Year Conversion'!$A:$A,match($C1839,'Year Conversion'!$B:$B,0)),$Y:$Y,0))-I1839,"")</f>
        <v>1</v>
      </c>
      <c r="AA1839" s="168">
        <f t="array" ref="AA1839">iferror(index(J:J,match($A1839&amp;","&amp;index('Year Conversion'!$A:$A,match($C1839,'Year Conversion'!$B:$B,0)),$Y:$Y,0))-J1839,"")</f>
        <v>0.527459036</v>
      </c>
      <c r="AB1839" s="168">
        <f t="array" ref="AB1839">iferror(index(K:K,match($A1839&amp;","&amp;index('Year Conversion'!$A:$A,match($C1839,'Year Conversion'!$B:$B,0)),$Y:$Y,0))-K1839,"")</f>
        <v>-0.2709273649</v>
      </c>
      <c r="AC1839" s="168" t="str">
        <f t="shared" si="7"/>
        <v>BOS,2016-17</v>
      </c>
    </row>
    <row r="1840">
      <c r="A1840" s="161" t="str">
        <f>IFERROR(__xludf.DUMMYFUNCTION("""COMPUTED_VALUE"""),"chrisra01")</f>
        <v>chrisra01</v>
      </c>
      <c r="B1840" s="161" t="str">
        <f>IFERROR(__xludf.DUMMYFUNCTION("""COMPUTED_VALUE"""),"Rakeem Christmas")</f>
        <v>Rakeem Christmas</v>
      </c>
      <c r="C1840" s="162" t="str">
        <f>IFERROR(__xludf.DUMMYFUNCTION("""COMPUTED_VALUE"""),"2016-17")</f>
        <v>2016-17</v>
      </c>
      <c r="D1840" s="163" t="str">
        <f>IFERROR(__xludf.DUMMYFUNCTION("""COMPUTED_VALUE"""),"IND")</f>
        <v>IND</v>
      </c>
      <c r="E1840" s="164" t="str">
        <f>IFERROR(__xludf.DUMMYFUNCTION("""COMPUTED_VALUE"""),"Roll + Cut Big")</f>
        <v>Roll + Cut Big</v>
      </c>
      <c r="F1840" s="164">
        <f>IFERROR(__xludf.DUMMYFUNCTION("""COMPUTED_VALUE"""),219.388333333333)</f>
        <v>219.3883333</v>
      </c>
      <c r="G1840" s="163">
        <f>IFERROR(__xludf.DUMMYFUNCTION("""COMPUTED_VALUE"""),29.0)</f>
        <v>29</v>
      </c>
      <c r="H1840" s="163" t="str">
        <f>IFERROR(__xludf.DUMMYFUNCTION("""COMPUTED_VALUE"""),"PF")</f>
        <v>PF</v>
      </c>
      <c r="I1840" s="163">
        <f>IFERROR(__xludf.DUMMYFUNCTION("""COMPUTED_VALUE"""),25.0)</f>
        <v>25</v>
      </c>
      <c r="J1840" s="165">
        <f>IFERROR(__xludf.DUMMYFUNCTION("""COMPUTED_VALUE"""),-1.76523561480058)</f>
        <v>-1.765235615</v>
      </c>
      <c r="K1840" s="165">
        <f>IFERROR(__xludf.DUMMYFUNCTION("""COMPUTED_VALUE"""),-1.35478663254825)</f>
        <v>-1.354786633</v>
      </c>
      <c r="L1840" s="165">
        <f>IFERROR(__xludf.DUMMYFUNCTION("""COMPUTED_VALUE"""),-0.410448982252327)</f>
        <v>-0.4104489823</v>
      </c>
      <c r="M1840" s="166">
        <f t="shared" si="2"/>
        <v>0.07825316638</v>
      </c>
      <c r="N1840" s="167">
        <f t="shared" si="3"/>
        <v>7.565114943</v>
      </c>
      <c r="O1840" s="163">
        <f t="shared" ref="O1840:Q1840" si="1844">rank(I1840,I:I)</f>
        <v>1995</v>
      </c>
      <c r="P1840" s="163">
        <f t="shared" si="1844"/>
        <v>3306</v>
      </c>
      <c r="Q1840" s="163">
        <f t="shared" si="1844"/>
        <v>3210</v>
      </c>
      <c r="R1840" s="163">
        <f>IFERROR(__xludf.DUMMYFUNCTION("RANK(M1840,filter(M:M,C:C=C1840))"),386.0)</f>
        <v>386</v>
      </c>
      <c r="S1840" s="161" t="b">
        <f t="shared" si="5"/>
        <v>0</v>
      </c>
      <c r="T1840" s="161" t="b">
        <f t="array" ref="T1840">index('Query Tool'!B:B,match(H1840,'Query Tool'!C:C,0))</f>
        <v>1</v>
      </c>
      <c r="U1840" s="161" t="b">
        <f t="array" ref="U1840">index('Query Tool'!B:B,match(C1840,'Query Tool'!C:C,0))</f>
        <v>0</v>
      </c>
      <c r="V1840" s="161" t="b">
        <f>F1840&gt;='Query Tool'!C$32</f>
        <v>0</v>
      </c>
      <c r="W1840" s="161" t="b">
        <f t="array" ref="W1840">index(Dropdowns!B:B,match(I1840,Dropdowns!A:A,0))</f>
        <v>1</v>
      </c>
      <c r="X1840" s="161" t="b">
        <f t="array" ref="X1840">index('Query Tool'!B:B,match(D1840,'Query Tool'!C:C,0))</f>
        <v>1</v>
      </c>
      <c r="Y1840" s="161" t="str">
        <f t="shared" si="6"/>
        <v>chrisra01,2016-17</v>
      </c>
      <c r="Z1840" s="168" t="str">
        <f t="array" ref="Z1840">iferror(index(I:I,match($A1840&amp;","&amp;index('Year Conversion'!$A:$A,match($C1840,'Year Conversion'!$B:$B,0)),$Y:$Y,0))-I1840,"")</f>
        <v/>
      </c>
      <c r="AA1840" s="168" t="str">
        <f t="array" ref="AA1840">iferror(index(J:J,match($A1840&amp;","&amp;index('Year Conversion'!$A:$A,match($C1840,'Year Conversion'!$B:$B,0)),$Y:$Y,0))-J1840,"")</f>
        <v/>
      </c>
      <c r="AB1840" s="168" t="str">
        <f t="array" ref="AB1840">iferror(index(K:K,match($A1840&amp;","&amp;index('Year Conversion'!$A:$A,match($C1840,'Year Conversion'!$B:$B,0)),$Y:$Y,0))-K1840,"")</f>
        <v/>
      </c>
      <c r="AC1840" s="168" t="str">
        <f t="shared" si="7"/>
        <v>IND,2016-17</v>
      </c>
    </row>
    <row r="1841">
      <c r="A1841" s="161" t="str">
        <f>IFERROR(__xludf.DUMMYFUNCTION("""COMPUTED_VALUE"""),"holliro01")</f>
        <v>holliro01</v>
      </c>
      <c r="B1841" s="161" t="str">
        <f>IFERROR(__xludf.DUMMYFUNCTION("""COMPUTED_VALUE"""),"Rondae Hollis-Jefferson")</f>
        <v>Rondae Hollis-Jefferson</v>
      </c>
      <c r="C1841" s="162" t="str">
        <f>IFERROR(__xludf.DUMMYFUNCTION("""COMPUTED_VALUE"""),"2016-17")</f>
        <v>2016-17</v>
      </c>
      <c r="D1841" s="163" t="str">
        <f>IFERROR(__xludf.DUMMYFUNCTION("""COMPUTED_VALUE"""),"BRK")</f>
        <v>BRK</v>
      </c>
      <c r="E1841" s="164" t="str">
        <f>IFERROR(__xludf.DUMMYFUNCTION("""COMPUTED_VALUE"""),"Shot Creator")</f>
        <v>Shot Creator</v>
      </c>
      <c r="F1841" s="164">
        <f>IFERROR(__xludf.DUMMYFUNCTION("""COMPUTED_VALUE"""),1761.40833333333)</f>
        <v>1761.408333</v>
      </c>
      <c r="G1841" s="163">
        <f>IFERROR(__xludf.DUMMYFUNCTION("""COMPUTED_VALUE"""),78.0)</f>
        <v>78</v>
      </c>
      <c r="H1841" s="163" t="str">
        <f>IFERROR(__xludf.DUMMYFUNCTION("""COMPUTED_VALUE"""),"SF")</f>
        <v>SF</v>
      </c>
      <c r="I1841" s="163">
        <f>IFERROR(__xludf.DUMMYFUNCTION("""COMPUTED_VALUE"""),22.0)</f>
        <v>22</v>
      </c>
      <c r="J1841" s="165">
        <f>IFERROR(__xludf.DUMMYFUNCTION("""COMPUTED_VALUE"""),-0.687144996918242)</f>
        <v>-0.6871449969</v>
      </c>
      <c r="K1841" s="165">
        <f>IFERROR(__xludf.DUMMYFUNCTION("""COMPUTED_VALUE"""),-2.0857551687787)</f>
        <v>-2.085755169</v>
      </c>
      <c r="L1841" s="165">
        <f>IFERROR(__xludf.DUMMYFUNCTION("""COMPUTED_VALUE"""),1.39861017186046)</f>
        <v>1.398610172</v>
      </c>
      <c r="M1841" s="166">
        <f t="shared" si="2"/>
        <v>1.900038458</v>
      </c>
      <c r="N1841" s="167">
        <f t="shared" si="3"/>
        <v>22.58215812</v>
      </c>
      <c r="O1841" s="163">
        <f t="shared" ref="O1841:Q1841" si="1845">rank(I1841,I:I)</f>
        <v>3178</v>
      </c>
      <c r="P1841" s="163">
        <f t="shared" si="1845"/>
        <v>2122</v>
      </c>
      <c r="Q1841" s="163">
        <f t="shared" si="1845"/>
        <v>3756</v>
      </c>
      <c r="R1841" s="163">
        <f>IFERROR(__xludf.DUMMYFUNCTION("RANK(M1841,filter(M:M,C:C=C1841))"),167.0)</f>
        <v>167</v>
      </c>
      <c r="S1841" s="161" t="b">
        <f t="shared" si="5"/>
        <v>0</v>
      </c>
      <c r="T1841" s="161" t="b">
        <f t="array" ref="T1841">index('Query Tool'!B:B,match(H1841,'Query Tool'!C:C,0))</f>
        <v>1</v>
      </c>
      <c r="U1841" s="161" t="b">
        <f t="array" ref="U1841">index('Query Tool'!B:B,match(C1841,'Query Tool'!C:C,0))</f>
        <v>0</v>
      </c>
      <c r="V1841" s="161" t="b">
        <f>F1841&gt;='Query Tool'!C$32</f>
        <v>1</v>
      </c>
      <c r="W1841" s="161" t="b">
        <f t="array" ref="W1841">index(Dropdowns!B:B,match(I1841,Dropdowns!A:A,0))</f>
        <v>1</v>
      </c>
      <c r="X1841" s="161" t="b">
        <f t="array" ref="X1841">index('Query Tool'!B:B,match(D1841,'Query Tool'!C:C,0))</f>
        <v>1</v>
      </c>
      <c r="Y1841" s="161" t="str">
        <f t="shared" si="6"/>
        <v>holliro01,2016-17</v>
      </c>
      <c r="Z1841" s="168">
        <f t="array" ref="Z1841">iferror(index(I:I,match($A1841&amp;","&amp;index('Year Conversion'!$A:$A,match($C1841,'Year Conversion'!$B:$B,0)),$Y:$Y,0))-I1841,"")</f>
        <v>1</v>
      </c>
      <c r="AA1841" s="168">
        <f t="array" ref="AA1841">iferror(index(J:J,match($A1841&amp;","&amp;index('Year Conversion'!$A:$A,match($C1841,'Year Conversion'!$B:$B,0)),$Y:$Y,0))-J1841,"")</f>
        <v>0.5461331701</v>
      </c>
      <c r="AB1841" s="168">
        <f t="array" ref="AB1841">iferror(index(K:K,match($A1841&amp;","&amp;index('Year Conversion'!$A:$A,match($C1841,'Year Conversion'!$B:$B,0)),$Y:$Y,0))-K1841,"")</f>
        <v>1.899349131</v>
      </c>
      <c r="AC1841" s="168" t="str">
        <f t="shared" si="7"/>
        <v>BRK,2016-17</v>
      </c>
    </row>
    <row r="1842">
      <c r="A1842" s="161" t="str">
        <f>IFERROR(__xludf.DUMMYFUNCTION("""COMPUTED_VALUE"""),"roziete01")</f>
        <v>roziete01</v>
      </c>
      <c r="B1842" s="161" t="str">
        <f>IFERROR(__xludf.DUMMYFUNCTION("""COMPUTED_VALUE"""),"Terry Rozier")</f>
        <v>Terry Rozier</v>
      </c>
      <c r="C1842" s="162" t="str">
        <f>IFERROR(__xludf.DUMMYFUNCTION("""COMPUTED_VALUE"""),"2016-17")</f>
        <v>2016-17</v>
      </c>
      <c r="D1842" s="163" t="str">
        <f>IFERROR(__xludf.DUMMYFUNCTION("""COMPUTED_VALUE"""),"BOS")</f>
        <v>BOS</v>
      </c>
      <c r="E1842" s="164" t="str">
        <f>IFERROR(__xludf.DUMMYFUNCTION("""COMPUTED_VALUE"""),"Primary Ball Handler")</f>
        <v>Primary Ball Handler</v>
      </c>
      <c r="F1842" s="164">
        <f>IFERROR(__xludf.DUMMYFUNCTION("""COMPUTED_VALUE"""),1263.03833333333)</f>
        <v>1263.038333</v>
      </c>
      <c r="G1842" s="163">
        <f>IFERROR(__xludf.DUMMYFUNCTION("""COMPUTED_VALUE"""),74.0)</f>
        <v>74</v>
      </c>
      <c r="H1842" s="163" t="str">
        <f>IFERROR(__xludf.DUMMYFUNCTION("""COMPUTED_VALUE"""),"PG")</f>
        <v>PG</v>
      </c>
      <c r="I1842" s="163">
        <f>IFERROR(__xludf.DUMMYFUNCTION("""COMPUTED_VALUE"""),22.0)</f>
        <v>22</v>
      </c>
      <c r="J1842" s="165">
        <f>IFERROR(__xludf.DUMMYFUNCTION("""COMPUTED_VALUE"""),-0.40124367074562)</f>
        <v>-0.4012436707</v>
      </c>
      <c r="K1842" s="165">
        <f>IFERROR(__xludf.DUMMYFUNCTION("""COMPUTED_VALUE"""),-0.616431297579751)</f>
        <v>-0.6164312976</v>
      </c>
      <c r="L1842" s="165">
        <f>IFERROR(__xludf.DUMMYFUNCTION("""COMPUTED_VALUE"""),0.21518762683413)</f>
        <v>0.2151876268</v>
      </c>
      <c r="M1842" s="166">
        <f t="shared" si="2"/>
        <v>1.60559044</v>
      </c>
      <c r="N1842" s="167">
        <f t="shared" si="3"/>
        <v>17.06808559</v>
      </c>
      <c r="O1842" s="163">
        <f t="shared" ref="O1842:Q1842" si="1846">rank(I1842,I:I)</f>
        <v>3178</v>
      </c>
      <c r="P1842" s="163">
        <f t="shared" si="1846"/>
        <v>1730</v>
      </c>
      <c r="Q1842" s="163">
        <f t="shared" si="1846"/>
        <v>2286</v>
      </c>
      <c r="R1842" s="163">
        <f>IFERROR(__xludf.DUMMYFUNCTION("RANK(M1842,filter(M:M,C:C=C1842))"),184.0)</f>
        <v>184</v>
      </c>
      <c r="S1842" s="161" t="b">
        <f t="shared" si="5"/>
        <v>0</v>
      </c>
      <c r="T1842" s="161" t="b">
        <f t="array" ref="T1842">index('Query Tool'!B:B,match(H1842,'Query Tool'!C:C,0))</f>
        <v>1</v>
      </c>
      <c r="U1842" s="161" t="b">
        <f t="array" ref="U1842">index('Query Tool'!B:B,match(C1842,'Query Tool'!C:C,0))</f>
        <v>0</v>
      </c>
      <c r="V1842" s="161" t="b">
        <f>F1842&gt;='Query Tool'!C$32</f>
        <v>1</v>
      </c>
      <c r="W1842" s="161" t="b">
        <f t="array" ref="W1842">index(Dropdowns!B:B,match(I1842,Dropdowns!A:A,0))</f>
        <v>1</v>
      </c>
      <c r="X1842" s="161" t="b">
        <f t="array" ref="X1842">index('Query Tool'!B:B,match(D1842,'Query Tool'!C:C,0))</f>
        <v>1</v>
      </c>
      <c r="Y1842" s="161" t="str">
        <f t="shared" si="6"/>
        <v>roziete01,2016-17</v>
      </c>
      <c r="Z1842" s="168">
        <f t="array" ref="Z1842">iferror(index(I:I,match($A1842&amp;","&amp;index('Year Conversion'!$A:$A,match($C1842,'Year Conversion'!$B:$B,0)),$Y:$Y,0))-I1842,"")</f>
        <v>1</v>
      </c>
      <c r="AA1842" s="168">
        <f t="array" ref="AA1842">iferror(index(J:J,match($A1842&amp;","&amp;index('Year Conversion'!$A:$A,match($C1842,'Year Conversion'!$B:$B,0)),$Y:$Y,0))-J1842,"")</f>
        <v>1.004268321</v>
      </c>
      <c r="AB1842" s="168">
        <f t="array" ref="AB1842">iferror(index(K:K,match($A1842&amp;","&amp;index('Year Conversion'!$A:$A,match($C1842,'Year Conversion'!$B:$B,0)),$Y:$Y,0))-K1842,"")</f>
        <v>0.9879772063</v>
      </c>
      <c r="AC1842" s="168" t="str">
        <f t="shared" si="7"/>
        <v>BOS,2016-17</v>
      </c>
    </row>
    <row r="1843">
      <c r="A1843" s="161" t="str">
        <f>IFERROR(__xludf.DUMMYFUNCTION("""COMPUTED_VALUE"""),"powelno01")</f>
        <v>powelno01</v>
      </c>
      <c r="B1843" s="161" t="str">
        <f>IFERROR(__xludf.DUMMYFUNCTION("""COMPUTED_VALUE"""),"Norman Powell")</f>
        <v>Norman Powell</v>
      </c>
      <c r="C1843" s="162" t="str">
        <f>IFERROR(__xludf.DUMMYFUNCTION("""COMPUTED_VALUE"""),"2016-17")</f>
        <v>2016-17</v>
      </c>
      <c r="D1843" s="163" t="str">
        <f>IFERROR(__xludf.DUMMYFUNCTION("""COMPUTED_VALUE"""),"TOR")</f>
        <v>TOR</v>
      </c>
      <c r="E1843" s="164" t="str">
        <f>IFERROR(__xludf.DUMMYFUNCTION("""COMPUTED_VALUE"""),"Secondary Ball Handler")</f>
        <v>Secondary Ball Handler</v>
      </c>
      <c r="F1843" s="164">
        <f>IFERROR(__xludf.DUMMYFUNCTION("""COMPUTED_VALUE"""),1367.65166666667)</f>
        <v>1367.651667</v>
      </c>
      <c r="G1843" s="163">
        <f>IFERROR(__xludf.DUMMYFUNCTION("""COMPUTED_VALUE"""),76.0)</f>
        <v>76</v>
      </c>
      <c r="H1843" s="163" t="str">
        <f>IFERROR(__xludf.DUMMYFUNCTION("""COMPUTED_VALUE"""),"SG")</f>
        <v>SG</v>
      </c>
      <c r="I1843" s="163">
        <f>IFERROR(__xludf.DUMMYFUNCTION("""COMPUTED_VALUE"""),23.0)</f>
        <v>23</v>
      </c>
      <c r="J1843" s="165">
        <f>IFERROR(__xludf.DUMMYFUNCTION("""COMPUTED_VALUE"""),-0.811458592091745)</f>
        <v>-0.8114585921</v>
      </c>
      <c r="K1843" s="165">
        <f>IFERROR(__xludf.DUMMYFUNCTION("""COMPUTED_VALUE"""),0.283061194998038)</f>
        <v>0.283061195</v>
      </c>
      <c r="L1843" s="165">
        <f>IFERROR(__xludf.DUMMYFUNCTION("""COMPUTED_VALUE"""),-1.09451978708978)</f>
        <v>-1.094519787</v>
      </c>
      <c r="M1843" s="166">
        <f t="shared" si="2"/>
        <v>1.360935713</v>
      </c>
      <c r="N1843" s="167">
        <f t="shared" si="3"/>
        <v>17.99541667</v>
      </c>
      <c r="O1843" s="163">
        <f t="shared" ref="O1843:Q1843" si="1847">rank(I1843,I:I)</f>
        <v>2765</v>
      </c>
      <c r="P1843" s="163">
        <f t="shared" si="1847"/>
        <v>2298</v>
      </c>
      <c r="Q1843" s="163">
        <f t="shared" si="1847"/>
        <v>924</v>
      </c>
      <c r="R1843" s="163">
        <f>IFERROR(__xludf.DUMMYFUNCTION("RANK(M1843,filter(M:M,C:C=C1843))"),196.0)</f>
        <v>196</v>
      </c>
      <c r="S1843" s="161" t="b">
        <f t="shared" si="5"/>
        <v>0</v>
      </c>
      <c r="T1843" s="161" t="b">
        <f t="array" ref="T1843">index('Query Tool'!B:B,match(H1843,'Query Tool'!C:C,0))</f>
        <v>1</v>
      </c>
      <c r="U1843" s="161" t="b">
        <f t="array" ref="U1843">index('Query Tool'!B:B,match(C1843,'Query Tool'!C:C,0))</f>
        <v>0</v>
      </c>
      <c r="V1843" s="161" t="b">
        <f>F1843&gt;='Query Tool'!C$32</f>
        <v>1</v>
      </c>
      <c r="W1843" s="161" t="b">
        <f t="array" ref="W1843">index(Dropdowns!B:B,match(I1843,Dropdowns!A:A,0))</f>
        <v>1</v>
      </c>
      <c r="X1843" s="161" t="b">
        <f t="array" ref="X1843">index('Query Tool'!B:B,match(D1843,'Query Tool'!C:C,0))</f>
        <v>1</v>
      </c>
      <c r="Y1843" s="161" t="str">
        <f t="shared" si="6"/>
        <v>powelno01,2016-17</v>
      </c>
      <c r="Z1843" s="168">
        <f t="array" ref="Z1843">iferror(index(I:I,match($A1843&amp;","&amp;index('Year Conversion'!$A:$A,match($C1843,'Year Conversion'!$B:$B,0)),$Y:$Y,0))-I1843,"")</f>
        <v>1</v>
      </c>
      <c r="AA1843" s="168">
        <f t="array" ref="AA1843">iferror(index(J:J,match($A1843&amp;","&amp;index('Year Conversion'!$A:$A,match($C1843,'Year Conversion'!$B:$B,0)),$Y:$Y,0))-J1843,"")</f>
        <v>-1.270504572</v>
      </c>
      <c r="AB1843" s="168">
        <f t="array" ref="AB1843">iferror(index(K:K,match($A1843&amp;","&amp;index('Year Conversion'!$A:$A,match($C1843,'Year Conversion'!$B:$B,0)),$Y:$Y,0))-K1843,"")</f>
        <v>-1.446459513</v>
      </c>
      <c r="AC1843" s="168" t="str">
        <f t="shared" si="7"/>
        <v>TOR,2016-17</v>
      </c>
    </row>
    <row r="1844">
      <c r="A1844" s="161" t="str">
        <f>IFERROR(__xludf.DUMMYFUNCTION("""COMPUTED_VALUE"""),"randlch01")</f>
        <v>randlch01</v>
      </c>
      <c r="B1844" s="161" t="str">
        <f>IFERROR(__xludf.DUMMYFUNCTION("""COMPUTED_VALUE"""),"Chasson Randle")</f>
        <v>Chasson Randle</v>
      </c>
      <c r="C1844" s="162" t="str">
        <f>IFERROR(__xludf.DUMMYFUNCTION("""COMPUTED_VALUE"""),"2016-17")</f>
        <v>2016-17</v>
      </c>
      <c r="D1844" s="163" t="str">
        <f>IFERROR(__xludf.DUMMYFUNCTION("""COMPUTED_VALUE"""),"TOT")</f>
        <v>TOT</v>
      </c>
      <c r="E1844" s="164" t="str">
        <f>IFERROR(__xludf.DUMMYFUNCTION("""COMPUTED_VALUE"""),"Secondary Ball Handler")</f>
        <v>Secondary Ball Handler</v>
      </c>
      <c r="F1844" s="164">
        <f>IFERROR(__xludf.DUMMYFUNCTION("""COMPUTED_VALUE"""),299.041666666667)</f>
        <v>299.0416667</v>
      </c>
      <c r="G1844" s="163">
        <f>IFERROR(__xludf.DUMMYFUNCTION("""COMPUTED_VALUE"""),26.0)</f>
        <v>26</v>
      </c>
      <c r="H1844" s="163" t="str">
        <f>IFERROR(__xludf.DUMMYFUNCTION("""COMPUTED_VALUE"""),"PG")</f>
        <v>PG</v>
      </c>
      <c r="I1844" s="163">
        <f>IFERROR(__xludf.DUMMYFUNCTION("""COMPUTED_VALUE"""),23.0)</f>
        <v>23</v>
      </c>
      <c r="J1844" s="165">
        <f>IFERROR(__xludf.DUMMYFUNCTION("""COMPUTED_VALUE"""),-0.584291479981507)</f>
        <v>-0.58429148</v>
      </c>
      <c r="K1844" s="165">
        <f>IFERROR(__xludf.DUMMYFUNCTION("""COMPUTED_VALUE"""),0.14163246602284)</f>
        <v>0.141632466</v>
      </c>
      <c r="L1844" s="165">
        <f>IFERROR(__xludf.DUMMYFUNCTION("""COMPUTED_VALUE"""),-0.725923946004347)</f>
        <v>-0.725923946</v>
      </c>
      <c r="M1844" s="166">
        <f t="shared" si="2"/>
        <v>0.3432789059</v>
      </c>
      <c r="N1844" s="167">
        <f t="shared" si="3"/>
        <v>11.50160256</v>
      </c>
      <c r="O1844" s="163">
        <f t="shared" ref="O1844:Q1844" si="1848">rank(I1844,I:I)</f>
        <v>2765</v>
      </c>
      <c r="P1844" s="163">
        <f t="shared" si="1848"/>
        <v>1968</v>
      </c>
      <c r="Q1844" s="163">
        <f t="shared" si="1848"/>
        <v>1030</v>
      </c>
      <c r="R1844" s="163">
        <f>IFERROR(__xludf.DUMMYFUNCTION("RANK(M1844,filter(M:M,C:C=C1844))"),309.0)</f>
        <v>309</v>
      </c>
      <c r="S1844" s="161" t="b">
        <f t="shared" si="5"/>
        <v>0</v>
      </c>
      <c r="T1844" s="161" t="b">
        <f t="array" ref="T1844">index('Query Tool'!B:B,match(H1844,'Query Tool'!C:C,0))</f>
        <v>1</v>
      </c>
      <c r="U1844" s="161" t="b">
        <f t="array" ref="U1844">index('Query Tool'!B:B,match(C1844,'Query Tool'!C:C,0))</f>
        <v>0</v>
      </c>
      <c r="V1844" s="161" t="b">
        <f>F1844&gt;='Query Tool'!C$32</f>
        <v>0</v>
      </c>
      <c r="W1844" s="161" t="b">
        <f t="array" ref="W1844">index(Dropdowns!B:B,match(I1844,Dropdowns!A:A,0))</f>
        <v>1</v>
      </c>
      <c r="X1844" s="161" t="b">
        <f t="array" ref="X1844">index('Query Tool'!B:B,match(D1844,'Query Tool'!C:C,0))</f>
        <v>1</v>
      </c>
      <c r="Y1844" s="161" t="str">
        <f t="shared" si="6"/>
        <v>randlch01,2016-17</v>
      </c>
      <c r="Z1844" s="168" t="str">
        <f t="array" ref="Z1844">iferror(index(I:I,match($A1844&amp;","&amp;index('Year Conversion'!$A:$A,match($C1844,'Year Conversion'!$B:$B,0)),$Y:$Y,0))-I1844,"")</f>
        <v/>
      </c>
      <c r="AA1844" s="168" t="str">
        <f t="array" ref="AA1844">iferror(index(J:J,match($A1844&amp;","&amp;index('Year Conversion'!$A:$A,match($C1844,'Year Conversion'!$B:$B,0)),$Y:$Y,0))-J1844,"")</f>
        <v/>
      </c>
      <c r="AB1844" s="168" t="str">
        <f t="array" ref="AB1844">iferror(index(K:K,match($A1844&amp;","&amp;index('Year Conversion'!$A:$A,match($C1844,'Year Conversion'!$B:$B,0)),$Y:$Y,0))-K1844,"")</f>
        <v/>
      </c>
      <c r="AC1844" s="168" t="str">
        <f t="shared" si="7"/>
        <v>TOT,2016-17</v>
      </c>
    </row>
    <row r="1845">
      <c r="A1845" s="161" t="str">
        <f>IFERROR(__xludf.DUMMYFUNCTION("""COMPUTED_VALUE"""),"martija01")</f>
        <v>martija01</v>
      </c>
      <c r="B1845" s="161" t="str">
        <f>IFERROR(__xludf.DUMMYFUNCTION("""COMPUTED_VALUE"""),"Jarell Martin")</f>
        <v>Jarell Martin</v>
      </c>
      <c r="C1845" s="162" t="str">
        <f>IFERROR(__xludf.DUMMYFUNCTION("""COMPUTED_VALUE"""),"2016-17")</f>
        <v>2016-17</v>
      </c>
      <c r="D1845" s="163" t="str">
        <f>IFERROR(__xludf.DUMMYFUNCTION("""COMPUTED_VALUE"""),"MEM")</f>
        <v>MEM</v>
      </c>
      <c r="E1845" s="164" t="str">
        <f>IFERROR(__xludf.DUMMYFUNCTION("""COMPUTED_VALUE"""),"Roll + Cut Big")</f>
        <v>Roll + Cut Big</v>
      </c>
      <c r="F1845" s="164">
        <f>IFERROR(__xludf.DUMMYFUNCTION("""COMPUTED_VALUE"""),558.421666666667)</f>
        <v>558.4216667</v>
      </c>
      <c r="G1845" s="163">
        <f>IFERROR(__xludf.DUMMYFUNCTION("""COMPUTED_VALUE"""),42.0)</f>
        <v>42</v>
      </c>
      <c r="H1845" s="163" t="str">
        <f>IFERROR(__xludf.DUMMYFUNCTION("""COMPUTED_VALUE"""),"PF")</f>
        <v>PF</v>
      </c>
      <c r="I1845" s="163">
        <f>IFERROR(__xludf.DUMMYFUNCTION("""COMPUTED_VALUE"""),22.0)</f>
        <v>22</v>
      </c>
      <c r="J1845" s="165">
        <f>IFERROR(__xludf.DUMMYFUNCTION("""COMPUTED_VALUE"""),-2.54516743365333)</f>
        <v>-2.545167434</v>
      </c>
      <c r="K1845" s="165">
        <f>IFERROR(__xludf.DUMMYFUNCTION("""COMPUTED_VALUE"""),-3.60866548875415)</f>
        <v>-3.608665489</v>
      </c>
      <c r="L1845" s="165">
        <f>IFERROR(__xludf.DUMMYFUNCTION("""COMPUTED_VALUE"""),1.06349805510082)</f>
        <v>1.063498055</v>
      </c>
      <c r="M1845" s="166">
        <f t="shared" si="2"/>
        <v>-0.08877918226</v>
      </c>
      <c r="N1845" s="167">
        <f t="shared" si="3"/>
        <v>13.29575397</v>
      </c>
      <c r="O1845" s="163">
        <f t="shared" ref="O1845:Q1845" si="1849">rank(I1845,I:I)</f>
        <v>3178</v>
      </c>
      <c r="P1845" s="163">
        <f t="shared" si="1849"/>
        <v>3772</v>
      </c>
      <c r="Q1845" s="163">
        <f t="shared" si="1849"/>
        <v>4009</v>
      </c>
      <c r="R1845" s="163">
        <f>IFERROR(__xludf.DUMMYFUNCTION("RANK(M1845,filter(M:M,C:C=C1845))"),458.0)</f>
        <v>458</v>
      </c>
      <c r="S1845" s="161" t="b">
        <f t="shared" si="5"/>
        <v>0</v>
      </c>
      <c r="T1845" s="161" t="b">
        <f t="array" ref="T1845">index('Query Tool'!B:B,match(H1845,'Query Tool'!C:C,0))</f>
        <v>1</v>
      </c>
      <c r="U1845" s="161" t="b">
        <f t="array" ref="U1845">index('Query Tool'!B:B,match(C1845,'Query Tool'!C:C,0))</f>
        <v>0</v>
      </c>
      <c r="V1845" s="161" t="b">
        <f>F1845&gt;='Query Tool'!C$32</f>
        <v>1</v>
      </c>
      <c r="W1845" s="161" t="b">
        <f t="array" ref="W1845">index(Dropdowns!B:B,match(I1845,Dropdowns!A:A,0))</f>
        <v>1</v>
      </c>
      <c r="X1845" s="161" t="b">
        <f t="array" ref="X1845">index('Query Tool'!B:B,match(D1845,'Query Tool'!C:C,0))</f>
        <v>1</v>
      </c>
      <c r="Y1845" s="161" t="str">
        <f t="shared" si="6"/>
        <v>martija01,2016-17</v>
      </c>
      <c r="Z1845" s="168">
        <f t="array" ref="Z1845">iferror(index(I:I,match($A1845&amp;","&amp;index('Year Conversion'!$A:$A,match($C1845,'Year Conversion'!$B:$B,0)),$Y:$Y,0))-I1845,"")</f>
        <v>1</v>
      </c>
      <c r="AA1845" s="168">
        <f t="array" ref="AA1845">iferror(index(J:J,match($A1845&amp;","&amp;index('Year Conversion'!$A:$A,match($C1845,'Year Conversion'!$B:$B,0)),$Y:$Y,0))-J1845,"")</f>
        <v>0.2189287148</v>
      </c>
      <c r="AB1845" s="168">
        <f t="array" ref="AB1845">iferror(index(K:K,match($A1845&amp;","&amp;index('Year Conversion'!$A:$A,match($C1845,'Year Conversion'!$B:$B,0)),$Y:$Y,0))-K1845,"")</f>
        <v>1.429648283</v>
      </c>
      <c r="AC1845" s="168" t="str">
        <f t="shared" si="7"/>
        <v>MEM,2016-17</v>
      </c>
    </row>
    <row r="1846">
      <c r="A1846" s="161" t="str">
        <f>IFERROR(__xludf.DUMMYFUNCTION("""COMPUTED_VALUE"""),"cookqu01")</f>
        <v>cookqu01</v>
      </c>
      <c r="B1846" s="161" t="str">
        <f>IFERROR(__xludf.DUMMYFUNCTION("""COMPUTED_VALUE"""),"Quinn Cook")</f>
        <v>Quinn Cook</v>
      </c>
      <c r="C1846" s="162" t="str">
        <f>IFERROR(__xludf.DUMMYFUNCTION("""COMPUTED_VALUE"""),"2016-17")</f>
        <v>2016-17</v>
      </c>
      <c r="D1846" s="163" t="str">
        <f>IFERROR(__xludf.DUMMYFUNCTION("""COMPUTED_VALUE"""),"TOT")</f>
        <v>TOT</v>
      </c>
      <c r="E1846" s="164" t="str">
        <f>IFERROR(__xludf.DUMMYFUNCTION("""COMPUTED_VALUE"""),"Secondary Ball Handler")</f>
        <v>Secondary Ball Handler</v>
      </c>
      <c r="F1846" s="164">
        <f>IFERROR(__xludf.DUMMYFUNCTION("""COMPUTED_VALUE"""),187.46)</f>
        <v>187.46</v>
      </c>
      <c r="G1846" s="163">
        <f>IFERROR(__xludf.DUMMYFUNCTION("""COMPUTED_VALUE"""),14.0)</f>
        <v>14</v>
      </c>
      <c r="H1846" s="163" t="str">
        <f>IFERROR(__xludf.DUMMYFUNCTION("""COMPUTED_VALUE"""),"PG")</f>
        <v>PG</v>
      </c>
      <c r="I1846" s="163">
        <f>IFERROR(__xludf.DUMMYFUNCTION("""COMPUTED_VALUE"""),23.0)</f>
        <v>23</v>
      </c>
      <c r="J1846" s="165">
        <f>IFERROR(__xludf.DUMMYFUNCTION("""COMPUTED_VALUE"""),-0.909365854346259)</f>
        <v>-0.9093658543</v>
      </c>
      <c r="K1846" s="165">
        <f>IFERROR(__xludf.DUMMYFUNCTION("""COMPUTED_VALUE"""),0.112769455840328)</f>
        <v>0.1127694558</v>
      </c>
      <c r="L1846" s="165">
        <f>IFERROR(__xludf.DUMMYFUNCTION("""COMPUTED_VALUE"""),-1.02213531018659)</f>
        <v>-1.02213531</v>
      </c>
      <c r="M1846" s="166">
        <f t="shared" si="2"/>
        <v>0.1742037286</v>
      </c>
      <c r="N1846" s="167">
        <f t="shared" si="3"/>
        <v>13.39</v>
      </c>
      <c r="O1846" s="163">
        <f t="shared" ref="O1846:Q1846" si="1850">rank(I1846,I:I)</f>
        <v>2765</v>
      </c>
      <c r="P1846" s="163">
        <f t="shared" si="1850"/>
        <v>2404</v>
      </c>
      <c r="Q1846" s="163">
        <f t="shared" si="1850"/>
        <v>1054</v>
      </c>
      <c r="R1846" s="163">
        <f>IFERROR(__xludf.DUMMYFUNCTION("RANK(M1846,filter(M:M,C:C=C1846))"),348.0)</f>
        <v>348</v>
      </c>
      <c r="S1846" s="161" t="b">
        <f t="shared" si="5"/>
        <v>0</v>
      </c>
      <c r="T1846" s="161" t="b">
        <f t="array" ref="T1846">index('Query Tool'!B:B,match(H1846,'Query Tool'!C:C,0))</f>
        <v>1</v>
      </c>
      <c r="U1846" s="161" t="b">
        <f t="array" ref="U1846">index('Query Tool'!B:B,match(C1846,'Query Tool'!C:C,0))</f>
        <v>0</v>
      </c>
      <c r="V1846" s="161" t="b">
        <f>F1846&gt;='Query Tool'!C$32</f>
        <v>0</v>
      </c>
      <c r="W1846" s="161" t="b">
        <f t="array" ref="W1846">index(Dropdowns!B:B,match(I1846,Dropdowns!A:A,0))</f>
        <v>1</v>
      </c>
      <c r="X1846" s="161" t="b">
        <f t="array" ref="X1846">index('Query Tool'!B:B,match(D1846,'Query Tool'!C:C,0))</f>
        <v>1</v>
      </c>
      <c r="Y1846" s="161" t="str">
        <f t="shared" si="6"/>
        <v>cookqu01,2016-17</v>
      </c>
      <c r="Z1846" s="168">
        <f t="array" ref="Z1846">iferror(index(I:I,match($A1846&amp;","&amp;index('Year Conversion'!$A:$A,match($C1846,'Year Conversion'!$B:$B,0)),$Y:$Y,0))-I1846,"")</f>
        <v>1</v>
      </c>
      <c r="AA1846" s="168">
        <f t="array" ref="AA1846">iferror(index(J:J,match($A1846&amp;","&amp;index('Year Conversion'!$A:$A,match($C1846,'Year Conversion'!$B:$B,0)),$Y:$Y,0))-J1846,"")</f>
        <v>-1.721522269</v>
      </c>
      <c r="AB1846" s="168">
        <f t="array" ref="AB1846">iferror(index(K:K,match($A1846&amp;","&amp;index('Year Conversion'!$A:$A,match($C1846,'Year Conversion'!$B:$B,0)),$Y:$Y,0))-K1846,"")</f>
        <v>-0.9439864363</v>
      </c>
      <c r="AC1846" s="168" t="str">
        <f t="shared" si="7"/>
        <v>TOT,2016-17</v>
      </c>
    </row>
    <row r="1847">
      <c r="A1847" s="161" t="str">
        <f>IFERROR(__xludf.DUMMYFUNCTION("""COMPUTED_VALUE"""),"mcculch01")</f>
        <v>mcculch01</v>
      </c>
      <c r="B1847" s="161" t="str">
        <f>IFERROR(__xludf.DUMMYFUNCTION("""COMPUTED_VALUE"""),"Chris McCullough")</f>
        <v>Chris McCullough</v>
      </c>
      <c r="C1847" s="162" t="str">
        <f>IFERROR(__xludf.DUMMYFUNCTION("""COMPUTED_VALUE"""),"2016-17")</f>
        <v>2016-17</v>
      </c>
      <c r="D1847" s="163" t="str">
        <f>IFERROR(__xludf.DUMMYFUNCTION("""COMPUTED_VALUE"""),"TOT")</f>
        <v>TOT</v>
      </c>
      <c r="E1847" s="164" t="str">
        <f>IFERROR(__xludf.DUMMYFUNCTION("""COMPUTED_VALUE"""),"Roll + Cut Big")</f>
        <v>Roll + Cut Big</v>
      </c>
      <c r="F1847" s="164">
        <f>IFERROR(__xludf.DUMMYFUNCTION("""COMPUTED_VALUE"""),80.4533333333333)</f>
        <v>80.45333333</v>
      </c>
      <c r="G1847" s="163">
        <f>IFERROR(__xludf.DUMMYFUNCTION("""COMPUTED_VALUE"""),16.0)</f>
        <v>16</v>
      </c>
      <c r="H1847" s="163" t="str">
        <f>IFERROR(__xludf.DUMMYFUNCTION("""COMPUTED_VALUE"""),"PF")</f>
        <v>PF</v>
      </c>
      <c r="I1847" s="163">
        <f>IFERROR(__xludf.DUMMYFUNCTION("""COMPUTED_VALUE"""),21.0)</f>
        <v>21</v>
      </c>
      <c r="J1847" s="165">
        <f>IFERROR(__xludf.DUMMYFUNCTION("""COMPUTED_VALUE"""),0.269933207863676)</f>
        <v>0.2699332079</v>
      </c>
      <c r="K1847" s="165">
        <f>IFERROR(__xludf.DUMMYFUNCTION("""COMPUTED_VALUE"""),0.183983270939804)</f>
        <v>0.1839832709</v>
      </c>
      <c r="L1847" s="165">
        <f>IFERROR(__xludf.DUMMYFUNCTION("""COMPUTED_VALUE"""),0.0859499369238718)</f>
        <v>0.08594993692</v>
      </c>
      <c r="M1847" s="166">
        <f t="shared" si="2"/>
        <v>0.1386721384</v>
      </c>
      <c r="N1847" s="167">
        <f t="shared" si="3"/>
        <v>5.028333333</v>
      </c>
      <c r="O1847" s="163">
        <f t="shared" ref="O1847:Q1847" si="1851">rank(I1847,I:I)</f>
        <v>3528</v>
      </c>
      <c r="P1847" s="163">
        <f t="shared" si="1851"/>
        <v>1042</v>
      </c>
      <c r="Q1847" s="163">
        <f t="shared" si="1851"/>
        <v>994</v>
      </c>
      <c r="R1847" s="163">
        <f>IFERROR(__xludf.DUMMYFUNCTION("RANK(M1847,filter(M:M,C:C=C1847))"),361.0)</f>
        <v>361</v>
      </c>
      <c r="S1847" s="161" t="b">
        <f t="shared" si="5"/>
        <v>0</v>
      </c>
      <c r="T1847" s="161" t="b">
        <f t="array" ref="T1847">index('Query Tool'!B:B,match(H1847,'Query Tool'!C:C,0))</f>
        <v>1</v>
      </c>
      <c r="U1847" s="161" t="b">
        <f t="array" ref="U1847">index('Query Tool'!B:B,match(C1847,'Query Tool'!C:C,0))</f>
        <v>0</v>
      </c>
      <c r="V1847" s="161" t="b">
        <f>F1847&gt;='Query Tool'!C$32</f>
        <v>0</v>
      </c>
      <c r="W1847" s="161" t="b">
        <f t="array" ref="W1847">index(Dropdowns!B:B,match(I1847,Dropdowns!A:A,0))</f>
        <v>1</v>
      </c>
      <c r="X1847" s="161" t="b">
        <f t="array" ref="X1847">index('Query Tool'!B:B,match(D1847,'Query Tool'!C:C,0))</f>
        <v>1</v>
      </c>
      <c r="Y1847" s="161" t="str">
        <f t="shared" si="6"/>
        <v>mcculch01,2016-17</v>
      </c>
      <c r="Z1847" s="168">
        <f t="array" ref="Z1847">iferror(index(I:I,match($A1847&amp;","&amp;index('Year Conversion'!$A:$A,match($C1847,'Year Conversion'!$B:$B,0)),$Y:$Y,0))-I1847,"")</f>
        <v>1</v>
      </c>
      <c r="AA1847" s="168">
        <f t="array" ref="AA1847">iferror(index(J:J,match($A1847&amp;","&amp;index('Year Conversion'!$A:$A,match($C1847,'Year Conversion'!$B:$B,0)),$Y:$Y,0))-J1847,"")</f>
        <v>-0.6352392672</v>
      </c>
      <c r="AB1847" s="168">
        <f t="array" ref="AB1847">iferror(index(K:K,match($A1847&amp;","&amp;index('Year Conversion'!$A:$A,match($C1847,'Year Conversion'!$B:$B,0)),$Y:$Y,0))-K1847,"")</f>
        <v>-0.1857294488</v>
      </c>
      <c r="AC1847" s="168" t="str">
        <f t="shared" si="7"/>
        <v>TOT,2016-17</v>
      </c>
    </row>
    <row r="1848">
      <c r="A1848" s="161" t="str">
        <f>IFERROR(__xludf.DUMMYFUNCTION("""COMPUTED_VALUE"""),"connapa01")</f>
        <v>connapa01</v>
      </c>
      <c r="B1848" s="161" t="str">
        <f>IFERROR(__xludf.DUMMYFUNCTION("""COMPUTED_VALUE"""),"Pat Connaughton")</f>
        <v>Pat Connaughton</v>
      </c>
      <c r="C1848" s="162" t="str">
        <f>IFERROR(__xludf.DUMMYFUNCTION("""COMPUTED_VALUE"""),"2016-17")</f>
        <v>2016-17</v>
      </c>
      <c r="D1848" s="163" t="str">
        <f>IFERROR(__xludf.DUMMYFUNCTION("""COMPUTED_VALUE"""),"POR")</f>
        <v>POR</v>
      </c>
      <c r="E1848" s="164" t="str">
        <f>IFERROR(__xludf.DUMMYFUNCTION("""COMPUTED_VALUE"""),"Movement Shooter")</f>
        <v>Movement Shooter</v>
      </c>
      <c r="F1848" s="164">
        <f>IFERROR(__xludf.DUMMYFUNCTION("""COMPUTED_VALUE"""),315.946666666667)</f>
        <v>315.9466667</v>
      </c>
      <c r="G1848" s="163">
        <f>IFERROR(__xludf.DUMMYFUNCTION("""COMPUTED_VALUE"""),39.0)</f>
        <v>39</v>
      </c>
      <c r="H1848" s="163" t="str">
        <f>IFERROR(__xludf.DUMMYFUNCTION("""COMPUTED_VALUE"""),"SG")</f>
        <v>SG</v>
      </c>
      <c r="I1848" s="163">
        <f>IFERROR(__xludf.DUMMYFUNCTION("""COMPUTED_VALUE"""),24.0)</f>
        <v>24</v>
      </c>
      <c r="J1848" s="165">
        <f>IFERROR(__xludf.DUMMYFUNCTION("""COMPUTED_VALUE"""),-2.10677562153418)</f>
        <v>-2.106775622</v>
      </c>
      <c r="K1848" s="165">
        <f>IFERROR(__xludf.DUMMYFUNCTION("""COMPUTED_VALUE"""),-1.61282475538401)</f>
        <v>-1.612824755</v>
      </c>
      <c r="L1848" s="165">
        <f>IFERROR(__xludf.DUMMYFUNCTION("""COMPUTED_VALUE"""),-0.493950866150174)</f>
        <v>-0.4939508662</v>
      </c>
      <c r="M1848" s="166">
        <f t="shared" si="2"/>
        <v>0.04107105786</v>
      </c>
      <c r="N1848" s="167">
        <f t="shared" si="3"/>
        <v>8.101196581</v>
      </c>
      <c r="O1848" s="163">
        <f t="shared" ref="O1848:Q1848" si="1852">rank(I1848,I:I)</f>
        <v>2361</v>
      </c>
      <c r="P1848" s="163">
        <f t="shared" si="1852"/>
        <v>3556</v>
      </c>
      <c r="Q1848" s="163">
        <f t="shared" si="1852"/>
        <v>3454</v>
      </c>
      <c r="R1848" s="163">
        <f>IFERROR(__xludf.DUMMYFUNCTION("RANK(M1848,filter(M:M,C:C=C1848))"),410.0)</f>
        <v>410</v>
      </c>
      <c r="S1848" s="161" t="b">
        <f t="shared" si="5"/>
        <v>0</v>
      </c>
      <c r="T1848" s="161" t="b">
        <f t="array" ref="T1848">index('Query Tool'!B:B,match(H1848,'Query Tool'!C:C,0))</f>
        <v>1</v>
      </c>
      <c r="U1848" s="161" t="b">
        <f t="array" ref="U1848">index('Query Tool'!B:B,match(C1848,'Query Tool'!C:C,0))</f>
        <v>0</v>
      </c>
      <c r="V1848" s="161" t="b">
        <f>F1848&gt;='Query Tool'!C$32</f>
        <v>0</v>
      </c>
      <c r="W1848" s="161" t="b">
        <f t="array" ref="W1848">index(Dropdowns!B:B,match(I1848,Dropdowns!A:A,0))</f>
        <v>1</v>
      </c>
      <c r="X1848" s="161" t="b">
        <f t="array" ref="X1848">index('Query Tool'!B:B,match(D1848,'Query Tool'!C:C,0))</f>
        <v>1</v>
      </c>
      <c r="Y1848" s="161" t="str">
        <f t="shared" si="6"/>
        <v>connapa01,2016-17</v>
      </c>
      <c r="Z1848" s="168">
        <f t="array" ref="Z1848">iferror(index(I:I,match($A1848&amp;","&amp;index('Year Conversion'!$A:$A,match($C1848,'Year Conversion'!$B:$B,0)),$Y:$Y,0))-I1848,"")</f>
        <v>1</v>
      </c>
      <c r="AA1848" s="168">
        <f t="array" ref="AA1848">iferror(index(J:J,match($A1848&amp;","&amp;index('Year Conversion'!$A:$A,match($C1848,'Year Conversion'!$B:$B,0)),$Y:$Y,0))-J1848,"")</f>
        <v>0.8092381689</v>
      </c>
      <c r="AB1848" s="168">
        <f t="array" ref="AB1848">iferror(index(K:K,match($A1848&amp;","&amp;index('Year Conversion'!$A:$A,match($C1848,'Year Conversion'!$B:$B,0)),$Y:$Y,0))-K1848,"")</f>
        <v>1.03766954</v>
      </c>
      <c r="AC1848" s="168" t="str">
        <f t="shared" si="7"/>
        <v>POR,2016-17</v>
      </c>
    </row>
    <row r="1849">
      <c r="A1849" s="161" t="str">
        <f>IFERROR(__xludf.DUMMYFUNCTION("""COMPUTED_VALUE"""),"hernawi01")</f>
        <v>hernawi01</v>
      </c>
      <c r="B1849" s="161" t="str">
        <f>IFERROR(__xludf.DUMMYFUNCTION("""COMPUTED_VALUE"""),"Willy Hernangomez")</f>
        <v>Willy Hernangomez</v>
      </c>
      <c r="C1849" s="162" t="str">
        <f>IFERROR(__xludf.DUMMYFUNCTION("""COMPUTED_VALUE"""),"2016-17")</f>
        <v>2016-17</v>
      </c>
      <c r="D1849" s="163" t="str">
        <f>IFERROR(__xludf.DUMMYFUNCTION("""COMPUTED_VALUE"""),"NYK")</f>
        <v>NYK</v>
      </c>
      <c r="E1849" s="164" t="str">
        <f>IFERROR(__xludf.DUMMYFUNCTION("""COMPUTED_VALUE"""),"Roll + Cut Big")</f>
        <v>Roll + Cut Big</v>
      </c>
      <c r="F1849" s="164">
        <f>IFERROR(__xludf.DUMMYFUNCTION("""COMPUTED_VALUE"""),1324.41)</f>
        <v>1324.41</v>
      </c>
      <c r="G1849" s="163">
        <f>IFERROR(__xludf.DUMMYFUNCTION("""COMPUTED_VALUE"""),72.0)</f>
        <v>72</v>
      </c>
      <c r="H1849" s="163" t="str">
        <f>IFERROR(__xludf.DUMMYFUNCTION("""COMPUTED_VALUE"""),"C")</f>
        <v>C</v>
      </c>
      <c r="I1849" s="163">
        <f>IFERROR(__xludf.DUMMYFUNCTION("""COMPUTED_VALUE"""),22.0)</f>
        <v>22</v>
      </c>
      <c r="J1849" s="165">
        <f>IFERROR(__xludf.DUMMYFUNCTION("""COMPUTED_VALUE"""),-0.67798012509056)</f>
        <v>-0.6779801251</v>
      </c>
      <c r="K1849" s="165">
        <f>IFERROR(__xludf.DUMMYFUNCTION("""COMPUTED_VALUE"""),-0.123627549062039)</f>
        <v>-0.1236275491</v>
      </c>
      <c r="L1849" s="165">
        <f>IFERROR(__xludf.DUMMYFUNCTION("""COMPUTED_VALUE"""),-0.554352576028521)</f>
        <v>-0.554352576</v>
      </c>
      <c r="M1849" s="166">
        <f t="shared" si="2"/>
        <v>1.436814027</v>
      </c>
      <c r="N1849" s="167">
        <f t="shared" si="3"/>
        <v>18.39458333</v>
      </c>
      <c r="O1849" s="163">
        <f t="shared" ref="O1849:Q1849" si="1853">rank(I1849,I:I)</f>
        <v>3178</v>
      </c>
      <c r="P1849" s="163">
        <f t="shared" si="1853"/>
        <v>2103</v>
      </c>
      <c r="Q1849" s="163">
        <f t="shared" si="1853"/>
        <v>1419</v>
      </c>
      <c r="R1849" s="163">
        <f>IFERROR(__xludf.DUMMYFUNCTION("RANK(M1849,filter(M:M,C:C=C1849))"),193.0)</f>
        <v>193</v>
      </c>
      <c r="S1849" s="161" t="b">
        <f t="shared" si="5"/>
        <v>0</v>
      </c>
      <c r="T1849" s="161" t="b">
        <f t="array" ref="T1849">index('Query Tool'!B:B,match(H1849,'Query Tool'!C:C,0))</f>
        <v>1</v>
      </c>
      <c r="U1849" s="161" t="b">
        <f t="array" ref="U1849">index('Query Tool'!B:B,match(C1849,'Query Tool'!C:C,0))</f>
        <v>0</v>
      </c>
      <c r="V1849" s="161" t="b">
        <f>F1849&gt;='Query Tool'!C$32</f>
        <v>1</v>
      </c>
      <c r="W1849" s="161" t="b">
        <f t="array" ref="W1849">index(Dropdowns!B:B,match(I1849,Dropdowns!A:A,0))</f>
        <v>1</v>
      </c>
      <c r="X1849" s="161" t="b">
        <f t="array" ref="X1849">index('Query Tool'!B:B,match(D1849,'Query Tool'!C:C,0))</f>
        <v>1</v>
      </c>
      <c r="Y1849" s="161" t="str">
        <f t="shared" si="6"/>
        <v>hernawi01,2016-17</v>
      </c>
      <c r="Z1849" s="168">
        <f t="array" ref="Z1849">iferror(index(I:I,match($A1849&amp;","&amp;index('Year Conversion'!$A:$A,match($C1849,'Year Conversion'!$B:$B,0)),$Y:$Y,0))-I1849,"")</f>
        <v>1</v>
      </c>
      <c r="AA1849" s="168">
        <f t="array" ref="AA1849">iferror(index(J:J,match($A1849&amp;","&amp;index('Year Conversion'!$A:$A,match($C1849,'Year Conversion'!$B:$B,0)),$Y:$Y,0))-J1849,"")</f>
        <v>1.493769282</v>
      </c>
      <c r="AB1849" s="168">
        <f t="array" ref="AB1849">iferror(index(K:K,match($A1849&amp;","&amp;index('Year Conversion'!$A:$A,match($C1849,'Year Conversion'!$B:$B,0)),$Y:$Y,0))-K1849,"")</f>
        <v>-0.1011737607</v>
      </c>
      <c r="AC1849" s="168" t="str">
        <f t="shared" si="7"/>
        <v>NYK,2016-17</v>
      </c>
    </row>
    <row r="1850">
      <c r="A1850" s="161" t="str">
        <f>IFERROR(__xludf.DUMMYFUNCTION("""COMPUTED_VALUE"""),"richajo01")</f>
        <v>richajo01</v>
      </c>
      <c r="B1850" s="161" t="str">
        <f>IFERROR(__xludf.DUMMYFUNCTION("""COMPUTED_VALUE"""),"Josh Richardson")</f>
        <v>Josh Richardson</v>
      </c>
      <c r="C1850" s="162" t="str">
        <f>IFERROR(__xludf.DUMMYFUNCTION("""COMPUTED_VALUE"""),"2016-17")</f>
        <v>2016-17</v>
      </c>
      <c r="D1850" s="163" t="str">
        <f>IFERROR(__xludf.DUMMYFUNCTION("""COMPUTED_VALUE"""),"MIA")</f>
        <v>MIA</v>
      </c>
      <c r="E1850" s="164" t="str">
        <f>IFERROR(__xludf.DUMMYFUNCTION("""COMPUTED_VALUE"""),"Secondary Ball Handler")</f>
        <v>Secondary Ball Handler</v>
      </c>
      <c r="F1850" s="164">
        <f>IFERROR(__xludf.DUMMYFUNCTION("""COMPUTED_VALUE"""),1614.355)</f>
        <v>1614.355</v>
      </c>
      <c r="G1850" s="163">
        <f>IFERROR(__xludf.DUMMYFUNCTION("""COMPUTED_VALUE"""),53.0)</f>
        <v>53</v>
      </c>
      <c r="H1850" s="163" t="str">
        <f>IFERROR(__xludf.DUMMYFUNCTION("""COMPUTED_VALUE"""),"SG")</f>
        <v>SG</v>
      </c>
      <c r="I1850" s="163">
        <f>IFERROR(__xludf.DUMMYFUNCTION("""COMPUTED_VALUE"""),23.0)</f>
        <v>23</v>
      </c>
      <c r="J1850" s="165">
        <f>IFERROR(__xludf.DUMMYFUNCTION("""COMPUTED_VALUE"""),-0.613982464332467)</f>
        <v>-0.6139824643</v>
      </c>
      <c r="K1850" s="165">
        <f>IFERROR(__xludf.DUMMYFUNCTION("""COMPUTED_VALUE"""),-0.732251645856219)</f>
        <v>-0.7322516459</v>
      </c>
      <c r="L1850" s="165">
        <f>IFERROR(__xludf.DUMMYFUNCTION("""COMPUTED_VALUE"""),0.118269181523751)</f>
        <v>0.1182691815</v>
      </c>
      <c r="M1850" s="166">
        <f t="shared" si="2"/>
        <v>1.820899746</v>
      </c>
      <c r="N1850" s="167">
        <f t="shared" si="3"/>
        <v>30.4595283</v>
      </c>
      <c r="O1850" s="163">
        <f t="shared" ref="O1850:Q1850" si="1854">rank(I1850,I:I)</f>
        <v>2765</v>
      </c>
      <c r="P1850" s="163">
        <f t="shared" si="1854"/>
        <v>2019</v>
      </c>
      <c r="Q1850" s="163">
        <f t="shared" si="1854"/>
        <v>2457</v>
      </c>
      <c r="R1850" s="163">
        <f>IFERROR(__xludf.DUMMYFUNCTION("RANK(M1850,filter(M:M,C:C=C1850))"),170.0)</f>
        <v>170</v>
      </c>
      <c r="S1850" s="161" t="b">
        <f t="shared" si="5"/>
        <v>0</v>
      </c>
      <c r="T1850" s="161" t="b">
        <f t="array" ref="T1850">index('Query Tool'!B:B,match(H1850,'Query Tool'!C:C,0))</f>
        <v>1</v>
      </c>
      <c r="U1850" s="161" t="b">
        <f t="array" ref="U1850">index('Query Tool'!B:B,match(C1850,'Query Tool'!C:C,0))</f>
        <v>0</v>
      </c>
      <c r="V1850" s="161" t="b">
        <f>F1850&gt;='Query Tool'!C$32</f>
        <v>1</v>
      </c>
      <c r="W1850" s="161" t="b">
        <f t="array" ref="W1850">index(Dropdowns!B:B,match(I1850,Dropdowns!A:A,0))</f>
        <v>1</v>
      </c>
      <c r="X1850" s="161" t="b">
        <f t="array" ref="X1850">index('Query Tool'!B:B,match(D1850,'Query Tool'!C:C,0))</f>
        <v>1</v>
      </c>
      <c r="Y1850" s="161" t="str">
        <f t="shared" si="6"/>
        <v>richajo01,2016-17</v>
      </c>
      <c r="Z1850" s="168">
        <f t="array" ref="Z1850">iferror(index(I:I,match($A1850&amp;","&amp;index('Year Conversion'!$A:$A,match($C1850,'Year Conversion'!$B:$B,0)),$Y:$Y,0))-I1850,"")</f>
        <v>1</v>
      </c>
      <c r="AA1850" s="168">
        <f t="array" ref="AA1850">iferror(index(J:J,match($A1850&amp;","&amp;index('Year Conversion'!$A:$A,match($C1850,'Year Conversion'!$B:$B,0)),$Y:$Y,0))-J1850,"")</f>
        <v>1.335247293</v>
      </c>
      <c r="AB1850" s="168">
        <f t="array" ref="AB1850">iferror(index(K:K,match($A1850&amp;","&amp;index('Year Conversion'!$A:$A,match($C1850,'Year Conversion'!$B:$B,0)),$Y:$Y,0))-K1850,"")</f>
        <v>-0.0169905737</v>
      </c>
      <c r="AC1850" s="168" t="str">
        <f t="shared" si="7"/>
        <v>MIA,2016-17</v>
      </c>
    </row>
    <row r="1851">
      <c r="A1851" s="161" t="str">
        <f>IFERROR(__xludf.DUMMYFUNCTION("""COMPUTED_VALUE"""),"hillida01")</f>
        <v>hillida01</v>
      </c>
      <c r="B1851" s="161" t="str">
        <f>IFERROR(__xludf.DUMMYFUNCTION("""COMPUTED_VALUE"""),"Darrun Hilliard")</f>
        <v>Darrun Hilliard</v>
      </c>
      <c r="C1851" s="162" t="str">
        <f>IFERROR(__xludf.DUMMYFUNCTION("""COMPUTED_VALUE"""),"2016-17")</f>
        <v>2016-17</v>
      </c>
      <c r="D1851" s="163" t="str">
        <f>IFERROR(__xludf.DUMMYFUNCTION("""COMPUTED_VALUE"""),"DET")</f>
        <v>DET</v>
      </c>
      <c r="E1851" s="164" t="str">
        <f>IFERROR(__xludf.DUMMYFUNCTION("""COMPUTED_VALUE"""),"Secondary Ball Handler")</f>
        <v>Secondary Ball Handler</v>
      </c>
      <c r="F1851" s="164">
        <f>IFERROR(__xludf.DUMMYFUNCTION("""COMPUTED_VALUE"""),380.996666666667)</f>
        <v>380.9966667</v>
      </c>
      <c r="G1851" s="163">
        <f>IFERROR(__xludf.DUMMYFUNCTION("""COMPUTED_VALUE"""),39.0)</f>
        <v>39</v>
      </c>
      <c r="H1851" s="163" t="str">
        <f>IFERROR(__xludf.DUMMYFUNCTION("""COMPUTED_VALUE"""),"SG")</f>
        <v>SG</v>
      </c>
      <c r="I1851" s="163">
        <f>IFERROR(__xludf.DUMMYFUNCTION("""COMPUTED_VALUE"""),23.0)</f>
        <v>23</v>
      </c>
      <c r="J1851" s="165">
        <f>IFERROR(__xludf.DUMMYFUNCTION("""COMPUTED_VALUE"""),-2.25130737944977)</f>
        <v>-2.251307379</v>
      </c>
      <c r="K1851" s="165">
        <f>IFERROR(__xludf.DUMMYFUNCTION("""COMPUTED_VALUE"""),-1.95597704811275)</f>
        <v>-1.955977048</v>
      </c>
      <c r="L1851" s="165">
        <f>IFERROR(__xludf.DUMMYFUNCTION("""COMPUTED_VALUE"""),-0.29533033133702)</f>
        <v>-0.2953303313</v>
      </c>
      <c r="M1851" s="166">
        <f t="shared" si="2"/>
        <v>0.01312746082</v>
      </c>
      <c r="N1851" s="167">
        <f t="shared" si="3"/>
        <v>9.769145299</v>
      </c>
      <c r="O1851" s="163">
        <f t="shared" ref="O1851:Q1851" si="1855">rank(I1851,I:I)</f>
        <v>2765</v>
      </c>
      <c r="P1851" s="163">
        <f t="shared" si="1855"/>
        <v>3632</v>
      </c>
      <c r="Q1851" s="163">
        <f t="shared" si="1855"/>
        <v>3692</v>
      </c>
      <c r="R1851" s="163">
        <f>IFERROR(__xludf.DUMMYFUNCTION("RANK(M1851,filter(M:M,C:C=C1851))"),441.0)</f>
        <v>441</v>
      </c>
      <c r="S1851" s="161" t="b">
        <f t="shared" si="5"/>
        <v>0</v>
      </c>
      <c r="T1851" s="161" t="b">
        <f t="array" ref="T1851">index('Query Tool'!B:B,match(H1851,'Query Tool'!C:C,0))</f>
        <v>1</v>
      </c>
      <c r="U1851" s="161" t="b">
        <f t="array" ref="U1851">index('Query Tool'!B:B,match(C1851,'Query Tool'!C:C,0))</f>
        <v>0</v>
      </c>
      <c r="V1851" s="161" t="b">
        <f>F1851&gt;='Query Tool'!C$32</f>
        <v>0</v>
      </c>
      <c r="W1851" s="161" t="b">
        <f t="array" ref="W1851">index(Dropdowns!B:B,match(I1851,Dropdowns!A:A,0))</f>
        <v>1</v>
      </c>
      <c r="X1851" s="161" t="b">
        <f t="array" ref="X1851">index('Query Tool'!B:B,match(D1851,'Query Tool'!C:C,0))</f>
        <v>1</v>
      </c>
      <c r="Y1851" s="161" t="str">
        <f t="shared" si="6"/>
        <v>hillida01,2016-17</v>
      </c>
      <c r="Z1851" s="168">
        <f t="array" ref="Z1851">iferror(index(I:I,match($A1851&amp;","&amp;index('Year Conversion'!$A:$A,match($C1851,'Year Conversion'!$B:$B,0)),$Y:$Y,0))-I1851,"")</f>
        <v>1</v>
      </c>
      <c r="AA1851" s="168">
        <f t="array" ref="AA1851">iferror(index(J:J,match($A1851&amp;","&amp;index('Year Conversion'!$A:$A,match($C1851,'Year Conversion'!$B:$B,0)),$Y:$Y,0))-J1851,"")</f>
        <v>1.213121413</v>
      </c>
      <c r="AB1851" s="168">
        <f t="array" ref="AB1851">iferror(index(K:K,match($A1851&amp;","&amp;index('Year Conversion'!$A:$A,match($C1851,'Year Conversion'!$B:$B,0)),$Y:$Y,0))-K1851,"")</f>
        <v>1.598554957</v>
      </c>
      <c r="AC1851" s="168" t="str">
        <f t="shared" si="7"/>
        <v>DET,2016-17</v>
      </c>
    </row>
    <row r="1852">
      <c r="A1852" s="161" t="str">
        <f>IFERROR(__xludf.DUMMYFUNCTION("""COMPUTED_VALUE"""),"youngjo01")</f>
        <v>youngjo01</v>
      </c>
      <c r="B1852" s="161" t="str">
        <f>IFERROR(__xludf.DUMMYFUNCTION("""COMPUTED_VALUE"""),"Joe Young")</f>
        <v>Joe Young</v>
      </c>
      <c r="C1852" s="162" t="str">
        <f>IFERROR(__xludf.DUMMYFUNCTION("""COMPUTED_VALUE"""),"2016-17")</f>
        <v>2016-17</v>
      </c>
      <c r="D1852" s="163" t="str">
        <f>IFERROR(__xludf.DUMMYFUNCTION("""COMPUTED_VALUE"""),"IND")</f>
        <v>IND</v>
      </c>
      <c r="E1852" s="164" t="str">
        <f>IFERROR(__xludf.DUMMYFUNCTION("""COMPUTED_VALUE"""),"Secondary Ball Handler")</f>
        <v>Secondary Ball Handler</v>
      </c>
      <c r="F1852" s="164">
        <f>IFERROR(__xludf.DUMMYFUNCTION("""COMPUTED_VALUE"""),135.163333333333)</f>
        <v>135.1633333</v>
      </c>
      <c r="G1852" s="163">
        <f>IFERROR(__xludf.DUMMYFUNCTION("""COMPUTED_VALUE"""),33.0)</f>
        <v>33</v>
      </c>
      <c r="H1852" s="163" t="str">
        <f>IFERROR(__xludf.DUMMYFUNCTION("""COMPUTED_VALUE"""),"PG")</f>
        <v>PG</v>
      </c>
      <c r="I1852" s="163">
        <f>IFERROR(__xludf.DUMMYFUNCTION("""COMPUTED_VALUE"""),24.0)</f>
        <v>24</v>
      </c>
      <c r="J1852" s="165">
        <f>IFERROR(__xludf.DUMMYFUNCTION("""COMPUTED_VALUE"""),-0.886733241559075)</f>
        <v>-0.8867332416</v>
      </c>
      <c r="K1852" s="165">
        <f>IFERROR(__xludf.DUMMYFUNCTION("""COMPUTED_VALUE"""),-0.124157099307846)</f>
        <v>-0.1241570993</v>
      </c>
      <c r="L1852" s="165">
        <f>IFERROR(__xludf.DUMMYFUNCTION("""COMPUTED_VALUE"""),-0.762576142251229)</f>
        <v>-0.7625761423</v>
      </c>
      <c r="M1852" s="166">
        <f t="shared" si="2"/>
        <v>0.1276607279</v>
      </c>
      <c r="N1852" s="167">
        <f t="shared" si="3"/>
        <v>4.095858586</v>
      </c>
      <c r="O1852" s="163">
        <f t="shared" ref="O1852:Q1852" si="1856">rank(I1852,I:I)</f>
        <v>2361</v>
      </c>
      <c r="P1852" s="163">
        <f t="shared" si="1856"/>
        <v>2377</v>
      </c>
      <c r="Q1852" s="163">
        <f t="shared" si="1856"/>
        <v>1421</v>
      </c>
      <c r="R1852" s="163">
        <f>IFERROR(__xludf.DUMMYFUNCTION("RANK(M1852,filter(M:M,C:C=C1852))"),366.0)</f>
        <v>366</v>
      </c>
      <c r="S1852" s="161" t="b">
        <f t="shared" si="5"/>
        <v>0</v>
      </c>
      <c r="T1852" s="161" t="b">
        <f t="array" ref="T1852">index('Query Tool'!B:B,match(H1852,'Query Tool'!C:C,0))</f>
        <v>1</v>
      </c>
      <c r="U1852" s="161" t="b">
        <f t="array" ref="U1852">index('Query Tool'!B:B,match(C1852,'Query Tool'!C:C,0))</f>
        <v>0</v>
      </c>
      <c r="V1852" s="161" t="b">
        <f>F1852&gt;='Query Tool'!C$32</f>
        <v>0</v>
      </c>
      <c r="W1852" s="161" t="b">
        <f t="array" ref="W1852">index(Dropdowns!B:B,match(I1852,Dropdowns!A:A,0))</f>
        <v>1</v>
      </c>
      <c r="X1852" s="161" t="b">
        <f t="array" ref="X1852">index('Query Tool'!B:B,match(D1852,'Query Tool'!C:C,0))</f>
        <v>1</v>
      </c>
      <c r="Y1852" s="161" t="str">
        <f t="shared" si="6"/>
        <v>youngjo01,2016-17</v>
      </c>
      <c r="Z1852" s="168">
        <f t="array" ref="Z1852">iferror(index(I:I,match($A1852&amp;","&amp;index('Year Conversion'!$A:$A,match($C1852,'Year Conversion'!$B:$B,0)),$Y:$Y,0))-I1852,"")</f>
        <v>1</v>
      </c>
      <c r="AA1852" s="168">
        <f t="array" ref="AA1852">iferror(index(J:J,match($A1852&amp;","&amp;index('Year Conversion'!$A:$A,match($C1852,'Year Conversion'!$B:$B,0)),$Y:$Y,0))-J1852,"")</f>
        <v>-2.626704483</v>
      </c>
      <c r="AB1852" s="168">
        <f t="array" ref="AB1852">iferror(index(K:K,match($A1852&amp;","&amp;index('Year Conversion'!$A:$A,match($C1852,'Year Conversion'!$B:$B,0)),$Y:$Y,0))-K1852,"")</f>
        <v>-1.404104621</v>
      </c>
      <c r="AC1852" s="168" t="str">
        <f t="shared" si="7"/>
        <v>IND,2016-17</v>
      </c>
    </row>
    <row r="1853">
      <c r="A1853" s="161" t="str">
        <f>IFERROR(__xludf.DUMMYFUNCTION("""COMPUTED_VALUE"""),"grahatr01")</f>
        <v>grahatr01</v>
      </c>
      <c r="B1853" s="161" t="str">
        <f>IFERROR(__xludf.DUMMYFUNCTION("""COMPUTED_VALUE"""),"Treveon Graham")</f>
        <v>Treveon Graham</v>
      </c>
      <c r="C1853" s="162" t="str">
        <f>IFERROR(__xludf.DUMMYFUNCTION("""COMPUTED_VALUE"""),"2016-17")</f>
        <v>2016-17</v>
      </c>
      <c r="D1853" s="163" t="str">
        <f>IFERROR(__xludf.DUMMYFUNCTION("""COMPUTED_VALUE"""),"CHO")</f>
        <v>CHO</v>
      </c>
      <c r="E1853" s="164" t="str">
        <f>IFERROR(__xludf.DUMMYFUNCTION("""COMPUTED_VALUE"""),"Movement Shooter")</f>
        <v>Movement Shooter</v>
      </c>
      <c r="F1853" s="164">
        <f>IFERROR(__xludf.DUMMYFUNCTION("""COMPUTED_VALUE"""),188.903333333333)</f>
        <v>188.9033333</v>
      </c>
      <c r="G1853" s="163">
        <f>IFERROR(__xludf.DUMMYFUNCTION("""COMPUTED_VALUE"""),27.0)</f>
        <v>27</v>
      </c>
      <c r="H1853" s="163" t="str">
        <f>IFERROR(__xludf.DUMMYFUNCTION("""COMPUTED_VALUE"""),"SG")</f>
        <v>SG</v>
      </c>
      <c r="I1853" s="163">
        <f>IFERROR(__xludf.DUMMYFUNCTION("""COMPUTED_VALUE"""),23.0)</f>
        <v>23</v>
      </c>
      <c r="J1853" s="165">
        <f>IFERROR(__xludf.DUMMYFUNCTION("""COMPUTED_VALUE"""),-1.98164719329499)</f>
        <v>-1.981647193</v>
      </c>
      <c r="K1853" s="165">
        <f>IFERROR(__xludf.DUMMYFUNCTION("""COMPUTED_VALUE"""),-1.55106557628813)</f>
        <v>-1.551065576</v>
      </c>
      <c r="L1853" s="165">
        <f>IFERROR(__xludf.DUMMYFUNCTION("""COMPUTED_VALUE"""),-0.430581617006862)</f>
        <v>-0.430581617</v>
      </c>
      <c r="M1853" s="166">
        <f t="shared" si="2"/>
        <v>0.04021774912</v>
      </c>
      <c r="N1853" s="167">
        <f t="shared" si="3"/>
        <v>6.996419753</v>
      </c>
      <c r="O1853" s="163">
        <f t="shared" ref="O1853:Q1853" si="1857">rank(I1853,I:I)</f>
        <v>2765</v>
      </c>
      <c r="P1853" s="163">
        <f t="shared" si="1857"/>
        <v>3468</v>
      </c>
      <c r="Q1853" s="163">
        <f t="shared" si="1857"/>
        <v>3403</v>
      </c>
      <c r="R1853" s="163">
        <f>IFERROR(__xludf.DUMMYFUNCTION("RANK(M1853,filter(M:M,C:C=C1853))"),411.0)</f>
        <v>411</v>
      </c>
      <c r="S1853" s="161" t="b">
        <f t="shared" si="5"/>
        <v>0</v>
      </c>
      <c r="T1853" s="161" t="b">
        <f t="array" ref="T1853">index('Query Tool'!B:B,match(H1853,'Query Tool'!C:C,0))</f>
        <v>1</v>
      </c>
      <c r="U1853" s="161" t="b">
        <f t="array" ref="U1853">index('Query Tool'!B:B,match(C1853,'Query Tool'!C:C,0))</f>
        <v>0</v>
      </c>
      <c r="V1853" s="161" t="b">
        <f>F1853&gt;='Query Tool'!C$32</f>
        <v>0</v>
      </c>
      <c r="W1853" s="161" t="b">
        <f t="array" ref="W1853">index(Dropdowns!B:B,match(I1853,Dropdowns!A:A,0))</f>
        <v>1</v>
      </c>
      <c r="X1853" s="161" t="b">
        <f t="array" ref="X1853">index('Query Tool'!B:B,match(D1853,'Query Tool'!C:C,0))</f>
        <v>1</v>
      </c>
      <c r="Y1853" s="161" t="str">
        <f t="shared" si="6"/>
        <v>grahatr01,2016-17</v>
      </c>
      <c r="Z1853" s="168">
        <f t="array" ref="Z1853">iferror(index(I:I,match($A1853&amp;","&amp;index('Year Conversion'!$A:$A,match($C1853,'Year Conversion'!$B:$B,0)),$Y:$Y,0))-I1853,"")</f>
        <v>1</v>
      </c>
      <c r="AA1853" s="168">
        <f t="array" ref="AA1853">iferror(index(J:J,match($A1853&amp;","&amp;index('Year Conversion'!$A:$A,match($C1853,'Year Conversion'!$B:$B,0)),$Y:$Y,0))-J1853,"")</f>
        <v>-0.1895938744</v>
      </c>
      <c r="AB1853" s="168">
        <f t="array" ref="AB1853">iferror(index(K:K,match($A1853&amp;","&amp;index('Year Conversion'!$A:$A,match($C1853,'Year Conversion'!$B:$B,0)),$Y:$Y,0))-K1853,"")</f>
        <v>-0.4037313012</v>
      </c>
      <c r="AC1853" s="168" t="str">
        <f t="shared" si="7"/>
        <v>CHO,2016-17</v>
      </c>
    </row>
    <row r="1854">
      <c r="A1854" s="161" t="str">
        <f>IFERROR(__xludf.DUMMYFUNCTION("""COMPUTED_VALUE"""),"nancela02")</f>
        <v>nancela02</v>
      </c>
      <c r="B1854" s="161" t="str">
        <f>IFERROR(__xludf.DUMMYFUNCTION("""COMPUTED_VALUE"""),"Larry Nance Jr.")</f>
        <v>Larry Nance Jr.</v>
      </c>
      <c r="C1854" s="162" t="str">
        <f>IFERROR(__xludf.DUMMYFUNCTION("""COMPUTED_VALUE"""),"2016-17")</f>
        <v>2016-17</v>
      </c>
      <c r="D1854" s="163" t="str">
        <f>IFERROR(__xludf.DUMMYFUNCTION("""COMPUTED_VALUE"""),"LAL")</f>
        <v>LAL</v>
      </c>
      <c r="E1854" s="164" t="str">
        <f>IFERROR(__xludf.DUMMYFUNCTION("""COMPUTED_VALUE"""),"Roll + Cut Big")</f>
        <v>Roll + Cut Big</v>
      </c>
      <c r="F1854" s="164">
        <f>IFERROR(__xludf.DUMMYFUNCTION("""COMPUTED_VALUE"""),1441.84)</f>
        <v>1441.84</v>
      </c>
      <c r="G1854" s="163">
        <f>IFERROR(__xludf.DUMMYFUNCTION("""COMPUTED_VALUE"""),63.0)</f>
        <v>63</v>
      </c>
      <c r="H1854" s="163" t="str">
        <f>IFERROR(__xludf.DUMMYFUNCTION("""COMPUTED_VALUE"""),"PF")</f>
        <v>PF</v>
      </c>
      <c r="I1854" s="163">
        <f>IFERROR(__xludf.DUMMYFUNCTION("""COMPUTED_VALUE"""),24.0)</f>
        <v>24</v>
      </c>
      <c r="J1854" s="165">
        <f>IFERROR(__xludf.DUMMYFUNCTION("""COMPUTED_VALUE"""),0.267358916789486)</f>
        <v>0.2673589168</v>
      </c>
      <c r="K1854" s="165">
        <f>IFERROR(__xludf.DUMMYFUNCTION("""COMPUTED_VALUE"""),-0.996993707009622)</f>
        <v>-0.996993707</v>
      </c>
      <c r="L1854" s="165">
        <f>IFERROR(__xludf.DUMMYFUNCTION("""COMPUTED_VALUE"""),1.26435262379911)</f>
        <v>1.264352624</v>
      </c>
      <c r="M1854" s="166">
        <f t="shared" si="2"/>
        <v>2.482703472</v>
      </c>
      <c r="N1854" s="167">
        <f t="shared" si="3"/>
        <v>22.88634921</v>
      </c>
      <c r="O1854" s="163">
        <f t="shared" ref="O1854:Q1854" si="1858">rank(I1854,I:I)</f>
        <v>2361</v>
      </c>
      <c r="P1854" s="163">
        <f t="shared" si="1858"/>
        <v>1043</v>
      </c>
      <c r="Q1854" s="163">
        <f t="shared" si="1858"/>
        <v>2798</v>
      </c>
      <c r="R1854" s="163">
        <f>IFERROR(__xludf.DUMMYFUNCTION("RANK(M1854,filter(M:M,C:C=C1854))"),132.0)</f>
        <v>132</v>
      </c>
      <c r="S1854" s="161" t="b">
        <f t="shared" si="5"/>
        <v>0</v>
      </c>
      <c r="T1854" s="161" t="b">
        <f t="array" ref="T1854">index('Query Tool'!B:B,match(H1854,'Query Tool'!C:C,0))</f>
        <v>1</v>
      </c>
      <c r="U1854" s="161" t="b">
        <f t="array" ref="U1854">index('Query Tool'!B:B,match(C1854,'Query Tool'!C:C,0))</f>
        <v>0</v>
      </c>
      <c r="V1854" s="161" t="b">
        <f>F1854&gt;='Query Tool'!C$32</f>
        <v>1</v>
      </c>
      <c r="W1854" s="161" t="b">
        <f t="array" ref="W1854">index(Dropdowns!B:B,match(I1854,Dropdowns!A:A,0))</f>
        <v>1</v>
      </c>
      <c r="X1854" s="161" t="b">
        <f t="array" ref="X1854">index('Query Tool'!B:B,match(D1854,'Query Tool'!C:C,0))</f>
        <v>1</v>
      </c>
      <c r="Y1854" s="161" t="str">
        <f t="shared" si="6"/>
        <v>nancela02,2016-17</v>
      </c>
      <c r="Z1854" s="168">
        <f t="array" ref="Z1854">iferror(index(I:I,match($A1854&amp;","&amp;index('Year Conversion'!$A:$A,match($C1854,'Year Conversion'!$B:$B,0)),$Y:$Y,0))-I1854,"")</f>
        <v>1</v>
      </c>
      <c r="AA1854" s="168">
        <f t="array" ref="AA1854">iferror(index(J:J,match($A1854&amp;","&amp;index('Year Conversion'!$A:$A,match($C1854,'Year Conversion'!$B:$B,0)),$Y:$Y,0))-J1854,"")</f>
        <v>1.333878025</v>
      </c>
      <c r="AB1854" s="168">
        <f t="array" ref="AB1854">iferror(index(K:K,match($A1854&amp;","&amp;index('Year Conversion'!$A:$A,match($C1854,'Year Conversion'!$B:$B,0)),$Y:$Y,0))-K1854,"")</f>
        <v>0.9937201625</v>
      </c>
      <c r="AC1854" s="168" t="str">
        <f t="shared" si="7"/>
        <v>LAL,2016-17</v>
      </c>
    </row>
    <row r="1855">
      <c r="A1855" s="161" t="str">
        <f>IFERROR(__xludf.DUMMYFUNCTION("""COMPUTED_VALUE"""),"hezonma01")</f>
        <v>hezonma01</v>
      </c>
      <c r="B1855" s="161" t="str">
        <f>IFERROR(__xludf.DUMMYFUNCTION("""COMPUTED_VALUE"""),"Mario Hezonja")</f>
        <v>Mario Hezonja</v>
      </c>
      <c r="C1855" s="162" t="str">
        <f>IFERROR(__xludf.DUMMYFUNCTION("""COMPUTED_VALUE"""),"2016-17")</f>
        <v>2016-17</v>
      </c>
      <c r="D1855" s="163" t="str">
        <f>IFERROR(__xludf.DUMMYFUNCTION("""COMPUTED_VALUE"""),"ORL")</f>
        <v>ORL</v>
      </c>
      <c r="E1855" s="164" t="str">
        <f>IFERROR(__xludf.DUMMYFUNCTION("""COMPUTED_VALUE"""),"Stationary Shooter")</f>
        <v>Stationary Shooter</v>
      </c>
      <c r="F1855" s="164">
        <f>IFERROR(__xludf.DUMMYFUNCTION("""COMPUTED_VALUE"""),960.283333333333)</f>
        <v>960.2833333</v>
      </c>
      <c r="G1855" s="163">
        <f>IFERROR(__xludf.DUMMYFUNCTION("""COMPUTED_VALUE"""),65.0)</f>
        <v>65</v>
      </c>
      <c r="H1855" s="163" t="str">
        <f>IFERROR(__xludf.DUMMYFUNCTION("""COMPUTED_VALUE"""),"SF")</f>
        <v>SF</v>
      </c>
      <c r="I1855" s="163">
        <f>IFERROR(__xludf.DUMMYFUNCTION("""COMPUTED_VALUE"""),21.0)</f>
        <v>21</v>
      </c>
      <c r="J1855" s="165">
        <f>IFERROR(__xludf.DUMMYFUNCTION("""COMPUTED_VALUE"""),-3.65131710955732)</f>
        <v>-3.65131711</v>
      </c>
      <c r="K1855" s="165">
        <f>IFERROR(__xludf.DUMMYFUNCTION("""COMPUTED_VALUE"""),-2.72731676659229)</f>
        <v>-2.727316767</v>
      </c>
      <c r="L1855" s="165">
        <f>IFERROR(__xludf.DUMMYFUNCTION("""COMPUTED_VALUE"""),-0.924000342965025)</f>
        <v>-0.924000343</v>
      </c>
      <c r="M1855" s="166">
        <f t="shared" si="2"/>
        <v>-0.8406422595</v>
      </c>
      <c r="N1855" s="167">
        <f t="shared" si="3"/>
        <v>14.77358974</v>
      </c>
      <c r="O1855" s="163">
        <f t="shared" ref="O1855:Q1855" si="1859">rank(I1855,I:I)</f>
        <v>3528</v>
      </c>
      <c r="P1855" s="163">
        <f t="shared" si="1859"/>
        <v>3979</v>
      </c>
      <c r="Q1855" s="163">
        <f t="shared" si="1859"/>
        <v>3941</v>
      </c>
      <c r="R1855" s="163">
        <f>IFERROR(__xludf.DUMMYFUNCTION("RANK(M1855,filter(M:M,C:C=C1855))"),480.0)</f>
        <v>480</v>
      </c>
      <c r="S1855" s="161" t="b">
        <f t="shared" si="5"/>
        <v>0</v>
      </c>
      <c r="T1855" s="161" t="b">
        <f t="array" ref="T1855">index('Query Tool'!B:B,match(H1855,'Query Tool'!C:C,0))</f>
        <v>1</v>
      </c>
      <c r="U1855" s="161" t="b">
        <f t="array" ref="U1855">index('Query Tool'!B:B,match(C1855,'Query Tool'!C:C,0))</f>
        <v>0</v>
      </c>
      <c r="V1855" s="161" t="b">
        <f>F1855&gt;='Query Tool'!C$32</f>
        <v>1</v>
      </c>
      <c r="W1855" s="161" t="b">
        <f t="array" ref="W1855">index(Dropdowns!B:B,match(I1855,Dropdowns!A:A,0))</f>
        <v>1</v>
      </c>
      <c r="X1855" s="161" t="b">
        <f t="array" ref="X1855">index('Query Tool'!B:B,match(D1855,'Query Tool'!C:C,0))</f>
        <v>1</v>
      </c>
      <c r="Y1855" s="161" t="str">
        <f t="shared" si="6"/>
        <v>hezonma01,2016-17</v>
      </c>
      <c r="Z1855" s="168">
        <f t="array" ref="Z1855">iferror(index(I:I,match($A1855&amp;","&amp;index('Year Conversion'!$A:$A,match($C1855,'Year Conversion'!$B:$B,0)),$Y:$Y,0))-I1855,"")</f>
        <v>1</v>
      </c>
      <c r="AA1855" s="168">
        <f t="array" ref="AA1855">iferror(index(J:J,match($A1855&amp;","&amp;index('Year Conversion'!$A:$A,match($C1855,'Year Conversion'!$B:$B,0)),$Y:$Y,0))-J1855,"")</f>
        <v>2.157917969</v>
      </c>
      <c r="AB1855" s="168">
        <f t="array" ref="AB1855">iferror(index(K:K,match($A1855&amp;","&amp;index('Year Conversion'!$A:$A,match($C1855,'Year Conversion'!$B:$B,0)),$Y:$Y,0))-K1855,"")</f>
        <v>1.966392292</v>
      </c>
      <c r="AC1855" s="168" t="str">
        <f t="shared" si="7"/>
        <v>ORL,2016-17</v>
      </c>
    </row>
    <row r="1856">
      <c r="A1856" s="161" t="str">
        <f>IFERROR(__xludf.DUMMYFUNCTION("""COMPUTED_VALUE"""),"willial03")</f>
        <v>willial03</v>
      </c>
      <c r="B1856" s="161" t="str">
        <f>IFERROR(__xludf.DUMMYFUNCTION("""COMPUTED_VALUE"""),"Alan Williams")</f>
        <v>Alan Williams</v>
      </c>
      <c r="C1856" s="162" t="str">
        <f>IFERROR(__xludf.DUMMYFUNCTION("""COMPUTED_VALUE"""),"2016-17")</f>
        <v>2016-17</v>
      </c>
      <c r="D1856" s="163" t="str">
        <f>IFERROR(__xludf.DUMMYFUNCTION("""COMPUTED_VALUE"""),"PHO")</f>
        <v>PHO</v>
      </c>
      <c r="E1856" s="164" t="str">
        <f>IFERROR(__xludf.DUMMYFUNCTION("""COMPUTED_VALUE"""),"Post Scorer")</f>
        <v>Post Scorer</v>
      </c>
      <c r="F1856" s="164">
        <f>IFERROR(__xludf.DUMMYFUNCTION("""COMPUTED_VALUE"""),707.713333333333)</f>
        <v>707.7133333</v>
      </c>
      <c r="G1856" s="163">
        <f>IFERROR(__xludf.DUMMYFUNCTION("""COMPUTED_VALUE"""),47.0)</f>
        <v>47</v>
      </c>
      <c r="H1856" s="163" t="str">
        <f>IFERROR(__xludf.DUMMYFUNCTION("""COMPUTED_VALUE"""),"C")</f>
        <v>C</v>
      </c>
      <c r="I1856" s="163">
        <f>IFERROR(__xludf.DUMMYFUNCTION("""COMPUTED_VALUE"""),24.0)</f>
        <v>24</v>
      </c>
      <c r="J1856" s="165">
        <f>IFERROR(__xludf.DUMMYFUNCTION("""COMPUTED_VALUE"""),1.84842880463066)</f>
        <v>1.848428805</v>
      </c>
      <c r="K1856" s="165">
        <f>IFERROR(__xludf.DUMMYFUNCTION("""COMPUTED_VALUE"""),0.473799710149064)</f>
        <v>0.4737997101</v>
      </c>
      <c r="L1856" s="165">
        <f>IFERROR(__xludf.DUMMYFUNCTION("""COMPUTED_VALUE"""),1.3746290944816)</f>
        <v>1.374629094</v>
      </c>
      <c r="M1856" s="166">
        <f t="shared" si="2"/>
        <v>1.968842245</v>
      </c>
      <c r="N1856" s="167">
        <f t="shared" si="3"/>
        <v>15.0577305</v>
      </c>
      <c r="O1856" s="163">
        <f t="shared" ref="O1856:Q1856" si="1860">rank(I1856,I:I)</f>
        <v>2361</v>
      </c>
      <c r="P1856" s="163">
        <f t="shared" si="1860"/>
        <v>359</v>
      </c>
      <c r="Q1856" s="163">
        <f t="shared" si="1860"/>
        <v>780</v>
      </c>
      <c r="R1856" s="163">
        <f>IFERROR(__xludf.DUMMYFUNCTION("RANK(M1856,filter(M:M,C:C=C1856))"),163.0)</f>
        <v>163</v>
      </c>
      <c r="S1856" s="161" t="b">
        <f t="shared" si="5"/>
        <v>0</v>
      </c>
      <c r="T1856" s="161" t="b">
        <f t="array" ref="T1856">index('Query Tool'!B:B,match(H1856,'Query Tool'!C:C,0))</f>
        <v>1</v>
      </c>
      <c r="U1856" s="161" t="b">
        <f t="array" ref="U1856">index('Query Tool'!B:B,match(C1856,'Query Tool'!C:C,0))</f>
        <v>0</v>
      </c>
      <c r="V1856" s="161" t="b">
        <f>F1856&gt;='Query Tool'!C$32</f>
        <v>1</v>
      </c>
      <c r="W1856" s="161" t="b">
        <f t="array" ref="W1856">index(Dropdowns!B:B,match(I1856,Dropdowns!A:A,0))</f>
        <v>1</v>
      </c>
      <c r="X1856" s="161" t="b">
        <f t="array" ref="X1856">index('Query Tool'!B:B,match(D1856,'Query Tool'!C:C,0))</f>
        <v>1</v>
      </c>
      <c r="Y1856" s="161" t="str">
        <f t="shared" si="6"/>
        <v>willial03,2016-17</v>
      </c>
      <c r="Z1856" s="168">
        <f t="array" ref="Z1856">iferror(index(I:I,match($A1856&amp;","&amp;index('Year Conversion'!$A:$A,match($C1856,'Year Conversion'!$B:$B,0)),$Y:$Y,0))-I1856,"")</f>
        <v>1</v>
      </c>
      <c r="AA1856" s="168">
        <f t="array" ref="AA1856">iferror(index(J:J,match($A1856&amp;","&amp;index('Year Conversion'!$A:$A,match($C1856,'Year Conversion'!$B:$B,0)),$Y:$Y,0))-J1856,"")</f>
        <v>-1.491297933</v>
      </c>
      <c r="AB1856" s="168">
        <f t="array" ref="AB1856">iferror(index(K:K,match($A1856&amp;","&amp;index('Year Conversion'!$A:$A,match($C1856,'Year Conversion'!$B:$B,0)),$Y:$Y,0))-K1856,"")</f>
        <v>-0.8670969233</v>
      </c>
      <c r="AC1856" s="168" t="str">
        <f t="shared" si="7"/>
        <v>PHO,2016-17</v>
      </c>
    </row>
    <row r="1857">
      <c r="A1857" s="161" t="str">
        <f>IFERROR(__xludf.DUMMYFUNCTION("""COMPUTED_VALUE"""),"feliccr01")</f>
        <v>feliccr01</v>
      </c>
      <c r="B1857" s="161" t="str">
        <f>IFERROR(__xludf.DUMMYFUNCTION("""COMPUTED_VALUE"""),"Cristiano Felicio")</f>
        <v>Cristiano Felicio</v>
      </c>
      <c r="C1857" s="162" t="str">
        <f>IFERROR(__xludf.DUMMYFUNCTION("""COMPUTED_VALUE"""),"2016-17")</f>
        <v>2016-17</v>
      </c>
      <c r="D1857" s="163" t="str">
        <f>IFERROR(__xludf.DUMMYFUNCTION("""COMPUTED_VALUE"""),"CHI")</f>
        <v>CHI</v>
      </c>
      <c r="E1857" s="164" t="str">
        <f>IFERROR(__xludf.DUMMYFUNCTION("""COMPUTED_VALUE"""),"Roll + Cut Big")</f>
        <v>Roll + Cut Big</v>
      </c>
      <c r="F1857" s="164">
        <f>IFERROR(__xludf.DUMMYFUNCTION("""COMPUTED_VALUE"""),1040.07333333333)</f>
        <v>1040.073333</v>
      </c>
      <c r="G1857" s="163">
        <f>IFERROR(__xludf.DUMMYFUNCTION("""COMPUTED_VALUE"""),66.0)</f>
        <v>66</v>
      </c>
      <c r="H1857" s="163" t="str">
        <f>IFERROR(__xludf.DUMMYFUNCTION("""COMPUTED_VALUE"""),"C")</f>
        <v>C</v>
      </c>
      <c r="I1857" s="163">
        <f>IFERROR(__xludf.DUMMYFUNCTION("""COMPUTED_VALUE"""),24.0)</f>
        <v>24</v>
      </c>
      <c r="J1857" s="165">
        <f>IFERROR(__xludf.DUMMYFUNCTION("""COMPUTED_VALUE"""),-1.37579780224346)</f>
        <v>-1.375797802</v>
      </c>
      <c r="K1857" s="165">
        <f>IFERROR(__xludf.DUMMYFUNCTION("""COMPUTED_VALUE"""),-0.954505473959752)</f>
        <v>-0.954505474</v>
      </c>
      <c r="L1857" s="165">
        <f>IFERROR(__xludf.DUMMYFUNCTION("""COMPUTED_VALUE"""),-0.421292328283712)</f>
        <v>-0.4212923283</v>
      </c>
      <c r="M1857" s="166">
        <f t="shared" si="2"/>
        <v>0.6412562822</v>
      </c>
      <c r="N1857" s="167">
        <f t="shared" si="3"/>
        <v>15.75868687</v>
      </c>
      <c r="O1857" s="163">
        <f t="shared" ref="O1857:Q1857" si="1861">rank(I1857,I:I)</f>
        <v>2361</v>
      </c>
      <c r="P1857" s="163">
        <f t="shared" si="1861"/>
        <v>2931</v>
      </c>
      <c r="Q1857" s="163">
        <f t="shared" si="1861"/>
        <v>2750</v>
      </c>
      <c r="R1857" s="163">
        <f>IFERROR(__xludf.DUMMYFUNCTION("RANK(M1857,filter(M:M,C:C=C1857))"),262.0)</f>
        <v>262</v>
      </c>
      <c r="S1857" s="161" t="b">
        <f t="shared" si="5"/>
        <v>0</v>
      </c>
      <c r="T1857" s="161" t="b">
        <f t="array" ref="T1857">index('Query Tool'!B:B,match(H1857,'Query Tool'!C:C,0))</f>
        <v>1</v>
      </c>
      <c r="U1857" s="161" t="b">
        <f t="array" ref="U1857">index('Query Tool'!B:B,match(C1857,'Query Tool'!C:C,0))</f>
        <v>0</v>
      </c>
      <c r="V1857" s="161" t="b">
        <f>F1857&gt;='Query Tool'!C$32</f>
        <v>1</v>
      </c>
      <c r="W1857" s="161" t="b">
        <f t="array" ref="W1857">index(Dropdowns!B:B,match(I1857,Dropdowns!A:A,0))</f>
        <v>1</v>
      </c>
      <c r="X1857" s="161" t="b">
        <f t="array" ref="X1857">index('Query Tool'!B:B,match(D1857,'Query Tool'!C:C,0))</f>
        <v>1</v>
      </c>
      <c r="Y1857" s="161" t="str">
        <f t="shared" si="6"/>
        <v>feliccr01,2016-17</v>
      </c>
      <c r="Z1857" s="168">
        <f t="array" ref="Z1857">iferror(index(I:I,match($A1857&amp;","&amp;index('Year Conversion'!$A:$A,match($C1857,'Year Conversion'!$B:$B,0)),$Y:$Y,0))-I1857,"")</f>
        <v>1</v>
      </c>
      <c r="AA1857" s="168">
        <f t="array" ref="AA1857">iferror(index(J:J,match($A1857&amp;","&amp;index('Year Conversion'!$A:$A,match($C1857,'Year Conversion'!$B:$B,0)),$Y:$Y,0))-J1857,"")</f>
        <v>-2.579750529</v>
      </c>
      <c r="AB1857" s="168">
        <f t="array" ref="AB1857">iferror(index(K:K,match($A1857&amp;","&amp;index('Year Conversion'!$A:$A,match($C1857,'Year Conversion'!$B:$B,0)),$Y:$Y,0))-K1857,"")</f>
        <v>-2.162796662</v>
      </c>
      <c r="AC1857" s="168" t="str">
        <f t="shared" si="7"/>
        <v>CHI,2016-17</v>
      </c>
    </row>
    <row r="1858">
      <c r="A1858" s="161" t="str">
        <f>IFERROR(__xludf.DUMMYFUNCTION("""COMPUTED_VALUE"""),"marjabo01")</f>
        <v>marjabo01</v>
      </c>
      <c r="B1858" s="161" t="str">
        <f>IFERROR(__xludf.DUMMYFUNCTION("""COMPUTED_VALUE"""),"Boban Marjanovic")</f>
        <v>Boban Marjanovic</v>
      </c>
      <c r="C1858" s="162" t="str">
        <f>IFERROR(__xludf.DUMMYFUNCTION("""COMPUTED_VALUE"""),"2016-17")</f>
        <v>2016-17</v>
      </c>
      <c r="D1858" s="163" t="str">
        <f>IFERROR(__xludf.DUMMYFUNCTION("""COMPUTED_VALUE"""),"DET")</f>
        <v>DET</v>
      </c>
      <c r="E1858" s="164" t="str">
        <f>IFERROR(__xludf.DUMMYFUNCTION("""COMPUTED_VALUE"""),"Post Scorer")</f>
        <v>Post Scorer</v>
      </c>
      <c r="F1858" s="164">
        <f>IFERROR(__xludf.DUMMYFUNCTION("""COMPUTED_VALUE"""),293.27)</f>
        <v>293.27</v>
      </c>
      <c r="G1858" s="163">
        <f>IFERROR(__xludf.DUMMYFUNCTION("""COMPUTED_VALUE"""),35.0)</f>
        <v>35</v>
      </c>
      <c r="H1858" s="163" t="str">
        <f>IFERROR(__xludf.DUMMYFUNCTION("""COMPUTED_VALUE"""),"C")</f>
        <v>C</v>
      </c>
      <c r="I1858" s="163">
        <f>IFERROR(__xludf.DUMMYFUNCTION("""COMPUTED_VALUE"""),28.0)</f>
        <v>28</v>
      </c>
      <c r="J1858" s="165">
        <f>IFERROR(__xludf.DUMMYFUNCTION("""COMPUTED_VALUE"""),2.43095833201182)</f>
        <v>2.430958332</v>
      </c>
      <c r="K1858" s="165">
        <f>IFERROR(__xludf.DUMMYFUNCTION("""COMPUTED_VALUE"""),1.48939105196232)</f>
        <v>1.489391052</v>
      </c>
      <c r="L1858" s="165">
        <f>IFERROR(__xludf.DUMMYFUNCTION("""COMPUTED_VALUE"""),0.941567280049498)</f>
        <v>0.94156728</v>
      </c>
      <c r="M1858" s="166">
        <f t="shared" si="2"/>
        <v>0.928865351</v>
      </c>
      <c r="N1858" s="167">
        <f t="shared" si="3"/>
        <v>8.379142857</v>
      </c>
      <c r="O1858" s="163">
        <f t="shared" ref="O1858:Q1858" si="1862">rank(I1858,I:I)</f>
        <v>1090</v>
      </c>
      <c r="P1858" s="163">
        <f t="shared" si="1862"/>
        <v>231</v>
      </c>
      <c r="Q1858" s="163">
        <f t="shared" si="1862"/>
        <v>325</v>
      </c>
      <c r="R1858" s="163">
        <f>IFERROR(__xludf.DUMMYFUNCTION("RANK(M1858,filter(M:M,C:C=C1858))"),231.0)</f>
        <v>231</v>
      </c>
      <c r="S1858" s="161" t="b">
        <f t="shared" si="5"/>
        <v>0</v>
      </c>
      <c r="T1858" s="161" t="b">
        <f t="array" ref="T1858">index('Query Tool'!B:B,match(H1858,'Query Tool'!C:C,0))</f>
        <v>1</v>
      </c>
      <c r="U1858" s="161" t="b">
        <f t="array" ref="U1858">index('Query Tool'!B:B,match(C1858,'Query Tool'!C:C,0))</f>
        <v>0</v>
      </c>
      <c r="V1858" s="161" t="b">
        <f>F1858&gt;='Query Tool'!C$32</f>
        <v>0</v>
      </c>
      <c r="W1858" s="161" t="b">
        <f t="array" ref="W1858">index(Dropdowns!B:B,match(I1858,Dropdowns!A:A,0))</f>
        <v>1</v>
      </c>
      <c r="X1858" s="161" t="b">
        <f t="array" ref="X1858">index('Query Tool'!B:B,match(D1858,'Query Tool'!C:C,0))</f>
        <v>1</v>
      </c>
      <c r="Y1858" s="161" t="str">
        <f t="shared" si="6"/>
        <v>marjabo01,2016-17</v>
      </c>
      <c r="Z1858" s="168">
        <f t="array" ref="Z1858">iferror(index(I:I,match($A1858&amp;","&amp;index('Year Conversion'!$A:$A,match($C1858,'Year Conversion'!$B:$B,0)),$Y:$Y,0))-I1858,"")</f>
        <v>1</v>
      </c>
      <c r="AA1858" s="168">
        <f t="array" ref="AA1858">iferror(index(J:J,match($A1858&amp;","&amp;index('Year Conversion'!$A:$A,match($C1858,'Year Conversion'!$B:$B,0)),$Y:$Y,0))-J1858,"")</f>
        <v>-1.29489499</v>
      </c>
      <c r="AB1858" s="168">
        <f t="array" ref="AB1858">iferror(index(K:K,match($A1858&amp;","&amp;index('Year Conversion'!$A:$A,match($C1858,'Year Conversion'!$B:$B,0)),$Y:$Y,0))-K1858,"")</f>
        <v>-0.6717338379</v>
      </c>
      <c r="AC1858" s="168" t="str">
        <f t="shared" si="7"/>
        <v>DET,2016-17</v>
      </c>
    </row>
    <row r="1859">
      <c r="A1859" s="161" t="str">
        <f>IFERROR(__xludf.DUMMYFUNCTION("""COMPUTED_VALUE"""),"toupaax01")</f>
        <v>toupaax01</v>
      </c>
      <c r="B1859" s="161" t="str">
        <f>IFERROR(__xludf.DUMMYFUNCTION("""COMPUTED_VALUE"""),"Axel Toupane")</f>
        <v>Axel Toupane</v>
      </c>
      <c r="C1859" s="162" t="str">
        <f>IFERROR(__xludf.DUMMYFUNCTION("""COMPUTED_VALUE"""),"2016-17")</f>
        <v>2016-17</v>
      </c>
      <c r="D1859" s="163" t="str">
        <f>IFERROR(__xludf.DUMMYFUNCTION("""COMPUTED_VALUE"""),"TOT")</f>
        <v>TOT</v>
      </c>
      <c r="E1859" s="164" t="str">
        <f>IFERROR(__xludf.DUMMYFUNCTION("""COMPUTED_VALUE"""),"Off Screen Shooter")</f>
        <v>Off Screen Shooter</v>
      </c>
      <c r="F1859" s="164">
        <f>IFERROR(__xludf.DUMMYFUNCTION("""COMPUTED_VALUE"""),47.4633333333334)</f>
        <v>47.46333333</v>
      </c>
      <c r="G1859" s="163">
        <f>IFERROR(__xludf.DUMMYFUNCTION("""COMPUTED_VALUE"""),4.0)</f>
        <v>4</v>
      </c>
      <c r="H1859" s="163" t="str">
        <f>IFERROR(__xludf.DUMMYFUNCTION("""COMPUTED_VALUE"""),"SF")</f>
        <v>SF</v>
      </c>
      <c r="I1859" s="163">
        <f>IFERROR(__xludf.DUMMYFUNCTION("""COMPUTED_VALUE"""),24.0)</f>
        <v>24</v>
      </c>
      <c r="J1859" s="165">
        <f>IFERROR(__xludf.DUMMYFUNCTION("""COMPUTED_VALUE"""),-1.11228017920326)</f>
        <v>-1.112280179</v>
      </c>
      <c r="K1859" s="165">
        <f>IFERROR(__xludf.DUMMYFUNCTION("""COMPUTED_VALUE"""),-0.608723491138219)</f>
        <v>-0.6087234911</v>
      </c>
      <c r="L1859" s="165">
        <f>IFERROR(__xludf.DUMMYFUNCTION("""COMPUTED_VALUE"""),-0.50355668806504)</f>
        <v>-0.5035566881</v>
      </c>
      <c r="M1859" s="166">
        <f t="shared" si="2"/>
        <v>0.03764150105</v>
      </c>
      <c r="N1859" s="167">
        <f t="shared" si="3"/>
        <v>11.86583333</v>
      </c>
      <c r="O1859" s="163">
        <f t="shared" ref="O1859:Q1859" si="1863">rank(I1859,I:I)</f>
        <v>2361</v>
      </c>
      <c r="P1859" s="163">
        <f t="shared" si="1863"/>
        <v>2631</v>
      </c>
      <c r="Q1859" s="163">
        <f t="shared" si="1863"/>
        <v>2275</v>
      </c>
      <c r="R1859" s="163">
        <f>IFERROR(__xludf.DUMMYFUNCTION("RANK(M1859,filter(M:M,C:C=C1859))"),415.0)</f>
        <v>415</v>
      </c>
      <c r="S1859" s="161" t="b">
        <f t="shared" si="5"/>
        <v>0</v>
      </c>
      <c r="T1859" s="161" t="b">
        <f t="array" ref="T1859">index('Query Tool'!B:B,match(H1859,'Query Tool'!C:C,0))</f>
        <v>1</v>
      </c>
      <c r="U1859" s="161" t="b">
        <f t="array" ref="U1859">index('Query Tool'!B:B,match(C1859,'Query Tool'!C:C,0))</f>
        <v>0</v>
      </c>
      <c r="V1859" s="161" t="b">
        <f>F1859&gt;='Query Tool'!C$32</f>
        <v>0</v>
      </c>
      <c r="W1859" s="161" t="b">
        <f t="array" ref="W1859">index(Dropdowns!B:B,match(I1859,Dropdowns!A:A,0))</f>
        <v>1</v>
      </c>
      <c r="X1859" s="161" t="b">
        <f t="array" ref="X1859">index('Query Tool'!B:B,match(D1859,'Query Tool'!C:C,0))</f>
        <v>1</v>
      </c>
      <c r="Y1859" s="161" t="str">
        <f t="shared" si="6"/>
        <v>toupaax01,2016-17</v>
      </c>
      <c r="Z1859" s="168" t="str">
        <f t="array" ref="Z1859">iferror(index(I:I,match($A1859&amp;","&amp;index('Year Conversion'!$A:$A,match($C1859,'Year Conversion'!$B:$B,0)),$Y:$Y,0))-I1859,"")</f>
        <v/>
      </c>
      <c r="AA1859" s="168" t="str">
        <f t="array" ref="AA1859">iferror(index(J:J,match($A1859&amp;","&amp;index('Year Conversion'!$A:$A,match($C1859,'Year Conversion'!$B:$B,0)),$Y:$Y,0))-J1859,"")</f>
        <v/>
      </c>
      <c r="AB1859" s="168" t="str">
        <f t="array" ref="AB1859">iferror(index(K:K,match($A1859&amp;","&amp;index('Year Conversion'!$A:$A,match($C1859,'Year Conversion'!$B:$B,0)),$Y:$Y,0))-K1859,"")</f>
        <v/>
      </c>
      <c r="AC1859" s="168" t="str">
        <f t="shared" si="7"/>
        <v>TOT,2016-17</v>
      </c>
    </row>
    <row r="1860">
      <c r="A1860" s="161" t="str">
        <f>IFERROR(__xludf.DUMMYFUNCTION("""COMPUTED_VALUE"""),"ndourma01")</f>
        <v>ndourma01</v>
      </c>
      <c r="B1860" s="161" t="str">
        <f>IFERROR(__xludf.DUMMYFUNCTION("""COMPUTED_VALUE"""),"Maurice Ndour")</f>
        <v>Maurice Ndour</v>
      </c>
      <c r="C1860" s="162" t="str">
        <f>IFERROR(__xludf.DUMMYFUNCTION("""COMPUTED_VALUE"""),"2016-17")</f>
        <v>2016-17</v>
      </c>
      <c r="D1860" s="163" t="str">
        <f>IFERROR(__xludf.DUMMYFUNCTION("""COMPUTED_VALUE"""),"NYK")</f>
        <v>NYK</v>
      </c>
      <c r="E1860" s="164" t="str">
        <f>IFERROR(__xludf.DUMMYFUNCTION("""COMPUTED_VALUE"""),"Roll + Cut Big")</f>
        <v>Roll + Cut Big</v>
      </c>
      <c r="F1860" s="164">
        <f>IFERROR(__xludf.DUMMYFUNCTION("""COMPUTED_VALUE"""),331.455)</f>
        <v>331.455</v>
      </c>
      <c r="G1860" s="163">
        <f>IFERROR(__xludf.DUMMYFUNCTION("""COMPUTED_VALUE"""),32.0)</f>
        <v>32</v>
      </c>
      <c r="H1860" s="163" t="str">
        <f>IFERROR(__xludf.DUMMYFUNCTION("""COMPUTED_VALUE"""),"PF")</f>
        <v>PF</v>
      </c>
      <c r="I1860" s="163">
        <f>IFERROR(__xludf.DUMMYFUNCTION("""COMPUTED_VALUE"""),24.0)</f>
        <v>24</v>
      </c>
      <c r="J1860" s="165">
        <f>IFERROR(__xludf.DUMMYFUNCTION("""COMPUTED_VALUE"""),-0.868263477665361)</f>
        <v>-0.8682634777</v>
      </c>
      <c r="K1860" s="165">
        <f>IFERROR(__xludf.DUMMYFUNCTION("""COMPUTED_VALUE"""),-1.55996007825665)</f>
        <v>-1.559960078</v>
      </c>
      <c r="L1860" s="165">
        <f>IFERROR(__xludf.DUMMYFUNCTION("""COMPUTED_VALUE"""),0.691696600591287)</f>
        <v>0.6916966006</v>
      </c>
      <c r="M1860" s="166">
        <f t="shared" si="2"/>
        <v>0.317170799</v>
      </c>
      <c r="N1860" s="167">
        <f t="shared" si="3"/>
        <v>10.35796875</v>
      </c>
      <c r="O1860" s="163">
        <f t="shared" ref="O1860:Q1860" si="1864">rank(I1860,I:I)</f>
        <v>2361</v>
      </c>
      <c r="P1860" s="163">
        <f t="shared" si="1864"/>
        <v>2360</v>
      </c>
      <c r="Q1860" s="163">
        <f t="shared" si="1864"/>
        <v>3410</v>
      </c>
      <c r="R1860" s="163">
        <f>IFERROR(__xludf.DUMMYFUNCTION("RANK(M1860,filter(M:M,C:C=C1860))"),314.0)</f>
        <v>314</v>
      </c>
      <c r="S1860" s="161" t="b">
        <f t="shared" si="5"/>
        <v>0</v>
      </c>
      <c r="T1860" s="161" t="b">
        <f t="array" ref="T1860">index('Query Tool'!B:B,match(H1860,'Query Tool'!C:C,0))</f>
        <v>1</v>
      </c>
      <c r="U1860" s="161" t="b">
        <f t="array" ref="U1860">index('Query Tool'!B:B,match(C1860,'Query Tool'!C:C,0))</f>
        <v>0</v>
      </c>
      <c r="V1860" s="161" t="b">
        <f>F1860&gt;='Query Tool'!C$32</f>
        <v>0</v>
      </c>
      <c r="W1860" s="161" t="b">
        <f t="array" ref="W1860">index(Dropdowns!B:B,match(I1860,Dropdowns!A:A,0))</f>
        <v>1</v>
      </c>
      <c r="X1860" s="161" t="b">
        <f t="array" ref="X1860">index('Query Tool'!B:B,match(D1860,'Query Tool'!C:C,0))</f>
        <v>1</v>
      </c>
      <c r="Y1860" s="161" t="str">
        <f t="shared" si="6"/>
        <v>ndourma01,2016-17</v>
      </c>
      <c r="Z1860" s="168" t="str">
        <f t="array" ref="Z1860">iferror(index(I:I,match($A1860&amp;","&amp;index('Year Conversion'!$A:$A,match($C1860,'Year Conversion'!$B:$B,0)),$Y:$Y,0))-I1860,"")</f>
        <v/>
      </c>
      <c r="AA1860" s="168" t="str">
        <f t="array" ref="AA1860">iferror(index(J:J,match($A1860&amp;","&amp;index('Year Conversion'!$A:$A,match($C1860,'Year Conversion'!$B:$B,0)),$Y:$Y,0))-J1860,"")</f>
        <v/>
      </c>
      <c r="AB1860" s="168" t="str">
        <f t="array" ref="AB1860">iferror(index(K:K,match($A1860&amp;","&amp;index('Year Conversion'!$A:$A,match($C1860,'Year Conversion'!$B:$B,0)),$Y:$Y,0))-K1860,"")</f>
        <v/>
      </c>
      <c r="AC1860" s="168" t="str">
        <f t="shared" si="7"/>
        <v>NYK,2016-17</v>
      </c>
    </row>
    <row r="1861">
      <c r="A1861" s="161" t="str">
        <f>IFERROR(__xludf.DUMMYFUNCTION("""COMPUTED_VALUE"""),"mejrisa01")</f>
        <v>mejrisa01</v>
      </c>
      <c r="B1861" s="161" t="str">
        <f>IFERROR(__xludf.DUMMYFUNCTION("""COMPUTED_VALUE"""),"Salah Mejri")</f>
        <v>Salah Mejri</v>
      </c>
      <c r="C1861" s="162" t="str">
        <f>IFERROR(__xludf.DUMMYFUNCTION("""COMPUTED_VALUE"""),"2016-17")</f>
        <v>2016-17</v>
      </c>
      <c r="D1861" s="163" t="str">
        <f>IFERROR(__xludf.DUMMYFUNCTION("""COMPUTED_VALUE"""),"DAL")</f>
        <v>DAL</v>
      </c>
      <c r="E1861" s="164" t="str">
        <f>IFERROR(__xludf.DUMMYFUNCTION("""COMPUTED_VALUE"""),"Roll + Cut Big")</f>
        <v>Roll + Cut Big</v>
      </c>
      <c r="F1861" s="164">
        <f>IFERROR(__xludf.DUMMYFUNCTION("""COMPUTED_VALUE"""),905.083333333333)</f>
        <v>905.0833333</v>
      </c>
      <c r="G1861" s="163">
        <f>IFERROR(__xludf.DUMMYFUNCTION("""COMPUTED_VALUE"""),73.0)</f>
        <v>73</v>
      </c>
      <c r="H1861" s="163" t="str">
        <f>IFERROR(__xludf.DUMMYFUNCTION("""COMPUTED_VALUE"""),"C")</f>
        <v>C</v>
      </c>
      <c r="I1861" s="163">
        <f>IFERROR(__xludf.DUMMYFUNCTION("""COMPUTED_VALUE"""),30.0)</f>
        <v>30</v>
      </c>
      <c r="J1861" s="165">
        <f>IFERROR(__xludf.DUMMYFUNCTION("""COMPUTED_VALUE"""),1.15077336514942)</f>
        <v>1.150773365</v>
      </c>
      <c r="K1861" s="165">
        <f>IFERROR(__xludf.DUMMYFUNCTION("""COMPUTED_VALUE"""),-2.1528771152986)</f>
        <v>-2.152877115</v>
      </c>
      <c r="L1861" s="165">
        <f>IFERROR(__xludf.DUMMYFUNCTION("""COMPUTED_VALUE"""),3.30365048044802)</f>
        <v>3.30365048</v>
      </c>
      <c r="M1861" s="166">
        <f t="shared" si="2"/>
        <v>2.096247401</v>
      </c>
      <c r="N1861" s="167">
        <f t="shared" si="3"/>
        <v>12.39840183</v>
      </c>
      <c r="O1861" s="163">
        <f t="shared" ref="O1861:Q1861" si="1865">rank(I1861,I:I)</f>
        <v>655</v>
      </c>
      <c r="P1861" s="163">
        <f t="shared" si="1865"/>
        <v>593</v>
      </c>
      <c r="Q1861" s="163">
        <f t="shared" si="1865"/>
        <v>3783</v>
      </c>
      <c r="R1861" s="163">
        <f>IFERROR(__xludf.DUMMYFUNCTION("RANK(M1861,filter(M:M,C:C=C1861))"),156.0)</f>
        <v>156</v>
      </c>
      <c r="S1861" s="161" t="b">
        <f t="shared" si="5"/>
        <v>0</v>
      </c>
      <c r="T1861" s="161" t="b">
        <f t="array" ref="T1861">index('Query Tool'!B:B,match(H1861,'Query Tool'!C:C,0))</f>
        <v>1</v>
      </c>
      <c r="U1861" s="161" t="b">
        <f t="array" ref="U1861">index('Query Tool'!B:B,match(C1861,'Query Tool'!C:C,0))</f>
        <v>0</v>
      </c>
      <c r="V1861" s="161" t="b">
        <f>F1861&gt;='Query Tool'!C$32</f>
        <v>1</v>
      </c>
      <c r="W1861" s="161" t="b">
        <f t="array" ref="W1861">index(Dropdowns!B:B,match(I1861,Dropdowns!A:A,0))</f>
        <v>1</v>
      </c>
      <c r="X1861" s="161" t="b">
        <f t="array" ref="X1861">index('Query Tool'!B:B,match(D1861,'Query Tool'!C:C,0))</f>
        <v>1</v>
      </c>
      <c r="Y1861" s="161" t="str">
        <f t="shared" si="6"/>
        <v>mejrisa01,2016-17</v>
      </c>
      <c r="Z1861" s="168">
        <f t="array" ref="Z1861">iferror(index(I:I,match($A1861&amp;","&amp;index('Year Conversion'!$A:$A,match($C1861,'Year Conversion'!$B:$B,0)),$Y:$Y,0))-I1861,"")</f>
        <v>1</v>
      </c>
      <c r="AA1861" s="168">
        <f t="array" ref="AA1861">iferror(index(J:J,match($A1861&amp;","&amp;index('Year Conversion'!$A:$A,match($C1861,'Year Conversion'!$B:$B,0)),$Y:$Y,0))-J1861,"")</f>
        <v>0.7754208019</v>
      </c>
      <c r="AB1861" s="168">
        <f t="array" ref="AB1861">iferror(index(K:K,match($A1861&amp;","&amp;index('Year Conversion'!$A:$A,match($C1861,'Year Conversion'!$B:$B,0)),$Y:$Y,0))-K1861,"")</f>
        <v>0.6894672468</v>
      </c>
      <c r="AC1861" s="168" t="str">
        <f t="shared" si="7"/>
        <v>DAL,2016-17</v>
      </c>
    </row>
    <row r="1862">
      <c r="A1862" s="161" t="str">
        <f>IFERROR(__xludf.DUMMYFUNCTION("""COMPUTED_VALUE"""),"huertma01")</f>
        <v>huertma01</v>
      </c>
      <c r="B1862" s="161" t="str">
        <f>IFERROR(__xludf.DUMMYFUNCTION("""COMPUTED_VALUE"""),"Marcelo Huertas")</f>
        <v>Marcelo Huertas</v>
      </c>
      <c r="C1862" s="162" t="str">
        <f>IFERROR(__xludf.DUMMYFUNCTION("""COMPUTED_VALUE"""),"2016-17")</f>
        <v>2016-17</v>
      </c>
      <c r="D1862" s="163" t="str">
        <f>IFERROR(__xludf.DUMMYFUNCTION("""COMPUTED_VALUE"""),"LAL")</f>
        <v>LAL</v>
      </c>
      <c r="E1862" s="164" t="str">
        <f>IFERROR(__xludf.DUMMYFUNCTION("""COMPUTED_VALUE"""),"Secondary Ball Handler")</f>
        <v>Secondary Ball Handler</v>
      </c>
      <c r="F1862" s="164">
        <f>IFERROR(__xludf.DUMMYFUNCTION("""COMPUTED_VALUE"""),236.561666666667)</f>
        <v>236.5616667</v>
      </c>
      <c r="G1862" s="163">
        <f>IFERROR(__xludf.DUMMYFUNCTION("""COMPUTED_VALUE"""),23.0)</f>
        <v>23</v>
      </c>
      <c r="H1862" s="163" t="str">
        <f>IFERROR(__xludf.DUMMYFUNCTION("""COMPUTED_VALUE"""),"PG")</f>
        <v>PG</v>
      </c>
      <c r="I1862" s="163">
        <f>IFERROR(__xludf.DUMMYFUNCTION("""COMPUTED_VALUE"""),33.0)</f>
        <v>33</v>
      </c>
      <c r="J1862" s="165">
        <f>IFERROR(__xludf.DUMMYFUNCTION("""COMPUTED_VALUE"""),-0.399491950668945)</f>
        <v>-0.3994919507</v>
      </c>
      <c r="K1862" s="165">
        <f>IFERROR(__xludf.DUMMYFUNCTION("""COMPUTED_VALUE"""),-0.306000589574319)</f>
        <v>-0.3060005896</v>
      </c>
      <c r="L1862" s="165">
        <f>IFERROR(__xludf.DUMMYFUNCTION("""COMPUTED_VALUE"""),-0.0934913610946267)</f>
        <v>-0.09349136109</v>
      </c>
      <c r="M1862" s="166">
        <f t="shared" si="2"/>
        <v>0.300999399</v>
      </c>
      <c r="N1862" s="167">
        <f t="shared" si="3"/>
        <v>10.28528986</v>
      </c>
      <c r="O1862" s="163">
        <f t="shared" ref="O1862:Q1862" si="1866">rank(I1862,I:I)</f>
        <v>246</v>
      </c>
      <c r="P1862" s="163">
        <f t="shared" si="1866"/>
        <v>1729</v>
      </c>
      <c r="Q1862" s="163">
        <f t="shared" si="1866"/>
        <v>1770</v>
      </c>
      <c r="R1862" s="163">
        <f>IFERROR(__xludf.DUMMYFUNCTION("RANK(M1862,filter(M:M,C:C=C1862))"),316.0)</f>
        <v>316</v>
      </c>
      <c r="S1862" s="161" t="b">
        <f t="shared" si="5"/>
        <v>0</v>
      </c>
      <c r="T1862" s="161" t="b">
        <f t="array" ref="T1862">index('Query Tool'!B:B,match(H1862,'Query Tool'!C:C,0))</f>
        <v>1</v>
      </c>
      <c r="U1862" s="161" t="b">
        <f t="array" ref="U1862">index('Query Tool'!B:B,match(C1862,'Query Tool'!C:C,0))</f>
        <v>0</v>
      </c>
      <c r="V1862" s="161" t="b">
        <f>F1862&gt;='Query Tool'!C$32</f>
        <v>0</v>
      </c>
      <c r="W1862" s="161" t="b">
        <f t="array" ref="W1862">index(Dropdowns!B:B,match(I1862,Dropdowns!A:A,0))</f>
        <v>1</v>
      </c>
      <c r="X1862" s="161" t="b">
        <f t="array" ref="X1862">index('Query Tool'!B:B,match(D1862,'Query Tool'!C:C,0))</f>
        <v>1</v>
      </c>
      <c r="Y1862" s="161" t="str">
        <f t="shared" si="6"/>
        <v>huertma01,2016-17</v>
      </c>
      <c r="Z1862" s="168" t="str">
        <f t="array" ref="Z1862">iferror(index(I:I,match($A1862&amp;","&amp;index('Year Conversion'!$A:$A,match($C1862,'Year Conversion'!$B:$B,0)),$Y:$Y,0))-I1862,"")</f>
        <v/>
      </c>
      <c r="AA1862" s="168" t="str">
        <f t="array" ref="AA1862">iferror(index(J:J,match($A1862&amp;","&amp;index('Year Conversion'!$A:$A,match($C1862,'Year Conversion'!$B:$B,0)),$Y:$Y,0))-J1862,"")</f>
        <v/>
      </c>
      <c r="AB1862" s="168" t="str">
        <f t="array" ref="AB1862">iferror(index(K:K,match($A1862&amp;","&amp;index('Year Conversion'!$A:$A,match($C1862,'Year Conversion'!$B:$B,0)),$Y:$Y,0))-K1862,"")</f>
        <v/>
      </c>
      <c r="AC1862" s="168" t="str">
        <f t="shared" si="7"/>
        <v>LAL,2016-17</v>
      </c>
    </row>
    <row r="1863">
      <c r="A1863" s="161" t="str">
        <f>IFERROR(__xludf.DUMMYFUNCTION("""COMPUTED_VALUE"""),"gibsojo01")</f>
        <v>gibsojo01</v>
      </c>
      <c r="B1863" s="161" t="str">
        <f>IFERROR(__xludf.DUMMYFUNCTION("""COMPUTED_VALUE"""),"Jonathan Gibson")</f>
        <v>Jonathan Gibson</v>
      </c>
      <c r="C1863" s="162" t="str">
        <f>IFERROR(__xludf.DUMMYFUNCTION("""COMPUTED_VALUE"""),"2016-17")</f>
        <v>2016-17</v>
      </c>
      <c r="D1863" s="163" t="str">
        <f>IFERROR(__xludf.DUMMYFUNCTION("""COMPUTED_VALUE"""),"DAL")</f>
        <v>DAL</v>
      </c>
      <c r="E1863" s="164" t="str">
        <f>IFERROR(__xludf.DUMMYFUNCTION("""COMPUTED_VALUE"""),"Secondary Ball Handler")</f>
        <v>Secondary Ball Handler</v>
      </c>
      <c r="F1863" s="164">
        <f>IFERROR(__xludf.DUMMYFUNCTION("""COMPUTED_VALUE"""),231.21)</f>
        <v>231.21</v>
      </c>
      <c r="G1863" s="163">
        <f>IFERROR(__xludf.DUMMYFUNCTION("""COMPUTED_VALUE"""),17.0)</f>
        <v>17</v>
      </c>
      <c r="H1863" s="163" t="str">
        <f>IFERROR(__xludf.DUMMYFUNCTION("""COMPUTED_VALUE"""),"PG")</f>
        <v>PG</v>
      </c>
      <c r="I1863" s="163">
        <f>IFERROR(__xludf.DUMMYFUNCTION("""COMPUTED_VALUE"""),29.0)</f>
        <v>29</v>
      </c>
      <c r="J1863" s="165">
        <f>IFERROR(__xludf.DUMMYFUNCTION("""COMPUTED_VALUE"""),-1.81896920333187)</f>
        <v>-1.818969203</v>
      </c>
      <c r="K1863" s="165">
        <f>IFERROR(__xludf.DUMMYFUNCTION("""COMPUTED_VALUE"""),-0.82167662549839)</f>
        <v>-0.8216766255</v>
      </c>
      <c r="L1863" s="165">
        <f>IFERROR(__xludf.DUMMYFUNCTION("""COMPUTED_VALUE"""),-0.997292577833482)</f>
        <v>-0.9972925778</v>
      </c>
      <c r="M1863" s="166">
        <f t="shared" si="2"/>
        <v>0.07420497734</v>
      </c>
      <c r="N1863" s="167">
        <f t="shared" si="3"/>
        <v>13.60058824</v>
      </c>
      <c r="O1863" s="163">
        <f t="shared" ref="O1863:Q1863" si="1867">rank(I1863,I:I)</f>
        <v>855</v>
      </c>
      <c r="P1863" s="163">
        <f t="shared" si="1867"/>
        <v>3353</v>
      </c>
      <c r="Q1863" s="163">
        <f t="shared" si="1867"/>
        <v>2583</v>
      </c>
      <c r="R1863" s="163">
        <f>IFERROR(__xludf.DUMMYFUNCTION("RANK(M1863,filter(M:M,C:C=C1863))"),389.0)</f>
        <v>389</v>
      </c>
      <c r="S1863" s="161" t="b">
        <f t="shared" si="5"/>
        <v>0</v>
      </c>
      <c r="T1863" s="161" t="b">
        <f t="array" ref="T1863">index('Query Tool'!B:B,match(H1863,'Query Tool'!C:C,0))</f>
        <v>1</v>
      </c>
      <c r="U1863" s="161" t="b">
        <f t="array" ref="U1863">index('Query Tool'!B:B,match(C1863,'Query Tool'!C:C,0))</f>
        <v>0</v>
      </c>
      <c r="V1863" s="161" t="b">
        <f>F1863&gt;='Query Tool'!C$32</f>
        <v>0</v>
      </c>
      <c r="W1863" s="161" t="b">
        <f t="array" ref="W1863">index(Dropdowns!B:B,match(I1863,Dropdowns!A:A,0))</f>
        <v>1</v>
      </c>
      <c r="X1863" s="161" t="b">
        <f t="array" ref="X1863">index('Query Tool'!B:B,match(D1863,'Query Tool'!C:C,0))</f>
        <v>1</v>
      </c>
      <c r="Y1863" s="161" t="str">
        <f t="shared" si="6"/>
        <v>gibsojo01,2016-17</v>
      </c>
      <c r="Z1863" s="168">
        <f t="array" ref="Z1863">iferror(index(I:I,match($A1863&amp;","&amp;index('Year Conversion'!$A:$A,match($C1863,'Year Conversion'!$B:$B,0)),$Y:$Y,0))-I1863,"")</f>
        <v>1</v>
      </c>
      <c r="AA1863" s="168">
        <f t="array" ref="AA1863">iferror(index(J:J,match($A1863&amp;","&amp;index('Year Conversion'!$A:$A,match($C1863,'Year Conversion'!$B:$B,0)),$Y:$Y,0))-J1863,"")</f>
        <v>1.167757153</v>
      </c>
      <c r="AB1863" s="168">
        <f t="array" ref="AB1863">iferror(index(K:K,match($A1863&amp;","&amp;index('Year Conversion'!$A:$A,match($C1863,'Year Conversion'!$B:$B,0)),$Y:$Y,0))-K1863,"")</f>
        <v>0.840502446</v>
      </c>
      <c r="AC1863" s="168" t="str">
        <f t="shared" si="7"/>
        <v>DAL,2016-17</v>
      </c>
    </row>
    <row r="1864">
      <c r="A1864" s="161" t="str">
        <f>IFERROR(__xludf.DUMMYFUNCTION("""COMPUTED_VALUE"""),"delanma01")</f>
        <v>delanma01</v>
      </c>
      <c r="B1864" s="161" t="str">
        <f>IFERROR(__xludf.DUMMYFUNCTION("""COMPUTED_VALUE"""),"Malcolm Delaney")</f>
        <v>Malcolm Delaney</v>
      </c>
      <c r="C1864" s="162" t="str">
        <f>IFERROR(__xludf.DUMMYFUNCTION("""COMPUTED_VALUE"""),"2016-17")</f>
        <v>2016-17</v>
      </c>
      <c r="D1864" s="163" t="str">
        <f>IFERROR(__xludf.DUMMYFUNCTION("""COMPUTED_VALUE"""),"ATL")</f>
        <v>ATL</v>
      </c>
      <c r="E1864" s="164" t="str">
        <f>IFERROR(__xludf.DUMMYFUNCTION("""COMPUTED_VALUE"""),"Primary Ball Handler")</f>
        <v>Primary Ball Handler</v>
      </c>
      <c r="F1864" s="164">
        <f>IFERROR(__xludf.DUMMYFUNCTION("""COMPUTED_VALUE"""),1247.55)</f>
        <v>1247.55</v>
      </c>
      <c r="G1864" s="163">
        <f>IFERROR(__xludf.DUMMYFUNCTION("""COMPUTED_VALUE"""),73.0)</f>
        <v>73</v>
      </c>
      <c r="H1864" s="163" t="str">
        <f>IFERROR(__xludf.DUMMYFUNCTION("""COMPUTED_VALUE"""),"PG")</f>
        <v>PG</v>
      </c>
      <c r="I1864" s="163">
        <f>IFERROR(__xludf.DUMMYFUNCTION("""COMPUTED_VALUE"""),27.0)</f>
        <v>27</v>
      </c>
      <c r="J1864" s="165">
        <f>IFERROR(__xludf.DUMMYFUNCTION("""COMPUTED_VALUE"""),-1.03908665617702)</f>
        <v>-1.039086656</v>
      </c>
      <c r="K1864" s="165">
        <f>IFERROR(__xludf.DUMMYFUNCTION("""COMPUTED_VALUE"""),-1.27495535268384)</f>
        <v>-1.274955353</v>
      </c>
      <c r="L1864" s="165">
        <f>IFERROR(__xludf.DUMMYFUNCTION("""COMPUTED_VALUE"""),0.235868696506813)</f>
        <v>0.2358686965</v>
      </c>
      <c r="M1864" s="166">
        <f t="shared" si="2"/>
        <v>1.050654028</v>
      </c>
      <c r="N1864" s="167">
        <f t="shared" si="3"/>
        <v>17.08972603</v>
      </c>
      <c r="O1864" s="163">
        <f t="shared" ref="O1864:Q1864" si="1868">rank(I1864,I:I)</f>
        <v>1366</v>
      </c>
      <c r="P1864" s="163">
        <f t="shared" si="1868"/>
        <v>2543</v>
      </c>
      <c r="Q1864" s="163">
        <f t="shared" si="1868"/>
        <v>3117</v>
      </c>
      <c r="R1864" s="163">
        <f>IFERROR(__xludf.DUMMYFUNCTION("RANK(M1864,filter(M:M,C:C=C1864))"),220.0)</f>
        <v>220</v>
      </c>
      <c r="S1864" s="161" t="b">
        <f t="shared" si="5"/>
        <v>0</v>
      </c>
      <c r="T1864" s="161" t="b">
        <f t="array" ref="T1864">index('Query Tool'!B:B,match(H1864,'Query Tool'!C:C,0))</f>
        <v>1</v>
      </c>
      <c r="U1864" s="161" t="b">
        <f t="array" ref="U1864">index('Query Tool'!B:B,match(C1864,'Query Tool'!C:C,0))</f>
        <v>0</v>
      </c>
      <c r="V1864" s="161" t="b">
        <f>F1864&gt;='Query Tool'!C$32</f>
        <v>1</v>
      </c>
      <c r="W1864" s="161" t="b">
        <f t="array" ref="W1864">index(Dropdowns!B:B,match(I1864,Dropdowns!A:A,0))</f>
        <v>1</v>
      </c>
      <c r="X1864" s="161" t="b">
        <f t="array" ref="X1864">index('Query Tool'!B:B,match(D1864,'Query Tool'!C:C,0))</f>
        <v>1</v>
      </c>
      <c r="Y1864" s="161" t="str">
        <f t="shared" si="6"/>
        <v>delanma01,2016-17</v>
      </c>
      <c r="Z1864" s="168">
        <f t="array" ref="Z1864">iferror(index(I:I,match($A1864&amp;","&amp;index('Year Conversion'!$A:$A,match($C1864,'Year Conversion'!$B:$B,0)),$Y:$Y,0))-I1864,"")</f>
        <v>1</v>
      </c>
      <c r="AA1864" s="168">
        <f t="array" ref="AA1864">iferror(index(J:J,match($A1864&amp;","&amp;index('Year Conversion'!$A:$A,match($C1864,'Year Conversion'!$B:$B,0)),$Y:$Y,0))-J1864,"")</f>
        <v>-0.6778795912</v>
      </c>
      <c r="AB1864" s="168">
        <f t="array" ref="AB1864">iferror(index(K:K,match($A1864&amp;","&amp;index('Year Conversion'!$A:$A,match($C1864,'Year Conversion'!$B:$B,0)),$Y:$Y,0))-K1864,"")</f>
        <v>0.5560769274</v>
      </c>
      <c r="AC1864" s="168" t="str">
        <f t="shared" si="7"/>
        <v>ATL,2016-17</v>
      </c>
    </row>
    <row r="1865">
      <c r="A1865" s="161" t="str">
        <f>IFERROR(__xludf.DUMMYFUNCTION("""COMPUTED_VALUE"""),"weberbr01")</f>
        <v>weberbr01</v>
      </c>
      <c r="B1865" s="161" t="str">
        <f>IFERROR(__xludf.DUMMYFUNCTION("""COMPUTED_VALUE"""),"Briante Weber")</f>
        <v>Briante Weber</v>
      </c>
      <c r="C1865" s="162" t="str">
        <f>IFERROR(__xludf.DUMMYFUNCTION("""COMPUTED_VALUE"""),"2016-17")</f>
        <v>2016-17</v>
      </c>
      <c r="D1865" s="163" t="str">
        <f>IFERROR(__xludf.DUMMYFUNCTION("""COMPUTED_VALUE"""),"TOT")</f>
        <v>TOT</v>
      </c>
      <c r="E1865" s="164" t="str">
        <f>IFERROR(__xludf.DUMMYFUNCTION("""COMPUTED_VALUE"""),"Athletic Finisher")</f>
        <v>Athletic Finisher</v>
      </c>
      <c r="F1865" s="164">
        <f>IFERROR(__xludf.DUMMYFUNCTION("""COMPUTED_VALUE"""),204.971666666667)</f>
        <v>204.9716667</v>
      </c>
      <c r="G1865" s="163">
        <f>IFERROR(__xludf.DUMMYFUNCTION("""COMPUTED_VALUE"""),20.0)</f>
        <v>20</v>
      </c>
      <c r="H1865" s="163" t="str">
        <f>IFERROR(__xludf.DUMMYFUNCTION("""COMPUTED_VALUE"""),"PG")</f>
        <v>PG</v>
      </c>
      <c r="I1865" s="163">
        <f>IFERROR(__xludf.DUMMYFUNCTION("""COMPUTED_VALUE"""),24.0)</f>
        <v>24</v>
      </c>
      <c r="J1865" s="165">
        <f>IFERROR(__xludf.DUMMYFUNCTION("""COMPUTED_VALUE"""),-1.24270931247618)</f>
        <v>-1.242709312</v>
      </c>
      <c r="K1865" s="165">
        <f>IFERROR(__xludf.DUMMYFUNCTION("""COMPUTED_VALUE"""),-0.607837616407645)</f>
        <v>-0.6078376164</v>
      </c>
      <c r="L1865" s="165">
        <f>IFERROR(__xludf.DUMMYFUNCTION("""COMPUTED_VALUE"""),-0.634871696068539)</f>
        <v>-0.6348716961</v>
      </c>
      <c r="M1865" s="166">
        <f t="shared" si="2"/>
        <v>0.1446356981</v>
      </c>
      <c r="N1865" s="167">
        <f t="shared" si="3"/>
        <v>10.24858333</v>
      </c>
      <c r="O1865" s="163">
        <f t="shared" ref="O1865:Q1865" si="1869">rank(I1865,I:I)</f>
        <v>2361</v>
      </c>
      <c r="P1865" s="163">
        <f t="shared" si="1869"/>
        <v>2804</v>
      </c>
      <c r="Q1865" s="163">
        <f t="shared" si="1869"/>
        <v>2273</v>
      </c>
      <c r="R1865" s="163">
        <f>IFERROR(__xludf.DUMMYFUNCTION("RANK(M1865,filter(M:M,C:C=C1865))"),359.0)</f>
        <v>359</v>
      </c>
      <c r="S1865" s="161" t="b">
        <f t="shared" si="5"/>
        <v>0</v>
      </c>
      <c r="T1865" s="161" t="b">
        <f t="array" ref="T1865">index('Query Tool'!B:B,match(H1865,'Query Tool'!C:C,0))</f>
        <v>1</v>
      </c>
      <c r="U1865" s="161" t="b">
        <f t="array" ref="U1865">index('Query Tool'!B:B,match(C1865,'Query Tool'!C:C,0))</f>
        <v>0</v>
      </c>
      <c r="V1865" s="161" t="b">
        <f>F1865&gt;='Query Tool'!C$32</f>
        <v>0</v>
      </c>
      <c r="W1865" s="161" t="b">
        <f t="array" ref="W1865">index(Dropdowns!B:B,match(I1865,Dropdowns!A:A,0))</f>
        <v>1</v>
      </c>
      <c r="X1865" s="161" t="b">
        <f t="array" ref="X1865">index('Query Tool'!B:B,match(D1865,'Query Tool'!C:C,0))</f>
        <v>1</v>
      </c>
      <c r="Y1865" s="161" t="str">
        <f t="shared" si="6"/>
        <v>weberbr01,2016-17</v>
      </c>
      <c r="Z1865" s="168">
        <f t="array" ref="Z1865">iferror(index(I:I,match($A1865&amp;","&amp;index('Year Conversion'!$A:$A,match($C1865,'Year Conversion'!$B:$B,0)),$Y:$Y,0))-I1865,"")</f>
        <v>1</v>
      </c>
      <c r="AA1865" s="168">
        <f t="array" ref="AA1865">iferror(index(J:J,match($A1865&amp;","&amp;index('Year Conversion'!$A:$A,match($C1865,'Year Conversion'!$B:$B,0)),$Y:$Y,0))-J1865,"")</f>
        <v>-0.3024188341</v>
      </c>
      <c r="AB1865" s="168">
        <f t="array" ref="AB1865">iferror(index(K:K,match($A1865&amp;","&amp;index('Year Conversion'!$A:$A,match($C1865,'Year Conversion'!$B:$B,0)),$Y:$Y,0))-K1865,"")</f>
        <v>-0.2319392897</v>
      </c>
      <c r="AC1865" s="168" t="str">
        <f t="shared" si="7"/>
        <v>TOT,2016-17</v>
      </c>
    </row>
    <row r="1866">
      <c r="A1866" s="161" t="str">
        <f>IFERROR(__xludf.DUMMYFUNCTION("""COMPUTED_VALUE"""),"bendedr01")</f>
        <v>bendedr01</v>
      </c>
      <c r="B1866" s="161" t="str">
        <f>IFERROR(__xludf.DUMMYFUNCTION("""COMPUTED_VALUE"""),"Dragan Bender")</f>
        <v>Dragan Bender</v>
      </c>
      <c r="C1866" s="162" t="str">
        <f>IFERROR(__xludf.DUMMYFUNCTION("""COMPUTED_VALUE"""),"2016-17")</f>
        <v>2016-17</v>
      </c>
      <c r="D1866" s="163" t="str">
        <f>IFERROR(__xludf.DUMMYFUNCTION("""COMPUTED_VALUE"""),"PHO")</f>
        <v>PHO</v>
      </c>
      <c r="E1866" s="164" t="str">
        <f>IFERROR(__xludf.DUMMYFUNCTION("""COMPUTED_VALUE"""),"Stationary Shooter")</f>
        <v>Stationary Shooter</v>
      </c>
      <c r="F1866" s="164">
        <f>IFERROR(__xludf.DUMMYFUNCTION("""COMPUTED_VALUE"""),573.643333333333)</f>
        <v>573.6433333</v>
      </c>
      <c r="G1866" s="163">
        <f>IFERROR(__xludf.DUMMYFUNCTION("""COMPUTED_VALUE"""),43.0)</f>
        <v>43</v>
      </c>
      <c r="H1866" s="163" t="str">
        <f>IFERROR(__xludf.DUMMYFUNCTION("""COMPUTED_VALUE"""),"PF")</f>
        <v>PF</v>
      </c>
      <c r="I1866" s="163">
        <f>IFERROR(__xludf.DUMMYFUNCTION("""COMPUTED_VALUE"""),19.0)</f>
        <v>19</v>
      </c>
      <c r="J1866" s="165">
        <f>IFERROR(__xludf.DUMMYFUNCTION("""COMPUTED_VALUE"""),-1.6878762749209)</f>
        <v>-1.687876275</v>
      </c>
      <c r="K1866" s="165">
        <f>IFERROR(__xludf.DUMMYFUNCTION("""COMPUTED_VALUE"""),-1.79747212798757)</f>
        <v>-1.797472128</v>
      </c>
      <c r="L1866" s="165">
        <f>IFERROR(__xludf.DUMMYFUNCTION("""COMPUTED_VALUE"""),0.109595853066669)</f>
        <v>0.1095958531</v>
      </c>
      <c r="M1866" s="166">
        <f t="shared" si="2"/>
        <v>0.2341612441</v>
      </c>
      <c r="N1866" s="167">
        <f t="shared" si="3"/>
        <v>13.34054264</v>
      </c>
      <c r="O1866" s="163">
        <f t="shared" ref="O1866:Q1866" si="1870">rank(I1866,I:I)</f>
        <v>3945</v>
      </c>
      <c r="P1866" s="163">
        <f t="shared" si="1870"/>
        <v>3231</v>
      </c>
      <c r="Q1866" s="163">
        <f t="shared" si="1870"/>
        <v>3574</v>
      </c>
      <c r="R1866" s="163">
        <f>IFERROR(__xludf.DUMMYFUNCTION("RANK(M1866,filter(M:M,C:C=C1866))"),326.0)</f>
        <v>326</v>
      </c>
      <c r="S1866" s="161" t="b">
        <f t="shared" si="5"/>
        <v>0</v>
      </c>
      <c r="T1866" s="161" t="b">
        <f t="array" ref="T1866">index('Query Tool'!B:B,match(H1866,'Query Tool'!C:C,0))</f>
        <v>1</v>
      </c>
      <c r="U1866" s="161" t="b">
        <f t="array" ref="U1866">index('Query Tool'!B:B,match(C1866,'Query Tool'!C:C,0))</f>
        <v>0</v>
      </c>
      <c r="V1866" s="161" t="b">
        <f>F1866&gt;='Query Tool'!C$32</f>
        <v>1</v>
      </c>
      <c r="W1866" s="161" t="b">
        <f t="array" ref="W1866">index(Dropdowns!B:B,match(I1866,Dropdowns!A:A,0))</f>
        <v>1</v>
      </c>
      <c r="X1866" s="161" t="b">
        <f t="array" ref="X1866">index('Query Tool'!B:B,match(D1866,'Query Tool'!C:C,0))</f>
        <v>1</v>
      </c>
      <c r="Y1866" s="161" t="str">
        <f t="shared" si="6"/>
        <v>bendedr01,2016-17</v>
      </c>
      <c r="Z1866" s="168">
        <f t="array" ref="Z1866">iferror(index(I:I,match($A1866&amp;","&amp;index('Year Conversion'!$A:$A,match($C1866,'Year Conversion'!$B:$B,0)),$Y:$Y,0))-I1866,"")</f>
        <v>1</v>
      </c>
      <c r="AA1866" s="168">
        <f t="array" ref="AA1866">iferror(index(J:J,match($A1866&amp;","&amp;index('Year Conversion'!$A:$A,match($C1866,'Year Conversion'!$B:$B,0)),$Y:$Y,0))-J1866,"")</f>
        <v>-1.6295182</v>
      </c>
      <c r="AB1866" s="168">
        <f t="array" ref="AB1866">iferror(index(K:K,match($A1866&amp;","&amp;index('Year Conversion'!$A:$A,match($C1866,'Year Conversion'!$B:$B,0)),$Y:$Y,0))-K1866,"")</f>
        <v>-0.9814522004</v>
      </c>
      <c r="AC1866" s="168" t="str">
        <f t="shared" si="7"/>
        <v>PHO,2016-17</v>
      </c>
    </row>
    <row r="1867">
      <c r="A1867" s="161" t="str">
        <f>IFERROR(__xludf.DUMMYFUNCTION("""COMPUTED_VALUE"""),"sabondo01")</f>
        <v>sabondo01</v>
      </c>
      <c r="B1867" s="161" t="str">
        <f>IFERROR(__xludf.DUMMYFUNCTION("""COMPUTED_VALUE"""),"Domantas Sabonis")</f>
        <v>Domantas Sabonis</v>
      </c>
      <c r="C1867" s="162" t="str">
        <f>IFERROR(__xludf.DUMMYFUNCTION("""COMPUTED_VALUE"""),"2016-17")</f>
        <v>2016-17</v>
      </c>
      <c r="D1867" s="163" t="str">
        <f>IFERROR(__xludf.DUMMYFUNCTION("""COMPUTED_VALUE"""),"OKC")</f>
        <v>OKC</v>
      </c>
      <c r="E1867" s="164" t="str">
        <f>IFERROR(__xludf.DUMMYFUNCTION("""COMPUTED_VALUE"""),"Versatile Big")</f>
        <v>Versatile Big</v>
      </c>
      <c r="F1867" s="164">
        <f>IFERROR(__xludf.DUMMYFUNCTION("""COMPUTED_VALUE"""),1631.48833333333)</f>
        <v>1631.488333</v>
      </c>
      <c r="G1867" s="163">
        <f>IFERROR(__xludf.DUMMYFUNCTION("""COMPUTED_VALUE"""),81.0)</f>
        <v>81</v>
      </c>
      <c r="H1867" s="163" t="str">
        <f>IFERROR(__xludf.DUMMYFUNCTION("""COMPUTED_VALUE"""),"PF")</f>
        <v>PF</v>
      </c>
      <c r="I1867" s="163">
        <f>IFERROR(__xludf.DUMMYFUNCTION("""COMPUTED_VALUE"""),20.0)</f>
        <v>20</v>
      </c>
      <c r="J1867" s="165">
        <f>IFERROR(__xludf.DUMMYFUNCTION("""COMPUTED_VALUE"""),-2.09001088018374)</f>
        <v>-2.09001088</v>
      </c>
      <c r="K1867" s="165">
        <f>IFERROR(__xludf.DUMMYFUNCTION("""COMPUTED_VALUE"""),-3.39671302250276)</f>
        <v>-3.396713023</v>
      </c>
      <c r="L1867" s="165">
        <f>IFERROR(__xludf.DUMMYFUNCTION("""COMPUTED_VALUE"""),1.30670214231902)</f>
        <v>1.306702142</v>
      </c>
      <c r="M1867" s="166">
        <f t="shared" si="2"/>
        <v>0.2301888958</v>
      </c>
      <c r="N1867" s="167">
        <f t="shared" si="3"/>
        <v>20.14183128</v>
      </c>
      <c r="O1867" s="163">
        <f t="shared" ref="O1867:Q1867" si="1871">rank(I1867,I:I)</f>
        <v>3770</v>
      </c>
      <c r="P1867" s="163">
        <f t="shared" si="1871"/>
        <v>3548</v>
      </c>
      <c r="Q1867" s="163">
        <f t="shared" si="1871"/>
        <v>4002</v>
      </c>
      <c r="R1867" s="163">
        <f>IFERROR(__xludf.DUMMYFUNCTION("RANK(M1867,filter(M:M,C:C=C1867))"),328.0)</f>
        <v>328</v>
      </c>
      <c r="S1867" s="161" t="b">
        <f t="shared" si="5"/>
        <v>0</v>
      </c>
      <c r="T1867" s="161" t="b">
        <f t="array" ref="T1867">index('Query Tool'!B:B,match(H1867,'Query Tool'!C:C,0))</f>
        <v>1</v>
      </c>
      <c r="U1867" s="161" t="b">
        <f t="array" ref="U1867">index('Query Tool'!B:B,match(C1867,'Query Tool'!C:C,0))</f>
        <v>0</v>
      </c>
      <c r="V1867" s="161" t="b">
        <f>F1867&gt;='Query Tool'!C$32</f>
        <v>1</v>
      </c>
      <c r="W1867" s="161" t="b">
        <f t="array" ref="W1867">index(Dropdowns!B:B,match(I1867,Dropdowns!A:A,0))</f>
        <v>1</v>
      </c>
      <c r="X1867" s="161" t="b">
        <f t="array" ref="X1867">index('Query Tool'!B:B,match(D1867,'Query Tool'!C:C,0))</f>
        <v>1</v>
      </c>
      <c r="Y1867" s="161" t="str">
        <f t="shared" si="6"/>
        <v>sabondo01,2016-17</v>
      </c>
      <c r="Z1867" s="168">
        <f t="array" ref="Z1867">iferror(index(I:I,match($A1867&amp;","&amp;index('Year Conversion'!$A:$A,match($C1867,'Year Conversion'!$B:$B,0)),$Y:$Y,0))-I1867,"")</f>
        <v>1</v>
      </c>
      <c r="AA1867" s="168">
        <f t="array" ref="AA1867">iferror(index(J:J,match($A1867&amp;","&amp;index('Year Conversion'!$A:$A,match($C1867,'Year Conversion'!$B:$B,0)),$Y:$Y,0))-J1867,"")</f>
        <v>1.617663753</v>
      </c>
      <c r="AB1867" s="168">
        <f t="array" ref="AB1867">iferror(index(K:K,match($A1867&amp;","&amp;index('Year Conversion'!$A:$A,match($C1867,'Year Conversion'!$B:$B,0)),$Y:$Y,0))-K1867,"")</f>
        <v>3.202719993</v>
      </c>
      <c r="AC1867" s="168" t="str">
        <f t="shared" si="7"/>
        <v>OKC,2016-17</v>
      </c>
    </row>
    <row r="1868">
      <c r="A1868" s="161" t="str">
        <f>IFERROR(__xludf.DUMMYFUNCTION("""COMPUTED_VALUE"""),"baldwwa01")</f>
        <v>baldwwa01</v>
      </c>
      <c r="B1868" s="161" t="str">
        <f>IFERROR(__xludf.DUMMYFUNCTION("""COMPUTED_VALUE"""),"Wade Baldwin IV")</f>
        <v>Wade Baldwin IV</v>
      </c>
      <c r="C1868" s="162" t="str">
        <f>IFERROR(__xludf.DUMMYFUNCTION("""COMPUTED_VALUE"""),"2016-17")</f>
        <v>2016-17</v>
      </c>
      <c r="D1868" s="163" t="str">
        <f>IFERROR(__xludf.DUMMYFUNCTION("""COMPUTED_VALUE"""),"MEM")</f>
        <v>MEM</v>
      </c>
      <c r="E1868" s="164" t="str">
        <f>IFERROR(__xludf.DUMMYFUNCTION("""COMPUTED_VALUE"""),"Slasher")</f>
        <v>Slasher</v>
      </c>
      <c r="F1868" s="164">
        <f>IFERROR(__xludf.DUMMYFUNCTION("""COMPUTED_VALUE"""),404.955)</f>
        <v>404.955</v>
      </c>
      <c r="G1868" s="163">
        <f>IFERROR(__xludf.DUMMYFUNCTION("""COMPUTED_VALUE"""),33.0)</f>
        <v>33</v>
      </c>
      <c r="H1868" s="163" t="str">
        <f>IFERROR(__xludf.DUMMYFUNCTION("""COMPUTED_VALUE"""),"PG")</f>
        <v>PG</v>
      </c>
      <c r="I1868" s="163">
        <f>IFERROR(__xludf.DUMMYFUNCTION("""COMPUTED_VALUE"""),20.0)</f>
        <v>20</v>
      </c>
      <c r="J1868" s="165">
        <f>IFERROR(__xludf.DUMMYFUNCTION("""COMPUTED_VALUE"""),-3.6083909696214)</f>
        <v>-3.60839097</v>
      </c>
      <c r="K1868" s="165">
        <f>IFERROR(__xludf.DUMMYFUNCTION("""COMPUTED_VALUE"""),-3.08785851599393)</f>
        <v>-3.087858516</v>
      </c>
      <c r="L1868" s="165">
        <f>IFERROR(__xludf.DUMMYFUNCTION("""COMPUTED_VALUE"""),-0.520532453627472)</f>
        <v>-0.5205324536</v>
      </c>
      <c r="M1868" s="166">
        <f t="shared" si="2"/>
        <v>-0.3434031211</v>
      </c>
      <c r="N1868" s="167">
        <f t="shared" si="3"/>
        <v>12.27136364</v>
      </c>
      <c r="O1868" s="163">
        <f t="shared" ref="O1868:Q1868" si="1872">rank(I1868,I:I)</f>
        <v>3770</v>
      </c>
      <c r="P1868" s="163">
        <f t="shared" si="1872"/>
        <v>3976</v>
      </c>
      <c r="Q1868" s="163">
        <f t="shared" si="1872"/>
        <v>3985</v>
      </c>
      <c r="R1868" s="163">
        <f>IFERROR(__xludf.DUMMYFUNCTION("RANK(M1868,filter(M:M,C:C=C1868))"),469.0)</f>
        <v>469</v>
      </c>
      <c r="S1868" s="161" t="b">
        <f t="shared" si="5"/>
        <v>0</v>
      </c>
      <c r="T1868" s="161" t="b">
        <f t="array" ref="T1868">index('Query Tool'!B:B,match(H1868,'Query Tool'!C:C,0))</f>
        <v>1</v>
      </c>
      <c r="U1868" s="161" t="b">
        <f t="array" ref="U1868">index('Query Tool'!B:B,match(C1868,'Query Tool'!C:C,0))</f>
        <v>0</v>
      </c>
      <c r="V1868" s="161" t="b">
        <f>F1868&gt;='Query Tool'!C$32</f>
        <v>0</v>
      </c>
      <c r="W1868" s="161" t="b">
        <f t="array" ref="W1868">index(Dropdowns!B:B,match(I1868,Dropdowns!A:A,0))</f>
        <v>1</v>
      </c>
      <c r="X1868" s="161" t="b">
        <f t="array" ref="X1868">index('Query Tool'!B:B,match(D1868,'Query Tool'!C:C,0))</f>
        <v>1</v>
      </c>
      <c r="Y1868" s="161" t="str">
        <f t="shared" si="6"/>
        <v>baldwwa01,2016-17</v>
      </c>
      <c r="Z1868" s="168">
        <f t="array" ref="Z1868">iferror(index(I:I,match($A1868&amp;","&amp;index('Year Conversion'!$A:$A,match($C1868,'Year Conversion'!$B:$B,0)),$Y:$Y,0))-I1868,"")</f>
        <v>1</v>
      </c>
      <c r="AA1868" s="168">
        <f t="array" ref="AA1868">iferror(index(J:J,match($A1868&amp;","&amp;index('Year Conversion'!$A:$A,match($C1868,'Year Conversion'!$B:$B,0)),$Y:$Y,0))-J1868,"")</f>
        <v>3.086280028</v>
      </c>
      <c r="AB1868" s="168">
        <f t="array" ref="AB1868">iferror(index(K:K,match($A1868&amp;","&amp;index('Year Conversion'!$A:$A,match($C1868,'Year Conversion'!$B:$B,0)),$Y:$Y,0))-K1868,"")</f>
        <v>2.738936574</v>
      </c>
      <c r="AC1868" s="168" t="str">
        <f t="shared" si="7"/>
        <v>MEM,2016-17</v>
      </c>
    </row>
    <row r="1869">
      <c r="A1869" s="161" t="str">
        <f>IFERROR(__xludf.DUMMYFUNCTION("""COMPUTED_VALUE"""),"beaslma01")</f>
        <v>beaslma01</v>
      </c>
      <c r="B1869" s="161" t="str">
        <f>IFERROR(__xludf.DUMMYFUNCTION("""COMPUTED_VALUE"""),"Malik Beasley")</f>
        <v>Malik Beasley</v>
      </c>
      <c r="C1869" s="162" t="str">
        <f>IFERROR(__xludf.DUMMYFUNCTION("""COMPUTED_VALUE"""),"2016-17")</f>
        <v>2016-17</v>
      </c>
      <c r="D1869" s="163" t="str">
        <f>IFERROR(__xludf.DUMMYFUNCTION("""COMPUTED_VALUE"""),"DEN")</f>
        <v>DEN</v>
      </c>
      <c r="E1869" s="164" t="str">
        <f>IFERROR(__xludf.DUMMYFUNCTION("""COMPUTED_VALUE"""),"Movement Shooter")</f>
        <v>Movement Shooter</v>
      </c>
      <c r="F1869" s="164">
        <f>IFERROR(__xludf.DUMMYFUNCTION("""COMPUTED_VALUE"""),164.895)</f>
        <v>164.895</v>
      </c>
      <c r="G1869" s="163">
        <f>IFERROR(__xludf.DUMMYFUNCTION("""COMPUTED_VALUE"""),22.0)</f>
        <v>22</v>
      </c>
      <c r="H1869" s="163" t="str">
        <f>IFERROR(__xludf.DUMMYFUNCTION("""COMPUTED_VALUE"""),"SG")</f>
        <v>SG</v>
      </c>
      <c r="I1869" s="163">
        <f>IFERROR(__xludf.DUMMYFUNCTION("""COMPUTED_VALUE"""),20.0)</f>
        <v>20</v>
      </c>
      <c r="J1869" s="165">
        <f>IFERROR(__xludf.DUMMYFUNCTION("""COMPUTED_VALUE"""),-0.245073792745098)</f>
        <v>-0.2450737927</v>
      </c>
      <c r="K1869" s="165">
        <f>IFERROR(__xludf.DUMMYFUNCTION("""COMPUTED_VALUE"""),-0.276159889241127)</f>
        <v>-0.2761598892</v>
      </c>
      <c r="L1869" s="165">
        <f>IFERROR(__xludf.DUMMYFUNCTION("""COMPUTED_VALUE"""),0.0310860964960294)</f>
        <v>0.0310860965</v>
      </c>
      <c r="M1869" s="166">
        <f t="shared" si="2"/>
        <v>0.2269704147</v>
      </c>
      <c r="N1869" s="167">
        <f t="shared" si="3"/>
        <v>7.495227273</v>
      </c>
      <c r="O1869" s="163">
        <f t="shared" ref="O1869:Q1869" si="1873">rank(I1869,I:I)</f>
        <v>3770</v>
      </c>
      <c r="P1869" s="163">
        <f t="shared" si="1873"/>
        <v>1553</v>
      </c>
      <c r="Q1869" s="163">
        <f t="shared" si="1873"/>
        <v>1716</v>
      </c>
      <c r="R1869" s="163">
        <f>IFERROR(__xludf.DUMMYFUNCTION("RANK(M1869,filter(M:M,C:C=C1869))"),332.0)</f>
        <v>332</v>
      </c>
      <c r="S1869" s="161" t="b">
        <f t="shared" si="5"/>
        <v>0</v>
      </c>
      <c r="T1869" s="161" t="b">
        <f t="array" ref="T1869">index('Query Tool'!B:B,match(H1869,'Query Tool'!C:C,0))</f>
        <v>1</v>
      </c>
      <c r="U1869" s="161" t="b">
        <f t="array" ref="U1869">index('Query Tool'!B:B,match(C1869,'Query Tool'!C:C,0))</f>
        <v>0</v>
      </c>
      <c r="V1869" s="161" t="b">
        <f>F1869&gt;='Query Tool'!C$32</f>
        <v>0</v>
      </c>
      <c r="W1869" s="161" t="b">
        <f t="array" ref="W1869">index(Dropdowns!B:B,match(I1869,Dropdowns!A:A,0))</f>
        <v>1</v>
      </c>
      <c r="X1869" s="161" t="b">
        <f t="array" ref="X1869">index('Query Tool'!B:B,match(D1869,'Query Tool'!C:C,0))</f>
        <v>1</v>
      </c>
      <c r="Y1869" s="161" t="str">
        <f t="shared" si="6"/>
        <v>beaslma01,2016-17</v>
      </c>
      <c r="Z1869" s="168">
        <f t="array" ref="Z1869">iferror(index(I:I,match($A1869&amp;","&amp;index('Year Conversion'!$A:$A,match($C1869,'Year Conversion'!$B:$B,0)),$Y:$Y,0))-I1869,"")</f>
        <v>1</v>
      </c>
      <c r="AA1869" s="168">
        <f t="array" ref="AA1869">iferror(index(J:J,match($A1869&amp;","&amp;index('Year Conversion'!$A:$A,match($C1869,'Year Conversion'!$B:$B,0)),$Y:$Y,0))-J1869,"")</f>
        <v>-1.538437905</v>
      </c>
      <c r="AB1869" s="168">
        <f t="array" ref="AB1869">iferror(index(K:K,match($A1869&amp;","&amp;index('Year Conversion'!$A:$A,match($C1869,'Year Conversion'!$B:$B,0)),$Y:$Y,0))-K1869,"")</f>
        <v>-0.8233041353</v>
      </c>
      <c r="AC1869" s="168" t="str">
        <f t="shared" si="7"/>
        <v>DEN,2016-17</v>
      </c>
    </row>
    <row r="1870">
      <c r="A1870" s="161" t="str">
        <f>IFERROR(__xludf.DUMMYFUNCTION("""COMPUTED_VALUE"""),"chrisma01")</f>
        <v>chrisma01</v>
      </c>
      <c r="B1870" s="161" t="str">
        <f>IFERROR(__xludf.DUMMYFUNCTION("""COMPUTED_VALUE"""),"Marquese Chriss")</f>
        <v>Marquese Chriss</v>
      </c>
      <c r="C1870" s="162" t="str">
        <f>IFERROR(__xludf.DUMMYFUNCTION("""COMPUTED_VALUE"""),"2016-17")</f>
        <v>2016-17</v>
      </c>
      <c r="D1870" s="163" t="str">
        <f>IFERROR(__xludf.DUMMYFUNCTION("""COMPUTED_VALUE"""),"PHO")</f>
        <v>PHO</v>
      </c>
      <c r="E1870" s="164" t="str">
        <f>IFERROR(__xludf.DUMMYFUNCTION("""COMPUTED_VALUE"""),"Stretch Big")</f>
        <v>Stretch Big</v>
      </c>
      <c r="F1870" s="164">
        <f>IFERROR(__xludf.DUMMYFUNCTION("""COMPUTED_VALUE"""),1743.36)</f>
        <v>1743.36</v>
      </c>
      <c r="G1870" s="163">
        <f>IFERROR(__xludf.DUMMYFUNCTION("""COMPUTED_VALUE"""),82.0)</f>
        <v>82</v>
      </c>
      <c r="H1870" s="163" t="str">
        <f>IFERROR(__xludf.DUMMYFUNCTION("""COMPUTED_VALUE"""),"PF")</f>
        <v>PF</v>
      </c>
      <c r="I1870" s="163">
        <f>IFERROR(__xludf.DUMMYFUNCTION("""COMPUTED_VALUE"""),19.0)</f>
        <v>19</v>
      </c>
      <c r="J1870" s="165">
        <f>IFERROR(__xludf.DUMMYFUNCTION("""COMPUTED_VALUE"""),-1.24613915422379)</f>
        <v>-1.246139154</v>
      </c>
      <c r="K1870" s="165">
        <f>IFERROR(__xludf.DUMMYFUNCTION("""COMPUTED_VALUE"""),-1.40464614166159)</f>
        <v>-1.404646142</v>
      </c>
      <c r="L1870" s="165">
        <f>IFERROR(__xludf.DUMMYFUNCTION("""COMPUTED_VALUE"""),0.158506987437802)</f>
        <v>0.1585069874</v>
      </c>
      <c r="M1870" s="166">
        <f t="shared" si="2"/>
        <v>1.226174846</v>
      </c>
      <c r="N1870" s="167">
        <f t="shared" si="3"/>
        <v>21.2604878</v>
      </c>
      <c r="O1870" s="163">
        <f t="shared" ref="O1870:Q1870" si="1874">rank(I1870,I:I)</f>
        <v>3945</v>
      </c>
      <c r="P1870" s="163">
        <f t="shared" si="1874"/>
        <v>2810</v>
      </c>
      <c r="Q1870" s="163">
        <f t="shared" si="1874"/>
        <v>3255</v>
      </c>
      <c r="R1870" s="163">
        <f>IFERROR(__xludf.DUMMYFUNCTION("RANK(M1870,filter(M:M,C:C=C1870))"),206.0)</f>
        <v>206</v>
      </c>
      <c r="S1870" s="161" t="b">
        <f t="shared" si="5"/>
        <v>0</v>
      </c>
      <c r="T1870" s="161" t="b">
        <f t="array" ref="T1870">index('Query Tool'!B:B,match(H1870,'Query Tool'!C:C,0))</f>
        <v>1</v>
      </c>
      <c r="U1870" s="161" t="b">
        <f t="array" ref="U1870">index('Query Tool'!B:B,match(C1870,'Query Tool'!C:C,0))</f>
        <v>0</v>
      </c>
      <c r="V1870" s="161" t="b">
        <f>F1870&gt;='Query Tool'!C$32</f>
        <v>1</v>
      </c>
      <c r="W1870" s="161" t="b">
        <f t="array" ref="W1870">index(Dropdowns!B:B,match(I1870,Dropdowns!A:A,0))</f>
        <v>1</v>
      </c>
      <c r="X1870" s="161" t="b">
        <f t="array" ref="X1870">index('Query Tool'!B:B,match(D1870,'Query Tool'!C:C,0))</f>
        <v>1</v>
      </c>
      <c r="Y1870" s="161" t="str">
        <f t="shared" si="6"/>
        <v>chrisma01,2016-17</v>
      </c>
      <c r="Z1870" s="168">
        <f t="array" ref="Z1870">iferror(index(I:I,match($A1870&amp;","&amp;index('Year Conversion'!$A:$A,match($C1870,'Year Conversion'!$B:$B,0)),$Y:$Y,0))-I1870,"")</f>
        <v>1</v>
      </c>
      <c r="AA1870" s="168">
        <f t="array" ref="AA1870">iferror(index(J:J,match($A1870&amp;","&amp;index('Year Conversion'!$A:$A,match($C1870,'Year Conversion'!$B:$B,0)),$Y:$Y,0))-J1870,"")</f>
        <v>0.7318657491</v>
      </c>
      <c r="AB1870" s="168">
        <f t="array" ref="AB1870">iferror(index(K:K,match($A1870&amp;","&amp;index('Year Conversion'!$A:$A,match($C1870,'Year Conversion'!$B:$B,0)),$Y:$Y,0))-K1870,"")</f>
        <v>-0.478723624</v>
      </c>
      <c r="AC1870" s="168" t="str">
        <f t="shared" si="7"/>
        <v>PHO,2016-17</v>
      </c>
    </row>
    <row r="1871">
      <c r="A1871" s="161" t="str">
        <f>IFERROR(__xludf.DUMMYFUNCTION("""COMPUTED_VALUE"""),"davisde01")</f>
        <v>davisde01</v>
      </c>
      <c r="B1871" s="161" t="str">
        <f>IFERROR(__xludf.DUMMYFUNCTION("""COMPUTED_VALUE"""),"Deyonta Davis")</f>
        <v>Deyonta Davis</v>
      </c>
      <c r="C1871" s="162" t="str">
        <f>IFERROR(__xludf.DUMMYFUNCTION("""COMPUTED_VALUE"""),"2016-17")</f>
        <v>2016-17</v>
      </c>
      <c r="D1871" s="163" t="str">
        <f>IFERROR(__xludf.DUMMYFUNCTION("""COMPUTED_VALUE"""),"MEM")</f>
        <v>MEM</v>
      </c>
      <c r="E1871" s="164" t="str">
        <f>IFERROR(__xludf.DUMMYFUNCTION("""COMPUTED_VALUE"""),"Roll + Cut Big")</f>
        <v>Roll + Cut Big</v>
      </c>
      <c r="F1871" s="164">
        <f>IFERROR(__xludf.DUMMYFUNCTION("""COMPUTED_VALUE"""),238.05)</f>
        <v>238.05</v>
      </c>
      <c r="G1871" s="163">
        <f>IFERROR(__xludf.DUMMYFUNCTION("""COMPUTED_VALUE"""),36.0)</f>
        <v>36</v>
      </c>
      <c r="H1871" s="163" t="str">
        <f>IFERROR(__xludf.DUMMYFUNCTION("""COMPUTED_VALUE"""),"C")</f>
        <v>C</v>
      </c>
      <c r="I1871" s="163">
        <f>IFERROR(__xludf.DUMMYFUNCTION("""COMPUTED_VALUE"""),20.0)</f>
        <v>20</v>
      </c>
      <c r="J1871" s="165">
        <f>IFERROR(__xludf.DUMMYFUNCTION("""COMPUTED_VALUE"""),-1.07466713968695)</f>
        <v>-1.07466714</v>
      </c>
      <c r="K1871" s="165">
        <f>IFERROR(__xludf.DUMMYFUNCTION("""COMPUTED_VALUE"""),-2.13480136583023)</f>
        <v>-2.134801366</v>
      </c>
      <c r="L1871" s="165">
        <f>IFERROR(__xludf.DUMMYFUNCTION("""COMPUTED_VALUE"""),1.06013422614328)</f>
        <v>1.060134226</v>
      </c>
      <c r="M1871" s="166">
        <f t="shared" si="2"/>
        <v>0.1947956522</v>
      </c>
      <c r="N1871" s="167">
        <f t="shared" si="3"/>
        <v>6.6125</v>
      </c>
      <c r="O1871" s="163">
        <f t="shared" ref="O1871:Q1871" si="1875">rank(I1871,I:I)</f>
        <v>3770</v>
      </c>
      <c r="P1871" s="163">
        <f t="shared" si="1875"/>
        <v>2582</v>
      </c>
      <c r="Q1871" s="163">
        <f t="shared" si="1875"/>
        <v>3778</v>
      </c>
      <c r="R1871" s="163">
        <f>IFERROR(__xludf.DUMMYFUNCTION("RANK(M1871,filter(M:M,C:C=C1871))"),343.0)</f>
        <v>343</v>
      </c>
      <c r="S1871" s="161" t="b">
        <f t="shared" si="5"/>
        <v>0</v>
      </c>
      <c r="T1871" s="161" t="b">
        <f t="array" ref="T1871">index('Query Tool'!B:B,match(H1871,'Query Tool'!C:C,0))</f>
        <v>1</v>
      </c>
      <c r="U1871" s="161" t="b">
        <f t="array" ref="U1871">index('Query Tool'!B:B,match(C1871,'Query Tool'!C:C,0))</f>
        <v>0</v>
      </c>
      <c r="V1871" s="161" t="b">
        <f>F1871&gt;='Query Tool'!C$32</f>
        <v>0</v>
      </c>
      <c r="W1871" s="161" t="b">
        <f t="array" ref="W1871">index(Dropdowns!B:B,match(I1871,Dropdowns!A:A,0))</f>
        <v>1</v>
      </c>
      <c r="X1871" s="161" t="b">
        <f t="array" ref="X1871">index('Query Tool'!B:B,match(D1871,'Query Tool'!C:C,0))</f>
        <v>1</v>
      </c>
      <c r="Y1871" s="161" t="str">
        <f t="shared" si="6"/>
        <v>davisde01,2016-17</v>
      </c>
      <c r="Z1871" s="168">
        <f t="array" ref="Z1871">iferror(index(I:I,match($A1871&amp;","&amp;index('Year Conversion'!$A:$A,match($C1871,'Year Conversion'!$B:$B,0)),$Y:$Y,0))-I1871,"")</f>
        <v>1</v>
      </c>
      <c r="AA1871" s="168">
        <f t="array" ref="AA1871">iferror(index(J:J,match($A1871&amp;","&amp;index('Year Conversion'!$A:$A,match($C1871,'Year Conversion'!$B:$B,0)),$Y:$Y,0))-J1871,"")</f>
        <v>-0.989106212</v>
      </c>
      <c r="AB1871" s="168">
        <f t="array" ref="AB1871">iferror(index(K:K,match($A1871&amp;","&amp;index('Year Conversion'!$A:$A,match($C1871,'Year Conversion'!$B:$B,0)),$Y:$Y,0))-K1871,"")</f>
        <v>1.06389184</v>
      </c>
      <c r="AC1871" s="168" t="str">
        <f t="shared" si="7"/>
        <v>MEM,2016-17</v>
      </c>
    </row>
    <row r="1872">
      <c r="A1872" s="161" t="str">
        <f>IFERROR(__xludf.DUMMYFUNCTION("""COMPUTED_VALUE"""),"dunnkr01")</f>
        <v>dunnkr01</v>
      </c>
      <c r="B1872" s="161" t="str">
        <f>IFERROR(__xludf.DUMMYFUNCTION("""COMPUTED_VALUE"""),"Kris Dunn")</f>
        <v>Kris Dunn</v>
      </c>
      <c r="C1872" s="162" t="str">
        <f>IFERROR(__xludf.DUMMYFUNCTION("""COMPUTED_VALUE"""),"2016-17")</f>
        <v>2016-17</v>
      </c>
      <c r="D1872" s="163" t="str">
        <f>IFERROR(__xludf.DUMMYFUNCTION("""COMPUTED_VALUE"""),"MIN")</f>
        <v>MIN</v>
      </c>
      <c r="E1872" s="164" t="str">
        <f>IFERROR(__xludf.DUMMYFUNCTION("""COMPUTED_VALUE"""),"Primary Ball Handler")</f>
        <v>Primary Ball Handler</v>
      </c>
      <c r="F1872" s="164">
        <f>IFERROR(__xludf.DUMMYFUNCTION("""COMPUTED_VALUE"""),1333.0)</f>
        <v>1333</v>
      </c>
      <c r="G1872" s="163">
        <f>IFERROR(__xludf.DUMMYFUNCTION("""COMPUTED_VALUE"""),78.0)</f>
        <v>78</v>
      </c>
      <c r="H1872" s="163" t="str">
        <f>IFERROR(__xludf.DUMMYFUNCTION("""COMPUTED_VALUE"""),"PG")</f>
        <v>PG</v>
      </c>
      <c r="I1872" s="163">
        <f>IFERROR(__xludf.DUMMYFUNCTION("""COMPUTED_VALUE"""),22.0)</f>
        <v>22</v>
      </c>
      <c r="J1872" s="165">
        <f>IFERROR(__xludf.DUMMYFUNCTION("""COMPUTED_VALUE"""),-1.67312171400522)</f>
        <v>-1.673121714</v>
      </c>
      <c r="K1872" s="165">
        <f>IFERROR(__xludf.DUMMYFUNCTION("""COMPUTED_VALUE"""),-1.8503656529458)</f>
        <v>-1.850365653</v>
      </c>
      <c r="L1872" s="165">
        <f>IFERROR(__xludf.DUMMYFUNCTION("""COMPUTED_VALUE"""),0.177243938940588)</f>
        <v>0.1772439389</v>
      </c>
      <c r="M1872" s="166">
        <f t="shared" si="2"/>
        <v>0.5572356843</v>
      </c>
      <c r="N1872" s="167">
        <f t="shared" si="3"/>
        <v>17.08974359</v>
      </c>
      <c r="O1872" s="163">
        <f t="shared" ref="O1872:Q1872" si="1876">rank(I1872,I:I)</f>
        <v>3178</v>
      </c>
      <c r="P1872" s="163">
        <f t="shared" si="1876"/>
        <v>3215</v>
      </c>
      <c r="Q1872" s="163">
        <f t="shared" si="1876"/>
        <v>3605</v>
      </c>
      <c r="R1872" s="163">
        <f>IFERROR(__xludf.DUMMYFUNCTION("RANK(M1872,filter(M:M,C:C=C1872))"),272.0)</f>
        <v>272</v>
      </c>
      <c r="S1872" s="161" t="b">
        <f t="shared" si="5"/>
        <v>0</v>
      </c>
      <c r="T1872" s="161" t="b">
        <f t="array" ref="T1872">index('Query Tool'!B:B,match(H1872,'Query Tool'!C:C,0))</f>
        <v>1</v>
      </c>
      <c r="U1872" s="161" t="b">
        <f t="array" ref="U1872">index('Query Tool'!B:B,match(C1872,'Query Tool'!C:C,0))</f>
        <v>0</v>
      </c>
      <c r="V1872" s="161" t="b">
        <f>F1872&gt;='Query Tool'!C$32</f>
        <v>1</v>
      </c>
      <c r="W1872" s="161" t="b">
        <f t="array" ref="W1872">index(Dropdowns!B:B,match(I1872,Dropdowns!A:A,0))</f>
        <v>1</v>
      </c>
      <c r="X1872" s="161" t="b">
        <f t="array" ref="X1872">index('Query Tool'!B:B,match(D1872,'Query Tool'!C:C,0))</f>
        <v>1</v>
      </c>
      <c r="Y1872" s="161" t="str">
        <f t="shared" si="6"/>
        <v>dunnkr01,2016-17</v>
      </c>
      <c r="Z1872" s="168">
        <f t="array" ref="Z1872">iferror(index(I:I,match($A1872&amp;","&amp;index('Year Conversion'!$A:$A,match($C1872,'Year Conversion'!$B:$B,0)),$Y:$Y,0))-I1872,"")</f>
        <v>1</v>
      </c>
      <c r="AA1872" s="168">
        <f t="array" ref="AA1872">iferror(index(J:J,match($A1872&amp;","&amp;index('Year Conversion'!$A:$A,match($C1872,'Year Conversion'!$B:$B,0)),$Y:$Y,0))-J1872,"")</f>
        <v>0.9325383323</v>
      </c>
      <c r="AB1872" s="168">
        <f t="array" ref="AB1872">iferror(index(K:K,match($A1872&amp;","&amp;index('Year Conversion'!$A:$A,match($C1872,'Year Conversion'!$B:$B,0)),$Y:$Y,0))-K1872,"")</f>
        <v>0.8103468096</v>
      </c>
      <c r="AC1872" s="168" t="str">
        <f t="shared" si="7"/>
        <v>MIN,2016-17</v>
      </c>
    </row>
    <row r="1873">
      <c r="A1873" s="161" t="str">
        <f>IFERROR(__xludf.DUMMYFUNCTION("""COMPUTED_VALUE"""),"ellenhe01")</f>
        <v>ellenhe01</v>
      </c>
      <c r="B1873" s="161" t="str">
        <f>IFERROR(__xludf.DUMMYFUNCTION("""COMPUTED_VALUE"""),"Henry Ellenson")</f>
        <v>Henry Ellenson</v>
      </c>
      <c r="C1873" s="162" t="str">
        <f>IFERROR(__xludf.DUMMYFUNCTION("""COMPUTED_VALUE"""),"2016-17")</f>
        <v>2016-17</v>
      </c>
      <c r="D1873" s="163" t="str">
        <f>IFERROR(__xludf.DUMMYFUNCTION("""COMPUTED_VALUE"""),"DET")</f>
        <v>DET</v>
      </c>
      <c r="E1873" s="164" t="str">
        <f>IFERROR(__xludf.DUMMYFUNCTION("""COMPUTED_VALUE"""),"Stretch Big")</f>
        <v>Stretch Big</v>
      </c>
      <c r="F1873" s="164">
        <f>IFERROR(__xludf.DUMMYFUNCTION("""COMPUTED_VALUE"""),146.243333333333)</f>
        <v>146.2433333</v>
      </c>
      <c r="G1873" s="163">
        <f>IFERROR(__xludf.DUMMYFUNCTION("""COMPUTED_VALUE"""),19.0)</f>
        <v>19</v>
      </c>
      <c r="H1873" s="163" t="str">
        <f>IFERROR(__xludf.DUMMYFUNCTION("""COMPUTED_VALUE"""),"PF")</f>
        <v>PF</v>
      </c>
      <c r="I1873" s="163">
        <f>IFERROR(__xludf.DUMMYFUNCTION("""COMPUTED_VALUE"""),20.0)</f>
        <v>20</v>
      </c>
      <c r="J1873" s="165">
        <f>IFERROR(__xludf.DUMMYFUNCTION("""COMPUTED_VALUE"""),-0.189479385183427)</f>
        <v>-0.1894793852</v>
      </c>
      <c r="K1873" s="165">
        <f>IFERROR(__xludf.DUMMYFUNCTION("""COMPUTED_VALUE"""),-0.133474471787625)</f>
        <v>-0.1334744718</v>
      </c>
      <c r="L1873" s="165">
        <f>IFERROR(__xludf.DUMMYFUNCTION("""COMPUTED_VALUE"""),-0.0560049133958016)</f>
        <v>-0.0560049134</v>
      </c>
      <c r="M1873" s="166">
        <f t="shared" si="2"/>
        <v>0.2067775388</v>
      </c>
      <c r="N1873" s="167">
        <f t="shared" si="3"/>
        <v>7.697017544</v>
      </c>
      <c r="O1873" s="163">
        <f t="shared" ref="O1873:Q1873" si="1877">rank(I1873,I:I)</f>
        <v>3770</v>
      </c>
      <c r="P1873" s="163">
        <f t="shared" si="1877"/>
        <v>1495</v>
      </c>
      <c r="Q1873" s="163">
        <f t="shared" si="1877"/>
        <v>1448</v>
      </c>
      <c r="R1873" s="163">
        <f>IFERROR(__xludf.DUMMYFUNCTION("RANK(M1873,filter(M:M,C:C=C1873))"),338.0)</f>
        <v>338</v>
      </c>
      <c r="S1873" s="161" t="b">
        <f t="shared" si="5"/>
        <v>0</v>
      </c>
      <c r="T1873" s="161" t="b">
        <f t="array" ref="T1873">index('Query Tool'!B:B,match(H1873,'Query Tool'!C:C,0))</f>
        <v>1</v>
      </c>
      <c r="U1873" s="161" t="b">
        <f t="array" ref="U1873">index('Query Tool'!B:B,match(C1873,'Query Tool'!C:C,0))</f>
        <v>0</v>
      </c>
      <c r="V1873" s="161" t="b">
        <f>F1873&gt;='Query Tool'!C$32</f>
        <v>0</v>
      </c>
      <c r="W1873" s="161" t="b">
        <f t="array" ref="W1873">index(Dropdowns!B:B,match(I1873,Dropdowns!A:A,0))</f>
        <v>1</v>
      </c>
      <c r="X1873" s="161" t="b">
        <f t="array" ref="X1873">index('Query Tool'!B:B,match(D1873,'Query Tool'!C:C,0))</f>
        <v>1</v>
      </c>
      <c r="Y1873" s="161" t="str">
        <f t="shared" si="6"/>
        <v>ellenhe01,2016-17</v>
      </c>
      <c r="Z1873" s="168">
        <f t="array" ref="Z1873">iferror(index(I:I,match($A1873&amp;","&amp;index('Year Conversion'!$A:$A,match($C1873,'Year Conversion'!$B:$B,0)),$Y:$Y,0))-I1873,"")</f>
        <v>1</v>
      </c>
      <c r="AA1873" s="168">
        <f t="array" ref="AA1873">iferror(index(J:J,match($A1873&amp;","&amp;index('Year Conversion'!$A:$A,match($C1873,'Year Conversion'!$B:$B,0)),$Y:$Y,0))-J1873,"")</f>
        <v>-1.081044014</v>
      </c>
      <c r="AB1873" s="168">
        <f t="array" ref="AB1873">iferror(index(K:K,match($A1873&amp;","&amp;index('Year Conversion'!$A:$A,match($C1873,'Year Conversion'!$B:$B,0)),$Y:$Y,0))-K1873,"")</f>
        <v>-0.3957036643</v>
      </c>
      <c r="AC1873" s="168" t="str">
        <f t="shared" si="7"/>
        <v>DET,2016-17</v>
      </c>
    </row>
    <row r="1874">
      <c r="A1874" s="161" t="str">
        <f>IFERROR(__xludf.DUMMYFUNCTION("""COMPUTED_VALUE"""),"hieldbu01")</f>
        <v>hieldbu01</v>
      </c>
      <c r="B1874" s="161" t="str">
        <f>IFERROR(__xludf.DUMMYFUNCTION("""COMPUTED_VALUE"""),"Buddy Hield")</f>
        <v>Buddy Hield</v>
      </c>
      <c r="C1874" s="162" t="str">
        <f>IFERROR(__xludf.DUMMYFUNCTION("""COMPUTED_VALUE"""),"2016-17")</f>
        <v>2016-17</v>
      </c>
      <c r="D1874" s="163" t="str">
        <f>IFERROR(__xludf.DUMMYFUNCTION("""COMPUTED_VALUE"""),"TOT")</f>
        <v>TOT</v>
      </c>
      <c r="E1874" s="164" t="str">
        <f>IFERROR(__xludf.DUMMYFUNCTION("""COMPUTED_VALUE"""),"Secondary Ball Handler")</f>
        <v>Secondary Ball Handler</v>
      </c>
      <c r="F1874" s="164">
        <f>IFERROR(__xludf.DUMMYFUNCTION("""COMPUTED_VALUE"""),1888.18333333333)</f>
        <v>1888.183333</v>
      </c>
      <c r="G1874" s="163">
        <f>IFERROR(__xludf.DUMMYFUNCTION("""COMPUTED_VALUE"""),82.0)</f>
        <v>82</v>
      </c>
      <c r="H1874" s="163" t="str">
        <f>IFERROR(__xludf.DUMMYFUNCTION("""COMPUTED_VALUE"""),"SG")</f>
        <v>SG</v>
      </c>
      <c r="I1874" s="163">
        <f>IFERROR(__xludf.DUMMYFUNCTION("""COMPUTED_VALUE"""),24.0)</f>
        <v>24</v>
      </c>
      <c r="J1874" s="165">
        <f>IFERROR(__xludf.DUMMYFUNCTION("""COMPUTED_VALUE"""),-3.05223142518086)</f>
        <v>-3.052231425</v>
      </c>
      <c r="K1874" s="165">
        <f>IFERROR(__xludf.DUMMYFUNCTION("""COMPUTED_VALUE"""),-1.34283734825467)</f>
        <v>-1.342837348</v>
      </c>
      <c r="L1874" s="165">
        <f>IFERROR(__xludf.DUMMYFUNCTION("""COMPUTED_VALUE"""),-1.70939407692619)</f>
        <v>-1.709394077</v>
      </c>
      <c r="M1874" s="166">
        <f t="shared" si="2"/>
        <v>-0.9250050339</v>
      </c>
      <c r="N1874" s="167">
        <f t="shared" si="3"/>
        <v>23.02662602</v>
      </c>
      <c r="O1874" s="163">
        <f t="shared" ref="O1874:Q1874" si="1878">rank(I1874,I:I)</f>
        <v>2361</v>
      </c>
      <c r="P1874" s="163">
        <f t="shared" si="1878"/>
        <v>3896</v>
      </c>
      <c r="Q1874" s="163">
        <f t="shared" si="1878"/>
        <v>3198</v>
      </c>
      <c r="R1874" s="163">
        <f>IFERROR(__xludf.DUMMYFUNCTION("RANK(M1874,filter(M:M,C:C=C1874))"),482.0)</f>
        <v>482</v>
      </c>
      <c r="S1874" s="161" t="b">
        <f t="shared" si="5"/>
        <v>0</v>
      </c>
      <c r="T1874" s="161" t="b">
        <f t="array" ref="T1874">index('Query Tool'!B:B,match(H1874,'Query Tool'!C:C,0))</f>
        <v>1</v>
      </c>
      <c r="U1874" s="161" t="b">
        <f t="array" ref="U1874">index('Query Tool'!B:B,match(C1874,'Query Tool'!C:C,0))</f>
        <v>0</v>
      </c>
      <c r="V1874" s="161" t="b">
        <f>F1874&gt;='Query Tool'!C$32</f>
        <v>1</v>
      </c>
      <c r="W1874" s="161" t="b">
        <f t="array" ref="W1874">index(Dropdowns!B:B,match(I1874,Dropdowns!A:A,0))</f>
        <v>1</v>
      </c>
      <c r="X1874" s="161" t="b">
        <f t="array" ref="X1874">index('Query Tool'!B:B,match(D1874,'Query Tool'!C:C,0))</f>
        <v>1</v>
      </c>
      <c r="Y1874" s="161" t="str">
        <f t="shared" si="6"/>
        <v>hieldbu01,2016-17</v>
      </c>
      <c r="Z1874" s="168">
        <f t="array" ref="Z1874">iferror(index(I:I,match($A1874&amp;","&amp;index('Year Conversion'!$A:$A,match($C1874,'Year Conversion'!$B:$B,0)),$Y:$Y,0))-I1874,"")</f>
        <v>1</v>
      </c>
      <c r="AA1874" s="168">
        <f t="array" ref="AA1874">iferror(index(J:J,match($A1874&amp;","&amp;index('Year Conversion'!$A:$A,match($C1874,'Year Conversion'!$B:$B,0)),$Y:$Y,0))-J1874,"")</f>
        <v>1.644002997</v>
      </c>
      <c r="AB1874" s="168">
        <f t="array" ref="AB1874">iferror(index(K:K,match($A1874&amp;","&amp;index('Year Conversion'!$A:$A,match($C1874,'Year Conversion'!$B:$B,0)),$Y:$Y,0))-K1874,"")</f>
        <v>1.06542935</v>
      </c>
      <c r="AC1874" s="168" t="str">
        <f t="shared" si="7"/>
        <v>TOT,2016-17</v>
      </c>
    </row>
    <row r="1875">
      <c r="A1875" s="161" t="str">
        <f>IFERROR(__xludf.DUMMYFUNCTION("""COMPUTED_VALUE"""),"ingrabr01")</f>
        <v>ingrabr01</v>
      </c>
      <c r="B1875" s="161" t="str">
        <f>IFERROR(__xludf.DUMMYFUNCTION("""COMPUTED_VALUE"""),"Brandon Ingram")</f>
        <v>Brandon Ingram</v>
      </c>
      <c r="C1875" s="162" t="str">
        <f>IFERROR(__xludf.DUMMYFUNCTION("""COMPUTED_VALUE"""),"2016-17")</f>
        <v>2016-17</v>
      </c>
      <c r="D1875" s="163" t="str">
        <f>IFERROR(__xludf.DUMMYFUNCTION("""COMPUTED_VALUE"""),"LAL")</f>
        <v>LAL</v>
      </c>
      <c r="E1875" s="164" t="str">
        <f>IFERROR(__xludf.DUMMYFUNCTION("""COMPUTED_VALUE"""),"Shot Creator")</f>
        <v>Shot Creator</v>
      </c>
      <c r="F1875" s="164">
        <f>IFERROR(__xludf.DUMMYFUNCTION("""COMPUTED_VALUE"""),2279.26166666667)</f>
        <v>2279.261667</v>
      </c>
      <c r="G1875" s="163">
        <f>IFERROR(__xludf.DUMMYFUNCTION("""COMPUTED_VALUE"""),79.0)</f>
        <v>79</v>
      </c>
      <c r="H1875" s="163" t="str">
        <f>IFERROR(__xludf.DUMMYFUNCTION("""COMPUTED_VALUE"""),"SF")</f>
        <v>SF</v>
      </c>
      <c r="I1875" s="163">
        <f>IFERROR(__xludf.DUMMYFUNCTION("""COMPUTED_VALUE"""),19.0)</f>
        <v>19</v>
      </c>
      <c r="J1875" s="165">
        <f>IFERROR(__xludf.DUMMYFUNCTION("""COMPUTED_VALUE"""),-2.32184103108972)</f>
        <v>-2.321841031</v>
      </c>
      <c r="K1875" s="165">
        <f>IFERROR(__xludf.DUMMYFUNCTION("""COMPUTED_VALUE"""),-0.96610348483907)</f>
        <v>-0.9661034848</v>
      </c>
      <c r="L1875" s="165">
        <f>IFERROR(__xludf.DUMMYFUNCTION("""COMPUTED_VALUE"""),-1.35573754625065)</f>
        <v>-1.355737546</v>
      </c>
      <c r="M1875" s="166">
        <f t="shared" si="2"/>
        <v>-0.0275245513</v>
      </c>
      <c r="N1875" s="167">
        <f t="shared" si="3"/>
        <v>28.8514135</v>
      </c>
      <c r="O1875" s="163">
        <f t="shared" ref="O1875:Q1875" si="1879">rank(I1875,I:I)</f>
        <v>3945</v>
      </c>
      <c r="P1875" s="163">
        <f t="shared" si="1879"/>
        <v>3666</v>
      </c>
      <c r="Q1875" s="163">
        <f t="shared" si="1879"/>
        <v>2763</v>
      </c>
      <c r="R1875" s="163">
        <f>IFERROR(__xludf.DUMMYFUNCTION("RANK(M1875,filter(M:M,C:C=C1875))"),454.0)</f>
        <v>454</v>
      </c>
      <c r="S1875" s="161" t="b">
        <f t="shared" si="5"/>
        <v>0</v>
      </c>
      <c r="T1875" s="161" t="b">
        <f t="array" ref="T1875">index('Query Tool'!B:B,match(H1875,'Query Tool'!C:C,0))</f>
        <v>1</v>
      </c>
      <c r="U1875" s="161" t="b">
        <f t="array" ref="U1875">index('Query Tool'!B:B,match(C1875,'Query Tool'!C:C,0))</f>
        <v>0</v>
      </c>
      <c r="V1875" s="161" t="b">
        <f>F1875&gt;='Query Tool'!C$32</f>
        <v>1</v>
      </c>
      <c r="W1875" s="161" t="b">
        <f t="array" ref="W1875">index(Dropdowns!B:B,match(I1875,Dropdowns!A:A,0))</f>
        <v>1</v>
      </c>
      <c r="X1875" s="161" t="b">
        <f t="array" ref="X1875">index('Query Tool'!B:B,match(D1875,'Query Tool'!C:C,0))</f>
        <v>1</v>
      </c>
      <c r="Y1875" s="161" t="str">
        <f t="shared" si="6"/>
        <v>ingrabr01,2016-17</v>
      </c>
      <c r="Z1875" s="168">
        <f t="array" ref="Z1875">iferror(index(I:I,match($A1875&amp;","&amp;index('Year Conversion'!$A:$A,match($C1875,'Year Conversion'!$B:$B,0)),$Y:$Y,0))-I1875,"")</f>
        <v>1</v>
      </c>
      <c r="AA1875" s="168">
        <f t="array" ref="AA1875">iferror(index(J:J,match($A1875&amp;","&amp;index('Year Conversion'!$A:$A,match($C1875,'Year Conversion'!$B:$B,0)),$Y:$Y,0))-J1875,"")</f>
        <v>1.662981376</v>
      </c>
      <c r="AB1875" s="168">
        <f t="array" ref="AB1875">iferror(index(K:K,match($A1875&amp;","&amp;index('Year Conversion'!$A:$A,match($C1875,'Year Conversion'!$B:$B,0)),$Y:$Y,0))-K1875,"")</f>
        <v>0.08299952283</v>
      </c>
      <c r="AC1875" s="168" t="str">
        <f t="shared" si="7"/>
        <v>LAL,2016-17</v>
      </c>
    </row>
    <row r="1876">
      <c r="A1876" s="161" t="str">
        <f>IFERROR(__xludf.DUMMYFUNCTION("""COMPUTED_VALUE"""),"jacksde01")</f>
        <v>jacksde01</v>
      </c>
      <c r="B1876" s="161" t="str">
        <f>IFERROR(__xludf.DUMMYFUNCTION("""COMPUTED_VALUE"""),"Demetrius Jackson")</f>
        <v>Demetrius Jackson</v>
      </c>
      <c r="C1876" s="162" t="str">
        <f>IFERROR(__xludf.DUMMYFUNCTION("""COMPUTED_VALUE"""),"2016-17")</f>
        <v>2016-17</v>
      </c>
      <c r="D1876" s="163" t="str">
        <f>IFERROR(__xludf.DUMMYFUNCTION("""COMPUTED_VALUE"""),"BOS")</f>
        <v>BOS</v>
      </c>
      <c r="E1876" s="164" t="str">
        <f>IFERROR(__xludf.DUMMYFUNCTION("""COMPUTED_VALUE"""),"Slasher")</f>
        <v>Slasher</v>
      </c>
      <c r="F1876" s="164">
        <f>IFERROR(__xludf.DUMMYFUNCTION("""COMPUTED_VALUE"""),17.0133333333333)</f>
        <v>17.01333333</v>
      </c>
      <c r="G1876" s="163">
        <f>IFERROR(__xludf.DUMMYFUNCTION("""COMPUTED_VALUE"""),5.0)</f>
        <v>5</v>
      </c>
      <c r="H1876" s="163" t="str">
        <f>IFERROR(__xludf.DUMMYFUNCTION("""COMPUTED_VALUE"""),"PG")</f>
        <v>PG</v>
      </c>
      <c r="I1876" s="163">
        <f>IFERROR(__xludf.DUMMYFUNCTION("""COMPUTED_VALUE"""),22.0)</f>
        <v>22</v>
      </c>
      <c r="J1876" s="165">
        <f>IFERROR(__xludf.DUMMYFUNCTION("""COMPUTED_VALUE"""),-0.73828551138554)</f>
        <v>-0.7382855114</v>
      </c>
      <c r="K1876" s="165">
        <f>IFERROR(__xludf.DUMMYFUNCTION("""COMPUTED_VALUE"""),-0.347787250676923)</f>
        <v>-0.3477872507</v>
      </c>
      <c r="L1876" s="165">
        <f>IFERROR(__xludf.DUMMYFUNCTION("""COMPUTED_VALUE"""),-0.390498260708616)</f>
        <v>-0.3904982607</v>
      </c>
      <c r="M1876" s="166">
        <f t="shared" si="2"/>
        <v>0.01776700089</v>
      </c>
      <c r="N1876" s="167">
        <f t="shared" si="3"/>
        <v>3.402666667</v>
      </c>
      <c r="O1876" s="163">
        <f t="shared" ref="O1876:Q1876" si="1880">rank(I1876,I:I)</f>
        <v>3178</v>
      </c>
      <c r="P1876" s="163">
        <f t="shared" si="1880"/>
        <v>2198</v>
      </c>
      <c r="Q1876" s="163">
        <f t="shared" si="1880"/>
        <v>1847</v>
      </c>
      <c r="R1876" s="163">
        <f>IFERROR(__xludf.DUMMYFUNCTION("RANK(M1876,filter(M:M,C:C=C1876))"),433.0)</f>
        <v>433</v>
      </c>
      <c r="S1876" s="161" t="b">
        <f t="shared" si="5"/>
        <v>0</v>
      </c>
      <c r="T1876" s="161" t="b">
        <f t="array" ref="T1876">index('Query Tool'!B:B,match(H1876,'Query Tool'!C:C,0))</f>
        <v>1</v>
      </c>
      <c r="U1876" s="161" t="b">
        <f t="array" ref="U1876">index('Query Tool'!B:B,match(C1876,'Query Tool'!C:C,0))</f>
        <v>0</v>
      </c>
      <c r="V1876" s="161" t="b">
        <f>F1876&gt;='Query Tool'!C$32</f>
        <v>0</v>
      </c>
      <c r="W1876" s="161" t="b">
        <f t="array" ref="W1876">index(Dropdowns!B:B,match(I1876,Dropdowns!A:A,0))</f>
        <v>1</v>
      </c>
      <c r="X1876" s="161" t="b">
        <f t="array" ref="X1876">index('Query Tool'!B:B,match(D1876,'Query Tool'!C:C,0))</f>
        <v>1</v>
      </c>
      <c r="Y1876" s="161" t="str">
        <f t="shared" si="6"/>
        <v>jacksde01,2016-17</v>
      </c>
      <c r="Z1876" s="168">
        <f t="array" ref="Z1876">iferror(index(I:I,match($A1876&amp;","&amp;index('Year Conversion'!$A:$A,match($C1876,'Year Conversion'!$B:$B,0)),$Y:$Y,0))-I1876,"")</f>
        <v>1</v>
      </c>
      <c r="AA1876" s="168">
        <f t="array" ref="AA1876">iferror(index(J:J,match($A1876&amp;","&amp;index('Year Conversion'!$A:$A,match($C1876,'Year Conversion'!$B:$B,0)),$Y:$Y,0))-J1876,"")</f>
        <v>-0.2738702315</v>
      </c>
      <c r="AB1876" s="168">
        <f t="array" ref="AB1876">iferror(index(K:K,match($A1876&amp;","&amp;index('Year Conversion'!$A:$A,match($C1876,'Year Conversion'!$B:$B,0)),$Y:$Y,0))-K1876,"")</f>
        <v>-0.06870525562</v>
      </c>
      <c r="AC1876" s="168" t="str">
        <f t="shared" si="7"/>
        <v>BOS,2016-17</v>
      </c>
    </row>
    <row r="1877">
      <c r="A1877" s="161" t="str">
        <f>IFERROR(__xludf.DUMMYFUNCTION("""COMPUTED_VALUE"""),"johnsbr02")</f>
        <v>johnsbr02</v>
      </c>
      <c r="B1877" s="161" t="str">
        <f>IFERROR(__xludf.DUMMYFUNCTION("""COMPUTED_VALUE"""),"Brice Johnson")</f>
        <v>Brice Johnson</v>
      </c>
      <c r="C1877" s="162" t="str">
        <f>IFERROR(__xludf.DUMMYFUNCTION("""COMPUTED_VALUE"""),"2016-17")</f>
        <v>2016-17</v>
      </c>
      <c r="D1877" s="163" t="str">
        <f>IFERROR(__xludf.DUMMYFUNCTION("""COMPUTED_VALUE"""),"LAC")</f>
        <v>LAC</v>
      </c>
      <c r="E1877" s="164" t="str">
        <f>IFERROR(__xludf.DUMMYFUNCTION("""COMPUTED_VALUE"""),"Post Scorer")</f>
        <v>Post Scorer</v>
      </c>
      <c r="F1877" s="164">
        <f>IFERROR(__xludf.DUMMYFUNCTION("""COMPUTED_VALUE"""),9.21666666666667)</f>
        <v>9.216666667</v>
      </c>
      <c r="G1877" s="163">
        <f>IFERROR(__xludf.DUMMYFUNCTION("""COMPUTED_VALUE"""),3.0)</f>
        <v>3</v>
      </c>
      <c r="H1877" s="163" t="str">
        <f>IFERROR(__xludf.DUMMYFUNCTION("""COMPUTED_VALUE"""),"PF")</f>
        <v>PF</v>
      </c>
      <c r="I1877" s="163">
        <f>IFERROR(__xludf.DUMMYFUNCTION("""COMPUTED_VALUE"""),22.0)</f>
        <v>22</v>
      </c>
      <c r="J1877" s="165">
        <f>IFERROR(__xludf.DUMMYFUNCTION("""COMPUTED_VALUE"""),-0.640880240418063)</f>
        <v>-0.6408802404</v>
      </c>
      <c r="K1877" s="165">
        <f>IFERROR(__xludf.DUMMYFUNCTION("""COMPUTED_VALUE"""),-0.227669457417679)</f>
        <v>-0.2276694574</v>
      </c>
      <c r="L1877" s="165">
        <f>IFERROR(__xludf.DUMMYFUNCTION("""COMPUTED_VALUE"""),-0.413210783000384)</f>
        <v>-0.413210783</v>
      </c>
      <c r="M1877" s="166">
        <f t="shared" si="2"/>
        <v>0.01022900781</v>
      </c>
      <c r="N1877" s="167">
        <f t="shared" si="3"/>
        <v>3.072222222</v>
      </c>
      <c r="O1877" s="163">
        <f t="shared" ref="O1877:Q1877" si="1881">rank(I1877,I:I)</f>
        <v>3178</v>
      </c>
      <c r="P1877" s="163">
        <f t="shared" si="1881"/>
        <v>2046</v>
      </c>
      <c r="Q1877" s="163">
        <f t="shared" si="1881"/>
        <v>1616</v>
      </c>
      <c r="R1877" s="163">
        <f>IFERROR(__xludf.DUMMYFUNCTION("RANK(M1877,filter(M:M,C:C=C1877))"),442.0)</f>
        <v>442</v>
      </c>
      <c r="S1877" s="161" t="b">
        <f t="shared" si="5"/>
        <v>0</v>
      </c>
      <c r="T1877" s="161" t="b">
        <f t="array" ref="T1877">index('Query Tool'!B:B,match(H1877,'Query Tool'!C:C,0))</f>
        <v>1</v>
      </c>
      <c r="U1877" s="161" t="b">
        <f t="array" ref="U1877">index('Query Tool'!B:B,match(C1877,'Query Tool'!C:C,0))</f>
        <v>0</v>
      </c>
      <c r="V1877" s="161" t="b">
        <f>F1877&gt;='Query Tool'!C$32</f>
        <v>0</v>
      </c>
      <c r="W1877" s="161" t="b">
        <f t="array" ref="W1877">index(Dropdowns!B:B,match(I1877,Dropdowns!A:A,0))</f>
        <v>1</v>
      </c>
      <c r="X1877" s="161" t="b">
        <f t="array" ref="X1877">index('Query Tool'!B:B,match(D1877,'Query Tool'!C:C,0))</f>
        <v>1</v>
      </c>
      <c r="Y1877" s="161" t="str">
        <f t="shared" si="6"/>
        <v>johnsbr02,2016-17</v>
      </c>
      <c r="Z1877" s="168">
        <f t="array" ref="Z1877">iferror(index(I:I,match($A1877&amp;","&amp;index('Year Conversion'!$A:$A,match($C1877,'Year Conversion'!$B:$B,0)),$Y:$Y,0))-I1877,"")</f>
        <v>1</v>
      </c>
      <c r="AA1877" s="168">
        <f t="array" ref="AA1877">iferror(index(J:J,match($A1877&amp;","&amp;index('Year Conversion'!$A:$A,match($C1877,'Year Conversion'!$B:$B,0)),$Y:$Y,0))-J1877,"")</f>
        <v>0.2501276159</v>
      </c>
      <c r="AB1877" s="168">
        <f t="array" ref="AB1877">iferror(index(K:K,match($A1877&amp;","&amp;index('Year Conversion'!$A:$A,match($C1877,'Year Conversion'!$B:$B,0)),$Y:$Y,0))-K1877,"")</f>
        <v>-0.05587559585</v>
      </c>
      <c r="AC1877" s="168" t="str">
        <f t="shared" si="7"/>
        <v>LAC,2016-17</v>
      </c>
    </row>
    <row r="1878">
      <c r="A1878" s="161" t="str">
        <f>IFERROR(__xludf.DUMMYFUNCTION("""COMPUTED_VALUE"""),"jonesda03")</f>
        <v>jonesda03</v>
      </c>
      <c r="B1878" s="161" t="str">
        <f>IFERROR(__xludf.DUMMYFUNCTION("""COMPUTED_VALUE"""),"Damian Jones")</f>
        <v>Damian Jones</v>
      </c>
      <c r="C1878" s="162" t="str">
        <f>IFERROR(__xludf.DUMMYFUNCTION("""COMPUTED_VALUE"""),"2016-17")</f>
        <v>2016-17</v>
      </c>
      <c r="D1878" s="163" t="str">
        <f>IFERROR(__xludf.DUMMYFUNCTION("""COMPUTED_VALUE"""),"GSW")</f>
        <v>GSW</v>
      </c>
      <c r="E1878" s="164" t="str">
        <f>IFERROR(__xludf.DUMMYFUNCTION("""COMPUTED_VALUE"""),"Roll + Cut Big")</f>
        <v>Roll + Cut Big</v>
      </c>
      <c r="F1878" s="164">
        <f>IFERROR(__xludf.DUMMYFUNCTION("""COMPUTED_VALUE"""),85.0833333333333)</f>
        <v>85.08333333</v>
      </c>
      <c r="G1878" s="163">
        <f>IFERROR(__xludf.DUMMYFUNCTION("""COMPUTED_VALUE"""),10.0)</f>
        <v>10</v>
      </c>
      <c r="H1878" s="163" t="str">
        <f>IFERROR(__xludf.DUMMYFUNCTION("""COMPUTED_VALUE"""),"C")</f>
        <v>C</v>
      </c>
      <c r="I1878" s="163">
        <f>IFERROR(__xludf.DUMMYFUNCTION("""COMPUTED_VALUE"""),21.0)</f>
        <v>21</v>
      </c>
      <c r="J1878" s="165">
        <f>IFERROR(__xludf.DUMMYFUNCTION("""COMPUTED_VALUE"""),-2.35791969053934)</f>
        <v>-2.357919691</v>
      </c>
      <c r="K1878" s="165">
        <f>IFERROR(__xludf.DUMMYFUNCTION("""COMPUTED_VALUE"""),-1.30230408229279)</f>
        <v>-1.302304082</v>
      </c>
      <c r="L1878" s="165">
        <f>IFERROR(__xludf.DUMMYFUNCTION("""COMPUTED_VALUE"""),-1.05561560824656)</f>
        <v>-1.055615608</v>
      </c>
      <c r="M1878" s="166">
        <f t="shared" si="2"/>
        <v>-0.003050513423</v>
      </c>
      <c r="N1878" s="167">
        <f t="shared" si="3"/>
        <v>8.508333333</v>
      </c>
      <c r="O1878" s="163">
        <f t="shared" ref="O1878:Q1878" si="1882">rank(I1878,I:I)</f>
        <v>3528</v>
      </c>
      <c r="P1878" s="163">
        <f t="shared" si="1882"/>
        <v>3689</v>
      </c>
      <c r="Q1878" s="163">
        <f t="shared" si="1882"/>
        <v>3151</v>
      </c>
      <c r="R1878" s="163">
        <f>IFERROR(__xludf.DUMMYFUNCTION("RANK(M1878,filter(M:M,C:C=C1878))"),448.0)</f>
        <v>448</v>
      </c>
      <c r="S1878" s="161" t="b">
        <f t="shared" si="5"/>
        <v>0</v>
      </c>
      <c r="T1878" s="161" t="b">
        <f t="array" ref="T1878">index('Query Tool'!B:B,match(H1878,'Query Tool'!C:C,0))</f>
        <v>1</v>
      </c>
      <c r="U1878" s="161" t="b">
        <f t="array" ref="U1878">index('Query Tool'!B:B,match(C1878,'Query Tool'!C:C,0))</f>
        <v>0</v>
      </c>
      <c r="V1878" s="161" t="b">
        <f>F1878&gt;='Query Tool'!C$32</f>
        <v>0</v>
      </c>
      <c r="W1878" s="161" t="b">
        <f t="array" ref="W1878">index(Dropdowns!B:B,match(I1878,Dropdowns!A:A,0))</f>
        <v>1</v>
      </c>
      <c r="X1878" s="161" t="b">
        <f t="array" ref="X1878">index('Query Tool'!B:B,match(D1878,'Query Tool'!C:C,0))</f>
        <v>1</v>
      </c>
      <c r="Y1878" s="161" t="str">
        <f t="shared" si="6"/>
        <v>jonesda03,2016-17</v>
      </c>
      <c r="Z1878" s="168">
        <f t="array" ref="Z1878">iferror(index(I:I,match($A1878&amp;","&amp;index('Year Conversion'!$A:$A,match($C1878,'Year Conversion'!$B:$B,0)),$Y:$Y,0))-I1878,"")</f>
        <v>1</v>
      </c>
      <c r="AA1878" s="168">
        <f t="array" ref="AA1878">iferror(index(J:J,match($A1878&amp;","&amp;index('Year Conversion'!$A:$A,match($C1878,'Year Conversion'!$B:$B,0)),$Y:$Y,0))-J1878,"")</f>
        <v>0.881545688</v>
      </c>
      <c r="AB1878" s="168">
        <f t="array" ref="AB1878">iferror(index(K:K,match($A1878&amp;","&amp;index('Year Conversion'!$A:$A,match($C1878,'Year Conversion'!$B:$B,0)),$Y:$Y,0))-K1878,"")</f>
        <v>0.6503217798</v>
      </c>
      <c r="AC1878" s="168" t="str">
        <f t="shared" si="7"/>
        <v>GSW,2016-17</v>
      </c>
    </row>
    <row r="1879">
      <c r="A1879" s="161" t="str">
        <f>IFERROR(__xludf.DUMMYFUNCTION("""COMPUTED_VALUE"""),"labissk01")</f>
        <v>labissk01</v>
      </c>
      <c r="B1879" s="161" t="str">
        <f>IFERROR(__xludf.DUMMYFUNCTION("""COMPUTED_VALUE"""),"Skal Labissiere")</f>
        <v>Skal Labissiere</v>
      </c>
      <c r="C1879" s="162" t="str">
        <f>IFERROR(__xludf.DUMMYFUNCTION("""COMPUTED_VALUE"""),"2016-17")</f>
        <v>2016-17</v>
      </c>
      <c r="D1879" s="163" t="str">
        <f>IFERROR(__xludf.DUMMYFUNCTION("""COMPUTED_VALUE"""),"SAC")</f>
        <v>SAC</v>
      </c>
      <c r="E1879" s="164" t="str">
        <f>IFERROR(__xludf.DUMMYFUNCTION("""COMPUTED_VALUE"""),"Post Scorer")</f>
        <v>Post Scorer</v>
      </c>
      <c r="F1879" s="164">
        <f>IFERROR(__xludf.DUMMYFUNCTION("""COMPUTED_VALUE"""),611.638333333333)</f>
        <v>611.6383333</v>
      </c>
      <c r="G1879" s="163">
        <f>IFERROR(__xludf.DUMMYFUNCTION("""COMPUTED_VALUE"""),33.0)</f>
        <v>33</v>
      </c>
      <c r="H1879" s="163" t="str">
        <f>IFERROR(__xludf.DUMMYFUNCTION("""COMPUTED_VALUE"""),"PF")</f>
        <v>PF</v>
      </c>
      <c r="I1879" s="163">
        <f>IFERROR(__xludf.DUMMYFUNCTION("""COMPUTED_VALUE"""),20.0)</f>
        <v>20</v>
      </c>
      <c r="J1879" s="165">
        <f>IFERROR(__xludf.DUMMYFUNCTION("""COMPUTED_VALUE"""),-0.376523933955373)</f>
        <v>-0.376523934</v>
      </c>
      <c r="K1879" s="165">
        <f>IFERROR(__xludf.DUMMYFUNCTION("""COMPUTED_VALUE"""),-0.408625013589603)</f>
        <v>-0.4086250136</v>
      </c>
      <c r="L1879" s="165">
        <f>IFERROR(__xludf.DUMMYFUNCTION("""COMPUTED_VALUE"""),0.0321010796342298)</f>
        <v>0.03210107963</v>
      </c>
      <c r="M1879" s="166">
        <f t="shared" si="2"/>
        <v>0.7877094662</v>
      </c>
      <c r="N1879" s="167">
        <f t="shared" si="3"/>
        <v>18.53449495</v>
      </c>
      <c r="O1879" s="163">
        <f t="shared" ref="O1879:Q1879" si="1883">rank(I1879,I:I)</f>
        <v>3770</v>
      </c>
      <c r="P1879" s="163">
        <f t="shared" si="1883"/>
        <v>1703</v>
      </c>
      <c r="Q1879" s="163">
        <f t="shared" si="1883"/>
        <v>1958</v>
      </c>
      <c r="R1879" s="163">
        <f>IFERROR(__xludf.DUMMYFUNCTION("RANK(M1879,filter(M:M,C:C=C1879))"),243.0)</f>
        <v>243</v>
      </c>
      <c r="S1879" s="161" t="b">
        <f t="shared" si="5"/>
        <v>0</v>
      </c>
      <c r="T1879" s="161" t="b">
        <f t="array" ref="T1879">index('Query Tool'!B:B,match(H1879,'Query Tool'!C:C,0))</f>
        <v>1</v>
      </c>
      <c r="U1879" s="161" t="b">
        <f t="array" ref="U1879">index('Query Tool'!B:B,match(C1879,'Query Tool'!C:C,0))</f>
        <v>0</v>
      </c>
      <c r="V1879" s="161" t="b">
        <f>F1879&gt;='Query Tool'!C$32</f>
        <v>1</v>
      </c>
      <c r="W1879" s="161" t="b">
        <f t="array" ref="W1879">index(Dropdowns!B:B,match(I1879,Dropdowns!A:A,0))</f>
        <v>1</v>
      </c>
      <c r="X1879" s="161" t="b">
        <f t="array" ref="X1879">index('Query Tool'!B:B,match(D1879,'Query Tool'!C:C,0))</f>
        <v>1</v>
      </c>
      <c r="Y1879" s="161" t="str">
        <f t="shared" si="6"/>
        <v>labissk01,2016-17</v>
      </c>
      <c r="Z1879" s="168">
        <f t="array" ref="Z1879">iferror(index(I:I,match($A1879&amp;","&amp;index('Year Conversion'!$A:$A,match($C1879,'Year Conversion'!$B:$B,0)),$Y:$Y,0))-I1879,"")</f>
        <v>1</v>
      </c>
      <c r="AA1879" s="168">
        <f t="array" ref="AA1879">iferror(index(J:J,match($A1879&amp;","&amp;index('Year Conversion'!$A:$A,match($C1879,'Year Conversion'!$B:$B,0)),$Y:$Y,0))-J1879,"")</f>
        <v>-0.9717427624</v>
      </c>
      <c r="AB1879" s="168">
        <f t="array" ref="AB1879">iferror(index(K:K,match($A1879&amp;","&amp;index('Year Conversion'!$A:$A,match($C1879,'Year Conversion'!$B:$B,0)),$Y:$Y,0))-K1879,"")</f>
        <v>-1.045597796</v>
      </c>
      <c r="AC1879" s="168" t="str">
        <f t="shared" si="7"/>
        <v>SAC,2016-17</v>
      </c>
    </row>
    <row r="1880">
      <c r="A1880" s="161" t="str">
        <f>IFERROR(__xludf.DUMMYFUNCTION("""COMPUTED_VALUE"""),"leverca01")</f>
        <v>leverca01</v>
      </c>
      <c r="B1880" s="161" t="str">
        <f>IFERROR(__xludf.DUMMYFUNCTION("""COMPUTED_VALUE"""),"Caris LeVert")</f>
        <v>Caris LeVert</v>
      </c>
      <c r="C1880" s="162" t="str">
        <f>IFERROR(__xludf.DUMMYFUNCTION("""COMPUTED_VALUE"""),"2016-17")</f>
        <v>2016-17</v>
      </c>
      <c r="D1880" s="163" t="str">
        <f>IFERROR(__xludf.DUMMYFUNCTION("""COMPUTED_VALUE"""),"BRK")</f>
        <v>BRK</v>
      </c>
      <c r="E1880" s="164" t="str">
        <f>IFERROR(__xludf.DUMMYFUNCTION("""COMPUTED_VALUE"""),"Secondary Ball Handler")</f>
        <v>Secondary Ball Handler</v>
      </c>
      <c r="F1880" s="164">
        <f>IFERROR(__xludf.DUMMYFUNCTION("""COMPUTED_VALUE"""),1236.86666666667)</f>
        <v>1236.866667</v>
      </c>
      <c r="G1880" s="163">
        <f>IFERROR(__xludf.DUMMYFUNCTION("""COMPUTED_VALUE"""),57.0)</f>
        <v>57</v>
      </c>
      <c r="H1880" s="163" t="str">
        <f>IFERROR(__xludf.DUMMYFUNCTION("""COMPUTED_VALUE"""),"SF")</f>
        <v>SF</v>
      </c>
      <c r="I1880" s="163">
        <f>IFERROR(__xludf.DUMMYFUNCTION("""COMPUTED_VALUE"""),22.0)</f>
        <v>22</v>
      </c>
      <c r="J1880" s="165">
        <f>IFERROR(__xludf.DUMMYFUNCTION("""COMPUTED_VALUE"""),-0.432799891321762)</f>
        <v>-0.4327998913</v>
      </c>
      <c r="K1880" s="165">
        <f>IFERROR(__xludf.DUMMYFUNCTION("""COMPUTED_VALUE"""),-0.115160496327171)</f>
        <v>-0.1151604963</v>
      </c>
      <c r="L1880" s="165">
        <f>IFERROR(__xludf.DUMMYFUNCTION("""COMPUTED_VALUE"""),-0.317639394994592)</f>
        <v>-0.317639395</v>
      </c>
      <c r="M1880" s="166">
        <f t="shared" si="2"/>
        <v>1.546025562</v>
      </c>
      <c r="N1880" s="167">
        <f t="shared" si="3"/>
        <v>21.6994152</v>
      </c>
      <c r="O1880" s="163">
        <f t="shared" ref="O1880:Q1880" si="1884">rank(I1880,I:I)</f>
        <v>3178</v>
      </c>
      <c r="P1880" s="163">
        <f t="shared" si="1884"/>
        <v>1761</v>
      </c>
      <c r="Q1880" s="163">
        <f t="shared" si="1884"/>
        <v>1397</v>
      </c>
      <c r="R1880" s="163">
        <f>IFERROR(__xludf.DUMMYFUNCTION("RANK(M1880,filter(M:M,C:C=C1880))"),190.0)</f>
        <v>190</v>
      </c>
      <c r="S1880" s="161" t="b">
        <f t="shared" si="5"/>
        <v>0</v>
      </c>
      <c r="T1880" s="161" t="b">
        <f t="array" ref="T1880">index('Query Tool'!B:B,match(H1880,'Query Tool'!C:C,0))</f>
        <v>1</v>
      </c>
      <c r="U1880" s="161" t="b">
        <f t="array" ref="U1880">index('Query Tool'!B:B,match(C1880,'Query Tool'!C:C,0))</f>
        <v>0</v>
      </c>
      <c r="V1880" s="161" t="b">
        <f>F1880&gt;='Query Tool'!C$32</f>
        <v>1</v>
      </c>
      <c r="W1880" s="161" t="b">
        <f t="array" ref="W1880">index(Dropdowns!B:B,match(I1880,Dropdowns!A:A,0))</f>
        <v>1</v>
      </c>
      <c r="X1880" s="161" t="b">
        <f t="array" ref="X1880">index('Query Tool'!B:B,match(D1880,'Query Tool'!C:C,0))</f>
        <v>1</v>
      </c>
      <c r="Y1880" s="161" t="str">
        <f t="shared" si="6"/>
        <v>leverca01,2016-17</v>
      </c>
      <c r="Z1880" s="168">
        <f t="array" ref="Z1880">iferror(index(I:I,match($A1880&amp;","&amp;index('Year Conversion'!$A:$A,match($C1880,'Year Conversion'!$B:$B,0)),$Y:$Y,0))-I1880,"")</f>
        <v>1</v>
      </c>
      <c r="AA1880" s="168">
        <f t="array" ref="AA1880">iferror(index(J:J,match($A1880&amp;","&amp;index('Year Conversion'!$A:$A,match($C1880,'Year Conversion'!$B:$B,0)),$Y:$Y,0))-J1880,"")</f>
        <v>-0.8387640519</v>
      </c>
      <c r="AB1880" s="168">
        <f t="array" ref="AB1880">iferror(index(K:K,match($A1880&amp;","&amp;index('Year Conversion'!$A:$A,match($C1880,'Year Conversion'!$B:$B,0)),$Y:$Y,0))-K1880,"")</f>
        <v>-0.2219913316</v>
      </c>
      <c r="AC1880" s="168" t="str">
        <f t="shared" si="7"/>
        <v>BRK,2016-17</v>
      </c>
    </row>
    <row r="1881">
      <c r="A1881" s="161" t="str">
        <f>IFERROR(__xludf.DUMMYFUNCTION("""COMPUTED_VALUE"""),"makerth01")</f>
        <v>makerth01</v>
      </c>
      <c r="B1881" s="161" t="str">
        <f>IFERROR(__xludf.DUMMYFUNCTION("""COMPUTED_VALUE"""),"Thon Maker")</f>
        <v>Thon Maker</v>
      </c>
      <c r="C1881" s="162" t="str">
        <f>IFERROR(__xludf.DUMMYFUNCTION("""COMPUTED_VALUE"""),"2016-17")</f>
        <v>2016-17</v>
      </c>
      <c r="D1881" s="163" t="str">
        <f>IFERROR(__xludf.DUMMYFUNCTION("""COMPUTED_VALUE"""),"MIL")</f>
        <v>MIL</v>
      </c>
      <c r="E1881" s="164" t="str">
        <f>IFERROR(__xludf.DUMMYFUNCTION("""COMPUTED_VALUE"""),"Stretch Big")</f>
        <v>Stretch Big</v>
      </c>
      <c r="F1881" s="164">
        <f>IFERROR(__xludf.DUMMYFUNCTION("""COMPUTED_VALUE"""),562.188333333333)</f>
        <v>562.1883333</v>
      </c>
      <c r="G1881" s="163">
        <f>IFERROR(__xludf.DUMMYFUNCTION("""COMPUTED_VALUE"""),57.0)</f>
        <v>57</v>
      </c>
      <c r="H1881" s="163" t="str">
        <f>IFERROR(__xludf.DUMMYFUNCTION("""COMPUTED_VALUE"""),"C")</f>
        <v>C</v>
      </c>
      <c r="I1881" s="163">
        <f>IFERROR(__xludf.DUMMYFUNCTION("""COMPUTED_VALUE"""),19.0)</f>
        <v>19</v>
      </c>
      <c r="J1881" s="165">
        <f>IFERROR(__xludf.DUMMYFUNCTION("""COMPUTED_VALUE"""),-0.503176766806948)</f>
        <v>-0.5031767668</v>
      </c>
      <c r="K1881" s="165">
        <f>IFERROR(__xludf.DUMMYFUNCTION("""COMPUTED_VALUE"""),-0.761754285092481)</f>
        <v>-0.7617542851</v>
      </c>
      <c r="L1881" s="165">
        <f>IFERROR(__xludf.DUMMYFUNCTION("""COMPUTED_VALUE"""),0.258577518285533)</f>
        <v>0.2585775183</v>
      </c>
      <c r="M1881" s="166">
        <f t="shared" si="2"/>
        <v>0.6760591766</v>
      </c>
      <c r="N1881" s="167">
        <f t="shared" si="3"/>
        <v>9.862953216</v>
      </c>
      <c r="O1881" s="163">
        <f t="shared" ref="O1881:Q1881" si="1885">rank(I1881,I:I)</f>
        <v>3945</v>
      </c>
      <c r="P1881" s="163">
        <f t="shared" si="1885"/>
        <v>1860</v>
      </c>
      <c r="Q1881" s="163">
        <f t="shared" si="1885"/>
        <v>2501</v>
      </c>
      <c r="R1881" s="163">
        <f>IFERROR(__xludf.DUMMYFUNCTION("RANK(M1881,filter(M:M,C:C=C1881))"),256.0)</f>
        <v>256</v>
      </c>
      <c r="S1881" s="161" t="b">
        <f t="shared" si="5"/>
        <v>0</v>
      </c>
      <c r="T1881" s="161" t="b">
        <f t="array" ref="T1881">index('Query Tool'!B:B,match(H1881,'Query Tool'!C:C,0))</f>
        <v>1</v>
      </c>
      <c r="U1881" s="161" t="b">
        <f t="array" ref="U1881">index('Query Tool'!B:B,match(C1881,'Query Tool'!C:C,0))</f>
        <v>0</v>
      </c>
      <c r="V1881" s="161" t="b">
        <f>F1881&gt;='Query Tool'!C$32</f>
        <v>1</v>
      </c>
      <c r="W1881" s="161" t="b">
        <f t="array" ref="W1881">index(Dropdowns!B:B,match(I1881,Dropdowns!A:A,0))</f>
        <v>1</v>
      </c>
      <c r="X1881" s="161" t="b">
        <f t="array" ref="X1881">index('Query Tool'!B:B,match(D1881,'Query Tool'!C:C,0))</f>
        <v>1</v>
      </c>
      <c r="Y1881" s="161" t="str">
        <f t="shared" si="6"/>
        <v>makerth01,2016-17</v>
      </c>
      <c r="Z1881" s="168">
        <f t="array" ref="Z1881">iferror(index(I:I,match($A1881&amp;","&amp;index('Year Conversion'!$A:$A,match($C1881,'Year Conversion'!$B:$B,0)),$Y:$Y,0))-I1881,"")</f>
        <v>1</v>
      </c>
      <c r="AA1881" s="168">
        <f t="array" ref="AA1881">iferror(index(J:J,match($A1881&amp;","&amp;index('Year Conversion'!$A:$A,match($C1881,'Year Conversion'!$B:$B,0)),$Y:$Y,0))-J1881,"")</f>
        <v>-0.9234634887</v>
      </c>
      <c r="AB1881" s="168">
        <f t="array" ref="AB1881">iferror(index(K:K,match($A1881&amp;","&amp;index('Year Conversion'!$A:$A,match($C1881,'Year Conversion'!$B:$B,0)),$Y:$Y,0))-K1881,"")</f>
        <v>-0.499629727</v>
      </c>
      <c r="AC1881" s="168" t="str">
        <f t="shared" si="7"/>
        <v>MIL,2016-17</v>
      </c>
    </row>
    <row r="1882">
      <c r="A1882" s="161" t="str">
        <f>IFERROR(__xludf.DUMMYFUNCTION("""COMPUTED_VALUE"""),"murrade01")</f>
        <v>murrade01</v>
      </c>
      <c r="B1882" s="161" t="str">
        <f>IFERROR(__xludf.DUMMYFUNCTION("""COMPUTED_VALUE"""),"Dejounte Murray")</f>
        <v>Dejounte Murray</v>
      </c>
      <c r="C1882" s="162" t="str">
        <f>IFERROR(__xludf.DUMMYFUNCTION("""COMPUTED_VALUE"""),"2016-17")</f>
        <v>2016-17</v>
      </c>
      <c r="D1882" s="163" t="str">
        <f>IFERROR(__xludf.DUMMYFUNCTION("""COMPUTED_VALUE"""),"SAS")</f>
        <v>SAS</v>
      </c>
      <c r="E1882" s="164" t="str">
        <f>IFERROR(__xludf.DUMMYFUNCTION("""COMPUTED_VALUE"""),"Slasher")</f>
        <v>Slasher</v>
      </c>
      <c r="F1882" s="164">
        <f>IFERROR(__xludf.DUMMYFUNCTION("""COMPUTED_VALUE"""),321.481666666667)</f>
        <v>321.4816667</v>
      </c>
      <c r="G1882" s="163">
        <f>IFERROR(__xludf.DUMMYFUNCTION("""COMPUTED_VALUE"""),38.0)</f>
        <v>38</v>
      </c>
      <c r="H1882" s="163" t="str">
        <f>IFERROR(__xludf.DUMMYFUNCTION("""COMPUTED_VALUE"""),"PG")</f>
        <v>PG</v>
      </c>
      <c r="I1882" s="163">
        <f>IFERROR(__xludf.DUMMYFUNCTION("""COMPUTED_VALUE"""),20.0)</f>
        <v>20</v>
      </c>
      <c r="J1882" s="165">
        <f>IFERROR(__xludf.DUMMYFUNCTION("""COMPUTED_VALUE"""),-2.1705168787104)</f>
        <v>-2.170516879</v>
      </c>
      <c r="K1882" s="165">
        <f>IFERROR(__xludf.DUMMYFUNCTION("""COMPUTED_VALUE"""),-1.36473392568277)</f>
        <v>-1.364733926</v>
      </c>
      <c r="L1882" s="165">
        <f>IFERROR(__xludf.DUMMYFUNCTION("""COMPUTED_VALUE"""),-0.805782953027629)</f>
        <v>-0.805782953</v>
      </c>
      <c r="M1882" s="166">
        <f t="shared" si="2"/>
        <v>0.02823536919</v>
      </c>
      <c r="N1882" s="167">
        <f t="shared" si="3"/>
        <v>8.46004386</v>
      </c>
      <c r="O1882" s="163">
        <f t="shared" ref="O1882:Q1882" si="1886">rank(I1882,I:I)</f>
        <v>3770</v>
      </c>
      <c r="P1882" s="163">
        <f t="shared" si="1886"/>
        <v>3593</v>
      </c>
      <c r="Q1882" s="163">
        <f t="shared" si="1886"/>
        <v>3221</v>
      </c>
      <c r="R1882" s="163">
        <f>IFERROR(__xludf.DUMMYFUNCTION("RANK(M1882,filter(M:M,C:C=C1882))"),425.0)</f>
        <v>425</v>
      </c>
      <c r="S1882" s="161" t="b">
        <f t="shared" si="5"/>
        <v>0</v>
      </c>
      <c r="T1882" s="161" t="b">
        <f t="array" ref="T1882">index('Query Tool'!B:B,match(H1882,'Query Tool'!C:C,0))</f>
        <v>1</v>
      </c>
      <c r="U1882" s="161" t="b">
        <f t="array" ref="U1882">index('Query Tool'!B:B,match(C1882,'Query Tool'!C:C,0))</f>
        <v>0</v>
      </c>
      <c r="V1882" s="161" t="b">
        <f>F1882&gt;='Query Tool'!C$32</f>
        <v>0</v>
      </c>
      <c r="W1882" s="161" t="b">
        <f t="array" ref="W1882">index(Dropdowns!B:B,match(I1882,Dropdowns!A:A,0))</f>
        <v>1</v>
      </c>
      <c r="X1882" s="161" t="b">
        <f t="array" ref="X1882">index('Query Tool'!B:B,match(D1882,'Query Tool'!C:C,0))</f>
        <v>1</v>
      </c>
      <c r="Y1882" s="161" t="str">
        <f t="shared" si="6"/>
        <v>murrade01,2016-17</v>
      </c>
      <c r="Z1882" s="168">
        <f t="array" ref="Z1882">iferror(index(I:I,match($A1882&amp;","&amp;index('Year Conversion'!$A:$A,match($C1882,'Year Conversion'!$B:$B,0)),$Y:$Y,0))-I1882,"")</f>
        <v>1</v>
      </c>
      <c r="AA1882" s="168">
        <f t="array" ref="AA1882">iferror(index(J:J,match($A1882&amp;","&amp;index('Year Conversion'!$A:$A,match($C1882,'Year Conversion'!$B:$B,0)),$Y:$Y,0))-J1882,"")</f>
        <v>3.41773479</v>
      </c>
      <c r="AB1882" s="168">
        <f t="array" ref="AB1882">iferror(index(K:K,match($A1882&amp;","&amp;index('Year Conversion'!$A:$A,match($C1882,'Year Conversion'!$B:$B,0)),$Y:$Y,0))-K1882,"")</f>
        <v>0.1486925538</v>
      </c>
      <c r="AC1882" s="168" t="str">
        <f t="shared" si="7"/>
        <v>SAS,2016-17</v>
      </c>
    </row>
    <row r="1883">
      <c r="A1883" s="161" t="str">
        <f>IFERROR(__xludf.DUMMYFUNCTION("""COMPUTED_VALUE"""),"murraja01")</f>
        <v>murraja01</v>
      </c>
      <c r="B1883" s="161" t="str">
        <f>IFERROR(__xludf.DUMMYFUNCTION("""COMPUTED_VALUE"""),"Jamal Murray")</f>
        <v>Jamal Murray</v>
      </c>
      <c r="C1883" s="162" t="str">
        <f>IFERROR(__xludf.DUMMYFUNCTION("""COMPUTED_VALUE"""),"2016-17")</f>
        <v>2016-17</v>
      </c>
      <c r="D1883" s="163" t="str">
        <f>IFERROR(__xludf.DUMMYFUNCTION("""COMPUTED_VALUE"""),"DEN")</f>
        <v>DEN</v>
      </c>
      <c r="E1883" s="164" t="str">
        <f>IFERROR(__xludf.DUMMYFUNCTION("""COMPUTED_VALUE"""),"Secondary Ball Handler")</f>
        <v>Secondary Ball Handler</v>
      </c>
      <c r="F1883" s="164">
        <f>IFERROR(__xludf.DUMMYFUNCTION("""COMPUTED_VALUE"""),1764.64333333333)</f>
        <v>1764.643333</v>
      </c>
      <c r="G1883" s="163">
        <f>IFERROR(__xludf.DUMMYFUNCTION("""COMPUTED_VALUE"""),82.0)</f>
        <v>82</v>
      </c>
      <c r="H1883" s="163" t="str">
        <f>IFERROR(__xludf.DUMMYFUNCTION("""COMPUTED_VALUE"""),"SG")</f>
        <v>SG</v>
      </c>
      <c r="I1883" s="163">
        <f>IFERROR(__xludf.DUMMYFUNCTION("""COMPUTED_VALUE"""),19.0)</f>
        <v>19</v>
      </c>
      <c r="J1883" s="165">
        <f>IFERROR(__xludf.DUMMYFUNCTION("""COMPUTED_VALUE"""),-1.37288719076796)</f>
        <v>-1.372887191</v>
      </c>
      <c r="K1883" s="165">
        <f>IFERROR(__xludf.DUMMYFUNCTION("""COMPUTED_VALUE"""),-0.167882438761132)</f>
        <v>-0.1678824388</v>
      </c>
      <c r="L1883" s="165">
        <f>IFERROR(__xludf.DUMMYFUNCTION("""COMPUTED_VALUE"""),-1.20500475200683)</f>
        <v>-1.205004752</v>
      </c>
      <c r="M1883" s="166">
        <f t="shared" si="2"/>
        <v>1.091424919</v>
      </c>
      <c r="N1883" s="167">
        <f t="shared" si="3"/>
        <v>21.52004065</v>
      </c>
      <c r="O1883" s="163">
        <f t="shared" ref="O1883:Q1883" si="1887">rank(I1883,I:I)</f>
        <v>3945</v>
      </c>
      <c r="P1883" s="163">
        <f t="shared" si="1887"/>
        <v>2929</v>
      </c>
      <c r="Q1883" s="163">
        <f t="shared" si="1887"/>
        <v>1511</v>
      </c>
      <c r="R1883" s="163">
        <f>IFERROR(__xludf.DUMMYFUNCTION("RANK(M1883,filter(M:M,C:C=C1883))"),216.0)</f>
        <v>216</v>
      </c>
      <c r="S1883" s="161" t="b">
        <f t="shared" si="5"/>
        <v>0</v>
      </c>
      <c r="T1883" s="161" t="b">
        <f t="array" ref="T1883">index('Query Tool'!B:B,match(H1883,'Query Tool'!C:C,0))</f>
        <v>1</v>
      </c>
      <c r="U1883" s="161" t="b">
        <f t="array" ref="U1883">index('Query Tool'!B:B,match(C1883,'Query Tool'!C:C,0))</f>
        <v>0</v>
      </c>
      <c r="V1883" s="161" t="b">
        <f>F1883&gt;='Query Tool'!C$32</f>
        <v>1</v>
      </c>
      <c r="W1883" s="161" t="b">
        <f t="array" ref="W1883">index(Dropdowns!B:B,match(I1883,Dropdowns!A:A,0))</f>
        <v>1</v>
      </c>
      <c r="X1883" s="161" t="b">
        <f t="array" ref="X1883">index('Query Tool'!B:B,match(D1883,'Query Tool'!C:C,0))</f>
        <v>1</v>
      </c>
      <c r="Y1883" s="161" t="str">
        <f t="shared" si="6"/>
        <v>murraja01,2016-17</v>
      </c>
      <c r="Z1883" s="168">
        <f t="array" ref="Z1883">iferror(index(I:I,match($A1883&amp;","&amp;index('Year Conversion'!$A:$A,match($C1883,'Year Conversion'!$B:$B,0)),$Y:$Y,0))-I1883,"")</f>
        <v>1</v>
      </c>
      <c r="AA1883" s="168">
        <f t="array" ref="AA1883">iferror(index(J:J,match($A1883&amp;","&amp;index('Year Conversion'!$A:$A,match($C1883,'Year Conversion'!$B:$B,0)),$Y:$Y,0))-J1883,"")</f>
        <v>2.058046304</v>
      </c>
      <c r="AB1883" s="168">
        <f t="array" ref="AB1883">iferror(index(K:K,match($A1883&amp;","&amp;index('Year Conversion'!$A:$A,match($C1883,'Year Conversion'!$B:$B,0)),$Y:$Y,0))-K1883,"")</f>
        <v>1.897054024</v>
      </c>
      <c r="AC1883" s="168" t="str">
        <f t="shared" si="7"/>
        <v>DEN,2016-17</v>
      </c>
    </row>
    <row r="1884">
      <c r="A1884" s="161" t="str">
        <f>IFERROR(__xludf.DUMMYFUNCTION("""COMPUTED_VALUE"""),"poeltja01")</f>
        <v>poeltja01</v>
      </c>
      <c r="B1884" s="161" t="str">
        <f>IFERROR(__xludf.DUMMYFUNCTION("""COMPUTED_VALUE"""),"Jakob Poeltl")</f>
        <v>Jakob Poeltl</v>
      </c>
      <c r="C1884" s="162" t="str">
        <f>IFERROR(__xludf.DUMMYFUNCTION("""COMPUTED_VALUE"""),"2016-17")</f>
        <v>2016-17</v>
      </c>
      <c r="D1884" s="163" t="str">
        <f>IFERROR(__xludf.DUMMYFUNCTION("""COMPUTED_VALUE"""),"TOR")</f>
        <v>TOR</v>
      </c>
      <c r="E1884" s="164" t="str">
        <f>IFERROR(__xludf.DUMMYFUNCTION("""COMPUTED_VALUE"""),"Roll + Cut Big")</f>
        <v>Roll + Cut Big</v>
      </c>
      <c r="F1884" s="164">
        <f>IFERROR(__xludf.DUMMYFUNCTION("""COMPUTED_VALUE"""),626.43)</f>
        <v>626.43</v>
      </c>
      <c r="G1884" s="163">
        <f>IFERROR(__xludf.DUMMYFUNCTION("""COMPUTED_VALUE"""),54.0)</f>
        <v>54</v>
      </c>
      <c r="H1884" s="163" t="str">
        <f>IFERROR(__xludf.DUMMYFUNCTION("""COMPUTED_VALUE"""),"C")</f>
        <v>C</v>
      </c>
      <c r="I1884" s="163">
        <f>IFERROR(__xludf.DUMMYFUNCTION("""COMPUTED_VALUE"""),21.0)</f>
        <v>21</v>
      </c>
      <c r="J1884" s="165">
        <f>IFERROR(__xludf.DUMMYFUNCTION("""COMPUTED_VALUE"""),-1.41411367778778)</f>
        <v>-1.414113678</v>
      </c>
      <c r="K1884" s="165">
        <f>IFERROR(__xludf.DUMMYFUNCTION("""COMPUTED_VALUE"""),-2.20687533725834)</f>
        <v>-2.206875337</v>
      </c>
      <c r="L1884" s="165">
        <f>IFERROR(__xludf.DUMMYFUNCTION("""COMPUTED_VALUE"""),0.792761659470554)</f>
        <v>0.7927616595</v>
      </c>
      <c r="M1884" s="166">
        <f t="shared" si="2"/>
        <v>0.370173341</v>
      </c>
      <c r="N1884" s="167">
        <f t="shared" si="3"/>
        <v>11.60055556</v>
      </c>
      <c r="O1884" s="163">
        <f t="shared" ref="O1884:Q1884" si="1888">rank(I1884,I:I)</f>
        <v>3528</v>
      </c>
      <c r="P1884" s="163">
        <f t="shared" si="1888"/>
        <v>2964</v>
      </c>
      <c r="Q1884" s="163">
        <f t="shared" si="1888"/>
        <v>3804</v>
      </c>
      <c r="R1884" s="163">
        <f>IFERROR(__xludf.DUMMYFUNCTION("RANK(M1884,filter(M:M,C:C=C1884))"),305.0)</f>
        <v>305</v>
      </c>
      <c r="S1884" s="161" t="b">
        <f t="shared" si="5"/>
        <v>0</v>
      </c>
      <c r="T1884" s="161" t="b">
        <f t="array" ref="T1884">index('Query Tool'!B:B,match(H1884,'Query Tool'!C:C,0))</f>
        <v>1</v>
      </c>
      <c r="U1884" s="161" t="b">
        <f t="array" ref="U1884">index('Query Tool'!B:B,match(C1884,'Query Tool'!C:C,0))</f>
        <v>0</v>
      </c>
      <c r="V1884" s="161" t="b">
        <f>F1884&gt;='Query Tool'!C$32</f>
        <v>1</v>
      </c>
      <c r="W1884" s="161" t="b">
        <f t="array" ref="W1884">index(Dropdowns!B:B,match(I1884,Dropdowns!A:A,0))</f>
        <v>1</v>
      </c>
      <c r="X1884" s="161" t="b">
        <f t="array" ref="X1884">index('Query Tool'!B:B,match(D1884,'Query Tool'!C:C,0))</f>
        <v>1</v>
      </c>
      <c r="Y1884" s="161" t="str">
        <f t="shared" si="6"/>
        <v>poeltja01,2016-17</v>
      </c>
      <c r="Z1884" s="168">
        <f t="array" ref="Z1884">iferror(index(I:I,match($A1884&amp;","&amp;index('Year Conversion'!$A:$A,match($C1884,'Year Conversion'!$B:$B,0)),$Y:$Y,0))-I1884,"")</f>
        <v>1</v>
      </c>
      <c r="AA1884" s="168">
        <f t="array" ref="AA1884">iferror(index(J:J,match($A1884&amp;","&amp;index('Year Conversion'!$A:$A,match($C1884,'Year Conversion'!$B:$B,0)),$Y:$Y,0))-J1884,"")</f>
        <v>2.075863834</v>
      </c>
      <c r="AB1884" s="168">
        <f t="array" ref="AB1884">iferror(index(K:K,match($A1884&amp;","&amp;index('Year Conversion'!$A:$A,match($C1884,'Year Conversion'!$B:$B,0)),$Y:$Y,0))-K1884,"")</f>
        <v>1.904299541</v>
      </c>
      <c r="AC1884" s="168" t="str">
        <f t="shared" si="7"/>
        <v>TOR,2016-17</v>
      </c>
    </row>
    <row r="1885">
      <c r="A1885" s="161" t="str">
        <f>IFERROR(__xludf.DUMMYFUNCTION("""COMPUTED_VALUE"""),"princta02")</f>
        <v>princta02</v>
      </c>
      <c r="B1885" s="161" t="str">
        <f>IFERROR(__xludf.DUMMYFUNCTION("""COMPUTED_VALUE"""),"Taurean Prince")</f>
        <v>Taurean Prince</v>
      </c>
      <c r="C1885" s="162" t="str">
        <f>IFERROR(__xludf.DUMMYFUNCTION("""COMPUTED_VALUE"""),"2016-17")</f>
        <v>2016-17</v>
      </c>
      <c r="D1885" s="163" t="str">
        <f>IFERROR(__xludf.DUMMYFUNCTION("""COMPUTED_VALUE"""),"ATL")</f>
        <v>ATL</v>
      </c>
      <c r="E1885" s="164" t="str">
        <f>IFERROR(__xludf.DUMMYFUNCTION("""COMPUTED_VALUE"""),"Stationary Shooter")</f>
        <v>Stationary Shooter</v>
      </c>
      <c r="F1885" s="164">
        <f>IFERROR(__xludf.DUMMYFUNCTION("""COMPUTED_VALUE"""),981.441666666667)</f>
        <v>981.4416667</v>
      </c>
      <c r="G1885" s="163">
        <f>IFERROR(__xludf.DUMMYFUNCTION("""COMPUTED_VALUE"""),59.0)</f>
        <v>59</v>
      </c>
      <c r="H1885" s="163" t="str">
        <f>IFERROR(__xludf.DUMMYFUNCTION("""COMPUTED_VALUE"""),"SF")</f>
        <v>SF</v>
      </c>
      <c r="I1885" s="163">
        <f>IFERROR(__xludf.DUMMYFUNCTION("""COMPUTED_VALUE"""),22.0)</f>
        <v>22</v>
      </c>
      <c r="J1885" s="165">
        <f>IFERROR(__xludf.DUMMYFUNCTION("""COMPUTED_VALUE"""),-0.761618981423761)</f>
        <v>-0.7616189814</v>
      </c>
      <c r="K1885" s="165">
        <f>IFERROR(__xludf.DUMMYFUNCTION("""COMPUTED_VALUE"""),-2.54806464765738)</f>
        <v>-2.548064648</v>
      </c>
      <c r="L1885" s="165">
        <f>IFERROR(__xludf.DUMMYFUNCTION("""COMPUTED_VALUE"""),1.78644566623362)</f>
        <v>1.786445666</v>
      </c>
      <c r="M1885" s="166">
        <f t="shared" si="2"/>
        <v>1.009515091</v>
      </c>
      <c r="N1885" s="167">
        <f t="shared" si="3"/>
        <v>16.63460452</v>
      </c>
      <c r="O1885" s="163">
        <f t="shared" ref="O1885:Q1885" si="1889">rank(I1885,I:I)</f>
        <v>3178</v>
      </c>
      <c r="P1885" s="163">
        <f t="shared" si="1889"/>
        <v>2228</v>
      </c>
      <c r="Q1885" s="163">
        <f t="shared" si="1889"/>
        <v>3900</v>
      </c>
      <c r="R1885" s="163">
        <f>IFERROR(__xludf.DUMMYFUNCTION("RANK(M1885,filter(M:M,C:C=C1885))"),224.0)</f>
        <v>224</v>
      </c>
      <c r="S1885" s="161" t="b">
        <f t="shared" si="5"/>
        <v>0</v>
      </c>
      <c r="T1885" s="161" t="b">
        <f t="array" ref="T1885">index('Query Tool'!B:B,match(H1885,'Query Tool'!C:C,0))</f>
        <v>1</v>
      </c>
      <c r="U1885" s="161" t="b">
        <f t="array" ref="U1885">index('Query Tool'!B:B,match(C1885,'Query Tool'!C:C,0))</f>
        <v>0</v>
      </c>
      <c r="V1885" s="161" t="b">
        <f>F1885&gt;='Query Tool'!C$32</f>
        <v>1</v>
      </c>
      <c r="W1885" s="161" t="b">
        <f t="array" ref="W1885">index(Dropdowns!B:B,match(I1885,Dropdowns!A:A,0))</f>
        <v>1</v>
      </c>
      <c r="X1885" s="161" t="b">
        <f t="array" ref="X1885">index('Query Tool'!B:B,match(D1885,'Query Tool'!C:C,0))</f>
        <v>1</v>
      </c>
      <c r="Y1885" s="161" t="str">
        <f t="shared" si="6"/>
        <v>princta02,2016-17</v>
      </c>
      <c r="Z1885" s="168">
        <f t="array" ref="Z1885">iferror(index(I:I,match($A1885&amp;","&amp;index('Year Conversion'!$A:$A,match($C1885,'Year Conversion'!$B:$B,0)),$Y:$Y,0))-I1885,"")</f>
        <v>1</v>
      </c>
      <c r="AA1885" s="168">
        <f t="array" ref="AA1885">iferror(index(J:J,match($A1885&amp;","&amp;index('Year Conversion'!$A:$A,match($C1885,'Year Conversion'!$B:$B,0)),$Y:$Y,0))-J1885,"")</f>
        <v>-0.6934925028</v>
      </c>
      <c r="AB1885" s="168">
        <f t="array" ref="AB1885">iferror(index(K:K,match($A1885&amp;","&amp;index('Year Conversion'!$A:$A,match($C1885,'Year Conversion'!$B:$B,0)),$Y:$Y,0))-K1885,"")</f>
        <v>1.725001977</v>
      </c>
      <c r="AC1885" s="168" t="str">
        <f t="shared" si="7"/>
        <v>ATL,2016-17</v>
      </c>
    </row>
    <row r="1886">
      <c r="A1886" s="161" t="str">
        <f>IFERROR(__xludf.DUMMYFUNCTION("""COMPUTED_VALUE"""),"stonedi01")</f>
        <v>stonedi01</v>
      </c>
      <c r="B1886" s="161" t="str">
        <f>IFERROR(__xludf.DUMMYFUNCTION("""COMPUTED_VALUE"""),"Diamond Stone")</f>
        <v>Diamond Stone</v>
      </c>
      <c r="C1886" s="162" t="str">
        <f>IFERROR(__xludf.DUMMYFUNCTION("""COMPUTED_VALUE"""),"2016-17")</f>
        <v>2016-17</v>
      </c>
      <c r="D1886" s="163" t="str">
        <f>IFERROR(__xludf.DUMMYFUNCTION("""COMPUTED_VALUE"""),"LAC")</f>
        <v>LAC</v>
      </c>
      <c r="E1886" s="164" t="str">
        <f>IFERROR(__xludf.DUMMYFUNCTION("""COMPUTED_VALUE"""),"Post Scorer")</f>
        <v>Post Scorer</v>
      </c>
      <c r="F1886" s="164">
        <f>IFERROR(__xludf.DUMMYFUNCTION("""COMPUTED_VALUE"""),24.255)</f>
        <v>24.255</v>
      </c>
      <c r="G1886" s="163">
        <f>IFERROR(__xludf.DUMMYFUNCTION("""COMPUTED_VALUE"""),7.0)</f>
        <v>7</v>
      </c>
      <c r="H1886" s="163" t="str">
        <f>IFERROR(__xludf.DUMMYFUNCTION("""COMPUTED_VALUE"""),"C")</f>
        <v>C</v>
      </c>
      <c r="I1886" s="163">
        <f>IFERROR(__xludf.DUMMYFUNCTION("""COMPUTED_VALUE"""),19.0)</f>
        <v>19</v>
      </c>
      <c r="J1886" s="165">
        <f>IFERROR(__xludf.DUMMYFUNCTION("""COMPUTED_VALUE"""),-1.23449029076963)</f>
        <v>-1.234490291</v>
      </c>
      <c r="K1886" s="165">
        <f>IFERROR(__xludf.DUMMYFUNCTION("""COMPUTED_VALUE"""),-0.653339906441676)</f>
        <v>-0.6533399064</v>
      </c>
      <c r="L1886" s="165">
        <f>IFERROR(__xludf.DUMMYFUNCTION("""COMPUTED_VALUE"""),-0.581150384327957)</f>
        <v>-0.5811503843</v>
      </c>
      <c r="M1886" s="166">
        <f t="shared" si="2"/>
        <v>0.01724878367</v>
      </c>
      <c r="N1886" s="167">
        <f t="shared" si="3"/>
        <v>3.465</v>
      </c>
      <c r="O1886" s="163">
        <f t="shared" ref="O1886:Q1886" si="1890">rank(I1886,I:I)</f>
        <v>3945</v>
      </c>
      <c r="P1886" s="163">
        <f t="shared" si="1890"/>
        <v>2793</v>
      </c>
      <c r="Q1886" s="163">
        <f t="shared" si="1890"/>
        <v>2336</v>
      </c>
      <c r="R1886" s="163">
        <f>IFERROR(__xludf.DUMMYFUNCTION("RANK(M1886,filter(M:M,C:C=C1886))"),434.0)</f>
        <v>434</v>
      </c>
      <c r="S1886" s="161" t="b">
        <f t="shared" si="5"/>
        <v>0</v>
      </c>
      <c r="T1886" s="161" t="b">
        <f t="array" ref="T1886">index('Query Tool'!B:B,match(H1886,'Query Tool'!C:C,0))</f>
        <v>1</v>
      </c>
      <c r="U1886" s="161" t="b">
        <f t="array" ref="U1886">index('Query Tool'!B:B,match(C1886,'Query Tool'!C:C,0))</f>
        <v>0</v>
      </c>
      <c r="V1886" s="161" t="b">
        <f>F1886&gt;='Query Tool'!C$32</f>
        <v>0</v>
      </c>
      <c r="W1886" s="161" t="b">
        <f t="array" ref="W1886">index(Dropdowns!B:B,match(I1886,Dropdowns!A:A,0))</f>
        <v>1</v>
      </c>
      <c r="X1886" s="161" t="b">
        <f t="array" ref="X1886">index('Query Tool'!B:B,match(D1886,'Query Tool'!C:C,0))</f>
        <v>1</v>
      </c>
      <c r="Y1886" s="161" t="str">
        <f t="shared" si="6"/>
        <v>stonedi01,2016-17</v>
      </c>
      <c r="Z1886" s="168" t="str">
        <f t="array" ref="Z1886">iferror(index(I:I,match($A1886&amp;","&amp;index('Year Conversion'!$A:$A,match($C1886,'Year Conversion'!$B:$B,0)),$Y:$Y,0))-I1886,"")</f>
        <v/>
      </c>
      <c r="AA1886" s="168" t="str">
        <f t="array" ref="AA1886">iferror(index(J:J,match($A1886&amp;","&amp;index('Year Conversion'!$A:$A,match($C1886,'Year Conversion'!$B:$B,0)),$Y:$Y,0))-J1886,"")</f>
        <v/>
      </c>
      <c r="AB1886" s="168" t="str">
        <f t="array" ref="AB1886">iferror(index(K:K,match($A1886&amp;","&amp;index('Year Conversion'!$A:$A,match($C1886,'Year Conversion'!$B:$B,0)),$Y:$Y,0))-K1886,"")</f>
        <v/>
      </c>
      <c r="AC1886" s="168" t="str">
        <f t="shared" si="7"/>
        <v>LAC,2016-17</v>
      </c>
    </row>
    <row r="1887">
      <c r="A1887" s="161" t="str">
        <f>IFERROR(__xludf.DUMMYFUNCTION("""COMPUTED_VALUE"""),"ulisty01")</f>
        <v>ulisty01</v>
      </c>
      <c r="B1887" s="161" t="str">
        <f>IFERROR(__xludf.DUMMYFUNCTION("""COMPUTED_VALUE"""),"Tyler Ulis")</f>
        <v>Tyler Ulis</v>
      </c>
      <c r="C1887" s="162" t="str">
        <f>IFERROR(__xludf.DUMMYFUNCTION("""COMPUTED_VALUE"""),"2016-17")</f>
        <v>2016-17</v>
      </c>
      <c r="D1887" s="163" t="str">
        <f>IFERROR(__xludf.DUMMYFUNCTION("""COMPUTED_VALUE"""),"PHO")</f>
        <v>PHO</v>
      </c>
      <c r="E1887" s="164" t="str">
        <f>IFERROR(__xludf.DUMMYFUNCTION("""COMPUTED_VALUE"""),"Slasher")</f>
        <v>Slasher</v>
      </c>
      <c r="F1887" s="164">
        <f>IFERROR(__xludf.DUMMYFUNCTION("""COMPUTED_VALUE"""),1122.73)</f>
        <v>1122.73</v>
      </c>
      <c r="G1887" s="163">
        <f>IFERROR(__xludf.DUMMYFUNCTION("""COMPUTED_VALUE"""),61.0)</f>
        <v>61</v>
      </c>
      <c r="H1887" s="163" t="str">
        <f>IFERROR(__xludf.DUMMYFUNCTION("""COMPUTED_VALUE"""),"PG")</f>
        <v>PG</v>
      </c>
      <c r="I1887" s="163">
        <f>IFERROR(__xludf.DUMMYFUNCTION("""COMPUTED_VALUE"""),21.0)</f>
        <v>21</v>
      </c>
      <c r="J1887" s="165">
        <f>IFERROR(__xludf.DUMMYFUNCTION("""COMPUTED_VALUE"""),-0.902291960479861)</f>
        <v>-0.9022919605</v>
      </c>
      <c r="K1887" s="165">
        <f>IFERROR(__xludf.DUMMYFUNCTION("""COMPUTED_VALUE"""),0.318896042520171)</f>
        <v>0.3188960425</v>
      </c>
      <c r="L1887" s="165">
        <f>IFERROR(__xludf.DUMMYFUNCTION("""COMPUTED_VALUE"""),-1.22118800300003)</f>
        <v>-1.221188003</v>
      </c>
      <c r="M1887" s="166">
        <f t="shared" si="2"/>
        <v>1.048672119</v>
      </c>
      <c r="N1887" s="167">
        <f t="shared" si="3"/>
        <v>18.40540984</v>
      </c>
      <c r="O1887" s="163">
        <f t="shared" ref="O1887:Q1887" si="1891">rank(I1887,I:I)</f>
        <v>3528</v>
      </c>
      <c r="P1887" s="163">
        <f t="shared" si="1891"/>
        <v>2397</v>
      </c>
      <c r="Q1887" s="163">
        <f t="shared" si="1891"/>
        <v>898</v>
      </c>
      <c r="R1887" s="163">
        <f>IFERROR(__xludf.DUMMYFUNCTION("RANK(M1887,filter(M:M,C:C=C1887))"),221.0)</f>
        <v>221</v>
      </c>
      <c r="S1887" s="161" t="b">
        <f t="shared" si="5"/>
        <v>0</v>
      </c>
      <c r="T1887" s="161" t="b">
        <f t="array" ref="T1887">index('Query Tool'!B:B,match(H1887,'Query Tool'!C:C,0))</f>
        <v>1</v>
      </c>
      <c r="U1887" s="161" t="b">
        <f t="array" ref="U1887">index('Query Tool'!B:B,match(C1887,'Query Tool'!C:C,0))</f>
        <v>0</v>
      </c>
      <c r="V1887" s="161" t="b">
        <f>F1887&gt;='Query Tool'!C$32</f>
        <v>1</v>
      </c>
      <c r="W1887" s="161" t="b">
        <f t="array" ref="W1887">index(Dropdowns!B:B,match(I1887,Dropdowns!A:A,0))</f>
        <v>1</v>
      </c>
      <c r="X1887" s="161" t="b">
        <f t="array" ref="X1887">index('Query Tool'!B:B,match(D1887,'Query Tool'!C:C,0))</f>
        <v>1</v>
      </c>
      <c r="Y1887" s="161" t="str">
        <f t="shared" si="6"/>
        <v>ulisty01,2016-17</v>
      </c>
      <c r="Z1887" s="168">
        <f t="array" ref="Z1887">iferror(index(I:I,match($A1887&amp;","&amp;index('Year Conversion'!$A:$A,match($C1887,'Year Conversion'!$B:$B,0)),$Y:$Y,0))-I1887,"")</f>
        <v>1</v>
      </c>
      <c r="AA1887" s="168">
        <f t="array" ref="AA1887">iferror(index(J:J,match($A1887&amp;","&amp;index('Year Conversion'!$A:$A,match($C1887,'Year Conversion'!$B:$B,0)),$Y:$Y,0))-J1887,"")</f>
        <v>-0.5040614821</v>
      </c>
      <c r="AB1887" s="168">
        <f t="array" ref="AB1887">iferror(index(K:K,match($A1887&amp;","&amp;index('Year Conversion'!$A:$A,match($C1887,'Year Conversion'!$B:$B,0)),$Y:$Y,0))-K1887,"")</f>
        <v>-1.196463232</v>
      </c>
      <c r="AC1887" s="168" t="str">
        <f t="shared" si="7"/>
        <v>PHO,2016-17</v>
      </c>
    </row>
    <row r="1888">
      <c r="A1888" s="161" t="str">
        <f>IFERROR(__xludf.DUMMYFUNCTION("""COMPUTED_VALUE"""),"valende01")</f>
        <v>valende01</v>
      </c>
      <c r="B1888" s="161" t="str">
        <f>IFERROR(__xludf.DUMMYFUNCTION("""COMPUTED_VALUE"""),"Denzel Valentine")</f>
        <v>Denzel Valentine</v>
      </c>
      <c r="C1888" s="162" t="str">
        <f>IFERROR(__xludf.DUMMYFUNCTION("""COMPUTED_VALUE"""),"2016-17")</f>
        <v>2016-17</v>
      </c>
      <c r="D1888" s="163" t="str">
        <f>IFERROR(__xludf.DUMMYFUNCTION("""COMPUTED_VALUE"""),"CHI")</f>
        <v>CHI</v>
      </c>
      <c r="E1888" s="164" t="str">
        <f>IFERROR(__xludf.DUMMYFUNCTION("""COMPUTED_VALUE"""),"Stationary Shooter")</f>
        <v>Stationary Shooter</v>
      </c>
      <c r="F1888" s="164">
        <f>IFERROR(__xludf.DUMMYFUNCTION("""COMPUTED_VALUE"""),976.528333333333)</f>
        <v>976.5283333</v>
      </c>
      <c r="G1888" s="163">
        <f>IFERROR(__xludf.DUMMYFUNCTION("""COMPUTED_VALUE"""),57.0)</f>
        <v>57</v>
      </c>
      <c r="H1888" s="163" t="str">
        <f>IFERROR(__xludf.DUMMYFUNCTION("""COMPUTED_VALUE"""),"SG")</f>
        <v>SG</v>
      </c>
      <c r="I1888" s="163">
        <f>IFERROR(__xludf.DUMMYFUNCTION("""COMPUTED_VALUE"""),23.0)</f>
        <v>23</v>
      </c>
      <c r="J1888" s="165">
        <f>IFERROR(__xludf.DUMMYFUNCTION("""COMPUTED_VALUE"""),-1.44408420306691)</f>
        <v>-1.444084203</v>
      </c>
      <c r="K1888" s="165">
        <f>IFERROR(__xludf.DUMMYFUNCTION("""COMPUTED_VALUE"""),-1.31343585206172)</f>
        <v>-1.313435852</v>
      </c>
      <c r="L1888" s="165">
        <f>IFERROR(__xludf.DUMMYFUNCTION("""COMPUTED_VALUE"""),-0.130648351005186)</f>
        <v>-0.130648351</v>
      </c>
      <c r="M1888" s="166">
        <f t="shared" si="2"/>
        <v>0.5574907522</v>
      </c>
      <c r="N1888" s="167">
        <f t="shared" si="3"/>
        <v>17.13207602</v>
      </c>
      <c r="O1888" s="163">
        <f t="shared" ref="O1888:Q1888" si="1892">rank(I1888,I:I)</f>
        <v>2765</v>
      </c>
      <c r="P1888" s="163">
        <f t="shared" si="1892"/>
        <v>3003</v>
      </c>
      <c r="Q1888" s="163">
        <f t="shared" si="1892"/>
        <v>3165</v>
      </c>
      <c r="R1888" s="163">
        <f>IFERROR(__xludf.DUMMYFUNCTION("RANK(M1888,filter(M:M,C:C=C1888))"),271.0)</f>
        <v>271</v>
      </c>
      <c r="S1888" s="161" t="b">
        <f t="shared" si="5"/>
        <v>0</v>
      </c>
      <c r="T1888" s="161" t="b">
        <f t="array" ref="T1888">index('Query Tool'!B:B,match(H1888,'Query Tool'!C:C,0))</f>
        <v>1</v>
      </c>
      <c r="U1888" s="161" t="b">
        <f t="array" ref="U1888">index('Query Tool'!B:B,match(C1888,'Query Tool'!C:C,0))</f>
        <v>0</v>
      </c>
      <c r="V1888" s="161" t="b">
        <f>F1888&gt;='Query Tool'!C$32</f>
        <v>1</v>
      </c>
      <c r="W1888" s="161" t="b">
        <f t="array" ref="W1888">index(Dropdowns!B:B,match(I1888,Dropdowns!A:A,0))</f>
        <v>1</v>
      </c>
      <c r="X1888" s="161" t="b">
        <f t="array" ref="X1888">index('Query Tool'!B:B,match(D1888,'Query Tool'!C:C,0))</f>
        <v>1</v>
      </c>
      <c r="Y1888" s="161" t="str">
        <f t="shared" si="6"/>
        <v>valende01,2016-17</v>
      </c>
      <c r="Z1888" s="168">
        <f t="array" ref="Z1888">iferror(index(I:I,match($A1888&amp;","&amp;index('Year Conversion'!$A:$A,match($C1888,'Year Conversion'!$B:$B,0)),$Y:$Y,0))-I1888,"")</f>
        <v>1</v>
      </c>
      <c r="AA1888" s="168">
        <f t="array" ref="AA1888">iferror(index(J:J,match($A1888&amp;","&amp;index('Year Conversion'!$A:$A,match($C1888,'Year Conversion'!$B:$B,0)),$Y:$Y,0))-J1888,"")</f>
        <v>-0.8501087755</v>
      </c>
      <c r="AB1888" s="168">
        <f t="array" ref="AB1888">iferror(index(K:K,match($A1888&amp;","&amp;index('Year Conversion'!$A:$A,match($C1888,'Year Conversion'!$B:$B,0)),$Y:$Y,0))-K1888,"")</f>
        <v>-0.3260616622</v>
      </c>
      <c r="AC1888" s="168" t="str">
        <f t="shared" si="7"/>
        <v>CHI,2016-17</v>
      </c>
    </row>
    <row r="1889">
      <c r="A1889" s="161" t="str">
        <f>IFERROR(__xludf.DUMMYFUNCTION("""COMPUTED_VALUE"""),"zimmest01")</f>
        <v>zimmest01</v>
      </c>
      <c r="B1889" s="161" t="str">
        <f>IFERROR(__xludf.DUMMYFUNCTION("""COMPUTED_VALUE"""),"Stephen Zimmerman")</f>
        <v>Stephen Zimmerman</v>
      </c>
      <c r="C1889" s="162" t="str">
        <f>IFERROR(__xludf.DUMMYFUNCTION("""COMPUTED_VALUE"""),"2016-17")</f>
        <v>2016-17</v>
      </c>
      <c r="D1889" s="163" t="str">
        <f>IFERROR(__xludf.DUMMYFUNCTION("""COMPUTED_VALUE"""),"ORL")</f>
        <v>ORL</v>
      </c>
      <c r="E1889" s="164" t="str">
        <f>IFERROR(__xludf.DUMMYFUNCTION("""COMPUTED_VALUE"""),"Post Scorer")</f>
        <v>Post Scorer</v>
      </c>
      <c r="F1889" s="164">
        <f>IFERROR(__xludf.DUMMYFUNCTION("""COMPUTED_VALUE"""),107.76)</f>
        <v>107.76</v>
      </c>
      <c r="G1889" s="163">
        <f>IFERROR(__xludf.DUMMYFUNCTION("""COMPUTED_VALUE"""),19.0)</f>
        <v>19</v>
      </c>
      <c r="H1889" s="163" t="str">
        <f>IFERROR(__xludf.DUMMYFUNCTION("""COMPUTED_VALUE"""),"C")</f>
        <v>C</v>
      </c>
      <c r="I1889" s="163">
        <f>IFERROR(__xludf.DUMMYFUNCTION("""COMPUTED_VALUE"""),20.0)</f>
        <v>20</v>
      </c>
      <c r="J1889" s="165">
        <f>IFERROR(__xludf.DUMMYFUNCTION("""COMPUTED_VALUE"""),-0.585747363670551)</f>
        <v>-0.5857473637</v>
      </c>
      <c r="K1889" s="165">
        <f>IFERROR(__xludf.DUMMYFUNCTION("""COMPUTED_VALUE"""),-0.739682485568229)</f>
        <v>-0.7396824856</v>
      </c>
      <c r="L1889" s="165">
        <f>IFERROR(__xludf.DUMMYFUNCTION("""COMPUTED_VALUE"""),0.153935121897678)</f>
        <v>0.1539351219</v>
      </c>
      <c r="M1889" s="166">
        <f t="shared" si="2"/>
        <v>0.1235953185</v>
      </c>
      <c r="N1889" s="167">
        <f t="shared" si="3"/>
        <v>5.671578947</v>
      </c>
      <c r="O1889" s="163">
        <f t="shared" ref="O1889:Q1889" si="1893">rank(I1889,I:I)</f>
        <v>3770</v>
      </c>
      <c r="P1889" s="163">
        <f t="shared" si="1893"/>
        <v>1972</v>
      </c>
      <c r="Q1889" s="163">
        <f t="shared" si="1893"/>
        <v>2468</v>
      </c>
      <c r="R1889" s="163">
        <f>IFERROR(__xludf.DUMMYFUNCTION("RANK(M1889,filter(M:M,C:C=C1889))"),369.0)</f>
        <v>369</v>
      </c>
      <c r="S1889" s="161" t="b">
        <f t="shared" si="5"/>
        <v>0</v>
      </c>
      <c r="T1889" s="161" t="b">
        <f t="array" ref="T1889">index('Query Tool'!B:B,match(H1889,'Query Tool'!C:C,0))</f>
        <v>1</v>
      </c>
      <c r="U1889" s="161" t="b">
        <f t="array" ref="U1889">index('Query Tool'!B:B,match(C1889,'Query Tool'!C:C,0))</f>
        <v>0</v>
      </c>
      <c r="V1889" s="161" t="b">
        <f>F1889&gt;='Query Tool'!C$32</f>
        <v>0</v>
      </c>
      <c r="W1889" s="161" t="b">
        <f t="array" ref="W1889">index(Dropdowns!B:B,match(I1889,Dropdowns!A:A,0))</f>
        <v>1</v>
      </c>
      <c r="X1889" s="161" t="b">
        <f t="array" ref="X1889">index('Query Tool'!B:B,match(D1889,'Query Tool'!C:C,0))</f>
        <v>1</v>
      </c>
      <c r="Y1889" s="161" t="str">
        <f t="shared" si="6"/>
        <v>zimmest01,2016-17</v>
      </c>
      <c r="Z1889" s="168" t="str">
        <f t="array" ref="Z1889">iferror(index(I:I,match($A1889&amp;","&amp;index('Year Conversion'!$A:$A,match($C1889,'Year Conversion'!$B:$B,0)),$Y:$Y,0))-I1889,"")</f>
        <v/>
      </c>
      <c r="AA1889" s="168" t="str">
        <f t="array" ref="AA1889">iferror(index(J:J,match($A1889&amp;","&amp;index('Year Conversion'!$A:$A,match($C1889,'Year Conversion'!$B:$B,0)),$Y:$Y,0))-J1889,"")</f>
        <v/>
      </c>
      <c r="AB1889" s="168" t="str">
        <f t="array" ref="AB1889">iferror(index(K:K,match($A1889&amp;","&amp;index('Year Conversion'!$A:$A,match($C1889,'Year Conversion'!$B:$B,0)),$Y:$Y,0))-K1889,"")</f>
        <v/>
      </c>
      <c r="AC1889" s="168" t="str">
        <f t="shared" si="7"/>
        <v>ORL,2016-17</v>
      </c>
    </row>
    <row r="1890">
      <c r="A1890" s="161" t="str">
        <f>IFERROR(__xludf.DUMMYFUNCTION("""COMPUTED_VALUE"""),"bakerro01")</f>
        <v>bakerro01</v>
      </c>
      <c r="B1890" s="161" t="str">
        <f>IFERROR(__xludf.DUMMYFUNCTION("""COMPUTED_VALUE"""),"Ron Baker")</f>
        <v>Ron Baker</v>
      </c>
      <c r="C1890" s="162" t="str">
        <f>IFERROR(__xludf.DUMMYFUNCTION("""COMPUTED_VALUE"""),"2016-17")</f>
        <v>2016-17</v>
      </c>
      <c r="D1890" s="163" t="str">
        <f>IFERROR(__xludf.DUMMYFUNCTION("""COMPUTED_VALUE"""),"NYK")</f>
        <v>NYK</v>
      </c>
      <c r="E1890" s="164" t="str">
        <f>IFERROR(__xludf.DUMMYFUNCTION("""COMPUTED_VALUE"""),"Secondary Ball Handler")</f>
        <v>Secondary Ball Handler</v>
      </c>
      <c r="F1890" s="164">
        <f>IFERROR(__xludf.DUMMYFUNCTION("""COMPUTED_VALUE"""),857.033333333333)</f>
        <v>857.0333333</v>
      </c>
      <c r="G1890" s="163">
        <f>IFERROR(__xludf.DUMMYFUNCTION("""COMPUTED_VALUE"""),52.0)</f>
        <v>52</v>
      </c>
      <c r="H1890" s="163" t="str">
        <f>IFERROR(__xludf.DUMMYFUNCTION("""COMPUTED_VALUE"""),"SG")</f>
        <v>SG</v>
      </c>
      <c r="I1890" s="163">
        <f>IFERROR(__xludf.DUMMYFUNCTION("""COMPUTED_VALUE"""),23.0)</f>
        <v>23</v>
      </c>
      <c r="J1890" s="165">
        <f>IFERROR(__xludf.DUMMYFUNCTION("""COMPUTED_VALUE"""),-1.70435295524263)</f>
        <v>-1.704352955</v>
      </c>
      <c r="K1890" s="165">
        <f>IFERROR(__xludf.DUMMYFUNCTION("""COMPUTED_VALUE"""),-1.42251902715873)</f>
        <v>-1.422519027</v>
      </c>
      <c r="L1890" s="165">
        <f>IFERROR(__xludf.DUMMYFUNCTION("""COMPUTED_VALUE"""),-0.281833928083897)</f>
        <v>-0.2818339281</v>
      </c>
      <c r="M1890" s="166">
        <f t="shared" si="2"/>
        <v>0.3404340193</v>
      </c>
      <c r="N1890" s="167">
        <f t="shared" si="3"/>
        <v>16.48141026</v>
      </c>
      <c r="O1890" s="163">
        <f t="shared" ref="O1890:Q1890" si="1894">rank(I1890,I:I)</f>
        <v>2765</v>
      </c>
      <c r="P1890" s="163">
        <f t="shared" si="1894"/>
        <v>3247</v>
      </c>
      <c r="Q1890" s="163">
        <f t="shared" si="1894"/>
        <v>3271</v>
      </c>
      <c r="R1890" s="163">
        <f>IFERROR(__xludf.DUMMYFUNCTION("RANK(M1890,filter(M:M,C:C=C1890))"),310.0)</f>
        <v>310</v>
      </c>
      <c r="S1890" s="161" t="b">
        <f t="shared" si="5"/>
        <v>0</v>
      </c>
      <c r="T1890" s="161" t="b">
        <f t="array" ref="T1890">index('Query Tool'!B:B,match(H1890,'Query Tool'!C:C,0))</f>
        <v>1</v>
      </c>
      <c r="U1890" s="161" t="b">
        <f t="array" ref="U1890">index('Query Tool'!B:B,match(C1890,'Query Tool'!C:C,0))</f>
        <v>0</v>
      </c>
      <c r="V1890" s="161" t="b">
        <f>F1890&gt;='Query Tool'!C$32</f>
        <v>1</v>
      </c>
      <c r="W1890" s="161" t="b">
        <f t="array" ref="W1890">index(Dropdowns!B:B,match(I1890,Dropdowns!A:A,0))</f>
        <v>1</v>
      </c>
      <c r="X1890" s="161" t="b">
        <f t="array" ref="X1890">index('Query Tool'!B:B,match(D1890,'Query Tool'!C:C,0))</f>
        <v>1</v>
      </c>
      <c r="Y1890" s="161" t="str">
        <f t="shared" si="6"/>
        <v>bakerro01,2016-17</v>
      </c>
      <c r="Z1890" s="168">
        <f t="array" ref="Z1890">iferror(index(I:I,match($A1890&amp;","&amp;index('Year Conversion'!$A:$A,match($C1890,'Year Conversion'!$B:$B,0)),$Y:$Y,0))-I1890,"")</f>
        <v>1</v>
      </c>
      <c r="AA1890" s="168">
        <f t="array" ref="AA1890">iferror(index(J:J,match($A1890&amp;","&amp;index('Year Conversion'!$A:$A,match($C1890,'Year Conversion'!$B:$B,0)),$Y:$Y,0))-J1890,"")</f>
        <v>1.05845692</v>
      </c>
      <c r="AB1890" s="168">
        <f t="array" ref="AB1890">iferror(index(K:K,match($A1890&amp;","&amp;index('Year Conversion'!$A:$A,match($C1890,'Year Conversion'!$B:$B,0)),$Y:$Y,0))-K1890,"")</f>
        <v>0.2797495683</v>
      </c>
      <c r="AC1890" s="168" t="str">
        <f t="shared" si="7"/>
        <v>NYK,2016-17</v>
      </c>
    </row>
    <row r="1891">
      <c r="A1891" s="161" t="str">
        <f>IFERROR(__xludf.DUMMYFUNCTION("""COMPUTED_VALUE"""),"brownja02")</f>
        <v>brownja02</v>
      </c>
      <c r="B1891" s="161" t="str">
        <f>IFERROR(__xludf.DUMMYFUNCTION("""COMPUTED_VALUE"""),"Jaylen Brown")</f>
        <v>Jaylen Brown</v>
      </c>
      <c r="C1891" s="162" t="str">
        <f>IFERROR(__xludf.DUMMYFUNCTION("""COMPUTED_VALUE"""),"2016-17")</f>
        <v>2016-17</v>
      </c>
      <c r="D1891" s="163" t="str">
        <f>IFERROR(__xludf.DUMMYFUNCTION("""COMPUTED_VALUE"""),"BOS")</f>
        <v>BOS</v>
      </c>
      <c r="E1891" s="164" t="str">
        <f>IFERROR(__xludf.DUMMYFUNCTION("""COMPUTED_VALUE"""),"Athletic Finisher")</f>
        <v>Athletic Finisher</v>
      </c>
      <c r="F1891" s="164">
        <f>IFERROR(__xludf.DUMMYFUNCTION("""COMPUTED_VALUE"""),1341.32666666667)</f>
        <v>1341.326667</v>
      </c>
      <c r="G1891" s="163">
        <f>IFERROR(__xludf.DUMMYFUNCTION("""COMPUTED_VALUE"""),78.0)</f>
        <v>78</v>
      </c>
      <c r="H1891" s="163" t="str">
        <f>IFERROR(__xludf.DUMMYFUNCTION("""COMPUTED_VALUE"""),"SF")</f>
        <v>SF</v>
      </c>
      <c r="I1891" s="163">
        <f>IFERROR(__xludf.DUMMYFUNCTION("""COMPUTED_VALUE"""),20.0)</f>
        <v>20</v>
      </c>
      <c r="J1891" s="165">
        <f>IFERROR(__xludf.DUMMYFUNCTION("""COMPUTED_VALUE"""),-2.06951300149986)</f>
        <v>-2.069513001</v>
      </c>
      <c r="K1891" s="165">
        <f>IFERROR(__xludf.DUMMYFUNCTION("""COMPUTED_VALUE"""),-1.98936902786198)</f>
        <v>-1.989369028</v>
      </c>
      <c r="L1891" s="165">
        <f>IFERROR(__xludf.DUMMYFUNCTION("""COMPUTED_VALUE"""),-0.0801439736378849)</f>
        <v>-0.08014397364</v>
      </c>
      <c r="M1891" s="166">
        <f t="shared" si="2"/>
        <v>0.207455825</v>
      </c>
      <c r="N1891" s="167">
        <f t="shared" si="3"/>
        <v>17.19649573</v>
      </c>
      <c r="O1891" s="163">
        <f t="shared" ref="O1891:Q1891" si="1895">rank(I1891,I:I)</f>
        <v>3770</v>
      </c>
      <c r="P1891" s="163">
        <f t="shared" si="1895"/>
        <v>3533</v>
      </c>
      <c r="Q1891" s="163">
        <f t="shared" si="1895"/>
        <v>3707</v>
      </c>
      <c r="R1891" s="163">
        <f>IFERROR(__xludf.DUMMYFUNCTION("RANK(M1891,filter(M:M,C:C=C1891))"),336.0)</f>
        <v>336</v>
      </c>
      <c r="S1891" s="161" t="b">
        <f t="shared" si="5"/>
        <v>0</v>
      </c>
      <c r="T1891" s="161" t="b">
        <f t="array" ref="T1891">index('Query Tool'!B:B,match(H1891,'Query Tool'!C:C,0))</f>
        <v>1</v>
      </c>
      <c r="U1891" s="161" t="b">
        <f t="array" ref="U1891">index('Query Tool'!B:B,match(C1891,'Query Tool'!C:C,0))</f>
        <v>0</v>
      </c>
      <c r="V1891" s="161" t="b">
        <f>F1891&gt;='Query Tool'!C$32</f>
        <v>1</v>
      </c>
      <c r="W1891" s="161" t="b">
        <f t="array" ref="W1891">index(Dropdowns!B:B,match(I1891,Dropdowns!A:A,0))</f>
        <v>1</v>
      </c>
      <c r="X1891" s="161" t="b">
        <f t="array" ref="X1891">index('Query Tool'!B:B,match(D1891,'Query Tool'!C:C,0))</f>
        <v>1</v>
      </c>
      <c r="Y1891" s="161" t="str">
        <f t="shared" si="6"/>
        <v>brownja02,2016-17</v>
      </c>
      <c r="Z1891" s="168">
        <f t="array" ref="Z1891">iferror(index(I:I,match($A1891&amp;","&amp;index('Year Conversion'!$A:$A,match($C1891,'Year Conversion'!$B:$B,0)),$Y:$Y,0))-I1891,"")</f>
        <v>1</v>
      </c>
      <c r="AA1891" s="168">
        <f t="array" ref="AA1891">iferror(index(J:J,match($A1891&amp;","&amp;index('Year Conversion'!$A:$A,match($C1891,'Year Conversion'!$B:$B,0)),$Y:$Y,0))-J1891,"")</f>
        <v>3.325184687</v>
      </c>
      <c r="AB1891" s="168">
        <f t="array" ref="AB1891">iferror(index(K:K,match($A1891&amp;","&amp;index('Year Conversion'!$A:$A,match($C1891,'Year Conversion'!$B:$B,0)),$Y:$Y,0))-K1891,"")</f>
        <v>1.851375757</v>
      </c>
      <c r="AC1891" s="168" t="str">
        <f t="shared" si="7"/>
        <v>BOS,2016-17</v>
      </c>
    </row>
    <row r="1892">
      <c r="A1892" s="161" t="str">
        <f>IFERROR(__xludf.DUMMYFUNCTION("""COMPUTED_VALUE"""),"bembrde01")</f>
        <v>bembrde01</v>
      </c>
      <c r="B1892" s="161" t="str">
        <f>IFERROR(__xludf.DUMMYFUNCTION("""COMPUTED_VALUE"""),"DeAndre' Bembry")</f>
        <v>DeAndre' Bembry</v>
      </c>
      <c r="C1892" s="162" t="str">
        <f>IFERROR(__xludf.DUMMYFUNCTION("""COMPUTED_VALUE"""),"2016-17")</f>
        <v>2016-17</v>
      </c>
      <c r="D1892" s="163" t="str">
        <f>IFERROR(__xludf.DUMMYFUNCTION("""COMPUTED_VALUE"""),"ATL")</f>
        <v>ATL</v>
      </c>
      <c r="E1892" s="164" t="str">
        <f>IFERROR(__xludf.DUMMYFUNCTION("""COMPUTED_VALUE"""),"Athletic Finisher")</f>
        <v>Athletic Finisher</v>
      </c>
      <c r="F1892" s="164">
        <f>IFERROR(__xludf.DUMMYFUNCTION("""COMPUTED_VALUE"""),370.74)</f>
        <v>370.74</v>
      </c>
      <c r="G1892" s="163">
        <f>IFERROR(__xludf.DUMMYFUNCTION("""COMPUTED_VALUE"""),38.0)</f>
        <v>38</v>
      </c>
      <c r="H1892" s="163" t="str">
        <f>IFERROR(__xludf.DUMMYFUNCTION("""COMPUTED_VALUE"""),"SF")</f>
        <v>SF</v>
      </c>
      <c r="I1892" s="163">
        <f>IFERROR(__xludf.DUMMYFUNCTION("""COMPUTED_VALUE"""),22.0)</f>
        <v>22</v>
      </c>
      <c r="J1892" s="165">
        <f>IFERROR(__xludf.DUMMYFUNCTION("""COMPUTED_VALUE"""),-1.53608873301635)</f>
        <v>-1.536088733</v>
      </c>
      <c r="K1892" s="165">
        <f>IFERROR(__xludf.DUMMYFUNCTION("""COMPUTED_VALUE"""),-1.23962469321544)</f>
        <v>-1.239624693</v>
      </c>
      <c r="L1892" s="165">
        <f>IFERROR(__xludf.DUMMYFUNCTION("""COMPUTED_VALUE"""),-0.296464039800907)</f>
        <v>-0.2964640398</v>
      </c>
      <c r="M1892" s="166">
        <f t="shared" si="2"/>
        <v>0.1888670513</v>
      </c>
      <c r="N1892" s="167">
        <f t="shared" si="3"/>
        <v>9.756315789</v>
      </c>
      <c r="O1892" s="163">
        <f t="shared" ref="O1892:Q1892" si="1896">rank(I1892,I:I)</f>
        <v>3178</v>
      </c>
      <c r="P1892" s="163">
        <f t="shared" si="1896"/>
        <v>3082</v>
      </c>
      <c r="Q1892" s="163">
        <f t="shared" si="1896"/>
        <v>3072</v>
      </c>
      <c r="R1892" s="163">
        <f>IFERROR(__xludf.DUMMYFUNCTION("RANK(M1892,filter(M:M,C:C=C1892))"),345.0)</f>
        <v>345</v>
      </c>
      <c r="S1892" s="161" t="b">
        <f t="shared" si="5"/>
        <v>0</v>
      </c>
      <c r="T1892" s="161" t="b">
        <f t="array" ref="T1892">index('Query Tool'!B:B,match(H1892,'Query Tool'!C:C,0))</f>
        <v>1</v>
      </c>
      <c r="U1892" s="161" t="b">
        <f t="array" ref="U1892">index('Query Tool'!B:B,match(C1892,'Query Tool'!C:C,0))</f>
        <v>0</v>
      </c>
      <c r="V1892" s="161" t="b">
        <f>F1892&gt;='Query Tool'!C$32</f>
        <v>0</v>
      </c>
      <c r="W1892" s="161" t="b">
        <f t="array" ref="W1892">index(Dropdowns!B:B,match(I1892,Dropdowns!A:A,0))</f>
        <v>1</v>
      </c>
      <c r="X1892" s="161" t="b">
        <f t="array" ref="X1892">index('Query Tool'!B:B,match(D1892,'Query Tool'!C:C,0))</f>
        <v>1</v>
      </c>
      <c r="Y1892" s="161" t="str">
        <f t="shared" si="6"/>
        <v>bembrde01,2016-17</v>
      </c>
      <c r="Z1892" s="168">
        <f t="array" ref="Z1892">iferror(index(I:I,match($A1892&amp;","&amp;index('Year Conversion'!$A:$A,match($C1892,'Year Conversion'!$B:$B,0)),$Y:$Y,0))-I1892,"")</f>
        <v>1</v>
      </c>
      <c r="AA1892" s="168">
        <f t="array" ref="AA1892">iferror(index(J:J,match($A1892&amp;","&amp;index('Year Conversion'!$A:$A,match($C1892,'Year Conversion'!$B:$B,0)),$Y:$Y,0))-J1892,"")</f>
        <v>-0.3954016662</v>
      </c>
      <c r="AB1892" s="168">
        <f t="array" ref="AB1892">iferror(index(K:K,match($A1892&amp;","&amp;index('Year Conversion'!$A:$A,match($C1892,'Year Conversion'!$B:$B,0)),$Y:$Y,0))-K1892,"")</f>
        <v>-1.310270013</v>
      </c>
      <c r="AC1892" s="168" t="str">
        <f t="shared" si="7"/>
        <v>ATL,2016-17</v>
      </c>
    </row>
    <row r="1893">
      <c r="A1893" s="161" t="str">
        <f>IFERROR(__xludf.DUMMYFUNCTION("""COMPUTED_VALUE"""),"bolomjo01")</f>
        <v>bolomjo01</v>
      </c>
      <c r="B1893" s="161" t="str">
        <f>IFERROR(__xludf.DUMMYFUNCTION("""COMPUTED_VALUE"""),"Joel Bolomboy")</f>
        <v>Joel Bolomboy</v>
      </c>
      <c r="C1893" s="162" t="str">
        <f>IFERROR(__xludf.DUMMYFUNCTION("""COMPUTED_VALUE"""),"2016-17")</f>
        <v>2016-17</v>
      </c>
      <c r="D1893" s="163" t="str">
        <f>IFERROR(__xludf.DUMMYFUNCTION("""COMPUTED_VALUE"""),"UTA")</f>
        <v>UTA</v>
      </c>
      <c r="E1893" s="164" t="str">
        <f>IFERROR(__xludf.DUMMYFUNCTION("""COMPUTED_VALUE"""),"Stretch Big")</f>
        <v>Stretch Big</v>
      </c>
      <c r="F1893" s="164">
        <f>IFERROR(__xludf.DUMMYFUNCTION("""COMPUTED_VALUE"""),52.5333333333333)</f>
        <v>52.53333333</v>
      </c>
      <c r="G1893" s="163">
        <f>IFERROR(__xludf.DUMMYFUNCTION("""COMPUTED_VALUE"""),12.0)</f>
        <v>12</v>
      </c>
      <c r="H1893" s="163" t="str">
        <f>IFERROR(__xludf.DUMMYFUNCTION("""COMPUTED_VALUE"""),"PF")</f>
        <v>PF</v>
      </c>
      <c r="I1893" s="163">
        <f>IFERROR(__xludf.DUMMYFUNCTION("""COMPUTED_VALUE"""),23.0)</f>
        <v>23</v>
      </c>
      <c r="J1893" s="165">
        <f>IFERROR(__xludf.DUMMYFUNCTION("""COMPUTED_VALUE"""),-0.106220711658062)</f>
        <v>-0.1062207117</v>
      </c>
      <c r="K1893" s="165">
        <f>IFERROR(__xludf.DUMMYFUNCTION("""COMPUTED_VALUE"""),-0.113091732246657)</f>
        <v>-0.1130917322</v>
      </c>
      <c r="L1893" s="165">
        <f>IFERROR(__xludf.DUMMYFUNCTION("""COMPUTED_VALUE"""),0.00687102058859479)</f>
        <v>0.006871020589</v>
      </c>
      <c r="M1893" s="166">
        <f t="shared" si="2"/>
        <v>0.07722688236</v>
      </c>
      <c r="N1893" s="167">
        <f t="shared" si="3"/>
        <v>4.377777778</v>
      </c>
      <c r="O1893" s="163">
        <f t="shared" ref="O1893:Q1893" si="1897">rank(I1893,I:I)</f>
        <v>2765</v>
      </c>
      <c r="P1893" s="163">
        <f t="shared" si="1897"/>
        <v>1390</v>
      </c>
      <c r="Q1893" s="163">
        <f t="shared" si="1897"/>
        <v>1395</v>
      </c>
      <c r="R1893" s="163">
        <f>IFERROR(__xludf.DUMMYFUNCTION("RANK(M1893,filter(M:M,C:C=C1893))"),387.0)</f>
        <v>387</v>
      </c>
      <c r="S1893" s="161" t="b">
        <f t="shared" si="5"/>
        <v>0</v>
      </c>
      <c r="T1893" s="161" t="b">
        <f t="array" ref="T1893">index('Query Tool'!B:B,match(H1893,'Query Tool'!C:C,0))</f>
        <v>1</v>
      </c>
      <c r="U1893" s="161" t="b">
        <f t="array" ref="U1893">index('Query Tool'!B:B,match(C1893,'Query Tool'!C:C,0))</f>
        <v>0</v>
      </c>
      <c r="V1893" s="161" t="b">
        <f>F1893&gt;='Query Tool'!C$32</f>
        <v>0</v>
      </c>
      <c r="W1893" s="161" t="b">
        <f t="array" ref="W1893">index(Dropdowns!B:B,match(I1893,Dropdowns!A:A,0))</f>
        <v>1</v>
      </c>
      <c r="X1893" s="161" t="b">
        <f t="array" ref="X1893">index('Query Tool'!B:B,match(D1893,'Query Tool'!C:C,0))</f>
        <v>1</v>
      </c>
      <c r="Y1893" s="161" t="str">
        <f t="shared" si="6"/>
        <v>bolomjo01,2016-17</v>
      </c>
      <c r="Z1893" s="168">
        <f t="array" ref="Z1893">iferror(index(I:I,match($A1893&amp;","&amp;index('Year Conversion'!$A:$A,match($C1893,'Year Conversion'!$B:$B,0)),$Y:$Y,0))-I1893,"")</f>
        <v>1</v>
      </c>
      <c r="AA1893" s="168">
        <f t="array" ref="AA1893">iferror(index(J:J,match($A1893&amp;","&amp;index('Year Conversion'!$A:$A,match($C1893,'Year Conversion'!$B:$B,0)),$Y:$Y,0))-J1893,"")</f>
        <v>-0.4889995565</v>
      </c>
      <c r="AB1893" s="168">
        <f t="array" ref="AB1893">iferror(index(K:K,match($A1893&amp;","&amp;index('Year Conversion'!$A:$A,match($C1893,'Year Conversion'!$B:$B,0)),$Y:$Y,0))-K1893,"")</f>
        <v>-0.05928385841</v>
      </c>
      <c r="AC1893" s="168" t="str">
        <f t="shared" si="7"/>
        <v>UTA,2016-17</v>
      </c>
    </row>
    <row r="1894">
      <c r="A1894" s="161" t="str">
        <f>IFERROR(__xludf.DUMMYFUNCTION("""COMPUTED_VALUE"""),"brogdma01")</f>
        <v>brogdma01</v>
      </c>
      <c r="B1894" s="161" t="str">
        <f>IFERROR(__xludf.DUMMYFUNCTION("""COMPUTED_VALUE"""),"Malcolm Brogdon")</f>
        <v>Malcolm Brogdon</v>
      </c>
      <c r="C1894" s="162" t="str">
        <f>IFERROR(__xludf.DUMMYFUNCTION("""COMPUTED_VALUE"""),"2016-17")</f>
        <v>2016-17</v>
      </c>
      <c r="D1894" s="163" t="str">
        <f>IFERROR(__xludf.DUMMYFUNCTION("""COMPUTED_VALUE"""),"MIL")</f>
        <v>MIL</v>
      </c>
      <c r="E1894" s="164" t="str">
        <f>IFERROR(__xludf.DUMMYFUNCTION("""COMPUTED_VALUE"""),"Primary Ball Handler")</f>
        <v>Primary Ball Handler</v>
      </c>
      <c r="F1894" s="164">
        <f>IFERROR(__xludf.DUMMYFUNCTION("""COMPUTED_VALUE"""),1982.39)</f>
        <v>1982.39</v>
      </c>
      <c r="G1894" s="163">
        <f>IFERROR(__xludf.DUMMYFUNCTION("""COMPUTED_VALUE"""),75.0)</f>
        <v>75</v>
      </c>
      <c r="H1894" s="163" t="str">
        <f>IFERROR(__xludf.DUMMYFUNCTION("""COMPUTED_VALUE"""),"SG")</f>
        <v>SG</v>
      </c>
      <c r="I1894" s="163">
        <f>IFERROR(__xludf.DUMMYFUNCTION("""COMPUTED_VALUE"""),24.0)</f>
        <v>24</v>
      </c>
      <c r="J1894" s="165">
        <f>IFERROR(__xludf.DUMMYFUNCTION("""COMPUTED_VALUE"""),-0.699536048129119)</f>
        <v>-0.6995360481</v>
      </c>
      <c r="K1894" s="165">
        <f>IFERROR(__xludf.DUMMYFUNCTION("""COMPUTED_VALUE"""),0.449258794924507)</f>
        <v>0.4492587949</v>
      </c>
      <c r="L1894" s="165">
        <f>IFERROR(__xludf.DUMMYFUNCTION("""COMPUTED_VALUE"""),-1.14879484305363)</f>
        <v>-1.148794843</v>
      </c>
      <c r="M1894" s="166">
        <f t="shared" si="2"/>
        <v>2.121884703</v>
      </c>
      <c r="N1894" s="167">
        <f t="shared" si="3"/>
        <v>26.43186667</v>
      </c>
      <c r="O1894" s="163">
        <f t="shared" ref="O1894:Q1894" si="1898">rank(I1894,I:I)</f>
        <v>2361</v>
      </c>
      <c r="P1894" s="163">
        <f t="shared" si="1898"/>
        <v>2139</v>
      </c>
      <c r="Q1894" s="163">
        <f t="shared" si="1898"/>
        <v>800</v>
      </c>
      <c r="R1894" s="163">
        <f>IFERROR(__xludf.DUMMYFUNCTION("RANK(M1894,filter(M:M,C:C=C1894))"),153.0)</f>
        <v>153</v>
      </c>
      <c r="S1894" s="161" t="b">
        <f t="shared" si="5"/>
        <v>0</v>
      </c>
      <c r="T1894" s="161" t="b">
        <f t="array" ref="T1894">index('Query Tool'!B:B,match(H1894,'Query Tool'!C:C,0))</f>
        <v>1</v>
      </c>
      <c r="U1894" s="161" t="b">
        <f t="array" ref="U1894">index('Query Tool'!B:B,match(C1894,'Query Tool'!C:C,0))</f>
        <v>0</v>
      </c>
      <c r="V1894" s="161" t="b">
        <f>F1894&gt;='Query Tool'!C$32</f>
        <v>1</v>
      </c>
      <c r="W1894" s="161" t="b">
        <f t="array" ref="W1894">index(Dropdowns!B:B,match(I1894,Dropdowns!A:A,0))</f>
        <v>1</v>
      </c>
      <c r="X1894" s="161" t="b">
        <f t="array" ref="X1894">index('Query Tool'!B:B,match(D1894,'Query Tool'!C:C,0))</f>
        <v>1</v>
      </c>
      <c r="Y1894" s="161" t="str">
        <f t="shared" si="6"/>
        <v>brogdma01,2016-17</v>
      </c>
      <c r="Z1894" s="168">
        <f t="array" ref="Z1894">iferror(index(I:I,match($A1894&amp;","&amp;index('Year Conversion'!$A:$A,match($C1894,'Year Conversion'!$B:$B,0)),$Y:$Y,0))-I1894,"")</f>
        <v>1</v>
      </c>
      <c r="AA1894" s="168">
        <f t="array" ref="AA1894">iferror(index(J:J,match($A1894&amp;","&amp;index('Year Conversion'!$A:$A,match($C1894,'Year Conversion'!$B:$B,0)),$Y:$Y,0))-J1894,"")</f>
        <v>0.2763364106</v>
      </c>
      <c r="AB1894" s="168">
        <f t="array" ref="AB1894">iferror(index(K:K,match($A1894&amp;","&amp;index('Year Conversion'!$A:$A,match($C1894,'Year Conversion'!$B:$B,0)),$Y:$Y,0))-K1894,"")</f>
        <v>-0.05612106321</v>
      </c>
      <c r="AC1894" s="168" t="str">
        <f t="shared" si="7"/>
        <v>MIL,2016-17</v>
      </c>
    </row>
    <row r="1895">
      <c r="A1895" s="161" t="str">
        <f>IFERROR(__xludf.DUMMYFUNCTION("""COMPUTED_VALUE"""),"diallch01")</f>
        <v>diallch01</v>
      </c>
      <c r="B1895" s="161" t="str">
        <f>IFERROR(__xludf.DUMMYFUNCTION("""COMPUTED_VALUE"""),"Cheick Diallo")</f>
        <v>Cheick Diallo</v>
      </c>
      <c r="C1895" s="162" t="str">
        <f>IFERROR(__xludf.DUMMYFUNCTION("""COMPUTED_VALUE"""),"2016-17")</f>
        <v>2016-17</v>
      </c>
      <c r="D1895" s="163" t="str">
        <f>IFERROR(__xludf.DUMMYFUNCTION("""COMPUTED_VALUE"""),"NOP")</f>
        <v>NOP</v>
      </c>
      <c r="E1895" s="164" t="str">
        <f>IFERROR(__xludf.DUMMYFUNCTION("""COMPUTED_VALUE"""),"Roll + Cut Big")</f>
        <v>Roll + Cut Big</v>
      </c>
      <c r="F1895" s="164">
        <f>IFERROR(__xludf.DUMMYFUNCTION("""COMPUTED_VALUE"""),198.655)</f>
        <v>198.655</v>
      </c>
      <c r="G1895" s="163">
        <f>IFERROR(__xludf.DUMMYFUNCTION("""COMPUTED_VALUE"""),17.0)</f>
        <v>17</v>
      </c>
      <c r="H1895" s="163" t="str">
        <f>IFERROR(__xludf.DUMMYFUNCTION("""COMPUTED_VALUE"""),"PF")</f>
        <v>PF</v>
      </c>
      <c r="I1895" s="163">
        <f>IFERROR(__xludf.DUMMYFUNCTION("""COMPUTED_VALUE"""),20.0)</f>
        <v>20</v>
      </c>
      <c r="J1895" s="165">
        <f>IFERROR(__xludf.DUMMYFUNCTION("""COMPUTED_VALUE"""),-0.72052211116481)</f>
        <v>-0.7205221112</v>
      </c>
      <c r="K1895" s="165">
        <f>IFERROR(__xludf.DUMMYFUNCTION("""COMPUTED_VALUE"""),-0.493372842362244)</f>
        <v>-0.4933728424</v>
      </c>
      <c r="L1895" s="165">
        <f>IFERROR(__xludf.DUMMYFUNCTION("""COMPUTED_VALUE"""),-0.227149268802566)</f>
        <v>-0.2271492688</v>
      </c>
      <c r="M1895" s="166">
        <f t="shared" si="2"/>
        <v>0.2098289523</v>
      </c>
      <c r="N1895" s="167">
        <f t="shared" si="3"/>
        <v>11.68558824</v>
      </c>
      <c r="O1895" s="163">
        <f t="shared" ref="O1895:Q1895" si="1899">rank(I1895,I:I)</f>
        <v>3770</v>
      </c>
      <c r="P1895" s="163">
        <f t="shared" si="1899"/>
        <v>2178</v>
      </c>
      <c r="Q1895" s="163">
        <f t="shared" si="1899"/>
        <v>2098</v>
      </c>
      <c r="R1895" s="163">
        <f>IFERROR(__xludf.DUMMYFUNCTION("RANK(M1895,filter(M:M,C:C=C1895))"),335.0)</f>
        <v>335</v>
      </c>
      <c r="S1895" s="161" t="b">
        <f t="shared" si="5"/>
        <v>0</v>
      </c>
      <c r="T1895" s="161" t="b">
        <f t="array" ref="T1895">index('Query Tool'!B:B,match(H1895,'Query Tool'!C:C,0))</f>
        <v>1</v>
      </c>
      <c r="U1895" s="161" t="b">
        <f t="array" ref="U1895">index('Query Tool'!B:B,match(C1895,'Query Tool'!C:C,0))</f>
        <v>0</v>
      </c>
      <c r="V1895" s="161" t="b">
        <f>F1895&gt;='Query Tool'!C$32</f>
        <v>0</v>
      </c>
      <c r="W1895" s="161" t="b">
        <f t="array" ref="W1895">index(Dropdowns!B:B,match(I1895,Dropdowns!A:A,0))</f>
        <v>1</v>
      </c>
      <c r="X1895" s="161" t="b">
        <f t="array" ref="X1895">index('Query Tool'!B:B,match(D1895,'Query Tool'!C:C,0))</f>
        <v>1</v>
      </c>
      <c r="Y1895" s="161" t="str">
        <f t="shared" si="6"/>
        <v>diallch01,2016-17</v>
      </c>
      <c r="Z1895" s="168">
        <f t="array" ref="Z1895">iferror(index(I:I,match($A1895&amp;","&amp;index('Year Conversion'!$A:$A,match($C1895,'Year Conversion'!$B:$B,0)),$Y:$Y,0))-I1895,"")</f>
        <v>1</v>
      </c>
      <c r="AA1895" s="168">
        <f t="array" ref="AA1895">iferror(index(J:J,match($A1895&amp;","&amp;index('Year Conversion'!$A:$A,match($C1895,'Year Conversion'!$B:$B,0)),$Y:$Y,0))-J1895,"")</f>
        <v>-0.3382708824</v>
      </c>
      <c r="AB1895" s="168">
        <f t="array" ref="AB1895">iferror(index(K:K,match($A1895&amp;","&amp;index('Year Conversion'!$A:$A,match($C1895,'Year Conversion'!$B:$B,0)),$Y:$Y,0))-K1895,"")</f>
        <v>-0.9028031241</v>
      </c>
      <c r="AC1895" s="168" t="str">
        <f t="shared" si="7"/>
        <v>NOP,2016-17</v>
      </c>
    </row>
    <row r="1896">
      <c r="A1896" s="161" t="str">
        <f>IFERROR(__xludf.DUMMYFUNCTION("""COMPUTED_VALUE"""),"feldeka01")</f>
        <v>feldeka01</v>
      </c>
      <c r="B1896" s="161" t="str">
        <f>IFERROR(__xludf.DUMMYFUNCTION("""COMPUTED_VALUE"""),"Kay Felder")</f>
        <v>Kay Felder</v>
      </c>
      <c r="C1896" s="162" t="str">
        <f>IFERROR(__xludf.DUMMYFUNCTION("""COMPUTED_VALUE"""),"2016-17")</f>
        <v>2016-17</v>
      </c>
      <c r="D1896" s="163" t="str">
        <f>IFERROR(__xludf.DUMMYFUNCTION("""COMPUTED_VALUE"""),"CLE")</f>
        <v>CLE</v>
      </c>
      <c r="E1896" s="164" t="str">
        <f>IFERROR(__xludf.DUMMYFUNCTION("""COMPUTED_VALUE"""),"Slasher")</f>
        <v>Slasher</v>
      </c>
      <c r="F1896" s="164">
        <f>IFERROR(__xludf.DUMMYFUNCTION("""COMPUTED_VALUE"""),385.75)</f>
        <v>385.75</v>
      </c>
      <c r="G1896" s="163">
        <f>IFERROR(__xludf.DUMMYFUNCTION("""COMPUTED_VALUE"""),42.0)</f>
        <v>42</v>
      </c>
      <c r="H1896" s="163" t="str">
        <f>IFERROR(__xludf.DUMMYFUNCTION("""COMPUTED_VALUE"""),"PG")</f>
        <v>PG</v>
      </c>
      <c r="I1896" s="163">
        <f>IFERROR(__xludf.DUMMYFUNCTION("""COMPUTED_VALUE"""),21.0)</f>
        <v>21</v>
      </c>
      <c r="J1896" s="165">
        <f>IFERROR(__xludf.DUMMYFUNCTION("""COMPUTED_VALUE"""),-1.67237628571968)</f>
        <v>-1.672376286</v>
      </c>
      <c r="K1896" s="165">
        <f>IFERROR(__xludf.DUMMYFUNCTION("""COMPUTED_VALUE"""),-1.55284476090132)</f>
        <v>-1.552844761</v>
      </c>
      <c r="L1896" s="165">
        <f>IFERROR(__xludf.DUMMYFUNCTION("""COMPUTED_VALUE"""),-0.119531524818366)</f>
        <v>-0.1195315248</v>
      </c>
      <c r="M1896" s="166">
        <f t="shared" si="2"/>
        <v>0.1614471821</v>
      </c>
      <c r="N1896" s="167">
        <f t="shared" si="3"/>
        <v>9.18452381</v>
      </c>
      <c r="O1896" s="163">
        <f t="shared" ref="O1896:Q1896" si="1900">rank(I1896,I:I)</f>
        <v>3528</v>
      </c>
      <c r="P1896" s="163">
        <f t="shared" si="1900"/>
        <v>3213</v>
      </c>
      <c r="Q1896" s="163">
        <f t="shared" si="1900"/>
        <v>3404</v>
      </c>
      <c r="R1896" s="163">
        <f>IFERROR(__xludf.DUMMYFUNCTION("RANK(M1896,filter(M:M,C:C=C1896))"),351.0)</f>
        <v>351</v>
      </c>
      <c r="S1896" s="161" t="b">
        <f t="shared" si="5"/>
        <v>0</v>
      </c>
      <c r="T1896" s="161" t="b">
        <f t="array" ref="T1896">index('Query Tool'!B:B,match(H1896,'Query Tool'!C:C,0))</f>
        <v>1</v>
      </c>
      <c r="U1896" s="161" t="b">
        <f t="array" ref="U1896">index('Query Tool'!B:B,match(C1896,'Query Tool'!C:C,0))</f>
        <v>0</v>
      </c>
      <c r="V1896" s="161" t="b">
        <f>F1896&gt;='Query Tool'!C$32</f>
        <v>0</v>
      </c>
      <c r="W1896" s="161" t="b">
        <f t="array" ref="W1896">index(Dropdowns!B:B,match(I1896,Dropdowns!A:A,0))</f>
        <v>1</v>
      </c>
      <c r="X1896" s="161" t="b">
        <f t="array" ref="X1896">index('Query Tool'!B:B,match(D1896,'Query Tool'!C:C,0))</f>
        <v>1</v>
      </c>
      <c r="Y1896" s="161" t="str">
        <f t="shared" si="6"/>
        <v>feldeka01,2016-17</v>
      </c>
      <c r="Z1896" s="168">
        <f t="array" ref="Z1896">iferror(index(I:I,match($A1896&amp;","&amp;index('Year Conversion'!$A:$A,match($C1896,'Year Conversion'!$B:$B,0)),$Y:$Y,0))-I1896,"")</f>
        <v>1</v>
      </c>
      <c r="AA1896" s="168">
        <f t="array" ref="AA1896">iferror(index(J:J,match($A1896&amp;","&amp;index('Year Conversion'!$A:$A,match($C1896,'Year Conversion'!$B:$B,0)),$Y:$Y,0))-J1896,"")</f>
        <v>0.7611818421</v>
      </c>
      <c r="AB1896" s="168">
        <f t="array" ref="AB1896">iferror(index(K:K,match($A1896&amp;","&amp;index('Year Conversion'!$A:$A,match($C1896,'Year Conversion'!$B:$B,0)),$Y:$Y,0))-K1896,"")</f>
        <v>0.7005637204</v>
      </c>
      <c r="AC1896" s="168" t="str">
        <f t="shared" si="7"/>
        <v>CLE,2016-17</v>
      </c>
    </row>
    <row r="1897">
      <c r="A1897" s="161" t="str">
        <f>IFERROR(__xludf.DUMMYFUNCTION("""COMPUTED_VALUE"""),"gbinimi01")</f>
        <v>gbinimi01</v>
      </c>
      <c r="B1897" s="161" t="str">
        <f>IFERROR(__xludf.DUMMYFUNCTION("""COMPUTED_VALUE"""),"Michael Gbinije")</f>
        <v>Michael Gbinije</v>
      </c>
      <c r="C1897" s="162" t="str">
        <f>IFERROR(__xludf.DUMMYFUNCTION("""COMPUTED_VALUE"""),"2016-17")</f>
        <v>2016-17</v>
      </c>
      <c r="D1897" s="163" t="str">
        <f>IFERROR(__xludf.DUMMYFUNCTION("""COMPUTED_VALUE"""),"DET")</f>
        <v>DET</v>
      </c>
      <c r="E1897" s="164" t="str">
        <f>IFERROR(__xludf.DUMMYFUNCTION("""COMPUTED_VALUE"""),"Athletic Finisher")</f>
        <v>Athletic Finisher</v>
      </c>
      <c r="F1897" s="164">
        <f>IFERROR(__xludf.DUMMYFUNCTION("""COMPUTED_VALUE"""),31.55)</f>
        <v>31.55</v>
      </c>
      <c r="G1897" s="163">
        <f>IFERROR(__xludf.DUMMYFUNCTION("""COMPUTED_VALUE"""),9.0)</f>
        <v>9</v>
      </c>
      <c r="H1897" s="163" t="str">
        <f>IFERROR(__xludf.DUMMYFUNCTION("""COMPUTED_VALUE"""),"SG")</f>
        <v>SG</v>
      </c>
      <c r="I1897" s="163">
        <f>IFERROR(__xludf.DUMMYFUNCTION("""COMPUTED_VALUE"""),24.0)</f>
        <v>24</v>
      </c>
      <c r="J1897" s="165">
        <f>IFERROR(__xludf.DUMMYFUNCTION("""COMPUTED_VALUE"""),-0.0819586759658074)</f>
        <v>-0.08195867597</v>
      </c>
      <c r="K1897" s="165">
        <f>IFERROR(__xludf.DUMMYFUNCTION("""COMPUTED_VALUE"""),-0.186119519550744)</f>
        <v>-0.1861195196</v>
      </c>
      <c r="L1897" s="165">
        <f>IFERROR(__xludf.DUMMYFUNCTION("""COMPUTED_VALUE"""),0.104160843584936)</f>
        <v>0.1041608436</v>
      </c>
      <c r="M1897" s="166">
        <f t="shared" si="2"/>
        <v>0.04689628212</v>
      </c>
      <c r="N1897" s="167">
        <f t="shared" si="3"/>
        <v>3.505555556</v>
      </c>
      <c r="O1897" s="163">
        <f t="shared" ref="O1897:Q1897" si="1901">rank(I1897,I:I)</f>
        <v>2361</v>
      </c>
      <c r="P1897" s="163">
        <f t="shared" si="1901"/>
        <v>1367</v>
      </c>
      <c r="Q1897" s="163">
        <f t="shared" si="1901"/>
        <v>1543</v>
      </c>
      <c r="R1897" s="163">
        <f>IFERROR(__xludf.DUMMYFUNCTION("RANK(M1897,filter(M:M,C:C=C1897))"),405.0)</f>
        <v>405</v>
      </c>
      <c r="S1897" s="161" t="b">
        <f t="shared" si="5"/>
        <v>0</v>
      </c>
      <c r="T1897" s="161" t="b">
        <f t="array" ref="T1897">index('Query Tool'!B:B,match(H1897,'Query Tool'!C:C,0))</f>
        <v>1</v>
      </c>
      <c r="U1897" s="161" t="b">
        <f t="array" ref="U1897">index('Query Tool'!B:B,match(C1897,'Query Tool'!C:C,0))</f>
        <v>0</v>
      </c>
      <c r="V1897" s="161" t="b">
        <f>F1897&gt;='Query Tool'!C$32</f>
        <v>0</v>
      </c>
      <c r="W1897" s="161" t="b">
        <f t="array" ref="W1897">index(Dropdowns!B:B,match(I1897,Dropdowns!A:A,0))</f>
        <v>1</v>
      </c>
      <c r="X1897" s="161" t="b">
        <f t="array" ref="X1897">index('Query Tool'!B:B,match(D1897,'Query Tool'!C:C,0))</f>
        <v>1</v>
      </c>
      <c r="Y1897" s="161" t="str">
        <f t="shared" si="6"/>
        <v>gbinimi01,2016-17</v>
      </c>
      <c r="Z1897" s="168" t="str">
        <f t="array" ref="Z1897">iferror(index(I:I,match($A1897&amp;","&amp;index('Year Conversion'!$A:$A,match($C1897,'Year Conversion'!$B:$B,0)),$Y:$Y,0))-I1897,"")</f>
        <v/>
      </c>
      <c r="AA1897" s="168" t="str">
        <f t="array" ref="AA1897">iferror(index(J:J,match($A1897&amp;","&amp;index('Year Conversion'!$A:$A,match($C1897,'Year Conversion'!$B:$B,0)),$Y:$Y,0))-J1897,"")</f>
        <v/>
      </c>
      <c r="AB1897" s="168" t="str">
        <f t="array" ref="AB1897">iferror(index(K:K,match($A1897&amp;","&amp;index('Year Conversion'!$A:$A,match($C1897,'Year Conversion'!$B:$B,0)),$Y:$Y,0))-K1897,"")</f>
        <v/>
      </c>
      <c r="AC1897" s="168" t="str">
        <f t="shared" si="7"/>
        <v>DET,2016-17</v>
      </c>
    </row>
    <row r="1898">
      <c r="A1898" s="161" t="str">
        <f>IFERROR(__xludf.DUMMYFUNCTION("""COMPUTED_VALUE"""),"hammoaj01")</f>
        <v>hammoaj01</v>
      </c>
      <c r="B1898" s="161" t="str">
        <f>IFERROR(__xludf.DUMMYFUNCTION("""COMPUTED_VALUE"""),"AJ Hammons")</f>
        <v>AJ Hammons</v>
      </c>
      <c r="C1898" s="162" t="str">
        <f>IFERROR(__xludf.DUMMYFUNCTION("""COMPUTED_VALUE"""),"2016-17")</f>
        <v>2016-17</v>
      </c>
      <c r="D1898" s="163" t="str">
        <f>IFERROR(__xludf.DUMMYFUNCTION("""COMPUTED_VALUE"""),"DAL")</f>
        <v>DAL</v>
      </c>
      <c r="E1898" s="164" t="str">
        <f>IFERROR(__xludf.DUMMYFUNCTION("""COMPUTED_VALUE"""),"Post Scorer")</f>
        <v>Post Scorer</v>
      </c>
      <c r="F1898" s="164">
        <f>IFERROR(__xludf.DUMMYFUNCTION("""COMPUTED_VALUE"""),163.231666666667)</f>
        <v>163.2316667</v>
      </c>
      <c r="G1898" s="163">
        <f>IFERROR(__xludf.DUMMYFUNCTION("""COMPUTED_VALUE"""),22.0)</f>
        <v>22</v>
      </c>
      <c r="H1898" s="163" t="str">
        <f>IFERROR(__xludf.DUMMYFUNCTION("""COMPUTED_VALUE"""),"C")</f>
        <v>C</v>
      </c>
      <c r="I1898" s="163">
        <f>IFERROR(__xludf.DUMMYFUNCTION("""COMPUTED_VALUE"""),24.0)</f>
        <v>24</v>
      </c>
      <c r="J1898" s="165">
        <f>IFERROR(__xludf.DUMMYFUNCTION("""COMPUTED_VALUE"""),-0.685891137394735)</f>
        <v>-0.6858911374</v>
      </c>
      <c r="K1898" s="165">
        <f>IFERROR(__xludf.DUMMYFUNCTION("""COMPUTED_VALUE"""),-1.30076357746379)</f>
        <v>-1.300763577</v>
      </c>
      <c r="L1898" s="165">
        <f>IFERROR(__xludf.DUMMYFUNCTION("""COMPUTED_VALUE"""),0.614872440069058)</f>
        <v>0.6148724401</v>
      </c>
      <c r="M1898" s="166">
        <f t="shared" si="2"/>
        <v>0.1762163898</v>
      </c>
      <c r="N1898" s="167">
        <f t="shared" si="3"/>
        <v>7.419621212</v>
      </c>
      <c r="O1898" s="163">
        <f t="shared" ref="O1898:Q1898" si="1902">rank(I1898,I:I)</f>
        <v>2361</v>
      </c>
      <c r="P1898" s="163">
        <f t="shared" si="1902"/>
        <v>2121</v>
      </c>
      <c r="Q1898" s="163">
        <f t="shared" si="1902"/>
        <v>3148</v>
      </c>
      <c r="R1898" s="163">
        <f>IFERROR(__xludf.DUMMYFUNCTION("RANK(M1898,filter(M:M,C:C=C1898))"),347.0)</f>
        <v>347</v>
      </c>
      <c r="S1898" s="161" t="b">
        <f t="shared" si="5"/>
        <v>0</v>
      </c>
      <c r="T1898" s="161" t="b">
        <f t="array" ref="T1898">index('Query Tool'!B:B,match(H1898,'Query Tool'!C:C,0))</f>
        <v>1</v>
      </c>
      <c r="U1898" s="161" t="b">
        <f t="array" ref="U1898">index('Query Tool'!B:B,match(C1898,'Query Tool'!C:C,0))</f>
        <v>0</v>
      </c>
      <c r="V1898" s="161" t="b">
        <f>F1898&gt;='Query Tool'!C$32</f>
        <v>0</v>
      </c>
      <c r="W1898" s="161" t="b">
        <f t="array" ref="W1898">index(Dropdowns!B:B,match(I1898,Dropdowns!A:A,0))</f>
        <v>1</v>
      </c>
      <c r="X1898" s="161" t="b">
        <f t="array" ref="X1898">index('Query Tool'!B:B,match(D1898,'Query Tool'!C:C,0))</f>
        <v>1</v>
      </c>
      <c r="Y1898" s="161" t="str">
        <f t="shared" si="6"/>
        <v>hammoaj01,2016-17</v>
      </c>
      <c r="Z1898" s="168" t="str">
        <f t="array" ref="Z1898">iferror(index(I:I,match($A1898&amp;","&amp;index('Year Conversion'!$A:$A,match($C1898,'Year Conversion'!$B:$B,0)),$Y:$Y,0))-I1898,"")</f>
        <v/>
      </c>
      <c r="AA1898" s="168" t="str">
        <f t="array" ref="AA1898">iferror(index(J:J,match($A1898&amp;","&amp;index('Year Conversion'!$A:$A,match($C1898,'Year Conversion'!$B:$B,0)),$Y:$Y,0))-J1898,"")</f>
        <v/>
      </c>
      <c r="AB1898" s="168" t="str">
        <f t="array" ref="AB1898">iferror(index(K:K,match($A1898&amp;","&amp;index('Year Conversion'!$A:$A,match($C1898,'Year Conversion'!$B:$B,0)),$Y:$Y,0))-K1898,"")</f>
        <v/>
      </c>
      <c r="AC1898" s="168" t="str">
        <f t="shared" si="7"/>
        <v>DAL,2016-17</v>
      </c>
    </row>
    <row r="1899">
      <c r="A1899" s="161" t="str">
        <f>IFERROR(__xludf.DUMMYFUNCTION("""COMPUTED_VALUE"""),"laymaja01")</f>
        <v>laymaja01</v>
      </c>
      <c r="B1899" s="161" t="str">
        <f>IFERROR(__xludf.DUMMYFUNCTION("""COMPUTED_VALUE"""),"Jake Layman")</f>
        <v>Jake Layman</v>
      </c>
      <c r="C1899" s="162" t="str">
        <f>IFERROR(__xludf.DUMMYFUNCTION("""COMPUTED_VALUE"""),"2016-17")</f>
        <v>2016-17</v>
      </c>
      <c r="D1899" s="163" t="str">
        <f>IFERROR(__xludf.DUMMYFUNCTION("""COMPUTED_VALUE"""),"POR")</f>
        <v>POR</v>
      </c>
      <c r="E1899" s="164" t="str">
        <f>IFERROR(__xludf.DUMMYFUNCTION("""COMPUTED_VALUE"""),"Movement Shooter")</f>
        <v>Movement Shooter</v>
      </c>
      <c r="F1899" s="164">
        <f>IFERROR(__xludf.DUMMYFUNCTION("""COMPUTED_VALUE"""),248.776666666667)</f>
        <v>248.7766667</v>
      </c>
      <c r="G1899" s="163">
        <f>IFERROR(__xludf.DUMMYFUNCTION("""COMPUTED_VALUE"""),35.0)</f>
        <v>35</v>
      </c>
      <c r="H1899" s="163" t="str">
        <f>IFERROR(__xludf.DUMMYFUNCTION("""COMPUTED_VALUE"""),"SF")</f>
        <v>SF</v>
      </c>
      <c r="I1899" s="163">
        <f>IFERROR(__xludf.DUMMYFUNCTION("""COMPUTED_VALUE"""),22.0)</f>
        <v>22</v>
      </c>
      <c r="J1899" s="165">
        <f>IFERROR(__xludf.DUMMYFUNCTION("""COMPUTED_VALUE"""),-1.36009272481729)</f>
        <v>-1.360092725</v>
      </c>
      <c r="K1899" s="165">
        <f>IFERROR(__xludf.DUMMYFUNCTION("""COMPUTED_VALUE"""),-1.08235212014229)</f>
        <v>-1.08235212</v>
      </c>
      <c r="L1899" s="165">
        <f>IFERROR(__xludf.DUMMYFUNCTION("""COMPUTED_VALUE"""),-0.277740604674999)</f>
        <v>-0.2777406047</v>
      </c>
      <c r="M1899" s="166">
        <f t="shared" si="2"/>
        <v>0.1559966925</v>
      </c>
      <c r="N1899" s="167">
        <f t="shared" si="3"/>
        <v>7.107904762</v>
      </c>
      <c r="O1899" s="163">
        <f t="shared" ref="O1899:Q1899" si="1903">rank(I1899,I:I)</f>
        <v>3178</v>
      </c>
      <c r="P1899" s="163">
        <f t="shared" si="1903"/>
        <v>2912</v>
      </c>
      <c r="Q1899" s="163">
        <f t="shared" si="1903"/>
        <v>2914</v>
      </c>
      <c r="R1899" s="163">
        <f>IFERROR(__xludf.DUMMYFUNCTION("RANK(M1899,filter(M:M,C:C=C1899))"),355.0)</f>
        <v>355</v>
      </c>
      <c r="S1899" s="161" t="b">
        <f t="shared" si="5"/>
        <v>0</v>
      </c>
      <c r="T1899" s="161" t="b">
        <f t="array" ref="T1899">index('Query Tool'!B:B,match(H1899,'Query Tool'!C:C,0))</f>
        <v>1</v>
      </c>
      <c r="U1899" s="161" t="b">
        <f t="array" ref="U1899">index('Query Tool'!B:B,match(C1899,'Query Tool'!C:C,0))</f>
        <v>0</v>
      </c>
      <c r="V1899" s="161" t="b">
        <f>F1899&gt;='Query Tool'!C$32</f>
        <v>0</v>
      </c>
      <c r="W1899" s="161" t="b">
        <f t="array" ref="W1899">index(Dropdowns!B:B,match(I1899,Dropdowns!A:A,0))</f>
        <v>1</v>
      </c>
      <c r="X1899" s="161" t="b">
        <f t="array" ref="X1899">index('Query Tool'!B:B,match(D1899,'Query Tool'!C:C,0))</f>
        <v>1</v>
      </c>
      <c r="Y1899" s="161" t="str">
        <f t="shared" si="6"/>
        <v>laymaja01,2016-17</v>
      </c>
      <c r="Z1899" s="168">
        <f t="array" ref="Z1899">iferror(index(I:I,match($A1899&amp;","&amp;index('Year Conversion'!$A:$A,match($C1899,'Year Conversion'!$B:$B,0)),$Y:$Y,0))-I1899,"")</f>
        <v>1</v>
      </c>
      <c r="AA1899" s="168">
        <f t="array" ref="AA1899">iferror(index(J:J,match($A1899&amp;","&amp;index('Year Conversion'!$A:$A,match($C1899,'Year Conversion'!$B:$B,0)),$Y:$Y,0))-J1899,"")</f>
        <v>0.2338807252</v>
      </c>
      <c r="AB1899" s="168">
        <f t="array" ref="AB1899">iferror(index(K:K,match($A1899&amp;","&amp;index('Year Conversion'!$A:$A,match($C1899,'Year Conversion'!$B:$B,0)),$Y:$Y,0))-K1899,"")</f>
        <v>0.4847566447</v>
      </c>
      <c r="AC1899" s="168" t="str">
        <f t="shared" si="7"/>
        <v>POR,2016-17</v>
      </c>
    </row>
    <row r="1900">
      <c r="A1900" s="161" t="str">
        <f>IFERROR(__xludf.DUMMYFUNCTION("""COMPUTED_VALUE"""),"mccawpa01")</f>
        <v>mccawpa01</v>
      </c>
      <c r="B1900" s="161" t="str">
        <f>IFERROR(__xludf.DUMMYFUNCTION("""COMPUTED_VALUE"""),"Patrick McCaw")</f>
        <v>Patrick McCaw</v>
      </c>
      <c r="C1900" s="162" t="str">
        <f>IFERROR(__xludf.DUMMYFUNCTION("""COMPUTED_VALUE"""),"2016-17")</f>
        <v>2016-17</v>
      </c>
      <c r="D1900" s="163" t="str">
        <f>IFERROR(__xludf.DUMMYFUNCTION("""COMPUTED_VALUE"""),"GSW")</f>
        <v>GSW</v>
      </c>
      <c r="E1900" s="164" t="str">
        <f>IFERROR(__xludf.DUMMYFUNCTION("""COMPUTED_VALUE"""),"Stationary Shooter")</f>
        <v>Stationary Shooter</v>
      </c>
      <c r="F1900" s="164">
        <f>IFERROR(__xludf.DUMMYFUNCTION("""COMPUTED_VALUE"""),1073.995)</f>
        <v>1073.995</v>
      </c>
      <c r="G1900" s="163">
        <f>IFERROR(__xludf.DUMMYFUNCTION("""COMPUTED_VALUE"""),71.0)</f>
        <v>71</v>
      </c>
      <c r="H1900" s="163" t="str">
        <f>IFERROR(__xludf.DUMMYFUNCTION("""COMPUTED_VALUE"""),"SG")</f>
        <v>SG</v>
      </c>
      <c r="I1900" s="163">
        <f>IFERROR(__xludf.DUMMYFUNCTION("""COMPUTED_VALUE"""),21.0)</f>
        <v>21</v>
      </c>
      <c r="J1900" s="165">
        <f>IFERROR(__xludf.DUMMYFUNCTION("""COMPUTED_VALUE"""),-4.14380389757503)</f>
        <v>-4.143803898</v>
      </c>
      <c r="K1900" s="165">
        <f>IFERROR(__xludf.DUMMYFUNCTION("""COMPUTED_VALUE"""),-2.83450531712291)</f>
        <v>-2.834505317</v>
      </c>
      <c r="L1900" s="165">
        <f>IFERROR(__xludf.DUMMYFUNCTION("""COMPUTED_VALUE"""),-1.30929858045212)</f>
        <v>-1.30929858</v>
      </c>
      <c r="M1900" s="166">
        <f t="shared" si="2"/>
        <v>-1.275103329</v>
      </c>
      <c r="N1900" s="167">
        <f t="shared" si="3"/>
        <v>15.12669014</v>
      </c>
      <c r="O1900" s="163">
        <f t="shared" ref="O1900:Q1900" si="1904">rank(I1900,I:I)</f>
        <v>3528</v>
      </c>
      <c r="P1900" s="163">
        <f t="shared" si="1904"/>
        <v>4001</v>
      </c>
      <c r="Q1900" s="163">
        <f t="shared" si="1904"/>
        <v>3959</v>
      </c>
      <c r="R1900" s="163">
        <f>IFERROR(__xludf.DUMMYFUNCTION("RANK(M1900,filter(M:M,C:C=C1900))"),485.0)</f>
        <v>485</v>
      </c>
      <c r="S1900" s="161" t="b">
        <f t="shared" si="5"/>
        <v>0</v>
      </c>
      <c r="T1900" s="161" t="b">
        <f t="array" ref="T1900">index('Query Tool'!B:B,match(H1900,'Query Tool'!C:C,0))</f>
        <v>1</v>
      </c>
      <c r="U1900" s="161" t="b">
        <f t="array" ref="U1900">index('Query Tool'!B:B,match(C1900,'Query Tool'!C:C,0))</f>
        <v>0</v>
      </c>
      <c r="V1900" s="161" t="b">
        <f>F1900&gt;='Query Tool'!C$32</f>
        <v>1</v>
      </c>
      <c r="W1900" s="161" t="b">
        <f t="array" ref="W1900">index(Dropdowns!B:B,match(I1900,Dropdowns!A:A,0))</f>
        <v>1</v>
      </c>
      <c r="X1900" s="161" t="b">
        <f t="array" ref="X1900">index('Query Tool'!B:B,match(D1900,'Query Tool'!C:C,0))</f>
        <v>1</v>
      </c>
      <c r="Y1900" s="161" t="str">
        <f t="shared" si="6"/>
        <v>mccawpa01,2016-17</v>
      </c>
      <c r="Z1900" s="168">
        <f t="array" ref="Z1900">iferror(index(I:I,match($A1900&amp;","&amp;index('Year Conversion'!$A:$A,match($C1900,'Year Conversion'!$B:$B,0)),$Y:$Y,0))-I1900,"")</f>
        <v>1</v>
      </c>
      <c r="AA1900" s="168">
        <f t="array" ref="AA1900">iferror(index(J:J,match($A1900&amp;","&amp;index('Year Conversion'!$A:$A,match($C1900,'Year Conversion'!$B:$B,0)),$Y:$Y,0))-J1900,"")</f>
        <v>1.262623484</v>
      </c>
      <c r="AB1900" s="168">
        <f t="array" ref="AB1900">iferror(index(K:K,match($A1900&amp;","&amp;index('Year Conversion'!$A:$A,match($C1900,'Year Conversion'!$B:$B,0)),$Y:$Y,0))-K1900,"")</f>
        <v>1.333813991</v>
      </c>
      <c r="AC1900" s="168" t="str">
        <f t="shared" si="7"/>
        <v>GSW,2016-17</v>
      </c>
    </row>
    <row r="1901">
      <c r="A1901" s="161" t="str">
        <f>IFERROR(__xludf.DUMMYFUNCTION("""COMPUTED_VALUE"""),"niangge01")</f>
        <v>niangge01</v>
      </c>
      <c r="B1901" s="161" t="str">
        <f>IFERROR(__xludf.DUMMYFUNCTION("""COMPUTED_VALUE"""),"Georges Niang")</f>
        <v>Georges Niang</v>
      </c>
      <c r="C1901" s="162" t="str">
        <f>IFERROR(__xludf.DUMMYFUNCTION("""COMPUTED_VALUE"""),"2016-17")</f>
        <v>2016-17</v>
      </c>
      <c r="D1901" s="163" t="str">
        <f>IFERROR(__xludf.DUMMYFUNCTION("""COMPUTED_VALUE"""),"IND")</f>
        <v>IND</v>
      </c>
      <c r="E1901" s="164" t="str">
        <f>IFERROR(__xludf.DUMMYFUNCTION("""COMPUTED_VALUE"""),"Stretch Big")</f>
        <v>Stretch Big</v>
      </c>
      <c r="F1901" s="164">
        <f>IFERROR(__xludf.DUMMYFUNCTION("""COMPUTED_VALUE"""),92.7316666666666)</f>
        <v>92.73166667</v>
      </c>
      <c r="G1901" s="163">
        <f>IFERROR(__xludf.DUMMYFUNCTION("""COMPUTED_VALUE"""),23.0)</f>
        <v>23</v>
      </c>
      <c r="H1901" s="163" t="str">
        <f>IFERROR(__xludf.DUMMYFUNCTION("""COMPUTED_VALUE"""),"PF")</f>
        <v>PF</v>
      </c>
      <c r="I1901" s="163">
        <f>IFERROR(__xludf.DUMMYFUNCTION("""COMPUTED_VALUE"""),23.0)</f>
        <v>23</v>
      </c>
      <c r="J1901" s="165">
        <f>IFERROR(__xludf.DUMMYFUNCTION("""COMPUTED_VALUE"""),-0.794178253077349)</f>
        <v>-0.7941782531</v>
      </c>
      <c r="K1901" s="165">
        <f>IFERROR(__xludf.DUMMYFUNCTION("""COMPUTED_VALUE"""),-0.314865308545402)</f>
        <v>-0.3148653085</v>
      </c>
      <c r="L1901" s="165">
        <f>IFERROR(__xludf.DUMMYFUNCTION("""COMPUTED_VALUE"""),-0.479312944531947)</f>
        <v>-0.4793129445</v>
      </c>
      <c r="M1901" s="166">
        <f t="shared" si="2"/>
        <v>0.09335374932</v>
      </c>
      <c r="N1901" s="167">
        <f t="shared" si="3"/>
        <v>4.031811594</v>
      </c>
      <c r="O1901" s="163">
        <f t="shared" ref="O1901:Q1901" si="1905">rank(I1901,I:I)</f>
        <v>2765</v>
      </c>
      <c r="P1901" s="163">
        <f t="shared" si="1905"/>
        <v>2265</v>
      </c>
      <c r="Q1901" s="163">
        <f t="shared" si="1905"/>
        <v>1786</v>
      </c>
      <c r="R1901" s="163">
        <f>IFERROR(__xludf.DUMMYFUNCTION("RANK(M1901,filter(M:M,C:C=C1901))"),379.0)</f>
        <v>379</v>
      </c>
      <c r="S1901" s="161" t="b">
        <f t="shared" si="5"/>
        <v>0</v>
      </c>
      <c r="T1901" s="161" t="b">
        <f t="array" ref="T1901">index('Query Tool'!B:B,match(H1901,'Query Tool'!C:C,0))</f>
        <v>1</v>
      </c>
      <c r="U1901" s="161" t="b">
        <f t="array" ref="U1901">index('Query Tool'!B:B,match(C1901,'Query Tool'!C:C,0))</f>
        <v>0</v>
      </c>
      <c r="V1901" s="161" t="b">
        <f>F1901&gt;='Query Tool'!C$32</f>
        <v>0</v>
      </c>
      <c r="W1901" s="161" t="b">
        <f t="array" ref="W1901">index(Dropdowns!B:B,match(I1901,Dropdowns!A:A,0))</f>
        <v>1</v>
      </c>
      <c r="X1901" s="161" t="b">
        <f t="array" ref="X1901">index('Query Tool'!B:B,match(D1901,'Query Tool'!C:C,0))</f>
        <v>1</v>
      </c>
      <c r="Y1901" s="161" t="str">
        <f t="shared" si="6"/>
        <v>niangge01,2016-17</v>
      </c>
      <c r="Z1901" s="168">
        <f t="array" ref="Z1901">iferror(index(I:I,match($A1901&amp;","&amp;index('Year Conversion'!$A:$A,match($C1901,'Year Conversion'!$B:$B,0)),$Y:$Y,0))-I1901,"")</f>
        <v>1</v>
      </c>
      <c r="AA1901" s="168">
        <f t="array" ref="AA1901">iferror(index(J:J,match($A1901&amp;","&amp;index('Year Conversion'!$A:$A,match($C1901,'Year Conversion'!$B:$B,0)),$Y:$Y,0))-J1901,"")</f>
        <v>0.2301992977</v>
      </c>
      <c r="AB1901" s="168">
        <f t="array" ref="AB1901">iferror(index(K:K,match($A1901&amp;","&amp;index('Year Conversion'!$A:$A,match($C1901,'Year Conversion'!$B:$B,0)),$Y:$Y,0))-K1901,"")</f>
        <v>0.1909865989</v>
      </c>
      <c r="AC1901" s="168" t="str">
        <f t="shared" si="7"/>
        <v>IND,2016-17</v>
      </c>
    </row>
    <row r="1902">
      <c r="A1902" s="161" t="str">
        <f>IFERROR(__xludf.DUMMYFUNCTION("""COMPUTED_VALUE"""),"onuakch01")</f>
        <v>onuakch01</v>
      </c>
      <c r="B1902" s="161" t="str">
        <f>IFERROR(__xludf.DUMMYFUNCTION("""COMPUTED_VALUE"""),"Chinanu Onuaku")</f>
        <v>Chinanu Onuaku</v>
      </c>
      <c r="C1902" s="162" t="str">
        <f>IFERROR(__xludf.DUMMYFUNCTION("""COMPUTED_VALUE"""),"2016-17")</f>
        <v>2016-17</v>
      </c>
      <c r="D1902" s="163" t="str">
        <f>IFERROR(__xludf.DUMMYFUNCTION("""COMPUTED_VALUE"""),"HOU")</f>
        <v>HOU</v>
      </c>
      <c r="E1902" s="164" t="str">
        <f>IFERROR(__xludf.DUMMYFUNCTION("""COMPUTED_VALUE"""),"Roll + Cut Big")</f>
        <v>Roll + Cut Big</v>
      </c>
      <c r="F1902" s="164">
        <f>IFERROR(__xludf.DUMMYFUNCTION("""COMPUTED_VALUE"""),51.6)</f>
        <v>51.6</v>
      </c>
      <c r="G1902" s="163">
        <f>IFERROR(__xludf.DUMMYFUNCTION("""COMPUTED_VALUE"""),5.0)</f>
        <v>5</v>
      </c>
      <c r="H1902" s="163" t="str">
        <f>IFERROR(__xludf.DUMMYFUNCTION("""COMPUTED_VALUE"""),"C")</f>
        <v>C</v>
      </c>
      <c r="I1902" s="163">
        <f>IFERROR(__xludf.DUMMYFUNCTION("""COMPUTED_VALUE"""),20.0)</f>
        <v>20</v>
      </c>
      <c r="J1902" s="165">
        <f>IFERROR(__xludf.DUMMYFUNCTION("""COMPUTED_VALUE"""),-1.10627549197106)</f>
        <v>-1.106275492</v>
      </c>
      <c r="K1902" s="165">
        <f>IFERROR(__xludf.DUMMYFUNCTION("""COMPUTED_VALUE"""),-0.541422207107843)</f>
        <v>-0.5414222071</v>
      </c>
      <c r="L1902" s="165">
        <f>IFERROR(__xludf.DUMMYFUNCTION("""COMPUTED_VALUE"""),-0.564853284863219)</f>
        <v>-0.5648532849</v>
      </c>
      <c r="M1902" s="166">
        <f t="shared" si="2"/>
        <v>0.04112997059</v>
      </c>
      <c r="N1902" s="167">
        <f t="shared" si="3"/>
        <v>10.32</v>
      </c>
      <c r="O1902" s="163">
        <f t="shared" ref="O1902:Q1902" si="1906">rank(I1902,I:I)</f>
        <v>3770</v>
      </c>
      <c r="P1902" s="163">
        <f t="shared" si="1906"/>
        <v>2621</v>
      </c>
      <c r="Q1902" s="163">
        <f t="shared" si="1906"/>
        <v>2174</v>
      </c>
      <c r="R1902" s="163">
        <f>IFERROR(__xludf.DUMMYFUNCTION("RANK(M1902,filter(M:M,C:C=C1902))"),409.0)</f>
        <v>409</v>
      </c>
      <c r="S1902" s="161" t="b">
        <f t="shared" si="5"/>
        <v>0</v>
      </c>
      <c r="T1902" s="161" t="b">
        <f t="array" ref="T1902">index('Query Tool'!B:B,match(H1902,'Query Tool'!C:C,0))</f>
        <v>1</v>
      </c>
      <c r="U1902" s="161" t="b">
        <f t="array" ref="U1902">index('Query Tool'!B:B,match(C1902,'Query Tool'!C:C,0))</f>
        <v>0</v>
      </c>
      <c r="V1902" s="161" t="b">
        <f>F1902&gt;='Query Tool'!C$32</f>
        <v>0</v>
      </c>
      <c r="W1902" s="161" t="b">
        <f t="array" ref="W1902">index(Dropdowns!B:B,match(I1902,Dropdowns!A:A,0))</f>
        <v>1</v>
      </c>
      <c r="X1902" s="161" t="b">
        <f t="array" ref="X1902">index('Query Tool'!B:B,match(D1902,'Query Tool'!C:C,0))</f>
        <v>1</v>
      </c>
      <c r="Y1902" s="161" t="str">
        <f t="shared" si="6"/>
        <v>onuakch01,2016-17</v>
      </c>
      <c r="Z1902" s="168">
        <f t="array" ref="Z1902">iferror(index(I:I,match($A1902&amp;","&amp;index('Year Conversion'!$A:$A,match($C1902,'Year Conversion'!$B:$B,0)),$Y:$Y,0))-I1902,"")</f>
        <v>1</v>
      </c>
      <c r="AA1902" s="168">
        <f t="array" ref="AA1902">iferror(index(J:J,match($A1902&amp;","&amp;index('Year Conversion'!$A:$A,match($C1902,'Year Conversion'!$B:$B,0)),$Y:$Y,0))-J1902,"")</f>
        <v>0.2356374674</v>
      </c>
      <c r="AB1902" s="168">
        <f t="array" ref="AB1902">iferror(index(K:K,match($A1902&amp;","&amp;index('Year Conversion'!$A:$A,match($C1902,'Year Conversion'!$B:$B,0)),$Y:$Y,0))-K1902,"")</f>
        <v>0.2460292557</v>
      </c>
      <c r="AC1902" s="168" t="str">
        <f t="shared" si="7"/>
        <v>HOU,2016-17</v>
      </c>
    </row>
    <row r="1903">
      <c r="A1903" s="161" t="str">
        <f>IFERROR(__xludf.DUMMYFUNCTION("""COMPUTED_VALUE"""),"paytoga02")</f>
        <v>paytoga02</v>
      </c>
      <c r="B1903" s="161" t="str">
        <f>IFERROR(__xludf.DUMMYFUNCTION("""COMPUTED_VALUE"""),"Gary Payton II")</f>
        <v>Gary Payton II</v>
      </c>
      <c r="C1903" s="162" t="str">
        <f>IFERROR(__xludf.DUMMYFUNCTION("""COMPUTED_VALUE"""),"2016-17")</f>
        <v>2016-17</v>
      </c>
      <c r="D1903" s="163" t="str">
        <f>IFERROR(__xludf.DUMMYFUNCTION("""COMPUTED_VALUE"""),"MIL")</f>
        <v>MIL</v>
      </c>
      <c r="E1903" s="164" t="str">
        <f>IFERROR(__xludf.DUMMYFUNCTION("""COMPUTED_VALUE"""),"Secondary Ball Handler")</f>
        <v>Secondary Ball Handler</v>
      </c>
      <c r="F1903" s="164">
        <f>IFERROR(__xludf.DUMMYFUNCTION("""COMPUTED_VALUE"""),99.2333333333333)</f>
        <v>99.23333333</v>
      </c>
      <c r="G1903" s="163">
        <f>IFERROR(__xludf.DUMMYFUNCTION("""COMPUTED_VALUE"""),6.0)</f>
        <v>6</v>
      </c>
      <c r="H1903" s="163" t="str">
        <f>IFERROR(__xludf.DUMMYFUNCTION("""COMPUTED_VALUE"""),"PG")</f>
        <v>PG</v>
      </c>
      <c r="I1903" s="163">
        <f>IFERROR(__xludf.DUMMYFUNCTION("""COMPUTED_VALUE"""),24.0)</f>
        <v>24</v>
      </c>
      <c r="J1903" s="165">
        <f>IFERROR(__xludf.DUMMYFUNCTION("""COMPUTED_VALUE"""),-1.60171102274752)</f>
        <v>-1.601711023</v>
      </c>
      <c r="K1903" s="165">
        <f>IFERROR(__xludf.DUMMYFUNCTION("""COMPUTED_VALUE"""),-1.17890046673001)</f>
        <v>-1.178900467</v>
      </c>
      <c r="L1903" s="165">
        <f>IFERROR(__xludf.DUMMYFUNCTION("""COMPUTED_VALUE"""),-0.422810556017509)</f>
        <v>-0.422810556</v>
      </c>
      <c r="M1903" s="166">
        <f t="shared" si="2"/>
        <v>0.04620716524</v>
      </c>
      <c r="N1903" s="167">
        <f t="shared" si="3"/>
        <v>16.53888889</v>
      </c>
      <c r="O1903" s="163">
        <f t="shared" ref="O1903:Q1903" si="1907">rank(I1903,I:I)</f>
        <v>2361</v>
      </c>
      <c r="P1903" s="163">
        <f t="shared" si="1907"/>
        <v>3145</v>
      </c>
      <c r="Q1903" s="163">
        <f t="shared" si="1907"/>
        <v>3016</v>
      </c>
      <c r="R1903" s="163">
        <f>IFERROR(__xludf.DUMMYFUNCTION("RANK(M1903,filter(M:M,C:C=C1903))"),406.0)</f>
        <v>406</v>
      </c>
      <c r="S1903" s="161" t="b">
        <f t="shared" si="5"/>
        <v>0</v>
      </c>
      <c r="T1903" s="161" t="b">
        <f t="array" ref="T1903">index('Query Tool'!B:B,match(H1903,'Query Tool'!C:C,0))</f>
        <v>1</v>
      </c>
      <c r="U1903" s="161" t="b">
        <f t="array" ref="U1903">index('Query Tool'!B:B,match(C1903,'Query Tool'!C:C,0))</f>
        <v>0</v>
      </c>
      <c r="V1903" s="161" t="b">
        <f>F1903&gt;='Query Tool'!C$32</f>
        <v>0</v>
      </c>
      <c r="W1903" s="161" t="b">
        <f t="array" ref="W1903">index(Dropdowns!B:B,match(I1903,Dropdowns!A:A,0))</f>
        <v>1</v>
      </c>
      <c r="X1903" s="161" t="b">
        <f t="array" ref="X1903">index('Query Tool'!B:B,match(D1903,'Query Tool'!C:C,0))</f>
        <v>1</v>
      </c>
      <c r="Y1903" s="161" t="str">
        <f t="shared" si="6"/>
        <v>paytoga02,2016-17</v>
      </c>
      <c r="Z1903" s="168">
        <f t="array" ref="Z1903">iferror(index(I:I,match($A1903&amp;","&amp;index('Year Conversion'!$A:$A,match($C1903,'Year Conversion'!$B:$B,0)),$Y:$Y,0))-I1903,"")</f>
        <v>1</v>
      </c>
      <c r="AA1903" s="168">
        <f t="array" ref="AA1903">iferror(index(J:J,match($A1903&amp;","&amp;index('Year Conversion'!$A:$A,match($C1903,'Year Conversion'!$B:$B,0)),$Y:$Y,0))-J1903,"")</f>
        <v>1.600836433</v>
      </c>
      <c r="AB1903" s="168">
        <f t="array" ref="AB1903">iferror(index(K:K,match($A1903&amp;","&amp;index('Year Conversion'!$A:$A,match($C1903,'Year Conversion'!$B:$B,0)),$Y:$Y,0))-K1903,"")</f>
        <v>1.375799557</v>
      </c>
      <c r="AC1903" s="168" t="str">
        <f t="shared" si="7"/>
        <v>MIL,2016-17</v>
      </c>
    </row>
    <row r="1904">
      <c r="A1904" s="161" t="str">
        <f>IFERROR(__xludf.DUMMYFUNCTION("""COMPUTED_VALUE"""),"richama01")</f>
        <v>richama01</v>
      </c>
      <c r="B1904" s="161" t="str">
        <f>IFERROR(__xludf.DUMMYFUNCTION("""COMPUTED_VALUE"""),"Malachi Richardson")</f>
        <v>Malachi Richardson</v>
      </c>
      <c r="C1904" s="162" t="str">
        <f>IFERROR(__xludf.DUMMYFUNCTION("""COMPUTED_VALUE"""),"2016-17")</f>
        <v>2016-17</v>
      </c>
      <c r="D1904" s="163" t="str">
        <f>IFERROR(__xludf.DUMMYFUNCTION("""COMPUTED_VALUE"""),"SAC")</f>
        <v>SAC</v>
      </c>
      <c r="E1904" s="164" t="str">
        <f>IFERROR(__xludf.DUMMYFUNCTION("""COMPUTED_VALUE"""),"Secondary Ball Handler")</f>
        <v>Secondary Ball Handler</v>
      </c>
      <c r="F1904" s="164">
        <f>IFERROR(__xludf.DUMMYFUNCTION("""COMPUTED_VALUE"""),198.118333333333)</f>
        <v>198.1183333</v>
      </c>
      <c r="G1904" s="163">
        <f>IFERROR(__xludf.DUMMYFUNCTION("""COMPUTED_VALUE"""),22.0)</f>
        <v>22</v>
      </c>
      <c r="H1904" s="163" t="str">
        <f>IFERROR(__xludf.DUMMYFUNCTION("""COMPUTED_VALUE"""),"SG")</f>
        <v>SG</v>
      </c>
      <c r="I1904" s="163">
        <f>IFERROR(__xludf.DUMMYFUNCTION("""COMPUTED_VALUE"""),21.0)</f>
        <v>21</v>
      </c>
      <c r="J1904" s="165">
        <f>IFERROR(__xludf.DUMMYFUNCTION("""COMPUTED_VALUE"""),-1.03590056980181)</f>
        <v>-1.03590057</v>
      </c>
      <c r="K1904" s="165">
        <f>IFERROR(__xludf.DUMMYFUNCTION("""COMPUTED_VALUE"""),-0.697924159800446)</f>
        <v>-0.6979241598</v>
      </c>
      <c r="L1904" s="165">
        <f>IFERROR(__xludf.DUMMYFUNCTION("""COMPUTED_VALUE"""),-0.337976410001366)</f>
        <v>-0.33797641</v>
      </c>
      <c r="M1904" s="166">
        <f t="shared" si="2"/>
        <v>0.1672737463</v>
      </c>
      <c r="N1904" s="167">
        <f t="shared" si="3"/>
        <v>9.005378788</v>
      </c>
      <c r="O1904" s="163">
        <f t="shared" ref="O1904:Q1904" si="1908">rank(I1904,I:I)</f>
        <v>3528</v>
      </c>
      <c r="P1904" s="163">
        <f t="shared" si="1908"/>
        <v>2540</v>
      </c>
      <c r="Q1904" s="163">
        <f t="shared" si="1908"/>
        <v>2411</v>
      </c>
      <c r="R1904" s="163">
        <f>IFERROR(__xludf.DUMMYFUNCTION("RANK(M1904,filter(M:M,C:C=C1904))"),350.0)</f>
        <v>350</v>
      </c>
      <c r="S1904" s="161" t="b">
        <f t="shared" si="5"/>
        <v>0</v>
      </c>
      <c r="T1904" s="161" t="b">
        <f t="array" ref="T1904">index('Query Tool'!B:B,match(H1904,'Query Tool'!C:C,0))</f>
        <v>1</v>
      </c>
      <c r="U1904" s="161" t="b">
        <f t="array" ref="U1904">index('Query Tool'!B:B,match(C1904,'Query Tool'!C:C,0))</f>
        <v>0</v>
      </c>
      <c r="V1904" s="161" t="b">
        <f>F1904&gt;='Query Tool'!C$32</f>
        <v>0</v>
      </c>
      <c r="W1904" s="161" t="b">
        <f t="array" ref="W1904">index(Dropdowns!B:B,match(I1904,Dropdowns!A:A,0))</f>
        <v>1</v>
      </c>
      <c r="X1904" s="161" t="b">
        <f t="array" ref="X1904">index('Query Tool'!B:B,match(D1904,'Query Tool'!C:C,0))</f>
        <v>1</v>
      </c>
      <c r="Y1904" s="161" t="str">
        <f t="shared" si="6"/>
        <v>richama01,2016-17</v>
      </c>
      <c r="Z1904" s="168">
        <f t="array" ref="Z1904">iferror(index(I:I,match($A1904&amp;","&amp;index('Year Conversion'!$A:$A,match($C1904,'Year Conversion'!$B:$B,0)),$Y:$Y,0))-I1904,"")</f>
        <v>1</v>
      </c>
      <c r="AA1904" s="168">
        <f t="array" ref="AA1904">iferror(index(J:J,match($A1904&amp;","&amp;index('Year Conversion'!$A:$A,match($C1904,'Year Conversion'!$B:$B,0)),$Y:$Y,0))-J1904,"")</f>
        <v>-0.370716408</v>
      </c>
      <c r="AB1904" s="168">
        <f t="array" ref="AB1904">iferror(index(K:K,match($A1904&amp;","&amp;index('Year Conversion'!$A:$A,match($C1904,'Year Conversion'!$B:$B,0)),$Y:$Y,0))-K1904,"")</f>
        <v>-0.5355243949</v>
      </c>
      <c r="AC1904" s="168" t="str">
        <f t="shared" si="7"/>
        <v>SAC,2016-17</v>
      </c>
    </row>
    <row r="1905">
      <c r="A1905" s="161" t="str">
        <f>IFERROR(__xludf.DUMMYFUNCTION("""COMPUTED_VALUE"""),"seldewa01")</f>
        <v>seldewa01</v>
      </c>
      <c r="B1905" s="161" t="str">
        <f>IFERROR(__xludf.DUMMYFUNCTION("""COMPUTED_VALUE"""),"Wayne Selden")</f>
        <v>Wayne Selden</v>
      </c>
      <c r="C1905" s="162" t="str">
        <f>IFERROR(__xludf.DUMMYFUNCTION("""COMPUTED_VALUE"""),"2016-17")</f>
        <v>2016-17</v>
      </c>
      <c r="D1905" s="163" t="str">
        <f>IFERROR(__xludf.DUMMYFUNCTION("""COMPUTED_VALUE"""),"TOT")</f>
        <v>TOT</v>
      </c>
      <c r="E1905" s="164" t="str">
        <f>IFERROR(__xludf.DUMMYFUNCTION("""COMPUTED_VALUE"""),"Stationary Shooter")</f>
        <v>Stationary Shooter</v>
      </c>
      <c r="F1905" s="164">
        <f>IFERROR(__xludf.DUMMYFUNCTION("""COMPUTED_VALUE"""),236.003333333333)</f>
        <v>236.0033333</v>
      </c>
      <c r="G1905" s="163">
        <f>IFERROR(__xludf.DUMMYFUNCTION("""COMPUTED_VALUE"""),14.0)</f>
        <v>14</v>
      </c>
      <c r="H1905" s="163" t="str">
        <f>IFERROR(__xludf.DUMMYFUNCTION("""COMPUTED_VALUE"""),"SG")</f>
        <v>SG</v>
      </c>
      <c r="I1905" s="163">
        <f>IFERROR(__xludf.DUMMYFUNCTION("""COMPUTED_VALUE"""),22.0)</f>
        <v>22</v>
      </c>
      <c r="J1905" s="165">
        <f>IFERROR(__xludf.DUMMYFUNCTION("""COMPUTED_VALUE"""),-1.71864188485307)</f>
        <v>-1.718641885</v>
      </c>
      <c r="K1905" s="165">
        <f>IFERROR(__xludf.DUMMYFUNCTION("""COMPUTED_VALUE"""),-1.25424383537964)</f>
        <v>-1.254243835</v>
      </c>
      <c r="L1905" s="165">
        <f>IFERROR(__xludf.DUMMYFUNCTION("""COMPUTED_VALUE"""),-0.464398049473423)</f>
        <v>-0.4643980495</v>
      </c>
      <c r="M1905" s="166">
        <f t="shared" si="2"/>
        <v>0.09150014017</v>
      </c>
      <c r="N1905" s="167">
        <f t="shared" si="3"/>
        <v>16.85738095</v>
      </c>
      <c r="O1905" s="163">
        <f t="shared" ref="O1905:Q1905" si="1909">rank(I1905,I:I)</f>
        <v>3178</v>
      </c>
      <c r="P1905" s="163">
        <f t="shared" si="1909"/>
        <v>3262</v>
      </c>
      <c r="Q1905" s="163">
        <f t="shared" si="1909"/>
        <v>3088</v>
      </c>
      <c r="R1905" s="163">
        <f>IFERROR(__xludf.DUMMYFUNCTION("RANK(M1905,filter(M:M,C:C=C1905))"),380.0)</f>
        <v>380</v>
      </c>
      <c r="S1905" s="161" t="b">
        <f t="shared" si="5"/>
        <v>0</v>
      </c>
      <c r="T1905" s="161" t="b">
        <f t="array" ref="T1905">index('Query Tool'!B:B,match(H1905,'Query Tool'!C:C,0))</f>
        <v>1</v>
      </c>
      <c r="U1905" s="161" t="b">
        <f t="array" ref="U1905">index('Query Tool'!B:B,match(C1905,'Query Tool'!C:C,0))</f>
        <v>0</v>
      </c>
      <c r="V1905" s="161" t="b">
        <f>F1905&gt;='Query Tool'!C$32</f>
        <v>0</v>
      </c>
      <c r="W1905" s="161" t="b">
        <f t="array" ref="W1905">index(Dropdowns!B:B,match(I1905,Dropdowns!A:A,0))</f>
        <v>1</v>
      </c>
      <c r="X1905" s="161" t="b">
        <f t="array" ref="X1905">index('Query Tool'!B:B,match(D1905,'Query Tool'!C:C,0))</f>
        <v>1</v>
      </c>
      <c r="Y1905" s="161" t="str">
        <f t="shared" si="6"/>
        <v>seldewa01,2016-17</v>
      </c>
      <c r="Z1905" s="168">
        <f t="array" ref="Z1905">iferror(index(I:I,match($A1905&amp;","&amp;index('Year Conversion'!$A:$A,match($C1905,'Year Conversion'!$B:$B,0)),$Y:$Y,0))-I1905,"")</f>
        <v>1</v>
      </c>
      <c r="AA1905" s="168">
        <f t="array" ref="AA1905">iferror(index(J:J,match($A1905&amp;","&amp;index('Year Conversion'!$A:$A,match($C1905,'Year Conversion'!$B:$B,0)),$Y:$Y,0))-J1905,"")</f>
        <v>-0.6812915213</v>
      </c>
      <c r="AB1905" s="168">
        <f t="array" ref="AB1905">iferror(index(K:K,match($A1905&amp;","&amp;index('Year Conversion'!$A:$A,match($C1905,'Year Conversion'!$B:$B,0)),$Y:$Y,0))-K1905,"")</f>
        <v>0.7863187368</v>
      </c>
      <c r="AC1905" s="168" t="str">
        <f t="shared" si="7"/>
        <v>TOT,2016-17</v>
      </c>
    </row>
    <row r="1906">
      <c r="A1906" s="161" t="str">
        <f>IFERROR(__xludf.DUMMYFUNCTION("""COMPUTED_VALUE"""),"siakapa01")</f>
        <v>siakapa01</v>
      </c>
      <c r="B1906" s="161" t="str">
        <f>IFERROR(__xludf.DUMMYFUNCTION("""COMPUTED_VALUE"""),"Pascal Siakam")</f>
        <v>Pascal Siakam</v>
      </c>
      <c r="C1906" s="162" t="str">
        <f>IFERROR(__xludf.DUMMYFUNCTION("""COMPUTED_VALUE"""),"2016-17")</f>
        <v>2016-17</v>
      </c>
      <c r="D1906" s="163" t="str">
        <f>IFERROR(__xludf.DUMMYFUNCTION("""COMPUTED_VALUE"""),"TOR")</f>
        <v>TOR</v>
      </c>
      <c r="E1906" s="164" t="str">
        <f>IFERROR(__xludf.DUMMYFUNCTION("""COMPUTED_VALUE"""),"Roll + Cut Big")</f>
        <v>Roll + Cut Big</v>
      </c>
      <c r="F1906" s="164">
        <f>IFERROR(__xludf.DUMMYFUNCTION("""COMPUTED_VALUE"""),859.086666666667)</f>
        <v>859.0866667</v>
      </c>
      <c r="G1906" s="163">
        <f>IFERROR(__xludf.DUMMYFUNCTION("""COMPUTED_VALUE"""),55.0)</f>
        <v>55</v>
      </c>
      <c r="H1906" s="163" t="str">
        <f>IFERROR(__xludf.DUMMYFUNCTION("""COMPUTED_VALUE"""),"PF")</f>
        <v>PF</v>
      </c>
      <c r="I1906" s="163">
        <f>IFERROR(__xludf.DUMMYFUNCTION("""COMPUTED_VALUE"""),22.0)</f>
        <v>22</v>
      </c>
      <c r="J1906" s="165">
        <f>IFERROR(__xludf.DUMMYFUNCTION("""COMPUTED_VALUE"""),-1.52508612902892)</f>
        <v>-1.525086129</v>
      </c>
      <c r="K1906" s="165">
        <f>IFERROR(__xludf.DUMMYFUNCTION("""COMPUTED_VALUE"""),-2.9372080803586)</f>
        <v>-2.93720808</v>
      </c>
      <c r="L1906" s="165">
        <f>IFERROR(__xludf.DUMMYFUNCTION("""COMPUTED_VALUE"""),1.41212195132967)</f>
        <v>1.412121951</v>
      </c>
      <c r="M1906" s="166">
        <f t="shared" si="2"/>
        <v>0.4439575302</v>
      </c>
      <c r="N1906" s="167">
        <f t="shared" si="3"/>
        <v>15.61975758</v>
      </c>
      <c r="O1906" s="163">
        <f t="shared" ref="O1906:Q1906" si="1910">rank(I1906,I:I)</f>
        <v>3178</v>
      </c>
      <c r="P1906" s="163">
        <f t="shared" si="1910"/>
        <v>3076</v>
      </c>
      <c r="Q1906" s="163">
        <f t="shared" si="1910"/>
        <v>3969</v>
      </c>
      <c r="R1906" s="163">
        <f>IFERROR(__xludf.DUMMYFUNCTION("RANK(M1906,filter(M:M,C:C=C1906))"),293.0)</f>
        <v>293</v>
      </c>
      <c r="S1906" s="161" t="b">
        <f t="shared" si="5"/>
        <v>0</v>
      </c>
      <c r="T1906" s="161" t="b">
        <f t="array" ref="T1906">index('Query Tool'!B:B,match(H1906,'Query Tool'!C:C,0))</f>
        <v>1</v>
      </c>
      <c r="U1906" s="161" t="b">
        <f t="array" ref="U1906">index('Query Tool'!B:B,match(C1906,'Query Tool'!C:C,0))</f>
        <v>0</v>
      </c>
      <c r="V1906" s="161" t="b">
        <f>F1906&gt;='Query Tool'!C$32</f>
        <v>1</v>
      </c>
      <c r="W1906" s="161" t="b">
        <f t="array" ref="W1906">index(Dropdowns!B:B,match(I1906,Dropdowns!A:A,0))</f>
        <v>1</v>
      </c>
      <c r="X1906" s="161" t="b">
        <f t="array" ref="X1906">index('Query Tool'!B:B,match(D1906,'Query Tool'!C:C,0))</f>
        <v>1</v>
      </c>
      <c r="Y1906" s="161" t="str">
        <f t="shared" si="6"/>
        <v>siakapa01,2016-17</v>
      </c>
      <c r="Z1906" s="168">
        <f t="array" ref="Z1906">iferror(index(I:I,match($A1906&amp;","&amp;index('Year Conversion'!$A:$A,match($C1906,'Year Conversion'!$B:$B,0)),$Y:$Y,0))-I1906,"")</f>
        <v>1</v>
      </c>
      <c r="AA1906" s="168">
        <f t="array" ref="AA1906">iferror(index(J:J,match($A1906&amp;","&amp;index('Year Conversion'!$A:$A,match($C1906,'Year Conversion'!$B:$B,0)),$Y:$Y,0))-J1906,"")</f>
        <v>3.053658204</v>
      </c>
      <c r="AB1906" s="168">
        <f t="array" ref="AB1906">iferror(index(K:K,match($A1906&amp;","&amp;index('Year Conversion'!$A:$A,match($C1906,'Year Conversion'!$B:$B,0)),$Y:$Y,0))-K1906,"")</f>
        <v>3.336898211</v>
      </c>
      <c r="AC1906" s="168" t="str">
        <f t="shared" si="7"/>
        <v>TOR,2016-17</v>
      </c>
    </row>
    <row r="1907">
      <c r="A1907" s="161" t="str">
        <f>IFERROR(__xludf.DUMMYFUNCTION("""COMPUTED_VALUE"""),"uthofja01")</f>
        <v>uthofja01</v>
      </c>
      <c r="B1907" s="161" t="str">
        <f>IFERROR(__xludf.DUMMYFUNCTION("""COMPUTED_VALUE"""),"Jarrod Uthoff")</f>
        <v>Jarrod Uthoff</v>
      </c>
      <c r="C1907" s="162" t="str">
        <f>IFERROR(__xludf.DUMMYFUNCTION("""COMPUTED_VALUE"""),"2016-17")</f>
        <v>2016-17</v>
      </c>
      <c r="D1907" s="163" t="str">
        <f>IFERROR(__xludf.DUMMYFUNCTION("""COMPUTED_VALUE"""),"DAL")</f>
        <v>DAL</v>
      </c>
      <c r="E1907" s="164" t="str">
        <f>IFERROR(__xludf.DUMMYFUNCTION("""COMPUTED_VALUE"""),"Roll + Cut Big")</f>
        <v>Roll + Cut Big</v>
      </c>
      <c r="F1907" s="164">
        <f>IFERROR(__xludf.DUMMYFUNCTION("""COMPUTED_VALUE"""),114.746666666667)</f>
        <v>114.7466667</v>
      </c>
      <c r="G1907" s="163">
        <f>IFERROR(__xludf.DUMMYFUNCTION("""COMPUTED_VALUE"""),9.0)</f>
        <v>9</v>
      </c>
      <c r="H1907" s="163" t="str">
        <f>IFERROR(__xludf.DUMMYFUNCTION("""COMPUTED_VALUE"""),"PF")</f>
        <v>PF</v>
      </c>
      <c r="I1907" s="163">
        <f>IFERROR(__xludf.DUMMYFUNCTION("""COMPUTED_VALUE"""),23.0)</f>
        <v>23</v>
      </c>
      <c r="J1907" s="165">
        <f>IFERROR(__xludf.DUMMYFUNCTION("""COMPUTED_VALUE"""),-0.516481649065066)</f>
        <v>-0.5164816491</v>
      </c>
      <c r="K1907" s="165">
        <f>IFERROR(__xludf.DUMMYFUNCTION("""COMPUTED_VALUE"""),-0.339979329184993)</f>
        <v>-0.3399793292</v>
      </c>
      <c r="L1907" s="165">
        <f>IFERROR(__xludf.DUMMYFUNCTION("""COMPUTED_VALUE"""),-0.176502319880073)</f>
        <v>-0.1765023199</v>
      </c>
      <c r="M1907" s="166">
        <f t="shared" si="2"/>
        <v>0.1369603564</v>
      </c>
      <c r="N1907" s="167">
        <f t="shared" si="3"/>
        <v>12.74962963</v>
      </c>
      <c r="O1907" s="163">
        <f t="shared" ref="O1907:Q1907" si="1911">rank(I1907,I:I)</f>
        <v>2765</v>
      </c>
      <c r="P1907" s="163">
        <f t="shared" si="1911"/>
        <v>1878</v>
      </c>
      <c r="Q1907" s="163">
        <f t="shared" si="1911"/>
        <v>1833</v>
      </c>
      <c r="R1907" s="163">
        <f>IFERROR(__xludf.DUMMYFUNCTION("RANK(M1907,filter(M:M,C:C=C1907))"),362.0)</f>
        <v>362</v>
      </c>
      <c r="S1907" s="161" t="b">
        <f t="shared" si="5"/>
        <v>0</v>
      </c>
      <c r="T1907" s="161" t="b">
        <f t="array" ref="T1907">index('Query Tool'!B:B,match(H1907,'Query Tool'!C:C,0))</f>
        <v>1</v>
      </c>
      <c r="U1907" s="161" t="b">
        <f t="array" ref="U1907">index('Query Tool'!B:B,match(C1907,'Query Tool'!C:C,0))</f>
        <v>0</v>
      </c>
      <c r="V1907" s="161" t="b">
        <f>F1907&gt;='Query Tool'!C$32</f>
        <v>0</v>
      </c>
      <c r="W1907" s="161" t="b">
        <f t="array" ref="W1907">index(Dropdowns!B:B,match(I1907,Dropdowns!A:A,0))</f>
        <v>1</v>
      </c>
      <c r="X1907" s="161" t="b">
        <f t="array" ref="X1907">index('Query Tool'!B:B,match(D1907,'Query Tool'!C:C,0))</f>
        <v>1</v>
      </c>
      <c r="Y1907" s="161" t="str">
        <f t="shared" si="6"/>
        <v>uthofja01,2016-17</v>
      </c>
      <c r="Z1907" s="168" t="str">
        <f t="array" ref="Z1907">iferror(index(I:I,match($A1907&amp;","&amp;index('Year Conversion'!$A:$A,match($C1907,'Year Conversion'!$B:$B,0)),$Y:$Y,0))-I1907,"")</f>
        <v/>
      </c>
      <c r="AA1907" s="168" t="str">
        <f t="array" ref="AA1907">iferror(index(J:J,match($A1907&amp;","&amp;index('Year Conversion'!$A:$A,match($C1907,'Year Conversion'!$B:$B,0)),$Y:$Y,0))-J1907,"")</f>
        <v/>
      </c>
      <c r="AB1907" s="168" t="str">
        <f t="array" ref="AB1907">iferror(index(K:K,match($A1907&amp;","&amp;index('Year Conversion'!$A:$A,match($C1907,'Year Conversion'!$B:$B,0)),$Y:$Y,0))-K1907,"")</f>
        <v/>
      </c>
      <c r="AC1907" s="168" t="str">
        <f t="shared" si="7"/>
        <v>DAL,2016-17</v>
      </c>
    </row>
    <row r="1908">
      <c r="A1908" s="161" t="str">
        <f>IFERROR(__xludf.DUMMYFUNCTION("""COMPUTED_VALUE"""),"whiteis01")</f>
        <v>whiteis01</v>
      </c>
      <c r="B1908" s="161" t="str">
        <f>IFERROR(__xludf.DUMMYFUNCTION("""COMPUTED_VALUE"""),"Isaiah Whitehead")</f>
        <v>Isaiah Whitehead</v>
      </c>
      <c r="C1908" s="162" t="str">
        <f>IFERROR(__xludf.DUMMYFUNCTION("""COMPUTED_VALUE"""),"2016-17")</f>
        <v>2016-17</v>
      </c>
      <c r="D1908" s="163" t="str">
        <f>IFERROR(__xludf.DUMMYFUNCTION("""COMPUTED_VALUE"""),"BRK")</f>
        <v>BRK</v>
      </c>
      <c r="E1908" s="164" t="str">
        <f>IFERROR(__xludf.DUMMYFUNCTION("""COMPUTED_VALUE"""),"Primary Ball Handler")</f>
        <v>Primary Ball Handler</v>
      </c>
      <c r="F1908" s="164">
        <f>IFERROR(__xludf.DUMMYFUNCTION("""COMPUTED_VALUE"""),1643.47166666667)</f>
        <v>1643.471667</v>
      </c>
      <c r="G1908" s="163">
        <f>IFERROR(__xludf.DUMMYFUNCTION("""COMPUTED_VALUE"""),73.0)</f>
        <v>73</v>
      </c>
      <c r="H1908" s="163" t="str">
        <f>IFERROR(__xludf.DUMMYFUNCTION("""COMPUTED_VALUE"""),"PG")</f>
        <v>PG</v>
      </c>
      <c r="I1908" s="163">
        <f>IFERROR(__xludf.DUMMYFUNCTION("""COMPUTED_VALUE"""),21.0)</f>
        <v>21</v>
      </c>
      <c r="J1908" s="165">
        <f>IFERROR(__xludf.DUMMYFUNCTION("""COMPUTED_VALUE"""),-1.8051254753134)</f>
        <v>-1.805125475</v>
      </c>
      <c r="K1908" s="165">
        <f>IFERROR(__xludf.DUMMYFUNCTION("""COMPUTED_VALUE"""),-1.60349668657733)</f>
        <v>-1.603496687</v>
      </c>
      <c r="L1908" s="165">
        <f>IFERROR(__xludf.DUMMYFUNCTION("""COMPUTED_VALUE"""),-0.201628788736075)</f>
        <v>-0.2016287887</v>
      </c>
      <c r="M1908" s="166">
        <f t="shared" si="2"/>
        <v>0.5425899315</v>
      </c>
      <c r="N1908" s="167">
        <f t="shared" si="3"/>
        <v>22.5133105</v>
      </c>
      <c r="O1908" s="163">
        <f t="shared" ref="O1908:Q1908" si="1912">rank(I1908,I:I)</f>
        <v>3528</v>
      </c>
      <c r="P1908" s="163">
        <f t="shared" si="1912"/>
        <v>3333</v>
      </c>
      <c r="Q1908" s="163">
        <f t="shared" si="1912"/>
        <v>3447</v>
      </c>
      <c r="R1908" s="163">
        <f>IFERROR(__xludf.DUMMYFUNCTION("RANK(M1908,filter(M:M,C:C=C1908))"),275.0)</f>
        <v>275</v>
      </c>
      <c r="S1908" s="161" t="b">
        <f t="shared" si="5"/>
        <v>0</v>
      </c>
      <c r="T1908" s="161" t="b">
        <f t="array" ref="T1908">index('Query Tool'!B:B,match(H1908,'Query Tool'!C:C,0))</f>
        <v>1</v>
      </c>
      <c r="U1908" s="161" t="b">
        <f t="array" ref="U1908">index('Query Tool'!B:B,match(C1908,'Query Tool'!C:C,0))</f>
        <v>0</v>
      </c>
      <c r="V1908" s="161" t="b">
        <f>F1908&gt;='Query Tool'!C$32</f>
        <v>1</v>
      </c>
      <c r="W1908" s="161" t="b">
        <f t="array" ref="W1908">index(Dropdowns!B:B,match(I1908,Dropdowns!A:A,0))</f>
        <v>1</v>
      </c>
      <c r="X1908" s="161" t="b">
        <f t="array" ref="X1908">index('Query Tool'!B:B,match(D1908,'Query Tool'!C:C,0))</f>
        <v>1</v>
      </c>
      <c r="Y1908" s="161" t="str">
        <f t="shared" si="6"/>
        <v>whiteis01,2016-17</v>
      </c>
      <c r="Z1908" s="168">
        <f t="array" ref="Z1908">iferror(index(I:I,match($A1908&amp;","&amp;index('Year Conversion'!$A:$A,match($C1908,'Year Conversion'!$B:$B,0)),$Y:$Y,0))-I1908,"")</f>
        <v>1</v>
      </c>
      <c r="AA1908" s="168">
        <f t="array" ref="AA1908">iferror(index(J:J,match($A1908&amp;","&amp;index('Year Conversion'!$A:$A,match($C1908,'Year Conversion'!$B:$B,0)),$Y:$Y,0))-J1908,"")</f>
        <v>0.4950958552</v>
      </c>
      <c r="AB1908" s="168">
        <f t="array" ref="AB1908">iferror(index(K:K,match($A1908&amp;","&amp;index('Year Conversion'!$A:$A,match($C1908,'Year Conversion'!$B:$B,0)),$Y:$Y,0))-K1908,"")</f>
        <v>0.676482241</v>
      </c>
      <c r="AC1908" s="168" t="str">
        <f t="shared" si="7"/>
        <v>BRK,2016-17</v>
      </c>
    </row>
    <row r="1909">
      <c r="A1909" s="161" t="str">
        <f>IFERROR(__xludf.DUMMYFUNCTION("""COMPUTED_VALUE"""),"willitr02")</f>
        <v>willitr02</v>
      </c>
      <c r="B1909" s="161" t="str">
        <f>IFERROR(__xludf.DUMMYFUNCTION("""COMPUTED_VALUE"""),"Troy Williams")</f>
        <v>Troy Williams</v>
      </c>
      <c r="C1909" s="162" t="str">
        <f>IFERROR(__xludf.DUMMYFUNCTION("""COMPUTED_VALUE"""),"2016-17")</f>
        <v>2016-17</v>
      </c>
      <c r="D1909" s="163" t="str">
        <f>IFERROR(__xludf.DUMMYFUNCTION("""COMPUTED_VALUE"""),"TOT")</f>
        <v>TOT</v>
      </c>
      <c r="E1909" s="164" t="str">
        <f>IFERROR(__xludf.DUMMYFUNCTION("""COMPUTED_VALUE"""),"Stationary Shooter")</f>
        <v>Stationary Shooter</v>
      </c>
      <c r="F1909" s="164">
        <f>IFERROR(__xludf.DUMMYFUNCTION("""COMPUTED_VALUE"""),556.586666666667)</f>
        <v>556.5866667</v>
      </c>
      <c r="G1909" s="163">
        <f>IFERROR(__xludf.DUMMYFUNCTION("""COMPUTED_VALUE"""),30.0)</f>
        <v>30</v>
      </c>
      <c r="H1909" s="163" t="str">
        <f>IFERROR(__xludf.DUMMYFUNCTION("""COMPUTED_VALUE"""),"SF")</f>
        <v>SF</v>
      </c>
      <c r="I1909" s="163">
        <f>IFERROR(__xludf.DUMMYFUNCTION("""COMPUTED_VALUE"""),22.0)</f>
        <v>22</v>
      </c>
      <c r="J1909" s="165">
        <f>IFERROR(__xludf.DUMMYFUNCTION("""COMPUTED_VALUE"""),-2.11926923373307)</f>
        <v>-2.119269234</v>
      </c>
      <c r="K1909" s="165">
        <f>IFERROR(__xludf.DUMMYFUNCTION("""COMPUTED_VALUE"""),-1.98612855782737)</f>
        <v>-1.986128558</v>
      </c>
      <c r="L1909" s="165">
        <f>IFERROR(__xludf.DUMMYFUNCTION("""COMPUTED_VALUE"""),-0.1331406759057)</f>
        <v>-0.1331406759</v>
      </c>
      <c r="M1909" s="166">
        <f t="shared" si="2"/>
        <v>0.06775072857</v>
      </c>
      <c r="N1909" s="167">
        <f t="shared" si="3"/>
        <v>18.55288889</v>
      </c>
      <c r="O1909" s="163">
        <f t="shared" ref="O1909:Q1909" si="1913">rank(I1909,I:I)</f>
        <v>3178</v>
      </c>
      <c r="P1909" s="163">
        <f t="shared" si="1913"/>
        <v>3570</v>
      </c>
      <c r="Q1909" s="163">
        <f t="shared" si="1913"/>
        <v>3705</v>
      </c>
      <c r="R1909" s="163">
        <f>IFERROR(__xludf.DUMMYFUNCTION("RANK(M1909,filter(M:M,C:C=C1909))"),391.0)</f>
        <v>391</v>
      </c>
      <c r="S1909" s="161" t="b">
        <f t="shared" si="5"/>
        <v>0</v>
      </c>
      <c r="T1909" s="161" t="b">
        <f t="array" ref="T1909">index('Query Tool'!B:B,match(H1909,'Query Tool'!C:C,0))</f>
        <v>1</v>
      </c>
      <c r="U1909" s="161" t="b">
        <f t="array" ref="U1909">index('Query Tool'!B:B,match(C1909,'Query Tool'!C:C,0))</f>
        <v>0</v>
      </c>
      <c r="V1909" s="161" t="b">
        <f>F1909&gt;='Query Tool'!C$32</f>
        <v>1</v>
      </c>
      <c r="W1909" s="161" t="b">
        <f t="array" ref="W1909">index(Dropdowns!B:B,match(I1909,Dropdowns!A:A,0))</f>
        <v>1</v>
      </c>
      <c r="X1909" s="161" t="b">
        <f t="array" ref="X1909">index('Query Tool'!B:B,match(D1909,'Query Tool'!C:C,0))</f>
        <v>1</v>
      </c>
      <c r="Y1909" s="161" t="str">
        <f t="shared" si="6"/>
        <v>willitr02,2016-17</v>
      </c>
      <c r="Z1909" s="168">
        <f t="array" ref="Z1909">iferror(index(I:I,match($A1909&amp;","&amp;index('Year Conversion'!$A:$A,match($C1909,'Year Conversion'!$B:$B,0)),$Y:$Y,0))-I1909,"")</f>
        <v>1</v>
      </c>
      <c r="AA1909" s="168">
        <f t="array" ref="AA1909">iferror(index(J:J,match($A1909&amp;","&amp;index('Year Conversion'!$A:$A,match($C1909,'Year Conversion'!$B:$B,0)),$Y:$Y,0))-J1909,"")</f>
        <v>1.517191092</v>
      </c>
      <c r="AB1909" s="168">
        <f t="array" ref="AB1909">iferror(index(K:K,match($A1909&amp;","&amp;index('Year Conversion'!$A:$A,match($C1909,'Year Conversion'!$B:$B,0)),$Y:$Y,0))-K1909,"")</f>
        <v>1.977470605</v>
      </c>
      <c r="AC1909" s="168" t="str">
        <f t="shared" si="7"/>
        <v>TOT,2016-17</v>
      </c>
    </row>
    <row r="1910">
      <c r="A1910" s="161" t="str">
        <f>IFERROR(__xludf.DUMMYFUNCTION("""COMPUTED_VALUE"""),"wiltjky01")</f>
        <v>wiltjky01</v>
      </c>
      <c r="B1910" s="161" t="str">
        <f>IFERROR(__xludf.DUMMYFUNCTION("""COMPUTED_VALUE"""),"Kyle Wiltjer")</f>
        <v>Kyle Wiltjer</v>
      </c>
      <c r="C1910" s="162" t="str">
        <f>IFERROR(__xludf.DUMMYFUNCTION("""COMPUTED_VALUE"""),"2016-17")</f>
        <v>2016-17</v>
      </c>
      <c r="D1910" s="163" t="str">
        <f>IFERROR(__xludf.DUMMYFUNCTION("""COMPUTED_VALUE"""),"HOU")</f>
        <v>HOU</v>
      </c>
      <c r="E1910" s="164" t="str">
        <f>IFERROR(__xludf.DUMMYFUNCTION("""COMPUTED_VALUE"""),"Movement Shooter")</f>
        <v>Movement Shooter</v>
      </c>
      <c r="F1910" s="164">
        <f>IFERROR(__xludf.DUMMYFUNCTION("""COMPUTED_VALUE"""),43.8833333333333)</f>
        <v>43.88333333</v>
      </c>
      <c r="G1910" s="163">
        <f>IFERROR(__xludf.DUMMYFUNCTION("""COMPUTED_VALUE"""),14.0)</f>
        <v>14</v>
      </c>
      <c r="H1910" s="163" t="str">
        <f>IFERROR(__xludf.DUMMYFUNCTION("""COMPUTED_VALUE"""),"PF")</f>
        <v>PF</v>
      </c>
      <c r="I1910" s="163">
        <f>IFERROR(__xludf.DUMMYFUNCTION("""COMPUTED_VALUE"""),24.0)</f>
        <v>24</v>
      </c>
      <c r="J1910" s="165">
        <f>IFERROR(__xludf.DUMMYFUNCTION("""COMPUTED_VALUE"""),-1.47479275108529)</f>
        <v>-1.474792751</v>
      </c>
      <c r="K1910" s="165">
        <f>IFERROR(__xludf.DUMMYFUNCTION("""COMPUTED_VALUE"""),-0.710858721092636)</f>
        <v>-0.7108587211</v>
      </c>
      <c r="L1910" s="165">
        <f>IFERROR(__xludf.DUMMYFUNCTION("""COMPUTED_VALUE"""),-0.763934029992652)</f>
        <v>-0.76393403</v>
      </c>
      <c r="M1910" s="166">
        <f t="shared" si="2"/>
        <v>0.02415206218</v>
      </c>
      <c r="N1910" s="167">
        <f t="shared" si="3"/>
        <v>3.13452381</v>
      </c>
      <c r="O1910" s="163">
        <f t="shared" ref="O1910:Q1910" si="1914">rank(I1910,I:I)</f>
        <v>2361</v>
      </c>
      <c r="P1910" s="163">
        <f t="shared" si="1914"/>
        <v>3030</v>
      </c>
      <c r="Q1910" s="163">
        <f t="shared" si="1914"/>
        <v>2427</v>
      </c>
      <c r="R1910" s="163">
        <f>IFERROR(__xludf.DUMMYFUNCTION("RANK(M1910,filter(M:M,C:C=C1910))"),428.0)</f>
        <v>428</v>
      </c>
      <c r="S1910" s="161" t="b">
        <f t="shared" si="5"/>
        <v>0</v>
      </c>
      <c r="T1910" s="161" t="b">
        <f t="array" ref="T1910">index('Query Tool'!B:B,match(H1910,'Query Tool'!C:C,0))</f>
        <v>1</v>
      </c>
      <c r="U1910" s="161" t="b">
        <f t="array" ref="U1910">index('Query Tool'!B:B,match(C1910,'Query Tool'!C:C,0))</f>
        <v>0</v>
      </c>
      <c r="V1910" s="161" t="b">
        <f>F1910&gt;='Query Tool'!C$32</f>
        <v>0</v>
      </c>
      <c r="W1910" s="161" t="b">
        <f t="array" ref="W1910">index(Dropdowns!B:B,match(I1910,Dropdowns!A:A,0))</f>
        <v>1</v>
      </c>
      <c r="X1910" s="161" t="b">
        <f t="array" ref="X1910">index('Query Tool'!B:B,match(D1910,'Query Tool'!C:C,0))</f>
        <v>1</v>
      </c>
      <c r="Y1910" s="161" t="str">
        <f t="shared" si="6"/>
        <v>wiltjky01,2016-17</v>
      </c>
      <c r="Z1910" s="168" t="str">
        <f t="array" ref="Z1910">iferror(index(I:I,match($A1910&amp;","&amp;index('Year Conversion'!$A:$A,match($C1910,'Year Conversion'!$B:$B,0)),$Y:$Y,0))-I1910,"")</f>
        <v/>
      </c>
      <c r="AA1910" s="168" t="str">
        <f t="array" ref="AA1910">iferror(index(J:J,match($A1910&amp;","&amp;index('Year Conversion'!$A:$A,match($C1910,'Year Conversion'!$B:$B,0)),$Y:$Y,0))-J1910,"")</f>
        <v/>
      </c>
      <c r="AB1910" s="168" t="str">
        <f t="array" ref="AB1910">iferror(index(K:K,match($A1910&amp;","&amp;index('Year Conversion'!$A:$A,match($C1910,'Year Conversion'!$B:$B,0)),$Y:$Y,0))-K1910,"")</f>
        <v/>
      </c>
      <c r="AC1910" s="168" t="str">
        <f t="shared" si="7"/>
        <v>HOU,2016-17</v>
      </c>
    </row>
    <row r="1911">
      <c r="A1911" s="161" t="str">
        <f>IFERROR(__xludf.DUMMYFUNCTION("""COMPUTED_VALUE"""),"luwawti01")</f>
        <v>luwawti01</v>
      </c>
      <c r="B1911" s="161" t="str">
        <f>IFERROR(__xludf.DUMMYFUNCTION("""COMPUTED_VALUE"""),"Timothe Luwawu-Cabarrot")</f>
        <v>Timothe Luwawu-Cabarrot</v>
      </c>
      <c r="C1911" s="162" t="str">
        <f>IFERROR(__xludf.DUMMYFUNCTION("""COMPUTED_VALUE"""),"2016-17")</f>
        <v>2016-17</v>
      </c>
      <c r="D1911" s="163" t="str">
        <f>IFERROR(__xludf.DUMMYFUNCTION("""COMPUTED_VALUE"""),"PHI")</f>
        <v>PHI</v>
      </c>
      <c r="E1911" s="164" t="str">
        <f>IFERROR(__xludf.DUMMYFUNCTION("""COMPUTED_VALUE"""),"Stationary Shooter")</f>
        <v>Stationary Shooter</v>
      </c>
      <c r="F1911" s="164">
        <f>IFERROR(__xludf.DUMMYFUNCTION("""COMPUTED_VALUE"""),1189.91)</f>
        <v>1189.91</v>
      </c>
      <c r="G1911" s="163">
        <f>IFERROR(__xludf.DUMMYFUNCTION("""COMPUTED_VALUE"""),69.0)</f>
        <v>69</v>
      </c>
      <c r="H1911" s="163" t="str">
        <f>IFERROR(__xludf.DUMMYFUNCTION("""COMPUTED_VALUE"""),"SF")</f>
        <v>SF</v>
      </c>
      <c r="I1911" s="163">
        <f>IFERROR(__xludf.DUMMYFUNCTION("""COMPUTED_VALUE"""),21.0)</f>
        <v>21</v>
      </c>
      <c r="J1911" s="165">
        <f>IFERROR(__xludf.DUMMYFUNCTION("""COMPUTED_VALUE"""),-1.20242998088721)</f>
        <v>-1.202429981</v>
      </c>
      <c r="K1911" s="165">
        <f>IFERROR(__xludf.DUMMYFUNCTION("""COMPUTED_VALUE"""),-1.31844657196716)</f>
        <v>-1.318446572</v>
      </c>
      <c r="L1911" s="165">
        <f>IFERROR(__xludf.DUMMYFUNCTION("""COMPUTED_VALUE"""),0.116016591079958)</f>
        <v>0.1160165911</v>
      </c>
      <c r="M1911" s="166">
        <f t="shared" si="2"/>
        <v>0.871757765</v>
      </c>
      <c r="N1911" s="167">
        <f t="shared" si="3"/>
        <v>17.24507246</v>
      </c>
      <c r="O1911" s="163">
        <f t="shared" ref="O1911:Q1911" si="1915">rank(I1911,I:I)</f>
        <v>3528</v>
      </c>
      <c r="P1911" s="163">
        <f t="shared" si="1915"/>
        <v>2749</v>
      </c>
      <c r="Q1911" s="163">
        <f t="shared" si="1915"/>
        <v>3170</v>
      </c>
      <c r="R1911" s="163">
        <f>IFERROR(__xludf.DUMMYFUNCTION("RANK(M1911,filter(M:M,C:C=C1911))"),237.0)</f>
        <v>237</v>
      </c>
      <c r="S1911" s="161" t="b">
        <f t="shared" si="5"/>
        <v>0</v>
      </c>
      <c r="T1911" s="161" t="b">
        <f t="array" ref="T1911">index('Query Tool'!B:B,match(H1911,'Query Tool'!C:C,0))</f>
        <v>1</v>
      </c>
      <c r="U1911" s="161" t="b">
        <f t="array" ref="U1911">index('Query Tool'!B:B,match(C1911,'Query Tool'!C:C,0))</f>
        <v>0</v>
      </c>
      <c r="V1911" s="161" t="b">
        <f>F1911&gt;='Query Tool'!C$32</f>
        <v>1</v>
      </c>
      <c r="W1911" s="161" t="b">
        <f t="array" ref="W1911">index(Dropdowns!B:B,match(I1911,Dropdowns!A:A,0))</f>
        <v>1</v>
      </c>
      <c r="X1911" s="161" t="b">
        <f t="array" ref="X1911">index('Query Tool'!B:B,match(D1911,'Query Tool'!C:C,0))</f>
        <v>1</v>
      </c>
      <c r="Y1911" s="161" t="str">
        <f t="shared" si="6"/>
        <v>luwawti01,2016-17</v>
      </c>
      <c r="Z1911" s="168">
        <f t="array" ref="Z1911">iferror(index(I:I,match($A1911&amp;","&amp;index('Year Conversion'!$A:$A,match($C1911,'Year Conversion'!$B:$B,0)),$Y:$Y,0))-I1911,"")</f>
        <v>1</v>
      </c>
      <c r="AA1911" s="168">
        <f t="array" ref="AA1911">iferror(index(J:J,match($A1911&amp;","&amp;index('Year Conversion'!$A:$A,match($C1911,'Year Conversion'!$B:$B,0)),$Y:$Y,0))-J1911,"")</f>
        <v>-1.081653548</v>
      </c>
      <c r="AB1911" s="168">
        <f t="array" ref="AB1911">iferror(index(K:K,match($A1911&amp;","&amp;index('Year Conversion'!$A:$A,match($C1911,'Year Conversion'!$B:$B,0)),$Y:$Y,0))-K1911,"")</f>
        <v>0.4703299987</v>
      </c>
      <c r="AC1911" s="168" t="str">
        <f t="shared" si="7"/>
        <v>PHI,2016-17</v>
      </c>
    </row>
    <row r="1912">
      <c r="A1912" s="161" t="str">
        <f>IFERROR(__xludf.DUMMYFUNCTION("""COMPUTED_VALUE"""),"bentibe01")</f>
        <v>bentibe01</v>
      </c>
      <c r="B1912" s="161" t="str">
        <f>IFERROR(__xludf.DUMMYFUNCTION("""COMPUTED_VALUE"""),"Ben Bentil")</f>
        <v>Ben Bentil</v>
      </c>
      <c r="C1912" s="162" t="str">
        <f>IFERROR(__xludf.DUMMYFUNCTION("""COMPUTED_VALUE"""),"2016-17")</f>
        <v>2016-17</v>
      </c>
      <c r="D1912" s="163" t="str">
        <f>IFERROR(__xludf.DUMMYFUNCTION("""COMPUTED_VALUE"""),"DAL")</f>
        <v>DAL</v>
      </c>
      <c r="E1912" s="164" t="str">
        <f>IFERROR(__xludf.DUMMYFUNCTION("""COMPUTED_VALUE"""),"Versatile Big")</f>
        <v>Versatile Big</v>
      </c>
      <c r="F1912" s="164">
        <f>IFERROR(__xludf.DUMMYFUNCTION("""COMPUTED_VALUE"""),9.86666666666666)</f>
        <v>9.866666667</v>
      </c>
      <c r="G1912" s="163">
        <f>IFERROR(__xludf.DUMMYFUNCTION("""COMPUTED_VALUE"""),3.0)</f>
        <v>3</v>
      </c>
      <c r="H1912" s="163" t="str">
        <f>IFERROR(__xludf.DUMMYFUNCTION("""COMPUTED_VALUE"""),"PF")</f>
        <v>PF</v>
      </c>
      <c r="I1912" s="163">
        <f>IFERROR(__xludf.DUMMYFUNCTION("""COMPUTED_VALUE"""),21.0)</f>
        <v>21</v>
      </c>
      <c r="J1912" s="165">
        <f>IFERROR(__xludf.DUMMYFUNCTION("""COMPUTED_VALUE"""),-0.307716162686314)</f>
        <v>-0.3077161627</v>
      </c>
      <c r="K1912" s="165">
        <f>IFERROR(__xludf.DUMMYFUNCTION("""COMPUTED_VALUE"""),-0.294635300503535)</f>
        <v>-0.2946353005</v>
      </c>
      <c r="L1912" s="165">
        <f>IFERROR(__xludf.DUMMYFUNCTION("""COMPUTED_VALUE"""),-0.0130808621827786)</f>
        <v>-0.01308086218</v>
      </c>
      <c r="M1912" s="166">
        <f t="shared" si="2"/>
        <v>0.01316445051</v>
      </c>
      <c r="N1912" s="167">
        <f t="shared" si="3"/>
        <v>3.288888889</v>
      </c>
      <c r="O1912" s="163">
        <f t="shared" ref="O1912:Q1912" si="1916">rank(I1912,I:I)</f>
        <v>3528</v>
      </c>
      <c r="P1912" s="163">
        <f t="shared" si="1916"/>
        <v>1623</v>
      </c>
      <c r="Q1912" s="163">
        <f t="shared" si="1916"/>
        <v>1755</v>
      </c>
      <c r="R1912" s="163">
        <f>IFERROR(__xludf.DUMMYFUNCTION("RANK(M1912,filter(M:M,C:C=C1912))"),440.0)</f>
        <v>440</v>
      </c>
      <c r="S1912" s="161" t="b">
        <f t="shared" si="5"/>
        <v>0</v>
      </c>
      <c r="T1912" s="161" t="b">
        <f t="array" ref="T1912">index('Query Tool'!B:B,match(H1912,'Query Tool'!C:C,0))</f>
        <v>1</v>
      </c>
      <c r="U1912" s="161" t="b">
        <f t="array" ref="U1912">index('Query Tool'!B:B,match(C1912,'Query Tool'!C:C,0))</f>
        <v>0</v>
      </c>
      <c r="V1912" s="161" t="b">
        <f>F1912&gt;='Query Tool'!C$32</f>
        <v>0</v>
      </c>
      <c r="W1912" s="161" t="b">
        <f t="array" ref="W1912">index(Dropdowns!B:B,match(I1912,Dropdowns!A:A,0))</f>
        <v>1</v>
      </c>
      <c r="X1912" s="161" t="b">
        <f t="array" ref="X1912">index('Query Tool'!B:B,match(D1912,'Query Tool'!C:C,0))</f>
        <v>1</v>
      </c>
      <c r="Y1912" s="161" t="str">
        <f t="shared" si="6"/>
        <v>bentibe01,2016-17</v>
      </c>
      <c r="Z1912" s="168" t="str">
        <f t="array" ref="Z1912">iferror(index(I:I,match($A1912&amp;","&amp;index('Year Conversion'!$A:$A,match($C1912,'Year Conversion'!$B:$B,0)),$Y:$Y,0))-I1912,"")</f>
        <v/>
      </c>
      <c r="AA1912" s="168" t="str">
        <f t="array" ref="AA1912">iferror(index(J:J,match($A1912&amp;","&amp;index('Year Conversion'!$A:$A,match($C1912,'Year Conversion'!$B:$B,0)),$Y:$Y,0))-J1912,"")</f>
        <v/>
      </c>
      <c r="AB1912" s="168" t="str">
        <f t="array" ref="AB1912">iferror(index(K:K,match($A1912&amp;","&amp;index('Year Conversion'!$A:$A,match($C1912,'Year Conversion'!$B:$B,0)),$Y:$Y,0))-K1912,"")</f>
        <v/>
      </c>
      <c r="AC1912" s="168" t="str">
        <f t="shared" si="7"/>
        <v>DAL,2016-17</v>
      </c>
    </row>
    <row r="1913">
      <c r="A1913" s="161" t="str">
        <f>IFERROR(__xludf.DUMMYFUNCTION("""COMPUTED_VALUE"""),"ferreyo01")</f>
        <v>ferreyo01</v>
      </c>
      <c r="B1913" s="161" t="str">
        <f>IFERROR(__xludf.DUMMYFUNCTION("""COMPUTED_VALUE"""),"Yogi Ferrell")</f>
        <v>Yogi Ferrell</v>
      </c>
      <c r="C1913" s="162" t="str">
        <f>IFERROR(__xludf.DUMMYFUNCTION("""COMPUTED_VALUE"""),"2016-17")</f>
        <v>2016-17</v>
      </c>
      <c r="D1913" s="163" t="str">
        <f>IFERROR(__xludf.DUMMYFUNCTION("""COMPUTED_VALUE"""),"TOT")</f>
        <v>TOT</v>
      </c>
      <c r="E1913" s="164" t="str">
        <f>IFERROR(__xludf.DUMMYFUNCTION("""COMPUTED_VALUE"""),"Primary Ball Handler")</f>
        <v>Primary Ball Handler</v>
      </c>
      <c r="F1913" s="164">
        <f>IFERROR(__xludf.DUMMYFUNCTION("""COMPUTED_VALUE"""),1197.01166666667)</f>
        <v>1197.011667</v>
      </c>
      <c r="G1913" s="163">
        <f>IFERROR(__xludf.DUMMYFUNCTION("""COMPUTED_VALUE"""),46.0)</f>
        <v>46</v>
      </c>
      <c r="H1913" s="163" t="str">
        <f>IFERROR(__xludf.DUMMYFUNCTION("""COMPUTED_VALUE"""),"PG")</f>
        <v>PG</v>
      </c>
      <c r="I1913" s="163">
        <f>IFERROR(__xludf.DUMMYFUNCTION("""COMPUTED_VALUE"""),23.0)</f>
        <v>23</v>
      </c>
      <c r="J1913" s="165">
        <f>IFERROR(__xludf.DUMMYFUNCTION("""COMPUTED_VALUE"""),-1.12878417103126)</f>
        <v>-1.128784171</v>
      </c>
      <c r="K1913" s="165">
        <f>IFERROR(__xludf.DUMMYFUNCTION("""COMPUTED_VALUE"""),-0.156658366400059)</f>
        <v>-0.1566583664</v>
      </c>
      <c r="L1913" s="165">
        <f>IFERROR(__xludf.DUMMYFUNCTION("""COMPUTED_VALUE"""),-0.972125804631197)</f>
        <v>-0.9721258046</v>
      </c>
      <c r="M1913" s="166">
        <f t="shared" si="2"/>
        <v>0.9360583874</v>
      </c>
      <c r="N1913" s="167">
        <f t="shared" si="3"/>
        <v>26.02199275</v>
      </c>
      <c r="O1913" s="163">
        <f t="shared" ref="O1913:Q1913" si="1917">rank(I1913,I:I)</f>
        <v>2765</v>
      </c>
      <c r="P1913" s="163">
        <f t="shared" si="1917"/>
        <v>2657</v>
      </c>
      <c r="Q1913" s="163">
        <f t="shared" si="1917"/>
        <v>1489</v>
      </c>
      <c r="R1913" s="163">
        <f>IFERROR(__xludf.DUMMYFUNCTION("RANK(M1913,filter(M:M,C:C=C1913))"),229.0)</f>
        <v>229</v>
      </c>
      <c r="S1913" s="161" t="b">
        <f t="shared" si="5"/>
        <v>0</v>
      </c>
      <c r="T1913" s="161" t="b">
        <f t="array" ref="T1913">index('Query Tool'!B:B,match(H1913,'Query Tool'!C:C,0))</f>
        <v>1</v>
      </c>
      <c r="U1913" s="161" t="b">
        <f t="array" ref="U1913">index('Query Tool'!B:B,match(C1913,'Query Tool'!C:C,0))</f>
        <v>0</v>
      </c>
      <c r="V1913" s="161" t="b">
        <f>F1913&gt;='Query Tool'!C$32</f>
        <v>1</v>
      </c>
      <c r="W1913" s="161" t="b">
        <f t="array" ref="W1913">index(Dropdowns!B:B,match(I1913,Dropdowns!A:A,0))</f>
        <v>1</v>
      </c>
      <c r="X1913" s="161" t="b">
        <f t="array" ref="X1913">index('Query Tool'!B:B,match(D1913,'Query Tool'!C:C,0))</f>
        <v>1</v>
      </c>
      <c r="Y1913" s="161" t="str">
        <f t="shared" si="6"/>
        <v>ferreyo01,2016-17</v>
      </c>
      <c r="Z1913" s="168">
        <f t="array" ref="Z1913">iferror(index(I:I,match($A1913&amp;","&amp;index('Year Conversion'!$A:$A,match($C1913,'Year Conversion'!$B:$B,0)),$Y:$Y,0))-I1913,"")</f>
        <v>1</v>
      </c>
      <c r="AA1913" s="168">
        <f t="array" ref="AA1913">iferror(index(J:J,match($A1913&amp;","&amp;index('Year Conversion'!$A:$A,match($C1913,'Year Conversion'!$B:$B,0)),$Y:$Y,0))-J1913,"")</f>
        <v>0.4490711112</v>
      </c>
      <c r="AB1913" s="168">
        <f t="array" ref="AB1913">iferror(index(K:K,match($A1913&amp;","&amp;index('Year Conversion'!$A:$A,match($C1913,'Year Conversion'!$B:$B,0)),$Y:$Y,0))-K1913,"")</f>
        <v>-0.4100463289</v>
      </c>
      <c r="AC1913" s="168" t="str">
        <f t="shared" si="7"/>
        <v>TOT,2016-17</v>
      </c>
    </row>
    <row r="1914">
      <c r="A1914" s="161" t="str">
        <f>IFERROR(__xludf.DUMMYFUNCTION("""COMPUTED_VALUE"""),"mcclesh01")</f>
        <v>mcclesh01</v>
      </c>
      <c r="B1914" s="161" t="str">
        <f>IFERROR(__xludf.DUMMYFUNCTION("""COMPUTED_VALUE"""),"Sheldon Mac")</f>
        <v>Sheldon Mac</v>
      </c>
      <c r="C1914" s="162" t="str">
        <f>IFERROR(__xludf.DUMMYFUNCTION("""COMPUTED_VALUE"""),"2016-17")</f>
        <v>2016-17</v>
      </c>
      <c r="D1914" s="163" t="str">
        <f>IFERROR(__xludf.DUMMYFUNCTION("""COMPUTED_VALUE"""),"WAS")</f>
        <v>WAS</v>
      </c>
      <c r="E1914" s="164" t="str">
        <f>IFERROR(__xludf.DUMMYFUNCTION("""COMPUTED_VALUE"""),"Secondary Ball Handler")</f>
        <v>Secondary Ball Handler</v>
      </c>
      <c r="F1914" s="164">
        <f>IFERROR(__xludf.DUMMYFUNCTION("""COMPUTED_VALUE"""),286.763333333333)</f>
        <v>286.7633333</v>
      </c>
      <c r="G1914" s="163">
        <f>IFERROR(__xludf.DUMMYFUNCTION("""COMPUTED_VALUE"""),30.0)</f>
        <v>30</v>
      </c>
      <c r="H1914" s="163" t="str">
        <f>IFERROR(__xludf.DUMMYFUNCTION("""COMPUTED_VALUE"""),"SG")</f>
        <v>SG</v>
      </c>
      <c r="I1914" s="163">
        <f>IFERROR(__xludf.DUMMYFUNCTION("""COMPUTED_VALUE"""),24.0)</f>
        <v>24</v>
      </c>
      <c r="J1914" s="165">
        <f>IFERROR(__xludf.DUMMYFUNCTION("""COMPUTED_VALUE"""),-1.86642592470213)</f>
        <v>-1.866425925</v>
      </c>
      <c r="K1914" s="165">
        <f>IFERROR(__xludf.DUMMYFUNCTION("""COMPUTED_VALUE"""),-1.46973787746108)</f>
        <v>-1.469737877</v>
      </c>
      <c r="L1914" s="165">
        <f>IFERROR(__xludf.DUMMYFUNCTION("""COMPUTED_VALUE"""),-0.396688047241047)</f>
        <v>-0.3966880472</v>
      </c>
      <c r="M1914" s="166">
        <f t="shared" si="2"/>
        <v>0.08298805283</v>
      </c>
      <c r="N1914" s="167">
        <f t="shared" si="3"/>
        <v>9.558777778</v>
      </c>
      <c r="O1914" s="163">
        <f t="shared" ref="O1914:Q1914" si="1918">rank(I1914,I:I)</f>
        <v>2361</v>
      </c>
      <c r="P1914" s="163">
        <f t="shared" si="1918"/>
        <v>3391</v>
      </c>
      <c r="Q1914" s="163">
        <f t="shared" si="1918"/>
        <v>3325</v>
      </c>
      <c r="R1914" s="163">
        <f>IFERROR(__xludf.DUMMYFUNCTION("RANK(M1914,filter(M:M,C:C=C1914))"),382.0)</f>
        <v>382</v>
      </c>
      <c r="S1914" s="161" t="b">
        <f t="shared" si="5"/>
        <v>0</v>
      </c>
      <c r="T1914" s="161" t="b">
        <f t="array" ref="T1914">index('Query Tool'!B:B,match(H1914,'Query Tool'!C:C,0))</f>
        <v>1</v>
      </c>
      <c r="U1914" s="161" t="b">
        <f t="array" ref="U1914">index('Query Tool'!B:B,match(C1914,'Query Tool'!C:C,0))</f>
        <v>0</v>
      </c>
      <c r="V1914" s="161" t="b">
        <f>F1914&gt;='Query Tool'!C$32</f>
        <v>0</v>
      </c>
      <c r="W1914" s="161" t="b">
        <f t="array" ref="W1914">index(Dropdowns!B:B,match(I1914,Dropdowns!A:A,0))</f>
        <v>1</v>
      </c>
      <c r="X1914" s="161" t="b">
        <f t="array" ref="X1914">index('Query Tool'!B:B,match(D1914,'Query Tool'!C:C,0))</f>
        <v>1</v>
      </c>
      <c r="Y1914" s="161" t="str">
        <f t="shared" si="6"/>
        <v>mcclesh01,2016-17</v>
      </c>
      <c r="Z1914" s="168" t="str">
        <f t="array" ref="Z1914">iferror(index(I:I,match($A1914&amp;","&amp;index('Year Conversion'!$A:$A,match($C1914,'Year Conversion'!$B:$B,0)),$Y:$Y,0))-I1914,"")</f>
        <v/>
      </c>
      <c r="AA1914" s="168" t="str">
        <f t="array" ref="AA1914">iferror(index(J:J,match($A1914&amp;","&amp;index('Year Conversion'!$A:$A,match($C1914,'Year Conversion'!$B:$B,0)),$Y:$Y,0))-J1914,"")</f>
        <v/>
      </c>
      <c r="AB1914" s="168" t="str">
        <f t="array" ref="AB1914">iferror(index(K:K,match($A1914&amp;","&amp;index('Year Conversion'!$A:$A,match($C1914,'Year Conversion'!$B:$B,0)),$Y:$Y,0))-K1914,"")</f>
        <v/>
      </c>
      <c r="AC1914" s="168" t="str">
        <f t="shared" si="7"/>
        <v>WAS,2016-17</v>
      </c>
    </row>
    <row r="1915">
      <c r="A1915" s="161" t="str">
        <f>IFERROR(__xludf.DUMMYFUNCTION("""COMPUTED_VALUE"""),"poythal01")</f>
        <v>poythal01</v>
      </c>
      <c r="B1915" s="161" t="str">
        <f>IFERROR(__xludf.DUMMYFUNCTION("""COMPUTED_VALUE"""),"Alex Poythress")</f>
        <v>Alex Poythress</v>
      </c>
      <c r="C1915" s="162" t="str">
        <f>IFERROR(__xludf.DUMMYFUNCTION("""COMPUTED_VALUE"""),"2016-17")</f>
        <v>2016-17</v>
      </c>
      <c r="D1915" s="163" t="str">
        <f>IFERROR(__xludf.DUMMYFUNCTION("""COMPUTED_VALUE"""),"PHI")</f>
        <v>PHI</v>
      </c>
      <c r="E1915" s="164" t="str">
        <f>IFERROR(__xludf.DUMMYFUNCTION("""COMPUTED_VALUE"""),"Athletic Finisher")</f>
        <v>Athletic Finisher</v>
      </c>
      <c r="F1915" s="164">
        <f>IFERROR(__xludf.DUMMYFUNCTION("""COMPUTED_VALUE"""),156.833333333333)</f>
        <v>156.8333333</v>
      </c>
      <c r="G1915" s="163">
        <f>IFERROR(__xludf.DUMMYFUNCTION("""COMPUTED_VALUE"""),6.0)</f>
        <v>6</v>
      </c>
      <c r="H1915" s="163" t="str">
        <f>IFERROR(__xludf.DUMMYFUNCTION("""COMPUTED_VALUE"""),"PF")</f>
        <v>PF</v>
      </c>
      <c r="I1915" s="163">
        <f>IFERROR(__xludf.DUMMYFUNCTION("""COMPUTED_VALUE"""),23.0)</f>
        <v>23</v>
      </c>
      <c r="J1915" s="165">
        <f>IFERROR(__xludf.DUMMYFUNCTION("""COMPUTED_VALUE"""),-0.642847417261726)</f>
        <v>-0.6428474173</v>
      </c>
      <c r="K1915" s="165">
        <f>IFERROR(__xludf.DUMMYFUNCTION("""COMPUTED_VALUE"""),0.00286167812341498)</f>
        <v>0.002861678123</v>
      </c>
      <c r="L1915" s="165">
        <f>IFERROR(__xludf.DUMMYFUNCTION("""COMPUTED_VALUE"""),-0.645709095385141)</f>
        <v>-0.6457090954</v>
      </c>
      <c r="M1915" s="166">
        <f t="shared" si="2"/>
        <v>0.1738519648</v>
      </c>
      <c r="N1915" s="167">
        <f t="shared" si="3"/>
        <v>26.13888889</v>
      </c>
      <c r="O1915" s="163">
        <f t="shared" ref="O1915:Q1915" si="1919">rank(I1915,I:I)</f>
        <v>2765</v>
      </c>
      <c r="P1915" s="163">
        <f t="shared" si="1919"/>
        <v>2048</v>
      </c>
      <c r="Q1915" s="163">
        <f t="shared" si="1919"/>
        <v>1196</v>
      </c>
      <c r="R1915" s="163">
        <f>IFERROR(__xludf.DUMMYFUNCTION("RANK(M1915,filter(M:M,C:C=C1915))"),349.0)</f>
        <v>349</v>
      </c>
      <c r="S1915" s="161" t="b">
        <f t="shared" si="5"/>
        <v>0</v>
      </c>
      <c r="T1915" s="161" t="b">
        <f t="array" ref="T1915">index('Query Tool'!B:B,match(H1915,'Query Tool'!C:C,0))</f>
        <v>1</v>
      </c>
      <c r="U1915" s="161" t="b">
        <f t="array" ref="U1915">index('Query Tool'!B:B,match(C1915,'Query Tool'!C:C,0))</f>
        <v>0</v>
      </c>
      <c r="V1915" s="161" t="b">
        <f>F1915&gt;='Query Tool'!C$32</f>
        <v>0</v>
      </c>
      <c r="W1915" s="161" t="b">
        <f t="array" ref="W1915">index(Dropdowns!B:B,match(I1915,Dropdowns!A:A,0))</f>
        <v>1</v>
      </c>
      <c r="X1915" s="161" t="b">
        <f t="array" ref="X1915">index('Query Tool'!B:B,match(D1915,'Query Tool'!C:C,0))</f>
        <v>1</v>
      </c>
      <c r="Y1915" s="161" t="str">
        <f t="shared" si="6"/>
        <v>poythal01,2016-17</v>
      </c>
      <c r="Z1915" s="168">
        <f t="array" ref="Z1915">iferror(index(I:I,match($A1915&amp;","&amp;index('Year Conversion'!$A:$A,match($C1915,'Year Conversion'!$B:$B,0)),$Y:$Y,0))-I1915,"")</f>
        <v>1</v>
      </c>
      <c r="AA1915" s="168">
        <f t="array" ref="AA1915">iferror(index(J:J,match($A1915&amp;","&amp;index('Year Conversion'!$A:$A,match($C1915,'Year Conversion'!$B:$B,0)),$Y:$Y,0))-J1915,"")</f>
        <v>-0.992970872</v>
      </c>
      <c r="AB1915" s="168">
        <f t="array" ref="AB1915">iferror(index(K:K,match($A1915&amp;","&amp;index('Year Conversion'!$A:$A,match($C1915,'Year Conversion'!$B:$B,0)),$Y:$Y,0))-K1915,"")</f>
        <v>-0.5601372958</v>
      </c>
      <c r="AC1915" s="168" t="str">
        <f t="shared" si="7"/>
        <v>PHI,2016-17</v>
      </c>
    </row>
    <row r="1916">
      <c r="A1916" s="161" t="str">
        <f>IFERROR(__xludf.DUMMYFUNCTION("""COMPUTED_VALUE"""),"quartti01")</f>
        <v>quartti01</v>
      </c>
      <c r="B1916" s="161" t="str">
        <f>IFERROR(__xludf.DUMMYFUNCTION("""COMPUTED_VALUE"""),"Tim Quarterman")</f>
        <v>Tim Quarterman</v>
      </c>
      <c r="C1916" s="162" t="str">
        <f>IFERROR(__xludf.DUMMYFUNCTION("""COMPUTED_VALUE"""),"2016-17")</f>
        <v>2016-17</v>
      </c>
      <c r="D1916" s="163" t="str">
        <f>IFERROR(__xludf.DUMMYFUNCTION("""COMPUTED_VALUE"""),"POR")</f>
        <v>POR</v>
      </c>
      <c r="E1916" s="164" t="str">
        <f>IFERROR(__xludf.DUMMYFUNCTION("""COMPUTED_VALUE"""),"Secondary Ball Handler")</f>
        <v>Secondary Ball Handler</v>
      </c>
      <c r="F1916" s="164">
        <f>IFERROR(__xludf.DUMMYFUNCTION("""COMPUTED_VALUE"""),80.0416666666667)</f>
        <v>80.04166667</v>
      </c>
      <c r="G1916" s="163">
        <f>IFERROR(__xludf.DUMMYFUNCTION("""COMPUTED_VALUE"""),16.0)</f>
        <v>16</v>
      </c>
      <c r="H1916" s="163" t="str">
        <f>IFERROR(__xludf.DUMMYFUNCTION("""COMPUTED_VALUE"""),"SG")</f>
        <v>SG</v>
      </c>
      <c r="I1916" s="163">
        <f>IFERROR(__xludf.DUMMYFUNCTION("""COMPUTED_VALUE"""),22.0)</f>
        <v>22</v>
      </c>
      <c r="J1916" s="165">
        <f>IFERROR(__xludf.DUMMYFUNCTION("""COMPUTED_VALUE"""),-0.602817566959469)</f>
        <v>-0.602817567</v>
      </c>
      <c r="K1916" s="165">
        <f>IFERROR(__xludf.DUMMYFUNCTION("""COMPUTED_VALUE"""),-0.484207654520364)</f>
        <v>-0.4842076545</v>
      </c>
      <c r="L1916" s="165">
        <f>IFERROR(__xludf.DUMMYFUNCTION("""COMPUTED_VALUE"""),-0.118609912439105)</f>
        <v>-0.1186099124</v>
      </c>
      <c r="M1916" s="166">
        <f t="shared" si="2"/>
        <v>0.09088397006</v>
      </c>
      <c r="N1916" s="167">
        <f t="shared" si="3"/>
        <v>5.002604167</v>
      </c>
      <c r="O1916" s="163">
        <f t="shared" ref="O1916:Q1916" si="1920">rank(I1916,I:I)</f>
        <v>3178</v>
      </c>
      <c r="P1916" s="163">
        <f t="shared" si="1920"/>
        <v>2002</v>
      </c>
      <c r="Q1916" s="163">
        <f t="shared" si="1920"/>
        <v>2088</v>
      </c>
      <c r="R1916" s="163">
        <f>IFERROR(__xludf.DUMMYFUNCTION("RANK(M1916,filter(M:M,C:C=C1916))"),381.0)</f>
        <v>381</v>
      </c>
      <c r="S1916" s="161" t="b">
        <f t="shared" si="5"/>
        <v>0</v>
      </c>
      <c r="T1916" s="161" t="b">
        <f t="array" ref="T1916">index('Query Tool'!B:B,match(H1916,'Query Tool'!C:C,0))</f>
        <v>1</v>
      </c>
      <c r="U1916" s="161" t="b">
        <f t="array" ref="U1916">index('Query Tool'!B:B,match(C1916,'Query Tool'!C:C,0))</f>
        <v>0</v>
      </c>
      <c r="V1916" s="161" t="b">
        <f>F1916&gt;='Query Tool'!C$32</f>
        <v>0</v>
      </c>
      <c r="W1916" s="161" t="b">
        <f t="array" ref="W1916">index(Dropdowns!B:B,match(I1916,Dropdowns!A:A,0))</f>
        <v>1</v>
      </c>
      <c r="X1916" s="161" t="b">
        <f t="array" ref="X1916">index('Query Tool'!B:B,match(D1916,'Query Tool'!C:C,0))</f>
        <v>1</v>
      </c>
      <c r="Y1916" s="161" t="str">
        <f t="shared" si="6"/>
        <v>quartti01,2016-17</v>
      </c>
      <c r="Z1916" s="168">
        <f t="array" ref="Z1916">iferror(index(I:I,match($A1916&amp;","&amp;index('Year Conversion'!$A:$A,match($C1916,'Year Conversion'!$B:$B,0)),$Y:$Y,0))-I1916,"")</f>
        <v>1</v>
      </c>
      <c r="AA1916" s="168">
        <f t="array" ref="AA1916">iferror(index(J:J,match($A1916&amp;","&amp;index('Year Conversion'!$A:$A,match($C1916,'Year Conversion'!$B:$B,0)),$Y:$Y,0))-J1916,"")</f>
        <v>-0.3049341224</v>
      </c>
      <c r="AB1916" s="168">
        <f t="array" ref="AB1916">iferror(index(K:K,match($A1916&amp;","&amp;index('Year Conversion'!$A:$A,match($C1916,'Year Conversion'!$B:$B,0)),$Y:$Y,0))-K1916,"")</f>
        <v>0.2327111627</v>
      </c>
      <c r="AC1916" s="168" t="str">
        <f t="shared" si="7"/>
        <v>POR,2016-17</v>
      </c>
    </row>
    <row r="1917">
      <c r="A1917" s="161" t="str">
        <f>IFERROR(__xludf.DUMMYFUNCTION("""COMPUTED_VALUE"""),"taylois01")</f>
        <v>taylois01</v>
      </c>
      <c r="B1917" s="161" t="str">
        <f>IFERROR(__xludf.DUMMYFUNCTION("""COMPUTED_VALUE"""),"Isaiah Taylor")</f>
        <v>Isaiah Taylor</v>
      </c>
      <c r="C1917" s="162" t="str">
        <f>IFERROR(__xludf.DUMMYFUNCTION("""COMPUTED_VALUE"""),"2016-17")</f>
        <v>2016-17</v>
      </c>
      <c r="D1917" s="163" t="str">
        <f>IFERROR(__xludf.DUMMYFUNCTION("""COMPUTED_VALUE"""),"HOU")</f>
        <v>HOU</v>
      </c>
      <c r="E1917" s="164" t="str">
        <f>IFERROR(__xludf.DUMMYFUNCTION("""COMPUTED_VALUE"""),"Stationary Shooter")</f>
        <v>Stationary Shooter</v>
      </c>
      <c r="F1917" s="164">
        <f>IFERROR(__xludf.DUMMYFUNCTION("""COMPUTED_VALUE"""),52.0)</f>
        <v>52</v>
      </c>
      <c r="G1917" s="163">
        <f>IFERROR(__xludf.DUMMYFUNCTION("""COMPUTED_VALUE"""),4.0)</f>
        <v>4</v>
      </c>
      <c r="H1917" s="163" t="str">
        <f>IFERROR(__xludf.DUMMYFUNCTION("""COMPUTED_VALUE"""),"PG")</f>
        <v>PG</v>
      </c>
      <c r="I1917" s="163">
        <f>IFERROR(__xludf.DUMMYFUNCTION("""COMPUTED_VALUE"""),22.0)</f>
        <v>22</v>
      </c>
      <c r="J1917" s="165">
        <f>IFERROR(__xludf.DUMMYFUNCTION("""COMPUTED_VALUE"""),-1.30786708557602)</f>
        <v>-1.307867086</v>
      </c>
      <c r="K1917" s="165">
        <f>IFERROR(__xludf.DUMMYFUNCTION("""COMPUTED_VALUE"""),-0.653346813732833)</f>
        <v>-0.6533468137</v>
      </c>
      <c r="L1917" s="165">
        <f>IFERROR(__xludf.DUMMYFUNCTION("""COMPUTED_VALUE"""),-0.654520271843184)</f>
        <v>-0.6545202718</v>
      </c>
      <c r="M1917" s="166">
        <f t="shared" si="2"/>
        <v>0.03442427466</v>
      </c>
      <c r="N1917" s="167">
        <f t="shared" si="3"/>
        <v>13</v>
      </c>
      <c r="O1917" s="163">
        <f t="shared" ref="O1917:Q1917" si="1921">rank(I1917,I:I)</f>
        <v>3178</v>
      </c>
      <c r="P1917" s="163">
        <f t="shared" si="1921"/>
        <v>2868</v>
      </c>
      <c r="Q1917" s="163">
        <f t="shared" si="1921"/>
        <v>2337</v>
      </c>
      <c r="R1917" s="163">
        <f>IFERROR(__xludf.DUMMYFUNCTION("RANK(M1917,filter(M:M,C:C=C1917))"),419.0)</f>
        <v>419</v>
      </c>
      <c r="S1917" s="161" t="b">
        <f t="shared" si="5"/>
        <v>0</v>
      </c>
      <c r="T1917" s="161" t="b">
        <f t="array" ref="T1917">index('Query Tool'!B:B,match(H1917,'Query Tool'!C:C,0))</f>
        <v>1</v>
      </c>
      <c r="U1917" s="161" t="b">
        <f t="array" ref="U1917">index('Query Tool'!B:B,match(C1917,'Query Tool'!C:C,0))</f>
        <v>0</v>
      </c>
      <c r="V1917" s="161" t="b">
        <f>F1917&gt;='Query Tool'!C$32</f>
        <v>0</v>
      </c>
      <c r="W1917" s="161" t="b">
        <f t="array" ref="W1917">index(Dropdowns!B:B,match(I1917,Dropdowns!A:A,0))</f>
        <v>1</v>
      </c>
      <c r="X1917" s="161" t="b">
        <f t="array" ref="X1917">index('Query Tool'!B:B,match(D1917,'Query Tool'!C:C,0))</f>
        <v>1</v>
      </c>
      <c r="Y1917" s="161" t="str">
        <f t="shared" si="6"/>
        <v>taylois01,2016-17</v>
      </c>
      <c r="Z1917" s="168">
        <f t="array" ref="Z1917">iferror(index(I:I,match($A1917&amp;","&amp;index('Year Conversion'!$A:$A,match($C1917,'Year Conversion'!$B:$B,0)),$Y:$Y,0))-I1917,"")</f>
        <v>1</v>
      </c>
      <c r="AA1917" s="168">
        <f t="array" ref="AA1917">iferror(index(J:J,match($A1917&amp;","&amp;index('Year Conversion'!$A:$A,match($C1917,'Year Conversion'!$B:$B,0)),$Y:$Y,0))-J1917,"")</f>
        <v>-0.4850250689</v>
      </c>
      <c r="AB1917" s="168">
        <f t="array" ref="AB1917">iferror(index(K:K,match($A1917&amp;","&amp;index('Year Conversion'!$A:$A,match($C1917,'Year Conversion'!$B:$B,0)),$Y:$Y,0))-K1917,"")</f>
        <v>-0.1809955037</v>
      </c>
      <c r="AC1917" s="168" t="str">
        <f t="shared" si="7"/>
        <v>HOU,2016-17</v>
      </c>
    </row>
    <row r="1918">
      <c r="A1918" s="161" t="str">
        <f>IFERROR(__xludf.DUMMYFUNCTION("""COMPUTED_VALUE"""),"hernaju01")</f>
        <v>hernaju01</v>
      </c>
      <c r="B1918" s="161" t="str">
        <f>IFERROR(__xludf.DUMMYFUNCTION("""COMPUTED_VALUE"""),"Juancho Hernangomez")</f>
        <v>Juancho Hernangomez</v>
      </c>
      <c r="C1918" s="162" t="str">
        <f>IFERROR(__xludf.DUMMYFUNCTION("""COMPUTED_VALUE"""),"2016-17")</f>
        <v>2016-17</v>
      </c>
      <c r="D1918" s="163" t="str">
        <f>IFERROR(__xludf.DUMMYFUNCTION("""COMPUTED_VALUE"""),"DEN")</f>
        <v>DEN</v>
      </c>
      <c r="E1918" s="164" t="str">
        <f>IFERROR(__xludf.DUMMYFUNCTION("""COMPUTED_VALUE"""),"Athletic Finisher")</f>
        <v>Athletic Finisher</v>
      </c>
      <c r="F1918" s="164">
        <f>IFERROR(__xludf.DUMMYFUNCTION("""COMPUTED_VALUE"""),841.901666666667)</f>
        <v>841.9016667</v>
      </c>
      <c r="G1918" s="163">
        <f>IFERROR(__xludf.DUMMYFUNCTION("""COMPUTED_VALUE"""),62.0)</f>
        <v>62</v>
      </c>
      <c r="H1918" s="163" t="str">
        <f>IFERROR(__xludf.DUMMYFUNCTION("""COMPUTED_VALUE"""),"PF")</f>
        <v>PF</v>
      </c>
      <c r="I1918" s="163">
        <f>IFERROR(__xludf.DUMMYFUNCTION("""COMPUTED_VALUE"""),21.0)</f>
        <v>21</v>
      </c>
      <c r="J1918" s="165">
        <f>IFERROR(__xludf.DUMMYFUNCTION("""COMPUTED_VALUE"""),-1.37587722087929)</f>
        <v>-1.375877221</v>
      </c>
      <c r="K1918" s="165">
        <f>IFERROR(__xludf.DUMMYFUNCTION("""COMPUTED_VALUE"""),-0.903219817641671)</f>
        <v>-0.9032198176</v>
      </c>
      <c r="L1918" s="165">
        <f>IFERROR(__xludf.DUMMYFUNCTION("""COMPUTED_VALUE"""),-0.472657403237616)</f>
        <v>-0.4726574032</v>
      </c>
      <c r="M1918" s="166">
        <f t="shared" si="2"/>
        <v>0.5190289942</v>
      </c>
      <c r="N1918" s="167">
        <f t="shared" si="3"/>
        <v>13.57905914</v>
      </c>
      <c r="O1918" s="163">
        <f t="shared" ref="O1918:Q1918" si="1922">rank(I1918,I:I)</f>
        <v>3528</v>
      </c>
      <c r="P1918" s="163">
        <f t="shared" si="1922"/>
        <v>2932</v>
      </c>
      <c r="Q1918" s="163">
        <f t="shared" si="1922"/>
        <v>2694</v>
      </c>
      <c r="R1918" s="163">
        <f>IFERROR(__xludf.DUMMYFUNCTION("RANK(M1918,filter(M:M,C:C=C1918))"),279.0)</f>
        <v>279</v>
      </c>
      <c r="S1918" s="161" t="b">
        <f t="shared" si="5"/>
        <v>0</v>
      </c>
      <c r="T1918" s="161" t="b">
        <f t="array" ref="T1918">index('Query Tool'!B:B,match(H1918,'Query Tool'!C:C,0))</f>
        <v>1</v>
      </c>
      <c r="U1918" s="161" t="b">
        <f t="array" ref="U1918">index('Query Tool'!B:B,match(C1918,'Query Tool'!C:C,0))</f>
        <v>0</v>
      </c>
      <c r="V1918" s="161" t="b">
        <f>F1918&gt;='Query Tool'!C$32</f>
        <v>1</v>
      </c>
      <c r="W1918" s="161" t="b">
        <f t="array" ref="W1918">index(Dropdowns!B:B,match(I1918,Dropdowns!A:A,0))</f>
        <v>1</v>
      </c>
      <c r="X1918" s="161" t="b">
        <f t="array" ref="X1918">index('Query Tool'!B:B,match(D1918,'Query Tool'!C:C,0))</f>
        <v>1</v>
      </c>
      <c r="Y1918" s="161" t="str">
        <f t="shared" si="6"/>
        <v>hernaju01,2016-17</v>
      </c>
      <c r="Z1918" s="168">
        <f t="array" ref="Z1918">iferror(index(I:I,match($A1918&amp;","&amp;index('Year Conversion'!$A:$A,match($C1918,'Year Conversion'!$B:$B,0)),$Y:$Y,0))-I1918,"")</f>
        <v>1</v>
      </c>
      <c r="AA1918" s="168">
        <f t="array" ref="AA1918">iferror(index(J:J,match($A1918&amp;","&amp;index('Year Conversion'!$A:$A,match($C1918,'Year Conversion'!$B:$B,0)),$Y:$Y,0))-J1918,"")</f>
        <v>0.3085861878</v>
      </c>
      <c r="AB1918" s="168">
        <f t="array" ref="AB1918">iferror(index(K:K,match($A1918&amp;","&amp;index('Year Conversion'!$A:$A,match($C1918,'Year Conversion'!$B:$B,0)),$Y:$Y,0))-K1918,"")</f>
        <v>0.1879053072</v>
      </c>
      <c r="AC1918" s="168" t="str">
        <f t="shared" si="7"/>
        <v>DEN,2016-17</v>
      </c>
    </row>
    <row r="1919">
      <c r="A1919" s="161" t="str">
        <f>IFERROR(__xludf.DUMMYFUNCTION("""COMPUTED_VALUE"""),"zubaciv01")</f>
        <v>zubaciv01</v>
      </c>
      <c r="B1919" s="161" t="str">
        <f>IFERROR(__xludf.DUMMYFUNCTION("""COMPUTED_VALUE"""),"Ivica Zubac")</f>
        <v>Ivica Zubac</v>
      </c>
      <c r="C1919" s="162" t="str">
        <f>IFERROR(__xludf.DUMMYFUNCTION("""COMPUTED_VALUE"""),"2016-17")</f>
        <v>2016-17</v>
      </c>
      <c r="D1919" s="163" t="str">
        <f>IFERROR(__xludf.DUMMYFUNCTION("""COMPUTED_VALUE"""),"LAL")</f>
        <v>LAL</v>
      </c>
      <c r="E1919" s="164" t="str">
        <f>IFERROR(__xludf.DUMMYFUNCTION("""COMPUTED_VALUE"""),"Roll + Cut Big")</f>
        <v>Roll + Cut Big</v>
      </c>
      <c r="F1919" s="164">
        <f>IFERROR(__xludf.DUMMYFUNCTION("""COMPUTED_VALUE"""),608.515)</f>
        <v>608.515</v>
      </c>
      <c r="G1919" s="163">
        <f>IFERROR(__xludf.DUMMYFUNCTION("""COMPUTED_VALUE"""),38.0)</f>
        <v>38</v>
      </c>
      <c r="H1919" s="163" t="str">
        <f>IFERROR(__xludf.DUMMYFUNCTION("""COMPUTED_VALUE"""),"C")</f>
        <v>C</v>
      </c>
      <c r="I1919" s="163">
        <f>IFERROR(__xludf.DUMMYFUNCTION("""COMPUTED_VALUE"""),19.0)</f>
        <v>19</v>
      </c>
      <c r="J1919" s="165">
        <f>IFERROR(__xludf.DUMMYFUNCTION("""COMPUTED_VALUE"""),-0.841164555625925)</f>
        <v>-0.8411645556</v>
      </c>
      <c r="K1919" s="165">
        <f>IFERROR(__xludf.DUMMYFUNCTION("""COMPUTED_VALUE"""),-1.03906120836625)</f>
        <v>-1.039061208</v>
      </c>
      <c r="L1919" s="165">
        <f>IFERROR(__xludf.DUMMYFUNCTION("""COMPUTED_VALUE"""),0.197896652740328)</f>
        <v>0.1978966527</v>
      </c>
      <c r="M1919" s="166">
        <f t="shared" si="2"/>
        <v>0.5933744507</v>
      </c>
      <c r="N1919" s="167">
        <f t="shared" si="3"/>
        <v>16.01355263</v>
      </c>
      <c r="O1919" s="163">
        <f t="shared" ref="O1919:Q1919" si="1923">rank(I1919,I:I)</f>
        <v>3945</v>
      </c>
      <c r="P1919" s="163">
        <f t="shared" si="1923"/>
        <v>2336</v>
      </c>
      <c r="Q1919" s="163">
        <f t="shared" si="1923"/>
        <v>2855</v>
      </c>
      <c r="R1919" s="163">
        <f>IFERROR(__xludf.DUMMYFUNCTION("RANK(M1919,filter(M:M,C:C=C1919))"),268.0)</f>
        <v>268</v>
      </c>
      <c r="S1919" s="161" t="b">
        <f t="shared" si="5"/>
        <v>0</v>
      </c>
      <c r="T1919" s="161" t="b">
        <f t="array" ref="T1919">index('Query Tool'!B:B,match(H1919,'Query Tool'!C:C,0))</f>
        <v>1</v>
      </c>
      <c r="U1919" s="161" t="b">
        <f t="array" ref="U1919">index('Query Tool'!B:B,match(C1919,'Query Tool'!C:C,0))</f>
        <v>0</v>
      </c>
      <c r="V1919" s="161" t="b">
        <f>F1919&gt;='Query Tool'!C$32</f>
        <v>1</v>
      </c>
      <c r="W1919" s="161" t="b">
        <f t="array" ref="W1919">index(Dropdowns!B:B,match(I1919,Dropdowns!A:A,0))</f>
        <v>1</v>
      </c>
      <c r="X1919" s="161" t="b">
        <f t="array" ref="X1919">index('Query Tool'!B:B,match(D1919,'Query Tool'!C:C,0))</f>
        <v>1</v>
      </c>
      <c r="Y1919" s="161" t="str">
        <f t="shared" si="6"/>
        <v>zubaciv01,2016-17</v>
      </c>
      <c r="Z1919" s="168">
        <f t="array" ref="Z1919">iferror(index(I:I,match($A1919&amp;","&amp;index('Year Conversion'!$A:$A,match($C1919,'Year Conversion'!$B:$B,0)),$Y:$Y,0))-I1919,"")</f>
        <v>1</v>
      </c>
      <c r="AA1919" s="168">
        <f t="array" ref="AA1919">iferror(index(J:J,match($A1919&amp;","&amp;index('Year Conversion'!$A:$A,match($C1919,'Year Conversion'!$B:$B,0)),$Y:$Y,0))-J1919,"")</f>
        <v>0.08920703756</v>
      </c>
      <c r="AB1919" s="168">
        <f t="array" ref="AB1919">iferror(index(K:K,match($A1919&amp;","&amp;index('Year Conversion'!$A:$A,match($C1919,'Year Conversion'!$B:$B,0)),$Y:$Y,0))-K1919,"")</f>
        <v>-0.3547500976</v>
      </c>
      <c r="AC1919" s="168" t="str">
        <f t="shared" si="7"/>
        <v>LAL,2016-17</v>
      </c>
    </row>
    <row r="1920">
      <c r="A1920" s="161" t="str">
        <f>IFERROR(__xludf.DUMMYFUNCTION("""COMPUTED_VALUE"""),"finnedo01")</f>
        <v>finnedo01</v>
      </c>
      <c r="B1920" s="161" t="str">
        <f>IFERROR(__xludf.DUMMYFUNCTION("""COMPUTED_VALUE"""),"Dorian Finney-Smith")</f>
        <v>Dorian Finney-Smith</v>
      </c>
      <c r="C1920" s="162" t="str">
        <f>IFERROR(__xludf.DUMMYFUNCTION("""COMPUTED_VALUE"""),"2016-17")</f>
        <v>2016-17</v>
      </c>
      <c r="D1920" s="163" t="str">
        <f>IFERROR(__xludf.DUMMYFUNCTION("""COMPUTED_VALUE"""),"DAL")</f>
        <v>DAL</v>
      </c>
      <c r="E1920" s="164" t="str">
        <f>IFERROR(__xludf.DUMMYFUNCTION("""COMPUTED_VALUE"""),"Stationary Shooter")</f>
        <v>Stationary Shooter</v>
      </c>
      <c r="F1920" s="164">
        <f>IFERROR(__xludf.DUMMYFUNCTION("""COMPUTED_VALUE"""),1641.84166666667)</f>
        <v>1641.841667</v>
      </c>
      <c r="G1920" s="163">
        <f>IFERROR(__xludf.DUMMYFUNCTION("""COMPUTED_VALUE"""),81.0)</f>
        <v>81</v>
      </c>
      <c r="H1920" s="163" t="str">
        <f>IFERROR(__xludf.DUMMYFUNCTION("""COMPUTED_VALUE"""),"PF")</f>
        <v>PF</v>
      </c>
      <c r="I1920" s="163">
        <f>IFERROR(__xludf.DUMMYFUNCTION("""COMPUTED_VALUE"""),23.0)</f>
        <v>23</v>
      </c>
      <c r="J1920" s="165">
        <f>IFERROR(__xludf.DUMMYFUNCTION("""COMPUTED_VALUE"""),-1.54015554433979)</f>
        <v>-1.540155544</v>
      </c>
      <c r="K1920" s="165">
        <f>IFERROR(__xludf.DUMMYFUNCTION("""COMPUTED_VALUE"""),-1.62195467583991)</f>
        <v>-1.621954676</v>
      </c>
      <c r="L1920" s="165">
        <f>IFERROR(__xludf.DUMMYFUNCTION("""COMPUTED_VALUE"""),0.081799131500117)</f>
        <v>0.0817991315</v>
      </c>
      <c r="M1920" s="166">
        <f t="shared" si="2"/>
        <v>0.8319501983</v>
      </c>
      <c r="N1920" s="167">
        <f t="shared" si="3"/>
        <v>20.26965021</v>
      </c>
      <c r="O1920" s="163">
        <f t="shared" ref="O1920:Q1920" si="1924">rank(I1920,I:I)</f>
        <v>2765</v>
      </c>
      <c r="P1920" s="163">
        <f t="shared" si="1924"/>
        <v>3087</v>
      </c>
      <c r="Q1920" s="163">
        <f t="shared" si="1924"/>
        <v>3460</v>
      </c>
      <c r="R1920" s="163">
        <f>IFERROR(__xludf.DUMMYFUNCTION("RANK(M1920,filter(M:M,C:C=C1920))"),242.0)</f>
        <v>242</v>
      </c>
      <c r="S1920" s="161" t="b">
        <f t="shared" si="5"/>
        <v>0</v>
      </c>
      <c r="T1920" s="161" t="b">
        <f t="array" ref="T1920">index('Query Tool'!B:B,match(H1920,'Query Tool'!C:C,0))</f>
        <v>1</v>
      </c>
      <c r="U1920" s="161" t="b">
        <f t="array" ref="U1920">index('Query Tool'!B:B,match(C1920,'Query Tool'!C:C,0))</f>
        <v>0</v>
      </c>
      <c r="V1920" s="161" t="b">
        <f>F1920&gt;='Query Tool'!C$32</f>
        <v>1</v>
      </c>
      <c r="W1920" s="161" t="b">
        <f t="array" ref="W1920">index(Dropdowns!B:B,match(I1920,Dropdowns!A:A,0))</f>
        <v>1</v>
      </c>
      <c r="X1920" s="161" t="b">
        <f t="array" ref="X1920">index('Query Tool'!B:B,match(D1920,'Query Tool'!C:C,0))</f>
        <v>1</v>
      </c>
      <c r="Y1920" s="161" t="str">
        <f t="shared" si="6"/>
        <v>finnedo01,2016-17</v>
      </c>
      <c r="Z1920" s="168">
        <f t="array" ref="Z1920">iferror(index(I:I,match($A1920&amp;","&amp;index('Year Conversion'!$A:$A,match($C1920,'Year Conversion'!$B:$B,0)),$Y:$Y,0))-I1920,"")</f>
        <v>1</v>
      </c>
      <c r="AA1920" s="168">
        <f t="array" ref="AA1920">iferror(index(J:J,match($A1920&amp;","&amp;index('Year Conversion'!$A:$A,match($C1920,'Year Conversion'!$B:$B,0)),$Y:$Y,0))-J1920,"")</f>
        <v>-0.05170742776</v>
      </c>
      <c r="AB1920" s="168">
        <f t="array" ref="AB1920">iferror(index(K:K,match($A1920&amp;","&amp;index('Year Conversion'!$A:$A,match($C1920,'Year Conversion'!$B:$B,0)),$Y:$Y,0))-K1920,"")</f>
        <v>0.04864865078</v>
      </c>
      <c r="AC1920" s="168" t="str">
        <f t="shared" si="7"/>
        <v>DAL,2016-17</v>
      </c>
    </row>
    <row r="1921">
      <c r="A1921" s="161" t="str">
        <f>IFERROR(__xludf.DUMMYFUNCTION("""COMPUTED_VALUE"""),"vanvlfr01")</f>
        <v>vanvlfr01</v>
      </c>
      <c r="B1921" s="161" t="str">
        <f>IFERROR(__xludf.DUMMYFUNCTION("""COMPUTED_VALUE"""),"Fred VanVleet")</f>
        <v>Fred VanVleet</v>
      </c>
      <c r="C1921" s="162" t="str">
        <f>IFERROR(__xludf.DUMMYFUNCTION("""COMPUTED_VALUE"""),"2016-17")</f>
        <v>2016-17</v>
      </c>
      <c r="D1921" s="163" t="str">
        <f>IFERROR(__xludf.DUMMYFUNCTION("""COMPUTED_VALUE"""),"TOR")</f>
        <v>TOR</v>
      </c>
      <c r="E1921" s="164" t="str">
        <f>IFERROR(__xludf.DUMMYFUNCTION("""COMPUTED_VALUE"""),"Slasher")</f>
        <v>Slasher</v>
      </c>
      <c r="F1921" s="164">
        <f>IFERROR(__xludf.DUMMYFUNCTION("""COMPUTED_VALUE"""),293.81)</f>
        <v>293.81</v>
      </c>
      <c r="G1921" s="163">
        <f>IFERROR(__xludf.DUMMYFUNCTION("""COMPUTED_VALUE"""),37.0)</f>
        <v>37</v>
      </c>
      <c r="H1921" s="163" t="str">
        <f>IFERROR(__xludf.DUMMYFUNCTION("""COMPUTED_VALUE"""),"PG")</f>
        <v>PG</v>
      </c>
      <c r="I1921" s="163">
        <f>IFERROR(__xludf.DUMMYFUNCTION("""COMPUTED_VALUE"""),22.0)</f>
        <v>22</v>
      </c>
      <c r="J1921" s="165">
        <f>IFERROR(__xludf.DUMMYFUNCTION("""COMPUTED_VALUE"""),-0.977954972135695)</f>
        <v>-0.9779549721</v>
      </c>
      <c r="K1921" s="165">
        <f>IFERROR(__xludf.DUMMYFUNCTION("""COMPUTED_VALUE"""),-1.06207466018941)</f>
        <v>-1.06207466</v>
      </c>
      <c r="L1921" s="165">
        <f>IFERROR(__xludf.DUMMYFUNCTION("""COMPUTED_VALUE"""),0.0841196880537133)</f>
        <v>0.08411968805</v>
      </c>
      <c r="M1921" s="166">
        <f t="shared" si="2"/>
        <v>0.2594970992</v>
      </c>
      <c r="N1921" s="167">
        <f t="shared" si="3"/>
        <v>7.940810811</v>
      </c>
      <c r="O1921" s="163">
        <f t="shared" ref="O1921:Q1921" si="1925">rank(I1921,I:I)</f>
        <v>3178</v>
      </c>
      <c r="P1921" s="163">
        <f t="shared" si="1925"/>
        <v>2479</v>
      </c>
      <c r="Q1921" s="163">
        <f t="shared" si="1925"/>
        <v>2885</v>
      </c>
      <c r="R1921" s="163">
        <f>IFERROR(__xludf.DUMMYFUNCTION("RANK(M1921,filter(M:M,C:C=C1921))"),325.0)</f>
        <v>325</v>
      </c>
      <c r="S1921" s="161" t="b">
        <f t="shared" si="5"/>
        <v>0</v>
      </c>
      <c r="T1921" s="161" t="b">
        <f t="array" ref="T1921">index('Query Tool'!B:B,match(H1921,'Query Tool'!C:C,0))</f>
        <v>1</v>
      </c>
      <c r="U1921" s="161" t="b">
        <f t="array" ref="U1921">index('Query Tool'!B:B,match(C1921,'Query Tool'!C:C,0))</f>
        <v>0</v>
      </c>
      <c r="V1921" s="161" t="b">
        <f>F1921&gt;='Query Tool'!C$32</f>
        <v>0</v>
      </c>
      <c r="W1921" s="161" t="b">
        <f t="array" ref="W1921">index(Dropdowns!B:B,match(I1921,Dropdowns!A:A,0))</f>
        <v>1</v>
      </c>
      <c r="X1921" s="161" t="b">
        <f t="array" ref="X1921">index('Query Tool'!B:B,match(D1921,'Query Tool'!C:C,0))</f>
        <v>1</v>
      </c>
      <c r="Y1921" s="161" t="str">
        <f t="shared" si="6"/>
        <v>vanvlfr01,2016-17</v>
      </c>
      <c r="Z1921" s="168">
        <f t="array" ref="Z1921">iferror(index(I:I,match($A1921&amp;","&amp;index('Year Conversion'!$A:$A,match($C1921,'Year Conversion'!$B:$B,0)),$Y:$Y,0))-I1921,"")</f>
        <v>1</v>
      </c>
      <c r="AA1921" s="168">
        <f t="array" ref="AA1921">iferror(index(J:J,match($A1921&amp;","&amp;index('Year Conversion'!$A:$A,match($C1921,'Year Conversion'!$B:$B,0)),$Y:$Y,0))-J1921,"")</f>
        <v>3.322899241</v>
      </c>
      <c r="AB1921" s="168">
        <f t="array" ref="AB1921">iferror(index(K:K,match($A1921&amp;","&amp;index('Year Conversion'!$A:$A,match($C1921,'Year Conversion'!$B:$B,0)),$Y:$Y,0))-K1921,"")</f>
        <v>3.049397452</v>
      </c>
      <c r="AC1921" s="168" t="str">
        <f t="shared" si="7"/>
        <v>TOR,2016-17</v>
      </c>
    </row>
    <row r="1922">
      <c r="A1922" s="161" t="str">
        <f>IFERROR(__xludf.DUMMYFUNCTION("""COMPUTED_VALUE"""),"papagge01")</f>
        <v>papagge01</v>
      </c>
      <c r="B1922" s="161" t="str">
        <f>IFERROR(__xludf.DUMMYFUNCTION("""COMPUTED_VALUE"""),"Georgios Papagiannis")</f>
        <v>Georgios Papagiannis</v>
      </c>
      <c r="C1922" s="162" t="str">
        <f>IFERROR(__xludf.DUMMYFUNCTION("""COMPUTED_VALUE"""),"2016-17")</f>
        <v>2016-17</v>
      </c>
      <c r="D1922" s="163" t="str">
        <f>IFERROR(__xludf.DUMMYFUNCTION("""COMPUTED_VALUE"""),"SAC")</f>
        <v>SAC</v>
      </c>
      <c r="E1922" s="164" t="str">
        <f>IFERROR(__xludf.DUMMYFUNCTION("""COMPUTED_VALUE"""),"Post Scorer")</f>
        <v>Post Scorer</v>
      </c>
      <c r="F1922" s="164">
        <f>IFERROR(__xludf.DUMMYFUNCTION("""COMPUTED_VALUE"""),355.016666666667)</f>
        <v>355.0166667</v>
      </c>
      <c r="G1922" s="163">
        <f>IFERROR(__xludf.DUMMYFUNCTION("""COMPUTED_VALUE"""),22.0)</f>
        <v>22</v>
      </c>
      <c r="H1922" s="163" t="str">
        <f>IFERROR(__xludf.DUMMYFUNCTION("""COMPUTED_VALUE"""),"C")</f>
        <v>C</v>
      </c>
      <c r="I1922" s="163">
        <f>IFERROR(__xludf.DUMMYFUNCTION("""COMPUTED_VALUE"""),19.0)</f>
        <v>19</v>
      </c>
      <c r="J1922" s="165">
        <f>IFERROR(__xludf.DUMMYFUNCTION("""COMPUTED_VALUE"""),-1.70175184022016)</f>
        <v>-1.70175184</v>
      </c>
      <c r="K1922" s="165">
        <f>IFERROR(__xludf.DUMMYFUNCTION("""COMPUTED_VALUE"""),-1.95504660442676)</f>
        <v>-1.955046604</v>
      </c>
      <c r="L1922" s="165">
        <f>IFERROR(__xludf.DUMMYFUNCTION("""COMPUTED_VALUE"""),0.253294764206607)</f>
        <v>0.2532947642</v>
      </c>
      <c r="M1922" s="166">
        <f t="shared" si="2"/>
        <v>0.1416361699</v>
      </c>
      <c r="N1922" s="167">
        <f t="shared" si="3"/>
        <v>16.13712121</v>
      </c>
      <c r="O1922" s="163">
        <f t="shared" ref="O1922:Q1922" si="1926">rank(I1922,I:I)</f>
        <v>3945</v>
      </c>
      <c r="P1922" s="163">
        <f t="shared" si="1926"/>
        <v>3242</v>
      </c>
      <c r="Q1922" s="163">
        <f t="shared" si="1926"/>
        <v>3690</v>
      </c>
      <c r="R1922" s="163">
        <f>IFERROR(__xludf.DUMMYFUNCTION("RANK(M1922,filter(M:M,C:C=C1922))"),360.0)</f>
        <v>360</v>
      </c>
      <c r="S1922" s="161" t="b">
        <f t="shared" si="5"/>
        <v>0</v>
      </c>
      <c r="T1922" s="161" t="b">
        <f t="array" ref="T1922">index('Query Tool'!B:B,match(H1922,'Query Tool'!C:C,0))</f>
        <v>1</v>
      </c>
      <c r="U1922" s="161" t="b">
        <f t="array" ref="U1922">index('Query Tool'!B:B,match(C1922,'Query Tool'!C:C,0))</f>
        <v>0</v>
      </c>
      <c r="V1922" s="161" t="b">
        <f>F1922&gt;='Query Tool'!C$32</f>
        <v>0</v>
      </c>
      <c r="W1922" s="161" t="b">
        <f t="array" ref="W1922">index(Dropdowns!B:B,match(I1922,Dropdowns!A:A,0))</f>
        <v>1</v>
      </c>
      <c r="X1922" s="161" t="b">
        <f t="array" ref="X1922">index('Query Tool'!B:B,match(D1922,'Query Tool'!C:C,0))</f>
        <v>1</v>
      </c>
      <c r="Y1922" s="161" t="str">
        <f t="shared" si="6"/>
        <v>papagge01,2016-17</v>
      </c>
      <c r="Z1922" s="168">
        <f t="array" ref="Z1922">iferror(index(I:I,match($A1922&amp;","&amp;index('Year Conversion'!$A:$A,match($C1922,'Year Conversion'!$B:$B,0)),$Y:$Y,0))-I1922,"")</f>
        <v>1</v>
      </c>
      <c r="AA1922" s="168">
        <f t="array" ref="AA1922">iferror(index(J:J,match($A1922&amp;","&amp;index('Year Conversion'!$A:$A,match($C1922,'Year Conversion'!$B:$B,0)),$Y:$Y,0))-J1922,"")</f>
        <v>1.688165999</v>
      </c>
      <c r="AB1922" s="168">
        <f t="array" ref="AB1922">iferror(index(K:K,match($A1922&amp;","&amp;index('Year Conversion'!$A:$A,match($C1922,'Year Conversion'!$B:$B,0)),$Y:$Y,0))-K1922,"")</f>
        <v>1.620326117</v>
      </c>
      <c r="AC1922" s="168" t="str">
        <f t="shared" si="7"/>
        <v>SAC,2016-17</v>
      </c>
    </row>
    <row r="1923">
      <c r="A1923" s="161" t="str">
        <f>IFERROR(__xludf.DUMMYFUNCTION("""COMPUTED_VALUE"""),"zipsepa01")</f>
        <v>zipsepa01</v>
      </c>
      <c r="B1923" s="161" t="str">
        <f>IFERROR(__xludf.DUMMYFUNCTION("""COMPUTED_VALUE"""),"Paul Zipser")</f>
        <v>Paul Zipser</v>
      </c>
      <c r="C1923" s="162" t="str">
        <f>IFERROR(__xludf.DUMMYFUNCTION("""COMPUTED_VALUE"""),"2016-17")</f>
        <v>2016-17</v>
      </c>
      <c r="D1923" s="163" t="str">
        <f>IFERROR(__xludf.DUMMYFUNCTION("""COMPUTED_VALUE"""),"CHI")</f>
        <v>CHI</v>
      </c>
      <c r="E1923" s="164" t="str">
        <f>IFERROR(__xludf.DUMMYFUNCTION("""COMPUTED_VALUE"""),"Stationary Shooter")</f>
        <v>Stationary Shooter</v>
      </c>
      <c r="F1923" s="164">
        <f>IFERROR(__xludf.DUMMYFUNCTION("""COMPUTED_VALUE"""),843.38)</f>
        <v>843.38</v>
      </c>
      <c r="G1923" s="163">
        <f>IFERROR(__xludf.DUMMYFUNCTION("""COMPUTED_VALUE"""),44.0)</f>
        <v>44</v>
      </c>
      <c r="H1923" s="163" t="str">
        <f>IFERROR(__xludf.DUMMYFUNCTION("""COMPUTED_VALUE"""),"SF")</f>
        <v>SF</v>
      </c>
      <c r="I1923" s="163">
        <f>IFERROR(__xludf.DUMMYFUNCTION("""COMPUTED_VALUE"""),22.0)</f>
        <v>22</v>
      </c>
      <c r="J1923" s="165">
        <f>IFERROR(__xludf.DUMMYFUNCTION("""COMPUTED_VALUE"""),-2.53235691138946)</f>
        <v>-2.532356911</v>
      </c>
      <c r="K1923" s="165">
        <f>IFERROR(__xludf.DUMMYFUNCTION("""COMPUTED_VALUE"""),-2.51727507963984)</f>
        <v>-2.51727508</v>
      </c>
      <c r="L1923" s="165">
        <f>IFERROR(__xludf.DUMMYFUNCTION("""COMPUTED_VALUE"""),-0.0150818317496221)</f>
        <v>-0.01508183175</v>
      </c>
      <c r="M1923" s="166">
        <f t="shared" si="2"/>
        <v>-0.1269906994</v>
      </c>
      <c r="N1923" s="167">
        <f t="shared" si="3"/>
        <v>19.16772727</v>
      </c>
      <c r="O1923" s="163">
        <f t="shared" ref="O1923:Q1923" si="1927">rank(I1923,I:I)</f>
        <v>3178</v>
      </c>
      <c r="P1923" s="163">
        <f t="shared" si="1927"/>
        <v>3768</v>
      </c>
      <c r="Q1923" s="163">
        <f t="shared" si="1927"/>
        <v>3891</v>
      </c>
      <c r="R1923" s="163">
        <f>IFERROR(__xludf.DUMMYFUNCTION("RANK(M1923,filter(M:M,C:C=C1923))"),460.0)</f>
        <v>460</v>
      </c>
      <c r="S1923" s="161" t="b">
        <f t="shared" si="5"/>
        <v>0</v>
      </c>
      <c r="T1923" s="161" t="b">
        <f t="array" ref="T1923">index('Query Tool'!B:B,match(H1923,'Query Tool'!C:C,0))</f>
        <v>1</v>
      </c>
      <c r="U1923" s="161" t="b">
        <f t="array" ref="U1923">index('Query Tool'!B:B,match(C1923,'Query Tool'!C:C,0))</f>
        <v>0</v>
      </c>
      <c r="V1923" s="161" t="b">
        <f>F1923&gt;='Query Tool'!C$32</f>
        <v>1</v>
      </c>
      <c r="W1923" s="161" t="b">
        <f t="array" ref="W1923">index(Dropdowns!B:B,match(I1923,Dropdowns!A:A,0))</f>
        <v>1</v>
      </c>
      <c r="X1923" s="161" t="b">
        <f t="array" ref="X1923">index('Query Tool'!B:B,match(D1923,'Query Tool'!C:C,0))</f>
        <v>1</v>
      </c>
      <c r="Y1923" s="161" t="str">
        <f t="shared" si="6"/>
        <v>zipsepa01,2016-17</v>
      </c>
      <c r="Z1923" s="168">
        <f t="array" ref="Z1923">iferror(index(I:I,match($A1923&amp;","&amp;index('Year Conversion'!$A:$A,match($C1923,'Year Conversion'!$B:$B,0)),$Y:$Y,0))-I1923,"")</f>
        <v>1</v>
      </c>
      <c r="AA1923" s="168">
        <f t="array" ref="AA1923">iferror(index(J:J,match($A1923&amp;","&amp;index('Year Conversion'!$A:$A,match($C1923,'Year Conversion'!$B:$B,0)),$Y:$Y,0))-J1923,"")</f>
        <v>-1.006378077</v>
      </c>
      <c r="AB1923" s="168">
        <f t="array" ref="AB1923">iferror(index(K:K,match($A1923&amp;","&amp;index('Year Conversion'!$A:$A,match($C1923,'Year Conversion'!$B:$B,0)),$Y:$Y,0))-K1923,"")</f>
        <v>-0.8037599357</v>
      </c>
      <c r="AC1923" s="168" t="str">
        <f t="shared" si="7"/>
        <v>CHI,2016-17</v>
      </c>
    </row>
    <row r="1924">
      <c r="A1924" s="161" t="str">
        <f>IFERROR(__xludf.DUMMYFUNCTION("""COMPUTED_VALUE"""),"longsh01")</f>
        <v>longsh01</v>
      </c>
      <c r="B1924" s="161" t="str">
        <f>IFERROR(__xludf.DUMMYFUNCTION("""COMPUTED_VALUE"""),"Shawn Long")</f>
        <v>Shawn Long</v>
      </c>
      <c r="C1924" s="162" t="str">
        <f>IFERROR(__xludf.DUMMYFUNCTION("""COMPUTED_VALUE"""),"2016-17")</f>
        <v>2016-17</v>
      </c>
      <c r="D1924" s="163" t="str">
        <f>IFERROR(__xludf.DUMMYFUNCTION("""COMPUTED_VALUE"""),"PHI")</f>
        <v>PHI</v>
      </c>
      <c r="E1924" s="164" t="str">
        <f>IFERROR(__xludf.DUMMYFUNCTION("""COMPUTED_VALUE"""),"Roll + Cut Big")</f>
        <v>Roll + Cut Big</v>
      </c>
      <c r="F1924" s="164">
        <f>IFERROR(__xludf.DUMMYFUNCTION("""COMPUTED_VALUE"""),233.615)</f>
        <v>233.615</v>
      </c>
      <c r="G1924" s="163">
        <f>IFERROR(__xludf.DUMMYFUNCTION("""COMPUTED_VALUE"""),18.0)</f>
        <v>18</v>
      </c>
      <c r="H1924" s="163" t="str">
        <f>IFERROR(__xludf.DUMMYFUNCTION("""COMPUTED_VALUE"""),"C")</f>
        <v>C</v>
      </c>
      <c r="I1924" s="163">
        <f>IFERROR(__xludf.DUMMYFUNCTION("""COMPUTED_VALUE"""),24.0)</f>
        <v>24</v>
      </c>
      <c r="J1924" s="165">
        <f>IFERROR(__xludf.DUMMYFUNCTION("""COMPUTED_VALUE"""),1.15809435042497)</f>
        <v>1.15809435</v>
      </c>
      <c r="K1924" s="165">
        <f>IFERROR(__xludf.DUMMYFUNCTION("""COMPUTED_VALUE"""),1.53961845200606)</f>
        <v>1.539618452</v>
      </c>
      <c r="L1924" s="165">
        <f>IFERROR(__xludf.DUMMYFUNCTION("""COMPUTED_VALUE"""),-0.38152410158109)</f>
        <v>-0.3815241016</v>
      </c>
      <c r="M1924" s="166">
        <f t="shared" si="2"/>
        <v>0.5422182248</v>
      </c>
      <c r="N1924" s="167">
        <f t="shared" si="3"/>
        <v>12.97861111</v>
      </c>
      <c r="O1924" s="163">
        <f t="shared" ref="O1924:Q1924" si="1928">rank(I1924,I:I)</f>
        <v>2361</v>
      </c>
      <c r="P1924" s="163">
        <f t="shared" si="1928"/>
        <v>588</v>
      </c>
      <c r="Q1924" s="163">
        <f t="shared" si="1928"/>
        <v>308</v>
      </c>
      <c r="R1924" s="163">
        <f>IFERROR(__xludf.DUMMYFUNCTION("RANK(M1924,filter(M:M,C:C=C1924))"),276.0)</f>
        <v>276</v>
      </c>
      <c r="S1924" s="161" t="b">
        <f t="shared" si="5"/>
        <v>0</v>
      </c>
      <c r="T1924" s="161" t="b">
        <f t="array" ref="T1924">index('Query Tool'!B:B,match(H1924,'Query Tool'!C:C,0))</f>
        <v>1</v>
      </c>
      <c r="U1924" s="161" t="b">
        <f t="array" ref="U1924">index('Query Tool'!B:B,match(C1924,'Query Tool'!C:C,0))</f>
        <v>0</v>
      </c>
      <c r="V1924" s="161" t="b">
        <f>F1924&gt;='Query Tool'!C$32</f>
        <v>0</v>
      </c>
      <c r="W1924" s="161" t="b">
        <f t="array" ref="W1924">index(Dropdowns!B:B,match(I1924,Dropdowns!A:A,0))</f>
        <v>1</v>
      </c>
      <c r="X1924" s="161" t="b">
        <f t="array" ref="X1924">index('Query Tool'!B:B,match(D1924,'Query Tool'!C:C,0))</f>
        <v>1</v>
      </c>
      <c r="Y1924" s="161" t="str">
        <f t="shared" si="6"/>
        <v>longsh01,2016-17</v>
      </c>
      <c r="Z1924" s="168" t="str">
        <f t="array" ref="Z1924">iferror(index(I:I,match($A1924&amp;","&amp;index('Year Conversion'!$A:$A,match($C1924,'Year Conversion'!$B:$B,0)),$Y:$Y,0))-I1924,"")</f>
        <v/>
      </c>
      <c r="AA1924" s="168" t="str">
        <f t="array" ref="AA1924">iferror(index(J:J,match($A1924&amp;","&amp;index('Year Conversion'!$A:$A,match($C1924,'Year Conversion'!$B:$B,0)),$Y:$Y,0))-J1924,"")</f>
        <v/>
      </c>
      <c r="AB1924" s="168" t="str">
        <f t="array" ref="AB1924">iferror(index(K:K,match($A1924&amp;","&amp;index('Year Conversion'!$A:$A,match($C1924,'Year Conversion'!$B:$B,0)),$Y:$Y,0))-K1924,"")</f>
        <v/>
      </c>
      <c r="AC1924" s="168" t="str">
        <f t="shared" si="7"/>
        <v>PHI,2016-17</v>
      </c>
    </row>
    <row r="1925">
      <c r="A1925" s="161" t="str">
        <f>IFERROR(__xludf.DUMMYFUNCTION("""COMPUTED_VALUE"""),"ochefda01")</f>
        <v>ochefda01</v>
      </c>
      <c r="B1925" s="161" t="str">
        <f>IFERROR(__xludf.DUMMYFUNCTION("""COMPUTED_VALUE"""),"Daniel Ochefu")</f>
        <v>Daniel Ochefu</v>
      </c>
      <c r="C1925" s="162" t="str">
        <f>IFERROR(__xludf.DUMMYFUNCTION("""COMPUTED_VALUE"""),"2016-17")</f>
        <v>2016-17</v>
      </c>
      <c r="D1925" s="163" t="str">
        <f>IFERROR(__xludf.DUMMYFUNCTION("""COMPUTED_VALUE"""),"WAS")</f>
        <v>WAS</v>
      </c>
      <c r="E1925" s="164" t="str">
        <f>IFERROR(__xludf.DUMMYFUNCTION("""COMPUTED_VALUE"""),"Post Scorer")</f>
        <v>Post Scorer</v>
      </c>
      <c r="F1925" s="164">
        <f>IFERROR(__xludf.DUMMYFUNCTION("""COMPUTED_VALUE"""),74.9033333333334)</f>
        <v>74.90333333</v>
      </c>
      <c r="G1925" s="163">
        <f>IFERROR(__xludf.DUMMYFUNCTION("""COMPUTED_VALUE"""),19.0)</f>
        <v>19</v>
      </c>
      <c r="H1925" s="163" t="str">
        <f>IFERROR(__xludf.DUMMYFUNCTION("""COMPUTED_VALUE"""),"C")</f>
        <v>C</v>
      </c>
      <c r="I1925" s="163">
        <f>IFERROR(__xludf.DUMMYFUNCTION("""COMPUTED_VALUE"""),23.0)</f>
        <v>23</v>
      </c>
      <c r="J1925" s="165">
        <f>IFERROR(__xludf.DUMMYFUNCTION("""COMPUTED_VALUE"""),-1.13116025129705)</f>
        <v>-1.131160251</v>
      </c>
      <c r="K1925" s="165">
        <f>IFERROR(__xludf.DUMMYFUNCTION("""COMPUTED_VALUE"""),-0.61560391792889)</f>
        <v>-0.6156039179</v>
      </c>
      <c r="L1925" s="165">
        <f>IFERROR(__xludf.DUMMYFUNCTION("""COMPUTED_VALUE"""),-0.515556333368164)</f>
        <v>-0.5155563334</v>
      </c>
      <c r="M1925" s="166">
        <f t="shared" si="2"/>
        <v>0.05845475673</v>
      </c>
      <c r="N1925" s="167">
        <f t="shared" si="3"/>
        <v>3.942280702</v>
      </c>
      <c r="O1925" s="163">
        <f t="shared" ref="O1925:Q1925" si="1929">rank(I1925,I:I)</f>
        <v>2765</v>
      </c>
      <c r="P1925" s="163">
        <f t="shared" si="1929"/>
        <v>2661</v>
      </c>
      <c r="Q1925" s="163">
        <f t="shared" si="1929"/>
        <v>2284</v>
      </c>
      <c r="R1925" s="163">
        <f>IFERROR(__xludf.DUMMYFUNCTION("RANK(M1925,filter(M:M,C:C=C1925))"),394.0)</f>
        <v>394</v>
      </c>
      <c r="S1925" s="161" t="b">
        <f t="shared" si="5"/>
        <v>0</v>
      </c>
      <c r="T1925" s="161" t="b">
        <f t="array" ref="T1925">index('Query Tool'!B:B,match(H1925,'Query Tool'!C:C,0))</f>
        <v>1</v>
      </c>
      <c r="U1925" s="161" t="b">
        <f t="array" ref="U1925">index('Query Tool'!B:B,match(C1925,'Query Tool'!C:C,0))</f>
        <v>0</v>
      </c>
      <c r="V1925" s="161" t="b">
        <f>F1925&gt;='Query Tool'!C$32</f>
        <v>0</v>
      </c>
      <c r="W1925" s="161" t="b">
        <f t="array" ref="W1925">index(Dropdowns!B:B,match(I1925,Dropdowns!A:A,0))</f>
        <v>1</v>
      </c>
      <c r="X1925" s="161" t="b">
        <f t="array" ref="X1925">index('Query Tool'!B:B,match(D1925,'Query Tool'!C:C,0))</f>
        <v>1</v>
      </c>
      <c r="Y1925" s="161" t="str">
        <f t="shared" si="6"/>
        <v>ochefda01,2016-17</v>
      </c>
      <c r="Z1925" s="168" t="str">
        <f t="array" ref="Z1925">iferror(index(I:I,match($A1925&amp;","&amp;index('Year Conversion'!$A:$A,match($C1925,'Year Conversion'!$B:$B,0)),$Y:$Y,0))-I1925,"")</f>
        <v/>
      </c>
      <c r="AA1925" s="168" t="str">
        <f t="array" ref="AA1925">iferror(index(J:J,match($A1925&amp;","&amp;index('Year Conversion'!$A:$A,match($C1925,'Year Conversion'!$B:$B,0)),$Y:$Y,0))-J1925,"")</f>
        <v/>
      </c>
      <c r="AB1925" s="168" t="str">
        <f t="array" ref="AB1925">iferror(index(K:K,match($A1925&amp;","&amp;index('Year Conversion'!$A:$A,match($C1925,'Year Conversion'!$B:$B,0)),$Y:$Y,0))-K1925,"")</f>
        <v/>
      </c>
      <c r="AC1925" s="168" t="str">
        <f t="shared" si="7"/>
        <v>WAS,2016-17</v>
      </c>
    </row>
    <row r="1926">
      <c r="A1926" s="161" t="str">
        <f>IFERROR(__xludf.DUMMYFUNCTION("""COMPUTED_VALUE"""),"plumlma02")</f>
        <v>plumlma02</v>
      </c>
      <c r="B1926" s="161" t="str">
        <f>IFERROR(__xludf.DUMMYFUNCTION("""COMPUTED_VALUE"""),"Marshall Plumlee")</f>
        <v>Marshall Plumlee</v>
      </c>
      <c r="C1926" s="162" t="str">
        <f>IFERROR(__xludf.DUMMYFUNCTION("""COMPUTED_VALUE"""),"2016-17")</f>
        <v>2016-17</v>
      </c>
      <c r="D1926" s="163" t="str">
        <f>IFERROR(__xludf.DUMMYFUNCTION("""COMPUTED_VALUE"""),"NYK")</f>
        <v>NYK</v>
      </c>
      <c r="E1926" s="164" t="str">
        <f>IFERROR(__xludf.DUMMYFUNCTION("""COMPUTED_VALUE"""),"Roll + Cut Big")</f>
        <v>Roll + Cut Big</v>
      </c>
      <c r="F1926" s="164">
        <f>IFERROR(__xludf.DUMMYFUNCTION("""COMPUTED_VALUE"""),170.18)</f>
        <v>170.18</v>
      </c>
      <c r="G1926" s="163">
        <f>IFERROR(__xludf.DUMMYFUNCTION("""COMPUTED_VALUE"""),21.0)</f>
        <v>21</v>
      </c>
      <c r="H1926" s="163" t="str">
        <f>IFERROR(__xludf.DUMMYFUNCTION("""COMPUTED_VALUE"""),"C")</f>
        <v>C</v>
      </c>
      <c r="I1926" s="163">
        <f>IFERROR(__xludf.DUMMYFUNCTION("""COMPUTED_VALUE"""),24.0)</f>
        <v>24</v>
      </c>
      <c r="J1926" s="165">
        <f>IFERROR(__xludf.DUMMYFUNCTION("""COMPUTED_VALUE"""),-1.32614249792184)</f>
        <v>-1.326142498</v>
      </c>
      <c r="K1926" s="165">
        <f>IFERROR(__xludf.DUMMYFUNCTION("""COMPUTED_VALUE"""),-0.727431331073229)</f>
        <v>-0.7274313311</v>
      </c>
      <c r="L1926" s="165">
        <f>IFERROR(__xludf.DUMMYFUNCTION("""COMPUTED_VALUE"""),-0.598711166848615)</f>
        <v>-0.5987111668</v>
      </c>
      <c r="M1926" s="166">
        <f t="shared" si="2"/>
        <v>0.1105783392</v>
      </c>
      <c r="N1926" s="167">
        <f t="shared" si="3"/>
        <v>8.103809524</v>
      </c>
      <c r="O1926" s="163">
        <f t="shared" ref="O1926:Q1926" si="1930">rank(I1926,I:I)</f>
        <v>2361</v>
      </c>
      <c r="P1926" s="163">
        <f t="shared" si="1930"/>
        <v>2893</v>
      </c>
      <c r="Q1926" s="163">
        <f t="shared" si="1930"/>
        <v>2448</v>
      </c>
      <c r="R1926" s="163">
        <f>IFERROR(__xludf.DUMMYFUNCTION("RANK(M1926,filter(M:M,C:C=C1926))"),372.0)</f>
        <v>372</v>
      </c>
      <c r="S1926" s="161" t="b">
        <f t="shared" si="5"/>
        <v>0</v>
      </c>
      <c r="T1926" s="161" t="b">
        <f t="array" ref="T1926">index('Query Tool'!B:B,match(H1926,'Query Tool'!C:C,0))</f>
        <v>1</v>
      </c>
      <c r="U1926" s="161" t="b">
        <f t="array" ref="U1926">index('Query Tool'!B:B,match(C1926,'Query Tool'!C:C,0))</f>
        <v>0</v>
      </c>
      <c r="V1926" s="161" t="b">
        <f>F1926&gt;='Query Tool'!C$32</f>
        <v>0</v>
      </c>
      <c r="W1926" s="161" t="b">
        <f t="array" ref="W1926">index(Dropdowns!B:B,match(I1926,Dropdowns!A:A,0))</f>
        <v>1</v>
      </c>
      <c r="X1926" s="161" t="b">
        <f t="array" ref="X1926">index('Query Tool'!B:B,match(D1926,'Query Tool'!C:C,0))</f>
        <v>1</v>
      </c>
      <c r="Y1926" s="161" t="str">
        <f t="shared" si="6"/>
        <v>plumlma02,2016-17</v>
      </c>
      <c r="Z1926" s="168">
        <f t="array" ref="Z1926">iferror(index(I:I,match($A1926&amp;","&amp;index('Year Conversion'!$A:$A,match($C1926,'Year Conversion'!$B:$B,0)),$Y:$Y,0))-I1926,"")</f>
        <v>1</v>
      </c>
      <c r="AA1926" s="168">
        <f t="array" ref="AA1926">iferror(index(J:J,match($A1926&amp;","&amp;index('Year Conversion'!$A:$A,match($C1926,'Year Conversion'!$B:$B,0)),$Y:$Y,0))-J1926,"")</f>
        <v>0.6585321533</v>
      </c>
      <c r="AB1926" s="168">
        <f t="array" ref="AB1926">iferror(index(K:K,match($A1926&amp;","&amp;index('Year Conversion'!$A:$A,match($C1926,'Year Conversion'!$B:$B,0)),$Y:$Y,0))-K1926,"")</f>
        <v>0.2083058069</v>
      </c>
      <c r="AC1926" s="168" t="str">
        <f t="shared" si="7"/>
        <v>NYK,2016-17</v>
      </c>
    </row>
    <row r="1927">
      <c r="A1927" s="161" t="str">
        <f>IFERROR(__xludf.DUMMYFUNCTION("""COMPUTED_VALUE"""),"kuzmimi01")</f>
        <v>kuzmimi01</v>
      </c>
      <c r="B1927" s="161" t="str">
        <f>IFERROR(__xludf.DUMMYFUNCTION("""COMPUTED_VALUE"""),"Mindaugas Kuzminskas")</f>
        <v>Mindaugas Kuzminskas</v>
      </c>
      <c r="C1927" s="162" t="str">
        <f>IFERROR(__xludf.DUMMYFUNCTION("""COMPUTED_VALUE"""),"2016-17")</f>
        <v>2016-17</v>
      </c>
      <c r="D1927" s="163" t="str">
        <f>IFERROR(__xludf.DUMMYFUNCTION("""COMPUTED_VALUE"""),"NYK")</f>
        <v>NYK</v>
      </c>
      <c r="E1927" s="164" t="str">
        <f>IFERROR(__xludf.DUMMYFUNCTION("""COMPUTED_VALUE"""),"Athletic Finisher")</f>
        <v>Athletic Finisher</v>
      </c>
      <c r="F1927" s="164">
        <f>IFERROR(__xludf.DUMMYFUNCTION("""COMPUTED_VALUE"""),1016.30833333333)</f>
        <v>1016.308333</v>
      </c>
      <c r="G1927" s="163">
        <f>IFERROR(__xludf.DUMMYFUNCTION("""COMPUTED_VALUE"""),68.0)</f>
        <v>68</v>
      </c>
      <c r="H1927" s="163" t="str">
        <f>IFERROR(__xludf.DUMMYFUNCTION("""COMPUTED_VALUE"""),"SF")</f>
        <v>SF</v>
      </c>
      <c r="I1927" s="163">
        <f>IFERROR(__xludf.DUMMYFUNCTION("""COMPUTED_VALUE"""),27.0)</f>
        <v>27</v>
      </c>
      <c r="J1927" s="165">
        <f>IFERROR(__xludf.DUMMYFUNCTION("""COMPUTED_VALUE"""),-1.42501565754536)</f>
        <v>-1.425015658</v>
      </c>
      <c r="K1927" s="165">
        <f>IFERROR(__xludf.DUMMYFUNCTION("""COMPUTED_VALUE"""),-0.064870568129735)</f>
        <v>-0.06487056813</v>
      </c>
      <c r="L1927" s="165">
        <f>IFERROR(__xludf.DUMMYFUNCTION("""COMPUTED_VALUE"""),-1.36014508941562)</f>
        <v>-1.360145089</v>
      </c>
      <c r="M1927" s="166">
        <f t="shared" si="2"/>
        <v>0.5931548308</v>
      </c>
      <c r="N1927" s="167">
        <f t="shared" si="3"/>
        <v>14.94571078</v>
      </c>
      <c r="O1927" s="163">
        <f t="shared" ref="O1927:Q1927" si="1931">rank(I1927,I:I)</f>
        <v>1366</v>
      </c>
      <c r="P1927" s="163">
        <f t="shared" si="1931"/>
        <v>2981</v>
      </c>
      <c r="Q1927" s="163">
        <f t="shared" si="1931"/>
        <v>1295</v>
      </c>
      <c r="R1927" s="163">
        <f>IFERROR(__xludf.DUMMYFUNCTION("RANK(M1927,filter(M:M,C:C=C1927))"),269.0)</f>
        <v>269</v>
      </c>
      <c r="S1927" s="161" t="b">
        <f t="shared" si="5"/>
        <v>0</v>
      </c>
      <c r="T1927" s="161" t="b">
        <f t="array" ref="T1927">index('Query Tool'!B:B,match(H1927,'Query Tool'!C:C,0))</f>
        <v>1</v>
      </c>
      <c r="U1927" s="161" t="b">
        <f t="array" ref="U1927">index('Query Tool'!B:B,match(C1927,'Query Tool'!C:C,0))</f>
        <v>0</v>
      </c>
      <c r="V1927" s="161" t="b">
        <f>F1927&gt;='Query Tool'!C$32</f>
        <v>1</v>
      </c>
      <c r="W1927" s="161" t="b">
        <f t="array" ref="W1927">index(Dropdowns!B:B,match(I1927,Dropdowns!A:A,0))</f>
        <v>1</v>
      </c>
      <c r="X1927" s="161" t="b">
        <f t="array" ref="X1927">index('Query Tool'!B:B,match(D1927,'Query Tool'!C:C,0))</f>
        <v>1</v>
      </c>
      <c r="Y1927" s="161" t="str">
        <f t="shared" si="6"/>
        <v>kuzmimi01,2016-17</v>
      </c>
      <c r="Z1927" s="168">
        <f t="array" ref="Z1927">iferror(index(I:I,match($A1927&amp;","&amp;index('Year Conversion'!$A:$A,match($C1927,'Year Conversion'!$B:$B,0)),$Y:$Y,0))-I1927,"")</f>
        <v>1</v>
      </c>
      <c r="AA1927" s="168">
        <f t="array" ref="AA1927">iferror(index(J:J,match($A1927&amp;","&amp;index('Year Conversion'!$A:$A,match($C1927,'Year Conversion'!$B:$B,0)),$Y:$Y,0))-J1927,"")</f>
        <v>1.25017219</v>
      </c>
      <c r="AB1927" s="168">
        <f t="array" ref="AB1927">iferror(index(K:K,match($A1927&amp;","&amp;index('Year Conversion'!$A:$A,match($C1927,'Year Conversion'!$B:$B,0)),$Y:$Y,0))-K1927,"")</f>
        <v>-0.02889659284</v>
      </c>
      <c r="AC1927" s="168" t="str">
        <f t="shared" si="7"/>
        <v>NYK,2016-17</v>
      </c>
    </row>
    <row r="1928">
      <c r="A1928" s="161" t="str">
        <f>IFERROR(__xludf.DUMMYFUNCTION("""COMPUTED_VALUE"""),"brussni01")</f>
        <v>brussni01</v>
      </c>
      <c r="B1928" s="161" t="str">
        <f>IFERROR(__xludf.DUMMYFUNCTION("""COMPUTED_VALUE"""),"Nicolas Brussino")</f>
        <v>Nicolas Brussino</v>
      </c>
      <c r="C1928" s="162" t="str">
        <f>IFERROR(__xludf.DUMMYFUNCTION("""COMPUTED_VALUE"""),"2016-17")</f>
        <v>2016-17</v>
      </c>
      <c r="D1928" s="163" t="str">
        <f>IFERROR(__xludf.DUMMYFUNCTION("""COMPUTED_VALUE"""),"DAL")</f>
        <v>DAL</v>
      </c>
      <c r="E1928" s="164" t="str">
        <f>IFERROR(__xludf.DUMMYFUNCTION("""COMPUTED_VALUE"""),"Movement Shooter")</f>
        <v>Movement Shooter</v>
      </c>
      <c r="F1928" s="164">
        <f>IFERROR(__xludf.DUMMYFUNCTION("""COMPUTED_VALUE"""),521.378333333333)</f>
        <v>521.3783333</v>
      </c>
      <c r="G1928" s="163">
        <f>IFERROR(__xludf.DUMMYFUNCTION("""COMPUTED_VALUE"""),54.0)</f>
        <v>54</v>
      </c>
      <c r="H1928" s="163" t="str">
        <f>IFERROR(__xludf.DUMMYFUNCTION("""COMPUTED_VALUE"""),"SG")</f>
        <v>SG</v>
      </c>
      <c r="I1928" s="163">
        <f>IFERROR(__xludf.DUMMYFUNCTION("""COMPUTED_VALUE"""),23.0)</f>
        <v>23</v>
      </c>
      <c r="J1928" s="165">
        <f>IFERROR(__xludf.DUMMYFUNCTION("""COMPUTED_VALUE"""),-1.19802075868888)</f>
        <v>-1.198020759</v>
      </c>
      <c r="K1928" s="165">
        <f>IFERROR(__xludf.DUMMYFUNCTION("""COMPUTED_VALUE"""),-0.663199978571955)</f>
        <v>-0.6631999786</v>
      </c>
      <c r="L1928" s="165">
        <f>IFERROR(__xludf.DUMMYFUNCTION("""COMPUTED_VALUE"""),-0.534820780116928)</f>
        <v>-0.5348207801</v>
      </c>
      <c r="M1928" s="166">
        <f t="shared" si="2"/>
        <v>0.3835153891</v>
      </c>
      <c r="N1928" s="167">
        <f t="shared" si="3"/>
        <v>9.655154321</v>
      </c>
      <c r="O1928" s="163">
        <f t="shared" ref="O1928:Q1928" si="1932">rank(I1928,I:I)</f>
        <v>2765</v>
      </c>
      <c r="P1928" s="163">
        <f t="shared" si="1932"/>
        <v>2743</v>
      </c>
      <c r="Q1928" s="163">
        <f t="shared" si="1932"/>
        <v>2357</v>
      </c>
      <c r="R1928" s="163">
        <f>IFERROR(__xludf.DUMMYFUNCTION("RANK(M1928,filter(M:M,C:C=C1928))"),303.0)</f>
        <v>303</v>
      </c>
      <c r="S1928" s="161" t="b">
        <f t="shared" si="5"/>
        <v>0</v>
      </c>
      <c r="T1928" s="161" t="b">
        <f t="array" ref="T1928">index('Query Tool'!B:B,match(H1928,'Query Tool'!C:C,0))</f>
        <v>1</v>
      </c>
      <c r="U1928" s="161" t="b">
        <f t="array" ref="U1928">index('Query Tool'!B:B,match(C1928,'Query Tool'!C:C,0))</f>
        <v>0</v>
      </c>
      <c r="V1928" s="161" t="b">
        <f>F1928&gt;='Query Tool'!C$32</f>
        <v>1</v>
      </c>
      <c r="W1928" s="161" t="b">
        <f t="array" ref="W1928">index(Dropdowns!B:B,match(I1928,Dropdowns!A:A,0))</f>
        <v>1</v>
      </c>
      <c r="X1928" s="161" t="b">
        <f t="array" ref="X1928">index('Query Tool'!B:B,match(D1928,'Query Tool'!C:C,0))</f>
        <v>1</v>
      </c>
      <c r="Y1928" s="161" t="str">
        <f t="shared" si="6"/>
        <v>brussni01,2016-17</v>
      </c>
      <c r="Z1928" s="168">
        <f t="array" ref="Z1928">iferror(index(I:I,match($A1928&amp;","&amp;index('Year Conversion'!$A:$A,match($C1928,'Year Conversion'!$B:$B,0)),$Y:$Y,0))-I1928,"")</f>
        <v>1</v>
      </c>
      <c r="AA1928" s="168">
        <f t="array" ref="AA1928">iferror(index(J:J,match($A1928&amp;","&amp;index('Year Conversion'!$A:$A,match($C1928,'Year Conversion'!$B:$B,0)),$Y:$Y,0))-J1928,"")</f>
        <v>1.140123446</v>
      </c>
      <c r="AB1928" s="168">
        <f t="array" ref="AB1928">iferror(index(K:K,match($A1928&amp;","&amp;index('Year Conversion'!$A:$A,match($C1928,'Year Conversion'!$B:$B,0)),$Y:$Y,0))-K1928,"")</f>
        <v>0.5150572793</v>
      </c>
      <c r="AC1928" s="168" t="str">
        <f t="shared" si="7"/>
        <v>DAL,2016-17</v>
      </c>
    </row>
    <row r="1929">
      <c r="A1929" s="161" t="str">
        <f>IFERROR(__xludf.DUMMYFUNCTION("""COMPUTED_VALUE"""),"forbebr01")</f>
        <v>forbebr01</v>
      </c>
      <c r="B1929" s="161" t="str">
        <f>IFERROR(__xludf.DUMMYFUNCTION("""COMPUTED_VALUE"""),"Bryn Forbes")</f>
        <v>Bryn Forbes</v>
      </c>
      <c r="C1929" s="162" t="str">
        <f>IFERROR(__xludf.DUMMYFUNCTION("""COMPUTED_VALUE"""),"2016-17")</f>
        <v>2016-17</v>
      </c>
      <c r="D1929" s="163" t="str">
        <f>IFERROR(__xludf.DUMMYFUNCTION("""COMPUTED_VALUE"""),"SAS")</f>
        <v>SAS</v>
      </c>
      <c r="E1929" s="164" t="str">
        <f>IFERROR(__xludf.DUMMYFUNCTION("""COMPUTED_VALUE"""),"Movement Shooter")</f>
        <v>Movement Shooter</v>
      </c>
      <c r="F1929" s="164">
        <f>IFERROR(__xludf.DUMMYFUNCTION("""COMPUTED_VALUE"""),284.895)</f>
        <v>284.895</v>
      </c>
      <c r="G1929" s="163">
        <f>IFERROR(__xludf.DUMMYFUNCTION("""COMPUTED_VALUE"""),36.0)</f>
        <v>36</v>
      </c>
      <c r="H1929" s="163" t="str">
        <f>IFERROR(__xludf.DUMMYFUNCTION("""COMPUTED_VALUE"""),"SG")</f>
        <v>SG</v>
      </c>
      <c r="I1929" s="163">
        <f>IFERROR(__xludf.DUMMYFUNCTION("""COMPUTED_VALUE"""),23.0)</f>
        <v>23</v>
      </c>
      <c r="J1929" s="165">
        <f>IFERROR(__xludf.DUMMYFUNCTION("""COMPUTED_VALUE"""),-2.96583874994525)</f>
        <v>-2.96583875</v>
      </c>
      <c r="K1929" s="165">
        <f>IFERROR(__xludf.DUMMYFUNCTION("""COMPUTED_VALUE"""),-1.31121107926094)</f>
        <v>-1.311211079</v>
      </c>
      <c r="L1929" s="165">
        <f>IFERROR(__xludf.DUMMYFUNCTION("""COMPUTED_VALUE"""),-1.65462767068432)</f>
        <v>-1.654627671</v>
      </c>
      <c r="M1929" s="166">
        <f t="shared" si="2"/>
        <v>-0.1235847254</v>
      </c>
      <c r="N1929" s="167">
        <f t="shared" si="3"/>
        <v>7.91375</v>
      </c>
      <c r="O1929" s="163">
        <f t="shared" ref="O1929:Q1929" si="1933">rank(I1929,I:I)</f>
        <v>2765</v>
      </c>
      <c r="P1929" s="163">
        <f t="shared" si="1933"/>
        <v>3879</v>
      </c>
      <c r="Q1929" s="163">
        <f t="shared" si="1933"/>
        <v>3160</v>
      </c>
      <c r="R1929" s="163">
        <f>IFERROR(__xludf.DUMMYFUNCTION("RANK(M1929,filter(M:M,C:C=C1929))"),459.0)</f>
        <v>459</v>
      </c>
      <c r="S1929" s="161" t="b">
        <f t="shared" si="5"/>
        <v>0</v>
      </c>
      <c r="T1929" s="161" t="b">
        <f t="array" ref="T1929">index('Query Tool'!B:B,match(H1929,'Query Tool'!C:C,0))</f>
        <v>1</v>
      </c>
      <c r="U1929" s="161" t="b">
        <f t="array" ref="U1929">index('Query Tool'!B:B,match(C1929,'Query Tool'!C:C,0))</f>
        <v>0</v>
      </c>
      <c r="V1929" s="161" t="b">
        <f>F1929&gt;='Query Tool'!C$32</f>
        <v>0</v>
      </c>
      <c r="W1929" s="161" t="b">
        <f t="array" ref="W1929">index(Dropdowns!B:B,match(I1929,Dropdowns!A:A,0))</f>
        <v>1</v>
      </c>
      <c r="X1929" s="161" t="b">
        <f t="array" ref="X1929">index('Query Tool'!B:B,match(D1929,'Query Tool'!C:C,0))</f>
        <v>1</v>
      </c>
      <c r="Y1929" s="161" t="str">
        <f t="shared" si="6"/>
        <v>forbebr01,2016-17</v>
      </c>
      <c r="Z1929" s="168">
        <f t="array" ref="Z1929">iferror(index(I:I,match($A1929&amp;","&amp;index('Year Conversion'!$A:$A,match($C1929,'Year Conversion'!$B:$B,0)),$Y:$Y,0))-I1929,"")</f>
        <v>1</v>
      </c>
      <c r="AA1929" s="168">
        <f t="array" ref="AA1929">iferror(index(J:J,match($A1929&amp;","&amp;index('Year Conversion'!$A:$A,match($C1929,'Year Conversion'!$B:$B,0)),$Y:$Y,0))-J1929,"")</f>
        <v>1.426564454</v>
      </c>
      <c r="AB1929" s="168">
        <f t="array" ref="AB1929">iferror(index(K:K,match($A1929&amp;","&amp;index('Year Conversion'!$A:$A,match($C1929,'Year Conversion'!$B:$B,0)),$Y:$Y,0))-K1929,"")</f>
        <v>0.9311637785</v>
      </c>
      <c r="AC1929" s="168" t="str">
        <f t="shared" si="7"/>
        <v>SAS,2016-17</v>
      </c>
    </row>
    <row r="1930">
      <c r="A1930" s="161" t="str">
        <f>IFERROR(__xludf.DUMMYFUNCTION("""COMPUTED_VALUE"""),"whiteok01")</f>
        <v>whiteok01</v>
      </c>
      <c r="B1930" s="161" t="str">
        <f>IFERROR(__xludf.DUMMYFUNCTION("""COMPUTED_VALUE"""),"Okaro White")</f>
        <v>Okaro White</v>
      </c>
      <c r="C1930" s="162" t="str">
        <f>IFERROR(__xludf.DUMMYFUNCTION("""COMPUTED_VALUE"""),"2016-17")</f>
        <v>2016-17</v>
      </c>
      <c r="D1930" s="163" t="str">
        <f>IFERROR(__xludf.DUMMYFUNCTION("""COMPUTED_VALUE"""),"MIA")</f>
        <v>MIA</v>
      </c>
      <c r="E1930" s="164" t="str">
        <f>IFERROR(__xludf.DUMMYFUNCTION("""COMPUTED_VALUE"""),"Stretch Big")</f>
        <v>Stretch Big</v>
      </c>
      <c r="F1930" s="164">
        <f>IFERROR(__xludf.DUMMYFUNCTION("""COMPUTED_VALUE"""),471.175)</f>
        <v>471.175</v>
      </c>
      <c r="G1930" s="163">
        <f>IFERROR(__xludf.DUMMYFUNCTION("""COMPUTED_VALUE"""),35.0)</f>
        <v>35</v>
      </c>
      <c r="H1930" s="163" t="str">
        <f>IFERROR(__xludf.DUMMYFUNCTION("""COMPUTED_VALUE"""),"PF")</f>
        <v>PF</v>
      </c>
      <c r="I1930" s="163">
        <f>IFERROR(__xludf.DUMMYFUNCTION("""COMPUTED_VALUE"""),24.0)</f>
        <v>24</v>
      </c>
      <c r="J1930" s="165">
        <f>IFERROR(__xludf.DUMMYFUNCTION("""COMPUTED_VALUE"""),-2.12074530528339)</f>
        <v>-2.120745305</v>
      </c>
      <c r="K1930" s="165">
        <f>IFERROR(__xludf.DUMMYFUNCTION("""COMPUTED_VALUE"""),-1.76343313237368)</f>
        <v>-1.763433132</v>
      </c>
      <c r="L1930" s="165">
        <f>IFERROR(__xludf.DUMMYFUNCTION("""COMPUTED_VALUE"""),-0.357312172909716)</f>
        <v>-0.3573121729</v>
      </c>
      <c r="M1930" s="166">
        <f t="shared" si="2"/>
        <v>0.05689374368</v>
      </c>
      <c r="N1930" s="167">
        <f t="shared" si="3"/>
        <v>13.46214286</v>
      </c>
      <c r="O1930" s="163">
        <f t="shared" ref="O1930:Q1930" si="1934">rank(I1930,I:I)</f>
        <v>2361</v>
      </c>
      <c r="P1930" s="163">
        <f t="shared" si="1934"/>
        <v>3571</v>
      </c>
      <c r="Q1930" s="163">
        <f t="shared" si="1934"/>
        <v>3554</v>
      </c>
      <c r="R1930" s="163">
        <f>IFERROR(__xludf.DUMMYFUNCTION("RANK(M1930,filter(M:M,C:C=C1930))"),396.0)</f>
        <v>396</v>
      </c>
      <c r="S1930" s="161" t="b">
        <f t="shared" si="5"/>
        <v>0</v>
      </c>
      <c r="T1930" s="161" t="b">
        <f t="array" ref="T1930">index('Query Tool'!B:B,match(H1930,'Query Tool'!C:C,0))</f>
        <v>1</v>
      </c>
      <c r="U1930" s="161" t="b">
        <f t="array" ref="U1930">index('Query Tool'!B:B,match(C1930,'Query Tool'!C:C,0))</f>
        <v>0</v>
      </c>
      <c r="V1930" s="161" t="b">
        <f>F1930&gt;='Query Tool'!C$32</f>
        <v>0</v>
      </c>
      <c r="W1930" s="161" t="b">
        <f t="array" ref="W1930">index(Dropdowns!B:B,match(I1930,Dropdowns!A:A,0))</f>
        <v>1</v>
      </c>
      <c r="X1930" s="161" t="b">
        <f t="array" ref="X1930">index('Query Tool'!B:B,match(D1930,'Query Tool'!C:C,0))</f>
        <v>1</v>
      </c>
      <c r="Y1930" s="161" t="str">
        <f t="shared" si="6"/>
        <v>whiteok01,2016-17</v>
      </c>
      <c r="Z1930" s="168">
        <f t="array" ref="Z1930">iferror(index(I:I,match($A1930&amp;","&amp;index('Year Conversion'!$A:$A,match($C1930,'Year Conversion'!$B:$B,0)),$Y:$Y,0))-I1930,"")</f>
        <v>1</v>
      </c>
      <c r="AA1930" s="168">
        <f t="array" ref="AA1930">iferror(index(J:J,match($A1930&amp;","&amp;index('Year Conversion'!$A:$A,match($C1930,'Year Conversion'!$B:$B,0)),$Y:$Y,0))-J1930,"")</f>
        <v>1.324773377</v>
      </c>
      <c r="AB1930" s="168">
        <f t="array" ref="AB1930">iferror(index(K:K,match($A1930&amp;","&amp;index('Year Conversion'!$A:$A,match($C1930,'Year Conversion'!$B:$B,0)),$Y:$Y,0))-K1930,"")</f>
        <v>1.145721336</v>
      </c>
      <c r="AC1930" s="168" t="str">
        <f t="shared" si="7"/>
        <v>MIA,2016-17</v>
      </c>
    </row>
    <row r="1931">
      <c r="A1931" s="161" t="str">
        <f>IFERROR(__xludf.DUMMYFUNCTION("""COMPUTED_VALUE"""),"tobeymi01")</f>
        <v>tobeymi01</v>
      </c>
      <c r="B1931" s="161" t="str">
        <f>IFERROR(__xludf.DUMMYFUNCTION("""COMPUTED_VALUE"""),"Mike Tobey")</f>
        <v>Mike Tobey</v>
      </c>
      <c r="C1931" s="162" t="str">
        <f>IFERROR(__xludf.DUMMYFUNCTION("""COMPUTED_VALUE"""),"2016-17")</f>
        <v>2016-17</v>
      </c>
      <c r="D1931" s="163" t="str">
        <f>IFERROR(__xludf.DUMMYFUNCTION("""COMPUTED_VALUE"""),"CHO")</f>
        <v>CHO</v>
      </c>
      <c r="E1931" s="164" t="str">
        <f>IFERROR(__xludf.DUMMYFUNCTION("""COMPUTED_VALUE"""),"Roll + Cut Big")</f>
        <v>Roll + Cut Big</v>
      </c>
      <c r="F1931" s="164">
        <f>IFERROR(__xludf.DUMMYFUNCTION("""COMPUTED_VALUE"""),25.1833333333333)</f>
        <v>25.18333333</v>
      </c>
      <c r="G1931" s="163">
        <f>IFERROR(__xludf.DUMMYFUNCTION("""COMPUTED_VALUE"""),2.0)</f>
        <v>2</v>
      </c>
      <c r="H1931" s="163" t="str">
        <f>IFERROR(__xludf.DUMMYFUNCTION("""COMPUTED_VALUE"""),"C")</f>
        <v>C</v>
      </c>
      <c r="I1931" s="163">
        <f>IFERROR(__xludf.DUMMYFUNCTION("""COMPUTED_VALUE"""),22.0)</f>
        <v>22</v>
      </c>
      <c r="J1931" s="165">
        <f>IFERROR(__xludf.DUMMYFUNCTION("""COMPUTED_VALUE"""),-0.758451952584362)</f>
        <v>-0.7584519526</v>
      </c>
      <c r="K1931" s="165">
        <f>IFERROR(__xludf.DUMMYFUNCTION("""COMPUTED_VALUE"""),-0.842905211574263)</f>
        <v>-0.8429052116</v>
      </c>
      <c r="L1931" s="165">
        <f>IFERROR(__xludf.DUMMYFUNCTION("""COMPUTED_VALUE"""),0.084453258989901)</f>
        <v>0.08445325899</v>
      </c>
      <c r="M1931" s="166">
        <f t="shared" si="2"/>
        <v>0.02595732593</v>
      </c>
      <c r="N1931" s="167">
        <f t="shared" si="3"/>
        <v>12.59166667</v>
      </c>
      <c r="O1931" s="163">
        <f t="shared" ref="O1931:Q1931" si="1935">rank(I1931,I:I)</f>
        <v>3178</v>
      </c>
      <c r="P1931" s="163">
        <f t="shared" si="1935"/>
        <v>2223</v>
      </c>
      <c r="Q1931" s="163">
        <f t="shared" si="1935"/>
        <v>2610</v>
      </c>
      <c r="R1931" s="163">
        <f>IFERROR(__xludf.DUMMYFUNCTION("RANK(M1931,filter(M:M,C:C=C1931))"),426.0)</f>
        <v>426</v>
      </c>
      <c r="S1931" s="161" t="b">
        <f t="shared" si="5"/>
        <v>0</v>
      </c>
      <c r="T1931" s="161" t="b">
        <f t="array" ref="T1931">index('Query Tool'!B:B,match(H1931,'Query Tool'!C:C,0))</f>
        <v>1</v>
      </c>
      <c r="U1931" s="161" t="b">
        <f t="array" ref="U1931">index('Query Tool'!B:B,match(C1931,'Query Tool'!C:C,0))</f>
        <v>0</v>
      </c>
      <c r="V1931" s="161" t="b">
        <f>F1931&gt;='Query Tool'!C$32</f>
        <v>0</v>
      </c>
      <c r="W1931" s="161" t="b">
        <f t="array" ref="W1931">index(Dropdowns!B:B,match(I1931,Dropdowns!A:A,0))</f>
        <v>1</v>
      </c>
      <c r="X1931" s="161" t="b">
        <f t="array" ref="X1931">index('Query Tool'!B:B,match(D1931,'Query Tool'!C:C,0))</f>
        <v>1</v>
      </c>
      <c r="Y1931" s="161" t="str">
        <f t="shared" si="6"/>
        <v>tobeymi01,2016-17</v>
      </c>
      <c r="Z1931" s="168" t="str">
        <f t="array" ref="Z1931">iferror(index(I:I,match($A1931&amp;","&amp;index('Year Conversion'!$A:$A,match($C1931,'Year Conversion'!$B:$B,0)),$Y:$Y,0))-I1931,"")</f>
        <v/>
      </c>
      <c r="AA1931" s="168" t="str">
        <f t="array" ref="AA1931">iferror(index(J:J,match($A1931&amp;","&amp;index('Year Conversion'!$A:$A,match($C1931,'Year Conversion'!$B:$B,0)),$Y:$Y,0))-J1931,"")</f>
        <v/>
      </c>
      <c r="AB1931" s="168" t="str">
        <f t="array" ref="AB1931">iferror(index(K:K,match($A1931&amp;","&amp;index('Year Conversion'!$A:$A,match($C1931,'Year Conversion'!$B:$B,0)),$Y:$Y,0))-K1931,"")</f>
        <v/>
      </c>
      <c r="AC1931" s="168" t="str">
        <f t="shared" si="7"/>
        <v>CHO,2016-17</v>
      </c>
    </row>
    <row r="1932">
      <c r="A1932" s="161" t="str">
        <f>IFERROR(__xludf.DUMMYFUNCTION("""COMPUTED_VALUE"""),"houseda01")</f>
        <v>houseda01</v>
      </c>
      <c r="B1932" s="161" t="str">
        <f>IFERROR(__xludf.DUMMYFUNCTION("""COMPUTED_VALUE"""),"Danuel House Jr.")</f>
        <v>Danuel House Jr.</v>
      </c>
      <c r="C1932" s="162" t="str">
        <f>IFERROR(__xludf.DUMMYFUNCTION("""COMPUTED_VALUE"""),"2016-17")</f>
        <v>2016-17</v>
      </c>
      <c r="D1932" s="163" t="str">
        <f>IFERROR(__xludf.DUMMYFUNCTION("""COMPUTED_VALUE"""),"WAS")</f>
        <v>WAS</v>
      </c>
      <c r="E1932" s="164" t="str">
        <f>IFERROR(__xludf.DUMMYFUNCTION("""COMPUTED_VALUE"""),"Low Minutes")</f>
        <v>Low Minutes</v>
      </c>
      <c r="F1932" s="164">
        <f>IFERROR(__xludf.DUMMYFUNCTION("""COMPUTED_VALUE"""),0.826666666666667)</f>
        <v>0.8266666667</v>
      </c>
      <c r="G1932" s="163">
        <f>IFERROR(__xludf.DUMMYFUNCTION("""COMPUTED_VALUE"""),1.0)</f>
        <v>1</v>
      </c>
      <c r="H1932" s="163" t="str">
        <f>IFERROR(__xludf.DUMMYFUNCTION("""COMPUTED_VALUE"""),"SG")</f>
        <v>SG</v>
      </c>
      <c r="I1932" s="163">
        <f>IFERROR(__xludf.DUMMYFUNCTION("""COMPUTED_VALUE"""),23.0)</f>
        <v>23</v>
      </c>
      <c r="J1932" s="165">
        <f>IFERROR(__xludf.DUMMYFUNCTION("""COMPUTED_VALUE"""),-0.706301755928174)</f>
        <v>-0.7063017559</v>
      </c>
      <c r="K1932" s="165">
        <f>IFERROR(__xludf.DUMMYFUNCTION("""COMPUTED_VALUE"""),-0.247543020212124)</f>
        <v>-0.2475430202</v>
      </c>
      <c r="L1932" s="165">
        <f>IFERROR(__xludf.DUMMYFUNCTION("""COMPUTED_VALUE"""),-0.45875873571605)</f>
        <v>-0.4587587357</v>
      </c>
      <c r="M1932" s="166">
        <f t="shared" si="2"/>
        <v>0.0008810736844</v>
      </c>
      <c r="N1932" s="167">
        <f t="shared" si="3"/>
        <v>0.8266666667</v>
      </c>
      <c r="O1932" s="163">
        <f t="shared" ref="O1932:Q1932" si="1936">rank(I1932,I:I)</f>
        <v>2765</v>
      </c>
      <c r="P1932" s="163">
        <f t="shared" si="1936"/>
        <v>2155</v>
      </c>
      <c r="Q1932" s="163">
        <f t="shared" si="1936"/>
        <v>1661</v>
      </c>
      <c r="R1932" s="163">
        <f>IFERROR(__xludf.DUMMYFUNCTION("RANK(M1932,filter(M:M,C:C=C1932))"),446.0)</f>
        <v>446</v>
      </c>
      <c r="S1932" s="161" t="b">
        <f t="shared" si="5"/>
        <v>0</v>
      </c>
      <c r="T1932" s="161" t="b">
        <f t="array" ref="T1932">index('Query Tool'!B:B,match(H1932,'Query Tool'!C:C,0))</f>
        <v>1</v>
      </c>
      <c r="U1932" s="161" t="b">
        <f t="array" ref="U1932">index('Query Tool'!B:B,match(C1932,'Query Tool'!C:C,0))</f>
        <v>0</v>
      </c>
      <c r="V1932" s="161" t="b">
        <f>F1932&gt;='Query Tool'!C$32</f>
        <v>0</v>
      </c>
      <c r="W1932" s="161" t="b">
        <f t="array" ref="W1932">index(Dropdowns!B:B,match(I1932,Dropdowns!A:A,0))</f>
        <v>1</v>
      </c>
      <c r="X1932" s="161" t="b">
        <f t="array" ref="X1932">index('Query Tool'!B:B,match(D1932,'Query Tool'!C:C,0))</f>
        <v>1</v>
      </c>
      <c r="Y1932" s="161" t="str">
        <f t="shared" si="6"/>
        <v>houseda01,2016-17</v>
      </c>
      <c r="Z1932" s="168">
        <f t="array" ref="Z1932">iferror(index(I:I,match($A1932&amp;","&amp;index('Year Conversion'!$A:$A,match($C1932,'Year Conversion'!$B:$B,0)),$Y:$Y,0))-I1932,"")</f>
        <v>1</v>
      </c>
      <c r="AA1932" s="168">
        <f t="array" ref="AA1932">iferror(index(J:J,match($A1932&amp;","&amp;index('Year Conversion'!$A:$A,match($C1932,'Year Conversion'!$B:$B,0)),$Y:$Y,0))-J1932,"")</f>
        <v>0.8849168056</v>
      </c>
      <c r="AB1932" s="168">
        <f t="array" ref="AB1932">iferror(index(K:K,match($A1932&amp;","&amp;index('Year Conversion'!$A:$A,match($C1932,'Year Conversion'!$B:$B,0)),$Y:$Y,0))-K1932,"")</f>
        <v>0.2224981001</v>
      </c>
      <c r="AC1932" s="168" t="str">
        <f t="shared" si="7"/>
        <v>WAS,2016-17</v>
      </c>
    </row>
    <row r="1933">
      <c r="A1933" s="161" t="str">
        <f>IFERROR(__xludf.DUMMYFUNCTION("""COMPUTED_VALUE"""),"garinpa01")</f>
        <v>garinpa01</v>
      </c>
      <c r="B1933" s="161" t="str">
        <f>IFERROR(__xludf.DUMMYFUNCTION("""COMPUTED_VALUE"""),"Patricio Garino")</f>
        <v>Patricio Garino</v>
      </c>
      <c r="C1933" s="162" t="str">
        <f>IFERROR(__xludf.DUMMYFUNCTION("""COMPUTED_VALUE"""),"2016-17")</f>
        <v>2016-17</v>
      </c>
      <c r="D1933" s="163" t="str">
        <f>IFERROR(__xludf.DUMMYFUNCTION("""COMPUTED_VALUE"""),"ORL")</f>
        <v>ORL</v>
      </c>
      <c r="E1933" s="164" t="str">
        <f>IFERROR(__xludf.DUMMYFUNCTION("""COMPUTED_VALUE"""),"Stationary Shooter")</f>
        <v>Stationary Shooter</v>
      </c>
      <c r="F1933" s="164">
        <f>IFERROR(__xludf.DUMMYFUNCTION("""COMPUTED_VALUE"""),43.1166666666667)</f>
        <v>43.11666667</v>
      </c>
      <c r="G1933" s="163">
        <f>IFERROR(__xludf.DUMMYFUNCTION("""COMPUTED_VALUE"""),5.0)</f>
        <v>5</v>
      </c>
      <c r="H1933" s="163" t="str">
        <f>IFERROR(__xludf.DUMMYFUNCTION("""COMPUTED_VALUE"""),"SG")</f>
        <v>SG</v>
      </c>
      <c r="I1933" s="163">
        <f>IFERROR(__xludf.DUMMYFUNCTION("""COMPUTED_VALUE"""),23.0)</f>
        <v>23</v>
      </c>
      <c r="J1933" s="165">
        <f>IFERROR(__xludf.DUMMYFUNCTION("""COMPUTED_VALUE"""),-0.668009448457216)</f>
        <v>-0.6680094485</v>
      </c>
      <c r="K1933" s="165">
        <f>IFERROR(__xludf.DUMMYFUNCTION("""COMPUTED_VALUE"""),-0.732731066591983)</f>
        <v>-0.7327310666</v>
      </c>
      <c r="L1933" s="165">
        <f>IFERROR(__xludf.DUMMYFUNCTION("""COMPUTED_VALUE"""),0.0647216181347671)</f>
        <v>0.06472161813</v>
      </c>
      <c r="M1933" s="166">
        <f t="shared" si="2"/>
        <v>0.0470653115</v>
      </c>
      <c r="N1933" s="167">
        <f t="shared" si="3"/>
        <v>8.623333333</v>
      </c>
      <c r="O1933" s="163">
        <f t="shared" ref="O1933:Q1933" si="1937">rank(I1933,I:I)</f>
        <v>2765</v>
      </c>
      <c r="P1933" s="163">
        <f t="shared" si="1937"/>
        <v>2093</v>
      </c>
      <c r="Q1933" s="163">
        <f t="shared" si="1937"/>
        <v>2458</v>
      </c>
      <c r="R1933" s="163">
        <f>IFERROR(__xludf.DUMMYFUNCTION("RANK(M1933,filter(M:M,C:C=C1933))"),404.0)</f>
        <v>404</v>
      </c>
      <c r="S1933" s="161" t="b">
        <f t="shared" si="5"/>
        <v>0</v>
      </c>
      <c r="T1933" s="161" t="b">
        <f t="array" ref="T1933">index('Query Tool'!B:B,match(H1933,'Query Tool'!C:C,0))</f>
        <v>1</v>
      </c>
      <c r="U1933" s="161" t="b">
        <f t="array" ref="U1933">index('Query Tool'!B:B,match(C1933,'Query Tool'!C:C,0))</f>
        <v>0</v>
      </c>
      <c r="V1933" s="161" t="b">
        <f>F1933&gt;='Query Tool'!C$32</f>
        <v>0</v>
      </c>
      <c r="W1933" s="161" t="b">
        <f t="array" ref="W1933">index(Dropdowns!B:B,match(I1933,Dropdowns!A:A,0))</f>
        <v>1</v>
      </c>
      <c r="X1933" s="161" t="b">
        <f t="array" ref="X1933">index('Query Tool'!B:B,match(D1933,'Query Tool'!C:C,0))</f>
        <v>1</v>
      </c>
      <c r="Y1933" s="161" t="str">
        <f t="shared" si="6"/>
        <v>garinpa01,2016-17</v>
      </c>
      <c r="Z1933" s="168" t="str">
        <f t="array" ref="Z1933">iferror(index(I:I,match($A1933&amp;","&amp;index('Year Conversion'!$A:$A,match($C1933,'Year Conversion'!$B:$B,0)),$Y:$Y,0))-I1933,"")</f>
        <v/>
      </c>
      <c r="AA1933" s="168" t="str">
        <f t="array" ref="AA1933">iferror(index(J:J,match($A1933&amp;","&amp;index('Year Conversion'!$A:$A,match($C1933,'Year Conversion'!$B:$B,0)),$Y:$Y,0))-J1933,"")</f>
        <v/>
      </c>
      <c r="AB1933" s="168" t="str">
        <f t="array" ref="AB1933">iferror(index(K:K,match($A1933&amp;","&amp;index('Year Conversion'!$A:$A,match($C1933,'Year Conversion'!$B:$B,0)),$Y:$Y,0))-K1933,"")</f>
        <v/>
      </c>
      <c r="AC1933" s="168" t="str">
        <f t="shared" si="7"/>
        <v>ORL,2016-17</v>
      </c>
    </row>
    <row r="1934">
      <c r="A1934" s="161" t="str">
        <f>IFERROR(__xludf.DUMMYFUNCTION("""COMPUTED_VALUE"""),"georgma01")</f>
        <v>georgma01</v>
      </c>
      <c r="B1934" s="161" t="str">
        <f>IFERROR(__xludf.DUMMYFUNCTION("""COMPUTED_VALUE"""),"Marcus Georges-Hunt")</f>
        <v>Marcus Georges-Hunt</v>
      </c>
      <c r="C1934" s="162" t="str">
        <f>IFERROR(__xludf.DUMMYFUNCTION("""COMPUTED_VALUE"""),"2016-17")</f>
        <v>2016-17</v>
      </c>
      <c r="D1934" s="163" t="str">
        <f>IFERROR(__xludf.DUMMYFUNCTION("""COMPUTED_VALUE"""),"ORL")</f>
        <v>ORL</v>
      </c>
      <c r="E1934" s="164" t="str">
        <f>IFERROR(__xludf.DUMMYFUNCTION("""COMPUTED_VALUE"""),"Athletic Finisher")</f>
        <v>Athletic Finisher</v>
      </c>
      <c r="F1934" s="164">
        <f>IFERROR(__xludf.DUMMYFUNCTION("""COMPUTED_VALUE"""),47.5166666666667)</f>
        <v>47.51666667</v>
      </c>
      <c r="G1934" s="163">
        <f>IFERROR(__xludf.DUMMYFUNCTION("""COMPUTED_VALUE"""),5.0)</f>
        <v>5</v>
      </c>
      <c r="H1934" s="163" t="str">
        <f>IFERROR(__xludf.DUMMYFUNCTION("""COMPUTED_VALUE"""),"SG")</f>
        <v>SG</v>
      </c>
      <c r="I1934" s="163">
        <f>IFERROR(__xludf.DUMMYFUNCTION("""COMPUTED_VALUE"""),22.0)</f>
        <v>22</v>
      </c>
      <c r="J1934" s="165">
        <f>IFERROR(__xludf.DUMMYFUNCTION("""COMPUTED_VALUE"""),-0.687911290987282)</f>
        <v>-0.687911291</v>
      </c>
      <c r="K1934" s="165">
        <f>IFERROR(__xludf.DUMMYFUNCTION("""COMPUTED_VALUE"""),-0.698202169825525)</f>
        <v>-0.6982021698</v>
      </c>
      <c r="L1934" s="165">
        <f>IFERROR(__xludf.DUMMYFUNCTION("""COMPUTED_VALUE"""),0.0102908788382423)</f>
        <v>0.01029087884</v>
      </c>
      <c r="M1934" s="166">
        <f t="shared" si="2"/>
        <v>0.05123192484</v>
      </c>
      <c r="N1934" s="167">
        <f t="shared" si="3"/>
        <v>9.503333333</v>
      </c>
      <c r="O1934" s="163">
        <f t="shared" ref="O1934:Q1934" si="1938">rank(I1934,I:I)</f>
        <v>3178</v>
      </c>
      <c r="P1934" s="163">
        <f t="shared" si="1938"/>
        <v>2124</v>
      </c>
      <c r="Q1934" s="163">
        <f t="shared" si="1938"/>
        <v>2412</v>
      </c>
      <c r="R1934" s="163">
        <f>IFERROR(__xludf.DUMMYFUNCTION("RANK(M1934,filter(M:M,C:C=C1934))"),399.0)</f>
        <v>399</v>
      </c>
      <c r="S1934" s="161" t="b">
        <f t="shared" si="5"/>
        <v>0</v>
      </c>
      <c r="T1934" s="161" t="b">
        <f t="array" ref="T1934">index('Query Tool'!B:B,match(H1934,'Query Tool'!C:C,0))</f>
        <v>1</v>
      </c>
      <c r="U1934" s="161" t="b">
        <f t="array" ref="U1934">index('Query Tool'!B:B,match(C1934,'Query Tool'!C:C,0))</f>
        <v>0</v>
      </c>
      <c r="V1934" s="161" t="b">
        <f>F1934&gt;='Query Tool'!C$32</f>
        <v>0</v>
      </c>
      <c r="W1934" s="161" t="b">
        <f t="array" ref="W1934">index(Dropdowns!B:B,match(I1934,Dropdowns!A:A,0))</f>
        <v>1</v>
      </c>
      <c r="X1934" s="161" t="b">
        <f t="array" ref="X1934">index('Query Tool'!B:B,match(D1934,'Query Tool'!C:C,0))</f>
        <v>1</v>
      </c>
      <c r="Y1934" s="161" t="str">
        <f t="shared" si="6"/>
        <v>georgma01,2016-17</v>
      </c>
      <c r="Z1934" s="168">
        <f t="array" ref="Z1934">iferror(index(I:I,match($A1934&amp;","&amp;index('Year Conversion'!$A:$A,match($C1934,'Year Conversion'!$B:$B,0)),$Y:$Y,0))-I1934,"")</f>
        <v>1</v>
      </c>
      <c r="AA1934" s="168">
        <f t="array" ref="AA1934">iferror(index(J:J,match($A1934&amp;","&amp;index('Year Conversion'!$A:$A,match($C1934,'Year Conversion'!$B:$B,0)),$Y:$Y,0))-J1934,"")</f>
        <v>-1.604335158</v>
      </c>
      <c r="AB1934" s="168">
        <f t="array" ref="AB1934">iferror(index(K:K,match($A1934&amp;","&amp;index('Year Conversion'!$A:$A,match($C1934,'Year Conversion'!$B:$B,0)),$Y:$Y,0))-K1934,"")</f>
        <v>-0.800721971</v>
      </c>
      <c r="AC1934" s="168" t="str">
        <f t="shared" si="7"/>
        <v>ORL,2016-17</v>
      </c>
    </row>
    <row r="1935">
      <c r="A1935" s="161" t="str">
        <f>IFERROR(__xludf.DUMMYFUNCTION("""COMPUTED_VALUE"""),"laproni01")</f>
        <v>laproni01</v>
      </c>
      <c r="B1935" s="161" t="str">
        <f>IFERROR(__xludf.DUMMYFUNCTION("""COMPUTED_VALUE"""),"Nicolas Laprovittola")</f>
        <v>Nicolas Laprovittola</v>
      </c>
      <c r="C1935" s="162" t="str">
        <f>IFERROR(__xludf.DUMMYFUNCTION("""COMPUTED_VALUE"""),"2016-17")</f>
        <v>2016-17</v>
      </c>
      <c r="D1935" s="163" t="str">
        <f>IFERROR(__xludf.DUMMYFUNCTION("""COMPUTED_VALUE"""),"SAS")</f>
        <v>SAS</v>
      </c>
      <c r="E1935" s="164" t="str">
        <f>IFERROR(__xludf.DUMMYFUNCTION("""COMPUTED_VALUE"""),"Secondary Ball Handler")</f>
        <v>Secondary Ball Handler</v>
      </c>
      <c r="F1935" s="164">
        <f>IFERROR(__xludf.DUMMYFUNCTION("""COMPUTED_VALUE"""),173.953333333333)</f>
        <v>173.9533333</v>
      </c>
      <c r="G1935" s="163">
        <f>IFERROR(__xludf.DUMMYFUNCTION("""COMPUTED_VALUE"""),18.0)</f>
        <v>18</v>
      </c>
      <c r="H1935" s="163" t="str">
        <f>IFERROR(__xludf.DUMMYFUNCTION("""COMPUTED_VALUE"""),"PG")</f>
        <v>PG</v>
      </c>
      <c r="I1935" s="163">
        <f>IFERROR(__xludf.DUMMYFUNCTION("""COMPUTED_VALUE"""),27.0)</f>
        <v>27</v>
      </c>
      <c r="J1935" s="165">
        <f>IFERROR(__xludf.DUMMYFUNCTION("""COMPUTED_VALUE"""),-2.36353286478519)</f>
        <v>-2.363532865</v>
      </c>
      <c r="K1935" s="165">
        <f>IFERROR(__xludf.DUMMYFUNCTION("""COMPUTED_VALUE"""),-1.26685673910962)</f>
        <v>-1.266856739</v>
      </c>
      <c r="L1935" s="165">
        <f>IFERROR(__xludf.DUMMYFUNCTION("""COMPUTED_VALUE"""),-1.09667612567558)</f>
        <v>-1.096676126</v>
      </c>
      <c r="M1935" s="166">
        <f t="shared" si="2"/>
        <v>-0.006880034084</v>
      </c>
      <c r="N1935" s="167">
        <f t="shared" si="3"/>
        <v>9.664074074</v>
      </c>
      <c r="O1935" s="163">
        <f t="shared" ref="O1935:Q1935" si="1939">rank(I1935,I:I)</f>
        <v>1366</v>
      </c>
      <c r="P1935" s="163">
        <f t="shared" si="1939"/>
        <v>3691</v>
      </c>
      <c r="Q1935" s="163">
        <f t="shared" si="1939"/>
        <v>3106</v>
      </c>
      <c r="R1935" s="163">
        <f>IFERROR(__xludf.DUMMYFUNCTION("RANK(M1935,filter(M:M,C:C=C1935))"),449.0)</f>
        <v>449</v>
      </c>
      <c r="S1935" s="161" t="b">
        <f t="shared" si="5"/>
        <v>0</v>
      </c>
      <c r="T1935" s="161" t="b">
        <f t="array" ref="T1935">index('Query Tool'!B:B,match(H1935,'Query Tool'!C:C,0))</f>
        <v>1</v>
      </c>
      <c r="U1935" s="161" t="b">
        <f t="array" ref="U1935">index('Query Tool'!B:B,match(C1935,'Query Tool'!C:C,0))</f>
        <v>0</v>
      </c>
      <c r="V1935" s="161" t="b">
        <f>F1935&gt;='Query Tool'!C$32</f>
        <v>0</v>
      </c>
      <c r="W1935" s="161" t="b">
        <f t="array" ref="W1935">index(Dropdowns!B:B,match(I1935,Dropdowns!A:A,0))</f>
        <v>1</v>
      </c>
      <c r="X1935" s="161" t="b">
        <f t="array" ref="X1935">index('Query Tool'!B:B,match(D1935,'Query Tool'!C:C,0))</f>
        <v>1</v>
      </c>
      <c r="Y1935" s="161" t="str">
        <f t="shared" si="6"/>
        <v>laproni01,2016-17</v>
      </c>
      <c r="Z1935" s="168" t="str">
        <f t="array" ref="Z1935">iferror(index(I:I,match($A1935&amp;","&amp;index('Year Conversion'!$A:$A,match($C1935,'Year Conversion'!$B:$B,0)),$Y:$Y,0))-I1935,"")</f>
        <v/>
      </c>
      <c r="AA1935" s="168" t="str">
        <f t="array" ref="AA1935">iferror(index(J:J,match($A1935&amp;","&amp;index('Year Conversion'!$A:$A,match($C1935,'Year Conversion'!$B:$B,0)),$Y:$Y,0))-J1935,"")</f>
        <v/>
      </c>
      <c r="AB1935" s="168" t="str">
        <f t="array" ref="AB1935">iferror(index(K:K,match($A1935&amp;","&amp;index('Year Conversion'!$A:$A,match($C1935,'Year Conversion'!$B:$B,0)),$Y:$Y,0))-K1935,"")</f>
        <v/>
      </c>
      <c r="AC1935" s="168" t="str">
        <f t="shared" si="7"/>
        <v>SAS,2016-17</v>
      </c>
    </row>
    <row r="1936">
      <c r="A1936" s="161" t="str">
        <f>IFERROR(__xludf.DUMMYFUNCTION("""COMPUTED_VALUE"""),"jonesde02")</f>
        <v>jonesde02</v>
      </c>
      <c r="B1936" s="161" t="str">
        <f>IFERROR(__xludf.DUMMYFUNCTION("""COMPUTED_VALUE"""),"Derrick Jones Jr.")</f>
        <v>Derrick Jones Jr.</v>
      </c>
      <c r="C1936" s="162" t="str">
        <f>IFERROR(__xludf.DUMMYFUNCTION("""COMPUTED_VALUE"""),"2016-17")</f>
        <v>2016-17</v>
      </c>
      <c r="D1936" s="163" t="str">
        <f>IFERROR(__xludf.DUMMYFUNCTION("""COMPUTED_VALUE"""),"PHO")</f>
        <v>PHO</v>
      </c>
      <c r="E1936" s="164" t="str">
        <f>IFERROR(__xludf.DUMMYFUNCTION("""COMPUTED_VALUE"""),"Roll + Cut Big")</f>
        <v>Roll + Cut Big</v>
      </c>
      <c r="F1936" s="164">
        <f>IFERROR(__xludf.DUMMYFUNCTION("""COMPUTED_VALUE"""),545.4)</f>
        <v>545.4</v>
      </c>
      <c r="G1936" s="163">
        <f>IFERROR(__xludf.DUMMYFUNCTION("""COMPUTED_VALUE"""),32.0)</f>
        <v>32</v>
      </c>
      <c r="H1936" s="163" t="str">
        <f>IFERROR(__xludf.DUMMYFUNCTION("""COMPUTED_VALUE"""),"SF")</f>
        <v>SF</v>
      </c>
      <c r="I1936" s="163">
        <f>IFERROR(__xludf.DUMMYFUNCTION("""COMPUTED_VALUE"""),19.0)</f>
        <v>19</v>
      </c>
      <c r="J1936" s="165">
        <f>IFERROR(__xludf.DUMMYFUNCTION("""COMPUTED_VALUE"""),-1.11743151497204)</f>
        <v>-1.117431515</v>
      </c>
      <c r="K1936" s="165">
        <f>IFERROR(__xludf.DUMMYFUNCTION("""COMPUTED_VALUE"""),-0.742184876716231)</f>
        <v>-0.7421848767</v>
      </c>
      <c r="L1936" s="165">
        <f>IFERROR(__xludf.DUMMYFUNCTION("""COMPUTED_VALUE"""),-0.375246638255811)</f>
        <v>-0.3752466383</v>
      </c>
      <c r="M1936" s="166">
        <f t="shared" si="2"/>
        <v>0.4306531815</v>
      </c>
      <c r="N1936" s="167">
        <f t="shared" si="3"/>
        <v>17.04375</v>
      </c>
      <c r="O1936" s="163">
        <f t="shared" ref="O1936:Q1936" si="1940">rank(I1936,I:I)</f>
        <v>3945</v>
      </c>
      <c r="P1936" s="163">
        <f t="shared" si="1940"/>
        <v>2640</v>
      </c>
      <c r="Q1936" s="163">
        <f t="shared" si="1940"/>
        <v>2470</v>
      </c>
      <c r="R1936" s="163">
        <f>IFERROR(__xludf.DUMMYFUNCTION("RANK(M1936,filter(M:M,C:C=C1936))"),294.0)</f>
        <v>294</v>
      </c>
      <c r="S1936" s="161" t="b">
        <f t="shared" si="5"/>
        <v>0</v>
      </c>
      <c r="T1936" s="161" t="b">
        <f t="array" ref="T1936">index('Query Tool'!B:B,match(H1936,'Query Tool'!C:C,0))</f>
        <v>1</v>
      </c>
      <c r="U1936" s="161" t="b">
        <f t="array" ref="U1936">index('Query Tool'!B:B,match(C1936,'Query Tool'!C:C,0))</f>
        <v>0</v>
      </c>
      <c r="V1936" s="161" t="b">
        <f>F1936&gt;='Query Tool'!C$32</f>
        <v>1</v>
      </c>
      <c r="W1936" s="161" t="b">
        <f t="array" ref="W1936">index(Dropdowns!B:B,match(I1936,Dropdowns!A:A,0))</f>
        <v>1</v>
      </c>
      <c r="X1936" s="161" t="b">
        <f t="array" ref="X1936">index('Query Tool'!B:B,match(D1936,'Query Tool'!C:C,0))</f>
        <v>1</v>
      </c>
      <c r="Y1936" s="161" t="str">
        <f t="shared" si="6"/>
        <v>jonesde02,2016-17</v>
      </c>
      <c r="Z1936" s="168">
        <f t="array" ref="Z1936">iferror(index(I:I,match($A1936&amp;","&amp;index('Year Conversion'!$A:$A,match($C1936,'Year Conversion'!$B:$B,0)),$Y:$Y,0))-I1936,"")</f>
        <v>1</v>
      </c>
      <c r="AA1936" s="168">
        <f t="array" ref="AA1936">iferror(index(J:J,match($A1936&amp;","&amp;index('Year Conversion'!$A:$A,match($C1936,'Year Conversion'!$B:$B,0)),$Y:$Y,0))-J1936,"")</f>
        <v>0.09803007953</v>
      </c>
      <c r="AB1936" s="168">
        <f t="array" ref="AB1936">iferror(index(K:K,match($A1936&amp;","&amp;index('Year Conversion'!$A:$A,match($C1936,'Year Conversion'!$B:$B,0)),$Y:$Y,0))-K1936,"")</f>
        <v>-0.2422814426</v>
      </c>
      <c r="AC1936" s="168" t="str">
        <f t="shared" si="7"/>
        <v>PHO,2016-17</v>
      </c>
    </row>
    <row r="1937">
      <c r="A1937" s="161" t="str">
        <f>IFERROR(__xludf.DUMMYFUNCTION("""COMPUTED_VALUE"""),"nwabada01")</f>
        <v>nwabada01</v>
      </c>
      <c r="B1937" s="161" t="str">
        <f>IFERROR(__xludf.DUMMYFUNCTION("""COMPUTED_VALUE"""),"David Nwaba")</f>
        <v>David Nwaba</v>
      </c>
      <c r="C1937" s="162" t="str">
        <f>IFERROR(__xludf.DUMMYFUNCTION("""COMPUTED_VALUE"""),"2016-17")</f>
        <v>2016-17</v>
      </c>
      <c r="D1937" s="163" t="str">
        <f>IFERROR(__xludf.DUMMYFUNCTION("""COMPUTED_VALUE"""),"LAL")</f>
        <v>LAL</v>
      </c>
      <c r="E1937" s="164" t="str">
        <f>IFERROR(__xludf.DUMMYFUNCTION("""COMPUTED_VALUE"""),"Athletic Finisher")</f>
        <v>Athletic Finisher</v>
      </c>
      <c r="F1937" s="164">
        <f>IFERROR(__xludf.DUMMYFUNCTION("""COMPUTED_VALUE"""),397.241666666667)</f>
        <v>397.2416667</v>
      </c>
      <c r="G1937" s="163">
        <f>IFERROR(__xludf.DUMMYFUNCTION("""COMPUTED_VALUE"""),20.0)</f>
        <v>20</v>
      </c>
      <c r="H1937" s="163" t="str">
        <f>IFERROR(__xludf.DUMMYFUNCTION("""COMPUTED_VALUE"""),"SG")</f>
        <v>SG</v>
      </c>
      <c r="I1937" s="163">
        <f>IFERROR(__xludf.DUMMYFUNCTION("""COMPUTED_VALUE"""),24.0)</f>
        <v>24</v>
      </c>
      <c r="J1937" s="165">
        <f>IFERROR(__xludf.DUMMYFUNCTION("""COMPUTED_VALUE"""),-1.57493987597057)</f>
        <v>-1.574939876</v>
      </c>
      <c r="K1937" s="165">
        <f>IFERROR(__xludf.DUMMYFUNCTION("""COMPUTED_VALUE"""),-2.05682600697687)</f>
        <v>-2.056826007</v>
      </c>
      <c r="L1937" s="165">
        <f>IFERROR(__xludf.DUMMYFUNCTION("""COMPUTED_VALUE"""),0.481886131006307)</f>
        <v>0.481886131</v>
      </c>
      <c r="M1937" s="166">
        <f t="shared" si="2"/>
        <v>0.1920671241</v>
      </c>
      <c r="N1937" s="167">
        <f t="shared" si="3"/>
        <v>19.86208333</v>
      </c>
      <c r="O1937" s="163">
        <f t="shared" ref="O1937:Q1937" si="1941">rank(I1937,I:I)</f>
        <v>2361</v>
      </c>
      <c r="P1937" s="163">
        <f t="shared" si="1941"/>
        <v>3123</v>
      </c>
      <c r="Q1937" s="163">
        <f t="shared" si="1941"/>
        <v>3736</v>
      </c>
      <c r="R1937" s="163">
        <f>IFERROR(__xludf.DUMMYFUNCTION("RANK(M1937,filter(M:M,C:C=C1937))"),344.0)</f>
        <v>344</v>
      </c>
      <c r="S1937" s="161" t="b">
        <f t="shared" si="5"/>
        <v>0</v>
      </c>
      <c r="T1937" s="161" t="b">
        <f t="array" ref="T1937">index('Query Tool'!B:B,match(H1937,'Query Tool'!C:C,0))</f>
        <v>1</v>
      </c>
      <c r="U1937" s="161" t="b">
        <f t="array" ref="U1937">index('Query Tool'!B:B,match(C1937,'Query Tool'!C:C,0))</f>
        <v>0</v>
      </c>
      <c r="V1937" s="161" t="b">
        <f>F1937&gt;='Query Tool'!C$32</f>
        <v>0</v>
      </c>
      <c r="W1937" s="161" t="b">
        <f t="array" ref="W1937">index(Dropdowns!B:B,match(I1937,Dropdowns!A:A,0))</f>
        <v>1</v>
      </c>
      <c r="X1937" s="161" t="b">
        <f t="array" ref="X1937">index('Query Tool'!B:B,match(D1937,'Query Tool'!C:C,0))</f>
        <v>1</v>
      </c>
      <c r="Y1937" s="161" t="str">
        <f t="shared" si="6"/>
        <v>nwabada01,2016-17</v>
      </c>
      <c r="Z1937" s="168">
        <f t="array" ref="Z1937">iferror(index(I:I,match($A1937&amp;","&amp;index('Year Conversion'!$A:$A,match($C1937,'Year Conversion'!$B:$B,0)),$Y:$Y,0))-I1937,"")</f>
        <v>1</v>
      </c>
      <c r="AA1937" s="168">
        <f t="array" ref="AA1937">iferror(index(J:J,match($A1937&amp;","&amp;index('Year Conversion'!$A:$A,match($C1937,'Year Conversion'!$B:$B,0)),$Y:$Y,0))-J1937,"")</f>
        <v>-0.9514895671</v>
      </c>
      <c r="AB1937" s="168">
        <f t="array" ref="AB1937">iferror(index(K:K,match($A1937&amp;","&amp;index('Year Conversion'!$A:$A,match($C1937,'Year Conversion'!$B:$B,0)),$Y:$Y,0))-K1937,"")</f>
        <v>0.7382755336</v>
      </c>
      <c r="AC1937" s="168" t="str">
        <f t="shared" si="7"/>
        <v>LAL,2016-17</v>
      </c>
    </row>
    <row r="1938">
      <c r="A1938" s="161" t="str">
        <f>IFERROR(__xludf.DUMMYFUNCTION("""COMPUTED_VALUE"""),"cartevi01")</f>
        <v>cartevi01</v>
      </c>
      <c r="B1938" s="161" t="str">
        <f>IFERROR(__xludf.DUMMYFUNCTION("""COMPUTED_VALUE"""),"Vince Carter")</f>
        <v>Vince Carter</v>
      </c>
      <c r="C1938" s="162" t="str">
        <f>IFERROR(__xludf.DUMMYFUNCTION("""COMPUTED_VALUE"""),"2017-18")</f>
        <v>2017-18</v>
      </c>
      <c r="D1938" s="163" t="str">
        <f>IFERROR(__xludf.DUMMYFUNCTION("""COMPUTED_VALUE"""),"SAC")</f>
        <v>SAC</v>
      </c>
      <c r="E1938" s="164" t="str">
        <f>IFERROR(__xludf.DUMMYFUNCTION("""COMPUTED_VALUE"""),"Movement Shooter")</f>
        <v>Movement Shooter</v>
      </c>
      <c r="F1938" s="164">
        <f>IFERROR(__xludf.DUMMYFUNCTION("""COMPUTED_VALUE"""),1025.99)</f>
        <v>1025.99</v>
      </c>
      <c r="G1938" s="163">
        <f>IFERROR(__xludf.DUMMYFUNCTION("""COMPUTED_VALUE"""),58.0)</f>
        <v>58</v>
      </c>
      <c r="H1938" s="163" t="str">
        <f>IFERROR(__xludf.DUMMYFUNCTION("""COMPUTED_VALUE"""),"SF")</f>
        <v>SF</v>
      </c>
      <c r="I1938" s="163">
        <f>IFERROR(__xludf.DUMMYFUNCTION("""COMPUTED_VALUE"""),41.0)</f>
        <v>41</v>
      </c>
      <c r="J1938" s="165">
        <f>IFERROR(__xludf.DUMMYFUNCTION("""COMPUTED_VALUE"""),-0.444016938838596)</f>
        <v>-0.4440169388</v>
      </c>
      <c r="K1938" s="165">
        <f>IFERROR(__xludf.DUMMYFUNCTION("""COMPUTED_VALUE"""),-1.22273452043799)</f>
        <v>-1.22273452</v>
      </c>
      <c r="L1938" s="165">
        <f>IFERROR(__xludf.DUMMYFUNCTION("""COMPUTED_VALUE"""),0.778717581599395)</f>
        <v>0.7787175816</v>
      </c>
      <c r="M1938" s="166">
        <f t="shared" si="2"/>
        <v>1.274686824</v>
      </c>
      <c r="N1938" s="167">
        <f t="shared" si="3"/>
        <v>17.68948276</v>
      </c>
      <c r="O1938" s="163">
        <f t="shared" ref="O1938:Q1938" si="1942">rank(I1938,I:I)</f>
        <v>3</v>
      </c>
      <c r="P1938" s="163">
        <f t="shared" si="1942"/>
        <v>1769</v>
      </c>
      <c r="Q1938" s="163">
        <f t="shared" si="1942"/>
        <v>3055</v>
      </c>
      <c r="R1938" s="163">
        <f>IFERROR(__xludf.DUMMYFUNCTION("RANK(M1938,filter(M:M,C:C=C1938))"),208.0)</f>
        <v>208</v>
      </c>
      <c r="S1938" s="161" t="b">
        <f t="shared" si="5"/>
        <v>0</v>
      </c>
      <c r="T1938" s="161" t="b">
        <f t="array" ref="T1938">index('Query Tool'!B:B,match(H1938,'Query Tool'!C:C,0))</f>
        <v>1</v>
      </c>
      <c r="U1938" s="161" t="b">
        <f t="array" ref="U1938">index('Query Tool'!B:B,match(C1938,'Query Tool'!C:C,0))</f>
        <v>0</v>
      </c>
      <c r="V1938" s="161" t="b">
        <f>F1938&gt;='Query Tool'!C$32</f>
        <v>1</v>
      </c>
      <c r="W1938" s="161" t="b">
        <f t="array" ref="W1938">index(Dropdowns!B:B,match(I1938,Dropdowns!A:A,0))</f>
        <v>1</v>
      </c>
      <c r="X1938" s="161" t="b">
        <f t="array" ref="X1938">index('Query Tool'!B:B,match(D1938,'Query Tool'!C:C,0))</f>
        <v>1</v>
      </c>
      <c r="Y1938" s="161" t="str">
        <f t="shared" si="6"/>
        <v>cartevi01,2017-18</v>
      </c>
      <c r="Z1938" s="168">
        <f t="array" ref="Z1938">iferror(index(I:I,match($A1938&amp;","&amp;index('Year Conversion'!$A:$A,match($C1938,'Year Conversion'!$B:$B,0)),$Y:$Y,0))-I1938,"")</f>
        <v>1</v>
      </c>
      <c r="AA1938" s="168">
        <f t="array" ref="AA1938">iferror(index(J:J,match($A1938&amp;","&amp;index('Year Conversion'!$A:$A,match($C1938,'Year Conversion'!$B:$B,0)),$Y:$Y,0))-J1938,"")</f>
        <v>-0.7299755169</v>
      </c>
      <c r="AB1938" s="168">
        <f t="array" ref="AB1938">iferror(index(K:K,match($A1938&amp;","&amp;index('Year Conversion'!$A:$A,match($C1938,'Year Conversion'!$B:$B,0)),$Y:$Y,0))-K1938,"")</f>
        <v>0.159625338</v>
      </c>
      <c r="AC1938" s="168" t="str">
        <f t="shared" si="7"/>
        <v>SAC,2017-18</v>
      </c>
    </row>
    <row r="1939">
      <c r="A1939" s="161" t="str">
        <f>IFERROR(__xludf.DUMMYFUNCTION("""COMPUTED_VALUE"""),"nowitdi01")</f>
        <v>nowitdi01</v>
      </c>
      <c r="B1939" s="161" t="str">
        <f>IFERROR(__xludf.DUMMYFUNCTION("""COMPUTED_VALUE"""),"Dirk Nowitzki")</f>
        <v>Dirk Nowitzki</v>
      </c>
      <c r="C1939" s="162" t="str">
        <f>IFERROR(__xludf.DUMMYFUNCTION("""COMPUTED_VALUE"""),"2017-18")</f>
        <v>2017-18</v>
      </c>
      <c r="D1939" s="163" t="str">
        <f>IFERROR(__xludf.DUMMYFUNCTION("""COMPUTED_VALUE"""),"DAL")</f>
        <v>DAL</v>
      </c>
      <c r="E1939" s="164" t="str">
        <f>IFERROR(__xludf.DUMMYFUNCTION("""COMPUTED_VALUE"""),"Versatile Big")</f>
        <v>Versatile Big</v>
      </c>
      <c r="F1939" s="164">
        <f>IFERROR(__xludf.DUMMYFUNCTION("""COMPUTED_VALUE"""),1900.33833333333)</f>
        <v>1900.338333</v>
      </c>
      <c r="G1939" s="163">
        <f>IFERROR(__xludf.DUMMYFUNCTION("""COMPUTED_VALUE"""),77.0)</f>
        <v>77</v>
      </c>
      <c r="H1939" s="163" t="str">
        <f>IFERROR(__xludf.DUMMYFUNCTION("""COMPUTED_VALUE"""),"C")</f>
        <v>C</v>
      </c>
      <c r="I1939" s="163">
        <f>IFERROR(__xludf.DUMMYFUNCTION("""COMPUTED_VALUE"""),39.0)</f>
        <v>39</v>
      </c>
      <c r="J1939" s="165">
        <f>IFERROR(__xludf.DUMMYFUNCTION("""COMPUTED_VALUE"""),0.841683162883566)</f>
        <v>0.8416831629</v>
      </c>
      <c r="K1939" s="165">
        <f>IFERROR(__xludf.DUMMYFUNCTION("""COMPUTED_VALUE"""),-0.101071731842155)</f>
        <v>-0.1010717318</v>
      </c>
      <c r="L1939" s="165">
        <f>IFERROR(__xludf.DUMMYFUNCTION("""COMPUTED_VALUE"""),0.942754894725721)</f>
        <v>0.9427548947</v>
      </c>
      <c r="M1939" s="166">
        <f t="shared" si="2"/>
        <v>4.006983263</v>
      </c>
      <c r="N1939" s="167">
        <f t="shared" si="3"/>
        <v>24.67971861</v>
      </c>
      <c r="O1939" s="163">
        <f t="shared" ref="O1939:Q1939" si="1943">rank(I1939,I:I)</f>
        <v>8</v>
      </c>
      <c r="P1939" s="163">
        <f t="shared" si="1943"/>
        <v>717</v>
      </c>
      <c r="Q1939" s="163">
        <f t="shared" si="1943"/>
        <v>1369</v>
      </c>
      <c r="R1939" s="163">
        <f>IFERROR(__xludf.DUMMYFUNCTION("RANK(M1939,filter(M:M,C:C=C1939))"),86.0)</f>
        <v>86</v>
      </c>
      <c r="S1939" s="161" t="b">
        <f t="shared" si="5"/>
        <v>0</v>
      </c>
      <c r="T1939" s="161" t="b">
        <f t="array" ref="T1939">index('Query Tool'!B:B,match(H1939,'Query Tool'!C:C,0))</f>
        <v>1</v>
      </c>
      <c r="U1939" s="161" t="b">
        <f t="array" ref="U1939">index('Query Tool'!B:B,match(C1939,'Query Tool'!C:C,0))</f>
        <v>0</v>
      </c>
      <c r="V1939" s="161" t="b">
        <f>F1939&gt;='Query Tool'!C$32</f>
        <v>1</v>
      </c>
      <c r="W1939" s="161" t="b">
        <f t="array" ref="W1939">index(Dropdowns!B:B,match(I1939,Dropdowns!A:A,0))</f>
        <v>1</v>
      </c>
      <c r="X1939" s="161" t="b">
        <f t="array" ref="X1939">index('Query Tool'!B:B,match(D1939,'Query Tool'!C:C,0))</f>
        <v>1</v>
      </c>
      <c r="Y1939" s="161" t="str">
        <f t="shared" si="6"/>
        <v>nowitdi01,2017-18</v>
      </c>
      <c r="Z1939" s="168">
        <f t="array" ref="Z1939">iferror(index(I:I,match($A1939&amp;","&amp;index('Year Conversion'!$A:$A,match($C1939,'Year Conversion'!$B:$B,0)),$Y:$Y,0))-I1939,"")</f>
        <v>1</v>
      </c>
      <c r="AA1939" s="168">
        <f t="array" ref="AA1939">iferror(index(J:J,match($A1939&amp;","&amp;index('Year Conversion'!$A:$A,match($C1939,'Year Conversion'!$B:$B,0)),$Y:$Y,0))-J1939,"")</f>
        <v>-1.891967885</v>
      </c>
      <c r="AB1939" s="168">
        <f t="array" ref="AB1939">iferror(index(K:K,match($A1939&amp;","&amp;index('Year Conversion'!$A:$A,match($C1939,'Year Conversion'!$B:$B,0)),$Y:$Y,0))-K1939,"")</f>
        <v>-0.2431470809</v>
      </c>
      <c r="AC1939" s="168" t="str">
        <f t="shared" si="7"/>
        <v>DAL,2017-18</v>
      </c>
    </row>
    <row r="1940">
      <c r="A1940" s="161" t="str">
        <f>IFERROR(__xludf.DUMMYFUNCTION("""COMPUTED_VALUE"""),"terryja01")</f>
        <v>terryja01</v>
      </c>
      <c r="B1940" s="161" t="str">
        <f>IFERROR(__xludf.DUMMYFUNCTION("""COMPUTED_VALUE"""),"Jason Terry")</f>
        <v>Jason Terry</v>
      </c>
      <c r="C1940" s="162" t="str">
        <f>IFERROR(__xludf.DUMMYFUNCTION("""COMPUTED_VALUE"""),"2017-18")</f>
        <v>2017-18</v>
      </c>
      <c r="D1940" s="163" t="str">
        <f>IFERROR(__xludf.DUMMYFUNCTION("""COMPUTED_VALUE"""),"MIL")</f>
        <v>MIL</v>
      </c>
      <c r="E1940" s="164" t="str">
        <f>IFERROR(__xludf.DUMMYFUNCTION("""COMPUTED_VALUE"""),"Stationary Shooter")</f>
        <v>Stationary Shooter</v>
      </c>
      <c r="F1940" s="164">
        <f>IFERROR(__xludf.DUMMYFUNCTION("""COMPUTED_VALUE"""),813.646666666667)</f>
        <v>813.6466667</v>
      </c>
      <c r="G1940" s="163">
        <f>IFERROR(__xludf.DUMMYFUNCTION("""COMPUTED_VALUE"""),51.0)</f>
        <v>51</v>
      </c>
      <c r="H1940" s="163" t="str">
        <f>IFERROR(__xludf.DUMMYFUNCTION("""COMPUTED_VALUE"""),"SG")</f>
        <v>SG</v>
      </c>
      <c r="I1940" s="163">
        <f>IFERROR(__xludf.DUMMYFUNCTION("""COMPUTED_VALUE"""),40.0)</f>
        <v>40</v>
      </c>
      <c r="J1940" s="165">
        <f>IFERROR(__xludf.DUMMYFUNCTION("""COMPUTED_VALUE"""),-1.62493669541167)</f>
        <v>-1.624936695</v>
      </c>
      <c r="K1940" s="165">
        <f>IFERROR(__xludf.DUMMYFUNCTION("""COMPUTED_VALUE"""),-1.66420651738881)</f>
        <v>-1.664206517</v>
      </c>
      <c r="L1940" s="165">
        <f>IFERROR(__xludf.DUMMYFUNCTION("""COMPUTED_VALUE"""),0.0392698219771429)</f>
        <v>0.03926982198</v>
      </c>
      <c r="M1940" s="166">
        <f t="shared" si="2"/>
        <v>0.3662644278</v>
      </c>
      <c r="N1940" s="167">
        <f t="shared" si="3"/>
        <v>15.95385621</v>
      </c>
      <c r="O1940" s="163">
        <f t="shared" ref="O1940:Q1940" si="1944">rank(I1940,I:I)</f>
        <v>4</v>
      </c>
      <c r="P1940" s="163">
        <f t="shared" si="1944"/>
        <v>3171</v>
      </c>
      <c r="Q1940" s="163">
        <f t="shared" si="1944"/>
        <v>3493</v>
      </c>
      <c r="R1940" s="163">
        <f>IFERROR(__xludf.DUMMYFUNCTION("RANK(M1940,filter(M:M,C:C=C1940))"),305.0)</f>
        <v>305</v>
      </c>
      <c r="S1940" s="161" t="b">
        <f t="shared" si="5"/>
        <v>0</v>
      </c>
      <c r="T1940" s="161" t="b">
        <f t="array" ref="T1940">index('Query Tool'!B:B,match(H1940,'Query Tool'!C:C,0))</f>
        <v>1</v>
      </c>
      <c r="U1940" s="161" t="b">
        <f t="array" ref="U1940">index('Query Tool'!B:B,match(C1940,'Query Tool'!C:C,0))</f>
        <v>0</v>
      </c>
      <c r="V1940" s="161" t="b">
        <f>F1940&gt;='Query Tool'!C$32</f>
        <v>1</v>
      </c>
      <c r="W1940" s="161" t="b">
        <f t="array" ref="W1940">index(Dropdowns!B:B,match(I1940,Dropdowns!A:A,0))</f>
        <v>1</v>
      </c>
      <c r="X1940" s="161" t="b">
        <f t="array" ref="X1940">index('Query Tool'!B:B,match(D1940,'Query Tool'!C:C,0))</f>
        <v>1</v>
      </c>
      <c r="Y1940" s="161" t="str">
        <f t="shared" si="6"/>
        <v>terryja01,2017-18</v>
      </c>
      <c r="Z1940" s="168" t="str">
        <f t="array" ref="Z1940">iferror(index(I:I,match($A1940&amp;","&amp;index('Year Conversion'!$A:$A,match($C1940,'Year Conversion'!$B:$B,0)),$Y:$Y,0))-I1940,"")</f>
        <v/>
      </c>
      <c r="AA1940" s="168" t="str">
        <f t="array" ref="AA1940">iferror(index(J:J,match($A1940&amp;","&amp;index('Year Conversion'!$A:$A,match($C1940,'Year Conversion'!$B:$B,0)),$Y:$Y,0))-J1940,"")</f>
        <v/>
      </c>
      <c r="AB1940" s="168" t="str">
        <f t="array" ref="AB1940">iferror(index(K:K,match($A1940&amp;","&amp;index('Year Conversion'!$A:$A,match($C1940,'Year Conversion'!$B:$B,0)),$Y:$Y,0))-K1940,"")</f>
        <v/>
      </c>
      <c r="AC1940" s="168" t="str">
        <f t="shared" si="7"/>
        <v>MIL,2017-18</v>
      </c>
    </row>
    <row r="1941">
      <c r="A1941" s="161" t="str">
        <f>IFERROR(__xludf.DUMMYFUNCTION("""COMPUTED_VALUE"""),"ginobma01")</f>
        <v>ginobma01</v>
      </c>
      <c r="B1941" s="161" t="str">
        <f>IFERROR(__xludf.DUMMYFUNCTION("""COMPUTED_VALUE"""),"Manu Ginobili")</f>
        <v>Manu Ginobili</v>
      </c>
      <c r="C1941" s="162" t="str">
        <f>IFERROR(__xludf.DUMMYFUNCTION("""COMPUTED_VALUE"""),"2017-18")</f>
        <v>2017-18</v>
      </c>
      <c r="D1941" s="163" t="str">
        <f>IFERROR(__xludf.DUMMYFUNCTION("""COMPUTED_VALUE"""),"SAS")</f>
        <v>SAS</v>
      </c>
      <c r="E1941" s="164" t="str">
        <f>IFERROR(__xludf.DUMMYFUNCTION("""COMPUTED_VALUE"""),"Secondary Ball Handler")</f>
        <v>Secondary Ball Handler</v>
      </c>
      <c r="F1941" s="164">
        <f>IFERROR(__xludf.DUMMYFUNCTION("""COMPUTED_VALUE"""),1298.91833333333)</f>
        <v>1298.918333</v>
      </c>
      <c r="G1941" s="163">
        <f>IFERROR(__xludf.DUMMYFUNCTION("""COMPUTED_VALUE"""),65.0)</f>
        <v>65</v>
      </c>
      <c r="H1941" s="163" t="str">
        <f>IFERROR(__xludf.DUMMYFUNCTION("""COMPUTED_VALUE"""),"SG")</f>
        <v>SG</v>
      </c>
      <c r="I1941" s="163">
        <f>IFERROR(__xludf.DUMMYFUNCTION("""COMPUTED_VALUE"""),40.0)</f>
        <v>40</v>
      </c>
      <c r="J1941" s="165">
        <f>IFERROR(__xludf.DUMMYFUNCTION("""COMPUTED_VALUE"""),-0.201976362057061)</f>
        <v>-0.2019763621</v>
      </c>
      <c r="K1941" s="165">
        <f>IFERROR(__xludf.DUMMYFUNCTION("""COMPUTED_VALUE"""),0.538423475366472)</f>
        <v>0.5384234754</v>
      </c>
      <c r="L1941" s="165">
        <f>IFERROR(__xludf.DUMMYFUNCTION("""COMPUTED_VALUE"""),-0.740399837423533)</f>
        <v>-0.7403998374</v>
      </c>
      <c r="M1941" s="166">
        <f t="shared" si="2"/>
        <v>1.825634883</v>
      </c>
      <c r="N1941" s="167">
        <f t="shared" si="3"/>
        <v>19.98335897</v>
      </c>
      <c r="O1941" s="163">
        <f t="shared" ref="O1941:Q1941" si="1945">rank(I1941,I:I)</f>
        <v>4</v>
      </c>
      <c r="P1941" s="163">
        <f t="shared" si="1945"/>
        <v>1509</v>
      </c>
      <c r="Q1941" s="163">
        <f t="shared" si="1945"/>
        <v>747</v>
      </c>
      <c r="R1941" s="163">
        <f>IFERROR(__xludf.DUMMYFUNCTION("RANK(M1941,filter(M:M,C:C=C1941))"),166.0)</f>
        <v>166</v>
      </c>
      <c r="S1941" s="161" t="b">
        <f t="shared" si="5"/>
        <v>0</v>
      </c>
      <c r="T1941" s="161" t="b">
        <f t="array" ref="T1941">index('Query Tool'!B:B,match(H1941,'Query Tool'!C:C,0))</f>
        <v>1</v>
      </c>
      <c r="U1941" s="161" t="b">
        <f t="array" ref="U1941">index('Query Tool'!B:B,match(C1941,'Query Tool'!C:C,0))</f>
        <v>0</v>
      </c>
      <c r="V1941" s="161" t="b">
        <f>F1941&gt;='Query Tool'!C$32</f>
        <v>1</v>
      </c>
      <c r="W1941" s="161" t="b">
        <f t="array" ref="W1941">index(Dropdowns!B:B,match(I1941,Dropdowns!A:A,0))</f>
        <v>1</v>
      </c>
      <c r="X1941" s="161" t="b">
        <f t="array" ref="X1941">index('Query Tool'!B:B,match(D1941,'Query Tool'!C:C,0))</f>
        <v>1</v>
      </c>
      <c r="Y1941" s="161" t="str">
        <f t="shared" si="6"/>
        <v>ginobma01,2017-18</v>
      </c>
      <c r="Z1941" s="168" t="str">
        <f t="array" ref="Z1941">iferror(index(I:I,match($A1941&amp;","&amp;index('Year Conversion'!$A:$A,match($C1941,'Year Conversion'!$B:$B,0)),$Y:$Y,0))-I1941,"")</f>
        <v/>
      </c>
      <c r="AA1941" s="168" t="str">
        <f t="array" ref="AA1941">iferror(index(J:J,match($A1941&amp;","&amp;index('Year Conversion'!$A:$A,match($C1941,'Year Conversion'!$B:$B,0)),$Y:$Y,0))-J1941,"")</f>
        <v/>
      </c>
      <c r="AB1941" s="168" t="str">
        <f t="array" ref="AB1941">iferror(index(K:K,match($A1941&amp;","&amp;index('Year Conversion'!$A:$A,match($C1941,'Year Conversion'!$B:$B,0)),$Y:$Y,0))-K1941,"")</f>
        <v/>
      </c>
      <c r="AC1941" s="168" t="str">
        <f t="shared" si="7"/>
        <v>SAS,2017-18</v>
      </c>
    </row>
    <row r="1942">
      <c r="A1942" s="161" t="str">
        <f>IFERROR(__xludf.DUMMYFUNCTION("""COMPUTED_VALUE"""),"crawfja01")</f>
        <v>crawfja01</v>
      </c>
      <c r="B1942" s="161" t="str">
        <f>IFERROR(__xludf.DUMMYFUNCTION("""COMPUTED_VALUE"""),"Jamal Crawford")</f>
        <v>Jamal Crawford</v>
      </c>
      <c r="C1942" s="162" t="str">
        <f>IFERROR(__xludf.DUMMYFUNCTION("""COMPUTED_VALUE"""),"2017-18")</f>
        <v>2017-18</v>
      </c>
      <c r="D1942" s="163" t="str">
        <f>IFERROR(__xludf.DUMMYFUNCTION("""COMPUTED_VALUE"""),"MIN")</f>
        <v>MIN</v>
      </c>
      <c r="E1942" s="164" t="str">
        <f>IFERROR(__xludf.DUMMYFUNCTION("""COMPUTED_VALUE"""),"Shot Creator")</f>
        <v>Shot Creator</v>
      </c>
      <c r="F1942" s="164">
        <f>IFERROR(__xludf.DUMMYFUNCTION("""COMPUTED_VALUE"""),1653.25833333333)</f>
        <v>1653.258333</v>
      </c>
      <c r="G1942" s="163">
        <f>IFERROR(__xludf.DUMMYFUNCTION("""COMPUTED_VALUE"""),80.0)</f>
        <v>80</v>
      </c>
      <c r="H1942" s="163" t="str">
        <f>IFERROR(__xludf.DUMMYFUNCTION("""COMPUTED_VALUE"""),"SG")</f>
        <v>SG</v>
      </c>
      <c r="I1942" s="163">
        <f>IFERROR(__xludf.DUMMYFUNCTION("""COMPUTED_VALUE"""),37.0)</f>
        <v>37</v>
      </c>
      <c r="J1942" s="165">
        <f>IFERROR(__xludf.DUMMYFUNCTION("""COMPUTED_VALUE"""),-3.56437672530287)</f>
        <v>-3.564376725</v>
      </c>
      <c r="K1942" s="165">
        <f>IFERROR(__xludf.DUMMYFUNCTION("""COMPUTED_VALUE"""),0.0730662416257625)</f>
        <v>0.07306624163</v>
      </c>
      <c r="L1942" s="165">
        <f>IFERROR(__xludf.DUMMYFUNCTION("""COMPUTED_VALUE"""),-3.63744296692863)</f>
        <v>-3.637442967</v>
      </c>
      <c r="M1942" s="166">
        <f t="shared" si="2"/>
        <v>-1.355448353</v>
      </c>
      <c r="N1942" s="167">
        <f t="shared" si="3"/>
        <v>20.66572917</v>
      </c>
      <c r="O1942" s="163">
        <f t="shared" ref="O1942:Q1942" si="1946">rank(I1942,I:I)</f>
        <v>38</v>
      </c>
      <c r="P1942" s="163">
        <f t="shared" si="1946"/>
        <v>3974</v>
      </c>
      <c r="Q1942" s="163">
        <f t="shared" si="1946"/>
        <v>1102</v>
      </c>
      <c r="R1942" s="163">
        <f>IFERROR(__xludf.DUMMYFUNCTION("RANK(M1942,filter(M:M,C:C=C1942))"),539.0)</f>
        <v>539</v>
      </c>
      <c r="S1942" s="161" t="b">
        <f t="shared" si="5"/>
        <v>0</v>
      </c>
      <c r="T1942" s="161" t="b">
        <f t="array" ref="T1942">index('Query Tool'!B:B,match(H1942,'Query Tool'!C:C,0))</f>
        <v>1</v>
      </c>
      <c r="U1942" s="161" t="b">
        <f t="array" ref="U1942">index('Query Tool'!B:B,match(C1942,'Query Tool'!C:C,0))</f>
        <v>0</v>
      </c>
      <c r="V1942" s="161" t="b">
        <f>F1942&gt;='Query Tool'!C$32</f>
        <v>1</v>
      </c>
      <c r="W1942" s="161" t="b">
        <f t="array" ref="W1942">index(Dropdowns!B:B,match(I1942,Dropdowns!A:A,0))</f>
        <v>1</v>
      </c>
      <c r="X1942" s="161" t="b">
        <f t="array" ref="X1942">index('Query Tool'!B:B,match(D1942,'Query Tool'!C:C,0))</f>
        <v>1</v>
      </c>
      <c r="Y1942" s="161" t="str">
        <f t="shared" si="6"/>
        <v>crawfja01,2017-18</v>
      </c>
      <c r="Z1942" s="168">
        <f t="array" ref="Z1942">iferror(index(I:I,match($A1942&amp;","&amp;index('Year Conversion'!$A:$A,match($C1942,'Year Conversion'!$B:$B,0)),$Y:$Y,0))-I1942,"")</f>
        <v>1</v>
      </c>
      <c r="AA1942" s="168">
        <f t="array" ref="AA1942">iferror(index(J:J,match($A1942&amp;","&amp;index('Year Conversion'!$A:$A,match($C1942,'Year Conversion'!$B:$B,0)),$Y:$Y,0))-J1942,"")</f>
        <v>-0.5706653075</v>
      </c>
      <c r="AB1942" s="168">
        <f t="array" ref="AB1942">iferror(index(K:K,match($A1942&amp;","&amp;index('Year Conversion'!$A:$A,match($C1942,'Year Conversion'!$B:$B,0)),$Y:$Y,0))-K1942,"")</f>
        <v>-0.9245538919</v>
      </c>
      <c r="AC1942" s="168" t="str">
        <f t="shared" si="7"/>
        <v>MIN,2017-18</v>
      </c>
    </row>
    <row r="1943">
      <c r="A1943" s="161" t="str">
        <f>IFERROR(__xludf.DUMMYFUNCTION("""COMPUTED_VALUE"""),"chandty01")</f>
        <v>chandty01</v>
      </c>
      <c r="B1943" s="161" t="str">
        <f>IFERROR(__xludf.DUMMYFUNCTION("""COMPUTED_VALUE"""),"Tyson Chandler")</f>
        <v>Tyson Chandler</v>
      </c>
      <c r="C1943" s="162" t="str">
        <f>IFERROR(__xludf.DUMMYFUNCTION("""COMPUTED_VALUE"""),"2017-18")</f>
        <v>2017-18</v>
      </c>
      <c r="D1943" s="163" t="str">
        <f>IFERROR(__xludf.DUMMYFUNCTION("""COMPUTED_VALUE"""),"PHO")</f>
        <v>PHO</v>
      </c>
      <c r="E1943" s="164" t="str">
        <f>IFERROR(__xludf.DUMMYFUNCTION("""COMPUTED_VALUE"""),"Roll + Cut Big")</f>
        <v>Roll + Cut Big</v>
      </c>
      <c r="F1943" s="164">
        <f>IFERROR(__xludf.DUMMYFUNCTION("""COMPUTED_VALUE"""),1150.69333333333)</f>
        <v>1150.693333</v>
      </c>
      <c r="G1943" s="163">
        <f>IFERROR(__xludf.DUMMYFUNCTION("""COMPUTED_VALUE"""),46.0)</f>
        <v>46</v>
      </c>
      <c r="H1943" s="163" t="str">
        <f>IFERROR(__xludf.DUMMYFUNCTION("""COMPUTED_VALUE"""),"C")</f>
        <v>C</v>
      </c>
      <c r="I1943" s="163">
        <f>IFERROR(__xludf.DUMMYFUNCTION("""COMPUTED_VALUE"""),35.0)</f>
        <v>35</v>
      </c>
      <c r="J1943" s="165">
        <f>IFERROR(__xludf.DUMMYFUNCTION("""COMPUTED_VALUE"""),-0.65077261234164)</f>
        <v>-0.6507726123</v>
      </c>
      <c r="K1943" s="165">
        <f>IFERROR(__xludf.DUMMYFUNCTION("""COMPUTED_VALUE"""),-1.5152459196355)</f>
        <v>-1.51524592</v>
      </c>
      <c r="L1943" s="165">
        <f>IFERROR(__xludf.DUMMYFUNCTION("""COMPUTED_VALUE"""),0.864473307293857)</f>
        <v>0.8644733073</v>
      </c>
      <c r="M1943" s="166">
        <f t="shared" si="2"/>
        <v>1.269422265</v>
      </c>
      <c r="N1943" s="167">
        <f t="shared" si="3"/>
        <v>25.01507246</v>
      </c>
      <c r="O1943" s="163">
        <f t="shared" ref="O1943:Q1943" si="1947">rank(I1943,I:I)</f>
        <v>104</v>
      </c>
      <c r="P1943" s="163">
        <f t="shared" si="1947"/>
        <v>2066</v>
      </c>
      <c r="Q1943" s="163">
        <f t="shared" si="1947"/>
        <v>3372</v>
      </c>
      <c r="R1943" s="163">
        <f>IFERROR(__xludf.DUMMYFUNCTION("RANK(M1943,filter(M:M,C:C=C1943))"),209.0)</f>
        <v>209</v>
      </c>
      <c r="S1943" s="161" t="b">
        <f t="shared" si="5"/>
        <v>0</v>
      </c>
      <c r="T1943" s="161" t="b">
        <f t="array" ref="T1943">index('Query Tool'!B:B,match(H1943,'Query Tool'!C:C,0))</f>
        <v>1</v>
      </c>
      <c r="U1943" s="161" t="b">
        <f t="array" ref="U1943">index('Query Tool'!B:B,match(C1943,'Query Tool'!C:C,0))</f>
        <v>0</v>
      </c>
      <c r="V1943" s="161" t="b">
        <f>F1943&gt;='Query Tool'!C$32</f>
        <v>1</v>
      </c>
      <c r="W1943" s="161" t="b">
        <f t="array" ref="W1943">index(Dropdowns!B:B,match(I1943,Dropdowns!A:A,0))</f>
        <v>1</v>
      </c>
      <c r="X1943" s="161" t="b">
        <f t="array" ref="X1943">index('Query Tool'!B:B,match(D1943,'Query Tool'!C:C,0))</f>
        <v>1</v>
      </c>
      <c r="Y1943" s="161" t="str">
        <f t="shared" si="6"/>
        <v>chandty01,2017-18</v>
      </c>
      <c r="Z1943" s="168">
        <f t="array" ref="Z1943">iferror(index(I:I,match($A1943&amp;","&amp;index('Year Conversion'!$A:$A,match($C1943,'Year Conversion'!$B:$B,0)),$Y:$Y,0))-I1943,"")</f>
        <v>1</v>
      </c>
      <c r="AA1943" s="168">
        <f t="array" ref="AA1943">iferror(index(J:J,match($A1943&amp;","&amp;index('Year Conversion'!$A:$A,match($C1943,'Year Conversion'!$B:$B,0)),$Y:$Y,0))-J1943,"")</f>
        <v>-0.3727375908</v>
      </c>
      <c r="AB1943" s="168">
        <f t="array" ref="AB1943">iferror(index(K:K,match($A1943&amp;","&amp;index('Year Conversion'!$A:$A,match($C1943,'Year Conversion'!$B:$B,0)),$Y:$Y,0))-K1943,"")</f>
        <v>-1.37895261</v>
      </c>
      <c r="AC1943" s="168" t="str">
        <f t="shared" si="7"/>
        <v>PHO,2017-18</v>
      </c>
    </row>
    <row r="1944">
      <c r="A1944" s="161" t="str">
        <f>IFERROR(__xludf.DUMMYFUNCTION("""COMPUTED_VALUE"""),"gasolpa01")</f>
        <v>gasolpa01</v>
      </c>
      <c r="B1944" s="161" t="str">
        <f>IFERROR(__xludf.DUMMYFUNCTION("""COMPUTED_VALUE"""),"Pau Gasol")</f>
        <v>Pau Gasol</v>
      </c>
      <c r="C1944" s="162" t="str">
        <f>IFERROR(__xludf.DUMMYFUNCTION("""COMPUTED_VALUE"""),"2017-18")</f>
        <v>2017-18</v>
      </c>
      <c r="D1944" s="163" t="str">
        <f>IFERROR(__xludf.DUMMYFUNCTION("""COMPUTED_VALUE"""),"SAS")</f>
        <v>SAS</v>
      </c>
      <c r="E1944" s="164" t="str">
        <f>IFERROR(__xludf.DUMMYFUNCTION("""COMPUTED_VALUE"""),"Post Scorer")</f>
        <v>Post Scorer</v>
      </c>
      <c r="F1944" s="164">
        <f>IFERROR(__xludf.DUMMYFUNCTION("""COMPUTED_VALUE"""),1811.92166666667)</f>
        <v>1811.921667</v>
      </c>
      <c r="G1944" s="163">
        <f>IFERROR(__xludf.DUMMYFUNCTION("""COMPUTED_VALUE"""),77.0)</f>
        <v>77</v>
      </c>
      <c r="H1944" s="163" t="str">
        <f>IFERROR(__xludf.DUMMYFUNCTION("""COMPUTED_VALUE"""),"C")</f>
        <v>C</v>
      </c>
      <c r="I1944" s="163">
        <f>IFERROR(__xludf.DUMMYFUNCTION("""COMPUTED_VALUE"""),37.0)</f>
        <v>37</v>
      </c>
      <c r="J1944" s="165">
        <f>IFERROR(__xludf.DUMMYFUNCTION("""COMPUTED_VALUE"""),1.15724125865357)</f>
        <v>1.157241259</v>
      </c>
      <c r="K1944" s="165">
        <f>IFERROR(__xludf.DUMMYFUNCTION("""COMPUTED_VALUE"""),-0.531515872318499)</f>
        <v>-0.5315158723</v>
      </c>
      <c r="L1944" s="165">
        <f>IFERROR(__xludf.DUMMYFUNCTION("""COMPUTED_VALUE"""),1.68875713097207)</f>
        <v>1.688757131</v>
      </c>
      <c r="M1944" s="166">
        <f t="shared" si="2"/>
        <v>4.204416881</v>
      </c>
      <c r="N1944" s="167">
        <f t="shared" si="3"/>
        <v>23.53145022</v>
      </c>
      <c r="O1944" s="163">
        <f t="shared" ref="O1944:Q1944" si="1948">rank(I1944,I:I)</f>
        <v>38</v>
      </c>
      <c r="P1944" s="163">
        <f t="shared" si="1948"/>
        <v>590</v>
      </c>
      <c r="Q1944" s="163">
        <f t="shared" si="1948"/>
        <v>2156</v>
      </c>
      <c r="R1944" s="163">
        <f>IFERROR(__xludf.DUMMYFUNCTION("RANK(M1944,filter(M:M,C:C=C1944))"),76.0)</f>
        <v>76</v>
      </c>
      <c r="S1944" s="161" t="b">
        <f t="shared" si="5"/>
        <v>0</v>
      </c>
      <c r="T1944" s="161" t="b">
        <f t="array" ref="T1944">index('Query Tool'!B:B,match(H1944,'Query Tool'!C:C,0))</f>
        <v>1</v>
      </c>
      <c r="U1944" s="161" t="b">
        <f t="array" ref="U1944">index('Query Tool'!B:B,match(C1944,'Query Tool'!C:C,0))</f>
        <v>0</v>
      </c>
      <c r="V1944" s="161" t="b">
        <f>F1944&gt;='Query Tool'!C$32</f>
        <v>1</v>
      </c>
      <c r="W1944" s="161" t="b">
        <f t="array" ref="W1944">index(Dropdowns!B:B,match(I1944,Dropdowns!A:A,0))</f>
        <v>1</v>
      </c>
      <c r="X1944" s="161" t="b">
        <f t="array" ref="X1944">index('Query Tool'!B:B,match(D1944,'Query Tool'!C:C,0))</f>
        <v>1</v>
      </c>
      <c r="Y1944" s="161" t="str">
        <f t="shared" si="6"/>
        <v>gasolpa01,2017-18</v>
      </c>
      <c r="Z1944" s="168">
        <f t="array" ref="Z1944">iferror(index(I:I,match($A1944&amp;","&amp;index('Year Conversion'!$A:$A,match($C1944,'Year Conversion'!$B:$B,0)),$Y:$Y,0))-I1944,"")</f>
        <v>1</v>
      </c>
      <c r="AA1944" s="168">
        <f t="array" ref="AA1944">iferror(index(J:J,match($A1944&amp;","&amp;index('Year Conversion'!$A:$A,match($C1944,'Year Conversion'!$B:$B,0)),$Y:$Y,0))-J1944,"")</f>
        <v>-0.1268911455</v>
      </c>
      <c r="AB1944" s="168">
        <f t="array" ref="AB1944">iferror(index(K:K,match($A1944&amp;","&amp;index('Year Conversion'!$A:$A,match($C1944,'Year Conversion'!$B:$B,0)),$Y:$Y,0))-K1944,"")</f>
        <v>-0.00706033363</v>
      </c>
      <c r="AC1944" s="168" t="str">
        <f t="shared" si="7"/>
        <v>SAS,2017-18</v>
      </c>
    </row>
    <row r="1945">
      <c r="A1945" s="161" t="str">
        <f>IFERROR(__xludf.DUMMYFUNCTION("""COMPUTED_VALUE"""),"johnsjo02")</f>
        <v>johnsjo02</v>
      </c>
      <c r="B1945" s="161" t="str">
        <f>IFERROR(__xludf.DUMMYFUNCTION("""COMPUTED_VALUE"""),"Joe Johnson")</f>
        <v>Joe Johnson</v>
      </c>
      <c r="C1945" s="162" t="str">
        <f>IFERROR(__xludf.DUMMYFUNCTION("""COMPUTED_VALUE"""),"2017-18")</f>
        <v>2017-18</v>
      </c>
      <c r="D1945" s="163" t="str">
        <f>IFERROR(__xludf.DUMMYFUNCTION("""COMPUTED_VALUE"""),"TOT")</f>
        <v>TOT</v>
      </c>
      <c r="E1945" s="164" t="str">
        <f>IFERROR(__xludf.DUMMYFUNCTION("""COMPUTED_VALUE"""),"Stationary Shooter")</f>
        <v>Stationary Shooter</v>
      </c>
      <c r="F1945" s="164">
        <f>IFERROR(__xludf.DUMMYFUNCTION("""COMPUTED_VALUE"""),1204.75)</f>
        <v>1204.75</v>
      </c>
      <c r="G1945" s="163">
        <f>IFERROR(__xludf.DUMMYFUNCTION("""COMPUTED_VALUE"""),55.0)</f>
        <v>55</v>
      </c>
      <c r="H1945" s="163" t="str">
        <f>IFERROR(__xludf.DUMMYFUNCTION("""COMPUTED_VALUE"""),"SF")</f>
        <v>SF</v>
      </c>
      <c r="I1945" s="163">
        <f>IFERROR(__xludf.DUMMYFUNCTION("""COMPUTED_VALUE"""),36.0)</f>
        <v>36</v>
      </c>
      <c r="J1945" s="165">
        <f>IFERROR(__xludf.DUMMYFUNCTION("""COMPUTED_VALUE"""),-1.89934590523143)</f>
        <v>-1.899345905</v>
      </c>
      <c r="K1945" s="165">
        <f>IFERROR(__xludf.DUMMYFUNCTION("""COMPUTED_VALUE"""),-1.0974474434538)</f>
        <v>-1.097447443</v>
      </c>
      <c r="L1945" s="165">
        <f>IFERROR(__xludf.DUMMYFUNCTION("""COMPUTED_VALUE"""),-0.801898461777632)</f>
        <v>-0.8018984618</v>
      </c>
      <c r="M1945" s="166">
        <f t="shared" si="2"/>
        <v>0.322301995</v>
      </c>
      <c r="N1945" s="167">
        <f t="shared" si="3"/>
        <v>21.90454545</v>
      </c>
      <c r="O1945" s="163">
        <f t="shared" ref="O1945:Q1945" si="1949">rank(I1945,I:I)</f>
        <v>65</v>
      </c>
      <c r="P1945" s="163">
        <f t="shared" si="1949"/>
        <v>3416</v>
      </c>
      <c r="Q1945" s="163">
        <f t="shared" si="1949"/>
        <v>2927</v>
      </c>
      <c r="R1945" s="163">
        <f>IFERROR(__xludf.DUMMYFUNCTION("RANK(M1945,filter(M:M,C:C=C1945))"),318.0)</f>
        <v>318</v>
      </c>
      <c r="S1945" s="161" t="b">
        <f t="shared" si="5"/>
        <v>0</v>
      </c>
      <c r="T1945" s="161" t="b">
        <f t="array" ref="T1945">index('Query Tool'!B:B,match(H1945,'Query Tool'!C:C,0))</f>
        <v>1</v>
      </c>
      <c r="U1945" s="161" t="b">
        <f t="array" ref="U1945">index('Query Tool'!B:B,match(C1945,'Query Tool'!C:C,0))</f>
        <v>0</v>
      </c>
      <c r="V1945" s="161" t="b">
        <f>F1945&gt;='Query Tool'!C$32</f>
        <v>1</v>
      </c>
      <c r="W1945" s="161" t="b">
        <f t="array" ref="W1945">index(Dropdowns!B:B,match(I1945,Dropdowns!A:A,0))</f>
        <v>1</v>
      </c>
      <c r="X1945" s="161" t="b">
        <f t="array" ref="X1945">index('Query Tool'!B:B,match(D1945,'Query Tool'!C:C,0))</f>
        <v>1</v>
      </c>
      <c r="Y1945" s="161" t="str">
        <f t="shared" si="6"/>
        <v>johnsjo02,2017-18</v>
      </c>
      <c r="Z1945" s="168" t="str">
        <f t="array" ref="Z1945">iferror(index(I:I,match($A1945&amp;","&amp;index('Year Conversion'!$A:$A,match($C1945,'Year Conversion'!$B:$B,0)),$Y:$Y,0))-I1945,"")</f>
        <v/>
      </c>
      <c r="AA1945" s="168" t="str">
        <f t="array" ref="AA1945">iferror(index(J:J,match($A1945&amp;","&amp;index('Year Conversion'!$A:$A,match($C1945,'Year Conversion'!$B:$B,0)),$Y:$Y,0))-J1945,"")</f>
        <v/>
      </c>
      <c r="AB1945" s="168" t="str">
        <f t="array" ref="AB1945">iferror(index(K:K,match($A1945&amp;","&amp;index('Year Conversion'!$A:$A,match($C1945,'Year Conversion'!$B:$B,0)),$Y:$Y,0))-K1945,"")</f>
        <v/>
      </c>
      <c r="AC1945" s="168" t="str">
        <f t="shared" si="7"/>
        <v>TOT,2017-18</v>
      </c>
    </row>
    <row r="1946">
      <c r="A1946" s="161" t="str">
        <f>IFERROR(__xludf.DUMMYFUNCTION("""COMPUTED_VALUE"""),"jefferi01")</f>
        <v>jefferi01</v>
      </c>
      <c r="B1946" s="161" t="str">
        <f>IFERROR(__xludf.DUMMYFUNCTION("""COMPUTED_VALUE"""),"Richard Jefferson")</f>
        <v>Richard Jefferson</v>
      </c>
      <c r="C1946" s="162" t="str">
        <f>IFERROR(__xludf.DUMMYFUNCTION("""COMPUTED_VALUE"""),"2017-18")</f>
        <v>2017-18</v>
      </c>
      <c r="D1946" s="163" t="str">
        <f>IFERROR(__xludf.DUMMYFUNCTION("""COMPUTED_VALUE"""),"DEN")</f>
        <v>DEN</v>
      </c>
      <c r="E1946" s="164" t="str">
        <f>IFERROR(__xludf.DUMMYFUNCTION("""COMPUTED_VALUE"""),"Athletic Finisher")</f>
        <v>Athletic Finisher</v>
      </c>
      <c r="F1946" s="164">
        <f>IFERROR(__xludf.DUMMYFUNCTION("""COMPUTED_VALUE"""),163.371666666667)</f>
        <v>163.3716667</v>
      </c>
      <c r="G1946" s="163">
        <f>IFERROR(__xludf.DUMMYFUNCTION("""COMPUTED_VALUE"""),20.0)</f>
        <v>20</v>
      </c>
      <c r="H1946" s="163" t="str">
        <f>IFERROR(__xludf.DUMMYFUNCTION("""COMPUTED_VALUE"""),"SF")</f>
        <v>SF</v>
      </c>
      <c r="I1946" s="163">
        <f>IFERROR(__xludf.DUMMYFUNCTION("""COMPUTED_VALUE"""),37.0)</f>
        <v>37</v>
      </c>
      <c r="J1946" s="165">
        <f>IFERROR(__xludf.DUMMYFUNCTION("""COMPUTED_VALUE"""),-1.97911980097884)</f>
        <v>-1.979119801</v>
      </c>
      <c r="K1946" s="165">
        <f>IFERROR(__xludf.DUMMYFUNCTION("""COMPUTED_VALUE"""),-1.6312731995482)</f>
        <v>-1.6312732</v>
      </c>
      <c r="L1946" s="165">
        <f>IFERROR(__xludf.DUMMYFUNCTION("""COMPUTED_VALUE"""),-0.347846601430639)</f>
        <v>-0.3478466014</v>
      </c>
      <c r="M1946" s="166">
        <f t="shared" si="2"/>
        <v>0.03505590117</v>
      </c>
      <c r="N1946" s="167">
        <f t="shared" si="3"/>
        <v>8.168583333</v>
      </c>
      <c r="O1946" s="163">
        <f t="shared" ref="O1946:Q1946" si="1950">rank(I1946,I:I)</f>
        <v>38</v>
      </c>
      <c r="P1946" s="163">
        <f t="shared" si="1950"/>
        <v>3464</v>
      </c>
      <c r="Q1946" s="163">
        <f t="shared" si="1950"/>
        <v>3469</v>
      </c>
      <c r="R1946" s="163">
        <f>IFERROR(__xludf.DUMMYFUNCTION("RANK(M1946,filter(M:M,C:C=C1946))"),445.0)</f>
        <v>445</v>
      </c>
      <c r="S1946" s="161" t="b">
        <f t="shared" si="5"/>
        <v>0</v>
      </c>
      <c r="T1946" s="161" t="b">
        <f t="array" ref="T1946">index('Query Tool'!B:B,match(H1946,'Query Tool'!C:C,0))</f>
        <v>1</v>
      </c>
      <c r="U1946" s="161" t="b">
        <f t="array" ref="U1946">index('Query Tool'!B:B,match(C1946,'Query Tool'!C:C,0))</f>
        <v>0</v>
      </c>
      <c r="V1946" s="161" t="b">
        <f>F1946&gt;='Query Tool'!C$32</f>
        <v>0</v>
      </c>
      <c r="W1946" s="161" t="b">
        <f t="array" ref="W1946">index(Dropdowns!B:B,match(I1946,Dropdowns!A:A,0))</f>
        <v>1</v>
      </c>
      <c r="X1946" s="161" t="b">
        <f t="array" ref="X1946">index('Query Tool'!B:B,match(D1946,'Query Tool'!C:C,0))</f>
        <v>1</v>
      </c>
      <c r="Y1946" s="161" t="str">
        <f t="shared" si="6"/>
        <v>jefferi01,2017-18</v>
      </c>
      <c r="Z1946" s="168" t="str">
        <f t="array" ref="Z1946">iferror(index(I:I,match($A1946&amp;","&amp;index('Year Conversion'!$A:$A,match($C1946,'Year Conversion'!$B:$B,0)),$Y:$Y,0))-I1946,"")</f>
        <v/>
      </c>
      <c r="AA1946" s="168" t="str">
        <f t="array" ref="AA1946">iferror(index(J:J,match($A1946&amp;","&amp;index('Year Conversion'!$A:$A,match($C1946,'Year Conversion'!$B:$B,0)),$Y:$Y,0))-J1946,"")</f>
        <v/>
      </c>
      <c r="AB1946" s="168" t="str">
        <f t="array" ref="AB1946">iferror(index(K:K,match($A1946&amp;","&amp;index('Year Conversion'!$A:$A,match($C1946,'Year Conversion'!$B:$B,0)),$Y:$Y,0))-K1946,"")</f>
        <v/>
      </c>
      <c r="AC1946" s="168" t="str">
        <f t="shared" si="7"/>
        <v>DEN,2017-18</v>
      </c>
    </row>
    <row r="1947">
      <c r="A1947" s="161" t="str">
        <f>IFERROR(__xludf.DUMMYFUNCTION("""COMPUTED_VALUE"""),"randoza01")</f>
        <v>randoza01</v>
      </c>
      <c r="B1947" s="161" t="str">
        <f>IFERROR(__xludf.DUMMYFUNCTION("""COMPUTED_VALUE"""),"Zach Randolph")</f>
        <v>Zach Randolph</v>
      </c>
      <c r="C1947" s="162" t="str">
        <f>IFERROR(__xludf.DUMMYFUNCTION("""COMPUTED_VALUE"""),"2017-18")</f>
        <v>2017-18</v>
      </c>
      <c r="D1947" s="163" t="str">
        <f>IFERROR(__xludf.DUMMYFUNCTION("""COMPUTED_VALUE"""),"SAC")</f>
        <v>SAC</v>
      </c>
      <c r="E1947" s="164" t="str">
        <f>IFERROR(__xludf.DUMMYFUNCTION("""COMPUTED_VALUE"""),"Post Scorer")</f>
        <v>Post Scorer</v>
      </c>
      <c r="F1947" s="164">
        <f>IFERROR(__xludf.DUMMYFUNCTION("""COMPUTED_VALUE"""),1507.61166666667)</f>
        <v>1507.611667</v>
      </c>
      <c r="G1947" s="163">
        <f>IFERROR(__xludf.DUMMYFUNCTION("""COMPUTED_VALUE"""),59.0)</f>
        <v>59</v>
      </c>
      <c r="H1947" s="163" t="str">
        <f>IFERROR(__xludf.DUMMYFUNCTION("""COMPUTED_VALUE"""),"PF")</f>
        <v>PF</v>
      </c>
      <c r="I1947" s="163">
        <f>IFERROR(__xludf.DUMMYFUNCTION("""COMPUTED_VALUE"""),36.0)</f>
        <v>36</v>
      </c>
      <c r="J1947" s="165">
        <f>IFERROR(__xludf.DUMMYFUNCTION("""COMPUTED_VALUE"""),-1.2433114355136)</f>
        <v>-1.243311436</v>
      </c>
      <c r="K1947" s="165">
        <f>IFERROR(__xludf.DUMMYFUNCTION("""COMPUTED_VALUE"""),-0.373767860743819)</f>
        <v>-0.3737678607</v>
      </c>
      <c r="L1947" s="165">
        <f>IFERROR(__xludf.DUMMYFUNCTION("""COMPUTED_VALUE"""),-0.869543574769785)</f>
        <v>-0.8695435748</v>
      </c>
      <c r="M1947" s="166">
        <f t="shared" si="2"/>
        <v>1.063219271</v>
      </c>
      <c r="N1947" s="167">
        <f t="shared" si="3"/>
        <v>25.55274011</v>
      </c>
      <c r="O1947" s="163">
        <f t="shared" ref="O1947:Q1947" si="1951">rank(I1947,I:I)</f>
        <v>65</v>
      </c>
      <c r="P1947" s="163">
        <f t="shared" si="1951"/>
        <v>2807</v>
      </c>
      <c r="Q1947" s="163">
        <f t="shared" si="1951"/>
        <v>1902</v>
      </c>
      <c r="R1947" s="163">
        <f>IFERROR(__xludf.DUMMYFUNCTION("RANK(M1947,filter(M:M,C:C=C1947))"),232.0)</f>
        <v>232</v>
      </c>
      <c r="S1947" s="161" t="b">
        <f t="shared" si="5"/>
        <v>0</v>
      </c>
      <c r="T1947" s="161" t="b">
        <f t="array" ref="T1947">index('Query Tool'!B:B,match(H1947,'Query Tool'!C:C,0))</f>
        <v>1</v>
      </c>
      <c r="U1947" s="161" t="b">
        <f t="array" ref="U1947">index('Query Tool'!B:B,match(C1947,'Query Tool'!C:C,0))</f>
        <v>0</v>
      </c>
      <c r="V1947" s="161" t="b">
        <f>F1947&gt;='Query Tool'!C$32</f>
        <v>1</v>
      </c>
      <c r="W1947" s="161" t="b">
        <f t="array" ref="W1947">index(Dropdowns!B:B,match(I1947,Dropdowns!A:A,0))</f>
        <v>1</v>
      </c>
      <c r="X1947" s="161" t="b">
        <f t="array" ref="X1947">index('Query Tool'!B:B,match(D1947,'Query Tool'!C:C,0))</f>
        <v>1</v>
      </c>
      <c r="Y1947" s="161" t="str">
        <f t="shared" si="6"/>
        <v>randoza01,2017-18</v>
      </c>
      <c r="Z1947" s="168" t="str">
        <f t="array" ref="Z1947">iferror(index(I:I,match($A1947&amp;","&amp;index('Year Conversion'!$A:$A,match($C1947,'Year Conversion'!$B:$B,0)),$Y:$Y,0))-I1947,"")</f>
        <v/>
      </c>
      <c r="AA1947" s="168" t="str">
        <f t="array" ref="AA1947">iferror(index(J:J,match($A1947&amp;","&amp;index('Year Conversion'!$A:$A,match($C1947,'Year Conversion'!$B:$B,0)),$Y:$Y,0))-J1947,"")</f>
        <v/>
      </c>
      <c r="AB1947" s="168" t="str">
        <f t="array" ref="AB1947">iferror(index(K:K,match($A1947&amp;","&amp;index('Year Conversion'!$A:$A,match($C1947,'Year Conversion'!$B:$B,0)),$Y:$Y,0))-K1947,"")</f>
        <v/>
      </c>
      <c r="AC1947" s="168" t="str">
        <f t="shared" si="7"/>
        <v>SAC,2017-18</v>
      </c>
    </row>
    <row r="1948">
      <c r="A1948" s="161" t="str">
        <f>IFERROR(__xludf.DUMMYFUNCTION("""COMPUTED_VALUE"""),"parketo01")</f>
        <v>parketo01</v>
      </c>
      <c r="B1948" s="161" t="str">
        <f>IFERROR(__xludf.DUMMYFUNCTION("""COMPUTED_VALUE"""),"Tony Parker")</f>
        <v>Tony Parker</v>
      </c>
      <c r="C1948" s="162" t="str">
        <f>IFERROR(__xludf.DUMMYFUNCTION("""COMPUTED_VALUE"""),"2017-18")</f>
        <v>2017-18</v>
      </c>
      <c r="D1948" s="163" t="str">
        <f>IFERROR(__xludf.DUMMYFUNCTION("""COMPUTED_VALUE"""),"SAS")</f>
        <v>SAS</v>
      </c>
      <c r="E1948" s="164" t="str">
        <f>IFERROR(__xludf.DUMMYFUNCTION("""COMPUTED_VALUE"""),"Slasher")</f>
        <v>Slasher</v>
      </c>
      <c r="F1948" s="164">
        <f>IFERROR(__xludf.DUMMYFUNCTION("""COMPUTED_VALUE"""),1070.87166666667)</f>
        <v>1070.871667</v>
      </c>
      <c r="G1948" s="163">
        <f>IFERROR(__xludf.DUMMYFUNCTION("""COMPUTED_VALUE"""),55.0)</f>
        <v>55</v>
      </c>
      <c r="H1948" s="163" t="str">
        <f>IFERROR(__xludf.DUMMYFUNCTION("""COMPUTED_VALUE"""),"PG")</f>
        <v>PG</v>
      </c>
      <c r="I1948" s="163">
        <f>IFERROR(__xludf.DUMMYFUNCTION("""COMPUTED_VALUE"""),35.0)</f>
        <v>35</v>
      </c>
      <c r="J1948" s="165">
        <f>IFERROR(__xludf.DUMMYFUNCTION("""COMPUTED_VALUE"""),-2.1023076784554)</f>
        <v>-2.102307678</v>
      </c>
      <c r="K1948" s="165">
        <f>IFERROR(__xludf.DUMMYFUNCTION("""COMPUTED_VALUE"""),-0.962131557541263)</f>
        <v>-0.9621315575</v>
      </c>
      <c r="L1948" s="165">
        <f>IFERROR(__xludf.DUMMYFUNCTION("""COMPUTED_VALUE"""),-1.14017612091414)</f>
        <v>-1.140176121</v>
      </c>
      <c r="M1948" s="166">
        <f t="shared" si="2"/>
        <v>0.1423734138</v>
      </c>
      <c r="N1948" s="167">
        <f t="shared" si="3"/>
        <v>19.47039394</v>
      </c>
      <c r="O1948" s="163">
        <f t="shared" ref="O1948:Q1948" si="1952">rank(I1948,I:I)</f>
        <v>104</v>
      </c>
      <c r="P1948" s="163">
        <f t="shared" si="1952"/>
        <v>3553</v>
      </c>
      <c r="Q1948" s="163">
        <f t="shared" si="1952"/>
        <v>2762</v>
      </c>
      <c r="R1948" s="163">
        <f>IFERROR(__xludf.DUMMYFUNCTION("RANK(M1948,filter(M:M,C:C=C1948))"),368.0)</f>
        <v>368</v>
      </c>
      <c r="S1948" s="161" t="b">
        <f t="shared" si="5"/>
        <v>0</v>
      </c>
      <c r="T1948" s="161" t="b">
        <f t="array" ref="T1948">index('Query Tool'!B:B,match(H1948,'Query Tool'!C:C,0))</f>
        <v>1</v>
      </c>
      <c r="U1948" s="161" t="b">
        <f t="array" ref="U1948">index('Query Tool'!B:B,match(C1948,'Query Tool'!C:C,0))</f>
        <v>0</v>
      </c>
      <c r="V1948" s="161" t="b">
        <f>F1948&gt;='Query Tool'!C$32</f>
        <v>1</v>
      </c>
      <c r="W1948" s="161" t="b">
        <f t="array" ref="W1948">index(Dropdowns!B:B,match(I1948,Dropdowns!A:A,0))</f>
        <v>1</v>
      </c>
      <c r="X1948" s="161" t="b">
        <f t="array" ref="X1948">index('Query Tool'!B:B,match(D1948,'Query Tool'!C:C,0))</f>
        <v>1</v>
      </c>
      <c r="Y1948" s="161" t="str">
        <f t="shared" si="6"/>
        <v>parketo01,2017-18</v>
      </c>
      <c r="Z1948" s="168">
        <f t="array" ref="Z1948">iferror(index(I:I,match($A1948&amp;","&amp;index('Year Conversion'!$A:$A,match($C1948,'Year Conversion'!$B:$B,0)),$Y:$Y,0))-I1948,"")</f>
        <v>1</v>
      </c>
      <c r="AA1948" s="168">
        <f t="array" ref="AA1948">iferror(index(J:J,match($A1948&amp;","&amp;index('Year Conversion'!$A:$A,match($C1948,'Year Conversion'!$B:$B,0)),$Y:$Y,0))-J1948,"")</f>
        <v>0.3597180936</v>
      </c>
      <c r="AB1948" s="168">
        <f t="array" ref="AB1948">iferror(index(K:K,match($A1948&amp;","&amp;index('Year Conversion'!$A:$A,match($C1948,'Year Conversion'!$B:$B,0)),$Y:$Y,0))-K1948,"")</f>
        <v>0.8969926253</v>
      </c>
      <c r="AC1948" s="168" t="str">
        <f t="shared" si="7"/>
        <v>SAS,2017-18</v>
      </c>
    </row>
    <row r="1949">
      <c r="A1949" s="161" t="str">
        <f>IFERROR(__xludf.DUMMYFUNCTION("""COMPUTED_VALUE"""),"hilarne01")</f>
        <v>hilarne01</v>
      </c>
      <c r="B1949" s="161" t="str">
        <f>IFERROR(__xludf.DUMMYFUNCTION("""COMPUTED_VALUE"""),"Nene")</f>
        <v>Nene</v>
      </c>
      <c r="C1949" s="162" t="str">
        <f>IFERROR(__xludf.DUMMYFUNCTION("""COMPUTED_VALUE"""),"2017-18")</f>
        <v>2017-18</v>
      </c>
      <c r="D1949" s="163" t="str">
        <f>IFERROR(__xludf.DUMMYFUNCTION("""COMPUTED_VALUE"""),"HOU")</f>
        <v>HOU</v>
      </c>
      <c r="E1949" s="164" t="str">
        <f>IFERROR(__xludf.DUMMYFUNCTION("""COMPUTED_VALUE"""),"Roll + Cut Big")</f>
        <v>Roll + Cut Big</v>
      </c>
      <c r="F1949" s="164">
        <f>IFERROR(__xludf.DUMMYFUNCTION("""COMPUTED_VALUE"""),758.406666666667)</f>
        <v>758.4066667</v>
      </c>
      <c r="G1949" s="163">
        <f>IFERROR(__xludf.DUMMYFUNCTION("""COMPUTED_VALUE"""),52.0)</f>
        <v>52</v>
      </c>
      <c r="H1949" s="163" t="str">
        <f>IFERROR(__xludf.DUMMYFUNCTION("""COMPUTED_VALUE"""),"C")</f>
        <v>C</v>
      </c>
      <c r="I1949" s="163">
        <f>IFERROR(__xludf.DUMMYFUNCTION("""COMPUTED_VALUE"""),35.0)</f>
        <v>35</v>
      </c>
      <c r="J1949" s="165">
        <f>IFERROR(__xludf.DUMMYFUNCTION("""COMPUTED_VALUE"""),0.725136922862567)</f>
        <v>0.7251369229</v>
      </c>
      <c r="K1949" s="165">
        <f>IFERROR(__xludf.DUMMYFUNCTION("""COMPUTED_VALUE"""),-0.597089766010989)</f>
        <v>-0.597089766</v>
      </c>
      <c r="L1949" s="165">
        <f>IFERROR(__xludf.DUMMYFUNCTION("""COMPUTED_VALUE"""),1.32222668887356)</f>
        <v>1.322226689</v>
      </c>
      <c r="M1949" s="166">
        <f t="shared" si="2"/>
        <v>1.539709477</v>
      </c>
      <c r="N1949" s="167">
        <f t="shared" si="3"/>
        <v>14.58474359</v>
      </c>
      <c r="O1949" s="163">
        <f t="shared" ref="O1949:Q1949" si="1953">rank(I1949,I:I)</f>
        <v>104</v>
      </c>
      <c r="P1949" s="163">
        <f t="shared" si="1953"/>
        <v>776</v>
      </c>
      <c r="Q1949" s="163">
        <f t="shared" si="1953"/>
        <v>2260</v>
      </c>
      <c r="R1949" s="163">
        <f>IFERROR(__xludf.DUMMYFUNCTION("RANK(M1949,filter(M:M,C:C=C1949))"),187.0)</f>
        <v>187</v>
      </c>
      <c r="S1949" s="161" t="b">
        <f t="shared" si="5"/>
        <v>0</v>
      </c>
      <c r="T1949" s="161" t="b">
        <f t="array" ref="T1949">index('Query Tool'!B:B,match(H1949,'Query Tool'!C:C,0))</f>
        <v>1</v>
      </c>
      <c r="U1949" s="161" t="b">
        <f t="array" ref="U1949">index('Query Tool'!B:B,match(C1949,'Query Tool'!C:C,0))</f>
        <v>0</v>
      </c>
      <c r="V1949" s="161" t="b">
        <f>F1949&gt;='Query Tool'!C$32</f>
        <v>1</v>
      </c>
      <c r="W1949" s="161" t="b">
        <f t="array" ref="W1949">index(Dropdowns!B:B,match(I1949,Dropdowns!A:A,0))</f>
        <v>1</v>
      </c>
      <c r="X1949" s="161" t="b">
        <f t="array" ref="X1949">index('Query Tool'!B:B,match(D1949,'Query Tool'!C:C,0))</f>
        <v>1</v>
      </c>
      <c r="Y1949" s="161" t="str">
        <f t="shared" si="6"/>
        <v>hilarne01,2017-18</v>
      </c>
      <c r="Z1949" s="168">
        <f t="array" ref="Z1949">iferror(index(I:I,match($A1949&amp;","&amp;index('Year Conversion'!$A:$A,match($C1949,'Year Conversion'!$B:$B,0)),$Y:$Y,0))-I1949,"")</f>
        <v>1</v>
      </c>
      <c r="AA1949" s="168">
        <f t="array" ref="AA1949">iferror(index(J:J,match($A1949&amp;","&amp;index('Year Conversion'!$A:$A,match($C1949,'Year Conversion'!$B:$B,0)),$Y:$Y,0))-J1949,"")</f>
        <v>-1.976435824</v>
      </c>
      <c r="AB1949" s="168">
        <f t="array" ref="AB1949">iferror(index(K:K,match($A1949&amp;","&amp;index('Year Conversion'!$A:$A,match($C1949,'Year Conversion'!$B:$B,0)),$Y:$Y,0))-K1949,"")</f>
        <v>-1.033059112</v>
      </c>
      <c r="AC1949" s="168" t="str">
        <f t="shared" si="7"/>
        <v>HOU,2017-18</v>
      </c>
    </row>
    <row r="1950">
      <c r="A1950" s="161" t="str">
        <f>IFERROR(__xludf.DUMMYFUNCTION("""COMPUTED_VALUE"""),"jamesle01")</f>
        <v>jamesle01</v>
      </c>
      <c r="B1950" s="161" t="str">
        <f>IFERROR(__xludf.DUMMYFUNCTION("""COMPUTED_VALUE"""),"LeBron James")</f>
        <v>LeBron James</v>
      </c>
      <c r="C1950" s="162" t="str">
        <f>IFERROR(__xludf.DUMMYFUNCTION("""COMPUTED_VALUE"""),"2017-18")</f>
        <v>2017-18</v>
      </c>
      <c r="D1950" s="163" t="str">
        <f>IFERROR(__xludf.DUMMYFUNCTION("""COMPUTED_VALUE"""),"CLE")</f>
        <v>CLE</v>
      </c>
      <c r="E1950" s="164" t="str">
        <f>IFERROR(__xludf.DUMMYFUNCTION("""COMPUTED_VALUE"""),"Shot Creator")</f>
        <v>Shot Creator</v>
      </c>
      <c r="F1950" s="164">
        <f>IFERROR(__xludf.DUMMYFUNCTION("""COMPUTED_VALUE"""),3025.58833333333)</f>
        <v>3025.588333</v>
      </c>
      <c r="G1950" s="163">
        <f>IFERROR(__xludf.DUMMYFUNCTION("""COMPUTED_VALUE"""),82.0)</f>
        <v>82</v>
      </c>
      <c r="H1950" s="163" t="str">
        <f>IFERROR(__xludf.DUMMYFUNCTION("""COMPUTED_VALUE"""),"PF")</f>
        <v>PF</v>
      </c>
      <c r="I1950" s="163">
        <f>IFERROR(__xludf.DUMMYFUNCTION("""COMPUTED_VALUE"""),33.0)</f>
        <v>33</v>
      </c>
      <c r="J1950" s="165">
        <f>IFERROR(__xludf.DUMMYFUNCTION("""COMPUTED_VALUE"""),4.32958272573855)</f>
        <v>4.329582726</v>
      </c>
      <c r="K1950" s="165">
        <f>IFERROR(__xludf.DUMMYFUNCTION("""COMPUTED_VALUE"""),4.58774677655461)</f>
        <v>4.587746777</v>
      </c>
      <c r="L1950" s="165">
        <f>IFERROR(__xludf.DUMMYFUNCTION("""COMPUTED_VALUE"""),-0.258164050816058)</f>
        <v>-0.2581640508</v>
      </c>
      <c r="M1950" s="166">
        <f t="shared" si="2"/>
        <v>13.27299191</v>
      </c>
      <c r="N1950" s="167">
        <f t="shared" si="3"/>
        <v>36.8974187</v>
      </c>
      <c r="O1950" s="163">
        <f t="shared" ref="O1950:Q1950" si="1954">rank(I1950,I:I)</f>
        <v>246</v>
      </c>
      <c r="P1950" s="163">
        <f t="shared" si="1954"/>
        <v>79</v>
      </c>
      <c r="Q1950" s="163">
        <f t="shared" si="1954"/>
        <v>41</v>
      </c>
      <c r="R1950" s="163">
        <f>IFERROR(__xludf.DUMMYFUNCTION("RANK(M1950,filter(M:M,C:C=C1950))"),2.0)</f>
        <v>2</v>
      </c>
      <c r="S1950" s="161" t="b">
        <f t="shared" si="5"/>
        <v>0</v>
      </c>
      <c r="T1950" s="161" t="b">
        <f t="array" ref="T1950">index('Query Tool'!B:B,match(H1950,'Query Tool'!C:C,0))</f>
        <v>1</v>
      </c>
      <c r="U1950" s="161" t="b">
        <f t="array" ref="U1950">index('Query Tool'!B:B,match(C1950,'Query Tool'!C:C,0))</f>
        <v>0</v>
      </c>
      <c r="V1950" s="161" t="b">
        <f>F1950&gt;='Query Tool'!C$32</f>
        <v>1</v>
      </c>
      <c r="W1950" s="161" t="b">
        <f t="array" ref="W1950">index(Dropdowns!B:B,match(I1950,Dropdowns!A:A,0))</f>
        <v>1</v>
      </c>
      <c r="X1950" s="161" t="b">
        <f t="array" ref="X1950">index('Query Tool'!B:B,match(D1950,'Query Tool'!C:C,0))</f>
        <v>1</v>
      </c>
      <c r="Y1950" s="161" t="str">
        <f t="shared" si="6"/>
        <v>jamesle01,2017-18</v>
      </c>
      <c r="Z1950" s="168">
        <f t="array" ref="Z1950">iferror(index(I:I,match($A1950&amp;","&amp;index('Year Conversion'!$A:$A,match($C1950,'Year Conversion'!$B:$B,0)),$Y:$Y,0))-I1950,"")</f>
        <v>1</v>
      </c>
      <c r="AA1950" s="168">
        <f t="array" ref="AA1950">iferror(index(J:J,match($A1950&amp;","&amp;index('Year Conversion'!$A:$A,match($C1950,'Year Conversion'!$B:$B,0)),$Y:$Y,0))-J1950,"")</f>
        <v>0.4939074642</v>
      </c>
      <c r="AB1950" s="168">
        <f t="array" ref="AB1950">iferror(index(K:K,match($A1950&amp;","&amp;index('Year Conversion'!$A:$A,match($C1950,'Year Conversion'!$B:$B,0)),$Y:$Y,0))-K1950,"")</f>
        <v>-0.7266040995</v>
      </c>
      <c r="AC1950" s="168" t="str">
        <f t="shared" si="7"/>
        <v>CLE,2017-18</v>
      </c>
    </row>
    <row r="1951">
      <c r="A1951" s="161" t="str">
        <f>IFERROR(__xludf.DUMMYFUNCTION("""COMPUTED_VALUE"""),"anthoca01")</f>
        <v>anthoca01</v>
      </c>
      <c r="B1951" s="161" t="str">
        <f>IFERROR(__xludf.DUMMYFUNCTION("""COMPUTED_VALUE"""),"Carmelo Anthony")</f>
        <v>Carmelo Anthony</v>
      </c>
      <c r="C1951" s="162" t="str">
        <f>IFERROR(__xludf.DUMMYFUNCTION("""COMPUTED_VALUE"""),"2017-18")</f>
        <v>2017-18</v>
      </c>
      <c r="D1951" s="163" t="str">
        <f>IFERROR(__xludf.DUMMYFUNCTION("""COMPUTED_VALUE"""),"OKC")</f>
        <v>OKC</v>
      </c>
      <c r="E1951" s="164" t="str">
        <f>IFERROR(__xludf.DUMMYFUNCTION("""COMPUTED_VALUE"""),"Shot Creator")</f>
        <v>Shot Creator</v>
      </c>
      <c r="F1951" s="164">
        <f>IFERROR(__xludf.DUMMYFUNCTION("""COMPUTED_VALUE"""),2501.14)</f>
        <v>2501.14</v>
      </c>
      <c r="G1951" s="163">
        <f>IFERROR(__xludf.DUMMYFUNCTION("""COMPUTED_VALUE"""),78.0)</f>
        <v>78</v>
      </c>
      <c r="H1951" s="163" t="str">
        <f>IFERROR(__xludf.DUMMYFUNCTION("""COMPUTED_VALUE"""),"PF")</f>
        <v>PF</v>
      </c>
      <c r="I1951" s="163">
        <f>IFERROR(__xludf.DUMMYFUNCTION("""COMPUTED_VALUE"""),33.0)</f>
        <v>33</v>
      </c>
      <c r="J1951" s="165">
        <f>IFERROR(__xludf.DUMMYFUNCTION("""COMPUTED_VALUE"""),0.647910384055862)</f>
        <v>0.6479103841</v>
      </c>
      <c r="K1951" s="165">
        <f>IFERROR(__xludf.DUMMYFUNCTION("""COMPUTED_VALUE"""),1.03549060148433)</f>
        <v>1.035490601</v>
      </c>
      <c r="L1951" s="165">
        <f>IFERROR(__xludf.DUMMYFUNCTION("""COMPUTED_VALUE"""),-0.387580217428468)</f>
        <v>-0.3875802174</v>
      </c>
      <c r="M1951" s="166">
        <f t="shared" si="2"/>
        <v>4.947821912</v>
      </c>
      <c r="N1951" s="167">
        <f t="shared" si="3"/>
        <v>32.06589744</v>
      </c>
      <c r="O1951" s="163">
        <f t="shared" ref="O1951:Q1951" si="1955">rank(I1951,I:I)</f>
        <v>246</v>
      </c>
      <c r="P1951" s="163">
        <f t="shared" si="1955"/>
        <v>823</v>
      </c>
      <c r="Q1951" s="163">
        <f t="shared" si="1955"/>
        <v>488</v>
      </c>
      <c r="R1951" s="163">
        <f>IFERROR(__xludf.DUMMYFUNCTION("RANK(M1951,filter(M:M,C:C=C1951))"),55.0)</f>
        <v>55</v>
      </c>
      <c r="S1951" s="161" t="b">
        <f t="shared" si="5"/>
        <v>0</v>
      </c>
      <c r="T1951" s="161" t="b">
        <f t="array" ref="T1951">index('Query Tool'!B:B,match(H1951,'Query Tool'!C:C,0))</f>
        <v>1</v>
      </c>
      <c r="U1951" s="161" t="b">
        <f t="array" ref="U1951">index('Query Tool'!B:B,match(C1951,'Query Tool'!C:C,0))</f>
        <v>0</v>
      </c>
      <c r="V1951" s="161" t="b">
        <f>F1951&gt;='Query Tool'!C$32</f>
        <v>1</v>
      </c>
      <c r="W1951" s="161" t="b">
        <f t="array" ref="W1951">index(Dropdowns!B:B,match(I1951,Dropdowns!A:A,0))</f>
        <v>1</v>
      </c>
      <c r="X1951" s="161" t="b">
        <f t="array" ref="X1951">index('Query Tool'!B:B,match(D1951,'Query Tool'!C:C,0))</f>
        <v>1</v>
      </c>
      <c r="Y1951" s="161" t="str">
        <f t="shared" si="6"/>
        <v>anthoca01,2017-18</v>
      </c>
      <c r="Z1951" s="168">
        <f t="array" ref="Z1951">iferror(index(I:I,match($A1951&amp;","&amp;index('Year Conversion'!$A:$A,match($C1951,'Year Conversion'!$B:$B,0)),$Y:$Y,0))-I1951,"")</f>
        <v>1</v>
      </c>
      <c r="AA1951" s="168">
        <f t="array" ref="AA1951">iferror(index(J:J,match($A1951&amp;","&amp;index('Year Conversion'!$A:$A,match($C1951,'Year Conversion'!$B:$B,0)),$Y:$Y,0))-J1951,"")</f>
        <v>-2.42874793</v>
      </c>
      <c r="AB1951" s="168">
        <f t="array" ref="AB1951">iferror(index(K:K,match($A1951&amp;","&amp;index('Year Conversion'!$A:$A,match($C1951,'Year Conversion'!$B:$B,0)),$Y:$Y,0))-K1951,"")</f>
        <v>-2.057896097</v>
      </c>
      <c r="AC1951" s="168" t="str">
        <f t="shared" si="7"/>
        <v>OKC,2017-18</v>
      </c>
    </row>
    <row r="1952">
      <c r="A1952" s="161" t="str">
        <f>IFERROR(__xludf.DUMMYFUNCTION("""COMPUTED_VALUE"""),"wadedw01")</f>
        <v>wadedw01</v>
      </c>
      <c r="B1952" s="161" t="str">
        <f>IFERROR(__xludf.DUMMYFUNCTION("""COMPUTED_VALUE"""),"Dwyane Wade")</f>
        <v>Dwyane Wade</v>
      </c>
      <c r="C1952" s="162" t="str">
        <f>IFERROR(__xludf.DUMMYFUNCTION("""COMPUTED_VALUE"""),"2017-18")</f>
        <v>2017-18</v>
      </c>
      <c r="D1952" s="163" t="str">
        <f>IFERROR(__xludf.DUMMYFUNCTION("""COMPUTED_VALUE"""),"TOT")</f>
        <v>TOT</v>
      </c>
      <c r="E1952" s="164" t="str">
        <f>IFERROR(__xludf.DUMMYFUNCTION("""COMPUTED_VALUE"""),"Shot Creator")</f>
        <v>Shot Creator</v>
      </c>
      <c r="F1952" s="164">
        <f>IFERROR(__xludf.DUMMYFUNCTION("""COMPUTED_VALUE"""),1536.11333333333)</f>
        <v>1536.113333</v>
      </c>
      <c r="G1952" s="163">
        <f>IFERROR(__xludf.DUMMYFUNCTION("""COMPUTED_VALUE"""),67.0)</f>
        <v>67</v>
      </c>
      <c r="H1952" s="163" t="str">
        <f>IFERROR(__xludf.DUMMYFUNCTION("""COMPUTED_VALUE"""),"SG")</f>
        <v>SG</v>
      </c>
      <c r="I1952" s="163">
        <f>IFERROR(__xludf.DUMMYFUNCTION("""COMPUTED_VALUE"""),36.0)</f>
        <v>36</v>
      </c>
      <c r="J1952" s="165">
        <f>IFERROR(__xludf.DUMMYFUNCTION("""COMPUTED_VALUE"""),-0.144118943666057)</f>
        <v>-0.1441189437</v>
      </c>
      <c r="K1952" s="165">
        <f>IFERROR(__xludf.DUMMYFUNCTION("""COMPUTED_VALUE"""),-0.0318623089124629)</f>
        <v>-0.03186230891</v>
      </c>
      <c r="L1952" s="165">
        <f>IFERROR(__xludf.DUMMYFUNCTION("""COMPUTED_VALUE"""),-0.112256634753594)</f>
        <v>-0.1122566348</v>
      </c>
      <c r="M1952" s="166">
        <f t="shared" si="2"/>
        <v>2.218924844</v>
      </c>
      <c r="N1952" s="167">
        <f t="shared" si="3"/>
        <v>22.92706468</v>
      </c>
      <c r="O1952" s="163">
        <f t="shared" ref="O1952:Q1952" si="1956">rank(I1952,I:I)</f>
        <v>65</v>
      </c>
      <c r="P1952" s="163">
        <f t="shared" si="1956"/>
        <v>1429</v>
      </c>
      <c r="Q1952" s="163">
        <f t="shared" si="1956"/>
        <v>1242</v>
      </c>
      <c r="R1952" s="163">
        <f>IFERROR(__xludf.DUMMYFUNCTION("RANK(M1952,filter(M:M,C:C=C1952))"),148.0)</f>
        <v>148</v>
      </c>
      <c r="S1952" s="161" t="b">
        <f t="shared" si="5"/>
        <v>0</v>
      </c>
      <c r="T1952" s="161" t="b">
        <f t="array" ref="T1952">index('Query Tool'!B:B,match(H1952,'Query Tool'!C:C,0))</f>
        <v>1</v>
      </c>
      <c r="U1952" s="161" t="b">
        <f t="array" ref="U1952">index('Query Tool'!B:B,match(C1952,'Query Tool'!C:C,0))</f>
        <v>0</v>
      </c>
      <c r="V1952" s="161" t="b">
        <f>F1952&gt;='Query Tool'!C$32</f>
        <v>1</v>
      </c>
      <c r="W1952" s="161" t="b">
        <f t="array" ref="W1952">index(Dropdowns!B:B,match(I1952,Dropdowns!A:A,0))</f>
        <v>1</v>
      </c>
      <c r="X1952" s="161" t="b">
        <f t="array" ref="X1952">index('Query Tool'!B:B,match(D1952,'Query Tool'!C:C,0))</f>
        <v>1</v>
      </c>
      <c r="Y1952" s="161" t="str">
        <f t="shared" si="6"/>
        <v>wadedw01,2017-18</v>
      </c>
      <c r="Z1952" s="168">
        <f t="array" ref="Z1952">iferror(index(I:I,match($A1952&amp;","&amp;index('Year Conversion'!$A:$A,match($C1952,'Year Conversion'!$B:$B,0)),$Y:$Y,0))-I1952,"")</f>
        <v>1</v>
      </c>
      <c r="AA1952" s="168">
        <f t="array" ref="AA1952">iferror(index(J:J,match($A1952&amp;","&amp;index('Year Conversion'!$A:$A,match($C1952,'Year Conversion'!$B:$B,0)),$Y:$Y,0))-J1952,"")</f>
        <v>-1.416317801</v>
      </c>
      <c r="AB1952" s="168">
        <f t="array" ref="AB1952">iferror(index(K:K,match($A1952&amp;","&amp;index('Year Conversion'!$A:$A,match($C1952,'Year Conversion'!$B:$B,0)),$Y:$Y,0))-K1952,"")</f>
        <v>0.3641744082</v>
      </c>
      <c r="AC1952" s="168" t="str">
        <f t="shared" si="7"/>
        <v>TOT,2017-18</v>
      </c>
    </row>
    <row r="1953">
      <c r="A1953" s="161" t="str">
        <f>IFERROR(__xludf.DUMMYFUNCTION("""COMPUTED_VALUE"""),"collini01")</f>
        <v>collini01</v>
      </c>
      <c r="B1953" s="161" t="str">
        <f>IFERROR(__xludf.DUMMYFUNCTION("""COMPUTED_VALUE"""),"Nick Collison")</f>
        <v>Nick Collison</v>
      </c>
      <c r="C1953" s="162" t="str">
        <f>IFERROR(__xludf.DUMMYFUNCTION("""COMPUTED_VALUE"""),"2017-18")</f>
        <v>2017-18</v>
      </c>
      <c r="D1953" s="163" t="str">
        <f>IFERROR(__xludf.DUMMYFUNCTION("""COMPUTED_VALUE"""),"OKC")</f>
        <v>OKC</v>
      </c>
      <c r="E1953" s="164" t="str">
        <f>IFERROR(__xludf.DUMMYFUNCTION("""COMPUTED_VALUE"""),"Roll + Cut Big")</f>
        <v>Roll + Cut Big</v>
      </c>
      <c r="F1953" s="164">
        <f>IFERROR(__xludf.DUMMYFUNCTION("""COMPUTED_VALUE"""),74.8066666666667)</f>
        <v>74.80666667</v>
      </c>
      <c r="G1953" s="163">
        <f>IFERROR(__xludf.DUMMYFUNCTION("""COMPUTED_VALUE"""),15.0)</f>
        <v>15</v>
      </c>
      <c r="H1953" s="163" t="str">
        <f>IFERROR(__xludf.DUMMYFUNCTION("""COMPUTED_VALUE"""),"PF")</f>
        <v>PF</v>
      </c>
      <c r="I1953" s="163">
        <f>IFERROR(__xludf.DUMMYFUNCTION("""COMPUTED_VALUE"""),37.0)</f>
        <v>37</v>
      </c>
      <c r="J1953" s="165">
        <f>IFERROR(__xludf.DUMMYFUNCTION("""COMPUTED_VALUE"""),-0.820198616810239)</f>
        <v>-0.8201986168</v>
      </c>
      <c r="K1953" s="165">
        <f>IFERROR(__xludf.DUMMYFUNCTION("""COMPUTED_VALUE"""),-0.619585350767638)</f>
        <v>-0.6195853508</v>
      </c>
      <c r="L1953" s="165">
        <f>IFERROR(__xludf.DUMMYFUNCTION("""COMPUTED_VALUE"""),-0.200613266042601)</f>
        <v>-0.200613266</v>
      </c>
      <c r="M1953" s="166">
        <f t="shared" si="2"/>
        <v>0.07399975</v>
      </c>
      <c r="N1953" s="167">
        <f t="shared" si="3"/>
        <v>4.987111111</v>
      </c>
      <c r="O1953" s="163">
        <f t="shared" ref="O1953:Q1953" si="1957">rank(I1953,I:I)</f>
        <v>38</v>
      </c>
      <c r="P1953" s="163">
        <f t="shared" si="1957"/>
        <v>2314</v>
      </c>
      <c r="Q1953" s="163">
        <f t="shared" si="1957"/>
        <v>2292</v>
      </c>
      <c r="R1953" s="163">
        <f>IFERROR(__xludf.DUMMYFUNCTION("RANK(M1953,filter(M:M,C:C=C1953))"),412.0)</f>
        <v>412</v>
      </c>
      <c r="S1953" s="161" t="b">
        <f t="shared" si="5"/>
        <v>0</v>
      </c>
      <c r="T1953" s="161" t="b">
        <f t="array" ref="T1953">index('Query Tool'!B:B,match(H1953,'Query Tool'!C:C,0))</f>
        <v>1</v>
      </c>
      <c r="U1953" s="161" t="b">
        <f t="array" ref="U1953">index('Query Tool'!B:B,match(C1953,'Query Tool'!C:C,0))</f>
        <v>0</v>
      </c>
      <c r="V1953" s="161" t="b">
        <f>F1953&gt;='Query Tool'!C$32</f>
        <v>0</v>
      </c>
      <c r="W1953" s="161" t="b">
        <f t="array" ref="W1953">index(Dropdowns!B:B,match(I1953,Dropdowns!A:A,0))</f>
        <v>1</v>
      </c>
      <c r="X1953" s="161" t="b">
        <f t="array" ref="X1953">index('Query Tool'!B:B,match(D1953,'Query Tool'!C:C,0))</f>
        <v>1</v>
      </c>
      <c r="Y1953" s="161" t="str">
        <f t="shared" si="6"/>
        <v>collini01,2017-18</v>
      </c>
      <c r="Z1953" s="168" t="str">
        <f t="array" ref="Z1953">iferror(index(I:I,match($A1953&amp;","&amp;index('Year Conversion'!$A:$A,match($C1953,'Year Conversion'!$B:$B,0)),$Y:$Y,0))-I1953,"")</f>
        <v/>
      </c>
      <c r="AA1953" s="168" t="str">
        <f t="array" ref="AA1953">iferror(index(J:J,match($A1953&amp;","&amp;index('Year Conversion'!$A:$A,match($C1953,'Year Conversion'!$B:$B,0)),$Y:$Y,0))-J1953,"")</f>
        <v/>
      </c>
      <c r="AB1953" s="168" t="str">
        <f t="array" ref="AB1953">iferror(index(K:K,match($A1953&amp;","&amp;index('Year Conversion'!$A:$A,match($C1953,'Year Conversion'!$B:$B,0)),$Y:$Y,0))-K1953,"")</f>
        <v/>
      </c>
      <c r="AC1953" s="168" t="str">
        <f t="shared" si="7"/>
        <v>OKC,2017-18</v>
      </c>
    </row>
    <row r="1954">
      <c r="A1954" s="161" t="str">
        <f>IFERROR(__xludf.DUMMYFUNCTION("""COMPUTED_VALUE"""),"westda01")</f>
        <v>westda01</v>
      </c>
      <c r="B1954" s="161" t="str">
        <f>IFERROR(__xludf.DUMMYFUNCTION("""COMPUTED_VALUE"""),"David West")</f>
        <v>David West</v>
      </c>
      <c r="C1954" s="162" t="str">
        <f>IFERROR(__xludf.DUMMYFUNCTION("""COMPUTED_VALUE"""),"2017-18")</f>
        <v>2017-18</v>
      </c>
      <c r="D1954" s="163" t="str">
        <f>IFERROR(__xludf.DUMMYFUNCTION("""COMPUTED_VALUE"""),"GSW")</f>
        <v>GSW</v>
      </c>
      <c r="E1954" s="164" t="str">
        <f>IFERROR(__xludf.DUMMYFUNCTION("""COMPUTED_VALUE"""),"Post Scorer")</f>
        <v>Post Scorer</v>
      </c>
      <c r="F1954" s="164">
        <f>IFERROR(__xludf.DUMMYFUNCTION("""COMPUTED_VALUE"""),998.696666666667)</f>
        <v>998.6966667</v>
      </c>
      <c r="G1954" s="163">
        <f>IFERROR(__xludf.DUMMYFUNCTION("""COMPUTED_VALUE"""),73.0)</f>
        <v>73</v>
      </c>
      <c r="H1954" s="163" t="str">
        <f>IFERROR(__xludf.DUMMYFUNCTION("""COMPUTED_VALUE"""),"C")</f>
        <v>C</v>
      </c>
      <c r="I1954" s="163">
        <f>IFERROR(__xludf.DUMMYFUNCTION("""COMPUTED_VALUE"""),37.0)</f>
        <v>37</v>
      </c>
      <c r="J1954" s="165">
        <f>IFERROR(__xludf.DUMMYFUNCTION("""COMPUTED_VALUE"""),1.23672524681066)</f>
        <v>1.236725247</v>
      </c>
      <c r="K1954" s="165">
        <f>IFERROR(__xludf.DUMMYFUNCTION("""COMPUTED_VALUE"""),-0.349705974151002)</f>
        <v>-0.3497059742</v>
      </c>
      <c r="L1954" s="165">
        <f>IFERROR(__xludf.DUMMYFUNCTION("""COMPUTED_VALUE"""),1.58643122096166)</f>
        <v>1.586431221</v>
      </c>
      <c r="M1954" s="166">
        <f t="shared" si="2"/>
        <v>2.370593445</v>
      </c>
      <c r="N1954" s="167">
        <f t="shared" si="3"/>
        <v>13.68077626</v>
      </c>
      <c r="O1954" s="163">
        <f t="shared" ref="O1954:Q1954" si="1958">rank(I1954,I:I)</f>
        <v>38</v>
      </c>
      <c r="P1954" s="163">
        <f t="shared" si="1958"/>
        <v>555</v>
      </c>
      <c r="Q1954" s="163">
        <f t="shared" si="1958"/>
        <v>1852</v>
      </c>
      <c r="R1954" s="163">
        <f>IFERROR(__xludf.DUMMYFUNCTION("RANK(M1954,filter(M:M,C:C=C1954))"),140.0)</f>
        <v>140</v>
      </c>
      <c r="S1954" s="161" t="b">
        <f t="shared" si="5"/>
        <v>0</v>
      </c>
      <c r="T1954" s="161" t="b">
        <f t="array" ref="T1954">index('Query Tool'!B:B,match(H1954,'Query Tool'!C:C,0))</f>
        <v>1</v>
      </c>
      <c r="U1954" s="161" t="b">
        <f t="array" ref="U1954">index('Query Tool'!B:B,match(C1954,'Query Tool'!C:C,0))</f>
        <v>0</v>
      </c>
      <c r="V1954" s="161" t="b">
        <f>F1954&gt;='Query Tool'!C$32</f>
        <v>1</v>
      </c>
      <c r="W1954" s="161" t="b">
        <f t="array" ref="W1954">index(Dropdowns!B:B,match(I1954,Dropdowns!A:A,0))</f>
        <v>1</v>
      </c>
      <c r="X1954" s="161" t="b">
        <f t="array" ref="X1954">index('Query Tool'!B:B,match(D1954,'Query Tool'!C:C,0))</f>
        <v>1</v>
      </c>
      <c r="Y1954" s="161" t="str">
        <f t="shared" si="6"/>
        <v>westda01,2017-18</v>
      </c>
      <c r="Z1954" s="168" t="str">
        <f t="array" ref="Z1954">iferror(index(I:I,match($A1954&amp;","&amp;index('Year Conversion'!$A:$A,match($C1954,'Year Conversion'!$B:$B,0)),$Y:$Y,0))-I1954,"")</f>
        <v/>
      </c>
      <c r="AA1954" s="168" t="str">
        <f t="array" ref="AA1954">iferror(index(J:J,match($A1954&amp;","&amp;index('Year Conversion'!$A:$A,match($C1954,'Year Conversion'!$B:$B,0)),$Y:$Y,0))-J1954,"")</f>
        <v/>
      </c>
      <c r="AB1954" s="168" t="str">
        <f t="array" ref="AB1954">iferror(index(K:K,match($A1954&amp;","&amp;index('Year Conversion'!$A:$A,match($C1954,'Year Conversion'!$B:$B,0)),$Y:$Y,0))-K1954,"")</f>
        <v/>
      </c>
      <c r="AC1954" s="168" t="str">
        <f t="shared" si="7"/>
        <v>GSW,2017-18</v>
      </c>
    </row>
    <row r="1955">
      <c r="A1955" s="161" t="str">
        <f>IFERROR(__xludf.DUMMYFUNCTION("""COMPUTED_VALUE"""),"perkike01")</f>
        <v>perkike01</v>
      </c>
      <c r="B1955" s="161" t="str">
        <f>IFERROR(__xludf.DUMMYFUNCTION("""COMPUTED_VALUE"""),"Kendrick Perkins")</f>
        <v>Kendrick Perkins</v>
      </c>
      <c r="C1955" s="162" t="str">
        <f>IFERROR(__xludf.DUMMYFUNCTION("""COMPUTED_VALUE"""),"2017-18")</f>
        <v>2017-18</v>
      </c>
      <c r="D1955" s="163" t="str">
        <f>IFERROR(__xludf.DUMMYFUNCTION("""COMPUTED_VALUE"""),"CLE")</f>
        <v>CLE</v>
      </c>
      <c r="E1955" s="164" t="str">
        <f>IFERROR(__xludf.DUMMYFUNCTION("""COMPUTED_VALUE"""),"Post Scorer")</f>
        <v>Post Scorer</v>
      </c>
      <c r="F1955" s="164">
        <f>IFERROR(__xludf.DUMMYFUNCTION("""COMPUTED_VALUE"""),14.5333333333333)</f>
        <v>14.53333333</v>
      </c>
      <c r="G1955" s="163">
        <f>IFERROR(__xludf.DUMMYFUNCTION("""COMPUTED_VALUE"""),1.0)</f>
        <v>1</v>
      </c>
      <c r="H1955" s="163" t="str">
        <f>IFERROR(__xludf.DUMMYFUNCTION("""COMPUTED_VALUE"""),"C")</f>
        <v>C</v>
      </c>
      <c r="I1955" s="163">
        <f>IFERROR(__xludf.DUMMYFUNCTION("""COMPUTED_VALUE"""),33.0)</f>
        <v>33</v>
      </c>
      <c r="J1955" s="165">
        <f>IFERROR(__xludf.DUMMYFUNCTION("""COMPUTED_VALUE"""),-0.168546760015472)</f>
        <v>-0.16854676</v>
      </c>
      <c r="K1955" s="165">
        <f>IFERROR(__xludf.DUMMYFUNCTION("""COMPUTED_VALUE"""),-0.013414896645313)</f>
        <v>-0.01341489665</v>
      </c>
      <c r="L1955" s="165">
        <f>IFERROR(__xludf.DUMMYFUNCTION("""COMPUTED_VALUE"""),-0.155131863370159)</f>
        <v>-0.1551318634</v>
      </c>
      <c r="M1955" s="166">
        <f t="shared" si="2"/>
        <v>0.0207541616</v>
      </c>
      <c r="N1955" s="167">
        <f t="shared" si="3"/>
        <v>14.53333333</v>
      </c>
      <c r="O1955" s="163">
        <f t="shared" ref="O1955:Q1955" si="1959">rank(I1955,I:I)</f>
        <v>246</v>
      </c>
      <c r="P1955" s="163">
        <f t="shared" si="1959"/>
        <v>1466</v>
      </c>
      <c r="Q1955" s="163">
        <f t="shared" si="1959"/>
        <v>1220</v>
      </c>
      <c r="R1955" s="163">
        <f>IFERROR(__xludf.DUMMYFUNCTION("RANK(M1955,filter(M:M,C:C=C1955))"),459.0)</f>
        <v>459</v>
      </c>
      <c r="S1955" s="161" t="b">
        <f t="shared" si="5"/>
        <v>0</v>
      </c>
      <c r="T1955" s="161" t="b">
        <f t="array" ref="T1955">index('Query Tool'!B:B,match(H1955,'Query Tool'!C:C,0))</f>
        <v>1</v>
      </c>
      <c r="U1955" s="161" t="b">
        <f t="array" ref="U1955">index('Query Tool'!B:B,match(C1955,'Query Tool'!C:C,0))</f>
        <v>0</v>
      </c>
      <c r="V1955" s="161" t="b">
        <f>F1955&gt;='Query Tool'!C$32</f>
        <v>0</v>
      </c>
      <c r="W1955" s="161" t="b">
        <f t="array" ref="W1955">index(Dropdowns!B:B,match(I1955,Dropdowns!A:A,0))</f>
        <v>1</v>
      </c>
      <c r="X1955" s="161" t="b">
        <f t="array" ref="X1955">index('Query Tool'!B:B,match(D1955,'Query Tool'!C:C,0))</f>
        <v>1</v>
      </c>
      <c r="Y1955" s="161" t="str">
        <f t="shared" si="6"/>
        <v>perkike01,2017-18</v>
      </c>
      <c r="Z1955" s="168" t="str">
        <f t="array" ref="Z1955">iferror(index(I:I,match($A1955&amp;","&amp;index('Year Conversion'!$A:$A,match($C1955,'Year Conversion'!$B:$B,0)),$Y:$Y,0))-I1955,"")</f>
        <v/>
      </c>
      <c r="AA1955" s="168" t="str">
        <f t="array" ref="AA1955">iferror(index(J:J,match($A1955&amp;","&amp;index('Year Conversion'!$A:$A,match($C1955,'Year Conversion'!$B:$B,0)),$Y:$Y,0))-J1955,"")</f>
        <v/>
      </c>
      <c r="AB1955" s="168" t="str">
        <f t="array" ref="AB1955">iferror(index(K:K,match($A1955&amp;","&amp;index('Year Conversion'!$A:$A,match($C1955,'Year Conversion'!$B:$B,0)),$Y:$Y,0))-K1955,"")</f>
        <v/>
      </c>
      <c r="AC1955" s="168" t="str">
        <f t="shared" si="7"/>
        <v>CLE,2017-18</v>
      </c>
    </row>
    <row r="1956">
      <c r="A1956" s="161" t="str">
        <f>IFERROR(__xludf.DUMMYFUNCTION("""COMPUTED_VALUE"""),"pachuza01")</f>
        <v>pachuza01</v>
      </c>
      <c r="B1956" s="161" t="str">
        <f>IFERROR(__xludf.DUMMYFUNCTION("""COMPUTED_VALUE"""),"Zaza Pachulia")</f>
        <v>Zaza Pachulia</v>
      </c>
      <c r="C1956" s="162" t="str">
        <f>IFERROR(__xludf.DUMMYFUNCTION("""COMPUTED_VALUE"""),"2017-18")</f>
        <v>2017-18</v>
      </c>
      <c r="D1956" s="163" t="str">
        <f>IFERROR(__xludf.DUMMYFUNCTION("""COMPUTED_VALUE"""),"GSW")</f>
        <v>GSW</v>
      </c>
      <c r="E1956" s="164" t="str">
        <f>IFERROR(__xludf.DUMMYFUNCTION("""COMPUTED_VALUE"""),"Roll + Cut Big")</f>
        <v>Roll + Cut Big</v>
      </c>
      <c r="F1956" s="164">
        <f>IFERROR(__xludf.DUMMYFUNCTION("""COMPUTED_VALUE"""),971.746666666666)</f>
        <v>971.7466667</v>
      </c>
      <c r="G1956" s="163">
        <f>IFERROR(__xludf.DUMMYFUNCTION("""COMPUTED_VALUE"""),69.0)</f>
        <v>69</v>
      </c>
      <c r="H1956" s="163" t="str">
        <f>IFERROR(__xludf.DUMMYFUNCTION("""COMPUTED_VALUE"""),"C")</f>
        <v>C</v>
      </c>
      <c r="I1956" s="163">
        <f>IFERROR(__xludf.DUMMYFUNCTION("""COMPUTED_VALUE"""),33.0)</f>
        <v>33</v>
      </c>
      <c r="J1956" s="165">
        <f>IFERROR(__xludf.DUMMYFUNCTION("""COMPUTED_VALUE"""),0.568875341806791)</f>
        <v>0.5688753418</v>
      </c>
      <c r="K1956" s="165">
        <f>IFERROR(__xludf.DUMMYFUNCTION("""COMPUTED_VALUE"""),-0.758271609550854)</f>
        <v>-0.7582716096</v>
      </c>
      <c r="L1956" s="165">
        <f>IFERROR(__xludf.DUMMYFUNCTION("""COMPUTED_VALUE"""),1.32714695135765)</f>
        <v>1.327146951</v>
      </c>
      <c r="M1956" s="166">
        <f t="shared" si="2"/>
        <v>1.870635946</v>
      </c>
      <c r="N1956" s="167">
        <f t="shared" si="3"/>
        <v>14.08328502</v>
      </c>
      <c r="O1956" s="163">
        <f t="shared" ref="O1956:Q1956" si="1960">rank(I1956,I:I)</f>
        <v>246</v>
      </c>
      <c r="P1956" s="163">
        <f t="shared" si="1960"/>
        <v>861</v>
      </c>
      <c r="Q1956" s="163">
        <f t="shared" si="1960"/>
        <v>2492</v>
      </c>
      <c r="R1956" s="163">
        <f>IFERROR(__xludf.DUMMYFUNCTION("RANK(M1956,filter(M:M,C:C=C1956))"),163.0)</f>
        <v>163</v>
      </c>
      <c r="S1956" s="161" t="b">
        <f t="shared" si="5"/>
        <v>0</v>
      </c>
      <c r="T1956" s="161" t="b">
        <f t="array" ref="T1956">index('Query Tool'!B:B,match(H1956,'Query Tool'!C:C,0))</f>
        <v>1</v>
      </c>
      <c r="U1956" s="161" t="b">
        <f t="array" ref="U1956">index('Query Tool'!B:B,match(C1956,'Query Tool'!C:C,0))</f>
        <v>0</v>
      </c>
      <c r="V1956" s="161" t="b">
        <f>F1956&gt;='Query Tool'!C$32</f>
        <v>1</v>
      </c>
      <c r="W1956" s="161" t="b">
        <f t="array" ref="W1956">index(Dropdowns!B:B,match(I1956,Dropdowns!A:A,0))</f>
        <v>1</v>
      </c>
      <c r="X1956" s="161" t="b">
        <f t="array" ref="X1956">index('Query Tool'!B:B,match(D1956,'Query Tool'!C:C,0))</f>
        <v>1</v>
      </c>
      <c r="Y1956" s="161" t="str">
        <f t="shared" si="6"/>
        <v>pachuza01,2017-18</v>
      </c>
      <c r="Z1956" s="168">
        <f t="array" ref="Z1956">iferror(index(I:I,match($A1956&amp;","&amp;index('Year Conversion'!$A:$A,match($C1956,'Year Conversion'!$B:$B,0)),$Y:$Y,0))-I1956,"")</f>
        <v>1</v>
      </c>
      <c r="AA1956" s="168">
        <f t="array" ref="AA1956">iferror(index(J:J,match($A1956&amp;","&amp;index('Year Conversion'!$A:$A,match($C1956,'Year Conversion'!$B:$B,0)),$Y:$Y,0))-J1956,"")</f>
        <v>-1.513553352</v>
      </c>
      <c r="AB1956" s="168">
        <f t="array" ref="AB1956">iferror(index(K:K,match($A1956&amp;","&amp;index('Year Conversion'!$A:$A,match($C1956,'Year Conversion'!$B:$B,0)),$Y:$Y,0))-K1956,"")</f>
        <v>-1.111470142</v>
      </c>
      <c r="AC1956" s="168" t="str">
        <f t="shared" si="7"/>
        <v>GSW,2017-18</v>
      </c>
    </row>
    <row r="1957">
      <c r="A1957" s="161" t="str">
        <f>IFERROR(__xludf.DUMMYFUNCTION("""COMPUTED_VALUE"""),"korveky01")</f>
        <v>korveky01</v>
      </c>
      <c r="B1957" s="161" t="str">
        <f>IFERROR(__xludf.DUMMYFUNCTION("""COMPUTED_VALUE"""),"Kyle Korver")</f>
        <v>Kyle Korver</v>
      </c>
      <c r="C1957" s="162" t="str">
        <f>IFERROR(__xludf.DUMMYFUNCTION("""COMPUTED_VALUE"""),"2017-18")</f>
        <v>2017-18</v>
      </c>
      <c r="D1957" s="163" t="str">
        <f>IFERROR(__xludf.DUMMYFUNCTION("""COMPUTED_VALUE"""),"CLE")</f>
        <v>CLE</v>
      </c>
      <c r="E1957" s="164" t="str">
        <f>IFERROR(__xludf.DUMMYFUNCTION("""COMPUTED_VALUE"""),"Off Screen Shooter")</f>
        <v>Off Screen Shooter</v>
      </c>
      <c r="F1957" s="164">
        <f>IFERROR(__xludf.DUMMYFUNCTION("""COMPUTED_VALUE"""),1573.87166666667)</f>
        <v>1573.871667</v>
      </c>
      <c r="G1957" s="163">
        <f>IFERROR(__xludf.DUMMYFUNCTION("""COMPUTED_VALUE"""),73.0)</f>
        <v>73</v>
      </c>
      <c r="H1957" s="163" t="str">
        <f>IFERROR(__xludf.DUMMYFUNCTION("""COMPUTED_VALUE"""),"SG")</f>
        <v>SG</v>
      </c>
      <c r="I1957" s="163">
        <f>IFERROR(__xludf.DUMMYFUNCTION("""COMPUTED_VALUE"""),36.0)</f>
        <v>36</v>
      </c>
      <c r="J1957" s="165">
        <f>IFERROR(__xludf.DUMMYFUNCTION("""COMPUTED_VALUE"""),1.14928961207999)</f>
        <v>1.149289612</v>
      </c>
      <c r="K1957" s="165">
        <f>IFERROR(__xludf.DUMMYFUNCTION("""COMPUTED_VALUE"""),1.23799492727514)</f>
        <v>1.237994927</v>
      </c>
      <c r="L1957" s="165">
        <f>IFERROR(__xludf.DUMMYFUNCTION("""COMPUTED_VALUE"""),-0.0887053151951502)</f>
        <v>-0.0887053152</v>
      </c>
      <c r="M1957" s="166">
        <f t="shared" si="2"/>
        <v>3.643650412</v>
      </c>
      <c r="N1957" s="167">
        <f t="shared" si="3"/>
        <v>21.55988584</v>
      </c>
      <c r="O1957" s="163">
        <f t="shared" ref="O1957:Q1957" si="1961">rank(I1957,I:I)</f>
        <v>65</v>
      </c>
      <c r="P1957" s="163">
        <f t="shared" si="1961"/>
        <v>595</v>
      </c>
      <c r="Q1957" s="163">
        <f t="shared" si="1961"/>
        <v>403</v>
      </c>
      <c r="R1957" s="163">
        <f>IFERROR(__xludf.DUMMYFUNCTION("RANK(M1957,filter(M:M,C:C=C1957))"),97.0)</f>
        <v>97</v>
      </c>
      <c r="S1957" s="161" t="b">
        <f t="shared" si="5"/>
        <v>0</v>
      </c>
      <c r="T1957" s="161" t="b">
        <f t="array" ref="T1957">index('Query Tool'!B:B,match(H1957,'Query Tool'!C:C,0))</f>
        <v>1</v>
      </c>
      <c r="U1957" s="161" t="b">
        <f t="array" ref="U1957">index('Query Tool'!B:B,match(C1957,'Query Tool'!C:C,0))</f>
        <v>0</v>
      </c>
      <c r="V1957" s="161" t="b">
        <f>F1957&gt;='Query Tool'!C$32</f>
        <v>1</v>
      </c>
      <c r="W1957" s="161" t="b">
        <f t="array" ref="W1957">index(Dropdowns!B:B,match(I1957,Dropdowns!A:A,0))</f>
        <v>1</v>
      </c>
      <c r="X1957" s="161" t="b">
        <f t="array" ref="X1957">index('Query Tool'!B:B,match(D1957,'Query Tool'!C:C,0))</f>
        <v>1</v>
      </c>
      <c r="Y1957" s="161" t="str">
        <f t="shared" si="6"/>
        <v>korveky01,2017-18</v>
      </c>
      <c r="Z1957" s="168">
        <f t="array" ref="Z1957">iferror(index(I:I,match($A1957&amp;","&amp;index('Year Conversion'!$A:$A,match($C1957,'Year Conversion'!$B:$B,0)),$Y:$Y,0))-I1957,"")</f>
        <v>1</v>
      </c>
      <c r="AA1957" s="168">
        <f t="array" ref="AA1957">iferror(index(J:J,match($A1957&amp;","&amp;index('Year Conversion'!$A:$A,match($C1957,'Year Conversion'!$B:$B,0)),$Y:$Y,0))-J1957,"")</f>
        <v>-1.837185382</v>
      </c>
      <c r="AB1957" s="168">
        <f t="array" ref="AB1957">iferror(index(K:K,match($A1957&amp;","&amp;index('Year Conversion'!$A:$A,match($C1957,'Year Conversion'!$B:$B,0)),$Y:$Y,0))-K1957,"")</f>
        <v>-1.443673645</v>
      </c>
      <c r="AC1957" s="168" t="str">
        <f t="shared" si="7"/>
        <v>CLE,2017-18</v>
      </c>
    </row>
    <row r="1958">
      <c r="A1958" s="161" t="str">
        <f>IFERROR(__xludf.DUMMYFUNCTION("""COMPUTED_VALUE"""),"hasleud01")</f>
        <v>hasleud01</v>
      </c>
      <c r="B1958" s="161" t="str">
        <f>IFERROR(__xludf.DUMMYFUNCTION("""COMPUTED_VALUE"""),"Udonis Haslem")</f>
        <v>Udonis Haslem</v>
      </c>
      <c r="C1958" s="162" t="str">
        <f>IFERROR(__xludf.DUMMYFUNCTION("""COMPUTED_VALUE"""),"2017-18")</f>
        <v>2017-18</v>
      </c>
      <c r="D1958" s="163" t="str">
        <f>IFERROR(__xludf.DUMMYFUNCTION("""COMPUTED_VALUE"""),"MIA")</f>
        <v>MIA</v>
      </c>
      <c r="E1958" s="164" t="str">
        <f>IFERROR(__xludf.DUMMYFUNCTION("""COMPUTED_VALUE"""),"Stretch Big")</f>
        <v>Stretch Big</v>
      </c>
      <c r="F1958" s="164">
        <f>IFERROR(__xludf.DUMMYFUNCTION("""COMPUTED_VALUE"""),71.6633333333333)</f>
        <v>71.66333333</v>
      </c>
      <c r="G1958" s="163">
        <f>IFERROR(__xludf.DUMMYFUNCTION("""COMPUTED_VALUE"""),14.0)</f>
        <v>14</v>
      </c>
      <c r="H1958" s="163" t="str">
        <f>IFERROR(__xludf.DUMMYFUNCTION("""COMPUTED_VALUE"""),"C")</f>
        <v>C</v>
      </c>
      <c r="I1958" s="163">
        <f>IFERROR(__xludf.DUMMYFUNCTION("""COMPUTED_VALUE"""),37.0)</f>
        <v>37</v>
      </c>
      <c r="J1958" s="165">
        <f>IFERROR(__xludf.DUMMYFUNCTION("""COMPUTED_VALUE"""),-0.371542527447334)</f>
        <v>-0.3715425274</v>
      </c>
      <c r="K1958" s="165">
        <f>IFERROR(__xludf.DUMMYFUNCTION("""COMPUTED_VALUE"""),-0.321944265617952)</f>
        <v>-0.3219442656</v>
      </c>
      <c r="L1958" s="165">
        <f>IFERROR(__xludf.DUMMYFUNCTION("""COMPUTED_VALUE"""),-0.0495982618293823)</f>
        <v>-0.04959826183</v>
      </c>
      <c r="M1958" s="166">
        <f t="shared" si="2"/>
        <v>0.09253345202</v>
      </c>
      <c r="N1958" s="167">
        <f t="shared" si="3"/>
        <v>5.118809524</v>
      </c>
      <c r="O1958" s="163">
        <f t="shared" ref="O1958:Q1958" si="1962">rank(I1958,I:I)</f>
        <v>38</v>
      </c>
      <c r="P1958" s="163">
        <f t="shared" si="1962"/>
        <v>1695</v>
      </c>
      <c r="Q1958" s="163">
        <f t="shared" si="1962"/>
        <v>1799</v>
      </c>
      <c r="R1958" s="163">
        <f>IFERROR(__xludf.DUMMYFUNCTION("RANK(M1958,filter(M:M,C:C=C1958))"),402.0)</f>
        <v>402</v>
      </c>
      <c r="S1958" s="161" t="b">
        <f t="shared" si="5"/>
        <v>0</v>
      </c>
      <c r="T1958" s="161" t="b">
        <f t="array" ref="T1958">index('Query Tool'!B:B,match(H1958,'Query Tool'!C:C,0))</f>
        <v>1</v>
      </c>
      <c r="U1958" s="161" t="b">
        <f t="array" ref="U1958">index('Query Tool'!B:B,match(C1958,'Query Tool'!C:C,0))</f>
        <v>0</v>
      </c>
      <c r="V1958" s="161" t="b">
        <f>F1958&gt;='Query Tool'!C$32</f>
        <v>0</v>
      </c>
      <c r="W1958" s="161" t="b">
        <f t="array" ref="W1958">index(Dropdowns!B:B,match(I1958,Dropdowns!A:A,0))</f>
        <v>1</v>
      </c>
      <c r="X1958" s="161" t="b">
        <f t="array" ref="X1958">index('Query Tool'!B:B,match(D1958,'Query Tool'!C:C,0))</f>
        <v>1</v>
      </c>
      <c r="Y1958" s="161" t="str">
        <f t="shared" si="6"/>
        <v>hasleud01,2017-18</v>
      </c>
      <c r="Z1958" s="168">
        <f t="array" ref="Z1958">iferror(index(I:I,match($A1958&amp;","&amp;index('Year Conversion'!$A:$A,match($C1958,'Year Conversion'!$B:$B,0)),$Y:$Y,0))-I1958,"")</f>
        <v>1</v>
      </c>
      <c r="AA1958" s="168">
        <f t="array" ref="AA1958">iferror(index(J:J,match($A1958&amp;","&amp;index('Year Conversion'!$A:$A,match($C1958,'Year Conversion'!$B:$B,0)),$Y:$Y,0))-J1958,"")</f>
        <v>0.0354245902</v>
      </c>
      <c r="AB1958" s="168">
        <f t="array" ref="AB1958">iferror(index(K:K,match($A1958&amp;","&amp;index('Year Conversion'!$A:$A,match($C1958,'Year Conversion'!$B:$B,0)),$Y:$Y,0))-K1958,"")</f>
        <v>-0.05005436175</v>
      </c>
      <c r="AC1958" s="168" t="str">
        <f t="shared" si="7"/>
        <v>MIA,2017-18</v>
      </c>
    </row>
    <row r="1959">
      <c r="A1959" s="161" t="str">
        <f>IFERROR(__xludf.DUMMYFUNCTION("""COMPUTED_VALUE"""),"howardw01")</f>
        <v>howardw01</v>
      </c>
      <c r="B1959" s="161" t="str">
        <f>IFERROR(__xludf.DUMMYFUNCTION("""COMPUTED_VALUE"""),"Dwight Howard")</f>
        <v>Dwight Howard</v>
      </c>
      <c r="C1959" s="162" t="str">
        <f>IFERROR(__xludf.DUMMYFUNCTION("""COMPUTED_VALUE"""),"2017-18")</f>
        <v>2017-18</v>
      </c>
      <c r="D1959" s="163" t="str">
        <f>IFERROR(__xludf.DUMMYFUNCTION("""COMPUTED_VALUE"""),"CHO")</f>
        <v>CHO</v>
      </c>
      <c r="E1959" s="164" t="str">
        <f>IFERROR(__xludf.DUMMYFUNCTION("""COMPUTED_VALUE"""),"Post Scorer")</f>
        <v>Post Scorer</v>
      </c>
      <c r="F1959" s="164">
        <f>IFERROR(__xludf.DUMMYFUNCTION("""COMPUTED_VALUE"""),2463.34333333333)</f>
        <v>2463.343333</v>
      </c>
      <c r="G1959" s="163">
        <f>IFERROR(__xludf.DUMMYFUNCTION("""COMPUTED_VALUE"""),81.0)</f>
        <v>81</v>
      </c>
      <c r="H1959" s="163" t="str">
        <f>IFERROR(__xludf.DUMMYFUNCTION("""COMPUTED_VALUE"""),"C")</f>
        <v>C</v>
      </c>
      <c r="I1959" s="163">
        <f>IFERROR(__xludf.DUMMYFUNCTION("""COMPUTED_VALUE"""),32.0)</f>
        <v>32</v>
      </c>
      <c r="J1959" s="165">
        <f>IFERROR(__xludf.DUMMYFUNCTION("""COMPUTED_VALUE"""),1.63140624572639)</f>
        <v>1.631406246</v>
      </c>
      <c r="K1959" s="165">
        <f>IFERROR(__xludf.DUMMYFUNCTION("""COMPUTED_VALUE"""),-0.203429601951007)</f>
        <v>-0.203429602</v>
      </c>
      <c r="L1959" s="165">
        <f>IFERROR(__xludf.DUMMYFUNCTION("""COMPUTED_VALUE"""),1.8348358476774)</f>
        <v>1.834835848</v>
      </c>
      <c r="M1959" s="166">
        <f t="shared" si="2"/>
        <v>6.49705697</v>
      </c>
      <c r="N1959" s="167">
        <f t="shared" si="3"/>
        <v>30.41164609</v>
      </c>
      <c r="O1959" s="163">
        <f t="shared" ref="O1959:Q1959" si="1963">rank(I1959,I:I)</f>
        <v>359</v>
      </c>
      <c r="P1959" s="163">
        <f t="shared" si="1963"/>
        <v>422</v>
      </c>
      <c r="Q1959" s="163">
        <f t="shared" si="1963"/>
        <v>1566</v>
      </c>
      <c r="R1959" s="163">
        <f>IFERROR(__xludf.DUMMYFUNCTION("RANK(M1959,filter(M:M,C:C=C1959))"),35.0)</f>
        <v>35</v>
      </c>
      <c r="S1959" s="161" t="b">
        <f t="shared" si="5"/>
        <v>0</v>
      </c>
      <c r="T1959" s="161" t="b">
        <f t="array" ref="T1959">index('Query Tool'!B:B,match(H1959,'Query Tool'!C:C,0))</f>
        <v>1</v>
      </c>
      <c r="U1959" s="161" t="b">
        <f t="array" ref="U1959">index('Query Tool'!B:B,match(C1959,'Query Tool'!C:C,0))</f>
        <v>0</v>
      </c>
      <c r="V1959" s="161" t="b">
        <f>F1959&gt;='Query Tool'!C$32</f>
        <v>1</v>
      </c>
      <c r="W1959" s="161" t="b">
        <f t="array" ref="W1959">index(Dropdowns!B:B,match(I1959,Dropdowns!A:A,0))</f>
        <v>1</v>
      </c>
      <c r="X1959" s="161" t="b">
        <f t="array" ref="X1959">index('Query Tool'!B:B,match(D1959,'Query Tool'!C:C,0))</f>
        <v>1</v>
      </c>
      <c r="Y1959" s="161" t="str">
        <f t="shared" si="6"/>
        <v>howardw01,2017-18</v>
      </c>
      <c r="Z1959" s="168">
        <f t="array" ref="Z1959">iferror(index(I:I,match($A1959&amp;","&amp;index('Year Conversion'!$A:$A,match($C1959,'Year Conversion'!$B:$B,0)),$Y:$Y,0))-I1959,"")</f>
        <v>1</v>
      </c>
      <c r="AA1959" s="168">
        <f t="array" ref="AA1959">iferror(index(J:J,match($A1959&amp;","&amp;index('Year Conversion'!$A:$A,match($C1959,'Year Conversion'!$B:$B,0)),$Y:$Y,0))-J1959,"")</f>
        <v>-2.086240179</v>
      </c>
      <c r="AB1959" s="168">
        <f t="array" ref="AB1959">iferror(index(K:K,match($A1959&amp;","&amp;index('Year Conversion'!$A:$A,match($C1959,'Year Conversion'!$B:$B,0)),$Y:$Y,0))-K1959,"")</f>
        <v>-0.8259243747</v>
      </c>
      <c r="AC1959" s="168" t="str">
        <f t="shared" si="7"/>
        <v>CHO,2017-18</v>
      </c>
    </row>
    <row r="1960">
      <c r="A1960" s="161" t="str">
        <f>IFERROR(__xludf.DUMMYFUNCTION("""COMPUTED_VALUE"""),"okafoem01")</f>
        <v>okafoem01</v>
      </c>
      <c r="B1960" s="161" t="str">
        <f>IFERROR(__xludf.DUMMYFUNCTION("""COMPUTED_VALUE"""),"Emeka Okafor")</f>
        <v>Emeka Okafor</v>
      </c>
      <c r="C1960" s="162" t="str">
        <f>IFERROR(__xludf.DUMMYFUNCTION("""COMPUTED_VALUE"""),"2017-18")</f>
        <v>2017-18</v>
      </c>
      <c r="D1960" s="163" t="str">
        <f>IFERROR(__xludf.DUMMYFUNCTION("""COMPUTED_VALUE"""),"NOP")</f>
        <v>NOP</v>
      </c>
      <c r="E1960" s="164" t="str">
        <f>IFERROR(__xludf.DUMMYFUNCTION("""COMPUTED_VALUE"""),"Roll + Cut Big")</f>
        <v>Roll + Cut Big</v>
      </c>
      <c r="F1960" s="164">
        <f>IFERROR(__xludf.DUMMYFUNCTION("""COMPUTED_VALUE"""),353.235)</f>
        <v>353.235</v>
      </c>
      <c r="G1960" s="163">
        <f>IFERROR(__xludf.DUMMYFUNCTION("""COMPUTED_VALUE"""),26.0)</f>
        <v>26</v>
      </c>
      <c r="H1960" s="163" t="str">
        <f>IFERROR(__xludf.DUMMYFUNCTION("""COMPUTED_VALUE"""),"C")</f>
        <v>C</v>
      </c>
      <c r="I1960" s="163">
        <f>IFERROR(__xludf.DUMMYFUNCTION("""COMPUTED_VALUE"""),35.0)</f>
        <v>35</v>
      </c>
      <c r="J1960" s="165">
        <f>IFERROR(__xludf.DUMMYFUNCTION("""COMPUTED_VALUE"""),0.195277088314895)</f>
        <v>0.1952770883</v>
      </c>
      <c r="K1960" s="165">
        <f>IFERROR(__xludf.DUMMYFUNCTION("""COMPUTED_VALUE"""),-1.30699416980188)</f>
        <v>-1.30699417</v>
      </c>
      <c r="L1960" s="165">
        <f>IFERROR(__xludf.DUMMYFUNCTION("""COMPUTED_VALUE"""),1.50227125811678)</f>
        <v>1.502271258</v>
      </c>
      <c r="M1960" s="166">
        <f t="shared" si="2"/>
        <v>0.5910729002</v>
      </c>
      <c r="N1960" s="167">
        <f t="shared" si="3"/>
        <v>13.58596154</v>
      </c>
      <c r="O1960" s="163">
        <f t="shared" ref="O1960:Q1960" si="1964">rank(I1960,I:I)</f>
        <v>104</v>
      </c>
      <c r="P1960" s="163">
        <f t="shared" si="1964"/>
        <v>1095</v>
      </c>
      <c r="Q1960" s="163">
        <f t="shared" si="1964"/>
        <v>3155</v>
      </c>
      <c r="R1960" s="163">
        <f>IFERROR(__xludf.DUMMYFUNCTION("RANK(M1960,filter(M:M,C:C=C1960))"),283.0)</f>
        <v>283</v>
      </c>
      <c r="S1960" s="161" t="b">
        <f t="shared" si="5"/>
        <v>0</v>
      </c>
      <c r="T1960" s="161" t="b">
        <f t="array" ref="T1960">index('Query Tool'!B:B,match(H1960,'Query Tool'!C:C,0))</f>
        <v>1</v>
      </c>
      <c r="U1960" s="161" t="b">
        <f t="array" ref="U1960">index('Query Tool'!B:B,match(C1960,'Query Tool'!C:C,0))</f>
        <v>0</v>
      </c>
      <c r="V1960" s="161" t="b">
        <f>F1960&gt;='Query Tool'!C$32</f>
        <v>0</v>
      </c>
      <c r="W1960" s="161" t="b">
        <f t="array" ref="W1960">index(Dropdowns!B:B,match(I1960,Dropdowns!A:A,0))</f>
        <v>1</v>
      </c>
      <c r="X1960" s="161" t="b">
        <f t="array" ref="X1960">index('Query Tool'!B:B,match(D1960,'Query Tool'!C:C,0))</f>
        <v>1</v>
      </c>
      <c r="Y1960" s="161" t="str">
        <f t="shared" si="6"/>
        <v>okafoem01,2017-18</v>
      </c>
      <c r="Z1960" s="168" t="str">
        <f t="array" ref="Z1960">iferror(index(I:I,match($A1960&amp;","&amp;index('Year Conversion'!$A:$A,match($C1960,'Year Conversion'!$B:$B,0)),$Y:$Y,0))-I1960,"")</f>
        <v/>
      </c>
      <c r="AA1960" s="168" t="str">
        <f t="array" ref="AA1960">iferror(index(J:J,match($A1960&amp;","&amp;index('Year Conversion'!$A:$A,match($C1960,'Year Conversion'!$B:$B,0)),$Y:$Y,0))-J1960,"")</f>
        <v/>
      </c>
      <c r="AB1960" s="168" t="str">
        <f t="array" ref="AB1960">iferror(index(K:K,match($A1960&amp;","&amp;index('Year Conversion'!$A:$A,match($C1960,'Year Conversion'!$B:$B,0)),$Y:$Y,0))-K1960,"")</f>
        <v/>
      </c>
      <c r="AC1960" s="168" t="str">
        <f t="shared" si="7"/>
        <v>NOP,2017-18</v>
      </c>
    </row>
    <row r="1961">
      <c r="A1961" s="161" t="str">
        <f>IFERROR(__xludf.DUMMYFUNCTION("""COMPUTED_VALUE"""),"livinsh01")</f>
        <v>livinsh01</v>
      </c>
      <c r="B1961" s="161" t="str">
        <f>IFERROR(__xludf.DUMMYFUNCTION("""COMPUTED_VALUE"""),"Shaun Livingston")</f>
        <v>Shaun Livingston</v>
      </c>
      <c r="C1961" s="162" t="str">
        <f>IFERROR(__xludf.DUMMYFUNCTION("""COMPUTED_VALUE"""),"2017-18")</f>
        <v>2017-18</v>
      </c>
      <c r="D1961" s="163" t="str">
        <f>IFERROR(__xludf.DUMMYFUNCTION("""COMPUTED_VALUE"""),"GSW")</f>
        <v>GSW</v>
      </c>
      <c r="E1961" s="164" t="str">
        <f>IFERROR(__xludf.DUMMYFUNCTION("""COMPUTED_VALUE"""),"Post Scorer")</f>
        <v>Post Scorer</v>
      </c>
      <c r="F1961" s="164">
        <f>IFERROR(__xludf.DUMMYFUNCTION("""COMPUTED_VALUE"""),1129.31666666667)</f>
        <v>1129.316667</v>
      </c>
      <c r="G1961" s="163">
        <f>IFERROR(__xludf.DUMMYFUNCTION("""COMPUTED_VALUE"""),71.0)</f>
        <v>71</v>
      </c>
      <c r="H1961" s="163" t="str">
        <f>IFERROR(__xludf.DUMMYFUNCTION("""COMPUTED_VALUE"""),"PG")</f>
        <v>PG</v>
      </c>
      <c r="I1961" s="163">
        <f>IFERROR(__xludf.DUMMYFUNCTION("""COMPUTED_VALUE"""),32.0)</f>
        <v>32</v>
      </c>
      <c r="J1961" s="165">
        <f>IFERROR(__xludf.DUMMYFUNCTION("""COMPUTED_VALUE"""),-1.32438798517539)</f>
        <v>-1.324387985</v>
      </c>
      <c r="K1961" s="165">
        <f>IFERROR(__xludf.DUMMYFUNCTION("""COMPUTED_VALUE"""),-1.064742905814)</f>
        <v>-1.064742906</v>
      </c>
      <c r="L1961" s="165">
        <f>IFERROR(__xludf.DUMMYFUNCTION("""COMPUTED_VALUE"""),-0.259645079361388)</f>
        <v>-0.2596450794</v>
      </c>
      <c r="M1961" s="166">
        <f t="shared" si="2"/>
        <v>0.7351253897</v>
      </c>
      <c r="N1961" s="167">
        <f t="shared" si="3"/>
        <v>15.90586854</v>
      </c>
      <c r="O1961" s="163">
        <f t="shared" ref="O1961:Q1961" si="1965">rank(I1961,I:I)</f>
        <v>359</v>
      </c>
      <c r="P1961" s="163">
        <f t="shared" si="1965"/>
        <v>2889</v>
      </c>
      <c r="Q1961" s="163">
        <f t="shared" si="1965"/>
        <v>2891</v>
      </c>
      <c r="R1961" s="163">
        <f>IFERROR(__xludf.DUMMYFUNCTION("RANK(M1961,filter(M:M,C:C=C1961))"),265.0)</f>
        <v>265</v>
      </c>
      <c r="S1961" s="161" t="b">
        <f t="shared" si="5"/>
        <v>0</v>
      </c>
      <c r="T1961" s="161" t="b">
        <f t="array" ref="T1961">index('Query Tool'!B:B,match(H1961,'Query Tool'!C:C,0))</f>
        <v>1</v>
      </c>
      <c r="U1961" s="161" t="b">
        <f t="array" ref="U1961">index('Query Tool'!B:B,match(C1961,'Query Tool'!C:C,0))</f>
        <v>0</v>
      </c>
      <c r="V1961" s="161" t="b">
        <f>F1961&gt;='Query Tool'!C$32</f>
        <v>1</v>
      </c>
      <c r="W1961" s="161" t="b">
        <f t="array" ref="W1961">index(Dropdowns!B:B,match(I1961,Dropdowns!A:A,0))</f>
        <v>1</v>
      </c>
      <c r="X1961" s="161" t="b">
        <f t="array" ref="X1961">index('Query Tool'!B:B,match(D1961,'Query Tool'!C:C,0))</f>
        <v>1</v>
      </c>
      <c r="Y1961" s="161" t="str">
        <f t="shared" si="6"/>
        <v>livinsh01,2017-18</v>
      </c>
      <c r="Z1961" s="168">
        <f t="array" ref="Z1961">iferror(index(I:I,match($A1961&amp;","&amp;index('Year Conversion'!$A:$A,match($C1961,'Year Conversion'!$B:$B,0)),$Y:$Y,0))-I1961,"")</f>
        <v>1</v>
      </c>
      <c r="AA1961" s="168">
        <f t="array" ref="AA1961">iferror(index(J:J,match($A1961&amp;","&amp;index('Year Conversion'!$A:$A,match($C1961,'Year Conversion'!$B:$B,0)),$Y:$Y,0))-J1961,"")</f>
        <v>-0.8080163797</v>
      </c>
      <c r="AB1961" s="168">
        <f t="array" ref="AB1961">iferror(index(K:K,match($A1961&amp;","&amp;index('Year Conversion'!$A:$A,match($C1961,'Year Conversion'!$B:$B,0)),$Y:$Y,0))-K1961,"")</f>
        <v>-0.6328703497</v>
      </c>
      <c r="AC1961" s="168" t="str">
        <f t="shared" si="7"/>
        <v>GSW,2017-18</v>
      </c>
    </row>
    <row r="1962">
      <c r="A1962" s="161" t="str">
        <f>IFERROR(__xludf.DUMMYFUNCTION("""COMPUTED_VALUE"""),"harride01")</f>
        <v>harride01</v>
      </c>
      <c r="B1962" s="161" t="str">
        <f>IFERROR(__xludf.DUMMYFUNCTION("""COMPUTED_VALUE"""),"Devin Harris")</f>
        <v>Devin Harris</v>
      </c>
      <c r="C1962" s="162" t="str">
        <f>IFERROR(__xludf.DUMMYFUNCTION("""COMPUTED_VALUE"""),"2017-18")</f>
        <v>2017-18</v>
      </c>
      <c r="D1962" s="163" t="str">
        <f>IFERROR(__xludf.DUMMYFUNCTION("""COMPUTED_VALUE"""),"TOT")</f>
        <v>TOT</v>
      </c>
      <c r="E1962" s="164" t="str">
        <f>IFERROR(__xludf.DUMMYFUNCTION("""COMPUTED_VALUE"""),"Secondary Ball Handler")</f>
        <v>Secondary Ball Handler</v>
      </c>
      <c r="F1962" s="164">
        <f>IFERROR(__xludf.DUMMYFUNCTION("""COMPUTED_VALUE"""),1339.52166666667)</f>
        <v>1339.521667</v>
      </c>
      <c r="G1962" s="163">
        <f>IFERROR(__xludf.DUMMYFUNCTION("""COMPUTED_VALUE"""),71.0)</f>
        <v>71</v>
      </c>
      <c r="H1962" s="163" t="str">
        <f>IFERROR(__xludf.DUMMYFUNCTION("""COMPUTED_VALUE"""),"PG")</f>
        <v>PG</v>
      </c>
      <c r="I1962" s="163">
        <f>IFERROR(__xludf.DUMMYFUNCTION("""COMPUTED_VALUE"""),34.0)</f>
        <v>34</v>
      </c>
      <c r="J1962" s="165">
        <f>IFERROR(__xludf.DUMMYFUNCTION("""COMPUTED_VALUE"""),-0.010146297810929)</f>
        <v>-0.01014629781</v>
      </c>
      <c r="K1962" s="165">
        <f>IFERROR(__xludf.DUMMYFUNCTION("""COMPUTED_VALUE"""),0.150486129829192)</f>
        <v>0.1504861298</v>
      </c>
      <c r="L1962" s="165">
        <f>IFERROR(__xludf.DUMMYFUNCTION("""COMPUTED_VALUE"""),-0.160632427640121)</f>
        <v>-0.1606324276</v>
      </c>
      <c r="M1962" s="166">
        <f t="shared" si="2"/>
        <v>2.055932865</v>
      </c>
      <c r="N1962" s="167">
        <f t="shared" si="3"/>
        <v>18.86650235</v>
      </c>
      <c r="O1962" s="163">
        <f t="shared" ref="O1962:Q1962" si="1966">rank(I1962,I:I)</f>
        <v>164</v>
      </c>
      <c r="P1962" s="163">
        <f t="shared" si="1966"/>
        <v>1298</v>
      </c>
      <c r="Q1962" s="163">
        <f t="shared" si="1966"/>
        <v>1028</v>
      </c>
      <c r="R1962" s="163">
        <f>IFERROR(__xludf.DUMMYFUNCTION("RANK(M1962,filter(M:M,C:C=C1962))"),158.0)</f>
        <v>158</v>
      </c>
      <c r="S1962" s="161" t="b">
        <f t="shared" si="5"/>
        <v>0</v>
      </c>
      <c r="T1962" s="161" t="b">
        <f t="array" ref="T1962">index('Query Tool'!B:B,match(H1962,'Query Tool'!C:C,0))</f>
        <v>1</v>
      </c>
      <c r="U1962" s="161" t="b">
        <f t="array" ref="U1962">index('Query Tool'!B:B,match(C1962,'Query Tool'!C:C,0))</f>
        <v>0</v>
      </c>
      <c r="V1962" s="161" t="b">
        <f>F1962&gt;='Query Tool'!C$32</f>
        <v>1</v>
      </c>
      <c r="W1962" s="161" t="b">
        <f t="array" ref="W1962">index(Dropdowns!B:B,match(I1962,Dropdowns!A:A,0))</f>
        <v>1</v>
      </c>
      <c r="X1962" s="161" t="b">
        <f t="array" ref="X1962">index('Query Tool'!B:B,match(D1962,'Query Tool'!C:C,0))</f>
        <v>1</v>
      </c>
      <c r="Y1962" s="161" t="str">
        <f t="shared" si="6"/>
        <v>harride01,2017-18</v>
      </c>
      <c r="Z1962" s="168">
        <f t="array" ref="Z1962">iferror(index(I:I,match($A1962&amp;","&amp;index('Year Conversion'!$A:$A,match($C1962,'Year Conversion'!$B:$B,0)),$Y:$Y,0))-I1962,"")</f>
        <v>1</v>
      </c>
      <c r="AA1962" s="168">
        <f t="array" ref="AA1962">iferror(index(J:J,match($A1962&amp;","&amp;index('Year Conversion'!$A:$A,match($C1962,'Year Conversion'!$B:$B,0)),$Y:$Y,0))-J1962,"")</f>
        <v>-1.496287796</v>
      </c>
      <c r="AB1962" s="168">
        <f t="array" ref="AB1962">iferror(index(K:K,match($A1962&amp;","&amp;index('Year Conversion'!$A:$A,match($C1962,'Year Conversion'!$B:$B,0)),$Y:$Y,0))-K1962,"")</f>
        <v>-0.7297889341</v>
      </c>
      <c r="AC1962" s="168" t="str">
        <f t="shared" si="7"/>
        <v>TOT,2017-18</v>
      </c>
    </row>
    <row r="1963">
      <c r="A1963" s="161" t="str">
        <f>IFERROR(__xludf.DUMMYFUNCTION("""COMPUTED_VALUE"""),"denglu01")</f>
        <v>denglu01</v>
      </c>
      <c r="B1963" s="161" t="str">
        <f>IFERROR(__xludf.DUMMYFUNCTION("""COMPUTED_VALUE"""),"Luol Deng")</f>
        <v>Luol Deng</v>
      </c>
      <c r="C1963" s="162" t="str">
        <f>IFERROR(__xludf.DUMMYFUNCTION("""COMPUTED_VALUE"""),"2017-18")</f>
        <v>2017-18</v>
      </c>
      <c r="D1963" s="163" t="str">
        <f>IFERROR(__xludf.DUMMYFUNCTION("""COMPUTED_VALUE"""),"LAL")</f>
        <v>LAL</v>
      </c>
      <c r="E1963" s="164" t="str">
        <f>IFERROR(__xludf.DUMMYFUNCTION("""COMPUTED_VALUE"""),"Low Minutes")</f>
        <v>Low Minutes</v>
      </c>
      <c r="F1963" s="164">
        <f>IFERROR(__xludf.DUMMYFUNCTION("""COMPUTED_VALUE"""),13.1333333333333)</f>
        <v>13.13333333</v>
      </c>
      <c r="G1963" s="163">
        <f>IFERROR(__xludf.DUMMYFUNCTION("""COMPUTED_VALUE"""),1.0)</f>
        <v>1</v>
      </c>
      <c r="H1963" s="163" t="str">
        <f>IFERROR(__xludf.DUMMYFUNCTION("""COMPUTED_VALUE"""),"SF")</f>
        <v>SF</v>
      </c>
      <c r="I1963" s="163">
        <f>IFERROR(__xludf.DUMMYFUNCTION("""COMPUTED_VALUE"""),32.0)</f>
        <v>32</v>
      </c>
      <c r="J1963" s="165">
        <f>IFERROR(__xludf.DUMMYFUNCTION("""COMPUTED_VALUE"""),-0.297593462399144)</f>
        <v>-0.2975934624</v>
      </c>
      <c r="K1963" s="165">
        <f>IFERROR(__xludf.DUMMYFUNCTION("""COMPUTED_VALUE"""),-0.233585399657975)</f>
        <v>-0.2335853997</v>
      </c>
      <c r="L1963" s="165">
        <f>IFERROR(__xludf.DUMMYFUNCTION("""COMPUTED_VALUE"""),-0.0640080627411689)</f>
        <v>-0.06400806274</v>
      </c>
      <c r="M1963" s="166">
        <f t="shared" si="2"/>
        <v>0.01761254683</v>
      </c>
      <c r="N1963" s="167">
        <f t="shared" si="3"/>
        <v>13.13333333</v>
      </c>
      <c r="O1963" s="163">
        <f t="shared" ref="O1963:Q1963" si="1967">rank(I1963,I:I)</f>
        <v>359</v>
      </c>
      <c r="P1963" s="163">
        <f t="shared" si="1967"/>
        <v>1607</v>
      </c>
      <c r="Q1963" s="163">
        <f t="shared" si="1967"/>
        <v>1631</v>
      </c>
      <c r="R1963" s="163">
        <f>IFERROR(__xludf.DUMMYFUNCTION("RANK(M1963,filter(M:M,C:C=C1963))"),462.0)</f>
        <v>462</v>
      </c>
      <c r="S1963" s="161" t="b">
        <f t="shared" si="5"/>
        <v>0</v>
      </c>
      <c r="T1963" s="161" t="b">
        <f t="array" ref="T1963">index('Query Tool'!B:B,match(H1963,'Query Tool'!C:C,0))</f>
        <v>1</v>
      </c>
      <c r="U1963" s="161" t="b">
        <f t="array" ref="U1963">index('Query Tool'!B:B,match(C1963,'Query Tool'!C:C,0))</f>
        <v>0</v>
      </c>
      <c r="V1963" s="161" t="b">
        <f>F1963&gt;='Query Tool'!C$32</f>
        <v>0</v>
      </c>
      <c r="W1963" s="161" t="b">
        <f t="array" ref="W1963">index(Dropdowns!B:B,match(I1963,Dropdowns!A:A,0))</f>
        <v>1</v>
      </c>
      <c r="X1963" s="161" t="b">
        <f t="array" ref="X1963">index('Query Tool'!B:B,match(D1963,'Query Tool'!C:C,0))</f>
        <v>1</v>
      </c>
      <c r="Y1963" s="161" t="str">
        <f t="shared" si="6"/>
        <v>denglu01,2017-18</v>
      </c>
      <c r="Z1963" s="168">
        <f t="array" ref="Z1963">iferror(index(I:I,match($A1963&amp;","&amp;index('Year Conversion'!$A:$A,match($C1963,'Year Conversion'!$B:$B,0)),$Y:$Y,0))-I1963,"")</f>
        <v>1</v>
      </c>
      <c r="AA1963" s="168">
        <f t="array" ref="AA1963">iferror(index(J:J,match($A1963&amp;","&amp;index('Year Conversion'!$A:$A,match($C1963,'Year Conversion'!$B:$B,0)),$Y:$Y,0))-J1963,"")</f>
        <v>0.04263599232</v>
      </c>
      <c r="AB1963" s="168">
        <f t="array" ref="AB1963">iferror(index(K:K,match($A1963&amp;","&amp;index('Year Conversion'!$A:$A,match($C1963,'Year Conversion'!$B:$B,0)),$Y:$Y,0))-K1963,"")</f>
        <v>-0.04132739137</v>
      </c>
      <c r="AC1963" s="168" t="str">
        <f t="shared" si="7"/>
        <v>LAL,2017-18</v>
      </c>
    </row>
    <row r="1964">
      <c r="A1964" s="161" t="str">
        <f>IFERROR(__xludf.DUMMYFUNCTION("""COMPUTED_VALUE"""),"iguodan01")</f>
        <v>iguodan01</v>
      </c>
      <c r="B1964" s="161" t="str">
        <f>IFERROR(__xludf.DUMMYFUNCTION("""COMPUTED_VALUE"""),"Andre Iguodala")</f>
        <v>Andre Iguodala</v>
      </c>
      <c r="C1964" s="162" t="str">
        <f>IFERROR(__xludf.DUMMYFUNCTION("""COMPUTED_VALUE"""),"2017-18")</f>
        <v>2017-18</v>
      </c>
      <c r="D1964" s="163" t="str">
        <f>IFERROR(__xludf.DUMMYFUNCTION("""COMPUTED_VALUE"""),"GSW")</f>
        <v>GSW</v>
      </c>
      <c r="E1964" s="164" t="str">
        <f>IFERROR(__xludf.DUMMYFUNCTION("""COMPUTED_VALUE"""),"Stationary Shooter")</f>
        <v>Stationary Shooter</v>
      </c>
      <c r="F1964" s="164">
        <f>IFERROR(__xludf.DUMMYFUNCTION("""COMPUTED_VALUE"""),1622.47833333333)</f>
        <v>1622.478333</v>
      </c>
      <c r="G1964" s="163">
        <f>IFERROR(__xludf.DUMMYFUNCTION("""COMPUTED_VALUE"""),64.0)</f>
        <v>64</v>
      </c>
      <c r="H1964" s="163" t="str">
        <f>IFERROR(__xludf.DUMMYFUNCTION("""COMPUTED_VALUE"""),"SF")</f>
        <v>SF</v>
      </c>
      <c r="I1964" s="163">
        <f>IFERROR(__xludf.DUMMYFUNCTION("""COMPUTED_VALUE"""),34.0)</f>
        <v>34</v>
      </c>
      <c r="J1964" s="165">
        <f>IFERROR(__xludf.DUMMYFUNCTION("""COMPUTED_VALUE"""),0.271340386238456)</f>
        <v>0.2713403862</v>
      </c>
      <c r="K1964" s="165">
        <f>IFERROR(__xludf.DUMMYFUNCTION("""COMPUTED_VALUE"""),-0.368782408653195)</f>
        <v>-0.3687824087</v>
      </c>
      <c r="L1964" s="165">
        <f>IFERROR(__xludf.DUMMYFUNCTION("""COMPUTED_VALUE"""),0.640122794891652)</f>
        <v>0.6401227949</v>
      </c>
      <c r="M1964" s="166">
        <f t="shared" si="2"/>
        <v>2.798098362</v>
      </c>
      <c r="N1964" s="167">
        <f t="shared" si="3"/>
        <v>25.35122396</v>
      </c>
      <c r="O1964" s="163">
        <f t="shared" ref="O1964:Q1964" si="1968">rank(I1964,I:I)</f>
        <v>164</v>
      </c>
      <c r="P1964" s="163">
        <f t="shared" si="1968"/>
        <v>1041</v>
      </c>
      <c r="Q1964" s="163">
        <f t="shared" si="1968"/>
        <v>1889</v>
      </c>
      <c r="R1964" s="163">
        <f>IFERROR(__xludf.DUMMYFUNCTION("RANK(M1964,filter(M:M,C:C=C1964))"),116.0)</f>
        <v>116</v>
      </c>
      <c r="S1964" s="161" t="b">
        <f t="shared" si="5"/>
        <v>0</v>
      </c>
      <c r="T1964" s="161" t="b">
        <f t="array" ref="T1964">index('Query Tool'!B:B,match(H1964,'Query Tool'!C:C,0))</f>
        <v>1</v>
      </c>
      <c r="U1964" s="161" t="b">
        <f t="array" ref="U1964">index('Query Tool'!B:B,match(C1964,'Query Tool'!C:C,0))</f>
        <v>0</v>
      </c>
      <c r="V1964" s="161" t="b">
        <f>F1964&gt;='Query Tool'!C$32</f>
        <v>1</v>
      </c>
      <c r="W1964" s="161" t="b">
        <f t="array" ref="W1964">index(Dropdowns!B:B,match(I1964,Dropdowns!A:A,0))</f>
        <v>1</v>
      </c>
      <c r="X1964" s="161" t="b">
        <f t="array" ref="X1964">index('Query Tool'!B:B,match(D1964,'Query Tool'!C:C,0))</f>
        <v>1</v>
      </c>
      <c r="Y1964" s="161" t="str">
        <f t="shared" si="6"/>
        <v>iguodan01,2017-18</v>
      </c>
      <c r="Z1964" s="168">
        <f t="array" ref="Z1964">iferror(index(I:I,match($A1964&amp;","&amp;index('Year Conversion'!$A:$A,match($C1964,'Year Conversion'!$B:$B,0)),$Y:$Y,0))-I1964,"")</f>
        <v>1</v>
      </c>
      <c r="AA1964" s="168">
        <f t="array" ref="AA1964">iferror(index(J:J,match($A1964&amp;","&amp;index('Year Conversion'!$A:$A,match($C1964,'Year Conversion'!$B:$B,0)),$Y:$Y,0))-J1964,"")</f>
        <v>1.147348607</v>
      </c>
      <c r="AB1964" s="168">
        <f t="array" ref="AB1964">iferror(index(K:K,match($A1964&amp;","&amp;index('Year Conversion'!$A:$A,match($C1964,'Year Conversion'!$B:$B,0)),$Y:$Y,0))-K1964,"")</f>
        <v>0.0923969325</v>
      </c>
      <c r="AC1964" s="168" t="str">
        <f t="shared" si="7"/>
        <v>GSW,2017-18</v>
      </c>
    </row>
    <row r="1965">
      <c r="A1965" s="161" t="str">
        <f>IFERROR(__xludf.DUMMYFUNCTION("""COMPUTED_VALUE"""),"jeffeal01")</f>
        <v>jeffeal01</v>
      </c>
      <c r="B1965" s="161" t="str">
        <f>IFERROR(__xludf.DUMMYFUNCTION("""COMPUTED_VALUE"""),"Al Jefferson")</f>
        <v>Al Jefferson</v>
      </c>
      <c r="C1965" s="162" t="str">
        <f>IFERROR(__xludf.DUMMYFUNCTION("""COMPUTED_VALUE"""),"2017-18")</f>
        <v>2017-18</v>
      </c>
      <c r="D1965" s="163" t="str">
        <f>IFERROR(__xludf.DUMMYFUNCTION("""COMPUTED_VALUE"""),"IND")</f>
        <v>IND</v>
      </c>
      <c r="E1965" s="164" t="str">
        <f>IFERROR(__xludf.DUMMYFUNCTION("""COMPUTED_VALUE"""),"Post Scorer")</f>
        <v>Post Scorer</v>
      </c>
      <c r="F1965" s="164">
        <f>IFERROR(__xludf.DUMMYFUNCTION("""COMPUTED_VALUE"""),483.56)</f>
        <v>483.56</v>
      </c>
      <c r="G1965" s="163">
        <f>IFERROR(__xludf.DUMMYFUNCTION("""COMPUTED_VALUE"""),36.0)</f>
        <v>36</v>
      </c>
      <c r="H1965" s="163" t="str">
        <f>IFERROR(__xludf.DUMMYFUNCTION("""COMPUTED_VALUE"""),"C")</f>
        <v>C</v>
      </c>
      <c r="I1965" s="163">
        <f>IFERROR(__xludf.DUMMYFUNCTION("""COMPUTED_VALUE"""),33.0)</f>
        <v>33</v>
      </c>
      <c r="J1965" s="165">
        <f>IFERROR(__xludf.DUMMYFUNCTION("""COMPUTED_VALUE"""),0.126075730368839)</f>
        <v>0.1260757304</v>
      </c>
      <c r="K1965" s="165">
        <f>IFERROR(__xludf.DUMMYFUNCTION("""COMPUTED_VALUE"""),-0.386613334567723)</f>
        <v>-0.3866133346</v>
      </c>
      <c r="L1965" s="165">
        <f>IFERROR(__xludf.DUMMYFUNCTION("""COMPUTED_VALUE"""),0.512689064936562)</f>
        <v>0.5126890649</v>
      </c>
      <c r="M1965" s="166">
        <f t="shared" si="2"/>
        <v>0.7865895293</v>
      </c>
      <c r="N1965" s="167">
        <f t="shared" si="3"/>
        <v>13.43222222</v>
      </c>
      <c r="O1965" s="163">
        <f t="shared" ref="O1965:Q1965" si="1969">rank(I1965,I:I)</f>
        <v>246</v>
      </c>
      <c r="P1965" s="163">
        <f t="shared" si="1969"/>
        <v>1156</v>
      </c>
      <c r="Q1965" s="163">
        <f t="shared" si="1969"/>
        <v>1927</v>
      </c>
      <c r="R1965" s="163">
        <f>IFERROR(__xludf.DUMMYFUNCTION("RANK(M1965,filter(M:M,C:C=C1965))"),258.0)</f>
        <v>258</v>
      </c>
      <c r="S1965" s="161" t="b">
        <f t="shared" si="5"/>
        <v>0</v>
      </c>
      <c r="T1965" s="161" t="b">
        <f t="array" ref="T1965">index('Query Tool'!B:B,match(H1965,'Query Tool'!C:C,0))</f>
        <v>1</v>
      </c>
      <c r="U1965" s="161" t="b">
        <f t="array" ref="U1965">index('Query Tool'!B:B,match(C1965,'Query Tool'!C:C,0))</f>
        <v>0</v>
      </c>
      <c r="V1965" s="161" t="b">
        <f>F1965&gt;='Query Tool'!C$32</f>
        <v>0</v>
      </c>
      <c r="W1965" s="161" t="b">
        <f t="array" ref="W1965">index(Dropdowns!B:B,match(I1965,Dropdowns!A:A,0))</f>
        <v>1</v>
      </c>
      <c r="X1965" s="161" t="b">
        <f t="array" ref="X1965">index('Query Tool'!B:B,match(D1965,'Query Tool'!C:C,0))</f>
        <v>1</v>
      </c>
      <c r="Y1965" s="161" t="str">
        <f t="shared" si="6"/>
        <v>jeffeal01,2017-18</v>
      </c>
      <c r="Z1965" s="168" t="str">
        <f t="array" ref="Z1965">iferror(index(I:I,match($A1965&amp;","&amp;index('Year Conversion'!$A:$A,match($C1965,'Year Conversion'!$B:$B,0)),$Y:$Y,0))-I1965,"")</f>
        <v/>
      </c>
      <c r="AA1965" s="168" t="str">
        <f t="array" ref="AA1965">iferror(index(J:J,match($A1965&amp;","&amp;index('Year Conversion'!$A:$A,match($C1965,'Year Conversion'!$B:$B,0)),$Y:$Y,0))-J1965,"")</f>
        <v/>
      </c>
      <c r="AB1965" s="168" t="str">
        <f t="array" ref="AB1965">iferror(index(K:K,match($A1965&amp;","&amp;index('Year Conversion'!$A:$A,match($C1965,'Year Conversion'!$B:$B,0)),$Y:$Y,0))-K1965,"")</f>
        <v/>
      </c>
      <c r="AC1965" s="168" t="str">
        <f t="shared" si="7"/>
        <v>IND,2017-18</v>
      </c>
    </row>
    <row r="1966">
      <c r="A1966" s="161" t="str">
        <f>IFERROR(__xludf.DUMMYFUNCTION("""COMPUTED_VALUE"""),"smithjo03")</f>
        <v>smithjo03</v>
      </c>
      <c r="B1966" s="161" t="str">
        <f>IFERROR(__xludf.DUMMYFUNCTION("""COMPUTED_VALUE"""),"Josh Smith")</f>
        <v>Josh Smith</v>
      </c>
      <c r="C1966" s="162" t="str">
        <f>IFERROR(__xludf.DUMMYFUNCTION("""COMPUTED_VALUE"""),"2017-18")</f>
        <v>2017-18</v>
      </c>
      <c r="D1966" s="163" t="str">
        <f>IFERROR(__xludf.DUMMYFUNCTION("""COMPUTED_VALUE"""),"NOP")</f>
        <v>NOP</v>
      </c>
      <c r="E1966" s="164" t="str">
        <f>IFERROR(__xludf.DUMMYFUNCTION("""COMPUTED_VALUE"""),"Roll + Cut Big")</f>
        <v>Roll + Cut Big</v>
      </c>
      <c r="F1966" s="164">
        <f>IFERROR(__xludf.DUMMYFUNCTION("""COMPUTED_VALUE"""),11.8216666666667)</f>
        <v>11.82166667</v>
      </c>
      <c r="G1966" s="163">
        <f>IFERROR(__xludf.DUMMYFUNCTION("""COMPUTED_VALUE"""),3.0)</f>
        <v>3</v>
      </c>
      <c r="H1966" s="163" t="str">
        <f>IFERROR(__xludf.DUMMYFUNCTION("""COMPUTED_VALUE"""),"PF")</f>
        <v>PF</v>
      </c>
      <c r="I1966" s="163">
        <f>IFERROR(__xludf.DUMMYFUNCTION("""COMPUTED_VALUE"""),32.0)</f>
        <v>32</v>
      </c>
      <c r="J1966" s="165">
        <f>IFERROR(__xludf.DUMMYFUNCTION("""COMPUTED_VALUE"""),-0.798446922391624)</f>
        <v>-0.7984469224</v>
      </c>
      <c r="K1966" s="165">
        <f>IFERROR(__xludf.DUMMYFUNCTION("""COMPUTED_VALUE"""),-0.225309264636517)</f>
        <v>-0.2253092646</v>
      </c>
      <c r="L1966" s="165">
        <f>IFERROR(__xludf.DUMMYFUNCTION("""COMPUTED_VALUE"""),-0.573137657755107)</f>
        <v>-0.5731376578</v>
      </c>
      <c r="M1966" s="166">
        <f t="shared" si="2"/>
        <v>0.01186703959</v>
      </c>
      <c r="N1966" s="167">
        <f t="shared" si="3"/>
        <v>3.940555556</v>
      </c>
      <c r="O1966" s="163">
        <f t="shared" ref="O1966:Q1966" si="1970">rank(I1966,I:I)</f>
        <v>359</v>
      </c>
      <c r="P1966" s="163">
        <f t="shared" si="1970"/>
        <v>2273</v>
      </c>
      <c r="Q1966" s="163">
        <f t="shared" si="1970"/>
        <v>1609</v>
      </c>
      <c r="R1966" s="163">
        <f>IFERROR(__xludf.DUMMYFUNCTION("RANK(M1966,filter(M:M,C:C=C1966))"),470.0)</f>
        <v>470</v>
      </c>
      <c r="S1966" s="161" t="b">
        <f t="shared" si="5"/>
        <v>0</v>
      </c>
      <c r="T1966" s="161" t="b">
        <f t="array" ref="T1966">index('Query Tool'!B:B,match(H1966,'Query Tool'!C:C,0))</f>
        <v>1</v>
      </c>
      <c r="U1966" s="161" t="b">
        <f t="array" ref="U1966">index('Query Tool'!B:B,match(C1966,'Query Tool'!C:C,0))</f>
        <v>0</v>
      </c>
      <c r="V1966" s="161" t="b">
        <f>F1966&gt;='Query Tool'!C$32</f>
        <v>0</v>
      </c>
      <c r="W1966" s="161" t="b">
        <f t="array" ref="W1966">index(Dropdowns!B:B,match(I1966,Dropdowns!A:A,0))</f>
        <v>1</v>
      </c>
      <c r="X1966" s="161" t="b">
        <f t="array" ref="X1966">index('Query Tool'!B:B,match(D1966,'Query Tool'!C:C,0))</f>
        <v>1</v>
      </c>
      <c r="Y1966" s="161" t="str">
        <f t="shared" si="6"/>
        <v>smithjo03,2017-18</v>
      </c>
      <c r="Z1966" s="168" t="str">
        <f t="array" ref="Z1966">iferror(index(I:I,match($A1966&amp;","&amp;index('Year Conversion'!$A:$A,match($C1966,'Year Conversion'!$B:$B,0)),$Y:$Y,0))-I1966,"")</f>
        <v/>
      </c>
      <c r="AA1966" s="168" t="str">
        <f t="array" ref="AA1966">iferror(index(J:J,match($A1966&amp;","&amp;index('Year Conversion'!$A:$A,match($C1966,'Year Conversion'!$B:$B,0)),$Y:$Y,0))-J1966,"")</f>
        <v/>
      </c>
      <c r="AB1966" s="168" t="str">
        <f t="array" ref="AB1966">iferror(index(K:K,match($A1966&amp;","&amp;index('Year Conversion'!$A:$A,match($C1966,'Year Conversion'!$B:$B,0)),$Y:$Y,0))-K1966,"")</f>
        <v/>
      </c>
      <c r="AC1966" s="168" t="str">
        <f t="shared" si="7"/>
        <v>NOP,2017-18</v>
      </c>
    </row>
    <row r="1967">
      <c r="A1967" s="161" t="str">
        <f>IFERROR(__xludf.DUMMYFUNCTION("""COMPUTED_VALUE"""),"smithjr01")</f>
        <v>smithjr01</v>
      </c>
      <c r="B1967" s="161" t="str">
        <f>IFERROR(__xludf.DUMMYFUNCTION("""COMPUTED_VALUE"""),"JR Smith")</f>
        <v>JR Smith</v>
      </c>
      <c r="C1967" s="162" t="str">
        <f>IFERROR(__xludf.DUMMYFUNCTION("""COMPUTED_VALUE"""),"2017-18")</f>
        <v>2017-18</v>
      </c>
      <c r="D1967" s="163" t="str">
        <f>IFERROR(__xludf.DUMMYFUNCTION("""COMPUTED_VALUE"""),"CLE")</f>
        <v>CLE</v>
      </c>
      <c r="E1967" s="164" t="str">
        <f>IFERROR(__xludf.DUMMYFUNCTION("""COMPUTED_VALUE"""),"Movement Shooter")</f>
        <v>Movement Shooter</v>
      </c>
      <c r="F1967" s="164">
        <f>IFERROR(__xludf.DUMMYFUNCTION("""COMPUTED_VALUE"""),2244.145)</f>
        <v>2244.145</v>
      </c>
      <c r="G1967" s="163">
        <f>IFERROR(__xludf.DUMMYFUNCTION("""COMPUTED_VALUE"""),80.0)</f>
        <v>80</v>
      </c>
      <c r="H1967" s="163" t="str">
        <f>IFERROR(__xludf.DUMMYFUNCTION("""COMPUTED_VALUE"""),"SG")</f>
        <v>SG</v>
      </c>
      <c r="I1967" s="163">
        <f>IFERROR(__xludf.DUMMYFUNCTION("""COMPUTED_VALUE"""),32.0)</f>
        <v>32</v>
      </c>
      <c r="J1967" s="165">
        <f>IFERROR(__xludf.DUMMYFUNCTION("""COMPUTED_VALUE"""),-1.77711998459242)</f>
        <v>-1.777119985</v>
      </c>
      <c r="K1967" s="165">
        <f>IFERROR(__xludf.DUMMYFUNCTION("""COMPUTED_VALUE"""),-0.700283538378817)</f>
        <v>-0.7002835384</v>
      </c>
      <c r="L1967" s="165">
        <f>IFERROR(__xludf.DUMMYFUNCTION("""COMPUTED_VALUE"""),-1.0768364462136)</f>
        <v>-1.076836446</v>
      </c>
      <c r="M1967" s="166">
        <f t="shared" si="2"/>
        <v>0.7827116329</v>
      </c>
      <c r="N1967" s="167">
        <f t="shared" si="3"/>
        <v>28.0518125</v>
      </c>
      <c r="O1967" s="163">
        <f t="shared" ref="O1967:Q1967" si="1971">rank(I1967,I:I)</f>
        <v>359</v>
      </c>
      <c r="P1967" s="163">
        <f t="shared" si="1971"/>
        <v>3310</v>
      </c>
      <c r="Q1967" s="163">
        <f t="shared" si="1971"/>
        <v>2416</v>
      </c>
      <c r="R1967" s="163">
        <f>IFERROR(__xludf.DUMMYFUNCTION("RANK(M1967,filter(M:M,C:C=C1967))"),259.0)</f>
        <v>259</v>
      </c>
      <c r="S1967" s="161" t="b">
        <f t="shared" si="5"/>
        <v>0</v>
      </c>
      <c r="T1967" s="161" t="b">
        <f t="array" ref="T1967">index('Query Tool'!B:B,match(H1967,'Query Tool'!C:C,0))</f>
        <v>1</v>
      </c>
      <c r="U1967" s="161" t="b">
        <f t="array" ref="U1967">index('Query Tool'!B:B,match(C1967,'Query Tool'!C:C,0))</f>
        <v>0</v>
      </c>
      <c r="V1967" s="161" t="b">
        <f>F1967&gt;='Query Tool'!C$32</f>
        <v>1</v>
      </c>
      <c r="W1967" s="161" t="b">
        <f t="array" ref="W1967">index(Dropdowns!B:B,match(I1967,Dropdowns!A:A,0))</f>
        <v>1</v>
      </c>
      <c r="X1967" s="161" t="b">
        <f t="array" ref="X1967">index('Query Tool'!B:B,match(D1967,'Query Tool'!C:C,0))</f>
        <v>1</v>
      </c>
      <c r="Y1967" s="161" t="str">
        <f t="shared" si="6"/>
        <v>smithjr01,2017-18</v>
      </c>
      <c r="Z1967" s="168">
        <f t="array" ref="Z1967">iferror(index(I:I,match($A1967&amp;","&amp;index('Year Conversion'!$A:$A,match($C1967,'Year Conversion'!$B:$B,0)),$Y:$Y,0))-I1967,"")</f>
        <v>1</v>
      </c>
      <c r="AA1967" s="168">
        <f t="array" ref="AA1967">iferror(index(J:J,match($A1967&amp;","&amp;index('Year Conversion'!$A:$A,match($C1967,'Year Conversion'!$B:$B,0)),$Y:$Y,0))-J1967,"")</f>
        <v>1.303763675</v>
      </c>
      <c r="AB1967" s="168">
        <f t="array" ref="AB1967">iferror(index(K:K,match($A1967&amp;","&amp;index('Year Conversion'!$A:$A,match($C1967,'Year Conversion'!$B:$B,0)),$Y:$Y,0))-K1967,"")</f>
        <v>-0.2909645184</v>
      </c>
      <c r="AC1967" s="168" t="str">
        <f t="shared" si="7"/>
        <v>CLE,2017-18</v>
      </c>
    </row>
    <row r="1968">
      <c r="A1968" s="161" t="str">
        <f>IFERROR(__xludf.DUMMYFUNCTION("""COMPUTED_VALUE"""),"nelsoja01")</f>
        <v>nelsoja01</v>
      </c>
      <c r="B1968" s="161" t="str">
        <f>IFERROR(__xludf.DUMMYFUNCTION("""COMPUTED_VALUE"""),"Jameer Nelson")</f>
        <v>Jameer Nelson</v>
      </c>
      <c r="C1968" s="162" t="str">
        <f>IFERROR(__xludf.DUMMYFUNCTION("""COMPUTED_VALUE"""),"2017-18")</f>
        <v>2017-18</v>
      </c>
      <c r="D1968" s="163" t="str">
        <f>IFERROR(__xludf.DUMMYFUNCTION("""COMPUTED_VALUE"""),"TOT")</f>
        <v>TOT</v>
      </c>
      <c r="E1968" s="164" t="str">
        <f>IFERROR(__xludf.DUMMYFUNCTION("""COMPUTED_VALUE"""),"Secondary Ball Handler")</f>
        <v>Secondary Ball Handler</v>
      </c>
      <c r="F1968" s="164">
        <f>IFERROR(__xludf.DUMMYFUNCTION("""COMPUTED_VALUE"""),1013.165)</f>
        <v>1013.165</v>
      </c>
      <c r="G1968" s="163">
        <f>IFERROR(__xludf.DUMMYFUNCTION("""COMPUTED_VALUE"""),50.0)</f>
        <v>50</v>
      </c>
      <c r="H1968" s="163" t="str">
        <f>IFERROR(__xludf.DUMMYFUNCTION("""COMPUTED_VALUE"""),"PG")</f>
        <v>PG</v>
      </c>
      <c r="I1968" s="163">
        <f>IFERROR(__xludf.DUMMYFUNCTION("""COMPUTED_VALUE"""),35.0)</f>
        <v>35</v>
      </c>
      <c r="J1968" s="165">
        <f>IFERROR(__xludf.DUMMYFUNCTION("""COMPUTED_VALUE"""),-2.83867595101557)</f>
        <v>-2.838675951</v>
      </c>
      <c r="K1968" s="165">
        <f>IFERROR(__xludf.DUMMYFUNCTION("""COMPUTED_VALUE"""),-1.65961640691849)</f>
        <v>-1.659616407</v>
      </c>
      <c r="L1968" s="165">
        <f>IFERROR(__xludf.DUMMYFUNCTION("""COMPUTED_VALUE"""),-1.17905954409708)</f>
        <v>-1.179059544</v>
      </c>
      <c r="M1968" s="166">
        <f t="shared" si="2"/>
        <v>-0.3556205074</v>
      </c>
      <c r="N1968" s="167">
        <f t="shared" si="3"/>
        <v>20.2633</v>
      </c>
      <c r="O1968" s="163">
        <f t="shared" ref="O1968:Q1968" si="1972">rank(I1968,I:I)</f>
        <v>104</v>
      </c>
      <c r="P1968" s="163">
        <f t="shared" si="1972"/>
        <v>3853</v>
      </c>
      <c r="Q1968" s="163">
        <f t="shared" si="1972"/>
        <v>3490</v>
      </c>
      <c r="R1968" s="163">
        <f>IFERROR(__xludf.DUMMYFUNCTION("RANK(M1968,filter(M:M,C:C=C1968))"),518.0)</f>
        <v>518</v>
      </c>
      <c r="S1968" s="161" t="b">
        <f t="shared" si="5"/>
        <v>0</v>
      </c>
      <c r="T1968" s="161" t="b">
        <f t="array" ref="T1968">index('Query Tool'!B:B,match(H1968,'Query Tool'!C:C,0))</f>
        <v>1</v>
      </c>
      <c r="U1968" s="161" t="b">
        <f t="array" ref="U1968">index('Query Tool'!B:B,match(C1968,'Query Tool'!C:C,0))</f>
        <v>0</v>
      </c>
      <c r="V1968" s="161" t="b">
        <f>F1968&gt;='Query Tool'!C$32</f>
        <v>1</v>
      </c>
      <c r="W1968" s="161" t="b">
        <f t="array" ref="W1968">index(Dropdowns!B:B,match(I1968,Dropdowns!A:A,0))</f>
        <v>1</v>
      </c>
      <c r="X1968" s="161" t="b">
        <f t="array" ref="X1968">index('Query Tool'!B:B,match(D1968,'Query Tool'!C:C,0))</f>
        <v>1</v>
      </c>
      <c r="Y1968" s="161" t="str">
        <f t="shared" si="6"/>
        <v>nelsoja01,2017-18</v>
      </c>
      <c r="Z1968" s="168" t="str">
        <f t="array" ref="Z1968">iferror(index(I:I,match($A1968&amp;","&amp;index('Year Conversion'!$A:$A,match($C1968,'Year Conversion'!$B:$B,0)),$Y:$Y,0))-I1968,"")</f>
        <v/>
      </c>
      <c r="AA1968" s="168" t="str">
        <f t="array" ref="AA1968">iferror(index(J:J,match($A1968&amp;","&amp;index('Year Conversion'!$A:$A,match($C1968,'Year Conversion'!$B:$B,0)),$Y:$Y,0))-J1968,"")</f>
        <v/>
      </c>
      <c r="AB1968" s="168" t="str">
        <f t="array" ref="AB1968">iferror(index(K:K,match($A1968&amp;","&amp;index('Year Conversion'!$A:$A,match($C1968,'Year Conversion'!$B:$B,0)),$Y:$Y,0))-K1968,"")</f>
        <v/>
      </c>
      <c r="AC1968" s="168" t="str">
        <f t="shared" si="7"/>
        <v>TOT,2017-18</v>
      </c>
    </row>
    <row r="1969">
      <c r="A1969" s="161" t="str">
        <f>IFERROR(__xludf.DUMMYFUNCTION("""COMPUTED_VALUE"""),"allento01")</f>
        <v>allento01</v>
      </c>
      <c r="B1969" s="161" t="str">
        <f>IFERROR(__xludf.DUMMYFUNCTION("""COMPUTED_VALUE"""),"Tony Allen")</f>
        <v>Tony Allen</v>
      </c>
      <c r="C1969" s="162" t="str">
        <f>IFERROR(__xludf.DUMMYFUNCTION("""COMPUTED_VALUE"""),"2017-18")</f>
        <v>2017-18</v>
      </c>
      <c r="D1969" s="163" t="str">
        <f>IFERROR(__xludf.DUMMYFUNCTION("""COMPUTED_VALUE"""),"NOP")</f>
        <v>NOP</v>
      </c>
      <c r="E1969" s="164" t="str">
        <f>IFERROR(__xludf.DUMMYFUNCTION("""COMPUTED_VALUE"""),"Roll + Cut Big")</f>
        <v>Roll + Cut Big</v>
      </c>
      <c r="F1969" s="164">
        <f>IFERROR(__xludf.DUMMYFUNCTION("""COMPUTED_VALUE"""),272.548333333333)</f>
        <v>272.5483333</v>
      </c>
      <c r="G1969" s="163">
        <f>IFERROR(__xludf.DUMMYFUNCTION("""COMPUTED_VALUE"""),22.0)</f>
        <v>22</v>
      </c>
      <c r="H1969" s="163" t="str">
        <f>IFERROR(__xludf.DUMMYFUNCTION("""COMPUTED_VALUE"""),"SF")</f>
        <v>SF</v>
      </c>
      <c r="I1969" s="163">
        <f>IFERROR(__xludf.DUMMYFUNCTION("""COMPUTED_VALUE"""),36.0)</f>
        <v>36</v>
      </c>
      <c r="J1969" s="165">
        <f>IFERROR(__xludf.DUMMYFUNCTION("""COMPUTED_VALUE"""),-2.27344043202189)</f>
        <v>-2.273440432</v>
      </c>
      <c r="K1969" s="165">
        <f>IFERROR(__xludf.DUMMYFUNCTION("""COMPUTED_VALUE"""),-1.63441782175841)</f>
        <v>-1.634417822</v>
      </c>
      <c r="L1969" s="165">
        <f>IFERROR(__xludf.DUMMYFUNCTION("""COMPUTED_VALUE"""),-0.639022610263481)</f>
        <v>-0.6390226103</v>
      </c>
      <c r="M1969" s="166">
        <f t="shared" si="2"/>
        <v>0.005409413424</v>
      </c>
      <c r="N1969" s="167">
        <f t="shared" si="3"/>
        <v>12.38856061</v>
      </c>
      <c r="O1969" s="163">
        <f t="shared" ref="O1969:Q1969" si="1973">rank(I1969,I:I)</f>
        <v>65</v>
      </c>
      <c r="P1969" s="163">
        <f t="shared" si="1973"/>
        <v>3641</v>
      </c>
      <c r="Q1969" s="163">
        <f t="shared" si="1973"/>
        <v>3472</v>
      </c>
      <c r="R1969" s="163">
        <f>IFERROR(__xludf.DUMMYFUNCTION("RANK(M1969,filter(M:M,C:C=C1969))"),487.0)</f>
        <v>487</v>
      </c>
      <c r="S1969" s="161" t="b">
        <f t="shared" si="5"/>
        <v>0</v>
      </c>
      <c r="T1969" s="161" t="b">
        <f t="array" ref="T1969">index('Query Tool'!B:B,match(H1969,'Query Tool'!C:C,0))</f>
        <v>1</v>
      </c>
      <c r="U1969" s="161" t="b">
        <f t="array" ref="U1969">index('Query Tool'!B:B,match(C1969,'Query Tool'!C:C,0))</f>
        <v>0</v>
      </c>
      <c r="V1969" s="161" t="b">
        <f>F1969&gt;='Query Tool'!C$32</f>
        <v>0</v>
      </c>
      <c r="W1969" s="161" t="b">
        <f t="array" ref="W1969">index(Dropdowns!B:B,match(I1969,Dropdowns!A:A,0))</f>
        <v>1</v>
      </c>
      <c r="X1969" s="161" t="b">
        <f t="array" ref="X1969">index('Query Tool'!B:B,match(D1969,'Query Tool'!C:C,0))</f>
        <v>1</v>
      </c>
      <c r="Y1969" s="161" t="str">
        <f t="shared" si="6"/>
        <v>allento01,2017-18</v>
      </c>
      <c r="Z1969" s="168" t="str">
        <f t="array" ref="Z1969">iferror(index(I:I,match($A1969&amp;","&amp;index('Year Conversion'!$A:$A,match($C1969,'Year Conversion'!$B:$B,0)),$Y:$Y,0))-I1969,"")</f>
        <v/>
      </c>
      <c r="AA1969" s="168" t="str">
        <f t="array" ref="AA1969">iferror(index(J:J,match($A1969&amp;","&amp;index('Year Conversion'!$A:$A,match($C1969,'Year Conversion'!$B:$B,0)),$Y:$Y,0))-J1969,"")</f>
        <v/>
      </c>
      <c r="AB1969" s="168" t="str">
        <f t="array" ref="AB1969">iferror(index(K:K,match($A1969&amp;","&amp;index('Year Conversion'!$A:$A,match($C1969,'Year Conversion'!$B:$B,0)),$Y:$Y,0))-K1969,"")</f>
        <v/>
      </c>
      <c r="AC1969" s="168" t="str">
        <f t="shared" si="7"/>
        <v>NOP,2017-18</v>
      </c>
    </row>
    <row r="1970">
      <c r="A1970" s="161" t="str">
        <f>IFERROR(__xludf.DUMMYFUNCTION("""COMPUTED_VALUE"""),"arizatr01")</f>
        <v>arizatr01</v>
      </c>
      <c r="B1970" s="161" t="str">
        <f>IFERROR(__xludf.DUMMYFUNCTION("""COMPUTED_VALUE"""),"Trevor Ariza")</f>
        <v>Trevor Ariza</v>
      </c>
      <c r="C1970" s="162" t="str">
        <f>IFERROR(__xludf.DUMMYFUNCTION("""COMPUTED_VALUE"""),"2017-18")</f>
        <v>2017-18</v>
      </c>
      <c r="D1970" s="163" t="str">
        <f>IFERROR(__xludf.DUMMYFUNCTION("""COMPUTED_VALUE"""),"HOU")</f>
        <v>HOU</v>
      </c>
      <c r="E1970" s="164" t="str">
        <f>IFERROR(__xludf.DUMMYFUNCTION("""COMPUTED_VALUE"""),"Stationary Shooter")</f>
        <v>Stationary Shooter</v>
      </c>
      <c r="F1970" s="164">
        <f>IFERROR(__xludf.DUMMYFUNCTION("""COMPUTED_VALUE"""),2269.20166666667)</f>
        <v>2269.201667</v>
      </c>
      <c r="G1970" s="163">
        <f>IFERROR(__xludf.DUMMYFUNCTION("""COMPUTED_VALUE"""),67.0)</f>
        <v>67</v>
      </c>
      <c r="H1970" s="163" t="str">
        <f>IFERROR(__xludf.DUMMYFUNCTION("""COMPUTED_VALUE"""),"SF")</f>
        <v>SF</v>
      </c>
      <c r="I1970" s="163">
        <f>IFERROR(__xludf.DUMMYFUNCTION("""COMPUTED_VALUE"""),32.0)</f>
        <v>32</v>
      </c>
      <c r="J1970" s="165">
        <f>IFERROR(__xludf.DUMMYFUNCTION("""COMPUTED_VALUE"""),0.505270184935676)</f>
        <v>0.5052701849</v>
      </c>
      <c r="K1970" s="165">
        <f>IFERROR(__xludf.DUMMYFUNCTION("""COMPUTED_VALUE"""),-0.0357610589732098)</f>
        <v>-0.03576105897</v>
      </c>
      <c r="L1970" s="165">
        <f>IFERROR(__xludf.DUMMYFUNCTION("""COMPUTED_VALUE"""),0.541031243908886)</f>
        <v>0.5410312439</v>
      </c>
      <c r="M1970" s="166">
        <f t="shared" si="2"/>
        <v>4.271077576</v>
      </c>
      <c r="N1970" s="167">
        <f t="shared" si="3"/>
        <v>33.86868159</v>
      </c>
      <c r="O1970" s="163">
        <f t="shared" ref="O1970:Q1970" si="1974">rank(I1970,I:I)</f>
        <v>359</v>
      </c>
      <c r="P1970" s="163">
        <f t="shared" si="1974"/>
        <v>898</v>
      </c>
      <c r="Q1970" s="163">
        <f t="shared" si="1974"/>
        <v>1247</v>
      </c>
      <c r="R1970" s="163">
        <f>IFERROR(__xludf.DUMMYFUNCTION("RANK(M1970,filter(M:M,C:C=C1970))"),75.0)</f>
        <v>75</v>
      </c>
      <c r="S1970" s="161" t="b">
        <f t="shared" si="5"/>
        <v>0</v>
      </c>
      <c r="T1970" s="161" t="b">
        <f t="array" ref="T1970">index('Query Tool'!B:B,match(H1970,'Query Tool'!C:C,0))</f>
        <v>1</v>
      </c>
      <c r="U1970" s="161" t="b">
        <f t="array" ref="U1970">index('Query Tool'!B:B,match(C1970,'Query Tool'!C:C,0))</f>
        <v>0</v>
      </c>
      <c r="V1970" s="161" t="b">
        <f>F1970&gt;='Query Tool'!C$32</f>
        <v>1</v>
      </c>
      <c r="W1970" s="161" t="b">
        <f t="array" ref="W1970">index(Dropdowns!B:B,match(I1970,Dropdowns!A:A,0))</f>
        <v>1</v>
      </c>
      <c r="X1970" s="161" t="b">
        <f t="array" ref="X1970">index('Query Tool'!B:B,match(D1970,'Query Tool'!C:C,0))</f>
        <v>1</v>
      </c>
      <c r="Y1970" s="161" t="str">
        <f t="shared" si="6"/>
        <v>arizatr01,2017-18</v>
      </c>
      <c r="Z1970" s="168">
        <f t="array" ref="Z1970">iferror(index(I:I,match($A1970&amp;","&amp;index('Year Conversion'!$A:$A,match($C1970,'Year Conversion'!$B:$B,0)),$Y:$Y,0))-I1970,"")</f>
        <v>1</v>
      </c>
      <c r="AA1970" s="168">
        <f t="array" ref="AA1970">iferror(index(J:J,match($A1970&amp;","&amp;index('Year Conversion'!$A:$A,match($C1970,'Year Conversion'!$B:$B,0)),$Y:$Y,0))-J1970,"")</f>
        <v>-1.994493719</v>
      </c>
      <c r="AB1970" s="168">
        <f t="array" ref="AB1970">iferror(index(K:K,match($A1970&amp;","&amp;index('Year Conversion'!$A:$A,match($C1970,'Year Conversion'!$B:$B,0)),$Y:$Y,0))-K1970,"")</f>
        <v>-0.8474571086</v>
      </c>
      <c r="AC1970" s="168" t="str">
        <f t="shared" si="7"/>
        <v>HOU,2017-18</v>
      </c>
    </row>
    <row r="1971">
      <c r="A1971" s="161" t="str">
        <f>IFERROR(__xludf.DUMMYFUNCTION("""COMPUTED_VALUE"""),"wilkida02")</f>
        <v>wilkida02</v>
      </c>
      <c r="B1971" s="161" t="str">
        <f>IFERROR(__xludf.DUMMYFUNCTION("""COMPUTED_VALUE"""),"Damien Wilkins")</f>
        <v>Damien Wilkins</v>
      </c>
      <c r="C1971" s="162" t="str">
        <f>IFERROR(__xludf.DUMMYFUNCTION("""COMPUTED_VALUE"""),"2017-18")</f>
        <v>2017-18</v>
      </c>
      <c r="D1971" s="163" t="str">
        <f>IFERROR(__xludf.DUMMYFUNCTION("""COMPUTED_VALUE"""),"IND")</f>
        <v>IND</v>
      </c>
      <c r="E1971" s="164" t="str">
        <f>IFERROR(__xludf.DUMMYFUNCTION("""COMPUTED_VALUE"""),"Stationary Shooter")</f>
        <v>Stationary Shooter</v>
      </c>
      <c r="F1971" s="164">
        <f>IFERROR(__xludf.DUMMYFUNCTION("""COMPUTED_VALUE"""),152.405)</f>
        <v>152.405</v>
      </c>
      <c r="G1971" s="163">
        <f>IFERROR(__xludf.DUMMYFUNCTION("""COMPUTED_VALUE"""),19.0)</f>
        <v>19</v>
      </c>
      <c r="H1971" s="163" t="str">
        <f>IFERROR(__xludf.DUMMYFUNCTION("""COMPUTED_VALUE"""),"SF")</f>
        <v>SF</v>
      </c>
      <c r="I1971" s="163">
        <f>IFERROR(__xludf.DUMMYFUNCTION("""COMPUTED_VALUE"""),38.0)</f>
        <v>38</v>
      </c>
      <c r="J1971" s="165">
        <f>IFERROR(__xludf.DUMMYFUNCTION("""COMPUTED_VALUE"""),-1.65470942459812)</f>
        <v>-1.654709425</v>
      </c>
      <c r="K1971" s="165">
        <f>IFERROR(__xludf.DUMMYFUNCTION("""COMPUTED_VALUE"""),-0.632687938799645)</f>
        <v>-0.6326879388</v>
      </c>
      <c r="L1971" s="165">
        <f>IFERROR(__xludf.DUMMYFUNCTION("""COMPUTED_VALUE"""),-1.02202148579847)</f>
        <v>-1.022021486</v>
      </c>
      <c r="M1971" s="166">
        <f t="shared" si="2"/>
        <v>0.06558025407</v>
      </c>
      <c r="N1971" s="167">
        <f t="shared" si="3"/>
        <v>8.021315789</v>
      </c>
      <c r="O1971" s="163">
        <f t="shared" ref="O1971:Q1971" si="1975">rank(I1971,I:I)</f>
        <v>20</v>
      </c>
      <c r="P1971" s="163">
        <f t="shared" si="1975"/>
        <v>3200</v>
      </c>
      <c r="Q1971" s="163">
        <f t="shared" si="1975"/>
        <v>2309</v>
      </c>
      <c r="R1971" s="163">
        <f>IFERROR(__xludf.DUMMYFUNCTION("RANK(M1971,filter(M:M,C:C=C1971))"),417.0)</f>
        <v>417</v>
      </c>
      <c r="S1971" s="161" t="b">
        <f t="shared" si="5"/>
        <v>0</v>
      </c>
      <c r="T1971" s="161" t="b">
        <f t="array" ref="T1971">index('Query Tool'!B:B,match(H1971,'Query Tool'!C:C,0))</f>
        <v>1</v>
      </c>
      <c r="U1971" s="161" t="b">
        <f t="array" ref="U1971">index('Query Tool'!B:B,match(C1971,'Query Tool'!C:C,0))</f>
        <v>0</v>
      </c>
      <c r="V1971" s="161" t="b">
        <f>F1971&gt;='Query Tool'!C$32</f>
        <v>0</v>
      </c>
      <c r="W1971" s="161" t="b">
        <f t="array" ref="W1971">index(Dropdowns!B:B,match(I1971,Dropdowns!A:A,0))</f>
        <v>1</v>
      </c>
      <c r="X1971" s="161" t="b">
        <f t="array" ref="X1971">index('Query Tool'!B:B,match(D1971,'Query Tool'!C:C,0))</f>
        <v>1</v>
      </c>
      <c r="Y1971" s="161" t="str">
        <f t="shared" si="6"/>
        <v>wilkida02,2017-18</v>
      </c>
      <c r="Z1971" s="168" t="str">
        <f t="array" ref="Z1971">iferror(index(I:I,match($A1971&amp;","&amp;index('Year Conversion'!$A:$A,match($C1971,'Year Conversion'!$B:$B,0)),$Y:$Y,0))-I1971,"")</f>
        <v/>
      </c>
      <c r="AA1971" s="168" t="str">
        <f t="array" ref="AA1971">iferror(index(J:J,match($A1971&amp;","&amp;index('Year Conversion'!$A:$A,match($C1971,'Year Conversion'!$B:$B,0)),$Y:$Y,0))-J1971,"")</f>
        <v/>
      </c>
      <c r="AB1971" s="168" t="str">
        <f t="array" ref="AB1971">iferror(index(K:K,match($A1971&amp;","&amp;index('Year Conversion'!$A:$A,match($C1971,'Year Conversion'!$B:$B,0)),$Y:$Y,0))-K1971,"")</f>
        <v/>
      </c>
      <c r="AC1971" s="168" t="str">
        <f t="shared" si="7"/>
        <v>IND,2017-18</v>
      </c>
    </row>
    <row r="1972">
      <c r="A1972" s="161" t="str">
        <f>IFERROR(__xludf.DUMMYFUNCTION("""COMPUTED_VALUE"""),"bogutan01")</f>
        <v>bogutan01</v>
      </c>
      <c r="B1972" s="161" t="str">
        <f>IFERROR(__xludf.DUMMYFUNCTION("""COMPUTED_VALUE"""),"Andrew Bogut")</f>
        <v>Andrew Bogut</v>
      </c>
      <c r="C1972" s="162" t="str">
        <f>IFERROR(__xludf.DUMMYFUNCTION("""COMPUTED_VALUE"""),"2017-18")</f>
        <v>2017-18</v>
      </c>
      <c r="D1972" s="163" t="str">
        <f>IFERROR(__xludf.DUMMYFUNCTION("""COMPUTED_VALUE"""),"LAL")</f>
        <v>LAL</v>
      </c>
      <c r="E1972" s="164" t="str">
        <f>IFERROR(__xludf.DUMMYFUNCTION("""COMPUTED_VALUE"""),"Roll + Cut Big")</f>
        <v>Roll + Cut Big</v>
      </c>
      <c r="F1972" s="164">
        <f>IFERROR(__xludf.DUMMYFUNCTION("""COMPUTED_VALUE"""),216.395)</f>
        <v>216.395</v>
      </c>
      <c r="G1972" s="163">
        <f>IFERROR(__xludf.DUMMYFUNCTION("""COMPUTED_VALUE"""),24.0)</f>
        <v>24</v>
      </c>
      <c r="H1972" s="163" t="str">
        <f>IFERROR(__xludf.DUMMYFUNCTION("""COMPUTED_VALUE"""),"C")</f>
        <v>C</v>
      </c>
      <c r="I1972" s="163">
        <f>IFERROR(__xludf.DUMMYFUNCTION("""COMPUTED_VALUE"""),33.0)</f>
        <v>33</v>
      </c>
      <c r="J1972" s="165">
        <f>IFERROR(__xludf.DUMMYFUNCTION("""COMPUTED_VALUE"""),-1.50066101011237)</f>
        <v>-1.50066101</v>
      </c>
      <c r="K1972" s="165">
        <f>IFERROR(__xludf.DUMMYFUNCTION("""COMPUTED_VALUE"""),-2.60861700757872)</f>
        <v>-2.608617008</v>
      </c>
      <c r="L1972" s="165">
        <f>IFERROR(__xludf.DUMMYFUNCTION("""COMPUTED_VALUE"""),1.10795599746635)</f>
        <v>1.107955997</v>
      </c>
      <c r="M1972" s="166">
        <f t="shared" si="2"/>
        <v>0.1153579226</v>
      </c>
      <c r="N1972" s="167">
        <f t="shared" si="3"/>
        <v>9.016458333</v>
      </c>
      <c r="O1972" s="163">
        <f t="shared" ref="O1972:Q1972" si="1976">rank(I1972,I:I)</f>
        <v>246</v>
      </c>
      <c r="P1972" s="163">
        <f t="shared" si="1976"/>
        <v>3055</v>
      </c>
      <c r="Q1972" s="163">
        <f t="shared" si="1976"/>
        <v>3916</v>
      </c>
      <c r="R1972" s="163">
        <f>IFERROR(__xludf.DUMMYFUNCTION("RANK(M1972,filter(M:M,C:C=C1972))"),392.0)</f>
        <v>392</v>
      </c>
      <c r="S1972" s="161" t="b">
        <f t="shared" si="5"/>
        <v>0</v>
      </c>
      <c r="T1972" s="161" t="b">
        <f t="array" ref="T1972">index('Query Tool'!B:B,match(H1972,'Query Tool'!C:C,0))</f>
        <v>1</v>
      </c>
      <c r="U1972" s="161" t="b">
        <f t="array" ref="U1972">index('Query Tool'!B:B,match(C1972,'Query Tool'!C:C,0))</f>
        <v>0</v>
      </c>
      <c r="V1972" s="161" t="b">
        <f>F1972&gt;='Query Tool'!C$32</f>
        <v>0</v>
      </c>
      <c r="W1972" s="161" t="b">
        <f t="array" ref="W1972">index(Dropdowns!B:B,match(I1972,Dropdowns!A:A,0))</f>
        <v>1</v>
      </c>
      <c r="X1972" s="161" t="b">
        <f t="array" ref="X1972">index('Query Tool'!B:B,match(D1972,'Query Tool'!C:C,0))</f>
        <v>1</v>
      </c>
      <c r="Y1972" s="161" t="str">
        <f t="shared" si="6"/>
        <v>bogutan01,2017-18</v>
      </c>
      <c r="Z1972" s="168">
        <f t="array" ref="Z1972">iferror(index(I:I,match($A1972&amp;","&amp;index('Year Conversion'!$A:$A,match($C1972,'Year Conversion'!$B:$B,0)),$Y:$Y,0))-I1972,"")</f>
        <v>1</v>
      </c>
      <c r="AA1972" s="168">
        <f t="array" ref="AA1972">iferror(index(J:J,match($A1972&amp;","&amp;index('Year Conversion'!$A:$A,match($C1972,'Year Conversion'!$B:$B,0)),$Y:$Y,0))-J1972,"")</f>
        <v>0.7803652304</v>
      </c>
      <c r="AB1972" s="168">
        <f t="array" ref="AB1972">iferror(index(K:K,match($A1972&amp;","&amp;index('Year Conversion'!$A:$A,match($C1972,'Year Conversion'!$B:$B,0)),$Y:$Y,0))-K1972,"")</f>
        <v>1.703542391</v>
      </c>
      <c r="AC1972" s="168" t="str">
        <f t="shared" si="7"/>
        <v>LAL,2017-18</v>
      </c>
    </row>
    <row r="1973">
      <c r="A1973" s="161" t="str">
        <f>IFERROR(__xludf.DUMMYFUNCTION("""COMPUTED_VALUE"""),"willima02")</f>
        <v>willima02</v>
      </c>
      <c r="B1973" s="161" t="str">
        <f>IFERROR(__xludf.DUMMYFUNCTION("""COMPUTED_VALUE"""),"Marvin Williams")</f>
        <v>Marvin Williams</v>
      </c>
      <c r="C1973" s="162" t="str">
        <f>IFERROR(__xludf.DUMMYFUNCTION("""COMPUTED_VALUE"""),"2017-18")</f>
        <v>2017-18</v>
      </c>
      <c r="D1973" s="163" t="str">
        <f>IFERROR(__xludf.DUMMYFUNCTION("""COMPUTED_VALUE"""),"CHO")</f>
        <v>CHO</v>
      </c>
      <c r="E1973" s="164" t="str">
        <f>IFERROR(__xludf.DUMMYFUNCTION("""COMPUTED_VALUE"""),"Movement Shooter")</f>
        <v>Movement Shooter</v>
      </c>
      <c r="F1973" s="164">
        <f>IFERROR(__xludf.DUMMYFUNCTION("""COMPUTED_VALUE"""),2005.85166666667)</f>
        <v>2005.851667</v>
      </c>
      <c r="G1973" s="163">
        <f>IFERROR(__xludf.DUMMYFUNCTION("""COMPUTED_VALUE"""),78.0)</f>
        <v>78</v>
      </c>
      <c r="H1973" s="163" t="str">
        <f>IFERROR(__xludf.DUMMYFUNCTION("""COMPUTED_VALUE"""),"PF")</f>
        <v>PF</v>
      </c>
      <c r="I1973" s="163">
        <f>IFERROR(__xludf.DUMMYFUNCTION("""COMPUTED_VALUE"""),31.0)</f>
        <v>31</v>
      </c>
      <c r="J1973" s="165">
        <f>IFERROR(__xludf.DUMMYFUNCTION("""COMPUTED_VALUE"""),0.472278341493333)</f>
        <v>0.4722783415</v>
      </c>
      <c r="K1973" s="165">
        <f>IFERROR(__xludf.DUMMYFUNCTION("""COMPUTED_VALUE"""),-0.321714843486138)</f>
        <v>-0.3217148435</v>
      </c>
      <c r="L1973" s="165">
        <f>IFERROR(__xludf.DUMMYFUNCTION("""COMPUTED_VALUE"""),0.793993184979471)</f>
        <v>0.793993185</v>
      </c>
      <c r="M1973" s="166">
        <f t="shared" si="2"/>
        <v>3.730830529</v>
      </c>
      <c r="N1973" s="167">
        <f t="shared" si="3"/>
        <v>25.71604701</v>
      </c>
      <c r="O1973" s="163">
        <f t="shared" ref="O1973:Q1973" si="1977">rank(I1973,I:I)</f>
        <v>490</v>
      </c>
      <c r="P1973" s="163">
        <f t="shared" si="1977"/>
        <v>915</v>
      </c>
      <c r="Q1973" s="163">
        <f t="shared" si="1977"/>
        <v>1798</v>
      </c>
      <c r="R1973" s="163">
        <f>IFERROR(__xludf.DUMMYFUNCTION("RANK(M1973,filter(M:M,C:C=C1973))"),95.0)</f>
        <v>95</v>
      </c>
      <c r="S1973" s="161" t="b">
        <f t="shared" si="5"/>
        <v>0</v>
      </c>
      <c r="T1973" s="161" t="b">
        <f t="array" ref="T1973">index('Query Tool'!B:B,match(H1973,'Query Tool'!C:C,0))</f>
        <v>1</v>
      </c>
      <c r="U1973" s="161" t="b">
        <f t="array" ref="U1973">index('Query Tool'!B:B,match(C1973,'Query Tool'!C:C,0))</f>
        <v>0</v>
      </c>
      <c r="V1973" s="161" t="b">
        <f>F1973&gt;='Query Tool'!C$32</f>
        <v>1</v>
      </c>
      <c r="W1973" s="161" t="b">
        <f t="array" ref="W1973">index(Dropdowns!B:B,match(I1973,Dropdowns!A:A,0))</f>
        <v>1</v>
      </c>
      <c r="X1973" s="161" t="b">
        <f t="array" ref="X1973">index('Query Tool'!B:B,match(D1973,'Query Tool'!C:C,0))</f>
        <v>1</v>
      </c>
      <c r="Y1973" s="161" t="str">
        <f t="shared" si="6"/>
        <v>willima02,2017-18</v>
      </c>
      <c r="Z1973" s="168">
        <f t="array" ref="Z1973">iferror(index(I:I,match($A1973&amp;","&amp;index('Year Conversion'!$A:$A,match($C1973,'Year Conversion'!$B:$B,0)),$Y:$Y,0))-I1973,"")</f>
        <v>1</v>
      </c>
      <c r="AA1973" s="168">
        <f t="array" ref="AA1973">iferror(index(J:J,match($A1973&amp;","&amp;index('Year Conversion'!$A:$A,match($C1973,'Year Conversion'!$B:$B,0)),$Y:$Y,0))-J1973,"")</f>
        <v>-0.3720239747</v>
      </c>
      <c r="AB1973" s="168">
        <f t="array" ref="AB1973">iferror(index(K:K,match($A1973&amp;","&amp;index('Year Conversion'!$A:$A,match($C1973,'Year Conversion'!$B:$B,0)),$Y:$Y,0))-K1973,"")</f>
        <v>-0.08551243481</v>
      </c>
      <c r="AC1973" s="168" t="str">
        <f t="shared" si="7"/>
        <v>CHO,2017-18</v>
      </c>
    </row>
    <row r="1974">
      <c r="A1974" s="161" t="str">
        <f>IFERROR(__xludf.DUMMYFUNCTION("""COMPUTED_VALUE"""),"paulch01")</f>
        <v>paulch01</v>
      </c>
      <c r="B1974" s="161" t="str">
        <f>IFERROR(__xludf.DUMMYFUNCTION("""COMPUTED_VALUE"""),"Chris Paul")</f>
        <v>Chris Paul</v>
      </c>
      <c r="C1974" s="162" t="str">
        <f>IFERROR(__xludf.DUMMYFUNCTION("""COMPUTED_VALUE"""),"2017-18")</f>
        <v>2017-18</v>
      </c>
      <c r="D1974" s="163" t="str">
        <f>IFERROR(__xludf.DUMMYFUNCTION("""COMPUTED_VALUE"""),"HOU")</f>
        <v>HOU</v>
      </c>
      <c r="E1974" s="164" t="str">
        <f>IFERROR(__xludf.DUMMYFUNCTION("""COMPUTED_VALUE"""),"Shot Creator")</f>
        <v>Shot Creator</v>
      </c>
      <c r="F1974" s="164">
        <f>IFERROR(__xludf.DUMMYFUNCTION("""COMPUTED_VALUE"""),1846.55666666667)</f>
        <v>1846.556667</v>
      </c>
      <c r="G1974" s="163">
        <f>IFERROR(__xludf.DUMMYFUNCTION("""COMPUTED_VALUE"""),58.0)</f>
        <v>58</v>
      </c>
      <c r="H1974" s="163" t="str">
        <f>IFERROR(__xludf.DUMMYFUNCTION("""COMPUTED_VALUE"""),"PG")</f>
        <v>PG</v>
      </c>
      <c r="I1974" s="163">
        <f>IFERROR(__xludf.DUMMYFUNCTION("""COMPUTED_VALUE"""),32.0)</f>
        <v>32</v>
      </c>
      <c r="J1974" s="165">
        <f>IFERROR(__xludf.DUMMYFUNCTION("""COMPUTED_VALUE"""),5.29179449902817)</f>
        <v>5.291794499</v>
      </c>
      <c r="K1974" s="165">
        <f>IFERROR(__xludf.DUMMYFUNCTION("""COMPUTED_VALUE"""),4.27905514252274)</f>
        <v>4.279055143</v>
      </c>
      <c r="L1974" s="165">
        <f>IFERROR(__xludf.DUMMYFUNCTION("""COMPUTED_VALUE"""),1.01273935650543)</f>
        <v>1.012739357</v>
      </c>
      <c r="M1974" s="166">
        <f t="shared" si="2"/>
        <v>9.189804987</v>
      </c>
      <c r="N1974" s="167">
        <f t="shared" si="3"/>
        <v>31.83718391</v>
      </c>
      <c r="O1974" s="163">
        <f t="shared" ref="O1974:Q1974" si="1978">rank(I1974,I:I)</f>
        <v>359</v>
      </c>
      <c r="P1974" s="163">
        <f t="shared" si="1978"/>
        <v>41</v>
      </c>
      <c r="Q1974" s="163">
        <f t="shared" si="1978"/>
        <v>50</v>
      </c>
      <c r="R1974" s="163">
        <f>IFERROR(__xludf.DUMMYFUNCTION("RANK(M1974,filter(M:M,C:C=C1974))"),16.0)</f>
        <v>16</v>
      </c>
      <c r="S1974" s="161" t="b">
        <f t="shared" si="5"/>
        <v>0</v>
      </c>
      <c r="T1974" s="161" t="b">
        <f t="array" ref="T1974">index('Query Tool'!B:B,match(H1974,'Query Tool'!C:C,0))</f>
        <v>1</v>
      </c>
      <c r="U1974" s="161" t="b">
        <f t="array" ref="U1974">index('Query Tool'!B:B,match(C1974,'Query Tool'!C:C,0))</f>
        <v>0</v>
      </c>
      <c r="V1974" s="161" t="b">
        <f>F1974&gt;='Query Tool'!C$32</f>
        <v>1</v>
      </c>
      <c r="W1974" s="161" t="b">
        <f t="array" ref="W1974">index(Dropdowns!B:B,match(I1974,Dropdowns!A:A,0))</f>
        <v>1</v>
      </c>
      <c r="X1974" s="161" t="b">
        <f t="array" ref="X1974">index('Query Tool'!B:B,match(D1974,'Query Tool'!C:C,0))</f>
        <v>1</v>
      </c>
      <c r="Y1974" s="161" t="str">
        <f t="shared" si="6"/>
        <v>paulch01,2017-18</v>
      </c>
      <c r="Z1974" s="168">
        <f t="array" ref="Z1974">iferror(index(I:I,match($A1974&amp;","&amp;index('Year Conversion'!$A:$A,match($C1974,'Year Conversion'!$B:$B,0)),$Y:$Y,0))-I1974,"")</f>
        <v>1</v>
      </c>
      <c r="AA1974" s="168">
        <f t="array" ref="AA1974">iferror(index(J:J,match($A1974&amp;","&amp;index('Year Conversion'!$A:$A,match($C1974,'Year Conversion'!$B:$B,0)),$Y:$Y,0))-J1974,"")</f>
        <v>-2.371028684</v>
      </c>
      <c r="AB1974" s="168">
        <f t="array" ref="AB1974">iferror(index(K:K,match($A1974&amp;","&amp;index('Year Conversion'!$A:$A,match($C1974,'Year Conversion'!$B:$B,0)),$Y:$Y,0))-K1974,"")</f>
        <v>-2.309233008</v>
      </c>
      <c r="AC1974" s="168" t="str">
        <f t="shared" si="7"/>
        <v>HOU,2017-18</v>
      </c>
    </row>
    <row r="1975">
      <c r="A1975" s="161" t="str">
        <f>IFERROR(__xludf.DUMMYFUNCTION("""COMPUTED_VALUE"""),"feltora01")</f>
        <v>feltora01</v>
      </c>
      <c r="B1975" s="161" t="str">
        <f>IFERROR(__xludf.DUMMYFUNCTION("""COMPUTED_VALUE"""),"Raymond Felton")</f>
        <v>Raymond Felton</v>
      </c>
      <c r="C1975" s="162" t="str">
        <f>IFERROR(__xludf.DUMMYFUNCTION("""COMPUTED_VALUE"""),"2017-18")</f>
        <v>2017-18</v>
      </c>
      <c r="D1975" s="163" t="str">
        <f>IFERROR(__xludf.DUMMYFUNCTION("""COMPUTED_VALUE"""),"OKC")</f>
        <v>OKC</v>
      </c>
      <c r="E1975" s="164" t="str">
        <f>IFERROR(__xludf.DUMMYFUNCTION("""COMPUTED_VALUE"""),"Primary Ball Handler")</f>
        <v>Primary Ball Handler</v>
      </c>
      <c r="F1975" s="164">
        <f>IFERROR(__xludf.DUMMYFUNCTION("""COMPUTED_VALUE"""),1364.71833333333)</f>
        <v>1364.718333</v>
      </c>
      <c r="G1975" s="163">
        <f>IFERROR(__xludf.DUMMYFUNCTION("""COMPUTED_VALUE"""),82.0)</f>
        <v>82</v>
      </c>
      <c r="H1975" s="163" t="str">
        <f>IFERROR(__xludf.DUMMYFUNCTION("""COMPUTED_VALUE"""),"PG")</f>
        <v>PG</v>
      </c>
      <c r="I1975" s="163">
        <f>IFERROR(__xludf.DUMMYFUNCTION("""COMPUTED_VALUE"""),33.0)</f>
        <v>33</v>
      </c>
      <c r="J1975" s="165">
        <f>IFERROR(__xludf.DUMMYFUNCTION("""COMPUTED_VALUE"""),-0.691400356727698)</f>
        <v>-0.6914003567</v>
      </c>
      <c r="K1975" s="165">
        <f>IFERROR(__xludf.DUMMYFUNCTION("""COMPUTED_VALUE"""),0.162598880476083)</f>
        <v>0.1625988805</v>
      </c>
      <c r="L1975" s="165">
        <f>IFERROR(__xludf.DUMMYFUNCTION("""COMPUTED_VALUE"""),-0.853999237203781)</f>
        <v>-0.8539992372</v>
      </c>
      <c r="M1975" s="166">
        <f t="shared" si="2"/>
        <v>1.468219788</v>
      </c>
      <c r="N1975" s="167">
        <f t="shared" si="3"/>
        <v>16.6429065</v>
      </c>
      <c r="O1975" s="163">
        <f t="shared" ref="O1975:Q1975" si="1979">rank(I1975,I:I)</f>
        <v>246</v>
      </c>
      <c r="P1975" s="163">
        <f t="shared" si="1979"/>
        <v>2128</v>
      </c>
      <c r="Q1975" s="163">
        <f t="shared" si="1979"/>
        <v>1016</v>
      </c>
      <c r="R1975" s="163">
        <f>IFERROR(__xludf.DUMMYFUNCTION("RANK(M1975,filter(M:M,C:C=C1975))"),192.0)</f>
        <v>192</v>
      </c>
      <c r="S1975" s="161" t="b">
        <f t="shared" si="5"/>
        <v>0</v>
      </c>
      <c r="T1975" s="161" t="b">
        <f t="array" ref="T1975">index('Query Tool'!B:B,match(H1975,'Query Tool'!C:C,0))</f>
        <v>1</v>
      </c>
      <c r="U1975" s="161" t="b">
        <f t="array" ref="U1975">index('Query Tool'!B:B,match(C1975,'Query Tool'!C:C,0))</f>
        <v>0</v>
      </c>
      <c r="V1975" s="161" t="b">
        <f>F1975&gt;='Query Tool'!C$32</f>
        <v>1</v>
      </c>
      <c r="W1975" s="161" t="b">
        <f t="array" ref="W1975">index(Dropdowns!B:B,match(I1975,Dropdowns!A:A,0))</f>
        <v>1</v>
      </c>
      <c r="X1975" s="161" t="b">
        <f t="array" ref="X1975">index('Query Tool'!B:B,match(D1975,'Query Tool'!C:C,0))</f>
        <v>1</v>
      </c>
      <c r="Y1975" s="161" t="str">
        <f t="shared" si="6"/>
        <v>feltora01,2017-18</v>
      </c>
      <c r="Z1975" s="168">
        <f t="array" ref="Z1975">iferror(index(I:I,match($A1975&amp;","&amp;index('Year Conversion'!$A:$A,match($C1975,'Year Conversion'!$B:$B,0)),$Y:$Y,0))-I1975,"")</f>
        <v>1</v>
      </c>
      <c r="AA1975" s="168">
        <f t="array" ref="AA1975">iferror(index(J:J,match($A1975&amp;","&amp;index('Year Conversion'!$A:$A,match($C1975,'Year Conversion'!$B:$B,0)),$Y:$Y,0))-J1975,"")</f>
        <v>-0.8666136704</v>
      </c>
      <c r="AB1975" s="168">
        <f t="array" ref="AB1975">iferror(index(K:K,match($A1975&amp;","&amp;index('Year Conversion'!$A:$A,match($C1975,'Year Conversion'!$B:$B,0)),$Y:$Y,0))-K1975,"")</f>
        <v>-0.9113407775</v>
      </c>
      <c r="AC1975" s="168" t="str">
        <f t="shared" si="7"/>
        <v>OKC,2017-18</v>
      </c>
    </row>
    <row r="1976">
      <c r="A1976" s="161" t="str">
        <f>IFERROR(__xludf.DUMMYFUNCTION("""COMPUTED_VALUE"""),"fryech01")</f>
        <v>fryech01</v>
      </c>
      <c r="B1976" s="161" t="str">
        <f>IFERROR(__xludf.DUMMYFUNCTION("""COMPUTED_VALUE"""),"Channing Frye")</f>
        <v>Channing Frye</v>
      </c>
      <c r="C1976" s="162" t="str">
        <f>IFERROR(__xludf.DUMMYFUNCTION("""COMPUTED_VALUE"""),"2017-18")</f>
        <v>2017-18</v>
      </c>
      <c r="D1976" s="163" t="str">
        <f>IFERROR(__xludf.DUMMYFUNCTION("""COMPUTED_VALUE"""),"TOT")</f>
        <v>TOT</v>
      </c>
      <c r="E1976" s="164" t="str">
        <f>IFERROR(__xludf.DUMMYFUNCTION("""COMPUTED_VALUE"""),"Stretch Big")</f>
        <v>Stretch Big</v>
      </c>
      <c r="F1976" s="164">
        <f>IFERROR(__xludf.DUMMYFUNCTION("""COMPUTED_VALUE"""),694.858333333333)</f>
        <v>694.8583333</v>
      </c>
      <c r="G1976" s="163">
        <f>IFERROR(__xludf.DUMMYFUNCTION("""COMPUTED_VALUE"""),53.0)</f>
        <v>53</v>
      </c>
      <c r="H1976" s="163" t="str">
        <f>IFERROR(__xludf.DUMMYFUNCTION("""COMPUTED_VALUE"""),"C")</f>
        <v>C</v>
      </c>
      <c r="I1976" s="163">
        <f>IFERROR(__xludf.DUMMYFUNCTION("""COMPUTED_VALUE"""),34.0)</f>
        <v>34</v>
      </c>
      <c r="J1976" s="165">
        <f>IFERROR(__xludf.DUMMYFUNCTION("""COMPUTED_VALUE"""),0.0757561852162946)</f>
        <v>0.07575618522</v>
      </c>
      <c r="K1976" s="165">
        <f>IFERROR(__xludf.DUMMYFUNCTION("""COMPUTED_VALUE"""),-0.048626926126885)</f>
        <v>-0.04862692613</v>
      </c>
      <c r="L1976" s="165">
        <f>IFERROR(__xludf.DUMMYFUNCTION("""COMPUTED_VALUE"""),0.12438311134318)</f>
        <v>0.1243831113</v>
      </c>
      <c r="M1976" s="166">
        <f t="shared" si="2"/>
        <v>1.106728876</v>
      </c>
      <c r="N1976" s="167">
        <f t="shared" si="3"/>
        <v>13.11053459</v>
      </c>
      <c r="O1976" s="163">
        <f t="shared" ref="O1976:Q1976" si="1980">rank(I1976,I:I)</f>
        <v>164</v>
      </c>
      <c r="P1976" s="163">
        <f t="shared" si="1980"/>
        <v>1218</v>
      </c>
      <c r="Q1976" s="163">
        <f t="shared" si="1980"/>
        <v>1274</v>
      </c>
      <c r="R1976" s="163">
        <f>IFERROR(__xludf.DUMMYFUNCTION("RANK(M1976,filter(M:M,C:C=C1976))"),226.0)</f>
        <v>226</v>
      </c>
      <c r="S1976" s="161" t="b">
        <f t="shared" si="5"/>
        <v>0</v>
      </c>
      <c r="T1976" s="161" t="b">
        <f t="array" ref="T1976">index('Query Tool'!B:B,match(H1976,'Query Tool'!C:C,0))</f>
        <v>1</v>
      </c>
      <c r="U1976" s="161" t="b">
        <f t="array" ref="U1976">index('Query Tool'!B:B,match(C1976,'Query Tool'!C:C,0))</f>
        <v>0</v>
      </c>
      <c r="V1976" s="161" t="b">
        <f>F1976&gt;='Query Tool'!C$32</f>
        <v>1</v>
      </c>
      <c r="W1976" s="161" t="b">
        <f t="array" ref="W1976">index(Dropdowns!B:B,match(I1976,Dropdowns!A:A,0))</f>
        <v>1</v>
      </c>
      <c r="X1976" s="161" t="b">
        <f t="array" ref="X1976">index('Query Tool'!B:B,match(D1976,'Query Tool'!C:C,0))</f>
        <v>1</v>
      </c>
      <c r="Y1976" s="161" t="str">
        <f t="shared" si="6"/>
        <v>fryech01,2017-18</v>
      </c>
      <c r="Z1976" s="168">
        <f t="array" ref="Z1976">iferror(index(I:I,match($A1976&amp;","&amp;index('Year Conversion'!$A:$A,match($C1976,'Year Conversion'!$B:$B,0)),$Y:$Y,0))-I1976,"")</f>
        <v>1</v>
      </c>
      <c r="AA1976" s="168">
        <f t="array" ref="AA1976">iferror(index(J:J,match($A1976&amp;","&amp;index('Year Conversion'!$A:$A,match($C1976,'Year Conversion'!$B:$B,0)),$Y:$Y,0))-J1976,"")</f>
        <v>-1.832583838</v>
      </c>
      <c r="AB1976" s="168">
        <f t="array" ref="AB1976">iferror(index(K:K,match($A1976&amp;","&amp;index('Year Conversion'!$A:$A,match($C1976,'Year Conversion'!$B:$B,0)),$Y:$Y,0))-K1976,"")</f>
        <v>-1.217126617</v>
      </c>
      <c r="AC1976" s="168" t="str">
        <f t="shared" si="7"/>
        <v>TOT,2017-18</v>
      </c>
    </row>
    <row r="1977">
      <c r="A1977" s="161" t="str">
        <f>IFERROR(__xludf.DUMMYFUNCTION("""COMPUTED_VALUE"""),"greenge01")</f>
        <v>greenge01</v>
      </c>
      <c r="B1977" s="161" t="str">
        <f>IFERROR(__xludf.DUMMYFUNCTION("""COMPUTED_VALUE"""),"Gerald Green")</f>
        <v>Gerald Green</v>
      </c>
      <c r="C1977" s="162" t="str">
        <f>IFERROR(__xludf.DUMMYFUNCTION("""COMPUTED_VALUE"""),"2017-18")</f>
        <v>2017-18</v>
      </c>
      <c r="D1977" s="163" t="str">
        <f>IFERROR(__xludf.DUMMYFUNCTION("""COMPUTED_VALUE"""),"HOU")</f>
        <v>HOU</v>
      </c>
      <c r="E1977" s="164" t="str">
        <f>IFERROR(__xludf.DUMMYFUNCTION("""COMPUTED_VALUE"""),"Movement Shooter")</f>
        <v>Movement Shooter</v>
      </c>
      <c r="F1977" s="164">
        <f>IFERROR(__xludf.DUMMYFUNCTION("""COMPUTED_VALUE"""),929.155)</f>
        <v>929.155</v>
      </c>
      <c r="G1977" s="163">
        <f>IFERROR(__xludf.DUMMYFUNCTION("""COMPUTED_VALUE"""),41.0)</f>
        <v>41</v>
      </c>
      <c r="H1977" s="163" t="str">
        <f>IFERROR(__xludf.DUMMYFUNCTION("""COMPUTED_VALUE"""),"SG")</f>
        <v>SG</v>
      </c>
      <c r="I1977" s="163">
        <f>IFERROR(__xludf.DUMMYFUNCTION("""COMPUTED_VALUE"""),32.0)</f>
        <v>32</v>
      </c>
      <c r="J1977" s="165">
        <f>IFERROR(__xludf.DUMMYFUNCTION("""COMPUTED_VALUE"""),-0.0821367446104733)</f>
        <v>-0.08213674461</v>
      </c>
      <c r="K1977" s="165">
        <f>IFERROR(__xludf.DUMMYFUNCTION("""COMPUTED_VALUE"""),1.20938667001771)</f>
        <v>1.20938667</v>
      </c>
      <c r="L1977" s="165">
        <f>IFERROR(__xludf.DUMMYFUNCTION("""COMPUTED_VALUE"""),-1.29152341462819)</f>
        <v>-1.291523415</v>
      </c>
      <c r="M1977" s="166">
        <f t="shared" si="2"/>
        <v>1.380995113</v>
      </c>
      <c r="N1977" s="167">
        <f t="shared" si="3"/>
        <v>22.66231707</v>
      </c>
      <c r="O1977" s="163">
        <f t="shared" ref="O1977:Q1977" si="1981">rank(I1977,I:I)</f>
        <v>359</v>
      </c>
      <c r="P1977" s="163">
        <f t="shared" si="1981"/>
        <v>1368</v>
      </c>
      <c r="Q1977" s="163">
        <f t="shared" si="1981"/>
        <v>413</v>
      </c>
      <c r="R1977" s="163">
        <f>IFERROR(__xludf.DUMMYFUNCTION("RANK(M1977,filter(M:M,C:C=C1977))"),199.0)</f>
        <v>199</v>
      </c>
      <c r="S1977" s="161" t="b">
        <f t="shared" si="5"/>
        <v>0</v>
      </c>
      <c r="T1977" s="161" t="b">
        <f t="array" ref="T1977">index('Query Tool'!B:B,match(H1977,'Query Tool'!C:C,0))</f>
        <v>1</v>
      </c>
      <c r="U1977" s="161" t="b">
        <f t="array" ref="U1977">index('Query Tool'!B:B,match(C1977,'Query Tool'!C:C,0))</f>
        <v>0</v>
      </c>
      <c r="V1977" s="161" t="b">
        <f>F1977&gt;='Query Tool'!C$32</f>
        <v>1</v>
      </c>
      <c r="W1977" s="161" t="b">
        <f t="array" ref="W1977">index(Dropdowns!B:B,match(I1977,Dropdowns!A:A,0))</f>
        <v>1</v>
      </c>
      <c r="X1977" s="161" t="b">
        <f t="array" ref="X1977">index('Query Tool'!B:B,match(D1977,'Query Tool'!C:C,0))</f>
        <v>1</v>
      </c>
      <c r="Y1977" s="161" t="str">
        <f t="shared" si="6"/>
        <v>greenge01,2017-18</v>
      </c>
      <c r="Z1977" s="168">
        <f t="array" ref="Z1977">iferror(index(I:I,match($A1977&amp;","&amp;index('Year Conversion'!$A:$A,match($C1977,'Year Conversion'!$B:$B,0)),$Y:$Y,0))-I1977,"")</f>
        <v>1</v>
      </c>
      <c r="AA1977" s="168">
        <f t="array" ref="AA1977">iferror(index(J:J,match($A1977&amp;","&amp;index('Year Conversion'!$A:$A,match($C1977,'Year Conversion'!$B:$B,0)),$Y:$Y,0))-J1977,"")</f>
        <v>-1.03708407</v>
      </c>
      <c r="AB1977" s="168">
        <f t="array" ref="AB1977">iferror(index(K:K,match($A1977&amp;","&amp;index('Year Conversion'!$A:$A,match($C1977,'Year Conversion'!$B:$B,0)),$Y:$Y,0))-K1977,"")</f>
        <v>0.02693072099</v>
      </c>
      <c r="AC1977" s="168" t="str">
        <f t="shared" si="7"/>
        <v>HOU,2017-18</v>
      </c>
    </row>
    <row r="1978">
      <c r="A1978" s="161" t="str">
        <f>IFERROR(__xludf.DUMMYFUNCTION("""COMPUTED_VALUE"""),"jackja01")</f>
        <v>jackja01</v>
      </c>
      <c r="B1978" s="161" t="str">
        <f>IFERROR(__xludf.DUMMYFUNCTION("""COMPUTED_VALUE"""),"Jarrett Jack")</f>
        <v>Jarrett Jack</v>
      </c>
      <c r="C1978" s="162" t="str">
        <f>IFERROR(__xludf.DUMMYFUNCTION("""COMPUTED_VALUE"""),"2017-18")</f>
        <v>2017-18</v>
      </c>
      <c r="D1978" s="163" t="str">
        <f>IFERROR(__xludf.DUMMYFUNCTION("""COMPUTED_VALUE"""),"NYK")</f>
        <v>NYK</v>
      </c>
      <c r="E1978" s="164" t="str">
        <f>IFERROR(__xludf.DUMMYFUNCTION("""COMPUTED_VALUE"""),"Primary Ball Handler")</f>
        <v>Primary Ball Handler</v>
      </c>
      <c r="F1978" s="164">
        <f>IFERROR(__xludf.DUMMYFUNCTION("""COMPUTED_VALUE"""),1547.56833333333)</f>
        <v>1547.568333</v>
      </c>
      <c r="G1978" s="163">
        <f>IFERROR(__xludf.DUMMYFUNCTION("""COMPUTED_VALUE"""),62.0)</f>
        <v>62</v>
      </c>
      <c r="H1978" s="163" t="str">
        <f>IFERROR(__xludf.DUMMYFUNCTION("""COMPUTED_VALUE"""),"PG")</f>
        <v>PG</v>
      </c>
      <c r="I1978" s="163">
        <f>IFERROR(__xludf.DUMMYFUNCTION("""COMPUTED_VALUE"""),34.0)</f>
        <v>34</v>
      </c>
      <c r="J1978" s="165">
        <f>IFERROR(__xludf.DUMMYFUNCTION("""COMPUTED_VALUE"""),-0.59240238809451)</f>
        <v>-0.5924023881</v>
      </c>
      <c r="K1978" s="165">
        <f>IFERROR(__xludf.DUMMYFUNCTION("""COMPUTED_VALUE"""),-0.148768845492516)</f>
        <v>-0.1487688455</v>
      </c>
      <c r="L1978" s="165">
        <f>IFERROR(__xludf.DUMMYFUNCTION("""COMPUTED_VALUE"""),-0.443633542601994)</f>
        <v>-0.4436335426</v>
      </c>
      <c r="M1978" s="166">
        <f t="shared" si="2"/>
        <v>1.768049787</v>
      </c>
      <c r="N1978" s="167">
        <f t="shared" si="3"/>
        <v>24.96077957</v>
      </c>
      <c r="O1978" s="163">
        <f t="shared" ref="O1978:Q1978" si="1982">rank(I1978,I:I)</f>
        <v>164</v>
      </c>
      <c r="P1978" s="163">
        <f t="shared" si="1982"/>
        <v>1982</v>
      </c>
      <c r="Q1978" s="163">
        <f t="shared" si="1982"/>
        <v>1474</v>
      </c>
      <c r="R1978" s="163">
        <f>IFERROR(__xludf.DUMMYFUNCTION("RANK(M1978,filter(M:M,C:C=C1978))"),171.0)</f>
        <v>171</v>
      </c>
      <c r="S1978" s="161" t="b">
        <f t="shared" si="5"/>
        <v>0</v>
      </c>
      <c r="T1978" s="161" t="b">
        <f t="array" ref="T1978">index('Query Tool'!B:B,match(H1978,'Query Tool'!C:C,0))</f>
        <v>1</v>
      </c>
      <c r="U1978" s="161" t="b">
        <f t="array" ref="U1978">index('Query Tool'!B:B,match(C1978,'Query Tool'!C:C,0))</f>
        <v>0</v>
      </c>
      <c r="V1978" s="161" t="b">
        <f>F1978&gt;='Query Tool'!C$32</f>
        <v>1</v>
      </c>
      <c r="W1978" s="161" t="b">
        <f t="array" ref="W1978">index(Dropdowns!B:B,match(I1978,Dropdowns!A:A,0))</f>
        <v>1</v>
      </c>
      <c r="X1978" s="161" t="b">
        <f t="array" ref="X1978">index('Query Tool'!B:B,match(D1978,'Query Tool'!C:C,0))</f>
        <v>1</v>
      </c>
      <c r="Y1978" s="161" t="str">
        <f t="shared" si="6"/>
        <v>jackja01,2017-18</v>
      </c>
      <c r="Z1978" s="168" t="str">
        <f t="array" ref="Z1978">iferror(index(I:I,match($A1978&amp;","&amp;index('Year Conversion'!$A:$A,match($C1978,'Year Conversion'!$B:$B,0)),$Y:$Y,0))-I1978,"")</f>
        <v/>
      </c>
      <c r="AA1978" s="168" t="str">
        <f t="array" ref="AA1978">iferror(index(J:J,match($A1978&amp;","&amp;index('Year Conversion'!$A:$A,match($C1978,'Year Conversion'!$B:$B,0)),$Y:$Y,0))-J1978,"")</f>
        <v/>
      </c>
      <c r="AB1978" s="168" t="str">
        <f t="array" ref="AB1978">iferror(index(K:K,match($A1978&amp;","&amp;index('Year Conversion'!$A:$A,match($C1978,'Year Conversion'!$B:$B,0)),$Y:$Y,0))-K1978,"")</f>
        <v/>
      </c>
      <c r="AC1978" s="168" t="str">
        <f t="shared" si="7"/>
        <v>NYK,2017-18</v>
      </c>
    </row>
    <row r="1979">
      <c r="A1979" s="161" t="str">
        <f>IFERROR(__xludf.DUMMYFUNCTION("""COMPUTED_VALUE"""),"mahinia01")</f>
        <v>mahinia01</v>
      </c>
      <c r="B1979" s="161" t="str">
        <f>IFERROR(__xludf.DUMMYFUNCTION("""COMPUTED_VALUE"""),"Ian Mahinmi")</f>
        <v>Ian Mahinmi</v>
      </c>
      <c r="C1979" s="162" t="str">
        <f>IFERROR(__xludf.DUMMYFUNCTION("""COMPUTED_VALUE"""),"2017-18")</f>
        <v>2017-18</v>
      </c>
      <c r="D1979" s="163" t="str">
        <f>IFERROR(__xludf.DUMMYFUNCTION("""COMPUTED_VALUE"""),"WAS")</f>
        <v>WAS</v>
      </c>
      <c r="E1979" s="164" t="str">
        <f>IFERROR(__xludf.DUMMYFUNCTION("""COMPUTED_VALUE"""),"Roll + Cut Big")</f>
        <v>Roll + Cut Big</v>
      </c>
      <c r="F1979" s="164">
        <f>IFERROR(__xludf.DUMMYFUNCTION("""COMPUTED_VALUE"""),1145.32666666667)</f>
        <v>1145.326667</v>
      </c>
      <c r="G1979" s="163">
        <f>IFERROR(__xludf.DUMMYFUNCTION("""COMPUTED_VALUE"""),77.0)</f>
        <v>77</v>
      </c>
      <c r="H1979" s="163" t="str">
        <f>IFERROR(__xludf.DUMMYFUNCTION("""COMPUTED_VALUE"""),"C")</f>
        <v>C</v>
      </c>
      <c r="I1979" s="163">
        <f>IFERROR(__xludf.DUMMYFUNCTION("""COMPUTED_VALUE"""),31.0)</f>
        <v>31</v>
      </c>
      <c r="J1979" s="165">
        <f>IFERROR(__xludf.DUMMYFUNCTION("""COMPUTED_VALUE"""),-1.32029027474989)</f>
        <v>-1.320290275</v>
      </c>
      <c r="K1979" s="165">
        <f>IFERROR(__xludf.DUMMYFUNCTION("""COMPUTED_VALUE"""),-1.88878064427213)</f>
        <v>-1.888780644</v>
      </c>
      <c r="L1979" s="165">
        <f>IFERROR(__xludf.DUMMYFUNCTION("""COMPUTED_VALUE"""),0.568490369522236)</f>
        <v>0.5684903695</v>
      </c>
      <c r="M1979" s="166">
        <f t="shared" si="2"/>
        <v>0.7486882251</v>
      </c>
      <c r="N1979" s="167">
        <f t="shared" si="3"/>
        <v>14.87437229</v>
      </c>
      <c r="O1979" s="163">
        <f t="shared" ref="O1979:Q1979" si="1983">rank(I1979,I:I)</f>
        <v>490</v>
      </c>
      <c r="P1979" s="163">
        <f t="shared" si="1983"/>
        <v>2885</v>
      </c>
      <c r="Q1979" s="163">
        <f t="shared" si="1983"/>
        <v>3638</v>
      </c>
      <c r="R1979" s="163">
        <f>IFERROR(__xludf.DUMMYFUNCTION("RANK(M1979,filter(M:M,C:C=C1979))"),263.0)</f>
        <v>263</v>
      </c>
      <c r="S1979" s="161" t="b">
        <f t="shared" si="5"/>
        <v>0</v>
      </c>
      <c r="T1979" s="161" t="b">
        <f t="array" ref="T1979">index('Query Tool'!B:B,match(H1979,'Query Tool'!C:C,0))</f>
        <v>1</v>
      </c>
      <c r="U1979" s="161" t="b">
        <f t="array" ref="U1979">index('Query Tool'!B:B,match(C1979,'Query Tool'!C:C,0))</f>
        <v>0</v>
      </c>
      <c r="V1979" s="161" t="b">
        <f>F1979&gt;='Query Tool'!C$32</f>
        <v>1</v>
      </c>
      <c r="W1979" s="161" t="b">
        <f t="array" ref="W1979">index(Dropdowns!B:B,match(I1979,Dropdowns!A:A,0))</f>
        <v>1</v>
      </c>
      <c r="X1979" s="161" t="b">
        <f t="array" ref="X1979">index('Query Tool'!B:B,match(D1979,'Query Tool'!C:C,0))</f>
        <v>1</v>
      </c>
      <c r="Y1979" s="161" t="str">
        <f t="shared" si="6"/>
        <v>mahinia01,2017-18</v>
      </c>
      <c r="Z1979" s="168">
        <f t="array" ref="Z1979">iferror(index(I:I,match($A1979&amp;","&amp;index('Year Conversion'!$A:$A,match($C1979,'Year Conversion'!$B:$B,0)),$Y:$Y,0))-I1979,"")</f>
        <v>1</v>
      </c>
      <c r="AA1979" s="168">
        <f t="array" ref="AA1979">iferror(index(J:J,match($A1979&amp;","&amp;index('Year Conversion'!$A:$A,match($C1979,'Year Conversion'!$B:$B,0)),$Y:$Y,0))-J1979,"")</f>
        <v>1.193668802</v>
      </c>
      <c r="AB1979" s="168">
        <f t="array" ref="AB1979">iferror(index(K:K,match($A1979&amp;","&amp;index('Year Conversion'!$A:$A,match($C1979,'Year Conversion'!$B:$B,0)),$Y:$Y,0))-K1979,"")</f>
        <v>0.3873608673</v>
      </c>
      <c r="AC1979" s="168" t="str">
        <f t="shared" si="7"/>
        <v>WAS,2017-18</v>
      </c>
    </row>
    <row r="1980">
      <c r="A1980" s="161" t="str">
        <f>IFERROR(__xludf.DUMMYFUNCTION("""COMPUTED_VALUE"""),"milescj01")</f>
        <v>milescj01</v>
      </c>
      <c r="B1980" s="161" t="str">
        <f>IFERROR(__xludf.DUMMYFUNCTION("""COMPUTED_VALUE"""),"CJ Miles")</f>
        <v>CJ Miles</v>
      </c>
      <c r="C1980" s="162" t="str">
        <f>IFERROR(__xludf.DUMMYFUNCTION("""COMPUTED_VALUE"""),"2017-18")</f>
        <v>2017-18</v>
      </c>
      <c r="D1980" s="163" t="str">
        <f>IFERROR(__xludf.DUMMYFUNCTION("""COMPUTED_VALUE"""),"TOR")</f>
        <v>TOR</v>
      </c>
      <c r="E1980" s="164" t="str">
        <f>IFERROR(__xludf.DUMMYFUNCTION("""COMPUTED_VALUE"""),"Off Screen Shooter")</f>
        <v>Off Screen Shooter</v>
      </c>
      <c r="F1980" s="164">
        <f>IFERROR(__xludf.DUMMYFUNCTION("""COMPUTED_VALUE"""),1336.5)</f>
        <v>1336.5</v>
      </c>
      <c r="G1980" s="163">
        <f>IFERROR(__xludf.DUMMYFUNCTION("""COMPUTED_VALUE"""),70.0)</f>
        <v>70</v>
      </c>
      <c r="H1980" s="163" t="str">
        <f>IFERROR(__xludf.DUMMYFUNCTION("""COMPUTED_VALUE"""),"SF")</f>
        <v>SF</v>
      </c>
      <c r="I1980" s="163">
        <f>IFERROR(__xludf.DUMMYFUNCTION("""COMPUTED_VALUE"""),30.0)</f>
        <v>30</v>
      </c>
      <c r="J1980" s="165">
        <f>IFERROR(__xludf.DUMMYFUNCTION("""COMPUTED_VALUE"""),0.571968391016434)</f>
        <v>0.571968391</v>
      </c>
      <c r="K1980" s="165">
        <f>IFERROR(__xludf.DUMMYFUNCTION("""COMPUTED_VALUE"""),1.63881238441059)</f>
        <v>1.638812384</v>
      </c>
      <c r="L1980" s="165">
        <f>IFERROR(__xludf.DUMMYFUNCTION("""COMPUTED_VALUE"""),-1.06684399339415)</f>
        <v>-1.066843993</v>
      </c>
      <c r="M1980" s="166">
        <f t="shared" si="2"/>
        <v>2.575578207</v>
      </c>
      <c r="N1980" s="167">
        <f t="shared" si="3"/>
        <v>19.09285714</v>
      </c>
      <c r="O1980" s="163">
        <f t="shared" ref="O1980:Q1980" si="1984">rank(I1980,I:I)</f>
        <v>655</v>
      </c>
      <c r="P1980" s="163">
        <f t="shared" si="1984"/>
        <v>859</v>
      </c>
      <c r="Q1980" s="163">
        <f t="shared" si="1984"/>
        <v>283</v>
      </c>
      <c r="R1980" s="163">
        <f>IFERROR(__xludf.DUMMYFUNCTION("RANK(M1980,filter(M:M,C:C=C1980))"),127.0)</f>
        <v>127</v>
      </c>
      <c r="S1980" s="161" t="b">
        <f t="shared" si="5"/>
        <v>0</v>
      </c>
      <c r="T1980" s="161" t="b">
        <f t="array" ref="T1980">index('Query Tool'!B:B,match(H1980,'Query Tool'!C:C,0))</f>
        <v>1</v>
      </c>
      <c r="U1980" s="161" t="b">
        <f t="array" ref="U1980">index('Query Tool'!B:B,match(C1980,'Query Tool'!C:C,0))</f>
        <v>0</v>
      </c>
      <c r="V1980" s="161" t="b">
        <f>F1980&gt;='Query Tool'!C$32</f>
        <v>1</v>
      </c>
      <c r="W1980" s="161" t="b">
        <f t="array" ref="W1980">index(Dropdowns!B:B,match(I1980,Dropdowns!A:A,0))</f>
        <v>1</v>
      </c>
      <c r="X1980" s="161" t="b">
        <f t="array" ref="X1980">index('Query Tool'!B:B,match(D1980,'Query Tool'!C:C,0))</f>
        <v>1</v>
      </c>
      <c r="Y1980" s="161" t="str">
        <f t="shared" si="6"/>
        <v>milescj01,2017-18</v>
      </c>
      <c r="Z1980" s="168">
        <f t="array" ref="Z1980">iferror(index(I:I,match($A1980&amp;","&amp;index('Year Conversion'!$A:$A,match($C1980,'Year Conversion'!$B:$B,0)),$Y:$Y,0))-I1980,"")</f>
        <v>1</v>
      </c>
      <c r="AA1980" s="168">
        <f t="array" ref="AA1980">iferror(index(J:J,match($A1980&amp;","&amp;index('Year Conversion'!$A:$A,match($C1980,'Year Conversion'!$B:$B,0)),$Y:$Y,0))-J1980,"")</f>
        <v>-1.974528809</v>
      </c>
      <c r="AB1980" s="168">
        <f t="array" ref="AB1980">iferror(index(K:K,match($A1980&amp;","&amp;index('Year Conversion'!$A:$A,match($C1980,'Year Conversion'!$B:$B,0)),$Y:$Y,0))-K1980,"")</f>
        <v>-2.442604298</v>
      </c>
      <c r="AC1980" s="168" t="str">
        <f t="shared" si="7"/>
        <v>TOR,2017-18</v>
      </c>
    </row>
    <row r="1981">
      <c r="A1981" s="161" t="str">
        <f>IFERROR(__xludf.DUMMYFUNCTION("""COMPUTED_VALUE"""),"ilyaser01")</f>
        <v>ilyaser01</v>
      </c>
      <c r="B1981" s="161" t="str">
        <f>IFERROR(__xludf.DUMMYFUNCTION("""COMPUTED_VALUE"""),"Ersan Ilyasova")</f>
        <v>Ersan Ilyasova</v>
      </c>
      <c r="C1981" s="162" t="str">
        <f>IFERROR(__xludf.DUMMYFUNCTION("""COMPUTED_VALUE"""),"2017-18")</f>
        <v>2017-18</v>
      </c>
      <c r="D1981" s="163" t="str">
        <f>IFERROR(__xludf.DUMMYFUNCTION("""COMPUTED_VALUE"""),"TOT")</f>
        <v>TOT</v>
      </c>
      <c r="E1981" s="164" t="str">
        <f>IFERROR(__xludf.DUMMYFUNCTION("""COMPUTED_VALUE"""),"Stretch Big")</f>
        <v>Stretch Big</v>
      </c>
      <c r="F1981" s="164">
        <f>IFERROR(__xludf.DUMMYFUNCTION("""COMPUTED_VALUE"""),1729.64833333333)</f>
        <v>1729.648333</v>
      </c>
      <c r="G1981" s="163">
        <f>IFERROR(__xludf.DUMMYFUNCTION("""COMPUTED_VALUE"""),69.0)</f>
        <v>69</v>
      </c>
      <c r="H1981" s="163" t="str">
        <f>IFERROR(__xludf.DUMMYFUNCTION("""COMPUTED_VALUE"""),"PF")</f>
        <v>PF</v>
      </c>
      <c r="I1981" s="163">
        <f>IFERROR(__xludf.DUMMYFUNCTION("""COMPUTED_VALUE"""),30.0)</f>
        <v>30</v>
      </c>
      <c r="J1981" s="165">
        <f>IFERROR(__xludf.DUMMYFUNCTION("""COMPUTED_VALUE"""),0.672739138737999)</f>
        <v>0.6727391387</v>
      </c>
      <c r="K1981" s="165">
        <f>IFERROR(__xludf.DUMMYFUNCTION("""COMPUTED_VALUE"""),0.229396458871441)</f>
        <v>0.2293964589</v>
      </c>
      <c r="L1981" s="165">
        <f>IFERROR(__xludf.DUMMYFUNCTION("""COMPUTED_VALUE"""),0.443342679866558)</f>
        <v>0.4433426799</v>
      </c>
      <c r="M1981" s="166">
        <f t="shared" si="2"/>
        <v>3.450537039</v>
      </c>
      <c r="N1981" s="167">
        <f t="shared" si="3"/>
        <v>25.06736715</v>
      </c>
      <c r="O1981" s="163">
        <f t="shared" ref="O1981:Q1981" si="1985">rank(I1981,I:I)</f>
        <v>655</v>
      </c>
      <c r="P1981" s="163">
        <f t="shared" si="1985"/>
        <v>810</v>
      </c>
      <c r="Q1981" s="163">
        <f t="shared" si="1985"/>
        <v>961</v>
      </c>
      <c r="R1981" s="163">
        <f>IFERROR(__xludf.DUMMYFUNCTION("RANK(M1981,filter(M:M,C:C=C1981))"),101.0)</f>
        <v>101</v>
      </c>
      <c r="S1981" s="161" t="b">
        <f t="shared" si="5"/>
        <v>0</v>
      </c>
      <c r="T1981" s="161" t="b">
        <f t="array" ref="T1981">index('Query Tool'!B:B,match(H1981,'Query Tool'!C:C,0))</f>
        <v>1</v>
      </c>
      <c r="U1981" s="161" t="b">
        <f t="array" ref="U1981">index('Query Tool'!B:B,match(C1981,'Query Tool'!C:C,0))</f>
        <v>0</v>
      </c>
      <c r="V1981" s="161" t="b">
        <f>F1981&gt;='Query Tool'!C$32</f>
        <v>1</v>
      </c>
      <c r="W1981" s="161" t="b">
        <f t="array" ref="W1981">index(Dropdowns!B:B,match(I1981,Dropdowns!A:A,0))</f>
        <v>1</v>
      </c>
      <c r="X1981" s="161" t="b">
        <f t="array" ref="X1981">index('Query Tool'!B:B,match(D1981,'Query Tool'!C:C,0))</f>
        <v>1</v>
      </c>
      <c r="Y1981" s="161" t="str">
        <f t="shared" si="6"/>
        <v>ilyaser01,2017-18</v>
      </c>
      <c r="Z1981" s="168">
        <f t="array" ref="Z1981">iferror(index(I:I,match($A1981&amp;","&amp;index('Year Conversion'!$A:$A,match($C1981,'Year Conversion'!$B:$B,0)),$Y:$Y,0))-I1981,"")</f>
        <v>1</v>
      </c>
      <c r="AA1981" s="168">
        <f t="array" ref="AA1981">iferror(index(J:J,match($A1981&amp;","&amp;index('Year Conversion'!$A:$A,match($C1981,'Year Conversion'!$B:$B,0)),$Y:$Y,0))-J1981,"")</f>
        <v>-0.1509563343</v>
      </c>
      <c r="AB1981" s="168">
        <f t="array" ref="AB1981">iferror(index(K:K,match($A1981&amp;","&amp;index('Year Conversion'!$A:$A,match($C1981,'Year Conversion'!$B:$B,0)),$Y:$Y,0))-K1981,"")</f>
        <v>-0.2612124318</v>
      </c>
      <c r="AC1981" s="168" t="str">
        <f t="shared" si="7"/>
        <v>TOT,2017-18</v>
      </c>
    </row>
    <row r="1982">
      <c r="A1982" s="161" t="str">
        <f>IFERROR(__xludf.DUMMYFUNCTION("""COMPUTED_VALUE"""),"willilo02")</f>
        <v>willilo02</v>
      </c>
      <c r="B1982" s="161" t="str">
        <f>IFERROR(__xludf.DUMMYFUNCTION("""COMPUTED_VALUE"""),"Lou Williams")</f>
        <v>Lou Williams</v>
      </c>
      <c r="C1982" s="162" t="str">
        <f>IFERROR(__xludf.DUMMYFUNCTION("""COMPUTED_VALUE"""),"2017-18")</f>
        <v>2017-18</v>
      </c>
      <c r="D1982" s="163" t="str">
        <f>IFERROR(__xludf.DUMMYFUNCTION("""COMPUTED_VALUE"""),"LAC")</f>
        <v>LAC</v>
      </c>
      <c r="E1982" s="164" t="str">
        <f>IFERROR(__xludf.DUMMYFUNCTION("""COMPUTED_VALUE"""),"Primary Ball Handler")</f>
        <v>Primary Ball Handler</v>
      </c>
      <c r="F1982" s="164">
        <f>IFERROR(__xludf.DUMMYFUNCTION("""COMPUTED_VALUE"""),2589.09)</f>
        <v>2589.09</v>
      </c>
      <c r="G1982" s="163">
        <f>IFERROR(__xludf.DUMMYFUNCTION("""COMPUTED_VALUE"""),79.0)</f>
        <v>79</v>
      </c>
      <c r="H1982" s="163" t="str">
        <f>IFERROR(__xludf.DUMMYFUNCTION("""COMPUTED_VALUE"""),"SG")</f>
        <v>SG</v>
      </c>
      <c r="I1982" s="163">
        <f>IFERROR(__xludf.DUMMYFUNCTION("""COMPUTED_VALUE"""),31.0)</f>
        <v>31</v>
      </c>
      <c r="J1982" s="165">
        <f>IFERROR(__xludf.DUMMYFUNCTION("""COMPUTED_VALUE"""),0.395625464706526)</f>
        <v>0.3956254647</v>
      </c>
      <c r="K1982" s="165">
        <f>IFERROR(__xludf.DUMMYFUNCTION("""COMPUTED_VALUE"""),3.60439157381772)</f>
        <v>3.604391574</v>
      </c>
      <c r="L1982" s="165">
        <f>IFERROR(__xludf.DUMMYFUNCTION("""COMPUTED_VALUE"""),-3.2087661091112)</f>
        <v>-3.208766109</v>
      </c>
      <c r="M1982" s="166">
        <f t="shared" si="2"/>
        <v>4.681942959</v>
      </c>
      <c r="N1982" s="167">
        <f t="shared" si="3"/>
        <v>32.77329114</v>
      </c>
      <c r="O1982" s="163">
        <f t="shared" ref="O1982:Q1982" si="1986">rank(I1982,I:I)</f>
        <v>490</v>
      </c>
      <c r="P1982" s="163">
        <f t="shared" si="1986"/>
        <v>951</v>
      </c>
      <c r="Q1982" s="163">
        <f t="shared" si="1986"/>
        <v>83</v>
      </c>
      <c r="R1982" s="163">
        <f>IFERROR(__xludf.DUMMYFUNCTION("RANK(M1982,filter(M:M,C:C=C1982))"),65.0)</f>
        <v>65</v>
      </c>
      <c r="S1982" s="161" t="b">
        <f t="shared" si="5"/>
        <v>0</v>
      </c>
      <c r="T1982" s="161" t="b">
        <f t="array" ref="T1982">index('Query Tool'!B:B,match(H1982,'Query Tool'!C:C,0))</f>
        <v>1</v>
      </c>
      <c r="U1982" s="161" t="b">
        <f t="array" ref="U1982">index('Query Tool'!B:B,match(C1982,'Query Tool'!C:C,0))</f>
        <v>0</v>
      </c>
      <c r="V1982" s="161" t="b">
        <f>F1982&gt;='Query Tool'!C$32</f>
        <v>1</v>
      </c>
      <c r="W1982" s="161" t="b">
        <f t="array" ref="W1982">index(Dropdowns!B:B,match(I1982,Dropdowns!A:A,0))</f>
        <v>1</v>
      </c>
      <c r="X1982" s="161" t="b">
        <f t="array" ref="X1982">index('Query Tool'!B:B,match(D1982,'Query Tool'!C:C,0))</f>
        <v>1</v>
      </c>
      <c r="Y1982" s="161" t="str">
        <f t="shared" si="6"/>
        <v>willilo02,2017-18</v>
      </c>
      <c r="Z1982" s="168">
        <f t="array" ref="Z1982">iferror(index(I:I,match($A1982&amp;","&amp;index('Year Conversion'!$A:$A,match($C1982,'Year Conversion'!$B:$B,0)),$Y:$Y,0))-I1982,"")</f>
        <v>1</v>
      </c>
      <c r="AA1982" s="168">
        <f t="array" ref="AA1982">iferror(index(J:J,match($A1982&amp;","&amp;index('Year Conversion'!$A:$A,match($C1982,'Year Conversion'!$B:$B,0)),$Y:$Y,0))-J1982,"")</f>
        <v>0.3229721585</v>
      </c>
      <c r="AB1982" s="168">
        <f t="array" ref="AB1982">iferror(index(K:K,match($A1982&amp;","&amp;index('Year Conversion'!$A:$A,match($C1982,'Year Conversion'!$B:$B,0)),$Y:$Y,0))-K1982,"")</f>
        <v>-0.5246626714</v>
      </c>
      <c r="AC1982" s="168" t="str">
        <f t="shared" si="7"/>
        <v>LAC,2017-18</v>
      </c>
    </row>
    <row r="1983">
      <c r="A1983" s="161" t="str">
        <f>IFERROR(__xludf.DUMMYFUNCTION("""COMPUTED_VALUE"""),"johnsam01")</f>
        <v>johnsam01</v>
      </c>
      <c r="B1983" s="161" t="str">
        <f>IFERROR(__xludf.DUMMYFUNCTION("""COMPUTED_VALUE"""),"Amir Johnson")</f>
        <v>Amir Johnson</v>
      </c>
      <c r="C1983" s="162" t="str">
        <f>IFERROR(__xludf.DUMMYFUNCTION("""COMPUTED_VALUE"""),"2017-18")</f>
        <v>2017-18</v>
      </c>
      <c r="D1983" s="163" t="str">
        <f>IFERROR(__xludf.DUMMYFUNCTION("""COMPUTED_VALUE"""),"PHI")</f>
        <v>PHI</v>
      </c>
      <c r="E1983" s="164" t="str">
        <f>IFERROR(__xludf.DUMMYFUNCTION("""COMPUTED_VALUE"""),"Roll + Cut Big")</f>
        <v>Roll + Cut Big</v>
      </c>
      <c r="F1983" s="164">
        <f>IFERROR(__xludf.DUMMYFUNCTION("""COMPUTED_VALUE"""),1170.30166666667)</f>
        <v>1170.301667</v>
      </c>
      <c r="G1983" s="163">
        <f>IFERROR(__xludf.DUMMYFUNCTION("""COMPUTED_VALUE"""),74.0)</f>
        <v>74</v>
      </c>
      <c r="H1983" s="163" t="str">
        <f>IFERROR(__xludf.DUMMYFUNCTION("""COMPUTED_VALUE"""),"C")</f>
        <v>C</v>
      </c>
      <c r="I1983" s="163">
        <f>IFERROR(__xludf.DUMMYFUNCTION("""COMPUTED_VALUE"""),30.0)</f>
        <v>30</v>
      </c>
      <c r="J1983" s="165">
        <f>IFERROR(__xludf.DUMMYFUNCTION("""COMPUTED_VALUE"""),-0.537922567455533)</f>
        <v>-0.5379225675</v>
      </c>
      <c r="K1983" s="165">
        <f>IFERROR(__xludf.DUMMYFUNCTION("""COMPUTED_VALUE"""),-2.05611475694595)</f>
        <v>-2.056114757</v>
      </c>
      <c r="L1983" s="165">
        <f>IFERROR(__xludf.DUMMYFUNCTION("""COMPUTED_VALUE"""),1.51819218949042)</f>
        <v>1.518192189</v>
      </c>
      <c r="M1983" s="166">
        <f t="shared" si="2"/>
        <v>1.37996175</v>
      </c>
      <c r="N1983" s="167">
        <f t="shared" si="3"/>
        <v>15.81488739</v>
      </c>
      <c r="O1983" s="163">
        <f t="shared" ref="O1983:Q1983" si="1987">rank(I1983,I:I)</f>
        <v>655</v>
      </c>
      <c r="P1983" s="163">
        <f t="shared" si="1987"/>
        <v>1901</v>
      </c>
      <c r="Q1983" s="163">
        <f t="shared" si="1987"/>
        <v>3735</v>
      </c>
      <c r="R1983" s="163">
        <f>IFERROR(__xludf.DUMMYFUNCTION("RANK(M1983,filter(M:M,C:C=C1983))"),200.0)</f>
        <v>200</v>
      </c>
      <c r="S1983" s="161" t="b">
        <f t="shared" si="5"/>
        <v>0</v>
      </c>
      <c r="T1983" s="161" t="b">
        <f t="array" ref="T1983">index('Query Tool'!B:B,match(H1983,'Query Tool'!C:C,0))</f>
        <v>1</v>
      </c>
      <c r="U1983" s="161" t="b">
        <f t="array" ref="U1983">index('Query Tool'!B:B,match(C1983,'Query Tool'!C:C,0))</f>
        <v>0</v>
      </c>
      <c r="V1983" s="161" t="b">
        <f>F1983&gt;='Query Tool'!C$32</f>
        <v>1</v>
      </c>
      <c r="W1983" s="161" t="b">
        <f t="array" ref="W1983">index(Dropdowns!B:B,match(I1983,Dropdowns!A:A,0))</f>
        <v>1</v>
      </c>
      <c r="X1983" s="161" t="b">
        <f t="array" ref="X1983">index('Query Tool'!B:B,match(D1983,'Query Tool'!C:C,0))</f>
        <v>1</v>
      </c>
      <c r="Y1983" s="161" t="str">
        <f t="shared" si="6"/>
        <v>johnsam01,2017-18</v>
      </c>
      <c r="Z1983" s="168">
        <f t="array" ref="Z1983">iferror(index(I:I,match($A1983&amp;","&amp;index('Year Conversion'!$A:$A,match($C1983,'Year Conversion'!$B:$B,0)),$Y:$Y,0))-I1983,"")</f>
        <v>1</v>
      </c>
      <c r="AA1983" s="168">
        <f t="array" ref="AA1983">iferror(index(J:J,match($A1983&amp;","&amp;index('Year Conversion'!$A:$A,match($C1983,'Year Conversion'!$B:$B,0)),$Y:$Y,0))-J1983,"")</f>
        <v>-0.8325540431</v>
      </c>
      <c r="AB1983" s="168">
        <f t="array" ref="AB1983">iferror(index(K:K,match($A1983&amp;","&amp;index('Year Conversion'!$A:$A,match($C1983,'Year Conversion'!$B:$B,0)),$Y:$Y,0))-K1983,"")</f>
        <v>0.7809573328</v>
      </c>
      <c r="AC1983" s="168" t="str">
        <f t="shared" si="7"/>
        <v>PHI,2017-18</v>
      </c>
    </row>
    <row r="1984">
      <c r="A1984" s="161" t="str">
        <f>IFERROR(__xludf.DUMMYFUNCTION("""COMPUTED_VALUE"""),"gortama01")</f>
        <v>gortama01</v>
      </c>
      <c r="B1984" s="161" t="str">
        <f>IFERROR(__xludf.DUMMYFUNCTION("""COMPUTED_VALUE"""),"Marcin Gortat")</f>
        <v>Marcin Gortat</v>
      </c>
      <c r="C1984" s="162" t="str">
        <f>IFERROR(__xludf.DUMMYFUNCTION("""COMPUTED_VALUE"""),"2017-18")</f>
        <v>2017-18</v>
      </c>
      <c r="D1984" s="163" t="str">
        <f>IFERROR(__xludf.DUMMYFUNCTION("""COMPUTED_VALUE"""),"WAS")</f>
        <v>WAS</v>
      </c>
      <c r="E1984" s="164" t="str">
        <f>IFERROR(__xludf.DUMMYFUNCTION("""COMPUTED_VALUE"""),"Post Scorer")</f>
        <v>Post Scorer</v>
      </c>
      <c r="F1984" s="164">
        <f>IFERROR(__xludf.DUMMYFUNCTION("""COMPUTED_VALUE"""),2074.495)</f>
        <v>2074.495</v>
      </c>
      <c r="G1984" s="163">
        <f>IFERROR(__xludf.DUMMYFUNCTION("""COMPUTED_VALUE"""),82.0)</f>
        <v>82</v>
      </c>
      <c r="H1984" s="163" t="str">
        <f>IFERROR(__xludf.DUMMYFUNCTION("""COMPUTED_VALUE"""),"C")</f>
        <v>C</v>
      </c>
      <c r="I1984" s="163">
        <f>IFERROR(__xludf.DUMMYFUNCTION("""COMPUTED_VALUE"""),33.0)</f>
        <v>33</v>
      </c>
      <c r="J1984" s="165">
        <f>IFERROR(__xludf.DUMMYFUNCTION("""COMPUTED_VALUE"""),-0.514532293332133)</f>
        <v>-0.5145322933</v>
      </c>
      <c r="K1984" s="165">
        <f>IFERROR(__xludf.DUMMYFUNCTION("""COMPUTED_VALUE"""),-1.92163625877633)</f>
        <v>-1.921636259</v>
      </c>
      <c r="L1984" s="165">
        <f>IFERROR(__xludf.DUMMYFUNCTION("""COMPUTED_VALUE"""),1.40710396544419)</f>
        <v>1.407103965</v>
      </c>
      <c r="M1984" s="166">
        <f t="shared" si="2"/>
        <v>2.478817722</v>
      </c>
      <c r="N1984" s="167">
        <f t="shared" si="3"/>
        <v>25.29871951</v>
      </c>
      <c r="O1984" s="163">
        <f t="shared" ref="O1984:Q1984" si="1988">rank(I1984,I:I)</f>
        <v>246</v>
      </c>
      <c r="P1984" s="163">
        <f t="shared" si="1988"/>
        <v>1876</v>
      </c>
      <c r="Q1984" s="163">
        <f t="shared" si="1988"/>
        <v>3666</v>
      </c>
      <c r="R1984" s="163">
        <f>IFERROR(__xludf.DUMMYFUNCTION("RANK(M1984,filter(M:M,C:C=C1984))"),132.0)</f>
        <v>132</v>
      </c>
      <c r="S1984" s="161" t="b">
        <f t="shared" si="5"/>
        <v>0</v>
      </c>
      <c r="T1984" s="161" t="b">
        <f t="array" ref="T1984">index('Query Tool'!B:B,match(H1984,'Query Tool'!C:C,0))</f>
        <v>1</v>
      </c>
      <c r="U1984" s="161" t="b">
        <f t="array" ref="U1984">index('Query Tool'!B:B,match(C1984,'Query Tool'!C:C,0))</f>
        <v>0</v>
      </c>
      <c r="V1984" s="161" t="b">
        <f>F1984&gt;='Query Tool'!C$32</f>
        <v>1</v>
      </c>
      <c r="W1984" s="161" t="b">
        <f t="array" ref="W1984">index(Dropdowns!B:B,match(I1984,Dropdowns!A:A,0))</f>
        <v>1</v>
      </c>
      <c r="X1984" s="161" t="b">
        <f t="array" ref="X1984">index('Query Tool'!B:B,match(D1984,'Query Tool'!C:C,0))</f>
        <v>1</v>
      </c>
      <c r="Y1984" s="161" t="str">
        <f t="shared" si="6"/>
        <v>gortama01,2017-18</v>
      </c>
      <c r="Z1984" s="168">
        <f t="array" ref="Z1984">iferror(index(I:I,match($A1984&amp;","&amp;index('Year Conversion'!$A:$A,match($C1984,'Year Conversion'!$B:$B,0)),$Y:$Y,0))-I1984,"")</f>
        <v>1</v>
      </c>
      <c r="AA1984" s="168">
        <f t="array" ref="AA1984">iferror(index(J:J,match($A1984&amp;","&amp;index('Year Conversion'!$A:$A,match($C1984,'Year Conversion'!$B:$B,0)),$Y:$Y,0))-J1984,"")</f>
        <v>-0.633717507</v>
      </c>
      <c r="AB1984" s="168">
        <f t="array" ref="AB1984">iferror(index(K:K,match($A1984&amp;","&amp;index('Year Conversion'!$A:$A,match($C1984,'Year Conversion'!$B:$B,0)),$Y:$Y,0))-K1984,"")</f>
        <v>0.1450848978</v>
      </c>
      <c r="AC1984" s="168" t="str">
        <f t="shared" si="7"/>
        <v>WAS,2017-18</v>
      </c>
    </row>
    <row r="1985">
      <c r="A1985" s="161" t="str">
        <f>IFERROR(__xludf.DUMMYFUNCTION("""COMPUTED_VALUE"""),"caldejo01")</f>
        <v>caldejo01</v>
      </c>
      <c r="B1985" s="161" t="str">
        <f>IFERROR(__xludf.DUMMYFUNCTION("""COMPUTED_VALUE"""),"Jose Calderon")</f>
        <v>Jose Calderon</v>
      </c>
      <c r="C1985" s="162" t="str">
        <f>IFERROR(__xludf.DUMMYFUNCTION("""COMPUTED_VALUE"""),"2017-18")</f>
        <v>2017-18</v>
      </c>
      <c r="D1985" s="163" t="str">
        <f>IFERROR(__xludf.DUMMYFUNCTION("""COMPUTED_VALUE"""),"CLE")</f>
        <v>CLE</v>
      </c>
      <c r="E1985" s="164" t="str">
        <f>IFERROR(__xludf.DUMMYFUNCTION("""COMPUTED_VALUE"""),"Secondary Ball Handler")</f>
        <v>Secondary Ball Handler</v>
      </c>
      <c r="F1985" s="164">
        <f>IFERROR(__xludf.DUMMYFUNCTION("""COMPUTED_VALUE"""),914.325)</f>
        <v>914.325</v>
      </c>
      <c r="G1985" s="163">
        <f>IFERROR(__xludf.DUMMYFUNCTION("""COMPUTED_VALUE"""),57.0)</f>
        <v>57</v>
      </c>
      <c r="H1985" s="163" t="str">
        <f>IFERROR(__xludf.DUMMYFUNCTION("""COMPUTED_VALUE"""),"PG")</f>
        <v>PG</v>
      </c>
      <c r="I1985" s="163">
        <f>IFERROR(__xludf.DUMMYFUNCTION("""COMPUTED_VALUE"""),36.0)</f>
        <v>36</v>
      </c>
      <c r="J1985" s="165">
        <f>IFERROR(__xludf.DUMMYFUNCTION("""COMPUTED_VALUE"""),-2.12698048184365)</f>
        <v>-2.126980482</v>
      </c>
      <c r="K1985" s="165">
        <f>IFERROR(__xludf.DUMMYFUNCTION("""COMPUTED_VALUE"""),-1.53518962851482)</f>
        <v>-1.535189629</v>
      </c>
      <c r="L1985" s="165">
        <f>IFERROR(__xludf.DUMMYFUNCTION("""COMPUTED_VALUE"""),-0.591790853328823)</f>
        <v>-0.5917908533</v>
      </c>
      <c r="M1985" s="166">
        <f t="shared" si="2"/>
        <v>0.106631326</v>
      </c>
      <c r="N1985" s="167">
        <f t="shared" si="3"/>
        <v>16.04078947</v>
      </c>
      <c r="O1985" s="163">
        <f t="shared" ref="O1985:Q1985" si="1989">rank(I1985,I:I)</f>
        <v>65</v>
      </c>
      <c r="P1985" s="163">
        <f t="shared" si="1989"/>
        <v>3573</v>
      </c>
      <c r="Q1985" s="163">
        <f t="shared" si="1989"/>
        <v>3392</v>
      </c>
      <c r="R1985" s="163">
        <f>IFERROR(__xludf.DUMMYFUNCTION("RANK(M1985,filter(M:M,C:C=C1985))"),396.0)</f>
        <v>396</v>
      </c>
      <c r="S1985" s="161" t="b">
        <f t="shared" si="5"/>
        <v>0</v>
      </c>
      <c r="T1985" s="161" t="b">
        <f t="array" ref="T1985">index('Query Tool'!B:B,match(H1985,'Query Tool'!C:C,0))</f>
        <v>1</v>
      </c>
      <c r="U1985" s="161" t="b">
        <f t="array" ref="U1985">index('Query Tool'!B:B,match(C1985,'Query Tool'!C:C,0))</f>
        <v>0</v>
      </c>
      <c r="V1985" s="161" t="b">
        <f>F1985&gt;='Query Tool'!C$32</f>
        <v>1</v>
      </c>
      <c r="W1985" s="161" t="b">
        <f t="array" ref="W1985">index(Dropdowns!B:B,match(I1985,Dropdowns!A:A,0))</f>
        <v>1</v>
      </c>
      <c r="X1985" s="161" t="b">
        <f t="array" ref="X1985">index('Query Tool'!B:B,match(D1985,'Query Tool'!C:C,0))</f>
        <v>1</v>
      </c>
      <c r="Y1985" s="161" t="str">
        <f t="shared" si="6"/>
        <v>caldejo01,2017-18</v>
      </c>
      <c r="Z1985" s="168">
        <f t="array" ref="Z1985">iferror(index(I:I,match($A1985&amp;","&amp;index('Year Conversion'!$A:$A,match($C1985,'Year Conversion'!$B:$B,0)),$Y:$Y,0))-I1985,"")</f>
        <v>1</v>
      </c>
      <c r="AA1985" s="168">
        <f t="array" ref="AA1985">iferror(index(J:J,match($A1985&amp;","&amp;index('Year Conversion'!$A:$A,match($C1985,'Year Conversion'!$B:$B,0)),$Y:$Y,0))-J1985,"")</f>
        <v>-0.4840328515</v>
      </c>
      <c r="AB1985" s="168">
        <f t="array" ref="AB1985">iferror(index(K:K,match($A1985&amp;","&amp;index('Year Conversion'!$A:$A,match($C1985,'Year Conversion'!$B:$B,0)),$Y:$Y,0))-K1985,"")</f>
        <v>-0.7166421675</v>
      </c>
      <c r="AC1985" s="168" t="str">
        <f t="shared" si="7"/>
        <v>CLE,2017-18</v>
      </c>
    </row>
    <row r="1986">
      <c r="A1986" s="161" t="str">
        <f>IFERROR(__xludf.DUMMYFUNCTION("""COMPUTED_VALUE"""),"aldrila01")</f>
        <v>aldrila01</v>
      </c>
      <c r="B1986" s="161" t="str">
        <f>IFERROR(__xludf.DUMMYFUNCTION("""COMPUTED_VALUE"""),"LaMarcus Aldridge")</f>
        <v>LaMarcus Aldridge</v>
      </c>
      <c r="C1986" s="162" t="str">
        <f>IFERROR(__xludf.DUMMYFUNCTION("""COMPUTED_VALUE"""),"2017-18")</f>
        <v>2017-18</v>
      </c>
      <c r="D1986" s="163" t="str">
        <f>IFERROR(__xludf.DUMMYFUNCTION("""COMPUTED_VALUE"""),"SAS")</f>
        <v>SAS</v>
      </c>
      <c r="E1986" s="164" t="str">
        <f>IFERROR(__xludf.DUMMYFUNCTION("""COMPUTED_VALUE"""),"Post Scorer")</f>
        <v>Post Scorer</v>
      </c>
      <c r="F1986" s="164">
        <f>IFERROR(__xludf.DUMMYFUNCTION("""COMPUTED_VALUE"""),2508.61833333333)</f>
        <v>2508.618333</v>
      </c>
      <c r="G1986" s="163">
        <f>IFERROR(__xludf.DUMMYFUNCTION("""COMPUTED_VALUE"""),75.0)</f>
        <v>75</v>
      </c>
      <c r="H1986" s="163" t="str">
        <f>IFERROR(__xludf.DUMMYFUNCTION("""COMPUTED_VALUE"""),"C")</f>
        <v>C</v>
      </c>
      <c r="I1986" s="163">
        <f>IFERROR(__xludf.DUMMYFUNCTION("""COMPUTED_VALUE"""),32.0)</f>
        <v>32</v>
      </c>
      <c r="J1986" s="165">
        <f>IFERROR(__xludf.DUMMYFUNCTION("""COMPUTED_VALUE"""),4.39501707581944)</f>
        <v>4.395017076</v>
      </c>
      <c r="K1986" s="165">
        <f>IFERROR(__xludf.DUMMYFUNCTION("""COMPUTED_VALUE"""),3.01094397287224)</f>
        <v>3.010943973</v>
      </c>
      <c r="L1986" s="165">
        <f>IFERROR(__xludf.DUMMYFUNCTION("""COMPUTED_VALUE"""),1.3840731029472)</f>
        <v>1.384073103</v>
      </c>
      <c r="M1986" s="166">
        <f t="shared" si="2"/>
        <v>11.10742386</v>
      </c>
      <c r="N1986" s="167">
        <f t="shared" si="3"/>
        <v>33.44824444</v>
      </c>
      <c r="O1986" s="163">
        <f t="shared" ref="O1986:Q1986" si="1990">rank(I1986,I:I)</f>
        <v>359</v>
      </c>
      <c r="P1986" s="163">
        <f t="shared" si="1990"/>
        <v>75</v>
      </c>
      <c r="Q1986" s="163">
        <f t="shared" si="1990"/>
        <v>123</v>
      </c>
      <c r="R1986" s="163">
        <f>IFERROR(__xludf.DUMMYFUNCTION("RANK(M1986,filter(M:M,C:C=C1986))"),10.0)</f>
        <v>10</v>
      </c>
      <c r="S1986" s="161" t="b">
        <f t="shared" si="5"/>
        <v>0</v>
      </c>
      <c r="T1986" s="161" t="b">
        <f t="array" ref="T1986">index('Query Tool'!B:B,match(H1986,'Query Tool'!C:C,0))</f>
        <v>1</v>
      </c>
      <c r="U1986" s="161" t="b">
        <f t="array" ref="U1986">index('Query Tool'!B:B,match(C1986,'Query Tool'!C:C,0))</f>
        <v>0</v>
      </c>
      <c r="V1986" s="161" t="b">
        <f>F1986&gt;='Query Tool'!C$32</f>
        <v>1</v>
      </c>
      <c r="W1986" s="161" t="b">
        <f t="array" ref="W1986">index(Dropdowns!B:B,match(I1986,Dropdowns!A:A,0))</f>
        <v>1</v>
      </c>
      <c r="X1986" s="161" t="b">
        <f t="array" ref="X1986">index('Query Tool'!B:B,match(D1986,'Query Tool'!C:C,0))</f>
        <v>1</v>
      </c>
      <c r="Y1986" s="161" t="str">
        <f t="shared" si="6"/>
        <v>aldrila01,2017-18</v>
      </c>
      <c r="Z1986" s="168">
        <f t="array" ref="Z1986">iferror(index(I:I,match($A1986&amp;","&amp;index('Year Conversion'!$A:$A,match($C1986,'Year Conversion'!$B:$B,0)),$Y:$Y,0))-I1986,"")</f>
        <v>1</v>
      </c>
      <c r="AA1986" s="168">
        <f t="array" ref="AA1986">iferror(index(J:J,match($A1986&amp;","&amp;index('Year Conversion'!$A:$A,match($C1986,'Year Conversion'!$B:$B,0)),$Y:$Y,0))-J1986,"")</f>
        <v>-2.477951348</v>
      </c>
      <c r="AB1986" s="168">
        <f t="array" ref="AB1986">iferror(index(K:K,match($A1986&amp;","&amp;index('Year Conversion'!$A:$A,match($C1986,'Year Conversion'!$B:$B,0)),$Y:$Y,0))-K1986,"")</f>
        <v>-1.378342101</v>
      </c>
      <c r="AC1986" s="168" t="str">
        <f t="shared" si="7"/>
        <v>SAS,2017-18</v>
      </c>
    </row>
    <row r="1987">
      <c r="A1987" s="161" t="str">
        <f>IFERROR(__xludf.DUMMYFUNCTION("""COMPUTED_VALUE"""),"gayru01")</f>
        <v>gayru01</v>
      </c>
      <c r="B1987" s="161" t="str">
        <f>IFERROR(__xludf.DUMMYFUNCTION("""COMPUTED_VALUE"""),"Rudy Gay")</f>
        <v>Rudy Gay</v>
      </c>
      <c r="C1987" s="162" t="str">
        <f>IFERROR(__xludf.DUMMYFUNCTION("""COMPUTED_VALUE"""),"2017-18")</f>
        <v>2017-18</v>
      </c>
      <c r="D1987" s="163" t="str">
        <f>IFERROR(__xludf.DUMMYFUNCTION("""COMPUTED_VALUE"""),"SAS")</f>
        <v>SAS</v>
      </c>
      <c r="E1987" s="164" t="str">
        <f>IFERROR(__xludf.DUMMYFUNCTION("""COMPUTED_VALUE"""),"Shot Creator")</f>
        <v>Shot Creator</v>
      </c>
      <c r="F1987" s="164">
        <f>IFERROR(__xludf.DUMMYFUNCTION("""COMPUTED_VALUE"""),1231.18333333333)</f>
        <v>1231.183333</v>
      </c>
      <c r="G1987" s="163">
        <f>IFERROR(__xludf.DUMMYFUNCTION("""COMPUTED_VALUE"""),57.0)</f>
        <v>57</v>
      </c>
      <c r="H1987" s="163" t="str">
        <f>IFERROR(__xludf.DUMMYFUNCTION("""COMPUTED_VALUE"""),"PF")</f>
        <v>PF</v>
      </c>
      <c r="I1987" s="163">
        <f>IFERROR(__xludf.DUMMYFUNCTION("""COMPUTED_VALUE"""),31.0)</f>
        <v>31</v>
      </c>
      <c r="J1987" s="165">
        <f>IFERROR(__xludf.DUMMYFUNCTION("""COMPUTED_VALUE"""),0.272810183959788)</f>
        <v>0.272810184</v>
      </c>
      <c r="K1987" s="165">
        <f>IFERROR(__xludf.DUMMYFUNCTION("""COMPUTED_VALUE"""),0.325061541311981)</f>
        <v>0.3250615413</v>
      </c>
      <c r="L1987" s="165">
        <f>IFERROR(__xludf.DUMMYFUNCTION("""COMPUTED_VALUE"""),-0.0522513573521928)</f>
        <v>-0.05225135735</v>
      </c>
      <c r="M1987" s="166">
        <f t="shared" si="2"/>
        <v>2.124497334</v>
      </c>
      <c r="N1987" s="167">
        <f t="shared" si="3"/>
        <v>21.5997076</v>
      </c>
      <c r="O1987" s="163">
        <f t="shared" ref="O1987:Q1987" si="1991">rank(I1987,I:I)</f>
        <v>490</v>
      </c>
      <c r="P1987" s="163">
        <f t="shared" si="1991"/>
        <v>1039</v>
      </c>
      <c r="Q1987" s="163">
        <f t="shared" si="1991"/>
        <v>889</v>
      </c>
      <c r="R1987" s="163">
        <f>IFERROR(__xludf.DUMMYFUNCTION("RANK(M1987,filter(M:M,C:C=C1987))"),153.0)</f>
        <v>153</v>
      </c>
      <c r="S1987" s="161" t="b">
        <f t="shared" si="5"/>
        <v>0</v>
      </c>
      <c r="T1987" s="161" t="b">
        <f t="array" ref="T1987">index('Query Tool'!B:B,match(H1987,'Query Tool'!C:C,0))</f>
        <v>1</v>
      </c>
      <c r="U1987" s="161" t="b">
        <f t="array" ref="U1987">index('Query Tool'!B:B,match(C1987,'Query Tool'!C:C,0))</f>
        <v>0</v>
      </c>
      <c r="V1987" s="161" t="b">
        <f>F1987&gt;='Query Tool'!C$32</f>
        <v>1</v>
      </c>
      <c r="W1987" s="161" t="b">
        <f t="array" ref="W1987">index(Dropdowns!B:B,match(I1987,Dropdowns!A:A,0))</f>
        <v>1</v>
      </c>
      <c r="X1987" s="161" t="b">
        <f t="array" ref="X1987">index('Query Tool'!B:B,match(D1987,'Query Tool'!C:C,0))</f>
        <v>1</v>
      </c>
      <c r="Y1987" s="161" t="str">
        <f t="shared" si="6"/>
        <v>gayru01,2017-18</v>
      </c>
      <c r="Z1987" s="168">
        <f t="array" ref="Z1987">iferror(index(I:I,match($A1987&amp;","&amp;index('Year Conversion'!$A:$A,match($C1987,'Year Conversion'!$B:$B,0)),$Y:$Y,0))-I1987,"")</f>
        <v>1</v>
      </c>
      <c r="AA1987" s="168">
        <f t="array" ref="AA1987">iferror(index(J:J,match($A1987&amp;","&amp;index('Year Conversion'!$A:$A,match($C1987,'Year Conversion'!$B:$B,0)),$Y:$Y,0))-J1987,"")</f>
        <v>0.7309210123</v>
      </c>
      <c r="AB1987" s="168">
        <f t="array" ref="AB1987">iferror(index(K:K,match($A1987&amp;","&amp;index('Year Conversion'!$A:$A,match($C1987,'Year Conversion'!$B:$B,0)),$Y:$Y,0))-K1987,"")</f>
        <v>-0.378468845</v>
      </c>
      <c r="AC1987" s="168" t="str">
        <f t="shared" si="7"/>
        <v>SAS,2017-18</v>
      </c>
    </row>
    <row r="1988">
      <c r="A1988" s="161" t="str">
        <f>IFERROR(__xludf.DUMMYFUNCTION("""COMPUTED_VALUE"""),"redicjj01")</f>
        <v>redicjj01</v>
      </c>
      <c r="B1988" s="161" t="str">
        <f>IFERROR(__xludf.DUMMYFUNCTION("""COMPUTED_VALUE"""),"JJ Redick")</f>
        <v>JJ Redick</v>
      </c>
      <c r="C1988" s="162" t="str">
        <f>IFERROR(__xludf.DUMMYFUNCTION("""COMPUTED_VALUE"""),"2017-18")</f>
        <v>2017-18</v>
      </c>
      <c r="D1988" s="163" t="str">
        <f>IFERROR(__xludf.DUMMYFUNCTION("""COMPUTED_VALUE"""),"PHI")</f>
        <v>PHI</v>
      </c>
      <c r="E1988" s="164" t="str">
        <f>IFERROR(__xludf.DUMMYFUNCTION("""COMPUTED_VALUE"""),"Movement Shooter")</f>
        <v>Movement Shooter</v>
      </c>
      <c r="F1988" s="164">
        <f>IFERROR(__xludf.DUMMYFUNCTION("""COMPUTED_VALUE"""),2115.85333333333)</f>
        <v>2115.853333</v>
      </c>
      <c r="G1988" s="163">
        <f>IFERROR(__xludf.DUMMYFUNCTION("""COMPUTED_VALUE"""),70.0)</f>
        <v>70</v>
      </c>
      <c r="H1988" s="163" t="str">
        <f>IFERROR(__xludf.DUMMYFUNCTION("""COMPUTED_VALUE"""),"SG")</f>
        <v>SG</v>
      </c>
      <c r="I1988" s="163">
        <f>IFERROR(__xludf.DUMMYFUNCTION("""COMPUTED_VALUE"""),33.0)</f>
        <v>33</v>
      </c>
      <c r="J1988" s="165">
        <f>IFERROR(__xludf.DUMMYFUNCTION("""COMPUTED_VALUE"""),0.655685684787934)</f>
        <v>0.6556856848</v>
      </c>
      <c r="K1988" s="165">
        <f>IFERROR(__xludf.DUMMYFUNCTION("""COMPUTED_VALUE"""),1.51504346795771)</f>
        <v>1.515043468</v>
      </c>
      <c r="L1988" s="165">
        <f>IFERROR(__xludf.DUMMYFUNCTION("""COMPUTED_VALUE"""),-0.859357783169779)</f>
        <v>-0.8593577832</v>
      </c>
      <c r="M1988" s="166">
        <f t="shared" si="2"/>
        <v>4.196709292</v>
      </c>
      <c r="N1988" s="167">
        <f t="shared" si="3"/>
        <v>30.22647619</v>
      </c>
      <c r="O1988" s="163">
        <f t="shared" ref="O1988:Q1988" si="1992">rank(I1988,I:I)</f>
        <v>246</v>
      </c>
      <c r="P1988" s="163">
        <f t="shared" si="1992"/>
        <v>819</v>
      </c>
      <c r="Q1988" s="163">
        <f t="shared" si="1992"/>
        <v>318</v>
      </c>
      <c r="R1988" s="163">
        <f>IFERROR(__xludf.DUMMYFUNCTION("RANK(M1988,filter(M:M,C:C=C1988))"),77.0)</f>
        <v>77</v>
      </c>
      <c r="S1988" s="161" t="b">
        <f t="shared" si="5"/>
        <v>0</v>
      </c>
      <c r="T1988" s="161" t="b">
        <f t="array" ref="T1988">index('Query Tool'!B:B,match(H1988,'Query Tool'!C:C,0))</f>
        <v>1</v>
      </c>
      <c r="U1988" s="161" t="b">
        <f t="array" ref="U1988">index('Query Tool'!B:B,match(C1988,'Query Tool'!C:C,0))</f>
        <v>0</v>
      </c>
      <c r="V1988" s="161" t="b">
        <f>F1988&gt;='Query Tool'!C$32</f>
        <v>1</v>
      </c>
      <c r="W1988" s="161" t="b">
        <f t="array" ref="W1988">index(Dropdowns!B:B,match(I1988,Dropdowns!A:A,0))</f>
        <v>1</v>
      </c>
      <c r="X1988" s="161" t="b">
        <f t="array" ref="X1988">index('Query Tool'!B:B,match(D1988,'Query Tool'!C:C,0))</f>
        <v>1</v>
      </c>
      <c r="Y1988" s="161" t="str">
        <f t="shared" si="6"/>
        <v>redicjj01,2017-18</v>
      </c>
      <c r="Z1988" s="168">
        <f t="array" ref="Z1988">iferror(index(I:I,match($A1988&amp;","&amp;index('Year Conversion'!$A:$A,match($C1988,'Year Conversion'!$B:$B,0)),$Y:$Y,0))-I1988,"")</f>
        <v>1</v>
      </c>
      <c r="AA1988" s="168">
        <f t="array" ref="AA1988">iferror(index(J:J,match($A1988&amp;","&amp;index('Year Conversion'!$A:$A,match($C1988,'Year Conversion'!$B:$B,0)),$Y:$Y,0))-J1988,"")</f>
        <v>-0.1557011096</v>
      </c>
      <c r="AB1988" s="168">
        <f t="array" ref="AB1988">iferror(index(K:K,match($A1988&amp;","&amp;index('Year Conversion'!$A:$A,match($C1988,'Year Conversion'!$B:$B,0)),$Y:$Y,0))-K1988,"")</f>
        <v>-0.05624310252</v>
      </c>
      <c r="AC1988" s="168" t="str">
        <f t="shared" si="7"/>
        <v>PHI,2017-18</v>
      </c>
    </row>
    <row r="1989">
      <c r="A1989" s="161" t="str">
        <f>IFERROR(__xludf.DUMMYFUNCTION("""COMPUTED_VALUE"""),"sefolth01")</f>
        <v>sefolth01</v>
      </c>
      <c r="B1989" s="161" t="str">
        <f>IFERROR(__xludf.DUMMYFUNCTION("""COMPUTED_VALUE"""),"Thabo Sefolosha")</f>
        <v>Thabo Sefolosha</v>
      </c>
      <c r="C1989" s="162" t="str">
        <f>IFERROR(__xludf.DUMMYFUNCTION("""COMPUTED_VALUE"""),"2017-18")</f>
        <v>2017-18</v>
      </c>
      <c r="D1989" s="163" t="str">
        <f>IFERROR(__xludf.DUMMYFUNCTION("""COMPUTED_VALUE"""),"UTA")</f>
        <v>UTA</v>
      </c>
      <c r="E1989" s="164" t="str">
        <f>IFERROR(__xludf.DUMMYFUNCTION("""COMPUTED_VALUE"""),"Athletic Finisher")</f>
        <v>Athletic Finisher</v>
      </c>
      <c r="F1989" s="164">
        <f>IFERROR(__xludf.DUMMYFUNCTION("""COMPUTED_VALUE"""),805.565)</f>
        <v>805.565</v>
      </c>
      <c r="G1989" s="163">
        <f>IFERROR(__xludf.DUMMYFUNCTION("""COMPUTED_VALUE"""),38.0)</f>
        <v>38</v>
      </c>
      <c r="H1989" s="163" t="str">
        <f>IFERROR(__xludf.DUMMYFUNCTION("""COMPUTED_VALUE"""),"SF")</f>
        <v>SF</v>
      </c>
      <c r="I1989" s="163">
        <f>IFERROR(__xludf.DUMMYFUNCTION("""COMPUTED_VALUE"""),33.0)</f>
        <v>33</v>
      </c>
      <c r="J1989" s="165">
        <f>IFERROR(__xludf.DUMMYFUNCTION("""COMPUTED_VALUE"""),0.0486475297064419)</f>
        <v>0.04864752971</v>
      </c>
      <c r="K1989" s="165">
        <f>IFERROR(__xludf.DUMMYFUNCTION("""COMPUTED_VALUE"""),-1.20159095445774)</f>
        <v>-1.201590954</v>
      </c>
      <c r="L1989" s="165">
        <f>IFERROR(__xludf.DUMMYFUNCTION("""COMPUTED_VALUE"""),1.25023848416418)</f>
        <v>1.250238484</v>
      </c>
      <c r="M1989" s="166">
        <f t="shared" si="2"/>
        <v>1.268333276</v>
      </c>
      <c r="N1989" s="167">
        <f t="shared" si="3"/>
        <v>21.19907895</v>
      </c>
      <c r="O1989" s="163">
        <f t="shared" ref="O1989:Q1989" si="1993">rank(I1989,I:I)</f>
        <v>246</v>
      </c>
      <c r="P1989" s="163">
        <f t="shared" si="1993"/>
        <v>1242</v>
      </c>
      <c r="Q1989" s="163">
        <f t="shared" si="1993"/>
        <v>3039</v>
      </c>
      <c r="R1989" s="163">
        <f>IFERROR(__xludf.DUMMYFUNCTION("RANK(M1989,filter(M:M,C:C=C1989))"),210.0)</f>
        <v>210</v>
      </c>
      <c r="S1989" s="161" t="b">
        <f t="shared" si="5"/>
        <v>0</v>
      </c>
      <c r="T1989" s="161" t="b">
        <f t="array" ref="T1989">index('Query Tool'!B:B,match(H1989,'Query Tool'!C:C,0))</f>
        <v>1</v>
      </c>
      <c r="U1989" s="161" t="b">
        <f t="array" ref="U1989">index('Query Tool'!B:B,match(C1989,'Query Tool'!C:C,0))</f>
        <v>0</v>
      </c>
      <c r="V1989" s="161" t="b">
        <f>F1989&gt;='Query Tool'!C$32</f>
        <v>1</v>
      </c>
      <c r="W1989" s="161" t="b">
        <f t="array" ref="W1989">index(Dropdowns!B:B,match(I1989,Dropdowns!A:A,0))</f>
        <v>1</v>
      </c>
      <c r="X1989" s="161" t="b">
        <f t="array" ref="X1989">index('Query Tool'!B:B,match(D1989,'Query Tool'!C:C,0))</f>
        <v>1</v>
      </c>
      <c r="Y1989" s="161" t="str">
        <f t="shared" si="6"/>
        <v>sefolth01,2017-18</v>
      </c>
      <c r="Z1989" s="168">
        <f t="array" ref="Z1989">iferror(index(I:I,match($A1989&amp;","&amp;index('Year Conversion'!$A:$A,match($C1989,'Year Conversion'!$B:$B,0)),$Y:$Y,0))-I1989,"")</f>
        <v>1</v>
      </c>
      <c r="AA1989" s="168">
        <f t="array" ref="AA1989">iferror(index(J:J,match($A1989&amp;","&amp;index('Year Conversion'!$A:$A,match($C1989,'Year Conversion'!$B:$B,0)),$Y:$Y,0))-J1989,"")</f>
        <v>-0.4883648272</v>
      </c>
      <c r="AB1989" s="168">
        <f t="array" ref="AB1989">iferror(index(K:K,match($A1989&amp;","&amp;index('Year Conversion'!$A:$A,match($C1989,'Year Conversion'!$B:$B,0)),$Y:$Y,0))-K1989,"")</f>
        <v>-0.6395826566</v>
      </c>
      <c r="AC1989" s="168" t="str">
        <f t="shared" si="7"/>
        <v>UTA,2017-18</v>
      </c>
    </row>
    <row r="1990">
      <c r="A1990" s="161" t="str">
        <f>IFERROR(__xludf.DUMMYFUNCTION("""COMPUTED_VALUE"""),"rondora01")</f>
        <v>rondora01</v>
      </c>
      <c r="B1990" s="161" t="str">
        <f>IFERROR(__xludf.DUMMYFUNCTION("""COMPUTED_VALUE"""),"Rajon Rondo")</f>
        <v>Rajon Rondo</v>
      </c>
      <c r="C1990" s="162" t="str">
        <f>IFERROR(__xludf.DUMMYFUNCTION("""COMPUTED_VALUE"""),"2017-18")</f>
        <v>2017-18</v>
      </c>
      <c r="D1990" s="163" t="str">
        <f>IFERROR(__xludf.DUMMYFUNCTION("""COMPUTED_VALUE"""),"NOP")</f>
        <v>NOP</v>
      </c>
      <c r="E1990" s="164" t="str">
        <f>IFERROR(__xludf.DUMMYFUNCTION("""COMPUTED_VALUE"""),"Primary Ball Handler")</f>
        <v>Primary Ball Handler</v>
      </c>
      <c r="F1990" s="164">
        <f>IFERROR(__xludf.DUMMYFUNCTION("""COMPUTED_VALUE"""),1704.965)</f>
        <v>1704.965</v>
      </c>
      <c r="G1990" s="163">
        <f>IFERROR(__xludf.DUMMYFUNCTION("""COMPUTED_VALUE"""),65.0)</f>
        <v>65</v>
      </c>
      <c r="H1990" s="163" t="str">
        <f>IFERROR(__xludf.DUMMYFUNCTION("""COMPUTED_VALUE"""),"PG")</f>
        <v>PG</v>
      </c>
      <c r="I1990" s="163">
        <f>IFERROR(__xludf.DUMMYFUNCTION("""COMPUTED_VALUE"""),31.0)</f>
        <v>31</v>
      </c>
      <c r="J1990" s="165">
        <f>IFERROR(__xludf.DUMMYFUNCTION("""COMPUTED_VALUE"""),-0.466567435180136)</f>
        <v>-0.4665674352</v>
      </c>
      <c r="K1990" s="165">
        <f>IFERROR(__xludf.DUMMYFUNCTION("""COMPUTED_VALUE"""),-0.281878764745313)</f>
        <v>-0.2818787647</v>
      </c>
      <c r="L1990" s="165">
        <f>IFERROR(__xludf.DUMMYFUNCTION("""COMPUTED_VALUE"""),-0.184688670434823)</f>
        <v>-0.1846886704</v>
      </c>
      <c r="M1990" s="166">
        <f t="shared" si="2"/>
        <v>2.092344543</v>
      </c>
      <c r="N1990" s="167">
        <f t="shared" si="3"/>
        <v>26.23023077</v>
      </c>
      <c r="O1990" s="163">
        <f t="shared" ref="O1990:Q1990" si="1994">rank(I1990,I:I)</f>
        <v>490</v>
      </c>
      <c r="P1990" s="163">
        <f t="shared" si="1994"/>
        <v>1805</v>
      </c>
      <c r="Q1990" s="163">
        <f t="shared" si="1994"/>
        <v>1730</v>
      </c>
      <c r="R1990" s="163">
        <f>IFERROR(__xludf.DUMMYFUNCTION("RANK(M1990,filter(M:M,C:C=C1990))"),155.0)</f>
        <v>155</v>
      </c>
      <c r="S1990" s="161" t="b">
        <f t="shared" si="5"/>
        <v>0</v>
      </c>
      <c r="T1990" s="161" t="b">
        <f t="array" ref="T1990">index('Query Tool'!B:B,match(H1990,'Query Tool'!C:C,0))</f>
        <v>1</v>
      </c>
      <c r="U1990" s="161" t="b">
        <f t="array" ref="U1990">index('Query Tool'!B:B,match(C1990,'Query Tool'!C:C,0))</f>
        <v>0</v>
      </c>
      <c r="V1990" s="161" t="b">
        <f>F1990&gt;='Query Tool'!C$32</f>
        <v>1</v>
      </c>
      <c r="W1990" s="161" t="b">
        <f t="array" ref="W1990">index(Dropdowns!B:B,match(I1990,Dropdowns!A:A,0))</f>
        <v>1</v>
      </c>
      <c r="X1990" s="161" t="b">
        <f t="array" ref="X1990">index('Query Tool'!B:B,match(D1990,'Query Tool'!C:C,0))</f>
        <v>1</v>
      </c>
      <c r="Y1990" s="161" t="str">
        <f t="shared" si="6"/>
        <v>rondora01,2017-18</v>
      </c>
      <c r="Z1990" s="168">
        <f t="array" ref="Z1990">iferror(index(I:I,match($A1990&amp;","&amp;index('Year Conversion'!$A:$A,match($C1990,'Year Conversion'!$B:$B,0)),$Y:$Y,0))-I1990,"")</f>
        <v>1</v>
      </c>
      <c r="AA1990" s="168">
        <f t="array" ref="AA1990">iferror(index(J:J,match($A1990&amp;","&amp;index('Year Conversion'!$A:$A,match($C1990,'Year Conversion'!$B:$B,0)),$Y:$Y,0))-J1990,"")</f>
        <v>-1.383577794</v>
      </c>
      <c r="AB1990" s="168">
        <f t="array" ref="AB1990">iferror(index(K:K,match($A1990&amp;","&amp;index('Year Conversion'!$A:$A,match($C1990,'Year Conversion'!$B:$B,0)),$Y:$Y,0))-K1990,"")</f>
        <v>-1.096629157</v>
      </c>
      <c r="AC1990" s="168" t="str">
        <f t="shared" si="7"/>
        <v>NOP,2017-18</v>
      </c>
    </row>
    <row r="1991">
      <c r="A1991" s="161" t="str">
        <f>IFERROR(__xludf.DUMMYFUNCTION("""COMPUTED_VALUE"""),"lowryky01")</f>
        <v>lowryky01</v>
      </c>
      <c r="B1991" s="161" t="str">
        <f>IFERROR(__xludf.DUMMYFUNCTION("""COMPUTED_VALUE"""),"Kyle Lowry")</f>
        <v>Kyle Lowry</v>
      </c>
      <c r="C1991" s="162" t="str">
        <f>IFERROR(__xludf.DUMMYFUNCTION("""COMPUTED_VALUE"""),"2017-18")</f>
        <v>2017-18</v>
      </c>
      <c r="D1991" s="163" t="str">
        <f>IFERROR(__xludf.DUMMYFUNCTION("""COMPUTED_VALUE"""),"TOR")</f>
        <v>TOR</v>
      </c>
      <c r="E1991" s="164" t="str">
        <f>IFERROR(__xludf.DUMMYFUNCTION("""COMPUTED_VALUE"""),"Primary Ball Handler")</f>
        <v>Primary Ball Handler</v>
      </c>
      <c r="F1991" s="164">
        <f>IFERROR(__xludf.DUMMYFUNCTION("""COMPUTED_VALUE"""),2509.60666666667)</f>
        <v>2509.606667</v>
      </c>
      <c r="G1991" s="163">
        <f>IFERROR(__xludf.DUMMYFUNCTION("""COMPUTED_VALUE"""),78.0)</f>
        <v>78</v>
      </c>
      <c r="H1991" s="163" t="str">
        <f>IFERROR(__xludf.DUMMYFUNCTION("""COMPUTED_VALUE"""),"PG")</f>
        <v>PG</v>
      </c>
      <c r="I1991" s="163">
        <f>IFERROR(__xludf.DUMMYFUNCTION("""COMPUTED_VALUE"""),31.0)</f>
        <v>31</v>
      </c>
      <c r="J1991" s="165">
        <f>IFERROR(__xludf.DUMMYFUNCTION("""COMPUTED_VALUE"""),3.85742682813259)</f>
        <v>3.857426828</v>
      </c>
      <c r="K1991" s="165">
        <f>IFERROR(__xludf.DUMMYFUNCTION("""COMPUTED_VALUE"""),3.02223000394016)</f>
        <v>3.022230004</v>
      </c>
      <c r="L1991" s="165">
        <f>IFERROR(__xludf.DUMMYFUNCTION("""COMPUTED_VALUE"""),0.835196824192431)</f>
        <v>0.8351968242</v>
      </c>
      <c r="M1991" s="166">
        <f t="shared" si="2"/>
        <v>10.26390308</v>
      </c>
      <c r="N1991" s="167">
        <f t="shared" si="3"/>
        <v>32.17444444</v>
      </c>
      <c r="O1991" s="163">
        <f t="shared" ref="O1991:Q1991" si="1995">rank(I1991,I:I)</f>
        <v>490</v>
      </c>
      <c r="P1991" s="163">
        <f t="shared" si="1995"/>
        <v>103</v>
      </c>
      <c r="Q1991" s="163">
        <f t="shared" si="1995"/>
        <v>120</v>
      </c>
      <c r="R1991" s="163">
        <f>IFERROR(__xludf.DUMMYFUNCTION("RANK(M1991,filter(M:M,C:C=C1991))"),12.0)</f>
        <v>12</v>
      </c>
      <c r="S1991" s="161" t="b">
        <f t="shared" si="5"/>
        <v>0</v>
      </c>
      <c r="T1991" s="161" t="b">
        <f t="array" ref="T1991">index('Query Tool'!B:B,match(H1991,'Query Tool'!C:C,0))</f>
        <v>1</v>
      </c>
      <c r="U1991" s="161" t="b">
        <f t="array" ref="U1991">index('Query Tool'!B:B,match(C1991,'Query Tool'!C:C,0))</f>
        <v>0</v>
      </c>
      <c r="V1991" s="161" t="b">
        <f>F1991&gt;='Query Tool'!C$32</f>
        <v>1</v>
      </c>
      <c r="W1991" s="161" t="b">
        <f t="array" ref="W1991">index(Dropdowns!B:B,match(I1991,Dropdowns!A:A,0))</f>
        <v>1</v>
      </c>
      <c r="X1991" s="161" t="b">
        <f t="array" ref="X1991">index('Query Tool'!B:B,match(D1991,'Query Tool'!C:C,0))</f>
        <v>1</v>
      </c>
      <c r="Y1991" s="161" t="str">
        <f t="shared" si="6"/>
        <v>lowryky01,2017-18</v>
      </c>
      <c r="Z1991" s="168">
        <f t="array" ref="Z1991">iferror(index(I:I,match($A1991&amp;","&amp;index('Year Conversion'!$A:$A,match($C1991,'Year Conversion'!$B:$B,0)),$Y:$Y,0))-I1991,"")</f>
        <v>1</v>
      </c>
      <c r="AA1991" s="168">
        <f t="array" ref="AA1991">iferror(index(J:J,match($A1991&amp;","&amp;index('Year Conversion'!$A:$A,match($C1991,'Year Conversion'!$B:$B,0)),$Y:$Y,0))-J1991,"")</f>
        <v>-0.4636957714</v>
      </c>
      <c r="AB1991" s="168">
        <f t="array" ref="AB1991">iferror(index(K:K,match($A1991&amp;","&amp;index('Year Conversion'!$A:$A,match($C1991,'Year Conversion'!$B:$B,0)),$Y:$Y,0))-K1991,"")</f>
        <v>-0.5542509774</v>
      </c>
      <c r="AC1991" s="168" t="str">
        <f t="shared" si="7"/>
        <v>TOR,2017-18</v>
      </c>
    </row>
    <row r="1992">
      <c r="A1992" s="161" t="str">
        <f>IFERROR(__xludf.DUMMYFUNCTION("""COMPUTED_VALUE"""),"tuckepj01")</f>
        <v>tuckepj01</v>
      </c>
      <c r="B1992" s="161" t="str">
        <f>IFERROR(__xludf.DUMMYFUNCTION("""COMPUTED_VALUE"""),"P.J. Tucker")</f>
        <v>P.J. Tucker</v>
      </c>
      <c r="C1992" s="162" t="str">
        <f>IFERROR(__xludf.DUMMYFUNCTION("""COMPUTED_VALUE"""),"2017-18")</f>
        <v>2017-18</v>
      </c>
      <c r="D1992" s="163" t="str">
        <f>IFERROR(__xludf.DUMMYFUNCTION("""COMPUTED_VALUE"""),"HOU")</f>
        <v>HOU</v>
      </c>
      <c r="E1992" s="164" t="str">
        <f>IFERROR(__xludf.DUMMYFUNCTION("""COMPUTED_VALUE"""),"Stationary Shooter")</f>
        <v>Stationary Shooter</v>
      </c>
      <c r="F1992" s="164">
        <f>IFERROR(__xludf.DUMMYFUNCTION("""COMPUTED_VALUE"""),2281.18666666667)</f>
        <v>2281.186667</v>
      </c>
      <c r="G1992" s="163">
        <f>IFERROR(__xludf.DUMMYFUNCTION("""COMPUTED_VALUE"""),82.0)</f>
        <v>82</v>
      </c>
      <c r="H1992" s="163" t="str">
        <f>IFERROR(__xludf.DUMMYFUNCTION("""COMPUTED_VALUE"""),"PF")</f>
        <v>PF</v>
      </c>
      <c r="I1992" s="163">
        <f>IFERROR(__xludf.DUMMYFUNCTION("""COMPUTED_VALUE"""),32.0)</f>
        <v>32</v>
      </c>
      <c r="J1992" s="165">
        <f>IFERROR(__xludf.DUMMYFUNCTION("""COMPUTED_VALUE"""),0.417081848642015)</f>
        <v>0.4170818486</v>
      </c>
      <c r="K1992" s="165">
        <f>IFERROR(__xludf.DUMMYFUNCTION("""COMPUTED_VALUE"""),-0.352081255485418)</f>
        <v>-0.3520812555</v>
      </c>
      <c r="L1992" s="165">
        <f>IFERROR(__xludf.DUMMYFUNCTION("""COMPUTED_VALUE"""),0.769163104127433)</f>
        <v>0.7691631041</v>
      </c>
      <c r="M1992" s="166">
        <f t="shared" si="2"/>
        <v>4.158126681</v>
      </c>
      <c r="N1992" s="167">
        <f t="shared" si="3"/>
        <v>27.81934959</v>
      </c>
      <c r="O1992" s="163">
        <f t="shared" ref="O1992:Q1992" si="1996">rank(I1992,I:I)</f>
        <v>359</v>
      </c>
      <c r="P1992" s="163">
        <f t="shared" si="1996"/>
        <v>940</v>
      </c>
      <c r="Q1992" s="163">
        <f t="shared" si="1996"/>
        <v>1858</v>
      </c>
      <c r="R1992" s="163">
        <f>IFERROR(__xludf.DUMMYFUNCTION("RANK(M1992,filter(M:M,C:C=C1992))"),80.0)</f>
        <v>80</v>
      </c>
      <c r="S1992" s="161" t="b">
        <f t="shared" si="5"/>
        <v>0</v>
      </c>
      <c r="T1992" s="161" t="b">
        <f t="array" ref="T1992">index('Query Tool'!B:B,match(H1992,'Query Tool'!C:C,0))</f>
        <v>1</v>
      </c>
      <c r="U1992" s="161" t="b">
        <f t="array" ref="U1992">index('Query Tool'!B:B,match(C1992,'Query Tool'!C:C,0))</f>
        <v>0</v>
      </c>
      <c r="V1992" s="161" t="b">
        <f>F1992&gt;='Query Tool'!C$32</f>
        <v>1</v>
      </c>
      <c r="W1992" s="161" t="b">
        <f t="array" ref="W1992">index(Dropdowns!B:B,match(I1992,Dropdowns!A:A,0))</f>
        <v>1</v>
      </c>
      <c r="X1992" s="161" t="b">
        <f t="array" ref="X1992">index('Query Tool'!B:B,match(D1992,'Query Tool'!C:C,0))</f>
        <v>1</v>
      </c>
      <c r="Y1992" s="161" t="str">
        <f t="shared" si="6"/>
        <v>tuckepj01,2017-18</v>
      </c>
      <c r="Z1992" s="168">
        <f t="array" ref="Z1992">iferror(index(I:I,match($A1992&amp;","&amp;index('Year Conversion'!$A:$A,match($C1992,'Year Conversion'!$B:$B,0)),$Y:$Y,0))-I1992,"")</f>
        <v>1</v>
      </c>
      <c r="AA1992" s="168">
        <f t="array" ref="AA1992">iferror(index(J:J,match($A1992&amp;","&amp;index('Year Conversion'!$A:$A,match($C1992,'Year Conversion'!$B:$B,0)),$Y:$Y,0))-J1992,"")</f>
        <v>-0.9320468725</v>
      </c>
      <c r="AB1992" s="168">
        <f t="array" ref="AB1992">iferror(index(K:K,match($A1992&amp;","&amp;index('Year Conversion'!$A:$A,match($C1992,'Year Conversion'!$B:$B,0)),$Y:$Y,0))-K1992,"")</f>
        <v>-1.167603649</v>
      </c>
      <c r="AC1992" s="168" t="str">
        <f t="shared" si="7"/>
        <v>HOU,2017-18</v>
      </c>
    </row>
    <row r="1993">
      <c r="A1993" s="161" t="str">
        <f>IFERROR(__xludf.DUMMYFUNCTION("""COMPUTED_VALUE"""),"millspa01")</f>
        <v>millspa01</v>
      </c>
      <c r="B1993" s="161" t="str">
        <f>IFERROR(__xludf.DUMMYFUNCTION("""COMPUTED_VALUE"""),"Paul Millsap")</f>
        <v>Paul Millsap</v>
      </c>
      <c r="C1993" s="162" t="str">
        <f>IFERROR(__xludf.DUMMYFUNCTION("""COMPUTED_VALUE"""),"2017-18")</f>
        <v>2017-18</v>
      </c>
      <c r="D1993" s="163" t="str">
        <f>IFERROR(__xludf.DUMMYFUNCTION("""COMPUTED_VALUE"""),"DEN")</f>
        <v>DEN</v>
      </c>
      <c r="E1993" s="164" t="str">
        <f>IFERROR(__xludf.DUMMYFUNCTION("""COMPUTED_VALUE"""),"Versatile Big")</f>
        <v>Versatile Big</v>
      </c>
      <c r="F1993" s="164">
        <f>IFERROR(__xludf.DUMMYFUNCTION("""COMPUTED_VALUE"""),1143.47666666667)</f>
        <v>1143.476667</v>
      </c>
      <c r="G1993" s="163">
        <f>IFERROR(__xludf.DUMMYFUNCTION("""COMPUTED_VALUE"""),38.0)</f>
        <v>38</v>
      </c>
      <c r="H1993" s="163" t="str">
        <f>IFERROR(__xludf.DUMMYFUNCTION("""COMPUTED_VALUE"""),"PF")</f>
        <v>PF</v>
      </c>
      <c r="I1993" s="163">
        <f>IFERROR(__xludf.DUMMYFUNCTION("""COMPUTED_VALUE"""),32.0)</f>
        <v>32</v>
      </c>
      <c r="J1993" s="165">
        <f>IFERROR(__xludf.DUMMYFUNCTION("""COMPUTED_VALUE"""),0.890090158615549)</f>
        <v>0.8900901586</v>
      </c>
      <c r="K1993" s="165">
        <f>IFERROR(__xludf.DUMMYFUNCTION("""COMPUTED_VALUE"""),0.116668962104238)</f>
        <v>0.1166689621</v>
      </c>
      <c r="L1993" s="165">
        <f>IFERROR(__xludf.DUMMYFUNCTION("""COMPUTED_VALUE"""),0.773421196511312)</f>
        <v>0.7734211965</v>
      </c>
      <c r="M1993" s="166">
        <f t="shared" si="2"/>
        <v>2.448294234</v>
      </c>
      <c r="N1993" s="167">
        <f t="shared" si="3"/>
        <v>30.09149123</v>
      </c>
      <c r="O1993" s="163">
        <f t="shared" ref="O1993:Q1993" si="1997">rank(I1993,I:I)</f>
        <v>359</v>
      </c>
      <c r="P1993" s="163">
        <f t="shared" si="1997"/>
        <v>701</v>
      </c>
      <c r="Q1993" s="163">
        <f t="shared" si="1997"/>
        <v>1050</v>
      </c>
      <c r="R1993" s="163">
        <f>IFERROR(__xludf.DUMMYFUNCTION("RANK(M1993,filter(M:M,C:C=C1993))"),134.0)</f>
        <v>134</v>
      </c>
      <c r="S1993" s="161" t="b">
        <f t="shared" si="5"/>
        <v>0</v>
      </c>
      <c r="T1993" s="161" t="b">
        <f t="array" ref="T1993">index('Query Tool'!B:B,match(H1993,'Query Tool'!C:C,0))</f>
        <v>1</v>
      </c>
      <c r="U1993" s="161" t="b">
        <f t="array" ref="U1993">index('Query Tool'!B:B,match(C1993,'Query Tool'!C:C,0))</f>
        <v>0</v>
      </c>
      <c r="V1993" s="161" t="b">
        <f>F1993&gt;='Query Tool'!C$32</f>
        <v>1</v>
      </c>
      <c r="W1993" s="161" t="b">
        <f t="array" ref="W1993">index(Dropdowns!B:B,match(I1993,Dropdowns!A:A,0))</f>
        <v>1</v>
      </c>
      <c r="X1993" s="161" t="b">
        <f t="array" ref="X1993">index('Query Tool'!B:B,match(D1993,'Query Tool'!C:C,0))</f>
        <v>1</v>
      </c>
      <c r="Y1993" s="161" t="str">
        <f t="shared" si="6"/>
        <v>millspa01,2017-18</v>
      </c>
      <c r="Z1993" s="168">
        <f t="array" ref="Z1993">iferror(index(I:I,match($A1993&amp;","&amp;index('Year Conversion'!$A:$A,match($C1993,'Year Conversion'!$B:$B,0)),$Y:$Y,0))-I1993,"")</f>
        <v>1</v>
      </c>
      <c r="AA1993" s="168">
        <f t="array" ref="AA1993">iferror(index(J:J,match($A1993&amp;","&amp;index('Year Conversion'!$A:$A,match($C1993,'Year Conversion'!$B:$B,0)),$Y:$Y,0))-J1993,"")</f>
        <v>1.535265566</v>
      </c>
      <c r="AB1993" s="168">
        <f t="array" ref="AB1993">iferror(index(K:K,match($A1993&amp;","&amp;index('Year Conversion'!$A:$A,match($C1993,'Year Conversion'!$B:$B,0)),$Y:$Y,0))-K1993,"")</f>
        <v>0.9920868203</v>
      </c>
      <c r="AC1993" s="168" t="str">
        <f t="shared" si="7"/>
        <v>DEN,2017-18</v>
      </c>
    </row>
    <row r="1994">
      <c r="A1994" s="161" t="str">
        <f>IFERROR(__xludf.DUMMYFUNCTION("""COMPUTED_VALUE"""),"bareajo01")</f>
        <v>bareajo01</v>
      </c>
      <c r="B1994" s="161" t="str">
        <f>IFERROR(__xludf.DUMMYFUNCTION("""COMPUTED_VALUE"""),"J.J. Barea")</f>
        <v>J.J. Barea</v>
      </c>
      <c r="C1994" s="162" t="str">
        <f>IFERROR(__xludf.DUMMYFUNCTION("""COMPUTED_VALUE"""),"2017-18")</f>
        <v>2017-18</v>
      </c>
      <c r="D1994" s="163" t="str">
        <f>IFERROR(__xludf.DUMMYFUNCTION("""COMPUTED_VALUE"""),"DAL")</f>
        <v>DAL</v>
      </c>
      <c r="E1994" s="164" t="str">
        <f>IFERROR(__xludf.DUMMYFUNCTION("""COMPUTED_VALUE"""),"Primary Ball Handler")</f>
        <v>Primary Ball Handler</v>
      </c>
      <c r="F1994" s="164">
        <f>IFERROR(__xludf.DUMMYFUNCTION("""COMPUTED_VALUE"""),1603.26166666667)</f>
        <v>1603.261667</v>
      </c>
      <c r="G1994" s="163">
        <f>IFERROR(__xludf.DUMMYFUNCTION("""COMPUTED_VALUE"""),69.0)</f>
        <v>69</v>
      </c>
      <c r="H1994" s="163" t="str">
        <f>IFERROR(__xludf.DUMMYFUNCTION("""COMPUTED_VALUE"""),"PG")</f>
        <v>PG</v>
      </c>
      <c r="I1994" s="163">
        <f>IFERROR(__xludf.DUMMYFUNCTION("""COMPUTED_VALUE"""),33.0)</f>
        <v>33</v>
      </c>
      <c r="J1994" s="165">
        <f>IFERROR(__xludf.DUMMYFUNCTION("""COMPUTED_VALUE"""),0.805308605807788)</f>
        <v>0.8053086058</v>
      </c>
      <c r="K1994" s="165">
        <f>IFERROR(__xludf.DUMMYFUNCTION("""COMPUTED_VALUE"""),1.84482531333242)</f>
        <v>1.844825313</v>
      </c>
      <c r="L1994" s="165">
        <f>IFERROR(__xludf.DUMMYFUNCTION("""COMPUTED_VALUE"""),-1.03951670752463)</f>
        <v>-1.039516708</v>
      </c>
      <c r="M1994" s="166">
        <f t="shared" si="2"/>
        <v>3.341371941</v>
      </c>
      <c r="N1994" s="167">
        <f t="shared" si="3"/>
        <v>23.23567633</v>
      </c>
      <c r="O1994" s="163">
        <f t="shared" ref="O1994:Q1994" si="1998">rank(I1994,I:I)</f>
        <v>246</v>
      </c>
      <c r="P1994" s="163">
        <f t="shared" si="1998"/>
        <v>738</v>
      </c>
      <c r="Q1994" s="163">
        <f t="shared" si="1998"/>
        <v>253</v>
      </c>
      <c r="R1994" s="163">
        <f>IFERROR(__xludf.DUMMYFUNCTION("RANK(M1994,filter(M:M,C:C=C1994))"),102.0)</f>
        <v>102</v>
      </c>
      <c r="S1994" s="161" t="b">
        <f t="shared" si="5"/>
        <v>0</v>
      </c>
      <c r="T1994" s="161" t="b">
        <f t="array" ref="T1994">index('Query Tool'!B:B,match(H1994,'Query Tool'!C:C,0))</f>
        <v>1</v>
      </c>
      <c r="U1994" s="161" t="b">
        <f t="array" ref="U1994">index('Query Tool'!B:B,match(C1994,'Query Tool'!C:C,0))</f>
        <v>0</v>
      </c>
      <c r="V1994" s="161" t="b">
        <f>F1994&gt;='Query Tool'!C$32</f>
        <v>1</v>
      </c>
      <c r="W1994" s="161" t="b">
        <f t="array" ref="W1994">index(Dropdowns!B:B,match(I1994,Dropdowns!A:A,0))</f>
        <v>1</v>
      </c>
      <c r="X1994" s="161" t="b">
        <f t="array" ref="X1994">index('Query Tool'!B:B,match(D1994,'Query Tool'!C:C,0))</f>
        <v>1</v>
      </c>
      <c r="Y1994" s="161" t="str">
        <f t="shared" si="6"/>
        <v>bareajo01,2017-18</v>
      </c>
      <c r="Z1994" s="168">
        <f t="array" ref="Z1994">iferror(index(I:I,match($A1994&amp;","&amp;index('Year Conversion'!$A:$A,match($C1994,'Year Conversion'!$B:$B,0)),$Y:$Y,0))-I1994,"")</f>
        <v>1</v>
      </c>
      <c r="AA1994" s="168">
        <f t="array" ref="AA1994">iferror(index(J:J,match($A1994&amp;","&amp;index('Year Conversion'!$A:$A,match($C1994,'Year Conversion'!$B:$B,0)),$Y:$Y,0))-J1994,"")</f>
        <v>0.7055778704</v>
      </c>
      <c r="AB1994" s="168">
        <f t="array" ref="AB1994">iferror(index(K:K,match($A1994&amp;","&amp;index('Year Conversion'!$A:$A,match($C1994,'Year Conversion'!$B:$B,0)),$Y:$Y,0))-K1994,"")</f>
        <v>0.3328387166</v>
      </c>
      <c r="AC1994" s="168" t="str">
        <f t="shared" si="7"/>
        <v>DAL,2017-18</v>
      </c>
    </row>
    <row r="1995">
      <c r="A1995" s="161" t="str">
        <f>IFERROR(__xludf.DUMMYFUNCTION("""COMPUTED_VALUE"""),"duranke01")</f>
        <v>duranke01</v>
      </c>
      <c r="B1995" s="161" t="str">
        <f>IFERROR(__xludf.DUMMYFUNCTION("""COMPUTED_VALUE"""),"Kevin Durant")</f>
        <v>Kevin Durant</v>
      </c>
      <c r="C1995" s="162" t="str">
        <f>IFERROR(__xludf.DUMMYFUNCTION("""COMPUTED_VALUE"""),"2017-18")</f>
        <v>2017-18</v>
      </c>
      <c r="D1995" s="163" t="str">
        <f>IFERROR(__xludf.DUMMYFUNCTION("""COMPUTED_VALUE"""),"GSW")</f>
        <v>GSW</v>
      </c>
      <c r="E1995" s="164" t="str">
        <f>IFERROR(__xludf.DUMMYFUNCTION("""COMPUTED_VALUE"""),"Shot Creator")</f>
        <v>Shot Creator</v>
      </c>
      <c r="F1995" s="164">
        <f>IFERROR(__xludf.DUMMYFUNCTION("""COMPUTED_VALUE"""),2325.095)</f>
        <v>2325.095</v>
      </c>
      <c r="G1995" s="163">
        <f>IFERROR(__xludf.DUMMYFUNCTION("""COMPUTED_VALUE"""),68.0)</f>
        <v>68</v>
      </c>
      <c r="H1995" s="163" t="str">
        <f>IFERROR(__xludf.DUMMYFUNCTION("""COMPUTED_VALUE"""),"SF")</f>
        <v>SF</v>
      </c>
      <c r="I1995" s="163">
        <f>IFERROR(__xludf.DUMMYFUNCTION("""COMPUTED_VALUE"""),29.0)</f>
        <v>29</v>
      </c>
      <c r="J1995" s="165">
        <f>IFERROR(__xludf.DUMMYFUNCTION("""COMPUTED_VALUE"""),3.75821820358369)</f>
        <v>3.758218204</v>
      </c>
      <c r="K1995" s="165">
        <f>IFERROR(__xludf.DUMMYFUNCTION("""COMPUTED_VALUE"""),4.07587822945394)</f>
        <v>4.075878229</v>
      </c>
      <c r="L1995" s="165">
        <f>IFERROR(__xludf.DUMMYFUNCTION("""COMPUTED_VALUE"""),-0.317660025870247)</f>
        <v>-0.3176600259</v>
      </c>
      <c r="M1995" s="166">
        <f t="shared" si="2"/>
        <v>9.362796545</v>
      </c>
      <c r="N1995" s="167">
        <f t="shared" si="3"/>
        <v>34.19257353</v>
      </c>
      <c r="O1995" s="163">
        <f t="shared" ref="O1995:Q1995" si="1999">rank(I1995,I:I)</f>
        <v>855</v>
      </c>
      <c r="P1995" s="163">
        <f t="shared" si="1999"/>
        <v>113</v>
      </c>
      <c r="Q1995" s="163">
        <f t="shared" si="1999"/>
        <v>59</v>
      </c>
      <c r="R1995" s="163">
        <f>IFERROR(__xludf.DUMMYFUNCTION("RANK(M1995,filter(M:M,C:C=C1995))"),14.0)</f>
        <v>14</v>
      </c>
      <c r="S1995" s="161" t="b">
        <f t="shared" si="5"/>
        <v>0</v>
      </c>
      <c r="T1995" s="161" t="b">
        <f t="array" ref="T1995">index('Query Tool'!B:B,match(H1995,'Query Tool'!C:C,0))</f>
        <v>1</v>
      </c>
      <c r="U1995" s="161" t="b">
        <f t="array" ref="U1995">index('Query Tool'!B:B,match(C1995,'Query Tool'!C:C,0))</f>
        <v>0</v>
      </c>
      <c r="V1995" s="161" t="b">
        <f>F1995&gt;='Query Tool'!C$32</f>
        <v>1</v>
      </c>
      <c r="W1995" s="161" t="b">
        <f t="array" ref="W1995">index(Dropdowns!B:B,match(I1995,Dropdowns!A:A,0))</f>
        <v>1</v>
      </c>
      <c r="X1995" s="161" t="b">
        <f t="array" ref="X1995">index('Query Tool'!B:B,match(D1995,'Query Tool'!C:C,0))</f>
        <v>1</v>
      </c>
      <c r="Y1995" s="161" t="str">
        <f t="shared" si="6"/>
        <v>duranke01,2017-18</v>
      </c>
      <c r="Z1995" s="168">
        <f t="array" ref="Z1995">iferror(index(I:I,match($A1995&amp;","&amp;index('Year Conversion'!$A:$A,match($C1995,'Year Conversion'!$B:$B,0)),$Y:$Y,0))-I1995,"")</f>
        <v>1</v>
      </c>
      <c r="AA1995" s="168">
        <f t="array" ref="AA1995">iferror(index(J:J,match($A1995&amp;","&amp;index('Year Conversion'!$A:$A,match($C1995,'Year Conversion'!$B:$B,0)),$Y:$Y,0))-J1995,"")</f>
        <v>1.452873674</v>
      </c>
      <c r="AB1995" s="168">
        <f t="array" ref="AB1995">iferror(index(K:K,match($A1995&amp;","&amp;index('Year Conversion'!$A:$A,match($C1995,'Year Conversion'!$B:$B,0)),$Y:$Y,0))-K1995,"")</f>
        <v>0.3692752263</v>
      </c>
      <c r="AC1995" s="168" t="str">
        <f t="shared" si="7"/>
        <v>GSW,2017-18</v>
      </c>
    </row>
    <row r="1996">
      <c r="A1996" s="161" t="str">
        <f>IFERROR(__xludf.DUMMYFUNCTION("""COMPUTED_VALUE"""),"horfoal01")</f>
        <v>horfoal01</v>
      </c>
      <c r="B1996" s="161" t="str">
        <f>IFERROR(__xludf.DUMMYFUNCTION("""COMPUTED_VALUE"""),"Al Horford")</f>
        <v>Al Horford</v>
      </c>
      <c r="C1996" s="162" t="str">
        <f>IFERROR(__xludf.DUMMYFUNCTION("""COMPUTED_VALUE"""),"2017-18")</f>
        <v>2017-18</v>
      </c>
      <c r="D1996" s="163" t="str">
        <f>IFERROR(__xludf.DUMMYFUNCTION("""COMPUTED_VALUE"""),"BOS")</f>
        <v>BOS</v>
      </c>
      <c r="E1996" s="164" t="str">
        <f>IFERROR(__xludf.DUMMYFUNCTION("""COMPUTED_VALUE"""),"Versatile Big")</f>
        <v>Versatile Big</v>
      </c>
      <c r="F1996" s="164">
        <f>IFERROR(__xludf.DUMMYFUNCTION("""COMPUTED_VALUE"""),2277.025)</f>
        <v>2277.025</v>
      </c>
      <c r="G1996" s="163">
        <f>IFERROR(__xludf.DUMMYFUNCTION("""COMPUTED_VALUE"""),72.0)</f>
        <v>72</v>
      </c>
      <c r="H1996" s="163" t="str">
        <f>IFERROR(__xludf.DUMMYFUNCTION("""COMPUTED_VALUE"""),"C")</f>
        <v>C</v>
      </c>
      <c r="I1996" s="163">
        <f>IFERROR(__xludf.DUMMYFUNCTION("""COMPUTED_VALUE"""),31.0)</f>
        <v>31</v>
      </c>
      <c r="J1996" s="165">
        <f>IFERROR(__xludf.DUMMYFUNCTION("""COMPUTED_VALUE"""),1.93152729887557)</f>
        <v>1.931527299</v>
      </c>
      <c r="K1996" s="165">
        <f>IFERROR(__xludf.DUMMYFUNCTION("""COMPUTED_VALUE"""),0.0418378806891588)</f>
        <v>0.04183788069</v>
      </c>
      <c r="L1996" s="165">
        <f>IFERROR(__xludf.DUMMYFUNCTION("""COMPUTED_VALUE"""),1.88968941818641)</f>
        <v>1.889689418</v>
      </c>
      <c r="M1996" s="166">
        <f t="shared" si="2"/>
        <v>6.460318988</v>
      </c>
      <c r="N1996" s="167">
        <f t="shared" si="3"/>
        <v>31.62534722</v>
      </c>
      <c r="O1996" s="163">
        <f t="shared" ref="O1996:Q1996" si="2000">rank(I1996,I:I)</f>
        <v>490</v>
      </c>
      <c r="P1996" s="163">
        <f t="shared" si="2000"/>
        <v>338</v>
      </c>
      <c r="Q1996" s="163">
        <f t="shared" si="2000"/>
        <v>1137</v>
      </c>
      <c r="R1996" s="163">
        <f>IFERROR(__xludf.DUMMYFUNCTION("RANK(M1996,filter(M:M,C:C=C1996))"),36.0)</f>
        <v>36</v>
      </c>
      <c r="S1996" s="161" t="b">
        <f t="shared" si="5"/>
        <v>0</v>
      </c>
      <c r="T1996" s="161" t="b">
        <f t="array" ref="T1996">index('Query Tool'!B:B,match(H1996,'Query Tool'!C:C,0))</f>
        <v>1</v>
      </c>
      <c r="U1996" s="161" t="b">
        <f t="array" ref="U1996">index('Query Tool'!B:B,match(C1996,'Query Tool'!C:C,0))</f>
        <v>0</v>
      </c>
      <c r="V1996" s="161" t="b">
        <f>F1996&gt;='Query Tool'!C$32</f>
        <v>1</v>
      </c>
      <c r="W1996" s="161" t="b">
        <f t="array" ref="W1996">index(Dropdowns!B:B,match(I1996,Dropdowns!A:A,0))</f>
        <v>1</v>
      </c>
      <c r="X1996" s="161" t="b">
        <f t="array" ref="X1996">index('Query Tool'!B:B,match(D1996,'Query Tool'!C:C,0))</f>
        <v>1</v>
      </c>
      <c r="Y1996" s="161" t="str">
        <f t="shared" si="6"/>
        <v>horfoal01,2017-18</v>
      </c>
      <c r="Z1996" s="168">
        <f t="array" ref="Z1996">iferror(index(I:I,match($A1996&amp;","&amp;index('Year Conversion'!$A:$A,match($C1996,'Year Conversion'!$B:$B,0)),$Y:$Y,0))-I1996,"")</f>
        <v>1</v>
      </c>
      <c r="AA1996" s="168">
        <f t="array" ref="AA1996">iferror(index(J:J,match($A1996&amp;","&amp;index('Year Conversion'!$A:$A,match($C1996,'Year Conversion'!$B:$B,0)),$Y:$Y,0))-J1996,"")</f>
        <v>0.5209778422</v>
      </c>
      <c r="AB1996" s="168">
        <f t="array" ref="AB1996">iferror(index(K:K,match($A1996&amp;","&amp;index('Year Conversion'!$A:$A,match($C1996,'Year Conversion'!$B:$B,0)),$Y:$Y,0))-K1996,"")</f>
        <v>1.359424578</v>
      </c>
      <c r="AC1996" s="168" t="str">
        <f t="shared" si="7"/>
        <v>BOS,2017-18</v>
      </c>
    </row>
    <row r="1997">
      <c r="A1997" s="161" t="str">
        <f>IFERROR(__xludf.DUMMYFUNCTION("""COMPUTED_VALUE"""),"conlemi01")</f>
        <v>conlemi01</v>
      </c>
      <c r="B1997" s="161" t="str">
        <f>IFERROR(__xludf.DUMMYFUNCTION("""COMPUTED_VALUE"""),"Mike Conley")</f>
        <v>Mike Conley</v>
      </c>
      <c r="C1997" s="162" t="str">
        <f>IFERROR(__xludf.DUMMYFUNCTION("""COMPUTED_VALUE"""),"2017-18")</f>
        <v>2017-18</v>
      </c>
      <c r="D1997" s="163" t="str">
        <f>IFERROR(__xludf.DUMMYFUNCTION("""COMPUTED_VALUE"""),"MEM")</f>
        <v>MEM</v>
      </c>
      <c r="E1997" s="164" t="str">
        <f>IFERROR(__xludf.DUMMYFUNCTION("""COMPUTED_VALUE"""),"Shot Creator")</f>
        <v>Shot Creator</v>
      </c>
      <c r="F1997" s="164">
        <f>IFERROR(__xludf.DUMMYFUNCTION("""COMPUTED_VALUE"""),373.238333333333)</f>
        <v>373.2383333</v>
      </c>
      <c r="G1997" s="163">
        <f>IFERROR(__xludf.DUMMYFUNCTION("""COMPUTED_VALUE"""),12.0)</f>
        <v>12</v>
      </c>
      <c r="H1997" s="163" t="str">
        <f>IFERROR(__xludf.DUMMYFUNCTION("""COMPUTED_VALUE"""),"PG")</f>
        <v>PG</v>
      </c>
      <c r="I1997" s="163">
        <f>IFERROR(__xludf.DUMMYFUNCTION("""COMPUTED_VALUE"""),30.0)</f>
        <v>30</v>
      </c>
      <c r="J1997" s="165">
        <f>IFERROR(__xludf.DUMMYFUNCTION("""COMPUTED_VALUE"""),2.0539207849092)</f>
        <v>2.053920785</v>
      </c>
      <c r="K1997" s="165">
        <f>IFERROR(__xludf.DUMMYFUNCTION("""COMPUTED_VALUE"""),2.1836390703095)</f>
        <v>2.18363907</v>
      </c>
      <c r="L1997" s="165">
        <f>IFERROR(__xludf.DUMMYFUNCTION("""COMPUTED_VALUE"""),-0.129718285400297)</f>
        <v>-0.1297182854</v>
      </c>
      <c r="M1997" s="166">
        <f t="shared" si="2"/>
        <v>1.089236587</v>
      </c>
      <c r="N1997" s="167">
        <f t="shared" si="3"/>
        <v>31.10319444</v>
      </c>
      <c r="O1997" s="163">
        <f t="shared" ref="O1997:Q1997" si="2001">rank(I1997,I:I)</f>
        <v>655</v>
      </c>
      <c r="P1997" s="163">
        <f t="shared" si="2001"/>
        <v>304</v>
      </c>
      <c r="Q1997" s="163">
        <f t="shared" si="2001"/>
        <v>203</v>
      </c>
      <c r="R1997" s="163">
        <f>IFERROR(__xludf.DUMMYFUNCTION("RANK(M1997,filter(M:M,C:C=C1997))"),228.0)</f>
        <v>228</v>
      </c>
      <c r="S1997" s="161" t="b">
        <f t="shared" si="5"/>
        <v>0</v>
      </c>
      <c r="T1997" s="161" t="b">
        <f t="array" ref="T1997">index('Query Tool'!B:B,match(H1997,'Query Tool'!C:C,0))</f>
        <v>1</v>
      </c>
      <c r="U1997" s="161" t="b">
        <f t="array" ref="U1997">index('Query Tool'!B:B,match(C1997,'Query Tool'!C:C,0))</f>
        <v>0</v>
      </c>
      <c r="V1997" s="161" t="b">
        <f>F1997&gt;='Query Tool'!C$32</f>
        <v>0</v>
      </c>
      <c r="W1997" s="161" t="b">
        <f t="array" ref="W1997">index(Dropdowns!B:B,match(I1997,Dropdowns!A:A,0))</f>
        <v>1</v>
      </c>
      <c r="X1997" s="161" t="b">
        <f t="array" ref="X1997">index('Query Tool'!B:B,match(D1997,'Query Tool'!C:C,0))</f>
        <v>1</v>
      </c>
      <c r="Y1997" s="161" t="str">
        <f t="shared" si="6"/>
        <v>conlemi01,2017-18</v>
      </c>
      <c r="Z1997" s="168">
        <f t="array" ref="Z1997">iferror(index(I:I,match($A1997&amp;","&amp;index('Year Conversion'!$A:$A,match($C1997,'Year Conversion'!$B:$B,0)),$Y:$Y,0))-I1997,"")</f>
        <v>1</v>
      </c>
      <c r="AA1997" s="168">
        <f t="array" ref="AA1997">iferror(index(J:J,match($A1997&amp;","&amp;index('Year Conversion'!$A:$A,match($C1997,'Year Conversion'!$B:$B,0)),$Y:$Y,0))-J1997,"")</f>
        <v>1.729306601</v>
      </c>
      <c r="AB1997" s="168">
        <f t="array" ref="AB1997">iferror(index(K:K,match($A1997&amp;","&amp;index('Year Conversion'!$A:$A,match($C1997,'Year Conversion'!$B:$B,0)),$Y:$Y,0))-K1997,"")</f>
        <v>1.524691534</v>
      </c>
      <c r="AC1997" s="168" t="str">
        <f t="shared" si="7"/>
        <v>MEM,2017-18</v>
      </c>
    </row>
    <row r="1998">
      <c r="A1998" s="161" t="str">
        <f>IFERROR(__xludf.DUMMYFUNCTION("""COMPUTED_VALUE"""),"greenje02")</f>
        <v>greenje02</v>
      </c>
      <c r="B1998" s="161" t="str">
        <f>IFERROR(__xludf.DUMMYFUNCTION("""COMPUTED_VALUE"""),"Jeff Green")</f>
        <v>Jeff Green</v>
      </c>
      <c r="C1998" s="162" t="str">
        <f>IFERROR(__xludf.DUMMYFUNCTION("""COMPUTED_VALUE"""),"2017-18")</f>
        <v>2017-18</v>
      </c>
      <c r="D1998" s="163" t="str">
        <f>IFERROR(__xludf.DUMMYFUNCTION("""COMPUTED_VALUE"""),"CLE")</f>
        <v>CLE</v>
      </c>
      <c r="E1998" s="164" t="str">
        <f>IFERROR(__xludf.DUMMYFUNCTION("""COMPUTED_VALUE"""),"Stretch Big")</f>
        <v>Stretch Big</v>
      </c>
      <c r="F1998" s="164">
        <f>IFERROR(__xludf.DUMMYFUNCTION("""COMPUTED_VALUE"""),1827.8)</f>
        <v>1827.8</v>
      </c>
      <c r="G1998" s="163">
        <f>IFERROR(__xludf.DUMMYFUNCTION("""COMPUTED_VALUE"""),78.0)</f>
        <v>78</v>
      </c>
      <c r="H1998" s="163" t="str">
        <f>IFERROR(__xludf.DUMMYFUNCTION("""COMPUTED_VALUE"""),"PF")</f>
        <v>PF</v>
      </c>
      <c r="I1998" s="163">
        <f>IFERROR(__xludf.DUMMYFUNCTION("""COMPUTED_VALUE"""),31.0)</f>
        <v>31</v>
      </c>
      <c r="J1998" s="165">
        <f>IFERROR(__xludf.DUMMYFUNCTION("""COMPUTED_VALUE"""),-0.464141034567786)</f>
        <v>-0.4641410346</v>
      </c>
      <c r="K1998" s="165">
        <f>IFERROR(__xludf.DUMMYFUNCTION("""COMPUTED_VALUE"""),0.626319173333864)</f>
        <v>0.6263191733</v>
      </c>
      <c r="L1998" s="165">
        <f>IFERROR(__xludf.DUMMYFUNCTION("""COMPUTED_VALUE"""),-1.09046020790165)</f>
        <v>-1.090460208</v>
      </c>
      <c r="M1998" s="166">
        <f t="shared" si="2"/>
        <v>2.246075801</v>
      </c>
      <c r="N1998" s="167">
        <f t="shared" si="3"/>
        <v>23.43333333</v>
      </c>
      <c r="O1998" s="163">
        <f t="shared" ref="O1998:Q1998" si="2002">rank(I1998,I:I)</f>
        <v>490</v>
      </c>
      <c r="P1998" s="163">
        <f t="shared" si="2002"/>
        <v>1798</v>
      </c>
      <c r="Q1998" s="163">
        <f t="shared" si="2002"/>
        <v>691</v>
      </c>
      <c r="R1998" s="163">
        <f>IFERROR(__xludf.DUMMYFUNCTION("RANK(M1998,filter(M:M,C:C=C1998))"),146.0)</f>
        <v>146</v>
      </c>
      <c r="S1998" s="161" t="b">
        <f t="shared" si="5"/>
        <v>0</v>
      </c>
      <c r="T1998" s="161" t="b">
        <f t="array" ref="T1998">index('Query Tool'!B:B,match(H1998,'Query Tool'!C:C,0))</f>
        <v>1</v>
      </c>
      <c r="U1998" s="161" t="b">
        <f t="array" ref="U1998">index('Query Tool'!B:B,match(C1998,'Query Tool'!C:C,0))</f>
        <v>0</v>
      </c>
      <c r="V1998" s="161" t="b">
        <f>F1998&gt;='Query Tool'!C$32</f>
        <v>1</v>
      </c>
      <c r="W1998" s="161" t="b">
        <f t="array" ref="W1998">index(Dropdowns!B:B,match(I1998,Dropdowns!A:A,0))</f>
        <v>1</v>
      </c>
      <c r="X1998" s="161" t="b">
        <f t="array" ref="X1998">index('Query Tool'!B:B,match(D1998,'Query Tool'!C:C,0))</f>
        <v>1</v>
      </c>
      <c r="Y1998" s="161" t="str">
        <f t="shared" si="6"/>
        <v>greenje02,2017-18</v>
      </c>
      <c r="Z1998" s="168">
        <f t="array" ref="Z1998">iferror(index(I:I,match($A1998&amp;","&amp;index('Year Conversion'!$A:$A,match($C1998,'Year Conversion'!$B:$B,0)),$Y:$Y,0))-I1998,"")</f>
        <v>1</v>
      </c>
      <c r="AA1998" s="168">
        <f t="array" ref="AA1998">iferror(index(J:J,match($A1998&amp;","&amp;index('Year Conversion'!$A:$A,match($C1998,'Year Conversion'!$B:$B,0)),$Y:$Y,0))-J1998,"")</f>
        <v>-0.7393846538</v>
      </c>
      <c r="AB1998" s="168">
        <f t="array" ref="AB1998">iferror(index(K:K,match($A1998&amp;","&amp;index('Year Conversion'!$A:$A,match($C1998,'Year Conversion'!$B:$B,0)),$Y:$Y,0))-K1998,"")</f>
        <v>-0.9724177863</v>
      </c>
      <c r="AC1998" s="168" t="str">
        <f t="shared" si="7"/>
        <v>CLE,2017-18</v>
      </c>
    </row>
    <row r="1999">
      <c r="A1999" s="161" t="str">
        <f>IFERROR(__xludf.DUMMYFUNCTION("""COMPUTED_VALUE"""),"breweco01")</f>
        <v>breweco01</v>
      </c>
      <c r="B1999" s="161" t="str">
        <f>IFERROR(__xludf.DUMMYFUNCTION("""COMPUTED_VALUE"""),"Corey Brewer")</f>
        <v>Corey Brewer</v>
      </c>
      <c r="C1999" s="162" t="str">
        <f>IFERROR(__xludf.DUMMYFUNCTION("""COMPUTED_VALUE"""),"2017-18")</f>
        <v>2017-18</v>
      </c>
      <c r="D1999" s="163" t="str">
        <f>IFERROR(__xludf.DUMMYFUNCTION("""COMPUTED_VALUE"""),"TOT")</f>
        <v>TOT</v>
      </c>
      <c r="E1999" s="164" t="str">
        <f>IFERROR(__xludf.DUMMYFUNCTION("""COMPUTED_VALUE"""),"Athletic Finisher")</f>
        <v>Athletic Finisher</v>
      </c>
      <c r="F1999" s="164">
        <f>IFERROR(__xludf.DUMMYFUNCTION("""COMPUTED_VALUE"""),1208.51833333333)</f>
        <v>1208.518333</v>
      </c>
      <c r="G1999" s="163">
        <f>IFERROR(__xludf.DUMMYFUNCTION("""COMPUTED_VALUE"""),72.0)</f>
        <v>72</v>
      </c>
      <c r="H1999" s="163" t="str">
        <f>IFERROR(__xludf.DUMMYFUNCTION("""COMPUTED_VALUE"""),"SF-SG")</f>
        <v>SF-SG</v>
      </c>
      <c r="I1999" s="163">
        <f>IFERROR(__xludf.DUMMYFUNCTION("""COMPUTED_VALUE"""),31.0)</f>
        <v>31</v>
      </c>
      <c r="J1999" s="165">
        <f>IFERROR(__xludf.DUMMYFUNCTION("""COMPUTED_VALUE"""),-1.40465752791625)</f>
        <v>-1.404657528</v>
      </c>
      <c r="K1999" s="165">
        <f>IFERROR(__xludf.DUMMYFUNCTION("""COMPUTED_VALUE"""),-1.51513663039422)</f>
        <v>-1.51513663</v>
      </c>
      <c r="L1999" s="165">
        <f>IFERROR(__xludf.DUMMYFUNCTION("""COMPUTED_VALUE"""),0.11047910247797)</f>
        <v>0.1104791025</v>
      </c>
      <c r="M1999" s="166">
        <f t="shared" si="2"/>
        <v>0.7217852318</v>
      </c>
      <c r="N1999" s="167">
        <f t="shared" si="3"/>
        <v>16.78497685</v>
      </c>
      <c r="O1999" s="163">
        <f t="shared" ref="O1999:Q1999" si="2003">rank(I1999,I:I)</f>
        <v>490</v>
      </c>
      <c r="P1999" s="163">
        <f t="shared" si="2003"/>
        <v>2953</v>
      </c>
      <c r="Q1999" s="163">
        <f t="shared" si="2003"/>
        <v>3371</v>
      </c>
      <c r="R1999" s="163">
        <f>IFERROR(__xludf.DUMMYFUNCTION("RANK(M1999,filter(M:M,C:C=C1999))"),268.0)</f>
        <v>268</v>
      </c>
      <c r="S1999" s="161" t="b">
        <f t="shared" si="5"/>
        <v>0</v>
      </c>
      <c r="T1999" s="161" t="str">
        <f t="array" ref="T1999">index('Query Tool'!B:B,match(H1999,'Query Tool'!C:C,0))</f>
        <v>#N/A</v>
      </c>
      <c r="U1999" s="161" t="b">
        <f t="array" ref="U1999">index('Query Tool'!B:B,match(C1999,'Query Tool'!C:C,0))</f>
        <v>0</v>
      </c>
      <c r="V1999" s="161" t="b">
        <f>F1999&gt;='Query Tool'!C$32</f>
        <v>1</v>
      </c>
      <c r="W1999" s="161" t="b">
        <f t="array" ref="W1999">index(Dropdowns!B:B,match(I1999,Dropdowns!A:A,0))</f>
        <v>1</v>
      </c>
      <c r="X1999" s="161" t="b">
        <f t="array" ref="X1999">index('Query Tool'!B:B,match(D1999,'Query Tool'!C:C,0))</f>
        <v>1</v>
      </c>
      <c r="Y1999" s="161" t="str">
        <f t="shared" si="6"/>
        <v>breweco01,2017-18</v>
      </c>
      <c r="Z1999" s="168">
        <f t="array" ref="Z1999">iferror(index(I:I,match($A1999&amp;","&amp;index('Year Conversion'!$A:$A,match($C1999,'Year Conversion'!$B:$B,0)),$Y:$Y,0))-I1999,"")</f>
        <v>1</v>
      </c>
      <c r="AA1999" s="168">
        <f t="array" ref="AA1999">iferror(index(J:J,match($A1999&amp;","&amp;index('Year Conversion'!$A:$A,match($C1999,'Year Conversion'!$B:$B,0)),$Y:$Y,0))-J1999,"")</f>
        <v>0.476377111</v>
      </c>
      <c r="AB1999" s="168">
        <f t="array" ref="AB1999">iferror(index(K:K,match($A1999&amp;","&amp;index('Year Conversion'!$A:$A,match($C1999,'Year Conversion'!$B:$B,0)),$Y:$Y,0))-K1999,"")</f>
        <v>0.01907428548</v>
      </c>
      <c r="AC1999" s="168" t="str">
        <f t="shared" si="7"/>
        <v>TOT,2017-18</v>
      </c>
    </row>
    <row r="2000">
      <c r="A2000" s="161" t="str">
        <f>IFERROR(__xludf.DUMMYFUNCTION("""COMPUTED_VALUE"""),"wrighbr03")</f>
        <v>wrighbr03</v>
      </c>
      <c r="B2000" s="161" t="str">
        <f>IFERROR(__xludf.DUMMYFUNCTION("""COMPUTED_VALUE"""),"Brandan Wright")</f>
        <v>Brandan Wright</v>
      </c>
      <c r="C2000" s="162" t="str">
        <f>IFERROR(__xludf.DUMMYFUNCTION("""COMPUTED_VALUE"""),"2017-18")</f>
        <v>2017-18</v>
      </c>
      <c r="D2000" s="163" t="str">
        <f>IFERROR(__xludf.DUMMYFUNCTION("""COMPUTED_VALUE"""),"TOT")</f>
        <v>TOT</v>
      </c>
      <c r="E2000" s="164" t="str">
        <f>IFERROR(__xludf.DUMMYFUNCTION("""COMPUTED_VALUE"""),"Roll + Cut Big")</f>
        <v>Roll + Cut Big</v>
      </c>
      <c r="F2000" s="164">
        <f>IFERROR(__xludf.DUMMYFUNCTION("""COMPUTED_VALUE"""),380.875)</f>
        <v>380.875</v>
      </c>
      <c r="G2000" s="163">
        <f>IFERROR(__xludf.DUMMYFUNCTION("""COMPUTED_VALUE"""),28.0)</f>
        <v>28</v>
      </c>
      <c r="H2000" s="163" t="str">
        <f>IFERROR(__xludf.DUMMYFUNCTION("""COMPUTED_VALUE"""),"PF")</f>
        <v>PF</v>
      </c>
      <c r="I2000" s="163">
        <f>IFERROR(__xludf.DUMMYFUNCTION("""COMPUTED_VALUE"""),30.0)</f>
        <v>30</v>
      </c>
      <c r="J2000" s="165">
        <f>IFERROR(__xludf.DUMMYFUNCTION("""COMPUTED_VALUE"""),1.11506800058546)</f>
        <v>1.115068001</v>
      </c>
      <c r="K2000" s="165">
        <f>IFERROR(__xludf.DUMMYFUNCTION("""COMPUTED_VALUE"""),-0.424976061716726)</f>
        <v>-0.4249760617</v>
      </c>
      <c r="L2000" s="165">
        <f>IFERROR(__xludf.DUMMYFUNCTION("""COMPUTED_VALUE"""),1.54004406230219)</f>
        <v>1.540044062</v>
      </c>
      <c r="M2000" s="166">
        <f t="shared" si="2"/>
        <v>0.8730181858</v>
      </c>
      <c r="N2000" s="167">
        <f t="shared" si="3"/>
        <v>13.60267857</v>
      </c>
      <c r="O2000" s="163">
        <f t="shared" ref="O2000:Q2000" si="2004">rank(I2000,I:I)</f>
        <v>655</v>
      </c>
      <c r="P2000" s="163">
        <f t="shared" si="2004"/>
        <v>610</v>
      </c>
      <c r="Q2000" s="163">
        <f t="shared" si="2004"/>
        <v>1990</v>
      </c>
      <c r="R2000" s="163">
        <f>IFERROR(__xludf.DUMMYFUNCTION("RANK(M2000,filter(M:M,C:C=C2000))"),250.0)</f>
        <v>250</v>
      </c>
      <c r="S2000" s="161" t="b">
        <f t="shared" si="5"/>
        <v>0</v>
      </c>
      <c r="T2000" s="161" t="b">
        <f t="array" ref="T2000">index('Query Tool'!B:B,match(H2000,'Query Tool'!C:C,0))</f>
        <v>1</v>
      </c>
      <c r="U2000" s="161" t="b">
        <f t="array" ref="U2000">index('Query Tool'!B:B,match(C2000,'Query Tool'!C:C,0))</f>
        <v>0</v>
      </c>
      <c r="V2000" s="161" t="b">
        <f>F2000&gt;='Query Tool'!C$32</f>
        <v>0</v>
      </c>
      <c r="W2000" s="161" t="b">
        <f t="array" ref="W2000">index(Dropdowns!B:B,match(I2000,Dropdowns!A:A,0))</f>
        <v>1</v>
      </c>
      <c r="X2000" s="161" t="b">
        <f t="array" ref="X2000">index('Query Tool'!B:B,match(D2000,'Query Tool'!C:C,0))</f>
        <v>1</v>
      </c>
      <c r="Y2000" s="161" t="str">
        <f t="shared" si="6"/>
        <v>wrighbr03,2017-18</v>
      </c>
      <c r="Z2000" s="168" t="str">
        <f t="array" ref="Z2000">iferror(index(I:I,match($A2000&amp;","&amp;index('Year Conversion'!$A:$A,match($C2000,'Year Conversion'!$B:$B,0)),$Y:$Y,0))-I2000,"")</f>
        <v/>
      </c>
      <c r="AA2000" s="168" t="str">
        <f t="array" ref="AA2000">iferror(index(J:J,match($A2000&amp;","&amp;index('Year Conversion'!$A:$A,match($C2000,'Year Conversion'!$B:$B,0)),$Y:$Y,0))-J2000,"")</f>
        <v/>
      </c>
      <c r="AB2000" s="168" t="str">
        <f t="array" ref="AB2000">iferror(index(K:K,match($A2000&amp;","&amp;index('Year Conversion'!$A:$A,match($C2000,'Year Conversion'!$B:$B,0)),$Y:$Y,0))-K2000,"")</f>
        <v/>
      </c>
      <c r="AC2000" s="168" t="str">
        <f t="shared" si="7"/>
        <v>TOT,2017-18</v>
      </c>
    </row>
    <row r="2001">
      <c r="A2001" s="161" t="str">
        <f>IFERROR(__xludf.DUMMYFUNCTION("""COMPUTED_VALUE"""),"noahjo01")</f>
        <v>noahjo01</v>
      </c>
      <c r="B2001" s="161" t="str">
        <f>IFERROR(__xludf.DUMMYFUNCTION("""COMPUTED_VALUE"""),"Joakim Noah")</f>
        <v>Joakim Noah</v>
      </c>
      <c r="C2001" s="162" t="str">
        <f>IFERROR(__xludf.DUMMYFUNCTION("""COMPUTED_VALUE"""),"2017-18")</f>
        <v>2017-18</v>
      </c>
      <c r="D2001" s="163" t="str">
        <f>IFERROR(__xludf.DUMMYFUNCTION("""COMPUTED_VALUE"""),"NYK")</f>
        <v>NYK</v>
      </c>
      <c r="E2001" s="164" t="str">
        <f>IFERROR(__xludf.DUMMYFUNCTION("""COMPUTED_VALUE"""),"Roll + Cut Big")</f>
        <v>Roll + Cut Big</v>
      </c>
      <c r="F2001" s="164">
        <f>IFERROR(__xludf.DUMMYFUNCTION("""COMPUTED_VALUE"""),40.145)</f>
        <v>40.145</v>
      </c>
      <c r="G2001" s="163">
        <f>IFERROR(__xludf.DUMMYFUNCTION("""COMPUTED_VALUE"""),7.0)</f>
        <v>7</v>
      </c>
      <c r="H2001" s="163" t="str">
        <f>IFERROR(__xludf.DUMMYFUNCTION("""COMPUTED_VALUE"""),"C")</f>
        <v>C</v>
      </c>
      <c r="I2001" s="163">
        <f>IFERROR(__xludf.DUMMYFUNCTION("""COMPUTED_VALUE"""),32.0)</f>
        <v>32</v>
      </c>
      <c r="J2001" s="165">
        <f>IFERROR(__xludf.DUMMYFUNCTION("""COMPUTED_VALUE"""),-0.187666717629987)</f>
        <v>-0.1876667176</v>
      </c>
      <c r="K2001" s="165">
        <f>IFERROR(__xludf.DUMMYFUNCTION("""COMPUTED_VALUE"""),-0.310961773241577)</f>
        <v>-0.3109617732</v>
      </c>
      <c r="L2001" s="165">
        <f>IFERROR(__xludf.DUMMYFUNCTION("""COMPUTED_VALUE"""),0.123295055611591)</f>
        <v>0.1232950556</v>
      </c>
      <c r="M2001" s="166">
        <f t="shared" si="2"/>
        <v>0.0568111914</v>
      </c>
      <c r="N2001" s="167">
        <f t="shared" si="3"/>
        <v>5.735</v>
      </c>
      <c r="O2001" s="163">
        <f t="shared" ref="O2001:Q2001" si="2005">rank(I2001,I:I)</f>
        <v>359</v>
      </c>
      <c r="P2001" s="163">
        <f t="shared" si="2005"/>
        <v>1491</v>
      </c>
      <c r="Q2001" s="163">
        <f t="shared" si="2005"/>
        <v>1776</v>
      </c>
      <c r="R2001" s="163">
        <f>IFERROR(__xludf.DUMMYFUNCTION("RANK(M2001,filter(M:M,C:C=C2001))"),424.0)</f>
        <v>424</v>
      </c>
      <c r="S2001" s="161" t="b">
        <f t="shared" si="5"/>
        <v>0</v>
      </c>
      <c r="T2001" s="161" t="b">
        <f t="array" ref="T2001">index('Query Tool'!B:B,match(H2001,'Query Tool'!C:C,0))</f>
        <v>1</v>
      </c>
      <c r="U2001" s="161" t="b">
        <f t="array" ref="U2001">index('Query Tool'!B:B,match(C2001,'Query Tool'!C:C,0))</f>
        <v>0</v>
      </c>
      <c r="V2001" s="161" t="b">
        <f>F2001&gt;='Query Tool'!C$32</f>
        <v>0</v>
      </c>
      <c r="W2001" s="161" t="b">
        <f t="array" ref="W2001">index(Dropdowns!B:B,match(I2001,Dropdowns!A:A,0))</f>
        <v>1</v>
      </c>
      <c r="X2001" s="161" t="b">
        <f t="array" ref="X2001">index('Query Tool'!B:B,match(D2001,'Query Tool'!C:C,0))</f>
        <v>1</v>
      </c>
      <c r="Y2001" s="161" t="str">
        <f t="shared" si="6"/>
        <v>noahjo01,2017-18</v>
      </c>
      <c r="Z2001" s="168">
        <f t="array" ref="Z2001">iferror(index(I:I,match($A2001&amp;","&amp;index('Year Conversion'!$A:$A,match($C2001,'Year Conversion'!$B:$B,0)),$Y:$Y,0))-I2001,"")</f>
        <v>1</v>
      </c>
      <c r="AA2001" s="168">
        <f t="array" ref="AA2001">iferror(index(J:J,match($A2001&amp;","&amp;index('Year Conversion'!$A:$A,match($C2001,'Year Conversion'!$B:$B,0)),$Y:$Y,0))-J2001,"")</f>
        <v>1.838015231</v>
      </c>
      <c r="AB2001" s="168">
        <f t="array" ref="AB2001">iferror(index(K:K,match($A2001&amp;","&amp;index('Year Conversion'!$A:$A,match($C2001,'Year Conversion'!$B:$B,0)),$Y:$Y,0))-K2001,"")</f>
        <v>0.06850551355</v>
      </c>
      <c r="AC2001" s="168" t="str">
        <f t="shared" si="7"/>
        <v>NYK,2017-18</v>
      </c>
    </row>
    <row r="2002">
      <c r="A2002" s="161" t="str">
        <f>IFERROR(__xludf.DUMMYFUNCTION("""COMPUTED_VALUE"""),"youngth01")</f>
        <v>youngth01</v>
      </c>
      <c r="B2002" s="161" t="str">
        <f>IFERROR(__xludf.DUMMYFUNCTION("""COMPUTED_VALUE"""),"Thaddeus Young")</f>
        <v>Thaddeus Young</v>
      </c>
      <c r="C2002" s="162" t="str">
        <f>IFERROR(__xludf.DUMMYFUNCTION("""COMPUTED_VALUE"""),"2017-18")</f>
        <v>2017-18</v>
      </c>
      <c r="D2002" s="163" t="str">
        <f>IFERROR(__xludf.DUMMYFUNCTION("""COMPUTED_VALUE"""),"IND")</f>
        <v>IND</v>
      </c>
      <c r="E2002" s="164" t="str">
        <f>IFERROR(__xludf.DUMMYFUNCTION("""COMPUTED_VALUE"""),"Post Scorer")</f>
        <v>Post Scorer</v>
      </c>
      <c r="F2002" s="164">
        <f>IFERROR(__xludf.DUMMYFUNCTION("""COMPUTED_VALUE"""),2607.03166666667)</f>
        <v>2607.031667</v>
      </c>
      <c r="G2002" s="163">
        <f>IFERROR(__xludf.DUMMYFUNCTION("""COMPUTED_VALUE"""),81.0)</f>
        <v>81</v>
      </c>
      <c r="H2002" s="163" t="str">
        <f>IFERROR(__xludf.DUMMYFUNCTION("""COMPUTED_VALUE"""),"PF")</f>
        <v>PF</v>
      </c>
      <c r="I2002" s="163">
        <f>IFERROR(__xludf.DUMMYFUNCTION("""COMPUTED_VALUE"""),29.0)</f>
        <v>29</v>
      </c>
      <c r="J2002" s="165">
        <f>IFERROR(__xludf.DUMMYFUNCTION("""COMPUTED_VALUE"""),0.705992547528189)</f>
        <v>0.7059925475</v>
      </c>
      <c r="K2002" s="165">
        <f>IFERROR(__xludf.DUMMYFUNCTION("""COMPUTED_VALUE"""),-0.589694549881059)</f>
        <v>-0.5896945499</v>
      </c>
      <c r="L2002" s="165">
        <f>IFERROR(__xludf.DUMMYFUNCTION("""COMPUTED_VALUE"""),1.29568709740925)</f>
        <v>1.295687097</v>
      </c>
      <c r="M2002" s="166">
        <f t="shared" si="2"/>
        <v>5.25919199</v>
      </c>
      <c r="N2002" s="167">
        <f t="shared" si="3"/>
        <v>32.18557613</v>
      </c>
      <c r="O2002" s="163">
        <f t="shared" ref="O2002:Q2002" si="2006">rank(I2002,I:I)</f>
        <v>855</v>
      </c>
      <c r="P2002" s="163">
        <f t="shared" si="2006"/>
        <v>793</v>
      </c>
      <c r="Q2002" s="163">
        <f t="shared" si="2006"/>
        <v>2248</v>
      </c>
      <c r="R2002" s="163">
        <f>IFERROR(__xludf.DUMMYFUNCTION("RANK(M2002,filter(M:M,C:C=C2002))"),48.0)</f>
        <v>48</v>
      </c>
      <c r="S2002" s="161" t="b">
        <f t="shared" si="5"/>
        <v>0</v>
      </c>
      <c r="T2002" s="161" t="b">
        <f t="array" ref="T2002">index('Query Tool'!B:B,match(H2002,'Query Tool'!C:C,0))</f>
        <v>1</v>
      </c>
      <c r="U2002" s="161" t="b">
        <f t="array" ref="U2002">index('Query Tool'!B:B,match(C2002,'Query Tool'!C:C,0))</f>
        <v>0</v>
      </c>
      <c r="V2002" s="161" t="b">
        <f>F2002&gt;='Query Tool'!C$32</f>
        <v>1</v>
      </c>
      <c r="W2002" s="161" t="b">
        <f t="array" ref="W2002">index(Dropdowns!B:B,match(I2002,Dropdowns!A:A,0))</f>
        <v>1</v>
      </c>
      <c r="X2002" s="161" t="b">
        <f t="array" ref="X2002">index('Query Tool'!B:B,match(D2002,'Query Tool'!C:C,0))</f>
        <v>1</v>
      </c>
      <c r="Y2002" s="161" t="str">
        <f t="shared" si="6"/>
        <v>youngth01,2017-18</v>
      </c>
      <c r="Z2002" s="168">
        <f t="array" ref="Z2002">iferror(index(I:I,match($A2002&amp;","&amp;index('Year Conversion'!$A:$A,match($C2002,'Year Conversion'!$B:$B,0)),$Y:$Y,0))-I2002,"")</f>
        <v>1</v>
      </c>
      <c r="AA2002" s="168">
        <f t="array" ref="AA2002">iferror(index(J:J,match($A2002&amp;","&amp;index('Year Conversion'!$A:$A,match($C2002,'Year Conversion'!$B:$B,0)),$Y:$Y,0))-J2002,"")</f>
        <v>0.4877340957</v>
      </c>
      <c r="AB2002" s="168">
        <f t="array" ref="AB2002">iferror(index(K:K,match($A2002&amp;","&amp;index('Year Conversion'!$A:$A,match($C2002,'Year Conversion'!$B:$B,0)),$Y:$Y,0))-K2002,"")</f>
        <v>0.5732876853</v>
      </c>
      <c r="AC2002" s="168" t="str">
        <f t="shared" si="7"/>
        <v>IND,2017-18</v>
      </c>
    </row>
    <row r="2003">
      <c r="A2003" s="161" t="str">
        <f>IFERROR(__xludf.DUMMYFUNCTION("""COMPUTED_VALUE"""),"youngni01")</f>
        <v>youngni01</v>
      </c>
      <c r="B2003" s="161" t="str">
        <f>IFERROR(__xludf.DUMMYFUNCTION("""COMPUTED_VALUE"""),"Nick Young")</f>
        <v>Nick Young</v>
      </c>
      <c r="C2003" s="162" t="str">
        <f>IFERROR(__xludf.DUMMYFUNCTION("""COMPUTED_VALUE"""),"2017-18")</f>
        <v>2017-18</v>
      </c>
      <c r="D2003" s="163" t="str">
        <f>IFERROR(__xludf.DUMMYFUNCTION("""COMPUTED_VALUE"""),"GSW")</f>
        <v>GSW</v>
      </c>
      <c r="E2003" s="164" t="str">
        <f>IFERROR(__xludf.DUMMYFUNCTION("""COMPUTED_VALUE"""),"Off Screen Shooter")</f>
        <v>Off Screen Shooter</v>
      </c>
      <c r="F2003" s="164">
        <f>IFERROR(__xludf.DUMMYFUNCTION("""COMPUTED_VALUE"""),1393.17166666667)</f>
        <v>1393.171667</v>
      </c>
      <c r="G2003" s="163">
        <f>IFERROR(__xludf.DUMMYFUNCTION("""COMPUTED_VALUE"""),80.0)</f>
        <v>80</v>
      </c>
      <c r="H2003" s="163" t="str">
        <f>IFERROR(__xludf.DUMMYFUNCTION("""COMPUTED_VALUE"""),"SG")</f>
        <v>SG</v>
      </c>
      <c r="I2003" s="163">
        <f>IFERROR(__xludf.DUMMYFUNCTION("""COMPUTED_VALUE"""),32.0)</f>
        <v>32</v>
      </c>
      <c r="J2003" s="165">
        <f>IFERROR(__xludf.DUMMYFUNCTION("""COMPUTED_VALUE"""),-2.10404777748132)</f>
        <v>-2.104047777</v>
      </c>
      <c r="K2003" s="165">
        <f>IFERROR(__xludf.DUMMYFUNCTION("""COMPUTED_VALUE"""),-0.138593892264325)</f>
        <v>-0.1385938923</v>
      </c>
      <c r="L2003" s="165">
        <f>IFERROR(__xludf.DUMMYFUNCTION("""COMPUTED_VALUE"""),-1.965453885217)</f>
        <v>-1.965453885</v>
      </c>
      <c r="M2003" s="166">
        <f t="shared" si="2"/>
        <v>0.1836188624</v>
      </c>
      <c r="N2003" s="167">
        <f t="shared" si="3"/>
        <v>17.41464583</v>
      </c>
      <c r="O2003" s="163">
        <f t="shared" ref="O2003:Q2003" si="2007">rank(I2003,I:I)</f>
        <v>359</v>
      </c>
      <c r="P2003" s="163">
        <f t="shared" si="2007"/>
        <v>3554</v>
      </c>
      <c r="Q2003" s="163">
        <f t="shared" si="2007"/>
        <v>1462</v>
      </c>
      <c r="R2003" s="163">
        <f>IFERROR(__xludf.DUMMYFUNCTION("RANK(M2003,filter(M:M,C:C=C2003))"),352.0)</f>
        <v>352</v>
      </c>
      <c r="S2003" s="161" t="b">
        <f t="shared" si="5"/>
        <v>0</v>
      </c>
      <c r="T2003" s="161" t="b">
        <f t="array" ref="T2003">index('Query Tool'!B:B,match(H2003,'Query Tool'!C:C,0))</f>
        <v>1</v>
      </c>
      <c r="U2003" s="161" t="b">
        <f t="array" ref="U2003">index('Query Tool'!B:B,match(C2003,'Query Tool'!C:C,0))</f>
        <v>0</v>
      </c>
      <c r="V2003" s="161" t="b">
        <f>F2003&gt;='Query Tool'!C$32</f>
        <v>1</v>
      </c>
      <c r="W2003" s="161" t="b">
        <f t="array" ref="W2003">index(Dropdowns!B:B,match(I2003,Dropdowns!A:A,0))</f>
        <v>1</v>
      </c>
      <c r="X2003" s="161" t="b">
        <f t="array" ref="X2003">index('Query Tool'!B:B,match(D2003,'Query Tool'!C:C,0))</f>
        <v>1</v>
      </c>
      <c r="Y2003" s="161" t="str">
        <f t="shared" si="6"/>
        <v>youngni01,2017-18</v>
      </c>
      <c r="Z2003" s="168">
        <f t="array" ref="Z2003">iferror(index(I:I,match($A2003&amp;","&amp;index('Year Conversion'!$A:$A,match($C2003,'Year Conversion'!$B:$B,0)),$Y:$Y,0))-I2003,"")</f>
        <v>1</v>
      </c>
      <c r="AA2003" s="168">
        <f t="array" ref="AA2003">iferror(index(J:J,match($A2003&amp;","&amp;index('Year Conversion'!$A:$A,match($C2003,'Year Conversion'!$B:$B,0)),$Y:$Y,0))-J2003,"")</f>
        <v>0.9712962029</v>
      </c>
      <c r="AB2003" s="168">
        <f t="array" ref="AB2003">iferror(index(K:K,match($A2003&amp;","&amp;index('Year Conversion'!$A:$A,match($C2003,'Year Conversion'!$B:$B,0)),$Y:$Y,0))-K2003,"")</f>
        <v>-0.4493949169</v>
      </c>
      <c r="AC2003" s="168" t="str">
        <f t="shared" si="7"/>
        <v>GSW,2017-18</v>
      </c>
    </row>
    <row r="2004">
      <c r="A2004" s="161" t="str">
        <f>IFERROR(__xludf.DUMMYFUNCTION("""COMPUTED_VALUE"""),"belinma01")</f>
        <v>belinma01</v>
      </c>
      <c r="B2004" s="161" t="str">
        <f>IFERROR(__xludf.DUMMYFUNCTION("""COMPUTED_VALUE"""),"Marco Belinelli")</f>
        <v>Marco Belinelli</v>
      </c>
      <c r="C2004" s="162" t="str">
        <f>IFERROR(__xludf.DUMMYFUNCTION("""COMPUTED_VALUE"""),"2017-18")</f>
        <v>2017-18</v>
      </c>
      <c r="D2004" s="163" t="str">
        <f>IFERROR(__xludf.DUMMYFUNCTION("""COMPUTED_VALUE"""),"TOT")</f>
        <v>TOT</v>
      </c>
      <c r="E2004" s="164" t="str">
        <f>IFERROR(__xludf.DUMMYFUNCTION("""COMPUTED_VALUE"""),"Off Screen Shooter")</f>
        <v>Off Screen Shooter</v>
      </c>
      <c r="F2004" s="164">
        <f>IFERROR(__xludf.DUMMYFUNCTION("""COMPUTED_VALUE"""),1946.73166666667)</f>
        <v>1946.731667</v>
      </c>
      <c r="G2004" s="163">
        <f>IFERROR(__xludf.DUMMYFUNCTION("""COMPUTED_VALUE"""),80.0)</f>
        <v>80</v>
      </c>
      <c r="H2004" s="163" t="str">
        <f>IFERROR(__xludf.DUMMYFUNCTION("""COMPUTED_VALUE"""),"SG")</f>
        <v>SG</v>
      </c>
      <c r="I2004" s="163">
        <f>IFERROR(__xludf.DUMMYFUNCTION("""COMPUTED_VALUE"""),31.0)</f>
        <v>31</v>
      </c>
      <c r="J2004" s="165">
        <f>IFERROR(__xludf.DUMMYFUNCTION("""COMPUTED_VALUE"""),-0.335752480911946)</f>
        <v>-0.3357524809</v>
      </c>
      <c r="K2004" s="165">
        <f>IFERROR(__xludf.DUMMYFUNCTION("""COMPUTED_VALUE"""),1.14153102142823)</f>
        <v>1.141531021</v>
      </c>
      <c r="L2004" s="165">
        <f>IFERROR(__xludf.DUMMYFUNCTION("""COMPUTED_VALUE"""),-1.47728350234018)</f>
        <v>-1.477283502</v>
      </c>
      <c r="M2004" s="166">
        <f t="shared" si="2"/>
        <v>2.560616377</v>
      </c>
      <c r="N2004" s="167">
        <f t="shared" si="3"/>
        <v>24.33414583</v>
      </c>
      <c r="O2004" s="163">
        <f t="shared" ref="O2004:Q2004" si="2008">rank(I2004,I:I)</f>
        <v>490</v>
      </c>
      <c r="P2004" s="163">
        <f t="shared" si="2008"/>
        <v>1654</v>
      </c>
      <c r="Q2004" s="163">
        <f t="shared" si="2008"/>
        <v>437</v>
      </c>
      <c r="R2004" s="163">
        <f>IFERROR(__xludf.DUMMYFUNCTION("RANK(M2004,filter(M:M,C:C=C2004))"),129.0)</f>
        <v>129</v>
      </c>
      <c r="S2004" s="161" t="b">
        <f t="shared" si="5"/>
        <v>0</v>
      </c>
      <c r="T2004" s="161" t="b">
        <f t="array" ref="T2004">index('Query Tool'!B:B,match(H2004,'Query Tool'!C:C,0))</f>
        <v>1</v>
      </c>
      <c r="U2004" s="161" t="b">
        <f t="array" ref="U2004">index('Query Tool'!B:B,match(C2004,'Query Tool'!C:C,0))</f>
        <v>0</v>
      </c>
      <c r="V2004" s="161" t="b">
        <f>F2004&gt;='Query Tool'!C$32</f>
        <v>1</v>
      </c>
      <c r="W2004" s="161" t="b">
        <f t="array" ref="W2004">index(Dropdowns!B:B,match(I2004,Dropdowns!A:A,0))</f>
        <v>1</v>
      </c>
      <c r="X2004" s="161" t="b">
        <f t="array" ref="X2004">index('Query Tool'!B:B,match(D2004,'Query Tool'!C:C,0))</f>
        <v>1</v>
      </c>
      <c r="Y2004" s="161" t="str">
        <f t="shared" si="6"/>
        <v>belinma01,2017-18</v>
      </c>
      <c r="Z2004" s="168">
        <f t="array" ref="Z2004">iferror(index(I:I,match($A2004&amp;","&amp;index('Year Conversion'!$A:$A,match($C2004,'Year Conversion'!$B:$B,0)),$Y:$Y,0))-I2004,"")</f>
        <v>1</v>
      </c>
      <c r="AA2004" s="168">
        <f t="array" ref="AA2004">iferror(index(J:J,match($A2004&amp;","&amp;index('Year Conversion'!$A:$A,match($C2004,'Year Conversion'!$B:$B,0)),$Y:$Y,0))-J2004,"")</f>
        <v>-1.735295799</v>
      </c>
      <c r="AB2004" s="168">
        <f t="array" ref="AB2004">iferror(index(K:K,match($A2004&amp;","&amp;index('Year Conversion'!$A:$A,match($C2004,'Year Conversion'!$B:$B,0)),$Y:$Y,0))-K2004,"")</f>
        <v>-1.238272504</v>
      </c>
      <c r="AC2004" s="168" t="str">
        <f t="shared" si="7"/>
        <v>TOT,2017-18</v>
      </c>
    </row>
    <row r="2005">
      <c r="A2005" s="161" t="str">
        <f>IFERROR(__xludf.DUMMYFUNCTION("""COMPUTED_VALUE"""),"smithja02")</f>
        <v>smithja02</v>
      </c>
      <c r="B2005" s="161" t="str">
        <f>IFERROR(__xludf.DUMMYFUNCTION("""COMPUTED_VALUE"""),"Jason Smith")</f>
        <v>Jason Smith</v>
      </c>
      <c r="C2005" s="162" t="str">
        <f>IFERROR(__xludf.DUMMYFUNCTION("""COMPUTED_VALUE"""),"2017-18")</f>
        <v>2017-18</v>
      </c>
      <c r="D2005" s="163" t="str">
        <f>IFERROR(__xludf.DUMMYFUNCTION("""COMPUTED_VALUE"""),"WAS")</f>
        <v>WAS</v>
      </c>
      <c r="E2005" s="164" t="str">
        <f>IFERROR(__xludf.DUMMYFUNCTION("""COMPUTED_VALUE"""),"Stretch Big")</f>
        <v>Stretch Big</v>
      </c>
      <c r="F2005" s="164">
        <f>IFERROR(__xludf.DUMMYFUNCTION("""COMPUTED_VALUE"""),284.746666666667)</f>
        <v>284.7466667</v>
      </c>
      <c r="G2005" s="163">
        <f>IFERROR(__xludf.DUMMYFUNCTION("""COMPUTED_VALUE"""),33.0)</f>
        <v>33</v>
      </c>
      <c r="H2005" s="163" t="str">
        <f>IFERROR(__xludf.DUMMYFUNCTION("""COMPUTED_VALUE"""),"C")</f>
        <v>C</v>
      </c>
      <c r="I2005" s="163">
        <f>IFERROR(__xludf.DUMMYFUNCTION("""COMPUTED_VALUE"""),31.0)</f>
        <v>31</v>
      </c>
      <c r="J2005" s="165">
        <f>IFERROR(__xludf.DUMMYFUNCTION("""COMPUTED_VALUE"""),-1.68478052120786)</f>
        <v>-1.684780521</v>
      </c>
      <c r="K2005" s="165">
        <f>IFERROR(__xludf.DUMMYFUNCTION("""COMPUTED_VALUE"""),-1.263688111232)</f>
        <v>-1.263688111</v>
      </c>
      <c r="L2005" s="165">
        <f>IFERROR(__xludf.DUMMYFUNCTION("""COMPUTED_VALUE"""),-0.421092409975853)</f>
        <v>-0.42109241</v>
      </c>
      <c r="M2005" s="166">
        <f t="shared" si="2"/>
        <v>0.1168209209</v>
      </c>
      <c r="N2005" s="167">
        <f t="shared" si="3"/>
        <v>8.628686869</v>
      </c>
      <c r="O2005" s="163">
        <f t="shared" ref="O2005:Q2005" si="2009">rank(I2005,I:I)</f>
        <v>490</v>
      </c>
      <c r="P2005" s="163">
        <f t="shared" si="2009"/>
        <v>3227</v>
      </c>
      <c r="Q2005" s="163">
        <f t="shared" si="2009"/>
        <v>3097</v>
      </c>
      <c r="R2005" s="163">
        <f>IFERROR(__xludf.DUMMYFUNCTION("RANK(M2005,filter(M:M,C:C=C2005))"),389.0)</f>
        <v>389</v>
      </c>
      <c r="S2005" s="161" t="b">
        <f t="shared" si="5"/>
        <v>0</v>
      </c>
      <c r="T2005" s="161" t="b">
        <f t="array" ref="T2005">index('Query Tool'!B:B,match(H2005,'Query Tool'!C:C,0))</f>
        <v>1</v>
      </c>
      <c r="U2005" s="161" t="b">
        <f t="array" ref="U2005">index('Query Tool'!B:B,match(C2005,'Query Tool'!C:C,0))</f>
        <v>0</v>
      </c>
      <c r="V2005" s="161" t="b">
        <f>F2005&gt;='Query Tool'!C$32</f>
        <v>0</v>
      </c>
      <c r="W2005" s="161" t="b">
        <f t="array" ref="W2005">index(Dropdowns!B:B,match(I2005,Dropdowns!A:A,0))</f>
        <v>1</v>
      </c>
      <c r="X2005" s="161" t="b">
        <f t="array" ref="X2005">index('Query Tool'!B:B,match(D2005,'Query Tool'!C:C,0))</f>
        <v>1</v>
      </c>
      <c r="Y2005" s="161" t="str">
        <f t="shared" si="6"/>
        <v>smithja02,2017-18</v>
      </c>
      <c r="Z2005" s="168">
        <f t="array" ref="Z2005">iferror(index(I:I,match($A2005&amp;","&amp;index('Year Conversion'!$A:$A,match($C2005,'Year Conversion'!$B:$B,0)),$Y:$Y,0))-I2005,"")</f>
        <v>1</v>
      </c>
      <c r="AA2005" s="168">
        <f t="array" ref="AA2005">iferror(index(J:J,match($A2005&amp;","&amp;index('Year Conversion'!$A:$A,match($C2005,'Year Conversion'!$B:$B,0)),$Y:$Y,0))-J2005,"")</f>
        <v>0.7425435238</v>
      </c>
      <c r="AB2005" s="168">
        <f t="array" ref="AB2005">iferror(index(K:K,match($A2005&amp;","&amp;index('Year Conversion'!$A:$A,match($C2005,'Year Conversion'!$B:$B,0)),$Y:$Y,0))-K2005,"")</f>
        <v>0.4006889425</v>
      </c>
      <c r="AC2005" s="168" t="str">
        <f t="shared" si="7"/>
        <v>WAS,2017-18</v>
      </c>
    </row>
    <row r="2006">
      <c r="A2006" s="161" t="str">
        <f>IFERROR(__xludf.DUMMYFUNCTION("""COMPUTED_VALUE"""),"dudleja01")</f>
        <v>dudleja01</v>
      </c>
      <c r="B2006" s="161" t="str">
        <f>IFERROR(__xludf.DUMMYFUNCTION("""COMPUTED_VALUE"""),"Jared Dudley")</f>
        <v>Jared Dudley</v>
      </c>
      <c r="C2006" s="162" t="str">
        <f>IFERROR(__xludf.DUMMYFUNCTION("""COMPUTED_VALUE"""),"2017-18")</f>
        <v>2017-18</v>
      </c>
      <c r="D2006" s="163" t="str">
        <f>IFERROR(__xludf.DUMMYFUNCTION("""COMPUTED_VALUE"""),"PHO")</f>
        <v>PHO</v>
      </c>
      <c r="E2006" s="164" t="str">
        <f>IFERROR(__xludf.DUMMYFUNCTION("""COMPUTED_VALUE"""),"Stationary Shooter")</f>
        <v>Stationary Shooter</v>
      </c>
      <c r="F2006" s="164">
        <f>IFERROR(__xludf.DUMMYFUNCTION("""COMPUTED_VALUE"""),686.485)</f>
        <v>686.485</v>
      </c>
      <c r="G2006" s="163">
        <f>IFERROR(__xludf.DUMMYFUNCTION("""COMPUTED_VALUE"""),48.0)</f>
        <v>48</v>
      </c>
      <c r="H2006" s="163" t="str">
        <f>IFERROR(__xludf.DUMMYFUNCTION("""COMPUTED_VALUE"""),"PF")</f>
        <v>PF</v>
      </c>
      <c r="I2006" s="163">
        <f>IFERROR(__xludf.DUMMYFUNCTION("""COMPUTED_VALUE"""),32.0)</f>
        <v>32</v>
      </c>
      <c r="J2006" s="165">
        <f>IFERROR(__xludf.DUMMYFUNCTION("""COMPUTED_VALUE"""),-0.239570347187141)</f>
        <v>-0.2395703472</v>
      </c>
      <c r="K2006" s="165">
        <f>IFERROR(__xludf.DUMMYFUNCTION("""COMPUTED_VALUE"""),-1.13303738435665)</f>
        <v>-1.133037384</v>
      </c>
      <c r="L2006" s="165">
        <f>IFERROR(__xludf.DUMMYFUNCTION("""COMPUTED_VALUE"""),0.893467037169505)</f>
        <v>0.8934670372</v>
      </c>
      <c r="M2006" s="166">
        <f t="shared" si="2"/>
        <v>0.9474616468</v>
      </c>
      <c r="N2006" s="167">
        <f t="shared" si="3"/>
        <v>14.30177083</v>
      </c>
      <c r="O2006" s="163">
        <f t="shared" ref="O2006:Q2006" si="2010">rank(I2006,I:I)</f>
        <v>359</v>
      </c>
      <c r="P2006" s="163">
        <f t="shared" si="2010"/>
        <v>1543</v>
      </c>
      <c r="Q2006" s="163">
        <f t="shared" si="2010"/>
        <v>2965</v>
      </c>
      <c r="R2006" s="163">
        <f>IFERROR(__xludf.DUMMYFUNCTION("RANK(M2006,filter(M:M,C:C=C2006))"),240.0)</f>
        <v>240</v>
      </c>
      <c r="S2006" s="161" t="b">
        <f t="shared" si="5"/>
        <v>0</v>
      </c>
      <c r="T2006" s="161" t="b">
        <f t="array" ref="T2006">index('Query Tool'!B:B,match(H2006,'Query Tool'!C:C,0))</f>
        <v>1</v>
      </c>
      <c r="U2006" s="161" t="b">
        <f t="array" ref="U2006">index('Query Tool'!B:B,match(C2006,'Query Tool'!C:C,0))</f>
        <v>0</v>
      </c>
      <c r="V2006" s="161" t="b">
        <f>F2006&gt;='Query Tool'!C$32</f>
        <v>1</v>
      </c>
      <c r="W2006" s="161" t="b">
        <f t="array" ref="W2006">index(Dropdowns!B:B,match(I2006,Dropdowns!A:A,0))</f>
        <v>1</v>
      </c>
      <c r="X2006" s="161" t="b">
        <f t="array" ref="X2006">index('Query Tool'!B:B,match(D2006,'Query Tool'!C:C,0))</f>
        <v>1</v>
      </c>
      <c r="Y2006" s="161" t="str">
        <f t="shared" si="6"/>
        <v>dudleja01,2017-18</v>
      </c>
      <c r="Z2006" s="168">
        <f t="array" ref="Z2006">iferror(index(I:I,match($A2006&amp;","&amp;index('Year Conversion'!$A:$A,match($C2006,'Year Conversion'!$B:$B,0)),$Y:$Y,0))-I2006,"")</f>
        <v>1</v>
      </c>
      <c r="AA2006" s="168">
        <f t="array" ref="AA2006">iferror(index(J:J,match($A2006&amp;","&amp;index('Year Conversion'!$A:$A,match($C2006,'Year Conversion'!$B:$B,0)),$Y:$Y,0))-J2006,"")</f>
        <v>-0.8620836091</v>
      </c>
      <c r="AB2006" s="168">
        <f t="array" ref="AB2006">iferror(index(K:K,match($A2006&amp;","&amp;index('Year Conversion'!$A:$A,match($C2006,'Year Conversion'!$B:$B,0)),$Y:$Y,0))-K2006,"")</f>
        <v>-0.2490034264</v>
      </c>
      <c r="AC2006" s="168" t="str">
        <f t="shared" si="7"/>
        <v>PHO,2017-18</v>
      </c>
    </row>
    <row r="2007">
      <c r="A2007" s="161" t="str">
        <f>IFERROR(__xludf.DUMMYFUNCTION("""COMPUTED_VALUE"""),"chandwi01")</f>
        <v>chandwi01</v>
      </c>
      <c r="B2007" s="161" t="str">
        <f>IFERROR(__xludf.DUMMYFUNCTION("""COMPUTED_VALUE"""),"Wilson Chandler")</f>
        <v>Wilson Chandler</v>
      </c>
      <c r="C2007" s="162" t="str">
        <f>IFERROR(__xludf.DUMMYFUNCTION("""COMPUTED_VALUE"""),"2017-18")</f>
        <v>2017-18</v>
      </c>
      <c r="D2007" s="163" t="str">
        <f>IFERROR(__xludf.DUMMYFUNCTION("""COMPUTED_VALUE"""),"DEN")</f>
        <v>DEN</v>
      </c>
      <c r="E2007" s="164" t="str">
        <f>IFERROR(__xludf.DUMMYFUNCTION("""COMPUTED_VALUE"""),"Shot Creator")</f>
        <v>Shot Creator</v>
      </c>
      <c r="F2007" s="164">
        <f>IFERROR(__xludf.DUMMYFUNCTION("""COMPUTED_VALUE"""),2346.25333333333)</f>
        <v>2346.253333</v>
      </c>
      <c r="G2007" s="163">
        <f>IFERROR(__xludf.DUMMYFUNCTION("""COMPUTED_VALUE"""),74.0)</f>
        <v>74</v>
      </c>
      <c r="H2007" s="163" t="str">
        <f>IFERROR(__xludf.DUMMYFUNCTION("""COMPUTED_VALUE"""),"SF")</f>
        <v>SF</v>
      </c>
      <c r="I2007" s="163">
        <f>IFERROR(__xludf.DUMMYFUNCTION("""COMPUTED_VALUE"""),30.0)</f>
        <v>30</v>
      </c>
      <c r="J2007" s="165">
        <f>IFERROR(__xludf.DUMMYFUNCTION("""COMPUTED_VALUE"""),-1.5592393746616)</f>
        <v>-1.559239375</v>
      </c>
      <c r="K2007" s="165">
        <f>IFERROR(__xludf.DUMMYFUNCTION("""COMPUTED_VALUE"""),-1.08677925869155)</f>
        <v>-1.086779259</v>
      </c>
      <c r="L2007" s="165">
        <f>IFERROR(__xludf.DUMMYFUNCTION("""COMPUTED_VALUE"""),-0.472460115970051)</f>
        <v>-0.472460116</v>
      </c>
      <c r="M2007" s="166">
        <f t="shared" si="2"/>
        <v>1.159000992</v>
      </c>
      <c r="N2007" s="167">
        <f t="shared" si="3"/>
        <v>31.70612613</v>
      </c>
      <c r="O2007" s="163">
        <f t="shared" ref="O2007:Q2007" si="2011">rank(I2007,I:I)</f>
        <v>655</v>
      </c>
      <c r="P2007" s="163">
        <f t="shared" si="2011"/>
        <v>3107</v>
      </c>
      <c r="Q2007" s="163">
        <f t="shared" si="2011"/>
        <v>2917</v>
      </c>
      <c r="R2007" s="163">
        <f>IFERROR(__xludf.DUMMYFUNCTION("RANK(M2007,filter(M:M,C:C=C2007))"),219.0)</f>
        <v>219</v>
      </c>
      <c r="S2007" s="161" t="b">
        <f t="shared" si="5"/>
        <v>0</v>
      </c>
      <c r="T2007" s="161" t="b">
        <f t="array" ref="T2007">index('Query Tool'!B:B,match(H2007,'Query Tool'!C:C,0))</f>
        <v>1</v>
      </c>
      <c r="U2007" s="161" t="b">
        <f t="array" ref="U2007">index('Query Tool'!B:B,match(C2007,'Query Tool'!C:C,0))</f>
        <v>0</v>
      </c>
      <c r="V2007" s="161" t="b">
        <f>F2007&gt;='Query Tool'!C$32</f>
        <v>1</v>
      </c>
      <c r="W2007" s="161" t="b">
        <f t="array" ref="W2007">index(Dropdowns!B:B,match(I2007,Dropdowns!A:A,0))</f>
        <v>1</v>
      </c>
      <c r="X2007" s="161" t="b">
        <f t="array" ref="X2007">index('Query Tool'!B:B,match(D2007,'Query Tool'!C:C,0))</f>
        <v>1</v>
      </c>
      <c r="Y2007" s="161" t="str">
        <f t="shared" si="6"/>
        <v>chandwi01,2017-18</v>
      </c>
      <c r="Z2007" s="168">
        <f t="array" ref="Z2007">iferror(index(I:I,match($A2007&amp;","&amp;index('Year Conversion'!$A:$A,match($C2007,'Year Conversion'!$B:$B,0)),$Y:$Y,0))-I2007,"")</f>
        <v>1</v>
      </c>
      <c r="AA2007" s="168">
        <f t="array" ref="AA2007">iferror(index(J:J,match($A2007&amp;","&amp;index('Year Conversion'!$A:$A,match($C2007,'Year Conversion'!$B:$B,0)),$Y:$Y,0))-J2007,"")</f>
        <v>-0.02690815658</v>
      </c>
      <c r="AB2007" s="168">
        <f t="array" ref="AB2007">iferror(index(K:K,match($A2007&amp;","&amp;index('Year Conversion'!$A:$A,match($C2007,'Year Conversion'!$B:$B,0)),$Y:$Y,0))-K2007,"")</f>
        <v>-0.4606562736</v>
      </c>
      <c r="AC2007" s="168" t="str">
        <f t="shared" si="7"/>
        <v>DEN,2017-18</v>
      </c>
    </row>
    <row r="2008">
      <c r="A2008" s="161" t="str">
        <f>IFERROR(__xludf.DUMMYFUNCTION("""COMPUTED_VALUE"""),"brookaa01")</f>
        <v>brookaa01</v>
      </c>
      <c r="B2008" s="161" t="str">
        <f>IFERROR(__xludf.DUMMYFUNCTION("""COMPUTED_VALUE"""),"Aaron Brooks")</f>
        <v>Aaron Brooks</v>
      </c>
      <c r="C2008" s="162" t="str">
        <f>IFERROR(__xludf.DUMMYFUNCTION("""COMPUTED_VALUE"""),"2017-18")</f>
        <v>2017-18</v>
      </c>
      <c r="D2008" s="163" t="str">
        <f>IFERROR(__xludf.DUMMYFUNCTION("""COMPUTED_VALUE"""),"MIN")</f>
        <v>MIN</v>
      </c>
      <c r="E2008" s="164" t="str">
        <f>IFERROR(__xludf.DUMMYFUNCTION("""COMPUTED_VALUE"""),"Secondary Ball Handler")</f>
        <v>Secondary Ball Handler</v>
      </c>
      <c r="F2008" s="164">
        <f>IFERROR(__xludf.DUMMYFUNCTION("""COMPUTED_VALUE"""),189.413333333333)</f>
        <v>189.4133333</v>
      </c>
      <c r="G2008" s="163">
        <f>IFERROR(__xludf.DUMMYFUNCTION("""COMPUTED_VALUE"""),32.0)</f>
        <v>32</v>
      </c>
      <c r="H2008" s="163" t="str">
        <f>IFERROR(__xludf.DUMMYFUNCTION("""COMPUTED_VALUE"""),"PG")</f>
        <v>PG</v>
      </c>
      <c r="I2008" s="163">
        <f>IFERROR(__xludf.DUMMYFUNCTION("""COMPUTED_VALUE"""),33.0)</f>
        <v>33</v>
      </c>
      <c r="J2008" s="165">
        <f>IFERROR(__xludf.DUMMYFUNCTION("""COMPUTED_VALUE"""),-2.38370912528693)</f>
        <v>-2.383709125</v>
      </c>
      <c r="K2008" s="165">
        <f>IFERROR(__xludf.DUMMYFUNCTION("""COMPUTED_VALUE"""),-1.03055443882814)</f>
        <v>-1.030554439</v>
      </c>
      <c r="L2008" s="165">
        <f>IFERROR(__xludf.DUMMYFUNCTION("""COMPUTED_VALUE"""),-1.35315468645879)</f>
        <v>-1.353154686</v>
      </c>
      <c r="M2008" s="166">
        <f t="shared" si="2"/>
        <v>-0.01000844709</v>
      </c>
      <c r="N2008" s="167">
        <f t="shared" si="3"/>
        <v>5.919166667</v>
      </c>
      <c r="O2008" s="163">
        <f t="shared" ref="O2008:Q2008" si="2012">rank(I2008,I:I)</f>
        <v>246</v>
      </c>
      <c r="P2008" s="163">
        <f t="shared" si="2012"/>
        <v>3706</v>
      </c>
      <c r="Q2008" s="163">
        <f t="shared" si="2012"/>
        <v>2841</v>
      </c>
      <c r="R2008" s="163">
        <f>IFERROR(__xludf.DUMMYFUNCTION("RANK(M2008,filter(M:M,C:C=C2008))"),499.0)</f>
        <v>499</v>
      </c>
      <c r="S2008" s="161" t="b">
        <f t="shared" si="5"/>
        <v>0</v>
      </c>
      <c r="T2008" s="161" t="b">
        <f t="array" ref="T2008">index('Query Tool'!B:B,match(H2008,'Query Tool'!C:C,0))</f>
        <v>1</v>
      </c>
      <c r="U2008" s="161" t="b">
        <f t="array" ref="U2008">index('Query Tool'!B:B,match(C2008,'Query Tool'!C:C,0))</f>
        <v>0</v>
      </c>
      <c r="V2008" s="161" t="b">
        <f>F2008&gt;='Query Tool'!C$32</f>
        <v>0</v>
      </c>
      <c r="W2008" s="161" t="b">
        <f t="array" ref="W2008">index(Dropdowns!B:B,match(I2008,Dropdowns!A:A,0))</f>
        <v>1</v>
      </c>
      <c r="X2008" s="161" t="b">
        <f t="array" ref="X2008">index('Query Tool'!B:B,match(D2008,'Query Tool'!C:C,0))</f>
        <v>1</v>
      </c>
      <c r="Y2008" s="161" t="str">
        <f t="shared" si="6"/>
        <v>brookaa01,2017-18</v>
      </c>
      <c r="Z2008" s="168" t="str">
        <f t="array" ref="Z2008">iferror(index(I:I,match($A2008&amp;","&amp;index('Year Conversion'!$A:$A,match($C2008,'Year Conversion'!$B:$B,0)),$Y:$Y,0))-I2008,"")</f>
        <v/>
      </c>
      <c r="AA2008" s="168" t="str">
        <f t="array" ref="AA2008">iferror(index(J:J,match($A2008&amp;","&amp;index('Year Conversion'!$A:$A,match($C2008,'Year Conversion'!$B:$B,0)),$Y:$Y,0))-J2008,"")</f>
        <v/>
      </c>
      <c r="AB2008" s="168" t="str">
        <f t="array" ref="AB2008">iferror(index(K:K,match($A2008&amp;","&amp;index('Year Conversion'!$A:$A,match($C2008,'Year Conversion'!$B:$B,0)),$Y:$Y,0))-K2008,"")</f>
        <v/>
      </c>
      <c r="AC2008" s="168" t="str">
        <f t="shared" si="7"/>
        <v>MIN,2017-18</v>
      </c>
    </row>
    <row r="2009">
      <c r="A2009" s="161" t="str">
        <f>IFERROR(__xludf.DUMMYFUNCTION("""COMPUTED_VALUE"""),"afflaar01")</f>
        <v>afflaar01</v>
      </c>
      <c r="B2009" s="161" t="str">
        <f>IFERROR(__xludf.DUMMYFUNCTION("""COMPUTED_VALUE"""),"Arron Afflalo")</f>
        <v>Arron Afflalo</v>
      </c>
      <c r="C2009" s="162" t="str">
        <f>IFERROR(__xludf.DUMMYFUNCTION("""COMPUTED_VALUE"""),"2017-18")</f>
        <v>2017-18</v>
      </c>
      <c r="D2009" s="163" t="str">
        <f>IFERROR(__xludf.DUMMYFUNCTION("""COMPUTED_VALUE"""),"ORL")</f>
        <v>ORL</v>
      </c>
      <c r="E2009" s="164" t="str">
        <f>IFERROR(__xludf.DUMMYFUNCTION("""COMPUTED_VALUE"""),"Stationary Shooter")</f>
        <v>Stationary Shooter</v>
      </c>
      <c r="F2009" s="164">
        <f>IFERROR(__xludf.DUMMYFUNCTION("""COMPUTED_VALUE"""),681.575)</f>
        <v>681.575</v>
      </c>
      <c r="G2009" s="163">
        <f>IFERROR(__xludf.DUMMYFUNCTION("""COMPUTED_VALUE"""),53.0)</f>
        <v>53</v>
      </c>
      <c r="H2009" s="163" t="str">
        <f>IFERROR(__xludf.DUMMYFUNCTION("""COMPUTED_VALUE"""),"SG")</f>
        <v>SG</v>
      </c>
      <c r="I2009" s="163">
        <f>IFERROR(__xludf.DUMMYFUNCTION("""COMPUTED_VALUE"""),32.0)</f>
        <v>32</v>
      </c>
      <c r="J2009" s="165">
        <f>IFERROR(__xludf.DUMMYFUNCTION("""COMPUTED_VALUE"""),-3.55024170032042)</f>
        <v>-3.5502417</v>
      </c>
      <c r="K2009" s="165">
        <f>IFERROR(__xludf.DUMMYFUNCTION("""COMPUTED_VALUE"""),-2.74700265307696)</f>
        <v>-2.747002653</v>
      </c>
      <c r="L2009" s="165">
        <f>IFERROR(__xludf.DUMMYFUNCTION("""COMPUTED_VALUE"""),-0.803239047243459)</f>
        <v>-0.8032390472</v>
      </c>
      <c r="M2009" s="166">
        <f t="shared" si="2"/>
        <v>-0.5526350483</v>
      </c>
      <c r="N2009" s="167">
        <f t="shared" si="3"/>
        <v>12.85990566</v>
      </c>
      <c r="O2009" s="163">
        <f t="shared" ref="O2009:Q2009" si="2013">rank(I2009,I:I)</f>
        <v>359</v>
      </c>
      <c r="P2009" s="163">
        <f t="shared" si="2013"/>
        <v>3972</v>
      </c>
      <c r="Q2009" s="163">
        <f t="shared" si="2013"/>
        <v>3943</v>
      </c>
      <c r="R2009" s="163">
        <f>IFERROR(__xludf.DUMMYFUNCTION("RANK(M2009,filter(M:M,C:C=C2009))"),527.0)</f>
        <v>527</v>
      </c>
      <c r="S2009" s="161" t="b">
        <f t="shared" si="5"/>
        <v>0</v>
      </c>
      <c r="T2009" s="161" t="b">
        <f t="array" ref="T2009">index('Query Tool'!B:B,match(H2009,'Query Tool'!C:C,0))</f>
        <v>1</v>
      </c>
      <c r="U2009" s="161" t="b">
        <f t="array" ref="U2009">index('Query Tool'!B:B,match(C2009,'Query Tool'!C:C,0))</f>
        <v>0</v>
      </c>
      <c r="V2009" s="161" t="b">
        <f>F2009&gt;='Query Tool'!C$32</f>
        <v>1</v>
      </c>
      <c r="W2009" s="161" t="b">
        <f t="array" ref="W2009">index(Dropdowns!B:B,match(I2009,Dropdowns!A:A,0))</f>
        <v>1</v>
      </c>
      <c r="X2009" s="161" t="b">
        <f t="array" ref="X2009">index('Query Tool'!B:B,match(D2009,'Query Tool'!C:C,0))</f>
        <v>1</v>
      </c>
      <c r="Y2009" s="161" t="str">
        <f t="shared" si="6"/>
        <v>afflaar01,2017-18</v>
      </c>
      <c r="Z2009" s="168" t="str">
        <f t="array" ref="Z2009">iferror(index(I:I,match($A2009&amp;","&amp;index('Year Conversion'!$A:$A,match($C2009,'Year Conversion'!$B:$B,0)),$Y:$Y,0))-I2009,"")</f>
        <v/>
      </c>
      <c r="AA2009" s="168" t="str">
        <f t="array" ref="AA2009">iferror(index(J:J,match($A2009&amp;","&amp;index('Year Conversion'!$A:$A,match($C2009,'Year Conversion'!$B:$B,0)),$Y:$Y,0))-J2009,"")</f>
        <v/>
      </c>
      <c r="AB2009" s="168" t="str">
        <f t="array" ref="AB2009">iferror(index(K:K,match($A2009&amp;","&amp;index('Year Conversion'!$A:$A,match($C2009,'Year Conversion'!$B:$B,0)),$Y:$Y,0))-K2009,"")</f>
        <v/>
      </c>
      <c r="AC2009" s="168" t="str">
        <f t="shared" si="7"/>
        <v>ORL,2017-18</v>
      </c>
    </row>
    <row r="2010">
      <c r="A2010" s="161" t="str">
        <f>IFERROR(__xludf.DUMMYFUNCTION("""COMPUTED_VALUE"""),"mcrobjo01")</f>
        <v>mcrobjo01</v>
      </c>
      <c r="B2010" s="161" t="str">
        <f>IFERROR(__xludf.DUMMYFUNCTION("""COMPUTED_VALUE"""),"Josh McRoberts")</f>
        <v>Josh McRoberts</v>
      </c>
      <c r="C2010" s="162" t="str">
        <f>IFERROR(__xludf.DUMMYFUNCTION("""COMPUTED_VALUE"""),"2017-18")</f>
        <v>2017-18</v>
      </c>
      <c r="D2010" s="163" t="str">
        <f>IFERROR(__xludf.DUMMYFUNCTION("""COMPUTED_VALUE"""),"DAL")</f>
        <v>DAL</v>
      </c>
      <c r="E2010" s="164" t="str">
        <f>IFERROR(__xludf.DUMMYFUNCTION("""COMPUTED_VALUE"""),"Stationary Shooter")</f>
        <v>Stationary Shooter</v>
      </c>
      <c r="F2010" s="164">
        <f>IFERROR(__xludf.DUMMYFUNCTION("""COMPUTED_VALUE"""),5.75)</f>
        <v>5.75</v>
      </c>
      <c r="G2010" s="163">
        <f>IFERROR(__xludf.DUMMYFUNCTION("""COMPUTED_VALUE"""),2.0)</f>
        <v>2</v>
      </c>
      <c r="H2010" s="163" t="str">
        <f>IFERROR(__xludf.DUMMYFUNCTION("""COMPUTED_VALUE"""),"PF")</f>
        <v>PF</v>
      </c>
      <c r="I2010" s="163">
        <f>IFERROR(__xludf.DUMMYFUNCTION("""COMPUTED_VALUE"""),30.0)</f>
        <v>30</v>
      </c>
      <c r="J2010" s="165">
        <f>IFERROR(__xludf.DUMMYFUNCTION("""COMPUTED_VALUE"""),-0.185478728336008)</f>
        <v>-0.1854787283</v>
      </c>
      <c r="K2010" s="165">
        <f>IFERROR(__xludf.DUMMYFUNCTION("""COMPUTED_VALUE"""),-0.326603055864067)</f>
        <v>-0.3266030559</v>
      </c>
      <c r="L2010" s="165">
        <f>IFERROR(__xludf.DUMMYFUNCTION("""COMPUTED_VALUE"""),0.14112432752806)</f>
        <v>0.1411243275</v>
      </c>
      <c r="M2010" s="166">
        <f t="shared" si="2"/>
        <v>0.008145592445</v>
      </c>
      <c r="N2010" s="167">
        <f t="shared" si="3"/>
        <v>2.875</v>
      </c>
      <c r="O2010" s="163">
        <f t="shared" ref="O2010:Q2010" si="2014">rank(I2010,I:I)</f>
        <v>655</v>
      </c>
      <c r="P2010" s="163">
        <f t="shared" si="2014"/>
        <v>1488</v>
      </c>
      <c r="Q2010" s="163">
        <f t="shared" si="2014"/>
        <v>1805</v>
      </c>
      <c r="R2010" s="163">
        <f>IFERROR(__xludf.DUMMYFUNCTION("RANK(M2010,filter(M:M,C:C=C2010))"),483.0)</f>
        <v>483</v>
      </c>
      <c r="S2010" s="161" t="b">
        <f t="shared" si="5"/>
        <v>0</v>
      </c>
      <c r="T2010" s="161" t="b">
        <f t="array" ref="T2010">index('Query Tool'!B:B,match(H2010,'Query Tool'!C:C,0))</f>
        <v>1</v>
      </c>
      <c r="U2010" s="161" t="b">
        <f t="array" ref="U2010">index('Query Tool'!B:B,match(C2010,'Query Tool'!C:C,0))</f>
        <v>0</v>
      </c>
      <c r="V2010" s="161" t="b">
        <f>F2010&gt;='Query Tool'!C$32</f>
        <v>0</v>
      </c>
      <c r="W2010" s="161" t="b">
        <f t="array" ref="W2010">index(Dropdowns!B:B,match(I2010,Dropdowns!A:A,0))</f>
        <v>1</v>
      </c>
      <c r="X2010" s="161" t="b">
        <f t="array" ref="X2010">index('Query Tool'!B:B,match(D2010,'Query Tool'!C:C,0))</f>
        <v>1</v>
      </c>
      <c r="Y2010" s="161" t="str">
        <f t="shared" si="6"/>
        <v>mcrobjo01,2017-18</v>
      </c>
      <c r="Z2010" s="168" t="str">
        <f t="array" ref="Z2010">iferror(index(I:I,match($A2010&amp;","&amp;index('Year Conversion'!$A:$A,match($C2010,'Year Conversion'!$B:$B,0)),$Y:$Y,0))-I2010,"")</f>
        <v/>
      </c>
      <c r="AA2010" s="168" t="str">
        <f t="array" ref="AA2010">iferror(index(J:J,match($A2010&amp;","&amp;index('Year Conversion'!$A:$A,match($C2010,'Year Conversion'!$B:$B,0)),$Y:$Y,0))-J2010,"")</f>
        <v/>
      </c>
      <c r="AB2010" s="168" t="str">
        <f t="array" ref="AB2010">iferror(index(K:K,match($A2010&amp;","&amp;index('Year Conversion'!$A:$A,match($C2010,'Year Conversion'!$B:$B,0)),$Y:$Y,0))-K2010,"")</f>
        <v/>
      </c>
      <c r="AC2010" s="168" t="str">
        <f t="shared" si="7"/>
        <v>DAL,2017-18</v>
      </c>
    </row>
    <row r="2011">
      <c r="A2011" s="161" t="str">
        <f>IFERROR(__xludf.DUMMYFUNCTION("""COMPUTED_VALUE"""),"gasolma01")</f>
        <v>gasolma01</v>
      </c>
      <c r="B2011" s="161" t="str">
        <f>IFERROR(__xludf.DUMMYFUNCTION("""COMPUTED_VALUE"""),"Marc Gasol")</f>
        <v>Marc Gasol</v>
      </c>
      <c r="C2011" s="162" t="str">
        <f>IFERROR(__xludf.DUMMYFUNCTION("""COMPUTED_VALUE"""),"2017-18")</f>
        <v>2017-18</v>
      </c>
      <c r="D2011" s="163" t="str">
        <f>IFERROR(__xludf.DUMMYFUNCTION("""COMPUTED_VALUE"""),"MEM")</f>
        <v>MEM</v>
      </c>
      <c r="E2011" s="164" t="str">
        <f>IFERROR(__xludf.DUMMYFUNCTION("""COMPUTED_VALUE"""),"Versatile Big")</f>
        <v>Versatile Big</v>
      </c>
      <c r="F2011" s="164">
        <f>IFERROR(__xludf.DUMMYFUNCTION("""COMPUTED_VALUE"""),2408.335)</f>
        <v>2408.335</v>
      </c>
      <c r="G2011" s="163">
        <f>IFERROR(__xludf.DUMMYFUNCTION("""COMPUTED_VALUE"""),73.0)</f>
        <v>73</v>
      </c>
      <c r="H2011" s="163" t="str">
        <f>IFERROR(__xludf.DUMMYFUNCTION("""COMPUTED_VALUE"""),"C")</f>
        <v>C</v>
      </c>
      <c r="I2011" s="163">
        <f>IFERROR(__xludf.DUMMYFUNCTION("""COMPUTED_VALUE"""),33.0)</f>
        <v>33</v>
      </c>
      <c r="J2011" s="165">
        <f>IFERROR(__xludf.DUMMYFUNCTION("""COMPUTED_VALUE"""),1.76576396097533)</f>
        <v>1.765763961</v>
      </c>
      <c r="K2011" s="165">
        <f>IFERROR(__xludf.DUMMYFUNCTION("""COMPUTED_VALUE"""),0.0931202111587571)</f>
        <v>0.09312021116</v>
      </c>
      <c r="L2011" s="165">
        <f>IFERROR(__xludf.DUMMYFUNCTION("""COMPUTED_VALUE"""),1.67264374981657)</f>
        <v>1.67264375</v>
      </c>
      <c r="M2011" s="166">
        <f t="shared" si="2"/>
        <v>6.567522417</v>
      </c>
      <c r="N2011" s="167">
        <f t="shared" si="3"/>
        <v>32.99089041</v>
      </c>
      <c r="O2011" s="163">
        <f t="shared" ref="O2011:Q2011" si="2015">rank(I2011,I:I)</f>
        <v>246</v>
      </c>
      <c r="P2011" s="163">
        <f t="shared" si="2015"/>
        <v>380</v>
      </c>
      <c r="Q2011" s="163">
        <f t="shared" si="2015"/>
        <v>1074</v>
      </c>
      <c r="R2011" s="163">
        <f>IFERROR(__xludf.DUMMYFUNCTION("RANK(M2011,filter(M:M,C:C=C2011))"),33.0)</f>
        <v>33</v>
      </c>
      <c r="S2011" s="161" t="b">
        <f t="shared" si="5"/>
        <v>0</v>
      </c>
      <c r="T2011" s="161" t="b">
        <f t="array" ref="T2011">index('Query Tool'!B:B,match(H2011,'Query Tool'!C:C,0))</f>
        <v>1</v>
      </c>
      <c r="U2011" s="161" t="b">
        <f t="array" ref="U2011">index('Query Tool'!B:B,match(C2011,'Query Tool'!C:C,0))</f>
        <v>0</v>
      </c>
      <c r="V2011" s="161" t="b">
        <f>F2011&gt;='Query Tool'!C$32</f>
        <v>1</v>
      </c>
      <c r="W2011" s="161" t="b">
        <f t="array" ref="W2011">index(Dropdowns!B:B,match(I2011,Dropdowns!A:A,0))</f>
        <v>1</v>
      </c>
      <c r="X2011" s="161" t="b">
        <f t="array" ref="X2011">index('Query Tool'!B:B,match(D2011,'Query Tool'!C:C,0))</f>
        <v>1</v>
      </c>
      <c r="Y2011" s="161" t="str">
        <f t="shared" si="6"/>
        <v>gasolma01,2017-18</v>
      </c>
      <c r="Z2011" s="168">
        <f t="array" ref="Z2011">iferror(index(I:I,match($A2011&amp;","&amp;index('Year Conversion'!$A:$A,match($C2011,'Year Conversion'!$B:$B,0)),$Y:$Y,0))-I2011,"")</f>
        <v>1</v>
      </c>
      <c r="AA2011" s="168">
        <f t="array" ref="AA2011">iferror(index(J:J,match($A2011&amp;","&amp;index('Year Conversion'!$A:$A,match($C2011,'Year Conversion'!$B:$B,0)),$Y:$Y,0))-J2011,"")</f>
        <v>0.3577334928</v>
      </c>
      <c r="AB2011" s="168">
        <f t="array" ref="AB2011">iferror(index(K:K,match($A2011&amp;","&amp;index('Year Conversion'!$A:$A,match($C2011,'Year Conversion'!$B:$B,0)),$Y:$Y,0))-K2011,"")</f>
        <v>-0.1813611542</v>
      </c>
      <c r="AC2011" s="168" t="str">
        <f t="shared" si="7"/>
        <v>MEM,2017-18</v>
      </c>
    </row>
    <row r="2012">
      <c r="A2012" s="161" t="str">
        <f>IFERROR(__xludf.DUMMYFUNCTION("""COMPUTED_VALUE"""),"sessira01")</f>
        <v>sessira01</v>
      </c>
      <c r="B2012" s="161" t="str">
        <f>IFERROR(__xludf.DUMMYFUNCTION("""COMPUTED_VALUE"""),"Ramon Sessions")</f>
        <v>Ramon Sessions</v>
      </c>
      <c r="C2012" s="162" t="str">
        <f>IFERROR(__xludf.DUMMYFUNCTION("""COMPUTED_VALUE"""),"2017-18")</f>
        <v>2017-18</v>
      </c>
      <c r="D2012" s="163" t="str">
        <f>IFERROR(__xludf.DUMMYFUNCTION("""COMPUTED_VALUE"""),"TOT")</f>
        <v>TOT</v>
      </c>
      <c r="E2012" s="164" t="str">
        <f>IFERROR(__xludf.DUMMYFUNCTION("""COMPUTED_VALUE"""),"Slasher")</f>
        <v>Slasher</v>
      </c>
      <c r="F2012" s="164">
        <f>IFERROR(__xludf.DUMMYFUNCTION("""COMPUTED_VALUE"""),392.451666666667)</f>
        <v>392.4516667</v>
      </c>
      <c r="G2012" s="163">
        <f>IFERROR(__xludf.DUMMYFUNCTION("""COMPUTED_VALUE"""),28.0)</f>
        <v>28</v>
      </c>
      <c r="H2012" s="163" t="str">
        <f>IFERROR(__xludf.DUMMYFUNCTION("""COMPUTED_VALUE"""),"PG")</f>
        <v>PG</v>
      </c>
      <c r="I2012" s="163">
        <f>IFERROR(__xludf.DUMMYFUNCTION("""COMPUTED_VALUE"""),31.0)</f>
        <v>31</v>
      </c>
      <c r="J2012" s="165">
        <f>IFERROR(__xludf.DUMMYFUNCTION("""COMPUTED_VALUE"""),-1.30571082950893)</f>
        <v>-1.30571083</v>
      </c>
      <c r="K2012" s="165">
        <f>IFERROR(__xludf.DUMMYFUNCTION("""COMPUTED_VALUE"""),-0.429337766457074)</f>
        <v>-0.4293377665</v>
      </c>
      <c r="L2012" s="165">
        <f>IFERROR(__xludf.DUMMYFUNCTION("""COMPUTED_VALUE"""),-0.876373063051856)</f>
        <v>-0.8763730631</v>
      </c>
      <c r="M2012" s="166">
        <f t="shared" si="2"/>
        <v>0.2603715522</v>
      </c>
      <c r="N2012" s="167">
        <f t="shared" si="3"/>
        <v>14.01613095</v>
      </c>
      <c r="O2012" s="163">
        <f t="shared" ref="O2012:Q2012" si="2016">rank(I2012,I:I)</f>
        <v>490</v>
      </c>
      <c r="P2012" s="163">
        <f t="shared" si="2016"/>
        <v>2865</v>
      </c>
      <c r="Q2012" s="163">
        <f t="shared" si="2016"/>
        <v>2002</v>
      </c>
      <c r="R2012" s="163">
        <f>IFERROR(__xludf.DUMMYFUNCTION("RANK(M2012,filter(M:M,C:C=C2012))"),325.0)</f>
        <v>325</v>
      </c>
      <c r="S2012" s="161" t="b">
        <f t="shared" si="5"/>
        <v>0</v>
      </c>
      <c r="T2012" s="161" t="b">
        <f t="array" ref="T2012">index('Query Tool'!B:B,match(H2012,'Query Tool'!C:C,0))</f>
        <v>1</v>
      </c>
      <c r="U2012" s="161" t="b">
        <f t="array" ref="U2012">index('Query Tool'!B:B,match(C2012,'Query Tool'!C:C,0))</f>
        <v>0</v>
      </c>
      <c r="V2012" s="161" t="b">
        <f>F2012&gt;='Query Tool'!C$32</f>
        <v>0</v>
      </c>
      <c r="W2012" s="161" t="b">
        <f t="array" ref="W2012">index(Dropdowns!B:B,match(I2012,Dropdowns!A:A,0))</f>
        <v>1</v>
      </c>
      <c r="X2012" s="161" t="b">
        <f t="array" ref="X2012">index('Query Tool'!B:B,match(D2012,'Query Tool'!C:C,0))</f>
        <v>1</v>
      </c>
      <c r="Y2012" s="161" t="str">
        <f t="shared" si="6"/>
        <v>sessira01,2017-18</v>
      </c>
      <c r="Z2012" s="168" t="str">
        <f t="array" ref="Z2012">iferror(index(I:I,match($A2012&amp;","&amp;index('Year Conversion'!$A:$A,match($C2012,'Year Conversion'!$B:$B,0)),$Y:$Y,0))-I2012,"")</f>
        <v/>
      </c>
      <c r="AA2012" s="168" t="str">
        <f t="array" ref="AA2012">iferror(index(J:J,match($A2012&amp;","&amp;index('Year Conversion'!$A:$A,match($C2012,'Year Conversion'!$B:$B,0)),$Y:$Y,0))-J2012,"")</f>
        <v/>
      </c>
      <c r="AB2012" s="168" t="str">
        <f t="array" ref="AB2012">iferror(index(K:K,match($A2012&amp;","&amp;index('Year Conversion'!$A:$A,match($C2012,'Year Conversion'!$B:$B,0)),$Y:$Y,0))-K2012,"")</f>
        <v/>
      </c>
      <c r="AC2012" s="168" t="str">
        <f t="shared" si="7"/>
        <v>TOT,2017-18</v>
      </c>
    </row>
    <row r="2013">
      <c r="A2013" s="161" t="str">
        <f>IFERROR(__xludf.DUMMYFUNCTION("""COMPUTED_VALUE"""),"tollian01")</f>
        <v>tollian01</v>
      </c>
      <c r="B2013" s="161" t="str">
        <f>IFERROR(__xludf.DUMMYFUNCTION("""COMPUTED_VALUE"""),"Anthony Tolliver")</f>
        <v>Anthony Tolliver</v>
      </c>
      <c r="C2013" s="162" t="str">
        <f>IFERROR(__xludf.DUMMYFUNCTION("""COMPUTED_VALUE"""),"2017-18")</f>
        <v>2017-18</v>
      </c>
      <c r="D2013" s="163" t="str">
        <f>IFERROR(__xludf.DUMMYFUNCTION("""COMPUTED_VALUE"""),"DET")</f>
        <v>DET</v>
      </c>
      <c r="E2013" s="164" t="str">
        <f>IFERROR(__xludf.DUMMYFUNCTION("""COMPUTED_VALUE"""),"Movement Shooter")</f>
        <v>Movement Shooter</v>
      </c>
      <c r="F2013" s="164">
        <f>IFERROR(__xludf.DUMMYFUNCTION("""COMPUTED_VALUE"""),1757.055)</f>
        <v>1757.055</v>
      </c>
      <c r="G2013" s="163">
        <f>IFERROR(__xludf.DUMMYFUNCTION("""COMPUTED_VALUE"""),79.0)</f>
        <v>79</v>
      </c>
      <c r="H2013" s="163" t="str">
        <f>IFERROR(__xludf.DUMMYFUNCTION("""COMPUTED_VALUE"""),"PF")</f>
        <v>PF</v>
      </c>
      <c r="I2013" s="163">
        <f>IFERROR(__xludf.DUMMYFUNCTION("""COMPUTED_VALUE"""),32.0)</f>
        <v>32</v>
      </c>
      <c r="J2013" s="165">
        <f>IFERROR(__xludf.DUMMYFUNCTION("""COMPUTED_VALUE"""),0.0430105052507365)</f>
        <v>0.04301050525</v>
      </c>
      <c r="K2013" s="165">
        <f>IFERROR(__xludf.DUMMYFUNCTION("""COMPUTED_VALUE"""),0.0457004875961927)</f>
        <v>0.0457004876</v>
      </c>
      <c r="L2013" s="165">
        <f>IFERROR(__xludf.DUMMYFUNCTION("""COMPUTED_VALUE"""),-0.00268998234545625)</f>
        <v>-0.002689982345</v>
      </c>
      <c r="M2013" s="166">
        <f t="shared" si="2"/>
        <v>2.759742748</v>
      </c>
      <c r="N2013" s="167">
        <f t="shared" si="3"/>
        <v>22.24120253</v>
      </c>
      <c r="O2013" s="163">
        <f t="shared" ref="O2013:Q2013" si="2017">rank(I2013,I:I)</f>
        <v>359</v>
      </c>
      <c r="P2013" s="163">
        <f t="shared" si="2017"/>
        <v>1250</v>
      </c>
      <c r="Q2013" s="163">
        <f t="shared" si="2017"/>
        <v>1135</v>
      </c>
      <c r="R2013" s="163">
        <f>IFERROR(__xludf.DUMMYFUNCTION("RANK(M2013,filter(M:M,C:C=C2013))"),119.0)</f>
        <v>119</v>
      </c>
      <c r="S2013" s="161" t="b">
        <f t="shared" si="5"/>
        <v>0</v>
      </c>
      <c r="T2013" s="161" t="b">
        <f t="array" ref="T2013">index('Query Tool'!B:B,match(H2013,'Query Tool'!C:C,0))</f>
        <v>1</v>
      </c>
      <c r="U2013" s="161" t="b">
        <f t="array" ref="U2013">index('Query Tool'!B:B,match(C2013,'Query Tool'!C:C,0))</f>
        <v>0</v>
      </c>
      <c r="V2013" s="161" t="b">
        <f>F2013&gt;='Query Tool'!C$32</f>
        <v>1</v>
      </c>
      <c r="W2013" s="161" t="b">
        <f t="array" ref="W2013">index(Dropdowns!B:B,match(I2013,Dropdowns!A:A,0))</f>
        <v>1</v>
      </c>
      <c r="X2013" s="161" t="b">
        <f t="array" ref="X2013">index('Query Tool'!B:B,match(D2013,'Query Tool'!C:C,0))</f>
        <v>1</v>
      </c>
      <c r="Y2013" s="161" t="str">
        <f t="shared" si="6"/>
        <v>tollian01,2017-18</v>
      </c>
      <c r="Z2013" s="168">
        <f t="array" ref="Z2013">iferror(index(I:I,match($A2013&amp;","&amp;index('Year Conversion'!$A:$A,match($C2013,'Year Conversion'!$B:$B,0)),$Y:$Y,0))-I2013,"")</f>
        <v>1</v>
      </c>
      <c r="AA2013" s="168">
        <f t="array" ref="AA2013">iferror(index(J:J,match($A2013&amp;","&amp;index('Year Conversion'!$A:$A,match($C2013,'Year Conversion'!$B:$B,0)),$Y:$Y,0))-J2013,"")</f>
        <v>-1.289166717</v>
      </c>
      <c r="AB2013" s="168">
        <f t="array" ref="AB2013">iferror(index(K:K,match($A2013&amp;","&amp;index('Year Conversion'!$A:$A,match($C2013,'Year Conversion'!$B:$B,0)),$Y:$Y,0))-K2013,"")</f>
        <v>-0.9993521882</v>
      </c>
      <c r="AC2013" s="168" t="str">
        <f t="shared" si="7"/>
        <v>DET,2017-18</v>
      </c>
    </row>
    <row r="2014">
      <c r="A2014" s="161" t="str">
        <f>IFERROR(__xludf.DUMMYFUNCTION("""COMPUTED_VALUE"""),"ingraan01")</f>
        <v>ingraan01</v>
      </c>
      <c r="B2014" s="161" t="str">
        <f>IFERROR(__xludf.DUMMYFUNCTION("""COMPUTED_VALUE"""),"Andre Ingram")</f>
        <v>Andre Ingram</v>
      </c>
      <c r="C2014" s="162" t="str">
        <f>IFERROR(__xludf.DUMMYFUNCTION("""COMPUTED_VALUE"""),"2017-18")</f>
        <v>2017-18</v>
      </c>
      <c r="D2014" s="163" t="str">
        <f>IFERROR(__xludf.DUMMYFUNCTION("""COMPUTED_VALUE"""),"LAL")</f>
        <v>LAL</v>
      </c>
      <c r="E2014" s="164" t="str">
        <f>IFERROR(__xludf.DUMMYFUNCTION("""COMPUTED_VALUE"""),"Off Screen Shooter")</f>
        <v>Off Screen Shooter</v>
      </c>
      <c r="F2014" s="164">
        <f>IFERROR(__xludf.DUMMYFUNCTION("""COMPUTED_VALUE"""),64.1333333333334)</f>
        <v>64.13333333</v>
      </c>
      <c r="G2014" s="163">
        <f>IFERROR(__xludf.DUMMYFUNCTION("""COMPUTED_VALUE"""),2.0)</f>
        <v>2</v>
      </c>
      <c r="H2014" s="163" t="str">
        <f>IFERROR(__xludf.DUMMYFUNCTION("""COMPUTED_VALUE"""),"SG")</f>
        <v>SG</v>
      </c>
      <c r="I2014" s="163">
        <f>IFERROR(__xludf.DUMMYFUNCTION("""COMPUTED_VALUE"""),32.0)</f>
        <v>32</v>
      </c>
      <c r="J2014" s="165">
        <f>IFERROR(__xludf.DUMMYFUNCTION("""COMPUTED_VALUE"""),-0.240827462008018)</f>
        <v>-0.240827462</v>
      </c>
      <c r="K2014" s="165">
        <f>IFERROR(__xludf.DUMMYFUNCTION("""COMPUTED_VALUE"""),-0.299010680094799)</f>
        <v>-0.2990106801</v>
      </c>
      <c r="L2014" s="165">
        <f>IFERROR(__xludf.DUMMYFUNCTION("""COMPUTED_VALUE"""),0.0581832180867813)</f>
        <v>0.05818321809</v>
      </c>
      <c r="M2014" s="166">
        <f t="shared" si="2"/>
        <v>0.08846015364</v>
      </c>
      <c r="N2014" s="167">
        <f t="shared" si="3"/>
        <v>32.06666667</v>
      </c>
      <c r="O2014" s="163">
        <f t="shared" ref="O2014:Q2014" si="2018">rank(I2014,I:I)</f>
        <v>359</v>
      </c>
      <c r="P2014" s="163">
        <f t="shared" si="2018"/>
        <v>1546</v>
      </c>
      <c r="Q2014" s="163">
        <f t="shared" si="2018"/>
        <v>1762</v>
      </c>
      <c r="R2014" s="163">
        <f>IFERROR(__xludf.DUMMYFUNCTION("RANK(M2014,filter(M:M,C:C=C2014))"),405.0)</f>
        <v>405</v>
      </c>
      <c r="S2014" s="161" t="b">
        <f t="shared" si="5"/>
        <v>0</v>
      </c>
      <c r="T2014" s="161" t="b">
        <f t="array" ref="T2014">index('Query Tool'!B:B,match(H2014,'Query Tool'!C:C,0))</f>
        <v>1</v>
      </c>
      <c r="U2014" s="161" t="b">
        <f t="array" ref="U2014">index('Query Tool'!B:B,match(C2014,'Query Tool'!C:C,0))</f>
        <v>0</v>
      </c>
      <c r="V2014" s="161" t="b">
        <f>F2014&gt;='Query Tool'!C$32</f>
        <v>0</v>
      </c>
      <c r="W2014" s="161" t="b">
        <f t="array" ref="W2014">index(Dropdowns!B:B,match(I2014,Dropdowns!A:A,0))</f>
        <v>1</v>
      </c>
      <c r="X2014" s="161" t="b">
        <f t="array" ref="X2014">index('Query Tool'!B:B,match(D2014,'Query Tool'!C:C,0))</f>
        <v>1</v>
      </c>
      <c r="Y2014" s="161" t="str">
        <f t="shared" si="6"/>
        <v>ingraan01,2017-18</v>
      </c>
      <c r="Z2014" s="168">
        <f t="array" ref="Z2014">iferror(index(I:I,match($A2014&amp;","&amp;index('Year Conversion'!$A:$A,match($C2014,'Year Conversion'!$B:$B,0)),$Y:$Y,0))-I2014,"")</f>
        <v>1</v>
      </c>
      <c r="AA2014" s="168">
        <f t="array" ref="AA2014">iferror(index(J:J,match($A2014&amp;","&amp;index('Year Conversion'!$A:$A,match($C2014,'Year Conversion'!$B:$B,0)),$Y:$Y,0))-J2014,"")</f>
        <v>0.01266565125</v>
      </c>
      <c r="AB2014" s="168">
        <f t="array" ref="AB2014">iferror(index(K:K,match($A2014&amp;","&amp;index('Year Conversion'!$A:$A,match($C2014,'Year Conversion'!$B:$B,0)),$Y:$Y,0))-K2014,"")</f>
        <v>0.167963538</v>
      </c>
      <c r="AC2014" s="168" t="str">
        <f t="shared" si="7"/>
        <v>LAL,2017-18</v>
      </c>
    </row>
    <row r="2015">
      <c r="A2015" s="161" t="str">
        <f>IFERROR(__xludf.DUMMYFUNCTION("""COMPUTED_VALUE"""),"beaslmi01")</f>
        <v>beaslmi01</v>
      </c>
      <c r="B2015" s="161" t="str">
        <f>IFERROR(__xludf.DUMMYFUNCTION("""COMPUTED_VALUE"""),"Michael Beasley")</f>
        <v>Michael Beasley</v>
      </c>
      <c r="C2015" s="162" t="str">
        <f>IFERROR(__xludf.DUMMYFUNCTION("""COMPUTED_VALUE"""),"2017-18")</f>
        <v>2017-18</v>
      </c>
      <c r="D2015" s="163" t="str">
        <f>IFERROR(__xludf.DUMMYFUNCTION("""COMPUTED_VALUE"""),"NYK")</f>
        <v>NYK</v>
      </c>
      <c r="E2015" s="164" t="str">
        <f>IFERROR(__xludf.DUMMYFUNCTION("""COMPUTED_VALUE"""),"Post Scorer")</f>
        <v>Post Scorer</v>
      </c>
      <c r="F2015" s="164">
        <f>IFERROR(__xludf.DUMMYFUNCTION("""COMPUTED_VALUE"""),1653.44166666667)</f>
        <v>1653.441667</v>
      </c>
      <c r="G2015" s="163">
        <f>IFERROR(__xludf.DUMMYFUNCTION("""COMPUTED_VALUE"""),74.0)</f>
        <v>74</v>
      </c>
      <c r="H2015" s="163" t="str">
        <f>IFERROR(__xludf.DUMMYFUNCTION("""COMPUTED_VALUE"""),"PF")</f>
        <v>PF</v>
      </c>
      <c r="I2015" s="163">
        <f>IFERROR(__xludf.DUMMYFUNCTION("""COMPUTED_VALUE"""),29.0)</f>
        <v>29</v>
      </c>
      <c r="J2015" s="165">
        <f>IFERROR(__xludf.DUMMYFUNCTION("""COMPUTED_VALUE"""),-1.12857485530437)</f>
        <v>-1.128574855</v>
      </c>
      <c r="K2015" s="165">
        <f>IFERROR(__xludf.DUMMYFUNCTION("""COMPUTED_VALUE"""),0.177280785336554)</f>
        <v>0.1772807853</v>
      </c>
      <c r="L2015" s="165">
        <f>IFERROR(__xludf.DUMMYFUNCTION("""COMPUTED_VALUE"""),-1.30585564064093)</f>
        <v>-1.305855641</v>
      </c>
      <c r="M2015" s="166">
        <f t="shared" si="2"/>
        <v>1.293216938</v>
      </c>
      <c r="N2015" s="167">
        <f t="shared" si="3"/>
        <v>22.34380631</v>
      </c>
      <c r="O2015" s="163">
        <f t="shared" ref="O2015:Q2015" si="2019">rank(I2015,I:I)</f>
        <v>855</v>
      </c>
      <c r="P2015" s="163">
        <f t="shared" si="2019"/>
        <v>2656</v>
      </c>
      <c r="Q2015" s="163">
        <f t="shared" si="2019"/>
        <v>1004</v>
      </c>
      <c r="R2015" s="163">
        <f>IFERROR(__xludf.DUMMYFUNCTION("RANK(M2015,filter(M:M,C:C=C2015))"),205.0)</f>
        <v>205</v>
      </c>
      <c r="S2015" s="161" t="b">
        <f t="shared" si="5"/>
        <v>0</v>
      </c>
      <c r="T2015" s="161" t="b">
        <f t="array" ref="T2015">index('Query Tool'!B:B,match(H2015,'Query Tool'!C:C,0))</f>
        <v>1</v>
      </c>
      <c r="U2015" s="161" t="b">
        <f t="array" ref="U2015">index('Query Tool'!B:B,match(C2015,'Query Tool'!C:C,0))</f>
        <v>0</v>
      </c>
      <c r="V2015" s="161" t="b">
        <f>F2015&gt;='Query Tool'!C$32</f>
        <v>1</v>
      </c>
      <c r="W2015" s="161" t="b">
        <f t="array" ref="W2015">index(Dropdowns!B:B,match(I2015,Dropdowns!A:A,0))</f>
        <v>1</v>
      </c>
      <c r="X2015" s="161" t="b">
        <f t="array" ref="X2015">index('Query Tool'!B:B,match(D2015,'Query Tool'!C:C,0))</f>
        <v>1</v>
      </c>
      <c r="Y2015" s="161" t="str">
        <f t="shared" si="6"/>
        <v>beaslmi01,2017-18</v>
      </c>
      <c r="Z2015" s="168">
        <f t="array" ref="Z2015">iferror(index(I:I,match($A2015&amp;","&amp;index('Year Conversion'!$A:$A,match($C2015,'Year Conversion'!$B:$B,0)),$Y:$Y,0))-I2015,"")</f>
        <v>1</v>
      </c>
      <c r="AA2015" s="168">
        <f t="array" ref="AA2015">iferror(index(J:J,match($A2015&amp;","&amp;index('Year Conversion'!$A:$A,match($C2015,'Year Conversion'!$B:$B,0)),$Y:$Y,0))-J2015,"")</f>
        <v>0.3349000913</v>
      </c>
      <c r="AB2015" s="168">
        <f t="array" ref="AB2015">iferror(index(K:K,match($A2015&amp;","&amp;index('Year Conversion'!$A:$A,match($C2015,'Year Conversion'!$B:$B,0)),$Y:$Y,0))-K2015,"")</f>
        <v>-0.4466101634</v>
      </c>
      <c r="AC2015" s="168" t="str">
        <f t="shared" si="7"/>
        <v>NYK,2017-18</v>
      </c>
    </row>
    <row r="2016">
      <c r="A2016" s="161" t="str">
        <f>IFERROR(__xludf.DUMMYFUNCTION("""COMPUTED_VALUE"""),"rosede01")</f>
        <v>rosede01</v>
      </c>
      <c r="B2016" s="161" t="str">
        <f>IFERROR(__xludf.DUMMYFUNCTION("""COMPUTED_VALUE"""),"Derrick Rose")</f>
        <v>Derrick Rose</v>
      </c>
      <c r="C2016" s="162" t="str">
        <f>IFERROR(__xludf.DUMMYFUNCTION("""COMPUTED_VALUE"""),"2017-18")</f>
        <v>2017-18</v>
      </c>
      <c r="D2016" s="163" t="str">
        <f>IFERROR(__xludf.DUMMYFUNCTION("""COMPUTED_VALUE"""),"TOT")</f>
        <v>TOT</v>
      </c>
      <c r="E2016" s="164" t="str">
        <f>IFERROR(__xludf.DUMMYFUNCTION("""COMPUTED_VALUE"""),"Secondary Ball Handler")</f>
        <v>Secondary Ball Handler</v>
      </c>
      <c r="F2016" s="164">
        <f>IFERROR(__xludf.DUMMYFUNCTION("""COMPUTED_VALUE"""),419.24)</f>
        <v>419.24</v>
      </c>
      <c r="G2016" s="163">
        <f>IFERROR(__xludf.DUMMYFUNCTION("""COMPUTED_VALUE"""),25.0)</f>
        <v>25</v>
      </c>
      <c r="H2016" s="163" t="str">
        <f>IFERROR(__xludf.DUMMYFUNCTION("""COMPUTED_VALUE"""),"PG")</f>
        <v>PG</v>
      </c>
      <c r="I2016" s="163">
        <f>IFERROR(__xludf.DUMMYFUNCTION("""COMPUTED_VALUE"""),29.0)</f>
        <v>29</v>
      </c>
      <c r="J2016" s="165">
        <f>IFERROR(__xludf.DUMMYFUNCTION("""COMPUTED_VALUE"""),-2.58135946674432)</f>
        <v>-2.581359467</v>
      </c>
      <c r="K2016" s="165">
        <f>IFERROR(__xludf.DUMMYFUNCTION("""COMPUTED_VALUE"""),-0.99393404122959)</f>
        <v>-0.9939340412</v>
      </c>
      <c r="L2016" s="165">
        <f>IFERROR(__xludf.DUMMYFUNCTION("""COMPUTED_VALUE"""),-1.58742542551473)</f>
        <v>-1.587425426</v>
      </c>
      <c r="M2016" s="166">
        <f t="shared" si="2"/>
        <v>-0.07660624882</v>
      </c>
      <c r="N2016" s="167">
        <f t="shared" si="3"/>
        <v>16.7696</v>
      </c>
      <c r="O2016" s="163">
        <f t="shared" ref="O2016:Q2016" si="2020">rank(I2016,I:I)</f>
        <v>855</v>
      </c>
      <c r="P2016" s="163">
        <f t="shared" si="2020"/>
        <v>3780</v>
      </c>
      <c r="Q2016" s="163">
        <f t="shared" si="2020"/>
        <v>2794</v>
      </c>
      <c r="R2016" s="163">
        <f>IFERROR(__xludf.DUMMYFUNCTION("RANK(M2016,filter(M:M,C:C=C2016))"),508.0)</f>
        <v>508</v>
      </c>
      <c r="S2016" s="161" t="b">
        <f t="shared" si="5"/>
        <v>0</v>
      </c>
      <c r="T2016" s="161" t="b">
        <f t="array" ref="T2016">index('Query Tool'!B:B,match(H2016,'Query Tool'!C:C,0))</f>
        <v>1</v>
      </c>
      <c r="U2016" s="161" t="b">
        <f t="array" ref="U2016">index('Query Tool'!B:B,match(C2016,'Query Tool'!C:C,0))</f>
        <v>0</v>
      </c>
      <c r="V2016" s="161" t="b">
        <f>F2016&gt;='Query Tool'!C$32</f>
        <v>0</v>
      </c>
      <c r="W2016" s="161" t="b">
        <f t="array" ref="W2016">index(Dropdowns!B:B,match(I2016,Dropdowns!A:A,0))</f>
        <v>1</v>
      </c>
      <c r="X2016" s="161" t="b">
        <f t="array" ref="X2016">index('Query Tool'!B:B,match(D2016,'Query Tool'!C:C,0))</f>
        <v>1</v>
      </c>
      <c r="Y2016" s="161" t="str">
        <f t="shared" si="6"/>
        <v>rosede01,2017-18</v>
      </c>
      <c r="Z2016" s="168">
        <f t="array" ref="Z2016">iferror(index(I:I,match($A2016&amp;","&amp;index('Year Conversion'!$A:$A,match($C2016,'Year Conversion'!$B:$B,0)),$Y:$Y,0))-I2016,"")</f>
        <v>1</v>
      </c>
      <c r="AA2016" s="168">
        <f t="array" ref="AA2016">iferror(index(J:J,match($A2016&amp;","&amp;index('Year Conversion'!$A:$A,match($C2016,'Year Conversion'!$B:$B,0)),$Y:$Y,0))-J2016,"")</f>
        <v>3.338660115</v>
      </c>
      <c r="AB2016" s="168">
        <f t="array" ref="AB2016">iferror(index(K:K,match($A2016&amp;","&amp;index('Year Conversion'!$A:$A,match($C2016,'Year Conversion'!$B:$B,0)),$Y:$Y,0))-K2016,"")</f>
        <v>2.976735084</v>
      </c>
      <c r="AC2016" s="168" t="str">
        <f t="shared" si="7"/>
        <v>TOT,2017-18</v>
      </c>
    </row>
    <row r="2017">
      <c r="A2017" s="161" t="str">
        <f>IFERROR(__xludf.DUMMYFUNCTION("""COMPUTED_VALUE"""),"westbru01")</f>
        <v>westbru01</v>
      </c>
      <c r="B2017" s="161" t="str">
        <f>IFERROR(__xludf.DUMMYFUNCTION("""COMPUTED_VALUE"""),"Russell Westbrook")</f>
        <v>Russell Westbrook</v>
      </c>
      <c r="C2017" s="162" t="str">
        <f>IFERROR(__xludf.DUMMYFUNCTION("""COMPUTED_VALUE"""),"2017-18")</f>
        <v>2017-18</v>
      </c>
      <c r="D2017" s="163" t="str">
        <f>IFERROR(__xludf.DUMMYFUNCTION("""COMPUTED_VALUE"""),"OKC")</f>
        <v>OKC</v>
      </c>
      <c r="E2017" s="164" t="str">
        <f>IFERROR(__xludf.DUMMYFUNCTION("""COMPUTED_VALUE"""),"Shot Creator")</f>
        <v>Shot Creator</v>
      </c>
      <c r="F2017" s="164">
        <f>IFERROR(__xludf.DUMMYFUNCTION("""COMPUTED_VALUE"""),2913.65666666667)</f>
        <v>2913.656667</v>
      </c>
      <c r="G2017" s="163">
        <f>IFERROR(__xludf.DUMMYFUNCTION("""COMPUTED_VALUE"""),80.0)</f>
        <v>80</v>
      </c>
      <c r="H2017" s="163" t="str">
        <f>IFERROR(__xludf.DUMMYFUNCTION("""COMPUTED_VALUE"""),"PG")</f>
        <v>PG</v>
      </c>
      <c r="I2017" s="163">
        <f>IFERROR(__xludf.DUMMYFUNCTION("""COMPUTED_VALUE"""),29.0)</f>
        <v>29</v>
      </c>
      <c r="J2017" s="165">
        <f>IFERROR(__xludf.DUMMYFUNCTION("""COMPUTED_VALUE"""),4.40993398258453)</f>
        <v>4.409933983</v>
      </c>
      <c r="K2017" s="165">
        <f>IFERROR(__xludf.DUMMYFUNCTION("""COMPUTED_VALUE"""),3.80451255015992)</f>
        <v>3.80451255</v>
      </c>
      <c r="L2017" s="165">
        <f>IFERROR(__xludf.DUMMYFUNCTION("""COMPUTED_VALUE"""),0.605421432424616)</f>
        <v>0.6054214324</v>
      </c>
      <c r="M2017" s="166">
        <f t="shared" si="2"/>
        <v>12.92787127</v>
      </c>
      <c r="N2017" s="167">
        <f t="shared" si="3"/>
        <v>36.42070833</v>
      </c>
      <c r="O2017" s="163">
        <f t="shared" ref="O2017:Q2017" si="2021">rank(I2017,I:I)</f>
        <v>855</v>
      </c>
      <c r="P2017" s="163">
        <f t="shared" si="2021"/>
        <v>73</v>
      </c>
      <c r="Q2017" s="163">
        <f t="shared" si="2021"/>
        <v>70</v>
      </c>
      <c r="R2017" s="163">
        <f>IFERROR(__xludf.DUMMYFUNCTION("RANK(M2017,filter(M:M,C:C=C2017))"),4.0)</f>
        <v>4</v>
      </c>
      <c r="S2017" s="161" t="b">
        <f t="shared" si="5"/>
        <v>0</v>
      </c>
      <c r="T2017" s="161" t="b">
        <f t="array" ref="T2017">index('Query Tool'!B:B,match(H2017,'Query Tool'!C:C,0))</f>
        <v>1</v>
      </c>
      <c r="U2017" s="161" t="b">
        <f t="array" ref="U2017">index('Query Tool'!B:B,match(C2017,'Query Tool'!C:C,0))</f>
        <v>0</v>
      </c>
      <c r="V2017" s="161" t="b">
        <f>F2017&gt;='Query Tool'!C$32</f>
        <v>1</v>
      </c>
      <c r="W2017" s="161" t="b">
        <f t="array" ref="W2017">index(Dropdowns!B:B,match(I2017,Dropdowns!A:A,0))</f>
        <v>1</v>
      </c>
      <c r="X2017" s="161" t="b">
        <f t="array" ref="X2017">index('Query Tool'!B:B,match(D2017,'Query Tool'!C:C,0))</f>
        <v>1</v>
      </c>
      <c r="Y2017" s="161" t="str">
        <f t="shared" si="6"/>
        <v>westbru01,2017-18</v>
      </c>
      <c r="Z2017" s="168">
        <f t="array" ref="Z2017">iferror(index(I:I,match($A2017&amp;","&amp;index('Year Conversion'!$A:$A,match($C2017,'Year Conversion'!$B:$B,0)),$Y:$Y,0))-I2017,"")</f>
        <v>1</v>
      </c>
      <c r="AA2017" s="168">
        <f t="array" ref="AA2017">iferror(index(J:J,match($A2017&amp;","&amp;index('Year Conversion'!$A:$A,match($C2017,'Year Conversion'!$B:$B,0)),$Y:$Y,0))-J2017,"")</f>
        <v>-0.06446032394</v>
      </c>
      <c r="AB2017" s="168">
        <f t="array" ref="AB2017">iferror(index(K:K,match($A2017&amp;","&amp;index('Year Conversion'!$A:$A,match($C2017,'Year Conversion'!$B:$B,0)),$Y:$Y,0))-K2017,"")</f>
        <v>-0.8358870771</v>
      </c>
      <c r="AC2017" s="168" t="str">
        <f t="shared" si="7"/>
        <v>OKC,2017-18</v>
      </c>
    </row>
    <row r="2018">
      <c r="A2018" s="161" t="str">
        <f>IFERROR(__xludf.DUMMYFUNCTION("""COMPUTED_VALUE"""),"loveke01")</f>
        <v>loveke01</v>
      </c>
      <c r="B2018" s="161" t="str">
        <f>IFERROR(__xludf.DUMMYFUNCTION("""COMPUTED_VALUE"""),"Kevin Love")</f>
        <v>Kevin Love</v>
      </c>
      <c r="C2018" s="162" t="str">
        <f>IFERROR(__xludf.DUMMYFUNCTION("""COMPUTED_VALUE"""),"2017-18")</f>
        <v>2017-18</v>
      </c>
      <c r="D2018" s="163" t="str">
        <f>IFERROR(__xludf.DUMMYFUNCTION("""COMPUTED_VALUE"""),"CLE")</f>
        <v>CLE</v>
      </c>
      <c r="E2018" s="164" t="str">
        <f>IFERROR(__xludf.DUMMYFUNCTION("""COMPUTED_VALUE"""),"Versatile Big")</f>
        <v>Versatile Big</v>
      </c>
      <c r="F2018" s="164">
        <f>IFERROR(__xludf.DUMMYFUNCTION("""COMPUTED_VALUE"""),1651.00833333333)</f>
        <v>1651.008333</v>
      </c>
      <c r="G2018" s="163">
        <f>IFERROR(__xludf.DUMMYFUNCTION("""COMPUTED_VALUE"""),59.0)</f>
        <v>59</v>
      </c>
      <c r="H2018" s="163" t="str">
        <f>IFERROR(__xludf.DUMMYFUNCTION("""COMPUTED_VALUE"""),"C")</f>
        <v>C</v>
      </c>
      <c r="I2018" s="163">
        <f>IFERROR(__xludf.DUMMYFUNCTION("""COMPUTED_VALUE"""),29.0)</f>
        <v>29</v>
      </c>
      <c r="J2018" s="165">
        <f>IFERROR(__xludf.DUMMYFUNCTION("""COMPUTED_VALUE"""),2.62155089621281)</f>
        <v>2.621550896</v>
      </c>
      <c r="K2018" s="165">
        <f>IFERROR(__xludf.DUMMYFUNCTION("""COMPUTED_VALUE"""),2.25744473517941)</f>
        <v>2.257444735</v>
      </c>
      <c r="L2018" s="165">
        <f>IFERROR(__xludf.DUMMYFUNCTION("""COMPUTED_VALUE"""),0.364106161033398)</f>
        <v>0.364106161</v>
      </c>
      <c r="M2018" s="166">
        <f t="shared" si="2"/>
        <v>5.435790275</v>
      </c>
      <c r="N2018" s="167">
        <f t="shared" si="3"/>
        <v>27.98319209</v>
      </c>
      <c r="O2018" s="163">
        <f t="shared" ref="O2018:Q2018" si="2022">rank(I2018,I:I)</f>
        <v>855</v>
      </c>
      <c r="P2018" s="163">
        <f t="shared" si="2022"/>
        <v>207</v>
      </c>
      <c r="Q2018" s="163">
        <f t="shared" si="2022"/>
        <v>186</v>
      </c>
      <c r="R2018" s="163">
        <f>IFERROR(__xludf.DUMMYFUNCTION("RANK(M2018,filter(M:M,C:C=C2018))"),46.0)</f>
        <v>46</v>
      </c>
      <c r="S2018" s="161" t="b">
        <f t="shared" si="5"/>
        <v>0</v>
      </c>
      <c r="T2018" s="161" t="b">
        <f t="array" ref="T2018">index('Query Tool'!B:B,match(H2018,'Query Tool'!C:C,0))</f>
        <v>1</v>
      </c>
      <c r="U2018" s="161" t="b">
        <f t="array" ref="U2018">index('Query Tool'!B:B,match(C2018,'Query Tool'!C:C,0))</f>
        <v>0</v>
      </c>
      <c r="V2018" s="161" t="b">
        <f>F2018&gt;='Query Tool'!C$32</f>
        <v>1</v>
      </c>
      <c r="W2018" s="161" t="b">
        <f t="array" ref="W2018">index(Dropdowns!B:B,match(I2018,Dropdowns!A:A,0))</f>
        <v>1</v>
      </c>
      <c r="X2018" s="161" t="b">
        <f t="array" ref="X2018">index('Query Tool'!B:B,match(D2018,'Query Tool'!C:C,0))</f>
        <v>1</v>
      </c>
      <c r="Y2018" s="161" t="str">
        <f t="shared" si="6"/>
        <v>loveke01,2017-18</v>
      </c>
      <c r="Z2018" s="168">
        <f t="array" ref="Z2018">iferror(index(I:I,match($A2018&amp;","&amp;index('Year Conversion'!$A:$A,match($C2018,'Year Conversion'!$B:$B,0)),$Y:$Y,0))-I2018,"")</f>
        <v>1</v>
      </c>
      <c r="AA2018" s="168">
        <f t="array" ref="AA2018">iferror(index(J:J,match($A2018&amp;","&amp;index('Year Conversion'!$A:$A,match($C2018,'Year Conversion'!$B:$B,0)),$Y:$Y,0))-J2018,"")</f>
        <v>0.7892557705</v>
      </c>
      <c r="AB2018" s="168">
        <f t="array" ref="AB2018">iferror(index(K:K,match($A2018&amp;","&amp;index('Year Conversion'!$A:$A,match($C2018,'Year Conversion'!$B:$B,0)),$Y:$Y,0))-K2018,"")</f>
        <v>0.161994168</v>
      </c>
      <c r="AC2018" s="168" t="str">
        <f t="shared" si="7"/>
        <v>CLE,2017-18</v>
      </c>
    </row>
    <row r="2019">
      <c r="A2019" s="161" t="str">
        <f>IFERROR(__xludf.DUMMYFUNCTION("""COMPUTED_VALUE"""),"gallida01")</f>
        <v>gallida01</v>
      </c>
      <c r="B2019" s="161" t="str">
        <f>IFERROR(__xludf.DUMMYFUNCTION("""COMPUTED_VALUE"""),"Danilo Gallinari")</f>
        <v>Danilo Gallinari</v>
      </c>
      <c r="C2019" s="162" t="str">
        <f>IFERROR(__xludf.DUMMYFUNCTION("""COMPUTED_VALUE"""),"2017-18")</f>
        <v>2017-18</v>
      </c>
      <c r="D2019" s="163" t="str">
        <f>IFERROR(__xludf.DUMMYFUNCTION("""COMPUTED_VALUE"""),"LAC")</f>
        <v>LAC</v>
      </c>
      <c r="E2019" s="164" t="str">
        <f>IFERROR(__xludf.DUMMYFUNCTION("""COMPUTED_VALUE"""),"Stationary Shooter")</f>
        <v>Stationary Shooter</v>
      </c>
      <c r="F2019" s="164">
        <f>IFERROR(__xludf.DUMMYFUNCTION("""COMPUTED_VALUE"""),671.055)</f>
        <v>671.055</v>
      </c>
      <c r="G2019" s="163">
        <f>IFERROR(__xludf.DUMMYFUNCTION("""COMPUTED_VALUE"""),21.0)</f>
        <v>21</v>
      </c>
      <c r="H2019" s="163" t="str">
        <f>IFERROR(__xludf.DUMMYFUNCTION("""COMPUTED_VALUE"""),"SF")</f>
        <v>SF</v>
      </c>
      <c r="I2019" s="163">
        <f>IFERROR(__xludf.DUMMYFUNCTION("""COMPUTED_VALUE"""),29.0)</f>
        <v>29</v>
      </c>
      <c r="J2019" s="165">
        <f>IFERROR(__xludf.DUMMYFUNCTION("""COMPUTED_VALUE"""),1.10815987341113)</f>
        <v>1.108159873</v>
      </c>
      <c r="K2019" s="165">
        <f>IFERROR(__xludf.DUMMYFUNCTION("""COMPUTED_VALUE"""),0.60328722646932)</f>
        <v>0.6032872265</v>
      </c>
      <c r="L2019" s="165">
        <f>IFERROR(__xludf.DUMMYFUNCTION("""COMPUTED_VALUE"""),0.504872646941813)</f>
        <v>0.5048726469</v>
      </c>
      <c r="M2019" s="166">
        <f t="shared" si="2"/>
        <v>1.535041562</v>
      </c>
      <c r="N2019" s="167">
        <f t="shared" si="3"/>
        <v>31.955</v>
      </c>
      <c r="O2019" s="163">
        <f t="shared" ref="O2019:Q2019" si="2023">rank(I2019,I:I)</f>
        <v>855</v>
      </c>
      <c r="P2019" s="163">
        <f t="shared" si="2023"/>
        <v>615</v>
      </c>
      <c r="Q2019" s="163">
        <f t="shared" si="2023"/>
        <v>705</v>
      </c>
      <c r="R2019" s="163">
        <f>IFERROR(__xludf.DUMMYFUNCTION("RANK(M2019,filter(M:M,C:C=C2019))"),188.0)</f>
        <v>188</v>
      </c>
      <c r="S2019" s="161" t="b">
        <f t="shared" si="5"/>
        <v>0</v>
      </c>
      <c r="T2019" s="161" t="b">
        <f t="array" ref="T2019">index('Query Tool'!B:B,match(H2019,'Query Tool'!C:C,0))</f>
        <v>1</v>
      </c>
      <c r="U2019" s="161" t="b">
        <f t="array" ref="U2019">index('Query Tool'!B:B,match(C2019,'Query Tool'!C:C,0))</f>
        <v>0</v>
      </c>
      <c r="V2019" s="161" t="b">
        <f>F2019&gt;='Query Tool'!C$32</f>
        <v>1</v>
      </c>
      <c r="W2019" s="161" t="b">
        <f t="array" ref="W2019">index(Dropdowns!B:B,match(I2019,Dropdowns!A:A,0))</f>
        <v>1</v>
      </c>
      <c r="X2019" s="161" t="b">
        <f t="array" ref="X2019">index('Query Tool'!B:B,match(D2019,'Query Tool'!C:C,0))</f>
        <v>1</v>
      </c>
      <c r="Y2019" s="161" t="str">
        <f t="shared" si="6"/>
        <v>gallida01,2017-18</v>
      </c>
      <c r="Z2019" s="168">
        <f t="array" ref="Z2019">iferror(index(I:I,match($A2019&amp;","&amp;index('Year Conversion'!$A:$A,match($C2019,'Year Conversion'!$B:$B,0)),$Y:$Y,0))-I2019,"")</f>
        <v>1</v>
      </c>
      <c r="AA2019" s="168">
        <f t="array" ref="AA2019">iferror(index(J:J,match($A2019&amp;","&amp;index('Year Conversion'!$A:$A,match($C2019,'Year Conversion'!$B:$B,0)),$Y:$Y,0))-J2019,"")</f>
        <v>1.575178151</v>
      </c>
      <c r="AB2019" s="168">
        <f t="array" ref="AB2019">iferror(index(K:K,match($A2019&amp;","&amp;index('Year Conversion'!$A:$A,match($C2019,'Year Conversion'!$B:$B,0)),$Y:$Y,0))-K2019,"")</f>
        <v>1.756689197</v>
      </c>
      <c r="AC2019" s="168" t="str">
        <f t="shared" si="7"/>
        <v>LAC,2017-18</v>
      </c>
    </row>
    <row r="2020">
      <c r="A2020" s="161" t="str">
        <f>IFERROR(__xludf.DUMMYFUNCTION("""COMPUTED_VALUE"""),"gordoer01")</f>
        <v>gordoer01</v>
      </c>
      <c r="B2020" s="161" t="str">
        <f>IFERROR(__xludf.DUMMYFUNCTION("""COMPUTED_VALUE"""),"Eric Gordon")</f>
        <v>Eric Gordon</v>
      </c>
      <c r="C2020" s="162" t="str">
        <f>IFERROR(__xludf.DUMMYFUNCTION("""COMPUTED_VALUE"""),"2017-18")</f>
        <v>2017-18</v>
      </c>
      <c r="D2020" s="163" t="str">
        <f>IFERROR(__xludf.DUMMYFUNCTION("""COMPUTED_VALUE"""),"HOU")</f>
        <v>HOU</v>
      </c>
      <c r="E2020" s="164" t="str">
        <f>IFERROR(__xludf.DUMMYFUNCTION("""COMPUTED_VALUE"""),"Secondary Ball Handler")</f>
        <v>Secondary Ball Handler</v>
      </c>
      <c r="F2020" s="164">
        <f>IFERROR(__xludf.DUMMYFUNCTION("""COMPUTED_VALUE"""),2153.98333333333)</f>
        <v>2153.983333</v>
      </c>
      <c r="G2020" s="163">
        <f>IFERROR(__xludf.DUMMYFUNCTION("""COMPUTED_VALUE"""),69.0)</f>
        <v>69</v>
      </c>
      <c r="H2020" s="163" t="str">
        <f>IFERROR(__xludf.DUMMYFUNCTION("""COMPUTED_VALUE"""),"SG")</f>
        <v>SG</v>
      </c>
      <c r="I2020" s="163">
        <f>IFERROR(__xludf.DUMMYFUNCTION("""COMPUTED_VALUE"""),29.0)</f>
        <v>29</v>
      </c>
      <c r="J2020" s="165">
        <f>IFERROR(__xludf.DUMMYFUNCTION("""COMPUTED_VALUE"""),0.850671400714456)</f>
        <v>0.8506714007</v>
      </c>
      <c r="K2020" s="165">
        <f>IFERROR(__xludf.DUMMYFUNCTION("""COMPUTED_VALUE"""),2.42856773915867)</f>
        <v>2.428567739</v>
      </c>
      <c r="L2020" s="165">
        <f>IFERROR(__xludf.DUMMYFUNCTION("""COMPUTED_VALUE"""),-1.57789633844421)</f>
        <v>-1.577896338</v>
      </c>
      <c r="M2020" s="166">
        <f t="shared" si="2"/>
        <v>4.554823537</v>
      </c>
      <c r="N2020" s="167">
        <f t="shared" si="3"/>
        <v>31.21714976</v>
      </c>
      <c r="O2020" s="163">
        <f t="shared" ref="O2020:Q2020" si="2024">rank(I2020,I:I)</f>
        <v>855</v>
      </c>
      <c r="P2020" s="163">
        <f t="shared" si="2024"/>
        <v>713</v>
      </c>
      <c r="Q2020" s="163">
        <f t="shared" si="2024"/>
        <v>166</v>
      </c>
      <c r="R2020" s="163">
        <f>IFERROR(__xludf.DUMMYFUNCTION("RANK(M2020,filter(M:M,C:C=C2020))"),68.0)</f>
        <v>68</v>
      </c>
      <c r="S2020" s="161" t="b">
        <f t="shared" si="5"/>
        <v>0</v>
      </c>
      <c r="T2020" s="161" t="b">
        <f t="array" ref="T2020">index('Query Tool'!B:B,match(H2020,'Query Tool'!C:C,0))</f>
        <v>1</v>
      </c>
      <c r="U2020" s="161" t="b">
        <f t="array" ref="U2020">index('Query Tool'!B:B,match(C2020,'Query Tool'!C:C,0))</f>
        <v>0</v>
      </c>
      <c r="V2020" s="161" t="b">
        <f>F2020&gt;='Query Tool'!C$32</f>
        <v>1</v>
      </c>
      <c r="W2020" s="161" t="b">
        <f t="array" ref="W2020">index(Dropdowns!B:B,match(I2020,Dropdowns!A:A,0))</f>
        <v>1</v>
      </c>
      <c r="X2020" s="161" t="b">
        <f t="array" ref="X2020">index('Query Tool'!B:B,match(D2020,'Query Tool'!C:C,0))</f>
        <v>1</v>
      </c>
      <c r="Y2020" s="161" t="str">
        <f t="shared" si="6"/>
        <v>gordoer01,2017-18</v>
      </c>
      <c r="Z2020" s="168">
        <f t="array" ref="Z2020">iferror(index(I:I,match($A2020&amp;","&amp;index('Year Conversion'!$A:$A,match($C2020,'Year Conversion'!$B:$B,0)),$Y:$Y,0))-I2020,"")</f>
        <v>1</v>
      </c>
      <c r="AA2020" s="168">
        <f t="array" ref="AA2020">iferror(index(J:J,match($A2020&amp;","&amp;index('Year Conversion'!$A:$A,match($C2020,'Year Conversion'!$B:$B,0)),$Y:$Y,0))-J2020,"")</f>
        <v>0.06003342297</v>
      </c>
      <c r="AB2020" s="168">
        <f t="array" ref="AB2020">iferror(index(K:K,match($A2020&amp;","&amp;index('Year Conversion'!$A:$A,match($C2020,'Year Conversion'!$B:$B,0)),$Y:$Y,0))-K2020,"")</f>
        <v>-0.6050321565</v>
      </c>
      <c r="AC2020" s="168" t="str">
        <f t="shared" si="7"/>
        <v>HOU,2017-18</v>
      </c>
    </row>
    <row r="2021">
      <c r="A2021" s="161" t="str">
        <f>IFERROR(__xludf.DUMMYFUNCTION("""COMPUTED_VALUE"""),"augusdj01")</f>
        <v>augusdj01</v>
      </c>
      <c r="B2021" s="161" t="str">
        <f>IFERROR(__xludf.DUMMYFUNCTION("""COMPUTED_VALUE"""),"D.J. Augustin")</f>
        <v>D.J. Augustin</v>
      </c>
      <c r="C2021" s="162" t="str">
        <f>IFERROR(__xludf.DUMMYFUNCTION("""COMPUTED_VALUE"""),"2017-18")</f>
        <v>2017-18</v>
      </c>
      <c r="D2021" s="163" t="str">
        <f>IFERROR(__xludf.DUMMYFUNCTION("""COMPUTED_VALUE"""),"ORL")</f>
        <v>ORL</v>
      </c>
      <c r="E2021" s="164" t="str">
        <f>IFERROR(__xludf.DUMMYFUNCTION("""COMPUTED_VALUE"""),"Primary Ball Handler")</f>
        <v>Primary Ball Handler</v>
      </c>
      <c r="F2021" s="164">
        <f>IFERROR(__xludf.DUMMYFUNCTION("""COMPUTED_VALUE"""),1760.04833333333)</f>
        <v>1760.048333</v>
      </c>
      <c r="G2021" s="163">
        <f>IFERROR(__xludf.DUMMYFUNCTION("""COMPUTED_VALUE"""),75.0)</f>
        <v>75</v>
      </c>
      <c r="H2021" s="163" t="str">
        <f>IFERROR(__xludf.DUMMYFUNCTION("""COMPUTED_VALUE"""),"PG")</f>
        <v>PG</v>
      </c>
      <c r="I2021" s="163">
        <f>IFERROR(__xludf.DUMMYFUNCTION("""COMPUTED_VALUE"""),30.0)</f>
        <v>30</v>
      </c>
      <c r="J2021" s="165">
        <f>IFERROR(__xludf.DUMMYFUNCTION("""COMPUTED_VALUE"""),-0.807624339921884)</f>
        <v>-0.8076243399</v>
      </c>
      <c r="K2021" s="165">
        <f>IFERROR(__xludf.DUMMYFUNCTION("""COMPUTED_VALUE"""),0.496466138569741)</f>
        <v>0.4964661386</v>
      </c>
      <c r="L2021" s="165">
        <f>IFERROR(__xludf.DUMMYFUNCTION("""COMPUTED_VALUE"""),-1.30409047849162)</f>
        <v>-1.304090478</v>
      </c>
      <c r="M2021" s="166">
        <f t="shared" si="2"/>
        <v>1.755942832</v>
      </c>
      <c r="N2021" s="167">
        <f t="shared" si="3"/>
        <v>23.46731111</v>
      </c>
      <c r="O2021" s="163">
        <f t="shared" ref="O2021:Q2021" si="2025">rank(I2021,I:I)</f>
        <v>655</v>
      </c>
      <c r="P2021" s="163">
        <f t="shared" si="2025"/>
        <v>2287</v>
      </c>
      <c r="Q2021" s="163">
        <f t="shared" si="2025"/>
        <v>769</v>
      </c>
      <c r="R2021" s="163">
        <f>IFERROR(__xludf.DUMMYFUNCTION("RANK(M2021,filter(M:M,C:C=C2021))"),174.0)</f>
        <v>174</v>
      </c>
      <c r="S2021" s="161" t="b">
        <f t="shared" si="5"/>
        <v>0</v>
      </c>
      <c r="T2021" s="161" t="b">
        <f t="array" ref="T2021">index('Query Tool'!B:B,match(H2021,'Query Tool'!C:C,0))</f>
        <v>1</v>
      </c>
      <c r="U2021" s="161" t="b">
        <f t="array" ref="U2021">index('Query Tool'!B:B,match(C2021,'Query Tool'!C:C,0))</f>
        <v>0</v>
      </c>
      <c r="V2021" s="161" t="b">
        <f>F2021&gt;='Query Tool'!C$32</f>
        <v>1</v>
      </c>
      <c r="W2021" s="161" t="b">
        <f t="array" ref="W2021">index(Dropdowns!B:B,match(I2021,Dropdowns!A:A,0))</f>
        <v>1</v>
      </c>
      <c r="X2021" s="161" t="b">
        <f t="array" ref="X2021">index('Query Tool'!B:B,match(D2021,'Query Tool'!C:C,0))</f>
        <v>1</v>
      </c>
      <c r="Y2021" s="161" t="str">
        <f t="shared" si="6"/>
        <v>augusdj01,2017-18</v>
      </c>
      <c r="Z2021" s="168">
        <f t="array" ref="Z2021">iferror(index(I:I,match($A2021&amp;","&amp;index('Year Conversion'!$A:$A,match($C2021,'Year Conversion'!$B:$B,0)),$Y:$Y,0))-I2021,"")</f>
        <v>1</v>
      </c>
      <c r="AA2021" s="168">
        <f t="array" ref="AA2021">iferror(index(J:J,match($A2021&amp;","&amp;index('Year Conversion'!$A:$A,match($C2021,'Year Conversion'!$B:$B,0)),$Y:$Y,0))-J2021,"")</f>
        <v>1.427472679</v>
      </c>
      <c r="AB2021" s="168">
        <f t="array" ref="AB2021">iferror(index(K:K,match($A2021&amp;","&amp;index('Year Conversion'!$A:$A,match($C2021,'Year Conversion'!$B:$B,0)),$Y:$Y,0))-K2021,"")</f>
        <v>0.680662423</v>
      </c>
      <c r="AC2021" s="168" t="str">
        <f t="shared" si="7"/>
        <v>ORL,2017-18</v>
      </c>
    </row>
    <row r="2022">
      <c r="A2022" s="161" t="str">
        <f>IFERROR(__xludf.DUMMYFUNCTION("""COMPUTED_VALUE"""),"lopezbr01")</f>
        <v>lopezbr01</v>
      </c>
      <c r="B2022" s="161" t="str">
        <f>IFERROR(__xludf.DUMMYFUNCTION("""COMPUTED_VALUE"""),"Brook Lopez")</f>
        <v>Brook Lopez</v>
      </c>
      <c r="C2022" s="162" t="str">
        <f>IFERROR(__xludf.DUMMYFUNCTION("""COMPUTED_VALUE"""),"2017-18")</f>
        <v>2017-18</v>
      </c>
      <c r="D2022" s="163" t="str">
        <f>IFERROR(__xludf.DUMMYFUNCTION("""COMPUTED_VALUE"""),"LAL")</f>
        <v>LAL</v>
      </c>
      <c r="E2022" s="164" t="str">
        <f>IFERROR(__xludf.DUMMYFUNCTION("""COMPUTED_VALUE"""),"Versatile Big")</f>
        <v>Versatile Big</v>
      </c>
      <c r="F2022" s="164">
        <f>IFERROR(__xludf.DUMMYFUNCTION("""COMPUTED_VALUE"""),1734.94666666667)</f>
        <v>1734.946667</v>
      </c>
      <c r="G2022" s="163">
        <f>IFERROR(__xludf.DUMMYFUNCTION("""COMPUTED_VALUE"""),74.0)</f>
        <v>74</v>
      </c>
      <c r="H2022" s="163" t="str">
        <f>IFERROR(__xludf.DUMMYFUNCTION("""COMPUTED_VALUE"""),"C")</f>
        <v>C</v>
      </c>
      <c r="I2022" s="163">
        <f>IFERROR(__xludf.DUMMYFUNCTION("""COMPUTED_VALUE"""),29.0)</f>
        <v>29</v>
      </c>
      <c r="J2022" s="165">
        <f>IFERROR(__xludf.DUMMYFUNCTION("""COMPUTED_VALUE"""),0.367882610346091)</f>
        <v>0.3678826103</v>
      </c>
      <c r="K2022" s="165">
        <f>IFERROR(__xludf.DUMMYFUNCTION("""COMPUTED_VALUE"""),0.0562789477595487)</f>
        <v>0.05627894776</v>
      </c>
      <c r="L2022" s="165">
        <f>IFERROR(__xludf.DUMMYFUNCTION("""COMPUTED_VALUE"""),0.311603662586542)</f>
        <v>0.3116036626</v>
      </c>
      <c r="M2022" s="166">
        <f t="shared" si="2"/>
        <v>3.104934734</v>
      </c>
      <c r="N2022" s="167">
        <f t="shared" si="3"/>
        <v>23.44522523</v>
      </c>
      <c r="O2022" s="163">
        <f t="shared" ref="O2022:Q2022" si="2026">rank(I2022,I:I)</f>
        <v>855</v>
      </c>
      <c r="P2022" s="163">
        <f t="shared" si="2026"/>
        <v>971</v>
      </c>
      <c r="Q2022" s="163">
        <f t="shared" si="2026"/>
        <v>1124</v>
      </c>
      <c r="R2022" s="163">
        <f>IFERROR(__xludf.DUMMYFUNCTION("RANK(M2022,filter(M:M,C:C=C2022))"),106.0)</f>
        <v>106</v>
      </c>
      <c r="S2022" s="161" t="b">
        <f t="shared" si="5"/>
        <v>0</v>
      </c>
      <c r="T2022" s="161" t="b">
        <f t="array" ref="T2022">index('Query Tool'!B:B,match(H2022,'Query Tool'!C:C,0))</f>
        <v>1</v>
      </c>
      <c r="U2022" s="161" t="b">
        <f t="array" ref="U2022">index('Query Tool'!B:B,match(C2022,'Query Tool'!C:C,0))</f>
        <v>0</v>
      </c>
      <c r="V2022" s="161" t="b">
        <f>F2022&gt;='Query Tool'!C$32</f>
        <v>1</v>
      </c>
      <c r="W2022" s="161" t="b">
        <f t="array" ref="W2022">index(Dropdowns!B:B,match(I2022,Dropdowns!A:A,0))</f>
        <v>1</v>
      </c>
      <c r="X2022" s="161" t="b">
        <f t="array" ref="X2022">index('Query Tool'!B:B,match(D2022,'Query Tool'!C:C,0))</f>
        <v>1</v>
      </c>
      <c r="Y2022" s="161" t="str">
        <f t="shared" si="6"/>
        <v>lopezbr01,2017-18</v>
      </c>
      <c r="Z2022" s="168">
        <f t="array" ref="Z2022">iferror(index(I:I,match($A2022&amp;","&amp;index('Year Conversion'!$A:$A,match($C2022,'Year Conversion'!$B:$B,0)),$Y:$Y,0))-I2022,"")</f>
        <v>1</v>
      </c>
      <c r="AA2022" s="168">
        <f t="array" ref="AA2022">iferror(index(J:J,match($A2022&amp;","&amp;index('Year Conversion'!$A:$A,match($C2022,'Year Conversion'!$B:$B,0)),$Y:$Y,0))-J2022,"")</f>
        <v>2.754286131</v>
      </c>
      <c r="AB2022" s="168">
        <f t="array" ref="AB2022">iferror(index(K:K,match($A2022&amp;","&amp;index('Year Conversion'!$A:$A,match($C2022,'Year Conversion'!$B:$B,0)),$Y:$Y,0))-K2022,"")</f>
        <v>-0.3126811913</v>
      </c>
      <c r="AC2022" s="168" t="str">
        <f t="shared" si="7"/>
        <v>LAL,2017-18</v>
      </c>
    </row>
    <row r="2023">
      <c r="A2023" s="161" t="str">
        <f>IFERROR(__xludf.DUMMYFUNCTION("""COMPUTED_VALUE"""),"bayleje01")</f>
        <v>bayleje01</v>
      </c>
      <c r="B2023" s="161" t="str">
        <f>IFERROR(__xludf.DUMMYFUNCTION("""COMPUTED_VALUE"""),"Jerryd Bayless")</f>
        <v>Jerryd Bayless</v>
      </c>
      <c r="C2023" s="162" t="str">
        <f>IFERROR(__xludf.DUMMYFUNCTION("""COMPUTED_VALUE"""),"2017-18")</f>
        <v>2017-18</v>
      </c>
      <c r="D2023" s="163" t="str">
        <f>IFERROR(__xludf.DUMMYFUNCTION("""COMPUTED_VALUE"""),"PHI")</f>
        <v>PHI</v>
      </c>
      <c r="E2023" s="164" t="str">
        <f>IFERROR(__xludf.DUMMYFUNCTION("""COMPUTED_VALUE"""),"Movement Shooter")</f>
        <v>Movement Shooter</v>
      </c>
      <c r="F2023" s="164">
        <f>IFERROR(__xludf.DUMMYFUNCTION("""COMPUTED_VALUE"""),924.691666666666)</f>
        <v>924.6916667</v>
      </c>
      <c r="G2023" s="163">
        <f>IFERROR(__xludf.DUMMYFUNCTION("""COMPUTED_VALUE"""),39.0)</f>
        <v>39</v>
      </c>
      <c r="H2023" s="163" t="str">
        <f>IFERROR(__xludf.DUMMYFUNCTION("""COMPUTED_VALUE"""),"SG")</f>
        <v>SG</v>
      </c>
      <c r="I2023" s="163">
        <f>IFERROR(__xludf.DUMMYFUNCTION("""COMPUTED_VALUE"""),29.0)</f>
        <v>29</v>
      </c>
      <c r="J2023" s="165">
        <f>IFERROR(__xludf.DUMMYFUNCTION("""COMPUTED_VALUE"""),-4.28325581419518)</f>
        <v>-4.283255814</v>
      </c>
      <c r="K2023" s="165">
        <f>IFERROR(__xludf.DUMMYFUNCTION("""COMPUTED_VALUE"""),-2.48987868077126)</f>
        <v>-2.489878681</v>
      </c>
      <c r="L2023" s="165">
        <f>IFERROR(__xludf.DUMMYFUNCTION("""COMPUTED_VALUE"""),-1.79337713342392)</f>
        <v>-1.793377133</v>
      </c>
      <c r="M2023" s="166">
        <f t="shared" si="2"/>
        <v>-1.178650236</v>
      </c>
      <c r="N2023" s="167">
        <f t="shared" si="3"/>
        <v>23.71004274</v>
      </c>
      <c r="O2023" s="163">
        <f t="shared" ref="O2023:Q2023" si="2027">rank(I2023,I:I)</f>
        <v>855</v>
      </c>
      <c r="P2023" s="163">
        <f t="shared" si="2027"/>
        <v>4006</v>
      </c>
      <c r="Q2023" s="163">
        <f t="shared" si="2027"/>
        <v>3888</v>
      </c>
      <c r="R2023" s="163">
        <f>IFERROR(__xludf.DUMMYFUNCTION("RANK(M2023,filter(M:M,C:C=C2023))"),537.0)</f>
        <v>537</v>
      </c>
      <c r="S2023" s="161" t="b">
        <f t="shared" si="5"/>
        <v>0</v>
      </c>
      <c r="T2023" s="161" t="b">
        <f t="array" ref="T2023">index('Query Tool'!B:B,match(H2023,'Query Tool'!C:C,0))</f>
        <v>1</v>
      </c>
      <c r="U2023" s="161" t="b">
        <f t="array" ref="U2023">index('Query Tool'!B:B,match(C2023,'Query Tool'!C:C,0))</f>
        <v>0</v>
      </c>
      <c r="V2023" s="161" t="b">
        <f>F2023&gt;='Query Tool'!C$32</f>
        <v>1</v>
      </c>
      <c r="W2023" s="161" t="b">
        <f t="array" ref="W2023">index(Dropdowns!B:B,match(I2023,Dropdowns!A:A,0))</f>
        <v>1</v>
      </c>
      <c r="X2023" s="161" t="b">
        <f t="array" ref="X2023">index('Query Tool'!B:B,match(D2023,'Query Tool'!C:C,0))</f>
        <v>1</v>
      </c>
      <c r="Y2023" s="161" t="str">
        <f t="shared" si="6"/>
        <v>bayleje01,2017-18</v>
      </c>
      <c r="Z2023" s="168">
        <f t="array" ref="Z2023">iferror(index(I:I,match($A2023&amp;","&amp;index('Year Conversion'!$A:$A,match($C2023,'Year Conversion'!$B:$B,0)),$Y:$Y,0))-I2023,"")</f>
        <v>1</v>
      </c>
      <c r="AA2023" s="168">
        <f t="array" ref="AA2023">iferror(index(J:J,match($A2023&amp;","&amp;index('Year Conversion'!$A:$A,match($C2023,'Year Conversion'!$B:$B,0)),$Y:$Y,0))-J2023,"")</f>
        <v>2.450619128</v>
      </c>
      <c r="AB2023" s="168">
        <f t="array" ref="AB2023">iferror(index(K:K,match($A2023&amp;","&amp;index('Year Conversion'!$A:$A,match($C2023,'Year Conversion'!$B:$B,0)),$Y:$Y,0))-K2023,"")</f>
        <v>2.214429549</v>
      </c>
      <c r="AC2023" s="168" t="str">
        <f t="shared" si="7"/>
        <v>PHI,2017-18</v>
      </c>
    </row>
    <row r="2024">
      <c r="A2024" s="161" t="str">
        <f>IFERROR(__xludf.DUMMYFUNCTION("""COMPUTED_VALUE"""),"lopezro01")</f>
        <v>lopezro01</v>
      </c>
      <c r="B2024" s="161" t="str">
        <f>IFERROR(__xludf.DUMMYFUNCTION("""COMPUTED_VALUE"""),"Robin Lopez")</f>
        <v>Robin Lopez</v>
      </c>
      <c r="C2024" s="162" t="str">
        <f>IFERROR(__xludf.DUMMYFUNCTION("""COMPUTED_VALUE"""),"2017-18")</f>
        <v>2017-18</v>
      </c>
      <c r="D2024" s="163" t="str">
        <f>IFERROR(__xludf.DUMMYFUNCTION("""COMPUTED_VALUE"""),"CHI")</f>
        <v>CHI</v>
      </c>
      <c r="E2024" s="164" t="str">
        <f>IFERROR(__xludf.DUMMYFUNCTION("""COMPUTED_VALUE"""),"Roll + Cut Big")</f>
        <v>Roll + Cut Big</v>
      </c>
      <c r="F2024" s="164">
        <f>IFERROR(__xludf.DUMMYFUNCTION("""COMPUTED_VALUE"""),1689.77666666667)</f>
        <v>1689.776667</v>
      </c>
      <c r="G2024" s="163">
        <f>IFERROR(__xludf.DUMMYFUNCTION("""COMPUTED_VALUE"""),64.0)</f>
        <v>64</v>
      </c>
      <c r="H2024" s="163" t="str">
        <f>IFERROR(__xludf.DUMMYFUNCTION("""COMPUTED_VALUE"""),"C")</f>
        <v>C</v>
      </c>
      <c r="I2024" s="163">
        <f>IFERROR(__xludf.DUMMYFUNCTION("""COMPUTED_VALUE"""),29.0)</f>
        <v>29</v>
      </c>
      <c r="J2024" s="165">
        <f>IFERROR(__xludf.DUMMYFUNCTION("""COMPUTED_VALUE"""),-1.15886862671576)</f>
        <v>-1.158868627</v>
      </c>
      <c r="K2024" s="165">
        <f>IFERROR(__xludf.DUMMYFUNCTION("""COMPUTED_VALUE"""),-1.25557823607579)</f>
        <v>-1.255578236</v>
      </c>
      <c r="L2024" s="165">
        <f>IFERROR(__xludf.DUMMYFUNCTION("""COMPUTED_VALUE"""),0.0967096093600303)</f>
        <v>0.09670960936</v>
      </c>
      <c r="M2024" s="166">
        <f t="shared" si="2"/>
        <v>1.287311758</v>
      </c>
      <c r="N2024" s="167">
        <f t="shared" si="3"/>
        <v>26.40276042</v>
      </c>
      <c r="O2024" s="163">
        <f t="shared" ref="O2024:Q2024" si="2028">rank(I2024,I:I)</f>
        <v>855</v>
      </c>
      <c r="P2024" s="163">
        <f t="shared" si="2028"/>
        <v>2693</v>
      </c>
      <c r="Q2024" s="163">
        <f t="shared" si="2028"/>
        <v>3092</v>
      </c>
      <c r="R2024" s="163">
        <f>IFERROR(__xludf.DUMMYFUNCTION("RANK(M2024,filter(M:M,C:C=C2024))"),206.0)</f>
        <v>206</v>
      </c>
      <c r="S2024" s="161" t="b">
        <f t="shared" si="5"/>
        <v>0</v>
      </c>
      <c r="T2024" s="161" t="b">
        <f t="array" ref="T2024">index('Query Tool'!B:B,match(H2024,'Query Tool'!C:C,0))</f>
        <v>1</v>
      </c>
      <c r="U2024" s="161" t="b">
        <f t="array" ref="U2024">index('Query Tool'!B:B,match(C2024,'Query Tool'!C:C,0))</f>
        <v>0</v>
      </c>
      <c r="V2024" s="161" t="b">
        <f>F2024&gt;='Query Tool'!C$32</f>
        <v>1</v>
      </c>
      <c r="W2024" s="161" t="b">
        <f t="array" ref="W2024">index(Dropdowns!B:B,match(I2024,Dropdowns!A:A,0))</f>
        <v>1</v>
      </c>
      <c r="X2024" s="161" t="b">
        <f t="array" ref="X2024">index('Query Tool'!B:B,match(D2024,'Query Tool'!C:C,0))</f>
        <v>1</v>
      </c>
      <c r="Y2024" s="161" t="str">
        <f t="shared" si="6"/>
        <v>lopezro01,2017-18</v>
      </c>
      <c r="Z2024" s="168">
        <f t="array" ref="Z2024">iferror(index(I:I,match($A2024&amp;","&amp;index('Year Conversion'!$A:$A,match($C2024,'Year Conversion'!$B:$B,0)),$Y:$Y,0))-I2024,"")</f>
        <v>1</v>
      </c>
      <c r="AA2024" s="168">
        <f t="array" ref="AA2024">iferror(index(J:J,match($A2024&amp;","&amp;index('Year Conversion'!$A:$A,match($C2024,'Year Conversion'!$B:$B,0)),$Y:$Y,0))-J2024,"")</f>
        <v>-0.9769527048</v>
      </c>
      <c r="AB2024" s="168">
        <f t="array" ref="AB2024">iferror(index(K:K,match($A2024&amp;","&amp;index('Year Conversion'!$A:$A,match($C2024,'Year Conversion'!$B:$B,0)),$Y:$Y,0))-K2024,"")</f>
        <v>-0.1758428551</v>
      </c>
      <c r="AC2024" s="168" t="str">
        <f t="shared" si="7"/>
        <v>CHI,2017-18</v>
      </c>
    </row>
    <row r="2025">
      <c r="A2025" s="161" t="str">
        <f>IFERROR(__xludf.DUMMYFUNCTION("""COMPUTED_VALUE"""),"speigma01")</f>
        <v>speigma01</v>
      </c>
      <c r="B2025" s="161" t="str">
        <f>IFERROR(__xludf.DUMMYFUNCTION("""COMPUTED_VALUE"""),"Marreese Speights")</f>
        <v>Marreese Speights</v>
      </c>
      <c r="C2025" s="162" t="str">
        <f>IFERROR(__xludf.DUMMYFUNCTION("""COMPUTED_VALUE"""),"2017-18")</f>
        <v>2017-18</v>
      </c>
      <c r="D2025" s="163" t="str">
        <f>IFERROR(__xludf.DUMMYFUNCTION("""COMPUTED_VALUE"""),"ORL")</f>
        <v>ORL</v>
      </c>
      <c r="E2025" s="164" t="str">
        <f>IFERROR(__xludf.DUMMYFUNCTION("""COMPUTED_VALUE"""),"Stretch Big")</f>
        <v>Stretch Big</v>
      </c>
      <c r="F2025" s="164">
        <f>IFERROR(__xludf.DUMMYFUNCTION("""COMPUTED_VALUE"""),675.033333333333)</f>
        <v>675.0333333</v>
      </c>
      <c r="G2025" s="163">
        <f>IFERROR(__xludf.DUMMYFUNCTION("""COMPUTED_VALUE"""),52.0)</f>
        <v>52</v>
      </c>
      <c r="H2025" s="163" t="str">
        <f>IFERROR(__xludf.DUMMYFUNCTION("""COMPUTED_VALUE"""),"C")</f>
        <v>C</v>
      </c>
      <c r="I2025" s="163">
        <f>IFERROR(__xludf.DUMMYFUNCTION("""COMPUTED_VALUE"""),30.0)</f>
        <v>30</v>
      </c>
      <c r="J2025" s="165">
        <f>IFERROR(__xludf.DUMMYFUNCTION("""COMPUTED_VALUE"""),0.256769912199882)</f>
        <v>0.2567699122</v>
      </c>
      <c r="K2025" s="165">
        <f>IFERROR(__xludf.DUMMYFUNCTION("""COMPUTED_VALUE"""),1.13555681162298)</f>
        <v>1.135556812</v>
      </c>
      <c r="L2025" s="165">
        <f>IFERROR(__xludf.DUMMYFUNCTION("""COMPUTED_VALUE"""),-0.878786899423098)</f>
        <v>-0.8787868994</v>
      </c>
      <c r="M2025" s="166">
        <f t="shared" si="2"/>
        <v>1.157521828</v>
      </c>
      <c r="N2025" s="167">
        <f t="shared" si="3"/>
        <v>12.98141026</v>
      </c>
      <c r="O2025" s="163">
        <f t="shared" ref="O2025:Q2025" si="2029">rank(I2025,I:I)</f>
        <v>655</v>
      </c>
      <c r="P2025" s="163">
        <f t="shared" si="2029"/>
        <v>1052</v>
      </c>
      <c r="Q2025" s="163">
        <f t="shared" si="2029"/>
        <v>440</v>
      </c>
      <c r="R2025" s="163">
        <f>IFERROR(__xludf.DUMMYFUNCTION("RANK(M2025,filter(M:M,C:C=C2025))"),220.0)</f>
        <v>220</v>
      </c>
      <c r="S2025" s="161" t="b">
        <f t="shared" si="5"/>
        <v>0</v>
      </c>
      <c r="T2025" s="161" t="b">
        <f t="array" ref="T2025">index('Query Tool'!B:B,match(H2025,'Query Tool'!C:C,0))</f>
        <v>1</v>
      </c>
      <c r="U2025" s="161" t="b">
        <f t="array" ref="U2025">index('Query Tool'!B:B,match(C2025,'Query Tool'!C:C,0))</f>
        <v>0</v>
      </c>
      <c r="V2025" s="161" t="b">
        <f>F2025&gt;='Query Tool'!C$32</f>
        <v>1</v>
      </c>
      <c r="W2025" s="161" t="b">
        <f t="array" ref="W2025">index(Dropdowns!B:B,match(I2025,Dropdowns!A:A,0))</f>
        <v>1</v>
      </c>
      <c r="X2025" s="161" t="b">
        <f t="array" ref="X2025">index('Query Tool'!B:B,match(D2025,'Query Tool'!C:C,0))</f>
        <v>1</v>
      </c>
      <c r="Y2025" s="161" t="str">
        <f t="shared" si="6"/>
        <v>speigma01,2017-18</v>
      </c>
      <c r="Z2025" s="168" t="str">
        <f t="array" ref="Z2025">iferror(index(I:I,match($A2025&amp;","&amp;index('Year Conversion'!$A:$A,match($C2025,'Year Conversion'!$B:$B,0)),$Y:$Y,0))-I2025,"")</f>
        <v/>
      </c>
      <c r="AA2025" s="168" t="str">
        <f t="array" ref="AA2025">iferror(index(J:J,match($A2025&amp;","&amp;index('Year Conversion'!$A:$A,match($C2025,'Year Conversion'!$B:$B,0)),$Y:$Y,0))-J2025,"")</f>
        <v/>
      </c>
      <c r="AB2025" s="168" t="str">
        <f t="array" ref="AB2025">iferror(index(K:K,match($A2025&amp;","&amp;index('Year Conversion'!$A:$A,match($C2025,'Year Conversion'!$B:$B,0)),$Y:$Y,0))-K2025,"")</f>
        <v/>
      </c>
      <c r="AC2025" s="168" t="str">
        <f t="shared" si="7"/>
        <v>ORL,2017-18</v>
      </c>
    </row>
    <row r="2026">
      <c r="A2026" s="161" t="str">
        <f>IFERROR(__xludf.DUMMYFUNCTION("""COMPUTED_VALUE"""),"mcgeeja01")</f>
        <v>mcgeeja01</v>
      </c>
      <c r="B2026" s="161" t="str">
        <f>IFERROR(__xludf.DUMMYFUNCTION("""COMPUTED_VALUE"""),"JaVale McGee")</f>
        <v>JaVale McGee</v>
      </c>
      <c r="C2026" s="162" t="str">
        <f>IFERROR(__xludf.DUMMYFUNCTION("""COMPUTED_VALUE"""),"2017-18")</f>
        <v>2017-18</v>
      </c>
      <c r="D2026" s="163" t="str">
        <f>IFERROR(__xludf.DUMMYFUNCTION("""COMPUTED_VALUE"""),"GSW")</f>
        <v>GSW</v>
      </c>
      <c r="E2026" s="164" t="str">
        <f>IFERROR(__xludf.DUMMYFUNCTION("""COMPUTED_VALUE"""),"Roll + Cut Big")</f>
        <v>Roll + Cut Big</v>
      </c>
      <c r="F2026" s="164">
        <f>IFERROR(__xludf.DUMMYFUNCTION("""COMPUTED_VALUE"""),615.386666666666)</f>
        <v>615.3866667</v>
      </c>
      <c r="G2026" s="163">
        <f>IFERROR(__xludf.DUMMYFUNCTION("""COMPUTED_VALUE"""),65.0)</f>
        <v>65</v>
      </c>
      <c r="H2026" s="163" t="str">
        <f>IFERROR(__xludf.DUMMYFUNCTION("""COMPUTED_VALUE"""),"C")</f>
        <v>C</v>
      </c>
      <c r="I2026" s="163">
        <f>IFERROR(__xludf.DUMMYFUNCTION("""COMPUTED_VALUE"""),30.0)</f>
        <v>30</v>
      </c>
      <c r="J2026" s="165">
        <f>IFERROR(__xludf.DUMMYFUNCTION("""COMPUTED_VALUE"""),0.651195178477977)</f>
        <v>0.6511951785</v>
      </c>
      <c r="K2026" s="165">
        <f>IFERROR(__xludf.DUMMYFUNCTION("""COMPUTED_VALUE"""),-0.240606533209935)</f>
        <v>-0.2406065332</v>
      </c>
      <c r="L2026" s="165">
        <f>IFERROR(__xludf.DUMMYFUNCTION("""COMPUTED_VALUE"""),0.891801711687912)</f>
        <v>0.8918017117</v>
      </c>
      <c r="M2026" s="166">
        <f t="shared" si="2"/>
        <v>1.218734757</v>
      </c>
      <c r="N2026" s="167">
        <f t="shared" si="3"/>
        <v>9.467487179</v>
      </c>
      <c r="O2026" s="163">
        <f t="shared" ref="O2026:Q2026" si="2030">rank(I2026,I:I)</f>
        <v>655</v>
      </c>
      <c r="P2026" s="163">
        <f t="shared" si="2030"/>
        <v>821</v>
      </c>
      <c r="Q2026" s="163">
        <f t="shared" si="2030"/>
        <v>1643</v>
      </c>
      <c r="R2026" s="163">
        <f>IFERROR(__xludf.DUMMYFUNCTION("RANK(M2026,filter(M:M,C:C=C2026))"),216.0)</f>
        <v>216</v>
      </c>
      <c r="S2026" s="161" t="b">
        <f t="shared" si="5"/>
        <v>0</v>
      </c>
      <c r="T2026" s="161" t="b">
        <f t="array" ref="T2026">index('Query Tool'!B:B,match(H2026,'Query Tool'!C:C,0))</f>
        <v>1</v>
      </c>
      <c r="U2026" s="161" t="b">
        <f t="array" ref="U2026">index('Query Tool'!B:B,match(C2026,'Query Tool'!C:C,0))</f>
        <v>0</v>
      </c>
      <c r="V2026" s="161" t="b">
        <f>F2026&gt;='Query Tool'!C$32</f>
        <v>1</v>
      </c>
      <c r="W2026" s="161" t="b">
        <f t="array" ref="W2026">index(Dropdowns!B:B,match(I2026,Dropdowns!A:A,0))</f>
        <v>1</v>
      </c>
      <c r="X2026" s="161" t="b">
        <f t="array" ref="X2026">index('Query Tool'!B:B,match(D2026,'Query Tool'!C:C,0))</f>
        <v>1</v>
      </c>
      <c r="Y2026" s="161" t="str">
        <f t="shared" si="6"/>
        <v>mcgeeja01,2017-18</v>
      </c>
      <c r="Z2026" s="168">
        <f t="array" ref="Z2026">iferror(index(I:I,match($A2026&amp;","&amp;index('Year Conversion'!$A:$A,match($C2026,'Year Conversion'!$B:$B,0)),$Y:$Y,0))-I2026,"")</f>
        <v>1</v>
      </c>
      <c r="AA2026" s="168">
        <f t="array" ref="AA2026">iferror(index(J:J,match($A2026&amp;","&amp;index('Year Conversion'!$A:$A,match($C2026,'Year Conversion'!$B:$B,0)),$Y:$Y,0))-J2026,"")</f>
        <v>0.3092773047</v>
      </c>
      <c r="AB2026" s="168">
        <f t="array" ref="AB2026">iferror(index(K:K,match($A2026&amp;","&amp;index('Year Conversion'!$A:$A,match($C2026,'Year Conversion'!$B:$B,0)),$Y:$Y,0))-K2026,"")</f>
        <v>-0.4244280162</v>
      </c>
      <c r="AC2026" s="168" t="str">
        <f t="shared" si="7"/>
        <v>GSW,2017-18</v>
      </c>
    </row>
    <row r="2027">
      <c r="A2027" s="161" t="str">
        <f>IFERROR(__xludf.DUMMYFUNCTION("""COMPUTED_VALUE"""),"anderry01")</f>
        <v>anderry01</v>
      </c>
      <c r="B2027" s="161" t="str">
        <f>IFERROR(__xludf.DUMMYFUNCTION("""COMPUTED_VALUE"""),"Ryan Anderson")</f>
        <v>Ryan Anderson</v>
      </c>
      <c r="C2027" s="162" t="str">
        <f>IFERROR(__xludf.DUMMYFUNCTION("""COMPUTED_VALUE"""),"2017-18")</f>
        <v>2017-18</v>
      </c>
      <c r="D2027" s="163" t="str">
        <f>IFERROR(__xludf.DUMMYFUNCTION("""COMPUTED_VALUE"""),"HOU")</f>
        <v>HOU</v>
      </c>
      <c r="E2027" s="164" t="str">
        <f>IFERROR(__xludf.DUMMYFUNCTION("""COMPUTED_VALUE"""),"Stationary Shooter")</f>
        <v>Stationary Shooter</v>
      </c>
      <c r="F2027" s="164">
        <f>IFERROR(__xludf.DUMMYFUNCTION("""COMPUTED_VALUE"""),1725.36666666667)</f>
        <v>1725.366667</v>
      </c>
      <c r="G2027" s="163">
        <f>IFERROR(__xludf.DUMMYFUNCTION("""COMPUTED_VALUE"""),66.0)</f>
        <v>66</v>
      </c>
      <c r="H2027" s="163" t="str">
        <f>IFERROR(__xludf.DUMMYFUNCTION("""COMPUTED_VALUE"""),"PF")</f>
        <v>PF</v>
      </c>
      <c r="I2027" s="163">
        <f>IFERROR(__xludf.DUMMYFUNCTION("""COMPUTED_VALUE"""),29.0)</f>
        <v>29</v>
      </c>
      <c r="J2027" s="165">
        <f>IFERROR(__xludf.DUMMYFUNCTION("""COMPUTED_VALUE"""),-0.94124938501544)</f>
        <v>-0.941249385</v>
      </c>
      <c r="K2027" s="165">
        <f>IFERROR(__xludf.DUMMYFUNCTION("""COMPUTED_VALUE"""),-0.0152972292520333)</f>
        <v>-0.01529722925</v>
      </c>
      <c r="L2027" s="165">
        <f>IFERROR(__xludf.DUMMYFUNCTION("""COMPUTED_VALUE"""),-0.925952155763407)</f>
        <v>-0.9259521558</v>
      </c>
      <c r="M2027" s="166">
        <f t="shared" si="2"/>
        <v>1.566401346</v>
      </c>
      <c r="N2027" s="167">
        <f t="shared" si="3"/>
        <v>26.14191919</v>
      </c>
      <c r="O2027" s="163">
        <f t="shared" ref="O2027:Q2027" si="2031">rank(I2027,I:I)</f>
        <v>855</v>
      </c>
      <c r="P2027" s="163">
        <f t="shared" si="2031"/>
        <v>2438</v>
      </c>
      <c r="Q2027" s="163">
        <f t="shared" si="2031"/>
        <v>1221</v>
      </c>
      <c r="R2027" s="163">
        <f>IFERROR(__xludf.DUMMYFUNCTION("RANK(M2027,filter(M:M,C:C=C2027))"),186.0)</f>
        <v>186</v>
      </c>
      <c r="S2027" s="161" t="b">
        <f t="shared" si="5"/>
        <v>0</v>
      </c>
      <c r="T2027" s="161" t="b">
        <f t="array" ref="T2027">index('Query Tool'!B:B,match(H2027,'Query Tool'!C:C,0))</f>
        <v>1</v>
      </c>
      <c r="U2027" s="161" t="b">
        <f t="array" ref="U2027">index('Query Tool'!B:B,match(C2027,'Query Tool'!C:C,0))</f>
        <v>0</v>
      </c>
      <c r="V2027" s="161" t="b">
        <f>F2027&gt;='Query Tool'!C$32</f>
        <v>1</v>
      </c>
      <c r="W2027" s="161" t="b">
        <f t="array" ref="W2027">index(Dropdowns!B:B,match(I2027,Dropdowns!A:A,0))</f>
        <v>1</v>
      </c>
      <c r="X2027" s="161" t="b">
        <f t="array" ref="X2027">index('Query Tool'!B:B,match(D2027,'Query Tool'!C:C,0))</f>
        <v>1</v>
      </c>
      <c r="Y2027" s="161" t="str">
        <f t="shared" si="6"/>
        <v>anderry01,2017-18</v>
      </c>
      <c r="Z2027" s="168">
        <f t="array" ref="Z2027">iferror(index(I:I,match($A2027&amp;","&amp;index('Year Conversion'!$A:$A,match($C2027,'Year Conversion'!$B:$B,0)),$Y:$Y,0))-I2027,"")</f>
        <v>1</v>
      </c>
      <c r="AA2027" s="168">
        <f t="array" ref="AA2027">iferror(index(J:J,match($A2027&amp;","&amp;index('Year Conversion'!$A:$A,match($C2027,'Year Conversion'!$B:$B,0)),$Y:$Y,0))-J2027,"")</f>
        <v>-1.155337211</v>
      </c>
      <c r="AB2027" s="168">
        <f t="array" ref="AB2027">iferror(index(K:K,match($A2027&amp;","&amp;index('Year Conversion'!$A:$A,match($C2027,'Year Conversion'!$B:$B,0)),$Y:$Y,0))-K2027,"")</f>
        <v>-1.311009615</v>
      </c>
      <c r="AC2027" s="168" t="str">
        <f t="shared" si="7"/>
        <v>HOU,2017-18</v>
      </c>
    </row>
    <row r="2028">
      <c r="A2028" s="161" t="str">
        <f>IFERROR(__xludf.DUMMYFUNCTION("""COMPUTED_VALUE"""),"leeco01")</f>
        <v>leeco01</v>
      </c>
      <c r="B2028" s="161" t="str">
        <f>IFERROR(__xludf.DUMMYFUNCTION("""COMPUTED_VALUE"""),"Courtney Lee")</f>
        <v>Courtney Lee</v>
      </c>
      <c r="C2028" s="162" t="str">
        <f>IFERROR(__xludf.DUMMYFUNCTION("""COMPUTED_VALUE"""),"2017-18")</f>
        <v>2017-18</v>
      </c>
      <c r="D2028" s="163" t="str">
        <f>IFERROR(__xludf.DUMMYFUNCTION("""COMPUTED_VALUE"""),"NYK")</f>
        <v>NYK</v>
      </c>
      <c r="E2028" s="164" t="str">
        <f>IFERROR(__xludf.DUMMYFUNCTION("""COMPUTED_VALUE"""),"Secondary Ball Handler")</f>
        <v>Secondary Ball Handler</v>
      </c>
      <c r="F2028" s="164">
        <f>IFERROR(__xludf.DUMMYFUNCTION("""COMPUTED_VALUE"""),2309.97833333333)</f>
        <v>2309.978333</v>
      </c>
      <c r="G2028" s="163">
        <f>IFERROR(__xludf.DUMMYFUNCTION("""COMPUTED_VALUE"""),76.0)</f>
        <v>76</v>
      </c>
      <c r="H2028" s="163" t="str">
        <f>IFERROR(__xludf.DUMMYFUNCTION("""COMPUTED_VALUE"""),"SG")</f>
        <v>SG</v>
      </c>
      <c r="I2028" s="163">
        <f>IFERROR(__xludf.DUMMYFUNCTION("""COMPUTED_VALUE"""),32.0)</f>
        <v>32</v>
      </c>
      <c r="J2028" s="165">
        <f>IFERROR(__xludf.DUMMYFUNCTION("""COMPUTED_VALUE"""),-1.82348752829793)</f>
        <v>-1.823487528</v>
      </c>
      <c r="K2028" s="165">
        <f>IFERROR(__xludf.DUMMYFUNCTION("""COMPUTED_VALUE"""),-0.801307445986655)</f>
        <v>-0.801307446</v>
      </c>
      <c r="L2028" s="165">
        <f>IFERROR(__xludf.DUMMYFUNCTION("""COMPUTED_VALUE"""),-1.02218008231128)</f>
        <v>-1.022180082</v>
      </c>
      <c r="M2028" s="166">
        <f t="shared" si="2"/>
        <v>0.7344285478</v>
      </c>
      <c r="N2028" s="167">
        <f t="shared" si="3"/>
        <v>30.39445175</v>
      </c>
      <c r="O2028" s="163">
        <f t="shared" ref="O2028:Q2028" si="2032">rank(I2028,I:I)</f>
        <v>359</v>
      </c>
      <c r="P2028" s="163">
        <f t="shared" si="2032"/>
        <v>3361</v>
      </c>
      <c r="Q2028" s="163">
        <f t="shared" si="2032"/>
        <v>2558</v>
      </c>
      <c r="R2028" s="163">
        <f>IFERROR(__xludf.DUMMYFUNCTION("RANK(M2028,filter(M:M,C:C=C2028))"),266.0)</f>
        <v>266</v>
      </c>
      <c r="S2028" s="161" t="b">
        <f t="shared" si="5"/>
        <v>0</v>
      </c>
      <c r="T2028" s="161" t="b">
        <f t="array" ref="T2028">index('Query Tool'!B:B,match(H2028,'Query Tool'!C:C,0))</f>
        <v>1</v>
      </c>
      <c r="U2028" s="161" t="b">
        <f t="array" ref="U2028">index('Query Tool'!B:B,match(C2028,'Query Tool'!C:C,0))</f>
        <v>0</v>
      </c>
      <c r="V2028" s="161" t="b">
        <f>F2028&gt;='Query Tool'!C$32</f>
        <v>1</v>
      </c>
      <c r="W2028" s="161" t="b">
        <f t="array" ref="W2028">index(Dropdowns!B:B,match(I2028,Dropdowns!A:A,0))</f>
        <v>1</v>
      </c>
      <c r="X2028" s="161" t="b">
        <f t="array" ref="X2028">index('Query Tool'!B:B,match(D2028,'Query Tool'!C:C,0))</f>
        <v>1</v>
      </c>
      <c r="Y2028" s="161" t="str">
        <f t="shared" si="6"/>
        <v>leeco01,2017-18</v>
      </c>
      <c r="Z2028" s="168">
        <f t="array" ref="Z2028">iferror(index(I:I,match($A2028&amp;","&amp;index('Year Conversion'!$A:$A,match($C2028,'Year Conversion'!$B:$B,0)),$Y:$Y,0))-I2028,"")</f>
        <v>1</v>
      </c>
      <c r="AA2028" s="168">
        <f t="array" ref="AA2028">iferror(index(J:J,match($A2028&amp;","&amp;index('Year Conversion'!$A:$A,match($C2028,'Year Conversion'!$B:$B,0)),$Y:$Y,0))-J2028,"")</f>
        <v>0.8496341149</v>
      </c>
      <c r="AB2028" s="168">
        <f t="array" ref="AB2028">iferror(index(K:K,match($A2028&amp;","&amp;index('Year Conversion'!$A:$A,match($C2028,'Year Conversion'!$B:$B,0)),$Y:$Y,0))-K2028,"")</f>
        <v>-0.3268118461</v>
      </c>
      <c r="AC2028" s="168" t="str">
        <f t="shared" si="7"/>
        <v>NYK,2017-18</v>
      </c>
    </row>
    <row r="2029">
      <c r="A2029" s="161" t="str">
        <f>IFERROR(__xludf.DUMMYFUNCTION("""COMPUTED_VALUE"""),"koufoko01")</f>
        <v>koufoko01</v>
      </c>
      <c r="B2029" s="161" t="str">
        <f>IFERROR(__xludf.DUMMYFUNCTION("""COMPUTED_VALUE"""),"Kosta Koufos")</f>
        <v>Kosta Koufos</v>
      </c>
      <c r="C2029" s="162" t="str">
        <f>IFERROR(__xludf.DUMMYFUNCTION("""COMPUTED_VALUE"""),"2017-18")</f>
        <v>2017-18</v>
      </c>
      <c r="D2029" s="163" t="str">
        <f>IFERROR(__xludf.DUMMYFUNCTION("""COMPUTED_VALUE"""),"SAC")</f>
        <v>SAC</v>
      </c>
      <c r="E2029" s="164" t="str">
        <f>IFERROR(__xludf.DUMMYFUNCTION("""COMPUTED_VALUE"""),"Roll + Cut Big")</f>
        <v>Roll + Cut Big</v>
      </c>
      <c r="F2029" s="164">
        <f>IFERROR(__xludf.DUMMYFUNCTION("""COMPUTED_VALUE"""),1391.065)</f>
        <v>1391.065</v>
      </c>
      <c r="G2029" s="163">
        <f>IFERROR(__xludf.DUMMYFUNCTION("""COMPUTED_VALUE"""),71.0)</f>
        <v>71</v>
      </c>
      <c r="H2029" s="163" t="str">
        <f>IFERROR(__xludf.DUMMYFUNCTION("""COMPUTED_VALUE"""),"C")</f>
        <v>C</v>
      </c>
      <c r="I2029" s="163">
        <f>IFERROR(__xludf.DUMMYFUNCTION("""COMPUTED_VALUE"""),28.0)</f>
        <v>28</v>
      </c>
      <c r="J2029" s="165">
        <f>IFERROR(__xludf.DUMMYFUNCTION("""COMPUTED_VALUE"""),-0.367329976912316)</f>
        <v>-0.3673299769</v>
      </c>
      <c r="K2029" s="165">
        <f>IFERROR(__xludf.DUMMYFUNCTION("""COMPUTED_VALUE"""),-1.15576623469994)</f>
        <v>-1.155766235</v>
      </c>
      <c r="L2029" s="165">
        <f>IFERROR(__xludf.DUMMYFUNCTION("""COMPUTED_VALUE"""),0.788436257787629)</f>
        <v>0.7884362578</v>
      </c>
      <c r="M2029" s="166">
        <f t="shared" si="2"/>
        <v>1.800125674</v>
      </c>
      <c r="N2029" s="167">
        <f t="shared" si="3"/>
        <v>19.59246479</v>
      </c>
      <c r="O2029" s="163">
        <f t="shared" ref="O2029:Q2029" si="2033">rank(I2029,I:I)</f>
        <v>1090</v>
      </c>
      <c r="P2029" s="163">
        <f t="shared" si="2033"/>
        <v>1693</v>
      </c>
      <c r="Q2029" s="163">
        <f t="shared" si="2033"/>
        <v>2990</v>
      </c>
      <c r="R2029" s="163">
        <f>IFERROR(__xludf.DUMMYFUNCTION("RANK(M2029,filter(M:M,C:C=C2029))"),170.0)</f>
        <v>170</v>
      </c>
      <c r="S2029" s="161" t="b">
        <f t="shared" si="5"/>
        <v>0</v>
      </c>
      <c r="T2029" s="161" t="b">
        <f t="array" ref="T2029">index('Query Tool'!B:B,match(H2029,'Query Tool'!C:C,0))</f>
        <v>1</v>
      </c>
      <c r="U2029" s="161" t="b">
        <f t="array" ref="U2029">index('Query Tool'!B:B,match(C2029,'Query Tool'!C:C,0))</f>
        <v>0</v>
      </c>
      <c r="V2029" s="161" t="b">
        <f>F2029&gt;='Query Tool'!C$32</f>
        <v>1</v>
      </c>
      <c r="W2029" s="161" t="b">
        <f t="array" ref="W2029">index(Dropdowns!B:B,match(I2029,Dropdowns!A:A,0))</f>
        <v>1</v>
      </c>
      <c r="X2029" s="161" t="b">
        <f t="array" ref="X2029">index('Query Tool'!B:B,match(D2029,'Query Tool'!C:C,0))</f>
        <v>1</v>
      </c>
      <c r="Y2029" s="161" t="str">
        <f t="shared" si="6"/>
        <v>koufoko01,2017-18</v>
      </c>
      <c r="Z2029" s="168">
        <f t="array" ref="Z2029">iferror(index(I:I,match($A2029&amp;","&amp;index('Year Conversion'!$A:$A,match($C2029,'Year Conversion'!$B:$B,0)),$Y:$Y,0))-I2029,"")</f>
        <v>1</v>
      </c>
      <c r="AA2029" s="168">
        <f t="array" ref="AA2029">iferror(index(J:J,match($A2029&amp;","&amp;index('Year Conversion'!$A:$A,match($C2029,'Year Conversion'!$B:$B,0)),$Y:$Y,0))-J2029,"")</f>
        <v>-0.7559595559</v>
      </c>
      <c r="AB2029" s="168">
        <f t="array" ref="AB2029">iferror(index(K:K,match($A2029&amp;","&amp;index('Year Conversion'!$A:$A,match($C2029,'Year Conversion'!$B:$B,0)),$Y:$Y,0))-K2029,"")</f>
        <v>-1.012502958</v>
      </c>
      <c r="AC2029" s="168" t="str">
        <f t="shared" si="7"/>
        <v>SAC,2017-18</v>
      </c>
    </row>
    <row r="2030">
      <c r="A2030" s="161" t="str">
        <f>IFERROR(__xludf.DUMMYFUNCTION("""COMPUTED_VALUE"""),"ibakase01")</f>
        <v>ibakase01</v>
      </c>
      <c r="B2030" s="161" t="str">
        <f>IFERROR(__xludf.DUMMYFUNCTION("""COMPUTED_VALUE"""),"Serge Ibaka")</f>
        <v>Serge Ibaka</v>
      </c>
      <c r="C2030" s="162" t="str">
        <f>IFERROR(__xludf.DUMMYFUNCTION("""COMPUTED_VALUE"""),"2017-18")</f>
        <v>2017-18</v>
      </c>
      <c r="D2030" s="163" t="str">
        <f>IFERROR(__xludf.DUMMYFUNCTION("""COMPUTED_VALUE"""),"TOR")</f>
        <v>TOR</v>
      </c>
      <c r="E2030" s="164" t="str">
        <f>IFERROR(__xludf.DUMMYFUNCTION("""COMPUTED_VALUE"""),"Stretch Big")</f>
        <v>Stretch Big</v>
      </c>
      <c r="F2030" s="164">
        <f>IFERROR(__xludf.DUMMYFUNCTION("""COMPUTED_VALUE"""),2093.2)</f>
        <v>2093.2</v>
      </c>
      <c r="G2030" s="163">
        <f>IFERROR(__xludf.DUMMYFUNCTION("""COMPUTED_VALUE"""),76.0)</f>
        <v>76</v>
      </c>
      <c r="H2030" s="163" t="str">
        <f>IFERROR(__xludf.DUMMYFUNCTION("""COMPUTED_VALUE"""),"PF")</f>
        <v>PF</v>
      </c>
      <c r="I2030" s="163">
        <f>IFERROR(__xludf.DUMMYFUNCTION("""COMPUTED_VALUE"""),28.0)</f>
        <v>28</v>
      </c>
      <c r="J2030" s="165">
        <f>IFERROR(__xludf.DUMMYFUNCTION("""COMPUTED_VALUE"""),1.26733869476318)</f>
        <v>1.267338695</v>
      </c>
      <c r="K2030" s="165">
        <f>IFERROR(__xludf.DUMMYFUNCTION("""COMPUTED_VALUE"""),0.244351535071594)</f>
        <v>0.2443515351</v>
      </c>
      <c r="L2030" s="165">
        <f>IFERROR(__xludf.DUMMYFUNCTION("""COMPUTED_VALUE"""),1.02298715969158)</f>
        <v>1.02298716</v>
      </c>
      <c r="M2030" s="166">
        <f t="shared" si="2"/>
        <v>5.011523043</v>
      </c>
      <c r="N2030" s="167">
        <f t="shared" si="3"/>
        <v>27.54210526</v>
      </c>
      <c r="O2030" s="163">
        <f t="shared" ref="O2030:Q2030" si="2034">rank(I2030,I:I)</f>
        <v>1090</v>
      </c>
      <c r="P2030" s="163">
        <f t="shared" si="2034"/>
        <v>539</v>
      </c>
      <c r="Q2030" s="163">
        <f t="shared" si="2034"/>
        <v>950</v>
      </c>
      <c r="R2030" s="163">
        <f>IFERROR(__xludf.DUMMYFUNCTION("RANK(M2030,filter(M:M,C:C=C2030))"),53.0)</f>
        <v>53</v>
      </c>
      <c r="S2030" s="161" t="b">
        <f t="shared" si="5"/>
        <v>0</v>
      </c>
      <c r="T2030" s="161" t="b">
        <f t="array" ref="T2030">index('Query Tool'!B:B,match(H2030,'Query Tool'!C:C,0))</f>
        <v>1</v>
      </c>
      <c r="U2030" s="161" t="b">
        <f t="array" ref="U2030">index('Query Tool'!B:B,match(C2030,'Query Tool'!C:C,0))</f>
        <v>0</v>
      </c>
      <c r="V2030" s="161" t="b">
        <f>F2030&gt;='Query Tool'!C$32</f>
        <v>1</v>
      </c>
      <c r="W2030" s="161" t="b">
        <f t="array" ref="W2030">index(Dropdowns!B:B,match(I2030,Dropdowns!A:A,0))</f>
        <v>1</v>
      </c>
      <c r="X2030" s="161" t="b">
        <f t="array" ref="X2030">index('Query Tool'!B:B,match(D2030,'Query Tool'!C:C,0))</f>
        <v>1</v>
      </c>
      <c r="Y2030" s="161" t="str">
        <f t="shared" si="6"/>
        <v>ibakase01,2017-18</v>
      </c>
      <c r="Z2030" s="168">
        <f t="array" ref="Z2030">iferror(index(I:I,match($A2030&amp;","&amp;index('Year Conversion'!$A:$A,match($C2030,'Year Conversion'!$B:$B,0)),$Y:$Y,0))-I2030,"")</f>
        <v>1</v>
      </c>
      <c r="AA2030" s="168">
        <f t="array" ref="AA2030">iferror(index(J:J,match($A2030&amp;","&amp;index('Year Conversion'!$A:$A,match($C2030,'Year Conversion'!$B:$B,0)),$Y:$Y,0))-J2030,"")</f>
        <v>-0.835242665</v>
      </c>
      <c r="AB2030" s="168">
        <f t="array" ref="AB2030">iferror(index(K:K,match($A2030&amp;","&amp;index('Year Conversion'!$A:$A,match($C2030,'Year Conversion'!$B:$B,0)),$Y:$Y,0))-K2030,"")</f>
        <v>-0.52807712</v>
      </c>
      <c r="AC2030" s="168" t="str">
        <f t="shared" si="7"/>
        <v>TOR,2017-18</v>
      </c>
    </row>
    <row r="2031">
      <c r="A2031" s="161" t="str">
        <f>IFERROR(__xludf.DUMMYFUNCTION("""COMPUTED_VALUE"""),"batumni01")</f>
        <v>batumni01</v>
      </c>
      <c r="B2031" s="161" t="str">
        <f>IFERROR(__xludf.DUMMYFUNCTION("""COMPUTED_VALUE"""),"Nicolas Batum")</f>
        <v>Nicolas Batum</v>
      </c>
      <c r="C2031" s="162" t="str">
        <f>IFERROR(__xludf.DUMMYFUNCTION("""COMPUTED_VALUE"""),"2017-18")</f>
        <v>2017-18</v>
      </c>
      <c r="D2031" s="163" t="str">
        <f>IFERROR(__xludf.DUMMYFUNCTION("""COMPUTED_VALUE"""),"CHO")</f>
        <v>CHO</v>
      </c>
      <c r="E2031" s="164" t="str">
        <f>IFERROR(__xludf.DUMMYFUNCTION("""COMPUTED_VALUE"""),"Shot Creator")</f>
        <v>Shot Creator</v>
      </c>
      <c r="F2031" s="164">
        <f>IFERROR(__xludf.DUMMYFUNCTION("""COMPUTED_VALUE"""),1980.82333333333)</f>
        <v>1980.823333</v>
      </c>
      <c r="G2031" s="163">
        <f>IFERROR(__xludf.DUMMYFUNCTION("""COMPUTED_VALUE"""),64.0)</f>
        <v>64</v>
      </c>
      <c r="H2031" s="163" t="str">
        <f>IFERROR(__xludf.DUMMYFUNCTION("""COMPUTED_VALUE"""),"SG")</f>
        <v>SG</v>
      </c>
      <c r="I2031" s="163">
        <f>IFERROR(__xludf.DUMMYFUNCTION("""COMPUTED_VALUE"""),29.0)</f>
        <v>29</v>
      </c>
      <c r="J2031" s="165">
        <f>IFERROR(__xludf.DUMMYFUNCTION("""COMPUTED_VALUE"""),0.311604949300244)</f>
        <v>0.3116049493</v>
      </c>
      <c r="K2031" s="165">
        <f>IFERROR(__xludf.DUMMYFUNCTION("""COMPUTED_VALUE"""),0.771679807319601)</f>
        <v>0.7716798073</v>
      </c>
      <c r="L2031" s="165">
        <f>IFERROR(__xludf.DUMMYFUNCTION("""COMPUTED_VALUE"""),-0.460074858019357)</f>
        <v>-0.460074858</v>
      </c>
      <c r="M2031" s="166">
        <f t="shared" si="2"/>
        <v>3.469846299</v>
      </c>
      <c r="N2031" s="167">
        <f t="shared" si="3"/>
        <v>30.95036458</v>
      </c>
      <c r="O2031" s="163">
        <f t="shared" ref="O2031:Q2031" si="2035">rank(I2031,I:I)</f>
        <v>855</v>
      </c>
      <c r="P2031" s="163">
        <f t="shared" si="2035"/>
        <v>1010</v>
      </c>
      <c r="Q2031" s="163">
        <f t="shared" si="2035"/>
        <v>611</v>
      </c>
      <c r="R2031" s="163">
        <f>IFERROR(__xludf.DUMMYFUNCTION("RANK(M2031,filter(M:M,C:C=C2031))"),100.0)</f>
        <v>100</v>
      </c>
      <c r="S2031" s="161" t="b">
        <f t="shared" si="5"/>
        <v>0</v>
      </c>
      <c r="T2031" s="161" t="b">
        <f t="array" ref="T2031">index('Query Tool'!B:B,match(H2031,'Query Tool'!C:C,0))</f>
        <v>1</v>
      </c>
      <c r="U2031" s="161" t="b">
        <f t="array" ref="U2031">index('Query Tool'!B:B,match(C2031,'Query Tool'!C:C,0))</f>
        <v>0</v>
      </c>
      <c r="V2031" s="161" t="b">
        <f>F2031&gt;='Query Tool'!C$32</f>
        <v>1</v>
      </c>
      <c r="W2031" s="161" t="b">
        <f t="array" ref="W2031">index(Dropdowns!B:B,match(I2031,Dropdowns!A:A,0))</f>
        <v>1</v>
      </c>
      <c r="X2031" s="161" t="b">
        <f t="array" ref="X2031">index('Query Tool'!B:B,match(D2031,'Query Tool'!C:C,0))</f>
        <v>1</v>
      </c>
      <c r="Y2031" s="161" t="str">
        <f t="shared" si="6"/>
        <v>batumni01,2017-18</v>
      </c>
      <c r="Z2031" s="168">
        <f t="array" ref="Z2031">iferror(index(I:I,match($A2031&amp;","&amp;index('Year Conversion'!$A:$A,match($C2031,'Year Conversion'!$B:$B,0)),$Y:$Y,0))-I2031,"")</f>
        <v>1</v>
      </c>
      <c r="AA2031" s="168">
        <f t="array" ref="AA2031">iferror(index(J:J,match($A2031&amp;","&amp;index('Year Conversion'!$A:$A,match($C2031,'Year Conversion'!$B:$B,0)),$Y:$Y,0))-J2031,"")</f>
        <v>-1.009680837</v>
      </c>
      <c r="AB2031" s="168">
        <f t="array" ref="AB2031">iferror(index(K:K,match($A2031&amp;","&amp;index('Year Conversion'!$A:$A,match($C2031,'Year Conversion'!$B:$B,0)),$Y:$Y,0))-K2031,"")</f>
        <v>-1.863540076</v>
      </c>
      <c r="AC2031" s="168" t="str">
        <f t="shared" si="7"/>
        <v>CHO,2017-18</v>
      </c>
    </row>
    <row r="2032">
      <c r="A2032" s="161" t="str">
        <f>IFERROR(__xludf.DUMMYFUNCTION("""COMPUTED_VALUE"""),"hillge01")</f>
        <v>hillge01</v>
      </c>
      <c r="B2032" s="161" t="str">
        <f>IFERROR(__xludf.DUMMYFUNCTION("""COMPUTED_VALUE"""),"George Hill")</f>
        <v>George Hill</v>
      </c>
      <c r="C2032" s="162" t="str">
        <f>IFERROR(__xludf.DUMMYFUNCTION("""COMPUTED_VALUE"""),"2017-18")</f>
        <v>2017-18</v>
      </c>
      <c r="D2032" s="163" t="str">
        <f>IFERROR(__xludf.DUMMYFUNCTION("""COMPUTED_VALUE"""),"TOT")</f>
        <v>TOT</v>
      </c>
      <c r="E2032" s="164" t="str">
        <f>IFERROR(__xludf.DUMMYFUNCTION("""COMPUTED_VALUE"""),"Primary Ball Handler")</f>
        <v>Primary Ball Handler</v>
      </c>
      <c r="F2032" s="164">
        <f>IFERROR(__xludf.DUMMYFUNCTION("""COMPUTED_VALUE"""),1812.12666666667)</f>
        <v>1812.126667</v>
      </c>
      <c r="G2032" s="163">
        <f>IFERROR(__xludf.DUMMYFUNCTION("""COMPUTED_VALUE"""),67.0)</f>
        <v>67</v>
      </c>
      <c r="H2032" s="163" t="str">
        <f>IFERROR(__xludf.DUMMYFUNCTION("""COMPUTED_VALUE"""),"PG")</f>
        <v>PG</v>
      </c>
      <c r="I2032" s="163">
        <f>IFERROR(__xludf.DUMMYFUNCTION("""COMPUTED_VALUE"""),31.0)</f>
        <v>31</v>
      </c>
      <c r="J2032" s="165">
        <f>IFERROR(__xludf.DUMMYFUNCTION("""COMPUTED_VALUE"""),-0.144168285017202)</f>
        <v>-0.144168285</v>
      </c>
      <c r="K2032" s="165">
        <f>IFERROR(__xludf.DUMMYFUNCTION("""COMPUTED_VALUE"""),0.124030652666601)</f>
        <v>0.1240306527</v>
      </c>
      <c r="L2032" s="165">
        <f>IFERROR(__xludf.DUMMYFUNCTION("""COMPUTED_VALUE"""),-0.268198937683803)</f>
        <v>-0.2681989377</v>
      </c>
      <c r="M2032" s="166">
        <f t="shared" si="2"/>
        <v>2.617567469</v>
      </c>
      <c r="N2032" s="167">
        <f t="shared" si="3"/>
        <v>27.04666667</v>
      </c>
      <c r="O2032" s="163">
        <f t="shared" ref="O2032:Q2032" si="2036">rank(I2032,I:I)</f>
        <v>490</v>
      </c>
      <c r="P2032" s="163">
        <f t="shared" si="2036"/>
        <v>1430</v>
      </c>
      <c r="Q2032" s="163">
        <f t="shared" si="2036"/>
        <v>1045</v>
      </c>
      <c r="R2032" s="163">
        <f>IFERROR(__xludf.DUMMYFUNCTION("RANK(M2032,filter(M:M,C:C=C2032))"),125.0)</f>
        <v>125</v>
      </c>
      <c r="S2032" s="161" t="b">
        <f t="shared" si="5"/>
        <v>0</v>
      </c>
      <c r="T2032" s="161" t="b">
        <f t="array" ref="T2032">index('Query Tool'!B:B,match(H2032,'Query Tool'!C:C,0))</f>
        <v>1</v>
      </c>
      <c r="U2032" s="161" t="b">
        <f t="array" ref="U2032">index('Query Tool'!B:B,match(C2032,'Query Tool'!C:C,0))</f>
        <v>0</v>
      </c>
      <c r="V2032" s="161" t="b">
        <f>F2032&gt;='Query Tool'!C$32</f>
        <v>1</v>
      </c>
      <c r="W2032" s="161" t="b">
        <f t="array" ref="W2032">index(Dropdowns!B:B,match(I2032,Dropdowns!A:A,0))</f>
        <v>1</v>
      </c>
      <c r="X2032" s="161" t="b">
        <f t="array" ref="X2032">index('Query Tool'!B:B,match(D2032,'Query Tool'!C:C,0))</f>
        <v>1</v>
      </c>
      <c r="Y2032" s="161" t="str">
        <f t="shared" si="6"/>
        <v>hillge01,2017-18</v>
      </c>
      <c r="Z2032" s="168">
        <f t="array" ref="Z2032">iferror(index(I:I,match($A2032&amp;","&amp;index('Year Conversion'!$A:$A,match($C2032,'Year Conversion'!$B:$B,0)),$Y:$Y,0))-I2032,"")</f>
        <v>1</v>
      </c>
      <c r="AA2032" s="168">
        <f t="array" ref="AA2032">iferror(index(J:J,match($A2032&amp;","&amp;index('Year Conversion'!$A:$A,match($C2032,'Year Conversion'!$B:$B,0)),$Y:$Y,0))-J2032,"")</f>
        <v>0.9737681664</v>
      </c>
      <c r="AB2032" s="168">
        <f t="array" ref="AB2032">iferror(index(K:K,match($A2032&amp;","&amp;index('Year Conversion'!$A:$A,match($C2032,'Year Conversion'!$B:$B,0)),$Y:$Y,0))-K2032,"")</f>
        <v>-0.2052933454</v>
      </c>
      <c r="AC2032" s="168" t="str">
        <f t="shared" si="7"/>
        <v>TOT,2017-18</v>
      </c>
    </row>
    <row r="2033">
      <c r="A2033" s="161" t="str">
        <f>IFERROR(__xludf.DUMMYFUNCTION("""COMPUTED_VALUE"""),"arthuda01")</f>
        <v>arthuda01</v>
      </c>
      <c r="B2033" s="161" t="str">
        <f>IFERROR(__xludf.DUMMYFUNCTION("""COMPUTED_VALUE"""),"Darrell Arthur")</f>
        <v>Darrell Arthur</v>
      </c>
      <c r="C2033" s="162" t="str">
        <f>IFERROR(__xludf.DUMMYFUNCTION("""COMPUTED_VALUE"""),"2017-18")</f>
        <v>2017-18</v>
      </c>
      <c r="D2033" s="163" t="str">
        <f>IFERROR(__xludf.DUMMYFUNCTION("""COMPUTED_VALUE"""),"DEN")</f>
        <v>DEN</v>
      </c>
      <c r="E2033" s="164" t="str">
        <f>IFERROR(__xludf.DUMMYFUNCTION("""COMPUTED_VALUE"""),"Stretch Big")</f>
        <v>Stretch Big</v>
      </c>
      <c r="F2033" s="164">
        <f>IFERROR(__xludf.DUMMYFUNCTION("""COMPUTED_VALUE"""),140.771666666667)</f>
        <v>140.7716667</v>
      </c>
      <c r="G2033" s="163">
        <f>IFERROR(__xludf.DUMMYFUNCTION("""COMPUTED_VALUE"""),19.0)</f>
        <v>19</v>
      </c>
      <c r="H2033" s="163" t="str">
        <f>IFERROR(__xludf.DUMMYFUNCTION("""COMPUTED_VALUE"""),"PF")</f>
        <v>PF</v>
      </c>
      <c r="I2033" s="163">
        <f>IFERROR(__xludf.DUMMYFUNCTION("""COMPUTED_VALUE"""),29.0)</f>
        <v>29</v>
      </c>
      <c r="J2033" s="165">
        <f>IFERROR(__xludf.DUMMYFUNCTION("""COMPUTED_VALUE"""),-1.81597113496816)</f>
        <v>-1.815971135</v>
      </c>
      <c r="K2033" s="165">
        <f>IFERROR(__xludf.DUMMYFUNCTION("""COMPUTED_VALUE"""),-1.24145719058423)</f>
        <v>-1.241457191</v>
      </c>
      <c r="L2033" s="165">
        <f>IFERROR(__xludf.DUMMYFUNCTION("""COMPUTED_VALUE"""),-0.574513944383929)</f>
        <v>-0.5745139444</v>
      </c>
      <c r="M2033" s="166">
        <f t="shared" si="2"/>
        <v>0.04546018229</v>
      </c>
      <c r="N2033" s="167">
        <f t="shared" si="3"/>
        <v>7.409035088</v>
      </c>
      <c r="O2033" s="163">
        <f t="shared" ref="O2033:Q2033" si="2037">rank(I2033,I:I)</f>
        <v>855</v>
      </c>
      <c r="P2033" s="163">
        <f t="shared" si="2037"/>
        <v>3348</v>
      </c>
      <c r="Q2033" s="163">
        <f t="shared" si="2037"/>
        <v>3074</v>
      </c>
      <c r="R2033" s="163">
        <f>IFERROR(__xludf.DUMMYFUNCTION("RANK(M2033,filter(M:M,C:C=C2033))"),434.0)</f>
        <v>434</v>
      </c>
      <c r="S2033" s="161" t="b">
        <f t="shared" si="5"/>
        <v>0</v>
      </c>
      <c r="T2033" s="161" t="b">
        <f t="array" ref="T2033">index('Query Tool'!B:B,match(H2033,'Query Tool'!C:C,0))</f>
        <v>1</v>
      </c>
      <c r="U2033" s="161" t="b">
        <f t="array" ref="U2033">index('Query Tool'!B:B,match(C2033,'Query Tool'!C:C,0))</f>
        <v>0</v>
      </c>
      <c r="V2033" s="161" t="b">
        <f>F2033&gt;='Query Tool'!C$32</f>
        <v>0</v>
      </c>
      <c r="W2033" s="161" t="b">
        <f t="array" ref="W2033">index(Dropdowns!B:B,match(I2033,Dropdowns!A:A,0))</f>
        <v>1</v>
      </c>
      <c r="X2033" s="161" t="b">
        <f t="array" ref="X2033">index('Query Tool'!B:B,match(D2033,'Query Tool'!C:C,0))</f>
        <v>1</v>
      </c>
      <c r="Y2033" s="161" t="str">
        <f t="shared" si="6"/>
        <v>arthuda01,2017-18</v>
      </c>
      <c r="Z2033" s="168" t="str">
        <f t="array" ref="Z2033">iferror(index(I:I,match($A2033&amp;","&amp;index('Year Conversion'!$A:$A,match($C2033,'Year Conversion'!$B:$B,0)),$Y:$Y,0))-I2033,"")</f>
        <v/>
      </c>
      <c r="AA2033" s="168" t="str">
        <f t="array" ref="AA2033">iferror(index(J:J,match($A2033&amp;","&amp;index('Year Conversion'!$A:$A,match($C2033,'Year Conversion'!$B:$B,0)),$Y:$Y,0))-J2033,"")</f>
        <v/>
      </c>
      <c r="AB2033" s="168" t="str">
        <f t="array" ref="AB2033">iferror(index(K:K,match($A2033&amp;","&amp;index('Year Conversion'!$A:$A,match($C2033,'Year Conversion'!$B:$B,0)),$Y:$Y,0))-K2033,"")</f>
        <v/>
      </c>
      <c r="AC2033" s="168" t="str">
        <f t="shared" si="7"/>
        <v>DEN,2017-18</v>
      </c>
    </row>
    <row r="2034">
      <c r="A2034" s="161" t="str">
        <f>IFERROR(__xludf.DUMMYFUNCTION("""COMPUTED_VALUE"""),"chalmma01")</f>
        <v>chalmma01</v>
      </c>
      <c r="B2034" s="161" t="str">
        <f>IFERROR(__xludf.DUMMYFUNCTION("""COMPUTED_VALUE"""),"Mario Chalmers")</f>
        <v>Mario Chalmers</v>
      </c>
      <c r="C2034" s="162" t="str">
        <f>IFERROR(__xludf.DUMMYFUNCTION("""COMPUTED_VALUE"""),"2017-18")</f>
        <v>2017-18</v>
      </c>
      <c r="D2034" s="163" t="str">
        <f>IFERROR(__xludf.DUMMYFUNCTION("""COMPUTED_VALUE"""),"MEM")</f>
        <v>MEM</v>
      </c>
      <c r="E2034" s="164" t="str">
        <f>IFERROR(__xludf.DUMMYFUNCTION("""COMPUTED_VALUE"""),"Primary Ball Handler")</f>
        <v>Primary Ball Handler</v>
      </c>
      <c r="F2034" s="164">
        <f>IFERROR(__xludf.DUMMYFUNCTION("""COMPUTED_VALUE"""),1421.35166666667)</f>
        <v>1421.351667</v>
      </c>
      <c r="G2034" s="163">
        <f>IFERROR(__xludf.DUMMYFUNCTION("""COMPUTED_VALUE"""),66.0)</f>
        <v>66</v>
      </c>
      <c r="H2034" s="163" t="str">
        <f>IFERROR(__xludf.DUMMYFUNCTION("""COMPUTED_VALUE"""),"PG")</f>
        <v>PG</v>
      </c>
      <c r="I2034" s="163">
        <f>IFERROR(__xludf.DUMMYFUNCTION("""COMPUTED_VALUE"""),31.0)</f>
        <v>31</v>
      </c>
      <c r="J2034" s="165">
        <f>IFERROR(__xludf.DUMMYFUNCTION("""COMPUTED_VALUE"""),-0.149273102669921)</f>
        <v>-0.1492731027</v>
      </c>
      <c r="K2034" s="165">
        <f>IFERROR(__xludf.DUMMYFUNCTION("""COMPUTED_VALUE"""),-0.795412229221815)</f>
        <v>-0.7954122292</v>
      </c>
      <c r="L2034" s="165">
        <f>IFERROR(__xludf.DUMMYFUNCTION("""COMPUTED_VALUE"""),0.646139126551893)</f>
        <v>0.6461391266</v>
      </c>
      <c r="M2034" s="166">
        <f t="shared" si="2"/>
        <v>2.048212348</v>
      </c>
      <c r="N2034" s="167">
        <f t="shared" si="3"/>
        <v>21.53563131</v>
      </c>
      <c r="O2034" s="163">
        <f t="shared" ref="O2034:Q2034" si="2038">rank(I2034,I:I)</f>
        <v>490</v>
      </c>
      <c r="P2034" s="163">
        <f t="shared" si="2038"/>
        <v>1440</v>
      </c>
      <c r="Q2034" s="163">
        <f t="shared" si="2038"/>
        <v>2551</v>
      </c>
      <c r="R2034" s="163">
        <f>IFERROR(__xludf.DUMMYFUNCTION("RANK(M2034,filter(M:M,C:C=C2034))"),159.0)</f>
        <v>159</v>
      </c>
      <c r="S2034" s="161" t="b">
        <f t="shared" si="5"/>
        <v>0</v>
      </c>
      <c r="T2034" s="161" t="b">
        <f t="array" ref="T2034">index('Query Tool'!B:B,match(H2034,'Query Tool'!C:C,0))</f>
        <v>1</v>
      </c>
      <c r="U2034" s="161" t="b">
        <f t="array" ref="U2034">index('Query Tool'!B:B,match(C2034,'Query Tool'!C:C,0))</f>
        <v>0</v>
      </c>
      <c r="V2034" s="161" t="b">
        <f>F2034&gt;='Query Tool'!C$32</f>
        <v>1</v>
      </c>
      <c r="W2034" s="161" t="b">
        <f t="array" ref="W2034">index(Dropdowns!B:B,match(I2034,Dropdowns!A:A,0))</f>
        <v>1</v>
      </c>
      <c r="X2034" s="161" t="b">
        <f t="array" ref="X2034">index('Query Tool'!B:B,match(D2034,'Query Tool'!C:C,0))</f>
        <v>1</v>
      </c>
      <c r="Y2034" s="161" t="str">
        <f t="shared" si="6"/>
        <v>chalmma01,2017-18</v>
      </c>
      <c r="Z2034" s="168" t="str">
        <f t="array" ref="Z2034">iferror(index(I:I,match($A2034&amp;","&amp;index('Year Conversion'!$A:$A,match($C2034,'Year Conversion'!$B:$B,0)),$Y:$Y,0))-I2034,"")</f>
        <v/>
      </c>
      <c r="AA2034" s="168" t="str">
        <f t="array" ref="AA2034">iferror(index(J:J,match($A2034&amp;","&amp;index('Year Conversion'!$A:$A,match($C2034,'Year Conversion'!$B:$B,0)),$Y:$Y,0))-J2034,"")</f>
        <v/>
      </c>
      <c r="AB2034" s="168" t="str">
        <f t="array" ref="AB2034">iferror(index(K:K,match($A2034&amp;","&amp;index('Year Conversion'!$A:$A,match($C2034,'Year Conversion'!$B:$B,0)),$Y:$Y,0))-K2034,"")</f>
        <v/>
      </c>
      <c r="AC2034" s="168" t="str">
        <f t="shared" si="7"/>
        <v>MEM,2017-18</v>
      </c>
    </row>
    <row r="2035">
      <c r="A2035" s="161" t="str">
        <f>IFERROR(__xludf.DUMMYFUNCTION("""COMPUTED_VALUE"""),"jordade01")</f>
        <v>jordade01</v>
      </c>
      <c r="B2035" s="161" t="str">
        <f>IFERROR(__xludf.DUMMYFUNCTION("""COMPUTED_VALUE"""),"DeAndre Jordan")</f>
        <v>DeAndre Jordan</v>
      </c>
      <c r="C2035" s="162" t="str">
        <f>IFERROR(__xludf.DUMMYFUNCTION("""COMPUTED_VALUE"""),"2017-18")</f>
        <v>2017-18</v>
      </c>
      <c r="D2035" s="163" t="str">
        <f>IFERROR(__xludf.DUMMYFUNCTION("""COMPUTED_VALUE"""),"LAC")</f>
        <v>LAC</v>
      </c>
      <c r="E2035" s="164" t="str">
        <f>IFERROR(__xludf.DUMMYFUNCTION("""COMPUTED_VALUE"""),"Roll + Cut Big")</f>
        <v>Roll + Cut Big</v>
      </c>
      <c r="F2035" s="164">
        <f>IFERROR(__xludf.DUMMYFUNCTION("""COMPUTED_VALUE"""),2423.43666666667)</f>
        <v>2423.436667</v>
      </c>
      <c r="G2035" s="163">
        <f>IFERROR(__xludf.DUMMYFUNCTION("""COMPUTED_VALUE"""),77.0)</f>
        <v>77</v>
      </c>
      <c r="H2035" s="163" t="str">
        <f>IFERROR(__xludf.DUMMYFUNCTION("""COMPUTED_VALUE"""),"C")</f>
        <v>C</v>
      </c>
      <c r="I2035" s="163">
        <f>IFERROR(__xludf.DUMMYFUNCTION("""COMPUTED_VALUE"""),29.0)</f>
        <v>29</v>
      </c>
      <c r="J2035" s="165">
        <f>IFERROR(__xludf.DUMMYFUNCTION("""COMPUTED_VALUE"""),0.639886275944836)</f>
        <v>0.6398862759</v>
      </c>
      <c r="K2035" s="165">
        <f>IFERROR(__xludf.DUMMYFUNCTION("""COMPUTED_VALUE"""),-0.32878809665062)</f>
        <v>-0.3287880967</v>
      </c>
      <c r="L2035" s="165">
        <f>IFERROR(__xludf.DUMMYFUNCTION("""COMPUTED_VALUE"""),0.968674372595457)</f>
        <v>0.9686743726</v>
      </c>
      <c r="M2035" s="166">
        <f t="shared" si="2"/>
        <v>4.781019491</v>
      </c>
      <c r="N2035" s="167">
        <f t="shared" si="3"/>
        <v>31.47320346</v>
      </c>
      <c r="O2035" s="163">
        <f t="shared" ref="O2035:Q2035" si="2039">rank(I2035,I:I)</f>
        <v>855</v>
      </c>
      <c r="P2035" s="163">
        <f t="shared" si="2039"/>
        <v>826</v>
      </c>
      <c r="Q2035" s="163">
        <f t="shared" si="2039"/>
        <v>1810</v>
      </c>
      <c r="R2035" s="163">
        <f>IFERROR(__xludf.DUMMYFUNCTION("RANK(M2035,filter(M:M,C:C=C2035))"),60.0)</f>
        <v>60</v>
      </c>
      <c r="S2035" s="161" t="b">
        <f t="shared" si="5"/>
        <v>0</v>
      </c>
      <c r="T2035" s="161" t="b">
        <f t="array" ref="T2035">index('Query Tool'!B:B,match(H2035,'Query Tool'!C:C,0))</f>
        <v>1</v>
      </c>
      <c r="U2035" s="161" t="b">
        <f t="array" ref="U2035">index('Query Tool'!B:B,match(C2035,'Query Tool'!C:C,0))</f>
        <v>0</v>
      </c>
      <c r="V2035" s="161" t="b">
        <f>F2035&gt;='Query Tool'!C$32</f>
        <v>1</v>
      </c>
      <c r="W2035" s="161" t="b">
        <f t="array" ref="W2035">index(Dropdowns!B:B,match(I2035,Dropdowns!A:A,0))</f>
        <v>1</v>
      </c>
      <c r="X2035" s="161" t="b">
        <f t="array" ref="X2035">index('Query Tool'!B:B,match(D2035,'Query Tool'!C:C,0))</f>
        <v>1</v>
      </c>
      <c r="Y2035" s="161" t="str">
        <f t="shared" si="6"/>
        <v>jordade01,2017-18</v>
      </c>
      <c r="Z2035" s="168">
        <f t="array" ref="Z2035">iferror(index(I:I,match($A2035&amp;","&amp;index('Year Conversion'!$A:$A,match($C2035,'Year Conversion'!$B:$B,0)),$Y:$Y,0))-I2035,"")</f>
        <v>1</v>
      </c>
      <c r="AA2035" s="168">
        <f t="array" ref="AA2035">iferror(index(J:J,match($A2035&amp;","&amp;index('Year Conversion'!$A:$A,match($C2035,'Year Conversion'!$B:$B,0)),$Y:$Y,0))-J2035,"")</f>
        <v>-0.3122348146</v>
      </c>
      <c r="AB2035" s="168">
        <f t="array" ref="AB2035">iferror(index(K:K,match($A2035&amp;","&amp;index('Year Conversion'!$A:$A,match($C2035,'Year Conversion'!$B:$B,0)),$Y:$Y,0))-K2035,"")</f>
        <v>-1.458577377</v>
      </c>
      <c r="AC2035" s="168" t="str">
        <f t="shared" si="7"/>
        <v>LAC,2017-18</v>
      </c>
    </row>
    <row r="2036">
      <c r="A2036" s="161" t="str">
        <f>IFERROR(__xludf.DUMMYFUNCTION("""COMPUTED_VALUE"""),"asikom01")</f>
        <v>asikom01</v>
      </c>
      <c r="B2036" s="161" t="str">
        <f>IFERROR(__xludf.DUMMYFUNCTION("""COMPUTED_VALUE"""),"Omer Asik")</f>
        <v>Omer Asik</v>
      </c>
      <c r="C2036" s="162" t="str">
        <f>IFERROR(__xludf.DUMMYFUNCTION("""COMPUTED_VALUE"""),"2017-18")</f>
        <v>2017-18</v>
      </c>
      <c r="D2036" s="163" t="str">
        <f>IFERROR(__xludf.DUMMYFUNCTION("""COMPUTED_VALUE"""),"TOT")</f>
        <v>TOT</v>
      </c>
      <c r="E2036" s="164" t="str">
        <f>IFERROR(__xludf.DUMMYFUNCTION("""COMPUTED_VALUE"""),"Roll + Cut Big")</f>
        <v>Roll + Cut Big</v>
      </c>
      <c r="F2036" s="164">
        <f>IFERROR(__xludf.DUMMYFUNCTION("""COMPUTED_VALUE"""),182.126666666667)</f>
        <v>182.1266667</v>
      </c>
      <c r="G2036" s="163">
        <f>IFERROR(__xludf.DUMMYFUNCTION("""COMPUTED_VALUE"""),18.0)</f>
        <v>18</v>
      </c>
      <c r="H2036" s="163" t="str">
        <f>IFERROR(__xludf.DUMMYFUNCTION("""COMPUTED_VALUE"""),"C")</f>
        <v>C</v>
      </c>
      <c r="I2036" s="163">
        <f>IFERROR(__xludf.DUMMYFUNCTION("""COMPUTED_VALUE"""),31.0)</f>
        <v>31</v>
      </c>
      <c r="J2036" s="165">
        <f>IFERROR(__xludf.DUMMYFUNCTION("""COMPUTED_VALUE"""),-0.998474055454601)</f>
        <v>-0.9984740555</v>
      </c>
      <c r="K2036" s="165">
        <f>IFERROR(__xludf.DUMMYFUNCTION("""COMPUTED_VALUE"""),-1.03134858021797)</f>
        <v>-1.03134858</v>
      </c>
      <c r="L2036" s="165">
        <f>IFERROR(__xludf.DUMMYFUNCTION("""COMPUTED_VALUE"""),0.0328745247633729)</f>
        <v>0.03287452476</v>
      </c>
      <c r="M2036" s="166">
        <f t="shared" si="2"/>
        <v>0.1583475486</v>
      </c>
      <c r="N2036" s="167">
        <f t="shared" si="3"/>
        <v>10.11814815</v>
      </c>
      <c r="O2036" s="163">
        <f t="shared" ref="O2036:Q2036" si="2040">rank(I2036,I:I)</f>
        <v>490</v>
      </c>
      <c r="P2036" s="163">
        <f t="shared" si="2040"/>
        <v>2502</v>
      </c>
      <c r="Q2036" s="163">
        <f t="shared" si="2040"/>
        <v>2845</v>
      </c>
      <c r="R2036" s="163">
        <f>IFERROR(__xludf.DUMMYFUNCTION("RANK(M2036,filter(M:M,C:C=C2036))"),360.0)</f>
        <v>360</v>
      </c>
      <c r="S2036" s="161" t="b">
        <f t="shared" si="5"/>
        <v>0</v>
      </c>
      <c r="T2036" s="161" t="b">
        <f t="array" ref="T2036">index('Query Tool'!B:B,match(H2036,'Query Tool'!C:C,0))</f>
        <v>1</v>
      </c>
      <c r="U2036" s="161" t="b">
        <f t="array" ref="U2036">index('Query Tool'!B:B,match(C2036,'Query Tool'!C:C,0))</f>
        <v>0</v>
      </c>
      <c r="V2036" s="161" t="b">
        <f>F2036&gt;='Query Tool'!C$32</f>
        <v>0</v>
      </c>
      <c r="W2036" s="161" t="b">
        <f t="array" ref="W2036">index(Dropdowns!B:B,match(I2036,Dropdowns!A:A,0))</f>
        <v>1</v>
      </c>
      <c r="X2036" s="161" t="b">
        <f t="array" ref="X2036">index('Query Tool'!B:B,match(D2036,'Query Tool'!C:C,0))</f>
        <v>1</v>
      </c>
      <c r="Y2036" s="161" t="str">
        <f t="shared" si="6"/>
        <v>asikom01,2017-18</v>
      </c>
      <c r="Z2036" s="168" t="str">
        <f t="array" ref="Z2036">iferror(index(I:I,match($A2036&amp;","&amp;index('Year Conversion'!$A:$A,match($C2036,'Year Conversion'!$B:$B,0)),$Y:$Y,0))-I2036,"")</f>
        <v/>
      </c>
      <c r="AA2036" s="168" t="str">
        <f t="array" ref="AA2036">iferror(index(J:J,match($A2036&amp;","&amp;index('Year Conversion'!$A:$A,match($C2036,'Year Conversion'!$B:$B,0)),$Y:$Y,0))-J2036,"")</f>
        <v/>
      </c>
      <c r="AB2036" s="168" t="str">
        <f t="array" ref="AB2036">iferror(index(K:K,match($A2036&amp;","&amp;index('Year Conversion'!$A:$A,match($C2036,'Year Conversion'!$B:$B,0)),$Y:$Y,0))-K2036,"")</f>
        <v/>
      </c>
      <c r="AC2036" s="168" t="str">
        <f t="shared" si="7"/>
        <v>TOT,2017-18</v>
      </c>
    </row>
    <row r="2037">
      <c r="A2037" s="161" t="str">
        <f>IFERROR(__xludf.DUMMYFUNCTION("""COMPUTED_VALUE"""),"mbahalu01")</f>
        <v>mbahalu01</v>
      </c>
      <c r="B2037" s="161" t="str">
        <f>IFERROR(__xludf.DUMMYFUNCTION("""COMPUTED_VALUE"""),"Luc Mbah a Moute")</f>
        <v>Luc Mbah a Moute</v>
      </c>
      <c r="C2037" s="162" t="str">
        <f>IFERROR(__xludf.DUMMYFUNCTION("""COMPUTED_VALUE"""),"2017-18")</f>
        <v>2017-18</v>
      </c>
      <c r="D2037" s="163" t="str">
        <f>IFERROR(__xludf.DUMMYFUNCTION("""COMPUTED_VALUE"""),"HOU")</f>
        <v>HOU</v>
      </c>
      <c r="E2037" s="164" t="str">
        <f>IFERROR(__xludf.DUMMYFUNCTION("""COMPUTED_VALUE"""),"Stationary Shooter")</f>
        <v>Stationary Shooter</v>
      </c>
      <c r="F2037" s="164">
        <f>IFERROR(__xludf.DUMMYFUNCTION("""COMPUTED_VALUE"""),1564.34666666667)</f>
        <v>1564.346667</v>
      </c>
      <c r="G2037" s="163">
        <f>IFERROR(__xludf.DUMMYFUNCTION("""COMPUTED_VALUE"""),61.0)</f>
        <v>61</v>
      </c>
      <c r="H2037" s="163" t="str">
        <f>IFERROR(__xludf.DUMMYFUNCTION("""COMPUTED_VALUE"""),"PF")</f>
        <v>PF</v>
      </c>
      <c r="I2037" s="163">
        <f>IFERROR(__xludf.DUMMYFUNCTION("""COMPUTED_VALUE"""),31.0)</f>
        <v>31</v>
      </c>
      <c r="J2037" s="165">
        <f>IFERROR(__xludf.DUMMYFUNCTION("""COMPUTED_VALUE"""),-0.0625435832259447)</f>
        <v>-0.06254358323</v>
      </c>
      <c r="K2037" s="165">
        <f>IFERROR(__xludf.DUMMYFUNCTION("""COMPUTED_VALUE"""),-1.2884914657011)</f>
        <v>-1.288491466</v>
      </c>
      <c r="L2037" s="165">
        <f>IFERROR(__xludf.DUMMYFUNCTION("""COMPUTED_VALUE"""),1.22594788247516)</f>
        <v>1.225947882</v>
      </c>
      <c r="M2037" s="166">
        <f t="shared" si="2"/>
        <v>2.345738842</v>
      </c>
      <c r="N2037" s="167">
        <f t="shared" si="3"/>
        <v>25.64502732</v>
      </c>
      <c r="O2037" s="163">
        <f t="shared" ref="O2037:Q2037" si="2041">rank(I2037,I:I)</f>
        <v>490</v>
      </c>
      <c r="P2037" s="163">
        <f t="shared" si="2041"/>
        <v>1349</v>
      </c>
      <c r="Q2037" s="163">
        <f t="shared" si="2041"/>
        <v>3129</v>
      </c>
      <c r="R2037" s="163">
        <f>IFERROR(__xludf.DUMMYFUNCTION("RANK(M2037,filter(M:M,C:C=C2037))"),143.0)</f>
        <v>143</v>
      </c>
      <c r="S2037" s="161" t="b">
        <f t="shared" si="5"/>
        <v>0</v>
      </c>
      <c r="T2037" s="161" t="b">
        <f t="array" ref="T2037">index('Query Tool'!B:B,match(H2037,'Query Tool'!C:C,0))</f>
        <v>1</v>
      </c>
      <c r="U2037" s="161" t="b">
        <f t="array" ref="U2037">index('Query Tool'!B:B,match(C2037,'Query Tool'!C:C,0))</f>
        <v>0</v>
      </c>
      <c r="V2037" s="161" t="b">
        <f>F2037&gt;='Query Tool'!C$32</f>
        <v>1</v>
      </c>
      <c r="W2037" s="161" t="b">
        <f t="array" ref="W2037">index(Dropdowns!B:B,match(I2037,Dropdowns!A:A,0))</f>
        <v>1</v>
      </c>
      <c r="X2037" s="161" t="b">
        <f t="array" ref="X2037">index('Query Tool'!B:B,match(D2037,'Query Tool'!C:C,0))</f>
        <v>1</v>
      </c>
      <c r="Y2037" s="161" t="str">
        <f t="shared" si="6"/>
        <v>mbahalu01,2017-18</v>
      </c>
      <c r="Z2037" s="168">
        <f t="array" ref="Z2037">iferror(index(I:I,match($A2037&amp;","&amp;index('Year Conversion'!$A:$A,match($C2037,'Year Conversion'!$B:$B,0)),$Y:$Y,0))-I2037,"")</f>
        <v>1</v>
      </c>
      <c r="AA2037" s="168">
        <f t="array" ref="AA2037">iferror(index(J:J,match($A2037&amp;","&amp;index('Year Conversion'!$A:$A,match($C2037,'Year Conversion'!$B:$B,0)),$Y:$Y,0))-J2037,"")</f>
        <v>-0.618090549</v>
      </c>
      <c r="AB2037" s="168">
        <f t="array" ref="AB2037">iferror(index(K:K,match($A2037&amp;","&amp;index('Year Conversion'!$A:$A,match($C2037,'Year Conversion'!$B:$B,0)),$Y:$Y,0))-K2037,"")</f>
        <v>0.9140146076</v>
      </c>
      <c r="AC2037" s="168" t="str">
        <f t="shared" si="7"/>
        <v>HOU,2017-18</v>
      </c>
    </row>
    <row r="2038">
      <c r="A2038" s="161" t="str">
        <f>IFERROR(__xludf.DUMMYFUNCTION("""COMPUTED_VALUE"""),"dragigo01")</f>
        <v>dragigo01</v>
      </c>
      <c r="B2038" s="161" t="str">
        <f>IFERROR(__xludf.DUMMYFUNCTION("""COMPUTED_VALUE"""),"Goran Dragic")</f>
        <v>Goran Dragic</v>
      </c>
      <c r="C2038" s="162" t="str">
        <f>IFERROR(__xludf.DUMMYFUNCTION("""COMPUTED_VALUE"""),"2017-18")</f>
        <v>2017-18</v>
      </c>
      <c r="D2038" s="163" t="str">
        <f>IFERROR(__xludf.DUMMYFUNCTION("""COMPUTED_VALUE"""),"MIA")</f>
        <v>MIA</v>
      </c>
      <c r="E2038" s="164" t="str">
        <f>IFERROR(__xludf.DUMMYFUNCTION("""COMPUTED_VALUE"""),"Slasher")</f>
        <v>Slasher</v>
      </c>
      <c r="F2038" s="164">
        <f>IFERROR(__xludf.DUMMYFUNCTION("""COMPUTED_VALUE"""),2377.545)</f>
        <v>2377.545</v>
      </c>
      <c r="G2038" s="163">
        <f>IFERROR(__xludf.DUMMYFUNCTION("""COMPUTED_VALUE"""),75.0)</f>
        <v>75</v>
      </c>
      <c r="H2038" s="163" t="str">
        <f>IFERROR(__xludf.DUMMYFUNCTION("""COMPUTED_VALUE"""),"PG")</f>
        <v>PG</v>
      </c>
      <c r="I2038" s="163">
        <f>IFERROR(__xludf.DUMMYFUNCTION("""COMPUTED_VALUE"""),31.0)</f>
        <v>31</v>
      </c>
      <c r="J2038" s="165">
        <f>IFERROR(__xludf.DUMMYFUNCTION("""COMPUTED_VALUE"""),0.208432266165951)</f>
        <v>0.2084322662</v>
      </c>
      <c r="K2038" s="165">
        <f>IFERROR(__xludf.DUMMYFUNCTION("""COMPUTED_VALUE"""),0.930087596707435)</f>
        <v>0.9300875967</v>
      </c>
      <c r="L2038" s="165">
        <f>IFERROR(__xludf.DUMMYFUNCTION("""COMPUTED_VALUE"""),-0.721655330541485)</f>
        <v>-0.7216553305</v>
      </c>
      <c r="M2038" s="166">
        <f t="shared" si="2"/>
        <v>3.999461257</v>
      </c>
      <c r="N2038" s="167">
        <f t="shared" si="3"/>
        <v>31.7006</v>
      </c>
      <c r="O2038" s="163">
        <f t="shared" ref="O2038:Q2038" si="2042">rank(I2038,I:I)</f>
        <v>490</v>
      </c>
      <c r="P2038" s="163">
        <f t="shared" si="2042"/>
        <v>1083</v>
      </c>
      <c r="Q2038" s="163">
        <f t="shared" si="2042"/>
        <v>543</v>
      </c>
      <c r="R2038" s="163">
        <f>IFERROR(__xludf.DUMMYFUNCTION("RANK(M2038,filter(M:M,C:C=C2038))"),87.0)</f>
        <v>87</v>
      </c>
      <c r="S2038" s="161" t="b">
        <f t="shared" si="5"/>
        <v>0</v>
      </c>
      <c r="T2038" s="161" t="b">
        <f t="array" ref="T2038">index('Query Tool'!B:B,match(H2038,'Query Tool'!C:C,0))</f>
        <v>1</v>
      </c>
      <c r="U2038" s="161" t="b">
        <f t="array" ref="U2038">index('Query Tool'!B:B,match(C2038,'Query Tool'!C:C,0))</f>
        <v>0</v>
      </c>
      <c r="V2038" s="161" t="b">
        <f>F2038&gt;='Query Tool'!C$32</f>
        <v>1</v>
      </c>
      <c r="W2038" s="161" t="b">
        <f t="array" ref="W2038">index(Dropdowns!B:B,match(I2038,Dropdowns!A:A,0))</f>
        <v>1</v>
      </c>
      <c r="X2038" s="161" t="b">
        <f t="array" ref="X2038">index('Query Tool'!B:B,match(D2038,'Query Tool'!C:C,0))</f>
        <v>1</v>
      </c>
      <c r="Y2038" s="161" t="str">
        <f t="shared" si="6"/>
        <v>dragigo01,2017-18</v>
      </c>
      <c r="Z2038" s="168">
        <f t="array" ref="Z2038">iferror(index(I:I,match($A2038&amp;","&amp;index('Year Conversion'!$A:$A,match($C2038,'Year Conversion'!$B:$B,0)),$Y:$Y,0))-I2038,"")</f>
        <v>1</v>
      </c>
      <c r="AA2038" s="168">
        <f t="array" ref="AA2038">iferror(index(J:J,match($A2038&amp;","&amp;index('Year Conversion'!$A:$A,match($C2038,'Year Conversion'!$B:$B,0)),$Y:$Y,0))-J2038,"")</f>
        <v>0.3952801624</v>
      </c>
      <c r="AB2038" s="168">
        <f t="array" ref="AB2038">iferror(index(K:K,match($A2038&amp;","&amp;index('Year Conversion'!$A:$A,match($C2038,'Year Conversion'!$B:$B,0)),$Y:$Y,0))-K2038,"")</f>
        <v>-0.2873722783</v>
      </c>
      <c r="AC2038" s="168" t="str">
        <f t="shared" si="7"/>
        <v>MIA,2017-18</v>
      </c>
    </row>
    <row r="2039">
      <c r="A2039" s="161" t="str">
        <f>IFERROR(__xludf.DUMMYFUNCTION("""COMPUTED_VALUE"""),"brownbo02")</f>
        <v>brownbo02</v>
      </c>
      <c r="B2039" s="161" t="str">
        <f>IFERROR(__xludf.DUMMYFUNCTION("""COMPUTED_VALUE"""),"Bobby Brown")</f>
        <v>Bobby Brown</v>
      </c>
      <c r="C2039" s="162" t="str">
        <f>IFERROR(__xludf.DUMMYFUNCTION("""COMPUTED_VALUE"""),"2017-18")</f>
        <v>2017-18</v>
      </c>
      <c r="D2039" s="163" t="str">
        <f>IFERROR(__xludf.DUMMYFUNCTION("""COMPUTED_VALUE"""),"HOU")</f>
        <v>HOU</v>
      </c>
      <c r="E2039" s="164" t="str">
        <f>IFERROR(__xludf.DUMMYFUNCTION("""COMPUTED_VALUE"""),"Movement Shooter")</f>
        <v>Movement Shooter</v>
      </c>
      <c r="F2039" s="164">
        <f>IFERROR(__xludf.DUMMYFUNCTION("""COMPUTED_VALUE"""),114.933333333333)</f>
        <v>114.9333333</v>
      </c>
      <c r="G2039" s="163">
        <f>IFERROR(__xludf.DUMMYFUNCTION("""COMPUTED_VALUE"""),20.0)</f>
        <v>20</v>
      </c>
      <c r="H2039" s="163" t="str">
        <f>IFERROR(__xludf.DUMMYFUNCTION("""COMPUTED_VALUE"""),"PG")</f>
        <v>PG</v>
      </c>
      <c r="I2039" s="163">
        <f>IFERROR(__xludf.DUMMYFUNCTION("""COMPUTED_VALUE"""),33.0)</f>
        <v>33</v>
      </c>
      <c r="J2039" s="165">
        <f>IFERROR(__xludf.DUMMYFUNCTION("""COMPUTED_VALUE"""),-1.39969434889983)</f>
        <v>-1.399694349</v>
      </c>
      <c r="K2039" s="165">
        <f>IFERROR(__xludf.DUMMYFUNCTION("""COMPUTED_VALUE"""),-0.207460906289478)</f>
        <v>-0.2074609063</v>
      </c>
      <c r="L2039" s="165">
        <f>IFERROR(__xludf.DUMMYFUNCTION("""COMPUTED_VALUE"""),-1.19223344261035)</f>
        <v>-1.192233443</v>
      </c>
      <c r="M2039" s="166">
        <f t="shared" si="2"/>
        <v>0.06902515772</v>
      </c>
      <c r="N2039" s="167">
        <f t="shared" si="3"/>
        <v>5.746666667</v>
      </c>
      <c r="O2039" s="163">
        <f t="shared" ref="O2039:Q2039" si="2043">rank(I2039,I:I)</f>
        <v>246</v>
      </c>
      <c r="P2039" s="163">
        <f t="shared" si="2043"/>
        <v>2948</v>
      </c>
      <c r="Q2039" s="163">
        <f t="shared" si="2043"/>
        <v>1575</v>
      </c>
      <c r="R2039" s="163">
        <f>IFERROR(__xludf.DUMMYFUNCTION("RANK(M2039,filter(M:M,C:C=C2039))"),413.0)</f>
        <v>413</v>
      </c>
      <c r="S2039" s="161" t="b">
        <f t="shared" si="5"/>
        <v>0</v>
      </c>
      <c r="T2039" s="161" t="b">
        <f t="array" ref="T2039">index('Query Tool'!B:B,match(H2039,'Query Tool'!C:C,0))</f>
        <v>1</v>
      </c>
      <c r="U2039" s="161" t="b">
        <f t="array" ref="U2039">index('Query Tool'!B:B,match(C2039,'Query Tool'!C:C,0))</f>
        <v>0</v>
      </c>
      <c r="V2039" s="161" t="b">
        <f>F2039&gt;='Query Tool'!C$32</f>
        <v>0</v>
      </c>
      <c r="W2039" s="161" t="b">
        <f t="array" ref="W2039">index(Dropdowns!B:B,match(I2039,Dropdowns!A:A,0))</f>
        <v>1</v>
      </c>
      <c r="X2039" s="161" t="b">
        <f t="array" ref="X2039">index('Query Tool'!B:B,match(D2039,'Query Tool'!C:C,0))</f>
        <v>1</v>
      </c>
      <c r="Y2039" s="161" t="str">
        <f t="shared" si="6"/>
        <v>brownbo02,2017-18</v>
      </c>
      <c r="Z2039" s="168" t="str">
        <f t="array" ref="Z2039">iferror(index(I:I,match($A2039&amp;","&amp;index('Year Conversion'!$A:$A,match($C2039,'Year Conversion'!$B:$B,0)),$Y:$Y,0))-I2039,"")</f>
        <v/>
      </c>
      <c r="AA2039" s="168" t="str">
        <f t="array" ref="AA2039">iferror(index(J:J,match($A2039&amp;","&amp;index('Year Conversion'!$A:$A,match($C2039,'Year Conversion'!$B:$B,0)),$Y:$Y,0))-J2039,"")</f>
        <v/>
      </c>
      <c r="AB2039" s="168" t="str">
        <f t="array" ref="AB2039">iferror(index(K:K,match($A2039&amp;","&amp;index('Year Conversion'!$A:$A,match($C2039,'Year Conversion'!$B:$B,0)),$Y:$Y,0))-K2039,"")</f>
        <v/>
      </c>
      <c r="AC2039" s="168" t="str">
        <f t="shared" si="7"/>
        <v>HOU,2017-18</v>
      </c>
    </row>
    <row r="2040">
      <c r="A2040" s="161" t="str">
        <f>IFERROR(__xludf.DUMMYFUNCTION("""COMPUTED_VALUE"""),"griffbl01")</f>
        <v>griffbl01</v>
      </c>
      <c r="B2040" s="161" t="str">
        <f>IFERROR(__xludf.DUMMYFUNCTION("""COMPUTED_VALUE"""),"Blake Griffin")</f>
        <v>Blake Griffin</v>
      </c>
      <c r="C2040" s="162" t="str">
        <f>IFERROR(__xludf.DUMMYFUNCTION("""COMPUTED_VALUE"""),"2017-18")</f>
        <v>2017-18</v>
      </c>
      <c r="D2040" s="163" t="str">
        <f>IFERROR(__xludf.DUMMYFUNCTION("""COMPUTED_VALUE"""),"TOT")</f>
        <v>TOT</v>
      </c>
      <c r="E2040" s="164" t="str">
        <f>IFERROR(__xludf.DUMMYFUNCTION("""COMPUTED_VALUE"""),"Versatile Big")</f>
        <v>Versatile Big</v>
      </c>
      <c r="F2040" s="164">
        <f>IFERROR(__xludf.DUMMYFUNCTION("""COMPUTED_VALUE"""),1969.82166666667)</f>
        <v>1969.821667</v>
      </c>
      <c r="G2040" s="163">
        <f>IFERROR(__xludf.DUMMYFUNCTION("""COMPUTED_VALUE"""),58.0)</f>
        <v>58</v>
      </c>
      <c r="H2040" s="163" t="str">
        <f>IFERROR(__xludf.DUMMYFUNCTION("""COMPUTED_VALUE"""),"PF")</f>
        <v>PF</v>
      </c>
      <c r="I2040" s="163">
        <f>IFERROR(__xludf.DUMMYFUNCTION("""COMPUTED_VALUE"""),28.0)</f>
        <v>28</v>
      </c>
      <c r="J2040" s="165">
        <f>IFERROR(__xludf.DUMMYFUNCTION("""COMPUTED_VALUE"""),0.539148969975885)</f>
        <v>0.53914897</v>
      </c>
      <c r="K2040" s="165">
        <f>IFERROR(__xludf.DUMMYFUNCTION("""COMPUTED_VALUE"""),1.34961435367043)</f>
        <v>1.349614354</v>
      </c>
      <c r="L2040" s="165">
        <f>IFERROR(__xludf.DUMMYFUNCTION("""COMPUTED_VALUE"""),-0.810465383694542)</f>
        <v>-0.8104653837</v>
      </c>
      <c r="M2040" s="166">
        <f t="shared" si="2"/>
        <v>3.752527416</v>
      </c>
      <c r="N2040" s="167">
        <f t="shared" si="3"/>
        <v>33.96244253</v>
      </c>
      <c r="O2040" s="163">
        <f t="shared" ref="O2040:Q2040" si="2044">rank(I2040,I:I)</f>
        <v>1090</v>
      </c>
      <c r="P2040" s="163">
        <f t="shared" si="2044"/>
        <v>878</v>
      </c>
      <c r="Q2040" s="163">
        <f t="shared" si="2044"/>
        <v>370</v>
      </c>
      <c r="R2040" s="163">
        <f>IFERROR(__xludf.DUMMYFUNCTION("RANK(M2040,filter(M:M,C:C=C2040))"),94.0)</f>
        <v>94</v>
      </c>
      <c r="S2040" s="161" t="b">
        <f t="shared" si="5"/>
        <v>0</v>
      </c>
      <c r="T2040" s="161" t="b">
        <f t="array" ref="T2040">index('Query Tool'!B:B,match(H2040,'Query Tool'!C:C,0))</f>
        <v>1</v>
      </c>
      <c r="U2040" s="161" t="b">
        <f t="array" ref="U2040">index('Query Tool'!B:B,match(C2040,'Query Tool'!C:C,0))</f>
        <v>0</v>
      </c>
      <c r="V2040" s="161" t="b">
        <f>F2040&gt;='Query Tool'!C$32</f>
        <v>1</v>
      </c>
      <c r="W2040" s="161" t="b">
        <f t="array" ref="W2040">index(Dropdowns!B:B,match(I2040,Dropdowns!A:A,0))</f>
        <v>1</v>
      </c>
      <c r="X2040" s="161" t="b">
        <f t="array" ref="X2040">index('Query Tool'!B:B,match(D2040,'Query Tool'!C:C,0))</f>
        <v>1</v>
      </c>
      <c r="Y2040" s="161" t="str">
        <f t="shared" si="6"/>
        <v>griffbl01,2017-18</v>
      </c>
      <c r="Z2040" s="168">
        <f t="array" ref="Z2040">iferror(index(I:I,match($A2040&amp;","&amp;index('Year Conversion'!$A:$A,match($C2040,'Year Conversion'!$B:$B,0)),$Y:$Y,0))-I2040,"")</f>
        <v>1</v>
      </c>
      <c r="AA2040" s="168">
        <f t="array" ref="AA2040">iferror(index(J:J,match($A2040&amp;","&amp;index('Year Conversion'!$A:$A,match($C2040,'Year Conversion'!$B:$B,0)),$Y:$Y,0))-J2040,"")</f>
        <v>1.35222389</v>
      </c>
      <c r="AB2040" s="168">
        <f t="array" ref="AB2040">iferror(index(K:K,match($A2040&amp;","&amp;index('Year Conversion'!$A:$A,match($C2040,'Year Conversion'!$B:$B,0)),$Y:$Y,0))-K2040,"")</f>
        <v>0.4329664685</v>
      </c>
      <c r="AC2040" s="168" t="str">
        <f t="shared" si="7"/>
        <v>TOT,2017-18</v>
      </c>
    </row>
    <row r="2041">
      <c r="A2041" s="161" t="str">
        <f>IFERROR(__xludf.DUMMYFUNCTION("""COMPUTED_VALUE"""),"hardeja01")</f>
        <v>hardeja01</v>
      </c>
      <c r="B2041" s="161" t="str">
        <f>IFERROR(__xludf.DUMMYFUNCTION("""COMPUTED_VALUE"""),"James Harden")</f>
        <v>James Harden</v>
      </c>
      <c r="C2041" s="162" t="str">
        <f>IFERROR(__xludf.DUMMYFUNCTION("""COMPUTED_VALUE"""),"2017-18")</f>
        <v>2017-18</v>
      </c>
      <c r="D2041" s="163" t="str">
        <f>IFERROR(__xludf.DUMMYFUNCTION("""COMPUTED_VALUE"""),"HOU")</f>
        <v>HOU</v>
      </c>
      <c r="E2041" s="164" t="str">
        <f>IFERROR(__xludf.DUMMYFUNCTION("""COMPUTED_VALUE"""),"Shot Creator")</f>
        <v>Shot Creator</v>
      </c>
      <c r="F2041" s="164">
        <f>IFERROR(__xludf.DUMMYFUNCTION("""COMPUTED_VALUE"""),2550.785)</f>
        <v>2550.785</v>
      </c>
      <c r="G2041" s="163">
        <f>IFERROR(__xludf.DUMMYFUNCTION("""COMPUTED_VALUE"""),72.0)</f>
        <v>72</v>
      </c>
      <c r="H2041" s="163" t="str">
        <f>IFERROR(__xludf.DUMMYFUNCTION("""COMPUTED_VALUE"""),"SG")</f>
        <v>SG</v>
      </c>
      <c r="I2041" s="163">
        <f>IFERROR(__xludf.DUMMYFUNCTION("""COMPUTED_VALUE"""),28.0)</f>
        <v>28</v>
      </c>
      <c r="J2041" s="165">
        <f>IFERROR(__xludf.DUMMYFUNCTION("""COMPUTED_VALUE"""),6.27328150934698)</f>
        <v>6.273281509</v>
      </c>
      <c r="K2041" s="165">
        <f>IFERROR(__xludf.DUMMYFUNCTION("""COMPUTED_VALUE"""),6.57485184171218)</f>
        <v>6.574851842</v>
      </c>
      <c r="L2041" s="165">
        <f>IFERROR(__xludf.DUMMYFUNCTION("""COMPUTED_VALUE"""),-0.301570332365203)</f>
        <v>-0.3015703324</v>
      </c>
      <c r="M2041" s="166">
        <f t="shared" si="2"/>
        <v>14.16711247</v>
      </c>
      <c r="N2041" s="167">
        <f t="shared" si="3"/>
        <v>35.42756944</v>
      </c>
      <c r="O2041" s="163">
        <f t="shared" ref="O2041:Q2041" si="2045">rank(I2041,I:I)</f>
        <v>1090</v>
      </c>
      <c r="P2041" s="163">
        <f t="shared" si="2045"/>
        <v>13</v>
      </c>
      <c r="Q2041" s="163">
        <f t="shared" si="2045"/>
        <v>3</v>
      </c>
      <c r="R2041" s="163">
        <f>IFERROR(__xludf.DUMMYFUNCTION("RANK(M2041,filter(M:M,C:C=C2041))"),1.0)</f>
        <v>1</v>
      </c>
      <c r="S2041" s="161" t="b">
        <f t="shared" si="5"/>
        <v>0</v>
      </c>
      <c r="T2041" s="161" t="b">
        <f t="array" ref="T2041">index('Query Tool'!B:B,match(H2041,'Query Tool'!C:C,0))</f>
        <v>1</v>
      </c>
      <c r="U2041" s="161" t="b">
        <f t="array" ref="U2041">index('Query Tool'!B:B,match(C2041,'Query Tool'!C:C,0))</f>
        <v>0</v>
      </c>
      <c r="V2041" s="161" t="b">
        <f>F2041&gt;='Query Tool'!C$32</f>
        <v>1</v>
      </c>
      <c r="W2041" s="161" t="b">
        <f t="array" ref="W2041">index(Dropdowns!B:B,match(I2041,Dropdowns!A:A,0))</f>
        <v>1</v>
      </c>
      <c r="X2041" s="161" t="b">
        <f t="array" ref="X2041">index('Query Tool'!B:B,match(D2041,'Query Tool'!C:C,0))</f>
        <v>1</v>
      </c>
      <c r="Y2041" s="161" t="str">
        <f t="shared" si="6"/>
        <v>hardeja01,2017-18</v>
      </c>
      <c r="Z2041" s="168">
        <f t="array" ref="Z2041">iferror(index(I:I,match($A2041&amp;","&amp;index('Year Conversion'!$A:$A,match($C2041,'Year Conversion'!$B:$B,0)),$Y:$Y,0))-I2041,"")</f>
        <v>1</v>
      </c>
      <c r="AA2041" s="168">
        <f t="array" ref="AA2041">iferror(index(J:J,match($A2041&amp;","&amp;index('Year Conversion'!$A:$A,match($C2041,'Year Conversion'!$B:$B,0)),$Y:$Y,0))-J2041,"")</f>
        <v>-0.08311126799</v>
      </c>
      <c r="AB2041" s="168">
        <f t="array" ref="AB2041">iferror(index(K:K,match($A2041&amp;","&amp;index('Year Conversion'!$A:$A,match($C2041,'Year Conversion'!$B:$B,0)),$Y:$Y,0))-K2041,"")</f>
        <v>0.1685762342</v>
      </c>
      <c r="AC2041" s="168" t="str">
        <f t="shared" si="7"/>
        <v>HOU,2017-18</v>
      </c>
    </row>
    <row r="2042">
      <c r="A2042" s="161" t="str">
        <f>IFERROR(__xludf.DUMMYFUNCTION("""COMPUTED_VALUE"""),"evansty01")</f>
        <v>evansty01</v>
      </c>
      <c r="B2042" s="161" t="str">
        <f>IFERROR(__xludf.DUMMYFUNCTION("""COMPUTED_VALUE"""),"Tyreke Evans")</f>
        <v>Tyreke Evans</v>
      </c>
      <c r="C2042" s="162" t="str">
        <f>IFERROR(__xludf.DUMMYFUNCTION("""COMPUTED_VALUE"""),"2017-18")</f>
        <v>2017-18</v>
      </c>
      <c r="D2042" s="163" t="str">
        <f>IFERROR(__xludf.DUMMYFUNCTION("""COMPUTED_VALUE"""),"MEM")</f>
        <v>MEM</v>
      </c>
      <c r="E2042" s="164" t="str">
        <f>IFERROR(__xludf.DUMMYFUNCTION("""COMPUTED_VALUE"""),"Primary Ball Handler")</f>
        <v>Primary Ball Handler</v>
      </c>
      <c r="F2042" s="164">
        <f>IFERROR(__xludf.DUMMYFUNCTION("""COMPUTED_VALUE"""),1607.16166666667)</f>
        <v>1607.161667</v>
      </c>
      <c r="G2042" s="163">
        <f>IFERROR(__xludf.DUMMYFUNCTION("""COMPUTED_VALUE"""),52.0)</f>
        <v>52</v>
      </c>
      <c r="H2042" s="163" t="str">
        <f>IFERROR(__xludf.DUMMYFUNCTION("""COMPUTED_VALUE"""),"PG")</f>
        <v>PG</v>
      </c>
      <c r="I2042" s="163">
        <f>IFERROR(__xludf.DUMMYFUNCTION("""COMPUTED_VALUE"""),28.0)</f>
        <v>28</v>
      </c>
      <c r="J2042" s="165">
        <f>IFERROR(__xludf.DUMMYFUNCTION("""COMPUTED_VALUE"""),2.04690490268854)</f>
        <v>2.046904903</v>
      </c>
      <c r="K2042" s="165">
        <f>IFERROR(__xludf.DUMMYFUNCTION("""COMPUTED_VALUE"""),2.43759522494445)</f>
        <v>2.437595225</v>
      </c>
      <c r="L2042" s="165">
        <f>IFERROR(__xludf.DUMMYFUNCTION("""COMPUTED_VALUE"""),-0.390690322255904)</f>
        <v>-0.3906903223</v>
      </c>
      <c r="M2042" s="166">
        <f t="shared" si="2"/>
        <v>4.682774891</v>
      </c>
      <c r="N2042" s="167">
        <f t="shared" si="3"/>
        <v>30.90695513</v>
      </c>
      <c r="O2042" s="163">
        <f t="shared" ref="O2042:Q2042" si="2046">rank(I2042,I:I)</f>
        <v>1090</v>
      </c>
      <c r="P2042" s="163">
        <f t="shared" si="2046"/>
        <v>307</v>
      </c>
      <c r="Q2042" s="163">
        <f t="shared" si="2046"/>
        <v>165</v>
      </c>
      <c r="R2042" s="163">
        <f>IFERROR(__xludf.DUMMYFUNCTION("RANK(M2042,filter(M:M,C:C=C2042))"),64.0)</f>
        <v>64</v>
      </c>
      <c r="S2042" s="161" t="b">
        <f t="shared" si="5"/>
        <v>0</v>
      </c>
      <c r="T2042" s="161" t="b">
        <f t="array" ref="T2042">index('Query Tool'!B:B,match(H2042,'Query Tool'!C:C,0))</f>
        <v>1</v>
      </c>
      <c r="U2042" s="161" t="b">
        <f t="array" ref="U2042">index('Query Tool'!B:B,match(C2042,'Query Tool'!C:C,0))</f>
        <v>0</v>
      </c>
      <c r="V2042" s="161" t="b">
        <f>F2042&gt;='Query Tool'!C$32</f>
        <v>1</v>
      </c>
      <c r="W2042" s="161" t="b">
        <f t="array" ref="W2042">index(Dropdowns!B:B,match(I2042,Dropdowns!A:A,0))</f>
        <v>1</v>
      </c>
      <c r="X2042" s="161" t="b">
        <f t="array" ref="X2042">index('Query Tool'!B:B,match(D2042,'Query Tool'!C:C,0))</f>
        <v>1</v>
      </c>
      <c r="Y2042" s="161" t="str">
        <f t="shared" si="6"/>
        <v>evansty01,2017-18</v>
      </c>
      <c r="Z2042" s="168">
        <f t="array" ref="Z2042">iferror(index(I:I,match($A2042&amp;","&amp;index('Year Conversion'!$A:$A,match($C2042,'Year Conversion'!$B:$B,0)),$Y:$Y,0))-I2042,"")</f>
        <v>1</v>
      </c>
      <c r="AA2042" s="168">
        <f t="array" ref="AA2042">iferror(index(J:J,match($A2042&amp;","&amp;index('Year Conversion'!$A:$A,match($C2042,'Year Conversion'!$B:$B,0)),$Y:$Y,0))-J2042,"")</f>
        <v>-3.058081852</v>
      </c>
      <c r="AB2042" s="168">
        <f t="array" ref="AB2042">iferror(index(K:K,match($A2042&amp;","&amp;index('Year Conversion'!$A:$A,match($C2042,'Year Conversion'!$B:$B,0)),$Y:$Y,0))-K2042,"")</f>
        <v>-3.300691209</v>
      </c>
      <c r="AC2042" s="168" t="str">
        <f t="shared" si="7"/>
        <v>MEM,2017-18</v>
      </c>
    </row>
    <row r="2043">
      <c r="A2043" s="161" t="str">
        <f>IFERROR(__xludf.DUMMYFUNCTION("""COMPUTED_VALUE"""),"rubiori01")</f>
        <v>rubiori01</v>
      </c>
      <c r="B2043" s="161" t="str">
        <f>IFERROR(__xludf.DUMMYFUNCTION("""COMPUTED_VALUE"""),"Ricky Rubio")</f>
        <v>Ricky Rubio</v>
      </c>
      <c r="C2043" s="162" t="str">
        <f>IFERROR(__xludf.DUMMYFUNCTION("""COMPUTED_VALUE"""),"2017-18")</f>
        <v>2017-18</v>
      </c>
      <c r="D2043" s="163" t="str">
        <f>IFERROR(__xludf.DUMMYFUNCTION("""COMPUTED_VALUE"""),"UTA")</f>
        <v>UTA</v>
      </c>
      <c r="E2043" s="164" t="str">
        <f>IFERROR(__xludf.DUMMYFUNCTION("""COMPUTED_VALUE"""),"Primary Ball Handler")</f>
        <v>Primary Ball Handler</v>
      </c>
      <c r="F2043" s="164">
        <f>IFERROR(__xludf.DUMMYFUNCTION("""COMPUTED_VALUE"""),2254.44166666667)</f>
        <v>2254.441667</v>
      </c>
      <c r="G2043" s="163">
        <f>IFERROR(__xludf.DUMMYFUNCTION("""COMPUTED_VALUE"""),77.0)</f>
        <v>77</v>
      </c>
      <c r="H2043" s="163" t="str">
        <f>IFERROR(__xludf.DUMMYFUNCTION("""COMPUTED_VALUE"""),"PG")</f>
        <v>PG</v>
      </c>
      <c r="I2043" s="163">
        <f>IFERROR(__xludf.DUMMYFUNCTION("""COMPUTED_VALUE"""),27.0)</f>
        <v>27</v>
      </c>
      <c r="J2043" s="165">
        <f>IFERROR(__xludf.DUMMYFUNCTION("""COMPUTED_VALUE"""),1.38030174401863)</f>
        <v>1.380301744</v>
      </c>
      <c r="K2043" s="165">
        <f>IFERROR(__xludf.DUMMYFUNCTION("""COMPUTED_VALUE"""),-0.00115294302117841)</f>
        <v>-0.001152943021</v>
      </c>
      <c r="L2043" s="165">
        <f>IFERROR(__xludf.DUMMYFUNCTION("""COMPUTED_VALUE"""),1.38145468703981)</f>
        <v>1.381454687</v>
      </c>
      <c r="M2043" s="166">
        <f t="shared" si="2"/>
        <v>5.568012893</v>
      </c>
      <c r="N2043" s="167">
        <f t="shared" si="3"/>
        <v>29.2784632</v>
      </c>
      <c r="O2043" s="163">
        <f t="shared" ref="O2043:Q2043" si="2047">rank(I2043,I:I)</f>
        <v>1366</v>
      </c>
      <c r="P2043" s="163">
        <f t="shared" si="2047"/>
        <v>500</v>
      </c>
      <c r="Q2043" s="163">
        <f t="shared" si="2047"/>
        <v>1201</v>
      </c>
      <c r="R2043" s="163">
        <f>IFERROR(__xludf.DUMMYFUNCTION("RANK(M2043,filter(M:M,C:C=C2043))"),44.0)</f>
        <v>44</v>
      </c>
      <c r="S2043" s="161" t="b">
        <f t="shared" si="5"/>
        <v>0</v>
      </c>
      <c r="T2043" s="161" t="b">
        <f t="array" ref="T2043">index('Query Tool'!B:B,match(H2043,'Query Tool'!C:C,0))</f>
        <v>1</v>
      </c>
      <c r="U2043" s="161" t="b">
        <f t="array" ref="U2043">index('Query Tool'!B:B,match(C2043,'Query Tool'!C:C,0))</f>
        <v>0</v>
      </c>
      <c r="V2043" s="161" t="b">
        <f>F2043&gt;='Query Tool'!C$32</f>
        <v>1</v>
      </c>
      <c r="W2043" s="161" t="b">
        <f t="array" ref="W2043">index(Dropdowns!B:B,match(I2043,Dropdowns!A:A,0))</f>
        <v>1</v>
      </c>
      <c r="X2043" s="161" t="b">
        <f t="array" ref="X2043">index('Query Tool'!B:B,match(D2043,'Query Tool'!C:C,0))</f>
        <v>1</v>
      </c>
      <c r="Y2043" s="161" t="str">
        <f t="shared" si="6"/>
        <v>rubiori01,2017-18</v>
      </c>
      <c r="Z2043" s="168">
        <f t="array" ref="Z2043">iferror(index(I:I,match($A2043&amp;","&amp;index('Year Conversion'!$A:$A,match($C2043,'Year Conversion'!$B:$B,0)),$Y:$Y,0))-I2043,"")</f>
        <v>1</v>
      </c>
      <c r="AA2043" s="168">
        <f t="array" ref="AA2043">iferror(index(J:J,match($A2043&amp;","&amp;index('Year Conversion'!$A:$A,match($C2043,'Year Conversion'!$B:$B,0)),$Y:$Y,0))-J2043,"")</f>
        <v>-0.06899812983</v>
      </c>
      <c r="AB2043" s="168">
        <f t="array" ref="AB2043">iferror(index(K:K,match($A2043&amp;","&amp;index('Year Conversion'!$A:$A,match($C2043,'Year Conversion'!$B:$B,0)),$Y:$Y,0))-K2043,"")</f>
        <v>0.08812729013</v>
      </c>
      <c r="AC2043" s="168" t="str">
        <f t="shared" si="7"/>
        <v>UTA,2017-18</v>
      </c>
    </row>
    <row r="2044">
      <c r="A2044" s="161" t="str">
        <f>IFERROR(__xludf.DUMMYFUNCTION("""COMPUTED_VALUE"""),"curryst01")</f>
        <v>curryst01</v>
      </c>
      <c r="B2044" s="161" t="str">
        <f>IFERROR(__xludf.DUMMYFUNCTION("""COMPUTED_VALUE"""),"Stephen Curry")</f>
        <v>Stephen Curry</v>
      </c>
      <c r="C2044" s="162" t="str">
        <f>IFERROR(__xludf.DUMMYFUNCTION("""COMPUTED_VALUE"""),"2017-18")</f>
        <v>2017-18</v>
      </c>
      <c r="D2044" s="163" t="str">
        <f>IFERROR(__xludf.DUMMYFUNCTION("""COMPUTED_VALUE"""),"GSW")</f>
        <v>GSW</v>
      </c>
      <c r="E2044" s="164" t="str">
        <f>IFERROR(__xludf.DUMMYFUNCTION("""COMPUTED_VALUE"""),"Primary Ball Handler")</f>
        <v>Primary Ball Handler</v>
      </c>
      <c r="F2044" s="164">
        <f>IFERROR(__xludf.DUMMYFUNCTION("""COMPUTED_VALUE"""),1630.79666666667)</f>
        <v>1630.796667</v>
      </c>
      <c r="G2044" s="163">
        <f>IFERROR(__xludf.DUMMYFUNCTION("""COMPUTED_VALUE"""),51.0)</f>
        <v>51</v>
      </c>
      <c r="H2044" s="163" t="str">
        <f>IFERROR(__xludf.DUMMYFUNCTION("""COMPUTED_VALUE"""),"PG")</f>
        <v>PG</v>
      </c>
      <c r="I2044" s="163">
        <f>IFERROR(__xludf.DUMMYFUNCTION("""COMPUTED_VALUE"""),29.0)</f>
        <v>29</v>
      </c>
      <c r="J2044" s="165">
        <f>IFERROR(__xludf.DUMMYFUNCTION("""COMPUTED_VALUE"""),5.38706110553119)</f>
        <v>5.387061106</v>
      </c>
      <c r="K2044" s="165">
        <f>IFERROR(__xludf.DUMMYFUNCTION("""COMPUTED_VALUE"""),6.12362254497386)</f>
        <v>6.123622545</v>
      </c>
      <c r="L2044" s="165">
        <f>IFERROR(__xludf.DUMMYFUNCTION("""COMPUTED_VALUE"""),-0.736561439442673)</f>
        <v>-0.7365614394</v>
      </c>
      <c r="M2044" s="166">
        <f t="shared" si="2"/>
        <v>8.2092452</v>
      </c>
      <c r="N2044" s="167">
        <f t="shared" si="3"/>
        <v>31.97640523</v>
      </c>
      <c r="O2044" s="163">
        <f t="shared" ref="O2044:Q2044" si="2048">rank(I2044,I:I)</f>
        <v>855</v>
      </c>
      <c r="P2044" s="163">
        <f t="shared" si="2048"/>
        <v>34</v>
      </c>
      <c r="Q2044" s="163">
        <f t="shared" si="2048"/>
        <v>9</v>
      </c>
      <c r="R2044" s="163">
        <f>IFERROR(__xludf.DUMMYFUNCTION("RANK(M2044,filter(M:M,C:C=C2044))"),22.0)</f>
        <v>22</v>
      </c>
      <c r="S2044" s="161" t="b">
        <f t="shared" si="5"/>
        <v>0</v>
      </c>
      <c r="T2044" s="161" t="b">
        <f t="array" ref="T2044">index('Query Tool'!B:B,match(H2044,'Query Tool'!C:C,0))</f>
        <v>1</v>
      </c>
      <c r="U2044" s="161" t="b">
        <f t="array" ref="U2044">index('Query Tool'!B:B,match(C2044,'Query Tool'!C:C,0))</f>
        <v>0</v>
      </c>
      <c r="V2044" s="161" t="b">
        <f>F2044&gt;='Query Tool'!C$32</f>
        <v>1</v>
      </c>
      <c r="W2044" s="161" t="b">
        <f t="array" ref="W2044">index(Dropdowns!B:B,match(I2044,Dropdowns!A:A,0))</f>
        <v>1</v>
      </c>
      <c r="X2044" s="161" t="b">
        <f t="array" ref="X2044">index('Query Tool'!B:B,match(D2044,'Query Tool'!C:C,0))</f>
        <v>1</v>
      </c>
      <c r="Y2044" s="161" t="str">
        <f t="shared" si="6"/>
        <v>curryst01,2017-18</v>
      </c>
      <c r="Z2044" s="168">
        <f t="array" ref="Z2044">iferror(index(I:I,match($A2044&amp;","&amp;index('Year Conversion'!$A:$A,match($C2044,'Year Conversion'!$B:$B,0)),$Y:$Y,0))-I2044,"")</f>
        <v>1</v>
      </c>
      <c r="AA2044" s="168">
        <f t="array" ref="AA2044">iferror(index(J:J,match($A2044&amp;","&amp;index('Year Conversion'!$A:$A,match($C2044,'Year Conversion'!$B:$B,0)),$Y:$Y,0))-J2044,"")</f>
        <v>-0.3882620219</v>
      </c>
      <c r="AB2044" s="168">
        <f t="array" ref="AB2044">iferror(index(K:K,match($A2044&amp;","&amp;index('Year Conversion'!$A:$A,match($C2044,'Year Conversion'!$B:$B,0)),$Y:$Y,0))-K2044,"")</f>
        <v>-1.1937952</v>
      </c>
      <c r="AC2044" s="168" t="str">
        <f t="shared" si="7"/>
        <v>GSW,2017-18</v>
      </c>
    </row>
    <row r="2045">
      <c r="A2045" s="161" t="str">
        <f>IFERROR(__xludf.DUMMYFUNCTION("""COMPUTED_VALUE"""),"derozde01")</f>
        <v>derozde01</v>
      </c>
      <c r="B2045" s="161" t="str">
        <f>IFERROR(__xludf.DUMMYFUNCTION("""COMPUTED_VALUE"""),"DeMar DeRozan")</f>
        <v>DeMar DeRozan</v>
      </c>
      <c r="C2045" s="162" t="str">
        <f>IFERROR(__xludf.DUMMYFUNCTION("""COMPUTED_VALUE"""),"2017-18")</f>
        <v>2017-18</v>
      </c>
      <c r="D2045" s="163" t="str">
        <f>IFERROR(__xludf.DUMMYFUNCTION("""COMPUTED_VALUE"""),"TOR")</f>
        <v>TOR</v>
      </c>
      <c r="E2045" s="164" t="str">
        <f>IFERROR(__xludf.DUMMYFUNCTION("""COMPUTED_VALUE"""),"Shot Creator")</f>
        <v>Shot Creator</v>
      </c>
      <c r="F2045" s="164">
        <f>IFERROR(__xludf.DUMMYFUNCTION("""COMPUTED_VALUE"""),2711.72166666667)</f>
        <v>2711.721667</v>
      </c>
      <c r="G2045" s="163">
        <f>IFERROR(__xludf.DUMMYFUNCTION("""COMPUTED_VALUE"""),80.0)</f>
        <v>80</v>
      </c>
      <c r="H2045" s="163" t="str">
        <f>IFERROR(__xludf.DUMMYFUNCTION("""COMPUTED_VALUE"""),"SG")</f>
        <v>SG</v>
      </c>
      <c r="I2045" s="163">
        <f>IFERROR(__xludf.DUMMYFUNCTION("""COMPUTED_VALUE"""),28.0)</f>
        <v>28</v>
      </c>
      <c r="J2045" s="165">
        <f>IFERROR(__xludf.DUMMYFUNCTION("""COMPUTED_VALUE"""),3.12001658026651)</f>
        <v>3.12001658</v>
      </c>
      <c r="K2045" s="165">
        <f>IFERROR(__xludf.DUMMYFUNCTION("""COMPUTED_VALUE"""),3.90394383647786)</f>
        <v>3.903943836</v>
      </c>
      <c r="L2045" s="165">
        <f>IFERROR(__xludf.DUMMYFUNCTION("""COMPUTED_VALUE"""),-0.783927256211346)</f>
        <v>-0.7839272562</v>
      </c>
      <c r="M2045" s="166">
        <f t="shared" si="2"/>
        <v>9.808725055</v>
      </c>
      <c r="N2045" s="167">
        <f t="shared" si="3"/>
        <v>33.89652083</v>
      </c>
      <c r="O2045" s="163">
        <f t="shared" ref="O2045:Q2045" si="2049">rank(I2045,I:I)</f>
        <v>1090</v>
      </c>
      <c r="P2045" s="163">
        <f t="shared" si="2049"/>
        <v>164</v>
      </c>
      <c r="Q2045" s="163">
        <f t="shared" si="2049"/>
        <v>66</v>
      </c>
      <c r="R2045" s="163">
        <f>IFERROR(__xludf.DUMMYFUNCTION("RANK(M2045,filter(M:M,C:C=C2045))"),13.0)</f>
        <v>13</v>
      </c>
      <c r="S2045" s="161" t="b">
        <f t="shared" si="5"/>
        <v>0</v>
      </c>
      <c r="T2045" s="161" t="b">
        <f t="array" ref="T2045">index('Query Tool'!B:B,match(H2045,'Query Tool'!C:C,0))</f>
        <v>1</v>
      </c>
      <c r="U2045" s="161" t="b">
        <f t="array" ref="U2045">index('Query Tool'!B:B,match(C2045,'Query Tool'!C:C,0))</f>
        <v>0</v>
      </c>
      <c r="V2045" s="161" t="b">
        <f>F2045&gt;='Query Tool'!C$32</f>
        <v>1</v>
      </c>
      <c r="W2045" s="161" t="b">
        <f t="array" ref="W2045">index(Dropdowns!B:B,match(I2045,Dropdowns!A:A,0))</f>
        <v>1</v>
      </c>
      <c r="X2045" s="161" t="b">
        <f t="array" ref="X2045">index('Query Tool'!B:B,match(D2045,'Query Tool'!C:C,0))</f>
        <v>1</v>
      </c>
      <c r="Y2045" s="161" t="str">
        <f t="shared" si="6"/>
        <v>derozde01,2017-18</v>
      </c>
      <c r="Z2045" s="168">
        <f t="array" ref="Z2045">iferror(index(I:I,match($A2045&amp;","&amp;index('Year Conversion'!$A:$A,match($C2045,'Year Conversion'!$B:$B,0)),$Y:$Y,0))-I2045,"")</f>
        <v>1</v>
      </c>
      <c r="AA2045" s="168">
        <f t="array" ref="AA2045">iferror(index(J:J,match($A2045&amp;","&amp;index('Year Conversion'!$A:$A,match($C2045,'Year Conversion'!$B:$B,0)),$Y:$Y,0))-J2045,"")</f>
        <v>-2.273695728</v>
      </c>
      <c r="AB2045" s="168">
        <f t="array" ref="AB2045">iferror(index(K:K,match($A2045&amp;","&amp;index('Year Conversion'!$A:$A,match($C2045,'Year Conversion'!$B:$B,0)),$Y:$Y,0))-K2045,"")</f>
        <v>-3.333989723</v>
      </c>
      <c r="AC2045" s="168" t="str">
        <f t="shared" si="7"/>
        <v>TOR,2017-18</v>
      </c>
    </row>
    <row r="2046">
      <c r="A2046" s="161" t="str">
        <f>IFERROR(__xludf.DUMMYFUNCTION("""COMPUTED_VALUE"""),"jennibr01")</f>
        <v>jennibr01</v>
      </c>
      <c r="B2046" s="161" t="str">
        <f>IFERROR(__xludf.DUMMYFUNCTION("""COMPUTED_VALUE"""),"Brandon Jennings")</f>
        <v>Brandon Jennings</v>
      </c>
      <c r="C2046" s="162" t="str">
        <f>IFERROR(__xludf.DUMMYFUNCTION("""COMPUTED_VALUE"""),"2017-18")</f>
        <v>2017-18</v>
      </c>
      <c r="D2046" s="163" t="str">
        <f>IFERROR(__xludf.DUMMYFUNCTION("""COMPUTED_VALUE"""),"MIL")</f>
        <v>MIL</v>
      </c>
      <c r="E2046" s="164" t="str">
        <f>IFERROR(__xludf.DUMMYFUNCTION("""COMPUTED_VALUE"""),"Secondary Ball Handler")</f>
        <v>Secondary Ball Handler</v>
      </c>
      <c r="F2046" s="164">
        <f>IFERROR(__xludf.DUMMYFUNCTION("""COMPUTED_VALUE"""),205.143333333333)</f>
        <v>205.1433333</v>
      </c>
      <c r="G2046" s="163">
        <f>IFERROR(__xludf.DUMMYFUNCTION("""COMPUTED_VALUE"""),14.0)</f>
        <v>14</v>
      </c>
      <c r="H2046" s="163" t="str">
        <f>IFERROR(__xludf.DUMMYFUNCTION("""COMPUTED_VALUE"""),"PG")</f>
        <v>PG</v>
      </c>
      <c r="I2046" s="163">
        <f>IFERROR(__xludf.DUMMYFUNCTION("""COMPUTED_VALUE"""),28.0)</f>
        <v>28</v>
      </c>
      <c r="J2046" s="165">
        <f>IFERROR(__xludf.DUMMYFUNCTION("""COMPUTED_VALUE"""),-0.962599914417063)</f>
        <v>-0.9625999144</v>
      </c>
      <c r="K2046" s="165">
        <f>IFERROR(__xludf.DUMMYFUNCTION("""COMPUTED_VALUE"""),-0.0926132987612645)</f>
        <v>-0.09261329876</v>
      </c>
      <c r="L2046" s="165">
        <f>IFERROR(__xludf.DUMMYFUNCTION("""COMPUTED_VALUE"""),-0.869986615655799)</f>
        <v>-0.8699866157</v>
      </c>
      <c r="M2046" s="166">
        <f t="shared" si="2"/>
        <v>0.1833008386</v>
      </c>
      <c r="N2046" s="167">
        <f t="shared" si="3"/>
        <v>14.65309524</v>
      </c>
      <c r="O2046" s="163">
        <f t="shared" ref="O2046:Q2046" si="2050">rank(I2046,I:I)</f>
        <v>1090</v>
      </c>
      <c r="P2046" s="163">
        <f t="shared" si="2050"/>
        <v>2465</v>
      </c>
      <c r="Q2046" s="163">
        <f t="shared" si="2050"/>
        <v>1347</v>
      </c>
      <c r="R2046" s="163">
        <f>IFERROR(__xludf.DUMMYFUNCTION("RANK(M2046,filter(M:M,C:C=C2046))"),353.0)</f>
        <v>353</v>
      </c>
      <c r="S2046" s="161" t="b">
        <f t="shared" si="5"/>
        <v>0</v>
      </c>
      <c r="T2046" s="161" t="b">
        <f t="array" ref="T2046">index('Query Tool'!B:B,match(H2046,'Query Tool'!C:C,0))</f>
        <v>1</v>
      </c>
      <c r="U2046" s="161" t="b">
        <f t="array" ref="U2046">index('Query Tool'!B:B,match(C2046,'Query Tool'!C:C,0))</f>
        <v>0</v>
      </c>
      <c r="V2046" s="161" t="b">
        <f>F2046&gt;='Query Tool'!C$32</f>
        <v>0</v>
      </c>
      <c r="W2046" s="161" t="b">
        <f t="array" ref="W2046">index(Dropdowns!B:B,match(I2046,Dropdowns!A:A,0))</f>
        <v>1</v>
      </c>
      <c r="X2046" s="161" t="b">
        <f t="array" ref="X2046">index('Query Tool'!B:B,match(D2046,'Query Tool'!C:C,0))</f>
        <v>1</v>
      </c>
      <c r="Y2046" s="161" t="str">
        <f t="shared" si="6"/>
        <v>jennibr01,2017-18</v>
      </c>
      <c r="Z2046" s="168" t="str">
        <f t="array" ref="Z2046">iferror(index(I:I,match($A2046&amp;","&amp;index('Year Conversion'!$A:$A,match($C2046,'Year Conversion'!$B:$B,0)),$Y:$Y,0))-I2046,"")</f>
        <v/>
      </c>
      <c r="AA2046" s="168" t="str">
        <f t="array" ref="AA2046">iferror(index(J:J,match($A2046&amp;","&amp;index('Year Conversion'!$A:$A,match($C2046,'Year Conversion'!$B:$B,0)),$Y:$Y,0))-J2046,"")</f>
        <v/>
      </c>
      <c r="AB2046" s="168" t="str">
        <f t="array" ref="AB2046">iferror(index(K:K,match($A2046&amp;","&amp;index('Year Conversion'!$A:$A,match($C2046,'Year Conversion'!$B:$B,0)),$Y:$Y,0))-K2046,"")</f>
        <v/>
      </c>
      <c r="AC2046" s="168" t="str">
        <f t="shared" si="7"/>
        <v>MIL,2017-18</v>
      </c>
    </row>
    <row r="2047">
      <c r="A2047" s="161" t="str">
        <f>IFERROR(__xludf.DUMMYFUNCTION("""COMPUTED_VALUE"""),"johnsja01")</f>
        <v>johnsja01</v>
      </c>
      <c r="B2047" s="161" t="str">
        <f>IFERROR(__xludf.DUMMYFUNCTION("""COMPUTED_VALUE"""),"James Johnson")</f>
        <v>James Johnson</v>
      </c>
      <c r="C2047" s="162" t="str">
        <f>IFERROR(__xludf.DUMMYFUNCTION("""COMPUTED_VALUE"""),"2017-18")</f>
        <v>2017-18</v>
      </c>
      <c r="D2047" s="163" t="str">
        <f>IFERROR(__xludf.DUMMYFUNCTION("""COMPUTED_VALUE"""),"MIA")</f>
        <v>MIA</v>
      </c>
      <c r="E2047" s="164" t="str">
        <f>IFERROR(__xludf.DUMMYFUNCTION("""COMPUTED_VALUE"""),"Shot Creator")</f>
        <v>Shot Creator</v>
      </c>
      <c r="F2047" s="164">
        <f>IFERROR(__xludf.DUMMYFUNCTION("""COMPUTED_VALUE"""),1943.28666666667)</f>
        <v>1943.286667</v>
      </c>
      <c r="G2047" s="163">
        <f>IFERROR(__xludf.DUMMYFUNCTION("""COMPUTED_VALUE"""),73.0)</f>
        <v>73</v>
      </c>
      <c r="H2047" s="163" t="str">
        <f>IFERROR(__xludf.DUMMYFUNCTION("""COMPUTED_VALUE"""),"PF")</f>
        <v>PF</v>
      </c>
      <c r="I2047" s="163">
        <f>IFERROR(__xludf.DUMMYFUNCTION("""COMPUTED_VALUE"""),30.0)</f>
        <v>30</v>
      </c>
      <c r="J2047" s="165">
        <f>IFERROR(__xludf.DUMMYFUNCTION("""COMPUTED_VALUE"""),-0.0629030535747189)</f>
        <v>-0.06290305357</v>
      </c>
      <c r="K2047" s="165">
        <f>IFERROR(__xludf.DUMMYFUNCTION("""COMPUTED_VALUE"""),-0.318420915282509)</f>
        <v>-0.3184209153</v>
      </c>
      <c r="L2047" s="165">
        <f>IFERROR(__xludf.DUMMYFUNCTION("""COMPUTED_VALUE"""),0.25551786170779)</f>
        <v>0.2555178617</v>
      </c>
      <c r="M2047" s="166">
        <f t="shared" si="2"/>
        <v>2.913488668</v>
      </c>
      <c r="N2047" s="167">
        <f t="shared" si="3"/>
        <v>26.6203653</v>
      </c>
      <c r="O2047" s="163">
        <f t="shared" ref="O2047:Q2047" si="2051">rank(I2047,I:I)</f>
        <v>655</v>
      </c>
      <c r="P2047" s="163">
        <f t="shared" si="2051"/>
        <v>1351</v>
      </c>
      <c r="Q2047" s="163">
        <f t="shared" si="2051"/>
        <v>1791</v>
      </c>
      <c r="R2047" s="163">
        <f>IFERROR(__xludf.DUMMYFUNCTION("RANK(M2047,filter(M:M,C:C=C2047))"),113.0)</f>
        <v>113</v>
      </c>
      <c r="S2047" s="161" t="b">
        <f t="shared" si="5"/>
        <v>0</v>
      </c>
      <c r="T2047" s="161" t="b">
        <f t="array" ref="T2047">index('Query Tool'!B:B,match(H2047,'Query Tool'!C:C,0))</f>
        <v>1</v>
      </c>
      <c r="U2047" s="161" t="b">
        <f t="array" ref="U2047">index('Query Tool'!B:B,match(C2047,'Query Tool'!C:C,0))</f>
        <v>0</v>
      </c>
      <c r="V2047" s="161" t="b">
        <f>F2047&gt;='Query Tool'!C$32</f>
        <v>1</v>
      </c>
      <c r="W2047" s="161" t="b">
        <f t="array" ref="W2047">index(Dropdowns!B:B,match(I2047,Dropdowns!A:A,0))</f>
        <v>1</v>
      </c>
      <c r="X2047" s="161" t="b">
        <f t="array" ref="X2047">index('Query Tool'!B:B,match(D2047,'Query Tool'!C:C,0))</f>
        <v>1</v>
      </c>
      <c r="Y2047" s="161" t="str">
        <f t="shared" si="6"/>
        <v>johnsja01,2017-18</v>
      </c>
      <c r="Z2047" s="168">
        <f t="array" ref="Z2047">iferror(index(I:I,match($A2047&amp;","&amp;index('Year Conversion'!$A:$A,match($C2047,'Year Conversion'!$B:$B,0)),$Y:$Y,0))-I2047,"")</f>
        <v>1</v>
      </c>
      <c r="AA2047" s="168">
        <f t="array" ref="AA2047">iferror(index(J:J,match($A2047&amp;","&amp;index('Year Conversion'!$A:$A,match($C2047,'Year Conversion'!$B:$B,0)),$Y:$Y,0))-J2047,"")</f>
        <v>-0.8945829736</v>
      </c>
      <c r="AB2047" s="168">
        <f t="array" ref="AB2047">iferror(index(K:K,match($A2047&amp;","&amp;index('Year Conversion'!$A:$A,match($C2047,'Year Conversion'!$B:$B,0)),$Y:$Y,0))-K2047,"")</f>
        <v>-1.188322224</v>
      </c>
      <c r="AC2047" s="168" t="str">
        <f t="shared" si="7"/>
        <v>MIA,2017-18</v>
      </c>
    </row>
    <row r="2048">
      <c r="A2048" s="161" t="str">
        <f>IFERROR(__xludf.DUMMYFUNCTION("""COMPUTED_VALUE"""),"holidjr01")</f>
        <v>holidjr01</v>
      </c>
      <c r="B2048" s="161" t="str">
        <f>IFERROR(__xludf.DUMMYFUNCTION("""COMPUTED_VALUE"""),"Jrue Holiday")</f>
        <v>Jrue Holiday</v>
      </c>
      <c r="C2048" s="162" t="str">
        <f>IFERROR(__xludf.DUMMYFUNCTION("""COMPUTED_VALUE"""),"2017-18")</f>
        <v>2017-18</v>
      </c>
      <c r="D2048" s="163" t="str">
        <f>IFERROR(__xludf.DUMMYFUNCTION("""COMPUTED_VALUE"""),"NOP")</f>
        <v>NOP</v>
      </c>
      <c r="E2048" s="164" t="str">
        <f>IFERROR(__xludf.DUMMYFUNCTION("""COMPUTED_VALUE"""),"Slasher")</f>
        <v>Slasher</v>
      </c>
      <c r="F2048" s="164">
        <f>IFERROR(__xludf.DUMMYFUNCTION("""COMPUTED_VALUE"""),2926.73333333333)</f>
        <v>2926.733333</v>
      </c>
      <c r="G2048" s="163">
        <f>IFERROR(__xludf.DUMMYFUNCTION("""COMPUTED_VALUE"""),81.0)</f>
        <v>81</v>
      </c>
      <c r="H2048" s="163" t="str">
        <f>IFERROR(__xludf.DUMMYFUNCTION("""COMPUTED_VALUE"""),"SG")</f>
        <v>SG</v>
      </c>
      <c r="I2048" s="163">
        <f>IFERROR(__xludf.DUMMYFUNCTION("""COMPUTED_VALUE"""),27.0)</f>
        <v>27</v>
      </c>
      <c r="J2048" s="165">
        <f>IFERROR(__xludf.DUMMYFUNCTION("""COMPUTED_VALUE"""),2.2036693034385)</f>
        <v>2.203669303</v>
      </c>
      <c r="K2048" s="165">
        <f>IFERROR(__xludf.DUMMYFUNCTION("""COMPUTED_VALUE"""),1.02808289206713)</f>
        <v>1.028082892</v>
      </c>
      <c r="L2048" s="165">
        <f>IFERROR(__xludf.DUMMYFUNCTION("""COMPUTED_VALUE"""),1.17558641137137)</f>
        <v>1.175586411</v>
      </c>
      <c r="M2048" s="166">
        <f t="shared" si="2"/>
        <v>8.831171301</v>
      </c>
      <c r="N2048" s="167">
        <f t="shared" si="3"/>
        <v>36.13251029</v>
      </c>
      <c r="O2048" s="163">
        <f t="shared" ref="O2048:Q2048" si="2052">rank(I2048,I:I)</f>
        <v>1366</v>
      </c>
      <c r="P2048" s="163">
        <f t="shared" si="2052"/>
        <v>269</v>
      </c>
      <c r="Q2048" s="163">
        <f t="shared" si="2052"/>
        <v>491</v>
      </c>
      <c r="R2048" s="163">
        <f>IFERROR(__xludf.DUMMYFUNCTION("RANK(M2048,filter(M:M,C:C=C2048))"),18.0)</f>
        <v>18</v>
      </c>
      <c r="S2048" s="161" t="b">
        <f t="shared" si="5"/>
        <v>0</v>
      </c>
      <c r="T2048" s="161" t="b">
        <f t="array" ref="T2048">index('Query Tool'!B:B,match(H2048,'Query Tool'!C:C,0))</f>
        <v>1</v>
      </c>
      <c r="U2048" s="161" t="b">
        <f t="array" ref="U2048">index('Query Tool'!B:B,match(C2048,'Query Tool'!C:C,0))</f>
        <v>0</v>
      </c>
      <c r="V2048" s="161" t="b">
        <f>F2048&gt;='Query Tool'!C$32</f>
        <v>1</v>
      </c>
      <c r="W2048" s="161" t="b">
        <f t="array" ref="W2048">index(Dropdowns!B:B,match(I2048,Dropdowns!A:A,0))</f>
        <v>1</v>
      </c>
      <c r="X2048" s="161" t="b">
        <f t="array" ref="X2048">index('Query Tool'!B:B,match(D2048,'Query Tool'!C:C,0))</f>
        <v>1</v>
      </c>
      <c r="Y2048" s="161" t="str">
        <f t="shared" si="6"/>
        <v>holidjr01,2017-18</v>
      </c>
      <c r="Z2048" s="168">
        <f t="array" ref="Z2048">iferror(index(I:I,match($A2048&amp;","&amp;index('Year Conversion'!$A:$A,match($C2048,'Year Conversion'!$B:$B,0)),$Y:$Y,0))-I2048,"")</f>
        <v>1</v>
      </c>
      <c r="AA2048" s="168">
        <f t="array" ref="AA2048">iferror(index(J:J,match($A2048&amp;","&amp;index('Year Conversion'!$A:$A,match($C2048,'Year Conversion'!$B:$B,0)),$Y:$Y,0))-J2048,"")</f>
        <v>1.64246865</v>
      </c>
      <c r="AB2048" s="168">
        <f t="array" ref="AB2048">iferror(index(K:K,match($A2048&amp;","&amp;index('Year Conversion'!$A:$A,match($C2048,'Year Conversion'!$B:$B,0)),$Y:$Y,0))-K2048,"")</f>
        <v>2.176269566</v>
      </c>
      <c r="AC2048" s="168" t="str">
        <f t="shared" si="7"/>
        <v>NOP,2017-18</v>
      </c>
    </row>
    <row r="2049">
      <c r="A2049" s="161" t="str">
        <f>IFERROR(__xludf.DUMMYFUNCTION("""COMPUTED_VALUE"""),"teaguje01")</f>
        <v>teaguje01</v>
      </c>
      <c r="B2049" s="161" t="str">
        <f>IFERROR(__xludf.DUMMYFUNCTION("""COMPUTED_VALUE"""),"Jeff Teague")</f>
        <v>Jeff Teague</v>
      </c>
      <c r="C2049" s="162" t="str">
        <f>IFERROR(__xludf.DUMMYFUNCTION("""COMPUTED_VALUE"""),"2017-18")</f>
        <v>2017-18</v>
      </c>
      <c r="D2049" s="163" t="str">
        <f>IFERROR(__xludf.DUMMYFUNCTION("""COMPUTED_VALUE"""),"MIN")</f>
        <v>MIN</v>
      </c>
      <c r="E2049" s="164" t="str">
        <f>IFERROR(__xludf.DUMMYFUNCTION("""COMPUTED_VALUE"""),"Shot Creator")</f>
        <v>Shot Creator</v>
      </c>
      <c r="F2049" s="164">
        <f>IFERROR(__xludf.DUMMYFUNCTION("""COMPUTED_VALUE"""),2311.26166666667)</f>
        <v>2311.261667</v>
      </c>
      <c r="G2049" s="163">
        <f>IFERROR(__xludf.DUMMYFUNCTION("""COMPUTED_VALUE"""),70.0)</f>
        <v>70</v>
      </c>
      <c r="H2049" s="163" t="str">
        <f>IFERROR(__xludf.DUMMYFUNCTION("""COMPUTED_VALUE"""),"PG")</f>
        <v>PG</v>
      </c>
      <c r="I2049" s="163">
        <f>IFERROR(__xludf.DUMMYFUNCTION("""COMPUTED_VALUE"""),29.0)</f>
        <v>29</v>
      </c>
      <c r="J2049" s="165">
        <f>IFERROR(__xludf.DUMMYFUNCTION("""COMPUTED_VALUE"""),0.482529516863144)</f>
        <v>0.4825295169</v>
      </c>
      <c r="K2049" s="165">
        <f>IFERROR(__xludf.DUMMYFUNCTION("""COMPUTED_VALUE"""),0.998160979588657)</f>
        <v>0.9981609796</v>
      </c>
      <c r="L2049" s="165">
        <f>IFERROR(__xludf.DUMMYFUNCTION("""COMPUTED_VALUE"""),-0.515631462725513)</f>
        <v>-0.5156314627</v>
      </c>
      <c r="M2049" s="166">
        <f t="shared" si="2"/>
        <v>4.314843488</v>
      </c>
      <c r="N2049" s="167">
        <f t="shared" si="3"/>
        <v>33.01802381</v>
      </c>
      <c r="O2049" s="163">
        <f t="shared" ref="O2049:Q2049" si="2053">rank(I2049,I:I)</f>
        <v>855</v>
      </c>
      <c r="P2049" s="163">
        <f t="shared" si="2053"/>
        <v>908</v>
      </c>
      <c r="Q2049" s="163">
        <f t="shared" si="2053"/>
        <v>507</v>
      </c>
      <c r="R2049" s="163">
        <f>IFERROR(__xludf.DUMMYFUNCTION("RANK(M2049,filter(M:M,C:C=C2049))"),73.0)</f>
        <v>73</v>
      </c>
      <c r="S2049" s="161" t="b">
        <f t="shared" si="5"/>
        <v>0</v>
      </c>
      <c r="T2049" s="161" t="b">
        <f t="array" ref="T2049">index('Query Tool'!B:B,match(H2049,'Query Tool'!C:C,0))</f>
        <v>1</v>
      </c>
      <c r="U2049" s="161" t="b">
        <f t="array" ref="U2049">index('Query Tool'!B:B,match(C2049,'Query Tool'!C:C,0))</f>
        <v>0</v>
      </c>
      <c r="V2049" s="161" t="b">
        <f>F2049&gt;='Query Tool'!C$32</f>
        <v>1</v>
      </c>
      <c r="W2049" s="161" t="b">
        <f t="array" ref="W2049">index(Dropdowns!B:B,match(I2049,Dropdowns!A:A,0))</f>
        <v>1</v>
      </c>
      <c r="X2049" s="161" t="b">
        <f t="array" ref="X2049">index('Query Tool'!B:B,match(D2049,'Query Tool'!C:C,0))</f>
        <v>1</v>
      </c>
      <c r="Y2049" s="161" t="str">
        <f t="shared" si="6"/>
        <v>teaguje01,2017-18</v>
      </c>
      <c r="Z2049" s="168">
        <f t="array" ref="Z2049">iferror(index(I:I,match($A2049&amp;","&amp;index('Year Conversion'!$A:$A,match($C2049,'Year Conversion'!$B:$B,0)),$Y:$Y,0))-I2049,"")</f>
        <v>1</v>
      </c>
      <c r="AA2049" s="168">
        <f t="array" ref="AA2049">iferror(index(J:J,match($A2049&amp;","&amp;index('Year Conversion'!$A:$A,match($C2049,'Year Conversion'!$B:$B,0)),$Y:$Y,0))-J2049,"")</f>
        <v>0.01092307546</v>
      </c>
      <c r="AB2049" s="168">
        <f t="array" ref="AB2049">iferror(index(K:K,match($A2049&amp;","&amp;index('Year Conversion'!$A:$A,match($C2049,'Year Conversion'!$B:$B,0)),$Y:$Y,0))-K2049,"")</f>
        <v>-0.5301698513</v>
      </c>
      <c r="AC2049" s="168" t="str">
        <f t="shared" si="7"/>
        <v>MIN,2017-18</v>
      </c>
    </row>
    <row r="2050">
      <c r="A2050" s="161" t="str">
        <f>IFERROR(__xludf.DUMMYFUNCTION("""COMPUTED_VALUE"""),"collida01")</f>
        <v>collida01</v>
      </c>
      <c r="B2050" s="161" t="str">
        <f>IFERROR(__xludf.DUMMYFUNCTION("""COMPUTED_VALUE"""),"Darren Collison")</f>
        <v>Darren Collison</v>
      </c>
      <c r="C2050" s="162" t="str">
        <f>IFERROR(__xludf.DUMMYFUNCTION("""COMPUTED_VALUE"""),"2017-18")</f>
        <v>2017-18</v>
      </c>
      <c r="D2050" s="163" t="str">
        <f>IFERROR(__xludf.DUMMYFUNCTION("""COMPUTED_VALUE"""),"IND")</f>
        <v>IND</v>
      </c>
      <c r="E2050" s="164" t="str">
        <f>IFERROR(__xludf.DUMMYFUNCTION("""COMPUTED_VALUE"""),"Primary Ball Handler")</f>
        <v>Primary Ball Handler</v>
      </c>
      <c r="F2050" s="164">
        <f>IFERROR(__xludf.DUMMYFUNCTION("""COMPUTED_VALUE"""),2018.36)</f>
        <v>2018.36</v>
      </c>
      <c r="G2050" s="163">
        <f>IFERROR(__xludf.DUMMYFUNCTION("""COMPUTED_VALUE"""),69.0)</f>
        <v>69</v>
      </c>
      <c r="H2050" s="163" t="str">
        <f>IFERROR(__xludf.DUMMYFUNCTION("""COMPUTED_VALUE"""),"PG")</f>
        <v>PG</v>
      </c>
      <c r="I2050" s="163">
        <f>IFERROR(__xludf.DUMMYFUNCTION("""COMPUTED_VALUE"""),30.0)</f>
        <v>30</v>
      </c>
      <c r="J2050" s="165">
        <f>IFERROR(__xludf.DUMMYFUNCTION("""COMPUTED_VALUE"""),0.647776203907853)</f>
        <v>0.6477762039</v>
      </c>
      <c r="K2050" s="165">
        <f>IFERROR(__xludf.DUMMYFUNCTION("""COMPUTED_VALUE"""),0.881936755454626)</f>
        <v>0.8819367555</v>
      </c>
      <c r="L2050" s="165">
        <f>IFERROR(__xludf.DUMMYFUNCTION("""COMPUTED_VALUE"""),-0.234160551546773)</f>
        <v>-0.2341605515</v>
      </c>
      <c r="M2050" s="166">
        <f t="shared" si="2"/>
        <v>3.992591361</v>
      </c>
      <c r="N2050" s="167">
        <f t="shared" si="3"/>
        <v>29.2515942</v>
      </c>
      <c r="O2050" s="163">
        <f t="shared" ref="O2050:Q2050" si="2054">rank(I2050,I:I)</f>
        <v>655</v>
      </c>
      <c r="P2050" s="163">
        <f t="shared" si="2054"/>
        <v>824</v>
      </c>
      <c r="Q2050" s="163">
        <f t="shared" si="2054"/>
        <v>558</v>
      </c>
      <c r="R2050" s="163">
        <f>IFERROR(__xludf.DUMMYFUNCTION("RANK(M2050,filter(M:M,C:C=C2050))"),88.0)</f>
        <v>88</v>
      </c>
      <c r="S2050" s="161" t="b">
        <f t="shared" si="5"/>
        <v>0</v>
      </c>
      <c r="T2050" s="161" t="b">
        <f t="array" ref="T2050">index('Query Tool'!B:B,match(H2050,'Query Tool'!C:C,0))</f>
        <v>1</v>
      </c>
      <c r="U2050" s="161" t="b">
        <f t="array" ref="U2050">index('Query Tool'!B:B,match(C2050,'Query Tool'!C:C,0))</f>
        <v>0</v>
      </c>
      <c r="V2050" s="161" t="b">
        <f>F2050&gt;='Query Tool'!C$32</f>
        <v>1</v>
      </c>
      <c r="W2050" s="161" t="b">
        <f t="array" ref="W2050">index(Dropdowns!B:B,match(I2050,Dropdowns!A:A,0))</f>
        <v>1</v>
      </c>
      <c r="X2050" s="161" t="b">
        <f t="array" ref="X2050">index('Query Tool'!B:B,match(D2050,'Query Tool'!C:C,0))</f>
        <v>1</v>
      </c>
      <c r="Y2050" s="161" t="str">
        <f t="shared" si="6"/>
        <v>collida01,2017-18</v>
      </c>
      <c r="Z2050" s="168">
        <f t="array" ref="Z2050">iferror(index(I:I,match($A2050&amp;","&amp;index('Year Conversion'!$A:$A,match($C2050,'Year Conversion'!$B:$B,0)),$Y:$Y,0))-I2050,"")</f>
        <v>1</v>
      </c>
      <c r="AA2050" s="168">
        <f t="array" ref="AA2050">iferror(index(J:J,match($A2050&amp;","&amp;index('Year Conversion'!$A:$A,match($C2050,'Year Conversion'!$B:$B,0)),$Y:$Y,0))-J2050,"")</f>
        <v>-0.06212080811</v>
      </c>
      <c r="AB2050" s="168">
        <f t="array" ref="AB2050">iferror(index(K:K,match($A2050&amp;","&amp;index('Year Conversion'!$A:$A,match($C2050,'Year Conversion'!$B:$B,0)),$Y:$Y,0))-K2050,"")</f>
        <v>-0.8260798487</v>
      </c>
      <c r="AC2050" s="168" t="str">
        <f t="shared" si="7"/>
        <v>IND,2017-18</v>
      </c>
    </row>
    <row r="2051">
      <c r="A2051" s="161" t="str">
        <f>IFERROR(__xludf.DUMMYFUNCTION("""COMPUTED_VALUE"""),"casspom01")</f>
        <v>casspom01</v>
      </c>
      <c r="B2051" s="161" t="str">
        <f>IFERROR(__xludf.DUMMYFUNCTION("""COMPUTED_VALUE"""),"Omri Casspi")</f>
        <v>Omri Casspi</v>
      </c>
      <c r="C2051" s="162" t="str">
        <f>IFERROR(__xludf.DUMMYFUNCTION("""COMPUTED_VALUE"""),"2017-18")</f>
        <v>2017-18</v>
      </c>
      <c r="D2051" s="163" t="str">
        <f>IFERROR(__xludf.DUMMYFUNCTION("""COMPUTED_VALUE"""),"GSW")</f>
        <v>GSW</v>
      </c>
      <c r="E2051" s="164" t="str">
        <f>IFERROR(__xludf.DUMMYFUNCTION("""COMPUTED_VALUE"""),"Roll + Cut Big")</f>
        <v>Roll + Cut Big</v>
      </c>
      <c r="F2051" s="164">
        <f>IFERROR(__xludf.DUMMYFUNCTION("""COMPUTED_VALUE"""),741.593333333334)</f>
        <v>741.5933333</v>
      </c>
      <c r="G2051" s="163">
        <f>IFERROR(__xludf.DUMMYFUNCTION("""COMPUTED_VALUE"""),53.0)</f>
        <v>53</v>
      </c>
      <c r="H2051" s="163" t="str">
        <f>IFERROR(__xludf.DUMMYFUNCTION("""COMPUTED_VALUE"""),"SF")</f>
        <v>SF</v>
      </c>
      <c r="I2051" s="163">
        <f>IFERROR(__xludf.DUMMYFUNCTION("""COMPUTED_VALUE"""),29.0)</f>
        <v>29</v>
      </c>
      <c r="J2051" s="165">
        <f>IFERROR(__xludf.DUMMYFUNCTION("""COMPUTED_VALUE"""),-0.317628254050144)</f>
        <v>-0.3176282541</v>
      </c>
      <c r="K2051" s="165">
        <f>IFERROR(__xludf.DUMMYFUNCTION("""COMPUTED_VALUE"""),-0.542875107380848)</f>
        <v>-0.5428751074</v>
      </c>
      <c r="L2051" s="165">
        <f>IFERROR(__xludf.DUMMYFUNCTION("""COMPUTED_VALUE"""),0.225246853330704)</f>
        <v>0.2252468533</v>
      </c>
      <c r="M2051" s="166">
        <f t="shared" si="2"/>
        <v>0.9845058932</v>
      </c>
      <c r="N2051" s="167">
        <f t="shared" si="3"/>
        <v>13.99232704</v>
      </c>
      <c r="O2051" s="163">
        <f t="shared" ref="O2051:Q2051" si="2055">rank(I2051,I:I)</f>
        <v>855</v>
      </c>
      <c r="P2051" s="163">
        <f t="shared" si="2055"/>
        <v>1634</v>
      </c>
      <c r="Q2051" s="163">
        <f t="shared" si="2055"/>
        <v>2176</v>
      </c>
      <c r="R2051" s="163">
        <f>IFERROR(__xludf.DUMMYFUNCTION("RANK(M2051,filter(M:M,C:C=C2051))"),236.0)</f>
        <v>236</v>
      </c>
      <c r="S2051" s="161" t="b">
        <f t="shared" si="5"/>
        <v>0</v>
      </c>
      <c r="T2051" s="161" t="b">
        <f t="array" ref="T2051">index('Query Tool'!B:B,match(H2051,'Query Tool'!C:C,0))</f>
        <v>1</v>
      </c>
      <c r="U2051" s="161" t="b">
        <f t="array" ref="U2051">index('Query Tool'!B:B,match(C2051,'Query Tool'!C:C,0))</f>
        <v>0</v>
      </c>
      <c r="V2051" s="161" t="b">
        <f>F2051&gt;='Query Tool'!C$32</f>
        <v>1</v>
      </c>
      <c r="W2051" s="161" t="b">
        <f t="array" ref="W2051">index(Dropdowns!B:B,match(I2051,Dropdowns!A:A,0))</f>
        <v>1</v>
      </c>
      <c r="X2051" s="161" t="b">
        <f t="array" ref="X2051">index('Query Tool'!B:B,match(D2051,'Query Tool'!C:C,0))</f>
        <v>1</v>
      </c>
      <c r="Y2051" s="161" t="str">
        <f t="shared" si="6"/>
        <v>casspom01,2017-18</v>
      </c>
      <c r="Z2051" s="168">
        <f t="array" ref="Z2051">iferror(index(I:I,match($A2051&amp;","&amp;index('Year Conversion'!$A:$A,match($C2051,'Year Conversion'!$B:$B,0)),$Y:$Y,0))-I2051,"")</f>
        <v>1</v>
      </c>
      <c r="AA2051" s="168">
        <f t="array" ref="AA2051">iferror(index(J:J,match($A2051&amp;","&amp;index('Year Conversion'!$A:$A,match($C2051,'Year Conversion'!$B:$B,0)),$Y:$Y,0))-J2051,"")</f>
        <v>0.5045852177</v>
      </c>
      <c r="AB2051" s="168">
        <f t="array" ref="AB2051">iferror(index(K:K,match($A2051&amp;","&amp;index('Year Conversion'!$A:$A,match($C2051,'Year Conversion'!$B:$B,0)),$Y:$Y,0))-K2051,"")</f>
        <v>-0.452447861</v>
      </c>
      <c r="AC2051" s="168" t="str">
        <f t="shared" si="7"/>
        <v>GSW,2017-18</v>
      </c>
    </row>
    <row r="2052">
      <c r="A2052" s="161" t="str">
        <f>IFERROR(__xludf.DUMMYFUNCTION("""COMPUTED_VALUE"""),"gibsota01")</f>
        <v>gibsota01</v>
      </c>
      <c r="B2052" s="161" t="str">
        <f>IFERROR(__xludf.DUMMYFUNCTION("""COMPUTED_VALUE"""),"Taj Gibson")</f>
        <v>Taj Gibson</v>
      </c>
      <c r="C2052" s="162" t="str">
        <f>IFERROR(__xludf.DUMMYFUNCTION("""COMPUTED_VALUE"""),"2017-18")</f>
        <v>2017-18</v>
      </c>
      <c r="D2052" s="163" t="str">
        <f>IFERROR(__xludf.DUMMYFUNCTION("""COMPUTED_VALUE"""),"MIN")</f>
        <v>MIN</v>
      </c>
      <c r="E2052" s="164" t="str">
        <f>IFERROR(__xludf.DUMMYFUNCTION("""COMPUTED_VALUE"""),"Post Scorer")</f>
        <v>Post Scorer</v>
      </c>
      <c r="F2052" s="164">
        <f>IFERROR(__xludf.DUMMYFUNCTION("""COMPUTED_VALUE"""),2726.37)</f>
        <v>2726.37</v>
      </c>
      <c r="G2052" s="163">
        <f>IFERROR(__xludf.DUMMYFUNCTION("""COMPUTED_VALUE"""),82.0)</f>
        <v>82</v>
      </c>
      <c r="H2052" s="163" t="str">
        <f>IFERROR(__xludf.DUMMYFUNCTION("""COMPUTED_VALUE"""),"PF")</f>
        <v>PF</v>
      </c>
      <c r="I2052" s="163">
        <f>IFERROR(__xludf.DUMMYFUNCTION("""COMPUTED_VALUE"""),32.0)</f>
        <v>32</v>
      </c>
      <c r="J2052" s="165">
        <f>IFERROR(__xludf.DUMMYFUNCTION("""COMPUTED_VALUE"""),0.583994046705808)</f>
        <v>0.5839940467</v>
      </c>
      <c r="K2052" s="165">
        <f>IFERROR(__xludf.DUMMYFUNCTION("""COMPUTED_VALUE"""),0.555374890173402)</f>
        <v>0.5553748902</v>
      </c>
      <c r="L2052" s="165">
        <f>IFERROR(__xludf.DUMMYFUNCTION("""COMPUTED_VALUE"""),0.0286191565324066)</f>
        <v>0.02861915653</v>
      </c>
      <c r="M2052" s="166">
        <f t="shared" si="2"/>
        <v>5.276079603</v>
      </c>
      <c r="N2052" s="167">
        <f t="shared" si="3"/>
        <v>33.24841463</v>
      </c>
      <c r="O2052" s="163">
        <f t="shared" ref="O2052:Q2052" si="2056">rank(I2052,I:I)</f>
        <v>359</v>
      </c>
      <c r="P2052" s="163">
        <f t="shared" si="2056"/>
        <v>855</v>
      </c>
      <c r="Q2052" s="163">
        <f t="shared" si="2056"/>
        <v>738</v>
      </c>
      <c r="R2052" s="163">
        <f>IFERROR(__xludf.DUMMYFUNCTION("RANK(M2052,filter(M:M,C:C=C2052))"),47.0)</f>
        <v>47</v>
      </c>
      <c r="S2052" s="161" t="b">
        <f t="shared" si="5"/>
        <v>0</v>
      </c>
      <c r="T2052" s="161" t="b">
        <f t="array" ref="T2052">index('Query Tool'!B:B,match(H2052,'Query Tool'!C:C,0))</f>
        <v>1</v>
      </c>
      <c r="U2052" s="161" t="b">
        <f t="array" ref="U2052">index('Query Tool'!B:B,match(C2052,'Query Tool'!C:C,0))</f>
        <v>0</v>
      </c>
      <c r="V2052" s="161" t="b">
        <f>F2052&gt;='Query Tool'!C$32</f>
        <v>1</v>
      </c>
      <c r="W2052" s="161" t="b">
        <f t="array" ref="W2052">index(Dropdowns!B:B,match(I2052,Dropdowns!A:A,0))</f>
        <v>1</v>
      </c>
      <c r="X2052" s="161" t="b">
        <f t="array" ref="X2052">index('Query Tool'!B:B,match(D2052,'Query Tool'!C:C,0))</f>
        <v>1</v>
      </c>
      <c r="Y2052" s="161" t="str">
        <f t="shared" si="6"/>
        <v>gibsota01,2017-18</v>
      </c>
      <c r="Z2052" s="168">
        <f t="array" ref="Z2052">iferror(index(I:I,match($A2052&amp;","&amp;index('Year Conversion'!$A:$A,match($C2052,'Year Conversion'!$B:$B,0)),$Y:$Y,0))-I2052,"")</f>
        <v>1</v>
      </c>
      <c r="AA2052" s="168">
        <f t="array" ref="AA2052">iferror(index(J:J,match($A2052&amp;","&amp;index('Year Conversion'!$A:$A,match($C2052,'Year Conversion'!$B:$B,0)),$Y:$Y,0))-J2052,"")</f>
        <v>-1.360116519</v>
      </c>
      <c r="AB2052" s="168">
        <f t="array" ref="AB2052">iferror(index(K:K,match($A2052&amp;","&amp;index('Year Conversion'!$A:$A,match($C2052,'Year Conversion'!$B:$B,0)),$Y:$Y,0))-K2052,"")</f>
        <v>-1.140945729</v>
      </c>
      <c r="AC2052" s="168" t="str">
        <f t="shared" si="7"/>
        <v>MIN,2017-18</v>
      </c>
    </row>
    <row r="2053">
      <c r="A2053" s="161" t="str">
        <f>IFERROR(__xludf.DUMMYFUNCTION("""COMPUTED_VALUE"""),"carrode01")</f>
        <v>carrode01</v>
      </c>
      <c r="B2053" s="161" t="str">
        <f>IFERROR(__xludf.DUMMYFUNCTION("""COMPUTED_VALUE"""),"DeMarre Carroll")</f>
        <v>DeMarre Carroll</v>
      </c>
      <c r="C2053" s="162" t="str">
        <f>IFERROR(__xludf.DUMMYFUNCTION("""COMPUTED_VALUE"""),"2017-18")</f>
        <v>2017-18</v>
      </c>
      <c r="D2053" s="163" t="str">
        <f>IFERROR(__xludf.DUMMYFUNCTION("""COMPUTED_VALUE"""),"BRK")</f>
        <v>BRK</v>
      </c>
      <c r="E2053" s="164" t="str">
        <f>IFERROR(__xludf.DUMMYFUNCTION("""COMPUTED_VALUE"""),"Movement Shooter")</f>
        <v>Movement Shooter</v>
      </c>
      <c r="F2053" s="164">
        <f>IFERROR(__xludf.DUMMYFUNCTION("""COMPUTED_VALUE"""),2179.71666666667)</f>
        <v>2179.716667</v>
      </c>
      <c r="G2053" s="163">
        <f>IFERROR(__xludf.DUMMYFUNCTION("""COMPUTED_VALUE"""),73.0)</f>
        <v>73</v>
      </c>
      <c r="H2053" s="163" t="str">
        <f>IFERROR(__xludf.DUMMYFUNCTION("""COMPUTED_VALUE"""),"PF")</f>
        <v>PF</v>
      </c>
      <c r="I2053" s="163">
        <f>IFERROR(__xludf.DUMMYFUNCTION("""COMPUTED_VALUE"""),31.0)</f>
        <v>31</v>
      </c>
      <c r="J2053" s="165">
        <f>IFERROR(__xludf.DUMMYFUNCTION("""COMPUTED_VALUE"""),1.09382827479598)</f>
        <v>1.093828275</v>
      </c>
      <c r="K2053" s="165">
        <f>IFERROR(__xludf.DUMMYFUNCTION("""COMPUTED_VALUE"""),0.616263076955551)</f>
        <v>0.616263077</v>
      </c>
      <c r="L2053" s="165">
        <f>IFERROR(__xludf.DUMMYFUNCTION("""COMPUTED_VALUE"""),0.477565197840432)</f>
        <v>0.4775651978</v>
      </c>
      <c r="M2053" s="166">
        <f t="shared" si="2"/>
        <v>4.965157573</v>
      </c>
      <c r="N2053" s="167">
        <f t="shared" si="3"/>
        <v>29.85913242</v>
      </c>
      <c r="O2053" s="163">
        <f t="shared" ref="O2053:Q2053" si="2057">rank(I2053,I:I)</f>
        <v>490</v>
      </c>
      <c r="P2053" s="163">
        <f t="shared" si="2057"/>
        <v>621</v>
      </c>
      <c r="Q2053" s="163">
        <f t="shared" si="2057"/>
        <v>698</v>
      </c>
      <c r="R2053" s="163">
        <f>IFERROR(__xludf.DUMMYFUNCTION("RANK(M2053,filter(M:M,C:C=C2053))"),54.0)</f>
        <v>54</v>
      </c>
      <c r="S2053" s="161" t="b">
        <f t="shared" si="5"/>
        <v>0</v>
      </c>
      <c r="T2053" s="161" t="b">
        <f t="array" ref="T2053">index('Query Tool'!B:B,match(H2053,'Query Tool'!C:C,0))</f>
        <v>1</v>
      </c>
      <c r="U2053" s="161" t="b">
        <f t="array" ref="U2053">index('Query Tool'!B:B,match(C2053,'Query Tool'!C:C,0))</f>
        <v>0</v>
      </c>
      <c r="V2053" s="161" t="b">
        <f>F2053&gt;='Query Tool'!C$32</f>
        <v>1</v>
      </c>
      <c r="W2053" s="161" t="b">
        <f t="array" ref="W2053">index(Dropdowns!B:B,match(I2053,Dropdowns!A:A,0))</f>
        <v>1</v>
      </c>
      <c r="X2053" s="161" t="b">
        <f t="array" ref="X2053">index('Query Tool'!B:B,match(D2053,'Query Tool'!C:C,0))</f>
        <v>1</v>
      </c>
      <c r="Y2053" s="161" t="str">
        <f t="shared" si="6"/>
        <v>carrode01,2017-18</v>
      </c>
      <c r="Z2053" s="168">
        <f t="array" ref="Z2053">iferror(index(I:I,match($A2053&amp;","&amp;index('Year Conversion'!$A:$A,match($C2053,'Year Conversion'!$B:$B,0)),$Y:$Y,0))-I2053,"")</f>
        <v>1</v>
      </c>
      <c r="AA2053" s="168">
        <f t="array" ref="AA2053">iferror(index(J:J,match($A2053&amp;","&amp;index('Year Conversion'!$A:$A,match($C2053,'Year Conversion'!$B:$B,0)),$Y:$Y,0))-J2053,"")</f>
        <v>-1.794705533</v>
      </c>
      <c r="AB2053" s="168">
        <f t="array" ref="AB2053">iferror(index(K:K,match($A2053&amp;","&amp;index('Year Conversion'!$A:$A,match($C2053,'Year Conversion'!$B:$B,0)),$Y:$Y,0))-K2053,"")</f>
        <v>-0.2498705523</v>
      </c>
      <c r="AC2053" s="168" t="str">
        <f t="shared" si="7"/>
        <v>BRK,2017-18</v>
      </c>
    </row>
    <row r="2054">
      <c r="A2054" s="161" t="str">
        <f>IFERROR(__xludf.DUMMYFUNCTION("""COMPUTED_VALUE"""),"ellinwa01")</f>
        <v>ellinwa01</v>
      </c>
      <c r="B2054" s="161" t="str">
        <f>IFERROR(__xludf.DUMMYFUNCTION("""COMPUTED_VALUE"""),"Wayne Ellington")</f>
        <v>Wayne Ellington</v>
      </c>
      <c r="C2054" s="162" t="str">
        <f>IFERROR(__xludf.DUMMYFUNCTION("""COMPUTED_VALUE"""),"2017-18")</f>
        <v>2017-18</v>
      </c>
      <c r="D2054" s="163" t="str">
        <f>IFERROR(__xludf.DUMMYFUNCTION("""COMPUTED_VALUE"""),"MIA")</f>
        <v>MIA</v>
      </c>
      <c r="E2054" s="164" t="str">
        <f>IFERROR(__xludf.DUMMYFUNCTION("""COMPUTED_VALUE"""),"Off Screen Shooter")</f>
        <v>Off Screen Shooter</v>
      </c>
      <c r="F2054" s="164">
        <f>IFERROR(__xludf.DUMMYFUNCTION("""COMPUTED_VALUE"""),2041.20333333333)</f>
        <v>2041.203333</v>
      </c>
      <c r="G2054" s="163">
        <f>IFERROR(__xludf.DUMMYFUNCTION("""COMPUTED_VALUE"""),77.0)</f>
        <v>77</v>
      </c>
      <c r="H2054" s="163" t="str">
        <f>IFERROR(__xludf.DUMMYFUNCTION("""COMPUTED_VALUE"""),"SG")</f>
        <v>SG</v>
      </c>
      <c r="I2054" s="163">
        <f>IFERROR(__xludf.DUMMYFUNCTION("""COMPUTED_VALUE"""),30.0)</f>
        <v>30</v>
      </c>
      <c r="J2054" s="165">
        <f>IFERROR(__xludf.DUMMYFUNCTION("""COMPUTED_VALUE"""),-0.405242110408464)</f>
        <v>-0.4052421104</v>
      </c>
      <c r="K2054" s="165">
        <f>IFERROR(__xludf.DUMMYFUNCTION("""COMPUTED_VALUE"""),0.704929216424989)</f>
        <v>0.7049292164</v>
      </c>
      <c r="L2054" s="165">
        <f>IFERROR(__xludf.DUMMYFUNCTION("""COMPUTED_VALUE"""),-1.11017132683345)</f>
        <v>-1.110171327</v>
      </c>
      <c r="M2054" s="166">
        <f t="shared" si="2"/>
        <v>2.589304955</v>
      </c>
      <c r="N2054" s="167">
        <f t="shared" si="3"/>
        <v>26.5091342</v>
      </c>
      <c r="O2054" s="163">
        <f t="shared" ref="O2054:Q2054" si="2058">rank(I2054,I:I)</f>
        <v>655</v>
      </c>
      <c r="P2054" s="163">
        <f t="shared" si="2058"/>
        <v>1734</v>
      </c>
      <c r="Q2054" s="163">
        <f t="shared" si="2058"/>
        <v>648</v>
      </c>
      <c r="R2054" s="163">
        <f>IFERROR(__xludf.DUMMYFUNCTION("RANK(M2054,filter(M:M,C:C=C2054))"),126.0)</f>
        <v>126</v>
      </c>
      <c r="S2054" s="161" t="b">
        <f t="shared" si="5"/>
        <v>0</v>
      </c>
      <c r="T2054" s="161" t="b">
        <f t="array" ref="T2054">index('Query Tool'!B:B,match(H2054,'Query Tool'!C:C,0))</f>
        <v>1</v>
      </c>
      <c r="U2054" s="161" t="b">
        <f t="array" ref="U2054">index('Query Tool'!B:B,match(C2054,'Query Tool'!C:C,0))</f>
        <v>0</v>
      </c>
      <c r="V2054" s="161" t="b">
        <f>F2054&gt;='Query Tool'!C$32</f>
        <v>1</v>
      </c>
      <c r="W2054" s="161" t="b">
        <f t="array" ref="W2054">index(Dropdowns!B:B,match(I2054,Dropdowns!A:A,0))</f>
        <v>1</v>
      </c>
      <c r="X2054" s="161" t="b">
        <f t="array" ref="X2054">index('Query Tool'!B:B,match(D2054,'Query Tool'!C:C,0))</f>
        <v>1</v>
      </c>
      <c r="Y2054" s="161" t="str">
        <f t="shared" si="6"/>
        <v>ellinwa01,2017-18</v>
      </c>
      <c r="Z2054" s="168">
        <f t="array" ref="Z2054">iferror(index(I:I,match($A2054&amp;","&amp;index('Year Conversion'!$A:$A,match($C2054,'Year Conversion'!$B:$B,0)),$Y:$Y,0))-I2054,"")</f>
        <v>1</v>
      </c>
      <c r="AA2054" s="168">
        <f t="array" ref="AA2054">iferror(index(J:J,match($A2054&amp;","&amp;index('Year Conversion'!$A:$A,match($C2054,'Year Conversion'!$B:$B,0)),$Y:$Y,0))-J2054,"")</f>
        <v>0.6840043875</v>
      </c>
      <c r="AB2054" s="168">
        <f t="array" ref="AB2054">iferror(index(K:K,match($A2054&amp;","&amp;index('Year Conversion'!$A:$A,match($C2054,'Year Conversion'!$B:$B,0)),$Y:$Y,0))-K2054,"")</f>
        <v>-0.5325430139</v>
      </c>
      <c r="AC2054" s="168" t="str">
        <f t="shared" si="7"/>
        <v>MIA,2017-18</v>
      </c>
    </row>
    <row r="2055">
      <c r="A2055" s="161" t="str">
        <f>IFERROR(__xludf.DUMMYFUNCTION("""COMPUTED_VALUE"""),"cunnida01")</f>
        <v>cunnida01</v>
      </c>
      <c r="B2055" s="161" t="str">
        <f>IFERROR(__xludf.DUMMYFUNCTION("""COMPUTED_VALUE"""),"Dante Cunningham")</f>
        <v>Dante Cunningham</v>
      </c>
      <c r="C2055" s="162" t="str">
        <f>IFERROR(__xludf.DUMMYFUNCTION("""COMPUTED_VALUE"""),"2017-18")</f>
        <v>2017-18</v>
      </c>
      <c r="D2055" s="163" t="str">
        <f>IFERROR(__xludf.DUMMYFUNCTION("""COMPUTED_VALUE"""),"TOT")</f>
        <v>TOT</v>
      </c>
      <c r="E2055" s="164" t="str">
        <f>IFERROR(__xludf.DUMMYFUNCTION("""COMPUTED_VALUE"""),"Stretch Big")</f>
        <v>Stretch Big</v>
      </c>
      <c r="F2055" s="164">
        <f>IFERROR(__xludf.DUMMYFUNCTION("""COMPUTED_VALUE"""),1561.885)</f>
        <v>1561.885</v>
      </c>
      <c r="G2055" s="163">
        <f>IFERROR(__xludf.DUMMYFUNCTION("""COMPUTED_VALUE"""),73.0)</f>
        <v>73</v>
      </c>
      <c r="H2055" s="163" t="str">
        <f>IFERROR(__xludf.DUMMYFUNCTION("""COMPUTED_VALUE"""),"SF")</f>
        <v>SF</v>
      </c>
      <c r="I2055" s="163">
        <f>IFERROR(__xludf.DUMMYFUNCTION("""COMPUTED_VALUE"""),30.0)</f>
        <v>30</v>
      </c>
      <c r="J2055" s="165">
        <f>IFERROR(__xludf.DUMMYFUNCTION("""COMPUTED_VALUE"""),-1.6798322192393)</f>
        <v>-1.679832219</v>
      </c>
      <c r="K2055" s="165">
        <f>IFERROR(__xludf.DUMMYFUNCTION("""COMPUTED_VALUE"""),-1.52626968419342)</f>
        <v>-1.526269684</v>
      </c>
      <c r="L2055" s="165">
        <f>IFERROR(__xludf.DUMMYFUNCTION("""COMPUTED_VALUE"""),-0.153562535045873)</f>
        <v>-0.153562535</v>
      </c>
      <c r="M2055" s="166">
        <f t="shared" si="2"/>
        <v>0.6459326904</v>
      </c>
      <c r="N2055" s="167">
        <f t="shared" si="3"/>
        <v>21.39568493</v>
      </c>
      <c r="O2055" s="163">
        <f t="shared" ref="O2055:Q2055" si="2059">rank(I2055,I:I)</f>
        <v>655</v>
      </c>
      <c r="P2055" s="163">
        <f t="shared" si="2059"/>
        <v>3223</v>
      </c>
      <c r="Q2055" s="163">
        <f t="shared" si="2059"/>
        <v>3383</v>
      </c>
      <c r="R2055" s="163">
        <f>IFERROR(__xludf.DUMMYFUNCTION("RANK(M2055,filter(M:M,C:C=C2055))"),278.0)</f>
        <v>278</v>
      </c>
      <c r="S2055" s="161" t="b">
        <f t="shared" si="5"/>
        <v>0</v>
      </c>
      <c r="T2055" s="161" t="b">
        <f t="array" ref="T2055">index('Query Tool'!B:B,match(H2055,'Query Tool'!C:C,0))</f>
        <v>1</v>
      </c>
      <c r="U2055" s="161" t="b">
        <f t="array" ref="U2055">index('Query Tool'!B:B,match(C2055,'Query Tool'!C:C,0))</f>
        <v>0</v>
      </c>
      <c r="V2055" s="161" t="b">
        <f>F2055&gt;='Query Tool'!C$32</f>
        <v>1</v>
      </c>
      <c r="W2055" s="161" t="b">
        <f t="array" ref="W2055">index(Dropdowns!B:B,match(I2055,Dropdowns!A:A,0))</f>
        <v>1</v>
      </c>
      <c r="X2055" s="161" t="b">
        <f t="array" ref="X2055">index('Query Tool'!B:B,match(D2055,'Query Tool'!C:C,0))</f>
        <v>1</v>
      </c>
      <c r="Y2055" s="161" t="str">
        <f t="shared" si="6"/>
        <v>cunnida01,2017-18</v>
      </c>
      <c r="Z2055" s="168">
        <f t="array" ref="Z2055">iferror(index(I:I,match($A2055&amp;","&amp;index('Year Conversion'!$A:$A,match($C2055,'Year Conversion'!$B:$B,0)),$Y:$Y,0))-I2055,"")</f>
        <v>1</v>
      </c>
      <c r="AA2055" s="168">
        <f t="array" ref="AA2055">iferror(index(J:J,match($A2055&amp;","&amp;index('Year Conversion'!$A:$A,match($C2055,'Year Conversion'!$B:$B,0)),$Y:$Y,0))-J2055,"")</f>
        <v>-0.8002711293</v>
      </c>
      <c r="AB2055" s="168">
        <f t="array" ref="AB2055">iferror(index(K:K,match($A2055&amp;","&amp;index('Year Conversion'!$A:$A,match($C2055,'Year Conversion'!$B:$B,0)),$Y:$Y,0))-K2055,"")</f>
        <v>-1.037358577</v>
      </c>
      <c r="AC2055" s="168" t="str">
        <f t="shared" si="7"/>
        <v>TOT,2017-18</v>
      </c>
    </row>
    <row r="2056">
      <c r="A2056" s="161" t="str">
        <f>IFERROR(__xludf.DUMMYFUNCTION("""COMPUTED_VALUE"""),"jerebjo01")</f>
        <v>jerebjo01</v>
      </c>
      <c r="B2056" s="161" t="str">
        <f>IFERROR(__xludf.DUMMYFUNCTION("""COMPUTED_VALUE"""),"Jonas Jerebko")</f>
        <v>Jonas Jerebko</v>
      </c>
      <c r="C2056" s="162" t="str">
        <f>IFERROR(__xludf.DUMMYFUNCTION("""COMPUTED_VALUE"""),"2017-18")</f>
        <v>2017-18</v>
      </c>
      <c r="D2056" s="163" t="str">
        <f>IFERROR(__xludf.DUMMYFUNCTION("""COMPUTED_VALUE"""),"UTA")</f>
        <v>UTA</v>
      </c>
      <c r="E2056" s="164" t="str">
        <f>IFERROR(__xludf.DUMMYFUNCTION("""COMPUTED_VALUE"""),"Athletic Finisher")</f>
        <v>Athletic Finisher</v>
      </c>
      <c r="F2056" s="164">
        <f>IFERROR(__xludf.DUMMYFUNCTION("""COMPUTED_VALUE"""),1133.515)</f>
        <v>1133.515</v>
      </c>
      <c r="G2056" s="163">
        <f>IFERROR(__xludf.DUMMYFUNCTION("""COMPUTED_VALUE"""),74.0)</f>
        <v>74</v>
      </c>
      <c r="H2056" s="163" t="str">
        <f>IFERROR(__xludf.DUMMYFUNCTION("""COMPUTED_VALUE"""),"PF")</f>
        <v>PF</v>
      </c>
      <c r="I2056" s="163">
        <f>IFERROR(__xludf.DUMMYFUNCTION("""COMPUTED_VALUE"""),30.0)</f>
        <v>30</v>
      </c>
      <c r="J2056" s="165">
        <f>IFERROR(__xludf.DUMMYFUNCTION("""COMPUTED_VALUE"""),-0.871501706280459)</f>
        <v>-0.8715017063</v>
      </c>
      <c r="K2056" s="165">
        <f>IFERROR(__xludf.DUMMYFUNCTION("""COMPUTED_VALUE"""),-0.518004426464887)</f>
        <v>-0.5180044265</v>
      </c>
      <c r="L2056" s="165">
        <f>IFERROR(__xludf.DUMMYFUNCTION("""COMPUTED_VALUE"""),-0.353497279815572)</f>
        <v>-0.3534972798</v>
      </c>
      <c r="M2056" s="166">
        <f t="shared" si="2"/>
        <v>1.082198785</v>
      </c>
      <c r="N2056" s="167">
        <f t="shared" si="3"/>
        <v>15.31777027</v>
      </c>
      <c r="O2056" s="163">
        <f t="shared" ref="O2056:Q2056" si="2060">rank(I2056,I:I)</f>
        <v>655</v>
      </c>
      <c r="P2056" s="163">
        <f t="shared" si="2060"/>
        <v>2366</v>
      </c>
      <c r="Q2056" s="163">
        <f t="shared" si="2060"/>
        <v>2134</v>
      </c>
      <c r="R2056" s="163">
        <f>IFERROR(__xludf.DUMMYFUNCTION("RANK(M2056,filter(M:M,C:C=C2056))"),229.0)</f>
        <v>229</v>
      </c>
      <c r="S2056" s="161" t="b">
        <f t="shared" si="5"/>
        <v>0</v>
      </c>
      <c r="T2056" s="161" t="b">
        <f t="array" ref="T2056">index('Query Tool'!B:B,match(H2056,'Query Tool'!C:C,0))</f>
        <v>1</v>
      </c>
      <c r="U2056" s="161" t="b">
        <f t="array" ref="U2056">index('Query Tool'!B:B,match(C2056,'Query Tool'!C:C,0))</f>
        <v>0</v>
      </c>
      <c r="V2056" s="161" t="b">
        <f>F2056&gt;='Query Tool'!C$32</f>
        <v>1</v>
      </c>
      <c r="W2056" s="161" t="b">
        <f t="array" ref="W2056">index(Dropdowns!B:B,match(I2056,Dropdowns!A:A,0))</f>
        <v>1</v>
      </c>
      <c r="X2056" s="161" t="b">
        <f t="array" ref="X2056">index('Query Tool'!B:B,match(D2056,'Query Tool'!C:C,0))</f>
        <v>1</v>
      </c>
      <c r="Y2056" s="161" t="str">
        <f t="shared" si="6"/>
        <v>jerebjo01,2017-18</v>
      </c>
      <c r="Z2056" s="168">
        <f t="array" ref="Z2056">iferror(index(I:I,match($A2056&amp;","&amp;index('Year Conversion'!$A:$A,match($C2056,'Year Conversion'!$B:$B,0)),$Y:$Y,0))-I2056,"")</f>
        <v>1</v>
      </c>
      <c r="AA2056" s="168">
        <f t="array" ref="AA2056">iferror(index(J:J,match($A2056&amp;","&amp;index('Year Conversion'!$A:$A,match($C2056,'Year Conversion'!$B:$B,0)),$Y:$Y,0))-J2056,"")</f>
        <v>0.8692169416</v>
      </c>
      <c r="AB2056" s="168">
        <f t="array" ref="AB2056">iferror(index(K:K,match($A2056&amp;","&amp;index('Year Conversion'!$A:$A,match($C2056,'Year Conversion'!$B:$B,0)),$Y:$Y,0))-K2056,"")</f>
        <v>0.4672546709</v>
      </c>
      <c r="AC2056" s="168" t="str">
        <f t="shared" si="7"/>
        <v>UTA,2017-18</v>
      </c>
    </row>
    <row r="2057">
      <c r="A2057" s="161" t="str">
        <f>IFERROR(__xludf.DUMMYFUNCTION("""COMPUTED_VALUE"""),"meeksjo01")</f>
        <v>meeksjo01</v>
      </c>
      <c r="B2057" s="161" t="str">
        <f>IFERROR(__xludf.DUMMYFUNCTION("""COMPUTED_VALUE"""),"Jodie Meeks")</f>
        <v>Jodie Meeks</v>
      </c>
      <c r="C2057" s="162" t="str">
        <f>IFERROR(__xludf.DUMMYFUNCTION("""COMPUTED_VALUE"""),"2017-18")</f>
        <v>2017-18</v>
      </c>
      <c r="D2057" s="163" t="str">
        <f>IFERROR(__xludf.DUMMYFUNCTION("""COMPUTED_VALUE"""),"WAS")</f>
        <v>WAS</v>
      </c>
      <c r="E2057" s="164" t="str">
        <f>IFERROR(__xludf.DUMMYFUNCTION("""COMPUTED_VALUE"""),"Off Screen Shooter")</f>
        <v>Off Screen Shooter</v>
      </c>
      <c r="F2057" s="164">
        <f>IFERROR(__xludf.DUMMYFUNCTION("""COMPUTED_VALUE"""),1118.72833333333)</f>
        <v>1118.728333</v>
      </c>
      <c r="G2057" s="163">
        <f>IFERROR(__xludf.DUMMYFUNCTION("""COMPUTED_VALUE"""),77.0)</f>
        <v>77</v>
      </c>
      <c r="H2057" s="163" t="str">
        <f>IFERROR(__xludf.DUMMYFUNCTION("""COMPUTED_VALUE"""),"SG")</f>
        <v>SG</v>
      </c>
      <c r="I2057" s="163">
        <f>IFERROR(__xludf.DUMMYFUNCTION("""COMPUTED_VALUE"""),30.0)</f>
        <v>30</v>
      </c>
      <c r="J2057" s="165">
        <f>IFERROR(__xludf.DUMMYFUNCTION("""COMPUTED_VALUE"""),-1.52423141680184)</f>
        <v>-1.524231417</v>
      </c>
      <c r="K2057" s="165">
        <f>IFERROR(__xludf.DUMMYFUNCTION("""COMPUTED_VALUE"""),0.233459469372774)</f>
        <v>0.2334594694</v>
      </c>
      <c r="L2057" s="165">
        <f>IFERROR(__xludf.DUMMYFUNCTION("""COMPUTED_VALUE"""),-1.75769088617462)</f>
        <v>-1.757690886</v>
      </c>
      <c r="M2057" s="166">
        <f t="shared" si="2"/>
        <v>0.5787732134</v>
      </c>
      <c r="N2057" s="167">
        <f t="shared" si="3"/>
        <v>14.52893939</v>
      </c>
      <c r="O2057" s="163">
        <f t="shared" ref="O2057:Q2057" si="2061">rank(I2057,I:I)</f>
        <v>655</v>
      </c>
      <c r="P2057" s="163">
        <f t="shared" si="2061"/>
        <v>3074</v>
      </c>
      <c r="Q2057" s="163">
        <f t="shared" si="2061"/>
        <v>959</v>
      </c>
      <c r="R2057" s="163">
        <f>IFERROR(__xludf.DUMMYFUNCTION("RANK(M2057,filter(M:M,C:C=C2057))"),286.0)</f>
        <v>286</v>
      </c>
      <c r="S2057" s="161" t="b">
        <f t="shared" si="5"/>
        <v>0</v>
      </c>
      <c r="T2057" s="161" t="b">
        <f t="array" ref="T2057">index('Query Tool'!B:B,match(H2057,'Query Tool'!C:C,0))</f>
        <v>1</v>
      </c>
      <c r="U2057" s="161" t="b">
        <f t="array" ref="U2057">index('Query Tool'!B:B,match(C2057,'Query Tool'!C:C,0))</f>
        <v>0</v>
      </c>
      <c r="V2057" s="161" t="b">
        <f>F2057&gt;='Query Tool'!C$32</f>
        <v>1</v>
      </c>
      <c r="W2057" s="161" t="b">
        <f t="array" ref="W2057">index(Dropdowns!B:B,match(I2057,Dropdowns!A:A,0))</f>
        <v>1</v>
      </c>
      <c r="X2057" s="161" t="b">
        <f t="array" ref="X2057">index('Query Tool'!B:B,match(D2057,'Query Tool'!C:C,0))</f>
        <v>1</v>
      </c>
      <c r="Y2057" s="161" t="str">
        <f t="shared" si="6"/>
        <v>meeksjo01,2017-18</v>
      </c>
      <c r="Z2057" s="168">
        <f t="array" ref="Z2057">iferror(index(I:I,match($A2057&amp;","&amp;index('Year Conversion'!$A:$A,match($C2057,'Year Conversion'!$B:$B,0)),$Y:$Y,0))-I2057,"")</f>
        <v>1</v>
      </c>
      <c r="AA2057" s="168">
        <f t="array" ref="AA2057">iferror(index(J:J,match($A2057&amp;","&amp;index('Year Conversion'!$A:$A,match($C2057,'Year Conversion'!$B:$B,0)),$Y:$Y,0))-J2057,"")</f>
        <v>0.4156742749</v>
      </c>
      <c r="AB2057" s="168">
        <f t="array" ref="AB2057">iferror(index(K:K,match($A2057&amp;","&amp;index('Year Conversion'!$A:$A,match($C2057,'Year Conversion'!$B:$B,0)),$Y:$Y,0))-K2057,"")</f>
        <v>-0.2726446982</v>
      </c>
      <c r="AC2057" s="168" t="str">
        <f t="shared" si="7"/>
        <v>WAS,2017-18</v>
      </c>
    </row>
    <row r="2058">
      <c r="A2058" s="161" t="str">
        <f>IFERROR(__xludf.DUMMYFUNCTION("""COMPUTED_VALUE"""),"beverpa01")</f>
        <v>beverpa01</v>
      </c>
      <c r="B2058" s="161" t="str">
        <f>IFERROR(__xludf.DUMMYFUNCTION("""COMPUTED_VALUE"""),"Patrick Beverley")</f>
        <v>Patrick Beverley</v>
      </c>
      <c r="C2058" s="162" t="str">
        <f>IFERROR(__xludf.DUMMYFUNCTION("""COMPUTED_VALUE"""),"2017-18")</f>
        <v>2017-18</v>
      </c>
      <c r="D2058" s="163" t="str">
        <f>IFERROR(__xludf.DUMMYFUNCTION("""COMPUTED_VALUE"""),"LAC")</f>
        <v>LAC</v>
      </c>
      <c r="E2058" s="164" t="str">
        <f>IFERROR(__xludf.DUMMYFUNCTION("""COMPUTED_VALUE"""),"Secondary Ball Handler")</f>
        <v>Secondary Ball Handler</v>
      </c>
      <c r="F2058" s="164">
        <f>IFERROR(__xludf.DUMMYFUNCTION("""COMPUTED_VALUE"""),333.548333333333)</f>
        <v>333.5483333</v>
      </c>
      <c r="G2058" s="163">
        <f>IFERROR(__xludf.DUMMYFUNCTION("""COMPUTED_VALUE"""),11.0)</f>
        <v>11</v>
      </c>
      <c r="H2058" s="163" t="str">
        <f>IFERROR(__xludf.DUMMYFUNCTION("""COMPUTED_VALUE"""),"SG")</f>
        <v>SG</v>
      </c>
      <c r="I2058" s="163">
        <f>IFERROR(__xludf.DUMMYFUNCTION("""COMPUTED_VALUE"""),29.0)</f>
        <v>29</v>
      </c>
      <c r="J2058" s="165">
        <f>IFERROR(__xludf.DUMMYFUNCTION("""COMPUTED_VALUE"""),0.589585620240879)</f>
        <v>0.5895856202</v>
      </c>
      <c r="K2058" s="165">
        <f>IFERROR(__xludf.DUMMYFUNCTION("""COMPUTED_VALUE"""),0.177191105923854)</f>
        <v>0.1771911059</v>
      </c>
      <c r="L2058" s="165">
        <f>IFERROR(__xludf.DUMMYFUNCTION("""COMPUTED_VALUE"""),0.412394514317024)</f>
        <v>0.4123945143</v>
      </c>
      <c r="M2058" s="166">
        <f t="shared" si="2"/>
        <v>0.6467393617</v>
      </c>
      <c r="N2058" s="167">
        <f t="shared" si="3"/>
        <v>30.32257576</v>
      </c>
      <c r="O2058" s="163">
        <f t="shared" ref="O2058:Q2058" si="2062">rank(I2058,I:I)</f>
        <v>855</v>
      </c>
      <c r="P2058" s="163">
        <f t="shared" si="2062"/>
        <v>850</v>
      </c>
      <c r="Q2058" s="163">
        <f t="shared" si="2062"/>
        <v>1005</v>
      </c>
      <c r="R2058" s="163">
        <f>IFERROR(__xludf.DUMMYFUNCTION("RANK(M2058,filter(M:M,C:C=C2058))"),277.0)</f>
        <v>277</v>
      </c>
      <c r="S2058" s="161" t="b">
        <f t="shared" si="5"/>
        <v>0</v>
      </c>
      <c r="T2058" s="161" t="b">
        <f t="array" ref="T2058">index('Query Tool'!B:B,match(H2058,'Query Tool'!C:C,0))</f>
        <v>1</v>
      </c>
      <c r="U2058" s="161" t="b">
        <f t="array" ref="U2058">index('Query Tool'!B:B,match(C2058,'Query Tool'!C:C,0))</f>
        <v>0</v>
      </c>
      <c r="V2058" s="161" t="b">
        <f>F2058&gt;='Query Tool'!C$32</f>
        <v>0</v>
      </c>
      <c r="W2058" s="161" t="b">
        <f t="array" ref="W2058">index(Dropdowns!B:B,match(I2058,Dropdowns!A:A,0))</f>
        <v>1</v>
      </c>
      <c r="X2058" s="161" t="b">
        <f t="array" ref="X2058">index('Query Tool'!B:B,match(D2058,'Query Tool'!C:C,0))</f>
        <v>1</v>
      </c>
      <c r="Y2058" s="161" t="str">
        <f t="shared" si="6"/>
        <v>beverpa01,2017-18</v>
      </c>
      <c r="Z2058" s="168">
        <f t="array" ref="Z2058">iferror(index(I:I,match($A2058&amp;","&amp;index('Year Conversion'!$A:$A,match($C2058,'Year Conversion'!$B:$B,0)),$Y:$Y,0))-I2058,"")</f>
        <v>1</v>
      </c>
      <c r="AA2058" s="168">
        <f t="array" ref="AA2058">iferror(index(J:J,match($A2058&amp;","&amp;index('Year Conversion'!$A:$A,match($C2058,'Year Conversion'!$B:$B,0)),$Y:$Y,0))-J2058,"")</f>
        <v>0.1869376512</v>
      </c>
      <c r="AB2058" s="168">
        <f t="array" ref="AB2058">iferror(index(K:K,match($A2058&amp;","&amp;index('Year Conversion'!$A:$A,match($C2058,'Year Conversion'!$B:$B,0)),$Y:$Y,0))-K2058,"")</f>
        <v>-0.3746145708</v>
      </c>
      <c r="AC2058" s="168" t="str">
        <f t="shared" si="7"/>
        <v>LAC,2017-18</v>
      </c>
    </row>
    <row r="2059">
      <c r="A2059" s="161" t="str">
        <f>IFERROR(__xludf.DUMMYFUNCTION("""COMPUTED_VALUE"""),"greenda02")</f>
        <v>greenda02</v>
      </c>
      <c r="B2059" s="161" t="str">
        <f>IFERROR(__xludf.DUMMYFUNCTION("""COMPUTED_VALUE"""),"Danny Green")</f>
        <v>Danny Green</v>
      </c>
      <c r="C2059" s="162" t="str">
        <f>IFERROR(__xludf.DUMMYFUNCTION("""COMPUTED_VALUE"""),"2017-18")</f>
        <v>2017-18</v>
      </c>
      <c r="D2059" s="163" t="str">
        <f>IFERROR(__xludf.DUMMYFUNCTION("""COMPUTED_VALUE"""),"SAS")</f>
        <v>SAS</v>
      </c>
      <c r="E2059" s="164" t="str">
        <f>IFERROR(__xludf.DUMMYFUNCTION("""COMPUTED_VALUE"""),"Movement Shooter")</f>
        <v>Movement Shooter</v>
      </c>
      <c r="F2059" s="164">
        <f>IFERROR(__xludf.DUMMYFUNCTION("""COMPUTED_VALUE"""),1791.08666666667)</f>
        <v>1791.086667</v>
      </c>
      <c r="G2059" s="163">
        <f>IFERROR(__xludf.DUMMYFUNCTION("""COMPUTED_VALUE"""),70.0)</f>
        <v>70</v>
      </c>
      <c r="H2059" s="163" t="str">
        <f>IFERROR(__xludf.DUMMYFUNCTION("""COMPUTED_VALUE"""),"SG")</f>
        <v>SG</v>
      </c>
      <c r="I2059" s="163">
        <f>IFERROR(__xludf.DUMMYFUNCTION("""COMPUTED_VALUE"""),30.0)</f>
        <v>30</v>
      </c>
      <c r="J2059" s="165">
        <f>IFERROR(__xludf.DUMMYFUNCTION("""COMPUTED_VALUE"""),0.890811252493476)</f>
        <v>0.8908112525</v>
      </c>
      <c r="K2059" s="165">
        <f>IFERROR(__xludf.DUMMYFUNCTION("""COMPUTED_VALUE"""),-0.234567132921078)</f>
        <v>-0.2345671329</v>
      </c>
      <c r="L2059" s="165">
        <f>IFERROR(__xludf.DUMMYFUNCTION("""COMPUTED_VALUE"""),1.12537838541455)</f>
        <v>1.125378385</v>
      </c>
      <c r="M2059" s="166">
        <f t="shared" si="2"/>
        <v>3.835757807</v>
      </c>
      <c r="N2059" s="167">
        <f t="shared" si="3"/>
        <v>25.58695238</v>
      </c>
      <c r="O2059" s="163">
        <f t="shared" ref="O2059:Q2059" si="2063">rank(I2059,I:I)</f>
        <v>655</v>
      </c>
      <c r="P2059" s="163">
        <f t="shared" si="2063"/>
        <v>700</v>
      </c>
      <c r="Q2059" s="163">
        <f t="shared" si="2063"/>
        <v>1633</v>
      </c>
      <c r="R2059" s="163">
        <f>IFERROR(__xludf.DUMMYFUNCTION("RANK(M2059,filter(M:M,C:C=C2059))"),92.0)</f>
        <v>92</v>
      </c>
      <c r="S2059" s="161" t="b">
        <f t="shared" si="5"/>
        <v>0</v>
      </c>
      <c r="T2059" s="161" t="b">
        <f t="array" ref="T2059">index('Query Tool'!B:B,match(H2059,'Query Tool'!C:C,0))</f>
        <v>1</v>
      </c>
      <c r="U2059" s="161" t="b">
        <f t="array" ref="U2059">index('Query Tool'!B:B,match(C2059,'Query Tool'!C:C,0))</f>
        <v>0</v>
      </c>
      <c r="V2059" s="161" t="b">
        <f>F2059&gt;='Query Tool'!C$32</f>
        <v>1</v>
      </c>
      <c r="W2059" s="161" t="b">
        <f t="array" ref="W2059">index(Dropdowns!B:B,match(I2059,Dropdowns!A:A,0))</f>
        <v>1</v>
      </c>
      <c r="X2059" s="161" t="b">
        <f t="array" ref="X2059">index('Query Tool'!B:B,match(D2059,'Query Tool'!C:C,0))</f>
        <v>1</v>
      </c>
      <c r="Y2059" s="161" t="str">
        <f t="shared" si="6"/>
        <v>greenda02,2017-18</v>
      </c>
      <c r="Z2059" s="168">
        <f t="array" ref="Z2059">iferror(index(I:I,match($A2059&amp;","&amp;index('Year Conversion'!$A:$A,match($C2059,'Year Conversion'!$B:$B,0)),$Y:$Y,0))-I2059,"")</f>
        <v>1</v>
      </c>
      <c r="AA2059" s="168">
        <f t="array" ref="AA2059">iferror(index(J:J,match($A2059&amp;","&amp;index('Year Conversion'!$A:$A,match($C2059,'Year Conversion'!$B:$B,0)),$Y:$Y,0))-J2059,"")</f>
        <v>0.9022248256</v>
      </c>
      <c r="AB2059" s="168">
        <f t="array" ref="AB2059">iferror(index(K:K,match($A2059&amp;","&amp;index('Year Conversion'!$A:$A,match($C2059,'Year Conversion'!$B:$B,0)),$Y:$Y,0))-K2059,"")</f>
        <v>0.9255425189</v>
      </c>
      <c r="AC2059" s="168" t="str">
        <f t="shared" si="7"/>
        <v>SAS,2017-18</v>
      </c>
    </row>
    <row r="2060">
      <c r="A2060" s="161" t="str">
        <f>IFERROR(__xludf.DUMMYFUNCTION("""COMPUTED_VALUE"""),"millspa02")</f>
        <v>millspa02</v>
      </c>
      <c r="B2060" s="161" t="str">
        <f>IFERROR(__xludf.DUMMYFUNCTION("""COMPUTED_VALUE"""),"Patty Mills")</f>
        <v>Patty Mills</v>
      </c>
      <c r="C2060" s="162" t="str">
        <f>IFERROR(__xludf.DUMMYFUNCTION("""COMPUTED_VALUE"""),"2017-18")</f>
        <v>2017-18</v>
      </c>
      <c r="D2060" s="163" t="str">
        <f>IFERROR(__xludf.DUMMYFUNCTION("""COMPUTED_VALUE"""),"SAS")</f>
        <v>SAS</v>
      </c>
      <c r="E2060" s="164" t="str">
        <f>IFERROR(__xludf.DUMMYFUNCTION("""COMPUTED_VALUE"""),"Primary Ball Handler")</f>
        <v>Primary Ball Handler</v>
      </c>
      <c r="F2060" s="164">
        <f>IFERROR(__xludf.DUMMYFUNCTION("""COMPUTED_VALUE"""),2107.25166666667)</f>
        <v>2107.251667</v>
      </c>
      <c r="G2060" s="163">
        <f>IFERROR(__xludf.DUMMYFUNCTION("""COMPUTED_VALUE"""),82.0)</f>
        <v>82</v>
      </c>
      <c r="H2060" s="163" t="str">
        <f>IFERROR(__xludf.DUMMYFUNCTION("""COMPUTED_VALUE"""),"PG")</f>
        <v>PG</v>
      </c>
      <c r="I2060" s="163">
        <f>IFERROR(__xludf.DUMMYFUNCTION("""COMPUTED_VALUE"""),29.0)</f>
        <v>29</v>
      </c>
      <c r="J2060" s="165">
        <f>IFERROR(__xludf.DUMMYFUNCTION("""COMPUTED_VALUE"""),-0.232665221024151)</f>
        <v>-0.232665221</v>
      </c>
      <c r="K2060" s="165">
        <f>IFERROR(__xludf.DUMMYFUNCTION("""COMPUTED_VALUE"""),1.25092511281156)</f>
        <v>1.250925113</v>
      </c>
      <c r="L2060" s="165">
        <f>IFERROR(__xludf.DUMMYFUNCTION("""COMPUTED_VALUE"""),-1.48359033383571)</f>
        <v>-1.483590334</v>
      </c>
      <c r="M2060" s="166">
        <f t="shared" si="2"/>
        <v>2.918159911</v>
      </c>
      <c r="N2060" s="167">
        <f t="shared" si="3"/>
        <v>25.69819106</v>
      </c>
      <c r="O2060" s="163">
        <f t="shared" ref="O2060:Q2060" si="2064">rank(I2060,I:I)</f>
        <v>855</v>
      </c>
      <c r="P2060" s="163">
        <f t="shared" si="2064"/>
        <v>1540</v>
      </c>
      <c r="Q2060" s="163">
        <f t="shared" si="2064"/>
        <v>400</v>
      </c>
      <c r="R2060" s="163">
        <f>IFERROR(__xludf.DUMMYFUNCTION("RANK(M2060,filter(M:M,C:C=C2060))"),112.0)</f>
        <v>112</v>
      </c>
      <c r="S2060" s="161" t="b">
        <f t="shared" si="5"/>
        <v>0</v>
      </c>
      <c r="T2060" s="161" t="b">
        <f t="array" ref="T2060">index('Query Tool'!B:B,match(H2060,'Query Tool'!C:C,0))</f>
        <v>1</v>
      </c>
      <c r="U2060" s="161" t="b">
        <f t="array" ref="U2060">index('Query Tool'!B:B,match(C2060,'Query Tool'!C:C,0))</f>
        <v>0</v>
      </c>
      <c r="V2060" s="161" t="b">
        <f>F2060&gt;='Query Tool'!C$32</f>
        <v>1</v>
      </c>
      <c r="W2060" s="161" t="b">
        <f t="array" ref="W2060">index(Dropdowns!B:B,match(I2060,Dropdowns!A:A,0))</f>
        <v>1</v>
      </c>
      <c r="X2060" s="161" t="b">
        <f t="array" ref="X2060">index('Query Tool'!B:B,match(D2060,'Query Tool'!C:C,0))</f>
        <v>1</v>
      </c>
      <c r="Y2060" s="161" t="str">
        <f t="shared" si="6"/>
        <v>millspa02,2017-18</v>
      </c>
      <c r="Z2060" s="168">
        <f t="array" ref="Z2060">iferror(index(I:I,match($A2060&amp;","&amp;index('Year Conversion'!$A:$A,match($C2060,'Year Conversion'!$B:$B,0)),$Y:$Y,0))-I2060,"")</f>
        <v>1</v>
      </c>
      <c r="AA2060" s="168">
        <f t="array" ref="AA2060">iferror(index(J:J,match($A2060&amp;","&amp;index('Year Conversion'!$A:$A,match($C2060,'Year Conversion'!$B:$B,0)),$Y:$Y,0))-J2060,"")</f>
        <v>-0.3949950643</v>
      </c>
      <c r="AB2060" s="168">
        <f t="array" ref="AB2060">iferror(index(K:K,match($A2060&amp;","&amp;index('Year Conversion'!$A:$A,match($C2060,'Year Conversion'!$B:$B,0)),$Y:$Y,0))-K2060,"")</f>
        <v>-0.01511853183</v>
      </c>
      <c r="AC2060" s="168" t="str">
        <f t="shared" si="7"/>
        <v>SAS,2017-18</v>
      </c>
    </row>
    <row r="2061">
      <c r="A2061" s="161" t="str">
        <f>IFERROR(__xludf.DUMMYFUNCTION("""COMPUTED_VALUE"""),"templga01")</f>
        <v>templga01</v>
      </c>
      <c r="B2061" s="161" t="str">
        <f>IFERROR(__xludf.DUMMYFUNCTION("""COMPUTED_VALUE"""),"Garrett Temple")</f>
        <v>Garrett Temple</v>
      </c>
      <c r="C2061" s="162" t="str">
        <f>IFERROR(__xludf.DUMMYFUNCTION("""COMPUTED_VALUE"""),"2017-18")</f>
        <v>2017-18</v>
      </c>
      <c r="D2061" s="163" t="str">
        <f>IFERROR(__xludf.DUMMYFUNCTION("""COMPUTED_VALUE"""),"SAC")</f>
        <v>SAC</v>
      </c>
      <c r="E2061" s="164" t="str">
        <f>IFERROR(__xludf.DUMMYFUNCTION("""COMPUTED_VALUE"""),"Movement Shooter")</f>
        <v>Movement Shooter</v>
      </c>
      <c r="F2061" s="164">
        <f>IFERROR(__xludf.DUMMYFUNCTION("""COMPUTED_VALUE"""),1615.07666666667)</f>
        <v>1615.076667</v>
      </c>
      <c r="G2061" s="163">
        <f>IFERROR(__xludf.DUMMYFUNCTION("""COMPUTED_VALUE"""),65.0)</f>
        <v>65</v>
      </c>
      <c r="H2061" s="163" t="str">
        <f>IFERROR(__xludf.DUMMYFUNCTION("""COMPUTED_VALUE"""),"SG")</f>
        <v>SG</v>
      </c>
      <c r="I2061" s="163">
        <f>IFERROR(__xludf.DUMMYFUNCTION("""COMPUTED_VALUE"""),31.0)</f>
        <v>31</v>
      </c>
      <c r="J2061" s="165">
        <f>IFERROR(__xludf.DUMMYFUNCTION("""COMPUTED_VALUE"""),-1.46238775387735)</f>
        <v>-1.462387754</v>
      </c>
      <c r="K2061" s="165">
        <f>IFERROR(__xludf.DUMMYFUNCTION("""COMPUTED_VALUE"""),-1.68833638241204)</f>
        <v>-1.688336382</v>
      </c>
      <c r="L2061" s="165">
        <f>IFERROR(__xludf.DUMMYFUNCTION("""COMPUTED_VALUE"""),0.225948628534689)</f>
        <v>0.2259486285</v>
      </c>
      <c r="M2061" s="166">
        <f t="shared" si="2"/>
        <v>0.9022761705</v>
      </c>
      <c r="N2061" s="167">
        <f t="shared" si="3"/>
        <v>24.84733333</v>
      </c>
      <c r="O2061" s="163">
        <f t="shared" ref="O2061:Q2061" si="2065">rank(I2061,I:I)</f>
        <v>490</v>
      </c>
      <c r="P2061" s="163">
        <f t="shared" si="2065"/>
        <v>3018</v>
      </c>
      <c r="Q2061" s="163">
        <f t="shared" si="2065"/>
        <v>3514</v>
      </c>
      <c r="R2061" s="163">
        <f>IFERROR(__xludf.DUMMYFUNCTION("RANK(M2061,filter(M:M,C:C=C2061))"),247.0)</f>
        <v>247</v>
      </c>
      <c r="S2061" s="161" t="b">
        <f t="shared" si="5"/>
        <v>0</v>
      </c>
      <c r="T2061" s="161" t="b">
        <f t="array" ref="T2061">index('Query Tool'!B:B,match(H2061,'Query Tool'!C:C,0))</f>
        <v>1</v>
      </c>
      <c r="U2061" s="161" t="b">
        <f t="array" ref="U2061">index('Query Tool'!B:B,match(C2061,'Query Tool'!C:C,0))</f>
        <v>0</v>
      </c>
      <c r="V2061" s="161" t="b">
        <f>F2061&gt;='Query Tool'!C$32</f>
        <v>1</v>
      </c>
      <c r="W2061" s="161" t="b">
        <f t="array" ref="W2061">index(Dropdowns!B:B,match(I2061,Dropdowns!A:A,0))</f>
        <v>1</v>
      </c>
      <c r="X2061" s="161" t="b">
        <f t="array" ref="X2061">index('Query Tool'!B:B,match(D2061,'Query Tool'!C:C,0))</f>
        <v>1</v>
      </c>
      <c r="Y2061" s="161" t="str">
        <f t="shared" si="6"/>
        <v>templga01,2017-18</v>
      </c>
      <c r="Z2061" s="168">
        <f t="array" ref="Z2061">iferror(index(I:I,match($A2061&amp;","&amp;index('Year Conversion'!$A:$A,match($C2061,'Year Conversion'!$B:$B,0)),$Y:$Y,0))-I2061,"")</f>
        <v>1</v>
      </c>
      <c r="AA2061" s="168">
        <f t="array" ref="AA2061">iferror(index(J:J,match($A2061&amp;","&amp;index('Year Conversion'!$A:$A,match($C2061,'Year Conversion'!$B:$B,0)),$Y:$Y,0))-J2061,"")</f>
        <v>-0.27846938</v>
      </c>
      <c r="AB2061" s="168">
        <f t="array" ref="AB2061">iferror(index(K:K,match($A2061&amp;","&amp;index('Year Conversion'!$A:$A,match($C2061,'Year Conversion'!$B:$B,0)),$Y:$Y,0))-K2061,"")</f>
        <v>-0.8894516301</v>
      </c>
      <c r="AC2061" s="168" t="str">
        <f t="shared" si="7"/>
        <v>SAC,2017-18</v>
      </c>
    </row>
    <row r="2062">
      <c r="A2062" s="161" t="str">
        <f>IFERROR(__xludf.DUMMYFUNCTION("""COMPUTED_VALUE"""),"matthwe02")</f>
        <v>matthwe02</v>
      </c>
      <c r="B2062" s="161" t="str">
        <f>IFERROR(__xludf.DUMMYFUNCTION("""COMPUTED_VALUE"""),"Wesley Matthews")</f>
        <v>Wesley Matthews</v>
      </c>
      <c r="C2062" s="162" t="str">
        <f>IFERROR(__xludf.DUMMYFUNCTION("""COMPUTED_VALUE"""),"2017-18")</f>
        <v>2017-18</v>
      </c>
      <c r="D2062" s="163" t="str">
        <f>IFERROR(__xludf.DUMMYFUNCTION("""COMPUTED_VALUE"""),"DAL")</f>
        <v>DAL</v>
      </c>
      <c r="E2062" s="164" t="str">
        <f>IFERROR(__xludf.DUMMYFUNCTION("""COMPUTED_VALUE"""),"Shot Creator")</f>
        <v>Shot Creator</v>
      </c>
      <c r="F2062" s="164">
        <f>IFERROR(__xludf.DUMMYFUNCTION("""COMPUTED_VALUE"""),2131.43333333333)</f>
        <v>2131.433333</v>
      </c>
      <c r="G2062" s="163">
        <f>IFERROR(__xludf.DUMMYFUNCTION("""COMPUTED_VALUE"""),63.0)</f>
        <v>63</v>
      </c>
      <c r="H2062" s="163" t="str">
        <f>IFERROR(__xludf.DUMMYFUNCTION("""COMPUTED_VALUE"""),"SF")</f>
        <v>SF</v>
      </c>
      <c r="I2062" s="163">
        <f>IFERROR(__xludf.DUMMYFUNCTION("""COMPUTED_VALUE"""),31.0)</f>
        <v>31</v>
      </c>
      <c r="J2062" s="165">
        <f>IFERROR(__xludf.DUMMYFUNCTION("""COMPUTED_VALUE"""),-1.7675016491454)</f>
        <v>-1.767501649</v>
      </c>
      <c r="K2062" s="165">
        <f>IFERROR(__xludf.DUMMYFUNCTION("""COMPUTED_VALUE"""),-0.67778644862934)</f>
        <v>-0.6777864486</v>
      </c>
      <c r="L2062" s="165">
        <f>IFERROR(__xludf.DUMMYFUNCTION("""COMPUTED_VALUE"""),-1.08971520051606)</f>
        <v>-1.089715201</v>
      </c>
      <c r="M2062" s="166">
        <f t="shared" si="2"/>
        <v>0.7570422113</v>
      </c>
      <c r="N2062" s="167">
        <f t="shared" si="3"/>
        <v>33.83227513</v>
      </c>
      <c r="O2062" s="163">
        <f t="shared" ref="O2062:Q2062" si="2066">rank(I2062,I:I)</f>
        <v>490</v>
      </c>
      <c r="P2062" s="163">
        <f t="shared" si="2066"/>
        <v>3307</v>
      </c>
      <c r="Q2062" s="163">
        <f t="shared" si="2066"/>
        <v>2383</v>
      </c>
      <c r="R2062" s="163">
        <f>IFERROR(__xludf.DUMMYFUNCTION("RANK(M2062,filter(M:M,C:C=C2062))"),262.0)</f>
        <v>262</v>
      </c>
      <c r="S2062" s="161" t="b">
        <f t="shared" si="5"/>
        <v>0</v>
      </c>
      <c r="T2062" s="161" t="b">
        <f t="array" ref="T2062">index('Query Tool'!B:B,match(H2062,'Query Tool'!C:C,0))</f>
        <v>1</v>
      </c>
      <c r="U2062" s="161" t="b">
        <f t="array" ref="U2062">index('Query Tool'!B:B,match(C2062,'Query Tool'!C:C,0))</f>
        <v>0</v>
      </c>
      <c r="V2062" s="161" t="b">
        <f>F2062&gt;='Query Tool'!C$32</f>
        <v>1</v>
      </c>
      <c r="W2062" s="161" t="b">
        <f t="array" ref="W2062">index(Dropdowns!B:B,match(I2062,Dropdowns!A:A,0))</f>
        <v>1</v>
      </c>
      <c r="X2062" s="161" t="b">
        <f t="array" ref="X2062">index('Query Tool'!B:B,match(D2062,'Query Tool'!C:C,0))</f>
        <v>1</v>
      </c>
      <c r="Y2062" s="161" t="str">
        <f t="shared" si="6"/>
        <v>matthwe02,2017-18</v>
      </c>
      <c r="Z2062" s="168">
        <f t="array" ref="Z2062">iferror(index(I:I,match($A2062&amp;","&amp;index('Year Conversion'!$A:$A,match($C2062,'Year Conversion'!$B:$B,0)),$Y:$Y,0))-I2062,"")</f>
        <v>1</v>
      </c>
      <c r="AA2062" s="168">
        <f t="array" ref="AA2062">iferror(index(J:J,match($A2062&amp;","&amp;index('Year Conversion'!$A:$A,match($C2062,'Year Conversion'!$B:$B,0)),$Y:$Y,0))-J2062,"")</f>
        <v>0.6819159347</v>
      </c>
      <c r="AB2062" s="168">
        <f t="array" ref="AB2062">iferror(index(K:K,match($A2062&amp;","&amp;index('Year Conversion'!$A:$A,match($C2062,'Year Conversion'!$B:$B,0)),$Y:$Y,0))-K2062,"")</f>
        <v>0.1304087329</v>
      </c>
      <c r="AC2062" s="168" t="str">
        <f t="shared" si="7"/>
        <v>DAL,2017-18</v>
      </c>
    </row>
    <row r="2063">
      <c r="A2063" s="161" t="str">
        <f>IFERROR(__xludf.DUMMYFUNCTION("""COMPUTED_VALUE"""),"walljo01")</f>
        <v>walljo01</v>
      </c>
      <c r="B2063" s="161" t="str">
        <f>IFERROR(__xludf.DUMMYFUNCTION("""COMPUTED_VALUE"""),"John Wall")</f>
        <v>John Wall</v>
      </c>
      <c r="C2063" s="162" t="str">
        <f>IFERROR(__xludf.DUMMYFUNCTION("""COMPUTED_VALUE"""),"2017-18")</f>
        <v>2017-18</v>
      </c>
      <c r="D2063" s="163" t="str">
        <f>IFERROR(__xludf.DUMMYFUNCTION("""COMPUTED_VALUE"""),"WAS")</f>
        <v>WAS</v>
      </c>
      <c r="E2063" s="164" t="str">
        <f>IFERROR(__xludf.DUMMYFUNCTION("""COMPUTED_VALUE"""),"Shot Creator")</f>
        <v>Shot Creator</v>
      </c>
      <c r="F2063" s="164">
        <f>IFERROR(__xludf.DUMMYFUNCTION("""COMPUTED_VALUE"""),1409.83)</f>
        <v>1409.83</v>
      </c>
      <c r="G2063" s="163">
        <f>IFERROR(__xludf.DUMMYFUNCTION("""COMPUTED_VALUE"""),41.0)</f>
        <v>41</v>
      </c>
      <c r="H2063" s="163" t="str">
        <f>IFERROR(__xludf.DUMMYFUNCTION("""COMPUTED_VALUE"""),"PG")</f>
        <v>PG</v>
      </c>
      <c r="I2063" s="163">
        <f>IFERROR(__xludf.DUMMYFUNCTION("""COMPUTED_VALUE"""),27.0)</f>
        <v>27</v>
      </c>
      <c r="J2063" s="165">
        <f>IFERROR(__xludf.DUMMYFUNCTION("""COMPUTED_VALUE"""),2.13428338316117)</f>
        <v>2.134283383</v>
      </c>
      <c r="K2063" s="165">
        <f>IFERROR(__xludf.DUMMYFUNCTION("""COMPUTED_VALUE"""),1.72431170519627)</f>
        <v>1.724311705</v>
      </c>
      <c r="L2063" s="165">
        <f>IFERROR(__xludf.DUMMYFUNCTION("""COMPUTED_VALUE"""),0.409971677964897)</f>
        <v>0.409971678</v>
      </c>
      <c r="M2063" s="166">
        <f t="shared" si="2"/>
        <v>4.189368895</v>
      </c>
      <c r="N2063" s="167">
        <f t="shared" si="3"/>
        <v>34.38609756</v>
      </c>
      <c r="O2063" s="163">
        <f t="shared" ref="O2063:Q2063" si="2067">rank(I2063,I:I)</f>
        <v>1366</v>
      </c>
      <c r="P2063" s="163">
        <f t="shared" si="2067"/>
        <v>284</v>
      </c>
      <c r="Q2063" s="163">
        <f t="shared" si="2067"/>
        <v>268</v>
      </c>
      <c r="R2063" s="163">
        <f>IFERROR(__xludf.DUMMYFUNCTION("RANK(M2063,filter(M:M,C:C=C2063))"),78.0)</f>
        <v>78</v>
      </c>
      <c r="S2063" s="161" t="b">
        <f t="shared" si="5"/>
        <v>0</v>
      </c>
      <c r="T2063" s="161" t="b">
        <f t="array" ref="T2063">index('Query Tool'!B:B,match(H2063,'Query Tool'!C:C,0))</f>
        <v>1</v>
      </c>
      <c r="U2063" s="161" t="b">
        <f t="array" ref="U2063">index('Query Tool'!B:B,match(C2063,'Query Tool'!C:C,0))</f>
        <v>0</v>
      </c>
      <c r="V2063" s="161" t="b">
        <f>F2063&gt;='Query Tool'!C$32</f>
        <v>1</v>
      </c>
      <c r="W2063" s="161" t="b">
        <f t="array" ref="W2063">index(Dropdowns!B:B,match(I2063,Dropdowns!A:A,0))</f>
        <v>1</v>
      </c>
      <c r="X2063" s="161" t="b">
        <f t="array" ref="X2063">index('Query Tool'!B:B,match(D2063,'Query Tool'!C:C,0))</f>
        <v>1</v>
      </c>
      <c r="Y2063" s="161" t="str">
        <f t="shared" si="6"/>
        <v>walljo01,2017-18</v>
      </c>
      <c r="Z2063" s="168">
        <f t="array" ref="Z2063">iferror(index(I:I,match($A2063&amp;","&amp;index('Year Conversion'!$A:$A,match($C2063,'Year Conversion'!$B:$B,0)),$Y:$Y,0))-I2063,"")</f>
        <v>1</v>
      </c>
      <c r="AA2063" s="168">
        <f t="array" ref="AA2063">iferror(index(J:J,match($A2063&amp;","&amp;index('Year Conversion'!$A:$A,match($C2063,'Year Conversion'!$B:$B,0)),$Y:$Y,0))-J2063,"")</f>
        <v>-0.9038964008</v>
      </c>
      <c r="AB2063" s="168">
        <f t="array" ref="AB2063">iferror(index(K:K,match($A2063&amp;","&amp;index('Year Conversion'!$A:$A,match($C2063,'Year Conversion'!$B:$B,0)),$Y:$Y,0))-K2063,"")</f>
        <v>-0.6671989541</v>
      </c>
      <c r="AC2063" s="168" t="str">
        <f t="shared" si="7"/>
        <v>WAS,2017-18</v>
      </c>
    </row>
    <row r="2064">
      <c r="A2064" s="161" t="str">
        <f>IFERROR(__xludf.DUMMYFUNCTION("""COMPUTED_VALUE"""),"turneev01")</f>
        <v>turneev01</v>
      </c>
      <c r="B2064" s="161" t="str">
        <f>IFERROR(__xludf.DUMMYFUNCTION("""COMPUTED_VALUE"""),"Evan Turner")</f>
        <v>Evan Turner</v>
      </c>
      <c r="C2064" s="162" t="str">
        <f>IFERROR(__xludf.DUMMYFUNCTION("""COMPUTED_VALUE"""),"2017-18")</f>
        <v>2017-18</v>
      </c>
      <c r="D2064" s="163" t="str">
        <f>IFERROR(__xludf.DUMMYFUNCTION("""COMPUTED_VALUE"""),"POR")</f>
        <v>POR</v>
      </c>
      <c r="E2064" s="164" t="str">
        <f>IFERROR(__xludf.DUMMYFUNCTION("""COMPUTED_VALUE"""),"Shot Creator")</f>
        <v>Shot Creator</v>
      </c>
      <c r="F2064" s="164">
        <f>IFERROR(__xludf.DUMMYFUNCTION("""COMPUTED_VALUE"""),2033.82833333333)</f>
        <v>2033.828333</v>
      </c>
      <c r="G2064" s="163">
        <f>IFERROR(__xludf.DUMMYFUNCTION("""COMPUTED_VALUE"""),79.0)</f>
        <v>79</v>
      </c>
      <c r="H2064" s="163" t="str">
        <f>IFERROR(__xludf.DUMMYFUNCTION("""COMPUTED_VALUE"""),"SF")</f>
        <v>SF</v>
      </c>
      <c r="I2064" s="163">
        <f>IFERROR(__xludf.DUMMYFUNCTION("""COMPUTED_VALUE"""),29.0)</f>
        <v>29</v>
      </c>
      <c r="J2064" s="165">
        <f>IFERROR(__xludf.DUMMYFUNCTION("""COMPUTED_VALUE"""),-2.96885277842635)</f>
        <v>-2.968852778</v>
      </c>
      <c r="K2064" s="165">
        <f>IFERROR(__xludf.DUMMYFUNCTION("""COMPUTED_VALUE"""),-2.28825376702492)</f>
        <v>-2.288253767</v>
      </c>
      <c r="L2064" s="165">
        <f>IFERROR(__xludf.DUMMYFUNCTION("""COMPUTED_VALUE"""),-0.680599011401424)</f>
        <v>-0.6805990114</v>
      </c>
      <c r="M2064" s="166">
        <f t="shared" si="2"/>
        <v>-0.8862400374</v>
      </c>
      <c r="N2064" s="167">
        <f t="shared" si="3"/>
        <v>25.74466245</v>
      </c>
      <c r="O2064" s="163">
        <f t="shared" ref="O2064:Q2064" si="2068">rank(I2064,I:I)</f>
        <v>855</v>
      </c>
      <c r="P2064" s="163">
        <f t="shared" si="2068"/>
        <v>3880</v>
      </c>
      <c r="Q2064" s="163">
        <f t="shared" si="2068"/>
        <v>3831</v>
      </c>
      <c r="R2064" s="163">
        <f>IFERROR(__xludf.DUMMYFUNCTION("RANK(M2064,filter(M:M,C:C=C2064))"),534.0)</f>
        <v>534</v>
      </c>
      <c r="S2064" s="161" t="b">
        <f t="shared" si="5"/>
        <v>0</v>
      </c>
      <c r="T2064" s="161" t="b">
        <f t="array" ref="T2064">index('Query Tool'!B:B,match(H2064,'Query Tool'!C:C,0))</f>
        <v>1</v>
      </c>
      <c r="U2064" s="161" t="b">
        <f t="array" ref="U2064">index('Query Tool'!B:B,match(C2064,'Query Tool'!C:C,0))</f>
        <v>0</v>
      </c>
      <c r="V2064" s="161" t="b">
        <f>F2064&gt;='Query Tool'!C$32</f>
        <v>1</v>
      </c>
      <c r="W2064" s="161" t="b">
        <f t="array" ref="W2064">index(Dropdowns!B:B,match(I2064,Dropdowns!A:A,0))</f>
        <v>1</v>
      </c>
      <c r="X2064" s="161" t="b">
        <f t="array" ref="X2064">index('Query Tool'!B:B,match(D2064,'Query Tool'!C:C,0))</f>
        <v>1</v>
      </c>
      <c r="Y2064" s="161" t="str">
        <f t="shared" si="6"/>
        <v>turneev01,2017-18</v>
      </c>
      <c r="Z2064" s="168">
        <f t="array" ref="Z2064">iferror(index(I:I,match($A2064&amp;","&amp;index('Year Conversion'!$A:$A,match($C2064,'Year Conversion'!$B:$B,0)),$Y:$Y,0))-I2064,"")</f>
        <v>1</v>
      </c>
      <c r="AA2064" s="168">
        <f t="array" ref="AA2064">iferror(index(J:J,match($A2064&amp;","&amp;index('Year Conversion'!$A:$A,match($C2064,'Year Conversion'!$B:$B,0)),$Y:$Y,0))-J2064,"")</f>
        <v>1.806286956</v>
      </c>
      <c r="AB2064" s="168">
        <f t="array" ref="AB2064">iferror(index(K:K,match($A2064&amp;","&amp;index('Year Conversion'!$A:$A,match($C2064,'Year Conversion'!$B:$B,0)),$Y:$Y,0))-K2064,"")</f>
        <v>1.601910635</v>
      </c>
      <c r="AC2064" s="168" t="str">
        <f t="shared" si="7"/>
        <v>POR,2017-18</v>
      </c>
    </row>
    <row r="2065">
      <c r="A2065" s="161" t="str">
        <f>IFERROR(__xludf.DUMMYFUNCTION("""COMPUTED_VALUE"""),"favorde01")</f>
        <v>favorde01</v>
      </c>
      <c r="B2065" s="161" t="str">
        <f>IFERROR(__xludf.DUMMYFUNCTION("""COMPUTED_VALUE"""),"Derrick Favors")</f>
        <v>Derrick Favors</v>
      </c>
      <c r="C2065" s="162" t="str">
        <f>IFERROR(__xludf.DUMMYFUNCTION("""COMPUTED_VALUE"""),"2017-18")</f>
        <v>2017-18</v>
      </c>
      <c r="D2065" s="163" t="str">
        <f>IFERROR(__xludf.DUMMYFUNCTION("""COMPUTED_VALUE"""),"UTA")</f>
        <v>UTA</v>
      </c>
      <c r="E2065" s="164" t="str">
        <f>IFERROR(__xludf.DUMMYFUNCTION("""COMPUTED_VALUE"""),"Roll + Cut Big")</f>
        <v>Roll + Cut Big</v>
      </c>
      <c r="F2065" s="164">
        <f>IFERROR(__xludf.DUMMYFUNCTION("""COMPUTED_VALUE"""),2153.40166666667)</f>
        <v>2153.401667</v>
      </c>
      <c r="G2065" s="163">
        <f>IFERROR(__xludf.DUMMYFUNCTION("""COMPUTED_VALUE"""),77.0)</f>
        <v>77</v>
      </c>
      <c r="H2065" s="163" t="str">
        <f>IFERROR(__xludf.DUMMYFUNCTION("""COMPUTED_VALUE"""),"C")</f>
        <v>C</v>
      </c>
      <c r="I2065" s="163">
        <f>IFERROR(__xludf.DUMMYFUNCTION("""COMPUTED_VALUE"""),26.0)</f>
        <v>26</v>
      </c>
      <c r="J2065" s="165">
        <f>IFERROR(__xludf.DUMMYFUNCTION("""COMPUTED_VALUE"""),1.80219913717276)</f>
        <v>1.802199137</v>
      </c>
      <c r="K2065" s="165">
        <f>IFERROR(__xludf.DUMMYFUNCTION("""COMPUTED_VALUE"""),0.151862727380109)</f>
        <v>0.1518627274</v>
      </c>
      <c r="L2065" s="165">
        <f>IFERROR(__xludf.DUMMYFUNCTION("""COMPUTED_VALUE"""),1.65033640979265)</f>
        <v>1.65033641</v>
      </c>
      <c r="M2065" s="166">
        <f t="shared" si="2"/>
        <v>5.924521135</v>
      </c>
      <c r="N2065" s="167">
        <f t="shared" si="3"/>
        <v>27.96625541</v>
      </c>
      <c r="O2065" s="163">
        <f t="shared" ref="O2065:Q2065" si="2069">rank(I2065,I:I)</f>
        <v>1665</v>
      </c>
      <c r="P2065" s="163">
        <f t="shared" si="2069"/>
        <v>372</v>
      </c>
      <c r="Q2065" s="163">
        <f t="shared" si="2069"/>
        <v>1026</v>
      </c>
      <c r="R2065" s="163">
        <f>IFERROR(__xludf.DUMMYFUNCTION("RANK(M2065,filter(M:M,C:C=C2065))"),40.0)</f>
        <v>40</v>
      </c>
      <c r="S2065" s="161" t="b">
        <f t="shared" si="5"/>
        <v>0</v>
      </c>
      <c r="T2065" s="161" t="b">
        <f t="array" ref="T2065">index('Query Tool'!B:B,match(H2065,'Query Tool'!C:C,0))</f>
        <v>1</v>
      </c>
      <c r="U2065" s="161" t="b">
        <f t="array" ref="U2065">index('Query Tool'!B:B,match(C2065,'Query Tool'!C:C,0))</f>
        <v>0</v>
      </c>
      <c r="V2065" s="161" t="b">
        <f>F2065&gt;='Query Tool'!C$32</f>
        <v>1</v>
      </c>
      <c r="W2065" s="161" t="b">
        <f t="array" ref="W2065">index(Dropdowns!B:B,match(I2065,Dropdowns!A:A,0))</f>
        <v>1</v>
      </c>
      <c r="X2065" s="161" t="b">
        <f t="array" ref="X2065">index('Query Tool'!B:B,match(D2065,'Query Tool'!C:C,0))</f>
        <v>1</v>
      </c>
      <c r="Y2065" s="161" t="str">
        <f t="shared" si="6"/>
        <v>favorde01,2017-18</v>
      </c>
      <c r="Z2065" s="168">
        <f t="array" ref="Z2065">iferror(index(I:I,match($A2065&amp;","&amp;index('Year Conversion'!$A:$A,match($C2065,'Year Conversion'!$B:$B,0)),$Y:$Y,0))-I2065,"")</f>
        <v>1</v>
      </c>
      <c r="AA2065" s="168">
        <f t="array" ref="AA2065">iferror(index(J:J,match($A2065&amp;","&amp;index('Year Conversion'!$A:$A,match($C2065,'Year Conversion'!$B:$B,0)),$Y:$Y,0))-J2065,"")</f>
        <v>0.1649270908</v>
      </c>
      <c r="AB2065" s="168">
        <f t="array" ref="AB2065">iferror(index(K:K,match($A2065&amp;","&amp;index('Year Conversion'!$A:$A,match($C2065,'Year Conversion'!$B:$B,0)),$Y:$Y,0))-K2065,"")</f>
        <v>0.4610520028</v>
      </c>
      <c r="AC2065" s="168" t="str">
        <f t="shared" si="7"/>
        <v>UTA,2017-18</v>
      </c>
    </row>
    <row r="2066">
      <c r="A2066" s="161" t="str">
        <f>IFERROR(__xludf.DUMMYFUNCTION("""COMPUTED_VALUE"""),"johnswe01")</f>
        <v>johnswe01</v>
      </c>
      <c r="B2066" s="161" t="str">
        <f>IFERROR(__xludf.DUMMYFUNCTION("""COMPUTED_VALUE"""),"Wesley Johnson")</f>
        <v>Wesley Johnson</v>
      </c>
      <c r="C2066" s="162" t="str">
        <f>IFERROR(__xludf.DUMMYFUNCTION("""COMPUTED_VALUE"""),"2017-18")</f>
        <v>2017-18</v>
      </c>
      <c r="D2066" s="163" t="str">
        <f>IFERROR(__xludf.DUMMYFUNCTION("""COMPUTED_VALUE"""),"LAC")</f>
        <v>LAC</v>
      </c>
      <c r="E2066" s="164" t="str">
        <f>IFERROR(__xludf.DUMMYFUNCTION("""COMPUTED_VALUE"""),"Stationary Shooter")</f>
        <v>Stationary Shooter</v>
      </c>
      <c r="F2066" s="164">
        <f>IFERROR(__xludf.DUMMYFUNCTION("""COMPUTED_VALUE"""),1486.41166666667)</f>
        <v>1486.411667</v>
      </c>
      <c r="G2066" s="163">
        <f>IFERROR(__xludf.DUMMYFUNCTION("""COMPUTED_VALUE"""),74.0)</f>
        <v>74</v>
      </c>
      <c r="H2066" s="163" t="str">
        <f>IFERROR(__xludf.DUMMYFUNCTION("""COMPUTED_VALUE"""),"SF")</f>
        <v>SF</v>
      </c>
      <c r="I2066" s="163">
        <f>IFERROR(__xludf.DUMMYFUNCTION("""COMPUTED_VALUE"""),30.0)</f>
        <v>30</v>
      </c>
      <c r="J2066" s="165">
        <f>IFERROR(__xludf.DUMMYFUNCTION("""COMPUTED_VALUE"""),-1.13467308535269)</f>
        <v>-1.134673085</v>
      </c>
      <c r="K2066" s="165">
        <f>IFERROR(__xludf.DUMMYFUNCTION("""COMPUTED_VALUE"""),-2.42150702310828)</f>
        <v>-2.421507023</v>
      </c>
      <c r="L2066" s="165">
        <f>IFERROR(__xludf.DUMMYFUNCTION("""COMPUTED_VALUE"""),1.28683393775559)</f>
        <v>1.286833938</v>
      </c>
      <c r="M2066" s="166">
        <f t="shared" si="2"/>
        <v>1.156498012</v>
      </c>
      <c r="N2066" s="167">
        <f t="shared" si="3"/>
        <v>20.08664414</v>
      </c>
      <c r="O2066" s="163">
        <f t="shared" ref="O2066:Q2066" si="2070">rank(I2066,I:I)</f>
        <v>655</v>
      </c>
      <c r="P2066" s="163">
        <f t="shared" si="2070"/>
        <v>2666</v>
      </c>
      <c r="Q2066" s="163">
        <f t="shared" si="2070"/>
        <v>3874</v>
      </c>
      <c r="R2066" s="163">
        <f>IFERROR(__xludf.DUMMYFUNCTION("RANK(M2066,filter(M:M,C:C=C2066))"),221.0)</f>
        <v>221</v>
      </c>
      <c r="S2066" s="161" t="b">
        <f t="shared" si="5"/>
        <v>0</v>
      </c>
      <c r="T2066" s="161" t="b">
        <f t="array" ref="T2066">index('Query Tool'!B:B,match(H2066,'Query Tool'!C:C,0))</f>
        <v>1</v>
      </c>
      <c r="U2066" s="161" t="b">
        <f t="array" ref="U2066">index('Query Tool'!B:B,match(C2066,'Query Tool'!C:C,0))</f>
        <v>0</v>
      </c>
      <c r="V2066" s="161" t="b">
        <f>F2066&gt;='Query Tool'!C$32</f>
        <v>1</v>
      </c>
      <c r="W2066" s="161" t="b">
        <f t="array" ref="W2066">index(Dropdowns!B:B,match(I2066,Dropdowns!A:A,0))</f>
        <v>1</v>
      </c>
      <c r="X2066" s="161" t="b">
        <f t="array" ref="X2066">index('Query Tool'!B:B,match(D2066,'Query Tool'!C:C,0))</f>
        <v>1</v>
      </c>
      <c r="Y2066" s="161" t="str">
        <f t="shared" si="6"/>
        <v>johnswe01,2017-18</v>
      </c>
      <c r="Z2066" s="168">
        <f t="array" ref="Z2066">iferror(index(I:I,match($A2066&amp;","&amp;index('Year Conversion'!$A:$A,match($C2066,'Year Conversion'!$B:$B,0)),$Y:$Y,0))-I2066,"")</f>
        <v>1</v>
      </c>
      <c r="AA2066" s="168">
        <f t="array" ref="AA2066">iferror(index(J:J,match($A2066&amp;","&amp;index('Year Conversion'!$A:$A,match($C2066,'Year Conversion'!$B:$B,0)),$Y:$Y,0))-J2066,"")</f>
        <v>-1.5084616</v>
      </c>
      <c r="AB2066" s="168">
        <f t="array" ref="AB2066">iferror(index(K:K,match($A2066&amp;","&amp;index('Year Conversion'!$A:$A,match($C2066,'Year Conversion'!$B:$B,0)),$Y:$Y,0))-K2066,"")</f>
        <v>0.004952000004</v>
      </c>
      <c r="AC2066" s="168" t="str">
        <f t="shared" si="7"/>
        <v>LAC,2017-18</v>
      </c>
    </row>
    <row r="2067">
      <c r="A2067" s="161" t="str">
        <f>IFERROR(__xludf.DUMMYFUNCTION("""COMPUTED_VALUE"""),"couside01")</f>
        <v>couside01</v>
      </c>
      <c r="B2067" s="161" t="str">
        <f>IFERROR(__xludf.DUMMYFUNCTION("""COMPUTED_VALUE"""),"DeMarcus Cousins")</f>
        <v>DeMarcus Cousins</v>
      </c>
      <c r="C2067" s="162" t="str">
        <f>IFERROR(__xludf.DUMMYFUNCTION("""COMPUTED_VALUE"""),"2017-18")</f>
        <v>2017-18</v>
      </c>
      <c r="D2067" s="163" t="str">
        <f>IFERROR(__xludf.DUMMYFUNCTION("""COMPUTED_VALUE"""),"NOP")</f>
        <v>NOP</v>
      </c>
      <c r="E2067" s="164" t="str">
        <f>IFERROR(__xludf.DUMMYFUNCTION("""COMPUTED_VALUE"""),"Versatile Big")</f>
        <v>Versatile Big</v>
      </c>
      <c r="F2067" s="164">
        <f>IFERROR(__xludf.DUMMYFUNCTION("""COMPUTED_VALUE"""),1737.07)</f>
        <v>1737.07</v>
      </c>
      <c r="G2067" s="163">
        <f>IFERROR(__xludf.DUMMYFUNCTION("""COMPUTED_VALUE"""),48.0)</f>
        <v>48</v>
      </c>
      <c r="H2067" s="163" t="str">
        <f>IFERROR(__xludf.DUMMYFUNCTION("""COMPUTED_VALUE"""),"C")</f>
        <v>C</v>
      </c>
      <c r="I2067" s="163">
        <f>IFERROR(__xludf.DUMMYFUNCTION("""COMPUTED_VALUE"""),27.0)</f>
        <v>27</v>
      </c>
      <c r="J2067" s="165">
        <f>IFERROR(__xludf.DUMMYFUNCTION("""COMPUTED_VALUE"""),3.33621890780869)</f>
        <v>3.336218908</v>
      </c>
      <c r="K2067" s="165">
        <f>IFERROR(__xludf.DUMMYFUNCTION("""COMPUTED_VALUE"""),1.8588963016128)</f>
        <v>1.858896302</v>
      </c>
      <c r="L2067" s="165">
        <f>IFERROR(__xludf.DUMMYFUNCTION("""COMPUTED_VALUE"""),1.47732260619589)</f>
        <v>1.477322606</v>
      </c>
      <c r="M2067" s="166">
        <f t="shared" si="2"/>
        <v>6.525764403</v>
      </c>
      <c r="N2067" s="167">
        <f t="shared" si="3"/>
        <v>36.18895833</v>
      </c>
      <c r="O2067" s="163">
        <f t="shared" ref="O2067:Q2067" si="2071">rank(I2067,I:I)</f>
        <v>1366</v>
      </c>
      <c r="P2067" s="163">
        <f t="shared" si="2071"/>
        <v>143</v>
      </c>
      <c r="Q2067" s="163">
        <f t="shared" si="2071"/>
        <v>250</v>
      </c>
      <c r="R2067" s="163">
        <f>IFERROR(__xludf.DUMMYFUNCTION("RANK(M2067,filter(M:M,C:C=C2067))"),34.0)</f>
        <v>34</v>
      </c>
      <c r="S2067" s="161" t="b">
        <f t="shared" si="5"/>
        <v>0</v>
      </c>
      <c r="T2067" s="161" t="b">
        <f t="array" ref="T2067">index('Query Tool'!B:B,match(H2067,'Query Tool'!C:C,0))</f>
        <v>1</v>
      </c>
      <c r="U2067" s="161" t="b">
        <f t="array" ref="U2067">index('Query Tool'!B:B,match(C2067,'Query Tool'!C:C,0))</f>
        <v>0</v>
      </c>
      <c r="V2067" s="161" t="b">
        <f>F2067&gt;='Query Tool'!C$32</f>
        <v>1</v>
      </c>
      <c r="W2067" s="161" t="b">
        <f t="array" ref="W2067">index(Dropdowns!B:B,match(I2067,Dropdowns!A:A,0))</f>
        <v>1</v>
      </c>
      <c r="X2067" s="161" t="b">
        <f t="array" ref="X2067">index('Query Tool'!B:B,match(D2067,'Query Tool'!C:C,0))</f>
        <v>1</v>
      </c>
      <c r="Y2067" s="161" t="str">
        <f t="shared" si="6"/>
        <v>couside01,2017-18</v>
      </c>
      <c r="Z2067" s="168">
        <f t="array" ref="Z2067">iferror(index(I:I,match($A2067&amp;","&amp;index('Year Conversion'!$A:$A,match($C2067,'Year Conversion'!$B:$B,0)),$Y:$Y,0))-I2067,"")</f>
        <v>1</v>
      </c>
      <c r="AA2067" s="168">
        <f t="array" ref="AA2067">iferror(index(J:J,match($A2067&amp;","&amp;index('Year Conversion'!$A:$A,match($C2067,'Year Conversion'!$B:$B,0)),$Y:$Y,0))-J2067,"")</f>
        <v>-0.3385840347</v>
      </c>
      <c r="AB2067" s="168">
        <f t="array" ref="AB2067">iferror(index(K:K,match($A2067&amp;","&amp;index('Year Conversion'!$A:$A,match($C2067,'Year Conversion'!$B:$B,0)),$Y:$Y,0))-K2067,"")</f>
        <v>-1.211573655</v>
      </c>
      <c r="AC2067" s="168" t="str">
        <f t="shared" si="7"/>
        <v>NOP,2017-18</v>
      </c>
    </row>
    <row r="2068">
      <c r="A2068" s="161" t="str">
        <f>IFERROR(__xludf.DUMMYFUNCTION("""COMPUTED_VALUE"""),"udohek01")</f>
        <v>udohek01</v>
      </c>
      <c r="B2068" s="161" t="str">
        <f>IFERROR(__xludf.DUMMYFUNCTION("""COMPUTED_VALUE"""),"Ekpe Udoh")</f>
        <v>Ekpe Udoh</v>
      </c>
      <c r="C2068" s="162" t="str">
        <f>IFERROR(__xludf.DUMMYFUNCTION("""COMPUTED_VALUE"""),"2017-18")</f>
        <v>2017-18</v>
      </c>
      <c r="D2068" s="163" t="str">
        <f>IFERROR(__xludf.DUMMYFUNCTION("""COMPUTED_VALUE"""),"UTA")</f>
        <v>UTA</v>
      </c>
      <c r="E2068" s="164" t="str">
        <f>IFERROR(__xludf.DUMMYFUNCTION("""COMPUTED_VALUE"""),"Roll + Cut Big")</f>
        <v>Roll + Cut Big</v>
      </c>
      <c r="F2068" s="164">
        <f>IFERROR(__xludf.DUMMYFUNCTION("""COMPUTED_VALUE"""),809.671666666667)</f>
        <v>809.6716667</v>
      </c>
      <c r="G2068" s="163">
        <f>IFERROR(__xludf.DUMMYFUNCTION("""COMPUTED_VALUE"""),63.0)</f>
        <v>63</v>
      </c>
      <c r="H2068" s="163" t="str">
        <f>IFERROR(__xludf.DUMMYFUNCTION("""COMPUTED_VALUE"""),"C")</f>
        <v>C</v>
      </c>
      <c r="I2068" s="163">
        <f>IFERROR(__xludf.DUMMYFUNCTION("""COMPUTED_VALUE"""),30.0)</f>
        <v>30</v>
      </c>
      <c r="J2068" s="165">
        <f>IFERROR(__xludf.DUMMYFUNCTION("""COMPUTED_VALUE"""),0.817819071073506)</f>
        <v>0.8178190711</v>
      </c>
      <c r="K2068" s="165">
        <f>IFERROR(__xludf.DUMMYFUNCTION("""COMPUTED_VALUE"""),-2.04470969799621)</f>
        <v>-2.044709698</v>
      </c>
      <c r="L2068" s="165">
        <f>IFERROR(__xludf.DUMMYFUNCTION("""COMPUTED_VALUE"""),2.86252876906972)</f>
        <v>2.862528769</v>
      </c>
      <c r="M2068" s="166">
        <f t="shared" si="2"/>
        <v>1.694254349</v>
      </c>
      <c r="N2068" s="167">
        <f t="shared" si="3"/>
        <v>12.85193122</v>
      </c>
      <c r="O2068" s="163">
        <f t="shared" ref="O2068:Q2068" si="2072">rank(I2068,I:I)</f>
        <v>655</v>
      </c>
      <c r="P2068" s="163">
        <f t="shared" si="2072"/>
        <v>725</v>
      </c>
      <c r="Q2068" s="163">
        <f t="shared" si="2072"/>
        <v>3732</v>
      </c>
      <c r="R2068" s="163">
        <f>IFERROR(__xludf.DUMMYFUNCTION("RANK(M2068,filter(M:M,C:C=C2068))"),176.0)</f>
        <v>176</v>
      </c>
      <c r="S2068" s="161" t="b">
        <f t="shared" si="5"/>
        <v>0</v>
      </c>
      <c r="T2068" s="161" t="b">
        <f t="array" ref="T2068">index('Query Tool'!B:B,match(H2068,'Query Tool'!C:C,0))</f>
        <v>1</v>
      </c>
      <c r="U2068" s="161" t="b">
        <f t="array" ref="U2068">index('Query Tool'!B:B,match(C2068,'Query Tool'!C:C,0))</f>
        <v>0</v>
      </c>
      <c r="V2068" s="161" t="b">
        <f>F2068&gt;='Query Tool'!C$32</f>
        <v>1</v>
      </c>
      <c r="W2068" s="161" t="b">
        <f t="array" ref="W2068">index(Dropdowns!B:B,match(I2068,Dropdowns!A:A,0))</f>
        <v>1</v>
      </c>
      <c r="X2068" s="161" t="b">
        <f t="array" ref="X2068">index('Query Tool'!B:B,match(D2068,'Query Tool'!C:C,0))</f>
        <v>1</v>
      </c>
      <c r="Y2068" s="161" t="str">
        <f t="shared" si="6"/>
        <v>udohek01,2017-18</v>
      </c>
      <c r="Z2068" s="168">
        <f t="array" ref="Z2068">iferror(index(I:I,match($A2068&amp;","&amp;index('Year Conversion'!$A:$A,match($C2068,'Year Conversion'!$B:$B,0)),$Y:$Y,0))-I2068,"")</f>
        <v>1</v>
      </c>
      <c r="AA2068" s="168">
        <f t="array" ref="AA2068">iferror(index(J:J,match($A2068&amp;","&amp;index('Year Conversion'!$A:$A,match($C2068,'Year Conversion'!$B:$B,0)),$Y:$Y,0))-J2068,"")</f>
        <v>-0.01464926944</v>
      </c>
      <c r="AB2068" s="168">
        <f t="array" ref="AB2068">iferror(index(K:K,match($A2068&amp;","&amp;index('Year Conversion'!$A:$A,match($C2068,'Year Conversion'!$B:$B,0)),$Y:$Y,0))-K2068,"")</f>
        <v>1.484324947</v>
      </c>
      <c r="AC2068" s="168" t="str">
        <f t="shared" si="7"/>
        <v>UTA,2017-18</v>
      </c>
    </row>
    <row r="2069">
      <c r="A2069" s="161" t="str">
        <f>IFERROR(__xludf.DUMMYFUNCTION("""COMPUTED_VALUE"""),"monrogr01")</f>
        <v>monrogr01</v>
      </c>
      <c r="B2069" s="161" t="str">
        <f>IFERROR(__xludf.DUMMYFUNCTION("""COMPUTED_VALUE"""),"Greg Monroe")</f>
        <v>Greg Monroe</v>
      </c>
      <c r="C2069" s="162" t="str">
        <f>IFERROR(__xludf.DUMMYFUNCTION("""COMPUTED_VALUE"""),"2017-18")</f>
        <v>2017-18</v>
      </c>
      <c r="D2069" s="163" t="str">
        <f>IFERROR(__xludf.DUMMYFUNCTION("""COMPUTED_VALUE"""),"TOT")</f>
        <v>TOT</v>
      </c>
      <c r="E2069" s="164" t="str">
        <f>IFERROR(__xludf.DUMMYFUNCTION("""COMPUTED_VALUE"""),"Post Scorer")</f>
        <v>Post Scorer</v>
      </c>
      <c r="F2069" s="164">
        <f>IFERROR(__xludf.DUMMYFUNCTION("""COMPUTED_VALUE"""),1040.84833333333)</f>
        <v>1040.848333</v>
      </c>
      <c r="G2069" s="163">
        <f>IFERROR(__xludf.DUMMYFUNCTION("""COMPUTED_VALUE"""),51.0)</f>
        <v>51</v>
      </c>
      <c r="H2069" s="163" t="str">
        <f>IFERROR(__xludf.DUMMYFUNCTION("""COMPUTED_VALUE"""),"C")</f>
        <v>C</v>
      </c>
      <c r="I2069" s="163">
        <f>IFERROR(__xludf.DUMMYFUNCTION("""COMPUTED_VALUE"""),27.0)</f>
        <v>27</v>
      </c>
      <c r="J2069" s="165">
        <f>IFERROR(__xludf.DUMMYFUNCTION("""COMPUTED_VALUE"""),-0.660761216253417)</f>
        <v>-0.6607612163</v>
      </c>
      <c r="K2069" s="165">
        <f>IFERROR(__xludf.DUMMYFUNCTION("""COMPUTED_VALUE"""),-0.0783449930699706)</f>
        <v>-0.07834499307</v>
      </c>
      <c r="L2069" s="165">
        <f>IFERROR(__xludf.DUMMYFUNCTION("""COMPUTED_VALUE"""),-0.582416223183446)</f>
        <v>-0.5824162232</v>
      </c>
      <c r="M2069" s="166">
        <f t="shared" si="2"/>
        <v>1.141246671</v>
      </c>
      <c r="N2069" s="167">
        <f t="shared" si="3"/>
        <v>20.40879085</v>
      </c>
      <c r="O2069" s="163">
        <f t="shared" ref="O2069:Q2069" si="2073">rank(I2069,I:I)</f>
        <v>1366</v>
      </c>
      <c r="P2069" s="163">
        <f t="shared" si="2073"/>
        <v>2079</v>
      </c>
      <c r="Q2069" s="163">
        <f t="shared" si="2073"/>
        <v>1321</v>
      </c>
      <c r="R2069" s="163">
        <f>IFERROR(__xludf.DUMMYFUNCTION("RANK(M2069,filter(M:M,C:C=C2069))"),222.0)</f>
        <v>222</v>
      </c>
      <c r="S2069" s="161" t="b">
        <f t="shared" si="5"/>
        <v>0</v>
      </c>
      <c r="T2069" s="161" t="b">
        <f t="array" ref="T2069">index('Query Tool'!B:B,match(H2069,'Query Tool'!C:C,0))</f>
        <v>1</v>
      </c>
      <c r="U2069" s="161" t="b">
        <f t="array" ref="U2069">index('Query Tool'!B:B,match(C2069,'Query Tool'!C:C,0))</f>
        <v>0</v>
      </c>
      <c r="V2069" s="161" t="b">
        <f>F2069&gt;='Query Tool'!C$32</f>
        <v>1</v>
      </c>
      <c r="W2069" s="161" t="b">
        <f t="array" ref="W2069">index(Dropdowns!B:B,match(I2069,Dropdowns!A:A,0))</f>
        <v>1</v>
      </c>
      <c r="X2069" s="161" t="b">
        <f t="array" ref="X2069">index('Query Tool'!B:B,match(D2069,'Query Tool'!C:C,0))</f>
        <v>1</v>
      </c>
      <c r="Y2069" s="161" t="str">
        <f t="shared" si="6"/>
        <v>monrogr01,2017-18</v>
      </c>
      <c r="Z2069" s="168">
        <f t="array" ref="Z2069">iferror(index(I:I,match($A2069&amp;","&amp;index('Year Conversion'!$A:$A,match($C2069,'Year Conversion'!$B:$B,0)),$Y:$Y,0))-I2069,"")</f>
        <v>1</v>
      </c>
      <c r="AA2069" s="168">
        <f t="array" ref="AA2069">iferror(index(J:J,match($A2069&amp;","&amp;index('Year Conversion'!$A:$A,match($C2069,'Year Conversion'!$B:$B,0)),$Y:$Y,0))-J2069,"")</f>
        <v>-0.5208037113</v>
      </c>
      <c r="AB2069" s="168">
        <f t="array" ref="AB2069">iferror(index(K:K,match($A2069&amp;","&amp;index('Year Conversion'!$A:$A,match($C2069,'Year Conversion'!$B:$B,0)),$Y:$Y,0))-K2069,"")</f>
        <v>-0.6020286558</v>
      </c>
      <c r="AC2069" s="168" t="str">
        <f t="shared" si="7"/>
        <v>TOT,2017-18</v>
      </c>
    </row>
    <row r="2070">
      <c r="A2070" s="161" t="str">
        <f>IFERROR(__xludf.DUMMYFUNCTION("""COMPUTED_VALUE"""),"aminual01")</f>
        <v>aminual01</v>
      </c>
      <c r="B2070" s="161" t="str">
        <f>IFERROR(__xludf.DUMMYFUNCTION("""COMPUTED_VALUE"""),"Al-Farouq Aminu")</f>
        <v>Al-Farouq Aminu</v>
      </c>
      <c r="C2070" s="162" t="str">
        <f>IFERROR(__xludf.DUMMYFUNCTION("""COMPUTED_VALUE"""),"2017-18")</f>
        <v>2017-18</v>
      </c>
      <c r="D2070" s="163" t="str">
        <f>IFERROR(__xludf.DUMMYFUNCTION("""COMPUTED_VALUE"""),"POR")</f>
        <v>POR</v>
      </c>
      <c r="E2070" s="164" t="str">
        <f>IFERROR(__xludf.DUMMYFUNCTION("""COMPUTED_VALUE"""),"Stationary Shooter")</f>
        <v>Stationary Shooter</v>
      </c>
      <c r="F2070" s="164">
        <f>IFERROR(__xludf.DUMMYFUNCTION("""COMPUTED_VALUE"""),2072.17166666667)</f>
        <v>2072.171667</v>
      </c>
      <c r="G2070" s="163">
        <f>IFERROR(__xludf.DUMMYFUNCTION("""COMPUTED_VALUE"""),69.0)</f>
        <v>69</v>
      </c>
      <c r="H2070" s="163" t="str">
        <f>IFERROR(__xludf.DUMMYFUNCTION("""COMPUTED_VALUE"""),"PF")</f>
        <v>PF</v>
      </c>
      <c r="I2070" s="163">
        <f>IFERROR(__xludf.DUMMYFUNCTION("""COMPUTED_VALUE"""),27.0)</f>
        <v>27</v>
      </c>
      <c r="J2070" s="165">
        <f>IFERROR(__xludf.DUMMYFUNCTION("""COMPUTED_VALUE"""),2.0858686989102)</f>
        <v>2.085868699</v>
      </c>
      <c r="K2070" s="165">
        <f>IFERROR(__xludf.DUMMYFUNCTION("""COMPUTED_VALUE"""),-0.0226592301330983)</f>
        <v>-0.02265923013</v>
      </c>
      <c r="L2070" s="165">
        <f>IFERROR(__xludf.DUMMYFUNCTION("""COMPUTED_VALUE"""),2.1085279290433)</f>
        <v>2.108527929</v>
      </c>
      <c r="M2070" s="166">
        <f t="shared" si="2"/>
        <v>6.091147567</v>
      </c>
      <c r="N2070" s="167">
        <f t="shared" si="3"/>
        <v>30.03147343</v>
      </c>
      <c r="O2070" s="163">
        <f t="shared" ref="O2070:Q2070" si="2074">rank(I2070,I:I)</f>
        <v>1366</v>
      </c>
      <c r="P2070" s="163">
        <f t="shared" si="2074"/>
        <v>296</v>
      </c>
      <c r="Q2070" s="163">
        <f t="shared" si="2074"/>
        <v>1228</v>
      </c>
      <c r="R2070" s="163">
        <f>IFERROR(__xludf.DUMMYFUNCTION("RANK(M2070,filter(M:M,C:C=C2070))"),39.0)</f>
        <v>39</v>
      </c>
      <c r="S2070" s="161" t="b">
        <f t="shared" si="5"/>
        <v>0</v>
      </c>
      <c r="T2070" s="161" t="b">
        <f t="array" ref="T2070">index('Query Tool'!B:B,match(H2070,'Query Tool'!C:C,0))</f>
        <v>1</v>
      </c>
      <c r="U2070" s="161" t="b">
        <f t="array" ref="U2070">index('Query Tool'!B:B,match(C2070,'Query Tool'!C:C,0))</f>
        <v>0</v>
      </c>
      <c r="V2070" s="161" t="b">
        <f>F2070&gt;='Query Tool'!C$32</f>
        <v>1</v>
      </c>
      <c r="W2070" s="161" t="b">
        <f t="array" ref="W2070">index(Dropdowns!B:B,match(I2070,Dropdowns!A:A,0))</f>
        <v>1</v>
      </c>
      <c r="X2070" s="161" t="b">
        <f t="array" ref="X2070">index('Query Tool'!B:B,match(D2070,'Query Tool'!C:C,0))</f>
        <v>1</v>
      </c>
      <c r="Y2070" s="161" t="str">
        <f t="shared" si="6"/>
        <v>aminual01,2017-18</v>
      </c>
      <c r="Z2070" s="168">
        <f t="array" ref="Z2070">iferror(index(I:I,match($A2070&amp;","&amp;index('Year Conversion'!$A:$A,match($C2070,'Year Conversion'!$B:$B,0)),$Y:$Y,0))-I2070,"")</f>
        <v>1</v>
      </c>
      <c r="AA2070" s="168">
        <f t="array" ref="AA2070">iferror(index(J:J,match($A2070&amp;","&amp;index('Year Conversion'!$A:$A,match($C2070,'Year Conversion'!$B:$B,0)),$Y:$Y,0))-J2070,"")</f>
        <v>0.04576070286</v>
      </c>
      <c r="AB2070" s="168">
        <f t="array" ref="AB2070">iferror(index(K:K,match($A2070&amp;","&amp;index('Year Conversion'!$A:$A,match($C2070,'Year Conversion'!$B:$B,0)),$Y:$Y,0))-K2070,"")</f>
        <v>0.402046386</v>
      </c>
      <c r="AC2070" s="168" t="str">
        <f t="shared" si="7"/>
        <v>POR,2017-18</v>
      </c>
    </row>
    <row r="2071">
      <c r="A2071" s="161" t="str">
        <f>IFERROR(__xludf.DUMMYFUNCTION("""COMPUTED_VALUE"""),"haywago01")</f>
        <v>haywago01</v>
      </c>
      <c r="B2071" s="161" t="str">
        <f>IFERROR(__xludf.DUMMYFUNCTION("""COMPUTED_VALUE"""),"Gordon Hayward")</f>
        <v>Gordon Hayward</v>
      </c>
      <c r="C2071" s="162" t="str">
        <f>IFERROR(__xludf.DUMMYFUNCTION("""COMPUTED_VALUE"""),"2017-18")</f>
        <v>2017-18</v>
      </c>
      <c r="D2071" s="163" t="str">
        <f>IFERROR(__xludf.DUMMYFUNCTION("""COMPUTED_VALUE"""),"BOS")</f>
        <v>BOS</v>
      </c>
      <c r="E2071" s="164" t="str">
        <f>IFERROR(__xludf.DUMMYFUNCTION("""COMPUTED_VALUE"""),"Stretch Big")</f>
        <v>Stretch Big</v>
      </c>
      <c r="F2071" s="164">
        <f>IFERROR(__xludf.DUMMYFUNCTION("""COMPUTED_VALUE"""),5.25)</f>
        <v>5.25</v>
      </c>
      <c r="G2071" s="163">
        <f>IFERROR(__xludf.DUMMYFUNCTION("""COMPUTED_VALUE"""),1.0)</f>
        <v>1</v>
      </c>
      <c r="H2071" s="163" t="str">
        <f>IFERROR(__xludf.DUMMYFUNCTION("""COMPUTED_VALUE"""),"SF")</f>
        <v>SF</v>
      </c>
      <c r="I2071" s="163">
        <f>IFERROR(__xludf.DUMMYFUNCTION("""COMPUTED_VALUE"""),27.0)</f>
        <v>27</v>
      </c>
      <c r="J2071" s="165">
        <f>IFERROR(__xludf.DUMMYFUNCTION("""COMPUTED_VALUE"""),-0.509686367026956)</f>
        <v>-0.509686367</v>
      </c>
      <c r="K2071" s="165">
        <f>IFERROR(__xludf.DUMMYFUNCTION("""COMPUTED_VALUE"""),-0.164687266199509)</f>
        <v>-0.1646872662</v>
      </c>
      <c r="L2071" s="165">
        <f>IFERROR(__xludf.DUMMYFUNCTION("""COMPUTED_VALUE"""),-0.344999100827446)</f>
        <v>-0.3449991008</v>
      </c>
      <c r="M2071" s="166">
        <f t="shared" si="2"/>
        <v>0.006290367633</v>
      </c>
      <c r="N2071" s="167">
        <f t="shared" si="3"/>
        <v>5.25</v>
      </c>
      <c r="O2071" s="163">
        <f t="shared" ref="O2071:Q2071" si="2075">rank(I2071,I:I)</f>
        <v>1366</v>
      </c>
      <c r="P2071" s="163">
        <f t="shared" si="2075"/>
        <v>1868</v>
      </c>
      <c r="Q2071" s="163">
        <f t="shared" si="2075"/>
        <v>1502</v>
      </c>
      <c r="R2071" s="163">
        <f>IFERROR(__xludf.DUMMYFUNCTION("RANK(M2071,filter(M:M,C:C=C2071))"),485.0)</f>
        <v>485</v>
      </c>
      <c r="S2071" s="161" t="b">
        <f t="shared" si="5"/>
        <v>0</v>
      </c>
      <c r="T2071" s="161" t="b">
        <f t="array" ref="T2071">index('Query Tool'!B:B,match(H2071,'Query Tool'!C:C,0))</f>
        <v>1</v>
      </c>
      <c r="U2071" s="161" t="b">
        <f t="array" ref="U2071">index('Query Tool'!B:B,match(C2071,'Query Tool'!C:C,0))</f>
        <v>0</v>
      </c>
      <c r="V2071" s="161" t="b">
        <f>F2071&gt;='Query Tool'!C$32</f>
        <v>0</v>
      </c>
      <c r="W2071" s="161" t="b">
        <f t="array" ref="W2071">index(Dropdowns!B:B,match(I2071,Dropdowns!A:A,0))</f>
        <v>1</v>
      </c>
      <c r="X2071" s="161" t="b">
        <f t="array" ref="X2071">index('Query Tool'!B:B,match(D2071,'Query Tool'!C:C,0))</f>
        <v>1</v>
      </c>
      <c r="Y2071" s="161" t="str">
        <f t="shared" si="6"/>
        <v>haywago01,2017-18</v>
      </c>
      <c r="Z2071" s="168">
        <f t="array" ref="Z2071">iferror(index(I:I,match($A2071&amp;","&amp;index('Year Conversion'!$A:$A,match($C2071,'Year Conversion'!$B:$B,0)),$Y:$Y,0))-I2071,"")</f>
        <v>1</v>
      </c>
      <c r="AA2071" s="168">
        <f t="array" ref="AA2071">iferror(index(J:J,match($A2071&amp;","&amp;index('Year Conversion'!$A:$A,match($C2071,'Year Conversion'!$B:$B,0)),$Y:$Y,0))-J2071,"")</f>
        <v>0.5559487606</v>
      </c>
      <c r="AB2071" s="168">
        <f t="array" ref="AB2071">iferror(index(K:K,match($A2071&amp;","&amp;index('Year Conversion'!$A:$A,match($C2071,'Year Conversion'!$B:$B,0)),$Y:$Y,0))-K2071,"")</f>
        <v>0.6944414054</v>
      </c>
      <c r="AC2071" s="168" t="str">
        <f t="shared" si="7"/>
        <v>BOS,2017-18</v>
      </c>
    </row>
    <row r="2072">
      <c r="A2072" s="161" t="str">
        <f>IFERROR(__xludf.DUMMYFUNCTION("""COMPUTED_VALUE"""),"georgpa01")</f>
        <v>georgpa01</v>
      </c>
      <c r="B2072" s="161" t="str">
        <f>IFERROR(__xludf.DUMMYFUNCTION("""COMPUTED_VALUE"""),"Paul George")</f>
        <v>Paul George</v>
      </c>
      <c r="C2072" s="162" t="str">
        <f>IFERROR(__xludf.DUMMYFUNCTION("""COMPUTED_VALUE"""),"2017-18")</f>
        <v>2017-18</v>
      </c>
      <c r="D2072" s="163" t="str">
        <f>IFERROR(__xludf.DUMMYFUNCTION("""COMPUTED_VALUE"""),"OKC")</f>
        <v>OKC</v>
      </c>
      <c r="E2072" s="164" t="str">
        <f>IFERROR(__xludf.DUMMYFUNCTION("""COMPUTED_VALUE"""),"Secondary Ball Handler")</f>
        <v>Secondary Ball Handler</v>
      </c>
      <c r="F2072" s="164">
        <f>IFERROR(__xludf.DUMMYFUNCTION("""COMPUTED_VALUE"""),2890.73833333333)</f>
        <v>2890.738333</v>
      </c>
      <c r="G2072" s="163">
        <f>IFERROR(__xludf.DUMMYFUNCTION("""COMPUTED_VALUE"""),79.0)</f>
        <v>79</v>
      </c>
      <c r="H2072" s="163" t="str">
        <f>IFERROR(__xludf.DUMMYFUNCTION("""COMPUTED_VALUE"""),"SF")</f>
        <v>SF</v>
      </c>
      <c r="I2072" s="163">
        <f>IFERROR(__xludf.DUMMYFUNCTION("""COMPUTED_VALUE"""),27.0)</f>
        <v>27</v>
      </c>
      <c r="J2072" s="165">
        <f>IFERROR(__xludf.DUMMYFUNCTION("""COMPUTED_VALUE"""),2.3441390735568)</f>
        <v>2.344139074</v>
      </c>
      <c r="K2072" s="165">
        <f>IFERROR(__xludf.DUMMYFUNCTION("""COMPUTED_VALUE"""),1.4574605201094)</f>
        <v>1.45746052</v>
      </c>
      <c r="L2072" s="165">
        <f>IFERROR(__xludf.DUMMYFUNCTION("""COMPUTED_VALUE"""),0.886678553447406)</f>
        <v>0.8866785534</v>
      </c>
      <c r="M2072" s="166">
        <f t="shared" si="2"/>
        <v>8.990504384</v>
      </c>
      <c r="N2072" s="167">
        <f t="shared" si="3"/>
        <v>36.59162447</v>
      </c>
      <c r="O2072" s="163">
        <f t="shared" ref="O2072:Q2072" si="2076">rank(I2072,I:I)</f>
        <v>1366</v>
      </c>
      <c r="P2072" s="163">
        <f t="shared" si="2076"/>
        <v>251</v>
      </c>
      <c r="Q2072" s="163">
        <f t="shared" si="2076"/>
        <v>334</v>
      </c>
      <c r="R2072" s="163">
        <f>IFERROR(__xludf.DUMMYFUNCTION("RANK(M2072,filter(M:M,C:C=C2072))"),17.0)</f>
        <v>17</v>
      </c>
      <c r="S2072" s="161" t="b">
        <f t="shared" si="5"/>
        <v>0</v>
      </c>
      <c r="T2072" s="161" t="b">
        <f t="array" ref="T2072">index('Query Tool'!B:B,match(H2072,'Query Tool'!C:C,0))</f>
        <v>1</v>
      </c>
      <c r="U2072" s="161" t="b">
        <f t="array" ref="U2072">index('Query Tool'!B:B,match(C2072,'Query Tool'!C:C,0))</f>
        <v>0</v>
      </c>
      <c r="V2072" s="161" t="b">
        <f>F2072&gt;='Query Tool'!C$32</f>
        <v>1</v>
      </c>
      <c r="W2072" s="161" t="b">
        <f t="array" ref="W2072">index(Dropdowns!B:B,match(I2072,Dropdowns!A:A,0))</f>
        <v>1</v>
      </c>
      <c r="X2072" s="161" t="b">
        <f t="array" ref="X2072">index('Query Tool'!B:B,match(D2072,'Query Tool'!C:C,0))</f>
        <v>1</v>
      </c>
      <c r="Y2072" s="161" t="str">
        <f t="shared" si="6"/>
        <v>georgpa01,2017-18</v>
      </c>
      <c r="Z2072" s="168">
        <f t="array" ref="Z2072">iferror(index(I:I,match($A2072&amp;","&amp;index('Year Conversion'!$A:$A,match($C2072,'Year Conversion'!$B:$B,0)),$Y:$Y,0))-I2072,"")</f>
        <v>1</v>
      </c>
      <c r="AA2072" s="168">
        <f t="array" ref="AA2072">iferror(index(J:J,match($A2072&amp;","&amp;index('Year Conversion'!$A:$A,match($C2072,'Year Conversion'!$B:$B,0)),$Y:$Y,0))-J2072,"")</f>
        <v>3.113757256</v>
      </c>
      <c r="AB2072" s="168">
        <f t="array" ref="AB2072">iferror(index(K:K,match($A2072&amp;","&amp;index('Year Conversion'!$A:$A,match($C2072,'Year Conversion'!$B:$B,0)),$Y:$Y,0))-K2072,"")</f>
        <v>2.671244182</v>
      </c>
      <c r="AC2072" s="168" t="str">
        <f t="shared" si="7"/>
        <v>OKC,2017-18</v>
      </c>
    </row>
    <row r="2073">
      <c r="A2073" s="161" t="str">
        <f>IFERROR(__xludf.DUMMYFUNCTION("""COMPUTED_VALUE"""),"aldrico01")</f>
        <v>aldrico01</v>
      </c>
      <c r="B2073" s="161" t="str">
        <f>IFERROR(__xludf.DUMMYFUNCTION("""COMPUTED_VALUE"""),"Cole Aldrich")</f>
        <v>Cole Aldrich</v>
      </c>
      <c r="C2073" s="162" t="str">
        <f>IFERROR(__xludf.DUMMYFUNCTION("""COMPUTED_VALUE"""),"2017-18")</f>
        <v>2017-18</v>
      </c>
      <c r="D2073" s="163" t="str">
        <f>IFERROR(__xludf.DUMMYFUNCTION("""COMPUTED_VALUE"""),"MIN")</f>
        <v>MIN</v>
      </c>
      <c r="E2073" s="164" t="str">
        <f>IFERROR(__xludf.DUMMYFUNCTION("""COMPUTED_VALUE"""),"Post Scorer")</f>
        <v>Post Scorer</v>
      </c>
      <c r="F2073" s="164">
        <f>IFERROR(__xludf.DUMMYFUNCTION("""COMPUTED_VALUE"""),48.6983333333334)</f>
        <v>48.69833333</v>
      </c>
      <c r="G2073" s="163">
        <f>IFERROR(__xludf.DUMMYFUNCTION("""COMPUTED_VALUE"""),21.0)</f>
        <v>21</v>
      </c>
      <c r="H2073" s="163" t="str">
        <f>IFERROR(__xludf.DUMMYFUNCTION("""COMPUTED_VALUE"""),"C")</f>
        <v>C</v>
      </c>
      <c r="I2073" s="163">
        <f>IFERROR(__xludf.DUMMYFUNCTION("""COMPUTED_VALUE"""),29.0)</f>
        <v>29</v>
      </c>
      <c r="J2073" s="165">
        <f>IFERROR(__xludf.DUMMYFUNCTION("""COMPUTED_VALUE"""),-0.738553072695437)</f>
        <v>-0.7385530727</v>
      </c>
      <c r="K2073" s="165">
        <f>IFERROR(__xludf.DUMMYFUNCTION("""COMPUTED_VALUE"""),-0.534771595541329)</f>
        <v>-0.5347715955</v>
      </c>
      <c r="L2073" s="165">
        <f>IFERROR(__xludf.DUMMYFUNCTION("""COMPUTED_VALUE"""),-0.203781477154108)</f>
        <v>-0.2037814772</v>
      </c>
      <c r="M2073" s="166">
        <f t="shared" si="2"/>
        <v>0.05084683874</v>
      </c>
      <c r="N2073" s="167">
        <f t="shared" si="3"/>
        <v>2.318968254</v>
      </c>
      <c r="O2073" s="163">
        <f t="shared" ref="O2073:Q2073" si="2077">rank(I2073,I:I)</f>
        <v>855</v>
      </c>
      <c r="P2073" s="163">
        <f t="shared" si="2077"/>
        <v>2199</v>
      </c>
      <c r="Q2073" s="163">
        <f t="shared" si="2077"/>
        <v>2163</v>
      </c>
      <c r="R2073" s="163">
        <f>IFERROR(__xludf.DUMMYFUNCTION("RANK(M2073,filter(M:M,C:C=C2073))"),428.0)</f>
        <v>428</v>
      </c>
      <c r="S2073" s="161" t="b">
        <f t="shared" si="5"/>
        <v>0</v>
      </c>
      <c r="T2073" s="161" t="b">
        <f t="array" ref="T2073">index('Query Tool'!B:B,match(H2073,'Query Tool'!C:C,0))</f>
        <v>1</v>
      </c>
      <c r="U2073" s="161" t="b">
        <f t="array" ref="U2073">index('Query Tool'!B:B,match(C2073,'Query Tool'!C:C,0))</f>
        <v>0</v>
      </c>
      <c r="V2073" s="161" t="b">
        <f>F2073&gt;='Query Tool'!C$32</f>
        <v>0</v>
      </c>
      <c r="W2073" s="161" t="b">
        <f t="array" ref="W2073">index(Dropdowns!B:B,match(I2073,Dropdowns!A:A,0))</f>
        <v>1</v>
      </c>
      <c r="X2073" s="161" t="b">
        <f t="array" ref="X2073">index('Query Tool'!B:B,match(D2073,'Query Tool'!C:C,0))</f>
        <v>1</v>
      </c>
      <c r="Y2073" s="161" t="str">
        <f t="shared" si="6"/>
        <v>aldrico01,2017-18</v>
      </c>
      <c r="Z2073" s="168" t="str">
        <f t="array" ref="Z2073">iferror(index(I:I,match($A2073&amp;","&amp;index('Year Conversion'!$A:$A,match($C2073,'Year Conversion'!$B:$B,0)),$Y:$Y,0))-I2073,"")</f>
        <v/>
      </c>
      <c r="AA2073" s="168" t="str">
        <f t="array" ref="AA2073">iferror(index(J:J,match($A2073&amp;","&amp;index('Year Conversion'!$A:$A,match($C2073,'Year Conversion'!$B:$B,0)),$Y:$Y,0))-J2073,"")</f>
        <v/>
      </c>
      <c r="AB2073" s="168" t="str">
        <f t="array" ref="AB2073">iferror(index(K:K,match($A2073&amp;","&amp;index('Year Conversion'!$A:$A,match($C2073,'Year Conversion'!$B:$B,0)),$Y:$Y,0))-K2073,"")</f>
        <v/>
      </c>
      <c r="AC2073" s="168" t="str">
        <f t="shared" si="7"/>
        <v>MIN,2017-18</v>
      </c>
    </row>
    <row r="2074">
      <c r="A2074" s="161" t="str">
        <f>IFERROR(__xludf.DUMMYFUNCTION("""COMPUTED_VALUE"""),"davised01")</f>
        <v>davised01</v>
      </c>
      <c r="B2074" s="161" t="str">
        <f>IFERROR(__xludf.DUMMYFUNCTION("""COMPUTED_VALUE"""),"Ed Davis")</f>
        <v>Ed Davis</v>
      </c>
      <c r="C2074" s="162" t="str">
        <f>IFERROR(__xludf.DUMMYFUNCTION("""COMPUTED_VALUE"""),"2017-18")</f>
        <v>2017-18</v>
      </c>
      <c r="D2074" s="163" t="str">
        <f>IFERROR(__xludf.DUMMYFUNCTION("""COMPUTED_VALUE"""),"POR")</f>
        <v>POR</v>
      </c>
      <c r="E2074" s="164" t="str">
        <f>IFERROR(__xludf.DUMMYFUNCTION("""COMPUTED_VALUE"""),"Roll + Cut Big")</f>
        <v>Roll + Cut Big</v>
      </c>
      <c r="F2074" s="164">
        <f>IFERROR(__xludf.DUMMYFUNCTION("""COMPUTED_VALUE"""),1470.885)</f>
        <v>1470.885</v>
      </c>
      <c r="G2074" s="163">
        <f>IFERROR(__xludf.DUMMYFUNCTION("""COMPUTED_VALUE"""),78.0)</f>
        <v>78</v>
      </c>
      <c r="H2074" s="163" t="str">
        <f>IFERROR(__xludf.DUMMYFUNCTION("""COMPUTED_VALUE"""),"C")</f>
        <v>C</v>
      </c>
      <c r="I2074" s="163">
        <f>IFERROR(__xludf.DUMMYFUNCTION("""COMPUTED_VALUE"""),28.0)</f>
        <v>28</v>
      </c>
      <c r="J2074" s="165">
        <f>IFERROR(__xludf.DUMMYFUNCTION("""COMPUTED_VALUE"""),-0.448255828689511)</f>
        <v>-0.4482558287</v>
      </c>
      <c r="K2074" s="165">
        <f>IFERROR(__xludf.DUMMYFUNCTION("""COMPUTED_VALUE"""),-1.6476421038381)</f>
        <v>-1.647642104</v>
      </c>
      <c r="L2074" s="165">
        <f>IFERROR(__xludf.DUMMYFUNCTION("""COMPUTED_VALUE"""),1.19938627514859)</f>
        <v>1.199386275</v>
      </c>
      <c r="M2074" s="166">
        <f t="shared" si="2"/>
        <v>1.823222971</v>
      </c>
      <c r="N2074" s="167">
        <f t="shared" si="3"/>
        <v>18.8575</v>
      </c>
      <c r="O2074" s="163">
        <f t="shared" ref="O2074:Q2074" si="2078">rank(I2074,I:I)</f>
        <v>1090</v>
      </c>
      <c r="P2074" s="163">
        <f t="shared" si="2078"/>
        <v>1773</v>
      </c>
      <c r="Q2074" s="163">
        <f t="shared" si="2078"/>
        <v>3480</v>
      </c>
      <c r="R2074" s="163">
        <f>IFERROR(__xludf.DUMMYFUNCTION("RANK(M2074,filter(M:M,C:C=C2074))"),168.0)</f>
        <v>168</v>
      </c>
      <c r="S2074" s="161" t="b">
        <f t="shared" si="5"/>
        <v>0</v>
      </c>
      <c r="T2074" s="161" t="b">
        <f t="array" ref="T2074">index('Query Tool'!B:B,match(H2074,'Query Tool'!C:C,0))</f>
        <v>1</v>
      </c>
      <c r="U2074" s="161" t="b">
        <f t="array" ref="U2074">index('Query Tool'!B:B,match(C2074,'Query Tool'!C:C,0))</f>
        <v>0</v>
      </c>
      <c r="V2074" s="161" t="b">
        <f>F2074&gt;='Query Tool'!C$32</f>
        <v>1</v>
      </c>
      <c r="W2074" s="161" t="b">
        <f t="array" ref="W2074">index(Dropdowns!B:B,match(I2074,Dropdowns!A:A,0))</f>
        <v>1</v>
      </c>
      <c r="X2074" s="161" t="b">
        <f t="array" ref="X2074">index('Query Tool'!B:B,match(D2074,'Query Tool'!C:C,0))</f>
        <v>1</v>
      </c>
      <c r="Y2074" s="161" t="str">
        <f t="shared" si="6"/>
        <v>davised01,2017-18</v>
      </c>
      <c r="Z2074" s="168">
        <f t="array" ref="Z2074">iferror(index(I:I,match($A2074&amp;","&amp;index('Year Conversion'!$A:$A,match($C2074,'Year Conversion'!$B:$B,0)),$Y:$Y,0))-I2074,"")</f>
        <v>1</v>
      </c>
      <c r="AA2074" s="168">
        <f t="array" ref="AA2074">iferror(index(J:J,match($A2074&amp;","&amp;index('Year Conversion'!$A:$A,match($C2074,'Year Conversion'!$B:$B,0)),$Y:$Y,0))-J2074,"")</f>
        <v>0.7235347217</v>
      </c>
      <c r="AB2074" s="168">
        <f t="array" ref="AB2074">iferror(index(K:K,match($A2074&amp;","&amp;index('Year Conversion'!$A:$A,match($C2074,'Year Conversion'!$B:$B,0)),$Y:$Y,0))-K2074,"")</f>
        <v>0.01003866221</v>
      </c>
      <c r="AC2074" s="168" t="str">
        <f t="shared" si="7"/>
        <v>POR,2017-18</v>
      </c>
    </row>
    <row r="2075">
      <c r="A2075" s="161" t="str">
        <f>IFERROR(__xludf.DUMMYFUNCTION("""COMPUTED_VALUE"""),"pattepa01")</f>
        <v>pattepa01</v>
      </c>
      <c r="B2075" s="161" t="str">
        <f>IFERROR(__xludf.DUMMYFUNCTION("""COMPUTED_VALUE"""),"Patrick Patterson")</f>
        <v>Patrick Patterson</v>
      </c>
      <c r="C2075" s="162" t="str">
        <f>IFERROR(__xludf.DUMMYFUNCTION("""COMPUTED_VALUE"""),"2017-18")</f>
        <v>2017-18</v>
      </c>
      <c r="D2075" s="163" t="str">
        <f>IFERROR(__xludf.DUMMYFUNCTION("""COMPUTED_VALUE"""),"OKC")</f>
        <v>OKC</v>
      </c>
      <c r="E2075" s="164" t="str">
        <f>IFERROR(__xludf.DUMMYFUNCTION("""COMPUTED_VALUE"""),"Stretch Big")</f>
        <v>Stretch Big</v>
      </c>
      <c r="F2075" s="164">
        <f>IFERROR(__xludf.DUMMYFUNCTION("""COMPUTED_VALUE"""),1269.91833333333)</f>
        <v>1269.918333</v>
      </c>
      <c r="G2075" s="163">
        <f>IFERROR(__xludf.DUMMYFUNCTION("""COMPUTED_VALUE"""),82.0)</f>
        <v>82</v>
      </c>
      <c r="H2075" s="163" t="str">
        <f>IFERROR(__xludf.DUMMYFUNCTION("""COMPUTED_VALUE"""),"PF")</f>
        <v>PF</v>
      </c>
      <c r="I2075" s="163">
        <f>IFERROR(__xludf.DUMMYFUNCTION("""COMPUTED_VALUE"""),28.0)</f>
        <v>28</v>
      </c>
      <c r="J2075" s="165">
        <f>IFERROR(__xludf.DUMMYFUNCTION("""COMPUTED_VALUE"""),-1.44628197503959)</f>
        <v>-1.446281975</v>
      </c>
      <c r="K2075" s="165">
        <f>IFERROR(__xludf.DUMMYFUNCTION("""COMPUTED_VALUE"""),-1.68377668921375)</f>
        <v>-1.683776689</v>
      </c>
      <c r="L2075" s="165">
        <f>IFERROR(__xludf.DUMMYFUNCTION("""COMPUTED_VALUE"""),0.237494714174164)</f>
        <v>0.2374947142</v>
      </c>
      <c r="M2075" s="166">
        <f t="shared" si="2"/>
        <v>0.7231189433</v>
      </c>
      <c r="N2075" s="167">
        <f t="shared" si="3"/>
        <v>15.48680894</v>
      </c>
      <c r="O2075" s="163">
        <f t="shared" ref="O2075:Q2075" si="2079">rank(I2075,I:I)</f>
        <v>1090</v>
      </c>
      <c r="P2075" s="163">
        <f t="shared" si="2079"/>
        <v>3004</v>
      </c>
      <c r="Q2075" s="163">
        <f t="shared" si="2079"/>
        <v>3509</v>
      </c>
      <c r="R2075" s="163">
        <f>IFERROR(__xludf.DUMMYFUNCTION("RANK(M2075,filter(M:M,C:C=C2075))"),267.0)</f>
        <v>267</v>
      </c>
      <c r="S2075" s="161" t="b">
        <f t="shared" si="5"/>
        <v>0</v>
      </c>
      <c r="T2075" s="161" t="b">
        <f t="array" ref="T2075">index('Query Tool'!B:B,match(H2075,'Query Tool'!C:C,0))</f>
        <v>1</v>
      </c>
      <c r="U2075" s="161" t="b">
        <f t="array" ref="U2075">index('Query Tool'!B:B,match(C2075,'Query Tool'!C:C,0))</f>
        <v>0</v>
      </c>
      <c r="V2075" s="161" t="b">
        <f>F2075&gt;='Query Tool'!C$32</f>
        <v>1</v>
      </c>
      <c r="W2075" s="161" t="b">
        <f t="array" ref="W2075">index(Dropdowns!B:B,match(I2075,Dropdowns!A:A,0))</f>
        <v>1</v>
      </c>
      <c r="X2075" s="161" t="b">
        <f t="array" ref="X2075">index('Query Tool'!B:B,match(D2075,'Query Tool'!C:C,0))</f>
        <v>1</v>
      </c>
      <c r="Y2075" s="161" t="str">
        <f t="shared" si="6"/>
        <v>pattepa01,2017-18</v>
      </c>
      <c r="Z2075" s="168">
        <f t="array" ref="Z2075">iferror(index(I:I,match($A2075&amp;","&amp;index('Year Conversion'!$A:$A,match($C2075,'Year Conversion'!$B:$B,0)),$Y:$Y,0))-I2075,"")</f>
        <v>1</v>
      </c>
      <c r="AA2075" s="168">
        <f t="array" ref="AA2075">iferror(index(J:J,match($A2075&amp;","&amp;index('Year Conversion'!$A:$A,match($C2075,'Year Conversion'!$B:$B,0)),$Y:$Y,0))-J2075,"")</f>
        <v>-1.308543392</v>
      </c>
      <c r="AB2075" s="168">
        <f t="array" ref="AB2075">iferror(index(K:K,match($A2075&amp;","&amp;index('Year Conversion'!$A:$A,match($C2075,'Year Conversion'!$B:$B,0)),$Y:$Y,0))-K2075,"")</f>
        <v>0.1195494733</v>
      </c>
      <c r="AC2075" s="168" t="str">
        <f t="shared" si="7"/>
        <v>OKC,2017-18</v>
      </c>
    </row>
    <row r="2076">
      <c r="A2076" s="161" t="str">
        <f>IFERROR(__xludf.DUMMYFUNCTION("""COMPUTED_VALUE"""),"babbilu01")</f>
        <v>babbilu01</v>
      </c>
      <c r="B2076" s="161" t="str">
        <f>IFERROR(__xludf.DUMMYFUNCTION("""COMPUTED_VALUE"""),"Luke Babbitt")</f>
        <v>Luke Babbitt</v>
      </c>
      <c r="C2076" s="162" t="str">
        <f>IFERROR(__xludf.DUMMYFUNCTION("""COMPUTED_VALUE"""),"2017-18")</f>
        <v>2017-18</v>
      </c>
      <c r="D2076" s="163" t="str">
        <f>IFERROR(__xludf.DUMMYFUNCTION("""COMPUTED_VALUE"""),"TOT")</f>
        <v>TOT</v>
      </c>
      <c r="E2076" s="164" t="str">
        <f>IFERROR(__xludf.DUMMYFUNCTION("""COMPUTED_VALUE"""),"Stationary Shooter")</f>
        <v>Stationary Shooter</v>
      </c>
      <c r="F2076" s="164">
        <f>IFERROR(__xludf.DUMMYFUNCTION("""COMPUTED_VALUE"""),714.753333333333)</f>
        <v>714.7533333</v>
      </c>
      <c r="G2076" s="163">
        <f>IFERROR(__xludf.DUMMYFUNCTION("""COMPUTED_VALUE"""),50.0)</f>
        <v>50</v>
      </c>
      <c r="H2076" s="163" t="str">
        <f>IFERROR(__xludf.DUMMYFUNCTION("""COMPUTED_VALUE"""),"SF")</f>
        <v>SF</v>
      </c>
      <c r="I2076" s="163">
        <f>IFERROR(__xludf.DUMMYFUNCTION("""COMPUTED_VALUE"""),28.0)</f>
        <v>28</v>
      </c>
      <c r="J2076" s="165">
        <f>IFERROR(__xludf.DUMMYFUNCTION("""COMPUTED_VALUE"""),-1.86733938615711)</f>
        <v>-1.867339386</v>
      </c>
      <c r="K2076" s="165">
        <f>IFERROR(__xludf.DUMMYFUNCTION("""COMPUTED_VALUE"""),-0.968029580066571)</f>
        <v>-0.9680295801</v>
      </c>
      <c r="L2076" s="165">
        <f>IFERROR(__xludf.DUMMYFUNCTION("""COMPUTED_VALUE"""),-0.899309806090537)</f>
        <v>-0.8993098061</v>
      </c>
      <c r="M2076" s="166">
        <f t="shared" si="2"/>
        <v>0.2064126385</v>
      </c>
      <c r="N2076" s="167">
        <f t="shared" si="3"/>
        <v>14.29506667</v>
      </c>
      <c r="O2076" s="163">
        <f t="shared" ref="O2076:Q2076" si="2080">rank(I2076,I:I)</f>
        <v>1090</v>
      </c>
      <c r="P2076" s="163">
        <f t="shared" si="2080"/>
        <v>3392</v>
      </c>
      <c r="Q2076" s="163">
        <f t="shared" si="2080"/>
        <v>2766</v>
      </c>
      <c r="R2076" s="163">
        <f>IFERROR(__xludf.DUMMYFUNCTION("RANK(M2076,filter(M:M,C:C=C2076))"),342.0)</f>
        <v>342</v>
      </c>
      <c r="S2076" s="161" t="b">
        <f t="shared" si="5"/>
        <v>0</v>
      </c>
      <c r="T2076" s="161" t="b">
        <f t="array" ref="T2076">index('Query Tool'!B:B,match(H2076,'Query Tool'!C:C,0))</f>
        <v>1</v>
      </c>
      <c r="U2076" s="161" t="b">
        <f t="array" ref="U2076">index('Query Tool'!B:B,match(C2076,'Query Tool'!C:C,0))</f>
        <v>0</v>
      </c>
      <c r="V2076" s="161" t="b">
        <f>F2076&gt;='Query Tool'!C$32</f>
        <v>1</v>
      </c>
      <c r="W2076" s="161" t="b">
        <f t="array" ref="W2076">index(Dropdowns!B:B,match(I2076,Dropdowns!A:A,0))</f>
        <v>1</v>
      </c>
      <c r="X2076" s="161" t="b">
        <f t="array" ref="X2076">index('Query Tool'!B:B,match(D2076,'Query Tool'!C:C,0))</f>
        <v>1</v>
      </c>
      <c r="Y2076" s="161" t="str">
        <f t="shared" si="6"/>
        <v>babbilu01,2017-18</v>
      </c>
      <c r="Z2076" s="168" t="str">
        <f t="array" ref="Z2076">iferror(index(I:I,match($A2076&amp;","&amp;index('Year Conversion'!$A:$A,match($C2076,'Year Conversion'!$B:$B,0)),$Y:$Y,0))-I2076,"")</f>
        <v/>
      </c>
      <c r="AA2076" s="168" t="str">
        <f t="array" ref="AA2076">iferror(index(J:J,match($A2076&amp;","&amp;index('Year Conversion'!$A:$A,match($C2076,'Year Conversion'!$B:$B,0)),$Y:$Y,0))-J2076,"")</f>
        <v/>
      </c>
      <c r="AB2076" s="168" t="str">
        <f t="array" ref="AB2076">iferror(index(K:K,match($A2076&amp;","&amp;index('Year Conversion'!$A:$A,match($C2076,'Year Conversion'!$B:$B,0)),$Y:$Y,0))-K2076,"")</f>
        <v/>
      </c>
      <c r="AC2076" s="168" t="str">
        <f t="shared" si="7"/>
        <v>TOT,2017-18</v>
      </c>
    </row>
    <row r="2077">
      <c r="A2077" s="161" t="str">
        <f>IFERROR(__xludf.DUMMYFUNCTION("""COMPUTED_VALUE"""),"bledser01")</f>
        <v>bledser01</v>
      </c>
      <c r="B2077" s="161" t="str">
        <f>IFERROR(__xludf.DUMMYFUNCTION("""COMPUTED_VALUE"""),"Eric Bledsoe")</f>
        <v>Eric Bledsoe</v>
      </c>
      <c r="C2077" s="162" t="str">
        <f>IFERROR(__xludf.DUMMYFUNCTION("""COMPUTED_VALUE"""),"2017-18")</f>
        <v>2017-18</v>
      </c>
      <c r="D2077" s="163" t="str">
        <f>IFERROR(__xludf.DUMMYFUNCTION("""COMPUTED_VALUE"""),"TOT")</f>
        <v>TOT</v>
      </c>
      <c r="E2077" s="164" t="str">
        <f>IFERROR(__xludf.DUMMYFUNCTION("""COMPUTED_VALUE"""),"Primary Ball Handler")</f>
        <v>Primary Ball Handler</v>
      </c>
      <c r="F2077" s="164">
        <f>IFERROR(__xludf.DUMMYFUNCTION("""COMPUTED_VALUE"""),2321.61333333333)</f>
        <v>2321.613333</v>
      </c>
      <c r="G2077" s="163">
        <f>IFERROR(__xludf.DUMMYFUNCTION("""COMPUTED_VALUE"""),74.0)</f>
        <v>74</v>
      </c>
      <c r="H2077" s="163" t="str">
        <f>IFERROR(__xludf.DUMMYFUNCTION("""COMPUTED_VALUE"""),"PG")</f>
        <v>PG</v>
      </c>
      <c r="I2077" s="163">
        <f>IFERROR(__xludf.DUMMYFUNCTION("""COMPUTED_VALUE"""),28.0)</f>
        <v>28</v>
      </c>
      <c r="J2077" s="165">
        <f>IFERROR(__xludf.DUMMYFUNCTION("""COMPUTED_VALUE"""),2.41140708052669)</f>
        <v>2.411407081</v>
      </c>
      <c r="K2077" s="165">
        <f>IFERROR(__xludf.DUMMYFUNCTION("""COMPUTED_VALUE"""),2.02318599299736)</f>
        <v>2.023185993</v>
      </c>
      <c r="L2077" s="165">
        <f>IFERROR(__xludf.DUMMYFUNCTION("""COMPUTED_VALUE"""),0.388221087529335)</f>
        <v>0.3882210875</v>
      </c>
      <c r="M2077" s="166">
        <f t="shared" si="2"/>
        <v>7.323310748</v>
      </c>
      <c r="N2077" s="167">
        <f t="shared" si="3"/>
        <v>31.37315315</v>
      </c>
      <c r="O2077" s="163">
        <f t="shared" ref="O2077:Q2077" si="2081">rank(I2077,I:I)</f>
        <v>1090</v>
      </c>
      <c r="P2077" s="163">
        <f t="shared" si="2081"/>
        <v>237</v>
      </c>
      <c r="Q2077" s="163">
        <f t="shared" si="2081"/>
        <v>224</v>
      </c>
      <c r="R2077" s="163">
        <f>IFERROR(__xludf.DUMMYFUNCTION("RANK(M2077,filter(M:M,C:C=C2077))"),29.0)</f>
        <v>29</v>
      </c>
      <c r="S2077" s="161" t="b">
        <f t="shared" si="5"/>
        <v>0</v>
      </c>
      <c r="T2077" s="161" t="b">
        <f t="array" ref="T2077">index('Query Tool'!B:B,match(H2077,'Query Tool'!C:C,0))</f>
        <v>1</v>
      </c>
      <c r="U2077" s="161" t="b">
        <f t="array" ref="U2077">index('Query Tool'!B:B,match(C2077,'Query Tool'!C:C,0))</f>
        <v>0</v>
      </c>
      <c r="V2077" s="161" t="b">
        <f>F2077&gt;='Query Tool'!C$32</f>
        <v>1</v>
      </c>
      <c r="W2077" s="161" t="b">
        <f t="array" ref="W2077">index(Dropdowns!B:B,match(I2077,Dropdowns!A:A,0))</f>
        <v>1</v>
      </c>
      <c r="X2077" s="161" t="b">
        <f t="array" ref="X2077">index('Query Tool'!B:B,match(D2077,'Query Tool'!C:C,0))</f>
        <v>1</v>
      </c>
      <c r="Y2077" s="161" t="str">
        <f t="shared" si="6"/>
        <v>bledser01,2017-18</v>
      </c>
      <c r="Z2077" s="168">
        <f t="array" ref="Z2077">iferror(index(I:I,match($A2077&amp;","&amp;index('Year Conversion'!$A:$A,match($C2077,'Year Conversion'!$B:$B,0)),$Y:$Y,0))-I2077,"")</f>
        <v>1</v>
      </c>
      <c r="AA2077" s="168">
        <f t="array" ref="AA2077">iferror(index(J:J,match($A2077&amp;","&amp;index('Year Conversion'!$A:$A,match($C2077,'Year Conversion'!$B:$B,0)),$Y:$Y,0))-J2077,"")</f>
        <v>1.172687897</v>
      </c>
      <c r="AB2077" s="168">
        <f t="array" ref="AB2077">iferror(index(K:K,match($A2077&amp;","&amp;index('Year Conversion'!$A:$A,match($C2077,'Year Conversion'!$B:$B,0)),$Y:$Y,0))-K2077,"")</f>
        <v>-0.2032328911</v>
      </c>
      <c r="AC2077" s="168" t="str">
        <f t="shared" si="7"/>
        <v>TOT,2017-18</v>
      </c>
    </row>
    <row r="2078">
      <c r="A2078" s="161" t="str">
        <f>IFERROR(__xludf.DUMMYFUNCTION("""COMPUTED_VALUE"""),"bradlav01")</f>
        <v>bradlav01</v>
      </c>
      <c r="B2078" s="161" t="str">
        <f>IFERROR(__xludf.DUMMYFUNCTION("""COMPUTED_VALUE"""),"Avery Bradley")</f>
        <v>Avery Bradley</v>
      </c>
      <c r="C2078" s="162" t="str">
        <f>IFERROR(__xludf.DUMMYFUNCTION("""COMPUTED_VALUE"""),"2017-18")</f>
        <v>2017-18</v>
      </c>
      <c r="D2078" s="163" t="str">
        <f>IFERROR(__xludf.DUMMYFUNCTION("""COMPUTED_VALUE"""),"TOT")</f>
        <v>TOT</v>
      </c>
      <c r="E2078" s="164" t="str">
        <f>IFERROR(__xludf.DUMMYFUNCTION("""COMPUTED_VALUE"""),"Movement Shooter")</f>
        <v>Movement Shooter</v>
      </c>
      <c r="F2078" s="164">
        <f>IFERROR(__xludf.DUMMYFUNCTION("""COMPUTED_VALUE"""),1433.07)</f>
        <v>1433.07</v>
      </c>
      <c r="G2078" s="163">
        <f>IFERROR(__xludf.DUMMYFUNCTION("""COMPUTED_VALUE"""),46.0)</f>
        <v>46</v>
      </c>
      <c r="H2078" s="163" t="str">
        <f>IFERROR(__xludf.DUMMYFUNCTION("""COMPUTED_VALUE"""),"SG")</f>
        <v>SG</v>
      </c>
      <c r="I2078" s="163">
        <f>IFERROR(__xludf.DUMMYFUNCTION("""COMPUTED_VALUE"""),27.0)</f>
        <v>27</v>
      </c>
      <c r="J2078" s="165">
        <f>IFERROR(__xludf.DUMMYFUNCTION("""COMPUTED_VALUE"""),-1.84650942269979)</f>
        <v>-1.846509423</v>
      </c>
      <c r="K2078" s="165">
        <f>IFERROR(__xludf.DUMMYFUNCTION("""COMPUTED_VALUE"""),-1.95771124654543)</f>
        <v>-1.957711247</v>
      </c>
      <c r="L2078" s="165">
        <f>IFERROR(__xludf.DUMMYFUNCTION("""COMPUTED_VALUE"""),0.111201823845635)</f>
        <v>0.1112018238</v>
      </c>
      <c r="M2078" s="166">
        <f t="shared" si="2"/>
        <v>0.4336929632</v>
      </c>
      <c r="N2078" s="167">
        <f t="shared" si="3"/>
        <v>31.15369565</v>
      </c>
      <c r="O2078" s="163">
        <f t="shared" ref="O2078:Q2078" si="2082">rank(I2078,I:I)</f>
        <v>1366</v>
      </c>
      <c r="P2078" s="163">
        <f t="shared" si="2082"/>
        <v>3375</v>
      </c>
      <c r="Q2078" s="163">
        <f t="shared" si="2082"/>
        <v>3694</v>
      </c>
      <c r="R2078" s="163">
        <f>IFERROR(__xludf.DUMMYFUNCTION("RANK(M2078,filter(M:M,C:C=C2078))"),295.0)</f>
        <v>295</v>
      </c>
      <c r="S2078" s="161" t="b">
        <f t="shared" si="5"/>
        <v>0</v>
      </c>
      <c r="T2078" s="161" t="b">
        <f t="array" ref="T2078">index('Query Tool'!B:B,match(H2078,'Query Tool'!C:C,0))</f>
        <v>1</v>
      </c>
      <c r="U2078" s="161" t="b">
        <f t="array" ref="U2078">index('Query Tool'!B:B,match(C2078,'Query Tool'!C:C,0))</f>
        <v>0</v>
      </c>
      <c r="V2078" s="161" t="b">
        <f>F2078&gt;='Query Tool'!C$32</f>
        <v>1</v>
      </c>
      <c r="W2078" s="161" t="b">
        <f t="array" ref="W2078">index(Dropdowns!B:B,match(I2078,Dropdowns!A:A,0))</f>
        <v>1</v>
      </c>
      <c r="X2078" s="161" t="b">
        <f t="array" ref="X2078">index('Query Tool'!B:B,match(D2078,'Query Tool'!C:C,0))</f>
        <v>1</v>
      </c>
      <c r="Y2078" s="161" t="str">
        <f t="shared" si="6"/>
        <v>bradlav01,2017-18</v>
      </c>
      <c r="Z2078" s="168">
        <f t="array" ref="Z2078">iferror(index(I:I,match($A2078&amp;","&amp;index('Year Conversion'!$A:$A,match($C2078,'Year Conversion'!$B:$B,0)),$Y:$Y,0))-I2078,"")</f>
        <v>1</v>
      </c>
      <c r="AA2078" s="168">
        <f t="array" ref="AA2078">iferror(index(J:J,match($A2078&amp;","&amp;index('Year Conversion'!$A:$A,match($C2078,'Year Conversion'!$B:$B,0)),$Y:$Y,0))-J2078,"")</f>
        <v>-1.311942745</v>
      </c>
      <c r="AB2078" s="168">
        <f t="array" ref="AB2078">iferror(index(K:K,match($A2078&amp;","&amp;index('Year Conversion'!$A:$A,match($C2078,'Year Conversion'!$B:$B,0)),$Y:$Y,0))-K2078,"")</f>
        <v>-0.3159830972</v>
      </c>
      <c r="AC2078" s="168" t="str">
        <f t="shared" si="7"/>
        <v>TOT,2017-18</v>
      </c>
    </row>
    <row r="2079">
      <c r="A2079" s="161" t="str">
        <f>IFERROR(__xludf.DUMMYFUNCTION("""COMPUTED_VALUE"""),"booketr01")</f>
        <v>booketr01</v>
      </c>
      <c r="B2079" s="161" t="str">
        <f>IFERROR(__xludf.DUMMYFUNCTION("""COMPUTED_VALUE"""),"Trevor Booker")</f>
        <v>Trevor Booker</v>
      </c>
      <c r="C2079" s="162" t="str">
        <f>IFERROR(__xludf.DUMMYFUNCTION("""COMPUTED_VALUE"""),"2017-18")</f>
        <v>2017-18</v>
      </c>
      <c r="D2079" s="163" t="str">
        <f>IFERROR(__xludf.DUMMYFUNCTION("""COMPUTED_VALUE"""),"TOT")</f>
        <v>TOT</v>
      </c>
      <c r="E2079" s="164" t="str">
        <f>IFERROR(__xludf.DUMMYFUNCTION("""COMPUTED_VALUE"""),"Roll + Cut Big")</f>
        <v>Roll + Cut Big</v>
      </c>
      <c r="F2079" s="164">
        <f>IFERROR(__xludf.DUMMYFUNCTION("""COMPUTED_VALUE"""),1158.09)</f>
        <v>1158.09</v>
      </c>
      <c r="G2079" s="163">
        <f>IFERROR(__xludf.DUMMYFUNCTION("""COMPUTED_VALUE"""),68.0)</f>
        <v>68</v>
      </c>
      <c r="H2079" s="163" t="str">
        <f>IFERROR(__xludf.DUMMYFUNCTION("""COMPUTED_VALUE"""),"PF")</f>
        <v>PF</v>
      </c>
      <c r="I2079" s="163">
        <f>IFERROR(__xludf.DUMMYFUNCTION("""COMPUTED_VALUE"""),30.0)</f>
        <v>30</v>
      </c>
      <c r="J2079" s="165">
        <f>IFERROR(__xludf.DUMMYFUNCTION("""COMPUTED_VALUE"""),-1.19146931837615)</f>
        <v>-1.191469318</v>
      </c>
      <c r="K2079" s="165">
        <f>IFERROR(__xludf.DUMMYFUNCTION("""COMPUTED_VALUE"""),-0.842004398955122)</f>
        <v>-0.842004399</v>
      </c>
      <c r="L2079" s="165">
        <f>IFERROR(__xludf.DUMMYFUNCTION("""COMPUTED_VALUE"""),-0.349464919421031)</f>
        <v>-0.3494649194</v>
      </c>
      <c r="M2079" s="166">
        <f t="shared" si="2"/>
        <v>0.8569525277</v>
      </c>
      <c r="N2079" s="167">
        <f t="shared" si="3"/>
        <v>17.03073529</v>
      </c>
      <c r="O2079" s="163">
        <f t="shared" ref="O2079:Q2079" si="2083">rank(I2079,I:I)</f>
        <v>655</v>
      </c>
      <c r="P2079" s="163">
        <f t="shared" si="2083"/>
        <v>2731</v>
      </c>
      <c r="Q2079" s="163">
        <f t="shared" si="2083"/>
        <v>2606</v>
      </c>
      <c r="R2079" s="163">
        <f>IFERROR(__xludf.DUMMYFUNCTION("RANK(M2079,filter(M:M,C:C=C2079))"),251.0)</f>
        <v>251</v>
      </c>
      <c r="S2079" s="161" t="b">
        <f t="shared" si="5"/>
        <v>0</v>
      </c>
      <c r="T2079" s="161" t="b">
        <f t="array" ref="T2079">index('Query Tool'!B:B,match(H2079,'Query Tool'!C:C,0))</f>
        <v>1</v>
      </c>
      <c r="U2079" s="161" t="b">
        <f t="array" ref="U2079">index('Query Tool'!B:B,match(C2079,'Query Tool'!C:C,0))</f>
        <v>0</v>
      </c>
      <c r="V2079" s="161" t="b">
        <f>F2079&gt;='Query Tool'!C$32</f>
        <v>1</v>
      </c>
      <c r="W2079" s="161" t="b">
        <f t="array" ref="W2079">index(Dropdowns!B:B,match(I2079,Dropdowns!A:A,0))</f>
        <v>1</v>
      </c>
      <c r="X2079" s="161" t="b">
        <f t="array" ref="X2079">index('Query Tool'!B:B,match(D2079,'Query Tool'!C:C,0))</f>
        <v>1</v>
      </c>
      <c r="Y2079" s="161" t="str">
        <f t="shared" si="6"/>
        <v>booketr01,2017-18</v>
      </c>
      <c r="Z2079" s="168" t="str">
        <f t="array" ref="Z2079">iferror(index(I:I,match($A2079&amp;","&amp;index('Year Conversion'!$A:$A,match($C2079,'Year Conversion'!$B:$B,0)),$Y:$Y,0))-I2079,"")</f>
        <v/>
      </c>
      <c r="AA2079" s="168" t="str">
        <f t="array" ref="AA2079">iferror(index(J:J,match($A2079&amp;","&amp;index('Year Conversion'!$A:$A,match($C2079,'Year Conversion'!$B:$B,0)),$Y:$Y,0))-J2079,"")</f>
        <v/>
      </c>
      <c r="AB2079" s="168" t="str">
        <f t="array" ref="AB2079">iferror(index(K:K,match($A2079&amp;","&amp;index('Year Conversion'!$A:$A,match($C2079,'Year Conversion'!$B:$B,0)),$Y:$Y,0))-K2079,"")</f>
        <v/>
      </c>
      <c r="AC2079" s="168" t="str">
        <f t="shared" si="7"/>
        <v>TOT,2017-18</v>
      </c>
    </row>
    <row r="2080">
      <c r="A2080" s="161" t="str">
        <f>IFERROR(__xludf.DUMMYFUNCTION("""COMPUTED_VALUE"""),"pondequ01")</f>
        <v>pondequ01</v>
      </c>
      <c r="B2080" s="161" t="str">
        <f>IFERROR(__xludf.DUMMYFUNCTION("""COMPUTED_VALUE"""),"Quincy Pondexter")</f>
        <v>Quincy Pondexter</v>
      </c>
      <c r="C2080" s="162" t="str">
        <f>IFERROR(__xludf.DUMMYFUNCTION("""COMPUTED_VALUE"""),"2017-18")</f>
        <v>2017-18</v>
      </c>
      <c r="D2080" s="163" t="str">
        <f>IFERROR(__xludf.DUMMYFUNCTION("""COMPUTED_VALUE"""),"CHI")</f>
        <v>CHI</v>
      </c>
      <c r="E2080" s="164" t="str">
        <f>IFERROR(__xludf.DUMMYFUNCTION("""COMPUTED_VALUE"""),"Stationary Shooter")</f>
        <v>Stationary Shooter</v>
      </c>
      <c r="F2080" s="164">
        <f>IFERROR(__xludf.DUMMYFUNCTION("""COMPUTED_VALUE"""),195.691666666667)</f>
        <v>195.6916667</v>
      </c>
      <c r="G2080" s="163">
        <f>IFERROR(__xludf.DUMMYFUNCTION("""COMPUTED_VALUE"""),23.0)</f>
        <v>23</v>
      </c>
      <c r="H2080" s="163" t="str">
        <f>IFERROR(__xludf.DUMMYFUNCTION("""COMPUTED_VALUE"""),"SF")</f>
        <v>SF</v>
      </c>
      <c r="I2080" s="163">
        <f>IFERROR(__xludf.DUMMYFUNCTION("""COMPUTED_VALUE"""),29.0)</f>
        <v>29</v>
      </c>
      <c r="J2080" s="165">
        <f>IFERROR(__xludf.DUMMYFUNCTION("""COMPUTED_VALUE"""),-1.82100912073423)</f>
        <v>-1.821009121</v>
      </c>
      <c r="K2080" s="165">
        <f>IFERROR(__xludf.DUMMYFUNCTION("""COMPUTED_VALUE"""),-1.82681456126958)</f>
        <v>-1.826814561</v>
      </c>
      <c r="L2080" s="165">
        <f>IFERROR(__xludf.DUMMYFUNCTION("""COMPUTED_VALUE"""),0.00580544053534898)</f>
        <v>0.005805440535</v>
      </c>
      <c r="M2080" s="166">
        <f t="shared" si="2"/>
        <v>0.06254020414</v>
      </c>
      <c r="N2080" s="167">
        <f t="shared" si="3"/>
        <v>8.508333333</v>
      </c>
      <c r="O2080" s="163">
        <f t="shared" ref="O2080:Q2080" si="2084">rank(I2080,I:I)</f>
        <v>855</v>
      </c>
      <c r="P2080" s="163">
        <f t="shared" si="2084"/>
        <v>3357</v>
      </c>
      <c r="Q2080" s="163">
        <f t="shared" si="2084"/>
        <v>3589</v>
      </c>
      <c r="R2080" s="163">
        <f>IFERROR(__xludf.DUMMYFUNCTION("RANK(M2080,filter(M:M,C:C=C2080))"),420.0)</f>
        <v>420</v>
      </c>
      <c r="S2080" s="161" t="b">
        <f t="shared" si="5"/>
        <v>0</v>
      </c>
      <c r="T2080" s="161" t="b">
        <f t="array" ref="T2080">index('Query Tool'!B:B,match(H2080,'Query Tool'!C:C,0))</f>
        <v>1</v>
      </c>
      <c r="U2080" s="161" t="b">
        <f t="array" ref="U2080">index('Query Tool'!B:B,match(C2080,'Query Tool'!C:C,0))</f>
        <v>0</v>
      </c>
      <c r="V2080" s="161" t="b">
        <f>F2080&gt;='Query Tool'!C$32</f>
        <v>0</v>
      </c>
      <c r="W2080" s="161" t="b">
        <f t="array" ref="W2080">index(Dropdowns!B:B,match(I2080,Dropdowns!A:A,0))</f>
        <v>1</v>
      </c>
      <c r="X2080" s="161" t="b">
        <f t="array" ref="X2080">index('Query Tool'!B:B,match(D2080,'Query Tool'!C:C,0))</f>
        <v>1</v>
      </c>
      <c r="Y2080" s="161" t="str">
        <f t="shared" si="6"/>
        <v>pondequ01,2017-18</v>
      </c>
      <c r="Z2080" s="168">
        <f t="array" ref="Z2080">iferror(index(I:I,match($A2080&amp;","&amp;index('Year Conversion'!$A:$A,match($C2080,'Year Conversion'!$B:$B,0)),$Y:$Y,0))-I2080,"")</f>
        <v>1</v>
      </c>
      <c r="AA2080" s="168">
        <f t="array" ref="AA2080">iferror(index(J:J,match($A2080&amp;","&amp;index('Year Conversion'!$A:$A,match($C2080,'Year Conversion'!$B:$B,0)),$Y:$Y,0))-J2080,"")</f>
        <v>0.1479835427</v>
      </c>
      <c r="AB2080" s="168">
        <f t="array" ref="AB2080">iferror(index(K:K,match($A2080&amp;","&amp;index('Year Conversion'!$A:$A,match($C2080,'Year Conversion'!$B:$B,0)),$Y:$Y,0))-K2080,"")</f>
        <v>0.5028927997</v>
      </c>
      <c r="AC2080" s="168" t="str">
        <f t="shared" si="7"/>
        <v>CHI,2017-18</v>
      </c>
    </row>
    <row r="2081">
      <c r="A2081" s="161" t="str">
        <f>IFERROR(__xludf.DUMMYFUNCTION("""COMPUTED_VALUE"""),"crawfjo02")</f>
        <v>crawfjo02</v>
      </c>
      <c r="B2081" s="161" t="str">
        <f>IFERROR(__xludf.DUMMYFUNCTION("""COMPUTED_VALUE"""),"Jordan Crawford")</f>
        <v>Jordan Crawford</v>
      </c>
      <c r="C2081" s="162" t="str">
        <f>IFERROR(__xludf.DUMMYFUNCTION("""COMPUTED_VALUE"""),"2017-18")</f>
        <v>2017-18</v>
      </c>
      <c r="D2081" s="163" t="str">
        <f>IFERROR(__xludf.DUMMYFUNCTION("""COMPUTED_VALUE"""),"NOP")</f>
        <v>NOP</v>
      </c>
      <c r="E2081" s="164" t="str">
        <f>IFERROR(__xludf.DUMMYFUNCTION("""COMPUTED_VALUE"""),"Stationary Shooter")</f>
        <v>Stationary Shooter</v>
      </c>
      <c r="F2081" s="164">
        <f>IFERROR(__xludf.DUMMYFUNCTION("""COMPUTED_VALUE"""),53.2833333333334)</f>
        <v>53.28333333</v>
      </c>
      <c r="G2081" s="163">
        <f>IFERROR(__xludf.DUMMYFUNCTION("""COMPUTED_VALUE"""),5.0)</f>
        <v>5</v>
      </c>
      <c r="H2081" s="163" t="str">
        <f>IFERROR(__xludf.DUMMYFUNCTION("""COMPUTED_VALUE"""),"SG")</f>
        <v>SG</v>
      </c>
      <c r="I2081" s="163">
        <f>IFERROR(__xludf.DUMMYFUNCTION("""COMPUTED_VALUE"""),29.0)</f>
        <v>29</v>
      </c>
      <c r="J2081" s="165">
        <f>IFERROR(__xludf.DUMMYFUNCTION("""COMPUTED_VALUE"""),-1.2270035037123)</f>
        <v>-1.227003504</v>
      </c>
      <c r="K2081" s="165">
        <f>IFERROR(__xludf.DUMMYFUNCTION("""COMPUTED_VALUE"""),-0.0413605336874355)</f>
        <v>-0.04136053369</v>
      </c>
      <c r="L2081" s="165">
        <f>IFERROR(__xludf.DUMMYFUNCTION("""COMPUTED_VALUE"""),-1.18564297002486)</f>
        <v>-1.18564297</v>
      </c>
      <c r="M2081" s="166">
        <f t="shared" si="2"/>
        <v>0.0381593497</v>
      </c>
      <c r="N2081" s="167">
        <f t="shared" si="3"/>
        <v>10.65666667</v>
      </c>
      <c r="O2081" s="163">
        <f t="shared" ref="O2081:Q2081" si="2085">rank(I2081,I:I)</f>
        <v>855</v>
      </c>
      <c r="P2081" s="163">
        <f t="shared" si="2085"/>
        <v>2785</v>
      </c>
      <c r="Q2081" s="163">
        <f t="shared" si="2085"/>
        <v>1257</v>
      </c>
      <c r="R2081" s="163">
        <f>IFERROR(__xludf.DUMMYFUNCTION("RANK(M2081,filter(M:M,C:C=C2081))"),442.0)</f>
        <v>442</v>
      </c>
      <c r="S2081" s="161" t="b">
        <f t="shared" si="5"/>
        <v>0</v>
      </c>
      <c r="T2081" s="161" t="b">
        <f t="array" ref="T2081">index('Query Tool'!B:B,match(H2081,'Query Tool'!C:C,0))</f>
        <v>1</v>
      </c>
      <c r="U2081" s="161" t="b">
        <f t="array" ref="U2081">index('Query Tool'!B:B,match(C2081,'Query Tool'!C:C,0))</f>
        <v>0</v>
      </c>
      <c r="V2081" s="161" t="b">
        <f>F2081&gt;='Query Tool'!C$32</f>
        <v>0</v>
      </c>
      <c r="W2081" s="161" t="b">
        <f t="array" ref="W2081">index(Dropdowns!B:B,match(I2081,Dropdowns!A:A,0))</f>
        <v>1</v>
      </c>
      <c r="X2081" s="161" t="b">
        <f t="array" ref="X2081">index('Query Tool'!B:B,match(D2081,'Query Tool'!C:C,0))</f>
        <v>1</v>
      </c>
      <c r="Y2081" s="161" t="str">
        <f t="shared" si="6"/>
        <v>crawfjo02,2017-18</v>
      </c>
      <c r="Z2081" s="168" t="str">
        <f t="array" ref="Z2081">iferror(index(I:I,match($A2081&amp;","&amp;index('Year Conversion'!$A:$A,match($C2081,'Year Conversion'!$B:$B,0)),$Y:$Y,0))-I2081,"")</f>
        <v/>
      </c>
      <c r="AA2081" s="168" t="str">
        <f t="array" ref="AA2081">iferror(index(J:J,match($A2081&amp;","&amp;index('Year Conversion'!$A:$A,match($C2081,'Year Conversion'!$B:$B,0)),$Y:$Y,0))-J2081,"")</f>
        <v/>
      </c>
      <c r="AB2081" s="168" t="str">
        <f t="array" ref="AB2081">iferror(index(K:K,match($A2081&amp;","&amp;index('Year Conversion'!$A:$A,match($C2081,'Year Conversion'!$B:$B,0)),$Y:$Y,0))-K2081,"")</f>
        <v/>
      </c>
      <c r="AC2081" s="168" t="str">
        <f t="shared" si="7"/>
        <v>NOP,2017-18</v>
      </c>
    </row>
    <row r="2082">
      <c r="A2082" s="161" t="str">
        <f>IFERROR(__xludf.DUMMYFUNCTION("""COMPUTED_VALUE"""),"whiteha01")</f>
        <v>whiteha01</v>
      </c>
      <c r="B2082" s="161" t="str">
        <f>IFERROR(__xludf.DUMMYFUNCTION("""COMPUTED_VALUE"""),"Hassan Whiteside")</f>
        <v>Hassan Whiteside</v>
      </c>
      <c r="C2082" s="162" t="str">
        <f>IFERROR(__xludf.DUMMYFUNCTION("""COMPUTED_VALUE"""),"2017-18")</f>
        <v>2017-18</v>
      </c>
      <c r="D2082" s="163" t="str">
        <f>IFERROR(__xludf.DUMMYFUNCTION("""COMPUTED_VALUE"""),"MIA")</f>
        <v>MIA</v>
      </c>
      <c r="E2082" s="164" t="str">
        <f>IFERROR(__xludf.DUMMYFUNCTION("""COMPUTED_VALUE"""),"Post Scorer")</f>
        <v>Post Scorer</v>
      </c>
      <c r="F2082" s="164">
        <f>IFERROR(__xludf.DUMMYFUNCTION("""COMPUTED_VALUE"""),1364.07)</f>
        <v>1364.07</v>
      </c>
      <c r="G2082" s="163">
        <f>IFERROR(__xludf.DUMMYFUNCTION("""COMPUTED_VALUE"""),54.0)</f>
        <v>54</v>
      </c>
      <c r="H2082" s="163" t="str">
        <f>IFERROR(__xludf.DUMMYFUNCTION("""COMPUTED_VALUE"""),"C")</f>
        <v>C</v>
      </c>
      <c r="I2082" s="163">
        <f>IFERROR(__xludf.DUMMYFUNCTION("""COMPUTED_VALUE"""),28.0)</f>
        <v>28</v>
      </c>
      <c r="J2082" s="165">
        <f>IFERROR(__xludf.DUMMYFUNCTION("""COMPUTED_VALUE"""),2.2607491739158)</f>
        <v>2.260749174</v>
      </c>
      <c r="K2082" s="165">
        <f>IFERROR(__xludf.DUMMYFUNCTION("""COMPUTED_VALUE"""),-0.446520567931979)</f>
        <v>-0.4465205679</v>
      </c>
      <c r="L2082" s="165">
        <f>IFERROR(__xludf.DUMMYFUNCTION("""COMPUTED_VALUE"""),2.70726974184778)</f>
        <v>2.707269742</v>
      </c>
      <c r="M2082" s="166">
        <f t="shared" si="2"/>
        <v>4.167384137</v>
      </c>
      <c r="N2082" s="167">
        <f t="shared" si="3"/>
        <v>25.26055556</v>
      </c>
      <c r="O2082" s="163">
        <f t="shared" ref="O2082:Q2082" si="2086">rank(I2082,I:I)</f>
        <v>1090</v>
      </c>
      <c r="P2082" s="163">
        <f t="shared" si="2086"/>
        <v>263</v>
      </c>
      <c r="Q2082" s="163">
        <f t="shared" si="2086"/>
        <v>2025</v>
      </c>
      <c r="R2082" s="163">
        <f>IFERROR(__xludf.DUMMYFUNCTION("RANK(M2082,filter(M:M,C:C=C2082))"),79.0)</f>
        <v>79</v>
      </c>
      <c r="S2082" s="161" t="b">
        <f t="shared" si="5"/>
        <v>0</v>
      </c>
      <c r="T2082" s="161" t="b">
        <f t="array" ref="T2082">index('Query Tool'!B:B,match(H2082,'Query Tool'!C:C,0))</f>
        <v>1</v>
      </c>
      <c r="U2082" s="161" t="b">
        <f t="array" ref="U2082">index('Query Tool'!B:B,match(C2082,'Query Tool'!C:C,0))</f>
        <v>0</v>
      </c>
      <c r="V2082" s="161" t="b">
        <f>F2082&gt;='Query Tool'!C$32</f>
        <v>1</v>
      </c>
      <c r="W2082" s="161" t="b">
        <f t="array" ref="W2082">index(Dropdowns!B:B,match(I2082,Dropdowns!A:A,0))</f>
        <v>1</v>
      </c>
      <c r="X2082" s="161" t="b">
        <f t="array" ref="X2082">index('Query Tool'!B:B,match(D2082,'Query Tool'!C:C,0))</f>
        <v>1</v>
      </c>
      <c r="Y2082" s="161" t="str">
        <f t="shared" si="6"/>
        <v>whiteha01,2017-18</v>
      </c>
      <c r="Z2082" s="168">
        <f t="array" ref="Z2082">iferror(index(I:I,match($A2082&amp;","&amp;index('Year Conversion'!$A:$A,match($C2082,'Year Conversion'!$B:$B,0)),$Y:$Y,0))-I2082,"")</f>
        <v>1</v>
      </c>
      <c r="AA2082" s="168">
        <f t="array" ref="AA2082">iferror(index(J:J,match($A2082&amp;","&amp;index('Year Conversion'!$A:$A,match($C2082,'Year Conversion'!$B:$B,0)),$Y:$Y,0))-J2082,"")</f>
        <v>1.161260956</v>
      </c>
      <c r="AB2082" s="168">
        <f t="array" ref="AB2082">iferror(index(K:K,match($A2082&amp;","&amp;index('Year Conversion'!$A:$A,match($C2082,'Year Conversion'!$B:$B,0)),$Y:$Y,0))-K2082,"")</f>
        <v>0.9445816201</v>
      </c>
      <c r="AC2082" s="168" t="str">
        <f t="shared" si="7"/>
        <v>MIA,2017-18</v>
      </c>
    </row>
    <row r="2083">
      <c r="A2083" s="161" t="str">
        <f>IFERROR(__xludf.DUMMYFUNCTION("""COMPUTED_VALUE"""),"bjeline01")</f>
        <v>bjeline01</v>
      </c>
      <c r="B2083" s="161" t="str">
        <f>IFERROR(__xludf.DUMMYFUNCTION("""COMPUTED_VALUE"""),"Nemanja Bjelica")</f>
        <v>Nemanja Bjelica</v>
      </c>
      <c r="C2083" s="162" t="str">
        <f>IFERROR(__xludf.DUMMYFUNCTION("""COMPUTED_VALUE"""),"2017-18")</f>
        <v>2017-18</v>
      </c>
      <c r="D2083" s="163" t="str">
        <f>IFERROR(__xludf.DUMMYFUNCTION("""COMPUTED_VALUE"""),"MIN")</f>
        <v>MIN</v>
      </c>
      <c r="E2083" s="164" t="str">
        <f>IFERROR(__xludf.DUMMYFUNCTION("""COMPUTED_VALUE"""),"Stationary Shooter")</f>
        <v>Stationary Shooter</v>
      </c>
      <c r="F2083" s="164">
        <f>IFERROR(__xludf.DUMMYFUNCTION("""COMPUTED_VALUE"""),1370.95833333333)</f>
        <v>1370.958333</v>
      </c>
      <c r="G2083" s="163">
        <f>IFERROR(__xludf.DUMMYFUNCTION("""COMPUTED_VALUE"""),67.0)</f>
        <v>67</v>
      </c>
      <c r="H2083" s="163" t="str">
        <f>IFERROR(__xludf.DUMMYFUNCTION("""COMPUTED_VALUE"""),"PF")</f>
        <v>PF</v>
      </c>
      <c r="I2083" s="163">
        <f>IFERROR(__xludf.DUMMYFUNCTION("""COMPUTED_VALUE"""),29.0)</f>
        <v>29</v>
      </c>
      <c r="J2083" s="165">
        <f>IFERROR(__xludf.DUMMYFUNCTION("""COMPUTED_VALUE"""),-1.30729470762026)</f>
        <v>-1.307294708</v>
      </c>
      <c r="K2083" s="165">
        <f>IFERROR(__xludf.DUMMYFUNCTION("""COMPUTED_VALUE"""),-0.423178452479932)</f>
        <v>-0.4231784525</v>
      </c>
      <c r="L2083" s="165">
        <f>IFERROR(__xludf.DUMMYFUNCTION("""COMPUTED_VALUE"""),-0.884116255140333)</f>
        <v>-0.8841162551</v>
      </c>
      <c r="M2083" s="166">
        <f t="shared" si="2"/>
        <v>0.9081069471</v>
      </c>
      <c r="N2083" s="167">
        <f t="shared" si="3"/>
        <v>20.46206468</v>
      </c>
      <c r="O2083" s="163">
        <f t="shared" ref="O2083:Q2083" si="2087">rank(I2083,I:I)</f>
        <v>855</v>
      </c>
      <c r="P2083" s="163">
        <f t="shared" si="2087"/>
        <v>2867</v>
      </c>
      <c r="Q2083" s="163">
        <f t="shared" si="2087"/>
        <v>1986</v>
      </c>
      <c r="R2083" s="163">
        <f>IFERROR(__xludf.DUMMYFUNCTION("RANK(M2083,filter(M:M,C:C=C2083))"),246.0)</f>
        <v>246</v>
      </c>
      <c r="S2083" s="161" t="b">
        <f t="shared" si="5"/>
        <v>0</v>
      </c>
      <c r="T2083" s="161" t="b">
        <f t="array" ref="T2083">index('Query Tool'!B:B,match(H2083,'Query Tool'!C:C,0))</f>
        <v>1</v>
      </c>
      <c r="U2083" s="161" t="b">
        <f t="array" ref="U2083">index('Query Tool'!B:B,match(C2083,'Query Tool'!C:C,0))</f>
        <v>0</v>
      </c>
      <c r="V2083" s="161" t="b">
        <f>F2083&gt;='Query Tool'!C$32</f>
        <v>1</v>
      </c>
      <c r="W2083" s="161" t="b">
        <f t="array" ref="W2083">index(Dropdowns!B:B,match(I2083,Dropdowns!A:A,0))</f>
        <v>1</v>
      </c>
      <c r="X2083" s="161" t="b">
        <f t="array" ref="X2083">index('Query Tool'!B:B,match(D2083,'Query Tool'!C:C,0))</f>
        <v>1</v>
      </c>
      <c r="Y2083" s="161" t="str">
        <f t="shared" si="6"/>
        <v>bjeline01,2017-18</v>
      </c>
      <c r="Z2083" s="168">
        <f t="array" ref="Z2083">iferror(index(I:I,match($A2083&amp;","&amp;index('Year Conversion'!$A:$A,match($C2083,'Year Conversion'!$B:$B,0)),$Y:$Y,0))-I2083,"")</f>
        <v>1</v>
      </c>
      <c r="AA2083" s="168">
        <f t="array" ref="AA2083">iferror(index(J:J,match($A2083&amp;","&amp;index('Year Conversion'!$A:$A,match($C2083,'Year Conversion'!$B:$B,0)),$Y:$Y,0))-J2083,"")</f>
        <v>2.124618053</v>
      </c>
      <c r="AB2083" s="168">
        <f t="array" ref="AB2083">iferror(index(K:K,match($A2083&amp;","&amp;index('Year Conversion'!$A:$A,match($C2083,'Year Conversion'!$B:$B,0)),$Y:$Y,0))-K2083,"")</f>
        <v>0.7789887335</v>
      </c>
      <c r="AC2083" s="168" t="str">
        <f t="shared" si="7"/>
        <v>MIN,2017-18</v>
      </c>
    </row>
    <row r="2084">
      <c r="A2084" s="161" t="str">
        <f>IFERROR(__xludf.DUMMYFUNCTION("""COMPUTED_VALUE"""),"stephla01")</f>
        <v>stephla01</v>
      </c>
      <c r="B2084" s="161" t="str">
        <f>IFERROR(__xludf.DUMMYFUNCTION("""COMPUTED_VALUE"""),"Lance Stephenson")</f>
        <v>Lance Stephenson</v>
      </c>
      <c r="C2084" s="162" t="str">
        <f>IFERROR(__xludf.DUMMYFUNCTION("""COMPUTED_VALUE"""),"2017-18")</f>
        <v>2017-18</v>
      </c>
      <c r="D2084" s="163" t="str">
        <f>IFERROR(__xludf.DUMMYFUNCTION("""COMPUTED_VALUE"""),"IND")</f>
        <v>IND</v>
      </c>
      <c r="E2084" s="164" t="str">
        <f>IFERROR(__xludf.DUMMYFUNCTION("""COMPUTED_VALUE"""),"Secondary Ball Handler")</f>
        <v>Secondary Ball Handler</v>
      </c>
      <c r="F2084" s="164">
        <f>IFERROR(__xludf.DUMMYFUNCTION("""COMPUTED_VALUE"""),1850.02833333333)</f>
        <v>1850.028333</v>
      </c>
      <c r="G2084" s="163">
        <f>IFERROR(__xludf.DUMMYFUNCTION("""COMPUTED_VALUE"""),82.0)</f>
        <v>82</v>
      </c>
      <c r="H2084" s="163" t="str">
        <f>IFERROR(__xludf.DUMMYFUNCTION("""COMPUTED_VALUE"""),"SG")</f>
        <v>SG</v>
      </c>
      <c r="I2084" s="163">
        <f>IFERROR(__xludf.DUMMYFUNCTION("""COMPUTED_VALUE"""),27.0)</f>
        <v>27</v>
      </c>
      <c r="J2084" s="165">
        <f>IFERROR(__xludf.DUMMYFUNCTION("""COMPUTED_VALUE"""),-1.52181062048532)</f>
        <v>-1.52181062</v>
      </c>
      <c r="K2084" s="165">
        <f>IFERROR(__xludf.DUMMYFUNCTION("""COMPUTED_VALUE"""),0.2766278112807)</f>
        <v>0.2766278113</v>
      </c>
      <c r="L2084" s="165">
        <f>IFERROR(__xludf.DUMMYFUNCTION("""COMPUTED_VALUE"""),-1.79843843176602)</f>
        <v>-1.798438432</v>
      </c>
      <c r="M2084" s="166">
        <f t="shared" si="2"/>
        <v>0.9601010723</v>
      </c>
      <c r="N2084" s="167">
        <f t="shared" si="3"/>
        <v>22.56132114</v>
      </c>
      <c r="O2084" s="163">
        <f t="shared" ref="O2084:Q2084" si="2088">rank(I2084,I:I)</f>
        <v>1366</v>
      </c>
      <c r="P2084" s="163">
        <f t="shared" si="2088"/>
        <v>3072</v>
      </c>
      <c r="Q2084" s="163">
        <f t="shared" si="2088"/>
        <v>932</v>
      </c>
      <c r="R2084" s="163">
        <f>IFERROR(__xludf.DUMMYFUNCTION("RANK(M2084,filter(M:M,C:C=C2084))"),239.0)</f>
        <v>239</v>
      </c>
      <c r="S2084" s="161" t="b">
        <f t="shared" si="5"/>
        <v>0</v>
      </c>
      <c r="T2084" s="161" t="b">
        <f t="array" ref="T2084">index('Query Tool'!B:B,match(H2084,'Query Tool'!C:C,0))</f>
        <v>1</v>
      </c>
      <c r="U2084" s="161" t="b">
        <f t="array" ref="U2084">index('Query Tool'!B:B,match(C2084,'Query Tool'!C:C,0))</f>
        <v>0</v>
      </c>
      <c r="V2084" s="161" t="b">
        <f>F2084&gt;='Query Tool'!C$32</f>
        <v>1</v>
      </c>
      <c r="W2084" s="161" t="b">
        <f t="array" ref="W2084">index(Dropdowns!B:B,match(I2084,Dropdowns!A:A,0))</f>
        <v>1</v>
      </c>
      <c r="X2084" s="161" t="b">
        <f t="array" ref="X2084">index('Query Tool'!B:B,match(D2084,'Query Tool'!C:C,0))</f>
        <v>1</v>
      </c>
      <c r="Y2084" s="161" t="str">
        <f t="shared" si="6"/>
        <v>stephla01,2017-18</v>
      </c>
      <c r="Z2084" s="168">
        <f t="array" ref="Z2084">iferror(index(I:I,match($A2084&amp;","&amp;index('Year Conversion'!$A:$A,match($C2084,'Year Conversion'!$B:$B,0)),$Y:$Y,0))-I2084,"")</f>
        <v>1</v>
      </c>
      <c r="AA2084" s="168">
        <f t="array" ref="AA2084">iferror(index(J:J,match($A2084&amp;","&amp;index('Year Conversion'!$A:$A,match($C2084,'Year Conversion'!$B:$B,0)),$Y:$Y,0))-J2084,"")</f>
        <v>-0.8265847728</v>
      </c>
      <c r="AB2084" s="168">
        <f t="array" ref="AB2084">iferror(index(K:K,match($A2084&amp;","&amp;index('Year Conversion'!$A:$A,match($C2084,'Year Conversion'!$B:$B,0)),$Y:$Y,0))-K2084,"")</f>
        <v>-1.531074414</v>
      </c>
      <c r="AC2084" s="168" t="str">
        <f t="shared" si="7"/>
        <v>IND,2017-18</v>
      </c>
    </row>
    <row r="2085">
      <c r="A2085" s="161" t="str">
        <f>IFERROR(__xludf.DUMMYFUNCTION("""COMPUTED_VALUE"""),"evansje01")</f>
        <v>evansje01</v>
      </c>
      <c r="B2085" s="161" t="str">
        <f>IFERROR(__xludf.DUMMYFUNCTION("""COMPUTED_VALUE"""),"Jeremy Evans")</f>
        <v>Jeremy Evans</v>
      </c>
      <c r="C2085" s="162" t="str">
        <f>IFERROR(__xludf.DUMMYFUNCTION("""COMPUTED_VALUE"""),"2017-18")</f>
        <v>2017-18</v>
      </c>
      <c r="D2085" s="163" t="str">
        <f>IFERROR(__xludf.DUMMYFUNCTION("""COMPUTED_VALUE"""),"ATL")</f>
        <v>ATL</v>
      </c>
      <c r="E2085" s="164" t="str">
        <f>IFERROR(__xludf.DUMMYFUNCTION("""COMPUTED_VALUE"""),"Roll + Cut Big")</f>
        <v>Roll + Cut Big</v>
      </c>
      <c r="F2085" s="164">
        <f>IFERROR(__xludf.DUMMYFUNCTION("""COMPUTED_VALUE"""),5.35)</f>
        <v>5.35</v>
      </c>
      <c r="G2085" s="163">
        <f>IFERROR(__xludf.DUMMYFUNCTION("""COMPUTED_VALUE"""),1.0)</f>
        <v>1</v>
      </c>
      <c r="H2085" s="163" t="str">
        <f>IFERROR(__xludf.DUMMYFUNCTION("""COMPUTED_VALUE"""),"SF")</f>
        <v>SF</v>
      </c>
      <c r="I2085" s="163">
        <f>IFERROR(__xludf.DUMMYFUNCTION("""COMPUTED_VALUE"""),30.0)</f>
        <v>30</v>
      </c>
      <c r="J2085" s="165">
        <f>IFERROR(__xludf.DUMMYFUNCTION("""COMPUTED_VALUE"""),-0.15844060780464)</f>
        <v>-0.1584406078</v>
      </c>
      <c r="K2085" s="165">
        <f>IFERROR(__xludf.DUMMYFUNCTION("""COMPUTED_VALUE"""),-0.176997653183158)</f>
        <v>-0.1769976532</v>
      </c>
      <c r="L2085" s="165">
        <f>IFERROR(__xludf.DUMMYFUNCTION("""COMPUTED_VALUE"""),0.018557045378518)</f>
        <v>0.01855704538</v>
      </c>
      <c r="M2085" s="166">
        <f t="shared" si="2"/>
        <v>0.00767645471</v>
      </c>
      <c r="N2085" s="167">
        <f t="shared" si="3"/>
        <v>5.35</v>
      </c>
      <c r="O2085" s="163">
        <f t="shared" ref="O2085:Q2085" si="2089">rank(I2085,I:I)</f>
        <v>655</v>
      </c>
      <c r="P2085" s="163">
        <f t="shared" si="2089"/>
        <v>1452</v>
      </c>
      <c r="Q2085" s="163">
        <f t="shared" si="2089"/>
        <v>1527</v>
      </c>
      <c r="R2085" s="163">
        <f>IFERROR(__xludf.DUMMYFUNCTION("RANK(M2085,filter(M:M,C:C=C2085))"),484.0)</f>
        <v>484</v>
      </c>
      <c r="S2085" s="161" t="b">
        <f t="shared" si="5"/>
        <v>0</v>
      </c>
      <c r="T2085" s="161" t="b">
        <f t="array" ref="T2085">index('Query Tool'!B:B,match(H2085,'Query Tool'!C:C,0))</f>
        <v>1</v>
      </c>
      <c r="U2085" s="161" t="b">
        <f t="array" ref="U2085">index('Query Tool'!B:B,match(C2085,'Query Tool'!C:C,0))</f>
        <v>0</v>
      </c>
      <c r="V2085" s="161" t="b">
        <f>F2085&gt;='Query Tool'!C$32</f>
        <v>0</v>
      </c>
      <c r="W2085" s="161" t="b">
        <f t="array" ref="W2085">index(Dropdowns!B:B,match(I2085,Dropdowns!A:A,0))</f>
        <v>1</v>
      </c>
      <c r="X2085" s="161" t="b">
        <f t="array" ref="X2085">index('Query Tool'!B:B,match(D2085,'Query Tool'!C:C,0))</f>
        <v>1</v>
      </c>
      <c r="Y2085" s="161" t="str">
        <f t="shared" si="6"/>
        <v>evansje01,2017-18</v>
      </c>
      <c r="Z2085" s="168" t="str">
        <f t="array" ref="Z2085">iferror(index(I:I,match($A2085&amp;","&amp;index('Year Conversion'!$A:$A,match($C2085,'Year Conversion'!$B:$B,0)),$Y:$Y,0))-I2085,"")</f>
        <v/>
      </c>
      <c r="AA2085" s="168" t="str">
        <f t="array" ref="AA2085">iferror(index(J:J,match($A2085&amp;","&amp;index('Year Conversion'!$A:$A,match($C2085,'Year Conversion'!$B:$B,0)),$Y:$Y,0))-J2085,"")</f>
        <v/>
      </c>
      <c r="AB2085" s="168" t="str">
        <f t="array" ref="AB2085">iferror(index(K:K,match($A2085&amp;","&amp;index('Year Conversion'!$A:$A,match($C2085,'Year Conversion'!$B:$B,0)),$Y:$Y,0))-K2085,"")</f>
        <v/>
      </c>
      <c r="AC2085" s="168" t="str">
        <f t="shared" si="7"/>
        <v>ATL,2017-18</v>
      </c>
    </row>
    <row r="2086">
      <c r="A2086" s="161" t="str">
        <f>IFERROR(__xludf.DUMMYFUNCTION("""COMPUTED_VALUE"""),"mozgoti01")</f>
        <v>mozgoti01</v>
      </c>
      <c r="B2086" s="161" t="str">
        <f>IFERROR(__xludf.DUMMYFUNCTION("""COMPUTED_VALUE"""),"Timofey Mozgov")</f>
        <v>Timofey Mozgov</v>
      </c>
      <c r="C2086" s="162" t="str">
        <f>IFERROR(__xludf.DUMMYFUNCTION("""COMPUTED_VALUE"""),"2017-18")</f>
        <v>2017-18</v>
      </c>
      <c r="D2086" s="163" t="str">
        <f>IFERROR(__xludf.DUMMYFUNCTION("""COMPUTED_VALUE"""),"BRK")</f>
        <v>BRK</v>
      </c>
      <c r="E2086" s="164" t="str">
        <f>IFERROR(__xludf.DUMMYFUNCTION("""COMPUTED_VALUE"""),"Post Scorer")</f>
        <v>Post Scorer</v>
      </c>
      <c r="F2086" s="164">
        <f>IFERROR(__xludf.DUMMYFUNCTION("""COMPUTED_VALUE"""),359.483333333333)</f>
        <v>359.4833333</v>
      </c>
      <c r="G2086" s="163">
        <f>IFERROR(__xludf.DUMMYFUNCTION("""COMPUTED_VALUE"""),31.0)</f>
        <v>31</v>
      </c>
      <c r="H2086" s="163" t="str">
        <f>IFERROR(__xludf.DUMMYFUNCTION("""COMPUTED_VALUE"""),"C")</f>
        <v>C</v>
      </c>
      <c r="I2086" s="163">
        <f>IFERROR(__xludf.DUMMYFUNCTION("""COMPUTED_VALUE"""),31.0)</f>
        <v>31</v>
      </c>
      <c r="J2086" s="165">
        <f>IFERROR(__xludf.DUMMYFUNCTION("""COMPUTED_VALUE"""),-2.25857500846917)</f>
        <v>-2.258575008</v>
      </c>
      <c r="K2086" s="165">
        <f>IFERROR(__xludf.DUMMYFUNCTION("""COMPUTED_VALUE"""),-2.7903599900024)</f>
        <v>-2.79035999</v>
      </c>
      <c r="L2086" s="165">
        <f>IFERROR(__xludf.DUMMYFUNCTION("""COMPUTED_VALUE"""),0.531784981533228)</f>
        <v>0.5317849815</v>
      </c>
      <c r="M2086" s="166">
        <f t="shared" si="2"/>
        <v>0.01066162947</v>
      </c>
      <c r="N2086" s="167">
        <f t="shared" si="3"/>
        <v>11.59623656</v>
      </c>
      <c r="O2086" s="163">
        <f t="shared" ref="O2086:Q2086" si="2090">rank(I2086,I:I)</f>
        <v>490</v>
      </c>
      <c r="P2086" s="163">
        <f t="shared" si="2090"/>
        <v>3634</v>
      </c>
      <c r="Q2086" s="163">
        <f t="shared" si="2090"/>
        <v>3952</v>
      </c>
      <c r="R2086" s="163">
        <f>IFERROR(__xludf.DUMMYFUNCTION("RANK(M2086,filter(M:M,C:C=C2086))"),474.0)</f>
        <v>474</v>
      </c>
      <c r="S2086" s="161" t="b">
        <f t="shared" si="5"/>
        <v>0</v>
      </c>
      <c r="T2086" s="161" t="b">
        <f t="array" ref="T2086">index('Query Tool'!B:B,match(H2086,'Query Tool'!C:C,0))</f>
        <v>1</v>
      </c>
      <c r="U2086" s="161" t="b">
        <f t="array" ref="U2086">index('Query Tool'!B:B,match(C2086,'Query Tool'!C:C,0))</f>
        <v>0</v>
      </c>
      <c r="V2086" s="161" t="b">
        <f>F2086&gt;='Query Tool'!C$32</f>
        <v>0</v>
      </c>
      <c r="W2086" s="161" t="b">
        <f t="array" ref="W2086">index(Dropdowns!B:B,match(I2086,Dropdowns!A:A,0))</f>
        <v>1</v>
      </c>
      <c r="X2086" s="161" t="b">
        <f t="array" ref="X2086">index('Query Tool'!B:B,match(D2086,'Query Tool'!C:C,0))</f>
        <v>1</v>
      </c>
      <c r="Y2086" s="161" t="str">
        <f t="shared" si="6"/>
        <v>mozgoti01,2017-18</v>
      </c>
      <c r="Z2086" s="168" t="str">
        <f t="array" ref="Z2086">iferror(index(I:I,match($A2086&amp;","&amp;index('Year Conversion'!$A:$A,match($C2086,'Year Conversion'!$B:$B,0)),$Y:$Y,0))-I2086,"")</f>
        <v/>
      </c>
      <c r="AA2086" s="168" t="str">
        <f t="array" ref="AA2086">iferror(index(J:J,match($A2086&amp;","&amp;index('Year Conversion'!$A:$A,match($C2086,'Year Conversion'!$B:$B,0)),$Y:$Y,0))-J2086,"")</f>
        <v/>
      </c>
      <c r="AB2086" s="168" t="str">
        <f t="array" ref="AB2086">iferror(index(K:K,match($A2086&amp;","&amp;index('Year Conversion'!$A:$A,match($C2086,'Year Conversion'!$B:$B,0)),$Y:$Y,0))-K2086,"")</f>
        <v/>
      </c>
      <c r="AC2086" s="168" t="str">
        <f t="shared" si="7"/>
        <v>BRK,2017-18</v>
      </c>
    </row>
    <row r="2087">
      <c r="A2087" s="161" t="str">
        <f>IFERROR(__xludf.DUMMYFUNCTION("""COMPUTED_VALUE"""),"linje01")</f>
        <v>linje01</v>
      </c>
      <c r="B2087" s="161" t="str">
        <f>IFERROR(__xludf.DUMMYFUNCTION("""COMPUTED_VALUE"""),"Jeremy Lin")</f>
        <v>Jeremy Lin</v>
      </c>
      <c r="C2087" s="162" t="str">
        <f>IFERROR(__xludf.DUMMYFUNCTION("""COMPUTED_VALUE"""),"2017-18")</f>
        <v>2017-18</v>
      </c>
      <c r="D2087" s="163" t="str">
        <f>IFERROR(__xludf.DUMMYFUNCTION("""COMPUTED_VALUE"""),"BRK")</f>
        <v>BRK</v>
      </c>
      <c r="E2087" s="164" t="str">
        <f>IFERROR(__xludf.DUMMYFUNCTION("""COMPUTED_VALUE"""),"Slasher")</f>
        <v>Slasher</v>
      </c>
      <c r="F2087" s="164">
        <f>IFERROR(__xludf.DUMMYFUNCTION("""COMPUTED_VALUE"""),25.1833333333333)</f>
        <v>25.18333333</v>
      </c>
      <c r="G2087" s="163">
        <f>IFERROR(__xludf.DUMMYFUNCTION("""COMPUTED_VALUE"""),1.0)</f>
        <v>1</v>
      </c>
      <c r="H2087" s="163" t="str">
        <f>IFERROR(__xludf.DUMMYFUNCTION("""COMPUTED_VALUE"""),"PG")</f>
        <v>PG</v>
      </c>
      <c r="I2087" s="163">
        <f>IFERROR(__xludf.DUMMYFUNCTION("""COMPUTED_VALUE"""),29.0)</f>
        <v>29</v>
      </c>
      <c r="J2087" s="165">
        <f>IFERROR(__xludf.DUMMYFUNCTION("""COMPUTED_VALUE"""),-0.655527984484513)</f>
        <v>-0.6555279845</v>
      </c>
      <c r="K2087" s="165">
        <f>IFERROR(__xludf.DUMMYFUNCTION("""COMPUTED_VALUE"""),-0.32829298083739)</f>
        <v>-0.3282929808</v>
      </c>
      <c r="L2087" s="165">
        <f>IFERROR(__xludf.DUMMYFUNCTION("""COMPUTED_VALUE"""),-0.327235003647123)</f>
        <v>-0.3272350036</v>
      </c>
      <c r="M2087" s="166">
        <f t="shared" si="2"/>
        <v>0.02770116329</v>
      </c>
      <c r="N2087" s="167">
        <f t="shared" si="3"/>
        <v>25.18333333</v>
      </c>
      <c r="O2087" s="163">
        <f t="shared" ref="O2087:Q2087" si="2091">rank(I2087,I:I)</f>
        <v>855</v>
      </c>
      <c r="P2087" s="163">
        <f t="shared" si="2091"/>
        <v>2071</v>
      </c>
      <c r="Q2087" s="163">
        <f t="shared" si="2091"/>
        <v>1809</v>
      </c>
      <c r="R2087" s="163">
        <f>IFERROR(__xludf.DUMMYFUNCTION("RANK(M2087,filter(M:M,C:C=C2087))"),455.0)</f>
        <v>455</v>
      </c>
      <c r="S2087" s="161" t="b">
        <f t="shared" si="5"/>
        <v>0</v>
      </c>
      <c r="T2087" s="161" t="b">
        <f t="array" ref="T2087">index('Query Tool'!B:B,match(H2087,'Query Tool'!C:C,0))</f>
        <v>1</v>
      </c>
      <c r="U2087" s="161" t="b">
        <f t="array" ref="U2087">index('Query Tool'!B:B,match(C2087,'Query Tool'!C:C,0))</f>
        <v>0</v>
      </c>
      <c r="V2087" s="161" t="b">
        <f>F2087&gt;='Query Tool'!C$32</f>
        <v>0</v>
      </c>
      <c r="W2087" s="161" t="b">
        <f t="array" ref="W2087">index(Dropdowns!B:B,match(I2087,Dropdowns!A:A,0))</f>
        <v>1</v>
      </c>
      <c r="X2087" s="161" t="b">
        <f t="array" ref="X2087">index('Query Tool'!B:B,match(D2087,'Query Tool'!C:C,0))</f>
        <v>1</v>
      </c>
      <c r="Y2087" s="161" t="str">
        <f t="shared" si="6"/>
        <v>linje01,2017-18</v>
      </c>
      <c r="Z2087" s="168">
        <f t="array" ref="Z2087">iferror(index(I:I,match($A2087&amp;","&amp;index('Year Conversion'!$A:$A,match($C2087,'Year Conversion'!$B:$B,0)),$Y:$Y,0))-I2087,"")</f>
        <v>1</v>
      </c>
      <c r="AA2087" s="168">
        <f t="array" ref="AA2087">iferror(index(J:J,match($A2087&amp;","&amp;index('Year Conversion'!$A:$A,match($C2087,'Year Conversion'!$B:$B,0)),$Y:$Y,0))-J2087,"")</f>
        <v>-1.152441955</v>
      </c>
      <c r="AB2087" s="168">
        <f t="array" ref="AB2087">iferror(index(K:K,match($A2087&amp;","&amp;index('Year Conversion'!$A:$A,match($C2087,'Year Conversion'!$B:$B,0)),$Y:$Y,0))-K2087,"")</f>
        <v>-0.8844199956</v>
      </c>
      <c r="AC2087" s="168" t="str">
        <f t="shared" si="7"/>
        <v>BRK,2017-18</v>
      </c>
    </row>
    <row r="2088">
      <c r="A2088" s="161" t="str">
        <f>IFERROR(__xludf.DUMMYFUNCTION("""COMPUTED_VALUE"""),"smithis01")</f>
        <v>smithis01</v>
      </c>
      <c r="B2088" s="161" t="str">
        <f>IFERROR(__xludf.DUMMYFUNCTION("""COMPUTED_VALUE"""),"Ish Smith")</f>
        <v>Ish Smith</v>
      </c>
      <c r="C2088" s="162" t="str">
        <f>IFERROR(__xludf.DUMMYFUNCTION("""COMPUTED_VALUE"""),"2017-18")</f>
        <v>2017-18</v>
      </c>
      <c r="D2088" s="163" t="str">
        <f>IFERROR(__xludf.DUMMYFUNCTION("""COMPUTED_VALUE"""),"DET")</f>
        <v>DET</v>
      </c>
      <c r="E2088" s="164" t="str">
        <f>IFERROR(__xludf.DUMMYFUNCTION("""COMPUTED_VALUE"""),"Slasher")</f>
        <v>Slasher</v>
      </c>
      <c r="F2088" s="164">
        <f>IFERROR(__xludf.DUMMYFUNCTION("""COMPUTED_VALUE"""),2042.635)</f>
        <v>2042.635</v>
      </c>
      <c r="G2088" s="163">
        <f>IFERROR(__xludf.DUMMYFUNCTION("""COMPUTED_VALUE"""),82.0)</f>
        <v>82</v>
      </c>
      <c r="H2088" s="163" t="str">
        <f>IFERROR(__xludf.DUMMYFUNCTION("""COMPUTED_VALUE"""),"PG")</f>
        <v>PG</v>
      </c>
      <c r="I2088" s="163">
        <f>IFERROR(__xludf.DUMMYFUNCTION("""COMPUTED_VALUE"""),29.0)</f>
        <v>29</v>
      </c>
      <c r="J2088" s="165">
        <f>IFERROR(__xludf.DUMMYFUNCTION("""COMPUTED_VALUE"""),-0.542819978262884)</f>
        <v>-0.5428199783</v>
      </c>
      <c r="K2088" s="165">
        <f>IFERROR(__xludf.DUMMYFUNCTION("""COMPUTED_VALUE"""),-0.0958171833666426)</f>
        <v>-0.09581718337</v>
      </c>
      <c r="L2088" s="165">
        <f>IFERROR(__xludf.DUMMYFUNCTION("""COMPUTED_VALUE"""),-0.447002794896241)</f>
        <v>-0.4470027949</v>
      </c>
      <c r="M2088" s="166">
        <f t="shared" si="2"/>
        <v>2.401837862</v>
      </c>
      <c r="N2088" s="167">
        <f t="shared" si="3"/>
        <v>24.91018293</v>
      </c>
      <c r="O2088" s="163">
        <f t="shared" ref="O2088:Q2088" si="2092">rank(I2088,I:I)</f>
        <v>855</v>
      </c>
      <c r="P2088" s="163">
        <f t="shared" si="2092"/>
        <v>1907</v>
      </c>
      <c r="Q2088" s="163">
        <f t="shared" si="2092"/>
        <v>1357</v>
      </c>
      <c r="R2088" s="163">
        <f>IFERROR(__xludf.DUMMYFUNCTION("RANK(M2088,filter(M:M,C:C=C2088))"),138.0)</f>
        <v>138</v>
      </c>
      <c r="S2088" s="161" t="b">
        <f t="shared" si="5"/>
        <v>0</v>
      </c>
      <c r="T2088" s="161" t="b">
        <f t="array" ref="T2088">index('Query Tool'!B:B,match(H2088,'Query Tool'!C:C,0))</f>
        <v>1</v>
      </c>
      <c r="U2088" s="161" t="b">
        <f t="array" ref="U2088">index('Query Tool'!B:B,match(C2088,'Query Tool'!C:C,0))</f>
        <v>0</v>
      </c>
      <c r="V2088" s="161" t="b">
        <f>F2088&gt;='Query Tool'!C$32</f>
        <v>1</v>
      </c>
      <c r="W2088" s="161" t="b">
        <f t="array" ref="W2088">index(Dropdowns!B:B,match(I2088,Dropdowns!A:A,0))</f>
        <v>1</v>
      </c>
      <c r="X2088" s="161" t="b">
        <f t="array" ref="X2088">index('Query Tool'!B:B,match(D2088,'Query Tool'!C:C,0))</f>
        <v>1</v>
      </c>
      <c r="Y2088" s="161" t="str">
        <f t="shared" si="6"/>
        <v>smithis01,2017-18</v>
      </c>
      <c r="Z2088" s="168">
        <f t="array" ref="Z2088">iferror(index(I:I,match($A2088&amp;","&amp;index('Year Conversion'!$A:$A,match($C2088,'Year Conversion'!$B:$B,0)),$Y:$Y,0))-I2088,"")</f>
        <v>1</v>
      </c>
      <c r="AA2088" s="168">
        <f t="array" ref="AA2088">iferror(index(J:J,match($A2088&amp;","&amp;index('Year Conversion'!$A:$A,match($C2088,'Year Conversion'!$B:$B,0)),$Y:$Y,0))-J2088,"")</f>
        <v>-0.9215477804</v>
      </c>
      <c r="AB2088" s="168">
        <f t="array" ref="AB2088">iferror(index(K:K,match($A2088&amp;","&amp;index('Year Conversion'!$A:$A,match($C2088,'Year Conversion'!$B:$B,0)),$Y:$Y,0))-K2088,"")</f>
        <v>0.03171169912</v>
      </c>
      <c r="AC2088" s="168" t="str">
        <f t="shared" si="7"/>
        <v>DET,2017-18</v>
      </c>
    </row>
    <row r="2089">
      <c r="A2089" s="161" t="str">
        <f>IFERROR(__xludf.DUMMYFUNCTION("""COMPUTED_VALUE"""),"thomala01")</f>
        <v>thomala01</v>
      </c>
      <c r="B2089" s="161" t="str">
        <f>IFERROR(__xludf.DUMMYFUNCTION("""COMPUTED_VALUE"""),"Lance Thomas")</f>
        <v>Lance Thomas</v>
      </c>
      <c r="C2089" s="162" t="str">
        <f>IFERROR(__xludf.DUMMYFUNCTION("""COMPUTED_VALUE"""),"2017-18")</f>
        <v>2017-18</v>
      </c>
      <c r="D2089" s="163" t="str">
        <f>IFERROR(__xludf.DUMMYFUNCTION("""COMPUTED_VALUE"""),"NYK")</f>
        <v>NYK</v>
      </c>
      <c r="E2089" s="164" t="str">
        <f>IFERROR(__xludf.DUMMYFUNCTION("""COMPUTED_VALUE"""),"Athletic Finisher")</f>
        <v>Athletic Finisher</v>
      </c>
      <c r="F2089" s="164">
        <f>IFERROR(__xludf.DUMMYFUNCTION("""COMPUTED_VALUE"""),1353.05833333333)</f>
        <v>1353.058333</v>
      </c>
      <c r="G2089" s="163">
        <f>IFERROR(__xludf.DUMMYFUNCTION("""COMPUTED_VALUE"""),73.0)</f>
        <v>73</v>
      </c>
      <c r="H2089" s="163" t="str">
        <f>IFERROR(__xludf.DUMMYFUNCTION("""COMPUTED_VALUE"""),"PF")</f>
        <v>PF</v>
      </c>
      <c r="I2089" s="163">
        <f>IFERROR(__xludf.DUMMYFUNCTION("""COMPUTED_VALUE"""),29.0)</f>
        <v>29</v>
      </c>
      <c r="J2089" s="165">
        <f>IFERROR(__xludf.DUMMYFUNCTION("""COMPUTED_VALUE"""),-2.75087095434369)</f>
        <v>-2.750870954</v>
      </c>
      <c r="K2089" s="165">
        <f>IFERROR(__xludf.DUMMYFUNCTION("""COMPUTED_VALUE"""),-2.54477158840683)</f>
        <v>-2.544771588</v>
      </c>
      <c r="L2089" s="165">
        <f>IFERROR(__xludf.DUMMYFUNCTION("""COMPUTED_VALUE"""),-0.206099365936863)</f>
        <v>-0.2060993659</v>
      </c>
      <c r="M2089" s="166">
        <f t="shared" si="2"/>
        <v>-0.3973776869</v>
      </c>
      <c r="N2089" s="167">
        <f t="shared" si="3"/>
        <v>18.53504566</v>
      </c>
      <c r="O2089" s="163">
        <f t="shared" ref="O2089:Q2089" si="2093">rank(I2089,I:I)</f>
        <v>855</v>
      </c>
      <c r="P2089" s="163">
        <f t="shared" si="2093"/>
        <v>3831</v>
      </c>
      <c r="Q2089" s="163">
        <f t="shared" si="2093"/>
        <v>3898</v>
      </c>
      <c r="R2089" s="163">
        <f>IFERROR(__xludf.DUMMYFUNCTION("RANK(M2089,filter(M:M,C:C=C2089))"),521.0)</f>
        <v>521</v>
      </c>
      <c r="S2089" s="161" t="b">
        <f t="shared" si="5"/>
        <v>0</v>
      </c>
      <c r="T2089" s="161" t="b">
        <f t="array" ref="T2089">index('Query Tool'!B:B,match(H2089,'Query Tool'!C:C,0))</f>
        <v>1</v>
      </c>
      <c r="U2089" s="161" t="b">
        <f t="array" ref="U2089">index('Query Tool'!B:B,match(C2089,'Query Tool'!C:C,0))</f>
        <v>0</v>
      </c>
      <c r="V2089" s="161" t="b">
        <f>F2089&gt;='Query Tool'!C$32</f>
        <v>1</v>
      </c>
      <c r="W2089" s="161" t="b">
        <f t="array" ref="W2089">index(Dropdowns!B:B,match(I2089,Dropdowns!A:A,0))</f>
        <v>1</v>
      </c>
      <c r="X2089" s="161" t="b">
        <f t="array" ref="X2089">index('Query Tool'!B:B,match(D2089,'Query Tool'!C:C,0))</f>
        <v>1</v>
      </c>
      <c r="Y2089" s="161" t="str">
        <f t="shared" si="6"/>
        <v>thomala01,2017-18</v>
      </c>
      <c r="Z2089" s="168">
        <f t="array" ref="Z2089">iferror(index(I:I,match($A2089&amp;","&amp;index('Year Conversion'!$A:$A,match($C2089,'Year Conversion'!$B:$B,0)),$Y:$Y,0))-I2089,"")</f>
        <v>1</v>
      </c>
      <c r="AA2089" s="168">
        <f t="array" ref="AA2089">iferror(index(J:J,match($A2089&amp;","&amp;index('Year Conversion'!$A:$A,match($C2089,'Year Conversion'!$B:$B,0)),$Y:$Y,0))-J2089,"")</f>
        <v>-0.6250223009</v>
      </c>
      <c r="AB2089" s="168">
        <f t="array" ref="AB2089">iferror(index(K:K,match($A2089&amp;","&amp;index('Year Conversion'!$A:$A,match($C2089,'Year Conversion'!$B:$B,0)),$Y:$Y,0))-K2089,"")</f>
        <v>-0.2178134454</v>
      </c>
      <c r="AC2089" s="168" t="str">
        <f t="shared" si="7"/>
        <v>NYK,2017-18</v>
      </c>
    </row>
    <row r="2090">
      <c r="A2090" s="161" t="str">
        <f>IFERROR(__xludf.DUMMYFUNCTION("""COMPUTED_VALUE"""),"irvinky01")</f>
        <v>irvinky01</v>
      </c>
      <c r="B2090" s="161" t="str">
        <f>IFERROR(__xludf.DUMMYFUNCTION("""COMPUTED_VALUE"""),"Kyrie Irving")</f>
        <v>Kyrie Irving</v>
      </c>
      <c r="C2090" s="162" t="str">
        <f>IFERROR(__xludf.DUMMYFUNCTION("""COMPUTED_VALUE"""),"2017-18")</f>
        <v>2017-18</v>
      </c>
      <c r="D2090" s="163" t="str">
        <f>IFERROR(__xludf.DUMMYFUNCTION("""COMPUTED_VALUE"""),"BOS")</f>
        <v>BOS</v>
      </c>
      <c r="E2090" s="164" t="str">
        <f>IFERROR(__xludf.DUMMYFUNCTION("""COMPUTED_VALUE"""),"Shot Creator")</f>
        <v>Shot Creator</v>
      </c>
      <c r="F2090" s="164">
        <f>IFERROR(__xludf.DUMMYFUNCTION("""COMPUTED_VALUE"""),1931.425)</f>
        <v>1931.425</v>
      </c>
      <c r="G2090" s="163">
        <f>IFERROR(__xludf.DUMMYFUNCTION("""COMPUTED_VALUE"""),60.0)</f>
        <v>60</v>
      </c>
      <c r="H2090" s="163" t="str">
        <f>IFERROR(__xludf.DUMMYFUNCTION("""COMPUTED_VALUE"""),"PG")</f>
        <v>PG</v>
      </c>
      <c r="I2090" s="163">
        <f>IFERROR(__xludf.DUMMYFUNCTION("""COMPUTED_VALUE"""),25.0)</f>
        <v>25</v>
      </c>
      <c r="J2090" s="165">
        <f>IFERROR(__xludf.DUMMYFUNCTION("""COMPUTED_VALUE"""),2.04566795877719)</f>
        <v>2.045667959</v>
      </c>
      <c r="K2090" s="165">
        <f>IFERROR(__xludf.DUMMYFUNCTION("""COMPUTED_VALUE"""),3.28375491255448)</f>
        <v>3.283754913</v>
      </c>
      <c r="L2090" s="165">
        <f>IFERROR(__xludf.DUMMYFUNCTION("""COMPUTED_VALUE"""),-1.23808695377729)</f>
        <v>-1.238086954</v>
      </c>
      <c r="M2090" s="166">
        <f t="shared" si="2"/>
        <v>5.625995635</v>
      </c>
      <c r="N2090" s="167">
        <f t="shared" si="3"/>
        <v>32.19041667</v>
      </c>
      <c r="O2090" s="163">
        <f t="shared" ref="O2090:Q2090" si="2094">rank(I2090,I:I)</f>
        <v>1995</v>
      </c>
      <c r="P2090" s="163">
        <f t="shared" si="2094"/>
        <v>309</v>
      </c>
      <c r="Q2090" s="163">
        <f t="shared" si="2094"/>
        <v>101</v>
      </c>
      <c r="R2090" s="163">
        <f>IFERROR(__xludf.DUMMYFUNCTION("RANK(M2090,filter(M:M,C:C=C2090))"),43.0)</f>
        <v>43</v>
      </c>
      <c r="S2090" s="161" t="b">
        <f t="shared" si="5"/>
        <v>0</v>
      </c>
      <c r="T2090" s="161" t="b">
        <f t="array" ref="T2090">index('Query Tool'!B:B,match(H2090,'Query Tool'!C:C,0))</f>
        <v>1</v>
      </c>
      <c r="U2090" s="161" t="b">
        <f t="array" ref="U2090">index('Query Tool'!B:B,match(C2090,'Query Tool'!C:C,0))</f>
        <v>0</v>
      </c>
      <c r="V2090" s="161" t="b">
        <f>F2090&gt;='Query Tool'!C$32</f>
        <v>1</v>
      </c>
      <c r="W2090" s="161" t="b">
        <f t="array" ref="W2090">index(Dropdowns!B:B,match(I2090,Dropdowns!A:A,0))</f>
        <v>1</v>
      </c>
      <c r="X2090" s="161" t="b">
        <f t="array" ref="X2090">index('Query Tool'!B:B,match(D2090,'Query Tool'!C:C,0))</f>
        <v>1</v>
      </c>
      <c r="Y2090" s="161" t="str">
        <f t="shared" si="6"/>
        <v>irvinky01,2017-18</v>
      </c>
      <c r="Z2090" s="168">
        <f t="array" ref="Z2090">iferror(index(I:I,match($A2090&amp;","&amp;index('Year Conversion'!$A:$A,match($C2090,'Year Conversion'!$B:$B,0)),$Y:$Y,0))-I2090,"")</f>
        <v>1</v>
      </c>
      <c r="AA2090" s="168">
        <f t="array" ref="AA2090">iferror(index(J:J,match($A2090&amp;","&amp;index('Year Conversion'!$A:$A,match($C2090,'Year Conversion'!$B:$B,0)),$Y:$Y,0))-J2090,"")</f>
        <v>1.877517026</v>
      </c>
      <c r="AB2090" s="168">
        <f t="array" ref="AB2090">iferror(index(K:K,match($A2090&amp;","&amp;index('Year Conversion'!$A:$A,match($C2090,'Year Conversion'!$B:$B,0)),$Y:$Y,0))-K2090,"")</f>
        <v>0.4296894453</v>
      </c>
      <c r="AC2090" s="168" t="str">
        <f t="shared" si="7"/>
        <v>BOS,2017-18</v>
      </c>
    </row>
    <row r="2091">
      <c r="A2091" s="161" t="str">
        <f>IFERROR(__xludf.DUMMYFUNCTION("""COMPUTED_VALUE"""),"willide02")</f>
        <v>willide02</v>
      </c>
      <c r="B2091" s="161" t="str">
        <f>IFERROR(__xludf.DUMMYFUNCTION("""COMPUTED_VALUE"""),"Derrick Williams")</f>
        <v>Derrick Williams</v>
      </c>
      <c r="C2091" s="162" t="str">
        <f>IFERROR(__xludf.DUMMYFUNCTION("""COMPUTED_VALUE"""),"2017-18")</f>
        <v>2017-18</v>
      </c>
      <c r="D2091" s="163" t="str">
        <f>IFERROR(__xludf.DUMMYFUNCTION("""COMPUTED_VALUE"""),"LAL")</f>
        <v>LAL</v>
      </c>
      <c r="E2091" s="164" t="str">
        <f>IFERROR(__xludf.DUMMYFUNCTION("""COMPUTED_VALUE"""),"Athletic Finisher")</f>
        <v>Athletic Finisher</v>
      </c>
      <c r="F2091" s="164">
        <f>IFERROR(__xludf.DUMMYFUNCTION("""COMPUTED_VALUE"""),8.525)</f>
        <v>8.525</v>
      </c>
      <c r="G2091" s="163">
        <f>IFERROR(__xludf.DUMMYFUNCTION("""COMPUTED_VALUE"""),2.0)</f>
        <v>2</v>
      </c>
      <c r="H2091" s="163" t="str">
        <f>IFERROR(__xludf.DUMMYFUNCTION("""COMPUTED_VALUE"""),"PF")</f>
        <v>PF</v>
      </c>
      <c r="I2091" s="163">
        <f>IFERROR(__xludf.DUMMYFUNCTION("""COMPUTED_VALUE"""),26.0)</f>
        <v>26</v>
      </c>
      <c r="J2091" s="165">
        <f>IFERROR(__xludf.DUMMYFUNCTION("""COMPUTED_VALUE"""),-0.188821331009362)</f>
        <v>-0.188821331</v>
      </c>
      <c r="K2091" s="165">
        <f>IFERROR(__xludf.DUMMYFUNCTION("""COMPUTED_VALUE"""),-0.17518610321059)</f>
        <v>-0.1751861032</v>
      </c>
      <c r="L2091" s="165">
        <f>IFERROR(__xludf.DUMMYFUNCTION("""COMPUTED_VALUE"""),-0.0136352277987725)</f>
        <v>-0.0136352278</v>
      </c>
      <c r="M2091" s="166">
        <f t="shared" si="2"/>
        <v>0.01205751749</v>
      </c>
      <c r="N2091" s="167">
        <f t="shared" si="3"/>
        <v>4.2625</v>
      </c>
      <c r="O2091" s="163">
        <f t="shared" ref="O2091:Q2091" si="2095">rank(I2091,I:I)</f>
        <v>1665</v>
      </c>
      <c r="P2091" s="163">
        <f t="shared" si="2095"/>
        <v>1493</v>
      </c>
      <c r="Q2091" s="163">
        <f t="shared" si="2095"/>
        <v>1522</v>
      </c>
      <c r="R2091" s="163">
        <f>IFERROR(__xludf.DUMMYFUNCTION("RANK(M2091,filter(M:M,C:C=C2091))"),469.0)</f>
        <v>469</v>
      </c>
      <c r="S2091" s="161" t="b">
        <f t="shared" si="5"/>
        <v>0</v>
      </c>
      <c r="T2091" s="161" t="b">
        <f t="array" ref="T2091">index('Query Tool'!B:B,match(H2091,'Query Tool'!C:C,0))</f>
        <v>1</v>
      </c>
      <c r="U2091" s="161" t="b">
        <f t="array" ref="U2091">index('Query Tool'!B:B,match(C2091,'Query Tool'!C:C,0))</f>
        <v>0</v>
      </c>
      <c r="V2091" s="161" t="b">
        <f>F2091&gt;='Query Tool'!C$32</f>
        <v>0</v>
      </c>
      <c r="W2091" s="161" t="b">
        <f t="array" ref="W2091">index(Dropdowns!B:B,match(I2091,Dropdowns!A:A,0))</f>
        <v>1</v>
      </c>
      <c r="X2091" s="161" t="b">
        <f t="array" ref="X2091">index('Query Tool'!B:B,match(D2091,'Query Tool'!C:C,0))</f>
        <v>1</v>
      </c>
      <c r="Y2091" s="161" t="str">
        <f t="shared" si="6"/>
        <v>willide02,2017-18</v>
      </c>
      <c r="Z2091" s="168" t="str">
        <f t="array" ref="Z2091">iferror(index(I:I,match($A2091&amp;","&amp;index('Year Conversion'!$A:$A,match($C2091,'Year Conversion'!$B:$B,0)),$Y:$Y,0))-I2091,"")</f>
        <v/>
      </c>
      <c r="AA2091" s="168" t="str">
        <f t="array" ref="AA2091">iferror(index(J:J,match($A2091&amp;","&amp;index('Year Conversion'!$A:$A,match($C2091,'Year Conversion'!$B:$B,0)),$Y:$Y,0))-J2091,"")</f>
        <v/>
      </c>
      <c r="AB2091" s="168" t="str">
        <f t="array" ref="AB2091">iferror(index(K:K,match($A2091&amp;","&amp;index('Year Conversion'!$A:$A,match($C2091,'Year Conversion'!$B:$B,0)),$Y:$Y,0))-K2091,"")</f>
        <v/>
      </c>
      <c r="AC2091" s="168" t="str">
        <f t="shared" si="7"/>
        <v>LAL,2017-18</v>
      </c>
    </row>
    <row r="2092">
      <c r="A2092" s="161" t="str">
        <f>IFERROR(__xludf.DUMMYFUNCTION("""COMPUTED_VALUE"""),"kanteen01")</f>
        <v>kanteen01</v>
      </c>
      <c r="B2092" s="161" t="str">
        <f>IFERROR(__xludf.DUMMYFUNCTION("""COMPUTED_VALUE"""),"Enes Kanter")</f>
        <v>Enes Kanter</v>
      </c>
      <c r="C2092" s="162" t="str">
        <f>IFERROR(__xludf.DUMMYFUNCTION("""COMPUTED_VALUE"""),"2017-18")</f>
        <v>2017-18</v>
      </c>
      <c r="D2092" s="163" t="str">
        <f>IFERROR(__xludf.DUMMYFUNCTION("""COMPUTED_VALUE"""),"NYK")</f>
        <v>NYK</v>
      </c>
      <c r="E2092" s="164" t="str">
        <f>IFERROR(__xludf.DUMMYFUNCTION("""COMPUTED_VALUE"""),"Post Scorer")</f>
        <v>Post Scorer</v>
      </c>
      <c r="F2092" s="164">
        <f>IFERROR(__xludf.DUMMYFUNCTION("""COMPUTED_VALUE"""),1829.7)</f>
        <v>1829.7</v>
      </c>
      <c r="G2092" s="163">
        <f>IFERROR(__xludf.DUMMYFUNCTION("""COMPUTED_VALUE"""),71.0)</f>
        <v>71</v>
      </c>
      <c r="H2092" s="163" t="str">
        <f>IFERROR(__xludf.DUMMYFUNCTION("""COMPUTED_VALUE"""),"C")</f>
        <v>C</v>
      </c>
      <c r="I2092" s="163">
        <f>IFERROR(__xludf.DUMMYFUNCTION("""COMPUTED_VALUE"""),25.0)</f>
        <v>25</v>
      </c>
      <c r="J2092" s="165">
        <f>IFERROR(__xludf.DUMMYFUNCTION("""COMPUTED_VALUE"""),0.75831957468996)</f>
        <v>0.7583195747</v>
      </c>
      <c r="K2092" s="165">
        <f>IFERROR(__xludf.DUMMYFUNCTION("""COMPUTED_VALUE"""),0.87847856650303)</f>
        <v>0.8784785665</v>
      </c>
      <c r="L2092" s="165">
        <f>IFERROR(__xludf.DUMMYFUNCTION("""COMPUTED_VALUE"""),-0.12015899181307)</f>
        <v>-0.1201589918</v>
      </c>
      <c r="M2092" s="166">
        <f t="shared" si="2"/>
        <v>3.755477511</v>
      </c>
      <c r="N2092" s="167">
        <f t="shared" si="3"/>
        <v>25.77042254</v>
      </c>
      <c r="O2092" s="163">
        <f t="shared" ref="O2092:Q2092" si="2096">rank(I2092,I:I)</f>
        <v>1995</v>
      </c>
      <c r="P2092" s="163">
        <f t="shared" si="2096"/>
        <v>764</v>
      </c>
      <c r="Q2092" s="163">
        <f t="shared" si="2096"/>
        <v>561</v>
      </c>
      <c r="R2092" s="163">
        <f>IFERROR(__xludf.DUMMYFUNCTION("RANK(M2092,filter(M:M,C:C=C2092))"),93.0)</f>
        <v>93</v>
      </c>
      <c r="S2092" s="161" t="b">
        <f t="shared" si="5"/>
        <v>0</v>
      </c>
      <c r="T2092" s="161" t="b">
        <f t="array" ref="T2092">index('Query Tool'!B:B,match(H2092,'Query Tool'!C:C,0))</f>
        <v>1</v>
      </c>
      <c r="U2092" s="161" t="b">
        <f t="array" ref="U2092">index('Query Tool'!B:B,match(C2092,'Query Tool'!C:C,0))</f>
        <v>0</v>
      </c>
      <c r="V2092" s="161" t="b">
        <f>F2092&gt;='Query Tool'!C$32</f>
        <v>1</v>
      </c>
      <c r="W2092" s="161" t="b">
        <f t="array" ref="W2092">index(Dropdowns!B:B,match(I2092,Dropdowns!A:A,0))</f>
        <v>1</v>
      </c>
      <c r="X2092" s="161" t="b">
        <f t="array" ref="X2092">index('Query Tool'!B:B,match(D2092,'Query Tool'!C:C,0))</f>
        <v>1</v>
      </c>
      <c r="Y2092" s="161" t="str">
        <f t="shared" si="6"/>
        <v>kanteen01,2017-18</v>
      </c>
      <c r="Z2092" s="168">
        <f t="array" ref="Z2092">iferror(index(I:I,match($A2092&amp;","&amp;index('Year Conversion'!$A:$A,match($C2092,'Year Conversion'!$B:$B,0)),$Y:$Y,0))-I2092,"")</f>
        <v>1</v>
      </c>
      <c r="AA2092" s="168">
        <f t="array" ref="AA2092">iferror(index(J:J,match($A2092&amp;","&amp;index('Year Conversion'!$A:$A,match($C2092,'Year Conversion'!$B:$B,0)),$Y:$Y,0))-J2092,"")</f>
        <v>-0.3205420021</v>
      </c>
      <c r="AB2092" s="168">
        <f t="array" ref="AB2092">iferror(index(K:K,match($A2092&amp;","&amp;index('Year Conversion'!$A:$A,match($C2092,'Year Conversion'!$B:$B,0)),$Y:$Y,0))-K2092,"")</f>
        <v>0.2944185134</v>
      </c>
      <c r="AC2092" s="168" t="str">
        <f t="shared" si="7"/>
        <v>NYK,2017-18</v>
      </c>
    </row>
    <row r="2093">
      <c r="A2093" s="161" t="str">
        <f>IFERROR(__xludf.DUMMYFUNCTION("""COMPUTED_VALUE"""),"thomptr01")</f>
        <v>thomptr01</v>
      </c>
      <c r="B2093" s="161" t="str">
        <f>IFERROR(__xludf.DUMMYFUNCTION("""COMPUTED_VALUE"""),"Tristan Thompson")</f>
        <v>Tristan Thompson</v>
      </c>
      <c r="C2093" s="162" t="str">
        <f>IFERROR(__xludf.DUMMYFUNCTION("""COMPUTED_VALUE"""),"2017-18")</f>
        <v>2017-18</v>
      </c>
      <c r="D2093" s="163" t="str">
        <f>IFERROR(__xludf.DUMMYFUNCTION("""COMPUTED_VALUE"""),"CLE")</f>
        <v>CLE</v>
      </c>
      <c r="E2093" s="164" t="str">
        <f>IFERROR(__xludf.DUMMYFUNCTION("""COMPUTED_VALUE"""),"Roll + Cut Big")</f>
        <v>Roll + Cut Big</v>
      </c>
      <c r="F2093" s="164">
        <f>IFERROR(__xludf.DUMMYFUNCTION("""COMPUTED_VALUE"""),1072.245)</f>
        <v>1072.245</v>
      </c>
      <c r="G2093" s="163">
        <f>IFERROR(__xludf.DUMMYFUNCTION("""COMPUTED_VALUE"""),53.0)</f>
        <v>53</v>
      </c>
      <c r="H2093" s="163" t="str">
        <f>IFERROR(__xludf.DUMMYFUNCTION("""COMPUTED_VALUE"""),"C")</f>
        <v>C</v>
      </c>
      <c r="I2093" s="163">
        <f>IFERROR(__xludf.DUMMYFUNCTION("""COMPUTED_VALUE"""),26.0)</f>
        <v>26</v>
      </c>
      <c r="J2093" s="165">
        <f>IFERROR(__xludf.DUMMYFUNCTION("""COMPUTED_VALUE"""),-1.94199408745719)</f>
        <v>-1.941994087</v>
      </c>
      <c r="K2093" s="165">
        <f>IFERROR(__xludf.DUMMYFUNCTION("""COMPUTED_VALUE"""),-1.20466278612543)</f>
        <v>-1.204662786</v>
      </c>
      <c r="L2093" s="165">
        <f>IFERROR(__xludf.DUMMYFUNCTION("""COMPUTED_VALUE"""),-0.73733130133176)</f>
        <v>-0.7373313013</v>
      </c>
      <c r="M2093" s="166">
        <f t="shared" si="2"/>
        <v>0.2564924248</v>
      </c>
      <c r="N2093" s="167">
        <f t="shared" si="3"/>
        <v>20.23103774</v>
      </c>
      <c r="O2093" s="163">
        <f t="shared" ref="O2093:Q2093" si="2097">rank(I2093,I:I)</f>
        <v>1665</v>
      </c>
      <c r="P2093" s="163">
        <f t="shared" si="2097"/>
        <v>3443</v>
      </c>
      <c r="Q2093" s="163">
        <f t="shared" si="2097"/>
        <v>3042</v>
      </c>
      <c r="R2093" s="163">
        <f>IFERROR(__xludf.DUMMYFUNCTION("RANK(M2093,filter(M:M,C:C=C2093))"),327.0)</f>
        <v>327</v>
      </c>
      <c r="S2093" s="161" t="b">
        <f t="shared" si="5"/>
        <v>0</v>
      </c>
      <c r="T2093" s="161" t="b">
        <f t="array" ref="T2093">index('Query Tool'!B:B,match(H2093,'Query Tool'!C:C,0))</f>
        <v>1</v>
      </c>
      <c r="U2093" s="161" t="b">
        <f t="array" ref="U2093">index('Query Tool'!B:B,match(C2093,'Query Tool'!C:C,0))</f>
        <v>0</v>
      </c>
      <c r="V2093" s="161" t="b">
        <f>F2093&gt;='Query Tool'!C$32</f>
        <v>1</v>
      </c>
      <c r="W2093" s="161" t="b">
        <f t="array" ref="W2093">index(Dropdowns!B:B,match(I2093,Dropdowns!A:A,0))</f>
        <v>1</v>
      </c>
      <c r="X2093" s="161" t="b">
        <f t="array" ref="X2093">index('Query Tool'!B:B,match(D2093,'Query Tool'!C:C,0))</f>
        <v>1</v>
      </c>
      <c r="Y2093" s="161" t="str">
        <f t="shared" si="6"/>
        <v>thomptr01,2017-18</v>
      </c>
      <c r="Z2093" s="168">
        <f t="array" ref="Z2093">iferror(index(I:I,match($A2093&amp;","&amp;index('Year Conversion'!$A:$A,match($C2093,'Year Conversion'!$B:$B,0)),$Y:$Y,0))-I2093,"")</f>
        <v>1</v>
      </c>
      <c r="AA2093" s="168">
        <f t="array" ref="AA2093">iferror(index(J:J,match($A2093&amp;","&amp;index('Year Conversion'!$A:$A,match($C2093,'Year Conversion'!$B:$B,0)),$Y:$Y,0))-J2093,"")</f>
        <v>1.740413152</v>
      </c>
      <c r="AB2093" s="168">
        <f t="array" ref="AB2093">iferror(index(K:K,match($A2093&amp;","&amp;index('Year Conversion'!$A:$A,match($C2093,'Year Conversion'!$B:$B,0)),$Y:$Y,0))-K2093,"")</f>
        <v>0.8739535651</v>
      </c>
      <c r="AC2093" s="168" t="str">
        <f t="shared" si="7"/>
        <v>CLE,2017-18</v>
      </c>
    </row>
    <row r="2094">
      <c r="A2094" s="161" t="str">
        <f>IFERROR(__xludf.DUMMYFUNCTION("""COMPUTED_VALUE"""),"valanjo01")</f>
        <v>valanjo01</v>
      </c>
      <c r="B2094" s="161" t="str">
        <f>IFERROR(__xludf.DUMMYFUNCTION("""COMPUTED_VALUE"""),"Jonas Valanciunas")</f>
        <v>Jonas Valanciunas</v>
      </c>
      <c r="C2094" s="162" t="str">
        <f>IFERROR(__xludf.DUMMYFUNCTION("""COMPUTED_VALUE"""),"2017-18")</f>
        <v>2017-18</v>
      </c>
      <c r="D2094" s="163" t="str">
        <f>IFERROR(__xludf.DUMMYFUNCTION("""COMPUTED_VALUE"""),"TOR")</f>
        <v>TOR</v>
      </c>
      <c r="E2094" s="164" t="str">
        <f>IFERROR(__xludf.DUMMYFUNCTION("""COMPUTED_VALUE"""),"Post Scorer")</f>
        <v>Post Scorer</v>
      </c>
      <c r="F2094" s="164">
        <f>IFERROR(__xludf.DUMMYFUNCTION("""COMPUTED_VALUE"""),1727.24)</f>
        <v>1727.24</v>
      </c>
      <c r="G2094" s="163">
        <f>IFERROR(__xludf.DUMMYFUNCTION("""COMPUTED_VALUE"""),77.0)</f>
        <v>77</v>
      </c>
      <c r="H2094" s="163" t="str">
        <f>IFERROR(__xludf.DUMMYFUNCTION("""COMPUTED_VALUE"""),"C")</f>
        <v>C</v>
      </c>
      <c r="I2094" s="163">
        <f>IFERROR(__xludf.DUMMYFUNCTION("""COMPUTED_VALUE"""),25.0)</f>
        <v>25</v>
      </c>
      <c r="J2094" s="165">
        <f>IFERROR(__xludf.DUMMYFUNCTION("""COMPUTED_VALUE"""),1.01358984835827)</f>
        <v>1.013589848</v>
      </c>
      <c r="K2094" s="165">
        <f>IFERROR(__xludf.DUMMYFUNCTION("""COMPUTED_VALUE"""),0.21592642001245)</f>
        <v>0.21592642</v>
      </c>
      <c r="L2094" s="165">
        <f>IFERROR(__xludf.DUMMYFUNCTION("""COMPUTED_VALUE"""),0.797663428345824)</f>
        <v>0.7976634283</v>
      </c>
      <c r="M2094" s="166">
        <f t="shared" si="2"/>
        <v>3.841459499</v>
      </c>
      <c r="N2094" s="167">
        <f t="shared" si="3"/>
        <v>22.43168831</v>
      </c>
      <c r="O2094" s="163">
        <f t="shared" ref="O2094:Q2094" si="2098">rank(I2094,I:I)</f>
        <v>1995</v>
      </c>
      <c r="P2094" s="163">
        <f t="shared" si="2098"/>
        <v>654</v>
      </c>
      <c r="Q2094" s="163">
        <f t="shared" si="2098"/>
        <v>974</v>
      </c>
      <c r="R2094" s="163">
        <f>IFERROR(__xludf.DUMMYFUNCTION("RANK(M2094,filter(M:M,C:C=C2094))"),91.0)</f>
        <v>91</v>
      </c>
      <c r="S2094" s="161" t="b">
        <f t="shared" si="5"/>
        <v>0</v>
      </c>
      <c r="T2094" s="161" t="b">
        <f t="array" ref="T2094">index('Query Tool'!B:B,match(H2094,'Query Tool'!C:C,0))</f>
        <v>1</v>
      </c>
      <c r="U2094" s="161" t="b">
        <f t="array" ref="U2094">index('Query Tool'!B:B,match(C2094,'Query Tool'!C:C,0))</f>
        <v>0</v>
      </c>
      <c r="V2094" s="161" t="b">
        <f>F2094&gt;='Query Tool'!C$32</f>
        <v>1</v>
      </c>
      <c r="W2094" s="161" t="b">
        <f t="array" ref="W2094">index(Dropdowns!B:B,match(I2094,Dropdowns!A:A,0))</f>
        <v>1</v>
      </c>
      <c r="X2094" s="161" t="b">
        <f t="array" ref="X2094">index('Query Tool'!B:B,match(D2094,'Query Tool'!C:C,0))</f>
        <v>1</v>
      </c>
      <c r="Y2094" s="161" t="str">
        <f t="shared" si="6"/>
        <v>valanjo01,2017-18</v>
      </c>
      <c r="Z2094" s="168">
        <f t="array" ref="Z2094">iferror(index(I:I,match($A2094&amp;","&amp;index('Year Conversion'!$A:$A,match($C2094,'Year Conversion'!$B:$B,0)),$Y:$Y,0))-I2094,"")</f>
        <v>1</v>
      </c>
      <c r="AA2094" s="168">
        <f t="array" ref="AA2094">iferror(index(J:J,match($A2094&amp;","&amp;index('Year Conversion'!$A:$A,match($C2094,'Year Conversion'!$B:$B,0)),$Y:$Y,0))-J2094,"")</f>
        <v>1.277304933</v>
      </c>
      <c r="AB2094" s="168">
        <f t="array" ref="AB2094">iferror(index(K:K,match($A2094&amp;","&amp;index('Year Conversion'!$A:$A,match($C2094,'Year Conversion'!$B:$B,0)),$Y:$Y,0))-K2094,"")</f>
        <v>1.195925264</v>
      </c>
      <c r="AC2094" s="168" t="str">
        <f t="shared" si="7"/>
        <v>TOR,2017-18</v>
      </c>
    </row>
    <row r="2095">
      <c r="A2095" s="161" t="str">
        <f>IFERROR(__xludf.DUMMYFUNCTION("""COMPUTED_VALUE"""),"biyombi01")</f>
        <v>biyombi01</v>
      </c>
      <c r="B2095" s="161" t="str">
        <f>IFERROR(__xludf.DUMMYFUNCTION("""COMPUTED_VALUE"""),"Bismack Biyombo")</f>
        <v>Bismack Biyombo</v>
      </c>
      <c r="C2095" s="162" t="str">
        <f>IFERROR(__xludf.DUMMYFUNCTION("""COMPUTED_VALUE"""),"2017-18")</f>
        <v>2017-18</v>
      </c>
      <c r="D2095" s="163" t="str">
        <f>IFERROR(__xludf.DUMMYFUNCTION("""COMPUTED_VALUE"""),"ORL")</f>
        <v>ORL</v>
      </c>
      <c r="E2095" s="164" t="str">
        <f>IFERROR(__xludf.DUMMYFUNCTION("""COMPUTED_VALUE"""),"Roll + Cut Big")</f>
        <v>Roll + Cut Big</v>
      </c>
      <c r="F2095" s="164">
        <f>IFERROR(__xludf.DUMMYFUNCTION("""COMPUTED_VALUE"""),1494.89)</f>
        <v>1494.89</v>
      </c>
      <c r="G2095" s="163">
        <f>IFERROR(__xludf.DUMMYFUNCTION("""COMPUTED_VALUE"""),82.0)</f>
        <v>82</v>
      </c>
      <c r="H2095" s="163" t="str">
        <f>IFERROR(__xludf.DUMMYFUNCTION("""COMPUTED_VALUE"""),"C")</f>
        <v>C</v>
      </c>
      <c r="I2095" s="163">
        <f>IFERROR(__xludf.DUMMYFUNCTION("""COMPUTED_VALUE"""),25.0)</f>
        <v>25</v>
      </c>
      <c r="J2095" s="165">
        <f>IFERROR(__xludf.DUMMYFUNCTION("""COMPUTED_VALUE"""),-3.1371682049016)</f>
        <v>-3.137168205</v>
      </c>
      <c r="K2095" s="165">
        <f>IFERROR(__xludf.DUMMYFUNCTION("""COMPUTED_VALUE"""),-3.42024474030647)</f>
        <v>-3.42024474</v>
      </c>
      <c r="L2095" s="165">
        <f>IFERROR(__xludf.DUMMYFUNCTION("""COMPUTED_VALUE"""),0.283076535404871)</f>
        <v>0.2830765354</v>
      </c>
      <c r="M2095" s="166">
        <f t="shared" si="2"/>
        <v>-0.8146084325</v>
      </c>
      <c r="N2095" s="167">
        <f t="shared" si="3"/>
        <v>18.23036585</v>
      </c>
      <c r="O2095" s="163">
        <f t="shared" ref="O2095:Q2095" si="2099">rank(I2095,I:I)</f>
        <v>1995</v>
      </c>
      <c r="P2095" s="163">
        <f t="shared" si="2099"/>
        <v>3915</v>
      </c>
      <c r="Q2095" s="163">
        <f t="shared" si="2099"/>
        <v>4003</v>
      </c>
      <c r="R2095" s="163">
        <f>IFERROR(__xludf.DUMMYFUNCTION("RANK(M2095,filter(M:M,C:C=C2095))"),533.0)</f>
        <v>533</v>
      </c>
      <c r="S2095" s="161" t="b">
        <f t="shared" si="5"/>
        <v>0</v>
      </c>
      <c r="T2095" s="161" t="b">
        <f t="array" ref="T2095">index('Query Tool'!B:B,match(H2095,'Query Tool'!C:C,0))</f>
        <v>1</v>
      </c>
      <c r="U2095" s="161" t="b">
        <f t="array" ref="U2095">index('Query Tool'!B:B,match(C2095,'Query Tool'!C:C,0))</f>
        <v>0</v>
      </c>
      <c r="V2095" s="161" t="b">
        <f>F2095&gt;='Query Tool'!C$32</f>
        <v>1</v>
      </c>
      <c r="W2095" s="161" t="b">
        <f t="array" ref="W2095">index(Dropdowns!B:B,match(I2095,Dropdowns!A:A,0))</f>
        <v>1</v>
      </c>
      <c r="X2095" s="161" t="b">
        <f t="array" ref="X2095">index('Query Tool'!B:B,match(D2095,'Query Tool'!C:C,0))</f>
        <v>1</v>
      </c>
      <c r="Y2095" s="161" t="str">
        <f t="shared" si="6"/>
        <v>biyombi01,2017-18</v>
      </c>
      <c r="Z2095" s="168">
        <f t="array" ref="Z2095">iferror(index(I:I,match($A2095&amp;","&amp;index('Year Conversion'!$A:$A,match($C2095,'Year Conversion'!$B:$B,0)),$Y:$Y,0))-I2095,"")</f>
        <v>1</v>
      </c>
      <c r="AA2095" s="168">
        <f t="array" ref="AA2095">iferror(index(J:J,match($A2095&amp;","&amp;index('Year Conversion'!$A:$A,match($C2095,'Year Conversion'!$B:$B,0)),$Y:$Y,0))-J2095,"")</f>
        <v>1.43659333</v>
      </c>
      <c r="AB2095" s="168">
        <f t="array" ref="AB2095">iferror(index(K:K,match($A2095&amp;","&amp;index('Year Conversion'!$A:$A,match($C2095,'Year Conversion'!$B:$B,0)),$Y:$Y,0))-K2095,"")</f>
        <v>1.06843385</v>
      </c>
      <c r="AC2095" s="168" t="str">
        <f t="shared" si="7"/>
        <v>ORL,2017-18</v>
      </c>
    </row>
    <row r="2096">
      <c r="A2096" s="161" t="str">
        <f>IFERROR(__xludf.DUMMYFUNCTION("""COMPUTED_VALUE"""),"walkeke02")</f>
        <v>walkeke02</v>
      </c>
      <c r="B2096" s="161" t="str">
        <f>IFERROR(__xludf.DUMMYFUNCTION("""COMPUTED_VALUE"""),"Kemba Walker")</f>
        <v>Kemba Walker</v>
      </c>
      <c r="C2096" s="162" t="str">
        <f>IFERROR(__xludf.DUMMYFUNCTION("""COMPUTED_VALUE"""),"2017-18")</f>
        <v>2017-18</v>
      </c>
      <c r="D2096" s="163" t="str">
        <f>IFERROR(__xludf.DUMMYFUNCTION("""COMPUTED_VALUE"""),"CHO")</f>
        <v>CHO</v>
      </c>
      <c r="E2096" s="164" t="str">
        <f>IFERROR(__xludf.DUMMYFUNCTION("""COMPUTED_VALUE"""),"Primary Ball Handler")</f>
        <v>Primary Ball Handler</v>
      </c>
      <c r="F2096" s="164">
        <f>IFERROR(__xludf.DUMMYFUNCTION("""COMPUTED_VALUE"""),2735.87833333333)</f>
        <v>2735.878333</v>
      </c>
      <c r="G2096" s="163">
        <f>IFERROR(__xludf.DUMMYFUNCTION("""COMPUTED_VALUE"""),80.0)</f>
        <v>80</v>
      </c>
      <c r="H2096" s="163" t="str">
        <f>IFERROR(__xludf.DUMMYFUNCTION("""COMPUTED_VALUE"""),"PG")</f>
        <v>PG</v>
      </c>
      <c r="I2096" s="163">
        <f>IFERROR(__xludf.DUMMYFUNCTION("""COMPUTED_VALUE"""),27.0)</f>
        <v>27</v>
      </c>
      <c r="J2096" s="165">
        <f>IFERROR(__xludf.DUMMYFUNCTION("""COMPUTED_VALUE"""),3.4397053355552)</f>
        <v>3.439705336</v>
      </c>
      <c r="K2096" s="165">
        <f>IFERROR(__xludf.DUMMYFUNCTION("""COMPUTED_VALUE"""),3.42468307995731)</f>
        <v>3.42468308</v>
      </c>
      <c r="L2096" s="165">
        <f>IFERROR(__xludf.DUMMYFUNCTION("""COMPUTED_VALUE"""),0.0150222555978952)</f>
        <v>0.0150222556</v>
      </c>
      <c r="M2096" s="166">
        <f t="shared" si="2"/>
        <v>10.460085</v>
      </c>
      <c r="N2096" s="167">
        <f t="shared" si="3"/>
        <v>34.19847917</v>
      </c>
      <c r="O2096" s="163">
        <f t="shared" ref="O2096:Q2096" si="2100">rank(I2096,I:I)</f>
        <v>1366</v>
      </c>
      <c r="P2096" s="163">
        <f t="shared" si="2100"/>
        <v>132</v>
      </c>
      <c r="Q2096" s="163">
        <f t="shared" si="2100"/>
        <v>94</v>
      </c>
      <c r="R2096" s="163">
        <f>IFERROR(__xludf.DUMMYFUNCTION("RANK(M2096,filter(M:M,C:C=C2096))"),11.0)</f>
        <v>11</v>
      </c>
      <c r="S2096" s="161" t="b">
        <f t="shared" si="5"/>
        <v>0</v>
      </c>
      <c r="T2096" s="161" t="b">
        <f t="array" ref="T2096">index('Query Tool'!B:B,match(H2096,'Query Tool'!C:C,0))</f>
        <v>1</v>
      </c>
      <c r="U2096" s="161" t="b">
        <f t="array" ref="U2096">index('Query Tool'!B:B,match(C2096,'Query Tool'!C:C,0))</f>
        <v>0</v>
      </c>
      <c r="V2096" s="161" t="b">
        <f>F2096&gt;='Query Tool'!C$32</f>
        <v>1</v>
      </c>
      <c r="W2096" s="161" t="b">
        <f t="array" ref="W2096">index(Dropdowns!B:B,match(I2096,Dropdowns!A:A,0))</f>
        <v>1</v>
      </c>
      <c r="X2096" s="161" t="b">
        <f t="array" ref="X2096">index('Query Tool'!B:B,match(D2096,'Query Tool'!C:C,0))</f>
        <v>1</v>
      </c>
      <c r="Y2096" s="161" t="str">
        <f t="shared" si="6"/>
        <v>walkeke02,2017-18</v>
      </c>
      <c r="Z2096" s="168">
        <f t="array" ref="Z2096">iferror(index(I:I,match($A2096&amp;","&amp;index('Year Conversion'!$A:$A,match($C2096,'Year Conversion'!$B:$B,0)),$Y:$Y,0))-I2096,"")</f>
        <v>1</v>
      </c>
      <c r="AA2096" s="168">
        <f t="array" ref="AA2096">iferror(index(J:J,match($A2096&amp;","&amp;index('Year Conversion'!$A:$A,match($C2096,'Year Conversion'!$B:$B,0)),$Y:$Y,0))-J2096,"")</f>
        <v>-0.935083192</v>
      </c>
      <c r="AB2096" s="168">
        <f t="array" ref="AB2096">iferror(index(K:K,match($A2096&amp;","&amp;index('Year Conversion'!$A:$A,match($C2096,'Year Conversion'!$B:$B,0)),$Y:$Y,0))-K2096,"")</f>
        <v>0.4377043927</v>
      </c>
      <c r="AC2096" s="168" t="str">
        <f t="shared" si="7"/>
        <v>CHO,2017-18</v>
      </c>
    </row>
    <row r="2097">
      <c r="A2097" s="161" t="str">
        <f>IFERROR(__xludf.DUMMYFUNCTION("""COMPUTED_VALUE"""),"thompkl01")</f>
        <v>thompkl01</v>
      </c>
      <c r="B2097" s="161" t="str">
        <f>IFERROR(__xludf.DUMMYFUNCTION("""COMPUTED_VALUE"""),"Klay Thompson")</f>
        <v>Klay Thompson</v>
      </c>
      <c r="C2097" s="162" t="str">
        <f>IFERROR(__xludf.DUMMYFUNCTION("""COMPUTED_VALUE"""),"2017-18")</f>
        <v>2017-18</v>
      </c>
      <c r="D2097" s="163" t="str">
        <f>IFERROR(__xludf.DUMMYFUNCTION("""COMPUTED_VALUE"""),"GSW")</f>
        <v>GSW</v>
      </c>
      <c r="E2097" s="164" t="str">
        <f>IFERROR(__xludf.DUMMYFUNCTION("""COMPUTED_VALUE"""),"Off Screen Shooter")</f>
        <v>Off Screen Shooter</v>
      </c>
      <c r="F2097" s="164">
        <f>IFERROR(__xludf.DUMMYFUNCTION("""COMPUTED_VALUE"""),2504.21666666667)</f>
        <v>2504.216667</v>
      </c>
      <c r="G2097" s="163">
        <f>IFERROR(__xludf.DUMMYFUNCTION("""COMPUTED_VALUE"""),73.0)</f>
        <v>73</v>
      </c>
      <c r="H2097" s="163" t="str">
        <f>IFERROR(__xludf.DUMMYFUNCTION("""COMPUTED_VALUE"""),"SG")</f>
        <v>SG</v>
      </c>
      <c r="I2097" s="163">
        <f>IFERROR(__xludf.DUMMYFUNCTION("""COMPUTED_VALUE"""),27.0)</f>
        <v>27</v>
      </c>
      <c r="J2097" s="165">
        <f>IFERROR(__xludf.DUMMYFUNCTION("""COMPUTED_VALUE"""),0.816899612560951)</f>
        <v>0.8168996126</v>
      </c>
      <c r="K2097" s="165">
        <f>IFERROR(__xludf.DUMMYFUNCTION("""COMPUTED_VALUE"""),1.15095181360173)</f>
        <v>1.150951814</v>
      </c>
      <c r="L2097" s="165">
        <f>IFERROR(__xludf.DUMMYFUNCTION("""COMPUTED_VALUE"""),-0.334052201040778)</f>
        <v>-0.334052201</v>
      </c>
      <c r="M2097" s="166">
        <f t="shared" si="2"/>
        <v>5.238576034</v>
      </c>
      <c r="N2097" s="167">
        <f t="shared" si="3"/>
        <v>34.3043379</v>
      </c>
      <c r="O2097" s="163">
        <f t="shared" ref="O2097:Q2097" si="2101">rank(I2097,I:I)</f>
        <v>1366</v>
      </c>
      <c r="P2097" s="163">
        <f t="shared" si="2101"/>
        <v>727</v>
      </c>
      <c r="Q2097" s="163">
        <f t="shared" si="2101"/>
        <v>434</v>
      </c>
      <c r="R2097" s="163">
        <f>IFERROR(__xludf.DUMMYFUNCTION("RANK(M2097,filter(M:M,C:C=C2097))"),49.0)</f>
        <v>49</v>
      </c>
      <c r="S2097" s="161" t="b">
        <f t="shared" si="5"/>
        <v>0</v>
      </c>
      <c r="T2097" s="161" t="b">
        <f t="array" ref="T2097">index('Query Tool'!B:B,match(H2097,'Query Tool'!C:C,0))</f>
        <v>1</v>
      </c>
      <c r="U2097" s="161" t="b">
        <f t="array" ref="U2097">index('Query Tool'!B:B,match(C2097,'Query Tool'!C:C,0))</f>
        <v>0</v>
      </c>
      <c r="V2097" s="161" t="b">
        <f>F2097&gt;='Query Tool'!C$32</f>
        <v>1</v>
      </c>
      <c r="W2097" s="161" t="b">
        <f t="array" ref="W2097">index(Dropdowns!B:B,match(I2097,Dropdowns!A:A,0))</f>
        <v>1</v>
      </c>
      <c r="X2097" s="161" t="b">
        <f t="array" ref="X2097">index('Query Tool'!B:B,match(D2097,'Query Tool'!C:C,0))</f>
        <v>1</v>
      </c>
      <c r="Y2097" s="161" t="str">
        <f t="shared" si="6"/>
        <v>thompkl01,2017-18</v>
      </c>
      <c r="Z2097" s="168">
        <f t="array" ref="Z2097">iferror(index(I:I,match($A2097&amp;","&amp;index('Year Conversion'!$A:$A,match($C2097,'Year Conversion'!$B:$B,0)),$Y:$Y,0))-I2097,"")</f>
        <v>1</v>
      </c>
      <c r="AA2097" s="168">
        <f t="array" ref="AA2097">iferror(index(J:J,match($A2097&amp;","&amp;index('Year Conversion'!$A:$A,match($C2097,'Year Conversion'!$B:$B,0)),$Y:$Y,0))-J2097,"")</f>
        <v>-0.266129756</v>
      </c>
      <c r="AB2097" s="168">
        <f t="array" ref="AB2097">iferror(index(K:K,match($A2097&amp;","&amp;index('Year Conversion'!$A:$A,match($C2097,'Year Conversion'!$B:$B,0)),$Y:$Y,0))-K2097,"")</f>
        <v>-0.04105636839</v>
      </c>
      <c r="AC2097" s="168" t="str">
        <f t="shared" si="7"/>
        <v>GSW,2017-18</v>
      </c>
    </row>
    <row r="2098">
      <c r="A2098" s="161" t="str">
        <f>IFERROR(__xludf.DUMMYFUNCTION("""COMPUTED_VALUE"""),"burksal01")</f>
        <v>burksal01</v>
      </c>
      <c r="B2098" s="161" t="str">
        <f>IFERROR(__xludf.DUMMYFUNCTION("""COMPUTED_VALUE"""),"Alec Burks")</f>
        <v>Alec Burks</v>
      </c>
      <c r="C2098" s="162" t="str">
        <f>IFERROR(__xludf.DUMMYFUNCTION("""COMPUTED_VALUE"""),"2017-18")</f>
        <v>2017-18</v>
      </c>
      <c r="D2098" s="163" t="str">
        <f>IFERROR(__xludf.DUMMYFUNCTION("""COMPUTED_VALUE"""),"UTA")</f>
        <v>UTA</v>
      </c>
      <c r="E2098" s="164" t="str">
        <f>IFERROR(__xludf.DUMMYFUNCTION("""COMPUTED_VALUE"""),"Secondary Ball Handler")</f>
        <v>Secondary Ball Handler</v>
      </c>
      <c r="F2098" s="164">
        <f>IFERROR(__xludf.DUMMYFUNCTION("""COMPUTED_VALUE"""),1058.66)</f>
        <v>1058.66</v>
      </c>
      <c r="G2098" s="163">
        <f>IFERROR(__xludf.DUMMYFUNCTION("""COMPUTED_VALUE"""),64.0)</f>
        <v>64</v>
      </c>
      <c r="H2098" s="163" t="str">
        <f>IFERROR(__xludf.DUMMYFUNCTION("""COMPUTED_VALUE"""),"SG")</f>
        <v>SG</v>
      </c>
      <c r="I2098" s="163">
        <f>IFERROR(__xludf.DUMMYFUNCTION("""COMPUTED_VALUE"""),26.0)</f>
        <v>26</v>
      </c>
      <c r="J2098" s="165">
        <f>IFERROR(__xludf.DUMMYFUNCTION("""COMPUTED_VALUE"""),-1.09322758476374)</f>
        <v>-1.093227585</v>
      </c>
      <c r="K2098" s="165">
        <f>IFERROR(__xludf.DUMMYFUNCTION("""COMPUTED_VALUE"""),-0.590008557868976)</f>
        <v>-0.5900085579</v>
      </c>
      <c r="L2098" s="165">
        <f>IFERROR(__xludf.DUMMYFUNCTION("""COMPUTED_VALUE"""),-0.503219026894762)</f>
        <v>-0.5032190269</v>
      </c>
      <c r="M2098" s="166">
        <f t="shared" si="2"/>
        <v>0.853115897</v>
      </c>
      <c r="N2098" s="167">
        <f t="shared" si="3"/>
        <v>16.5415625</v>
      </c>
      <c r="O2098" s="163">
        <f t="shared" ref="O2098:Q2098" si="2102">rank(I2098,I:I)</f>
        <v>1665</v>
      </c>
      <c r="P2098" s="163">
        <f t="shared" si="2102"/>
        <v>2604</v>
      </c>
      <c r="Q2098" s="163">
        <f t="shared" si="2102"/>
        <v>2252</v>
      </c>
      <c r="R2098" s="163">
        <f>IFERROR(__xludf.DUMMYFUNCTION("RANK(M2098,filter(M:M,C:C=C2098))"),252.0)</f>
        <v>252</v>
      </c>
      <c r="S2098" s="161" t="b">
        <f t="shared" si="5"/>
        <v>0</v>
      </c>
      <c r="T2098" s="161" t="b">
        <f t="array" ref="T2098">index('Query Tool'!B:B,match(H2098,'Query Tool'!C:C,0))</f>
        <v>1</v>
      </c>
      <c r="U2098" s="161" t="b">
        <f t="array" ref="U2098">index('Query Tool'!B:B,match(C2098,'Query Tool'!C:C,0))</f>
        <v>0</v>
      </c>
      <c r="V2098" s="161" t="b">
        <f>F2098&gt;='Query Tool'!C$32</f>
        <v>1</v>
      </c>
      <c r="W2098" s="161" t="b">
        <f t="array" ref="W2098">index(Dropdowns!B:B,match(I2098,Dropdowns!A:A,0))</f>
        <v>1</v>
      </c>
      <c r="X2098" s="161" t="b">
        <f t="array" ref="X2098">index('Query Tool'!B:B,match(D2098,'Query Tool'!C:C,0))</f>
        <v>1</v>
      </c>
      <c r="Y2098" s="161" t="str">
        <f t="shared" si="6"/>
        <v>burksal01,2017-18</v>
      </c>
      <c r="Z2098" s="168">
        <f t="array" ref="Z2098">iferror(index(I:I,match($A2098&amp;","&amp;index('Year Conversion'!$A:$A,match($C2098,'Year Conversion'!$B:$B,0)),$Y:$Y,0))-I2098,"")</f>
        <v>1</v>
      </c>
      <c r="AA2098" s="168">
        <f t="array" ref="AA2098">iferror(index(J:J,match($A2098&amp;","&amp;index('Year Conversion'!$A:$A,match($C2098,'Year Conversion'!$B:$B,0)),$Y:$Y,0))-J2098,"")</f>
        <v>-0.472783331</v>
      </c>
      <c r="AB2098" s="168">
        <f t="array" ref="AB2098">iferror(index(K:K,match($A2098&amp;","&amp;index('Year Conversion'!$A:$A,match($C2098,'Year Conversion'!$B:$B,0)),$Y:$Y,0))-K2098,"")</f>
        <v>-0.01488056131</v>
      </c>
      <c r="AC2098" s="168" t="str">
        <f t="shared" si="7"/>
        <v>UTA,2017-18</v>
      </c>
    </row>
    <row r="2099">
      <c r="A2099" s="161" t="str">
        <f>IFERROR(__xludf.DUMMYFUNCTION("""COMPUTED_VALUE"""),"morrima02")</f>
        <v>morrima02</v>
      </c>
      <c r="B2099" s="161" t="str">
        <f>IFERROR(__xludf.DUMMYFUNCTION("""COMPUTED_VALUE"""),"Markieff Morris")</f>
        <v>Markieff Morris</v>
      </c>
      <c r="C2099" s="162" t="str">
        <f>IFERROR(__xludf.DUMMYFUNCTION("""COMPUTED_VALUE"""),"2017-18")</f>
        <v>2017-18</v>
      </c>
      <c r="D2099" s="163" t="str">
        <f>IFERROR(__xludf.DUMMYFUNCTION("""COMPUTED_VALUE"""),"WAS")</f>
        <v>WAS</v>
      </c>
      <c r="E2099" s="164" t="str">
        <f>IFERROR(__xludf.DUMMYFUNCTION("""COMPUTED_VALUE"""),"Versatile Big")</f>
        <v>Versatile Big</v>
      </c>
      <c r="F2099" s="164">
        <f>IFERROR(__xludf.DUMMYFUNCTION("""COMPUTED_VALUE"""),1967.75333333333)</f>
        <v>1967.753333</v>
      </c>
      <c r="G2099" s="163">
        <f>IFERROR(__xludf.DUMMYFUNCTION("""COMPUTED_VALUE"""),73.0)</f>
        <v>73</v>
      </c>
      <c r="H2099" s="163" t="str">
        <f>IFERROR(__xludf.DUMMYFUNCTION("""COMPUTED_VALUE"""),"PF")</f>
        <v>PF</v>
      </c>
      <c r="I2099" s="163">
        <f>IFERROR(__xludf.DUMMYFUNCTION("""COMPUTED_VALUE"""),28.0)</f>
        <v>28</v>
      </c>
      <c r="J2099" s="165">
        <f>IFERROR(__xludf.DUMMYFUNCTION("""COMPUTED_VALUE"""),-1.45588068204528)</f>
        <v>-1.455880682</v>
      </c>
      <c r="K2099" s="165">
        <f>IFERROR(__xludf.DUMMYFUNCTION("""COMPUTED_VALUE"""),-1.10515865057813)</f>
        <v>-1.105158651</v>
      </c>
      <c r="L2099" s="165">
        <f>IFERROR(__xludf.DUMMYFUNCTION("""COMPUTED_VALUE"""),-0.350722031467159)</f>
        <v>-0.3507220315</v>
      </c>
      <c r="M2099" s="166">
        <f t="shared" si="2"/>
        <v>1.107858348</v>
      </c>
      <c r="N2099" s="167">
        <f t="shared" si="3"/>
        <v>26.95552511</v>
      </c>
      <c r="O2099" s="163">
        <f t="shared" ref="O2099:Q2099" si="2103">rank(I2099,I:I)</f>
        <v>1090</v>
      </c>
      <c r="P2099" s="163">
        <f t="shared" si="2103"/>
        <v>3011</v>
      </c>
      <c r="Q2099" s="163">
        <f t="shared" si="2103"/>
        <v>2935</v>
      </c>
      <c r="R2099" s="163">
        <f>IFERROR(__xludf.DUMMYFUNCTION("RANK(M2099,filter(M:M,C:C=C2099))"),225.0)</f>
        <v>225</v>
      </c>
      <c r="S2099" s="161" t="b">
        <f t="shared" si="5"/>
        <v>0</v>
      </c>
      <c r="T2099" s="161" t="b">
        <f t="array" ref="T2099">index('Query Tool'!B:B,match(H2099,'Query Tool'!C:C,0))</f>
        <v>1</v>
      </c>
      <c r="U2099" s="161" t="b">
        <f t="array" ref="U2099">index('Query Tool'!B:B,match(C2099,'Query Tool'!C:C,0))</f>
        <v>0</v>
      </c>
      <c r="V2099" s="161" t="b">
        <f>F2099&gt;='Query Tool'!C$32</f>
        <v>1</v>
      </c>
      <c r="W2099" s="161" t="b">
        <f t="array" ref="W2099">index(Dropdowns!B:B,match(I2099,Dropdowns!A:A,0))</f>
        <v>1</v>
      </c>
      <c r="X2099" s="161" t="b">
        <f t="array" ref="X2099">index('Query Tool'!B:B,match(D2099,'Query Tool'!C:C,0))</f>
        <v>1</v>
      </c>
      <c r="Y2099" s="161" t="str">
        <f t="shared" si="6"/>
        <v>morrima02,2017-18</v>
      </c>
      <c r="Z2099" s="168">
        <f t="array" ref="Z2099">iferror(index(I:I,match($A2099&amp;","&amp;index('Year Conversion'!$A:$A,match($C2099,'Year Conversion'!$B:$B,0)),$Y:$Y,0))-I2099,"")</f>
        <v>1</v>
      </c>
      <c r="AA2099" s="168">
        <f t="array" ref="AA2099">iferror(index(J:J,match($A2099&amp;","&amp;index('Year Conversion'!$A:$A,match($C2099,'Year Conversion'!$B:$B,0)),$Y:$Y,0))-J2099,"")</f>
        <v>-0.7760837848</v>
      </c>
      <c r="AB2099" s="168">
        <f t="array" ref="AB2099">iferror(index(K:K,match($A2099&amp;","&amp;index('Year Conversion'!$A:$A,match($C2099,'Year Conversion'!$B:$B,0)),$Y:$Y,0))-K2099,"")</f>
        <v>-0.086067314</v>
      </c>
      <c r="AC2099" s="168" t="str">
        <f t="shared" si="7"/>
        <v>WAS,2017-18</v>
      </c>
    </row>
    <row r="2100">
      <c r="A2100" s="161" t="str">
        <f>IFERROR(__xludf.DUMMYFUNCTION("""COMPUTED_VALUE"""),"morrima03")</f>
        <v>morrima03</v>
      </c>
      <c r="B2100" s="161" t="str">
        <f>IFERROR(__xludf.DUMMYFUNCTION("""COMPUTED_VALUE"""),"Marcus Morris Sr.")</f>
        <v>Marcus Morris Sr.</v>
      </c>
      <c r="C2100" s="162" t="str">
        <f>IFERROR(__xludf.DUMMYFUNCTION("""COMPUTED_VALUE"""),"2017-18")</f>
        <v>2017-18</v>
      </c>
      <c r="D2100" s="163" t="str">
        <f>IFERROR(__xludf.DUMMYFUNCTION("""COMPUTED_VALUE"""),"BOS")</f>
        <v>BOS</v>
      </c>
      <c r="E2100" s="164" t="str">
        <f>IFERROR(__xludf.DUMMYFUNCTION("""COMPUTED_VALUE"""),"Stationary Shooter")</f>
        <v>Stationary Shooter</v>
      </c>
      <c r="F2100" s="164">
        <f>IFERROR(__xludf.DUMMYFUNCTION("""COMPUTED_VALUE"""),1442.055)</f>
        <v>1442.055</v>
      </c>
      <c r="G2100" s="163">
        <f>IFERROR(__xludf.DUMMYFUNCTION("""COMPUTED_VALUE"""),54.0)</f>
        <v>54</v>
      </c>
      <c r="H2100" s="163" t="str">
        <f>IFERROR(__xludf.DUMMYFUNCTION("""COMPUTED_VALUE"""),"PF")</f>
        <v>PF</v>
      </c>
      <c r="I2100" s="163">
        <f>IFERROR(__xludf.DUMMYFUNCTION("""COMPUTED_VALUE"""),28.0)</f>
        <v>28</v>
      </c>
      <c r="J2100" s="165">
        <f>IFERROR(__xludf.DUMMYFUNCTION("""COMPUTED_VALUE"""),-1.60614416502067)</f>
        <v>-1.606144165</v>
      </c>
      <c r="K2100" s="165">
        <f>IFERROR(__xludf.DUMMYFUNCTION("""COMPUTED_VALUE"""),-0.398302753202563)</f>
        <v>-0.3983027532</v>
      </c>
      <c r="L2100" s="165">
        <f>IFERROR(__xludf.DUMMYFUNCTION("""COMPUTED_VALUE"""),-1.20784141181811)</f>
        <v>-1.207841412</v>
      </c>
      <c r="M2100" s="166">
        <f t="shared" si="2"/>
        <v>0.667216653</v>
      </c>
      <c r="N2100" s="167">
        <f t="shared" si="3"/>
        <v>26.70472222</v>
      </c>
      <c r="O2100" s="163">
        <f t="shared" ref="O2100:Q2100" si="2104">rank(I2100,I:I)</f>
        <v>1090</v>
      </c>
      <c r="P2100" s="163">
        <f t="shared" si="2104"/>
        <v>3153</v>
      </c>
      <c r="Q2100" s="163">
        <f t="shared" si="2104"/>
        <v>1939</v>
      </c>
      <c r="R2100" s="163">
        <f>IFERROR(__xludf.DUMMYFUNCTION("RANK(M2100,filter(M:M,C:C=C2100))"),274.0)</f>
        <v>274</v>
      </c>
      <c r="S2100" s="161" t="b">
        <f t="shared" si="5"/>
        <v>0</v>
      </c>
      <c r="T2100" s="161" t="b">
        <f t="array" ref="T2100">index('Query Tool'!B:B,match(H2100,'Query Tool'!C:C,0))</f>
        <v>1</v>
      </c>
      <c r="U2100" s="161" t="b">
        <f t="array" ref="U2100">index('Query Tool'!B:B,match(C2100,'Query Tool'!C:C,0))</f>
        <v>0</v>
      </c>
      <c r="V2100" s="161" t="b">
        <f>F2100&gt;='Query Tool'!C$32</f>
        <v>1</v>
      </c>
      <c r="W2100" s="161" t="b">
        <f t="array" ref="W2100">index(Dropdowns!B:B,match(I2100,Dropdowns!A:A,0))</f>
        <v>1</v>
      </c>
      <c r="X2100" s="161" t="b">
        <f t="array" ref="X2100">index('Query Tool'!B:B,match(D2100,'Query Tool'!C:C,0))</f>
        <v>1</v>
      </c>
      <c r="Y2100" s="161" t="str">
        <f t="shared" si="6"/>
        <v>morrima03,2017-18</v>
      </c>
      <c r="Z2100" s="168">
        <f t="array" ref="Z2100">iferror(index(I:I,match($A2100&amp;","&amp;index('Year Conversion'!$A:$A,match($C2100,'Year Conversion'!$B:$B,0)),$Y:$Y,0))-I2100,"")</f>
        <v>1</v>
      </c>
      <c r="AA2100" s="168">
        <f t="array" ref="AA2100">iferror(index(J:J,match($A2100&amp;","&amp;index('Year Conversion'!$A:$A,match($C2100,'Year Conversion'!$B:$B,0)),$Y:$Y,0))-J2100,"")</f>
        <v>1.943222927</v>
      </c>
      <c r="AB2100" s="168">
        <f t="array" ref="AB2100">iferror(index(K:K,match($A2100&amp;","&amp;index('Year Conversion'!$A:$A,match($C2100,'Year Conversion'!$B:$B,0)),$Y:$Y,0))-K2100,"")</f>
        <v>0.7180705101</v>
      </c>
      <c r="AC2100" s="168" t="str">
        <f t="shared" si="7"/>
        <v>BOS,2017-18</v>
      </c>
    </row>
    <row r="2101">
      <c r="A2101" s="161" t="str">
        <f>IFERROR(__xludf.DUMMYFUNCTION("""COMPUTED_VALUE"""),"leonaka01")</f>
        <v>leonaka01</v>
      </c>
      <c r="B2101" s="161" t="str">
        <f>IFERROR(__xludf.DUMMYFUNCTION("""COMPUTED_VALUE"""),"Kawhi Leonard")</f>
        <v>Kawhi Leonard</v>
      </c>
      <c r="C2101" s="162" t="str">
        <f>IFERROR(__xludf.DUMMYFUNCTION("""COMPUTED_VALUE"""),"2017-18")</f>
        <v>2017-18</v>
      </c>
      <c r="D2101" s="163" t="str">
        <f>IFERROR(__xludf.DUMMYFUNCTION("""COMPUTED_VALUE"""),"SAS")</f>
        <v>SAS</v>
      </c>
      <c r="E2101" s="164" t="str">
        <f>IFERROR(__xludf.DUMMYFUNCTION("""COMPUTED_VALUE"""),"Secondary Ball Handler")</f>
        <v>Secondary Ball Handler</v>
      </c>
      <c r="F2101" s="164">
        <f>IFERROR(__xludf.DUMMYFUNCTION("""COMPUTED_VALUE"""),209.861666666667)</f>
        <v>209.8616667</v>
      </c>
      <c r="G2101" s="163">
        <f>IFERROR(__xludf.DUMMYFUNCTION("""COMPUTED_VALUE"""),9.0)</f>
        <v>9</v>
      </c>
      <c r="H2101" s="163" t="str">
        <f>IFERROR(__xludf.DUMMYFUNCTION("""COMPUTED_VALUE"""),"SF")</f>
        <v>SF</v>
      </c>
      <c r="I2101" s="163">
        <f>IFERROR(__xludf.DUMMYFUNCTION("""COMPUTED_VALUE"""),26.0)</f>
        <v>26</v>
      </c>
      <c r="J2101" s="165">
        <f>IFERROR(__xludf.DUMMYFUNCTION("""COMPUTED_VALUE"""),1.45358141102203)</f>
        <v>1.453581411</v>
      </c>
      <c r="K2101" s="165">
        <f>IFERROR(__xludf.DUMMYFUNCTION("""COMPUTED_VALUE"""),0.651490976945502)</f>
        <v>0.6514909769</v>
      </c>
      <c r="L2101" s="165">
        <f>IFERROR(__xludf.DUMMYFUNCTION("""COMPUTED_VALUE"""),0.802090434076531)</f>
        <v>0.8020904341</v>
      </c>
      <c r="M2101" s="166">
        <f t="shared" si="2"/>
        <v>0.5285974801</v>
      </c>
      <c r="N2101" s="167">
        <f t="shared" si="3"/>
        <v>23.31796296</v>
      </c>
      <c r="O2101" s="163">
        <f t="shared" ref="O2101:Q2101" si="2105">rank(I2101,I:I)</f>
        <v>1665</v>
      </c>
      <c r="P2101" s="163">
        <f t="shared" si="2105"/>
        <v>472</v>
      </c>
      <c r="Q2101" s="163">
        <f t="shared" si="2105"/>
        <v>676</v>
      </c>
      <c r="R2101" s="163">
        <f>IFERROR(__xludf.DUMMYFUNCTION("RANK(M2101,filter(M:M,C:C=C2101))"),290.0)</f>
        <v>290</v>
      </c>
      <c r="S2101" s="161" t="b">
        <f t="shared" si="5"/>
        <v>0</v>
      </c>
      <c r="T2101" s="161" t="b">
        <f t="array" ref="T2101">index('Query Tool'!B:B,match(H2101,'Query Tool'!C:C,0))</f>
        <v>1</v>
      </c>
      <c r="U2101" s="161" t="b">
        <f t="array" ref="U2101">index('Query Tool'!B:B,match(C2101,'Query Tool'!C:C,0))</f>
        <v>0</v>
      </c>
      <c r="V2101" s="161" t="b">
        <f>F2101&gt;='Query Tool'!C$32</f>
        <v>0</v>
      </c>
      <c r="W2101" s="161" t="b">
        <f t="array" ref="W2101">index(Dropdowns!B:B,match(I2101,Dropdowns!A:A,0))</f>
        <v>1</v>
      </c>
      <c r="X2101" s="161" t="b">
        <f t="array" ref="X2101">index('Query Tool'!B:B,match(D2101,'Query Tool'!C:C,0))</f>
        <v>1</v>
      </c>
      <c r="Y2101" s="161" t="str">
        <f t="shared" si="6"/>
        <v>leonaka01,2017-18</v>
      </c>
      <c r="Z2101" s="168">
        <f t="array" ref="Z2101">iferror(index(I:I,match($A2101&amp;","&amp;index('Year Conversion'!$A:$A,match($C2101,'Year Conversion'!$B:$B,0)),$Y:$Y,0))-I2101,"")</f>
        <v>1</v>
      </c>
      <c r="AA2101" s="168">
        <f t="array" ref="AA2101">iferror(index(J:J,match($A2101&amp;","&amp;index('Year Conversion'!$A:$A,match($C2101,'Year Conversion'!$B:$B,0)),$Y:$Y,0))-J2101,"")</f>
        <v>2.793826968</v>
      </c>
      <c r="AB2101" s="168">
        <f t="array" ref="AB2101">iferror(index(K:K,match($A2101&amp;","&amp;index('Year Conversion'!$A:$A,match($C2101,'Year Conversion'!$B:$B,0)),$Y:$Y,0))-K2101,"")</f>
        <v>3.054908573</v>
      </c>
      <c r="AC2101" s="168" t="str">
        <f t="shared" si="7"/>
        <v>SAS,2017-18</v>
      </c>
    </row>
    <row r="2102">
      <c r="A2102" s="161" t="str">
        <f>IFERROR(__xludf.DUMMYFUNCTION("""COMPUTED_VALUE"""),"vucevni01")</f>
        <v>vucevni01</v>
      </c>
      <c r="B2102" s="161" t="str">
        <f>IFERROR(__xludf.DUMMYFUNCTION("""COMPUTED_VALUE"""),"Nikola Vucevic")</f>
        <v>Nikola Vucevic</v>
      </c>
      <c r="C2102" s="162" t="str">
        <f>IFERROR(__xludf.DUMMYFUNCTION("""COMPUTED_VALUE"""),"2017-18")</f>
        <v>2017-18</v>
      </c>
      <c r="D2102" s="163" t="str">
        <f>IFERROR(__xludf.DUMMYFUNCTION("""COMPUTED_VALUE"""),"ORL")</f>
        <v>ORL</v>
      </c>
      <c r="E2102" s="164" t="str">
        <f>IFERROR(__xludf.DUMMYFUNCTION("""COMPUTED_VALUE"""),"Post Scorer")</f>
        <v>Post Scorer</v>
      </c>
      <c r="F2102" s="164">
        <f>IFERROR(__xludf.DUMMYFUNCTION("""COMPUTED_VALUE"""),1683.12833333333)</f>
        <v>1683.128333</v>
      </c>
      <c r="G2102" s="163">
        <f>IFERROR(__xludf.DUMMYFUNCTION("""COMPUTED_VALUE"""),57.0)</f>
        <v>57</v>
      </c>
      <c r="H2102" s="163" t="str">
        <f>IFERROR(__xludf.DUMMYFUNCTION("""COMPUTED_VALUE"""),"C")</f>
        <v>C</v>
      </c>
      <c r="I2102" s="163">
        <f>IFERROR(__xludf.DUMMYFUNCTION("""COMPUTED_VALUE"""),27.0)</f>
        <v>27</v>
      </c>
      <c r="J2102" s="165">
        <f>IFERROR(__xludf.DUMMYFUNCTION("""COMPUTED_VALUE"""),1.93039811889633)</f>
        <v>1.930398119</v>
      </c>
      <c r="K2102" s="165">
        <f>IFERROR(__xludf.DUMMYFUNCTION("""COMPUTED_VALUE"""),0.298160244337419)</f>
        <v>0.2981602443</v>
      </c>
      <c r="L2102" s="165">
        <f>IFERROR(__xludf.DUMMYFUNCTION("""COMPUTED_VALUE"""),1.63223787455892)</f>
        <v>1.632237875</v>
      </c>
      <c r="M2102" s="166">
        <f t="shared" si="2"/>
        <v>4.774068433</v>
      </c>
      <c r="N2102" s="167">
        <f t="shared" si="3"/>
        <v>29.52856725</v>
      </c>
      <c r="O2102" s="163">
        <f t="shared" ref="O2102:Q2102" si="2106">rank(I2102,I:I)</f>
        <v>1366</v>
      </c>
      <c r="P2102" s="163">
        <f t="shared" si="2106"/>
        <v>339</v>
      </c>
      <c r="Q2102" s="163">
        <f t="shared" si="2106"/>
        <v>914</v>
      </c>
      <c r="R2102" s="163">
        <f>IFERROR(__xludf.DUMMYFUNCTION("RANK(M2102,filter(M:M,C:C=C2102))"),61.0)</f>
        <v>61</v>
      </c>
      <c r="S2102" s="161" t="b">
        <f t="shared" si="5"/>
        <v>0</v>
      </c>
      <c r="T2102" s="161" t="b">
        <f t="array" ref="T2102">index('Query Tool'!B:B,match(H2102,'Query Tool'!C:C,0))</f>
        <v>1</v>
      </c>
      <c r="U2102" s="161" t="b">
        <f t="array" ref="U2102">index('Query Tool'!B:B,match(C2102,'Query Tool'!C:C,0))</f>
        <v>0</v>
      </c>
      <c r="V2102" s="161" t="b">
        <f>F2102&gt;='Query Tool'!C$32</f>
        <v>1</v>
      </c>
      <c r="W2102" s="161" t="b">
        <f t="array" ref="W2102">index(Dropdowns!B:B,match(I2102,Dropdowns!A:A,0))</f>
        <v>1</v>
      </c>
      <c r="X2102" s="161" t="b">
        <f t="array" ref="X2102">index('Query Tool'!B:B,match(D2102,'Query Tool'!C:C,0))</f>
        <v>1</v>
      </c>
      <c r="Y2102" s="161" t="str">
        <f t="shared" si="6"/>
        <v>vucevni01,2017-18</v>
      </c>
      <c r="Z2102" s="168">
        <f t="array" ref="Z2102">iferror(index(I:I,match($A2102&amp;","&amp;index('Year Conversion'!$A:$A,match($C2102,'Year Conversion'!$B:$B,0)),$Y:$Y,0))-I2102,"")</f>
        <v>1</v>
      </c>
      <c r="AA2102" s="168">
        <f t="array" ref="AA2102">iferror(index(J:J,match($A2102&amp;","&amp;index('Year Conversion'!$A:$A,match($C2102,'Year Conversion'!$B:$B,0)),$Y:$Y,0))-J2102,"")</f>
        <v>2.415230342</v>
      </c>
      <c r="AB2102" s="168">
        <f t="array" ref="AB2102">iferror(index(K:K,match($A2102&amp;","&amp;index('Year Conversion'!$A:$A,match($C2102,'Year Conversion'!$B:$B,0)),$Y:$Y,0))-K2102,"")</f>
        <v>1.666079208</v>
      </c>
      <c r="AC2102" s="168" t="str">
        <f t="shared" si="7"/>
        <v>ORL,2017-18</v>
      </c>
    </row>
    <row r="2103">
      <c r="A2103" s="161" t="str">
        <f>IFERROR(__xludf.DUMMYFUNCTION("""COMPUTED_VALUE"""),"shumpim01")</f>
        <v>shumpim01</v>
      </c>
      <c r="B2103" s="161" t="str">
        <f>IFERROR(__xludf.DUMMYFUNCTION("""COMPUTED_VALUE"""),"Iman Shumpert")</f>
        <v>Iman Shumpert</v>
      </c>
      <c r="C2103" s="162" t="str">
        <f>IFERROR(__xludf.DUMMYFUNCTION("""COMPUTED_VALUE"""),"2017-18")</f>
        <v>2017-18</v>
      </c>
      <c r="D2103" s="163" t="str">
        <f>IFERROR(__xludf.DUMMYFUNCTION("""COMPUTED_VALUE"""),"CLE")</f>
        <v>CLE</v>
      </c>
      <c r="E2103" s="164" t="str">
        <f>IFERROR(__xludf.DUMMYFUNCTION("""COMPUTED_VALUE"""),"Shot Creator")</f>
        <v>Shot Creator</v>
      </c>
      <c r="F2103" s="164">
        <f>IFERROR(__xludf.DUMMYFUNCTION("""COMPUTED_VALUE"""),276.195)</f>
        <v>276.195</v>
      </c>
      <c r="G2103" s="163">
        <f>IFERROR(__xludf.DUMMYFUNCTION("""COMPUTED_VALUE"""),14.0)</f>
        <v>14</v>
      </c>
      <c r="H2103" s="163" t="str">
        <f>IFERROR(__xludf.DUMMYFUNCTION("""COMPUTED_VALUE"""),"SG")</f>
        <v>SG</v>
      </c>
      <c r="I2103" s="163">
        <f>IFERROR(__xludf.DUMMYFUNCTION("""COMPUTED_VALUE"""),27.0)</f>
        <v>27</v>
      </c>
      <c r="J2103" s="165">
        <f>IFERROR(__xludf.DUMMYFUNCTION("""COMPUTED_VALUE"""),-1.49539202104702)</f>
        <v>-1.495392021</v>
      </c>
      <c r="K2103" s="165">
        <f>IFERROR(__xludf.DUMMYFUNCTION("""COMPUTED_VALUE"""),-1.59316931740968)</f>
        <v>-1.593169317</v>
      </c>
      <c r="L2103" s="165">
        <f>IFERROR(__xludf.DUMMYFUNCTION("""COMPUTED_VALUE"""),0.0977772963626595)</f>
        <v>0.09777729636</v>
      </c>
      <c r="M2103" s="166">
        <f t="shared" si="2"/>
        <v>0.1482086884</v>
      </c>
      <c r="N2103" s="167">
        <f t="shared" si="3"/>
        <v>19.72821429</v>
      </c>
      <c r="O2103" s="163">
        <f t="shared" ref="O2103:Q2103" si="2107">rank(I2103,I:I)</f>
        <v>1366</v>
      </c>
      <c r="P2103" s="163">
        <f t="shared" si="2107"/>
        <v>3049</v>
      </c>
      <c r="Q2103" s="163">
        <f t="shared" si="2107"/>
        <v>3443</v>
      </c>
      <c r="R2103" s="163">
        <f>IFERROR(__xludf.DUMMYFUNCTION("RANK(M2103,filter(M:M,C:C=C2103))"),364.0)</f>
        <v>364</v>
      </c>
      <c r="S2103" s="161" t="b">
        <f t="shared" si="5"/>
        <v>0</v>
      </c>
      <c r="T2103" s="161" t="b">
        <f t="array" ref="T2103">index('Query Tool'!B:B,match(H2103,'Query Tool'!C:C,0))</f>
        <v>1</v>
      </c>
      <c r="U2103" s="161" t="b">
        <f t="array" ref="U2103">index('Query Tool'!B:B,match(C2103,'Query Tool'!C:C,0))</f>
        <v>0</v>
      </c>
      <c r="V2103" s="161" t="b">
        <f>F2103&gt;='Query Tool'!C$32</f>
        <v>0</v>
      </c>
      <c r="W2103" s="161" t="b">
        <f t="array" ref="W2103">index(Dropdowns!B:B,match(I2103,Dropdowns!A:A,0))</f>
        <v>1</v>
      </c>
      <c r="X2103" s="161" t="b">
        <f t="array" ref="X2103">index('Query Tool'!B:B,match(D2103,'Query Tool'!C:C,0))</f>
        <v>1</v>
      </c>
      <c r="Y2103" s="161" t="str">
        <f t="shared" si="6"/>
        <v>shumpim01,2017-18</v>
      </c>
      <c r="Z2103" s="168">
        <f t="array" ref="Z2103">iferror(index(I:I,match($A2103&amp;","&amp;index('Year Conversion'!$A:$A,match($C2103,'Year Conversion'!$B:$B,0)),$Y:$Y,0))-I2103,"")</f>
        <v>1</v>
      </c>
      <c r="AA2103" s="168">
        <f t="array" ref="AA2103">iferror(index(J:J,match($A2103&amp;","&amp;index('Year Conversion'!$A:$A,match($C2103,'Year Conversion'!$B:$B,0)),$Y:$Y,0))-J2103,"")</f>
        <v>-0.698179255</v>
      </c>
      <c r="AB2103" s="168">
        <f t="array" ref="AB2103">iferror(index(K:K,match($A2103&amp;","&amp;index('Year Conversion'!$A:$A,match($C2103,'Year Conversion'!$B:$B,0)),$Y:$Y,0))-K2103,"")</f>
        <v>-0.2664938783</v>
      </c>
      <c r="AC2103" s="168" t="str">
        <f t="shared" si="7"/>
        <v>CLE,2017-18</v>
      </c>
    </row>
    <row r="2104">
      <c r="A2104" s="161" t="str">
        <f>IFERROR(__xludf.DUMMYFUNCTION("""COMPUTED_VALUE"""),"harrito02")</f>
        <v>harrito02</v>
      </c>
      <c r="B2104" s="161" t="str">
        <f>IFERROR(__xludf.DUMMYFUNCTION("""COMPUTED_VALUE"""),"Tobias Harris")</f>
        <v>Tobias Harris</v>
      </c>
      <c r="C2104" s="162" t="str">
        <f>IFERROR(__xludf.DUMMYFUNCTION("""COMPUTED_VALUE"""),"2017-18")</f>
        <v>2017-18</v>
      </c>
      <c r="D2104" s="163" t="str">
        <f>IFERROR(__xludf.DUMMYFUNCTION("""COMPUTED_VALUE"""),"TOT")</f>
        <v>TOT</v>
      </c>
      <c r="E2104" s="164" t="str">
        <f>IFERROR(__xludf.DUMMYFUNCTION("""COMPUTED_VALUE"""),"Shot Creator")</f>
        <v>Shot Creator</v>
      </c>
      <c r="F2104" s="164">
        <f>IFERROR(__xludf.DUMMYFUNCTION("""COMPUTED_VALUE"""),2667.98333333333)</f>
        <v>2667.983333</v>
      </c>
      <c r="G2104" s="163">
        <f>IFERROR(__xludf.DUMMYFUNCTION("""COMPUTED_VALUE"""),80.0)</f>
        <v>80</v>
      </c>
      <c r="H2104" s="163" t="str">
        <f>IFERROR(__xludf.DUMMYFUNCTION("""COMPUTED_VALUE"""),"PF")</f>
        <v>PF</v>
      </c>
      <c r="I2104" s="163">
        <f>IFERROR(__xludf.DUMMYFUNCTION("""COMPUTED_VALUE"""),25.0)</f>
        <v>25</v>
      </c>
      <c r="J2104" s="165">
        <f>IFERROR(__xludf.DUMMYFUNCTION("""COMPUTED_VALUE"""),0.413841725548803)</f>
        <v>0.4138417255</v>
      </c>
      <c r="K2104" s="165">
        <f>IFERROR(__xludf.DUMMYFUNCTION("""COMPUTED_VALUE"""),0.726492821345371)</f>
        <v>0.7264928213</v>
      </c>
      <c r="L2104" s="165">
        <f>IFERROR(__xludf.DUMMYFUNCTION("""COMPUTED_VALUE"""),-0.312651095796569)</f>
        <v>-0.3126510958</v>
      </c>
      <c r="M2104" s="166">
        <f t="shared" si="2"/>
        <v>4.857352284</v>
      </c>
      <c r="N2104" s="167">
        <f t="shared" si="3"/>
        <v>33.34979167</v>
      </c>
      <c r="O2104" s="163">
        <f t="shared" ref="O2104:Q2104" si="2108">rank(I2104,I:I)</f>
        <v>1995</v>
      </c>
      <c r="P2104" s="163">
        <f t="shared" si="2108"/>
        <v>941</v>
      </c>
      <c r="Q2104" s="163">
        <f t="shared" si="2108"/>
        <v>633</v>
      </c>
      <c r="R2104" s="163">
        <f>IFERROR(__xludf.DUMMYFUNCTION("RANK(M2104,filter(M:M,C:C=C2104))"),58.0)</f>
        <v>58</v>
      </c>
      <c r="S2104" s="161" t="b">
        <f t="shared" si="5"/>
        <v>0</v>
      </c>
      <c r="T2104" s="161" t="b">
        <f t="array" ref="T2104">index('Query Tool'!B:B,match(H2104,'Query Tool'!C:C,0))</f>
        <v>1</v>
      </c>
      <c r="U2104" s="161" t="b">
        <f t="array" ref="U2104">index('Query Tool'!B:B,match(C2104,'Query Tool'!C:C,0))</f>
        <v>0</v>
      </c>
      <c r="V2104" s="161" t="b">
        <f>F2104&gt;='Query Tool'!C$32</f>
        <v>1</v>
      </c>
      <c r="W2104" s="161" t="b">
        <f t="array" ref="W2104">index(Dropdowns!B:B,match(I2104,Dropdowns!A:A,0))</f>
        <v>1</v>
      </c>
      <c r="X2104" s="161" t="b">
        <f t="array" ref="X2104">index('Query Tool'!B:B,match(D2104,'Query Tool'!C:C,0))</f>
        <v>1</v>
      </c>
      <c r="Y2104" s="161" t="str">
        <f t="shared" si="6"/>
        <v>harrito02,2017-18</v>
      </c>
      <c r="Z2104" s="168">
        <f t="array" ref="Z2104">iferror(index(I:I,match($A2104&amp;","&amp;index('Year Conversion'!$A:$A,match($C2104,'Year Conversion'!$B:$B,0)),$Y:$Y,0))-I2104,"")</f>
        <v>1</v>
      </c>
      <c r="AA2104" s="168">
        <f t="array" ref="AA2104">iferror(index(J:J,match($A2104&amp;","&amp;index('Year Conversion'!$A:$A,match($C2104,'Year Conversion'!$B:$B,0)),$Y:$Y,0))-J2104,"")</f>
        <v>-0.263057244</v>
      </c>
      <c r="AB2104" s="168">
        <f t="array" ref="AB2104">iferror(index(K:K,match($A2104&amp;","&amp;index('Year Conversion'!$A:$A,match($C2104,'Year Conversion'!$B:$B,0)),$Y:$Y,0))-K2104,"")</f>
        <v>-0.2379277504</v>
      </c>
      <c r="AC2104" s="168" t="str">
        <f t="shared" si="7"/>
        <v>TOT,2017-18</v>
      </c>
    </row>
    <row r="2105">
      <c r="A2105" s="161" t="str">
        <f>IFERROR(__xludf.DUMMYFUNCTION("""COMPUTED_VALUE"""),"farieke01")</f>
        <v>farieke01</v>
      </c>
      <c r="B2105" s="161" t="str">
        <f>IFERROR(__xludf.DUMMYFUNCTION("""COMPUTED_VALUE"""),"Kenneth Faried")</f>
        <v>Kenneth Faried</v>
      </c>
      <c r="C2105" s="162" t="str">
        <f>IFERROR(__xludf.DUMMYFUNCTION("""COMPUTED_VALUE"""),"2017-18")</f>
        <v>2017-18</v>
      </c>
      <c r="D2105" s="163" t="str">
        <f>IFERROR(__xludf.DUMMYFUNCTION("""COMPUTED_VALUE"""),"DEN")</f>
        <v>DEN</v>
      </c>
      <c r="E2105" s="164" t="str">
        <f>IFERROR(__xludf.DUMMYFUNCTION("""COMPUTED_VALUE"""),"Roll + Cut Big")</f>
        <v>Roll + Cut Big</v>
      </c>
      <c r="F2105" s="164">
        <f>IFERROR(__xludf.DUMMYFUNCTION("""COMPUTED_VALUE"""),460.753333333333)</f>
        <v>460.7533333</v>
      </c>
      <c r="G2105" s="163">
        <f>IFERROR(__xludf.DUMMYFUNCTION("""COMPUTED_VALUE"""),32.0)</f>
        <v>32</v>
      </c>
      <c r="H2105" s="163" t="str">
        <f>IFERROR(__xludf.DUMMYFUNCTION("""COMPUTED_VALUE"""),"PF")</f>
        <v>PF</v>
      </c>
      <c r="I2105" s="163">
        <f>IFERROR(__xludf.DUMMYFUNCTION("""COMPUTED_VALUE"""),28.0)</f>
        <v>28</v>
      </c>
      <c r="J2105" s="165">
        <f>IFERROR(__xludf.DUMMYFUNCTION("""COMPUTED_VALUE"""),-1.48295206068678)</f>
        <v>-1.482952061</v>
      </c>
      <c r="K2105" s="165">
        <f>IFERROR(__xludf.DUMMYFUNCTION("""COMPUTED_VALUE"""),-0.72218138999511)</f>
        <v>-0.72218139</v>
      </c>
      <c r="L2105" s="165">
        <f>IFERROR(__xludf.DUMMYFUNCTION("""COMPUTED_VALUE"""),-0.760770670691669)</f>
        <v>-0.7607706707</v>
      </c>
      <c r="M2105" s="166">
        <f t="shared" si="2"/>
        <v>0.2510731219</v>
      </c>
      <c r="N2105" s="167">
        <f t="shared" si="3"/>
        <v>14.39854167</v>
      </c>
      <c r="O2105" s="163">
        <f t="shared" ref="O2105:Q2105" si="2109">rank(I2105,I:I)</f>
        <v>1090</v>
      </c>
      <c r="P2105" s="163">
        <f t="shared" si="2109"/>
        <v>3038</v>
      </c>
      <c r="Q2105" s="163">
        <f t="shared" si="2109"/>
        <v>2445</v>
      </c>
      <c r="R2105" s="163">
        <f>IFERROR(__xludf.DUMMYFUNCTION("RANK(M2105,filter(M:M,C:C=C2105))"),329.0)</f>
        <v>329</v>
      </c>
      <c r="S2105" s="161" t="b">
        <f t="shared" si="5"/>
        <v>0</v>
      </c>
      <c r="T2105" s="161" t="b">
        <f t="array" ref="T2105">index('Query Tool'!B:B,match(H2105,'Query Tool'!C:C,0))</f>
        <v>1</v>
      </c>
      <c r="U2105" s="161" t="b">
        <f t="array" ref="U2105">index('Query Tool'!B:B,match(C2105,'Query Tool'!C:C,0))</f>
        <v>0</v>
      </c>
      <c r="V2105" s="161" t="b">
        <f>F2105&gt;='Query Tool'!C$32</f>
        <v>0</v>
      </c>
      <c r="W2105" s="161" t="b">
        <f t="array" ref="W2105">index(Dropdowns!B:B,match(I2105,Dropdowns!A:A,0))</f>
        <v>1</v>
      </c>
      <c r="X2105" s="161" t="b">
        <f t="array" ref="X2105">index('Query Tool'!B:B,match(D2105,'Query Tool'!C:C,0))</f>
        <v>1</v>
      </c>
      <c r="Y2105" s="161" t="str">
        <f t="shared" si="6"/>
        <v>farieke01,2017-18</v>
      </c>
      <c r="Z2105" s="168">
        <f t="array" ref="Z2105">iferror(index(I:I,match($A2105&amp;","&amp;index('Year Conversion'!$A:$A,match($C2105,'Year Conversion'!$B:$B,0)),$Y:$Y,0))-I2105,"")</f>
        <v>1</v>
      </c>
      <c r="AA2105" s="168">
        <f t="array" ref="AA2105">iferror(index(J:J,match($A2105&amp;","&amp;index('Year Conversion'!$A:$A,match($C2105,'Year Conversion'!$B:$B,0)),$Y:$Y,0))-J2105,"")</f>
        <v>2.034580042</v>
      </c>
      <c r="AB2105" s="168">
        <f t="array" ref="AB2105">iferror(index(K:K,match($A2105&amp;","&amp;index('Year Conversion'!$A:$A,match($C2105,'Year Conversion'!$B:$B,0)),$Y:$Y,0))-K2105,"")</f>
        <v>1.66203168</v>
      </c>
      <c r="AC2105" s="168" t="str">
        <f t="shared" si="7"/>
        <v>DEN,2017-18</v>
      </c>
    </row>
    <row r="2106">
      <c r="A2106" s="161" t="str">
        <f>IFERROR(__xludf.DUMMYFUNCTION("""COMPUTED_VALUE"""),"mirotni01")</f>
        <v>mirotni01</v>
      </c>
      <c r="B2106" s="161" t="str">
        <f>IFERROR(__xludf.DUMMYFUNCTION("""COMPUTED_VALUE"""),"Nikola Mirotic")</f>
        <v>Nikola Mirotic</v>
      </c>
      <c r="C2106" s="162" t="str">
        <f>IFERROR(__xludf.DUMMYFUNCTION("""COMPUTED_VALUE"""),"2017-18")</f>
        <v>2017-18</v>
      </c>
      <c r="D2106" s="163" t="str">
        <f>IFERROR(__xludf.DUMMYFUNCTION("""COMPUTED_VALUE"""),"TOT")</f>
        <v>TOT</v>
      </c>
      <c r="E2106" s="164" t="str">
        <f>IFERROR(__xludf.DUMMYFUNCTION("""COMPUTED_VALUE"""),"Movement Shooter")</f>
        <v>Movement Shooter</v>
      </c>
      <c r="F2106" s="164">
        <f>IFERROR(__xludf.DUMMYFUNCTION("""COMPUTED_VALUE"""),1493.98)</f>
        <v>1493.98</v>
      </c>
      <c r="G2106" s="163">
        <f>IFERROR(__xludf.DUMMYFUNCTION("""COMPUTED_VALUE"""),55.0)</f>
        <v>55</v>
      </c>
      <c r="H2106" s="163" t="str">
        <f>IFERROR(__xludf.DUMMYFUNCTION("""COMPUTED_VALUE"""),"PF")</f>
        <v>PF</v>
      </c>
      <c r="I2106" s="163">
        <f>IFERROR(__xludf.DUMMYFUNCTION("""COMPUTED_VALUE"""),26.0)</f>
        <v>26</v>
      </c>
      <c r="J2106" s="165">
        <f>IFERROR(__xludf.DUMMYFUNCTION("""COMPUTED_VALUE"""),2.38940143864006)</f>
        <v>2.389401439</v>
      </c>
      <c r="K2106" s="165">
        <f>IFERROR(__xludf.DUMMYFUNCTION("""COMPUTED_VALUE"""),2.15189232802149)</f>
        <v>2.151892328</v>
      </c>
      <c r="L2106" s="165">
        <f>IFERROR(__xludf.DUMMYFUNCTION("""COMPUTED_VALUE"""),0.237509110618574)</f>
        <v>0.2375091106</v>
      </c>
      <c r="M2106" s="166">
        <f t="shared" si="2"/>
        <v>4.690978499</v>
      </c>
      <c r="N2106" s="167">
        <f t="shared" si="3"/>
        <v>27.16327273</v>
      </c>
      <c r="O2106" s="163">
        <f t="shared" ref="O2106:Q2106" si="2110">rank(I2106,I:I)</f>
        <v>1665</v>
      </c>
      <c r="P2106" s="163">
        <f t="shared" si="2110"/>
        <v>241</v>
      </c>
      <c r="Q2106" s="163">
        <f t="shared" si="2110"/>
        <v>207</v>
      </c>
      <c r="R2106" s="163">
        <f>IFERROR(__xludf.DUMMYFUNCTION("RANK(M2106,filter(M:M,C:C=C2106))"),63.0)</f>
        <v>63</v>
      </c>
      <c r="S2106" s="161" t="b">
        <f t="shared" si="5"/>
        <v>0</v>
      </c>
      <c r="T2106" s="161" t="b">
        <f t="array" ref="T2106">index('Query Tool'!B:B,match(H2106,'Query Tool'!C:C,0))</f>
        <v>1</v>
      </c>
      <c r="U2106" s="161" t="b">
        <f t="array" ref="U2106">index('Query Tool'!B:B,match(C2106,'Query Tool'!C:C,0))</f>
        <v>0</v>
      </c>
      <c r="V2106" s="161" t="b">
        <f>F2106&gt;='Query Tool'!C$32</f>
        <v>1</v>
      </c>
      <c r="W2106" s="161" t="b">
        <f t="array" ref="W2106">index(Dropdowns!B:B,match(I2106,Dropdowns!A:A,0))</f>
        <v>1</v>
      </c>
      <c r="X2106" s="161" t="b">
        <f t="array" ref="X2106">index('Query Tool'!B:B,match(D2106,'Query Tool'!C:C,0))</f>
        <v>1</v>
      </c>
      <c r="Y2106" s="161" t="str">
        <f t="shared" si="6"/>
        <v>mirotni01,2017-18</v>
      </c>
      <c r="Z2106" s="168">
        <f t="array" ref="Z2106">iferror(index(I:I,match($A2106&amp;","&amp;index('Year Conversion'!$A:$A,match($C2106,'Year Conversion'!$B:$B,0)),$Y:$Y,0))-I2106,"")</f>
        <v>1</v>
      </c>
      <c r="AA2106" s="168">
        <f t="array" ref="AA2106">iferror(index(J:J,match($A2106&amp;","&amp;index('Year Conversion'!$A:$A,match($C2106,'Year Conversion'!$B:$B,0)),$Y:$Y,0))-J2106,"")</f>
        <v>-1.873900204</v>
      </c>
      <c r="AB2106" s="168">
        <f t="array" ref="AB2106">iferror(index(K:K,match($A2106&amp;","&amp;index('Year Conversion'!$A:$A,match($C2106,'Year Conversion'!$B:$B,0)),$Y:$Y,0))-K2106,"")</f>
        <v>-1.369918275</v>
      </c>
      <c r="AC2106" s="168" t="str">
        <f t="shared" si="7"/>
        <v>TOT,2017-18</v>
      </c>
    </row>
    <row r="2107">
      <c r="A2107" s="161" t="str">
        <f>IFERROR(__xludf.DUMMYFUNCTION("""COMPUTED_VALUE"""),"jacksre01")</f>
        <v>jacksre01</v>
      </c>
      <c r="B2107" s="161" t="str">
        <f>IFERROR(__xludf.DUMMYFUNCTION("""COMPUTED_VALUE"""),"Reggie Jackson")</f>
        <v>Reggie Jackson</v>
      </c>
      <c r="C2107" s="162" t="str">
        <f>IFERROR(__xludf.DUMMYFUNCTION("""COMPUTED_VALUE"""),"2017-18")</f>
        <v>2017-18</v>
      </c>
      <c r="D2107" s="163" t="str">
        <f>IFERROR(__xludf.DUMMYFUNCTION("""COMPUTED_VALUE"""),"DET")</f>
        <v>DET</v>
      </c>
      <c r="E2107" s="164" t="str">
        <f>IFERROR(__xludf.DUMMYFUNCTION("""COMPUTED_VALUE"""),"Slasher")</f>
        <v>Slasher</v>
      </c>
      <c r="F2107" s="164">
        <f>IFERROR(__xludf.DUMMYFUNCTION("""COMPUTED_VALUE"""),1200.99)</f>
        <v>1200.99</v>
      </c>
      <c r="G2107" s="163">
        <f>IFERROR(__xludf.DUMMYFUNCTION("""COMPUTED_VALUE"""),45.0)</f>
        <v>45</v>
      </c>
      <c r="H2107" s="163" t="str">
        <f>IFERROR(__xludf.DUMMYFUNCTION("""COMPUTED_VALUE"""),"PG")</f>
        <v>PG</v>
      </c>
      <c r="I2107" s="163">
        <f>IFERROR(__xludf.DUMMYFUNCTION("""COMPUTED_VALUE"""),27.0)</f>
        <v>27</v>
      </c>
      <c r="J2107" s="165">
        <f>IFERROR(__xludf.DUMMYFUNCTION("""COMPUTED_VALUE"""),0.108988552265628)</f>
        <v>0.1089885523</v>
      </c>
      <c r="K2107" s="165">
        <f>IFERROR(__xludf.DUMMYFUNCTION("""COMPUTED_VALUE"""),0.925813939440916)</f>
        <v>0.9258139394</v>
      </c>
      <c r="L2107" s="165">
        <f>IFERROR(__xludf.DUMMYFUNCTION("""COMPUTED_VALUE"""),-0.816825387175288)</f>
        <v>-0.8168253872</v>
      </c>
      <c r="M2107" s="166">
        <f t="shared" si="2"/>
        <v>1.939772304</v>
      </c>
      <c r="N2107" s="167">
        <f t="shared" si="3"/>
        <v>26.68866667</v>
      </c>
      <c r="O2107" s="163">
        <f t="shared" ref="O2107:Q2107" si="2111">rank(I2107,I:I)</f>
        <v>1366</v>
      </c>
      <c r="P2107" s="163">
        <f t="shared" si="2111"/>
        <v>1179</v>
      </c>
      <c r="Q2107" s="163">
        <f t="shared" si="2111"/>
        <v>545</v>
      </c>
      <c r="R2107" s="163">
        <f>IFERROR(__xludf.DUMMYFUNCTION("RANK(M2107,filter(M:M,C:C=C2107))"),161.0)</f>
        <v>161</v>
      </c>
      <c r="S2107" s="161" t="b">
        <f t="shared" si="5"/>
        <v>0</v>
      </c>
      <c r="T2107" s="161" t="b">
        <f t="array" ref="T2107">index('Query Tool'!B:B,match(H2107,'Query Tool'!C:C,0))</f>
        <v>1</v>
      </c>
      <c r="U2107" s="161" t="b">
        <f t="array" ref="U2107">index('Query Tool'!B:B,match(C2107,'Query Tool'!C:C,0))</f>
        <v>0</v>
      </c>
      <c r="V2107" s="161" t="b">
        <f>F2107&gt;='Query Tool'!C$32</f>
        <v>1</v>
      </c>
      <c r="W2107" s="161" t="b">
        <f t="array" ref="W2107">index(Dropdowns!B:B,match(I2107,Dropdowns!A:A,0))</f>
        <v>1</v>
      </c>
      <c r="X2107" s="161" t="b">
        <f t="array" ref="X2107">index('Query Tool'!B:B,match(D2107,'Query Tool'!C:C,0))</f>
        <v>1</v>
      </c>
      <c r="Y2107" s="161" t="str">
        <f t="shared" si="6"/>
        <v>jacksre01,2017-18</v>
      </c>
      <c r="Z2107" s="168">
        <f t="array" ref="Z2107">iferror(index(I:I,match($A2107&amp;","&amp;index('Year Conversion'!$A:$A,match($C2107,'Year Conversion'!$B:$B,0)),$Y:$Y,0))-I2107,"")</f>
        <v>1</v>
      </c>
      <c r="AA2107" s="168">
        <f t="array" ref="AA2107">iferror(index(J:J,match($A2107&amp;","&amp;index('Year Conversion'!$A:$A,match($C2107,'Year Conversion'!$B:$B,0)),$Y:$Y,0))-J2107,"")</f>
        <v>0.02789590972</v>
      </c>
      <c r="AB2107" s="168">
        <f t="array" ref="AB2107">iferror(index(K:K,match($A2107&amp;","&amp;index('Year Conversion'!$A:$A,match($C2107,'Year Conversion'!$B:$B,0)),$Y:$Y,0))-K2107,"")</f>
        <v>-0.5123208786</v>
      </c>
      <c r="AC2107" s="168" t="str">
        <f t="shared" si="7"/>
        <v>DET,2017-18</v>
      </c>
    </row>
    <row r="2108">
      <c r="A2108" s="161" t="str">
        <f>IFERROR(__xludf.DUMMYFUNCTION("""COMPUTED_VALUE"""),"brookma01")</f>
        <v>brookma01</v>
      </c>
      <c r="B2108" s="161" t="str">
        <f>IFERROR(__xludf.DUMMYFUNCTION("""COMPUTED_VALUE"""),"MarShon Brooks")</f>
        <v>MarShon Brooks</v>
      </c>
      <c r="C2108" s="162" t="str">
        <f>IFERROR(__xludf.DUMMYFUNCTION("""COMPUTED_VALUE"""),"2017-18")</f>
        <v>2017-18</v>
      </c>
      <c r="D2108" s="163" t="str">
        <f>IFERROR(__xludf.DUMMYFUNCTION("""COMPUTED_VALUE"""),"MEM")</f>
        <v>MEM</v>
      </c>
      <c r="E2108" s="164" t="str">
        <f>IFERROR(__xludf.DUMMYFUNCTION("""COMPUTED_VALUE"""),"Movement Shooter")</f>
        <v>Movement Shooter</v>
      </c>
      <c r="F2108" s="164">
        <f>IFERROR(__xludf.DUMMYFUNCTION("""COMPUTED_VALUE"""),192.583333333333)</f>
        <v>192.5833333</v>
      </c>
      <c r="G2108" s="163">
        <f>IFERROR(__xludf.DUMMYFUNCTION("""COMPUTED_VALUE"""),7.0)</f>
        <v>7</v>
      </c>
      <c r="H2108" s="163" t="str">
        <f>IFERROR(__xludf.DUMMYFUNCTION("""COMPUTED_VALUE"""),"SG")</f>
        <v>SG</v>
      </c>
      <c r="I2108" s="163">
        <f>IFERROR(__xludf.DUMMYFUNCTION("""COMPUTED_VALUE"""),29.0)</f>
        <v>29</v>
      </c>
      <c r="J2108" s="165">
        <f>IFERROR(__xludf.DUMMYFUNCTION("""COMPUTED_VALUE"""),0.335613886173951)</f>
        <v>0.3356138862</v>
      </c>
      <c r="K2108" s="165">
        <f>IFERROR(__xludf.DUMMYFUNCTION("""COMPUTED_VALUE"""),1.39732771041677)</f>
        <v>1.39732771</v>
      </c>
      <c r="L2108" s="165">
        <f>IFERROR(__xludf.DUMMYFUNCTION("""COMPUTED_VALUE"""),-1.06171382424282)</f>
        <v>-1.061713824</v>
      </c>
      <c r="M2108" s="166">
        <f t="shared" si="2"/>
        <v>0.3404678309</v>
      </c>
      <c r="N2108" s="167">
        <f t="shared" si="3"/>
        <v>27.51190476</v>
      </c>
      <c r="O2108" s="163">
        <f t="shared" ref="O2108:Q2108" si="2112">rank(I2108,I:I)</f>
        <v>855</v>
      </c>
      <c r="P2108" s="163">
        <f t="shared" si="2112"/>
        <v>994</v>
      </c>
      <c r="Q2108" s="163">
        <f t="shared" si="2112"/>
        <v>353</v>
      </c>
      <c r="R2108" s="163">
        <f>IFERROR(__xludf.DUMMYFUNCTION("RANK(M2108,filter(M:M,C:C=C2108))"),312.0)</f>
        <v>312</v>
      </c>
      <c r="S2108" s="161" t="b">
        <f t="shared" si="5"/>
        <v>0</v>
      </c>
      <c r="T2108" s="161" t="b">
        <f t="array" ref="T2108">index('Query Tool'!B:B,match(H2108,'Query Tool'!C:C,0))</f>
        <v>1</v>
      </c>
      <c r="U2108" s="161" t="b">
        <f t="array" ref="U2108">index('Query Tool'!B:B,match(C2108,'Query Tool'!C:C,0))</f>
        <v>0</v>
      </c>
      <c r="V2108" s="161" t="b">
        <f>F2108&gt;='Query Tool'!C$32</f>
        <v>0</v>
      </c>
      <c r="W2108" s="161" t="b">
        <f t="array" ref="W2108">index(Dropdowns!B:B,match(I2108,Dropdowns!A:A,0))</f>
        <v>1</v>
      </c>
      <c r="X2108" s="161" t="b">
        <f t="array" ref="X2108">index('Query Tool'!B:B,match(D2108,'Query Tool'!C:C,0))</f>
        <v>1</v>
      </c>
      <c r="Y2108" s="161" t="str">
        <f t="shared" si="6"/>
        <v>brookma01,2017-18</v>
      </c>
      <c r="Z2108" s="168">
        <f t="array" ref="Z2108">iferror(index(I:I,match($A2108&amp;","&amp;index('Year Conversion'!$A:$A,match($C2108,'Year Conversion'!$B:$B,0)),$Y:$Y,0))-I2108,"")</f>
        <v>1</v>
      </c>
      <c r="AA2108" s="168">
        <f t="array" ref="AA2108">iferror(index(J:J,match($A2108&amp;","&amp;index('Year Conversion'!$A:$A,match($C2108,'Year Conversion'!$B:$B,0)),$Y:$Y,0))-J2108,"")</f>
        <v>-2.657867819</v>
      </c>
      <c r="AB2108" s="168">
        <f t="array" ref="AB2108">iferror(index(K:K,match($A2108&amp;","&amp;index('Year Conversion'!$A:$A,match($C2108,'Year Conversion'!$B:$B,0)),$Y:$Y,0))-K2108,"")</f>
        <v>-2.475325044</v>
      </c>
      <c r="AC2108" s="168" t="str">
        <f t="shared" si="7"/>
        <v>MEM,2017-18</v>
      </c>
    </row>
    <row r="2109">
      <c r="A2109" s="161" t="str">
        <f>IFERROR(__xludf.DUMMYFUNCTION("""COMPUTED_VALUE"""),"josepco01")</f>
        <v>josepco01</v>
      </c>
      <c r="B2109" s="161" t="str">
        <f>IFERROR(__xludf.DUMMYFUNCTION("""COMPUTED_VALUE"""),"Cory Joseph")</f>
        <v>Cory Joseph</v>
      </c>
      <c r="C2109" s="162" t="str">
        <f>IFERROR(__xludf.DUMMYFUNCTION("""COMPUTED_VALUE"""),"2017-18")</f>
        <v>2017-18</v>
      </c>
      <c r="D2109" s="163" t="str">
        <f>IFERROR(__xludf.DUMMYFUNCTION("""COMPUTED_VALUE"""),"IND")</f>
        <v>IND</v>
      </c>
      <c r="E2109" s="164" t="str">
        <f>IFERROR(__xludf.DUMMYFUNCTION("""COMPUTED_VALUE"""),"Primary Ball Handler")</f>
        <v>Primary Ball Handler</v>
      </c>
      <c r="F2109" s="164">
        <f>IFERROR(__xludf.DUMMYFUNCTION("""COMPUTED_VALUE"""),2209.91833333333)</f>
        <v>2209.918333</v>
      </c>
      <c r="G2109" s="163">
        <f>IFERROR(__xludf.DUMMYFUNCTION("""COMPUTED_VALUE"""),82.0)</f>
        <v>82</v>
      </c>
      <c r="H2109" s="163" t="str">
        <f>IFERROR(__xludf.DUMMYFUNCTION("""COMPUTED_VALUE"""),"PG")</f>
        <v>PG</v>
      </c>
      <c r="I2109" s="163">
        <f>IFERROR(__xludf.DUMMYFUNCTION("""COMPUTED_VALUE"""),26.0)</f>
        <v>26</v>
      </c>
      <c r="J2109" s="165">
        <f>IFERROR(__xludf.DUMMYFUNCTION("""COMPUTED_VALUE"""),-1.18218866261106)</f>
        <v>-1.182188663</v>
      </c>
      <c r="K2109" s="165">
        <f>IFERROR(__xludf.DUMMYFUNCTION("""COMPUTED_VALUE"""),-0.405368468182504)</f>
        <v>-0.4053684682</v>
      </c>
      <c r="L2109" s="165">
        <f>IFERROR(__xludf.DUMMYFUNCTION("""COMPUTED_VALUE"""),-0.776820194428555)</f>
        <v>-0.7768201944</v>
      </c>
      <c r="M2109" s="166">
        <f t="shared" si="2"/>
        <v>1.649020985</v>
      </c>
      <c r="N2109" s="167">
        <f t="shared" si="3"/>
        <v>26.95022358</v>
      </c>
      <c r="O2109" s="163">
        <f t="shared" ref="O2109:Q2109" si="2113">rank(I2109,I:I)</f>
        <v>1665</v>
      </c>
      <c r="P2109" s="163">
        <f t="shared" si="2113"/>
        <v>2720</v>
      </c>
      <c r="Q2109" s="163">
        <f t="shared" si="2113"/>
        <v>1952</v>
      </c>
      <c r="R2109" s="163">
        <f>IFERROR(__xludf.DUMMYFUNCTION("RANK(M2109,filter(M:M,C:C=C2109))"),180.0)</f>
        <v>180</v>
      </c>
      <c r="S2109" s="161" t="b">
        <f t="shared" si="5"/>
        <v>0</v>
      </c>
      <c r="T2109" s="161" t="b">
        <f t="array" ref="T2109">index('Query Tool'!B:B,match(H2109,'Query Tool'!C:C,0))</f>
        <v>1</v>
      </c>
      <c r="U2109" s="161" t="b">
        <f t="array" ref="U2109">index('Query Tool'!B:B,match(C2109,'Query Tool'!C:C,0))</f>
        <v>0</v>
      </c>
      <c r="V2109" s="161" t="b">
        <f>F2109&gt;='Query Tool'!C$32</f>
        <v>1</v>
      </c>
      <c r="W2109" s="161" t="b">
        <f t="array" ref="W2109">index(Dropdowns!B:B,match(I2109,Dropdowns!A:A,0))</f>
        <v>1</v>
      </c>
      <c r="X2109" s="161" t="b">
        <f t="array" ref="X2109">index('Query Tool'!B:B,match(D2109,'Query Tool'!C:C,0))</f>
        <v>1</v>
      </c>
      <c r="Y2109" s="161" t="str">
        <f t="shared" si="6"/>
        <v>josepco01,2017-18</v>
      </c>
      <c r="Z2109" s="168">
        <f t="array" ref="Z2109">iferror(index(I:I,match($A2109&amp;","&amp;index('Year Conversion'!$A:$A,match($C2109,'Year Conversion'!$B:$B,0)),$Y:$Y,0))-I2109,"")</f>
        <v>1</v>
      </c>
      <c r="AA2109" s="168">
        <f t="array" ref="AA2109">iferror(index(J:J,match($A2109&amp;","&amp;index('Year Conversion'!$A:$A,match($C2109,'Year Conversion'!$B:$B,0)),$Y:$Y,0))-J2109,"")</f>
        <v>2.003804558</v>
      </c>
      <c r="AB2109" s="168">
        <f t="array" ref="AB2109">iferror(index(K:K,match($A2109&amp;","&amp;index('Year Conversion'!$A:$A,match($C2109,'Year Conversion'!$B:$B,0)),$Y:$Y,0))-K2109,"")</f>
        <v>-0.2450034365</v>
      </c>
      <c r="AC2109" s="168" t="str">
        <f t="shared" si="7"/>
        <v>IND,2017-18</v>
      </c>
    </row>
    <row r="2110">
      <c r="A2110" s="161" t="str">
        <f>IFERROR(__xludf.DUMMYFUNCTION("""COMPUTED_VALUE"""),"butleji01")</f>
        <v>butleji01</v>
      </c>
      <c r="B2110" s="161" t="str">
        <f>IFERROR(__xludf.DUMMYFUNCTION("""COMPUTED_VALUE"""),"Jimmy Butler")</f>
        <v>Jimmy Butler</v>
      </c>
      <c r="C2110" s="162" t="str">
        <f>IFERROR(__xludf.DUMMYFUNCTION("""COMPUTED_VALUE"""),"2017-18")</f>
        <v>2017-18</v>
      </c>
      <c r="D2110" s="163" t="str">
        <f>IFERROR(__xludf.DUMMYFUNCTION("""COMPUTED_VALUE"""),"MIN")</f>
        <v>MIN</v>
      </c>
      <c r="E2110" s="164" t="str">
        <f>IFERROR(__xludf.DUMMYFUNCTION("""COMPUTED_VALUE"""),"Shot Creator")</f>
        <v>Shot Creator</v>
      </c>
      <c r="F2110" s="164">
        <f>IFERROR(__xludf.DUMMYFUNCTION("""COMPUTED_VALUE"""),2163.99666666667)</f>
        <v>2163.996667</v>
      </c>
      <c r="G2110" s="163">
        <f>IFERROR(__xludf.DUMMYFUNCTION("""COMPUTED_VALUE"""),59.0)</f>
        <v>59</v>
      </c>
      <c r="H2110" s="163" t="str">
        <f>IFERROR(__xludf.DUMMYFUNCTION("""COMPUTED_VALUE"""),"SG")</f>
        <v>SG</v>
      </c>
      <c r="I2110" s="163">
        <f>IFERROR(__xludf.DUMMYFUNCTION("""COMPUTED_VALUE"""),28.0)</f>
        <v>28</v>
      </c>
      <c r="J2110" s="165">
        <f>IFERROR(__xludf.DUMMYFUNCTION("""COMPUTED_VALUE"""),4.22910012142986)</f>
        <v>4.229100121</v>
      </c>
      <c r="K2110" s="165">
        <f>IFERROR(__xludf.DUMMYFUNCTION("""COMPUTED_VALUE"""),3.47092421347394)</f>
        <v>3.470924213</v>
      </c>
      <c r="L2110" s="165">
        <f>IFERROR(__xludf.DUMMYFUNCTION("""COMPUTED_VALUE"""),0.758175907955924)</f>
        <v>0.758175908</v>
      </c>
      <c r="M2110" s="166">
        <f t="shared" si="2"/>
        <v>9.357310323</v>
      </c>
      <c r="N2110" s="167">
        <f t="shared" si="3"/>
        <v>36.6779096</v>
      </c>
      <c r="O2110" s="163">
        <f t="shared" ref="O2110:Q2110" si="2114">rank(I2110,I:I)</f>
        <v>1090</v>
      </c>
      <c r="P2110" s="163">
        <f t="shared" si="2114"/>
        <v>87</v>
      </c>
      <c r="Q2110" s="163">
        <f t="shared" si="2114"/>
        <v>89</v>
      </c>
      <c r="R2110" s="163">
        <f>IFERROR(__xludf.DUMMYFUNCTION("RANK(M2110,filter(M:M,C:C=C2110))"),15.0)</f>
        <v>15</v>
      </c>
      <c r="S2110" s="161" t="b">
        <f t="shared" si="5"/>
        <v>0</v>
      </c>
      <c r="T2110" s="161" t="b">
        <f t="array" ref="T2110">index('Query Tool'!B:B,match(H2110,'Query Tool'!C:C,0))</f>
        <v>1</v>
      </c>
      <c r="U2110" s="161" t="b">
        <f t="array" ref="U2110">index('Query Tool'!B:B,match(C2110,'Query Tool'!C:C,0))</f>
        <v>0</v>
      </c>
      <c r="V2110" s="161" t="b">
        <f>F2110&gt;='Query Tool'!C$32</f>
        <v>1</v>
      </c>
      <c r="W2110" s="161" t="b">
        <f t="array" ref="W2110">index(Dropdowns!B:B,match(I2110,Dropdowns!A:A,0))</f>
        <v>1</v>
      </c>
      <c r="X2110" s="161" t="b">
        <f t="array" ref="X2110">index('Query Tool'!B:B,match(D2110,'Query Tool'!C:C,0))</f>
        <v>1</v>
      </c>
      <c r="Y2110" s="161" t="str">
        <f t="shared" si="6"/>
        <v>butleji01,2017-18</v>
      </c>
      <c r="Z2110" s="168">
        <f t="array" ref="Z2110">iferror(index(I:I,match($A2110&amp;","&amp;index('Year Conversion'!$A:$A,match($C2110,'Year Conversion'!$B:$B,0)),$Y:$Y,0))-I2110,"")</f>
        <v>1</v>
      </c>
      <c r="AA2110" s="168">
        <f t="array" ref="AA2110">iferror(index(J:J,match($A2110&amp;","&amp;index('Year Conversion'!$A:$A,match($C2110,'Year Conversion'!$B:$B,0)),$Y:$Y,0))-J2110,"")</f>
        <v>-2.297099232</v>
      </c>
      <c r="AB2110" s="168">
        <f t="array" ref="AB2110">iferror(index(K:K,match($A2110&amp;","&amp;index('Year Conversion'!$A:$A,match($C2110,'Year Conversion'!$B:$B,0)),$Y:$Y,0))-K2110,"")</f>
        <v>-2.193169031</v>
      </c>
      <c r="AC2110" s="168" t="str">
        <f t="shared" si="7"/>
        <v>MIN,2017-18</v>
      </c>
    </row>
    <row r="2111">
      <c r="A2111" s="161" t="str">
        <f>IFERROR(__xludf.DUMMYFUNCTION("""COMPUTED_VALUE"""),"bogdabo02")</f>
        <v>bogdabo02</v>
      </c>
      <c r="B2111" s="161" t="str">
        <f>IFERROR(__xludf.DUMMYFUNCTION("""COMPUTED_VALUE"""),"Bojan Bogdanovic")</f>
        <v>Bojan Bogdanovic</v>
      </c>
      <c r="C2111" s="162" t="str">
        <f>IFERROR(__xludf.DUMMYFUNCTION("""COMPUTED_VALUE"""),"2017-18")</f>
        <v>2017-18</v>
      </c>
      <c r="D2111" s="163" t="str">
        <f>IFERROR(__xludf.DUMMYFUNCTION("""COMPUTED_VALUE"""),"IND")</f>
        <v>IND</v>
      </c>
      <c r="E2111" s="164" t="str">
        <f>IFERROR(__xludf.DUMMYFUNCTION("""COMPUTED_VALUE"""),"Off Screen Shooter")</f>
        <v>Off Screen Shooter</v>
      </c>
      <c r="F2111" s="164">
        <f>IFERROR(__xludf.DUMMYFUNCTION("""COMPUTED_VALUE"""),2464.46166666667)</f>
        <v>2464.461667</v>
      </c>
      <c r="G2111" s="163">
        <f>IFERROR(__xludf.DUMMYFUNCTION("""COMPUTED_VALUE"""),80.0)</f>
        <v>80</v>
      </c>
      <c r="H2111" s="163" t="str">
        <f>IFERROR(__xludf.DUMMYFUNCTION("""COMPUTED_VALUE"""),"SF")</f>
        <v>SF</v>
      </c>
      <c r="I2111" s="163">
        <f>IFERROR(__xludf.DUMMYFUNCTION("""COMPUTED_VALUE"""),28.0)</f>
        <v>28</v>
      </c>
      <c r="J2111" s="165">
        <f>IFERROR(__xludf.DUMMYFUNCTION("""COMPUTED_VALUE"""),-1.18930186398866)</f>
        <v>-1.189301864</v>
      </c>
      <c r="K2111" s="165">
        <f>IFERROR(__xludf.DUMMYFUNCTION("""COMPUTED_VALUE"""),-0.47463915781848)</f>
        <v>-0.4746391578</v>
      </c>
      <c r="L2111" s="165">
        <f>IFERROR(__xludf.DUMMYFUNCTION("""COMPUTED_VALUE"""),-0.714662706170176)</f>
        <v>-0.7146627062</v>
      </c>
      <c r="M2111" s="166">
        <f t="shared" si="2"/>
        <v>1.8272092</v>
      </c>
      <c r="N2111" s="167">
        <f t="shared" si="3"/>
        <v>30.80577083</v>
      </c>
      <c r="O2111" s="163">
        <f t="shared" ref="O2111:Q2111" si="2115">rank(I2111,I:I)</f>
        <v>1090</v>
      </c>
      <c r="P2111" s="163">
        <f t="shared" si="2115"/>
        <v>2728</v>
      </c>
      <c r="Q2111" s="163">
        <f t="shared" si="2115"/>
        <v>2077</v>
      </c>
      <c r="R2111" s="163">
        <f>IFERROR(__xludf.DUMMYFUNCTION("RANK(M2111,filter(M:M,C:C=C2111))"),165.0)</f>
        <v>165</v>
      </c>
      <c r="S2111" s="161" t="b">
        <f t="shared" si="5"/>
        <v>0</v>
      </c>
      <c r="T2111" s="161" t="b">
        <f t="array" ref="T2111">index('Query Tool'!B:B,match(H2111,'Query Tool'!C:C,0))</f>
        <v>1</v>
      </c>
      <c r="U2111" s="161" t="b">
        <f t="array" ref="U2111">index('Query Tool'!B:B,match(C2111,'Query Tool'!C:C,0))</f>
        <v>0</v>
      </c>
      <c r="V2111" s="161" t="b">
        <f>F2111&gt;='Query Tool'!C$32</f>
        <v>1</v>
      </c>
      <c r="W2111" s="161" t="b">
        <f t="array" ref="W2111">index(Dropdowns!B:B,match(I2111,Dropdowns!A:A,0))</f>
        <v>1</v>
      </c>
      <c r="X2111" s="161" t="b">
        <f t="array" ref="X2111">index('Query Tool'!B:B,match(D2111,'Query Tool'!C:C,0))</f>
        <v>1</v>
      </c>
      <c r="Y2111" s="161" t="str">
        <f t="shared" si="6"/>
        <v>bogdabo02,2017-18</v>
      </c>
      <c r="Z2111" s="168">
        <f t="array" ref="Z2111">iferror(index(I:I,match($A2111&amp;","&amp;index('Year Conversion'!$A:$A,match($C2111,'Year Conversion'!$B:$B,0)),$Y:$Y,0))-I2111,"")</f>
        <v>1</v>
      </c>
      <c r="AA2111" s="168">
        <f t="array" ref="AA2111">iferror(index(J:J,match($A2111&amp;","&amp;index('Year Conversion'!$A:$A,match($C2111,'Year Conversion'!$B:$B,0)),$Y:$Y,0))-J2111,"")</f>
        <v>1.425713057</v>
      </c>
      <c r="AB2111" s="168">
        <f t="array" ref="AB2111">iferror(index(K:K,match($A2111&amp;","&amp;index('Year Conversion'!$A:$A,match($C2111,'Year Conversion'!$B:$B,0)),$Y:$Y,0))-K2111,"")</f>
        <v>0.8657667689</v>
      </c>
      <c r="AC2111" s="168" t="str">
        <f t="shared" si="7"/>
        <v>IND,2017-18</v>
      </c>
    </row>
    <row r="2112">
      <c r="A2112" s="161" t="str">
        <f>IFERROR(__xludf.DUMMYFUNCTION("""COMPUTED_VALUE"""),"singlky01")</f>
        <v>singlky01</v>
      </c>
      <c r="B2112" s="161" t="str">
        <f>IFERROR(__xludf.DUMMYFUNCTION("""COMPUTED_VALUE"""),"Kyle Singler")</f>
        <v>Kyle Singler</v>
      </c>
      <c r="C2112" s="162" t="str">
        <f>IFERROR(__xludf.DUMMYFUNCTION("""COMPUTED_VALUE"""),"2017-18")</f>
        <v>2017-18</v>
      </c>
      <c r="D2112" s="163" t="str">
        <f>IFERROR(__xludf.DUMMYFUNCTION("""COMPUTED_VALUE"""),"OKC")</f>
        <v>OKC</v>
      </c>
      <c r="E2112" s="164" t="str">
        <f>IFERROR(__xludf.DUMMYFUNCTION("""COMPUTED_VALUE"""),"Athletic Finisher")</f>
        <v>Athletic Finisher</v>
      </c>
      <c r="F2112" s="164">
        <f>IFERROR(__xludf.DUMMYFUNCTION("""COMPUTED_VALUE"""),58.845)</f>
        <v>58.845</v>
      </c>
      <c r="G2112" s="163">
        <f>IFERROR(__xludf.DUMMYFUNCTION("""COMPUTED_VALUE"""),12.0)</f>
        <v>12</v>
      </c>
      <c r="H2112" s="163" t="str">
        <f>IFERROR(__xludf.DUMMYFUNCTION("""COMPUTED_VALUE"""),"SF")</f>
        <v>SF</v>
      </c>
      <c r="I2112" s="163">
        <f>IFERROR(__xludf.DUMMYFUNCTION("""COMPUTED_VALUE"""),29.0)</f>
        <v>29</v>
      </c>
      <c r="J2112" s="165">
        <f>IFERROR(__xludf.DUMMYFUNCTION("""COMPUTED_VALUE"""),-0.738043936917582)</f>
        <v>-0.7380439369</v>
      </c>
      <c r="K2112" s="165">
        <f>IFERROR(__xludf.DUMMYFUNCTION("""COMPUTED_VALUE"""),-0.385712220059738)</f>
        <v>-0.3857122201</v>
      </c>
      <c r="L2112" s="165">
        <f>IFERROR(__xludf.DUMMYFUNCTION("""COMPUTED_VALUE"""),-0.352331716857844)</f>
        <v>-0.3523317169</v>
      </c>
      <c r="M2112" s="166">
        <f t="shared" si="2"/>
        <v>0.06146131576</v>
      </c>
      <c r="N2112" s="167">
        <f t="shared" si="3"/>
        <v>4.90375</v>
      </c>
      <c r="O2112" s="163">
        <f t="shared" ref="O2112:Q2112" si="2116">rank(I2112,I:I)</f>
        <v>855</v>
      </c>
      <c r="P2112" s="163">
        <f t="shared" si="2116"/>
        <v>2197</v>
      </c>
      <c r="Q2112" s="163">
        <f t="shared" si="2116"/>
        <v>1926</v>
      </c>
      <c r="R2112" s="163">
        <f>IFERROR(__xludf.DUMMYFUNCTION("RANK(M2112,filter(M:M,C:C=C2112))"),421.0)</f>
        <v>421</v>
      </c>
      <c r="S2112" s="161" t="b">
        <f t="shared" si="5"/>
        <v>0</v>
      </c>
      <c r="T2112" s="161" t="b">
        <f t="array" ref="T2112">index('Query Tool'!B:B,match(H2112,'Query Tool'!C:C,0))</f>
        <v>1</v>
      </c>
      <c r="U2112" s="161" t="b">
        <f t="array" ref="U2112">index('Query Tool'!B:B,match(C2112,'Query Tool'!C:C,0))</f>
        <v>0</v>
      </c>
      <c r="V2112" s="161" t="b">
        <f>F2112&gt;='Query Tool'!C$32</f>
        <v>0</v>
      </c>
      <c r="W2112" s="161" t="b">
        <f t="array" ref="W2112">index(Dropdowns!B:B,match(I2112,Dropdowns!A:A,0))</f>
        <v>1</v>
      </c>
      <c r="X2112" s="161" t="b">
        <f t="array" ref="X2112">index('Query Tool'!B:B,match(D2112,'Query Tool'!C:C,0))</f>
        <v>1</v>
      </c>
      <c r="Y2112" s="161" t="str">
        <f t="shared" si="6"/>
        <v>singlky01,2017-18</v>
      </c>
      <c r="Z2112" s="168" t="str">
        <f t="array" ref="Z2112">iferror(index(I:I,match($A2112&amp;","&amp;index('Year Conversion'!$A:$A,match($C2112,'Year Conversion'!$B:$B,0)),$Y:$Y,0))-I2112,"")</f>
        <v/>
      </c>
      <c r="AA2112" s="168" t="str">
        <f t="array" ref="AA2112">iferror(index(J:J,match($A2112&amp;","&amp;index('Year Conversion'!$A:$A,match($C2112,'Year Conversion'!$B:$B,0)),$Y:$Y,0))-J2112,"")</f>
        <v/>
      </c>
      <c r="AB2112" s="168" t="str">
        <f t="array" ref="AB2112">iferror(index(K:K,match($A2112&amp;","&amp;index('Year Conversion'!$A:$A,match($C2112,'Year Conversion'!$B:$B,0)),$Y:$Y,0))-K2112,"")</f>
        <v/>
      </c>
      <c r="AC2112" s="168" t="str">
        <f t="shared" si="7"/>
        <v>OKC,2017-18</v>
      </c>
    </row>
    <row r="2113">
      <c r="A2113" s="161" t="str">
        <f>IFERROR(__xludf.DUMMYFUNCTION("""COMPUTED_VALUE"""),"macksh01")</f>
        <v>macksh01</v>
      </c>
      <c r="B2113" s="161" t="str">
        <f>IFERROR(__xludf.DUMMYFUNCTION("""COMPUTED_VALUE"""),"Shelvin Mack")</f>
        <v>Shelvin Mack</v>
      </c>
      <c r="C2113" s="162" t="str">
        <f>IFERROR(__xludf.DUMMYFUNCTION("""COMPUTED_VALUE"""),"2017-18")</f>
        <v>2017-18</v>
      </c>
      <c r="D2113" s="163" t="str">
        <f>IFERROR(__xludf.DUMMYFUNCTION("""COMPUTED_VALUE"""),"ORL")</f>
        <v>ORL</v>
      </c>
      <c r="E2113" s="164" t="str">
        <f>IFERROR(__xludf.DUMMYFUNCTION("""COMPUTED_VALUE"""),"Primary Ball Handler")</f>
        <v>Primary Ball Handler</v>
      </c>
      <c r="F2113" s="164">
        <f>IFERROR(__xludf.DUMMYFUNCTION("""COMPUTED_VALUE"""),1364.735)</f>
        <v>1364.735</v>
      </c>
      <c r="G2113" s="163">
        <f>IFERROR(__xludf.DUMMYFUNCTION("""COMPUTED_VALUE"""),69.0)</f>
        <v>69</v>
      </c>
      <c r="H2113" s="163" t="str">
        <f>IFERROR(__xludf.DUMMYFUNCTION("""COMPUTED_VALUE"""),"PG")</f>
        <v>PG</v>
      </c>
      <c r="I2113" s="163">
        <f>IFERROR(__xludf.DUMMYFUNCTION("""COMPUTED_VALUE"""),27.0)</f>
        <v>27</v>
      </c>
      <c r="J2113" s="165">
        <f>IFERROR(__xludf.DUMMYFUNCTION("""COMPUTED_VALUE"""),-1.12421043777485)</f>
        <v>-1.124210438</v>
      </c>
      <c r="K2113" s="165">
        <f>IFERROR(__xludf.DUMMYFUNCTION("""COMPUTED_VALUE"""),-0.54626423690234)</f>
        <v>-0.5462642369</v>
      </c>
      <c r="L2113" s="165">
        <f>IFERROR(__xludf.DUMMYFUNCTION("""COMPUTED_VALUE"""),-0.577946200872509)</f>
        <v>-0.5779462009</v>
      </c>
      <c r="M2113" s="166">
        <f t="shared" si="2"/>
        <v>1.071403441</v>
      </c>
      <c r="N2113" s="167">
        <f t="shared" si="3"/>
        <v>19.77876812</v>
      </c>
      <c r="O2113" s="163">
        <f t="shared" ref="O2113:Q2113" si="2117">rank(I2113,I:I)</f>
        <v>1366</v>
      </c>
      <c r="P2113" s="163">
        <f t="shared" si="2117"/>
        <v>2650</v>
      </c>
      <c r="Q2113" s="163">
        <f t="shared" si="2117"/>
        <v>2185</v>
      </c>
      <c r="R2113" s="163">
        <f>IFERROR(__xludf.DUMMYFUNCTION("RANK(M2113,filter(M:M,C:C=C2113))"),230.0)</f>
        <v>230</v>
      </c>
      <c r="S2113" s="161" t="b">
        <f t="shared" si="5"/>
        <v>0</v>
      </c>
      <c r="T2113" s="161" t="b">
        <f t="array" ref="T2113">index('Query Tool'!B:B,match(H2113,'Query Tool'!C:C,0))</f>
        <v>1</v>
      </c>
      <c r="U2113" s="161" t="b">
        <f t="array" ref="U2113">index('Query Tool'!B:B,match(C2113,'Query Tool'!C:C,0))</f>
        <v>0</v>
      </c>
      <c r="V2113" s="161" t="b">
        <f>F2113&gt;='Query Tool'!C$32</f>
        <v>1</v>
      </c>
      <c r="W2113" s="161" t="b">
        <f t="array" ref="W2113">index(Dropdowns!B:B,match(I2113,Dropdowns!A:A,0))</f>
        <v>1</v>
      </c>
      <c r="X2113" s="161" t="b">
        <f t="array" ref="X2113">index('Query Tool'!B:B,match(D2113,'Query Tool'!C:C,0))</f>
        <v>1</v>
      </c>
      <c r="Y2113" s="161" t="str">
        <f t="shared" si="6"/>
        <v>macksh01,2017-18</v>
      </c>
      <c r="Z2113" s="168">
        <f t="array" ref="Z2113">iferror(index(I:I,match($A2113&amp;","&amp;index('Year Conversion'!$A:$A,match($C2113,'Year Conversion'!$B:$B,0)),$Y:$Y,0))-I2113,"")</f>
        <v>1</v>
      </c>
      <c r="AA2113" s="168">
        <f t="array" ref="AA2113">iferror(index(J:J,match($A2113&amp;","&amp;index('Year Conversion'!$A:$A,match($C2113,'Year Conversion'!$B:$B,0)),$Y:$Y,0))-J2113,"")</f>
        <v>-1.424899645</v>
      </c>
      <c r="AB2113" s="168">
        <f t="array" ref="AB2113">iferror(index(K:K,match($A2113&amp;","&amp;index('Year Conversion'!$A:$A,match($C2113,'Year Conversion'!$B:$B,0)),$Y:$Y,0))-K2113,"")</f>
        <v>-0.9140986804</v>
      </c>
      <c r="AC2113" s="168" t="str">
        <f t="shared" si="7"/>
        <v>ORL,2017-18</v>
      </c>
    </row>
    <row r="2114">
      <c r="A2114" s="161" t="str">
        <f>IFERROR(__xludf.DUMMYFUNCTION("""COMPUTED_VALUE"""),"parsoch01")</f>
        <v>parsoch01</v>
      </c>
      <c r="B2114" s="161" t="str">
        <f>IFERROR(__xludf.DUMMYFUNCTION("""COMPUTED_VALUE"""),"Chandler Parsons")</f>
        <v>Chandler Parsons</v>
      </c>
      <c r="C2114" s="162" t="str">
        <f>IFERROR(__xludf.DUMMYFUNCTION("""COMPUTED_VALUE"""),"2017-18")</f>
        <v>2017-18</v>
      </c>
      <c r="D2114" s="163" t="str">
        <f>IFERROR(__xludf.DUMMYFUNCTION("""COMPUTED_VALUE"""),"MEM")</f>
        <v>MEM</v>
      </c>
      <c r="E2114" s="164" t="str">
        <f>IFERROR(__xludf.DUMMYFUNCTION("""COMPUTED_VALUE"""),"Secondary Ball Handler")</f>
        <v>Secondary Ball Handler</v>
      </c>
      <c r="F2114" s="164">
        <f>IFERROR(__xludf.DUMMYFUNCTION("""COMPUTED_VALUE"""),691.383333333333)</f>
        <v>691.3833333</v>
      </c>
      <c r="G2114" s="163">
        <f>IFERROR(__xludf.DUMMYFUNCTION("""COMPUTED_VALUE"""),36.0)</f>
        <v>36</v>
      </c>
      <c r="H2114" s="163" t="str">
        <f>IFERROR(__xludf.DUMMYFUNCTION("""COMPUTED_VALUE"""),"SF")</f>
        <v>SF</v>
      </c>
      <c r="I2114" s="163">
        <f>IFERROR(__xludf.DUMMYFUNCTION("""COMPUTED_VALUE"""),29.0)</f>
        <v>29</v>
      </c>
      <c r="J2114" s="165">
        <f>IFERROR(__xludf.DUMMYFUNCTION("""COMPUTED_VALUE"""),-1.37920780151336)</f>
        <v>-1.379207802</v>
      </c>
      <c r="K2114" s="165">
        <f>IFERROR(__xludf.DUMMYFUNCTION("""COMPUTED_VALUE"""),-0.42452016896748)</f>
        <v>-0.424520169</v>
      </c>
      <c r="L2114" s="165">
        <f>IFERROR(__xludf.DUMMYFUNCTION("""COMPUTED_VALUE"""),-0.954687632545883)</f>
        <v>-0.9546876325</v>
      </c>
      <c r="M2114" s="166">
        <f t="shared" si="2"/>
        <v>0.4246947976</v>
      </c>
      <c r="N2114" s="167">
        <f t="shared" si="3"/>
        <v>19.20509259</v>
      </c>
      <c r="O2114" s="163">
        <f t="shared" ref="O2114:Q2114" si="2118">rank(I2114,I:I)</f>
        <v>855</v>
      </c>
      <c r="P2114" s="163">
        <f t="shared" si="2118"/>
        <v>2935</v>
      </c>
      <c r="Q2114" s="163">
        <f t="shared" si="2118"/>
        <v>1987</v>
      </c>
      <c r="R2114" s="163">
        <f>IFERROR(__xludf.DUMMYFUNCTION("RANK(M2114,filter(M:M,C:C=C2114))"),297.0)</f>
        <v>297</v>
      </c>
      <c r="S2114" s="161" t="b">
        <f t="shared" si="5"/>
        <v>0</v>
      </c>
      <c r="T2114" s="161" t="b">
        <f t="array" ref="T2114">index('Query Tool'!B:B,match(H2114,'Query Tool'!C:C,0))</f>
        <v>1</v>
      </c>
      <c r="U2114" s="161" t="b">
        <f t="array" ref="U2114">index('Query Tool'!B:B,match(C2114,'Query Tool'!C:C,0))</f>
        <v>0</v>
      </c>
      <c r="V2114" s="161" t="b">
        <f>F2114&gt;='Query Tool'!C$32</f>
        <v>1</v>
      </c>
      <c r="W2114" s="161" t="b">
        <f t="array" ref="W2114">index(Dropdowns!B:B,match(I2114,Dropdowns!A:A,0))</f>
        <v>1</v>
      </c>
      <c r="X2114" s="161" t="b">
        <f t="array" ref="X2114">index('Query Tool'!B:B,match(D2114,'Query Tool'!C:C,0))</f>
        <v>1</v>
      </c>
      <c r="Y2114" s="161" t="str">
        <f t="shared" si="6"/>
        <v>parsoch01,2017-18</v>
      </c>
      <c r="Z2114" s="168">
        <f t="array" ref="Z2114">iferror(index(I:I,match($A2114&amp;","&amp;index('Year Conversion'!$A:$A,match($C2114,'Year Conversion'!$B:$B,0)),$Y:$Y,0))-I2114,"")</f>
        <v>1</v>
      </c>
      <c r="AA2114" s="168">
        <f t="array" ref="AA2114">iferror(index(J:J,match($A2114&amp;","&amp;index('Year Conversion'!$A:$A,match($C2114,'Year Conversion'!$B:$B,0)),$Y:$Y,0))-J2114,"")</f>
        <v>-1.209695548</v>
      </c>
      <c r="AB2114" s="168">
        <f t="array" ref="AB2114">iferror(index(K:K,match($A2114&amp;","&amp;index('Year Conversion'!$A:$A,match($C2114,'Year Conversion'!$B:$B,0)),$Y:$Y,0))-K2114,"")</f>
        <v>-1.490635772</v>
      </c>
      <c r="AC2114" s="168" t="str">
        <f t="shared" si="7"/>
        <v>MEM,2017-18</v>
      </c>
    </row>
    <row r="2115">
      <c r="A2115" s="161" t="str">
        <f>IFERROR(__xludf.DUMMYFUNCTION("""COMPUTED_VALUE"""),"leuerjo01")</f>
        <v>leuerjo01</v>
      </c>
      <c r="B2115" s="161" t="str">
        <f>IFERROR(__xludf.DUMMYFUNCTION("""COMPUTED_VALUE"""),"Jon Leuer")</f>
        <v>Jon Leuer</v>
      </c>
      <c r="C2115" s="162" t="str">
        <f>IFERROR(__xludf.DUMMYFUNCTION("""COMPUTED_VALUE"""),"2017-18")</f>
        <v>2017-18</v>
      </c>
      <c r="D2115" s="163" t="str">
        <f>IFERROR(__xludf.DUMMYFUNCTION("""COMPUTED_VALUE"""),"DET")</f>
        <v>DET</v>
      </c>
      <c r="E2115" s="164" t="str">
        <f>IFERROR(__xludf.DUMMYFUNCTION("""COMPUTED_VALUE"""),"Roll + Cut Big")</f>
        <v>Roll + Cut Big</v>
      </c>
      <c r="F2115" s="164">
        <f>IFERROR(__xludf.DUMMYFUNCTION("""COMPUTED_VALUE"""),136.466666666667)</f>
        <v>136.4666667</v>
      </c>
      <c r="G2115" s="163">
        <f>IFERROR(__xludf.DUMMYFUNCTION("""COMPUTED_VALUE"""),8.0)</f>
        <v>8</v>
      </c>
      <c r="H2115" s="163" t="str">
        <f>IFERROR(__xludf.DUMMYFUNCTION("""COMPUTED_VALUE"""),"PF")</f>
        <v>PF</v>
      </c>
      <c r="I2115" s="163">
        <f>IFERROR(__xludf.DUMMYFUNCTION("""COMPUTED_VALUE"""),28.0)</f>
        <v>28</v>
      </c>
      <c r="J2115" s="165">
        <f>IFERROR(__xludf.DUMMYFUNCTION("""COMPUTED_VALUE"""),-0.519000799036882)</f>
        <v>-0.519000799</v>
      </c>
      <c r="K2115" s="165">
        <f>IFERROR(__xludf.DUMMYFUNCTION("""COMPUTED_VALUE"""),-1.01259309914947)</f>
        <v>-1.012593099</v>
      </c>
      <c r="L2115" s="165">
        <f>IFERROR(__xludf.DUMMYFUNCTION("""COMPUTED_VALUE"""),0.493592300112585)</f>
        <v>0.4935923001</v>
      </c>
      <c r="M2115" s="166">
        <f t="shared" si="2"/>
        <v>0.1626535947</v>
      </c>
      <c r="N2115" s="167">
        <f t="shared" si="3"/>
        <v>17.05833333</v>
      </c>
      <c r="O2115" s="163">
        <f t="shared" ref="O2115:Q2115" si="2119">rank(I2115,I:I)</f>
        <v>1090</v>
      </c>
      <c r="P2115" s="163">
        <f t="shared" si="2119"/>
        <v>1880</v>
      </c>
      <c r="Q2115" s="163">
        <f t="shared" si="2119"/>
        <v>2819</v>
      </c>
      <c r="R2115" s="163">
        <f>IFERROR(__xludf.DUMMYFUNCTION("RANK(M2115,filter(M:M,C:C=C2115))"),356.0)</f>
        <v>356</v>
      </c>
      <c r="S2115" s="161" t="b">
        <f t="shared" si="5"/>
        <v>0</v>
      </c>
      <c r="T2115" s="161" t="b">
        <f t="array" ref="T2115">index('Query Tool'!B:B,match(H2115,'Query Tool'!C:C,0))</f>
        <v>1</v>
      </c>
      <c r="U2115" s="161" t="b">
        <f t="array" ref="U2115">index('Query Tool'!B:B,match(C2115,'Query Tool'!C:C,0))</f>
        <v>0</v>
      </c>
      <c r="V2115" s="161" t="b">
        <f>F2115&gt;='Query Tool'!C$32</f>
        <v>0</v>
      </c>
      <c r="W2115" s="161" t="b">
        <f t="array" ref="W2115">index(Dropdowns!B:B,match(I2115,Dropdowns!A:A,0))</f>
        <v>1</v>
      </c>
      <c r="X2115" s="161" t="b">
        <f t="array" ref="X2115">index('Query Tool'!B:B,match(D2115,'Query Tool'!C:C,0))</f>
        <v>1</v>
      </c>
      <c r="Y2115" s="161" t="str">
        <f t="shared" si="6"/>
        <v>leuerjo01,2017-18</v>
      </c>
      <c r="Z2115" s="168">
        <f t="array" ref="Z2115">iferror(index(I:I,match($A2115&amp;","&amp;index('Year Conversion'!$A:$A,match($C2115,'Year Conversion'!$B:$B,0)),$Y:$Y,0))-I2115,"")</f>
        <v>1</v>
      </c>
      <c r="AA2115" s="168">
        <f t="array" ref="AA2115">iferror(index(J:J,match($A2115&amp;","&amp;index('Year Conversion'!$A:$A,match($C2115,'Year Conversion'!$B:$B,0)),$Y:$Y,0))-J2115,"")</f>
        <v>-1.262089788</v>
      </c>
      <c r="AB2115" s="168">
        <f t="array" ref="AB2115">iferror(index(K:K,match($A2115&amp;","&amp;index('Year Conversion'!$A:$A,match($C2115,'Year Conversion'!$B:$B,0)),$Y:$Y,0))-K2115,"")</f>
        <v>-1.007415619</v>
      </c>
      <c r="AC2115" s="168" t="str">
        <f t="shared" si="7"/>
        <v>DET,2017-18</v>
      </c>
    </row>
    <row r="2116">
      <c r="A2116" s="161" t="str">
        <f>IFERROR(__xludf.DUMMYFUNCTION("""COMPUTED_VALUE"""),"bertada01")</f>
        <v>bertada01</v>
      </c>
      <c r="B2116" s="161" t="str">
        <f>IFERROR(__xludf.DUMMYFUNCTION("""COMPUTED_VALUE"""),"Davis Bertans")</f>
        <v>Davis Bertans</v>
      </c>
      <c r="C2116" s="162" t="str">
        <f>IFERROR(__xludf.DUMMYFUNCTION("""COMPUTED_VALUE"""),"2017-18")</f>
        <v>2017-18</v>
      </c>
      <c r="D2116" s="163" t="str">
        <f>IFERROR(__xludf.DUMMYFUNCTION("""COMPUTED_VALUE"""),"SAS")</f>
        <v>SAS</v>
      </c>
      <c r="E2116" s="164" t="str">
        <f>IFERROR(__xludf.DUMMYFUNCTION("""COMPUTED_VALUE"""),"Movement Shooter")</f>
        <v>Movement Shooter</v>
      </c>
      <c r="F2116" s="164">
        <f>IFERROR(__xludf.DUMMYFUNCTION("""COMPUTED_VALUE"""),1086.20833333333)</f>
        <v>1086.208333</v>
      </c>
      <c r="G2116" s="163">
        <f>IFERROR(__xludf.DUMMYFUNCTION("""COMPUTED_VALUE"""),77.0)</f>
        <v>77</v>
      </c>
      <c r="H2116" s="163" t="str">
        <f>IFERROR(__xludf.DUMMYFUNCTION("""COMPUTED_VALUE"""),"PF")</f>
        <v>PF</v>
      </c>
      <c r="I2116" s="163">
        <f>IFERROR(__xludf.DUMMYFUNCTION("""COMPUTED_VALUE"""),25.0)</f>
        <v>25</v>
      </c>
      <c r="J2116" s="165">
        <f>IFERROR(__xludf.DUMMYFUNCTION("""COMPUTED_VALUE"""),1.03320933130067)</f>
        <v>1.033209331</v>
      </c>
      <c r="K2116" s="165">
        <f>IFERROR(__xludf.DUMMYFUNCTION("""COMPUTED_VALUE"""),0.545063593601604)</f>
        <v>0.5450635936</v>
      </c>
      <c r="L2116" s="165">
        <f>IFERROR(__xludf.DUMMYFUNCTION("""COMPUTED_VALUE"""),0.48814573769907)</f>
        <v>0.4881457377</v>
      </c>
      <c r="M2116" s="166">
        <f t="shared" si="2"/>
        <v>2.430081244</v>
      </c>
      <c r="N2116" s="167">
        <f t="shared" si="3"/>
        <v>14.10660173</v>
      </c>
      <c r="O2116" s="163">
        <f t="shared" ref="O2116:Q2116" si="2120">rank(I2116,I:I)</f>
        <v>1995</v>
      </c>
      <c r="P2116" s="163">
        <f t="shared" si="2120"/>
        <v>644</v>
      </c>
      <c r="Q2116" s="163">
        <f t="shared" si="2120"/>
        <v>743</v>
      </c>
      <c r="R2116" s="163">
        <f>IFERROR(__xludf.DUMMYFUNCTION("RANK(M2116,filter(M:M,C:C=C2116))"),135.0)</f>
        <v>135</v>
      </c>
      <c r="S2116" s="161" t="b">
        <f t="shared" si="5"/>
        <v>0</v>
      </c>
      <c r="T2116" s="161" t="b">
        <f t="array" ref="T2116">index('Query Tool'!B:B,match(H2116,'Query Tool'!C:C,0))</f>
        <v>1</v>
      </c>
      <c r="U2116" s="161" t="b">
        <f t="array" ref="U2116">index('Query Tool'!B:B,match(C2116,'Query Tool'!C:C,0))</f>
        <v>0</v>
      </c>
      <c r="V2116" s="161" t="b">
        <f>F2116&gt;='Query Tool'!C$32</f>
        <v>1</v>
      </c>
      <c r="W2116" s="161" t="b">
        <f t="array" ref="W2116">index(Dropdowns!B:B,match(I2116,Dropdowns!A:A,0))</f>
        <v>1</v>
      </c>
      <c r="X2116" s="161" t="b">
        <f t="array" ref="X2116">index('Query Tool'!B:B,match(D2116,'Query Tool'!C:C,0))</f>
        <v>1</v>
      </c>
      <c r="Y2116" s="161" t="str">
        <f t="shared" si="6"/>
        <v>bertada01,2017-18</v>
      </c>
      <c r="Z2116" s="168">
        <f t="array" ref="Z2116">iferror(index(I:I,match($A2116&amp;","&amp;index('Year Conversion'!$A:$A,match($C2116,'Year Conversion'!$B:$B,0)),$Y:$Y,0))-I2116,"")</f>
        <v>1</v>
      </c>
      <c r="AA2116" s="168">
        <f t="array" ref="AA2116">iferror(index(J:J,match($A2116&amp;","&amp;index('Year Conversion'!$A:$A,match($C2116,'Year Conversion'!$B:$B,0)),$Y:$Y,0))-J2116,"")</f>
        <v>0.5478559832</v>
      </c>
      <c r="AB2116" s="168">
        <f t="array" ref="AB2116">iferror(index(K:K,match($A2116&amp;","&amp;index('Year Conversion'!$A:$A,match($C2116,'Year Conversion'!$B:$B,0)),$Y:$Y,0))-K2116,"")</f>
        <v>0.3580363182</v>
      </c>
      <c r="AC2116" s="168" t="str">
        <f t="shared" si="7"/>
        <v>SAS,2017-18</v>
      </c>
    </row>
    <row r="2117">
      <c r="A2117" s="161" t="str">
        <f>IFERROR(__xludf.DUMMYFUNCTION("""COMPUTED_VALUE"""),"liggide01")</f>
        <v>liggide01</v>
      </c>
      <c r="B2117" s="161" t="str">
        <f>IFERROR(__xludf.DUMMYFUNCTION("""COMPUTED_VALUE"""),"DeAndre Liggins")</f>
        <v>DeAndre Liggins</v>
      </c>
      <c r="C2117" s="162" t="str">
        <f>IFERROR(__xludf.DUMMYFUNCTION("""COMPUTED_VALUE"""),"2017-18")</f>
        <v>2017-18</v>
      </c>
      <c r="D2117" s="163" t="str">
        <f>IFERROR(__xludf.DUMMYFUNCTION("""COMPUTED_VALUE"""),"TOT")</f>
        <v>TOT</v>
      </c>
      <c r="E2117" s="164" t="str">
        <f>IFERROR(__xludf.DUMMYFUNCTION("""COMPUTED_VALUE"""),"Stationary Shooter")</f>
        <v>Stationary Shooter</v>
      </c>
      <c r="F2117" s="164">
        <f>IFERROR(__xludf.DUMMYFUNCTION("""COMPUTED_VALUE"""),723.558333333333)</f>
        <v>723.5583333</v>
      </c>
      <c r="G2117" s="163">
        <f>IFERROR(__xludf.DUMMYFUNCTION("""COMPUTED_VALUE"""),58.0)</f>
        <v>58</v>
      </c>
      <c r="H2117" s="163" t="str">
        <f>IFERROR(__xludf.DUMMYFUNCTION("""COMPUTED_VALUE"""),"SG")</f>
        <v>SG</v>
      </c>
      <c r="I2117" s="163">
        <f>IFERROR(__xludf.DUMMYFUNCTION("""COMPUTED_VALUE"""),29.0)</f>
        <v>29</v>
      </c>
      <c r="J2117" s="165">
        <f>IFERROR(__xludf.DUMMYFUNCTION("""COMPUTED_VALUE"""),-2.3312388552074)</f>
        <v>-2.331238855</v>
      </c>
      <c r="K2117" s="165">
        <f>IFERROR(__xludf.DUMMYFUNCTION("""COMPUTED_VALUE"""),-2.62218176670389)</f>
        <v>-2.622181767</v>
      </c>
      <c r="L2117" s="165">
        <f>IFERROR(__xludf.DUMMYFUNCTION("""COMPUTED_VALUE"""),0.290942911496492)</f>
        <v>0.2909429115</v>
      </c>
      <c r="M2117" s="166">
        <f t="shared" si="2"/>
        <v>-0.01322027235</v>
      </c>
      <c r="N2117" s="167">
        <f t="shared" si="3"/>
        <v>12.47514368</v>
      </c>
      <c r="O2117" s="163">
        <f t="shared" ref="O2117:Q2117" si="2121">rank(I2117,I:I)</f>
        <v>855</v>
      </c>
      <c r="P2117" s="163">
        <f t="shared" si="2121"/>
        <v>3671</v>
      </c>
      <c r="Q2117" s="163">
        <f t="shared" si="2121"/>
        <v>3919</v>
      </c>
      <c r="R2117" s="163">
        <f>IFERROR(__xludf.DUMMYFUNCTION("RANK(M2117,filter(M:M,C:C=C2117))"),503.0)</f>
        <v>503</v>
      </c>
      <c r="S2117" s="161" t="b">
        <f t="shared" si="5"/>
        <v>0</v>
      </c>
      <c r="T2117" s="161" t="b">
        <f t="array" ref="T2117">index('Query Tool'!B:B,match(H2117,'Query Tool'!C:C,0))</f>
        <v>1</v>
      </c>
      <c r="U2117" s="161" t="b">
        <f t="array" ref="U2117">index('Query Tool'!B:B,match(C2117,'Query Tool'!C:C,0))</f>
        <v>0</v>
      </c>
      <c r="V2117" s="161" t="b">
        <f>F2117&gt;='Query Tool'!C$32</f>
        <v>1</v>
      </c>
      <c r="W2117" s="161" t="b">
        <f t="array" ref="W2117">index(Dropdowns!B:B,match(I2117,Dropdowns!A:A,0))</f>
        <v>1</v>
      </c>
      <c r="X2117" s="161" t="b">
        <f t="array" ref="X2117">index('Query Tool'!B:B,match(D2117,'Query Tool'!C:C,0))</f>
        <v>1</v>
      </c>
      <c r="Y2117" s="161" t="str">
        <f t="shared" si="6"/>
        <v>liggide01,2017-18</v>
      </c>
      <c r="Z2117" s="168" t="str">
        <f t="array" ref="Z2117">iferror(index(I:I,match($A2117&amp;","&amp;index('Year Conversion'!$A:$A,match($C2117,'Year Conversion'!$B:$B,0)),$Y:$Y,0))-I2117,"")</f>
        <v/>
      </c>
      <c r="AA2117" s="168" t="str">
        <f t="array" ref="AA2117">iferror(index(J:J,match($A2117&amp;","&amp;index('Year Conversion'!$A:$A,match($C2117,'Year Conversion'!$B:$B,0)),$Y:$Y,0))-J2117,"")</f>
        <v/>
      </c>
      <c r="AB2117" s="168" t="str">
        <f t="array" ref="AB2117">iferror(index(K:K,match($A2117&amp;","&amp;index('Year Conversion'!$A:$A,match($C2117,'Year Conversion'!$B:$B,0)),$Y:$Y,0))-K2117,"")</f>
        <v/>
      </c>
      <c r="AC2117" s="168" t="str">
        <f t="shared" si="7"/>
        <v>TOT,2017-18</v>
      </c>
    </row>
    <row r="2118">
      <c r="A2118" s="161" t="str">
        <f>IFERROR(__xludf.DUMMYFUNCTION("""COMPUTED_VALUE"""),"mooreet01")</f>
        <v>mooreet01</v>
      </c>
      <c r="B2118" s="161" t="str">
        <f>IFERROR(__xludf.DUMMYFUNCTION("""COMPUTED_VALUE"""),"E'Twaun Moore")</f>
        <v>E'Twaun Moore</v>
      </c>
      <c r="C2118" s="162" t="str">
        <f>IFERROR(__xludf.DUMMYFUNCTION("""COMPUTED_VALUE"""),"2017-18")</f>
        <v>2017-18</v>
      </c>
      <c r="D2118" s="163" t="str">
        <f>IFERROR(__xludf.DUMMYFUNCTION("""COMPUTED_VALUE"""),"NOP")</f>
        <v>NOP</v>
      </c>
      <c r="E2118" s="164" t="str">
        <f>IFERROR(__xludf.DUMMYFUNCTION("""COMPUTED_VALUE"""),"Stationary Shooter")</f>
        <v>Stationary Shooter</v>
      </c>
      <c r="F2118" s="164">
        <f>IFERROR(__xludf.DUMMYFUNCTION("""COMPUTED_VALUE"""),2585.85833333333)</f>
        <v>2585.858333</v>
      </c>
      <c r="G2118" s="163">
        <f>IFERROR(__xludf.DUMMYFUNCTION("""COMPUTED_VALUE"""),82.0)</f>
        <v>82</v>
      </c>
      <c r="H2118" s="163" t="str">
        <f>IFERROR(__xludf.DUMMYFUNCTION("""COMPUTED_VALUE"""),"SG")</f>
        <v>SG</v>
      </c>
      <c r="I2118" s="163">
        <f>IFERROR(__xludf.DUMMYFUNCTION("""COMPUTED_VALUE"""),28.0)</f>
        <v>28</v>
      </c>
      <c r="J2118" s="165">
        <f>IFERROR(__xludf.DUMMYFUNCTION("""COMPUTED_VALUE"""),-0.939887871800256)</f>
        <v>-0.9398878718</v>
      </c>
      <c r="K2118" s="165">
        <f>IFERROR(__xludf.DUMMYFUNCTION("""COMPUTED_VALUE"""),-0.861317780810759)</f>
        <v>-0.8613177808</v>
      </c>
      <c r="L2118" s="165">
        <f>IFERROR(__xludf.DUMMYFUNCTION("""COMPUTED_VALUE"""),-0.078570090989497)</f>
        <v>-0.07857009099</v>
      </c>
      <c r="M2118" s="166">
        <f t="shared" si="2"/>
        <v>2.349977156</v>
      </c>
      <c r="N2118" s="167">
        <f t="shared" si="3"/>
        <v>31.53485772</v>
      </c>
      <c r="O2118" s="163">
        <f t="shared" ref="O2118:Q2118" si="2122">rank(I2118,I:I)</f>
        <v>1090</v>
      </c>
      <c r="P2118" s="163">
        <f t="shared" si="2122"/>
        <v>2436</v>
      </c>
      <c r="Q2118" s="163">
        <f t="shared" si="2122"/>
        <v>2635</v>
      </c>
      <c r="R2118" s="163">
        <f>IFERROR(__xludf.DUMMYFUNCTION("RANK(M2118,filter(M:M,C:C=C2118))"),142.0)</f>
        <v>142</v>
      </c>
      <c r="S2118" s="161" t="b">
        <f t="shared" si="5"/>
        <v>0</v>
      </c>
      <c r="T2118" s="161" t="b">
        <f t="array" ref="T2118">index('Query Tool'!B:B,match(H2118,'Query Tool'!C:C,0))</f>
        <v>1</v>
      </c>
      <c r="U2118" s="161" t="b">
        <f t="array" ref="U2118">index('Query Tool'!B:B,match(C2118,'Query Tool'!C:C,0))</f>
        <v>0</v>
      </c>
      <c r="V2118" s="161" t="b">
        <f>F2118&gt;='Query Tool'!C$32</f>
        <v>1</v>
      </c>
      <c r="W2118" s="161" t="b">
        <f t="array" ref="W2118">index(Dropdowns!B:B,match(I2118,Dropdowns!A:A,0))</f>
        <v>1</v>
      </c>
      <c r="X2118" s="161" t="b">
        <f t="array" ref="X2118">index('Query Tool'!B:B,match(D2118,'Query Tool'!C:C,0))</f>
        <v>1</v>
      </c>
      <c r="Y2118" s="161" t="str">
        <f t="shared" si="6"/>
        <v>mooreet01,2017-18</v>
      </c>
      <c r="Z2118" s="168">
        <f t="array" ref="Z2118">iferror(index(I:I,match($A2118&amp;","&amp;index('Year Conversion'!$A:$A,match($C2118,'Year Conversion'!$B:$B,0)),$Y:$Y,0))-I2118,"")</f>
        <v>1</v>
      </c>
      <c r="AA2118" s="168">
        <f t="array" ref="AA2118">iferror(index(J:J,match($A2118&amp;","&amp;index('Year Conversion'!$A:$A,match($C2118,'Year Conversion'!$B:$B,0)),$Y:$Y,0))-J2118,"")</f>
        <v>-1.537249651</v>
      </c>
      <c r="AB2118" s="168">
        <f t="array" ref="AB2118">iferror(index(K:K,match($A2118&amp;","&amp;index('Year Conversion'!$A:$A,match($C2118,'Year Conversion'!$B:$B,0)),$Y:$Y,0))-K2118,"")</f>
        <v>-0.3058855996</v>
      </c>
      <c r="AC2118" s="168" t="str">
        <f t="shared" si="7"/>
        <v>NOP,2017-18</v>
      </c>
    </row>
    <row r="2119">
      <c r="A2119" s="161" t="str">
        <f>IFERROR(__xludf.DUMMYFUNCTION("""COMPUTED_VALUE"""),"thomais02")</f>
        <v>thomais02</v>
      </c>
      <c r="B2119" s="161" t="str">
        <f>IFERROR(__xludf.DUMMYFUNCTION("""COMPUTED_VALUE"""),"Isaiah Thomas")</f>
        <v>Isaiah Thomas</v>
      </c>
      <c r="C2119" s="162" t="str">
        <f>IFERROR(__xludf.DUMMYFUNCTION("""COMPUTED_VALUE"""),"2017-18")</f>
        <v>2017-18</v>
      </c>
      <c r="D2119" s="163" t="str">
        <f>IFERROR(__xludf.DUMMYFUNCTION("""COMPUTED_VALUE"""),"TOT")</f>
        <v>TOT</v>
      </c>
      <c r="E2119" s="164" t="str">
        <f>IFERROR(__xludf.DUMMYFUNCTION("""COMPUTED_VALUE"""),"Secondary Ball Handler")</f>
        <v>Secondary Ball Handler</v>
      </c>
      <c r="F2119" s="164">
        <f>IFERROR(__xludf.DUMMYFUNCTION("""COMPUTED_VALUE"""),861.68)</f>
        <v>861.68</v>
      </c>
      <c r="G2119" s="163">
        <f>IFERROR(__xludf.DUMMYFUNCTION("""COMPUTED_VALUE"""),32.0)</f>
        <v>32</v>
      </c>
      <c r="H2119" s="163" t="str">
        <f>IFERROR(__xludf.DUMMYFUNCTION("""COMPUTED_VALUE"""),"PG")</f>
        <v>PG</v>
      </c>
      <c r="I2119" s="163">
        <f>IFERROR(__xludf.DUMMYFUNCTION("""COMPUTED_VALUE"""),28.0)</f>
        <v>28</v>
      </c>
      <c r="J2119" s="165">
        <f>IFERROR(__xludf.DUMMYFUNCTION("""COMPUTED_VALUE"""),-1.34629150887676)</f>
        <v>-1.346291509</v>
      </c>
      <c r="K2119" s="165">
        <f>IFERROR(__xludf.DUMMYFUNCTION("""COMPUTED_VALUE"""),1.35030288362546)</f>
        <v>1.350302884</v>
      </c>
      <c r="L2119" s="165">
        <f>IFERROR(__xludf.DUMMYFUNCTION("""COMPUTED_VALUE"""),-2.69659439250223)</f>
        <v>-2.696594393</v>
      </c>
      <c r="M2119" s="166">
        <f t="shared" si="2"/>
        <v>0.5482776356</v>
      </c>
      <c r="N2119" s="167">
        <f t="shared" si="3"/>
        <v>26.9275</v>
      </c>
      <c r="O2119" s="163">
        <f t="shared" ref="O2119:Q2119" si="2123">rank(I2119,I:I)</f>
        <v>1090</v>
      </c>
      <c r="P2119" s="163">
        <f t="shared" si="2123"/>
        <v>2904</v>
      </c>
      <c r="Q2119" s="163">
        <f t="shared" si="2123"/>
        <v>369</v>
      </c>
      <c r="R2119" s="163">
        <f>IFERROR(__xludf.DUMMYFUNCTION("RANK(M2119,filter(M:M,C:C=C2119))"),288.0)</f>
        <v>288</v>
      </c>
      <c r="S2119" s="161" t="b">
        <f t="shared" si="5"/>
        <v>0</v>
      </c>
      <c r="T2119" s="161" t="b">
        <f t="array" ref="T2119">index('Query Tool'!B:B,match(H2119,'Query Tool'!C:C,0))</f>
        <v>1</v>
      </c>
      <c r="U2119" s="161" t="b">
        <f t="array" ref="U2119">index('Query Tool'!B:B,match(C2119,'Query Tool'!C:C,0))</f>
        <v>0</v>
      </c>
      <c r="V2119" s="161" t="b">
        <f>F2119&gt;='Query Tool'!C$32</f>
        <v>1</v>
      </c>
      <c r="W2119" s="161" t="b">
        <f t="array" ref="W2119">index(Dropdowns!B:B,match(I2119,Dropdowns!A:A,0))</f>
        <v>1</v>
      </c>
      <c r="X2119" s="161" t="b">
        <f t="array" ref="X2119">index('Query Tool'!B:B,match(D2119,'Query Tool'!C:C,0))</f>
        <v>1</v>
      </c>
      <c r="Y2119" s="161" t="str">
        <f t="shared" si="6"/>
        <v>thomais02,2017-18</v>
      </c>
      <c r="Z2119" s="168">
        <f t="array" ref="Z2119">iferror(index(I:I,match($A2119&amp;","&amp;index('Year Conversion'!$A:$A,match($C2119,'Year Conversion'!$B:$B,0)),$Y:$Y,0))-I2119,"")</f>
        <v>1</v>
      </c>
      <c r="AA2119" s="168">
        <f t="array" ref="AA2119">iferror(index(J:J,match($A2119&amp;","&amp;index('Year Conversion'!$A:$A,match($C2119,'Year Conversion'!$B:$B,0)),$Y:$Y,0))-J2119,"")</f>
        <v>0.01704477865</v>
      </c>
      <c r="AB2119" s="168">
        <f t="array" ref="AB2119">iferror(index(K:K,match($A2119&amp;","&amp;index('Year Conversion'!$A:$A,match($C2119,'Year Conversion'!$B:$B,0)),$Y:$Y,0))-K2119,"")</f>
        <v>-1.574394108</v>
      </c>
      <c r="AC2119" s="168" t="str">
        <f t="shared" si="7"/>
        <v>TOT,2017-18</v>
      </c>
    </row>
    <row r="2120">
      <c r="A2120" s="161" t="str">
        <f>IFERROR(__xludf.DUMMYFUNCTION("""COMPUTED_VALUE"""),"buyckdw01")</f>
        <v>buyckdw01</v>
      </c>
      <c r="B2120" s="161" t="str">
        <f>IFERROR(__xludf.DUMMYFUNCTION("""COMPUTED_VALUE"""),"Dwight Buycks")</f>
        <v>Dwight Buycks</v>
      </c>
      <c r="C2120" s="162" t="str">
        <f>IFERROR(__xludf.DUMMYFUNCTION("""COMPUTED_VALUE"""),"2017-18")</f>
        <v>2017-18</v>
      </c>
      <c r="D2120" s="163" t="str">
        <f>IFERROR(__xludf.DUMMYFUNCTION("""COMPUTED_VALUE"""),"DET")</f>
        <v>DET</v>
      </c>
      <c r="E2120" s="164" t="str">
        <f>IFERROR(__xludf.DUMMYFUNCTION("""COMPUTED_VALUE"""),"Slasher")</f>
        <v>Slasher</v>
      </c>
      <c r="F2120" s="164">
        <f>IFERROR(__xludf.DUMMYFUNCTION("""COMPUTED_VALUE"""),427.236666666667)</f>
        <v>427.2366667</v>
      </c>
      <c r="G2120" s="163">
        <f>IFERROR(__xludf.DUMMYFUNCTION("""COMPUTED_VALUE"""),29.0)</f>
        <v>29</v>
      </c>
      <c r="H2120" s="163" t="str">
        <f>IFERROR(__xludf.DUMMYFUNCTION("""COMPUTED_VALUE"""),"PG")</f>
        <v>PG</v>
      </c>
      <c r="I2120" s="163">
        <f>IFERROR(__xludf.DUMMYFUNCTION("""COMPUTED_VALUE"""),28.0)</f>
        <v>28</v>
      </c>
      <c r="J2120" s="165">
        <f>IFERROR(__xludf.DUMMYFUNCTION("""COMPUTED_VALUE"""),-1.79721795436944)</f>
        <v>-1.797217954</v>
      </c>
      <c r="K2120" s="165">
        <f>IFERROR(__xludf.DUMMYFUNCTION("""COMPUTED_VALUE"""),-1.22026365730802)</f>
        <v>-1.220263657</v>
      </c>
      <c r="L2120" s="165">
        <f>IFERROR(__xludf.DUMMYFUNCTION("""COMPUTED_VALUE"""),-0.576954297061427)</f>
        <v>-0.5769542971</v>
      </c>
      <c r="M2120" s="166">
        <f t="shared" si="2"/>
        <v>0.1432987544</v>
      </c>
      <c r="N2120" s="167">
        <f t="shared" si="3"/>
        <v>14.73229885</v>
      </c>
      <c r="O2120" s="163">
        <f t="shared" ref="O2120:Q2120" si="2124">rank(I2120,I:I)</f>
        <v>1090</v>
      </c>
      <c r="P2120" s="163">
        <f t="shared" si="2124"/>
        <v>3328</v>
      </c>
      <c r="Q2120" s="163">
        <f t="shared" si="2124"/>
        <v>3054</v>
      </c>
      <c r="R2120" s="163">
        <f>IFERROR(__xludf.DUMMYFUNCTION("RANK(M2120,filter(M:M,C:C=C2120))"),366.0)</f>
        <v>366</v>
      </c>
      <c r="S2120" s="161" t="b">
        <f t="shared" si="5"/>
        <v>0</v>
      </c>
      <c r="T2120" s="161" t="b">
        <f t="array" ref="T2120">index('Query Tool'!B:B,match(H2120,'Query Tool'!C:C,0))</f>
        <v>1</v>
      </c>
      <c r="U2120" s="161" t="b">
        <f t="array" ref="U2120">index('Query Tool'!B:B,match(C2120,'Query Tool'!C:C,0))</f>
        <v>0</v>
      </c>
      <c r="V2120" s="161" t="b">
        <f>F2120&gt;='Query Tool'!C$32</f>
        <v>0</v>
      </c>
      <c r="W2120" s="161" t="b">
        <f t="array" ref="W2120">index(Dropdowns!B:B,match(I2120,Dropdowns!A:A,0))</f>
        <v>1</v>
      </c>
      <c r="X2120" s="161" t="b">
        <f t="array" ref="X2120">index('Query Tool'!B:B,match(D2120,'Query Tool'!C:C,0))</f>
        <v>1</v>
      </c>
      <c r="Y2120" s="161" t="str">
        <f t="shared" si="6"/>
        <v>buyckdw01,2017-18</v>
      </c>
      <c r="Z2120" s="168" t="str">
        <f t="array" ref="Z2120">iferror(index(I:I,match($A2120&amp;","&amp;index('Year Conversion'!$A:$A,match($C2120,'Year Conversion'!$B:$B,0)),$Y:$Y,0))-I2120,"")</f>
        <v/>
      </c>
      <c r="AA2120" s="168" t="str">
        <f t="array" ref="AA2120">iferror(index(J:J,match($A2120&amp;","&amp;index('Year Conversion'!$A:$A,match($C2120,'Year Conversion'!$B:$B,0)),$Y:$Y,0))-J2120,"")</f>
        <v/>
      </c>
      <c r="AB2120" s="168" t="str">
        <f t="array" ref="AB2120">iferror(index(K:K,match($A2120&amp;","&amp;index('Year Conversion'!$A:$A,match($C2120,'Year Conversion'!$B:$B,0)),$Y:$Y,0))-K2120,"")</f>
        <v/>
      </c>
      <c r="AC2120" s="168" t="str">
        <f t="shared" si="7"/>
        <v>DET,2017-18</v>
      </c>
    </row>
    <row r="2121">
      <c r="A2121" s="161" t="str">
        <f>IFERROR(__xludf.DUMMYFUNCTION("""COMPUTED_VALUE"""),"silasxa01")</f>
        <v>silasxa01</v>
      </c>
      <c r="B2121" s="161" t="str">
        <f>IFERROR(__xludf.DUMMYFUNCTION("""COMPUTED_VALUE"""),"Xavier Silas")</f>
        <v>Xavier Silas</v>
      </c>
      <c r="C2121" s="162" t="str">
        <f>IFERROR(__xludf.DUMMYFUNCTION("""COMPUTED_VALUE"""),"2017-18")</f>
        <v>2017-18</v>
      </c>
      <c r="D2121" s="163" t="str">
        <f>IFERROR(__xludf.DUMMYFUNCTION("""COMPUTED_VALUE"""),"BOS")</f>
        <v>BOS</v>
      </c>
      <c r="E2121" s="164" t="str">
        <f>IFERROR(__xludf.DUMMYFUNCTION("""COMPUTED_VALUE"""),"Stationary Shooter")</f>
        <v>Stationary Shooter</v>
      </c>
      <c r="F2121" s="164">
        <f>IFERROR(__xludf.DUMMYFUNCTION("""COMPUTED_VALUE"""),7.49833333333334)</f>
        <v>7.498333333</v>
      </c>
      <c r="G2121" s="163">
        <f>IFERROR(__xludf.DUMMYFUNCTION("""COMPUTED_VALUE"""),2.0)</f>
        <v>2</v>
      </c>
      <c r="H2121" s="163" t="str">
        <f>IFERROR(__xludf.DUMMYFUNCTION("""COMPUTED_VALUE"""),"SG")</f>
        <v>SG</v>
      </c>
      <c r="I2121" s="163">
        <f>IFERROR(__xludf.DUMMYFUNCTION("""COMPUTED_VALUE"""),30.0)</f>
        <v>30</v>
      </c>
      <c r="J2121" s="165">
        <f>IFERROR(__xludf.DUMMYFUNCTION("""COMPUTED_VALUE"""),-0.504260979286301)</f>
        <v>-0.5042609793</v>
      </c>
      <c r="K2121" s="165">
        <f>IFERROR(__xludf.DUMMYFUNCTION("""COMPUTED_VALUE"""),-0.158947252127014)</f>
        <v>-0.1589472521</v>
      </c>
      <c r="L2121" s="165">
        <f>IFERROR(__xludf.DUMMYFUNCTION("""COMPUTED_VALUE"""),-0.345313727159287)</f>
        <v>-0.3453137272</v>
      </c>
      <c r="M2121" s="166">
        <f t="shared" si="2"/>
        <v>0.009011640139</v>
      </c>
      <c r="N2121" s="167">
        <f t="shared" si="3"/>
        <v>3.749166667</v>
      </c>
      <c r="O2121" s="163">
        <f t="shared" ref="O2121:Q2121" si="2125">rank(I2121,I:I)</f>
        <v>655</v>
      </c>
      <c r="P2121" s="163">
        <f t="shared" si="2125"/>
        <v>1862</v>
      </c>
      <c r="Q2121" s="163">
        <f t="shared" si="2125"/>
        <v>1494</v>
      </c>
      <c r="R2121" s="163">
        <f>IFERROR(__xludf.DUMMYFUNCTION("RANK(M2121,filter(M:M,C:C=C2121))"),479.0)</f>
        <v>479</v>
      </c>
      <c r="S2121" s="161" t="b">
        <f t="shared" si="5"/>
        <v>0</v>
      </c>
      <c r="T2121" s="161" t="b">
        <f t="array" ref="T2121">index('Query Tool'!B:B,match(H2121,'Query Tool'!C:C,0))</f>
        <v>1</v>
      </c>
      <c r="U2121" s="161" t="b">
        <f t="array" ref="U2121">index('Query Tool'!B:B,match(C2121,'Query Tool'!C:C,0))</f>
        <v>0</v>
      </c>
      <c r="V2121" s="161" t="b">
        <f>F2121&gt;='Query Tool'!C$32</f>
        <v>0</v>
      </c>
      <c r="W2121" s="161" t="b">
        <f t="array" ref="W2121">index(Dropdowns!B:B,match(I2121,Dropdowns!A:A,0))</f>
        <v>1</v>
      </c>
      <c r="X2121" s="161" t="b">
        <f t="array" ref="X2121">index('Query Tool'!B:B,match(D2121,'Query Tool'!C:C,0))</f>
        <v>1</v>
      </c>
      <c r="Y2121" s="161" t="str">
        <f t="shared" si="6"/>
        <v>silasxa01,2017-18</v>
      </c>
      <c r="Z2121" s="168" t="str">
        <f t="array" ref="Z2121">iferror(index(I:I,match($A2121&amp;","&amp;index('Year Conversion'!$A:$A,match($C2121,'Year Conversion'!$B:$B,0)),$Y:$Y,0))-I2121,"")</f>
        <v/>
      </c>
      <c r="AA2121" s="168" t="str">
        <f t="array" ref="AA2121">iferror(index(J:J,match($A2121&amp;","&amp;index('Year Conversion'!$A:$A,match($C2121,'Year Conversion'!$B:$B,0)),$Y:$Y,0))-J2121,"")</f>
        <v/>
      </c>
      <c r="AB2121" s="168" t="str">
        <f t="array" ref="AB2121">iferror(index(K:K,match($A2121&amp;","&amp;index('Year Conversion'!$A:$A,match($C2121,'Year Conversion'!$B:$B,0)),$Y:$Y,0))-K2121,"")</f>
        <v/>
      </c>
      <c r="AC2121" s="168" t="str">
        <f t="shared" si="7"/>
        <v>BOS,2017-18</v>
      </c>
    </row>
    <row r="2122">
      <c r="A2122" s="161" t="str">
        <f>IFERROR(__xludf.DUMMYFUNCTION("""COMPUTED_VALUE"""),"stoneju01")</f>
        <v>stoneju01</v>
      </c>
      <c r="B2122" s="161" t="str">
        <f>IFERROR(__xludf.DUMMYFUNCTION("""COMPUTED_VALUE"""),"Julyan Stone")</f>
        <v>Julyan Stone</v>
      </c>
      <c r="C2122" s="162" t="str">
        <f>IFERROR(__xludf.DUMMYFUNCTION("""COMPUTED_VALUE"""),"2017-18")</f>
        <v>2017-18</v>
      </c>
      <c r="D2122" s="163" t="str">
        <f>IFERROR(__xludf.DUMMYFUNCTION("""COMPUTED_VALUE"""),"CHO")</f>
        <v>CHO</v>
      </c>
      <c r="E2122" s="164" t="str">
        <f>IFERROR(__xludf.DUMMYFUNCTION("""COMPUTED_VALUE"""),"Stationary Shooter")</f>
        <v>Stationary Shooter</v>
      </c>
      <c r="F2122" s="164">
        <f>IFERROR(__xludf.DUMMYFUNCTION("""COMPUTED_VALUE"""),174.755)</f>
        <v>174.755</v>
      </c>
      <c r="G2122" s="163">
        <f>IFERROR(__xludf.DUMMYFUNCTION("""COMPUTED_VALUE"""),23.0)</f>
        <v>23</v>
      </c>
      <c r="H2122" s="163" t="str">
        <f>IFERROR(__xludf.DUMMYFUNCTION("""COMPUTED_VALUE"""),"SG")</f>
        <v>SG</v>
      </c>
      <c r="I2122" s="163">
        <f>IFERROR(__xludf.DUMMYFUNCTION("""COMPUTED_VALUE"""),29.0)</f>
        <v>29</v>
      </c>
      <c r="J2122" s="165">
        <f>IFERROR(__xludf.DUMMYFUNCTION("""COMPUTED_VALUE"""),-0.45505046327722)</f>
        <v>-0.4550504633</v>
      </c>
      <c r="K2122" s="165">
        <f>IFERROR(__xludf.DUMMYFUNCTION("""COMPUTED_VALUE"""),-1.26474088997746)</f>
        <v>-1.26474089</v>
      </c>
      <c r="L2122" s="165">
        <f>IFERROR(__xludf.DUMMYFUNCTION("""COMPUTED_VALUE"""),0.809690426700243)</f>
        <v>0.8096904267</v>
      </c>
      <c r="M2122" s="166">
        <f t="shared" si="2"/>
        <v>0.2158162211</v>
      </c>
      <c r="N2122" s="167">
        <f t="shared" si="3"/>
        <v>7.598043478</v>
      </c>
      <c r="O2122" s="163">
        <f t="shared" ref="O2122:Q2122" si="2126">rank(I2122,I:I)</f>
        <v>855</v>
      </c>
      <c r="P2122" s="163">
        <f t="shared" si="2126"/>
        <v>1782</v>
      </c>
      <c r="Q2122" s="163">
        <f t="shared" si="2126"/>
        <v>3100</v>
      </c>
      <c r="R2122" s="163">
        <f>IFERROR(__xludf.DUMMYFUNCTION("RANK(M2122,filter(M:M,C:C=C2122))"),338.0)</f>
        <v>338</v>
      </c>
      <c r="S2122" s="161" t="b">
        <f t="shared" si="5"/>
        <v>0</v>
      </c>
      <c r="T2122" s="161" t="b">
        <f t="array" ref="T2122">index('Query Tool'!B:B,match(H2122,'Query Tool'!C:C,0))</f>
        <v>1</v>
      </c>
      <c r="U2122" s="161" t="b">
        <f t="array" ref="U2122">index('Query Tool'!B:B,match(C2122,'Query Tool'!C:C,0))</f>
        <v>0</v>
      </c>
      <c r="V2122" s="161" t="b">
        <f>F2122&gt;='Query Tool'!C$32</f>
        <v>0</v>
      </c>
      <c r="W2122" s="161" t="b">
        <f t="array" ref="W2122">index(Dropdowns!B:B,match(I2122,Dropdowns!A:A,0))</f>
        <v>1</v>
      </c>
      <c r="X2122" s="161" t="b">
        <f t="array" ref="X2122">index('Query Tool'!B:B,match(D2122,'Query Tool'!C:C,0))</f>
        <v>1</v>
      </c>
      <c r="Y2122" s="161" t="str">
        <f t="shared" si="6"/>
        <v>stoneju01,2017-18</v>
      </c>
      <c r="Z2122" s="168" t="str">
        <f t="array" ref="Z2122">iferror(index(I:I,match($A2122&amp;","&amp;index('Year Conversion'!$A:$A,match($C2122,'Year Conversion'!$B:$B,0)),$Y:$Y,0))-I2122,"")</f>
        <v/>
      </c>
      <c r="AA2122" s="168" t="str">
        <f t="array" ref="AA2122">iferror(index(J:J,match($A2122&amp;","&amp;index('Year Conversion'!$A:$A,match($C2122,'Year Conversion'!$B:$B,0)),$Y:$Y,0))-J2122,"")</f>
        <v/>
      </c>
      <c r="AB2122" s="168" t="str">
        <f t="array" ref="AB2122">iferror(index(K:K,match($A2122&amp;","&amp;index('Year Conversion'!$A:$A,match($C2122,'Year Conversion'!$B:$B,0)),$Y:$Y,0))-K2122,"")</f>
        <v/>
      </c>
      <c r="AC2122" s="168" t="str">
        <f t="shared" si="7"/>
        <v>CHO,2017-18</v>
      </c>
    </row>
    <row r="2123">
      <c r="A2123" s="161" t="str">
        <f>IFERROR(__xludf.DUMMYFUNCTION("""COMPUTED_VALUE"""),"davisan02")</f>
        <v>davisan02</v>
      </c>
      <c r="B2123" s="161" t="str">
        <f>IFERROR(__xludf.DUMMYFUNCTION("""COMPUTED_VALUE"""),"Anthony Davis")</f>
        <v>Anthony Davis</v>
      </c>
      <c r="C2123" s="162" t="str">
        <f>IFERROR(__xludf.DUMMYFUNCTION("""COMPUTED_VALUE"""),"2017-18")</f>
        <v>2017-18</v>
      </c>
      <c r="D2123" s="163" t="str">
        <f>IFERROR(__xludf.DUMMYFUNCTION("""COMPUTED_VALUE"""),"NOP")</f>
        <v>NOP</v>
      </c>
      <c r="E2123" s="164" t="str">
        <f>IFERROR(__xludf.DUMMYFUNCTION("""COMPUTED_VALUE"""),"Post Scorer")</f>
        <v>Post Scorer</v>
      </c>
      <c r="F2123" s="164">
        <f>IFERROR(__xludf.DUMMYFUNCTION("""COMPUTED_VALUE"""),2727.23666666667)</f>
        <v>2727.236667</v>
      </c>
      <c r="G2123" s="163">
        <f>IFERROR(__xludf.DUMMYFUNCTION("""COMPUTED_VALUE"""),75.0)</f>
        <v>75</v>
      </c>
      <c r="H2123" s="163" t="str">
        <f>IFERROR(__xludf.DUMMYFUNCTION("""COMPUTED_VALUE"""),"PF")</f>
        <v>PF</v>
      </c>
      <c r="I2123" s="163">
        <f>IFERROR(__xludf.DUMMYFUNCTION("""COMPUTED_VALUE"""),24.0)</f>
        <v>24</v>
      </c>
      <c r="J2123" s="165">
        <f>IFERROR(__xludf.DUMMYFUNCTION("""COMPUTED_VALUE"""),4.7343648754831)</f>
        <v>4.734364875</v>
      </c>
      <c r="K2123" s="165">
        <f>IFERROR(__xludf.DUMMYFUNCTION("""COMPUTED_VALUE"""),2.47599738230617)</f>
        <v>2.475997382</v>
      </c>
      <c r="L2123" s="165">
        <f>IFERROR(__xludf.DUMMYFUNCTION("""COMPUTED_VALUE"""),2.25836749317692)</f>
        <v>2.258367493</v>
      </c>
      <c r="M2123" s="166">
        <f t="shared" si="2"/>
        <v>12.64813474</v>
      </c>
      <c r="N2123" s="167">
        <f t="shared" si="3"/>
        <v>36.36315556</v>
      </c>
      <c r="O2123" s="163">
        <f t="shared" ref="O2123:Q2123" si="2127">rank(I2123,I:I)</f>
        <v>2361</v>
      </c>
      <c r="P2123" s="163">
        <f t="shared" si="2127"/>
        <v>58</v>
      </c>
      <c r="Q2123" s="163">
        <f t="shared" si="2127"/>
        <v>161</v>
      </c>
      <c r="R2123" s="163">
        <f>IFERROR(__xludf.DUMMYFUNCTION("RANK(M2123,filter(M:M,C:C=C2123))"),5.0)</f>
        <v>5</v>
      </c>
      <c r="S2123" s="161" t="b">
        <f t="shared" si="5"/>
        <v>0</v>
      </c>
      <c r="T2123" s="161" t="b">
        <f t="array" ref="T2123">index('Query Tool'!B:B,match(H2123,'Query Tool'!C:C,0))</f>
        <v>1</v>
      </c>
      <c r="U2123" s="161" t="b">
        <f t="array" ref="U2123">index('Query Tool'!B:B,match(C2123,'Query Tool'!C:C,0))</f>
        <v>0</v>
      </c>
      <c r="V2123" s="161" t="b">
        <f>F2123&gt;='Query Tool'!C$32</f>
        <v>1</v>
      </c>
      <c r="W2123" s="161" t="b">
        <f t="array" ref="W2123">index(Dropdowns!B:B,match(I2123,Dropdowns!A:A,0))</f>
        <v>1</v>
      </c>
      <c r="X2123" s="161" t="b">
        <f t="array" ref="X2123">index('Query Tool'!B:B,match(D2123,'Query Tool'!C:C,0))</f>
        <v>1</v>
      </c>
      <c r="Y2123" s="161" t="str">
        <f t="shared" si="6"/>
        <v>davisan02,2017-18</v>
      </c>
      <c r="Z2123" s="168">
        <f t="array" ref="Z2123">iferror(index(I:I,match($A2123&amp;","&amp;index('Year Conversion'!$A:$A,match($C2123,'Year Conversion'!$B:$B,0)),$Y:$Y,0))-I2123,"")</f>
        <v>1</v>
      </c>
      <c r="AA2123" s="168">
        <f t="array" ref="AA2123">iferror(index(J:J,match($A2123&amp;","&amp;index('Year Conversion'!$A:$A,match($C2123,'Year Conversion'!$B:$B,0)),$Y:$Y,0))-J2123,"")</f>
        <v>1.050678985</v>
      </c>
      <c r="AB2123" s="168">
        <f t="array" ref="AB2123">iferror(index(K:K,match($A2123&amp;","&amp;index('Year Conversion'!$A:$A,match($C2123,'Year Conversion'!$B:$B,0)),$Y:$Y,0))-K2123,"")</f>
        <v>0.9279871254</v>
      </c>
      <c r="AC2123" s="168" t="str">
        <f t="shared" si="7"/>
        <v>NOP,2017-18</v>
      </c>
    </row>
    <row r="2124">
      <c r="A2124" s="161" t="str">
        <f>IFERROR(__xludf.DUMMYFUNCTION("""COMPUTED_VALUE"""),"kiddgmi01")</f>
        <v>kiddgmi01</v>
      </c>
      <c r="B2124" s="161" t="str">
        <f>IFERROR(__xludf.DUMMYFUNCTION("""COMPUTED_VALUE"""),"Michael Kidd-Gilchrist")</f>
        <v>Michael Kidd-Gilchrist</v>
      </c>
      <c r="C2124" s="162" t="str">
        <f>IFERROR(__xludf.DUMMYFUNCTION("""COMPUTED_VALUE"""),"2017-18")</f>
        <v>2017-18</v>
      </c>
      <c r="D2124" s="163" t="str">
        <f>IFERROR(__xludf.DUMMYFUNCTION("""COMPUTED_VALUE"""),"CHO")</f>
        <v>CHO</v>
      </c>
      <c r="E2124" s="164" t="str">
        <f>IFERROR(__xludf.DUMMYFUNCTION("""COMPUTED_VALUE"""),"Athletic Finisher")</f>
        <v>Athletic Finisher</v>
      </c>
      <c r="F2124" s="164">
        <f>IFERROR(__xludf.DUMMYFUNCTION("""COMPUTED_VALUE"""),1850.28833333333)</f>
        <v>1850.288333</v>
      </c>
      <c r="G2124" s="163">
        <f>IFERROR(__xludf.DUMMYFUNCTION("""COMPUTED_VALUE"""),74.0)</f>
        <v>74</v>
      </c>
      <c r="H2124" s="163" t="str">
        <f>IFERROR(__xludf.DUMMYFUNCTION("""COMPUTED_VALUE"""),"SF")</f>
        <v>SF</v>
      </c>
      <c r="I2124" s="163">
        <f>IFERROR(__xludf.DUMMYFUNCTION("""COMPUTED_VALUE"""),24.0)</f>
        <v>24</v>
      </c>
      <c r="J2124" s="165">
        <f>IFERROR(__xludf.DUMMYFUNCTION("""COMPUTED_VALUE"""),-0.87498709613784)</f>
        <v>-0.8749870961</v>
      </c>
      <c r="K2124" s="165">
        <f>IFERROR(__xludf.DUMMYFUNCTION("""COMPUTED_VALUE"""),-1.76682356068778)</f>
        <v>-1.766823561</v>
      </c>
      <c r="L2124" s="165">
        <f>IFERROR(__xludf.DUMMYFUNCTION("""COMPUTED_VALUE"""),0.891836464549944)</f>
        <v>0.8918364645</v>
      </c>
      <c r="M2124" s="166">
        <f t="shared" si="2"/>
        <v>1.762188485</v>
      </c>
      <c r="N2124" s="167">
        <f t="shared" si="3"/>
        <v>25.0038964</v>
      </c>
      <c r="O2124" s="163">
        <f t="shared" ref="O2124:Q2124" si="2128">rank(I2124,I:I)</f>
        <v>2361</v>
      </c>
      <c r="P2124" s="163">
        <f t="shared" si="2128"/>
        <v>2370</v>
      </c>
      <c r="Q2124" s="163">
        <f t="shared" si="2128"/>
        <v>3559</v>
      </c>
      <c r="R2124" s="163">
        <f>IFERROR(__xludf.DUMMYFUNCTION("RANK(M2124,filter(M:M,C:C=C2124))"),172.0)</f>
        <v>172</v>
      </c>
      <c r="S2124" s="161" t="b">
        <f t="shared" si="5"/>
        <v>0</v>
      </c>
      <c r="T2124" s="161" t="b">
        <f t="array" ref="T2124">index('Query Tool'!B:B,match(H2124,'Query Tool'!C:C,0))</f>
        <v>1</v>
      </c>
      <c r="U2124" s="161" t="b">
        <f t="array" ref="U2124">index('Query Tool'!B:B,match(C2124,'Query Tool'!C:C,0))</f>
        <v>0</v>
      </c>
      <c r="V2124" s="161" t="b">
        <f>F2124&gt;='Query Tool'!C$32</f>
        <v>1</v>
      </c>
      <c r="W2124" s="161" t="b">
        <f t="array" ref="W2124">index(Dropdowns!B:B,match(I2124,Dropdowns!A:A,0))</f>
        <v>1</v>
      </c>
      <c r="X2124" s="161" t="b">
        <f t="array" ref="X2124">index('Query Tool'!B:B,match(D2124,'Query Tool'!C:C,0))</f>
        <v>1</v>
      </c>
      <c r="Y2124" s="161" t="str">
        <f t="shared" si="6"/>
        <v>kiddgmi01,2017-18</v>
      </c>
      <c r="Z2124" s="168">
        <f t="array" ref="Z2124">iferror(index(I:I,match($A2124&amp;","&amp;index('Year Conversion'!$A:$A,match($C2124,'Year Conversion'!$B:$B,0)),$Y:$Y,0))-I2124,"")</f>
        <v>1</v>
      </c>
      <c r="AA2124" s="168">
        <f t="array" ref="AA2124">iferror(index(J:J,match($A2124&amp;","&amp;index('Year Conversion'!$A:$A,match($C2124,'Year Conversion'!$B:$B,0)),$Y:$Y,0))-J2124,"")</f>
        <v>0.7332971441</v>
      </c>
      <c r="AB2124" s="168">
        <f t="array" ref="AB2124">iferror(index(K:K,match($A2124&amp;","&amp;index('Year Conversion'!$A:$A,match($C2124,'Year Conversion'!$B:$B,0)),$Y:$Y,0))-K2124,"")</f>
        <v>0.6483490658</v>
      </c>
      <c r="AC2124" s="168" t="str">
        <f t="shared" si="7"/>
        <v>CHO,2017-18</v>
      </c>
    </row>
    <row r="2125">
      <c r="A2125" s="161" t="str">
        <f>IFERROR(__xludf.DUMMYFUNCTION("""COMPUTED_VALUE"""),"bealbr01")</f>
        <v>bealbr01</v>
      </c>
      <c r="B2125" s="161" t="str">
        <f>IFERROR(__xludf.DUMMYFUNCTION("""COMPUTED_VALUE"""),"Bradley Beal")</f>
        <v>Bradley Beal</v>
      </c>
      <c r="C2125" s="162" t="str">
        <f>IFERROR(__xludf.DUMMYFUNCTION("""COMPUTED_VALUE"""),"2017-18")</f>
        <v>2017-18</v>
      </c>
      <c r="D2125" s="163" t="str">
        <f>IFERROR(__xludf.DUMMYFUNCTION("""COMPUTED_VALUE"""),"WAS")</f>
        <v>WAS</v>
      </c>
      <c r="E2125" s="164" t="str">
        <f>IFERROR(__xludf.DUMMYFUNCTION("""COMPUTED_VALUE"""),"Primary Ball Handler")</f>
        <v>Primary Ball Handler</v>
      </c>
      <c r="F2125" s="164">
        <f>IFERROR(__xludf.DUMMYFUNCTION("""COMPUTED_VALUE"""),2976.70166666667)</f>
        <v>2976.701667</v>
      </c>
      <c r="G2125" s="163">
        <f>IFERROR(__xludf.DUMMYFUNCTION("""COMPUTED_VALUE"""),82.0)</f>
        <v>82</v>
      </c>
      <c r="H2125" s="163" t="str">
        <f>IFERROR(__xludf.DUMMYFUNCTION("""COMPUTED_VALUE"""),"SG")</f>
        <v>SG</v>
      </c>
      <c r="I2125" s="163">
        <f>IFERROR(__xludf.DUMMYFUNCTION("""COMPUTED_VALUE"""),24.0)</f>
        <v>24</v>
      </c>
      <c r="J2125" s="165">
        <f>IFERROR(__xludf.DUMMYFUNCTION("""COMPUTED_VALUE"""),1.24373707055627)</f>
        <v>1.243737071</v>
      </c>
      <c r="K2125" s="165">
        <f>IFERROR(__xludf.DUMMYFUNCTION("""COMPUTED_VALUE"""),1.63385143122959)</f>
        <v>1.633851431</v>
      </c>
      <c r="L2125" s="165">
        <f>IFERROR(__xludf.DUMMYFUNCTION("""COMPUTED_VALUE"""),-0.390114360673322)</f>
        <v>-0.3901143607</v>
      </c>
      <c r="M2125" s="166">
        <f t="shared" si="2"/>
        <v>7.079740436</v>
      </c>
      <c r="N2125" s="167">
        <f t="shared" si="3"/>
        <v>36.30123984</v>
      </c>
      <c r="O2125" s="163">
        <f t="shared" ref="O2125:Q2125" si="2129">rank(I2125,I:I)</f>
        <v>2361</v>
      </c>
      <c r="P2125" s="163">
        <f t="shared" si="2129"/>
        <v>552</v>
      </c>
      <c r="Q2125" s="163">
        <f t="shared" si="2129"/>
        <v>285</v>
      </c>
      <c r="R2125" s="163">
        <f>IFERROR(__xludf.DUMMYFUNCTION("RANK(M2125,filter(M:M,C:C=C2125))"),31.0)</f>
        <v>31</v>
      </c>
      <c r="S2125" s="161" t="b">
        <f t="shared" si="5"/>
        <v>0</v>
      </c>
      <c r="T2125" s="161" t="b">
        <f t="array" ref="T2125">index('Query Tool'!B:B,match(H2125,'Query Tool'!C:C,0))</f>
        <v>1</v>
      </c>
      <c r="U2125" s="161" t="b">
        <f t="array" ref="U2125">index('Query Tool'!B:B,match(C2125,'Query Tool'!C:C,0))</f>
        <v>0</v>
      </c>
      <c r="V2125" s="161" t="b">
        <f>F2125&gt;='Query Tool'!C$32</f>
        <v>1</v>
      </c>
      <c r="W2125" s="161" t="b">
        <f t="array" ref="W2125">index(Dropdowns!B:B,match(I2125,Dropdowns!A:A,0))</f>
        <v>1</v>
      </c>
      <c r="X2125" s="161" t="b">
        <f t="array" ref="X2125">index('Query Tool'!B:B,match(D2125,'Query Tool'!C:C,0))</f>
        <v>1</v>
      </c>
      <c r="Y2125" s="161" t="str">
        <f t="shared" si="6"/>
        <v>bealbr01,2017-18</v>
      </c>
      <c r="Z2125" s="168">
        <f t="array" ref="Z2125">iferror(index(I:I,match($A2125&amp;","&amp;index('Year Conversion'!$A:$A,match($C2125,'Year Conversion'!$B:$B,0)),$Y:$Y,0))-I2125,"")</f>
        <v>1</v>
      </c>
      <c r="AA2125" s="168">
        <f t="array" ref="AA2125">iferror(index(J:J,match($A2125&amp;","&amp;index('Year Conversion'!$A:$A,match($C2125,'Year Conversion'!$B:$B,0)),$Y:$Y,0))-J2125,"")</f>
        <v>0.8336622671</v>
      </c>
      <c r="AB2125" s="168">
        <f t="array" ref="AB2125">iferror(index(K:K,match($A2125&amp;","&amp;index('Year Conversion'!$A:$A,match($C2125,'Year Conversion'!$B:$B,0)),$Y:$Y,0))-K2125,"")</f>
        <v>1.300695105</v>
      </c>
      <c r="AC2125" s="168" t="str">
        <f t="shared" si="7"/>
        <v>WAS,2017-18</v>
      </c>
    </row>
    <row r="2126">
      <c r="A2126" s="161" t="str">
        <f>IFERROR(__xludf.DUMMYFUNCTION("""COMPUTED_VALUE"""),"waitedi01")</f>
        <v>waitedi01</v>
      </c>
      <c r="B2126" s="161" t="str">
        <f>IFERROR(__xludf.DUMMYFUNCTION("""COMPUTED_VALUE"""),"Dion Waiters")</f>
        <v>Dion Waiters</v>
      </c>
      <c r="C2126" s="162" t="str">
        <f>IFERROR(__xludf.DUMMYFUNCTION("""COMPUTED_VALUE"""),"2017-18")</f>
        <v>2017-18</v>
      </c>
      <c r="D2126" s="163" t="str">
        <f>IFERROR(__xludf.DUMMYFUNCTION("""COMPUTED_VALUE"""),"MIA")</f>
        <v>MIA</v>
      </c>
      <c r="E2126" s="164" t="str">
        <f>IFERROR(__xludf.DUMMYFUNCTION("""COMPUTED_VALUE"""),"Shot Creator")</f>
        <v>Shot Creator</v>
      </c>
      <c r="F2126" s="164">
        <f>IFERROR(__xludf.DUMMYFUNCTION("""COMPUTED_VALUE"""),917.53)</f>
        <v>917.53</v>
      </c>
      <c r="G2126" s="163">
        <f>IFERROR(__xludf.DUMMYFUNCTION("""COMPUTED_VALUE"""),30.0)</f>
        <v>30</v>
      </c>
      <c r="H2126" s="163" t="str">
        <f>IFERROR(__xludf.DUMMYFUNCTION("""COMPUTED_VALUE"""),"SG")</f>
        <v>SG</v>
      </c>
      <c r="I2126" s="163">
        <f>IFERROR(__xludf.DUMMYFUNCTION("""COMPUTED_VALUE"""),26.0)</f>
        <v>26</v>
      </c>
      <c r="J2126" s="165">
        <f>IFERROR(__xludf.DUMMYFUNCTION("""COMPUTED_VALUE"""),-1.01650966464888)</f>
        <v>-1.016509665</v>
      </c>
      <c r="K2126" s="165">
        <f>IFERROR(__xludf.DUMMYFUNCTION("""COMPUTED_VALUE"""),-0.959522678355906)</f>
        <v>-0.9595226784</v>
      </c>
      <c r="L2126" s="165">
        <f>IFERROR(__xludf.DUMMYFUNCTION("""COMPUTED_VALUE"""),-0.0569869862929779)</f>
        <v>-0.05698698629</v>
      </c>
      <c r="M2126" s="166">
        <f t="shared" si="2"/>
        <v>0.7866243834</v>
      </c>
      <c r="N2126" s="167">
        <f t="shared" si="3"/>
        <v>30.58433333</v>
      </c>
      <c r="O2126" s="163">
        <f t="shared" ref="O2126:Q2126" si="2130">rank(I2126,I:I)</f>
        <v>1665</v>
      </c>
      <c r="P2126" s="163">
        <f t="shared" si="2130"/>
        <v>2521</v>
      </c>
      <c r="Q2126" s="163">
        <f t="shared" si="2130"/>
        <v>2757</v>
      </c>
      <c r="R2126" s="163">
        <f>IFERROR(__xludf.DUMMYFUNCTION("RANK(M2126,filter(M:M,C:C=C2126))"),257.0)</f>
        <v>257</v>
      </c>
      <c r="S2126" s="161" t="b">
        <f t="shared" si="5"/>
        <v>0</v>
      </c>
      <c r="T2126" s="161" t="b">
        <f t="array" ref="T2126">index('Query Tool'!B:B,match(H2126,'Query Tool'!C:C,0))</f>
        <v>1</v>
      </c>
      <c r="U2126" s="161" t="b">
        <f t="array" ref="U2126">index('Query Tool'!B:B,match(C2126,'Query Tool'!C:C,0))</f>
        <v>0</v>
      </c>
      <c r="V2126" s="161" t="b">
        <f>F2126&gt;='Query Tool'!C$32</f>
        <v>1</v>
      </c>
      <c r="W2126" s="161" t="b">
        <f t="array" ref="W2126">index(Dropdowns!B:B,match(I2126,Dropdowns!A:A,0))</f>
        <v>1</v>
      </c>
      <c r="X2126" s="161" t="b">
        <f t="array" ref="X2126">index('Query Tool'!B:B,match(D2126,'Query Tool'!C:C,0))</f>
        <v>1</v>
      </c>
      <c r="Y2126" s="161" t="str">
        <f t="shared" si="6"/>
        <v>waitedi01,2017-18</v>
      </c>
      <c r="Z2126" s="168">
        <f t="array" ref="Z2126">iferror(index(I:I,match($A2126&amp;","&amp;index('Year Conversion'!$A:$A,match($C2126,'Year Conversion'!$B:$B,0)),$Y:$Y,0))-I2126,"")</f>
        <v>1</v>
      </c>
      <c r="AA2126" s="168">
        <f t="array" ref="AA2126">iferror(index(J:J,match($A2126&amp;","&amp;index('Year Conversion'!$A:$A,match($C2126,'Year Conversion'!$B:$B,0)),$Y:$Y,0))-J2126,"")</f>
        <v>0.401704133</v>
      </c>
      <c r="AB2126" s="168">
        <f t="array" ref="AB2126">iferror(index(K:K,match($A2126&amp;","&amp;index('Year Conversion'!$A:$A,match($C2126,'Year Conversion'!$B:$B,0)),$Y:$Y,0))-K2126,"")</f>
        <v>1.157452091</v>
      </c>
      <c r="AC2126" s="168" t="str">
        <f t="shared" si="7"/>
        <v>MIA,2017-18</v>
      </c>
    </row>
    <row r="2127">
      <c r="A2127" s="161" t="str">
        <f>IFERROR(__xludf.DUMMYFUNCTION("""COMPUTED_VALUE"""),"lillada01")</f>
        <v>lillada01</v>
      </c>
      <c r="B2127" s="161" t="str">
        <f>IFERROR(__xludf.DUMMYFUNCTION("""COMPUTED_VALUE"""),"Damian Lillard")</f>
        <v>Damian Lillard</v>
      </c>
      <c r="C2127" s="162" t="str">
        <f>IFERROR(__xludf.DUMMYFUNCTION("""COMPUTED_VALUE"""),"2017-18")</f>
        <v>2017-18</v>
      </c>
      <c r="D2127" s="163" t="str">
        <f>IFERROR(__xludf.DUMMYFUNCTION("""COMPUTED_VALUE"""),"POR")</f>
        <v>POR</v>
      </c>
      <c r="E2127" s="164" t="str">
        <f>IFERROR(__xludf.DUMMYFUNCTION("""COMPUTED_VALUE"""),"Shot Creator")</f>
        <v>Shot Creator</v>
      </c>
      <c r="F2127" s="164">
        <f>IFERROR(__xludf.DUMMYFUNCTION("""COMPUTED_VALUE"""),2669.89)</f>
        <v>2669.89</v>
      </c>
      <c r="G2127" s="163">
        <f>IFERROR(__xludf.DUMMYFUNCTION("""COMPUTED_VALUE"""),73.0)</f>
        <v>73</v>
      </c>
      <c r="H2127" s="163" t="str">
        <f>IFERROR(__xludf.DUMMYFUNCTION("""COMPUTED_VALUE"""),"PG")</f>
        <v>PG</v>
      </c>
      <c r="I2127" s="163">
        <f>IFERROR(__xludf.DUMMYFUNCTION("""COMPUTED_VALUE"""),27.0)</f>
        <v>27</v>
      </c>
      <c r="J2127" s="165">
        <f>IFERROR(__xludf.DUMMYFUNCTION("""COMPUTED_VALUE"""),4.47903465442945)</f>
        <v>4.479034654</v>
      </c>
      <c r="K2127" s="165">
        <f>IFERROR(__xludf.DUMMYFUNCTION("""COMPUTED_VALUE"""),4.63126555272018)</f>
        <v>4.631265553</v>
      </c>
      <c r="L2127" s="165">
        <f>IFERROR(__xludf.DUMMYFUNCTION("""COMPUTED_VALUE"""),-0.152230898290727)</f>
        <v>-0.1522308983</v>
      </c>
      <c r="M2127" s="166">
        <f t="shared" si="2"/>
        <v>11.96095847</v>
      </c>
      <c r="N2127" s="167">
        <f t="shared" si="3"/>
        <v>36.57383562</v>
      </c>
      <c r="O2127" s="163">
        <f t="shared" ref="O2127:Q2127" si="2131">rank(I2127,I:I)</f>
        <v>1366</v>
      </c>
      <c r="P2127" s="163">
        <f t="shared" si="2131"/>
        <v>69</v>
      </c>
      <c r="Q2127" s="163">
        <f t="shared" si="2131"/>
        <v>39</v>
      </c>
      <c r="R2127" s="163">
        <f>IFERROR(__xludf.DUMMYFUNCTION("RANK(M2127,filter(M:M,C:C=C2127))"),7.0)</f>
        <v>7</v>
      </c>
      <c r="S2127" s="161" t="b">
        <f t="shared" si="5"/>
        <v>0</v>
      </c>
      <c r="T2127" s="161" t="b">
        <f t="array" ref="T2127">index('Query Tool'!B:B,match(H2127,'Query Tool'!C:C,0))</f>
        <v>1</v>
      </c>
      <c r="U2127" s="161" t="b">
        <f t="array" ref="U2127">index('Query Tool'!B:B,match(C2127,'Query Tool'!C:C,0))</f>
        <v>0</v>
      </c>
      <c r="V2127" s="161" t="b">
        <f>F2127&gt;='Query Tool'!C$32</f>
        <v>1</v>
      </c>
      <c r="W2127" s="161" t="b">
        <f t="array" ref="W2127">index(Dropdowns!B:B,match(I2127,Dropdowns!A:A,0))</f>
        <v>1</v>
      </c>
      <c r="X2127" s="161" t="b">
        <f t="array" ref="X2127">index('Query Tool'!B:B,match(D2127,'Query Tool'!C:C,0))</f>
        <v>1</v>
      </c>
      <c r="Y2127" s="161" t="str">
        <f t="shared" si="6"/>
        <v>lillada01,2017-18</v>
      </c>
      <c r="Z2127" s="168">
        <f t="array" ref="Z2127">iferror(index(I:I,match($A2127&amp;","&amp;index('Year Conversion'!$A:$A,match($C2127,'Year Conversion'!$B:$B,0)),$Y:$Y,0))-I2127,"")</f>
        <v>1</v>
      </c>
      <c r="AA2127" s="168">
        <f t="array" ref="AA2127">iferror(index(J:J,match($A2127&amp;","&amp;index('Year Conversion'!$A:$A,match($C2127,'Year Conversion'!$B:$B,0)),$Y:$Y,0))-J2127,"")</f>
        <v>0.4166270461</v>
      </c>
      <c r="AB2127" s="168">
        <f t="array" ref="AB2127">iferror(index(K:K,match($A2127&amp;","&amp;index('Year Conversion'!$A:$A,match($C2127,'Year Conversion'!$B:$B,0)),$Y:$Y,0))-K2127,"")</f>
        <v>0.590474982</v>
      </c>
      <c r="AC2127" s="168" t="str">
        <f t="shared" si="7"/>
        <v>POR,2017-18</v>
      </c>
    </row>
    <row r="2128">
      <c r="A2128" s="161" t="str">
        <f>IFERROR(__xludf.DUMMYFUNCTION("""COMPUTED_VALUE"""),"rosste01")</f>
        <v>rosste01</v>
      </c>
      <c r="B2128" s="161" t="str">
        <f>IFERROR(__xludf.DUMMYFUNCTION("""COMPUTED_VALUE"""),"Terrence Ross")</f>
        <v>Terrence Ross</v>
      </c>
      <c r="C2128" s="162" t="str">
        <f>IFERROR(__xludf.DUMMYFUNCTION("""COMPUTED_VALUE"""),"2017-18")</f>
        <v>2017-18</v>
      </c>
      <c r="D2128" s="163" t="str">
        <f>IFERROR(__xludf.DUMMYFUNCTION("""COMPUTED_VALUE"""),"ORL")</f>
        <v>ORL</v>
      </c>
      <c r="E2128" s="164" t="str">
        <f>IFERROR(__xludf.DUMMYFUNCTION("""COMPUTED_VALUE"""),"Movement Shooter")</f>
        <v>Movement Shooter</v>
      </c>
      <c r="F2128" s="164">
        <f>IFERROR(__xludf.DUMMYFUNCTION("""COMPUTED_VALUE"""),600.383333333334)</f>
        <v>600.3833333</v>
      </c>
      <c r="G2128" s="163">
        <f>IFERROR(__xludf.DUMMYFUNCTION("""COMPUTED_VALUE"""),24.0)</f>
        <v>24</v>
      </c>
      <c r="H2128" s="163" t="str">
        <f>IFERROR(__xludf.DUMMYFUNCTION("""COMPUTED_VALUE"""),"SG")</f>
        <v>SG</v>
      </c>
      <c r="I2128" s="163">
        <f>IFERROR(__xludf.DUMMYFUNCTION("""COMPUTED_VALUE"""),26.0)</f>
        <v>26</v>
      </c>
      <c r="J2128" s="165">
        <f>IFERROR(__xludf.DUMMYFUNCTION("""COMPUTED_VALUE"""),-1.1628739128687)</f>
        <v>-1.162873913</v>
      </c>
      <c r="K2128" s="165">
        <f>IFERROR(__xludf.DUMMYFUNCTION("""COMPUTED_VALUE"""),-1.44033334962133)</f>
        <v>-1.44033335</v>
      </c>
      <c r="L2128" s="165">
        <f>IFERROR(__xludf.DUMMYFUNCTION("""COMPUTED_VALUE"""),0.277459436752637)</f>
        <v>0.2774594368</v>
      </c>
      <c r="M2128" s="166">
        <f t="shared" si="2"/>
        <v>0.4557740398</v>
      </c>
      <c r="N2128" s="167">
        <f t="shared" si="3"/>
        <v>25.01597222</v>
      </c>
      <c r="O2128" s="163">
        <f t="shared" ref="O2128:Q2128" si="2132">rank(I2128,I:I)</f>
        <v>1665</v>
      </c>
      <c r="P2128" s="163">
        <f t="shared" si="2132"/>
        <v>2700</v>
      </c>
      <c r="Q2128" s="163">
        <f t="shared" si="2132"/>
        <v>3290</v>
      </c>
      <c r="R2128" s="163">
        <f>IFERROR(__xludf.DUMMYFUNCTION("RANK(M2128,filter(M:M,C:C=C2128))"),294.0)</f>
        <v>294</v>
      </c>
      <c r="S2128" s="161" t="b">
        <f t="shared" si="5"/>
        <v>0</v>
      </c>
      <c r="T2128" s="161" t="b">
        <f t="array" ref="T2128">index('Query Tool'!B:B,match(H2128,'Query Tool'!C:C,0))</f>
        <v>1</v>
      </c>
      <c r="U2128" s="161" t="b">
        <f t="array" ref="U2128">index('Query Tool'!B:B,match(C2128,'Query Tool'!C:C,0))</f>
        <v>0</v>
      </c>
      <c r="V2128" s="161" t="b">
        <f>F2128&gt;='Query Tool'!C$32</f>
        <v>1</v>
      </c>
      <c r="W2128" s="161" t="b">
        <f t="array" ref="W2128">index(Dropdowns!B:B,match(I2128,Dropdowns!A:A,0))</f>
        <v>1</v>
      </c>
      <c r="X2128" s="161" t="b">
        <f t="array" ref="X2128">index('Query Tool'!B:B,match(D2128,'Query Tool'!C:C,0))</f>
        <v>1</v>
      </c>
      <c r="Y2128" s="161" t="str">
        <f t="shared" si="6"/>
        <v>rosste01,2017-18</v>
      </c>
      <c r="Z2128" s="168">
        <f t="array" ref="Z2128">iferror(index(I:I,match($A2128&amp;","&amp;index('Year Conversion'!$A:$A,match($C2128,'Year Conversion'!$B:$B,0)),$Y:$Y,0))-I2128,"")</f>
        <v>1</v>
      </c>
      <c r="AA2128" s="168">
        <f t="array" ref="AA2128">iferror(index(J:J,match($A2128&amp;","&amp;index('Year Conversion'!$A:$A,match($C2128,'Year Conversion'!$B:$B,0)),$Y:$Y,0))-J2128,"")</f>
        <v>-0.0258297168</v>
      </c>
      <c r="AB2128" s="168">
        <f t="array" ref="AB2128">iferror(index(K:K,match($A2128&amp;","&amp;index('Year Conversion'!$A:$A,match($C2128,'Year Conversion'!$B:$B,0)),$Y:$Y,0))-K2128,"")</f>
        <v>1.082395634</v>
      </c>
      <c r="AC2128" s="168" t="str">
        <f t="shared" si="7"/>
        <v>ORL,2017-18</v>
      </c>
    </row>
    <row r="2129">
      <c r="A2129" s="161" t="str">
        <f>IFERROR(__xludf.DUMMYFUNCTION("""COMPUTED_VALUE"""),"drumman01")</f>
        <v>drumman01</v>
      </c>
      <c r="B2129" s="161" t="str">
        <f>IFERROR(__xludf.DUMMYFUNCTION("""COMPUTED_VALUE"""),"Andre Drummond")</f>
        <v>Andre Drummond</v>
      </c>
      <c r="C2129" s="162" t="str">
        <f>IFERROR(__xludf.DUMMYFUNCTION("""COMPUTED_VALUE"""),"2017-18")</f>
        <v>2017-18</v>
      </c>
      <c r="D2129" s="163" t="str">
        <f>IFERROR(__xludf.DUMMYFUNCTION("""COMPUTED_VALUE"""),"DET")</f>
        <v>DET</v>
      </c>
      <c r="E2129" s="164" t="str">
        <f>IFERROR(__xludf.DUMMYFUNCTION("""COMPUTED_VALUE"""),"Roll + Cut Big")</f>
        <v>Roll + Cut Big</v>
      </c>
      <c r="F2129" s="164">
        <f>IFERROR(__xludf.DUMMYFUNCTION("""COMPUTED_VALUE"""),2624.84833333333)</f>
        <v>2624.848333</v>
      </c>
      <c r="G2129" s="163">
        <f>IFERROR(__xludf.DUMMYFUNCTION("""COMPUTED_VALUE"""),78.0)</f>
        <v>78</v>
      </c>
      <c r="H2129" s="163" t="str">
        <f>IFERROR(__xludf.DUMMYFUNCTION("""COMPUTED_VALUE"""),"C")</f>
        <v>C</v>
      </c>
      <c r="I2129" s="163">
        <f>IFERROR(__xludf.DUMMYFUNCTION("""COMPUTED_VALUE"""),24.0)</f>
        <v>24</v>
      </c>
      <c r="J2129" s="165">
        <f>IFERROR(__xludf.DUMMYFUNCTION("""COMPUTED_VALUE"""),2.00034158337053)</f>
        <v>2.000341583</v>
      </c>
      <c r="K2129" s="165">
        <f>IFERROR(__xludf.DUMMYFUNCTION("""COMPUTED_VALUE"""),-0.0848745757795915)</f>
        <v>-0.08487457578</v>
      </c>
      <c r="L2129" s="165">
        <f>IFERROR(__xludf.DUMMYFUNCTION("""COMPUTED_VALUE"""),2.08521615915012)</f>
        <v>2.085216159</v>
      </c>
      <c r="M2129" s="166">
        <f t="shared" si="2"/>
        <v>7.566990826</v>
      </c>
      <c r="N2129" s="167">
        <f t="shared" si="3"/>
        <v>33.65190171</v>
      </c>
      <c r="O2129" s="163">
        <f t="shared" ref="O2129:Q2129" si="2133">rank(I2129,I:I)</f>
        <v>2361</v>
      </c>
      <c r="P2129" s="163">
        <f t="shared" si="2133"/>
        <v>324</v>
      </c>
      <c r="Q2129" s="163">
        <f t="shared" si="2133"/>
        <v>1335</v>
      </c>
      <c r="R2129" s="163">
        <f>IFERROR(__xludf.DUMMYFUNCTION("RANK(M2129,filter(M:M,C:C=C2129))"),27.0)</f>
        <v>27</v>
      </c>
      <c r="S2129" s="161" t="b">
        <f t="shared" si="5"/>
        <v>0</v>
      </c>
      <c r="T2129" s="161" t="b">
        <f t="array" ref="T2129">index('Query Tool'!B:B,match(H2129,'Query Tool'!C:C,0))</f>
        <v>1</v>
      </c>
      <c r="U2129" s="161" t="b">
        <f t="array" ref="U2129">index('Query Tool'!B:B,match(C2129,'Query Tool'!C:C,0))</f>
        <v>0</v>
      </c>
      <c r="V2129" s="161" t="b">
        <f>F2129&gt;='Query Tool'!C$32</f>
        <v>1</v>
      </c>
      <c r="W2129" s="161" t="b">
        <f t="array" ref="W2129">index(Dropdowns!B:B,match(I2129,Dropdowns!A:A,0))</f>
        <v>1</v>
      </c>
      <c r="X2129" s="161" t="b">
        <f t="array" ref="X2129">index('Query Tool'!B:B,match(D2129,'Query Tool'!C:C,0))</f>
        <v>1</v>
      </c>
      <c r="Y2129" s="161" t="str">
        <f t="shared" si="6"/>
        <v>drumman01,2017-18</v>
      </c>
      <c r="Z2129" s="168">
        <f t="array" ref="Z2129">iferror(index(I:I,match($A2129&amp;","&amp;index('Year Conversion'!$A:$A,match($C2129,'Year Conversion'!$B:$B,0)),$Y:$Y,0))-I2129,"")</f>
        <v>1</v>
      </c>
      <c r="AA2129" s="168">
        <f t="array" ref="AA2129">iferror(index(J:J,match($A2129&amp;","&amp;index('Year Conversion'!$A:$A,match($C2129,'Year Conversion'!$B:$B,0)),$Y:$Y,0))-J2129,"")</f>
        <v>0.9359216808</v>
      </c>
      <c r="AB2129" s="168">
        <f t="array" ref="AB2129">iferror(index(K:K,match($A2129&amp;","&amp;index('Year Conversion'!$A:$A,match($C2129,'Year Conversion'!$B:$B,0)),$Y:$Y,0))-K2129,"")</f>
        <v>1.01534841</v>
      </c>
      <c r="AC2129" s="168" t="str">
        <f t="shared" si="7"/>
        <v>DET,2017-18</v>
      </c>
    </row>
    <row r="2130">
      <c r="A2130" s="161" t="str">
        <f>IFERROR(__xludf.DUMMYFUNCTION("""COMPUTED_VALUE"""),"barneha02")</f>
        <v>barneha02</v>
      </c>
      <c r="B2130" s="161" t="str">
        <f>IFERROR(__xludf.DUMMYFUNCTION("""COMPUTED_VALUE"""),"Harrison Barnes")</f>
        <v>Harrison Barnes</v>
      </c>
      <c r="C2130" s="162" t="str">
        <f>IFERROR(__xludf.DUMMYFUNCTION("""COMPUTED_VALUE"""),"2017-18")</f>
        <v>2017-18</v>
      </c>
      <c r="D2130" s="163" t="str">
        <f>IFERROR(__xludf.DUMMYFUNCTION("""COMPUTED_VALUE"""),"DAL")</f>
        <v>DAL</v>
      </c>
      <c r="E2130" s="164" t="str">
        <f>IFERROR(__xludf.DUMMYFUNCTION("""COMPUTED_VALUE"""),"Shot Creator")</f>
        <v>Shot Creator</v>
      </c>
      <c r="F2130" s="164">
        <f>IFERROR(__xludf.DUMMYFUNCTION("""COMPUTED_VALUE"""),2634.47)</f>
        <v>2634.47</v>
      </c>
      <c r="G2130" s="163">
        <f>IFERROR(__xludf.DUMMYFUNCTION("""COMPUTED_VALUE"""),77.0)</f>
        <v>77</v>
      </c>
      <c r="H2130" s="163" t="str">
        <f>IFERROR(__xludf.DUMMYFUNCTION("""COMPUTED_VALUE"""),"PF")</f>
        <v>PF</v>
      </c>
      <c r="I2130" s="163">
        <f>IFERROR(__xludf.DUMMYFUNCTION("""COMPUTED_VALUE"""),25.0)</f>
        <v>25</v>
      </c>
      <c r="J2130" s="165">
        <f>IFERROR(__xludf.DUMMYFUNCTION("""COMPUTED_VALUE"""),-1.11358652666907)</f>
        <v>-1.113586527</v>
      </c>
      <c r="K2130" s="165">
        <f>IFERROR(__xludf.DUMMYFUNCTION("""COMPUTED_VALUE"""),-0.0901136575631119)</f>
        <v>-0.09011365756</v>
      </c>
      <c r="L2130" s="165">
        <f>IFERROR(__xludf.DUMMYFUNCTION("""COMPUTED_VALUE"""),-1.02347286910596)</f>
        <v>-1.023472869</v>
      </c>
      <c r="M2130" s="166">
        <f t="shared" si="2"/>
        <v>2.086997229</v>
      </c>
      <c r="N2130" s="167">
        <f t="shared" si="3"/>
        <v>34.2138961</v>
      </c>
      <c r="O2130" s="163">
        <f t="shared" ref="O2130:Q2130" si="2134">rank(I2130,I:I)</f>
        <v>1995</v>
      </c>
      <c r="P2130" s="163">
        <f t="shared" si="2134"/>
        <v>2634</v>
      </c>
      <c r="Q2130" s="163">
        <f t="shared" si="2134"/>
        <v>1344</v>
      </c>
      <c r="R2130" s="163">
        <f>IFERROR(__xludf.DUMMYFUNCTION("RANK(M2130,filter(M:M,C:C=C2130))"),156.0)</f>
        <v>156</v>
      </c>
      <c r="S2130" s="161" t="b">
        <f t="shared" si="5"/>
        <v>0</v>
      </c>
      <c r="T2130" s="161" t="b">
        <f t="array" ref="T2130">index('Query Tool'!B:B,match(H2130,'Query Tool'!C:C,0))</f>
        <v>1</v>
      </c>
      <c r="U2130" s="161" t="b">
        <f t="array" ref="U2130">index('Query Tool'!B:B,match(C2130,'Query Tool'!C:C,0))</f>
        <v>0</v>
      </c>
      <c r="V2130" s="161" t="b">
        <f>F2130&gt;='Query Tool'!C$32</f>
        <v>1</v>
      </c>
      <c r="W2130" s="161" t="b">
        <f t="array" ref="W2130">index(Dropdowns!B:B,match(I2130,Dropdowns!A:A,0))</f>
        <v>1</v>
      </c>
      <c r="X2130" s="161" t="b">
        <f t="array" ref="X2130">index('Query Tool'!B:B,match(D2130,'Query Tool'!C:C,0))</f>
        <v>1</v>
      </c>
      <c r="Y2130" s="161" t="str">
        <f t="shared" si="6"/>
        <v>barneha02,2017-18</v>
      </c>
      <c r="Z2130" s="168">
        <f t="array" ref="Z2130">iferror(index(I:I,match($A2130&amp;","&amp;index('Year Conversion'!$A:$A,match($C2130,'Year Conversion'!$B:$B,0)),$Y:$Y,0))-I2130,"")</f>
        <v>1</v>
      </c>
      <c r="AA2130" s="168">
        <f t="array" ref="AA2130">iferror(index(J:J,match($A2130&amp;","&amp;index('Year Conversion'!$A:$A,match($C2130,'Year Conversion'!$B:$B,0)),$Y:$Y,0))-J2130,"")</f>
        <v>-0.9944592719</v>
      </c>
      <c r="AB2130" s="168">
        <f t="array" ref="AB2130">iferror(index(K:K,match($A2130&amp;","&amp;index('Year Conversion'!$A:$A,match($C2130,'Year Conversion'!$B:$B,0)),$Y:$Y,0))-K2130,"")</f>
        <v>-1.109375149</v>
      </c>
      <c r="AC2130" s="168" t="str">
        <f t="shared" si="7"/>
        <v>DAL,2017-18</v>
      </c>
    </row>
    <row r="2131">
      <c r="A2131" s="161" t="str">
        <f>IFERROR(__xludf.DUMMYFUNCTION("""COMPUTED_VALUE"""),"riverau01")</f>
        <v>riverau01</v>
      </c>
      <c r="B2131" s="161" t="str">
        <f>IFERROR(__xludf.DUMMYFUNCTION("""COMPUTED_VALUE"""),"Austin Rivers")</f>
        <v>Austin Rivers</v>
      </c>
      <c r="C2131" s="162" t="str">
        <f>IFERROR(__xludf.DUMMYFUNCTION("""COMPUTED_VALUE"""),"2017-18")</f>
        <v>2017-18</v>
      </c>
      <c r="D2131" s="163" t="str">
        <f>IFERROR(__xludf.DUMMYFUNCTION("""COMPUTED_VALUE"""),"LAC")</f>
        <v>LAC</v>
      </c>
      <c r="E2131" s="164" t="str">
        <f>IFERROR(__xludf.DUMMYFUNCTION("""COMPUTED_VALUE"""),"Shot Creator")</f>
        <v>Shot Creator</v>
      </c>
      <c r="F2131" s="164">
        <f>IFERROR(__xludf.DUMMYFUNCTION("""COMPUTED_VALUE"""),2056.59166666667)</f>
        <v>2056.591667</v>
      </c>
      <c r="G2131" s="163">
        <f>IFERROR(__xludf.DUMMYFUNCTION("""COMPUTED_VALUE"""),61.0)</f>
        <v>61</v>
      </c>
      <c r="H2131" s="163" t="str">
        <f>IFERROR(__xludf.DUMMYFUNCTION("""COMPUTED_VALUE"""),"SG")</f>
        <v>SG</v>
      </c>
      <c r="I2131" s="163">
        <f>IFERROR(__xludf.DUMMYFUNCTION("""COMPUTED_VALUE"""),25.0)</f>
        <v>25</v>
      </c>
      <c r="J2131" s="165">
        <f>IFERROR(__xludf.DUMMYFUNCTION("""COMPUTED_VALUE"""),-0.554488884963694)</f>
        <v>-0.554488885</v>
      </c>
      <c r="K2131" s="165">
        <f>IFERROR(__xludf.DUMMYFUNCTION("""COMPUTED_VALUE"""),0.61889838997643)</f>
        <v>0.61889839</v>
      </c>
      <c r="L2131" s="165">
        <f>IFERROR(__xludf.DUMMYFUNCTION("""COMPUTED_VALUE"""),-1.17338727494012)</f>
        <v>-1.173387275</v>
      </c>
      <c r="M2131" s="166">
        <f t="shared" si="2"/>
        <v>2.402089801</v>
      </c>
      <c r="N2131" s="167">
        <f t="shared" si="3"/>
        <v>33.71461749</v>
      </c>
      <c r="O2131" s="163">
        <f t="shared" ref="O2131:Q2131" si="2135">rank(I2131,I:I)</f>
        <v>1995</v>
      </c>
      <c r="P2131" s="163">
        <f t="shared" si="2135"/>
        <v>1924</v>
      </c>
      <c r="Q2131" s="163">
        <f t="shared" si="2135"/>
        <v>694</v>
      </c>
      <c r="R2131" s="163">
        <f>IFERROR(__xludf.DUMMYFUNCTION("RANK(M2131,filter(M:M,C:C=C2131))"),137.0)</f>
        <v>137</v>
      </c>
      <c r="S2131" s="161" t="b">
        <f t="shared" si="5"/>
        <v>0</v>
      </c>
      <c r="T2131" s="161" t="b">
        <f t="array" ref="T2131">index('Query Tool'!B:B,match(H2131,'Query Tool'!C:C,0))</f>
        <v>1</v>
      </c>
      <c r="U2131" s="161" t="b">
        <f t="array" ref="U2131">index('Query Tool'!B:B,match(C2131,'Query Tool'!C:C,0))</f>
        <v>0</v>
      </c>
      <c r="V2131" s="161" t="b">
        <f>F2131&gt;='Query Tool'!C$32</f>
        <v>1</v>
      </c>
      <c r="W2131" s="161" t="b">
        <f t="array" ref="W2131">index(Dropdowns!B:B,match(I2131,Dropdowns!A:A,0))</f>
        <v>1</v>
      </c>
      <c r="X2131" s="161" t="b">
        <f t="array" ref="X2131">index('Query Tool'!B:B,match(D2131,'Query Tool'!C:C,0))</f>
        <v>1</v>
      </c>
      <c r="Y2131" s="161" t="str">
        <f t="shared" si="6"/>
        <v>riverau01,2017-18</v>
      </c>
      <c r="Z2131" s="168">
        <f t="array" ref="Z2131">iferror(index(I:I,match($A2131&amp;","&amp;index('Year Conversion'!$A:$A,match($C2131,'Year Conversion'!$B:$B,0)),$Y:$Y,0))-I2131,"")</f>
        <v>1</v>
      </c>
      <c r="AA2131" s="168">
        <f t="array" ref="AA2131">iferror(index(J:J,match($A2131&amp;","&amp;index('Year Conversion'!$A:$A,match($C2131,'Year Conversion'!$B:$B,0)),$Y:$Y,0))-J2131,"")</f>
        <v>-1.207571752</v>
      </c>
      <c r="AB2131" s="168">
        <f t="array" ref="AB2131">iferror(index(K:K,match($A2131&amp;","&amp;index('Year Conversion'!$A:$A,match($C2131,'Year Conversion'!$B:$B,0)),$Y:$Y,0))-K2131,"")</f>
        <v>-0.9832920772</v>
      </c>
      <c r="AC2131" s="168" t="str">
        <f t="shared" si="7"/>
        <v>LAC,2017-18</v>
      </c>
    </row>
    <row r="2132">
      <c r="A2132" s="161" t="str">
        <f>IFERROR(__xludf.DUMMYFUNCTION("""COMPUTED_VALUE"""),"leoname01")</f>
        <v>leoname01</v>
      </c>
      <c r="B2132" s="161" t="str">
        <f>IFERROR(__xludf.DUMMYFUNCTION("""COMPUTED_VALUE"""),"Meyers Leonard")</f>
        <v>Meyers Leonard</v>
      </c>
      <c r="C2132" s="162" t="str">
        <f>IFERROR(__xludf.DUMMYFUNCTION("""COMPUTED_VALUE"""),"2017-18")</f>
        <v>2017-18</v>
      </c>
      <c r="D2132" s="163" t="str">
        <f>IFERROR(__xludf.DUMMYFUNCTION("""COMPUTED_VALUE"""),"POR")</f>
        <v>POR</v>
      </c>
      <c r="E2132" s="164" t="str">
        <f>IFERROR(__xludf.DUMMYFUNCTION("""COMPUTED_VALUE"""),"Stretch Big")</f>
        <v>Stretch Big</v>
      </c>
      <c r="F2132" s="164">
        <f>IFERROR(__xludf.DUMMYFUNCTION("""COMPUTED_VALUE"""),253.636666666667)</f>
        <v>253.6366667</v>
      </c>
      <c r="G2132" s="163">
        <f>IFERROR(__xludf.DUMMYFUNCTION("""COMPUTED_VALUE"""),33.0)</f>
        <v>33</v>
      </c>
      <c r="H2132" s="163" t="str">
        <f>IFERROR(__xludf.DUMMYFUNCTION("""COMPUTED_VALUE"""),"C")</f>
        <v>C</v>
      </c>
      <c r="I2132" s="163">
        <f>IFERROR(__xludf.DUMMYFUNCTION("""COMPUTED_VALUE"""),25.0)</f>
        <v>25</v>
      </c>
      <c r="J2132" s="165">
        <f>IFERROR(__xludf.DUMMYFUNCTION("""COMPUTED_VALUE"""),-0.864946970254814)</f>
        <v>-0.8649469703</v>
      </c>
      <c r="K2132" s="165">
        <f>IFERROR(__xludf.DUMMYFUNCTION("""COMPUTED_VALUE"""),-0.7064077480983)</f>
        <v>-0.7064077481</v>
      </c>
      <c r="L2132" s="165">
        <f>IFERROR(__xludf.DUMMYFUNCTION("""COMPUTED_VALUE"""),-0.158539222156514)</f>
        <v>-0.1585392222</v>
      </c>
      <c r="M2132" s="166">
        <f t="shared" si="2"/>
        <v>0.2432714304</v>
      </c>
      <c r="N2132" s="167">
        <f t="shared" si="3"/>
        <v>7.685959596</v>
      </c>
      <c r="O2132" s="163">
        <f t="shared" ref="O2132:Q2132" si="2136">rank(I2132,I:I)</f>
        <v>1995</v>
      </c>
      <c r="P2132" s="163">
        <f t="shared" si="2136"/>
        <v>2354</v>
      </c>
      <c r="Q2132" s="163">
        <f t="shared" si="2136"/>
        <v>2426</v>
      </c>
      <c r="R2132" s="163">
        <f>IFERROR(__xludf.DUMMYFUNCTION("RANK(M2132,filter(M:M,C:C=C2132))"),331.0)</f>
        <v>331</v>
      </c>
      <c r="S2132" s="161" t="b">
        <f t="shared" si="5"/>
        <v>0</v>
      </c>
      <c r="T2132" s="161" t="b">
        <f t="array" ref="T2132">index('Query Tool'!B:B,match(H2132,'Query Tool'!C:C,0))</f>
        <v>1</v>
      </c>
      <c r="U2132" s="161" t="b">
        <f t="array" ref="U2132">index('Query Tool'!B:B,match(C2132,'Query Tool'!C:C,0))</f>
        <v>0</v>
      </c>
      <c r="V2132" s="161" t="b">
        <f>F2132&gt;='Query Tool'!C$32</f>
        <v>0</v>
      </c>
      <c r="W2132" s="161" t="b">
        <f t="array" ref="W2132">index(Dropdowns!B:B,match(I2132,Dropdowns!A:A,0))</f>
        <v>1</v>
      </c>
      <c r="X2132" s="161" t="b">
        <f t="array" ref="X2132">index('Query Tool'!B:B,match(D2132,'Query Tool'!C:C,0))</f>
        <v>1</v>
      </c>
      <c r="Y2132" s="161" t="str">
        <f t="shared" si="6"/>
        <v>leoname01,2017-18</v>
      </c>
      <c r="Z2132" s="168">
        <f t="array" ref="Z2132">iferror(index(I:I,match($A2132&amp;","&amp;index('Year Conversion'!$A:$A,match($C2132,'Year Conversion'!$B:$B,0)),$Y:$Y,0))-I2132,"")</f>
        <v>1</v>
      </c>
      <c r="AA2132" s="168">
        <f t="array" ref="AA2132">iferror(index(J:J,match($A2132&amp;","&amp;index('Year Conversion'!$A:$A,match($C2132,'Year Conversion'!$B:$B,0)),$Y:$Y,0))-J2132,"")</f>
        <v>-0.9311366643</v>
      </c>
      <c r="AB2132" s="168">
        <f t="array" ref="AB2132">iferror(index(K:K,match($A2132&amp;","&amp;index('Year Conversion'!$A:$A,match($C2132,'Year Conversion'!$B:$B,0)),$Y:$Y,0))-K2132,"")</f>
        <v>-0.07407914791</v>
      </c>
      <c r="AC2132" s="168" t="str">
        <f t="shared" si="7"/>
        <v>POR,2017-18</v>
      </c>
    </row>
    <row r="2133">
      <c r="A2133" s="161" t="str">
        <f>IFERROR(__xludf.DUMMYFUNCTION("""COMPUTED_VALUE"""),"lambje01")</f>
        <v>lambje01</v>
      </c>
      <c r="B2133" s="161" t="str">
        <f>IFERROR(__xludf.DUMMYFUNCTION("""COMPUTED_VALUE"""),"Jeremy Lamb")</f>
        <v>Jeremy Lamb</v>
      </c>
      <c r="C2133" s="162" t="str">
        <f>IFERROR(__xludf.DUMMYFUNCTION("""COMPUTED_VALUE"""),"2017-18")</f>
        <v>2017-18</v>
      </c>
      <c r="D2133" s="163" t="str">
        <f>IFERROR(__xludf.DUMMYFUNCTION("""COMPUTED_VALUE"""),"CHO")</f>
        <v>CHO</v>
      </c>
      <c r="E2133" s="164" t="str">
        <f>IFERROR(__xludf.DUMMYFUNCTION("""COMPUTED_VALUE"""),"Secondary Ball Handler")</f>
        <v>Secondary Ball Handler</v>
      </c>
      <c r="F2133" s="164">
        <f>IFERROR(__xludf.DUMMYFUNCTION("""COMPUTED_VALUE"""),1967.36)</f>
        <v>1967.36</v>
      </c>
      <c r="G2133" s="163">
        <f>IFERROR(__xludf.DUMMYFUNCTION("""COMPUTED_VALUE"""),80.0)</f>
        <v>80</v>
      </c>
      <c r="H2133" s="163" t="str">
        <f>IFERROR(__xludf.DUMMYFUNCTION("""COMPUTED_VALUE"""),"SG")</f>
        <v>SG</v>
      </c>
      <c r="I2133" s="163">
        <f>IFERROR(__xludf.DUMMYFUNCTION("""COMPUTED_VALUE"""),25.0)</f>
        <v>25</v>
      </c>
      <c r="J2133" s="165">
        <f>IFERROR(__xludf.DUMMYFUNCTION("""COMPUTED_VALUE"""),-0.154234082408433)</f>
        <v>-0.1542340824</v>
      </c>
      <c r="K2133" s="165">
        <f>IFERROR(__xludf.DUMMYFUNCTION("""COMPUTED_VALUE"""),0.270846689544392)</f>
        <v>0.2708466895</v>
      </c>
      <c r="L2133" s="165">
        <f>IFERROR(__xludf.DUMMYFUNCTION("""COMPUTED_VALUE"""),-0.425080771952825)</f>
        <v>-0.425080772</v>
      </c>
      <c r="M2133" s="166">
        <f t="shared" si="2"/>
        <v>2.828448005</v>
      </c>
      <c r="N2133" s="167">
        <f t="shared" si="3"/>
        <v>24.592</v>
      </c>
      <c r="O2133" s="163">
        <f t="shared" ref="O2133:Q2133" si="2137">rank(I2133,I:I)</f>
        <v>1995</v>
      </c>
      <c r="P2133" s="163">
        <f t="shared" si="2137"/>
        <v>1446</v>
      </c>
      <c r="Q2133" s="163">
        <f t="shared" si="2137"/>
        <v>935</v>
      </c>
      <c r="R2133" s="163">
        <f>IFERROR(__xludf.DUMMYFUNCTION("RANK(M2133,filter(M:M,C:C=C2133))"),114.0)</f>
        <v>114</v>
      </c>
      <c r="S2133" s="161" t="b">
        <f t="shared" si="5"/>
        <v>0</v>
      </c>
      <c r="T2133" s="161" t="b">
        <f t="array" ref="T2133">index('Query Tool'!B:B,match(H2133,'Query Tool'!C:C,0))</f>
        <v>1</v>
      </c>
      <c r="U2133" s="161" t="b">
        <f t="array" ref="U2133">index('Query Tool'!B:B,match(C2133,'Query Tool'!C:C,0))</f>
        <v>0</v>
      </c>
      <c r="V2133" s="161" t="b">
        <f>F2133&gt;='Query Tool'!C$32</f>
        <v>1</v>
      </c>
      <c r="W2133" s="161" t="b">
        <f t="array" ref="W2133">index(Dropdowns!B:B,match(I2133,Dropdowns!A:A,0))</f>
        <v>1</v>
      </c>
      <c r="X2133" s="161" t="b">
        <f t="array" ref="X2133">index('Query Tool'!B:B,match(D2133,'Query Tool'!C:C,0))</f>
        <v>1</v>
      </c>
      <c r="Y2133" s="161" t="str">
        <f t="shared" si="6"/>
        <v>lambje01,2017-18</v>
      </c>
      <c r="Z2133" s="168">
        <f t="array" ref="Z2133">iferror(index(I:I,match($A2133&amp;","&amp;index('Year Conversion'!$A:$A,match($C2133,'Year Conversion'!$B:$B,0)),$Y:$Y,0))-I2133,"")</f>
        <v>1</v>
      </c>
      <c r="AA2133" s="168">
        <f t="array" ref="AA2133">iferror(index(J:J,match($A2133&amp;","&amp;index('Year Conversion'!$A:$A,match($C2133,'Year Conversion'!$B:$B,0)),$Y:$Y,0))-J2133,"")</f>
        <v>1.388631346</v>
      </c>
      <c r="AB2133" s="168">
        <f t="array" ref="AB2133">iferror(index(K:K,match($A2133&amp;","&amp;index('Year Conversion'!$A:$A,match($C2133,'Year Conversion'!$B:$B,0)),$Y:$Y,0))-K2133,"")</f>
        <v>0.3551258407</v>
      </c>
      <c r="AC2133" s="168" t="str">
        <f t="shared" si="7"/>
        <v>CHO,2017-18</v>
      </c>
    </row>
    <row r="2134">
      <c r="A2134" s="161" t="str">
        <f>IFERROR(__xludf.DUMMYFUNCTION("""COMPUTED_VALUE"""),"hensojo01")</f>
        <v>hensojo01</v>
      </c>
      <c r="B2134" s="161" t="str">
        <f>IFERROR(__xludf.DUMMYFUNCTION("""COMPUTED_VALUE"""),"John Henson")</f>
        <v>John Henson</v>
      </c>
      <c r="C2134" s="162" t="str">
        <f>IFERROR(__xludf.DUMMYFUNCTION("""COMPUTED_VALUE"""),"2017-18")</f>
        <v>2017-18</v>
      </c>
      <c r="D2134" s="163" t="str">
        <f>IFERROR(__xludf.DUMMYFUNCTION("""COMPUTED_VALUE"""),"MIL")</f>
        <v>MIL</v>
      </c>
      <c r="E2134" s="164" t="str">
        <f>IFERROR(__xludf.DUMMYFUNCTION("""COMPUTED_VALUE"""),"Roll + Cut Big")</f>
        <v>Roll + Cut Big</v>
      </c>
      <c r="F2134" s="164">
        <f>IFERROR(__xludf.DUMMYFUNCTION("""COMPUTED_VALUE"""),1969.505)</f>
        <v>1969.505</v>
      </c>
      <c r="G2134" s="163">
        <f>IFERROR(__xludf.DUMMYFUNCTION("""COMPUTED_VALUE"""),76.0)</f>
        <v>76</v>
      </c>
      <c r="H2134" s="163" t="str">
        <f>IFERROR(__xludf.DUMMYFUNCTION("""COMPUTED_VALUE"""),"C")</f>
        <v>C</v>
      </c>
      <c r="I2134" s="163">
        <f>IFERROR(__xludf.DUMMYFUNCTION("""COMPUTED_VALUE"""),27.0)</f>
        <v>27</v>
      </c>
      <c r="J2134" s="165">
        <f>IFERROR(__xludf.DUMMYFUNCTION("""COMPUTED_VALUE"""),0.125642224272768)</f>
        <v>0.1256422243</v>
      </c>
      <c r="K2134" s="165">
        <f>IFERROR(__xludf.DUMMYFUNCTION("""COMPUTED_VALUE"""),-1.1192752847205)</f>
        <v>-1.119275285</v>
      </c>
      <c r="L2134" s="165">
        <f>IFERROR(__xludf.DUMMYFUNCTION("""COMPUTED_VALUE"""),1.24491750899327)</f>
        <v>1.244917509</v>
      </c>
      <c r="M2134" s="166">
        <f t="shared" si="2"/>
        <v>3.203146835</v>
      </c>
      <c r="N2134" s="167">
        <f t="shared" si="3"/>
        <v>25.91453947</v>
      </c>
      <c r="O2134" s="163">
        <f t="shared" ref="O2134:Q2134" si="2138">rank(I2134,I:I)</f>
        <v>1366</v>
      </c>
      <c r="P2134" s="163">
        <f t="shared" si="2138"/>
        <v>1157</v>
      </c>
      <c r="Q2134" s="163">
        <f t="shared" si="2138"/>
        <v>2948</v>
      </c>
      <c r="R2134" s="163">
        <f>IFERROR(__xludf.DUMMYFUNCTION("RANK(M2134,filter(M:M,C:C=C2134))"),104.0)</f>
        <v>104</v>
      </c>
      <c r="S2134" s="161" t="b">
        <f t="shared" si="5"/>
        <v>0</v>
      </c>
      <c r="T2134" s="161" t="b">
        <f t="array" ref="T2134">index('Query Tool'!B:B,match(H2134,'Query Tool'!C:C,0))</f>
        <v>1</v>
      </c>
      <c r="U2134" s="161" t="b">
        <f t="array" ref="U2134">index('Query Tool'!B:B,match(C2134,'Query Tool'!C:C,0))</f>
        <v>0</v>
      </c>
      <c r="V2134" s="161" t="b">
        <f>F2134&gt;='Query Tool'!C$32</f>
        <v>1</v>
      </c>
      <c r="W2134" s="161" t="b">
        <f t="array" ref="W2134">index(Dropdowns!B:B,match(I2134,Dropdowns!A:A,0))</f>
        <v>1</v>
      </c>
      <c r="X2134" s="161" t="b">
        <f t="array" ref="X2134">index('Query Tool'!B:B,match(D2134,'Query Tool'!C:C,0))</f>
        <v>1</v>
      </c>
      <c r="Y2134" s="161" t="str">
        <f t="shared" si="6"/>
        <v>hensojo01,2017-18</v>
      </c>
      <c r="Z2134" s="168">
        <f t="array" ref="Z2134">iferror(index(I:I,match($A2134&amp;","&amp;index('Year Conversion'!$A:$A,match($C2134,'Year Conversion'!$B:$B,0)),$Y:$Y,0))-I2134,"")</f>
        <v>1</v>
      </c>
      <c r="AA2134" s="168">
        <f t="array" ref="AA2134">iferror(index(J:J,match($A2134&amp;","&amp;index('Year Conversion'!$A:$A,match($C2134,'Year Conversion'!$B:$B,0)),$Y:$Y,0))-J2134,"")</f>
        <v>-0.04094225124</v>
      </c>
      <c r="AB2134" s="168">
        <f t="array" ref="AB2134">iferror(index(K:K,match($A2134&amp;","&amp;index('Year Conversion'!$A:$A,match($C2134,'Year Conversion'!$B:$B,0)),$Y:$Y,0))-K2134,"")</f>
        <v>0.8843615895</v>
      </c>
      <c r="AC2134" s="168" t="str">
        <f t="shared" si="7"/>
        <v>MIL,2017-18</v>
      </c>
    </row>
    <row r="2135">
      <c r="A2135" s="161" t="str">
        <f>IFERROR(__xludf.DUMMYFUNCTION("""COMPUTED_VALUE"""),"harklma01")</f>
        <v>harklma01</v>
      </c>
      <c r="B2135" s="161" t="str">
        <f>IFERROR(__xludf.DUMMYFUNCTION("""COMPUTED_VALUE"""),"Maurice Harkless")</f>
        <v>Maurice Harkless</v>
      </c>
      <c r="C2135" s="162" t="str">
        <f>IFERROR(__xludf.DUMMYFUNCTION("""COMPUTED_VALUE"""),"2017-18")</f>
        <v>2017-18</v>
      </c>
      <c r="D2135" s="163" t="str">
        <f>IFERROR(__xludf.DUMMYFUNCTION("""COMPUTED_VALUE"""),"POR")</f>
        <v>POR</v>
      </c>
      <c r="E2135" s="164" t="str">
        <f>IFERROR(__xludf.DUMMYFUNCTION("""COMPUTED_VALUE"""),"Stretch Big")</f>
        <v>Stretch Big</v>
      </c>
      <c r="F2135" s="164">
        <f>IFERROR(__xludf.DUMMYFUNCTION("""COMPUTED_VALUE"""),1263.77)</f>
        <v>1263.77</v>
      </c>
      <c r="G2135" s="163">
        <f>IFERROR(__xludf.DUMMYFUNCTION("""COMPUTED_VALUE"""),59.0)</f>
        <v>59</v>
      </c>
      <c r="H2135" s="163" t="str">
        <f>IFERROR(__xludf.DUMMYFUNCTION("""COMPUTED_VALUE"""),"SF")</f>
        <v>SF</v>
      </c>
      <c r="I2135" s="163">
        <f>IFERROR(__xludf.DUMMYFUNCTION("""COMPUTED_VALUE"""),24.0)</f>
        <v>24</v>
      </c>
      <c r="J2135" s="165">
        <f>IFERROR(__xludf.DUMMYFUNCTION("""COMPUTED_VALUE"""),-1.21893115950976)</f>
        <v>-1.21893116</v>
      </c>
      <c r="K2135" s="165">
        <f>IFERROR(__xludf.DUMMYFUNCTION("""COMPUTED_VALUE"""),-2.1640841959055)</f>
        <v>-2.164084196</v>
      </c>
      <c r="L2135" s="165">
        <f>IFERROR(__xludf.DUMMYFUNCTION("""COMPUTED_VALUE"""),0.945153036395737)</f>
        <v>0.9451530364</v>
      </c>
      <c r="M2135" s="166">
        <f t="shared" si="2"/>
        <v>0.911895632</v>
      </c>
      <c r="N2135" s="167">
        <f t="shared" si="3"/>
        <v>21.41983051</v>
      </c>
      <c r="O2135" s="163">
        <f t="shared" ref="O2135:Q2135" si="2139">rank(I2135,I:I)</f>
        <v>2361</v>
      </c>
      <c r="P2135" s="163">
        <f t="shared" si="2139"/>
        <v>2770</v>
      </c>
      <c r="Q2135" s="163">
        <f t="shared" si="2139"/>
        <v>3786</v>
      </c>
      <c r="R2135" s="163">
        <f>IFERROR(__xludf.DUMMYFUNCTION("RANK(M2135,filter(M:M,C:C=C2135))"),244.0)</f>
        <v>244</v>
      </c>
      <c r="S2135" s="161" t="b">
        <f t="shared" si="5"/>
        <v>0</v>
      </c>
      <c r="T2135" s="161" t="b">
        <f t="array" ref="T2135">index('Query Tool'!B:B,match(H2135,'Query Tool'!C:C,0))</f>
        <v>1</v>
      </c>
      <c r="U2135" s="161" t="b">
        <f t="array" ref="U2135">index('Query Tool'!B:B,match(C2135,'Query Tool'!C:C,0))</f>
        <v>0</v>
      </c>
      <c r="V2135" s="161" t="b">
        <f>F2135&gt;='Query Tool'!C$32</f>
        <v>1</v>
      </c>
      <c r="W2135" s="161" t="b">
        <f t="array" ref="W2135">index(Dropdowns!B:B,match(I2135,Dropdowns!A:A,0))</f>
        <v>1</v>
      </c>
      <c r="X2135" s="161" t="b">
        <f t="array" ref="X2135">index('Query Tool'!B:B,match(D2135,'Query Tool'!C:C,0))</f>
        <v>1</v>
      </c>
      <c r="Y2135" s="161" t="str">
        <f t="shared" si="6"/>
        <v>harklma01,2017-18</v>
      </c>
      <c r="Z2135" s="168">
        <f t="array" ref="Z2135">iferror(index(I:I,match($A2135&amp;","&amp;index('Year Conversion'!$A:$A,match($C2135,'Year Conversion'!$B:$B,0)),$Y:$Y,0))-I2135,"")</f>
        <v>1</v>
      </c>
      <c r="AA2135" s="168">
        <f t="array" ref="AA2135">iferror(index(J:J,match($A2135&amp;","&amp;index('Year Conversion'!$A:$A,match($C2135,'Year Conversion'!$B:$B,0)),$Y:$Y,0))-J2135,"")</f>
        <v>2.057484456</v>
      </c>
      <c r="AB2135" s="168">
        <f t="array" ref="AB2135">iferror(index(K:K,match($A2135&amp;","&amp;index('Year Conversion'!$A:$A,match($C2135,'Year Conversion'!$B:$B,0)),$Y:$Y,0))-K2135,"")</f>
        <v>1.589410733</v>
      </c>
      <c r="AC2135" s="168" t="str">
        <f t="shared" si="7"/>
        <v>POR,2017-18</v>
      </c>
    </row>
    <row r="2136">
      <c r="A2136" s="161" t="str">
        <f>IFERROR(__xludf.DUMMYFUNCTION("""COMPUTED_VALUE"""),"zellety01")</f>
        <v>zellety01</v>
      </c>
      <c r="B2136" s="161" t="str">
        <f>IFERROR(__xludf.DUMMYFUNCTION("""COMPUTED_VALUE"""),"Tyler Zeller")</f>
        <v>Tyler Zeller</v>
      </c>
      <c r="C2136" s="162" t="str">
        <f>IFERROR(__xludf.DUMMYFUNCTION("""COMPUTED_VALUE"""),"2017-18")</f>
        <v>2017-18</v>
      </c>
      <c r="D2136" s="163" t="str">
        <f>IFERROR(__xludf.DUMMYFUNCTION("""COMPUTED_VALUE"""),"TOT")</f>
        <v>TOT</v>
      </c>
      <c r="E2136" s="164" t="str">
        <f>IFERROR(__xludf.DUMMYFUNCTION("""COMPUTED_VALUE"""),"Roll + Cut Big")</f>
        <v>Roll + Cut Big</v>
      </c>
      <c r="F2136" s="164">
        <f>IFERROR(__xludf.DUMMYFUNCTION("""COMPUTED_VALUE"""),1108.16)</f>
        <v>1108.16</v>
      </c>
      <c r="G2136" s="163">
        <f>IFERROR(__xludf.DUMMYFUNCTION("""COMPUTED_VALUE"""),66.0)</f>
        <v>66</v>
      </c>
      <c r="H2136" s="163" t="str">
        <f>IFERROR(__xludf.DUMMYFUNCTION("""COMPUTED_VALUE"""),"C")</f>
        <v>C</v>
      </c>
      <c r="I2136" s="163">
        <f>IFERROR(__xludf.DUMMYFUNCTION("""COMPUTED_VALUE"""),28.0)</f>
        <v>28</v>
      </c>
      <c r="J2136" s="165">
        <f>IFERROR(__xludf.DUMMYFUNCTION("""COMPUTED_VALUE"""),-0.465226639506343)</f>
        <v>-0.4652266395</v>
      </c>
      <c r="K2136" s="165">
        <f>IFERROR(__xludf.DUMMYFUNCTION("""COMPUTED_VALUE"""),-0.712631671033977)</f>
        <v>-0.712631671</v>
      </c>
      <c r="L2136" s="165">
        <f>IFERROR(__xludf.DUMMYFUNCTION("""COMPUTED_VALUE"""),0.247405031527634)</f>
        <v>0.2474050315</v>
      </c>
      <c r="M2136" s="166">
        <f t="shared" si="2"/>
        <v>1.36094224</v>
      </c>
      <c r="N2136" s="167">
        <f t="shared" si="3"/>
        <v>16.79030303</v>
      </c>
      <c r="O2136" s="163">
        <f t="shared" ref="O2136:Q2136" si="2140">rank(I2136,I:I)</f>
        <v>1090</v>
      </c>
      <c r="P2136" s="163">
        <f t="shared" si="2140"/>
        <v>1801</v>
      </c>
      <c r="Q2136" s="163">
        <f t="shared" si="2140"/>
        <v>2430</v>
      </c>
      <c r="R2136" s="163">
        <f>IFERROR(__xludf.DUMMYFUNCTION("RANK(M2136,filter(M:M,C:C=C2136))"),201.0)</f>
        <v>201</v>
      </c>
      <c r="S2136" s="161" t="b">
        <f t="shared" si="5"/>
        <v>0</v>
      </c>
      <c r="T2136" s="161" t="b">
        <f t="array" ref="T2136">index('Query Tool'!B:B,match(H2136,'Query Tool'!C:C,0))</f>
        <v>1</v>
      </c>
      <c r="U2136" s="161" t="b">
        <f t="array" ref="U2136">index('Query Tool'!B:B,match(C2136,'Query Tool'!C:C,0))</f>
        <v>0</v>
      </c>
      <c r="V2136" s="161" t="b">
        <f>F2136&gt;='Query Tool'!C$32</f>
        <v>1</v>
      </c>
      <c r="W2136" s="161" t="b">
        <f t="array" ref="W2136">index(Dropdowns!B:B,match(I2136,Dropdowns!A:A,0))</f>
        <v>1</v>
      </c>
      <c r="X2136" s="161" t="b">
        <f t="array" ref="X2136">index('Query Tool'!B:B,match(D2136,'Query Tool'!C:C,0))</f>
        <v>1</v>
      </c>
      <c r="Y2136" s="161" t="str">
        <f t="shared" si="6"/>
        <v>zellety01,2017-18</v>
      </c>
      <c r="Z2136" s="168">
        <f t="array" ref="Z2136">iferror(index(I:I,match($A2136&amp;","&amp;index('Year Conversion'!$A:$A,match($C2136,'Year Conversion'!$B:$B,0)),$Y:$Y,0))-I2136,"")</f>
        <v>1</v>
      </c>
      <c r="AA2136" s="168">
        <f t="array" ref="AA2136">iferror(index(J:J,match($A2136&amp;","&amp;index('Year Conversion'!$A:$A,match($C2136,'Year Conversion'!$B:$B,0)),$Y:$Y,0))-J2136,"")</f>
        <v>0.1649654283</v>
      </c>
      <c r="AB2136" s="168">
        <f t="array" ref="AB2136">iferror(index(K:K,match($A2136&amp;","&amp;index('Year Conversion'!$A:$A,match($C2136,'Year Conversion'!$B:$B,0)),$Y:$Y,0))-K2136,"")</f>
        <v>0.4735243081</v>
      </c>
      <c r="AC2136" s="168" t="str">
        <f t="shared" si="7"/>
        <v>TOT,2017-18</v>
      </c>
    </row>
    <row r="2137">
      <c r="A2137" s="161" t="str">
        <f>IFERROR(__xludf.DUMMYFUNCTION("""COMPUTED_VALUE"""),"fournev01")</f>
        <v>fournev01</v>
      </c>
      <c r="B2137" s="161" t="str">
        <f>IFERROR(__xludf.DUMMYFUNCTION("""COMPUTED_VALUE"""),"Evan Fournier")</f>
        <v>Evan Fournier</v>
      </c>
      <c r="C2137" s="162" t="str">
        <f>IFERROR(__xludf.DUMMYFUNCTION("""COMPUTED_VALUE"""),"2017-18")</f>
        <v>2017-18</v>
      </c>
      <c r="D2137" s="163" t="str">
        <f>IFERROR(__xludf.DUMMYFUNCTION("""COMPUTED_VALUE"""),"ORL")</f>
        <v>ORL</v>
      </c>
      <c r="E2137" s="164" t="str">
        <f>IFERROR(__xludf.DUMMYFUNCTION("""COMPUTED_VALUE"""),"Off Screen Shooter")</f>
        <v>Off Screen Shooter</v>
      </c>
      <c r="F2137" s="164">
        <f>IFERROR(__xludf.DUMMYFUNCTION("""COMPUTED_VALUE"""),1837.215)</f>
        <v>1837.215</v>
      </c>
      <c r="G2137" s="163">
        <f>IFERROR(__xludf.DUMMYFUNCTION("""COMPUTED_VALUE"""),57.0)</f>
        <v>57</v>
      </c>
      <c r="H2137" s="163" t="str">
        <f>IFERROR(__xludf.DUMMYFUNCTION("""COMPUTED_VALUE"""),"SF")</f>
        <v>SF</v>
      </c>
      <c r="I2137" s="163">
        <f>IFERROR(__xludf.DUMMYFUNCTION("""COMPUTED_VALUE"""),25.0)</f>
        <v>25</v>
      </c>
      <c r="J2137" s="165">
        <f>IFERROR(__xludf.DUMMYFUNCTION("""COMPUTED_VALUE"""),-0.969168263045429)</f>
        <v>-0.969168263</v>
      </c>
      <c r="K2137" s="165">
        <f>IFERROR(__xludf.DUMMYFUNCTION("""COMPUTED_VALUE"""),0.47078144320714)</f>
        <v>0.4707814432</v>
      </c>
      <c r="L2137" s="165">
        <f>IFERROR(__xludf.DUMMYFUNCTION("""COMPUTED_VALUE"""),-1.43994970625257)</f>
        <v>-1.439949706</v>
      </c>
      <c r="M2137" s="166">
        <f t="shared" si="2"/>
        <v>1.633494588</v>
      </c>
      <c r="N2137" s="167">
        <f t="shared" si="3"/>
        <v>32.23184211</v>
      </c>
      <c r="O2137" s="163">
        <f t="shared" ref="O2137:Q2137" si="2141">rank(I2137,I:I)</f>
        <v>1995</v>
      </c>
      <c r="P2137" s="163">
        <f t="shared" si="2141"/>
        <v>2469</v>
      </c>
      <c r="Q2137" s="163">
        <f t="shared" si="2141"/>
        <v>784</v>
      </c>
      <c r="R2137" s="163">
        <f>IFERROR(__xludf.DUMMYFUNCTION("RANK(M2137,filter(M:M,C:C=C2137))"),181.0)</f>
        <v>181</v>
      </c>
      <c r="S2137" s="161" t="b">
        <f t="shared" si="5"/>
        <v>0</v>
      </c>
      <c r="T2137" s="161" t="b">
        <f t="array" ref="T2137">index('Query Tool'!B:B,match(H2137,'Query Tool'!C:C,0))</f>
        <v>1</v>
      </c>
      <c r="U2137" s="161" t="b">
        <f t="array" ref="U2137">index('Query Tool'!B:B,match(C2137,'Query Tool'!C:C,0))</f>
        <v>0</v>
      </c>
      <c r="V2137" s="161" t="b">
        <f>F2137&gt;='Query Tool'!C$32</f>
        <v>1</v>
      </c>
      <c r="W2137" s="161" t="b">
        <f t="array" ref="W2137">index(Dropdowns!B:B,match(I2137,Dropdowns!A:A,0))</f>
        <v>1</v>
      </c>
      <c r="X2137" s="161" t="b">
        <f t="array" ref="X2137">index('Query Tool'!B:B,match(D2137,'Query Tool'!C:C,0))</f>
        <v>1</v>
      </c>
      <c r="Y2137" s="161" t="str">
        <f t="shared" si="6"/>
        <v>fournev01,2017-18</v>
      </c>
      <c r="Z2137" s="168">
        <f t="array" ref="Z2137">iferror(index(I:I,match($A2137&amp;","&amp;index('Year Conversion'!$A:$A,match($C2137,'Year Conversion'!$B:$B,0)),$Y:$Y,0))-I2137,"")</f>
        <v>1</v>
      </c>
      <c r="AA2137" s="168">
        <f t="array" ref="AA2137">iferror(index(J:J,match($A2137&amp;","&amp;index('Year Conversion'!$A:$A,match($C2137,'Year Conversion'!$B:$B,0)),$Y:$Y,0))-J2137,"")</f>
        <v>-0.2104916961</v>
      </c>
      <c r="AB2137" s="168">
        <f t="array" ref="AB2137">iferror(index(K:K,match($A2137&amp;","&amp;index('Year Conversion'!$A:$A,match($C2137,'Year Conversion'!$B:$B,0)),$Y:$Y,0))-K2137,"")</f>
        <v>-0.452663864</v>
      </c>
      <c r="AC2137" s="168" t="str">
        <f t="shared" si="7"/>
        <v>ORL,2017-18</v>
      </c>
    </row>
    <row r="2138">
      <c r="A2138" s="161" t="str">
        <f>IFERROR(__xludf.DUMMYFUNCTION("""COMPUTED_VALUE"""),"plumlmi01")</f>
        <v>plumlmi01</v>
      </c>
      <c r="B2138" s="161" t="str">
        <f>IFERROR(__xludf.DUMMYFUNCTION("""COMPUTED_VALUE"""),"Miles Plumlee")</f>
        <v>Miles Plumlee</v>
      </c>
      <c r="C2138" s="162" t="str">
        <f>IFERROR(__xludf.DUMMYFUNCTION("""COMPUTED_VALUE"""),"2017-18")</f>
        <v>2017-18</v>
      </c>
      <c r="D2138" s="163" t="str">
        <f>IFERROR(__xludf.DUMMYFUNCTION("""COMPUTED_VALUE"""),"ATL")</f>
        <v>ATL</v>
      </c>
      <c r="E2138" s="164" t="str">
        <f>IFERROR(__xludf.DUMMYFUNCTION("""COMPUTED_VALUE"""),"Roll + Cut Big")</f>
        <v>Roll + Cut Big</v>
      </c>
      <c r="F2138" s="164">
        <f>IFERROR(__xludf.DUMMYFUNCTION("""COMPUTED_VALUE"""),917.631666666666)</f>
        <v>917.6316667</v>
      </c>
      <c r="G2138" s="163">
        <f>IFERROR(__xludf.DUMMYFUNCTION("""COMPUTED_VALUE"""),55.0)</f>
        <v>55</v>
      </c>
      <c r="H2138" s="163" t="str">
        <f>IFERROR(__xludf.DUMMYFUNCTION("""COMPUTED_VALUE"""),"C")</f>
        <v>C</v>
      </c>
      <c r="I2138" s="163">
        <f>IFERROR(__xludf.DUMMYFUNCTION("""COMPUTED_VALUE"""),29.0)</f>
        <v>29</v>
      </c>
      <c r="J2138" s="165">
        <f>IFERROR(__xludf.DUMMYFUNCTION("""COMPUTED_VALUE"""),-2.23159096037935)</f>
        <v>-2.23159096</v>
      </c>
      <c r="K2138" s="165">
        <f>IFERROR(__xludf.DUMMYFUNCTION("""COMPUTED_VALUE"""),-3.19480568390433)</f>
        <v>-3.194805684</v>
      </c>
      <c r="L2138" s="165">
        <f>IFERROR(__xludf.DUMMYFUNCTION("""COMPUTED_VALUE"""),0.963214723524977)</f>
        <v>0.9632147235</v>
      </c>
      <c r="M2138" s="166">
        <f t="shared" si="2"/>
        <v>0.0435633654</v>
      </c>
      <c r="N2138" s="167">
        <f t="shared" si="3"/>
        <v>16.68421212</v>
      </c>
      <c r="O2138" s="163">
        <f t="shared" ref="O2138:Q2138" si="2142">rank(I2138,I:I)</f>
        <v>855</v>
      </c>
      <c r="P2138" s="163">
        <f t="shared" si="2142"/>
        <v>3619</v>
      </c>
      <c r="Q2138" s="163">
        <f t="shared" si="2142"/>
        <v>3991</v>
      </c>
      <c r="R2138" s="163">
        <f>IFERROR(__xludf.DUMMYFUNCTION("RANK(M2138,filter(M:M,C:C=C2138))"),437.0)</f>
        <v>437</v>
      </c>
      <c r="S2138" s="161" t="b">
        <f t="shared" si="5"/>
        <v>0</v>
      </c>
      <c r="T2138" s="161" t="b">
        <f t="array" ref="T2138">index('Query Tool'!B:B,match(H2138,'Query Tool'!C:C,0))</f>
        <v>1</v>
      </c>
      <c r="U2138" s="161" t="b">
        <f t="array" ref="U2138">index('Query Tool'!B:B,match(C2138,'Query Tool'!C:C,0))</f>
        <v>0</v>
      </c>
      <c r="V2138" s="161" t="b">
        <f>F2138&gt;='Query Tool'!C$32</f>
        <v>1</v>
      </c>
      <c r="W2138" s="161" t="b">
        <f t="array" ref="W2138">index(Dropdowns!B:B,match(I2138,Dropdowns!A:A,0))</f>
        <v>1</v>
      </c>
      <c r="X2138" s="161" t="b">
        <f t="array" ref="X2138">index('Query Tool'!B:B,match(D2138,'Query Tool'!C:C,0))</f>
        <v>1</v>
      </c>
      <c r="Y2138" s="161" t="str">
        <f t="shared" si="6"/>
        <v>plumlmi01,2017-18</v>
      </c>
      <c r="Z2138" s="168">
        <f t="array" ref="Z2138">iferror(index(I:I,match($A2138&amp;","&amp;index('Year Conversion'!$A:$A,match($C2138,'Year Conversion'!$B:$B,0)),$Y:$Y,0))-I2138,"")</f>
        <v>1</v>
      </c>
      <c r="AA2138" s="168">
        <f t="array" ref="AA2138">iferror(index(J:J,match($A2138&amp;","&amp;index('Year Conversion'!$A:$A,match($C2138,'Year Conversion'!$B:$B,0)),$Y:$Y,0))-J2138,"")</f>
        <v>2.25951373</v>
      </c>
      <c r="AB2138" s="168">
        <f t="array" ref="AB2138">iferror(index(K:K,match($A2138&amp;","&amp;index('Year Conversion'!$A:$A,match($C2138,'Year Conversion'!$B:$B,0)),$Y:$Y,0))-K2138,"")</f>
        <v>3.167290793</v>
      </c>
      <c r="AC2138" s="168" t="str">
        <f t="shared" si="7"/>
        <v>ATL,2017-18</v>
      </c>
    </row>
    <row r="2139">
      <c r="A2139" s="161" t="str">
        <f>IFERROR(__xludf.DUMMYFUNCTION("""COMPUTED_VALUE"""),"teaguma01")</f>
        <v>teaguma01</v>
      </c>
      <c r="B2139" s="161" t="str">
        <f>IFERROR(__xludf.DUMMYFUNCTION("""COMPUTED_VALUE"""),"Marquis Teague")</f>
        <v>Marquis Teague</v>
      </c>
      <c r="C2139" s="162" t="str">
        <f>IFERROR(__xludf.DUMMYFUNCTION("""COMPUTED_VALUE"""),"2017-18")</f>
        <v>2017-18</v>
      </c>
      <c r="D2139" s="163" t="str">
        <f>IFERROR(__xludf.DUMMYFUNCTION("""COMPUTED_VALUE"""),"MEM")</f>
        <v>MEM</v>
      </c>
      <c r="E2139" s="164" t="str">
        <f>IFERROR(__xludf.DUMMYFUNCTION("""COMPUTED_VALUE"""),"Secondary Ball Handler")</f>
        <v>Secondary Ball Handler</v>
      </c>
      <c r="F2139" s="164">
        <f>IFERROR(__xludf.DUMMYFUNCTION("""COMPUTED_VALUE"""),73.7833333333333)</f>
        <v>73.78333333</v>
      </c>
      <c r="G2139" s="163">
        <f>IFERROR(__xludf.DUMMYFUNCTION("""COMPUTED_VALUE"""),3.0)</f>
        <v>3</v>
      </c>
      <c r="H2139" s="163" t="str">
        <f>IFERROR(__xludf.DUMMYFUNCTION("""COMPUTED_VALUE"""),"PG")</f>
        <v>PG</v>
      </c>
      <c r="I2139" s="163">
        <f>IFERROR(__xludf.DUMMYFUNCTION("""COMPUTED_VALUE"""),24.0)</f>
        <v>24</v>
      </c>
      <c r="J2139" s="165">
        <f>IFERROR(__xludf.DUMMYFUNCTION("""COMPUTED_VALUE"""),-0.490841375952257)</f>
        <v>-0.490841376</v>
      </c>
      <c r="K2139" s="165">
        <f>IFERROR(__xludf.DUMMYFUNCTION("""COMPUTED_VALUE"""),-0.242944930544642)</f>
        <v>-0.2429449305</v>
      </c>
      <c r="L2139" s="165">
        <f>IFERROR(__xludf.DUMMYFUNCTION("""COMPUTED_VALUE"""),-0.247896445407614)</f>
        <v>-0.2478964454</v>
      </c>
      <c r="M2139" s="166">
        <f t="shared" si="2"/>
        <v>0.08934107458</v>
      </c>
      <c r="N2139" s="167">
        <f t="shared" si="3"/>
        <v>24.59444444</v>
      </c>
      <c r="O2139" s="163">
        <f t="shared" ref="O2139:Q2139" si="2143">rank(I2139,I:I)</f>
        <v>2361</v>
      </c>
      <c r="P2139" s="163">
        <f t="shared" si="2143"/>
        <v>1843</v>
      </c>
      <c r="Q2139" s="163">
        <f t="shared" si="2143"/>
        <v>1652</v>
      </c>
      <c r="R2139" s="163">
        <f>IFERROR(__xludf.DUMMYFUNCTION("RANK(M2139,filter(M:M,C:C=C2139))"),404.0)</f>
        <v>404</v>
      </c>
      <c r="S2139" s="161" t="b">
        <f t="shared" si="5"/>
        <v>0</v>
      </c>
      <c r="T2139" s="161" t="b">
        <f t="array" ref="T2139">index('Query Tool'!B:B,match(H2139,'Query Tool'!C:C,0))</f>
        <v>1</v>
      </c>
      <c r="U2139" s="161" t="b">
        <f t="array" ref="U2139">index('Query Tool'!B:B,match(C2139,'Query Tool'!C:C,0))</f>
        <v>0</v>
      </c>
      <c r="V2139" s="161" t="b">
        <f>F2139&gt;='Query Tool'!C$32</f>
        <v>0</v>
      </c>
      <c r="W2139" s="161" t="b">
        <f t="array" ref="W2139">index(Dropdowns!B:B,match(I2139,Dropdowns!A:A,0))</f>
        <v>1</v>
      </c>
      <c r="X2139" s="161" t="b">
        <f t="array" ref="X2139">index('Query Tool'!B:B,match(D2139,'Query Tool'!C:C,0))</f>
        <v>1</v>
      </c>
      <c r="Y2139" s="161" t="str">
        <f t="shared" si="6"/>
        <v>teaguma01,2017-18</v>
      </c>
      <c r="Z2139" s="168" t="str">
        <f t="array" ref="Z2139">iferror(index(I:I,match($A2139&amp;","&amp;index('Year Conversion'!$A:$A,match($C2139,'Year Conversion'!$B:$B,0)),$Y:$Y,0))-I2139,"")</f>
        <v/>
      </c>
      <c r="AA2139" s="168" t="str">
        <f t="array" ref="AA2139">iferror(index(J:J,match($A2139&amp;","&amp;index('Year Conversion'!$A:$A,match($C2139,'Year Conversion'!$B:$B,0)),$Y:$Y,0))-J2139,"")</f>
        <v/>
      </c>
      <c r="AB2139" s="168" t="str">
        <f t="array" ref="AB2139">iferror(index(K:K,match($A2139&amp;","&amp;index('Year Conversion'!$A:$A,match($C2139,'Year Conversion'!$B:$B,0)),$Y:$Y,0))-K2139,"")</f>
        <v/>
      </c>
      <c r="AC2139" s="168" t="str">
        <f t="shared" si="7"/>
        <v>MEM,2017-18</v>
      </c>
    </row>
    <row r="2140">
      <c r="A2140" s="161" t="str">
        <f>IFERROR(__xludf.DUMMYFUNCTION("""COMPUTED_VALUE"""),"satorto01")</f>
        <v>satorto01</v>
      </c>
      <c r="B2140" s="161" t="str">
        <f>IFERROR(__xludf.DUMMYFUNCTION("""COMPUTED_VALUE"""),"Tomas Satoransky")</f>
        <v>Tomas Satoransky</v>
      </c>
      <c r="C2140" s="162" t="str">
        <f>IFERROR(__xludf.DUMMYFUNCTION("""COMPUTED_VALUE"""),"2017-18")</f>
        <v>2017-18</v>
      </c>
      <c r="D2140" s="163" t="str">
        <f>IFERROR(__xludf.DUMMYFUNCTION("""COMPUTED_VALUE"""),"WAS")</f>
        <v>WAS</v>
      </c>
      <c r="E2140" s="164" t="str">
        <f>IFERROR(__xludf.DUMMYFUNCTION("""COMPUTED_VALUE"""),"Primary Ball Handler")</f>
        <v>Primary Ball Handler</v>
      </c>
      <c r="F2140" s="164">
        <f>IFERROR(__xludf.DUMMYFUNCTION("""COMPUTED_VALUE"""),1642.65333333333)</f>
        <v>1642.653333</v>
      </c>
      <c r="G2140" s="163">
        <f>IFERROR(__xludf.DUMMYFUNCTION("""COMPUTED_VALUE"""),73.0)</f>
        <v>73</v>
      </c>
      <c r="H2140" s="163" t="str">
        <f>IFERROR(__xludf.DUMMYFUNCTION("""COMPUTED_VALUE"""),"SG")</f>
        <v>SG</v>
      </c>
      <c r="I2140" s="163">
        <f>IFERROR(__xludf.DUMMYFUNCTION("""COMPUTED_VALUE"""),26.0)</f>
        <v>26</v>
      </c>
      <c r="J2140" s="165">
        <f>IFERROR(__xludf.DUMMYFUNCTION("""COMPUTED_VALUE"""),0.105621721746995)</f>
        <v>0.1056217217</v>
      </c>
      <c r="K2140" s="165">
        <f>IFERROR(__xludf.DUMMYFUNCTION("""COMPUTED_VALUE"""),0.730861559881692)</f>
        <v>0.7308615599</v>
      </c>
      <c r="L2140" s="165">
        <f>IFERROR(__xludf.DUMMYFUNCTION("""COMPUTED_VALUE"""),-0.625239838134697)</f>
        <v>-0.6252398381</v>
      </c>
      <c r="M2140" s="166">
        <f t="shared" si="2"/>
        <v>2.649393924</v>
      </c>
      <c r="N2140" s="167">
        <f t="shared" si="3"/>
        <v>22.50210046</v>
      </c>
      <c r="O2140" s="163">
        <f t="shared" ref="O2140:Q2140" si="2144">rank(I2140,I:I)</f>
        <v>1665</v>
      </c>
      <c r="P2140" s="163">
        <f t="shared" si="2144"/>
        <v>1183</v>
      </c>
      <c r="Q2140" s="163">
        <f t="shared" si="2144"/>
        <v>631</v>
      </c>
      <c r="R2140" s="163">
        <f>IFERROR(__xludf.DUMMYFUNCTION("RANK(M2140,filter(M:M,C:C=C2140))"),124.0)</f>
        <v>124</v>
      </c>
      <c r="S2140" s="161" t="b">
        <f t="shared" si="5"/>
        <v>0</v>
      </c>
      <c r="T2140" s="161" t="b">
        <f t="array" ref="T2140">index('Query Tool'!B:B,match(H2140,'Query Tool'!C:C,0))</f>
        <v>1</v>
      </c>
      <c r="U2140" s="161" t="b">
        <f t="array" ref="U2140">index('Query Tool'!B:B,match(C2140,'Query Tool'!C:C,0))</f>
        <v>0</v>
      </c>
      <c r="V2140" s="161" t="b">
        <f>F2140&gt;='Query Tool'!C$32</f>
        <v>1</v>
      </c>
      <c r="W2140" s="161" t="b">
        <f t="array" ref="W2140">index(Dropdowns!B:B,match(I2140,Dropdowns!A:A,0))</f>
        <v>1</v>
      </c>
      <c r="X2140" s="161" t="b">
        <f t="array" ref="X2140">index('Query Tool'!B:B,match(D2140,'Query Tool'!C:C,0))</f>
        <v>1</v>
      </c>
      <c r="Y2140" s="161" t="str">
        <f t="shared" si="6"/>
        <v>satorto01,2017-18</v>
      </c>
      <c r="Z2140" s="168">
        <f t="array" ref="Z2140">iferror(index(I:I,match($A2140&amp;","&amp;index('Year Conversion'!$A:$A,match($C2140,'Year Conversion'!$B:$B,0)),$Y:$Y,0))-I2140,"")</f>
        <v>1</v>
      </c>
      <c r="AA2140" s="168">
        <f t="array" ref="AA2140">iferror(index(J:J,match($A2140&amp;","&amp;index('Year Conversion'!$A:$A,match($C2140,'Year Conversion'!$B:$B,0)),$Y:$Y,0))-J2140,"")</f>
        <v>-0.005873862282</v>
      </c>
      <c r="AB2140" s="168">
        <f t="array" ref="AB2140">iferror(index(K:K,match($A2140&amp;","&amp;index('Year Conversion'!$A:$A,match($C2140,'Year Conversion'!$B:$B,0)),$Y:$Y,0))-K2140,"")</f>
        <v>-0.3133451513</v>
      </c>
      <c r="AC2140" s="168" t="str">
        <f t="shared" si="7"/>
        <v>WAS,2017-18</v>
      </c>
    </row>
    <row r="2141">
      <c r="A2141" s="161" t="str">
        <f>IFERROR(__xludf.DUMMYFUNCTION("""COMPUTED_VALUE"""),"crowdja01")</f>
        <v>crowdja01</v>
      </c>
      <c r="B2141" s="161" t="str">
        <f>IFERROR(__xludf.DUMMYFUNCTION("""COMPUTED_VALUE"""),"Jae Crowder")</f>
        <v>Jae Crowder</v>
      </c>
      <c r="C2141" s="162" t="str">
        <f>IFERROR(__xludf.DUMMYFUNCTION("""COMPUTED_VALUE"""),"2017-18")</f>
        <v>2017-18</v>
      </c>
      <c r="D2141" s="163" t="str">
        <f>IFERROR(__xludf.DUMMYFUNCTION("""COMPUTED_VALUE"""),"TOT")</f>
        <v>TOT</v>
      </c>
      <c r="E2141" s="164" t="str">
        <f>IFERROR(__xludf.DUMMYFUNCTION("""COMPUTED_VALUE"""),"Stationary Shooter")</f>
        <v>Stationary Shooter</v>
      </c>
      <c r="F2141" s="164">
        <f>IFERROR(__xludf.DUMMYFUNCTION("""COMPUTED_VALUE"""),2089.545)</f>
        <v>2089.545</v>
      </c>
      <c r="G2141" s="163">
        <f>IFERROR(__xludf.DUMMYFUNCTION("""COMPUTED_VALUE"""),80.0)</f>
        <v>80</v>
      </c>
      <c r="H2141" s="163" t="str">
        <f>IFERROR(__xludf.DUMMYFUNCTION("""COMPUTED_VALUE"""),"SF")</f>
        <v>SF</v>
      </c>
      <c r="I2141" s="163">
        <f>IFERROR(__xludf.DUMMYFUNCTION("""COMPUTED_VALUE"""),27.0)</f>
        <v>27</v>
      </c>
      <c r="J2141" s="165">
        <f>IFERROR(__xludf.DUMMYFUNCTION("""COMPUTED_VALUE"""),-0.507562060100861)</f>
        <v>-0.5075620601</v>
      </c>
      <c r="K2141" s="165">
        <f>IFERROR(__xludf.DUMMYFUNCTION("""COMPUTED_VALUE"""),-0.331290881540274)</f>
        <v>-0.3312908815</v>
      </c>
      <c r="L2141" s="165">
        <f>IFERROR(__xludf.DUMMYFUNCTION("""COMPUTED_VALUE"""),-0.176271178560587)</f>
        <v>-0.1762711786</v>
      </c>
      <c r="M2141" s="166">
        <f t="shared" si="2"/>
        <v>2.506609629</v>
      </c>
      <c r="N2141" s="167">
        <f t="shared" si="3"/>
        <v>26.1193125</v>
      </c>
      <c r="O2141" s="163">
        <f t="shared" ref="O2141:Q2141" si="2145">rank(I2141,I:I)</f>
        <v>1366</v>
      </c>
      <c r="P2141" s="163">
        <f t="shared" si="2145"/>
        <v>1867</v>
      </c>
      <c r="Q2141" s="163">
        <f t="shared" si="2145"/>
        <v>1814</v>
      </c>
      <c r="R2141" s="163">
        <f>IFERROR(__xludf.DUMMYFUNCTION("RANK(M2141,filter(M:M,C:C=C2141))"),130.0)</f>
        <v>130</v>
      </c>
      <c r="S2141" s="161" t="b">
        <f t="shared" si="5"/>
        <v>0</v>
      </c>
      <c r="T2141" s="161" t="b">
        <f t="array" ref="T2141">index('Query Tool'!B:B,match(H2141,'Query Tool'!C:C,0))</f>
        <v>1</v>
      </c>
      <c r="U2141" s="161" t="b">
        <f t="array" ref="U2141">index('Query Tool'!B:B,match(C2141,'Query Tool'!C:C,0))</f>
        <v>0</v>
      </c>
      <c r="V2141" s="161" t="b">
        <f>F2141&gt;='Query Tool'!C$32</f>
        <v>1</v>
      </c>
      <c r="W2141" s="161" t="b">
        <f t="array" ref="W2141">index(Dropdowns!B:B,match(I2141,Dropdowns!A:A,0))</f>
        <v>1</v>
      </c>
      <c r="X2141" s="161" t="b">
        <f t="array" ref="X2141">index('Query Tool'!B:B,match(D2141,'Query Tool'!C:C,0))</f>
        <v>1</v>
      </c>
      <c r="Y2141" s="161" t="str">
        <f t="shared" si="6"/>
        <v>crowdja01,2017-18</v>
      </c>
      <c r="Z2141" s="168">
        <f t="array" ref="Z2141">iferror(index(I:I,match($A2141&amp;","&amp;index('Year Conversion'!$A:$A,match($C2141,'Year Conversion'!$B:$B,0)),$Y:$Y,0))-I2141,"")</f>
        <v>1</v>
      </c>
      <c r="AA2141" s="168">
        <f t="array" ref="AA2141">iferror(index(J:J,match($A2141&amp;","&amp;index('Year Conversion'!$A:$A,match($C2141,'Year Conversion'!$B:$B,0)),$Y:$Y,0))-J2141,"")</f>
        <v>1.40134857</v>
      </c>
      <c r="AB2141" s="168">
        <f t="array" ref="AB2141">iferror(index(K:K,match($A2141&amp;","&amp;index('Year Conversion'!$A:$A,match($C2141,'Year Conversion'!$B:$B,0)),$Y:$Y,0))-K2141,"")</f>
        <v>1.073501091</v>
      </c>
      <c r="AC2141" s="168" t="str">
        <f t="shared" si="7"/>
        <v>TOT,2017-18</v>
      </c>
    </row>
    <row r="2142">
      <c r="A2142" s="161" t="str">
        <f>IFERROR(__xludf.DUMMYFUNCTION("""COMPUTED_VALUE"""),"greendr01")</f>
        <v>greendr01</v>
      </c>
      <c r="B2142" s="161" t="str">
        <f>IFERROR(__xludf.DUMMYFUNCTION("""COMPUTED_VALUE"""),"Draymond Green")</f>
        <v>Draymond Green</v>
      </c>
      <c r="C2142" s="162" t="str">
        <f>IFERROR(__xludf.DUMMYFUNCTION("""COMPUTED_VALUE"""),"2017-18")</f>
        <v>2017-18</v>
      </c>
      <c r="D2142" s="163" t="str">
        <f>IFERROR(__xludf.DUMMYFUNCTION("""COMPUTED_VALUE"""),"GSW")</f>
        <v>GSW</v>
      </c>
      <c r="E2142" s="164" t="str">
        <f>IFERROR(__xludf.DUMMYFUNCTION("""COMPUTED_VALUE"""),"Athletic Finisher")</f>
        <v>Athletic Finisher</v>
      </c>
      <c r="F2142" s="164">
        <f>IFERROR(__xludf.DUMMYFUNCTION("""COMPUTED_VALUE"""),2286.85333333333)</f>
        <v>2286.853333</v>
      </c>
      <c r="G2142" s="163">
        <f>IFERROR(__xludf.DUMMYFUNCTION("""COMPUTED_VALUE"""),70.0)</f>
        <v>70</v>
      </c>
      <c r="H2142" s="163" t="str">
        <f>IFERROR(__xludf.DUMMYFUNCTION("""COMPUTED_VALUE"""),"PF")</f>
        <v>PF</v>
      </c>
      <c r="I2142" s="163">
        <f>IFERROR(__xludf.DUMMYFUNCTION("""COMPUTED_VALUE"""),27.0)</f>
        <v>27</v>
      </c>
      <c r="J2142" s="165">
        <f>IFERROR(__xludf.DUMMYFUNCTION("""COMPUTED_VALUE"""),3.17132236266298)</f>
        <v>3.171322363</v>
      </c>
      <c r="K2142" s="165">
        <f>IFERROR(__xludf.DUMMYFUNCTION("""COMPUTED_VALUE"""),0.344496140921562)</f>
        <v>0.3444961409</v>
      </c>
      <c r="L2142" s="165">
        <f>IFERROR(__xludf.DUMMYFUNCTION("""COMPUTED_VALUE"""),2.82682622174142)</f>
        <v>2.826826222</v>
      </c>
      <c r="M2142" s="166">
        <f t="shared" si="2"/>
        <v>8.34783644</v>
      </c>
      <c r="N2142" s="167">
        <f t="shared" si="3"/>
        <v>32.66933333</v>
      </c>
      <c r="O2142" s="163">
        <f t="shared" ref="O2142:Q2142" si="2146">rank(I2142,I:I)</f>
        <v>1366</v>
      </c>
      <c r="P2142" s="163">
        <f t="shared" si="2146"/>
        <v>157</v>
      </c>
      <c r="Q2142" s="163">
        <f t="shared" si="2146"/>
        <v>871</v>
      </c>
      <c r="R2142" s="163">
        <f>IFERROR(__xludf.DUMMYFUNCTION("RANK(M2142,filter(M:M,C:C=C2142))"),21.0)</f>
        <v>21</v>
      </c>
      <c r="S2142" s="161" t="b">
        <f t="shared" si="5"/>
        <v>0</v>
      </c>
      <c r="T2142" s="161" t="b">
        <f t="array" ref="T2142">index('Query Tool'!B:B,match(H2142,'Query Tool'!C:C,0))</f>
        <v>1</v>
      </c>
      <c r="U2142" s="161" t="b">
        <f t="array" ref="U2142">index('Query Tool'!B:B,match(C2142,'Query Tool'!C:C,0))</f>
        <v>0</v>
      </c>
      <c r="V2142" s="161" t="b">
        <f>F2142&gt;='Query Tool'!C$32</f>
        <v>1</v>
      </c>
      <c r="W2142" s="161" t="b">
        <f t="array" ref="W2142">index(Dropdowns!B:B,match(I2142,Dropdowns!A:A,0))</f>
        <v>1</v>
      </c>
      <c r="X2142" s="161" t="b">
        <f t="array" ref="X2142">index('Query Tool'!B:B,match(D2142,'Query Tool'!C:C,0))</f>
        <v>1</v>
      </c>
      <c r="Y2142" s="161" t="str">
        <f t="shared" si="6"/>
        <v>greendr01,2017-18</v>
      </c>
      <c r="Z2142" s="168">
        <f t="array" ref="Z2142">iferror(index(I:I,match($A2142&amp;","&amp;index('Year Conversion'!$A:$A,match($C2142,'Year Conversion'!$B:$B,0)),$Y:$Y,0))-I2142,"")</f>
        <v>1</v>
      </c>
      <c r="AA2142" s="168">
        <f t="array" ref="AA2142">iferror(index(J:J,match($A2142&amp;","&amp;index('Year Conversion'!$A:$A,match($C2142,'Year Conversion'!$B:$B,0)),$Y:$Y,0))-J2142,"")</f>
        <v>-1.115386492</v>
      </c>
      <c r="AB2142" s="168">
        <f t="array" ref="AB2142">iferror(index(K:K,match($A2142&amp;","&amp;index('Year Conversion'!$A:$A,match($C2142,'Year Conversion'!$B:$B,0)),$Y:$Y,0))-K2142,"")</f>
        <v>-0.9258971759</v>
      </c>
      <c r="AC2142" s="168" t="str">
        <f t="shared" si="7"/>
        <v>GSW,2017-18</v>
      </c>
    </row>
    <row r="2143">
      <c r="A2143" s="161" t="str">
        <f>IFERROR(__xludf.DUMMYFUNCTION("""COMPUTED_VALUE"""),"acyqu01")</f>
        <v>acyqu01</v>
      </c>
      <c r="B2143" s="161" t="str">
        <f>IFERROR(__xludf.DUMMYFUNCTION("""COMPUTED_VALUE"""),"Quincy Acy")</f>
        <v>Quincy Acy</v>
      </c>
      <c r="C2143" s="162" t="str">
        <f>IFERROR(__xludf.DUMMYFUNCTION("""COMPUTED_VALUE"""),"2017-18")</f>
        <v>2017-18</v>
      </c>
      <c r="D2143" s="163" t="str">
        <f>IFERROR(__xludf.DUMMYFUNCTION("""COMPUTED_VALUE"""),"BRK")</f>
        <v>BRK</v>
      </c>
      <c r="E2143" s="164" t="str">
        <f>IFERROR(__xludf.DUMMYFUNCTION("""COMPUTED_VALUE"""),"Stretch Big")</f>
        <v>Stretch Big</v>
      </c>
      <c r="F2143" s="164">
        <f>IFERROR(__xludf.DUMMYFUNCTION("""COMPUTED_VALUE"""),1359.22166666667)</f>
        <v>1359.221667</v>
      </c>
      <c r="G2143" s="163">
        <f>IFERROR(__xludf.DUMMYFUNCTION("""COMPUTED_VALUE"""),70.0)</f>
        <v>70</v>
      </c>
      <c r="H2143" s="163" t="str">
        <f>IFERROR(__xludf.DUMMYFUNCTION("""COMPUTED_VALUE"""),"PF")</f>
        <v>PF</v>
      </c>
      <c r="I2143" s="163">
        <f>IFERROR(__xludf.DUMMYFUNCTION("""COMPUTED_VALUE"""),27.0)</f>
        <v>27</v>
      </c>
      <c r="J2143" s="165">
        <f>IFERROR(__xludf.DUMMYFUNCTION("""COMPUTED_VALUE"""),-0.735492623120325)</f>
        <v>-0.7354926231</v>
      </c>
      <c r="K2143" s="165">
        <f>IFERROR(__xludf.DUMMYFUNCTION("""COMPUTED_VALUE"""),-1.38503860207968)</f>
        <v>-1.385038602</v>
      </c>
      <c r="L2143" s="165">
        <f>IFERROR(__xludf.DUMMYFUNCTION("""COMPUTED_VALUE"""),0.649545978959356)</f>
        <v>0.649545979</v>
      </c>
      <c r="M2143" s="166">
        <f t="shared" si="2"/>
        <v>1.421986886</v>
      </c>
      <c r="N2143" s="167">
        <f t="shared" si="3"/>
        <v>19.41745238</v>
      </c>
      <c r="O2143" s="163">
        <f t="shared" ref="O2143:Q2143" si="2147">rank(I2143,I:I)</f>
        <v>1366</v>
      </c>
      <c r="P2143" s="163">
        <f t="shared" si="2147"/>
        <v>2192</v>
      </c>
      <c r="Q2143" s="163">
        <f t="shared" si="2147"/>
        <v>3235</v>
      </c>
      <c r="R2143" s="163">
        <f>IFERROR(__xludf.DUMMYFUNCTION("RANK(M2143,filter(M:M,C:C=C2143))"),193.0)</f>
        <v>193</v>
      </c>
      <c r="S2143" s="161" t="b">
        <f t="shared" si="5"/>
        <v>0</v>
      </c>
      <c r="T2143" s="161" t="b">
        <f t="array" ref="T2143">index('Query Tool'!B:B,match(H2143,'Query Tool'!C:C,0))</f>
        <v>1</v>
      </c>
      <c r="U2143" s="161" t="b">
        <f t="array" ref="U2143">index('Query Tool'!B:B,match(C2143,'Query Tool'!C:C,0))</f>
        <v>0</v>
      </c>
      <c r="V2143" s="161" t="b">
        <f>F2143&gt;='Query Tool'!C$32</f>
        <v>1</v>
      </c>
      <c r="W2143" s="161" t="b">
        <f t="array" ref="W2143">index(Dropdowns!B:B,match(I2143,Dropdowns!A:A,0))</f>
        <v>1</v>
      </c>
      <c r="X2143" s="161" t="b">
        <f t="array" ref="X2143">index('Query Tool'!B:B,match(D2143,'Query Tool'!C:C,0))</f>
        <v>1</v>
      </c>
      <c r="Y2143" s="161" t="str">
        <f t="shared" si="6"/>
        <v>acyqu01,2017-18</v>
      </c>
      <c r="Z2143" s="168">
        <f t="array" ref="Z2143">iferror(index(I:I,match($A2143&amp;","&amp;index('Year Conversion'!$A:$A,match($C2143,'Year Conversion'!$B:$B,0)),$Y:$Y,0))-I2143,"")</f>
        <v>1</v>
      </c>
      <c r="AA2143" s="168">
        <f t="array" ref="AA2143">iferror(index(J:J,match($A2143&amp;","&amp;index('Year Conversion'!$A:$A,match($C2143,'Year Conversion'!$B:$B,0)),$Y:$Y,0))-J2143,"")</f>
        <v>0.565846162</v>
      </c>
      <c r="AB2143" s="168">
        <f t="array" ref="AB2143">iferror(index(K:K,match($A2143&amp;","&amp;index('Year Conversion'!$A:$A,match($C2143,'Year Conversion'!$B:$B,0)),$Y:$Y,0))-K2143,"")</f>
        <v>0.725875924</v>
      </c>
      <c r="AC2143" s="168" t="str">
        <f t="shared" si="7"/>
        <v>BRK,2017-18</v>
      </c>
    </row>
    <row r="2144">
      <c r="A2144" s="161" t="str">
        <f>IFERROR(__xludf.DUMMYFUNCTION("""COMPUTED_VALUE"""),"middlkh01")</f>
        <v>middlkh01</v>
      </c>
      <c r="B2144" s="161" t="str">
        <f>IFERROR(__xludf.DUMMYFUNCTION("""COMPUTED_VALUE"""),"Khris Middleton")</f>
        <v>Khris Middleton</v>
      </c>
      <c r="C2144" s="162" t="str">
        <f>IFERROR(__xludf.DUMMYFUNCTION("""COMPUTED_VALUE"""),"2017-18")</f>
        <v>2017-18</v>
      </c>
      <c r="D2144" s="163" t="str">
        <f>IFERROR(__xludf.DUMMYFUNCTION("""COMPUTED_VALUE"""),"MIL")</f>
        <v>MIL</v>
      </c>
      <c r="E2144" s="164" t="str">
        <f>IFERROR(__xludf.DUMMYFUNCTION("""COMPUTED_VALUE"""),"Shot Creator")</f>
        <v>Shot Creator</v>
      </c>
      <c r="F2144" s="164">
        <f>IFERROR(__xludf.DUMMYFUNCTION("""COMPUTED_VALUE"""),2981.965)</f>
        <v>2981.965</v>
      </c>
      <c r="G2144" s="163">
        <f>IFERROR(__xludf.DUMMYFUNCTION("""COMPUTED_VALUE"""),82.0)</f>
        <v>82</v>
      </c>
      <c r="H2144" s="163" t="str">
        <f>IFERROR(__xludf.DUMMYFUNCTION("""COMPUTED_VALUE"""),"SF")</f>
        <v>SF</v>
      </c>
      <c r="I2144" s="163">
        <f>IFERROR(__xludf.DUMMYFUNCTION("""COMPUTED_VALUE"""),26.0)</f>
        <v>26</v>
      </c>
      <c r="J2144" s="165">
        <f>IFERROR(__xludf.DUMMYFUNCTION("""COMPUTED_VALUE"""),2.01499803239835)</f>
        <v>2.014998032</v>
      </c>
      <c r="K2144" s="165">
        <f>IFERROR(__xludf.DUMMYFUNCTION("""COMPUTED_VALUE"""),2.0758855720982)</f>
        <v>2.075885572</v>
      </c>
      <c r="L2144" s="165">
        <f>IFERROR(__xludf.DUMMYFUNCTION("""COMPUTED_VALUE"""),-0.0608875396998563)</f>
        <v>-0.0608875397</v>
      </c>
      <c r="M2144" s="166">
        <f t="shared" si="2"/>
        <v>8.625473357</v>
      </c>
      <c r="N2144" s="167">
        <f t="shared" si="3"/>
        <v>36.36542683</v>
      </c>
      <c r="O2144" s="163">
        <f t="shared" ref="O2144:Q2144" si="2148">rank(I2144,I:I)</f>
        <v>1665</v>
      </c>
      <c r="P2144" s="163">
        <f t="shared" si="2148"/>
        <v>321</v>
      </c>
      <c r="Q2144" s="163">
        <f t="shared" si="2148"/>
        <v>218</v>
      </c>
      <c r="R2144" s="163">
        <f>IFERROR(__xludf.DUMMYFUNCTION("RANK(M2144,filter(M:M,C:C=C2144))"),20.0)</f>
        <v>20</v>
      </c>
      <c r="S2144" s="161" t="b">
        <f t="shared" si="5"/>
        <v>0</v>
      </c>
      <c r="T2144" s="161" t="b">
        <f t="array" ref="T2144">index('Query Tool'!B:B,match(H2144,'Query Tool'!C:C,0))</f>
        <v>1</v>
      </c>
      <c r="U2144" s="161" t="b">
        <f t="array" ref="U2144">index('Query Tool'!B:B,match(C2144,'Query Tool'!C:C,0))</f>
        <v>0</v>
      </c>
      <c r="V2144" s="161" t="b">
        <f>F2144&gt;='Query Tool'!C$32</f>
        <v>1</v>
      </c>
      <c r="W2144" s="161" t="b">
        <f t="array" ref="W2144">index(Dropdowns!B:B,match(I2144,Dropdowns!A:A,0))</f>
        <v>1</v>
      </c>
      <c r="X2144" s="161" t="b">
        <f t="array" ref="X2144">index('Query Tool'!B:B,match(D2144,'Query Tool'!C:C,0))</f>
        <v>1</v>
      </c>
      <c r="Y2144" s="161" t="str">
        <f t="shared" si="6"/>
        <v>middlkh01,2017-18</v>
      </c>
      <c r="Z2144" s="168">
        <f t="array" ref="Z2144">iferror(index(I:I,match($A2144&amp;","&amp;index('Year Conversion'!$A:$A,match($C2144,'Year Conversion'!$B:$B,0)),$Y:$Y,0))-I2144,"")</f>
        <v>1</v>
      </c>
      <c r="AA2144" s="168">
        <f t="array" ref="AA2144">iferror(index(J:J,match($A2144&amp;","&amp;index('Year Conversion'!$A:$A,match($C2144,'Year Conversion'!$B:$B,0)),$Y:$Y,0))-J2144,"")</f>
        <v>-0.5767450775</v>
      </c>
      <c r="AB2144" s="168">
        <f t="array" ref="AB2144">iferror(index(K:K,match($A2144&amp;","&amp;index('Year Conversion'!$A:$A,match($C2144,'Year Conversion'!$B:$B,0)),$Y:$Y,0))-K2144,"")</f>
        <v>-1.098881048</v>
      </c>
      <c r="AC2144" s="168" t="str">
        <f t="shared" si="7"/>
        <v>MIL,2017-18</v>
      </c>
    </row>
    <row r="2145">
      <c r="A2145" s="161" t="str">
        <f>IFERROR(__xludf.DUMMYFUNCTION("""COMPUTED_VALUE"""),"bartowi01")</f>
        <v>bartowi01</v>
      </c>
      <c r="B2145" s="161" t="str">
        <f>IFERROR(__xludf.DUMMYFUNCTION("""COMPUTED_VALUE"""),"Will Barton")</f>
        <v>Will Barton</v>
      </c>
      <c r="C2145" s="162" t="str">
        <f>IFERROR(__xludf.DUMMYFUNCTION("""COMPUTED_VALUE"""),"2017-18")</f>
        <v>2017-18</v>
      </c>
      <c r="D2145" s="163" t="str">
        <f>IFERROR(__xludf.DUMMYFUNCTION("""COMPUTED_VALUE"""),"DEN")</f>
        <v>DEN</v>
      </c>
      <c r="E2145" s="164" t="str">
        <f>IFERROR(__xludf.DUMMYFUNCTION("""COMPUTED_VALUE"""),"Primary Ball Handler")</f>
        <v>Primary Ball Handler</v>
      </c>
      <c r="F2145" s="164">
        <f>IFERROR(__xludf.DUMMYFUNCTION("""COMPUTED_VALUE"""),2682.90166666667)</f>
        <v>2682.901667</v>
      </c>
      <c r="G2145" s="163">
        <f>IFERROR(__xludf.DUMMYFUNCTION("""COMPUTED_VALUE"""),81.0)</f>
        <v>81</v>
      </c>
      <c r="H2145" s="163" t="str">
        <f>IFERROR(__xludf.DUMMYFUNCTION("""COMPUTED_VALUE"""),"SG")</f>
        <v>SG</v>
      </c>
      <c r="I2145" s="163">
        <f>IFERROR(__xludf.DUMMYFUNCTION("""COMPUTED_VALUE"""),27.0)</f>
        <v>27</v>
      </c>
      <c r="J2145" s="165">
        <f>IFERROR(__xludf.DUMMYFUNCTION("""COMPUTED_VALUE"""),-0.293610289649536)</f>
        <v>-0.2936102896</v>
      </c>
      <c r="K2145" s="165">
        <f>IFERROR(__xludf.DUMMYFUNCTION("""COMPUTED_VALUE"""),1.05682402858955)</f>
        <v>1.056824029</v>
      </c>
      <c r="L2145" s="165">
        <f>IFERROR(__xludf.DUMMYFUNCTION("""COMPUTED_VALUE"""),-1.35043431823908)</f>
        <v>-1.350434318</v>
      </c>
      <c r="M2145" s="166">
        <f t="shared" si="2"/>
        <v>3.605125779</v>
      </c>
      <c r="N2145" s="167">
        <f t="shared" si="3"/>
        <v>33.1222428</v>
      </c>
      <c r="O2145" s="163">
        <f t="shared" ref="O2145:Q2145" si="2149">rank(I2145,I:I)</f>
        <v>1366</v>
      </c>
      <c r="P2145" s="163">
        <f t="shared" si="2149"/>
        <v>1602</v>
      </c>
      <c r="Q2145" s="163">
        <f t="shared" si="2149"/>
        <v>473</v>
      </c>
      <c r="R2145" s="163">
        <f>IFERROR(__xludf.DUMMYFUNCTION("RANK(M2145,filter(M:M,C:C=C2145))"),98.0)</f>
        <v>98</v>
      </c>
      <c r="S2145" s="161" t="b">
        <f t="shared" si="5"/>
        <v>0</v>
      </c>
      <c r="T2145" s="161" t="b">
        <f t="array" ref="T2145">index('Query Tool'!B:B,match(H2145,'Query Tool'!C:C,0))</f>
        <v>1</v>
      </c>
      <c r="U2145" s="161" t="b">
        <f t="array" ref="U2145">index('Query Tool'!B:B,match(C2145,'Query Tool'!C:C,0))</f>
        <v>0</v>
      </c>
      <c r="V2145" s="161" t="b">
        <f>F2145&gt;='Query Tool'!C$32</f>
        <v>1</v>
      </c>
      <c r="W2145" s="161" t="b">
        <f t="array" ref="W2145">index(Dropdowns!B:B,match(I2145,Dropdowns!A:A,0))</f>
        <v>1</v>
      </c>
      <c r="X2145" s="161" t="b">
        <f t="array" ref="X2145">index('Query Tool'!B:B,match(D2145,'Query Tool'!C:C,0))</f>
        <v>1</v>
      </c>
      <c r="Y2145" s="161" t="str">
        <f t="shared" si="6"/>
        <v>bartowi01,2017-18</v>
      </c>
      <c r="Z2145" s="168">
        <f t="array" ref="Z2145">iferror(index(I:I,match($A2145&amp;","&amp;index('Year Conversion'!$A:$A,match($C2145,'Year Conversion'!$B:$B,0)),$Y:$Y,0))-I2145,"")</f>
        <v>1</v>
      </c>
      <c r="AA2145" s="168">
        <f t="array" ref="AA2145">iferror(index(J:J,match($A2145&amp;","&amp;index('Year Conversion'!$A:$A,match($C2145,'Year Conversion'!$B:$B,0)),$Y:$Y,0))-J2145,"")</f>
        <v>-1.326583229</v>
      </c>
      <c r="AB2145" s="168">
        <f t="array" ref="AB2145">iferror(index(K:K,match($A2145&amp;","&amp;index('Year Conversion'!$A:$A,match($C2145,'Year Conversion'!$B:$B,0)),$Y:$Y,0))-K2145,"")</f>
        <v>-1.943530515</v>
      </c>
      <c r="AC2145" s="168" t="str">
        <f t="shared" si="7"/>
        <v>DEN,2017-18</v>
      </c>
    </row>
    <row r="2146">
      <c r="A2146" s="161" t="str">
        <f>IFERROR(__xludf.DUMMYFUNCTION("""COMPUTED_VALUE"""),"scottmi01")</f>
        <v>scottmi01</v>
      </c>
      <c r="B2146" s="161" t="str">
        <f>IFERROR(__xludf.DUMMYFUNCTION("""COMPUTED_VALUE"""),"Mike Scott")</f>
        <v>Mike Scott</v>
      </c>
      <c r="C2146" s="162" t="str">
        <f>IFERROR(__xludf.DUMMYFUNCTION("""COMPUTED_VALUE"""),"2017-18")</f>
        <v>2017-18</v>
      </c>
      <c r="D2146" s="163" t="str">
        <f>IFERROR(__xludf.DUMMYFUNCTION("""COMPUTED_VALUE"""),"WAS")</f>
        <v>WAS</v>
      </c>
      <c r="E2146" s="164" t="str">
        <f>IFERROR(__xludf.DUMMYFUNCTION("""COMPUTED_VALUE"""),"Stretch Big")</f>
        <v>Stretch Big</v>
      </c>
      <c r="F2146" s="164">
        <f>IFERROR(__xludf.DUMMYFUNCTION("""COMPUTED_VALUE"""),1406.315)</f>
        <v>1406.315</v>
      </c>
      <c r="G2146" s="163">
        <f>IFERROR(__xludf.DUMMYFUNCTION("""COMPUTED_VALUE"""),76.0)</f>
        <v>76</v>
      </c>
      <c r="H2146" s="163" t="str">
        <f>IFERROR(__xludf.DUMMYFUNCTION("""COMPUTED_VALUE"""),"PF")</f>
        <v>PF</v>
      </c>
      <c r="I2146" s="163">
        <f>IFERROR(__xludf.DUMMYFUNCTION("""COMPUTED_VALUE"""),29.0)</f>
        <v>29</v>
      </c>
      <c r="J2146" s="165">
        <f>IFERROR(__xludf.DUMMYFUNCTION("""COMPUTED_VALUE"""),-1.97235913223744)</f>
        <v>-1.972359132</v>
      </c>
      <c r="K2146" s="165">
        <f>IFERROR(__xludf.DUMMYFUNCTION("""COMPUTED_VALUE"""),-0.685946602262419)</f>
        <v>-0.6859466023</v>
      </c>
      <c r="L2146" s="165">
        <f>IFERROR(__xludf.DUMMYFUNCTION("""COMPUTED_VALUE"""),-1.28641252997502)</f>
        <v>-1.28641253</v>
      </c>
      <c r="M2146" s="166">
        <f t="shared" si="2"/>
        <v>0.3080704932</v>
      </c>
      <c r="N2146" s="167">
        <f t="shared" si="3"/>
        <v>18.50414474</v>
      </c>
      <c r="O2146" s="163">
        <f t="shared" ref="O2146:Q2146" si="2150">rank(I2146,I:I)</f>
        <v>855</v>
      </c>
      <c r="P2146" s="163">
        <f t="shared" si="2150"/>
        <v>3459</v>
      </c>
      <c r="Q2146" s="163">
        <f t="shared" si="2150"/>
        <v>2395</v>
      </c>
      <c r="R2146" s="163">
        <f>IFERROR(__xludf.DUMMYFUNCTION("RANK(M2146,filter(M:M,C:C=C2146))"),321.0)</f>
        <v>321</v>
      </c>
      <c r="S2146" s="161" t="b">
        <f t="shared" si="5"/>
        <v>0</v>
      </c>
      <c r="T2146" s="161" t="b">
        <f t="array" ref="T2146">index('Query Tool'!B:B,match(H2146,'Query Tool'!C:C,0))</f>
        <v>1</v>
      </c>
      <c r="U2146" s="161" t="b">
        <f t="array" ref="U2146">index('Query Tool'!B:B,match(C2146,'Query Tool'!C:C,0))</f>
        <v>0</v>
      </c>
      <c r="V2146" s="161" t="b">
        <f>F2146&gt;='Query Tool'!C$32</f>
        <v>1</v>
      </c>
      <c r="W2146" s="161" t="b">
        <f t="array" ref="W2146">index(Dropdowns!B:B,match(I2146,Dropdowns!A:A,0))</f>
        <v>1</v>
      </c>
      <c r="X2146" s="161" t="b">
        <f t="array" ref="X2146">index('Query Tool'!B:B,match(D2146,'Query Tool'!C:C,0))</f>
        <v>1</v>
      </c>
      <c r="Y2146" s="161" t="str">
        <f t="shared" si="6"/>
        <v>scottmi01,2017-18</v>
      </c>
      <c r="Z2146" s="168">
        <f t="array" ref="Z2146">iferror(index(I:I,match($A2146&amp;","&amp;index('Year Conversion'!$A:$A,match($C2146,'Year Conversion'!$B:$B,0)),$Y:$Y,0))-I2146,"")</f>
        <v>1</v>
      </c>
      <c r="AA2146" s="168">
        <f t="array" ref="AA2146">iferror(index(J:J,match($A2146&amp;","&amp;index('Year Conversion'!$A:$A,match($C2146,'Year Conversion'!$B:$B,0)),$Y:$Y,0))-J2146,"")</f>
        <v>-1.143711319</v>
      </c>
      <c r="AB2146" s="168">
        <f t="array" ref="AB2146">iferror(index(K:K,match($A2146&amp;","&amp;index('Year Conversion'!$A:$A,match($C2146,'Year Conversion'!$B:$B,0)),$Y:$Y,0))-K2146,"")</f>
        <v>-1.276826497</v>
      </c>
      <c r="AC2146" s="168" t="str">
        <f t="shared" si="7"/>
        <v>WAS,2017-18</v>
      </c>
    </row>
    <row r="2147">
      <c r="A2147" s="161" t="str">
        <f>IFERROR(__xludf.DUMMYFUNCTION("""COMPUTED_VALUE"""),"milleda01")</f>
        <v>milleda01</v>
      </c>
      <c r="B2147" s="161" t="str">
        <f>IFERROR(__xludf.DUMMYFUNCTION("""COMPUTED_VALUE"""),"Darius Miller")</f>
        <v>Darius Miller</v>
      </c>
      <c r="C2147" s="162" t="str">
        <f>IFERROR(__xludf.DUMMYFUNCTION("""COMPUTED_VALUE"""),"2017-18")</f>
        <v>2017-18</v>
      </c>
      <c r="D2147" s="163" t="str">
        <f>IFERROR(__xludf.DUMMYFUNCTION("""COMPUTED_VALUE"""),"NOP")</f>
        <v>NOP</v>
      </c>
      <c r="E2147" s="164" t="str">
        <f>IFERROR(__xludf.DUMMYFUNCTION("""COMPUTED_VALUE"""),"Off Screen Shooter")</f>
        <v>Off Screen Shooter</v>
      </c>
      <c r="F2147" s="164">
        <f>IFERROR(__xludf.DUMMYFUNCTION("""COMPUTED_VALUE"""),1944.44)</f>
        <v>1944.44</v>
      </c>
      <c r="G2147" s="163">
        <f>IFERROR(__xludf.DUMMYFUNCTION("""COMPUTED_VALUE"""),82.0)</f>
        <v>82</v>
      </c>
      <c r="H2147" s="163" t="str">
        <f>IFERROR(__xludf.DUMMYFUNCTION("""COMPUTED_VALUE"""),"SF")</f>
        <v>SF</v>
      </c>
      <c r="I2147" s="163">
        <f>IFERROR(__xludf.DUMMYFUNCTION("""COMPUTED_VALUE"""),27.0)</f>
        <v>27</v>
      </c>
      <c r="J2147" s="165">
        <f>IFERROR(__xludf.DUMMYFUNCTION("""COMPUTED_VALUE"""),-2.72334486510544)</f>
        <v>-2.723344865</v>
      </c>
      <c r="K2147" s="165">
        <f>IFERROR(__xludf.DUMMYFUNCTION("""COMPUTED_VALUE"""),-0.229758029216943)</f>
        <v>-0.2297580292</v>
      </c>
      <c r="L2147" s="165">
        <f>IFERROR(__xludf.DUMMYFUNCTION("""COMPUTED_VALUE"""),-2.4935868358885)</f>
        <v>-2.493586836</v>
      </c>
      <c r="M2147" s="166">
        <f t="shared" si="2"/>
        <v>-0.5360788029</v>
      </c>
      <c r="N2147" s="167">
        <f t="shared" si="3"/>
        <v>23.71268293</v>
      </c>
      <c r="O2147" s="163">
        <f t="shared" ref="O2147:Q2147" si="2151">rank(I2147,I:I)</f>
        <v>1366</v>
      </c>
      <c r="P2147" s="163">
        <f t="shared" si="2151"/>
        <v>3817</v>
      </c>
      <c r="Q2147" s="163">
        <f t="shared" si="2151"/>
        <v>1623</v>
      </c>
      <c r="R2147" s="163">
        <f>IFERROR(__xludf.DUMMYFUNCTION("RANK(M2147,filter(M:M,C:C=C2147))"),526.0)</f>
        <v>526</v>
      </c>
      <c r="S2147" s="161" t="b">
        <f t="shared" si="5"/>
        <v>0</v>
      </c>
      <c r="T2147" s="161" t="b">
        <f t="array" ref="T2147">index('Query Tool'!B:B,match(H2147,'Query Tool'!C:C,0))</f>
        <v>1</v>
      </c>
      <c r="U2147" s="161" t="b">
        <f t="array" ref="U2147">index('Query Tool'!B:B,match(C2147,'Query Tool'!C:C,0))</f>
        <v>0</v>
      </c>
      <c r="V2147" s="161" t="b">
        <f>F2147&gt;='Query Tool'!C$32</f>
        <v>1</v>
      </c>
      <c r="W2147" s="161" t="b">
        <f t="array" ref="W2147">index(Dropdowns!B:B,match(I2147,Dropdowns!A:A,0))</f>
        <v>1</v>
      </c>
      <c r="X2147" s="161" t="b">
        <f t="array" ref="X2147">index('Query Tool'!B:B,match(D2147,'Query Tool'!C:C,0))</f>
        <v>1</v>
      </c>
      <c r="Y2147" s="161" t="str">
        <f t="shared" si="6"/>
        <v>milleda01,2017-18</v>
      </c>
      <c r="Z2147" s="168">
        <f t="array" ref="Z2147">iferror(index(I:I,match($A2147&amp;","&amp;index('Year Conversion'!$A:$A,match($C2147,'Year Conversion'!$B:$B,0)),$Y:$Y,0))-I2147,"")</f>
        <v>1</v>
      </c>
      <c r="AA2147" s="168">
        <f t="array" ref="AA2147">iferror(index(J:J,match($A2147&amp;","&amp;index('Year Conversion'!$A:$A,match($C2147,'Year Conversion'!$B:$B,0)),$Y:$Y,0))-J2147,"")</f>
        <v>0.7102980912</v>
      </c>
      <c r="AB2147" s="168">
        <f t="array" ref="AB2147">iferror(index(K:K,match($A2147&amp;","&amp;index('Year Conversion'!$A:$A,match($C2147,'Year Conversion'!$B:$B,0)),$Y:$Y,0))-K2147,"")</f>
        <v>-0.3267005893</v>
      </c>
      <c r="AC2147" s="168" t="str">
        <f t="shared" si="7"/>
        <v>NOP,2017-18</v>
      </c>
    </row>
    <row r="2148">
      <c r="A2148" s="161" t="str">
        <f>IFERROR(__xludf.DUMMYFUNCTION("""COMPUTED_VALUE"""),"oquinky01")</f>
        <v>oquinky01</v>
      </c>
      <c r="B2148" s="161" t="str">
        <f>IFERROR(__xludf.DUMMYFUNCTION("""COMPUTED_VALUE"""),"Kyle O'Quinn")</f>
        <v>Kyle O'Quinn</v>
      </c>
      <c r="C2148" s="162" t="str">
        <f>IFERROR(__xludf.DUMMYFUNCTION("""COMPUTED_VALUE"""),"2017-18")</f>
        <v>2017-18</v>
      </c>
      <c r="D2148" s="163" t="str">
        <f>IFERROR(__xludf.DUMMYFUNCTION("""COMPUTED_VALUE"""),"NYK")</f>
        <v>NYK</v>
      </c>
      <c r="E2148" s="164" t="str">
        <f>IFERROR(__xludf.DUMMYFUNCTION("""COMPUTED_VALUE"""),"Roll + Cut Big")</f>
        <v>Roll + Cut Big</v>
      </c>
      <c r="F2148" s="164">
        <f>IFERROR(__xludf.DUMMYFUNCTION("""COMPUTED_VALUE"""),1386.595)</f>
        <v>1386.595</v>
      </c>
      <c r="G2148" s="163">
        <f>IFERROR(__xludf.DUMMYFUNCTION("""COMPUTED_VALUE"""),77.0)</f>
        <v>77</v>
      </c>
      <c r="H2148" s="163" t="str">
        <f>IFERROR(__xludf.DUMMYFUNCTION("""COMPUTED_VALUE"""),"C")</f>
        <v>C</v>
      </c>
      <c r="I2148" s="163">
        <f>IFERROR(__xludf.DUMMYFUNCTION("""COMPUTED_VALUE"""),27.0)</f>
        <v>27</v>
      </c>
      <c r="J2148" s="165">
        <f>IFERROR(__xludf.DUMMYFUNCTION("""COMPUTED_VALUE"""),2.02739347114818)</f>
        <v>2.027393471</v>
      </c>
      <c r="K2148" s="165">
        <f>IFERROR(__xludf.DUMMYFUNCTION("""COMPUTED_VALUE"""),0.249389456912571)</f>
        <v>0.2493894569</v>
      </c>
      <c r="L2148" s="165">
        <f>IFERROR(__xludf.DUMMYFUNCTION("""COMPUTED_VALUE"""),1.7780040142356)</f>
        <v>1.778004014</v>
      </c>
      <c r="M2148" s="166">
        <f t="shared" si="2"/>
        <v>4.022183483</v>
      </c>
      <c r="N2148" s="167">
        <f t="shared" si="3"/>
        <v>18.00772727</v>
      </c>
      <c r="O2148" s="163">
        <f t="shared" ref="O2148:Q2148" si="2152">rank(I2148,I:I)</f>
        <v>1366</v>
      </c>
      <c r="P2148" s="163">
        <f t="shared" si="2152"/>
        <v>317</v>
      </c>
      <c r="Q2148" s="163">
        <f t="shared" si="2152"/>
        <v>948</v>
      </c>
      <c r="R2148" s="163">
        <f>IFERROR(__xludf.DUMMYFUNCTION("RANK(M2148,filter(M:M,C:C=C2148))"),85.0)</f>
        <v>85</v>
      </c>
      <c r="S2148" s="161" t="b">
        <f t="shared" si="5"/>
        <v>0</v>
      </c>
      <c r="T2148" s="161" t="b">
        <f t="array" ref="T2148">index('Query Tool'!B:B,match(H2148,'Query Tool'!C:C,0))</f>
        <v>1</v>
      </c>
      <c r="U2148" s="161" t="b">
        <f t="array" ref="U2148">index('Query Tool'!B:B,match(C2148,'Query Tool'!C:C,0))</f>
        <v>0</v>
      </c>
      <c r="V2148" s="161" t="b">
        <f>F2148&gt;='Query Tool'!C$32</f>
        <v>1</v>
      </c>
      <c r="W2148" s="161" t="b">
        <f t="array" ref="W2148">index(Dropdowns!B:B,match(I2148,Dropdowns!A:A,0))</f>
        <v>1</v>
      </c>
      <c r="X2148" s="161" t="b">
        <f t="array" ref="X2148">index('Query Tool'!B:B,match(D2148,'Query Tool'!C:C,0))</f>
        <v>1</v>
      </c>
      <c r="Y2148" s="161" t="str">
        <f t="shared" si="6"/>
        <v>oquinky01,2017-18</v>
      </c>
      <c r="Z2148" s="168">
        <f t="array" ref="Z2148">iferror(index(I:I,match($A2148&amp;","&amp;index('Year Conversion'!$A:$A,match($C2148,'Year Conversion'!$B:$B,0)),$Y:$Y,0))-I2148,"")</f>
        <v>1</v>
      </c>
      <c r="AA2148" s="168">
        <f t="array" ref="AA2148">iferror(index(J:J,match($A2148&amp;","&amp;index('Year Conversion'!$A:$A,match($C2148,'Year Conversion'!$B:$B,0)),$Y:$Y,0))-J2148,"")</f>
        <v>-1.769973669</v>
      </c>
      <c r="AB2148" s="168">
        <f t="array" ref="AB2148">iferror(index(K:K,match($A2148&amp;","&amp;index('Year Conversion'!$A:$A,match($C2148,'Year Conversion'!$B:$B,0)),$Y:$Y,0))-K2148,"")</f>
        <v>-0.9261954583</v>
      </c>
      <c r="AC2148" s="168" t="str">
        <f t="shared" si="7"/>
        <v>NYK,2017-18</v>
      </c>
    </row>
    <row r="2149">
      <c r="A2149" s="161" t="str">
        <f>IFERROR(__xludf.DUMMYFUNCTION("""COMPUTED_VALUE"""),"teletmi01")</f>
        <v>teletmi01</v>
      </c>
      <c r="B2149" s="161" t="str">
        <f>IFERROR(__xludf.DUMMYFUNCTION("""COMPUTED_VALUE"""),"Mirza Teletovic")</f>
        <v>Mirza Teletovic</v>
      </c>
      <c r="C2149" s="162" t="str">
        <f>IFERROR(__xludf.DUMMYFUNCTION("""COMPUTED_VALUE"""),"2017-18")</f>
        <v>2017-18</v>
      </c>
      <c r="D2149" s="163" t="str">
        <f>IFERROR(__xludf.DUMMYFUNCTION("""COMPUTED_VALUE"""),"MIL")</f>
        <v>MIL</v>
      </c>
      <c r="E2149" s="164" t="str">
        <f>IFERROR(__xludf.DUMMYFUNCTION("""COMPUTED_VALUE"""),"Movement Shooter")</f>
        <v>Movement Shooter</v>
      </c>
      <c r="F2149" s="164">
        <f>IFERROR(__xludf.DUMMYFUNCTION("""COMPUTED_VALUE"""),159.163333333333)</f>
        <v>159.1633333</v>
      </c>
      <c r="G2149" s="163">
        <f>IFERROR(__xludf.DUMMYFUNCTION("""COMPUTED_VALUE"""),10.0)</f>
        <v>10</v>
      </c>
      <c r="H2149" s="163" t="str">
        <f>IFERROR(__xludf.DUMMYFUNCTION("""COMPUTED_VALUE"""),"PF")</f>
        <v>PF</v>
      </c>
      <c r="I2149" s="163">
        <f>IFERROR(__xludf.DUMMYFUNCTION("""COMPUTED_VALUE"""),32.0)</f>
        <v>32</v>
      </c>
      <c r="J2149" s="165">
        <f>IFERROR(__xludf.DUMMYFUNCTION("""COMPUTED_VALUE"""),-1.21115143556629)</f>
        <v>-1.211151436</v>
      </c>
      <c r="K2149" s="165">
        <f>IFERROR(__xludf.DUMMYFUNCTION("""COMPUTED_VALUE"""),-0.469924531284161)</f>
        <v>-0.4699245313</v>
      </c>
      <c r="L2149" s="165">
        <f>IFERROR(__xludf.DUMMYFUNCTION("""COMPUTED_VALUE"""),-0.741226904282126)</f>
        <v>-0.7412269043</v>
      </c>
      <c r="M2149" s="166">
        <f t="shared" si="2"/>
        <v>0.1156768208</v>
      </c>
      <c r="N2149" s="167">
        <f t="shared" si="3"/>
        <v>15.91633333</v>
      </c>
      <c r="O2149" s="163">
        <f t="shared" ref="O2149:Q2149" si="2153">rank(I2149,I:I)</f>
        <v>359</v>
      </c>
      <c r="P2149" s="163">
        <f t="shared" si="2153"/>
        <v>2760</v>
      </c>
      <c r="Q2149" s="163">
        <f t="shared" si="2153"/>
        <v>2064</v>
      </c>
      <c r="R2149" s="163">
        <f>IFERROR(__xludf.DUMMYFUNCTION("RANK(M2149,filter(M:M,C:C=C2149))"),391.0)</f>
        <v>391</v>
      </c>
      <c r="S2149" s="161" t="b">
        <f t="shared" si="5"/>
        <v>0</v>
      </c>
      <c r="T2149" s="161" t="b">
        <f t="array" ref="T2149">index('Query Tool'!B:B,match(H2149,'Query Tool'!C:C,0))</f>
        <v>1</v>
      </c>
      <c r="U2149" s="161" t="b">
        <f t="array" ref="U2149">index('Query Tool'!B:B,match(C2149,'Query Tool'!C:C,0))</f>
        <v>0</v>
      </c>
      <c r="V2149" s="161" t="b">
        <f>F2149&gt;='Query Tool'!C$32</f>
        <v>0</v>
      </c>
      <c r="W2149" s="161" t="b">
        <f t="array" ref="W2149">index(Dropdowns!B:B,match(I2149,Dropdowns!A:A,0))</f>
        <v>1</v>
      </c>
      <c r="X2149" s="161" t="b">
        <f t="array" ref="X2149">index('Query Tool'!B:B,match(D2149,'Query Tool'!C:C,0))</f>
        <v>1</v>
      </c>
      <c r="Y2149" s="161" t="str">
        <f t="shared" si="6"/>
        <v>teletmi01,2017-18</v>
      </c>
      <c r="Z2149" s="168" t="str">
        <f t="array" ref="Z2149">iferror(index(I:I,match($A2149&amp;","&amp;index('Year Conversion'!$A:$A,match($C2149,'Year Conversion'!$B:$B,0)),$Y:$Y,0))-I2149,"")</f>
        <v/>
      </c>
      <c r="AA2149" s="168" t="str">
        <f t="array" ref="AA2149">iferror(index(J:J,match($A2149&amp;","&amp;index('Year Conversion'!$A:$A,match($C2149,'Year Conversion'!$B:$B,0)),$Y:$Y,0))-J2149,"")</f>
        <v/>
      </c>
      <c r="AB2149" s="168" t="str">
        <f t="array" ref="AB2149">iferror(index(K:K,match($A2149&amp;","&amp;index('Year Conversion'!$A:$A,match($C2149,'Year Conversion'!$B:$B,0)),$Y:$Y,0))-K2149,"")</f>
        <v/>
      </c>
      <c r="AC2149" s="168" t="str">
        <f t="shared" si="7"/>
        <v>MIL,2017-18</v>
      </c>
    </row>
    <row r="2150">
      <c r="A2150" s="161" t="str">
        <f>IFERROR(__xludf.DUMMYFUNCTION("""COMPUTED_VALUE"""),"bazemke01")</f>
        <v>bazemke01</v>
      </c>
      <c r="B2150" s="161" t="str">
        <f>IFERROR(__xludf.DUMMYFUNCTION("""COMPUTED_VALUE"""),"Kent Bazemore")</f>
        <v>Kent Bazemore</v>
      </c>
      <c r="C2150" s="162" t="str">
        <f>IFERROR(__xludf.DUMMYFUNCTION("""COMPUTED_VALUE"""),"2017-18")</f>
        <v>2017-18</v>
      </c>
      <c r="D2150" s="163" t="str">
        <f>IFERROR(__xludf.DUMMYFUNCTION("""COMPUTED_VALUE"""),"ATL")</f>
        <v>ATL</v>
      </c>
      <c r="E2150" s="164" t="str">
        <f>IFERROR(__xludf.DUMMYFUNCTION("""COMPUTED_VALUE"""),"Secondary Ball Handler")</f>
        <v>Secondary Ball Handler</v>
      </c>
      <c r="F2150" s="164">
        <f>IFERROR(__xludf.DUMMYFUNCTION("""COMPUTED_VALUE"""),1789.44166666667)</f>
        <v>1789.441667</v>
      </c>
      <c r="G2150" s="163">
        <f>IFERROR(__xludf.DUMMYFUNCTION("""COMPUTED_VALUE"""),65.0)</f>
        <v>65</v>
      </c>
      <c r="H2150" s="163" t="str">
        <f>IFERROR(__xludf.DUMMYFUNCTION("""COMPUTED_VALUE"""),"SG")</f>
        <v>SG</v>
      </c>
      <c r="I2150" s="163">
        <f>IFERROR(__xludf.DUMMYFUNCTION("""COMPUTED_VALUE"""),28.0)</f>
        <v>28</v>
      </c>
      <c r="J2150" s="165">
        <f>IFERROR(__xludf.DUMMYFUNCTION("""COMPUTED_VALUE"""),-0.162766317254435)</f>
        <v>-0.1627663173</v>
      </c>
      <c r="K2150" s="165">
        <f>IFERROR(__xludf.DUMMYFUNCTION("""COMPUTED_VALUE"""),-1.01403731824151)</f>
        <v>-1.014037318</v>
      </c>
      <c r="L2150" s="165">
        <f>IFERROR(__xludf.DUMMYFUNCTION("""COMPUTED_VALUE"""),0.851271000987071)</f>
        <v>0.851271001</v>
      </c>
      <c r="M2150" s="166">
        <f t="shared" si="2"/>
        <v>2.562364711</v>
      </c>
      <c r="N2150" s="167">
        <f t="shared" si="3"/>
        <v>27.52987179</v>
      </c>
      <c r="O2150" s="163">
        <f t="shared" ref="O2150:Q2150" si="2154">rank(I2150,I:I)</f>
        <v>1090</v>
      </c>
      <c r="P2150" s="163">
        <f t="shared" si="2154"/>
        <v>1459</v>
      </c>
      <c r="Q2150" s="163">
        <f t="shared" si="2154"/>
        <v>2824</v>
      </c>
      <c r="R2150" s="163">
        <f>IFERROR(__xludf.DUMMYFUNCTION("RANK(M2150,filter(M:M,C:C=C2150))"),128.0)</f>
        <v>128</v>
      </c>
      <c r="S2150" s="161" t="b">
        <f t="shared" si="5"/>
        <v>0</v>
      </c>
      <c r="T2150" s="161" t="b">
        <f t="array" ref="T2150">index('Query Tool'!B:B,match(H2150,'Query Tool'!C:C,0))</f>
        <v>1</v>
      </c>
      <c r="U2150" s="161" t="b">
        <f t="array" ref="U2150">index('Query Tool'!B:B,match(C2150,'Query Tool'!C:C,0))</f>
        <v>0</v>
      </c>
      <c r="V2150" s="161" t="b">
        <f>F2150&gt;='Query Tool'!C$32</f>
        <v>1</v>
      </c>
      <c r="W2150" s="161" t="b">
        <f t="array" ref="W2150">index(Dropdowns!B:B,match(I2150,Dropdowns!A:A,0))</f>
        <v>1</v>
      </c>
      <c r="X2150" s="161" t="b">
        <f t="array" ref="X2150">index('Query Tool'!B:B,match(D2150,'Query Tool'!C:C,0))</f>
        <v>1</v>
      </c>
      <c r="Y2150" s="161" t="str">
        <f t="shared" si="6"/>
        <v>bazemke01,2017-18</v>
      </c>
      <c r="Z2150" s="168">
        <f t="array" ref="Z2150">iferror(index(I:I,match($A2150&amp;","&amp;index('Year Conversion'!$A:$A,match($C2150,'Year Conversion'!$B:$B,0)),$Y:$Y,0))-I2150,"")</f>
        <v>1</v>
      </c>
      <c r="AA2150" s="168">
        <f t="array" ref="AA2150">iferror(index(J:J,match($A2150&amp;","&amp;index('Year Conversion'!$A:$A,match($C2150,'Year Conversion'!$B:$B,0)),$Y:$Y,0))-J2150,"")</f>
        <v>-1.23230033</v>
      </c>
      <c r="AB2150" s="168">
        <f t="array" ref="AB2150">iferror(index(K:K,match($A2150&amp;","&amp;index('Year Conversion'!$A:$A,match($C2150,'Year Conversion'!$B:$B,0)),$Y:$Y,0))-K2150,"")</f>
        <v>-0.6178006165</v>
      </c>
      <c r="AC2150" s="168" t="str">
        <f t="shared" si="7"/>
        <v>ATL,2017-18</v>
      </c>
    </row>
    <row r="2151">
      <c r="A2151" s="161" t="str">
        <f>IFERROR(__xludf.DUMMYFUNCTION("""COMPUTED_VALUE"""),"reedwi02")</f>
        <v>reedwi02</v>
      </c>
      <c r="B2151" s="161" t="str">
        <f>IFERROR(__xludf.DUMMYFUNCTION("""COMPUTED_VALUE"""),"Willie Reed")</f>
        <v>Willie Reed</v>
      </c>
      <c r="C2151" s="162" t="str">
        <f>IFERROR(__xludf.DUMMYFUNCTION("""COMPUTED_VALUE"""),"2017-18")</f>
        <v>2017-18</v>
      </c>
      <c r="D2151" s="163" t="str">
        <f>IFERROR(__xludf.DUMMYFUNCTION("""COMPUTED_VALUE"""),"TOT")</f>
        <v>TOT</v>
      </c>
      <c r="E2151" s="164" t="str">
        <f>IFERROR(__xludf.DUMMYFUNCTION("""COMPUTED_VALUE"""),"Roll + Cut Big")</f>
        <v>Roll + Cut Big</v>
      </c>
      <c r="F2151" s="164">
        <f>IFERROR(__xludf.DUMMYFUNCTION("""COMPUTED_VALUE"""),427.855)</f>
        <v>427.855</v>
      </c>
      <c r="G2151" s="163">
        <f>IFERROR(__xludf.DUMMYFUNCTION("""COMPUTED_VALUE"""),42.0)</f>
        <v>42</v>
      </c>
      <c r="H2151" s="163" t="str">
        <f>IFERROR(__xludf.DUMMYFUNCTION("""COMPUTED_VALUE"""),"C")</f>
        <v>C</v>
      </c>
      <c r="I2151" s="163">
        <f>IFERROR(__xludf.DUMMYFUNCTION("""COMPUTED_VALUE"""),27.0)</f>
        <v>27</v>
      </c>
      <c r="J2151" s="165">
        <f>IFERROR(__xludf.DUMMYFUNCTION("""COMPUTED_VALUE"""),-0.0305179825104626)</f>
        <v>-0.03051798251</v>
      </c>
      <c r="K2151" s="165">
        <f>IFERROR(__xludf.DUMMYFUNCTION("""COMPUTED_VALUE"""),-0.757897899805872)</f>
        <v>-0.7578978998</v>
      </c>
      <c r="L2151" s="165">
        <f>IFERROR(__xludf.DUMMYFUNCTION("""COMPUTED_VALUE"""),0.72737991729541)</f>
        <v>0.7273799173</v>
      </c>
      <c r="M2151" s="166">
        <f t="shared" si="2"/>
        <v>0.6508067237</v>
      </c>
      <c r="N2151" s="167">
        <f t="shared" si="3"/>
        <v>10.18702381</v>
      </c>
      <c r="O2151" s="163">
        <f t="shared" ref="O2151:Q2151" si="2155">rank(I2151,I:I)</f>
        <v>1366</v>
      </c>
      <c r="P2151" s="163">
        <f t="shared" si="2155"/>
        <v>1315</v>
      </c>
      <c r="Q2151" s="163">
        <f t="shared" si="2155"/>
        <v>2491</v>
      </c>
      <c r="R2151" s="163">
        <f>IFERROR(__xludf.DUMMYFUNCTION("RANK(M2151,filter(M:M,C:C=C2151))"),276.0)</f>
        <v>276</v>
      </c>
      <c r="S2151" s="161" t="b">
        <f t="shared" si="5"/>
        <v>0</v>
      </c>
      <c r="T2151" s="161" t="b">
        <f t="array" ref="T2151">index('Query Tool'!B:B,match(H2151,'Query Tool'!C:C,0))</f>
        <v>1</v>
      </c>
      <c r="U2151" s="161" t="b">
        <f t="array" ref="U2151">index('Query Tool'!B:B,match(C2151,'Query Tool'!C:C,0))</f>
        <v>0</v>
      </c>
      <c r="V2151" s="161" t="b">
        <f>F2151&gt;='Query Tool'!C$32</f>
        <v>0</v>
      </c>
      <c r="W2151" s="161" t="b">
        <f t="array" ref="W2151">index(Dropdowns!B:B,match(I2151,Dropdowns!A:A,0))</f>
        <v>1</v>
      </c>
      <c r="X2151" s="161" t="b">
        <f t="array" ref="X2151">index('Query Tool'!B:B,match(D2151,'Query Tool'!C:C,0))</f>
        <v>1</v>
      </c>
      <c r="Y2151" s="161" t="str">
        <f t="shared" si="6"/>
        <v>reedwi02,2017-18</v>
      </c>
      <c r="Z2151" s="168" t="str">
        <f t="array" ref="Z2151">iferror(index(I:I,match($A2151&amp;","&amp;index('Year Conversion'!$A:$A,match($C2151,'Year Conversion'!$B:$B,0)),$Y:$Y,0))-I2151,"")</f>
        <v/>
      </c>
      <c r="AA2151" s="168" t="str">
        <f t="array" ref="AA2151">iferror(index(J:J,match($A2151&amp;","&amp;index('Year Conversion'!$A:$A,match($C2151,'Year Conversion'!$B:$B,0)),$Y:$Y,0))-J2151,"")</f>
        <v/>
      </c>
      <c r="AB2151" s="168" t="str">
        <f t="array" ref="AB2151">iferror(index(K:K,match($A2151&amp;","&amp;index('Year Conversion'!$A:$A,match($C2151,'Year Conversion'!$B:$B,0)),$Y:$Y,0))-K2151,"")</f>
        <v/>
      </c>
      <c r="AC2151" s="168" t="str">
        <f t="shared" si="7"/>
        <v>TOT,2017-18</v>
      </c>
    </row>
    <row r="2152">
      <c r="A2152" s="161" t="str">
        <f>IFERROR(__xludf.DUMMYFUNCTION("""COMPUTED_VALUE"""),"holidju01")</f>
        <v>holidju01</v>
      </c>
      <c r="B2152" s="161" t="str">
        <f>IFERROR(__xludf.DUMMYFUNCTION("""COMPUTED_VALUE"""),"Justin Holiday")</f>
        <v>Justin Holiday</v>
      </c>
      <c r="C2152" s="162" t="str">
        <f>IFERROR(__xludf.DUMMYFUNCTION("""COMPUTED_VALUE"""),"2017-18")</f>
        <v>2017-18</v>
      </c>
      <c r="D2152" s="163" t="str">
        <f>IFERROR(__xludf.DUMMYFUNCTION("""COMPUTED_VALUE"""),"CHI")</f>
        <v>CHI</v>
      </c>
      <c r="E2152" s="164" t="str">
        <f>IFERROR(__xludf.DUMMYFUNCTION("""COMPUTED_VALUE"""),"Movement Shooter")</f>
        <v>Movement Shooter</v>
      </c>
      <c r="F2152" s="164">
        <f>IFERROR(__xludf.DUMMYFUNCTION("""COMPUTED_VALUE"""),2264.925)</f>
        <v>2264.925</v>
      </c>
      <c r="G2152" s="163">
        <f>IFERROR(__xludf.DUMMYFUNCTION("""COMPUTED_VALUE"""),72.0)</f>
        <v>72</v>
      </c>
      <c r="H2152" s="163" t="str">
        <f>IFERROR(__xludf.DUMMYFUNCTION("""COMPUTED_VALUE"""),"SG")</f>
        <v>SG</v>
      </c>
      <c r="I2152" s="163">
        <f>IFERROR(__xludf.DUMMYFUNCTION("""COMPUTED_VALUE"""),28.0)</f>
        <v>28</v>
      </c>
      <c r="J2152" s="165">
        <f>IFERROR(__xludf.DUMMYFUNCTION("""COMPUTED_VALUE"""),0.613683760309927)</f>
        <v>0.6136837603</v>
      </c>
      <c r="K2152" s="165">
        <f>IFERROR(__xludf.DUMMYFUNCTION("""COMPUTED_VALUE"""),-0.527157324550794)</f>
        <v>-0.5271573246</v>
      </c>
      <c r="L2152" s="165">
        <f>IFERROR(__xludf.DUMMYFUNCTION("""COMPUTED_VALUE"""),1.14084108486072)</f>
        <v>1.140841085</v>
      </c>
      <c r="M2152" s="166">
        <f t="shared" si="2"/>
        <v>4.428357997</v>
      </c>
      <c r="N2152" s="167">
        <f t="shared" si="3"/>
        <v>31.45729167</v>
      </c>
      <c r="O2152" s="163">
        <f t="shared" ref="O2152:Q2152" si="2156">rank(I2152,I:I)</f>
        <v>1090</v>
      </c>
      <c r="P2152" s="163">
        <f t="shared" si="2156"/>
        <v>838</v>
      </c>
      <c r="Q2152" s="163">
        <f t="shared" si="2156"/>
        <v>2150</v>
      </c>
      <c r="R2152" s="163">
        <f>IFERROR(__xludf.DUMMYFUNCTION("RANK(M2152,filter(M:M,C:C=C2152))"),71.0)</f>
        <v>71</v>
      </c>
      <c r="S2152" s="161" t="b">
        <f t="shared" si="5"/>
        <v>0</v>
      </c>
      <c r="T2152" s="161" t="b">
        <f t="array" ref="T2152">index('Query Tool'!B:B,match(H2152,'Query Tool'!C:C,0))</f>
        <v>1</v>
      </c>
      <c r="U2152" s="161" t="b">
        <f t="array" ref="U2152">index('Query Tool'!B:B,match(C2152,'Query Tool'!C:C,0))</f>
        <v>0</v>
      </c>
      <c r="V2152" s="161" t="b">
        <f>F2152&gt;='Query Tool'!C$32</f>
        <v>1</v>
      </c>
      <c r="W2152" s="161" t="b">
        <f t="array" ref="W2152">index(Dropdowns!B:B,match(I2152,Dropdowns!A:A,0))</f>
        <v>1</v>
      </c>
      <c r="X2152" s="161" t="b">
        <f t="array" ref="X2152">index('Query Tool'!B:B,match(D2152,'Query Tool'!C:C,0))</f>
        <v>1</v>
      </c>
      <c r="Y2152" s="161" t="str">
        <f t="shared" si="6"/>
        <v>holidju01,2017-18</v>
      </c>
      <c r="Z2152" s="168">
        <f t="array" ref="Z2152">iferror(index(I:I,match($A2152&amp;","&amp;index('Year Conversion'!$A:$A,match($C2152,'Year Conversion'!$B:$B,0)),$Y:$Y,0))-I2152,"")</f>
        <v>1</v>
      </c>
      <c r="AA2152" s="168">
        <f t="array" ref="AA2152">iferror(index(J:J,match($A2152&amp;","&amp;index('Year Conversion'!$A:$A,match($C2152,'Year Conversion'!$B:$B,0)),$Y:$Y,0))-J2152,"")</f>
        <v>-2.667058784</v>
      </c>
      <c r="AB2152" s="168">
        <f t="array" ref="AB2152">iferror(index(K:K,match($A2152&amp;","&amp;index('Year Conversion'!$A:$A,match($C2152,'Year Conversion'!$B:$B,0)),$Y:$Y,0))-K2152,"")</f>
        <v>-1.666351493</v>
      </c>
      <c r="AC2152" s="168" t="str">
        <f t="shared" si="7"/>
        <v>CHI,2017-18</v>
      </c>
    </row>
    <row r="2153">
      <c r="A2153" s="161" t="str">
        <f>IFERROR(__xludf.DUMMYFUNCTION("""COMPUTED_VALUE"""),"greenja01")</f>
        <v>greenja01</v>
      </c>
      <c r="B2153" s="161" t="str">
        <f>IFERROR(__xludf.DUMMYFUNCTION("""COMPUTED_VALUE"""),"JaMychal Green")</f>
        <v>JaMychal Green</v>
      </c>
      <c r="C2153" s="162" t="str">
        <f>IFERROR(__xludf.DUMMYFUNCTION("""COMPUTED_VALUE"""),"2017-18")</f>
        <v>2017-18</v>
      </c>
      <c r="D2153" s="163" t="str">
        <f>IFERROR(__xludf.DUMMYFUNCTION("""COMPUTED_VALUE"""),"MEM")</f>
        <v>MEM</v>
      </c>
      <c r="E2153" s="164" t="str">
        <f>IFERROR(__xludf.DUMMYFUNCTION("""COMPUTED_VALUE"""),"Stretch Big")</f>
        <v>Stretch Big</v>
      </c>
      <c r="F2153" s="164">
        <f>IFERROR(__xludf.DUMMYFUNCTION("""COMPUTED_VALUE"""),1541.81333333333)</f>
        <v>1541.813333</v>
      </c>
      <c r="G2153" s="163">
        <f>IFERROR(__xludf.DUMMYFUNCTION("""COMPUTED_VALUE"""),55.0)</f>
        <v>55</v>
      </c>
      <c r="H2153" s="163" t="str">
        <f>IFERROR(__xludf.DUMMYFUNCTION("""COMPUTED_VALUE"""),"PF")</f>
        <v>PF</v>
      </c>
      <c r="I2153" s="163">
        <f>IFERROR(__xludf.DUMMYFUNCTION("""COMPUTED_VALUE"""),27.0)</f>
        <v>27</v>
      </c>
      <c r="J2153" s="165">
        <f>IFERROR(__xludf.DUMMYFUNCTION("""COMPUTED_VALUE"""),-1.43216883523461)</f>
        <v>-1.432168835</v>
      </c>
      <c r="K2153" s="165">
        <f>IFERROR(__xludf.DUMMYFUNCTION("""COMPUTED_VALUE"""),-0.869791253139861)</f>
        <v>-0.8697912531</v>
      </c>
      <c r="L2153" s="165">
        <f>IFERROR(__xludf.DUMMYFUNCTION("""COMPUTED_VALUE"""),-0.56237758209475)</f>
        <v>-0.5623775821</v>
      </c>
      <c r="M2153" s="166">
        <f t="shared" si="2"/>
        <v>0.8924861675</v>
      </c>
      <c r="N2153" s="167">
        <f t="shared" si="3"/>
        <v>28.0329697</v>
      </c>
      <c r="O2153" s="163">
        <f t="shared" ref="O2153:Q2153" si="2157">rank(I2153,I:I)</f>
        <v>1366</v>
      </c>
      <c r="P2153" s="163">
        <f t="shared" si="2157"/>
        <v>2993</v>
      </c>
      <c r="Q2153" s="163">
        <f t="shared" si="2157"/>
        <v>2647</v>
      </c>
      <c r="R2153" s="163">
        <f>IFERROR(__xludf.DUMMYFUNCTION("RANK(M2153,filter(M:M,C:C=C2153))"),248.0)</f>
        <v>248</v>
      </c>
      <c r="S2153" s="161" t="b">
        <f t="shared" si="5"/>
        <v>0</v>
      </c>
      <c r="T2153" s="161" t="b">
        <f t="array" ref="T2153">index('Query Tool'!B:B,match(H2153,'Query Tool'!C:C,0))</f>
        <v>1</v>
      </c>
      <c r="U2153" s="161" t="b">
        <f t="array" ref="U2153">index('Query Tool'!B:B,match(C2153,'Query Tool'!C:C,0))</f>
        <v>0</v>
      </c>
      <c r="V2153" s="161" t="b">
        <f>F2153&gt;='Query Tool'!C$32</f>
        <v>1</v>
      </c>
      <c r="W2153" s="161" t="b">
        <f t="array" ref="W2153">index(Dropdowns!B:B,match(I2153,Dropdowns!A:A,0))</f>
        <v>1</v>
      </c>
      <c r="X2153" s="161" t="b">
        <f t="array" ref="X2153">index('Query Tool'!B:B,match(D2153,'Query Tool'!C:C,0))</f>
        <v>1</v>
      </c>
      <c r="Y2153" s="161" t="str">
        <f t="shared" si="6"/>
        <v>greenja01,2017-18</v>
      </c>
      <c r="Z2153" s="168">
        <f t="array" ref="Z2153">iferror(index(I:I,match($A2153&amp;","&amp;index('Year Conversion'!$A:$A,match($C2153,'Year Conversion'!$B:$B,0)),$Y:$Y,0))-I2153,"")</f>
        <v>1</v>
      </c>
      <c r="AA2153" s="168">
        <f t="array" ref="AA2153">iferror(index(J:J,match($A2153&amp;","&amp;index('Year Conversion'!$A:$A,match($C2153,'Year Conversion'!$B:$B,0)),$Y:$Y,0))-J2153,"")</f>
        <v>0.6194363163</v>
      </c>
      <c r="AB2153" s="168">
        <f t="array" ref="AB2153">iferror(index(K:K,match($A2153&amp;","&amp;index('Year Conversion'!$A:$A,match($C2153,'Year Conversion'!$B:$B,0)),$Y:$Y,0))-K2153,"")</f>
        <v>-0.309559612</v>
      </c>
      <c r="AC2153" s="168" t="str">
        <f t="shared" si="7"/>
        <v>MEM,2017-18</v>
      </c>
    </row>
    <row r="2154">
      <c r="A2154" s="161" t="str">
        <f>IFERROR(__xludf.DUMMYFUNCTION("""COMPUTED_VALUE"""),"baynear01")</f>
        <v>baynear01</v>
      </c>
      <c r="B2154" s="161" t="str">
        <f>IFERROR(__xludf.DUMMYFUNCTION("""COMPUTED_VALUE"""),"Aron Baynes")</f>
        <v>Aron Baynes</v>
      </c>
      <c r="C2154" s="162" t="str">
        <f>IFERROR(__xludf.DUMMYFUNCTION("""COMPUTED_VALUE"""),"2017-18")</f>
        <v>2017-18</v>
      </c>
      <c r="D2154" s="163" t="str">
        <f>IFERROR(__xludf.DUMMYFUNCTION("""COMPUTED_VALUE"""),"BOS")</f>
        <v>BOS</v>
      </c>
      <c r="E2154" s="164" t="str">
        <f>IFERROR(__xludf.DUMMYFUNCTION("""COMPUTED_VALUE"""),"Roll + Cut Big")</f>
        <v>Roll + Cut Big</v>
      </c>
      <c r="F2154" s="164">
        <f>IFERROR(__xludf.DUMMYFUNCTION("""COMPUTED_VALUE"""),1484.49333333333)</f>
        <v>1484.493333</v>
      </c>
      <c r="G2154" s="163">
        <f>IFERROR(__xludf.DUMMYFUNCTION("""COMPUTED_VALUE"""),81.0)</f>
        <v>81</v>
      </c>
      <c r="H2154" s="163" t="str">
        <f>IFERROR(__xludf.DUMMYFUNCTION("""COMPUTED_VALUE"""),"C")</f>
        <v>C</v>
      </c>
      <c r="I2154" s="163">
        <f>IFERROR(__xludf.DUMMYFUNCTION("""COMPUTED_VALUE"""),31.0)</f>
        <v>31</v>
      </c>
      <c r="J2154" s="165">
        <f>IFERROR(__xludf.DUMMYFUNCTION("""COMPUTED_VALUE"""),-0.62789777878696)</f>
        <v>-0.6278977788</v>
      </c>
      <c r="K2154" s="165">
        <f>IFERROR(__xludf.DUMMYFUNCTION("""COMPUTED_VALUE"""),-2.69853341961011)</f>
        <v>-2.69853342</v>
      </c>
      <c r="L2154" s="165">
        <f>IFERROR(__xludf.DUMMYFUNCTION("""COMPUTED_VALUE"""),2.07063564082315)</f>
        <v>2.070635641</v>
      </c>
      <c r="M2154" s="166">
        <f t="shared" si="2"/>
        <v>1.66051873</v>
      </c>
      <c r="N2154" s="167">
        <f t="shared" si="3"/>
        <v>18.32707819</v>
      </c>
      <c r="O2154" s="163">
        <f t="shared" ref="O2154:Q2154" si="2158">rank(I2154,I:I)</f>
        <v>490</v>
      </c>
      <c r="P2154" s="163">
        <f t="shared" si="2158"/>
        <v>2031</v>
      </c>
      <c r="Q2154" s="163">
        <f t="shared" si="2158"/>
        <v>3932</v>
      </c>
      <c r="R2154" s="163">
        <f>IFERROR(__xludf.DUMMYFUNCTION("RANK(M2154,filter(M:M,C:C=C2154))"),178.0)</f>
        <v>178</v>
      </c>
      <c r="S2154" s="161" t="b">
        <f t="shared" si="5"/>
        <v>0</v>
      </c>
      <c r="T2154" s="161" t="b">
        <f t="array" ref="T2154">index('Query Tool'!B:B,match(H2154,'Query Tool'!C:C,0))</f>
        <v>1</v>
      </c>
      <c r="U2154" s="161" t="b">
        <f t="array" ref="U2154">index('Query Tool'!B:B,match(C2154,'Query Tool'!C:C,0))</f>
        <v>0</v>
      </c>
      <c r="V2154" s="161" t="b">
        <f>F2154&gt;='Query Tool'!C$32</f>
        <v>1</v>
      </c>
      <c r="W2154" s="161" t="b">
        <f t="array" ref="W2154">index(Dropdowns!B:B,match(I2154,Dropdowns!A:A,0))</f>
        <v>1</v>
      </c>
      <c r="X2154" s="161" t="b">
        <f t="array" ref="X2154">index('Query Tool'!B:B,match(D2154,'Query Tool'!C:C,0))</f>
        <v>1</v>
      </c>
      <c r="Y2154" s="161" t="str">
        <f t="shared" si="6"/>
        <v>baynear01,2017-18</v>
      </c>
      <c r="Z2154" s="168">
        <f t="array" ref="Z2154">iferror(index(I:I,match($A2154&amp;","&amp;index('Year Conversion'!$A:$A,match($C2154,'Year Conversion'!$B:$B,0)),$Y:$Y,0))-I2154,"")</f>
        <v>1</v>
      </c>
      <c r="AA2154" s="168">
        <f t="array" ref="AA2154">iferror(index(J:J,match($A2154&amp;","&amp;index('Year Conversion'!$A:$A,match($C2154,'Year Conversion'!$B:$B,0)),$Y:$Y,0))-J2154,"")</f>
        <v>-0.2515629048</v>
      </c>
      <c r="AB2154" s="168">
        <f t="array" ref="AB2154">iferror(index(K:K,match($A2154&amp;","&amp;index('Year Conversion'!$A:$A,match($C2154,'Year Conversion'!$B:$B,0)),$Y:$Y,0))-K2154,"")</f>
        <v>0.8475278396</v>
      </c>
      <c r="AC2154" s="168" t="str">
        <f t="shared" si="7"/>
        <v>BOS,2017-18</v>
      </c>
    </row>
    <row r="2155">
      <c r="A2155" s="161" t="str">
        <f>IFERROR(__xludf.DUMMYFUNCTION("""COMPUTED_VALUE"""),"noelne01")</f>
        <v>noelne01</v>
      </c>
      <c r="B2155" s="161" t="str">
        <f>IFERROR(__xludf.DUMMYFUNCTION("""COMPUTED_VALUE"""),"Nerlens Noel")</f>
        <v>Nerlens Noel</v>
      </c>
      <c r="C2155" s="162" t="str">
        <f>IFERROR(__xludf.DUMMYFUNCTION("""COMPUTED_VALUE"""),"2017-18")</f>
        <v>2017-18</v>
      </c>
      <c r="D2155" s="163" t="str">
        <f>IFERROR(__xludf.DUMMYFUNCTION("""COMPUTED_VALUE"""),"DAL")</f>
        <v>DAL</v>
      </c>
      <c r="E2155" s="164" t="str">
        <f>IFERROR(__xludf.DUMMYFUNCTION("""COMPUTED_VALUE"""),"Roll + Cut Big")</f>
        <v>Roll + Cut Big</v>
      </c>
      <c r="F2155" s="164">
        <f>IFERROR(__xludf.DUMMYFUNCTION("""COMPUTED_VALUE"""),471.64)</f>
        <v>471.64</v>
      </c>
      <c r="G2155" s="163">
        <f>IFERROR(__xludf.DUMMYFUNCTION("""COMPUTED_VALUE"""),30.0)</f>
        <v>30</v>
      </c>
      <c r="H2155" s="163" t="str">
        <f>IFERROR(__xludf.DUMMYFUNCTION("""COMPUTED_VALUE"""),"C")</f>
        <v>C</v>
      </c>
      <c r="I2155" s="163">
        <f>IFERROR(__xludf.DUMMYFUNCTION("""COMPUTED_VALUE"""),23.0)</f>
        <v>23</v>
      </c>
      <c r="J2155" s="165">
        <f>IFERROR(__xludf.DUMMYFUNCTION("""COMPUTED_VALUE"""),-0.0751925115631518)</f>
        <v>-0.07519251156</v>
      </c>
      <c r="K2155" s="165">
        <f>IFERROR(__xludf.DUMMYFUNCTION("""COMPUTED_VALUE"""),-2.72524917985372)</f>
        <v>-2.72524918</v>
      </c>
      <c r="L2155" s="165">
        <f>IFERROR(__xludf.DUMMYFUNCTION("""COMPUTED_VALUE"""),2.65005666829057)</f>
        <v>2.650056668</v>
      </c>
      <c r="M2155" s="166">
        <f t="shared" si="2"/>
        <v>0.7032025243</v>
      </c>
      <c r="N2155" s="167">
        <f t="shared" si="3"/>
        <v>15.72133333</v>
      </c>
      <c r="O2155" s="163">
        <f t="shared" ref="O2155:Q2155" si="2159">rank(I2155,I:I)</f>
        <v>2765</v>
      </c>
      <c r="P2155" s="163">
        <f t="shared" si="2159"/>
        <v>1363</v>
      </c>
      <c r="Q2155" s="163">
        <f t="shared" si="2159"/>
        <v>3940</v>
      </c>
      <c r="R2155" s="163">
        <f>IFERROR(__xludf.DUMMYFUNCTION("RANK(M2155,filter(M:M,C:C=C2155))"),270.0)</f>
        <v>270</v>
      </c>
      <c r="S2155" s="161" t="b">
        <f t="shared" si="5"/>
        <v>0</v>
      </c>
      <c r="T2155" s="161" t="b">
        <f t="array" ref="T2155">index('Query Tool'!B:B,match(H2155,'Query Tool'!C:C,0))</f>
        <v>1</v>
      </c>
      <c r="U2155" s="161" t="b">
        <f t="array" ref="U2155">index('Query Tool'!B:B,match(C2155,'Query Tool'!C:C,0))</f>
        <v>0</v>
      </c>
      <c r="V2155" s="161" t="b">
        <f>F2155&gt;='Query Tool'!C$32</f>
        <v>0</v>
      </c>
      <c r="W2155" s="161" t="b">
        <f t="array" ref="W2155">index(Dropdowns!B:B,match(I2155,Dropdowns!A:A,0))</f>
        <v>1</v>
      </c>
      <c r="X2155" s="161" t="b">
        <f t="array" ref="X2155">index('Query Tool'!B:B,match(D2155,'Query Tool'!C:C,0))</f>
        <v>1</v>
      </c>
      <c r="Y2155" s="161" t="str">
        <f t="shared" si="6"/>
        <v>noelne01,2017-18</v>
      </c>
      <c r="Z2155" s="168">
        <f t="array" ref="Z2155">iferror(index(I:I,match($A2155&amp;","&amp;index('Year Conversion'!$A:$A,match($C2155,'Year Conversion'!$B:$B,0)),$Y:$Y,0))-I2155,"")</f>
        <v>1</v>
      </c>
      <c r="AA2155" s="168">
        <f t="array" ref="AA2155">iferror(index(J:J,match($A2155&amp;","&amp;index('Year Conversion'!$A:$A,match($C2155,'Year Conversion'!$B:$B,0)),$Y:$Y,0))-J2155,"")</f>
        <v>0.380286729</v>
      </c>
      <c r="AB2155" s="168">
        <f t="array" ref="AB2155">iferror(index(K:K,match($A2155&amp;","&amp;index('Year Conversion'!$A:$A,match($C2155,'Year Conversion'!$B:$B,0)),$Y:$Y,0))-K2155,"")</f>
        <v>0.6821151622</v>
      </c>
      <c r="AC2155" s="168" t="str">
        <f t="shared" si="7"/>
        <v>DAL,2017-18</v>
      </c>
    </row>
    <row r="2156">
      <c r="A2156" s="161" t="str">
        <f>IFERROR(__xludf.DUMMYFUNCTION("""COMPUTED_VALUE"""),"lenal01")</f>
        <v>lenal01</v>
      </c>
      <c r="B2156" s="161" t="str">
        <f>IFERROR(__xludf.DUMMYFUNCTION("""COMPUTED_VALUE"""),"Alex Len")</f>
        <v>Alex Len</v>
      </c>
      <c r="C2156" s="162" t="str">
        <f>IFERROR(__xludf.DUMMYFUNCTION("""COMPUTED_VALUE"""),"2017-18")</f>
        <v>2017-18</v>
      </c>
      <c r="D2156" s="163" t="str">
        <f>IFERROR(__xludf.DUMMYFUNCTION("""COMPUTED_VALUE"""),"PHO")</f>
        <v>PHO</v>
      </c>
      <c r="E2156" s="164" t="str">
        <f>IFERROR(__xludf.DUMMYFUNCTION("""COMPUTED_VALUE"""),"Roll + Cut Big")</f>
        <v>Roll + Cut Big</v>
      </c>
      <c r="F2156" s="164">
        <f>IFERROR(__xludf.DUMMYFUNCTION("""COMPUTED_VALUE"""),1395.34666666667)</f>
        <v>1395.346667</v>
      </c>
      <c r="G2156" s="163">
        <f>IFERROR(__xludf.DUMMYFUNCTION("""COMPUTED_VALUE"""),69.0)</f>
        <v>69</v>
      </c>
      <c r="H2156" s="163" t="str">
        <f>IFERROR(__xludf.DUMMYFUNCTION("""COMPUTED_VALUE"""),"C")</f>
        <v>C</v>
      </c>
      <c r="I2156" s="163">
        <f>IFERROR(__xludf.DUMMYFUNCTION("""COMPUTED_VALUE"""),24.0)</f>
        <v>24</v>
      </c>
      <c r="J2156" s="165">
        <f>IFERROR(__xludf.DUMMYFUNCTION("""COMPUTED_VALUE"""),0.28470033673948)</f>
        <v>0.2847003367</v>
      </c>
      <c r="K2156" s="165">
        <f>IFERROR(__xludf.DUMMYFUNCTION("""COMPUTED_VALUE"""),-0.327379201594831)</f>
        <v>-0.3273792016</v>
      </c>
      <c r="L2156" s="165">
        <f>IFERROR(__xludf.DUMMYFUNCTION("""COMPUTED_VALUE"""),0.612079538334311)</f>
        <v>0.6120795383</v>
      </c>
      <c r="M2156" s="166">
        <f t="shared" si="2"/>
        <v>2.418955015</v>
      </c>
      <c r="N2156" s="167">
        <f t="shared" si="3"/>
        <v>20.22241546</v>
      </c>
      <c r="O2156" s="163">
        <f t="shared" ref="O2156:Q2156" si="2160">rank(I2156,I:I)</f>
        <v>2361</v>
      </c>
      <c r="P2156" s="163">
        <f t="shared" si="2160"/>
        <v>1028</v>
      </c>
      <c r="Q2156" s="163">
        <f t="shared" si="2160"/>
        <v>1807</v>
      </c>
      <c r="R2156" s="163">
        <f>IFERROR(__xludf.DUMMYFUNCTION("RANK(M2156,filter(M:M,C:C=C2156))"),136.0)</f>
        <v>136</v>
      </c>
      <c r="S2156" s="161" t="b">
        <f t="shared" si="5"/>
        <v>0</v>
      </c>
      <c r="T2156" s="161" t="b">
        <f t="array" ref="T2156">index('Query Tool'!B:B,match(H2156,'Query Tool'!C:C,0))</f>
        <v>1</v>
      </c>
      <c r="U2156" s="161" t="b">
        <f t="array" ref="U2156">index('Query Tool'!B:B,match(C2156,'Query Tool'!C:C,0))</f>
        <v>0</v>
      </c>
      <c r="V2156" s="161" t="b">
        <f>F2156&gt;='Query Tool'!C$32</f>
        <v>1</v>
      </c>
      <c r="W2156" s="161" t="b">
        <f t="array" ref="W2156">index(Dropdowns!B:B,match(I2156,Dropdowns!A:A,0))</f>
        <v>1</v>
      </c>
      <c r="X2156" s="161" t="b">
        <f t="array" ref="X2156">index('Query Tool'!B:B,match(D2156,'Query Tool'!C:C,0))</f>
        <v>1</v>
      </c>
      <c r="Y2156" s="161" t="str">
        <f t="shared" si="6"/>
        <v>lenal01,2017-18</v>
      </c>
      <c r="Z2156" s="168">
        <f t="array" ref="Z2156">iferror(index(I:I,match($A2156&amp;","&amp;index('Year Conversion'!$A:$A,match($C2156,'Year Conversion'!$B:$B,0)),$Y:$Y,0))-I2156,"")</f>
        <v>1</v>
      </c>
      <c r="AA2156" s="168">
        <f t="array" ref="AA2156">iferror(index(J:J,match($A2156&amp;","&amp;index('Year Conversion'!$A:$A,match($C2156,'Year Conversion'!$B:$B,0)),$Y:$Y,0))-J2156,"")</f>
        <v>-0.1328320604</v>
      </c>
      <c r="AB2156" s="168">
        <f t="array" ref="AB2156">iferror(index(K:K,match($A2156&amp;","&amp;index('Year Conversion'!$A:$A,match($C2156,'Year Conversion'!$B:$B,0)),$Y:$Y,0))-K2156,"")</f>
        <v>-0.02119173942</v>
      </c>
      <c r="AC2156" s="168" t="str">
        <f t="shared" si="7"/>
        <v>PHO,2017-18</v>
      </c>
    </row>
    <row r="2157">
      <c r="A2157" s="161" t="str">
        <f>IFERROR(__xludf.DUMMYFUNCTION("""COMPUTED_VALUE"""),"crabbal01")</f>
        <v>crabbal01</v>
      </c>
      <c r="B2157" s="161" t="str">
        <f>IFERROR(__xludf.DUMMYFUNCTION("""COMPUTED_VALUE"""),"Allen Crabbe")</f>
        <v>Allen Crabbe</v>
      </c>
      <c r="C2157" s="162" t="str">
        <f>IFERROR(__xludf.DUMMYFUNCTION("""COMPUTED_VALUE"""),"2017-18")</f>
        <v>2017-18</v>
      </c>
      <c r="D2157" s="163" t="str">
        <f>IFERROR(__xludf.DUMMYFUNCTION("""COMPUTED_VALUE"""),"BRK")</f>
        <v>BRK</v>
      </c>
      <c r="E2157" s="164" t="str">
        <f>IFERROR(__xludf.DUMMYFUNCTION("""COMPUTED_VALUE"""),"Off Screen Shooter")</f>
        <v>Off Screen Shooter</v>
      </c>
      <c r="F2157" s="164">
        <f>IFERROR(__xludf.DUMMYFUNCTION("""COMPUTED_VALUE"""),2197.2)</f>
        <v>2197.2</v>
      </c>
      <c r="G2157" s="163">
        <f>IFERROR(__xludf.DUMMYFUNCTION("""COMPUTED_VALUE"""),75.0)</f>
        <v>75</v>
      </c>
      <c r="H2157" s="163" t="str">
        <f>IFERROR(__xludf.DUMMYFUNCTION("""COMPUTED_VALUE"""),"SG")</f>
        <v>SG</v>
      </c>
      <c r="I2157" s="163">
        <f>IFERROR(__xludf.DUMMYFUNCTION("""COMPUTED_VALUE"""),25.0)</f>
        <v>25</v>
      </c>
      <c r="J2157" s="165">
        <f>IFERROR(__xludf.DUMMYFUNCTION("""COMPUTED_VALUE"""),-0.78851639328257)</f>
        <v>-0.7885163933</v>
      </c>
      <c r="K2157" s="165">
        <f>IFERROR(__xludf.DUMMYFUNCTION("""COMPUTED_VALUE"""),-0.0465494180504411)</f>
        <v>-0.04654941805</v>
      </c>
      <c r="L2157" s="165">
        <f>IFERROR(__xludf.DUMMYFUNCTION("""COMPUTED_VALUE"""),-0.741966975232129)</f>
        <v>-0.7419669752</v>
      </c>
      <c r="M2157" s="166">
        <f t="shared" si="2"/>
        <v>2.220304964</v>
      </c>
      <c r="N2157" s="167">
        <f t="shared" si="3"/>
        <v>29.296</v>
      </c>
      <c r="O2157" s="163">
        <f t="shared" ref="O2157:Q2157" si="2161">rank(I2157,I:I)</f>
        <v>1995</v>
      </c>
      <c r="P2157" s="163">
        <f t="shared" si="2161"/>
        <v>2260</v>
      </c>
      <c r="Q2157" s="163">
        <f t="shared" si="2161"/>
        <v>1268</v>
      </c>
      <c r="R2157" s="163">
        <f>IFERROR(__xludf.DUMMYFUNCTION("RANK(M2157,filter(M:M,C:C=C2157))"),147.0)</f>
        <v>147</v>
      </c>
      <c r="S2157" s="161" t="b">
        <f t="shared" si="5"/>
        <v>0</v>
      </c>
      <c r="T2157" s="161" t="b">
        <f t="array" ref="T2157">index('Query Tool'!B:B,match(H2157,'Query Tool'!C:C,0))</f>
        <v>1</v>
      </c>
      <c r="U2157" s="161" t="b">
        <f t="array" ref="U2157">index('Query Tool'!B:B,match(C2157,'Query Tool'!C:C,0))</f>
        <v>0</v>
      </c>
      <c r="V2157" s="161" t="b">
        <f>F2157&gt;='Query Tool'!C$32</f>
        <v>1</v>
      </c>
      <c r="W2157" s="161" t="b">
        <f t="array" ref="W2157">index(Dropdowns!B:B,match(I2157,Dropdowns!A:A,0))</f>
        <v>1</v>
      </c>
      <c r="X2157" s="161" t="b">
        <f t="array" ref="X2157">index('Query Tool'!B:B,match(D2157,'Query Tool'!C:C,0))</f>
        <v>1</v>
      </c>
      <c r="Y2157" s="161" t="str">
        <f t="shared" si="6"/>
        <v>crabbal01,2017-18</v>
      </c>
      <c r="Z2157" s="168">
        <f t="array" ref="Z2157">iferror(index(I:I,match($A2157&amp;","&amp;index('Year Conversion'!$A:$A,match($C2157,'Year Conversion'!$B:$B,0)),$Y:$Y,0))-I2157,"")</f>
        <v>1</v>
      </c>
      <c r="AA2157" s="168">
        <f t="array" ref="AA2157">iferror(index(J:J,match($A2157&amp;","&amp;index('Year Conversion'!$A:$A,match($C2157,'Year Conversion'!$B:$B,0)),$Y:$Y,0))-J2157,"")</f>
        <v>-0.737039256</v>
      </c>
      <c r="AB2157" s="168">
        <f t="array" ref="AB2157">iferror(index(K:K,match($A2157&amp;","&amp;index('Year Conversion'!$A:$A,match($C2157,'Year Conversion'!$B:$B,0)),$Y:$Y,0))-K2157,"")</f>
        <v>-1.303150294</v>
      </c>
      <c r="AC2157" s="168" t="str">
        <f t="shared" si="7"/>
        <v>BRK,2017-18</v>
      </c>
    </row>
    <row r="2158">
      <c r="A2158" s="161" t="str">
        <f>IFERROR(__xludf.DUMMYFUNCTION("""COMPUTED_VALUE"""),"roberan03")</f>
        <v>roberan03</v>
      </c>
      <c r="B2158" s="161" t="str">
        <f>IFERROR(__xludf.DUMMYFUNCTION("""COMPUTED_VALUE"""),"Andre Roberson")</f>
        <v>Andre Roberson</v>
      </c>
      <c r="C2158" s="162" t="str">
        <f>IFERROR(__xludf.DUMMYFUNCTION("""COMPUTED_VALUE"""),"2017-18")</f>
        <v>2017-18</v>
      </c>
      <c r="D2158" s="163" t="str">
        <f>IFERROR(__xludf.DUMMYFUNCTION("""COMPUTED_VALUE"""),"OKC")</f>
        <v>OKC</v>
      </c>
      <c r="E2158" s="164" t="str">
        <f>IFERROR(__xludf.DUMMYFUNCTION("""COMPUTED_VALUE"""),"Roll + Cut Big")</f>
        <v>Roll + Cut Big</v>
      </c>
      <c r="F2158" s="164">
        <f>IFERROR(__xludf.DUMMYFUNCTION("""COMPUTED_VALUE"""),1036.67833333333)</f>
        <v>1036.678333</v>
      </c>
      <c r="G2158" s="163">
        <f>IFERROR(__xludf.DUMMYFUNCTION("""COMPUTED_VALUE"""),39.0)</f>
        <v>39</v>
      </c>
      <c r="H2158" s="163" t="str">
        <f>IFERROR(__xludf.DUMMYFUNCTION("""COMPUTED_VALUE"""),"SG")</f>
        <v>SG</v>
      </c>
      <c r="I2158" s="163">
        <f>IFERROR(__xludf.DUMMYFUNCTION("""COMPUTED_VALUE"""),26.0)</f>
        <v>26</v>
      </c>
      <c r="J2158" s="165">
        <f>IFERROR(__xludf.DUMMYFUNCTION("""COMPUTED_VALUE"""),1.14149492857467)</f>
        <v>1.141494929</v>
      </c>
      <c r="K2158" s="165">
        <f>IFERROR(__xludf.DUMMYFUNCTION("""COMPUTED_VALUE"""),-1.31391933032869)</f>
        <v>-1.31391933</v>
      </c>
      <c r="L2158" s="165">
        <f>IFERROR(__xludf.DUMMYFUNCTION("""COMPUTED_VALUE"""),2.45541425890336)</f>
        <v>2.455414259</v>
      </c>
      <c r="M2158" s="166">
        <f t="shared" si="2"/>
        <v>2.394582746</v>
      </c>
      <c r="N2158" s="167">
        <f t="shared" si="3"/>
        <v>26.58149573</v>
      </c>
      <c r="O2158" s="163">
        <f t="shared" ref="O2158:Q2158" si="2162">rank(I2158,I:I)</f>
        <v>1665</v>
      </c>
      <c r="P2158" s="163">
        <f t="shared" si="2162"/>
        <v>597</v>
      </c>
      <c r="Q2158" s="163">
        <f t="shared" si="2162"/>
        <v>3167</v>
      </c>
      <c r="R2158" s="163">
        <f>IFERROR(__xludf.DUMMYFUNCTION("RANK(M2158,filter(M:M,C:C=C2158))"),139.0)</f>
        <v>139</v>
      </c>
      <c r="S2158" s="161" t="b">
        <f t="shared" si="5"/>
        <v>0</v>
      </c>
      <c r="T2158" s="161" t="b">
        <f t="array" ref="T2158">index('Query Tool'!B:B,match(H2158,'Query Tool'!C:C,0))</f>
        <v>1</v>
      </c>
      <c r="U2158" s="161" t="b">
        <f t="array" ref="U2158">index('Query Tool'!B:B,match(C2158,'Query Tool'!C:C,0))</f>
        <v>0</v>
      </c>
      <c r="V2158" s="161" t="b">
        <f>F2158&gt;='Query Tool'!C$32</f>
        <v>1</v>
      </c>
      <c r="W2158" s="161" t="b">
        <f t="array" ref="W2158">index(Dropdowns!B:B,match(I2158,Dropdowns!A:A,0))</f>
        <v>1</v>
      </c>
      <c r="X2158" s="161" t="b">
        <f t="array" ref="X2158">index('Query Tool'!B:B,match(D2158,'Query Tool'!C:C,0))</f>
        <v>1</v>
      </c>
      <c r="Y2158" s="161" t="str">
        <f t="shared" si="6"/>
        <v>roberan03,2017-18</v>
      </c>
      <c r="Z2158" s="168" t="str">
        <f t="array" ref="Z2158">iferror(index(I:I,match($A2158&amp;","&amp;index('Year Conversion'!$A:$A,match($C2158,'Year Conversion'!$B:$B,0)),$Y:$Y,0))-I2158,"")</f>
        <v/>
      </c>
      <c r="AA2158" s="168" t="str">
        <f t="array" ref="AA2158">iferror(index(J:J,match($A2158&amp;","&amp;index('Year Conversion'!$A:$A,match($C2158,'Year Conversion'!$B:$B,0)),$Y:$Y,0))-J2158,"")</f>
        <v/>
      </c>
      <c r="AB2158" s="168" t="str">
        <f t="array" ref="AB2158">iferror(index(K:K,match($A2158&amp;","&amp;index('Year Conversion'!$A:$A,match($C2158,'Year Conversion'!$B:$B,0)),$Y:$Y,0))-K2158,"")</f>
        <v/>
      </c>
      <c r="AC2158" s="168" t="str">
        <f t="shared" si="7"/>
        <v>OKC,2017-18</v>
      </c>
    </row>
    <row r="2159">
      <c r="A2159" s="161" t="str">
        <f>IFERROR(__xludf.DUMMYFUNCTION("""COMPUTED_VALUE"""),"mclembe01")</f>
        <v>mclembe01</v>
      </c>
      <c r="B2159" s="161" t="str">
        <f>IFERROR(__xludf.DUMMYFUNCTION("""COMPUTED_VALUE"""),"Ben McLemore")</f>
        <v>Ben McLemore</v>
      </c>
      <c r="C2159" s="162" t="str">
        <f>IFERROR(__xludf.DUMMYFUNCTION("""COMPUTED_VALUE"""),"2017-18")</f>
        <v>2017-18</v>
      </c>
      <c r="D2159" s="163" t="str">
        <f>IFERROR(__xludf.DUMMYFUNCTION("""COMPUTED_VALUE"""),"MEM")</f>
        <v>MEM</v>
      </c>
      <c r="E2159" s="164" t="str">
        <f>IFERROR(__xludf.DUMMYFUNCTION("""COMPUTED_VALUE"""),"Movement Shooter")</f>
        <v>Movement Shooter</v>
      </c>
      <c r="F2159" s="164">
        <f>IFERROR(__xludf.DUMMYFUNCTION("""COMPUTED_VALUE"""),1090.62)</f>
        <v>1090.62</v>
      </c>
      <c r="G2159" s="163">
        <f>IFERROR(__xludf.DUMMYFUNCTION("""COMPUTED_VALUE"""),56.0)</f>
        <v>56</v>
      </c>
      <c r="H2159" s="163" t="str">
        <f>IFERROR(__xludf.DUMMYFUNCTION("""COMPUTED_VALUE"""),"SG")</f>
        <v>SG</v>
      </c>
      <c r="I2159" s="163">
        <f>IFERROR(__xludf.DUMMYFUNCTION("""COMPUTED_VALUE"""),24.0)</f>
        <v>24</v>
      </c>
      <c r="J2159" s="165">
        <f>IFERROR(__xludf.DUMMYFUNCTION("""COMPUTED_VALUE"""),-3.22264775105999)</f>
        <v>-3.222647751</v>
      </c>
      <c r="K2159" s="165">
        <f>IFERROR(__xludf.DUMMYFUNCTION("""COMPUTED_VALUE"""),-2.25411966100229)</f>
        <v>-2.254119661</v>
      </c>
      <c r="L2159" s="165">
        <f>IFERROR(__xludf.DUMMYFUNCTION("""COMPUTED_VALUE"""),-0.968528090057699)</f>
        <v>-0.9685280901</v>
      </c>
      <c r="M2159" s="166">
        <f t="shared" si="2"/>
        <v>-0.6545856338</v>
      </c>
      <c r="N2159" s="167">
        <f t="shared" si="3"/>
        <v>19.47535714</v>
      </c>
      <c r="O2159" s="163">
        <f t="shared" ref="O2159:Q2159" si="2163">rank(I2159,I:I)</f>
        <v>2361</v>
      </c>
      <c r="P2159" s="163">
        <f t="shared" si="2163"/>
        <v>3929</v>
      </c>
      <c r="Q2159" s="163">
        <f t="shared" si="2163"/>
        <v>3820</v>
      </c>
      <c r="R2159" s="163">
        <f>IFERROR(__xludf.DUMMYFUNCTION("RANK(M2159,filter(M:M,C:C=C2159))"),528.0)</f>
        <v>528</v>
      </c>
      <c r="S2159" s="161" t="b">
        <f t="shared" si="5"/>
        <v>0</v>
      </c>
      <c r="T2159" s="161" t="b">
        <f t="array" ref="T2159">index('Query Tool'!B:B,match(H2159,'Query Tool'!C:C,0))</f>
        <v>1</v>
      </c>
      <c r="U2159" s="161" t="b">
        <f t="array" ref="U2159">index('Query Tool'!B:B,match(C2159,'Query Tool'!C:C,0))</f>
        <v>0</v>
      </c>
      <c r="V2159" s="161" t="b">
        <f>F2159&gt;='Query Tool'!C$32</f>
        <v>1</v>
      </c>
      <c r="W2159" s="161" t="b">
        <f t="array" ref="W2159">index(Dropdowns!B:B,match(I2159,Dropdowns!A:A,0))</f>
        <v>1</v>
      </c>
      <c r="X2159" s="161" t="b">
        <f t="array" ref="X2159">index('Query Tool'!B:B,match(D2159,'Query Tool'!C:C,0))</f>
        <v>1</v>
      </c>
      <c r="Y2159" s="161" t="str">
        <f t="shared" si="6"/>
        <v>mclembe01,2017-18</v>
      </c>
      <c r="Z2159" s="168">
        <f t="array" ref="Z2159">iferror(index(I:I,match($A2159&amp;","&amp;index('Year Conversion'!$A:$A,match($C2159,'Year Conversion'!$B:$B,0)),$Y:$Y,0))-I2159,"")</f>
        <v>1</v>
      </c>
      <c r="AA2159" s="168">
        <f t="array" ref="AA2159">iferror(index(J:J,match($A2159&amp;","&amp;index('Year Conversion'!$A:$A,match($C2159,'Year Conversion'!$B:$B,0)),$Y:$Y,0))-J2159,"")</f>
        <v>2.420437364</v>
      </c>
      <c r="AB2159" s="168">
        <f t="array" ref="AB2159">iferror(index(K:K,match($A2159&amp;","&amp;index('Year Conversion'!$A:$A,match($C2159,'Year Conversion'!$B:$B,0)),$Y:$Y,0))-K2159,"")</f>
        <v>1.798239014</v>
      </c>
      <c r="AC2159" s="168" t="str">
        <f t="shared" si="7"/>
        <v>MEM,2017-18</v>
      </c>
    </row>
    <row r="2160">
      <c r="A2160" s="161" t="str">
        <f>IFERROR(__xludf.DUMMYFUNCTION("""COMPUTED_VALUE"""),"paulbr01")</f>
        <v>paulbr01</v>
      </c>
      <c r="B2160" s="161" t="str">
        <f>IFERROR(__xludf.DUMMYFUNCTION("""COMPUTED_VALUE"""),"Brandon Paul")</f>
        <v>Brandon Paul</v>
      </c>
      <c r="C2160" s="162" t="str">
        <f>IFERROR(__xludf.DUMMYFUNCTION("""COMPUTED_VALUE"""),"2017-18")</f>
        <v>2017-18</v>
      </c>
      <c r="D2160" s="163" t="str">
        <f>IFERROR(__xludf.DUMMYFUNCTION("""COMPUTED_VALUE"""),"SAS")</f>
        <v>SAS</v>
      </c>
      <c r="E2160" s="164" t="str">
        <f>IFERROR(__xludf.DUMMYFUNCTION("""COMPUTED_VALUE"""),"Stationary Shooter")</f>
        <v>Stationary Shooter</v>
      </c>
      <c r="F2160" s="164">
        <f>IFERROR(__xludf.DUMMYFUNCTION("""COMPUTED_VALUE"""),575.84)</f>
        <v>575.84</v>
      </c>
      <c r="G2160" s="163">
        <f>IFERROR(__xludf.DUMMYFUNCTION("""COMPUTED_VALUE"""),64.0)</f>
        <v>64</v>
      </c>
      <c r="H2160" s="163" t="str">
        <f>IFERROR(__xludf.DUMMYFUNCTION("""COMPUTED_VALUE"""),"SG")</f>
        <v>SG</v>
      </c>
      <c r="I2160" s="163">
        <f>IFERROR(__xludf.DUMMYFUNCTION("""COMPUTED_VALUE"""),26.0)</f>
        <v>26</v>
      </c>
      <c r="J2160" s="165">
        <f>IFERROR(__xludf.DUMMYFUNCTION("""COMPUTED_VALUE"""),-2.04451360001327)</f>
        <v>-2.0445136</v>
      </c>
      <c r="K2160" s="165">
        <f>IFERROR(__xludf.DUMMYFUNCTION("""COMPUTED_VALUE"""),-2.18832109665916)</f>
        <v>-2.188321097</v>
      </c>
      <c r="L2160" s="165">
        <f>IFERROR(__xludf.DUMMYFUNCTION("""COMPUTED_VALUE"""),0.14380749664589)</f>
        <v>0.1438074966</v>
      </c>
      <c r="M2160" s="166">
        <f t="shared" si="2"/>
        <v>0.09859833771</v>
      </c>
      <c r="N2160" s="167">
        <f t="shared" si="3"/>
        <v>8.9975</v>
      </c>
      <c r="O2160" s="163">
        <f t="shared" ref="O2160:Q2160" si="2164">rank(I2160,I:I)</f>
        <v>1665</v>
      </c>
      <c r="P2160" s="163">
        <f t="shared" si="2164"/>
        <v>3511</v>
      </c>
      <c r="Q2160" s="163">
        <f t="shared" si="2164"/>
        <v>3799</v>
      </c>
      <c r="R2160" s="163">
        <f>IFERROR(__xludf.DUMMYFUNCTION("RANK(M2160,filter(M:M,C:C=C2160))"),398.0)</f>
        <v>398</v>
      </c>
      <c r="S2160" s="161" t="b">
        <f t="shared" si="5"/>
        <v>0</v>
      </c>
      <c r="T2160" s="161" t="b">
        <f t="array" ref="T2160">index('Query Tool'!B:B,match(H2160,'Query Tool'!C:C,0))</f>
        <v>1</v>
      </c>
      <c r="U2160" s="161" t="b">
        <f t="array" ref="U2160">index('Query Tool'!B:B,match(C2160,'Query Tool'!C:C,0))</f>
        <v>0</v>
      </c>
      <c r="V2160" s="161" t="b">
        <f>F2160&gt;='Query Tool'!C$32</f>
        <v>1</v>
      </c>
      <c r="W2160" s="161" t="b">
        <f t="array" ref="W2160">index(Dropdowns!B:B,match(I2160,Dropdowns!A:A,0))</f>
        <v>1</v>
      </c>
      <c r="X2160" s="161" t="b">
        <f t="array" ref="X2160">index('Query Tool'!B:B,match(D2160,'Query Tool'!C:C,0))</f>
        <v>1</v>
      </c>
      <c r="Y2160" s="161" t="str">
        <f t="shared" si="6"/>
        <v>paulbr01,2017-18</v>
      </c>
      <c r="Z2160" s="168" t="str">
        <f t="array" ref="Z2160">iferror(index(I:I,match($A2160&amp;","&amp;index('Year Conversion'!$A:$A,match($C2160,'Year Conversion'!$B:$B,0)),$Y:$Y,0))-I2160,"")</f>
        <v/>
      </c>
      <c r="AA2160" s="168" t="str">
        <f t="array" ref="AA2160">iferror(index(J:J,match($A2160&amp;","&amp;index('Year Conversion'!$A:$A,match($C2160,'Year Conversion'!$B:$B,0)),$Y:$Y,0))-J2160,"")</f>
        <v/>
      </c>
      <c r="AB2160" s="168" t="str">
        <f t="array" ref="AB2160">iferror(index(K:K,match($A2160&amp;","&amp;index('Year Conversion'!$A:$A,match($C2160,'Year Conversion'!$B:$B,0)),$Y:$Y,0))-K2160,"")</f>
        <v/>
      </c>
      <c r="AC2160" s="168" t="str">
        <f t="shared" si="7"/>
        <v>SAS,2017-18</v>
      </c>
    </row>
    <row r="2161">
      <c r="A2161" s="161" t="str">
        <f>IFERROR(__xludf.DUMMYFUNCTION("""COMPUTED_VALUE"""),"mccolcj01")</f>
        <v>mccolcj01</v>
      </c>
      <c r="B2161" s="161" t="str">
        <f>IFERROR(__xludf.DUMMYFUNCTION("""COMPUTED_VALUE"""),"CJ McCollum")</f>
        <v>CJ McCollum</v>
      </c>
      <c r="C2161" s="162" t="str">
        <f>IFERROR(__xludf.DUMMYFUNCTION("""COMPUTED_VALUE"""),"2017-18")</f>
        <v>2017-18</v>
      </c>
      <c r="D2161" s="163" t="str">
        <f>IFERROR(__xludf.DUMMYFUNCTION("""COMPUTED_VALUE"""),"POR")</f>
        <v>POR</v>
      </c>
      <c r="E2161" s="164" t="str">
        <f>IFERROR(__xludf.DUMMYFUNCTION("""COMPUTED_VALUE"""),"Primary Ball Handler")</f>
        <v>Primary Ball Handler</v>
      </c>
      <c r="F2161" s="164">
        <f>IFERROR(__xludf.DUMMYFUNCTION("""COMPUTED_VALUE"""),2923.67)</f>
        <v>2923.67</v>
      </c>
      <c r="G2161" s="163">
        <f>IFERROR(__xludf.DUMMYFUNCTION("""COMPUTED_VALUE"""),81.0)</f>
        <v>81</v>
      </c>
      <c r="H2161" s="163" t="str">
        <f>IFERROR(__xludf.DUMMYFUNCTION("""COMPUTED_VALUE"""),"SG")</f>
        <v>SG</v>
      </c>
      <c r="I2161" s="163">
        <f>IFERROR(__xludf.DUMMYFUNCTION("""COMPUTED_VALUE"""),26.0)</f>
        <v>26</v>
      </c>
      <c r="J2161" s="165">
        <f>IFERROR(__xludf.DUMMYFUNCTION("""COMPUTED_VALUE"""),0.805614060851013)</f>
        <v>0.8056140609</v>
      </c>
      <c r="K2161" s="165">
        <f>IFERROR(__xludf.DUMMYFUNCTION("""COMPUTED_VALUE"""),1.31534421356148)</f>
        <v>1.315344214</v>
      </c>
      <c r="L2161" s="165">
        <f>IFERROR(__xludf.DUMMYFUNCTION("""COMPUTED_VALUE"""),-0.509730152710471)</f>
        <v>-0.5097301527</v>
      </c>
      <c r="M2161" s="166">
        <f t="shared" si="2"/>
        <v>6.093847187</v>
      </c>
      <c r="N2161" s="167">
        <f t="shared" si="3"/>
        <v>36.09469136</v>
      </c>
      <c r="O2161" s="163">
        <f t="shared" ref="O2161:Q2161" si="2165">rank(I2161,I:I)</f>
        <v>1665</v>
      </c>
      <c r="P2161" s="163">
        <f t="shared" si="2165"/>
        <v>737</v>
      </c>
      <c r="Q2161" s="163">
        <f t="shared" si="2165"/>
        <v>378</v>
      </c>
      <c r="R2161" s="163">
        <f>IFERROR(__xludf.DUMMYFUNCTION("RANK(M2161,filter(M:M,C:C=C2161))"),38.0)</f>
        <v>38</v>
      </c>
      <c r="S2161" s="161" t="b">
        <f t="shared" si="5"/>
        <v>0</v>
      </c>
      <c r="T2161" s="161" t="b">
        <f t="array" ref="T2161">index('Query Tool'!B:B,match(H2161,'Query Tool'!C:C,0))</f>
        <v>1</v>
      </c>
      <c r="U2161" s="161" t="b">
        <f t="array" ref="U2161">index('Query Tool'!B:B,match(C2161,'Query Tool'!C:C,0))</f>
        <v>0</v>
      </c>
      <c r="V2161" s="161" t="b">
        <f>F2161&gt;='Query Tool'!C$32</f>
        <v>1</v>
      </c>
      <c r="W2161" s="161" t="b">
        <f t="array" ref="W2161">index(Dropdowns!B:B,match(I2161,Dropdowns!A:A,0))</f>
        <v>1</v>
      </c>
      <c r="X2161" s="161" t="b">
        <f t="array" ref="X2161">index('Query Tool'!B:B,match(D2161,'Query Tool'!C:C,0))</f>
        <v>1</v>
      </c>
      <c r="Y2161" s="161" t="str">
        <f t="shared" si="6"/>
        <v>mccolcj01,2017-18</v>
      </c>
      <c r="Z2161" s="168">
        <f t="array" ref="Z2161">iferror(index(I:I,match($A2161&amp;","&amp;index('Year Conversion'!$A:$A,match($C2161,'Year Conversion'!$B:$B,0)),$Y:$Y,0))-I2161,"")</f>
        <v>1</v>
      </c>
      <c r="AA2161" s="168">
        <f t="array" ref="AA2161">iferror(index(J:J,match($A2161&amp;","&amp;index('Year Conversion'!$A:$A,match($C2161,'Year Conversion'!$B:$B,0)),$Y:$Y,0))-J2161,"")</f>
        <v>0.1536725252</v>
      </c>
      <c r="AB2161" s="168">
        <f t="array" ref="AB2161">iferror(index(K:K,match($A2161&amp;","&amp;index('Year Conversion'!$A:$A,match($C2161,'Year Conversion'!$B:$B,0)),$Y:$Y,0))-K2161,"")</f>
        <v>0.1497618307</v>
      </c>
      <c r="AC2161" s="168" t="str">
        <f t="shared" si="7"/>
        <v>POR,2017-18</v>
      </c>
    </row>
    <row r="2162">
      <c r="A2162" s="161" t="str">
        <f>IFERROR(__xludf.DUMMYFUNCTION("""COMPUTED_VALUE"""),"zelleco01")</f>
        <v>zelleco01</v>
      </c>
      <c r="B2162" s="161" t="str">
        <f>IFERROR(__xludf.DUMMYFUNCTION("""COMPUTED_VALUE"""),"Cody Zeller")</f>
        <v>Cody Zeller</v>
      </c>
      <c r="C2162" s="162" t="str">
        <f>IFERROR(__xludf.DUMMYFUNCTION("""COMPUTED_VALUE"""),"2017-18")</f>
        <v>2017-18</v>
      </c>
      <c r="D2162" s="163" t="str">
        <f>IFERROR(__xludf.DUMMYFUNCTION("""COMPUTED_VALUE"""),"CHO")</f>
        <v>CHO</v>
      </c>
      <c r="E2162" s="164" t="str">
        <f>IFERROR(__xludf.DUMMYFUNCTION("""COMPUTED_VALUE"""),"Roll + Cut Big")</f>
        <v>Roll + Cut Big</v>
      </c>
      <c r="F2162" s="164">
        <f>IFERROR(__xludf.DUMMYFUNCTION("""COMPUTED_VALUE"""),627.183333333333)</f>
        <v>627.1833333</v>
      </c>
      <c r="G2162" s="163">
        <f>IFERROR(__xludf.DUMMYFUNCTION("""COMPUTED_VALUE"""),33.0)</f>
        <v>33</v>
      </c>
      <c r="H2162" s="163" t="str">
        <f>IFERROR(__xludf.DUMMYFUNCTION("""COMPUTED_VALUE"""),"C")</f>
        <v>C</v>
      </c>
      <c r="I2162" s="163">
        <f>IFERROR(__xludf.DUMMYFUNCTION("""COMPUTED_VALUE"""),25.0)</f>
        <v>25</v>
      </c>
      <c r="J2162" s="165">
        <f>IFERROR(__xludf.DUMMYFUNCTION("""COMPUTED_VALUE"""),-0.064065115357555)</f>
        <v>-0.06406511536</v>
      </c>
      <c r="K2162" s="165">
        <f>IFERROR(__xludf.DUMMYFUNCTION("""COMPUTED_VALUE"""),-0.948222733033287)</f>
        <v>-0.948222733</v>
      </c>
      <c r="L2162" s="165">
        <f>IFERROR(__xludf.DUMMYFUNCTION("""COMPUTED_VALUE"""),0.884157617675732)</f>
        <v>0.8841576177</v>
      </c>
      <c r="M2162" s="166">
        <f t="shared" si="2"/>
        <v>0.9398184605</v>
      </c>
      <c r="N2162" s="167">
        <f t="shared" si="3"/>
        <v>19.00555556</v>
      </c>
      <c r="O2162" s="163">
        <f t="shared" ref="O2162:Q2162" si="2166">rank(I2162,I:I)</f>
        <v>1995</v>
      </c>
      <c r="P2162" s="163">
        <f t="shared" si="2166"/>
        <v>1353</v>
      </c>
      <c r="Q2162" s="163">
        <f t="shared" si="2166"/>
        <v>2744</v>
      </c>
      <c r="R2162" s="163">
        <f>IFERROR(__xludf.DUMMYFUNCTION("RANK(M2162,filter(M:M,C:C=C2162))"),242.0)</f>
        <v>242</v>
      </c>
      <c r="S2162" s="161" t="b">
        <f t="shared" si="5"/>
        <v>0</v>
      </c>
      <c r="T2162" s="161" t="b">
        <f t="array" ref="T2162">index('Query Tool'!B:B,match(H2162,'Query Tool'!C:C,0))</f>
        <v>1</v>
      </c>
      <c r="U2162" s="161" t="b">
        <f t="array" ref="U2162">index('Query Tool'!B:B,match(C2162,'Query Tool'!C:C,0))</f>
        <v>0</v>
      </c>
      <c r="V2162" s="161" t="b">
        <f>F2162&gt;='Query Tool'!C$32</f>
        <v>1</v>
      </c>
      <c r="W2162" s="161" t="b">
        <f t="array" ref="W2162">index(Dropdowns!B:B,match(I2162,Dropdowns!A:A,0))</f>
        <v>1</v>
      </c>
      <c r="X2162" s="161" t="b">
        <f t="array" ref="X2162">index('Query Tool'!B:B,match(D2162,'Query Tool'!C:C,0))</f>
        <v>1</v>
      </c>
      <c r="Y2162" s="161" t="str">
        <f t="shared" si="6"/>
        <v>zelleco01,2017-18</v>
      </c>
      <c r="Z2162" s="168">
        <f t="array" ref="Z2162">iferror(index(I:I,match($A2162&amp;","&amp;index('Year Conversion'!$A:$A,match($C2162,'Year Conversion'!$B:$B,0)),$Y:$Y,0))-I2162,"")</f>
        <v>1</v>
      </c>
      <c r="AA2162" s="168">
        <f t="array" ref="AA2162">iferror(index(J:J,match($A2162&amp;","&amp;index('Year Conversion'!$A:$A,match($C2162,'Year Conversion'!$B:$B,0)),$Y:$Y,0))-J2162,"")</f>
        <v>0.875526581</v>
      </c>
      <c r="AB2162" s="168">
        <f t="array" ref="AB2162">iferror(index(K:K,match($A2162&amp;","&amp;index('Year Conversion'!$A:$A,match($C2162,'Year Conversion'!$B:$B,0)),$Y:$Y,0))-K2162,"")</f>
        <v>1.00200478</v>
      </c>
      <c r="AC2162" s="168" t="str">
        <f t="shared" si="7"/>
        <v>CHO,2017-18</v>
      </c>
    </row>
    <row r="2163">
      <c r="A2163" s="161" t="str">
        <f>IFERROR(__xludf.DUMMYFUNCTION("""COMPUTED_VALUE"""),"schrode01")</f>
        <v>schrode01</v>
      </c>
      <c r="B2163" s="161" t="str">
        <f>IFERROR(__xludf.DUMMYFUNCTION("""COMPUTED_VALUE"""),"Dennis Schroder")</f>
        <v>Dennis Schroder</v>
      </c>
      <c r="C2163" s="162" t="str">
        <f>IFERROR(__xludf.DUMMYFUNCTION("""COMPUTED_VALUE"""),"2017-18")</f>
        <v>2017-18</v>
      </c>
      <c r="D2163" s="163" t="str">
        <f>IFERROR(__xludf.DUMMYFUNCTION("""COMPUTED_VALUE"""),"ATL")</f>
        <v>ATL</v>
      </c>
      <c r="E2163" s="164" t="str">
        <f>IFERROR(__xludf.DUMMYFUNCTION("""COMPUTED_VALUE"""),"Shot Creator")</f>
        <v>Shot Creator</v>
      </c>
      <c r="F2163" s="164">
        <f>IFERROR(__xludf.DUMMYFUNCTION("""COMPUTED_VALUE"""),2077.92166666667)</f>
        <v>2077.921667</v>
      </c>
      <c r="G2163" s="163">
        <f>IFERROR(__xludf.DUMMYFUNCTION("""COMPUTED_VALUE"""),67.0)</f>
        <v>67</v>
      </c>
      <c r="H2163" s="163" t="str">
        <f>IFERROR(__xludf.DUMMYFUNCTION("""COMPUTED_VALUE"""),"PG")</f>
        <v>PG</v>
      </c>
      <c r="I2163" s="163">
        <f>IFERROR(__xludf.DUMMYFUNCTION("""COMPUTED_VALUE"""),24.0)</f>
        <v>24</v>
      </c>
      <c r="J2163" s="165">
        <f>IFERROR(__xludf.DUMMYFUNCTION("""COMPUTED_VALUE"""),-0.3124816640807)</f>
        <v>-0.3124816641</v>
      </c>
      <c r="K2163" s="165">
        <f>IFERROR(__xludf.DUMMYFUNCTION("""COMPUTED_VALUE"""),1.22346320636893)</f>
        <v>1.223463206</v>
      </c>
      <c r="L2163" s="165">
        <f>IFERROR(__xludf.DUMMYFUNCTION("""COMPUTED_VALUE"""),-1.53594487044963)</f>
        <v>-1.53594487</v>
      </c>
      <c r="M2163" s="166">
        <f t="shared" si="2"/>
        <v>2.76576212</v>
      </c>
      <c r="N2163" s="167">
        <f t="shared" si="3"/>
        <v>31.01375622</v>
      </c>
      <c r="O2163" s="163">
        <f t="shared" ref="O2163:Q2163" si="2167">rank(I2163,I:I)</f>
        <v>2361</v>
      </c>
      <c r="P2163" s="163">
        <f t="shared" si="2167"/>
        <v>1631</v>
      </c>
      <c r="Q2163" s="163">
        <f t="shared" si="2167"/>
        <v>411</v>
      </c>
      <c r="R2163" s="163">
        <f>IFERROR(__xludf.DUMMYFUNCTION("RANK(M2163,filter(M:M,C:C=C2163))"),118.0)</f>
        <v>118</v>
      </c>
      <c r="S2163" s="161" t="b">
        <f t="shared" si="5"/>
        <v>0</v>
      </c>
      <c r="T2163" s="161" t="b">
        <f t="array" ref="T2163">index('Query Tool'!B:B,match(H2163,'Query Tool'!C:C,0))</f>
        <v>1</v>
      </c>
      <c r="U2163" s="161" t="b">
        <f t="array" ref="U2163">index('Query Tool'!B:B,match(C2163,'Query Tool'!C:C,0))</f>
        <v>0</v>
      </c>
      <c r="V2163" s="161" t="b">
        <f>F2163&gt;='Query Tool'!C$32</f>
        <v>1</v>
      </c>
      <c r="W2163" s="161" t="b">
        <f t="array" ref="W2163">index(Dropdowns!B:B,match(I2163,Dropdowns!A:A,0))</f>
        <v>1</v>
      </c>
      <c r="X2163" s="161" t="b">
        <f t="array" ref="X2163">index('Query Tool'!B:B,match(D2163,'Query Tool'!C:C,0))</f>
        <v>1</v>
      </c>
      <c r="Y2163" s="161" t="str">
        <f t="shared" si="6"/>
        <v>schrode01,2017-18</v>
      </c>
      <c r="Z2163" s="168">
        <f t="array" ref="Z2163">iferror(index(I:I,match($A2163&amp;","&amp;index('Year Conversion'!$A:$A,match($C2163,'Year Conversion'!$B:$B,0)),$Y:$Y,0))-I2163,"")</f>
        <v>1</v>
      </c>
      <c r="AA2163" s="168">
        <f t="array" ref="AA2163">iferror(index(J:J,match($A2163&amp;","&amp;index('Year Conversion'!$A:$A,match($C2163,'Year Conversion'!$B:$B,0)),$Y:$Y,0))-J2163,"")</f>
        <v>-0.3325017211</v>
      </c>
      <c r="AB2163" s="168">
        <f t="array" ref="AB2163">iferror(index(K:K,match($A2163&amp;","&amp;index('Year Conversion'!$A:$A,match($C2163,'Year Conversion'!$B:$B,0)),$Y:$Y,0))-K2163,"")</f>
        <v>-1.122102894</v>
      </c>
      <c r="AC2163" s="168" t="str">
        <f t="shared" si="7"/>
        <v>ATL,2017-18</v>
      </c>
    </row>
    <row r="2164">
      <c r="A2164" s="161" t="str">
        <f>IFERROR(__xludf.DUMMYFUNCTION("""COMPUTED_VALUE"""),"dedmode01")</f>
        <v>dedmode01</v>
      </c>
      <c r="B2164" s="161" t="str">
        <f>IFERROR(__xludf.DUMMYFUNCTION("""COMPUTED_VALUE"""),"Dewayne Dedmon")</f>
        <v>Dewayne Dedmon</v>
      </c>
      <c r="C2164" s="162" t="str">
        <f>IFERROR(__xludf.DUMMYFUNCTION("""COMPUTED_VALUE"""),"2017-18")</f>
        <v>2017-18</v>
      </c>
      <c r="D2164" s="163" t="str">
        <f>IFERROR(__xludf.DUMMYFUNCTION("""COMPUTED_VALUE"""),"ATL")</f>
        <v>ATL</v>
      </c>
      <c r="E2164" s="164" t="str">
        <f>IFERROR(__xludf.DUMMYFUNCTION("""COMPUTED_VALUE"""),"Stretch Big")</f>
        <v>Stretch Big</v>
      </c>
      <c r="F2164" s="164">
        <f>IFERROR(__xludf.DUMMYFUNCTION("""COMPUTED_VALUE"""),1542.27333333333)</f>
        <v>1542.273333</v>
      </c>
      <c r="G2164" s="163">
        <f>IFERROR(__xludf.DUMMYFUNCTION("""COMPUTED_VALUE"""),62.0)</f>
        <v>62</v>
      </c>
      <c r="H2164" s="163" t="str">
        <f>IFERROR(__xludf.DUMMYFUNCTION("""COMPUTED_VALUE"""),"C")</f>
        <v>C</v>
      </c>
      <c r="I2164" s="163">
        <f>IFERROR(__xludf.DUMMYFUNCTION("""COMPUTED_VALUE"""),28.0)</f>
        <v>28</v>
      </c>
      <c r="J2164" s="165">
        <f>IFERROR(__xludf.DUMMYFUNCTION("""COMPUTED_VALUE"""),-0.662172942937998)</f>
        <v>-0.6621729429</v>
      </c>
      <c r="K2164" s="165">
        <f>IFERROR(__xludf.DUMMYFUNCTION("""COMPUTED_VALUE"""),-1.22616942980186)</f>
        <v>-1.22616943</v>
      </c>
      <c r="L2164" s="165">
        <f>IFERROR(__xludf.DUMMYFUNCTION("""COMPUTED_VALUE"""),0.56399648686386)</f>
        <v>0.5639964869</v>
      </c>
      <c r="M2164" s="166">
        <f t="shared" si="2"/>
        <v>1.689572995</v>
      </c>
      <c r="N2164" s="167">
        <f t="shared" si="3"/>
        <v>24.87537634</v>
      </c>
      <c r="O2164" s="163">
        <f t="shared" ref="O2164:Q2164" si="2168">rank(I2164,I:I)</f>
        <v>1090</v>
      </c>
      <c r="P2164" s="163">
        <f t="shared" si="2168"/>
        <v>2082</v>
      </c>
      <c r="Q2164" s="163">
        <f t="shared" si="2168"/>
        <v>3059</v>
      </c>
      <c r="R2164" s="163">
        <f>IFERROR(__xludf.DUMMYFUNCTION("RANK(M2164,filter(M:M,C:C=C2164))"),177.0)</f>
        <v>177</v>
      </c>
      <c r="S2164" s="161" t="b">
        <f t="shared" si="5"/>
        <v>0</v>
      </c>
      <c r="T2164" s="161" t="b">
        <f t="array" ref="T2164">index('Query Tool'!B:B,match(H2164,'Query Tool'!C:C,0))</f>
        <v>1</v>
      </c>
      <c r="U2164" s="161" t="b">
        <f t="array" ref="U2164">index('Query Tool'!B:B,match(C2164,'Query Tool'!C:C,0))</f>
        <v>0</v>
      </c>
      <c r="V2164" s="161" t="b">
        <f>F2164&gt;='Query Tool'!C$32</f>
        <v>1</v>
      </c>
      <c r="W2164" s="161" t="b">
        <f t="array" ref="W2164">index(Dropdowns!B:B,match(I2164,Dropdowns!A:A,0))</f>
        <v>1</v>
      </c>
      <c r="X2164" s="161" t="b">
        <f t="array" ref="X2164">index('Query Tool'!B:B,match(D2164,'Query Tool'!C:C,0))</f>
        <v>1</v>
      </c>
      <c r="Y2164" s="161" t="str">
        <f t="shared" si="6"/>
        <v>dedmode01,2017-18</v>
      </c>
      <c r="Z2164" s="168">
        <f t="array" ref="Z2164">iferror(index(I:I,match($A2164&amp;","&amp;index('Year Conversion'!$A:$A,match($C2164,'Year Conversion'!$B:$B,0)),$Y:$Y,0))-I2164,"")</f>
        <v>1</v>
      </c>
      <c r="AA2164" s="168">
        <f t="array" ref="AA2164">iferror(index(J:J,match($A2164&amp;","&amp;index('Year Conversion'!$A:$A,match($C2164,'Year Conversion'!$B:$B,0)),$Y:$Y,0))-J2164,"")</f>
        <v>0.3176139319</v>
      </c>
      <c r="AB2164" s="168">
        <f t="array" ref="AB2164">iferror(index(K:K,match($A2164&amp;","&amp;index('Year Conversion'!$A:$A,match($C2164,'Year Conversion'!$B:$B,0)),$Y:$Y,0))-K2164,"")</f>
        <v>-0.01544938068</v>
      </c>
      <c r="AC2164" s="168" t="str">
        <f t="shared" si="7"/>
        <v>ATL,2017-18</v>
      </c>
    </row>
    <row r="2165">
      <c r="A2165" s="161" t="str">
        <f>IFERROR(__xludf.DUMMYFUNCTION("""COMPUTED_VALUE"""),"dienggo01")</f>
        <v>dienggo01</v>
      </c>
      <c r="B2165" s="161" t="str">
        <f>IFERROR(__xludf.DUMMYFUNCTION("""COMPUTED_VALUE"""),"Gorgui Dieng")</f>
        <v>Gorgui Dieng</v>
      </c>
      <c r="C2165" s="162" t="str">
        <f>IFERROR(__xludf.DUMMYFUNCTION("""COMPUTED_VALUE"""),"2017-18")</f>
        <v>2017-18</v>
      </c>
      <c r="D2165" s="163" t="str">
        <f>IFERROR(__xludf.DUMMYFUNCTION("""COMPUTED_VALUE"""),"MIN")</f>
        <v>MIN</v>
      </c>
      <c r="E2165" s="164" t="str">
        <f>IFERROR(__xludf.DUMMYFUNCTION("""COMPUTED_VALUE"""),"Roll + Cut Big")</f>
        <v>Roll + Cut Big</v>
      </c>
      <c r="F2165" s="164">
        <f>IFERROR(__xludf.DUMMYFUNCTION("""COMPUTED_VALUE"""),1332.615)</f>
        <v>1332.615</v>
      </c>
      <c r="G2165" s="163">
        <f>IFERROR(__xludf.DUMMYFUNCTION("""COMPUTED_VALUE"""),79.0)</f>
        <v>79</v>
      </c>
      <c r="H2165" s="163" t="str">
        <f>IFERROR(__xludf.DUMMYFUNCTION("""COMPUTED_VALUE"""),"C")</f>
        <v>C</v>
      </c>
      <c r="I2165" s="163">
        <f>IFERROR(__xludf.DUMMYFUNCTION("""COMPUTED_VALUE"""),28.0)</f>
        <v>28</v>
      </c>
      <c r="J2165" s="165">
        <f>IFERROR(__xludf.DUMMYFUNCTION("""COMPUTED_VALUE"""),-1.54056970601155)</f>
        <v>-1.540569706</v>
      </c>
      <c r="K2165" s="165">
        <f>IFERROR(__xludf.DUMMYFUNCTION("""COMPUTED_VALUE"""),-1.39554713984006)</f>
        <v>-1.39554714</v>
      </c>
      <c r="L2165" s="165">
        <f>IFERROR(__xludf.DUMMYFUNCTION("""COMPUTED_VALUE"""),-0.145022566171487)</f>
        <v>-0.1450225662</v>
      </c>
      <c r="M2165" s="166">
        <f t="shared" si="2"/>
        <v>0.6748911374</v>
      </c>
      <c r="N2165" s="167">
        <f t="shared" si="3"/>
        <v>16.8685443</v>
      </c>
      <c r="O2165" s="163">
        <f t="shared" ref="O2165:Q2165" si="2169">rank(I2165,I:I)</f>
        <v>1090</v>
      </c>
      <c r="P2165" s="163">
        <f t="shared" si="2169"/>
        <v>3088</v>
      </c>
      <c r="Q2165" s="163">
        <f t="shared" si="2169"/>
        <v>3249</v>
      </c>
      <c r="R2165" s="163">
        <f>IFERROR(__xludf.DUMMYFUNCTION("RANK(M2165,filter(M:M,C:C=C2165))"),271.0)</f>
        <v>271</v>
      </c>
      <c r="S2165" s="161" t="b">
        <f t="shared" si="5"/>
        <v>0</v>
      </c>
      <c r="T2165" s="161" t="b">
        <f t="array" ref="T2165">index('Query Tool'!B:B,match(H2165,'Query Tool'!C:C,0))</f>
        <v>1</v>
      </c>
      <c r="U2165" s="161" t="b">
        <f t="array" ref="U2165">index('Query Tool'!B:B,match(C2165,'Query Tool'!C:C,0))</f>
        <v>0</v>
      </c>
      <c r="V2165" s="161" t="b">
        <f>F2165&gt;='Query Tool'!C$32</f>
        <v>1</v>
      </c>
      <c r="W2165" s="161" t="b">
        <f t="array" ref="W2165">index(Dropdowns!B:B,match(I2165,Dropdowns!A:A,0))</f>
        <v>1</v>
      </c>
      <c r="X2165" s="161" t="b">
        <f t="array" ref="X2165">index('Query Tool'!B:B,match(D2165,'Query Tool'!C:C,0))</f>
        <v>1</v>
      </c>
      <c r="Y2165" s="161" t="str">
        <f t="shared" si="6"/>
        <v>dienggo01,2017-18</v>
      </c>
      <c r="Z2165" s="168">
        <f t="array" ref="Z2165">iferror(index(I:I,match($A2165&amp;","&amp;index('Year Conversion'!$A:$A,match($C2165,'Year Conversion'!$B:$B,0)),$Y:$Y,0))-I2165,"")</f>
        <v>1</v>
      </c>
      <c r="AA2165" s="168">
        <f t="array" ref="AA2165">iferror(index(J:J,match($A2165&amp;","&amp;index('Year Conversion'!$A:$A,match($C2165,'Year Conversion'!$B:$B,0)),$Y:$Y,0))-J2165,"")</f>
        <v>1.891853643</v>
      </c>
      <c r="AB2165" s="168">
        <f t="array" ref="AB2165">iferror(index(K:K,match($A2165&amp;","&amp;index('Year Conversion'!$A:$A,match($C2165,'Year Conversion'!$B:$B,0)),$Y:$Y,0))-K2165,"")</f>
        <v>0.6425789679</v>
      </c>
      <c r="AC2165" s="168" t="str">
        <f t="shared" si="7"/>
        <v>MIN,2017-18</v>
      </c>
    </row>
    <row r="2166">
      <c r="A2166" s="161" t="str">
        <f>IFERROR(__xludf.DUMMYFUNCTION("""COMPUTED_VALUE"""),"canaais01")</f>
        <v>canaais01</v>
      </c>
      <c r="B2166" s="161" t="str">
        <f>IFERROR(__xludf.DUMMYFUNCTION("""COMPUTED_VALUE"""),"Isaiah Canaan")</f>
        <v>Isaiah Canaan</v>
      </c>
      <c r="C2166" s="162" t="str">
        <f>IFERROR(__xludf.DUMMYFUNCTION("""COMPUTED_VALUE"""),"2017-18")</f>
        <v>2017-18</v>
      </c>
      <c r="D2166" s="163" t="str">
        <f>IFERROR(__xludf.DUMMYFUNCTION("""COMPUTED_VALUE"""),"TOT")</f>
        <v>TOT</v>
      </c>
      <c r="E2166" s="164" t="str">
        <f>IFERROR(__xludf.DUMMYFUNCTION("""COMPUTED_VALUE"""),"Secondary Ball Handler")</f>
        <v>Secondary Ball Handler</v>
      </c>
      <c r="F2166" s="164">
        <f>IFERROR(__xludf.DUMMYFUNCTION("""COMPUTED_VALUE"""),421.693333333333)</f>
        <v>421.6933333</v>
      </c>
      <c r="G2166" s="163">
        <f>IFERROR(__xludf.DUMMYFUNCTION("""COMPUTED_VALUE"""),20.0)</f>
        <v>20</v>
      </c>
      <c r="H2166" s="163" t="str">
        <f>IFERROR(__xludf.DUMMYFUNCTION("""COMPUTED_VALUE"""),"PG-SG")</f>
        <v>PG-SG</v>
      </c>
      <c r="I2166" s="163">
        <f>IFERROR(__xludf.DUMMYFUNCTION("""COMPUTED_VALUE"""),26.0)</f>
        <v>26</v>
      </c>
      <c r="J2166" s="165">
        <f>IFERROR(__xludf.DUMMYFUNCTION("""COMPUTED_VALUE"""),0.344395345668512)</f>
        <v>0.3443953457</v>
      </c>
      <c r="K2166" s="165">
        <f>IFERROR(__xludf.DUMMYFUNCTION("""COMPUTED_VALUE"""),0.812932467278108)</f>
        <v>0.8129324673</v>
      </c>
      <c r="L2166" s="165">
        <f>IFERROR(__xludf.DUMMYFUNCTION("""COMPUTED_VALUE"""),-0.468537121609596)</f>
        <v>-0.4685371216</v>
      </c>
      <c r="M2166" s="166">
        <f t="shared" si="2"/>
        <v>0.7480064878</v>
      </c>
      <c r="N2166" s="167">
        <f t="shared" si="3"/>
        <v>21.08466667</v>
      </c>
      <c r="O2166" s="163">
        <f t="shared" ref="O2166:Q2166" si="2170">rank(I2166,I:I)</f>
        <v>1665</v>
      </c>
      <c r="P2166" s="163">
        <f t="shared" si="2170"/>
        <v>986</v>
      </c>
      <c r="Q2166" s="163">
        <f t="shared" si="2170"/>
        <v>597</v>
      </c>
      <c r="R2166" s="163">
        <f>IFERROR(__xludf.DUMMYFUNCTION("RANK(M2166,filter(M:M,C:C=C2166))"),264.0)</f>
        <v>264</v>
      </c>
      <c r="S2166" s="161" t="b">
        <f t="shared" si="5"/>
        <v>0</v>
      </c>
      <c r="T2166" s="161" t="str">
        <f t="array" ref="T2166">index('Query Tool'!B:B,match(H2166,'Query Tool'!C:C,0))</f>
        <v>#N/A</v>
      </c>
      <c r="U2166" s="161" t="b">
        <f t="array" ref="U2166">index('Query Tool'!B:B,match(C2166,'Query Tool'!C:C,0))</f>
        <v>0</v>
      </c>
      <c r="V2166" s="161" t="b">
        <f>F2166&gt;='Query Tool'!C$32</f>
        <v>0</v>
      </c>
      <c r="W2166" s="161" t="b">
        <f t="array" ref="W2166">index(Dropdowns!B:B,match(I2166,Dropdowns!A:A,0))</f>
        <v>1</v>
      </c>
      <c r="X2166" s="161" t="b">
        <f t="array" ref="X2166">index('Query Tool'!B:B,match(D2166,'Query Tool'!C:C,0))</f>
        <v>1</v>
      </c>
      <c r="Y2166" s="161" t="str">
        <f t="shared" si="6"/>
        <v>canaais01,2017-18</v>
      </c>
      <c r="Z2166" s="168">
        <f t="array" ref="Z2166">iferror(index(I:I,match($A2166&amp;","&amp;index('Year Conversion'!$A:$A,match($C2166,'Year Conversion'!$B:$B,0)),$Y:$Y,0))-I2166,"")</f>
        <v>1</v>
      </c>
      <c r="AA2166" s="168">
        <f t="array" ref="AA2166">iferror(index(J:J,match($A2166&amp;","&amp;index('Year Conversion'!$A:$A,match($C2166,'Year Conversion'!$B:$B,0)),$Y:$Y,0))-J2166,"")</f>
        <v>-3.220345256</v>
      </c>
      <c r="AB2166" s="168">
        <f t="array" ref="AB2166">iferror(index(K:K,match($A2166&amp;","&amp;index('Year Conversion'!$A:$A,match($C2166,'Year Conversion'!$B:$B,0)),$Y:$Y,0))-K2166,"")</f>
        <v>-2.497340928</v>
      </c>
      <c r="AC2166" s="168" t="str">
        <f t="shared" si="7"/>
        <v>TOT,2017-18</v>
      </c>
    </row>
    <row r="2167">
      <c r="A2167" s="161" t="str">
        <f>IFERROR(__xludf.DUMMYFUNCTION("""COMPUTED_VALUE"""),"witheje01")</f>
        <v>witheje01</v>
      </c>
      <c r="B2167" s="161" t="str">
        <f>IFERROR(__xludf.DUMMYFUNCTION("""COMPUTED_VALUE"""),"Jeff Withey")</f>
        <v>Jeff Withey</v>
      </c>
      <c r="C2167" s="162" t="str">
        <f>IFERROR(__xludf.DUMMYFUNCTION("""COMPUTED_VALUE"""),"2017-18")</f>
        <v>2017-18</v>
      </c>
      <c r="D2167" s="163" t="str">
        <f>IFERROR(__xludf.DUMMYFUNCTION("""COMPUTED_VALUE"""),"DAL")</f>
        <v>DAL</v>
      </c>
      <c r="E2167" s="164" t="str">
        <f>IFERROR(__xludf.DUMMYFUNCTION("""COMPUTED_VALUE"""),"Versatile Big")</f>
        <v>Versatile Big</v>
      </c>
      <c r="F2167" s="164">
        <f>IFERROR(__xludf.DUMMYFUNCTION("""COMPUTED_VALUE"""),39.3)</f>
        <v>39.3</v>
      </c>
      <c r="G2167" s="163">
        <f>IFERROR(__xludf.DUMMYFUNCTION("""COMPUTED_VALUE"""),9.0)</f>
        <v>9</v>
      </c>
      <c r="H2167" s="163" t="str">
        <f>IFERROR(__xludf.DUMMYFUNCTION("""COMPUTED_VALUE"""),"C")</f>
        <v>C</v>
      </c>
      <c r="I2167" s="163">
        <f>IFERROR(__xludf.DUMMYFUNCTION("""COMPUTED_VALUE"""),27.0)</f>
        <v>27</v>
      </c>
      <c r="J2167" s="165">
        <f>IFERROR(__xludf.DUMMYFUNCTION("""COMPUTED_VALUE"""),0.127323294459922)</f>
        <v>0.1273232945</v>
      </c>
      <c r="K2167" s="165">
        <f>IFERROR(__xludf.DUMMYFUNCTION("""COMPUTED_VALUE"""),-0.0520012207121396)</f>
        <v>-0.05200122071</v>
      </c>
      <c r="L2167" s="165">
        <f>IFERROR(__xludf.DUMMYFUNCTION("""COMPUTED_VALUE"""),0.179324515172062)</f>
        <v>0.1793245152</v>
      </c>
      <c r="M2167" s="166">
        <f t="shared" si="2"/>
        <v>0.06396093871</v>
      </c>
      <c r="N2167" s="167">
        <f t="shared" si="3"/>
        <v>4.366666667</v>
      </c>
      <c r="O2167" s="163">
        <f t="shared" ref="O2167:Q2167" si="2171">rank(I2167,I:I)</f>
        <v>1366</v>
      </c>
      <c r="P2167" s="163">
        <f t="shared" si="2171"/>
        <v>1155</v>
      </c>
      <c r="Q2167" s="163">
        <f t="shared" si="2171"/>
        <v>1279</v>
      </c>
      <c r="R2167" s="163">
        <f>IFERROR(__xludf.DUMMYFUNCTION("RANK(M2167,filter(M:M,C:C=C2167))"),418.0)</f>
        <v>418</v>
      </c>
      <c r="S2167" s="161" t="b">
        <f t="shared" si="5"/>
        <v>0</v>
      </c>
      <c r="T2167" s="161" t="b">
        <f t="array" ref="T2167">index('Query Tool'!B:B,match(H2167,'Query Tool'!C:C,0))</f>
        <v>1</v>
      </c>
      <c r="U2167" s="161" t="b">
        <f t="array" ref="U2167">index('Query Tool'!B:B,match(C2167,'Query Tool'!C:C,0))</f>
        <v>0</v>
      </c>
      <c r="V2167" s="161" t="b">
        <f>F2167&gt;='Query Tool'!C$32</f>
        <v>0</v>
      </c>
      <c r="W2167" s="161" t="b">
        <f t="array" ref="W2167">index(Dropdowns!B:B,match(I2167,Dropdowns!A:A,0))</f>
        <v>1</v>
      </c>
      <c r="X2167" s="161" t="b">
        <f t="array" ref="X2167">index('Query Tool'!B:B,match(D2167,'Query Tool'!C:C,0))</f>
        <v>1</v>
      </c>
      <c r="Y2167" s="161" t="str">
        <f t="shared" si="6"/>
        <v>witheje01,2017-18</v>
      </c>
      <c r="Z2167" s="168" t="str">
        <f t="array" ref="Z2167">iferror(index(I:I,match($A2167&amp;","&amp;index('Year Conversion'!$A:$A,match($C2167,'Year Conversion'!$B:$B,0)),$Y:$Y,0))-I2167,"")</f>
        <v/>
      </c>
      <c r="AA2167" s="168" t="str">
        <f t="array" ref="AA2167">iferror(index(J:J,match($A2167&amp;","&amp;index('Year Conversion'!$A:$A,match($C2167,'Year Conversion'!$B:$B,0)),$Y:$Y,0))-J2167,"")</f>
        <v/>
      </c>
      <c r="AB2167" s="168" t="str">
        <f t="array" ref="AB2167">iferror(index(K:K,match($A2167&amp;","&amp;index('Year Conversion'!$A:$A,match($C2167,'Year Conversion'!$B:$B,0)),$Y:$Y,0))-K2167,"")</f>
        <v/>
      </c>
      <c r="AC2167" s="168" t="str">
        <f t="shared" si="7"/>
        <v>DAL,2017-18</v>
      </c>
    </row>
    <row r="2168">
      <c r="A2168" s="161" t="str">
        <f>IFERROR(__xludf.DUMMYFUNCTION("""COMPUTED_VALUE"""),"olynyke01")</f>
        <v>olynyke01</v>
      </c>
      <c r="B2168" s="161" t="str">
        <f>IFERROR(__xludf.DUMMYFUNCTION("""COMPUTED_VALUE"""),"Kelly Olynyk")</f>
        <v>Kelly Olynyk</v>
      </c>
      <c r="C2168" s="162" t="str">
        <f>IFERROR(__xludf.DUMMYFUNCTION("""COMPUTED_VALUE"""),"2017-18")</f>
        <v>2017-18</v>
      </c>
      <c r="D2168" s="163" t="str">
        <f>IFERROR(__xludf.DUMMYFUNCTION("""COMPUTED_VALUE"""),"MIA")</f>
        <v>MIA</v>
      </c>
      <c r="E2168" s="164" t="str">
        <f>IFERROR(__xludf.DUMMYFUNCTION("""COMPUTED_VALUE"""),"Stretch Big")</f>
        <v>Stretch Big</v>
      </c>
      <c r="F2168" s="164">
        <f>IFERROR(__xludf.DUMMYFUNCTION("""COMPUTED_VALUE"""),1778.68166666667)</f>
        <v>1778.681667</v>
      </c>
      <c r="G2168" s="163">
        <f>IFERROR(__xludf.DUMMYFUNCTION("""COMPUTED_VALUE"""),76.0)</f>
        <v>76</v>
      </c>
      <c r="H2168" s="163" t="str">
        <f>IFERROR(__xludf.DUMMYFUNCTION("""COMPUTED_VALUE"""),"PF")</f>
        <v>PF</v>
      </c>
      <c r="I2168" s="163">
        <f>IFERROR(__xludf.DUMMYFUNCTION("""COMPUTED_VALUE"""),26.0)</f>
        <v>26</v>
      </c>
      <c r="J2168" s="165">
        <f>IFERROR(__xludf.DUMMYFUNCTION("""COMPUTED_VALUE"""),1.41390309657133)</f>
        <v>1.413903097</v>
      </c>
      <c r="K2168" s="165">
        <f>IFERROR(__xludf.DUMMYFUNCTION("""COMPUTED_VALUE"""),0.950685775622164)</f>
        <v>0.9506857756</v>
      </c>
      <c r="L2168" s="165">
        <f>IFERROR(__xludf.DUMMYFUNCTION("""COMPUTED_VALUE"""),0.463217320949165)</f>
        <v>0.4632173209</v>
      </c>
      <c r="M2168" s="166">
        <f t="shared" si="2"/>
        <v>4.43295003</v>
      </c>
      <c r="N2168" s="167">
        <f t="shared" si="3"/>
        <v>23.40370614</v>
      </c>
      <c r="O2168" s="163">
        <f t="shared" ref="O2168:Q2168" si="2172">rank(I2168,I:I)</f>
        <v>1665</v>
      </c>
      <c r="P2168" s="163">
        <f t="shared" si="2172"/>
        <v>490</v>
      </c>
      <c r="Q2168" s="163">
        <f t="shared" si="2172"/>
        <v>527</v>
      </c>
      <c r="R2168" s="163">
        <f>IFERROR(__xludf.DUMMYFUNCTION("RANK(M2168,filter(M:M,C:C=C2168))"),70.0)</f>
        <v>70</v>
      </c>
      <c r="S2168" s="161" t="b">
        <f t="shared" si="5"/>
        <v>0</v>
      </c>
      <c r="T2168" s="161" t="b">
        <f t="array" ref="T2168">index('Query Tool'!B:B,match(H2168,'Query Tool'!C:C,0))</f>
        <v>1</v>
      </c>
      <c r="U2168" s="161" t="b">
        <f t="array" ref="U2168">index('Query Tool'!B:B,match(C2168,'Query Tool'!C:C,0))</f>
        <v>0</v>
      </c>
      <c r="V2168" s="161" t="b">
        <f>F2168&gt;='Query Tool'!C$32</f>
        <v>1</v>
      </c>
      <c r="W2168" s="161" t="b">
        <f t="array" ref="W2168">index(Dropdowns!B:B,match(I2168,Dropdowns!A:A,0))</f>
        <v>1</v>
      </c>
      <c r="X2168" s="161" t="b">
        <f t="array" ref="X2168">index('Query Tool'!B:B,match(D2168,'Query Tool'!C:C,0))</f>
        <v>1</v>
      </c>
      <c r="Y2168" s="161" t="str">
        <f t="shared" si="6"/>
        <v>olynyke01,2017-18</v>
      </c>
      <c r="Z2168" s="168">
        <f t="array" ref="Z2168">iferror(index(I:I,match($A2168&amp;","&amp;index('Year Conversion'!$A:$A,match($C2168,'Year Conversion'!$B:$B,0)),$Y:$Y,0))-I2168,"")</f>
        <v>1</v>
      </c>
      <c r="AA2168" s="168">
        <f t="array" ref="AA2168">iferror(index(J:J,match($A2168&amp;","&amp;index('Year Conversion'!$A:$A,match($C2168,'Year Conversion'!$B:$B,0)),$Y:$Y,0))-J2168,"")</f>
        <v>-0.5572993049</v>
      </c>
      <c r="AB2168" s="168">
        <f t="array" ref="AB2168">iferror(index(K:K,match($A2168&amp;","&amp;index('Year Conversion'!$A:$A,match($C2168,'Year Conversion'!$B:$B,0)),$Y:$Y,0))-K2168,"")</f>
        <v>-1.305451983</v>
      </c>
      <c r="AC2168" s="168" t="str">
        <f t="shared" si="7"/>
        <v>MIA,2017-18</v>
      </c>
    </row>
    <row r="2169">
      <c r="A2169" s="161" t="str">
        <f>IFERROR(__xludf.DUMMYFUNCTION("""COMPUTED_VALUE"""),"caldwke01")</f>
        <v>caldwke01</v>
      </c>
      <c r="B2169" s="161" t="str">
        <f>IFERROR(__xludf.DUMMYFUNCTION("""COMPUTED_VALUE"""),"Kentavious Caldwell-Pope")</f>
        <v>Kentavious Caldwell-Pope</v>
      </c>
      <c r="C2169" s="162" t="str">
        <f>IFERROR(__xludf.DUMMYFUNCTION("""COMPUTED_VALUE"""),"2017-18")</f>
        <v>2017-18</v>
      </c>
      <c r="D2169" s="163" t="str">
        <f>IFERROR(__xludf.DUMMYFUNCTION("""COMPUTED_VALUE"""),"LAL")</f>
        <v>LAL</v>
      </c>
      <c r="E2169" s="164" t="str">
        <f>IFERROR(__xludf.DUMMYFUNCTION("""COMPUTED_VALUE"""),"Movement Shooter")</f>
        <v>Movement Shooter</v>
      </c>
      <c r="F2169" s="164">
        <f>IFERROR(__xludf.DUMMYFUNCTION("""COMPUTED_VALUE"""),2457.905)</f>
        <v>2457.905</v>
      </c>
      <c r="G2169" s="163">
        <f>IFERROR(__xludf.DUMMYFUNCTION("""COMPUTED_VALUE"""),74.0)</f>
        <v>74</v>
      </c>
      <c r="H2169" s="163" t="str">
        <f>IFERROR(__xludf.DUMMYFUNCTION("""COMPUTED_VALUE"""),"SG")</f>
        <v>SG</v>
      </c>
      <c r="I2169" s="163">
        <f>IFERROR(__xludf.DUMMYFUNCTION("""COMPUTED_VALUE"""),24.0)</f>
        <v>24</v>
      </c>
      <c r="J2169" s="165">
        <f>IFERROR(__xludf.DUMMYFUNCTION("""COMPUTED_VALUE"""),0.490183879042779)</f>
        <v>0.490183879</v>
      </c>
      <c r="K2169" s="165">
        <f>IFERROR(__xludf.DUMMYFUNCTION("""COMPUTED_VALUE"""),0.701516437331503)</f>
        <v>0.7015164373</v>
      </c>
      <c r="L2169" s="165">
        <f>IFERROR(__xludf.DUMMYFUNCTION("""COMPUTED_VALUE"""),-0.211332558288725)</f>
        <v>-0.2113325583</v>
      </c>
      <c r="M2169" s="166">
        <f t="shared" si="2"/>
        <v>4.601280202</v>
      </c>
      <c r="N2169" s="167">
        <f t="shared" si="3"/>
        <v>33.21493243</v>
      </c>
      <c r="O2169" s="163">
        <f t="shared" ref="O2169:Q2169" si="2173">rank(I2169,I:I)</f>
        <v>2361</v>
      </c>
      <c r="P2169" s="163">
        <f t="shared" si="2173"/>
        <v>905</v>
      </c>
      <c r="Q2169" s="163">
        <f t="shared" si="2173"/>
        <v>653</v>
      </c>
      <c r="R2169" s="163">
        <f>IFERROR(__xludf.DUMMYFUNCTION("RANK(M2169,filter(M:M,C:C=C2169))"),67.0)</f>
        <v>67</v>
      </c>
      <c r="S2169" s="161" t="b">
        <f t="shared" si="5"/>
        <v>0</v>
      </c>
      <c r="T2169" s="161" t="b">
        <f t="array" ref="T2169">index('Query Tool'!B:B,match(H2169,'Query Tool'!C:C,0))</f>
        <v>1</v>
      </c>
      <c r="U2169" s="161" t="b">
        <f t="array" ref="U2169">index('Query Tool'!B:B,match(C2169,'Query Tool'!C:C,0))</f>
        <v>0</v>
      </c>
      <c r="V2169" s="161" t="b">
        <f>F2169&gt;='Query Tool'!C$32</f>
        <v>1</v>
      </c>
      <c r="W2169" s="161" t="b">
        <f t="array" ref="W2169">index(Dropdowns!B:B,match(I2169,Dropdowns!A:A,0))</f>
        <v>1</v>
      </c>
      <c r="X2169" s="161" t="b">
        <f t="array" ref="X2169">index('Query Tool'!B:B,match(D2169,'Query Tool'!C:C,0))</f>
        <v>1</v>
      </c>
      <c r="Y2169" s="161" t="str">
        <f t="shared" si="6"/>
        <v>caldwke01,2017-18</v>
      </c>
      <c r="Z2169" s="168">
        <f t="array" ref="Z2169">iferror(index(I:I,match($A2169&amp;","&amp;index('Year Conversion'!$A:$A,match($C2169,'Year Conversion'!$B:$B,0)),$Y:$Y,0))-I2169,"")</f>
        <v>1</v>
      </c>
      <c r="AA2169" s="168">
        <f t="array" ref="AA2169">iferror(index(J:J,match($A2169&amp;","&amp;index('Year Conversion'!$A:$A,match($C2169,'Year Conversion'!$B:$B,0)),$Y:$Y,0))-J2169,"")</f>
        <v>-1.985886458</v>
      </c>
      <c r="AB2169" s="168">
        <f t="array" ref="AB2169">iferror(index(K:K,match($A2169&amp;","&amp;index('Year Conversion'!$A:$A,match($C2169,'Year Conversion'!$B:$B,0)),$Y:$Y,0))-K2169,"")</f>
        <v>-0.4313451217</v>
      </c>
      <c r="AC2169" s="168" t="str">
        <f t="shared" si="7"/>
        <v>LAL,2017-18</v>
      </c>
    </row>
    <row r="2170">
      <c r="A2170" s="161" t="str">
        <f>IFERROR(__xludf.DUMMYFUNCTION("""COMPUTED_VALUE"""),"brownlo01")</f>
        <v>brownlo01</v>
      </c>
      <c r="B2170" s="161" t="str">
        <f>IFERROR(__xludf.DUMMYFUNCTION("""COMPUTED_VALUE"""),"Lorenzo Brown")</f>
        <v>Lorenzo Brown</v>
      </c>
      <c r="C2170" s="162" t="str">
        <f>IFERROR(__xludf.DUMMYFUNCTION("""COMPUTED_VALUE"""),"2017-18")</f>
        <v>2017-18</v>
      </c>
      <c r="D2170" s="163" t="str">
        <f>IFERROR(__xludf.DUMMYFUNCTION("""COMPUTED_VALUE"""),"TOR")</f>
        <v>TOR</v>
      </c>
      <c r="E2170" s="164" t="str">
        <f>IFERROR(__xludf.DUMMYFUNCTION("""COMPUTED_VALUE"""),"Secondary Ball Handler")</f>
        <v>Secondary Ball Handler</v>
      </c>
      <c r="F2170" s="164">
        <f>IFERROR(__xludf.DUMMYFUNCTION("""COMPUTED_VALUE"""),138.55)</f>
        <v>138.55</v>
      </c>
      <c r="G2170" s="163">
        <f>IFERROR(__xludf.DUMMYFUNCTION("""COMPUTED_VALUE"""),14.0)</f>
        <v>14</v>
      </c>
      <c r="H2170" s="163" t="str">
        <f>IFERROR(__xludf.DUMMYFUNCTION("""COMPUTED_VALUE"""),"PG")</f>
        <v>PG</v>
      </c>
      <c r="I2170" s="163">
        <f>IFERROR(__xludf.DUMMYFUNCTION("""COMPUTED_VALUE"""),27.0)</f>
        <v>27</v>
      </c>
      <c r="J2170" s="165">
        <f>IFERROR(__xludf.DUMMYFUNCTION("""COMPUTED_VALUE"""),-0.909241112358237)</f>
        <v>-0.9092411124</v>
      </c>
      <c r="K2170" s="165">
        <f>IFERROR(__xludf.DUMMYFUNCTION("""COMPUTED_VALUE"""),-0.463578390087097)</f>
        <v>-0.4635783901</v>
      </c>
      <c r="L2170" s="165">
        <f>IFERROR(__xludf.DUMMYFUNCTION("""COMPUTED_VALUE"""),-0.445662722271139)</f>
        <v>-0.4456627223</v>
      </c>
      <c r="M2170" s="166">
        <f t="shared" si="2"/>
        <v>0.128764021</v>
      </c>
      <c r="N2170" s="167">
        <f t="shared" si="3"/>
        <v>9.896428571</v>
      </c>
      <c r="O2170" s="163">
        <f t="shared" ref="O2170:Q2170" si="2174">rank(I2170,I:I)</f>
        <v>1366</v>
      </c>
      <c r="P2170" s="163">
        <f t="shared" si="2174"/>
        <v>2403</v>
      </c>
      <c r="Q2170" s="163">
        <f t="shared" si="2174"/>
        <v>2054</v>
      </c>
      <c r="R2170" s="163">
        <f>IFERROR(__xludf.DUMMYFUNCTION("RANK(M2170,filter(M:M,C:C=C2170))"),378.0)</f>
        <v>378</v>
      </c>
      <c r="S2170" s="161" t="b">
        <f t="shared" si="5"/>
        <v>0</v>
      </c>
      <c r="T2170" s="161" t="b">
        <f t="array" ref="T2170">index('Query Tool'!B:B,match(H2170,'Query Tool'!C:C,0))</f>
        <v>1</v>
      </c>
      <c r="U2170" s="161" t="b">
        <f t="array" ref="U2170">index('Query Tool'!B:B,match(C2170,'Query Tool'!C:C,0))</f>
        <v>0</v>
      </c>
      <c r="V2170" s="161" t="b">
        <f>F2170&gt;='Query Tool'!C$32</f>
        <v>0</v>
      </c>
      <c r="W2170" s="161" t="b">
        <f t="array" ref="W2170">index(Dropdowns!B:B,match(I2170,Dropdowns!A:A,0))</f>
        <v>1</v>
      </c>
      <c r="X2170" s="161" t="b">
        <f t="array" ref="X2170">index('Query Tool'!B:B,match(D2170,'Query Tool'!C:C,0))</f>
        <v>1</v>
      </c>
      <c r="Y2170" s="161" t="str">
        <f t="shared" si="6"/>
        <v>brownlo01,2017-18</v>
      </c>
      <c r="Z2170" s="168">
        <f t="array" ref="Z2170">iferror(index(I:I,match($A2170&amp;","&amp;index('Year Conversion'!$A:$A,match($C2170,'Year Conversion'!$B:$B,0)),$Y:$Y,0))-I2170,"")</f>
        <v>1</v>
      </c>
      <c r="AA2170" s="168">
        <f t="array" ref="AA2170">iferror(index(J:J,match($A2170&amp;","&amp;index('Year Conversion'!$A:$A,match($C2170,'Year Conversion'!$B:$B,0)),$Y:$Y,0))-J2170,"")</f>
        <v>-0.6933587873</v>
      </c>
      <c r="AB2170" s="168">
        <f t="array" ref="AB2170">iferror(index(K:K,match($A2170&amp;","&amp;index('Year Conversion'!$A:$A,match($C2170,'Year Conversion'!$B:$B,0)),$Y:$Y,0))-K2170,"")</f>
        <v>-1.065073364</v>
      </c>
      <c r="AC2170" s="168" t="str">
        <f t="shared" si="7"/>
        <v>TOR,2017-18</v>
      </c>
    </row>
    <row r="2171">
      <c r="A2171" s="161" t="str">
        <f>IFERROR(__xludf.DUMMYFUNCTION("""COMPUTED_VALUE"""),"plumlma01")</f>
        <v>plumlma01</v>
      </c>
      <c r="B2171" s="161" t="str">
        <f>IFERROR(__xludf.DUMMYFUNCTION("""COMPUTED_VALUE"""),"Mason Plumlee")</f>
        <v>Mason Plumlee</v>
      </c>
      <c r="C2171" s="162" t="str">
        <f>IFERROR(__xludf.DUMMYFUNCTION("""COMPUTED_VALUE"""),"2017-18")</f>
        <v>2017-18</v>
      </c>
      <c r="D2171" s="163" t="str">
        <f>IFERROR(__xludf.DUMMYFUNCTION("""COMPUTED_VALUE"""),"DEN")</f>
        <v>DEN</v>
      </c>
      <c r="E2171" s="164" t="str">
        <f>IFERROR(__xludf.DUMMYFUNCTION("""COMPUTED_VALUE"""),"Post Scorer")</f>
        <v>Post Scorer</v>
      </c>
      <c r="F2171" s="164">
        <f>IFERROR(__xludf.DUMMYFUNCTION("""COMPUTED_VALUE"""),1439.45)</f>
        <v>1439.45</v>
      </c>
      <c r="G2171" s="163">
        <f>IFERROR(__xludf.DUMMYFUNCTION("""COMPUTED_VALUE"""),74.0)</f>
        <v>74</v>
      </c>
      <c r="H2171" s="163" t="str">
        <f>IFERROR(__xludf.DUMMYFUNCTION("""COMPUTED_VALUE"""),"C")</f>
        <v>C</v>
      </c>
      <c r="I2171" s="163">
        <f>IFERROR(__xludf.DUMMYFUNCTION("""COMPUTED_VALUE"""),27.0)</f>
        <v>27</v>
      </c>
      <c r="J2171" s="165">
        <f>IFERROR(__xludf.DUMMYFUNCTION("""COMPUTED_VALUE"""),-0.064134173408896)</f>
        <v>-0.06413417341</v>
      </c>
      <c r="K2171" s="165">
        <f>IFERROR(__xludf.DUMMYFUNCTION("""COMPUTED_VALUE"""),-1.43910465804573)</f>
        <v>-1.439104658</v>
      </c>
      <c r="L2171" s="165">
        <f>IFERROR(__xludf.DUMMYFUNCTION("""COMPUTED_VALUE"""),1.37497048463683)</f>
        <v>1.374970485</v>
      </c>
      <c r="M2171" s="166">
        <f t="shared" si="2"/>
        <v>2.156912627</v>
      </c>
      <c r="N2171" s="167">
        <f t="shared" si="3"/>
        <v>19.45202703</v>
      </c>
      <c r="O2171" s="163">
        <f t="shared" ref="O2171:Q2171" si="2175">rank(I2171,I:I)</f>
        <v>1366</v>
      </c>
      <c r="P2171" s="163">
        <f t="shared" si="2175"/>
        <v>1354</v>
      </c>
      <c r="Q2171" s="163">
        <f t="shared" si="2175"/>
        <v>3287</v>
      </c>
      <c r="R2171" s="163">
        <f>IFERROR(__xludf.DUMMYFUNCTION("RANK(M2171,filter(M:M,C:C=C2171))"),152.0)</f>
        <v>152</v>
      </c>
      <c r="S2171" s="161" t="b">
        <f t="shared" si="5"/>
        <v>0</v>
      </c>
      <c r="T2171" s="161" t="b">
        <f t="array" ref="T2171">index('Query Tool'!B:B,match(H2171,'Query Tool'!C:C,0))</f>
        <v>1</v>
      </c>
      <c r="U2171" s="161" t="b">
        <f t="array" ref="U2171">index('Query Tool'!B:B,match(C2171,'Query Tool'!C:C,0))</f>
        <v>0</v>
      </c>
      <c r="V2171" s="161" t="b">
        <f>F2171&gt;='Query Tool'!C$32</f>
        <v>1</v>
      </c>
      <c r="W2171" s="161" t="b">
        <f t="array" ref="W2171">index(Dropdowns!B:B,match(I2171,Dropdowns!A:A,0))</f>
        <v>1</v>
      </c>
      <c r="X2171" s="161" t="b">
        <f t="array" ref="X2171">index('Query Tool'!B:B,match(D2171,'Query Tool'!C:C,0))</f>
        <v>1</v>
      </c>
      <c r="Y2171" s="161" t="str">
        <f t="shared" si="6"/>
        <v>plumlma01,2017-18</v>
      </c>
      <c r="Z2171" s="168">
        <f t="array" ref="Z2171">iferror(index(I:I,match($A2171&amp;","&amp;index('Year Conversion'!$A:$A,match($C2171,'Year Conversion'!$B:$B,0)),$Y:$Y,0))-I2171,"")</f>
        <v>1</v>
      </c>
      <c r="AA2171" s="168">
        <f t="array" ref="AA2171">iferror(index(J:J,match($A2171&amp;","&amp;index('Year Conversion'!$A:$A,match($C2171,'Year Conversion'!$B:$B,0)),$Y:$Y,0))-J2171,"")</f>
        <v>1.02912855</v>
      </c>
      <c r="AB2171" s="168">
        <f t="array" ref="AB2171">iferror(index(K:K,match($A2171&amp;","&amp;index('Year Conversion'!$A:$A,match($C2171,'Year Conversion'!$B:$B,0)),$Y:$Y,0))-K2171,"")</f>
        <v>0.7809350317</v>
      </c>
      <c r="AC2171" s="168" t="str">
        <f t="shared" si="7"/>
        <v>DEN,2017-18</v>
      </c>
    </row>
    <row r="2172">
      <c r="A2172" s="161" t="str">
        <f>IFERROR(__xludf.DUMMYFUNCTION("""COMPUTED_VALUE"""),"cartemi01")</f>
        <v>cartemi01</v>
      </c>
      <c r="B2172" s="161" t="str">
        <f>IFERROR(__xludf.DUMMYFUNCTION("""COMPUTED_VALUE"""),"Michael Carter-Williams")</f>
        <v>Michael Carter-Williams</v>
      </c>
      <c r="C2172" s="162" t="str">
        <f>IFERROR(__xludf.DUMMYFUNCTION("""COMPUTED_VALUE"""),"2017-18")</f>
        <v>2017-18</v>
      </c>
      <c r="D2172" s="163" t="str">
        <f>IFERROR(__xludf.DUMMYFUNCTION("""COMPUTED_VALUE"""),"CHO")</f>
        <v>CHO</v>
      </c>
      <c r="E2172" s="164" t="str">
        <f>IFERROR(__xludf.DUMMYFUNCTION("""COMPUTED_VALUE"""),"Secondary Ball Handler")</f>
        <v>Secondary Ball Handler</v>
      </c>
      <c r="F2172" s="164">
        <f>IFERROR(__xludf.DUMMYFUNCTION("""COMPUTED_VALUE"""),834.743333333333)</f>
        <v>834.7433333</v>
      </c>
      <c r="G2172" s="163">
        <f>IFERROR(__xludf.DUMMYFUNCTION("""COMPUTED_VALUE"""),52.0)</f>
        <v>52</v>
      </c>
      <c r="H2172" s="163" t="str">
        <f>IFERROR(__xludf.DUMMYFUNCTION("""COMPUTED_VALUE"""),"PG")</f>
        <v>PG</v>
      </c>
      <c r="I2172" s="163">
        <f>IFERROR(__xludf.DUMMYFUNCTION("""COMPUTED_VALUE"""),26.0)</f>
        <v>26</v>
      </c>
      <c r="J2172" s="165">
        <f>IFERROR(__xludf.DUMMYFUNCTION("""COMPUTED_VALUE"""),-0.562106949933572)</f>
        <v>-0.5621069499</v>
      </c>
      <c r="K2172" s="165">
        <f>IFERROR(__xludf.DUMMYFUNCTION("""COMPUTED_VALUE"""),-1.336588678356)</f>
        <v>-1.336588678</v>
      </c>
      <c r="L2172" s="165">
        <f>IFERROR(__xludf.DUMMYFUNCTION("""COMPUTED_VALUE"""),0.774481728422425)</f>
        <v>0.7744817284</v>
      </c>
      <c r="M2172" s="166">
        <f t="shared" si="2"/>
        <v>0.970694757</v>
      </c>
      <c r="N2172" s="167">
        <f t="shared" si="3"/>
        <v>16.05275641</v>
      </c>
      <c r="O2172" s="163">
        <f t="shared" ref="O2172:Q2172" si="2176">rank(I2172,I:I)</f>
        <v>1665</v>
      </c>
      <c r="P2172" s="163">
        <f t="shared" si="2176"/>
        <v>1937</v>
      </c>
      <c r="Q2172" s="163">
        <f t="shared" si="2176"/>
        <v>3191</v>
      </c>
      <c r="R2172" s="163">
        <f>IFERROR(__xludf.DUMMYFUNCTION("RANK(M2172,filter(M:M,C:C=C2172))"),238.0)</f>
        <v>238</v>
      </c>
      <c r="S2172" s="161" t="b">
        <f t="shared" si="5"/>
        <v>0</v>
      </c>
      <c r="T2172" s="161" t="b">
        <f t="array" ref="T2172">index('Query Tool'!B:B,match(H2172,'Query Tool'!C:C,0))</f>
        <v>1</v>
      </c>
      <c r="U2172" s="161" t="b">
        <f t="array" ref="U2172">index('Query Tool'!B:B,match(C2172,'Query Tool'!C:C,0))</f>
        <v>0</v>
      </c>
      <c r="V2172" s="161" t="b">
        <f>F2172&gt;='Query Tool'!C$32</f>
        <v>1</v>
      </c>
      <c r="W2172" s="161" t="b">
        <f t="array" ref="W2172">index(Dropdowns!B:B,match(I2172,Dropdowns!A:A,0))</f>
        <v>1</v>
      </c>
      <c r="X2172" s="161" t="b">
        <f t="array" ref="X2172">index('Query Tool'!B:B,match(D2172,'Query Tool'!C:C,0))</f>
        <v>1</v>
      </c>
      <c r="Y2172" s="161" t="str">
        <f t="shared" si="6"/>
        <v>cartemi01,2017-18</v>
      </c>
      <c r="Z2172" s="168">
        <f t="array" ref="Z2172">iferror(index(I:I,match($A2172&amp;","&amp;index('Year Conversion'!$A:$A,match($C2172,'Year Conversion'!$B:$B,0)),$Y:$Y,0))-I2172,"")</f>
        <v>1</v>
      </c>
      <c r="AA2172" s="168">
        <f t="array" ref="AA2172">iferror(index(J:J,match($A2172&amp;","&amp;index('Year Conversion'!$A:$A,match($C2172,'Year Conversion'!$B:$B,0)),$Y:$Y,0))-J2172,"")</f>
        <v>0.927890848</v>
      </c>
      <c r="AB2172" s="168">
        <f t="array" ref="AB2172">iferror(index(K:K,match($A2172&amp;","&amp;index('Year Conversion'!$A:$A,match($C2172,'Year Conversion'!$B:$B,0)),$Y:$Y,0))-K2172,"")</f>
        <v>1.79511363</v>
      </c>
      <c r="AC2172" s="168" t="str">
        <f t="shared" si="7"/>
        <v>CHO,2017-18</v>
      </c>
    </row>
    <row r="2173">
      <c r="A2173" s="161" t="str">
        <f>IFERROR(__xludf.DUMMYFUNCTION("""COMPUTED_VALUE"""),"muscami01")</f>
        <v>muscami01</v>
      </c>
      <c r="B2173" s="161" t="str">
        <f>IFERROR(__xludf.DUMMYFUNCTION("""COMPUTED_VALUE"""),"Mike Muscala")</f>
        <v>Mike Muscala</v>
      </c>
      <c r="C2173" s="162" t="str">
        <f>IFERROR(__xludf.DUMMYFUNCTION("""COMPUTED_VALUE"""),"2017-18")</f>
        <v>2017-18</v>
      </c>
      <c r="D2173" s="163" t="str">
        <f>IFERROR(__xludf.DUMMYFUNCTION("""COMPUTED_VALUE"""),"ATL")</f>
        <v>ATL</v>
      </c>
      <c r="E2173" s="164" t="str">
        <f>IFERROR(__xludf.DUMMYFUNCTION("""COMPUTED_VALUE"""),"Stretch Big")</f>
        <v>Stretch Big</v>
      </c>
      <c r="F2173" s="164">
        <f>IFERROR(__xludf.DUMMYFUNCTION("""COMPUTED_VALUE"""),1060.08666666667)</f>
        <v>1060.086667</v>
      </c>
      <c r="G2173" s="163">
        <f>IFERROR(__xludf.DUMMYFUNCTION("""COMPUTED_VALUE"""),53.0)</f>
        <v>53</v>
      </c>
      <c r="H2173" s="163" t="str">
        <f>IFERROR(__xludf.DUMMYFUNCTION("""COMPUTED_VALUE"""),"C")</f>
        <v>C</v>
      </c>
      <c r="I2173" s="163">
        <f>IFERROR(__xludf.DUMMYFUNCTION("""COMPUTED_VALUE"""),26.0)</f>
        <v>26</v>
      </c>
      <c r="J2173" s="165">
        <f>IFERROR(__xludf.DUMMYFUNCTION("""COMPUTED_VALUE"""),-0.52015176822362)</f>
        <v>-0.5201517682</v>
      </c>
      <c r="K2173" s="165">
        <f>IFERROR(__xludf.DUMMYFUNCTION("""COMPUTED_VALUE"""),-0.777968438159992)</f>
        <v>-0.7779684382</v>
      </c>
      <c r="L2173" s="165">
        <f>IFERROR(__xludf.DUMMYFUNCTION("""COMPUTED_VALUE"""),0.257816669936373)</f>
        <v>0.2578166699</v>
      </c>
      <c r="M2173" s="166">
        <f t="shared" si="2"/>
        <v>1.262687661</v>
      </c>
      <c r="N2173" s="167">
        <f t="shared" si="3"/>
        <v>20.00163522</v>
      </c>
      <c r="O2173" s="163">
        <f t="shared" ref="O2173:Q2173" si="2177">rank(I2173,I:I)</f>
        <v>1665</v>
      </c>
      <c r="P2173" s="163">
        <f t="shared" si="2177"/>
        <v>1882</v>
      </c>
      <c r="Q2173" s="163">
        <f t="shared" si="2177"/>
        <v>2529</v>
      </c>
      <c r="R2173" s="163">
        <f>IFERROR(__xludf.DUMMYFUNCTION("RANK(M2173,filter(M:M,C:C=C2173))"),211.0)</f>
        <v>211</v>
      </c>
      <c r="S2173" s="161" t="b">
        <f t="shared" si="5"/>
        <v>0</v>
      </c>
      <c r="T2173" s="161" t="b">
        <f t="array" ref="T2173">index('Query Tool'!B:B,match(H2173,'Query Tool'!C:C,0))</f>
        <v>1</v>
      </c>
      <c r="U2173" s="161" t="b">
        <f t="array" ref="U2173">index('Query Tool'!B:B,match(C2173,'Query Tool'!C:C,0))</f>
        <v>0</v>
      </c>
      <c r="V2173" s="161" t="b">
        <f>F2173&gt;='Query Tool'!C$32</f>
        <v>1</v>
      </c>
      <c r="W2173" s="161" t="b">
        <f t="array" ref="W2173">index(Dropdowns!B:B,match(I2173,Dropdowns!A:A,0))</f>
        <v>1</v>
      </c>
      <c r="X2173" s="161" t="b">
        <f t="array" ref="X2173">index('Query Tool'!B:B,match(D2173,'Query Tool'!C:C,0))</f>
        <v>1</v>
      </c>
      <c r="Y2173" s="161" t="str">
        <f t="shared" si="6"/>
        <v>muscami01,2017-18</v>
      </c>
      <c r="Z2173" s="168">
        <f t="array" ref="Z2173">iferror(index(I:I,match($A2173&amp;","&amp;index('Year Conversion'!$A:$A,match($C2173,'Year Conversion'!$B:$B,0)),$Y:$Y,0))-I2173,"")</f>
        <v>1</v>
      </c>
      <c r="AA2173" s="168">
        <f t="array" ref="AA2173">iferror(index(J:J,match($A2173&amp;","&amp;index('Year Conversion'!$A:$A,match($C2173,'Year Conversion'!$B:$B,0)),$Y:$Y,0))-J2173,"")</f>
        <v>-0.5772611153</v>
      </c>
      <c r="AB2173" s="168">
        <f t="array" ref="AB2173">iferror(index(K:K,match($A2173&amp;","&amp;index('Year Conversion'!$A:$A,match($C2173,'Year Conversion'!$B:$B,0)),$Y:$Y,0))-K2173,"")</f>
        <v>-0.4121779829</v>
      </c>
      <c r="AC2173" s="168" t="str">
        <f t="shared" si="7"/>
        <v>ATL,2017-18</v>
      </c>
    </row>
    <row r="2174">
      <c r="A2174" s="161" t="str">
        <f>IFERROR(__xludf.DUMMYFUNCTION("""COMPUTED_VALUE"""),"woltena01")</f>
        <v>woltena01</v>
      </c>
      <c r="B2174" s="161" t="str">
        <f>IFERROR(__xludf.DUMMYFUNCTION("""COMPUTED_VALUE"""),"Nate Wolters")</f>
        <v>Nate Wolters</v>
      </c>
      <c r="C2174" s="162" t="str">
        <f>IFERROR(__xludf.DUMMYFUNCTION("""COMPUTED_VALUE"""),"2017-18")</f>
        <v>2017-18</v>
      </c>
      <c r="D2174" s="163" t="str">
        <f>IFERROR(__xludf.DUMMYFUNCTION("""COMPUTED_VALUE"""),"UTA")</f>
        <v>UTA</v>
      </c>
      <c r="E2174" s="164" t="str">
        <f>IFERROR(__xludf.DUMMYFUNCTION("""COMPUTED_VALUE"""),"Slasher")</f>
        <v>Slasher</v>
      </c>
      <c r="F2174" s="164">
        <f>IFERROR(__xludf.DUMMYFUNCTION("""COMPUTED_VALUE"""),18.7833333333333)</f>
        <v>18.78333333</v>
      </c>
      <c r="G2174" s="163">
        <f>IFERROR(__xludf.DUMMYFUNCTION("""COMPUTED_VALUE"""),5.0)</f>
        <v>5</v>
      </c>
      <c r="H2174" s="163" t="str">
        <f>IFERROR(__xludf.DUMMYFUNCTION("""COMPUTED_VALUE"""),"PG")</f>
        <v>PG</v>
      </c>
      <c r="I2174" s="163">
        <f>IFERROR(__xludf.DUMMYFUNCTION("""COMPUTED_VALUE"""),26.0)</f>
        <v>26</v>
      </c>
      <c r="J2174" s="165">
        <f>IFERROR(__xludf.DUMMYFUNCTION("""COMPUTED_VALUE"""),-0.612885780945319)</f>
        <v>-0.6128857809</v>
      </c>
      <c r="K2174" s="165">
        <f>IFERROR(__xludf.DUMMYFUNCTION("""COMPUTED_VALUE"""),-0.0582337768407451)</f>
        <v>-0.05823377684</v>
      </c>
      <c r="L2174" s="165">
        <f>IFERROR(__xludf.DUMMYFUNCTION("""COMPUTED_VALUE"""),-0.554652004104574)</f>
        <v>-0.5546520041</v>
      </c>
      <c r="M2174" s="166">
        <f t="shared" si="2"/>
        <v>0.02120038761</v>
      </c>
      <c r="N2174" s="167">
        <f t="shared" si="3"/>
        <v>3.756666667</v>
      </c>
      <c r="O2174" s="163">
        <f t="shared" ref="O2174:Q2174" si="2178">rank(I2174,I:I)</f>
        <v>1665</v>
      </c>
      <c r="P2174" s="163">
        <f t="shared" si="2178"/>
        <v>2016</v>
      </c>
      <c r="Q2174" s="163">
        <f t="shared" si="2178"/>
        <v>1288</v>
      </c>
      <c r="R2174" s="163">
        <f>IFERROR(__xludf.DUMMYFUNCTION("RANK(M2174,filter(M:M,C:C=C2174))"),457.0)</f>
        <v>457</v>
      </c>
      <c r="S2174" s="161" t="b">
        <f t="shared" si="5"/>
        <v>0</v>
      </c>
      <c r="T2174" s="161" t="b">
        <f t="array" ref="T2174">index('Query Tool'!B:B,match(H2174,'Query Tool'!C:C,0))</f>
        <v>1</v>
      </c>
      <c r="U2174" s="161" t="b">
        <f t="array" ref="U2174">index('Query Tool'!B:B,match(C2174,'Query Tool'!C:C,0))</f>
        <v>0</v>
      </c>
      <c r="V2174" s="161" t="b">
        <f>F2174&gt;='Query Tool'!C$32</f>
        <v>0</v>
      </c>
      <c r="W2174" s="161" t="b">
        <f t="array" ref="W2174">index(Dropdowns!B:B,match(I2174,Dropdowns!A:A,0))</f>
        <v>1</v>
      </c>
      <c r="X2174" s="161" t="b">
        <f t="array" ref="X2174">index('Query Tool'!B:B,match(D2174,'Query Tool'!C:C,0))</f>
        <v>1</v>
      </c>
      <c r="Y2174" s="161" t="str">
        <f t="shared" si="6"/>
        <v>woltena01,2017-18</v>
      </c>
      <c r="Z2174" s="168" t="str">
        <f t="array" ref="Z2174">iferror(index(I:I,match($A2174&amp;","&amp;index('Year Conversion'!$A:$A,match($C2174,'Year Conversion'!$B:$B,0)),$Y:$Y,0))-I2174,"")</f>
        <v/>
      </c>
      <c r="AA2174" s="168" t="str">
        <f t="array" ref="AA2174">iferror(index(J:J,match($A2174&amp;","&amp;index('Year Conversion'!$A:$A,match($C2174,'Year Conversion'!$B:$B,0)),$Y:$Y,0))-J2174,"")</f>
        <v/>
      </c>
      <c r="AB2174" s="168" t="str">
        <f t="array" ref="AB2174">iferror(index(K:K,match($A2174&amp;","&amp;index('Year Conversion'!$A:$A,match($C2174,'Year Conversion'!$B:$B,0)),$Y:$Y,0))-K2174,"")</f>
        <v/>
      </c>
      <c r="AC2174" s="168" t="str">
        <f t="shared" si="7"/>
        <v>UTA,2017-18</v>
      </c>
    </row>
    <row r="2175">
      <c r="A2175" s="161" t="str">
        <f>IFERROR(__xludf.DUMMYFUNCTION("""COMPUTED_VALUE"""),"porteot01")</f>
        <v>porteot01</v>
      </c>
      <c r="B2175" s="161" t="str">
        <f>IFERROR(__xludf.DUMMYFUNCTION("""COMPUTED_VALUE"""),"Otto Porter Jr.")</f>
        <v>Otto Porter Jr.</v>
      </c>
      <c r="C2175" s="162" t="str">
        <f>IFERROR(__xludf.DUMMYFUNCTION("""COMPUTED_VALUE"""),"2017-18")</f>
        <v>2017-18</v>
      </c>
      <c r="D2175" s="163" t="str">
        <f>IFERROR(__xludf.DUMMYFUNCTION("""COMPUTED_VALUE"""),"WAS")</f>
        <v>WAS</v>
      </c>
      <c r="E2175" s="164" t="str">
        <f>IFERROR(__xludf.DUMMYFUNCTION("""COMPUTED_VALUE"""),"Movement Shooter")</f>
        <v>Movement Shooter</v>
      </c>
      <c r="F2175" s="164">
        <f>IFERROR(__xludf.DUMMYFUNCTION("""COMPUTED_VALUE"""),2431.53666666667)</f>
        <v>2431.536667</v>
      </c>
      <c r="G2175" s="163">
        <f>IFERROR(__xludf.DUMMYFUNCTION("""COMPUTED_VALUE"""),77.0)</f>
        <v>77</v>
      </c>
      <c r="H2175" s="163" t="str">
        <f>IFERROR(__xludf.DUMMYFUNCTION("""COMPUTED_VALUE"""),"SF")</f>
        <v>SF</v>
      </c>
      <c r="I2175" s="163">
        <f>IFERROR(__xludf.DUMMYFUNCTION("""COMPUTED_VALUE"""),24.0)</f>
        <v>24</v>
      </c>
      <c r="J2175" s="165">
        <f>IFERROR(__xludf.DUMMYFUNCTION("""COMPUTED_VALUE"""),2.60334623426315)</f>
        <v>2.603346234</v>
      </c>
      <c r="K2175" s="165">
        <f>IFERROR(__xludf.DUMMYFUNCTION("""COMPUTED_VALUE"""),1.36324534954105)</f>
        <v>1.36324535</v>
      </c>
      <c r="L2175" s="165">
        <f>IFERROR(__xludf.DUMMYFUNCTION("""COMPUTED_VALUE"""),1.24010088472209)</f>
        <v>1.240100885</v>
      </c>
      <c r="M2175" s="166">
        <f t="shared" si="2"/>
        <v>7.97659651</v>
      </c>
      <c r="N2175" s="167">
        <f t="shared" si="3"/>
        <v>31.57839827</v>
      </c>
      <c r="O2175" s="163">
        <f t="shared" ref="O2175:Q2175" si="2179">rank(I2175,I:I)</f>
        <v>2361</v>
      </c>
      <c r="P2175" s="163">
        <f t="shared" si="2179"/>
        <v>210</v>
      </c>
      <c r="Q2175" s="163">
        <f t="shared" si="2179"/>
        <v>366</v>
      </c>
      <c r="R2175" s="163">
        <f>IFERROR(__xludf.DUMMYFUNCTION("RANK(M2175,filter(M:M,C:C=C2175))"),23.0)</f>
        <v>23</v>
      </c>
      <c r="S2175" s="161" t="b">
        <f t="shared" si="5"/>
        <v>0</v>
      </c>
      <c r="T2175" s="161" t="b">
        <f t="array" ref="T2175">index('Query Tool'!B:B,match(H2175,'Query Tool'!C:C,0))</f>
        <v>1</v>
      </c>
      <c r="U2175" s="161" t="b">
        <f t="array" ref="U2175">index('Query Tool'!B:B,match(C2175,'Query Tool'!C:C,0))</f>
        <v>0</v>
      </c>
      <c r="V2175" s="161" t="b">
        <f>F2175&gt;='Query Tool'!C$32</f>
        <v>1</v>
      </c>
      <c r="W2175" s="161" t="b">
        <f t="array" ref="W2175">index(Dropdowns!B:B,match(I2175,Dropdowns!A:A,0))</f>
        <v>1</v>
      </c>
      <c r="X2175" s="161" t="b">
        <f t="array" ref="X2175">index('Query Tool'!B:B,match(D2175,'Query Tool'!C:C,0))</f>
        <v>1</v>
      </c>
      <c r="Y2175" s="161" t="str">
        <f t="shared" si="6"/>
        <v>porteot01,2017-18</v>
      </c>
      <c r="Z2175" s="168">
        <f t="array" ref="Z2175">iferror(index(I:I,match($A2175&amp;","&amp;index('Year Conversion'!$A:$A,match($C2175,'Year Conversion'!$B:$B,0)),$Y:$Y,0))-I2175,"")</f>
        <v>1</v>
      </c>
      <c r="AA2175" s="168">
        <f t="array" ref="AA2175">iferror(index(J:J,match($A2175&amp;","&amp;index('Year Conversion'!$A:$A,match($C2175,'Year Conversion'!$B:$B,0)),$Y:$Y,0))-J2175,"")</f>
        <v>-0.6975766035</v>
      </c>
      <c r="AB2175" s="168">
        <f t="array" ref="AB2175">iferror(index(K:K,match($A2175&amp;","&amp;index('Year Conversion'!$A:$A,match($C2175,'Year Conversion'!$B:$B,0)),$Y:$Y,0))-K2175,"")</f>
        <v>-0.597383565</v>
      </c>
      <c r="AC2175" s="168" t="str">
        <f t="shared" si="7"/>
        <v>WAS,2017-18</v>
      </c>
    </row>
    <row r="2176">
      <c r="A2176" s="161" t="str">
        <f>IFERROR(__xludf.DUMMYFUNCTION("""COMPUTED_VALUE"""),"bullore01")</f>
        <v>bullore01</v>
      </c>
      <c r="B2176" s="161" t="str">
        <f>IFERROR(__xludf.DUMMYFUNCTION("""COMPUTED_VALUE"""),"Reggie Bullock")</f>
        <v>Reggie Bullock</v>
      </c>
      <c r="C2176" s="162" t="str">
        <f>IFERROR(__xludf.DUMMYFUNCTION("""COMPUTED_VALUE"""),"2017-18")</f>
        <v>2017-18</v>
      </c>
      <c r="D2176" s="163" t="str">
        <f>IFERROR(__xludf.DUMMYFUNCTION("""COMPUTED_VALUE"""),"DET")</f>
        <v>DET</v>
      </c>
      <c r="E2176" s="164" t="str">
        <f>IFERROR(__xludf.DUMMYFUNCTION("""COMPUTED_VALUE"""),"Movement Shooter")</f>
        <v>Movement Shooter</v>
      </c>
      <c r="F2176" s="164">
        <f>IFERROR(__xludf.DUMMYFUNCTION("""COMPUTED_VALUE"""),1731.56)</f>
        <v>1731.56</v>
      </c>
      <c r="G2176" s="163">
        <f>IFERROR(__xludf.DUMMYFUNCTION("""COMPUTED_VALUE"""),62.0)</f>
        <v>62</v>
      </c>
      <c r="H2176" s="163" t="str">
        <f>IFERROR(__xludf.DUMMYFUNCTION("""COMPUTED_VALUE"""),"SF")</f>
        <v>SF</v>
      </c>
      <c r="I2176" s="163">
        <f>IFERROR(__xludf.DUMMYFUNCTION("""COMPUTED_VALUE"""),26.0)</f>
        <v>26</v>
      </c>
      <c r="J2176" s="165">
        <f>IFERROR(__xludf.DUMMYFUNCTION("""COMPUTED_VALUE"""),-1.22938774060777)</f>
        <v>-1.229387741</v>
      </c>
      <c r="K2176" s="165">
        <f>IFERROR(__xludf.DUMMYFUNCTION("""COMPUTED_VALUE"""),-0.948078030613723)</f>
        <v>-0.9480780306</v>
      </c>
      <c r="L2176" s="165">
        <f>IFERROR(__xludf.DUMMYFUNCTION("""COMPUTED_VALUE"""),-0.281309709994051)</f>
        <v>-0.28130971</v>
      </c>
      <c r="M2176" s="166">
        <f t="shared" si="2"/>
        <v>1.237306701</v>
      </c>
      <c r="N2176" s="167">
        <f t="shared" si="3"/>
        <v>27.9283871</v>
      </c>
      <c r="O2176" s="163">
        <f t="shared" ref="O2176:Q2176" si="2180">rank(I2176,I:I)</f>
        <v>1665</v>
      </c>
      <c r="P2176" s="163">
        <f t="shared" si="2180"/>
        <v>2789</v>
      </c>
      <c r="Q2176" s="163">
        <f t="shared" si="2180"/>
        <v>2743</v>
      </c>
      <c r="R2176" s="163">
        <f>IFERROR(__xludf.DUMMYFUNCTION("RANK(M2176,filter(M:M,C:C=C2176))"),215.0)</f>
        <v>215</v>
      </c>
      <c r="S2176" s="161" t="b">
        <f t="shared" si="5"/>
        <v>0</v>
      </c>
      <c r="T2176" s="161" t="b">
        <f t="array" ref="T2176">index('Query Tool'!B:B,match(H2176,'Query Tool'!C:C,0))</f>
        <v>1</v>
      </c>
      <c r="U2176" s="161" t="b">
        <f t="array" ref="U2176">index('Query Tool'!B:B,match(C2176,'Query Tool'!C:C,0))</f>
        <v>0</v>
      </c>
      <c r="V2176" s="161" t="b">
        <f>F2176&gt;='Query Tool'!C$32</f>
        <v>1</v>
      </c>
      <c r="W2176" s="161" t="b">
        <f t="array" ref="W2176">index(Dropdowns!B:B,match(I2176,Dropdowns!A:A,0))</f>
        <v>1</v>
      </c>
      <c r="X2176" s="161" t="b">
        <f t="array" ref="X2176">index('Query Tool'!B:B,match(D2176,'Query Tool'!C:C,0))</f>
        <v>1</v>
      </c>
      <c r="Y2176" s="161" t="str">
        <f t="shared" si="6"/>
        <v>bullore01,2017-18</v>
      </c>
      <c r="Z2176" s="168">
        <f t="array" ref="Z2176">iferror(index(I:I,match($A2176&amp;","&amp;index('Year Conversion'!$A:$A,match($C2176,'Year Conversion'!$B:$B,0)),$Y:$Y,0))-I2176,"")</f>
        <v>1</v>
      </c>
      <c r="AA2176" s="168">
        <f t="array" ref="AA2176">iferror(index(J:J,match($A2176&amp;","&amp;index('Year Conversion'!$A:$A,match($C2176,'Year Conversion'!$B:$B,0)),$Y:$Y,0))-J2176,"")</f>
        <v>-0.647498393</v>
      </c>
      <c r="AB2176" s="168">
        <f t="array" ref="AB2176">iferror(index(K:K,match($A2176&amp;","&amp;index('Year Conversion'!$A:$A,match($C2176,'Year Conversion'!$B:$B,0)),$Y:$Y,0))-K2176,"")</f>
        <v>0.188466754</v>
      </c>
      <c r="AC2176" s="168" t="str">
        <f t="shared" si="7"/>
        <v>DET,2017-18</v>
      </c>
    </row>
    <row r="2177">
      <c r="A2177" s="161" t="str">
        <f>IFERROR(__xludf.DUMMYFUNCTION("""COMPUTED_VALUE"""),"covinro01")</f>
        <v>covinro01</v>
      </c>
      <c r="B2177" s="161" t="str">
        <f>IFERROR(__xludf.DUMMYFUNCTION("""COMPUTED_VALUE"""),"Robert Covington")</f>
        <v>Robert Covington</v>
      </c>
      <c r="C2177" s="162" t="str">
        <f>IFERROR(__xludf.DUMMYFUNCTION("""COMPUTED_VALUE"""),"2017-18")</f>
        <v>2017-18</v>
      </c>
      <c r="D2177" s="163" t="str">
        <f>IFERROR(__xludf.DUMMYFUNCTION("""COMPUTED_VALUE"""),"PHI")</f>
        <v>PHI</v>
      </c>
      <c r="E2177" s="164" t="str">
        <f>IFERROR(__xludf.DUMMYFUNCTION("""COMPUTED_VALUE"""),"Movement Shooter")</f>
        <v>Movement Shooter</v>
      </c>
      <c r="F2177" s="164">
        <f>IFERROR(__xludf.DUMMYFUNCTION("""COMPUTED_VALUE"""),2531.365)</f>
        <v>2531.365</v>
      </c>
      <c r="G2177" s="163">
        <f>IFERROR(__xludf.DUMMYFUNCTION("""COMPUTED_VALUE"""),80.0)</f>
        <v>80</v>
      </c>
      <c r="H2177" s="163" t="str">
        <f>IFERROR(__xludf.DUMMYFUNCTION("""COMPUTED_VALUE"""),"SF")</f>
        <v>SF</v>
      </c>
      <c r="I2177" s="163">
        <f>IFERROR(__xludf.DUMMYFUNCTION("""COMPUTED_VALUE"""),27.0)</f>
        <v>27</v>
      </c>
      <c r="J2177" s="165">
        <f>IFERROR(__xludf.DUMMYFUNCTION("""COMPUTED_VALUE"""),2.90144500706009)</f>
        <v>2.901445007</v>
      </c>
      <c r="K2177" s="165">
        <f>IFERROR(__xludf.DUMMYFUNCTION("""COMPUTED_VALUE"""),0.181361131120148)</f>
        <v>0.1813611311</v>
      </c>
      <c r="L2177" s="165">
        <f>IFERROR(__xludf.DUMMYFUNCTION("""COMPUTED_VALUE"""),2.72008387593994)</f>
        <v>2.720083876</v>
      </c>
      <c r="M2177" s="166">
        <f t="shared" si="2"/>
        <v>8.797077933</v>
      </c>
      <c r="N2177" s="167">
        <f t="shared" si="3"/>
        <v>31.6420625</v>
      </c>
      <c r="O2177" s="163">
        <f t="shared" ref="O2177:Q2177" si="2181">rank(I2177,I:I)</f>
        <v>1366</v>
      </c>
      <c r="P2177" s="163">
        <f t="shared" si="2181"/>
        <v>178</v>
      </c>
      <c r="Q2177" s="163">
        <f t="shared" si="2181"/>
        <v>1000</v>
      </c>
      <c r="R2177" s="163">
        <f>IFERROR(__xludf.DUMMYFUNCTION("RANK(M2177,filter(M:M,C:C=C2177))"),19.0)</f>
        <v>19</v>
      </c>
      <c r="S2177" s="161" t="b">
        <f t="shared" si="5"/>
        <v>0</v>
      </c>
      <c r="T2177" s="161" t="b">
        <f t="array" ref="T2177">index('Query Tool'!B:B,match(H2177,'Query Tool'!C:C,0))</f>
        <v>1</v>
      </c>
      <c r="U2177" s="161" t="b">
        <f t="array" ref="U2177">index('Query Tool'!B:B,match(C2177,'Query Tool'!C:C,0))</f>
        <v>0</v>
      </c>
      <c r="V2177" s="161" t="b">
        <f>F2177&gt;='Query Tool'!C$32</f>
        <v>1</v>
      </c>
      <c r="W2177" s="161" t="b">
        <f t="array" ref="W2177">index(Dropdowns!B:B,match(I2177,Dropdowns!A:A,0))</f>
        <v>1</v>
      </c>
      <c r="X2177" s="161" t="b">
        <f t="array" ref="X2177">index('Query Tool'!B:B,match(D2177,'Query Tool'!C:C,0))</f>
        <v>1</v>
      </c>
      <c r="Y2177" s="161" t="str">
        <f t="shared" si="6"/>
        <v>covinro01,2017-18</v>
      </c>
      <c r="Z2177" s="168">
        <f t="array" ref="Z2177">iferror(index(I:I,match($A2177&amp;","&amp;index('Year Conversion'!$A:$A,match($C2177,'Year Conversion'!$B:$B,0)),$Y:$Y,0))-I2177,"")</f>
        <v>1</v>
      </c>
      <c r="AA2177" s="168">
        <f t="array" ref="AA2177">iferror(index(J:J,match($A2177&amp;","&amp;index('Year Conversion'!$A:$A,match($C2177,'Year Conversion'!$B:$B,0)),$Y:$Y,0))-J2177,"")</f>
        <v>-1.324669692</v>
      </c>
      <c r="AB2177" s="168">
        <f t="array" ref="AB2177">iferror(index(K:K,match($A2177&amp;","&amp;index('Year Conversion'!$A:$A,match($C2177,'Year Conversion'!$B:$B,0)),$Y:$Y,0))-K2177,"")</f>
        <v>-1.122480906</v>
      </c>
      <c r="AC2177" s="168" t="str">
        <f t="shared" si="7"/>
        <v>PHI,2017-18</v>
      </c>
    </row>
    <row r="2178">
      <c r="A2178" s="161" t="str">
        <f>IFERROR(__xludf.DUMMYFUNCTION("""COMPUTED_VALUE"""),"goberru01")</f>
        <v>goberru01</v>
      </c>
      <c r="B2178" s="161" t="str">
        <f>IFERROR(__xludf.DUMMYFUNCTION("""COMPUTED_VALUE"""),"Rudy Gobert")</f>
        <v>Rudy Gobert</v>
      </c>
      <c r="C2178" s="162" t="str">
        <f>IFERROR(__xludf.DUMMYFUNCTION("""COMPUTED_VALUE"""),"2017-18")</f>
        <v>2017-18</v>
      </c>
      <c r="D2178" s="163" t="str">
        <f>IFERROR(__xludf.DUMMYFUNCTION("""COMPUTED_VALUE"""),"UTA")</f>
        <v>UTA</v>
      </c>
      <c r="E2178" s="164" t="str">
        <f>IFERROR(__xludf.DUMMYFUNCTION("""COMPUTED_VALUE"""),"Roll + Cut Big")</f>
        <v>Roll + Cut Big</v>
      </c>
      <c r="F2178" s="164">
        <f>IFERROR(__xludf.DUMMYFUNCTION("""COMPUTED_VALUE"""),1816.04)</f>
        <v>1816.04</v>
      </c>
      <c r="G2178" s="163">
        <f>IFERROR(__xludf.DUMMYFUNCTION("""COMPUTED_VALUE"""),56.0)</f>
        <v>56</v>
      </c>
      <c r="H2178" s="163" t="str">
        <f>IFERROR(__xludf.DUMMYFUNCTION("""COMPUTED_VALUE"""),"C")</f>
        <v>C</v>
      </c>
      <c r="I2178" s="163">
        <f>IFERROR(__xludf.DUMMYFUNCTION("""COMPUTED_VALUE"""),25.0)</f>
        <v>25</v>
      </c>
      <c r="J2178" s="165">
        <f>IFERROR(__xludf.DUMMYFUNCTION("""COMPUTED_VALUE"""),3.88367075307056)</f>
        <v>3.883670753</v>
      </c>
      <c r="K2178" s="165">
        <f>IFERROR(__xludf.DUMMYFUNCTION("""COMPUTED_VALUE"""),-0.151907413457228)</f>
        <v>-0.1519074135</v>
      </c>
      <c r="L2178" s="165">
        <f>IFERROR(__xludf.DUMMYFUNCTION("""COMPUTED_VALUE"""),4.03557816652778)</f>
        <v>4.035578167</v>
      </c>
      <c r="M2178" s="166">
        <f t="shared" si="2"/>
        <v>7.457528895</v>
      </c>
      <c r="N2178" s="167">
        <f t="shared" si="3"/>
        <v>32.42928571</v>
      </c>
      <c r="O2178" s="163">
        <f t="shared" ref="O2178:Q2178" si="2182">rank(I2178,I:I)</f>
        <v>1995</v>
      </c>
      <c r="P2178" s="163">
        <f t="shared" si="2182"/>
        <v>100</v>
      </c>
      <c r="Q2178" s="163">
        <f t="shared" si="2182"/>
        <v>1481</v>
      </c>
      <c r="R2178" s="163">
        <f>IFERROR(__xludf.DUMMYFUNCTION("RANK(M2178,filter(M:M,C:C=C2178))"),28.0)</f>
        <v>28</v>
      </c>
      <c r="S2178" s="161" t="b">
        <f t="shared" si="5"/>
        <v>0</v>
      </c>
      <c r="T2178" s="161" t="b">
        <f t="array" ref="T2178">index('Query Tool'!B:B,match(H2178,'Query Tool'!C:C,0))</f>
        <v>1</v>
      </c>
      <c r="U2178" s="161" t="b">
        <f t="array" ref="U2178">index('Query Tool'!B:B,match(C2178,'Query Tool'!C:C,0))</f>
        <v>0</v>
      </c>
      <c r="V2178" s="161" t="b">
        <f>F2178&gt;='Query Tool'!C$32</f>
        <v>1</v>
      </c>
      <c r="W2178" s="161" t="b">
        <f t="array" ref="W2178">index(Dropdowns!B:B,match(I2178,Dropdowns!A:A,0))</f>
        <v>1</v>
      </c>
      <c r="X2178" s="161" t="b">
        <f t="array" ref="X2178">index('Query Tool'!B:B,match(D2178,'Query Tool'!C:C,0))</f>
        <v>1</v>
      </c>
      <c r="Y2178" s="161" t="str">
        <f t="shared" si="6"/>
        <v>goberru01,2017-18</v>
      </c>
      <c r="Z2178" s="168">
        <f t="array" ref="Z2178">iferror(index(I:I,match($A2178&amp;","&amp;index('Year Conversion'!$A:$A,match($C2178,'Year Conversion'!$B:$B,0)),$Y:$Y,0))-I2178,"")</f>
        <v>1</v>
      </c>
      <c r="AA2178" s="168">
        <f t="array" ref="AA2178">iferror(index(J:J,match($A2178&amp;","&amp;index('Year Conversion'!$A:$A,match($C2178,'Year Conversion'!$B:$B,0)),$Y:$Y,0))-J2178,"")</f>
        <v>1.133261377</v>
      </c>
      <c r="AB2178" s="168">
        <f t="array" ref="AB2178">iferror(index(K:K,match($A2178&amp;","&amp;index('Year Conversion'!$A:$A,match($C2178,'Year Conversion'!$B:$B,0)),$Y:$Y,0))-K2178,"")</f>
        <v>1.193013135</v>
      </c>
      <c r="AC2178" s="168" t="str">
        <f t="shared" si="7"/>
        <v>UTA,2017-18</v>
      </c>
    </row>
    <row r="2179">
      <c r="A2179" s="161" t="str">
        <f>IFERROR(__xludf.DUMMYFUNCTION("""COMPUTED_VALUE"""),"muhamsh01")</f>
        <v>muhamsh01</v>
      </c>
      <c r="B2179" s="161" t="str">
        <f>IFERROR(__xludf.DUMMYFUNCTION("""COMPUTED_VALUE"""),"Shabazz Muhammad")</f>
        <v>Shabazz Muhammad</v>
      </c>
      <c r="C2179" s="162" t="str">
        <f>IFERROR(__xludf.DUMMYFUNCTION("""COMPUTED_VALUE"""),"2017-18")</f>
        <v>2017-18</v>
      </c>
      <c r="D2179" s="163" t="str">
        <f>IFERROR(__xludf.DUMMYFUNCTION("""COMPUTED_VALUE"""),"TOT")</f>
        <v>TOT</v>
      </c>
      <c r="E2179" s="164" t="str">
        <f>IFERROR(__xludf.DUMMYFUNCTION("""COMPUTED_VALUE"""),"Roll + Cut Big")</f>
        <v>Roll + Cut Big</v>
      </c>
      <c r="F2179" s="164">
        <f>IFERROR(__xludf.DUMMYFUNCTION("""COMPUTED_VALUE"""),417.966666666666)</f>
        <v>417.9666667</v>
      </c>
      <c r="G2179" s="163">
        <f>IFERROR(__xludf.DUMMYFUNCTION("""COMPUTED_VALUE"""),43.0)</f>
        <v>43</v>
      </c>
      <c r="H2179" s="163" t="str">
        <f>IFERROR(__xludf.DUMMYFUNCTION("""COMPUTED_VALUE"""),"SF-SG")</f>
        <v>SF-SG</v>
      </c>
      <c r="I2179" s="163">
        <f>IFERROR(__xludf.DUMMYFUNCTION("""COMPUTED_VALUE"""),25.0)</f>
        <v>25</v>
      </c>
      <c r="J2179" s="165">
        <f>IFERROR(__xludf.DUMMYFUNCTION("""COMPUTED_VALUE"""),-2.34287185882924)</f>
        <v>-2.342871859</v>
      </c>
      <c r="K2179" s="165">
        <f>IFERROR(__xludf.DUMMYFUNCTION("""COMPUTED_VALUE"""),-0.731148184718405)</f>
        <v>-0.7311481847</v>
      </c>
      <c r="L2179" s="165">
        <f>IFERROR(__xludf.DUMMYFUNCTION("""COMPUTED_VALUE"""),-1.61172367411083)</f>
        <v>-1.611723674</v>
      </c>
      <c r="M2179" s="166">
        <f t="shared" si="2"/>
        <v>-0.01084129841</v>
      </c>
      <c r="N2179" s="167">
        <f t="shared" si="3"/>
        <v>9.720155039</v>
      </c>
      <c r="O2179" s="163">
        <f t="shared" ref="O2179:Q2179" si="2183">rank(I2179,I:I)</f>
        <v>1995</v>
      </c>
      <c r="P2179" s="163">
        <f t="shared" si="2183"/>
        <v>3679</v>
      </c>
      <c r="Q2179" s="163">
        <f t="shared" si="2183"/>
        <v>2455</v>
      </c>
      <c r="R2179" s="163">
        <f>IFERROR(__xludf.DUMMYFUNCTION("RANK(M2179,filter(M:M,C:C=C2179))"),500.0)</f>
        <v>500</v>
      </c>
      <c r="S2179" s="161" t="b">
        <f t="shared" si="5"/>
        <v>0</v>
      </c>
      <c r="T2179" s="161" t="str">
        <f t="array" ref="T2179">index('Query Tool'!B:B,match(H2179,'Query Tool'!C:C,0))</f>
        <v>#N/A</v>
      </c>
      <c r="U2179" s="161" t="b">
        <f t="array" ref="U2179">index('Query Tool'!B:B,match(C2179,'Query Tool'!C:C,0))</f>
        <v>0</v>
      </c>
      <c r="V2179" s="161" t="b">
        <f>F2179&gt;='Query Tool'!C$32</f>
        <v>0</v>
      </c>
      <c r="W2179" s="161" t="b">
        <f t="array" ref="W2179">index(Dropdowns!B:B,match(I2179,Dropdowns!A:A,0))</f>
        <v>1</v>
      </c>
      <c r="X2179" s="161" t="b">
        <f t="array" ref="X2179">index('Query Tool'!B:B,match(D2179,'Query Tool'!C:C,0))</f>
        <v>1</v>
      </c>
      <c r="Y2179" s="161" t="str">
        <f t="shared" si="6"/>
        <v>muhamsh01,2017-18</v>
      </c>
      <c r="Z2179" s="168" t="str">
        <f t="array" ref="Z2179">iferror(index(I:I,match($A2179&amp;","&amp;index('Year Conversion'!$A:$A,match($C2179,'Year Conversion'!$B:$B,0)),$Y:$Y,0))-I2179,"")</f>
        <v/>
      </c>
      <c r="AA2179" s="168" t="str">
        <f t="array" ref="AA2179">iferror(index(J:J,match($A2179&amp;","&amp;index('Year Conversion'!$A:$A,match($C2179,'Year Conversion'!$B:$B,0)),$Y:$Y,0))-J2179,"")</f>
        <v/>
      </c>
      <c r="AB2179" s="168" t="str">
        <f t="array" ref="AB2179">iferror(index(K:K,match($A2179&amp;","&amp;index('Year Conversion'!$A:$A,match($C2179,'Year Conversion'!$B:$B,0)),$Y:$Y,0))-K2179,"")</f>
        <v/>
      </c>
      <c r="AC2179" s="168" t="str">
        <f t="shared" si="7"/>
        <v>TOT,2017-18</v>
      </c>
    </row>
    <row r="2180">
      <c r="A2180" s="161" t="str">
        <f>IFERROR(__xludf.DUMMYFUNCTION("""COMPUTED_VALUE"""),"larkish01")</f>
        <v>larkish01</v>
      </c>
      <c r="B2180" s="161" t="str">
        <f>IFERROR(__xludf.DUMMYFUNCTION("""COMPUTED_VALUE"""),"Shane Larkin")</f>
        <v>Shane Larkin</v>
      </c>
      <c r="C2180" s="162" t="str">
        <f>IFERROR(__xludf.DUMMYFUNCTION("""COMPUTED_VALUE"""),"2017-18")</f>
        <v>2017-18</v>
      </c>
      <c r="D2180" s="163" t="str">
        <f>IFERROR(__xludf.DUMMYFUNCTION("""COMPUTED_VALUE"""),"BOS")</f>
        <v>BOS</v>
      </c>
      <c r="E2180" s="164" t="str">
        <f>IFERROR(__xludf.DUMMYFUNCTION("""COMPUTED_VALUE"""),"Secondary Ball Handler")</f>
        <v>Secondary Ball Handler</v>
      </c>
      <c r="F2180" s="164">
        <f>IFERROR(__xludf.DUMMYFUNCTION("""COMPUTED_VALUE"""),774.711666666667)</f>
        <v>774.7116667</v>
      </c>
      <c r="G2180" s="163">
        <f>IFERROR(__xludf.DUMMYFUNCTION("""COMPUTED_VALUE"""),54.0)</f>
        <v>54</v>
      </c>
      <c r="H2180" s="163" t="str">
        <f>IFERROR(__xludf.DUMMYFUNCTION("""COMPUTED_VALUE"""),"PG")</f>
        <v>PG</v>
      </c>
      <c r="I2180" s="163">
        <f>IFERROR(__xludf.DUMMYFUNCTION("""COMPUTED_VALUE"""),25.0)</f>
        <v>25</v>
      </c>
      <c r="J2180" s="165">
        <f>IFERROR(__xludf.DUMMYFUNCTION("""COMPUTED_VALUE"""),-1.67863227925971)</f>
        <v>-1.678632279</v>
      </c>
      <c r="K2180" s="165">
        <f>IFERROR(__xludf.DUMMYFUNCTION("""COMPUTED_VALUE"""),-1.64129210172158)</f>
        <v>-1.641292102</v>
      </c>
      <c r="L2180" s="165">
        <f>IFERROR(__xludf.DUMMYFUNCTION("""COMPUTED_VALUE"""),-0.0373401775381317)</f>
        <v>-0.03734017754</v>
      </c>
      <c r="M2180" s="166">
        <f t="shared" si="2"/>
        <v>0.3210089476</v>
      </c>
      <c r="N2180" s="167">
        <f t="shared" si="3"/>
        <v>14.34651235</v>
      </c>
      <c r="O2180" s="163">
        <f t="shared" ref="O2180:Q2180" si="2184">rank(I2180,I:I)</f>
        <v>1995</v>
      </c>
      <c r="P2180" s="163">
        <f t="shared" si="2184"/>
        <v>3221</v>
      </c>
      <c r="Q2180" s="163">
        <f t="shared" si="2184"/>
        <v>3479</v>
      </c>
      <c r="R2180" s="163">
        <f>IFERROR(__xludf.DUMMYFUNCTION("RANK(M2180,filter(M:M,C:C=C2180))"),319.0)</f>
        <v>319</v>
      </c>
      <c r="S2180" s="161" t="b">
        <f t="shared" si="5"/>
        <v>0</v>
      </c>
      <c r="T2180" s="161" t="b">
        <f t="array" ref="T2180">index('Query Tool'!B:B,match(H2180,'Query Tool'!C:C,0))</f>
        <v>1</v>
      </c>
      <c r="U2180" s="161" t="b">
        <f t="array" ref="U2180">index('Query Tool'!B:B,match(C2180,'Query Tool'!C:C,0))</f>
        <v>0</v>
      </c>
      <c r="V2180" s="161" t="b">
        <f>F2180&gt;='Query Tool'!C$32</f>
        <v>1</v>
      </c>
      <c r="W2180" s="161" t="b">
        <f t="array" ref="W2180">index(Dropdowns!B:B,match(I2180,Dropdowns!A:A,0))</f>
        <v>1</v>
      </c>
      <c r="X2180" s="161" t="b">
        <f t="array" ref="X2180">index('Query Tool'!B:B,match(D2180,'Query Tool'!C:C,0))</f>
        <v>1</v>
      </c>
      <c r="Y2180" s="161" t="str">
        <f t="shared" si="6"/>
        <v>larkish01,2017-18</v>
      </c>
      <c r="Z2180" s="168" t="str">
        <f t="array" ref="Z2180">iferror(index(I:I,match($A2180&amp;","&amp;index('Year Conversion'!$A:$A,match($C2180,'Year Conversion'!$B:$B,0)),$Y:$Y,0))-I2180,"")</f>
        <v/>
      </c>
      <c r="AA2180" s="168" t="str">
        <f t="array" ref="AA2180">iferror(index(J:J,match($A2180&amp;","&amp;index('Year Conversion'!$A:$A,match($C2180,'Year Conversion'!$B:$B,0)),$Y:$Y,0))-J2180,"")</f>
        <v/>
      </c>
      <c r="AB2180" s="168" t="str">
        <f t="array" ref="AB2180">iferror(index(K:K,match($A2180&amp;","&amp;index('Year Conversion'!$A:$A,match($C2180,'Year Conversion'!$B:$B,0)),$Y:$Y,0))-K2180,"")</f>
        <v/>
      </c>
      <c r="AC2180" s="168" t="str">
        <f t="shared" si="7"/>
        <v>BOS,2017-18</v>
      </c>
    </row>
    <row r="2181">
      <c r="A2181" s="161" t="str">
        <f>IFERROR(__xludf.DUMMYFUNCTION("""COMPUTED_VALUE"""),"adamsst01")</f>
        <v>adamsst01</v>
      </c>
      <c r="B2181" s="161" t="str">
        <f>IFERROR(__xludf.DUMMYFUNCTION("""COMPUTED_VALUE"""),"Steven Adams")</f>
        <v>Steven Adams</v>
      </c>
      <c r="C2181" s="162" t="str">
        <f>IFERROR(__xludf.DUMMYFUNCTION("""COMPUTED_VALUE"""),"2017-18")</f>
        <v>2017-18</v>
      </c>
      <c r="D2181" s="163" t="str">
        <f>IFERROR(__xludf.DUMMYFUNCTION("""COMPUTED_VALUE"""),"OKC")</f>
        <v>OKC</v>
      </c>
      <c r="E2181" s="164" t="str">
        <f>IFERROR(__xludf.DUMMYFUNCTION("""COMPUTED_VALUE"""),"Roll + Cut Big")</f>
        <v>Roll + Cut Big</v>
      </c>
      <c r="F2181" s="164">
        <f>IFERROR(__xludf.DUMMYFUNCTION("""COMPUTED_VALUE"""),2486.85166666667)</f>
        <v>2486.851667</v>
      </c>
      <c r="G2181" s="163">
        <f>IFERROR(__xludf.DUMMYFUNCTION("""COMPUTED_VALUE"""),76.0)</f>
        <v>76</v>
      </c>
      <c r="H2181" s="163" t="str">
        <f>IFERROR(__xludf.DUMMYFUNCTION("""COMPUTED_VALUE"""),"C")</f>
        <v>C</v>
      </c>
      <c r="I2181" s="163">
        <f>IFERROR(__xludf.DUMMYFUNCTION("""COMPUTED_VALUE"""),24.0)</f>
        <v>24</v>
      </c>
      <c r="J2181" s="165">
        <f>IFERROR(__xludf.DUMMYFUNCTION("""COMPUTED_VALUE"""),1.08744470060554)</f>
        <v>1.087444701</v>
      </c>
      <c r="K2181" s="165">
        <f>IFERROR(__xludf.DUMMYFUNCTION("""COMPUTED_VALUE"""),1.07521389498091)</f>
        <v>1.075213895</v>
      </c>
      <c r="L2181" s="165">
        <f>IFERROR(__xludf.DUMMYFUNCTION("""COMPUTED_VALUE"""),0.0122308056246367)</f>
        <v>0.01223080562</v>
      </c>
      <c r="M2181" s="166">
        <f t="shared" si="2"/>
        <v>5.654127826</v>
      </c>
      <c r="N2181" s="167">
        <f t="shared" si="3"/>
        <v>32.72173246</v>
      </c>
      <c r="O2181" s="163">
        <f t="shared" ref="O2181:Q2181" si="2185">rank(I2181,I:I)</f>
        <v>2361</v>
      </c>
      <c r="P2181" s="163">
        <f t="shared" si="2185"/>
        <v>626</v>
      </c>
      <c r="Q2181" s="163">
        <f t="shared" si="2185"/>
        <v>463</v>
      </c>
      <c r="R2181" s="163">
        <f>IFERROR(__xludf.DUMMYFUNCTION("RANK(M2181,filter(M:M,C:C=C2181))"),42.0)</f>
        <v>42</v>
      </c>
      <c r="S2181" s="161" t="b">
        <f t="shared" si="5"/>
        <v>0</v>
      </c>
      <c r="T2181" s="161" t="b">
        <f t="array" ref="T2181">index('Query Tool'!B:B,match(H2181,'Query Tool'!C:C,0))</f>
        <v>1</v>
      </c>
      <c r="U2181" s="161" t="b">
        <f t="array" ref="U2181">index('Query Tool'!B:B,match(C2181,'Query Tool'!C:C,0))</f>
        <v>0</v>
      </c>
      <c r="V2181" s="161" t="b">
        <f>F2181&gt;='Query Tool'!C$32</f>
        <v>1</v>
      </c>
      <c r="W2181" s="161" t="b">
        <f t="array" ref="W2181">index(Dropdowns!B:B,match(I2181,Dropdowns!A:A,0))</f>
        <v>1</v>
      </c>
      <c r="X2181" s="161" t="b">
        <f t="array" ref="X2181">index('Query Tool'!B:B,match(D2181,'Query Tool'!C:C,0))</f>
        <v>1</v>
      </c>
      <c r="Y2181" s="161" t="str">
        <f t="shared" si="6"/>
        <v>adamsst01,2017-18</v>
      </c>
      <c r="Z2181" s="168">
        <f t="array" ref="Z2181">iferror(index(I:I,match($A2181&amp;","&amp;index('Year Conversion'!$A:$A,match($C2181,'Year Conversion'!$B:$B,0)),$Y:$Y,0))-I2181,"")</f>
        <v>1</v>
      </c>
      <c r="AA2181" s="168">
        <f t="array" ref="AA2181">iferror(index(J:J,match($A2181&amp;","&amp;index('Year Conversion'!$A:$A,match($C2181,'Year Conversion'!$B:$B,0)),$Y:$Y,0))-J2181,"")</f>
        <v>0.6786335253</v>
      </c>
      <c r="AB2181" s="168">
        <f t="array" ref="AB2181">iferror(index(K:K,match($A2181&amp;","&amp;index('Year Conversion'!$A:$A,match($C2181,'Year Conversion'!$B:$B,0)),$Y:$Y,0))-K2181,"")</f>
        <v>-0.8418484221</v>
      </c>
      <c r="AC2181" s="168" t="str">
        <f t="shared" si="7"/>
        <v>OKC,2017-18</v>
      </c>
    </row>
    <row r="2182">
      <c r="A2182" s="161" t="str">
        <f>IFERROR(__xludf.DUMMYFUNCTION("""COMPUTED_VALUE"""),"hardati02")</f>
        <v>hardati02</v>
      </c>
      <c r="B2182" s="161" t="str">
        <f>IFERROR(__xludf.DUMMYFUNCTION("""COMPUTED_VALUE"""),"Tim Hardaway Jr.")</f>
        <v>Tim Hardaway Jr.</v>
      </c>
      <c r="C2182" s="162" t="str">
        <f>IFERROR(__xludf.DUMMYFUNCTION("""COMPUTED_VALUE"""),"2017-18")</f>
        <v>2017-18</v>
      </c>
      <c r="D2182" s="163" t="str">
        <f>IFERROR(__xludf.DUMMYFUNCTION("""COMPUTED_VALUE"""),"NYK")</f>
        <v>NYK</v>
      </c>
      <c r="E2182" s="164" t="str">
        <f>IFERROR(__xludf.DUMMYFUNCTION("""COMPUTED_VALUE"""),"Secondary Ball Handler")</f>
        <v>Secondary Ball Handler</v>
      </c>
      <c r="F2182" s="164">
        <f>IFERROR(__xludf.DUMMYFUNCTION("""COMPUTED_VALUE"""),1884.955)</f>
        <v>1884.955</v>
      </c>
      <c r="G2182" s="163">
        <f>IFERROR(__xludf.DUMMYFUNCTION("""COMPUTED_VALUE"""),57.0)</f>
        <v>57</v>
      </c>
      <c r="H2182" s="163" t="str">
        <f>IFERROR(__xludf.DUMMYFUNCTION("""COMPUTED_VALUE"""),"SG")</f>
        <v>SG</v>
      </c>
      <c r="I2182" s="163">
        <f>IFERROR(__xludf.DUMMYFUNCTION("""COMPUTED_VALUE"""),25.0)</f>
        <v>25</v>
      </c>
      <c r="J2182" s="165">
        <f>IFERROR(__xludf.DUMMYFUNCTION("""COMPUTED_VALUE"""),1.3381240559893)</f>
        <v>1.338124056</v>
      </c>
      <c r="K2182" s="165">
        <f>IFERROR(__xludf.DUMMYFUNCTION("""COMPUTED_VALUE"""),1.51957251692364)</f>
        <v>1.519572517</v>
      </c>
      <c r="L2182" s="165">
        <f>IFERROR(__xludf.DUMMYFUNCTION("""COMPUTED_VALUE"""),-0.181448460934334)</f>
        <v>-0.1814484609</v>
      </c>
      <c r="M2182" s="166">
        <f t="shared" si="2"/>
        <v>4.602266365</v>
      </c>
      <c r="N2182" s="167">
        <f t="shared" si="3"/>
        <v>33.06938596</v>
      </c>
      <c r="O2182" s="163">
        <f t="shared" ref="O2182:Q2182" si="2186">rank(I2182,I:I)</f>
        <v>1995</v>
      </c>
      <c r="P2182" s="163">
        <f t="shared" si="2186"/>
        <v>511</v>
      </c>
      <c r="Q2182" s="163">
        <f t="shared" si="2186"/>
        <v>314</v>
      </c>
      <c r="R2182" s="163">
        <f>IFERROR(__xludf.DUMMYFUNCTION("RANK(M2182,filter(M:M,C:C=C2182))"),66.0)</f>
        <v>66</v>
      </c>
      <c r="S2182" s="161" t="b">
        <f t="shared" si="5"/>
        <v>0</v>
      </c>
      <c r="T2182" s="161" t="b">
        <f t="array" ref="T2182">index('Query Tool'!B:B,match(H2182,'Query Tool'!C:C,0))</f>
        <v>1</v>
      </c>
      <c r="U2182" s="161" t="b">
        <f t="array" ref="U2182">index('Query Tool'!B:B,match(C2182,'Query Tool'!C:C,0))</f>
        <v>0</v>
      </c>
      <c r="V2182" s="161" t="b">
        <f>F2182&gt;='Query Tool'!C$32</f>
        <v>1</v>
      </c>
      <c r="W2182" s="161" t="b">
        <f t="array" ref="W2182">index(Dropdowns!B:B,match(I2182,Dropdowns!A:A,0))</f>
        <v>1</v>
      </c>
      <c r="X2182" s="161" t="b">
        <f t="array" ref="X2182">index('Query Tool'!B:B,match(D2182,'Query Tool'!C:C,0))</f>
        <v>1</v>
      </c>
      <c r="Y2182" s="161" t="str">
        <f t="shared" si="6"/>
        <v>hardati02,2017-18</v>
      </c>
      <c r="Z2182" s="168">
        <f t="array" ref="Z2182">iferror(index(I:I,match($A2182&amp;","&amp;index('Year Conversion'!$A:$A,match($C2182,'Year Conversion'!$B:$B,0)),$Y:$Y,0))-I2182,"")</f>
        <v>1</v>
      </c>
      <c r="AA2182" s="168">
        <f t="array" ref="AA2182">iferror(index(J:J,match($A2182&amp;","&amp;index('Year Conversion'!$A:$A,match($C2182,'Year Conversion'!$B:$B,0)),$Y:$Y,0))-J2182,"")</f>
        <v>-2.040862794</v>
      </c>
      <c r="AB2182" s="168">
        <f t="array" ref="AB2182">iferror(index(K:K,match($A2182&amp;","&amp;index('Year Conversion'!$A:$A,match($C2182,'Year Conversion'!$B:$B,0)),$Y:$Y,0))-K2182,"")</f>
        <v>-1.101619842</v>
      </c>
      <c r="AC2182" s="168" t="str">
        <f t="shared" si="7"/>
        <v>NYK,2017-18</v>
      </c>
    </row>
    <row r="2183">
      <c r="A2183" s="161" t="str">
        <f>IFERROR(__xludf.DUMMYFUNCTION("""COMPUTED_VALUE"""),"snellto01")</f>
        <v>snellto01</v>
      </c>
      <c r="B2183" s="161" t="str">
        <f>IFERROR(__xludf.DUMMYFUNCTION("""COMPUTED_VALUE"""),"Tony Snell")</f>
        <v>Tony Snell</v>
      </c>
      <c r="C2183" s="162" t="str">
        <f>IFERROR(__xludf.DUMMYFUNCTION("""COMPUTED_VALUE"""),"2017-18")</f>
        <v>2017-18</v>
      </c>
      <c r="D2183" s="163" t="str">
        <f>IFERROR(__xludf.DUMMYFUNCTION("""COMPUTED_VALUE"""),"MIL")</f>
        <v>MIL</v>
      </c>
      <c r="E2183" s="164" t="str">
        <f>IFERROR(__xludf.DUMMYFUNCTION("""COMPUTED_VALUE"""),"Stationary Shooter")</f>
        <v>Stationary Shooter</v>
      </c>
      <c r="F2183" s="164">
        <f>IFERROR(__xludf.DUMMYFUNCTION("""COMPUTED_VALUE"""),2053.28833333333)</f>
        <v>2053.288333</v>
      </c>
      <c r="G2183" s="163">
        <f>IFERROR(__xludf.DUMMYFUNCTION("""COMPUTED_VALUE"""),75.0)</f>
        <v>75</v>
      </c>
      <c r="H2183" s="163" t="str">
        <f>IFERROR(__xludf.DUMMYFUNCTION("""COMPUTED_VALUE"""),"SG")</f>
        <v>SG</v>
      </c>
      <c r="I2183" s="163">
        <f>IFERROR(__xludf.DUMMYFUNCTION("""COMPUTED_VALUE"""),26.0)</f>
        <v>26</v>
      </c>
      <c r="J2183" s="165">
        <f>IFERROR(__xludf.DUMMYFUNCTION("""COMPUTED_VALUE"""),-2.39589049869405)</f>
        <v>-2.395890499</v>
      </c>
      <c r="K2183" s="165">
        <f>IFERROR(__xludf.DUMMYFUNCTION("""COMPUTED_VALUE"""),-1.22022528914648)</f>
        <v>-1.220225289</v>
      </c>
      <c r="L2183" s="165">
        <f>IFERROR(__xludf.DUMMYFUNCTION("""COMPUTED_VALUE"""),-1.17566520954757)</f>
        <v>-1.17566521</v>
      </c>
      <c r="M2183" s="166">
        <f t="shared" si="2"/>
        <v>-0.1249617518</v>
      </c>
      <c r="N2183" s="167">
        <f t="shared" si="3"/>
        <v>27.37717778</v>
      </c>
      <c r="O2183" s="163">
        <f t="shared" ref="O2183:Q2183" si="2187">rank(I2183,I:I)</f>
        <v>1665</v>
      </c>
      <c r="P2183" s="163">
        <f t="shared" si="2187"/>
        <v>3713</v>
      </c>
      <c r="Q2183" s="163">
        <f t="shared" si="2187"/>
        <v>3053</v>
      </c>
      <c r="R2183" s="163">
        <f>IFERROR(__xludf.DUMMYFUNCTION("RANK(M2183,filter(M:M,C:C=C2183))"),511.0)</f>
        <v>511</v>
      </c>
      <c r="S2183" s="161" t="b">
        <f t="shared" si="5"/>
        <v>0</v>
      </c>
      <c r="T2183" s="161" t="b">
        <f t="array" ref="T2183">index('Query Tool'!B:B,match(H2183,'Query Tool'!C:C,0))</f>
        <v>1</v>
      </c>
      <c r="U2183" s="161" t="b">
        <f t="array" ref="U2183">index('Query Tool'!B:B,match(C2183,'Query Tool'!C:C,0))</f>
        <v>0</v>
      </c>
      <c r="V2183" s="161" t="b">
        <f>F2183&gt;='Query Tool'!C$32</f>
        <v>1</v>
      </c>
      <c r="W2183" s="161" t="b">
        <f t="array" ref="W2183">index(Dropdowns!B:B,match(I2183,Dropdowns!A:A,0))</f>
        <v>1</v>
      </c>
      <c r="X2183" s="161" t="b">
        <f t="array" ref="X2183">index('Query Tool'!B:B,match(D2183,'Query Tool'!C:C,0))</f>
        <v>1</v>
      </c>
      <c r="Y2183" s="161" t="str">
        <f t="shared" si="6"/>
        <v>snellto01,2017-18</v>
      </c>
      <c r="Z2183" s="168">
        <f t="array" ref="Z2183">iferror(index(I:I,match($A2183&amp;","&amp;index('Year Conversion'!$A:$A,match($C2183,'Year Conversion'!$B:$B,0)),$Y:$Y,0))-I2183,"")</f>
        <v>1</v>
      </c>
      <c r="AA2183" s="168">
        <f t="array" ref="AA2183">iferror(index(J:J,match($A2183&amp;","&amp;index('Year Conversion'!$A:$A,match($C2183,'Year Conversion'!$B:$B,0)),$Y:$Y,0))-J2183,"")</f>
        <v>1.111755655</v>
      </c>
      <c r="AB2183" s="168">
        <f t="array" ref="AB2183">iferror(index(K:K,match($A2183&amp;","&amp;index('Year Conversion'!$A:$A,match($C2183,'Year Conversion'!$B:$B,0)),$Y:$Y,0))-K2183,"")</f>
        <v>0.2972326686</v>
      </c>
      <c r="AC2183" s="168" t="str">
        <f t="shared" si="7"/>
        <v>MIL,2017-18</v>
      </c>
    </row>
    <row r="2184">
      <c r="A2184" s="161" t="str">
        <f>IFERROR(__xludf.DUMMYFUNCTION("""COMPUTED_VALUE"""),"burketr01")</f>
        <v>burketr01</v>
      </c>
      <c r="B2184" s="161" t="str">
        <f>IFERROR(__xludf.DUMMYFUNCTION("""COMPUTED_VALUE"""),"Trey Burke")</f>
        <v>Trey Burke</v>
      </c>
      <c r="C2184" s="162" t="str">
        <f>IFERROR(__xludf.DUMMYFUNCTION("""COMPUTED_VALUE"""),"2017-18")</f>
        <v>2017-18</v>
      </c>
      <c r="D2184" s="163" t="str">
        <f>IFERROR(__xludf.DUMMYFUNCTION("""COMPUTED_VALUE"""),"NYK")</f>
        <v>NYK</v>
      </c>
      <c r="E2184" s="164" t="str">
        <f>IFERROR(__xludf.DUMMYFUNCTION("""COMPUTED_VALUE"""),"Slasher")</f>
        <v>Slasher</v>
      </c>
      <c r="F2184" s="164">
        <f>IFERROR(__xludf.DUMMYFUNCTION("""COMPUTED_VALUE"""),784.655)</f>
        <v>784.655</v>
      </c>
      <c r="G2184" s="163">
        <f>IFERROR(__xludf.DUMMYFUNCTION("""COMPUTED_VALUE"""),36.0)</f>
        <v>36</v>
      </c>
      <c r="H2184" s="163" t="str">
        <f>IFERROR(__xludf.DUMMYFUNCTION("""COMPUTED_VALUE"""),"PG")</f>
        <v>PG</v>
      </c>
      <c r="I2184" s="163">
        <f>IFERROR(__xludf.DUMMYFUNCTION("""COMPUTED_VALUE"""),25.0)</f>
        <v>25</v>
      </c>
      <c r="J2184" s="165">
        <f>IFERROR(__xludf.DUMMYFUNCTION("""COMPUTED_VALUE"""),0.0906404753643453)</f>
        <v>0.09064047536</v>
      </c>
      <c r="K2184" s="165">
        <f>IFERROR(__xludf.DUMMYFUNCTION("""COMPUTED_VALUE"""),2.44850061238359)</f>
        <v>2.448500612</v>
      </c>
      <c r="L2184" s="165">
        <f>IFERROR(__xludf.DUMMYFUNCTION("""COMPUTED_VALUE"""),-2.35786013701924)</f>
        <v>-2.357860137</v>
      </c>
      <c r="M2184" s="166">
        <f t="shared" si="2"/>
        <v>1.257625303</v>
      </c>
      <c r="N2184" s="167">
        <f t="shared" si="3"/>
        <v>21.79597222</v>
      </c>
      <c r="O2184" s="163">
        <f t="shared" ref="O2184:Q2184" si="2188">rank(I2184,I:I)</f>
        <v>1995</v>
      </c>
      <c r="P2184" s="163">
        <f t="shared" si="2188"/>
        <v>1197</v>
      </c>
      <c r="Q2184" s="163">
        <f t="shared" si="2188"/>
        <v>163</v>
      </c>
      <c r="R2184" s="163">
        <f>IFERROR(__xludf.DUMMYFUNCTION("RANK(M2184,filter(M:M,C:C=C2184))"),212.0)</f>
        <v>212</v>
      </c>
      <c r="S2184" s="161" t="b">
        <f t="shared" si="5"/>
        <v>0</v>
      </c>
      <c r="T2184" s="161" t="b">
        <f t="array" ref="T2184">index('Query Tool'!B:B,match(H2184,'Query Tool'!C:C,0))</f>
        <v>1</v>
      </c>
      <c r="U2184" s="161" t="b">
        <f t="array" ref="U2184">index('Query Tool'!B:B,match(C2184,'Query Tool'!C:C,0))</f>
        <v>0</v>
      </c>
      <c r="V2184" s="161" t="b">
        <f>F2184&gt;='Query Tool'!C$32</f>
        <v>1</v>
      </c>
      <c r="W2184" s="161" t="b">
        <f t="array" ref="W2184">index(Dropdowns!B:B,match(I2184,Dropdowns!A:A,0))</f>
        <v>1</v>
      </c>
      <c r="X2184" s="161" t="b">
        <f t="array" ref="X2184">index('Query Tool'!B:B,match(D2184,'Query Tool'!C:C,0))</f>
        <v>1</v>
      </c>
      <c r="Y2184" s="161" t="str">
        <f t="shared" si="6"/>
        <v>burketr01,2017-18</v>
      </c>
      <c r="Z2184" s="168">
        <f t="array" ref="Z2184">iferror(index(I:I,match($A2184&amp;","&amp;index('Year Conversion'!$A:$A,match($C2184,'Year Conversion'!$B:$B,0)),$Y:$Y,0))-I2184,"")</f>
        <v>1</v>
      </c>
      <c r="AA2184" s="168">
        <f t="array" ref="AA2184">iferror(index(J:J,match($A2184&amp;","&amp;index('Year Conversion'!$A:$A,match($C2184,'Year Conversion'!$B:$B,0)),$Y:$Y,0))-J2184,"")</f>
        <v>-0.6540728907</v>
      </c>
      <c r="AB2184" s="168">
        <f t="array" ref="AB2184">iferror(index(K:K,match($A2184&amp;","&amp;index('Year Conversion'!$A:$A,match($C2184,'Year Conversion'!$B:$B,0)),$Y:$Y,0))-K2184,"")</f>
        <v>-1.437612098</v>
      </c>
      <c r="AC2184" s="168" t="str">
        <f t="shared" si="7"/>
        <v>NYK,2017-18</v>
      </c>
    </row>
    <row r="2185">
      <c r="A2185" s="161" t="str">
        <f>IFERROR(__xludf.DUMMYFUNCTION("""COMPUTED_VALUE"""),"blueva01")</f>
        <v>blueva01</v>
      </c>
      <c r="B2185" s="161" t="str">
        <f>IFERROR(__xludf.DUMMYFUNCTION("""COMPUTED_VALUE"""),"Vander Blue")</f>
        <v>Vander Blue</v>
      </c>
      <c r="C2185" s="162" t="str">
        <f>IFERROR(__xludf.DUMMYFUNCTION("""COMPUTED_VALUE"""),"2017-18")</f>
        <v>2017-18</v>
      </c>
      <c r="D2185" s="163" t="str">
        <f>IFERROR(__xludf.DUMMYFUNCTION("""COMPUTED_VALUE"""),"LAL")</f>
        <v>LAL</v>
      </c>
      <c r="E2185" s="164" t="str">
        <f>IFERROR(__xludf.DUMMYFUNCTION("""COMPUTED_VALUE"""),"Secondary Ball Handler")</f>
        <v>Secondary Ball Handler</v>
      </c>
      <c r="F2185" s="164">
        <f>IFERROR(__xludf.DUMMYFUNCTION("""COMPUTED_VALUE"""),44.9166666666666)</f>
        <v>44.91666667</v>
      </c>
      <c r="G2185" s="163">
        <f>IFERROR(__xludf.DUMMYFUNCTION("""COMPUTED_VALUE"""),5.0)</f>
        <v>5</v>
      </c>
      <c r="H2185" s="163" t="str">
        <f>IFERROR(__xludf.DUMMYFUNCTION("""COMPUTED_VALUE"""),"SG")</f>
        <v>SG</v>
      </c>
      <c r="I2185" s="163">
        <f>IFERROR(__xludf.DUMMYFUNCTION("""COMPUTED_VALUE"""),25.0)</f>
        <v>25</v>
      </c>
      <c r="J2185" s="165">
        <f>IFERROR(__xludf.DUMMYFUNCTION("""COMPUTED_VALUE"""),-0.454184703209574)</f>
        <v>-0.4541847032</v>
      </c>
      <c r="K2185" s="165">
        <f>IFERROR(__xludf.DUMMYFUNCTION("""COMPUTED_VALUE"""),-0.47202047033681)</f>
        <v>-0.4720204703</v>
      </c>
      <c r="L2185" s="165">
        <f>IFERROR(__xludf.DUMMYFUNCTION("""COMPUTED_VALUE"""),0.0178357671272365)</f>
        <v>0.01783576713</v>
      </c>
      <c r="M2185" s="166">
        <f t="shared" si="2"/>
        <v>0.05549668346</v>
      </c>
      <c r="N2185" s="167">
        <f t="shared" si="3"/>
        <v>8.983333333</v>
      </c>
      <c r="O2185" s="163">
        <f t="shared" ref="O2185:Q2185" si="2189">rank(I2185,I:I)</f>
        <v>1995</v>
      </c>
      <c r="P2185" s="163">
        <f t="shared" si="2189"/>
        <v>1780</v>
      </c>
      <c r="Q2185" s="163">
        <f t="shared" si="2189"/>
        <v>2071</v>
      </c>
      <c r="R2185" s="163">
        <f>IFERROR(__xludf.DUMMYFUNCTION("RANK(M2185,filter(M:M,C:C=C2185))"),427.0)</f>
        <v>427</v>
      </c>
      <c r="S2185" s="161" t="b">
        <f t="shared" si="5"/>
        <v>0</v>
      </c>
      <c r="T2185" s="161" t="b">
        <f t="array" ref="T2185">index('Query Tool'!B:B,match(H2185,'Query Tool'!C:C,0))</f>
        <v>1</v>
      </c>
      <c r="U2185" s="161" t="b">
        <f t="array" ref="U2185">index('Query Tool'!B:B,match(C2185,'Query Tool'!C:C,0))</f>
        <v>0</v>
      </c>
      <c r="V2185" s="161" t="b">
        <f>F2185&gt;='Query Tool'!C$32</f>
        <v>0</v>
      </c>
      <c r="W2185" s="161" t="b">
        <f t="array" ref="W2185">index(Dropdowns!B:B,match(I2185,Dropdowns!A:A,0))</f>
        <v>1</v>
      </c>
      <c r="X2185" s="161" t="b">
        <f t="array" ref="X2185">index('Query Tool'!B:B,match(D2185,'Query Tool'!C:C,0))</f>
        <v>1</v>
      </c>
      <c r="Y2185" s="161" t="str">
        <f t="shared" si="6"/>
        <v>blueva01,2017-18</v>
      </c>
      <c r="Z2185" s="168" t="str">
        <f t="array" ref="Z2185">iferror(index(I:I,match($A2185&amp;","&amp;index('Year Conversion'!$A:$A,match($C2185,'Year Conversion'!$B:$B,0)),$Y:$Y,0))-I2185,"")</f>
        <v/>
      </c>
      <c r="AA2185" s="168" t="str">
        <f t="array" ref="AA2185">iferror(index(J:J,match($A2185&amp;","&amp;index('Year Conversion'!$A:$A,match($C2185,'Year Conversion'!$B:$B,0)),$Y:$Y,0))-J2185,"")</f>
        <v/>
      </c>
      <c r="AB2185" s="168" t="str">
        <f t="array" ref="AB2185">iferror(index(K:K,match($A2185&amp;","&amp;index('Year Conversion'!$A:$A,match($C2185,'Year Conversion'!$B:$B,0)),$Y:$Y,0))-K2185,"")</f>
        <v/>
      </c>
      <c r="AC2185" s="168" t="str">
        <f t="shared" si="7"/>
        <v>LAL,2017-18</v>
      </c>
    </row>
    <row r="2186">
      <c r="A2186" s="161" t="str">
        <f>IFERROR(__xludf.DUMMYFUNCTION("""COMPUTED_VALUE"""),"oladivi01")</f>
        <v>oladivi01</v>
      </c>
      <c r="B2186" s="161" t="str">
        <f>IFERROR(__xludf.DUMMYFUNCTION("""COMPUTED_VALUE"""),"Victor Oladipo")</f>
        <v>Victor Oladipo</v>
      </c>
      <c r="C2186" s="162" t="str">
        <f>IFERROR(__xludf.DUMMYFUNCTION("""COMPUTED_VALUE"""),"2017-18")</f>
        <v>2017-18</v>
      </c>
      <c r="D2186" s="163" t="str">
        <f>IFERROR(__xludf.DUMMYFUNCTION("""COMPUTED_VALUE"""),"IND")</f>
        <v>IND</v>
      </c>
      <c r="E2186" s="164" t="str">
        <f>IFERROR(__xludf.DUMMYFUNCTION("""COMPUTED_VALUE"""),"Primary Ball Handler")</f>
        <v>Primary Ball Handler</v>
      </c>
      <c r="F2186" s="164">
        <f>IFERROR(__xludf.DUMMYFUNCTION("""COMPUTED_VALUE"""),2552.03833333333)</f>
        <v>2552.038333</v>
      </c>
      <c r="G2186" s="163">
        <f>IFERROR(__xludf.DUMMYFUNCTION("""COMPUTED_VALUE"""),75.0)</f>
        <v>75</v>
      </c>
      <c r="H2186" s="163" t="str">
        <f>IFERROR(__xludf.DUMMYFUNCTION("""COMPUTED_VALUE"""),"SG")</f>
        <v>SG</v>
      </c>
      <c r="I2186" s="163">
        <f>IFERROR(__xludf.DUMMYFUNCTION("""COMPUTED_VALUE"""),25.0)</f>
        <v>25</v>
      </c>
      <c r="J2186" s="165">
        <f>IFERROR(__xludf.DUMMYFUNCTION("""COMPUTED_VALUE"""),4.3286185579063)</f>
        <v>4.328618558</v>
      </c>
      <c r="K2186" s="165">
        <f>IFERROR(__xludf.DUMMYFUNCTION("""COMPUTED_VALUE"""),2.35631253121778)</f>
        <v>2.356312531</v>
      </c>
      <c r="L2186" s="165">
        <f>IFERROR(__xludf.DUMMYFUNCTION("""COMPUTED_VALUE"""),1.97230602668852)</f>
        <v>1.972306027</v>
      </c>
      <c r="M2186" s="166">
        <f t="shared" si="2"/>
        <v>11.19403361</v>
      </c>
      <c r="N2186" s="167">
        <f t="shared" si="3"/>
        <v>34.02717778</v>
      </c>
      <c r="O2186" s="163">
        <f t="shared" ref="O2186:Q2186" si="2190">rank(I2186,I:I)</f>
        <v>1995</v>
      </c>
      <c r="P2186" s="163">
        <f t="shared" si="2190"/>
        <v>80</v>
      </c>
      <c r="Q2186" s="163">
        <f t="shared" si="2190"/>
        <v>172</v>
      </c>
      <c r="R2186" s="163">
        <f>IFERROR(__xludf.DUMMYFUNCTION("RANK(M2186,filter(M:M,C:C=C2186))"),8.0)</f>
        <v>8</v>
      </c>
      <c r="S2186" s="161" t="b">
        <f t="shared" si="5"/>
        <v>0</v>
      </c>
      <c r="T2186" s="161" t="b">
        <f t="array" ref="T2186">index('Query Tool'!B:B,match(H2186,'Query Tool'!C:C,0))</f>
        <v>1</v>
      </c>
      <c r="U2186" s="161" t="b">
        <f t="array" ref="U2186">index('Query Tool'!B:B,match(C2186,'Query Tool'!C:C,0))</f>
        <v>0</v>
      </c>
      <c r="V2186" s="161" t="b">
        <f>F2186&gt;='Query Tool'!C$32</f>
        <v>1</v>
      </c>
      <c r="W2186" s="161" t="b">
        <f t="array" ref="W2186">index(Dropdowns!B:B,match(I2186,Dropdowns!A:A,0))</f>
        <v>1</v>
      </c>
      <c r="X2186" s="161" t="b">
        <f t="array" ref="X2186">index('Query Tool'!B:B,match(D2186,'Query Tool'!C:C,0))</f>
        <v>1</v>
      </c>
      <c r="Y2186" s="161" t="str">
        <f t="shared" si="6"/>
        <v>oladivi01,2017-18</v>
      </c>
      <c r="Z2186" s="168">
        <f t="array" ref="Z2186">iferror(index(I:I,match($A2186&amp;","&amp;index('Year Conversion'!$A:$A,match($C2186,'Year Conversion'!$B:$B,0)),$Y:$Y,0))-I2186,"")</f>
        <v>1</v>
      </c>
      <c r="AA2186" s="168">
        <f t="array" ref="AA2186">iferror(index(J:J,match($A2186&amp;","&amp;index('Year Conversion'!$A:$A,match($C2186,'Year Conversion'!$B:$B,0)),$Y:$Y,0))-J2186,"")</f>
        <v>-2.365823887</v>
      </c>
      <c r="AB2186" s="168">
        <f t="array" ref="AB2186">iferror(index(K:K,match($A2186&amp;","&amp;index('Year Conversion'!$A:$A,match($C2186,'Year Conversion'!$B:$B,0)),$Y:$Y,0))-K2186,"")</f>
        <v>-1.461586348</v>
      </c>
      <c r="AC2186" s="168" t="str">
        <f t="shared" si="7"/>
        <v>IND,2017-18</v>
      </c>
    </row>
    <row r="2187">
      <c r="A2187" s="161" t="str">
        <f>IFERROR(__xludf.DUMMYFUNCTION("""COMPUTED_VALUE"""),"antetgi01")</f>
        <v>antetgi01</v>
      </c>
      <c r="B2187" s="161" t="str">
        <f>IFERROR(__xludf.DUMMYFUNCTION("""COMPUTED_VALUE"""),"Giannis Antetokounmpo")</f>
        <v>Giannis Antetokounmpo</v>
      </c>
      <c r="C2187" s="162" t="str">
        <f>IFERROR(__xludf.DUMMYFUNCTION("""COMPUTED_VALUE"""),"2017-18")</f>
        <v>2017-18</v>
      </c>
      <c r="D2187" s="163" t="str">
        <f>IFERROR(__xludf.DUMMYFUNCTION("""COMPUTED_VALUE"""),"MIL")</f>
        <v>MIL</v>
      </c>
      <c r="E2187" s="164" t="str">
        <f>IFERROR(__xludf.DUMMYFUNCTION("""COMPUTED_VALUE"""),"Shot Creator")</f>
        <v>Shot Creator</v>
      </c>
      <c r="F2187" s="164">
        <f>IFERROR(__xludf.DUMMYFUNCTION("""COMPUTED_VALUE"""),2756.20333333333)</f>
        <v>2756.203333</v>
      </c>
      <c r="G2187" s="163">
        <f>IFERROR(__xludf.DUMMYFUNCTION("""COMPUTED_VALUE"""),75.0)</f>
        <v>75</v>
      </c>
      <c r="H2187" s="163" t="str">
        <f>IFERROR(__xludf.DUMMYFUNCTION("""COMPUTED_VALUE"""),"PF")</f>
        <v>PF</v>
      </c>
      <c r="I2187" s="163">
        <f>IFERROR(__xludf.DUMMYFUNCTION("""COMPUTED_VALUE"""),23.0)</f>
        <v>23</v>
      </c>
      <c r="J2187" s="165">
        <f>IFERROR(__xludf.DUMMYFUNCTION("""COMPUTED_VALUE"""),4.5977507465189)</f>
        <v>4.597750747</v>
      </c>
      <c r="K2187" s="165">
        <f>IFERROR(__xludf.DUMMYFUNCTION("""COMPUTED_VALUE"""),2.68241777624217)</f>
        <v>2.682417776</v>
      </c>
      <c r="L2187" s="165">
        <f>IFERROR(__xludf.DUMMYFUNCTION("""COMPUTED_VALUE"""),1.91533297027673)</f>
        <v>1.91533297</v>
      </c>
      <c r="M2187" s="166">
        <f t="shared" si="2"/>
        <v>12.55033014</v>
      </c>
      <c r="N2187" s="167">
        <f t="shared" si="3"/>
        <v>36.74937778</v>
      </c>
      <c r="O2187" s="163">
        <f t="shared" ref="O2187:Q2187" si="2191">rank(I2187,I:I)</f>
        <v>2765</v>
      </c>
      <c r="P2187" s="163">
        <f t="shared" si="2191"/>
        <v>66</v>
      </c>
      <c r="Q2187" s="163">
        <f t="shared" si="2191"/>
        <v>141</v>
      </c>
      <c r="R2187" s="163">
        <f>IFERROR(__xludf.DUMMYFUNCTION("RANK(M2187,filter(M:M,C:C=C2187))"),6.0)</f>
        <v>6</v>
      </c>
      <c r="S2187" s="161" t="b">
        <f t="shared" si="5"/>
        <v>0</v>
      </c>
      <c r="T2187" s="161" t="b">
        <f t="array" ref="T2187">index('Query Tool'!B:B,match(H2187,'Query Tool'!C:C,0))</f>
        <v>1</v>
      </c>
      <c r="U2187" s="161" t="b">
        <f t="array" ref="U2187">index('Query Tool'!B:B,match(C2187,'Query Tool'!C:C,0))</f>
        <v>0</v>
      </c>
      <c r="V2187" s="161" t="b">
        <f>F2187&gt;='Query Tool'!C$32</f>
        <v>1</v>
      </c>
      <c r="W2187" s="161" t="b">
        <f t="array" ref="W2187">index(Dropdowns!B:B,match(I2187,Dropdowns!A:A,0))</f>
        <v>1</v>
      </c>
      <c r="X2187" s="161" t="b">
        <f t="array" ref="X2187">index('Query Tool'!B:B,match(D2187,'Query Tool'!C:C,0))</f>
        <v>1</v>
      </c>
      <c r="Y2187" s="161" t="str">
        <f t="shared" si="6"/>
        <v>antetgi01,2017-18</v>
      </c>
      <c r="Z2187" s="168">
        <f t="array" ref="Z2187">iferror(index(I:I,match($A2187&amp;","&amp;index('Year Conversion'!$A:$A,match($C2187,'Year Conversion'!$B:$B,0)),$Y:$Y,0))-I2187,"")</f>
        <v>1</v>
      </c>
      <c r="AA2187" s="168">
        <f t="array" ref="AA2187">iferror(index(J:J,match($A2187&amp;","&amp;index('Year Conversion'!$A:$A,match($C2187,'Year Conversion'!$B:$B,0)),$Y:$Y,0))-J2187,"")</f>
        <v>3.334736781</v>
      </c>
      <c r="AB2187" s="168">
        <f t="array" ref="AB2187">iferror(index(K:K,match($A2187&amp;","&amp;index('Year Conversion'!$A:$A,match($C2187,'Year Conversion'!$B:$B,0)),$Y:$Y,0))-K2187,"")</f>
        <v>1.603921432</v>
      </c>
      <c r="AC2187" s="168" t="str">
        <f t="shared" si="7"/>
        <v>MIL,2017-18</v>
      </c>
    </row>
    <row r="2188">
      <c r="A2188" s="161" t="str">
        <f>IFERROR(__xludf.DUMMYFUNCTION("""COMPUTED_VALUE"""),"noguelu01")</f>
        <v>noguelu01</v>
      </c>
      <c r="B2188" s="161" t="str">
        <f>IFERROR(__xludf.DUMMYFUNCTION("""COMPUTED_VALUE"""),"Lucas Nogueira")</f>
        <v>Lucas Nogueira</v>
      </c>
      <c r="C2188" s="162" t="str">
        <f>IFERROR(__xludf.DUMMYFUNCTION("""COMPUTED_VALUE"""),"2017-18")</f>
        <v>2017-18</v>
      </c>
      <c r="D2188" s="163" t="str">
        <f>IFERROR(__xludf.DUMMYFUNCTION("""COMPUTED_VALUE"""),"TOR")</f>
        <v>TOR</v>
      </c>
      <c r="E2188" s="164" t="str">
        <f>IFERROR(__xludf.DUMMYFUNCTION("""COMPUTED_VALUE"""),"Roll + Cut Big")</f>
        <v>Roll + Cut Big</v>
      </c>
      <c r="F2188" s="164">
        <f>IFERROR(__xludf.DUMMYFUNCTION("""COMPUTED_VALUE"""),417.84)</f>
        <v>417.84</v>
      </c>
      <c r="G2188" s="163">
        <f>IFERROR(__xludf.DUMMYFUNCTION("""COMPUTED_VALUE"""),49.0)</f>
        <v>49</v>
      </c>
      <c r="H2188" s="163" t="str">
        <f>IFERROR(__xludf.DUMMYFUNCTION("""COMPUTED_VALUE"""),"C")</f>
        <v>C</v>
      </c>
      <c r="I2188" s="163">
        <f>IFERROR(__xludf.DUMMYFUNCTION("""COMPUTED_VALUE"""),25.0)</f>
        <v>25</v>
      </c>
      <c r="J2188" s="165">
        <f>IFERROR(__xludf.DUMMYFUNCTION("""COMPUTED_VALUE"""),1.76048211969419)</f>
        <v>1.76048212</v>
      </c>
      <c r="K2188" s="165">
        <f>IFERROR(__xludf.DUMMYFUNCTION("""COMPUTED_VALUE"""),-1.4433377237825)</f>
        <v>-1.443337724</v>
      </c>
      <c r="L2188" s="165">
        <f>IFERROR(__xludf.DUMMYFUNCTION("""COMPUTED_VALUE"""),3.20381984347669)</f>
        <v>3.203819843</v>
      </c>
      <c r="M2188" s="166">
        <f t="shared" si="2"/>
        <v>1.137979642</v>
      </c>
      <c r="N2188" s="167">
        <f t="shared" si="3"/>
        <v>8.527346939</v>
      </c>
      <c r="O2188" s="163">
        <f t="shared" ref="O2188:Q2188" si="2192">rank(I2188,I:I)</f>
        <v>1995</v>
      </c>
      <c r="P2188" s="163">
        <f t="shared" si="2192"/>
        <v>384</v>
      </c>
      <c r="Q2188" s="163">
        <f t="shared" si="2192"/>
        <v>3294</v>
      </c>
      <c r="R2188" s="163">
        <f>IFERROR(__xludf.DUMMYFUNCTION("RANK(M2188,filter(M:M,C:C=C2188))"),223.0)</f>
        <v>223</v>
      </c>
      <c r="S2188" s="161" t="b">
        <f t="shared" si="5"/>
        <v>0</v>
      </c>
      <c r="T2188" s="161" t="b">
        <f t="array" ref="T2188">index('Query Tool'!B:B,match(H2188,'Query Tool'!C:C,0))</f>
        <v>1</v>
      </c>
      <c r="U2188" s="161" t="b">
        <f t="array" ref="U2188">index('Query Tool'!B:B,match(C2188,'Query Tool'!C:C,0))</f>
        <v>0</v>
      </c>
      <c r="V2188" s="161" t="b">
        <f>F2188&gt;='Query Tool'!C$32</f>
        <v>0</v>
      </c>
      <c r="W2188" s="161" t="b">
        <f t="array" ref="W2188">index(Dropdowns!B:B,match(I2188,Dropdowns!A:A,0))</f>
        <v>1</v>
      </c>
      <c r="X2188" s="161" t="b">
        <f t="array" ref="X2188">index('Query Tool'!B:B,match(D2188,'Query Tool'!C:C,0))</f>
        <v>1</v>
      </c>
      <c r="Y2188" s="161" t="str">
        <f t="shared" si="6"/>
        <v>noguelu01,2017-18</v>
      </c>
      <c r="Z2188" s="168" t="str">
        <f t="array" ref="Z2188">iferror(index(I:I,match($A2188&amp;","&amp;index('Year Conversion'!$A:$A,match($C2188,'Year Conversion'!$B:$B,0)),$Y:$Y,0))-I2188,"")</f>
        <v/>
      </c>
      <c r="AA2188" s="168" t="str">
        <f t="array" ref="AA2188">iferror(index(J:J,match($A2188&amp;","&amp;index('Year Conversion'!$A:$A,match($C2188,'Year Conversion'!$B:$B,0)),$Y:$Y,0))-J2188,"")</f>
        <v/>
      </c>
      <c r="AB2188" s="168" t="str">
        <f t="array" ref="AB2188">iferror(index(K:K,match($A2188&amp;","&amp;index('Year Conversion'!$A:$A,match($C2188,'Year Conversion'!$B:$B,0)),$Y:$Y,0))-K2188,"")</f>
        <v/>
      </c>
      <c r="AC2188" s="168" t="str">
        <f t="shared" si="7"/>
        <v>TOR,2017-18</v>
      </c>
    </row>
    <row r="2189">
      <c r="A2189" s="161" t="str">
        <f>IFERROR(__xludf.DUMMYFUNCTION("""COMPUTED_VALUE"""),"ennisja01")</f>
        <v>ennisja01</v>
      </c>
      <c r="B2189" s="161" t="str">
        <f>IFERROR(__xludf.DUMMYFUNCTION("""COMPUTED_VALUE"""),"James Ennis III")</f>
        <v>James Ennis III</v>
      </c>
      <c r="C2189" s="162" t="str">
        <f>IFERROR(__xludf.DUMMYFUNCTION("""COMPUTED_VALUE"""),"2017-18")</f>
        <v>2017-18</v>
      </c>
      <c r="D2189" s="163" t="str">
        <f>IFERROR(__xludf.DUMMYFUNCTION("""COMPUTED_VALUE"""),"TOT")</f>
        <v>TOT</v>
      </c>
      <c r="E2189" s="164" t="str">
        <f>IFERROR(__xludf.DUMMYFUNCTION("""COMPUTED_VALUE"""),"Athletic Finisher")</f>
        <v>Athletic Finisher</v>
      </c>
      <c r="F2189" s="164">
        <f>IFERROR(__xludf.DUMMYFUNCTION("""COMPUTED_VALUE"""),1604.03)</f>
        <v>1604.03</v>
      </c>
      <c r="G2189" s="163">
        <f>IFERROR(__xludf.DUMMYFUNCTION("""COMPUTED_VALUE"""),72.0)</f>
        <v>72</v>
      </c>
      <c r="H2189" s="163" t="str">
        <f>IFERROR(__xludf.DUMMYFUNCTION("""COMPUTED_VALUE"""),"SF")</f>
        <v>SF</v>
      </c>
      <c r="I2189" s="163">
        <f>IFERROR(__xludf.DUMMYFUNCTION("""COMPUTED_VALUE"""),27.0)</f>
        <v>27</v>
      </c>
      <c r="J2189" s="165">
        <f>IFERROR(__xludf.DUMMYFUNCTION("""COMPUTED_VALUE"""),-2.39236537533764)</f>
        <v>-2.392365375</v>
      </c>
      <c r="K2189" s="165">
        <f>IFERROR(__xludf.DUMMYFUNCTION("""COMPUTED_VALUE"""),-1.50598538707081)</f>
        <v>-1.505985387</v>
      </c>
      <c r="L2189" s="165">
        <f>IFERROR(__xludf.DUMMYFUNCTION("""COMPUTED_VALUE"""),-0.886379988266823)</f>
        <v>-0.8863799883</v>
      </c>
      <c r="M2189" s="166">
        <f t="shared" si="2"/>
        <v>-0.09389768542</v>
      </c>
      <c r="N2189" s="167">
        <f t="shared" si="3"/>
        <v>22.27819444</v>
      </c>
      <c r="O2189" s="163">
        <f t="shared" ref="O2189:Q2189" si="2193">rank(I2189,I:I)</f>
        <v>1366</v>
      </c>
      <c r="P2189" s="163">
        <f t="shared" si="2193"/>
        <v>3710</v>
      </c>
      <c r="Q2189" s="163">
        <f t="shared" si="2193"/>
        <v>3363</v>
      </c>
      <c r="R2189" s="163">
        <f>IFERROR(__xludf.DUMMYFUNCTION("RANK(M2189,filter(M:M,C:C=C2189))"),510.0)</f>
        <v>510</v>
      </c>
      <c r="S2189" s="161" t="b">
        <f t="shared" si="5"/>
        <v>0</v>
      </c>
      <c r="T2189" s="161" t="b">
        <f t="array" ref="T2189">index('Query Tool'!B:B,match(H2189,'Query Tool'!C:C,0))</f>
        <v>1</v>
      </c>
      <c r="U2189" s="161" t="b">
        <f t="array" ref="U2189">index('Query Tool'!B:B,match(C2189,'Query Tool'!C:C,0))</f>
        <v>0</v>
      </c>
      <c r="V2189" s="161" t="b">
        <f>F2189&gt;='Query Tool'!C$32</f>
        <v>1</v>
      </c>
      <c r="W2189" s="161" t="b">
        <f t="array" ref="W2189">index(Dropdowns!B:B,match(I2189,Dropdowns!A:A,0))</f>
        <v>1</v>
      </c>
      <c r="X2189" s="161" t="b">
        <f t="array" ref="X2189">index('Query Tool'!B:B,match(D2189,'Query Tool'!C:C,0))</f>
        <v>1</v>
      </c>
      <c r="Y2189" s="161" t="str">
        <f t="shared" si="6"/>
        <v>ennisja01,2017-18</v>
      </c>
      <c r="Z2189" s="168">
        <f t="array" ref="Z2189">iferror(index(I:I,match($A2189&amp;","&amp;index('Year Conversion'!$A:$A,match($C2189,'Year Conversion'!$B:$B,0)),$Y:$Y,0))-I2189,"")</f>
        <v>1</v>
      </c>
      <c r="AA2189" s="168">
        <f t="array" ref="AA2189">iferror(index(J:J,match($A2189&amp;","&amp;index('Year Conversion'!$A:$A,match($C2189,'Year Conversion'!$B:$B,0)),$Y:$Y,0))-J2189,"")</f>
        <v>0.4462225087</v>
      </c>
      <c r="AB2189" s="168">
        <f t="array" ref="AB2189">iferror(index(K:K,match($A2189&amp;","&amp;index('Year Conversion'!$A:$A,match($C2189,'Year Conversion'!$B:$B,0)),$Y:$Y,0))-K2189,"")</f>
        <v>0.6462002088</v>
      </c>
      <c r="AC2189" s="168" t="str">
        <f t="shared" si="7"/>
        <v>TOT,2017-18</v>
      </c>
    </row>
    <row r="2190">
      <c r="A2190" s="161" t="str">
        <f>IFERROR(__xludf.DUMMYFUNCTION("""COMPUTED_VALUE"""),"abrinal01")</f>
        <v>abrinal01</v>
      </c>
      <c r="B2190" s="161" t="str">
        <f>IFERROR(__xludf.DUMMYFUNCTION("""COMPUTED_VALUE"""),"Alex Abrines")</f>
        <v>Alex Abrines</v>
      </c>
      <c r="C2190" s="162" t="str">
        <f>IFERROR(__xludf.DUMMYFUNCTION("""COMPUTED_VALUE"""),"2017-18")</f>
        <v>2017-18</v>
      </c>
      <c r="D2190" s="163" t="str">
        <f>IFERROR(__xludf.DUMMYFUNCTION("""COMPUTED_VALUE"""),"OKC")</f>
        <v>OKC</v>
      </c>
      <c r="E2190" s="164" t="str">
        <f>IFERROR(__xludf.DUMMYFUNCTION("""COMPUTED_VALUE"""),"Stationary Shooter")</f>
        <v>Stationary Shooter</v>
      </c>
      <c r="F2190" s="164">
        <f>IFERROR(__xludf.DUMMYFUNCTION("""COMPUTED_VALUE"""),1134.18666666667)</f>
        <v>1134.186667</v>
      </c>
      <c r="G2190" s="163">
        <f>IFERROR(__xludf.DUMMYFUNCTION("""COMPUTED_VALUE"""),75.0)</f>
        <v>75</v>
      </c>
      <c r="H2190" s="163" t="str">
        <f>IFERROR(__xludf.DUMMYFUNCTION("""COMPUTED_VALUE"""),"SG")</f>
        <v>SG</v>
      </c>
      <c r="I2190" s="163">
        <f>IFERROR(__xludf.DUMMYFUNCTION("""COMPUTED_VALUE"""),24.0)</f>
        <v>24</v>
      </c>
      <c r="J2190" s="165">
        <f>IFERROR(__xludf.DUMMYFUNCTION("""COMPUTED_VALUE"""),-2.3764905576168)</f>
        <v>-2.376490558</v>
      </c>
      <c r="K2190" s="165">
        <f>IFERROR(__xludf.DUMMYFUNCTION("""COMPUTED_VALUE"""),-1.15881020602688)</f>
        <v>-1.158810206</v>
      </c>
      <c r="L2190" s="165">
        <f>IFERROR(__xludf.DUMMYFUNCTION("""COMPUTED_VALUE"""),-1.21768035158991)</f>
        <v>-1.217680352</v>
      </c>
      <c r="M2190" s="166">
        <f t="shared" si="2"/>
        <v>-0.05453806976</v>
      </c>
      <c r="N2190" s="167">
        <f t="shared" si="3"/>
        <v>15.12248889</v>
      </c>
      <c r="O2190" s="163">
        <f t="shared" ref="O2190:Q2190" si="2194">rank(I2190,I:I)</f>
        <v>2361</v>
      </c>
      <c r="P2190" s="163">
        <f t="shared" si="2194"/>
        <v>3700</v>
      </c>
      <c r="Q2190" s="163">
        <f t="shared" si="2194"/>
        <v>2995</v>
      </c>
      <c r="R2190" s="163">
        <f>IFERROR(__xludf.DUMMYFUNCTION("RANK(M2190,filter(M:M,C:C=C2190))"),507.0)</f>
        <v>507</v>
      </c>
      <c r="S2190" s="161" t="b">
        <f t="shared" si="5"/>
        <v>0</v>
      </c>
      <c r="T2190" s="161" t="b">
        <f t="array" ref="T2190">index('Query Tool'!B:B,match(H2190,'Query Tool'!C:C,0))</f>
        <v>1</v>
      </c>
      <c r="U2190" s="161" t="b">
        <f t="array" ref="U2190">index('Query Tool'!B:B,match(C2190,'Query Tool'!C:C,0))</f>
        <v>0</v>
      </c>
      <c r="V2190" s="161" t="b">
        <f>F2190&gt;='Query Tool'!C$32</f>
        <v>1</v>
      </c>
      <c r="W2190" s="161" t="b">
        <f t="array" ref="W2190">index(Dropdowns!B:B,match(I2190,Dropdowns!A:A,0))</f>
        <v>1</v>
      </c>
      <c r="X2190" s="161" t="b">
        <f t="array" ref="X2190">index('Query Tool'!B:B,match(D2190,'Query Tool'!C:C,0))</f>
        <v>1</v>
      </c>
      <c r="Y2190" s="161" t="str">
        <f t="shared" si="6"/>
        <v>abrinal01,2017-18</v>
      </c>
      <c r="Z2190" s="168">
        <f t="array" ref="Z2190">iferror(index(I:I,match($A2190&amp;","&amp;index('Year Conversion'!$A:$A,match($C2190,'Year Conversion'!$B:$B,0)),$Y:$Y,0))-I2190,"")</f>
        <v>1</v>
      </c>
      <c r="AA2190" s="168">
        <f t="array" ref="AA2190">iferror(index(J:J,match($A2190&amp;","&amp;index('Year Conversion'!$A:$A,match($C2190,'Year Conversion'!$B:$B,0)),$Y:$Y,0))-J2190,"")</f>
        <v>-0.07992448385</v>
      </c>
      <c r="AB2190" s="168">
        <f t="array" ref="AB2190">iferror(index(K:K,match($A2190&amp;","&amp;index('Year Conversion'!$A:$A,match($C2190,'Year Conversion'!$B:$B,0)),$Y:$Y,0))-K2190,"")</f>
        <v>-0.7215836458</v>
      </c>
      <c r="AC2190" s="168" t="str">
        <f t="shared" si="7"/>
        <v>OKC,2017-18</v>
      </c>
    </row>
    <row r="2191">
      <c r="A2191" s="161" t="str">
        <f>IFERROR(__xludf.DUMMYFUNCTION("""COMPUTED_VALUE"""),"dellama01")</f>
        <v>dellama01</v>
      </c>
      <c r="B2191" s="161" t="str">
        <f>IFERROR(__xludf.DUMMYFUNCTION("""COMPUTED_VALUE"""),"Matthew Dellavedova")</f>
        <v>Matthew Dellavedova</v>
      </c>
      <c r="C2191" s="162" t="str">
        <f>IFERROR(__xludf.DUMMYFUNCTION("""COMPUTED_VALUE"""),"2017-18")</f>
        <v>2017-18</v>
      </c>
      <c r="D2191" s="163" t="str">
        <f>IFERROR(__xludf.DUMMYFUNCTION("""COMPUTED_VALUE"""),"MIL")</f>
        <v>MIL</v>
      </c>
      <c r="E2191" s="164" t="str">
        <f>IFERROR(__xludf.DUMMYFUNCTION("""COMPUTED_VALUE"""),"Secondary Ball Handler")</f>
        <v>Secondary Ball Handler</v>
      </c>
      <c r="F2191" s="164">
        <f>IFERROR(__xludf.DUMMYFUNCTION("""COMPUTED_VALUE"""),712.495)</f>
        <v>712.495</v>
      </c>
      <c r="G2191" s="163">
        <f>IFERROR(__xludf.DUMMYFUNCTION("""COMPUTED_VALUE"""),38.0)</f>
        <v>38</v>
      </c>
      <c r="H2191" s="163" t="str">
        <f>IFERROR(__xludf.DUMMYFUNCTION("""COMPUTED_VALUE"""),"PG")</f>
        <v>PG</v>
      </c>
      <c r="I2191" s="163">
        <f>IFERROR(__xludf.DUMMYFUNCTION("""COMPUTED_VALUE"""),27.0)</f>
        <v>27</v>
      </c>
      <c r="J2191" s="165">
        <f>IFERROR(__xludf.DUMMYFUNCTION("""COMPUTED_VALUE"""),-2.90224653508774)</f>
        <v>-2.902246535</v>
      </c>
      <c r="K2191" s="165">
        <f>IFERROR(__xludf.DUMMYFUNCTION("""COMPUTED_VALUE"""),-1.25216020199298)</f>
        <v>-1.252160202</v>
      </c>
      <c r="L2191" s="165">
        <f>IFERROR(__xludf.DUMMYFUNCTION("""COMPUTED_VALUE"""),-1.65008633309476)</f>
        <v>-1.650086333</v>
      </c>
      <c r="M2191" s="166">
        <f t="shared" si="2"/>
        <v>-0.2795968921</v>
      </c>
      <c r="N2191" s="167">
        <f t="shared" si="3"/>
        <v>18.74986842</v>
      </c>
      <c r="O2191" s="163">
        <f t="shared" ref="O2191:Q2191" si="2195">rank(I2191,I:I)</f>
        <v>1366</v>
      </c>
      <c r="P2191" s="163">
        <f t="shared" si="2195"/>
        <v>3866</v>
      </c>
      <c r="Q2191" s="163">
        <f t="shared" si="2195"/>
        <v>3085</v>
      </c>
      <c r="R2191" s="163">
        <f>IFERROR(__xludf.DUMMYFUNCTION("RANK(M2191,filter(M:M,C:C=C2191))"),516.0)</f>
        <v>516</v>
      </c>
      <c r="S2191" s="161" t="b">
        <f t="shared" si="5"/>
        <v>0</v>
      </c>
      <c r="T2191" s="161" t="b">
        <f t="array" ref="T2191">index('Query Tool'!B:B,match(H2191,'Query Tool'!C:C,0))</f>
        <v>1</v>
      </c>
      <c r="U2191" s="161" t="b">
        <f t="array" ref="U2191">index('Query Tool'!B:B,match(C2191,'Query Tool'!C:C,0))</f>
        <v>0</v>
      </c>
      <c r="V2191" s="161" t="b">
        <f>F2191&gt;='Query Tool'!C$32</f>
        <v>1</v>
      </c>
      <c r="W2191" s="161" t="b">
        <f t="array" ref="W2191">index(Dropdowns!B:B,match(I2191,Dropdowns!A:A,0))</f>
        <v>1</v>
      </c>
      <c r="X2191" s="161" t="b">
        <f t="array" ref="X2191">index('Query Tool'!B:B,match(D2191,'Query Tool'!C:C,0))</f>
        <v>1</v>
      </c>
      <c r="Y2191" s="161" t="str">
        <f t="shared" si="6"/>
        <v>dellama01,2017-18</v>
      </c>
      <c r="Z2191" s="168">
        <f t="array" ref="Z2191">iferror(index(I:I,match($A2191&amp;","&amp;index('Year Conversion'!$A:$A,match($C2191,'Year Conversion'!$B:$B,0)),$Y:$Y,0))-I2191,"")</f>
        <v>1</v>
      </c>
      <c r="AA2191" s="168">
        <f t="array" ref="AA2191">iferror(index(J:J,match($A2191&amp;","&amp;index('Year Conversion'!$A:$A,match($C2191,'Year Conversion'!$B:$B,0)),$Y:$Y,0))-J2191,"")</f>
        <v>1.642237454</v>
      </c>
      <c r="AB2191" s="168">
        <f t="array" ref="AB2191">iferror(index(K:K,match($A2191&amp;","&amp;index('Year Conversion'!$A:$A,match($C2191,'Year Conversion'!$B:$B,0)),$Y:$Y,0))-K2191,"")</f>
        <v>0.6909672911</v>
      </c>
      <c r="AC2191" s="168" t="str">
        <f t="shared" si="7"/>
        <v>MIL,2017-18</v>
      </c>
    </row>
    <row r="2192">
      <c r="A2192" s="161" t="str">
        <f>IFERROR(__xludf.DUMMYFUNCTION("""COMPUTED_VALUE"""),"hillso01")</f>
        <v>hillso01</v>
      </c>
      <c r="B2192" s="161" t="str">
        <f>IFERROR(__xludf.DUMMYFUNCTION("""COMPUTED_VALUE"""),"Solomon Hill")</f>
        <v>Solomon Hill</v>
      </c>
      <c r="C2192" s="162" t="str">
        <f>IFERROR(__xludf.DUMMYFUNCTION("""COMPUTED_VALUE"""),"2017-18")</f>
        <v>2017-18</v>
      </c>
      <c r="D2192" s="163" t="str">
        <f>IFERROR(__xludf.DUMMYFUNCTION("""COMPUTED_VALUE"""),"NOP")</f>
        <v>NOP</v>
      </c>
      <c r="E2192" s="164" t="str">
        <f>IFERROR(__xludf.DUMMYFUNCTION("""COMPUTED_VALUE"""),"Stationary Shooter")</f>
        <v>Stationary Shooter</v>
      </c>
      <c r="F2192" s="164">
        <f>IFERROR(__xludf.DUMMYFUNCTION("""COMPUTED_VALUE"""),187.123333333333)</f>
        <v>187.1233333</v>
      </c>
      <c r="G2192" s="163">
        <f>IFERROR(__xludf.DUMMYFUNCTION("""COMPUTED_VALUE"""),12.0)</f>
        <v>12</v>
      </c>
      <c r="H2192" s="163" t="str">
        <f>IFERROR(__xludf.DUMMYFUNCTION("""COMPUTED_VALUE"""),"SF")</f>
        <v>SF</v>
      </c>
      <c r="I2192" s="163">
        <f>IFERROR(__xludf.DUMMYFUNCTION("""COMPUTED_VALUE"""),26.0)</f>
        <v>26</v>
      </c>
      <c r="J2192" s="165">
        <f>IFERROR(__xludf.DUMMYFUNCTION("""COMPUTED_VALUE"""),-1.24986503252078)</f>
        <v>-1.249865033</v>
      </c>
      <c r="K2192" s="165">
        <f>IFERROR(__xludf.DUMMYFUNCTION("""COMPUTED_VALUE"""),-0.953716239965608)</f>
        <v>-0.95371624</v>
      </c>
      <c r="L2192" s="165">
        <f>IFERROR(__xludf.DUMMYFUNCTION("""COMPUTED_VALUE"""),-0.296148792555175)</f>
        <v>-0.2961487926</v>
      </c>
      <c r="M2192" s="166">
        <f t="shared" si="2"/>
        <v>0.1311443214</v>
      </c>
      <c r="N2192" s="167">
        <f t="shared" si="3"/>
        <v>15.59361111</v>
      </c>
      <c r="O2192" s="163">
        <f t="shared" ref="O2192:Q2192" si="2196">rank(I2192,I:I)</f>
        <v>1665</v>
      </c>
      <c r="P2192" s="163">
        <f t="shared" si="2196"/>
        <v>2815</v>
      </c>
      <c r="Q2192" s="163">
        <f t="shared" si="2196"/>
        <v>2749</v>
      </c>
      <c r="R2192" s="163">
        <f>IFERROR(__xludf.DUMMYFUNCTION("RANK(M2192,filter(M:M,C:C=C2192))"),375.0)</f>
        <v>375</v>
      </c>
      <c r="S2192" s="161" t="b">
        <f t="shared" si="5"/>
        <v>0</v>
      </c>
      <c r="T2192" s="161" t="b">
        <f t="array" ref="T2192">index('Query Tool'!B:B,match(H2192,'Query Tool'!C:C,0))</f>
        <v>1</v>
      </c>
      <c r="U2192" s="161" t="b">
        <f t="array" ref="U2192">index('Query Tool'!B:B,match(C2192,'Query Tool'!C:C,0))</f>
        <v>0</v>
      </c>
      <c r="V2192" s="161" t="b">
        <f>F2192&gt;='Query Tool'!C$32</f>
        <v>0</v>
      </c>
      <c r="W2192" s="161" t="b">
        <f t="array" ref="W2192">index(Dropdowns!B:B,match(I2192,Dropdowns!A:A,0))</f>
        <v>1</v>
      </c>
      <c r="X2192" s="161" t="b">
        <f t="array" ref="X2192">index('Query Tool'!B:B,match(D2192,'Query Tool'!C:C,0))</f>
        <v>1</v>
      </c>
      <c r="Y2192" s="161" t="str">
        <f t="shared" si="6"/>
        <v>hillso01,2017-18</v>
      </c>
      <c r="Z2192" s="168">
        <f t="array" ref="Z2192">iferror(index(I:I,match($A2192&amp;","&amp;index('Year Conversion'!$A:$A,match($C2192,'Year Conversion'!$B:$B,0)),$Y:$Y,0))-I2192,"")</f>
        <v>1</v>
      </c>
      <c r="AA2192" s="168">
        <f t="array" ref="AA2192">iferror(index(J:J,match($A2192&amp;","&amp;index('Year Conversion'!$A:$A,match($C2192,'Year Conversion'!$B:$B,0)),$Y:$Y,0))-J2192,"")</f>
        <v>-1.801217392</v>
      </c>
      <c r="AB2192" s="168">
        <f t="array" ref="AB2192">iferror(index(K:K,match($A2192&amp;","&amp;index('Year Conversion'!$A:$A,match($C2192,'Year Conversion'!$B:$B,0)),$Y:$Y,0))-K2192,"")</f>
        <v>-1.328523939</v>
      </c>
      <c r="AC2192" s="168" t="str">
        <f t="shared" si="7"/>
        <v>NOP,2017-18</v>
      </c>
    </row>
    <row r="2193">
      <c r="A2193" s="161" t="str">
        <f>IFERROR(__xludf.DUMMYFUNCTION("""COMPUTED_VALUE"""),"netora01")</f>
        <v>netora01</v>
      </c>
      <c r="B2193" s="161" t="str">
        <f>IFERROR(__xludf.DUMMYFUNCTION("""COMPUTED_VALUE"""),"Raul Neto")</f>
        <v>Raul Neto</v>
      </c>
      <c r="C2193" s="162" t="str">
        <f>IFERROR(__xludf.DUMMYFUNCTION("""COMPUTED_VALUE"""),"2017-18")</f>
        <v>2017-18</v>
      </c>
      <c r="D2193" s="163" t="str">
        <f>IFERROR(__xludf.DUMMYFUNCTION("""COMPUTED_VALUE"""),"UTA")</f>
        <v>UTA</v>
      </c>
      <c r="E2193" s="164" t="str">
        <f>IFERROR(__xludf.DUMMYFUNCTION("""COMPUTED_VALUE"""),"Secondary Ball Handler")</f>
        <v>Secondary Ball Handler</v>
      </c>
      <c r="F2193" s="164">
        <f>IFERROR(__xludf.DUMMYFUNCTION("""COMPUTED_VALUE"""),498.156666666666)</f>
        <v>498.1566667</v>
      </c>
      <c r="G2193" s="163">
        <f>IFERROR(__xludf.DUMMYFUNCTION("""COMPUTED_VALUE"""),41.0)</f>
        <v>41</v>
      </c>
      <c r="H2193" s="163" t="str">
        <f>IFERROR(__xludf.DUMMYFUNCTION("""COMPUTED_VALUE"""),"PG")</f>
        <v>PG</v>
      </c>
      <c r="I2193" s="163">
        <f>IFERROR(__xludf.DUMMYFUNCTION("""COMPUTED_VALUE"""),25.0)</f>
        <v>25</v>
      </c>
      <c r="J2193" s="165">
        <f>IFERROR(__xludf.DUMMYFUNCTION("""COMPUTED_VALUE"""),-1.04923745420365)</f>
        <v>-1.049237454</v>
      </c>
      <c r="K2193" s="165">
        <f>IFERROR(__xludf.DUMMYFUNCTION("""COMPUTED_VALUE"""),-0.683300211339603)</f>
        <v>-0.6833002113</v>
      </c>
      <c r="L2193" s="165">
        <f>IFERROR(__xludf.DUMMYFUNCTION("""COMPUTED_VALUE"""),-0.36593724286405)</f>
        <v>-0.3659372429</v>
      </c>
      <c r="M2193" s="166">
        <f t="shared" si="2"/>
        <v>0.416140811</v>
      </c>
      <c r="N2193" s="167">
        <f t="shared" si="3"/>
        <v>12.1501626</v>
      </c>
      <c r="O2193" s="163">
        <f t="shared" ref="O2193:Q2193" si="2197">rank(I2193,I:I)</f>
        <v>1995</v>
      </c>
      <c r="P2193" s="163">
        <f t="shared" si="2197"/>
        <v>2549</v>
      </c>
      <c r="Q2193" s="163">
        <f t="shared" si="2197"/>
        <v>2392</v>
      </c>
      <c r="R2193" s="163">
        <f>IFERROR(__xludf.DUMMYFUNCTION("RANK(M2193,filter(M:M,C:C=C2193))"),299.0)</f>
        <v>299</v>
      </c>
      <c r="S2193" s="161" t="b">
        <f t="shared" si="5"/>
        <v>0</v>
      </c>
      <c r="T2193" s="161" t="b">
        <f t="array" ref="T2193">index('Query Tool'!B:B,match(H2193,'Query Tool'!C:C,0))</f>
        <v>1</v>
      </c>
      <c r="U2193" s="161" t="b">
        <f t="array" ref="U2193">index('Query Tool'!B:B,match(C2193,'Query Tool'!C:C,0))</f>
        <v>0</v>
      </c>
      <c r="V2193" s="161" t="b">
        <f>F2193&gt;='Query Tool'!C$32</f>
        <v>0</v>
      </c>
      <c r="W2193" s="161" t="b">
        <f t="array" ref="W2193">index(Dropdowns!B:B,match(I2193,Dropdowns!A:A,0))</f>
        <v>1</v>
      </c>
      <c r="X2193" s="161" t="b">
        <f t="array" ref="X2193">index('Query Tool'!B:B,match(D2193,'Query Tool'!C:C,0))</f>
        <v>1</v>
      </c>
      <c r="Y2193" s="161" t="str">
        <f t="shared" si="6"/>
        <v>netora01,2017-18</v>
      </c>
      <c r="Z2193" s="168">
        <f t="array" ref="Z2193">iferror(index(I:I,match($A2193&amp;","&amp;index('Year Conversion'!$A:$A,match($C2193,'Year Conversion'!$B:$B,0)),$Y:$Y,0))-I2193,"")</f>
        <v>1</v>
      </c>
      <c r="AA2193" s="168">
        <f t="array" ref="AA2193">iferror(index(J:J,match($A2193&amp;","&amp;index('Year Conversion'!$A:$A,match($C2193,'Year Conversion'!$B:$B,0)),$Y:$Y,0))-J2193,"")</f>
        <v>0.8373446666</v>
      </c>
      <c r="AB2193" s="168">
        <f t="array" ref="AB2193">iferror(index(K:K,match($A2193&amp;","&amp;index('Year Conversion'!$A:$A,match($C2193,'Year Conversion'!$B:$B,0)),$Y:$Y,0))-K2193,"")</f>
        <v>1.017329375</v>
      </c>
      <c r="AC2193" s="168" t="str">
        <f t="shared" si="7"/>
        <v>UTA,2017-18</v>
      </c>
    </row>
    <row r="2194">
      <c r="A2194" s="161" t="str">
        <f>IFERROR(__xludf.DUMMYFUNCTION("""COMPUTED_VALUE"""),"lauvejo01")</f>
        <v>lauvejo01</v>
      </c>
      <c r="B2194" s="161" t="str">
        <f>IFERROR(__xludf.DUMMYFUNCTION("""COMPUTED_VALUE"""),"Joffrey Lauvergne")</f>
        <v>Joffrey Lauvergne</v>
      </c>
      <c r="C2194" s="162" t="str">
        <f>IFERROR(__xludf.DUMMYFUNCTION("""COMPUTED_VALUE"""),"2017-18")</f>
        <v>2017-18</v>
      </c>
      <c r="D2194" s="163" t="str">
        <f>IFERROR(__xludf.DUMMYFUNCTION("""COMPUTED_VALUE"""),"SAS")</f>
        <v>SAS</v>
      </c>
      <c r="E2194" s="164" t="str">
        <f>IFERROR(__xludf.DUMMYFUNCTION("""COMPUTED_VALUE"""),"Roll + Cut Big")</f>
        <v>Roll + Cut Big</v>
      </c>
      <c r="F2194" s="164">
        <f>IFERROR(__xludf.DUMMYFUNCTION("""COMPUTED_VALUE"""),533.908333333333)</f>
        <v>533.9083333</v>
      </c>
      <c r="G2194" s="163">
        <f>IFERROR(__xludf.DUMMYFUNCTION("""COMPUTED_VALUE"""),55.0)</f>
        <v>55</v>
      </c>
      <c r="H2194" s="163" t="str">
        <f>IFERROR(__xludf.DUMMYFUNCTION("""COMPUTED_VALUE"""),"C")</f>
        <v>C</v>
      </c>
      <c r="I2194" s="163">
        <f>IFERROR(__xludf.DUMMYFUNCTION("""COMPUTED_VALUE"""),26.0)</f>
        <v>26</v>
      </c>
      <c r="J2194" s="165">
        <f>IFERROR(__xludf.DUMMYFUNCTION("""COMPUTED_VALUE"""),-1.23947722365226)</f>
        <v>-1.239477224</v>
      </c>
      <c r="K2194" s="165">
        <f>IFERROR(__xludf.DUMMYFUNCTION("""COMPUTED_VALUE"""),-0.165444198403617)</f>
        <v>-0.1654441984</v>
      </c>
      <c r="L2194" s="165">
        <f>IFERROR(__xludf.DUMMYFUNCTION("""COMPUTED_VALUE"""),-1.07403302524864)</f>
        <v>-1.074033025</v>
      </c>
      <c r="M2194" s="166">
        <f t="shared" si="2"/>
        <v>0.377901723</v>
      </c>
      <c r="N2194" s="167">
        <f t="shared" si="3"/>
        <v>9.707424242</v>
      </c>
      <c r="O2194" s="163">
        <f t="shared" ref="O2194:Q2194" si="2198">rank(I2194,I:I)</f>
        <v>1665</v>
      </c>
      <c r="P2194" s="163">
        <f t="shared" si="2198"/>
        <v>2801</v>
      </c>
      <c r="Q2194" s="163">
        <f t="shared" si="2198"/>
        <v>1504</v>
      </c>
      <c r="R2194" s="163">
        <f>IFERROR(__xludf.DUMMYFUNCTION("RANK(M2194,filter(M:M,C:C=C2194))"),304.0)</f>
        <v>304</v>
      </c>
      <c r="S2194" s="161" t="b">
        <f t="shared" si="5"/>
        <v>0</v>
      </c>
      <c r="T2194" s="161" t="b">
        <f t="array" ref="T2194">index('Query Tool'!B:B,match(H2194,'Query Tool'!C:C,0))</f>
        <v>1</v>
      </c>
      <c r="U2194" s="161" t="b">
        <f t="array" ref="U2194">index('Query Tool'!B:B,match(C2194,'Query Tool'!C:C,0))</f>
        <v>0</v>
      </c>
      <c r="V2194" s="161" t="b">
        <f>F2194&gt;='Query Tool'!C$32</f>
        <v>1</v>
      </c>
      <c r="W2194" s="161" t="b">
        <f t="array" ref="W2194">index(Dropdowns!B:B,match(I2194,Dropdowns!A:A,0))</f>
        <v>1</v>
      </c>
      <c r="X2194" s="161" t="b">
        <f t="array" ref="X2194">index('Query Tool'!B:B,match(D2194,'Query Tool'!C:C,0))</f>
        <v>1</v>
      </c>
      <c r="Y2194" s="161" t="str">
        <f t="shared" si="6"/>
        <v>lauvejo01,2017-18</v>
      </c>
      <c r="Z2194" s="168" t="str">
        <f t="array" ref="Z2194">iferror(index(I:I,match($A2194&amp;","&amp;index('Year Conversion'!$A:$A,match($C2194,'Year Conversion'!$B:$B,0)),$Y:$Y,0))-I2194,"")</f>
        <v/>
      </c>
      <c r="AA2194" s="168" t="str">
        <f t="array" ref="AA2194">iferror(index(J:J,match($A2194&amp;","&amp;index('Year Conversion'!$A:$A,match($C2194,'Year Conversion'!$B:$B,0)),$Y:$Y,0))-J2194,"")</f>
        <v/>
      </c>
      <c r="AB2194" s="168" t="str">
        <f t="array" ref="AB2194">iferror(index(K:K,match($A2194&amp;","&amp;index('Year Conversion'!$A:$A,match($C2194,'Year Conversion'!$B:$B,0)),$Y:$Y,0))-K2194,"")</f>
        <v/>
      </c>
      <c r="AC2194" s="168" t="str">
        <f t="shared" si="7"/>
        <v>SAS,2017-18</v>
      </c>
    </row>
    <row r="2195">
      <c r="A2195" s="161" t="str">
        <f>IFERROR(__xludf.DUMMYFUNCTION("""COMPUTED_VALUE"""),"clarkia01")</f>
        <v>clarkia01</v>
      </c>
      <c r="B2195" s="161" t="str">
        <f>IFERROR(__xludf.DUMMYFUNCTION("""COMPUTED_VALUE"""),"Ian Clark")</f>
        <v>Ian Clark</v>
      </c>
      <c r="C2195" s="162" t="str">
        <f>IFERROR(__xludf.DUMMYFUNCTION("""COMPUTED_VALUE"""),"2017-18")</f>
        <v>2017-18</v>
      </c>
      <c r="D2195" s="163" t="str">
        <f>IFERROR(__xludf.DUMMYFUNCTION("""COMPUTED_VALUE"""),"NOP")</f>
        <v>NOP</v>
      </c>
      <c r="E2195" s="164" t="str">
        <f>IFERROR(__xludf.DUMMYFUNCTION("""COMPUTED_VALUE"""),"Stationary Shooter")</f>
        <v>Stationary Shooter</v>
      </c>
      <c r="F2195" s="164">
        <f>IFERROR(__xludf.DUMMYFUNCTION("""COMPUTED_VALUE"""),1454.34)</f>
        <v>1454.34</v>
      </c>
      <c r="G2195" s="163">
        <f>IFERROR(__xludf.DUMMYFUNCTION("""COMPUTED_VALUE"""),74.0)</f>
        <v>74</v>
      </c>
      <c r="H2195" s="163" t="str">
        <f>IFERROR(__xludf.DUMMYFUNCTION("""COMPUTED_VALUE"""),"SG")</f>
        <v>SG</v>
      </c>
      <c r="I2195" s="163">
        <f>IFERROR(__xludf.DUMMYFUNCTION("""COMPUTED_VALUE"""),26.0)</f>
        <v>26</v>
      </c>
      <c r="J2195" s="165">
        <f>IFERROR(__xludf.DUMMYFUNCTION("""COMPUTED_VALUE"""),-2.28635097327771)</f>
        <v>-2.286350973</v>
      </c>
      <c r="K2195" s="165">
        <f>IFERROR(__xludf.DUMMYFUNCTION("""COMPUTED_VALUE"""),-0.759111624763528)</f>
        <v>-0.7591116248</v>
      </c>
      <c r="L2195" s="165">
        <f>IFERROR(__xludf.DUMMYFUNCTION("""COMPUTED_VALUE"""),-1.52723934851418)</f>
        <v>-1.527239349</v>
      </c>
      <c r="M2195" s="166">
        <f t="shared" si="2"/>
        <v>0.0164765871</v>
      </c>
      <c r="N2195" s="167">
        <f t="shared" si="3"/>
        <v>19.65324324</v>
      </c>
      <c r="O2195" s="163">
        <f t="shared" ref="O2195:Q2195" si="2199">rank(I2195,I:I)</f>
        <v>1665</v>
      </c>
      <c r="P2195" s="163">
        <f t="shared" si="2199"/>
        <v>3649</v>
      </c>
      <c r="Q2195" s="163">
        <f t="shared" si="2199"/>
        <v>2494</v>
      </c>
      <c r="R2195" s="163">
        <f>IFERROR(__xludf.DUMMYFUNCTION("RANK(M2195,filter(M:M,C:C=C2195))"),465.0)</f>
        <v>465</v>
      </c>
      <c r="S2195" s="161" t="b">
        <f t="shared" si="5"/>
        <v>0</v>
      </c>
      <c r="T2195" s="161" t="b">
        <f t="array" ref="T2195">index('Query Tool'!B:B,match(H2195,'Query Tool'!C:C,0))</f>
        <v>1</v>
      </c>
      <c r="U2195" s="161" t="b">
        <f t="array" ref="U2195">index('Query Tool'!B:B,match(C2195,'Query Tool'!C:C,0))</f>
        <v>0</v>
      </c>
      <c r="V2195" s="161" t="b">
        <f>F2195&gt;='Query Tool'!C$32</f>
        <v>1</v>
      </c>
      <c r="W2195" s="161" t="b">
        <f t="array" ref="W2195">index(Dropdowns!B:B,match(I2195,Dropdowns!A:A,0))</f>
        <v>1</v>
      </c>
      <c r="X2195" s="161" t="b">
        <f t="array" ref="X2195">index('Query Tool'!B:B,match(D2195,'Query Tool'!C:C,0))</f>
        <v>1</v>
      </c>
      <c r="Y2195" s="161" t="str">
        <f t="shared" si="6"/>
        <v>clarkia01,2017-18</v>
      </c>
      <c r="Z2195" s="168">
        <f t="array" ref="Z2195">iferror(index(I:I,match($A2195&amp;","&amp;index('Year Conversion'!$A:$A,match($C2195,'Year Conversion'!$B:$B,0)),$Y:$Y,0))-I2195,"")</f>
        <v>1</v>
      </c>
      <c r="AA2195" s="168">
        <f t="array" ref="AA2195">iferror(index(J:J,match($A2195&amp;","&amp;index('Year Conversion'!$A:$A,match($C2195,'Year Conversion'!$B:$B,0)),$Y:$Y,0))-J2195,"")</f>
        <v>-0.1268691113</v>
      </c>
      <c r="AB2195" s="168">
        <f t="array" ref="AB2195">iferror(index(K:K,match($A2195&amp;","&amp;index('Year Conversion'!$A:$A,match($C2195,'Year Conversion'!$B:$B,0)),$Y:$Y,0))-K2195,"")</f>
        <v>-0.1757926329</v>
      </c>
      <c r="AC2195" s="168" t="str">
        <f t="shared" si="7"/>
        <v>NOP,2017-18</v>
      </c>
    </row>
    <row r="2196">
      <c r="A2196" s="161" t="str">
        <f>IFERROR(__xludf.DUMMYFUNCTION("""COMPUTED_VALUE"""),"drewla02")</f>
        <v>drewla02</v>
      </c>
      <c r="B2196" s="161" t="str">
        <f>IFERROR(__xludf.DUMMYFUNCTION("""COMPUTED_VALUE"""),"Larry Drew II")</f>
        <v>Larry Drew II</v>
      </c>
      <c r="C2196" s="162" t="str">
        <f>IFERROR(__xludf.DUMMYFUNCTION("""COMPUTED_VALUE"""),"2017-18")</f>
        <v>2017-18</v>
      </c>
      <c r="D2196" s="163" t="str">
        <f>IFERROR(__xludf.DUMMYFUNCTION("""COMPUTED_VALUE"""),"TOT")</f>
        <v>TOT</v>
      </c>
      <c r="E2196" s="164" t="str">
        <f>IFERROR(__xludf.DUMMYFUNCTION("""COMPUTED_VALUE"""),"Secondary Ball Handler")</f>
        <v>Secondary Ball Handler</v>
      </c>
      <c r="F2196" s="164">
        <f>IFERROR(__xludf.DUMMYFUNCTION("""COMPUTED_VALUE"""),70.0416666666667)</f>
        <v>70.04166667</v>
      </c>
      <c r="G2196" s="163">
        <f>IFERROR(__xludf.DUMMYFUNCTION("""COMPUTED_VALUE"""),10.0)</f>
        <v>10</v>
      </c>
      <c r="H2196" s="163" t="str">
        <f>IFERROR(__xludf.DUMMYFUNCTION("""COMPUTED_VALUE"""),"PG")</f>
        <v>PG</v>
      </c>
      <c r="I2196" s="163">
        <f>IFERROR(__xludf.DUMMYFUNCTION("""COMPUTED_VALUE"""),27.0)</f>
        <v>27</v>
      </c>
      <c r="J2196" s="165">
        <f>IFERROR(__xludf.DUMMYFUNCTION("""COMPUTED_VALUE"""),-1.07750419286657)</f>
        <v>-1.077504193</v>
      </c>
      <c r="K2196" s="165">
        <f>IFERROR(__xludf.DUMMYFUNCTION("""COMPUTED_VALUE"""),-0.35838991560691)</f>
        <v>-0.3583899156</v>
      </c>
      <c r="L2196" s="165">
        <f>IFERROR(__xludf.DUMMYFUNCTION("""COMPUTED_VALUE"""),-0.719114277259662)</f>
        <v>-0.7191142773</v>
      </c>
      <c r="M2196" s="166">
        <f t="shared" si="2"/>
        <v>0.0571815757</v>
      </c>
      <c r="N2196" s="167">
        <f t="shared" si="3"/>
        <v>7.004166667</v>
      </c>
      <c r="O2196" s="163">
        <f t="shared" ref="O2196:Q2196" si="2200">rank(I2196,I:I)</f>
        <v>1366</v>
      </c>
      <c r="P2196" s="163">
        <f t="shared" si="2200"/>
        <v>2586</v>
      </c>
      <c r="Q2196" s="163">
        <f t="shared" si="2200"/>
        <v>1873</v>
      </c>
      <c r="R2196" s="163">
        <f>IFERROR(__xludf.DUMMYFUNCTION("RANK(M2196,filter(M:M,C:C=C2196))"),423.0)</f>
        <v>423</v>
      </c>
      <c r="S2196" s="161" t="b">
        <f t="shared" si="5"/>
        <v>0</v>
      </c>
      <c r="T2196" s="161" t="b">
        <f t="array" ref="T2196">index('Query Tool'!B:B,match(H2196,'Query Tool'!C:C,0))</f>
        <v>1</v>
      </c>
      <c r="U2196" s="161" t="b">
        <f t="array" ref="U2196">index('Query Tool'!B:B,match(C2196,'Query Tool'!C:C,0))</f>
        <v>0</v>
      </c>
      <c r="V2196" s="161" t="b">
        <f>F2196&gt;='Query Tool'!C$32</f>
        <v>0</v>
      </c>
      <c r="W2196" s="161" t="b">
        <f t="array" ref="W2196">index(Dropdowns!B:B,match(I2196,Dropdowns!A:A,0))</f>
        <v>1</v>
      </c>
      <c r="X2196" s="161" t="b">
        <f t="array" ref="X2196">index('Query Tool'!B:B,match(D2196,'Query Tool'!C:C,0))</f>
        <v>1</v>
      </c>
      <c r="Y2196" s="161" t="str">
        <f t="shared" si="6"/>
        <v>drewla02,2017-18</v>
      </c>
      <c r="Z2196" s="168" t="str">
        <f t="array" ref="Z2196">iferror(index(I:I,match($A2196&amp;","&amp;index('Year Conversion'!$A:$A,match($C2196,'Year Conversion'!$B:$B,0)),$Y:$Y,0))-I2196,"")</f>
        <v/>
      </c>
      <c r="AA2196" s="168" t="str">
        <f t="array" ref="AA2196">iferror(index(J:J,match($A2196&amp;","&amp;index('Year Conversion'!$A:$A,match($C2196,'Year Conversion'!$B:$B,0)),$Y:$Y,0))-J2196,"")</f>
        <v/>
      </c>
      <c r="AB2196" s="168" t="str">
        <f t="array" ref="AB2196">iferror(index(K:K,match($A2196&amp;","&amp;index('Year Conversion'!$A:$A,match($C2196,'Year Conversion'!$B:$B,0)),$Y:$Y,0))-K2196,"")</f>
        <v/>
      </c>
      <c r="AC2196" s="168" t="str">
        <f t="shared" si="7"/>
        <v>TOT,2017-18</v>
      </c>
    </row>
    <row r="2197">
      <c r="A2197" s="161" t="str">
        <f>IFERROR(__xludf.DUMMYFUNCTION("""COMPUTED_VALUE"""),"danietr01")</f>
        <v>danietr01</v>
      </c>
      <c r="B2197" s="161" t="str">
        <f>IFERROR(__xludf.DUMMYFUNCTION("""COMPUTED_VALUE"""),"Troy Daniels")</f>
        <v>Troy Daniels</v>
      </c>
      <c r="C2197" s="162" t="str">
        <f>IFERROR(__xludf.DUMMYFUNCTION("""COMPUTED_VALUE"""),"2017-18")</f>
        <v>2017-18</v>
      </c>
      <c r="D2197" s="163" t="str">
        <f>IFERROR(__xludf.DUMMYFUNCTION("""COMPUTED_VALUE"""),"PHO")</f>
        <v>PHO</v>
      </c>
      <c r="E2197" s="164" t="str">
        <f>IFERROR(__xludf.DUMMYFUNCTION("""COMPUTED_VALUE"""),"Off Screen Shooter")</f>
        <v>Off Screen Shooter</v>
      </c>
      <c r="F2197" s="164">
        <f>IFERROR(__xludf.DUMMYFUNCTION("""COMPUTED_VALUE"""),1622.33)</f>
        <v>1622.33</v>
      </c>
      <c r="G2197" s="163">
        <f>IFERROR(__xludf.DUMMYFUNCTION("""COMPUTED_VALUE"""),79.0)</f>
        <v>79</v>
      </c>
      <c r="H2197" s="163" t="str">
        <f>IFERROR(__xludf.DUMMYFUNCTION("""COMPUTED_VALUE"""),"SG")</f>
        <v>SG</v>
      </c>
      <c r="I2197" s="163">
        <f>IFERROR(__xludf.DUMMYFUNCTION("""COMPUTED_VALUE"""),26.0)</f>
        <v>26</v>
      </c>
      <c r="J2197" s="165">
        <f>IFERROR(__xludf.DUMMYFUNCTION("""COMPUTED_VALUE"""),-3.51176234393393)</f>
        <v>-3.511762344</v>
      </c>
      <c r="K2197" s="165">
        <f>IFERROR(__xludf.DUMMYFUNCTION("""COMPUTED_VALUE"""),-0.415237959535625)</f>
        <v>-0.4152379595</v>
      </c>
      <c r="L2197" s="165">
        <f>IFERROR(__xludf.DUMMYFUNCTION("""COMPUTED_VALUE"""),-3.09652438439831)</f>
        <v>-3.096524384</v>
      </c>
      <c r="M2197" s="166">
        <f t="shared" si="2"/>
        <v>-1.275444954</v>
      </c>
      <c r="N2197" s="167">
        <f t="shared" si="3"/>
        <v>20.53582278</v>
      </c>
      <c r="O2197" s="163">
        <f t="shared" ref="O2197:Q2197" si="2201">rank(I2197,I:I)</f>
        <v>1665</v>
      </c>
      <c r="P2197" s="163">
        <f t="shared" si="2201"/>
        <v>3962</v>
      </c>
      <c r="Q2197" s="163">
        <f t="shared" si="2201"/>
        <v>1971</v>
      </c>
      <c r="R2197" s="163">
        <f>IFERROR(__xludf.DUMMYFUNCTION("RANK(M2197,filter(M:M,C:C=C2197))"),538.0)</f>
        <v>538</v>
      </c>
      <c r="S2197" s="161" t="b">
        <f t="shared" si="5"/>
        <v>0</v>
      </c>
      <c r="T2197" s="161" t="b">
        <f t="array" ref="T2197">index('Query Tool'!B:B,match(H2197,'Query Tool'!C:C,0))</f>
        <v>1</v>
      </c>
      <c r="U2197" s="161" t="b">
        <f t="array" ref="U2197">index('Query Tool'!B:B,match(C2197,'Query Tool'!C:C,0))</f>
        <v>0</v>
      </c>
      <c r="V2197" s="161" t="b">
        <f>F2197&gt;='Query Tool'!C$32</f>
        <v>1</v>
      </c>
      <c r="W2197" s="161" t="b">
        <f t="array" ref="W2197">index(Dropdowns!B:B,match(I2197,Dropdowns!A:A,0))</f>
        <v>1</v>
      </c>
      <c r="X2197" s="161" t="b">
        <f t="array" ref="X2197">index('Query Tool'!B:B,match(D2197,'Query Tool'!C:C,0))</f>
        <v>1</v>
      </c>
      <c r="Y2197" s="161" t="str">
        <f t="shared" si="6"/>
        <v>danietr01,2017-18</v>
      </c>
      <c r="Z2197" s="168">
        <f t="array" ref="Z2197">iferror(index(I:I,match($A2197&amp;","&amp;index('Year Conversion'!$A:$A,match($C2197,'Year Conversion'!$B:$B,0)),$Y:$Y,0))-I2197,"")</f>
        <v>1</v>
      </c>
      <c r="AA2197" s="168">
        <f t="array" ref="AA2197">iferror(index(J:J,match($A2197&amp;","&amp;index('Year Conversion'!$A:$A,match($C2197,'Year Conversion'!$B:$B,0)),$Y:$Y,0))-J2197,"")</f>
        <v>1.63226883</v>
      </c>
      <c r="AB2197" s="168">
        <f t="array" ref="AB2197">iferror(index(K:K,match($A2197&amp;","&amp;index('Year Conversion'!$A:$A,match($C2197,'Year Conversion'!$B:$B,0)),$Y:$Y,0))-K2197,"")</f>
        <v>-0.1179380186</v>
      </c>
      <c r="AC2197" s="168" t="str">
        <f t="shared" si="7"/>
        <v>PHO,2017-18</v>
      </c>
    </row>
    <row r="2198">
      <c r="A2198" s="161" t="str">
        <f>IFERROR(__xludf.DUMMYFUNCTION("""COMPUTED_VALUE"""),"mcgruro01")</f>
        <v>mcgruro01</v>
      </c>
      <c r="B2198" s="161" t="str">
        <f>IFERROR(__xludf.DUMMYFUNCTION("""COMPUTED_VALUE"""),"Rodney McGruder")</f>
        <v>Rodney McGruder</v>
      </c>
      <c r="C2198" s="162" t="str">
        <f>IFERROR(__xludf.DUMMYFUNCTION("""COMPUTED_VALUE"""),"2017-18")</f>
        <v>2017-18</v>
      </c>
      <c r="D2198" s="163" t="str">
        <f>IFERROR(__xludf.DUMMYFUNCTION("""COMPUTED_VALUE"""),"MIA")</f>
        <v>MIA</v>
      </c>
      <c r="E2198" s="164" t="str">
        <f>IFERROR(__xludf.DUMMYFUNCTION("""COMPUTED_VALUE"""),"Athletic Finisher")</f>
        <v>Athletic Finisher</v>
      </c>
      <c r="F2198" s="164">
        <f>IFERROR(__xludf.DUMMYFUNCTION("""COMPUTED_VALUE"""),299.24)</f>
        <v>299.24</v>
      </c>
      <c r="G2198" s="163">
        <f>IFERROR(__xludf.DUMMYFUNCTION("""COMPUTED_VALUE"""),18.0)</f>
        <v>18</v>
      </c>
      <c r="H2198" s="163" t="str">
        <f>IFERROR(__xludf.DUMMYFUNCTION("""COMPUTED_VALUE"""),"SG")</f>
        <v>SG</v>
      </c>
      <c r="I2198" s="163">
        <f>IFERROR(__xludf.DUMMYFUNCTION("""COMPUTED_VALUE"""),26.0)</f>
        <v>26</v>
      </c>
      <c r="J2198" s="165">
        <f>IFERROR(__xludf.DUMMYFUNCTION("""COMPUTED_VALUE"""),-0.473177466308429)</f>
        <v>-0.4731774663</v>
      </c>
      <c r="K2198" s="165">
        <f>IFERROR(__xludf.DUMMYFUNCTION("""COMPUTED_VALUE"""),-0.545350865347513)</f>
        <v>-0.5453508653</v>
      </c>
      <c r="L2198" s="165">
        <f>IFERROR(__xludf.DUMMYFUNCTION("""COMPUTED_VALUE"""),0.0721733990390845)</f>
        <v>0.07217339904</v>
      </c>
      <c r="M2198" s="166">
        <f t="shared" si="2"/>
        <v>0.3658970339</v>
      </c>
      <c r="N2198" s="167">
        <f t="shared" si="3"/>
        <v>16.62444444</v>
      </c>
      <c r="O2198" s="163">
        <f t="shared" ref="O2198:Q2198" si="2202">rank(I2198,I:I)</f>
        <v>1665</v>
      </c>
      <c r="P2198" s="163">
        <f t="shared" si="2202"/>
        <v>1815</v>
      </c>
      <c r="Q2198" s="163">
        <f t="shared" si="2202"/>
        <v>2181</v>
      </c>
      <c r="R2198" s="163">
        <f>IFERROR(__xludf.DUMMYFUNCTION("RANK(M2198,filter(M:M,C:C=C2198))"),306.0)</f>
        <v>306</v>
      </c>
      <c r="S2198" s="161" t="b">
        <f t="shared" si="5"/>
        <v>0</v>
      </c>
      <c r="T2198" s="161" t="b">
        <f t="array" ref="T2198">index('Query Tool'!B:B,match(H2198,'Query Tool'!C:C,0))</f>
        <v>1</v>
      </c>
      <c r="U2198" s="161" t="b">
        <f t="array" ref="U2198">index('Query Tool'!B:B,match(C2198,'Query Tool'!C:C,0))</f>
        <v>0</v>
      </c>
      <c r="V2198" s="161" t="b">
        <f>F2198&gt;='Query Tool'!C$32</f>
        <v>0</v>
      </c>
      <c r="W2198" s="161" t="b">
        <f t="array" ref="W2198">index(Dropdowns!B:B,match(I2198,Dropdowns!A:A,0))</f>
        <v>1</v>
      </c>
      <c r="X2198" s="161" t="b">
        <f t="array" ref="X2198">index('Query Tool'!B:B,match(D2198,'Query Tool'!C:C,0))</f>
        <v>1</v>
      </c>
      <c r="Y2198" s="161" t="str">
        <f t="shared" si="6"/>
        <v>mcgruro01,2017-18</v>
      </c>
      <c r="Z2198" s="168">
        <f t="array" ref="Z2198">iferror(index(I:I,match($A2198&amp;","&amp;index('Year Conversion'!$A:$A,match($C2198,'Year Conversion'!$B:$B,0)),$Y:$Y,0))-I2198,"")</f>
        <v>1</v>
      </c>
      <c r="AA2198" s="168">
        <f t="array" ref="AA2198">iferror(index(J:J,match($A2198&amp;","&amp;index('Year Conversion'!$A:$A,match($C2198,'Year Conversion'!$B:$B,0)),$Y:$Y,0))-J2198,"")</f>
        <v>-0.7697148369</v>
      </c>
      <c r="AB2198" s="168">
        <f t="array" ref="AB2198">iferror(index(K:K,match($A2198&amp;","&amp;index('Year Conversion'!$A:$A,match($C2198,'Year Conversion'!$B:$B,0)),$Y:$Y,0))-K2198,"")</f>
        <v>-0.9048848298</v>
      </c>
      <c r="AC2198" s="168" t="str">
        <f t="shared" si="7"/>
        <v>MIA,2017-18</v>
      </c>
    </row>
    <row r="2199">
      <c r="A2199" s="161" t="str">
        <f>IFERROR(__xludf.DUMMYFUNCTION("""COMPUTED_VALUE"""),"mckintr01")</f>
        <v>mckintr01</v>
      </c>
      <c r="B2199" s="161" t="str">
        <f>IFERROR(__xludf.DUMMYFUNCTION("""COMPUTED_VALUE"""),"Trey McKinney-Jones")</f>
        <v>Trey McKinney-Jones</v>
      </c>
      <c r="C2199" s="162" t="str">
        <f>IFERROR(__xludf.DUMMYFUNCTION("""COMPUTED_VALUE"""),"2017-18")</f>
        <v>2017-18</v>
      </c>
      <c r="D2199" s="163" t="str">
        <f>IFERROR(__xludf.DUMMYFUNCTION("""COMPUTED_VALUE"""),"IND")</f>
        <v>IND</v>
      </c>
      <c r="E2199" s="164" t="str">
        <f>IFERROR(__xludf.DUMMYFUNCTION("""COMPUTED_VALUE"""),"Low Minutes")</f>
        <v>Low Minutes</v>
      </c>
      <c r="F2199" s="164">
        <f>IFERROR(__xludf.DUMMYFUNCTION("""COMPUTED_VALUE"""),1.23333333333333)</f>
        <v>1.233333333</v>
      </c>
      <c r="G2199" s="163">
        <f>IFERROR(__xludf.DUMMYFUNCTION("""COMPUTED_VALUE"""),1.0)</f>
        <v>1</v>
      </c>
      <c r="H2199" s="163" t="str">
        <f>IFERROR(__xludf.DUMMYFUNCTION("""COMPUTED_VALUE"""),"SG")</f>
        <v>SG</v>
      </c>
      <c r="I2199" s="163">
        <f>IFERROR(__xludf.DUMMYFUNCTION("""COMPUTED_VALUE"""),27.0)</f>
        <v>27</v>
      </c>
      <c r="J2199" s="165">
        <f>IFERROR(__xludf.DUMMYFUNCTION("""COMPUTED_VALUE"""),-0.716119927421291)</f>
        <v>-0.7161199274</v>
      </c>
      <c r="K2199" s="165">
        <f>IFERROR(__xludf.DUMMYFUNCTION("""COMPUTED_VALUE"""),-0.123251008649855)</f>
        <v>-0.1232510086</v>
      </c>
      <c r="L2199" s="165">
        <f>IFERROR(__xludf.DUMMYFUNCTION("""COMPUTED_VALUE"""),-0.592868918771435)</f>
        <v>-0.5928689188</v>
      </c>
      <c r="M2199" s="166">
        <f t="shared" si="2"/>
        <v>0.001306358462</v>
      </c>
      <c r="N2199" s="167">
        <f t="shared" si="3"/>
        <v>1.233333333</v>
      </c>
      <c r="O2199" s="163">
        <f t="shared" ref="O2199:Q2199" si="2203">rank(I2199,I:I)</f>
        <v>1366</v>
      </c>
      <c r="P2199" s="163">
        <f t="shared" si="2203"/>
        <v>2171</v>
      </c>
      <c r="Q2199" s="163">
        <f t="shared" si="2203"/>
        <v>1417</v>
      </c>
      <c r="R2199" s="163">
        <f>IFERROR(__xludf.DUMMYFUNCTION("RANK(M2199,filter(M:M,C:C=C2199))"),496.0)</f>
        <v>496</v>
      </c>
      <c r="S2199" s="161" t="b">
        <f t="shared" si="5"/>
        <v>0</v>
      </c>
      <c r="T2199" s="161" t="b">
        <f t="array" ref="T2199">index('Query Tool'!B:B,match(H2199,'Query Tool'!C:C,0))</f>
        <v>1</v>
      </c>
      <c r="U2199" s="161" t="b">
        <f t="array" ref="U2199">index('Query Tool'!B:B,match(C2199,'Query Tool'!C:C,0))</f>
        <v>0</v>
      </c>
      <c r="V2199" s="161" t="b">
        <f>F2199&gt;='Query Tool'!C$32</f>
        <v>0</v>
      </c>
      <c r="W2199" s="161" t="b">
        <f t="array" ref="W2199">index(Dropdowns!B:B,match(I2199,Dropdowns!A:A,0))</f>
        <v>1</v>
      </c>
      <c r="X2199" s="161" t="b">
        <f t="array" ref="X2199">index('Query Tool'!B:B,match(D2199,'Query Tool'!C:C,0))</f>
        <v>1</v>
      </c>
      <c r="Y2199" s="161" t="str">
        <f t="shared" si="6"/>
        <v>mckintr01,2017-18</v>
      </c>
      <c r="Z2199" s="168" t="str">
        <f t="array" ref="Z2199">iferror(index(I:I,match($A2199&amp;","&amp;index('Year Conversion'!$A:$A,match($C2199,'Year Conversion'!$B:$B,0)),$Y:$Y,0))-I2199,"")</f>
        <v/>
      </c>
      <c r="AA2199" s="168" t="str">
        <f t="array" ref="AA2199">iferror(index(J:J,match($A2199&amp;","&amp;index('Year Conversion'!$A:$A,match($C2199,'Year Conversion'!$B:$B,0)),$Y:$Y,0))-J2199,"")</f>
        <v/>
      </c>
      <c r="AB2199" s="168" t="str">
        <f t="array" ref="AB2199">iferror(index(K:K,match($A2199&amp;","&amp;index('Year Conversion'!$A:$A,match($C2199,'Year Conversion'!$B:$B,0)),$Y:$Y,0))-K2199,"")</f>
        <v/>
      </c>
      <c r="AC2199" s="168" t="str">
        <f t="shared" si="7"/>
        <v>IND,2017-18</v>
      </c>
    </row>
    <row r="2200">
      <c r="A2200" s="161" t="str">
        <f>IFERROR(__xludf.DUMMYFUNCTION("""COMPUTED_VALUE"""),"simmojo02")</f>
        <v>simmojo02</v>
      </c>
      <c r="B2200" s="161" t="str">
        <f>IFERROR(__xludf.DUMMYFUNCTION("""COMPUTED_VALUE"""),"Jonathon Simmons")</f>
        <v>Jonathon Simmons</v>
      </c>
      <c r="C2200" s="162" t="str">
        <f>IFERROR(__xludf.DUMMYFUNCTION("""COMPUTED_VALUE"""),"2017-18")</f>
        <v>2017-18</v>
      </c>
      <c r="D2200" s="163" t="str">
        <f>IFERROR(__xludf.DUMMYFUNCTION("""COMPUTED_VALUE"""),"ORL")</f>
        <v>ORL</v>
      </c>
      <c r="E2200" s="164" t="str">
        <f>IFERROR(__xludf.DUMMYFUNCTION("""COMPUTED_VALUE"""),"Slasher")</f>
        <v>Slasher</v>
      </c>
      <c r="F2200" s="164">
        <f>IFERROR(__xludf.DUMMYFUNCTION("""COMPUTED_VALUE"""),2029.24666666667)</f>
        <v>2029.246667</v>
      </c>
      <c r="G2200" s="163">
        <f>IFERROR(__xludf.DUMMYFUNCTION("""COMPUTED_VALUE"""),69.0)</f>
        <v>69</v>
      </c>
      <c r="H2200" s="163" t="str">
        <f>IFERROR(__xludf.DUMMYFUNCTION("""COMPUTED_VALUE"""),"SG")</f>
        <v>SG</v>
      </c>
      <c r="I2200" s="163">
        <f>IFERROR(__xludf.DUMMYFUNCTION("""COMPUTED_VALUE"""),28.0)</f>
        <v>28</v>
      </c>
      <c r="J2200" s="165">
        <f>IFERROR(__xludf.DUMMYFUNCTION("""COMPUTED_VALUE"""),-2.89435399844341)</f>
        <v>-2.894353998</v>
      </c>
      <c r="K2200" s="165">
        <f>IFERROR(__xludf.DUMMYFUNCTION("""COMPUTED_VALUE"""),-1.10474492904009)</f>
        <v>-1.104744929</v>
      </c>
      <c r="L2200" s="165">
        <f>IFERROR(__xludf.DUMMYFUNCTION("""COMPUTED_VALUE"""),-1.78960906940332)</f>
        <v>-1.789609069</v>
      </c>
      <c r="M2200" s="166">
        <f t="shared" si="2"/>
        <v>-0.7858874688</v>
      </c>
      <c r="N2200" s="167">
        <f t="shared" si="3"/>
        <v>29.40937198</v>
      </c>
      <c r="O2200" s="163">
        <f t="shared" ref="O2200:Q2200" si="2204">rank(I2200,I:I)</f>
        <v>1090</v>
      </c>
      <c r="P2200" s="163">
        <f t="shared" si="2204"/>
        <v>3865</v>
      </c>
      <c r="Q2200" s="163">
        <f t="shared" si="2204"/>
        <v>2934</v>
      </c>
      <c r="R2200" s="163">
        <f>IFERROR(__xludf.DUMMYFUNCTION("RANK(M2200,filter(M:M,C:C=C2200))"),531.0)</f>
        <v>531</v>
      </c>
      <c r="S2200" s="161" t="b">
        <f t="shared" si="5"/>
        <v>0</v>
      </c>
      <c r="T2200" s="161" t="b">
        <f t="array" ref="T2200">index('Query Tool'!B:B,match(H2200,'Query Tool'!C:C,0))</f>
        <v>1</v>
      </c>
      <c r="U2200" s="161" t="b">
        <f t="array" ref="U2200">index('Query Tool'!B:B,match(C2200,'Query Tool'!C:C,0))</f>
        <v>0</v>
      </c>
      <c r="V2200" s="161" t="b">
        <f>F2200&gt;='Query Tool'!C$32</f>
        <v>1</v>
      </c>
      <c r="W2200" s="161" t="b">
        <f t="array" ref="W2200">index(Dropdowns!B:B,match(I2200,Dropdowns!A:A,0))</f>
        <v>1</v>
      </c>
      <c r="X2200" s="161" t="b">
        <f t="array" ref="X2200">index('Query Tool'!B:B,match(D2200,'Query Tool'!C:C,0))</f>
        <v>1</v>
      </c>
      <c r="Y2200" s="161" t="str">
        <f t="shared" si="6"/>
        <v>simmojo02,2017-18</v>
      </c>
      <c r="Z2200" s="168">
        <f t="array" ref="Z2200">iferror(index(I:I,match($A2200&amp;","&amp;index('Year Conversion'!$A:$A,match($C2200,'Year Conversion'!$B:$B,0)),$Y:$Y,0))-I2200,"")</f>
        <v>1</v>
      </c>
      <c r="AA2200" s="168">
        <f t="array" ref="AA2200">iferror(index(J:J,match($A2200&amp;","&amp;index('Year Conversion'!$A:$A,match($C2200,'Year Conversion'!$B:$B,0)),$Y:$Y,0))-J2200,"")</f>
        <v>0.05946945501</v>
      </c>
      <c r="AB2200" s="168">
        <f t="array" ref="AB2200">iferror(index(K:K,match($A2200&amp;","&amp;index('Year Conversion'!$A:$A,match($C2200,'Year Conversion'!$B:$B,0)),$Y:$Y,0))-K2200,"")</f>
        <v>-1.074872944</v>
      </c>
      <c r="AC2200" s="168" t="str">
        <f t="shared" si="7"/>
        <v>ORL,2017-18</v>
      </c>
    </row>
    <row r="2201">
      <c r="A2201" s="161" t="str">
        <f>IFERROR(__xludf.DUMMYFUNCTION("""COMPUTED_VALUE"""),"hearnre01")</f>
        <v>hearnre01</v>
      </c>
      <c r="B2201" s="161" t="str">
        <f>IFERROR(__xludf.DUMMYFUNCTION("""COMPUTED_VALUE"""),"Reggie Hearn")</f>
        <v>Reggie Hearn</v>
      </c>
      <c r="C2201" s="162" t="str">
        <f>IFERROR(__xludf.DUMMYFUNCTION("""COMPUTED_VALUE"""),"2017-18")</f>
        <v>2017-18</v>
      </c>
      <c r="D2201" s="163" t="str">
        <f>IFERROR(__xludf.DUMMYFUNCTION("""COMPUTED_VALUE"""),"DET")</f>
        <v>DET</v>
      </c>
      <c r="E2201" s="164" t="str">
        <f>IFERROR(__xludf.DUMMYFUNCTION("""COMPUTED_VALUE"""),"Stationary Shooter")</f>
        <v>Stationary Shooter</v>
      </c>
      <c r="F2201" s="164">
        <f>IFERROR(__xludf.DUMMYFUNCTION("""COMPUTED_VALUE"""),6.62666666666667)</f>
        <v>6.626666667</v>
      </c>
      <c r="G2201" s="163">
        <f>IFERROR(__xludf.DUMMYFUNCTION("""COMPUTED_VALUE"""),3.0)</f>
        <v>3</v>
      </c>
      <c r="H2201" s="163" t="str">
        <f>IFERROR(__xludf.DUMMYFUNCTION("""COMPUTED_VALUE"""),"SG")</f>
        <v>SG</v>
      </c>
      <c r="I2201" s="163">
        <f>IFERROR(__xludf.DUMMYFUNCTION("""COMPUTED_VALUE"""),26.0)</f>
        <v>26</v>
      </c>
      <c r="J2201" s="165">
        <f>IFERROR(__xludf.DUMMYFUNCTION("""COMPUTED_VALUE"""),-0.313967423201973)</f>
        <v>-0.3139674232</v>
      </c>
      <c r="K2201" s="165">
        <f>IFERROR(__xludf.DUMMYFUNCTION("""COMPUTED_VALUE"""),-0.256893461776458)</f>
        <v>-0.2568934618</v>
      </c>
      <c r="L2201" s="165">
        <f>IFERROR(__xludf.DUMMYFUNCTION("""COMPUTED_VALUE"""),-0.0570739614255154)</f>
        <v>-0.05707396143</v>
      </c>
      <c r="M2201" s="166">
        <f t="shared" si="2"/>
        <v>0.008813612515</v>
      </c>
      <c r="N2201" s="167">
        <f t="shared" si="3"/>
        <v>2.208888889</v>
      </c>
      <c r="O2201" s="163">
        <f t="shared" ref="O2201:Q2201" si="2205">rank(I2201,I:I)</f>
        <v>1665</v>
      </c>
      <c r="P2201" s="163">
        <f t="shared" si="2205"/>
        <v>1632</v>
      </c>
      <c r="Q2201" s="163">
        <f t="shared" si="2205"/>
        <v>1684</v>
      </c>
      <c r="R2201" s="163">
        <f>IFERROR(__xludf.DUMMYFUNCTION("RANK(M2201,filter(M:M,C:C=C2201))"),481.0)</f>
        <v>481</v>
      </c>
      <c r="S2201" s="161" t="b">
        <f t="shared" si="5"/>
        <v>0</v>
      </c>
      <c r="T2201" s="161" t="b">
        <f t="array" ref="T2201">index('Query Tool'!B:B,match(H2201,'Query Tool'!C:C,0))</f>
        <v>1</v>
      </c>
      <c r="U2201" s="161" t="b">
        <f t="array" ref="U2201">index('Query Tool'!B:B,match(C2201,'Query Tool'!C:C,0))</f>
        <v>0</v>
      </c>
      <c r="V2201" s="161" t="b">
        <f>F2201&gt;='Query Tool'!C$32</f>
        <v>0</v>
      </c>
      <c r="W2201" s="161" t="b">
        <f t="array" ref="W2201">index(Dropdowns!B:B,match(I2201,Dropdowns!A:A,0))</f>
        <v>1</v>
      </c>
      <c r="X2201" s="161" t="b">
        <f t="array" ref="X2201">index('Query Tool'!B:B,match(D2201,'Query Tool'!C:C,0))</f>
        <v>1</v>
      </c>
      <c r="Y2201" s="161" t="str">
        <f t="shared" si="6"/>
        <v>hearnre01,2017-18</v>
      </c>
      <c r="Z2201" s="168" t="str">
        <f t="array" ref="Z2201">iferror(index(I:I,match($A2201&amp;","&amp;index('Year Conversion'!$A:$A,match($C2201,'Year Conversion'!$B:$B,0)),$Y:$Y,0))-I2201,"")</f>
        <v/>
      </c>
      <c r="AA2201" s="168" t="str">
        <f t="array" ref="AA2201">iferror(index(J:J,match($A2201&amp;","&amp;index('Year Conversion'!$A:$A,match($C2201,'Year Conversion'!$B:$B,0)),$Y:$Y,0))-J2201,"")</f>
        <v/>
      </c>
      <c r="AB2201" s="168" t="str">
        <f t="array" ref="AB2201">iferror(index(K:K,match($A2201&amp;","&amp;index('Year Conversion'!$A:$A,match($C2201,'Year Conversion'!$B:$B,0)),$Y:$Y,0))-K2201,"")</f>
        <v/>
      </c>
      <c r="AC2201" s="168" t="str">
        <f t="shared" si="7"/>
        <v>DET,2017-18</v>
      </c>
    </row>
    <row r="2202">
      <c r="A2202" s="161" t="str">
        <f>IFERROR(__xludf.DUMMYFUNCTION("""COMPUTED_VALUE"""),"magetjo01")</f>
        <v>magetjo01</v>
      </c>
      <c r="B2202" s="161" t="str">
        <f>IFERROR(__xludf.DUMMYFUNCTION("""COMPUTED_VALUE"""),"Josh Magette")</f>
        <v>Josh Magette</v>
      </c>
      <c r="C2202" s="162" t="str">
        <f>IFERROR(__xludf.DUMMYFUNCTION("""COMPUTED_VALUE"""),"2017-18")</f>
        <v>2017-18</v>
      </c>
      <c r="D2202" s="163" t="str">
        <f>IFERROR(__xludf.DUMMYFUNCTION("""COMPUTED_VALUE"""),"ATL")</f>
        <v>ATL</v>
      </c>
      <c r="E2202" s="164" t="str">
        <f>IFERROR(__xludf.DUMMYFUNCTION("""COMPUTED_VALUE"""),"Secondary Ball Handler")</f>
        <v>Secondary Ball Handler</v>
      </c>
      <c r="F2202" s="164">
        <f>IFERROR(__xludf.DUMMYFUNCTION("""COMPUTED_VALUE"""),216.165)</f>
        <v>216.165</v>
      </c>
      <c r="G2202" s="163">
        <f>IFERROR(__xludf.DUMMYFUNCTION("""COMPUTED_VALUE"""),18.0)</f>
        <v>18</v>
      </c>
      <c r="H2202" s="163" t="str">
        <f>IFERROR(__xludf.DUMMYFUNCTION("""COMPUTED_VALUE"""),"PG")</f>
        <v>PG</v>
      </c>
      <c r="I2202" s="163">
        <f>IFERROR(__xludf.DUMMYFUNCTION("""COMPUTED_VALUE"""),28.0)</f>
        <v>28</v>
      </c>
      <c r="J2202" s="165">
        <f>IFERROR(__xludf.DUMMYFUNCTION("""COMPUTED_VALUE"""),0.0501588590628069)</f>
        <v>0.05015885906</v>
      </c>
      <c r="K2202" s="165">
        <f>IFERROR(__xludf.DUMMYFUNCTION("""COMPUTED_VALUE"""),0.0142662299957014)</f>
        <v>0.01426623</v>
      </c>
      <c r="L2202" s="165">
        <f>IFERROR(__xludf.DUMMYFUNCTION("""COMPUTED_VALUE"""),0.0358926290671056)</f>
        <v>0.03589262907</v>
      </c>
      <c r="M2202" s="166">
        <f t="shared" si="2"/>
        <v>0.340564313</v>
      </c>
      <c r="N2202" s="167">
        <f t="shared" si="3"/>
        <v>12.00916667</v>
      </c>
      <c r="O2202" s="163">
        <f t="shared" ref="O2202:Q2202" si="2206">rank(I2202,I:I)</f>
        <v>1090</v>
      </c>
      <c r="P2202" s="163">
        <f t="shared" si="2206"/>
        <v>1239</v>
      </c>
      <c r="Q2202" s="163">
        <f t="shared" si="2206"/>
        <v>1179</v>
      </c>
      <c r="R2202" s="163">
        <f>IFERROR(__xludf.DUMMYFUNCTION("RANK(M2202,filter(M:M,C:C=C2202))"),311.0)</f>
        <v>311</v>
      </c>
      <c r="S2202" s="161" t="b">
        <f t="shared" si="5"/>
        <v>0</v>
      </c>
      <c r="T2202" s="161" t="b">
        <f t="array" ref="T2202">index('Query Tool'!B:B,match(H2202,'Query Tool'!C:C,0))</f>
        <v>1</v>
      </c>
      <c r="U2202" s="161" t="b">
        <f t="array" ref="U2202">index('Query Tool'!B:B,match(C2202,'Query Tool'!C:C,0))</f>
        <v>0</v>
      </c>
      <c r="V2202" s="161" t="b">
        <f>F2202&gt;='Query Tool'!C$32</f>
        <v>0</v>
      </c>
      <c r="W2202" s="161" t="b">
        <f t="array" ref="W2202">index(Dropdowns!B:B,match(I2202,Dropdowns!A:A,0))</f>
        <v>1</v>
      </c>
      <c r="X2202" s="161" t="b">
        <f t="array" ref="X2202">index('Query Tool'!B:B,match(D2202,'Query Tool'!C:C,0))</f>
        <v>1</v>
      </c>
      <c r="Y2202" s="161" t="str">
        <f t="shared" si="6"/>
        <v>magetjo01,2017-18</v>
      </c>
      <c r="Z2202" s="168" t="str">
        <f t="array" ref="Z2202">iferror(index(I:I,match($A2202&amp;","&amp;index('Year Conversion'!$A:$A,match($C2202,'Year Conversion'!$B:$B,0)),$Y:$Y,0))-I2202,"")</f>
        <v/>
      </c>
      <c r="AA2202" s="168" t="str">
        <f t="array" ref="AA2202">iferror(index(J:J,match($A2202&amp;","&amp;index('Year Conversion'!$A:$A,match($C2202,'Year Conversion'!$B:$B,0)),$Y:$Y,0))-J2202,"")</f>
        <v/>
      </c>
      <c r="AB2202" s="168" t="str">
        <f t="array" ref="AB2202">iferror(index(K:K,match($A2202&amp;","&amp;index('Year Conversion'!$A:$A,match($C2202,'Year Conversion'!$B:$B,0)),$Y:$Y,0))-K2202,"")</f>
        <v/>
      </c>
      <c r="AC2202" s="168" t="str">
        <f t="shared" si="7"/>
        <v>ATL,2017-18</v>
      </c>
    </row>
    <row r="2203">
      <c r="A2203" s="161" t="str">
        <f>IFERROR(__xludf.DUMMYFUNCTION("""COMPUTED_VALUE"""),"willicj01")</f>
        <v>willicj01</v>
      </c>
      <c r="B2203" s="161" t="str">
        <f>IFERROR(__xludf.DUMMYFUNCTION("""COMPUTED_VALUE"""),"C.J. Williams")</f>
        <v>C.J. Williams</v>
      </c>
      <c r="C2203" s="162" t="str">
        <f>IFERROR(__xludf.DUMMYFUNCTION("""COMPUTED_VALUE"""),"2017-18")</f>
        <v>2017-18</v>
      </c>
      <c r="D2203" s="163" t="str">
        <f>IFERROR(__xludf.DUMMYFUNCTION("""COMPUTED_VALUE"""),"LAC")</f>
        <v>LAC</v>
      </c>
      <c r="E2203" s="164" t="str">
        <f>IFERROR(__xludf.DUMMYFUNCTION("""COMPUTED_VALUE"""),"Stationary Shooter")</f>
        <v>Stationary Shooter</v>
      </c>
      <c r="F2203" s="164">
        <f>IFERROR(__xludf.DUMMYFUNCTION("""COMPUTED_VALUE"""),706.501666666667)</f>
        <v>706.5016667</v>
      </c>
      <c r="G2203" s="163">
        <f>IFERROR(__xludf.DUMMYFUNCTION("""COMPUTED_VALUE"""),38.0)</f>
        <v>38</v>
      </c>
      <c r="H2203" s="163" t="str">
        <f>IFERROR(__xludf.DUMMYFUNCTION("""COMPUTED_VALUE"""),"SG")</f>
        <v>SG</v>
      </c>
      <c r="I2203" s="163">
        <f>IFERROR(__xludf.DUMMYFUNCTION("""COMPUTED_VALUE"""),27.0)</f>
        <v>27</v>
      </c>
      <c r="J2203" s="165">
        <f>IFERROR(__xludf.DUMMYFUNCTION("""COMPUTED_VALUE"""),-1.153888637637)</f>
        <v>-1.153888638</v>
      </c>
      <c r="K2203" s="165">
        <f>IFERROR(__xludf.DUMMYFUNCTION("""COMPUTED_VALUE"""),-1.22710645963483)</f>
        <v>-1.22710646</v>
      </c>
      <c r="L2203" s="165">
        <f>IFERROR(__xludf.DUMMYFUNCTION("""COMPUTED_VALUE"""),0.0732178219978338)</f>
        <v>0.073217822</v>
      </c>
      <c r="M2203" s="166">
        <f t="shared" si="2"/>
        <v>0.5405885283</v>
      </c>
      <c r="N2203" s="167">
        <f t="shared" si="3"/>
        <v>18.59214912</v>
      </c>
      <c r="O2203" s="163">
        <f t="shared" ref="O2203:Q2203" si="2207">rank(I2203,I:I)</f>
        <v>1366</v>
      </c>
      <c r="P2203" s="163">
        <f t="shared" si="2207"/>
        <v>2685</v>
      </c>
      <c r="Q2203" s="163">
        <f t="shared" si="2207"/>
        <v>3060</v>
      </c>
      <c r="R2203" s="163">
        <f>IFERROR(__xludf.DUMMYFUNCTION("RANK(M2203,filter(M:M,C:C=C2203))"),289.0)</f>
        <v>289</v>
      </c>
      <c r="S2203" s="161" t="b">
        <f t="shared" si="5"/>
        <v>0</v>
      </c>
      <c r="T2203" s="161" t="b">
        <f t="array" ref="T2203">index('Query Tool'!B:B,match(H2203,'Query Tool'!C:C,0))</f>
        <v>1</v>
      </c>
      <c r="U2203" s="161" t="b">
        <f t="array" ref="U2203">index('Query Tool'!B:B,match(C2203,'Query Tool'!C:C,0))</f>
        <v>0</v>
      </c>
      <c r="V2203" s="161" t="b">
        <f>F2203&gt;='Query Tool'!C$32</f>
        <v>1</v>
      </c>
      <c r="W2203" s="161" t="b">
        <f t="array" ref="W2203">index(Dropdowns!B:B,match(I2203,Dropdowns!A:A,0))</f>
        <v>1</v>
      </c>
      <c r="X2203" s="161" t="b">
        <f t="array" ref="X2203">index('Query Tool'!B:B,match(D2203,'Query Tool'!C:C,0))</f>
        <v>1</v>
      </c>
      <c r="Y2203" s="161" t="str">
        <f t="shared" si="6"/>
        <v>willicj01,2017-18</v>
      </c>
      <c r="Z2203" s="168">
        <f t="array" ref="Z2203">iferror(index(I:I,match($A2203&amp;","&amp;index('Year Conversion'!$A:$A,match($C2203,'Year Conversion'!$B:$B,0)),$Y:$Y,0))-I2203,"")</f>
        <v>1</v>
      </c>
      <c r="AA2203" s="168">
        <f t="array" ref="AA2203">iferror(index(J:J,match($A2203&amp;","&amp;index('Year Conversion'!$A:$A,match($C2203,'Year Conversion'!$B:$B,0)),$Y:$Y,0))-J2203,"")</f>
        <v>-0.7519287905</v>
      </c>
      <c r="AB2203" s="168">
        <f t="array" ref="AB2203">iferror(index(K:K,match($A2203&amp;","&amp;index('Year Conversion'!$A:$A,match($C2203,'Year Conversion'!$B:$B,0)),$Y:$Y,0))-K2203,"")</f>
        <v>-0.0006720610423</v>
      </c>
      <c r="AC2203" s="168" t="str">
        <f t="shared" si="7"/>
        <v>LAC,2017-18</v>
      </c>
    </row>
    <row r="2204">
      <c r="A2204" s="161" t="str">
        <f>IFERROR(__xludf.DUMMYFUNCTION("""COMPUTED_VALUE"""),"hopsosc01")</f>
        <v>hopsosc01</v>
      </c>
      <c r="B2204" s="161" t="str">
        <f>IFERROR(__xludf.DUMMYFUNCTION("""COMPUTED_VALUE"""),"Scotty Hopson")</f>
        <v>Scotty Hopson</v>
      </c>
      <c r="C2204" s="162" t="str">
        <f>IFERROR(__xludf.DUMMYFUNCTION("""COMPUTED_VALUE"""),"2017-18")</f>
        <v>2017-18</v>
      </c>
      <c r="D2204" s="163" t="str">
        <f>IFERROR(__xludf.DUMMYFUNCTION("""COMPUTED_VALUE"""),"DAL")</f>
        <v>DAL</v>
      </c>
      <c r="E2204" s="164" t="str">
        <f>IFERROR(__xludf.DUMMYFUNCTION("""COMPUTED_VALUE"""),"Secondary Ball Handler")</f>
        <v>Secondary Ball Handler</v>
      </c>
      <c r="F2204" s="164">
        <f>IFERROR(__xludf.DUMMYFUNCTION("""COMPUTED_VALUE"""),8.37833333333333)</f>
        <v>8.378333333</v>
      </c>
      <c r="G2204" s="163">
        <f>IFERROR(__xludf.DUMMYFUNCTION("""COMPUTED_VALUE"""),1.0)</f>
        <v>1</v>
      </c>
      <c r="H2204" s="163" t="str">
        <f>IFERROR(__xludf.DUMMYFUNCTION("""COMPUTED_VALUE"""),"SG")</f>
        <v>SG</v>
      </c>
      <c r="I2204" s="163">
        <f>IFERROR(__xludf.DUMMYFUNCTION("""COMPUTED_VALUE"""),28.0)</f>
        <v>28</v>
      </c>
      <c r="J2204" s="165">
        <f>IFERROR(__xludf.DUMMYFUNCTION("""COMPUTED_VALUE"""),-0.414927951672631)</f>
        <v>-0.4149279517</v>
      </c>
      <c r="K2204" s="165">
        <f>IFERROR(__xludf.DUMMYFUNCTION("""COMPUTED_VALUE"""),-0.405725244593247)</f>
        <v>-0.4057252446</v>
      </c>
      <c r="L2204" s="165">
        <f>IFERROR(__xludf.DUMMYFUNCTION("""COMPUTED_VALUE"""),-0.00920270707938435)</f>
        <v>-0.009202707079</v>
      </c>
      <c r="M2204" s="166">
        <f t="shared" si="2"/>
        <v>0.01057340098</v>
      </c>
      <c r="N2204" s="167">
        <f t="shared" si="3"/>
        <v>8.378333333</v>
      </c>
      <c r="O2204" s="163">
        <f t="shared" ref="O2204:Q2204" si="2208">rank(I2204,I:I)</f>
        <v>1090</v>
      </c>
      <c r="P2204" s="163">
        <f t="shared" si="2208"/>
        <v>1746</v>
      </c>
      <c r="Q2204" s="163">
        <f t="shared" si="2208"/>
        <v>1953</v>
      </c>
      <c r="R2204" s="163">
        <f>IFERROR(__xludf.DUMMYFUNCTION("RANK(M2204,filter(M:M,C:C=C2204))"),477.0)</f>
        <v>477</v>
      </c>
      <c r="S2204" s="161" t="b">
        <f t="shared" si="5"/>
        <v>0</v>
      </c>
      <c r="T2204" s="161" t="b">
        <f t="array" ref="T2204">index('Query Tool'!B:B,match(H2204,'Query Tool'!C:C,0))</f>
        <v>1</v>
      </c>
      <c r="U2204" s="161" t="b">
        <f t="array" ref="U2204">index('Query Tool'!B:B,match(C2204,'Query Tool'!C:C,0))</f>
        <v>0</v>
      </c>
      <c r="V2204" s="161" t="b">
        <f>F2204&gt;='Query Tool'!C$32</f>
        <v>0</v>
      </c>
      <c r="W2204" s="161" t="b">
        <f t="array" ref="W2204">index(Dropdowns!B:B,match(I2204,Dropdowns!A:A,0))</f>
        <v>1</v>
      </c>
      <c r="X2204" s="161" t="b">
        <f t="array" ref="X2204">index('Query Tool'!B:B,match(D2204,'Query Tool'!C:C,0))</f>
        <v>1</v>
      </c>
      <c r="Y2204" s="161" t="str">
        <f t="shared" si="6"/>
        <v>hopsosc01,2017-18</v>
      </c>
      <c r="Z2204" s="168" t="str">
        <f t="array" ref="Z2204">iferror(index(I:I,match($A2204&amp;","&amp;index('Year Conversion'!$A:$A,match($C2204,'Year Conversion'!$B:$B,0)),$Y:$Y,0))-I2204,"")</f>
        <v/>
      </c>
      <c r="AA2204" s="168" t="str">
        <f t="array" ref="AA2204">iferror(index(J:J,match($A2204&amp;","&amp;index('Year Conversion'!$A:$A,match($C2204,'Year Conversion'!$B:$B,0)),$Y:$Y,0))-J2204,"")</f>
        <v/>
      </c>
      <c r="AB2204" s="168" t="str">
        <f t="array" ref="AB2204">iferror(index(K:K,match($A2204&amp;","&amp;index('Year Conversion'!$A:$A,match($C2204,'Year Conversion'!$B:$B,0)),$Y:$Y,0))-K2204,"")</f>
        <v/>
      </c>
      <c r="AC2204" s="168" t="str">
        <f t="shared" si="7"/>
        <v>DAL,2017-18</v>
      </c>
    </row>
    <row r="2205">
      <c r="A2205" s="161" t="str">
        <f>IFERROR(__xludf.DUMMYFUNCTION("""COMPUTED_VALUE"""),"napiesh01")</f>
        <v>napiesh01</v>
      </c>
      <c r="B2205" s="161" t="str">
        <f>IFERROR(__xludf.DUMMYFUNCTION("""COMPUTED_VALUE"""),"Shabazz Napier")</f>
        <v>Shabazz Napier</v>
      </c>
      <c r="C2205" s="162" t="str">
        <f>IFERROR(__xludf.DUMMYFUNCTION("""COMPUTED_VALUE"""),"2017-18")</f>
        <v>2017-18</v>
      </c>
      <c r="D2205" s="163" t="str">
        <f>IFERROR(__xludf.DUMMYFUNCTION("""COMPUTED_VALUE"""),"POR")</f>
        <v>POR</v>
      </c>
      <c r="E2205" s="164" t="str">
        <f>IFERROR(__xludf.DUMMYFUNCTION("""COMPUTED_VALUE"""),"Secondary Ball Handler")</f>
        <v>Secondary Ball Handler</v>
      </c>
      <c r="F2205" s="164">
        <f>IFERROR(__xludf.DUMMYFUNCTION("""COMPUTED_VALUE"""),1535.465)</f>
        <v>1535.465</v>
      </c>
      <c r="G2205" s="163">
        <f>IFERROR(__xludf.DUMMYFUNCTION("""COMPUTED_VALUE"""),74.0)</f>
        <v>74</v>
      </c>
      <c r="H2205" s="163" t="str">
        <f>IFERROR(__xludf.DUMMYFUNCTION("""COMPUTED_VALUE"""),"PG")</f>
        <v>PG</v>
      </c>
      <c r="I2205" s="163">
        <f>IFERROR(__xludf.DUMMYFUNCTION("""COMPUTED_VALUE"""),26.0)</f>
        <v>26</v>
      </c>
      <c r="J2205" s="165">
        <f>IFERROR(__xludf.DUMMYFUNCTION("""COMPUTED_VALUE"""),0.360913396708615)</f>
        <v>0.3609133967</v>
      </c>
      <c r="K2205" s="165">
        <f>IFERROR(__xludf.DUMMYFUNCTION("""COMPUTED_VALUE"""),0.162489061099403)</f>
        <v>0.1624890611</v>
      </c>
      <c r="L2205" s="165">
        <f>IFERROR(__xludf.DUMMYFUNCTION("""COMPUTED_VALUE"""),0.198424335609212)</f>
        <v>0.1984243356</v>
      </c>
      <c r="M2205" s="166">
        <f t="shared" si="2"/>
        <v>2.740723311</v>
      </c>
      <c r="N2205" s="167">
        <f t="shared" si="3"/>
        <v>20.74952703</v>
      </c>
      <c r="O2205" s="163">
        <f t="shared" ref="O2205:Q2205" si="2209">rank(I2205,I:I)</f>
        <v>1665</v>
      </c>
      <c r="P2205" s="163">
        <f t="shared" si="2209"/>
        <v>978</v>
      </c>
      <c r="Q2205" s="163">
        <f t="shared" si="2209"/>
        <v>1017</v>
      </c>
      <c r="R2205" s="163">
        <f>IFERROR(__xludf.DUMMYFUNCTION("RANK(M2205,filter(M:M,C:C=C2205))"),121.0)</f>
        <v>121</v>
      </c>
      <c r="S2205" s="161" t="b">
        <f t="shared" si="5"/>
        <v>0</v>
      </c>
      <c r="T2205" s="161" t="b">
        <f t="array" ref="T2205">index('Query Tool'!B:B,match(H2205,'Query Tool'!C:C,0))</f>
        <v>1</v>
      </c>
      <c r="U2205" s="161" t="b">
        <f t="array" ref="U2205">index('Query Tool'!B:B,match(C2205,'Query Tool'!C:C,0))</f>
        <v>0</v>
      </c>
      <c r="V2205" s="161" t="b">
        <f>F2205&gt;='Query Tool'!C$32</f>
        <v>1</v>
      </c>
      <c r="W2205" s="161" t="b">
        <f t="array" ref="W2205">index(Dropdowns!B:B,match(I2205,Dropdowns!A:A,0))</f>
        <v>1</v>
      </c>
      <c r="X2205" s="161" t="b">
        <f t="array" ref="X2205">index('Query Tool'!B:B,match(D2205,'Query Tool'!C:C,0))</f>
        <v>1</v>
      </c>
      <c r="Y2205" s="161" t="str">
        <f t="shared" si="6"/>
        <v>napiesh01,2017-18</v>
      </c>
      <c r="Z2205" s="168">
        <f t="array" ref="Z2205">iferror(index(I:I,match($A2205&amp;","&amp;index('Year Conversion'!$A:$A,match($C2205,'Year Conversion'!$B:$B,0)),$Y:$Y,0))-I2205,"")</f>
        <v>1</v>
      </c>
      <c r="AA2205" s="168">
        <f t="array" ref="AA2205">iferror(index(J:J,match($A2205&amp;","&amp;index('Year Conversion'!$A:$A,match($C2205,'Year Conversion'!$B:$B,0)),$Y:$Y,0))-J2205,"")</f>
        <v>-0.3128125801</v>
      </c>
      <c r="AB2205" s="168">
        <f t="array" ref="AB2205">iferror(index(K:K,match($A2205&amp;","&amp;index('Year Conversion'!$A:$A,match($C2205,'Year Conversion'!$B:$B,0)),$Y:$Y,0))-K2205,"")</f>
        <v>0.8639922033</v>
      </c>
      <c r="AC2205" s="168" t="str">
        <f t="shared" si="7"/>
        <v>POR,2017-18</v>
      </c>
    </row>
    <row r="2206">
      <c r="A2206" s="161" t="str">
        <f>IFERROR(__xludf.DUMMYFUNCTION("""COMPUTED_VALUE"""),"lavinza01")</f>
        <v>lavinza01</v>
      </c>
      <c r="B2206" s="161" t="str">
        <f>IFERROR(__xludf.DUMMYFUNCTION("""COMPUTED_VALUE"""),"Zach LaVine")</f>
        <v>Zach LaVine</v>
      </c>
      <c r="C2206" s="162" t="str">
        <f>IFERROR(__xludf.DUMMYFUNCTION("""COMPUTED_VALUE"""),"2017-18")</f>
        <v>2017-18</v>
      </c>
      <c r="D2206" s="163" t="str">
        <f>IFERROR(__xludf.DUMMYFUNCTION("""COMPUTED_VALUE"""),"CHI")</f>
        <v>CHI</v>
      </c>
      <c r="E2206" s="164" t="str">
        <f>IFERROR(__xludf.DUMMYFUNCTION("""COMPUTED_VALUE"""),"Secondary Ball Handler")</f>
        <v>Secondary Ball Handler</v>
      </c>
      <c r="F2206" s="164">
        <f>IFERROR(__xludf.DUMMYFUNCTION("""COMPUTED_VALUE"""),656.286666666667)</f>
        <v>656.2866667</v>
      </c>
      <c r="G2206" s="163">
        <f>IFERROR(__xludf.DUMMYFUNCTION("""COMPUTED_VALUE"""),24.0)</f>
        <v>24</v>
      </c>
      <c r="H2206" s="163" t="str">
        <f>IFERROR(__xludf.DUMMYFUNCTION("""COMPUTED_VALUE"""),"SG")</f>
        <v>SG</v>
      </c>
      <c r="I2206" s="163">
        <f>IFERROR(__xludf.DUMMYFUNCTION("""COMPUTED_VALUE"""),22.0)</f>
        <v>22</v>
      </c>
      <c r="J2206" s="165">
        <f>IFERROR(__xludf.DUMMYFUNCTION("""COMPUTED_VALUE"""),-0.156004773649818)</f>
        <v>-0.1560047736</v>
      </c>
      <c r="K2206" s="165">
        <f>IFERROR(__xludf.DUMMYFUNCTION("""COMPUTED_VALUE"""),0.692254988478928)</f>
        <v>0.6922549885</v>
      </c>
      <c r="L2206" s="165">
        <f>IFERROR(__xludf.DUMMYFUNCTION("""COMPUTED_VALUE"""),-0.848259762128746)</f>
        <v>-0.8482597621</v>
      </c>
      <c r="M2206" s="166">
        <f t="shared" si="2"/>
        <v>0.9427514606</v>
      </c>
      <c r="N2206" s="167">
        <f t="shared" si="3"/>
        <v>27.34527778</v>
      </c>
      <c r="O2206" s="163">
        <f t="shared" ref="O2206:Q2206" si="2210">rank(I2206,I:I)</f>
        <v>3178</v>
      </c>
      <c r="P2206" s="163">
        <f t="shared" si="2210"/>
        <v>1450</v>
      </c>
      <c r="Q2206" s="163">
        <f t="shared" si="2210"/>
        <v>657</v>
      </c>
      <c r="R2206" s="163">
        <f>IFERROR(__xludf.DUMMYFUNCTION("RANK(M2206,filter(M:M,C:C=C2206))"),241.0)</f>
        <v>241</v>
      </c>
      <c r="S2206" s="161" t="b">
        <f t="shared" si="5"/>
        <v>0</v>
      </c>
      <c r="T2206" s="161" t="b">
        <f t="array" ref="T2206">index('Query Tool'!B:B,match(H2206,'Query Tool'!C:C,0))</f>
        <v>1</v>
      </c>
      <c r="U2206" s="161" t="b">
        <f t="array" ref="U2206">index('Query Tool'!B:B,match(C2206,'Query Tool'!C:C,0))</f>
        <v>0</v>
      </c>
      <c r="V2206" s="161" t="b">
        <f>F2206&gt;='Query Tool'!C$32</f>
        <v>1</v>
      </c>
      <c r="W2206" s="161" t="b">
        <f t="array" ref="W2206">index(Dropdowns!B:B,match(I2206,Dropdowns!A:A,0))</f>
        <v>1</v>
      </c>
      <c r="X2206" s="161" t="b">
        <f t="array" ref="X2206">index('Query Tool'!B:B,match(D2206,'Query Tool'!C:C,0))</f>
        <v>1</v>
      </c>
      <c r="Y2206" s="161" t="str">
        <f t="shared" si="6"/>
        <v>lavinza01,2017-18</v>
      </c>
      <c r="Z2206" s="168">
        <f t="array" ref="Z2206">iferror(index(I:I,match($A2206&amp;","&amp;index('Year Conversion'!$A:$A,match($C2206,'Year Conversion'!$B:$B,0)),$Y:$Y,0))-I2206,"")</f>
        <v>1</v>
      </c>
      <c r="AA2206" s="168">
        <f t="array" ref="AA2206">iferror(index(J:J,match($A2206&amp;","&amp;index('Year Conversion'!$A:$A,match($C2206,'Year Conversion'!$B:$B,0)),$Y:$Y,0))-J2206,"")</f>
        <v>-0.01858830068</v>
      </c>
      <c r="AB2206" s="168">
        <f t="array" ref="AB2206">iferror(index(K:K,match($A2206&amp;","&amp;index('Year Conversion'!$A:$A,match($C2206,'Year Conversion'!$B:$B,0)),$Y:$Y,0))-K2206,"")</f>
        <v>0.4557836212</v>
      </c>
      <c r="AC2206" s="168" t="str">
        <f t="shared" si="7"/>
        <v>CHI,2017-18</v>
      </c>
    </row>
    <row r="2207">
      <c r="A2207" s="161" t="str">
        <f>IFERROR(__xludf.DUMMYFUNCTION("""COMPUTED_VALUE"""),"ennisty01")</f>
        <v>ennisty01</v>
      </c>
      <c r="B2207" s="161" t="str">
        <f>IFERROR(__xludf.DUMMYFUNCTION("""COMPUTED_VALUE"""),"Tyler Ennis")</f>
        <v>Tyler Ennis</v>
      </c>
      <c r="C2207" s="162" t="str">
        <f>IFERROR(__xludf.DUMMYFUNCTION("""COMPUTED_VALUE"""),"2017-18")</f>
        <v>2017-18</v>
      </c>
      <c r="D2207" s="163" t="str">
        <f>IFERROR(__xludf.DUMMYFUNCTION("""COMPUTED_VALUE"""),"LAL")</f>
        <v>LAL</v>
      </c>
      <c r="E2207" s="164" t="str">
        <f>IFERROR(__xludf.DUMMYFUNCTION("""COMPUTED_VALUE"""),"Slasher")</f>
        <v>Slasher</v>
      </c>
      <c r="F2207" s="164">
        <f>IFERROR(__xludf.DUMMYFUNCTION("""COMPUTED_VALUE"""),683.376666666667)</f>
        <v>683.3766667</v>
      </c>
      <c r="G2207" s="163">
        <f>IFERROR(__xludf.DUMMYFUNCTION("""COMPUTED_VALUE"""),54.0)</f>
        <v>54</v>
      </c>
      <c r="H2207" s="163" t="str">
        <f>IFERROR(__xludf.DUMMYFUNCTION("""COMPUTED_VALUE"""),"PG")</f>
        <v>PG</v>
      </c>
      <c r="I2207" s="163">
        <f>IFERROR(__xludf.DUMMYFUNCTION("""COMPUTED_VALUE"""),23.0)</f>
        <v>23</v>
      </c>
      <c r="J2207" s="165">
        <f>IFERROR(__xludf.DUMMYFUNCTION("""COMPUTED_VALUE"""),-0.908202252491183)</f>
        <v>-0.9082022525</v>
      </c>
      <c r="K2207" s="165">
        <f>IFERROR(__xludf.DUMMYFUNCTION("""COMPUTED_VALUE"""),-1.38168916647465)</f>
        <v>-1.381689166</v>
      </c>
      <c r="L2207" s="165">
        <f>IFERROR(__xludf.DUMMYFUNCTION("""COMPUTED_VALUE"""),0.473486913983468)</f>
        <v>0.473486914</v>
      </c>
      <c r="M2207" s="166">
        <f t="shared" si="2"/>
        <v>0.635585809</v>
      </c>
      <c r="N2207" s="167">
        <f t="shared" si="3"/>
        <v>12.65512346</v>
      </c>
      <c r="O2207" s="163">
        <f t="shared" ref="O2207:Q2207" si="2211">rank(I2207,I:I)</f>
        <v>2765</v>
      </c>
      <c r="P2207" s="163">
        <f t="shared" si="2211"/>
        <v>2402</v>
      </c>
      <c r="Q2207" s="163">
        <f t="shared" si="2211"/>
        <v>3231</v>
      </c>
      <c r="R2207" s="163">
        <f>IFERROR(__xludf.DUMMYFUNCTION("RANK(M2207,filter(M:M,C:C=C2207))"),280.0)</f>
        <v>280</v>
      </c>
      <c r="S2207" s="161" t="b">
        <f t="shared" si="5"/>
        <v>0</v>
      </c>
      <c r="T2207" s="161" t="b">
        <f t="array" ref="T2207">index('Query Tool'!B:B,match(H2207,'Query Tool'!C:C,0))</f>
        <v>1</v>
      </c>
      <c r="U2207" s="161" t="b">
        <f t="array" ref="U2207">index('Query Tool'!B:B,match(C2207,'Query Tool'!C:C,0))</f>
        <v>0</v>
      </c>
      <c r="V2207" s="161" t="b">
        <f>F2207&gt;='Query Tool'!C$32</f>
        <v>1</v>
      </c>
      <c r="W2207" s="161" t="b">
        <f t="array" ref="W2207">index(Dropdowns!B:B,match(I2207,Dropdowns!A:A,0))</f>
        <v>1</v>
      </c>
      <c r="X2207" s="161" t="b">
        <f t="array" ref="X2207">index('Query Tool'!B:B,match(D2207,'Query Tool'!C:C,0))</f>
        <v>1</v>
      </c>
      <c r="Y2207" s="161" t="str">
        <f t="shared" si="6"/>
        <v>ennisty01,2017-18</v>
      </c>
      <c r="Z2207" s="168" t="str">
        <f t="array" ref="Z2207">iferror(index(I:I,match($A2207&amp;","&amp;index('Year Conversion'!$A:$A,match($C2207,'Year Conversion'!$B:$B,0)),$Y:$Y,0))-I2207,"")</f>
        <v/>
      </c>
      <c r="AA2207" s="168" t="str">
        <f t="array" ref="AA2207">iferror(index(J:J,match($A2207&amp;","&amp;index('Year Conversion'!$A:$A,match($C2207,'Year Conversion'!$B:$B,0)),$Y:$Y,0))-J2207,"")</f>
        <v/>
      </c>
      <c r="AB2207" s="168" t="str">
        <f t="array" ref="AB2207">iferror(index(K:K,match($A2207&amp;","&amp;index('Year Conversion'!$A:$A,match($C2207,'Year Conversion'!$B:$B,0)),$Y:$Y,0))-K2207,"")</f>
        <v/>
      </c>
      <c r="AC2207" s="168" t="str">
        <f t="shared" si="7"/>
        <v>LAL,2017-18</v>
      </c>
    </row>
    <row r="2208">
      <c r="A2208" s="161" t="str">
        <f>IFERROR(__xludf.DUMMYFUNCTION("""COMPUTED_VALUE"""),"brownma02")</f>
        <v>brownma02</v>
      </c>
      <c r="B2208" s="161" t="str">
        <f>IFERROR(__xludf.DUMMYFUNCTION("""COMPUTED_VALUE"""),"Markel Brown")</f>
        <v>Markel Brown</v>
      </c>
      <c r="C2208" s="162" t="str">
        <f>IFERROR(__xludf.DUMMYFUNCTION("""COMPUTED_VALUE"""),"2017-18")</f>
        <v>2017-18</v>
      </c>
      <c r="D2208" s="163" t="str">
        <f>IFERROR(__xludf.DUMMYFUNCTION("""COMPUTED_VALUE"""),"HOU")</f>
        <v>HOU</v>
      </c>
      <c r="E2208" s="164" t="str">
        <f>IFERROR(__xludf.DUMMYFUNCTION("""COMPUTED_VALUE"""),"Secondary Ball Handler")</f>
        <v>Secondary Ball Handler</v>
      </c>
      <c r="F2208" s="164">
        <f>IFERROR(__xludf.DUMMYFUNCTION("""COMPUTED_VALUE"""),31.4833333333334)</f>
        <v>31.48333333</v>
      </c>
      <c r="G2208" s="163">
        <f>IFERROR(__xludf.DUMMYFUNCTION("""COMPUTED_VALUE"""),4.0)</f>
        <v>4</v>
      </c>
      <c r="H2208" s="163" t="str">
        <f>IFERROR(__xludf.DUMMYFUNCTION("""COMPUTED_VALUE"""),"SG")</f>
        <v>SG</v>
      </c>
      <c r="I2208" s="163">
        <f>IFERROR(__xludf.DUMMYFUNCTION("""COMPUTED_VALUE"""),26.0)</f>
        <v>26</v>
      </c>
      <c r="J2208" s="165">
        <f>IFERROR(__xludf.DUMMYFUNCTION("""COMPUTED_VALUE"""),-0.968448121631221)</f>
        <v>-0.9684481216</v>
      </c>
      <c r="K2208" s="165">
        <f>IFERROR(__xludf.DUMMYFUNCTION("""COMPUTED_VALUE"""),-0.163192927035783)</f>
        <v>-0.163192927</v>
      </c>
      <c r="L2208" s="165">
        <f>IFERROR(__xludf.DUMMYFUNCTION("""COMPUTED_VALUE"""),-0.805255194595438)</f>
        <v>-0.8052551946</v>
      </c>
      <c r="M2208" s="166">
        <f t="shared" si="2"/>
        <v>0.02800751565</v>
      </c>
      <c r="N2208" s="167">
        <f t="shared" si="3"/>
        <v>7.870833333</v>
      </c>
      <c r="O2208" s="163">
        <f t="shared" ref="O2208:Q2208" si="2212">rank(I2208,I:I)</f>
        <v>1665</v>
      </c>
      <c r="P2208" s="163">
        <f t="shared" si="2212"/>
        <v>2468</v>
      </c>
      <c r="Q2208" s="163">
        <f t="shared" si="2212"/>
        <v>1499</v>
      </c>
      <c r="R2208" s="163">
        <f>IFERROR(__xludf.DUMMYFUNCTION("RANK(M2208,filter(M:M,C:C=C2208))"),454.0)</f>
        <v>454</v>
      </c>
      <c r="S2208" s="161" t="b">
        <f t="shared" si="5"/>
        <v>0</v>
      </c>
      <c r="T2208" s="161" t="b">
        <f t="array" ref="T2208">index('Query Tool'!B:B,match(H2208,'Query Tool'!C:C,0))</f>
        <v>1</v>
      </c>
      <c r="U2208" s="161" t="b">
        <f t="array" ref="U2208">index('Query Tool'!B:B,match(C2208,'Query Tool'!C:C,0))</f>
        <v>0</v>
      </c>
      <c r="V2208" s="161" t="b">
        <f>F2208&gt;='Query Tool'!C$32</f>
        <v>0</v>
      </c>
      <c r="W2208" s="161" t="b">
        <f t="array" ref="W2208">index(Dropdowns!B:B,match(I2208,Dropdowns!A:A,0))</f>
        <v>1</v>
      </c>
      <c r="X2208" s="161" t="b">
        <f t="array" ref="X2208">index('Query Tool'!B:B,match(D2208,'Query Tool'!C:C,0))</f>
        <v>1</v>
      </c>
      <c r="Y2208" s="161" t="str">
        <f t="shared" si="6"/>
        <v>brownma02,2017-18</v>
      </c>
      <c r="Z2208" s="168" t="str">
        <f t="array" ref="Z2208">iferror(index(I:I,match($A2208&amp;","&amp;index('Year Conversion'!$A:$A,match($C2208,'Year Conversion'!$B:$B,0)),$Y:$Y,0))-I2208,"")</f>
        <v/>
      </c>
      <c r="AA2208" s="168" t="str">
        <f t="array" ref="AA2208">iferror(index(J:J,match($A2208&amp;","&amp;index('Year Conversion'!$A:$A,match($C2208,'Year Conversion'!$B:$B,0)),$Y:$Y,0))-J2208,"")</f>
        <v/>
      </c>
      <c r="AB2208" s="168" t="str">
        <f t="array" ref="AB2208">iferror(index(K:K,match($A2208&amp;","&amp;index('Year Conversion'!$A:$A,match($C2208,'Year Conversion'!$B:$B,0)),$Y:$Y,0))-K2208,"")</f>
        <v/>
      </c>
      <c r="AC2208" s="168" t="str">
        <f t="shared" si="7"/>
        <v>HOU,2017-18</v>
      </c>
    </row>
    <row r="2209">
      <c r="A2209" s="161" t="str">
        <f>IFERROR(__xludf.DUMMYFUNCTION("""COMPUTED_VALUE"""),"paytoel01")</f>
        <v>paytoel01</v>
      </c>
      <c r="B2209" s="161" t="str">
        <f>IFERROR(__xludf.DUMMYFUNCTION("""COMPUTED_VALUE"""),"Elfrid Payton")</f>
        <v>Elfrid Payton</v>
      </c>
      <c r="C2209" s="162" t="str">
        <f>IFERROR(__xludf.DUMMYFUNCTION("""COMPUTED_VALUE"""),"2017-18")</f>
        <v>2017-18</v>
      </c>
      <c r="D2209" s="163" t="str">
        <f>IFERROR(__xludf.DUMMYFUNCTION("""COMPUTED_VALUE"""),"TOT")</f>
        <v>TOT</v>
      </c>
      <c r="E2209" s="164" t="str">
        <f>IFERROR(__xludf.DUMMYFUNCTION("""COMPUTED_VALUE"""),"Slasher")</f>
        <v>Slasher</v>
      </c>
      <c r="F2209" s="164">
        <f>IFERROR(__xludf.DUMMYFUNCTION("""COMPUTED_VALUE"""),1808.51)</f>
        <v>1808.51</v>
      </c>
      <c r="G2209" s="163">
        <f>IFERROR(__xludf.DUMMYFUNCTION("""COMPUTED_VALUE"""),63.0)</f>
        <v>63</v>
      </c>
      <c r="H2209" s="163" t="str">
        <f>IFERROR(__xludf.DUMMYFUNCTION("""COMPUTED_VALUE"""),"PG")</f>
        <v>PG</v>
      </c>
      <c r="I2209" s="163">
        <f>IFERROR(__xludf.DUMMYFUNCTION("""COMPUTED_VALUE"""),23.0)</f>
        <v>23</v>
      </c>
      <c r="J2209" s="165">
        <f>IFERROR(__xludf.DUMMYFUNCTION("""COMPUTED_VALUE"""),0.155525896146518)</f>
        <v>0.1555258961</v>
      </c>
      <c r="K2209" s="165">
        <f>IFERROR(__xludf.DUMMYFUNCTION("""COMPUTED_VALUE"""),0.699552374525672)</f>
        <v>0.6995523745</v>
      </c>
      <c r="L2209" s="165">
        <f>IFERROR(__xludf.DUMMYFUNCTION("""COMPUTED_VALUE"""),-0.544026478379154)</f>
        <v>-0.5440264784</v>
      </c>
      <c r="M2209" s="166">
        <f t="shared" si="2"/>
        <v>2.977742674</v>
      </c>
      <c r="N2209" s="167">
        <f t="shared" si="3"/>
        <v>28.70650794</v>
      </c>
      <c r="O2209" s="163">
        <f t="shared" ref="O2209:Q2209" si="2213">rank(I2209,I:I)</f>
        <v>2765</v>
      </c>
      <c r="P2209" s="163">
        <f t="shared" si="2213"/>
        <v>1123</v>
      </c>
      <c r="Q2209" s="163">
        <f t="shared" si="2213"/>
        <v>654</v>
      </c>
      <c r="R2209" s="163">
        <f>IFERROR(__xludf.DUMMYFUNCTION("RANK(M2209,filter(M:M,C:C=C2209))"),111.0)</f>
        <v>111</v>
      </c>
      <c r="S2209" s="161" t="b">
        <f t="shared" si="5"/>
        <v>0</v>
      </c>
      <c r="T2209" s="161" t="b">
        <f t="array" ref="T2209">index('Query Tool'!B:B,match(H2209,'Query Tool'!C:C,0))</f>
        <v>1</v>
      </c>
      <c r="U2209" s="161" t="b">
        <f t="array" ref="U2209">index('Query Tool'!B:B,match(C2209,'Query Tool'!C:C,0))</f>
        <v>0</v>
      </c>
      <c r="V2209" s="161" t="b">
        <f>F2209&gt;='Query Tool'!C$32</f>
        <v>1</v>
      </c>
      <c r="W2209" s="161" t="b">
        <f t="array" ref="W2209">index(Dropdowns!B:B,match(I2209,Dropdowns!A:A,0))</f>
        <v>1</v>
      </c>
      <c r="X2209" s="161" t="b">
        <f t="array" ref="X2209">index('Query Tool'!B:B,match(D2209,'Query Tool'!C:C,0))</f>
        <v>1</v>
      </c>
      <c r="Y2209" s="161" t="str">
        <f t="shared" si="6"/>
        <v>paytoel01,2017-18</v>
      </c>
      <c r="Z2209" s="168">
        <f t="array" ref="Z2209">iferror(index(I:I,match($A2209&amp;","&amp;index('Year Conversion'!$A:$A,match($C2209,'Year Conversion'!$B:$B,0)),$Y:$Y,0))-I2209,"")</f>
        <v>1</v>
      </c>
      <c r="AA2209" s="168">
        <f t="array" ref="AA2209">iferror(index(J:J,match($A2209&amp;","&amp;index('Year Conversion'!$A:$A,match($C2209,'Year Conversion'!$B:$B,0)),$Y:$Y,0))-J2209,"")</f>
        <v>0.3959922322</v>
      </c>
      <c r="AB2209" s="168">
        <f t="array" ref="AB2209">iferror(index(K:K,match($A2209&amp;","&amp;index('Year Conversion'!$A:$A,match($C2209,'Year Conversion'!$B:$B,0)),$Y:$Y,0))-K2209,"")</f>
        <v>-0.3694291582</v>
      </c>
      <c r="AC2209" s="168" t="str">
        <f t="shared" si="7"/>
        <v>TOT,2017-18</v>
      </c>
    </row>
    <row r="2210">
      <c r="A2210" s="161" t="str">
        <f>IFERROR(__xludf.DUMMYFUNCTION("""COMPUTED_VALUE"""),"clarkjo01")</f>
        <v>clarkjo01</v>
      </c>
      <c r="B2210" s="161" t="str">
        <f>IFERROR(__xludf.DUMMYFUNCTION("""COMPUTED_VALUE"""),"Jordan Clarkson")</f>
        <v>Jordan Clarkson</v>
      </c>
      <c r="C2210" s="162" t="str">
        <f>IFERROR(__xludf.DUMMYFUNCTION("""COMPUTED_VALUE"""),"2017-18")</f>
        <v>2017-18</v>
      </c>
      <c r="D2210" s="163" t="str">
        <f>IFERROR(__xludf.DUMMYFUNCTION("""COMPUTED_VALUE"""),"TOT")</f>
        <v>TOT</v>
      </c>
      <c r="E2210" s="164" t="str">
        <f>IFERROR(__xludf.DUMMYFUNCTION("""COMPUTED_VALUE"""),"Secondary Ball Handler")</f>
        <v>Secondary Ball Handler</v>
      </c>
      <c r="F2210" s="164">
        <f>IFERROR(__xludf.DUMMYFUNCTION("""COMPUTED_VALUE"""),1887.39833333333)</f>
        <v>1887.398333</v>
      </c>
      <c r="G2210" s="163">
        <f>IFERROR(__xludf.DUMMYFUNCTION("""COMPUTED_VALUE"""),81.0)</f>
        <v>81</v>
      </c>
      <c r="H2210" s="163" t="str">
        <f>IFERROR(__xludf.DUMMYFUNCTION("""COMPUTED_VALUE"""),"SG")</f>
        <v>SG</v>
      </c>
      <c r="I2210" s="163">
        <f>IFERROR(__xludf.DUMMYFUNCTION("""COMPUTED_VALUE"""),25.0)</f>
        <v>25</v>
      </c>
      <c r="J2210" s="165">
        <f>IFERROR(__xludf.DUMMYFUNCTION("""COMPUTED_VALUE"""),-0.951723451636613)</f>
        <v>-0.9517234516</v>
      </c>
      <c r="K2210" s="165">
        <f>IFERROR(__xludf.DUMMYFUNCTION("""COMPUTED_VALUE"""),0.413148929797395)</f>
        <v>0.4131489298</v>
      </c>
      <c r="L2210" s="165">
        <f>IFERROR(__xludf.DUMMYFUNCTION("""COMPUTED_VALUE"""),-1.36487238143401)</f>
        <v>-1.364872381</v>
      </c>
      <c r="M2210" s="166">
        <f t="shared" si="2"/>
        <v>1.700226106</v>
      </c>
      <c r="N2210" s="167">
        <f t="shared" si="3"/>
        <v>23.30121399</v>
      </c>
      <c r="O2210" s="163">
        <f t="shared" ref="O2210:Q2210" si="2214">rank(I2210,I:I)</f>
        <v>1995</v>
      </c>
      <c r="P2210" s="163">
        <f t="shared" si="2214"/>
        <v>2453</v>
      </c>
      <c r="Q2210" s="163">
        <f t="shared" si="2214"/>
        <v>825</v>
      </c>
      <c r="R2210" s="163">
        <f>IFERROR(__xludf.DUMMYFUNCTION("RANK(M2210,filter(M:M,C:C=C2210))"),175.0)</f>
        <v>175</v>
      </c>
      <c r="S2210" s="161" t="b">
        <f t="shared" si="5"/>
        <v>0</v>
      </c>
      <c r="T2210" s="161" t="b">
        <f t="array" ref="T2210">index('Query Tool'!B:B,match(H2210,'Query Tool'!C:C,0))</f>
        <v>1</v>
      </c>
      <c r="U2210" s="161" t="b">
        <f t="array" ref="U2210">index('Query Tool'!B:B,match(C2210,'Query Tool'!C:C,0))</f>
        <v>0</v>
      </c>
      <c r="V2210" s="161" t="b">
        <f>F2210&gt;='Query Tool'!C$32</f>
        <v>1</v>
      </c>
      <c r="W2210" s="161" t="b">
        <f t="array" ref="W2210">index(Dropdowns!B:B,match(I2210,Dropdowns!A:A,0))</f>
        <v>1</v>
      </c>
      <c r="X2210" s="161" t="b">
        <f t="array" ref="X2210">index('Query Tool'!B:B,match(D2210,'Query Tool'!C:C,0))</f>
        <v>1</v>
      </c>
      <c r="Y2210" s="161" t="str">
        <f t="shared" si="6"/>
        <v>clarkjo01,2017-18</v>
      </c>
      <c r="Z2210" s="168">
        <f t="array" ref="Z2210">iferror(index(I:I,match($A2210&amp;","&amp;index('Year Conversion'!$A:$A,match($C2210,'Year Conversion'!$B:$B,0)),$Y:$Y,0))-I2210,"")</f>
        <v>1</v>
      </c>
      <c r="AA2210" s="168">
        <f t="array" ref="AA2210">iferror(index(J:J,match($A2210&amp;","&amp;index('Year Conversion'!$A:$A,match($C2210,'Year Conversion'!$B:$B,0)),$Y:$Y,0))-J2210,"")</f>
        <v>-1.347232471</v>
      </c>
      <c r="AB2210" s="168">
        <f t="array" ref="AB2210">iferror(index(K:K,match($A2210&amp;","&amp;index('Year Conversion'!$A:$A,match($C2210,'Year Conversion'!$B:$B,0)),$Y:$Y,0))-K2210,"")</f>
        <v>0.6297535862</v>
      </c>
      <c r="AC2210" s="168" t="str">
        <f t="shared" si="7"/>
        <v>TOT,2017-18</v>
      </c>
    </row>
    <row r="2211">
      <c r="A2211" s="161" t="str">
        <f>IFERROR(__xludf.DUMMYFUNCTION("""COMPUTED_VALUE"""),"harriga01")</f>
        <v>harriga01</v>
      </c>
      <c r="B2211" s="161" t="str">
        <f>IFERROR(__xludf.DUMMYFUNCTION("""COMPUTED_VALUE"""),"Gary Harris")</f>
        <v>Gary Harris</v>
      </c>
      <c r="C2211" s="162" t="str">
        <f>IFERROR(__xludf.DUMMYFUNCTION("""COMPUTED_VALUE"""),"2017-18")</f>
        <v>2017-18</v>
      </c>
      <c r="D2211" s="163" t="str">
        <f>IFERROR(__xludf.DUMMYFUNCTION("""COMPUTED_VALUE"""),"DEN")</f>
        <v>DEN</v>
      </c>
      <c r="E2211" s="164" t="str">
        <f>IFERROR(__xludf.DUMMYFUNCTION("""COMPUTED_VALUE"""),"Movement Shooter")</f>
        <v>Movement Shooter</v>
      </c>
      <c r="F2211" s="164">
        <f>IFERROR(__xludf.DUMMYFUNCTION("""COMPUTED_VALUE"""),2304.55)</f>
        <v>2304.55</v>
      </c>
      <c r="G2211" s="163">
        <f>IFERROR(__xludf.DUMMYFUNCTION("""COMPUTED_VALUE"""),67.0)</f>
        <v>67</v>
      </c>
      <c r="H2211" s="163" t="str">
        <f>IFERROR(__xludf.DUMMYFUNCTION("""COMPUTED_VALUE"""),"SG")</f>
        <v>SG</v>
      </c>
      <c r="I2211" s="163">
        <f>IFERROR(__xludf.DUMMYFUNCTION("""COMPUTED_VALUE"""),23.0)</f>
        <v>23</v>
      </c>
      <c r="J2211" s="165">
        <f>IFERROR(__xludf.DUMMYFUNCTION("""COMPUTED_VALUE"""),-0.00352634659338713)</f>
        <v>-0.003526346593</v>
      </c>
      <c r="K2211" s="165">
        <f>IFERROR(__xludf.DUMMYFUNCTION("""COMPUTED_VALUE"""),0.942186982624486)</f>
        <v>0.9421869826</v>
      </c>
      <c r="L2211" s="165">
        <f>IFERROR(__xludf.DUMMYFUNCTION("""COMPUTED_VALUE"""),-0.945713329217873)</f>
        <v>-0.9457133292</v>
      </c>
      <c r="M2211" s="166">
        <f t="shared" si="2"/>
        <v>3.547369017</v>
      </c>
      <c r="N2211" s="167">
        <f t="shared" si="3"/>
        <v>34.39626866</v>
      </c>
      <c r="O2211" s="163">
        <f t="shared" ref="O2211:Q2211" si="2215">rank(I2211,I:I)</f>
        <v>2765</v>
      </c>
      <c r="P2211" s="163">
        <f t="shared" si="2215"/>
        <v>1289</v>
      </c>
      <c r="Q2211" s="163">
        <f t="shared" si="2215"/>
        <v>530</v>
      </c>
      <c r="R2211" s="163">
        <f>IFERROR(__xludf.DUMMYFUNCTION("RANK(M2211,filter(M:M,C:C=C2211))"),99.0)</f>
        <v>99</v>
      </c>
      <c r="S2211" s="161" t="b">
        <f t="shared" si="5"/>
        <v>0</v>
      </c>
      <c r="T2211" s="161" t="b">
        <f t="array" ref="T2211">index('Query Tool'!B:B,match(H2211,'Query Tool'!C:C,0))</f>
        <v>1</v>
      </c>
      <c r="U2211" s="161" t="b">
        <f t="array" ref="U2211">index('Query Tool'!B:B,match(C2211,'Query Tool'!C:C,0))</f>
        <v>0</v>
      </c>
      <c r="V2211" s="161" t="b">
        <f>F2211&gt;='Query Tool'!C$32</f>
        <v>1</v>
      </c>
      <c r="W2211" s="161" t="b">
        <f t="array" ref="W2211">index(Dropdowns!B:B,match(I2211,Dropdowns!A:A,0))</f>
        <v>1</v>
      </c>
      <c r="X2211" s="161" t="b">
        <f t="array" ref="X2211">index('Query Tool'!B:B,match(D2211,'Query Tool'!C:C,0))</f>
        <v>1</v>
      </c>
      <c r="Y2211" s="161" t="str">
        <f t="shared" si="6"/>
        <v>harriga01,2017-18</v>
      </c>
      <c r="Z2211" s="168">
        <f t="array" ref="Z2211">iferror(index(I:I,match($A2211&amp;","&amp;index('Year Conversion'!$A:$A,match($C2211,'Year Conversion'!$B:$B,0)),$Y:$Y,0))-I2211,"")</f>
        <v>1</v>
      </c>
      <c r="AA2211" s="168">
        <f t="array" ref="AA2211">iferror(index(J:J,match($A2211&amp;","&amp;index('Year Conversion'!$A:$A,match($C2211,'Year Conversion'!$B:$B,0)),$Y:$Y,0))-J2211,"")</f>
        <v>-0.4690284214</v>
      </c>
      <c r="AB2211" s="168">
        <f t="array" ref="AB2211">iferror(index(K:K,match($A2211&amp;","&amp;index('Year Conversion'!$A:$A,match($C2211,'Year Conversion'!$B:$B,0)),$Y:$Y,0))-K2211,"")</f>
        <v>-1.014930758</v>
      </c>
      <c r="AC2211" s="168" t="str">
        <f t="shared" si="7"/>
        <v>DEN,2017-18</v>
      </c>
    </row>
    <row r="2212">
      <c r="A2212" s="161" t="str">
        <f>IFERROR(__xludf.DUMMYFUNCTION("""COMPUTED_VALUE"""),"dinwisp01")</f>
        <v>dinwisp01</v>
      </c>
      <c r="B2212" s="161" t="str">
        <f>IFERROR(__xludf.DUMMYFUNCTION("""COMPUTED_VALUE"""),"Spencer Dinwiddie")</f>
        <v>Spencer Dinwiddie</v>
      </c>
      <c r="C2212" s="162" t="str">
        <f>IFERROR(__xludf.DUMMYFUNCTION("""COMPUTED_VALUE"""),"2017-18")</f>
        <v>2017-18</v>
      </c>
      <c r="D2212" s="163" t="str">
        <f>IFERROR(__xludf.DUMMYFUNCTION("""COMPUTED_VALUE"""),"BRK")</f>
        <v>BRK</v>
      </c>
      <c r="E2212" s="164" t="str">
        <f>IFERROR(__xludf.DUMMYFUNCTION("""COMPUTED_VALUE"""),"Shot Creator")</f>
        <v>Shot Creator</v>
      </c>
      <c r="F2212" s="164">
        <f>IFERROR(__xludf.DUMMYFUNCTION("""COMPUTED_VALUE"""),2306.025)</f>
        <v>2306.025</v>
      </c>
      <c r="G2212" s="163">
        <f>IFERROR(__xludf.DUMMYFUNCTION("""COMPUTED_VALUE"""),80.0)</f>
        <v>80</v>
      </c>
      <c r="H2212" s="163" t="str">
        <f>IFERROR(__xludf.DUMMYFUNCTION("""COMPUTED_VALUE"""),"PG")</f>
        <v>PG</v>
      </c>
      <c r="I2212" s="163">
        <f>IFERROR(__xludf.DUMMYFUNCTION("""COMPUTED_VALUE"""),24.0)</f>
        <v>24</v>
      </c>
      <c r="J2212" s="165">
        <f>IFERROR(__xludf.DUMMYFUNCTION("""COMPUTED_VALUE"""),0.895422492947505)</f>
        <v>0.8954224929</v>
      </c>
      <c r="K2212" s="165">
        <f>IFERROR(__xludf.DUMMYFUNCTION("""COMPUTED_VALUE"""),1.39115429234118)</f>
        <v>1.391154292</v>
      </c>
      <c r="L2212" s="165">
        <f>IFERROR(__xludf.DUMMYFUNCTION("""COMPUTED_VALUE"""),-0.495731799393677)</f>
        <v>-0.4957317994</v>
      </c>
      <c r="M2212" s="166">
        <f t="shared" si="2"/>
        <v>4.945685449</v>
      </c>
      <c r="N2212" s="167">
        <f t="shared" si="3"/>
        <v>28.8253125</v>
      </c>
      <c r="O2212" s="163">
        <f t="shared" ref="O2212:Q2212" si="2216">rank(I2212,I:I)</f>
        <v>2361</v>
      </c>
      <c r="P2212" s="163">
        <f t="shared" si="2216"/>
        <v>696</v>
      </c>
      <c r="Q2212" s="163">
        <f t="shared" si="2216"/>
        <v>357</v>
      </c>
      <c r="R2212" s="163">
        <f>IFERROR(__xludf.DUMMYFUNCTION("RANK(M2212,filter(M:M,C:C=C2212))"),56.0)</f>
        <v>56</v>
      </c>
      <c r="S2212" s="161" t="b">
        <f t="shared" si="5"/>
        <v>0</v>
      </c>
      <c r="T2212" s="161" t="b">
        <f t="array" ref="T2212">index('Query Tool'!B:B,match(H2212,'Query Tool'!C:C,0))</f>
        <v>1</v>
      </c>
      <c r="U2212" s="161" t="b">
        <f t="array" ref="U2212">index('Query Tool'!B:B,match(C2212,'Query Tool'!C:C,0))</f>
        <v>0</v>
      </c>
      <c r="V2212" s="161" t="b">
        <f>F2212&gt;='Query Tool'!C$32</f>
        <v>1</v>
      </c>
      <c r="W2212" s="161" t="b">
        <f t="array" ref="W2212">index(Dropdowns!B:B,match(I2212,Dropdowns!A:A,0))</f>
        <v>1</v>
      </c>
      <c r="X2212" s="161" t="b">
        <f t="array" ref="X2212">index('Query Tool'!B:B,match(D2212,'Query Tool'!C:C,0))</f>
        <v>1</v>
      </c>
      <c r="Y2212" s="161" t="str">
        <f t="shared" si="6"/>
        <v>dinwisp01,2017-18</v>
      </c>
      <c r="Z2212" s="168">
        <f t="array" ref="Z2212">iferror(index(I:I,match($A2212&amp;","&amp;index('Year Conversion'!$A:$A,match($C2212,'Year Conversion'!$B:$B,0)),$Y:$Y,0))-I2212,"")</f>
        <v>1</v>
      </c>
      <c r="AA2212" s="168">
        <f t="array" ref="AA2212">iferror(index(J:J,match($A2212&amp;","&amp;index('Year Conversion'!$A:$A,match($C2212,'Year Conversion'!$B:$B,0)),$Y:$Y,0))-J2212,"")</f>
        <v>-1.513705311</v>
      </c>
      <c r="AB2212" s="168">
        <f t="array" ref="AB2212">iferror(index(K:K,match($A2212&amp;","&amp;index('Year Conversion'!$A:$A,match($C2212,'Year Conversion'!$B:$B,0)),$Y:$Y,0))-K2212,"")</f>
        <v>-0.1937101652</v>
      </c>
      <c r="AC2212" s="168" t="str">
        <f t="shared" si="7"/>
        <v>BRK,2017-18</v>
      </c>
    </row>
    <row r="2213">
      <c r="A2213" s="161" t="str">
        <f>IFERROR(__xludf.DUMMYFUNCTION("""COMPUTED_VALUE"""),"stausni01")</f>
        <v>stausni01</v>
      </c>
      <c r="B2213" s="161" t="str">
        <f>IFERROR(__xludf.DUMMYFUNCTION("""COMPUTED_VALUE"""),"Nik Stauskas")</f>
        <v>Nik Stauskas</v>
      </c>
      <c r="C2213" s="162" t="str">
        <f>IFERROR(__xludf.DUMMYFUNCTION("""COMPUTED_VALUE"""),"2017-18")</f>
        <v>2017-18</v>
      </c>
      <c r="D2213" s="163" t="str">
        <f>IFERROR(__xludf.DUMMYFUNCTION("""COMPUTED_VALUE"""),"TOT")</f>
        <v>TOT</v>
      </c>
      <c r="E2213" s="164" t="str">
        <f>IFERROR(__xludf.DUMMYFUNCTION("""COMPUTED_VALUE"""),"Secondary Ball Handler")</f>
        <v>Secondary Ball Handler</v>
      </c>
      <c r="F2213" s="164">
        <f>IFERROR(__xludf.DUMMYFUNCTION("""COMPUTED_VALUE"""),523.3)</f>
        <v>523.3</v>
      </c>
      <c r="G2213" s="163">
        <f>IFERROR(__xludf.DUMMYFUNCTION("""COMPUTED_VALUE"""),41.0)</f>
        <v>41</v>
      </c>
      <c r="H2213" s="163" t="str">
        <f>IFERROR(__xludf.DUMMYFUNCTION("""COMPUTED_VALUE"""),"SG")</f>
        <v>SG</v>
      </c>
      <c r="I2213" s="163">
        <f>IFERROR(__xludf.DUMMYFUNCTION("""COMPUTED_VALUE"""),24.0)</f>
        <v>24</v>
      </c>
      <c r="J2213" s="165">
        <f>IFERROR(__xludf.DUMMYFUNCTION("""COMPUTED_VALUE"""),-2.33937811109701)</f>
        <v>-2.339378111</v>
      </c>
      <c r="K2213" s="165">
        <f>IFERROR(__xludf.DUMMYFUNCTION("""COMPUTED_VALUE"""),-1.03647896509647)</f>
        <v>-1.036478965</v>
      </c>
      <c r="L2213" s="165">
        <f>IFERROR(__xludf.DUMMYFUNCTION("""COMPUTED_VALUE"""),-1.30289914600054)</f>
        <v>-1.302899146</v>
      </c>
      <c r="M2213" s="166">
        <f t="shared" si="2"/>
        <v>-0.01236858043</v>
      </c>
      <c r="N2213" s="167">
        <f t="shared" si="3"/>
        <v>12.76341463</v>
      </c>
      <c r="O2213" s="163">
        <f t="shared" ref="O2213:Q2213" si="2217">rank(I2213,I:I)</f>
        <v>2361</v>
      </c>
      <c r="P2213" s="163">
        <f t="shared" si="2217"/>
        <v>3677</v>
      </c>
      <c r="Q2213" s="163">
        <f t="shared" si="2217"/>
        <v>2852</v>
      </c>
      <c r="R2213" s="163">
        <f>IFERROR(__xludf.DUMMYFUNCTION("RANK(M2213,filter(M:M,C:C=C2213))"),502.0)</f>
        <v>502</v>
      </c>
      <c r="S2213" s="161" t="b">
        <f t="shared" si="5"/>
        <v>0</v>
      </c>
      <c r="T2213" s="161" t="b">
        <f t="array" ref="T2213">index('Query Tool'!B:B,match(H2213,'Query Tool'!C:C,0))</f>
        <v>1</v>
      </c>
      <c r="U2213" s="161" t="b">
        <f t="array" ref="U2213">index('Query Tool'!B:B,match(C2213,'Query Tool'!C:C,0))</f>
        <v>0</v>
      </c>
      <c r="V2213" s="161" t="b">
        <f>F2213&gt;='Query Tool'!C$32</f>
        <v>1</v>
      </c>
      <c r="W2213" s="161" t="b">
        <f t="array" ref="W2213">index(Dropdowns!B:B,match(I2213,Dropdowns!A:A,0))</f>
        <v>1</v>
      </c>
      <c r="X2213" s="161" t="b">
        <f t="array" ref="X2213">index('Query Tool'!B:B,match(D2213,'Query Tool'!C:C,0))</f>
        <v>1</v>
      </c>
      <c r="Y2213" s="161" t="str">
        <f t="shared" si="6"/>
        <v>stausni01,2017-18</v>
      </c>
      <c r="Z2213" s="168">
        <f t="array" ref="Z2213">iferror(index(I:I,match($A2213&amp;","&amp;index('Year Conversion'!$A:$A,match($C2213,'Year Conversion'!$B:$B,0)),$Y:$Y,0))-I2213,"")</f>
        <v>1</v>
      </c>
      <c r="AA2213" s="168">
        <f t="array" ref="AA2213">iferror(index(J:J,match($A2213&amp;","&amp;index('Year Conversion'!$A:$A,match($C2213,'Year Conversion'!$B:$B,0)),$Y:$Y,0))-J2213,"")</f>
        <v>-0.5968107017</v>
      </c>
      <c r="AB2213" s="168">
        <f t="array" ref="AB2213">iferror(index(K:K,match($A2213&amp;","&amp;index('Year Conversion'!$A:$A,match($C2213,'Year Conversion'!$B:$B,0)),$Y:$Y,0))-K2213,"")</f>
        <v>-0.4252314306</v>
      </c>
      <c r="AC2213" s="168" t="str">
        <f t="shared" si="7"/>
        <v>TOT,2017-18</v>
      </c>
    </row>
    <row r="2214">
      <c r="A2214" s="161" t="str">
        <f>IFERROR(__xludf.DUMMYFUNCTION("""COMPUTED_VALUE"""),"hoodro01")</f>
        <v>hoodro01</v>
      </c>
      <c r="B2214" s="161" t="str">
        <f>IFERROR(__xludf.DUMMYFUNCTION("""COMPUTED_VALUE"""),"Rodney Hood")</f>
        <v>Rodney Hood</v>
      </c>
      <c r="C2214" s="162" t="str">
        <f>IFERROR(__xludf.DUMMYFUNCTION("""COMPUTED_VALUE"""),"2017-18")</f>
        <v>2017-18</v>
      </c>
      <c r="D2214" s="163" t="str">
        <f>IFERROR(__xludf.DUMMYFUNCTION("""COMPUTED_VALUE"""),"TOT")</f>
        <v>TOT</v>
      </c>
      <c r="E2214" s="164" t="str">
        <f>IFERROR(__xludf.DUMMYFUNCTION("""COMPUTED_VALUE"""),"Secondary Ball Handler")</f>
        <v>Secondary Ball Handler</v>
      </c>
      <c r="F2214" s="164">
        <f>IFERROR(__xludf.DUMMYFUNCTION("""COMPUTED_VALUE"""),1615.47166666667)</f>
        <v>1615.471667</v>
      </c>
      <c r="G2214" s="163">
        <f>IFERROR(__xludf.DUMMYFUNCTION("""COMPUTED_VALUE"""),60.0)</f>
        <v>60</v>
      </c>
      <c r="H2214" s="163" t="str">
        <f>IFERROR(__xludf.DUMMYFUNCTION("""COMPUTED_VALUE"""),"SG")</f>
        <v>SG</v>
      </c>
      <c r="I2214" s="163">
        <f>IFERROR(__xludf.DUMMYFUNCTION("""COMPUTED_VALUE"""),25.0)</f>
        <v>25</v>
      </c>
      <c r="J2214" s="165">
        <f>IFERROR(__xludf.DUMMYFUNCTION("""COMPUTED_VALUE"""),-1.19751430456208)</f>
        <v>-1.197514305</v>
      </c>
      <c r="K2214" s="165">
        <f>IFERROR(__xludf.DUMMYFUNCTION("""COMPUTED_VALUE"""),0.0348849270778598)</f>
        <v>0.03488492708</v>
      </c>
      <c r="L2214" s="165">
        <f>IFERROR(__xludf.DUMMYFUNCTION("""COMPUTED_VALUE"""),-1.23239923163994)</f>
        <v>-1.232399232</v>
      </c>
      <c r="M2214" s="166">
        <f t="shared" si="2"/>
        <v>1.188856696</v>
      </c>
      <c r="N2214" s="167">
        <f t="shared" si="3"/>
        <v>26.92452778</v>
      </c>
      <c r="O2214" s="163">
        <f t="shared" ref="O2214:Q2214" si="2218">rank(I2214,I:I)</f>
        <v>1995</v>
      </c>
      <c r="P2214" s="163">
        <f t="shared" si="2218"/>
        <v>2742</v>
      </c>
      <c r="Q2214" s="163">
        <f t="shared" si="2218"/>
        <v>1149</v>
      </c>
      <c r="R2214" s="163">
        <f>IFERROR(__xludf.DUMMYFUNCTION("RANK(M2214,filter(M:M,C:C=C2214))"),218.0)</f>
        <v>218</v>
      </c>
      <c r="S2214" s="161" t="b">
        <f t="shared" si="5"/>
        <v>0</v>
      </c>
      <c r="T2214" s="161" t="b">
        <f t="array" ref="T2214">index('Query Tool'!B:B,match(H2214,'Query Tool'!C:C,0))</f>
        <v>1</v>
      </c>
      <c r="U2214" s="161" t="b">
        <f t="array" ref="U2214">index('Query Tool'!B:B,match(C2214,'Query Tool'!C:C,0))</f>
        <v>0</v>
      </c>
      <c r="V2214" s="161" t="b">
        <f>F2214&gt;='Query Tool'!C$32</f>
        <v>1</v>
      </c>
      <c r="W2214" s="161" t="b">
        <f t="array" ref="W2214">index(Dropdowns!B:B,match(I2214,Dropdowns!A:A,0))</f>
        <v>1</v>
      </c>
      <c r="X2214" s="161" t="b">
        <f t="array" ref="X2214">index('Query Tool'!B:B,match(D2214,'Query Tool'!C:C,0))</f>
        <v>1</v>
      </c>
      <c r="Y2214" s="161" t="str">
        <f t="shared" si="6"/>
        <v>hoodro01,2017-18</v>
      </c>
      <c r="Z2214" s="168">
        <f t="array" ref="Z2214">iferror(index(I:I,match($A2214&amp;","&amp;index('Year Conversion'!$A:$A,match($C2214,'Year Conversion'!$B:$B,0)),$Y:$Y,0))-I2214,"")</f>
        <v>1</v>
      </c>
      <c r="AA2214" s="168">
        <f t="array" ref="AA2214">iferror(index(J:J,match($A2214&amp;","&amp;index('Year Conversion'!$A:$A,match($C2214,'Year Conversion'!$B:$B,0)),$Y:$Y,0))-J2214,"")</f>
        <v>0.1775980872</v>
      </c>
      <c r="AB2214" s="168">
        <f t="array" ref="AB2214">iferror(index(K:K,match($A2214&amp;","&amp;index('Year Conversion'!$A:$A,match($C2214,'Year Conversion'!$B:$B,0)),$Y:$Y,0))-K2214,"")</f>
        <v>-0.2637173404</v>
      </c>
      <c r="AC2214" s="168" t="str">
        <f t="shared" si="7"/>
        <v>TOT,2017-18</v>
      </c>
    </row>
    <row r="2215">
      <c r="A2215" s="161" t="str">
        <f>IFERROR(__xludf.DUMMYFUNCTION("""COMPUTED_VALUE"""),"birchkh01")</f>
        <v>birchkh01</v>
      </c>
      <c r="B2215" s="161" t="str">
        <f>IFERROR(__xludf.DUMMYFUNCTION("""COMPUTED_VALUE"""),"Khem Birch")</f>
        <v>Khem Birch</v>
      </c>
      <c r="C2215" s="162" t="str">
        <f>IFERROR(__xludf.DUMMYFUNCTION("""COMPUTED_VALUE"""),"2017-18")</f>
        <v>2017-18</v>
      </c>
      <c r="D2215" s="163" t="str">
        <f>IFERROR(__xludf.DUMMYFUNCTION("""COMPUTED_VALUE"""),"ORL")</f>
        <v>ORL</v>
      </c>
      <c r="E2215" s="164" t="str">
        <f>IFERROR(__xludf.DUMMYFUNCTION("""COMPUTED_VALUE"""),"Roll + Cut Big")</f>
        <v>Roll + Cut Big</v>
      </c>
      <c r="F2215" s="164">
        <f>IFERROR(__xludf.DUMMYFUNCTION("""COMPUTED_VALUE"""),578.406666666667)</f>
        <v>578.4066667</v>
      </c>
      <c r="G2215" s="163">
        <f>IFERROR(__xludf.DUMMYFUNCTION("""COMPUTED_VALUE"""),42.0)</f>
        <v>42</v>
      </c>
      <c r="H2215" s="163" t="str">
        <f>IFERROR(__xludf.DUMMYFUNCTION("""COMPUTED_VALUE"""),"C")</f>
        <v>C</v>
      </c>
      <c r="I2215" s="163">
        <f>IFERROR(__xludf.DUMMYFUNCTION("""COMPUTED_VALUE"""),25.0)</f>
        <v>25</v>
      </c>
      <c r="J2215" s="165">
        <f>IFERROR(__xludf.DUMMYFUNCTION("""COMPUTED_VALUE"""),0.459763645631809)</f>
        <v>0.4597636456</v>
      </c>
      <c r="K2215" s="165">
        <f>IFERROR(__xludf.DUMMYFUNCTION("""COMPUTED_VALUE"""),-0.115552556542831)</f>
        <v>-0.1155525565</v>
      </c>
      <c r="L2215" s="165">
        <f>IFERROR(__xludf.DUMMYFUNCTION("""COMPUTED_VALUE"""),0.575316202174641)</f>
        <v>0.5753162022</v>
      </c>
      <c r="M2215" s="166">
        <f t="shared" si="2"/>
        <v>1.070945187</v>
      </c>
      <c r="N2215" s="167">
        <f t="shared" si="3"/>
        <v>13.7715873</v>
      </c>
      <c r="O2215" s="163">
        <f t="shared" ref="O2215:Q2215" si="2219">rank(I2215,I:I)</f>
        <v>1995</v>
      </c>
      <c r="P2215" s="163">
        <f t="shared" si="2219"/>
        <v>921</v>
      </c>
      <c r="Q2215" s="163">
        <f t="shared" si="2219"/>
        <v>1399</v>
      </c>
      <c r="R2215" s="163">
        <f>IFERROR(__xludf.DUMMYFUNCTION("RANK(M2215,filter(M:M,C:C=C2215))"),231.0)</f>
        <v>231</v>
      </c>
      <c r="S2215" s="161" t="b">
        <f t="shared" si="5"/>
        <v>0</v>
      </c>
      <c r="T2215" s="161" t="b">
        <f t="array" ref="T2215">index('Query Tool'!B:B,match(H2215,'Query Tool'!C:C,0))</f>
        <v>1</v>
      </c>
      <c r="U2215" s="161" t="b">
        <f t="array" ref="U2215">index('Query Tool'!B:B,match(C2215,'Query Tool'!C:C,0))</f>
        <v>0</v>
      </c>
      <c r="V2215" s="161" t="b">
        <f>F2215&gt;='Query Tool'!C$32</f>
        <v>1</v>
      </c>
      <c r="W2215" s="161" t="b">
        <f t="array" ref="W2215">index(Dropdowns!B:B,match(I2215,Dropdowns!A:A,0))</f>
        <v>1</v>
      </c>
      <c r="X2215" s="161" t="b">
        <f t="array" ref="X2215">index('Query Tool'!B:B,match(D2215,'Query Tool'!C:C,0))</f>
        <v>1</v>
      </c>
      <c r="Y2215" s="161" t="str">
        <f t="shared" si="6"/>
        <v>birchkh01,2017-18</v>
      </c>
      <c r="Z2215" s="168">
        <f t="array" ref="Z2215">iferror(index(I:I,match($A2215&amp;","&amp;index('Year Conversion'!$A:$A,match($C2215,'Year Conversion'!$B:$B,0)),$Y:$Y,0))-I2215,"")</f>
        <v>1</v>
      </c>
      <c r="AA2215" s="168">
        <f t="array" ref="AA2215">iferror(index(J:J,match($A2215&amp;","&amp;index('Year Conversion'!$A:$A,match($C2215,'Year Conversion'!$B:$B,0)),$Y:$Y,0))-J2215,"")</f>
        <v>-0.5741966625</v>
      </c>
      <c r="AB2215" s="168">
        <f t="array" ref="AB2215">iferror(index(K:K,match($A2215&amp;","&amp;index('Year Conversion'!$A:$A,match($C2215,'Year Conversion'!$B:$B,0)),$Y:$Y,0))-K2215,"")</f>
        <v>-0.1038169241</v>
      </c>
      <c r="AC2215" s="168" t="str">
        <f t="shared" si="7"/>
        <v>ORL,2017-18</v>
      </c>
    </row>
    <row r="2216">
      <c r="A2216" s="161" t="str">
        <f>IFERROR(__xludf.DUMMYFUNCTION("""COMPUTED_VALUE"""),"robingl02")</f>
        <v>robingl02</v>
      </c>
      <c r="B2216" s="161" t="str">
        <f>IFERROR(__xludf.DUMMYFUNCTION("""COMPUTED_VALUE"""),"Glenn Robinson III")</f>
        <v>Glenn Robinson III</v>
      </c>
      <c r="C2216" s="162" t="str">
        <f>IFERROR(__xludf.DUMMYFUNCTION("""COMPUTED_VALUE"""),"2017-18")</f>
        <v>2017-18</v>
      </c>
      <c r="D2216" s="163" t="str">
        <f>IFERROR(__xludf.DUMMYFUNCTION("""COMPUTED_VALUE"""),"IND")</f>
        <v>IND</v>
      </c>
      <c r="E2216" s="164" t="str">
        <f>IFERROR(__xludf.DUMMYFUNCTION("""COMPUTED_VALUE"""),"Athletic Finisher")</f>
        <v>Athletic Finisher</v>
      </c>
      <c r="F2216" s="164">
        <f>IFERROR(__xludf.DUMMYFUNCTION("""COMPUTED_VALUE"""),337.776666666667)</f>
        <v>337.7766667</v>
      </c>
      <c r="G2216" s="163">
        <f>IFERROR(__xludf.DUMMYFUNCTION("""COMPUTED_VALUE"""),23.0)</f>
        <v>23</v>
      </c>
      <c r="H2216" s="163" t="str">
        <f>IFERROR(__xludf.DUMMYFUNCTION("""COMPUTED_VALUE"""),"SF")</f>
        <v>SF</v>
      </c>
      <c r="I2216" s="163">
        <f>IFERROR(__xludf.DUMMYFUNCTION("""COMPUTED_VALUE"""),24.0)</f>
        <v>24</v>
      </c>
      <c r="J2216" s="165">
        <f>IFERROR(__xludf.DUMMYFUNCTION("""COMPUTED_VALUE"""),-1.41865138131463)</f>
        <v>-1.418651381</v>
      </c>
      <c r="K2216" s="165">
        <f>IFERROR(__xludf.DUMMYFUNCTION("""COMPUTED_VALUE"""),-1.00020103231186)</f>
        <v>-1.000201032</v>
      </c>
      <c r="L2216" s="165">
        <f>IFERROR(__xludf.DUMMYFUNCTION("""COMPUTED_VALUE"""),-0.418450349002762)</f>
        <v>-0.418450349</v>
      </c>
      <c r="M2216" s="166">
        <f t="shared" si="2"/>
        <v>0.1985760214</v>
      </c>
      <c r="N2216" s="167">
        <f t="shared" si="3"/>
        <v>14.68594203</v>
      </c>
      <c r="O2216" s="163">
        <f t="shared" ref="O2216:Q2216" si="2220">rank(I2216,I:I)</f>
        <v>2361</v>
      </c>
      <c r="P2216" s="163">
        <f t="shared" si="2220"/>
        <v>2969</v>
      </c>
      <c r="Q2216" s="163">
        <f t="shared" si="2220"/>
        <v>2802</v>
      </c>
      <c r="R2216" s="163">
        <f>IFERROR(__xludf.DUMMYFUNCTION("RANK(M2216,filter(M:M,C:C=C2216))"),345.0)</f>
        <v>345</v>
      </c>
      <c r="S2216" s="161" t="b">
        <f t="shared" si="5"/>
        <v>0</v>
      </c>
      <c r="T2216" s="161" t="b">
        <f t="array" ref="T2216">index('Query Tool'!B:B,match(H2216,'Query Tool'!C:C,0))</f>
        <v>1</v>
      </c>
      <c r="U2216" s="161" t="b">
        <f t="array" ref="U2216">index('Query Tool'!B:B,match(C2216,'Query Tool'!C:C,0))</f>
        <v>0</v>
      </c>
      <c r="V2216" s="161" t="b">
        <f>F2216&gt;='Query Tool'!C$32</f>
        <v>0</v>
      </c>
      <c r="W2216" s="161" t="b">
        <f t="array" ref="W2216">index(Dropdowns!B:B,match(I2216,Dropdowns!A:A,0))</f>
        <v>1</v>
      </c>
      <c r="X2216" s="161" t="b">
        <f t="array" ref="X2216">index('Query Tool'!B:B,match(D2216,'Query Tool'!C:C,0))</f>
        <v>1</v>
      </c>
      <c r="Y2216" s="161" t="str">
        <f t="shared" si="6"/>
        <v>robingl02,2017-18</v>
      </c>
      <c r="Z2216" s="168">
        <f t="array" ref="Z2216">iferror(index(I:I,match($A2216&amp;","&amp;index('Year Conversion'!$A:$A,match($C2216,'Year Conversion'!$B:$B,0)),$Y:$Y,0))-I2216,"")</f>
        <v>1</v>
      </c>
      <c r="AA2216" s="168">
        <f t="array" ref="AA2216">iferror(index(J:J,match($A2216&amp;","&amp;index('Year Conversion'!$A:$A,match($C2216,'Year Conversion'!$B:$B,0)),$Y:$Y,0))-J2216,"")</f>
        <v>-0.9285340256</v>
      </c>
      <c r="AB2216" s="168">
        <f t="array" ref="AB2216">iferror(index(K:K,match($A2216&amp;","&amp;index('Year Conversion'!$A:$A,match($C2216,'Year Conversion'!$B:$B,0)),$Y:$Y,0))-K2216,"")</f>
        <v>-1.372144018</v>
      </c>
      <c r="AC2216" s="168" t="str">
        <f t="shared" si="7"/>
        <v>IND,2017-18</v>
      </c>
    </row>
    <row r="2217">
      <c r="A2217" s="161" t="str">
        <f>IFERROR(__xludf.DUMMYFUNCTION("""COMPUTED_VALUE"""),"youngja01")</f>
        <v>youngja01</v>
      </c>
      <c r="B2217" s="161" t="str">
        <f>IFERROR(__xludf.DUMMYFUNCTION("""COMPUTED_VALUE"""),"James Young")</f>
        <v>James Young</v>
      </c>
      <c r="C2217" s="162" t="str">
        <f>IFERROR(__xludf.DUMMYFUNCTION("""COMPUTED_VALUE"""),"2017-18")</f>
        <v>2017-18</v>
      </c>
      <c r="D2217" s="163" t="str">
        <f>IFERROR(__xludf.DUMMYFUNCTION("""COMPUTED_VALUE"""),"PHI")</f>
        <v>PHI</v>
      </c>
      <c r="E2217" s="164" t="str">
        <f>IFERROR(__xludf.DUMMYFUNCTION("""COMPUTED_VALUE"""),"Off Screen Shooter")</f>
        <v>Off Screen Shooter</v>
      </c>
      <c r="F2217" s="164">
        <f>IFERROR(__xludf.DUMMYFUNCTION("""COMPUTED_VALUE"""),61.1083333333333)</f>
        <v>61.10833333</v>
      </c>
      <c r="G2217" s="163">
        <f>IFERROR(__xludf.DUMMYFUNCTION("""COMPUTED_VALUE"""),6.0)</f>
        <v>6</v>
      </c>
      <c r="H2217" s="163" t="str">
        <f>IFERROR(__xludf.DUMMYFUNCTION("""COMPUTED_VALUE"""),"SG")</f>
        <v>SG</v>
      </c>
      <c r="I2217" s="163">
        <f>IFERROR(__xludf.DUMMYFUNCTION("""COMPUTED_VALUE"""),22.0)</f>
        <v>22</v>
      </c>
      <c r="J2217" s="165">
        <f>IFERROR(__xludf.DUMMYFUNCTION("""COMPUTED_VALUE"""),-1.17547076424944)</f>
        <v>-1.175470764</v>
      </c>
      <c r="K2217" s="165">
        <f>IFERROR(__xludf.DUMMYFUNCTION("""COMPUTED_VALUE"""),-0.361749803184493)</f>
        <v>-0.3617498032</v>
      </c>
      <c r="L2217" s="165">
        <f>IFERROR(__xludf.DUMMYFUNCTION("""COMPUTED_VALUE"""),-0.813720961064946)</f>
        <v>-0.8137209611</v>
      </c>
      <c r="M2217" s="166">
        <f t="shared" si="2"/>
        <v>0.0458736546</v>
      </c>
      <c r="N2217" s="167">
        <f t="shared" si="3"/>
        <v>10.18472222</v>
      </c>
      <c r="O2217" s="163">
        <f t="shared" ref="O2217:Q2217" si="2221">rank(I2217,I:I)</f>
        <v>3178</v>
      </c>
      <c r="P2217" s="163">
        <f t="shared" si="2221"/>
        <v>2710</v>
      </c>
      <c r="Q2217" s="163">
        <f t="shared" si="2221"/>
        <v>1877</v>
      </c>
      <c r="R2217" s="163">
        <f>IFERROR(__xludf.DUMMYFUNCTION("RANK(M2217,filter(M:M,C:C=C2217))"),433.0)</f>
        <v>433</v>
      </c>
      <c r="S2217" s="161" t="b">
        <f t="shared" si="5"/>
        <v>0</v>
      </c>
      <c r="T2217" s="161" t="b">
        <f t="array" ref="T2217">index('Query Tool'!B:B,match(H2217,'Query Tool'!C:C,0))</f>
        <v>1</v>
      </c>
      <c r="U2217" s="161" t="b">
        <f t="array" ref="U2217">index('Query Tool'!B:B,match(C2217,'Query Tool'!C:C,0))</f>
        <v>0</v>
      </c>
      <c r="V2217" s="161" t="b">
        <f>F2217&gt;='Query Tool'!C$32</f>
        <v>0</v>
      </c>
      <c r="W2217" s="161" t="b">
        <f t="array" ref="W2217">index(Dropdowns!B:B,match(I2217,Dropdowns!A:A,0))</f>
        <v>1</v>
      </c>
      <c r="X2217" s="161" t="b">
        <f t="array" ref="X2217">index('Query Tool'!B:B,match(D2217,'Query Tool'!C:C,0))</f>
        <v>1</v>
      </c>
      <c r="Y2217" s="161" t="str">
        <f t="shared" si="6"/>
        <v>youngja01,2017-18</v>
      </c>
      <c r="Z2217" s="168" t="str">
        <f t="array" ref="Z2217">iferror(index(I:I,match($A2217&amp;","&amp;index('Year Conversion'!$A:$A,match($C2217,'Year Conversion'!$B:$B,0)),$Y:$Y,0))-I2217,"")</f>
        <v/>
      </c>
      <c r="AA2217" s="168" t="str">
        <f t="array" ref="AA2217">iferror(index(J:J,match($A2217&amp;","&amp;index('Year Conversion'!$A:$A,match($C2217,'Year Conversion'!$B:$B,0)),$Y:$Y,0))-J2217,"")</f>
        <v/>
      </c>
      <c r="AB2217" s="168" t="str">
        <f t="array" ref="AB2217">iferror(index(K:K,match($A2217&amp;","&amp;index('Year Conversion'!$A:$A,match($C2217,'Year Conversion'!$B:$B,0)),$Y:$Y,0))-K2217,"")</f>
        <v/>
      </c>
      <c r="AC2217" s="168" t="str">
        <f t="shared" si="7"/>
        <v>PHI,2017-18</v>
      </c>
    </row>
    <row r="2218">
      <c r="A2218" s="161" t="str">
        <f>IFERROR(__xludf.DUMMYFUNCTION("""COMPUTED_VALUE"""),"grantje01")</f>
        <v>grantje01</v>
      </c>
      <c r="B2218" s="161" t="str">
        <f>IFERROR(__xludf.DUMMYFUNCTION("""COMPUTED_VALUE"""),"Jerami Grant")</f>
        <v>Jerami Grant</v>
      </c>
      <c r="C2218" s="162" t="str">
        <f>IFERROR(__xludf.DUMMYFUNCTION("""COMPUTED_VALUE"""),"2017-18")</f>
        <v>2017-18</v>
      </c>
      <c r="D2218" s="163" t="str">
        <f>IFERROR(__xludf.DUMMYFUNCTION("""COMPUTED_VALUE"""),"OKC")</f>
        <v>OKC</v>
      </c>
      <c r="E2218" s="164" t="str">
        <f>IFERROR(__xludf.DUMMYFUNCTION("""COMPUTED_VALUE"""),"Roll + Cut Big")</f>
        <v>Roll + Cut Big</v>
      </c>
      <c r="F2218" s="164">
        <f>IFERROR(__xludf.DUMMYFUNCTION("""COMPUTED_VALUE"""),1647.11166666667)</f>
        <v>1647.111667</v>
      </c>
      <c r="G2218" s="163">
        <f>IFERROR(__xludf.DUMMYFUNCTION("""COMPUTED_VALUE"""),81.0)</f>
        <v>81</v>
      </c>
      <c r="H2218" s="163" t="str">
        <f>IFERROR(__xludf.DUMMYFUNCTION("""COMPUTED_VALUE"""),"PF")</f>
        <v>PF</v>
      </c>
      <c r="I2218" s="163">
        <f>IFERROR(__xludf.DUMMYFUNCTION("""COMPUTED_VALUE"""),23.0)</f>
        <v>23</v>
      </c>
      <c r="J2218" s="165">
        <f>IFERROR(__xludf.DUMMYFUNCTION("""COMPUTED_VALUE"""),0.242555957356556)</f>
        <v>0.2425559574</v>
      </c>
      <c r="K2218" s="165">
        <f>IFERROR(__xludf.DUMMYFUNCTION("""COMPUTED_VALUE"""),-0.285998186834064)</f>
        <v>-0.2859981868</v>
      </c>
      <c r="L2218" s="165">
        <f>IFERROR(__xludf.DUMMYFUNCTION("""COMPUTED_VALUE"""),0.52855414419062)</f>
        <v>0.5285541442</v>
      </c>
      <c r="M2218" s="166">
        <f t="shared" si="2"/>
        <v>2.808625263</v>
      </c>
      <c r="N2218" s="167">
        <f t="shared" si="3"/>
        <v>20.33471193</v>
      </c>
      <c r="O2218" s="163">
        <f t="shared" ref="O2218:Q2218" si="2222">rank(I2218,I:I)</f>
        <v>2765</v>
      </c>
      <c r="P2218" s="163">
        <f t="shared" si="2222"/>
        <v>1058</v>
      </c>
      <c r="Q2218" s="163">
        <f t="shared" si="2222"/>
        <v>1739</v>
      </c>
      <c r="R2218" s="163">
        <f>IFERROR(__xludf.DUMMYFUNCTION("RANK(M2218,filter(M:M,C:C=C2218))"),115.0)</f>
        <v>115</v>
      </c>
      <c r="S2218" s="161" t="b">
        <f t="shared" si="5"/>
        <v>0</v>
      </c>
      <c r="T2218" s="161" t="b">
        <f t="array" ref="T2218">index('Query Tool'!B:B,match(H2218,'Query Tool'!C:C,0))</f>
        <v>1</v>
      </c>
      <c r="U2218" s="161" t="b">
        <f t="array" ref="U2218">index('Query Tool'!B:B,match(C2218,'Query Tool'!C:C,0))</f>
        <v>0</v>
      </c>
      <c r="V2218" s="161" t="b">
        <f>F2218&gt;='Query Tool'!C$32</f>
        <v>1</v>
      </c>
      <c r="W2218" s="161" t="b">
        <f t="array" ref="W2218">index(Dropdowns!B:B,match(I2218,Dropdowns!A:A,0))</f>
        <v>1</v>
      </c>
      <c r="X2218" s="161" t="b">
        <f t="array" ref="X2218">index('Query Tool'!B:B,match(D2218,'Query Tool'!C:C,0))</f>
        <v>1</v>
      </c>
      <c r="Y2218" s="161" t="str">
        <f t="shared" si="6"/>
        <v>grantje01,2017-18</v>
      </c>
      <c r="Z2218" s="168">
        <f t="array" ref="Z2218">iferror(index(I:I,match($A2218&amp;","&amp;index('Year Conversion'!$A:$A,match($C2218,'Year Conversion'!$B:$B,0)),$Y:$Y,0))-I2218,"")</f>
        <v>1</v>
      </c>
      <c r="AA2218" s="168">
        <f t="array" ref="AA2218">iferror(index(J:J,match($A2218&amp;","&amp;index('Year Conversion'!$A:$A,match($C2218,'Year Conversion'!$B:$B,0)),$Y:$Y,0))-J2218,"")</f>
        <v>-0.1596764833</v>
      </c>
      <c r="AB2218" s="168">
        <f t="array" ref="AB2218">iferror(index(K:K,match($A2218&amp;","&amp;index('Year Conversion'!$A:$A,match($C2218,'Year Conversion'!$B:$B,0)),$Y:$Y,0))-K2218,"")</f>
        <v>-0.968735283</v>
      </c>
      <c r="AC2218" s="168" t="str">
        <f t="shared" si="7"/>
        <v>OKC,2017-18</v>
      </c>
    </row>
    <row r="2219">
      <c r="A2219" s="161" t="str">
        <f>IFERROR(__xludf.DUMMYFUNCTION("""COMPUTED_VALUE"""),"harrijo01")</f>
        <v>harrijo01</v>
      </c>
      <c r="B2219" s="161" t="str">
        <f>IFERROR(__xludf.DUMMYFUNCTION("""COMPUTED_VALUE"""),"Joe Harris")</f>
        <v>Joe Harris</v>
      </c>
      <c r="C2219" s="162" t="str">
        <f>IFERROR(__xludf.DUMMYFUNCTION("""COMPUTED_VALUE"""),"2017-18")</f>
        <v>2017-18</v>
      </c>
      <c r="D2219" s="163" t="str">
        <f>IFERROR(__xludf.DUMMYFUNCTION("""COMPUTED_VALUE"""),"BRK")</f>
        <v>BRK</v>
      </c>
      <c r="E2219" s="164" t="str">
        <f>IFERROR(__xludf.DUMMYFUNCTION("""COMPUTED_VALUE"""),"Movement Shooter")</f>
        <v>Movement Shooter</v>
      </c>
      <c r="F2219" s="164">
        <f>IFERROR(__xludf.DUMMYFUNCTION("""COMPUTED_VALUE"""),1974.59833333333)</f>
        <v>1974.598333</v>
      </c>
      <c r="G2219" s="163">
        <f>IFERROR(__xludf.DUMMYFUNCTION("""COMPUTED_VALUE"""),78.0)</f>
        <v>78</v>
      </c>
      <c r="H2219" s="163" t="str">
        <f>IFERROR(__xludf.DUMMYFUNCTION("""COMPUTED_VALUE"""),"SG")</f>
        <v>SG</v>
      </c>
      <c r="I2219" s="163">
        <f>IFERROR(__xludf.DUMMYFUNCTION("""COMPUTED_VALUE"""),26.0)</f>
        <v>26</v>
      </c>
      <c r="J2219" s="165">
        <f>IFERROR(__xludf.DUMMYFUNCTION("""COMPUTED_VALUE"""),-1.79002450812077)</f>
        <v>-1.790024508</v>
      </c>
      <c r="K2219" s="165">
        <f>IFERROR(__xludf.DUMMYFUNCTION("""COMPUTED_VALUE"""),-0.356431014472773)</f>
        <v>-0.3564310145</v>
      </c>
      <c r="L2219" s="165">
        <f>IFERROR(__xludf.DUMMYFUNCTION("""COMPUTED_VALUE"""),-1.433593493648)</f>
        <v>-1.433593494</v>
      </c>
      <c r="M2219" s="166">
        <f t="shared" si="2"/>
        <v>0.671745859</v>
      </c>
      <c r="N2219" s="167">
        <f t="shared" si="3"/>
        <v>25.31536325</v>
      </c>
      <c r="O2219" s="163">
        <f t="shared" ref="O2219:Q2219" si="2223">rank(I2219,I:I)</f>
        <v>1665</v>
      </c>
      <c r="P2219" s="163">
        <f t="shared" si="2223"/>
        <v>3320</v>
      </c>
      <c r="Q2219" s="163">
        <f t="shared" si="2223"/>
        <v>1868</v>
      </c>
      <c r="R2219" s="163">
        <f>IFERROR(__xludf.DUMMYFUNCTION("RANK(M2219,filter(M:M,C:C=C2219))"),272.0)</f>
        <v>272</v>
      </c>
      <c r="S2219" s="161" t="b">
        <f t="shared" si="5"/>
        <v>0</v>
      </c>
      <c r="T2219" s="161" t="b">
        <f t="array" ref="T2219">index('Query Tool'!B:B,match(H2219,'Query Tool'!C:C,0))</f>
        <v>1</v>
      </c>
      <c r="U2219" s="161" t="b">
        <f t="array" ref="U2219">index('Query Tool'!B:B,match(C2219,'Query Tool'!C:C,0))</f>
        <v>0</v>
      </c>
      <c r="V2219" s="161" t="b">
        <f>F2219&gt;='Query Tool'!C$32</f>
        <v>1</v>
      </c>
      <c r="W2219" s="161" t="b">
        <f t="array" ref="W2219">index(Dropdowns!B:B,match(I2219,Dropdowns!A:A,0))</f>
        <v>1</v>
      </c>
      <c r="X2219" s="161" t="b">
        <f t="array" ref="X2219">index('Query Tool'!B:B,match(D2219,'Query Tool'!C:C,0))</f>
        <v>1</v>
      </c>
      <c r="Y2219" s="161" t="str">
        <f t="shared" si="6"/>
        <v>harrijo01,2017-18</v>
      </c>
      <c r="Z2219" s="168">
        <f t="array" ref="Z2219">iferror(index(I:I,match($A2219&amp;","&amp;index('Year Conversion'!$A:$A,match($C2219,'Year Conversion'!$B:$B,0)),$Y:$Y,0))-I2219,"")</f>
        <v>1</v>
      </c>
      <c r="AA2219" s="168">
        <f t="array" ref="AA2219">iferror(index(J:J,match($A2219&amp;","&amp;index('Year Conversion'!$A:$A,match($C2219,'Year Conversion'!$B:$B,0)),$Y:$Y,0))-J2219,"")</f>
        <v>0.969537208</v>
      </c>
      <c r="AB2219" s="168">
        <f t="array" ref="AB2219">iferror(index(K:K,match($A2219&amp;","&amp;index('Year Conversion'!$A:$A,match($C2219,'Year Conversion'!$B:$B,0)),$Y:$Y,0))-K2219,"")</f>
        <v>0.3849172043</v>
      </c>
      <c r="AC2219" s="168" t="str">
        <f t="shared" si="7"/>
        <v>BRK,2017-18</v>
      </c>
    </row>
    <row r="2220">
      <c r="A2220" s="161" t="str">
        <f>IFERROR(__xludf.DUMMYFUNCTION("""COMPUTED_VALUE"""),"mcderdo01")</f>
        <v>mcderdo01</v>
      </c>
      <c r="B2220" s="161" t="str">
        <f>IFERROR(__xludf.DUMMYFUNCTION("""COMPUTED_VALUE"""),"Doug McDermott")</f>
        <v>Doug McDermott</v>
      </c>
      <c r="C2220" s="162" t="str">
        <f>IFERROR(__xludf.DUMMYFUNCTION("""COMPUTED_VALUE"""),"2017-18")</f>
        <v>2017-18</v>
      </c>
      <c r="D2220" s="163" t="str">
        <f>IFERROR(__xludf.DUMMYFUNCTION("""COMPUTED_VALUE"""),"TOT")</f>
        <v>TOT</v>
      </c>
      <c r="E2220" s="164" t="str">
        <f>IFERROR(__xludf.DUMMYFUNCTION("""COMPUTED_VALUE"""),"Off Screen Shooter")</f>
        <v>Off Screen Shooter</v>
      </c>
      <c r="F2220" s="164">
        <f>IFERROR(__xludf.DUMMYFUNCTION("""COMPUTED_VALUE"""),1768.00166666667)</f>
        <v>1768.001667</v>
      </c>
      <c r="G2220" s="163">
        <f>IFERROR(__xludf.DUMMYFUNCTION("""COMPUTED_VALUE"""),81.0)</f>
        <v>81</v>
      </c>
      <c r="H2220" s="163" t="str">
        <f>IFERROR(__xludf.DUMMYFUNCTION("""COMPUTED_VALUE"""),"SF")</f>
        <v>SF</v>
      </c>
      <c r="I2220" s="163">
        <f>IFERROR(__xludf.DUMMYFUNCTION("""COMPUTED_VALUE"""),26.0)</f>
        <v>26</v>
      </c>
      <c r="J2220" s="165">
        <f>IFERROR(__xludf.DUMMYFUNCTION("""COMPUTED_VALUE"""),-2.18055603864756)</f>
        <v>-2.180556039</v>
      </c>
      <c r="K2220" s="165">
        <f>IFERROR(__xludf.DUMMYFUNCTION("""COMPUTED_VALUE"""),-0.958302949972103)</f>
        <v>-0.95830295</v>
      </c>
      <c r="L2220" s="165">
        <f>IFERROR(__xludf.DUMMYFUNCTION("""COMPUTED_VALUE"""),-1.22225308867546)</f>
        <v>-1.222253089</v>
      </c>
      <c r="M2220" s="166">
        <f t="shared" si="2"/>
        <v>0.1435481836</v>
      </c>
      <c r="N2220" s="167">
        <f t="shared" si="3"/>
        <v>21.82718107</v>
      </c>
      <c r="O2220" s="163">
        <f t="shared" ref="O2220:Q2220" si="2224">rank(I2220,I:I)</f>
        <v>1665</v>
      </c>
      <c r="P2220" s="163">
        <f t="shared" si="2224"/>
        <v>3599</v>
      </c>
      <c r="Q2220" s="163">
        <f t="shared" si="2224"/>
        <v>2756</v>
      </c>
      <c r="R2220" s="163">
        <f>IFERROR(__xludf.DUMMYFUNCTION("RANK(M2220,filter(M:M,C:C=C2220))"),365.0)</f>
        <v>365</v>
      </c>
      <c r="S2220" s="161" t="b">
        <f t="shared" si="5"/>
        <v>0</v>
      </c>
      <c r="T2220" s="161" t="b">
        <f t="array" ref="T2220">index('Query Tool'!B:B,match(H2220,'Query Tool'!C:C,0))</f>
        <v>1</v>
      </c>
      <c r="U2220" s="161" t="b">
        <f t="array" ref="U2220">index('Query Tool'!B:B,match(C2220,'Query Tool'!C:C,0))</f>
        <v>0</v>
      </c>
      <c r="V2220" s="161" t="b">
        <f>F2220&gt;='Query Tool'!C$32</f>
        <v>1</v>
      </c>
      <c r="W2220" s="161" t="b">
        <f t="array" ref="W2220">index(Dropdowns!B:B,match(I2220,Dropdowns!A:A,0))</f>
        <v>1</v>
      </c>
      <c r="X2220" s="161" t="b">
        <f t="array" ref="X2220">index('Query Tool'!B:B,match(D2220,'Query Tool'!C:C,0))</f>
        <v>1</v>
      </c>
      <c r="Y2220" s="161" t="str">
        <f t="shared" si="6"/>
        <v>mcderdo01,2017-18</v>
      </c>
      <c r="Z2220" s="168">
        <f t="array" ref="Z2220">iferror(index(I:I,match($A2220&amp;","&amp;index('Year Conversion'!$A:$A,match($C2220,'Year Conversion'!$B:$B,0)),$Y:$Y,0))-I2220,"")</f>
        <v>1</v>
      </c>
      <c r="AA2220" s="168">
        <f t="array" ref="AA2220">iferror(index(J:J,match($A2220&amp;","&amp;index('Year Conversion'!$A:$A,match($C2220,'Year Conversion'!$B:$B,0)),$Y:$Y,0))-J2220,"")</f>
        <v>0.3974438211</v>
      </c>
      <c r="AB2220" s="168">
        <f t="array" ref="AB2220">iferror(index(K:K,match($A2220&amp;","&amp;index('Year Conversion'!$A:$A,match($C2220,'Year Conversion'!$B:$B,0)),$Y:$Y,0))-K2220,"")</f>
        <v>0.4155498468</v>
      </c>
      <c r="AC2220" s="168" t="str">
        <f t="shared" si="7"/>
        <v>TOT,2017-18</v>
      </c>
    </row>
    <row r="2221">
      <c r="A2221" s="161" t="str">
        <f>IFERROR(__xludf.DUMMYFUNCTION("""COMPUTED_VALUE"""),"kilpase01")</f>
        <v>kilpase01</v>
      </c>
      <c r="B2221" s="161" t="str">
        <f>IFERROR(__xludf.DUMMYFUNCTION("""COMPUTED_VALUE"""),"Sean Kilpatrick")</f>
        <v>Sean Kilpatrick</v>
      </c>
      <c r="C2221" s="162" t="str">
        <f>IFERROR(__xludf.DUMMYFUNCTION("""COMPUTED_VALUE"""),"2017-18")</f>
        <v>2017-18</v>
      </c>
      <c r="D2221" s="163" t="str">
        <f>IFERROR(__xludf.DUMMYFUNCTION("""COMPUTED_VALUE"""),"TOT")</f>
        <v>TOT</v>
      </c>
      <c r="E2221" s="164" t="str">
        <f>IFERROR(__xludf.DUMMYFUNCTION("""COMPUTED_VALUE"""),"Secondary Ball Handler")</f>
        <v>Secondary Ball Handler</v>
      </c>
      <c r="F2221" s="164">
        <f>IFERROR(__xludf.DUMMYFUNCTION("""COMPUTED_VALUE"""),640.055)</f>
        <v>640.055</v>
      </c>
      <c r="G2221" s="163">
        <f>IFERROR(__xludf.DUMMYFUNCTION("""COMPUTED_VALUE"""),52.0)</f>
        <v>52</v>
      </c>
      <c r="H2221" s="163" t="str">
        <f>IFERROR(__xludf.DUMMYFUNCTION("""COMPUTED_VALUE"""),"SG")</f>
        <v>SG</v>
      </c>
      <c r="I2221" s="163">
        <f>IFERROR(__xludf.DUMMYFUNCTION("""COMPUTED_VALUE"""),28.0)</f>
        <v>28</v>
      </c>
      <c r="J2221" s="165">
        <f>IFERROR(__xludf.DUMMYFUNCTION("""COMPUTED_VALUE"""),-1.12087560120553)</f>
        <v>-1.120875601</v>
      </c>
      <c r="K2221" s="165">
        <f>IFERROR(__xludf.DUMMYFUNCTION("""COMPUTED_VALUE"""),-0.12896766842153)</f>
        <v>-0.1289676684</v>
      </c>
      <c r="L2221" s="165">
        <f>IFERROR(__xludf.DUMMYFUNCTION("""COMPUTED_VALUE"""),-0.991907932783995)</f>
        <v>-0.9919079328</v>
      </c>
      <c r="M2221" s="166">
        <f t="shared" si="2"/>
        <v>0.5039152402</v>
      </c>
      <c r="N2221" s="167">
        <f t="shared" si="3"/>
        <v>12.30875</v>
      </c>
      <c r="O2221" s="163">
        <f t="shared" ref="O2221:Q2221" si="2225">rank(I2221,I:I)</f>
        <v>1090</v>
      </c>
      <c r="P2221" s="163">
        <f t="shared" si="2225"/>
        <v>2647</v>
      </c>
      <c r="Q2221" s="163">
        <f t="shared" si="2225"/>
        <v>1435</v>
      </c>
      <c r="R2221" s="163">
        <f>IFERROR(__xludf.DUMMYFUNCTION("RANK(M2221,filter(M:M,C:C=C2221))"),292.0)</f>
        <v>292</v>
      </c>
      <c r="S2221" s="161" t="b">
        <f t="shared" si="5"/>
        <v>0</v>
      </c>
      <c r="T2221" s="161" t="b">
        <f t="array" ref="T2221">index('Query Tool'!B:B,match(H2221,'Query Tool'!C:C,0))</f>
        <v>1</v>
      </c>
      <c r="U2221" s="161" t="b">
        <f t="array" ref="U2221">index('Query Tool'!B:B,match(C2221,'Query Tool'!C:C,0))</f>
        <v>0</v>
      </c>
      <c r="V2221" s="161" t="b">
        <f>F2221&gt;='Query Tool'!C$32</f>
        <v>1</v>
      </c>
      <c r="W2221" s="161" t="b">
        <f t="array" ref="W2221">index(Dropdowns!B:B,match(I2221,Dropdowns!A:A,0))</f>
        <v>1</v>
      </c>
      <c r="X2221" s="161" t="b">
        <f t="array" ref="X2221">index('Query Tool'!B:B,match(D2221,'Query Tool'!C:C,0))</f>
        <v>1</v>
      </c>
      <c r="Y2221" s="161" t="str">
        <f t="shared" si="6"/>
        <v>kilpase01,2017-18</v>
      </c>
      <c r="Z2221" s="168" t="str">
        <f t="array" ref="Z2221">iferror(index(I:I,match($A2221&amp;","&amp;index('Year Conversion'!$A:$A,match($C2221,'Year Conversion'!$B:$B,0)),$Y:$Y,0))-I2221,"")</f>
        <v/>
      </c>
      <c r="AA2221" s="168" t="str">
        <f t="array" ref="AA2221">iferror(index(J:J,match($A2221&amp;","&amp;index('Year Conversion'!$A:$A,match($C2221,'Year Conversion'!$B:$B,0)),$Y:$Y,0))-J2221,"")</f>
        <v/>
      </c>
      <c r="AB2221" s="168" t="str">
        <f t="array" ref="AB2221">iferror(index(K:K,match($A2221&amp;","&amp;index('Year Conversion'!$A:$A,match($C2221,'Year Conversion'!$B:$B,0)),$Y:$Y,0))-K2221,"")</f>
        <v/>
      </c>
      <c r="AC2221" s="168" t="str">
        <f t="shared" si="7"/>
        <v>TOT,2017-18</v>
      </c>
    </row>
    <row r="2222">
      <c r="A2222" s="161" t="str">
        <f>IFERROR(__xludf.DUMMYFUNCTION("""COMPUTED_VALUE"""),"gordoaa01")</f>
        <v>gordoaa01</v>
      </c>
      <c r="B2222" s="161" t="str">
        <f>IFERROR(__xludf.DUMMYFUNCTION("""COMPUTED_VALUE"""),"Aaron Gordon")</f>
        <v>Aaron Gordon</v>
      </c>
      <c r="C2222" s="162" t="str">
        <f>IFERROR(__xludf.DUMMYFUNCTION("""COMPUTED_VALUE"""),"2017-18")</f>
        <v>2017-18</v>
      </c>
      <c r="D2222" s="163" t="str">
        <f>IFERROR(__xludf.DUMMYFUNCTION("""COMPUTED_VALUE"""),"ORL")</f>
        <v>ORL</v>
      </c>
      <c r="E2222" s="164" t="str">
        <f>IFERROR(__xludf.DUMMYFUNCTION("""COMPUTED_VALUE"""),"Shot Creator")</f>
        <v>Shot Creator</v>
      </c>
      <c r="F2222" s="164">
        <f>IFERROR(__xludf.DUMMYFUNCTION("""COMPUTED_VALUE"""),1909.07833333333)</f>
        <v>1909.078333</v>
      </c>
      <c r="G2222" s="163">
        <f>IFERROR(__xludf.DUMMYFUNCTION("""COMPUTED_VALUE"""),58.0)</f>
        <v>58</v>
      </c>
      <c r="H2222" s="163" t="str">
        <f>IFERROR(__xludf.DUMMYFUNCTION("""COMPUTED_VALUE"""),"PF")</f>
        <v>PF</v>
      </c>
      <c r="I2222" s="163">
        <f>IFERROR(__xludf.DUMMYFUNCTION("""COMPUTED_VALUE"""),22.0)</f>
        <v>22</v>
      </c>
      <c r="J2222" s="165">
        <f>IFERROR(__xludf.DUMMYFUNCTION("""COMPUTED_VALUE"""),0.934340977416213)</f>
        <v>0.9343409774</v>
      </c>
      <c r="K2222" s="165">
        <f>IFERROR(__xludf.DUMMYFUNCTION("""COMPUTED_VALUE"""),0.77321968959198)</f>
        <v>0.7732196896</v>
      </c>
      <c r="L2222" s="165">
        <f>IFERROR(__xludf.DUMMYFUNCTION("""COMPUTED_VALUE"""),0.161121287824233)</f>
        <v>0.1611212878</v>
      </c>
      <c r="M2222" s="166">
        <f t="shared" si="2"/>
        <v>4.14427881</v>
      </c>
      <c r="N2222" s="167">
        <f t="shared" si="3"/>
        <v>32.91514368</v>
      </c>
      <c r="O2222" s="163">
        <f t="shared" ref="O2222:Q2222" si="2226">rank(I2222,I:I)</f>
        <v>3178</v>
      </c>
      <c r="P2222" s="163">
        <f t="shared" si="2226"/>
        <v>684</v>
      </c>
      <c r="Q2222" s="163">
        <f t="shared" si="2226"/>
        <v>610</v>
      </c>
      <c r="R2222" s="163">
        <f>IFERROR(__xludf.DUMMYFUNCTION("RANK(M2222,filter(M:M,C:C=C2222))"),82.0)</f>
        <v>82</v>
      </c>
      <c r="S2222" s="161" t="b">
        <f t="shared" si="5"/>
        <v>0</v>
      </c>
      <c r="T2222" s="161" t="b">
        <f t="array" ref="T2222">index('Query Tool'!B:B,match(H2222,'Query Tool'!C:C,0))</f>
        <v>1</v>
      </c>
      <c r="U2222" s="161" t="b">
        <f t="array" ref="U2222">index('Query Tool'!B:B,match(C2222,'Query Tool'!C:C,0))</f>
        <v>0</v>
      </c>
      <c r="V2222" s="161" t="b">
        <f>F2222&gt;='Query Tool'!C$32</f>
        <v>1</v>
      </c>
      <c r="W2222" s="161" t="b">
        <f t="array" ref="W2222">index(Dropdowns!B:B,match(I2222,Dropdowns!A:A,0))</f>
        <v>1</v>
      </c>
      <c r="X2222" s="161" t="b">
        <f t="array" ref="X2222">index('Query Tool'!B:B,match(D2222,'Query Tool'!C:C,0))</f>
        <v>1</v>
      </c>
      <c r="Y2222" s="161" t="str">
        <f t="shared" si="6"/>
        <v>gordoaa01,2017-18</v>
      </c>
      <c r="Z2222" s="168">
        <f t="array" ref="Z2222">iferror(index(I:I,match($A2222&amp;","&amp;index('Year Conversion'!$A:$A,match($C2222,'Year Conversion'!$B:$B,0)),$Y:$Y,0))-I2222,"")</f>
        <v>1</v>
      </c>
      <c r="AA2222" s="168">
        <f t="array" ref="AA2222">iferror(index(J:J,match($A2222&amp;","&amp;index('Year Conversion'!$A:$A,match($C2222,'Year Conversion'!$B:$B,0)),$Y:$Y,0))-J2222,"")</f>
        <v>0.05608121288</v>
      </c>
      <c r="AB2222" s="168">
        <f t="array" ref="AB2222">iferror(index(K:K,match($A2222&amp;","&amp;index('Year Conversion'!$A:$A,match($C2222,'Year Conversion'!$B:$B,0)),$Y:$Y,0))-K2222,"")</f>
        <v>-0.8072887616</v>
      </c>
      <c r="AC2222" s="168" t="str">
        <f t="shared" si="7"/>
        <v>ORL,2017-18</v>
      </c>
    </row>
    <row r="2223">
      <c r="A2223" s="161" t="str">
        <f>IFERROR(__xludf.DUMMYFUNCTION("""COMPUTED_VALUE"""),"warretj01")</f>
        <v>warretj01</v>
      </c>
      <c r="B2223" s="161" t="str">
        <f>IFERROR(__xludf.DUMMYFUNCTION("""COMPUTED_VALUE"""),"T.J. Warren")</f>
        <v>T.J. Warren</v>
      </c>
      <c r="C2223" s="162" t="str">
        <f>IFERROR(__xludf.DUMMYFUNCTION("""COMPUTED_VALUE"""),"2017-18")</f>
        <v>2017-18</v>
      </c>
      <c r="D2223" s="163" t="str">
        <f>IFERROR(__xludf.DUMMYFUNCTION("""COMPUTED_VALUE"""),"PHO")</f>
        <v>PHO</v>
      </c>
      <c r="E2223" s="164" t="str">
        <f>IFERROR(__xludf.DUMMYFUNCTION("""COMPUTED_VALUE"""),"Athletic Finisher")</f>
        <v>Athletic Finisher</v>
      </c>
      <c r="F2223" s="164">
        <f>IFERROR(__xludf.DUMMYFUNCTION("""COMPUTED_VALUE"""),2141.76666666667)</f>
        <v>2141.766667</v>
      </c>
      <c r="G2223" s="163">
        <f>IFERROR(__xludf.DUMMYFUNCTION("""COMPUTED_VALUE"""),65.0)</f>
        <v>65</v>
      </c>
      <c r="H2223" s="163" t="str">
        <f>IFERROR(__xludf.DUMMYFUNCTION("""COMPUTED_VALUE"""),"SF")</f>
        <v>SF</v>
      </c>
      <c r="I2223" s="163">
        <f>IFERROR(__xludf.DUMMYFUNCTION("""COMPUTED_VALUE"""),24.0)</f>
        <v>24</v>
      </c>
      <c r="J2223" s="165">
        <f>IFERROR(__xludf.DUMMYFUNCTION("""COMPUTED_VALUE"""),-1.2357625547003)</f>
        <v>-1.235762555</v>
      </c>
      <c r="K2223" s="165">
        <f>IFERROR(__xludf.DUMMYFUNCTION("""COMPUTED_VALUE"""),0.335342731087251)</f>
        <v>0.3353427311</v>
      </c>
      <c r="L2223" s="165">
        <f>IFERROR(__xludf.DUMMYFUNCTION("""COMPUTED_VALUE"""),-1.57110528578755)</f>
        <v>-1.571105286</v>
      </c>
      <c r="M2223" s="166">
        <f t="shared" si="2"/>
        <v>1.52127781</v>
      </c>
      <c r="N2223" s="167">
        <f t="shared" si="3"/>
        <v>32.95025641</v>
      </c>
      <c r="O2223" s="163">
        <f t="shared" ref="O2223:Q2223" si="2227">rank(I2223,I:I)</f>
        <v>2361</v>
      </c>
      <c r="P2223" s="163">
        <f t="shared" si="2227"/>
        <v>2794</v>
      </c>
      <c r="Q2223" s="163">
        <f t="shared" si="2227"/>
        <v>877</v>
      </c>
      <c r="R2223" s="163">
        <f>IFERROR(__xludf.DUMMYFUNCTION("RANK(M2223,filter(M:M,C:C=C2223))"),189.0)</f>
        <v>189</v>
      </c>
      <c r="S2223" s="161" t="b">
        <f t="shared" si="5"/>
        <v>0</v>
      </c>
      <c r="T2223" s="161" t="b">
        <f t="array" ref="T2223">index('Query Tool'!B:B,match(H2223,'Query Tool'!C:C,0))</f>
        <v>1</v>
      </c>
      <c r="U2223" s="161" t="b">
        <f t="array" ref="U2223">index('Query Tool'!B:B,match(C2223,'Query Tool'!C:C,0))</f>
        <v>0</v>
      </c>
      <c r="V2223" s="161" t="b">
        <f>F2223&gt;='Query Tool'!C$32</f>
        <v>1</v>
      </c>
      <c r="W2223" s="161" t="b">
        <f t="array" ref="W2223">index(Dropdowns!B:B,match(I2223,Dropdowns!A:A,0))</f>
        <v>1</v>
      </c>
      <c r="X2223" s="161" t="b">
        <f t="array" ref="X2223">index('Query Tool'!B:B,match(D2223,'Query Tool'!C:C,0))</f>
        <v>1</v>
      </c>
      <c r="Y2223" s="161" t="str">
        <f t="shared" si="6"/>
        <v>warretj01,2017-18</v>
      </c>
      <c r="Z2223" s="168">
        <f t="array" ref="Z2223">iferror(index(I:I,match($A2223&amp;","&amp;index('Year Conversion'!$A:$A,match($C2223,'Year Conversion'!$B:$B,0)),$Y:$Y,0))-I2223,"")</f>
        <v>1</v>
      </c>
      <c r="AA2223" s="168">
        <f t="array" ref="AA2223">iferror(index(J:J,match($A2223&amp;","&amp;index('Year Conversion'!$A:$A,match($C2223,'Year Conversion'!$B:$B,0)),$Y:$Y,0))-J2223,"")</f>
        <v>0.6896005662</v>
      </c>
      <c r="AB2223" s="168">
        <f t="array" ref="AB2223">iferror(index(K:K,match($A2223&amp;","&amp;index('Year Conversion'!$A:$A,match($C2223,'Year Conversion'!$B:$B,0)),$Y:$Y,0))-K2223,"")</f>
        <v>-0.5515934696</v>
      </c>
      <c r="AC2223" s="168" t="str">
        <f t="shared" si="7"/>
        <v>PHO,2017-18</v>
      </c>
    </row>
    <row r="2224">
      <c r="A2224" s="161" t="str">
        <f>IFERROR(__xludf.DUMMYFUNCTION("""COMPUTED_VALUE"""),"smartma01")</f>
        <v>smartma01</v>
      </c>
      <c r="B2224" s="161" t="str">
        <f>IFERROR(__xludf.DUMMYFUNCTION("""COMPUTED_VALUE"""),"Marcus Smart")</f>
        <v>Marcus Smart</v>
      </c>
      <c r="C2224" s="162" t="str">
        <f>IFERROR(__xludf.DUMMYFUNCTION("""COMPUTED_VALUE"""),"2017-18")</f>
        <v>2017-18</v>
      </c>
      <c r="D2224" s="163" t="str">
        <f>IFERROR(__xludf.DUMMYFUNCTION("""COMPUTED_VALUE"""),"BOS")</f>
        <v>BOS</v>
      </c>
      <c r="E2224" s="164" t="str">
        <f>IFERROR(__xludf.DUMMYFUNCTION("""COMPUTED_VALUE"""),"Shot Creator")</f>
        <v>Shot Creator</v>
      </c>
      <c r="F2224" s="164">
        <f>IFERROR(__xludf.DUMMYFUNCTION("""COMPUTED_VALUE"""),1613.58833333333)</f>
        <v>1613.588333</v>
      </c>
      <c r="G2224" s="163">
        <f>IFERROR(__xludf.DUMMYFUNCTION("""COMPUTED_VALUE"""),54.0)</f>
        <v>54</v>
      </c>
      <c r="H2224" s="163" t="str">
        <f>IFERROR(__xludf.DUMMYFUNCTION("""COMPUTED_VALUE"""),"SG")</f>
        <v>SG</v>
      </c>
      <c r="I2224" s="163">
        <f>IFERROR(__xludf.DUMMYFUNCTION("""COMPUTED_VALUE"""),23.0)</f>
        <v>23</v>
      </c>
      <c r="J2224" s="165">
        <f>IFERROR(__xludf.DUMMYFUNCTION("""COMPUTED_VALUE"""),0.654942374922532)</f>
        <v>0.6549423749</v>
      </c>
      <c r="K2224" s="165">
        <f>IFERROR(__xludf.DUMMYFUNCTION("""COMPUTED_VALUE"""),-0.0169243207417853)</f>
        <v>-0.01692432074</v>
      </c>
      <c r="L2224" s="165">
        <f>IFERROR(__xludf.DUMMYFUNCTION("""COMPUTED_VALUE"""),0.671866695664318)</f>
        <v>0.6718666957</v>
      </c>
      <c r="M2224" s="166">
        <f t="shared" si="2"/>
        <v>3.199679856</v>
      </c>
      <c r="N2224" s="167">
        <f t="shared" si="3"/>
        <v>29.88126543</v>
      </c>
      <c r="O2224" s="163">
        <f t="shared" ref="O2224:Q2224" si="2228">rank(I2224,I:I)</f>
        <v>2765</v>
      </c>
      <c r="P2224" s="163">
        <f t="shared" si="2228"/>
        <v>820</v>
      </c>
      <c r="Q2224" s="163">
        <f t="shared" si="2228"/>
        <v>1224</v>
      </c>
      <c r="R2224" s="163">
        <f>IFERROR(__xludf.DUMMYFUNCTION("RANK(M2224,filter(M:M,C:C=C2224))"),105.0)</f>
        <v>105</v>
      </c>
      <c r="S2224" s="161" t="b">
        <f t="shared" si="5"/>
        <v>0</v>
      </c>
      <c r="T2224" s="161" t="b">
        <f t="array" ref="T2224">index('Query Tool'!B:B,match(H2224,'Query Tool'!C:C,0))</f>
        <v>1</v>
      </c>
      <c r="U2224" s="161" t="b">
        <f t="array" ref="U2224">index('Query Tool'!B:B,match(C2224,'Query Tool'!C:C,0))</f>
        <v>0</v>
      </c>
      <c r="V2224" s="161" t="b">
        <f>F2224&gt;='Query Tool'!C$32</f>
        <v>1</v>
      </c>
      <c r="W2224" s="161" t="b">
        <f t="array" ref="W2224">index(Dropdowns!B:B,match(I2224,Dropdowns!A:A,0))</f>
        <v>1</v>
      </c>
      <c r="X2224" s="161" t="b">
        <f t="array" ref="X2224">index('Query Tool'!B:B,match(D2224,'Query Tool'!C:C,0))</f>
        <v>1</v>
      </c>
      <c r="Y2224" s="161" t="str">
        <f t="shared" si="6"/>
        <v>smartma01,2017-18</v>
      </c>
      <c r="Z2224" s="168">
        <f t="array" ref="Z2224">iferror(index(I:I,match($A2224&amp;","&amp;index('Year Conversion'!$A:$A,match($C2224,'Year Conversion'!$B:$B,0)),$Y:$Y,0))-I2224,"")</f>
        <v>1</v>
      </c>
      <c r="AA2224" s="168">
        <f t="array" ref="AA2224">iferror(index(J:J,match($A2224&amp;","&amp;index('Year Conversion'!$A:$A,match($C2224,'Year Conversion'!$B:$B,0)),$Y:$Y,0))-J2224,"")</f>
        <v>-0.1321124074</v>
      </c>
      <c r="AB2224" s="168">
        <f t="array" ref="AB2224">iferror(index(K:K,match($A2224&amp;","&amp;index('Year Conversion'!$A:$A,match($C2224,'Year Conversion'!$B:$B,0)),$Y:$Y,0))-K2224,"")</f>
        <v>-0.515786474</v>
      </c>
      <c r="AC2224" s="168" t="str">
        <f t="shared" si="7"/>
        <v>BOS,2017-18</v>
      </c>
    </row>
    <row r="2225">
      <c r="A2225" s="161" t="str">
        <f>IFERROR(__xludf.DUMMYFUNCTION("""COMPUTED_VALUE"""),"anderky01")</f>
        <v>anderky01</v>
      </c>
      <c r="B2225" s="161" t="str">
        <f>IFERROR(__xludf.DUMMYFUNCTION("""COMPUTED_VALUE"""),"Kyle Anderson")</f>
        <v>Kyle Anderson</v>
      </c>
      <c r="C2225" s="162" t="str">
        <f>IFERROR(__xludf.DUMMYFUNCTION("""COMPUTED_VALUE"""),"2017-18")</f>
        <v>2017-18</v>
      </c>
      <c r="D2225" s="163" t="str">
        <f>IFERROR(__xludf.DUMMYFUNCTION("""COMPUTED_VALUE"""),"SAS")</f>
        <v>SAS</v>
      </c>
      <c r="E2225" s="164" t="str">
        <f>IFERROR(__xludf.DUMMYFUNCTION("""COMPUTED_VALUE"""),"Athletic Finisher")</f>
        <v>Athletic Finisher</v>
      </c>
      <c r="F2225" s="164">
        <f>IFERROR(__xludf.DUMMYFUNCTION("""COMPUTED_VALUE"""),1978.39)</f>
        <v>1978.39</v>
      </c>
      <c r="G2225" s="163">
        <f>IFERROR(__xludf.DUMMYFUNCTION("""COMPUTED_VALUE"""),74.0)</f>
        <v>74</v>
      </c>
      <c r="H2225" s="163" t="str">
        <f>IFERROR(__xludf.DUMMYFUNCTION("""COMPUTED_VALUE"""),"SF")</f>
        <v>SF</v>
      </c>
      <c r="I2225" s="163">
        <f>IFERROR(__xludf.DUMMYFUNCTION("""COMPUTED_VALUE"""),24.0)</f>
        <v>24</v>
      </c>
      <c r="J2225" s="165">
        <f>IFERROR(__xludf.DUMMYFUNCTION("""COMPUTED_VALUE"""),1.41438641399691)</f>
        <v>1.414386414</v>
      </c>
      <c r="K2225" s="165">
        <f>IFERROR(__xludf.DUMMYFUNCTION("""COMPUTED_VALUE"""),-0.957809759813252)</f>
        <v>-0.9578097598</v>
      </c>
      <c r="L2225" s="165">
        <f>IFERROR(__xludf.DUMMYFUNCTION("""COMPUTED_VALUE"""),2.37219617381016)</f>
        <v>2.372196174</v>
      </c>
      <c r="M2225" s="166">
        <f t="shared" si="2"/>
        <v>4.931315875</v>
      </c>
      <c r="N2225" s="167">
        <f t="shared" si="3"/>
        <v>26.735</v>
      </c>
      <c r="O2225" s="163">
        <f t="shared" ref="O2225:Q2225" si="2229">rank(I2225,I:I)</f>
        <v>2361</v>
      </c>
      <c r="P2225" s="163">
        <f t="shared" si="2229"/>
        <v>488</v>
      </c>
      <c r="Q2225" s="163">
        <f t="shared" si="2229"/>
        <v>2755</v>
      </c>
      <c r="R2225" s="163">
        <f>IFERROR(__xludf.DUMMYFUNCTION("RANK(M2225,filter(M:M,C:C=C2225))"),57.0)</f>
        <v>57</v>
      </c>
      <c r="S2225" s="161" t="b">
        <f t="shared" si="5"/>
        <v>0</v>
      </c>
      <c r="T2225" s="161" t="b">
        <f t="array" ref="T2225">index('Query Tool'!B:B,match(H2225,'Query Tool'!C:C,0))</f>
        <v>1</v>
      </c>
      <c r="U2225" s="161" t="b">
        <f t="array" ref="U2225">index('Query Tool'!B:B,match(C2225,'Query Tool'!C:C,0))</f>
        <v>0</v>
      </c>
      <c r="V2225" s="161" t="b">
        <f>F2225&gt;='Query Tool'!C$32</f>
        <v>1</v>
      </c>
      <c r="W2225" s="161" t="b">
        <f t="array" ref="W2225">index(Dropdowns!B:B,match(I2225,Dropdowns!A:A,0))</f>
        <v>1</v>
      </c>
      <c r="X2225" s="161" t="b">
        <f t="array" ref="X2225">index('Query Tool'!B:B,match(D2225,'Query Tool'!C:C,0))</f>
        <v>1</v>
      </c>
      <c r="Y2225" s="161" t="str">
        <f t="shared" si="6"/>
        <v>anderky01,2017-18</v>
      </c>
      <c r="Z2225" s="168">
        <f t="array" ref="Z2225">iferror(index(I:I,match($A2225&amp;","&amp;index('Year Conversion'!$A:$A,match($C2225,'Year Conversion'!$B:$B,0)),$Y:$Y,0))-I2225,"")</f>
        <v>1</v>
      </c>
      <c r="AA2225" s="168">
        <f t="array" ref="AA2225">iferror(index(J:J,match($A2225&amp;","&amp;index('Year Conversion'!$A:$A,match($C2225,'Year Conversion'!$B:$B,0)),$Y:$Y,0))-J2225,"")</f>
        <v>-2.07729942</v>
      </c>
      <c r="AB2225" s="168">
        <f t="array" ref="AB2225">iferror(index(K:K,match($A2225&amp;","&amp;index('Year Conversion'!$A:$A,match($C2225,'Year Conversion'!$B:$B,0)),$Y:$Y,0))-K2225,"")</f>
        <v>-1.404764199</v>
      </c>
      <c r="AC2225" s="168" t="str">
        <f t="shared" si="7"/>
        <v>SAS,2017-18</v>
      </c>
    </row>
    <row r="2226">
      <c r="A2226" s="161" t="str">
        <f>IFERROR(__xludf.DUMMYFUNCTION("""COMPUTED_VALUE"""),"poweldw01")</f>
        <v>poweldw01</v>
      </c>
      <c r="B2226" s="161" t="str">
        <f>IFERROR(__xludf.DUMMYFUNCTION("""COMPUTED_VALUE"""),"Dwight Powell")</f>
        <v>Dwight Powell</v>
      </c>
      <c r="C2226" s="162" t="str">
        <f>IFERROR(__xludf.DUMMYFUNCTION("""COMPUTED_VALUE"""),"2017-18")</f>
        <v>2017-18</v>
      </c>
      <c r="D2226" s="163" t="str">
        <f>IFERROR(__xludf.DUMMYFUNCTION("""COMPUTED_VALUE"""),"DAL")</f>
        <v>DAL</v>
      </c>
      <c r="E2226" s="164" t="str">
        <f>IFERROR(__xludf.DUMMYFUNCTION("""COMPUTED_VALUE"""),"Roll + Cut Big")</f>
        <v>Roll + Cut Big</v>
      </c>
      <c r="F2226" s="164">
        <f>IFERROR(__xludf.DUMMYFUNCTION("""COMPUTED_VALUE"""),1671.745)</f>
        <v>1671.745</v>
      </c>
      <c r="G2226" s="163">
        <f>IFERROR(__xludf.DUMMYFUNCTION("""COMPUTED_VALUE"""),79.0)</f>
        <v>79</v>
      </c>
      <c r="H2226" s="163" t="str">
        <f>IFERROR(__xludf.DUMMYFUNCTION("""COMPUTED_VALUE"""),"C")</f>
        <v>C</v>
      </c>
      <c r="I2226" s="163">
        <f>IFERROR(__xludf.DUMMYFUNCTION("""COMPUTED_VALUE"""),26.0)</f>
        <v>26</v>
      </c>
      <c r="J2226" s="165">
        <f>IFERROR(__xludf.DUMMYFUNCTION("""COMPUTED_VALUE"""),1.24196724439468)</f>
        <v>1.241967244</v>
      </c>
      <c r="K2226" s="165">
        <f>IFERROR(__xludf.DUMMYFUNCTION("""COMPUTED_VALUE"""),-0.0930883364875887)</f>
        <v>-0.09308833649</v>
      </c>
      <c r="L2226" s="165">
        <f>IFERROR(__xludf.DUMMYFUNCTION("""COMPUTED_VALUE"""),1.33505558088227)</f>
        <v>1.335055581</v>
      </c>
      <c r="M2226" s="166">
        <f t="shared" si="2"/>
        <v>3.974070082</v>
      </c>
      <c r="N2226" s="167">
        <f t="shared" si="3"/>
        <v>21.16132911</v>
      </c>
      <c r="O2226" s="163">
        <f t="shared" ref="O2226:Q2226" si="2230">rank(I2226,I:I)</f>
        <v>1665</v>
      </c>
      <c r="P2226" s="163">
        <f t="shared" si="2230"/>
        <v>553</v>
      </c>
      <c r="Q2226" s="163">
        <f t="shared" si="2230"/>
        <v>1349</v>
      </c>
      <c r="R2226" s="163">
        <f>IFERROR(__xludf.DUMMYFUNCTION("RANK(M2226,filter(M:M,C:C=C2226))"),89.0)</f>
        <v>89</v>
      </c>
      <c r="S2226" s="161" t="b">
        <f t="shared" si="5"/>
        <v>0</v>
      </c>
      <c r="T2226" s="161" t="b">
        <f t="array" ref="T2226">index('Query Tool'!B:B,match(H2226,'Query Tool'!C:C,0))</f>
        <v>1</v>
      </c>
      <c r="U2226" s="161" t="b">
        <f t="array" ref="U2226">index('Query Tool'!B:B,match(C2226,'Query Tool'!C:C,0))</f>
        <v>0</v>
      </c>
      <c r="V2226" s="161" t="b">
        <f>F2226&gt;='Query Tool'!C$32</f>
        <v>1</v>
      </c>
      <c r="W2226" s="161" t="b">
        <f t="array" ref="W2226">index(Dropdowns!B:B,match(I2226,Dropdowns!A:A,0))</f>
        <v>1</v>
      </c>
      <c r="X2226" s="161" t="b">
        <f t="array" ref="X2226">index('Query Tool'!B:B,match(D2226,'Query Tool'!C:C,0))</f>
        <v>1</v>
      </c>
      <c r="Y2226" s="161" t="str">
        <f t="shared" si="6"/>
        <v>poweldw01,2017-18</v>
      </c>
      <c r="Z2226" s="168">
        <f t="array" ref="Z2226">iferror(index(I:I,match($A2226&amp;","&amp;index('Year Conversion'!$A:$A,match($C2226,'Year Conversion'!$B:$B,0)),$Y:$Y,0))-I2226,"")</f>
        <v>1</v>
      </c>
      <c r="AA2226" s="168">
        <f t="array" ref="AA2226">iferror(index(J:J,match($A2226&amp;","&amp;index('Year Conversion'!$A:$A,match($C2226,'Year Conversion'!$B:$B,0)),$Y:$Y,0))-J2226,"")</f>
        <v>0.3521625342</v>
      </c>
      <c r="AB2226" s="168">
        <f t="array" ref="AB2226">iferror(index(K:K,match($A2226&amp;","&amp;index('Year Conversion'!$A:$A,match($C2226,'Year Conversion'!$B:$B,0)),$Y:$Y,0))-K2226,"")</f>
        <v>1.470483772</v>
      </c>
      <c r="AC2226" s="168" t="str">
        <f t="shared" si="7"/>
        <v>DAL,2017-18</v>
      </c>
    </row>
    <row r="2227">
      <c r="A2227" s="161" t="str">
        <f>IFERROR(__xludf.DUMMYFUNCTION("""COMPUTED_VALUE"""),"paynead01")</f>
        <v>paynead01</v>
      </c>
      <c r="B2227" s="161" t="str">
        <f>IFERROR(__xludf.DUMMYFUNCTION("""COMPUTED_VALUE"""),"Adreian Payne")</f>
        <v>Adreian Payne</v>
      </c>
      <c r="C2227" s="162" t="str">
        <f>IFERROR(__xludf.DUMMYFUNCTION("""COMPUTED_VALUE"""),"2017-18")</f>
        <v>2017-18</v>
      </c>
      <c r="D2227" s="163" t="str">
        <f>IFERROR(__xludf.DUMMYFUNCTION("""COMPUTED_VALUE"""),"ORL")</f>
        <v>ORL</v>
      </c>
      <c r="E2227" s="164" t="str">
        <f>IFERROR(__xludf.DUMMYFUNCTION("""COMPUTED_VALUE"""),"Stretch Big")</f>
        <v>Stretch Big</v>
      </c>
      <c r="F2227" s="164">
        <f>IFERROR(__xludf.DUMMYFUNCTION("""COMPUTED_VALUE"""),42.5483333333333)</f>
        <v>42.54833333</v>
      </c>
      <c r="G2227" s="163">
        <f>IFERROR(__xludf.DUMMYFUNCTION("""COMPUTED_VALUE"""),5.0)</f>
        <v>5</v>
      </c>
      <c r="H2227" s="163" t="str">
        <f>IFERROR(__xludf.DUMMYFUNCTION("""COMPUTED_VALUE"""),"PF")</f>
        <v>PF</v>
      </c>
      <c r="I2227" s="163">
        <f>IFERROR(__xludf.DUMMYFUNCTION("""COMPUTED_VALUE"""),26.0)</f>
        <v>26</v>
      </c>
      <c r="J2227" s="165">
        <f>IFERROR(__xludf.DUMMYFUNCTION("""COMPUTED_VALUE"""),-0.599345129861227)</f>
        <v>-0.5993451299</v>
      </c>
      <c r="K2227" s="165">
        <f>IFERROR(__xludf.DUMMYFUNCTION("""COMPUTED_VALUE"""),-0.323157593897148)</f>
        <v>-0.3231575939</v>
      </c>
      <c r="L2227" s="165">
        <f>IFERROR(__xludf.DUMMYFUNCTION("""COMPUTED_VALUE"""),-0.276187535964079)</f>
        <v>-0.276187536</v>
      </c>
      <c r="M2227" s="166">
        <f t="shared" si="2"/>
        <v>0.04841131503</v>
      </c>
      <c r="N2227" s="167">
        <f t="shared" si="3"/>
        <v>8.509666667</v>
      </c>
      <c r="O2227" s="163">
        <f t="shared" ref="O2227:Q2227" si="2231">rank(I2227,I:I)</f>
        <v>1665</v>
      </c>
      <c r="P2227" s="163">
        <f t="shared" si="2231"/>
        <v>1996</v>
      </c>
      <c r="Q2227" s="163">
        <f t="shared" si="2231"/>
        <v>1800</v>
      </c>
      <c r="R2227" s="163">
        <f>IFERROR(__xludf.DUMMYFUNCTION("RANK(M2227,filter(M:M,C:C=C2227))"),430.0)</f>
        <v>430</v>
      </c>
      <c r="S2227" s="161" t="b">
        <f t="shared" si="5"/>
        <v>0</v>
      </c>
      <c r="T2227" s="161" t="b">
        <f t="array" ref="T2227">index('Query Tool'!B:B,match(H2227,'Query Tool'!C:C,0))</f>
        <v>1</v>
      </c>
      <c r="U2227" s="161" t="b">
        <f t="array" ref="U2227">index('Query Tool'!B:B,match(C2227,'Query Tool'!C:C,0))</f>
        <v>0</v>
      </c>
      <c r="V2227" s="161" t="b">
        <f>F2227&gt;='Query Tool'!C$32</f>
        <v>0</v>
      </c>
      <c r="W2227" s="161" t="b">
        <f t="array" ref="W2227">index(Dropdowns!B:B,match(I2227,Dropdowns!A:A,0))</f>
        <v>1</v>
      </c>
      <c r="X2227" s="161" t="b">
        <f t="array" ref="X2227">index('Query Tool'!B:B,match(D2227,'Query Tool'!C:C,0))</f>
        <v>1</v>
      </c>
      <c r="Y2227" s="161" t="str">
        <f t="shared" si="6"/>
        <v>paynead01,2017-18</v>
      </c>
      <c r="Z2227" s="168" t="str">
        <f t="array" ref="Z2227">iferror(index(I:I,match($A2227&amp;","&amp;index('Year Conversion'!$A:$A,match($C2227,'Year Conversion'!$B:$B,0)),$Y:$Y,0))-I2227,"")</f>
        <v/>
      </c>
      <c r="AA2227" s="168" t="str">
        <f t="array" ref="AA2227">iferror(index(J:J,match($A2227&amp;","&amp;index('Year Conversion'!$A:$A,match($C2227,'Year Conversion'!$B:$B,0)),$Y:$Y,0))-J2227,"")</f>
        <v/>
      </c>
      <c r="AB2227" s="168" t="str">
        <f t="array" ref="AB2227">iferror(index(K:K,match($A2227&amp;","&amp;index('Year Conversion'!$A:$A,match($C2227,'Year Conversion'!$B:$B,0)),$Y:$Y,0))-K2227,"")</f>
        <v/>
      </c>
      <c r="AC2227" s="168" t="str">
        <f t="shared" si="7"/>
        <v>ORL,2017-18</v>
      </c>
    </row>
    <row r="2228">
      <c r="A2228" s="161" t="str">
        <f>IFERROR(__xludf.DUMMYFUNCTION("""COMPUTED_VALUE"""),"vonleno01")</f>
        <v>vonleno01</v>
      </c>
      <c r="B2228" s="161" t="str">
        <f>IFERROR(__xludf.DUMMYFUNCTION("""COMPUTED_VALUE"""),"Noah Vonleh")</f>
        <v>Noah Vonleh</v>
      </c>
      <c r="C2228" s="162" t="str">
        <f>IFERROR(__xludf.DUMMYFUNCTION("""COMPUTED_VALUE"""),"2017-18")</f>
        <v>2017-18</v>
      </c>
      <c r="D2228" s="163" t="str">
        <f>IFERROR(__xludf.DUMMYFUNCTION("""COMPUTED_VALUE"""),"TOT")</f>
        <v>TOT</v>
      </c>
      <c r="E2228" s="164" t="str">
        <f>IFERROR(__xludf.DUMMYFUNCTION("""COMPUTED_VALUE"""),"Stretch Big")</f>
        <v>Stretch Big</v>
      </c>
      <c r="F2228" s="164">
        <f>IFERROR(__xludf.DUMMYFUNCTION("""COMPUTED_VALUE"""),875.663333333333)</f>
        <v>875.6633333</v>
      </c>
      <c r="G2228" s="163">
        <f>IFERROR(__xludf.DUMMYFUNCTION("""COMPUTED_VALUE"""),54.0)</f>
        <v>54</v>
      </c>
      <c r="H2228" s="163" t="str">
        <f>IFERROR(__xludf.DUMMYFUNCTION("""COMPUTED_VALUE"""),"PF")</f>
        <v>PF</v>
      </c>
      <c r="I2228" s="163">
        <f>IFERROR(__xludf.DUMMYFUNCTION("""COMPUTED_VALUE"""),22.0)</f>
        <v>22</v>
      </c>
      <c r="J2228" s="165">
        <f>IFERROR(__xludf.DUMMYFUNCTION("""COMPUTED_VALUE"""),-0.748568766645681)</f>
        <v>-0.7485687666</v>
      </c>
      <c r="K2228" s="165">
        <f>IFERROR(__xludf.DUMMYFUNCTION("""COMPUTED_VALUE"""),-1.42429256859127)</f>
        <v>-1.424292569</v>
      </c>
      <c r="L2228" s="165">
        <f>IFERROR(__xludf.DUMMYFUNCTION("""COMPUTED_VALUE"""),0.675723801945586)</f>
        <v>0.6757238019</v>
      </c>
      <c r="M2228" s="166">
        <f t="shared" si="2"/>
        <v>0.9083971351</v>
      </c>
      <c r="N2228" s="167">
        <f t="shared" si="3"/>
        <v>16.21598765</v>
      </c>
      <c r="O2228" s="163">
        <f t="shared" ref="O2228:Q2228" si="2232">rank(I2228,I:I)</f>
        <v>3178</v>
      </c>
      <c r="P2228" s="163">
        <f t="shared" si="2232"/>
        <v>2214</v>
      </c>
      <c r="Q2228" s="163">
        <f t="shared" si="2232"/>
        <v>3274</v>
      </c>
      <c r="R2228" s="163">
        <f>IFERROR(__xludf.DUMMYFUNCTION("RANK(M2228,filter(M:M,C:C=C2228))"),245.0)</f>
        <v>245</v>
      </c>
      <c r="S2228" s="161" t="b">
        <f t="shared" si="5"/>
        <v>0</v>
      </c>
      <c r="T2228" s="161" t="b">
        <f t="array" ref="T2228">index('Query Tool'!B:B,match(H2228,'Query Tool'!C:C,0))</f>
        <v>1</v>
      </c>
      <c r="U2228" s="161" t="b">
        <f t="array" ref="U2228">index('Query Tool'!B:B,match(C2228,'Query Tool'!C:C,0))</f>
        <v>0</v>
      </c>
      <c r="V2228" s="161" t="b">
        <f>F2228&gt;='Query Tool'!C$32</f>
        <v>1</v>
      </c>
      <c r="W2228" s="161" t="b">
        <f t="array" ref="W2228">index(Dropdowns!B:B,match(I2228,Dropdowns!A:A,0))</f>
        <v>1</v>
      </c>
      <c r="X2228" s="161" t="b">
        <f t="array" ref="X2228">index('Query Tool'!B:B,match(D2228,'Query Tool'!C:C,0))</f>
        <v>1</v>
      </c>
      <c r="Y2228" s="161" t="str">
        <f t="shared" si="6"/>
        <v>vonleno01,2017-18</v>
      </c>
      <c r="Z2228" s="168">
        <f t="array" ref="Z2228">iferror(index(I:I,match($A2228&amp;","&amp;index('Year Conversion'!$A:$A,match($C2228,'Year Conversion'!$B:$B,0)),$Y:$Y,0))-I2228,"")</f>
        <v>1</v>
      </c>
      <c r="AA2228" s="168">
        <f t="array" ref="AA2228">iferror(index(J:J,match($A2228&amp;","&amp;index('Year Conversion'!$A:$A,match($C2228,'Year Conversion'!$B:$B,0)),$Y:$Y,0))-J2228,"")</f>
        <v>0.4939613591</v>
      </c>
      <c r="AB2228" s="168">
        <f t="array" ref="AB2228">iferror(index(K:K,match($A2228&amp;","&amp;index('Year Conversion'!$A:$A,match($C2228,'Year Conversion'!$B:$B,0)),$Y:$Y,0))-K2228,"")</f>
        <v>0.07346199901</v>
      </c>
      <c r="AC2228" s="168" t="str">
        <f t="shared" si="7"/>
        <v>TOT,2017-18</v>
      </c>
    </row>
    <row r="2229">
      <c r="A2229" s="161" t="str">
        <f>IFERROR(__xludf.DUMMYFUNCTION("""COMPUTED_VALUE"""),"randlju01")</f>
        <v>randlju01</v>
      </c>
      <c r="B2229" s="161" t="str">
        <f>IFERROR(__xludf.DUMMYFUNCTION("""COMPUTED_VALUE"""),"Julius Randle")</f>
        <v>Julius Randle</v>
      </c>
      <c r="C2229" s="162" t="str">
        <f>IFERROR(__xludf.DUMMYFUNCTION("""COMPUTED_VALUE"""),"2017-18")</f>
        <v>2017-18</v>
      </c>
      <c r="D2229" s="163" t="str">
        <f>IFERROR(__xludf.DUMMYFUNCTION("""COMPUTED_VALUE"""),"LAL")</f>
        <v>LAL</v>
      </c>
      <c r="E2229" s="164" t="str">
        <f>IFERROR(__xludf.DUMMYFUNCTION("""COMPUTED_VALUE"""),"Post Scorer")</f>
        <v>Post Scorer</v>
      </c>
      <c r="F2229" s="164">
        <f>IFERROR(__xludf.DUMMYFUNCTION("""COMPUTED_VALUE"""),2190.38333333333)</f>
        <v>2190.383333</v>
      </c>
      <c r="G2229" s="163">
        <f>IFERROR(__xludf.DUMMYFUNCTION("""COMPUTED_VALUE"""),82.0)</f>
        <v>82</v>
      </c>
      <c r="H2229" s="163" t="str">
        <f>IFERROR(__xludf.DUMMYFUNCTION("""COMPUTED_VALUE"""),"C")</f>
        <v>C</v>
      </c>
      <c r="I2229" s="163">
        <f>IFERROR(__xludf.DUMMYFUNCTION("""COMPUTED_VALUE"""),23.0)</f>
        <v>23</v>
      </c>
      <c r="J2229" s="165">
        <f>IFERROR(__xludf.DUMMYFUNCTION("""COMPUTED_VALUE"""),-0.221152958387354)</f>
        <v>-0.2211529584</v>
      </c>
      <c r="K2229" s="165">
        <f>IFERROR(__xludf.DUMMYFUNCTION("""COMPUTED_VALUE"""),0.242152961224769)</f>
        <v>0.2421529612</v>
      </c>
      <c r="L2229" s="165">
        <f>IFERROR(__xludf.DUMMYFUNCTION("""COMPUTED_VALUE"""),-0.463305919612122)</f>
        <v>-0.4633059196</v>
      </c>
      <c r="M2229" s="166">
        <f t="shared" si="2"/>
        <v>3.050279037</v>
      </c>
      <c r="N2229" s="167">
        <f t="shared" si="3"/>
        <v>26.71199187</v>
      </c>
      <c r="O2229" s="163">
        <f t="shared" ref="O2229:Q2229" si="2233">rank(I2229,I:I)</f>
        <v>2765</v>
      </c>
      <c r="P2229" s="163">
        <f t="shared" si="2233"/>
        <v>1524</v>
      </c>
      <c r="Q2229" s="163">
        <f t="shared" si="2233"/>
        <v>952</v>
      </c>
      <c r="R2229" s="163">
        <f>IFERROR(__xludf.DUMMYFUNCTION("RANK(M2229,filter(M:M,C:C=C2229))"),109.0)</f>
        <v>109</v>
      </c>
      <c r="S2229" s="161" t="b">
        <f t="shared" si="5"/>
        <v>0</v>
      </c>
      <c r="T2229" s="161" t="b">
        <f t="array" ref="T2229">index('Query Tool'!B:B,match(H2229,'Query Tool'!C:C,0))</f>
        <v>1</v>
      </c>
      <c r="U2229" s="161" t="b">
        <f t="array" ref="U2229">index('Query Tool'!B:B,match(C2229,'Query Tool'!C:C,0))</f>
        <v>0</v>
      </c>
      <c r="V2229" s="161" t="b">
        <f>F2229&gt;='Query Tool'!C$32</f>
        <v>1</v>
      </c>
      <c r="W2229" s="161" t="b">
        <f t="array" ref="W2229">index(Dropdowns!B:B,match(I2229,Dropdowns!A:A,0))</f>
        <v>1</v>
      </c>
      <c r="X2229" s="161" t="b">
        <f t="array" ref="X2229">index('Query Tool'!B:B,match(D2229,'Query Tool'!C:C,0))</f>
        <v>1</v>
      </c>
      <c r="Y2229" s="161" t="str">
        <f t="shared" si="6"/>
        <v>randlju01,2017-18</v>
      </c>
      <c r="Z2229" s="168">
        <f t="array" ref="Z2229">iferror(index(I:I,match($A2229&amp;","&amp;index('Year Conversion'!$A:$A,match($C2229,'Year Conversion'!$B:$B,0)),$Y:$Y,0))-I2229,"")</f>
        <v>1</v>
      </c>
      <c r="AA2229" s="168">
        <f t="array" ref="AA2229">iferror(index(J:J,match($A2229&amp;","&amp;index('Year Conversion'!$A:$A,match($C2229,'Year Conversion'!$B:$B,0)),$Y:$Y,0))-J2229,"")</f>
        <v>0.1617256121</v>
      </c>
      <c r="AB2229" s="168">
        <f t="array" ref="AB2229">iferror(index(K:K,match($A2229&amp;","&amp;index('Year Conversion'!$A:$A,match($C2229,'Year Conversion'!$B:$B,0)),$Y:$Y,0))-K2229,"")</f>
        <v>0.8663571908</v>
      </c>
      <c r="AC2229" s="168" t="str">
        <f t="shared" si="7"/>
        <v>LAL,2017-18</v>
      </c>
    </row>
    <row r="2230">
      <c r="A2230" s="161" t="str">
        <f>IFERROR(__xludf.DUMMYFUNCTION("""COMPUTED_VALUE"""),"obryajo01")</f>
        <v>obryajo01</v>
      </c>
      <c r="B2230" s="161" t="str">
        <f>IFERROR(__xludf.DUMMYFUNCTION("""COMPUTED_VALUE"""),"Johnny O'Bryant III")</f>
        <v>Johnny O'Bryant III</v>
      </c>
      <c r="C2230" s="162" t="str">
        <f>IFERROR(__xludf.DUMMYFUNCTION("""COMPUTED_VALUE"""),"2017-18")</f>
        <v>2017-18</v>
      </c>
      <c r="D2230" s="163" t="str">
        <f>IFERROR(__xludf.DUMMYFUNCTION("""COMPUTED_VALUE"""),"CHO")</f>
        <v>CHO</v>
      </c>
      <c r="E2230" s="164" t="str">
        <f>IFERROR(__xludf.DUMMYFUNCTION("""COMPUTED_VALUE"""),"Versatile Big")</f>
        <v>Versatile Big</v>
      </c>
      <c r="F2230" s="164">
        <f>IFERROR(__xludf.DUMMYFUNCTION("""COMPUTED_VALUE"""),379.061666666667)</f>
        <v>379.0616667</v>
      </c>
      <c r="G2230" s="163">
        <f>IFERROR(__xludf.DUMMYFUNCTION("""COMPUTED_VALUE"""),36.0)</f>
        <v>36</v>
      </c>
      <c r="H2230" s="163" t="str">
        <f>IFERROR(__xludf.DUMMYFUNCTION("""COMPUTED_VALUE"""),"PF")</f>
        <v>PF</v>
      </c>
      <c r="I2230" s="163">
        <f>IFERROR(__xludf.DUMMYFUNCTION("""COMPUTED_VALUE"""),24.0)</f>
        <v>24</v>
      </c>
      <c r="J2230" s="165">
        <f>IFERROR(__xludf.DUMMYFUNCTION("""COMPUTED_VALUE"""),-1.66557229905745)</f>
        <v>-1.665572299</v>
      </c>
      <c r="K2230" s="165">
        <f>IFERROR(__xludf.DUMMYFUNCTION("""COMPUTED_VALUE"""),-1.47163244157258)</f>
        <v>-1.471632442</v>
      </c>
      <c r="L2230" s="165">
        <f>IFERROR(__xludf.DUMMYFUNCTION("""COMPUTED_VALUE"""),-0.193939857484869)</f>
        <v>-0.1939398575</v>
      </c>
      <c r="M2230" s="166">
        <f t="shared" si="2"/>
        <v>0.1603667203</v>
      </c>
      <c r="N2230" s="167">
        <f t="shared" si="3"/>
        <v>10.52949074</v>
      </c>
      <c r="O2230" s="163">
        <f t="shared" ref="O2230:Q2230" si="2234">rank(I2230,I:I)</f>
        <v>2361</v>
      </c>
      <c r="P2230" s="163">
        <f t="shared" si="2234"/>
        <v>3208</v>
      </c>
      <c r="Q2230" s="163">
        <f t="shared" si="2234"/>
        <v>3328</v>
      </c>
      <c r="R2230" s="163">
        <f>IFERROR(__xludf.DUMMYFUNCTION("RANK(M2230,filter(M:M,C:C=C2230))"),357.0)</f>
        <v>357</v>
      </c>
      <c r="S2230" s="161" t="b">
        <f t="shared" si="5"/>
        <v>0</v>
      </c>
      <c r="T2230" s="161" t="b">
        <f t="array" ref="T2230">index('Query Tool'!B:B,match(H2230,'Query Tool'!C:C,0))</f>
        <v>1</v>
      </c>
      <c r="U2230" s="161" t="b">
        <f t="array" ref="U2230">index('Query Tool'!B:B,match(C2230,'Query Tool'!C:C,0))</f>
        <v>0</v>
      </c>
      <c r="V2230" s="161" t="b">
        <f>F2230&gt;='Query Tool'!C$32</f>
        <v>0</v>
      </c>
      <c r="W2230" s="161" t="b">
        <f t="array" ref="W2230">index(Dropdowns!B:B,match(I2230,Dropdowns!A:A,0))</f>
        <v>1</v>
      </c>
      <c r="X2230" s="161" t="b">
        <f t="array" ref="X2230">index('Query Tool'!B:B,match(D2230,'Query Tool'!C:C,0))</f>
        <v>1</v>
      </c>
      <c r="Y2230" s="161" t="str">
        <f t="shared" si="6"/>
        <v>obryajo01,2017-18</v>
      </c>
      <c r="Z2230" s="168" t="str">
        <f t="array" ref="Z2230">iferror(index(I:I,match($A2230&amp;","&amp;index('Year Conversion'!$A:$A,match($C2230,'Year Conversion'!$B:$B,0)),$Y:$Y,0))-I2230,"")</f>
        <v/>
      </c>
      <c r="AA2230" s="168" t="str">
        <f t="array" ref="AA2230">iferror(index(J:J,match($A2230&amp;","&amp;index('Year Conversion'!$A:$A,match($C2230,'Year Conversion'!$B:$B,0)),$Y:$Y,0))-J2230,"")</f>
        <v/>
      </c>
      <c r="AB2230" s="168" t="str">
        <f t="array" ref="AB2230">iferror(index(K:K,match($A2230&amp;","&amp;index('Year Conversion'!$A:$A,match($C2230,'Year Conversion'!$B:$B,0)),$Y:$Y,0))-K2230,"")</f>
        <v/>
      </c>
      <c r="AC2230" s="168" t="str">
        <f t="shared" si="7"/>
        <v>CHO,2017-18</v>
      </c>
    </row>
    <row r="2231">
      <c r="A2231" s="161" t="str">
        <f>IFERROR(__xludf.DUMMYFUNCTION("""COMPUTED_VALUE"""),"mcadoja01")</f>
        <v>mcadoja01</v>
      </c>
      <c r="B2231" s="161" t="str">
        <f>IFERROR(__xludf.DUMMYFUNCTION("""COMPUTED_VALUE"""),"James Michael McAdoo")</f>
        <v>James Michael McAdoo</v>
      </c>
      <c r="C2231" s="162" t="str">
        <f>IFERROR(__xludf.DUMMYFUNCTION("""COMPUTED_VALUE"""),"2017-18")</f>
        <v>2017-18</v>
      </c>
      <c r="D2231" s="163" t="str">
        <f>IFERROR(__xludf.DUMMYFUNCTION("""COMPUTED_VALUE"""),"PHI")</f>
        <v>PHI</v>
      </c>
      <c r="E2231" s="164" t="str">
        <f>IFERROR(__xludf.DUMMYFUNCTION("""COMPUTED_VALUE"""),"Stationary Shooter")</f>
        <v>Stationary Shooter</v>
      </c>
      <c r="F2231" s="164">
        <f>IFERROR(__xludf.DUMMYFUNCTION("""COMPUTED_VALUE"""),17.95)</f>
        <v>17.95</v>
      </c>
      <c r="G2231" s="163">
        <f>IFERROR(__xludf.DUMMYFUNCTION("""COMPUTED_VALUE"""),3.0)</f>
        <v>3</v>
      </c>
      <c r="H2231" s="163" t="str">
        <f>IFERROR(__xludf.DUMMYFUNCTION("""COMPUTED_VALUE"""),"PF")</f>
        <v>PF</v>
      </c>
      <c r="I2231" s="163">
        <f>IFERROR(__xludf.DUMMYFUNCTION("""COMPUTED_VALUE"""),25.0)</f>
        <v>25</v>
      </c>
      <c r="J2231" s="165">
        <f>IFERROR(__xludf.DUMMYFUNCTION("""COMPUTED_VALUE"""),-0.840251640215065)</f>
        <v>-0.8402516402</v>
      </c>
      <c r="K2231" s="165">
        <f>IFERROR(__xludf.DUMMYFUNCTION("""COMPUTED_VALUE"""),-0.179740271213739)</f>
        <v>-0.1797402712</v>
      </c>
      <c r="L2231" s="165">
        <f>IFERROR(__xludf.DUMMYFUNCTION("""COMPUTED_VALUE"""),-0.660511369001327)</f>
        <v>-0.660511369</v>
      </c>
      <c r="M2231" s="166">
        <f t="shared" si="2"/>
        <v>0.01751439882</v>
      </c>
      <c r="N2231" s="167">
        <f t="shared" si="3"/>
        <v>5.983333333</v>
      </c>
      <c r="O2231" s="163">
        <f t="shared" ref="O2231:Q2231" si="2235">rank(I2231,I:I)</f>
        <v>1995</v>
      </c>
      <c r="P2231" s="163">
        <f t="shared" si="2235"/>
        <v>2334</v>
      </c>
      <c r="Q2231" s="163">
        <f t="shared" si="2235"/>
        <v>1534</v>
      </c>
      <c r="R2231" s="163">
        <f>IFERROR(__xludf.DUMMYFUNCTION("RANK(M2231,filter(M:M,C:C=C2231))"),463.0)</f>
        <v>463</v>
      </c>
      <c r="S2231" s="161" t="b">
        <f t="shared" si="5"/>
        <v>0</v>
      </c>
      <c r="T2231" s="161" t="b">
        <f t="array" ref="T2231">index('Query Tool'!B:B,match(H2231,'Query Tool'!C:C,0))</f>
        <v>1</v>
      </c>
      <c r="U2231" s="161" t="b">
        <f t="array" ref="U2231">index('Query Tool'!B:B,match(C2231,'Query Tool'!C:C,0))</f>
        <v>0</v>
      </c>
      <c r="V2231" s="161" t="b">
        <f>F2231&gt;='Query Tool'!C$32</f>
        <v>0</v>
      </c>
      <c r="W2231" s="161" t="b">
        <f t="array" ref="W2231">index(Dropdowns!B:B,match(I2231,Dropdowns!A:A,0))</f>
        <v>1</v>
      </c>
      <c r="X2231" s="161" t="b">
        <f t="array" ref="X2231">index('Query Tool'!B:B,match(D2231,'Query Tool'!C:C,0))</f>
        <v>1</v>
      </c>
      <c r="Y2231" s="161" t="str">
        <f t="shared" si="6"/>
        <v>mcadoja01,2017-18</v>
      </c>
      <c r="Z2231" s="168" t="str">
        <f t="array" ref="Z2231">iferror(index(I:I,match($A2231&amp;","&amp;index('Year Conversion'!$A:$A,match($C2231,'Year Conversion'!$B:$B,0)),$Y:$Y,0))-I2231,"")</f>
        <v/>
      </c>
      <c r="AA2231" s="168" t="str">
        <f t="array" ref="AA2231">iferror(index(J:J,match($A2231&amp;","&amp;index('Year Conversion'!$A:$A,match($C2231,'Year Conversion'!$B:$B,0)),$Y:$Y,0))-J2231,"")</f>
        <v/>
      </c>
      <c r="AB2231" s="168" t="str">
        <f t="array" ref="AB2231">iferror(index(K:K,match($A2231&amp;","&amp;index('Year Conversion'!$A:$A,match($C2231,'Year Conversion'!$B:$B,0)),$Y:$Y,0))-K2231,"")</f>
        <v/>
      </c>
      <c r="AC2231" s="168" t="str">
        <f t="shared" si="7"/>
        <v>PHI,2017-18</v>
      </c>
    </row>
    <row r="2232">
      <c r="A2232" s="161" t="str">
        <f>IFERROR(__xludf.DUMMYFUNCTION("""COMPUTED_VALUE"""),"wiggian01")</f>
        <v>wiggian01</v>
      </c>
      <c r="B2232" s="161" t="str">
        <f>IFERROR(__xludf.DUMMYFUNCTION("""COMPUTED_VALUE"""),"Andrew Wiggins")</f>
        <v>Andrew Wiggins</v>
      </c>
      <c r="C2232" s="162" t="str">
        <f>IFERROR(__xludf.DUMMYFUNCTION("""COMPUTED_VALUE"""),"2017-18")</f>
        <v>2017-18</v>
      </c>
      <c r="D2232" s="163" t="str">
        <f>IFERROR(__xludf.DUMMYFUNCTION("""COMPUTED_VALUE"""),"MIN")</f>
        <v>MIN</v>
      </c>
      <c r="E2232" s="164" t="str">
        <f>IFERROR(__xludf.DUMMYFUNCTION("""COMPUTED_VALUE"""),"Shot Creator")</f>
        <v>Shot Creator</v>
      </c>
      <c r="F2232" s="164">
        <f>IFERROR(__xludf.DUMMYFUNCTION("""COMPUTED_VALUE"""),2978.70333333333)</f>
        <v>2978.703333</v>
      </c>
      <c r="G2232" s="163">
        <f>IFERROR(__xludf.DUMMYFUNCTION("""COMPUTED_VALUE"""),82.0)</f>
        <v>82</v>
      </c>
      <c r="H2232" s="163" t="str">
        <f>IFERROR(__xludf.DUMMYFUNCTION("""COMPUTED_VALUE"""),"SF")</f>
        <v>SF</v>
      </c>
      <c r="I2232" s="163">
        <f>IFERROR(__xludf.DUMMYFUNCTION("""COMPUTED_VALUE"""),22.0)</f>
        <v>22</v>
      </c>
      <c r="J2232" s="165">
        <f>IFERROR(__xludf.DUMMYFUNCTION("""COMPUTED_VALUE"""),-0.111613060971215)</f>
        <v>-0.111613061</v>
      </c>
      <c r="K2232" s="165">
        <f>IFERROR(__xludf.DUMMYFUNCTION("""COMPUTED_VALUE"""),0.582015210330342)</f>
        <v>0.5820152103</v>
      </c>
      <c r="L2232" s="165">
        <f>IFERROR(__xludf.DUMMYFUNCTION("""COMPUTED_VALUE"""),-0.693628271301557)</f>
        <v>-0.6936282713</v>
      </c>
      <c r="M2232" s="166">
        <f t="shared" si="2"/>
        <v>4.368028891</v>
      </c>
      <c r="N2232" s="167">
        <f t="shared" si="3"/>
        <v>36.32565041</v>
      </c>
      <c r="O2232" s="163">
        <f t="shared" ref="O2232:Q2232" si="2236">rank(I2232,I:I)</f>
        <v>3178</v>
      </c>
      <c r="P2232" s="163">
        <f t="shared" si="2236"/>
        <v>1394</v>
      </c>
      <c r="Q2232" s="163">
        <f t="shared" si="2236"/>
        <v>724</v>
      </c>
      <c r="R2232" s="163">
        <f>IFERROR(__xludf.DUMMYFUNCTION("RANK(M2232,filter(M:M,C:C=C2232))"),72.0)</f>
        <v>72</v>
      </c>
      <c r="S2232" s="161" t="b">
        <f t="shared" si="5"/>
        <v>0</v>
      </c>
      <c r="T2232" s="161" t="b">
        <f t="array" ref="T2232">index('Query Tool'!B:B,match(H2232,'Query Tool'!C:C,0))</f>
        <v>1</v>
      </c>
      <c r="U2232" s="161" t="b">
        <f t="array" ref="U2232">index('Query Tool'!B:B,match(C2232,'Query Tool'!C:C,0))</f>
        <v>0</v>
      </c>
      <c r="V2232" s="161" t="b">
        <f>F2232&gt;='Query Tool'!C$32</f>
        <v>1</v>
      </c>
      <c r="W2232" s="161" t="b">
        <f t="array" ref="W2232">index(Dropdowns!B:B,match(I2232,Dropdowns!A:A,0))</f>
        <v>1</v>
      </c>
      <c r="X2232" s="161" t="b">
        <f t="array" ref="X2232">index('Query Tool'!B:B,match(D2232,'Query Tool'!C:C,0))</f>
        <v>1</v>
      </c>
      <c r="Y2232" s="161" t="str">
        <f t="shared" si="6"/>
        <v>wiggian01,2017-18</v>
      </c>
      <c r="Z2232" s="168">
        <f t="array" ref="Z2232">iferror(index(I:I,match($A2232&amp;","&amp;index('Year Conversion'!$A:$A,match($C2232,'Year Conversion'!$B:$B,0)),$Y:$Y,0))-I2232,"")</f>
        <v>1</v>
      </c>
      <c r="AA2232" s="168">
        <f t="array" ref="AA2232">iferror(index(J:J,match($A2232&amp;","&amp;index('Year Conversion'!$A:$A,match($C2232,'Year Conversion'!$B:$B,0)),$Y:$Y,0))-J2232,"")</f>
        <v>-1.20433877</v>
      </c>
      <c r="AB2232" s="168">
        <f t="array" ref="AB2232">iferror(index(K:K,match($A2232&amp;","&amp;index('Year Conversion'!$A:$A,match($C2232,'Year Conversion'!$B:$B,0)),$Y:$Y,0))-K2232,"")</f>
        <v>-0.9165872518</v>
      </c>
      <c r="AC2232" s="168" t="str">
        <f t="shared" si="7"/>
        <v>MIN,2017-18</v>
      </c>
    </row>
    <row r="2233">
      <c r="A2233" s="161" t="str">
        <f>IFERROR(__xludf.DUMMYFUNCTION("""COMPUTED_VALUE"""),"parkeja01")</f>
        <v>parkeja01</v>
      </c>
      <c r="B2233" s="161" t="str">
        <f>IFERROR(__xludf.DUMMYFUNCTION("""COMPUTED_VALUE"""),"Jabari Parker")</f>
        <v>Jabari Parker</v>
      </c>
      <c r="C2233" s="162" t="str">
        <f>IFERROR(__xludf.DUMMYFUNCTION("""COMPUTED_VALUE"""),"2017-18")</f>
        <v>2017-18</v>
      </c>
      <c r="D2233" s="163" t="str">
        <f>IFERROR(__xludf.DUMMYFUNCTION("""COMPUTED_VALUE"""),"MIL")</f>
        <v>MIL</v>
      </c>
      <c r="E2233" s="164" t="str">
        <f>IFERROR(__xludf.DUMMYFUNCTION("""COMPUTED_VALUE"""),"Athletic Finisher")</f>
        <v>Athletic Finisher</v>
      </c>
      <c r="F2233" s="164">
        <f>IFERROR(__xludf.DUMMYFUNCTION("""COMPUTED_VALUE"""),742.748333333333)</f>
        <v>742.7483333</v>
      </c>
      <c r="G2233" s="163">
        <f>IFERROR(__xludf.DUMMYFUNCTION("""COMPUTED_VALUE"""),31.0)</f>
        <v>31</v>
      </c>
      <c r="H2233" s="163" t="str">
        <f>IFERROR(__xludf.DUMMYFUNCTION("""COMPUTED_VALUE"""),"PF")</f>
        <v>PF</v>
      </c>
      <c r="I2233" s="163">
        <f>IFERROR(__xludf.DUMMYFUNCTION("""COMPUTED_VALUE"""),22.0)</f>
        <v>22</v>
      </c>
      <c r="J2233" s="165">
        <f>IFERROR(__xludf.DUMMYFUNCTION("""COMPUTED_VALUE"""),-1.5761384559823)</f>
        <v>-1.576138456</v>
      </c>
      <c r="K2233" s="165">
        <f>IFERROR(__xludf.DUMMYFUNCTION("""COMPUTED_VALUE"""),-0.326966556929733)</f>
        <v>-0.3269665569</v>
      </c>
      <c r="L2233" s="165">
        <f>IFERROR(__xludf.DUMMYFUNCTION("""COMPUTED_VALUE"""),-1.24917189905256)</f>
        <v>-1.249171899</v>
      </c>
      <c r="M2233" s="166">
        <f t="shared" si="2"/>
        <v>0.3585262479</v>
      </c>
      <c r="N2233" s="167">
        <f t="shared" si="3"/>
        <v>23.95962366</v>
      </c>
      <c r="O2233" s="163">
        <f t="shared" ref="O2233:Q2233" si="2237">rank(I2233,I:I)</f>
        <v>3178</v>
      </c>
      <c r="P2233" s="163">
        <f t="shared" si="2237"/>
        <v>3125</v>
      </c>
      <c r="Q2233" s="163">
        <f t="shared" si="2237"/>
        <v>1806</v>
      </c>
      <c r="R2233" s="163">
        <f>IFERROR(__xludf.DUMMYFUNCTION("RANK(M2233,filter(M:M,C:C=C2233))"),308.0)</f>
        <v>308</v>
      </c>
      <c r="S2233" s="161" t="b">
        <f t="shared" si="5"/>
        <v>0</v>
      </c>
      <c r="T2233" s="161" t="b">
        <f t="array" ref="T2233">index('Query Tool'!B:B,match(H2233,'Query Tool'!C:C,0))</f>
        <v>1</v>
      </c>
      <c r="U2233" s="161" t="b">
        <f t="array" ref="U2233">index('Query Tool'!B:B,match(C2233,'Query Tool'!C:C,0))</f>
        <v>0</v>
      </c>
      <c r="V2233" s="161" t="b">
        <f>F2233&gt;='Query Tool'!C$32</f>
        <v>1</v>
      </c>
      <c r="W2233" s="161" t="b">
        <f t="array" ref="W2233">index(Dropdowns!B:B,match(I2233,Dropdowns!A:A,0))</f>
        <v>1</v>
      </c>
      <c r="X2233" s="161" t="b">
        <f t="array" ref="X2233">index('Query Tool'!B:B,match(D2233,'Query Tool'!C:C,0))</f>
        <v>1</v>
      </c>
      <c r="Y2233" s="161" t="str">
        <f t="shared" si="6"/>
        <v>parkeja01,2017-18</v>
      </c>
      <c r="Z2233" s="168">
        <f t="array" ref="Z2233">iferror(index(I:I,match($A2233&amp;","&amp;index('Year Conversion'!$A:$A,match($C2233,'Year Conversion'!$B:$B,0)),$Y:$Y,0))-I2233,"")</f>
        <v>1</v>
      </c>
      <c r="AA2233" s="168">
        <f t="array" ref="AA2233">iferror(index(J:J,match($A2233&amp;","&amp;index('Year Conversion'!$A:$A,match($C2233,'Year Conversion'!$B:$B,0)),$Y:$Y,0))-J2233,"")</f>
        <v>0.7186086156</v>
      </c>
      <c r="AB2233" s="168">
        <f t="array" ref="AB2233">iferror(index(K:K,match($A2233&amp;","&amp;index('Year Conversion'!$A:$A,match($C2233,'Year Conversion'!$B:$B,0)),$Y:$Y,0))-K2233,"")</f>
        <v>-0.1428549052</v>
      </c>
      <c r="AC2233" s="168" t="str">
        <f t="shared" si="7"/>
        <v>MIL,2017-18</v>
      </c>
    </row>
    <row r="2234">
      <c r="A2234" s="161" t="str">
        <f>IFERROR(__xludf.DUMMYFUNCTION("""COMPUTED_VALUE"""),"embiijo01")</f>
        <v>embiijo01</v>
      </c>
      <c r="B2234" s="161" t="str">
        <f>IFERROR(__xludf.DUMMYFUNCTION("""COMPUTED_VALUE"""),"Joel Embiid")</f>
        <v>Joel Embiid</v>
      </c>
      <c r="C2234" s="162" t="str">
        <f>IFERROR(__xludf.DUMMYFUNCTION("""COMPUTED_VALUE"""),"2017-18")</f>
        <v>2017-18</v>
      </c>
      <c r="D2234" s="163" t="str">
        <f>IFERROR(__xludf.DUMMYFUNCTION("""COMPUTED_VALUE"""),"PHI")</f>
        <v>PHI</v>
      </c>
      <c r="E2234" s="164" t="str">
        <f>IFERROR(__xludf.DUMMYFUNCTION("""COMPUTED_VALUE"""),"Post Scorer")</f>
        <v>Post Scorer</v>
      </c>
      <c r="F2234" s="164">
        <f>IFERROR(__xludf.DUMMYFUNCTION("""COMPUTED_VALUE"""),1912.135)</f>
        <v>1912.135</v>
      </c>
      <c r="G2234" s="163">
        <f>IFERROR(__xludf.DUMMYFUNCTION("""COMPUTED_VALUE"""),63.0)</f>
        <v>63</v>
      </c>
      <c r="H2234" s="163" t="str">
        <f>IFERROR(__xludf.DUMMYFUNCTION("""COMPUTED_VALUE"""),"C")</f>
        <v>C</v>
      </c>
      <c r="I2234" s="163">
        <f>IFERROR(__xludf.DUMMYFUNCTION("""COMPUTED_VALUE"""),23.0)</f>
        <v>23</v>
      </c>
      <c r="J2234" s="165">
        <f>IFERROR(__xludf.DUMMYFUNCTION("""COMPUTED_VALUE"""),3.87437481381607)</f>
        <v>3.874374814</v>
      </c>
      <c r="K2234" s="165">
        <f>IFERROR(__xludf.DUMMYFUNCTION("""COMPUTED_VALUE"""),2.21255965652858)</f>
        <v>2.212559657</v>
      </c>
      <c r="L2234" s="165">
        <f>IFERROR(__xludf.DUMMYFUNCTION("""COMPUTED_VALUE"""),1.66181515728749)</f>
        <v>1.661815157</v>
      </c>
      <c r="M2234" s="166">
        <f t="shared" si="2"/>
        <v>7.840878365</v>
      </c>
      <c r="N2234" s="167">
        <f t="shared" si="3"/>
        <v>30.35134921</v>
      </c>
      <c r="O2234" s="163">
        <f t="shared" ref="O2234:Q2234" si="2238">rank(I2234,I:I)</f>
        <v>2765</v>
      </c>
      <c r="P2234" s="163">
        <f t="shared" si="2238"/>
        <v>101</v>
      </c>
      <c r="Q2234" s="163">
        <f t="shared" si="2238"/>
        <v>197</v>
      </c>
      <c r="R2234" s="163">
        <f>IFERROR(__xludf.DUMMYFUNCTION("RANK(M2234,filter(M:M,C:C=C2234))"),24.0)</f>
        <v>24</v>
      </c>
      <c r="S2234" s="161" t="b">
        <f t="shared" si="5"/>
        <v>0</v>
      </c>
      <c r="T2234" s="161" t="b">
        <f t="array" ref="T2234">index('Query Tool'!B:B,match(H2234,'Query Tool'!C:C,0))</f>
        <v>1</v>
      </c>
      <c r="U2234" s="161" t="b">
        <f t="array" ref="U2234">index('Query Tool'!B:B,match(C2234,'Query Tool'!C:C,0))</f>
        <v>0</v>
      </c>
      <c r="V2234" s="161" t="b">
        <f>F2234&gt;='Query Tool'!C$32</f>
        <v>1</v>
      </c>
      <c r="W2234" s="161" t="b">
        <f t="array" ref="W2234">index(Dropdowns!B:B,match(I2234,Dropdowns!A:A,0))</f>
        <v>1</v>
      </c>
      <c r="X2234" s="161" t="b">
        <f t="array" ref="X2234">index('Query Tool'!B:B,match(D2234,'Query Tool'!C:C,0))</f>
        <v>1</v>
      </c>
      <c r="Y2234" s="161" t="str">
        <f t="shared" si="6"/>
        <v>embiijo01,2017-18</v>
      </c>
      <c r="Z2234" s="168">
        <f t="array" ref="Z2234">iferror(index(I:I,match($A2234&amp;","&amp;index('Year Conversion'!$A:$A,match($C2234,'Year Conversion'!$B:$B,0)),$Y:$Y,0))-I2234,"")</f>
        <v>1</v>
      </c>
      <c r="AA2234" s="168">
        <f t="array" ref="AA2234">iferror(index(J:J,match($A2234&amp;","&amp;index('Year Conversion'!$A:$A,match($C2234,'Year Conversion'!$B:$B,0)),$Y:$Y,0))-J2234,"")</f>
        <v>1.774578391</v>
      </c>
      <c r="AB2234" s="168">
        <f t="array" ref="AB2234">iferror(index(K:K,match($A2234&amp;","&amp;index('Year Conversion'!$A:$A,match($C2234,'Year Conversion'!$B:$B,0)),$Y:$Y,0))-K2234,"")</f>
        <v>0.8298777648</v>
      </c>
      <c r="AC2234" s="168" t="str">
        <f t="shared" si="7"/>
        <v>PHI,2017-18</v>
      </c>
    </row>
    <row r="2235">
      <c r="A2235" s="161" t="str">
        <f>IFERROR(__xludf.DUMMYFUNCTION("""COMPUTED_VALUE"""),"exumda01")</f>
        <v>exumda01</v>
      </c>
      <c r="B2235" s="161" t="str">
        <f>IFERROR(__xludf.DUMMYFUNCTION("""COMPUTED_VALUE"""),"Dante Exum")</f>
        <v>Dante Exum</v>
      </c>
      <c r="C2235" s="162" t="str">
        <f>IFERROR(__xludf.DUMMYFUNCTION("""COMPUTED_VALUE"""),"2017-18")</f>
        <v>2017-18</v>
      </c>
      <c r="D2235" s="163" t="str">
        <f>IFERROR(__xludf.DUMMYFUNCTION("""COMPUTED_VALUE"""),"UTA")</f>
        <v>UTA</v>
      </c>
      <c r="E2235" s="164" t="str">
        <f>IFERROR(__xludf.DUMMYFUNCTION("""COMPUTED_VALUE"""),"Slasher")</f>
        <v>Slasher</v>
      </c>
      <c r="F2235" s="164">
        <f>IFERROR(__xludf.DUMMYFUNCTION("""COMPUTED_VALUE"""),234.518333333333)</f>
        <v>234.5183333</v>
      </c>
      <c r="G2235" s="163">
        <f>IFERROR(__xludf.DUMMYFUNCTION("""COMPUTED_VALUE"""),14.0)</f>
        <v>14</v>
      </c>
      <c r="H2235" s="163" t="str">
        <f>IFERROR(__xludf.DUMMYFUNCTION("""COMPUTED_VALUE"""),"PG")</f>
        <v>PG</v>
      </c>
      <c r="I2235" s="163">
        <f>IFERROR(__xludf.DUMMYFUNCTION("""COMPUTED_VALUE"""),22.0)</f>
        <v>22</v>
      </c>
      <c r="J2235" s="165">
        <f>IFERROR(__xludf.DUMMYFUNCTION("""COMPUTED_VALUE"""),-0.140525133766686)</f>
        <v>-0.1405251338</v>
      </c>
      <c r="K2235" s="165">
        <f>IFERROR(__xludf.DUMMYFUNCTION("""COMPUTED_VALUE"""),0.300565640361209)</f>
        <v>0.3005656404</v>
      </c>
      <c r="L2235" s="165">
        <f>IFERROR(__xludf.DUMMYFUNCTION("""COMPUTED_VALUE"""),-0.441090774127895)</f>
        <v>-0.4410907741</v>
      </c>
      <c r="M2235" s="166">
        <f t="shared" si="2"/>
        <v>0.3393312958</v>
      </c>
      <c r="N2235" s="167">
        <f t="shared" si="3"/>
        <v>16.75130952</v>
      </c>
      <c r="O2235" s="163">
        <f t="shared" ref="O2235:Q2235" si="2239">rank(I2235,I:I)</f>
        <v>3178</v>
      </c>
      <c r="P2235" s="163">
        <f t="shared" si="2239"/>
        <v>1425</v>
      </c>
      <c r="Q2235" s="163">
        <f t="shared" si="2239"/>
        <v>910</v>
      </c>
      <c r="R2235" s="163">
        <f>IFERROR(__xludf.DUMMYFUNCTION("RANK(M2235,filter(M:M,C:C=C2235))"),314.0)</f>
        <v>314</v>
      </c>
      <c r="S2235" s="161" t="b">
        <f t="shared" si="5"/>
        <v>0</v>
      </c>
      <c r="T2235" s="161" t="b">
        <f t="array" ref="T2235">index('Query Tool'!B:B,match(H2235,'Query Tool'!C:C,0))</f>
        <v>1</v>
      </c>
      <c r="U2235" s="161" t="b">
        <f t="array" ref="U2235">index('Query Tool'!B:B,match(C2235,'Query Tool'!C:C,0))</f>
        <v>0</v>
      </c>
      <c r="V2235" s="161" t="b">
        <f>F2235&gt;='Query Tool'!C$32</f>
        <v>0</v>
      </c>
      <c r="W2235" s="161" t="b">
        <f t="array" ref="W2235">index(Dropdowns!B:B,match(I2235,Dropdowns!A:A,0))</f>
        <v>1</v>
      </c>
      <c r="X2235" s="161" t="b">
        <f t="array" ref="X2235">index('Query Tool'!B:B,match(D2235,'Query Tool'!C:C,0))</f>
        <v>1</v>
      </c>
      <c r="Y2235" s="161" t="str">
        <f t="shared" si="6"/>
        <v>exumda01,2017-18</v>
      </c>
      <c r="Z2235" s="168">
        <f t="array" ref="Z2235">iferror(index(I:I,match($A2235&amp;","&amp;index('Year Conversion'!$A:$A,match($C2235,'Year Conversion'!$B:$B,0)),$Y:$Y,0))-I2235,"")</f>
        <v>1</v>
      </c>
      <c r="AA2235" s="168">
        <f t="array" ref="AA2235">iferror(index(J:J,match($A2235&amp;","&amp;index('Year Conversion'!$A:$A,match($C2235,'Year Conversion'!$B:$B,0)),$Y:$Y,0))-J2235,"")</f>
        <v>-1.040369692</v>
      </c>
      <c r="AB2235" s="168">
        <f t="array" ref="AB2235">iferror(index(K:K,match($A2235&amp;","&amp;index('Year Conversion'!$A:$A,match($C2235,'Year Conversion'!$B:$B,0)),$Y:$Y,0))-K2235,"")</f>
        <v>-0.57964805</v>
      </c>
      <c r="AC2235" s="168" t="str">
        <f t="shared" si="7"/>
        <v>UTA,2017-18</v>
      </c>
    </row>
    <row r="2236">
      <c r="A2236" s="161" t="str">
        <f>IFERROR(__xludf.DUMMYFUNCTION("""COMPUTED_VALUE"""),"sampsja02")</f>
        <v>sampsja02</v>
      </c>
      <c r="B2236" s="161" t="str">
        <f>IFERROR(__xludf.DUMMYFUNCTION("""COMPUTED_VALUE"""),"JaKarr Sampson")</f>
        <v>JaKarr Sampson</v>
      </c>
      <c r="C2236" s="162" t="str">
        <f>IFERROR(__xludf.DUMMYFUNCTION("""COMPUTED_VALUE"""),"2017-18")</f>
        <v>2017-18</v>
      </c>
      <c r="D2236" s="163" t="str">
        <f>IFERROR(__xludf.DUMMYFUNCTION("""COMPUTED_VALUE"""),"SAC")</f>
        <v>SAC</v>
      </c>
      <c r="E2236" s="164" t="str">
        <f>IFERROR(__xludf.DUMMYFUNCTION("""COMPUTED_VALUE"""),"Roll + Cut Big")</f>
        <v>Roll + Cut Big</v>
      </c>
      <c r="F2236" s="164">
        <f>IFERROR(__xludf.DUMMYFUNCTION("""COMPUTED_VALUE"""),344.216666666667)</f>
        <v>344.2166667</v>
      </c>
      <c r="G2236" s="163">
        <f>IFERROR(__xludf.DUMMYFUNCTION("""COMPUTED_VALUE"""),22.0)</f>
        <v>22</v>
      </c>
      <c r="H2236" s="163" t="str">
        <f>IFERROR(__xludf.DUMMYFUNCTION("""COMPUTED_VALUE"""),"SF")</f>
        <v>SF</v>
      </c>
      <c r="I2236" s="163">
        <f>IFERROR(__xludf.DUMMYFUNCTION("""COMPUTED_VALUE"""),24.0)</f>
        <v>24</v>
      </c>
      <c r="J2236" s="165">
        <f>IFERROR(__xludf.DUMMYFUNCTION("""COMPUTED_VALUE"""),0.0791600458654853)</f>
        <v>0.07916004587</v>
      </c>
      <c r="K2236" s="165">
        <f>IFERROR(__xludf.DUMMYFUNCTION("""COMPUTED_VALUE"""),-1.83696775534843)</f>
        <v>-1.836967755</v>
      </c>
      <c r="L2236" s="165">
        <f>IFERROR(__xludf.DUMMYFUNCTION("""COMPUTED_VALUE"""),1.91612780121392)</f>
        <v>1.916127801</v>
      </c>
      <c r="M2236" s="166">
        <f t="shared" si="2"/>
        <v>0.5490376649</v>
      </c>
      <c r="N2236" s="167">
        <f t="shared" si="3"/>
        <v>15.64621212</v>
      </c>
      <c r="O2236" s="163">
        <f t="shared" ref="O2236:Q2236" si="2240">rank(I2236,I:I)</f>
        <v>2361</v>
      </c>
      <c r="P2236" s="163">
        <f t="shared" si="2240"/>
        <v>1213</v>
      </c>
      <c r="Q2236" s="163">
        <f t="shared" si="2240"/>
        <v>3598</v>
      </c>
      <c r="R2236" s="163">
        <f>IFERROR(__xludf.DUMMYFUNCTION("RANK(M2236,filter(M:M,C:C=C2236))"),287.0)</f>
        <v>287</v>
      </c>
      <c r="S2236" s="161" t="b">
        <f t="shared" si="5"/>
        <v>0</v>
      </c>
      <c r="T2236" s="161" t="b">
        <f t="array" ref="T2236">index('Query Tool'!B:B,match(H2236,'Query Tool'!C:C,0))</f>
        <v>1</v>
      </c>
      <c r="U2236" s="161" t="b">
        <f t="array" ref="U2236">index('Query Tool'!B:B,match(C2236,'Query Tool'!C:C,0))</f>
        <v>0</v>
      </c>
      <c r="V2236" s="161" t="b">
        <f>F2236&gt;='Query Tool'!C$32</f>
        <v>0</v>
      </c>
      <c r="W2236" s="161" t="b">
        <f t="array" ref="W2236">index(Dropdowns!B:B,match(I2236,Dropdowns!A:A,0))</f>
        <v>1</v>
      </c>
      <c r="X2236" s="161" t="b">
        <f t="array" ref="X2236">index('Query Tool'!B:B,match(D2236,'Query Tool'!C:C,0))</f>
        <v>1</v>
      </c>
      <c r="Y2236" s="161" t="str">
        <f t="shared" si="6"/>
        <v>sampsja02,2017-18</v>
      </c>
      <c r="Z2236" s="168">
        <f t="array" ref="Z2236">iferror(index(I:I,match($A2236&amp;","&amp;index('Year Conversion'!$A:$A,match($C2236,'Year Conversion'!$B:$B,0)),$Y:$Y,0))-I2236,"")</f>
        <v>1</v>
      </c>
      <c r="AA2236" s="168">
        <f t="array" ref="AA2236">iferror(index(J:J,match($A2236&amp;","&amp;index('Year Conversion'!$A:$A,match($C2236,'Year Conversion'!$B:$B,0)),$Y:$Y,0))-J2236,"")</f>
        <v>-0.08720714655</v>
      </c>
      <c r="AB2236" s="168">
        <f t="array" ref="AB2236">iferror(index(K:K,match($A2236&amp;","&amp;index('Year Conversion'!$A:$A,match($C2236,'Year Conversion'!$B:$B,0)),$Y:$Y,0))-K2236,"")</f>
        <v>1.836034303</v>
      </c>
      <c r="AC2236" s="168" t="str">
        <f t="shared" si="7"/>
        <v>SAC,2017-18</v>
      </c>
    </row>
    <row r="2237">
      <c r="A2237" s="161" t="str">
        <f>IFERROR(__xludf.DUMMYFUNCTION("""COMPUTED_VALUE"""),"moreler01")</f>
        <v>moreler01</v>
      </c>
      <c r="B2237" s="161" t="str">
        <f>IFERROR(__xludf.DUMMYFUNCTION("""COMPUTED_VALUE"""),"Eric Moreland")</f>
        <v>Eric Moreland</v>
      </c>
      <c r="C2237" s="162" t="str">
        <f>IFERROR(__xludf.DUMMYFUNCTION("""COMPUTED_VALUE"""),"2017-18")</f>
        <v>2017-18</v>
      </c>
      <c r="D2237" s="163" t="str">
        <f>IFERROR(__xludf.DUMMYFUNCTION("""COMPUTED_VALUE"""),"DET")</f>
        <v>DET</v>
      </c>
      <c r="E2237" s="164" t="str">
        <f>IFERROR(__xludf.DUMMYFUNCTION("""COMPUTED_VALUE"""),"Roll + Cut Big")</f>
        <v>Roll + Cut Big</v>
      </c>
      <c r="F2237" s="164">
        <f>IFERROR(__xludf.DUMMYFUNCTION("""COMPUTED_VALUE"""),805.115)</f>
        <v>805.115</v>
      </c>
      <c r="G2237" s="163">
        <f>IFERROR(__xludf.DUMMYFUNCTION("""COMPUTED_VALUE"""),67.0)</f>
        <v>67</v>
      </c>
      <c r="H2237" s="163" t="str">
        <f>IFERROR(__xludf.DUMMYFUNCTION("""COMPUTED_VALUE"""),"PF")</f>
        <v>PF</v>
      </c>
      <c r="I2237" s="163">
        <f>IFERROR(__xludf.DUMMYFUNCTION("""COMPUTED_VALUE"""),26.0)</f>
        <v>26</v>
      </c>
      <c r="J2237" s="165">
        <f>IFERROR(__xludf.DUMMYFUNCTION("""COMPUTED_VALUE"""),1.59446992266584)</f>
        <v>1.594469923</v>
      </c>
      <c r="K2237" s="165">
        <f>IFERROR(__xludf.DUMMYFUNCTION("""COMPUTED_VALUE"""),-1.99739665931222)</f>
        <v>-1.997396659</v>
      </c>
      <c r="L2237" s="165">
        <f>IFERROR(__xludf.DUMMYFUNCTION("""COMPUTED_VALUE"""),3.59186658197806)</f>
        <v>3.591866582</v>
      </c>
      <c r="M2237" s="166">
        <f t="shared" si="2"/>
        <v>2.103653971</v>
      </c>
      <c r="N2237" s="167">
        <f t="shared" si="3"/>
        <v>12.01664179</v>
      </c>
      <c r="O2237" s="163">
        <f t="shared" ref="O2237:Q2237" si="2241">rank(I2237,I:I)</f>
        <v>1665</v>
      </c>
      <c r="P2237" s="163">
        <f t="shared" si="2241"/>
        <v>431</v>
      </c>
      <c r="Q2237" s="163">
        <f t="shared" si="2241"/>
        <v>3710</v>
      </c>
      <c r="R2237" s="163">
        <f>IFERROR(__xludf.DUMMYFUNCTION("RANK(M2237,filter(M:M,C:C=C2237))"),154.0)</f>
        <v>154</v>
      </c>
      <c r="S2237" s="161" t="b">
        <f t="shared" si="5"/>
        <v>0</v>
      </c>
      <c r="T2237" s="161" t="b">
        <f t="array" ref="T2237">index('Query Tool'!B:B,match(H2237,'Query Tool'!C:C,0))</f>
        <v>1</v>
      </c>
      <c r="U2237" s="161" t="b">
        <f t="array" ref="U2237">index('Query Tool'!B:B,match(C2237,'Query Tool'!C:C,0))</f>
        <v>0</v>
      </c>
      <c r="V2237" s="161" t="b">
        <f>F2237&gt;='Query Tool'!C$32</f>
        <v>1</v>
      </c>
      <c r="W2237" s="161" t="b">
        <f t="array" ref="W2237">index(Dropdowns!B:B,match(I2237,Dropdowns!A:A,0))</f>
        <v>1</v>
      </c>
      <c r="X2237" s="161" t="b">
        <f t="array" ref="X2237">index('Query Tool'!B:B,match(D2237,'Query Tool'!C:C,0))</f>
        <v>1</v>
      </c>
      <c r="Y2237" s="161" t="str">
        <f t="shared" si="6"/>
        <v>moreler01,2017-18</v>
      </c>
      <c r="Z2237" s="168">
        <f t="array" ref="Z2237">iferror(index(I:I,match($A2237&amp;","&amp;index('Year Conversion'!$A:$A,match($C2237,'Year Conversion'!$B:$B,0)),$Y:$Y,0))-I2237,"")</f>
        <v>1</v>
      </c>
      <c r="AA2237" s="168">
        <f t="array" ref="AA2237">iferror(index(J:J,match($A2237&amp;","&amp;index('Year Conversion'!$A:$A,match($C2237,'Year Conversion'!$B:$B,0)),$Y:$Y,0))-J2237,"")</f>
        <v>-2.568961609</v>
      </c>
      <c r="AB2237" s="168">
        <f t="array" ref="AB2237">iferror(index(K:K,match($A2237&amp;","&amp;index('Year Conversion'!$A:$A,match($C2237,'Year Conversion'!$B:$B,0)),$Y:$Y,0))-K2237,"")</f>
        <v>1.459032568</v>
      </c>
      <c r="AC2237" s="168" t="str">
        <f t="shared" si="7"/>
        <v>DET,2017-18</v>
      </c>
    </row>
    <row r="2238">
      <c r="A2238" s="161" t="str">
        <f>IFERROR(__xludf.DUMMYFUNCTION("""COMPUTED_VALUE"""),"huestjo01")</f>
        <v>huestjo01</v>
      </c>
      <c r="B2238" s="161" t="str">
        <f>IFERROR(__xludf.DUMMYFUNCTION("""COMPUTED_VALUE"""),"Josh Huestis")</f>
        <v>Josh Huestis</v>
      </c>
      <c r="C2238" s="162" t="str">
        <f>IFERROR(__xludf.DUMMYFUNCTION("""COMPUTED_VALUE"""),"2017-18")</f>
        <v>2017-18</v>
      </c>
      <c r="D2238" s="163" t="str">
        <f>IFERROR(__xludf.DUMMYFUNCTION("""COMPUTED_VALUE"""),"OKC")</f>
        <v>OKC</v>
      </c>
      <c r="E2238" s="164" t="str">
        <f>IFERROR(__xludf.DUMMYFUNCTION("""COMPUTED_VALUE"""),"Athletic Finisher")</f>
        <v>Athletic Finisher</v>
      </c>
      <c r="F2238" s="164">
        <f>IFERROR(__xludf.DUMMYFUNCTION("""COMPUTED_VALUE"""),981.548333333334)</f>
        <v>981.5483333</v>
      </c>
      <c r="G2238" s="163">
        <f>IFERROR(__xludf.DUMMYFUNCTION("""COMPUTED_VALUE"""),69.0)</f>
        <v>69</v>
      </c>
      <c r="H2238" s="163" t="str">
        <f>IFERROR(__xludf.DUMMYFUNCTION("""COMPUTED_VALUE"""),"PF")</f>
        <v>PF</v>
      </c>
      <c r="I2238" s="163">
        <f>IFERROR(__xludf.DUMMYFUNCTION("""COMPUTED_VALUE"""),26.0)</f>
        <v>26</v>
      </c>
      <c r="J2238" s="165">
        <f>IFERROR(__xludf.DUMMYFUNCTION("""COMPUTED_VALUE"""),-0.810621732746391)</f>
        <v>-0.8106217327</v>
      </c>
      <c r="K2238" s="165">
        <f>IFERROR(__xludf.DUMMYFUNCTION("""COMPUTED_VALUE"""),-1.67502192094217)</f>
        <v>-1.675021921</v>
      </c>
      <c r="L2238" s="165">
        <f>IFERROR(__xludf.DUMMYFUNCTION("""COMPUTED_VALUE"""),0.864400188195776)</f>
        <v>0.8644001882</v>
      </c>
      <c r="M2238" s="166">
        <f t="shared" si="2"/>
        <v>0.9772806443</v>
      </c>
      <c r="N2238" s="167">
        <f t="shared" si="3"/>
        <v>14.22533816</v>
      </c>
      <c r="O2238" s="163">
        <f t="shared" ref="O2238:Q2238" si="2242">rank(I2238,I:I)</f>
        <v>1665</v>
      </c>
      <c r="P2238" s="163">
        <f t="shared" si="2242"/>
        <v>2294</v>
      </c>
      <c r="Q2238" s="163">
        <f t="shared" si="2242"/>
        <v>3502</v>
      </c>
      <c r="R2238" s="163">
        <f>IFERROR(__xludf.DUMMYFUNCTION("RANK(M2238,filter(M:M,C:C=C2238))"),237.0)</f>
        <v>237</v>
      </c>
      <c r="S2238" s="161" t="b">
        <f t="shared" si="5"/>
        <v>0</v>
      </c>
      <c r="T2238" s="161" t="b">
        <f t="array" ref="T2238">index('Query Tool'!B:B,match(H2238,'Query Tool'!C:C,0))</f>
        <v>1</v>
      </c>
      <c r="U2238" s="161" t="b">
        <f t="array" ref="U2238">index('Query Tool'!B:B,match(C2238,'Query Tool'!C:C,0))</f>
        <v>0</v>
      </c>
      <c r="V2238" s="161" t="b">
        <f>F2238&gt;='Query Tool'!C$32</f>
        <v>1</v>
      </c>
      <c r="W2238" s="161" t="b">
        <f t="array" ref="W2238">index(Dropdowns!B:B,match(I2238,Dropdowns!A:A,0))</f>
        <v>1</v>
      </c>
      <c r="X2238" s="161" t="b">
        <f t="array" ref="X2238">index('Query Tool'!B:B,match(D2238,'Query Tool'!C:C,0))</f>
        <v>1</v>
      </c>
      <c r="Y2238" s="161" t="str">
        <f t="shared" si="6"/>
        <v>huestjo01,2017-18</v>
      </c>
      <c r="Z2238" s="168" t="str">
        <f t="array" ref="Z2238">iferror(index(I:I,match($A2238&amp;","&amp;index('Year Conversion'!$A:$A,match($C2238,'Year Conversion'!$B:$B,0)),$Y:$Y,0))-I2238,"")</f>
        <v/>
      </c>
      <c r="AA2238" s="168" t="str">
        <f t="array" ref="AA2238">iferror(index(J:J,match($A2238&amp;","&amp;index('Year Conversion'!$A:$A,match($C2238,'Year Conversion'!$B:$B,0)),$Y:$Y,0))-J2238,"")</f>
        <v/>
      </c>
      <c r="AB2238" s="168" t="str">
        <f t="array" ref="AB2238">iferror(index(K:K,match($A2238&amp;","&amp;index('Year Conversion'!$A:$A,match($C2238,'Year Conversion'!$B:$B,0)),$Y:$Y,0))-K2238,"")</f>
        <v/>
      </c>
      <c r="AC2238" s="168" t="str">
        <f t="shared" si="7"/>
        <v>OKC,2017-18</v>
      </c>
    </row>
    <row r="2239">
      <c r="A2239" s="161" t="str">
        <f>IFERROR(__xludf.DUMMYFUNCTION("""COMPUTED_VALUE"""),"wilsoja02")</f>
        <v>wilsoja02</v>
      </c>
      <c r="B2239" s="161" t="str">
        <f>IFERROR(__xludf.DUMMYFUNCTION("""COMPUTED_VALUE"""),"Jamil Wilson")</f>
        <v>Jamil Wilson</v>
      </c>
      <c r="C2239" s="162" t="str">
        <f>IFERROR(__xludf.DUMMYFUNCTION("""COMPUTED_VALUE"""),"2017-18")</f>
        <v>2017-18</v>
      </c>
      <c r="D2239" s="163" t="str">
        <f>IFERROR(__xludf.DUMMYFUNCTION("""COMPUTED_VALUE"""),"LAC")</f>
        <v>LAC</v>
      </c>
      <c r="E2239" s="164" t="str">
        <f>IFERROR(__xludf.DUMMYFUNCTION("""COMPUTED_VALUE"""),"Stationary Shooter")</f>
        <v>Stationary Shooter</v>
      </c>
      <c r="F2239" s="164">
        <f>IFERROR(__xludf.DUMMYFUNCTION("""COMPUTED_VALUE"""),273.756666666667)</f>
        <v>273.7566667</v>
      </c>
      <c r="G2239" s="163">
        <f>IFERROR(__xludf.DUMMYFUNCTION("""COMPUTED_VALUE"""),15.0)</f>
        <v>15</v>
      </c>
      <c r="H2239" s="163" t="str">
        <f>IFERROR(__xludf.DUMMYFUNCTION("""COMPUTED_VALUE"""),"SF")</f>
        <v>SF</v>
      </c>
      <c r="I2239" s="163">
        <f>IFERROR(__xludf.DUMMYFUNCTION("""COMPUTED_VALUE"""),27.0)</f>
        <v>27</v>
      </c>
      <c r="J2239" s="165">
        <f>IFERROR(__xludf.DUMMYFUNCTION("""COMPUTED_VALUE"""),-1.00143198936057)</f>
        <v>-1.001431989</v>
      </c>
      <c r="K2239" s="165">
        <f>IFERROR(__xludf.DUMMYFUNCTION("""COMPUTED_VALUE"""),-1.07648407806381)</f>
        <v>-1.076484078</v>
      </c>
      <c r="L2239" s="165">
        <f>IFERROR(__xludf.DUMMYFUNCTION("""COMPUTED_VALUE"""),0.075052088703232)</f>
        <v>0.0750520887</v>
      </c>
      <c r="M2239" s="166">
        <f t="shared" si="2"/>
        <v>0.2374703442</v>
      </c>
      <c r="N2239" s="167">
        <f t="shared" si="3"/>
        <v>18.25044444</v>
      </c>
      <c r="O2239" s="163">
        <f t="shared" ref="O2239:Q2239" si="2243">rank(I2239,I:I)</f>
        <v>1366</v>
      </c>
      <c r="P2239" s="163">
        <f t="shared" si="2243"/>
        <v>2505</v>
      </c>
      <c r="Q2239" s="163">
        <f t="shared" si="2243"/>
        <v>2905</v>
      </c>
      <c r="R2239" s="163">
        <f>IFERROR(__xludf.DUMMYFUNCTION("RANK(M2239,filter(M:M,C:C=C2239))"),334.0)</f>
        <v>334</v>
      </c>
      <c r="S2239" s="161" t="b">
        <f t="shared" si="5"/>
        <v>0</v>
      </c>
      <c r="T2239" s="161" t="b">
        <f t="array" ref="T2239">index('Query Tool'!B:B,match(H2239,'Query Tool'!C:C,0))</f>
        <v>1</v>
      </c>
      <c r="U2239" s="161" t="b">
        <f t="array" ref="U2239">index('Query Tool'!B:B,match(C2239,'Query Tool'!C:C,0))</f>
        <v>0</v>
      </c>
      <c r="V2239" s="161" t="b">
        <f>F2239&gt;='Query Tool'!C$32</f>
        <v>0</v>
      </c>
      <c r="W2239" s="161" t="b">
        <f t="array" ref="W2239">index(Dropdowns!B:B,match(I2239,Dropdowns!A:A,0))</f>
        <v>1</v>
      </c>
      <c r="X2239" s="161" t="b">
        <f t="array" ref="X2239">index('Query Tool'!B:B,match(D2239,'Query Tool'!C:C,0))</f>
        <v>1</v>
      </c>
      <c r="Y2239" s="161" t="str">
        <f t="shared" si="6"/>
        <v>wilsoja02,2017-18</v>
      </c>
      <c r="Z2239" s="168" t="str">
        <f t="array" ref="Z2239">iferror(index(I:I,match($A2239&amp;","&amp;index('Year Conversion'!$A:$A,match($C2239,'Year Conversion'!$B:$B,0)),$Y:$Y,0))-I2239,"")</f>
        <v/>
      </c>
      <c r="AA2239" s="168" t="str">
        <f t="array" ref="AA2239">iferror(index(J:J,match($A2239&amp;","&amp;index('Year Conversion'!$A:$A,match($C2239,'Year Conversion'!$B:$B,0)),$Y:$Y,0))-J2239,"")</f>
        <v/>
      </c>
      <c r="AB2239" s="168" t="str">
        <f t="array" ref="AB2239">iferror(index(K:K,match($A2239&amp;","&amp;index('Year Conversion'!$A:$A,match($C2239,'Year Conversion'!$B:$B,0)),$Y:$Y,0))-K2239,"")</f>
        <v/>
      </c>
      <c r="AC2239" s="168" t="str">
        <f t="shared" si="7"/>
        <v>LAC,2017-18</v>
      </c>
    </row>
    <row r="2240">
      <c r="A2240" s="161" t="str">
        <f>IFERROR(__xludf.DUMMYFUNCTION("""COMPUTED_VALUE"""),"saricda01")</f>
        <v>saricda01</v>
      </c>
      <c r="B2240" s="161" t="str">
        <f>IFERROR(__xludf.DUMMYFUNCTION("""COMPUTED_VALUE"""),"Dario Saric")</f>
        <v>Dario Saric</v>
      </c>
      <c r="C2240" s="162" t="str">
        <f>IFERROR(__xludf.DUMMYFUNCTION("""COMPUTED_VALUE"""),"2017-18")</f>
        <v>2017-18</v>
      </c>
      <c r="D2240" s="163" t="str">
        <f>IFERROR(__xludf.DUMMYFUNCTION("""COMPUTED_VALUE"""),"PHI")</f>
        <v>PHI</v>
      </c>
      <c r="E2240" s="164" t="str">
        <f>IFERROR(__xludf.DUMMYFUNCTION("""COMPUTED_VALUE"""),"Athletic Finisher")</f>
        <v>Athletic Finisher</v>
      </c>
      <c r="F2240" s="164">
        <f>IFERROR(__xludf.DUMMYFUNCTION("""COMPUTED_VALUE"""),2310.07)</f>
        <v>2310.07</v>
      </c>
      <c r="G2240" s="163">
        <f>IFERROR(__xludf.DUMMYFUNCTION("""COMPUTED_VALUE"""),78.0)</f>
        <v>78</v>
      </c>
      <c r="H2240" s="163" t="str">
        <f>IFERROR(__xludf.DUMMYFUNCTION("""COMPUTED_VALUE"""),"PF")</f>
        <v>PF</v>
      </c>
      <c r="I2240" s="163">
        <f>IFERROR(__xludf.DUMMYFUNCTION("""COMPUTED_VALUE"""),23.0)</f>
        <v>23</v>
      </c>
      <c r="J2240" s="165">
        <f>IFERROR(__xludf.DUMMYFUNCTION("""COMPUTED_VALUE"""),0.99894736859262)</f>
        <v>0.9989473686</v>
      </c>
      <c r="K2240" s="165">
        <f>IFERROR(__xludf.DUMMYFUNCTION("""COMPUTED_VALUE"""),0.956598308800918)</f>
        <v>0.9565983088</v>
      </c>
      <c r="L2240" s="165">
        <f>IFERROR(__xludf.DUMMYFUNCTION("""COMPUTED_VALUE"""),0.0423490597917025)</f>
        <v>0.04234905979</v>
      </c>
      <c r="M2240" s="166">
        <f t="shared" si="2"/>
        <v>5.114991044</v>
      </c>
      <c r="N2240" s="167">
        <f t="shared" si="3"/>
        <v>29.61628205</v>
      </c>
      <c r="O2240" s="163">
        <f t="shared" ref="O2240:Q2240" si="2244">rank(I2240,I:I)</f>
        <v>2765</v>
      </c>
      <c r="P2240" s="163">
        <f t="shared" si="2244"/>
        <v>660</v>
      </c>
      <c r="Q2240" s="163">
        <f t="shared" si="2244"/>
        <v>525</v>
      </c>
      <c r="R2240" s="163">
        <f>IFERROR(__xludf.DUMMYFUNCTION("RANK(M2240,filter(M:M,C:C=C2240))"),52.0)</f>
        <v>52</v>
      </c>
      <c r="S2240" s="161" t="b">
        <f t="shared" si="5"/>
        <v>0</v>
      </c>
      <c r="T2240" s="161" t="b">
        <f t="array" ref="T2240">index('Query Tool'!B:B,match(H2240,'Query Tool'!C:C,0))</f>
        <v>1</v>
      </c>
      <c r="U2240" s="161" t="b">
        <f t="array" ref="U2240">index('Query Tool'!B:B,match(C2240,'Query Tool'!C:C,0))</f>
        <v>0</v>
      </c>
      <c r="V2240" s="161" t="b">
        <f>F2240&gt;='Query Tool'!C$32</f>
        <v>1</v>
      </c>
      <c r="W2240" s="161" t="b">
        <f t="array" ref="W2240">index(Dropdowns!B:B,match(I2240,Dropdowns!A:A,0))</f>
        <v>1</v>
      </c>
      <c r="X2240" s="161" t="b">
        <f t="array" ref="X2240">index('Query Tool'!B:B,match(D2240,'Query Tool'!C:C,0))</f>
        <v>1</v>
      </c>
      <c r="Y2240" s="161" t="str">
        <f t="shared" si="6"/>
        <v>saricda01,2017-18</v>
      </c>
      <c r="Z2240" s="168">
        <f t="array" ref="Z2240">iferror(index(I:I,match($A2240&amp;","&amp;index('Year Conversion'!$A:$A,match($C2240,'Year Conversion'!$B:$B,0)),$Y:$Y,0))-I2240,"")</f>
        <v>1</v>
      </c>
      <c r="AA2240" s="168">
        <f t="array" ref="AA2240">iferror(index(J:J,match($A2240&amp;","&amp;index('Year Conversion'!$A:$A,match($C2240,'Year Conversion'!$B:$B,0)),$Y:$Y,0))-J2240,"")</f>
        <v>-2.012691663</v>
      </c>
      <c r="AB2240" s="168">
        <f t="array" ref="AB2240">iferror(index(K:K,match($A2240&amp;","&amp;index('Year Conversion'!$A:$A,match($C2240,'Year Conversion'!$B:$B,0)),$Y:$Y,0))-K2240,"")</f>
        <v>-1.070304892</v>
      </c>
      <c r="AC2240" s="168" t="str">
        <f t="shared" si="7"/>
        <v>PHI,2017-18</v>
      </c>
    </row>
    <row r="2241">
      <c r="A2241" s="161" t="str">
        <f>IFERROR(__xludf.DUMMYFUNCTION("""COMPUTED_VALUE"""),"capelca01")</f>
        <v>capelca01</v>
      </c>
      <c r="B2241" s="161" t="str">
        <f>IFERROR(__xludf.DUMMYFUNCTION("""COMPUTED_VALUE"""),"Clint Capela")</f>
        <v>Clint Capela</v>
      </c>
      <c r="C2241" s="162" t="str">
        <f>IFERROR(__xludf.DUMMYFUNCTION("""COMPUTED_VALUE"""),"2017-18")</f>
        <v>2017-18</v>
      </c>
      <c r="D2241" s="163" t="str">
        <f>IFERROR(__xludf.DUMMYFUNCTION("""COMPUTED_VALUE"""),"HOU")</f>
        <v>HOU</v>
      </c>
      <c r="E2241" s="164" t="str">
        <f>IFERROR(__xludf.DUMMYFUNCTION("""COMPUTED_VALUE"""),"Roll + Cut Big")</f>
        <v>Roll + Cut Big</v>
      </c>
      <c r="F2241" s="164">
        <f>IFERROR(__xludf.DUMMYFUNCTION("""COMPUTED_VALUE"""),2034.10833333333)</f>
        <v>2034.108333</v>
      </c>
      <c r="G2241" s="163">
        <f>IFERROR(__xludf.DUMMYFUNCTION("""COMPUTED_VALUE"""),74.0)</f>
        <v>74</v>
      </c>
      <c r="H2241" s="163" t="str">
        <f>IFERROR(__xludf.DUMMYFUNCTION("""COMPUTED_VALUE"""),"C")</f>
        <v>C</v>
      </c>
      <c r="I2241" s="163">
        <f>IFERROR(__xludf.DUMMYFUNCTION("""COMPUTED_VALUE"""),23.0)</f>
        <v>23</v>
      </c>
      <c r="J2241" s="165">
        <f>IFERROR(__xludf.DUMMYFUNCTION("""COMPUTED_VALUE"""),2.78529516977976)</f>
        <v>2.78529517</v>
      </c>
      <c r="K2241" s="165">
        <f>IFERROR(__xludf.DUMMYFUNCTION("""COMPUTED_VALUE"""),0.720840603840182)</f>
        <v>0.7208406038</v>
      </c>
      <c r="L2241" s="165">
        <f>IFERROR(__xludf.DUMMYFUNCTION("""COMPUTED_VALUE"""),2.06445456593958)</f>
        <v>2.064454566</v>
      </c>
      <c r="M2241" s="166">
        <f t="shared" si="2"/>
        <v>6.914960712</v>
      </c>
      <c r="N2241" s="167">
        <f t="shared" si="3"/>
        <v>27.48795045</v>
      </c>
      <c r="O2241" s="163">
        <f t="shared" ref="O2241:Q2241" si="2245">rank(I2241,I:I)</f>
        <v>2765</v>
      </c>
      <c r="P2241" s="163">
        <f t="shared" si="2245"/>
        <v>189</v>
      </c>
      <c r="Q2241" s="163">
        <f t="shared" si="2245"/>
        <v>639</v>
      </c>
      <c r="R2241" s="163">
        <f>IFERROR(__xludf.DUMMYFUNCTION("RANK(M2241,filter(M:M,C:C=C2241))"),32.0)</f>
        <v>32</v>
      </c>
      <c r="S2241" s="161" t="b">
        <f t="shared" si="5"/>
        <v>0</v>
      </c>
      <c r="T2241" s="161" t="b">
        <f t="array" ref="T2241">index('Query Tool'!B:B,match(H2241,'Query Tool'!C:C,0))</f>
        <v>1</v>
      </c>
      <c r="U2241" s="161" t="b">
        <f t="array" ref="U2241">index('Query Tool'!B:B,match(C2241,'Query Tool'!C:C,0))</f>
        <v>0</v>
      </c>
      <c r="V2241" s="161" t="b">
        <f>F2241&gt;='Query Tool'!C$32</f>
        <v>1</v>
      </c>
      <c r="W2241" s="161" t="b">
        <f t="array" ref="W2241">index(Dropdowns!B:B,match(I2241,Dropdowns!A:A,0))</f>
        <v>1</v>
      </c>
      <c r="X2241" s="161" t="b">
        <f t="array" ref="X2241">index('Query Tool'!B:B,match(D2241,'Query Tool'!C:C,0))</f>
        <v>1</v>
      </c>
      <c r="Y2241" s="161" t="str">
        <f t="shared" si="6"/>
        <v>capelca01,2017-18</v>
      </c>
      <c r="Z2241" s="168">
        <f t="array" ref="Z2241">iferror(index(I:I,match($A2241&amp;","&amp;index('Year Conversion'!$A:$A,match($C2241,'Year Conversion'!$B:$B,0)),$Y:$Y,0))-I2241,"")</f>
        <v>1</v>
      </c>
      <c r="AA2241" s="168">
        <f t="array" ref="AA2241">iferror(index(J:J,match($A2241&amp;","&amp;index('Year Conversion'!$A:$A,match($C2241,'Year Conversion'!$B:$B,0)),$Y:$Y,0))-J2241,"")</f>
        <v>-0.5724878599</v>
      </c>
      <c r="AB2241" s="168">
        <f t="array" ref="AB2241">iferror(index(K:K,match($A2241&amp;","&amp;index('Year Conversion'!$A:$A,match($C2241,'Year Conversion'!$B:$B,0)),$Y:$Y,0))-K2241,"")</f>
        <v>-0.02248165557</v>
      </c>
      <c r="AC2241" s="168" t="str">
        <f t="shared" si="7"/>
        <v>HOU,2017-18</v>
      </c>
    </row>
    <row r="2242">
      <c r="A2242" s="161" t="str">
        <f>IFERROR(__xludf.DUMMYFUNCTION("""COMPUTED_VALUE"""),"bogdabo01")</f>
        <v>bogdabo01</v>
      </c>
      <c r="B2242" s="161" t="str">
        <f>IFERROR(__xludf.DUMMYFUNCTION("""COMPUTED_VALUE"""),"Bogdan Bogdanovic")</f>
        <v>Bogdan Bogdanovic</v>
      </c>
      <c r="C2242" s="162" t="str">
        <f>IFERROR(__xludf.DUMMYFUNCTION("""COMPUTED_VALUE"""),"2017-18")</f>
        <v>2017-18</v>
      </c>
      <c r="D2242" s="163" t="str">
        <f>IFERROR(__xludf.DUMMYFUNCTION("""COMPUTED_VALUE"""),"SAC")</f>
        <v>SAC</v>
      </c>
      <c r="E2242" s="164" t="str">
        <f>IFERROR(__xludf.DUMMYFUNCTION("""COMPUTED_VALUE"""),"Secondary Ball Handler")</f>
        <v>Secondary Ball Handler</v>
      </c>
      <c r="F2242" s="164">
        <f>IFERROR(__xludf.DUMMYFUNCTION("""COMPUTED_VALUE"""),2175.155)</f>
        <v>2175.155</v>
      </c>
      <c r="G2242" s="163">
        <f>IFERROR(__xludf.DUMMYFUNCTION("""COMPUTED_VALUE"""),78.0)</f>
        <v>78</v>
      </c>
      <c r="H2242" s="163" t="str">
        <f>IFERROR(__xludf.DUMMYFUNCTION("""COMPUTED_VALUE"""),"SG")</f>
        <v>SG</v>
      </c>
      <c r="I2242" s="163">
        <f>IFERROR(__xludf.DUMMYFUNCTION("""COMPUTED_VALUE"""),25.0)</f>
        <v>25</v>
      </c>
      <c r="J2242" s="165">
        <f>IFERROR(__xludf.DUMMYFUNCTION("""COMPUTED_VALUE"""),-1.8514963991465)</f>
        <v>-1.851496399</v>
      </c>
      <c r="K2242" s="165">
        <f>IFERROR(__xludf.DUMMYFUNCTION("""COMPUTED_VALUE"""),-0.624098361283093)</f>
        <v>-0.6240983613</v>
      </c>
      <c r="L2242" s="165">
        <f>IFERROR(__xludf.DUMMYFUNCTION("""COMPUTED_VALUE"""),-1.22739803786341)</f>
        <v>-1.227398038</v>
      </c>
      <c r="M2242" s="166">
        <f t="shared" si="2"/>
        <v>0.6510616764</v>
      </c>
      <c r="N2242" s="167">
        <f t="shared" si="3"/>
        <v>27.88660256</v>
      </c>
      <c r="O2242" s="163">
        <f t="shared" ref="O2242:Q2242" si="2246">rank(I2242,I:I)</f>
        <v>1995</v>
      </c>
      <c r="P2242" s="163">
        <f t="shared" si="2246"/>
        <v>3380</v>
      </c>
      <c r="Q2242" s="163">
        <f t="shared" si="2246"/>
        <v>2299</v>
      </c>
      <c r="R2242" s="163">
        <f>IFERROR(__xludf.DUMMYFUNCTION("RANK(M2242,filter(M:M,C:C=C2242))"),275.0)</f>
        <v>275</v>
      </c>
      <c r="S2242" s="161" t="b">
        <f t="shared" si="5"/>
        <v>0</v>
      </c>
      <c r="T2242" s="161" t="b">
        <f t="array" ref="T2242">index('Query Tool'!B:B,match(H2242,'Query Tool'!C:C,0))</f>
        <v>1</v>
      </c>
      <c r="U2242" s="161" t="b">
        <f t="array" ref="U2242">index('Query Tool'!B:B,match(C2242,'Query Tool'!C:C,0))</f>
        <v>0</v>
      </c>
      <c r="V2242" s="161" t="b">
        <f>F2242&gt;='Query Tool'!C$32</f>
        <v>1</v>
      </c>
      <c r="W2242" s="161" t="b">
        <f t="array" ref="W2242">index(Dropdowns!B:B,match(I2242,Dropdowns!A:A,0))</f>
        <v>1</v>
      </c>
      <c r="X2242" s="161" t="b">
        <f t="array" ref="X2242">index('Query Tool'!B:B,match(D2242,'Query Tool'!C:C,0))</f>
        <v>1</v>
      </c>
      <c r="Y2242" s="161" t="str">
        <f t="shared" si="6"/>
        <v>bogdabo01,2017-18</v>
      </c>
      <c r="Z2242" s="168">
        <f t="array" ref="Z2242">iferror(index(I:I,match($A2242&amp;","&amp;index('Year Conversion'!$A:$A,match($C2242,'Year Conversion'!$B:$B,0)),$Y:$Y,0))-I2242,"")</f>
        <v>1</v>
      </c>
      <c r="AA2242" s="168">
        <f t="array" ref="AA2242">iferror(index(J:J,match($A2242&amp;","&amp;index('Year Conversion'!$A:$A,match($C2242,'Year Conversion'!$B:$B,0)),$Y:$Y,0))-J2242,"")</f>
        <v>1.27236004</v>
      </c>
      <c r="AB2242" s="168">
        <f t="array" ref="AB2242">iferror(index(K:K,match($A2242&amp;","&amp;index('Year Conversion'!$A:$A,match($C2242,'Year Conversion'!$B:$B,0)),$Y:$Y,0))-K2242,"")</f>
        <v>0.7366216671</v>
      </c>
      <c r="AC2242" s="168" t="str">
        <f t="shared" si="7"/>
        <v>SAC,2017-18</v>
      </c>
    </row>
    <row r="2243">
      <c r="A2243" s="161" t="str">
        <f>IFERROR(__xludf.DUMMYFUNCTION("""COMPUTED_VALUE"""),"nurkiju01")</f>
        <v>nurkiju01</v>
      </c>
      <c r="B2243" s="161" t="str">
        <f>IFERROR(__xludf.DUMMYFUNCTION("""COMPUTED_VALUE"""),"Jusuf Nurkic")</f>
        <v>Jusuf Nurkic</v>
      </c>
      <c r="C2243" s="162" t="str">
        <f>IFERROR(__xludf.DUMMYFUNCTION("""COMPUTED_VALUE"""),"2017-18")</f>
        <v>2017-18</v>
      </c>
      <c r="D2243" s="163" t="str">
        <f>IFERROR(__xludf.DUMMYFUNCTION("""COMPUTED_VALUE"""),"POR")</f>
        <v>POR</v>
      </c>
      <c r="E2243" s="164" t="str">
        <f>IFERROR(__xludf.DUMMYFUNCTION("""COMPUTED_VALUE"""),"Post Scorer")</f>
        <v>Post Scorer</v>
      </c>
      <c r="F2243" s="164">
        <f>IFERROR(__xludf.DUMMYFUNCTION("""COMPUTED_VALUE"""),2088.11)</f>
        <v>2088.11</v>
      </c>
      <c r="G2243" s="163">
        <f>IFERROR(__xludf.DUMMYFUNCTION("""COMPUTED_VALUE"""),79.0)</f>
        <v>79</v>
      </c>
      <c r="H2243" s="163" t="str">
        <f>IFERROR(__xludf.DUMMYFUNCTION("""COMPUTED_VALUE"""),"C")</f>
        <v>C</v>
      </c>
      <c r="I2243" s="163">
        <f>IFERROR(__xludf.DUMMYFUNCTION("""COMPUTED_VALUE"""),23.0)</f>
        <v>23</v>
      </c>
      <c r="J2243" s="165">
        <f>IFERROR(__xludf.DUMMYFUNCTION("""COMPUTED_VALUE"""),2.06121332908079)</f>
        <v>2.061213329</v>
      </c>
      <c r="K2243" s="165">
        <f>IFERROR(__xludf.DUMMYFUNCTION("""COMPUTED_VALUE"""),-0.871207629622823)</f>
        <v>-0.8712076296</v>
      </c>
      <c r="L2243" s="165">
        <f>IFERROR(__xludf.DUMMYFUNCTION("""COMPUTED_VALUE"""),2.93242095870362)</f>
        <v>2.932420959</v>
      </c>
      <c r="M2243" s="166">
        <f t="shared" si="2"/>
        <v>6.103903507</v>
      </c>
      <c r="N2243" s="167">
        <f t="shared" si="3"/>
        <v>26.43177215</v>
      </c>
      <c r="O2243" s="163">
        <f t="shared" ref="O2243:Q2243" si="2247">rank(I2243,I:I)</f>
        <v>2765</v>
      </c>
      <c r="P2243" s="163">
        <f t="shared" si="2247"/>
        <v>301</v>
      </c>
      <c r="Q2243" s="163">
        <f t="shared" si="2247"/>
        <v>2648</v>
      </c>
      <c r="R2243" s="163">
        <f>IFERROR(__xludf.DUMMYFUNCTION("RANK(M2243,filter(M:M,C:C=C2243))"),37.0)</f>
        <v>37</v>
      </c>
      <c r="S2243" s="161" t="b">
        <f t="shared" si="5"/>
        <v>0</v>
      </c>
      <c r="T2243" s="161" t="b">
        <f t="array" ref="T2243">index('Query Tool'!B:B,match(H2243,'Query Tool'!C:C,0))</f>
        <v>1</v>
      </c>
      <c r="U2243" s="161" t="b">
        <f t="array" ref="U2243">index('Query Tool'!B:B,match(C2243,'Query Tool'!C:C,0))</f>
        <v>0</v>
      </c>
      <c r="V2243" s="161" t="b">
        <f>F2243&gt;='Query Tool'!C$32</f>
        <v>1</v>
      </c>
      <c r="W2243" s="161" t="b">
        <f t="array" ref="W2243">index(Dropdowns!B:B,match(I2243,Dropdowns!A:A,0))</f>
        <v>1</v>
      </c>
      <c r="X2243" s="161" t="b">
        <f t="array" ref="X2243">index('Query Tool'!B:B,match(D2243,'Query Tool'!C:C,0))</f>
        <v>1</v>
      </c>
      <c r="Y2243" s="161" t="str">
        <f t="shared" si="6"/>
        <v>nurkiju01,2017-18</v>
      </c>
      <c r="Z2243" s="168">
        <f t="array" ref="Z2243">iferror(index(I:I,match($A2243&amp;","&amp;index('Year Conversion'!$A:$A,match($C2243,'Year Conversion'!$B:$B,0)),$Y:$Y,0))-I2243,"")</f>
        <v>1</v>
      </c>
      <c r="AA2243" s="168">
        <f t="array" ref="AA2243">iferror(index(J:J,match($A2243&amp;","&amp;index('Year Conversion'!$A:$A,match($C2243,'Year Conversion'!$B:$B,0)),$Y:$Y,0))-J2243,"")</f>
        <v>2.152551519</v>
      </c>
      <c r="AB2243" s="168">
        <f t="array" ref="AB2243">iferror(index(K:K,match($A2243&amp;","&amp;index('Year Conversion'!$A:$A,match($C2243,'Year Conversion'!$B:$B,0)),$Y:$Y,0))-K2243,"")</f>
        <v>2.489820187</v>
      </c>
      <c r="AC2243" s="168" t="str">
        <f t="shared" si="7"/>
        <v>POR,2017-18</v>
      </c>
    </row>
    <row r="2244">
      <c r="A2244" s="161" t="str">
        <f>IFERROR(__xludf.DUMMYFUNCTION("""COMPUTED_VALUE"""),"cabocbr01")</f>
        <v>cabocbr01</v>
      </c>
      <c r="B2244" s="161" t="str">
        <f>IFERROR(__xludf.DUMMYFUNCTION("""COMPUTED_VALUE"""),"Bruno Caboclo")</f>
        <v>Bruno Caboclo</v>
      </c>
      <c r="C2244" s="162" t="str">
        <f>IFERROR(__xludf.DUMMYFUNCTION("""COMPUTED_VALUE"""),"2017-18")</f>
        <v>2017-18</v>
      </c>
      <c r="D2244" s="163" t="str">
        <f>IFERROR(__xludf.DUMMYFUNCTION("""COMPUTED_VALUE"""),"TOT")</f>
        <v>TOT</v>
      </c>
      <c r="E2244" s="164" t="str">
        <f>IFERROR(__xludf.DUMMYFUNCTION("""COMPUTED_VALUE"""),"Versatile Big")</f>
        <v>Versatile Big</v>
      </c>
      <c r="F2244" s="164">
        <f>IFERROR(__xludf.DUMMYFUNCTION("""COMPUTED_VALUE"""),106.298333333333)</f>
        <v>106.2983333</v>
      </c>
      <c r="G2244" s="163">
        <f>IFERROR(__xludf.DUMMYFUNCTION("""COMPUTED_VALUE"""),12.0)</f>
        <v>12</v>
      </c>
      <c r="H2244" s="163" t="str">
        <f>IFERROR(__xludf.DUMMYFUNCTION("""COMPUTED_VALUE"""),"SF")</f>
        <v>SF</v>
      </c>
      <c r="I2244" s="163">
        <f>IFERROR(__xludf.DUMMYFUNCTION("""COMPUTED_VALUE"""),22.0)</f>
        <v>22</v>
      </c>
      <c r="J2244" s="165">
        <f>IFERROR(__xludf.DUMMYFUNCTION("""COMPUTED_VALUE"""),0.384291437970455)</f>
        <v>0.384291438</v>
      </c>
      <c r="K2244" s="165">
        <f>IFERROR(__xludf.DUMMYFUNCTION("""COMPUTED_VALUE"""),0.025018874802071)</f>
        <v>0.0250188748</v>
      </c>
      <c r="L2244" s="165">
        <f>IFERROR(__xludf.DUMMYFUNCTION("""COMPUTED_VALUE"""),0.359272563168384)</f>
        <v>0.3592725632</v>
      </c>
      <c r="M2244" s="166">
        <f t="shared" si="2"/>
        <v>0.191411292</v>
      </c>
      <c r="N2244" s="167">
        <f t="shared" si="3"/>
        <v>8.858194444</v>
      </c>
      <c r="O2244" s="163">
        <f t="shared" ref="O2244:Q2244" si="2248">rank(I2244,I:I)</f>
        <v>3178</v>
      </c>
      <c r="P2244" s="163">
        <f t="shared" si="2248"/>
        <v>960</v>
      </c>
      <c r="Q2244" s="163">
        <f t="shared" si="2248"/>
        <v>1165</v>
      </c>
      <c r="R2244" s="163">
        <f>IFERROR(__xludf.DUMMYFUNCTION("RANK(M2244,filter(M:M,C:C=C2244))"),349.0)</f>
        <v>349</v>
      </c>
      <c r="S2244" s="161" t="b">
        <f t="shared" si="5"/>
        <v>0</v>
      </c>
      <c r="T2244" s="161" t="b">
        <f t="array" ref="T2244">index('Query Tool'!B:B,match(H2244,'Query Tool'!C:C,0))</f>
        <v>1</v>
      </c>
      <c r="U2244" s="161" t="b">
        <f t="array" ref="U2244">index('Query Tool'!B:B,match(C2244,'Query Tool'!C:C,0))</f>
        <v>0</v>
      </c>
      <c r="V2244" s="161" t="b">
        <f>F2244&gt;='Query Tool'!C$32</f>
        <v>0</v>
      </c>
      <c r="W2244" s="161" t="b">
        <f t="array" ref="W2244">index(Dropdowns!B:B,match(I2244,Dropdowns!A:A,0))</f>
        <v>1</v>
      </c>
      <c r="X2244" s="161" t="b">
        <f t="array" ref="X2244">index('Query Tool'!B:B,match(D2244,'Query Tool'!C:C,0))</f>
        <v>1</v>
      </c>
      <c r="Y2244" s="161" t="str">
        <f t="shared" si="6"/>
        <v>cabocbr01,2017-18</v>
      </c>
      <c r="Z2244" s="168">
        <f t="array" ref="Z2244">iferror(index(I:I,match($A2244&amp;","&amp;index('Year Conversion'!$A:$A,match($C2244,'Year Conversion'!$B:$B,0)),$Y:$Y,0))-I2244,"")</f>
        <v>1</v>
      </c>
      <c r="AA2244" s="168">
        <f t="array" ref="AA2244">iferror(index(J:J,match($A2244&amp;","&amp;index('Year Conversion'!$A:$A,match($C2244,'Year Conversion'!$B:$B,0)),$Y:$Y,0))-J2244,"")</f>
        <v>-0.3784745619</v>
      </c>
      <c r="AB2244" s="168">
        <f t="array" ref="AB2244">iferror(index(K:K,match($A2244&amp;","&amp;index('Year Conversion'!$A:$A,match($C2244,'Year Conversion'!$B:$B,0)),$Y:$Y,0))-K2244,"")</f>
        <v>-0.7640257778</v>
      </c>
      <c r="AC2244" s="168" t="str">
        <f t="shared" si="7"/>
        <v>TOT,2017-18</v>
      </c>
    </row>
    <row r="2245">
      <c r="A2245" s="161" t="str">
        <f>IFERROR(__xludf.DUMMYFUNCTION("""COMPUTED_VALUE"""),"jokicni01")</f>
        <v>jokicni01</v>
      </c>
      <c r="B2245" s="161" t="str">
        <f>IFERROR(__xludf.DUMMYFUNCTION("""COMPUTED_VALUE"""),"Nikola Jokic")</f>
        <v>Nikola Jokic</v>
      </c>
      <c r="C2245" s="162" t="str">
        <f>IFERROR(__xludf.DUMMYFUNCTION("""COMPUTED_VALUE"""),"2017-18")</f>
        <v>2017-18</v>
      </c>
      <c r="D2245" s="163" t="str">
        <f>IFERROR(__xludf.DUMMYFUNCTION("""COMPUTED_VALUE"""),"DEN")</f>
        <v>DEN</v>
      </c>
      <c r="E2245" s="164" t="str">
        <f>IFERROR(__xludf.DUMMYFUNCTION("""COMPUTED_VALUE"""),"Versatile Big")</f>
        <v>Versatile Big</v>
      </c>
      <c r="F2245" s="164">
        <f>IFERROR(__xludf.DUMMYFUNCTION("""COMPUTED_VALUE"""),2442.505)</f>
        <v>2442.505</v>
      </c>
      <c r="G2245" s="163">
        <f>IFERROR(__xludf.DUMMYFUNCTION("""COMPUTED_VALUE"""),75.0)</f>
        <v>75</v>
      </c>
      <c r="H2245" s="163" t="str">
        <f>IFERROR(__xludf.DUMMYFUNCTION("""COMPUTED_VALUE"""),"C")</f>
        <v>C</v>
      </c>
      <c r="I2245" s="163">
        <f>IFERROR(__xludf.DUMMYFUNCTION("""COMPUTED_VALUE"""),22.0)</f>
        <v>22</v>
      </c>
      <c r="J2245" s="165">
        <f>IFERROR(__xludf.DUMMYFUNCTION("""COMPUTED_VALUE"""),4.64536130713612)</f>
        <v>4.645361307</v>
      </c>
      <c r="K2245" s="165">
        <f>IFERROR(__xludf.DUMMYFUNCTION("""COMPUTED_VALUE"""),3.30238617089133)</f>
        <v>3.302386171</v>
      </c>
      <c r="L2245" s="165">
        <f>IFERROR(__xludf.DUMMYFUNCTION("""COMPUTED_VALUE"""),1.34297513624478)</f>
        <v>1.342975136</v>
      </c>
      <c r="M2245" s="166">
        <f t="shared" si="2"/>
        <v>11.19372486</v>
      </c>
      <c r="N2245" s="167">
        <f t="shared" si="3"/>
        <v>32.56673333</v>
      </c>
      <c r="O2245" s="163">
        <f t="shared" ref="O2245:Q2245" si="2249">rank(I2245,I:I)</f>
        <v>3178</v>
      </c>
      <c r="P2245" s="163">
        <f t="shared" si="2249"/>
        <v>63</v>
      </c>
      <c r="Q2245" s="163">
        <f t="shared" si="2249"/>
        <v>99</v>
      </c>
      <c r="R2245" s="163">
        <f>IFERROR(__xludf.DUMMYFUNCTION("RANK(M2245,filter(M:M,C:C=C2245))"),9.0)</f>
        <v>9</v>
      </c>
      <c r="S2245" s="161" t="b">
        <f t="shared" si="5"/>
        <v>0</v>
      </c>
      <c r="T2245" s="161" t="b">
        <f t="array" ref="T2245">index('Query Tool'!B:B,match(H2245,'Query Tool'!C:C,0))</f>
        <v>1</v>
      </c>
      <c r="U2245" s="161" t="b">
        <f t="array" ref="U2245">index('Query Tool'!B:B,match(C2245,'Query Tool'!C:C,0))</f>
        <v>0</v>
      </c>
      <c r="V2245" s="161" t="b">
        <f>F2245&gt;='Query Tool'!C$32</f>
        <v>1</v>
      </c>
      <c r="W2245" s="161" t="b">
        <f t="array" ref="W2245">index(Dropdowns!B:B,match(I2245,Dropdowns!A:A,0))</f>
        <v>1</v>
      </c>
      <c r="X2245" s="161" t="b">
        <f t="array" ref="X2245">index('Query Tool'!B:B,match(D2245,'Query Tool'!C:C,0))</f>
        <v>1</v>
      </c>
      <c r="Y2245" s="161" t="str">
        <f t="shared" si="6"/>
        <v>jokicni01,2017-18</v>
      </c>
      <c r="Z2245" s="168">
        <f t="array" ref="Z2245">iferror(index(I:I,match($A2245&amp;","&amp;index('Year Conversion'!$A:$A,match($C2245,'Year Conversion'!$B:$B,0)),$Y:$Y,0))-I2245,"")</f>
        <v>1</v>
      </c>
      <c r="AA2245" s="168">
        <f t="array" ref="AA2245">iferror(index(J:J,match($A2245&amp;","&amp;index('Year Conversion'!$A:$A,match($C2245,'Year Conversion'!$B:$B,0)),$Y:$Y,0))-J2245,"")</f>
        <v>-0.02765742788</v>
      </c>
      <c r="AB2245" s="168">
        <f t="array" ref="AB2245">iferror(index(K:K,match($A2245&amp;","&amp;index('Year Conversion'!$A:$A,match($C2245,'Year Conversion'!$B:$B,0)),$Y:$Y,0))-K2245,"")</f>
        <v>0.2831017329</v>
      </c>
      <c r="AC2245" s="168" t="str">
        <f t="shared" si="7"/>
        <v>DEN,2017-18</v>
      </c>
    </row>
    <row r="2246">
      <c r="A2246" s="161" t="str">
        <f>IFERROR(__xludf.DUMMYFUNCTION("""COMPUTED_VALUE"""),"porzikr01")</f>
        <v>porzikr01</v>
      </c>
      <c r="B2246" s="161" t="str">
        <f>IFERROR(__xludf.DUMMYFUNCTION("""COMPUTED_VALUE"""),"Kristaps Porzingis")</f>
        <v>Kristaps Porzingis</v>
      </c>
      <c r="C2246" s="162" t="str">
        <f>IFERROR(__xludf.DUMMYFUNCTION("""COMPUTED_VALUE"""),"2017-18")</f>
        <v>2017-18</v>
      </c>
      <c r="D2246" s="163" t="str">
        <f>IFERROR(__xludf.DUMMYFUNCTION("""COMPUTED_VALUE"""),"NYK")</f>
        <v>NYK</v>
      </c>
      <c r="E2246" s="164" t="str">
        <f>IFERROR(__xludf.DUMMYFUNCTION("""COMPUTED_VALUE"""),"Versatile Big")</f>
        <v>Versatile Big</v>
      </c>
      <c r="F2246" s="164">
        <f>IFERROR(__xludf.DUMMYFUNCTION("""COMPUTED_VALUE"""),1553.16833333333)</f>
        <v>1553.168333</v>
      </c>
      <c r="G2246" s="163">
        <f>IFERROR(__xludf.DUMMYFUNCTION("""COMPUTED_VALUE"""),48.0)</f>
        <v>48</v>
      </c>
      <c r="H2246" s="163" t="str">
        <f>IFERROR(__xludf.DUMMYFUNCTION("""COMPUTED_VALUE"""),"PF")</f>
        <v>PF</v>
      </c>
      <c r="I2246" s="163">
        <f>IFERROR(__xludf.DUMMYFUNCTION("""COMPUTED_VALUE"""),22.0)</f>
        <v>22</v>
      </c>
      <c r="J2246" s="165">
        <f>IFERROR(__xludf.DUMMYFUNCTION("""COMPUTED_VALUE"""),2.34802471503825)</f>
        <v>2.348024715</v>
      </c>
      <c r="K2246" s="165">
        <f>IFERROR(__xludf.DUMMYFUNCTION("""COMPUTED_VALUE"""),1.20891560174403)</f>
        <v>1.208915602</v>
      </c>
      <c r="L2246" s="165">
        <f>IFERROR(__xludf.DUMMYFUNCTION("""COMPUTED_VALUE"""),1.13910911329422)</f>
        <v>1.139109113</v>
      </c>
      <c r="M2246" s="166">
        <f t="shared" si="2"/>
        <v>4.834495939</v>
      </c>
      <c r="N2246" s="167">
        <f t="shared" si="3"/>
        <v>32.35767361</v>
      </c>
      <c r="O2246" s="163">
        <f t="shared" ref="O2246:Q2246" si="2250">rank(I2246,I:I)</f>
        <v>3178</v>
      </c>
      <c r="P2246" s="163">
        <f t="shared" si="2250"/>
        <v>248</v>
      </c>
      <c r="Q2246" s="163">
        <f t="shared" si="2250"/>
        <v>414</v>
      </c>
      <c r="R2246" s="163">
        <f>IFERROR(__xludf.DUMMYFUNCTION("RANK(M2246,filter(M:M,C:C=C2246))"),59.0)</f>
        <v>59</v>
      </c>
      <c r="S2246" s="161" t="b">
        <f t="shared" si="5"/>
        <v>0</v>
      </c>
      <c r="T2246" s="161" t="b">
        <f t="array" ref="T2246">index('Query Tool'!B:B,match(H2246,'Query Tool'!C:C,0))</f>
        <v>1</v>
      </c>
      <c r="U2246" s="161" t="b">
        <f t="array" ref="U2246">index('Query Tool'!B:B,match(C2246,'Query Tool'!C:C,0))</f>
        <v>0</v>
      </c>
      <c r="V2246" s="161" t="b">
        <f>F2246&gt;='Query Tool'!C$32</f>
        <v>1</v>
      </c>
      <c r="W2246" s="161" t="b">
        <f t="array" ref="W2246">index(Dropdowns!B:B,match(I2246,Dropdowns!A:A,0))</f>
        <v>1</v>
      </c>
      <c r="X2246" s="161" t="b">
        <f t="array" ref="X2246">index('Query Tool'!B:B,match(D2246,'Query Tool'!C:C,0))</f>
        <v>1</v>
      </c>
      <c r="Y2246" s="161" t="str">
        <f t="shared" si="6"/>
        <v>porzikr01,2017-18</v>
      </c>
      <c r="Z2246" s="168" t="str">
        <f t="array" ref="Z2246">iferror(index(I:I,match($A2246&amp;","&amp;index('Year Conversion'!$A:$A,match($C2246,'Year Conversion'!$B:$B,0)),$Y:$Y,0))-I2246,"")</f>
        <v/>
      </c>
      <c r="AA2246" s="168" t="str">
        <f t="array" ref="AA2246">iferror(index(J:J,match($A2246&amp;","&amp;index('Year Conversion'!$A:$A,match($C2246,'Year Conversion'!$B:$B,0)),$Y:$Y,0))-J2246,"")</f>
        <v/>
      </c>
      <c r="AB2246" s="168" t="str">
        <f t="array" ref="AB2246">iferror(index(K:K,match($A2246&amp;","&amp;index('Year Conversion'!$A:$A,match($C2246,'Year Conversion'!$B:$B,0)),$Y:$Y,0))-K2246,"")</f>
        <v/>
      </c>
      <c r="AC2246" s="168" t="str">
        <f t="shared" si="7"/>
        <v>NYK,2017-18</v>
      </c>
    </row>
    <row r="2247">
      <c r="A2247" s="161" t="str">
        <f>IFERROR(__xludf.DUMMYFUNCTION("""COMPUTED_VALUE"""),"johnsty01")</f>
        <v>johnsty01</v>
      </c>
      <c r="B2247" s="161" t="str">
        <f>IFERROR(__xludf.DUMMYFUNCTION("""COMPUTED_VALUE"""),"Tyler Johnson")</f>
        <v>Tyler Johnson</v>
      </c>
      <c r="C2247" s="162" t="str">
        <f>IFERROR(__xludf.DUMMYFUNCTION("""COMPUTED_VALUE"""),"2017-18")</f>
        <v>2017-18</v>
      </c>
      <c r="D2247" s="163" t="str">
        <f>IFERROR(__xludf.DUMMYFUNCTION("""COMPUTED_VALUE"""),"MIA")</f>
        <v>MIA</v>
      </c>
      <c r="E2247" s="164" t="str">
        <f>IFERROR(__xludf.DUMMYFUNCTION("""COMPUTED_VALUE"""),"Stationary Shooter")</f>
        <v>Stationary Shooter</v>
      </c>
      <c r="F2247" s="164">
        <f>IFERROR(__xludf.DUMMYFUNCTION("""COMPUTED_VALUE"""),2052.24166666667)</f>
        <v>2052.241667</v>
      </c>
      <c r="G2247" s="163">
        <f>IFERROR(__xludf.DUMMYFUNCTION("""COMPUTED_VALUE"""),72.0)</f>
        <v>72</v>
      </c>
      <c r="H2247" s="163" t="str">
        <f>IFERROR(__xludf.DUMMYFUNCTION("""COMPUTED_VALUE"""),"PG")</f>
        <v>PG</v>
      </c>
      <c r="I2247" s="163">
        <f>IFERROR(__xludf.DUMMYFUNCTION("""COMPUTED_VALUE"""),25.0)</f>
        <v>25</v>
      </c>
      <c r="J2247" s="165">
        <f>IFERROR(__xludf.DUMMYFUNCTION("""COMPUTED_VALUE"""),-0.348579521461227)</f>
        <v>-0.3485795215</v>
      </c>
      <c r="K2247" s="165">
        <f>IFERROR(__xludf.DUMMYFUNCTION("""COMPUTED_VALUE"""),-0.4735964980894)</f>
        <v>-0.4735964981</v>
      </c>
      <c r="L2247" s="165">
        <f>IFERROR(__xludf.DUMMYFUNCTION("""COMPUTED_VALUE"""),0.125016976628173)</f>
        <v>0.1250169766</v>
      </c>
      <c r="M2247" s="166">
        <f t="shared" si="2"/>
        <v>2.681659187</v>
      </c>
      <c r="N2247" s="167">
        <f t="shared" si="3"/>
        <v>28.50335648</v>
      </c>
      <c r="O2247" s="163">
        <f t="shared" ref="O2247:Q2247" si="2251">rank(I2247,I:I)</f>
        <v>1995</v>
      </c>
      <c r="P2247" s="163">
        <f t="shared" si="2251"/>
        <v>1669</v>
      </c>
      <c r="Q2247" s="163">
        <f t="shared" si="2251"/>
        <v>2075</v>
      </c>
      <c r="R2247" s="163">
        <f>IFERROR(__xludf.DUMMYFUNCTION("RANK(M2247,filter(M:M,C:C=C2247))"),123.0)</f>
        <v>123</v>
      </c>
      <c r="S2247" s="161" t="b">
        <f t="shared" si="5"/>
        <v>0</v>
      </c>
      <c r="T2247" s="161" t="b">
        <f t="array" ref="T2247">index('Query Tool'!B:B,match(H2247,'Query Tool'!C:C,0))</f>
        <v>1</v>
      </c>
      <c r="U2247" s="161" t="b">
        <f t="array" ref="U2247">index('Query Tool'!B:B,match(C2247,'Query Tool'!C:C,0))</f>
        <v>0</v>
      </c>
      <c r="V2247" s="161" t="b">
        <f>F2247&gt;='Query Tool'!C$32</f>
        <v>1</v>
      </c>
      <c r="W2247" s="161" t="b">
        <f t="array" ref="W2247">index(Dropdowns!B:B,match(I2247,Dropdowns!A:A,0))</f>
        <v>1</v>
      </c>
      <c r="X2247" s="161" t="b">
        <f t="array" ref="X2247">index('Query Tool'!B:B,match(D2247,'Query Tool'!C:C,0))</f>
        <v>1</v>
      </c>
      <c r="Y2247" s="161" t="str">
        <f t="shared" si="6"/>
        <v>johnsty01,2017-18</v>
      </c>
      <c r="Z2247" s="168">
        <f t="array" ref="Z2247">iferror(index(I:I,match($A2247&amp;","&amp;index('Year Conversion'!$A:$A,match($C2247,'Year Conversion'!$B:$B,0)),$Y:$Y,0))-I2247,"")</f>
        <v>1</v>
      </c>
      <c r="AA2247" s="168">
        <f t="array" ref="AA2247">iferror(index(J:J,match($A2247&amp;","&amp;index('Year Conversion'!$A:$A,match($C2247,'Year Conversion'!$B:$B,0)),$Y:$Y,0))-J2247,"")</f>
        <v>-0.953350161</v>
      </c>
      <c r="AB2247" s="168">
        <f t="array" ref="AB2247">iferror(index(K:K,match($A2247&amp;","&amp;index('Year Conversion'!$A:$A,match($C2247,'Year Conversion'!$B:$B,0)),$Y:$Y,0))-K2247,"")</f>
        <v>-0.2868743786</v>
      </c>
      <c r="AC2247" s="168" t="str">
        <f t="shared" si="7"/>
        <v>MIA,2017-18</v>
      </c>
    </row>
    <row r="2248">
      <c r="A2248" s="161" t="str">
        <f>IFERROR(__xludf.DUMMYFUNCTION("""COMPUTED_VALUE"""),"cooleja01")</f>
        <v>cooleja01</v>
      </c>
      <c r="B2248" s="161" t="str">
        <f>IFERROR(__xludf.DUMMYFUNCTION("""COMPUTED_VALUE"""),"Jack Cooley")</f>
        <v>Jack Cooley</v>
      </c>
      <c r="C2248" s="162" t="str">
        <f>IFERROR(__xludf.DUMMYFUNCTION("""COMPUTED_VALUE"""),"2017-18")</f>
        <v>2017-18</v>
      </c>
      <c r="D2248" s="163" t="str">
        <f>IFERROR(__xludf.DUMMYFUNCTION("""COMPUTED_VALUE"""),"SAC")</f>
        <v>SAC</v>
      </c>
      <c r="E2248" s="164" t="str">
        <f>IFERROR(__xludf.DUMMYFUNCTION("""COMPUTED_VALUE"""),"Roll + Cut Big")</f>
        <v>Roll + Cut Big</v>
      </c>
      <c r="F2248" s="164">
        <f>IFERROR(__xludf.DUMMYFUNCTION("""COMPUTED_VALUE"""),87.2733333333333)</f>
        <v>87.27333333</v>
      </c>
      <c r="G2248" s="163">
        <f>IFERROR(__xludf.DUMMYFUNCTION("""COMPUTED_VALUE"""),7.0)</f>
        <v>7</v>
      </c>
      <c r="H2248" s="163" t="str">
        <f>IFERROR(__xludf.DUMMYFUNCTION("""COMPUTED_VALUE"""),"PF")</f>
        <v>PF</v>
      </c>
      <c r="I2248" s="163">
        <f>IFERROR(__xludf.DUMMYFUNCTION("""COMPUTED_VALUE"""),26.0)</f>
        <v>26</v>
      </c>
      <c r="J2248" s="165">
        <f>IFERROR(__xludf.DUMMYFUNCTION("""COMPUTED_VALUE"""),-0.0342338251443335)</f>
        <v>-0.03423382514</v>
      </c>
      <c r="K2248" s="165">
        <f>IFERROR(__xludf.DUMMYFUNCTION("""COMPUTED_VALUE"""),0.0626861320715929)</f>
        <v>0.06268613207</v>
      </c>
      <c r="L2248" s="165">
        <f>IFERROR(__xludf.DUMMYFUNCTION("""COMPUTED_VALUE"""),-0.0969199572159264)</f>
        <v>-0.09691995722</v>
      </c>
      <c r="M2248" s="166">
        <f t="shared" si="2"/>
        <v>0.1325321152</v>
      </c>
      <c r="N2248" s="167">
        <f t="shared" si="3"/>
        <v>12.46761905</v>
      </c>
      <c r="O2248" s="163">
        <f t="shared" ref="O2248:Q2248" si="2252">rank(I2248,I:I)</f>
        <v>1665</v>
      </c>
      <c r="P2248" s="163">
        <f t="shared" si="2252"/>
        <v>1321</v>
      </c>
      <c r="Q2248" s="163">
        <f t="shared" si="2252"/>
        <v>1117</v>
      </c>
      <c r="R2248" s="163">
        <f>IFERROR(__xludf.DUMMYFUNCTION("RANK(M2248,filter(M:M,C:C=C2248))"),374.0)</f>
        <v>374</v>
      </c>
      <c r="S2248" s="161" t="b">
        <f t="shared" si="5"/>
        <v>0</v>
      </c>
      <c r="T2248" s="161" t="b">
        <f t="array" ref="T2248">index('Query Tool'!B:B,match(H2248,'Query Tool'!C:C,0))</f>
        <v>1</v>
      </c>
      <c r="U2248" s="161" t="b">
        <f t="array" ref="U2248">index('Query Tool'!B:B,match(C2248,'Query Tool'!C:C,0))</f>
        <v>0</v>
      </c>
      <c r="V2248" s="161" t="b">
        <f>F2248&gt;='Query Tool'!C$32</f>
        <v>0</v>
      </c>
      <c r="W2248" s="161" t="b">
        <f t="array" ref="W2248">index(Dropdowns!B:B,match(I2248,Dropdowns!A:A,0))</f>
        <v>1</v>
      </c>
      <c r="X2248" s="161" t="b">
        <f t="array" ref="X2248">index('Query Tool'!B:B,match(D2248,'Query Tool'!C:C,0))</f>
        <v>1</v>
      </c>
      <c r="Y2248" s="161" t="str">
        <f t="shared" si="6"/>
        <v>cooleja01,2017-18</v>
      </c>
      <c r="Z2248" s="168" t="str">
        <f t="array" ref="Z2248">iferror(index(I:I,match($A2248&amp;","&amp;index('Year Conversion'!$A:$A,match($C2248,'Year Conversion'!$B:$B,0)),$Y:$Y,0))-I2248,"")</f>
        <v/>
      </c>
      <c r="AA2248" s="168" t="str">
        <f t="array" ref="AA2248">iferror(index(J:J,match($A2248&amp;","&amp;index('Year Conversion'!$A:$A,match($C2248,'Year Conversion'!$B:$B,0)),$Y:$Y,0))-J2248,"")</f>
        <v/>
      </c>
      <c r="AB2248" s="168" t="str">
        <f t="array" ref="AB2248">iferror(index(K:K,match($A2248&amp;","&amp;index('Year Conversion'!$A:$A,match($C2248,'Year Conversion'!$B:$B,0)),$Y:$Y,0))-K2248,"")</f>
        <v/>
      </c>
      <c r="AC2248" s="168" t="str">
        <f t="shared" si="7"/>
        <v>SAC,2017-18</v>
      </c>
    </row>
    <row r="2249">
      <c r="A2249" s="161" t="str">
        <f>IFERROR(__xludf.DUMMYFUNCTION("""COMPUTED_VALUE"""),"fraziti01")</f>
        <v>fraziti01</v>
      </c>
      <c r="B2249" s="161" t="str">
        <f>IFERROR(__xludf.DUMMYFUNCTION("""COMPUTED_VALUE"""),"Tim Frazier")</f>
        <v>Tim Frazier</v>
      </c>
      <c r="C2249" s="162" t="str">
        <f>IFERROR(__xludf.DUMMYFUNCTION("""COMPUTED_VALUE"""),"2017-18")</f>
        <v>2017-18</v>
      </c>
      <c r="D2249" s="163" t="str">
        <f>IFERROR(__xludf.DUMMYFUNCTION("""COMPUTED_VALUE"""),"WAS")</f>
        <v>WAS</v>
      </c>
      <c r="E2249" s="164" t="str">
        <f>IFERROR(__xludf.DUMMYFUNCTION("""COMPUTED_VALUE"""),"Secondary Ball Handler")</f>
        <v>Secondary Ball Handler</v>
      </c>
      <c r="F2249" s="164">
        <f>IFERROR(__xludf.DUMMYFUNCTION("""COMPUTED_VALUE"""),837.908333333333)</f>
        <v>837.9083333</v>
      </c>
      <c r="G2249" s="163">
        <f>IFERROR(__xludf.DUMMYFUNCTION("""COMPUTED_VALUE"""),59.0)</f>
        <v>59</v>
      </c>
      <c r="H2249" s="163" t="str">
        <f>IFERROR(__xludf.DUMMYFUNCTION("""COMPUTED_VALUE"""),"PG")</f>
        <v>PG</v>
      </c>
      <c r="I2249" s="163">
        <f>IFERROR(__xludf.DUMMYFUNCTION("""COMPUTED_VALUE"""),27.0)</f>
        <v>27</v>
      </c>
      <c r="J2249" s="165">
        <f>IFERROR(__xludf.DUMMYFUNCTION("""COMPUTED_VALUE"""),-0.341507681763006)</f>
        <v>-0.3415076818</v>
      </c>
      <c r="K2249" s="165">
        <f>IFERROR(__xludf.DUMMYFUNCTION("""COMPUTED_VALUE"""),-0.810640774417567)</f>
        <v>-0.8106407744</v>
      </c>
      <c r="L2249" s="165">
        <f>IFERROR(__xludf.DUMMYFUNCTION("""COMPUTED_VALUE"""),0.469133092654561)</f>
        <v>0.4691330927</v>
      </c>
      <c r="M2249" s="166">
        <f t="shared" si="2"/>
        <v>1.098885744</v>
      </c>
      <c r="N2249" s="167">
        <f t="shared" si="3"/>
        <v>14.20183616</v>
      </c>
      <c r="O2249" s="163">
        <f t="shared" ref="O2249:Q2249" si="2253">rank(I2249,I:I)</f>
        <v>1366</v>
      </c>
      <c r="P2249" s="163">
        <f t="shared" si="2253"/>
        <v>1663</v>
      </c>
      <c r="Q2249" s="163">
        <f t="shared" si="2253"/>
        <v>2567</v>
      </c>
      <c r="R2249" s="163">
        <f>IFERROR(__xludf.DUMMYFUNCTION("RANK(M2249,filter(M:M,C:C=C2249))"),227.0)</f>
        <v>227</v>
      </c>
      <c r="S2249" s="161" t="b">
        <f t="shared" si="5"/>
        <v>0</v>
      </c>
      <c r="T2249" s="161" t="b">
        <f t="array" ref="T2249">index('Query Tool'!B:B,match(H2249,'Query Tool'!C:C,0))</f>
        <v>1</v>
      </c>
      <c r="U2249" s="161" t="b">
        <f t="array" ref="U2249">index('Query Tool'!B:B,match(C2249,'Query Tool'!C:C,0))</f>
        <v>0</v>
      </c>
      <c r="V2249" s="161" t="b">
        <f>F2249&gt;='Query Tool'!C$32</f>
        <v>1</v>
      </c>
      <c r="W2249" s="161" t="b">
        <f t="array" ref="W2249">index(Dropdowns!B:B,match(I2249,Dropdowns!A:A,0))</f>
        <v>1</v>
      </c>
      <c r="X2249" s="161" t="b">
        <f t="array" ref="X2249">index('Query Tool'!B:B,match(D2249,'Query Tool'!C:C,0))</f>
        <v>1</v>
      </c>
      <c r="Y2249" s="161" t="str">
        <f t="shared" si="6"/>
        <v>fraziti01,2017-18</v>
      </c>
      <c r="Z2249" s="168">
        <f t="array" ref="Z2249">iferror(index(I:I,match($A2249&amp;","&amp;index('Year Conversion'!$A:$A,match($C2249,'Year Conversion'!$B:$B,0)),$Y:$Y,0))-I2249,"")</f>
        <v>1</v>
      </c>
      <c r="AA2249" s="168">
        <f t="array" ref="AA2249">iferror(index(J:J,match($A2249&amp;","&amp;index('Year Conversion'!$A:$A,match($C2249,'Year Conversion'!$B:$B,0)),$Y:$Y,0))-J2249,"")</f>
        <v>-1.33768792</v>
      </c>
      <c r="AB2249" s="168">
        <f t="array" ref="AB2249">iferror(index(K:K,match($A2249&amp;","&amp;index('Year Conversion'!$A:$A,match($C2249,'Year Conversion'!$B:$B,0)),$Y:$Y,0))-K2249,"")</f>
        <v>-0.02574944159</v>
      </c>
      <c r="AC2249" s="168" t="str">
        <f t="shared" si="7"/>
        <v>WAS,2017-18</v>
      </c>
    </row>
    <row r="2250">
      <c r="A2250" s="161" t="str">
        <f>IFERROR(__xludf.DUMMYFUNCTION("""COMPUTED_VALUE"""),"blackta01")</f>
        <v>blackta01</v>
      </c>
      <c r="B2250" s="161" t="str">
        <f>IFERROR(__xludf.DUMMYFUNCTION("""COMPUTED_VALUE"""),"Tarik Black")</f>
        <v>Tarik Black</v>
      </c>
      <c r="C2250" s="162" t="str">
        <f>IFERROR(__xludf.DUMMYFUNCTION("""COMPUTED_VALUE"""),"2017-18")</f>
        <v>2017-18</v>
      </c>
      <c r="D2250" s="163" t="str">
        <f>IFERROR(__xludf.DUMMYFUNCTION("""COMPUTED_VALUE"""),"HOU")</f>
        <v>HOU</v>
      </c>
      <c r="E2250" s="164" t="str">
        <f>IFERROR(__xludf.DUMMYFUNCTION("""COMPUTED_VALUE"""),"Roll + Cut Big")</f>
        <v>Roll + Cut Big</v>
      </c>
      <c r="F2250" s="164">
        <f>IFERROR(__xludf.DUMMYFUNCTION("""COMPUTED_VALUE"""),536.5)</f>
        <v>536.5</v>
      </c>
      <c r="G2250" s="163">
        <f>IFERROR(__xludf.DUMMYFUNCTION("""COMPUTED_VALUE"""),51.0)</f>
        <v>51</v>
      </c>
      <c r="H2250" s="163" t="str">
        <f>IFERROR(__xludf.DUMMYFUNCTION("""COMPUTED_VALUE"""),"C")</f>
        <v>C</v>
      </c>
      <c r="I2250" s="163">
        <f>IFERROR(__xludf.DUMMYFUNCTION("""COMPUTED_VALUE"""),26.0)</f>
        <v>26</v>
      </c>
      <c r="J2250" s="165">
        <f>IFERROR(__xludf.DUMMYFUNCTION("""COMPUTED_VALUE"""),-1.84218403181898)</f>
        <v>-1.842184032</v>
      </c>
      <c r="K2250" s="165">
        <f>IFERROR(__xludf.DUMMYFUNCTION("""COMPUTED_VALUE"""),-2.3010759294318)</f>
        <v>-2.301075929</v>
      </c>
      <c r="L2250" s="165">
        <f>IFERROR(__xludf.DUMMYFUNCTION("""COMPUTED_VALUE"""),0.458891897612811)</f>
        <v>0.4588918976</v>
      </c>
      <c r="M2250" s="166">
        <f t="shared" si="2"/>
        <v>0.1639046486</v>
      </c>
      <c r="N2250" s="167">
        <f t="shared" si="3"/>
        <v>10.51960784</v>
      </c>
      <c r="O2250" s="163">
        <f t="shared" ref="O2250:Q2250" si="2254">rank(I2250,I:I)</f>
        <v>1665</v>
      </c>
      <c r="P2250" s="163">
        <f t="shared" si="2254"/>
        <v>3372</v>
      </c>
      <c r="Q2250" s="163">
        <f t="shared" si="2254"/>
        <v>3835</v>
      </c>
      <c r="R2250" s="163">
        <f>IFERROR(__xludf.DUMMYFUNCTION("RANK(M2250,filter(M:M,C:C=C2250))"),355.0)</f>
        <v>355</v>
      </c>
      <c r="S2250" s="161" t="b">
        <f t="shared" si="5"/>
        <v>0</v>
      </c>
      <c r="T2250" s="161" t="b">
        <f t="array" ref="T2250">index('Query Tool'!B:B,match(H2250,'Query Tool'!C:C,0))</f>
        <v>1</v>
      </c>
      <c r="U2250" s="161" t="b">
        <f t="array" ref="U2250">index('Query Tool'!B:B,match(C2250,'Query Tool'!C:C,0))</f>
        <v>0</v>
      </c>
      <c r="V2250" s="161" t="b">
        <f>F2250&gt;='Query Tool'!C$32</f>
        <v>1</v>
      </c>
      <c r="W2250" s="161" t="b">
        <f t="array" ref="W2250">index(Dropdowns!B:B,match(I2250,Dropdowns!A:A,0))</f>
        <v>1</v>
      </c>
      <c r="X2250" s="161" t="b">
        <f t="array" ref="X2250">index('Query Tool'!B:B,match(D2250,'Query Tool'!C:C,0))</f>
        <v>1</v>
      </c>
      <c r="Y2250" s="161" t="str">
        <f t="shared" si="6"/>
        <v>blackta01,2017-18</v>
      </c>
      <c r="Z2250" s="168" t="str">
        <f t="array" ref="Z2250">iferror(index(I:I,match($A2250&amp;","&amp;index('Year Conversion'!$A:$A,match($C2250,'Year Conversion'!$B:$B,0)),$Y:$Y,0))-I2250,"")</f>
        <v/>
      </c>
      <c r="AA2250" s="168" t="str">
        <f t="array" ref="AA2250">iferror(index(J:J,match($A2250&amp;","&amp;index('Year Conversion'!$A:$A,match($C2250,'Year Conversion'!$B:$B,0)),$Y:$Y,0))-J2250,"")</f>
        <v/>
      </c>
      <c r="AB2250" s="168" t="str">
        <f t="array" ref="AB2250">iferror(index(K:K,match($A2250&amp;","&amp;index('Year Conversion'!$A:$A,match($C2250,'Year Conversion'!$B:$B,0)),$Y:$Y,0))-K2250,"")</f>
        <v/>
      </c>
      <c r="AC2250" s="168" t="str">
        <f t="shared" si="7"/>
        <v>HOU,2017-18</v>
      </c>
    </row>
    <row r="2251">
      <c r="A2251" s="161" t="str">
        <f>IFERROR(__xludf.DUMMYFUNCTION("""COMPUTED_VALUE"""),"weartr01")</f>
        <v>weartr01</v>
      </c>
      <c r="B2251" s="161" t="str">
        <f>IFERROR(__xludf.DUMMYFUNCTION("""COMPUTED_VALUE"""),"Travis Wear")</f>
        <v>Travis Wear</v>
      </c>
      <c r="C2251" s="162" t="str">
        <f>IFERROR(__xludf.DUMMYFUNCTION("""COMPUTED_VALUE"""),"2017-18")</f>
        <v>2017-18</v>
      </c>
      <c r="D2251" s="163" t="str">
        <f>IFERROR(__xludf.DUMMYFUNCTION("""COMPUTED_VALUE"""),"LAL")</f>
        <v>LAL</v>
      </c>
      <c r="E2251" s="164" t="str">
        <f>IFERROR(__xludf.DUMMYFUNCTION("""COMPUTED_VALUE"""),"Stationary Shooter")</f>
        <v>Stationary Shooter</v>
      </c>
      <c r="F2251" s="164">
        <f>IFERROR(__xludf.DUMMYFUNCTION("""COMPUTED_VALUE"""),227.796666666667)</f>
        <v>227.7966667</v>
      </c>
      <c r="G2251" s="163">
        <f>IFERROR(__xludf.DUMMYFUNCTION("""COMPUTED_VALUE"""),17.0)</f>
        <v>17</v>
      </c>
      <c r="H2251" s="163" t="str">
        <f>IFERROR(__xludf.DUMMYFUNCTION("""COMPUTED_VALUE"""),"SF")</f>
        <v>SF</v>
      </c>
      <c r="I2251" s="163">
        <f>IFERROR(__xludf.DUMMYFUNCTION("""COMPUTED_VALUE"""),27.0)</f>
        <v>27</v>
      </c>
      <c r="J2251" s="165">
        <f>IFERROR(__xludf.DUMMYFUNCTION("""COMPUTED_VALUE"""),-0.71959803678587)</f>
        <v>-0.7195980368</v>
      </c>
      <c r="K2251" s="165">
        <f>IFERROR(__xludf.DUMMYFUNCTION("""COMPUTED_VALUE"""),-0.9032803173984)</f>
        <v>-0.9032803174</v>
      </c>
      <c r="L2251" s="165">
        <f>IFERROR(__xludf.DUMMYFUNCTION("""COMPUTED_VALUE"""),0.183682280612529)</f>
        <v>0.1836822806</v>
      </c>
      <c r="M2251" s="166">
        <f t="shared" si="2"/>
        <v>0.2407513917</v>
      </c>
      <c r="N2251" s="167">
        <f t="shared" si="3"/>
        <v>13.39980392</v>
      </c>
      <c r="O2251" s="163">
        <f t="shared" ref="O2251:Q2251" si="2255">rank(I2251,I:I)</f>
        <v>1366</v>
      </c>
      <c r="P2251" s="163">
        <f t="shared" si="2255"/>
        <v>2175</v>
      </c>
      <c r="Q2251" s="163">
        <f t="shared" si="2255"/>
        <v>2695</v>
      </c>
      <c r="R2251" s="163">
        <f>IFERROR(__xludf.DUMMYFUNCTION("RANK(M2251,filter(M:M,C:C=C2251))"),332.0)</f>
        <v>332</v>
      </c>
      <c r="S2251" s="161" t="b">
        <f t="shared" si="5"/>
        <v>0</v>
      </c>
      <c r="T2251" s="161" t="b">
        <f t="array" ref="T2251">index('Query Tool'!B:B,match(H2251,'Query Tool'!C:C,0))</f>
        <v>1</v>
      </c>
      <c r="U2251" s="161" t="b">
        <f t="array" ref="U2251">index('Query Tool'!B:B,match(C2251,'Query Tool'!C:C,0))</f>
        <v>0</v>
      </c>
      <c r="V2251" s="161" t="b">
        <f>F2251&gt;='Query Tool'!C$32</f>
        <v>0</v>
      </c>
      <c r="W2251" s="161" t="b">
        <f t="array" ref="W2251">index(Dropdowns!B:B,match(I2251,Dropdowns!A:A,0))</f>
        <v>1</v>
      </c>
      <c r="X2251" s="161" t="b">
        <f t="array" ref="X2251">index('Query Tool'!B:B,match(D2251,'Query Tool'!C:C,0))</f>
        <v>1</v>
      </c>
      <c r="Y2251" s="161" t="str">
        <f t="shared" si="6"/>
        <v>weartr01,2017-18</v>
      </c>
      <c r="Z2251" s="168" t="str">
        <f t="array" ref="Z2251">iferror(index(I:I,match($A2251&amp;","&amp;index('Year Conversion'!$A:$A,match($C2251,'Year Conversion'!$B:$B,0)),$Y:$Y,0))-I2251,"")</f>
        <v/>
      </c>
      <c r="AA2251" s="168" t="str">
        <f t="array" ref="AA2251">iferror(index(J:J,match($A2251&amp;","&amp;index('Year Conversion'!$A:$A,match($C2251,'Year Conversion'!$B:$B,0)),$Y:$Y,0))-J2251,"")</f>
        <v/>
      </c>
      <c r="AB2251" s="168" t="str">
        <f t="array" ref="AB2251">iferror(index(K:K,match($A2251&amp;","&amp;index('Year Conversion'!$A:$A,match($C2251,'Year Conversion'!$B:$B,0)),$Y:$Y,0))-K2251,"")</f>
        <v/>
      </c>
      <c r="AC2251" s="168" t="str">
        <f t="shared" si="7"/>
        <v>LAL,2017-18</v>
      </c>
    </row>
    <row r="2252">
      <c r="A2252" s="161" t="str">
        <f>IFERROR(__xludf.DUMMYFUNCTION("""COMPUTED_VALUE"""),"gallola01")</f>
        <v>gallola01</v>
      </c>
      <c r="B2252" s="161" t="str">
        <f>IFERROR(__xludf.DUMMYFUNCTION("""COMPUTED_VALUE"""),"Langston Galloway")</f>
        <v>Langston Galloway</v>
      </c>
      <c r="C2252" s="162" t="str">
        <f>IFERROR(__xludf.DUMMYFUNCTION("""COMPUTED_VALUE"""),"2017-18")</f>
        <v>2017-18</v>
      </c>
      <c r="D2252" s="163" t="str">
        <f>IFERROR(__xludf.DUMMYFUNCTION("""COMPUTED_VALUE"""),"DET")</f>
        <v>DET</v>
      </c>
      <c r="E2252" s="164" t="str">
        <f>IFERROR(__xludf.DUMMYFUNCTION("""COMPUTED_VALUE"""),"Off Screen Shooter")</f>
        <v>Off Screen Shooter</v>
      </c>
      <c r="F2252" s="164">
        <f>IFERROR(__xludf.DUMMYFUNCTION("""COMPUTED_VALUE"""),863.445)</f>
        <v>863.445</v>
      </c>
      <c r="G2252" s="163">
        <f>IFERROR(__xludf.DUMMYFUNCTION("""COMPUTED_VALUE"""),58.0)</f>
        <v>58</v>
      </c>
      <c r="H2252" s="163" t="str">
        <f>IFERROR(__xludf.DUMMYFUNCTION("""COMPUTED_VALUE"""),"SG")</f>
        <v>SG</v>
      </c>
      <c r="I2252" s="163">
        <f>IFERROR(__xludf.DUMMYFUNCTION("""COMPUTED_VALUE"""),26.0)</f>
        <v>26</v>
      </c>
      <c r="J2252" s="165">
        <f>IFERROR(__xludf.DUMMYFUNCTION("""COMPUTED_VALUE"""),0.238513241697959)</f>
        <v>0.2385132417</v>
      </c>
      <c r="K2252" s="165">
        <f>IFERROR(__xludf.DUMMYFUNCTION("""COMPUTED_VALUE"""),0.227455058741166)</f>
        <v>0.2274550587</v>
      </c>
      <c r="L2252" s="165">
        <f>IFERROR(__xludf.DUMMYFUNCTION("""COMPUTED_VALUE"""),0.0110581829567926)</f>
        <v>0.01105818296</v>
      </c>
      <c r="M2252" s="166">
        <f t="shared" si="2"/>
        <v>1.469978121</v>
      </c>
      <c r="N2252" s="167">
        <f t="shared" si="3"/>
        <v>14.88698276</v>
      </c>
      <c r="O2252" s="163">
        <f t="shared" ref="O2252:Q2252" si="2256">rank(I2252,I:I)</f>
        <v>1665</v>
      </c>
      <c r="P2252" s="163">
        <f t="shared" si="2256"/>
        <v>1061</v>
      </c>
      <c r="Q2252" s="163">
        <f t="shared" si="2256"/>
        <v>964</v>
      </c>
      <c r="R2252" s="163">
        <f>IFERROR(__xludf.DUMMYFUNCTION("RANK(M2252,filter(M:M,C:C=C2252))"),191.0)</f>
        <v>191</v>
      </c>
      <c r="S2252" s="161" t="b">
        <f t="shared" si="5"/>
        <v>0</v>
      </c>
      <c r="T2252" s="161" t="b">
        <f t="array" ref="T2252">index('Query Tool'!B:B,match(H2252,'Query Tool'!C:C,0))</f>
        <v>1</v>
      </c>
      <c r="U2252" s="161" t="b">
        <f t="array" ref="U2252">index('Query Tool'!B:B,match(C2252,'Query Tool'!C:C,0))</f>
        <v>0</v>
      </c>
      <c r="V2252" s="161" t="b">
        <f>F2252&gt;='Query Tool'!C$32</f>
        <v>1</v>
      </c>
      <c r="W2252" s="161" t="b">
        <f t="array" ref="W2252">index(Dropdowns!B:B,match(I2252,Dropdowns!A:A,0))</f>
        <v>1</v>
      </c>
      <c r="X2252" s="161" t="b">
        <f t="array" ref="X2252">index('Query Tool'!B:B,match(D2252,'Query Tool'!C:C,0))</f>
        <v>1</v>
      </c>
      <c r="Y2252" s="161" t="str">
        <f t="shared" si="6"/>
        <v>gallola01,2017-18</v>
      </c>
      <c r="Z2252" s="168">
        <f t="array" ref="Z2252">iferror(index(I:I,match($A2252&amp;","&amp;index('Year Conversion'!$A:$A,match($C2252,'Year Conversion'!$B:$B,0)),$Y:$Y,0))-I2252,"")</f>
        <v>1</v>
      </c>
      <c r="AA2252" s="168">
        <f t="array" ref="AA2252">iferror(index(J:J,match($A2252&amp;","&amp;index('Year Conversion'!$A:$A,match($C2252,'Year Conversion'!$B:$B,0)),$Y:$Y,0))-J2252,"")</f>
        <v>-1.721570769</v>
      </c>
      <c r="AB2252" s="168">
        <f t="array" ref="AB2252">iferror(index(K:K,match($A2252&amp;","&amp;index('Year Conversion'!$A:$A,match($C2252,'Year Conversion'!$B:$B,0)),$Y:$Y,0))-K2252,"")</f>
        <v>-0.05518681089</v>
      </c>
      <c r="AC2252" s="168" t="str">
        <f t="shared" si="7"/>
        <v>DET,2017-18</v>
      </c>
    </row>
    <row r="2253">
      <c r="A2253" s="161" t="str">
        <f>IFERROR(__xludf.DUMMYFUNCTION("""COMPUTED_VALUE"""),"inglejo01")</f>
        <v>inglejo01</v>
      </c>
      <c r="B2253" s="161" t="str">
        <f>IFERROR(__xludf.DUMMYFUNCTION("""COMPUTED_VALUE"""),"Joe Ingles")</f>
        <v>Joe Ingles</v>
      </c>
      <c r="C2253" s="162" t="str">
        <f>IFERROR(__xludf.DUMMYFUNCTION("""COMPUTED_VALUE"""),"2017-18")</f>
        <v>2017-18</v>
      </c>
      <c r="D2253" s="163" t="str">
        <f>IFERROR(__xludf.DUMMYFUNCTION("""COMPUTED_VALUE"""),"UTA")</f>
        <v>UTA</v>
      </c>
      <c r="E2253" s="164" t="str">
        <f>IFERROR(__xludf.DUMMYFUNCTION("""COMPUTED_VALUE"""),"Secondary Ball Handler")</f>
        <v>Secondary Ball Handler</v>
      </c>
      <c r="F2253" s="164">
        <f>IFERROR(__xludf.DUMMYFUNCTION("""COMPUTED_VALUE"""),2578.49833333333)</f>
        <v>2578.498333</v>
      </c>
      <c r="G2253" s="163">
        <f>IFERROR(__xludf.DUMMYFUNCTION("""COMPUTED_VALUE"""),82.0)</f>
        <v>82</v>
      </c>
      <c r="H2253" s="163" t="str">
        <f>IFERROR(__xludf.DUMMYFUNCTION("""COMPUTED_VALUE"""),"SF")</f>
        <v>SF</v>
      </c>
      <c r="I2253" s="163">
        <f>IFERROR(__xludf.DUMMYFUNCTION("""COMPUTED_VALUE"""),30.0)</f>
        <v>30</v>
      </c>
      <c r="J2253" s="165">
        <f>IFERROR(__xludf.DUMMYFUNCTION("""COMPUTED_VALUE"""),1.81581468500685)</f>
        <v>1.815814685</v>
      </c>
      <c r="K2253" s="165">
        <f>IFERROR(__xludf.DUMMYFUNCTION("""COMPUTED_VALUE"""),0.441519761476942)</f>
        <v>0.4415197615</v>
      </c>
      <c r="L2253" s="165">
        <f>IFERROR(__xludf.DUMMYFUNCTION("""COMPUTED_VALUE"""),1.37429492352991)</f>
        <v>1.374294924</v>
      </c>
      <c r="M2253" s="166">
        <f t="shared" si="2"/>
        <v>7.117412693</v>
      </c>
      <c r="N2253" s="167">
        <f t="shared" si="3"/>
        <v>31.44510163</v>
      </c>
      <c r="O2253" s="163">
        <f t="shared" ref="O2253:Q2253" si="2257">rank(I2253,I:I)</f>
        <v>655</v>
      </c>
      <c r="P2253" s="163">
        <f t="shared" si="2257"/>
        <v>367</v>
      </c>
      <c r="Q2253" s="163">
        <f t="shared" si="2257"/>
        <v>802</v>
      </c>
      <c r="R2253" s="163">
        <f>IFERROR(__xludf.DUMMYFUNCTION("RANK(M2253,filter(M:M,C:C=C2253))"),30.0)</f>
        <v>30</v>
      </c>
      <c r="S2253" s="161" t="b">
        <f t="shared" si="5"/>
        <v>0</v>
      </c>
      <c r="T2253" s="161" t="b">
        <f t="array" ref="T2253">index('Query Tool'!B:B,match(H2253,'Query Tool'!C:C,0))</f>
        <v>1</v>
      </c>
      <c r="U2253" s="161" t="b">
        <f t="array" ref="U2253">index('Query Tool'!B:B,match(C2253,'Query Tool'!C:C,0))</f>
        <v>0</v>
      </c>
      <c r="V2253" s="161" t="b">
        <f>F2253&gt;='Query Tool'!C$32</f>
        <v>1</v>
      </c>
      <c r="W2253" s="161" t="b">
        <f t="array" ref="W2253">index(Dropdowns!B:B,match(I2253,Dropdowns!A:A,0))</f>
        <v>1</v>
      </c>
      <c r="X2253" s="161" t="b">
        <f t="array" ref="X2253">index('Query Tool'!B:B,match(D2253,'Query Tool'!C:C,0))</f>
        <v>1</v>
      </c>
      <c r="Y2253" s="161" t="str">
        <f t="shared" si="6"/>
        <v>inglejo01,2017-18</v>
      </c>
      <c r="Z2253" s="168">
        <f t="array" ref="Z2253">iferror(index(I:I,match($A2253&amp;","&amp;index('Year Conversion'!$A:$A,match($C2253,'Year Conversion'!$B:$B,0)),$Y:$Y,0))-I2253,"")</f>
        <v>1</v>
      </c>
      <c r="AA2253" s="168">
        <f t="array" ref="AA2253">iferror(index(J:J,match($A2253&amp;","&amp;index('Year Conversion'!$A:$A,match($C2253,'Year Conversion'!$B:$B,0)),$Y:$Y,0))-J2253,"")</f>
        <v>0.1163632701</v>
      </c>
      <c r="AB2253" s="168">
        <f t="array" ref="AB2253">iferror(index(K:K,match($A2253&amp;","&amp;index('Year Conversion'!$A:$A,match($C2253,'Year Conversion'!$B:$B,0)),$Y:$Y,0))-K2253,"")</f>
        <v>0.1468493888</v>
      </c>
      <c r="AC2253" s="168" t="str">
        <f t="shared" si="7"/>
        <v>UTA,2017-18</v>
      </c>
    </row>
    <row r="2254">
      <c r="A2254" s="161" t="str">
        <f>IFERROR(__xludf.DUMMYFUNCTION("""COMPUTED_VALUE"""),"stockda01")</f>
        <v>stockda01</v>
      </c>
      <c r="B2254" s="161" t="str">
        <f>IFERROR(__xludf.DUMMYFUNCTION("""COMPUTED_VALUE"""),"David Stockton")</f>
        <v>David Stockton</v>
      </c>
      <c r="C2254" s="162" t="str">
        <f>IFERROR(__xludf.DUMMYFUNCTION("""COMPUTED_VALUE"""),"2017-18")</f>
        <v>2017-18</v>
      </c>
      <c r="D2254" s="163" t="str">
        <f>IFERROR(__xludf.DUMMYFUNCTION("""COMPUTED_VALUE"""),"UTA")</f>
        <v>UTA</v>
      </c>
      <c r="E2254" s="164" t="str">
        <f>IFERROR(__xludf.DUMMYFUNCTION("""COMPUTED_VALUE"""),"Secondary Ball Handler")</f>
        <v>Secondary Ball Handler</v>
      </c>
      <c r="F2254" s="164">
        <f>IFERROR(__xludf.DUMMYFUNCTION("""COMPUTED_VALUE"""),9.33333333333334)</f>
        <v>9.333333333</v>
      </c>
      <c r="G2254" s="163">
        <f>IFERROR(__xludf.DUMMYFUNCTION("""COMPUTED_VALUE"""),3.0)</f>
        <v>3</v>
      </c>
      <c r="H2254" s="163" t="str">
        <f>IFERROR(__xludf.DUMMYFUNCTION("""COMPUTED_VALUE"""),"PG")</f>
        <v>PG</v>
      </c>
      <c r="I2254" s="163">
        <f>IFERROR(__xludf.DUMMYFUNCTION("""COMPUTED_VALUE"""),26.0)</f>
        <v>26</v>
      </c>
      <c r="J2254" s="165">
        <f>IFERROR(__xludf.DUMMYFUNCTION("""COMPUTED_VALUE"""),-0.606374184143213)</f>
        <v>-0.6063741841</v>
      </c>
      <c r="K2254" s="165">
        <f>IFERROR(__xludf.DUMMYFUNCTION("""COMPUTED_VALUE"""),-0.0394244980314549)</f>
        <v>-0.03942449803</v>
      </c>
      <c r="L2254" s="165">
        <f>IFERROR(__xludf.DUMMYFUNCTION("""COMPUTED_VALUE"""),-0.566949686111758)</f>
        <v>-0.5669496861</v>
      </c>
      <c r="M2254" s="166">
        <f t="shared" si="2"/>
        <v>0.01057526452</v>
      </c>
      <c r="N2254" s="167">
        <f t="shared" si="3"/>
        <v>3.111111111</v>
      </c>
      <c r="O2254" s="163">
        <f t="shared" ref="O2254:Q2254" si="2258">rank(I2254,I:I)</f>
        <v>1665</v>
      </c>
      <c r="P2254" s="163">
        <f t="shared" si="2258"/>
        <v>2009</v>
      </c>
      <c r="Q2254" s="163">
        <f t="shared" si="2258"/>
        <v>1252</v>
      </c>
      <c r="R2254" s="163">
        <f>IFERROR(__xludf.DUMMYFUNCTION("RANK(M2254,filter(M:M,C:C=C2254))"),476.0)</f>
        <v>476</v>
      </c>
      <c r="S2254" s="161" t="b">
        <f t="shared" si="5"/>
        <v>0</v>
      </c>
      <c r="T2254" s="161" t="b">
        <f t="array" ref="T2254">index('Query Tool'!B:B,match(H2254,'Query Tool'!C:C,0))</f>
        <v>1</v>
      </c>
      <c r="U2254" s="161" t="b">
        <f t="array" ref="U2254">index('Query Tool'!B:B,match(C2254,'Query Tool'!C:C,0))</f>
        <v>0</v>
      </c>
      <c r="V2254" s="161" t="b">
        <f>F2254&gt;='Query Tool'!C$32</f>
        <v>0</v>
      </c>
      <c r="W2254" s="161" t="b">
        <f t="array" ref="W2254">index(Dropdowns!B:B,match(I2254,Dropdowns!A:A,0))</f>
        <v>1</v>
      </c>
      <c r="X2254" s="161" t="b">
        <f t="array" ref="X2254">index('Query Tool'!B:B,match(D2254,'Query Tool'!C:C,0))</f>
        <v>1</v>
      </c>
      <c r="Y2254" s="161" t="str">
        <f t="shared" si="6"/>
        <v>stockda01,2017-18</v>
      </c>
      <c r="Z2254" s="168" t="str">
        <f t="array" ref="Z2254">iferror(index(I:I,match($A2254&amp;","&amp;index('Year Conversion'!$A:$A,match($C2254,'Year Conversion'!$B:$B,0)),$Y:$Y,0))-I2254,"")</f>
        <v/>
      </c>
      <c r="AA2254" s="168" t="str">
        <f t="array" ref="AA2254">iferror(index(J:J,match($A2254&amp;","&amp;index('Year Conversion'!$A:$A,match($C2254,'Year Conversion'!$B:$B,0)),$Y:$Y,0))-J2254,"")</f>
        <v/>
      </c>
      <c r="AB2254" s="168" t="str">
        <f t="array" ref="AB2254">iferror(index(K:K,match($A2254&amp;","&amp;index('Year Conversion'!$A:$A,match($C2254,'Year Conversion'!$B:$B,0)),$Y:$Y,0))-K2254,"")</f>
        <v/>
      </c>
      <c r="AC2254" s="168" t="str">
        <f t="shared" si="7"/>
        <v>UTA,2017-18</v>
      </c>
    </row>
    <row r="2255">
      <c r="A2255" s="161" t="str">
        <f>IFERROR(__xludf.DUMMYFUNCTION("""COMPUTED_VALUE"""),"hollajo02")</f>
        <v>hollajo02</v>
      </c>
      <c r="B2255" s="161" t="str">
        <f>IFERROR(__xludf.DUMMYFUNCTION("""COMPUTED_VALUE"""),"John Holland")</f>
        <v>John Holland</v>
      </c>
      <c r="C2255" s="162" t="str">
        <f>IFERROR(__xludf.DUMMYFUNCTION("""COMPUTED_VALUE"""),"2017-18")</f>
        <v>2017-18</v>
      </c>
      <c r="D2255" s="163" t="str">
        <f>IFERROR(__xludf.DUMMYFUNCTION("""COMPUTED_VALUE"""),"CLE")</f>
        <v>CLE</v>
      </c>
      <c r="E2255" s="164" t="str">
        <f>IFERROR(__xludf.DUMMYFUNCTION("""COMPUTED_VALUE"""),"Movement Shooter")</f>
        <v>Movement Shooter</v>
      </c>
      <c r="F2255" s="164">
        <f>IFERROR(__xludf.DUMMYFUNCTION("""COMPUTED_VALUE"""),174.441666666667)</f>
        <v>174.4416667</v>
      </c>
      <c r="G2255" s="163">
        <f>IFERROR(__xludf.DUMMYFUNCTION("""COMPUTED_VALUE"""),24.0)</f>
        <v>24</v>
      </c>
      <c r="H2255" s="163" t="str">
        <f>IFERROR(__xludf.DUMMYFUNCTION("""COMPUTED_VALUE"""),"SF")</f>
        <v>SF</v>
      </c>
      <c r="I2255" s="163">
        <f>IFERROR(__xludf.DUMMYFUNCTION("""COMPUTED_VALUE"""),29.0)</f>
        <v>29</v>
      </c>
      <c r="J2255" s="165">
        <f>IFERROR(__xludf.DUMMYFUNCTION("""COMPUTED_VALUE"""),-1.19526049838494)</f>
        <v>-1.195260498</v>
      </c>
      <c r="K2255" s="165">
        <f>IFERROR(__xludf.DUMMYFUNCTION("""COMPUTED_VALUE"""),-0.370393811512729)</f>
        <v>-0.3703938115</v>
      </c>
      <c r="L2255" s="165">
        <f>IFERROR(__xludf.DUMMYFUNCTION("""COMPUTED_VALUE"""),-0.824866686872209)</f>
        <v>-0.8248666869</v>
      </c>
      <c r="M2255" s="166">
        <f t="shared" si="2"/>
        <v>0.1286384684</v>
      </c>
      <c r="N2255" s="167">
        <f t="shared" si="3"/>
        <v>7.268402778</v>
      </c>
      <c r="O2255" s="163">
        <f t="shared" ref="O2255:Q2255" si="2259">rank(I2255,I:I)</f>
        <v>855</v>
      </c>
      <c r="P2255" s="163">
        <f t="shared" si="2259"/>
        <v>2740</v>
      </c>
      <c r="Q2255" s="163">
        <f t="shared" si="2259"/>
        <v>1893</v>
      </c>
      <c r="R2255" s="163">
        <f>IFERROR(__xludf.DUMMYFUNCTION("RANK(M2255,filter(M:M,C:C=C2255))"),379.0)</f>
        <v>379</v>
      </c>
      <c r="S2255" s="161" t="b">
        <f t="shared" si="5"/>
        <v>0</v>
      </c>
      <c r="T2255" s="161" t="b">
        <f t="array" ref="T2255">index('Query Tool'!B:B,match(H2255,'Query Tool'!C:C,0))</f>
        <v>1</v>
      </c>
      <c r="U2255" s="161" t="b">
        <f t="array" ref="U2255">index('Query Tool'!B:B,match(C2255,'Query Tool'!C:C,0))</f>
        <v>0</v>
      </c>
      <c r="V2255" s="161" t="b">
        <f>F2255&gt;='Query Tool'!C$32</f>
        <v>0</v>
      </c>
      <c r="W2255" s="161" t="b">
        <f t="array" ref="W2255">index(Dropdowns!B:B,match(I2255,Dropdowns!A:A,0))</f>
        <v>1</v>
      </c>
      <c r="X2255" s="161" t="b">
        <f t="array" ref="X2255">index('Query Tool'!B:B,match(D2255,'Query Tool'!C:C,0))</f>
        <v>1</v>
      </c>
      <c r="Y2255" s="161" t="str">
        <f t="shared" si="6"/>
        <v>hollajo02,2017-18</v>
      </c>
      <c r="Z2255" s="168" t="str">
        <f t="array" ref="Z2255">iferror(index(I:I,match($A2255&amp;","&amp;index('Year Conversion'!$A:$A,match($C2255,'Year Conversion'!$B:$B,0)),$Y:$Y,0))-I2255,"")</f>
        <v/>
      </c>
      <c r="AA2255" s="168" t="str">
        <f t="array" ref="AA2255">iferror(index(J:J,match($A2255&amp;","&amp;index('Year Conversion'!$A:$A,match($C2255,'Year Conversion'!$B:$B,0)),$Y:$Y,0))-J2255,"")</f>
        <v/>
      </c>
      <c r="AB2255" s="168" t="str">
        <f t="array" ref="AB2255">iferror(index(K:K,match($A2255&amp;","&amp;index('Year Conversion'!$A:$A,match($C2255,'Year Conversion'!$B:$B,0)),$Y:$Y,0))-K2255,"")</f>
        <v/>
      </c>
      <c r="AC2255" s="168" t="str">
        <f t="shared" si="7"/>
        <v>CLE,2017-18</v>
      </c>
    </row>
    <row r="2256">
      <c r="A2256" s="161" t="str">
        <f>IFERROR(__xludf.DUMMYFUNCTION("""COMPUTED_VALUE"""),"eddieja01")</f>
        <v>eddieja01</v>
      </c>
      <c r="B2256" s="161" t="str">
        <f>IFERROR(__xludf.DUMMYFUNCTION("""COMPUTED_VALUE"""),"Jarell Eddie")</f>
        <v>Jarell Eddie</v>
      </c>
      <c r="C2256" s="162" t="str">
        <f>IFERROR(__xludf.DUMMYFUNCTION("""COMPUTED_VALUE"""),"2017-18")</f>
        <v>2017-18</v>
      </c>
      <c r="D2256" s="163" t="str">
        <f>IFERROR(__xludf.DUMMYFUNCTION("""COMPUTED_VALUE"""),"TOT")</f>
        <v>TOT</v>
      </c>
      <c r="E2256" s="164" t="str">
        <f>IFERROR(__xludf.DUMMYFUNCTION("""COMPUTED_VALUE"""),"Low Minutes")</f>
        <v>Low Minutes</v>
      </c>
      <c r="F2256" s="164">
        <f>IFERROR(__xludf.DUMMYFUNCTION("""COMPUTED_VALUE"""),8.61666666666667)</f>
        <v>8.616666667</v>
      </c>
      <c r="G2256" s="163">
        <f>IFERROR(__xludf.DUMMYFUNCTION("""COMPUTED_VALUE"""),3.0)</f>
        <v>3</v>
      </c>
      <c r="H2256" s="163" t="str">
        <f>IFERROR(__xludf.DUMMYFUNCTION("""COMPUTED_VALUE"""),"SF")</f>
        <v>SF</v>
      </c>
      <c r="I2256" s="163">
        <f>IFERROR(__xludf.DUMMYFUNCTION("""COMPUTED_VALUE"""),26.0)</f>
        <v>26</v>
      </c>
      <c r="J2256" s="165">
        <f>IFERROR(__xludf.DUMMYFUNCTION("""COMPUTED_VALUE"""),-0.248088604523955)</f>
        <v>-0.2480886045</v>
      </c>
      <c r="K2256" s="165">
        <f>IFERROR(__xludf.DUMMYFUNCTION("""COMPUTED_VALUE"""),-0.209258391924259)</f>
        <v>-0.2092583919</v>
      </c>
      <c r="L2256" s="165">
        <f>IFERROR(__xludf.DUMMYFUNCTION("""COMPUTED_VALUE"""),-0.0388302125996959)</f>
        <v>-0.0388302126</v>
      </c>
      <c r="M2256" s="166">
        <f t="shared" si="2"/>
        <v>0.01184293757</v>
      </c>
      <c r="N2256" s="167">
        <f t="shared" si="3"/>
        <v>2.872222222</v>
      </c>
      <c r="O2256" s="163">
        <f t="shared" ref="O2256:Q2256" si="2260">rank(I2256,I:I)</f>
        <v>1665</v>
      </c>
      <c r="P2256" s="163">
        <f t="shared" si="2260"/>
        <v>1558</v>
      </c>
      <c r="Q2256" s="163">
        <f t="shared" si="2260"/>
        <v>1578</v>
      </c>
      <c r="R2256" s="163">
        <f>IFERROR(__xludf.DUMMYFUNCTION("RANK(M2256,filter(M:M,C:C=C2256))"),472.0)</f>
        <v>472</v>
      </c>
      <c r="S2256" s="161" t="b">
        <f t="shared" si="5"/>
        <v>0</v>
      </c>
      <c r="T2256" s="161" t="b">
        <f t="array" ref="T2256">index('Query Tool'!B:B,match(H2256,'Query Tool'!C:C,0))</f>
        <v>1</v>
      </c>
      <c r="U2256" s="161" t="b">
        <f t="array" ref="U2256">index('Query Tool'!B:B,match(C2256,'Query Tool'!C:C,0))</f>
        <v>0</v>
      </c>
      <c r="V2256" s="161" t="b">
        <f>F2256&gt;='Query Tool'!C$32</f>
        <v>0</v>
      </c>
      <c r="W2256" s="161" t="b">
        <f t="array" ref="W2256">index(Dropdowns!B:B,match(I2256,Dropdowns!A:A,0))</f>
        <v>1</v>
      </c>
      <c r="X2256" s="161" t="b">
        <f t="array" ref="X2256">index('Query Tool'!B:B,match(D2256,'Query Tool'!C:C,0))</f>
        <v>1</v>
      </c>
      <c r="Y2256" s="161" t="str">
        <f t="shared" si="6"/>
        <v>eddieja01,2017-18</v>
      </c>
      <c r="Z2256" s="168" t="str">
        <f t="array" ref="Z2256">iferror(index(I:I,match($A2256&amp;","&amp;index('Year Conversion'!$A:$A,match($C2256,'Year Conversion'!$B:$B,0)),$Y:$Y,0))-I2256,"")</f>
        <v/>
      </c>
      <c r="AA2256" s="168" t="str">
        <f t="array" ref="AA2256">iferror(index(J:J,match($A2256&amp;","&amp;index('Year Conversion'!$A:$A,match($C2256,'Year Conversion'!$B:$B,0)),$Y:$Y,0))-J2256,"")</f>
        <v/>
      </c>
      <c r="AB2256" s="168" t="str">
        <f t="array" ref="AB2256">iferror(index(K:K,match($A2256&amp;","&amp;index('Year Conversion'!$A:$A,match($C2256,'Year Conversion'!$B:$B,0)),$Y:$Y,0))-K2256,"")</f>
        <v/>
      </c>
      <c r="AC2256" s="168" t="str">
        <f t="shared" si="7"/>
        <v>TOT,2017-18</v>
      </c>
    </row>
    <row r="2257">
      <c r="A2257" s="161" t="str">
        <f>IFERROR(__xludf.DUMMYFUNCTION("""COMPUTED_VALUE"""),"munfoxa02")</f>
        <v>munfoxa02</v>
      </c>
      <c r="B2257" s="161" t="str">
        <f>IFERROR(__xludf.DUMMYFUNCTION("""COMPUTED_VALUE"""),"Xavier Munford")</f>
        <v>Xavier Munford</v>
      </c>
      <c r="C2257" s="162" t="str">
        <f>IFERROR(__xludf.DUMMYFUNCTION("""COMPUTED_VALUE"""),"2017-18")</f>
        <v>2017-18</v>
      </c>
      <c r="D2257" s="163" t="str">
        <f>IFERROR(__xludf.DUMMYFUNCTION("""COMPUTED_VALUE"""),"MIL")</f>
        <v>MIL</v>
      </c>
      <c r="E2257" s="164" t="str">
        <f>IFERROR(__xludf.DUMMYFUNCTION("""COMPUTED_VALUE"""),"Stretch Big")</f>
        <v>Stretch Big</v>
      </c>
      <c r="F2257" s="164">
        <f>IFERROR(__xludf.DUMMYFUNCTION("""COMPUTED_VALUE"""),20.7533333333333)</f>
        <v>20.75333333</v>
      </c>
      <c r="G2257" s="163">
        <f>IFERROR(__xludf.DUMMYFUNCTION("""COMPUTED_VALUE"""),6.0)</f>
        <v>6</v>
      </c>
      <c r="H2257" s="163" t="str">
        <f>IFERROR(__xludf.DUMMYFUNCTION("""COMPUTED_VALUE"""),"SG")</f>
        <v>SG</v>
      </c>
      <c r="I2257" s="163">
        <f>IFERROR(__xludf.DUMMYFUNCTION("""COMPUTED_VALUE"""),25.0)</f>
        <v>25</v>
      </c>
      <c r="J2257" s="165">
        <f>IFERROR(__xludf.DUMMYFUNCTION("""COMPUTED_VALUE"""),-0.79769803326704)</f>
        <v>-0.7976980333</v>
      </c>
      <c r="K2257" s="165">
        <f>IFERROR(__xludf.DUMMYFUNCTION("""COMPUTED_VALUE"""),-0.185248742858082)</f>
        <v>-0.1852487429</v>
      </c>
      <c r="L2257" s="165">
        <f>IFERROR(__xludf.DUMMYFUNCTION("""COMPUTED_VALUE"""),-0.612449290408958)</f>
        <v>-0.6124492904</v>
      </c>
      <c r="M2257" s="166">
        <f t="shared" si="2"/>
        <v>0.02084343748</v>
      </c>
      <c r="N2257" s="167">
        <f t="shared" si="3"/>
        <v>3.458888889</v>
      </c>
      <c r="O2257" s="163">
        <f t="shared" ref="O2257:Q2257" si="2261">rank(I2257,I:I)</f>
        <v>1995</v>
      </c>
      <c r="P2257" s="163">
        <f t="shared" si="2261"/>
        <v>2271</v>
      </c>
      <c r="Q2257" s="163">
        <f t="shared" si="2261"/>
        <v>1541</v>
      </c>
      <c r="R2257" s="163">
        <f>IFERROR(__xludf.DUMMYFUNCTION("RANK(M2257,filter(M:M,C:C=C2257))"),458.0)</f>
        <v>458</v>
      </c>
      <c r="S2257" s="161" t="b">
        <f t="shared" si="5"/>
        <v>0</v>
      </c>
      <c r="T2257" s="161" t="b">
        <f t="array" ref="T2257">index('Query Tool'!B:B,match(H2257,'Query Tool'!C:C,0))</f>
        <v>1</v>
      </c>
      <c r="U2257" s="161" t="b">
        <f t="array" ref="U2257">index('Query Tool'!B:B,match(C2257,'Query Tool'!C:C,0))</f>
        <v>0</v>
      </c>
      <c r="V2257" s="161" t="b">
        <f>F2257&gt;='Query Tool'!C$32</f>
        <v>0</v>
      </c>
      <c r="W2257" s="161" t="b">
        <f t="array" ref="W2257">index(Dropdowns!B:B,match(I2257,Dropdowns!A:A,0))</f>
        <v>1</v>
      </c>
      <c r="X2257" s="161" t="b">
        <f t="array" ref="X2257">index('Query Tool'!B:B,match(D2257,'Query Tool'!C:C,0))</f>
        <v>1</v>
      </c>
      <c r="Y2257" s="161" t="str">
        <f t="shared" si="6"/>
        <v>munfoxa02,2017-18</v>
      </c>
      <c r="Z2257" s="168" t="str">
        <f t="array" ref="Z2257">iferror(index(I:I,match($A2257&amp;","&amp;index('Year Conversion'!$A:$A,match($C2257,'Year Conversion'!$B:$B,0)),$Y:$Y,0))-I2257,"")</f>
        <v/>
      </c>
      <c r="AA2257" s="168" t="str">
        <f t="array" ref="AA2257">iferror(index(J:J,match($A2257&amp;","&amp;index('Year Conversion'!$A:$A,match($C2257,'Year Conversion'!$B:$B,0)),$Y:$Y,0))-J2257,"")</f>
        <v/>
      </c>
      <c r="AB2257" s="168" t="str">
        <f t="array" ref="AB2257">iferror(index(K:K,match($A2257&amp;","&amp;index('Year Conversion'!$A:$A,match($C2257,'Year Conversion'!$B:$B,0)),$Y:$Y,0))-K2257,"")</f>
        <v/>
      </c>
      <c r="AC2257" s="168" t="str">
        <f t="shared" si="7"/>
        <v>MIL,2017-18</v>
      </c>
    </row>
    <row r="2258">
      <c r="A2258" s="161" t="str">
        <f>IFERROR(__xludf.DUMMYFUNCTION("""COMPUTED_VALUE"""),"johnsom01")</f>
        <v>johnsom01</v>
      </c>
      <c r="B2258" s="161" t="str">
        <f>IFERROR(__xludf.DUMMYFUNCTION("""COMPUTED_VALUE"""),"Omari Johnson")</f>
        <v>Omari Johnson</v>
      </c>
      <c r="C2258" s="162" t="str">
        <f>IFERROR(__xludf.DUMMYFUNCTION("""COMPUTED_VALUE"""),"2017-18")</f>
        <v>2017-18</v>
      </c>
      <c r="D2258" s="163" t="str">
        <f>IFERROR(__xludf.DUMMYFUNCTION("""COMPUTED_VALUE"""),"MEM")</f>
        <v>MEM</v>
      </c>
      <c r="E2258" s="164" t="str">
        <f>IFERROR(__xludf.DUMMYFUNCTION("""COMPUTED_VALUE"""),"Athletic Finisher")</f>
        <v>Athletic Finisher</v>
      </c>
      <c r="F2258" s="164">
        <f>IFERROR(__xludf.DUMMYFUNCTION("""COMPUTED_VALUE"""),75.0999999999999)</f>
        <v>75.1</v>
      </c>
      <c r="G2258" s="163">
        <f>IFERROR(__xludf.DUMMYFUNCTION("""COMPUTED_VALUE"""),4.0)</f>
        <v>4</v>
      </c>
      <c r="H2258" s="163" t="str">
        <f>IFERROR(__xludf.DUMMYFUNCTION("""COMPUTED_VALUE"""),"PF")</f>
        <v>PF</v>
      </c>
      <c r="I2258" s="163">
        <f>IFERROR(__xludf.DUMMYFUNCTION("""COMPUTED_VALUE"""),28.0)</f>
        <v>28</v>
      </c>
      <c r="J2258" s="165">
        <f>IFERROR(__xludf.DUMMYFUNCTION("""COMPUTED_VALUE"""),-0.0863071637691446)</f>
        <v>-0.08630716377</v>
      </c>
      <c r="K2258" s="165">
        <f>IFERROR(__xludf.DUMMYFUNCTION("""COMPUTED_VALUE"""),0.287130939258405)</f>
        <v>0.2871309393</v>
      </c>
      <c r="L2258" s="165">
        <f>IFERROR(__xludf.DUMMYFUNCTION("""COMPUTED_VALUE"""),-0.37343810302755)</f>
        <v>-0.373438103</v>
      </c>
      <c r="M2258" s="166">
        <f t="shared" si="2"/>
        <v>0.1114093373</v>
      </c>
      <c r="N2258" s="167">
        <f t="shared" si="3"/>
        <v>18.775</v>
      </c>
      <c r="O2258" s="163">
        <f t="shared" ref="O2258:Q2258" si="2262">rank(I2258,I:I)</f>
        <v>1090</v>
      </c>
      <c r="P2258" s="163">
        <f t="shared" si="2262"/>
        <v>1373</v>
      </c>
      <c r="Q2258" s="163">
        <f t="shared" si="2262"/>
        <v>921</v>
      </c>
      <c r="R2258" s="163">
        <f>IFERROR(__xludf.DUMMYFUNCTION("RANK(M2258,filter(M:M,C:C=C2258))"),394.0)</f>
        <v>394</v>
      </c>
      <c r="S2258" s="161" t="b">
        <f t="shared" si="5"/>
        <v>0</v>
      </c>
      <c r="T2258" s="161" t="b">
        <f t="array" ref="T2258">index('Query Tool'!B:B,match(H2258,'Query Tool'!C:C,0))</f>
        <v>1</v>
      </c>
      <c r="U2258" s="161" t="b">
        <f t="array" ref="U2258">index('Query Tool'!B:B,match(C2258,'Query Tool'!C:C,0))</f>
        <v>0</v>
      </c>
      <c r="V2258" s="161" t="b">
        <f>F2258&gt;='Query Tool'!C$32</f>
        <v>0</v>
      </c>
      <c r="W2258" s="161" t="b">
        <f t="array" ref="W2258">index(Dropdowns!B:B,match(I2258,Dropdowns!A:A,0))</f>
        <v>1</v>
      </c>
      <c r="X2258" s="161" t="b">
        <f t="array" ref="X2258">index('Query Tool'!B:B,match(D2258,'Query Tool'!C:C,0))</f>
        <v>1</v>
      </c>
      <c r="Y2258" s="161" t="str">
        <f t="shared" si="6"/>
        <v>johnsom01,2017-18</v>
      </c>
      <c r="Z2258" s="168" t="str">
        <f t="array" ref="Z2258">iferror(index(I:I,match($A2258&amp;","&amp;index('Year Conversion'!$A:$A,match($C2258,'Year Conversion'!$B:$B,0)),$Y:$Y,0))-I2258,"")</f>
        <v/>
      </c>
      <c r="AA2258" s="168" t="str">
        <f t="array" ref="AA2258">iferror(index(J:J,match($A2258&amp;","&amp;index('Year Conversion'!$A:$A,match($C2258,'Year Conversion'!$B:$B,0)),$Y:$Y,0))-J2258,"")</f>
        <v/>
      </c>
      <c r="AB2258" s="168" t="str">
        <f t="array" ref="AB2258">iferror(index(K:K,match($A2258&amp;","&amp;index('Year Conversion'!$A:$A,match($C2258,'Year Conversion'!$B:$B,0)),$Y:$Y,0))-K2258,"")</f>
        <v/>
      </c>
      <c r="AC2258" s="168" t="str">
        <f t="shared" si="7"/>
        <v>MEM,2017-18</v>
      </c>
    </row>
    <row r="2259">
      <c r="A2259" s="161" t="str">
        <f>IFERROR(__xludf.DUMMYFUNCTION("""COMPUTED_VALUE"""),"mccontj01")</f>
        <v>mccontj01</v>
      </c>
      <c r="B2259" s="161" t="str">
        <f>IFERROR(__xludf.DUMMYFUNCTION("""COMPUTED_VALUE"""),"T.J. McConnell")</f>
        <v>T.J. McConnell</v>
      </c>
      <c r="C2259" s="162" t="str">
        <f>IFERROR(__xludf.DUMMYFUNCTION("""COMPUTED_VALUE"""),"2017-18")</f>
        <v>2017-18</v>
      </c>
      <c r="D2259" s="163" t="str">
        <f>IFERROR(__xludf.DUMMYFUNCTION("""COMPUTED_VALUE"""),"PHI")</f>
        <v>PHI</v>
      </c>
      <c r="E2259" s="164" t="str">
        <f>IFERROR(__xludf.DUMMYFUNCTION("""COMPUTED_VALUE"""),"Slasher")</f>
        <v>Slasher</v>
      </c>
      <c r="F2259" s="164">
        <f>IFERROR(__xludf.DUMMYFUNCTION("""COMPUTED_VALUE"""),1706.61333333333)</f>
        <v>1706.613333</v>
      </c>
      <c r="G2259" s="163">
        <f>IFERROR(__xludf.DUMMYFUNCTION("""COMPUTED_VALUE"""),76.0)</f>
        <v>76</v>
      </c>
      <c r="H2259" s="163" t="str">
        <f>IFERROR(__xludf.DUMMYFUNCTION("""COMPUTED_VALUE"""),"PG")</f>
        <v>PG</v>
      </c>
      <c r="I2259" s="163">
        <f>IFERROR(__xludf.DUMMYFUNCTION("""COMPUTED_VALUE"""),25.0)</f>
        <v>25</v>
      </c>
      <c r="J2259" s="165">
        <f>IFERROR(__xludf.DUMMYFUNCTION("""COMPUTED_VALUE"""),-1.57786970753161)</f>
        <v>-1.577869708</v>
      </c>
      <c r="K2259" s="165">
        <f>IFERROR(__xludf.DUMMYFUNCTION("""COMPUTED_VALUE"""),-1.89931452072829)</f>
        <v>-1.899314521</v>
      </c>
      <c r="L2259" s="165">
        <f>IFERROR(__xludf.DUMMYFUNCTION("""COMPUTED_VALUE"""),0.321444813196682)</f>
        <v>0.3214448132</v>
      </c>
      <c r="M2259" s="166">
        <f t="shared" si="2"/>
        <v>0.8218145535</v>
      </c>
      <c r="N2259" s="167">
        <f t="shared" si="3"/>
        <v>22.4554386</v>
      </c>
      <c r="O2259" s="163">
        <f t="shared" ref="O2259:Q2259" si="2263">rank(I2259,I:I)</f>
        <v>1995</v>
      </c>
      <c r="P2259" s="163">
        <f t="shared" si="2263"/>
        <v>3127</v>
      </c>
      <c r="Q2259" s="163">
        <f t="shared" si="2263"/>
        <v>3645</v>
      </c>
      <c r="R2259" s="163">
        <f>IFERROR(__xludf.DUMMYFUNCTION("RANK(M2259,filter(M:M,C:C=C2259))"),255.0)</f>
        <v>255</v>
      </c>
      <c r="S2259" s="161" t="b">
        <f t="shared" si="5"/>
        <v>0</v>
      </c>
      <c r="T2259" s="161" t="b">
        <f t="array" ref="T2259">index('Query Tool'!B:B,match(H2259,'Query Tool'!C:C,0))</f>
        <v>1</v>
      </c>
      <c r="U2259" s="161" t="b">
        <f t="array" ref="U2259">index('Query Tool'!B:B,match(C2259,'Query Tool'!C:C,0))</f>
        <v>0</v>
      </c>
      <c r="V2259" s="161" t="b">
        <f>F2259&gt;='Query Tool'!C$32</f>
        <v>1</v>
      </c>
      <c r="W2259" s="161" t="b">
        <f t="array" ref="W2259">index(Dropdowns!B:B,match(I2259,Dropdowns!A:A,0))</f>
        <v>1</v>
      </c>
      <c r="X2259" s="161" t="b">
        <f t="array" ref="X2259">index('Query Tool'!B:B,match(D2259,'Query Tool'!C:C,0))</f>
        <v>1</v>
      </c>
      <c r="Y2259" s="161" t="str">
        <f t="shared" si="6"/>
        <v>mccontj01,2017-18</v>
      </c>
      <c r="Z2259" s="168">
        <f t="array" ref="Z2259">iferror(index(I:I,match($A2259&amp;","&amp;index('Year Conversion'!$A:$A,match($C2259,'Year Conversion'!$B:$B,0)),$Y:$Y,0))-I2259,"")</f>
        <v>1</v>
      </c>
      <c r="AA2259" s="168">
        <f t="array" ref="AA2259">iferror(index(J:J,match($A2259&amp;","&amp;index('Year Conversion'!$A:$A,match($C2259,'Year Conversion'!$B:$B,0)),$Y:$Y,0))-J2259,"")</f>
        <v>0.8323451881</v>
      </c>
      <c r="AB2259" s="168">
        <f t="array" ref="AB2259">iferror(index(K:K,match($A2259&amp;","&amp;index('Year Conversion'!$A:$A,match($C2259,'Year Conversion'!$B:$B,0)),$Y:$Y,0))-K2259,"")</f>
        <v>1.358238051</v>
      </c>
      <c r="AC2259" s="168" t="str">
        <f t="shared" si="7"/>
        <v>PHI,2017-18</v>
      </c>
    </row>
    <row r="2260">
      <c r="A2260" s="161" t="str">
        <f>IFERROR(__xludf.DUMMYFUNCTION("""COMPUTED_VALUE"""),"okafoja01")</f>
        <v>okafoja01</v>
      </c>
      <c r="B2260" s="161" t="str">
        <f>IFERROR(__xludf.DUMMYFUNCTION("""COMPUTED_VALUE"""),"Jahlil Okafor")</f>
        <v>Jahlil Okafor</v>
      </c>
      <c r="C2260" s="162" t="str">
        <f>IFERROR(__xludf.DUMMYFUNCTION("""COMPUTED_VALUE"""),"2017-18")</f>
        <v>2017-18</v>
      </c>
      <c r="D2260" s="163" t="str">
        <f>IFERROR(__xludf.DUMMYFUNCTION("""COMPUTED_VALUE"""),"TOT")</f>
        <v>TOT</v>
      </c>
      <c r="E2260" s="164" t="str">
        <f>IFERROR(__xludf.DUMMYFUNCTION("""COMPUTED_VALUE"""),"Post Scorer")</f>
        <v>Post Scorer</v>
      </c>
      <c r="F2260" s="164">
        <f>IFERROR(__xludf.DUMMYFUNCTION("""COMPUTED_VALUE"""),352.831666666666)</f>
        <v>352.8316667</v>
      </c>
      <c r="G2260" s="163">
        <f>IFERROR(__xludf.DUMMYFUNCTION("""COMPUTED_VALUE"""),28.0)</f>
        <v>28</v>
      </c>
      <c r="H2260" s="163" t="str">
        <f>IFERROR(__xludf.DUMMYFUNCTION("""COMPUTED_VALUE"""),"C")</f>
        <v>C</v>
      </c>
      <c r="I2260" s="163">
        <f>IFERROR(__xludf.DUMMYFUNCTION("""COMPUTED_VALUE"""),22.0)</f>
        <v>22</v>
      </c>
      <c r="J2260" s="165">
        <f>IFERROR(__xludf.DUMMYFUNCTION("""COMPUTED_VALUE"""),-2.35509111187426)</f>
        <v>-2.355091112</v>
      </c>
      <c r="K2260" s="165">
        <f>IFERROR(__xludf.DUMMYFUNCTION("""COMPUTED_VALUE"""),-2.21967382097043)</f>
        <v>-2.219673821</v>
      </c>
      <c r="L2260" s="165">
        <f>IFERROR(__xludf.DUMMYFUNCTION("""COMPUTED_VALUE"""),-0.135417290903828)</f>
        <v>-0.1354172909</v>
      </c>
      <c r="M2260" s="166">
        <f t="shared" si="2"/>
        <v>-0.01199264495</v>
      </c>
      <c r="N2260" s="167">
        <f t="shared" si="3"/>
        <v>12.60113095</v>
      </c>
      <c r="O2260" s="163">
        <f t="shared" ref="O2260:Q2260" si="2264">rank(I2260,I:I)</f>
        <v>3178</v>
      </c>
      <c r="P2260" s="163">
        <f t="shared" si="2264"/>
        <v>3686</v>
      </c>
      <c r="Q2260" s="163">
        <f t="shared" si="2264"/>
        <v>3807</v>
      </c>
      <c r="R2260" s="163">
        <f>IFERROR(__xludf.DUMMYFUNCTION("RANK(M2260,filter(M:M,C:C=C2260))"),501.0)</f>
        <v>501</v>
      </c>
      <c r="S2260" s="161" t="b">
        <f t="shared" si="5"/>
        <v>0</v>
      </c>
      <c r="T2260" s="161" t="b">
        <f t="array" ref="T2260">index('Query Tool'!B:B,match(H2260,'Query Tool'!C:C,0))</f>
        <v>1</v>
      </c>
      <c r="U2260" s="161" t="b">
        <f t="array" ref="U2260">index('Query Tool'!B:B,match(C2260,'Query Tool'!C:C,0))</f>
        <v>0</v>
      </c>
      <c r="V2260" s="161" t="b">
        <f>F2260&gt;='Query Tool'!C$32</f>
        <v>0</v>
      </c>
      <c r="W2260" s="161" t="b">
        <f t="array" ref="W2260">index(Dropdowns!B:B,match(I2260,Dropdowns!A:A,0))</f>
        <v>1</v>
      </c>
      <c r="X2260" s="161" t="b">
        <f t="array" ref="X2260">index('Query Tool'!B:B,match(D2260,'Query Tool'!C:C,0))</f>
        <v>1</v>
      </c>
      <c r="Y2260" s="161" t="str">
        <f t="shared" si="6"/>
        <v>okafoja01,2017-18</v>
      </c>
      <c r="Z2260" s="168">
        <f t="array" ref="Z2260">iferror(index(I:I,match($A2260&amp;","&amp;index('Year Conversion'!$A:$A,match($C2260,'Year Conversion'!$B:$B,0)),$Y:$Y,0))-I2260,"")</f>
        <v>1</v>
      </c>
      <c r="AA2260" s="168">
        <f t="array" ref="AA2260">iferror(index(J:J,match($A2260&amp;","&amp;index('Year Conversion'!$A:$A,match($C2260,'Year Conversion'!$B:$B,0)),$Y:$Y,0))-J2260,"")</f>
        <v>2.1647595</v>
      </c>
      <c r="AB2260" s="168">
        <f t="array" ref="AB2260">iferror(index(K:K,match($A2260&amp;","&amp;index('Year Conversion'!$A:$A,match($C2260,'Year Conversion'!$B:$B,0)),$Y:$Y,0))-K2260,"")</f>
        <v>1.54471577</v>
      </c>
      <c r="AC2260" s="168" t="str">
        <f t="shared" si="7"/>
        <v>TOT,2017-18</v>
      </c>
    </row>
    <row r="2261">
      <c r="A2261" s="161" t="str">
        <f>IFERROR(__xludf.DUMMYFUNCTION("""COMPUTED_VALUE"""),"mudiaem01")</f>
        <v>mudiaem01</v>
      </c>
      <c r="B2261" s="161" t="str">
        <f>IFERROR(__xludf.DUMMYFUNCTION("""COMPUTED_VALUE"""),"Emmanuel Mudiay")</f>
        <v>Emmanuel Mudiay</v>
      </c>
      <c r="C2261" s="162" t="str">
        <f>IFERROR(__xludf.DUMMYFUNCTION("""COMPUTED_VALUE"""),"2017-18")</f>
        <v>2017-18</v>
      </c>
      <c r="D2261" s="163" t="str">
        <f>IFERROR(__xludf.DUMMYFUNCTION("""COMPUTED_VALUE"""),"TOT")</f>
        <v>TOT</v>
      </c>
      <c r="E2261" s="164" t="str">
        <f>IFERROR(__xludf.DUMMYFUNCTION("""COMPUTED_VALUE"""),"Slasher")</f>
        <v>Slasher</v>
      </c>
      <c r="F2261" s="164">
        <f>IFERROR(__xludf.DUMMYFUNCTION("""COMPUTED_VALUE"""),1244.22333333333)</f>
        <v>1244.223333</v>
      </c>
      <c r="G2261" s="163">
        <f>IFERROR(__xludf.DUMMYFUNCTION("""COMPUTED_VALUE"""),64.0)</f>
        <v>64</v>
      </c>
      <c r="H2261" s="163" t="str">
        <f>IFERROR(__xludf.DUMMYFUNCTION("""COMPUTED_VALUE"""),"PG")</f>
        <v>PG</v>
      </c>
      <c r="I2261" s="163">
        <f>IFERROR(__xludf.DUMMYFUNCTION("""COMPUTED_VALUE"""),21.0)</f>
        <v>21</v>
      </c>
      <c r="J2261" s="165">
        <f>IFERROR(__xludf.DUMMYFUNCTION("""COMPUTED_VALUE"""),-2.84229437635939)</f>
        <v>-2.842294376</v>
      </c>
      <c r="K2261" s="165">
        <f>IFERROR(__xludf.DUMMYFUNCTION("""COMPUTED_VALUE"""),-1.43359507413836)</f>
        <v>-1.433595074</v>
      </c>
      <c r="L2261" s="165">
        <f>IFERROR(__xludf.DUMMYFUNCTION("""COMPUTED_VALUE"""),-1.40869930222103)</f>
        <v>-1.408699302</v>
      </c>
      <c r="M2261" s="166">
        <f t="shared" si="2"/>
        <v>-0.4396573565</v>
      </c>
      <c r="N2261" s="167">
        <f t="shared" si="3"/>
        <v>19.44098958</v>
      </c>
      <c r="O2261" s="163">
        <f t="shared" ref="O2261:Q2261" si="2265">rank(I2261,I:I)</f>
        <v>3528</v>
      </c>
      <c r="P2261" s="163">
        <f t="shared" si="2265"/>
        <v>3854</v>
      </c>
      <c r="Q2261" s="163">
        <f t="shared" si="2265"/>
        <v>3283</v>
      </c>
      <c r="R2261" s="163">
        <f>IFERROR(__xludf.DUMMYFUNCTION("RANK(M2261,filter(M:M,C:C=C2261))"),523.0)</f>
        <v>523</v>
      </c>
      <c r="S2261" s="161" t="b">
        <f t="shared" si="5"/>
        <v>0</v>
      </c>
      <c r="T2261" s="161" t="b">
        <f t="array" ref="T2261">index('Query Tool'!B:B,match(H2261,'Query Tool'!C:C,0))</f>
        <v>1</v>
      </c>
      <c r="U2261" s="161" t="b">
        <f t="array" ref="U2261">index('Query Tool'!B:B,match(C2261,'Query Tool'!C:C,0))</f>
        <v>0</v>
      </c>
      <c r="V2261" s="161" t="b">
        <f>F2261&gt;='Query Tool'!C$32</f>
        <v>1</v>
      </c>
      <c r="W2261" s="161" t="b">
        <f t="array" ref="W2261">index(Dropdowns!B:B,match(I2261,Dropdowns!A:A,0))</f>
        <v>1</v>
      </c>
      <c r="X2261" s="161" t="b">
        <f t="array" ref="X2261">index('Query Tool'!B:B,match(D2261,'Query Tool'!C:C,0))</f>
        <v>1</v>
      </c>
      <c r="Y2261" s="161" t="str">
        <f t="shared" si="6"/>
        <v>mudiaem01,2017-18</v>
      </c>
      <c r="Z2261" s="168">
        <f t="array" ref="Z2261">iferror(index(I:I,match($A2261&amp;","&amp;index('Year Conversion'!$A:$A,match($C2261,'Year Conversion'!$B:$B,0)),$Y:$Y,0))-I2261,"")</f>
        <v>1</v>
      </c>
      <c r="AA2261" s="168">
        <f t="array" ref="AA2261">iferror(index(J:J,match($A2261&amp;","&amp;index('Year Conversion'!$A:$A,match($C2261,'Year Conversion'!$B:$B,0)),$Y:$Y,0))-J2261,"")</f>
        <v>0.5220795707</v>
      </c>
      <c r="AB2261" s="168">
        <f t="array" ref="AB2261">iferror(index(K:K,match($A2261&amp;","&amp;index('Year Conversion'!$A:$A,match($C2261,'Year Conversion'!$B:$B,0)),$Y:$Y,0))-K2261,"")</f>
        <v>0.8178898064</v>
      </c>
      <c r="AC2261" s="168" t="str">
        <f t="shared" si="7"/>
        <v>TOT,2017-18</v>
      </c>
    </row>
    <row r="2262">
      <c r="A2262" s="161" t="str">
        <f>IFERROR(__xludf.DUMMYFUNCTION("""COMPUTED_VALUE"""),"jonesty01")</f>
        <v>jonesty01</v>
      </c>
      <c r="B2262" s="161" t="str">
        <f>IFERROR(__xludf.DUMMYFUNCTION("""COMPUTED_VALUE"""),"Tyus Jones")</f>
        <v>Tyus Jones</v>
      </c>
      <c r="C2262" s="162" t="str">
        <f>IFERROR(__xludf.DUMMYFUNCTION("""COMPUTED_VALUE"""),"2017-18")</f>
        <v>2017-18</v>
      </c>
      <c r="D2262" s="163" t="str">
        <f>IFERROR(__xludf.DUMMYFUNCTION("""COMPUTED_VALUE"""),"MIN")</f>
        <v>MIN</v>
      </c>
      <c r="E2262" s="164" t="str">
        <f>IFERROR(__xludf.DUMMYFUNCTION("""COMPUTED_VALUE"""),"Primary Ball Handler")</f>
        <v>Primary Ball Handler</v>
      </c>
      <c r="F2262" s="164">
        <f>IFERROR(__xludf.DUMMYFUNCTION("""COMPUTED_VALUE"""),1466.81)</f>
        <v>1466.81</v>
      </c>
      <c r="G2262" s="163">
        <f>IFERROR(__xludf.DUMMYFUNCTION("""COMPUTED_VALUE"""),82.0)</f>
        <v>82</v>
      </c>
      <c r="H2262" s="163" t="str">
        <f>IFERROR(__xludf.DUMMYFUNCTION("""COMPUTED_VALUE"""),"PG")</f>
        <v>PG</v>
      </c>
      <c r="I2262" s="163">
        <f>IFERROR(__xludf.DUMMYFUNCTION("""COMPUTED_VALUE"""),21.0)</f>
        <v>21</v>
      </c>
      <c r="J2262" s="165">
        <f>IFERROR(__xludf.DUMMYFUNCTION("""COMPUTED_VALUE"""),1.85005947253806)</f>
        <v>1.850059473</v>
      </c>
      <c r="K2262" s="165">
        <f>IFERROR(__xludf.DUMMYFUNCTION("""COMPUTED_VALUE"""),1.19210405799149)</f>
        <v>1.192104058</v>
      </c>
      <c r="L2262" s="165">
        <f>IFERROR(__xludf.DUMMYFUNCTION("""COMPUTED_VALUE"""),0.657955414546572)</f>
        <v>0.6579554145</v>
      </c>
      <c r="M2262" s="166">
        <f t="shared" si="2"/>
        <v>4.082221559</v>
      </c>
      <c r="N2262" s="167">
        <f t="shared" si="3"/>
        <v>17.88792683</v>
      </c>
      <c r="O2262" s="163">
        <f t="shared" ref="O2262:Q2262" si="2266">rank(I2262,I:I)</f>
        <v>3528</v>
      </c>
      <c r="P2262" s="163">
        <f t="shared" si="2266"/>
        <v>358</v>
      </c>
      <c r="Q2262" s="163">
        <f t="shared" si="2266"/>
        <v>424</v>
      </c>
      <c r="R2262" s="163">
        <f>IFERROR(__xludf.DUMMYFUNCTION("RANK(M2262,filter(M:M,C:C=C2262))"),83.0)</f>
        <v>83</v>
      </c>
      <c r="S2262" s="161" t="b">
        <f t="shared" si="5"/>
        <v>0</v>
      </c>
      <c r="T2262" s="161" t="b">
        <f t="array" ref="T2262">index('Query Tool'!B:B,match(H2262,'Query Tool'!C:C,0))</f>
        <v>1</v>
      </c>
      <c r="U2262" s="161" t="b">
        <f t="array" ref="U2262">index('Query Tool'!B:B,match(C2262,'Query Tool'!C:C,0))</f>
        <v>0</v>
      </c>
      <c r="V2262" s="161" t="b">
        <f>F2262&gt;='Query Tool'!C$32</f>
        <v>1</v>
      </c>
      <c r="W2262" s="161" t="b">
        <f t="array" ref="W2262">index(Dropdowns!B:B,match(I2262,Dropdowns!A:A,0))</f>
        <v>1</v>
      </c>
      <c r="X2262" s="161" t="b">
        <f t="array" ref="X2262">index('Query Tool'!B:B,match(D2262,'Query Tool'!C:C,0))</f>
        <v>1</v>
      </c>
      <c r="Y2262" s="161" t="str">
        <f t="shared" si="6"/>
        <v>jonesty01,2017-18</v>
      </c>
      <c r="Z2262" s="168">
        <f t="array" ref="Z2262">iferror(index(I:I,match($A2262&amp;","&amp;index('Year Conversion'!$A:$A,match($C2262,'Year Conversion'!$B:$B,0)),$Y:$Y,0))-I2262,"")</f>
        <v>1</v>
      </c>
      <c r="AA2262" s="168">
        <f t="array" ref="AA2262">iferror(index(J:J,match($A2262&amp;","&amp;index('Year Conversion'!$A:$A,match($C2262,'Year Conversion'!$B:$B,0)),$Y:$Y,0))-J2262,"")</f>
        <v>-1.084617759</v>
      </c>
      <c r="AB2262" s="168">
        <f t="array" ref="AB2262">iferror(index(K:K,match($A2262&amp;","&amp;index('Year Conversion'!$A:$A,match($C2262,'Year Conversion'!$B:$B,0)),$Y:$Y,0))-K2262,"")</f>
        <v>-0.6536165853</v>
      </c>
      <c r="AC2262" s="168" t="str">
        <f t="shared" si="7"/>
        <v>MIN,2017-18</v>
      </c>
    </row>
    <row r="2263">
      <c r="A2263" s="161" t="str">
        <f>IFERROR(__xludf.DUMMYFUNCTION("""COMPUTED_VALUE"""),"anderju01")</f>
        <v>anderju01</v>
      </c>
      <c r="B2263" s="161" t="str">
        <f>IFERROR(__xludf.DUMMYFUNCTION("""COMPUTED_VALUE"""),"Justin Anderson")</f>
        <v>Justin Anderson</v>
      </c>
      <c r="C2263" s="162" t="str">
        <f>IFERROR(__xludf.DUMMYFUNCTION("""COMPUTED_VALUE"""),"2017-18")</f>
        <v>2017-18</v>
      </c>
      <c r="D2263" s="163" t="str">
        <f>IFERROR(__xludf.DUMMYFUNCTION("""COMPUTED_VALUE"""),"PHI")</f>
        <v>PHI</v>
      </c>
      <c r="E2263" s="164" t="str">
        <f>IFERROR(__xludf.DUMMYFUNCTION("""COMPUTED_VALUE"""),"Movement Shooter")</f>
        <v>Movement Shooter</v>
      </c>
      <c r="F2263" s="164">
        <f>IFERROR(__xludf.DUMMYFUNCTION("""COMPUTED_VALUE"""),519.15)</f>
        <v>519.15</v>
      </c>
      <c r="G2263" s="163">
        <f>IFERROR(__xludf.DUMMYFUNCTION("""COMPUTED_VALUE"""),38.0)</f>
        <v>38</v>
      </c>
      <c r="H2263" s="163" t="str">
        <f>IFERROR(__xludf.DUMMYFUNCTION("""COMPUTED_VALUE"""),"SF")</f>
        <v>SF</v>
      </c>
      <c r="I2263" s="163">
        <f>IFERROR(__xludf.DUMMYFUNCTION("""COMPUTED_VALUE"""),24.0)</f>
        <v>24</v>
      </c>
      <c r="J2263" s="165">
        <f>IFERROR(__xludf.DUMMYFUNCTION("""COMPUTED_VALUE"""),-1.72508136168093)</f>
        <v>-1.725081362</v>
      </c>
      <c r="K2263" s="165">
        <f>IFERROR(__xludf.DUMMYFUNCTION("""COMPUTED_VALUE"""),-0.280205279785743)</f>
        <v>-0.2802052798</v>
      </c>
      <c r="L2263" s="165">
        <f>IFERROR(__xludf.DUMMYFUNCTION("""COMPUTED_VALUE"""),-1.44487608189519)</f>
        <v>-1.444876082</v>
      </c>
      <c r="M2263" s="166">
        <f t="shared" si="2"/>
        <v>0.1990518479</v>
      </c>
      <c r="N2263" s="167">
        <f t="shared" si="3"/>
        <v>13.66184211</v>
      </c>
      <c r="O2263" s="163">
        <f t="shared" ref="O2263:Q2263" si="2267">rank(I2263,I:I)</f>
        <v>2361</v>
      </c>
      <c r="P2263" s="163">
        <f t="shared" si="2267"/>
        <v>3267</v>
      </c>
      <c r="Q2263" s="163">
        <f t="shared" si="2267"/>
        <v>1725</v>
      </c>
      <c r="R2263" s="163">
        <f>IFERROR(__xludf.DUMMYFUNCTION("RANK(M2263,filter(M:M,C:C=C2263))"),344.0)</f>
        <v>344</v>
      </c>
      <c r="S2263" s="161" t="b">
        <f t="shared" si="5"/>
        <v>0</v>
      </c>
      <c r="T2263" s="161" t="b">
        <f t="array" ref="T2263">index('Query Tool'!B:B,match(H2263,'Query Tool'!C:C,0))</f>
        <v>1</v>
      </c>
      <c r="U2263" s="161" t="b">
        <f t="array" ref="U2263">index('Query Tool'!B:B,match(C2263,'Query Tool'!C:C,0))</f>
        <v>0</v>
      </c>
      <c r="V2263" s="161" t="b">
        <f>F2263&gt;='Query Tool'!C$32</f>
        <v>1</v>
      </c>
      <c r="W2263" s="161" t="b">
        <f t="array" ref="W2263">index(Dropdowns!B:B,match(I2263,Dropdowns!A:A,0))</f>
        <v>1</v>
      </c>
      <c r="X2263" s="161" t="b">
        <f t="array" ref="X2263">index('Query Tool'!B:B,match(D2263,'Query Tool'!C:C,0))</f>
        <v>1</v>
      </c>
      <c r="Y2263" s="161" t="str">
        <f t="shared" si="6"/>
        <v>anderju01,2017-18</v>
      </c>
      <c r="Z2263" s="168">
        <f t="array" ref="Z2263">iferror(index(I:I,match($A2263&amp;","&amp;index('Year Conversion'!$A:$A,match($C2263,'Year Conversion'!$B:$B,0)),$Y:$Y,0))-I2263,"")</f>
        <v>1</v>
      </c>
      <c r="AA2263" s="168">
        <f t="array" ref="AA2263">iferror(index(J:J,match($A2263&amp;","&amp;index('Year Conversion'!$A:$A,match($C2263,'Year Conversion'!$B:$B,0)),$Y:$Y,0))-J2263,"")</f>
        <v>0.9585263991</v>
      </c>
      <c r="AB2263" s="168">
        <f t="array" ref="AB2263">iferror(index(K:K,match($A2263&amp;","&amp;index('Year Conversion'!$A:$A,match($C2263,'Year Conversion'!$B:$B,0)),$Y:$Y,0))-K2263,"")</f>
        <v>-0.4208509768</v>
      </c>
      <c r="AC2263" s="168" t="str">
        <f t="shared" si="7"/>
        <v>PHI,2017-18</v>
      </c>
    </row>
    <row r="2264">
      <c r="A2264" s="161" t="str">
        <f>IFERROR(__xludf.DUMMYFUNCTION("""COMPUTED_VALUE"""),"brownan02")</f>
        <v>brownan02</v>
      </c>
      <c r="B2264" s="161" t="str">
        <f>IFERROR(__xludf.DUMMYFUNCTION("""COMPUTED_VALUE"""),"Anthony Brown")</f>
        <v>Anthony Brown</v>
      </c>
      <c r="C2264" s="162" t="str">
        <f>IFERROR(__xludf.DUMMYFUNCTION("""COMPUTED_VALUE"""),"2017-18")</f>
        <v>2017-18</v>
      </c>
      <c r="D2264" s="163" t="str">
        <f>IFERROR(__xludf.DUMMYFUNCTION("""COMPUTED_VALUE"""),"MIN")</f>
        <v>MIN</v>
      </c>
      <c r="E2264" s="164" t="str">
        <f>IFERROR(__xludf.DUMMYFUNCTION("""COMPUTED_VALUE"""),"Low Minutes")</f>
        <v>Low Minutes</v>
      </c>
      <c r="F2264" s="164">
        <f>IFERROR(__xludf.DUMMYFUNCTION("""COMPUTED_VALUE"""),3.73333333333333)</f>
        <v>3.733333333</v>
      </c>
      <c r="G2264" s="163">
        <f>IFERROR(__xludf.DUMMYFUNCTION("""COMPUTED_VALUE"""),1.0)</f>
        <v>1</v>
      </c>
      <c r="H2264" s="163" t="str">
        <f>IFERROR(__xludf.DUMMYFUNCTION("""COMPUTED_VALUE"""),"SF")</f>
        <v>SF</v>
      </c>
      <c r="I2264" s="163">
        <f>IFERROR(__xludf.DUMMYFUNCTION("""COMPUTED_VALUE"""),25.0)</f>
        <v>25</v>
      </c>
      <c r="J2264" s="165">
        <f>IFERROR(__xludf.DUMMYFUNCTION("""COMPUTED_VALUE"""),-0.935073030190999)</f>
        <v>-0.9350730302</v>
      </c>
      <c r="K2264" s="165">
        <f>IFERROR(__xludf.DUMMYFUNCTION("""COMPUTED_VALUE"""),-0.465371207144192)</f>
        <v>-0.4653712071</v>
      </c>
      <c r="L2264" s="165">
        <f>IFERROR(__xludf.DUMMYFUNCTION("""COMPUTED_VALUE"""),-0.469701823046806)</f>
        <v>-0.469701823</v>
      </c>
      <c r="M2264" s="166">
        <f t="shared" si="2"/>
        <v>0.003404854408</v>
      </c>
      <c r="N2264" s="167">
        <f t="shared" si="3"/>
        <v>3.733333333</v>
      </c>
      <c r="O2264" s="163">
        <f t="shared" ref="O2264:Q2264" si="2268">rank(I2264,I:I)</f>
        <v>1995</v>
      </c>
      <c r="P2264" s="163">
        <f t="shared" si="2268"/>
        <v>2432</v>
      </c>
      <c r="Q2264" s="163">
        <f t="shared" si="2268"/>
        <v>2057</v>
      </c>
      <c r="R2264" s="163">
        <f>IFERROR(__xludf.DUMMYFUNCTION("RANK(M2264,filter(M:M,C:C=C2264))"),488.0)</f>
        <v>488</v>
      </c>
      <c r="S2264" s="161" t="b">
        <f t="shared" si="5"/>
        <v>0</v>
      </c>
      <c r="T2264" s="161" t="b">
        <f t="array" ref="T2264">index('Query Tool'!B:B,match(H2264,'Query Tool'!C:C,0))</f>
        <v>1</v>
      </c>
      <c r="U2264" s="161" t="b">
        <f t="array" ref="U2264">index('Query Tool'!B:B,match(C2264,'Query Tool'!C:C,0))</f>
        <v>0</v>
      </c>
      <c r="V2264" s="161" t="b">
        <f>F2264&gt;='Query Tool'!C$32</f>
        <v>0</v>
      </c>
      <c r="W2264" s="161" t="b">
        <f t="array" ref="W2264">index(Dropdowns!B:B,match(I2264,Dropdowns!A:A,0))</f>
        <v>1</v>
      </c>
      <c r="X2264" s="161" t="b">
        <f t="array" ref="X2264">index('Query Tool'!B:B,match(D2264,'Query Tool'!C:C,0))</f>
        <v>1</v>
      </c>
      <c r="Y2264" s="161" t="str">
        <f t="shared" si="6"/>
        <v>brownan02,2017-18</v>
      </c>
      <c r="Z2264" s="168" t="str">
        <f t="array" ref="Z2264">iferror(index(I:I,match($A2264&amp;","&amp;index('Year Conversion'!$A:$A,match($C2264,'Year Conversion'!$B:$B,0)),$Y:$Y,0))-I2264,"")</f>
        <v/>
      </c>
      <c r="AA2264" s="168" t="str">
        <f t="array" ref="AA2264">iferror(index(J:J,match($A2264&amp;","&amp;index('Year Conversion'!$A:$A,match($C2264,'Year Conversion'!$B:$B,0)),$Y:$Y,0))-J2264,"")</f>
        <v/>
      </c>
      <c r="AB2264" s="168" t="str">
        <f t="array" ref="AB2264">iferror(index(K:K,match($A2264&amp;","&amp;index('Year Conversion'!$A:$A,match($C2264,'Year Conversion'!$B:$B,0)),$Y:$Y,0))-K2264,"")</f>
        <v/>
      </c>
      <c r="AC2264" s="168" t="str">
        <f t="shared" si="7"/>
        <v>MIN,2017-18</v>
      </c>
    </row>
    <row r="2265">
      <c r="A2265" s="161" t="str">
        <f>IFERROR(__xludf.DUMMYFUNCTION("""COMPUTED_VALUE"""),"harremo01")</f>
        <v>harremo01</v>
      </c>
      <c r="B2265" s="161" t="str">
        <f>IFERROR(__xludf.DUMMYFUNCTION("""COMPUTED_VALUE"""),"Montrezl Harrell")</f>
        <v>Montrezl Harrell</v>
      </c>
      <c r="C2265" s="162" t="str">
        <f>IFERROR(__xludf.DUMMYFUNCTION("""COMPUTED_VALUE"""),"2017-18")</f>
        <v>2017-18</v>
      </c>
      <c r="D2265" s="163" t="str">
        <f>IFERROR(__xludf.DUMMYFUNCTION("""COMPUTED_VALUE"""),"LAC")</f>
        <v>LAC</v>
      </c>
      <c r="E2265" s="164" t="str">
        <f>IFERROR(__xludf.DUMMYFUNCTION("""COMPUTED_VALUE"""),"Post Scorer")</f>
        <v>Post Scorer</v>
      </c>
      <c r="F2265" s="164">
        <f>IFERROR(__xludf.DUMMYFUNCTION("""COMPUTED_VALUE"""),1293.175)</f>
        <v>1293.175</v>
      </c>
      <c r="G2265" s="163">
        <f>IFERROR(__xludf.DUMMYFUNCTION("""COMPUTED_VALUE"""),76.0)</f>
        <v>76</v>
      </c>
      <c r="H2265" s="163" t="str">
        <f>IFERROR(__xludf.DUMMYFUNCTION("""COMPUTED_VALUE"""),"C")</f>
        <v>C</v>
      </c>
      <c r="I2265" s="163">
        <f>IFERROR(__xludf.DUMMYFUNCTION("""COMPUTED_VALUE"""),24.0)</f>
        <v>24</v>
      </c>
      <c r="J2265" s="165">
        <f>IFERROR(__xludf.DUMMYFUNCTION("""COMPUTED_VALUE"""),2.25148345125801)</f>
        <v>2.251483451</v>
      </c>
      <c r="K2265" s="165">
        <f>IFERROR(__xludf.DUMMYFUNCTION("""COMPUTED_VALUE"""),2.32714206872134)</f>
        <v>2.327142069</v>
      </c>
      <c r="L2265" s="165">
        <f>IFERROR(__xludf.DUMMYFUNCTION("""COMPUTED_VALUE"""),-0.0756586174633342)</f>
        <v>-0.07565861746</v>
      </c>
      <c r="M2265" s="166">
        <f t="shared" si="2"/>
        <v>3.942882799</v>
      </c>
      <c r="N2265" s="167">
        <f t="shared" si="3"/>
        <v>17.01546053</v>
      </c>
      <c r="O2265" s="163">
        <f t="shared" ref="O2265:Q2265" si="2269">rank(I2265,I:I)</f>
        <v>2361</v>
      </c>
      <c r="P2265" s="163">
        <f t="shared" si="2269"/>
        <v>265</v>
      </c>
      <c r="Q2265" s="163">
        <f t="shared" si="2269"/>
        <v>175</v>
      </c>
      <c r="R2265" s="163">
        <f>IFERROR(__xludf.DUMMYFUNCTION("RANK(M2265,filter(M:M,C:C=C2265))"),90.0)</f>
        <v>90</v>
      </c>
      <c r="S2265" s="161" t="b">
        <f t="shared" si="5"/>
        <v>0</v>
      </c>
      <c r="T2265" s="161" t="b">
        <f t="array" ref="T2265">index('Query Tool'!B:B,match(H2265,'Query Tool'!C:C,0))</f>
        <v>1</v>
      </c>
      <c r="U2265" s="161" t="b">
        <f t="array" ref="U2265">index('Query Tool'!B:B,match(C2265,'Query Tool'!C:C,0))</f>
        <v>0</v>
      </c>
      <c r="V2265" s="161" t="b">
        <f>F2265&gt;='Query Tool'!C$32</f>
        <v>1</v>
      </c>
      <c r="W2265" s="161" t="b">
        <f t="array" ref="W2265">index(Dropdowns!B:B,match(I2265,Dropdowns!A:A,0))</f>
        <v>1</v>
      </c>
      <c r="X2265" s="161" t="b">
        <f t="array" ref="X2265">index('Query Tool'!B:B,match(D2265,'Query Tool'!C:C,0))</f>
        <v>1</v>
      </c>
      <c r="Y2265" s="161" t="str">
        <f t="shared" si="6"/>
        <v>harremo01,2017-18</v>
      </c>
      <c r="Z2265" s="168">
        <f t="array" ref="Z2265">iferror(index(I:I,match($A2265&amp;","&amp;index('Year Conversion'!$A:$A,match($C2265,'Year Conversion'!$B:$B,0)),$Y:$Y,0))-I2265,"")</f>
        <v>1</v>
      </c>
      <c r="AA2265" s="168">
        <f t="array" ref="AA2265">iferror(index(J:J,match($A2265&amp;","&amp;index('Year Conversion'!$A:$A,match($C2265,'Year Conversion'!$B:$B,0)),$Y:$Y,0))-J2265,"")</f>
        <v>-1.521750416</v>
      </c>
      <c r="AB2265" s="168">
        <f t="array" ref="AB2265">iferror(index(K:K,match($A2265&amp;","&amp;index('Year Conversion'!$A:$A,match($C2265,'Year Conversion'!$B:$B,0)),$Y:$Y,0))-K2265,"")</f>
        <v>-1.446165319</v>
      </c>
      <c r="AC2265" s="168" t="str">
        <f t="shared" si="7"/>
        <v>LAC,2017-18</v>
      </c>
    </row>
    <row r="2266">
      <c r="A2266" s="161" t="str">
        <f>IFERROR(__xludf.DUMMYFUNCTION("""COMPUTED_VALUE"""),"harrian01")</f>
        <v>harrian01</v>
      </c>
      <c r="B2266" s="161" t="str">
        <f>IFERROR(__xludf.DUMMYFUNCTION("""COMPUTED_VALUE"""),"Andrew Harrison")</f>
        <v>Andrew Harrison</v>
      </c>
      <c r="C2266" s="162" t="str">
        <f>IFERROR(__xludf.DUMMYFUNCTION("""COMPUTED_VALUE"""),"2017-18")</f>
        <v>2017-18</v>
      </c>
      <c r="D2266" s="163" t="str">
        <f>IFERROR(__xludf.DUMMYFUNCTION("""COMPUTED_VALUE"""),"MEM")</f>
        <v>MEM</v>
      </c>
      <c r="E2266" s="164" t="str">
        <f>IFERROR(__xludf.DUMMYFUNCTION("""COMPUTED_VALUE"""),"Primary Ball Handler")</f>
        <v>Primary Ball Handler</v>
      </c>
      <c r="F2266" s="164">
        <f>IFERROR(__xludf.DUMMYFUNCTION("""COMPUTED_VALUE"""),1326.27166666667)</f>
        <v>1326.271667</v>
      </c>
      <c r="G2266" s="163">
        <f>IFERROR(__xludf.DUMMYFUNCTION("""COMPUTED_VALUE"""),56.0)</f>
        <v>56</v>
      </c>
      <c r="H2266" s="163" t="str">
        <f>IFERROR(__xludf.DUMMYFUNCTION("""COMPUTED_VALUE"""),"PG")</f>
        <v>PG</v>
      </c>
      <c r="I2266" s="163">
        <f>IFERROR(__xludf.DUMMYFUNCTION("""COMPUTED_VALUE"""),23.0)</f>
        <v>23</v>
      </c>
      <c r="J2266" s="165">
        <f>IFERROR(__xludf.DUMMYFUNCTION("""COMPUTED_VALUE"""),-0.816575487564084)</f>
        <v>-0.8165754876</v>
      </c>
      <c r="K2266" s="165">
        <f>IFERROR(__xludf.DUMMYFUNCTION("""COMPUTED_VALUE"""),-0.680376568610548)</f>
        <v>-0.6803765686</v>
      </c>
      <c r="L2266" s="165">
        <f>IFERROR(__xludf.DUMMYFUNCTION("""COMPUTED_VALUE"""),-0.136198918953536)</f>
        <v>-0.136198919</v>
      </c>
      <c r="M2266" s="166">
        <f t="shared" si="2"/>
        <v>1.315196206</v>
      </c>
      <c r="N2266" s="167">
        <f t="shared" si="3"/>
        <v>23.68342262</v>
      </c>
      <c r="O2266" s="163">
        <f t="shared" ref="O2266:Q2266" si="2270">rank(I2266,I:I)</f>
        <v>2765</v>
      </c>
      <c r="P2266" s="163">
        <f t="shared" si="2270"/>
        <v>2309</v>
      </c>
      <c r="Q2266" s="163">
        <f t="shared" si="2270"/>
        <v>2388</v>
      </c>
      <c r="R2266" s="163">
        <f>IFERROR(__xludf.DUMMYFUNCTION("RANK(M2266,filter(M:M,C:C=C2266))"),203.0)</f>
        <v>203</v>
      </c>
      <c r="S2266" s="161" t="b">
        <f t="shared" si="5"/>
        <v>0</v>
      </c>
      <c r="T2266" s="161" t="b">
        <f t="array" ref="T2266">index('Query Tool'!B:B,match(H2266,'Query Tool'!C:C,0))</f>
        <v>1</v>
      </c>
      <c r="U2266" s="161" t="b">
        <f t="array" ref="U2266">index('Query Tool'!B:B,match(C2266,'Query Tool'!C:C,0))</f>
        <v>0</v>
      </c>
      <c r="V2266" s="161" t="b">
        <f>F2266&gt;='Query Tool'!C$32</f>
        <v>1</v>
      </c>
      <c r="W2266" s="161" t="b">
        <f t="array" ref="W2266">index(Dropdowns!B:B,match(I2266,Dropdowns!A:A,0))</f>
        <v>1</v>
      </c>
      <c r="X2266" s="161" t="b">
        <f t="array" ref="X2266">index('Query Tool'!B:B,match(D2266,'Query Tool'!C:C,0))</f>
        <v>1</v>
      </c>
      <c r="Y2266" s="161" t="str">
        <f t="shared" si="6"/>
        <v>harrian01,2017-18</v>
      </c>
      <c r="Z2266" s="168">
        <f t="array" ref="Z2266">iferror(index(I:I,match($A2266&amp;","&amp;index('Year Conversion'!$A:$A,match($C2266,'Year Conversion'!$B:$B,0)),$Y:$Y,0))-I2266,"")</f>
        <v>1</v>
      </c>
      <c r="AA2266" s="168">
        <f t="array" ref="AA2266">iferror(index(J:J,match($A2266&amp;","&amp;index('Year Conversion'!$A:$A,match($C2266,'Year Conversion'!$B:$B,0)),$Y:$Y,0))-J2266,"")</f>
        <v>0.6491666982</v>
      </c>
      <c r="AB2266" s="168">
        <f t="array" ref="AB2266">iferror(index(K:K,match($A2266&amp;","&amp;index('Year Conversion'!$A:$A,match($C2266,'Year Conversion'!$B:$B,0)),$Y:$Y,0))-K2266,"")</f>
        <v>0.2083097935</v>
      </c>
      <c r="AC2266" s="168" t="str">
        <f t="shared" si="7"/>
        <v>MEM,2017-18</v>
      </c>
    </row>
    <row r="2267">
      <c r="A2267" s="161" t="str">
        <f>IFERROR(__xludf.DUMMYFUNCTION("""COMPUTED_VALUE"""),"harriaa01")</f>
        <v>harriaa01</v>
      </c>
      <c r="B2267" s="161" t="str">
        <f>IFERROR(__xludf.DUMMYFUNCTION("""COMPUTED_VALUE"""),"Aaron Harrison")</f>
        <v>Aaron Harrison</v>
      </c>
      <c r="C2267" s="162" t="str">
        <f>IFERROR(__xludf.DUMMYFUNCTION("""COMPUTED_VALUE"""),"2017-18")</f>
        <v>2017-18</v>
      </c>
      <c r="D2267" s="163" t="str">
        <f>IFERROR(__xludf.DUMMYFUNCTION("""COMPUTED_VALUE"""),"DAL")</f>
        <v>DAL</v>
      </c>
      <c r="E2267" s="164" t="str">
        <f>IFERROR(__xludf.DUMMYFUNCTION("""COMPUTED_VALUE"""),"Stationary Shooter")</f>
        <v>Stationary Shooter</v>
      </c>
      <c r="F2267" s="164">
        <f>IFERROR(__xludf.DUMMYFUNCTION("""COMPUTED_VALUE"""),233.251666666667)</f>
        <v>233.2516667</v>
      </c>
      <c r="G2267" s="163">
        <f>IFERROR(__xludf.DUMMYFUNCTION("""COMPUTED_VALUE"""),9.0)</f>
        <v>9</v>
      </c>
      <c r="H2267" s="163" t="str">
        <f>IFERROR(__xludf.DUMMYFUNCTION("""COMPUTED_VALUE"""),"SG")</f>
        <v>SG</v>
      </c>
      <c r="I2267" s="163">
        <f>IFERROR(__xludf.DUMMYFUNCTION("""COMPUTED_VALUE"""),23.0)</f>
        <v>23</v>
      </c>
      <c r="J2267" s="165">
        <f>IFERROR(__xludf.DUMMYFUNCTION("""COMPUTED_VALUE"""),-1.44657717253064)</f>
        <v>-1.446577173</v>
      </c>
      <c r="K2267" s="165">
        <f>IFERROR(__xludf.DUMMYFUNCTION("""COMPUTED_VALUE"""),-0.594870015782132)</f>
        <v>-0.5948700158</v>
      </c>
      <c r="L2267" s="165">
        <f>IFERROR(__xludf.DUMMYFUNCTION("""COMPUTED_VALUE"""),-0.851707156748504)</f>
        <v>-0.8517071567</v>
      </c>
      <c r="M2267" s="166">
        <f t="shared" si="2"/>
        <v>0.1327725207</v>
      </c>
      <c r="N2267" s="167">
        <f t="shared" si="3"/>
        <v>25.91685185</v>
      </c>
      <c r="O2267" s="163">
        <f t="shared" ref="O2267:Q2267" si="2271">rank(I2267,I:I)</f>
        <v>2765</v>
      </c>
      <c r="P2267" s="163">
        <f t="shared" si="2271"/>
        <v>3005</v>
      </c>
      <c r="Q2267" s="163">
        <f t="shared" si="2271"/>
        <v>2257</v>
      </c>
      <c r="R2267" s="163">
        <f>IFERROR(__xludf.DUMMYFUNCTION("RANK(M2267,filter(M:M,C:C=C2267))"),373.0)</f>
        <v>373</v>
      </c>
      <c r="S2267" s="161" t="b">
        <f t="shared" si="5"/>
        <v>0</v>
      </c>
      <c r="T2267" s="161" t="b">
        <f t="array" ref="T2267">index('Query Tool'!B:B,match(H2267,'Query Tool'!C:C,0))</f>
        <v>1</v>
      </c>
      <c r="U2267" s="161" t="b">
        <f t="array" ref="U2267">index('Query Tool'!B:B,match(C2267,'Query Tool'!C:C,0))</f>
        <v>0</v>
      </c>
      <c r="V2267" s="161" t="b">
        <f>F2267&gt;='Query Tool'!C$32</f>
        <v>0</v>
      </c>
      <c r="W2267" s="161" t="b">
        <f t="array" ref="W2267">index(Dropdowns!B:B,match(I2267,Dropdowns!A:A,0))</f>
        <v>1</v>
      </c>
      <c r="X2267" s="161" t="b">
        <f t="array" ref="X2267">index('Query Tool'!B:B,match(D2267,'Query Tool'!C:C,0))</f>
        <v>1</v>
      </c>
      <c r="Y2267" s="161" t="str">
        <f t="shared" si="6"/>
        <v>harriaa01,2017-18</v>
      </c>
      <c r="Z2267" s="168" t="str">
        <f t="array" ref="Z2267">iferror(index(I:I,match($A2267&amp;","&amp;index('Year Conversion'!$A:$A,match($C2267,'Year Conversion'!$B:$B,0)),$Y:$Y,0))-I2267,"")</f>
        <v/>
      </c>
      <c r="AA2267" s="168" t="str">
        <f t="array" ref="AA2267">iferror(index(J:J,match($A2267&amp;","&amp;index('Year Conversion'!$A:$A,match($C2267,'Year Conversion'!$B:$B,0)),$Y:$Y,0))-J2267,"")</f>
        <v/>
      </c>
      <c r="AB2267" s="168" t="str">
        <f t="array" ref="AB2267">iferror(index(K:K,match($A2267&amp;","&amp;index('Year Conversion'!$A:$A,match($C2267,'Year Conversion'!$B:$B,0)),$Y:$Y,0))-K2267,"")</f>
        <v/>
      </c>
      <c r="AC2267" s="168" t="str">
        <f t="shared" si="7"/>
        <v>DAL,2017-18</v>
      </c>
    </row>
    <row r="2268">
      <c r="A2268" s="161" t="str">
        <f>IFERROR(__xludf.DUMMYFUNCTION("""COMPUTED_VALUE"""),"wrighde01")</f>
        <v>wrighde01</v>
      </c>
      <c r="B2268" s="161" t="str">
        <f>IFERROR(__xludf.DUMMYFUNCTION("""COMPUTED_VALUE"""),"Delon Wright")</f>
        <v>Delon Wright</v>
      </c>
      <c r="C2268" s="162" t="str">
        <f>IFERROR(__xludf.DUMMYFUNCTION("""COMPUTED_VALUE"""),"2017-18")</f>
        <v>2017-18</v>
      </c>
      <c r="D2268" s="163" t="str">
        <f>IFERROR(__xludf.DUMMYFUNCTION("""COMPUTED_VALUE"""),"TOR")</f>
        <v>TOR</v>
      </c>
      <c r="E2268" s="164" t="str">
        <f>IFERROR(__xludf.DUMMYFUNCTION("""COMPUTED_VALUE"""),"Secondary Ball Handler")</f>
        <v>Secondary Ball Handler</v>
      </c>
      <c r="F2268" s="164">
        <f>IFERROR(__xludf.DUMMYFUNCTION("""COMPUTED_VALUE"""),1432.72333333333)</f>
        <v>1432.723333</v>
      </c>
      <c r="G2268" s="163">
        <f>IFERROR(__xludf.DUMMYFUNCTION("""COMPUTED_VALUE"""),69.0)</f>
        <v>69</v>
      </c>
      <c r="H2268" s="163" t="str">
        <f>IFERROR(__xludf.DUMMYFUNCTION("""COMPUTED_VALUE"""),"PG")</f>
        <v>PG</v>
      </c>
      <c r="I2268" s="163">
        <f>IFERROR(__xludf.DUMMYFUNCTION("""COMPUTED_VALUE"""),25.0)</f>
        <v>25</v>
      </c>
      <c r="J2268" s="165">
        <f>IFERROR(__xludf.DUMMYFUNCTION("""COMPUTED_VALUE"""),0.8797519524188)</f>
        <v>0.8797519524</v>
      </c>
      <c r="K2268" s="165">
        <f>IFERROR(__xludf.DUMMYFUNCTION("""COMPUTED_VALUE"""),0.644535279536203)</f>
        <v>0.6445352795</v>
      </c>
      <c r="L2268" s="165">
        <f>IFERROR(__xludf.DUMMYFUNCTION("""COMPUTED_VALUE"""),0.235216672882597)</f>
        <v>0.2352166729</v>
      </c>
      <c r="M2268" s="166">
        <f t="shared" si="2"/>
        <v>3.057645909</v>
      </c>
      <c r="N2268" s="167">
        <f t="shared" si="3"/>
        <v>20.76410628</v>
      </c>
      <c r="O2268" s="163">
        <f t="shared" ref="O2268:Q2268" si="2272">rank(I2268,I:I)</f>
        <v>1995</v>
      </c>
      <c r="P2268" s="163">
        <f t="shared" si="2272"/>
        <v>704</v>
      </c>
      <c r="Q2268" s="163">
        <f t="shared" si="2272"/>
        <v>684</v>
      </c>
      <c r="R2268" s="163">
        <f>IFERROR(__xludf.DUMMYFUNCTION("RANK(M2268,filter(M:M,C:C=C2268))"),108.0)</f>
        <v>108</v>
      </c>
      <c r="S2268" s="161" t="b">
        <f t="shared" si="5"/>
        <v>0</v>
      </c>
      <c r="T2268" s="161" t="b">
        <f t="array" ref="T2268">index('Query Tool'!B:B,match(H2268,'Query Tool'!C:C,0))</f>
        <v>1</v>
      </c>
      <c r="U2268" s="161" t="b">
        <f t="array" ref="U2268">index('Query Tool'!B:B,match(C2268,'Query Tool'!C:C,0))</f>
        <v>0</v>
      </c>
      <c r="V2268" s="161" t="b">
        <f>F2268&gt;='Query Tool'!C$32</f>
        <v>1</v>
      </c>
      <c r="W2268" s="161" t="b">
        <f t="array" ref="W2268">index(Dropdowns!B:B,match(I2268,Dropdowns!A:A,0))</f>
        <v>1</v>
      </c>
      <c r="X2268" s="161" t="b">
        <f t="array" ref="X2268">index('Query Tool'!B:B,match(D2268,'Query Tool'!C:C,0))</f>
        <v>1</v>
      </c>
      <c r="Y2268" s="161" t="str">
        <f t="shared" si="6"/>
        <v>wrighde01,2017-18</v>
      </c>
      <c r="Z2268" s="168">
        <f t="array" ref="Z2268">iferror(index(I:I,match($A2268&amp;","&amp;index('Year Conversion'!$A:$A,match($C2268,'Year Conversion'!$B:$B,0)),$Y:$Y,0))-I2268,"")</f>
        <v>1</v>
      </c>
      <c r="AA2268" s="168">
        <f t="array" ref="AA2268">iferror(index(J:J,match($A2268&amp;","&amp;index('Year Conversion'!$A:$A,match($C2268,'Year Conversion'!$B:$B,0)),$Y:$Y,0))-J2268,"")</f>
        <v>-0.2012749638</v>
      </c>
      <c r="AB2268" s="168">
        <f t="array" ref="AB2268">iferror(index(K:K,match($A2268&amp;","&amp;index('Year Conversion'!$A:$A,match($C2268,'Year Conversion'!$B:$B,0)),$Y:$Y,0))-K2268,"")</f>
        <v>-0.04253640736</v>
      </c>
      <c r="AC2268" s="168" t="str">
        <f t="shared" si="7"/>
        <v>TOR,2017-18</v>
      </c>
    </row>
    <row r="2269">
      <c r="A2269" s="161" t="str">
        <f>IFERROR(__xludf.DUMMYFUNCTION("""COMPUTED_VALUE"""),"hunterj01")</f>
        <v>hunterj01</v>
      </c>
      <c r="B2269" s="161" t="str">
        <f>IFERROR(__xludf.DUMMYFUNCTION("""COMPUTED_VALUE"""),"RJ Hunter")</f>
        <v>RJ Hunter</v>
      </c>
      <c r="C2269" s="162" t="str">
        <f>IFERROR(__xludf.DUMMYFUNCTION("""COMPUTED_VALUE"""),"2017-18")</f>
        <v>2017-18</v>
      </c>
      <c r="D2269" s="163" t="str">
        <f>IFERROR(__xludf.DUMMYFUNCTION("""COMPUTED_VALUE"""),"HOU")</f>
        <v>HOU</v>
      </c>
      <c r="E2269" s="164" t="str">
        <f>IFERROR(__xludf.DUMMYFUNCTION("""COMPUTED_VALUE"""),"Secondary Ball Handler")</f>
        <v>Secondary Ball Handler</v>
      </c>
      <c r="F2269" s="164">
        <f>IFERROR(__xludf.DUMMYFUNCTION("""COMPUTED_VALUE"""),45.0783333333333)</f>
        <v>45.07833333</v>
      </c>
      <c r="G2269" s="163">
        <f>IFERROR(__xludf.DUMMYFUNCTION("""COMPUTED_VALUE"""),5.0)</f>
        <v>5</v>
      </c>
      <c r="H2269" s="163" t="str">
        <f>IFERROR(__xludf.DUMMYFUNCTION("""COMPUTED_VALUE"""),"SG")</f>
        <v>SG</v>
      </c>
      <c r="I2269" s="163">
        <f>IFERROR(__xludf.DUMMYFUNCTION("""COMPUTED_VALUE"""),24.0)</f>
        <v>24</v>
      </c>
      <c r="J2269" s="165">
        <f>IFERROR(__xludf.DUMMYFUNCTION("""COMPUTED_VALUE"""),-0.748285844276089)</f>
        <v>-0.7482858443</v>
      </c>
      <c r="K2269" s="165">
        <f>IFERROR(__xludf.DUMMYFUNCTION("""COMPUTED_VALUE"""),0.116696269217131)</f>
        <v>0.1166962692</v>
      </c>
      <c r="L2269" s="165">
        <f>IFERROR(__xludf.DUMMYFUNCTION("""COMPUTED_VALUE"""),-0.86498211349322)</f>
        <v>-0.8649821135</v>
      </c>
      <c r="M2269" s="166">
        <f t="shared" si="2"/>
        <v>0.04677201733</v>
      </c>
      <c r="N2269" s="167">
        <f t="shared" si="3"/>
        <v>9.015666667</v>
      </c>
      <c r="O2269" s="163">
        <f t="shared" ref="O2269:Q2269" si="2273">rank(I2269,I:I)</f>
        <v>2361</v>
      </c>
      <c r="P2269" s="163">
        <f t="shared" si="2273"/>
        <v>2213</v>
      </c>
      <c r="Q2269" s="163">
        <f t="shared" si="2273"/>
        <v>1049</v>
      </c>
      <c r="R2269" s="163">
        <f>IFERROR(__xludf.DUMMYFUNCTION("RANK(M2269,filter(M:M,C:C=C2269))"),431.0)</f>
        <v>431</v>
      </c>
      <c r="S2269" s="161" t="b">
        <f t="shared" si="5"/>
        <v>0</v>
      </c>
      <c r="T2269" s="161" t="b">
        <f t="array" ref="T2269">index('Query Tool'!B:B,match(H2269,'Query Tool'!C:C,0))</f>
        <v>1</v>
      </c>
      <c r="U2269" s="161" t="b">
        <f t="array" ref="U2269">index('Query Tool'!B:B,match(C2269,'Query Tool'!C:C,0))</f>
        <v>0</v>
      </c>
      <c r="V2269" s="161" t="b">
        <f>F2269&gt;='Query Tool'!C$32</f>
        <v>0</v>
      </c>
      <c r="W2269" s="161" t="b">
        <f t="array" ref="W2269">index(Dropdowns!B:B,match(I2269,Dropdowns!A:A,0))</f>
        <v>1</v>
      </c>
      <c r="X2269" s="161" t="b">
        <f t="array" ref="X2269">index('Query Tool'!B:B,match(D2269,'Query Tool'!C:C,0))</f>
        <v>1</v>
      </c>
      <c r="Y2269" s="161" t="str">
        <f t="shared" si="6"/>
        <v>hunterj01,2017-18</v>
      </c>
      <c r="Z2269" s="168">
        <f t="array" ref="Z2269">iferror(index(I:I,match($A2269&amp;","&amp;index('Year Conversion'!$A:$A,match($C2269,'Year Conversion'!$B:$B,0)),$Y:$Y,0))-I2269,"")</f>
        <v>1</v>
      </c>
      <c r="AA2269" s="168">
        <f t="array" ref="AA2269">iferror(index(J:J,match($A2269&amp;","&amp;index('Year Conversion'!$A:$A,match($C2269,'Year Conversion'!$B:$B,0)),$Y:$Y,0))-J2269,"")</f>
        <v>0.3857340767</v>
      </c>
      <c r="AB2269" s="168">
        <f t="array" ref="AB2269">iferror(index(K:K,match($A2269&amp;","&amp;index('Year Conversion'!$A:$A,match($C2269,'Year Conversion'!$B:$B,0)),$Y:$Y,0))-K2269,"")</f>
        <v>0.001946251884</v>
      </c>
      <c r="AC2269" s="168" t="str">
        <f t="shared" si="7"/>
        <v>HOU,2017-18</v>
      </c>
    </row>
    <row r="2270">
      <c r="A2270" s="161" t="str">
        <f>IFERROR(__xludf.DUMMYFUNCTION("""COMPUTED_VALUE"""),"dekkesa01")</f>
        <v>dekkesa01</v>
      </c>
      <c r="B2270" s="161" t="str">
        <f>IFERROR(__xludf.DUMMYFUNCTION("""COMPUTED_VALUE"""),"Sam Dekker")</f>
        <v>Sam Dekker</v>
      </c>
      <c r="C2270" s="162" t="str">
        <f>IFERROR(__xludf.DUMMYFUNCTION("""COMPUTED_VALUE"""),"2017-18")</f>
        <v>2017-18</v>
      </c>
      <c r="D2270" s="163" t="str">
        <f>IFERROR(__xludf.DUMMYFUNCTION("""COMPUTED_VALUE"""),"LAC")</f>
        <v>LAC</v>
      </c>
      <c r="E2270" s="164" t="str">
        <f>IFERROR(__xludf.DUMMYFUNCTION("""COMPUTED_VALUE"""),"Athletic Finisher")</f>
        <v>Athletic Finisher</v>
      </c>
      <c r="F2270" s="164">
        <f>IFERROR(__xludf.DUMMYFUNCTION("""COMPUTED_VALUE"""),882.751666666667)</f>
        <v>882.7516667</v>
      </c>
      <c r="G2270" s="163">
        <f>IFERROR(__xludf.DUMMYFUNCTION("""COMPUTED_VALUE"""),73.0)</f>
        <v>73</v>
      </c>
      <c r="H2270" s="163" t="str">
        <f>IFERROR(__xludf.DUMMYFUNCTION("""COMPUTED_VALUE"""),"PF")</f>
        <v>PF</v>
      </c>
      <c r="I2270" s="163">
        <f>IFERROR(__xludf.DUMMYFUNCTION("""COMPUTED_VALUE"""),23.0)</f>
        <v>23</v>
      </c>
      <c r="J2270" s="165">
        <f>IFERROR(__xludf.DUMMYFUNCTION("""COMPUTED_VALUE"""),-0.408511287595491)</f>
        <v>-0.4085112876</v>
      </c>
      <c r="K2270" s="165">
        <f>IFERROR(__xludf.DUMMYFUNCTION("""COMPUTED_VALUE"""),0.0363285598949588)</f>
        <v>0.03632855989</v>
      </c>
      <c r="L2270" s="165">
        <f>IFERROR(__xludf.DUMMYFUNCTION("""COMPUTED_VALUE"""),-0.44483984749045)</f>
        <v>-0.4448398475</v>
      </c>
      <c r="M2270" s="166">
        <f t="shared" si="2"/>
        <v>1.117842867</v>
      </c>
      <c r="N2270" s="167">
        <f t="shared" si="3"/>
        <v>12.09248858</v>
      </c>
      <c r="O2270" s="163">
        <f t="shared" ref="O2270:Q2270" si="2274">rank(I2270,I:I)</f>
        <v>2765</v>
      </c>
      <c r="P2270" s="163">
        <f t="shared" si="2274"/>
        <v>1739</v>
      </c>
      <c r="Q2270" s="163">
        <f t="shared" si="2274"/>
        <v>1144</v>
      </c>
      <c r="R2270" s="163">
        <f>IFERROR(__xludf.DUMMYFUNCTION("RANK(M2270,filter(M:M,C:C=C2270))"),224.0)</f>
        <v>224</v>
      </c>
      <c r="S2270" s="161" t="b">
        <f t="shared" si="5"/>
        <v>0</v>
      </c>
      <c r="T2270" s="161" t="b">
        <f t="array" ref="T2270">index('Query Tool'!B:B,match(H2270,'Query Tool'!C:C,0))</f>
        <v>1</v>
      </c>
      <c r="U2270" s="161" t="b">
        <f t="array" ref="U2270">index('Query Tool'!B:B,match(C2270,'Query Tool'!C:C,0))</f>
        <v>0</v>
      </c>
      <c r="V2270" s="161" t="b">
        <f>F2270&gt;='Query Tool'!C$32</f>
        <v>1</v>
      </c>
      <c r="W2270" s="161" t="b">
        <f t="array" ref="W2270">index(Dropdowns!B:B,match(I2270,Dropdowns!A:A,0))</f>
        <v>1</v>
      </c>
      <c r="X2270" s="161" t="b">
        <f t="array" ref="X2270">index('Query Tool'!B:B,match(D2270,'Query Tool'!C:C,0))</f>
        <v>1</v>
      </c>
      <c r="Y2270" s="161" t="str">
        <f t="shared" si="6"/>
        <v>dekkesa01,2017-18</v>
      </c>
      <c r="Z2270" s="168">
        <f t="array" ref="Z2270">iferror(index(I:I,match($A2270&amp;","&amp;index('Year Conversion'!$A:$A,match($C2270,'Year Conversion'!$B:$B,0)),$Y:$Y,0))-I2270,"")</f>
        <v>1</v>
      </c>
      <c r="AA2270" s="168">
        <f t="array" ref="AA2270">iferror(index(J:J,match($A2270&amp;","&amp;index('Year Conversion'!$A:$A,match($C2270,'Year Conversion'!$B:$B,0)),$Y:$Y,0))-J2270,"")</f>
        <v>-0.4619458939</v>
      </c>
      <c r="AB2270" s="168">
        <f t="array" ref="AB2270">iferror(index(K:K,match($A2270&amp;","&amp;index('Year Conversion'!$A:$A,match($C2270,'Year Conversion'!$B:$B,0)),$Y:$Y,0))-K2270,"")</f>
        <v>-0.4464201846</v>
      </c>
      <c r="AC2270" s="168" t="str">
        <f t="shared" si="7"/>
        <v>LAC,2017-18</v>
      </c>
    </row>
    <row r="2271">
      <c r="A2271" s="161" t="str">
        <f>IFERROR(__xludf.DUMMYFUNCTION("""COMPUTED_VALUE"""),"russeda01")</f>
        <v>russeda01</v>
      </c>
      <c r="B2271" s="161" t="str">
        <f>IFERROR(__xludf.DUMMYFUNCTION("""COMPUTED_VALUE"""),"D'Angelo Russell")</f>
        <v>D'Angelo Russell</v>
      </c>
      <c r="C2271" s="162" t="str">
        <f>IFERROR(__xludf.DUMMYFUNCTION("""COMPUTED_VALUE"""),"2017-18")</f>
        <v>2017-18</v>
      </c>
      <c r="D2271" s="163" t="str">
        <f>IFERROR(__xludf.DUMMYFUNCTION("""COMPUTED_VALUE"""),"BRK")</f>
        <v>BRK</v>
      </c>
      <c r="E2271" s="164" t="str">
        <f>IFERROR(__xludf.DUMMYFUNCTION("""COMPUTED_VALUE"""),"Secondary Ball Handler")</f>
        <v>Secondary Ball Handler</v>
      </c>
      <c r="F2271" s="164">
        <f>IFERROR(__xludf.DUMMYFUNCTION("""COMPUTED_VALUE"""),1233.715)</f>
        <v>1233.715</v>
      </c>
      <c r="G2271" s="163">
        <f>IFERROR(__xludf.DUMMYFUNCTION("""COMPUTED_VALUE"""),48.0)</f>
        <v>48</v>
      </c>
      <c r="H2271" s="163" t="str">
        <f>IFERROR(__xludf.DUMMYFUNCTION("""COMPUTED_VALUE"""),"PG")</f>
        <v>PG</v>
      </c>
      <c r="I2271" s="163">
        <f>IFERROR(__xludf.DUMMYFUNCTION("""COMPUTED_VALUE"""),21.0)</f>
        <v>21</v>
      </c>
      <c r="J2271" s="165">
        <f>IFERROR(__xludf.DUMMYFUNCTION("""COMPUTED_VALUE"""),-0.671965253580302)</f>
        <v>-0.6719652536</v>
      </c>
      <c r="K2271" s="165">
        <f>IFERROR(__xludf.DUMMYFUNCTION("""COMPUTED_VALUE"""),0.737557917386622)</f>
        <v>0.7375579174</v>
      </c>
      <c r="L2271" s="165">
        <f>IFERROR(__xludf.DUMMYFUNCTION("""COMPUTED_VALUE"""),-1.40952317096692)</f>
        <v>-1.409523171</v>
      </c>
      <c r="M2271" s="166">
        <f t="shared" si="2"/>
        <v>1.343415081</v>
      </c>
      <c r="N2271" s="167">
        <f t="shared" si="3"/>
        <v>25.70239583</v>
      </c>
      <c r="O2271" s="163">
        <f t="shared" ref="O2271:Q2271" si="2275">rank(I2271,I:I)</f>
        <v>3528</v>
      </c>
      <c r="P2271" s="163">
        <f t="shared" si="2275"/>
        <v>2098</v>
      </c>
      <c r="Q2271" s="163">
        <f t="shared" si="2275"/>
        <v>629</v>
      </c>
      <c r="R2271" s="163">
        <f>IFERROR(__xludf.DUMMYFUNCTION("RANK(M2271,filter(M:M,C:C=C2271))"),202.0)</f>
        <v>202</v>
      </c>
      <c r="S2271" s="161" t="b">
        <f t="shared" si="5"/>
        <v>0</v>
      </c>
      <c r="T2271" s="161" t="b">
        <f t="array" ref="T2271">index('Query Tool'!B:B,match(H2271,'Query Tool'!C:C,0))</f>
        <v>1</v>
      </c>
      <c r="U2271" s="161" t="b">
        <f t="array" ref="U2271">index('Query Tool'!B:B,match(C2271,'Query Tool'!C:C,0))</f>
        <v>0</v>
      </c>
      <c r="V2271" s="161" t="b">
        <f>F2271&gt;='Query Tool'!C$32</f>
        <v>1</v>
      </c>
      <c r="W2271" s="161" t="b">
        <f t="array" ref="W2271">index(Dropdowns!B:B,match(I2271,Dropdowns!A:A,0))</f>
        <v>1</v>
      </c>
      <c r="X2271" s="161" t="b">
        <f t="array" ref="X2271">index('Query Tool'!B:B,match(D2271,'Query Tool'!C:C,0))</f>
        <v>1</v>
      </c>
      <c r="Y2271" s="161" t="str">
        <f t="shared" si="6"/>
        <v>russeda01,2017-18</v>
      </c>
      <c r="Z2271" s="168">
        <f t="array" ref="Z2271">iferror(index(I:I,match($A2271&amp;","&amp;index('Year Conversion'!$A:$A,match($C2271,'Year Conversion'!$B:$B,0)),$Y:$Y,0))-I2271,"")</f>
        <v>1</v>
      </c>
      <c r="AA2271" s="168">
        <f t="array" ref="AA2271">iferror(index(J:J,match($A2271&amp;","&amp;index('Year Conversion'!$A:$A,match($C2271,'Year Conversion'!$B:$B,0)),$Y:$Y,0))-J2271,"")</f>
        <v>2.150647375</v>
      </c>
      <c r="AB2271" s="168">
        <f t="array" ref="AB2271">iferror(index(K:K,match($A2271&amp;","&amp;index('Year Conversion'!$A:$A,match($C2271,'Year Conversion'!$B:$B,0)),$Y:$Y,0))-K2271,"")</f>
        <v>1.008861542</v>
      </c>
      <c r="AC2271" s="168" t="str">
        <f t="shared" si="7"/>
        <v>BRK,2017-18</v>
      </c>
    </row>
    <row r="2272">
      <c r="A2272" s="161" t="str">
        <f>IFERROR(__xludf.DUMMYFUNCTION("""COMPUTED_VALUE"""),"townska01")</f>
        <v>townska01</v>
      </c>
      <c r="B2272" s="161" t="str">
        <f>IFERROR(__xludf.DUMMYFUNCTION("""COMPUTED_VALUE"""),"Karl-Anthony Towns")</f>
        <v>Karl-Anthony Towns</v>
      </c>
      <c r="C2272" s="162" t="str">
        <f>IFERROR(__xludf.DUMMYFUNCTION("""COMPUTED_VALUE"""),"2017-18")</f>
        <v>2017-18</v>
      </c>
      <c r="D2272" s="163" t="str">
        <f>IFERROR(__xludf.DUMMYFUNCTION("""COMPUTED_VALUE"""),"MIN")</f>
        <v>MIN</v>
      </c>
      <c r="E2272" s="164" t="str">
        <f>IFERROR(__xludf.DUMMYFUNCTION("""COMPUTED_VALUE"""),"Post Scorer")</f>
        <v>Post Scorer</v>
      </c>
      <c r="F2272" s="164">
        <f>IFERROR(__xludf.DUMMYFUNCTION("""COMPUTED_VALUE"""),2918.18833333333)</f>
        <v>2918.188333</v>
      </c>
      <c r="G2272" s="163">
        <f>IFERROR(__xludf.DUMMYFUNCTION("""COMPUTED_VALUE"""),82.0)</f>
        <v>82</v>
      </c>
      <c r="H2272" s="163" t="str">
        <f>IFERROR(__xludf.DUMMYFUNCTION("""COMPUTED_VALUE"""),"C")</f>
        <v>C</v>
      </c>
      <c r="I2272" s="163">
        <f>IFERROR(__xludf.DUMMYFUNCTION("""COMPUTED_VALUE"""),22.0)</f>
        <v>22</v>
      </c>
      <c r="J2272" s="165">
        <f>IFERROR(__xludf.DUMMYFUNCTION("""COMPUTED_VALUE"""),4.42539636336275)</f>
        <v>4.425396363</v>
      </c>
      <c r="K2272" s="165">
        <f>IFERROR(__xludf.DUMMYFUNCTION("""COMPUTED_VALUE"""),3.35021361931146)</f>
        <v>3.350213619</v>
      </c>
      <c r="L2272" s="165">
        <f>IFERROR(__xludf.DUMMYFUNCTION("""COMPUTED_VALUE"""),1.07518274405128)</f>
        <v>1.075182744</v>
      </c>
      <c r="M2272" s="166">
        <f t="shared" si="2"/>
        <v>12.97605282</v>
      </c>
      <c r="N2272" s="167">
        <f t="shared" si="3"/>
        <v>35.5876626</v>
      </c>
      <c r="O2272" s="163">
        <f t="shared" ref="O2272:Q2272" si="2276">rank(I2272,I:I)</f>
        <v>3178</v>
      </c>
      <c r="P2272" s="163">
        <f t="shared" si="2276"/>
        <v>71</v>
      </c>
      <c r="Q2272" s="163">
        <f t="shared" si="2276"/>
        <v>98</v>
      </c>
      <c r="R2272" s="163">
        <f>IFERROR(__xludf.DUMMYFUNCTION("RANK(M2272,filter(M:M,C:C=C2272))"),3.0)</f>
        <v>3</v>
      </c>
      <c r="S2272" s="161" t="b">
        <f t="shared" si="5"/>
        <v>0</v>
      </c>
      <c r="T2272" s="161" t="b">
        <f t="array" ref="T2272">index('Query Tool'!B:B,match(H2272,'Query Tool'!C:C,0))</f>
        <v>1</v>
      </c>
      <c r="U2272" s="161" t="b">
        <f t="array" ref="U2272">index('Query Tool'!B:B,match(C2272,'Query Tool'!C:C,0))</f>
        <v>0</v>
      </c>
      <c r="V2272" s="161" t="b">
        <f>F2272&gt;='Query Tool'!C$32</f>
        <v>1</v>
      </c>
      <c r="W2272" s="161" t="b">
        <f t="array" ref="W2272">index(Dropdowns!B:B,match(I2272,Dropdowns!A:A,0))</f>
        <v>1</v>
      </c>
      <c r="X2272" s="161" t="b">
        <f t="array" ref="X2272">index('Query Tool'!B:B,match(D2272,'Query Tool'!C:C,0))</f>
        <v>1</v>
      </c>
      <c r="Y2272" s="161" t="str">
        <f t="shared" si="6"/>
        <v>townska01,2017-18</v>
      </c>
      <c r="Z2272" s="168">
        <f t="array" ref="Z2272">iferror(index(I:I,match($A2272&amp;","&amp;index('Year Conversion'!$A:$A,match($C2272,'Year Conversion'!$B:$B,0)),$Y:$Y,0))-I2272,"")</f>
        <v>1</v>
      </c>
      <c r="AA2272" s="168">
        <f t="array" ref="AA2272">iferror(index(J:J,match($A2272&amp;","&amp;index('Year Conversion'!$A:$A,match($C2272,'Year Conversion'!$B:$B,0)),$Y:$Y,0))-J2272,"")</f>
        <v>-0.7637853042</v>
      </c>
      <c r="AB2272" s="168">
        <f t="array" ref="AB2272">iferror(index(K:K,match($A2272&amp;","&amp;index('Year Conversion'!$A:$A,match($C2272,'Year Conversion'!$B:$B,0)),$Y:$Y,0))-K2272,"")</f>
        <v>-0.5590808349</v>
      </c>
      <c r="AC2272" s="168" t="str">
        <f t="shared" si="7"/>
        <v>MIN,2017-18</v>
      </c>
    </row>
    <row r="2273">
      <c r="A2273" s="161" t="str">
        <f>IFERROR(__xludf.DUMMYFUNCTION("""COMPUTED_VALUE"""),"holmeri01")</f>
        <v>holmeri01</v>
      </c>
      <c r="B2273" s="161" t="str">
        <f>IFERROR(__xludf.DUMMYFUNCTION("""COMPUTED_VALUE"""),"Richaun Holmes")</f>
        <v>Richaun Holmes</v>
      </c>
      <c r="C2273" s="162" t="str">
        <f>IFERROR(__xludf.DUMMYFUNCTION("""COMPUTED_VALUE"""),"2017-18")</f>
        <v>2017-18</v>
      </c>
      <c r="D2273" s="163" t="str">
        <f>IFERROR(__xludf.DUMMYFUNCTION("""COMPUTED_VALUE"""),"PHI")</f>
        <v>PHI</v>
      </c>
      <c r="E2273" s="164" t="str">
        <f>IFERROR(__xludf.DUMMYFUNCTION("""COMPUTED_VALUE"""),"Roll + Cut Big")</f>
        <v>Roll + Cut Big</v>
      </c>
      <c r="F2273" s="164">
        <f>IFERROR(__xludf.DUMMYFUNCTION("""COMPUTED_VALUE"""),745.921666666667)</f>
        <v>745.9216667</v>
      </c>
      <c r="G2273" s="163">
        <f>IFERROR(__xludf.DUMMYFUNCTION("""COMPUTED_VALUE"""),48.0)</f>
        <v>48</v>
      </c>
      <c r="H2273" s="163" t="str">
        <f>IFERROR(__xludf.DUMMYFUNCTION("""COMPUTED_VALUE"""),"C")</f>
        <v>C</v>
      </c>
      <c r="I2273" s="163">
        <f>IFERROR(__xludf.DUMMYFUNCTION("""COMPUTED_VALUE"""),24.0)</f>
        <v>24</v>
      </c>
      <c r="J2273" s="165">
        <f>IFERROR(__xludf.DUMMYFUNCTION("""COMPUTED_VALUE"""),0.302167574359548)</f>
        <v>0.3021675744</v>
      </c>
      <c r="K2273" s="165">
        <f>IFERROR(__xludf.DUMMYFUNCTION("""COMPUTED_VALUE"""),-0.0434500177762677)</f>
        <v>-0.04345001778</v>
      </c>
      <c r="L2273" s="165">
        <f>IFERROR(__xludf.DUMMYFUNCTION("""COMPUTED_VALUE"""),0.345617592135816)</f>
        <v>0.3456175921</v>
      </c>
      <c r="M2273" s="166">
        <f t="shared" si="2"/>
        <v>1.301901193</v>
      </c>
      <c r="N2273" s="167">
        <f t="shared" si="3"/>
        <v>15.54003472</v>
      </c>
      <c r="O2273" s="163">
        <f t="shared" ref="O2273:Q2273" si="2277">rank(I2273,I:I)</f>
        <v>2361</v>
      </c>
      <c r="P2273" s="163">
        <f t="shared" si="2277"/>
        <v>1018</v>
      </c>
      <c r="Q2273" s="163">
        <f t="shared" si="2277"/>
        <v>1263</v>
      </c>
      <c r="R2273" s="163">
        <f>IFERROR(__xludf.DUMMYFUNCTION("RANK(M2273,filter(M:M,C:C=C2273))"),204.0)</f>
        <v>204</v>
      </c>
      <c r="S2273" s="161" t="b">
        <f t="shared" si="5"/>
        <v>0</v>
      </c>
      <c r="T2273" s="161" t="b">
        <f t="array" ref="T2273">index('Query Tool'!B:B,match(H2273,'Query Tool'!C:C,0))</f>
        <v>1</v>
      </c>
      <c r="U2273" s="161" t="b">
        <f t="array" ref="U2273">index('Query Tool'!B:B,match(C2273,'Query Tool'!C:C,0))</f>
        <v>0</v>
      </c>
      <c r="V2273" s="161" t="b">
        <f>F2273&gt;='Query Tool'!C$32</f>
        <v>1</v>
      </c>
      <c r="W2273" s="161" t="b">
        <f t="array" ref="W2273">index(Dropdowns!B:B,match(I2273,Dropdowns!A:A,0))</f>
        <v>1</v>
      </c>
      <c r="X2273" s="161" t="b">
        <f t="array" ref="X2273">index('Query Tool'!B:B,match(D2273,'Query Tool'!C:C,0))</f>
        <v>1</v>
      </c>
      <c r="Y2273" s="161" t="str">
        <f t="shared" si="6"/>
        <v>holmeri01,2017-18</v>
      </c>
      <c r="Z2273" s="168">
        <f t="array" ref="Z2273">iferror(index(I:I,match($A2273&amp;","&amp;index('Year Conversion'!$A:$A,match($C2273,'Year Conversion'!$B:$B,0)),$Y:$Y,0))-I2273,"")</f>
        <v>1</v>
      </c>
      <c r="AA2273" s="168">
        <f t="array" ref="AA2273">iferror(index(J:J,match($A2273&amp;","&amp;index('Year Conversion'!$A:$A,match($C2273,'Year Conversion'!$B:$B,0)),$Y:$Y,0))-J2273,"")</f>
        <v>0.4014768588</v>
      </c>
      <c r="AB2273" s="168">
        <f t="array" ref="AB2273">iferror(index(K:K,match($A2273&amp;","&amp;index('Year Conversion'!$A:$A,match($C2273,'Year Conversion'!$B:$B,0)),$Y:$Y,0))-K2273,"")</f>
        <v>-0.1364670177</v>
      </c>
      <c r="AC2273" s="168" t="str">
        <f t="shared" si="7"/>
        <v>PHI,2017-18</v>
      </c>
    </row>
    <row r="2274">
      <c r="A2274" s="161" t="str">
        <f>IFERROR(__xludf.DUMMYFUNCTION("""COMPUTED_VALUE"""),"winslju01")</f>
        <v>winslju01</v>
      </c>
      <c r="B2274" s="161" t="str">
        <f>IFERROR(__xludf.DUMMYFUNCTION("""COMPUTED_VALUE"""),"Justise Winslow")</f>
        <v>Justise Winslow</v>
      </c>
      <c r="C2274" s="162" t="str">
        <f>IFERROR(__xludf.DUMMYFUNCTION("""COMPUTED_VALUE"""),"2017-18")</f>
        <v>2017-18</v>
      </c>
      <c r="D2274" s="163" t="str">
        <f>IFERROR(__xludf.DUMMYFUNCTION("""COMPUTED_VALUE"""),"MIA")</f>
        <v>MIA</v>
      </c>
      <c r="E2274" s="164" t="str">
        <f>IFERROR(__xludf.DUMMYFUNCTION("""COMPUTED_VALUE"""),"Stationary Shooter")</f>
        <v>Stationary Shooter</v>
      </c>
      <c r="F2274" s="164">
        <f>IFERROR(__xludf.DUMMYFUNCTION("""COMPUTED_VALUE"""),1680.45666666667)</f>
        <v>1680.456667</v>
      </c>
      <c r="G2274" s="163">
        <f>IFERROR(__xludf.DUMMYFUNCTION("""COMPUTED_VALUE"""),68.0)</f>
        <v>68</v>
      </c>
      <c r="H2274" s="163" t="str">
        <f>IFERROR(__xludf.DUMMYFUNCTION("""COMPUTED_VALUE"""),"PF")</f>
        <v>PF</v>
      </c>
      <c r="I2274" s="163">
        <f>IFERROR(__xludf.DUMMYFUNCTION("""COMPUTED_VALUE"""),21.0)</f>
        <v>21</v>
      </c>
      <c r="J2274" s="165">
        <f>IFERROR(__xludf.DUMMYFUNCTION("""COMPUTED_VALUE"""),-0.29143002896691)</f>
        <v>-0.291430029</v>
      </c>
      <c r="K2274" s="165">
        <f>IFERROR(__xludf.DUMMYFUNCTION("""COMPUTED_VALUE"""),-1.69454896011463)</f>
        <v>-1.69454896</v>
      </c>
      <c r="L2274" s="165">
        <f>IFERROR(__xludf.DUMMYFUNCTION("""COMPUTED_VALUE"""),1.40311893114772)</f>
        <v>1.403118931</v>
      </c>
      <c r="M2274" s="166">
        <f t="shared" si="2"/>
        <v>2.260568268</v>
      </c>
      <c r="N2274" s="167">
        <f t="shared" si="3"/>
        <v>24.71259804</v>
      </c>
      <c r="O2274" s="163">
        <f t="shared" ref="O2274:Q2274" si="2278">rank(I2274,I:I)</f>
        <v>3528</v>
      </c>
      <c r="P2274" s="163">
        <f t="shared" si="2278"/>
        <v>1600</v>
      </c>
      <c r="Q2274" s="163">
        <f t="shared" si="2278"/>
        <v>3517</v>
      </c>
      <c r="R2274" s="163">
        <f>IFERROR(__xludf.DUMMYFUNCTION("RANK(M2274,filter(M:M,C:C=C2274))"),145.0)</f>
        <v>145</v>
      </c>
      <c r="S2274" s="161" t="b">
        <f t="shared" si="5"/>
        <v>0</v>
      </c>
      <c r="T2274" s="161" t="b">
        <f t="array" ref="T2274">index('Query Tool'!B:B,match(H2274,'Query Tool'!C:C,0))</f>
        <v>1</v>
      </c>
      <c r="U2274" s="161" t="b">
        <f t="array" ref="U2274">index('Query Tool'!B:B,match(C2274,'Query Tool'!C:C,0))</f>
        <v>0</v>
      </c>
      <c r="V2274" s="161" t="b">
        <f>F2274&gt;='Query Tool'!C$32</f>
        <v>1</v>
      </c>
      <c r="W2274" s="161" t="b">
        <f t="array" ref="W2274">index(Dropdowns!B:B,match(I2274,Dropdowns!A:A,0))</f>
        <v>1</v>
      </c>
      <c r="X2274" s="161" t="b">
        <f t="array" ref="X2274">index('Query Tool'!B:B,match(D2274,'Query Tool'!C:C,0))</f>
        <v>1</v>
      </c>
      <c r="Y2274" s="161" t="str">
        <f t="shared" si="6"/>
        <v>winslju01,2017-18</v>
      </c>
      <c r="Z2274" s="168">
        <f t="array" ref="Z2274">iferror(index(I:I,match($A2274&amp;","&amp;index('Year Conversion'!$A:$A,match($C2274,'Year Conversion'!$B:$B,0)),$Y:$Y,0))-I2274,"")</f>
        <v>1</v>
      </c>
      <c r="AA2274" s="168">
        <f t="array" ref="AA2274">iferror(index(J:J,match($A2274&amp;","&amp;index('Year Conversion'!$A:$A,match($C2274,'Year Conversion'!$B:$B,0)),$Y:$Y,0))-J2274,"")</f>
        <v>0.6143642877</v>
      </c>
      <c r="AB2274" s="168">
        <f t="array" ref="AB2274">iferror(index(K:K,match($A2274&amp;","&amp;index('Year Conversion'!$A:$A,match($C2274,'Year Conversion'!$B:$B,0)),$Y:$Y,0))-K2274,"")</f>
        <v>0.8746839527</v>
      </c>
      <c r="AC2274" s="168" t="str">
        <f t="shared" si="7"/>
        <v>MIA,2017-18</v>
      </c>
    </row>
    <row r="2275">
      <c r="A2275" s="161" t="str">
        <f>IFERROR(__xludf.DUMMYFUNCTION("""COMPUTED_VALUE"""),"caulewi01")</f>
        <v>caulewi01</v>
      </c>
      <c r="B2275" s="161" t="str">
        <f>IFERROR(__xludf.DUMMYFUNCTION("""COMPUTED_VALUE"""),"Willie Cauley-Stein")</f>
        <v>Willie Cauley-Stein</v>
      </c>
      <c r="C2275" s="162" t="str">
        <f>IFERROR(__xludf.DUMMYFUNCTION("""COMPUTED_VALUE"""),"2017-18")</f>
        <v>2017-18</v>
      </c>
      <c r="D2275" s="163" t="str">
        <f>IFERROR(__xludf.DUMMYFUNCTION("""COMPUTED_VALUE"""),"SAC")</f>
        <v>SAC</v>
      </c>
      <c r="E2275" s="164" t="str">
        <f>IFERROR(__xludf.DUMMYFUNCTION("""COMPUTED_VALUE"""),"Post Scorer")</f>
        <v>Post Scorer</v>
      </c>
      <c r="F2275" s="164">
        <f>IFERROR(__xludf.DUMMYFUNCTION("""COMPUTED_VALUE"""),2043.82333333333)</f>
        <v>2043.823333</v>
      </c>
      <c r="G2275" s="163">
        <f>IFERROR(__xludf.DUMMYFUNCTION("""COMPUTED_VALUE"""),73.0)</f>
        <v>73</v>
      </c>
      <c r="H2275" s="163" t="str">
        <f>IFERROR(__xludf.DUMMYFUNCTION("""COMPUTED_VALUE"""),"C")</f>
        <v>C</v>
      </c>
      <c r="I2275" s="163">
        <f>IFERROR(__xludf.DUMMYFUNCTION("""COMPUTED_VALUE"""),24.0)</f>
        <v>24</v>
      </c>
      <c r="J2275" s="165">
        <f>IFERROR(__xludf.DUMMYFUNCTION("""COMPUTED_VALUE"""),0.0445350121040877)</f>
        <v>0.0445350121</v>
      </c>
      <c r="K2275" s="165">
        <f>IFERROR(__xludf.DUMMYFUNCTION("""COMPUTED_VALUE"""),-1.10700511313178)</f>
        <v>-1.107005113</v>
      </c>
      <c r="L2275" s="165">
        <f>IFERROR(__xludf.DUMMYFUNCTION("""COMPUTED_VALUE"""),1.15154012523587)</f>
        <v>1.151540125</v>
      </c>
      <c r="M2275" s="166">
        <f t="shared" si="2"/>
        <v>3.212260037</v>
      </c>
      <c r="N2275" s="167">
        <f t="shared" si="3"/>
        <v>27.99757991</v>
      </c>
      <c r="O2275" s="163">
        <f t="shared" ref="O2275:Q2275" si="2279">rank(I2275,I:I)</f>
        <v>2361</v>
      </c>
      <c r="P2275" s="163">
        <f t="shared" si="2279"/>
        <v>1248</v>
      </c>
      <c r="Q2275" s="163">
        <f t="shared" si="2279"/>
        <v>2937</v>
      </c>
      <c r="R2275" s="163">
        <f>IFERROR(__xludf.DUMMYFUNCTION("RANK(M2275,filter(M:M,C:C=C2275))"),103.0)</f>
        <v>103</v>
      </c>
      <c r="S2275" s="161" t="b">
        <f t="shared" si="5"/>
        <v>0</v>
      </c>
      <c r="T2275" s="161" t="b">
        <f t="array" ref="T2275">index('Query Tool'!B:B,match(H2275,'Query Tool'!C:C,0))</f>
        <v>1</v>
      </c>
      <c r="U2275" s="161" t="b">
        <f t="array" ref="U2275">index('Query Tool'!B:B,match(C2275,'Query Tool'!C:C,0))</f>
        <v>0</v>
      </c>
      <c r="V2275" s="161" t="b">
        <f>F2275&gt;='Query Tool'!C$32</f>
        <v>1</v>
      </c>
      <c r="W2275" s="161" t="b">
        <f t="array" ref="W2275">index(Dropdowns!B:B,match(I2275,Dropdowns!A:A,0))</f>
        <v>1</v>
      </c>
      <c r="X2275" s="161" t="b">
        <f t="array" ref="X2275">index('Query Tool'!B:B,match(D2275,'Query Tool'!C:C,0))</f>
        <v>1</v>
      </c>
      <c r="Y2275" s="161" t="str">
        <f t="shared" si="6"/>
        <v>caulewi01,2017-18</v>
      </c>
      <c r="Z2275" s="168">
        <f t="array" ref="Z2275">iferror(index(I:I,match($A2275&amp;","&amp;index('Year Conversion'!$A:$A,match($C2275,'Year Conversion'!$B:$B,0)),$Y:$Y,0))-I2275,"")</f>
        <v>1</v>
      </c>
      <c r="AA2275" s="168">
        <f t="array" ref="AA2275">iferror(index(J:J,match($A2275&amp;","&amp;index('Year Conversion'!$A:$A,match($C2275,'Year Conversion'!$B:$B,0)),$Y:$Y,0))-J2275,"")</f>
        <v>1.597484125</v>
      </c>
      <c r="AB2275" s="168">
        <f t="array" ref="AB2275">iferror(index(K:K,match($A2275&amp;","&amp;index('Year Conversion'!$A:$A,match($C2275,'Year Conversion'!$B:$B,0)),$Y:$Y,0))-K2275,"")</f>
        <v>0.9745219734</v>
      </c>
      <c r="AC2275" s="168" t="str">
        <f t="shared" si="7"/>
        <v>SAC,2017-18</v>
      </c>
    </row>
    <row r="2276">
      <c r="A2276" s="161" t="str">
        <f>IFERROR(__xludf.DUMMYFUNCTION("""COMPUTED_VALUE"""),"oubreke01")</f>
        <v>oubreke01</v>
      </c>
      <c r="B2276" s="161" t="str">
        <f>IFERROR(__xludf.DUMMYFUNCTION("""COMPUTED_VALUE"""),"Kelly Oubre Jr.")</f>
        <v>Kelly Oubre Jr.</v>
      </c>
      <c r="C2276" s="162" t="str">
        <f>IFERROR(__xludf.DUMMYFUNCTION("""COMPUTED_VALUE"""),"2017-18")</f>
        <v>2017-18</v>
      </c>
      <c r="D2276" s="163" t="str">
        <f>IFERROR(__xludf.DUMMYFUNCTION("""COMPUTED_VALUE"""),"WAS")</f>
        <v>WAS</v>
      </c>
      <c r="E2276" s="164" t="str">
        <f>IFERROR(__xludf.DUMMYFUNCTION("""COMPUTED_VALUE"""),"Stationary Shooter")</f>
        <v>Stationary Shooter</v>
      </c>
      <c r="F2276" s="164">
        <f>IFERROR(__xludf.DUMMYFUNCTION("""COMPUTED_VALUE"""),2230.65666666667)</f>
        <v>2230.656667</v>
      </c>
      <c r="G2276" s="163">
        <f>IFERROR(__xludf.DUMMYFUNCTION("""COMPUTED_VALUE"""),81.0)</f>
        <v>81</v>
      </c>
      <c r="H2276" s="163" t="str">
        <f>IFERROR(__xludf.DUMMYFUNCTION("""COMPUTED_VALUE"""),"SF")</f>
        <v>SF</v>
      </c>
      <c r="I2276" s="163">
        <f>IFERROR(__xludf.DUMMYFUNCTION("""COMPUTED_VALUE"""),22.0)</f>
        <v>22</v>
      </c>
      <c r="J2276" s="165">
        <f>IFERROR(__xludf.DUMMYFUNCTION("""COMPUTED_VALUE"""),-1.29547118062524)</f>
        <v>-1.295471181</v>
      </c>
      <c r="K2276" s="165">
        <f>IFERROR(__xludf.DUMMYFUNCTION("""COMPUTED_VALUE"""),-0.369133426969344)</f>
        <v>-0.369133427</v>
      </c>
      <c r="L2276" s="165">
        <f>IFERROR(__xludf.DUMMYFUNCTION("""COMPUTED_VALUE"""),-0.926337753655899)</f>
        <v>-0.9263377537</v>
      </c>
      <c r="M2276" s="166">
        <f t="shared" si="2"/>
        <v>1.495217503</v>
      </c>
      <c r="N2276" s="167">
        <f t="shared" si="3"/>
        <v>27.53897119</v>
      </c>
      <c r="O2276" s="163">
        <f t="shared" ref="O2276:Q2276" si="2280">rank(I2276,I:I)</f>
        <v>3178</v>
      </c>
      <c r="P2276" s="163">
        <f t="shared" si="2280"/>
        <v>2857</v>
      </c>
      <c r="Q2276" s="163">
        <f t="shared" si="2280"/>
        <v>1891</v>
      </c>
      <c r="R2276" s="163">
        <f>IFERROR(__xludf.DUMMYFUNCTION("RANK(M2276,filter(M:M,C:C=C2276))"),190.0)</f>
        <v>190</v>
      </c>
      <c r="S2276" s="161" t="b">
        <f t="shared" si="5"/>
        <v>0</v>
      </c>
      <c r="T2276" s="161" t="b">
        <f t="array" ref="T2276">index('Query Tool'!B:B,match(H2276,'Query Tool'!C:C,0))</f>
        <v>1</v>
      </c>
      <c r="U2276" s="161" t="b">
        <f t="array" ref="U2276">index('Query Tool'!B:B,match(C2276,'Query Tool'!C:C,0))</f>
        <v>0</v>
      </c>
      <c r="V2276" s="161" t="b">
        <f>F2276&gt;='Query Tool'!C$32</f>
        <v>1</v>
      </c>
      <c r="W2276" s="161" t="b">
        <f t="array" ref="W2276">index(Dropdowns!B:B,match(I2276,Dropdowns!A:A,0))</f>
        <v>1</v>
      </c>
      <c r="X2276" s="161" t="b">
        <f t="array" ref="X2276">index('Query Tool'!B:B,match(D2276,'Query Tool'!C:C,0))</f>
        <v>1</v>
      </c>
      <c r="Y2276" s="161" t="str">
        <f t="shared" si="6"/>
        <v>oubreke01,2017-18</v>
      </c>
      <c r="Z2276" s="168">
        <f t="array" ref="Z2276">iferror(index(I:I,match($A2276&amp;","&amp;index('Year Conversion'!$A:$A,match($C2276,'Year Conversion'!$B:$B,0)),$Y:$Y,0))-I2276,"")</f>
        <v>1</v>
      </c>
      <c r="AA2276" s="168">
        <f t="array" ref="AA2276">iferror(index(J:J,match($A2276&amp;","&amp;index('Year Conversion'!$A:$A,match($C2276,'Year Conversion'!$B:$B,0)),$Y:$Y,0))-J2276,"")</f>
        <v>0.7070642621</v>
      </c>
      <c r="AB2276" s="168">
        <f t="array" ref="AB2276">iferror(index(K:K,match($A2276&amp;","&amp;index('Year Conversion'!$A:$A,match($C2276,'Year Conversion'!$B:$B,0)),$Y:$Y,0))-K2276,"")</f>
        <v>0.3416460392</v>
      </c>
      <c r="AC2276" s="168" t="str">
        <f t="shared" si="7"/>
        <v>WAS,2017-18</v>
      </c>
    </row>
    <row r="2277">
      <c r="A2277" s="161" t="str">
        <f>IFERROR(__xludf.DUMMYFUNCTION("""COMPUTED_VALUE"""),"kaminfr01")</f>
        <v>kaminfr01</v>
      </c>
      <c r="B2277" s="161" t="str">
        <f>IFERROR(__xludf.DUMMYFUNCTION("""COMPUTED_VALUE"""),"Frank Kaminsky")</f>
        <v>Frank Kaminsky</v>
      </c>
      <c r="C2277" s="162" t="str">
        <f>IFERROR(__xludf.DUMMYFUNCTION("""COMPUTED_VALUE"""),"2017-18")</f>
        <v>2017-18</v>
      </c>
      <c r="D2277" s="163" t="str">
        <f>IFERROR(__xludf.DUMMYFUNCTION("""COMPUTED_VALUE"""),"CHO")</f>
        <v>CHO</v>
      </c>
      <c r="E2277" s="164" t="str">
        <f>IFERROR(__xludf.DUMMYFUNCTION("""COMPUTED_VALUE"""),"Stretch Big")</f>
        <v>Stretch Big</v>
      </c>
      <c r="F2277" s="164">
        <f>IFERROR(__xludf.DUMMYFUNCTION("""COMPUTED_VALUE"""),1835.18833333333)</f>
        <v>1835.188333</v>
      </c>
      <c r="G2277" s="163">
        <f>IFERROR(__xludf.DUMMYFUNCTION("""COMPUTED_VALUE"""),79.0)</f>
        <v>79</v>
      </c>
      <c r="H2277" s="163" t="str">
        <f>IFERROR(__xludf.DUMMYFUNCTION("""COMPUTED_VALUE"""),"PF")</f>
        <v>PF</v>
      </c>
      <c r="I2277" s="163">
        <f>IFERROR(__xludf.DUMMYFUNCTION("""COMPUTED_VALUE"""),24.0)</f>
        <v>24</v>
      </c>
      <c r="J2277" s="165">
        <f>IFERROR(__xludf.DUMMYFUNCTION("""COMPUTED_VALUE"""),-1.14062247607608)</f>
        <v>-1.140622476</v>
      </c>
      <c r="K2277" s="165">
        <f>IFERROR(__xludf.DUMMYFUNCTION("""COMPUTED_VALUE"""),0.28102695443336)</f>
        <v>0.2810269544</v>
      </c>
      <c r="L2277" s="165">
        <f>IFERROR(__xludf.DUMMYFUNCTION("""COMPUTED_VALUE"""),-1.42164943050944)</f>
        <v>-1.421649431</v>
      </c>
      <c r="M2277" s="166">
        <f t="shared" si="2"/>
        <v>1.420541208</v>
      </c>
      <c r="N2277" s="167">
        <f t="shared" si="3"/>
        <v>23.23023207</v>
      </c>
      <c r="O2277" s="163">
        <f t="shared" ref="O2277:Q2277" si="2281">rank(I2277,I:I)</f>
        <v>2361</v>
      </c>
      <c r="P2277" s="163">
        <f t="shared" si="2281"/>
        <v>2672</v>
      </c>
      <c r="Q2277" s="163">
        <f t="shared" si="2281"/>
        <v>926</v>
      </c>
      <c r="R2277" s="163">
        <f>IFERROR(__xludf.DUMMYFUNCTION("RANK(M2277,filter(M:M,C:C=C2277))"),195.0)</f>
        <v>195</v>
      </c>
      <c r="S2277" s="161" t="b">
        <f t="shared" si="5"/>
        <v>0</v>
      </c>
      <c r="T2277" s="161" t="b">
        <f t="array" ref="T2277">index('Query Tool'!B:B,match(H2277,'Query Tool'!C:C,0))</f>
        <v>1</v>
      </c>
      <c r="U2277" s="161" t="b">
        <f t="array" ref="U2277">index('Query Tool'!B:B,match(C2277,'Query Tool'!C:C,0))</f>
        <v>0</v>
      </c>
      <c r="V2277" s="161" t="b">
        <f>F2277&gt;='Query Tool'!C$32</f>
        <v>1</v>
      </c>
      <c r="W2277" s="161" t="b">
        <f t="array" ref="W2277">index(Dropdowns!B:B,match(I2277,Dropdowns!A:A,0))</f>
        <v>1</v>
      </c>
      <c r="X2277" s="161" t="b">
        <f t="array" ref="X2277">index('Query Tool'!B:B,match(D2277,'Query Tool'!C:C,0))</f>
        <v>1</v>
      </c>
      <c r="Y2277" s="161" t="str">
        <f t="shared" si="6"/>
        <v>kaminfr01,2017-18</v>
      </c>
      <c r="Z2277" s="168">
        <f t="array" ref="Z2277">iferror(index(I:I,match($A2277&amp;","&amp;index('Year Conversion'!$A:$A,match($C2277,'Year Conversion'!$B:$B,0)),$Y:$Y,0))-I2277,"")</f>
        <v>1</v>
      </c>
      <c r="AA2277" s="168">
        <f t="array" ref="AA2277">iferror(index(J:J,match($A2277&amp;","&amp;index('Year Conversion'!$A:$A,match($C2277,'Year Conversion'!$B:$B,0)),$Y:$Y,0))-J2277,"")</f>
        <v>2.317161241</v>
      </c>
      <c r="AB2277" s="168">
        <f t="array" ref="AB2277">iferror(index(K:K,match($A2277&amp;","&amp;index('Year Conversion'!$A:$A,match($C2277,'Year Conversion'!$B:$B,0)),$Y:$Y,0))-K2277,"")</f>
        <v>0.7553918026</v>
      </c>
      <c r="AC2277" s="168" t="str">
        <f t="shared" si="7"/>
        <v>CHO,2017-18</v>
      </c>
    </row>
    <row r="2278">
      <c r="A2278" s="161" t="str">
        <f>IFERROR(__xludf.DUMMYFUNCTION("""COMPUTED_VALUE"""),"bookede01")</f>
        <v>bookede01</v>
      </c>
      <c r="B2278" s="161" t="str">
        <f>IFERROR(__xludf.DUMMYFUNCTION("""COMPUTED_VALUE"""),"Devin Booker")</f>
        <v>Devin Booker</v>
      </c>
      <c r="C2278" s="162" t="str">
        <f>IFERROR(__xludf.DUMMYFUNCTION("""COMPUTED_VALUE"""),"2017-18")</f>
        <v>2017-18</v>
      </c>
      <c r="D2278" s="163" t="str">
        <f>IFERROR(__xludf.DUMMYFUNCTION("""COMPUTED_VALUE"""),"PHO")</f>
        <v>PHO</v>
      </c>
      <c r="E2278" s="164" t="str">
        <f>IFERROR(__xludf.DUMMYFUNCTION("""COMPUTED_VALUE"""),"Shot Creator")</f>
        <v>Shot Creator</v>
      </c>
      <c r="F2278" s="164">
        <f>IFERROR(__xludf.DUMMYFUNCTION("""COMPUTED_VALUE"""),1865.29666666667)</f>
        <v>1865.296667</v>
      </c>
      <c r="G2278" s="163">
        <f>IFERROR(__xludf.DUMMYFUNCTION("""COMPUTED_VALUE"""),54.0)</f>
        <v>54</v>
      </c>
      <c r="H2278" s="163" t="str">
        <f>IFERROR(__xludf.DUMMYFUNCTION("""COMPUTED_VALUE"""),"SG")</f>
        <v>SG</v>
      </c>
      <c r="I2278" s="163">
        <f>IFERROR(__xludf.DUMMYFUNCTION("""COMPUTED_VALUE"""),21.0)</f>
        <v>21</v>
      </c>
      <c r="J2278" s="165">
        <f>IFERROR(__xludf.DUMMYFUNCTION("""COMPUTED_VALUE"""),-0.970729201356244)</f>
        <v>-0.9707292014</v>
      </c>
      <c r="K2278" s="165">
        <f>IFERROR(__xludf.DUMMYFUNCTION("""COMPUTED_VALUE"""),1.23788761102366)</f>
        <v>1.237887611</v>
      </c>
      <c r="L2278" s="165">
        <f>IFERROR(__xludf.DUMMYFUNCTION("""COMPUTED_VALUE"""),-2.2086168123799)</f>
        <v>-2.208616812</v>
      </c>
      <c r="M2278" s="166">
        <f t="shared" si="2"/>
        <v>1.656507103</v>
      </c>
      <c r="N2278" s="167">
        <f t="shared" si="3"/>
        <v>34.54253086</v>
      </c>
      <c r="O2278" s="163">
        <f t="shared" ref="O2278:Q2278" si="2282">rank(I2278,I:I)</f>
        <v>3528</v>
      </c>
      <c r="P2278" s="163">
        <f t="shared" si="2282"/>
        <v>2473</v>
      </c>
      <c r="Q2278" s="163">
        <f t="shared" si="2282"/>
        <v>404</v>
      </c>
      <c r="R2278" s="163">
        <f>IFERROR(__xludf.DUMMYFUNCTION("RANK(M2278,filter(M:M,C:C=C2278))"),179.0)</f>
        <v>179</v>
      </c>
      <c r="S2278" s="161" t="b">
        <f t="shared" si="5"/>
        <v>0</v>
      </c>
      <c r="T2278" s="161" t="b">
        <f t="array" ref="T2278">index('Query Tool'!B:B,match(H2278,'Query Tool'!C:C,0))</f>
        <v>1</v>
      </c>
      <c r="U2278" s="161" t="b">
        <f t="array" ref="U2278">index('Query Tool'!B:B,match(C2278,'Query Tool'!C:C,0))</f>
        <v>0</v>
      </c>
      <c r="V2278" s="161" t="b">
        <f>F2278&gt;='Query Tool'!C$32</f>
        <v>1</v>
      </c>
      <c r="W2278" s="161" t="b">
        <f t="array" ref="W2278">index(Dropdowns!B:B,match(I2278,Dropdowns!A:A,0))</f>
        <v>1</v>
      </c>
      <c r="X2278" s="161" t="b">
        <f t="array" ref="X2278">index('Query Tool'!B:B,match(D2278,'Query Tool'!C:C,0))</f>
        <v>1</v>
      </c>
      <c r="Y2278" s="161" t="str">
        <f t="shared" si="6"/>
        <v>bookede01,2017-18</v>
      </c>
      <c r="Z2278" s="168">
        <f t="array" ref="Z2278">iferror(index(I:I,match($A2278&amp;","&amp;index('Year Conversion'!$A:$A,match($C2278,'Year Conversion'!$B:$B,0)),$Y:$Y,0))-I2278,"")</f>
        <v>1</v>
      </c>
      <c r="AA2278" s="168">
        <f t="array" ref="AA2278">iferror(index(J:J,match($A2278&amp;","&amp;index('Year Conversion'!$A:$A,match($C2278,'Year Conversion'!$B:$B,0)),$Y:$Y,0))-J2278,"")</f>
        <v>0.8415874928</v>
      </c>
      <c r="AB2278" s="168">
        <f t="array" ref="AB2278">iferror(index(K:K,match($A2278&amp;","&amp;index('Year Conversion'!$A:$A,match($C2278,'Year Conversion'!$B:$B,0)),$Y:$Y,0))-K2278,"")</f>
        <v>1.332349481</v>
      </c>
      <c r="AC2278" s="168" t="str">
        <f t="shared" si="7"/>
        <v>PHO,2017-18</v>
      </c>
    </row>
    <row r="2279">
      <c r="A2279" s="161" t="str">
        <f>IFERROR(__xludf.DUMMYFUNCTION("""COMPUTED_VALUE"""),"payneca01")</f>
        <v>payneca01</v>
      </c>
      <c r="B2279" s="161" t="str">
        <f>IFERROR(__xludf.DUMMYFUNCTION("""COMPUTED_VALUE"""),"Cameron Payne")</f>
        <v>Cameron Payne</v>
      </c>
      <c r="C2279" s="162" t="str">
        <f>IFERROR(__xludf.DUMMYFUNCTION("""COMPUTED_VALUE"""),"2017-18")</f>
        <v>2017-18</v>
      </c>
      <c r="D2279" s="163" t="str">
        <f>IFERROR(__xludf.DUMMYFUNCTION("""COMPUTED_VALUE"""),"CHI")</f>
        <v>CHI</v>
      </c>
      <c r="E2279" s="164" t="str">
        <f>IFERROR(__xludf.DUMMYFUNCTION("""COMPUTED_VALUE"""),"Secondary Ball Handler")</f>
        <v>Secondary Ball Handler</v>
      </c>
      <c r="F2279" s="164">
        <f>IFERROR(__xludf.DUMMYFUNCTION("""COMPUTED_VALUE"""),581.523333333333)</f>
        <v>581.5233333</v>
      </c>
      <c r="G2279" s="163">
        <f>IFERROR(__xludf.DUMMYFUNCTION("""COMPUTED_VALUE"""),25.0)</f>
        <v>25</v>
      </c>
      <c r="H2279" s="163" t="str">
        <f>IFERROR(__xludf.DUMMYFUNCTION("""COMPUTED_VALUE"""),"PG")</f>
        <v>PG</v>
      </c>
      <c r="I2279" s="163">
        <f>IFERROR(__xludf.DUMMYFUNCTION("""COMPUTED_VALUE"""),23.0)</f>
        <v>23</v>
      </c>
      <c r="J2279" s="165">
        <f>IFERROR(__xludf.DUMMYFUNCTION("""COMPUTED_VALUE"""),-0.802142850828873)</f>
        <v>-0.8021428508</v>
      </c>
      <c r="K2279" s="165">
        <f>IFERROR(__xludf.DUMMYFUNCTION("""COMPUTED_VALUE"""),-0.602199486856531)</f>
        <v>-0.6021994869</v>
      </c>
      <c r="L2279" s="165">
        <f>IFERROR(__xludf.DUMMYFUNCTION("""COMPUTED_VALUE"""),-0.199943363972342)</f>
        <v>-0.199943364</v>
      </c>
      <c r="M2279" s="166">
        <f t="shared" si="2"/>
        <v>0.5823101327</v>
      </c>
      <c r="N2279" s="167">
        <f t="shared" si="3"/>
        <v>23.26093333</v>
      </c>
      <c r="O2279" s="163">
        <f t="shared" ref="O2279:Q2279" si="2283">rank(I2279,I:I)</f>
        <v>2765</v>
      </c>
      <c r="P2279" s="163">
        <f t="shared" si="2283"/>
        <v>2279</v>
      </c>
      <c r="Q2279" s="163">
        <f t="shared" si="2283"/>
        <v>2266</v>
      </c>
      <c r="R2279" s="163">
        <f>IFERROR(__xludf.DUMMYFUNCTION("RANK(M2279,filter(M:M,C:C=C2279))"),285.0)</f>
        <v>285</v>
      </c>
      <c r="S2279" s="161" t="b">
        <f t="shared" si="5"/>
        <v>0</v>
      </c>
      <c r="T2279" s="161" t="b">
        <f t="array" ref="T2279">index('Query Tool'!B:B,match(H2279,'Query Tool'!C:C,0))</f>
        <v>1</v>
      </c>
      <c r="U2279" s="161" t="b">
        <f t="array" ref="U2279">index('Query Tool'!B:B,match(C2279,'Query Tool'!C:C,0))</f>
        <v>0</v>
      </c>
      <c r="V2279" s="161" t="b">
        <f>F2279&gt;='Query Tool'!C$32</f>
        <v>1</v>
      </c>
      <c r="W2279" s="161" t="b">
        <f t="array" ref="W2279">index(Dropdowns!B:B,match(I2279,Dropdowns!A:A,0))</f>
        <v>1</v>
      </c>
      <c r="X2279" s="161" t="b">
        <f t="array" ref="X2279">index('Query Tool'!B:B,match(D2279,'Query Tool'!C:C,0))</f>
        <v>1</v>
      </c>
      <c r="Y2279" s="161" t="str">
        <f t="shared" si="6"/>
        <v>payneca01,2017-18</v>
      </c>
      <c r="Z2279" s="168">
        <f t="array" ref="Z2279">iferror(index(I:I,match($A2279&amp;","&amp;index('Year Conversion'!$A:$A,match($C2279,'Year Conversion'!$B:$B,0)),$Y:$Y,0))-I2279,"")</f>
        <v>1</v>
      </c>
      <c r="AA2279" s="168">
        <f t="array" ref="AA2279">iferror(index(J:J,match($A2279&amp;","&amp;index('Year Conversion'!$A:$A,match($C2279,'Year Conversion'!$B:$B,0)),$Y:$Y,0))-J2279,"")</f>
        <v>-0.4879660259</v>
      </c>
      <c r="AB2279" s="168">
        <f t="array" ref="AB2279">iferror(index(K:K,match($A2279&amp;","&amp;index('Year Conversion'!$A:$A,match($C2279,'Year Conversion'!$B:$B,0)),$Y:$Y,0))-K2279,"")</f>
        <v>-0.8381872117</v>
      </c>
      <c r="AC2279" s="168" t="str">
        <f t="shared" si="7"/>
        <v>CHI,2017-18</v>
      </c>
    </row>
    <row r="2280">
      <c r="A2280" s="161" t="str">
        <f>IFERROR(__xludf.DUMMYFUNCTION("""COMPUTED_VALUE"""),"turnemy01")</f>
        <v>turnemy01</v>
      </c>
      <c r="B2280" s="161" t="str">
        <f>IFERROR(__xludf.DUMMYFUNCTION("""COMPUTED_VALUE"""),"Myles Turner")</f>
        <v>Myles Turner</v>
      </c>
      <c r="C2280" s="162" t="str">
        <f>IFERROR(__xludf.DUMMYFUNCTION("""COMPUTED_VALUE"""),"2017-18")</f>
        <v>2017-18</v>
      </c>
      <c r="D2280" s="163" t="str">
        <f>IFERROR(__xludf.DUMMYFUNCTION("""COMPUTED_VALUE"""),"IND")</f>
        <v>IND</v>
      </c>
      <c r="E2280" s="164" t="str">
        <f>IFERROR(__xludf.DUMMYFUNCTION("""COMPUTED_VALUE"""),"Roll + Cut Big")</f>
        <v>Roll + Cut Big</v>
      </c>
      <c r="F2280" s="164">
        <f>IFERROR(__xludf.DUMMYFUNCTION("""COMPUTED_VALUE"""),1836.155)</f>
        <v>1836.155</v>
      </c>
      <c r="G2280" s="163">
        <f>IFERROR(__xludf.DUMMYFUNCTION("""COMPUTED_VALUE"""),65.0)</f>
        <v>65</v>
      </c>
      <c r="H2280" s="163" t="str">
        <f>IFERROR(__xludf.DUMMYFUNCTION("""COMPUTED_VALUE"""),"C")</f>
        <v>C</v>
      </c>
      <c r="I2280" s="163">
        <f>IFERROR(__xludf.DUMMYFUNCTION("""COMPUTED_VALUE"""),21.0)</f>
        <v>21</v>
      </c>
      <c r="J2280" s="165">
        <f>IFERROR(__xludf.DUMMYFUNCTION("""COMPUTED_VALUE"""),0.209055561394082)</f>
        <v>0.2090555614</v>
      </c>
      <c r="K2280" s="165">
        <f>IFERROR(__xludf.DUMMYFUNCTION("""COMPUTED_VALUE"""),-1.40986274361299)</f>
        <v>-1.409862744</v>
      </c>
      <c r="L2280" s="165">
        <f>IFERROR(__xludf.DUMMYFUNCTION("""COMPUTED_VALUE"""),1.61891830500708)</f>
        <v>1.618918305</v>
      </c>
      <c r="M2280" s="166">
        <f t="shared" si="2"/>
        <v>3.089516681</v>
      </c>
      <c r="N2280" s="167">
        <f t="shared" si="3"/>
        <v>28.24853846</v>
      </c>
      <c r="O2280" s="163">
        <f t="shared" ref="O2280:Q2280" si="2284">rank(I2280,I:I)</f>
        <v>3528</v>
      </c>
      <c r="P2280" s="163">
        <f t="shared" si="2284"/>
        <v>1081</v>
      </c>
      <c r="Q2280" s="163">
        <f t="shared" si="2284"/>
        <v>3258</v>
      </c>
      <c r="R2280" s="163">
        <f>IFERROR(__xludf.DUMMYFUNCTION("RANK(M2280,filter(M:M,C:C=C2280))"),107.0)</f>
        <v>107</v>
      </c>
      <c r="S2280" s="161" t="b">
        <f t="shared" si="5"/>
        <v>0</v>
      </c>
      <c r="T2280" s="161" t="b">
        <f t="array" ref="T2280">index('Query Tool'!B:B,match(H2280,'Query Tool'!C:C,0))</f>
        <v>1</v>
      </c>
      <c r="U2280" s="161" t="b">
        <f t="array" ref="U2280">index('Query Tool'!B:B,match(C2280,'Query Tool'!C:C,0))</f>
        <v>0</v>
      </c>
      <c r="V2280" s="161" t="b">
        <f>F2280&gt;='Query Tool'!C$32</f>
        <v>1</v>
      </c>
      <c r="W2280" s="161" t="b">
        <f t="array" ref="W2280">index(Dropdowns!B:B,match(I2280,Dropdowns!A:A,0))</f>
        <v>1</v>
      </c>
      <c r="X2280" s="161" t="b">
        <f t="array" ref="X2280">index('Query Tool'!B:B,match(D2280,'Query Tool'!C:C,0))</f>
        <v>1</v>
      </c>
      <c r="Y2280" s="161" t="str">
        <f t="shared" si="6"/>
        <v>turnemy01,2017-18</v>
      </c>
      <c r="Z2280" s="168">
        <f t="array" ref="Z2280">iferror(index(I:I,match($A2280&amp;","&amp;index('Year Conversion'!$A:$A,match($C2280,'Year Conversion'!$B:$B,0)),$Y:$Y,0))-I2280,"")</f>
        <v>1</v>
      </c>
      <c r="AA2280" s="168">
        <f t="array" ref="AA2280">iferror(index(J:J,match($A2280&amp;","&amp;index('Year Conversion'!$A:$A,match($C2280,'Year Conversion'!$B:$B,0)),$Y:$Y,0))-J2280,"")</f>
        <v>1.946445916</v>
      </c>
      <c r="AB2280" s="168">
        <f t="array" ref="AB2280">iferror(index(K:K,match($A2280&amp;","&amp;index('Year Conversion'!$A:$A,match($C2280,'Year Conversion'!$B:$B,0)),$Y:$Y,0))-K2280,"")</f>
        <v>-0.4714324025</v>
      </c>
      <c r="AC2280" s="168" t="str">
        <f t="shared" si="7"/>
        <v>IND,2017-18</v>
      </c>
    </row>
    <row r="2281">
      <c r="A2281" s="161" t="str">
        <f>IFERROR(__xludf.DUMMYFUNCTION("""COMPUTED_VALUE"""),"lylestr01")</f>
        <v>lylestr01</v>
      </c>
      <c r="B2281" s="161" t="str">
        <f>IFERROR(__xludf.DUMMYFUNCTION("""COMPUTED_VALUE"""),"Trey Lyles")</f>
        <v>Trey Lyles</v>
      </c>
      <c r="C2281" s="162" t="str">
        <f>IFERROR(__xludf.DUMMYFUNCTION("""COMPUTED_VALUE"""),"2017-18")</f>
        <v>2017-18</v>
      </c>
      <c r="D2281" s="163" t="str">
        <f>IFERROR(__xludf.DUMMYFUNCTION("""COMPUTED_VALUE"""),"DEN")</f>
        <v>DEN</v>
      </c>
      <c r="E2281" s="164" t="str">
        <f>IFERROR(__xludf.DUMMYFUNCTION("""COMPUTED_VALUE"""),"Stretch Big")</f>
        <v>Stretch Big</v>
      </c>
      <c r="F2281" s="164">
        <f>IFERROR(__xludf.DUMMYFUNCTION("""COMPUTED_VALUE"""),1390.68166666667)</f>
        <v>1390.681667</v>
      </c>
      <c r="G2281" s="163">
        <f>IFERROR(__xludf.DUMMYFUNCTION("""COMPUTED_VALUE"""),73.0)</f>
        <v>73</v>
      </c>
      <c r="H2281" s="163" t="str">
        <f>IFERROR(__xludf.DUMMYFUNCTION("""COMPUTED_VALUE"""),"PF")</f>
        <v>PF</v>
      </c>
      <c r="I2281" s="163">
        <f>IFERROR(__xludf.DUMMYFUNCTION("""COMPUTED_VALUE"""),22.0)</f>
        <v>22</v>
      </c>
      <c r="J2281" s="165">
        <f>IFERROR(__xludf.DUMMYFUNCTION("""COMPUTED_VALUE"""),0.594811359989966)</f>
        <v>0.59481136</v>
      </c>
      <c r="K2281" s="165">
        <f>IFERROR(__xludf.DUMMYFUNCTION("""COMPUTED_VALUE"""),1.58961538049986)</f>
        <v>1.58961538</v>
      </c>
      <c r="L2281" s="165">
        <f>IFERROR(__xludf.DUMMYFUNCTION("""COMPUTED_VALUE"""),-0.994804020509893)</f>
        <v>-0.9948040205</v>
      </c>
      <c r="M2281" s="166">
        <f t="shared" si="2"/>
        <v>2.701378899</v>
      </c>
      <c r="N2281" s="167">
        <f t="shared" si="3"/>
        <v>19.05043379</v>
      </c>
      <c r="O2281" s="163">
        <f t="shared" ref="O2281:Q2281" si="2285">rank(I2281,I:I)</f>
        <v>3178</v>
      </c>
      <c r="P2281" s="163">
        <f t="shared" si="2285"/>
        <v>848</v>
      </c>
      <c r="Q2281" s="163">
        <f t="shared" si="2285"/>
        <v>297</v>
      </c>
      <c r="R2281" s="163">
        <f>IFERROR(__xludf.DUMMYFUNCTION("RANK(M2281,filter(M:M,C:C=C2281))"),122.0)</f>
        <v>122</v>
      </c>
      <c r="S2281" s="161" t="b">
        <f t="shared" si="5"/>
        <v>0</v>
      </c>
      <c r="T2281" s="161" t="b">
        <f t="array" ref="T2281">index('Query Tool'!B:B,match(H2281,'Query Tool'!C:C,0))</f>
        <v>1</v>
      </c>
      <c r="U2281" s="161" t="b">
        <f t="array" ref="U2281">index('Query Tool'!B:B,match(C2281,'Query Tool'!C:C,0))</f>
        <v>0</v>
      </c>
      <c r="V2281" s="161" t="b">
        <f>F2281&gt;='Query Tool'!C$32</f>
        <v>1</v>
      </c>
      <c r="W2281" s="161" t="b">
        <f t="array" ref="W2281">index(Dropdowns!B:B,match(I2281,Dropdowns!A:A,0))</f>
        <v>1</v>
      </c>
      <c r="X2281" s="161" t="b">
        <f t="array" ref="X2281">index('Query Tool'!B:B,match(D2281,'Query Tool'!C:C,0))</f>
        <v>1</v>
      </c>
      <c r="Y2281" s="161" t="str">
        <f t="shared" si="6"/>
        <v>lylestr01,2017-18</v>
      </c>
      <c r="Z2281" s="168">
        <f t="array" ref="Z2281">iferror(index(I:I,match($A2281&amp;","&amp;index('Year Conversion'!$A:$A,match($C2281,'Year Conversion'!$B:$B,0)),$Y:$Y,0))-I2281,"")</f>
        <v>1</v>
      </c>
      <c r="AA2281" s="168">
        <f t="array" ref="AA2281">iferror(index(J:J,match($A2281&amp;","&amp;index('Year Conversion'!$A:$A,match($C2281,'Year Conversion'!$B:$B,0)),$Y:$Y,0))-J2281,"")</f>
        <v>-1.315694177</v>
      </c>
      <c r="AB2281" s="168">
        <f t="array" ref="AB2281">iferror(index(K:K,match($A2281&amp;","&amp;index('Year Conversion'!$A:$A,match($C2281,'Year Conversion'!$B:$B,0)),$Y:$Y,0))-K2281,"")</f>
        <v>-1.926218423</v>
      </c>
      <c r="AC2281" s="168" t="str">
        <f t="shared" si="7"/>
        <v>DEN,2017-18</v>
      </c>
    </row>
    <row r="2282">
      <c r="A2282" s="161" t="str">
        <f>IFERROR(__xludf.DUMMYFUNCTION("""COMPUTED_VALUE"""),"johnsst04")</f>
        <v>johnsst04</v>
      </c>
      <c r="B2282" s="161" t="str">
        <f>IFERROR(__xludf.DUMMYFUNCTION("""COMPUTED_VALUE"""),"Stanley Johnson")</f>
        <v>Stanley Johnson</v>
      </c>
      <c r="C2282" s="162" t="str">
        <f>IFERROR(__xludf.DUMMYFUNCTION("""COMPUTED_VALUE"""),"2017-18")</f>
        <v>2017-18</v>
      </c>
      <c r="D2282" s="163" t="str">
        <f>IFERROR(__xludf.DUMMYFUNCTION("""COMPUTED_VALUE"""),"DET")</f>
        <v>DET</v>
      </c>
      <c r="E2282" s="164" t="str">
        <f>IFERROR(__xludf.DUMMYFUNCTION("""COMPUTED_VALUE"""),"Stationary Shooter")</f>
        <v>Stationary Shooter</v>
      </c>
      <c r="F2282" s="164">
        <f>IFERROR(__xludf.DUMMYFUNCTION("""COMPUTED_VALUE"""),1893.525)</f>
        <v>1893.525</v>
      </c>
      <c r="G2282" s="163">
        <f>IFERROR(__xludf.DUMMYFUNCTION("""COMPUTED_VALUE"""),69.0)</f>
        <v>69</v>
      </c>
      <c r="H2282" s="163" t="str">
        <f>IFERROR(__xludf.DUMMYFUNCTION("""COMPUTED_VALUE"""),"SF")</f>
        <v>SF</v>
      </c>
      <c r="I2282" s="163">
        <f>IFERROR(__xludf.DUMMYFUNCTION("""COMPUTED_VALUE"""),21.0)</f>
        <v>21</v>
      </c>
      <c r="J2282" s="165">
        <f>IFERROR(__xludf.DUMMYFUNCTION("""COMPUTED_VALUE"""),-1.18032378458678)</f>
        <v>-1.180323785</v>
      </c>
      <c r="K2282" s="165">
        <f>IFERROR(__xludf.DUMMYFUNCTION("""COMPUTED_VALUE"""),-2.17659300991012)</f>
        <v>-2.17659301</v>
      </c>
      <c r="L2282" s="165">
        <f>IFERROR(__xludf.DUMMYFUNCTION("""COMPUTED_VALUE"""),0.99626922532334)</f>
        <v>0.9962692253</v>
      </c>
      <c r="M2282" s="166">
        <f t="shared" si="2"/>
        <v>1.415298057</v>
      </c>
      <c r="N2282" s="167">
        <f t="shared" si="3"/>
        <v>27.4423913</v>
      </c>
      <c r="O2282" s="163">
        <f t="shared" ref="O2282:Q2282" si="2286">rank(I2282,I:I)</f>
        <v>3528</v>
      </c>
      <c r="P2282" s="163">
        <f t="shared" si="2286"/>
        <v>2716</v>
      </c>
      <c r="Q2282" s="163">
        <f t="shared" si="2286"/>
        <v>3791</v>
      </c>
      <c r="R2282" s="163">
        <f>IFERROR(__xludf.DUMMYFUNCTION("RANK(M2282,filter(M:M,C:C=C2282))"),196.0)</f>
        <v>196</v>
      </c>
      <c r="S2282" s="161" t="b">
        <f t="shared" si="5"/>
        <v>0</v>
      </c>
      <c r="T2282" s="161" t="b">
        <f t="array" ref="T2282">index('Query Tool'!B:B,match(H2282,'Query Tool'!C:C,0))</f>
        <v>1</v>
      </c>
      <c r="U2282" s="161" t="b">
        <f t="array" ref="U2282">index('Query Tool'!B:B,match(C2282,'Query Tool'!C:C,0))</f>
        <v>0</v>
      </c>
      <c r="V2282" s="161" t="b">
        <f>F2282&gt;='Query Tool'!C$32</f>
        <v>1</v>
      </c>
      <c r="W2282" s="161" t="b">
        <f t="array" ref="W2282">index(Dropdowns!B:B,match(I2282,Dropdowns!A:A,0))</f>
        <v>1</v>
      </c>
      <c r="X2282" s="161" t="b">
        <f t="array" ref="X2282">index('Query Tool'!B:B,match(D2282,'Query Tool'!C:C,0))</f>
        <v>1</v>
      </c>
      <c r="Y2282" s="161" t="str">
        <f t="shared" si="6"/>
        <v>johnsst04,2017-18</v>
      </c>
      <c r="Z2282" s="168">
        <f t="array" ref="Z2282">iferror(index(I:I,match($A2282&amp;","&amp;index('Year Conversion'!$A:$A,match($C2282,'Year Conversion'!$B:$B,0)),$Y:$Y,0))-I2282,"")</f>
        <v>1</v>
      </c>
      <c r="AA2282" s="168">
        <f t="array" ref="AA2282">iferror(index(J:J,match($A2282&amp;","&amp;index('Year Conversion'!$A:$A,match($C2282,'Year Conversion'!$B:$B,0)),$Y:$Y,0))-J2282,"")</f>
        <v>-0.8685533615</v>
      </c>
      <c r="AB2282" s="168">
        <f t="array" ref="AB2282">iferror(index(K:K,match($A2282&amp;","&amp;index('Year Conversion'!$A:$A,match($C2282,'Year Conversion'!$B:$B,0)),$Y:$Y,0))-K2282,"")</f>
        <v>-0.5197908361</v>
      </c>
      <c r="AC2282" s="168" t="str">
        <f t="shared" si="7"/>
        <v>DET,2017-18</v>
      </c>
    </row>
    <row r="2283">
      <c r="A2283" s="161" t="str">
        <f>IFERROR(__xludf.DUMMYFUNCTION("""COMPUTED_VALUE"""),"grantje02")</f>
        <v>grantje02</v>
      </c>
      <c r="B2283" s="161" t="str">
        <f>IFERROR(__xludf.DUMMYFUNCTION("""COMPUTED_VALUE"""),"Jerian Grant")</f>
        <v>Jerian Grant</v>
      </c>
      <c r="C2283" s="162" t="str">
        <f>IFERROR(__xludf.DUMMYFUNCTION("""COMPUTED_VALUE"""),"2017-18")</f>
        <v>2017-18</v>
      </c>
      <c r="D2283" s="163" t="str">
        <f>IFERROR(__xludf.DUMMYFUNCTION("""COMPUTED_VALUE"""),"CHI")</f>
        <v>CHI</v>
      </c>
      <c r="E2283" s="164" t="str">
        <f>IFERROR(__xludf.DUMMYFUNCTION("""COMPUTED_VALUE"""),"Primary Ball Handler")</f>
        <v>Primary Ball Handler</v>
      </c>
      <c r="F2283" s="164">
        <f>IFERROR(__xludf.DUMMYFUNCTION("""COMPUTED_VALUE"""),1686.33)</f>
        <v>1686.33</v>
      </c>
      <c r="G2283" s="163">
        <f>IFERROR(__xludf.DUMMYFUNCTION("""COMPUTED_VALUE"""),74.0)</f>
        <v>74</v>
      </c>
      <c r="H2283" s="163" t="str">
        <f>IFERROR(__xludf.DUMMYFUNCTION("""COMPUTED_VALUE"""),"PG")</f>
        <v>PG</v>
      </c>
      <c r="I2283" s="163">
        <f>IFERROR(__xludf.DUMMYFUNCTION("""COMPUTED_VALUE"""),25.0)</f>
        <v>25</v>
      </c>
      <c r="J2283" s="165">
        <f>IFERROR(__xludf.DUMMYFUNCTION("""COMPUTED_VALUE"""),-0.540749383751485)</f>
        <v>-0.5407493838</v>
      </c>
      <c r="K2283" s="165">
        <f>IFERROR(__xludf.DUMMYFUNCTION("""COMPUTED_VALUE"""),0.00586766654322791)</f>
        <v>0.005867666543</v>
      </c>
      <c r="L2283" s="165">
        <f>IFERROR(__xludf.DUMMYFUNCTION("""COMPUTED_VALUE"""),-0.546617050294713)</f>
        <v>-0.5466170503</v>
      </c>
      <c r="M2283" s="166">
        <f t="shared" si="2"/>
        <v>1.985226864</v>
      </c>
      <c r="N2283" s="167">
        <f t="shared" si="3"/>
        <v>22.78824324</v>
      </c>
      <c r="O2283" s="163">
        <f t="shared" ref="O2283:Q2283" si="2287">rank(I2283,I:I)</f>
        <v>1995</v>
      </c>
      <c r="P2283" s="163">
        <f t="shared" si="2287"/>
        <v>1904</v>
      </c>
      <c r="Q2283" s="163">
        <f t="shared" si="2287"/>
        <v>1193</v>
      </c>
      <c r="R2283" s="163">
        <f>IFERROR(__xludf.DUMMYFUNCTION("RANK(M2283,filter(M:M,C:C=C2283))"),160.0)</f>
        <v>160</v>
      </c>
      <c r="S2283" s="161" t="b">
        <f t="shared" si="5"/>
        <v>0</v>
      </c>
      <c r="T2283" s="161" t="b">
        <f t="array" ref="T2283">index('Query Tool'!B:B,match(H2283,'Query Tool'!C:C,0))</f>
        <v>1</v>
      </c>
      <c r="U2283" s="161" t="b">
        <f t="array" ref="U2283">index('Query Tool'!B:B,match(C2283,'Query Tool'!C:C,0))</f>
        <v>0</v>
      </c>
      <c r="V2283" s="161" t="b">
        <f>F2283&gt;='Query Tool'!C$32</f>
        <v>1</v>
      </c>
      <c r="W2283" s="161" t="b">
        <f t="array" ref="W2283">index(Dropdowns!B:B,match(I2283,Dropdowns!A:A,0))</f>
        <v>1</v>
      </c>
      <c r="X2283" s="161" t="b">
        <f t="array" ref="X2283">index('Query Tool'!B:B,match(D2283,'Query Tool'!C:C,0))</f>
        <v>1</v>
      </c>
      <c r="Y2283" s="161" t="str">
        <f t="shared" si="6"/>
        <v>grantje02,2017-18</v>
      </c>
      <c r="Z2283" s="168">
        <f t="array" ref="Z2283">iferror(index(I:I,match($A2283&amp;","&amp;index('Year Conversion'!$A:$A,match($C2283,'Year Conversion'!$B:$B,0)),$Y:$Y,0))-I2283,"")</f>
        <v>1</v>
      </c>
      <c r="AA2283" s="168">
        <f t="array" ref="AA2283">iferror(index(J:J,match($A2283&amp;","&amp;index('Year Conversion'!$A:$A,match($C2283,'Year Conversion'!$B:$B,0)),$Y:$Y,0))-J2283,"")</f>
        <v>-1.415785177</v>
      </c>
      <c r="AB2283" s="168">
        <f t="array" ref="AB2283">iferror(index(K:K,match($A2283&amp;","&amp;index('Year Conversion'!$A:$A,match($C2283,'Year Conversion'!$B:$B,0)),$Y:$Y,0))-K2283,"")</f>
        <v>-2.026437055</v>
      </c>
      <c r="AC2283" s="168" t="str">
        <f t="shared" si="7"/>
        <v>CHI,2017-18</v>
      </c>
    </row>
    <row r="2284">
      <c r="A2284" s="161" t="str">
        <f>IFERROR(__xludf.DUMMYFUNCTION("""COMPUTED_VALUE"""),"portibo01")</f>
        <v>portibo01</v>
      </c>
      <c r="B2284" s="161" t="str">
        <f>IFERROR(__xludf.DUMMYFUNCTION("""COMPUTED_VALUE"""),"Bobby Portis")</f>
        <v>Bobby Portis</v>
      </c>
      <c r="C2284" s="162" t="str">
        <f>IFERROR(__xludf.DUMMYFUNCTION("""COMPUTED_VALUE"""),"2017-18")</f>
        <v>2017-18</v>
      </c>
      <c r="D2284" s="163" t="str">
        <f>IFERROR(__xludf.DUMMYFUNCTION("""COMPUTED_VALUE"""),"CHI")</f>
        <v>CHI</v>
      </c>
      <c r="E2284" s="164" t="str">
        <f>IFERROR(__xludf.DUMMYFUNCTION("""COMPUTED_VALUE"""),"Stretch Big")</f>
        <v>Stretch Big</v>
      </c>
      <c r="F2284" s="164">
        <f>IFERROR(__xludf.DUMMYFUNCTION("""COMPUTED_VALUE"""),1642.52)</f>
        <v>1642.52</v>
      </c>
      <c r="G2284" s="163">
        <f>IFERROR(__xludf.DUMMYFUNCTION("""COMPUTED_VALUE"""),73.0)</f>
        <v>73</v>
      </c>
      <c r="H2284" s="163" t="str">
        <f>IFERROR(__xludf.DUMMYFUNCTION("""COMPUTED_VALUE"""),"PF")</f>
        <v>PF</v>
      </c>
      <c r="I2284" s="163">
        <f>IFERROR(__xludf.DUMMYFUNCTION("""COMPUTED_VALUE"""),22.0)</f>
        <v>22</v>
      </c>
      <c r="J2284" s="165">
        <f>IFERROR(__xludf.DUMMYFUNCTION("""COMPUTED_VALUE"""),-0.0326846941675178)</f>
        <v>-0.03268469417</v>
      </c>
      <c r="K2284" s="165">
        <f>IFERROR(__xludf.DUMMYFUNCTION("""COMPUTED_VALUE"""),1.29924693885881)</f>
        <v>1.299246939</v>
      </c>
      <c r="L2284" s="165">
        <f>IFERROR(__xludf.DUMMYFUNCTION("""COMPUTED_VALUE"""),-1.33193163302633)</f>
        <v>-1.331931633</v>
      </c>
      <c r="M2284" s="166">
        <f t="shared" si="2"/>
        <v>2.496024329</v>
      </c>
      <c r="N2284" s="167">
        <f t="shared" si="3"/>
        <v>22.50027397</v>
      </c>
      <c r="O2284" s="163">
        <f t="shared" ref="O2284:Q2284" si="2288">rank(I2284,I:I)</f>
        <v>3178</v>
      </c>
      <c r="P2284" s="163">
        <f t="shared" si="2288"/>
        <v>1319</v>
      </c>
      <c r="Q2284" s="163">
        <f t="shared" si="2288"/>
        <v>384</v>
      </c>
      <c r="R2284" s="163">
        <f>IFERROR(__xludf.DUMMYFUNCTION("RANK(M2284,filter(M:M,C:C=C2284))"),131.0)</f>
        <v>131</v>
      </c>
      <c r="S2284" s="161" t="b">
        <f t="shared" si="5"/>
        <v>0</v>
      </c>
      <c r="T2284" s="161" t="b">
        <f t="array" ref="T2284">index('Query Tool'!B:B,match(H2284,'Query Tool'!C:C,0))</f>
        <v>1</v>
      </c>
      <c r="U2284" s="161" t="b">
        <f t="array" ref="U2284">index('Query Tool'!B:B,match(C2284,'Query Tool'!C:C,0))</f>
        <v>0</v>
      </c>
      <c r="V2284" s="161" t="b">
        <f>F2284&gt;='Query Tool'!C$32</f>
        <v>1</v>
      </c>
      <c r="W2284" s="161" t="b">
        <f t="array" ref="W2284">index(Dropdowns!B:B,match(I2284,Dropdowns!A:A,0))</f>
        <v>1</v>
      </c>
      <c r="X2284" s="161" t="b">
        <f t="array" ref="X2284">index('Query Tool'!B:B,match(D2284,'Query Tool'!C:C,0))</f>
        <v>1</v>
      </c>
      <c r="Y2284" s="161" t="str">
        <f t="shared" si="6"/>
        <v>portibo01,2017-18</v>
      </c>
      <c r="Z2284" s="168">
        <f t="array" ref="Z2284">iferror(index(I:I,match($A2284&amp;","&amp;index('Year Conversion'!$A:$A,match($C2284,'Year Conversion'!$B:$B,0)),$Y:$Y,0))-I2284,"")</f>
        <v>1</v>
      </c>
      <c r="AA2284" s="168">
        <f t="array" ref="AA2284">iferror(index(J:J,match($A2284&amp;","&amp;index('Year Conversion'!$A:$A,match($C2284,'Year Conversion'!$B:$B,0)),$Y:$Y,0))-J2284,"")</f>
        <v>-0.2252257127</v>
      </c>
      <c r="AB2284" s="168">
        <f t="array" ref="AB2284">iferror(index(K:K,match($A2284&amp;","&amp;index('Year Conversion'!$A:$A,match($C2284,'Year Conversion'!$B:$B,0)),$Y:$Y,0))-K2284,"")</f>
        <v>-0.7115943527</v>
      </c>
      <c r="AC2284" s="168" t="str">
        <f t="shared" si="7"/>
        <v>CHI,2017-18</v>
      </c>
    </row>
    <row r="2285">
      <c r="A2285" s="161" t="str">
        <f>IFERROR(__xludf.DUMMYFUNCTION("""COMPUTED_VALUE"""),"looneke01")</f>
        <v>looneke01</v>
      </c>
      <c r="B2285" s="161" t="str">
        <f>IFERROR(__xludf.DUMMYFUNCTION("""COMPUTED_VALUE"""),"Kevon Looney")</f>
        <v>Kevon Looney</v>
      </c>
      <c r="C2285" s="162" t="str">
        <f>IFERROR(__xludf.DUMMYFUNCTION("""COMPUTED_VALUE"""),"2017-18")</f>
        <v>2017-18</v>
      </c>
      <c r="D2285" s="163" t="str">
        <f>IFERROR(__xludf.DUMMYFUNCTION("""COMPUTED_VALUE"""),"GSW")</f>
        <v>GSW</v>
      </c>
      <c r="E2285" s="164" t="str">
        <f>IFERROR(__xludf.DUMMYFUNCTION("""COMPUTED_VALUE"""),"Roll + Cut Big")</f>
        <v>Roll + Cut Big</v>
      </c>
      <c r="F2285" s="164">
        <f>IFERROR(__xludf.DUMMYFUNCTION("""COMPUTED_VALUE"""),910.07)</f>
        <v>910.07</v>
      </c>
      <c r="G2285" s="163">
        <f>IFERROR(__xludf.DUMMYFUNCTION("""COMPUTED_VALUE"""),66.0)</f>
        <v>66</v>
      </c>
      <c r="H2285" s="163" t="str">
        <f>IFERROR(__xludf.DUMMYFUNCTION("""COMPUTED_VALUE"""),"C")</f>
        <v>C</v>
      </c>
      <c r="I2285" s="163">
        <f>IFERROR(__xludf.DUMMYFUNCTION("""COMPUTED_VALUE"""),21.0)</f>
        <v>21</v>
      </c>
      <c r="J2285" s="165">
        <f>IFERROR(__xludf.DUMMYFUNCTION("""COMPUTED_VALUE"""),0.577642286905989)</f>
        <v>0.5776422869</v>
      </c>
      <c r="K2285" s="165">
        <f>IFERROR(__xludf.DUMMYFUNCTION("""COMPUTED_VALUE"""),-0.558878640664017)</f>
        <v>-0.5588786407</v>
      </c>
      <c r="L2285" s="165">
        <f>IFERROR(__xludf.DUMMYFUNCTION("""COMPUTED_VALUE"""),1.13652092757001)</f>
        <v>1.136520928</v>
      </c>
      <c r="M2285" s="166">
        <f t="shared" si="2"/>
        <v>1.75727855</v>
      </c>
      <c r="N2285" s="167">
        <f t="shared" si="3"/>
        <v>13.78893939</v>
      </c>
      <c r="O2285" s="163">
        <f t="shared" ref="O2285:Q2285" si="2289">rank(I2285,I:I)</f>
        <v>3528</v>
      </c>
      <c r="P2285" s="163">
        <f t="shared" si="2289"/>
        <v>858</v>
      </c>
      <c r="Q2285" s="163">
        <f t="shared" si="2289"/>
        <v>2200</v>
      </c>
      <c r="R2285" s="163">
        <f>IFERROR(__xludf.DUMMYFUNCTION("RANK(M2285,filter(M:M,C:C=C2285))"),173.0)</f>
        <v>173</v>
      </c>
      <c r="S2285" s="161" t="b">
        <f t="shared" si="5"/>
        <v>0</v>
      </c>
      <c r="T2285" s="161" t="b">
        <f t="array" ref="T2285">index('Query Tool'!B:B,match(H2285,'Query Tool'!C:C,0))</f>
        <v>1</v>
      </c>
      <c r="U2285" s="161" t="b">
        <f t="array" ref="U2285">index('Query Tool'!B:B,match(C2285,'Query Tool'!C:C,0))</f>
        <v>0</v>
      </c>
      <c r="V2285" s="161" t="b">
        <f>F2285&gt;='Query Tool'!C$32</f>
        <v>1</v>
      </c>
      <c r="W2285" s="161" t="b">
        <f t="array" ref="W2285">index(Dropdowns!B:B,match(I2285,Dropdowns!A:A,0))</f>
        <v>1</v>
      </c>
      <c r="X2285" s="161" t="b">
        <f t="array" ref="X2285">index('Query Tool'!B:B,match(D2285,'Query Tool'!C:C,0))</f>
        <v>1</v>
      </c>
      <c r="Y2285" s="161" t="str">
        <f t="shared" si="6"/>
        <v>looneke01,2017-18</v>
      </c>
      <c r="Z2285" s="168">
        <f t="array" ref="Z2285">iferror(index(I:I,match($A2285&amp;","&amp;index('Year Conversion'!$A:$A,match($C2285,'Year Conversion'!$B:$B,0)),$Y:$Y,0))-I2285,"")</f>
        <v>1</v>
      </c>
      <c r="AA2285" s="168">
        <f t="array" ref="AA2285">iferror(index(J:J,match($A2285&amp;","&amp;index('Year Conversion'!$A:$A,match($C2285,'Year Conversion'!$B:$B,0)),$Y:$Y,0))-J2285,"")</f>
        <v>0.1576137008</v>
      </c>
      <c r="AB2285" s="168">
        <f t="array" ref="AB2285">iferror(index(K:K,match($A2285&amp;","&amp;index('Year Conversion'!$A:$A,match($C2285,'Year Conversion'!$B:$B,0)),$Y:$Y,0))-K2285,"")</f>
        <v>1.134833996</v>
      </c>
      <c r="AC2285" s="168" t="str">
        <f t="shared" si="7"/>
        <v>GSW,2017-18</v>
      </c>
    </row>
    <row r="2286">
      <c r="A2286" s="161" t="str">
        <f>IFERROR(__xludf.DUMMYFUNCTION("""COMPUTED_VALUE"""),"vaughra01")</f>
        <v>vaughra01</v>
      </c>
      <c r="B2286" s="161" t="str">
        <f>IFERROR(__xludf.DUMMYFUNCTION("""COMPUTED_VALUE"""),"Rashad Vaughn")</f>
        <v>Rashad Vaughn</v>
      </c>
      <c r="C2286" s="162" t="str">
        <f>IFERROR(__xludf.DUMMYFUNCTION("""COMPUTED_VALUE"""),"2017-18")</f>
        <v>2017-18</v>
      </c>
      <c r="D2286" s="163" t="str">
        <f>IFERROR(__xludf.DUMMYFUNCTION("""COMPUTED_VALUE"""),"TOT")</f>
        <v>TOT</v>
      </c>
      <c r="E2286" s="164" t="str">
        <f>IFERROR(__xludf.DUMMYFUNCTION("""COMPUTED_VALUE"""),"Stationary Shooter")</f>
        <v>Stationary Shooter</v>
      </c>
      <c r="F2286" s="164">
        <f>IFERROR(__xludf.DUMMYFUNCTION("""COMPUTED_VALUE"""),211.968333333333)</f>
        <v>211.9683333</v>
      </c>
      <c r="G2286" s="163">
        <f>IFERROR(__xludf.DUMMYFUNCTION("""COMPUTED_VALUE"""),28.0)</f>
        <v>28</v>
      </c>
      <c r="H2286" s="163" t="str">
        <f>IFERROR(__xludf.DUMMYFUNCTION("""COMPUTED_VALUE"""),"SG")</f>
        <v>SG</v>
      </c>
      <c r="I2286" s="163">
        <f>IFERROR(__xludf.DUMMYFUNCTION("""COMPUTED_VALUE"""),21.0)</f>
        <v>21</v>
      </c>
      <c r="J2286" s="165">
        <f>IFERROR(__xludf.DUMMYFUNCTION("""COMPUTED_VALUE"""),-1.45283326800541)</f>
        <v>-1.452833268</v>
      </c>
      <c r="K2286" s="165">
        <f>IFERROR(__xludf.DUMMYFUNCTION("""COMPUTED_VALUE"""),-0.47623542485074)</f>
        <v>-0.4762354249</v>
      </c>
      <c r="L2286" s="165">
        <f>IFERROR(__xludf.DUMMYFUNCTION("""COMPUTED_VALUE"""),-0.976597843154665)</f>
        <v>-0.9765978432</v>
      </c>
      <c r="M2286" s="166">
        <f t="shared" si="2"/>
        <v>0.1197712759</v>
      </c>
      <c r="N2286" s="167">
        <f t="shared" si="3"/>
        <v>7.570297619</v>
      </c>
      <c r="O2286" s="163">
        <f t="shared" ref="O2286:Q2286" si="2290">rank(I2286,I:I)</f>
        <v>3528</v>
      </c>
      <c r="P2286" s="163">
        <f t="shared" si="2290"/>
        <v>3009</v>
      </c>
      <c r="Q2286" s="163">
        <f t="shared" si="2290"/>
        <v>2079</v>
      </c>
      <c r="R2286" s="163">
        <f>IFERROR(__xludf.DUMMYFUNCTION("RANK(M2286,filter(M:M,C:C=C2286))"),385.0)</f>
        <v>385</v>
      </c>
      <c r="S2286" s="161" t="b">
        <f t="shared" si="5"/>
        <v>0</v>
      </c>
      <c r="T2286" s="161" t="b">
        <f t="array" ref="T2286">index('Query Tool'!B:B,match(H2286,'Query Tool'!C:C,0))</f>
        <v>1</v>
      </c>
      <c r="U2286" s="161" t="b">
        <f t="array" ref="U2286">index('Query Tool'!B:B,match(C2286,'Query Tool'!C:C,0))</f>
        <v>0</v>
      </c>
      <c r="V2286" s="161" t="b">
        <f>F2286&gt;='Query Tool'!C$32</f>
        <v>0</v>
      </c>
      <c r="W2286" s="161" t="b">
        <f t="array" ref="W2286">index(Dropdowns!B:B,match(I2286,Dropdowns!A:A,0))</f>
        <v>1</v>
      </c>
      <c r="X2286" s="161" t="b">
        <f t="array" ref="X2286">index('Query Tool'!B:B,match(D2286,'Query Tool'!C:C,0))</f>
        <v>1</v>
      </c>
      <c r="Y2286" s="161" t="str">
        <f t="shared" si="6"/>
        <v>vaughra01,2017-18</v>
      </c>
      <c r="Z2286" s="168" t="str">
        <f t="array" ref="Z2286">iferror(index(I:I,match($A2286&amp;","&amp;index('Year Conversion'!$A:$A,match($C2286,'Year Conversion'!$B:$B,0)),$Y:$Y,0))-I2286,"")</f>
        <v/>
      </c>
      <c r="AA2286" s="168" t="str">
        <f t="array" ref="AA2286">iferror(index(J:J,match($A2286&amp;","&amp;index('Year Conversion'!$A:$A,match($C2286,'Year Conversion'!$B:$B,0)),$Y:$Y,0))-J2286,"")</f>
        <v/>
      </c>
      <c r="AB2286" s="168" t="str">
        <f t="array" ref="AB2286">iferror(index(K:K,match($A2286&amp;","&amp;index('Year Conversion'!$A:$A,match($C2286,'Year Conversion'!$B:$B,0)),$Y:$Y,0))-K2286,"")</f>
        <v/>
      </c>
      <c r="AC2286" s="168" t="str">
        <f t="shared" si="7"/>
        <v>TOT,2017-18</v>
      </c>
    </row>
    <row r="2287">
      <c r="A2287" s="161" t="str">
        <f>IFERROR(__xludf.DUMMYFUNCTION("""COMPUTED_VALUE"""),"mickejo01")</f>
        <v>mickejo01</v>
      </c>
      <c r="B2287" s="161" t="str">
        <f>IFERROR(__xludf.DUMMYFUNCTION("""COMPUTED_VALUE"""),"Jordan Mickey")</f>
        <v>Jordan Mickey</v>
      </c>
      <c r="C2287" s="162" t="str">
        <f>IFERROR(__xludf.DUMMYFUNCTION("""COMPUTED_VALUE"""),"2017-18")</f>
        <v>2017-18</v>
      </c>
      <c r="D2287" s="163" t="str">
        <f>IFERROR(__xludf.DUMMYFUNCTION("""COMPUTED_VALUE"""),"MIA")</f>
        <v>MIA</v>
      </c>
      <c r="E2287" s="164" t="str">
        <f>IFERROR(__xludf.DUMMYFUNCTION("""COMPUTED_VALUE"""),"Roll + Cut Big")</f>
        <v>Roll + Cut Big</v>
      </c>
      <c r="F2287" s="164">
        <f>IFERROR(__xludf.DUMMYFUNCTION("""COMPUTED_VALUE"""),284.058333333333)</f>
        <v>284.0583333</v>
      </c>
      <c r="G2287" s="163">
        <f>IFERROR(__xludf.DUMMYFUNCTION("""COMPUTED_VALUE"""),23.0)</f>
        <v>23</v>
      </c>
      <c r="H2287" s="163" t="str">
        <f>IFERROR(__xludf.DUMMYFUNCTION("""COMPUTED_VALUE"""),"PF")</f>
        <v>PF</v>
      </c>
      <c r="I2287" s="163">
        <f>IFERROR(__xludf.DUMMYFUNCTION("""COMPUTED_VALUE"""),23.0)</f>
        <v>23</v>
      </c>
      <c r="J2287" s="165">
        <f>IFERROR(__xludf.DUMMYFUNCTION("""COMPUTED_VALUE"""),-0.750788027248421)</f>
        <v>-0.7507880272</v>
      </c>
      <c r="K2287" s="165">
        <f>IFERROR(__xludf.DUMMYFUNCTION("""COMPUTED_VALUE"""),-1.46111581326662)</f>
        <v>-1.461115813</v>
      </c>
      <c r="L2287" s="165">
        <f>IFERROR(__xludf.DUMMYFUNCTION("""COMPUTED_VALUE"""),0.710327786018199)</f>
        <v>0.710327786</v>
      </c>
      <c r="M2287" s="166">
        <f t="shared" si="2"/>
        <v>0.2942529075</v>
      </c>
      <c r="N2287" s="167">
        <f t="shared" si="3"/>
        <v>12.35036232</v>
      </c>
      <c r="O2287" s="163">
        <f t="shared" ref="O2287:Q2287" si="2291">rank(I2287,I:I)</f>
        <v>2765</v>
      </c>
      <c r="P2287" s="163">
        <f t="shared" si="2291"/>
        <v>2217</v>
      </c>
      <c r="Q2287" s="163">
        <f t="shared" si="2291"/>
        <v>3310</v>
      </c>
      <c r="R2287" s="163">
        <f>IFERROR(__xludf.DUMMYFUNCTION("RANK(M2287,filter(M:M,C:C=C2287))"),323.0)</f>
        <v>323</v>
      </c>
      <c r="S2287" s="161" t="b">
        <f t="shared" si="5"/>
        <v>0</v>
      </c>
      <c r="T2287" s="161" t="b">
        <f t="array" ref="T2287">index('Query Tool'!B:B,match(H2287,'Query Tool'!C:C,0))</f>
        <v>1</v>
      </c>
      <c r="U2287" s="161" t="b">
        <f t="array" ref="U2287">index('Query Tool'!B:B,match(C2287,'Query Tool'!C:C,0))</f>
        <v>0</v>
      </c>
      <c r="V2287" s="161" t="b">
        <f>F2287&gt;='Query Tool'!C$32</f>
        <v>0</v>
      </c>
      <c r="W2287" s="161" t="b">
        <f t="array" ref="W2287">index(Dropdowns!B:B,match(I2287,Dropdowns!A:A,0))</f>
        <v>1</v>
      </c>
      <c r="X2287" s="161" t="b">
        <f t="array" ref="X2287">index('Query Tool'!B:B,match(D2287,'Query Tool'!C:C,0))</f>
        <v>1</v>
      </c>
      <c r="Y2287" s="161" t="str">
        <f t="shared" si="6"/>
        <v>mickejo01,2017-18</v>
      </c>
      <c r="Z2287" s="168" t="str">
        <f t="array" ref="Z2287">iferror(index(I:I,match($A2287&amp;","&amp;index('Year Conversion'!$A:$A,match($C2287,'Year Conversion'!$B:$B,0)),$Y:$Y,0))-I2287,"")</f>
        <v/>
      </c>
      <c r="AA2287" s="168" t="str">
        <f t="array" ref="AA2287">iferror(index(J:J,match($A2287&amp;","&amp;index('Year Conversion'!$A:$A,match($C2287,'Year Conversion'!$B:$B,0)),$Y:$Y,0))-J2287,"")</f>
        <v/>
      </c>
      <c r="AB2287" s="168" t="str">
        <f t="array" ref="AB2287">iferror(index(K:K,match($A2287&amp;","&amp;index('Year Conversion'!$A:$A,match($C2287,'Year Conversion'!$B:$B,0)),$Y:$Y,0))-K2287,"")</f>
        <v/>
      </c>
      <c r="AC2287" s="168" t="str">
        <f t="shared" si="7"/>
        <v>MIA,2017-18</v>
      </c>
    </row>
    <row r="2288">
      <c r="A2288" s="161" t="str">
        <f>IFERROR(__xludf.DUMMYFUNCTION("""COMPUTED_VALUE"""),"johnsda04")</f>
        <v>johnsda04</v>
      </c>
      <c r="B2288" s="161" t="str">
        <f>IFERROR(__xludf.DUMMYFUNCTION("""COMPUTED_VALUE"""),"Dakari Johnson")</f>
        <v>Dakari Johnson</v>
      </c>
      <c r="C2288" s="162" t="str">
        <f>IFERROR(__xludf.DUMMYFUNCTION("""COMPUTED_VALUE"""),"2017-18")</f>
        <v>2017-18</v>
      </c>
      <c r="D2288" s="163" t="str">
        <f>IFERROR(__xludf.DUMMYFUNCTION("""COMPUTED_VALUE"""),"OKC")</f>
        <v>OKC</v>
      </c>
      <c r="E2288" s="164" t="str">
        <f>IFERROR(__xludf.DUMMYFUNCTION("""COMPUTED_VALUE"""),"Post Scorer")</f>
        <v>Post Scorer</v>
      </c>
      <c r="F2288" s="164">
        <f>IFERROR(__xludf.DUMMYFUNCTION("""COMPUTED_VALUE"""),161.37)</f>
        <v>161.37</v>
      </c>
      <c r="G2288" s="163">
        <f>IFERROR(__xludf.DUMMYFUNCTION("""COMPUTED_VALUE"""),31.0)</f>
        <v>31</v>
      </c>
      <c r="H2288" s="163" t="str">
        <f>IFERROR(__xludf.DUMMYFUNCTION("""COMPUTED_VALUE"""),"C")</f>
        <v>C</v>
      </c>
      <c r="I2288" s="163">
        <f>IFERROR(__xludf.DUMMYFUNCTION("""COMPUTED_VALUE"""),22.0)</f>
        <v>22</v>
      </c>
      <c r="J2288" s="165">
        <f>IFERROR(__xludf.DUMMYFUNCTION("""COMPUTED_VALUE"""),-0.533451481042019)</f>
        <v>-0.533451481</v>
      </c>
      <c r="K2288" s="165">
        <f>IFERROR(__xludf.DUMMYFUNCTION("""COMPUTED_VALUE"""),-0.736671432592598)</f>
        <v>-0.7366714326</v>
      </c>
      <c r="L2288" s="165">
        <f>IFERROR(__xludf.DUMMYFUNCTION("""COMPUTED_VALUE"""),0.203219951550579)</f>
        <v>0.2032199516</v>
      </c>
      <c r="M2288" s="166">
        <f t="shared" si="2"/>
        <v>0.190765356</v>
      </c>
      <c r="N2288" s="167">
        <f t="shared" si="3"/>
        <v>5.205483871</v>
      </c>
      <c r="O2288" s="163">
        <f t="shared" ref="O2288:Q2288" si="2292">rank(I2288,I:I)</f>
        <v>3178</v>
      </c>
      <c r="P2288" s="163">
        <f t="shared" si="2292"/>
        <v>1898</v>
      </c>
      <c r="Q2288" s="163">
        <f t="shared" si="2292"/>
        <v>2464</v>
      </c>
      <c r="R2288" s="163">
        <f>IFERROR(__xludf.DUMMYFUNCTION("RANK(M2288,filter(M:M,C:C=C2288))"),350.0)</f>
        <v>350</v>
      </c>
      <c r="S2288" s="161" t="b">
        <f t="shared" si="5"/>
        <v>0</v>
      </c>
      <c r="T2288" s="161" t="b">
        <f t="array" ref="T2288">index('Query Tool'!B:B,match(H2288,'Query Tool'!C:C,0))</f>
        <v>1</v>
      </c>
      <c r="U2288" s="161" t="b">
        <f t="array" ref="U2288">index('Query Tool'!B:B,match(C2288,'Query Tool'!C:C,0))</f>
        <v>0</v>
      </c>
      <c r="V2288" s="161" t="b">
        <f>F2288&gt;='Query Tool'!C$32</f>
        <v>0</v>
      </c>
      <c r="W2288" s="161" t="b">
        <f t="array" ref="W2288">index(Dropdowns!B:B,match(I2288,Dropdowns!A:A,0))</f>
        <v>1</v>
      </c>
      <c r="X2288" s="161" t="b">
        <f t="array" ref="X2288">index('Query Tool'!B:B,match(D2288,'Query Tool'!C:C,0))</f>
        <v>1</v>
      </c>
      <c r="Y2288" s="161" t="str">
        <f t="shared" si="6"/>
        <v>johnsda04,2017-18</v>
      </c>
      <c r="Z2288" s="168" t="str">
        <f t="array" ref="Z2288">iferror(index(I:I,match($A2288&amp;","&amp;index('Year Conversion'!$A:$A,match($C2288,'Year Conversion'!$B:$B,0)),$Y:$Y,0))-I2288,"")</f>
        <v/>
      </c>
      <c r="AA2288" s="168" t="str">
        <f t="array" ref="AA2288">iferror(index(J:J,match($A2288&amp;","&amp;index('Year Conversion'!$A:$A,match($C2288,'Year Conversion'!$B:$B,0)),$Y:$Y,0))-J2288,"")</f>
        <v/>
      </c>
      <c r="AB2288" s="168" t="str">
        <f t="array" ref="AB2288">iferror(index(K:K,match($A2288&amp;","&amp;index('Year Conversion'!$A:$A,match($C2288,'Year Conversion'!$B:$B,0)),$Y:$Y,0))-K2288,"")</f>
        <v/>
      </c>
      <c r="AC2288" s="168" t="str">
        <f t="shared" si="7"/>
        <v>OKC,2017-18</v>
      </c>
    </row>
    <row r="2289">
      <c r="A2289" s="161" t="str">
        <f>IFERROR(__xludf.DUMMYFUNCTION("""COMPUTED_VALUE"""),"holliro01")</f>
        <v>holliro01</v>
      </c>
      <c r="B2289" s="161" t="str">
        <f>IFERROR(__xludf.DUMMYFUNCTION("""COMPUTED_VALUE"""),"Rondae Hollis-Jefferson")</f>
        <v>Rondae Hollis-Jefferson</v>
      </c>
      <c r="C2289" s="162" t="str">
        <f>IFERROR(__xludf.DUMMYFUNCTION("""COMPUTED_VALUE"""),"2017-18")</f>
        <v>2017-18</v>
      </c>
      <c r="D2289" s="163" t="str">
        <f>IFERROR(__xludf.DUMMYFUNCTION("""COMPUTED_VALUE"""),"BRK")</f>
        <v>BRK</v>
      </c>
      <c r="E2289" s="164" t="str">
        <f>IFERROR(__xludf.DUMMYFUNCTION("""COMPUTED_VALUE"""),"Post Scorer")</f>
        <v>Post Scorer</v>
      </c>
      <c r="F2289" s="164">
        <f>IFERROR(__xludf.DUMMYFUNCTION("""COMPUTED_VALUE"""),1920.56333333333)</f>
        <v>1920.563333</v>
      </c>
      <c r="G2289" s="163">
        <f>IFERROR(__xludf.DUMMYFUNCTION("""COMPUTED_VALUE"""),68.0)</f>
        <v>68</v>
      </c>
      <c r="H2289" s="163" t="str">
        <f>IFERROR(__xludf.DUMMYFUNCTION("""COMPUTED_VALUE"""),"SF")</f>
        <v>SF</v>
      </c>
      <c r="I2289" s="163">
        <f>IFERROR(__xludf.DUMMYFUNCTION("""COMPUTED_VALUE"""),23.0)</f>
        <v>23</v>
      </c>
      <c r="J2289" s="165">
        <f>IFERROR(__xludf.DUMMYFUNCTION("""COMPUTED_VALUE"""),-0.141011826774695)</f>
        <v>-0.1410118268</v>
      </c>
      <c r="K2289" s="165">
        <f>IFERROR(__xludf.DUMMYFUNCTION("""COMPUTED_VALUE"""),-0.186406038152184)</f>
        <v>-0.1864060382</v>
      </c>
      <c r="L2289" s="165">
        <f>IFERROR(__xludf.DUMMYFUNCTION("""COMPUTED_VALUE"""),0.0453942113774894)</f>
        <v>0.04539421138</v>
      </c>
      <c r="M2289" s="166">
        <f t="shared" si="2"/>
        <v>2.778287984</v>
      </c>
      <c r="N2289" s="167">
        <f t="shared" si="3"/>
        <v>28.24357843</v>
      </c>
      <c r="O2289" s="163">
        <f t="shared" ref="O2289:Q2289" si="2293">rank(I2289,I:I)</f>
        <v>2765</v>
      </c>
      <c r="P2289" s="163">
        <f t="shared" si="2293"/>
        <v>1426</v>
      </c>
      <c r="Q2289" s="163">
        <f t="shared" si="2293"/>
        <v>1544</v>
      </c>
      <c r="R2289" s="163">
        <f>IFERROR(__xludf.DUMMYFUNCTION("RANK(M2289,filter(M:M,C:C=C2289))"),117.0)</f>
        <v>117</v>
      </c>
      <c r="S2289" s="161" t="b">
        <f t="shared" si="5"/>
        <v>0</v>
      </c>
      <c r="T2289" s="161" t="b">
        <f t="array" ref="T2289">index('Query Tool'!B:B,match(H2289,'Query Tool'!C:C,0))</f>
        <v>1</v>
      </c>
      <c r="U2289" s="161" t="b">
        <f t="array" ref="U2289">index('Query Tool'!B:B,match(C2289,'Query Tool'!C:C,0))</f>
        <v>0</v>
      </c>
      <c r="V2289" s="161" t="b">
        <f>F2289&gt;='Query Tool'!C$32</f>
        <v>1</v>
      </c>
      <c r="W2289" s="161" t="b">
        <f t="array" ref="W2289">index(Dropdowns!B:B,match(I2289,Dropdowns!A:A,0))</f>
        <v>1</v>
      </c>
      <c r="X2289" s="161" t="b">
        <f t="array" ref="X2289">index('Query Tool'!B:B,match(D2289,'Query Tool'!C:C,0))</f>
        <v>1</v>
      </c>
      <c r="Y2289" s="161" t="str">
        <f t="shared" si="6"/>
        <v>holliro01,2017-18</v>
      </c>
      <c r="Z2289" s="168">
        <f t="array" ref="Z2289">iferror(index(I:I,match($A2289&amp;","&amp;index('Year Conversion'!$A:$A,match($C2289,'Year Conversion'!$B:$B,0)),$Y:$Y,0))-I2289,"")</f>
        <v>1</v>
      </c>
      <c r="AA2289" s="168">
        <f t="array" ref="AA2289">iferror(index(J:J,match($A2289&amp;","&amp;index('Year Conversion'!$A:$A,match($C2289,'Year Conversion'!$B:$B,0)),$Y:$Y,0))-J2289,"")</f>
        <v>0.1030495289</v>
      </c>
      <c r="AB2289" s="168">
        <f t="array" ref="AB2289">iferror(index(K:K,match($A2289&amp;","&amp;index('Year Conversion'!$A:$A,match($C2289,'Year Conversion'!$B:$B,0)),$Y:$Y,0))-K2289,"")</f>
        <v>-0.8830605596</v>
      </c>
      <c r="AC2289" s="168" t="str">
        <f t="shared" si="7"/>
        <v>BRK,2017-18</v>
      </c>
    </row>
    <row r="2290">
      <c r="A2290" s="161" t="str">
        <f>IFERROR(__xludf.DUMMYFUNCTION("""COMPUTED_VALUE"""),"roziete01")</f>
        <v>roziete01</v>
      </c>
      <c r="B2290" s="161" t="str">
        <f>IFERROR(__xludf.DUMMYFUNCTION("""COMPUTED_VALUE"""),"Terry Rozier")</f>
        <v>Terry Rozier</v>
      </c>
      <c r="C2290" s="162" t="str">
        <f>IFERROR(__xludf.DUMMYFUNCTION("""COMPUTED_VALUE"""),"2017-18")</f>
        <v>2017-18</v>
      </c>
      <c r="D2290" s="163" t="str">
        <f>IFERROR(__xludf.DUMMYFUNCTION("""COMPUTED_VALUE"""),"BOS")</f>
        <v>BOS</v>
      </c>
      <c r="E2290" s="164" t="str">
        <f>IFERROR(__xludf.DUMMYFUNCTION("""COMPUTED_VALUE"""),"Primary Ball Handler")</f>
        <v>Primary Ball Handler</v>
      </c>
      <c r="F2290" s="164">
        <f>IFERROR(__xludf.DUMMYFUNCTION("""COMPUTED_VALUE"""),2068.14)</f>
        <v>2068.14</v>
      </c>
      <c r="G2290" s="163">
        <f>IFERROR(__xludf.DUMMYFUNCTION("""COMPUTED_VALUE"""),80.0)</f>
        <v>80</v>
      </c>
      <c r="H2290" s="163" t="str">
        <f>IFERROR(__xludf.DUMMYFUNCTION("""COMPUTED_VALUE"""),"PG")</f>
        <v>PG</v>
      </c>
      <c r="I2290" s="163">
        <f>IFERROR(__xludf.DUMMYFUNCTION("""COMPUTED_VALUE"""),23.0)</f>
        <v>23</v>
      </c>
      <c r="J2290" s="165">
        <f>IFERROR(__xludf.DUMMYFUNCTION("""COMPUTED_VALUE"""),0.603024650069428)</f>
        <v>0.6030246501</v>
      </c>
      <c r="K2290" s="165">
        <f>IFERROR(__xludf.DUMMYFUNCTION("""COMPUTED_VALUE"""),0.371545908680163)</f>
        <v>0.3715459087</v>
      </c>
      <c r="L2290" s="165">
        <f>IFERROR(__xludf.DUMMYFUNCTION("""COMPUTED_VALUE"""),0.231478741389265)</f>
        <v>0.2314787414</v>
      </c>
      <c r="M2290" s="166">
        <f t="shared" si="2"/>
        <v>4.028766696</v>
      </c>
      <c r="N2290" s="167">
        <f t="shared" si="3"/>
        <v>25.85175</v>
      </c>
      <c r="O2290" s="163">
        <f t="shared" ref="O2290:Q2290" si="2294">rank(I2290,I:I)</f>
        <v>2765</v>
      </c>
      <c r="P2290" s="163">
        <f t="shared" si="2294"/>
        <v>843</v>
      </c>
      <c r="Q2290" s="163">
        <f t="shared" si="2294"/>
        <v>853</v>
      </c>
      <c r="R2290" s="163">
        <f>IFERROR(__xludf.DUMMYFUNCTION("RANK(M2290,filter(M:M,C:C=C2290))"),84.0)</f>
        <v>84</v>
      </c>
      <c r="S2290" s="161" t="b">
        <f t="shared" si="5"/>
        <v>0</v>
      </c>
      <c r="T2290" s="161" t="b">
        <f t="array" ref="T2290">index('Query Tool'!B:B,match(H2290,'Query Tool'!C:C,0))</f>
        <v>1</v>
      </c>
      <c r="U2290" s="161" t="b">
        <f t="array" ref="U2290">index('Query Tool'!B:B,match(C2290,'Query Tool'!C:C,0))</f>
        <v>0</v>
      </c>
      <c r="V2290" s="161" t="b">
        <f>F2290&gt;='Query Tool'!C$32</f>
        <v>1</v>
      </c>
      <c r="W2290" s="161" t="b">
        <f t="array" ref="W2290">index(Dropdowns!B:B,match(I2290,Dropdowns!A:A,0))</f>
        <v>1</v>
      </c>
      <c r="X2290" s="161" t="b">
        <f t="array" ref="X2290">index('Query Tool'!B:B,match(D2290,'Query Tool'!C:C,0))</f>
        <v>1</v>
      </c>
      <c r="Y2290" s="161" t="str">
        <f t="shared" si="6"/>
        <v>roziete01,2017-18</v>
      </c>
      <c r="Z2290" s="168">
        <f t="array" ref="Z2290">iferror(index(I:I,match($A2290&amp;","&amp;index('Year Conversion'!$A:$A,match($C2290,'Year Conversion'!$B:$B,0)),$Y:$Y,0))-I2290,"")</f>
        <v>1</v>
      </c>
      <c r="AA2290" s="168">
        <f t="array" ref="AA2290">iferror(index(J:J,match($A2290&amp;","&amp;index('Year Conversion'!$A:$A,match($C2290,'Year Conversion'!$B:$B,0)),$Y:$Y,0))-J2290,"")</f>
        <v>-1.919456241</v>
      </c>
      <c r="AB2290" s="168">
        <f t="array" ref="AB2290">iferror(index(K:K,match($A2290&amp;","&amp;index('Year Conversion'!$A:$A,match($C2290,'Year Conversion'!$B:$B,0)),$Y:$Y,0))-K2290,"")</f>
        <v>-1.497710005</v>
      </c>
      <c r="AC2290" s="168" t="str">
        <f t="shared" si="7"/>
        <v>BOS,2017-18</v>
      </c>
    </row>
    <row r="2291">
      <c r="A2291" s="161" t="str">
        <f>IFERROR(__xludf.DUMMYFUNCTION("""COMPUTED_VALUE"""),"powelno01")</f>
        <v>powelno01</v>
      </c>
      <c r="B2291" s="161" t="str">
        <f>IFERROR(__xludf.DUMMYFUNCTION("""COMPUTED_VALUE"""),"Norman Powell")</f>
        <v>Norman Powell</v>
      </c>
      <c r="C2291" s="162" t="str">
        <f>IFERROR(__xludf.DUMMYFUNCTION("""COMPUTED_VALUE"""),"2017-18")</f>
        <v>2017-18</v>
      </c>
      <c r="D2291" s="163" t="str">
        <f>IFERROR(__xludf.DUMMYFUNCTION("""COMPUTED_VALUE"""),"TOR")</f>
        <v>TOR</v>
      </c>
      <c r="E2291" s="164" t="str">
        <f>IFERROR(__xludf.DUMMYFUNCTION("""COMPUTED_VALUE"""),"Secondary Ball Handler")</f>
        <v>Secondary Ball Handler</v>
      </c>
      <c r="F2291" s="164">
        <f>IFERROR(__xludf.DUMMYFUNCTION("""COMPUTED_VALUE"""),1061.53666666667)</f>
        <v>1061.536667</v>
      </c>
      <c r="G2291" s="163">
        <f>IFERROR(__xludf.DUMMYFUNCTION("""COMPUTED_VALUE"""),70.0)</f>
        <v>70</v>
      </c>
      <c r="H2291" s="163" t="str">
        <f>IFERROR(__xludf.DUMMYFUNCTION("""COMPUTED_VALUE"""),"SG")</f>
        <v>SG</v>
      </c>
      <c r="I2291" s="163">
        <f>IFERROR(__xludf.DUMMYFUNCTION("""COMPUTED_VALUE"""),24.0)</f>
        <v>24</v>
      </c>
      <c r="J2291" s="165">
        <f>IFERROR(__xludf.DUMMYFUNCTION("""COMPUTED_VALUE"""),-2.08196316450105)</f>
        <v>-2.081963165</v>
      </c>
      <c r="K2291" s="165">
        <f>IFERROR(__xludf.DUMMYFUNCTION("""COMPUTED_VALUE"""),-1.16339831781304)</f>
        <v>-1.163398318</v>
      </c>
      <c r="L2291" s="165">
        <f>IFERROR(__xludf.DUMMYFUNCTION("""COMPUTED_VALUE"""),-0.918564846688007)</f>
        <v>-0.9185648467</v>
      </c>
      <c r="M2291" s="166">
        <f t="shared" si="2"/>
        <v>0.1554300114</v>
      </c>
      <c r="N2291" s="167">
        <f t="shared" si="3"/>
        <v>15.16480952</v>
      </c>
      <c r="O2291" s="163">
        <f t="shared" ref="O2291:Q2291" si="2295">rank(I2291,I:I)</f>
        <v>2361</v>
      </c>
      <c r="P2291" s="163">
        <f t="shared" si="2295"/>
        <v>3544</v>
      </c>
      <c r="Q2291" s="163">
        <f t="shared" si="2295"/>
        <v>3001</v>
      </c>
      <c r="R2291" s="163">
        <f>IFERROR(__xludf.DUMMYFUNCTION("RANK(M2291,filter(M:M,C:C=C2291))"),361.0)</f>
        <v>361</v>
      </c>
      <c r="S2291" s="161" t="b">
        <f t="shared" si="5"/>
        <v>0</v>
      </c>
      <c r="T2291" s="161" t="b">
        <f t="array" ref="T2291">index('Query Tool'!B:B,match(H2291,'Query Tool'!C:C,0))</f>
        <v>1</v>
      </c>
      <c r="U2291" s="161" t="b">
        <f t="array" ref="U2291">index('Query Tool'!B:B,match(C2291,'Query Tool'!C:C,0))</f>
        <v>0</v>
      </c>
      <c r="V2291" s="161" t="b">
        <f>F2291&gt;='Query Tool'!C$32</f>
        <v>1</v>
      </c>
      <c r="W2291" s="161" t="b">
        <f t="array" ref="W2291">index(Dropdowns!B:B,match(I2291,Dropdowns!A:A,0))</f>
        <v>1</v>
      </c>
      <c r="X2291" s="161" t="b">
        <f t="array" ref="X2291">index('Query Tool'!B:B,match(D2291,'Query Tool'!C:C,0))</f>
        <v>1</v>
      </c>
      <c r="Y2291" s="161" t="str">
        <f t="shared" si="6"/>
        <v>powelno01,2017-18</v>
      </c>
      <c r="Z2291" s="168">
        <f t="array" ref="Z2291">iferror(index(I:I,match($A2291&amp;","&amp;index('Year Conversion'!$A:$A,match($C2291,'Year Conversion'!$B:$B,0)),$Y:$Y,0))-I2291,"")</f>
        <v>1</v>
      </c>
      <c r="AA2291" s="168">
        <f t="array" ref="AA2291">iferror(index(J:J,match($A2291&amp;","&amp;index('Year Conversion'!$A:$A,match($C2291,'Year Conversion'!$B:$B,0)),$Y:$Y,0))-J2291,"")</f>
        <v>0.8444511137</v>
      </c>
      <c r="AB2291" s="168">
        <f t="array" ref="AB2291">iferror(index(K:K,match($A2291&amp;","&amp;index('Year Conversion'!$A:$A,match($C2291,'Year Conversion'!$B:$B,0)),$Y:$Y,0))-K2291,"")</f>
        <v>0.2990861192</v>
      </c>
      <c r="AC2291" s="168" t="str">
        <f t="shared" si="7"/>
        <v>TOR,2017-18</v>
      </c>
    </row>
    <row r="2292">
      <c r="A2292" s="161" t="str">
        <f>IFERROR(__xludf.DUMMYFUNCTION("""COMPUTED_VALUE"""),"martija01")</f>
        <v>martija01</v>
      </c>
      <c r="B2292" s="161" t="str">
        <f>IFERROR(__xludf.DUMMYFUNCTION("""COMPUTED_VALUE"""),"Jarell Martin")</f>
        <v>Jarell Martin</v>
      </c>
      <c r="C2292" s="162" t="str">
        <f>IFERROR(__xludf.DUMMYFUNCTION("""COMPUTED_VALUE"""),"2017-18")</f>
        <v>2017-18</v>
      </c>
      <c r="D2292" s="163" t="str">
        <f>IFERROR(__xludf.DUMMYFUNCTION("""COMPUTED_VALUE"""),"MEM")</f>
        <v>MEM</v>
      </c>
      <c r="E2292" s="164" t="str">
        <f>IFERROR(__xludf.DUMMYFUNCTION("""COMPUTED_VALUE"""),"Athletic Finisher")</f>
        <v>Athletic Finisher</v>
      </c>
      <c r="F2292" s="164">
        <f>IFERROR(__xludf.DUMMYFUNCTION("""COMPUTED_VALUE"""),1660.62666666667)</f>
        <v>1660.626667</v>
      </c>
      <c r="G2292" s="163">
        <f>IFERROR(__xludf.DUMMYFUNCTION("""COMPUTED_VALUE"""),73.0)</f>
        <v>73</v>
      </c>
      <c r="H2292" s="163" t="str">
        <f>IFERROR(__xludf.DUMMYFUNCTION("""COMPUTED_VALUE"""),"PF")</f>
        <v>PF</v>
      </c>
      <c r="I2292" s="163">
        <f>IFERROR(__xludf.DUMMYFUNCTION("""COMPUTED_VALUE"""),23.0)</f>
        <v>23</v>
      </c>
      <c r="J2292" s="165">
        <f>IFERROR(__xludf.DUMMYFUNCTION("""COMPUTED_VALUE"""),-2.32623871888406)</f>
        <v>-2.326238719</v>
      </c>
      <c r="K2292" s="165">
        <f>IFERROR(__xludf.DUMMYFUNCTION("""COMPUTED_VALUE"""),-2.17901720577403)</f>
        <v>-2.179017206</v>
      </c>
      <c r="L2292" s="165">
        <f>IFERROR(__xludf.DUMMYFUNCTION("""COMPUTED_VALUE"""),-0.147221513110033)</f>
        <v>-0.1472215131</v>
      </c>
      <c r="M2292" s="166">
        <f t="shared" si="2"/>
        <v>-0.02486822801</v>
      </c>
      <c r="N2292" s="167">
        <f t="shared" si="3"/>
        <v>22.7483105</v>
      </c>
      <c r="O2292" s="163">
        <f t="shared" ref="O2292:Q2292" si="2296">rank(I2292,I:I)</f>
        <v>2765</v>
      </c>
      <c r="P2292" s="163">
        <f t="shared" si="2296"/>
        <v>3668</v>
      </c>
      <c r="Q2292" s="163">
        <f t="shared" si="2296"/>
        <v>3793</v>
      </c>
      <c r="R2292" s="163">
        <f>IFERROR(__xludf.DUMMYFUNCTION("RANK(M2292,filter(M:M,C:C=C2292))"),504.0)</f>
        <v>504</v>
      </c>
      <c r="S2292" s="161" t="b">
        <f t="shared" si="5"/>
        <v>0</v>
      </c>
      <c r="T2292" s="161" t="b">
        <f t="array" ref="T2292">index('Query Tool'!B:B,match(H2292,'Query Tool'!C:C,0))</f>
        <v>1</v>
      </c>
      <c r="U2292" s="161" t="b">
        <f t="array" ref="U2292">index('Query Tool'!B:B,match(C2292,'Query Tool'!C:C,0))</f>
        <v>0</v>
      </c>
      <c r="V2292" s="161" t="b">
        <f>F2292&gt;='Query Tool'!C$32</f>
        <v>1</v>
      </c>
      <c r="W2292" s="161" t="b">
        <f t="array" ref="W2292">index(Dropdowns!B:B,match(I2292,Dropdowns!A:A,0))</f>
        <v>1</v>
      </c>
      <c r="X2292" s="161" t="b">
        <f t="array" ref="X2292">index('Query Tool'!B:B,match(D2292,'Query Tool'!C:C,0))</f>
        <v>1</v>
      </c>
      <c r="Y2292" s="161" t="str">
        <f t="shared" si="6"/>
        <v>martija01,2017-18</v>
      </c>
      <c r="Z2292" s="168">
        <f t="array" ref="Z2292">iferror(index(I:I,match($A2292&amp;","&amp;index('Year Conversion'!$A:$A,match($C2292,'Year Conversion'!$B:$B,0)),$Y:$Y,0))-I2292,"")</f>
        <v>1</v>
      </c>
      <c r="AA2292" s="168">
        <f t="array" ref="AA2292">iferror(index(J:J,match($A2292&amp;","&amp;index('Year Conversion'!$A:$A,match($C2292,'Year Conversion'!$B:$B,0)),$Y:$Y,0))-J2292,"")</f>
        <v>1.32195715</v>
      </c>
      <c r="AB2292" s="168">
        <f t="array" ref="AB2292">iferror(index(K:K,match($A2292&amp;","&amp;index('Year Conversion'!$A:$A,match($C2292,'Year Conversion'!$B:$B,0)),$Y:$Y,0))-K2292,"")</f>
        <v>0.671729356</v>
      </c>
      <c r="AC2292" s="168" t="str">
        <f t="shared" si="7"/>
        <v>MEM,2017-18</v>
      </c>
    </row>
    <row r="2293">
      <c r="A2293" s="161" t="str">
        <f>IFERROR(__xludf.DUMMYFUNCTION("""COMPUTED_VALUE"""),"cookqu01")</f>
        <v>cookqu01</v>
      </c>
      <c r="B2293" s="161" t="str">
        <f>IFERROR(__xludf.DUMMYFUNCTION("""COMPUTED_VALUE"""),"Quinn Cook")</f>
        <v>Quinn Cook</v>
      </c>
      <c r="C2293" s="162" t="str">
        <f>IFERROR(__xludf.DUMMYFUNCTION("""COMPUTED_VALUE"""),"2017-18")</f>
        <v>2017-18</v>
      </c>
      <c r="D2293" s="163" t="str">
        <f>IFERROR(__xludf.DUMMYFUNCTION("""COMPUTED_VALUE"""),"GSW")</f>
        <v>GSW</v>
      </c>
      <c r="E2293" s="164" t="str">
        <f>IFERROR(__xludf.DUMMYFUNCTION("""COMPUTED_VALUE"""),"Secondary Ball Handler")</f>
        <v>Secondary Ball Handler</v>
      </c>
      <c r="F2293" s="164">
        <f>IFERROR(__xludf.DUMMYFUNCTION("""COMPUTED_VALUE"""),740.503333333333)</f>
        <v>740.5033333</v>
      </c>
      <c r="G2293" s="163">
        <f>IFERROR(__xludf.DUMMYFUNCTION("""COMPUTED_VALUE"""),33.0)</f>
        <v>33</v>
      </c>
      <c r="H2293" s="163" t="str">
        <f>IFERROR(__xludf.DUMMYFUNCTION("""COMPUTED_VALUE"""),"PG")</f>
        <v>PG</v>
      </c>
      <c r="I2293" s="163">
        <f>IFERROR(__xludf.DUMMYFUNCTION("""COMPUTED_VALUE"""),24.0)</f>
        <v>24</v>
      </c>
      <c r="J2293" s="165">
        <f>IFERROR(__xludf.DUMMYFUNCTION("""COMPUTED_VALUE"""),-2.63088812365106)</f>
        <v>-2.630888124</v>
      </c>
      <c r="K2293" s="165">
        <f>IFERROR(__xludf.DUMMYFUNCTION("""COMPUTED_VALUE"""),-0.831216980437455)</f>
        <v>-0.8312169804</v>
      </c>
      <c r="L2293" s="165">
        <f>IFERROR(__xludf.DUMMYFUNCTION("""COMPUTED_VALUE"""),-1.79967114321361)</f>
        <v>-1.799671143</v>
      </c>
      <c r="M2293" s="166">
        <f t="shared" si="2"/>
        <v>-0.1593492922</v>
      </c>
      <c r="N2293" s="167">
        <f t="shared" si="3"/>
        <v>22.43949495</v>
      </c>
      <c r="O2293" s="163">
        <f t="shared" ref="O2293:Q2293" si="2297">rank(I2293,I:I)</f>
        <v>2361</v>
      </c>
      <c r="P2293" s="163">
        <f t="shared" si="2297"/>
        <v>3796</v>
      </c>
      <c r="Q2293" s="163">
        <f t="shared" si="2297"/>
        <v>2594</v>
      </c>
      <c r="R2293" s="163">
        <f>IFERROR(__xludf.DUMMYFUNCTION("RANK(M2293,filter(M:M,C:C=C2293))"),513.0)</f>
        <v>513</v>
      </c>
      <c r="S2293" s="161" t="b">
        <f t="shared" si="5"/>
        <v>0</v>
      </c>
      <c r="T2293" s="161" t="b">
        <f t="array" ref="T2293">index('Query Tool'!B:B,match(H2293,'Query Tool'!C:C,0))</f>
        <v>1</v>
      </c>
      <c r="U2293" s="161" t="b">
        <f t="array" ref="U2293">index('Query Tool'!B:B,match(C2293,'Query Tool'!C:C,0))</f>
        <v>0</v>
      </c>
      <c r="V2293" s="161" t="b">
        <f>F2293&gt;='Query Tool'!C$32</f>
        <v>1</v>
      </c>
      <c r="W2293" s="161" t="b">
        <f t="array" ref="W2293">index(Dropdowns!B:B,match(I2293,Dropdowns!A:A,0))</f>
        <v>1</v>
      </c>
      <c r="X2293" s="161" t="b">
        <f t="array" ref="X2293">index('Query Tool'!B:B,match(D2293,'Query Tool'!C:C,0))</f>
        <v>1</v>
      </c>
      <c r="Y2293" s="161" t="str">
        <f t="shared" si="6"/>
        <v>cookqu01,2017-18</v>
      </c>
      <c r="Z2293" s="168">
        <f t="array" ref="Z2293">iferror(index(I:I,match($A2293&amp;","&amp;index('Year Conversion'!$A:$A,match($C2293,'Year Conversion'!$B:$B,0)),$Y:$Y,0))-I2293,"")</f>
        <v>1</v>
      </c>
      <c r="AA2293" s="168">
        <f t="array" ref="AA2293">iferror(index(J:J,match($A2293&amp;","&amp;index('Year Conversion'!$A:$A,match($C2293,'Year Conversion'!$B:$B,0)),$Y:$Y,0))-J2293,"")</f>
        <v>-0.2570179007</v>
      </c>
      <c r="AB2293" s="168">
        <f t="array" ref="AB2293">iferror(index(K:K,match($A2293&amp;","&amp;index('Year Conversion'!$A:$A,match($C2293,'Year Conversion'!$B:$B,0)),$Y:$Y,0))-K2293,"")</f>
        <v>0.1280530294</v>
      </c>
      <c r="AC2293" s="168" t="str">
        <f t="shared" si="7"/>
        <v>GSW,2017-18</v>
      </c>
    </row>
    <row r="2294">
      <c r="A2294" s="161" t="str">
        <f>IFERROR(__xludf.DUMMYFUNCTION("""COMPUTED_VALUE"""),"mcculch01")</f>
        <v>mcculch01</v>
      </c>
      <c r="B2294" s="161" t="str">
        <f>IFERROR(__xludf.DUMMYFUNCTION("""COMPUTED_VALUE"""),"Chris McCullough")</f>
        <v>Chris McCullough</v>
      </c>
      <c r="C2294" s="162" t="str">
        <f>IFERROR(__xludf.DUMMYFUNCTION("""COMPUTED_VALUE"""),"2017-18")</f>
        <v>2017-18</v>
      </c>
      <c r="D2294" s="163" t="str">
        <f>IFERROR(__xludf.DUMMYFUNCTION("""COMPUTED_VALUE"""),"WAS")</f>
        <v>WAS</v>
      </c>
      <c r="E2294" s="164" t="str">
        <f>IFERROR(__xludf.DUMMYFUNCTION("""COMPUTED_VALUE"""),"Roll + Cut Big")</f>
        <v>Roll + Cut Big</v>
      </c>
      <c r="F2294" s="164">
        <f>IFERROR(__xludf.DUMMYFUNCTION("""COMPUTED_VALUE"""),89.7666666666667)</f>
        <v>89.76666667</v>
      </c>
      <c r="G2294" s="163">
        <f>IFERROR(__xludf.DUMMYFUNCTION("""COMPUTED_VALUE"""),19.0)</f>
        <v>19</v>
      </c>
      <c r="H2294" s="163" t="str">
        <f>IFERROR(__xludf.DUMMYFUNCTION("""COMPUTED_VALUE"""),"PF")</f>
        <v>PF</v>
      </c>
      <c r="I2294" s="163">
        <f>IFERROR(__xludf.DUMMYFUNCTION("""COMPUTED_VALUE"""),22.0)</f>
        <v>22</v>
      </c>
      <c r="J2294" s="165">
        <f>IFERROR(__xludf.DUMMYFUNCTION("""COMPUTED_VALUE"""),-0.365306059373919)</f>
        <v>-0.3653060594</v>
      </c>
      <c r="K2294" s="165">
        <f>IFERROR(__xludf.DUMMYFUNCTION("""COMPUTED_VALUE"""),-0.00174617782235512)</f>
        <v>-0.001746177822</v>
      </c>
      <c r="L2294" s="165">
        <f>IFERROR(__xludf.DUMMYFUNCTION("""COMPUTED_VALUE"""),-0.363559881551564)</f>
        <v>-0.3635598816</v>
      </c>
      <c r="M2294" s="166">
        <f t="shared" si="2"/>
        <v>0.1162861358</v>
      </c>
      <c r="N2294" s="167">
        <f t="shared" si="3"/>
        <v>4.724561404</v>
      </c>
      <c r="O2294" s="163">
        <f t="shared" ref="O2294:Q2294" si="2298">rank(I2294,I:I)</f>
        <v>3178</v>
      </c>
      <c r="P2294" s="163">
        <f t="shared" si="2298"/>
        <v>1689</v>
      </c>
      <c r="Q2294" s="163">
        <f t="shared" si="2298"/>
        <v>1202</v>
      </c>
      <c r="R2294" s="163">
        <f>IFERROR(__xludf.DUMMYFUNCTION("RANK(M2294,filter(M:M,C:C=C2294))"),390.0)</f>
        <v>390</v>
      </c>
      <c r="S2294" s="161" t="b">
        <f t="shared" si="5"/>
        <v>0</v>
      </c>
      <c r="T2294" s="161" t="b">
        <f t="array" ref="T2294">index('Query Tool'!B:B,match(H2294,'Query Tool'!C:C,0))</f>
        <v>1</v>
      </c>
      <c r="U2294" s="161" t="b">
        <f t="array" ref="U2294">index('Query Tool'!B:B,match(C2294,'Query Tool'!C:C,0))</f>
        <v>0</v>
      </c>
      <c r="V2294" s="161" t="b">
        <f>F2294&gt;='Query Tool'!C$32</f>
        <v>0</v>
      </c>
      <c r="W2294" s="161" t="b">
        <f t="array" ref="W2294">index(Dropdowns!B:B,match(I2294,Dropdowns!A:A,0))</f>
        <v>1</v>
      </c>
      <c r="X2294" s="161" t="b">
        <f t="array" ref="X2294">index('Query Tool'!B:B,match(D2294,'Query Tool'!C:C,0))</f>
        <v>1</v>
      </c>
      <c r="Y2294" s="161" t="str">
        <f t="shared" si="6"/>
        <v>mcculch01,2017-18</v>
      </c>
      <c r="Z2294" s="168" t="str">
        <f t="array" ref="Z2294">iferror(index(I:I,match($A2294&amp;","&amp;index('Year Conversion'!$A:$A,match($C2294,'Year Conversion'!$B:$B,0)),$Y:$Y,0))-I2294,"")</f>
        <v/>
      </c>
      <c r="AA2294" s="168" t="str">
        <f t="array" ref="AA2294">iferror(index(J:J,match($A2294&amp;","&amp;index('Year Conversion'!$A:$A,match($C2294,'Year Conversion'!$B:$B,0)),$Y:$Y,0))-J2294,"")</f>
        <v/>
      </c>
      <c r="AB2294" s="168" t="str">
        <f t="array" ref="AB2294">iferror(index(K:K,match($A2294&amp;","&amp;index('Year Conversion'!$A:$A,match($C2294,'Year Conversion'!$B:$B,0)),$Y:$Y,0))-K2294,"")</f>
        <v/>
      </c>
      <c r="AC2294" s="168" t="str">
        <f t="shared" si="7"/>
        <v>WAS,2017-18</v>
      </c>
    </row>
    <row r="2295">
      <c r="A2295" s="161" t="str">
        <f>IFERROR(__xludf.DUMMYFUNCTION("""COMPUTED_VALUE"""),"connapa01")</f>
        <v>connapa01</v>
      </c>
      <c r="B2295" s="161" t="str">
        <f>IFERROR(__xludf.DUMMYFUNCTION("""COMPUTED_VALUE"""),"Pat Connaughton")</f>
        <v>Pat Connaughton</v>
      </c>
      <c r="C2295" s="162" t="str">
        <f>IFERROR(__xludf.DUMMYFUNCTION("""COMPUTED_VALUE"""),"2017-18")</f>
        <v>2017-18</v>
      </c>
      <c r="D2295" s="163" t="str">
        <f>IFERROR(__xludf.DUMMYFUNCTION("""COMPUTED_VALUE"""),"POR")</f>
        <v>POR</v>
      </c>
      <c r="E2295" s="164" t="str">
        <f>IFERROR(__xludf.DUMMYFUNCTION("""COMPUTED_VALUE"""),"Movement Shooter")</f>
        <v>Movement Shooter</v>
      </c>
      <c r="F2295" s="164">
        <f>IFERROR(__xludf.DUMMYFUNCTION("""COMPUTED_VALUE"""),1487.85333333333)</f>
        <v>1487.853333</v>
      </c>
      <c r="G2295" s="163">
        <f>IFERROR(__xludf.DUMMYFUNCTION("""COMPUTED_VALUE"""),82.0)</f>
        <v>82</v>
      </c>
      <c r="H2295" s="163" t="str">
        <f>IFERROR(__xludf.DUMMYFUNCTION("""COMPUTED_VALUE"""),"SG")</f>
        <v>SG</v>
      </c>
      <c r="I2295" s="163">
        <f>IFERROR(__xludf.DUMMYFUNCTION("""COMPUTED_VALUE"""),25.0)</f>
        <v>25</v>
      </c>
      <c r="J2295" s="165">
        <f>IFERROR(__xludf.DUMMYFUNCTION("""COMPUTED_VALUE"""),-1.29753745263106)</f>
        <v>-1.297537453</v>
      </c>
      <c r="K2295" s="165">
        <f>IFERROR(__xludf.DUMMYFUNCTION("""COMPUTED_VALUE"""),-0.575155215398113)</f>
        <v>-0.5751552154</v>
      </c>
      <c r="L2295" s="165">
        <f>IFERROR(__xludf.DUMMYFUNCTION("""COMPUTED_VALUE"""),-0.72238223723295)</f>
        <v>-0.7223822372</v>
      </c>
      <c r="M2295" s="166">
        <f t="shared" si="2"/>
        <v>0.9952554354</v>
      </c>
      <c r="N2295" s="167">
        <f t="shared" si="3"/>
        <v>18.14455285</v>
      </c>
      <c r="O2295" s="163">
        <f t="shared" ref="O2295:Q2295" si="2299">rank(I2295,I:I)</f>
        <v>1995</v>
      </c>
      <c r="P2295" s="163">
        <f t="shared" si="2299"/>
        <v>2858</v>
      </c>
      <c r="Q2295" s="163">
        <f t="shared" si="2299"/>
        <v>2225</v>
      </c>
      <c r="R2295" s="163">
        <f>IFERROR(__xludf.DUMMYFUNCTION("RANK(M2295,filter(M:M,C:C=C2295))"),234.0)</f>
        <v>234</v>
      </c>
      <c r="S2295" s="161" t="b">
        <f t="shared" si="5"/>
        <v>0</v>
      </c>
      <c r="T2295" s="161" t="b">
        <f t="array" ref="T2295">index('Query Tool'!B:B,match(H2295,'Query Tool'!C:C,0))</f>
        <v>1</v>
      </c>
      <c r="U2295" s="161" t="b">
        <f t="array" ref="U2295">index('Query Tool'!B:B,match(C2295,'Query Tool'!C:C,0))</f>
        <v>0</v>
      </c>
      <c r="V2295" s="161" t="b">
        <f>F2295&gt;='Query Tool'!C$32</f>
        <v>1</v>
      </c>
      <c r="W2295" s="161" t="b">
        <f t="array" ref="W2295">index(Dropdowns!B:B,match(I2295,Dropdowns!A:A,0))</f>
        <v>1</v>
      </c>
      <c r="X2295" s="161" t="b">
        <f t="array" ref="X2295">index('Query Tool'!B:B,match(D2295,'Query Tool'!C:C,0))</f>
        <v>1</v>
      </c>
      <c r="Y2295" s="161" t="str">
        <f t="shared" si="6"/>
        <v>connapa01,2017-18</v>
      </c>
      <c r="Z2295" s="168">
        <f t="array" ref="Z2295">iferror(index(I:I,match($A2295&amp;","&amp;index('Year Conversion'!$A:$A,match($C2295,'Year Conversion'!$B:$B,0)),$Y:$Y,0))-I2295,"")</f>
        <v>1</v>
      </c>
      <c r="AA2295" s="168">
        <f t="array" ref="AA2295">iferror(index(J:J,match($A2295&amp;","&amp;index('Year Conversion'!$A:$A,match($C2295,'Year Conversion'!$B:$B,0)),$Y:$Y,0))-J2295,"")</f>
        <v>1.336057615</v>
      </c>
      <c r="AB2295" s="168">
        <f t="array" ref="AB2295">iferror(index(K:K,match($A2295&amp;","&amp;index('Year Conversion'!$A:$A,match($C2295,'Year Conversion'!$B:$B,0)),$Y:$Y,0))-K2295,"")</f>
        <v>0.8980980922</v>
      </c>
      <c r="AC2295" s="168" t="str">
        <f t="shared" si="7"/>
        <v>POR,2017-18</v>
      </c>
    </row>
    <row r="2296">
      <c r="A2296" s="161" t="str">
        <f>IFERROR(__xludf.DUMMYFUNCTION("""COMPUTED_VALUE"""),"hernawi01")</f>
        <v>hernawi01</v>
      </c>
      <c r="B2296" s="161" t="str">
        <f>IFERROR(__xludf.DUMMYFUNCTION("""COMPUTED_VALUE"""),"Willy Hernangomez")</f>
        <v>Willy Hernangomez</v>
      </c>
      <c r="C2296" s="162" t="str">
        <f>IFERROR(__xludf.DUMMYFUNCTION("""COMPUTED_VALUE"""),"2017-18")</f>
        <v>2017-18</v>
      </c>
      <c r="D2296" s="163" t="str">
        <f>IFERROR(__xludf.DUMMYFUNCTION("""COMPUTED_VALUE"""),"TOT")</f>
        <v>TOT</v>
      </c>
      <c r="E2296" s="164" t="str">
        <f>IFERROR(__xludf.DUMMYFUNCTION("""COMPUTED_VALUE"""),"Post Scorer")</f>
        <v>Post Scorer</v>
      </c>
      <c r="F2296" s="164">
        <f>IFERROR(__xludf.DUMMYFUNCTION("""COMPUTED_VALUE"""),494.325)</f>
        <v>494.325</v>
      </c>
      <c r="G2296" s="163">
        <f>IFERROR(__xludf.DUMMYFUNCTION("""COMPUTED_VALUE"""),48.0)</f>
        <v>48</v>
      </c>
      <c r="H2296" s="163" t="str">
        <f>IFERROR(__xludf.DUMMYFUNCTION("""COMPUTED_VALUE"""),"C")</f>
        <v>C</v>
      </c>
      <c r="I2296" s="163">
        <f>IFERROR(__xludf.DUMMYFUNCTION("""COMPUTED_VALUE"""),23.0)</f>
        <v>23</v>
      </c>
      <c r="J2296" s="165">
        <f>IFERROR(__xludf.DUMMYFUNCTION("""COMPUTED_VALUE"""),0.815789157126279)</f>
        <v>0.8157891571</v>
      </c>
      <c r="K2296" s="165">
        <f>IFERROR(__xludf.DUMMYFUNCTION("""COMPUTED_VALUE"""),-0.224801309712878)</f>
        <v>-0.2248013097</v>
      </c>
      <c r="L2296" s="165">
        <f>IFERROR(__xludf.DUMMYFUNCTION("""COMPUTED_VALUE"""),1.04059046683916)</f>
        <v>1.040590467</v>
      </c>
      <c r="M2296" s="166">
        <f t="shared" si="2"/>
        <v>1.033710437</v>
      </c>
      <c r="N2296" s="167">
        <f t="shared" si="3"/>
        <v>10.2984375</v>
      </c>
      <c r="O2296" s="163">
        <f t="shared" ref="O2296:Q2296" si="2300">rank(I2296,I:I)</f>
        <v>2765</v>
      </c>
      <c r="P2296" s="163">
        <f t="shared" si="2300"/>
        <v>730</v>
      </c>
      <c r="Q2296" s="163">
        <f t="shared" si="2300"/>
        <v>1607</v>
      </c>
      <c r="R2296" s="163">
        <f>IFERROR(__xludf.DUMMYFUNCTION("RANK(M2296,filter(M:M,C:C=C2296))"),233.0)</f>
        <v>233</v>
      </c>
      <c r="S2296" s="161" t="b">
        <f t="shared" si="5"/>
        <v>0</v>
      </c>
      <c r="T2296" s="161" t="b">
        <f t="array" ref="T2296">index('Query Tool'!B:B,match(H2296,'Query Tool'!C:C,0))</f>
        <v>1</v>
      </c>
      <c r="U2296" s="161" t="b">
        <f t="array" ref="U2296">index('Query Tool'!B:B,match(C2296,'Query Tool'!C:C,0))</f>
        <v>0</v>
      </c>
      <c r="V2296" s="161" t="b">
        <f>F2296&gt;='Query Tool'!C$32</f>
        <v>0</v>
      </c>
      <c r="W2296" s="161" t="b">
        <f t="array" ref="W2296">index(Dropdowns!B:B,match(I2296,Dropdowns!A:A,0))</f>
        <v>1</v>
      </c>
      <c r="X2296" s="161" t="b">
        <f t="array" ref="X2296">index('Query Tool'!B:B,match(D2296,'Query Tool'!C:C,0))</f>
        <v>1</v>
      </c>
      <c r="Y2296" s="161" t="str">
        <f t="shared" si="6"/>
        <v>hernawi01,2017-18</v>
      </c>
      <c r="Z2296" s="168">
        <f t="array" ref="Z2296">iferror(index(I:I,match($A2296&amp;","&amp;index('Year Conversion'!$A:$A,match($C2296,'Year Conversion'!$B:$B,0)),$Y:$Y,0))-I2296,"")</f>
        <v>1</v>
      </c>
      <c r="AA2296" s="168">
        <f t="array" ref="AA2296">iferror(index(J:J,match($A2296&amp;","&amp;index('Year Conversion'!$A:$A,match($C2296,'Year Conversion'!$B:$B,0)),$Y:$Y,0))-J2296,"")</f>
        <v>-1.614871079</v>
      </c>
      <c r="AB2296" s="168">
        <f t="array" ref="AB2296">iferror(index(K:K,match($A2296&amp;","&amp;index('Year Conversion'!$A:$A,match($C2296,'Year Conversion'!$B:$B,0)),$Y:$Y,0))-K2296,"")</f>
        <v>0.6551325406</v>
      </c>
      <c r="AC2296" s="168" t="str">
        <f t="shared" si="7"/>
        <v>TOT,2017-18</v>
      </c>
    </row>
    <row r="2297">
      <c r="A2297" s="161" t="str">
        <f>IFERROR(__xludf.DUMMYFUNCTION("""COMPUTED_VALUE"""),"richajo01")</f>
        <v>richajo01</v>
      </c>
      <c r="B2297" s="161" t="str">
        <f>IFERROR(__xludf.DUMMYFUNCTION("""COMPUTED_VALUE"""),"Josh Richardson")</f>
        <v>Josh Richardson</v>
      </c>
      <c r="C2297" s="162" t="str">
        <f>IFERROR(__xludf.DUMMYFUNCTION("""COMPUTED_VALUE"""),"2017-18")</f>
        <v>2017-18</v>
      </c>
      <c r="D2297" s="163" t="str">
        <f>IFERROR(__xludf.DUMMYFUNCTION("""COMPUTED_VALUE"""),"MIA")</f>
        <v>MIA</v>
      </c>
      <c r="E2297" s="164" t="str">
        <f>IFERROR(__xludf.DUMMYFUNCTION("""COMPUTED_VALUE"""),"Movement Shooter")</f>
        <v>Movement Shooter</v>
      </c>
      <c r="F2297" s="164">
        <f>IFERROR(__xludf.DUMMYFUNCTION("""COMPUTED_VALUE"""),2689.475)</f>
        <v>2689.475</v>
      </c>
      <c r="G2297" s="163">
        <f>IFERROR(__xludf.DUMMYFUNCTION("""COMPUTED_VALUE"""),81.0)</f>
        <v>81</v>
      </c>
      <c r="H2297" s="163" t="str">
        <f>IFERROR(__xludf.DUMMYFUNCTION("""COMPUTED_VALUE"""),"SF")</f>
        <v>SF</v>
      </c>
      <c r="I2297" s="163">
        <f>IFERROR(__xludf.DUMMYFUNCTION("""COMPUTED_VALUE"""),24.0)</f>
        <v>24</v>
      </c>
      <c r="J2297" s="165">
        <f>IFERROR(__xludf.DUMMYFUNCTION("""COMPUTED_VALUE"""),0.721264829082334)</f>
        <v>0.7212648291</v>
      </c>
      <c r="K2297" s="165">
        <f>IFERROR(__xludf.DUMMYFUNCTION("""COMPUTED_VALUE"""),-0.749242219551907)</f>
        <v>-0.7492422196</v>
      </c>
      <c r="L2297" s="165">
        <f>IFERROR(__xludf.DUMMYFUNCTION("""COMPUTED_VALUE"""),1.47050704863424)</f>
        <v>1.470507049</v>
      </c>
      <c r="M2297" s="166">
        <f t="shared" si="2"/>
        <v>5.453139044</v>
      </c>
      <c r="N2297" s="167">
        <f t="shared" si="3"/>
        <v>33.20339506</v>
      </c>
      <c r="O2297" s="163">
        <f t="shared" ref="O2297:Q2297" si="2301">rank(I2297,I:I)</f>
        <v>2361</v>
      </c>
      <c r="P2297" s="163">
        <f t="shared" si="2301"/>
        <v>780</v>
      </c>
      <c r="Q2297" s="163">
        <f t="shared" si="2301"/>
        <v>2477</v>
      </c>
      <c r="R2297" s="163">
        <f>IFERROR(__xludf.DUMMYFUNCTION("RANK(M2297,filter(M:M,C:C=C2297))"),45.0)</f>
        <v>45</v>
      </c>
      <c r="S2297" s="161" t="b">
        <f t="shared" si="5"/>
        <v>0</v>
      </c>
      <c r="T2297" s="161" t="b">
        <f t="array" ref="T2297">index('Query Tool'!B:B,match(H2297,'Query Tool'!C:C,0))</f>
        <v>1</v>
      </c>
      <c r="U2297" s="161" t="b">
        <f t="array" ref="U2297">index('Query Tool'!B:B,match(C2297,'Query Tool'!C:C,0))</f>
        <v>0</v>
      </c>
      <c r="V2297" s="161" t="b">
        <f>F2297&gt;='Query Tool'!C$32</f>
        <v>1</v>
      </c>
      <c r="W2297" s="161" t="b">
        <f t="array" ref="W2297">index(Dropdowns!B:B,match(I2297,Dropdowns!A:A,0))</f>
        <v>1</v>
      </c>
      <c r="X2297" s="161" t="b">
        <f t="array" ref="X2297">index('Query Tool'!B:B,match(D2297,'Query Tool'!C:C,0))</f>
        <v>1</v>
      </c>
      <c r="Y2297" s="161" t="str">
        <f t="shared" si="6"/>
        <v>richajo01,2017-18</v>
      </c>
      <c r="Z2297" s="168">
        <f t="array" ref="Z2297">iferror(index(I:I,match($A2297&amp;","&amp;index('Year Conversion'!$A:$A,match($C2297,'Year Conversion'!$B:$B,0)),$Y:$Y,0))-I2297,"")</f>
        <v>1</v>
      </c>
      <c r="AA2297" s="168">
        <f t="array" ref="AA2297">iferror(index(J:J,match($A2297&amp;","&amp;index('Year Conversion'!$A:$A,match($C2297,'Year Conversion'!$B:$B,0)),$Y:$Y,0))-J2297,"")</f>
        <v>-0.3216774252</v>
      </c>
      <c r="AB2297" s="168">
        <f t="array" ref="AB2297">iferror(index(K:K,match($A2297&amp;","&amp;index('Year Conversion'!$A:$A,match($C2297,'Year Conversion'!$B:$B,0)),$Y:$Y,0))-K2297,"")</f>
        <v>0.7799884182</v>
      </c>
      <c r="AC2297" s="168" t="str">
        <f t="shared" si="7"/>
        <v>MIA,2017-18</v>
      </c>
    </row>
    <row r="2298">
      <c r="A2298" s="161" t="str">
        <f>IFERROR(__xludf.DUMMYFUNCTION("""COMPUTED_VALUE"""),"hillida01")</f>
        <v>hillida01</v>
      </c>
      <c r="B2298" s="161" t="str">
        <f>IFERROR(__xludf.DUMMYFUNCTION("""COMPUTED_VALUE"""),"Darrun Hilliard")</f>
        <v>Darrun Hilliard</v>
      </c>
      <c r="C2298" s="162" t="str">
        <f>IFERROR(__xludf.DUMMYFUNCTION("""COMPUTED_VALUE"""),"2017-18")</f>
        <v>2017-18</v>
      </c>
      <c r="D2298" s="163" t="str">
        <f>IFERROR(__xludf.DUMMYFUNCTION("""COMPUTED_VALUE"""),"SAS")</f>
        <v>SAS</v>
      </c>
      <c r="E2298" s="164" t="str">
        <f>IFERROR(__xludf.DUMMYFUNCTION("""COMPUTED_VALUE"""),"Movement Shooter")</f>
        <v>Movement Shooter</v>
      </c>
      <c r="F2298" s="164">
        <f>IFERROR(__xludf.DUMMYFUNCTION("""COMPUTED_VALUE"""),95.195)</f>
        <v>95.195</v>
      </c>
      <c r="G2298" s="163">
        <f>IFERROR(__xludf.DUMMYFUNCTION("""COMPUTED_VALUE"""),14.0)</f>
        <v>14</v>
      </c>
      <c r="H2298" s="163" t="str">
        <f>IFERROR(__xludf.DUMMYFUNCTION("""COMPUTED_VALUE"""),"SG")</f>
        <v>SG</v>
      </c>
      <c r="I2298" s="163">
        <f>IFERROR(__xludf.DUMMYFUNCTION("""COMPUTED_VALUE"""),24.0)</f>
        <v>24</v>
      </c>
      <c r="J2298" s="165">
        <f>IFERROR(__xludf.DUMMYFUNCTION("""COMPUTED_VALUE"""),-1.03818596651019)</f>
        <v>-1.038185967</v>
      </c>
      <c r="K2298" s="165">
        <f>IFERROR(__xludf.DUMMYFUNCTION("""COMPUTED_VALUE"""),-0.357422090829586)</f>
        <v>-0.3574220908</v>
      </c>
      <c r="L2298" s="165">
        <f>IFERROR(__xludf.DUMMYFUNCTION("""COMPUTED_VALUE"""),-0.680763875680604)</f>
        <v>-0.6807638757</v>
      </c>
      <c r="M2298" s="166">
        <f t="shared" si="2"/>
        <v>0.08022828953</v>
      </c>
      <c r="N2298" s="167">
        <f t="shared" si="3"/>
        <v>6.799642857</v>
      </c>
      <c r="O2298" s="163">
        <f t="shared" ref="O2298:Q2298" si="2302">rank(I2298,I:I)</f>
        <v>2361</v>
      </c>
      <c r="P2298" s="163">
        <f t="shared" si="2302"/>
        <v>2542</v>
      </c>
      <c r="Q2298" s="163">
        <f t="shared" si="2302"/>
        <v>1870</v>
      </c>
      <c r="R2298" s="163">
        <f>IFERROR(__xludf.DUMMYFUNCTION("RANK(M2298,filter(M:M,C:C=C2298))"),409.0)</f>
        <v>409</v>
      </c>
      <c r="S2298" s="161" t="b">
        <f t="shared" si="5"/>
        <v>0</v>
      </c>
      <c r="T2298" s="161" t="b">
        <f t="array" ref="T2298">index('Query Tool'!B:B,match(H2298,'Query Tool'!C:C,0))</f>
        <v>1</v>
      </c>
      <c r="U2298" s="161" t="b">
        <f t="array" ref="U2298">index('Query Tool'!B:B,match(C2298,'Query Tool'!C:C,0))</f>
        <v>0</v>
      </c>
      <c r="V2298" s="161" t="b">
        <f>F2298&gt;='Query Tool'!C$32</f>
        <v>0</v>
      </c>
      <c r="W2298" s="161" t="b">
        <f t="array" ref="W2298">index(Dropdowns!B:B,match(I2298,Dropdowns!A:A,0))</f>
        <v>1</v>
      </c>
      <c r="X2298" s="161" t="b">
        <f t="array" ref="X2298">index('Query Tool'!B:B,match(D2298,'Query Tool'!C:C,0))</f>
        <v>1</v>
      </c>
      <c r="Y2298" s="161" t="str">
        <f t="shared" si="6"/>
        <v>hillida01,2017-18</v>
      </c>
      <c r="Z2298" s="168" t="str">
        <f t="array" ref="Z2298">iferror(index(I:I,match($A2298&amp;","&amp;index('Year Conversion'!$A:$A,match($C2298,'Year Conversion'!$B:$B,0)),$Y:$Y,0))-I2298,"")</f>
        <v/>
      </c>
      <c r="AA2298" s="168" t="str">
        <f t="array" ref="AA2298">iferror(index(J:J,match($A2298&amp;","&amp;index('Year Conversion'!$A:$A,match($C2298,'Year Conversion'!$B:$B,0)),$Y:$Y,0))-J2298,"")</f>
        <v/>
      </c>
      <c r="AB2298" s="168" t="str">
        <f t="array" ref="AB2298">iferror(index(K:K,match($A2298&amp;","&amp;index('Year Conversion'!$A:$A,match($C2298,'Year Conversion'!$B:$B,0)),$Y:$Y,0))-K2298,"")</f>
        <v/>
      </c>
      <c r="AC2298" s="168" t="str">
        <f t="shared" si="7"/>
        <v>SAS,2017-18</v>
      </c>
    </row>
    <row r="2299">
      <c r="A2299" s="161" t="str">
        <f>IFERROR(__xludf.DUMMYFUNCTION("""COMPUTED_VALUE"""),"youngjo01")</f>
        <v>youngjo01</v>
      </c>
      <c r="B2299" s="161" t="str">
        <f>IFERROR(__xludf.DUMMYFUNCTION("""COMPUTED_VALUE"""),"Joe Young")</f>
        <v>Joe Young</v>
      </c>
      <c r="C2299" s="162" t="str">
        <f>IFERROR(__xludf.DUMMYFUNCTION("""COMPUTED_VALUE"""),"2017-18")</f>
        <v>2017-18</v>
      </c>
      <c r="D2299" s="163" t="str">
        <f>IFERROR(__xludf.DUMMYFUNCTION("""COMPUTED_VALUE"""),"IND")</f>
        <v>IND</v>
      </c>
      <c r="E2299" s="164" t="str">
        <f>IFERROR(__xludf.DUMMYFUNCTION("""COMPUTED_VALUE"""),"Secondary Ball Handler")</f>
        <v>Secondary Ball Handler</v>
      </c>
      <c r="F2299" s="164">
        <f>IFERROR(__xludf.DUMMYFUNCTION("""COMPUTED_VALUE"""),558.116666666666)</f>
        <v>558.1166667</v>
      </c>
      <c r="G2299" s="163">
        <f>IFERROR(__xludf.DUMMYFUNCTION("""COMPUTED_VALUE"""),53.0)</f>
        <v>53</v>
      </c>
      <c r="H2299" s="163" t="str">
        <f>IFERROR(__xludf.DUMMYFUNCTION("""COMPUTED_VALUE"""),"PG")</f>
        <v>PG</v>
      </c>
      <c r="I2299" s="163">
        <f>IFERROR(__xludf.DUMMYFUNCTION("""COMPUTED_VALUE"""),25.0)</f>
        <v>25</v>
      </c>
      <c r="J2299" s="165">
        <f>IFERROR(__xludf.DUMMYFUNCTION("""COMPUTED_VALUE"""),-3.51343772468861)</f>
        <v>-3.513437725</v>
      </c>
      <c r="K2299" s="165">
        <f>IFERROR(__xludf.DUMMYFUNCTION("""COMPUTED_VALUE"""),-1.52826171989747)</f>
        <v>-1.52826172</v>
      </c>
      <c r="L2299" s="165">
        <f>IFERROR(__xludf.DUMMYFUNCTION("""COMPUTED_VALUE"""),-1.98517600479113)</f>
        <v>-1.985176005</v>
      </c>
      <c r="M2299" s="166">
        <f t="shared" si="2"/>
        <v>-0.4393797636</v>
      </c>
      <c r="N2299" s="167">
        <f t="shared" si="3"/>
        <v>10.53050314</v>
      </c>
      <c r="O2299" s="163">
        <f t="shared" ref="O2299:Q2299" si="2303">rank(I2299,I:I)</f>
        <v>1995</v>
      </c>
      <c r="P2299" s="163">
        <f t="shared" si="2303"/>
        <v>3963</v>
      </c>
      <c r="Q2299" s="163">
        <f t="shared" si="2303"/>
        <v>3386</v>
      </c>
      <c r="R2299" s="163">
        <f>IFERROR(__xludf.DUMMYFUNCTION("RANK(M2299,filter(M:M,C:C=C2299))"),522.0)</f>
        <v>522</v>
      </c>
      <c r="S2299" s="161" t="b">
        <f t="shared" si="5"/>
        <v>0</v>
      </c>
      <c r="T2299" s="161" t="b">
        <f t="array" ref="T2299">index('Query Tool'!B:B,match(H2299,'Query Tool'!C:C,0))</f>
        <v>1</v>
      </c>
      <c r="U2299" s="161" t="b">
        <f t="array" ref="U2299">index('Query Tool'!B:B,match(C2299,'Query Tool'!C:C,0))</f>
        <v>0</v>
      </c>
      <c r="V2299" s="161" t="b">
        <f>F2299&gt;='Query Tool'!C$32</f>
        <v>1</v>
      </c>
      <c r="W2299" s="161" t="b">
        <f t="array" ref="W2299">index(Dropdowns!B:B,match(I2299,Dropdowns!A:A,0))</f>
        <v>1</v>
      </c>
      <c r="X2299" s="161" t="b">
        <f t="array" ref="X2299">index('Query Tool'!B:B,match(D2299,'Query Tool'!C:C,0))</f>
        <v>1</v>
      </c>
      <c r="Y2299" s="161" t="str">
        <f t="shared" si="6"/>
        <v>youngjo01,2017-18</v>
      </c>
      <c r="Z2299" s="168" t="str">
        <f t="array" ref="Z2299">iferror(index(I:I,match($A2299&amp;","&amp;index('Year Conversion'!$A:$A,match($C2299,'Year Conversion'!$B:$B,0)),$Y:$Y,0))-I2299,"")</f>
        <v/>
      </c>
      <c r="AA2299" s="168" t="str">
        <f t="array" ref="AA2299">iferror(index(J:J,match($A2299&amp;","&amp;index('Year Conversion'!$A:$A,match($C2299,'Year Conversion'!$B:$B,0)),$Y:$Y,0))-J2299,"")</f>
        <v/>
      </c>
      <c r="AB2299" s="168" t="str">
        <f t="array" ref="AB2299">iferror(index(K:K,match($A2299&amp;","&amp;index('Year Conversion'!$A:$A,match($C2299,'Year Conversion'!$B:$B,0)),$Y:$Y,0))-K2299,"")</f>
        <v/>
      </c>
      <c r="AC2299" s="168" t="str">
        <f t="shared" si="7"/>
        <v>IND,2017-18</v>
      </c>
    </row>
    <row r="2300">
      <c r="A2300" s="161" t="str">
        <f>IFERROR(__xludf.DUMMYFUNCTION("""COMPUTED_VALUE"""),"grahatr01")</f>
        <v>grahatr01</v>
      </c>
      <c r="B2300" s="161" t="str">
        <f>IFERROR(__xludf.DUMMYFUNCTION("""COMPUTED_VALUE"""),"Treveon Graham")</f>
        <v>Treveon Graham</v>
      </c>
      <c r="C2300" s="162" t="str">
        <f>IFERROR(__xludf.DUMMYFUNCTION("""COMPUTED_VALUE"""),"2017-18")</f>
        <v>2017-18</v>
      </c>
      <c r="D2300" s="163" t="str">
        <f>IFERROR(__xludf.DUMMYFUNCTION("""COMPUTED_VALUE"""),"CHO")</f>
        <v>CHO</v>
      </c>
      <c r="E2300" s="164" t="str">
        <f>IFERROR(__xludf.DUMMYFUNCTION("""COMPUTED_VALUE"""),"Movement Shooter")</f>
        <v>Movement Shooter</v>
      </c>
      <c r="F2300" s="164">
        <f>IFERROR(__xludf.DUMMYFUNCTION("""COMPUTED_VALUE"""),1049.53833333333)</f>
        <v>1049.538333</v>
      </c>
      <c r="G2300" s="163">
        <f>IFERROR(__xludf.DUMMYFUNCTION("""COMPUTED_VALUE"""),63.0)</f>
        <v>63</v>
      </c>
      <c r="H2300" s="163" t="str">
        <f>IFERROR(__xludf.DUMMYFUNCTION("""COMPUTED_VALUE"""),"SG")</f>
        <v>SG</v>
      </c>
      <c r="I2300" s="163">
        <f>IFERROR(__xludf.DUMMYFUNCTION("""COMPUTED_VALUE"""),24.0)</f>
        <v>24</v>
      </c>
      <c r="J2300" s="165">
        <f>IFERROR(__xludf.DUMMYFUNCTION("""COMPUTED_VALUE"""),-2.17124106766263)</f>
        <v>-2.171241068</v>
      </c>
      <c r="K2300" s="165">
        <f>IFERROR(__xludf.DUMMYFUNCTION("""COMPUTED_VALUE"""),-1.95479687744126)</f>
        <v>-1.954796877</v>
      </c>
      <c r="L2300" s="165">
        <f>IFERROR(__xludf.DUMMYFUNCTION("""COMPUTED_VALUE"""),-0.216444190221368)</f>
        <v>-0.2164441902</v>
      </c>
      <c r="M2300" s="166">
        <f t="shared" si="2"/>
        <v>0.09167726509</v>
      </c>
      <c r="N2300" s="167">
        <f t="shared" si="3"/>
        <v>16.65933862</v>
      </c>
      <c r="O2300" s="163">
        <f t="shared" ref="O2300:Q2300" si="2304">rank(I2300,I:I)</f>
        <v>2361</v>
      </c>
      <c r="P2300" s="163">
        <f t="shared" si="2304"/>
        <v>3594</v>
      </c>
      <c r="Q2300" s="163">
        <f t="shared" si="2304"/>
        <v>3689</v>
      </c>
      <c r="R2300" s="163">
        <f>IFERROR(__xludf.DUMMYFUNCTION("RANK(M2300,filter(M:M,C:C=C2300))"),403.0)</f>
        <v>403</v>
      </c>
      <c r="S2300" s="161" t="b">
        <f t="shared" si="5"/>
        <v>0</v>
      </c>
      <c r="T2300" s="161" t="b">
        <f t="array" ref="T2300">index('Query Tool'!B:B,match(H2300,'Query Tool'!C:C,0))</f>
        <v>1</v>
      </c>
      <c r="U2300" s="161" t="b">
        <f t="array" ref="U2300">index('Query Tool'!B:B,match(C2300,'Query Tool'!C:C,0))</f>
        <v>0</v>
      </c>
      <c r="V2300" s="161" t="b">
        <f>F2300&gt;='Query Tool'!C$32</f>
        <v>1</v>
      </c>
      <c r="W2300" s="161" t="b">
        <f t="array" ref="W2300">index(Dropdowns!B:B,match(I2300,Dropdowns!A:A,0))</f>
        <v>1</v>
      </c>
      <c r="X2300" s="161" t="b">
        <f t="array" ref="X2300">index('Query Tool'!B:B,match(D2300,'Query Tool'!C:C,0))</f>
        <v>1</v>
      </c>
      <c r="Y2300" s="161" t="str">
        <f t="shared" si="6"/>
        <v>grahatr01,2017-18</v>
      </c>
      <c r="Z2300" s="168">
        <f t="array" ref="Z2300">iferror(index(I:I,match($A2300&amp;","&amp;index('Year Conversion'!$A:$A,match($C2300,'Year Conversion'!$B:$B,0)),$Y:$Y,0))-I2300,"")</f>
        <v>1</v>
      </c>
      <c r="AA2300" s="168">
        <f t="array" ref="AA2300">iferror(index(J:J,match($A2300&amp;","&amp;index('Year Conversion'!$A:$A,match($C2300,'Year Conversion'!$B:$B,0)),$Y:$Y,0))-J2300,"")</f>
        <v>1.031176299</v>
      </c>
      <c r="AB2300" s="168">
        <f t="array" ref="AB2300">iferror(index(K:K,match($A2300&amp;","&amp;index('Year Conversion'!$A:$A,match($C2300,'Year Conversion'!$B:$B,0)),$Y:$Y,0))-K2300,"")</f>
        <v>1.050183646</v>
      </c>
      <c r="AC2300" s="168" t="str">
        <f t="shared" si="7"/>
        <v>CHO,2017-18</v>
      </c>
    </row>
    <row r="2301">
      <c r="A2301" s="161" t="str">
        <f>IFERROR(__xludf.DUMMYFUNCTION("""COMPUTED_VALUE"""),"nancela02")</f>
        <v>nancela02</v>
      </c>
      <c r="B2301" s="161" t="str">
        <f>IFERROR(__xludf.DUMMYFUNCTION("""COMPUTED_VALUE"""),"Larry Nance Jr.")</f>
        <v>Larry Nance Jr.</v>
      </c>
      <c r="C2301" s="162" t="str">
        <f>IFERROR(__xludf.DUMMYFUNCTION("""COMPUTED_VALUE"""),"2017-18")</f>
        <v>2017-18</v>
      </c>
      <c r="D2301" s="163" t="str">
        <f>IFERROR(__xludf.DUMMYFUNCTION("""COMPUTED_VALUE"""),"TOT")</f>
        <v>TOT</v>
      </c>
      <c r="E2301" s="164" t="str">
        <f>IFERROR(__xludf.DUMMYFUNCTION("""COMPUTED_VALUE"""),"Roll + Cut Big")</f>
        <v>Roll + Cut Big</v>
      </c>
      <c r="F2301" s="164">
        <f>IFERROR(__xludf.DUMMYFUNCTION("""COMPUTED_VALUE"""),1420.51833333333)</f>
        <v>1420.518333</v>
      </c>
      <c r="G2301" s="163">
        <f>IFERROR(__xludf.DUMMYFUNCTION("""COMPUTED_VALUE"""),66.0)</f>
        <v>66</v>
      </c>
      <c r="H2301" s="163" t="str">
        <f>IFERROR(__xludf.DUMMYFUNCTION("""COMPUTED_VALUE"""),"C")</f>
        <v>C</v>
      </c>
      <c r="I2301" s="163">
        <f>IFERROR(__xludf.DUMMYFUNCTION("""COMPUTED_VALUE"""),25.0)</f>
        <v>25</v>
      </c>
      <c r="J2301" s="165">
        <f>IFERROR(__xludf.DUMMYFUNCTION("""COMPUTED_VALUE"""),1.60123694152553)</f>
        <v>1.601236942</v>
      </c>
      <c r="K2301" s="165">
        <f>IFERROR(__xludf.DUMMYFUNCTION("""COMPUTED_VALUE"""),-0.00327354449895901)</f>
        <v>-0.003273544499</v>
      </c>
      <c r="L2301" s="165">
        <f>IFERROR(__xludf.DUMMYFUNCTION("""COMPUTED_VALUE"""),1.60451048602449)</f>
        <v>1.604510486</v>
      </c>
      <c r="M2301" s="166">
        <f t="shared" si="2"/>
        <v>3.718029931</v>
      </c>
      <c r="N2301" s="167">
        <f t="shared" si="3"/>
        <v>21.52300505</v>
      </c>
      <c r="O2301" s="163">
        <f t="shared" ref="O2301:Q2301" si="2305">rank(I2301,I:I)</f>
        <v>1995</v>
      </c>
      <c r="P2301" s="163">
        <f t="shared" si="2305"/>
        <v>430</v>
      </c>
      <c r="Q2301" s="163">
        <f t="shared" si="2305"/>
        <v>1206</v>
      </c>
      <c r="R2301" s="163">
        <f>IFERROR(__xludf.DUMMYFUNCTION("RANK(M2301,filter(M:M,C:C=C2301))"),96.0)</f>
        <v>96</v>
      </c>
      <c r="S2301" s="161" t="b">
        <f t="shared" si="5"/>
        <v>0</v>
      </c>
      <c r="T2301" s="161" t="b">
        <f t="array" ref="T2301">index('Query Tool'!B:B,match(H2301,'Query Tool'!C:C,0))</f>
        <v>1</v>
      </c>
      <c r="U2301" s="161" t="b">
        <f t="array" ref="U2301">index('Query Tool'!B:B,match(C2301,'Query Tool'!C:C,0))</f>
        <v>0</v>
      </c>
      <c r="V2301" s="161" t="b">
        <f>F2301&gt;='Query Tool'!C$32</f>
        <v>1</v>
      </c>
      <c r="W2301" s="161" t="b">
        <f t="array" ref="W2301">index(Dropdowns!B:B,match(I2301,Dropdowns!A:A,0))</f>
        <v>1</v>
      </c>
      <c r="X2301" s="161" t="b">
        <f t="array" ref="X2301">index('Query Tool'!B:B,match(D2301,'Query Tool'!C:C,0))</f>
        <v>1</v>
      </c>
      <c r="Y2301" s="161" t="str">
        <f t="shared" si="6"/>
        <v>nancela02,2017-18</v>
      </c>
      <c r="Z2301" s="168">
        <f t="array" ref="Z2301">iferror(index(I:I,match($A2301&amp;","&amp;index('Year Conversion'!$A:$A,match($C2301,'Year Conversion'!$B:$B,0)),$Y:$Y,0))-I2301,"")</f>
        <v>1</v>
      </c>
      <c r="AA2301" s="168">
        <f t="array" ref="AA2301">iferror(index(J:J,match($A2301&amp;","&amp;index('Year Conversion'!$A:$A,match($C2301,'Year Conversion'!$B:$B,0)),$Y:$Y,0))-J2301,"")</f>
        <v>-0.9176533125</v>
      </c>
      <c r="AB2301" s="168">
        <f t="array" ref="AB2301">iferror(index(K:K,match($A2301&amp;","&amp;index('Year Conversion'!$A:$A,match($C2301,'Year Conversion'!$B:$B,0)),$Y:$Y,0))-K2301,"")</f>
        <v>-0.1623805062</v>
      </c>
      <c r="AC2301" s="168" t="str">
        <f t="shared" si="7"/>
        <v>TOT,2017-18</v>
      </c>
    </row>
    <row r="2302">
      <c r="A2302" s="161" t="str">
        <f>IFERROR(__xludf.DUMMYFUNCTION("""COMPUTED_VALUE"""),"huntevi01")</f>
        <v>huntevi01</v>
      </c>
      <c r="B2302" s="161" t="str">
        <f>IFERROR(__xludf.DUMMYFUNCTION("""COMPUTED_VALUE"""),"Vincent Hunter")</f>
        <v>Vincent Hunter</v>
      </c>
      <c r="C2302" s="162" t="str">
        <f>IFERROR(__xludf.DUMMYFUNCTION("""COMPUTED_VALUE"""),"2017-18")</f>
        <v>2017-18</v>
      </c>
      <c r="D2302" s="163" t="str">
        <f>IFERROR(__xludf.DUMMYFUNCTION("""COMPUTED_VALUE"""),"MEM")</f>
        <v>MEM</v>
      </c>
      <c r="E2302" s="164" t="str">
        <f>IFERROR(__xludf.DUMMYFUNCTION("""COMPUTED_VALUE"""),"Post Scorer")</f>
        <v>Post Scorer</v>
      </c>
      <c r="F2302" s="164">
        <f>IFERROR(__xludf.DUMMYFUNCTION("""COMPUTED_VALUE"""),7.40666666666667)</f>
        <v>7.406666667</v>
      </c>
      <c r="G2302" s="163">
        <f>IFERROR(__xludf.DUMMYFUNCTION("""COMPUTED_VALUE"""),4.0)</f>
        <v>4</v>
      </c>
      <c r="H2302" s="163" t="str">
        <f>IFERROR(__xludf.DUMMYFUNCTION("""COMPUTED_VALUE"""),"PF")</f>
        <v>PF</v>
      </c>
      <c r="I2302" s="163">
        <f>IFERROR(__xludf.DUMMYFUNCTION("""COMPUTED_VALUE"""),23.0)</f>
        <v>23</v>
      </c>
      <c r="J2302" s="165">
        <f>IFERROR(__xludf.DUMMYFUNCTION("""COMPUTED_VALUE"""),0.0288302009815081)</f>
        <v>0.02883020098</v>
      </c>
      <c r="K2302" s="165">
        <f>IFERROR(__xludf.DUMMYFUNCTION("""COMPUTED_VALUE"""),0.0569466085816578)</f>
        <v>0.05694660858</v>
      </c>
      <c r="L2302" s="165">
        <f>IFERROR(__xludf.DUMMYFUNCTION("""COMPUTED_VALUE"""),-0.0281164076001497)</f>
        <v>-0.0281164076</v>
      </c>
      <c r="M2302" s="166">
        <f t="shared" si="2"/>
        <v>0.01156257453</v>
      </c>
      <c r="N2302" s="167">
        <f t="shared" si="3"/>
        <v>1.851666667</v>
      </c>
      <c r="O2302" s="163">
        <f t="shared" ref="O2302:Q2302" si="2306">rank(I2302,I:I)</f>
        <v>2765</v>
      </c>
      <c r="P2302" s="163">
        <f t="shared" si="2306"/>
        <v>1264</v>
      </c>
      <c r="Q2302" s="163">
        <f t="shared" si="2306"/>
        <v>1123</v>
      </c>
      <c r="R2302" s="163">
        <f>IFERROR(__xludf.DUMMYFUNCTION("RANK(M2302,filter(M:M,C:C=C2302))"),473.0)</f>
        <v>473</v>
      </c>
      <c r="S2302" s="161" t="b">
        <f t="shared" si="5"/>
        <v>0</v>
      </c>
      <c r="T2302" s="161" t="b">
        <f t="array" ref="T2302">index('Query Tool'!B:B,match(H2302,'Query Tool'!C:C,0))</f>
        <v>1</v>
      </c>
      <c r="U2302" s="161" t="b">
        <f t="array" ref="U2302">index('Query Tool'!B:B,match(C2302,'Query Tool'!C:C,0))</f>
        <v>0</v>
      </c>
      <c r="V2302" s="161" t="b">
        <f>F2302&gt;='Query Tool'!C$32</f>
        <v>0</v>
      </c>
      <c r="W2302" s="161" t="b">
        <f t="array" ref="W2302">index(Dropdowns!B:B,match(I2302,Dropdowns!A:A,0))</f>
        <v>1</v>
      </c>
      <c r="X2302" s="161" t="b">
        <f t="array" ref="X2302">index('Query Tool'!B:B,match(D2302,'Query Tool'!C:C,0))</f>
        <v>1</v>
      </c>
      <c r="Y2302" s="161" t="str">
        <f t="shared" si="6"/>
        <v>huntevi01,2017-18</v>
      </c>
      <c r="Z2302" s="168" t="str">
        <f t="array" ref="Z2302">iferror(index(I:I,match($A2302&amp;","&amp;index('Year Conversion'!$A:$A,match($C2302,'Year Conversion'!$B:$B,0)),$Y:$Y,0))-I2302,"")</f>
        <v/>
      </c>
      <c r="AA2302" s="168" t="str">
        <f t="array" ref="AA2302">iferror(index(J:J,match($A2302&amp;","&amp;index('Year Conversion'!$A:$A,match($C2302,'Year Conversion'!$B:$B,0)),$Y:$Y,0))-J2302,"")</f>
        <v/>
      </c>
      <c r="AB2302" s="168" t="str">
        <f t="array" ref="AB2302">iferror(index(K:K,match($A2302&amp;","&amp;index('Year Conversion'!$A:$A,match($C2302,'Year Conversion'!$B:$B,0)),$Y:$Y,0))-K2302,"")</f>
        <v/>
      </c>
      <c r="AC2302" s="168" t="str">
        <f t="shared" si="7"/>
        <v>MEM,2017-18</v>
      </c>
    </row>
    <row r="2303">
      <c r="A2303" s="161" t="str">
        <f>IFERROR(__xludf.DUMMYFUNCTION("""COMPUTED_VALUE"""),"hezonma01")</f>
        <v>hezonma01</v>
      </c>
      <c r="B2303" s="161" t="str">
        <f>IFERROR(__xludf.DUMMYFUNCTION("""COMPUTED_VALUE"""),"Mario Hezonja")</f>
        <v>Mario Hezonja</v>
      </c>
      <c r="C2303" s="162" t="str">
        <f>IFERROR(__xludf.DUMMYFUNCTION("""COMPUTED_VALUE"""),"2017-18")</f>
        <v>2017-18</v>
      </c>
      <c r="D2303" s="163" t="str">
        <f>IFERROR(__xludf.DUMMYFUNCTION("""COMPUTED_VALUE"""),"ORL")</f>
        <v>ORL</v>
      </c>
      <c r="E2303" s="164" t="str">
        <f>IFERROR(__xludf.DUMMYFUNCTION("""COMPUTED_VALUE"""),"Stationary Shooter")</f>
        <v>Stationary Shooter</v>
      </c>
      <c r="F2303" s="164">
        <f>IFERROR(__xludf.DUMMYFUNCTION("""COMPUTED_VALUE"""),1657.04333333333)</f>
        <v>1657.043333</v>
      </c>
      <c r="G2303" s="163">
        <f>IFERROR(__xludf.DUMMYFUNCTION("""COMPUTED_VALUE"""),75.0)</f>
        <v>75</v>
      </c>
      <c r="H2303" s="163" t="str">
        <f>IFERROR(__xludf.DUMMYFUNCTION("""COMPUTED_VALUE"""),"SF")</f>
        <v>SF</v>
      </c>
      <c r="I2303" s="163">
        <f>IFERROR(__xludf.DUMMYFUNCTION("""COMPUTED_VALUE"""),22.0)</f>
        <v>22</v>
      </c>
      <c r="J2303" s="165">
        <f>IFERROR(__xludf.DUMMYFUNCTION("""COMPUTED_VALUE"""),-1.49339914023001)</f>
        <v>-1.49339914</v>
      </c>
      <c r="K2303" s="165">
        <f>IFERROR(__xludf.DUMMYFUNCTION("""COMPUTED_VALUE"""),-0.76092447421911)</f>
        <v>-0.7609244742</v>
      </c>
      <c r="L2303" s="165">
        <f>IFERROR(__xludf.DUMMYFUNCTION("""COMPUTED_VALUE"""),-0.732474666010899)</f>
        <v>-0.732474666</v>
      </c>
      <c r="M2303" s="166">
        <f t="shared" si="2"/>
        <v>0.8913899369</v>
      </c>
      <c r="N2303" s="167">
        <f t="shared" si="3"/>
        <v>22.09391111</v>
      </c>
      <c r="O2303" s="163">
        <f t="shared" ref="O2303:Q2303" si="2307">rank(I2303,I:I)</f>
        <v>3178</v>
      </c>
      <c r="P2303" s="163">
        <f t="shared" si="2307"/>
        <v>3048</v>
      </c>
      <c r="Q2303" s="163">
        <f t="shared" si="2307"/>
        <v>2497</v>
      </c>
      <c r="R2303" s="163">
        <f>IFERROR(__xludf.DUMMYFUNCTION("RANK(M2303,filter(M:M,C:C=C2303))"),249.0)</f>
        <v>249</v>
      </c>
      <c r="S2303" s="161" t="b">
        <f t="shared" si="5"/>
        <v>0</v>
      </c>
      <c r="T2303" s="161" t="b">
        <f t="array" ref="T2303">index('Query Tool'!B:B,match(H2303,'Query Tool'!C:C,0))</f>
        <v>1</v>
      </c>
      <c r="U2303" s="161" t="b">
        <f t="array" ref="U2303">index('Query Tool'!B:B,match(C2303,'Query Tool'!C:C,0))</f>
        <v>0</v>
      </c>
      <c r="V2303" s="161" t="b">
        <f>F2303&gt;='Query Tool'!C$32</f>
        <v>1</v>
      </c>
      <c r="W2303" s="161" t="b">
        <f t="array" ref="W2303">index(Dropdowns!B:B,match(I2303,Dropdowns!A:A,0))</f>
        <v>1</v>
      </c>
      <c r="X2303" s="161" t="b">
        <f t="array" ref="X2303">index('Query Tool'!B:B,match(D2303,'Query Tool'!C:C,0))</f>
        <v>1</v>
      </c>
      <c r="Y2303" s="161" t="str">
        <f t="shared" si="6"/>
        <v>hezonma01,2017-18</v>
      </c>
      <c r="Z2303" s="168">
        <f t="array" ref="Z2303">iferror(index(I:I,match($A2303&amp;","&amp;index('Year Conversion'!$A:$A,match($C2303,'Year Conversion'!$B:$B,0)),$Y:$Y,0))-I2303,"")</f>
        <v>1</v>
      </c>
      <c r="AA2303" s="168">
        <f t="array" ref="AA2303">iferror(index(J:J,match($A2303&amp;","&amp;index('Year Conversion'!$A:$A,match($C2303,'Year Conversion'!$B:$B,0)),$Y:$Y,0))-J2303,"")</f>
        <v>0.4016724882</v>
      </c>
      <c r="AB2303" s="168">
        <f t="array" ref="AB2303">iferror(index(K:K,match($A2303&amp;","&amp;index('Year Conversion'!$A:$A,match($C2303,'Year Conversion'!$B:$B,0)),$Y:$Y,0))-K2303,"")</f>
        <v>-0.6357632165</v>
      </c>
      <c r="AC2303" s="168" t="str">
        <f t="shared" si="7"/>
        <v>ORL,2017-18</v>
      </c>
    </row>
    <row r="2304">
      <c r="A2304" s="161" t="str">
        <f>IFERROR(__xludf.DUMMYFUNCTION("""COMPUTED_VALUE"""),"willial03")</f>
        <v>willial03</v>
      </c>
      <c r="B2304" s="161" t="str">
        <f>IFERROR(__xludf.DUMMYFUNCTION("""COMPUTED_VALUE"""),"Alan Williams")</f>
        <v>Alan Williams</v>
      </c>
      <c r="C2304" s="162" t="str">
        <f>IFERROR(__xludf.DUMMYFUNCTION("""COMPUTED_VALUE"""),"2017-18")</f>
        <v>2017-18</v>
      </c>
      <c r="D2304" s="163" t="str">
        <f>IFERROR(__xludf.DUMMYFUNCTION("""COMPUTED_VALUE"""),"PHO")</f>
        <v>PHO</v>
      </c>
      <c r="E2304" s="164" t="str">
        <f>IFERROR(__xludf.DUMMYFUNCTION("""COMPUTED_VALUE"""),"Roll + Cut Big")</f>
        <v>Roll + Cut Big</v>
      </c>
      <c r="F2304" s="164">
        <f>IFERROR(__xludf.DUMMYFUNCTION("""COMPUTED_VALUE"""),70.335)</f>
        <v>70.335</v>
      </c>
      <c r="G2304" s="163">
        <f>IFERROR(__xludf.DUMMYFUNCTION("""COMPUTED_VALUE"""),5.0)</f>
        <v>5</v>
      </c>
      <c r="H2304" s="163" t="str">
        <f>IFERROR(__xludf.DUMMYFUNCTION("""COMPUTED_VALUE"""),"PF")</f>
        <v>PF</v>
      </c>
      <c r="I2304" s="163">
        <f>IFERROR(__xludf.DUMMYFUNCTION("""COMPUTED_VALUE"""),25.0)</f>
        <v>25</v>
      </c>
      <c r="J2304" s="165">
        <f>IFERROR(__xludf.DUMMYFUNCTION("""COMPUTED_VALUE"""),0.357130871503532)</f>
        <v>0.3571308715</v>
      </c>
      <c r="K2304" s="165">
        <f>IFERROR(__xludf.DUMMYFUNCTION("""COMPUTED_VALUE"""),-0.393297213106305)</f>
        <v>-0.3932972131</v>
      </c>
      <c r="L2304" s="165">
        <f>IFERROR(__xludf.DUMMYFUNCTION("""COMPUTED_VALUE"""),0.750428084609838)</f>
        <v>0.7504280846</v>
      </c>
      <c r="M2304" s="166">
        <f t="shared" si="2"/>
        <v>0.1253649642</v>
      </c>
      <c r="N2304" s="167">
        <f t="shared" si="3"/>
        <v>14.067</v>
      </c>
      <c r="O2304" s="163">
        <f t="shared" ref="O2304:Q2304" si="2308">rank(I2304,I:I)</f>
        <v>1995</v>
      </c>
      <c r="P2304" s="163">
        <f t="shared" si="2308"/>
        <v>981</v>
      </c>
      <c r="Q2304" s="163">
        <f t="shared" si="2308"/>
        <v>1933</v>
      </c>
      <c r="R2304" s="163">
        <f>IFERROR(__xludf.DUMMYFUNCTION("RANK(M2304,filter(M:M,C:C=C2304))"),382.0)</f>
        <v>382</v>
      </c>
      <c r="S2304" s="161" t="b">
        <f t="shared" si="5"/>
        <v>0</v>
      </c>
      <c r="T2304" s="161" t="b">
        <f t="array" ref="T2304">index('Query Tool'!B:B,match(H2304,'Query Tool'!C:C,0))</f>
        <v>1</v>
      </c>
      <c r="U2304" s="161" t="b">
        <f t="array" ref="U2304">index('Query Tool'!B:B,match(C2304,'Query Tool'!C:C,0))</f>
        <v>0</v>
      </c>
      <c r="V2304" s="161" t="b">
        <f>F2304&gt;='Query Tool'!C$32</f>
        <v>0</v>
      </c>
      <c r="W2304" s="161" t="b">
        <f t="array" ref="W2304">index(Dropdowns!B:B,match(I2304,Dropdowns!A:A,0))</f>
        <v>1</v>
      </c>
      <c r="X2304" s="161" t="b">
        <f t="array" ref="X2304">index('Query Tool'!B:B,match(D2304,'Query Tool'!C:C,0))</f>
        <v>1</v>
      </c>
      <c r="Y2304" s="161" t="str">
        <f t="shared" si="6"/>
        <v>willial03,2017-18</v>
      </c>
      <c r="Z2304" s="168">
        <f t="array" ref="Z2304">iferror(index(I:I,match($A2304&amp;","&amp;index('Year Conversion'!$A:$A,match($C2304,'Year Conversion'!$B:$B,0)),$Y:$Y,0))-I2304,"")</f>
        <v>1</v>
      </c>
      <c r="AA2304" s="168">
        <f t="array" ref="AA2304">iferror(index(J:J,match($A2304&amp;","&amp;index('Year Conversion'!$A:$A,match($C2304,'Year Conversion'!$B:$B,0)),$Y:$Y,0))-J2304,"")</f>
        <v>-0.146065505</v>
      </c>
      <c r="AB2304" s="168">
        <f t="array" ref="AB2304">iferror(index(K:K,match($A2304&amp;","&amp;index('Year Conversion'!$A:$A,match($C2304,'Year Conversion'!$B:$B,0)),$Y:$Y,0))-K2304,"")</f>
        <v>0.522401172</v>
      </c>
      <c r="AC2304" s="168" t="str">
        <f t="shared" si="7"/>
        <v>PHO,2017-18</v>
      </c>
    </row>
    <row r="2305">
      <c r="A2305" s="161" t="str">
        <f>IFERROR(__xludf.DUMMYFUNCTION("""COMPUTED_VALUE"""),"onealro01")</f>
        <v>onealro01</v>
      </c>
      <c r="B2305" s="161" t="str">
        <f>IFERROR(__xludf.DUMMYFUNCTION("""COMPUTED_VALUE"""),"Royce O'Neale")</f>
        <v>Royce O'Neale</v>
      </c>
      <c r="C2305" s="162" t="str">
        <f>IFERROR(__xludf.DUMMYFUNCTION("""COMPUTED_VALUE"""),"2017-18")</f>
        <v>2017-18</v>
      </c>
      <c r="D2305" s="163" t="str">
        <f>IFERROR(__xludf.DUMMYFUNCTION("""COMPUTED_VALUE"""),"UTA")</f>
        <v>UTA</v>
      </c>
      <c r="E2305" s="164" t="str">
        <f>IFERROR(__xludf.DUMMYFUNCTION("""COMPUTED_VALUE"""),"Stationary Shooter")</f>
        <v>Stationary Shooter</v>
      </c>
      <c r="F2305" s="164">
        <f>IFERROR(__xludf.DUMMYFUNCTION("""COMPUTED_VALUE"""),1149.55166666667)</f>
        <v>1149.551667</v>
      </c>
      <c r="G2305" s="163">
        <f>IFERROR(__xludf.DUMMYFUNCTION("""COMPUTED_VALUE"""),69.0)</f>
        <v>69</v>
      </c>
      <c r="H2305" s="163" t="str">
        <f>IFERROR(__xludf.DUMMYFUNCTION("""COMPUTED_VALUE"""),"SF")</f>
        <v>SF</v>
      </c>
      <c r="I2305" s="163">
        <f>IFERROR(__xludf.DUMMYFUNCTION("""COMPUTED_VALUE"""),24.0)</f>
        <v>24</v>
      </c>
      <c r="J2305" s="165">
        <f>IFERROR(__xludf.DUMMYFUNCTION("""COMPUTED_VALUE"""),0.192823069756174)</f>
        <v>0.1928230698</v>
      </c>
      <c r="K2305" s="165">
        <f>IFERROR(__xludf.DUMMYFUNCTION("""COMPUTED_VALUE"""),-0.740338476356503)</f>
        <v>-0.7403384764</v>
      </c>
      <c r="L2305" s="165">
        <f>IFERROR(__xludf.DUMMYFUNCTION("""COMPUTED_VALUE"""),0.933161546112677)</f>
        <v>0.9331615461</v>
      </c>
      <c r="M2305" s="166">
        <f t="shared" si="2"/>
        <v>1.921658737</v>
      </c>
      <c r="N2305" s="167">
        <f t="shared" si="3"/>
        <v>16.66016908</v>
      </c>
      <c r="O2305" s="163">
        <f t="shared" ref="O2305:Q2305" si="2309">rank(I2305,I:I)</f>
        <v>2361</v>
      </c>
      <c r="P2305" s="163">
        <f t="shared" si="2309"/>
        <v>1097</v>
      </c>
      <c r="Q2305" s="163">
        <f t="shared" si="2309"/>
        <v>2469</v>
      </c>
      <c r="R2305" s="163">
        <f>IFERROR(__xludf.DUMMYFUNCTION("RANK(M2305,filter(M:M,C:C=C2305))"),162.0)</f>
        <v>162</v>
      </c>
      <c r="S2305" s="161" t="b">
        <f t="shared" si="5"/>
        <v>0</v>
      </c>
      <c r="T2305" s="161" t="b">
        <f t="array" ref="T2305">index('Query Tool'!B:B,match(H2305,'Query Tool'!C:C,0))</f>
        <v>1</v>
      </c>
      <c r="U2305" s="161" t="b">
        <f t="array" ref="U2305">index('Query Tool'!B:B,match(C2305,'Query Tool'!C:C,0))</f>
        <v>0</v>
      </c>
      <c r="V2305" s="161" t="b">
        <f>F2305&gt;='Query Tool'!C$32</f>
        <v>1</v>
      </c>
      <c r="W2305" s="161" t="b">
        <f t="array" ref="W2305">index(Dropdowns!B:B,match(I2305,Dropdowns!A:A,0))</f>
        <v>1</v>
      </c>
      <c r="X2305" s="161" t="b">
        <f t="array" ref="X2305">index('Query Tool'!B:B,match(D2305,'Query Tool'!C:C,0))</f>
        <v>1</v>
      </c>
      <c r="Y2305" s="161" t="str">
        <f t="shared" si="6"/>
        <v>onealro01,2017-18</v>
      </c>
      <c r="Z2305" s="168">
        <f t="array" ref="Z2305">iferror(index(I:I,match($A2305&amp;","&amp;index('Year Conversion'!$A:$A,match($C2305,'Year Conversion'!$B:$B,0)),$Y:$Y,0))-I2305,"")</f>
        <v>1</v>
      </c>
      <c r="AA2305" s="168">
        <f t="array" ref="AA2305">iferror(index(J:J,match($A2305&amp;","&amp;index('Year Conversion'!$A:$A,match($C2305,'Year Conversion'!$B:$B,0)),$Y:$Y,0))-J2305,"")</f>
        <v>-0.9572979552</v>
      </c>
      <c r="AB2305" s="168">
        <f t="array" ref="AB2305">iferror(index(K:K,match($A2305&amp;","&amp;index('Year Conversion'!$A:$A,match($C2305,'Year Conversion'!$B:$B,0)),$Y:$Y,0))-K2305,"")</f>
        <v>-0.9648959057</v>
      </c>
      <c r="AC2305" s="168" t="str">
        <f t="shared" si="7"/>
        <v>UTA,2017-18</v>
      </c>
    </row>
    <row r="2306">
      <c r="A2306" s="161" t="str">
        <f>IFERROR(__xludf.DUMMYFUNCTION("""COMPUTED_VALUE"""),"osmande01")</f>
        <v>osmande01</v>
      </c>
      <c r="B2306" s="161" t="str">
        <f>IFERROR(__xludf.DUMMYFUNCTION("""COMPUTED_VALUE"""),"Cedi Osman")</f>
        <v>Cedi Osman</v>
      </c>
      <c r="C2306" s="162" t="str">
        <f>IFERROR(__xludf.DUMMYFUNCTION("""COMPUTED_VALUE"""),"2017-18")</f>
        <v>2017-18</v>
      </c>
      <c r="D2306" s="163" t="str">
        <f>IFERROR(__xludf.DUMMYFUNCTION("""COMPUTED_VALUE"""),"CLE")</f>
        <v>CLE</v>
      </c>
      <c r="E2306" s="164" t="str">
        <f>IFERROR(__xludf.DUMMYFUNCTION("""COMPUTED_VALUE"""),"Stationary Shooter")</f>
        <v>Stationary Shooter</v>
      </c>
      <c r="F2306" s="164">
        <f>IFERROR(__xludf.DUMMYFUNCTION("""COMPUTED_VALUE"""),672.493333333333)</f>
        <v>672.4933333</v>
      </c>
      <c r="G2306" s="163">
        <f>IFERROR(__xludf.DUMMYFUNCTION("""COMPUTED_VALUE"""),61.0)</f>
        <v>61</v>
      </c>
      <c r="H2306" s="163" t="str">
        <f>IFERROR(__xludf.DUMMYFUNCTION("""COMPUTED_VALUE"""),"SF")</f>
        <v>SF</v>
      </c>
      <c r="I2306" s="163">
        <f>IFERROR(__xludf.DUMMYFUNCTION("""COMPUTED_VALUE"""),22.0)</f>
        <v>22</v>
      </c>
      <c r="J2306" s="165">
        <f>IFERROR(__xludf.DUMMYFUNCTION("""COMPUTED_VALUE"""),-0.998573870043159)</f>
        <v>-0.99857387</v>
      </c>
      <c r="K2306" s="165">
        <f>IFERROR(__xludf.DUMMYFUNCTION("""COMPUTED_VALUE"""),-0.852386976191655)</f>
        <v>-0.8523869762</v>
      </c>
      <c r="L2306" s="165">
        <f>IFERROR(__xludf.DUMMYFUNCTION("""COMPUTED_VALUE"""),-0.146186893851504)</f>
        <v>-0.1461868939</v>
      </c>
      <c r="M2306" s="166">
        <f t="shared" si="2"/>
        <v>0.5846450979</v>
      </c>
      <c r="N2306" s="167">
        <f t="shared" si="3"/>
        <v>11.02448087</v>
      </c>
      <c r="O2306" s="163">
        <f t="shared" ref="O2306:Q2306" si="2310">rank(I2306,I:I)</f>
        <v>3178</v>
      </c>
      <c r="P2306" s="163">
        <f t="shared" si="2310"/>
        <v>2503</v>
      </c>
      <c r="Q2306" s="163">
        <f t="shared" si="2310"/>
        <v>2627</v>
      </c>
      <c r="R2306" s="163">
        <f>IFERROR(__xludf.DUMMYFUNCTION("RANK(M2306,filter(M:M,C:C=C2306))"),284.0)</f>
        <v>284</v>
      </c>
      <c r="S2306" s="161" t="b">
        <f t="shared" si="5"/>
        <v>0</v>
      </c>
      <c r="T2306" s="161" t="b">
        <f t="array" ref="T2306">index('Query Tool'!B:B,match(H2306,'Query Tool'!C:C,0))</f>
        <v>1</v>
      </c>
      <c r="U2306" s="161" t="b">
        <f t="array" ref="U2306">index('Query Tool'!B:B,match(C2306,'Query Tool'!C:C,0))</f>
        <v>0</v>
      </c>
      <c r="V2306" s="161" t="b">
        <f>F2306&gt;='Query Tool'!C$32</f>
        <v>1</v>
      </c>
      <c r="W2306" s="161" t="b">
        <f t="array" ref="W2306">index(Dropdowns!B:B,match(I2306,Dropdowns!A:A,0))</f>
        <v>1</v>
      </c>
      <c r="X2306" s="161" t="b">
        <f t="array" ref="X2306">index('Query Tool'!B:B,match(D2306,'Query Tool'!C:C,0))</f>
        <v>1</v>
      </c>
      <c r="Y2306" s="161" t="str">
        <f t="shared" si="6"/>
        <v>osmande01,2017-18</v>
      </c>
      <c r="Z2306" s="168">
        <f t="array" ref="Z2306">iferror(index(I:I,match($A2306&amp;","&amp;index('Year Conversion'!$A:$A,match($C2306,'Year Conversion'!$B:$B,0)),$Y:$Y,0))-I2306,"")</f>
        <v>1</v>
      </c>
      <c r="AA2306" s="168">
        <f t="array" ref="AA2306">iferror(index(J:J,match($A2306&amp;","&amp;index('Year Conversion'!$A:$A,match($C2306,'Year Conversion'!$B:$B,0)),$Y:$Y,0))-J2306,"")</f>
        <v>-1.193690263</v>
      </c>
      <c r="AB2306" s="168">
        <f t="array" ref="AB2306">iferror(index(K:K,match($A2306&amp;","&amp;index('Year Conversion'!$A:$A,match($C2306,'Year Conversion'!$B:$B,0)),$Y:$Y,0))-K2306,"")</f>
        <v>0.05527386813</v>
      </c>
      <c r="AC2306" s="168" t="str">
        <f t="shared" si="7"/>
        <v>CLE,2017-18</v>
      </c>
    </row>
    <row r="2307">
      <c r="A2307" s="161" t="str">
        <f>IFERROR(__xludf.DUMMYFUNCTION("""COMPUTED_VALUE"""),"montelu01")</f>
        <v>montelu01</v>
      </c>
      <c r="B2307" s="161" t="str">
        <f>IFERROR(__xludf.DUMMYFUNCTION("""COMPUTED_VALUE"""),"Luis Montero")</f>
        <v>Luis Montero</v>
      </c>
      <c r="C2307" s="162" t="str">
        <f>IFERROR(__xludf.DUMMYFUNCTION("""COMPUTED_VALUE"""),"2017-18")</f>
        <v>2017-18</v>
      </c>
      <c r="D2307" s="163" t="str">
        <f>IFERROR(__xludf.DUMMYFUNCTION("""COMPUTED_VALUE"""),"DET")</f>
        <v>DET</v>
      </c>
      <c r="E2307" s="164" t="str">
        <f>IFERROR(__xludf.DUMMYFUNCTION("""COMPUTED_VALUE"""),"Slasher")</f>
        <v>Slasher</v>
      </c>
      <c r="F2307" s="164">
        <f>IFERROR(__xludf.DUMMYFUNCTION("""COMPUTED_VALUE"""),7.95)</f>
        <v>7.95</v>
      </c>
      <c r="G2307" s="163">
        <f>IFERROR(__xludf.DUMMYFUNCTION("""COMPUTED_VALUE"""),2.0)</f>
        <v>2</v>
      </c>
      <c r="H2307" s="163" t="str">
        <f>IFERROR(__xludf.DUMMYFUNCTION("""COMPUTED_VALUE"""),"SG")</f>
        <v>SG</v>
      </c>
      <c r="I2307" s="163">
        <f>IFERROR(__xludf.DUMMYFUNCTION("""COMPUTED_VALUE"""),24.0)</f>
        <v>24</v>
      </c>
      <c r="J2307" s="165">
        <f>IFERROR(__xludf.DUMMYFUNCTION("""COMPUTED_VALUE"""),-0.303362447512438)</f>
        <v>-0.3033624475</v>
      </c>
      <c r="K2307" s="165">
        <f>IFERROR(__xludf.DUMMYFUNCTION("""COMPUTED_VALUE"""),-0.385275576500748)</f>
        <v>-0.3852755765</v>
      </c>
      <c r="L2307" s="165">
        <f>IFERROR(__xludf.DUMMYFUNCTION("""COMPUTED_VALUE"""),0.0819131289883101)</f>
        <v>0.08191312899</v>
      </c>
      <c r="M2307" s="166">
        <f t="shared" si="2"/>
        <v>0.01063049305</v>
      </c>
      <c r="N2307" s="167">
        <f t="shared" si="3"/>
        <v>3.975</v>
      </c>
      <c r="O2307" s="163">
        <f t="shared" ref="O2307:Q2307" si="2311">rank(I2307,I:I)</f>
        <v>2361</v>
      </c>
      <c r="P2307" s="163">
        <f t="shared" si="2311"/>
        <v>1618</v>
      </c>
      <c r="Q2307" s="163">
        <f t="shared" si="2311"/>
        <v>1925</v>
      </c>
      <c r="R2307" s="163">
        <f>IFERROR(__xludf.DUMMYFUNCTION("RANK(M2307,filter(M:M,C:C=C2307))"),475.0)</f>
        <v>475</v>
      </c>
      <c r="S2307" s="161" t="b">
        <f t="shared" si="5"/>
        <v>0</v>
      </c>
      <c r="T2307" s="161" t="b">
        <f t="array" ref="T2307">index('Query Tool'!B:B,match(H2307,'Query Tool'!C:C,0))</f>
        <v>1</v>
      </c>
      <c r="U2307" s="161" t="b">
        <f t="array" ref="U2307">index('Query Tool'!B:B,match(C2307,'Query Tool'!C:C,0))</f>
        <v>0</v>
      </c>
      <c r="V2307" s="161" t="b">
        <f>F2307&gt;='Query Tool'!C$32</f>
        <v>0</v>
      </c>
      <c r="W2307" s="161" t="b">
        <f t="array" ref="W2307">index(Dropdowns!B:B,match(I2307,Dropdowns!A:A,0))</f>
        <v>1</v>
      </c>
      <c r="X2307" s="161" t="b">
        <f t="array" ref="X2307">index('Query Tool'!B:B,match(D2307,'Query Tool'!C:C,0))</f>
        <v>1</v>
      </c>
      <c r="Y2307" s="161" t="str">
        <f t="shared" si="6"/>
        <v>montelu01,2017-18</v>
      </c>
      <c r="Z2307" s="168" t="str">
        <f t="array" ref="Z2307">iferror(index(I:I,match($A2307&amp;","&amp;index('Year Conversion'!$A:$A,match($C2307,'Year Conversion'!$B:$B,0)),$Y:$Y,0))-I2307,"")</f>
        <v/>
      </c>
      <c r="AA2307" s="168" t="str">
        <f t="array" ref="AA2307">iferror(index(J:J,match($A2307&amp;","&amp;index('Year Conversion'!$A:$A,match($C2307,'Year Conversion'!$B:$B,0)),$Y:$Y,0))-J2307,"")</f>
        <v/>
      </c>
      <c r="AB2307" s="168" t="str">
        <f t="array" ref="AB2307">iferror(index(K:K,match($A2307&amp;","&amp;index('Year Conversion'!$A:$A,match($C2307,'Year Conversion'!$B:$B,0)),$Y:$Y,0))-K2307,"")</f>
        <v/>
      </c>
      <c r="AC2307" s="168" t="str">
        <f t="shared" si="7"/>
        <v>DET,2017-18</v>
      </c>
    </row>
    <row r="2308">
      <c r="A2308" s="161" t="str">
        <f>IFERROR(__xludf.DUMMYFUNCTION("""COMPUTED_VALUE"""),"feliccr01")</f>
        <v>feliccr01</v>
      </c>
      <c r="B2308" s="161" t="str">
        <f>IFERROR(__xludf.DUMMYFUNCTION("""COMPUTED_VALUE"""),"Cristiano Felicio")</f>
        <v>Cristiano Felicio</v>
      </c>
      <c r="C2308" s="162" t="str">
        <f>IFERROR(__xludf.DUMMYFUNCTION("""COMPUTED_VALUE"""),"2017-18")</f>
        <v>2017-18</v>
      </c>
      <c r="D2308" s="163" t="str">
        <f>IFERROR(__xludf.DUMMYFUNCTION("""COMPUTED_VALUE"""),"CHI")</f>
        <v>CHI</v>
      </c>
      <c r="E2308" s="164" t="str">
        <f>IFERROR(__xludf.DUMMYFUNCTION("""COMPUTED_VALUE"""),"Roll + Cut Big")</f>
        <v>Roll + Cut Big</v>
      </c>
      <c r="F2308" s="164">
        <f>IFERROR(__xludf.DUMMYFUNCTION("""COMPUTED_VALUE"""),977.45)</f>
        <v>977.45</v>
      </c>
      <c r="G2308" s="163">
        <f>IFERROR(__xludf.DUMMYFUNCTION("""COMPUTED_VALUE"""),55.0)</f>
        <v>55</v>
      </c>
      <c r="H2308" s="163" t="str">
        <f>IFERROR(__xludf.DUMMYFUNCTION("""COMPUTED_VALUE"""),"C")</f>
        <v>C</v>
      </c>
      <c r="I2308" s="163">
        <f>IFERROR(__xludf.DUMMYFUNCTION("""COMPUTED_VALUE"""),25.0)</f>
        <v>25</v>
      </c>
      <c r="J2308" s="165">
        <f>IFERROR(__xludf.DUMMYFUNCTION("""COMPUTED_VALUE"""),-3.95554833149989)</f>
        <v>-3.955548331</v>
      </c>
      <c r="K2308" s="165">
        <f>IFERROR(__xludf.DUMMYFUNCTION("""COMPUTED_VALUE"""),-3.11730213571135)</f>
        <v>-3.117302136</v>
      </c>
      <c r="L2308" s="165">
        <f>IFERROR(__xludf.DUMMYFUNCTION("""COMPUTED_VALUE"""),-0.838246195788543)</f>
        <v>-0.8382461958</v>
      </c>
      <c r="M2308" s="166">
        <f t="shared" si="2"/>
        <v>-1.044531246</v>
      </c>
      <c r="N2308" s="167">
        <f t="shared" si="3"/>
        <v>17.77181818</v>
      </c>
      <c r="O2308" s="163">
        <f t="shared" ref="O2308:Q2308" si="2312">rank(I2308,I:I)</f>
        <v>1995</v>
      </c>
      <c r="P2308" s="163">
        <f t="shared" si="2312"/>
        <v>3996</v>
      </c>
      <c r="Q2308" s="163">
        <f t="shared" si="2312"/>
        <v>3987</v>
      </c>
      <c r="R2308" s="163">
        <f>IFERROR(__xludf.DUMMYFUNCTION("RANK(M2308,filter(M:M,C:C=C2308))"),536.0)</f>
        <v>536</v>
      </c>
      <c r="S2308" s="161" t="b">
        <f t="shared" si="5"/>
        <v>0</v>
      </c>
      <c r="T2308" s="161" t="b">
        <f t="array" ref="T2308">index('Query Tool'!B:B,match(H2308,'Query Tool'!C:C,0))</f>
        <v>1</v>
      </c>
      <c r="U2308" s="161" t="b">
        <f t="array" ref="U2308">index('Query Tool'!B:B,match(C2308,'Query Tool'!C:C,0))</f>
        <v>0</v>
      </c>
      <c r="V2308" s="161" t="b">
        <f>F2308&gt;='Query Tool'!C$32</f>
        <v>1</v>
      </c>
      <c r="W2308" s="161" t="b">
        <f t="array" ref="W2308">index(Dropdowns!B:B,match(I2308,Dropdowns!A:A,0))</f>
        <v>1</v>
      </c>
      <c r="X2308" s="161" t="b">
        <f t="array" ref="X2308">index('Query Tool'!B:B,match(D2308,'Query Tool'!C:C,0))</f>
        <v>1</v>
      </c>
      <c r="Y2308" s="161" t="str">
        <f t="shared" si="6"/>
        <v>feliccr01,2017-18</v>
      </c>
      <c r="Z2308" s="168">
        <f t="array" ref="Z2308">iferror(index(I:I,match($A2308&amp;","&amp;index('Year Conversion'!$A:$A,match($C2308,'Year Conversion'!$B:$B,0)),$Y:$Y,0))-I2308,"")</f>
        <v>1</v>
      </c>
      <c r="AA2308" s="168">
        <f t="array" ref="AA2308">iferror(index(J:J,match($A2308&amp;","&amp;index('Year Conversion'!$A:$A,match($C2308,'Year Conversion'!$B:$B,0)),$Y:$Y,0))-J2308,"")</f>
        <v>1.619352981</v>
      </c>
      <c r="AB2308" s="168">
        <f t="array" ref="AB2308">iferror(index(K:K,match($A2308&amp;","&amp;index('Year Conversion'!$A:$A,match($C2308,'Year Conversion'!$B:$B,0)),$Y:$Y,0))-K2308,"")</f>
        <v>2.093098949</v>
      </c>
      <c r="AC2308" s="168" t="str">
        <f t="shared" si="7"/>
        <v>CHI,2017-18</v>
      </c>
    </row>
    <row r="2309">
      <c r="A2309" s="161" t="str">
        <f>IFERROR(__xludf.DUMMYFUNCTION("""COMPUTED_VALUE"""),"marjabo01")</f>
        <v>marjabo01</v>
      </c>
      <c r="B2309" s="161" t="str">
        <f>IFERROR(__xludf.DUMMYFUNCTION("""COMPUTED_VALUE"""),"Boban Marjanovic")</f>
        <v>Boban Marjanovic</v>
      </c>
      <c r="C2309" s="162" t="str">
        <f>IFERROR(__xludf.DUMMYFUNCTION("""COMPUTED_VALUE"""),"2017-18")</f>
        <v>2017-18</v>
      </c>
      <c r="D2309" s="163" t="str">
        <f>IFERROR(__xludf.DUMMYFUNCTION("""COMPUTED_VALUE"""),"TOT")</f>
        <v>TOT</v>
      </c>
      <c r="E2309" s="164" t="str">
        <f>IFERROR(__xludf.DUMMYFUNCTION("""COMPUTED_VALUE"""),"Post Scorer")</f>
        <v>Post Scorer</v>
      </c>
      <c r="F2309" s="164">
        <f>IFERROR(__xludf.DUMMYFUNCTION("""COMPUTED_VALUE"""),337.87)</f>
        <v>337.87</v>
      </c>
      <c r="G2309" s="163">
        <f>IFERROR(__xludf.DUMMYFUNCTION("""COMPUTED_VALUE"""),39.0)</f>
        <v>39</v>
      </c>
      <c r="H2309" s="163" t="str">
        <f>IFERROR(__xludf.DUMMYFUNCTION("""COMPUTED_VALUE"""),"C")</f>
        <v>C</v>
      </c>
      <c r="I2309" s="163">
        <f>IFERROR(__xludf.DUMMYFUNCTION("""COMPUTED_VALUE"""),29.0)</f>
        <v>29</v>
      </c>
      <c r="J2309" s="165">
        <f>IFERROR(__xludf.DUMMYFUNCTION("""COMPUTED_VALUE"""),1.13606334154753)</f>
        <v>1.136063342</v>
      </c>
      <c r="K2309" s="165">
        <f>IFERROR(__xludf.DUMMYFUNCTION("""COMPUTED_VALUE"""),0.817657214056261)</f>
        <v>0.8176572141</v>
      </c>
      <c r="L2309" s="165">
        <f>IFERROR(__xludf.DUMMYFUNCTION("""COMPUTED_VALUE"""),0.318406127491264)</f>
        <v>0.3184061275</v>
      </c>
      <c r="M2309" s="166">
        <f t="shared" si="2"/>
        <v>0.7792021113</v>
      </c>
      <c r="N2309" s="167">
        <f t="shared" si="3"/>
        <v>8.663333333</v>
      </c>
      <c r="O2309" s="163">
        <f t="shared" ref="O2309:Q2309" si="2313">rank(I2309,I:I)</f>
        <v>855</v>
      </c>
      <c r="P2309" s="163">
        <f t="shared" si="2313"/>
        <v>599</v>
      </c>
      <c r="Q2309" s="163">
        <f t="shared" si="2313"/>
        <v>594</v>
      </c>
      <c r="R2309" s="163">
        <f>IFERROR(__xludf.DUMMYFUNCTION("RANK(M2309,filter(M:M,C:C=C2309))"),260.0)</f>
        <v>260</v>
      </c>
      <c r="S2309" s="161" t="b">
        <f t="shared" si="5"/>
        <v>0</v>
      </c>
      <c r="T2309" s="161" t="b">
        <f t="array" ref="T2309">index('Query Tool'!B:B,match(H2309,'Query Tool'!C:C,0))</f>
        <v>1</v>
      </c>
      <c r="U2309" s="161" t="b">
        <f t="array" ref="U2309">index('Query Tool'!B:B,match(C2309,'Query Tool'!C:C,0))</f>
        <v>0</v>
      </c>
      <c r="V2309" s="161" t="b">
        <f>F2309&gt;='Query Tool'!C$32</f>
        <v>0</v>
      </c>
      <c r="W2309" s="161" t="b">
        <f t="array" ref="W2309">index(Dropdowns!B:B,match(I2309,Dropdowns!A:A,0))</f>
        <v>1</v>
      </c>
      <c r="X2309" s="161" t="b">
        <f t="array" ref="X2309">index('Query Tool'!B:B,match(D2309,'Query Tool'!C:C,0))</f>
        <v>1</v>
      </c>
      <c r="Y2309" s="161" t="str">
        <f t="shared" si="6"/>
        <v>marjabo01,2017-18</v>
      </c>
      <c r="Z2309" s="168">
        <f t="array" ref="Z2309">iferror(index(I:I,match($A2309&amp;","&amp;index('Year Conversion'!$A:$A,match($C2309,'Year Conversion'!$B:$B,0)),$Y:$Y,0))-I2309,"")</f>
        <v>1</v>
      </c>
      <c r="AA2309" s="168">
        <f t="array" ref="AA2309">iferror(index(J:J,match($A2309&amp;","&amp;index('Year Conversion'!$A:$A,match($C2309,'Year Conversion'!$B:$B,0)),$Y:$Y,0))-J2309,"")</f>
        <v>0.3104538476</v>
      </c>
      <c r="AB2309" s="168">
        <f t="array" ref="AB2309">iferror(index(K:K,match($A2309&amp;","&amp;index('Year Conversion'!$A:$A,match($C2309,'Year Conversion'!$B:$B,0)),$Y:$Y,0))-K2309,"")</f>
        <v>-0.1779425382</v>
      </c>
      <c r="AC2309" s="168" t="str">
        <f t="shared" si="7"/>
        <v>TOT,2017-18</v>
      </c>
    </row>
    <row r="2310">
      <c r="A2310" s="161" t="str">
        <f>IFERROR(__xludf.DUMMYFUNCTION("""COMPUTED_VALUE"""),"mejrisa01")</f>
        <v>mejrisa01</v>
      </c>
      <c r="B2310" s="161" t="str">
        <f>IFERROR(__xludf.DUMMYFUNCTION("""COMPUTED_VALUE"""),"Salah Mejri")</f>
        <v>Salah Mejri</v>
      </c>
      <c r="C2310" s="162" t="str">
        <f>IFERROR(__xludf.DUMMYFUNCTION("""COMPUTED_VALUE"""),"2017-18")</f>
        <v>2017-18</v>
      </c>
      <c r="D2310" s="163" t="str">
        <f>IFERROR(__xludf.DUMMYFUNCTION("""COMPUTED_VALUE"""),"DAL")</f>
        <v>DAL</v>
      </c>
      <c r="E2310" s="164" t="str">
        <f>IFERROR(__xludf.DUMMYFUNCTION("""COMPUTED_VALUE"""),"Roll + Cut Big")</f>
        <v>Roll + Cut Big</v>
      </c>
      <c r="F2310" s="164">
        <f>IFERROR(__xludf.DUMMYFUNCTION("""COMPUTED_VALUE"""),728.756666666667)</f>
        <v>728.7566667</v>
      </c>
      <c r="G2310" s="163">
        <f>IFERROR(__xludf.DUMMYFUNCTION("""COMPUTED_VALUE"""),61.0)</f>
        <v>61</v>
      </c>
      <c r="H2310" s="163" t="str">
        <f>IFERROR(__xludf.DUMMYFUNCTION("""COMPUTED_VALUE"""),"C")</f>
        <v>C</v>
      </c>
      <c r="I2310" s="163">
        <f>IFERROR(__xludf.DUMMYFUNCTION("""COMPUTED_VALUE"""),31.0)</f>
        <v>31</v>
      </c>
      <c r="J2310" s="165">
        <f>IFERROR(__xludf.DUMMYFUNCTION("""COMPUTED_VALUE"""),1.92619416708527)</f>
        <v>1.926194167</v>
      </c>
      <c r="K2310" s="165">
        <f>IFERROR(__xludf.DUMMYFUNCTION("""COMPUTED_VALUE"""),-1.46340986847645)</f>
        <v>-1.463409868</v>
      </c>
      <c r="L2310" s="165">
        <f>IFERROR(__xludf.DUMMYFUNCTION("""COMPUTED_VALUE"""),3.38960403556173)</f>
        <v>3.389604036</v>
      </c>
      <c r="M2310" s="166">
        <f t="shared" si="2"/>
        <v>2.06503032</v>
      </c>
      <c r="N2310" s="167">
        <f t="shared" si="3"/>
        <v>11.9468306</v>
      </c>
      <c r="O2310" s="163">
        <f t="shared" ref="O2310:Q2310" si="2314">rank(I2310,I:I)</f>
        <v>490</v>
      </c>
      <c r="P2310" s="163">
        <f t="shared" si="2314"/>
        <v>340</v>
      </c>
      <c r="Q2310" s="163">
        <f t="shared" si="2314"/>
        <v>3315</v>
      </c>
      <c r="R2310" s="163">
        <f>IFERROR(__xludf.DUMMYFUNCTION("RANK(M2310,filter(M:M,C:C=C2310))"),157.0)</f>
        <v>157</v>
      </c>
      <c r="S2310" s="161" t="b">
        <f t="shared" si="5"/>
        <v>0</v>
      </c>
      <c r="T2310" s="161" t="b">
        <f t="array" ref="T2310">index('Query Tool'!B:B,match(H2310,'Query Tool'!C:C,0))</f>
        <v>1</v>
      </c>
      <c r="U2310" s="161" t="b">
        <f t="array" ref="U2310">index('Query Tool'!B:B,match(C2310,'Query Tool'!C:C,0))</f>
        <v>0</v>
      </c>
      <c r="V2310" s="161" t="b">
        <f>F2310&gt;='Query Tool'!C$32</f>
        <v>1</v>
      </c>
      <c r="W2310" s="161" t="b">
        <f t="array" ref="W2310">index(Dropdowns!B:B,match(I2310,Dropdowns!A:A,0))</f>
        <v>1</v>
      </c>
      <c r="X2310" s="161" t="b">
        <f t="array" ref="X2310">index('Query Tool'!B:B,match(D2310,'Query Tool'!C:C,0))</f>
        <v>1</v>
      </c>
      <c r="Y2310" s="161" t="str">
        <f t="shared" si="6"/>
        <v>mejrisa01,2017-18</v>
      </c>
      <c r="Z2310" s="168">
        <f t="array" ref="Z2310">iferror(index(I:I,match($A2310&amp;","&amp;index('Year Conversion'!$A:$A,match($C2310,'Year Conversion'!$B:$B,0)),$Y:$Y,0))-I2310,"")</f>
        <v>1</v>
      </c>
      <c r="AA2310" s="168">
        <f t="array" ref="AA2310">iferror(index(J:J,match($A2310&amp;","&amp;index('Year Conversion'!$A:$A,match($C2310,'Year Conversion'!$B:$B,0)),$Y:$Y,0))-J2310,"")</f>
        <v>-1.288890815</v>
      </c>
      <c r="AB2310" s="168">
        <f t="array" ref="AB2310">iferror(index(K:K,match($A2310&amp;","&amp;index('Year Conversion'!$A:$A,match($C2310,'Year Conversion'!$B:$B,0)),$Y:$Y,0))-K2310,"")</f>
        <v>0.7018325595</v>
      </c>
      <c r="AC2310" s="168" t="str">
        <f t="shared" si="7"/>
        <v>DAL,2017-18</v>
      </c>
    </row>
    <row r="2311">
      <c r="A2311" s="161" t="str">
        <f>IFERROR(__xludf.DUMMYFUNCTION("""COMPUTED_VALUE"""),"millema01")</f>
        <v>millema01</v>
      </c>
      <c r="B2311" s="161" t="str">
        <f>IFERROR(__xludf.DUMMYFUNCTION("""COMPUTED_VALUE"""),"Malcolm Miller")</f>
        <v>Malcolm Miller</v>
      </c>
      <c r="C2311" s="162" t="str">
        <f>IFERROR(__xludf.DUMMYFUNCTION("""COMPUTED_VALUE"""),"2017-18")</f>
        <v>2017-18</v>
      </c>
      <c r="D2311" s="163" t="str">
        <f>IFERROR(__xludf.DUMMYFUNCTION("""COMPUTED_VALUE"""),"TOR")</f>
        <v>TOR</v>
      </c>
      <c r="E2311" s="164" t="str">
        <f>IFERROR(__xludf.DUMMYFUNCTION("""COMPUTED_VALUE"""),"Stationary Shooter")</f>
        <v>Stationary Shooter</v>
      </c>
      <c r="F2311" s="164">
        <f>IFERROR(__xludf.DUMMYFUNCTION("""COMPUTED_VALUE"""),125.75)</f>
        <v>125.75</v>
      </c>
      <c r="G2311" s="163">
        <f>IFERROR(__xludf.DUMMYFUNCTION("""COMPUTED_VALUE"""),15.0)</f>
        <v>15</v>
      </c>
      <c r="H2311" s="163" t="str">
        <f>IFERROR(__xludf.DUMMYFUNCTION("""COMPUTED_VALUE"""),"SF")</f>
        <v>SF</v>
      </c>
      <c r="I2311" s="163">
        <f>IFERROR(__xludf.DUMMYFUNCTION("""COMPUTED_VALUE"""),24.0)</f>
        <v>24</v>
      </c>
      <c r="J2311" s="165">
        <f>IFERROR(__xludf.DUMMYFUNCTION("""COMPUTED_VALUE"""),-1.88524050759879)</f>
        <v>-1.885240508</v>
      </c>
      <c r="K2311" s="165">
        <f>IFERROR(__xludf.DUMMYFUNCTION("""COMPUTED_VALUE"""),-0.846974096987695)</f>
        <v>-0.846974097</v>
      </c>
      <c r="L2311" s="165">
        <f>IFERROR(__xludf.DUMMYFUNCTION("""COMPUTED_VALUE"""),-1.0382664106111)</f>
        <v>-1.038266411</v>
      </c>
      <c r="M2311" s="166">
        <f t="shared" si="2"/>
        <v>0.03481957598</v>
      </c>
      <c r="N2311" s="167">
        <f t="shared" si="3"/>
        <v>8.383333333</v>
      </c>
      <c r="O2311" s="163">
        <f t="shared" ref="O2311:Q2311" si="2315">rank(I2311,I:I)</f>
        <v>2361</v>
      </c>
      <c r="P2311" s="163">
        <f t="shared" si="2315"/>
        <v>3407</v>
      </c>
      <c r="Q2311" s="163">
        <f t="shared" si="2315"/>
        <v>2617</v>
      </c>
      <c r="R2311" s="163">
        <f>IFERROR(__xludf.DUMMYFUNCTION("RANK(M2311,filter(M:M,C:C=C2311))"),446.0)</f>
        <v>446</v>
      </c>
      <c r="S2311" s="161" t="b">
        <f t="shared" si="5"/>
        <v>0</v>
      </c>
      <c r="T2311" s="161" t="b">
        <f t="array" ref="T2311">index('Query Tool'!B:B,match(H2311,'Query Tool'!C:C,0))</f>
        <v>1</v>
      </c>
      <c r="U2311" s="161" t="b">
        <f t="array" ref="U2311">index('Query Tool'!B:B,match(C2311,'Query Tool'!C:C,0))</f>
        <v>0</v>
      </c>
      <c r="V2311" s="161" t="b">
        <f>F2311&gt;='Query Tool'!C$32</f>
        <v>0</v>
      </c>
      <c r="W2311" s="161" t="b">
        <f t="array" ref="W2311">index(Dropdowns!B:B,match(I2311,Dropdowns!A:A,0))</f>
        <v>1</v>
      </c>
      <c r="X2311" s="161" t="b">
        <f t="array" ref="X2311">index('Query Tool'!B:B,match(D2311,'Query Tool'!C:C,0))</f>
        <v>1</v>
      </c>
      <c r="Y2311" s="161" t="str">
        <f t="shared" si="6"/>
        <v>millema01,2017-18</v>
      </c>
      <c r="Z2311" s="168">
        <f t="array" ref="Z2311">iferror(index(I:I,match($A2311&amp;","&amp;index('Year Conversion'!$A:$A,match($C2311,'Year Conversion'!$B:$B,0)),$Y:$Y,0))-I2311,"")</f>
        <v>1</v>
      </c>
      <c r="AA2311" s="168">
        <f t="array" ref="AA2311">iferror(index(J:J,match($A2311&amp;","&amp;index('Year Conversion'!$A:$A,match($C2311,'Year Conversion'!$B:$B,0)),$Y:$Y,0))-J2311,"")</f>
        <v>0.7303946702</v>
      </c>
      <c r="AB2311" s="168">
        <f t="array" ref="AB2311">iferror(index(K:K,match($A2311&amp;","&amp;index('Year Conversion'!$A:$A,match($C2311,'Year Conversion'!$B:$B,0)),$Y:$Y,0))-K2311,"")</f>
        <v>0.5634146167</v>
      </c>
      <c r="AC2311" s="168" t="str">
        <f t="shared" si="7"/>
        <v>TOR,2017-18</v>
      </c>
    </row>
    <row r="2312">
      <c r="A2312" s="161" t="str">
        <f>IFERROR(__xludf.DUMMYFUNCTION("""COMPUTED_VALUE"""),"pulleja01")</f>
        <v>pulleja01</v>
      </c>
      <c r="B2312" s="161" t="str">
        <f>IFERROR(__xludf.DUMMYFUNCTION("""COMPUTED_VALUE"""),"Jacob Pullen")</f>
        <v>Jacob Pullen</v>
      </c>
      <c r="C2312" s="162" t="str">
        <f>IFERROR(__xludf.DUMMYFUNCTION("""COMPUTED_VALUE"""),"2017-18")</f>
        <v>2017-18</v>
      </c>
      <c r="D2312" s="163" t="str">
        <f>IFERROR(__xludf.DUMMYFUNCTION("""COMPUTED_VALUE"""),"PHI")</f>
        <v>PHI</v>
      </c>
      <c r="E2312" s="164" t="str">
        <f>IFERROR(__xludf.DUMMYFUNCTION("""COMPUTED_VALUE"""),"Stationary Shooter")</f>
        <v>Stationary Shooter</v>
      </c>
      <c r="F2312" s="164">
        <f>IFERROR(__xludf.DUMMYFUNCTION("""COMPUTED_VALUE"""),6.08333333333333)</f>
        <v>6.083333333</v>
      </c>
      <c r="G2312" s="163">
        <f>IFERROR(__xludf.DUMMYFUNCTION("""COMPUTED_VALUE"""),3.0)</f>
        <v>3</v>
      </c>
      <c r="H2312" s="163" t="str">
        <f>IFERROR(__xludf.DUMMYFUNCTION("""COMPUTED_VALUE"""),"PG")</f>
        <v>PG</v>
      </c>
      <c r="I2312" s="163">
        <f>IFERROR(__xludf.DUMMYFUNCTION("""COMPUTED_VALUE"""),28.0)</f>
        <v>28</v>
      </c>
      <c r="J2312" s="165">
        <f>IFERROR(__xludf.DUMMYFUNCTION("""COMPUTED_VALUE"""),-0.795530520593761)</f>
        <v>-0.7955305206</v>
      </c>
      <c r="K2312" s="165">
        <f>IFERROR(__xludf.DUMMYFUNCTION("""COMPUTED_VALUE"""),-0.135112329361775)</f>
        <v>-0.1351123294</v>
      </c>
      <c r="L2312" s="165">
        <f>IFERROR(__xludf.DUMMYFUNCTION("""COMPUTED_VALUE"""),-0.660418191231985)</f>
        <v>-0.6604181912</v>
      </c>
      <c r="M2312" s="166">
        <f t="shared" si="2"/>
        <v>0.006118611361</v>
      </c>
      <c r="N2312" s="167">
        <f t="shared" si="3"/>
        <v>2.027777778</v>
      </c>
      <c r="O2312" s="163">
        <f t="shared" ref="O2312:Q2312" si="2316">rank(I2312,I:I)</f>
        <v>1090</v>
      </c>
      <c r="P2312" s="163">
        <f t="shared" si="2316"/>
        <v>2268</v>
      </c>
      <c r="Q2312" s="163">
        <f t="shared" si="2316"/>
        <v>1455</v>
      </c>
      <c r="R2312" s="163">
        <f>IFERROR(__xludf.DUMMYFUNCTION("RANK(M2312,filter(M:M,C:C=C2312))"),486.0)</f>
        <v>486</v>
      </c>
      <c r="S2312" s="161" t="b">
        <f t="shared" si="5"/>
        <v>0</v>
      </c>
      <c r="T2312" s="161" t="b">
        <f t="array" ref="T2312">index('Query Tool'!B:B,match(H2312,'Query Tool'!C:C,0))</f>
        <v>1</v>
      </c>
      <c r="U2312" s="161" t="b">
        <f t="array" ref="U2312">index('Query Tool'!B:B,match(C2312,'Query Tool'!C:C,0))</f>
        <v>0</v>
      </c>
      <c r="V2312" s="161" t="b">
        <f>F2312&gt;='Query Tool'!C$32</f>
        <v>0</v>
      </c>
      <c r="W2312" s="161" t="b">
        <f t="array" ref="W2312">index(Dropdowns!B:B,match(I2312,Dropdowns!A:A,0))</f>
        <v>1</v>
      </c>
      <c r="X2312" s="161" t="b">
        <f t="array" ref="X2312">index('Query Tool'!B:B,match(D2312,'Query Tool'!C:C,0))</f>
        <v>1</v>
      </c>
      <c r="Y2312" s="161" t="str">
        <f t="shared" si="6"/>
        <v>pulleja01,2017-18</v>
      </c>
      <c r="Z2312" s="168" t="str">
        <f t="array" ref="Z2312">iferror(index(I:I,match($A2312&amp;","&amp;index('Year Conversion'!$A:$A,match($C2312,'Year Conversion'!$B:$B,0)),$Y:$Y,0))-I2312,"")</f>
        <v/>
      </c>
      <c r="AA2312" s="168" t="str">
        <f t="array" ref="AA2312">iferror(index(J:J,match($A2312&amp;","&amp;index('Year Conversion'!$A:$A,match($C2312,'Year Conversion'!$B:$B,0)),$Y:$Y,0))-J2312,"")</f>
        <v/>
      </c>
      <c r="AB2312" s="168" t="str">
        <f t="array" ref="AB2312">iferror(index(K:K,match($A2312&amp;","&amp;index('Year Conversion'!$A:$A,match($C2312,'Year Conversion'!$B:$B,0)),$Y:$Y,0))-K2312,"")</f>
        <v/>
      </c>
      <c r="AC2312" s="168" t="str">
        <f t="shared" si="7"/>
        <v>PHI,2017-18</v>
      </c>
    </row>
    <row r="2313">
      <c r="A2313" s="161" t="str">
        <f>IFERROR(__xludf.DUMMYFUNCTION("""COMPUTED_VALUE"""),"gibsojo01")</f>
        <v>gibsojo01</v>
      </c>
      <c r="B2313" s="161" t="str">
        <f>IFERROR(__xludf.DUMMYFUNCTION("""COMPUTED_VALUE"""),"Jonathan Gibson")</f>
        <v>Jonathan Gibson</v>
      </c>
      <c r="C2313" s="162" t="str">
        <f>IFERROR(__xludf.DUMMYFUNCTION("""COMPUTED_VALUE"""),"2017-18")</f>
        <v>2017-18</v>
      </c>
      <c r="D2313" s="163" t="str">
        <f>IFERROR(__xludf.DUMMYFUNCTION("""COMPUTED_VALUE"""),"BOS")</f>
        <v>BOS</v>
      </c>
      <c r="E2313" s="164" t="str">
        <f>IFERROR(__xludf.DUMMYFUNCTION("""COMPUTED_VALUE"""),"Secondary Ball Handler")</f>
        <v>Secondary Ball Handler</v>
      </c>
      <c r="F2313" s="164">
        <f>IFERROR(__xludf.DUMMYFUNCTION("""COMPUTED_VALUE"""),39.935)</f>
        <v>39.935</v>
      </c>
      <c r="G2313" s="163">
        <f>IFERROR(__xludf.DUMMYFUNCTION("""COMPUTED_VALUE"""),4.0)</f>
        <v>4</v>
      </c>
      <c r="H2313" s="163" t="str">
        <f>IFERROR(__xludf.DUMMYFUNCTION("""COMPUTED_VALUE"""),"PG")</f>
        <v>PG</v>
      </c>
      <c r="I2313" s="163">
        <f>IFERROR(__xludf.DUMMYFUNCTION("""COMPUTED_VALUE"""),30.0)</f>
        <v>30</v>
      </c>
      <c r="J2313" s="165">
        <f>IFERROR(__xludf.DUMMYFUNCTION("""COMPUTED_VALUE"""),-0.651212050588019)</f>
        <v>-0.6512120506</v>
      </c>
      <c r="K2313" s="165">
        <f>IFERROR(__xludf.DUMMYFUNCTION("""COMPUTED_VALUE"""),0.0188258205329893)</f>
        <v>0.01882582053</v>
      </c>
      <c r="L2313" s="165">
        <f>IFERROR(__xludf.DUMMYFUNCTION("""COMPUTED_VALUE"""),-0.670037871121008)</f>
        <v>-0.6700378711</v>
      </c>
      <c r="M2313" s="166">
        <f t="shared" si="2"/>
        <v>0.04404369648</v>
      </c>
      <c r="N2313" s="167">
        <f t="shared" si="3"/>
        <v>9.98375</v>
      </c>
      <c r="O2313" s="163">
        <f t="shared" ref="O2313:Q2313" si="2317">rank(I2313,I:I)</f>
        <v>655</v>
      </c>
      <c r="P2313" s="163">
        <f t="shared" si="2317"/>
        <v>2067</v>
      </c>
      <c r="Q2313" s="163">
        <f t="shared" si="2317"/>
        <v>1174</v>
      </c>
      <c r="R2313" s="163">
        <f>IFERROR(__xludf.DUMMYFUNCTION("RANK(M2313,filter(M:M,C:C=C2313))"),436.0)</f>
        <v>436</v>
      </c>
      <c r="S2313" s="161" t="b">
        <f t="shared" si="5"/>
        <v>0</v>
      </c>
      <c r="T2313" s="161" t="b">
        <f t="array" ref="T2313">index('Query Tool'!B:B,match(H2313,'Query Tool'!C:C,0))</f>
        <v>1</v>
      </c>
      <c r="U2313" s="161" t="b">
        <f t="array" ref="U2313">index('Query Tool'!B:B,match(C2313,'Query Tool'!C:C,0))</f>
        <v>0</v>
      </c>
      <c r="V2313" s="161" t="b">
        <f>F2313&gt;='Query Tool'!C$32</f>
        <v>0</v>
      </c>
      <c r="W2313" s="161" t="b">
        <f t="array" ref="W2313">index(Dropdowns!B:B,match(I2313,Dropdowns!A:A,0))</f>
        <v>1</v>
      </c>
      <c r="X2313" s="161" t="b">
        <f t="array" ref="X2313">index('Query Tool'!B:B,match(D2313,'Query Tool'!C:C,0))</f>
        <v>1</v>
      </c>
      <c r="Y2313" s="161" t="str">
        <f t="shared" si="6"/>
        <v>gibsojo01,2017-18</v>
      </c>
      <c r="Z2313" s="168" t="str">
        <f t="array" ref="Z2313">iferror(index(I:I,match($A2313&amp;","&amp;index('Year Conversion'!$A:$A,match($C2313,'Year Conversion'!$B:$B,0)),$Y:$Y,0))-I2313,"")</f>
        <v/>
      </c>
      <c r="AA2313" s="168" t="str">
        <f t="array" ref="AA2313">iferror(index(J:J,match($A2313&amp;","&amp;index('Year Conversion'!$A:$A,match($C2313,'Year Conversion'!$B:$B,0)),$Y:$Y,0))-J2313,"")</f>
        <v/>
      </c>
      <c r="AB2313" s="168" t="str">
        <f t="array" ref="AB2313">iferror(index(K:K,match($A2313&amp;","&amp;index('Year Conversion'!$A:$A,match($C2313,'Year Conversion'!$B:$B,0)),$Y:$Y,0))-K2313,"")</f>
        <v/>
      </c>
      <c r="AC2313" s="168" t="str">
        <f t="shared" si="7"/>
        <v>BOS,2017-18</v>
      </c>
    </row>
    <row r="2314">
      <c r="A2314" s="161" t="str">
        <f>IFERROR(__xludf.DUMMYFUNCTION("""COMPUTED_VALUE"""),"delanma01")</f>
        <v>delanma01</v>
      </c>
      <c r="B2314" s="161" t="str">
        <f>IFERROR(__xludf.DUMMYFUNCTION("""COMPUTED_VALUE"""),"Malcolm Delaney")</f>
        <v>Malcolm Delaney</v>
      </c>
      <c r="C2314" s="162" t="str">
        <f>IFERROR(__xludf.DUMMYFUNCTION("""COMPUTED_VALUE"""),"2017-18")</f>
        <v>2017-18</v>
      </c>
      <c r="D2314" s="163" t="str">
        <f>IFERROR(__xludf.DUMMYFUNCTION("""COMPUTED_VALUE"""),"ATL")</f>
        <v>ATL</v>
      </c>
      <c r="E2314" s="164" t="str">
        <f>IFERROR(__xludf.DUMMYFUNCTION("""COMPUTED_VALUE"""),"Secondary Ball Handler")</f>
        <v>Secondary Ball Handler</v>
      </c>
      <c r="F2314" s="164">
        <f>IFERROR(__xludf.DUMMYFUNCTION("""COMPUTED_VALUE"""),1014.16666666667)</f>
        <v>1014.166667</v>
      </c>
      <c r="G2314" s="163">
        <f>IFERROR(__xludf.DUMMYFUNCTION("""COMPUTED_VALUE"""),54.0)</f>
        <v>54</v>
      </c>
      <c r="H2314" s="163" t="str">
        <f>IFERROR(__xludf.DUMMYFUNCTION("""COMPUTED_VALUE"""),"PG")</f>
        <v>PG</v>
      </c>
      <c r="I2314" s="163">
        <f>IFERROR(__xludf.DUMMYFUNCTION("""COMPUTED_VALUE"""),28.0)</f>
        <v>28</v>
      </c>
      <c r="J2314" s="165">
        <f>IFERROR(__xludf.DUMMYFUNCTION("""COMPUTED_VALUE"""),-1.71696624737515)</f>
        <v>-1.716966247</v>
      </c>
      <c r="K2314" s="165">
        <f>IFERROR(__xludf.DUMMYFUNCTION("""COMPUTED_VALUE"""),-0.718878425295053)</f>
        <v>-0.7188784253</v>
      </c>
      <c r="L2314" s="165">
        <f>IFERROR(__xludf.DUMMYFUNCTION("""COMPUTED_VALUE"""),-0.998087822080098)</f>
        <v>-0.9980878221</v>
      </c>
      <c r="M2314" s="166">
        <f t="shared" si="2"/>
        <v>0.3943312245</v>
      </c>
      <c r="N2314" s="167">
        <f t="shared" si="3"/>
        <v>18.7808642</v>
      </c>
      <c r="O2314" s="163">
        <f t="shared" ref="O2314:Q2314" si="2318">rank(I2314,I:I)</f>
        <v>1090</v>
      </c>
      <c r="P2314" s="163">
        <f t="shared" si="2318"/>
        <v>3260</v>
      </c>
      <c r="Q2314" s="163">
        <f t="shared" si="2318"/>
        <v>2444</v>
      </c>
      <c r="R2314" s="163">
        <f>IFERROR(__xludf.DUMMYFUNCTION("RANK(M2314,filter(M:M,C:C=C2314))"),303.0)</f>
        <v>303</v>
      </c>
      <c r="S2314" s="161" t="b">
        <f t="shared" si="5"/>
        <v>0</v>
      </c>
      <c r="T2314" s="161" t="b">
        <f t="array" ref="T2314">index('Query Tool'!B:B,match(H2314,'Query Tool'!C:C,0))</f>
        <v>1</v>
      </c>
      <c r="U2314" s="161" t="b">
        <f t="array" ref="U2314">index('Query Tool'!B:B,match(C2314,'Query Tool'!C:C,0))</f>
        <v>0</v>
      </c>
      <c r="V2314" s="161" t="b">
        <f>F2314&gt;='Query Tool'!C$32</f>
        <v>1</v>
      </c>
      <c r="W2314" s="161" t="b">
        <f t="array" ref="W2314">index(Dropdowns!B:B,match(I2314,Dropdowns!A:A,0))</f>
        <v>1</v>
      </c>
      <c r="X2314" s="161" t="b">
        <f t="array" ref="X2314">index('Query Tool'!B:B,match(D2314,'Query Tool'!C:C,0))</f>
        <v>1</v>
      </c>
      <c r="Y2314" s="161" t="str">
        <f t="shared" si="6"/>
        <v>delanma01,2017-18</v>
      </c>
      <c r="Z2314" s="168" t="str">
        <f t="array" ref="Z2314">iferror(index(I:I,match($A2314&amp;","&amp;index('Year Conversion'!$A:$A,match($C2314,'Year Conversion'!$B:$B,0)),$Y:$Y,0))-I2314,"")</f>
        <v/>
      </c>
      <c r="AA2314" s="168" t="str">
        <f t="array" ref="AA2314">iferror(index(J:J,match($A2314&amp;","&amp;index('Year Conversion'!$A:$A,match($C2314,'Year Conversion'!$B:$B,0)),$Y:$Y,0))-J2314,"")</f>
        <v/>
      </c>
      <c r="AB2314" s="168" t="str">
        <f t="array" ref="AB2314">iferror(index(K:K,match($A2314&amp;","&amp;index('Year Conversion'!$A:$A,match($C2314,'Year Conversion'!$B:$B,0)),$Y:$Y,0))-K2314,"")</f>
        <v/>
      </c>
      <c r="AC2314" s="168" t="str">
        <f t="shared" si="7"/>
        <v>ATL,2017-18</v>
      </c>
    </row>
    <row r="2315">
      <c r="A2315" s="161" t="str">
        <f>IFERROR(__xludf.DUMMYFUNCTION("""COMPUTED_VALUE"""),"lemonwa01")</f>
        <v>lemonwa01</v>
      </c>
      <c r="B2315" s="161" t="str">
        <f>IFERROR(__xludf.DUMMYFUNCTION("""COMPUTED_VALUE"""),"Walt Lemon Jr.")</f>
        <v>Walt Lemon Jr.</v>
      </c>
      <c r="C2315" s="162" t="str">
        <f>IFERROR(__xludf.DUMMYFUNCTION("""COMPUTED_VALUE"""),"2017-18")</f>
        <v>2017-18</v>
      </c>
      <c r="D2315" s="163" t="str">
        <f>IFERROR(__xludf.DUMMYFUNCTION("""COMPUTED_VALUE"""),"NOP")</f>
        <v>NOP</v>
      </c>
      <c r="E2315" s="164" t="str">
        <f>IFERROR(__xludf.DUMMYFUNCTION("""COMPUTED_VALUE"""),"Slasher")</f>
        <v>Slasher</v>
      </c>
      <c r="F2315" s="164">
        <f>IFERROR(__xludf.DUMMYFUNCTION("""COMPUTED_VALUE"""),35.1016666666667)</f>
        <v>35.10166667</v>
      </c>
      <c r="G2315" s="163">
        <f>IFERROR(__xludf.DUMMYFUNCTION("""COMPUTED_VALUE"""),5.0)</f>
        <v>5</v>
      </c>
      <c r="H2315" s="163" t="str">
        <f>IFERROR(__xludf.DUMMYFUNCTION("""COMPUTED_VALUE"""),"PG")</f>
        <v>PG</v>
      </c>
      <c r="I2315" s="163">
        <f>IFERROR(__xludf.DUMMYFUNCTION("""COMPUTED_VALUE"""),25.0)</f>
        <v>25</v>
      </c>
      <c r="J2315" s="165">
        <f>IFERROR(__xludf.DUMMYFUNCTION("""COMPUTED_VALUE"""),-1.07987092193124)</f>
        <v>-1.079870922</v>
      </c>
      <c r="K2315" s="165">
        <f>IFERROR(__xludf.DUMMYFUNCTION("""COMPUTED_VALUE"""),-0.410226046267488)</f>
        <v>-0.4102260463</v>
      </c>
      <c r="L2315" s="165">
        <f>IFERROR(__xludf.DUMMYFUNCTION("""COMPUTED_VALUE"""),-0.669644875663755)</f>
        <v>-0.6696448757</v>
      </c>
      <c r="M2315" s="166">
        <f t="shared" si="2"/>
        <v>0.02860104131</v>
      </c>
      <c r="N2315" s="167">
        <f t="shared" si="3"/>
        <v>7.020333333</v>
      </c>
      <c r="O2315" s="163">
        <f t="shared" ref="O2315:Q2315" si="2319">rank(I2315,I:I)</f>
        <v>1995</v>
      </c>
      <c r="P2315" s="163">
        <f t="shared" si="2319"/>
        <v>2589</v>
      </c>
      <c r="Q2315" s="163">
        <f t="shared" si="2319"/>
        <v>1963</v>
      </c>
      <c r="R2315" s="163">
        <f>IFERROR(__xludf.DUMMYFUNCTION("RANK(M2315,filter(M:M,C:C=C2315))"),453.0)</f>
        <v>453</v>
      </c>
      <c r="S2315" s="161" t="b">
        <f t="shared" si="5"/>
        <v>0</v>
      </c>
      <c r="T2315" s="161" t="b">
        <f t="array" ref="T2315">index('Query Tool'!B:B,match(H2315,'Query Tool'!C:C,0))</f>
        <v>1</v>
      </c>
      <c r="U2315" s="161" t="b">
        <f t="array" ref="U2315">index('Query Tool'!B:B,match(C2315,'Query Tool'!C:C,0))</f>
        <v>0</v>
      </c>
      <c r="V2315" s="161" t="b">
        <f>F2315&gt;='Query Tool'!C$32</f>
        <v>0</v>
      </c>
      <c r="W2315" s="161" t="b">
        <f t="array" ref="W2315">index(Dropdowns!B:B,match(I2315,Dropdowns!A:A,0))</f>
        <v>1</v>
      </c>
      <c r="X2315" s="161" t="b">
        <f t="array" ref="X2315">index('Query Tool'!B:B,match(D2315,'Query Tool'!C:C,0))</f>
        <v>1</v>
      </c>
      <c r="Y2315" s="161" t="str">
        <f t="shared" si="6"/>
        <v>lemonwa01,2017-18</v>
      </c>
      <c r="Z2315" s="168">
        <f t="array" ref="Z2315">iferror(index(I:I,match($A2315&amp;","&amp;index('Year Conversion'!$A:$A,match($C2315,'Year Conversion'!$B:$B,0)),$Y:$Y,0))-I2315,"")</f>
        <v>1</v>
      </c>
      <c r="AA2315" s="168">
        <f t="array" ref="AA2315">iferror(index(J:J,match($A2315&amp;","&amp;index('Year Conversion'!$A:$A,match($C2315,'Year Conversion'!$B:$B,0)),$Y:$Y,0))-J2315,"")</f>
        <v>0.8892155082</v>
      </c>
      <c r="AB2315" s="168">
        <f t="array" ref="AB2315">iferror(index(K:K,match($A2315&amp;","&amp;index('Year Conversion'!$A:$A,match($C2315,'Year Conversion'!$B:$B,0)),$Y:$Y,0))-K2315,"")</f>
        <v>0.15505119</v>
      </c>
      <c r="AC2315" s="168" t="str">
        <f t="shared" si="7"/>
        <v>NOP,2017-18</v>
      </c>
    </row>
    <row r="2316">
      <c r="A2316" s="161" t="str">
        <f>IFERROR(__xludf.DUMMYFUNCTION("""COMPUTED_VALUE"""),"weberbr01")</f>
        <v>weberbr01</v>
      </c>
      <c r="B2316" s="161" t="str">
        <f>IFERROR(__xludf.DUMMYFUNCTION("""COMPUTED_VALUE"""),"Briante Weber")</f>
        <v>Briante Weber</v>
      </c>
      <c r="C2316" s="162" t="str">
        <f>IFERROR(__xludf.DUMMYFUNCTION("""COMPUTED_VALUE"""),"2017-18")</f>
        <v>2017-18</v>
      </c>
      <c r="D2316" s="163" t="str">
        <f>IFERROR(__xludf.DUMMYFUNCTION("""COMPUTED_VALUE"""),"TOT")</f>
        <v>TOT</v>
      </c>
      <c r="E2316" s="164" t="str">
        <f>IFERROR(__xludf.DUMMYFUNCTION("""COMPUTED_VALUE"""),"Secondary Ball Handler")</f>
        <v>Secondary Ball Handler</v>
      </c>
      <c r="F2316" s="164">
        <f>IFERROR(__xludf.DUMMYFUNCTION("""COMPUTED_VALUE"""),236.503333333333)</f>
        <v>236.5033333</v>
      </c>
      <c r="G2316" s="163">
        <f>IFERROR(__xludf.DUMMYFUNCTION("""COMPUTED_VALUE"""),18.0)</f>
        <v>18</v>
      </c>
      <c r="H2316" s="163" t="str">
        <f>IFERROR(__xludf.DUMMYFUNCTION("""COMPUTED_VALUE"""),"PG")</f>
        <v>PG</v>
      </c>
      <c r="I2316" s="163">
        <f>IFERROR(__xludf.DUMMYFUNCTION("""COMPUTED_VALUE"""),25.0)</f>
        <v>25</v>
      </c>
      <c r="J2316" s="165">
        <f>IFERROR(__xludf.DUMMYFUNCTION("""COMPUTED_VALUE"""),-1.54512814662386)</f>
        <v>-1.545128147</v>
      </c>
      <c r="K2316" s="165">
        <f>IFERROR(__xludf.DUMMYFUNCTION("""COMPUTED_VALUE"""),-0.839776906116339)</f>
        <v>-0.8397769061</v>
      </c>
      <c r="L2316" s="165">
        <f>IFERROR(__xludf.DUMMYFUNCTION("""COMPUTED_VALUE"""),-0.705351240507517)</f>
        <v>-0.7053512405</v>
      </c>
      <c r="M2316" s="166">
        <f t="shared" si="2"/>
        <v>0.1190553598</v>
      </c>
      <c r="N2316" s="167">
        <f t="shared" si="3"/>
        <v>13.13907407</v>
      </c>
      <c r="O2316" s="163">
        <f t="shared" ref="O2316:Q2316" si="2320">rank(I2316,I:I)</f>
        <v>1995</v>
      </c>
      <c r="P2316" s="163">
        <f t="shared" si="2320"/>
        <v>3094</v>
      </c>
      <c r="Q2316" s="163">
        <f t="shared" si="2320"/>
        <v>2602</v>
      </c>
      <c r="R2316" s="163">
        <f>IFERROR(__xludf.DUMMYFUNCTION("RANK(M2316,filter(M:M,C:C=C2316))"),386.0)</f>
        <v>386</v>
      </c>
      <c r="S2316" s="161" t="b">
        <f t="shared" si="5"/>
        <v>0</v>
      </c>
      <c r="T2316" s="161" t="b">
        <f t="array" ref="T2316">index('Query Tool'!B:B,match(H2316,'Query Tool'!C:C,0))</f>
        <v>1</v>
      </c>
      <c r="U2316" s="161" t="b">
        <f t="array" ref="U2316">index('Query Tool'!B:B,match(C2316,'Query Tool'!C:C,0))</f>
        <v>0</v>
      </c>
      <c r="V2316" s="161" t="b">
        <f>F2316&gt;='Query Tool'!C$32</f>
        <v>0</v>
      </c>
      <c r="W2316" s="161" t="b">
        <f t="array" ref="W2316">index(Dropdowns!B:B,match(I2316,Dropdowns!A:A,0))</f>
        <v>1</v>
      </c>
      <c r="X2316" s="161" t="b">
        <f t="array" ref="X2316">index('Query Tool'!B:B,match(D2316,'Query Tool'!C:C,0))</f>
        <v>1</v>
      </c>
      <c r="Y2316" s="161" t="str">
        <f t="shared" si="6"/>
        <v>weberbr01,2017-18</v>
      </c>
      <c r="Z2316" s="168" t="str">
        <f t="array" ref="Z2316">iferror(index(I:I,match($A2316&amp;","&amp;index('Year Conversion'!$A:$A,match($C2316,'Year Conversion'!$B:$B,0)),$Y:$Y,0))-I2316,"")</f>
        <v/>
      </c>
      <c r="AA2316" s="168" t="str">
        <f t="array" ref="AA2316">iferror(index(J:J,match($A2316&amp;","&amp;index('Year Conversion'!$A:$A,match($C2316,'Year Conversion'!$B:$B,0)),$Y:$Y,0))-J2316,"")</f>
        <v/>
      </c>
      <c r="AB2316" s="168" t="str">
        <f t="array" ref="AB2316">iferror(index(K:K,match($A2316&amp;","&amp;index('Year Conversion'!$A:$A,match($C2316,'Year Conversion'!$B:$B,0)),$Y:$Y,0))-K2316,"")</f>
        <v/>
      </c>
      <c r="AC2316" s="168" t="str">
        <f t="shared" si="7"/>
        <v>TOT,2017-18</v>
      </c>
    </row>
    <row r="2317">
      <c r="A2317" s="161" t="str">
        <f>IFERROR(__xludf.DUMMYFUNCTION("""COMPUTED_VALUE"""),"simmobe01")</f>
        <v>simmobe01</v>
      </c>
      <c r="B2317" s="161" t="str">
        <f>IFERROR(__xludf.DUMMYFUNCTION("""COMPUTED_VALUE"""),"Ben Simmons")</f>
        <v>Ben Simmons</v>
      </c>
      <c r="C2317" s="162" t="str">
        <f>IFERROR(__xludf.DUMMYFUNCTION("""COMPUTED_VALUE"""),"2017-18")</f>
        <v>2017-18</v>
      </c>
      <c r="D2317" s="163" t="str">
        <f>IFERROR(__xludf.DUMMYFUNCTION("""COMPUTED_VALUE"""),"PHI")</f>
        <v>PHI</v>
      </c>
      <c r="E2317" s="164" t="str">
        <f>IFERROR(__xludf.DUMMYFUNCTION("""COMPUTED_VALUE"""),"Shot Creator")</f>
        <v>Shot Creator</v>
      </c>
      <c r="F2317" s="164">
        <f>IFERROR(__xludf.DUMMYFUNCTION("""COMPUTED_VALUE"""),2731.55333333333)</f>
        <v>2731.553333</v>
      </c>
      <c r="G2317" s="163">
        <f>IFERROR(__xludf.DUMMYFUNCTION("""COMPUTED_VALUE"""),81.0)</f>
        <v>81</v>
      </c>
      <c r="H2317" s="163" t="str">
        <f>IFERROR(__xludf.DUMMYFUNCTION("""COMPUTED_VALUE"""),"PG")</f>
        <v>PG</v>
      </c>
      <c r="I2317" s="163">
        <f>IFERROR(__xludf.DUMMYFUNCTION("""COMPUTED_VALUE"""),21.0)</f>
        <v>21</v>
      </c>
      <c r="J2317" s="165">
        <f>IFERROR(__xludf.DUMMYFUNCTION("""COMPUTED_VALUE"""),1.89523545868901)</f>
        <v>1.895235459</v>
      </c>
      <c r="K2317" s="165">
        <f>IFERROR(__xludf.DUMMYFUNCTION("""COMPUTED_VALUE"""),0.758078939487854)</f>
        <v>0.7580789395</v>
      </c>
      <c r="L2317" s="165">
        <f>IFERROR(__xludf.DUMMYFUNCTION("""COMPUTED_VALUE"""),1.13715651920116)</f>
        <v>1.137156519</v>
      </c>
      <c r="M2317" s="166">
        <f t="shared" si="2"/>
        <v>7.684070501</v>
      </c>
      <c r="N2317" s="167">
        <f t="shared" si="3"/>
        <v>33.72288066</v>
      </c>
      <c r="O2317" s="163">
        <f t="shared" ref="O2317:Q2317" si="2321">rank(I2317,I:I)</f>
        <v>3528</v>
      </c>
      <c r="P2317" s="163">
        <f t="shared" si="2321"/>
        <v>345</v>
      </c>
      <c r="Q2317" s="163">
        <f t="shared" si="2321"/>
        <v>619</v>
      </c>
      <c r="R2317" s="163">
        <f>IFERROR(__xludf.DUMMYFUNCTION("RANK(M2317,filter(M:M,C:C=C2317))"),25.0)</f>
        <v>25</v>
      </c>
      <c r="S2317" s="161" t="b">
        <f t="shared" si="5"/>
        <v>0</v>
      </c>
      <c r="T2317" s="161" t="b">
        <f t="array" ref="T2317">index('Query Tool'!B:B,match(H2317,'Query Tool'!C:C,0))</f>
        <v>1</v>
      </c>
      <c r="U2317" s="161" t="b">
        <f t="array" ref="U2317">index('Query Tool'!B:B,match(C2317,'Query Tool'!C:C,0))</f>
        <v>0</v>
      </c>
      <c r="V2317" s="161" t="b">
        <f>F2317&gt;='Query Tool'!C$32</f>
        <v>1</v>
      </c>
      <c r="W2317" s="161" t="b">
        <f t="array" ref="W2317">index(Dropdowns!B:B,match(I2317,Dropdowns!A:A,0))</f>
        <v>1</v>
      </c>
      <c r="X2317" s="161" t="b">
        <f t="array" ref="X2317">index('Query Tool'!B:B,match(D2317,'Query Tool'!C:C,0))</f>
        <v>1</v>
      </c>
      <c r="Y2317" s="161" t="str">
        <f t="shared" si="6"/>
        <v>simmobe01,2017-18</v>
      </c>
      <c r="Z2317" s="168">
        <f t="array" ref="Z2317">iferror(index(I:I,match($A2317&amp;","&amp;index('Year Conversion'!$A:$A,match($C2317,'Year Conversion'!$B:$B,0)),$Y:$Y,0))-I2317,"")</f>
        <v>1</v>
      </c>
      <c r="AA2317" s="168">
        <f t="array" ref="AA2317">iferror(index(J:J,match($A2317&amp;","&amp;index('Year Conversion'!$A:$A,match($C2317,'Year Conversion'!$B:$B,0)),$Y:$Y,0))-J2317,"")</f>
        <v>-0.8173681183</v>
      </c>
      <c r="AB2317" s="168">
        <f t="array" ref="AB2317">iferror(index(K:K,match($A2317&amp;","&amp;index('Year Conversion'!$A:$A,match($C2317,'Year Conversion'!$B:$B,0)),$Y:$Y,0))-K2317,"")</f>
        <v>0.05243888368</v>
      </c>
      <c r="AC2317" s="168" t="str">
        <f t="shared" si="7"/>
        <v>PHI,2017-18</v>
      </c>
    </row>
    <row r="2318">
      <c r="A2318" s="161" t="str">
        <f>IFERROR(__xludf.DUMMYFUNCTION("""COMPUTED_VALUE"""),"bendedr01")</f>
        <v>bendedr01</v>
      </c>
      <c r="B2318" s="161" t="str">
        <f>IFERROR(__xludf.DUMMYFUNCTION("""COMPUTED_VALUE"""),"Dragan Bender")</f>
        <v>Dragan Bender</v>
      </c>
      <c r="C2318" s="162" t="str">
        <f>IFERROR(__xludf.DUMMYFUNCTION("""COMPUTED_VALUE"""),"2017-18")</f>
        <v>2017-18</v>
      </c>
      <c r="D2318" s="163" t="str">
        <f>IFERROR(__xludf.DUMMYFUNCTION("""COMPUTED_VALUE"""),"PHO")</f>
        <v>PHO</v>
      </c>
      <c r="E2318" s="164" t="str">
        <f>IFERROR(__xludf.DUMMYFUNCTION("""COMPUTED_VALUE"""),"Stationary Shooter")</f>
        <v>Stationary Shooter</v>
      </c>
      <c r="F2318" s="164">
        <f>IFERROR(__xludf.DUMMYFUNCTION("""COMPUTED_VALUE"""),2069.38)</f>
        <v>2069.38</v>
      </c>
      <c r="G2318" s="163">
        <f>IFERROR(__xludf.DUMMYFUNCTION("""COMPUTED_VALUE"""),82.0)</f>
        <v>82</v>
      </c>
      <c r="H2318" s="163" t="str">
        <f>IFERROR(__xludf.DUMMYFUNCTION("""COMPUTED_VALUE"""),"PF")</f>
        <v>PF</v>
      </c>
      <c r="I2318" s="163">
        <f>IFERROR(__xludf.DUMMYFUNCTION("""COMPUTED_VALUE"""),20.0)</f>
        <v>20</v>
      </c>
      <c r="J2318" s="165">
        <f>IFERROR(__xludf.DUMMYFUNCTION("""COMPUTED_VALUE"""),-3.31739447442502)</f>
        <v>-3.317394474</v>
      </c>
      <c r="K2318" s="165">
        <f>IFERROR(__xludf.DUMMYFUNCTION("""COMPUTED_VALUE"""),-2.77892432842896)</f>
        <v>-2.778924328</v>
      </c>
      <c r="L2318" s="165">
        <f>IFERROR(__xludf.DUMMYFUNCTION("""COMPUTED_VALUE"""),-0.538470145996061)</f>
        <v>-0.538470146</v>
      </c>
      <c r="M2318" s="166">
        <f t="shared" si="2"/>
        <v>-1.368498935</v>
      </c>
      <c r="N2318" s="167">
        <f t="shared" si="3"/>
        <v>25.23634146</v>
      </c>
      <c r="O2318" s="163">
        <f t="shared" ref="O2318:Q2318" si="2322">rank(I2318,I:I)</f>
        <v>3770</v>
      </c>
      <c r="P2318" s="163">
        <f t="shared" si="2322"/>
        <v>3945</v>
      </c>
      <c r="Q2318" s="163">
        <f t="shared" si="2322"/>
        <v>3949</v>
      </c>
      <c r="R2318" s="163">
        <f>IFERROR(__xludf.DUMMYFUNCTION("RANK(M2318,filter(M:M,C:C=C2318))"),540.0)</f>
        <v>540</v>
      </c>
      <c r="S2318" s="161" t="b">
        <f t="shared" si="5"/>
        <v>0</v>
      </c>
      <c r="T2318" s="161" t="b">
        <f t="array" ref="T2318">index('Query Tool'!B:B,match(H2318,'Query Tool'!C:C,0))</f>
        <v>1</v>
      </c>
      <c r="U2318" s="161" t="b">
        <f t="array" ref="U2318">index('Query Tool'!B:B,match(C2318,'Query Tool'!C:C,0))</f>
        <v>0</v>
      </c>
      <c r="V2318" s="161" t="b">
        <f>F2318&gt;='Query Tool'!C$32</f>
        <v>1</v>
      </c>
      <c r="W2318" s="161" t="b">
        <f t="array" ref="W2318">index(Dropdowns!B:B,match(I2318,Dropdowns!A:A,0))</f>
        <v>1</v>
      </c>
      <c r="X2318" s="161" t="b">
        <f t="array" ref="X2318">index('Query Tool'!B:B,match(D2318,'Query Tool'!C:C,0))</f>
        <v>1</v>
      </c>
      <c r="Y2318" s="161" t="str">
        <f t="shared" si="6"/>
        <v>bendedr01,2017-18</v>
      </c>
      <c r="Z2318" s="168">
        <f t="array" ref="Z2318">iferror(index(I:I,match($A2318&amp;","&amp;index('Year Conversion'!$A:$A,match($C2318,'Year Conversion'!$B:$B,0)),$Y:$Y,0))-I2318,"")</f>
        <v>1</v>
      </c>
      <c r="AA2318" s="168">
        <f t="array" ref="AA2318">iferror(index(J:J,match($A2318&amp;","&amp;index('Year Conversion'!$A:$A,match($C2318,'Year Conversion'!$B:$B,0)),$Y:$Y,0))-J2318,"")</f>
        <v>2.462032226</v>
      </c>
      <c r="AB2318" s="168">
        <f t="array" ref="AB2318">iferror(index(K:K,match($A2318&amp;","&amp;index('Year Conversion'!$A:$A,match($C2318,'Year Conversion'!$B:$B,0)),$Y:$Y,0))-K2318,"")</f>
        <v>1.466382852</v>
      </c>
      <c r="AC2318" s="168" t="str">
        <f t="shared" si="7"/>
        <v>PHO,2017-18</v>
      </c>
    </row>
    <row r="2319">
      <c r="A2319" s="161" t="str">
        <f>IFERROR(__xludf.DUMMYFUNCTION("""COMPUTED_VALUE"""),"sabondo01")</f>
        <v>sabondo01</v>
      </c>
      <c r="B2319" s="161" t="str">
        <f>IFERROR(__xludf.DUMMYFUNCTION("""COMPUTED_VALUE"""),"Domantas Sabonis")</f>
        <v>Domantas Sabonis</v>
      </c>
      <c r="C2319" s="162" t="str">
        <f>IFERROR(__xludf.DUMMYFUNCTION("""COMPUTED_VALUE"""),"2017-18")</f>
        <v>2017-18</v>
      </c>
      <c r="D2319" s="163" t="str">
        <f>IFERROR(__xludf.DUMMYFUNCTION("""COMPUTED_VALUE"""),"IND")</f>
        <v>IND</v>
      </c>
      <c r="E2319" s="164" t="str">
        <f>IFERROR(__xludf.DUMMYFUNCTION("""COMPUTED_VALUE"""),"Roll + Cut Big")</f>
        <v>Roll + Cut Big</v>
      </c>
      <c r="F2319" s="164">
        <f>IFERROR(__xludf.DUMMYFUNCTION("""COMPUTED_VALUE"""),1810.12)</f>
        <v>1810.12</v>
      </c>
      <c r="G2319" s="163">
        <f>IFERROR(__xludf.DUMMYFUNCTION("""COMPUTED_VALUE"""),74.0)</f>
        <v>74</v>
      </c>
      <c r="H2319" s="163" t="str">
        <f>IFERROR(__xludf.DUMMYFUNCTION("""COMPUTED_VALUE"""),"C")</f>
        <v>C</v>
      </c>
      <c r="I2319" s="163">
        <f>IFERROR(__xludf.DUMMYFUNCTION("""COMPUTED_VALUE"""),21.0)</f>
        <v>21</v>
      </c>
      <c r="J2319" s="165">
        <f>IFERROR(__xludf.DUMMYFUNCTION("""COMPUTED_VALUE"""),-0.472347127169346)</f>
        <v>-0.4723471272</v>
      </c>
      <c r="K2319" s="165">
        <f>IFERROR(__xludf.DUMMYFUNCTION("""COMPUTED_VALUE"""),-0.193993029609219)</f>
        <v>-0.1939930296</v>
      </c>
      <c r="L2319" s="165">
        <f>IFERROR(__xludf.DUMMYFUNCTION("""COMPUTED_VALUE"""),-0.278354097560127)</f>
        <v>-0.2783540976</v>
      </c>
      <c r="M2319" s="166">
        <f t="shared" si="2"/>
        <v>2.214344612</v>
      </c>
      <c r="N2319" s="167">
        <f t="shared" si="3"/>
        <v>24.46108108</v>
      </c>
      <c r="O2319" s="163">
        <f t="shared" ref="O2319:Q2319" si="2323">rank(I2319,I:I)</f>
        <v>3528</v>
      </c>
      <c r="P2319" s="163">
        <f t="shared" si="2323"/>
        <v>1812</v>
      </c>
      <c r="Q2319" s="163">
        <f t="shared" si="2323"/>
        <v>1554</v>
      </c>
      <c r="R2319" s="163">
        <f>IFERROR(__xludf.DUMMYFUNCTION("RANK(M2319,filter(M:M,C:C=C2319))"),149.0)</f>
        <v>149</v>
      </c>
      <c r="S2319" s="161" t="b">
        <f t="shared" si="5"/>
        <v>0</v>
      </c>
      <c r="T2319" s="161" t="b">
        <f t="array" ref="T2319">index('Query Tool'!B:B,match(H2319,'Query Tool'!C:C,0))</f>
        <v>1</v>
      </c>
      <c r="U2319" s="161" t="b">
        <f t="array" ref="U2319">index('Query Tool'!B:B,match(C2319,'Query Tool'!C:C,0))</f>
        <v>0</v>
      </c>
      <c r="V2319" s="161" t="b">
        <f>F2319&gt;='Query Tool'!C$32</f>
        <v>1</v>
      </c>
      <c r="W2319" s="161" t="b">
        <f t="array" ref="W2319">index(Dropdowns!B:B,match(I2319,Dropdowns!A:A,0))</f>
        <v>1</v>
      </c>
      <c r="X2319" s="161" t="b">
        <f t="array" ref="X2319">index('Query Tool'!B:B,match(D2319,'Query Tool'!C:C,0))</f>
        <v>1</v>
      </c>
      <c r="Y2319" s="161" t="str">
        <f t="shared" si="6"/>
        <v>sabondo01,2017-18</v>
      </c>
      <c r="Z2319" s="168">
        <f t="array" ref="Z2319">iferror(index(I:I,match($A2319&amp;","&amp;index('Year Conversion'!$A:$A,match($C2319,'Year Conversion'!$B:$B,0)),$Y:$Y,0))-I2319,"")</f>
        <v>1</v>
      </c>
      <c r="AA2319" s="168">
        <f t="array" ref="AA2319">iferror(index(J:J,match($A2319&amp;","&amp;index('Year Conversion'!$A:$A,match($C2319,'Year Conversion'!$B:$B,0)),$Y:$Y,0))-J2319,"")</f>
        <v>2.180253779</v>
      </c>
      <c r="AB2319" s="168">
        <f t="array" ref="AB2319">iferror(index(K:K,match($A2319&amp;","&amp;index('Year Conversion'!$A:$A,match($C2319,'Year Conversion'!$B:$B,0)),$Y:$Y,0))-K2319,"")</f>
        <v>0.8029313594</v>
      </c>
      <c r="AC2319" s="168" t="str">
        <f t="shared" si="7"/>
        <v>IND,2017-18</v>
      </c>
    </row>
    <row r="2320">
      <c r="A2320" s="161" t="str">
        <f>IFERROR(__xludf.DUMMYFUNCTION("""COMPUTED_VALUE"""),"baldwwa01")</f>
        <v>baldwwa01</v>
      </c>
      <c r="B2320" s="161" t="str">
        <f>IFERROR(__xludf.DUMMYFUNCTION("""COMPUTED_VALUE"""),"Wade Baldwin IV")</f>
        <v>Wade Baldwin IV</v>
      </c>
      <c r="C2320" s="162" t="str">
        <f>IFERROR(__xludf.DUMMYFUNCTION("""COMPUTED_VALUE"""),"2017-18")</f>
        <v>2017-18</v>
      </c>
      <c r="D2320" s="163" t="str">
        <f>IFERROR(__xludf.DUMMYFUNCTION("""COMPUTED_VALUE"""),"POR")</f>
        <v>POR</v>
      </c>
      <c r="E2320" s="164" t="str">
        <f>IFERROR(__xludf.DUMMYFUNCTION("""COMPUTED_VALUE"""),"Slasher")</f>
        <v>Slasher</v>
      </c>
      <c r="F2320" s="164">
        <f>IFERROR(__xludf.DUMMYFUNCTION("""COMPUTED_VALUE"""),80.4816666666666)</f>
        <v>80.48166667</v>
      </c>
      <c r="G2320" s="163">
        <f>IFERROR(__xludf.DUMMYFUNCTION("""COMPUTED_VALUE"""),7.0)</f>
        <v>7</v>
      </c>
      <c r="H2320" s="163" t="str">
        <f>IFERROR(__xludf.DUMMYFUNCTION("""COMPUTED_VALUE"""),"PG")</f>
        <v>PG</v>
      </c>
      <c r="I2320" s="163">
        <f>IFERROR(__xludf.DUMMYFUNCTION("""COMPUTED_VALUE"""),21.0)</f>
        <v>21</v>
      </c>
      <c r="J2320" s="165">
        <f>IFERROR(__xludf.DUMMYFUNCTION("""COMPUTED_VALUE"""),-0.52211094208568)</f>
        <v>-0.5221109421</v>
      </c>
      <c r="K2320" s="165">
        <f>IFERROR(__xludf.DUMMYFUNCTION("""COMPUTED_VALUE"""),-0.348921942099029)</f>
        <v>-0.3489219421</v>
      </c>
      <c r="L2320" s="165">
        <f>IFERROR(__xludf.DUMMYFUNCTION("""COMPUTED_VALUE"""),-0.173188999986652)</f>
        <v>-0.173189</v>
      </c>
      <c r="M2320" s="166">
        <f t="shared" si="2"/>
        <v>0.09575692816</v>
      </c>
      <c r="N2320" s="167">
        <f t="shared" si="3"/>
        <v>11.49738095</v>
      </c>
      <c r="O2320" s="163">
        <f t="shared" ref="O2320:Q2320" si="2324">rank(I2320,I:I)</f>
        <v>3528</v>
      </c>
      <c r="P2320" s="163">
        <f t="shared" si="2324"/>
        <v>1886</v>
      </c>
      <c r="Q2320" s="163">
        <f t="shared" si="2324"/>
        <v>1849</v>
      </c>
      <c r="R2320" s="163">
        <f>IFERROR(__xludf.DUMMYFUNCTION("RANK(M2320,filter(M:M,C:C=C2320))"),401.0)</f>
        <v>401</v>
      </c>
      <c r="S2320" s="161" t="b">
        <f t="shared" si="5"/>
        <v>0</v>
      </c>
      <c r="T2320" s="161" t="b">
        <f t="array" ref="T2320">index('Query Tool'!B:B,match(H2320,'Query Tool'!C:C,0))</f>
        <v>1</v>
      </c>
      <c r="U2320" s="161" t="b">
        <f t="array" ref="U2320">index('Query Tool'!B:B,match(C2320,'Query Tool'!C:C,0))</f>
        <v>0</v>
      </c>
      <c r="V2320" s="161" t="b">
        <f>F2320&gt;='Query Tool'!C$32</f>
        <v>0</v>
      </c>
      <c r="W2320" s="161" t="b">
        <f t="array" ref="W2320">index(Dropdowns!B:B,match(I2320,Dropdowns!A:A,0))</f>
        <v>1</v>
      </c>
      <c r="X2320" s="161" t="b">
        <f t="array" ref="X2320">index('Query Tool'!B:B,match(D2320,'Query Tool'!C:C,0))</f>
        <v>1</v>
      </c>
      <c r="Y2320" s="161" t="str">
        <f t="shared" si="6"/>
        <v>baldwwa01,2017-18</v>
      </c>
      <c r="Z2320" s="168">
        <f t="array" ref="Z2320">iferror(index(I:I,match($A2320&amp;","&amp;index('Year Conversion'!$A:$A,match($C2320,'Year Conversion'!$B:$B,0)),$Y:$Y,0))-I2320,"")</f>
        <v>1</v>
      </c>
      <c r="AA2320" s="168">
        <f t="array" ref="AA2320">iferror(index(J:J,match($A2320&amp;","&amp;index('Year Conversion'!$A:$A,match($C2320,'Year Conversion'!$B:$B,0)),$Y:$Y,0))-J2320,"")</f>
        <v>-1.296574128</v>
      </c>
      <c r="AB2320" s="168">
        <f t="array" ref="AB2320">iferror(index(K:K,match($A2320&amp;","&amp;index('Year Conversion'!$A:$A,match($C2320,'Year Conversion'!$B:$B,0)),$Y:$Y,0))-K2320,"")</f>
        <v>-0.7821785501</v>
      </c>
      <c r="AC2320" s="168" t="str">
        <f t="shared" si="7"/>
        <v>POR,2017-18</v>
      </c>
    </row>
    <row r="2321">
      <c r="A2321" s="161" t="str">
        <f>IFERROR(__xludf.DUMMYFUNCTION("""COMPUTED_VALUE"""),"beaslma01")</f>
        <v>beaslma01</v>
      </c>
      <c r="B2321" s="161" t="str">
        <f>IFERROR(__xludf.DUMMYFUNCTION("""COMPUTED_VALUE"""),"Malik Beasley")</f>
        <v>Malik Beasley</v>
      </c>
      <c r="C2321" s="162" t="str">
        <f>IFERROR(__xludf.DUMMYFUNCTION("""COMPUTED_VALUE"""),"2017-18")</f>
        <v>2017-18</v>
      </c>
      <c r="D2321" s="163" t="str">
        <f>IFERROR(__xludf.DUMMYFUNCTION("""COMPUTED_VALUE"""),"DEN")</f>
        <v>DEN</v>
      </c>
      <c r="E2321" s="164" t="str">
        <f>IFERROR(__xludf.DUMMYFUNCTION("""COMPUTED_VALUE"""),"Movement Shooter")</f>
        <v>Movement Shooter</v>
      </c>
      <c r="F2321" s="164">
        <f>IFERROR(__xludf.DUMMYFUNCTION("""COMPUTED_VALUE"""),582.731666666667)</f>
        <v>582.7316667</v>
      </c>
      <c r="G2321" s="163">
        <f>IFERROR(__xludf.DUMMYFUNCTION("""COMPUTED_VALUE"""),62.0)</f>
        <v>62</v>
      </c>
      <c r="H2321" s="163" t="str">
        <f>IFERROR(__xludf.DUMMYFUNCTION("""COMPUTED_VALUE"""),"SG")</f>
        <v>SG</v>
      </c>
      <c r="I2321" s="163">
        <f>IFERROR(__xludf.DUMMYFUNCTION("""COMPUTED_VALUE"""),21.0)</f>
        <v>21</v>
      </c>
      <c r="J2321" s="165">
        <f>IFERROR(__xludf.DUMMYFUNCTION("""COMPUTED_VALUE"""),-1.78351169821939)</f>
        <v>-1.783511698</v>
      </c>
      <c r="K2321" s="165">
        <f>IFERROR(__xludf.DUMMYFUNCTION("""COMPUTED_VALUE"""),-1.09946402452276)</f>
        <v>-1.099464025</v>
      </c>
      <c r="L2321" s="165">
        <f>IFERROR(__xludf.DUMMYFUNCTION("""COMPUTED_VALUE"""),-0.684047673696629)</f>
        <v>-0.6840476737</v>
      </c>
      <c r="M2321" s="166">
        <f t="shared" si="2"/>
        <v>0.2007665803</v>
      </c>
      <c r="N2321" s="167">
        <f t="shared" si="3"/>
        <v>9.398897849</v>
      </c>
      <c r="O2321" s="163">
        <f t="shared" ref="O2321:Q2321" si="2325">rank(I2321,I:I)</f>
        <v>3528</v>
      </c>
      <c r="P2321" s="163">
        <f t="shared" si="2325"/>
        <v>3316</v>
      </c>
      <c r="Q2321" s="163">
        <f t="shared" si="2325"/>
        <v>2930</v>
      </c>
      <c r="R2321" s="163">
        <f>IFERROR(__xludf.DUMMYFUNCTION("RANK(M2321,filter(M:M,C:C=C2321))"),343.0)</f>
        <v>343</v>
      </c>
      <c r="S2321" s="161" t="b">
        <f t="shared" si="5"/>
        <v>0</v>
      </c>
      <c r="T2321" s="161" t="b">
        <f t="array" ref="T2321">index('Query Tool'!B:B,match(H2321,'Query Tool'!C:C,0))</f>
        <v>1</v>
      </c>
      <c r="U2321" s="161" t="b">
        <f t="array" ref="U2321">index('Query Tool'!B:B,match(C2321,'Query Tool'!C:C,0))</f>
        <v>0</v>
      </c>
      <c r="V2321" s="161" t="b">
        <f>F2321&gt;='Query Tool'!C$32</f>
        <v>1</v>
      </c>
      <c r="W2321" s="161" t="b">
        <f t="array" ref="W2321">index(Dropdowns!B:B,match(I2321,Dropdowns!A:A,0))</f>
        <v>1</v>
      </c>
      <c r="X2321" s="161" t="b">
        <f t="array" ref="X2321">index('Query Tool'!B:B,match(D2321,'Query Tool'!C:C,0))</f>
        <v>1</v>
      </c>
      <c r="Y2321" s="161" t="str">
        <f t="shared" si="6"/>
        <v>beaslma01,2017-18</v>
      </c>
      <c r="Z2321" s="168">
        <f t="array" ref="Z2321">iferror(index(I:I,match($A2321&amp;","&amp;index('Year Conversion'!$A:$A,match($C2321,'Year Conversion'!$B:$B,0)),$Y:$Y,0))-I2321,"")</f>
        <v>1</v>
      </c>
      <c r="AA2321" s="168">
        <f t="array" ref="AA2321">iferror(index(J:J,match($A2321&amp;","&amp;index('Year Conversion'!$A:$A,match($C2321,'Year Conversion'!$B:$B,0)),$Y:$Y,0))-J2321,"")</f>
        <v>0.6112031577</v>
      </c>
      <c r="AB2321" s="168">
        <f t="array" ref="AB2321">iferror(index(K:K,match($A2321&amp;","&amp;index('Year Conversion'!$A:$A,match($C2321,'Year Conversion'!$B:$B,0)),$Y:$Y,0))-K2321,"")</f>
        <v>1.318759047</v>
      </c>
      <c r="AC2321" s="168" t="str">
        <f t="shared" si="7"/>
        <v>DEN,2017-18</v>
      </c>
    </row>
    <row r="2322">
      <c r="A2322" s="161" t="str">
        <f>IFERROR(__xludf.DUMMYFUNCTION("""COMPUTED_VALUE"""),"chrisma01")</f>
        <v>chrisma01</v>
      </c>
      <c r="B2322" s="161" t="str">
        <f>IFERROR(__xludf.DUMMYFUNCTION("""COMPUTED_VALUE"""),"Marquese Chriss")</f>
        <v>Marquese Chriss</v>
      </c>
      <c r="C2322" s="162" t="str">
        <f>IFERROR(__xludf.DUMMYFUNCTION("""COMPUTED_VALUE"""),"2017-18")</f>
        <v>2017-18</v>
      </c>
      <c r="D2322" s="163" t="str">
        <f>IFERROR(__xludf.DUMMYFUNCTION("""COMPUTED_VALUE"""),"PHO")</f>
        <v>PHO</v>
      </c>
      <c r="E2322" s="164" t="str">
        <f>IFERROR(__xludf.DUMMYFUNCTION("""COMPUTED_VALUE"""),"Stretch Big")</f>
        <v>Stretch Big</v>
      </c>
      <c r="F2322" s="164">
        <f>IFERROR(__xludf.DUMMYFUNCTION("""COMPUTED_VALUE"""),1526.9)</f>
        <v>1526.9</v>
      </c>
      <c r="G2322" s="163">
        <f>IFERROR(__xludf.DUMMYFUNCTION("""COMPUTED_VALUE"""),72.0)</f>
        <v>72</v>
      </c>
      <c r="H2322" s="163" t="str">
        <f>IFERROR(__xludf.DUMMYFUNCTION("""COMPUTED_VALUE"""),"PF")</f>
        <v>PF</v>
      </c>
      <c r="I2322" s="163">
        <f>IFERROR(__xludf.DUMMYFUNCTION("""COMPUTED_VALUE"""),20.0)</f>
        <v>20</v>
      </c>
      <c r="J2322" s="165">
        <f>IFERROR(__xludf.DUMMYFUNCTION("""COMPUTED_VALUE"""),-0.514273405099976)</f>
        <v>-0.5142734051</v>
      </c>
      <c r="K2322" s="165">
        <f>IFERROR(__xludf.DUMMYFUNCTION("""COMPUTED_VALUE"""),-1.88336976567528)</f>
        <v>-1.883369766</v>
      </c>
      <c r="L2322" s="165">
        <f>IFERROR(__xludf.DUMMYFUNCTION("""COMPUTED_VALUE"""),1.36909636057531)</f>
        <v>1.369096361</v>
      </c>
      <c r="M2322" s="166">
        <f t="shared" si="2"/>
        <v>1.824761705</v>
      </c>
      <c r="N2322" s="167">
        <f t="shared" si="3"/>
        <v>21.20694444</v>
      </c>
      <c r="O2322" s="163">
        <f t="shared" ref="O2322:Q2322" si="2326">rank(I2322,I:I)</f>
        <v>3770</v>
      </c>
      <c r="P2322" s="163">
        <f t="shared" si="2326"/>
        <v>1875</v>
      </c>
      <c r="Q2322" s="163">
        <f t="shared" si="2326"/>
        <v>3631</v>
      </c>
      <c r="R2322" s="163">
        <f>IFERROR(__xludf.DUMMYFUNCTION("RANK(M2322,filter(M:M,C:C=C2322))"),167.0)</f>
        <v>167</v>
      </c>
      <c r="S2322" s="161" t="b">
        <f t="shared" si="5"/>
        <v>0</v>
      </c>
      <c r="T2322" s="161" t="b">
        <f t="array" ref="T2322">index('Query Tool'!B:B,match(H2322,'Query Tool'!C:C,0))</f>
        <v>1</v>
      </c>
      <c r="U2322" s="161" t="b">
        <f t="array" ref="U2322">index('Query Tool'!B:B,match(C2322,'Query Tool'!C:C,0))</f>
        <v>0</v>
      </c>
      <c r="V2322" s="161" t="b">
        <f>F2322&gt;='Query Tool'!C$32</f>
        <v>1</v>
      </c>
      <c r="W2322" s="161" t="b">
        <f t="array" ref="W2322">index(Dropdowns!B:B,match(I2322,Dropdowns!A:A,0))</f>
        <v>1</v>
      </c>
      <c r="X2322" s="161" t="b">
        <f t="array" ref="X2322">index('Query Tool'!B:B,match(D2322,'Query Tool'!C:C,0))</f>
        <v>1</v>
      </c>
      <c r="Y2322" s="161" t="str">
        <f t="shared" si="6"/>
        <v>chrisma01,2017-18</v>
      </c>
      <c r="Z2322" s="168">
        <f t="array" ref="Z2322">iferror(index(I:I,match($A2322&amp;","&amp;index('Year Conversion'!$A:$A,match($C2322,'Year Conversion'!$B:$B,0)),$Y:$Y,0))-I2322,"")</f>
        <v>1</v>
      </c>
      <c r="AA2322" s="168">
        <f t="array" ref="AA2322">iferror(index(J:J,match($A2322&amp;","&amp;index('Year Conversion'!$A:$A,match($C2322,'Year Conversion'!$B:$B,0)),$Y:$Y,0))-J2322,"")</f>
        <v>-0.4365964635</v>
      </c>
      <c r="AB2322" s="168">
        <f t="array" ref="AB2322">iferror(index(K:K,match($A2322&amp;","&amp;index('Year Conversion'!$A:$A,match($C2322,'Year Conversion'!$B:$B,0)),$Y:$Y,0))-K2322,"")</f>
        <v>1.003870472</v>
      </c>
      <c r="AC2322" s="168" t="str">
        <f t="shared" si="7"/>
        <v>PHO,2017-18</v>
      </c>
    </row>
    <row r="2323">
      <c r="A2323" s="161" t="str">
        <f>IFERROR(__xludf.DUMMYFUNCTION("""COMPUTED_VALUE"""),"davisde01")</f>
        <v>davisde01</v>
      </c>
      <c r="B2323" s="161" t="str">
        <f>IFERROR(__xludf.DUMMYFUNCTION("""COMPUTED_VALUE"""),"Deyonta Davis")</f>
        <v>Deyonta Davis</v>
      </c>
      <c r="C2323" s="162" t="str">
        <f>IFERROR(__xludf.DUMMYFUNCTION("""COMPUTED_VALUE"""),"2017-18")</f>
        <v>2017-18</v>
      </c>
      <c r="D2323" s="163" t="str">
        <f>IFERROR(__xludf.DUMMYFUNCTION("""COMPUTED_VALUE"""),"MEM")</f>
        <v>MEM</v>
      </c>
      <c r="E2323" s="164" t="str">
        <f>IFERROR(__xludf.DUMMYFUNCTION("""COMPUTED_VALUE"""),"Roll + Cut Big")</f>
        <v>Roll + Cut Big</v>
      </c>
      <c r="F2323" s="164">
        <f>IFERROR(__xludf.DUMMYFUNCTION("""COMPUTED_VALUE"""),942.673333333334)</f>
        <v>942.6733333</v>
      </c>
      <c r="G2323" s="163">
        <f>IFERROR(__xludf.DUMMYFUNCTION("""COMPUTED_VALUE"""),62.0)</f>
        <v>62</v>
      </c>
      <c r="H2323" s="163" t="str">
        <f>IFERROR(__xludf.DUMMYFUNCTION("""COMPUTED_VALUE"""),"C")</f>
        <v>C</v>
      </c>
      <c r="I2323" s="163">
        <f>IFERROR(__xludf.DUMMYFUNCTION("""COMPUTED_VALUE"""),21.0)</f>
        <v>21</v>
      </c>
      <c r="J2323" s="165">
        <f>IFERROR(__xludf.DUMMYFUNCTION("""COMPUTED_VALUE"""),-2.06377335164836)</f>
        <v>-2.063773352</v>
      </c>
      <c r="K2323" s="165">
        <f>IFERROR(__xludf.DUMMYFUNCTION("""COMPUTED_VALUE"""),-1.07090952557239)</f>
        <v>-1.070909526</v>
      </c>
      <c r="L2323" s="165">
        <f>IFERROR(__xludf.DUMMYFUNCTION("""COMPUTED_VALUE"""),-0.992863826075975)</f>
        <v>-0.9928638261</v>
      </c>
      <c r="M2323" s="166">
        <f t="shared" si="2"/>
        <v>0.1493818583</v>
      </c>
      <c r="N2323" s="167">
        <f t="shared" si="3"/>
        <v>15.2044086</v>
      </c>
      <c r="O2323" s="163">
        <f t="shared" ref="O2323:Q2323" si="2327">rank(I2323,I:I)</f>
        <v>3528</v>
      </c>
      <c r="P2323" s="163">
        <f t="shared" si="2327"/>
        <v>3528</v>
      </c>
      <c r="Q2323" s="163">
        <f t="shared" si="2327"/>
        <v>2897</v>
      </c>
      <c r="R2323" s="163">
        <f>IFERROR(__xludf.DUMMYFUNCTION("RANK(M2323,filter(M:M,C:C=C2323))"),363.0)</f>
        <v>363</v>
      </c>
      <c r="S2323" s="161" t="b">
        <f t="shared" si="5"/>
        <v>0</v>
      </c>
      <c r="T2323" s="161" t="b">
        <f t="array" ref="T2323">index('Query Tool'!B:B,match(H2323,'Query Tool'!C:C,0))</f>
        <v>1</v>
      </c>
      <c r="U2323" s="161" t="b">
        <f t="array" ref="U2323">index('Query Tool'!B:B,match(C2323,'Query Tool'!C:C,0))</f>
        <v>0</v>
      </c>
      <c r="V2323" s="161" t="b">
        <f>F2323&gt;='Query Tool'!C$32</f>
        <v>1</v>
      </c>
      <c r="W2323" s="161" t="b">
        <f t="array" ref="W2323">index(Dropdowns!B:B,match(I2323,Dropdowns!A:A,0))</f>
        <v>1</v>
      </c>
      <c r="X2323" s="161" t="b">
        <f t="array" ref="X2323">index('Query Tool'!B:B,match(D2323,'Query Tool'!C:C,0))</f>
        <v>1</v>
      </c>
      <c r="Y2323" s="161" t="str">
        <f t="shared" si="6"/>
        <v>davisde01,2017-18</v>
      </c>
      <c r="Z2323" s="168">
        <f t="array" ref="Z2323">iferror(index(I:I,match($A2323&amp;","&amp;index('Year Conversion'!$A:$A,match($C2323,'Year Conversion'!$B:$B,0)),$Y:$Y,0))-I2323,"")</f>
        <v>1</v>
      </c>
      <c r="AA2323" s="168">
        <f t="array" ref="AA2323">iferror(index(J:J,match($A2323&amp;","&amp;index('Year Conversion'!$A:$A,match($C2323,'Year Conversion'!$B:$B,0)),$Y:$Y,0))-J2323,"")</f>
        <v>2.178277385</v>
      </c>
      <c r="AB2323" s="168">
        <f t="array" ref="AB2323">iferror(index(K:K,match($A2323&amp;","&amp;index('Year Conversion'!$A:$A,match($C2323,'Year Conversion'!$B:$B,0)),$Y:$Y,0))-K2323,"")</f>
        <v>0.5436810078</v>
      </c>
      <c r="AC2323" s="168" t="str">
        <f t="shared" si="7"/>
        <v>MEM,2017-18</v>
      </c>
    </row>
    <row r="2324">
      <c r="A2324" s="161" t="str">
        <f>IFERROR(__xludf.DUMMYFUNCTION("""COMPUTED_VALUE"""),"dunnkr01")</f>
        <v>dunnkr01</v>
      </c>
      <c r="B2324" s="161" t="str">
        <f>IFERROR(__xludf.DUMMYFUNCTION("""COMPUTED_VALUE"""),"Kris Dunn")</f>
        <v>Kris Dunn</v>
      </c>
      <c r="C2324" s="162" t="str">
        <f>IFERROR(__xludf.DUMMYFUNCTION("""COMPUTED_VALUE"""),"2017-18")</f>
        <v>2017-18</v>
      </c>
      <c r="D2324" s="163" t="str">
        <f>IFERROR(__xludf.DUMMYFUNCTION("""COMPUTED_VALUE"""),"CHI")</f>
        <v>CHI</v>
      </c>
      <c r="E2324" s="164" t="str">
        <f>IFERROR(__xludf.DUMMYFUNCTION("""COMPUTED_VALUE"""),"Slasher")</f>
        <v>Slasher</v>
      </c>
      <c r="F2324" s="164">
        <f>IFERROR(__xludf.DUMMYFUNCTION("""COMPUTED_VALUE"""),1524.83333333333)</f>
        <v>1524.833333</v>
      </c>
      <c r="G2324" s="163">
        <f>IFERROR(__xludf.DUMMYFUNCTION("""COMPUTED_VALUE"""),52.0)</f>
        <v>52</v>
      </c>
      <c r="H2324" s="163" t="str">
        <f>IFERROR(__xludf.DUMMYFUNCTION("""COMPUTED_VALUE"""),"PG")</f>
        <v>PG</v>
      </c>
      <c r="I2324" s="163">
        <f>IFERROR(__xludf.DUMMYFUNCTION("""COMPUTED_VALUE"""),23.0)</f>
        <v>23</v>
      </c>
      <c r="J2324" s="165">
        <f>IFERROR(__xludf.DUMMYFUNCTION("""COMPUTED_VALUE"""),-0.740583381676453)</f>
        <v>-0.7405833817</v>
      </c>
      <c r="K2324" s="165">
        <f>IFERROR(__xludf.DUMMYFUNCTION("""COMPUTED_VALUE"""),-1.04001884331138)</f>
        <v>-1.040018843</v>
      </c>
      <c r="L2324" s="165">
        <f>IFERROR(__xludf.DUMMYFUNCTION("""COMPUTED_VALUE"""),0.299435461634923)</f>
        <v>0.2994354616</v>
      </c>
      <c r="M2324" s="166">
        <f t="shared" si="2"/>
        <v>1.590024481</v>
      </c>
      <c r="N2324" s="167">
        <f t="shared" si="3"/>
        <v>29.32371795</v>
      </c>
      <c r="O2324" s="163">
        <f t="shared" ref="O2324:Q2324" si="2328">rank(I2324,I:I)</f>
        <v>2765</v>
      </c>
      <c r="P2324" s="163">
        <f t="shared" si="2328"/>
        <v>2204</v>
      </c>
      <c r="Q2324" s="163">
        <f t="shared" si="2328"/>
        <v>2856</v>
      </c>
      <c r="R2324" s="163">
        <f>IFERROR(__xludf.DUMMYFUNCTION("RANK(M2324,filter(M:M,C:C=C2324))"),182.0)</f>
        <v>182</v>
      </c>
      <c r="S2324" s="161" t="b">
        <f t="shared" si="5"/>
        <v>0</v>
      </c>
      <c r="T2324" s="161" t="b">
        <f t="array" ref="T2324">index('Query Tool'!B:B,match(H2324,'Query Tool'!C:C,0))</f>
        <v>1</v>
      </c>
      <c r="U2324" s="161" t="b">
        <f t="array" ref="U2324">index('Query Tool'!B:B,match(C2324,'Query Tool'!C:C,0))</f>
        <v>0</v>
      </c>
      <c r="V2324" s="161" t="b">
        <f>F2324&gt;='Query Tool'!C$32</f>
        <v>1</v>
      </c>
      <c r="W2324" s="161" t="b">
        <f t="array" ref="W2324">index(Dropdowns!B:B,match(I2324,Dropdowns!A:A,0))</f>
        <v>1</v>
      </c>
      <c r="X2324" s="161" t="b">
        <f t="array" ref="X2324">index('Query Tool'!B:B,match(D2324,'Query Tool'!C:C,0))</f>
        <v>1</v>
      </c>
      <c r="Y2324" s="161" t="str">
        <f t="shared" si="6"/>
        <v>dunnkr01,2017-18</v>
      </c>
      <c r="Z2324" s="168">
        <f t="array" ref="Z2324">iferror(index(I:I,match($A2324&amp;","&amp;index('Year Conversion'!$A:$A,match($C2324,'Year Conversion'!$B:$B,0)),$Y:$Y,0))-I2324,"")</f>
        <v>1</v>
      </c>
      <c r="AA2324" s="168">
        <f t="array" ref="AA2324">iferror(index(J:J,match($A2324&amp;","&amp;index('Year Conversion'!$A:$A,match($C2324,'Year Conversion'!$B:$B,0)),$Y:$Y,0))-J2324,"")</f>
        <v>-0.9434513394</v>
      </c>
      <c r="AB2324" s="168">
        <f t="array" ref="AB2324">iferror(index(K:K,match($A2324&amp;","&amp;index('Year Conversion'!$A:$A,match($C2324,'Year Conversion'!$B:$B,0)),$Y:$Y,0))-K2324,"")</f>
        <v>-0.6864954786</v>
      </c>
      <c r="AC2324" s="168" t="str">
        <f t="shared" si="7"/>
        <v>CHI,2017-18</v>
      </c>
    </row>
    <row r="2325">
      <c r="A2325" s="161" t="str">
        <f>IFERROR(__xludf.DUMMYFUNCTION("""COMPUTED_VALUE"""),"ellenhe01")</f>
        <v>ellenhe01</v>
      </c>
      <c r="B2325" s="161" t="str">
        <f>IFERROR(__xludf.DUMMYFUNCTION("""COMPUTED_VALUE"""),"Henry Ellenson")</f>
        <v>Henry Ellenson</v>
      </c>
      <c r="C2325" s="162" t="str">
        <f>IFERROR(__xludf.DUMMYFUNCTION("""COMPUTED_VALUE"""),"2017-18")</f>
        <v>2017-18</v>
      </c>
      <c r="D2325" s="163" t="str">
        <f>IFERROR(__xludf.DUMMYFUNCTION("""COMPUTED_VALUE"""),"DET")</f>
        <v>DET</v>
      </c>
      <c r="E2325" s="164" t="str">
        <f>IFERROR(__xludf.DUMMYFUNCTION("""COMPUTED_VALUE"""),"Movement Shooter")</f>
        <v>Movement Shooter</v>
      </c>
      <c r="F2325" s="164">
        <f>IFERROR(__xludf.DUMMYFUNCTION("""COMPUTED_VALUE"""),328.923333333333)</f>
        <v>328.9233333</v>
      </c>
      <c r="G2325" s="163">
        <f>IFERROR(__xludf.DUMMYFUNCTION("""COMPUTED_VALUE"""),38.0)</f>
        <v>38</v>
      </c>
      <c r="H2325" s="163" t="str">
        <f>IFERROR(__xludf.DUMMYFUNCTION("""COMPUTED_VALUE"""),"PF")</f>
        <v>PF</v>
      </c>
      <c r="I2325" s="163">
        <f>IFERROR(__xludf.DUMMYFUNCTION("""COMPUTED_VALUE"""),21.0)</f>
        <v>21</v>
      </c>
      <c r="J2325" s="165">
        <f>IFERROR(__xludf.DUMMYFUNCTION("""COMPUTED_VALUE"""),-1.27052339879356)</f>
        <v>-1.270523399</v>
      </c>
      <c r="K2325" s="165">
        <f>IFERROR(__xludf.DUMMYFUNCTION("""COMPUTED_VALUE"""),-0.529178136084556)</f>
        <v>-0.5291781361</v>
      </c>
      <c r="L2325" s="165">
        <f>IFERROR(__xludf.DUMMYFUNCTION("""COMPUTED_VALUE"""),-0.741345262708999)</f>
        <v>-0.7413452627</v>
      </c>
      <c r="M2325" s="166">
        <f t="shared" si="2"/>
        <v>0.2259730981</v>
      </c>
      <c r="N2325" s="167">
        <f t="shared" si="3"/>
        <v>8.655877193</v>
      </c>
      <c r="O2325" s="163">
        <f t="shared" ref="O2325:Q2325" si="2329">rank(I2325,I:I)</f>
        <v>3528</v>
      </c>
      <c r="P2325" s="163">
        <f t="shared" si="2329"/>
        <v>2834</v>
      </c>
      <c r="Q2325" s="163">
        <f t="shared" si="2329"/>
        <v>2152</v>
      </c>
      <c r="R2325" s="163">
        <f>IFERROR(__xludf.DUMMYFUNCTION("RANK(M2325,filter(M:M,C:C=C2325))"),336.0)</f>
        <v>336</v>
      </c>
      <c r="S2325" s="161" t="b">
        <f t="shared" si="5"/>
        <v>0</v>
      </c>
      <c r="T2325" s="161" t="b">
        <f t="array" ref="T2325">index('Query Tool'!B:B,match(H2325,'Query Tool'!C:C,0))</f>
        <v>1</v>
      </c>
      <c r="U2325" s="161" t="b">
        <f t="array" ref="U2325">index('Query Tool'!B:B,match(C2325,'Query Tool'!C:C,0))</f>
        <v>0</v>
      </c>
      <c r="V2325" s="161" t="b">
        <f>F2325&gt;='Query Tool'!C$32</f>
        <v>0</v>
      </c>
      <c r="W2325" s="161" t="b">
        <f t="array" ref="W2325">index(Dropdowns!B:B,match(I2325,Dropdowns!A:A,0))</f>
        <v>1</v>
      </c>
      <c r="X2325" s="161" t="b">
        <f t="array" ref="X2325">index('Query Tool'!B:B,match(D2325,'Query Tool'!C:C,0))</f>
        <v>1</v>
      </c>
      <c r="Y2325" s="161" t="str">
        <f t="shared" si="6"/>
        <v>ellenhe01,2017-18</v>
      </c>
      <c r="Z2325" s="168">
        <f t="array" ref="Z2325">iferror(index(I:I,match($A2325&amp;","&amp;index('Year Conversion'!$A:$A,match($C2325,'Year Conversion'!$B:$B,0)),$Y:$Y,0))-I2325,"")</f>
        <v>1</v>
      </c>
      <c r="AA2325" s="168">
        <f t="array" ref="AA2325">iferror(index(J:J,match($A2325&amp;","&amp;index('Year Conversion'!$A:$A,match($C2325,'Year Conversion'!$B:$B,0)),$Y:$Y,0))-J2325,"")</f>
        <v>0.961946042</v>
      </c>
      <c r="AB2325" s="168">
        <f t="array" ref="AB2325">iferror(index(K:K,match($A2325&amp;","&amp;index('Year Conversion'!$A:$A,match($C2325,'Year Conversion'!$B:$B,0)),$Y:$Y,0))-K2325,"")</f>
        <v>0.002132232217</v>
      </c>
      <c r="AC2325" s="168" t="str">
        <f t="shared" si="7"/>
        <v>DET,2017-18</v>
      </c>
    </row>
    <row r="2326">
      <c r="A2326" s="161" t="str">
        <f>IFERROR(__xludf.DUMMYFUNCTION("""COMPUTED_VALUE"""),"hieldbu01")</f>
        <v>hieldbu01</v>
      </c>
      <c r="B2326" s="161" t="str">
        <f>IFERROR(__xludf.DUMMYFUNCTION("""COMPUTED_VALUE"""),"Buddy Hield")</f>
        <v>Buddy Hield</v>
      </c>
      <c r="C2326" s="162" t="str">
        <f>IFERROR(__xludf.DUMMYFUNCTION("""COMPUTED_VALUE"""),"2017-18")</f>
        <v>2017-18</v>
      </c>
      <c r="D2326" s="163" t="str">
        <f>IFERROR(__xludf.DUMMYFUNCTION("""COMPUTED_VALUE"""),"SAC")</f>
        <v>SAC</v>
      </c>
      <c r="E2326" s="164" t="str">
        <f>IFERROR(__xludf.DUMMYFUNCTION("""COMPUTED_VALUE"""),"Secondary Ball Handler")</f>
        <v>Secondary Ball Handler</v>
      </c>
      <c r="F2326" s="164">
        <f>IFERROR(__xludf.DUMMYFUNCTION("""COMPUTED_VALUE"""),2024.23166666667)</f>
        <v>2024.231667</v>
      </c>
      <c r="G2326" s="163">
        <f>IFERROR(__xludf.DUMMYFUNCTION("""COMPUTED_VALUE"""),80.0)</f>
        <v>80</v>
      </c>
      <c r="H2326" s="163" t="str">
        <f>IFERROR(__xludf.DUMMYFUNCTION("""COMPUTED_VALUE"""),"SG")</f>
        <v>SG</v>
      </c>
      <c r="I2326" s="163">
        <f>IFERROR(__xludf.DUMMYFUNCTION("""COMPUTED_VALUE"""),25.0)</f>
        <v>25</v>
      </c>
      <c r="J2326" s="165">
        <f>IFERROR(__xludf.DUMMYFUNCTION("""COMPUTED_VALUE"""),-1.40822842777679)</f>
        <v>-1.408228428</v>
      </c>
      <c r="K2326" s="165">
        <f>IFERROR(__xludf.DUMMYFUNCTION("""COMPUTED_VALUE"""),-0.277407998464559)</f>
        <v>-0.2774079985</v>
      </c>
      <c r="L2326" s="165">
        <f>IFERROR(__xludf.DUMMYFUNCTION("""COMPUTED_VALUE"""),-1.13082042931223)</f>
        <v>-1.130820429</v>
      </c>
      <c r="M2326" s="166">
        <f t="shared" si="2"/>
        <v>1.204135128</v>
      </c>
      <c r="N2326" s="167">
        <f t="shared" si="3"/>
        <v>25.30289583</v>
      </c>
      <c r="O2326" s="163">
        <f t="shared" ref="O2326:Q2326" si="2330">rank(I2326,I:I)</f>
        <v>1995</v>
      </c>
      <c r="P2326" s="163">
        <f t="shared" si="2330"/>
        <v>2960</v>
      </c>
      <c r="Q2326" s="163">
        <f t="shared" si="2330"/>
        <v>1720</v>
      </c>
      <c r="R2326" s="163">
        <f>IFERROR(__xludf.DUMMYFUNCTION("RANK(M2326,filter(M:M,C:C=C2326))"),217.0)</f>
        <v>217</v>
      </c>
      <c r="S2326" s="161" t="b">
        <f t="shared" si="5"/>
        <v>0</v>
      </c>
      <c r="T2326" s="161" t="b">
        <f t="array" ref="T2326">index('Query Tool'!B:B,match(H2326,'Query Tool'!C:C,0))</f>
        <v>1</v>
      </c>
      <c r="U2326" s="161" t="b">
        <f t="array" ref="U2326">index('Query Tool'!B:B,match(C2326,'Query Tool'!C:C,0))</f>
        <v>0</v>
      </c>
      <c r="V2326" s="161" t="b">
        <f>F2326&gt;='Query Tool'!C$32</f>
        <v>1</v>
      </c>
      <c r="W2326" s="161" t="b">
        <f t="array" ref="W2326">index(Dropdowns!B:B,match(I2326,Dropdowns!A:A,0))</f>
        <v>1</v>
      </c>
      <c r="X2326" s="161" t="b">
        <f t="array" ref="X2326">index('Query Tool'!B:B,match(D2326,'Query Tool'!C:C,0))</f>
        <v>1</v>
      </c>
      <c r="Y2326" s="161" t="str">
        <f t="shared" si="6"/>
        <v>hieldbu01,2017-18</v>
      </c>
      <c r="Z2326" s="168">
        <f t="array" ref="Z2326">iferror(index(I:I,match($A2326&amp;","&amp;index('Year Conversion'!$A:$A,match($C2326,'Year Conversion'!$B:$B,0)),$Y:$Y,0))-I2326,"")</f>
        <v>1</v>
      </c>
      <c r="AA2326" s="168">
        <f t="array" ref="AA2326">iferror(index(J:J,match($A2326&amp;","&amp;index('Year Conversion'!$A:$A,match($C2326,'Year Conversion'!$B:$B,0)),$Y:$Y,0))-J2326,"")</f>
        <v>1.216299735</v>
      </c>
      <c r="AB2326" s="168">
        <f t="array" ref="AB2326">iferror(index(K:K,match($A2326&amp;","&amp;index('Year Conversion'!$A:$A,match($C2326,'Year Conversion'!$B:$B,0)),$Y:$Y,0))-K2326,"")</f>
        <v>1.176883076</v>
      </c>
      <c r="AC2326" s="168" t="str">
        <f t="shared" si="7"/>
        <v>SAC,2017-18</v>
      </c>
    </row>
    <row r="2327">
      <c r="A2327" s="161" t="str">
        <f>IFERROR(__xludf.DUMMYFUNCTION("""COMPUTED_VALUE"""),"ingrabr01")</f>
        <v>ingrabr01</v>
      </c>
      <c r="B2327" s="161" t="str">
        <f>IFERROR(__xludf.DUMMYFUNCTION("""COMPUTED_VALUE"""),"Brandon Ingram")</f>
        <v>Brandon Ingram</v>
      </c>
      <c r="C2327" s="162" t="str">
        <f>IFERROR(__xludf.DUMMYFUNCTION("""COMPUTED_VALUE"""),"2017-18")</f>
        <v>2017-18</v>
      </c>
      <c r="D2327" s="163" t="str">
        <f>IFERROR(__xludf.DUMMYFUNCTION("""COMPUTED_VALUE"""),"LAL")</f>
        <v>LAL</v>
      </c>
      <c r="E2327" s="164" t="str">
        <f>IFERROR(__xludf.DUMMYFUNCTION("""COMPUTED_VALUE"""),"Shot Creator")</f>
        <v>Shot Creator</v>
      </c>
      <c r="F2327" s="164">
        <f>IFERROR(__xludf.DUMMYFUNCTION("""COMPUTED_VALUE"""),1974.56166666667)</f>
        <v>1974.561667</v>
      </c>
      <c r="G2327" s="163">
        <f>IFERROR(__xludf.DUMMYFUNCTION("""COMPUTED_VALUE"""),59.0)</f>
        <v>59</v>
      </c>
      <c r="H2327" s="163" t="str">
        <f>IFERROR(__xludf.DUMMYFUNCTION("""COMPUTED_VALUE"""),"SF")</f>
        <v>SF</v>
      </c>
      <c r="I2327" s="163">
        <f>IFERROR(__xludf.DUMMYFUNCTION("""COMPUTED_VALUE"""),20.0)</f>
        <v>20</v>
      </c>
      <c r="J2327" s="165">
        <f>IFERROR(__xludf.DUMMYFUNCTION("""COMPUTED_VALUE"""),-0.658859655473957)</f>
        <v>-0.6588596555</v>
      </c>
      <c r="K2327" s="165">
        <f>IFERROR(__xludf.DUMMYFUNCTION("""COMPUTED_VALUE"""),-0.883103962006909)</f>
        <v>-0.883103962</v>
      </c>
      <c r="L2327" s="165">
        <f>IFERROR(__xludf.DUMMYFUNCTION("""COMPUTED_VALUE"""),0.224244306532953)</f>
        <v>0.2242443065</v>
      </c>
      <c r="M2327" s="166">
        <f t="shared" si="2"/>
        <v>2.16755112</v>
      </c>
      <c r="N2327" s="167">
        <f t="shared" si="3"/>
        <v>33.46714689</v>
      </c>
      <c r="O2327" s="163">
        <f t="shared" ref="O2327:Q2327" si="2331">rank(I2327,I:I)</f>
        <v>3770</v>
      </c>
      <c r="P2327" s="163">
        <f t="shared" si="2331"/>
        <v>2075</v>
      </c>
      <c r="Q2327" s="163">
        <f t="shared" si="2331"/>
        <v>2669</v>
      </c>
      <c r="R2327" s="163">
        <f>IFERROR(__xludf.DUMMYFUNCTION("RANK(M2327,filter(M:M,C:C=C2327))"),151.0)</f>
        <v>151</v>
      </c>
      <c r="S2327" s="161" t="b">
        <f t="shared" si="5"/>
        <v>0</v>
      </c>
      <c r="T2327" s="161" t="b">
        <f t="array" ref="T2327">index('Query Tool'!B:B,match(H2327,'Query Tool'!C:C,0))</f>
        <v>1</v>
      </c>
      <c r="U2327" s="161" t="b">
        <f t="array" ref="U2327">index('Query Tool'!B:B,match(C2327,'Query Tool'!C:C,0))</f>
        <v>0</v>
      </c>
      <c r="V2327" s="161" t="b">
        <f>F2327&gt;='Query Tool'!C$32</f>
        <v>1</v>
      </c>
      <c r="W2327" s="161" t="b">
        <f t="array" ref="W2327">index(Dropdowns!B:B,match(I2327,Dropdowns!A:A,0))</f>
        <v>1</v>
      </c>
      <c r="X2327" s="161" t="b">
        <f t="array" ref="X2327">index('Query Tool'!B:B,match(D2327,'Query Tool'!C:C,0))</f>
        <v>1</v>
      </c>
      <c r="Y2327" s="161" t="str">
        <f t="shared" si="6"/>
        <v>ingrabr01,2017-18</v>
      </c>
      <c r="Z2327" s="168">
        <f t="array" ref="Z2327">iferror(index(I:I,match($A2327&amp;","&amp;index('Year Conversion'!$A:$A,match($C2327,'Year Conversion'!$B:$B,0)),$Y:$Y,0))-I2327,"")</f>
        <v>1</v>
      </c>
      <c r="AA2327" s="168">
        <f t="array" ref="AA2327">iferror(index(J:J,match($A2327&amp;","&amp;index('Year Conversion'!$A:$A,match($C2327,'Year Conversion'!$B:$B,0)),$Y:$Y,0))-J2327,"")</f>
        <v>-0.08564907095</v>
      </c>
      <c r="AB2327" s="168">
        <f t="array" ref="AB2327">iferror(index(K:K,match($A2327&amp;","&amp;index('Year Conversion'!$A:$A,match($C2327,'Year Conversion'!$B:$B,0)),$Y:$Y,0))-K2327,"")</f>
        <v>0.4554635693</v>
      </c>
      <c r="AC2327" s="168" t="str">
        <f t="shared" si="7"/>
        <v>LAL,2017-18</v>
      </c>
    </row>
    <row r="2328">
      <c r="A2328" s="161" t="str">
        <f>IFERROR(__xludf.DUMMYFUNCTION("""COMPUTED_VALUE"""),"jacksde01")</f>
        <v>jacksde01</v>
      </c>
      <c r="B2328" s="161" t="str">
        <f>IFERROR(__xludf.DUMMYFUNCTION("""COMPUTED_VALUE"""),"Demetrius Jackson")</f>
        <v>Demetrius Jackson</v>
      </c>
      <c r="C2328" s="162" t="str">
        <f>IFERROR(__xludf.DUMMYFUNCTION("""COMPUTED_VALUE"""),"2017-18")</f>
        <v>2017-18</v>
      </c>
      <c r="D2328" s="163" t="str">
        <f>IFERROR(__xludf.DUMMYFUNCTION("""COMPUTED_VALUE"""),"TOT")</f>
        <v>TOT</v>
      </c>
      <c r="E2328" s="164" t="str">
        <f>IFERROR(__xludf.DUMMYFUNCTION("""COMPUTED_VALUE"""),"Secondary Ball Handler")</f>
        <v>Secondary Ball Handler</v>
      </c>
      <c r="F2328" s="164">
        <f>IFERROR(__xludf.DUMMYFUNCTION("""COMPUTED_VALUE"""),79.95)</f>
        <v>79.95</v>
      </c>
      <c r="G2328" s="163">
        <f>IFERROR(__xludf.DUMMYFUNCTION("""COMPUTED_VALUE"""),15.0)</f>
        <v>15</v>
      </c>
      <c r="H2328" s="163" t="str">
        <f>IFERROR(__xludf.DUMMYFUNCTION("""COMPUTED_VALUE"""),"PG")</f>
        <v>PG</v>
      </c>
      <c r="I2328" s="163">
        <f>IFERROR(__xludf.DUMMYFUNCTION("""COMPUTED_VALUE"""),23.0)</f>
        <v>23</v>
      </c>
      <c r="J2328" s="165">
        <f>IFERROR(__xludf.DUMMYFUNCTION("""COMPUTED_VALUE"""),-1.01215574283717)</f>
        <v>-1.012155743</v>
      </c>
      <c r="K2328" s="165">
        <f>IFERROR(__xludf.DUMMYFUNCTION("""COMPUTED_VALUE"""),-0.41649250629527)</f>
        <v>-0.4164925063</v>
      </c>
      <c r="L2328" s="165">
        <f>IFERROR(__xludf.DUMMYFUNCTION("""COMPUTED_VALUE"""),-0.5956632365419)</f>
        <v>-0.5956632365</v>
      </c>
      <c r="M2328" s="166">
        <f t="shared" si="2"/>
        <v>0.06877707246</v>
      </c>
      <c r="N2328" s="167">
        <f t="shared" si="3"/>
        <v>5.33</v>
      </c>
      <c r="O2328" s="163">
        <f t="shared" ref="O2328:Q2328" si="2332">rank(I2328,I:I)</f>
        <v>2765</v>
      </c>
      <c r="P2328" s="163">
        <f t="shared" si="2332"/>
        <v>2515</v>
      </c>
      <c r="Q2328" s="163">
        <f t="shared" si="2332"/>
        <v>1973</v>
      </c>
      <c r="R2328" s="163">
        <f>IFERROR(__xludf.DUMMYFUNCTION("RANK(M2328,filter(M:M,C:C=C2328))"),414.0)</f>
        <v>414</v>
      </c>
      <c r="S2328" s="161" t="b">
        <f t="shared" si="5"/>
        <v>0</v>
      </c>
      <c r="T2328" s="161" t="b">
        <f t="array" ref="T2328">index('Query Tool'!B:B,match(H2328,'Query Tool'!C:C,0))</f>
        <v>1</v>
      </c>
      <c r="U2328" s="161" t="b">
        <f t="array" ref="U2328">index('Query Tool'!B:B,match(C2328,'Query Tool'!C:C,0))</f>
        <v>0</v>
      </c>
      <c r="V2328" s="161" t="b">
        <f>F2328&gt;='Query Tool'!C$32</f>
        <v>0</v>
      </c>
      <c r="W2328" s="161" t="b">
        <f t="array" ref="W2328">index(Dropdowns!B:B,match(I2328,Dropdowns!A:A,0))</f>
        <v>1</v>
      </c>
      <c r="X2328" s="161" t="b">
        <f t="array" ref="X2328">index('Query Tool'!B:B,match(D2328,'Query Tool'!C:C,0))</f>
        <v>1</v>
      </c>
      <c r="Y2328" s="161" t="str">
        <f t="shared" si="6"/>
        <v>jacksde01,2017-18</v>
      </c>
      <c r="Z2328" s="168">
        <f t="array" ref="Z2328">iferror(index(I:I,match($A2328&amp;","&amp;index('Year Conversion'!$A:$A,match($C2328,'Year Conversion'!$B:$B,0)),$Y:$Y,0))-I2328,"")</f>
        <v>1</v>
      </c>
      <c r="AA2328" s="168">
        <f t="array" ref="AA2328">iferror(index(J:J,match($A2328&amp;","&amp;index('Year Conversion'!$A:$A,match($C2328,'Year Conversion'!$B:$B,0)),$Y:$Y,0))-J2328,"")</f>
        <v>0.4068610457</v>
      </c>
      <c r="AB2328" s="168">
        <f t="array" ref="AB2328">iferror(index(K:K,match($A2328&amp;","&amp;index('Year Conversion'!$A:$A,match($C2328,'Year Conversion'!$B:$B,0)),$Y:$Y,0))-K2328,"")</f>
        <v>0.3172394112</v>
      </c>
      <c r="AC2328" s="168" t="str">
        <f t="shared" si="7"/>
        <v>TOT,2017-18</v>
      </c>
    </row>
    <row r="2329">
      <c r="A2329" s="161" t="str">
        <f>IFERROR(__xludf.DUMMYFUNCTION("""COMPUTED_VALUE"""),"johnsbr02")</f>
        <v>johnsbr02</v>
      </c>
      <c r="B2329" s="161" t="str">
        <f>IFERROR(__xludf.DUMMYFUNCTION("""COMPUTED_VALUE"""),"Brice Johnson")</f>
        <v>Brice Johnson</v>
      </c>
      <c r="C2329" s="162" t="str">
        <f>IFERROR(__xludf.DUMMYFUNCTION("""COMPUTED_VALUE"""),"2017-18")</f>
        <v>2017-18</v>
      </c>
      <c r="D2329" s="163" t="str">
        <f>IFERROR(__xludf.DUMMYFUNCTION("""COMPUTED_VALUE"""),"TOT")</f>
        <v>TOT</v>
      </c>
      <c r="E2329" s="164" t="str">
        <f>IFERROR(__xludf.DUMMYFUNCTION("""COMPUTED_VALUE"""),"Roll + Cut Big")</f>
        <v>Roll + Cut Big</v>
      </c>
      <c r="F2329" s="164">
        <f>IFERROR(__xludf.DUMMYFUNCTION("""COMPUTED_VALUE"""),97.9666666666666)</f>
        <v>97.96666667</v>
      </c>
      <c r="G2329" s="163">
        <f>IFERROR(__xludf.DUMMYFUNCTION("""COMPUTED_VALUE"""),18.0)</f>
        <v>18</v>
      </c>
      <c r="H2329" s="163" t="str">
        <f>IFERROR(__xludf.DUMMYFUNCTION("""COMPUTED_VALUE"""),"PF")</f>
        <v>PF</v>
      </c>
      <c r="I2329" s="163">
        <f>IFERROR(__xludf.DUMMYFUNCTION("""COMPUTED_VALUE"""),23.0)</f>
        <v>23</v>
      </c>
      <c r="J2329" s="165">
        <f>IFERROR(__xludf.DUMMYFUNCTION("""COMPUTED_VALUE"""),-0.390752624473189)</f>
        <v>-0.3907526245</v>
      </c>
      <c r="K2329" s="165">
        <f>IFERROR(__xludf.DUMMYFUNCTION("""COMPUTED_VALUE"""),-0.283545053264373)</f>
        <v>-0.2835450533</v>
      </c>
      <c r="L2329" s="165">
        <f>IFERROR(__xludf.DUMMYFUNCTION("""COMPUTED_VALUE"""),-0.107207571208815)</f>
        <v>-0.1072075712</v>
      </c>
      <c r="M2329" s="166">
        <f t="shared" si="2"/>
        <v>0.1252289376</v>
      </c>
      <c r="N2329" s="167">
        <f t="shared" si="3"/>
        <v>5.442592593</v>
      </c>
      <c r="O2329" s="163">
        <f t="shared" ref="O2329:Q2329" si="2333">rank(I2329,I:I)</f>
        <v>2765</v>
      </c>
      <c r="P2329" s="163">
        <f t="shared" si="2333"/>
        <v>1716</v>
      </c>
      <c r="Q2329" s="163">
        <f t="shared" si="2333"/>
        <v>1733</v>
      </c>
      <c r="R2329" s="163">
        <f>IFERROR(__xludf.DUMMYFUNCTION("RANK(M2329,filter(M:M,C:C=C2329))"),383.0)</f>
        <v>383</v>
      </c>
      <c r="S2329" s="161" t="b">
        <f t="shared" si="5"/>
        <v>0</v>
      </c>
      <c r="T2329" s="161" t="b">
        <f t="array" ref="T2329">index('Query Tool'!B:B,match(H2329,'Query Tool'!C:C,0))</f>
        <v>1</v>
      </c>
      <c r="U2329" s="161" t="b">
        <f t="array" ref="U2329">index('Query Tool'!B:B,match(C2329,'Query Tool'!C:C,0))</f>
        <v>0</v>
      </c>
      <c r="V2329" s="161" t="b">
        <f>F2329&gt;='Query Tool'!C$32</f>
        <v>0</v>
      </c>
      <c r="W2329" s="161" t="b">
        <f t="array" ref="W2329">index(Dropdowns!B:B,match(I2329,Dropdowns!A:A,0))</f>
        <v>1</v>
      </c>
      <c r="X2329" s="161" t="b">
        <f t="array" ref="X2329">index('Query Tool'!B:B,match(D2329,'Query Tool'!C:C,0))</f>
        <v>1</v>
      </c>
      <c r="Y2329" s="161" t="str">
        <f t="shared" si="6"/>
        <v>johnsbr02,2017-18</v>
      </c>
      <c r="Z2329" s="168" t="str">
        <f t="array" ref="Z2329">iferror(index(I:I,match($A2329&amp;","&amp;index('Year Conversion'!$A:$A,match($C2329,'Year Conversion'!$B:$B,0)),$Y:$Y,0))-I2329,"")</f>
        <v/>
      </c>
      <c r="AA2329" s="168" t="str">
        <f t="array" ref="AA2329">iferror(index(J:J,match($A2329&amp;","&amp;index('Year Conversion'!$A:$A,match($C2329,'Year Conversion'!$B:$B,0)),$Y:$Y,0))-J2329,"")</f>
        <v/>
      </c>
      <c r="AB2329" s="168" t="str">
        <f t="array" ref="AB2329">iferror(index(K:K,match($A2329&amp;","&amp;index('Year Conversion'!$A:$A,match($C2329,'Year Conversion'!$B:$B,0)),$Y:$Y,0))-K2329,"")</f>
        <v/>
      </c>
      <c r="AC2329" s="168" t="str">
        <f t="shared" si="7"/>
        <v>TOT,2017-18</v>
      </c>
    </row>
    <row r="2330">
      <c r="A2330" s="161" t="str">
        <f>IFERROR(__xludf.DUMMYFUNCTION("""COMPUTED_VALUE"""),"jonesda03")</f>
        <v>jonesda03</v>
      </c>
      <c r="B2330" s="161" t="str">
        <f>IFERROR(__xludf.DUMMYFUNCTION("""COMPUTED_VALUE"""),"Damian Jones")</f>
        <v>Damian Jones</v>
      </c>
      <c r="C2330" s="162" t="str">
        <f>IFERROR(__xludf.DUMMYFUNCTION("""COMPUTED_VALUE"""),"2017-18")</f>
        <v>2017-18</v>
      </c>
      <c r="D2330" s="163" t="str">
        <f>IFERROR(__xludf.DUMMYFUNCTION("""COMPUTED_VALUE"""),"GSW")</f>
        <v>GSW</v>
      </c>
      <c r="E2330" s="164" t="str">
        <f>IFERROR(__xludf.DUMMYFUNCTION("""COMPUTED_VALUE"""),"Roll + Cut Big")</f>
        <v>Roll + Cut Big</v>
      </c>
      <c r="F2330" s="164">
        <f>IFERROR(__xludf.DUMMYFUNCTION("""COMPUTED_VALUE"""),88.7116666666666)</f>
        <v>88.71166667</v>
      </c>
      <c r="G2330" s="163">
        <f>IFERROR(__xludf.DUMMYFUNCTION("""COMPUTED_VALUE"""),15.0)</f>
        <v>15</v>
      </c>
      <c r="H2330" s="163" t="str">
        <f>IFERROR(__xludf.DUMMYFUNCTION("""COMPUTED_VALUE"""),"C")</f>
        <v>C</v>
      </c>
      <c r="I2330" s="163">
        <f>IFERROR(__xludf.DUMMYFUNCTION("""COMPUTED_VALUE"""),22.0)</f>
        <v>22</v>
      </c>
      <c r="J2330" s="165">
        <f>IFERROR(__xludf.DUMMYFUNCTION("""COMPUTED_VALUE"""),-1.47637400255494)</f>
        <v>-1.476374003</v>
      </c>
      <c r="K2330" s="165">
        <f>IFERROR(__xludf.DUMMYFUNCTION("""COMPUTED_VALUE"""),-0.651982302510689)</f>
        <v>-0.6519823025</v>
      </c>
      <c r="L2330" s="165">
        <f>IFERROR(__xludf.DUMMYFUNCTION("""COMPUTED_VALUE"""),-0.824391700044253)</f>
        <v>-0.8243917</v>
      </c>
      <c r="M2330" s="166">
        <f t="shared" si="2"/>
        <v>0.04873050457</v>
      </c>
      <c r="N2330" s="167">
        <f t="shared" si="3"/>
        <v>5.914111111</v>
      </c>
      <c r="O2330" s="163">
        <f t="shared" ref="O2330:Q2330" si="2334">rank(I2330,I:I)</f>
        <v>3178</v>
      </c>
      <c r="P2330" s="163">
        <f t="shared" si="2334"/>
        <v>3032</v>
      </c>
      <c r="Q2330" s="163">
        <f t="shared" si="2334"/>
        <v>2335</v>
      </c>
      <c r="R2330" s="163">
        <f>IFERROR(__xludf.DUMMYFUNCTION("RANK(M2330,filter(M:M,C:C=C2330))"),429.0)</f>
        <v>429</v>
      </c>
      <c r="S2330" s="161" t="b">
        <f t="shared" si="5"/>
        <v>0</v>
      </c>
      <c r="T2330" s="161" t="b">
        <f t="array" ref="T2330">index('Query Tool'!B:B,match(H2330,'Query Tool'!C:C,0))</f>
        <v>1</v>
      </c>
      <c r="U2330" s="161" t="b">
        <f t="array" ref="U2330">index('Query Tool'!B:B,match(C2330,'Query Tool'!C:C,0))</f>
        <v>0</v>
      </c>
      <c r="V2330" s="161" t="b">
        <f>F2330&gt;='Query Tool'!C$32</f>
        <v>0</v>
      </c>
      <c r="W2330" s="161" t="b">
        <f t="array" ref="W2330">index(Dropdowns!B:B,match(I2330,Dropdowns!A:A,0))</f>
        <v>1</v>
      </c>
      <c r="X2330" s="161" t="b">
        <f t="array" ref="X2330">index('Query Tool'!B:B,match(D2330,'Query Tool'!C:C,0))</f>
        <v>1</v>
      </c>
      <c r="Y2330" s="161" t="str">
        <f t="shared" si="6"/>
        <v>jonesda03,2017-18</v>
      </c>
      <c r="Z2330" s="168">
        <f t="array" ref="Z2330">iferror(index(I:I,match($A2330&amp;","&amp;index('Year Conversion'!$A:$A,match($C2330,'Year Conversion'!$B:$B,0)),$Y:$Y,0))-I2330,"")</f>
        <v>1</v>
      </c>
      <c r="AA2330" s="168">
        <f t="array" ref="AA2330">iferror(index(J:J,match($A2330&amp;","&amp;index('Year Conversion'!$A:$A,match($C2330,'Year Conversion'!$B:$B,0)),$Y:$Y,0))-J2330,"")</f>
        <v>0.534488817</v>
      </c>
      <c r="AB2330" s="168">
        <f t="array" ref="AB2330">iferror(index(K:K,match($A2330&amp;","&amp;index('Year Conversion'!$A:$A,match($C2330,'Year Conversion'!$B:$B,0)),$Y:$Y,0))-K2330,"")</f>
        <v>-0.6833045464</v>
      </c>
      <c r="AC2330" s="168" t="str">
        <f t="shared" si="7"/>
        <v>GSW,2017-18</v>
      </c>
    </row>
    <row r="2331">
      <c r="A2331" s="161" t="str">
        <f>IFERROR(__xludf.DUMMYFUNCTION("""COMPUTED_VALUE"""),"labissk01")</f>
        <v>labissk01</v>
      </c>
      <c r="B2331" s="161" t="str">
        <f>IFERROR(__xludf.DUMMYFUNCTION("""COMPUTED_VALUE"""),"Skal Labissiere")</f>
        <v>Skal Labissiere</v>
      </c>
      <c r="C2331" s="162" t="str">
        <f>IFERROR(__xludf.DUMMYFUNCTION("""COMPUTED_VALUE"""),"2017-18")</f>
        <v>2017-18</v>
      </c>
      <c r="D2331" s="163" t="str">
        <f>IFERROR(__xludf.DUMMYFUNCTION("""COMPUTED_VALUE"""),"SAC")</f>
        <v>SAC</v>
      </c>
      <c r="E2331" s="164" t="str">
        <f>IFERROR(__xludf.DUMMYFUNCTION("""COMPUTED_VALUE"""),"Post Scorer")</f>
        <v>Post Scorer</v>
      </c>
      <c r="F2331" s="164">
        <f>IFERROR(__xludf.DUMMYFUNCTION("""COMPUTED_VALUE"""),1240.25166666667)</f>
        <v>1240.251667</v>
      </c>
      <c r="G2331" s="163">
        <f>IFERROR(__xludf.DUMMYFUNCTION("""COMPUTED_VALUE"""),60.0)</f>
        <v>60</v>
      </c>
      <c r="H2331" s="163" t="str">
        <f>IFERROR(__xludf.DUMMYFUNCTION("""COMPUTED_VALUE"""),"PF")</f>
        <v>PF</v>
      </c>
      <c r="I2331" s="163">
        <f>IFERROR(__xludf.DUMMYFUNCTION("""COMPUTED_VALUE"""),21.0)</f>
        <v>21</v>
      </c>
      <c r="J2331" s="165">
        <f>IFERROR(__xludf.DUMMYFUNCTION("""COMPUTED_VALUE"""),-1.34826669634493)</f>
        <v>-1.348266696</v>
      </c>
      <c r="K2331" s="165">
        <f>IFERROR(__xludf.DUMMYFUNCTION("""COMPUTED_VALUE"""),-1.45422280915505)</f>
        <v>-1.454222809</v>
      </c>
      <c r="L2331" s="165">
        <f>IFERROR(__xludf.DUMMYFUNCTION("""COMPUTED_VALUE"""),0.105956112810113)</f>
        <v>0.1059561128</v>
      </c>
      <c r="M2331" s="166">
        <f t="shared" si="2"/>
        <v>0.7875195285</v>
      </c>
      <c r="N2331" s="167">
        <f t="shared" si="3"/>
        <v>20.67086111</v>
      </c>
      <c r="O2331" s="163">
        <f t="shared" ref="O2331:Q2331" si="2335">rank(I2331,I:I)</f>
        <v>3528</v>
      </c>
      <c r="P2331" s="163">
        <f t="shared" si="2335"/>
        <v>2907</v>
      </c>
      <c r="Q2331" s="163">
        <f t="shared" si="2335"/>
        <v>3303</v>
      </c>
      <c r="R2331" s="163">
        <f>IFERROR(__xludf.DUMMYFUNCTION("RANK(M2331,filter(M:M,C:C=C2331))"),256.0)</f>
        <v>256</v>
      </c>
      <c r="S2331" s="161" t="b">
        <f t="shared" si="5"/>
        <v>0</v>
      </c>
      <c r="T2331" s="161" t="b">
        <f t="array" ref="T2331">index('Query Tool'!B:B,match(H2331,'Query Tool'!C:C,0))</f>
        <v>1</v>
      </c>
      <c r="U2331" s="161" t="b">
        <f t="array" ref="U2331">index('Query Tool'!B:B,match(C2331,'Query Tool'!C:C,0))</f>
        <v>0</v>
      </c>
      <c r="V2331" s="161" t="b">
        <f>F2331&gt;='Query Tool'!C$32</f>
        <v>1</v>
      </c>
      <c r="W2331" s="161" t="b">
        <f t="array" ref="W2331">index(Dropdowns!B:B,match(I2331,Dropdowns!A:A,0))</f>
        <v>1</v>
      </c>
      <c r="X2331" s="161" t="b">
        <f t="array" ref="X2331">index('Query Tool'!B:B,match(D2331,'Query Tool'!C:C,0))</f>
        <v>1</v>
      </c>
      <c r="Y2331" s="161" t="str">
        <f t="shared" si="6"/>
        <v>labissk01,2017-18</v>
      </c>
      <c r="Z2331" s="168">
        <f t="array" ref="Z2331">iferror(index(I:I,match($A2331&amp;","&amp;index('Year Conversion'!$A:$A,match($C2331,'Year Conversion'!$B:$B,0)),$Y:$Y,0))-I2331,"")</f>
        <v>1</v>
      </c>
      <c r="AA2331" s="168">
        <f t="array" ref="AA2331">iferror(index(J:J,match($A2331&amp;","&amp;index('Year Conversion'!$A:$A,match($C2331,'Year Conversion'!$B:$B,0)),$Y:$Y,0))-J2331,"")</f>
        <v>0.6056130612</v>
      </c>
      <c r="AB2331" s="168">
        <f t="array" ref="AB2331">iferror(index(K:K,match($A2331&amp;","&amp;index('Year Conversion'!$A:$A,match($C2331,'Year Conversion'!$B:$B,0)),$Y:$Y,0))-K2331,"")</f>
        <v>1.053104798</v>
      </c>
      <c r="AC2331" s="168" t="str">
        <f t="shared" si="7"/>
        <v>SAC,2017-18</v>
      </c>
    </row>
    <row r="2332">
      <c r="A2332" s="161" t="str">
        <f>IFERROR(__xludf.DUMMYFUNCTION("""COMPUTED_VALUE"""),"leverca01")</f>
        <v>leverca01</v>
      </c>
      <c r="B2332" s="161" t="str">
        <f>IFERROR(__xludf.DUMMYFUNCTION("""COMPUTED_VALUE"""),"Caris LeVert")</f>
        <v>Caris LeVert</v>
      </c>
      <c r="C2332" s="162" t="str">
        <f>IFERROR(__xludf.DUMMYFUNCTION("""COMPUTED_VALUE"""),"2017-18")</f>
        <v>2017-18</v>
      </c>
      <c r="D2332" s="163" t="str">
        <f>IFERROR(__xludf.DUMMYFUNCTION("""COMPUTED_VALUE"""),"BRK")</f>
        <v>BRK</v>
      </c>
      <c r="E2332" s="164" t="str">
        <f>IFERROR(__xludf.DUMMYFUNCTION("""COMPUTED_VALUE"""),"Stationary Shooter")</f>
        <v>Stationary Shooter</v>
      </c>
      <c r="F2332" s="164">
        <f>IFERROR(__xludf.DUMMYFUNCTION("""COMPUTED_VALUE"""),1863.68333333333)</f>
        <v>1863.683333</v>
      </c>
      <c r="G2332" s="163">
        <f>IFERROR(__xludf.DUMMYFUNCTION("""COMPUTED_VALUE"""),71.0)</f>
        <v>71</v>
      </c>
      <c r="H2332" s="163" t="str">
        <f>IFERROR(__xludf.DUMMYFUNCTION("""COMPUTED_VALUE"""),"SF")</f>
        <v>SF</v>
      </c>
      <c r="I2332" s="163">
        <f>IFERROR(__xludf.DUMMYFUNCTION("""COMPUTED_VALUE"""),23.0)</f>
        <v>23</v>
      </c>
      <c r="J2332" s="165">
        <f>IFERROR(__xludf.DUMMYFUNCTION("""COMPUTED_VALUE"""),-1.27156394325515)</f>
        <v>-1.271563943</v>
      </c>
      <c r="K2332" s="165">
        <f>IFERROR(__xludf.DUMMYFUNCTION("""COMPUTED_VALUE"""),-0.337151827923013)</f>
        <v>-0.3371518279</v>
      </c>
      <c r="L2332" s="165">
        <f>IFERROR(__xludf.DUMMYFUNCTION("""COMPUTED_VALUE"""),-0.934412115332135)</f>
        <v>-0.9344121153</v>
      </c>
      <c r="M2332" s="166">
        <f t="shared" si="2"/>
        <v>1.279067478</v>
      </c>
      <c r="N2332" s="167">
        <f t="shared" si="3"/>
        <v>26.24906103</v>
      </c>
      <c r="O2332" s="163">
        <f t="shared" ref="O2332:Q2332" si="2336">rank(I2332,I:I)</f>
        <v>2765</v>
      </c>
      <c r="P2332" s="163">
        <f t="shared" si="2336"/>
        <v>2835</v>
      </c>
      <c r="Q2332" s="163">
        <f t="shared" si="2336"/>
        <v>1829</v>
      </c>
      <c r="R2332" s="163">
        <f>IFERROR(__xludf.DUMMYFUNCTION("RANK(M2332,filter(M:M,C:C=C2332))"),207.0)</f>
        <v>207</v>
      </c>
      <c r="S2332" s="161" t="b">
        <f t="shared" si="5"/>
        <v>0</v>
      </c>
      <c r="T2332" s="161" t="b">
        <f t="array" ref="T2332">index('Query Tool'!B:B,match(H2332,'Query Tool'!C:C,0))</f>
        <v>1</v>
      </c>
      <c r="U2332" s="161" t="b">
        <f t="array" ref="U2332">index('Query Tool'!B:B,match(C2332,'Query Tool'!C:C,0))</f>
        <v>0</v>
      </c>
      <c r="V2332" s="161" t="b">
        <f>F2332&gt;='Query Tool'!C$32</f>
        <v>1</v>
      </c>
      <c r="W2332" s="161" t="b">
        <f t="array" ref="W2332">index(Dropdowns!B:B,match(I2332,Dropdowns!A:A,0))</f>
        <v>1</v>
      </c>
      <c r="X2332" s="161" t="b">
        <f t="array" ref="X2332">index('Query Tool'!B:B,match(D2332,'Query Tool'!C:C,0))</f>
        <v>1</v>
      </c>
      <c r="Y2332" s="161" t="str">
        <f t="shared" si="6"/>
        <v>leverca01,2017-18</v>
      </c>
      <c r="Z2332" s="168">
        <f t="array" ref="Z2332">iferror(index(I:I,match($A2332&amp;","&amp;index('Year Conversion'!$A:$A,match($C2332,'Year Conversion'!$B:$B,0)),$Y:$Y,0))-I2332,"")</f>
        <v>1</v>
      </c>
      <c r="AA2332" s="168">
        <f t="array" ref="AA2332">iferror(index(J:J,match($A2332&amp;","&amp;index('Year Conversion'!$A:$A,match($C2332,'Year Conversion'!$B:$B,0)),$Y:$Y,0))-J2332,"")</f>
        <v>1.831606466</v>
      </c>
      <c r="AB2332" s="168">
        <f t="array" ref="AB2332">iferror(index(K:K,match($A2332&amp;","&amp;index('Year Conversion'!$A:$A,match($C2332,'Year Conversion'!$B:$B,0)),$Y:$Y,0))-K2332,"")</f>
        <v>1.016410451</v>
      </c>
      <c r="AC2332" s="168" t="str">
        <f t="shared" si="7"/>
        <v>BRK,2017-18</v>
      </c>
    </row>
    <row r="2333">
      <c r="A2333" s="161" t="str">
        <f>IFERROR(__xludf.DUMMYFUNCTION("""COMPUTED_VALUE"""),"makerth01")</f>
        <v>makerth01</v>
      </c>
      <c r="B2333" s="161" t="str">
        <f>IFERROR(__xludf.DUMMYFUNCTION("""COMPUTED_VALUE"""),"Thon Maker")</f>
        <v>Thon Maker</v>
      </c>
      <c r="C2333" s="162" t="str">
        <f>IFERROR(__xludf.DUMMYFUNCTION("""COMPUTED_VALUE"""),"2017-18")</f>
        <v>2017-18</v>
      </c>
      <c r="D2333" s="163" t="str">
        <f>IFERROR(__xludf.DUMMYFUNCTION("""COMPUTED_VALUE"""),"MIL")</f>
        <v>MIL</v>
      </c>
      <c r="E2333" s="164" t="str">
        <f>IFERROR(__xludf.DUMMYFUNCTION("""COMPUTED_VALUE"""),"Stretch Big")</f>
        <v>Stretch Big</v>
      </c>
      <c r="F2333" s="164">
        <f>IFERROR(__xludf.DUMMYFUNCTION("""COMPUTED_VALUE"""),1237.885)</f>
        <v>1237.885</v>
      </c>
      <c r="G2333" s="163">
        <f>IFERROR(__xludf.DUMMYFUNCTION("""COMPUTED_VALUE"""),74.0)</f>
        <v>74</v>
      </c>
      <c r="H2333" s="163" t="str">
        <f>IFERROR(__xludf.DUMMYFUNCTION("""COMPUTED_VALUE"""),"C")</f>
        <v>C</v>
      </c>
      <c r="I2333" s="163">
        <f>IFERROR(__xludf.DUMMYFUNCTION("""COMPUTED_VALUE"""),20.0)</f>
        <v>20</v>
      </c>
      <c r="J2333" s="165">
        <f>IFERROR(__xludf.DUMMYFUNCTION("""COMPUTED_VALUE"""),-1.42664025552188)</f>
        <v>-1.426640256</v>
      </c>
      <c r="K2333" s="165">
        <f>IFERROR(__xludf.DUMMYFUNCTION("""COMPUTED_VALUE"""),-1.2613840120726)</f>
        <v>-1.261384012</v>
      </c>
      <c r="L2333" s="165">
        <f>IFERROR(__xludf.DUMMYFUNCTION("""COMPUTED_VALUE"""),-0.165256243449278)</f>
        <v>-0.1652562434</v>
      </c>
      <c r="M2333" s="166">
        <f t="shared" si="2"/>
        <v>0.7211306861</v>
      </c>
      <c r="N2333" s="167">
        <f t="shared" si="3"/>
        <v>16.72817568</v>
      </c>
      <c r="O2333" s="163">
        <f t="shared" ref="O2333:Q2333" si="2337">rank(I2333,I:I)</f>
        <v>3770</v>
      </c>
      <c r="P2333" s="163">
        <f t="shared" si="2337"/>
        <v>2984</v>
      </c>
      <c r="Q2333" s="163">
        <f t="shared" si="2337"/>
        <v>3094</v>
      </c>
      <c r="R2333" s="163">
        <f>IFERROR(__xludf.DUMMYFUNCTION("RANK(M2333,filter(M:M,C:C=C2333))"),269.0)</f>
        <v>269</v>
      </c>
      <c r="S2333" s="161" t="b">
        <f t="shared" si="5"/>
        <v>0</v>
      </c>
      <c r="T2333" s="161" t="b">
        <f t="array" ref="T2333">index('Query Tool'!B:B,match(H2333,'Query Tool'!C:C,0))</f>
        <v>1</v>
      </c>
      <c r="U2333" s="161" t="b">
        <f t="array" ref="U2333">index('Query Tool'!B:B,match(C2333,'Query Tool'!C:C,0))</f>
        <v>0</v>
      </c>
      <c r="V2333" s="161" t="b">
        <f>F2333&gt;='Query Tool'!C$32</f>
        <v>1</v>
      </c>
      <c r="W2333" s="161" t="b">
        <f t="array" ref="W2333">index(Dropdowns!B:B,match(I2333,Dropdowns!A:A,0))</f>
        <v>1</v>
      </c>
      <c r="X2333" s="161" t="b">
        <f t="array" ref="X2333">index('Query Tool'!B:B,match(D2333,'Query Tool'!C:C,0))</f>
        <v>1</v>
      </c>
      <c r="Y2333" s="161" t="str">
        <f t="shared" si="6"/>
        <v>makerth01,2017-18</v>
      </c>
      <c r="Z2333" s="168">
        <f t="array" ref="Z2333">iferror(index(I:I,match($A2333&amp;","&amp;index('Year Conversion'!$A:$A,match($C2333,'Year Conversion'!$B:$B,0)),$Y:$Y,0))-I2333,"")</f>
        <v>1</v>
      </c>
      <c r="AA2333" s="168">
        <f t="array" ref="AA2333">iferror(index(J:J,match($A2333&amp;","&amp;index('Year Conversion'!$A:$A,match($C2333,'Year Conversion'!$B:$B,0)),$Y:$Y,0))-J2333,"")</f>
        <v>0.8846143744</v>
      </c>
      <c r="AB2333" s="168">
        <f t="array" ref="AB2333">iferror(index(K:K,match($A2333&amp;","&amp;index('Year Conversion'!$A:$A,match($C2333,'Year Conversion'!$B:$B,0)),$Y:$Y,0))-K2333,"")</f>
        <v>-0.201588395</v>
      </c>
      <c r="AC2333" s="168" t="str">
        <f t="shared" si="7"/>
        <v>MIL,2017-18</v>
      </c>
    </row>
    <row r="2334">
      <c r="A2334" s="161" t="str">
        <f>IFERROR(__xludf.DUMMYFUNCTION("""COMPUTED_VALUE"""),"murrade01")</f>
        <v>murrade01</v>
      </c>
      <c r="B2334" s="161" t="str">
        <f>IFERROR(__xludf.DUMMYFUNCTION("""COMPUTED_VALUE"""),"Dejounte Murray")</f>
        <v>Dejounte Murray</v>
      </c>
      <c r="C2334" s="162" t="str">
        <f>IFERROR(__xludf.DUMMYFUNCTION("""COMPUTED_VALUE"""),"2017-18")</f>
        <v>2017-18</v>
      </c>
      <c r="D2334" s="163" t="str">
        <f>IFERROR(__xludf.DUMMYFUNCTION("""COMPUTED_VALUE"""),"SAS")</f>
        <v>SAS</v>
      </c>
      <c r="E2334" s="164" t="str">
        <f>IFERROR(__xludf.DUMMYFUNCTION("""COMPUTED_VALUE"""),"Slasher")</f>
        <v>Slasher</v>
      </c>
      <c r="F2334" s="164">
        <f>IFERROR(__xludf.DUMMYFUNCTION("""COMPUTED_VALUE"""),1742.925)</f>
        <v>1742.925</v>
      </c>
      <c r="G2334" s="163">
        <f>IFERROR(__xludf.DUMMYFUNCTION("""COMPUTED_VALUE"""),81.0)</f>
        <v>81</v>
      </c>
      <c r="H2334" s="163" t="str">
        <f>IFERROR(__xludf.DUMMYFUNCTION("""COMPUTED_VALUE"""),"PG")</f>
        <v>PG</v>
      </c>
      <c r="I2334" s="163">
        <f>IFERROR(__xludf.DUMMYFUNCTION("""COMPUTED_VALUE"""),21.0)</f>
        <v>21</v>
      </c>
      <c r="J2334" s="165">
        <f>IFERROR(__xludf.DUMMYFUNCTION("""COMPUTED_VALUE"""),1.2472179115288)</f>
        <v>1.247217912</v>
      </c>
      <c r="K2334" s="165">
        <f>IFERROR(__xludf.DUMMYFUNCTION("""COMPUTED_VALUE"""),-1.21604137189474)</f>
        <v>-1.216041372</v>
      </c>
      <c r="L2334" s="165">
        <f>IFERROR(__xludf.DUMMYFUNCTION("""COMPUTED_VALUE"""),2.46325928342355)</f>
        <v>2.463259283</v>
      </c>
      <c r="M2334" s="166">
        <f t="shared" si="2"/>
        <v>4.149409289</v>
      </c>
      <c r="N2334" s="167">
        <f t="shared" si="3"/>
        <v>21.51759259</v>
      </c>
      <c r="O2334" s="163">
        <f t="shared" ref="O2334:Q2334" si="2338">rank(I2334,I:I)</f>
        <v>3528</v>
      </c>
      <c r="P2334" s="163">
        <f t="shared" si="2338"/>
        <v>550</v>
      </c>
      <c r="Q2334" s="163">
        <f t="shared" si="2338"/>
        <v>3047</v>
      </c>
      <c r="R2334" s="163">
        <f>IFERROR(__xludf.DUMMYFUNCTION("RANK(M2334,filter(M:M,C:C=C2334))"),81.0)</f>
        <v>81</v>
      </c>
      <c r="S2334" s="161" t="b">
        <f t="shared" si="5"/>
        <v>0</v>
      </c>
      <c r="T2334" s="161" t="b">
        <f t="array" ref="T2334">index('Query Tool'!B:B,match(H2334,'Query Tool'!C:C,0))</f>
        <v>1</v>
      </c>
      <c r="U2334" s="161" t="b">
        <f t="array" ref="U2334">index('Query Tool'!B:B,match(C2334,'Query Tool'!C:C,0))</f>
        <v>0</v>
      </c>
      <c r="V2334" s="161" t="b">
        <f>F2334&gt;='Query Tool'!C$32</f>
        <v>1</v>
      </c>
      <c r="W2334" s="161" t="b">
        <f t="array" ref="W2334">index(Dropdowns!B:B,match(I2334,Dropdowns!A:A,0))</f>
        <v>1</v>
      </c>
      <c r="X2334" s="161" t="b">
        <f t="array" ref="X2334">index('Query Tool'!B:B,match(D2334,'Query Tool'!C:C,0))</f>
        <v>1</v>
      </c>
      <c r="Y2334" s="161" t="str">
        <f t="shared" si="6"/>
        <v>murrade01,2017-18</v>
      </c>
      <c r="Z2334" s="168" t="str">
        <f t="array" ref="Z2334">iferror(index(I:I,match($A2334&amp;","&amp;index('Year Conversion'!$A:$A,match($C2334,'Year Conversion'!$B:$B,0)),$Y:$Y,0))-I2334,"")</f>
        <v/>
      </c>
      <c r="AA2334" s="168" t="str">
        <f t="array" ref="AA2334">iferror(index(J:J,match($A2334&amp;","&amp;index('Year Conversion'!$A:$A,match($C2334,'Year Conversion'!$B:$B,0)),$Y:$Y,0))-J2334,"")</f>
        <v/>
      </c>
      <c r="AB2334" s="168" t="str">
        <f t="array" ref="AB2334">iferror(index(K:K,match($A2334&amp;","&amp;index('Year Conversion'!$A:$A,match($C2334,'Year Conversion'!$B:$B,0)),$Y:$Y,0))-K2334,"")</f>
        <v/>
      </c>
      <c r="AC2334" s="168" t="str">
        <f t="shared" si="7"/>
        <v>SAS,2017-18</v>
      </c>
    </row>
    <row r="2335">
      <c r="A2335" s="161" t="str">
        <f>IFERROR(__xludf.DUMMYFUNCTION("""COMPUTED_VALUE"""),"murraja01")</f>
        <v>murraja01</v>
      </c>
      <c r="B2335" s="161" t="str">
        <f>IFERROR(__xludf.DUMMYFUNCTION("""COMPUTED_VALUE"""),"Jamal Murray")</f>
        <v>Jamal Murray</v>
      </c>
      <c r="C2335" s="162" t="str">
        <f>IFERROR(__xludf.DUMMYFUNCTION("""COMPUTED_VALUE"""),"2017-18")</f>
        <v>2017-18</v>
      </c>
      <c r="D2335" s="163" t="str">
        <f>IFERROR(__xludf.DUMMYFUNCTION("""COMPUTED_VALUE"""),"DEN")</f>
        <v>DEN</v>
      </c>
      <c r="E2335" s="164" t="str">
        <f>IFERROR(__xludf.DUMMYFUNCTION("""COMPUTED_VALUE"""),"Primary Ball Handler")</f>
        <v>Primary Ball Handler</v>
      </c>
      <c r="F2335" s="164">
        <f>IFERROR(__xludf.DUMMYFUNCTION("""COMPUTED_VALUE"""),2564.71833333333)</f>
        <v>2564.718333</v>
      </c>
      <c r="G2335" s="163">
        <f>IFERROR(__xludf.DUMMYFUNCTION("""COMPUTED_VALUE"""),81.0)</f>
        <v>81</v>
      </c>
      <c r="H2335" s="163" t="str">
        <f>IFERROR(__xludf.DUMMYFUNCTION("""COMPUTED_VALUE"""),"PG")</f>
        <v>PG</v>
      </c>
      <c r="I2335" s="163">
        <f>IFERROR(__xludf.DUMMYFUNCTION("""COMPUTED_VALUE"""),20.0)</f>
        <v>20</v>
      </c>
      <c r="J2335" s="165">
        <f>IFERROR(__xludf.DUMMYFUNCTION("""COMPUTED_VALUE"""),0.685159113026738)</f>
        <v>0.685159113</v>
      </c>
      <c r="K2335" s="165">
        <f>IFERROR(__xludf.DUMMYFUNCTION("""COMPUTED_VALUE"""),1.72917158500709)</f>
        <v>1.729171585</v>
      </c>
      <c r="L2335" s="165">
        <f>IFERROR(__xludf.DUMMYFUNCTION("""COMPUTED_VALUE"""),-1.04401247198036)</f>
        <v>-1.044012472</v>
      </c>
      <c r="M2335" s="166">
        <f t="shared" si="2"/>
        <v>5.137882171</v>
      </c>
      <c r="N2335" s="167">
        <f t="shared" si="3"/>
        <v>31.6631893</v>
      </c>
      <c r="O2335" s="163">
        <f t="shared" ref="O2335:Q2335" si="2339">rank(I2335,I:I)</f>
        <v>3770</v>
      </c>
      <c r="P2335" s="163">
        <f t="shared" si="2339"/>
        <v>803</v>
      </c>
      <c r="Q2335" s="163">
        <f t="shared" si="2339"/>
        <v>267</v>
      </c>
      <c r="R2335" s="163">
        <f>IFERROR(__xludf.DUMMYFUNCTION("RANK(M2335,filter(M:M,C:C=C2335))"),50.0)</f>
        <v>50</v>
      </c>
      <c r="S2335" s="161" t="b">
        <f t="shared" si="5"/>
        <v>0</v>
      </c>
      <c r="T2335" s="161" t="b">
        <f t="array" ref="T2335">index('Query Tool'!B:B,match(H2335,'Query Tool'!C:C,0))</f>
        <v>1</v>
      </c>
      <c r="U2335" s="161" t="b">
        <f t="array" ref="U2335">index('Query Tool'!B:B,match(C2335,'Query Tool'!C:C,0))</f>
        <v>0</v>
      </c>
      <c r="V2335" s="161" t="b">
        <f>F2335&gt;='Query Tool'!C$32</f>
        <v>1</v>
      </c>
      <c r="W2335" s="161" t="b">
        <f t="array" ref="W2335">index(Dropdowns!B:B,match(I2335,Dropdowns!A:A,0))</f>
        <v>1</v>
      </c>
      <c r="X2335" s="161" t="b">
        <f t="array" ref="X2335">index('Query Tool'!B:B,match(D2335,'Query Tool'!C:C,0))</f>
        <v>1</v>
      </c>
      <c r="Y2335" s="161" t="str">
        <f t="shared" si="6"/>
        <v>murraja01,2017-18</v>
      </c>
      <c r="Z2335" s="168">
        <f t="array" ref="Z2335">iferror(index(I:I,match($A2335&amp;","&amp;index('Year Conversion'!$A:$A,match($C2335,'Year Conversion'!$B:$B,0)),$Y:$Y,0))-I2335,"")</f>
        <v>1</v>
      </c>
      <c r="AA2335" s="168">
        <f t="array" ref="AA2335">iferror(index(J:J,match($A2335&amp;","&amp;index('Year Conversion'!$A:$A,match($C2335,'Year Conversion'!$B:$B,0)),$Y:$Y,0))-J2335,"")</f>
        <v>0.3736402989</v>
      </c>
      <c r="AB2335" s="168">
        <f t="array" ref="AB2335">iferror(index(K:K,match($A2335&amp;","&amp;index('Year Conversion'!$A:$A,match($C2335,'Year Conversion'!$B:$B,0)),$Y:$Y,0))-K2335,"")</f>
        <v>-0.3533266887</v>
      </c>
      <c r="AC2335" s="168" t="str">
        <f t="shared" si="7"/>
        <v>DEN,2017-18</v>
      </c>
    </row>
    <row r="2336">
      <c r="A2336" s="161" t="str">
        <f>IFERROR(__xludf.DUMMYFUNCTION("""COMPUTED_VALUE"""),"poeltja01")</f>
        <v>poeltja01</v>
      </c>
      <c r="B2336" s="161" t="str">
        <f>IFERROR(__xludf.DUMMYFUNCTION("""COMPUTED_VALUE"""),"Jakob Poeltl")</f>
        <v>Jakob Poeltl</v>
      </c>
      <c r="C2336" s="162" t="str">
        <f>IFERROR(__xludf.DUMMYFUNCTION("""COMPUTED_VALUE"""),"2017-18")</f>
        <v>2017-18</v>
      </c>
      <c r="D2336" s="163" t="str">
        <f>IFERROR(__xludf.DUMMYFUNCTION("""COMPUTED_VALUE"""),"TOR")</f>
        <v>TOR</v>
      </c>
      <c r="E2336" s="164" t="str">
        <f>IFERROR(__xludf.DUMMYFUNCTION("""COMPUTED_VALUE"""),"Roll + Cut Big")</f>
        <v>Roll + Cut Big</v>
      </c>
      <c r="F2336" s="164">
        <f>IFERROR(__xludf.DUMMYFUNCTION("""COMPUTED_VALUE"""),1523.545)</f>
        <v>1523.545</v>
      </c>
      <c r="G2336" s="163">
        <f>IFERROR(__xludf.DUMMYFUNCTION("""COMPUTED_VALUE"""),82.0)</f>
        <v>82</v>
      </c>
      <c r="H2336" s="163" t="str">
        <f>IFERROR(__xludf.DUMMYFUNCTION("""COMPUTED_VALUE"""),"C")</f>
        <v>C</v>
      </c>
      <c r="I2336" s="163">
        <f>IFERROR(__xludf.DUMMYFUNCTION("""COMPUTED_VALUE"""),22.0)</f>
        <v>22</v>
      </c>
      <c r="J2336" s="165">
        <f>IFERROR(__xludf.DUMMYFUNCTION("""COMPUTED_VALUE"""),0.66175015632385)</f>
        <v>0.6617501563</v>
      </c>
      <c r="K2336" s="165">
        <f>IFERROR(__xludf.DUMMYFUNCTION("""COMPUTED_VALUE"""),-0.302575796522144)</f>
        <v>-0.3025757965</v>
      </c>
      <c r="L2336" s="165">
        <f>IFERROR(__xludf.DUMMYFUNCTION("""COMPUTED_VALUE"""),0.964325952845993)</f>
        <v>0.9643259528</v>
      </c>
      <c r="M2336" s="166">
        <f t="shared" si="2"/>
        <v>3.028107653</v>
      </c>
      <c r="N2336" s="167">
        <f t="shared" si="3"/>
        <v>18.57981707</v>
      </c>
      <c r="O2336" s="163">
        <f t="shared" ref="O2336:Q2336" si="2340">rank(I2336,I:I)</f>
        <v>3178</v>
      </c>
      <c r="P2336" s="163">
        <f t="shared" si="2340"/>
        <v>815</v>
      </c>
      <c r="Q2336" s="163">
        <f t="shared" si="2340"/>
        <v>1765</v>
      </c>
      <c r="R2336" s="163">
        <f>IFERROR(__xludf.DUMMYFUNCTION("RANK(M2336,filter(M:M,C:C=C2336))"),110.0)</f>
        <v>110</v>
      </c>
      <c r="S2336" s="161" t="b">
        <f t="shared" si="5"/>
        <v>0</v>
      </c>
      <c r="T2336" s="161" t="b">
        <f t="array" ref="T2336">index('Query Tool'!B:B,match(H2336,'Query Tool'!C:C,0))</f>
        <v>1</v>
      </c>
      <c r="U2336" s="161" t="b">
        <f t="array" ref="U2336">index('Query Tool'!B:B,match(C2336,'Query Tool'!C:C,0))</f>
        <v>0</v>
      </c>
      <c r="V2336" s="161" t="b">
        <f>F2336&gt;='Query Tool'!C$32</f>
        <v>1</v>
      </c>
      <c r="W2336" s="161" t="b">
        <f t="array" ref="W2336">index(Dropdowns!B:B,match(I2336,Dropdowns!A:A,0))</f>
        <v>1</v>
      </c>
      <c r="X2336" s="161" t="b">
        <f t="array" ref="X2336">index('Query Tool'!B:B,match(D2336,'Query Tool'!C:C,0))</f>
        <v>1</v>
      </c>
      <c r="Y2336" s="161" t="str">
        <f t="shared" si="6"/>
        <v>poeltja01,2017-18</v>
      </c>
      <c r="Z2336" s="168">
        <f t="array" ref="Z2336">iferror(index(I:I,match($A2336&amp;","&amp;index('Year Conversion'!$A:$A,match($C2336,'Year Conversion'!$B:$B,0)),$Y:$Y,0))-I2336,"")</f>
        <v>1</v>
      </c>
      <c r="AA2336" s="168">
        <f t="array" ref="AA2336">iferror(index(J:J,match($A2336&amp;","&amp;index('Year Conversion'!$A:$A,match($C2336,'Year Conversion'!$B:$B,0)),$Y:$Y,0))-J2336,"")</f>
        <v>-0.3598369047</v>
      </c>
      <c r="AB2336" s="168">
        <f t="array" ref="AB2336">iferror(index(K:K,match($A2336&amp;","&amp;index('Year Conversion'!$A:$A,match($C2336,'Year Conversion'!$B:$B,0)),$Y:$Y,0))-K2336,"")</f>
        <v>-0.07193993327</v>
      </c>
      <c r="AC2336" s="168" t="str">
        <f t="shared" si="7"/>
        <v>TOR,2017-18</v>
      </c>
    </row>
    <row r="2337">
      <c r="A2337" s="161" t="str">
        <f>IFERROR(__xludf.DUMMYFUNCTION("""COMPUTED_VALUE"""),"princta02")</f>
        <v>princta02</v>
      </c>
      <c r="B2337" s="161" t="str">
        <f>IFERROR(__xludf.DUMMYFUNCTION("""COMPUTED_VALUE"""),"Taurean Prince")</f>
        <v>Taurean Prince</v>
      </c>
      <c r="C2337" s="162" t="str">
        <f>IFERROR(__xludf.DUMMYFUNCTION("""COMPUTED_VALUE"""),"2017-18")</f>
        <v>2017-18</v>
      </c>
      <c r="D2337" s="163" t="str">
        <f>IFERROR(__xludf.DUMMYFUNCTION("""COMPUTED_VALUE"""),"ATL")</f>
        <v>ATL</v>
      </c>
      <c r="E2337" s="164" t="str">
        <f>IFERROR(__xludf.DUMMYFUNCTION("""COMPUTED_VALUE"""),"Movement Shooter")</f>
        <v>Movement Shooter</v>
      </c>
      <c r="F2337" s="164">
        <f>IFERROR(__xludf.DUMMYFUNCTION("""COMPUTED_VALUE"""),2464.02)</f>
        <v>2464.02</v>
      </c>
      <c r="G2337" s="163">
        <f>IFERROR(__xludf.DUMMYFUNCTION("""COMPUTED_VALUE"""),82.0)</f>
        <v>82</v>
      </c>
      <c r="H2337" s="163" t="str">
        <f>IFERROR(__xludf.DUMMYFUNCTION("""COMPUTED_VALUE"""),"SF")</f>
        <v>SF</v>
      </c>
      <c r="I2337" s="163">
        <f>IFERROR(__xludf.DUMMYFUNCTION("""COMPUTED_VALUE"""),23.0)</f>
        <v>23</v>
      </c>
      <c r="J2337" s="165">
        <f>IFERROR(__xludf.DUMMYFUNCTION("""COMPUTED_VALUE"""),-1.4551114842482)</f>
        <v>-1.455111484</v>
      </c>
      <c r="K2337" s="165">
        <f>IFERROR(__xludf.DUMMYFUNCTION("""COMPUTED_VALUE"""),-0.823062670741274)</f>
        <v>-0.8230626707</v>
      </c>
      <c r="L2337" s="165">
        <f>IFERROR(__xludf.DUMMYFUNCTION("""COMPUTED_VALUE"""),-0.632048813506925)</f>
        <v>-0.6320488135</v>
      </c>
      <c r="M2337" s="166">
        <f t="shared" si="2"/>
        <v>1.388526405</v>
      </c>
      <c r="N2337" s="167">
        <f t="shared" si="3"/>
        <v>30.04902439</v>
      </c>
      <c r="O2337" s="163">
        <f t="shared" ref="O2337:Q2337" si="2341">rank(I2337,I:I)</f>
        <v>2765</v>
      </c>
      <c r="P2337" s="163">
        <f t="shared" si="2341"/>
        <v>3010</v>
      </c>
      <c r="Q2337" s="163">
        <f t="shared" si="2341"/>
        <v>2584</v>
      </c>
      <c r="R2337" s="163">
        <f>IFERROR(__xludf.DUMMYFUNCTION("RANK(M2337,filter(M:M,C:C=C2337))"),198.0)</f>
        <v>198</v>
      </c>
      <c r="S2337" s="161" t="b">
        <f t="shared" si="5"/>
        <v>0</v>
      </c>
      <c r="T2337" s="161" t="b">
        <f t="array" ref="T2337">index('Query Tool'!B:B,match(H2337,'Query Tool'!C:C,0))</f>
        <v>1</v>
      </c>
      <c r="U2337" s="161" t="b">
        <f t="array" ref="U2337">index('Query Tool'!B:B,match(C2337,'Query Tool'!C:C,0))</f>
        <v>0</v>
      </c>
      <c r="V2337" s="161" t="b">
        <f>F2337&gt;='Query Tool'!C$32</f>
        <v>1</v>
      </c>
      <c r="W2337" s="161" t="b">
        <f t="array" ref="W2337">index(Dropdowns!B:B,match(I2337,Dropdowns!A:A,0))</f>
        <v>1</v>
      </c>
      <c r="X2337" s="161" t="b">
        <f t="array" ref="X2337">index('Query Tool'!B:B,match(D2337,'Query Tool'!C:C,0))</f>
        <v>1</v>
      </c>
      <c r="Y2337" s="161" t="str">
        <f t="shared" si="6"/>
        <v>princta02,2017-18</v>
      </c>
      <c r="Z2337" s="168">
        <f t="array" ref="Z2337">iferror(index(I:I,match($A2337&amp;","&amp;index('Year Conversion'!$A:$A,match($C2337,'Year Conversion'!$B:$B,0)),$Y:$Y,0))-I2337,"")</f>
        <v>1</v>
      </c>
      <c r="AA2337" s="168">
        <f t="array" ref="AA2337">iferror(index(J:J,match($A2337&amp;","&amp;index('Year Conversion'!$A:$A,match($C2337,'Year Conversion'!$B:$B,0)),$Y:$Y,0))-J2337,"")</f>
        <v>-0.3572639849</v>
      </c>
      <c r="AB2337" s="168">
        <f t="array" ref="AB2337">iferror(index(K:K,match($A2337&amp;","&amp;index('Year Conversion'!$A:$A,match($C2337,'Year Conversion'!$B:$B,0)),$Y:$Y,0))-K2337,"")</f>
        <v>-0.03965554037</v>
      </c>
      <c r="AC2337" s="168" t="str">
        <f t="shared" si="7"/>
        <v>ATL,2017-18</v>
      </c>
    </row>
    <row r="2338">
      <c r="A2338" s="161" t="str">
        <f>IFERROR(__xludf.DUMMYFUNCTION("""COMPUTED_VALUE"""),"qizh01")</f>
        <v>qizh01</v>
      </c>
      <c r="B2338" s="161" t="str">
        <f>IFERROR(__xludf.DUMMYFUNCTION("""COMPUTED_VALUE"""),"Zhou Qi")</f>
        <v>Zhou Qi</v>
      </c>
      <c r="C2338" s="162" t="str">
        <f>IFERROR(__xludf.DUMMYFUNCTION("""COMPUTED_VALUE"""),"2017-18")</f>
        <v>2017-18</v>
      </c>
      <c r="D2338" s="163" t="str">
        <f>IFERROR(__xludf.DUMMYFUNCTION("""COMPUTED_VALUE"""),"HOU")</f>
        <v>HOU</v>
      </c>
      <c r="E2338" s="164" t="str">
        <f>IFERROR(__xludf.DUMMYFUNCTION("""COMPUTED_VALUE"""),"Stretch Big")</f>
        <v>Stretch Big</v>
      </c>
      <c r="F2338" s="164">
        <f>IFERROR(__xludf.DUMMYFUNCTION("""COMPUTED_VALUE"""),123.966666666667)</f>
        <v>123.9666667</v>
      </c>
      <c r="G2338" s="163">
        <f>IFERROR(__xludf.DUMMYFUNCTION("""COMPUTED_VALUE"""),18.0)</f>
        <v>18</v>
      </c>
      <c r="H2338" s="163" t="str">
        <f>IFERROR(__xludf.DUMMYFUNCTION("""COMPUTED_VALUE"""),"C")</f>
        <v>C</v>
      </c>
      <c r="I2338" s="163">
        <f>IFERROR(__xludf.DUMMYFUNCTION("""COMPUTED_VALUE"""),22.0)</f>
        <v>22</v>
      </c>
      <c r="J2338" s="165">
        <f>IFERROR(__xludf.DUMMYFUNCTION("""COMPUTED_VALUE"""),-1.35592708563883)</f>
        <v>-1.355927086</v>
      </c>
      <c r="K2338" s="165">
        <f>IFERROR(__xludf.DUMMYFUNCTION("""COMPUTED_VALUE"""),-1.11420549668596)</f>
        <v>-1.114205497</v>
      </c>
      <c r="L2338" s="165">
        <f>IFERROR(__xludf.DUMMYFUNCTION("""COMPUTED_VALUE"""),-0.24172158895288)</f>
        <v>-0.241721589</v>
      </c>
      <c r="M2338" s="166">
        <f t="shared" si="2"/>
        <v>0.07807942771</v>
      </c>
      <c r="N2338" s="167">
        <f t="shared" si="3"/>
        <v>6.887037037</v>
      </c>
      <c r="O2338" s="163">
        <f t="shared" ref="O2338:Q2338" si="2342">rank(I2338,I:I)</f>
        <v>3178</v>
      </c>
      <c r="P2338" s="163">
        <f t="shared" si="2342"/>
        <v>2911</v>
      </c>
      <c r="Q2338" s="163">
        <f t="shared" si="2342"/>
        <v>2943</v>
      </c>
      <c r="R2338" s="163">
        <f>IFERROR(__xludf.DUMMYFUNCTION("RANK(M2338,filter(M:M,C:C=C2338))"),411.0)</f>
        <v>411</v>
      </c>
      <c r="S2338" s="161" t="b">
        <f t="shared" si="5"/>
        <v>0</v>
      </c>
      <c r="T2338" s="161" t="b">
        <f t="array" ref="T2338">index('Query Tool'!B:B,match(H2338,'Query Tool'!C:C,0))</f>
        <v>1</v>
      </c>
      <c r="U2338" s="161" t="b">
        <f t="array" ref="U2338">index('Query Tool'!B:B,match(C2338,'Query Tool'!C:C,0))</f>
        <v>0</v>
      </c>
      <c r="V2338" s="161" t="b">
        <f>F2338&gt;='Query Tool'!C$32</f>
        <v>0</v>
      </c>
      <c r="W2338" s="161" t="b">
        <f t="array" ref="W2338">index(Dropdowns!B:B,match(I2338,Dropdowns!A:A,0))</f>
        <v>1</v>
      </c>
      <c r="X2338" s="161" t="b">
        <f t="array" ref="X2338">index('Query Tool'!B:B,match(D2338,'Query Tool'!C:C,0))</f>
        <v>1</v>
      </c>
      <c r="Y2338" s="161" t="str">
        <f t="shared" si="6"/>
        <v>qizh01,2017-18</v>
      </c>
      <c r="Z2338" s="168">
        <f t="array" ref="Z2338">iferror(index(I:I,match($A2338&amp;","&amp;index('Year Conversion'!$A:$A,match($C2338,'Year Conversion'!$B:$B,0)),$Y:$Y,0))-I2338,"")</f>
        <v>1</v>
      </c>
      <c r="AA2338" s="168">
        <f t="array" ref="AA2338">iferror(index(J:J,match($A2338&amp;","&amp;index('Year Conversion'!$A:$A,match($C2338,'Year Conversion'!$B:$B,0)),$Y:$Y,0))-J2338,"")</f>
        <v>0.5513092576</v>
      </c>
      <c r="AB2338" s="168">
        <f t="array" ref="AB2338">iferror(index(K:K,match($A2338&amp;","&amp;index('Year Conversion'!$A:$A,match($C2338,'Year Conversion'!$B:$B,0)),$Y:$Y,0))-K2338,"")</f>
        <v>1.036283906</v>
      </c>
      <c r="AC2338" s="168" t="str">
        <f t="shared" si="7"/>
        <v>HOU,2017-18</v>
      </c>
    </row>
    <row r="2339">
      <c r="A2339" s="161" t="str">
        <f>IFERROR(__xludf.DUMMYFUNCTION("""COMPUTED_VALUE"""),"ulisty01")</f>
        <v>ulisty01</v>
      </c>
      <c r="B2339" s="161" t="str">
        <f>IFERROR(__xludf.DUMMYFUNCTION("""COMPUTED_VALUE"""),"Tyler Ulis")</f>
        <v>Tyler Ulis</v>
      </c>
      <c r="C2339" s="162" t="str">
        <f>IFERROR(__xludf.DUMMYFUNCTION("""COMPUTED_VALUE"""),"2017-18")</f>
        <v>2017-18</v>
      </c>
      <c r="D2339" s="163" t="str">
        <f>IFERROR(__xludf.DUMMYFUNCTION("""COMPUTED_VALUE"""),"PHO")</f>
        <v>PHO</v>
      </c>
      <c r="E2339" s="164" t="str">
        <f>IFERROR(__xludf.DUMMYFUNCTION("""COMPUTED_VALUE"""),"Slasher")</f>
        <v>Slasher</v>
      </c>
      <c r="F2339" s="164">
        <f>IFERROR(__xludf.DUMMYFUNCTION("""COMPUTED_VALUE"""),1658.46166666667)</f>
        <v>1658.461667</v>
      </c>
      <c r="G2339" s="163">
        <f>IFERROR(__xludf.DUMMYFUNCTION("""COMPUTED_VALUE"""),71.0)</f>
        <v>71</v>
      </c>
      <c r="H2339" s="163" t="str">
        <f>IFERROR(__xludf.DUMMYFUNCTION("""COMPUTED_VALUE"""),"PG")</f>
        <v>PG</v>
      </c>
      <c r="I2339" s="163">
        <f>IFERROR(__xludf.DUMMYFUNCTION("""COMPUTED_VALUE"""),22.0)</f>
        <v>22</v>
      </c>
      <c r="J2339" s="165">
        <f>IFERROR(__xludf.DUMMYFUNCTION("""COMPUTED_VALUE"""),-1.40635344256398)</f>
        <v>-1.406353443</v>
      </c>
      <c r="K2339" s="165">
        <f>IFERROR(__xludf.DUMMYFUNCTION("""COMPUTED_VALUE"""),-0.87756718946893)</f>
        <v>-0.8775671895</v>
      </c>
      <c r="L2339" s="165">
        <f>IFERROR(__xludf.DUMMYFUNCTION("""COMPUTED_VALUE"""),-0.528786253095046)</f>
        <v>-0.5287862531</v>
      </c>
      <c r="M2339" s="166">
        <f t="shared" si="2"/>
        <v>0.9886323089</v>
      </c>
      <c r="N2339" s="167">
        <f t="shared" si="3"/>
        <v>23.35861502</v>
      </c>
      <c r="O2339" s="163">
        <f t="shared" ref="O2339:Q2339" si="2343">rank(I2339,I:I)</f>
        <v>3178</v>
      </c>
      <c r="P2339" s="163">
        <f t="shared" si="2343"/>
        <v>2957</v>
      </c>
      <c r="Q2339" s="163">
        <f t="shared" si="2343"/>
        <v>2658</v>
      </c>
      <c r="R2339" s="163">
        <f>IFERROR(__xludf.DUMMYFUNCTION("RANK(M2339,filter(M:M,C:C=C2339))"),235.0)</f>
        <v>235</v>
      </c>
      <c r="S2339" s="161" t="b">
        <f t="shared" si="5"/>
        <v>0</v>
      </c>
      <c r="T2339" s="161" t="b">
        <f t="array" ref="T2339">index('Query Tool'!B:B,match(H2339,'Query Tool'!C:C,0))</f>
        <v>1</v>
      </c>
      <c r="U2339" s="161" t="b">
        <f t="array" ref="U2339">index('Query Tool'!B:B,match(C2339,'Query Tool'!C:C,0))</f>
        <v>0</v>
      </c>
      <c r="V2339" s="161" t="b">
        <f>F2339&gt;='Query Tool'!C$32</f>
        <v>1</v>
      </c>
      <c r="W2339" s="161" t="b">
        <f t="array" ref="W2339">index(Dropdowns!B:B,match(I2339,Dropdowns!A:A,0))</f>
        <v>1</v>
      </c>
      <c r="X2339" s="161" t="b">
        <f t="array" ref="X2339">index('Query Tool'!B:B,match(D2339,'Query Tool'!C:C,0))</f>
        <v>1</v>
      </c>
      <c r="Y2339" s="161" t="str">
        <f t="shared" si="6"/>
        <v>ulisty01,2017-18</v>
      </c>
      <c r="Z2339" s="168">
        <f t="array" ref="Z2339">iferror(index(I:I,match($A2339&amp;","&amp;index('Year Conversion'!$A:$A,match($C2339,'Year Conversion'!$B:$B,0)),$Y:$Y,0))-I2339,"")</f>
        <v>1</v>
      </c>
      <c r="AA2339" s="168">
        <f t="array" ref="AA2339">iferror(index(J:J,match($A2339&amp;","&amp;index('Year Conversion'!$A:$A,match($C2339,'Year Conversion'!$B:$B,0)),$Y:$Y,0))-J2339,"")</f>
        <v>1.330031642</v>
      </c>
      <c r="AB2339" s="168">
        <f t="array" ref="AB2339">iferror(index(K:K,match($A2339&amp;","&amp;index('Year Conversion'!$A:$A,match($C2339,'Year Conversion'!$B:$B,0)),$Y:$Y,0))-K2339,"")</f>
        <v>0.7582572531</v>
      </c>
      <c r="AC2339" s="168" t="str">
        <f t="shared" si="7"/>
        <v>PHO,2017-18</v>
      </c>
    </row>
    <row r="2340">
      <c r="A2340" s="161" t="str">
        <f>IFERROR(__xludf.DUMMYFUNCTION("""COMPUTED_VALUE"""),"valende01")</f>
        <v>valende01</v>
      </c>
      <c r="B2340" s="161" t="str">
        <f>IFERROR(__xludf.DUMMYFUNCTION("""COMPUTED_VALUE"""),"Denzel Valentine")</f>
        <v>Denzel Valentine</v>
      </c>
      <c r="C2340" s="162" t="str">
        <f>IFERROR(__xludf.DUMMYFUNCTION("""COMPUTED_VALUE"""),"2017-18")</f>
        <v>2017-18</v>
      </c>
      <c r="D2340" s="163" t="str">
        <f>IFERROR(__xludf.DUMMYFUNCTION("""COMPUTED_VALUE"""),"CHI")</f>
        <v>CHI</v>
      </c>
      <c r="E2340" s="164" t="str">
        <f>IFERROR(__xludf.DUMMYFUNCTION("""COMPUTED_VALUE"""),"Secondary Ball Handler")</f>
        <v>Secondary Ball Handler</v>
      </c>
      <c r="F2340" s="164">
        <f>IFERROR(__xludf.DUMMYFUNCTION("""COMPUTED_VALUE"""),2095.14166666667)</f>
        <v>2095.141667</v>
      </c>
      <c r="G2340" s="163">
        <f>IFERROR(__xludf.DUMMYFUNCTION("""COMPUTED_VALUE"""),77.0)</f>
        <v>77</v>
      </c>
      <c r="H2340" s="163" t="str">
        <f>IFERROR(__xludf.DUMMYFUNCTION("""COMPUTED_VALUE"""),"SG")</f>
        <v>SG</v>
      </c>
      <c r="I2340" s="163">
        <f>IFERROR(__xludf.DUMMYFUNCTION("""COMPUTED_VALUE"""),24.0)</f>
        <v>24</v>
      </c>
      <c r="J2340" s="165">
        <f>IFERROR(__xludf.DUMMYFUNCTION("""COMPUTED_VALUE"""),-2.29419297860642)</f>
        <v>-2.294192979</v>
      </c>
      <c r="K2340" s="165">
        <f>IFERROR(__xludf.DUMMYFUNCTION("""COMPUTED_VALUE"""),-1.6394975142446)</f>
        <v>-1.639497514</v>
      </c>
      <c r="L2340" s="165">
        <f>IFERROR(__xludf.DUMMYFUNCTION("""COMPUTED_VALUE"""),-0.654695464361823)</f>
        <v>-0.6546954644</v>
      </c>
      <c r="M2340" s="166">
        <f t="shared" si="2"/>
        <v>0.01289804619</v>
      </c>
      <c r="N2340" s="167">
        <f t="shared" si="3"/>
        <v>27.20963203</v>
      </c>
      <c r="O2340" s="163">
        <f t="shared" ref="O2340:Q2340" si="2344">rank(I2340,I:I)</f>
        <v>2361</v>
      </c>
      <c r="P2340" s="163">
        <f t="shared" si="2344"/>
        <v>3654</v>
      </c>
      <c r="Q2340" s="163">
        <f t="shared" si="2344"/>
        <v>3478</v>
      </c>
      <c r="R2340" s="163">
        <f>IFERROR(__xludf.DUMMYFUNCTION("RANK(M2340,filter(M:M,C:C=C2340))"),468.0)</f>
        <v>468</v>
      </c>
      <c r="S2340" s="161" t="b">
        <f t="shared" si="5"/>
        <v>0</v>
      </c>
      <c r="T2340" s="161" t="b">
        <f t="array" ref="T2340">index('Query Tool'!B:B,match(H2340,'Query Tool'!C:C,0))</f>
        <v>1</v>
      </c>
      <c r="U2340" s="161" t="b">
        <f t="array" ref="U2340">index('Query Tool'!B:B,match(C2340,'Query Tool'!C:C,0))</f>
        <v>0</v>
      </c>
      <c r="V2340" s="161" t="b">
        <f>F2340&gt;='Query Tool'!C$32</f>
        <v>1</v>
      </c>
      <c r="W2340" s="161" t="b">
        <f t="array" ref="W2340">index(Dropdowns!B:B,match(I2340,Dropdowns!A:A,0))</f>
        <v>1</v>
      </c>
      <c r="X2340" s="161" t="b">
        <f t="array" ref="X2340">index('Query Tool'!B:B,match(D2340,'Query Tool'!C:C,0))</f>
        <v>1</v>
      </c>
      <c r="Y2340" s="161" t="str">
        <f t="shared" si="6"/>
        <v>valende01,2017-18</v>
      </c>
      <c r="Z2340" s="168" t="str">
        <f t="array" ref="Z2340">iferror(index(I:I,match($A2340&amp;","&amp;index('Year Conversion'!$A:$A,match($C2340,'Year Conversion'!$B:$B,0)),$Y:$Y,0))-I2340,"")</f>
        <v/>
      </c>
      <c r="AA2340" s="168" t="str">
        <f t="array" ref="AA2340">iferror(index(J:J,match($A2340&amp;","&amp;index('Year Conversion'!$A:$A,match($C2340,'Year Conversion'!$B:$B,0)),$Y:$Y,0))-J2340,"")</f>
        <v/>
      </c>
      <c r="AB2340" s="168" t="str">
        <f t="array" ref="AB2340">iferror(index(K:K,match($A2340&amp;","&amp;index('Year Conversion'!$A:$A,match($C2340,'Year Conversion'!$B:$B,0)),$Y:$Y,0))-K2340,"")</f>
        <v/>
      </c>
      <c r="AC2340" s="168" t="str">
        <f t="shared" si="7"/>
        <v>CHI,2017-18</v>
      </c>
    </row>
    <row r="2341">
      <c r="A2341" s="161" t="str">
        <f>IFERROR(__xludf.DUMMYFUNCTION("""COMPUTED_VALUE"""),"bakerro01")</f>
        <v>bakerro01</v>
      </c>
      <c r="B2341" s="161" t="str">
        <f>IFERROR(__xludf.DUMMYFUNCTION("""COMPUTED_VALUE"""),"Ron Baker")</f>
        <v>Ron Baker</v>
      </c>
      <c r="C2341" s="162" t="str">
        <f>IFERROR(__xludf.DUMMYFUNCTION("""COMPUTED_VALUE"""),"2017-18")</f>
        <v>2017-18</v>
      </c>
      <c r="D2341" s="163" t="str">
        <f>IFERROR(__xludf.DUMMYFUNCTION("""COMPUTED_VALUE"""),"NYK")</f>
        <v>NYK</v>
      </c>
      <c r="E2341" s="164" t="str">
        <f>IFERROR(__xludf.DUMMYFUNCTION("""COMPUTED_VALUE"""),"Secondary Ball Handler")</f>
        <v>Secondary Ball Handler</v>
      </c>
      <c r="F2341" s="164">
        <f>IFERROR(__xludf.DUMMYFUNCTION("""COMPUTED_VALUE"""),384.673333333333)</f>
        <v>384.6733333</v>
      </c>
      <c r="G2341" s="163">
        <f>IFERROR(__xludf.DUMMYFUNCTION("""COMPUTED_VALUE"""),29.0)</f>
        <v>29</v>
      </c>
      <c r="H2341" s="163" t="str">
        <f>IFERROR(__xludf.DUMMYFUNCTION("""COMPUTED_VALUE"""),"SG")</f>
        <v>SG</v>
      </c>
      <c r="I2341" s="163">
        <f>IFERROR(__xludf.DUMMYFUNCTION("""COMPUTED_VALUE"""),24.0)</f>
        <v>24</v>
      </c>
      <c r="J2341" s="165">
        <f>IFERROR(__xludf.DUMMYFUNCTION("""COMPUTED_VALUE"""),-0.645896035737414)</f>
        <v>-0.6458960357</v>
      </c>
      <c r="K2341" s="165">
        <f>IFERROR(__xludf.DUMMYFUNCTION("""COMPUTED_VALUE"""),-1.14276945889978)</f>
        <v>-1.142769459</v>
      </c>
      <c r="L2341" s="165">
        <f>IFERROR(__xludf.DUMMYFUNCTION("""COMPUTED_VALUE"""),0.496873423162366)</f>
        <v>0.4968734232</v>
      </c>
      <c r="M2341" s="166">
        <f t="shared" si="2"/>
        <v>0.4256265516</v>
      </c>
      <c r="N2341" s="167">
        <f t="shared" si="3"/>
        <v>13.2645977</v>
      </c>
      <c r="O2341" s="163">
        <f t="shared" ref="O2341:Q2341" si="2345">rank(I2341,I:I)</f>
        <v>2361</v>
      </c>
      <c r="P2341" s="163">
        <f t="shared" si="2345"/>
        <v>2058</v>
      </c>
      <c r="Q2341" s="163">
        <f t="shared" si="2345"/>
        <v>2977</v>
      </c>
      <c r="R2341" s="163">
        <f>IFERROR(__xludf.DUMMYFUNCTION("RANK(M2341,filter(M:M,C:C=C2341))"),296.0)</f>
        <v>296</v>
      </c>
      <c r="S2341" s="161" t="b">
        <f t="shared" si="5"/>
        <v>0</v>
      </c>
      <c r="T2341" s="161" t="b">
        <f t="array" ref="T2341">index('Query Tool'!B:B,match(H2341,'Query Tool'!C:C,0))</f>
        <v>1</v>
      </c>
      <c r="U2341" s="161" t="b">
        <f t="array" ref="U2341">index('Query Tool'!B:B,match(C2341,'Query Tool'!C:C,0))</f>
        <v>0</v>
      </c>
      <c r="V2341" s="161" t="b">
        <f>F2341&gt;='Query Tool'!C$32</f>
        <v>0</v>
      </c>
      <c r="W2341" s="161" t="b">
        <f t="array" ref="W2341">index(Dropdowns!B:B,match(I2341,Dropdowns!A:A,0))</f>
        <v>1</v>
      </c>
      <c r="X2341" s="161" t="b">
        <f t="array" ref="X2341">index('Query Tool'!B:B,match(D2341,'Query Tool'!C:C,0))</f>
        <v>1</v>
      </c>
      <c r="Y2341" s="161" t="str">
        <f t="shared" si="6"/>
        <v>bakerro01,2017-18</v>
      </c>
      <c r="Z2341" s="168">
        <f t="array" ref="Z2341">iferror(index(I:I,match($A2341&amp;","&amp;index('Year Conversion'!$A:$A,match($C2341,'Year Conversion'!$B:$B,0)),$Y:$Y,0))-I2341,"")</f>
        <v>1</v>
      </c>
      <c r="AA2341" s="168">
        <f t="array" ref="AA2341">iferror(index(J:J,match($A2341&amp;","&amp;index('Year Conversion'!$A:$A,match($C2341,'Year Conversion'!$B:$B,0)),$Y:$Y,0))-J2341,"")</f>
        <v>0.1658949465</v>
      </c>
      <c r="AB2341" s="168">
        <f t="array" ref="AB2341">iferror(index(K:K,match($A2341&amp;","&amp;index('Year Conversion'!$A:$A,match($C2341,'Year Conversion'!$B:$B,0)),$Y:$Y,0))-K2341,"")</f>
        <v>0.1832346164</v>
      </c>
      <c r="AC2341" s="168" t="str">
        <f t="shared" si="7"/>
        <v>NYK,2017-18</v>
      </c>
    </row>
    <row r="2342">
      <c r="A2342" s="161" t="str">
        <f>IFERROR(__xludf.DUMMYFUNCTION("""COMPUTED_VALUE"""),"brownja02")</f>
        <v>brownja02</v>
      </c>
      <c r="B2342" s="161" t="str">
        <f>IFERROR(__xludf.DUMMYFUNCTION("""COMPUTED_VALUE"""),"Jaylen Brown")</f>
        <v>Jaylen Brown</v>
      </c>
      <c r="C2342" s="162" t="str">
        <f>IFERROR(__xludf.DUMMYFUNCTION("""COMPUTED_VALUE"""),"2017-18")</f>
        <v>2017-18</v>
      </c>
      <c r="D2342" s="163" t="str">
        <f>IFERROR(__xludf.DUMMYFUNCTION("""COMPUTED_VALUE"""),"BOS")</f>
        <v>BOS</v>
      </c>
      <c r="E2342" s="164" t="str">
        <f>IFERROR(__xludf.DUMMYFUNCTION("""COMPUTED_VALUE"""),"Movement Shooter")</f>
        <v>Movement Shooter</v>
      </c>
      <c r="F2342" s="164">
        <f>IFERROR(__xludf.DUMMYFUNCTION("""COMPUTED_VALUE"""),2151.745)</f>
        <v>2151.745</v>
      </c>
      <c r="G2342" s="163">
        <f>IFERROR(__xludf.DUMMYFUNCTION("""COMPUTED_VALUE"""),70.0)</f>
        <v>70</v>
      </c>
      <c r="H2342" s="163" t="str">
        <f>IFERROR(__xludf.DUMMYFUNCTION("""COMPUTED_VALUE"""),"SG")</f>
        <v>SG</v>
      </c>
      <c r="I2342" s="163">
        <f>IFERROR(__xludf.DUMMYFUNCTION("""COMPUTED_VALUE"""),21.0)</f>
        <v>21</v>
      </c>
      <c r="J2342" s="165">
        <f>IFERROR(__xludf.DUMMYFUNCTION("""COMPUTED_VALUE"""),1.25567168515837)</f>
        <v>1.255671685</v>
      </c>
      <c r="K2342" s="165">
        <f>IFERROR(__xludf.DUMMYFUNCTION("""COMPUTED_VALUE"""),-0.137993270676233)</f>
        <v>-0.1379932707</v>
      </c>
      <c r="L2342" s="165">
        <f>IFERROR(__xludf.DUMMYFUNCTION("""COMPUTED_VALUE"""),1.3936649558346)</f>
        <v>1.393664956</v>
      </c>
      <c r="M2342" s="166">
        <f t="shared" si="2"/>
        <v>5.134877631</v>
      </c>
      <c r="N2342" s="167">
        <f t="shared" si="3"/>
        <v>30.73921429</v>
      </c>
      <c r="O2342" s="163">
        <f t="shared" ref="O2342:Q2342" si="2346">rank(I2342,I:I)</f>
        <v>3528</v>
      </c>
      <c r="P2342" s="163">
        <f t="shared" si="2346"/>
        <v>545</v>
      </c>
      <c r="Q2342" s="163">
        <f t="shared" si="2346"/>
        <v>1460</v>
      </c>
      <c r="R2342" s="163">
        <f>IFERROR(__xludf.DUMMYFUNCTION("RANK(M2342,filter(M:M,C:C=C2342))"),51.0)</f>
        <v>51</v>
      </c>
      <c r="S2342" s="161" t="b">
        <f t="shared" si="5"/>
        <v>0</v>
      </c>
      <c r="T2342" s="161" t="b">
        <f t="array" ref="T2342">index('Query Tool'!B:B,match(H2342,'Query Tool'!C:C,0))</f>
        <v>1</v>
      </c>
      <c r="U2342" s="161" t="b">
        <f t="array" ref="U2342">index('Query Tool'!B:B,match(C2342,'Query Tool'!C:C,0))</f>
        <v>0</v>
      </c>
      <c r="V2342" s="161" t="b">
        <f>F2342&gt;='Query Tool'!C$32</f>
        <v>1</v>
      </c>
      <c r="W2342" s="161" t="b">
        <f t="array" ref="W2342">index(Dropdowns!B:B,match(I2342,Dropdowns!A:A,0))</f>
        <v>1</v>
      </c>
      <c r="X2342" s="161" t="b">
        <f t="array" ref="X2342">index('Query Tool'!B:B,match(D2342,'Query Tool'!C:C,0))</f>
        <v>1</v>
      </c>
      <c r="Y2342" s="161" t="str">
        <f t="shared" si="6"/>
        <v>brownja02,2017-18</v>
      </c>
      <c r="Z2342" s="168">
        <f t="array" ref="Z2342">iferror(index(I:I,match($A2342&amp;","&amp;index('Year Conversion'!$A:$A,match($C2342,'Year Conversion'!$B:$B,0)),$Y:$Y,0))-I2342,"")</f>
        <v>1</v>
      </c>
      <c r="AA2342" s="168">
        <f t="array" ref="AA2342">iferror(index(J:J,match($A2342&amp;","&amp;index('Year Conversion'!$A:$A,match($C2342,'Year Conversion'!$B:$B,0)),$Y:$Y,0))-J2342,"")</f>
        <v>-1.937714499</v>
      </c>
      <c r="AB2342" s="168">
        <f t="array" ref="AB2342">iferror(index(K:K,match($A2342&amp;","&amp;index('Year Conversion'!$A:$A,match($C2342,'Year Conversion'!$B:$B,0)),$Y:$Y,0))-K2342,"")</f>
        <v>-0.8664872047</v>
      </c>
      <c r="AC2342" s="168" t="str">
        <f t="shared" si="7"/>
        <v>BOS,2017-18</v>
      </c>
    </row>
    <row r="2343">
      <c r="A2343" s="161" t="str">
        <f>IFERROR(__xludf.DUMMYFUNCTION("""COMPUTED_VALUE"""),"bembrde01")</f>
        <v>bembrde01</v>
      </c>
      <c r="B2343" s="161" t="str">
        <f>IFERROR(__xludf.DUMMYFUNCTION("""COMPUTED_VALUE"""),"DeAndre' Bembry")</f>
        <v>DeAndre' Bembry</v>
      </c>
      <c r="C2343" s="162" t="str">
        <f>IFERROR(__xludf.DUMMYFUNCTION("""COMPUTED_VALUE"""),"2017-18")</f>
        <v>2017-18</v>
      </c>
      <c r="D2343" s="163" t="str">
        <f>IFERROR(__xludf.DUMMYFUNCTION("""COMPUTED_VALUE"""),"ATL")</f>
        <v>ATL</v>
      </c>
      <c r="E2343" s="164" t="str">
        <f>IFERROR(__xludf.DUMMYFUNCTION("""COMPUTED_VALUE"""),"Slasher")</f>
        <v>Slasher</v>
      </c>
      <c r="F2343" s="164">
        <f>IFERROR(__xludf.DUMMYFUNCTION("""COMPUTED_VALUE"""),455.216666666667)</f>
        <v>455.2166667</v>
      </c>
      <c r="G2343" s="163">
        <f>IFERROR(__xludf.DUMMYFUNCTION("""COMPUTED_VALUE"""),26.0)</f>
        <v>26</v>
      </c>
      <c r="H2343" s="163" t="str">
        <f>IFERROR(__xludf.DUMMYFUNCTION("""COMPUTED_VALUE"""),"SF")</f>
        <v>SF</v>
      </c>
      <c r="I2343" s="163">
        <f>IFERROR(__xludf.DUMMYFUNCTION("""COMPUTED_VALUE"""),23.0)</f>
        <v>23</v>
      </c>
      <c r="J2343" s="165">
        <f>IFERROR(__xludf.DUMMYFUNCTION("""COMPUTED_VALUE"""),-1.93149039921924)</f>
        <v>-1.931490399</v>
      </c>
      <c r="K2343" s="165">
        <f>IFERROR(__xludf.DUMMYFUNCTION("""COMPUTED_VALUE"""),-2.54989470663764)</f>
        <v>-2.549894707</v>
      </c>
      <c r="L2343" s="165">
        <f>IFERROR(__xludf.DUMMYFUNCTION("""COMPUTED_VALUE"""),0.618404307418397)</f>
        <v>0.6184043074</v>
      </c>
      <c r="M2343" s="166">
        <f t="shared" si="2"/>
        <v>0.1120664096</v>
      </c>
      <c r="N2343" s="167">
        <f t="shared" si="3"/>
        <v>17.50833333</v>
      </c>
      <c r="O2343" s="163">
        <f t="shared" ref="O2343:Q2343" si="2347">rank(I2343,I:I)</f>
        <v>2765</v>
      </c>
      <c r="P2343" s="163">
        <f t="shared" si="2347"/>
        <v>3434</v>
      </c>
      <c r="Q2343" s="163">
        <f t="shared" si="2347"/>
        <v>3901</v>
      </c>
      <c r="R2343" s="163">
        <f>IFERROR(__xludf.DUMMYFUNCTION("RANK(M2343,filter(M:M,C:C=C2343))"),393.0)</f>
        <v>393</v>
      </c>
      <c r="S2343" s="161" t="b">
        <f t="shared" si="5"/>
        <v>0</v>
      </c>
      <c r="T2343" s="161" t="b">
        <f t="array" ref="T2343">index('Query Tool'!B:B,match(H2343,'Query Tool'!C:C,0))</f>
        <v>1</v>
      </c>
      <c r="U2343" s="161" t="b">
        <f t="array" ref="U2343">index('Query Tool'!B:B,match(C2343,'Query Tool'!C:C,0))</f>
        <v>0</v>
      </c>
      <c r="V2343" s="161" t="b">
        <f>F2343&gt;='Query Tool'!C$32</f>
        <v>0</v>
      </c>
      <c r="W2343" s="161" t="b">
        <f t="array" ref="W2343">index(Dropdowns!B:B,match(I2343,Dropdowns!A:A,0))</f>
        <v>1</v>
      </c>
      <c r="X2343" s="161" t="b">
        <f t="array" ref="X2343">index('Query Tool'!B:B,match(D2343,'Query Tool'!C:C,0))</f>
        <v>1</v>
      </c>
      <c r="Y2343" s="161" t="str">
        <f t="shared" si="6"/>
        <v>bembrde01,2017-18</v>
      </c>
      <c r="Z2343" s="168">
        <f t="array" ref="Z2343">iferror(index(I:I,match($A2343&amp;","&amp;index('Year Conversion'!$A:$A,match($C2343,'Year Conversion'!$B:$B,0)),$Y:$Y,0))-I2343,"")</f>
        <v>1</v>
      </c>
      <c r="AA2343" s="168">
        <f t="array" ref="AA2343">iferror(index(J:J,match($A2343&amp;","&amp;index('Year Conversion'!$A:$A,match($C2343,'Year Conversion'!$B:$B,0)),$Y:$Y,0))-J2343,"")</f>
        <v>0.2323818409</v>
      </c>
      <c r="AB2343" s="168">
        <f t="array" ref="AB2343">iferror(index(K:K,match($A2343&amp;","&amp;index('Year Conversion'!$A:$A,match($C2343,'Year Conversion'!$B:$B,0)),$Y:$Y,0))-K2343,"")</f>
        <v>1.055949137</v>
      </c>
      <c r="AC2343" s="168" t="str">
        <f t="shared" si="7"/>
        <v>ATL,2017-18</v>
      </c>
    </row>
    <row r="2344">
      <c r="A2344" s="161" t="str">
        <f>IFERROR(__xludf.DUMMYFUNCTION("""COMPUTED_VALUE"""),"bolomjo01")</f>
        <v>bolomjo01</v>
      </c>
      <c r="B2344" s="161" t="str">
        <f>IFERROR(__xludf.DUMMYFUNCTION("""COMPUTED_VALUE"""),"Joel Bolomboy")</f>
        <v>Joel Bolomboy</v>
      </c>
      <c r="C2344" s="162" t="str">
        <f>IFERROR(__xludf.DUMMYFUNCTION("""COMPUTED_VALUE"""),"2017-18")</f>
        <v>2017-18</v>
      </c>
      <c r="D2344" s="163" t="str">
        <f>IFERROR(__xludf.DUMMYFUNCTION("""COMPUTED_VALUE"""),"MIL")</f>
        <v>MIL</v>
      </c>
      <c r="E2344" s="164" t="str">
        <f>IFERROR(__xludf.DUMMYFUNCTION("""COMPUTED_VALUE"""),"Roll + Cut Big")</f>
        <v>Roll + Cut Big</v>
      </c>
      <c r="F2344" s="164">
        <f>IFERROR(__xludf.DUMMYFUNCTION("""COMPUTED_VALUE"""),37.66)</f>
        <v>37.66</v>
      </c>
      <c r="G2344" s="163">
        <f>IFERROR(__xludf.DUMMYFUNCTION("""COMPUTED_VALUE"""),6.0)</f>
        <v>6</v>
      </c>
      <c r="H2344" s="163" t="str">
        <f>IFERROR(__xludf.DUMMYFUNCTION("""COMPUTED_VALUE"""),"PF")</f>
        <v>PF</v>
      </c>
      <c r="I2344" s="163">
        <f>IFERROR(__xludf.DUMMYFUNCTION("""COMPUTED_VALUE"""),24.0)</f>
        <v>24</v>
      </c>
      <c r="J2344" s="165">
        <f>IFERROR(__xludf.DUMMYFUNCTION("""COMPUTED_VALUE"""),-0.595220268116763)</f>
        <v>-0.5952202681</v>
      </c>
      <c r="K2344" s="165">
        <f>IFERROR(__xludf.DUMMYFUNCTION("""COMPUTED_VALUE"""),-0.172375590660693)</f>
        <v>-0.1723755907</v>
      </c>
      <c r="L2344" s="165">
        <f>IFERROR(__xludf.DUMMYFUNCTION("""COMPUTED_VALUE"""),-0.42284467745607)</f>
        <v>-0.4228446775</v>
      </c>
      <c r="M2344" s="166">
        <f t="shared" si="2"/>
        <v>0.04295396452</v>
      </c>
      <c r="N2344" s="167">
        <f t="shared" si="3"/>
        <v>6.276666667</v>
      </c>
      <c r="O2344" s="163">
        <f t="shared" ref="O2344:Q2344" si="2348">rank(I2344,I:I)</f>
        <v>2361</v>
      </c>
      <c r="P2344" s="163">
        <f t="shared" si="2348"/>
        <v>1988</v>
      </c>
      <c r="Q2344" s="163">
        <f t="shared" si="2348"/>
        <v>1518</v>
      </c>
      <c r="R2344" s="163">
        <f>IFERROR(__xludf.DUMMYFUNCTION("RANK(M2344,filter(M:M,C:C=C2344))"),438.0)</f>
        <v>438</v>
      </c>
      <c r="S2344" s="161" t="b">
        <f t="shared" si="5"/>
        <v>0</v>
      </c>
      <c r="T2344" s="161" t="b">
        <f t="array" ref="T2344">index('Query Tool'!B:B,match(H2344,'Query Tool'!C:C,0))</f>
        <v>1</v>
      </c>
      <c r="U2344" s="161" t="b">
        <f t="array" ref="U2344">index('Query Tool'!B:B,match(C2344,'Query Tool'!C:C,0))</f>
        <v>0</v>
      </c>
      <c r="V2344" s="161" t="b">
        <f>F2344&gt;='Query Tool'!C$32</f>
        <v>0</v>
      </c>
      <c r="W2344" s="161" t="b">
        <f t="array" ref="W2344">index(Dropdowns!B:B,match(I2344,Dropdowns!A:A,0))</f>
        <v>1</v>
      </c>
      <c r="X2344" s="161" t="b">
        <f t="array" ref="X2344">index('Query Tool'!B:B,match(D2344,'Query Tool'!C:C,0))</f>
        <v>1</v>
      </c>
      <c r="Y2344" s="161" t="str">
        <f t="shared" si="6"/>
        <v>bolomjo01,2017-18</v>
      </c>
      <c r="Z2344" s="168" t="str">
        <f t="array" ref="Z2344">iferror(index(I:I,match($A2344&amp;","&amp;index('Year Conversion'!$A:$A,match($C2344,'Year Conversion'!$B:$B,0)),$Y:$Y,0))-I2344,"")</f>
        <v/>
      </c>
      <c r="AA2344" s="168" t="str">
        <f t="array" ref="AA2344">iferror(index(J:J,match($A2344&amp;","&amp;index('Year Conversion'!$A:$A,match($C2344,'Year Conversion'!$B:$B,0)),$Y:$Y,0))-J2344,"")</f>
        <v/>
      </c>
      <c r="AB2344" s="168" t="str">
        <f t="array" ref="AB2344">iferror(index(K:K,match($A2344&amp;","&amp;index('Year Conversion'!$A:$A,match($C2344,'Year Conversion'!$B:$B,0)),$Y:$Y,0))-K2344,"")</f>
        <v/>
      </c>
      <c r="AC2344" s="168" t="str">
        <f t="shared" si="7"/>
        <v>MIL,2017-18</v>
      </c>
    </row>
    <row r="2345">
      <c r="A2345" s="161" t="str">
        <f>IFERROR(__xludf.DUMMYFUNCTION("""COMPUTED_VALUE"""),"brogdma01")</f>
        <v>brogdma01</v>
      </c>
      <c r="B2345" s="161" t="str">
        <f>IFERROR(__xludf.DUMMYFUNCTION("""COMPUTED_VALUE"""),"Malcolm Brogdon")</f>
        <v>Malcolm Brogdon</v>
      </c>
      <c r="C2345" s="162" t="str">
        <f>IFERROR(__xludf.DUMMYFUNCTION("""COMPUTED_VALUE"""),"2017-18")</f>
        <v>2017-18</v>
      </c>
      <c r="D2345" s="163" t="str">
        <f>IFERROR(__xludf.DUMMYFUNCTION("""COMPUTED_VALUE"""),"MIL")</f>
        <v>MIL</v>
      </c>
      <c r="E2345" s="164" t="str">
        <f>IFERROR(__xludf.DUMMYFUNCTION("""COMPUTED_VALUE"""),"Secondary Ball Handler")</f>
        <v>Secondary Ball Handler</v>
      </c>
      <c r="F2345" s="164">
        <f>IFERROR(__xludf.DUMMYFUNCTION("""COMPUTED_VALUE"""),1436.01666666667)</f>
        <v>1436.016667</v>
      </c>
      <c r="G2345" s="163">
        <f>IFERROR(__xludf.DUMMYFUNCTION("""COMPUTED_VALUE"""),48.0)</f>
        <v>48</v>
      </c>
      <c r="H2345" s="163" t="str">
        <f>IFERROR(__xludf.DUMMYFUNCTION("""COMPUTED_VALUE"""),"PG")</f>
        <v>PG</v>
      </c>
      <c r="I2345" s="163">
        <f>IFERROR(__xludf.DUMMYFUNCTION("""COMPUTED_VALUE"""),25.0)</f>
        <v>25</v>
      </c>
      <c r="J2345" s="165">
        <f>IFERROR(__xludf.DUMMYFUNCTION("""COMPUTED_VALUE"""),-0.423199637571263)</f>
        <v>-0.4231996376</v>
      </c>
      <c r="K2345" s="165">
        <f>IFERROR(__xludf.DUMMYFUNCTION("""COMPUTED_VALUE"""),0.39313773171529)</f>
        <v>0.3931377317</v>
      </c>
      <c r="L2345" s="165">
        <f>IFERROR(__xludf.DUMMYFUNCTION("""COMPUTED_VALUE"""),-0.816337369286553)</f>
        <v>-0.8163373693</v>
      </c>
      <c r="M2345" s="166">
        <f t="shared" si="2"/>
        <v>1.804241133</v>
      </c>
      <c r="N2345" s="167">
        <f t="shared" si="3"/>
        <v>29.91701389</v>
      </c>
      <c r="O2345" s="163">
        <f t="shared" ref="O2345:Q2345" si="2349">rank(I2345,I:I)</f>
        <v>1995</v>
      </c>
      <c r="P2345" s="163">
        <f t="shared" si="2349"/>
        <v>1753</v>
      </c>
      <c r="Q2345" s="163">
        <f t="shared" si="2349"/>
        <v>836</v>
      </c>
      <c r="R2345" s="163">
        <f>IFERROR(__xludf.DUMMYFUNCTION("RANK(M2345,filter(M:M,C:C=C2345))"),169.0)</f>
        <v>169</v>
      </c>
      <c r="S2345" s="161" t="b">
        <f t="shared" si="5"/>
        <v>0</v>
      </c>
      <c r="T2345" s="161" t="b">
        <f t="array" ref="T2345">index('Query Tool'!B:B,match(H2345,'Query Tool'!C:C,0))</f>
        <v>1</v>
      </c>
      <c r="U2345" s="161" t="b">
        <f t="array" ref="U2345">index('Query Tool'!B:B,match(C2345,'Query Tool'!C:C,0))</f>
        <v>0</v>
      </c>
      <c r="V2345" s="161" t="b">
        <f>F2345&gt;='Query Tool'!C$32</f>
        <v>1</v>
      </c>
      <c r="W2345" s="161" t="b">
        <f t="array" ref="W2345">index(Dropdowns!B:B,match(I2345,Dropdowns!A:A,0))</f>
        <v>1</v>
      </c>
      <c r="X2345" s="161" t="b">
        <f t="array" ref="X2345">index('Query Tool'!B:B,match(D2345,'Query Tool'!C:C,0))</f>
        <v>1</v>
      </c>
      <c r="Y2345" s="161" t="str">
        <f t="shared" si="6"/>
        <v>brogdma01,2017-18</v>
      </c>
      <c r="Z2345" s="168">
        <f t="array" ref="Z2345">iferror(index(I:I,match($A2345&amp;","&amp;index('Year Conversion'!$A:$A,match($C2345,'Year Conversion'!$B:$B,0)),$Y:$Y,0))-I2345,"")</f>
        <v>1</v>
      </c>
      <c r="AA2345" s="168">
        <f t="array" ref="AA2345">iferror(index(J:J,match($A2345&amp;","&amp;index('Year Conversion'!$A:$A,match($C2345,'Year Conversion'!$B:$B,0)),$Y:$Y,0))-J2345,"")</f>
        <v>2.050464811</v>
      </c>
      <c r="AB2345" s="168">
        <f t="array" ref="AB2345">iferror(index(K:K,match($A2345&amp;","&amp;index('Year Conversion'!$A:$A,match($C2345,'Year Conversion'!$B:$B,0)),$Y:$Y,0))-K2345,"")</f>
        <v>0.8706097906</v>
      </c>
      <c r="AC2345" s="168" t="str">
        <f t="shared" si="7"/>
        <v>MIL,2017-18</v>
      </c>
    </row>
    <row r="2346">
      <c r="A2346" s="161" t="str">
        <f>IFERROR(__xludf.DUMMYFUNCTION("""COMPUTED_VALUE"""),"diallch01")</f>
        <v>diallch01</v>
      </c>
      <c r="B2346" s="161" t="str">
        <f>IFERROR(__xludf.DUMMYFUNCTION("""COMPUTED_VALUE"""),"Cheick Diallo")</f>
        <v>Cheick Diallo</v>
      </c>
      <c r="C2346" s="162" t="str">
        <f>IFERROR(__xludf.DUMMYFUNCTION("""COMPUTED_VALUE"""),"2017-18")</f>
        <v>2017-18</v>
      </c>
      <c r="D2346" s="163" t="str">
        <f>IFERROR(__xludf.DUMMYFUNCTION("""COMPUTED_VALUE"""),"NOP")</f>
        <v>NOP</v>
      </c>
      <c r="E2346" s="164" t="str">
        <f>IFERROR(__xludf.DUMMYFUNCTION("""COMPUTED_VALUE"""),"Roll + Cut Big")</f>
        <v>Roll + Cut Big</v>
      </c>
      <c r="F2346" s="164">
        <f>IFERROR(__xludf.DUMMYFUNCTION("""COMPUTED_VALUE"""),580.95)</f>
        <v>580.95</v>
      </c>
      <c r="G2346" s="163">
        <f>IFERROR(__xludf.DUMMYFUNCTION("""COMPUTED_VALUE"""),52.0)</f>
        <v>52</v>
      </c>
      <c r="H2346" s="163" t="str">
        <f>IFERROR(__xludf.DUMMYFUNCTION("""COMPUTED_VALUE"""),"PF")</f>
        <v>PF</v>
      </c>
      <c r="I2346" s="163">
        <f>IFERROR(__xludf.DUMMYFUNCTION("""COMPUTED_VALUE"""),21.0)</f>
        <v>21</v>
      </c>
      <c r="J2346" s="165">
        <f>IFERROR(__xludf.DUMMYFUNCTION("""COMPUTED_VALUE"""),-1.05879299358268)</f>
        <v>-1.058792994</v>
      </c>
      <c r="K2346" s="165">
        <f>IFERROR(__xludf.DUMMYFUNCTION("""COMPUTED_VALUE"""),-1.39617596642829)</f>
        <v>-1.396175966</v>
      </c>
      <c r="L2346" s="165">
        <f>IFERROR(__xludf.DUMMYFUNCTION("""COMPUTED_VALUE"""),0.337382972845603)</f>
        <v>0.3373829728</v>
      </c>
      <c r="M2346" s="166">
        <f t="shared" si="2"/>
        <v>0.4815778106</v>
      </c>
      <c r="N2346" s="167">
        <f t="shared" si="3"/>
        <v>11.17211538</v>
      </c>
      <c r="O2346" s="163">
        <f t="shared" ref="O2346:Q2346" si="2350">rank(I2346,I:I)</f>
        <v>3528</v>
      </c>
      <c r="P2346" s="163">
        <f t="shared" si="2350"/>
        <v>2562</v>
      </c>
      <c r="Q2346" s="163">
        <f t="shared" si="2350"/>
        <v>3250</v>
      </c>
      <c r="R2346" s="163">
        <f>IFERROR(__xludf.DUMMYFUNCTION("RANK(M2346,filter(M:M,C:C=C2346))"),293.0)</f>
        <v>293</v>
      </c>
      <c r="S2346" s="161" t="b">
        <f t="shared" si="5"/>
        <v>0</v>
      </c>
      <c r="T2346" s="161" t="b">
        <f t="array" ref="T2346">index('Query Tool'!B:B,match(H2346,'Query Tool'!C:C,0))</f>
        <v>1</v>
      </c>
      <c r="U2346" s="161" t="b">
        <f t="array" ref="U2346">index('Query Tool'!B:B,match(C2346,'Query Tool'!C:C,0))</f>
        <v>0</v>
      </c>
      <c r="V2346" s="161" t="b">
        <f>F2346&gt;='Query Tool'!C$32</f>
        <v>1</v>
      </c>
      <c r="W2346" s="161" t="b">
        <f t="array" ref="W2346">index(Dropdowns!B:B,match(I2346,Dropdowns!A:A,0))</f>
        <v>1</v>
      </c>
      <c r="X2346" s="161" t="b">
        <f t="array" ref="X2346">index('Query Tool'!B:B,match(D2346,'Query Tool'!C:C,0))</f>
        <v>1</v>
      </c>
      <c r="Y2346" s="161" t="str">
        <f t="shared" si="6"/>
        <v>diallch01,2017-18</v>
      </c>
      <c r="Z2346" s="168">
        <f t="array" ref="Z2346">iferror(index(I:I,match($A2346&amp;","&amp;index('Year Conversion'!$A:$A,match($C2346,'Year Conversion'!$B:$B,0)),$Y:$Y,0))-I2346,"")</f>
        <v>1</v>
      </c>
      <c r="AA2346" s="168">
        <f t="array" ref="AA2346">iferror(index(J:J,match($A2346&amp;","&amp;index('Year Conversion'!$A:$A,match($C2346,'Year Conversion'!$B:$B,0)),$Y:$Y,0))-J2346,"")</f>
        <v>0.9190791708</v>
      </c>
      <c r="AB2346" s="168">
        <f t="array" ref="AB2346">iferror(index(K:K,match($A2346&amp;","&amp;index('Year Conversion'!$A:$A,match($C2346,'Year Conversion'!$B:$B,0)),$Y:$Y,0))-K2346,"")</f>
        <v>0.5503762482</v>
      </c>
      <c r="AC2346" s="168" t="str">
        <f t="shared" si="7"/>
        <v>NOP,2017-18</v>
      </c>
    </row>
    <row r="2347">
      <c r="A2347" s="161" t="str">
        <f>IFERROR(__xludf.DUMMYFUNCTION("""COMPUTED_VALUE"""),"feldeka01")</f>
        <v>feldeka01</v>
      </c>
      <c r="B2347" s="161" t="str">
        <f>IFERROR(__xludf.DUMMYFUNCTION("""COMPUTED_VALUE"""),"Kay Felder")</f>
        <v>Kay Felder</v>
      </c>
      <c r="C2347" s="162" t="str">
        <f>IFERROR(__xludf.DUMMYFUNCTION("""COMPUTED_VALUE"""),"2017-18")</f>
        <v>2017-18</v>
      </c>
      <c r="D2347" s="163" t="str">
        <f>IFERROR(__xludf.DUMMYFUNCTION("""COMPUTED_VALUE"""),"TOT")</f>
        <v>TOT</v>
      </c>
      <c r="E2347" s="164" t="str">
        <f>IFERROR(__xludf.DUMMYFUNCTION("""COMPUTED_VALUE"""),"Slasher")</f>
        <v>Slasher</v>
      </c>
      <c r="F2347" s="164">
        <f>IFERROR(__xludf.DUMMYFUNCTION("""COMPUTED_VALUE"""),139.541666666667)</f>
        <v>139.5416667</v>
      </c>
      <c r="G2347" s="163">
        <f>IFERROR(__xludf.DUMMYFUNCTION("""COMPUTED_VALUE"""),16.0)</f>
        <v>16</v>
      </c>
      <c r="H2347" s="163" t="str">
        <f>IFERROR(__xludf.DUMMYFUNCTION("""COMPUTED_VALUE"""),"PG")</f>
        <v>PG</v>
      </c>
      <c r="I2347" s="163">
        <f>IFERROR(__xludf.DUMMYFUNCTION("""COMPUTED_VALUE"""),22.0)</f>
        <v>22</v>
      </c>
      <c r="J2347" s="165">
        <f>IFERROR(__xludf.DUMMYFUNCTION("""COMPUTED_VALUE"""),-0.911194443607715)</f>
        <v>-0.9111944436</v>
      </c>
      <c r="K2347" s="165">
        <f>IFERROR(__xludf.DUMMYFUNCTION("""COMPUTED_VALUE"""),-0.852281040550804)</f>
        <v>-0.8522810406</v>
      </c>
      <c r="L2347" s="165">
        <f>IFERROR(__xludf.DUMMYFUNCTION("""COMPUTED_VALUE"""),-0.0589134030569112)</f>
        <v>-0.05891340306</v>
      </c>
      <c r="M2347" s="166">
        <f t="shared" si="2"/>
        <v>0.1295025132</v>
      </c>
      <c r="N2347" s="167">
        <f t="shared" si="3"/>
        <v>8.721354167</v>
      </c>
      <c r="O2347" s="163">
        <f t="shared" ref="O2347:Q2347" si="2351">rank(I2347,I:I)</f>
        <v>3178</v>
      </c>
      <c r="P2347" s="163">
        <f t="shared" si="2351"/>
        <v>2408</v>
      </c>
      <c r="Q2347" s="163">
        <f t="shared" si="2351"/>
        <v>2626</v>
      </c>
      <c r="R2347" s="163">
        <f>IFERROR(__xludf.DUMMYFUNCTION("RANK(M2347,filter(M:M,C:C=C2347))"),377.0)</f>
        <v>377</v>
      </c>
      <c r="S2347" s="161" t="b">
        <f t="shared" si="5"/>
        <v>0</v>
      </c>
      <c r="T2347" s="161" t="b">
        <f t="array" ref="T2347">index('Query Tool'!B:B,match(H2347,'Query Tool'!C:C,0))</f>
        <v>1</v>
      </c>
      <c r="U2347" s="161" t="b">
        <f t="array" ref="U2347">index('Query Tool'!B:B,match(C2347,'Query Tool'!C:C,0))</f>
        <v>0</v>
      </c>
      <c r="V2347" s="161" t="b">
        <f>F2347&gt;='Query Tool'!C$32</f>
        <v>0</v>
      </c>
      <c r="W2347" s="161" t="b">
        <f t="array" ref="W2347">index(Dropdowns!B:B,match(I2347,Dropdowns!A:A,0))</f>
        <v>1</v>
      </c>
      <c r="X2347" s="161" t="b">
        <f t="array" ref="X2347">index('Query Tool'!B:B,match(D2347,'Query Tool'!C:C,0))</f>
        <v>1</v>
      </c>
      <c r="Y2347" s="161" t="str">
        <f t="shared" si="6"/>
        <v>feldeka01,2017-18</v>
      </c>
      <c r="Z2347" s="168" t="str">
        <f t="array" ref="Z2347">iferror(index(I:I,match($A2347&amp;","&amp;index('Year Conversion'!$A:$A,match($C2347,'Year Conversion'!$B:$B,0)),$Y:$Y,0))-I2347,"")</f>
        <v/>
      </c>
      <c r="AA2347" s="168" t="str">
        <f t="array" ref="AA2347">iferror(index(J:J,match($A2347&amp;","&amp;index('Year Conversion'!$A:$A,match($C2347,'Year Conversion'!$B:$B,0)),$Y:$Y,0))-J2347,"")</f>
        <v/>
      </c>
      <c r="AB2347" s="168" t="str">
        <f t="array" ref="AB2347">iferror(index(K:K,match($A2347&amp;","&amp;index('Year Conversion'!$A:$A,match($C2347,'Year Conversion'!$B:$B,0)),$Y:$Y,0))-K2347,"")</f>
        <v/>
      </c>
      <c r="AC2347" s="168" t="str">
        <f t="shared" si="7"/>
        <v>TOT,2017-18</v>
      </c>
    </row>
    <row r="2348">
      <c r="A2348" s="161" t="str">
        <f>IFERROR(__xludf.DUMMYFUNCTION("""COMPUTED_VALUE"""),"hamilda02")</f>
        <v>hamilda02</v>
      </c>
      <c r="B2348" s="161" t="str">
        <f>IFERROR(__xludf.DUMMYFUNCTION("""COMPUTED_VALUE"""),"Daniel Hamilton")</f>
        <v>Daniel Hamilton</v>
      </c>
      <c r="C2348" s="162" t="str">
        <f>IFERROR(__xludf.DUMMYFUNCTION("""COMPUTED_VALUE"""),"2017-18")</f>
        <v>2017-18</v>
      </c>
      <c r="D2348" s="163" t="str">
        <f>IFERROR(__xludf.DUMMYFUNCTION("""COMPUTED_VALUE"""),"OKC")</f>
        <v>OKC</v>
      </c>
      <c r="E2348" s="164" t="str">
        <f>IFERROR(__xludf.DUMMYFUNCTION("""COMPUTED_VALUE"""),"Stationary Shooter")</f>
        <v>Stationary Shooter</v>
      </c>
      <c r="F2348" s="164">
        <f>IFERROR(__xludf.DUMMYFUNCTION("""COMPUTED_VALUE"""),27.7283333333334)</f>
        <v>27.72833333</v>
      </c>
      <c r="G2348" s="163">
        <f>IFERROR(__xludf.DUMMYFUNCTION("""COMPUTED_VALUE"""),6.0)</f>
        <v>6</v>
      </c>
      <c r="H2348" s="163" t="str">
        <f>IFERROR(__xludf.DUMMYFUNCTION("""COMPUTED_VALUE"""),"SG")</f>
        <v>SG</v>
      </c>
      <c r="I2348" s="163">
        <f>IFERROR(__xludf.DUMMYFUNCTION("""COMPUTED_VALUE"""),22.0)</f>
        <v>22</v>
      </c>
      <c r="J2348" s="165">
        <f>IFERROR(__xludf.DUMMYFUNCTION("""COMPUTED_VALUE"""),-0.710086148459878)</f>
        <v>-0.7100861485</v>
      </c>
      <c r="K2348" s="165">
        <f>IFERROR(__xludf.DUMMYFUNCTION("""COMPUTED_VALUE"""),-0.22526122112813)</f>
        <v>-0.2252612211</v>
      </c>
      <c r="L2348" s="165">
        <f>IFERROR(__xludf.DUMMYFUNCTION("""COMPUTED_VALUE"""),-0.484824927331748)</f>
        <v>-0.4848249273</v>
      </c>
      <c r="M2348" s="166">
        <f t="shared" si="2"/>
        <v>0.02948267358</v>
      </c>
      <c r="N2348" s="167">
        <f t="shared" si="3"/>
        <v>4.621388889</v>
      </c>
      <c r="O2348" s="163">
        <f t="shared" ref="O2348:Q2348" si="2352">rank(I2348,I:I)</f>
        <v>3178</v>
      </c>
      <c r="P2348" s="163">
        <f t="shared" si="2352"/>
        <v>2160</v>
      </c>
      <c r="Q2348" s="163">
        <f t="shared" si="2352"/>
        <v>1608</v>
      </c>
      <c r="R2348" s="163">
        <f>IFERROR(__xludf.DUMMYFUNCTION("RANK(M2348,filter(M:M,C:C=C2348))"),452.0)</f>
        <v>452</v>
      </c>
      <c r="S2348" s="161" t="b">
        <f t="shared" si="5"/>
        <v>0</v>
      </c>
      <c r="T2348" s="161" t="b">
        <f t="array" ref="T2348">index('Query Tool'!B:B,match(H2348,'Query Tool'!C:C,0))</f>
        <v>1</v>
      </c>
      <c r="U2348" s="161" t="b">
        <f t="array" ref="U2348">index('Query Tool'!B:B,match(C2348,'Query Tool'!C:C,0))</f>
        <v>0</v>
      </c>
      <c r="V2348" s="161" t="b">
        <f>F2348&gt;='Query Tool'!C$32</f>
        <v>0</v>
      </c>
      <c r="W2348" s="161" t="b">
        <f t="array" ref="W2348">index(Dropdowns!B:B,match(I2348,Dropdowns!A:A,0))</f>
        <v>1</v>
      </c>
      <c r="X2348" s="161" t="b">
        <f t="array" ref="X2348">index('Query Tool'!B:B,match(D2348,'Query Tool'!C:C,0))</f>
        <v>1</v>
      </c>
      <c r="Y2348" s="161" t="str">
        <f t="shared" si="6"/>
        <v>hamilda02,2017-18</v>
      </c>
      <c r="Z2348" s="168">
        <f t="array" ref="Z2348">iferror(index(I:I,match($A2348&amp;","&amp;index('Year Conversion'!$A:$A,match($C2348,'Year Conversion'!$B:$B,0)),$Y:$Y,0))-I2348,"")</f>
        <v>1</v>
      </c>
      <c r="AA2348" s="168">
        <f t="array" ref="AA2348">iferror(index(J:J,match($A2348&amp;","&amp;index('Year Conversion'!$A:$A,match($C2348,'Year Conversion'!$B:$B,0)),$Y:$Y,0))-J2348,"")</f>
        <v>-0.4039703752</v>
      </c>
      <c r="AB2348" s="168">
        <f t="array" ref="AB2348">iferror(index(K:K,match($A2348&amp;","&amp;index('Year Conversion'!$A:$A,match($C2348,'Year Conversion'!$B:$B,0)),$Y:$Y,0))-K2348,"")</f>
        <v>-0.8375983689</v>
      </c>
      <c r="AC2348" s="168" t="str">
        <f t="shared" si="7"/>
        <v>OKC,2017-18</v>
      </c>
    </row>
    <row r="2349">
      <c r="A2349" s="161" t="str">
        <f>IFERROR(__xludf.DUMMYFUNCTION("""COMPUTED_VALUE"""),"laymaja01")</f>
        <v>laymaja01</v>
      </c>
      <c r="B2349" s="161" t="str">
        <f>IFERROR(__xludf.DUMMYFUNCTION("""COMPUTED_VALUE"""),"Jake Layman")</f>
        <v>Jake Layman</v>
      </c>
      <c r="C2349" s="162" t="str">
        <f>IFERROR(__xludf.DUMMYFUNCTION("""COMPUTED_VALUE"""),"2017-18")</f>
        <v>2017-18</v>
      </c>
      <c r="D2349" s="163" t="str">
        <f>IFERROR(__xludf.DUMMYFUNCTION("""COMPUTED_VALUE"""),"POR")</f>
        <v>POR</v>
      </c>
      <c r="E2349" s="164" t="str">
        <f>IFERROR(__xludf.DUMMYFUNCTION("""COMPUTED_VALUE"""),"Off Screen Shooter")</f>
        <v>Off Screen Shooter</v>
      </c>
      <c r="F2349" s="164">
        <f>IFERROR(__xludf.DUMMYFUNCTION("""COMPUTED_VALUE"""),160.326666666667)</f>
        <v>160.3266667</v>
      </c>
      <c r="G2349" s="163">
        <f>IFERROR(__xludf.DUMMYFUNCTION("""COMPUTED_VALUE"""),35.0)</f>
        <v>35</v>
      </c>
      <c r="H2349" s="163" t="str">
        <f>IFERROR(__xludf.DUMMYFUNCTION("""COMPUTED_VALUE"""),"SF")</f>
        <v>SF</v>
      </c>
      <c r="I2349" s="163">
        <f>IFERROR(__xludf.DUMMYFUNCTION("""COMPUTED_VALUE"""),23.0)</f>
        <v>23</v>
      </c>
      <c r="J2349" s="165">
        <f>IFERROR(__xludf.DUMMYFUNCTION("""COMPUTED_VALUE"""),-1.12621199965531)</f>
        <v>-1.126212</v>
      </c>
      <c r="K2349" s="165">
        <f>IFERROR(__xludf.DUMMYFUNCTION("""COMPUTED_VALUE"""),-0.597595475468748)</f>
        <v>-0.5975954755</v>
      </c>
      <c r="L2349" s="165">
        <f>IFERROR(__xludf.DUMMYFUNCTION("""COMPUTED_VALUE"""),-0.528616524186558)</f>
        <v>-0.5286165242</v>
      </c>
      <c r="M2349" s="166">
        <f t="shared" si="2"/>
        <v>0.1256513788</v>
      </c>
      <c r="N2349" s="167">
        <f t="shared" si="3"/>
        <v>4.580761905</v>
      </c>
      <c r="O2349" s="163">
        <f t="shared" ref="O2349:Q2349" si="2353">rank(I2349,I:I)</f>
        <v>2765</v>
      </c>
      <c r="P2349" s="163">
        <f t="shared" si="2353"/>
        <v>2653</v>
      </c>
      <c r="Q2349" s="163">
        <f t="shared" si="2353"/>
        <v>2261</v>
      </c>
      <c r="R2349" s="163">
        <f>IFERROR(__xludf.DUMMYFUNCTION("RANK(M2349,filter(M:M,C:C=C2349))"),380.0)</f>
        <v>380</v>
      </c>
      <c r="S2349" s="161" t="b">
        <f t="shared" si="5"/>
        <v>0</v>
      </c>
      <c r="T2349" s="161" t="b">
        <f t="array" ref="T2349">index('Query Tool'!B:B,match(H2349,'Query Tool'!C:C,0))</f>
        <v>1</v>
      </c>
      <c r="U2349" s="161" t="b">
        <f t="array" ref="U2349">index('Query Tool'!B:B,match(C2349,'Query Tool'!C:C,0))</f>
        <v>0</v>
      </c>
      <c r="V2349" s="161" t="b">
        <f>F2349&gt;='Query Tool'!C$32</f>
        <v>0</v>
      </c>
      <c r="W2349" s="161" t="b">
        <f t="array" ref="W2349">index(Dropdowns!B:B,match(I2349,Dropdowns!A:A,0))</f>
        <v>1</v>
      </c>
      <c r="X2349" s="161" t="b">
        <f t="array" ref="X2349">index('Query Tool'!B:B,match(D2349,'Query Tool'!C:C,0))</f>
        <v>1</v>
      </c>
      <c r="Y2349" s="161" t="str">
        <f t="shared" si="6"/>
        <v>laymaja01,2017-18</v>
      </c>
      <c r="Z2349" s="168">
        <f t="array" ref="Z2349">iferror(index(I:I,match($A2349&amp;","&amp;index('Year Conversion'!$A:$A,match($C2349,'Year Conversion'!$B:$B,0)),$Y:$Y,0))-I2349,"")</f>
        <v>1</v>
      </c>
      <c r="AA2349" s="168">
        <f t="array" ref="AA2349">iferror(index(J:J,match($A2349&amp;","&amp;index('Year Conversion'!$A:$A,match($C2349,'Year Conversion'!$B:$B,0)),$Y:$Y,0))-J2349,"")</f>
        <v>0.008363066378</v>
      </c>
      <c r="AB2349" s="168">
        <f t="array" ref="AB2349">iferror(index(K:K,match($A2349&amp;","&amp;index('Year Conversion'!$A:$A,match($C2349,'Year Conversion'!$B:$B,0)),$Y:$Y,0))-K2349,"")</f>
        <v>-0.2375015693</v>
      </c>
      <c r="AC2349" s="168" t="str">
        <f t="shared" si="7"/>
        <v>POR,2017-18</v>
      </c>
    </row>
    <row r="2350">
      <c r="A2350" s="161" t="str">
        <f>IFERROR(__xludf.DUMMYFUNCTION("""COMPUTED_VALUE"""),"mccawpa01")</f>
        <v>mccawpa01</v>
      </c>
      <c r="B2350" s="161" t="str">
        <f>IFERROR(__xludf.DUMMYFUNCTION("""COMPUTED_VALUE"""),"Patrick McCaw")</f>
        <v>Patrick McCaw</v>
      </c>
      <c r="C2350" s="162" t="str">
        <f>IFERROR(__xludf.DUMMYFUNCTION("""COMPUTED_VALUE"""),"2017-18")</f>
        <v>2017-18</v>
      </c>
      <c r="D2350" s="163" t="str">
        <f>IFERROR(__xludf.DUMMYFUNCTION("""COMPUTED_VALUE"""),"GSW")</f>
        <v>GSW</v>
      </c>
      <c r="E2350" s="164" t="str">
        <f>IFERROR(__xludf.DUMMYFUNCTION("""COMPUTED_VALUE"""),"Athletic Finisher")</f>
        <v>Athletic Finisher</v>
      </c>
      <c r="F2350" s="164">
        <f>IFERROR(__xludf.DUMMYFUNCTION("""COMPUTED_VALUE"""),961.133333333333)</f>
        <v>961.1333333</v>
      </c>
      <c r="G2350" s="163">
        <f>IFERROR(__xludf.DUMMYFUNCTION("""COMPUTED_VALUE"""),57.0)</f>
        <v>57</v>
      </c>
      <c r="H2350" s="163" t="str">
        <f>IFERROR(__xludf.DUMMYFUNCTION("""COMPUTED_VALUE"""),"SG")</f>
        <v>SG</v>
      </c>
      <c r="I2350" s="163">
        <f>IFERROR(__xludf.DUMMYFUNCTION("""COMPUTED_VALUE"""),22.0)</f>
        <v>22</v>
      </c>
      <c r="J2350" s="165">
        <f>IFERROR(__xludf.DUMMYFUNCTION("""COMPUTED_VALUE"""),-2.88118041390273)</f>
        <v>-2.881180414</v>
      </c>
      <c r="K2350" s="165">
        <f>IFERROR(__xludf.DUMMYFUNCTION("""COMPUTED_VALUE"""),-1.5006913261514)</f>
        <v>-1.500691326</v>
      </c>
      <c r="L2350" s="165">
        <f>IFERROR(__xludf.DUMMYFUNCTION("""COMPUTED_VALUE"""),-1.38048908775133)</f>
        <v>-1.380489088</v>
      </c>
      <c r="M2350" s="166">
        <f t="shared" si="2"/>
        <v>-0.3639817496</v>
      </c>
      <c r="N2350" s="167">
        <f t="shared" si="3"/>
        <v>16.8619883</v>
      </c>
      <c r="O2350" s="163">
        <f t="shared" ref="O2350:Q2350" si="2354">rank(I2350,I:I)</f>
        <v>3178</v>
      </c>
      <c r="P2350" s="163">
        <f t="shared" si="2354"/>
        <v>3862</v>
      </c>
      <c r="Q2350" s="163">
        <f t="shared" si="2354"/>
        <v>3353</v>
      </c>
      <c r="R2350" s="163">
        <f>IFERROR(__xludf.DUMMYFUNCTION("RANK(M2350,filter(M:M,C:C=C2350))"),519.0)</f>
        <v>519</v>
      </c>
      <c r="S2350" s="161" t="b">
        <f t="shared" si="5"/>
        <v>0</v>
      </c>
      <c r="T2350" s="161" t="b">
        <f t="array" ref="T2350">index('Query Tool'!B:B,match(H2350,'Query Tool'!C:C,0))</f>
        <v>1</v>
      </c>
      <c r="U2350" s="161" t="b">
        <f t="array" ref="U2350">index('Query Tool'!B:B,match(C2350,'Query Tool'!C:C,0))</f>
        <v>0</v>
      </c>
      <c r="V2350" s="161" t="b">
        <f>F2350&gt;='Query Tool'!C$32</f>
        <v>1</v>
      </c>
      <c r="W2350" s="161" t="b">
        <f t="array" ref="W2350">index(Dropdowns!B:B,match(I2350,Dropdowns!A:A,0))</f>
        <v>1</v>
      </c>
      <c r="X2350" s="161" t="b">
        <f t="array" ref="X2350">index('Query Tool'!B:B,match(D2350,'Query Tool'!C:C,0))</f>
        <v>1</v>
      </c>
      <c r="Y2350" s="161" t="str">
        <f t="shared" si="6"/>
        <v>mccawpa01,2017-18</v>
      </c>
      <c r="Z2350" s="168">
        <f t="array" ref="Z2350">iferror(index(I:I,match($A2350&amp;","&amp;index('Year Conversion'!$A:$A,match($C2350,'Year Conversion'!$B:$B,0)),$Y:$Y,0))-I2350,"")</f>
        <v>1</v>
      </c>
      <c r="AA2350" s="168">
        <f t="array" ref="AA2350">iferror(index(J:J,match($A2350&amp;","&amp;index('Year Conversion'!$A:$A,match($C2350,'Year Conversion'!$B:$B,0)),$Y:$Y,0))-J2350,"")</f>
        <v>0.06799869752</v>
      </c>
      <c r="AB2350" s="168">
        <f t="array" ref="AB2350">iferror(index(K:K,match($A2350&amp;","&amp;index('Year Conversion'!$A:$A,match($C2350,'Year Conversion'!$B:$B,0)),$Y:$Y,0))-K2350,"")</f>
        <v>-1.037705756</v>
      </c>
      <c r="AC2350" s="168" t="str">
        <f t="shared" si="7"/>
        <v>GSW,2017-18</v>
      </c>
    </row>
    <row r="2351">
      <c r="A2351" s="161" t="str">
        <f>IFERROR(__xludf.DUMMYFUNCTION("""COMPUTED_VALUE"""),"niangge01")</f>
        <v>niangge01</v>
      </c>
      <c r="B2351" s="161" t="str">
        <f>IFERROR(__xludf.DUMMYFUNCTION("""COMPUTED_VALUE"""),"Georges Niang")</f>
        <v>Georges Niang</v>
      </c>
      <c r="C2351" s="162" t="str">
        <f>IFERROR(__xludf.DUMMYFUNCTION("""COMPUTED_VALUE"""),"2017-18")</f>
        <v>2017-18</v>
      </c>
      <c r="D2351" s="163" t="str">
        <f>IFERROR(__xludf.DUMMYFUNCTION("""COMPUTED_VALUE"""),"UTA")</f>
        <v>UTA</v>
      </c>
      <c r="E2351" s="164" t="str">
        <f>IFERROR(__xludf.DUMMYFUNCTION("""COMPUTED_VALUE"""),"Stretch Big")</f>
        <v>Stretch Big</v>
      </c>
      <c r="F2351" s="164">
        <f>IFERROR(__xludf.DUMMYFUNCTION("""COMPUTED_VALUE"""),31.68)</f>
        <v>31.68</v>
      </c>
      <c r="G2351" s="163">
        <f>IFERROR(__xludf.DUMMYFUNCTION("""COMPUTED_VALUE"""),9.0)</f>
        <v>9</v>
      </c>
      <c r="H2351" s="163" t="str">
        <f>IFERROR(__xludf.DUMMYFUNCTION("""COMPUTED_VALUE"""),"PF")</f>
        <v>PF</v>
      </c>
      <c r="I2351" s="163">
        <f>IFERROR(__xludf.DUMMYFUNCTION("""COMPUTED_VALUE"""),24.0)</f>
        <v>24</v>
      </c>
      <c r="J2351" s="165">
        <f>IFERROR(__xludf.DUMMYFUNCTION("""COMPUTED_VALUE"""),-0.563978955378688)</f>
        <v>-0.5639789554</v>
      </c>
      <c r="K2351" s="165">
        <f>IFERROR(__xludf.DUMMYFUNCTION("""COMPUTED_VALUE"""),-0.123878709621764)</f>
        <v>-0.1238787096</v>
      </c>
      <c r="L2351" s="165">
        <f>IFERROR(__xludf.DUMMYFUNCTION("""COMPUTED_VALUE"""),-0.440100245756924)</f>
        <v>-0.4401002458</v>
      </c>
      <c r="M2351" s="166">
        <f t="shared" si="2"/>
        <v>0.03679966914</v>
      </c>
      <c r="N2351" s="167">
        <f t="shared" si="3"/>
        <v>3.52</v>
      </c>
      <c r="O2351" s="163">
        <f t="shared" ref="O2351:Q2351" si="2355">rank(I2351,I:I)</f>
        <v>2361</v>
      </c>
      <c r="P2351" s="163">
        <f t="shared" si="2355"/>
        <v>1940</v>
      </c>
      <c r="Q2351" s="163">
        <f t="shared" si="2355"/>
        <v>1420</v>
      </c>
      <c r="R2351" s="163">
        <f>IFERROR(__xludf.DUMMYFUNCTION("RANK(M2351,filter(M:M,C:C=C2351))"),444.0)</f>
        <v>444</v>
      </c>
      <c r="S2351" s="161" t="b">
        <f t="shared" si="5"/>
        <v>0</v>
      </c>
      <c r="T2351" s="161" t="b">
        <f t="array" ref="T2351">index('Query Tool'!B:B,match(H2351,'Query Tool'!C:C,0))</f>
        <v>1</v>
      </c>
      <c r="U2351" s="161" t="b">
        <f t="array" ref="U2351">index('Query Tool'!B:B,match(C2351,'Query Tool'!C:C,0))</f>
        <v>0</v>
      </c>
      <c r="V2351" s="161" t="b">
        <f>F2351&gt;='Query Tool'!C$32</f>
        <v>0</v>
      </c>
      <c r="W2351" s="161" t="b">
        <f t="array" ref="W2351">index(Dropdowns!B:B,match(I2351,Dropdowns!A:A,0))</f>
        <v>1</v>
      </c>
      <c r="X2351" s="161" t="b">
        <f t="array" ref="X2351">index('Query Tool'!B:B,match(D2351,'Query Tool'!C:C,0))</f>
        <v>1</v>
      </c>
      <c r="Y2351" s="161" t="str">
        <f t="shared" si="6"/>
        <v>niangge01,2017-18</v>
      </c>
      <c r="Z2351" s="168">
        <f t="array" ref="Z2351">iferror(index(I:I,match($A2351&amp;","&amp;index('Year Conversion'!$A:$A,match($C2351,'Year Conversion'!$B:$B,0)),$Y:$Y,0))-I2351,"")</f>
        <v>1</v>
      </c>
      <c r="AA2351" s="168">
        <f t="array" ref="AA2351">iferror(index(J:J,match($A2351&amp;","&amp;index('Year Conversion'!$A:$A,match($C2351,'Year Conversion'!$B:$B,0)),$Y:$Y,0))-J2351,"")</f>
        <v>-1.177599163</v>
      </c>
      <c r="AB2351" s="168">
        <f t="array" ref="AB2351">iferror(index(K:K,match($A2351&amp;","&amp;index('Year Conversion'!$A:$A,match($C2351,'Year Conversion'!$B:$B,0)),$Y:$Y,0))-K2351,"")</f>
        <v>-0.3684950194</v>
      </c>
      <c r="AC2351" s="168" t="str">
        <f t="shared" si="7"/>
        <v>UTA,2017-18</v>
      </c>
    </row>
    <row r="2352">
      <c r="A2352" s="161" t="str">
        <f>IFERROR(__xludf.DUMMYFUNCTION("""COMPUTED_VALUE"""),"onuakch01")</f>
        <v>onuakch01</v>
      </c>
      <c r="B2352" s="161" t="str">
        <f>IFERROR(__xludf.DUMMYFUNCTION("""COMPUTED_VALUE"""),"Chinanu Onuaku")</f>
        <v>Chinanu Onuaku</v>
      </c>
      <c r="C2352" s="162" t="str">
        <f>IFERROR(__xludf.DUMMYFUNCTION("""COMPUTED_VALUE"""),"2017-18")</f>
        <v>2017-18</v>
      </c>
      <c r="D2352" s="163" t="str">
        <f>IFERROR(__xludf.DUMMYFUNCTION("""COMPUTED_VALUE"""),"HOU")</f>
        <v>HOU</v>
      </c>
      <c r="E2352" s="164" t="str">
        <f>IFERROR(__xludf.DUMMYFUNCTION("""COMPUTED_VALUE"""),"Roll + Cut Big")</f>
        <v>Roll + Cut Big</v>
      </c>
      <c r="F2352" s="164">
        <f>IFERROR(__xludf.DUMMYFUNCTION("""COMPUTED_VALUE"""),21.5666666666667)</f>
        <v>21.56666667</v>
      </c>
      <c r="G2352" s="163">
        <f>IFERROR(__xludf.DUMMYFUNCTION("""COMPUTED_VALUE"""),1.0)</f>
        <v>1</v>
      </c>
      <c r="H2352" s="163" t="str">
        <f>IFERROR(__xludf.DUMMYFUNCTION("""COMPUTED_VALUE"""),"C")</f>
        <v>C</v>
      </c>
      <c r="I2352" s="163">
        <f>IFERROR(__xludf.DUMMYFUNCTION("""COMPUTED_VALUE"""),21.0)</f>
        <v>21</v>
      </c>
      <c r="J2352" s="165">
        <f>IFERROR(__xludf.DUMMYFUNCTION("""COMPUTED_VALUE"""),-0.870638024602592)</f>
        <v>-0.8706380246</v>
      </c>
      <c r="K2352" s="165">
        <f>IFERROR(__xludf.DUMMYFUNCTION("""COMPUTED_VALUE"""),-0.29539295141256)</f>
        <v>-0.2953929514</v>
      </c>
      <c r="L2352" s="165">
        <f>IFERROR(__xludf.DUMMYFUNCTION("""COMPUTED_VALUE"""),-0.575245073190032)</f>
        <v>-0.5752450732</v>
      </c>
      <c r="M2352" s="166">
        <f t="shared" si="2"/>
        <v>0.02060282412</v>
      </c>
      <c r="N2352" s="167">
        <f t="shared" si="3"/>
        <v>21.56666667</v>
      </c>
      <c r="O2352" s="163">
        <f t="shared" ref="O2352:Q2352" si="2356">rank(I2352,I:I)</f>
        <v>3528</v>
      </c>
      <c r="P2352" s="163">
        <f t="shared" si="2356"/>
        <v>2365</v>
      </c>
      <c r="Q2352" s="163">
        <f t="shared" si="2356"/>
        <v>1757</v>
      </c>
      <c r="R2352" s="163">
        <f>IFERROR(__xludf.DUMMYFUNCTION("RANK(M2352,filter(M:M,C:C=C2352))"),460.0)</f>
        <v>460</v>
      </c>
      <c r="S2352" s="161" t="b">
        <f t="shared" si="5"/>
        <v>0</v>
      </c>
      <c r="T2352" s="161" t="b">
        <f t="array" ref="T2352">index('Query Tool'!B:B,match(H2352,'Query Tool'!C:C,0))</f>
        <v>1</v>
      </c>
      <c r="U2352" s="161" t="b">
        <f t="array" ref="U2352">index('Query Tool'!B:B,match(C2352,'Query Tool'!C:C,0))</f>
        <v>0</v>
      </c>
      <c r="V2352" s="161" t="b">
        <f>F2352&gt;='Query Tool'!C$32</f>
        <v>0</v>
      </c>
      <c r="W2352" s="161" t="b">
        <f t="array" ref="W2352">index(Dropdowns!B:B,match(I2352,Dropdowns!A:A,0))</f>
        <v>1</v>
      </c>
      <c r="X2352" s="161" t="b">
        <f t="array" ref="X2352">index('Query Tool'!B:B,match(D2352,'Query Tool'!C:C,0))</f>
        <v>1</v>
      </c>
      <c r="Y2352" s="161" t="str">
        <f t="shared" si="6"/>
        <v>onuakch01,2017-18</v>
      </c>
      <c r="Z2352" s="168" t="str">
        <f t="array" ref="Z2352">iferror(index(I:I,match($A2352&amp;","&amp;index('Year Conversion'!$A:$A,match($C2352,'Year Conversion'!$B:$B,0)),$Y:$Y,0))-I2352,"")</f>
        <v/>
      </c>
      <c r="AA2352" s="168" t="str">
        <f t="array" ref="AA2352">iferror(index(J:J,match($A2352&amp;","&amp;index('Year Conversion'!$A:$A,match($C2352,'Year Conversion'!$B:$B,0)),$Y:$Y,0))-J2352,"")</f>
        <v/>
      </c>
      <c r="AB2352" s="168" t="str">
        <f t="array" ref="AB2352">iferror(index(K:K,match($A2352&amp;","&amp;index('Year Conversion'!$A:$A,match($C2352,'Year Conversion'!$B:$B,0)),$Y:$Y,0))-K2352,"")</f>
        <v/>
      </c>
      <c r="AC2352" s="168" t="str">
        <f t="shared" si="7"/>
        <v>HOU,2017-18</v>
      </c>
    </row>
    <row r="2353">
      <c r="A2353" s="161" t="str">
        <f>IFERROR(__xludf.DUMMYFUNCTION("""COMPUTED_VALUE"""),"paigema01")</f>
        <v>paigema01</v>
      </c>
      <c r="B2353" s="161" t="str">
        <f>IFERROR(__xludf.DUMMYFUNCTION("""COMPUTED_VALUE"""),"Marcus Paige")</f>
        <v>Marcus Paige</v>
      </c>
      <c r="C2353" s="162" t="str">
        <f>IFERROR(__xludf.DUMMYFUNCTION("""COMPUTED_VALUE"""),"2017-18")</f>
        <v>2017-18</v>
      </c>
      <c r="D2353" s="163" t="str">
        <f>IFERROR(__xludf.DUMMYFUNCTION("""COMPUTED_VALUE"""),"CHO")</f>
        <v>CHO</v>
      </c>
      <c r="E2353" s="164" t="str">
        <f>IFERROR(__xludf.DUMMYFUNCTION("""COMPUTED_VALUE"""),"Secondary Ball Handler")</f>
        <v>Secondary Ball Handler</v>
      </c>
      <c r="F2353" s="164">
        <f>IFERROR(__xludf.DUMMYFUNCTION("""COMPUTED_VALUE"""),28.0166666666667)</f>
        <v>28.01666667</v>
      </c>
      <c r="G2353" s="163">
        <f>IFERROR(__xludf.DUMMYFUNCTION("""COMPUTED_VALUE"""),5.0)</f>
        <v>5</v>
      </c>
      <c r="H2353" s="163" t="str">
        <f>IFERROR(__xludf.DUMMYFUNCTION("""COMPUTED_VALUE"""),"PG")</f>
        <v>PG</v>
      </c>
      <c r="I2353" s="163">
        <f>IFERROR(__xludf.DUMMYFUNCTION("""COMPUTED_VALUE"""),24.0)</f>
        <v>24</v>
      </c>
      <c r="J2353" s="165">
        <f>IFERROR(__xludf.DUMMYFUNCTION("""COMPUTED_VALUE"""),-0.0450956204434659)</f>
        <v>-0.04509562044</v>
      </c>
      <c r="K2353" s="165">
        <f>IFERROR(__xludf.DUMMYFUNCTION("""COMPUTED_VALUE"""),-0.0613398205072282)</f>
        <v>-0.06133982051</v>
      </c>
      <c r="L2353" s="165">
        <f>IFERROR(__xludf.DUMMYFUNCTION("""COMPUTED_VALUE"""),0.0162442000637623)</f>
        <v>0.01624420006</v>
      </c>
      <c r="M2353" s="166">
        <f t="shared" si="2"/>
        <v>0.04234057258</v>
      </c>
      <c r="N2353" s="167">
        <f t="shared" si="3"/>
        <v>5.603333333</v>
      </c>
      <c r="O2353" s="163">
        <f t="shared" ref="O2353:Q2353" si="2357">rank(I2353,I:I)</f>
        <v>2361</v>
      </c>
      <c r="P2353" s="163">
        <f t="shared" si="2357"/>
        <v>1326</v>
      </c>
      <c r="Q2353" s="163">
        <f t="shared" si="2357"/>
        <v>1289</v>
      </c>
      <c r="R2353" s="163">
        <f>IFERROR(__xludf.DUMMYFUNCTION("RANK(M2353,filter(M:M,C:C=C2353))"),439.0)</f>
        <v>439</v>
      </c>
      <c r="S2353" s="161" t="b">
        <f t="shared" si="5"/>
        <v>0</v>
      </c>
      <c r="T2353" s="161" t="b">
        <f t="array" ref="T2353">index('Query Tool'!B:B,match(H2353,'Query Tool'!C:C,0))</f>
        <v>1</v>
      </c>
      <c r="U2353" s="161" t="b">
        <f t="array" ref="U2353">index('Query Tool'!B:B,match(C2353,'Query Tool'!C:C,0))</f>
        <v>0</v>
      </c>
      <c r="V2353" s="161" t="b">
        <f>F2353&gt;='Query Tool'!C$32</f>
        <v>0</v>
      </c>
      <c r="W2353" s="161" t="b">
        <f t="array" ref="W2353">index(Dropdowns!B:B,match(I2353,Dropdowns!A:A,0))</f>
        <v>1</v>
      </c>
      <c r="X2353" s="161" t="b">
        <f t="array" ref="X2353">index('Query Tool'!B:B,match(D2353,'Query Tool'!C:C,0))</f>
        <v>1</v>
      </c>
      <c r="Y2353" s="161" t="str">
        <f t="shared" si="6"/>
        <v>paigema01,2017-18</v>
      </c>
      <c r="Z2353" s="168" t="str">
        <f t="array" ref="Z2353">iferror(index(I:I,match($A2353&amp;","&amp;index('Year Conversion'!$A:$A,match($C2353,'Year Conversion'!$B:$B,0)),$Y:$Y,0))-I2353,"")</f>
        <v/>
      </c>
      <c r="AA2353" s="168" t="str">
        <f t="array" ref="AA2353">iferror(index(J:J,match($A2353&amp;","&amp;index('Year Conversion'!$A:$A,match($C2353,'Year Conversion'!$B:$B,0)),$Y:$Y,0))-J2353,"")</f>
        <v/>
      </c>
      <c r="AB2353" s="168" t="str">
        <f t="array" ref="AB2353">iferror(index(K:K,match($A2353&amp;","&amp;index('Year Conversion'!$A:$A,match($C2353,'Year Conversion'!$B:$B,0)),$Y:$Y,0))-K2353,"")</f>
        <v/>
      </c>
      <c r="AC2353" s="168" t="str">
        <f t="shared" si="7"/>
        <v>CHO,2017-18</v>
      </c>
    </row>
    <row r="2354">
      <c r="A2354" s="161" t="str">
        <f>IFERROR(__xludf.DUMMYFUNCTION("""COMPUTED_VALUE"""),"paytoga02")</f>
        <v>paytoga02</v>
      </c>
      <c r="B2354" s="161" t="str">
        <f>IFERROR(__xludf.DUMMYFUNCTION("""COMPUTED_VALUE"""),"Gary Payton II")</f>
        <v>Gary Payton II</v>
      </c>
      <c r="C2354" s="162" t="str">
        <f>IFERROR(__xludf.DUMMYFUNCTION("""COMPUTED_VALUE"""),"2017-18")</f>
        <v>2017-18</v>
      </c>
      <c r="D2354" s="163" t="str">
        <f>IFERROR(__xludf.DUMMYFUNCTION("""COMPUTED_VALUE"""),"TOT")</f>
        <v>TOT</v>
      </c>
      <c r="E2354" s="164" t="str">
        <f>IFERROR(__xludf.DUMMYFUNCTION("""COMPUTED_VALUE"""),"Athletic Finisher")</f>
        <v>Athletic Finisher</v>
      </c>
      <c r="F2354" s="164">
        <f>IFERROR(__xludf.DUMMYFUNCTION("""COMPUTED_VALUE"""),220.86)</f>
        <v>220.86</v>
      </c>
      <c r="G2354" s="163">
        <f>IFERROR(__xludf.DUMMYFUNCTION("""COMPUTED_VALUE"""),23.0)</f>
        <v>23</v>
      </c>
      <c r="H2354" s="163" t="str">
        <f>IFERROR(__xludf.DUMMYFUNCTION("""COMPUTED_VALUE"""),"PG")</f>
        <v>PG</v>
      </c>
      <c r="I2354" s="163">
        <f>IFERROR(__xludf.DUMMYFUNCTION("""COMPUTED_VALUE"""),25.0)</f>
        <v>25</v>
      </c>
      <c r="J2354" s="165">
        <f>IFERROR(__xludf.DUMMYFUNCTION("""COMPUTED_VALUE"""),-8.74589578844009E-4)</f>
        <v>-0.0008745895788</v>
      </c>
      <c r="K2354" s="165">
        <f>IFERROR(__xludf.DUMMYFUNCTION("""COMPUTED_VALUE"""),0.196899090169378)</f>
        <v>0.1968990902</v>
      </c>
      <c r="L2354" s="165">
        <f>IFERROR(__xludf.DUMMYFUNCTION("""COMPUTED_VALUE"""),-0.197773679748222)</f>
        <v>-0.1977736797</v>
      </c>
      <c r="M2354" s="166">
        <f t="shared" si="2"/>
        <v>0.3403622722</v>
      </c>
      <c r="N2354" s="167">
        <f t="shared" si="3"/>
        <v>9.602608696</v>
      </c>
      <c r="O2354" s="163">
        <f t="shared" ref="O2354:Q2354" si="2358">rank(I2354,I:I)</f>
        <v>1995</v>
      </c>
      <c r="P2354" s="163">
        <f t="shared" si="2358"/>
        <v>1284</v>
      </c>
      <c r="Q2354" s="163">
        <f t="shared" si="2358"/>
        <v>984</v>
      </c>
      <c r="R2354" s="163">
        <f>IFERROR(__xludf.DUMMYFUNCTION("RANK(M2354,filter(M:M,C:C=C2354))"),313.0)</f>
        <v>313</v>
      </c>
      <c r="S2354" s="161" t="b">
        <f t="shared" si="5"/>
        <v>0</v>
      </c>
      <c r="T2354" s="161" t="b">
        <f t="array" ref="T2354">index('Query Tool'!B:B,match(H2354,'Query Tool'!C:C,0))</f>
        <v>1</v>
      </c>
      <c r="U2354" s="161" t="b">
        <f t="array" ref="U2354">index('Query Tool'!B:B,match(C2354,'Query Tool'!C:C,0))</f>
        <v>0</v>
      </c>
      <c r="V2354" s="161" t="b">
        <f>F2354&gt;='Query Tool'!C$32</f>
        <v>0</v>
      </c>
      <c r="W2354" s="161" t="b">
        <f t="array" ref="W2354">index(Dropdowns!B:B,match(I2354,Dropdowns!A:A,0))</f>
        <v>1</v>
      </c>
      <c r="X2354" s="161" t="b">
        <f t="array" ref="X2354">index('Query Tool'!B:B,match(D2354,'Query Tool'!C:C,0))</f>
        <v>1</v>
      </c>
      <c r="Y2354" s="161" t="str">
        <f t="shared" si="6"/>
        <v>paytoga02,2017-18</v>
      </c>
      <c r="Z2354" s="168">
        <f t="array" ref="Z2354">iferror(index(I:I,match($A2354&amp;","&amp;index('Year Conversion'!$A:$A,match($C2354,'Year Conversion'!$B:$B,0)),$Y:$Y,0))-I2354,"")</f>
        <v>1</v>
      </c>
      <c r="AA2354" s="168">
        <f t="array" ref="AA2354">iferror(index(J:J,match($A2354&amp;","&amp;index('Year Conversion'!$A:$A,match($C2354,'Year Conversion'!$B:$B,0)),$Y:$Y,0))-J2354,"")</f>
        <v>-0.3518986311</v>
      </c>
      <c r="AB2354" s="168">
        <f t="array" ref="AB2354">iferror(index(K:K,match($A2354&amp;","&amp;index('Year Conversion'!$A:$A,match($C2354,'Year Conversion'!$B:$B,0)),$Y:$Y,0))-K2354,"")</f>
        <v>-0.295090749</v>
      </c>
      <c r="AC2354" s="168" t="str">
        <f t="shared" si="7"/>
        <v>TOT,2017-18</v>
      </c>
    </row>
    <row r="2355">
      <c r="A2355" s="161" t="str">
        <f>IFERROR(__xludf.DUMMYFUNCTION("""COMPUTED_VALUE"""),"richama01")</f>
        <v>richama01</v>
      </c>
      <c r="B2355" s="161" t="str">
        <f>IFERROR(__xludf.DUMMYFUNCTION("""COMPUTED_VALUE"""),"Malachi Richardson")</f>
        <v>Malachi Richardson</v>
      </c>
      <c r="C2355" s="162" t="str">
        <f>IFERROR(__xludf.DUMMYFUNCTION("""COMPUTED_VALUE"""),"2017-18")</f>
        <v>2017-18</v>
      </c>
      <c r="D2355" s="163" t="str">
        <f>IFERROR(__xludf.DUMMYFUNCTION("""COMPUTED_VALUE"""),"TOT")</f>
        <v>TOT</v>
      </c>
      <c r="E2355" s="164" t="str">
        <f>IFERROR(__xludf.DUMMYFUNCTION("""COMPUTED_VALUE"""),"Movement Shooter")</f>
        <v>Movement Shooter</v>
      </c>
      <c r="F2355" s="164">
        <f>IFERROR(__xludf.DUMMYFUNCTION("""COMPUTED_VALUE"""),323.315)</f>
        <v>323.315</v>
      </c>
      <c r="G2355" s="163">
        <f>IFERROR(__xludf.DUMMYFUNCTION("""COMPUTED_VALUE"""),26.0)</f>
        <v>26</v>
      </c>
      <c r="H2355" s="163" t="str">
        <f>IFERROR(__xludf.DUMMYFUNCTION("""COMPUTED_VALUE"""),"SG")</f>
        <v>SG</v>
      </c>
      <c r="I2355" s="163">
        <f>IFERROR(__xludf.DUMMYFUNCTION("""COMPUTED_VALUE"""),22.0)</f>
        <v>22</v>
      </c>
      <c r="J2355" s="165">
        <f>IFERROR(__xludf.DUMMYFUNCTION("""COMPUTED_VALUE"""),-1.40661697781461)</f>
        <v>-1.406616978</v>
      </c>
      <c r="K2355" s="165">
        <f>IFERROR(__xludf.DUMMYFUNCTION("""COMPUTED_VALUE"""),-1.23344855472443)</f>
        <v>-1.233448555</v>
      </c>
      <c r="L2355" s="165">
        <f>IFERROR(__xludf.DUMMYFUNCTION("""COMPUTED_VALUE"""),-0.173168423090182)</f>
        <v>-0.1731684231</v>
      </c>
      <c r="M2355" s="166">
        <f t="shared" si="2"/>
        <v>0.1926756424</v>
      </c>
      <c r="N2355" s="167">
        <f t="shared" si="3"/>
        <v>12.43519231</v>
      </c>
      <c r="O2355" s="163">
        <f t="shared" ref="O2355:Q2355" si="2359">rank(I2355,I:I)</f>
        <v>3178</v>
      </c>
      <c r="P2355" s="163">
        <f t="shared" si="2359"/>
        <v>2959</v>
      </c>
      <c r="Q2355" s="163">
        <f t="shared" si="2359"/>
        <v>3070</v>
      </c>
      <c r="R2355" s="163">
        <f>IFERROR(__xludf.DUMMYFUNCTION("RANK(M2355,filter(M:M,C:C=C2355))"),347.0)</f>
        <v>347</v>
      </c>
      <c r="S2355" s="161" t="b">
        <f t="shared" si="5"/>
        <v>0</v>
      </c>
      <c r="T2355" s="161" t="b">
        <f t="array" ref="T2355">index('Query Tool'!B:B,match(H2355,'Query Tool'!C:C,0))</f>
        <v>1</v>
      </c>
      <c r="U2355" s="161" t="b">
        <f t="array" ref="U2355">index('Query Tool'!B:B,match(C2355,'Query Tool'!C:C,0))</f>
        <v>0</v>
      </c>
      <c r="V2355" s="161" t="b">
        <f>F2355&gt;='Query Tool'!C$32</f>
        <v>0</v>
      </c>
      <c r="W2355" s="161" t="b">
        <f t="array" ref="W2355">index(Dropdowns!B:B,match(I2355,Dropdowns!A:A,0))</f>
        <v>1</v>
      </c>
      <c r="X2355" s="161" t="b">
        <f t="array" ref="X2355">index('Query Tool'!B:B,match(D2355,'Query Tool'!C:C,0))</f>
        <v>1</v>
      </c>
      <c r="Y2355" s="161" t="str">
        <f t="shared" si="6"/>
        <v>richama01,2017-18</v>
      </c>
      <c r="Z2355" s="168">
        <f t="array" ref="Z2355">iferror(index(I:I,match($A2355&amp;","&amp;index('Year Conversion'!$A:$A,match($C2355,'Year Conversion'!$B:$B,0)),$Y:$Y,0))-I2355,"")</f>
        <v>1</v>
      </c>
      <c r="AA2355" s="168">
        <f t="array" ref="AA2355">iferror(index(J:J,match($A2355&amp;","&amp;index('Year Conversion'!$A:$A,match($C2355,'Year Conversion'!$B:$B,0)),$Y:$Y,0))-J2355,"")</f>
        <v>-0.2057514894</v>
      </c>
      <c r="AB2355" s="168">
        <f t="array" ref="AB2355">iferror(index(K:K,match($A2355&amp;","&amp;index('Year Conversion'!$A:$A,match($C2355,'Year Conversion'!$B:$B,0)),$Y:$Y,0))-K2355,"")</f>
        <v>0.3244649271</v>
      </c>
      <c r="AC2355" s="168" t="str">
        <f t="shared" si="7"/>
        <v>TOT,2017-18</v>
      </c>
    </row>
    <row r="2356">
      <c r="A2356" s="161" t="str">
        <f>IFERROR(__xludf.DUMMYFUNCTION("""COMPUTED_VALUE"""),"seldewa01")</f>
        <v>seldewa01</v>
      </c>
      <c r="B2356" s="161" t="str">
        <f>IFERROR(__xludf.DUMMYFUNCTION("""COMPUTED_VALUE"""),"Wayne Selden")</f>
        <v>Wayne Selden</v>
      </c>
      <c r="C2356" s="162" t="str">
        <f>IFERROR(__xludf.DUMMYFUNCTION("""COMPUTED_VALUE"""),"2017-18")</f>
        <v>2017-18</v>
      </c>
      <c r="D2356" s="163" t="str">
        <f>IFERROR(__xludf.DUMMYFUNCTION("""COMPUTED_VALUE"""),"MEM")</f>
        <v>MEM</v>
      </c>
      <c r="E2356" s="164" t="str">
        <f>IFERROR(__xludf.DUMMYFUNCTION("""COMPUTED_VALUE"""),"Secondary Ball Handler")</f>
        <v>Secondary Ball Handler</v>
      </c>
      <c r="F2356" s="164">
        <f>IFERROR(__xludf.DUMMYFUNCTION("""COMPUTED_VALUE"""),691.33)</f>
        <v>691.33</v>
      </c>
      <c r="G2356" s="163">
        <f>IFERROR(__xludf.DUMMYFUNCTION("""COMPUTED_VALUE"""),35.0)</f>
        <v>35</v>
      </c>
      <c r="H2356" s="163" t="str">
        <f>IFERROR(__xludf.DUMMYFUNCTION("""COMPUTED_VALUE"""),"SG")</f>
        <v>SG</v>
      </c>
      <c r="I2356" s="163">
        <f>IFERROR(__xludf.DUMMYFUNCTION("""COMPUTED_VALUE"""),23.0)</f>
        <v>23</v>
      </c>
      <c r="J2356" s="165">
        <f>IFERROR(__xludf.DUMMYFUNCTION("""COMPUTED_VALUE"""),-2.39993340615728)</f>
        <v>-2.399933406</v>
      </c>
      <c r="K2356" s="165">
        <f>IFERROR(__xludf.DUMMYFUNCTION("""COMPUTED_VALUE"""),-0.467925098545097)</f>
        <v>-0.4679250985</v>
      </c>
      <c r="L2356" s="165">
        <f>IFERROR(__xludf.DUMMYFUNCTION("""COMPUTED_VALUE"""),-1.93200830761218)</f>
        <v>-1.932008308</v>
      </c>
      <c r="M2356" s="166">
        <f t="shared" si="2"/>
        <v>-0.04391378446</v>
      </c>
      <c r="N2356" s="167">
        <f t="shared" si="3"/>
        <v>19.75228571</v>
      </c>
      <c r="O2356" s="163">
        <f t="shared" ref="O2356:Q2356" si="2360">rank(I2356,I:I)</f>
        <v>2765</v>
      </c>
      <c r="P2356" s="163">
        <f t="shared" si="2360"/>
        <v>3716</v>
      </c>
      <c r="Q2356" s="163">
        <f t="shared" si="2360"/>
        <v>2061</v>
      </c>
      <c r="R2356" s="163">
        <f>IFERROR(__xludf.DUMMYFUNCTION("RANK(M2356,filter(M:M,C:C=C2356))"),506.0)</f>
        <v>506</v>
      </c>
      <c r="S2356" s="161" t="b">
        <f t="shared" si="5"/>
        <v>0</v>
      </c>
      <c r="T2356" s="161" t="b">
        <f t="array" ref="T2356">index('Query Tool'!B:B,match(H2356,'Query Tool'!C:C,0))</f>
        <v>1</v>
      </c>
      <c r="U2356" s="161" t="b">
        <f t="array" ref="U2356">index('Query Tool'!B:B,match(C2356,'Query Tool'!C:C,0))</f>
        <v>0</v>
      </c>
      <c r="V2356" s="161" t="b">
        <f>F2356&gt;='Query Tool'!C$32</f>
        <v>1</v>
      </c>
      <c r="W2356" s="161" t="b">
        <f t="array" ref="W2356">index(Dropdowns!B:B,match(I2356,Dropdowns!A:A,0))</f>
        <v>1</v>
      </c>
      <c r="X2356" s="161" t="b">
        <f t="array" ref="X2356">index('Query Tool'!B:B,match(D2356,'Query Tool'!C:C,0))</f>
        <v>1</v>
      </c>
      <c r="Y2356" s="161" t="str">
        <f t="shared" si="6"/>
        <v>seldewa01,2017-18</v>
      </c>
      <c r="Z2356" s="168">
        <f t="array" ref="Z2356">iferror(index(I:I,match($A2356&amp;","&amp;index('Year Conversion'!$A:$A,match($C2356,'Year Conversion'!$B:$B,0)),$Y:$Y,0))-I2356,"")</f>
        <v>1</v>
      </c>
      <c r="AA2356" s="168">
        <f t="array" ref="AA2356">iferror(index(J:J,match($A2356&amp;","&amp;index('Year Conversion'!$A:$A,match($C2356,'Year Conversion'!$B:$B,0)),$Y:$Y,0))-J2356,"")</f>
        <v>-0.6648744907</v>
      </c>
      <c r="AB2356" s="168">
        <f t="array" ref="AB2356">iferror(index(K:K,match($A2356&amp;","&amp;index('Year Conversion'!$A:$A,match($C2356,'Year Conversion'!$B:$B,0)),$Y:$Y,0))-K2356,"")</f>
        <v>-1.470332277</v>
      </c>
      <c r="AC2356" s="168" t="str">
        <f t="shared" si="7"/>
        <v>MEM,2017-18</v>
      </c>
    </row>
    <row r="2357">
      <c r="A2357" s="161" t="str">
        <f>IFERROR(__xludf.DUMMYFUNCTION("""COMPUTED_VALUE"""),"siakapa01")</f>
        <v>siakapa01</v>
      </c>
      <c r="B2357" s="161" t="str">
        <f>IFERROR(__xludf.DUMMYFUNCTION("""COMPUTED_VALUE"""),"Pascal Siakam")</f>
        <v>Pascal Siakam</v>
      </c>
      <c r="C2357" s="162" t="str">
        <f>IFERROR(__xludf.DUMMYFUNCTION("""COMPUTED_VALUE"""),"2017-18")</f>
        <v>2017-18</v>
      </c>
      <c r="D2357" s="163" t="str">
        <f>IFERROR(__xludf.DUMMYFUNCTION("""COMPUTED_VALUE"""),"TOR")</f>
        <v>TOR</v>
      </c>
      <c r="E2357" s="164" t="str">
        <f>IFERROR(__xludf.DUMMYFUNCTION("""COMPUTED_VALUE"""),"Athletic Finisher")</f>
        <v>Athletic Finisher</v>
      </c>
      <c r="F2357" s="164">
        <f>IFERROR(__xludf.DUMMYFUNCTION("""COMPUTED_VALUE"""),1679.22666666667)</f>
        <v>1679.226667</v>
      </c>
      <c r="G2357" s="163">
        <f>IFERROR(__xludf.DUMMYFUNCTION("""COMPUTED_VALUE"""),81.0)</f>
        <v>81</v>
      </c>
      <c r="H2357" s="163" t="str">
        <f>IFERROR(__xludf.DUMMYFUNCTION("""COMPUTED_VALUE"""),"PF")</f>
        <v>PF</v>
      </c>
      <c r="I2357" s="163">
        <f>IFERROR(__xludf.DUMMYFUNCTION("""COMPUTED_VALUE"""),23.0)</f>
        <v>23</v>
      </c>
      <c r="J2357" s="165">
        <f>IFERROR(__xludf.DUMMYFUNCTION("""COMPUTED_VALUE"""),1.52857207509962)</f>
        <v>1.528572075</v>
      </c>
      <c r="K2357" s="165">
        <f>IFERROR(__xludf.DUMMYFUNCTION("""COMPUTED_VALUE"""),0.399690130348689)</f>
        <v>0.3996901303</v>
      </c>
      <c r="L2357" s="165">
        <f>IFERROR(__xludf.DUMMYFUNCTION("""COMPUTED_VALUE"""),1.12888194475093)</f>
        <v>1.128881945</v>
      </c>
      <c r="M2357" s="166">
        <f t="shared" si="2"/>
        <v>4.313735701</v>
      </c>
      <c r="N2357" s="167">
        <f t="shared" si="3"/>
        <v>20.73119342</v>
      </c>
      <c r="O2357" s="163">
        <f t="shared" ref="O2357:Q2357" si="2361">rank(I2357,I:I)</f>
        <v>2765</v>
      </c>
      <c r="P2357" s="163">
        <f t="shared" si="2361"/>
        <v>449</v>
      </c>
      <c r="Q2357" s="163">
        <f t="shared" si="2361"/>
        <v>832</v>
      </c>
      <c r="R2357" s="163">
        <f>IFERROR(__xludf.DUMMYFUNCTION("RANK(M2357,filter(M:M,C:C=C2357))"),74.0)</f>
        <v>74</v>
      </c>
      <c r="S2357" s="161" t="b">
        <f t="shared" si="5"/>
        <v>0</v>
      </c>
      <c r="T2357" s="161" t="b">
        <f t="array" ref="T2357">index('Query Tool'!B:B,match(H2357,'Query Tool'!C:C,0))</f>
        <v>1</v>
      </c>
      <c r="U2357" s="161" t="b">
        <f t="array" ref="U2357">index('Query Tool'!B:B,match(C2357,'Query Tool'!C:C,0))</f>
        <v>0</v>
      </c>
      <c r="V2357" s="161" t="b">
        <f>F2357&gt;='Query Tool'!C$32</f>
        <v>1</v>
      </c>
      <c r="W2357" s="161" t="b">
        <f t="array" ref="W2357">index(Dropdowns!B:B,match(I2357,Dropdowns!A:A,0))</f>
        <v>1</v>
      </c>
      <c r="X2357" s="161" t="b">
        <f t="array" ref="X2357">index('Query Tool'!B:B,match(D2357,'Query Tool'!C:C,0))</f>
        <v>1</v>
      </c>
      <c r="Y2357" s="161" t="str">
        <f t="shared" si="6"/>
        <v>siakapa01,2017-18</v>
      </c>
      <c r="Z2357" s="168">
        <f t="array" ref="Z2357">iferror(index(I:I,match($A2357&amp;","&amp;index('Year Conversion'!$A:$A,match($C2357,'Year Conversion'!$B:$B,0)),$Y:$Y,0))-I2357,"")</f>
        <v>1</v>
      </c>
      <c r="AA2357" s="168">
        <f t="array" ref="AA2357">iferror(index(J:J,match($A2357&amp;","&amp;index('Year Conversion'!$A:$A,match($C2357,'Year Conversion'!$B:$B,0)),$Y:$Y,0))-J2357,"")</f>
        <v>0.5234319006</v>
      </c>
      <c r="AB2357" s="168">
        <f t="array" ref="AB2357">iferror(index(K:K,match($A2357&amp;","&amp;index('Year Conversion'!$A:$A,match($C2357,'Year Conversion'!$B:$B,0)),$Y:$Y,0))-K2357,"")</f>
        <v>0.3220574827</v>
      </c>
      <c r="AC2357" s="168" t="str">
        <f t="shared" si="7"/>
        <v>TOR,2017-18</v>
      </c>
    </row>
    <row r="2358">
      <c r="A2358" s="161" t="str">
        <f>IFERROR(__xludf.DUMMYFUNCTION("""COMPUTED_VALUE"""),"whiteis01")</f>
        <v>whiteis01</v>
      </c>
      <c r="B2358" s="161" t="str">
        <f>IFERROR(__xludf.DUMMYFUNCTION("""COMPUTED_VALUE"""),"Isaiah Whitehead")</f>
        <v>Isaiah Whitehead</v>
      </c>
      <c r="C2358" s="162" t="str">
        <f>IFERROR(__xludf.DUMMYFUNCTION("""COMPUTED_VALUE"""),"2017-18")</f>
        <v>2017-18</v>
      </c>
      <c r="D2358" s="163" t="str">
        <f>IFERROR(__xludf.DUMMYFUNCTION("""COMPUTED_VALUE"""),"BRK")</f>
        <v>BRK</v>
      </c>
      <c r="E2358" s="164" t="str">
        <f>IFERROR(__xludf.DUMMYFUNCTION("""COMPUTED_VALUE"""),"Slasher")</f>
        <v>Slasher</v>
      </c>
      <c r="F2358" s="164">
        <f>IFERROR(__xludf.DUMMYFUNCTION("""COMPUTED_VALUE"""),179.658333333333)</f>
        <v>179.6583333</v>
      </c>
      <c r="G2358" s="163">
        <f>IFERROR(__xludf.DUMMYFUNCTION("""COMPUTED_VALUE"""),16.0)</f>
        <v>16</v>
      </c>
      <c r="H2358" s="163" t="str">
        <f>IFERROR(__xludf.DUMMYFUNCTION("""COMPUTED_VALUE"""),"PG")</f>
        <v>PG</v>
      </c>
      <c r="I2358" s="163">
        <f>IFERROR(__xludf.DUMMYFUNCTION("""COMPUTED_VALUE"""),22.0)</f>
        <v>22</v>
      </c>
      <c r="J2358" s="165">
        <f>IFERROR(__xludf.DUMMYFUNCTION("""COMPUTED_VALUE"""),-1.31002962009046)</f>
        <v>-1.31002962</v>
      </c>
      <c r="K2358" s="165">
        <f>IFERROR(__xludf.DUMMYFUNCTION("""COMPUTED_VALUE"""),-0.927014445571841)</f>
        <v>-0.9270144456</v>
      </c>
      <c r="L2358" s="165">
        <f>IFERROR(__xludf.DUMMYFUNCTION("""COMPUTED_VALUE"""),-0.383015174518614)</f>
        <v>-0.3830151745</v>
      </c>
      <c r="M2358" s="166">
        <f t="shared" si="2"/>
        <v>0.1186746927</v>
      </c>
      <c r="N2358" s="167">
        <f t="shared" si="3"/>
        <v>11.22864583</v>
      </c>
      <c r="O2358" s="163">
        <f t="shared" ref="O2358:Q2358" si="2362">rank(I2358,I:I)</f>
        <v>3178</v>
      </c>
      <c r="P2358" s="163">
        <f t="shared" si="2362"/>
        <v>2871</v>
      </c>
      <c r="Q2358" s="163">
        <f t="shared" si="2362"/>
        <v>2722</v>
      </c>
      <c r="R2358" s="163">
        <f>IFERROR(__xludf.DUMMYFUNCTION("RANK(M2358,filter(M:M,C:C=C2358))"),387.0)</f>
        <v>387</v>
      </c>
      <c r="S2358" s="161" t="b">
        <f t="shared" si="5"/>
        <v>0</v>
      </c>
      <c r="T2358" s="161" t="b">
        <f t="array" ref="T2358">index('Query Tool'!B:B,match(H2358,'Query Tool'!C:C,0))</f>
        <v>1</v>
      </c>
      <c r="U2358" s="161" t="b">
        <f t="array" ref="U2358">index('Query Tool'!B:B,match(C2358,'Query Tool'!C:C,0))</f>
        <v>0</v>
      </c>
      <c r="V2358" s="161" t="b">
        <f>F2358&gt;='Query Tool'!C$32</f>
        <v>0</v>
      </c>
      <c r="W2358" s="161" t="b">
        <f t="array" ref="W2358">index(Dropdowns!B:B,match(I2358,Dropdowns!A:A,0))</f>
        <v>1</v>
      </c>
      <c r="X2358" s="161" t="b">
        <f t="array" ref="X2358">index('Query Tool'!B:B,match(D2358,'Query Tool'!C:C,0))</f>
        <v>1</v>
      </c>
      <c r="Y2358" s="161" t="str">
        <f t="shared" si="6"/>
        <v>whiteis01,2017-18</v>
      </c>
      <c r="Z2358" s="168" t="str">
        <f t="array" ref="Z2358">iferror(index(I:I,match($A2358&amp;","&amp;index('Year Conversion'!$A:$A,match($C2358,'Year Conversion'!$B:$B,0)),$Y:$Y,0))-I2358,"")</f>
        <v/>
      </c>
      <c r="AA2358" s="168" t="str">
        <f t="array" ref="AA2358">iferror(index(J:J,match($A2358&amp;","&amp;index('Year Conversion'!$A:$A,match($C2358,'Year Conversion'!$B:$B,0)),$Y:$Y,0))-J2358,"")</f>
        <v/>
      </c>
      <c r="AB2358" s="168" t="str">
        <f t="array" ref="AB2358">iferror(index(K:K,match($A2358&amp;","&amp;index('Year Conversion'!$A:$A,match($C2358,'Year Conversion'!$B:$B,0)),$Y:$Y,0))-K2358,"")</f>
        <v/>
      </c>
      <c r="AC2358" s="168" t="str">
        <f t="shared" si="7"/>
        <v>BRK,2017-18</v>
      </c>
    </row>
    <row r="2359">
      <c r="A2359" s="161" t="str">
        <f>IFERROR(__xludf.DUMMYFUNCTION("""COMPUTED_VALUE"""),"willitr02")</f>
        <v>willitr02</v>
      </c>
      <c r="B2359" s="161" t="str">
        <f>IFERROR(__xludf.DUMMYFUNCTION("""COMPUTED_VALUE"""),"Troy Williams")</f>
        <v>Troy Williams</v>
      </c>
      <c r="C2359" s="162" t="str">
        <f>IFERROR(__xludf.DUMMYFUNCTION("""COMPUTED_VALUE"""),"2017-18")</f>
        <v>2017-18</v>
      </c>
      <c r="D2359" s="163" t="str">
        <f>IFERROR(__xludf.DUMMYFUNCTION("""COMPUTED_VALUE"""),"TOT")</f>
        <v>TOT</v>
      </c>
      <c r="E2359" s="164" t="str">
        <f>IFERROR(__xludf.DUMMYFUNCTION("""COMPUTED_VALUE"""),"Athletic Finisher")</f>
        <v>Athletic Finisher</v>
      </c>
      <c r="F2359" s="164">
        <f>IFERROR(__xludf.DUMMYFUNCTION("""COMPUTED_VALUE"""),307.203333333333)</f>
        <v>307.2033333</v>
      </c>
      <c r="G2359" s="163">
        <f>IFERROR(__xludf.DUMMYFUNCTION("""COMPUTED_VALUE"""),21.0)</f>
        <v>21</v>
      </c>
      <c r="H2359" s="163" t="str">
        <f>IFERROR(__xludf.DUMMYFUNCTION("""COMPUTED_VALUE"""),"SF")</f>
        <v>SF</v>
      </c>
      <c r="I2359" s="163">
        <f>IFERROR(__xludf.DUMMYFUNCTION("""COMPUTED_VALUE"""),23.0)</f>
        <v>23</v>
      </c>
      <c r="J2359" s="165">
        <f>IFERROR(__xludf.DUMMYFUNCTION("""COMPUTED_VALUE"""),-0.602078142211111)</f>
        <v>-0.6020781422</v>
      </c>
      <c r="K2359" s="165">
        <f>IFERROR(__xludf.DUMMYFUNCTION("""COMPUTED_VALUE"""),-0.0086579525784064)</f>
        <v>-0.008657952578</v>
      </c>
      <c r="L2359" s="165">
        <f>IFERROR(__xludf.DUMMYFUNCTION("""COMPUTED_VALUE"""),-0.593420189632704)</f>
        <v>-0.5934201896</v>
      </c>
      <c r="M2359" s="166">
        <f t="shared" si="2"/>
        <v>0.3489694699</v>
      </c>
      <c r="N2359" s="167">
        <f t="shared" si="3"/>
        <v>14.62873016</v>
      </c>
      <c r="O2359" s="163">
        <f t="shared" ref="O2359:Q2359" si="2363">rank(I2359,I:I)</f>
        <v>2765</v>
      </c>
      <c r="P2359" s="163">
        <f t="shared" si="2363"/>
        <v>1999</v>
      </c>
      <c r="Q2359" s="163">
        <f t="shared" si="2363"/>
        <v>1212</v>
      </c>
      <c r="R2359" s="163">
        <f>IFERROR(__xludf.DUMMYFUNCTION("RANK(M2359,filter(M:M,C:C=C2359))"),309.0)</f>
        <v>309</v>
      </c>
      <c r="S2359" s="161" t="b">
        <f t="shared" si="5"/>
        <v>0</v>
      </c>
      <c r="T2359" s="161" t="b">
        <f t="array" ref="T2359">index('Query Tool'!B:B,match(H2359,'Query Tool'!C:C,0))</f>
        <v>1</v>
      </c>
      <c r="U2359" s="161" t="b">
        <f t="array" ref="U2359">index('Query Tool'!B:B,match(C2359,'Query Tool'!C:C,0))</f>
        <v>0</v>
      </c>
      <c r="V2359" s="161" t="b">
        <f>F2359&gt;='Query Tool'!C$32</f>
        <v>0</v>
      </c>
      <c r="W2359" s="161" t="b">
        <f t="array" ref="W2359">index(Dropdowns!B:B,match(I2359,Dropdowns!A:A,0))</f>
        <v>1</v>
      </c>
      <c r="X2359" s="161" t="b">
        <f t="array" ref="X2359">index('Query Tool'!B:B,match(D2359,'Query Tool'!C:C,0))</f>
        <v>1</v>
      </c>
      <c r="Y2359" s="161" t="str">
        <f t="shared" si="6"/>
        <v>willitr02,2017-18</v>
      </c>
      <c r="Z2359" s="168">
        <f t="array" ref="Z2359">iferror(index(I:I,match($A2359&amp;","&amp;index('Year Conversion'!$A:$A,match($C2359,'Year Conversion'!$B:$B,0)),$Y:$Y,0))-I2359,"")</f>
        <v>1</v>
      </c>
      <c r="AA2359" s="168">
        <f t="array" ref="AA2359">iferror(index(J:J,match($A2359&amp;","&amp;index('Year Conversion'!$A:$A,match($C2359,'Year Conversion'!$B:$B,0)),$Y:$Y,0))-J2359,"")</f>
        <v>-1.057938436</v>
      </c>
      <c r="AB2359" s="168">
        <f t="array" ref="AB2359">iferror(index(K:K,match($A2359&amp;","&amp;index('Year Conversion'!$A:$A,match($C2359,'Year Conversion'!$B:$B,0)),$Y:$Y,0))-K2359,"")</f>
        <v>-1.491221836</v>
      </c>
      <c r="AC2359" s="168" t="str">
        <f t="shared" si="7"/>
        <v>TOT,2017-18</v>
      </c>
    </row>
    <row r="2360">
      <c r="A2360" s="161" t="str">
        <f>IFERROR(__xludf.DUMMYFUNCTION("""COMPUTED_VALUE"""),"korkmfu01")</f>
        <v>korkmfu01</v>
      </c>
      <c r="B2360" s="161" t="str">
        <f>IFERROR(__xludf.DUMMYFUNCTION("""COMPUTED_VALUE"""),"Furkan Korkmaz")</f>
        <v>Furkan Korkmaz</v>
      </c>
      <c r="C2360" s="162" t="str">
        <f>IFERROR(__xludf.DUMMYFUNCTION("""COMPUTED_VALUE"""),"2017-18")</f>
        <v>2017-18</v>
      </c>
      <c r="D2360" s="163" t="str">
        <f>IFERROR(__xludf.DUMMYFUNCTION("""COMPUTED_VALUE"""),"PHI")</f>
        <v>PHI</v>
      </c>
      <c r="E2360" s="164" t="str">
        <f>IFERROR(__xludf.DUMMYFUNCTION("""COMPUTED_VALUE"""),"Movement Shooter")</f>
        <v>Movement Shooter</v>
      </c>
      <c r="F2360" s="164">
        <f>IFERROR(__xludf.DUMMYFUNCTION("""COMPUTED_VALUE"""),79.7333333333333)</f>
        <v>79.73333333</v>
      </c>
      <c r="G2360" s="163">
        <f>IFERROR(__xludf.DUMMYFUNCTION("""COMPUTED_VALUE"""),14.0)</f>
        <v>14</v>
      </c>
      <c r="H2360" s="163" t="str">
        <f>IFERROR(__xludf.DUMMYFUNCTION("""COMPUTED_VALUE"""),"SG")</f>
        <v>SG</v>
      </c>
      <c r="I2360" s="163">
        <f>IFERROR(__xludf.DUMMYFUNCTION("""COMPUTED_VALUE"""),20.0)</f>
        <v>20</v>
      </c>
      <c r="J2360" s="165">
        <f>IFERROR(__xludf.DUMMYFUNCTION("""COMPUTED_VALUE"""),-1.1811999934167)</f>
        <v>-1.181199993</v>
      </c>
      <c r="K2360" s="165">
        <f>IFERROR(__xludf.DUMMYFUNCTION("""COMPUTED_VALUE"""),-0.255560101592843)</f>
        <v>-0.2555601016</v>
      </c>
      <c r="L2360" s="165">
        <f>IFERROR(__xludf.DUMMYFUNCTION("""COMPUTED_VALUE"""),-0.925639891823855)</f>
        <v>-0.9256398918</v>
      </c>
      <c r="M2360" s="166">
        <f t="shared" si="2"/>
        <v>0.05954912722</v>
      </c>
      <c r="N2360" s="167">
        <f t="shared" si="3"/>
        <v>5.695238095</v>
      </c>
      <c r="O2360" s="163">
        <f t="shared" ref="O2360:Q2360" si="2364">rank(I2360,I:I)</f>
        <v>3770</v>
      </c>
      <c r="P2360" s="163">
        <f t="shared" si="2364"/>
        <v>2718</v>
      </c>
      <c r="Q2360" s="163">
        <f t="shared" si="2364"/>
        <v>1680</v>
      </c>
      <c r="R2360" s="163">
        <f>IFERROR(__xludf.DUMMYFUNCTION("RANK(M2360,filter(M:M,C:C=C2360))"),422.0)</f>
        <v>422</v>
      </c>
      <c r="S2360" s="161" t="b">
        <f t="shared" si="5"/>
        <v>0</v>
      </c>
      <c r="T2360" s="161" t="b">
        <f t="array" ref="T2360">index('Query Tool'!B:B,match(H2360,'Query Tool'!C:C,0))</f>
        <v>1</v>
      </c>
      <c r="U2360" s="161" t="b">
        <f t="array" ref="U2360">index('Query Tool'!B:B,match(C2360,'Query Tool'!C:C,0))</f>
        <v>0</v>
      </c>
      <c r="V2360" s="161" t="b">
        <f>F2360&gt;='Query Tool'!C$32</f>
        <v>0</v>
      </c>
      <c r="W2360" s="161" t="b">
        <f t="array" ref="W2360">index(Dropdowns!B:B,match(I2360,Dropdowns!A:A,0))</f>
        <v>1</v>
      </c>
      <c r="X2360" s="161" t="b">
        <f t="array" ref="X2360">index('Query Tool'!B:B,match(D2360,'Query Tool'!C:C,0))</f>
        <v>1</v>
      </c>
      <c r="Y2360" s="161" t="str">
        <f t="shared" si="6"/>
        <v>korkmfu01,2017-18</v>
      </c>
      <c r="Z2360" s="168">
        <f t="array" ref="Z2360">iferror(index(I:I,match($A2360&amp;","&amp;index('Year Conversion'!$A:$A,match($C2360,'Year Conversion'!$B:$B,0)),$Y:$Y,0))-I2360,"")</f>
        <v>1</v>
      </c>
      <c r="AA2360" s="168">
        <f t="array" ref="AA2360">iferror(index(J:J,match($A2360&amp;","&amp;index('Year Conversion'!$A:$A,match($C2360,'Year Conversion'!$B:$B,0)),$Y:$Y,0))-J2360,"")</f>
        <v>1.012286759</v>
      </c>
      <c r="AB2360" s="168">
        <f t="array" ref="AB2360">iferror(index(K:K,match($A2360&amp;","&amp;index('Year Conversion'!$A:$A,match($C2360,'Year Conversion'!$B:$B,0)),$Y:$Y,0))-K2360,"")</f>
        <v>0.446330911</v>
      </c>
      <c r="AC2360" s="168" t="str">
        <f t="shared" si="7"/>
        <v>PHI,2017-18</v>
      </c>
    </row>
    <row r="2361">
      <c r="A2361" s="161" t="str">
        <f>IFERROR(__xludf.DUMMYFUNCTION("""COMPUTED_VALUE"""),"luwawti01")</f>
        <v>luwawti01</v>
      </c>
      <c r="B2361" s="161" t="str">
        <f>IFERROR(__xludf.DUMMYFUNCTION("""COMPUTED_VALUE"""),"Timothe Luwawu-Cabarrot")</f>
        <v>Timothe Luwawu-Cabarrot</v>
      </c>
      <c r="C2361" s="162" t="str">
        <f>IFERROR(__xludf.DUMMYFUNCTION("""COMPUTED_VALUE"""),"2017-18")</f>
        <v>2017-18</v>
      </c>
      <c r="D2361" s="163" t="str">
        <f>IFERROR(__xludf.DUMMYFUNCTION("""COMPUTED_VALUE"""),"PHI")</f>
        <v>PHI</v>
      </c>
      <c r="E2361" s="164" t="str">
        <f>IFERROR(__xludf.DUMMYFUNCTION("""COMPUTED_VALUE"""),"Movement Shooter")</f>
        <v>Movement Shooter</v>
      </c>
      <c r="F2361" s="164">
        <f>IFERROR(__xludf.DUMMYFUNCTION("""COMPUTED_VALUE"""),806.565)</f>
        <v>806.565</v>
      </c>
      <c r="G2361" s="163">
        <f>IFERROR(__xludf.DUMMYFUNCTION("""COMPUTED_VALUE"""),52.0)</f>
        <v>52</v>
      </c>
      <c r="H2361" s="163" t="str">
        <f>IFERROR(__xludf.DUMMYFUNCTION("""COMPUTED_VALUE"""),"SF")</f>
        <v>SF</v>
      </c>
      <c r="I2361" s="163">
        <f>IFERROR(__xludf.DUMMYFUNCTION("""COMPUTED_VALUE"""),22.0)</f>
        <v>22</v>
      </c>
      <c r="J2361" s="165">
        <f>IFERROR(__xludf.DUMMYFUNCTION("""COMPUTED_VALUE"""),-2.28408352861252)</f>
        <v>-2.284083529</v>
      </c>
      <c r="K2361" s="165">
        <f>IFERROR(__xludf.DUMMYFUNCTION("""COMPUTED_VALUE"""),-0.848116573242513)</f>
        <v>-0.8481165732</v>
      </c>
      <c r="L2361" s="165">
        <f>IFERROR(__xludf.DUMMYFUNCTION("""COMPUTED_VALUE"""),-1.43596695537)</f>
        <v>-1.435966955</v>
      </c>
      <c r="M2361" s="166">
        <f t="shared" si="2"/>
        <v>0.01034431518</v>
      </c>
      <c r="N2361" s="167">
        <f t="shared" si="3"/>
        <v>15.51086538</v>
      </c>
      <c r="O2361" s="163">
        <f t="shared" ref="O2361:Q2361" si="2365">rank(I2361,I:I)</f>
        <v>3178</v>
      </c>
      <c r="P2361" s="163">
        <f t="shared" si="2365"/>
        <v>3647</v>
      </c>
      <c r="Q2361" s="163">
        <f t="shared" si="2365"/>
        <v>2621</v>
      </c>
      <c r="R2361" s="163">
        <f>IFERROR(__xludf.DUMMYFUNCTION("RANK(M2361,filter(M:M,C:C=C2361))"),478.0)</f>
        <v>478</v>
      </c>
      <c r="S2361" s="161" t="b">
        <f t="shared" si="5"/>
        <v>0</v>
      </c>
      <c r="T2361" s="161" t="b">
        <f t="array" ref="T2361">index('Query Tool'!B:B,match(H2361,'Query Tool'!C:C,0))</f>
        <v>1</v>
      </c>
      <c r="U2361" s="161" t="b">
        <f t="array" ref="U2361">index('Query Tool'!B:B,match(C2361,'Query Tool'!C:C,0))</f>
        <v>0</v>
      </c>
      <c r="V2361" s="161" t="b">
        <f>F2361&gt;='Query Tool'!C$32</f>
        <v>1</v>
      </c>
      <c r="W2361" s="161" t="b">
        <f t="array" ref="W2361">index(Dropdowns!B:B,match(I2361,Dropdowns!A:A,0))</f>
        <v>1</v>
      </c>
      <c r="X2361" s="161" t="b">
        <f t="array" ref="X2361">index('Query Tool'!B:B,match(D2361,'Query Tool'!C:C,0))</f>
        <v>1</v>
      </c>
      <c r="Y2361" s="161" t="str">
        <f t="shared" si="6"/>
        <v>luwawti01,2017-18</v>
      </c>
      <c r="Z2361" s="168">
        <f t="array" ref="Z2361">iferror(index(I:I,match($A2361&amp;","&amp;index('Year Conversion'!$A:$A,match($C2361,'Year Conversion'!$B:$B,0)),$Y:$Y,0))-I2361,"")</f>
        <v>1</v>
      </c>
      <c r="AA2361" s="168">
        <f t="array" ref="AA2361">iferror(index(J:J,match($A2361&amp;","&amp;index('Year Conversion'!$A:$A,match($C2361,'Year Conversion'!$B:$B,0)),$Y:$Y,0))-J2361,"")</f>
        <v>0.2270712908</v>
      </c>
      <c r="AB2361" s="168">
        <f t="array" ref="AB2361">iferror(index(K:K,match($A2361&amp;","&amp;index('Year Conversion'!$A:$A,match($C2361,'Year Conversion'!$B:$B,0)),$Y:$Y,0))-K2361,"")</f>
        <v>-0.8711946136</v>
      </c>
      <c r="AC2361" s="168" t="str">
        <f t="shared" si="7"/>
        <v>PHI,2017-18</v>
      </c>
    </row>
    <row r="2362">
      <c r="A2362" s="161" t="str">
        <f>IFERROR(__xludf.DUMMYFUNCTION("""COMPUTED_VALUE"""),"zizican01")</f>
        <v>zizican01</v>
      </c>
      <c r="B2362" s="161" t="str">
        <f>IFERROR(__xludf.DUMMYFUNCTION("""COMPUTED_VALUE"""),"Ante Zizic")</f>
        <v>Ante Zizic</v>
      </c>
      <c r="C2362" s="162" t="str">
        <f>IFERROR(__xludf.DUMMYFUNCTION("""COMPUTED_VALUE"""),"2017-18")</f>
        <v>2017-18</v>
      </c>
      <c r="D2362" s="163" t="str">
        <f>IFERROR(__xludf.DUMMYFUNCTION("""COMPUTED_VALUE"""),"CLE")</f>
        <v>CLE</v>
      </c>
      <c r="E2362" s="164" t="str">
        <f>IFERROR(__xludf.DUMMYFUNCTION("""COMPUTED_VALUE"""),"Post Scorer")</f>
        <v>Post Scorer</v>
      </c>
      <c r="F2362" s="164">
        <f>IFERROR(__xludf.DUMMYFUNCTION("""COMPUTED_VALUE"""),214.24)</f>
        <v>214.24</v>
      </c>
      <c r="G2362" s="163">
        <f>IFERROR(__xludf.DUMMYFUNCTION("""COMPUTED_VALUE"""),32.0)</f>
        <v>32</v>
      </c>
      <c r="H2362" s="163" t="str">
        <f>IFERROR(__xludf.DUMMYFUNCTION("""COMPUTED_VALUE"""),"C")</f>
        <v>C</v>
      </c>
      <c r="I2362" s="163">
        <f>IFERROR(__xludf.DUMMYFUNCTION("""COMPUTED_VALUE"""),21.0)</f>
        <v>21</v>
      </c>
      <c r="J2362" s="165">
        <f>IFERROR(__xludf.DUMMYFUNCTION("""COMPUTED_VALUE"""),-0.120524552302586)</f>
        <v>-0.1205245523</v>
      </c>
      <c r="K2362" s="165">
        <f>IFERROR(__xludf.DUMMYFUNCTION("""COMPUTED_VALUE"""),-0.0523624755080669)</f>
        <v>-0.05236247551</v>
      </c>
      <c r="L2362" s="165">
        <f>IFERROR(__xludf.DUMMYFUNCTION("""COMPUTED_VALUE"""),-0.0681620767945189)</f>
        <v>-0.06816207679</v>
      </c>
      <c r="M2362" s="166">
        <f t="shared" si="2"/>
        <v>0.3128786413</v>
      </c>
      <c r="N2362" s="167">
        <f t="shared" si="3"/>
        <v>6.695</v>
      </c>
      <c r="O2362" s="163">
        <f t="shared" ref="O2362:Q2362" si="2366">rank(I2362,I:I)</f>
        <v>3528</v>
      </c>
      <c r="P2362" s="163">
        <f t="shared" si="2366"/>
        <v>1405</v>
      </c>
      <c r="Q2362" s="163">
        <f t="shared" si="2366"/>
        <v>1280</v>
      </c>
      <c r="R2362" s="163">
        <f>IFERROR(__xludf.DUMMYFUNCTION("RANK(M2362,filter(M:M,C:C=C2362))"),320.0)</f>
        <v>320</v>
      </c>
      <c r="S2362" s="161" t="b">
        <f t="shared" si="5"/>
        <v>0</v>
      </c>
      <c r="T2362" s="161" t="b">
        <f t="array" ref="T2362">index('Query Tool'!B:B,match(H2362,'Query Tool'!C:C,0))</f>
        <v>1</v>
      </c>
      <c r="U2362" s="161" t="b">
        <f t="array" ref="U2362">index('Query Tool'!B:B,match(C2362,'Query Tool'!C:C,0))</f>
        <v>0</v>
      </c>
      <c r="V2362" s="161" t="b">
        <f>F2362&gt;='Query Tool'!C$32</f>
        <v>0</v>
      </c>
      <c r="W2362" s="161" t="b">
        <f t="array" ref="W2362">index(Dropdowns!B:B,match(I2362,Dropdowns!A:A,0))</f>
        <v>1</v>
      </c>
      <c r="X2362" s="161" t="b">
        <f t="array" ref="X2362">index('Query Tool'!B:B,match(D2362,'Query Tool'!C:C,0))</f>
        <v>1</v>
      </c>
      <c r="Y2362" s="161" t="str">
        <f t="shared" si="6"/>
        <v>zizican01,2017-18</v>
      </c>
      <c r="Z2362" s="168">
        <f t="array" ref="Z2362">iferror(index(I:I,match($A2362&amp;","&amp;index('Year Conversion'!$A:$A,match($C2362,'Year Conversion'!$B:$B,0)),$Y:$Y,0))-I2362,"")</f>
        <v>1</v>
      </c>
      <c r="AA2362" s="168">
        <f t="array" ref="AA2362">iferror(index(J:J,match($A2362&amp;","&amp;index('Year Conversion'!$A:$A,match($C2362,'Year Conversion'!$B:$B,0)),$Y:$Y,0))-J2362,"")</f>
        <v>-1.130379284</v>
      </c>
      <c r="AB2362" s="168">
        <f t="array" ref="AB2362">iferror(index(K:K,match($A2362&amp;","&amp;index('Year Conversion'!$A:$A,match($C2362,'Year Conversion'!$B:$B,0)),$Y:$Y,0))-K2362,"")</f>
        <v>-1.490833178</v>
      </c>
      <c r="AC2362" s="168" t="str">
        <f t="shared" si="7"/>
        <v>CLE,2017-18</v>
      </c>
    </row>
    <row r="2363">
      <c r="A2363" s="161" t="str">
        <f>IFERROR(__xludf.DUMMYFUNCTION("""COMPUTED_VALUE"""),"ferreyo01")</f>
        <v>ferreyo01</v>
      </c>
      <c r="B2363" s="161" t="str">
        <f>IFERROR(__xludf.DUMMYFUNCTION("""COMPUTED_VALUE"""),"Yogi Ferrell")</f>
        <v>Yogi Ferrell</v>
      </c>
      <c r="C2363" s="162" t="str">
        <f>IFERROR(__xludf.DUMMYFUNCTION("""COMPUTED_VALUE"""),"2017-18")</f>
        <v>2017-18</v>
      </c>
      <c r="D2363" s="163" t="str">
        <f>IFERROR(__xludf.DUMMYFUNCTION("""COMPUTED_VALUE"""),"DAL")</f>
        <v>DAL</v>
      </c>
      <c r="E2363" s="164" t="str">
        <f>IFERROR(__xludf.DUMMYFUNCTION("""COMPUTED_VALUE"""),"Primary Ball Handler")</f>
        <v>Primary Ball Handler</v>
      </c>
      <c r="F2363" s="164">
        <f>IFERROR(__xludf.DUMMYFUNCTION("""COMPUTED_VALUE"""),2281.485)</f>
        <v>2281.485</v>
      </c>
      <c r="G2363" s="163">
        <f>IFERROR(__xludf.DUMMYFUNCTION("""COMPUTED_VALUE"""),82.0)</f>
        <v>82</v>
      </c>
      <c r="H2363" s="163" t="str">
        <f>IFERROR(__xludf.DUMMYFUNCTION("""COMPUTED_VALUE"""),"SG")</f>
        <v>SG</v>
      </c>
      <c r="I2363" s="163">
        <f>IFERROR(__xludf.DUMMYFUNCTION("""COMPUTED_VALUE"""),24.0)</f>
        <v>24</v>
      </c>
      <c r="J2363" s="165">
        <f>IFERROR(__xludf.DUMMYFUNCTION("""COMPUTED_VALUE"""),-0.679713059871696)</f>
        <v>-0.6797130599</v>
      </c>
      <c r="K2363" s="165">
        <f>IFERROR(__xludf.DUMMYFUNCTION("""COMPUTED_VALUE"""),-0.566704695310086)</f>
        <v>-0.5667046953</v>
      </c>
      <c r="L2363" s="165">
        <f>IFERROR(__xludf.DUMMYFUNCTION("""COMPUTED_VALUE"""),-0.11300836456161)</f>
        <v>-0.1130083646</v>
      </c>
      <c r="M2363" s="166">
        <f t="shared" si="2"/>
        <v>2.472456551</v>
      </c>
      <c r="N2363" s="167">
        <f t="shared" si="3"/>
        <v>27.8229878</v>
      </c>
      <c r="O2363" s="163">
        <f t="shared" ref="O2363:Q2363" si="2367">rank(I2363,I:I)</f>
        <v>2361</v>
      </c>
      <c r="P2363" s="163">
        <f t="shared" si="2367"/>
        <v>2105</v>
      </c>
      <c r="Q2363" s="163">
        <f t="shared" si="2367"/>
        <v>2212</v>
      </c>
      <c r="R2363" s="163">
        <f>IFERROR(__xludf.DUMMYFUNCTION("RANK(M2363,filter(M:M,C:C=C2363))"),133.0)</f>
        <v>133</v>
      </c>
      <c r="S2363" s="161" t="b">
        <f t="shared" si="5"/>
        <v>0</v>
      </c>
      <c r="T2363" s="161" t="b">
        <f t="array" ref="T2363">index('Query Tool'!B:B,match(H2363,'Query Tool'!C:C,0))</f>
        <v>1</v>
      </c>
      <c r="U2363" s="161" t="b">
        <f t="array" ref="U2363">index('Query Tool'!B:B,match(C2363,'Query Tool'!C:C,0))</f>
        <v>0</v>
      </c>
      <c r="V2363" s="161" t="b">
        <f>F2363&gt;='Query Tool'!C$32</f>
        <v>1</v>
      </c>
      <c r="W2363" s="161" t="b">
        <f t="array" ref="W2363">index(Dropdowns!B:B,match(I2363,Dropdowns!A:A,0))</f>
        <v>1</v>
      </c>
      <c r="X2363" s="161" t="b">
        <f t="array" ref="X2363">index('Query Tool'!B:B,match(D2363,'Query Tool'!C:C,0))</f>
        <v>1</v>
      </c>
      <c r="Y2363" s="161" t="str">
        <f t="shared" si="6"/>
        <v>ferreyo01,2017-18</v>
      </c>
      <c r="Z2363" s="168">
        <f t="array" ref="Z2363">iferror(index(I:I,match($A2363&amp;","&amp;index('Year Conversion'!$A:$A,match($C2363,'Year Conversion'!$B:$B,0)),$Y:$Y,0))-I2363,"")</f>
        <v>1</v>
      </c>
      <c r="AA2363" s="168">
        <f t="array" ref="AA2363">iferror(index(J:J,match($A2363&amp;","&amp;index('Year Conversion'!$A:$A,match($C2363,'Year Conversion'!$B:$B,0)),$Y:$Y,0))-J2363,"")</f>
        <v>0.05034556177</v>
      </c>
      <c r="AB2363" s="168">
        <f t="array" ref="AB2363">iferror(index(K:K,match($A2363&amp;","&amp;index('Year Conversion'!$A:$A,match($C2363,'Year Conversion'!$B:$B,0)),$Y:$Y,0))-K2363,"")</f>
        <v>0.531190393</v>
      </c>
      <c r="AC2363" s="168" t="str">
        <f t="shared" si="7"/>
        <v>DAL,2017-18</v>
      </c>
    </row>
    <row r="2364">
      <c r="A2364" s="161" t="str">
        <f>IFERROR(__xludf.DUMMYFUNCTION("""COMPUTED_VALUE"""),"leeda03")</f>
        <v>leeda03</v>
      </c>
      <c r="B2364" s="161" t="str">
        <f>IFERROR(__xludf.DUMMYFUNCTION("""COMPUTED_VALUE"""),"Damion Lee")</f>
        <v>Damion Lee</v>
      </c>
      <c r="C2364" s="162" t="str">
        <f>IFERROR(__xludf.DUMMYFUNCTION("""COMPUTED_VALUE"""),"2017-18")</f>
        <v>2017-18</v>
      </c>
      <c r="D2364" s="163" t="str">
        <f>IFERROR(__xludf.DUMMYFUNCTION("""COMPUTED_VALUE"""),"ATL")</f>
        <v>ATL</v>
      </c>
      <c r="E2364" s="164" t="str">
        <f>IFERROR(__xludf.DUMMYFUNCTION("""COMPUTED_VALUE"""),"Movement Shooter")</f>
        <v>Movement Shooter</v>
      </c>
      <c r="F2364" s="164">
        <f>IFERROR(__xludf.DUMMYFUNCTION("""COMPUTED_VALUE"""),404.411666666667)</f>
        <v>404.4116667</v>
      </c>
      <c r="G2364" s="163">
        <f>IFERROR(__xludf.DUMMYFUNCTION("""COMPUTED_VALUE"""),15.0)</f>
        <v>15</v>
      </c>
      <c r="H2364" s="163" t="str">
        <f>IFERROR(__xludf.DUMMYFUNCTION("""COMPUTED_VALUE"""),"SG")</f>
        <v>SG</v>
      </c>
      <c r="I2364" s="163">
        <f>IFERROR(__xludf.DUMMYFUNCTION("""COMPUTED_VALUE"""),25.0)</f>
        <v>25</v>
      </c>
      <c r="J2364" s="165">
        <f>IFERROR(__xludf.DUMMYFUNCTION("""COMPUTED_VALUE"""),0.752533828160764)</f>
        <v>0.7525338282</v>
      </c>
      <c r="K2364" s="165">
        <f>IFERROR(__xludf.DUMMYFUNCTION("""COMPUTED_VALUE"""),0.540721332406846)</f>
        <v>0.5407213324</v>
      </c>
      <c r="L2364" s="165">
        <f>IFERROR(__xludf.DUMMYFUNCTION("""COMPUTED_VALUE"""),0.211812495753918)</f>
        <v>0.2118124958</v>
      </c>
      <c r="M2364" s="166">
        <f t="shared" si="2"/>
        <v>0.8284852426</v>
      </c>
      <c r="N2364" s="167">
        <f t="shared" si="3"/>
        <v>26.96077778</v>
      </c>
      <c r="O2364" s="163">
        <f t="shared" ref="O2364:Q2364" si="2368">rank(I2364,I:I)</f>
        <v>1995</v>
      </c>
      <c r="P2364" s="163">
        <f t="shared" si="2368"/>
        <v>767</v>
      </c>
      <c r="Q2364" s="163">
        <f t="shared" si="2368"/>
        <v>745</v>
      </c>
      <c r="R2364" s="163">
        <f>IFERROR(__xludf.DUMMYFUNCTION("RANK(M2364,filter(M:M,C:C=C2364))"),254.0)</f>
        <v>254</v>
      </c>
      <c r="S2364" s="161" t="b">
        <f t="shared" si="5"/>
        <v>0</v>
      </c>
      <c r="T2364" s="161" t="b">
        <f t="array" ref="T2364">index('Query Tool'!B:B,match(H2364,'Query Tool'!C:C,0))</f>
        <v>1</v>
      </c>
      <c r="U2364" s="161" t="b">
        <f t="array" ref="U2364">index('Query Tool'!B:B,match(C2364,'Query Tool'!C:C,0))</f>
        <v>0</v>
      </c>
      <c r="V2364" s="161" t="b">
        <f>F2364&gt;='Query Tool'!C$32</f>
        <v>0</v>
      </c>
      <c r="W2364" s="161" t="b">
        <f t="array" ref="W2364">index(Dropdowns!B:B,match(I2364,Dropdowns!A:A,0))</f>
        <v>1</v>
      </c>
      <c r="X2364" s="161" t="b">
        <f t="array" ref="X2364">index('Query Tool'!B:B,match(D2364,'Query Tool'!C:C,0))</f>
        <v>1</v>
      </c>
      <c r="Y2364" s="161" t="str">
        <f t="shared" si="6"/>
        <v>leeda03,2017-18</v>
      </c>
      <c r="Z2364" s="168">
        <f t="array" ref="Z2364">iferror(index(I:I,match($A2364&amp;","&amp;index('Year Conversion'!$A:$A,match($C2364,'Year Conversion'!$B:$B,0)),$Y:$Y,0))-I2364,"")</f>
        <v>1</v>
      </c>
      <c r="AA2364" s="168">
        <f t="array" ref="AA2364">iferror(index(J:J,match($A2364&amp;","&amp;index('Year Conversion'!$A:$A,match($C2364,'Year Conversion'!$B:$B,0)),$Y:$Y,0))-J2364,"")</f>
        <v>-2.58790962</v>
      </c>
      <c r="AB2364" s="168">
        <f t="array" ref="AB2364">iferror(index(K:K,match($A2364&amp;","&amp;index('Year Conversion'!$A:$A,match($C2364,'Year Conversion'!$B:$B,0)),$Y:$Y,0))-K2364,"")</f>
        <v>-1.359387362</v>
      </c>
      <c r="AC2364" s="168" t="str">
        <f t="shared" si="7"/>
        <v>ATL,2017-18</v>
      </c>
    </row>
    <row r="2365">
      <c r="A2365" s="161" t="str">
        <f>IFERROR(__xludf.DUMMYFUNCTION("""COMPUTED_VALUE"""),"poythal01")</f>
        <v>poythal01</v>
      </c>
      <c r="B2365" s="161" t="str">
        <f>IFERROR(__xludf.DUMMYFUNCTION("""COMPUTED_VALUE"""),"Alex Poythress")</f>
        <v>Alex Poythress</v>
      </c>
      <c r="C2365" s="162" t="str">
        <f>IFERROR(__xludf.DUMMYFUNCTION("""COMPUTED_VALUE"""),"2017-18")</f>
        <v>2017-18</v>
      </c>
      <c r="D2365" s="163" t="str">
        <f>IFERROR(__xludf.DUMMYFUNCTION("""COMPUTED_VALUE"""),"IND")</f>
        <v>IND</v>
      </c>
      <c r="E2365" s="164" t="str">
        <f>IFERROR(__xludf.DUMMYFUNCTION("""COMPUTED_VALUE"""),"Stretch Big")</f>
        <v>Stretch Big</v>
      </c>
      <c r="F2365" s="164">
        <f>IFERROR(__xludf.DUMMYFUNCTION("""COMPUTED_VALUE"""),104.125)</f>
        <v>104.125</v>
      </c>
      <c r="G2365" s="163">
        <f>IFERROR(__xludf.DUMMYFUNCTION("""COMPUTED_VALUE"""),25.0)</f>
        <v>25</v>
      </c>
      <c r="H2365" s="163" t="str">
        <f>IFERROR(__xludf.DUMMYFUNCTION("""COMPUTED_VALUE"""),"PF")</f>
        <v>PF</v>
      </c>
      <c r="I2365" s="163">
        <f>IFERROR(__xludf.DUMMYFUNCTION("""COMPUTED_VALUE"""),24.0)</f>
        <v>24</v>
      </c>
      <c r="J2365" s="165">
        <f>IFERROR(__xludf.DUMMYFUNCTION("""COMPUTED_VALUE"""),-1.63581828926843)</f>
        <v>-1.635818289</v>
      </c>
      <c r="K2365" s="165">
        <f>IFERROR(__xludf.DUMMYFUNCTION("""COMPUTED_VALUE"""),-0.557275617659719)</f>
        <v>-0.5572756177</v>
      </c>
      <c r="L2365" s="165">
        <f>IFERROR(__xludf.DUMMYFUNCTION("""COMPUTED_VALUE"""),-1.07854267160871)</f>
        <v>-1.078542672</v>
      </c>
      <c r="M2365" s="166">
        <f t="shared" si="2"/>
        <v>0.04611655773</v>
      </c>
      <c r="N2365" s="167">
        <f t="shared" si="3"/>
        <v>4.165</v>
      </c>
      <c r="O2365" s="163">
        <f t="shared" ref="O2365:Q2365" si="2369">rank(I2365,I:I)</f>
        <v>2361</v>
      </c>
      <c r="P2365" s="163">
        <f t="shared" si="2369"/>
        <v>3182</v>
      </c>
      <c r="Q2365" s="163">
        <f t="shared" si="2369"/>
        <v>2198</v>
      </c>
      <c r="R2365" s="163">
        <f>IFERROR(__xludf.DUMMYFUNCTION("RANK(M2365,filter(M:M,C:C=C2365))"),432.0)</f>
        <v>432</v>
      </c>
      <c r="S2365" s="161" t="b">
        <f t="shared" si="5"/>
        <v>0</v>
      </c>
      <c r="T2365" s="161" t="b">
        <f t="array" ref="T2365">index('Query Tool'!B:B,match(H2365,'Query Tool'!C:C,0))</f>
        <v>1</v>
      </c>
      <c r="U2365" s="161" t="b">
        <f t="array" ref="U2365">index('Query Tool'!B:B,match(C2365,'Query Tool'!C:C,0))</f>
        <v>0</v>
      </c>
      <c r="V2365" s="161" t="b">
        <f>F2365&gt;='Query Tool'!C$32</f>
        <v>0</v>
      </c>
      <c r="W2365" s="161" t="b">
        <f t="array" ref="W2365">index(Dropdowns!B:B,match(I2365,Dropdowns!A:A,0))</f>
        <v>1</v>
      </c>
      <c r="X2365" s="161" t="b">
        <f t="array" ref="X2365">index('Query Tool'!B:B,match(D2365,'Query Tool'!C:C,0))</f>
        <v>1</v>
      </c>
      <c r="Y2365" s="161" t="str">
        <f t="shared" si="6"/>
        <v>poythal01,2017-18</v>
      </c>
      <c r="Z2365" s="168">
        <f t="array" ref="Z2365">iferror(index(I:I,match($A2365&amp;","&amp;index('Year Conversion'!$A:$A,match($C2365,'Year Conversion'!$B:$B,0)),$Y:$Y,0))-I2365,"")</f>
        <v>1</v>
      </c>
      <c r="AA2365" s="168">
        <f t="array" ref="AA2365">iferror(index(J:J,match($A2365&amp;","&amp;index('Year Conversion'!$A:$A,match($C2365,'Year Conversion'!$B:$B,0)),$Y:$Y,0))-J2365,"")</f>
        <v>0.09424336766</v>
      </c>
      <c r="AB2365" s="168">
        <f t="array" ref="AB2365">iferror(index(K:K,match($A2365&amp;","&amp;index('Year Conversion'!$A:$A,match($C2365,'Year Conversion'!$B:$B,0)),$Y:$Y,0))-K2365,"")</f>
        <v>-1.179175387</v>
      </c>
      <c r="AC2365" s="168" t="str">
        <f t="shared" si="7"/>
        <v>IND,2017-18</v>
      </c>
    </row>
    <row r="2366">
      <c r="A2366" s="161" t="str">
        <f>IFERROR(__xludf.DUMMYFUNCTION("""COMPUTED_VALUE"""),"quartti01")</f>
        <v>quartti01</v>
      </c>
      <c r="B2366" s="161" t="str">
        <f>IFERROR(__xludf.DUMMYFUNCTION("""COMPUTED_VALUE"""),"Tim Quarterman")</f>
        <v>Tim Quarterman</v>
      </c>
      <c r="C2366" s="162" t="str">
        <f>IFERROR(__xludf.DUMMYFUNCTION("""COMPUTED_VALUE"""),"2017-18")</f>
        <v>2017-18</v>
      </c>
      <c r="D2366" s="163" t="str">
        <f>IFERROR(__xludf.DUMMYFUNCTION("""COMPUTED_VALUE"""),"HOU")</f>
        <v>HOU</v>
      </c>
      <c r="E2366" s="164" t="str">
        <f>IFERROR(__xludf.DUMMYFUNCTION("""COMPUTED_VALUE"""),"Stationary Shooter")</f>
        <v>Stationary Shooter</v>
      </c>
      <c r="F2366" s="164">
        <f>IFERROR(__xludf.DUMMYFUNCTION("""COMPUTED_VALUE"""),12.75)</f>
        <v>12.75</v>
      </c>
      <c r="G2366" s="163">
        <f>IFERROR(__xludf.DUMMYFUNCTION("""COMPUTED_VALUE"""),3.0)</f>
        <v>3</v>
      </c>
      <c r="H2366" s="163" t="str">
        <f>IFERROR(__xludf.DUMMYFUNCTION("""COMPUTED_VALUE"""),"SG")</f>
        <v>SG</v>
      </c>
      <c r="I2366" s="163">
        <f>IFERROR(__xludf.DUMMYFUNCTION("""COMPUTED_VALUE"""),23.0)</f>
        <v>23</v>
      </c>
      <c r="J2366" s="165">
        <f>IFERROR(__xludf.DUMMYFUNCTION("""COMPUTED_VALUE"""),-0.907751689395871)</f>
        <v>-0.9077516894</v>
      </c>
      <c r="K2366" s="165">
        <f>IFERROR(__xludf.DUMMYFUNCTION("""COMPUTED_VALUE"""),-0.251496491779566)</f>
        <v>-0.2514964918</v>
      </c>
      <c r="L2366" s="165">
        <f>IFERROR(__xludf.DUMMYFUNCTION("""COMPUTED_VALUE"""),-0.656255197616306)</f>
        <v>-0.6562551976</v>
      </c>
      <c r="M2366" s="166">
        <f t="shared" si="2"/>
        <v>0.0118622088</v>
      </c>
      <c r="N2366" s="167">
        <f t="shared" si="3"/>
        <v>4.25</v>
      </c>
      <c r="O2366" s="163">
        <f t="shared" ref="O2366:Q2366" si="2370">rank(I2366,I:I)</f>
        <v>2765</v>
      </c>
      <c r="P2366" s="163">
        <f t="shared" si="2370"/>
        <v>2400</v>
      </c>
      <c r="Q2366" s="163">
        <f t="shared" si="2370"/>
        <v>1666</v>
      </c>
      <c r="R2366" s="163">
        <f>IFERROR(__xludf.DUMMYFUNCTION("RANK(M2366,filter(M:M,C:C=C2366))"),471.0)</f>
        <v>471</v>
      </c>
      <c r="S2366" s="161" t="b">
        <f t="shared" si="5"/>
        <v>0</v>
      </c>
      <c r="T2366" s="161" t="b">
        <f t="array" ref="T2366">index('Query Tool'!B:B,match(H2366,'Query Tool'!C:C,0))</f>
        <v>1</v>
      </c>
      <c r="U2366" s="161" t="b">
        <f t="array" ref="U2366">index('Query Tool'!B:B,match(C2366,'Query Tool'!C:C,0))</f>
        <v>0</v>
      </c>
      <c r="V2366" s="161" t="b">
        <f>F2366&gt;='Query Tool'!C$32</f>
        <v>0</v>
      </c>
      <c r="W2366" s="161" t="b">
        <f t="array" ref="W2366">index(Dropdowns!B:B,match(I2366,Dropdowns!A:A,0))</f>
        <v>1</v>
      </c>
      <c r="X2366" s="161" t="b">
        <f t="array" ref="X2366">index('Query Tool'!B:B,match(D2366,'Query Tool'!C:C,0))</f>
        <v>1</v>
      </c>
      <c r="Y2366" s="161" t="str">
        <f t="shared" si="6"/>
        <v>quartti01,2017-18</v>
      </c>
      <c r="Z2366" s="168" t="str">
        <f t="array" ref="Z2366">iferror(index(I:I,match($A2366&amp;","&amp;index('Year Conversion'!$A:$A,match($C2366,'Year Conversion'!$B:$B,0)),$Y:$Y,0))-I2366,"")</f>
        <v/>
      </c>
      <c r="AA2366" s="168" t="str">
        <f t="array" ref="AA2366">iferror(index(J:J,match($A2366&amp;","&amp;index('Year Conversion'!$A:$A,match($C2366,'Year Conversion'!$B:$B,0)),$Y:$Y,0))-J2366,"")</f>
        <v/>
      </c>
      <c r="AB2366" s="168" t="str">
        <f t="array" ref="AB2366">iferror(index(K:K,match($A2366&amp;","&amp;index('Year Conversion'!$A:$A,match($C2366,'Year Conversion'!$B:$B,0)),$Y:$Y,0))-K2366,"")</f>
        <v/>
      </c>
      <c r="AC2366" s="168" t="str">
        <f t="shared" si="7"/>
        <v>HOU,2017-18</v>
      </c>
    </row>
    <row r="2367">
      <c r="A2367" s="161" t="str">
        <f>IFERROR(__xludf.DUMMYFUNCTION("""COMPUTED_VALUE"""),"taylois01")</f>
        <v>taylois01</v>
      </c>
      <c r="B2367" s="161" t="str">
        <f>IFERROR(__xludf.DUMMYFUNCTION("""COMPUTED_VALUE"""),"Isaiah Taylor")</f>
        <v>Isaiah Taylor</v>
      </c>
      <c r="C2367" s="162" t="str">
        <f>IFERROR(__xludf.DUMMYFUNCTION("""COMPUTED_VALUE"""),"2017-18")</f>
        <v>2017-18</v>
      </c>
      <c r="D2367" s="163" t="str">
        <f>IFERROR(__xludf.DUMMYFUNCTION("""COMPUTED_VALUE"""),"ATL")</f>
        <v>ATL</v>
      </c>
      <c r="E2367" s="164" t="str">
        <f>IFERROR(__xludf.DUMMYFUNCTION("""COMPUTED_VALUE"""),"Slasher")</f>
        <v>Slasher</v>
      </c>
      <c r="F2367" s="164">
        <f>IFERROR(__xludf.DUMMYFUNCTION("""COMPUTED_VALUE"""),1167.01166666667)</f>
        <v>1167.011667</v>
      </c>
      <c r="G2367" s="163">
        <f>IFERROR(__xludf.DUMMYFUNCTION("""COMPUTED_VALUE"""),67.0)</f>
        <v>67</v>
      </c>
      <c r="H2367" s="163" t="str">
        <f>IFERROR(__xludf.DUMMYFUNCTION("""COMPUTED_VALUE"""),"PG")</f>
        <v>PG</v>
      </c>
      <c r="I2367" s="163">
        <f>IFERROR(__xludf.DUMMYFUNCTION("""COMPUTED_VALUE"""),23.0)</f>
        <v>23</v>
      </c>
      <c r="J2367" s="165">
        <f>IFERROR(__xludf.DUMMYFUNCTION("""COMPUTED_VALUE"""),-1.79289215448734)</f>
        <v>-1.792892154</v>
      </c>
      <c r="K2367" s="165">
        <f>IFERROR(__xludf.DUMMYFUNCTION("""COMPUTED_VALUE"""),-0.834342317448719)</f>
        <v>-0.8343423174</v>
      </c>
      <c r="L2367" s="165">
        <f>IFERROR(__xludf.DUMMYFUNCTION("""COMPUTED_VALUE"""),-0.958549837038617)</f>
        <v>-0.958549837</v>
      </c>
      <c r="M2367" s="166">
        <f t="shared" si="2"/>
        <v>0.3947836675</v>
      </c>
      <c r="N2367" s="167">
        <f t="shared" si="3"/>
        <v>17.41808458</v>
      </c>
      <c r="O2367" s="163">
        <f t="shared" ref="O2367:Q2367" si="2371">rank(I2367,I:I)</f>
        <v>2765</v>
      </c>
      <c r="P2367" s="163">
        <f t="shared" si="2371"/>
        <v>3321</v>
      </c>
      <c r="Q2367" s="163">
        <f t="shared" si="2371"/>
        <v>2597</v>
      </c>
      <c r="R2367" s="163">
        <f>IFERROR(__xludf.DUMMYFUNCTION("RANK(M2367,filter(M:M,C:C=C2367))"),302.0)</f>
        <v>302</v>
      </c>
      <c r="S2367" s="161" t="b">
        <f t="shared" si="5"/>
        <v>0</v>
      </c>
      <c r="T2367" s="161" t="b">
        <f t="array" ref="T2367">index('Query Tool'!B:B,match(H2367,'Query Tool'!C:C,0))</f>
        <v>1</v>
      </c>
      <c r="U2367" s="161" t="b">
        <f t="array" ref="U2367">index('Query Tool'!B:B,match(C2367,'Query Tool'!C:C,0))</f>
        <v>0</v>
      </c>
      <c r="V2367" s="161" t="b">
        <f>F2367&gt;='Query Tool'!C$32</f>
        <v>1</v>
      </c>
      <c r="W2367" s="161" t="b">
        <f t="array" ref="W2367">index(Dropdowns!B:B,match(I2367,Dropdowns!A:A,0))</f>
        <v>1</v>
      </c>
      <c r="X2367" s="161" t="b">
        <f t="array" ref="X2367">index('Query Tool'!B:B,match(D2367,'Query Tool'!C:C,0))</f>
        <v>1</v>
      </c>
      <c r="Y2367" s="161" t="str">
        <f t="shared" si="6"/>
        <v>taylois01,2017-18</v>
      </c>
      <c r="Z2367" s="168" t="str">
        <f t="array" ref="Z2367">iferror(index(I:I,match($A2367&amp;","&amp;index('Year Conversion'!$A:$A,match($C2367,'Year Conversion'!$B:$B,0)),$Y:$Y,0))-I2367,"")</f>
        <v/>
      </c>
      <c r="AA2367" s="168" t="str">
        <f t="array" ref="AA2367">iferror(index(J:J,match($A2367&amp;","&amp;index('Year Conversion'!$A:$A,match($C2367,'Year Conversion'!$B:$B,0)),$Y:$Y,0))-J2367,"")</f>
        <v/>
      </c>
      <c r="AB2367" s="168" t="str">
        <f t="array" ref="AB2367">iferror(index(K:K,match($A2367&amp;","&amp;index('Year Conversion'!$A:$A,match($C2367,'Year Conversion'!$B:$B,0)),$Y:$Y,0))-K2367,"")</f>
        <v/>
      </c>
      <c r="AC2367" s="168" t="str">
        <f t="shared" si="7"/>
        <v>ATL,2017-18</v>
      </c>
    </row>
    <row r="2368">
      <c r="A2368" s="161" t="str">
        <f>IFERROR(__xludf.DUMMYFUNCTION("""COMPUTED_VALUE"""),"wallaty01")</f>
        <v>wallaty01</v>
      </c>
      <c r="B2368" s="161" t="str">
        <f>IFERROR(__xludf.DUMMYFUNCTION("""COMPUTED_VALUE"""),"Tyrone Wallace")</f>
        <v>Tyrone Wallace</v>
      </c>
      <c r="C2368" s="162" t="str">
        <f>IFERROR(__xludf.DUMMYFUNCTION("""COMPUTED_VALUE"""),"2017-18")</f>
        <v>2017-18</v>
      </c>
      <c r="D2368" s="163" t="str">
        <f>IFERROR(__xludf.DUMMYFUNCTION("""COMPUTED_VALUE"""),"LAC")</f>
        <v>LAC</v>
      </c>
      <c r="E2368" s="164" t="str">
        <f>IFERROR(__xludf.DUMMYFUNCTION("""COMPUTED_VALUE"""),"Slasher")</f>
        <v>Slasher</v>
      </c>
      <c r="F2368" s="164">
        <f>IFERROR(__xludf.DUMMYFUNCTION("""COMPUTED_VALUE"""),851.185)</f>
        <v>851.185</v>
      </c>
      <c r="G2368" s="163">
        <f>IFERROR(__xludf.DUMMYFUNCTION("""COMPUTED_VALUE"""),30.0)</f>
        <v>30</v>
      </c>
      <c r="H2368" s="163" t="str">
        <f>IFERROR(__xludf.DUMMYFUNCTION("""COMPUTED_VALUE"""),"PG")</f>
        <v>PG</v>
      </c>
      <c r="I2368" s="163">
        <f>IFERROR(__xludf.DUMMYFUNCTION("""COMPUTED_VALUE"""),23.0)</f>
        <v>23</v>
      </c>
      <c r="J2368" s="165">
        <f>IFERROR(__xludf.DUMMYFUNCTION("""COMPUTED_VALUE"""),-2.1124367058847)</f>
        <v>-2.112436706</v>
      </c>
      <c r="K2368" s="165">
        <f>IFERROR(__xludf.DUMMYFUNCTION("""COMPUTED_VALUE"""),-1.21947938165539)</f>
        <v>-1.219479382</v>
      </c>
      <c r="L2368" s="165">
        <f>IFERROR(__xludf.DUMMYFUNCTION("""COMPUTED_VALUE"""),-0.892957324229308)</f>
        <v>-0.8929573242</v>
      </c>
      <c r="M2368" s="166">
        <f t="shared" si="2"/>
        <v>0.1074594856</v>
      </c>
      <c r="N2368" s="167">
        <f t="shared" si="3"/>
        <v>28.37283333</v>
      </c>
      <c r="O2368" s="163">
        <f t="shared" ref="O2368:Q2368" si="2372">rank(I2368,I:I)</f>
        <v>2765</v>
      </c>
      <c r="P2368" s="163">
        <f t="shared" si="2372"/>
        <v>3564</v>
      </c>
      <c r="Q2368" s="163">
        <f t="shared" si="2372"/>
        <v>3052</v>
      </c>
      <c r="R2368" s="163">
        <f>IFERROR(__xludf.DUMMYFUNCTION("RANK(M2368,filter(M:M,C:C=C2368))"),395.0)</f>
        <v>395</v>
      </c>
      <c r="S2368" s="161" t="b">
        <f t="shared" si="5"/>
        <v>0</v>
      </c>
      <c r="T2368" s="161" t="b">
        <f t="array" ref="T2368">index('Query Tool'!B:B,match(H2368,'Query Tool'!C:C,0))</f>
        <v>1</v>
      </c>
      <c r="U2368" s="161" t="b">
        <f t="array" ref="U2368">index('Query Tool'!B:B,match(C2368,'Query Tool'!C:C,0))</f>
        <v>0</v>
      </c>
      <c r="V2368" s="161" t="b">
        <f>F2368&gt;='Query Tool'!C$32</f>
        <v>1</v>
      </c>
      <c r="W2368" s="161" t="b">
        <f t="array" ref="W2368">index(Dropdowns!B:B,match(I2368,Dropdowns!A:A,0))</f>
        <v>1</v>
      </c>
      <c r="X2368" s="161" t="b">
        <f t="array" ref="X2368">index('Query Tool'!B:B,match(D2368,'Query Tool'!C:C,0))</f>
        <v>1</v>
      </c>
      <c r="Y2368" s="161" t="str">
        <f t="shared" si="6"/>
        <v>wallaty01,2017-18</v>
      </c>
      <c r="Z2368" s="168">
        <f t="array" ref="Z2368">iferror(index(I:I,match($A2368&amp;","&amp;index('Year Conversion'!$A:$A,match($C2368,'Year Conversion'!$B:$B,0)),$Y:$Y,0))-I2368,"")</f>
        <v>1</v>
      </c>
      <c r="AA2368" s="168">
        <f t="array" ref="AA2368">iferror(index(J:J,match($A2368&amp;","&amp;index('Year Conversion'!$A:$A,match($C2368,'Year Conversion'!$B:$B,0)),$Y:$Y,0))-J2368,"")</f>
        <v>-0.05954515947</v>
      </c>
      <c r="AB2368" s="168">
        <f t="array" ref="AB2368">iferror(index(K:K,match($A2368&amp;","&amp;index('Year Conversion'!$A:$A,match($C2368,'Year Conversion'!$B:$B,0)),$Y:$Y,0))-K2368,"")</f>
        <v>-0.6735245583</v>
      </c>
      <c r="AC2368" s="168" t="str">
        <f t="shared" si="7"/>
        <v>LAC,2017-18</v>
      </c>
    </row>
    <row r="2369">
      <c r="A2369" s="161" t="str">
        <f>IFERROR(__xludf.DUMMYFUNCTION("""COMPUTED_VALUE"""),"webbja01")</f>
        <v>webbja01</v>
      </c>
      <c r="B2369" s="161" t="str">
        <f>IFERROR(__xludf.DUMMYFUNCTION("""COMPUTED_VALUE"""),"James Webb III")</f>
        <v>James Webb III</v>
      </c>
      <c r="C2369" s="162" t="str">
        <f>IFERROR(__xludf.DUMMYFUNCTION("""COMPUTED_VALUE"""),"2017-18")</f>
        <v>2017-18</v>
      </c>
      <c r="D2369" s="163" t="str">
        <f>IFERROR(__xludf.DUMMYFUNCTION("""COMPUTED_VALUE"""),"BRK")</f>
        <v>BRK</v>
      </c>
      <c r="E2369" s="164" t="str">
        <f>IFERROR(__xludf.DUMMYFUNCTION("""COMPUTED_VALUE"""),"Stationary Shooter")</f>
        <v>Stationary Shooter</v>
      </c>
      <c r="F2369" s="164">
        <f>IFERROR(__xludf.DUMMYFUNCTION("""COMPUTED_VALUE"""),119.931666666667)</f>
        <v>119.9316667</v>
      </c>
      <c r="G2369" s="163">
        <f>IFERROR(__xludf.DUMMYFUNCTION("""COMPUTED_VALUE"""),10.0)</f>
        <v>10</v>
      </c>
      <c r="H2369" s="163" t="str">
        <f>IFERROR(__xludf.DUMMYFUNCTION("""COMPUTED_VALUE"""),"SF")</f>
        <v>SF</v>
      </c>
      <c r="I2369" s="163">
        <f>IFERROR(__xludf.DUMMYFUNCTION("""COMPUTED_VALUE"""),24.0)</f>
        <v>24</v>
      </c>
      <c r="J2369" s="165">
        <f>IFERROR(__xludf.DUMMYFUNCTION("""COMPUTED_VALUE"""),-0.831137050297122)</f>
        <v>-0.8311370503</v>
      </c>
      <c r="K2369" s="165">
        <f>IFERROR(__xludf.DUMMYFUNCTION("""COMPUTED_VALUE"""),-0.638358894569788)</f>
        <v>-0.6383588946</v>
      </c>
      <c r="L2369" s="165">
        <f>IFERROR(__xludf.DUMMYFUNCTION("""COMPUTED_VALUE"""),-0.192778155727334)</f>
        <v>-0.1927781557</v>
      </c>
      <c r="M2369" s="166">
        <f t="shared" si="2"/>
        <v>0.1177560628</v>
      </c>
      <c r="N2369" s="167">
        <f t="shared" si="3"/>
        <v>11.99316667</v>
      </c>
      <c r="O2369" s="163">
        <f t="shared" ref="O2369:Q2369" si="2373">rank(I2369,I:I)</f>
        <v>2361</v>
      </c>
      <c r="P2369" s="163">
        <f t="shared" si="2373"/>
        <v>2326</v>
      </c>
      <c r="Q2369" s="163">
        <f t="shared" si="2373"/>
        <v>2319</v>
      </c>
      <c r="R2369" s="163">
        <f>IFERROR(__xludf.DUMMYFUNCTION("RANK(M2369,filter(M:M,C:C=C2369))"),388.0)</f>
        <v>388</v>
      </c>
      <c r="S2369" s="161" t="b">
        <f t="shared" si="5"/>
        <v>0</v>
      </c>
      <c r="T2369" s="161" t="b">
        <f t="array" ref="T2369">index('Query Tool'!B:B,match(H2369,'Query Tool'!C:C,0))</f>
        <v>1</v>
      </c>
      <c r="U2369" s="161" t="b">
        <f t="array" ref="U2369">index('Query Tool'!B:B,match(C2369,'Query Tool'!C:C,0))</f>
        <v>0</v>
      </c>
      <c r="V2369" s="161" t="b">
        <f>F2369&gt;='Query Tool'!C$32</f>
        <v>0</v>
      </c>
      <c r="W2369" s="161" t="b">
        <f t="array" ref="W2369">index(Dropdowns!B:B,match(I2369,Dropdowns!A:A,0))</f>
        <v>1</v>
      </c>
      <c r="X2369" s="161" t="b">
        <f t="array" ref="X2369">index('Query Tool'!B:B,match(D2369,'Query Tool'!C:C,0))</f>
        <v>1</v>
      </c>
      <c r="Y2369" s="161" t="str">
        <f t="shared" si="6"/>
        <v>webbja01,2017-18</v>
      </c>
      <c r="Z2369" s="168" t="str">
        <f t="array" ref="Z2369">iferror(index(I:I,match($A2369&amp;","&amp;index('Year Conversion'!$A:$A,match($C2369,'Year Conversion'!$B:$B,0)),$Y:$Y,0))-I2369,"")</f>
        <v/>
      </c>
      <c r="AA2369" s="168" t="str">
        <f t="array" ref="AA2369">iferror(index(J:J,match($A2369&amp;","&amp;index('Year Conversion'!$A:$A,match($C2369,'Year Conversion'!$B:$B,0)),$Y:$Y,0))-J2369,"")</f>
        <v/>
      </c>
      <c r="AB2369" s="168" t="str">
        <f t="array" ref="AB2369">iferror(index(K:K,match($A2369&amp;","&amp;index('Year Conversion'!$A:$A,match($C2369,'Year Conversion'!$B:$B,0)),$Y:$Y,0))-K2369,"")</f>
        <v/>
      </c>
      <c r="AC2369" s="168" t="str">
        <f t="shared" si="7"/>
        <v>BRK,2017-18</v>
      </c>
    </row>
    <row r="2370">
      <c r="A2370" s="161" t="str">
        <f>IFERROR(__xludf.DUMMYFUNCTION("""COMPUTED_VALUE"""),"hernaju01")</f>
        <v>hernaju01</v>
      </c>
      <c r="B2370" s="161" t="str">
        <f>IFERROR(__xludf.DUMMYFUNCTION("""COMPUTED_VALUE"""),"Juancho Hernangomez")</f>
        <v>Juancho Hernangomez</v>
      </c>
      <c r="C2370" s="162" t="str">
        <f>IFERROR(__xludf.DUMMYFUNCTION("""COMPUTED_VALUE"""),"2017-18")</f>
        <v>2017-18</v>
      </c>
      <c r="D2370" s="163" t="str">
        <f>IFERROR(__xludf.DUMMYFUNCTION("""COMPUTED_VALUE"""),"DEN")</f>
        <v>DEN</v>
      </c>
      <c r="E2370" s="164" t="str">
        <f>IFERROR(__xludf.DUMMYFUNCTION("""COMPUTED_VALUE"""),"Athletic Finisher")</f>
        <v>Athletic Finisher</v>
      </c>
      <c r="F2370" s="164">
        <f>IFERROR(__xludf.DUMMYFUNCTION("""COMPUTED_VALUE"""),277.08)</f>
        <v>277.08</v>
      </c>
      <c r="G2370" s="163">
        <f>IFERROR(__xludf.DUMMYFUNCTION("""COMPUTED_VALUE"""),25.0)</f>
        <v>25</v>
      </c>
      <c r="H2370" s="163" t="str">
        <f>IFERROR(__xludf.DUMMYFUNCTION("""COMPUTED_VALUE"""),"PF")</f>
        <v>PF</v>
      </c>
      <c r="I2370" s="163">
        <f>IFERROR(__xludf.DUMMYFUNCTION("""COMPUTED_VALUE"""),22.0)</f>
        <v>22</v>
      </c>
      <c r="J2370" s="165">
        <f>IFERROR(__xludf.DUMMYFUNCTION("""COMPUTED_VALUE"""),-1.06729103307461)</f>
        <v>-1.067291033</v>
      </c>
      <c r="K2370" s="165">
        <f>IFERROR(__xludf.DUMMYFUNCTION("""COMPUTED_VALUE"""),-0.715314510486247)</f>
        <v>-0.7153145105</v>
      </c>
      <c r="L2370" s="165">
        <f>IFERROR(__xludf.DUMMYFUNCTION("""COMPUTED_VALUE"""),-0.351976522588366)</f>
        <v>-0.3519765226</v>
      </c>
      <c r="M2370" s="166">
        <f t="shared" si="2"/>
        <v>0.2281051169</v>
      </c>
      <c r="N2370" s="167">
        <f t="shared" si="3"/>
        <v>11.0832</v>
      </c>
      <c r="O2370" s="163">
        <f t="shared" ref="O2370:Q2370" si="2374">rank(I2370,I:I)</f>
        <v>3178</v>
      </c>
      <c r="P2370" s="163">
        <f t="shared" si="2374"/>
        <v>2574</v>
      </c>
      <c r="Q2370" s="163">
        <f t="shared" si="2374"/>
        <v>2434</v>
      </c>
      <c r="R2370" s="163">
        <f>IFERROR(__xludf.DUMMYFUNCTION("RANK(M2370,filter(M:M,C:C=C2370))"),335.0)</f>
        <v>335</v>
      </c>
      <c r="S2370" s="161" t="b">
        <f t="shared" si="5"/>
        <v>0</v>
      </c>
      <c r="T2370" s="161" t="b">
        <f t="array" ref="T2370">index('Query Tool'!B:B,match(H2370,'Query Tool'!C:C,0))</f>
        <v>1</v>
      </c>
      <c r="U2370" s="161" t="b">
        <f t="array" ref="U2370">index('Query Tool'!B:B,match(C2370,'Query Tool'!C:C,0))</f>
        <v>0</v>
      </c>
      <c r="V2370" s="161" t="b">
        <f>F2370&gt;='Query Tool'!C$32</f>
        <v>0</v>
      </c>
      <c r="W2370" s="161" t="b">
        <f t="array" ref="W2370">index(Dropdowns!B:B,match(I2370,Dropdowns!A:A,0))</f>
        <v>1</v>
      </c>
      <c r="X2370" s="161" t="b">
        <f t="array" ref="X2370">index('Query Tool'!B:B,match(D2370,'Query Tool'!C:C,0))</f>
        <v>1</v>
      </c>
      <c r="Y2370" s="161" t="str">
        <f t="shared" si="6"/>
        <v>hernaju01,2017-18</v>
      </c>
      <c r="Z2370" s="168">
        <f t="array" ref="Z2370">iferror(index(I:I,match($A2370&amp;","&amp;index('Year Conversion'!$A:$A,match($C2370,'Year Conversion'!$B:$B,0)),$Y:$Y,0))-I2370,"")</f>
        <v>1</v>
      </c>
      <c r="AA2370" s="168">
        <f t="array" ref="AA2370">iferror(index(J:J,match($A2370&amp;","&amp;index('Year Conversion'!$A:$A,match($C2370,'Year Conversion'!$B:$B,0)),$Y:$Y,0))-J2370,"")</f>
        <v>-0.3598290647</v>
      </c>
      <c r="AB2370" s="168">
        <f t="array" ref="AB2370">iferror(index(K:K,match($A2370&amp;","&amp;index('Year Conversion'!$A:$A,match($C2370,'Year Conversion'!$B:$B,0)),$Y:$Y,0))-K2370,"")</f>
        <v>-0.3798434798</v>
      </c>
      <c r="AC2370" s="168" t="str">
        <f t="shared" si="7"/>
        <v>DEN,2017-18</v>
      </c>
    </row>
    <row r="2371">
      <c r="A2371" s="161" t="str">
        <f>IFERROR(__xludf.DUMMYFUNCTION("""COMPUTED_VALUE"""),"yabusgu01")</f>
        <v>yabusgu01</v>
      </c>
      <c r="B2371" s="161" t="str">
        <f>IFERROR(__xludf.DUMMYFUNCTION("""COMPUTED_VALUE"""),"Guerschon Yabusele")</f>
        <v>Guerschon Yabusele</v>
      </c>
      <c r="C2371" s="162" t="str">
        <f>IFERROR(__xludf.DUMMYFUNCTION("""COMPUTED_VALUE"""),"2017-18")</f>
        <v>2017-18</v>
      </c>
      <c r="D2371" s="163" t="str">
        <f>IFERROR(__xludf.DUMMYFUNCTION("""COMPUTED_VALUE"""),"BOS")</f>
        <v>BOS</v>
      </c>
      <c r="E2371" s="164" t="str">
        <f>IFERROR(__xludf.DUMMYFUNCTION("""COMPUTED_VALUE"""),"Stretch Big")</f>
        <v>Stretch Big</v>
      </c>
      <c r="F2371" s="164">
        <f>IFERROR(__xludf.DUMMYFUNCTION("""COMPUTED_VALUE"""),235.056666666667)</f>
        <v>235.0566667</v>
      </c>
      <c r="G2371" s="163">
        <f>IFERROR(__xludf.DUMMYFUNCTION("""COMPUTED_VALUE"""),33.0)</f>
        <v>33</v>
      </c>
      <c r="H2371" s="163" t="str">
        <f>IFERROR(__xludf.DUMMYFUNCTION("""COMPUTED_VALUE"""),"PF")</f>
        <v>PF</v>
      </c>
      <c r="I2371" s="163">
        <f>IFERROR(__xludf.DUMMYFUNCTION("""COMPUTED_VALUE"""),22.0)</f>
        <v>22</v>
      </c>
      <c r="J2371" s="165">
        <f>IFERROR(__xludf.DUMMYFUNCTION("""COMPUTED_VALUE"""),-0.471333185964915)</f>
        <v>-0.471333186</v>
      </c>
      <c r="K2371" s="165">
        <f>IFERROR(__xludf.DUMMYFUNCTION("""COMPUTED_VALUE"""),-0.132897648791208)</f>
        <v>-0.1328976488</v>
      </c>
      <c r="L2371" s="165">
        <f>IFERROR(__xludf.DUMMYFUNCTION("""COMPUTED_VALUE"""),-0.338435537173707)</f>
        <v>-0.3384355372</v>
      </c>
      <c r="M2371" s="166">
        <f t="shared" si="2"/>
        <v>0.2877085759</v>
      </c>
      <c r="N2371" s="167">
        <f t="shared" si="3"/>
        <v>7.122929293</v>
      </c>
      <c r="O2371" s="163">
        <f t="shared" ref="O2371:Q2371" si="2375">rank(I2371,I:I)</f>
        <v>3178</v>
      </c>
      <c r="P2371" s="163">
        <f t="shared" si="2375"/>
        <v>1810</v>
      </c>
      <c r="Q2371" s="163">
        <f t="shared" si="2375"/>
        <v>1447</v>
      </c>
      <c r="R2371" s="163">
        <f>IFERROR(__xludf.DUMMYFUNCTION("RANK(M2371,filter(M:M,C:C=C2371))"),324.0)</f>
        <v>324</v>
      </c>
      <c r="S2371" s="161" t="b">
        <f t="shared" si="5"/>
        <v>0</v>
      </c>
      <c r="T2371" s="161" t="b">
        <f t="array" ref="T2371">index('Query Tool'!B:B,match(H2371,'Query Tool'!C:C,0))</f>
        <v>1</v>
      </c>
      <c r="U2371" s="161" t="b">
        <f t="array" ref="U2371">index('Query Tool'!B:B,match(C2371,'Query Tool'!C:C,0))</f>
        <v>0</v>
      </c>
      <c r="V2371" s="161" t="b">
        <f>F2371&gt;='Query Tool'!C$32</f>
        <v>0</v>
      </c>
      <c r="W2371" s="161" t="b">
        <f t="array" ref="W2371">index(Dropdowns!B:B,match(I2371,Dropdowns!A:A,0))</f>
        <v>1</v>
      </c>
      <c r="X2371" s="161" t="b">
        <f t="array" ref="X2371">index('Query Tool'!B:B,match(D2371,'Query Tool'!C:C,0))</f>
        <v>1</v>
      </c>
      <c r="Y2371" s="161" t="str">
        <f t="shared" si="6"/>
        <v>yabusgu01,2017-18</v>
      </c>
      <c r="Z2371" s="168">
        <f t="array" ref="Z2371">iferror(index(I:I,match($A2371&amp;","&amp;index('Year Conversion'!$A:$A,match($C2371,'Year Conversion'!$B:$B,0)),$Y:$Y,0))-I2371,"")</f>
        <v>1</v>
      </c>
      <c r="AA2371" s="168">
        <f t="array" ref="AA2371">iferror(index(J:J,match($A2371&amp;","&amp;index('Year Conversion'!$A:$A,match($C2371,'Year Conversion'!$B:$B,0)),$Y:$Y,0))-J2371,"")</f>
        <v>-0.9351460197</v>
      </c>
      <c r="AB2371" s="168">
        <f t="array" ref="AB2371">iferror(index(K:K,match($A2371&amp;","&amp;index('Year Conversion'!$A:$A,match($C2371,'Year Conversion'!$B:$B,0)),$Y:$Y,0))-K2371,"")</f>
        <v>-0.5672734062</v>
      </c>
      <c r="AC2371" s="168" t="str">
        <f t="shared" si="7"/>
        <v>BOS,2017-18</v>
      </c>
    </row>
    <row r="2372">
      <c r="A2372" s="161" t="str">
        <f>IFERROR(__xludf.DUMMYFUNCTION("""COMPUTED_VALUE"""),"zubaciv01")</f>
        <v>zubaciv01</v>
      </c>
      <c r="B2372" s="161" t="str">
        <f>IFERROR(__xludf.DUMMYFUNCTION("""COMPUTED_VALUE"""),"Ivica Zubac")</f>
        <v>Ivica Zubac</v>
      </c>
      <c r="C2372" s="162" t="str">
        <f>IFERROR(__xludf.DUMMYFUNCTION("""COMPUTED_VALUE"""),"2017-18")</f>
        <v>2017-18</v>
      </c>
      <c r="D2372" s="163" t="str">
        <f>IFERROR(__xludf.DUMMYFUNCTION("""COMPUTED_VALUE"""),"LAL")</f>
        <v>LAL</v>
      </c>
      <c r="E2372" s="164" t="str">
        <f>IFERROR(__xludf.DUMMYFUNCTION("""COMPUTED_VALUE"""),"Post Scorer")</f>
        <v>Post Scorer</v>
      </c>
      <c r="F2372" s="164">
        <f>IFERROR(__xludf.DUMMYFUNCTION("""COMPUTED_VALUE"""),409.821666666667)</f>
        <v>409.8216667</v>
      </c>
      <c r="G2372" s="163">
        <f>IFERROR(__xludf.DUMMYFUNCTION("""COMPUTED_VALUE"""),43.0)</f>
        <v>43</v>
      </c>
      <c r="H2372" s="163" t="str">
        <f>IFERROR(__xludf.DUMMYFUNCTION("""COMPUTED_VALUE"""),"C")</f>
        <v>C</v>
      </c>
      <c r="I2372" s="163">
        <f>IFERROR(__xludf.DUMMYFUNCTION("""COMPUTED_VALUE"""),20.0)</f>
        <v>20</v>
      </c>
      <c r="J2372" s="165">
        <f>IFERROR(__xludf.DUMMYFUNCTION("""COMPUTED_VALUE"""),-0.751957518068314)</f>
        <v>-0.7519575181</v>
      </c>
      <c r="K2372" s="165">
        <f>IFERROR(__xludf.DUMMYFUNCTION("""COMPUTED_VALUE"""),-1.39381130598482)</f>
        <v>-1.393811306</v>
      </c>
      <c r="L2372" s="165">
        <f>IFERROR(__xludf.DUMMYFUNCTION("""COMPUTED_VALUE"""),0.641853787916506)</f>
        <v>0.6418537879</v>
      </c>
      <c r="M2372" s="166">
        <f t="shared" si="2"/>
        <v>0.4242073948</v>
      </c>
      <c r="N2372" s="167">
        <f t="shared" si="3"/>
        <v>9.530736434</v>
      </c>
      <c r="O2372" s="163">
        <f t="shared" ref="O2372:Q2372" si="2376">rank(I2372,I:I)</f>
        <v>3770</v>
      </c>
      <c r="P2372" s="163">
        <f t="shared" si="2376"/>
        <v>2218</v>
      </c>
      <c r="Q2372" s="163">
        <f t="shared" si="2376"/>
        <v>3247</v>
      </c>
      <c r="R2372" s="163">
        <f>IFERROR(__xludf.DUMMYFUNCTION("RANK(M2372,filter(M:M,C:C=C2372))"),298.0)</f>
        <v>298</v>
      </c>
      <c r="S2372" s="161" t="b">
        <f t="shared" si="5"/>
        <v>0</v>
      </c>
      <c r="T2372" s="161" t="b">
        <f t="array" ref="T2372">index('Query Tool'!B:B,match(H2372,'Query Tool'!C:C,0))</f>
        <v>1</v>
      </c>
      <c r="U2372" s="161" t="b">
        <f t="array" ref="U2372">index('Query Tool'!B:B,match(C2372,'Query Tool'!C:C,0))</f>
        <v>0</v>
      </c>
      <c r="V2372" s="161" t="b">
        <f>F2372&gt;='Query Tool'!C$32</f>
        <v>0</v>
      </c>
      <c r="W2372" s="161" t="b">
        <f t="array" ref="W2372">index(Dropdowns!B:B,match(I2372,Dropdowns!A:A,0))</f>
        <v>1</v>
      </c>
      <c r="X2372" s="161" t="b">
        <f t="array" ref="X2372">index('Query Tool'!B:B,match(D2372,'Query Tool'!C:C,0))</f>
        <v>1</v>
      </c>
      <c r="Y2372" s="161" t="str">
        <f t="shared" si="6"/>
        <v>zubaciv01,2017-18</v>
      </c>
      <c r="Z2372" s="168">
        <f t="array" ref="Z2372">iferror(index(I:I,match($A2372&amp;","&amp;index('Year Conversion'!$A:$A,match($C2372,'Year Conversion'!$B:$B,0)),$Y:$Y,0))-I2372,"")</f>
        <v>1</v>
      </c>
      <c r="AA2372" s="168">
        <f t="array" ref="AA2372">iferror(index(J:J,match($A2372&amp;","&amp;index('Year Conversion'!$A:$A,match($C2372,'Year Conversion'!$B:$B,0)),$Y:$Y,0))-J2372,"")</f>
        <v>1.517392545</v>
      </c>
      <c r="AB2372" s="168">
        <f t="array" ref="AB2372">iferror(index(K:K,match($A2372&amp;","&amp;index('Year Conversion'!$A:$A,match($C2372,'Year Conversion'!$B:$B,0)),$Y:$Y,0))-K2372,"")</f>
        <v>0.6781353564</v>
      </c>
      <c r="AC2372" s="168" t="str">
        <f t="shared" si="7"/>
        <v>LAL,2017-18</v>
      </c>
    </row>
    <row r="2373">
      <c r="A2373" s="161" t="str">
        <f>IFERROR(__xludf.DUMMYFUNCTION("""COMPUTED_VALUE"""),"finnedo01")</f>
        <v>finnedo01</v>
      </c>
      <c r="B2373" s="161" t="str">
        <f>IFERROR(__xludf.DUMMYFUNCTION("""COMPUTED_VALUE"""),"Dorian Finney-Smith")</f>
        <v>Dorian Finney-Smith</v>
      </c>
      <c r="C2373" s="162" t="str">
        <f>IFERROR(__xludf.DUMMYFUNCTION("""COMPUTED_VALUE"""),"2017-18")</f>
        <v>2017-18</v>
      </c>
      <c r="D2373" s="163" t="str">
        <f>IFERROR(__xludf.DUMMYFUNCTION("""COMPUTED_VALUE"""),"DAL")</f>
        <v>DAL</v>
      </c>
      <c r="E2373" s="164" t="str">
        <f>IFERROR(__xludf.DUMMYFUNCTION("""COMPUTED_VALUE"""),"Athletic Finisher")</f>
        <v>Athletic Finisher</v>
      </c>
      <c r="F2373" s="164">
        <f>IFERROR(__xludf.DUMMYFUNCTION("""COMPUTED_VALUE"""),448.34)</f>
        <v>448.34</v>
      </c>
      <c r="G2373" s="163">
        <f>IFERROR(__xludf.DUMMYFUNCTION("""COMPUTED_VALUE"""),21.0)</f>
        <v>21</v>
      </c>
      <c r="H2373" s="163" t="str">
        <f>IFERROR(__xludf.DUMMYFUNCTION("""COMPUTED_VALUE"""),"PF")</f>
        <v>PF</v>
      </c>
      <c r="I2373" s="163">
        <f>IFERROR(__xludf.DUMMYFUNCTION("""COMPUTED_VALUE"""),24.0)</f>
        <v>24</v>
      </c>
      <c r="J2373" s="165">
        <f>IFERROR(__xludf.DUMMYFUNCTION("""COMPUTED_VALUE"""),-1.59186297209851)</f>
        <v>-1.591862972</v>
      </c>
      <c r="K2373" s="165">
        <f>IFERROR(__xludf.DUMMYFUNCTION("""COMPUTED_VALUE"""),-1.57330602505807)</f>
        <v>-1.573306025</v>
      </c>
      <c r="L2373" s="165">
        <f>IFERROR(__xludf.DUMMYFUNCTION("""COMPUTED_VALUE"""),-0.0185569470404406)</f>
        <v>-0.01855694704</v>
      </c>
      <c r="M2373" s="166">
        <f t="shared" si="2"/>
        <v>0.2117110665</v>
      </c>
      <c r="N2373" s="167">
        <f t="shared" si="3"/>
        <v>21.34952381</v>
      </c>
      <c r="O2373" s="163">
        <f t="shared" ref="O2373:Q2373" si="2377">rank(I2373,I:I)</f>
        <v>2361</v>
      </c>
      <c r="P2373" s="163">
        <f t="shared" si="2377"/>
        <v>3135</v>
      </c>
      <c r="Q2373" s="163">
        <f t="shared" si="2377"/>
        <v>3425</v>
      </c>
      <c r="R2373" s="163">
        <f>IFERROR(__xludf.DUMMYFUNCTION("RANK(M2373,filter(M:M,C:C=C2373))"),340.0)</f>
        <v>340</v>
      </c>
      <c r="S2373" s="161" t="b">
        <f t="shared" si="5"/>
        <v>0</v>
      </c>
      <c r="T2373" s="161" t="b">
        <f t="array" ref="T2373">index('Query Tool'!B:B,match(H2373,'Query Tool'!C:C,0))</f>
        <v>1</v>
      </c>
      <c r="U2373" s="161" t="b">
        <f t="array" ref="U2373">index('Query Tool'!B:B,match(C2373,'Query Tool'!C:C,0))</f>
        <v>0</v>
      </c>
      <c r="V2373" s="161" t="b">
        <f>F2373&gt;='Query Tool'!C$32</f>
        <v>0</v>
      </c>
      <c r="W2373" s="161" t="b">
        <f t="array" ref="W2373">index(Dropdowns!B:B,match(I2373,Dropdowns!A:A,0))</f>
        <v>1</v>
      </c>
      <c r="X2373" s="161" t="b">
        <f t="array" ref="X2373">index('Query Tool'!B:B,match(D2373,'Query Tool'!C:C,0))</f>
        <v>1</v>
      </c>
      <c r="Y2373" s="161" t="str">
        <f t="shared" si="6"/>
        <v>finnedo01,2017-18</v>
      </c>
      <c r="Z2373" s="168">
        <f t="array" ref="Z2373">iferror(index(I:I,match($A2373&amp;","&amp;index('Year Conversion'!$A:$A,match($C2373,'Year Conversion'!$B:$B,0)),$Y:$Y,0))-I2373,"")</f>
        <v>1</v>
      </c>
      <c r="AA2373" s="168">
        <f t="array" ref="AA2373">iferror(index(J:J,match($A2373&amp;","&amp;index('Year Conversion'!$A:$A,match($C2373,'Year Conversion'!$B:$B,0)),$Y:$Y,0))-J2373,"")</f>
        <v>0.8862923367</v>
      </c>
      <c r="AB2373" s="168">
        <f t="array" ref="AB2373">iferror(index(K:K,match($A2373&amp;","&amp;index('Year Conversion'!$A:$A,match($C2373,'Year Conversion'!$B:$B,0)),$Y:$Y,0))-K2373,"")</f>
        <v>1.077459204</v>
      </c>
      <c r="AC2373" s="168" t="str">
        <f t="shared" si="7"/>
        <v>DAL,2017-18</v>
      </c>
    </row>
    <row r="2374">
      <c r="A2374" s="161" t="str">
        <f>IFERROR(__xludf.DUMMYFUNCTION("""COMPUTED_VALUE"""),"vanvlfr01")</f>
        <v>vanvlfr01</v>
      </c>
      <c r="B2374" s="161" t="str">
        <f>IFERROR(__xludf.DUMMYFUNCTION("""COMPUTED_VALUE"""),"Fred VanVleet")</f>
        <v>Fred VanVleet</v>
      </c>
      <c r="C2374" s="162" t="str">
        <f>IFERROR(__xludf.DUMMYFUNCTION("""COMPUTED_VALUE"""),"2017-18")</f>
        <v>2017-18</v>
      </c>
      <c r="D2374" s="163" t="str">
        <f>IFERROR(__xludf.DUMMYFUNCTION("""COMPUTED_VALUE"""),"TOR")</f>
        <v>TOR</v>
      </c>
      <c r="E2374" s="164" t="str">
        <f>IFERROR(__xludf.DUMMYFUNCTION("""COMPUTED_VALUE"""),"Primary Ball Handler")</f>
        <v>Primary Ball Handler</v>
      </c>
      <c r="F2374" s="164">
        <f>IFERROR(__xludf.DUMMYFUNCTION("""COMPUTED_VALUE"""),1520.08833333333)</f>
        <v>1520.088333</v>
      </c>
      <c r="G2374" s="163">
        <f>IFERROR(__xludf.DUMMYFUNCTION("""COMPUTED_VALUE"""),76.0)</f>
        <v>76</v>
      </c>
      <c r="H2374" s="163" t="str">
        <f>IFERROR(__xludf.DUMMYFUNCTION("""COMPUTED_VALUE"""),"PG")</f>
        <v>PG</v>
      </c>
      <c r="I2374" s="163">
        <f>IFERROR(__xludf.DUMMYFUNCTION("""COMPUTED_VALUE"""),23.0)</f>
        <v>23</v>
      </c>
      <c r="J2374" s="165">
        <f>IFERROR(__xludf.DUMMYFUNCTION("""COMPUTED_VALUE"""),2.34494426933233)</f>
        <v>2.344944269</v>
      </c>
      <c r="K2374" s="165">
        <f>IFERROR(__xludf.DUMMYFUNCTION("""COMPUTED_VALUE"""),1.98732279208072)</f>
        <v>1.987322792</v>
      </c>
      <c r="L2374" s="165">
        <f>IFERROR(__xludf.DUMMYFUNCTION("""COMPUTED_VALUE"""),0.357621477251605)</f>
        <v>0.3576214773</v>
      </c>
      <c r="M2374" s="166">
        <f t="shared" si="2"/>
        <v>4.728443334</v>
      </c>
      <c r="N2374" s="167">
        <f t="shared" si="3"/>
        <v>20.00116228</v>
      </c>
      <c r="O2374" s="163">
        <f t="shared" ref="O2374:Q2374" si="2378">rank(I2374,I:I)</f>
        <v>2765</v>
      </c>
      <c r="P2374" s="163">
        <f t="shared" si="2378"/>
        <v>250</v>
      </c>
      <c r="Q2374" s="163">
        <f t="shared" si="2378"/>
        <v>228</v>
      </c>
      <c r="R2374" s="163">
        <f>IFERROR(__xludf.DUMMYFUNCTION("RANK(M2374,filter(M:M,C:C=C2374))"),62.0)</f>
        <v>62</v>
      </c>
      <c r="S2374" s="161" t="b">
        <f t="shared" si="5"/>
        <v>0</v>
      </c>
      <c r="T2374" s="161" t="b">
        <f t="array" ref="T2374">index('Query Tool'!B:B,match(H2374,'Query Tool'!C:C,0))</f>
        <v>1</v>
      </c>
      <c r="U2374" s="161" t="b">
        <f t="array" ref="U2374">index('Query Tool'!B:B,match(C2374,'Query Tool'!C:C,0))</f>
        <v>0</v>
      </c>
      <c r="V2374" s="161" t="b">
        <f>F2374&gt;='Query Tool'!C$32</f>
        <v>1</v>
      </c>
      <c r="W2374" s="161" t="b">
        <f t="array" ref="W2374">index(Dropdowns!B:B,match(I2374,Dropdowns!A:A,0))</f>
        <v>1</v>
      </c>
      <c r="X2374" s="161" t="b">
        <f t="array" ref="X2374">index('Query Tool'!B:B,match(D2374,'Query Tool'!C:C,0))</f>
        <v>1</v>
      </c>
      <c r="Y2374" s="161" t="str">
        <f t="shared" si="6"/>
        <v>vanvlfr01,2017-18</v>
      </c>
      <c r="Z2374" s="168">
        <f t="array" ref="Z2374">iferror(index(I:I,match($A2374&amp;","&amp;index('Year Conversion'!$A:$A,match($C2374,'Year Conversion'!$B:$B,0)),$Y:$Y,0))-I2374,"")</f>
        <v>1</v>
      </c>
      <c r="AA2374" s="168">
        <f t="array" ref="AA2374">iferror(index(J:J,match($A2374&amp;","&amp;index('Year Conversion'!$A:$A,match($C2374,'Year Conversion'!$B:$B,0)),$Y:$Y,0))-J2374,"")</f>
        <v>-1.516639519</v>
      </c>
      <c r="AB2374" s="168">
        <f t="array" ref="AB2374">iferror(index(K:K,match($A2374&amp;","&amp;index('Year Conversion'!$A:$A,match($C2374,'Year Conversion'!$B:$B,0)),$Y:$Y,0))-K2374,"")</f>
        <v>-0.9022758231</v>
      </c>
      <c r="AC2374" s="168" t="str">
        <f t="shared" si="7"/>
        <v>TOR,2017-18</v>
      </c>
    </row>
    <row r="2375">
      <c r="A2375" s="161" t="str">
        <f>IFERROR(__xludf.DUMMYFUNCTION("""COMPUTED_VALUE"""),"papagge01")</f>
        <v>papagge01</v>
      </c>
      <c r="B2375" s="161" t="str">
        <f>IFERROR(__xludf.DUMMYFUNCTION("""COMPUTED_VALUE"""),"Georgios Papagiannis")</f>
        <v>Georgios Papagiannis</v>
      </c>
      <c r="C2375" s="162" t="str">
        <f>IFERROR(__xludf.DUMMYFUNCTION("""COMPUTED_VALUE"""),"2017-18")</f>
        <v>2017-18</v>
      </c>
      <c r="D2375" s="163" t="str">
        <f>IFERROR(__xludf.DUMMYFUNCTION("""COMPUTED_VALUE"""),"TOT")</f>
        <v>TOT</v>
      </c>
      <c r="E2375" s="164" t="str">
        <f>IFERROR(__xludf.DUMMYFUNCTION("""COMPUTED_VALUE"""),"Post Scorer")</f>
        <v>Post Scorer</v>
      </c>
      <c r="F2375" s="164">
        <f>IFERROR(__xludf.DUMMYFUNCTION("""COMPUTED_VALUE"""),121.611666666667)</f>
        <v>121.6116667</v>
      </c>
      <c r="G2375" s="163">
        <f>IFERROR(__xludf.DUMMYFUNCTION("""COMPUTED_VALUE"""),17.0)</f>
        <v>17</v>
      </c>
      <c r="H2375" s="163" t="str">
        <f>IFERROR(__xludf.DUMMYFUNCTION("""COMPUTED_VALUE"""),"C")</f>
        <v>C</v>
      </c>
      <c r="I2375" s="163">
        <f>IFERROR(__xludf.DUMMYFUNCTION("""COMPUTED_VALUE"""),20.0)</f>
        <v>20</v>
      </c>
      <c r="J2375" s="165">
        <f>IFERROR(__xludf.DUMMYFUNCTION("""COMPUTED_VALUE"""),-0.0135858412663536)</f>
        <v>-0.01358584127</v>
      </c>
      <c r="K2375" s="165">
        <f>IFERROR(__xludf.DUMMYFUNCTION("""COMPUTED_VALUE"""),-0.334720487267592)</f>
        <v>-0.3347204873</v>
      </c>
      <c r="L2375" s="165">
        <f>IFERROR(__xludf.DUMMYFUNCTION("""COMPUTED_VALUE"""),0.321134646001238)</f>
        <v>0.321134646</v>
      </c>
      <c r="M2375" s="166">
        <f t="shared" si="2"/>
        <v>0.1863707588</v>
      </c>
      <c r="N2375" s="167">
        <f t="shared" si="3"/>
        <v>7.153627451</v>
      </c>
      <c r="O2375" s="163">
        <f t="shared" ref="O2375:Q2375" si="2379">rank(I2375,I:I)</f>
        <v>3770</v>
      </c>
      <c r="P2375" s="163">
        <f t="shared" si="2379"/>
        <v>1301</v>
      </c>
      <c r="Q2375" s="163">
        <f t="shared" si="2379"/>
        <v>1822</v>
      </c>
      <c r="R2375" s="163">
        <f>IFERROR(__xludf.DUMMYFUNCTION("RANK(M2375,filter(M:M,C:C=C2375))"),351.0)</f>
        <v>351</v>
      </c>
      <c r="S2375" s="161" t="b">
        <f t="shared" si="5"/>
        <v>0</v>
      </c>
      <c r="T2375" s="161" t="b">
        <f t="array" ref="T2375">index('Query Tool'!B:B,match(H2375,'Query Tool'!C:C,0))</f>
        <v>1</v>
      </c>
      <c r="U2375" s="161" t="b">
        <f t="array" ref="U2375">index('Query Tool'!B:B,match(C2375,'Query Tool'!C:C,0))</f>
        <v>0</v>
      </c>
      <c r="V2375" s="161" t="b">
        <f>F2375&gt;='Query Tool'!C$32</f>
        <v>0</v>
      </c>
      <c r="W2375" s="161" t="b">
        <f t="array" ref="W2375">index(Dropdowns!B:B,match(I2375,Dropdowns!A:A,0))</f>
        <v>1</v>
      </c>
      <c r="X2375" s="161" t="b">
        <f t="array" ref="X2375">index('Query Tool'!B:B,match(D2375,'Query Tool'!C:C,0))</f>
        <v>1</v>
      </c>
      <c r="Y2375" s="161" t="str">
        <f t="shared" si="6"/>
        <v>papagge01,2017-18</v>
      </c>
      <c r="Z2375" s="168" t="str">
        <f t="array" ref="Z2375">iferror(index(I:I,match($A2375&amp;","&amp;index('Year Conversion'!$A:$A,match($C2375,'Year Conversion'!$B:$B,0)),$Y:$Y,0))-I2375,"")</f>
        <v/>
      </c>
      <c r="AA2375" s="168" t="str">
        <f t="array" ref="AA2375">iferror(index(J:J,match($A2375&amp;","&amp;index('Year Conversion'!$A:$A,match($C2375,'Year Conversion'!$B:$B,0)),$Y:$Y,0))-J2375,"")</f>
        <v/>
      </c>
      <c r="AB2375" s="168" t="str">
        <f t="array" ref="AB2375">iferror(index(K:K,match($A2375&amp;","&amp;index('Year Conversion'!$A:$A,match($C2375,'Year Conversion'!$B:$B,0)),$Y:$Y,0))-K2375,"")</f>
        <v/>
      </c>
      <c r="AC2375" s="168" t="str">
        <f t="shared" si="7"/>
        <v>TOT,2017-18</v>
      </c>
    </row>
    <row r="2376">
      <c r="A2376" s="161" t="str">
        <f>IFERROR(__xludf.DUMMYFUNCTION("""COMPUTED_VALUE"""),"zipsepa01")</f>
        <v>zipsepa01</v>
      </c>
      <c r="B2376" s="161" t="str">
        <f>IFERROR(__xludf.DUMMYFUNCTION("""COMPUTED_VALUE"""),"Paul Zipser")</f>
        <v>Paul Zipser</v>
      </c>
      <c r="C2376" s="162" t="str">
        <f>IFERROR(__xludf.DUMMYFUNCTION("""COMPUTED_VALUE"""),"2017-18")</f>
        <v>2017-18</v>
      </c>
      <c r="D2376" s="163" t="str">
        <f>IFERROR(__xludf.DUMMYFUNCTION("""COMPUTED_VALUE"""),"CHI")</f>
        <v>CHI</v>
      </c>
      <c r="E2376" s="164" t="str">
        <f>IFERROR(__xludf.DUMMYFUNCTION("""COMPUTED_VALUE"""),"Stationary Shooter")</f>
        <v>Stationary Shooter</v>
      </c>
      <c r="F2376" s="164">
        <f>IFERROR(__xludf.DUMMYFUNCTION("""COMPUTED_VALUE"""),824.0)</f>
        <v>824</v>
      </c>
      <c r="G2376" s="163">
        <f>IFERROR(__xludf.DUMMYFUNCTION("""COMPUTED_VALUE"""),54.0)</f>
        <v>54</v>
      </c>
      <c r="H2376" s="163" t="str">
        <f>IFERROR(__xludf.DUMMYFUNCTION("""COMPUTED_VALUE"""),"SF")</f>
        <v>SF</v>
      </c>
      <c r="I2376" s="163">
        <f>IFERROR(__xludf.DUMMYFUNCTION("""COMPUTED_VALUE"""),23.0)</f>
        <v>23</v>
      </c>
      <c r="J2376" s="165">
        <f>IFERROR(__xludf.DUMMYFUNCTION("""COMPUTED_VALUE"""),-3.5387349881943)</f>
        <v>-3.538734988</v>
      </c>
      <c r="K2376" s="165">
        <f>IFERROR(__xludf.DUMMYFUNCTION("""COMPUTED_VALUE"""),-3.32103501536994)</f>
        <v>-3.321035015</v>
      </c>
      <c r="L2376" s="165">
        <f>IFERROR(__xludf.DUMMYFUNCTION("""COMPUTED_VALUE"""),-0.217699972824367)</f>
        <v>-0.2176999728</v>
      </c>
      <c r="M2376" s="166">
        <f t="shared" si="2"/>
        <v>-0.6620471965</v>
      </c>
      <c r="N2376" s="167">
        <f t="shared" si="3"/>
        <v>15.25925926</v>
      </c>
      <c r="O2376" s="163">
        <f t="shared" ref="O2376:Q2376" si="2380">rank(I2376,I:I)</f>
        <v>2765</v>
      </c>
      <c r="P2376" s="163">
        <f t="shared" si="2380"/>
        <v>3968</v>
      </c>
      <c r="Q2376" s="163">
        <f t="shared" si="2380"/>
        <v>3998</v>
      </c>
      <c r="R2376" s="163">
        <f>IFERROR(__xludf.DUMMYFUNCTION("RANK(M2376,filter(M:M,C:C=C2376))"),529.0)</f>
        <v>529</v>
      </c>
      <c r="S2376" s="161" t="b">
        <f t="shared" si="5"/>
        <v>0</v>
      </c>
      <c r="T2376" s="161" t="b">
        <f t="array" ref="T2376">index('Query Tool'!B:B,match(H2376,'Query Tool'!C:C,0))</f>
        <v>1</v>
      </c>
      <c r="U2376" s="161" t="b">
        <f t="array" ref="U2376">index('Query Tool'!B:B,match(C2376,'Query Tool'!C:C,0))</f>
        <v>0</v>
      </c>
      <c r="V2376" s="161" t="b">
        <f>F2376&gt;='Query Tool'!C$32</f>
        <v>1</v>
      </c>
      <c r="W2376" s="161" t="b">
        <f t="array" ref="W2376">index(Dropdowns!B:B,match(I2376,Dropdowns!A:A,0))</f>
        <v>1</v>
      </c>
      <c r="X2376" s="161" t="b">
        <f t="array" ref="X2376">index('Query Tool'!B:B,match(D2376,'Query Tool'!C:C,0))</f>
        <v>1</v>
      </c>
      <c r="Y2376" s="161" t="str">
        <f t="shared" si="6"/>
        <v>zipsepa01,2017-18</v>
      </c>
      <c r="Z2376" s="168" t="str">
        <f t="array" ref="Z2376">iferror(index(I:I,match($A2376&amp;","&amp;index('Year Conversion'!$A:$A,match($C2376,'Year Conversion'!$B:$B,0)),$Y:$Y,0))-I2376,"")</f>
        <v/>
      </c>
      <c r="AA2376" s="168" t="str">
        <f t="array" ref="AA2376">iferror(index(J:J,match($A2376&amp;","&amp;index('Year Conversion'!$A:$A,match($C2376,'Year Conversion'!$B:$B,0)),$Y:$Y,0))-J2376,"")</f>
        <v/>
      </c>
      <c r="AB2376" s="168" t="str">
        <f t="array" ref="AB2376">iferror(index(K:K,match($A2376&amp;","&amp;index('Year Conversion'!$A:$A,match($C2376,'Year Conversion'!$B:$B,0)),$Y:$Y,0))-K2376,"")</f>
        <v/>
      </c>
      <c r="AC2376" s="168" t="str">
        <f t="shared" si="7"/>
        <v>CHI,2017-18</v>
      </c>
    </row>
    <row r="2377">
      <c r="A2377" s="161" t="str">
        <f>IFERROR(__xludf.DUMMYFUNCTION("""COMPUTED_VALUE"""),"naderab01")</f>
        <v>naderab01</v>
      </c>
      <c r="B2377" s="161" t="str">
        <f>IFERROR(__xludf.DUMMYFUNCTION("""COMPUTED_VALUE"""),"Abdel Nader")</f>
        <v>Abdel Nader</v>
      </c>
      <c r="C2377" s="162" t="str">
        <f>IFERROR(__xludf.DUMMYFUNCTION("""COMPUTED_VALUE"""),"2017-18")</f>
        <v>2017-18</v>
      </c>
      <c r="D2377" s="163" t="str">
        <f>IFERROR(__xludf.DUMMYFUNCTION("""COMPUTED_VALUE"""),"BOS")</f>
        <v>BOS</v>
      </c>
      <c r="E2377" s="164" t="str">
        <f>IFERROR(__xludf.DUMMYFUNCTION("""COMPUTED_VALUE"""),"Stationary Shooter")</f>
        <v>Stationary Shooter</v>
      </c>
      <c r="F2377" s="164">
        <f>IFERROR(__xludf.DUMMYFUNCTION("""COMPUTED_VALUE"""),521.526666666667)</f>
        <v>521.5266667</v>
      </c>
      <c r="G2377" s="163">
        <f>IFERROR(__xludf.DUMMYFUNCTION("""COMPUTED_VALUE"""),48.0)</f>
        <v>48</v>
      </c>
      <c r="H2377" s="163" t="str">
        <f>IFERROR(__xludf.DUMMYFUNCTION("""COMPUTED_VALUE"""),"SF")</f>
        <v>SF</v>
      </c>
      <c r="I2377" s="163">
        <f>IFERROR(__xludf.DUMMYFUNCTION("""COMPUTED_VALUE"""),24.0)</f>
        <v>24</v>
      </c>
      <c r="J2377" s="165">
        <f>IFERROR(__xludf.DUMMYFUNCTION("""COMPUTED_VALUE"""),-2.38413046460209)</f>
        <v>-2.384130465</v>
      </c>
      <c r="K2377" s="165">
        <f>IFERROR(__xludf.DUMMYFUNCTION("""COMPUTED_VALUE"""),-2.49723489805751)</f>
        <v>-2.497234898</v>
      </c>
      <c r="L2377" s="165">
        <f>IFERROR(__xludf.DUMMYFUNCTION("""COMPUTED_VALUE"""),0.113104433455416)</f>
        <v>0.1131044335</v>
      </c>
      <c r="M2377" s="166">
        <f t="shared" si="2"/>
        <v>-0.0277017386</v>
      </c>
      <c r="N2377" s="167">
        <f t="shared" si="3"/>
        <v>10.86513889</v>
      </c>
      <c r="O2377" s="163">
        <f t="shared" ref="O2377:Q2377" si="2381">rank(I2377,I:I)</f>
        <v>2361</v>
      </c>
      <c r="P2377" s="163">
        <f t="shared" si="2381"/>
        <v>3707</v>
      </c>
      <c r="Q2377" s="163">
        <f t="shared" si="2381"/>
        <v>3890</v>
      </c>
      <c r="R2377" s="163">
        <f>IFERROR(__xludf.DUMMYFUNCTION("RANK(M2377,filter(M:M,C:C=C2377))"),505.0)</f>
        <v>505</v>
      </c>
      <c r="S2377" s="161" t="b">
        <f t="shared" si="5"/>
        <v>0</v>
      </c>
      <c r="T2377" s="161" t="b">
        <f t="array" ref="T2377">index('Query Tool'!B:B,match(H2377,'Query Tool'!C:C,0))</f>
        <v>1</v>
      </c>
      <c r="U2377" s="161" t="b">
        <f t="array" ref="U2377">index('Query Tool'!B:B,match(C2377,'Query Tool'!C:C,0))</f>
        <v>0</v>
      </c>
      <c r="V2377" s="161" t="b">
        <f>F2377&gt;='Query Tool'!C$32</f>
        <v>1</v>
      </c>
      <c r="W2377" s="161" t="b">
        <f t="array" ref="W2377">index(Dropdowns!B:B,match(I2377,Dropdowns!A:A,0))</f>
        <v>1</v>
      </c>
      <c r="X2377" s="161" t="b">
        <f t="array" ref="X2377">index('Query Tool'!B:B,match(D2377,'Query Tool'!C:C,0))</f>
        <v>1</v>
      </c>
      <c r="Y2377" s="161" t="str">
        <f t="shared" si="6"/>
        <v>naderab01,2017-18</v>
      </c>
      <c r="Z2377" s="168">
        <f t="array" ref="Z2377">iferror(index(I:I,match($A2377&amp;","&amp;index('Year Conversion'!$A:$A,match($C2377,'Year Conversion'!$B:$B,0)),$Y:$Y,0))-I2377,"")</f>
        <v>1</v>
      </c>
      <c r="AA2377" s="168">
        <f t="array" ref="AA2377">iferror(index(J:J,match($A2377&amp;","&amp;index('Year Conversion'!$A:$A,match($C2377,'Year Conversion'!$B:$B,0)),$Y:$Y,0))-J2377,"")</f>
        <v>-0.9760044281</v>
      </c>
      <c r="AB2377" s="168">
        <f t="array" ref="AB2377">iferror(index(K:K,match($A2377&amp;","&amp;index('Year Conversion'!$A:$A,match($C2377,'Year Conversion'!$B:$B,0)),$Y:$Y,0))-K2377,"")</f>
        <v>-0.1685330315</v>
      </c>
      <c r="AC2377" s="168" t="str">
        <f t="shared" si="7"/>
        <v>BOS,2017-18</v>
      </c>
    </row>
    <row r="2378">
      <c r="A2378" s="161" t="str">
        <f>IFERROR(__xludf.DUMMYFUNCTION("""COMPUTED_VALUE"""),"plumlma02")</f>
        <v>plumlma02</v>
      </c>
      <c r="B2378" s="161" t="str">
        <f>IFERROR(__xludf.DUMMYFUNCTION("""COMPUTED_VALUE"""),"Marshall Plumlee")</f>
        <v>Marshall Plumlee</v>
      </c>
      <c r="C2378" s="162" t="str">
        <f>IFERROR(__xludf.DUMMYFUNCTION("""COMPUTED_VALUE"""),"2017-18")</f>
        <v>2017-18</v>
      </c>
      <c r="D2378" s="163" t="str">
        <f>IFERROR(__xludf.DUMMYFUNCTION("""COMPUTED_VALUE"""),"MIL")</f>
        <v>MIL</v>
      </c>
      <c r="E2378" s="164" t="str">
        <f>IFERROR(__xludf.DUMMYFUNCTION("""COMPUTED_VALUE"""),"Roll + Cut Big")</f>
        <v>Roll + Cut Big</v>
      </c>
      <c r="F2378" s="164">
        <f>IFERROR(__xludf.DUMMYFUNCTION("""COMPUTED_VALUE"""),51.7533333333334)</f>
        <v>51.75333333</v>
      </c>
      <c r="G2378" s="163">
        <f>IFERROR(__xludf.DUMMYFUNCTION("""COMPUTED_VALUE"""),8.0)</f>
        <v>8</v>
      </c>
      <c r="H2378" s="163" t="str">
        <f>IFERROR(__xludf.DUMMYFUNCTION("""COMPUTED_VALUE"""),"C")</f>
        <v>C</v>
      </c>
      <c r="I2378" s="163">
        <f>IFERROR(__xludf.DUMMYFUNCTION("""COMPUTED_VALUE"""),25.0)</f>
        <v>25</v>
      </c>
      <c r="J2378" s="165">
        <f>IFERROR(__xludf.DUMMYFUNCTION("""COMPUTED_VALUE"""),-0.667610344637845)</f>
        <v>-0.6676103446</v>
      </c>
      <c r="K2378" s="165">
        <f>IFERROR(__xludf.DUMMYFUNCTION("""COMPUTED_VALUE"""),-0.519125524221632)</f>
        <v>-0.5191255242</v>
      </c>
      <c r="L2378" s="165">
        <f>IFERROR(__xludf.DUMMYFUNCTION("""COMPUTED_VALUE"""),-0.148484820416213)</f>
        <v>-0.1484848204</v>
      </c>
      <c r="M2378" s="166">
        <f t="shared" si="2"/>
        <v>0.05650682772</v>
      </c>
      <c r="N2378" s="167">
        <f t="shared" si="3"/>
        <v>6.469166667</v>
      </c>
      <c r="O2378" s="163">
        <f t="shared" ref="O2378:Q2378" si="2382">rank(I2378,I:I)</f>
        <v>1995</v>
      </c>
      <c r="P2378" s="163">
        <f t="shared" si="2382"/>
        <v>2090</v>
      </c>
      <c r="Q2378" s="163">
        <f t="shared" si="2382"/>
        <v>2139</v>
      </c>
      <c r="R2378" s="163">
        <f>IFERROR(__xludf.DUMMYFUNCTION("RANK(M2378,filter(M:M,C:C=C2378))"),425.0)</f>
        <v>425</v>
      </c>
      <c r="S2378" s="161" t="b">
        <f t="shared" si="5"/>
        <v>0</v>
      </c>
      <c r="T2378" s="161" t="b">
        <f t="array" ref="T2378">index('Query Tool'!B:B,match(H2378,'Query Tool'!C:C,0))</f>
        <v>1</v>
      </c>
      <c r="U2378" s="161" t="b">
        <f t="array" ref="U2378">index('Query Tool'!B:B,match(C2378,'Query Tool'!C:C,0))</f>
        <v>0</v>
      </c>
      <c r="V2378" s="161" t="b">
        <f>F2378&gt;='Query Tool'!C$32</f>
        <v>0</v>
      </c>
      <c r="W2378" s="161" t="b">
        <f t="array" ref="W2378">index(Dropdowns!B:B,match(I2378,Dropdowns!A:A,0))</f>
        <v>1</v>
      </c>
      <c r="X2378" s="161" t="b">
        <f t="array" ref="X2378">index('Query Tool'!B:B,match(D2378,'Query Tool'!C:C,0))</f>
        <v>1</v>
      </c>
      <c r="Y2378" s="161" t="str">
        <f t="shared" si="6"/>
        <v>plumlma02,2017-18</v>
      </c>
      <c r="Z2378" s="168" t="str">
        <f t="array" ref="Z2378">iferror(index(I:I,match($A2378&amp;","&amp;index('Year Conversion'!$A:$A,match($C2378,'Year Conversion'!$B:$B,0)),$Y:$Y,0))-I2378,"")</f>
        <v/>
      </c>
      <c r="AA2378" s="168" t="str">
        <f t="array" ref="AA2378">iferror(index(J:J,match($A2378&amp;","&amp;index('Year Conversion'!$A:$A,match($C2378,'Year Conversion'!$B:$B,0)),$Y:$Y,0))-J2378,"")</f>
        <v/>
      </c>
      <c r="AB2378" s="168" t="str">
        <f t="array" ref="AB2378">iferror(index(K:K,match($A2378&amp;","&amp;index('Year Conversion'!$A:$A,match($C2378,'Year Conversion'!$B:$B,0)),$Y:$Y,0))-K2378,"")</f>
        <v/>
      </c>
      <c r="AC2378" s="168" t="str">
        <f t="shared" si="7"/>
        <v>MIL,2017-18</v>
      </c>
    </row>
    <row r="2379">
      <c r="A2379" s="161" t="str">
        <f>IFERROR(__xludf.DUMMYFUNCTION("""COMPUTED_VALUE"""),"kuzmimi01")</f>
        <v>kuzmimi01</v>
      </c>
      <c r="B2379" s="161" t="str">
        <f>IFERROR(__xludf.DUMMYFUNCTION("""COMPUTED_VALUE"""),"Mindaugas Kuzminskas")</f>
        <v>Mindaugas Kuzminskas</v>
      </c>
      <c r="C2379" s="162" t="str">
        <f>IFERROR(__xludf.DUMMYFUNCTION("""COMPUTED_VALUE"""),"2017-18")</f>
        <v>2017-18</v>
      </c>
      <c r="D2379" s="163" t="str">
        <f>IFERROR(__xludf.DUMMYFUNCTION("""COMPUTED_VALUE"""),"NYK")</f>
        <v>NYK</v>
      </c>
      <c r="E2379" s="164" t="str">
        <f>IFERROR(__xludf.DUMMYFUNCTION("""COMPUTED_VALUE"""),"Roll + Cut Big")</f>
        <v>Roll + Cut Big</v>
      </c>
      <c r="F2379" s="164">
        <f>IFERROR(__xludf.DUMMYFUNCTION("""COMPUTED_VALUE"""),1.85)</f>
        <v>1.85</v>
      </c>
      <c r="G2379" s="163">
        <f>IFERROR(__xludf.DUMMYFUNCTION("""COMPUTED_VALUE"""),1.0)</f>
        <v>1</v>
      </c>
      <c r="H2379" s="163" t="str">
        <f>IFERROR(__xludf.DUMMYFUNCTION("""COMPUTED_VALUE"""),"SF")</f>
        <v>SF</v>
      </c>
      <c r="I2379" s="163">
        <f>IFERROR(__xludf.DUMMYFUNCTION("""COMPUTED_VALUE"""),28.0)</f>
        <v>28</v>
      </c>
      <c r="J2379" s="165">
        <f>IFERROR(__xludf.DUMMYFUNCTION("""COMPUTED_VALUE"""),-0.174843467515417)</f>
        <v>-0.1748434675</v>
      </c>
      <c r="K2379" s="165">
        <f>IFERROR(__xludf.DUMMYFUNCTION("""COMPUTED_VALUE"""),-0.0937671609662825)</f>
        <v>-0.09376716097</v>
      </c>
      <c r="L2379" s="165">
        <f>IFERROR(__xludf.DUMMYFUNCTION("""COMPUTED_VALUE"""),-0.081076306549135)</f>
        <v>-0.08107630655</v>
      </c>
      <c r="M2379" s="166">
        <f t="shared" si="2"/>
        <v>0.002634018877</v>
      </c>
      <c r="N2379" s="167">
        <f t="shared" si="3"/>
        <v>1.85</v>
      </c>
      <c r="O2379" s="163">
        <f t="shared" ref="O2379:Q2379" si="2383">rank(I2379,I:I)</f>
        <v>1090</v>
      </c>
      <c r="P2379" s="163">
        <f t="shared" si="2383"/>
        <v>1478</v>
      </c>
      <c r="Q2379" s="163">
        <f t="shared" si="2383"/>
        <v>1351</v>
      </c>
      <c r="R2379" s="163">
        <f>IFERROR(__xludf.DUMMYFUNCTION("RANK(M2379,filter(M:M,C:C=C2379))"),492.0)</f>
        <v>492</v>
      </c>
      <c r="S2379" s="161" t="b">
        <f t="shared" si="5"/>
        <v>0</v>
      </c>
      <c r="T2379" s="161" t="b">
        <f t="array" ref="T2379">index('Query Tool'!B:B,match(H2379,'Query Tool'!C:C,0))</f>
        <v>1</v>
      </c>
      <c r="U2379" s="161" t="b">
        <f t="array" ref="U2379">index('Query Tool'!B:B,match(C2379,'Query Tool'!C:C,0))</f>
        <v>0</v>
      </c>
      <c r="V2379" s="161" t="b">
        <f>F2379&gt;='Query Tool'!C$32</f>
        <v>0</v>
      </c>
      <c r="W2379" s="161" t="b">
        <f t="array" ref="W2379">index(Dropdowns!B:B,match(I2379,Dropdowns!A:A,0))</f>
        <v>1</v>
      </c>
      <c r="X2379" s="161" t="b">
        <f t="array" ref="X2379">index('Query Tool'!B:B,match(D2379,'Query Tool'!C:C,0))</f>
        <v>1</v>
      </c>
      <c r="Y2379" s="161" t="str">
        <f t="shared" si="6"/>
        <v>kuzmimi01,2017-18</v>
      </c>
      <c r="Z2379" s="168" t="str">
        <f t="array" ref="Z2379">iferror(index(I:I,match($A2379&amp;","&amp;index('Year Conversion'!$A:$A,match($C2379,'Year Conversion'!$B:$B,0)),$Y:$Y,0))-I2379,"")</f>
        <v/>
      </c>
      <c r="AA2379" s="168" t="str">
        <f t="array" ref="AA2379">iferror(index(J:J,match($A2379&amp;","&amp;index('Year Conversion'!$A:$A,match($C2379,'Year Conversion'!$B:$B,0)),$Y:$Y,0))-J2379,"")</f>
        <v/>
      </c>
      <c r="AB2379" s="168" t="str">
        <f t="array" ref="AB2379">iferror(index(K:K,match($A2379&amp;","&amp;index('Year Conversion'!$A:$A,match($C2379,'Year Conversion'!$B:$B,0)),$Y:$Y,0))-K2379,"")</f>
        <v/>
      </c>
      <c r="AC2379" s="168" t="str">
        <f t="shared" si="7"/>
        <v>NYK,2017-18</v>
      </c>
    </row>
    <row r="2380">
      <c r="A2380" s="161" t="str">
        <f>IFERROR(__xludf.DUMMYFUNCTION("""COMPUTED_VALUE"""),"brussni01")</f>
        <v>brussni01</v>
      </c>
      <c r="B2380" s="161" t="str">
        <f>IFERROR(__xludf.DUMMYFUNCTION("""COMPUTED_VALUE"""),"Nicolas Brussino")</f>
        <v>Nicolas Brussino</v>
      </c>
      <c r="C2380" s="162" t="str">
        <f>IFERROR(__xludf.DUMMYFUNCTION("""COMPUTED_VALUE"""),"2017-18")</f>
        <v>2017-18</v>
      </c>
      <c r="D2380" s="163" t="str">
        <f>IFERROR(__xludf.DUMMYFUNCTION("""COMPUTED_VALUE"""),"ATL")</f>
        <v>ATL</v>
      </c>
      <c r="E2380" s="164" t="str">
        <f>IFERROR(__xludf.DUMMYFUNCTION("""COMPUTED_VALUE"""),"Movement Shooter")</f>
        <v>Movement Shooter</v>
      </c>
      <c r="F2380" s="164">
        <f>IFERROR(__xludf.DUMMYFUNCTION("""COMPUTED_VALUE"""),9.91)</f>
        <v>9.91</v>
      </c>
      <c r="G2380" s="163">
        <f>IFERROR(__xludf.DUMMYFUNCTION("""COMPUTED_VALUE"""),4.0)</f>
        <v>4</v>
      </c>
      <c r="H2380" s="163" t="str">
        <f>IFERROR(__xludf.DUMMYFUNCTION("""COMPUTED_VALUE"""),"SF")</f>
        <v>SF</v>
      </c>
      <c r="I2380" s="163">
        <f>IFERROR(__xludf.DUMMYFUNCTION("""COMPUTED_VALUE"""),24.0)</f>
        <v>24</v>
      </c>
      <c r="J2380" s="165">
        <f>IFERROR(__xludf.DUMMYFUNCTION("""COMPUTED_VALUE"""),-0.0578973127013994)</f>
        <v>-0.0578973127</v>
      </c>
      <c r="K2380" s="165">
        <f>IFERROR(__xludf.DUMMYFUNCTION("""COMPUTED_VALUE"""),-0.148142699235326)</f>
        <v>-0.1481426992</v>
      </c>
      <c r="L2380" s="165">
        <f>IFERROR(__xludf.DUMMYFUNCTION("""COMPUTED_VALUE"""),0.0902453865339265)</f>
        <v>0.09024538653</v>
      </c>
      <c r="M2380" s="166">
        <f t="shared" si="2"/>
        <v>0.01489109372</v>
      </c>
      <c r="N2380" s="167">
        <f t="shared" si="3"/>
        <v>2.4775</v>
      </c>
      <c r="O2380" s="163">
        <f t="shared" ref="O2380:Q2380" si="2384">rank(I2380,I:I)</f>
        <v>2361</v>
      </c>
      <c r="P2380" s="163">
        <f t="shared" si="2384"/>
        <v>1343</v>
      </c>
      <c r="Q2380" s="163">
        <f t="shared" si="2384"/>
        <v>1473</v>
      </c>
      <c r="R2380" s="163">
        <f>IFERROR(__xludf.DUMMYFUNCTION("RANK(M2380,filter(M:M,C:C=C2380))"),467.0)</f>
        <v>467</v>
      </c>
      <c r="S2380" s="161" t="b">
        <f t="shared" si="5"/>
        <v>0</v>
      </c>
      <c r="T2380" s="161" t="b">
        <f t="array" ref="T2380">index('Query Tool'!B:B,match(H2380,'Query Tool'!C:C,0))</f>
        <v>1</v>
      </c>
      <c r="U2380" s="161" t="b">
        <f t="array" ref="U2380">index('Query Tool'!B:B,match(C2380,'Query Tool'!C:C,0))</f>
        <v>0</v>
      </c>
      <c r="V2380" s="161" t="b">
        <f>F2380&gt;='Query Tool'!C$32</f>
        <v>0</v>
      </c>
      <c r="W2380" s="161" t="b">
        <f t="array" ref="W2380">index(Dropdowns!B:B,match(I2380,Dropdowns!A:A,0))</f>
        <v>1</v>
      </c>
      <c r="X2380" s="161" t="b">
        <f t="array" ref="X2380">index('Query Tool'!B:B,match(D2380,'Query Tool'!C:C,0))</f>
        <v>1</v>
      </c>
      <c r="Y2380" s="161" t="str">
        <f t="shared" si="6"/>
        <v>brussni01,2017-18</v>
      </c>
      <c r="Z2380" s="168" t="str">
        <f t="array" ref="Z2380">iferror(index(I:I,match($A2380&amp;","&amp;index('Year Conversion'!$A:$A,match($C2380,'Year Conversion'!$B:$B,0)),$Y:$Y,0))-I2380,"")</f>
        <v/>
      </c>
      <c r="AA2380" s="168" t="str">
        <f t="array" ref="AA2380">iferror(index(J:J,match($A2380&amp;","&amp;index('Year Conversion'!$A:$A,match($C2380,'Year Conversion'!$B:$B,0)),$Y:$Y,0))-J2380,"")</f>
        <v/>
      </c>
      <c r="AB2380" s="168" t="str">
        <f t="array" ref="AB2380">iferror(index(K:K,match($A2380&amp;","&amp;index('Year Conversion'!$A:$A,match($C2380,'Year Conversion'!$B:$B,0)),$Y:$Y,0))-K2380,"")</f>
        <v/>
      </c>
      <c r="AC2380" s="168" t="str">
        <f t="shared" si="7"/>
        <v>ATL,2017-18</v>
      </c>
    </row>
    <row r="2381">
      <c r="A2381" s="161" t="str">
        <f>IFERROR(__xludf.DUMMYFUNCTION("""COMPUTED_VALUE"""),"arcidry01")</f>
        <v>arcidry01</v>
      </c>
      <c r="B2381" s="161" t="str">
        <f>IFERROR(__xludf.DUMMYFUNCTION("""COMPUTED_VALUE"""),"Ryan Arcidiacono")</f>
        <v>Ryan Arcidiacono</v>
      </c>
      <c r="C2381" s="162" t="str">
        <f>IFERROR(__xludf.DUMMYFUNCTION("""COMPUTED_VALUE"""),"2017-18")</f>
        <v>2017-18</v>
      </c>
      <c r="D2381" s="163" t="str">
        <f>IFERROR(__xludf.DUMMYFUNCTION("""COMPUTED_VALUE"""),"CHI")</f>
        <v>CHI</v>
      </c>
      <c r="E2381" s="164" t="str">
        <f>IFERROR(__xludf.DUMMYFUNCTION("""COMPUTED_VALUE"""),"Secondary Ball Handler")</f>
        <v>Secondary Ball Handler</v>
      </c>
      <c r="F2381" s="164">
        <f>IFERROR(__xludf.DUMMYFUNCTION("""COMPUTED_VALUE"""),304.121666666667)</f>
        <v>304.1216667</v>
      </c>
      <c r="G2381" s="163">
        <f>IFERROR(__xludf.DUMMYFUNCTION("""COMPUTED_VALUE"""),24.0)</f>
        <v>24</v>
      </c>
      <c r="H2381" s="163" t="str">
        <f>IFERROR(__xludf.DUMMYFUNCTION("""COMPUTED_VALUE"""),"PG")</f>
        <v>PG</v>
      </c>
      <c r="I2381" s="163">
        <f>IFERROR(__xludf.DUMMYFUNCTION("""COMPUTED_VALUE"""),23.0)</f>
        <v>23</v>
      </c>
      <c r="J2381" s="165">
        <f>IFERROR(__xludf.DUMMYFUNCTION("""COMPUTED_VALUE"""),-1.51110246457393)</f>
        <v>-1.511102465</v>
      </c>
      <c r="K2381" s="165">
        <f>IFERROR(__xludf.DUMMYFUNCTION("""COMPUTED_VALUE"""),-1.93061652686493)</f>
        <v>-1.930616527</v>
      </c>
      <c r="L2381" s="165">
        <f>IFERROR(__xludf.DUMMYFUNCTION("""COMPUTED_VALUE"""),0.419514062291003)</f>
        <v>0.4195140623</v>
      </c>
      <c r="M2381" s="166">
        <f t="shared" si="2"/>
        <v>0.1600033306</v>
      </c>
      <c r="N2381" s="167">
        <f t="shared" si="3"/>
        <v>12.67173611</v>
      </c>
      <c r="O2381" s="163">
        <f t="shared" ref="O2381:Q2381" si="2385">rank(I2381,I:I)</f>
        <v>2765</v>
      </c>
      <c r="P2381" s="163">
        <f t="shared" si="2385"/>
        <v>3068</v>
      </c>
      <c r="Q2381" s="163">
        <f t="shared" si="2385"/>
        <v>3672</v>
      </c>
      <c r="R2381" s="163">
        <f>IFERROR(__xludf.DUMMYFUNCTION("RANK(M2381,filter(M:M,C:C=C2381))"),358.0)</f>
        <v>358</v>
      </c>
      <c r="S2381" s="161" t="b">
        <f t="shared" si="5"/>
        <v>0</v>
      </c>
      <c r="T2381" s="161" t="b">
        <f t="array" ref="T2381">index('Query Tool'!B:B,match(H2381,'Query Tool'!C:C,0))</f>
        <v>1</v>
      </c>
      <c r="U2381" s="161" t="b">
        <f t="array" ref="U2381">index('Query Tool'!B:B,match(C2381,'Query Tool'!C:C,0))</f>
        <v>0</v>
      </c>
      <c r="V2381" s="161" t="b">
        <f>F2381&gt;='Query Tool'!C$32</f>
        <v>0</v>
      </c>
      <c r="W2381" s="161" t="b">
        <f t="array" ref="W2381">index(Dropdowns!B:B,match(I2381,Dropdowns!A:A,0))</f>
        <v>1</v>
      </c>
      <c r="X2381" s="161" t="b">
        <f t="array" ref="X2381">index('Query Tool'!B:B,match(D2381,'Query Tool'!C:C,0))</f>
        <v>1</v>
      </c>
      <c r="Y2381" s="161" t="str">
        <f t="shared" si="6"/>
        <v>arcidry01,2017-18</v>
      </c>
      <c r="Z2381" s="168">
        <f t="array" ref="Z2381">iferror(index(I:I,match($A2381&amp;","&amp;index('Year Conversion'!$A:$A,match($C2381,'Year Conversion'!$B:$B,0)),$Y:$Y,0))-I2381,"")</f>
        <v>1</v>
      </c>
      <c r="AA2381" s="168">
        <f t="array" ref="AA2381">iferror(index(J:J,match($A2381&amp;","&amp;index('Year Conversion'!$A:$A,match($C2381,'Year Conversion'!$B:$B,0)),$Y:$Y,0))-J2381,"")</f>
        <v>0.6213649517</v>
      </c>
      <c r="AB2381" s="168">
        <f t="array" ref="AB2381">iferror(index(K:K,match($A2381&amp;","&amp;index('Year Conversion'!$A:$A,match($C2381,'Year Conversion'!$B:$B,0)),$Y:$Y,0))-K2381,"")</f>
        <v>1.548837065</v>
      </c>
      <c r="AC2381" s="168" t="str">
        <f t="shared" si="7"/>
        <v>CHI,2017-18</v>
      </c>
    </row>
    <row r="2382">
      <c r="A2382" s="161" t="str">
        <f>IFERROR(__xludf.DUMMYFUNCTION("""COMPUTED_VALUE"""),"forbebr01")</f>
        <v>forbebr01</v>
      </c>
      <c r="B2382" s="161" t="str">
        <f>IFERROR(__xludf.DUMMYFUNCTION("""COMPUTED_VALUE"""),"Bryn Forbes")</f>
        <v>Bryn Forbes</v>
      </c>
      <c r="C2382" s="162" t="str">
        <f>IFERROR(__xludf.DUMMYFUNCTION("""COMPUTED_VALUE"""),"2017-18")</f>
        <v>2017-18</v>
      </c>
      <c r="D2382" s="163" t="str">
        <f>IFERROR(__xludf.DUMMYFUNCTION("""COMPUTED_VALUE"""),"SAS")</f>
        <v>SAS</v>
      </c>
      <c r="E2382" s="164" t="str">
        <f>IFERROR(__xludf.DUMMYFUNCTION("""COMPUTED_VALUE"""),"Movement Shooter")</f>
        <v>Movement Shooter</v>
      </c>
      <c r="F2382" s="164">
        <f>IFERROR(__xludf.DUMMYFUNCTION("""COMPUTED_VALUE"""),1516.89166666667)</f>
        <v>1516.891667</v>
      </c>
      <c r="G2382" s="163">
        <f>IFERROR(__xludf.DUMMYFUNCTION("""COMPUTED_VALUE"""),80.0)</f>
        <v>80</v>
      </c>
      <c r="H2382" s="163" t="str">
        <f>IFERROR(__xludf.DUMMYFUNCTION("""COMPUTED_VALUE"""),"SG")</f>
        <v>SG</v>
      </c>
      <c r="I2382" s="163">
        <f>IFERROR(__xludf.DUMMYFUNCTION("""COMPUTED_VALUE"""),24.0)</f>
        <v>24</v>
      </c>
      <c r="J2382" s="165">
        <f>IFERROR(__xludf.DUMMYFUNCTION("""COMPUTED_VALUE"""),-1.53927429573686)</f>
        <v>-1.539274296</v>
      </c>
      <c r="K2382" s="165">
        <f>IFERROR(__xludf.DUMMYFUNCTION("""COMPUTED_VALUE"""),-0.380047300729575)</f>
        <v>-0.3800473007</v>
      </c>
      <c r="L2382" s="165">
        <f>IFERROR(__xludf.DUMMYFUNCTION("""COMPUTED_VALUE"""),-1.15922699500728)</f>
        <v>-1.159226995</v>
      </c>
      <c r="M2382" s="166">
        <f t="shared" si="2"/>
        <v>0.7695282073</v>
      </c>
      <c r="N2382" s="167">
        <f t="shared" si="3"/>
        <v>18.96114583</v>
      </c>
      <c r="O2382" s="163">
        <f t="shared" ref="O2382:Q2382" si="2386">rank(I2382,I:I)</f>
        <v>2361</v>
      </c>
      <c r="P2382" s="163">
        <f t="shared" si="2386"/>
        <v>3086</v>
      </c>
      <c r="Q2382" s="163">
        <f t="shared" si="2386"/>
        <v>1915</v>
      </c>
      <c r="R2382" s="163">
        <f>IFERROR(__xludf.DUMMYFUNCTION("RANK(M2382,filter(M:M,C:C=C2382))"),261.0)</f>
        <v>261</v>
      </c>
      <c r="S2382" s="161" t="b">
        <f t="shared" si="5"/>
        <v>0</v>
      </c>
      <c r="T2382" s="161" t="b">
        <f t="array" ref="T2382">index('Query Tool'!B:B,match(H2382,'Query Tool'!C:C,0))</f>
        <v>1</v>
      </c>
      <c r="U2382" s="161" t="b">
        <f t="array" ref="U2382">index('Query Tool'!B:B,match(C2382,'Query Tool'!C:C,0))</f>
        <v>0</v>
      </c>
      <c r="V2382" s="161" t="b">
        <f>F2382&gt;='Query Tool'!C$32</f>
        <v>1</v>
      </c>
      <c r="W2382" s="161" t="b">
        <f t="array" ref="W2382">index(Dropdowns!B:B,match(I2382,Dropdowns!A:A,0))</f>
        <v>1</v>
      </c>
      <c r="X2382" s="161" t="b">
        <f t="array" ref="X2382">index('Query Tool'!B:B,match(D2382,'Query Tool'!C:C,0))</f>
        <v>1</v>
      </c>
      <c r="Y2382" s="161" t="str">
        <f t="shared" si="6"/>
        <v>forbebr01,2017-18</v>
      </c>
      <c r="Z2382" s="168">
        <f t="array" ref="Z2382">iferror(index(I:I,match($A2382&amp;","&amp;index('Year Conversion'!$A:$A,match($C2382,'Year Conversion'!$B:$B,0)),$Y:$Y,0))-I2382,"")</f>
        <v>1</v>
      </c>
      <c r="AA2382" s="168">
        <f t="array" ref="AA2382">iferror(index(J:J,match($A2382&amp;","&amp;index('Year Conversion'!$A:$A,match($C2382,'Year Conversion'!$B:$B,0)),$Y:$Y,0))-J2382,"")</f>
        <v>0.1499447466</v>
      </c>
      <c r="AB2382" s="168">
        <f t="array" ref="AB2382">iferror(index(K:K,match($A2382&amp;","&amp;index('Year Conversion'!$A:$A,match($C2382,'Year Conversion'!$B:$B,0)),$Y:$Y,0))-K2382,"")</f>
        <v>-0.4411690998</v>
      </c>
      <c r="AC2382" s="168" t="str">
        <f t="shared" si="7"/>
        <v>SAS,2017-18</v>
      </c>
    </row>
    <row r="2383">
      <c r="A2383" s="161" t="str">
        <f>IFERROR(__xludf.DUMMYFUNCTION("""COMPUTED_VALUE"""),"whiteok01")</f>
        <v>whiteok01</v>
      </c>
      <c r="B2383" s="161" t="str">
        <f>IFERROR(__xludf.DUMMYFUNCTION("""COMPUTED_VALUE"""),"Okaro White")</f>
        <v>Okaro White</v>
      </c>
      <c r="C2383" s="162" t="str">
        <f>IFERROR(__xludf.DUMMYFUNCTION("""COMPUTED_VALUE"""),"2017-18")</f>
        <v>2017-18</v>
      </c>
      <c r="D2383" s="163" t="str">
        <f>IFERROR(__xludf.DUMMYFUNCTION("""COMPUTED_VALUE"""),"MIA")</f>
        <v>MIA</v>
      </c>
      <c r="E2383" s="164" t="str">
        <f>IFERROR(__xludf.DUMMYFUNCTION("""COMPUTED_VALUE"""),"Stationary Shooter")</f>
        <v>Stationary Shooter</v>
      </c>
      <c r="F2383" s="164">
        <f>IFERROR(__xludf.DUMMYFUNCTION("""COMPUTED_VALUE"""),79.5633333333334)</f>
        <v>79.56333333</v>
      </c>
      <c r="G2383" s="163">
        <f>IFERROR(__xludf.DUMMYFUNCTION("""COMPUTED_VALUE"""),6.0)</f>
        <v>6</v>
      </c>
      <c r="H2383" s="163" t="str">
        <f>IFERROR(__xludf.DUMMYFUNCTION("""COMPUTED_VALUE"""),"PF")</f>
        <v>PF</v>
      </c>
      <c r="I2383" s="163">
        <f>IFERROR(__xludf.DUMMYFUNCTION("""COMPUTED_VALUE"""),25.0)</f>
        <v>25</v>
      </c>
      <c r="J2383" s="165">
        <f>IFERROR(__xludf.DUMMYFUNCTION("""COMPUTED_VALUE"""),-0.795971928622995)</f>
        <v>-0.7959719286</v>
      </c>
      <c r="K2383" s="165">
        <f>IFERROR(__xludf.DUMMYFUNCTION("""COMPUTED_VALUE"""),-0.617711796807414)</f>
        <v>-0.6177117968</v>
      </c>
      <c r="L2383" s="165">
        <f>IFERROR(__xludf.DUMMYFUNCTION("""COMPUTED_VALUE"""),-0.178260131815581)</f>
        <v>-0.1782601318</v>
      </c>
      <c r="M2383" s="166">
        <f t="shared" si="2"/>
        <v>0.08000111618</v>
      </c>
      <c r="N2383" s="167">
        <f t="shared" si="3"/>
        <v>13.26055556</v>
      </c>
      <c r="O2383" s="163">
        <f t="shared" ref="O2383:Q2383" si="2387">rank(I2383,I:I)</f>
        <v>1995</v>
      </c>
      <c r="P2383" s="163">
        <f t="shared" si="2387"/>
        <v>2269</v>
      </c>
      <c r="Q2383" s="163">
        <f t="shared" si="2387"/>
        <v>2288</v>
      </c>
      <c r="R2383" s="163">
        <f>IFERROR(__xludf.DUMMYFUNCTION("RANK(M2383,filter(M:M,C:C=C2383))"),410.0)</f>
        <v>410</v>
      </c>
      <c r="S2383" s="161" t="b">
        <f t="shared" si="5"/>
        <v>0</v>
      </c>
      <c r="T2383" s="161" t="b">
        <f t="array" ref="T2383">index('Query Tool'!B:B,match(H2383,'Query Tool'!C:C,0))</f>
        <v>1</v>
      </c>
      <c r="U2383" s="161" t="b">
        <f t="array" ref="U2383">index('Query Tool'!B:B,match(C2383,'Query Tool'!C:C,0))</f>
        <v>0</v>
      </c>
      <c r="V2383" s="161" t="b">
        <f>F2383&gt;='Query Tool'!C$32</f>
        <v>0</v>
      </c>
      <c r="W2383" s="161" t="b">
        <f t="array" ref="W2383">index(Dropdowns!B:B,match(I2383,Dropdowns!A:A,0))</f>
        <v>1</v>
      </c>
      <c r="X2383" s="161" t="b">
        <f t="array" ref="X2383">index('Query Tool'!B:B,match(D2383,'Query Tool'!C:C,0))</f>
        <v>1</v>
      </c>
      <c r="Y2383" s="161" t="str">
        <f t="shared" si="6"/>
        <v>whiteok01,2017-18</v>
      </c>
      <c r="Z2383" s="168">
        <f t="array" ref="Z2383">iferror(index(I:I,match($A2383&amp;","&amp;index('Year Conversion'!$A:$A,match($C2383,'Year Conversion'!$B:$B,0)),$Y:$Y,0))-I2383,"")</f>
        <v>1</v>
      </c>
      <c r="AA2383" s="168">
        <f t="array" ref="AA2383">iferror(index(J:J,match($A2383&amp;","&amp;index('Year Conversion'!$A:$A,match($C2383,'Year Conversion'!$B:$B,0)),$Y:$Y,0))-J2383,"")</f>
        <v>0.3310073517</v>
      </c>
      <c r="AB2383" s="168">
        <f t="array" ref="AB2383">iferror(index(K:K,match($A2383&amp;","&amp;index('Year Conversion'!$A:$A,match($C2383,'Year Conversion'!$B:$B,0)),$Y:$Y,0))-K2383,"")</f>
        <v>0.4387572413</v>
      </c>
      <c r="AC2383" s="168" t="str">
        <f t="shared" si="7"/>
        <v>MIA,2017-18</v>
      </c>
    </row>
    <row r="2384">
      <c r="A2384" s="161" t="str">
        <f>IFERROR(__xludf.DUMMYFUNCTION("""COMPUTED_VALUE"""),"costema01")</f>
        <v>costema01</v>
      </c>
      <c r="B2384" s="161" t="str">
        <f>IFERROR(__xludf.DUMMYFUNCTION("""COMPUTED_VALUE"""),"Matt Costello")</f>
        <v>Matt Costello</v>
      </c>
      <c r="C2384" s="162" t="str">
        <f>IFERROR(__xludf.DUMMYFUNCTION("""COMPUTED_VALUE"""),"2017-18")</f>
        <v>2017-18</v>
      </c>
      <c r="D2384" s="163" t="str">
        <f>IFERROR(__xludf.DUMMYFUNCTION("""COMPUTED_VALUE"""),"SAS")</f>
        <v>SAS</v>
      </c>
      <c r="E2384" s="164" t="str">
        <f>IFERROR(__xludf.DUMMYFUNCTION("""COMPUTED_VALUE"""),"Roll + Cut Big")</f>
        <v>Roll + Cut Big</v>
      </c>
      <c r="F2384" s="164">
        <f>IFERROR(__xludf.DUMMYFUNCTION("""COMPUTED_VALUE"""),32.2)</f>
        <v>32.2</v>
      </c>
      <c r="G2384" s="163">
        <f>IFERROR(__xludf.DUMMYFUNCTION("""COMPUTED_VALUE"""),4.0)</f>
        <v>4</v>
      </c>
      <c r="H2384" s="163" t="str">
        <f>IFERROR(__xludf.DUMMYFUNCTION("""COMPUTED_VALUE"""),"C")</f>
        <v>C</v>
      </c>
      <c r="I2384" s="163">
        <f>IFERROR(__xludf.DUMMYFUNCTION("""COMPUTED_VALUE"""),24.0)</f>
        <v>24</v>
      </c>
      <c r="J2384" s="165">
        <f>IFERROR(__xludf.DUMMYFUNCTION("""COMPUTED_VALUE"""),-0.504463032177536)</f>
        <v>-0.5044630322</v>
      </c>
      <c r="K2384" s="165">
        <f>IFERROR(__xludf.DUMMYFUNCTION("""COMPUTED_VALUE"""),-0.333584731668113)</f>
        <v>-0.3335847317</v>
      </c>
      <c r="L2384" s="165">
        <f>IFERROR(__xludf.DUMMYFUNCTION("""COMPUTED_VALUE"""),-0.170878300509423)</f>
        <v>-0.1708783005</v>
      </c>
      <c r="M2384" s="166">
        <f t="shared" si="2"/>
        <v>0.03869419298</v>
      </c>
      <c r="N2384" s="167">
        <f t="shared" si="3"/>
        <v>8.05</v>
      </c>
      <c r="O2384" s="163">
        <f t="shared" ref="O2384:Q2384" si="2388">rank(I2384,I:I)</f>
        <v>2361</v>
      </c>
      <c r="P2384" s="163">
        <f t="shared" si="2388"/>
        <v>1863</v>
      </c>
      <c r="Q2384" s="163">
        <f t="shared" si="2388"/>
        <v>1819</v>
      </c>
      <c r="R2384" s="163">
        <f>IFERROR(__xludf.DUMMYFUNCTION("RANK(M2384,filter(M:M,C:C=C2384))"),441.0)</f>
        <v>441</v>
      </c>
      <c r="S2384" s="161" t="b">
        <f t="shared" si="5"/>
        <v>0</v>
      </c>
      <c r="T2384" s="161" t="b">
        <f t="array" ref="T2384">index('Query Tool'!B:B,match(H2384,'Query Tool'!C:C,0))</f>
        <v>1</v>
      </c>
      <c r="U2384" s="161" t="b">
        <f t="array" ref="U2384">index('Query Tool'!B:B,match(C2384,'Query Tool'!C:C,0))</f>
        <v>0</v>
      </c>
      <c r="V2384" s="161" t="b">
        <f>F2384&gt;='Query Tool'!C$32</f>
        <v>0</v>
      </c>
      <c r="W2384" s="161" t="b">
        <f t="array" ref="W2384">index(Dropdowns!B:B,match(I2384,Dropdowns!A:A,0))</f>
        <v>1</v>
      </c>
      <c r="X2384" s="161" t="b">
        <f t="array" ref="X2384">index('Query Tool'!B:B,match(D2384,'Query Tool'!C:C,0))</f>
        <v>1</v>
      </c>
      <c r="Y2384" s="161" t="str">
        <f t="shared" si="6"/>
        <v>costema01,2017-18</v>
      </c>
      <c r="Z2384" s="168" t="str">
        <f t="array" ref="Z2384">iferror(index(I:I,match($A2384&amp;","&amp;index('Year Conversion'!$A:$A,match($C2384,'Year Conversion'!$B:$B,0)),$Y:$Y,0))-I2384,"")</f>
        <v/>
      </c>
      <c r="AA2384" s="168" t="str">
        <f t="array" ref="AA2384">iferror(index(J:J,match($A2384&amp;","&amp;index('Year Conversion'!$A:$A,match($C2384,'Year Conversion'!$B:$B,0)),$Y:$Y,0))-J2384,"")</f>
        <v/>
      </c>
      <c r="AB2384" s="168" t="str">
        <f t="array" ref="AB2384">iferror(index(K:K,match($A2384&amp;","&amp;index('Year Conversion'!$A:$A,match($C2384,'Year Conversion'!$B:$B,0)),$Y:$Y,0))-K2384,"")</f>
        <v/>
      </c>
      <c r="AC2384" s="168" t="str">
        <f t="shared" si="7"/>
        <v>SAS,2017-18</v>
      </c>
    </row>
    <row r="2385">
      <c r="A2385" s="161" t="str">
        <f>IFERROR(__xludf.DUMMYFUNCTION("""COMPUTED_VALUE"""),"colliky01")</f>
        <v>colliky01</v>
      </c>
      <c r="B2385" s="161" t="str">
        <f>IFERROR(__xludf.DUMMYFUNCTION("""COMPUTED_VALUE"""),"Kyle Collinsworth")</f>
        <v>Kyle Collinsworth</v>
      </c>
      <c r="C2385" s="162" t="str">
        <f>IFERROR(__xludf.DUMMYFUNCTION("""COMPUTED_VALUE"""),"2017-18")</f>
        <v>2017-18</v>
      </c>
      <c r="D2385" s="163" t="str">
        <f>IFERROR(__xludf.DUMMYFUNCTION("""COMPUTED_VALUE"""),"DAL")</f>
        <v>DAL</v>
      </c>
      <c r="E2385" s="164" t="str">
        <f>IFERROR(__xludf.DUMMYFUNCTION("""COMPUTED_VALUE"""),"Secondary Ball Handler")</f>
        <v>Secondary Ball Handler</v>
      </c>
      <c r="F2385" s="164">
        <f>IFERROR(__xludf.DUMMYFUNCTION("""COMPUTED_VALUE"""),479.556666666667)</f>
        <v>479.5566667</v>
      </c>
      <c r="G2385" s="163">
        <f>IFERROR(__xludf.DUMMYFUNCTION("""COMPUTED_VALUE"""),32.0)</f>
        <v>32</v>
      </c>
      <c r="H2385" s="163" t="str">
        <f>IFERROR(__xludf.DUMMYFUNCTION("""COMPUTED_VALUE"""),"SF")</f>
        <v>SF</v>
      </c>
      <c r="I2385" s="163">
        <f>IFERROR(__xludf.DUMMYFUNCTION("""COMPUTED_VALUE"""),26.0)</f>
        <v>26</v>
      </c>
      <c r="J2385" s="165">
        <f>IFERROR(__xludf.DUMMYFUNCTION("""COMPUTED_VALUE"""),-0.719846595636727)</f>
        <v>-0.7198465956</v>
      </c>
      <c r="K2385" s="165">
        <f>IFERROR(__xludf.DUMMYFUNCTION("""COMPUTED_VALUE"""),-0.818886242464494)</f>
        <v>-0.8188862425</v>
      </c>
      <c r="L2385" s="165">
        <f>IFERROR(__xludf.DUMMYFUNCTION("""COMPUTED_VALUE"""),0.0990396468277661)</f>
        <v>0.09903964683</v>
      </c>
      <c r="M2385" s="166">
        <f t="shared" si="2"/>
        <v>0.5067487152</v>
      </c>
      <c r="N2385" s="167">
        <f t="shared" si="3"/>
        <v>14.98614583</v>
      </c>
      <c r="O2385" s="163">
        <f t="shared" ref="O2385:Q2385" si="2389">rank(I2385,I:I)</f>
        <v>1665</v>
      </c>
      <c r="P2385" s="163">
        <f t="shared" si="2389"/>
        <v>2176</v>
      </c>
      <c r="Q2385" s="163">
        <f t="shared" si="2389"/>
        <v>2577</v>
      </c>
      <c r="R2385" s="163">
        <f>IFERROR(__xludf.DUMMYFUNCTION("RANK(M2385,filter(M:M,C:C=C2385))"),291.0)</f>
        <v>291</v>
      </c>
      <c r="S2385" s="161" t="b">
        <f t="shared" si="5"/>
        <v>0</v>
      </c>
      <c r="T2385" s="161" t="b">
        <f t="array" ref="T2385">index('Query Tool'!B:B,match(H2385,'Query Tool'!C:C,0))</f>
        <v>1</v>
      </c>
      <c r="U2385" s="161" t="b">
        <f t="array" ref="U2385">index('Query Tool'!B:B,match(C2385,'Query Tool'!C:C,0))</f>
        <v>0</v>
      </c>
      <c r="V2385" s="161" t="b">
        <f>F2385&gt;='Query Tool'!C$32</f>
        <v>0</v>
      </c>
      <c r="W2385" s="161" t="b">
        <f t="array" ref="W2385">index(Dropdowns!B:B,match(I2385,Dropdowns!A:A,0))</f>
        <v>1</v>
      </c>
      <c r="X2385" s="161" t="b">
        <f t="array" ref="X2385">index('Query Tool'!B:B,match(D2385,'Query Tool'!C:C,0))</f>
        <v>1</v>
      </c>
      <c r="Y2385" s="161" t="str">
        <f t="shared" si="6"/>
        <v>colliky01,2017-18</v>
      </c>
      <c r="Z2385" s="168" t="str">
        <f t="array" ref="Z2385">iferror(index(I:I,match($A2385&amp;","&amp;index('Year Conversion'!$A:$A,match($C2385,'Year Conversion'!$B:$B,0)),$Y:$Y,0))-I2385,"")</f>
        <v/>
      </c>
      <c r="AA2385" s="168" t="str">
        <f t="array" ref="AA2385">iferror(index(J:J,match($A2385&amp;","&amp;index('Year Conversion'!$A:$A,match($C2385,'Year Conversion'!$B:$B,0)),$Y:$Y,0))-J2385,"")</f>
        <v/>
      </c>
      <c r="AB2385" s="168" t="str">
        <f t="array" ref="AB2385">iferror(index(K:K,match($A2385&amp;","&amp;index('Year Conversion'!$A:$A,match($C2385,'Year Conversion'!$B:$B,0)),$Y:$Y,0))-K2385,"")</f>
        <v/>
      </c>
      <c r="AC2385" s="168" t="str">
        <f t="shared" si="7"/>
        <v>DAL,2017-18</v>
      </c>
    </row>
    <row r="2386">
      <c r="A2386" s="161" t="str">
        <f>IFERROR(__xludf.DUMMYFUNCTION("""COMPUTED_VALUE"""),"houseda01")</f>
        <v>houseda01</v>
      </c>
      <c r="B2386" s="161" t="str">
        <f>IFERROR(__xludf.DUMMYFUNCTION("""COMPUTED_VALUE"""),"Danuel House Jr.")</f>
        <v>Danuel House Jr.</v>
      </c>
      <c r="C2386" s="162" t="str">
        <f>IFERROR(__xludf.DUMMYFUNCTION("""COMPUTED_VALUE"""),"2017-18")</f>
        <v>2017-18</v>
      </c>
      <c r="D2386" s="163" t="str">
        <f>IFERROR(__xludf.DUMMYFUNCTION("""COMPUTED_VALUE"""),"PHO")</f>
        <v>PHO</v>
      </c>
      <c r="E2386" s="164" t="str">
        <f>IFERROR(__xludf.DUMMYFUNCTION("""COMPUTED_VALUE"""),"Movement Shooter")</f>
        <v>Movement Shooter</v>
      </c>
      <c r="F2386" s="164">
        <f>IFERROR(__xludf.DUMMYFUNCTION("""COMPUTED_VALUE"""),402.625)</f>
        <v>402.625</v>
      </c>
      <c r="G2386" s="163">
        <f>IFERROR(__xludf.DUMMYFUNCTION("""COMPUTED_VALUE"""),23.0)</f>
        <v>23</v>
      </c>
      <c r="H2386" s="163" t="str">
        <f>IFERROR(__xludf.DUMMYFUNCTION("""COMPUTED_VALUE"""),"SG")</f>
        <v>SG</v>
      </c>
      <c r="I2386" s="163">
        <f>IFERROR(__xludf.DUMMYFUNCTION("""COMPUTED_VALUE"""),24.0)</f>
        <v>24</v>
      </c>
      <c r="J2386" s="165">
        <f>IFERROR(__xludf.DUMMYFUNCTION("""COMPUTED_VALUE"""),0.178615049645684)</f>
        <v>0.1786150496</v>
      </c>
      <c r="K2386" s="165">
        <f>IFERROR(__xludf.DUMMYFUNCTION("""COMPUTED_VALUE"""),-0.0250449201496471)</f>
        <v>-0.02504492015</v>
      </c>
      <c r="L2386" s="165">
        <f>IFERROR(__xludf.DUMMYFUNCTION("""COMPUTED_VALUE"""),0.203659969795331)</f>
        <v>0.2036599698</v>
      </c>
      <c r="M2386" s="166">
        <f t="shared" si="2"/>
        <v>0.6691956756</v>
      </c>
      <c r="N2386" s="167">
        <f t="shared" si="3"/>
        <v>17.50543478</v>
      </c>
      <c r="O2386" s="163">
        <f t="shared" ref="O2386:Q2386" si="2390">rank(I2386,I:I)</f>
        <v>2361</v>
      </c>
      <c r="P2386" s="163">
        <f t="shared" si="2390"/>
        <v>1107</v>
      </c>
      <c r="Q2386" s="163">
        <f t="shared" si="2390"/>
        <v>1231</v>
      </c>
      <c r="R2386" s="163">
        <f>IFERROR(__xludf.DUMMYFUNCTION("RANK(M2386,filter(M:M,C:C=C2386))"),273.0)</f>
        <v>273</v>
      </c>
      <c r="S2386" s="161" t="b">
        <f t="shared" si="5"/>
        <v>0</v>
      </c>
      <c r="T2386" s="161" t="b">
        <f t="array" ref="T2386">index('Query Tool'!B:B,match(H2386,'Query Tool'!C:C,0))</f>
        <v>1</v>
      </c>
      <c r="U2386" s="161" t="b">
        <f t="array" ref="U2386">index('Query Tool'!B:B,match(C2386,'Query Tool'!C:C,0))</f>
        <v>0</v>
      </c>
      <c r="V2386" s="161" t="b">
        <f>F2386&gt;='Query Tool'!C$32</f>
        <v>0</v>
      </c>
      <c r="W2386" s="161" t="b">
        <f t="array" ref="W2386">index(Dropdowns!B:B,match(I2386,Dropdowns!A:A,0))</f>
        <v>1</v>
      </c>
      <c r="X2386" s="161" t="b">
        <f t="array" ref="X2386">index('Query Tool'!B:B,match(D2386,'Query Tool'!C:C,0))</f>
        <v>1</v>
      </c>
      <c r="Y2386" s="161" t="str">
        <f t="shared" si="6"/>
        <v>houseda01,2017-18</v>
      </c>
      <c r="Z2386" s="168">
        <f t="array" ref="Z2386">iferror(index(I:I,match($A2386&amp;","&amp;index('Year Conversion'!$A:$A,match($C2386,'Year Conversion'!$B:$B,0)),$Y:$Y,0))-I2386,"")</f>
        <v>1</v>
      </c>
      <c r="AA2386" s="168">
        <f t="array" ref="AA2386">iferror(index(J:J,match($A2386&amp;","&amp;index('Year Conversion'!$A:$A,match($C2386,'Year Conversion'!$B:$B,0)),$Y:$Y,0))-J2386,"")</f>
        <v>-1.370820961</v>
      </c>
      <c r="AB2386" s="168">
        <f t="array" ref="AB2386">iferror(index(K:K,match($A2386&amp;","&amp;index('Year Conversion'!$A:$A,match($C2386,'Year Conversion'!$B:$B,0)),$Y:$Y,0))-K2386,"")</f>
        <v>-0.4288106631</v>
      </c>
      <c r="AC2386" s="168" t="str">
        <f t="shared" si="7"/>
        <v>PHO,2017-18</v>
      </c>
    </row>
    <row r="2387">
      <c r="A2387" s="161" t="str">
        <f>IFERROR(__xludf.DUMMYFUNCTION("""COMPUTED_VALUE"""),"warneja01")</f>
        <v>warneja01</v>
      </c>
      <c r="B2387" s="161" t="str">
        <f>IFERROR(__xludf.DUMMYFUNCTION("""COMPUTED_VALUE"""),"Jameel Warney")</f>
        <v>Jameel Warney</v>
      </c>
      <c r="C2387" s="162" t="str">
        <f>IFERROR(__xludf.DUMMYFUNCTION("""COMPUTED_VALUE"""),"2017-18")</f>
        <v>2017-18</v>
      </c>
      <c r="D2387" s="163" t="str">
        <f>IFERROR(__xludf.DUMMYFUNCTION("""COMPUTED_VALUE"""),"DAL")</f>
        <v>DAL</v>
      </c>
      <c r="E2387" s="164" t="str">
        <f>IFERROR(__xludf.DUMMYFUNCTION("""COMPUTED_VALUE"""),"Post Scorer")</f>
        <v>Post Scorer</v>
      </c>
      <c r="F2387" s="164">
        <f>IFERROR(__xludf.DUMMYFUNCTION("""COMPUTED_VALUE"""),26.85)</f>
        <v>26.85</v>
      </c>
      <c r="G2387" s="163">
        <f>IFERROR(__xludf.DUMMYFUNCTION("""COMPUTED_VALUE"""),3.0)</f>
        <v>3</v>
      </c>
      <c r="H2387" s="163" t="str">
        <f>IFERROR(__xludf.DUMMYFUNCTION("""COMPUTED_VALUE"""),"PF")</f>
        <v>PF</v>
      </c>
      <c r="I2387" s="163">
        <f>IFERROR(__xludf.DUMMYFUNCTION("""COMPUTED_VALUE"""),24.0)</f>
        <v>24</v>
      </c>
      <c r="J2387" s="165">
        <f>IFERROR(__xludf.DUMMYFUNCTION("""COMPUTED_VALUE"""),-0.141998031313822)</f>
        <v>-0.1419980313</v>
      </c>
      <c r="K2387" s="165">
        <f>IFERROR(__xludf.DUMMYFUNCTION("""COMPUTED_VALUE"""),-0.118873121954649)</f>
        <v>-0.118873122</v>
      </c>
      <c r="L2387" s="165">
        <f>IFERROR(__xludf.DUMMYFUNCTION("""COMPUTED_VALUE"""),-0.0231249093591727)</f>
        <v>-0.02312490936</v>
      </c>
      <c r="M2387" s="166">
        <f t="shared" si="2"/>
        <v>0.03882337413</v>
      </c>
      <c r="N2387" s="167">
        <f t="shared" si="3"/>
        <v>8.95</v>
      </c>
      <c r="O2387" s="163">
        <f t="shared" ref="O2387:Q2387" si="2391">rank(I2387,I:I)</f>
        <v>2361</v>
      </c>
      <c r="P2387" s="163">
        <f t="shared" si="2391"/>
        <v>1428</v>
      </c>
      <c r="Q2387" s="163">
        <f t="shared" si="2391"/>
        <v>1403</v>
      </c>
      <c r="R2387" s="163">
        <f>IFERROR(__xludf.DUMMYFUNCTION("RANK(M2387,filter(M:M,C:C=C2387))"),440.0)</f>
        <v>440</v>
      </c>
      <c r="S2387" s="161" t="b">
        <f t="shared" si="5"/>
        <v>0</v>
      </c>
      <c r="T2387" s="161" t="b">
        <f t="array" ref="T2387">index('Query Tool'!B:B,match(H2387,'Query Tool'!C:C,0))</f>
        <v>1</v>
      </c>
      <c r="U2387" s="161" t="b">
        <f t="array" ref="U2387">index('Query Tool'!B:B,match(C2387,'Query Tool'!C:C,0))</f>
        <v>0</v>
      </c>
      <c r="V2387" s="161" t="b">
        <f>F2387&gt;='Query Tool'!C$32</f>
        <v>0</v>
      </c>
      <c r="W2387" s="161" t="b">
        <f t="array" ref="W2387">index(Dropdowns!B:B,match(I2387,Dropdowns!A:A,0))</f>
        <v>1</v>
      </c>
      <c r="X2387" s="161" t="b">
        <f t="array" ref="X2387">index('Query Tool'!B:B,match(D2387,'Query Tool'!C:C,0))</f>
        <v>1</v>
      </c>
      <c r="Y2387" s="161" t="str">
        <f t="shared" si="6"/>
        <v>warneja01,2017-18</v>
      </c>
      <c r="Z2387" s="168" t="str">
        <f t="array" ref="Z2387">iferror(index(I:I,match($A2387&amp;","&amp;index('Year Conversion'!$A:$A,match($C2387,'Year Conversion'!$B:$B,0)),$Y:$Y,0))-I2387,"")</f>
        <v/>
      </c>
      <c r="AA2387" s="168" t="str">
        <f t="array" ref="AA2387">iferror(index(J:J,match($A2387&amp;","&amp;index('Year Conversion'!$A:$A,match($C2387,'Year Conversion'!$B:$B,0)),$Y:$Y,0))-J2387,"")</f>
        <v/>
      </c>
      <c r="AB2387" s="168" t="str">
        <f t="array" ref="AB2387">iferror(index(K:K,match($A2387&amp;","&amp;index('Year Conversion'!$A:$A,match($C2387,'Year Conversion'!$B:$B,0)),$Y:$Y,0))-K2387,"")</f>
        <v/>
      </c>
      <c r="AC2387" s="168" t="str">
        <f t="shared" si="7"/>
        <v>DAL,2017-18</v>
      </c>
    </row>
    <row r="2388">
      <c r="A2388" s="161" t="str">
        <f>IFERROR(__xludf.DUMMYFUNCTION("""COMPUTED_VALUE"""),"georgma01")</f>
        <v>georgma01</v>
      </c>
      <c r="B2388" s="161" t="str">
        <f>IFERROR(__xludf.DUMMYFUNCTION("""COMPUTED_VALUE"""),"Marcus Georges-Hunt")</f>
        <v>Marcus Georges-Hunt</v>
      </c>
      <c r="C2388" s="162" t="str">
        <f>IFERROR(__xludf.DUMMYFUNCTION("""COMPUTED_VALUE"""),"2017-18")</f>
        <v>2017-18</v>
      </c>
      <c r="D2388" s="163" t="str">
        <f>IFERROR(__xludf.DUMMYFUNCTION("""COMPUTED_VALUE"""),"MIN")</f>
        <v>MIN</v>
      </c>
      <c r="E2388" s="164" t="str">
        <f>IFERROR(__xludf.DUMMYFUNCTION("""COMPUTED_VALUE"""),"Secondary Ball Handler")</f>
        <v>Secondary Ball Handler</v>
      </c>
      <c r="F2388" s="164">
        <f>IFERROR(__xludf.DUMMYFUNCTION("""COMPUTED_VALUE"""),224.361666666667)</f>
        <v>224.3616667</v>
      </c>
      <c r="G2388" s="163">
        <f>IFERROR(__xludf.DUMMYFUNCTION("""COMPUTED_VALUE"""),42.0)</f>
        <v>42</v>
      </c>
      <c r="H2388" s="163" t="str">
        <f>IFERROR(__xludf.DUMMYFUNCTION("""COMPUTED_VALUE"""),"SG")</f>
        <v>SG</v>
      </c>
      <c r="I2388" s="163">
        <f>IFERROR(__xludf.DUMMYFUNCTION("""COMPUTED_VALUE"""),23.0)</f>
        <v>23</v>
      </c>
      <c r="J2388" s="165">
        <f>IFERROR(__xludf.DUMMYFUNCTION("""COMPUTED_VALUE"""),-2.29224644927142)</f>
        <v>-2.292246449</v>
      </c>
      <c r="K2388" s="165">
        <f>IFERROR(__xludf.DUMMYFUNCTION("""COMPUTED_VALUE"""),-1.49892414079113)</f>
        <v>-1.498924141</v>
      </c>
      <c r="L2388" s="165">
        <f>IFERROR(__xludf.DUMMYFUNCTION("""COMPUTED_VALUE"""),-0.793322308480295)</f>
        <v>-0.7933223085</v>
      </c>
      <c r="M2388" s="166">
        <f t="shared" si="2"/>
        <v>0.001669284825</v>
      </c>
      <c r="N2388" s="167">
        <f t="shared" si="3"/>
        <v>5.341944444</v>
      </c>
      <c r="O2388" s="163">
        <f t="shared" ref="O2388:Q2388" si="2392">rank(I2388,I:I)</f>
        <v>2765</v>
      </c>
      <c r="P2388" s="163">
        <f t="shared" si="2392"/>
        <v>3652</v>
      </c>
      <c r="Q2388" s="163">
        <f t="shared" si="2392"/>
        <v>3350</v>
      </c>
      <c r="R2388" s="163">
        <f>IFERROR(__xludf.DUMMYFUNCTION("RANK(M2388,filter(M:M,C:C=C2388))"),495.0)</f>
        <v>495</v>
      </c>
      <c r="S2388" s="161" t="b">
        <f t="shared" si="5"/>
        <v>0</v>
      </c>
      <c r="T2388" s="161" t="b">
        <f t="array" ref="T2388">index('Query Tool'!B:B,match(H2388,'Query Tool'!C:C,0))</f>
        <v>1</v>
      </c>
      <c r="U2388" s="161" t="b">
        <f t="array" ref="U2388">index('Query Tool'!B:B,match(C2388,'Query Tool'!C:C,0))</f>
        <v>0</v>
      </c>
      <c r="V2388" s="161" t="b">
        <f>F2388&gt;='Query Tool'!C$32</f>
        <v>0</v>
      </c>
      <c r="W2388" s="161" t="b">
        <f t="array" ref="W2388">index(Dropdowns!B:B,match(I2388,Dropdowns!A:A,0))</f>
        <v>1</v>
      </c>
      <c r="X2388" s="161" t="b">
        <f t="array" ref="X2388">index('Query Tool'!B:B,match(D2388,'Query Tool'!C:C,0))</f>
        <v>1</v>
      </c>
      <c r="Y2388" s="161" t="str">
        <f t="shared" si="6"/>
        <v>georgma01,2017-18</v>
      </c>
      <c r="Z2388" s="168" t="str">
        <f t="array" ref="Z2388">iferror(index(I:I,match($A2388&amp;","&amp;index('Year Conversion'!$A:$A,match($C2388,'Year Conversion'!$B:$B,0)),$Y:$Y,0))-I2388,"")</f>
        <v/>
      </c>
      <c r="AA2388" s="168" t="str">
        <f t="array" ref="AA2388">iferror(index(J:J,match($A2388&amp;","&amp;index('Year Conversion'!$A:$A,match($C2388,'Year Conversion'!$B:$B,0)),$Y:$Y,0))-J2388,"")</f>
        <v/>
      </c>
      <c r="AB2388" s="168" t="str">
        <f t="array" ref="AB2388">iferror(index(K:K,match($A2388&amp;","&amp;index('Year Conversion'!$A:$A,match($C2388,'Year Conversion'!$B:$B,0)),$Y:$Y,0))-K2388,"")</f>
        <v/>
      </c>
      <c r="AC2388" s="168" t="str">
        <f t="shared" si="7"/>
        <v>MIN,2017-18</v>
      </c>
    </row>
    <row r="2389">
      <c r="A2389" s="161" t="str">
        <f>IFERROR(__xludf.DUMMYFUNCTION("""COMPUTED_VALUE"""),"jonesja04")</f>
        <v>jonesja04</v>
      </c>
      <c r="B2389" s="161" t="str">
        <f>IFERROR(__xludf.DUMMYFUNCTION("""COMPUTED_VALUE"""),"Jalen Jones")</f>
        <v>Jalen Jones</v>
      </c>
      <c r="C2389" s="162" t="str">
        <f>IFERROR(__xludf.DUMMYFUNCTION("""COMPUTED_VALUE"""),"2017-18")</f>
        <v>2017-18</v>
      </c>
      <c r="D2389" s="163" t="str">
        <f>IFERROR(__xludf.DUMMYFUNCTION("""COMPUTED_VALUE"""),"TOT")</f>
        <v>TOT</v>
      </c>
      <c r="E2389" s="164" t="str">
        <f>IFERROR(__xludf.DUMMYFUNCTION("""COMPUTED_VALUE"""),"Athletic Finisher")</f>
        <v>Athletic Finisher</v>
      </c>
      <c r="F2389" s="164">
        <f>IFERROR(__xludf.DUMMYFUNCTION("""COMPUTED_VALUE"""),181.371666666667)</f>
        <v>181.3716667</v>
      </c>
      <c r="G2389" s="163">
        <f>IFERROR(__xludf.DUMMYFUNCTION("""COMPUTED_VALUE"""),16.0)</f>
        <v>16</v>
      </c>
      <c r="H2389" s="163" t="str">
        <f>IFERROR(__xludf.DUMMYFUNCTION("""COMPUTED_VALUE"""),"SF")</f>
        <v>SF</v>
      </c>
      <c r="I2389" s="163">
        <f>IFERROR(__xludf.DUMMYFUNCTION("""COMPUTED_VALUE"""),24.0)</f>
        <v>24</v>
      </c>
      <c r="J2389" s="165">
        <f>IFERROR(__xludf.DUMMYFUNCTION("""COMPUTED_VALUE"""),-1.15044690896957)</f>
        <v>-1.150446909</v>
      </c>
      <c r="K2389" s="165">
        <f>IFERROR(__xludf.DUMMYFUNCTION("""COMPUTED_VALUE"""),-0.269093037222694)</f>
        <v>-0.2690930372</v>
      </c>
      <c r="L2389" s="165">
        <f>IFERROR(__xludf.DUMMYFUNCTION("""COMPUTED_VALUE"""),-0.881353871746874)</f>
        <v>-0.8813538717</v>
      </c>
      <c r="M2389" s="166">
        <f t="shared" si="2"/>
        <v>0.1391973154</v>
      </c>
      <c r="N2389" s="167">
        <f t="shared" si="3"/>
        <v>11.33572917</v>
      </c>
      <c r="O2389" s="163">
        <f t="shared" ref="O2389:Q2389" si="2393">rank(I2389,I:I)</f>
        <v>2361</v>
      </c>
      <c r="P2389" s="163">
        <f t="shared" si="2393"/>
        <v>2682</v>
      </c>
      <c r="Q2389" s="163">
        <f t="shared" si="2393"/>
        <v>1699</v>
      </c>
      <c r="R2389" s="163">
        <f>IFERROR(__xludf.DUMMYFUNCTION("RANK(M2389,filter(M:M,C:C=C2389))"),371.0)</f>
        <v>371</v>
      </c>
      <c r="S2389" s="161" t="b">
        <f t="shared" si="5"/>
        <v>0</v>
      </c>
      <c r="T2389" s="161" t="b">
        <f t="array" ref="T2389">index('Query Tool'!B:B,match(H2389,'Query Tool'!C:C,0))</f>
        <v>1</v>
      </c>
      <c r="U2389" s="161" t="b">
        <f t="array" ref="U2389">index('Query Tool'!B:B,match(C2389,'Query Tool'!C:C,0))</f>
        <v>0</v>
      </c>
      <c r="V2389" s="161" t="b">
        <f>F2389&gt;='Query Tool'!C$32</f>
        <v>0</v>
      </c>
      <c r="W2389" s="161" t="b">
        <f t="array" ref="W2389">index(Dropdowns!B:B,match(I2389,Dropdowns!A:A,0))</f>
        <v>1</v>
      </c>
      <c r="X2389" s="161" t="b">
        <f t="array" ref="X2389">index('Query Tool'!B:B,match(D2389,'Query Tool'!C:C,0))</f>
        <v>1</v>
      </c>
      <c r="Y2389" s="161" t="str">
        <f t="shared" si="6"/>
        <v>jonesja04,2017-18</v>
      </c>
      <c r="Z2389" s="168">
        <f t="array" ref="Z2389">iferror(index(I:I,match($A2389&amp;","&amp;index('Year Conversion'!$A:$A,match($C2389,'Year Conversion'!$B:$B,0)),$Y:$Y,0))-I2389,"")</f>
        <v>1</v>
      </c>
      <c r="AA2389" s="168">
        <f t="array" ref="AA2389">iferror(index(J:J,match($A2389&amp;","&amp;index('Year Conversion'!$A:$A,match($C2389,'Year Conversion'!$B:$B,0)),$Y:$Y,0))-J2389,"")</f>
        <v>0.5695792669</v>
      </c>
      <c r="AB2389" s="168">
        <f t="array" ref="AB2389">iferror(index(K:K,match($A2389&amp;","&amp;index('Year Conversion'!$A:$A,match($C2389,'Year Conversion'!$B:$B,0)),$Y:$Y,0))-K2389,"")</f>
        <v>-0.6379728134</v>
      </c>
      <c r="AC2389" s="168" t="str">
        <f t="shared" si="7"/>
        <v>TOT,2017-18</v>
      </c>
    </row>
    <row r="2390">
      <c r="A2390" s="161" t="str">
        <f>IFERROR(__xludf.DUMMYFUNCTION("""COMPUTED_VALUE"""),"jonesde02")</f>
        <v>jonesde02</v>
      </c>
      <c r="B2390" s="161" t="str">
        <f>IFERROR(__xludf.DUMMYFUNCTION("""COMPUTED_VALUE"""),"Derrick Jones Jr.")</f>
        <v>Derrick Jones Jr.</v>
      </c>
      <c r="C2390" s="162" t="str">
        <f>IFERROR(__xludf.DUMMYFUNCTION("""COMPUTED_VALUE"""),"2017-18")</f>
        <v>2017-18</v>
      </c>
      <c r="D2390" s="163" t="str">
        <f>IFERROR(__xludf.DUMMYFUNCTION("""COMPUTED_VALUE"""),"TOT")</f>
        <v>TOT</v>
      </c>
      <c r="E2390" s="164" t="str">
        <f>IFERROR(__xludf.DUMMYFUNCTION("""COMPUTED_VALUE"""),"Athletic Finisher")</f>
        <v>Athletic Finisher</v>
      </c>
      <c r="F2390" s="164">
        <f>IFERROR(__xludf.DUMMYFUNCTION("""COMPUTED_VALUE"""),245.171666666667)</f>
        <v>245.1716667</v>
      </c>
      <c r="G2390" s="163">
        <f>IFERROR(__xludf.DUMMYFUNCTION("""COMPUTED_VALUE"""),20.0)</f>
        <v>20</v>
      </c>
      <c r="H2390" s="163" t="str">
        <f>IFERROR(__xludf.DUMMYFUNCTION("""COMPUTED_VALUE"""),"SF")</f>
        <v>SF</v>
      </c>
      <c r="I2390" s="163">
        <f>IFERROR(__xludf.DUMMYFUNCTION("""COMPUTED_VALUE"""),20.0)</f>
        <v>20</v>
      </c>
      <c r="J2390" s="165">
        <f>IFERROR(__xludf.DUMMYFUNCTION("""COMPUTED_VALUE"""),-1.01940143544394)</f>
        <v>-1.019401435</v>
      </c>
      <c r="K2390" s="165">
        <f>IFERROR(__xludf.DUMMYFUNCTION("""COMPUTED_VALUE"""),-0.984466319351746)</f>
        <v>-0.9844663194</v>
      </c>
      <c r="L2390" s="165">
        <f>IFERROR(__xludf.DUMMYFUNCTION("""COMPUTED_VALUE"""),-0.0349351160921974)</f>
        <v>-0.03493511609</v>
      </c>
      <c r="M2390" s="166">
        <f t="shared" si="2"/>
        <v>0.2097166654</v>
      </c>
      <c r="N2390" s="167">
        <f t="shared" si="3"/>
        <v>12.25858333</v>
      </c>
      <c r="O2390" s="163">
        <f t="shared" ref="O2390:Q2390" si="2394">rank(I2390,I:I)</f>
        <v>3770</v>
      </c>
      <c r="P2390" s="163">
        <f t="shared" si="2394"/>
        <v>2523</v>
      </c>
      <c r="Q2390" s="163">
        <f t="shared" si="2394"/>
        <v>2780</v>
      </c>
      <c r="R2390" s="163">
        <f>IFERROR(__xludf.DUMMYFUNCTION("RANK(M2390,filter(M:M,C:C=C2390))"),341.0)</f>
        <v>341</v>
      </c>
      <c r="S2390" s="161" t="b">
        <f t="shared" si="5"/>
        <v>0</v>
      </c>
      <c r="T2390" s="161" t="b">
        <f t="array" ref="T2390">index('Query Tool'!B:B,match(H2390,'Query Tool'!C:C,0))</f>
        <v>1</v>
      </c>
      <c r="U2390" s="161" t="b">
        <f t="array" ref="U2390">index('Query Tool'!B:B,match(C2390,'Query Tool'!C:C,0))</f>
        <v>0</v>
      </c>
      <c r="V2390" s="161" t="b">
        <f>F2390&gt;='Query Tool'!C$32</f>
        <v>0</v>
      </c>
      <c r="W2390" s="161" t="b">
        <f t="array" ref="W2390">index(Dropdowns!B:B,match(I2390,Dropdowns!A:A,0))</f>
        <v>1</v>
      </c>
      <c r="X2390" s="161" t="b">
        <f t="array" ref="X2390">index('Query Tool'!B:B,match(D2390,'Query Tool'!C:C,0))</f>
        <v>1</v>
      </c>
      <c r="Y2390" s="161" t="str">
        <f t="shared" si="6"/>
        <v>jonesde02,2017-18</v>
      </c>
      <c r="Z2390" s="168">
        <f t="array" ref="Z2390">iferror(index(I:I,match($A2390&amp;","&amp;index('Year Conversion'!$A:$A,match($C2390,'Year Conversion'!$B:$B,0)),$Y:$Y,0))-I2390,"")</f>
        <v>1</v>
      </c>
      <c r="AA2390" s="168">
        <f t="array" ref="AA2390">iferror(index(J:J,match($A2390&amp;","&amp;index('Year Conversion'!$A:$A,match($C2390,'Year Conversion'!$B:$B,0)),$Y:$Y,0))-J2390,"")</f>
        <v>0.6071142478</v>
      </c>
      <c r="AB2390" s="168">
        <f t="array" ref="AB2390">iferror(index(K:K,match($A2390&amp;","&amp;index('Year Conversion'!$A:$A,match($C2390,'Year Conversion'!$B:$B,0)),$Y:$Y,0))-K2390,"")</f>
        <v>-0.2403787044</v>
      </c>
      <c r="AC2390" s="168" t="str">
        <f t="shared" si="7"/>
        <v>TOT,2017-18</v>
      </c>
    </row>
    <row r="2391">
      <c r="A2391" s="161" t="str">
        <f>IFERROR(__xludf.DUMMYFUNCTION("""COMPUTED_VALUE"""),"harrish01")</f>
        <v>harrish01</v>
      </c>
      <c r="B2391" s="161" t="str">
        <f>IFERROR(__xludf.DUMMYFUNCTION("""COMPUTED_VALUE"""),"Shaquille Harrison")</f>
        <v>Shaquille Harrison</v>
      </c>
      <c r="C2391" s="162" t="str">
        <f>IFERROR(__xludf.DUMMYFUNCTION("""COMPUTED_VALUE"""),"2017-18")</f>
        <v>2017-18</v>
      </c>
      <c r="D2391" s="163" t="str">
        <f>IFERROR(__xludf.DUMMYFUNCTION("""COMPUTED_VALUE"""),"PHO")</f>
        <v>PHO</v>
      </c>
      <c r="E2391" s="164" t="str">
        <f>IFERROR(__xludf.DUMMYFUNCTION("""COMPUTED_VALUE"""),"Slasher")</f>
        <v>Slasher</v>
      </c>
      <c r="F2391" s="164">
        <f>IFERROR(__xludf.DUMMYFUNCTION("""COMPUTED_VALUE"""),384.476666666667)</f>
        <v>384.4766667</v>
      </c>
      <c r="G2391" s="163">
        <f>IFERROR(__xludf.DUMMYFUNCTION("""COMPUTED_VALUE"""),23.0)</f>
        <v>23</v>
      </c>
      <c r="H2391" s="163" t="str">
        <f>IFERROR(__xludf.DUMMYFUNCTION("""COMPUTED_VALUE"""),"PG")</f>
        <v>PG</v>
      </c>
      <c r="I2391" s="163">
        <f>IFERROR(__xludf.DUMMYFUNCTION("""COMPUTED_VALUE"""),24.0)</f>
        <v>24</v>
      </c>
      <c r="J2391" s="165">
        <f>IFERROR(__xludf.DUMMYFUNCTION("""COMPUTED_VALUE"""),1.28311962333871)</f>
        <v>1.283119623</v>
      </c>
      <c r="K2391" s="165">
        <f>IFERROR(__xludf.DUMMYFUNCTION("""COMPUTED_VALUE"""),-0.108744855717198)</f>
        <v>-0.1087448557</v>
      </c>
      <c r="L2391" s="165">
        <f>IFERROR(__xludf.DUMMYFUNCTION("""COMPUTED_VALUE"""),1.39186447905591)</f>
        <v>1.391864479</v>
      </c>
      <c r="M2391" s="166">
        <f t="shared" si="2"/>
        <v>0.9245740032</v>
      </c>
      <c r="N2391" s="167">
        <f t="shared" si="3"/>
        <v>16.71637681</v>
      </c>
      <c r="O2391" s="163">
        <f t="shared" ref="O2391:Q2391" si="2395">rank(I2391,I:I)</f>
        <v>2361</v>
      </c>
      <c r="P2391" s="163">
        <f t="shared" si="2395"/>
        <v>535</v>
      </c>
      <c r="Q2391" s="163">
        <f t="shared" si="2395"/>
        <v>1386</v>
      </c>
      <c r="R2391" s="163">
        <f>IFERROR(__xludf.DUMMYFUNCTION("RANK(M2391,filter(M:M,C:C=C2391))"),243.0)</f>
        <v>243</v>
      </c>
      <c r="S2391" s="161" t="b">
        <f t="shared" si="5"/>
        <v>0</v>
      </c>
      <c r="T2391" s="161" t="b">
        <f t="array" ref="T2391">index('Query Tool'!B:B,match(H2391,'Query Tool'!C:C,0))</f>
        <v>1</v>
      </c>
      <c r="U2391" s="161" t="b">
        <f t="array" ref="U2391">index('Query Tool'!B:B,match(C2391,'Query Tool'!C:C,0))</f>
        <v>0</v>
      </c>
      <c r="V2391" s="161" t="b">
        <f>F2391&gt;='Query Tool'!C$32</f>
        <v>0</v>
      </c>
      <c r="W2391" s="161" t="b">
        <f t="array" ref="W2391">index(Dropdowns!B:B,match(I2391,Dropdowns!A:A,0))</f>
        <v>1</v>
      </c>
      <c r="X2391" s="161" t="b">
        <f t="array" ref="X2391">index('Query Tool'!B:B,match(D2391,'Query Tool'!C:C,0))</f>
        <v>1</v>
      </c>
      <c r="Y2391" s="161" t="str">
        <f t="shared" si="6"/>
        <v>harrish01,2017-18</v>
      </c>
      <c r="Z2391" s="168">
        <f t="array" ref="Z2391">iferror(index(I:I,match($A2391&amp;","&amp;index('Year Conversion'!$A:$A,match($C2391,'Year Conversion'!$B:$B,0)),$Y:$Y,0))-I2391,"")</f>
        <v>1</v>
      </c>
      <c r="AA2391" s="168">
        <f t="array" ref="AA2391">iferror(index(J:J,match($A2391&amp;","&amp;index('Year Conversion'!$A:$A,match($C2391,'Year Conversion'!$B:$B,0)),$Y:$Y,0))-J2391,"")</f>
        <v>-3.692922172</v>
      </c>
      <c r="AB2391" s="168">
        <f t="array" ref="AB2391">iferror(index(K:K,match($A2391&amp;","&amp;index('Year Conversion'!$A:$A,match($C2391,'Year Conversion'!$B:$B,0)),$Y:$Y,0))-K2391,"")</f>
        <v>-1.909992756</v>
      </c>
      <c r="AC2391" s="168" t="str">
        <f t="shared" si="7"/>
        <v>PHO,2017-18</v>
      </c>
    </row>
    <row r="2392">
      <c r="A2392" s="161" t="str">
        <f>IFERROR(__xludf.DUMMYFUNCTION("""COMPUTED_VALUE"""),"carusal01")</f>
        <v>carusal01</v>
      </c>
      <c r="B2392" s="161" t="str">
        <f>IFERROR(__xludf.DUMMYFUNCTION("""COMPUTED_VALUE"""),"Alex Caruso")</f>
        <v>Alex Caruso</v>
      </c>
      <c r="C2392" s="162" t="str">
        <f>IFERROR(__xludf.DUMMYFUNCTION("""COMPUTED_VALUE"""),"2017-18")</f>
        <v>2017-18</v>
      </c>
      <c r="D2392" s="163" t="str">
        <f>IFERROR(__xludf.DUMMYFUNCTION("""COMPUTED_VALUE"""),"LAL")</f>
        <v>LAL</v>
      </c>
      <c r="E2392" s="164" t="str">
        <f>IFERROR(__xludf.DUMMYFUNCTION("""COMPUTED_VALUE"""),"Secondary Ball Handler")</f>
        <v>Secondary Ball Handler</v>
      </c>
      <c r="F2392" s="164">
        <f>IFERROR(__xludf.DUMMYFUNCTION("""COMPUTED_VALUE"""),561.91)</f>
        <v>561.91</v>
      </c>
      <c r="G2392" s="163">
        <f>IFERROR(__xludf.DUMMYFUNCTION("""COMPUTED_VALUE"""),37.0)</f>
        <v>37</v>
      </c>
      <c r="H2392" s="163" t="str">
        <f>IFERROR(__xludf.DUMMYFUNCTION("""COMPUTED_VALUE"""),"PG")</f>
        <v>PG</v>
      </c>
      <c r="I2392" s="163">
        <f>IFERROR(__xludf.DUMMYFUNCTION("""COMPUTED_VALUE"""),23.0)</f>
        <v>23</v>
      </c>
      <c r="J2392" s="165">
        <f>IFERROR(__xludf.DUMMYFUNCTION("""COMPUTED_VALUE"""),-1.41866520778207)</f>
        <v>-1.418665208</v>
      </c>
      <c r="K2392" s="165">
        <f>IFERROR(__xludf.DUMMYFUNCTION("""COMPUTED_VALUE"""),-1.62709649809223)</f>
        <v>-1.627096498</v>
      </c>
      <c r="L2392" s="165">
        <f>IFERROR(__xludf.DUMMYFUNCTION("""COMPUTED_VALUE"""),0.208431290310157)</f>
        <v>0.2084312903</v>
      </c>
      <c r="M2392" s="166">
        <f t="shared" si="2"/>
        <v>0.3303369022</v>
      </c>
      <c r="N2392" s="167">
        <f t="shared" si="3"/>
        <v>15.18675676</v>
      </c>
      <c r="O2392" s="163">
        <f t="shared" ref="O2392:Q2392" si="2396">rank(I2392,I:I)</f>
        <v>2765</v>
      </c>
      <c r="P2392" s="163">
        <f t="shared" si="2396"/>
        <v>2970</v>
      </c>
      <c r="Q2392" s="163">
        <f t="shared" si="2396"/>
        <v>3465</v>
      </c>
      <c r="R2392" s="163">
        <f>IFERROR(__xludf.DUMMYFUNCTION("RANK(M2392,filter(M:M,C:C=C2392))"),316.0)</f>
        <v>316</v>
      </c>
      <c r="S2392" s="161" t="b">
        <f t="shared" si="5"/>
        <v>0</v>
      </c>
      <c r="T2392" s="161" t="b">
        <f t="array" ref="T2392">index('Query Tool'!B:B,match(H2392,'Query Tool'!C:C,0))</f>
        <v>1</v>
      </c>
      <c r="U2392" s="161" t="b">
        <f t="array" ref="U2392">index('Query Tool'!B:B,match(C2392,'Query Tool'!C:C,0))</f>
        <v>0</v>
      </c>
      <c r="V2392" s="161" t="b">
        <f>F2392&gt;='Query Tool'!C$32</f>
        <v>1</v>
      </c>
      <c r="W2392" s="161" t="b">
        <f t="array" ref="W2392">index(Dropdowns!B:B,match(I2392,Dropdowns!A:A,0))</f>
        <v>1</v>
      </c>
      <c r="X2392" s="161" t="b">
        <f t="array" ref="X2392">index('Query Tool'!B:B,match(D2392,'Query Tool'!C:C,0))</f>
        <v>1</v>
      </c>
      <c r="Y2392" s="161" t="str">
        <f t="shared" si="6"/>
        <v>carusal01,2017-18</v>
      </c>
      <c r="Z2392" s="168">
        <f t="array" ref="Z2392">iferror(index(I:I,match($A2392&amp;","&amp;index('Year Conversion'!$A:$A,match($C2392,'Year Conversion'!$B:$B,0)),$Y:$Y,0))-I2392,"")</f>
        <v>1</v>
      </c>
      <c r="AA2392" s="168">
        <f t="array" ref="AA2392">iferror(index(J:J,match($A2392&amp;","&amp;index('Year Conversion'!$A:$A,match($C2392,'Year Conversion'!$B:$B,0)),$Y:$Y,0))-J2392,"")</f>
        <v>1.011365322</v>
      </c>
      <c r="AB2392" s="168">
        <f t="array" ref="AB2392">iferror(index(K:K,match($A2392&amp;","&amp;index('Year Conversion'!$A:$A,match($C2392,'Year Conversion'!$B:$B,0)),$Y:$Y,0))-K2392,"")</f>
        <v>1.291432839</v>
      </c>
      <c r="AC2392" s="168" t="str">
        <f t="shared" si="7"/>
        <v>LAL,2017-18</v>
      </c>
    </row>
    <row r="2393">
      <c r="A2393" s="161" t="str">
        <f>IFERROR(__xludf.DUMMYFUNCTION("""COMPUTED_VALUE"""),"grayjo01")</f>
        <v>grayjo01</v>
      </c>
      <c r="B2393" s="161" t="str">
        <f>IFERROR(__xludf.DUMMYFUNCTION("""COMPUTED_VALUE"""),"Josh Gray")</f>
        <v>Josh Gray</v>
      </c>
      <c r="C2393" s="162" t="str">
        <f>IFERROR(__xludf.DUMMYFUNCTION("""COMPUTED_VALUE"""),"2017-18")</f>
        <v>2017-18</v>
      </c>
      <c r="D2393" s="163" t="str">
        <f>IFERROR(__xludf.DUMMYFUNCTION("""COMPUTED_VALUE"""),"PHO")</f>
        <v>PHO</v>
      </c>
      <c r="E2393" s="164" t="str">
        <f>IFERROR(__xludf.DUMMYFUNCTION("""COMPUTED_VALUE"""),"Secondary Ball Handler")</f>
        <v>Secondary Ball Handler</v>
      </c>
      <c r="F2393" s="164">
        <f>IFERROR(__xludf.DUMMYFUNCTION("""COMPUTED_VALUE"""),86.4333333333333)</f>
        <v>86.43333333</v>
      </c>
      <c r="G2393" s="163">
        <f>IFERROR(__xludf.DUMMYFUNCTION("""COMPUTED_VALUE"""),5.0)</f>
        <v>5</v>
      </c>
      <c r="H2393" s="163" t="str">
        <f>IFERROR(__xludf.DUMMYFUNCTION("""COMPUTED_VALUE"""),"PG")</f>
        <v>PG</v>
      </c>
      <c r="I2393" s="163">
        <f>IFERROR(__xludf.DUMMYFUNCTION("""COMPUTED_VALUE"""),24.0)</f>
        <v>24</v>
      </c>
      <c r="J2393" s="165">
        <f>IFERROR(__xludf.DUMMYFUNCTION("""COMPUTED_VALUE"""),-0.0552836266449889)</f>
        <v>-0.05528362664</v>
      </c>
      <c r="K2393" s="165">
        <f>IFERROR(__xludf.DUMMYFUNCTION("""COMPUTED_VALUE"""),-0.215844390996736)</f>
        <v>-0.215844391</v>
      </c>
      <c r="L2393" s="165">
        <f>IFERROR(__xludf.DUMMYFUNCTION("""COMPUTED_VALUE"""),0.160560764351747)</f>
        <v>0.1605607644</v>
      </c>
      <c r="M2393" s="166">
        <f t="shared" si="2"/>
        <v>0.1300298889</v>
      </c>
      <c r="N2393" s="167">
        <f t="shared" si="3"/>
        <v>17.28666667</v>
      </c>
      <c r="O2393" s="163">
        <f t="shared" ref="O2393:Q2393" si="2397">rank(I2393,I:I)</f>
        <v>2361</v>
      </c>
      <c r="P2393" s="163">
        <f t="shared" si="2397"/>
        <v>1336</v>
      </c>
      <c r="Q2393" s="163">
        <f t="shared" si="2397"/>
        <v>1589</v>
      </c>
      <c r="R2393" s="163">
        <f>IFERROR(__xludf.DUMMYFUNCTION("RANK(M2393,filter(M:M,C:C=C2393))"),376.0)</f>
        <v>376</v>
      </c>
      <c r="S2393" s="161" t="b">
        <f t="shared" si="5"/>
        <v>0</v>
      </c>
      <c r="T2393" s="161" t="b">
        <f t="array" ref="T2393">index('Query Tool'!B:B,match(H2393,'Query Tool'!C:C,0))</f>
        <v>1</v>
      </c>
      <c r="U2393" s="161" t="b">
        <f t="array" ref="U2393">index('Query Tool'!B:B,match(C2393,'Query Tool'!C:C,0))</f>
        <v>0</v>
      </c>
      <c r="V2393" s="161" t="b">
        <f>F2393&gt;='Query Tool'!C$32</f>
        <v>0</v>
      </c>
      <c r="W2393" s="161" t="b">
        <f t="array" ref="W2393">index(Dropdowns!B:B,match(I2393,Dropdowns!A:A,0))</f>
        <v>1</v>
      </c>
      <c r="X2393" s="161" t="b">
        <f t="array" ref="X2393">index('Query Tool'!B:B,match(D2393,'Query Tool'!C:C,0))</f>
        <v>1</v>
      </c>
      <c r="Y2393" s="161" t="str">
        <f t="shared" si="6"/>
        <v>grayjo01,2017-18</v>
      </c>
      <c r="Z2393" s="168" t="str">
        <f t="array" ref="Z2393">iferror(index(I:I,match($A2393&amp;","&amp;index('Year Conversion'!$A:$A,match($C2393,'Year Conversion'!$B:$B,0)),$Y:$Y,0))-I2393,"")</f>
        <v/>
      </c>
      <c r="AA2393" s="168" t="str">
        <f t="array" ref="AA2393">iferror(index(J:J,match($A2393&amp;","&amp;index('Year Conversion'!$A:$A,match($C2393,'Year Conversion'!$B:$B,0)),$Y:$Y,0))-J2393,"")</f>
        <v/>
      </c>
      <c r="AB2393" s="168" t="str">
        <f t="array" ref="AB2393">iferror(index(K:K,match($A2393&amp;","&amp;index('Year Conversion'!$A:$A,match($C2393,'Year Conversion'!$B:$B,0)),$Y:$Y,0))-K2393,"")</f>
        <v/>
      </c>
      <c r="AC2393" s="168" t="str">
        <f t="shared" si="7"/>
        <v>PHO,2017-18</v>
      </c>
    </row>
    <row r="2394">
      <c r="A2394" s="161" t="str">
        <f>IFERROR(__xludf.DUMMYFUNCTION("""COMPUTED_VALUE"""),"henrymy01")</f>
        <v>henrymy01</v>
      </c>
      <c r="B2394" s="161" t="str">
        <f>IFERROR(__xludf.DUMMYFUNCTION("""COMPUTED_VALUE"""),"Myke Henry")</f>
        <v>Myke Henry</v>
      </c>
      <c r="C2394" s="162" t="str">
        <f>IFERROR(__xludf.DUMMYFUNCTION("""COMPUTED_VALUE"""),"2017-18")</f>
        <v>2017-18</v>
      </c>
      <c r="D2394" s="163" t="str">
        <f>IFERROR(__xludf.DUMMYFUNCTION("""COMPUTED_VALUE"""),"MEM")</f>
        <v>MEM</v>
      </c>
      <c r="E2394" s="164" t="str">
        <f>IFERROR(__xludf.DUMMYFUNCTION("""COMPUTED_VALUE"""),"Movement Shooter")</f>
        <v>Movement Shooter</v>
      </c>
      <c r="F2394" s="164">
        <f>IFERROR(__xludf.DUMMYFUNCTION("""COMPUTED_VALUE"""),378.076666666667)</f>
        <v>378.0766667</v>
      </c>
      <c r="G2394" s="163">
        <f>IFERROR(__xludf.DUMMYFUNCTION("""COMPUTED_VALUE"""),20.0)</f>
        <v>20</v>
      </c>
      <c r="H2394" s="163" t="str">
        <f>IFERROR(__xludf.DUMMYFUNCTION("""COMPUTED_VALUE"""),"SF")</f>
        <v>SF</v>
      </c>
      <c r="I2394" s="163">
        <f>IFERROR(__xludf.DUMMYFUNCTION("""COMPUTED_VALUE"""),25.0)</f>
        <v>25</v>
      </c>
      <c r="J2394" s="165">
        <f>IFERROR(__xludf.DUMMYFUNCTION("""COMPUTED_VALUE"""),-1.33088038493015)</f>
        <v>-1.330880385</v>
      </c>
      <c r="K2394" s="165">
        <f>IFERROR(__xludf.DUMMYFUNCTION("""COMPUTED_VALUE"""),-0.790987992942904)</f>
        <v>-0.7909879929</v>
      </c>
      <c r="L2394" s="165">
        <f>IFERROR(__xludf.DUMMYFUNCTION("""COMPUTED_VALUE"""),-0.539892391987247)</f>
        <v>-0.539892392</v>
      </c>
      <c r="M2394" s="166">
        <f t="shared" si="2"/>
        <v>0.2444651174</v>
      </c>
      <c r="N2394" s="167">
        <f t="shared" si="3"/>
        <v>18.90383333</v>
      </c>
      <c r="O2394" s="163">
        <f t="shared" ref="O2394:Q2394" si="2398">rank(I2394,I:I)</f>
        <v>1995</v>
      </c>
      <c r="P2394" s="163">
        <f t="shared" si="2398"/>
        <v>2895</v>
      </c>
      <c r="Q2394" s="163">
        <f t="shared" si="2398"/>
        <v>2547</v>
      </c>
      <c r="R2394" s="163">
        <f>IFERROR(__xludf.DUMMYFUNCTION("RANK(M2394,filter(M:M,C:C=C2394))"),330.0)</f>
        <v>330</v>
      </c>
      <c r="S2394" s="161" t="b">
        <f t="shared" si="5"/>
        <v>0</v>
      </c>
      <c r="T2394" s="161" t="b">
        <f t="array" ref="T2394">index('Query Tool'!B:B,match(H2394,'Query Tool'!C:C,0))</f>
        <v>1</v>
      </c>
      <c r="U2394" s="161" t="b">
        <f t="array" ref="U2394">index('Query Tool'!B:B,match(C2394,'Query Tool'!C:C,0))</f>
        <v>0</v>
      </c>
      <c r="V2394" s="161" t="b">
        <f>F2394&gt;='Query Tool'!C$32</f>
        <v>0</v>
      </c>
      <c r="W2394" s="161" t="b">
        <f t="array" ref="W2394">index(Dropdowns!B:B,match(I2394,Dropdowns!A:A,0))</f>
        <v>1</v>
      </c>
      <c r="X2394" s="161" t="b">
        <f t="array" ref="X2394">index('Query Tool'!B:B,match(D2394,'Query Tool'!C:C,0))</f>
        <v>1</v>
      </c>
      <c r="Y2394" s="161" t="str">
        <f t="shared" si="6"/>
        <v>henrymy01,2017-18</v>
      </c>
      <c r="Z2394" s="168" t="str">
        <f t="array" ref="Z2394">iferror(index(I:I,match($A2394&amp;","&amp;index('Year Conversion'!$A:$A,match($C2394,'Year Conversion'!$B:$B,0)),$Y:$Y,0))-I2394,"")</f>
        <v/>
      </c>
      <c r="AA2394" s="168" t="str">
        <f t="array" ref="AA2394">iferror(index(J:J,match($A2394&amp;","&amp;index('Year Conversion'!$A:$A,match($C2394,'Year Conversion'!$B:$B,0)),$Y:$Y,0))-J2394,"")</f>
        <v/>
      </c>
      <c r="AB2394" s="168" t="str">
        <f t="array" ref="AB2394">iferror(index(K:K,match($A2394&amp;","&amp;index('Year Conversion'!$A:$A,match($C2394,'Year Conversion'!$B:$B,0)),$Y:$Y,0))-K2394,"")</f>
        <v/>
      </c>
      <c r="AC2394" s="168" t="str">
        <f t="shared" si="7"/>
        <v>MEM,2017-18</v>
      </c>
    </row>
    <row r="2395">
      <c r="A2395" s="161" t="str">
        <f>IFERROR(__xludf.DUMMYFUNCTION("""COMPUTED_VALUE"""),"nwabada01")</f>
        <v>nwabada01</v>
      </c>
      <c r="B2395" s="161" t="str">
        <f>IFERROR(__xludf.DUMMYFUNCTION("""COMPUTED_VALUE"""),"David Nwaba")</f>
        <v>David Nwaba</v>
      </c>
      <c r="C2395" s="162" t="str">
        <f>IFERROR(__xludf.DUMMYFUNCTION("""COMPUTED_VALUE"""),"2017-18")</f>
        <v>2017-18</v>
      </c>
      <c r="D2395" s="163" t="str">
        <f>IFERROR(__xludf.DUMMYFUNCTION("""COMPUTED_VALUE"""),"CHI")</f>
        <v>CHI</v>
      </c>
      <c r="E2395" s="164" t="str">
        <f>IFERROR(__xludf.DUMMYFUNCTION("""COMPUTED_VALUE"""),"Athletic Finisher")</f>
        <v>Athletic Finisher</v>
      </c>
      <c r="F2395" s="164">
        <f>IFERROR(__xludf.DUMMYFUNCTION("""COMPUTED_VALUE"""),1645.95333333333)</f>
        <v>1645.953333</v>
      </c>
      <c r="G2395" s="163">
        <f>IFERROR(__xludf.DUMMYFUNCTION("""COMPUTED_VALUE"""),70.0)</f>
        <v>70</v>
      </c>
      <c r="H2395" s="163" t="str">
        <f>IFERROR(__xludf.DUMMYFUNCTION("""COMPUTED_VALUE"""),"SG")</f>
        <v>SG</v>
      </c>
      <c r="I2395" s="163">
        <f>IFERROR(__xludf.DUMMYFUNCTION("""COMPUTED_VALUE"""),25.0)</f>
        <v>25</v>
      </c>
      <c r="J2395" s="165">
        <f>IFERROR(__xludf.DUMMYFUNCTION("""COMPUTED_VALUE"""),-2.52642944306439)</f>
        <v>-2.526429443</v>
      </c>
      <c r="K2395" s="165">
        <f>IFERROR(__xludf.DUMMYFUNCTION("""COMPUTED_VALUE"""),-1.31855047337915)</f>
        <v>-1.318550473</v>
      </c>
      <c r="L2395" s="165">
        <f>IFERROR(__xludf.DUMMYFUNCTION("""COMPUTED_VALUE"""),-1.20787896968524)</f>
        <v>-1.20787897</v>
      </c>
      <c r="M2395" s="166">
        <f t="shared" si="2"/>
        <v>-0.2414316896</v>
      </c>
      <c r="N2395" s="167">
        <f t="shared" si="3"/>
        <v>23.51361905</v>
      </c>
      <c r="O2395" s="163">
        <f t="shared" ref="O2395:Q2395" si="2399">rank(I2395,I:I)</f>
        <v>1995</v>
      </c>
      <c r="P2395" s="163">
        <f t="shared" si="2399"/>
        <v>3764</v>
      </c>
      <c r="Q2395" s="163">
        <f t="shared" si="2399"/>
        <v>3171</v>
      </c>
      <c r="R2395" s="163">
        <f>IFERROR(__xludf.DUMMYFUNCTION("RANK(M2395,filter(M:M,C:C=C2395))"),515.0)</f>
        <v>515</v>
      </c>
      <c r="S2395" s="161" t="b">
        <f t="shared" si="5"/>
        <v>0</v>
      </c>
      <c r="T2395" s="161" t="b">
        <f t="array" ref="T2395">index('Query Tool'!B:B,match(H2395,'Query Tool'!C:C,0))</f>
        <v>1</v>
      </c>
      <c r="U2395" s="161" t="b">
        <f t="array" ref="U2395">index('Query Tool'!B:B,match(C2395,'Query Tool'!C:C,0))</f>
        <v>0</v>
      </c>
      <c r="V2395" s="161" t="b">
        <f>F2395&gt;='Query Tool'!C$32</f>
        <v>1</v>
      </c>
      <c r="W2395" s="161" t="b">
        <f t="array" ref="W2395">index(Dropdowns!B:B,match(I2395,Dropdowns!A:A,0))</f>
        <v>1</v>
      </c>
      <c r="X2395" s="161" t="b">
        <f t="array" ref="X2395">index('Query Tool'!B:B,match(D2395,'Query Tool'!C:C,0))</f>
        <v>1</v>
      </c>
      <c r="Y2395" s="161" t="str">
        <f t="shared" si="6"/>
        <v>nwabada01,2017-18</v>
      </c>
      <c r="Z2395" s="168">
        <f t="array" ref="Z2395">iferror(index(I:I,match($A2395&amp;","&amp;index('Year Conversion'!$A:$A,match($C2395,'Year Conversion'!$B:$B,0)),$Y:$Y,0))-I2395,"")</f>
        <v>1</v>
      </c>
      <c r="AA2395" s="168">
        <f t="array" ref="AA2395">iferror(index(J:J,match($A2395&amp;","&amp;index('Year Conversion'!$A:$A,match($C2395,'Year Conversion'!$B:$B,0)),$Y:$Y,0))-J2395,"")</f>
        <v>2.752856474</v>
      </c>
      <c r="AB2395" s="168">
        <f t="array" ref="AB2395">iferror(index(K:K,match($A2395&amp;","&amp;index('Year Conversion'!$A:$A,match($C2395,'Year Conversion'!$B:$B,0)),$Y:$Y,0))-K2395,"")</f>
        <v>0.8762793177</v>
      </c>
      <c r="AC2395" s="168" t="str">
        <f t="shared" si="7"/>
        <v>CHI,2017-18</v>
      </c>
    </row>
    <row r="2396">
      <c r="A2396" s="161" t="str">
        <f>IFERROR(__xludf.DUMMYFUNCTION("""COMPUTED_VALUE"""),"mckinal01")</f>
        <v>mckinal01</v>
      </c>
      <c r="B2396" s="161" t="str">
        <f>IFERROR(__xludf.DUMMYFUNCTION("""COMPUTED_VALUE"""),"Alfonzo McKinnie")</f>
        <v>Alfonzo McKinnie</v>
      </c>
      <c r="C2396" s="162" t="str">
        <f>IFERROR(__xludf.DUMMYFUNCTION("""COMPUTED_VALUE"""),"2017-18")</f>
        <v>2017-18</v>
      </c>
      <c r="D2396" s="163" t="str">
        <f>IFERROR(__xludf.DUMMYFUNCTION("""COMPUTED_VALUE"""),"TOR")</f>
        <v>TOR</v>
      </c>
      <c r="E2396" s="164" t="str">
        <f>IFERROR(__xludf.DUMMYFUNCTION("""COMPUTED_VALUE"""),"Stationary Shooter")</f>
        <v>Stationary Shooter</v>
      </c>
      <c r="F2396" s="164">
        <f>IFERROR(__xludf.DUMMYFUNCTION("""COMPUTED_VALUE"""),53.4383333333333)</f>
        <v>53.43833333</v>
      </c>
      <c r="G2396" s="163">
        <f>IFERROR(__xludf.DUMMYFUNCTION("""COMPUTED_VALUE"""),14.0)</f>
        <v>14</v>
      </c>
      <c r="H2396" s="163" t="str">
        <f>IFERROR(__xludf.DUMMYFUNCTION("""COMPUTED_VALUE"""),"SF")</f>
        <v>SF</v>
      </c>
      <c r="I2396" s="163">
        <f>IFERROR(__xludf.DUMMYFUNCTION("""COMPUTED_VALUE"""),25.0)</f>
        <v>25</v>
      </c>
      <c r="J2396" s="165">
        <f>IFERROR(__xludf.DUMMYFUNCTION("""COMPUTED_VALUE"""),-1.37462270433593)</f>
        <v>-1.374622704</v>
      </c>
      <c r="K2396" s="165">
        <f>IFERROR(__xludf.DUMMYFUNCTION("""COMPUTED_VALUE"""),-0.339958921683613)</f>
        <v>-0.3399589217</v>
      </c>
      <c r="L2396" s="165">
        <f>IFERROR(__xludf.DUMMYFUNCTION("""COMPUTED_VALUE"""),-1.03466378265232)</f>
        <v>-1.034663783</v>
      </c>
      <c r="M2396" s="166">
        <f t="shared" si="2"/>
        <v>0.03298936056</v>
      </c>
      <c r="N2396" s="167">
        <f t="shared" si="3"/>
        <v>3.81702381</v>
      </c>
      <c r="O2396" s="163">
        <f t="shared" ref="O2396:Q2396" si="2400">rank(I2396,I:I)</f>
        <v>1995</v>
      </c>
      <c r="P2396" s="163">
        <f t="shared" si="2400"/>
        <v>2930</v>
      </c>
      <c r="Q2396" s="163">
        <f t="shared" si="2400"/>
        <v>1832</v>
      </c>
      <c r="R2396" s="163">
        <f>IFERROR(__xludf.DUMMYFUNCTION("RANK(M2396,filter(M:M,C:C=C2396))"),447.0)</f>
        <v>447</v>
      </c>
      <c r="S2396" s="161" t="b">
        <f t="shared" si="5"/>
        <v>0</v>
      </c>
      <c r="T2396" s="161" t="b">
        <f t="array" ref="T2396">index('Query Tool'!B:B,match(H2396,'Query Tool'!C:C,0))</f>
        <v>1</v>
      </c>
      <c r="U2396" s="161" t="b">
        <f t="array" ref="U2396">index('Query Tool'!B:B,match(C2396,'Query Tool'!C:C,0))</f>
        <v>0</v>
      </c>
      <c r="V2396" s="161" t="b">
        <f>F2396&gt;='Query Tool'!C$32</f>
        <v>0</v>
      </c>
      <c r="W2396" s="161" t="b">
        <f t="array" ref="W2396">index(Dropdowns!B:B,match(I2396,Dropdowns!A:A,0))</f>
        <v>1</v>
      </c>
      <c r="X2396" s="161" t="b">
        <f t="array" ref="X2396">index('Query Tool'!B:B,match(D2396,'Query Tool'!C:C,0))</f>
        <v>1</v>
      </c>
      <c r="Y2396" s="161" t="str">
        <f t="shared" si="6"/>
        <v>mckinal01,2017-18</v>
      </c>
      <c r="Z2396" s="168">
        <f t="array" ref="Z2396">iferror(index(I:I,match($A2396&amp;","&amp;index('Year Conversion'!$A:$A,match($C2396,'Year Conversion'!$B:$B,0)),$Y:$Y,0))-I2396,"")</f>
        <v>1</v>
      </c>
      <c r="AA2396" s="168">
        <f t="array" ref="AA2396">iferror(index(J:J,match($A2396&amp;","&amp;index('Year Conversion'!$A:$A,match($C2396,'Year Conversion'!$B:$B,0)),$Y:$Y,0))-J2396,"")</f>
        <v>-1.130754151</v>
      </c>
      <c r="AB2396" s="168">
        <f t="array" ref="AB2396">iferror(index(K:K,match($A2396&amp;","&amp;index('Year Conversion'!$A:$A,match($C2396,'Year Conversion'!$B:$B,0)),$Y:$Y,0))-K2396,"")</f>
        <v>-1.267508594</v>
      </c>
      <c r="AC2396" s="168" t="str">
        <f t="shared" si="7"/>
        <v>TOR,2017-18</v>
      </c>
    </row>
    <row r="2397">
      <c r="A2397" s="161" t="str">
        <f>IFERROR(__xludf.DUMMYFUNCTION("""COMPUTED_VALUE"""),"fultzma01")</f>
        <v>fultzma01</v>
      </c>
      <c r="B2397" s="161" t="str">
        <f>IFERROR(__xludf.DUMMYFUNCTION("""COMPUTED_VALUE"""),"Markelle Fultz")</f>
        <v>Markelle Fultz</v>
      </c>
      <c r="C2397" s="162" t="str">
        <f>IFERROR(__xludf.DUMMYFUNCTION("""COMPUTED_VALUE"""),"2017-18")</f>
        <v>2017-18</v>
      </c>
      <c r="D2397" s="163" t="str">
        <f>IFERROR(__xludf.DUMMYFUNCTION("""COMPUTED_VALUE"""),"PHI")</f>
        <v>PHI</v>
      </c>
      <c r="E2397" s="164" t="str">
        <f>IFERROR(__xludf.DUMMYFUNCTION("""COMPUTED_VALUE"""),"Slasher")</f>
        <v>Slasher</v>
      </c>
      <c r="F2397" s="164">
        <f>IFERROR(__xludf.DUMMYFUNCTION("""COMPUTED_VALUE"""),252.981666666667)</f>
        <v>252.9816667</v>
      </c>
      <c r="G2397" s="163">
        <f>IFERROR(__xludf.DUMMYFUNCTION("""COMPUTED_VALUE"""),14.0)</f>
        <v>14</v>
      </c>
      <c r="H2397" s="163" t="str">
        <f>IFERROR(__xludf.DUMMYFUNCTION("""COMPUTED_VALUE"""),"SG")</f>
        <v>SG</v>
      </c>
      <c r="I2397" s="163">
        <f>IFERROR(__xludf.DUMMYFUNCTION("""COMPUTED_VALUE"""),19.0)</f>
        <v>19</v>
      </c>
      <c r="J2397" s="165">
        <f>IFERROR(__xludf.DUMMYFUNCTION("""COMPUTED_VALUE"""),-0.982220942960943)</f>
        <v>-0.982220943</v>
      </c>
      <c r="K2397" s="165">
        <f>IFERROR(__xludf.DUMMYFUNCTION("""COMPUTED_VALUE"""),-0.508282470067326)</f>
        <v>-0.5082824701</v>
      </c>
      <c r="L2397" s="165">
        <f>IFERROR(__xludf.DUMMYFUNCTION("""COMPUTED_VALUE"""),-0.473938472893618)</f>
        <v>-0.4739384729</v>
      </c>
      <c r="M2397" s="166">
        <f t="shared" si="2"/>
        <v>0.2227122554</v>
      </c>
      <c r="N2397" s="167">
        <f t="shared" si="3"/>
        <v>18.07011905</v>
      </c>
      <c r="O2397" s="163">
        <f t="shared" ref="O2397:Q2397" si="2401">rank(I2397,I:I)</f>
        <v>3945</v>
      </c>
      <c r="P2397" s="163">
        <f t="shared" si="2401"/>
        <v>2485</v>
      </c>
      <c r="Q2397" s="163">
        <f t="shared" si="2401"/>
        <v>2117</v>
      </c>
      <c r="R2397" s="163">
        <f>IFERROR(__xludf.DUMMYFUNCTION("RANK(M2397,filter(M:M,C:C=C2397))"),337.0)</f>
        <v>337</v>
      </c>
      <c r="S2397" s="161" t="b">
        <f t="shared" si="5"/>
        <v>0</v>
      </c>
      <c r="T2397" s="161" t="b">
        <f t="array" ref="T2397">index('Query Tool'!B:B,match(H2397,'Query Tool'!C:C,0))</f>
        <v>1</v>
      </c>
      <c r="U2397" s="161" t="b">
        <f t="array" ref="U2397">index('Query Tool'!B:B,match(C2397,'Query Tool'!C:C,0))</f>
        <v>0</v>
      </c>
      <c r="V2397" s="161" t="b">
        <f>F2397&gt;='Query Tool'!C$32</f>
        <v>0</v>
      </c>
      <c r="W2397" s="161" t="b">
        <f t="array" ref="W2397">index(Dropdowns!B:B,match(I2397,Dropdowns!A:A,0))</f>
        <v>1</v>
      </c>
      <c r="X2397" s="161" t="b">
        <f t="array" ref="X2397">index('Query Tool'!B:B,match(D2397,'Query Tool'!C:C,0))</f>
        <v>1</v>
      </c>
      <c r="Y2397" s="161" t="str">
        <f t="shared" si="6"/>
        <v>fultzma01,2017-18</v>
      </c>
      <c r="Z2397" s="168">
        <f t="array" ref="Z2397">iferror(index(I:I,match($A2397&amp;","&amp;index('Year Conversion'!$A:$A,match($C2397,'Year Conversion'!$B:$B,0)),$Y:$Y,0))-I2397,"")</f>
        <v>1</v>
      </c>
      <c r="AA2397" s="168">
        <f t="array" ref="AA2397">iferror(index(J:J,match($A2397&amp;","&amp;index('Year Conversion'!$A:$A,match($C2397,'Year Conversion'!$B:$B,0)),$Y:$Y,0))-J2397,"")</f>
        <v>-0.8421231814</v>
      </c>
      <c r="AB2397" s="168">
        <f t="array" ref="AB2397">iferror(index(K:K,match($A2397&amp;","&amp;index('Year Conversion'!$A:$A,match($C2397,'Year Conversion'!$B:$B,0)),$Y:$Y,0))-K2397,"")</f>
        <v>-1.178771598</v>
      </c>
      <c r="AC2397" s="168" t="str">
        <f t="shared" si="7"/>
        <v>PHI,2017-18</v>
      </c>
    </row>
    <row r="2398">
      <c r="A2398" s="161" t="str">
        <f>IFERROR(__xludf.DUMMYFUNCTION("""COMPUTED_VALUE"""),"balllo01")</f>
        <v>balllo01</v>
      </c>
      <c r="B2398" s="161" t="str">
        <f>IFERROR(__xludf.DUMMYFUNCTION("""COMPUTED_VALUE"""),"Lonzo Ball")</f>
        <v>Lonzo Ball</v>
      </c>
      <c r="C2398" s="162" t="str">
        <f>IFERROR(__xludf.DUMMYFUNCTION("""COMPUTED_VALUE"""),"2017-18")</f>
        <v>2017-18</v>
      </c>
      <c r="D2398" s="163" t="str">
        <f>IFERROR(__xludf.DUMMYFUNCTION("""COMPUTED_VALUE"""),"LAL")</f>
        <v>LAL</v>
      </c>
      <c r="E2398" s="164" t="str">
        <f>IFERROR(__xludf.DUMMYFUNCTION("""COMPUTED_VALUE"""),"Primary Ball Handler")</f>
        <v>Primary Ball Handler</v>
      </c>
      <c r="F2398" s="164">
        <f>IFERROR(__xludf.DUMMYFUNCTION("""COMPUTED_VALUE"""),1780.05666666667)</f>
        <v>1780.056667</v>
      </c>
      <c r="G2398" s="163">
        <f>IFERROR(__xludf.DUMMYFUNCTION("""COMPUTED_VALUE"""),52.0)</f>
        <v>52</v>
      </c>
      <c r="H2398" s="163" t="str">
        <f>IFERROR(__xludf.DUMMYFUNCTION("""COMPUTED_VALUE"""),"PG")</f>
        <v>PG</v>
      </c>
      <c r="I2398" s="163">
        <f>IFERROR(__xludf.DUMMYFUNCTION("""COMPUTED_VALUE"""),20.0)</f>
        <v>20</v>
      </c>
      <c r="J2398" s="165">
        <f>IFERROR(__xludf.DUMMYFUNCTION("""COMPUTED_VALUE"""),1.46754663317572)</f>
        <v>1.467546633</v>
      </c>
      <c r="K2398" s="165">
        <f>IFERROR(__xludf.DUMMYFUNCTION("""COMPUTED_VALUE"""),-0.211145257112479)</f>
        <v>-0.2111452571</v>
      </c>
      <c r="L2398" s="165">
        <f>IFERROR(__xludf.DUMMYFUNCTION("""COMPUTED_VALUE"""),1.6786918902882)</f>
        <v>1.67869189</v>
      </c>
      <c r="M2398" s="166">
        <f t="shared" si="2"/>
        <v>4.500200524</v>
      </c>
      <c r="N2398" s="167">
        <f t="shared" si="3"/>
        <v>34.23185897</v>
      </c>
      <c r="O2398" s="163">
        <f t="shared" ref="O2398:Q2398" si="2402">rank(I2398,I:I)</f>
        <v>3770</v>
      </c>
      <c r="P2398" s="163">
        <f t="shared" si="2402"/>
        <v>466</v>
      </c>
      <c r="Q2398" s="163">
        <f t="shared" si="2402"/>
        <v>1584</v>
      </c>
      <c r="R2398" s="163">
        <f>IFERROR(__xludf.DUMMYFUNCTION("RANK(M2398,filter(M:M,C:C=C2398))"),69.0)</f>
        <v>69</v>
      </c>
      <c r="S2398" s="161" t="b">
        <f t="shared" si="5"/>
        <v>0</v>
      </c>
      <c r="T2398" s="161" t="b">
        <f t="array" ref="T2398">index('Query Tool'!B:B,match(H2398,'Query Tool'!C:C,0))</f>
        <v>1</v>
      </c>
      <c r="U2398" s="161" t="b">
        <f t="array" ref="U2398">index('Query Tool'!B:B,match(C2398,'Query Tool'!C:C,0))</f>
        <v>0</v>
      </c>
      <c r="V2398" s="161" t="b">
        <f>F2398&gt;='Query Tool'!C$32</f>
        <v>1</v>
      </c>
      <c r="W2398" s="161" t="b">
        <f t="array" ref="W2398">index(Dropdowns!B:B,match(I2398,Dropdowns!A:A,0))</f>
        <v>1</v>
      </c>
      <c r="X2398" s="161" t="b">
        <f t="array" ref="X2398">index('Query Tool'!B:B,match(D2398,'Query Tool'!C:C,0))</f>
        <v>1</v>
      </c>
      <c r="Y2398" s="161" t="str">
        <f t="shared" si="6"/>
        <v>balllo01,2017-18</v>
      </c>
      <c r="Z2398" s="168">
        <f t="array" ref="Z2398">iferror(index(I:I,match($A2398&amp;","&amp;index('Year Conversion'!$A:$A,match($C2398,'Year Conversion'!$B:$B,0)),$Y:$Y,0))-I2398,"")</f>
        <v>1</v>
      </c>
      <c r="AA2398" s="168">
        <f t="array" ref="AA2398">iferror(index(J:J,match($A2398&amp;","&amp;index('Year Conversion'!$A:$A,match($C2398,'Year Conversion'!$B:$B,0)),$Y:$Y,0))-J2398,"")</f>
        <v>-0.9859418759</v>
      </c>
      <c r="AB2398" s="168">
        <f t="array" ref="AB2398">iferror(index(K:K,match($A2398&amp;","&amp;index('Year Conversion'!$A:$A,match($C2398,'Year Conversion'!$B:$B,0)),$Y:$Y,0))-K2398,"")</f>
        <v>-0.7765115365</v>
      </c>
      <c r="AC2398" s="168" t="str">
        <f t="shared" si="7"/>
        <v>LAL,2017-18</v>
      </c>
    </row>
    <row r="2399">
      <c r="A2399" s="161" t="str">
        <f>IFERROR(__xludf.DUMMYFUNCTION("""COMPUTED_VALUE"""),"jacksjo02")</f>
        <v>jacksjo02</v>
      </c>
      <c r="B2399" s="161" t="str">
        <f>IFERROR(__xludf.DUMMYFUNCTION("""COMPUTED_VALUE"""),"Josh Jackson")</f>
        <v>Josh Jackson</v>
      </c>
      <c r="C2399" s="162" t="str">
        <f>IFERROR(__xludf.DUMMYFUNCTION("""COMPUTED_VALUE"""),"2017-18")</f>
        <v>2017-18</v>
      </c>
      <c r="D2399" s="163" t="str">
        <f>IFERROR(__xludf.DUMMYFUNCTION("""COMPUTED_VALUE"""),"PHO")</f>
        <v>PHO</v>
      </c>
      <c r="E2399" s="164" t="str">
        <f>IFERROR(__xludf.DUMMYFUNCTION("""COMPUTED_VALUE"""),"Secondary Ball Handler")</f>
        <v>Secondary Ball Handler</v>
      </c>
      <c r="F2399" s="164">
        <f>IFERROR(__xludf.DUMMYFUNCTION("""COMPUTED_VALUE"""),1959.21833333333)</f>
        <v>1959.218333</v>
      </c>
      <c r="G2399" s="163">
        <f>IFERROR(__xludf.DUMMYFUNCTION("""COMPUTED_VALUE"""),77.0)</f>
        <v>77</v>
      </c>
      <c r="H2399" s="163" t="str">
        <f>IFERROR(__xludf.DUMMYFUNCTION("""COMPUTED_VALUE"""),"SF")</f>
        <v>SF</v>
      </c>
      <c r="I2399" s="163">
        <f>IFERROR(__xludf.DUMMYFUNCTION("""COMPUTED_VALUE"""),20.0)</f>
        <v>20</v>
      </c>
      <c r="J2399" s="165">
        <f>IFERROR(__xludf.DUMMYFUNCTION("""COMPUTED_VALUE"""),-2.56254234842516)</f>
        <v>-2.562542348</v>
      </c>
      <c r="K2399" s="165">
        <f>IFERROR(__xludf.DUMMYFUNCTION("""COMPUTED_VALUE"""),-1.46177037392652)</f>
        <v>-1.461770374</v>
      </c>
      <c r="L2399" s="165">
        <f>IFERROR(__xludf.DUMMYFUNCTION("""COMPUTED_VALUE"""),-1.10077197449864)</f>
        <v>-1.100771974</v>
      </c>
      <c r="M2399" s="166">
        <f t="shared" si="2"/>
        <v>-0.3338186592</v>
      </c>
      <c r="N2399" s="167">
        <f t="shared" si="3"/>
        <v>25.44439394</v>
      </c>
      <c r="O2399" s="163">
        <f t="shared" ref="O2399:Q2399" si="2403">rank(I2399,I:I)</f>
        <v>3770</v>
      </c>
      <c r="P2399" s="163">
        <f t="shared" si="2403"/>
        <v>3775</v>
      </c>
      <c r="Q2399" s="163">
        <f t="shared" si="2403"/>
        <v>3312</v>
      </c>
      <c r="R2399" s="163">
        <f>IFERROR(__xludf.DUMMYFUNCTION("RANK(M2399,filter(M:M,C:C=C2399))"),517.0)</f>
        <v>517</v>
      </c>
      <c r="S2399" s="161" t="b">
        <f t="shared" si="5"/>
        <v>0</v>
      </c>
      <c r="T2399" s="161" t="b">
        <f t="array" ref="T2399">index('Query Tool'!B:B,match(H2399,'Query Tool'!C:C,0))</f>
        <v>1</v>
      </c>
      <c r="U2399" s="161" t="b">
        <f t="array" ref="U2399">index('Query Tool'!B:B,match(C2399,'Query Tool'!C:C,0))</f>
        <v>0</v>
      </c>
      <c r="V2399" s="161" t="b">
        <f>F2399&gt;='Query Tool'!C$32</f>
        <v>1</v>
      </c>
      <c r="W2399" s="161" t="b">
        <f t="array" ref="W2399">index(Dropdowns!B:B,match(I2399,Dropdowns!A:A,0))</f>
        <v>1</v>
      </c>
      <c r="X2399" s="161" t="b">
        <f t="array" ref="X2399">index('Query Tool'!B:B,match(D2399,'Query Tool'!C:C,0))</f>
        <v>1</v>
      </c>
      <c r="Y2399" s="161" t="str">
        <f t="shared" si="6"/>
        <v>jacksjo02,2017-18</v>
      </c>
      <c r="Z2399" s="168">
        <f t="array" ref="Z2399">iferror(index(I:I,match($A2399&amp;","&amp;index('Year Conversion'!$A:$A,match($C2399,'Year Conversion'!$B:$B,0)),$Y:$Y,0))-I2399,"")</f>
        <v>1</v>
      </c>
      <c r="AA2399" s="168">
        <f t="array" ref="AA2399">iferror(index(J:J,match($A2399&amp;","&amp;index('Year Conversion'!$A:$A,match($C2399,'Year Conversion'!$B:$B,0)),$Y:$Y,0))-J2399,"")</f>
        <v>-0.5136986118</v>
      </c>
      <c r="AB2399" s="168">
        <f t="array" ref="AB2399">iferror(index(K:K,match($A2399&amp;","&amp;index('Year Conversion'!$A:$A,match($C2399,'Year Conversion'!$B:$B,0)),$Y:$Y,0))-K2399,"")</f>
        <v>-1.105885196</v>
      </c>
      <c r="AC2399" s="168" t="str">
        <f t="shared" si="7"/>
        <v>PHO,2017-18</v>
      </c>
    </row>
    <row r="2400">
      <c r="A2400" s="161" t="str">
        <f>IFERROR(__xludf.DUMMYFUNCTION("""COMPUTED_VALUE"""),"foxde01")</f>
        <v>foxde01</v>
      </c>
      <c r="B2400" s="161" t="str">
        <f>IFERROR(__xludf.DUMMYFUNCTION("""COMPUTED_VALUE"""),"De'Aaron Fox")</f>
        <v>De'Aaron Fox</v>
      </c>
      <c r="C2400" s="162" t="str">
        <f>IFERROR(__xludf.DUMMYFUNCTION("""COMPUTED_VALUE"""),"2017-18")</f>
        <v>2017-18</v>
      </c>
      <c r="D2400" s="163" t="str">
        <f>IFERROR(__xludf.DUMMYFUNCTION("""COMPUTED_VALUE"""),"SAC")</f>
        <v>SAC</v>
      </c>
      <c r="E2400" s="164" t="str">
        <f>IFERROR(__xludf.DUMMYFUNCTION("""COMPUTED_VALUE"""),"Secondary Ball Handler")</f>
        <v>Secondary Ball Handler</v>
      </c>
      <c r="F2400" s="164">
        <f>IFERROR(__xludf.DUMMYFUNCTION("""COMPUTED_VALUE"""),2025.53)</f>
        <v>2025.53</v>
      </c>
      <c r="G2400" s="163">
        <f>IFERROR(__xludf.DUMMYFUNCTION("""COMPUTED_VALUE"""),73.0)</f>
        <v>73</v>
      </c>
      <c r="H2400" s="163" t="str">
        <f>IFERROR(__xludf.DUMMYFUNCTION("""COMPUTED_VALUE"""),"PG")</f>
        <v>PG</v>
      </c>
      <c r="I2400" s="163">
        <f>IFERROR(__xludf.DUMMYFUNCTION("""COMPUTED_VALUE"""),20.0)</f>
        <v>20</v>
      </c>
      <c r="J2400" s="165">
        <f>IFERROR(__xludf.DUMMYFUNCTION("""COMPUTED_VALUE"""),-2.85817416841876)</f>
        <v>-2.858174168</v>
      </c>
      <c r="K2400" s="165">
        <f>IFERROR(__xludf.DUMMYFUNCTION("""COMPUTED_VALUE"""),-1.84409520766656)</f>
        <v>-1.844095208</v>
      </c>
      <c r="L2400" s="165">
        <f>IFERROR(__xludf.DUMMYFUNCTION("""COMPUTED_VALUE"""),-1.0140789607522)</f>
        <v>-1.014078961</v>
      </c>
      <c r="M2400" s="166">
        <f t="shared" si="2"/>
        <v>-0.7367063437</v>
      </c>
      <c r="N2400" s="167">
        <f t="shared" si="3"/>
        <v>27.7469863</v>
      </c>
      <c r="O2400" s="163">
        <f t="shared" ref="O2400:Q2400" si="2404">rank(I2400,I:I)</f>
        <v>3770</v>
      </c>
      <c r="P2400" s="163">
        <f t="shared" si="2404"/>
        <v>3856</v>
      </c>
      <c r="Q2400" s="163">
        <f t="shared" si="2404"/>
        <v>3602</v>
      </c>
      <c r="R2400" s="163">
        <f>IFERROR(__xludf.DUMMYFUNCTION("RANK(M2400,filter(M:M,C:C=C2400))"),530.0)</f>
        <v>530</v>
      </c>
      <c r="S2400" s="161" t="b">
        <f t="shared" si="5"/>
        <v>0</v>
      </c>
      <c r="T2400" s="161" t="b">
        <f t="array" ref="T2400">index('Query Tool'!B:B,match(H2400,'Query Tool'!C:C,0))</f>
        <v>1</v>
      </c>
      <c r="U2400" s="161" t="b">
        <f t="array" ref="U2400">index('Query Tool'!B:B,match(C2400,'Query Tool'!C:C,0))</f>
        <v>0</v>
      </c>
      <c r="V2400" s="161" t="b">
        <f>F2400&gt;='Query Tool'!C$32</f>
        <v>1</v>
      </c>
      <c r="W2400" s="161" t="b">
        <f t="array" ref="W2400">index(Dropdowns!B:B,match(I2400,Dropdowns!A:A,0))</f>
        <v>1</v>
      </c>
      <c r="X2400" s="161" t="b">
        <f t="array" ref="X2400">index('Query Tool'!B:B,match(D2400,'Query Tool'!C:C,0))</f>
        <v>1</v>
      </c>
      <c r="Y2400" s="161" t="str">
        <f t="shared" si="6"/>
        <v>foxde01,2017-18</v>
      </c>
      <c r="Z2400" s="168">
        <f t="array" ref="Z2400">iferror(index(I:I,match($A2400&amp;","&amp;index('Year Conversion'!$A:$A,match($C2400,'Year Conversion'!$B:$B,0)),$Y:$Y,0))-I2400,"")</f>
        <v>1</v>
      </c>
      <c r="AA2400" s="168">
        <f t="array" ref="AA2400">iferror(index(J:J,match($A2400&amp;","&amp;index('Year Conversion'!$A:$A,match($C2400,'Year Conversion'!$B:$B,0)),$Y:$Y,0))-J2400,"")</f>
        <v>3.559297139</v>
      </c>
      <c r="AB2400" s="168">
        <f t="array" ref="AB2400">iferror(index(K:K,match($A2400&amp;","&amp;index('Year Conversion'!$A:$A,match($C2400,'Year Conversion'!$B:$B,0)),$Y:$Y,0))-K2400,"")</f>
        <v>2.798908751</v>
      </c>
      <c r="AC2400" s="168" t="str">
        <f t="shared" si="7"/>
        <v>SAC,2017-18</v>
      </c>
    </row>
    <row r="2401">
      <c r="A2401" s="161" t="str">
        <f>IFERROR(__xludf.DUMMYFUNCTION("""COMPUTED_VALUE"""),"tatumja01")</f>
        <v>tatumja01</v>
      </c>
      <c r="B2401" s="161" t="str">
        <f>IFERROR(__xludf.DUMMYFUNCTION("""COMPUTED_VALUE"""),"Jayson Tatum")</f>
        <v>Jayson Tatum</v>
      </c>
      <c r="C2401" s="162" t="str">
        <f>IFERROR(__xludf.DUMMYFUNCTION("""COMPUTED_VALUE"""),"2017-18")</f>
        <v>2017-18</v>
      </c>
      <c r="D2401" s="163" t="str">
        <f>IFERROR(__xludf.DUMMYFUNCTION("""COMPUTED_VALUE"""),"BOS")</f>
        <v>BOS</v>
      </c>
      <c r="E2401" s="164" t="str">
        <f>IFERROR(__xludf.DUMMYFUNCTION("""COMPUTED_VALUE"""),"Movement Shooter")</f>
        <v>Movement Shooter</v>
      </c>
      <c r="F2401" s="164">
        <f>IFERROR(__xludf.DUMMYFUNCTION("""COMPUTED_VALUE"""),2442.91166666667)</f>
        <v>2442.911667</v>
      </c>
      <c r="G2401" s="163">
        <f>IFERROR(__xludf.DUMMYFUNCTION("""COMPUTED_VALUE"""),80.0)</f>
        <v>80</v>
      </c>
      <c r="H2401" s="163" t="str">
        <f>IFERROR(__xludf.DUMMYFUNCTION("""COMPUTED_VALUE"""),"SF")</f>
        <v>SF</v>
      </c>
      <c r="I2401" s="163">
        <f>IFERROR(__xludf.DUMMYFUNCTION("""COMPUTED_VALUE"""),19.0)</f>
        <v>19</v>
      </c>
      <c r="J2401" s="165">
        <f>IFERROR(__xludf.DUMMYFUNCTION("""COMPUTED_VALUE"""),1.16805350226544)</f>
        <v>1.168053502</v>
      </c>
      <c r="K2401" s="165">
        <f>IFERROR(__xludf.DUMMYFUNCTION("""COMPUTED_VALUE"""),-0.424737219580993)</f>
        <v>-0.4247372196</v>
      </c>
      <c r="L2401" s="165">
        <f>IFERROR(__xludf.DUMMYFUNCTION("""COMPUTED_VALUE"""),1.59279072184644)</f>
        <v>1.592790722</v>
      </c>
      <c r="M2401" s="166">
        <f t="shared" si="2"/>
        <v>5.686285534</v>
      </c>
      <c r="N2401" s="167">
        <f t="shared" si="3"/>
        <v>30.53639583</v>
      </c>
      <c r="O2401" s="163">
        <f t="shared" ref="O2401:Q2401" si="2405">rank(I2401,I:I)</f>
        <v>3945</v>
      </c>
      <c r="P2401" s="163">
        <f t="shared" si="2405"/>
        <v>583</v>
      </c>
      <c r="Q2401" s="163">
        <f t="shared" si="2405"/>
        <v>1989</v>
      </c>
      <c r="R2401" s="163">
        <f>IFERROR(__xludf.DUMMYFUNCTION("RANK(M2401,filter(M:M,C:C=C2401))"),41.0)</f>
        <v>41</v>
      </c>
      <c r="S2401" s="161" t="b">
        <f t="shared" si="5"/>
        <v>0</v>
      </c>
      <c r="T2401" s="161" t="b">
        <f t="array" ref="T2401">index('Query Tool'!B:B,match(H2401,'Query Tool'!C:C,0))</f>
        <v>1</v>
      </c>
      <c r="U2401" s="161" t="b">
        <f t="array" ref="U2401">index('Query Tool'!B:B,match(C2401,'Query Tool'!C:C,0))</f>
        <v>0</v>
      </c>
      <c r="V2401" s="161" t="b">
        <f>F2401&gt;='Query Tool'!C$32</f>
        <v>1</v>
      </c>
      <c r="W2401" s="161" t="b">
        <f t="array" ref="W2401">index(Dropdowns!B:B,match(I2401,Dropdowns!A:A,0))</f>
        <v>1</v>
      </c>
      <c r="X2401" s="161" t="b">
        <f t="array" ref="X2401">index('Query Tool'!B:B,match(D2401,'Query Tool'!C:C,0))</f>
        <v>1</v>
      </c>
      <c r="Y2401" s="161" t="str">
        <f t="shared" si="6"/>
        <v>tatumja01,2017-18</v>
      </c>
      <c r="Z2401" s="168">
        <f t="array" ref="Z2401">iferror(index(I:I,match($A2401&amp;","&amp;index('Year Conversion'!$A:$A,match($C2401,'Year Conversion'!$B:$B,0)),$Y:$Y,0))-I2401,"")</f>
        <v>1</v>
      </c>
      <c r="AA2401" s="168">
        <f t="array" ref="AA2401">iferror(index(J:J,match($A2401&amp;","&amp;index('Year Conversion'!$A:$A,match($C2401,'Year Conversion'!$B:$B,0)),$Y:$Y,0))-J2401,"")</f>
        <v>0.6759392442</v>
      </c>
      <c r="AB2401" s="168">
        <f t="array" ref="AB2401">iferror(index(K:K,match($A2401&amp;","&amp;index('Year Conversion'!$A:$A,match($C2401,'Year Conversion'!$B:$B,0)),$Y:$Y,0))-K2401,"")</f>
        <v>0.7232815323</v>
      </c>
      <c r="AC2401" s="168" t="str">
        <f t="shared" si="7"/>
        <v>BOS,2017-18</v>
      </c>
    </row>
    <row r="2402">
      <c r="A2402" s="161" t="str">
        <f>IFERROR(__xludf.DUMMYFUNCTION("""COMPUTED_VALUE"""),"monkma01")</f>
        <v>monkma01</v>
      </c>
      <c r="B2402" s="161" t="str">
        <f>IFERROR(__xludf.DUMMYFUNCTION("""COMPUTED_VALUE"""),"Malik Monk")</f>
        <v>Malik Monk</v>
      </c>
      <c r="C2402" s="162" t="str">
        <f>IFERROR(__xludf.DUMMYFUNCTION("""COMPUTED_VALUE"""),"2017-18")</f>
        <v>2017-18</v>
      </c>
      <c r="D2402" s="163" t="str">
        <f>IFERROR(__xludf.DUMMYFUNCTION("""COMPUTED_VALUE"""),"CHO")</f>
        <v>CHO</v>
      </c>
      <c r="E2402" s="164" t="str">
        <f>IFERROR(__xludf.DUMMYFUNCTION("""COMPUTED_VALUE"""),"Secondary Ball Handler")</f>
        <v>Secondary Ball Handler</v>
      </c>
      <c r="F2402" s="164">
        <f>IFERROR(__xludf.DUMMYFUNCTION("""COMPUTED_VALUE"""),853.505)</f>
        <v>853.505</v>
      </c>
      <c r="G2402" s="163">
        <f>IFERROR(__xludf.DUMMYFUNCTION("""COMPUTED_VALUE"""),63.0)</f>
        <v>63</v>
      </c>
      <c r="H2402" s="163" t="str">
        <f>IFERROR(__xludf.DUMMYFUNCTION("""COMPUTED_VALUE"""),"SG")</f>
        <v>SG</v>
      </c>
      <c r="I2402" s="163">
        <f>IFERROR(__xludf.DUMMYFUNCTION("""COMPUTED_VALUE"""),19.0)</f>
        <v>19</v>
      </c>
      <c r="J2402" s="165">
        <f>IFERROR(__xludf.DUMMYFUNCTION("""COMPUTED_VALUE"""),-3.17494803832196)</f>
        <v>-3.174948038</v>
      </c>
      <c r="K2402" s="165">
        <f>IFERROR(__xludf.DUMMYFUNCTION("""COMPUTED_VALUE"""),-0.697171663575852)</f>
        <v>-0.6971716636</v>
      </c>
      <c r="L2402" s="165">
        <f>IFERROR(__xludf.DUMMYFUNCTION("""COMPUTED_VALUE"""),-2.47777637474611)</f>
        <v>-2.477776375</v>
      </c>
      <c r="M2402" s="166">
        <f t="shared" si="2"/>
        <v>-0.4859606805</v>
      </c>
      <c r="N2402" s="167">
        <f t="shared" si="3"/>
        <v>13.54769841</v>
      </c>
      <c r="O2402" s="163">
        <f t="shared" ref="O2402:Q2402" si="2406">rank(I2402,I:I)</f>
        <v>3945</v>
      </c>
      <c r="P2402" s="163">
        <f t="shared" si="2406"/>
        <v>3922</v>
      </c>
      <c r="Q2402" s="163">
        <f t="shared" si="2406"/>
        <v>2410</v>
      </c>
      <c r="R2402" s="163">
        <f>IFERROR(__xludf.DUMMYFUNCTION("RANK(M2402,filter(M:M,C:C=C2402))"),524.0)</f>
        <v>524</v>
      </c>
      <c r="S2402" s="161" t="b">
        <f t="shared" si="5"/>
        <v>0</v>
      </c>
      <c r="T2402" s="161" t="b">
        <f t="array" ref="T2402">index('Query Tool'!B:B,match(H2402,'Query Tool'!C:C,0))</f>
        <v>1</v>
      </c>
      <c r="U2402" s="161" t="b">
        <f t="array" ref="U2402">index('Query Tool'!B:B,match(C2402,'Query Tool'!C:C,0))</f>
        <v>0</v>
      </c>
      <c r="V2402" s="161" t="b">
        <f>F2402&gt;='Query Tool'!C$32</f>
        <v>1</v>
      </c>
      <c r="W2402" s="161" t="b">
        <f t="array" ref="W2402">index(Dropdowns!B:B,match(I2402,Dropdowns!A:A,0))</f>
        <v>1</v>
      </c>
      <c r="X2402" s="161" t="b">
        <f t="array" ref="X2402">index('Query Tool'!B:B,match(D2402,'Query Tool'!C:C,0))</f>
        <v>1</v>
      </c>
      <c r="Y2402" s="161" t="str">
        <f t="shared" si="6"/>
        <v>monkma01,2017-18</v>
      </c>
      <c r="Z2402" s="168">
        <f t="array" ref="Z2402">iferror(index(I:I,match($A2402&amp;","&amp;index('Year Conversion'!$A:$A,match($C2402,'Year Conversion'!$B:$B,0)),$Y:$Y,0))-I2402,"")</f>
        <v>1</v>
      </c>
      <c r="AA2402" s="168">
        <f t="array" ref="AA2402">iferror(index(J:J,match($A2402&amp;","&amp;index('Year Conversion'!$A:$A,match($C2402,'Year Conversion'!$B:$B,0)),$Y:$Y,0))-J2402,"")</f>
        <v>1.711841014</v>
      </c>
      <c r="AB2402" s="168">
        <f t="array" ref="AB2402">iferror(index(K:K,match($A2402&amp;","&amp;index('Year Conversion'!$A:$A,match($C2402,'Year Conversion'!$B:$B,0)),$Y:$Y,0))-K2402,"")</f>
        <v>0.7759091579</v>
      </c>
      <c r="AC2402" s="168" t="str">
        <f t="shared" si="7"/>
        <v>CHO,2017-18</v>
      </c>
    </row>
    <row r="2403">
      <c r="A2403" s="161" t="str">
        <f>IFERROR(__xludf.DUMMYFUNCTION("""COMPUTED_VALUE"""),"isaacjo01")</f>
        <v>isaacjo01</v>
      </c>
      <c r="B2403" s="161" t="str">
        <f>IFERROR(__xludf.DUMMYFUNCTION("""COMPUTED_VALUE"""),"Jonathan Isaac")</f>
        <v>Jonathan Isaac</v>
      </c>
      <c r="C2403" s="162" t="str">
        <f>IFERROR(__xludf.DUMMYFUNCTION("""COMPUTED_VALUE"""),"2017-18")</f>
        <v>2017-18</v>
      </c>
      <c r="D2403" s="163" t="str">
        <f>IFERROR(__xludf.DUMMYFUNCTION("""COMPUTED_VALUE"""),"ORL")</f>
        <v>ORL</v>
      </c>
      <c r="E2403" s="164" t="str">
        <f>IFERROR(__xludf.DUMMYFUNCTION("""COMPUTED_VALUE"""),"Athletic Finisher")</f>
        <v>Athletic Finisher</v>
      </c>
      <c r="F2403" s="164">
        <f>IFERROR(__xludf.DUMMYFUNCTION("""COMPUTED_VALUE"""),535.411666666666)</f>
        <v>535.4116667</v>
      </c>
      <c r="G2403" s="163">
        <f>IFERROR(__xludf.DUMMYFUNCTION("""COMPUTED_VALUE"""),27.0)</f>
        <v>27</v>
      </c>
      <c r="H2403" s="163" t="str">
        <f>IFERROR(__xludf.DUMMYFUNCTION("""COMPUTED_VALUE"""),"PF")</f>
        <v>PF</v>
      </c>
      <c r="I2403" s="163">
        <f>IFERROR(__xludf.DUMMYFUNCTION("""COMPUTED_VALUE"""),20.0)</f>
        <v>20</v>
      </c>
      <c r="J2403" s="165">
        <f>IFERROR(__xludf.DUMMYFUNCTION("""COMPUTED_VALUE"""),-1.59445535271633)</f>
        <v>-1.594455353</v>
      </c>
      <c r="K2403" s="165">
        <f>IFERROR(__xludf.DUMMYFUNCTION("""COMPUTED_VALUE"""),-3.4296859546691)</f>
        <v>-3.429685955</v>
      </c>
      <c r="L2403" s="165">
        <f>IFERROR(__xludf.DUMMYFUNCTION("""COMPUTED_VALUE"""),1.83523060195277)</f>
        <v>1.835230602</v>
      </c>
      <c r="M2403" s="166">
        <f t="shared" si="2"/>
        <v>0.2519013227</v>
      </c>
      <c r="N2403" s="167">
        <f t="shared" si="3"/>
        <v>19.83006173</v>
      </c>
      <c r="O2403" s="163">
        <f t="shared" ref="O2403:Q2403" si="2407">rank(I2403,I:I)</f>
        <v>3770</v>
      </c>
      <c r="P2403" s="163">
        <f t="shared" si="2407"/>
        <v>3139</v>
      </c>
      <c r="Q2403" s="163">
        <f t="shared" si="2407"/>
        <v>4004</v>
      </c>
      <c r="R2403" s="163">
        <f>IFERROR(__xludf.DUMMYFUNCTION("RANK(M2403,filter(M:M,C:C=C2403))"),328.0)</f>
        <v>328</v>
      </c>
      <c r="S2403" s="161" t="b">
        <f t="shared" si="5"/>
        <v>0</v>
      </c>
      <c r="T2403" s="161" t="b">
        <f t="array" ref="T2403">index('Query Tool'!B:B,match(H2403,'Query Tool'!C:C,0))</f>
        <v>1</v>
      </c>
      <c r="U2403" s="161" t="b">
        <f t="array" ref="U2403">index('Query Tool'!B:B,match(C2403,'Query Tool'!C:C,0))</f>
        <v>0</v>
      </c>
      <c r="V2403" s="161" t="b">
        <f>F2403&gt;='Query Tool'!C$32</f>
        <v>1</v>
      </c>
      <c r="W2403" s="161" t="b">
        <f t="array" ref="W2403">index(Dropdowns!B:B,match(I2403,Dropdowns!A:A,0))</f>
        <v>1</v>
      </c>
      <c r="X2403" s="161" t="b">
        <f t="array" ref="X2403">index('Query Tool'!B:B,match(D2403,'Query Tool'!C:C,0))</f>
        <v>1</v>
      </c>
      <c r="Y2403" s="161" t="str">
        <f t="shared" si="6"/>
        <v>isaacjo01,2017-18</v>
      </c>
      <c r="Z2403" s="168">
        <f t="array" ref="Z2403">iferror(index(I:I,match($A2403&amp;","&amp;index('Year Conversion'!$A:$A,match($C2403,'Year Conversion'!$B:$B,0)),$Y:$Y,0))-I2403,"")</f>
        <v>1</v>
      </c>
      <c r="AA2403" s="168">
        <f t="array" ref="AA2403">iferror(index(J:J,match($A2403&amp;","&amp;index('Year Conversion'!$A:$A,match($C2403,'Year Conversion'!$B:$B,0)),$Y:$Y,0))-J2403,"")</f>
        <v>1.956313572</v>
      </c>
      <c r="AB2403" s="168">
        <f t="array" ref="AB2403">iferror(index(K:K,match($A2403&amp;","&amp;index('Year Conversion'!$A:$A,match($C2403,'Year Conversion'!$B:$B,0)),$Y:$Y,0))-K2403,"")</f>
        <v>2.150656421</v>
      </c>
      <c r="AC2403" s="168" t="str">
        <f t="shared" si="7"/>
        <v>ORL,2017-18</v>
      </c>
    </row>
    <row r="2404">
      <c r="A2404" s="161" t="str">
        <f>IFERROR(__xludf.DUMMYFUNCTION("""COMPUTED_VALUE"""),"smithde03")</f>
        <v>smithde03</v>
      </c>
      <c r="B2404" s="161" t="str">
        <f>IFERROR(__xludf.DUMMYFUNCTION("""COMPUTED_VALUE"""),"Dennis Smith Jr.")</f>
        <v>Dennis Smith Jr.</v>
      </c>
      <c r="C2404" s="162" t="str">
        <f>IFERROR(__xludf.DUMMYFUNCTION("""COMPUTED_VALUE"""),"2017-18")</f>
        <v>2017-18</v>
      </c>
      <c r="D2404" s="163" t="str">
        <f>IFERROR(__xludf.DUMMYFUNCTION("""COMPUTED_VALUE"""),"DAL")</f>
        <v>DAL</v>
      </c>
      <c r="E2404" s="164" t="str">
        <f>IFERROR(__xludf.DUMMYFUNCTION("""COMPUTED_VALUE"""),"Movement Shooter")</f>
        <v>Movement Shooter</v>
      </c>
      <c r="F2404" s="164">
        <f>IFERROR(__xludf.DUMMYFUNCTION("""COMPUTED_VALUE"""),2049.105)</f>
        <v>2049.105</v>
      </c>
      <c r="G2404" s="163">
        <f>IFERROR(__xludf.DUMMYFUNCTION("""COMPUTED_VALUE"""),69.0)</f>
        <v>69</v>
      </c>
      <c r="H2404" s="163" t="str">
        <f>IFERROR(__xludf.DUMMYFUNCTION("""COMPUTED_VALUE"""),"PG")</f>
        <v>PG</v>
      </c>
      <c r="I2404" s="163">
        <f>IFERROR(__xludf.DUMMYFUNCTION("""COMPUTED_VALUE"""),20.0)</f>
        <v>20</v>
      </c>
      <c r="J2404" s="165">
        <f>IFERROR(__xludf.DUMMYFUNCTION("""COMPUTED_VALUE"""),-2.07953128942401)</f>
        <v>-2.079531289</v>
      </c>
      <c r="K2404" s="165">
        <f>IFERROR(__xludf.DUMMYFUNCTION("""COMPUTED_VALUE"""),-0.718726043814287)</f>
        <v>-0.7187260438</v>
      </c>
      <c r="L2404" s="165">
        <f>IFERROR(__xludf.DUMMYFUNCTION("""COMPUTED_VALUE"""),-1.36080524560972)</f>
        <v>-1.360805246</v>
      </c>
      <c r="M2404" s="166">
        <f t="shared" si="2"/>
        <v>0.3033292947</v>
      </c>
      <c r="N2404" s="167">
        <f t="shared" si="3"/>
        <v>29.69717391</v>
      </c>
      <c r="O2404" s="163">
        <f t="shared" ref="O2404:Q2404" si="2408">rank(I2404,I:I)</f>
        <v>3770</v>
      </c>
      <c r="P2404" s="163">
        <f t="shared" si="2408"/>
        <v>3542</v>
      </c>
      <c r="Q2404" s="163">
        <f t="shared" si="2408"/>
        <v>2443</v>
      </c>
      <c r="R2404" s="163">
        <f>IFERROR(__xludf.DUMMYFUNCTION("RANK(M2404,filter(M:M,C:C=C2404))"),322.0)</f>
        <v>322</v>
      </c>
      <c r="S2404" s="161" t="b">
        <f t="shared" si="5"/>
        <v>0</v>
      </c>
      <c r="T2404" s="161" t="b">
        <f t="array" ref="T2404">index('Query Tool'!B:B,match(H2404,'Query Tool'!C:C,0))</f>
        <v>1</v>
      </c>
      <c r="U2404" s="161" t="b">
        <f t="array" ref="U2404">index('Query Tool'!B:B,match(C2404,'Query Tool'!C:C,0))</f>
        <v>0</v>
      </c>
      <c r="V2404" s="161" t="b">
        <f>F2404&gt;='Query Tool'!C$32</f>
        <v>1</v>
      </c>
      <c r="W2404" s="161" t="b">
        <f t="array" ref="W2404">index(Dropdowns!B:B,match(I2404,Dropdowns!A:A,0))</f>
        <v>1</v>
      </c>
      <c r="X2404" s="161" t="b">
        <f t="array" ref="X2404">index('Query Tool'!B:B,match(D2404,'Query Tool'!C:C,0))</f>
        <v>1</v>
      </c>
      <c r="Y2404" s="161" t="str">
        <f t="shared" si="6"/>
        <v>smithde03,2017-18</v>
      </c>
      <c r="Z2404" s="168">
        <f t="array" ref="Z2404">iferror(index(I:I,match($A2404&amp;","&amp;index('Year Conversion'!$A:$A,match($C2404,'Year Conversion'!$B:$B,0)),$Y:$Y,0))-I2404,"")</f>
        <v>1</v>
      </c>
      <c r="AA2404" s="168">
        <f t="array" ref="AA2404">iferror(index(J:J,match($A2404&amp;","&amp;index('Year Conversion'!$A:$A,match($C2404,'Year Conversion'!$B:$B,0)),$Y:$Y,0))-J2404,"")</f>
        <v>0.5968148203</v>
      </c>
      <c r="AB2404" s="168">
        <f t="array" ref="AB2404">iferror(index(K:K,match($A2404&amp;","&amp;index('Year Conversion'!$A:$A,match($C2404,'Year Conversion'!$B:$B,0)),$Y:$Y,0))-K2404,"")</f>
        <v>-0.7605563994</v>
      </c>
      <c r="AC2404" s="168" t="str">
        <f t="shared" si="7"/>
        <v>DAL,2017-18</v>
      </c>
    </row>
    <row r="2405">
      <c r="A2405" s="161" t="str">
        <f>IFERROR(__xludf.DUMMYFUNCTION("""COMPUTED_VALUE"""),"ntilila01")</f>
        <v>ntilila01</v>
      </c>
      <c r="B2405" s="161" t="str">
        <f>IFERROR(__xludf.DUMMYFUNCTION("""COMPUTED_VALUE"""),"Frank Ntilikina")</f>
        <v>Frank Ntilikina</v>
      </c>
      <c r="C2405" s="162" t="str">
        <f>IFERROR(__xludf.DUMMYFUNCTION("""COMPUTED_VALUE"""),"2017-18")</f>
        <v>2017-18</v>
      </c>
      <c r="D2405" s="163" t="str">
        <f>IFERROR(__xludf.DUMMYFUNCTION("""COMPUTED_VALUE"""),"NYK")</f>
        <v>NYK</v>
      </c>
      <c r="E2405" s="164" t="str">
        <f>IFERROR(__xludf.DUMMYFUNCTION("""COMPUTED_VALUE"""),"Primary Ball Handler")</f>
        <v>Primary Ball Handler</v>
      </c>
      <c r="F2405" s="164">
        <f>IFERROR(__xludf.DUMMYFUNCTION("""COMPUTED_VALUE"""),1705.64833333333)</f>
        <v>1705.648333</v>
      </c>
      <c r="G2405" s="163">
        <f>IFERROR(__xludf.DUMMYFUNCTION("""COMPUTED_VALUE"""),78.0)</f>
        <v>78</v>
      </c>
      <c r="H2405" s="163" t="str">
        <f>IFERROR(__xludf.DUMMYFUNCTION("""COMPUTED_VALUE"""),"PG")</f>
        <v>PG</v>
      </c>
      <c r="I2405" s="163">
        <f>IFERROR(__xludf.DUMMYFUNCTION("""COMPUTED_VALUE"""),19.0)</f>
        <v>19</v>
      </c>
      <c r="J2405" s="165">
        <f>IFERROR(__xludf.DUMMYFUNCTION("""COMPUTED_VALUE"""),-2.24366608778698)</f>
        <v>-2.243666088</v>
      </c>
      <c r="K2405" s="165">
        <f>IFERROR(__xludf.DUMMYFUNCTION("""COMPUTED_VALUE"""),-2.22670116860236)</f>
        <v>-2.226701169</v>
      </c>
      <c r="L2405" s="165">
        <f>IFERROR(__xludf.DUMMYFUNCTION("""COMPUTED_VALUE"""),-0.0169649191846221)</f>
        <v>-0.01696491918</v>
      </c>
      <c r="M2405" s="166">
        <f t="shared" si="2"/>
        <v>0.06737364156</v>
      </c>
      <c r="N2405" s="167">
        <f t="shared" si="3"/>
        <v>21.86728632</v>
      </c>
      <c r="O2405" s="163">
        <f t="shared" ref="O2405:Q2405" si="2409">rank(I2405,I:I)</f>
        <v>3945</v>
      </c>
      <c r="P2405" s="163">
        <f t="shared" si="2409"/>
        <v>3630</v>
      </c>
      <c r="Q2405" s="163">
        <f t="shared" si="2409"/>
        <v>3810</v>
      </c>
      <c r="R2405" s="163">
        <f>IFERROR(__xludf.DUMMYFUNCTION("RANK(M2405,filter(M:M,C:C=C2405))"),415.0)</f>
        <v>415</v>
      </c>
      <c r="S2405" s="161" t="b">
        <f t="shared" si="5"/>
        <v>0</v>
      </c>
      <c r="T2405" s="161" t="b">
        <f t="array" ref="T2405">index('Query Tool'!B:B,match(H2405,'Query Tool'!C:C,0))</f>
        <v>1</v>
      </c>
      <c r="U2405" s="161" t="b">
        <f t="array" ref="U2405">index('Query Tool'!B:B,match(C2405,'Query Tool'!C:C,0))</f>
        <v>0</v>
      </c>
      <c r="V2405" s="161" t="b">
        <f>F2405&gt;='Query Tool'!C$32</f>
        <v>1</v>
      </c>
      <c r="W2405" s="161" t="b">
        <f t="array" ref="W2405">index(Dropdowns!B:B,match(I2405,Dropdowns!A:A,0))</f>
        <v>1</v>
      </c>
      <c r="X2405" s="161" t="b">
        <f t="array" ref="X2405">index('Query Tool'!B:B,match(D2405,'Query Tool'!C:C,0))</f>
        <v>1</v>
      </c>
      <c r="Y2405" s="161" t="str">
        <f t="shared" si="6"/>
        <v>ntilila01,2017-18</v>
      </c>
      <c r="Z2405" s="168">
        <f t="array" ref="Z2405">iferror(index(I:I,match($A2405&amp;","&amp;index('Year Conversion'!$A:$A,match($C2405,'Year Conversion'!$B:$B,0)),$Y:$Y,0))-I2405,"")</f>
        <v>1</v>
      </c>
      <c r="AA2405" s="168">
        <f t="array" ref="AA2405">iferror(index(J:J,match($A2405&amp;","&amp;index('Year Conversion'!$A:$A,match($C2405,'Year Conversion'!$B:$B,0)),$Y:$Y,0))-J2405,"")</f>
        <v>-0.2761075444</v>
      </c>
      <c r="AB2405" s="168">
        <f t="array" ref="AB2405">iferror(index(K:K,match($A2405&amp;","&amp;index('Year Conversion'!$A:$A,match($C2405,'Year Conversion'!$B:$B,0)),$Y:$Y,0))-K2405,"")</f>
        <v>-0.07586333236</v>
      </c>
      <c r="AC2405" s="168" t="str">
        <f t="shared" si="7"/>
        <v>NYK,2017-18</v>
      </c>
    </row>
    <row r="2406">
      <c r="A2406" s="161" t="str">
        <f>IFERROR(__xludf.DUMMYFUNCTION("""COMPUTED_VALUE"""),"markkla01")</f>
        <v>markkla01</v>
      </c>
      <c r="B2406" s="161" t="str">
        <f>IFERROR(__xludf.DUMMYFUNCTION("""COMPUTED_VALUE"""),"Lauri Markkanen")</f>
        <v>Lauri Markkanen</v>
      </c>
      <c r="C2406" s="162" t="str">
        <f>IFERROR(__xludf.DUMMYFUNCTION("""COMPUTED_VALUE"""),"2017-18")</f>
        <v>2017-18</v>
      </c>
      <c r="D2406" s="163" t="str">
        <f>IFERROR(__xludf.DUMMYFUNCTION("""COMPUTED_VALUE"""),"CHI")</f>
        <v>CHI</v>
      </c>
      <c r="E2406" s="164" t="str">
        <f>IFERROR(__xludf.DUMMYFUNCTION("""COMPUTED_VALUE"""),"Movement Shooter")</f>
        <v>Movement Shooter</v>
      </c>
      <c r="F2406" s="164">
        <f>IFERROR(__xludf.DUMMYFUNCTION("""COMPUTED_VALUE"""),2020.02)</f>
        <v>2020.02</v>
      </c>
      <c r="G2406" s="163">
        <f>IFERROR(__xludf.DUMMYFUNCTION("""COMPUTED_VALUE"""),68.0)</f>
        <v>68</v>
      </c>
      <c r="H2406" s="163" t="str">
        <f>IFERROR(__xludf.DUMMYFUNCTION("""COMPUTED_VALUE"""),"PF")</f>
        <v>PF</v>
      </c>
      <c r="I2406" s="163">
        <f>IFERROR(__xludf.DUMMYFUNCTION("""COMPUTED_VALUE"""),20.0)</f>
        <v>20</v>
      </c>
      <c r="J2406" s="165">
        <f>IFERROR(__xludf.DUMMYFUNCTION("""COMPUTED_VALUE"""),-0.596494859326016)</f>
        <v>-0.5964948593</v>
      </c>
      <c r="K2406" s="165">
        <f>IFERROR(__xludf.DUMMYFUNCTION("""COMPUTED_VALUE"""),-0.533763075697193)</f>
        <v>-0.5337630757</v>
      </c>
      <c r="L2406" s="165">
        <f>IFERROR(__xludf.DUMMYFUNCTION("""COMPUTED_VALUE"""),-0.0627317836288235)</f>
        <v>-0.06273178363</v>
      </c>
      <c r="M2406" s="166">
        <f t="shared" si="2"/>
        <v>2.302246215</v>
      </c>
      <c r="N2406" s="167">
        <f t="shared" si="3"/>
        <v>29.70617647</v>
      </c>
      <c r="O2406" s="163">
        <f t="shared" ref="O2406:Q2406" si="2410">rank(I2406,I:I)</f>
        <v>3770</v>
      </c>
      <c r="P2406" s="163">
        <f t="shared" si="2410"/>
        <v>1990</v>
      </c>
      <c r="Q2406" s="163">
        <f t="shared" si="2410"/>
        <v>2162</v>
      </c>
      <c r="R2406" s="163">
        <f>IFERROR(__xludf.DUMMYFUNCTION("RANK(M2406,filter(M:M,C:C=C2406))"),144.0)</f>
        <v>144</v>
      </c>
      <c r="S2406" s="161" t="b">
        <f t="shared" si="5"/>
        <v>0</v>
      </c>
      <c r="T2406" s="161" t="b">
        <f t="array" ref="T2406">index('Query Tool'!B:B,match(H2406,'Query Tool'!C:C,0))</f>
        <v>1</v>
      </c>
      <c r="U2406" s="161" t="b">
        <f t="array" ref="U2406">index('Query Tool'!B:B,match(C2406,'Query Tool'!C:C,0))</f>
        <v>0</v>
      </c>
      <c r="V2406" s="161" t="b">
        <f>F2406&gt;='Query Tool'!C$32</f>
        <v>1</v>
      </c>
      <c r="W2406" s="161" t="b">
        <f t="array" ref="W2406">index(Dropdowns!B:B,match(I2406,Dropdowns!A:A,0))</f>
        <v>1</v>
      </c>
      <c r="X2406" s="161" t="b">
        <f t="array" ref="X2406">index('Query Tool'!B:B,match(D2406,'Query Tool'!C:C,0))</f>
        <v>1</v>
      </c>
      <c r="Y2406" s="161" t="str">
        <f t="shared" si="6"/>
        <v>markkla01,2017-18</v>
      </c>
      <c r="Z2406" s="168">
        <f t="array" ref="Z2406">iferror(index(I:I,match($A2406&amp;","&amp;index('Year Conversion'!$A:$A,match($C2406,'Year Conversion'!$B:$B,0)),$Y:$Y,0))-I2406,"")</f>
        <v>1</v>
      </c>
      <c r="AA2406" s="168">
        <f t="array" ref="AA2406">iferror(index(J:J,match($A2406&amp;","&amp;index('Year Conversion'!$A:$A,match($C2406,'Year Conversion'!$B:$B,0)),$Y:$Y,0))-J2406,"")</f>
        <v>0.5894311439</v>
      </c>
      <c r="AB2406" s="168">
        <f t="array" ref="AB2406">iferror(index(K:K,match($A2406&amp;","&amp;index('Year Conversion'!$A:$A,match($C2406,'Year Conversion'!$B:$B,0)),$Y:$Y,0))-K2406,"")</f>
        <v>1.360160728</v>
      </c>
      <c r="AC2406" s="168" t="str">
        <f t="shared" si="7"/>
        <v>CHI,2017-18</v>
      </c>
    </row>
    <row r="2407">
      <c r="A2407" s="161" t="str">
        <f>IFERROR(__xludf.DUMMYFUNCTION("""COMPUTED_VALUE"""),"mitchdo01")</f>
        <v>mitchdo01</v>
      </c>
      <c r="B2407" s="161" t="str">
        <f>IFERROR(__xludf.DUMMYFUNCTION("""COMPUTED_VALUE"""),"Donovan Mitchell")</f>
        <v>Donovan Mitchell</v>
      </c>
      <c r="C2407" s="162" t="str">
        <f>IFERROR(__xludf.DUMMYFUNCTION("""COMPUTED_VALUE"""),"2017-18")</f>
        <v>2017-18</v>
      </c>
      <c r="D2407" s="163" t="str">
        <f>IFERROR(__xludf.DUMMYFUNCTION("""COMPUTED_VALUE"""),"UTA")</f>
        <v>UTA</v>
      </c>
      <c r="E2407" s="164" t="str">
        <f>IFERROR(__xludf.DUMMYFUNCTION("""COMPUTED_VALUE"""),"Primary Ball Handler")</f>
        <v>Primary Ball Handler</v>
      </c>
      <c r="F2407" s="164">
        <f>IFERROR(__xludf.DUMMYFUNCTION("""COMPUTED_VALUE"""),2638.11)</f>
        <v>2638.11</v>
      </c>
      <c r="G2407" s="163">
        <f>IFERROR(__xludf.DUMMYFUNCTION("""COMPUTED_VALUE"""),79.0)</f>
        <v>79</v>
      </c>
      <c r="H2407" s="163" t="str">
        <f>IFERROR(__xludf.DUMMYFUNCTION("""COMPUTED_VALUE"""),"SG")</f>
        <v>SG</v>
      </c>
      <c r="I2407" s="163">
        <f>IFERROR(__xludf.DUMMYFUNCTION("""COMPUTED_VALUE"""),21.0)</f>
        <v>21</v>
      </c>
      <c r="J2407" s="165">
        <f>IFERROR(__xludf.DUMMYFUNCTION("""COMPUTED_VALUE"""),2.03086697656216)</f>
        <v>2.030866977</v>
      </c>
      <c r="K2407" s="165">
        <f>IFERROR(__xludf.DUMMYFUNCTION("""COMPUTED_VALUE"""),1.373530397669)</f>
        <v>1.373530398</v>
      </c>
      <c r="L2407" s="165">
        <f>IFERROR(__xludf.DUMMYFUNCTION("""COMPUTED_VALUE"""),0.657336578893155)</f>
        <v>0.6573365789</v>
      </c>
      <c r="M2407" s="166">
        <f t="shared" si="2"/>
        <v>7.658605019</v>
      </c>
      <c r="N2407" s="167">
        <f t="shared" si="3"/>
        <v>33.39379747</v>
      </c>
      <c r="O2407" s="163">
        <f t="shared" ref="O2407:Q2407" si="2411">rank(I2407,I:I)</f>
        <v>3528</v>
      </c>
      <c r="P2407" s="163">
        <f t="shared" si="2411"/>
        <v>315</v>
      </c>
      <c r="Q2407" s="163">
        <f t="shared" si="2411"/>
        <v>362</v>
      </c>
      <c r="R2407" s="163">
        <f>IFERROR(__xludf.DUMMYFUNCTION("RANK(M2407,filter(M:M,C:C=C2407))"),26.0)</f>
        <v>26</v>
      </c>
      <c r="S2407" s="161" t="b">
        <f t="shared" si="5"/>
        <v>0</v>
      </c>
      <c r="T2407" s="161" t="b">
        <f t="array" ref="T2407">index('Query Tool'!B:B,match(H2407,'Query Tool'!C:C,0))</f>
        <v>1</v>
      </c>
      <c r="U2407" s="161" t="b">
        <f t="array" ref="U2407">index('Query Tool'!B:B,match(C2407,'Query Tool'!C:C,0))</f>
        <v>0</v>
      </c>
      <c r="V2407" s="161" t="b">
        <f>F2407&gt;='Query Tool'!C$32</f>
        <v>1</v>
      </c>
      <c r="W2407" s="161" t="b">
        <f t="array" ref="W2407">index(Dropdowns!B:B,match(I2407,Dropdowns!A:A,0))</f>
        <v>1</v>
      </c>
      <c r="X2407" s="161" t="b">
        <f t="array" ref="X2407">index('Query Tool'!B:B,match(D2407,'Query Tool'!C:C,0))</f>
        <v>1</v>
      </c>
      <c r="Y2407" s="161" t="str">
        <f t="shared" si="6"/>
        <v>mitchdo01,2017-18</v>
      </c>
      <c r="Z2407" s="168">
        <f t="array" ref="Z2407">iferror(index(I:I,match($A2407&amp;","&amp;index('Year Conversion'!$A:$A,match($C2407,'Year Conversion'!$B:$B,0)),$Y:$Y,0))-I2407,"")</f>
        <v>1</v>
      </c>
      <c r="AA2407" s="168">
        <f t="array" ref="AA2407">iferror(index(J:J,match($A2407&amp;","&amp;index('Year Conversion'!$A:$A,match($C2407,'Year Conversion'!$B:$B,0)),$Y:$Y,0))-J2407,"")</f>
        <v>-0.2198112313</v>
      </c>
      <c r="AB2407" s="168">
        <f t="array" ref="AB2407">iferror(index(K:K,match($A2407&amp;","&amp;index('Year Conversion'!$A:$A,match($C2407,'Year Conversion'!$B:$B,0)),$Y:$Y,0))-K2407,"")</f>
        <v>0.1456864595</v>
      </c>
      <c r="AC2407" s="168" t="str">
        <f t="shared" si="7"/>
        <v>UTA,2017-18</v>
      </c>
    </row>
    <row r="2408">
      <c r="A2408" s="161" t="str">
        <f>IFERROR(__xludf.DUMMYFUNCTION("""COMPUTED_VALUE"""),"kennalu01")</f>
        <v>kennalu01</v>
      </c>
      <c r="B2408" s="161" t="str">
        <f>IFERROR(__xludf.DUMMYFUNCTION("""COMPUTED_VALUE"""),"Luke Kennard")</f>
        <v>Luke Kennard</v>
      </c>
      <c r="C2408" s="162" t="str">
        <f>IFERROR(__xludf.DUMMYFUNCTION("""COMPUTED_VALUE"""),"2017-18")</f>
        <v>2017-18</v>
      </c>
      <c r="D2408" s="163" t="str">
        <f>IFERROR(__xludf.DUMMYFUNCTION("""COMPUTED_VALUE"""),"DET")</f>
        <v>DET</v>
      </c>
      <c r="E2408" s="164" t="str">
        <f>IFERROR(__xludf.DUMMYFUNCTION("""COMPUTED_VALUE"""),"Movement Shooter")</f>
        <v>Movement Shooter</v>
      </c>
      <c r="F2408" s="164">
        <f>IFERROR(__xludf.DUMMYFUNCTION("""COMPUTED_VALUE"""),1462.77333333333)</f>
        <v>1462.773333</v>
      </c>
      <c r="G2408" s="163">
        <f>IFERROR(__xludf.DUMMYFUNCTION("""COMPUTED_VALUE"""),73.0)</f>
        <v>73</v>
      </c>
      <c r="H2408" s="163" t="str">
        <f>IFERROR(__xludf.DUMMYFUNCTION("""COMPUTED_VALUE"""),"SG")</f>
        <v>SG</v>
      </c>
      <c r="I2408" s="163">
        <f>IFERROR(__xludf.DUMMYFUNCTION("""COMPUTED_VALUE"""),21.0)</f>
        <v>21</v>
      </c>
      <c r="J2408" s="165">
        <f>IFERROR(__xludf.DUMMYFUNCTION("""COMPUTED_VALUE"""),-1.64334207477947)</f>
        <v>-1.643342075</v>
      </c>
      <c r="K2408" s="165">
        <f>IFERROR(__xludf.DUMMYFUNCTION("""COMPUTED_VALUE"""),-0.987242496875504)</f>
        <v>-0.9872424969</v>
      </c>
      <c r="L2408" s="165">
        <f>IFERROR(__xludf.DUMMYFUNCTION("""COMPUTED_VALUE"""),-0.656099577903966)</f>
        <v>-0.6560995779</v>
      </c>
      <c r="M2408" s="166">
        <f t="shared" si="2"/>
        <v>0.6405192758</v>
      </c>
      <c r="N2408" s="167">
        <f t="shared" si="3"/>
        <v>20.03799087</v>
      </c>
      <c r="O2408" s="163">
        <f t="shared" ref="O2408:Q2408" si="2412">rank(I2408,I:I)</f>
        <v>3528</v>
      </c>
      <c r="P2408" s="163">
        <f t="shared" si="2412"/>
        <v>3189</v>
      </c>
      <c r="Q2408" s="163">
        <f t="shared" si="2412"/>
        <v>2784</v>
      </c>
      <c r="R2408" s="163">
        <f>IFERROR(__xludf.DUMMYFUNCTION("RANK(M2408,filter(M:M,C:C=C2408))"),279.0)</f>
        <v>279</v>
      </c>
      <c r="S2408" s="161" t="b">
        <f t="shared" si="5"/>
        <v>0</v>
      </c>
      <c r="T2408" s="161" t="b">
        <f t="array" ref="T2408">index('Query Tool'!B:B,match(H2408,'Query Tool'!C:C,0))</f>
        <v>1</v>
      </c>
      <c r="U2408" s="161" t="b">
        <f t="array" ref="U2408">index('Query Tool'!B:B,match(C2408,'Query Tool'!C:C,0))</f>
        <v>0</v>
      </c>
      <c r="V2408" s="161" t="b">
        <f>F2408&gt;='Query Tool'!C$32</f>
        <v>1</v>
      </c>
      <c r="W2408" s="161" t="b">
        <f t="array" ref="W2408">index(Dropdowns!B:B,match(I2408,Dropdowns!A:A,0))</f>
        <v>1</v>
      </c>
      <c r="X2408" s="161" t="b">
        <f t="array" ref="X2408">index('Query Tool'!B:B,match(D2408,'Query Tool'!C:C,0))</f>
        <v>1</v>
      </c>
      <c r="Y2408" s="161" t="str">
        <f t="shared" si="6"/>
        <v>kennalu01,2017-18</v>
      </c>
      <c r="Z2408" s="168">
        <f t="array" ref="Z2408">iferror(index(I:I,match($A2408&amp;","&amp;index('Year Conversion'!$A:$A,match($C2408,'Year Conversion'!$B:$B,0)),$Y:$Y,0))-I2408,"")</f>
        <v>1</v>
      </c>
      <c r="AA2408" s="168">
        <f t="array" ref="AA2408">iferror(index(J:J,match($A2408&amp;","&amp;index('Year Conversion'!$A:$A,match($C2408,'Year Conversion'!$B:$B,0)),$Y:$Y,0))-J2408,"")</f>
        <v>0.03193167535</v>
      </c>
      <c r="AB2408" s="168">
        <f t="array" ref="AB2408">iferror(index(K:K,match($A2408&amp;","&amp;index('Year Conversion'!$A:$A,match($C2408,'Year Conversion'!$B:$B,0)),$Y:$Y,0))-K2408,"")</f>
        <v>0.3530252515</v>
      </c>
      <c r="AC2408" s="168" t="str">
        <f t="shared" si="7"/>
        <v>DET,2017-18</v>
      </c>
    </row>
    <row r="2409">
      <c r="A2409" s="161" t="str">
        <f>IFERROR(__xludf.DUMMYFUNCTION("""COMPUTED_VALUE"""),"colliza01")</f>
        <v>colliza01</v>
      </c>
      <c r="B2409" s="161" t="str">
        <f>IFERROR(__xludf.DUMMYFUNCTION("""COMPUTED_VALUE"""),"Zach Collins")</f>
        <v>Zach Collins</v>
      </c>
      <c r="C2409" s="162" t="str">
        <f>IFERROR(__xludf.DUMMYFUNCTION("""COMPUTED_VALUE"""),"2017-18")</f>
        <v>2017-18</v>
      </c>
      <c r="D2409" s="163" t="str">
        <f>IFERROR(__xludf.DUMMYFUNCTION("""COMPUTED_VALUE"""),"POR")</f>
        <v>POR</v>
      </c>
      <c r="E2409" s="164" t="str">
        <f>IFERROR(__xludf.DUMMYFUNCTION("""COMPUTED_VALUE"""),"Versatile Big")</f>
        <v>Versatile Big</v>
      </c>
      <c r="F2409" s="164">
        <f>IFERROR(__xludf.DUMMYFUNCTION("""COMPUTED_VALUE"""),1045.45)</f>
        <v>1045.45</v>
      </c>
      <c r="G2409" s="163">
        <f>IFERROR(__xludf.DUMMYFUNCTION("""COMPUTED_VALUE"""),66.0)</f>
        <v>66</v>
      </c>
      <c r="H2409" s="163" t="str">
        <f>IFERROR(__xludf.DUMMYFUNCTION("""COMPUTED_VALUE"""),"C")</f>
        <v>C</v>
      </c>
      <c r="I2409" s="163">
        <f>IFERROR(__xludf.DUMMYFUNCTION("""COMPUTED_VALUE"""),20.0)</f>
        <v>20</v>
      </c>
      <c r="J2409" s="165">
        <f>IFERROR(__xludf.DUMMYFUNCTION("""COMPUTED_VALUE"""),-2.21099601901601)</f>
        <v>-2.210996019</v>
      </c>
      <c r="K2409" s="165">
        <f>IFERROR(__xludf.DUMMYFUNCTION("""COMPUTED_VALUE"""),-1.86389675485895)</f>
        <v>-1.863896755</v>
      </c>
      <c r="L2409" s="165">
        <f>IFERROR(__xludf.DUMMYFUNCTION("""COMPUTED_VALUE"""),-0.347099264157059)</f>
        <v>-0.3470992642</v>
      </c>
      <c r="M2409" s="166">
        <f t="shared" si="2"/>
        <v>0.06385288002</v>
      </c>
      <c r="N2409" s="167">
        <f t="shared" si="3"/>
        <v>15.84015152</v>
      </c>
      <c r="O2409" s="163">
        <f t="shared" ref="O2409:Q2409" si="2413">rank(I2409,I:I)</f>
        <v>3770</v>
      </c>
      <c r="P2409" s="163">
        <f t="shared" si="2413"/>
        <v>3612</v>
      </c>
      <c r="Q2409" s="163">
        <f t="shared" si="2413"/>
        <v>3618</v>
      </c>
      <c r="R2409" s="163">
        <f>IFERROR(__xludf.DUMMYFUNCTION("RANK(M2409,filter(M:M,C:C=C2409))"),419.0)</f>
        <v>419</v>
      </c>
      <c r="S2409" s="161" t="b">
        <f t="shared" si="5"/>
        <v>0</v>
      </c>
      <c r="T2409" s="161" t="b">
        <f t="array" ref="T2409">index('Query Tool'!B:B,match(H2409,'Query Tool'!C:C,0))</f>
        <v>1</v>
      </c>
      <c r="U2409" s="161" t="b">
        <f t="array" ref="U2409">index('Query Tool'!B:B,match(C2409,'Query Tool'!C:C,0))</f>
        <v>0</v>
      </c>
      <c r="V2409" s="161" t="b">
        <f>F2409&gt;='Query Tool'!C$32</f>
        <v>1</v>
      </c>
      <c r="W2409" s="161" t="b">
        <f t="array" ref="W2409">index(Dropdowns!B:B,match(I2409,Dropdowns!A:A,0))</f>
        <v>1</v>
      </c>
      <c r="X2409" s="161" t="b">
        <f t="array" ref="X2409">index('Query Tool'!B:B,match(D2409,'Query Tool'!C:C,0))</f>
        <v>1</v>
      </c>
      <c r="Y2409" s="161" t="str">
        <f t="shared" si="6"/>
        <v>colliza01,2017-18</v>
      </c>
      <c r="Z2409" s="168">
        <f t="array" ref="Z2409">iferror(index(I:I,match($A2409&amp;","&amp;index('Year Conversion'!$A:$A,match($C2409,'Year Conversion'!$B:$B,0)),$Y:$Y,0))-I2409,"")</f>
        <v>1</v>
      </c>
      <c r="AA2409" s="168">
        <f t="array" ref="AA2409">iferror(index(J:J,match($A2409&amp;","&amp;index('Year Conversion'!$A:$A,match($C2409,'Year Conversion'!$B:$B,0)),$Y:$Y,0))-J2409,"")</f>
        <v>1.183709956</v>
      </c>
      <c r="AB2409" s="168">
        <f t="array" ref="AB2409">iferror(index(K:K,match($A2409&amp;","&amp;index('Year Conversion'!$A:$A,match($C2409,'Year Conversion'!$B:$B,0)),$Y:$Y,0))-K2409,"")</f>
        <v>0.4389982734</v>
      </c>
      <c r="AC2409" s="168" t="str">
        <f t="shared" si="7"/>
        <v>POR,2017-18</v>
      </c>
    </row>
    <row r="2410">
      <c r="A2410" s="161" t="str">
        <f>IFERROR(__xludf.DUMMYFUNCTION("""COMPUTED_VALUE"""),"collijo01")</f>
        <v>collijo01</v>
      </c>
      <c r="B2410" s="161" t="str">
        <f>IFERROR(__xludf.DUMMYFUNCTION("""COMPUTED_VALUE"""),"John Collins")</f>
        <v>John Collins</v>
      </c>
      <c r="C2410" s="162" t="str">
        <f>IFERROR(__xludf.DUMMYFUNCTION("""COMPUTED_VALUE"""),"2017-18")</f>
        <v>2017-18</v>
      </c>
      <c r="D2410" s="163" t="str">
        <f>IFERROR(__xludf.DUMMYFUNCTION("""COMPUTED_VALUE"""),"ATL")</f>
        <v>ATL</v>
      </c>
      <c r="E2410" s="164" t="str">
        <f>IFERROR(__xludf.DUMMYFUNCTION("""COMPUTED_VALUE"""),"Roll + Cut Big")</f>
        <v>Roll + Cut Big</v>
      </c>
      <c r="F2410" s="164">
        <f>IFERROR(__xludf.DUMMYFUNCTION("""COMPUTED_VALUE"""),1784.62)</f>
        <v>1784.62</v>
      </c>
      <c r="G2410" s="163">
        <f>IFERROR(__xludf.DUMMYFUNCTION("""COMPUTED_VALUE"""),74.0)</f>
        <v>74</v>
      </c>
      <c r="H2410" s="163" t="str">
        <f>IFERROR(__xludf.DUMMYFUNCTION("""COMPUTED_VALUE"""),"PF")</f>
        <v>PF</v>
      </c>
      <c r="I2410" s="163">
        <f>IFERROR(__xludf.DUMMYFUNCTION("""COMPUTED_VALUE"""),20.0)</f>
        <v>20</v>
      </c>
      <c r="J2410" s="165">
        <f>IFERROR(__xludf.DUMMYFUNCTION("""COMPUTED_VALUE"""),-0.00636480864302436)</f>
        <v>-0.006364808643</v>
      </c>
      <c r="K2410" s="165">
        <f>IFERROR(__xludf.DUMMYFUNCTION("""COMPUTED_VALUE"""),-1.13108341538884)</f>
        <v>-1.131083415</v>
      </c>
      <c r="L2410" s="165">
        <f>IFERROR(__xludf.DUMMYFUNCTION("""COMPUTED_VALUE"""),1.12471860674582)</f>
        <v>1.124718607</v>
      </c>
      <c r="M2410" s="166">
        <f t="shared" si="2"/>
        <v>2.743631204</v>
      </c>
      <c r="N2410" s="167">
        <f t="shared" si="3"/>
        <v>24.11648649</v>
      </c>
      <c r="O2410" s="163">
        <f t="shared" ref="O2410:Q2410" si="2414">rank(I2410,I:I)</f>
        <v>3770</v>
      </c>
      <c r="P2410" s="163">
        <f t="shared" si="2414"/>
        <v>1293</v>
      </c>
      <c r="Q2410" s="163">
        <f t="shared" si="2414"/>
        <v>2961</v>
      </c>
      <c r="R2410" s="163">
        <f>IFERROR(__xludf.DUMMYFUNCTION("RANK(M2410,filter(M:M,C:C=C2410))"),120.0)</f>
        <v>120</v>
      </c>
      <c r="S2410" s="161" t="b">
        <f t="shared" si="5"/>
        <v>0</v>
      </c>
      <c r="T2410" s="161" t="b">
        <f t="array" ref="T2410">index('Query Tool'!B:B,match(H2410,'Query Tool'!C:C,0))</f>
        <v>1</v>
      </c>
      <c r="U2410" s="161" t="b">
        <f t="array" ref="U2410">index('Query Tool'!B:B,match(C2410,'Query Tool'!C:C,0))</f>
        <v>0</v>
      </c>
      <c r="V2410" s="161" t="b">
        <f>F2410&gt;='Query Tool'!C$32</f>
        <v>1</v>
      </c>
      <c r="W2410" s="161" t="b">
        <f t="array" ref="W2410">index(Dropdowns!B:B,match(I2410,Dropdowns!A:A,0))</f>
        <v>1</v>
      </c>
      <c r="X2410" s="161" t="b">
        <f t="array" ref="X2410">index('Query Tool'!B:B,match(D2410,'Query Tool'!C:C,0))</f>
        <v>1</v>
      </c>
      <c r="Y2410" s="161" t="str">
        <f t="shared" si="6"/>
        <v>collijo01,2017-18</v>
      </c>
      <c r="Z2410" s="168">
        <f t="array" ref="Z2410">iferror(index(I:I,match($A2410&amp;","&amp;index('Year Conversion'!$A:$A,match($C2410,'Year Conversion'!$B:$B,0)),$Y:$Y,0))-I2410,"")</f>
        <v>1</v>
      </c>
      <c r="AA2410" s="168">
        <f t="array" ref="AA2410">iferror(index(J:J,match($A2410&amp;","&amp;index('Year Conversion'!$A:$A,match($C2410,'Year Conversion'!$B:$B,0)),$Y:$Y,0))-J2410,"")</f>
        <v>0.3447660821</v>
      </c>
      <c r="AB2410" s="168">
        <f t="array" ref="AB2410">iferror(index(K:K,match($A2410&amp;","&amp;index('Year Conversion'!$A:$A,match($C2410,'Year Conversion'!$B:$B,0)),$Y:$Y,0))-K2410,"")</f>
        <v>3.069340632</v>
      </c>
      <c r="AC2410" s="168" t="str">
        <f t="shared" si="7"/>
        <v>ATL,2017-18</v>
      </c>
    </row>
    <row r="2411">
      <c r="A2411" s="161" t="str">
        <f>IFERROR(__xludf.DUMMYFUNCTION("""COMPUTED_VALUE"""),"jacksju01")</f>
        <v>jacksju01</v>
      </c>
      <c r="B2411" s="161" t="str">
        <f>IFERROR(__xludf.DUMMYFUNCTION("""COMPUTED_VALUE"""),"Justin Jackson")</f>
        <v>Justin Jackson</v>
      </c>
      <c r="C2411" s="162" t="str">
        <f>IFERROR(__xludf.DUMMYFUNCTION("""COMPUTED_VALUE"""),"2017-18")</f>
        <v>2017-18</v>
      </c>
      <c r="D2411" s="163" t="str">
        <f>IFERROR(__xludf.DUMMYFUNCTION("""COMPUTED_VALUE"""),"SAC")</f>
        <v>SAC</v>
      </c>
      <c r="E2411" s="164" t="str">
        <f>IFERROR(__xludf.DUMMYFUNCTION("""COMPUTED_VALUE"""),"Stationary Shooter")</f>
        <v>Stationary Shooter</v>
      </c>
      <c r="F2411" s="164">
        <f>IFERROR(__xludf.DUMMYFUNCTION("""COMPUTED_VALUE"""),1506.25833333333)</f>
        <v>1506.258333</v>
      </c>
      <c r="G2411" s="163">
        <f>IFERROR(__xludf.DUMMYFUNCTION("""COMPUTED_VALUE"""),68.0)</f>
        <v>68</v>
      </c>
      <c r="H2411" s="163" t="str">
        <f>IFERROR(__xludf.DUMMYFUNCTION("""COMPUTED_VALUE"""),"SF")</f>
        <v>SF</v>
      </c>
      <c r="I2411" s="163">
        <f>IFERROR(__xludf.DUMMYFUNCTION("""COMPUTED_VALUE"""),22.0)</f>
        <v>22</v>
      </c>
      <c r="J2411" s="165">
        <f>IFERROR(__xludf.DUMMYFUNCTION("""COMPUTED_VALUE"""),-1.93881403228424)</f>
        <v>-1.938814032</v>
      </c>
      <c r="K2411" s="165">
        <f>IFERROR(__xludf.DUMMYFUNCTION("""COMPUTED_VALUE"""),-1.56921270234579)</f>
        <v>-1.569212702</v>
      </c>
      <c r="L2411" s="165">
        <f>IFERROR(__xludf.DUMMYFUNCTION("""COMPUTED_VALUE"""),-0.369601329938455)</f>
        <v>-0.3696013299</v>
      </c>
      <c r="M2411" s="166">
        <f t="shared" si="2"/>
        <v>0.3634922464</v>
      </c>
      <c r="N2411" s="167">
        <f t="shared" si="3"/>
        <v>22.15085784</v>
      </c>
      <c r="O2411" s="163">
        <f t="shared" ref="O2411:Q2411" si="2415">rank(I2411,I:I)</f>
        <v>3178</v>
      </c>
      <c r="P2411" s="163">
        <f t="shared" si="2415"/>
        <v>3440</v>
      </c>
      <c r="Q2411" s="163">
        <f t="shared" si="2415"/>
        <v>3423</v>
      </c>
      <c r="R2411" s="163">
        <f>IFERROR(__xludf.DUMMYFUNCTION("RANK(M2411,filter(M:M,C:C=C2411))"),307.0)</f>
        <v>307</v>
      </c>
      <c r="S2411" s="161" t="b">
        <f t="shared" si="5"/>
        <v>0</v>
      </c>
      <c r="T2411" s="161" t="b">
        <f t="array" ref="T2411">index('Query Tool'!B:B,match(H2411,'Query Tool'!C:C,0))</f>
        <v>1</v>
      </c>
      <c r="U2411" s="161" t="b">
        <f t="array" ref="U2411">index('Query Tool'!B:B,match(C2411,'Query Tool'!C:C,0))</f>
        <v>0</v>
      </c>
      <c r="V2411" s="161" t="b">
        <f>F2411&gt;='Query Tool'!C$32</f>
        <v>1</v>
      </c>
      <c r="W2411" s="161" t="b">
        <f t="array" ref="W2411">index(Dropdowns!B:B,match(I2411,Dropdowns!A:A,0))</f>
        <v>1</v>
      </c>
      <c r="X2411" s="161" t="b">
        <f t="array" ref="X2411">index('Query Tool'!B:B,match(D2411,'Query Tool'!C:C,0))</f>
        <v>1</v>
      </c>
      <c r="Y2411" s="161" t="str">
        <f t="shared" si="6"/>
        <v>jacksju01,2017-18</v>
      </c>
      <c r="Z2411" s="168">
        <f t="array" ref="Z2411">iferror(index(I:I,match($A2411&amp;","&amp;index('Year Conversion'!$A:$A,match($C2411,'Year Conversion'!$B:$B,0)),$Y:$Y,0))-I2411,"")</f>
        <v>1</v>
      </c>
      <c r="AA2411" s="168">
        <f t="array" ref="AA2411">iferror(index(J:J,match($A2411&amp;","&amp;index('Year Conversion'!$A:$A,match($C2411,'Year Conversion'!$B:$B,0)),$Y:$Y,0))-J2411,"")</f>
        <v>0.3887085398</v>
      </c>
      <c r="AB2411" s="168">
        <f t="array" ref="AB2411">iferror(index(K:K,match($A2411&amp;","&amp;index('Year Conversion'!$A:$A,match($C2411,'Year Conversion'!$B:$B,0)),$Y:$Y,0))-K2411,"")</f>
        <v>1.056192441</v>
      </c>
      <c r="AC2411" s="168" t="str">
        <f t="shared" si="7"/>
        <v>SAC,2017-18</v>
      </c>
    </row>
    <row r="2412">
      <c r="A2412" s="161" t="str">
        <f>IFERROR(__xludf.DUMMYFUNCTION("""COMPUTED_VALUE"""),"pattoju01")</f>
        <v>pattoju01</v>
      </c>
      <c r="B2412" s="161" t="str">
        <f>IFERROR(__xludf.DUMMYFUNCTION("""COMPUTED_VALUE"""),"Justin Patton")</f>
        <v>Justin Patton</v>
      </c>
      <c r="C2412" s="162" t="str">
        <f>IFERROR(__xludf.DUMMYFUNCTION("""COMPUTED_VALUE"""),"2017-18")</f>
        <v>2017-18</v>
      </c>
      <c r="D2412" s="163" t="str">
        <f>IFERROR(__xludf.DUMMYFUNCTION("""COMPUTED_VALUE"""),"MIN")</f>
        <v>MIN</v>
      </c>
      <c r="E2412" s="164" t="str">
        <f>IFERROR(__xludf.DUMMYFUNCTION("""COMPUTED_VALUE"""),"Post Scorer")</f>
        <v>Post Scorer</v>
      </c>
      <c r="F2412" s="164">
        <f>IFERROR(__xludf.DUMMYFUNCTION("""COMPUTED_VALUE"""),3.73333333333333)</f>
        <v>3.733333333</v>
      </c>
      <c r="G2412" s="163">
        <f>IFERROR(__xludf.DUMMYFUNCTION("""COMPUTED_VALUE"""),1.0)</f>
        <v>1</v>
      </c>
      <c r="H2412" s="163" t="str">
        <f>IFERROR(__xludf.DUMMYFUNCTION("""COMPUTED_VALUE"""),"C")</f>
        <v>C</v>
      </c>
      <c r="I2412" s="163">
        <f>IFERROR(__xludf.DUMMYFUNCTION("""COMPUTED_VALUE"""),20.0)</f>
        <v>20</v>
      </c>
      <c r="J2412" s="165">
        <f>IFERROR(__xludf.DUMMYFUNCTION("""COMPUTED_VALUE"""),-0.938797671906755)</f>
        <v>-0.9387976719</v>
      </c>
      <c r="K2412" s="165">
        <f>IFERROR(__xludf.DUMMYFUNCTION("""COMPUTED_VALUE"""),-0.471505924494652)</f>
        <v>-0.4715059245</v>
      </c>
      <c r="L2412" s="165">
        <f>IFERROR(__xludf.DUMMYFUNCTION("""COMPUTED_VALUE"""),-0.467291747412103)</f>
        <v>-0.4672917474</v>
      </c>
      <c r="M2412" s="166">
        <f t="shared" si="2"/>
        <v>0.003395513791</v>
      </c>
      <c r="N2412" s="167">
        <f t="shared" si="3"/>
        <v>3.733333333</v>
      </c>
      <c r="O2412" s="163">
        <f t="shared" ref="O2412:Q2412" si="2416">rank(I2412,I:I)</f>
        <v>3770</v>
      </c>
      <c r="P2412" s="163">
        <f t="shared" si="2416"/>
        <v>2434</v>
      </c>
      <c r="Q2412" s="163">
        <f t="shared" si="2416"/>
        <v>2068</v>
      </c>
      <c r="R2412" s="163">
        <f>IFERROR(__xludf.DUMMYFUNCTION("RANK(M2412,filter(M:M,C:C=C2412))"),490.0)</f>
        <v>490</v>
      </c>
      <c r="S2412" s="161" t="b">
        <f t="shared" si="5"/>
        <v>0</v>
      </c>
      <c r="T2412" s="161" t="b">
        <f t="array" ref="T2412">index('Query Tool'!B:B,match(H2412,'Query Tool'!C:C,0))</f>
        <v>1</v>
      </c>
      <c r="U2412" s="161" t="b">
        <f t="array" ref="U2412">index('Query Tool'!B:B,match(C2412,'Query Tool'!C:C,0))</f>
        <v>0</v>
      </c>
      <c r="V2412" s="161" t="b">
        <f>F2412&gt;='Query Tool'!C$32</f>
        <v>0</v>
      </c>
      <c r="W2412" s="161" t="b">
        <f t="array" ref="W2412">index(Dropdowns!B:B,match(I2412,Dropdowns!A:A,0))</f>
        <v>1</v>
      </c>
      <c r="X2412" s="161" t="b">
        <f t="array" ref="X2412">index('Query Tool'!B:B,match(D2412,'Query Tool'!C:C,0))</f>
        <v>1</v>
      </c>
      <c r="Y2412" s="161" t="str">
        <f t="shared" si="6"/>
        <v>pattoju01,2017-18</v>
      </c>
      <c r="Z2412" s="168">
        <f t="array" ref="Z2412">iferror(index(I:I,match($A2412&amp;","&amp;index('Year Conversion'!$A:$A,match($C2412,'Year Conversion'!$B:$B,0)),$Y:$Y,0))-I2412,"")</f>
        <v>1</v>
      </c>
      <c r="AA2412" s="168">
        <f t="array" ref="AA2412">iferror(index(J:J,match($A2412&amp;","&amp;index('Year Conversion'!$A:$A,match($C2412,'Year Conversion'!$B:$B,0)),$Y:$Y,0))-J2412,"")</f>
        <v>0.3425949186</v>
      </c>
      <c r="AB2412" s="168">
        <f t="array" ref="AB2412">iferror(index(K:K,match($A2412&amp;","&amp;index('Year Conversion'!$A:$A,match($C2412,'Year Conversion'!$B:$B,0)),$Y:$Y,0))-K2412,"")</f>
        <v>0.2951036424</v>
      </c>
      <c r="AC2412" s="168" t="str">
        <f t="shared" si="7"/>
        <v>MIN,2017-18</v>
      </c>
    </row>
    <row r="2413">
      <c r="A2413" s="161" t="str">
        <f>IFERROR(__xludf.DUMMYFUNCTION("""COMPUTED_VALUE"""),"anunoog01")</f>
        <v>anunoog01</v>
      </c>
      <c r="B2413" s="161" t="str">
        <f>IFERROR(__xludf.DUMMYFUNCTION("""COMPUTED_VALUE"""),"OG Anunoby")</f>
        <v>OG Anunoby</v>
      </c>
      <c r="C2413" s="162" t="str">
        <f>IFERROR(__xludf.DUMMYFUNCTION("""COMPUTED_VALUE"""),"2017-18")</f>
        <v>2017-18</v>
      </c>
      <c r="D2413" s="163" t="str">
        <f>IFERROR(__xludf.DUMMYFUNCTION("""COMPUTED_VALUE"""),"TOR")</f>
        <v>TOR</v>
      </c>
      <c r="E2413" s="164" t="str">
        <f>IFERROR(__xludf.DUMMYFUNCTION("""COMPUTED_VALUE"""),"Stationary Shooter")</f>
        <v>Stationary Shooter</v>
      </c>
      <c r="F2413" s="164">
        <f>IFERROR(__xludf.DUMMYFUNCTION("""COMPUTED_VALUE"""),1481.46166666667)</f>
        <v>1481.461667</v>
      </c>
      <c r="G2413" s="163">
        <f>IFERROR(__xludf.DUMMYFUNCTION("""COMPUTED_VALUE"""),74.0)</f>
        <v>74</v>
      </c>
      <c r="H2413" s="163" t="str">
        <f>IFERROR(__xludf.DUMMYFUNCTION("""COMPUTED_VALUE"""),"SF")</f>
        <v>SF</v>
      </c>
      <c r="I2413" s="163">
        <f>IFERROR(__xludf.DUMMYFUNCTION("""COMPUTED_VALUE"""),20.0)</f>
        <v>20</v>
      </c>
      <c r="J2413" s="165">
        <f>IFERROR(__xludf.DUMMYFUNCTION("""COMPUTED_VALUE"""),-0.454037423262839)</f>
        <v>-0.4540374233</v>
      </c>
      <c r="K2413" s="165">
        <f>IFERROR(__xludf.DUMMYFUNCTION("""COMPUTED_VALUE"""),-0.861360757053467)</f>
        <v>-0.8613607571</v>
      </c>
      <c r="L2413" s="165">
        <f>IFERROR(__xludf.DUMMYFUNCTION("""COMPUTED_VALUE"""),0.407323333790628)</f>
        <v>0.4073233338</v>
      </c>
      <c r="M2413" s="166">
        <f t="shared" si="2"/>
        <v>1.830563506</v>
      </c>
      <c r="N2413" s="167">
        <f t="shared" si="3"/>
        <v>20.01975225</v>
      </c>
      <c r="O2413" s="163">
        <f t="shared" ref="O2413:Q2413" si="2417">rank(I2413,I:I)</f>
        <v>3770</v>
      </c>
      <c r="P2413" s="163">
        <f t="shared" si="2417"/>
        <v>1779</v>
      </c>
      <c r="Q2413" s="163">
        <f t="shared" si="2417"/>
        <v>2636</v>
      </c>
      <c r="R2413" s="163">
        <f>IFERROR(__xludf.DUMMYFUNCTION("RANK(M2413,filter(M:M,C:C=C2413))"),164.0)</f>
        <v>164</v>
      </c>
      <c r="S2413" s="161" t="b">
        <f t="shared" si="5"/>
        <v>0</v>
      </c>
      <c r="T2413" s="161" t="b">
        <f t="array" ref="T2413">index('Query Tool'!B:B,match(H2413,'Query Tool'!C:C,0))</f>
        <v>1</v>
      </c>
      <c r="U2413" s="161" t="b">
        <f t="array" ref="U2413">index('Query Tool'!B:B,match(C2413,'Query Tool'!C:C,0))</f>
        <v>0</v>
      </c>
      <c r="V2413" s="161" t="b">
        <f>F2413&gt;='Query Tool'!C$32</f>
        <v>1</v>
      </c>
      <c r="W2413" s="161" t="b">
        <f t="array" ref="W2413">index(Dropdowns!B:B,match(I2413,Dropdowns!A:A,0))</f>
        <v>1</v>
      </c>
      <c r="X2413" s="161" t="b">
        <f t="array" ref="X2413">index('Query Tool'!B:B,match(D2413,'Query Tool'!C:C,0))</f>
        <v>1</v>
      </c>
      <c r="Y2413" s="161" t="str">
        <f t="shared" si="6"/>
        <v>anunoog01,2017-18</v>
      </c>
      <c r="Z2413" s="168">
        <f t="array" ref="Z2413">iferror(index(I:I,match($A2413&amp;","&amp;index('Year Conversion'!$A:$A,match($C2413,'Year Conversion'!$B:$B,0)),$Y:$Y,0))-I2413,"")</f>
        <v>1</v>
      </c>
      <c r="AA2413" s="168">
        <f t="array" ref="AA2413">iferror(index(J:J,match($A2413&amp;","&amp;index('Year Conversion'!$A:$A,match($C2413,'Year Conversion'!$B:$B,0)),$Y:$Y,0))-J2413,"")</f>
        <v>-1.993931212</v>
      </c>
      <c r="AB2413" s="168">
        <f t="array" ref="AB2413">iferror(index(K:K,match($A2413&amp;","&amp;index('Year Conversion'!$A:$A,match($C2413,'Year Conversion'!$B:$B,0)),$Y:$Y,0))-K2413,"")</f>
        <v>-0.9009834625</v>
      </c>
      <c r="AC2413" s="168" t="str">
        <f t="shared" si="7"/>
        <v>TOR,2017-18</v>
      </c>
    </row>
    <row r="2414">
      <c r="A2414" s="161" t="str">
        <f>IFERROR(__xludf.DUMMYFUNCTION("""COMPUTED_VALUE"""),"allenja01")</f>
        <v>allenja01</v>
      </c>
      <c r="B2414" s="161" t="str">
        <f>IFERROR(__xludf.DUMMYFUNCTION("""COMPUTED_VALUE"""),"Jarrett Allen")</f>
        <v>Jarrett Allen</v>
      </c>
      <c r="C2414" s="162" t="str">
        <f>IFERROR(__xludf.DUMMYFUNCTION("""COMPUTED_VALUE"""),"2017-18")</f>
        <v>2017-18</v>
      </c>
      <c r="D2414" s="163" t="str">
        <f>IFERROR(__xludf.DUMMYFUNCTION("""COMPUTED_VALUE"""),"BRK")</f>
        <v>BRK</v>
      </c>
      <c r="E2414" s="164" t="str">
        <f>IFERROR(__xludf.DUMMYFUNCTION("""COMPUTED_VALUE"""),"Roll + Cut Big")</f>
        <v>Roll + Cut Big</v>
      </c>
      <c r="F2414" s="164">
        <f>IFERROR(__xludf.DUMMYFUNCTION("""COMPUTED_VALUE"""),1441.115)</f>
        <v>1441.115</v>
      </c>
      <c r="G2414" s="163">
        <f>IFERROR(__xludf.DUMMYFUNCTION("""COMPUTED_VALUE"""),72.0)</f>
        <v>72</v>
      </c>
      <c r="H2414" s="163" t="str">
        <f>IFERROR(__xludf.DUMMYFUNCTION("""COMPUTED_VALUE"""),"C")</f>
        <v>C</v>
      </c>
      <c r="I2414" s="163">
        <f>IFERROR(__xludf.DUMMYFUNCTION("""COMPUTED_VALUE"""),19.0)</f>
        <v>19</v>
      </c>
      <c r="J2414" s="165">
        <f>IFERROR(__xludf.DUMMYFUNCTION("""COMPUTED_VALUE"""),-0.661287418631399)</f>
        <v>-0.6612874186</v>
      </c>
      <c r="K2414" s="165">
        <f>IFERROR(__xludf.DUMMYFUNCTION("""COMPUTED_VALUE"""),-1.21849227272599)</f>
        <v>-1.218492273</v>
      </c>
      <c r="L2414" s="165">
        <f>IFERROR(__xludf.DUMMYFUNCTION("""COMPUTED_VALUE"""),0.557204854094593)</f>
        <v>0.5572048541</v>
      </c>
      <c r="M2414" s="166">
        <f t="shared" si="2"/>
        <v>1.579612011</v>
      </c>
      <c r="N2414" s="167">
        <f t="shared" si="3"/>
        <v>20.01548611</v>
      </c>
      <c r="O2414" s="163">
        <f t="shared" ref="O2414:Q2414" si="2418">rank(I2414,I:I)</f>
        <v>3945</v>
      </c>
      <c r="P2414" s="163">
        <f t="shared" si="2418"/>
        <v>2080</v>
      </c>
      <c r="Q2414" s="163">
        <f t="shared" si="2418"/>
        <v>3049</v>
      </c>
      <c r="R2414" s="163">
        <f>IFERROR(__xludf.DUMMYFUNCTION("RANK(M2414,filter(M:M,C:C=C2414))"),183.0)</f>
        <v>183</v>
      </c>
      <c r="S2414" s="161" t="b">
        <f t="shared" si="5"/>
        <v>0</v>
      </c>
      <c r="T2414" s="161" t="b">
        <f t="array" ref="T2414">index('Query Tool'!B:B,match(H2414,'Query Tool'!C:C,0))</f>
        <v>1</v>
      </c>
      <c r="U2414" s="161" t="b">
        <f t="array" ref="U2414">index('Query Tool'!B:B,match(C2414,'Query Tool'!C:C,0))</f>
        <v>0</v>
      </c>
      <c r="V2414" s="161" t="b">
        <f>F2414&gt;='Query Tool'!C$32</f>
        <v>1</v>
      </c>
      <c r="W2414" s="161" t="b">
        <f t="array" ref="W2414">index(Dropdowns!B:B,match(I2414,Dropdowns!A:A,0))</f>
        <v>1</v>
      </c>
      <c r="X2414" s="161" t="b">
        <f t="array" ref="X2414">index('Query Tool'!B:B,match(D2414,'Query Tool'!C:C,0))</f>
        <v>1</v>
      </c>
      <c r="Y2414" s="161" t="str">
        <f t="shared" si="6"/>
        <v>allenja01,2017-18</v>
      </c>
      <c r="Z2414" s="168">
        <f t="array" ref="Z2414">iferror(index(I:I,match($A2414&amp;","&amp;index('Year Conversion'!$A:$A,match($C2414,'Year Conversion'!$B:$B,0)),$Y:$Y,0))-I2414,"")</f>
        <v>1</v>
      </c>
      <c r="AA2414" s="168">
        <f t="array" ref="AA2414">iferror(index(J:J,match($A2414&amp;","&amp;index('Year Conversion'!$A:$A,match($C2414,'Year Conversion'!$B:$B,0)),$Y:$Y,0))-J2414,"")</f>
        <v>2.023194632</v>
      </c>
      <c r="AB2414" s="168">
        <f t="array" ref="AB2414">iferror(index(K:K,match($A2414&amp;","&amp;index('Year Conversion'!$A:$A,match($C2414,'Year Conversion'!$B:$B,0)),$Y:$Y,0))-K2414,"")</f>
        <v>0.8670055593</v>
      </c>
      <c r="AC2414" s="168" t="str">
        <f t="shared" si="7"/>
        <v>BRK,2017-18</v>
      </c>
    </row>
    <row r="2415">
      <c r="A2415" s="161" t="str">
        <f>IFERROR(__xludf.DUMMYFUNCTION("""COMPUTED_VALUE"""),"anigbik01")</f>
        <v>anigbik01</v>
      </c>
      <c r="B2415" s="161" t="str">
        <f>IFERROR(__xludf.DUMMYFUNCTION("""COMPUTED_VALUE"""),"Ike Anigbogu")</f>
        <v>Ike Anigbogu</v>
      </c>
      <c r="C2415" s="162" t="str">
        <f>IFERROR(__xludf.DUMMYFUNCTION("""COMPUTED_VALUE"""),"2017-18")</f>
        <v>2017-18</v>
      </c>
      <c r="D2415" s="163" t="str">
        <f>IFERROR(__xludf.DUMMYFUNCTION("""COMPUTED_VALUE"""),"IND")</f>
        <v>IND</v>
      </c>
      <c r="E2415" s="164" t="str">
        <f>IFERROR(__xludf.DUMMYFUNCTION("""COMPUTED_VALUE"""),"Roll + Cut Big")</f>
        <v>Roll + Cut Big</v>
      </c>
      <c r="F2415" s="164">
        <f>IFERROR(__xludf.DUMMYFUNCTION("""COMPUTED_VALUE"""),29.79)</f>
        <v>29.79</v>
      </c>
      <c r="G2415" s="163">
        <f>IFERROR(__xludf.DUMMYFUNCTION("""COMPUTED_VALUE"""),11.0)</f>
        <v>11</v>
      </c>
      <c r="H2415" s="163" t="str">
        <f>IFERROR(__xludf.DUMMYFUNCTION("""COMPUTED_VALUE"""),"C")</f>
        <v>C</v>
      </c>
      <c r="I2415" s="163">
        <f>IFERROR(__xludf.DUMMYFUNCTION("""COMPUTED_VALUE"""),19.0)</f>
        <v>19</v>
      </c>
      <c r="J2415" s="165">
        <f>IFERROR(__xludf.DUMMYFUNCTION("""COMPUTED_VALUE"""),-0.786260476394973)</f>
        <v>-0.7862604764</v>
      </c>
      <c r="K2415" s="165">
        <f>IFERROR(__xludf.DUMMYFUNCTION("""COMPUTED_VALUE"""),-0.0987208638934448)</f>
        <v>-0.09872086389</v>
      </c>
      <c r="L2415" s="165">
        <f>IFERROR(__xludf.DUMMYFUNCTION("""COMPUTED_VALUE"""),-0.687539612501528)</f>
        <v>-0.6875396125</v>
      </c>
      <c r="M2415" s="166">
        <f t="shared" si="2"/>
        <v>0.03014845214</v>
      </c>
      <c r="N2415" s="167">
        <f t="shared" si="3"/>
        <v>2.708181818</v>
      </c>
      <c r="O2415" s="163">
        <f t="shared" ref="O2415:Q2415" si="2419">rank(I2415,I:I)</f>
        <v>3945</v>
      </c>
      <c r="P2415" s="163">
        <f t="shared" si="2419"/>
        <v>2258</v>
      </c>
      <c r="Q2415" s="163">
        <f t="shared" si="2419"/>
        <v>1365</v>
      </c>
      <c r="R2415" s="163">
        <f>IFERROR(__xludf.DUMMYFUNCTION("RANK(M2415,filter(M:M,C:C=C2415))"),450.0)</f>
        <v>450</v>
      </c>
      <c r="S2415" s="161" t="b">
        <f t="shared" si="5"/>
        <v>0</v>
      </c>
      <c r="T2415" s="161" t="b">
        <f t="array" ref="T2415">index('Query Tool'!B:B,match(H2415,'Query Tool'!C:C,0))</f>
        <v>1</v>
      </c>
      <c r="U2415" s="161" t="b">
        <f t="array" ref="U2415">index('Query Tool'!B:B,match(C2415,'Query Tool'!C:C,0))</f>
        <v>0</v>
      </c>
      <c r="V2415" s="161" t="b">
        <f>F2415&gt;='Query Tool'!C$32</f>
        <v>0</v>
      </c>
      <c r="W2415" s="161" t="b">
        <f t="array" ref="W2415">index(Dropdowns!B:B,match(I2415,Dropdowns!A:A,0))</f>
        <v>1</v>
      </c>
      <c r="X2415" s="161" t="b">
        <f t="array" ref="X2415">index('Query Tool'!B:B,match(D2415,'Query Tool'!C:C,0))</f>
        <v>1</v>
      </c>
      <c r="Y2415" s="161" t="str">
        <f t="shared" si="6"/>
        <v>anigbik01,2017-18</v>
      </c>
      <c r="Z2415" s="168">
        <f t="array" ref="Z2415">iferror(index(I:I,match($A2415&amp;","&amp;index('Year Conversion'!$A:$A,match($C2415,'Year Conversion'!$B:$B,0)),$Y:$Y,0))-I2415,"")</f>
        <v>1</v>
      </c>
      <c r="AA2415" s="168">
        <f t="array" ref="AA2415">iferror(index(J:J,match($A2415&amp;","&amp;index('Year Conversion'!$A:$A,match($C2415,'Year Conversion'!$B:$B,0)),$Y:$Y,0))-J2415,"")</f>
        <v>-0.1968575091</v>
      </c>
      <c r="AB2415" s="168">
        <f t="array" ref="AB2415">iferror(index(K:K,match($A2415&amp;","&amp;index('Year Conversion'!$A:$A,match($C2415,'Year Conversion'!$B:$B,0)),$Y:$Y,0))-K2415,"")</f>
        <v>-0.225454632</v>
      </c>
      <c r="AC2415" s="168" t="str">
        <f t="shared" si="7"/>
        <v>IND,2017-18</v>
      </c>
    </row>
    <row r="2416">
      <c r="A2416" s="161" t="str">
        <f>IFERROR(__xludf.DUMMYFUNCTION("""COMPUTED_VALUE"""),"leaftj01")</f>
        <v>leaftj01</v>
      </c>
      <c r="B2416" s="161" t="str">
        <f>IFERROR(__xludf.DUMMYFUNCTION("""COMPUTED_VALUE"""),"T.J. Leaf")</f>
        <v>T.J. Leaf</v>
      </c>
      <c r="C2416" s="162" t="str">
        <f>IFERROR(__xludf.DUMMYFUNCTION("""COMPUTED_VALUE"""),"2017-18")</f>
        <v>2017-18</v>
      </c>
      <c r="D2416" s="163" t="str">
        <f>IFERROR(__xludf.DUMMYFUNCTION("""COMPUTED_VALUE"""),"IND")</f>
        <v>IND</v>
      </c>
      <c r="E2416" s="164" t="str">
        <f>IFERROR(__xludf.DUMMYFUNCTION("""COMPUTED_VALUE"""),"Stretch Big")</f>
        <v>Stretch Big</v>
      </c>
      <c r="F2416" s="164">
        <f>IFERROR(__xludf.DUMMYFUNCTION("""COMPUTED_VALUE"""),459.243333333333)</f>
        <v>459.2433333</v>
      </c>
      <c r="G2416" s="163">
        <f>IFERROR(__xludf.DUMMYFUNCTION("""COMPUTED_VALUE"""),53.0)</f>
        <v>53</v>
      </c>
      <c r="H2416" s="163" t="str">
        <f>IFERROR(__xludf.DUMMYFUNCTION("""COMPUTED_VALUE"""),"PF")</f>
        <v>PF</v>
      </c>
      <c r="I2416" s="163">
        <f>IFERROR(__xludf.DUMMYFUNCTION("""COMPUTED_VALUE"""),20.0)</f>
        <v>20</v>
      </c>
      <c r="J2416" s="165">
        <f>IFERROR(__xludf.DUMMYFUNCTION("""COMPUTED_VALUE"""),-3.52454752536173)</f>
        <v>-3.524547525</v>
      </c>
      <c r="K2416" s="165">
        <f>IFERROR(__xludf.DUMMYFUNCTION("""COMPUTED_VALUE"""),-1.35843190379837)</f>
        <v>-1.358431904</v>
      </c>
      <c r="L2416" s="165">
        <f>IFERROR(__xludf.DUMMYFUNCTION("""COMPUTED_VALUE"""),-2.16611562156336)</f>
        <v>-2.166115622</v>
      </c>
      <c r="M2416" s="166">
        <f t="shared" si="2"/>
        <v>-0.3648094877</v>
      </c>
      <c r="N2416" s="167">
        <f t="shared" si="3"/>
        <v>8.664968553</v>
      </c>
      <c r="O2416" s="163">
        <f t="shared" ref="O2416:Q2416" si="2420">rank(I2416,I:I)</f>
        <v>3770</v>
      </c>
      <c r="P2416" s="163">
        <f t="shared" si="2420"/>
        <v>3965</v>
      </c>
      <c r="Q2416" s="163">
        <f t="shared" si="2420"/>
        <v>3214</v>
      </c>
      <c r="R2416" s="163">
        <f>IFERROR(__xludf.DUMMYFUNCTION("RANK(M2416,filter(M:M,C:C=C2416))"),520.0)</f>
        <v>520</v>
      </c>
      <c r="S2416" s="161" t="b">
        <f t="shared" si="5"/>
        <v>0</v>
      </c>
      <c r="T2416" s="161" t="b">
        <f t="array" ref="T2416">index('Query Tool'!B:B,match(H2416,'Query Tool'!C:C,0))</f>
        <v>1</v>
      </c>
      <c r="U2416" s="161" t="b">
        <f t="array" ref="U2416">index('Query Tool'!B:B,match(C2416,'Query Tool'!C:C,0))</f>
        <v>0</v>
      </c>
      <c r="V2416" s="161" t="b">
        <f>F2416&gt;='Query Tool'!C$32</f>
        <v>0</v>
      </c>
      <c r="W2416" s="161" t="b">
        <f t="array" ref="W2416">index(Dropdowns!B:B,match(I2416,Dropdowns!A:A,0))</f>
        <v>1</v>
      </c>
      <c r="X2416" s="161" t="b">
        <f t="array" ref="X2416">index('Query Tool'!B:B,match(D2416,'Query Tool'!C:C,0))</f>
        <v>1</v>
      </c>
      <c r="Y2416" s="161" t="str">
        <f t="shared" si="6"/>
        <v>leaftj01,2017-18</v>
      </c>
      <c r="Z2416" s="168">
        <f t="array" ref="Z2416">iferror(index(I:I,match($A2416&amp;","&amp;index('Year Conversion'!$A:$A,match($C2416,'Year Conversion'!$B:$B,0)),$Y:$Y,0))-I2416,"")</f>
        <v>1</v>
      </c>
      <c r="AA2416" s="168">
        <f t="array" ref="AA2416">iferror(index(J:J,match($A2416&amp;","&amp;index('Year Conversion'!$A:$A,match($C2416,'Year Conversion'!$B:$B,0)),$Y:$Y,0))-J2416,"")</f>
        <v>2.995173764</v>
      </c>
      <c r="AB2416" s="168">
        <f t="array" ref="AB2416">iferror(index(K:K,match($A2416&amp;","&amp;index('Year Conversion'!$A:$A,match($C2416,'Year Conversion'!$B:$B,0)),$Y:$Y,0))-K2416,"")</f>
        <v>1.090855826</v>
      </c>
      <c r="AC2416" s="168" t="str">
        <f t="shared" si="7"/>
        <v>IND,2017-18</v>
      </c>
    </row>
    <row r="2417">
      <c r="A2417" s="161" t="str">
        <f>IFERROR(__xludf.DUMMYFUNCTION("""COMPUTED_VALUE"""),"adebaba01")</f>
        <v>adebaba01</v>
      </c>
      <c r="B2417" s="161" t="str">
        <f>IFERROR(__xludf.DUMMYFUNCTION("""COMPUTED_VALUE"""),"Bam Adebayo")</f>
        <v>Bam Adebayo</v>
      </c>
      <c r="C2417" s="162" t="str">
        <f>IFERROR(__xludf.DUMMYFUNCTION("""COMPUTED_VALUE"""),"2017-18")</f>
        <v>2017-18</v>
      </c>
      <c r="D2417" s="163" t="str">
        <f>IFERROR(__xludf.DUMMYFUNCTION("""COMPUTED_VALUE"""),"MIA")</f>
        <v>MIA</v>
      </c>
      <c r="E2417" s="164" t="str">
        <f>IFERROR(__xludf.DUMMYFUNCTION("""COMPUTED_VALUE"""),"Roll + Cut Big")</f>
        <v>Roll + Cut Big</v>
      </c>
      <c r="F2417" s="164">
        <f>IFERROR(__xludf.DUMMYFUNCTION("""COMPUTED_VALUE"""),1368.185)</f>
        <v>1368.185</v>
      </c>
      <c r="G2417" s="163">
        <f>IFERROR(__xludf.DUMMYFUNCTION("""COMPUTED_VALUE"""),69.0)</f>
        <v>69</v>
      </c>
      <c r="H2417" s="163" t="str">
        <f>IFERROR(__xludf.DUMMYFUNCTION("""COMPUTED_VALUE"""),"C")</f>
        <v>C</v>
      </c>
      <c r="I2417" s="163">
        <f>IFERROR(__xludf.DUMMYFUNCTION("""COMPUTED_VALUE"""),20.0)</f>
        <v>20</v>
      </c>
      <c r="J2417" s="165">
        <f>IFERROR(__xludf.DUMMYFUNCTION("""COMPUTED_VALUE"""),0.0820839120047883)</f>
        <v>0.082083912</v>
      </c>
      <c r="K2417" s="165">
        <f>IFERROR(__xludf.DUMMYFUNCTION("""COMPUTED_VALUE"""),-1.00416063811633)</f>
        <v>-1.004160638</v>
      </c>
      <c r="L2417" s="165">
        <f>IFERROR(__xludf.DUMMYFUNCTION("""COMPUTED_VALUE"""),1.08624455012112)</f>
        <v>1.08624455</v>
      </c>
      <c r="M2417" s="166">
        <f t="shared" si="2"/>
        <v>2.185000046</v>
      </c>
      <c r="N2417" s="167">
        <f t="shared" si="3"/>
        <v>19.82876812</v>
      </c>
      <c r="O2417" s="163">
        <f t="shared" ref="O2417:Q2417" si="2421">rank(I2417,I:I)</f>
        <v>3770</v>
      </c>
      <c r="P2417" s="163">
        <f t="shared" si="2421"/>
        <v>1212</v>
      </c>
      <c r="Q2417" s="163">
        <f t="shared" si="2421"/>
        <v>2809</v>
      </c>
      <c r="R2417" s="163">
        <f>IFERROR(__xludf.DUMMYFUNCTION("RANK(M2417,filter(M:M,C:C=C2417))"),150.0)</f>
        <v>150</v>
      </c>
      <c r="S2417" s="161" t="b">
        <f t="shared" si="5"/>
        <v>0</v>
      </c>
      <c r="T2417" s="161" t="b">
        <f t="array" ref="T2417">index('Query Tool'!B:B,match(H2417,'Query Tool'!C:C,0))</f>
        <v>1</v>
      </c>
      <c r="U2417" s="161" t="b">
        <f t="array" ref="U2417">index('Query Tool'!B:B,match(C2417,'Query Tool'!C:C,0))</f>
        <v>0</v>
      </c>
      <c r="V2417" s="161" t="b">
        <f>F2417&gt;='Query Tool'!C$32</f>
        <v>1</v>
      </c>
      <c r="W2417" s="161" t="b">
        <f t="array" ref="W2417">index(Dropdowns!B:B,match(I2417,Dropdowns!A:A,0))</f>
        <v>1</v>
      </c>
      <c r="X2417" s="161" t="b">
        <f t="array" ref="X2417">index('Query Tool'!B:B,match(D2417,'Query Tool'!C:C,0))</f>
        <v>1</v>
      </c>
      <c r="Y2417" s="161" t="str">
        <f t="shared" si="6"/>
        <v>adebaba01,2017-18</v>
      </c>
      <c r="Z2417" s="168">
        <f t="array" ref="Z2417">iferror(index(I:I,match($A2417&amp;","&amp;index('Year Conversion'!$A:$A,match($C2417,'Year Conversion'!$B:$B,0)),$Y:$Y,0))-I2417,"")</f>
        <v>1</v>
      </c>
      <c r="AA2417" s="168">
        <f t="array" ref="AA2417">iferror(index(J:J,match($A2417&amp;","&amp;index('Year Conversion'!$A:$A,match($C2417,'Year Conversion'!$B:$B,0)),$Y:$Y,0))-J2417,"")</f>
        <v>1.169987057</v>
      </c>
      <c r="AB2417" s="168">
        <f t="array" ref="AB2417">iferror(index(K:K,match($A2417&amp;","&amp;index('Year Conversion'!$A:$A,match($C2417,'Year Conversion'!$B:$B,0)),$Y:$Y,0))-K2417,"")</f>
        <v>0.1399493192</v>
      </c>
      <c r="AC2417" s="168" t="str">
        <f t="shared" si="7"/>
        <v>MIA,2017-18</v>
      </c>
    </row>
    <row r="2418">
      <c r="A2418" s="161" t="str">
        <f>IFERROR(__xludf.DUMMYFUNCTION("""COMPUTED_VALUE"""),"fergute01")</f>
        <v>fergute01</v>
      </c>
      <c r="B2418" s="161" t="str">
        <f>IFERROR(__xludf.DUMMYFUNCTION("""COMPUTED_VALUE"""),"Terrance Ferguson")</f>
        <v>Terrance Ferguson</v>
      </c>
      <c r="C2418" s="162" t="str">
        <f>IFERROR(__xludf.DUMMYFUNCTION("""COMPUTED_VALUE"""),"2017-18")</f>
        <v>2017-18</v>
      </c>
      <c r="D2418" s="163" t="str">
        <f>IFERROR(__xludf.DUMMYFUNCTION("""COMPUTED_VALUE"""),"OKC")</f>
        <v>OKC</v>
      </c>
      <c r="E2418" s="164" t="str">
        <f>IFERROR(__xludf.DUMMYFUNCTION("""COMPUTED_VALUE"""),"Stationary Shooter")</f>
        <v>Stationary Shooter</v>
      </c>
      <c r="F2418" s="164">
        <f>IFERROR(__xludf.DUMMYFUNCTION("""COMPUTED_VALUE"""),763.096666666666)</f>
        <v>763.0966667</v>
      </c>
      <c r="G2418" s="163">
        <f>IFERROR(__xludf.DUMMYFUNCTION("""COMPUTED_VALUE"""),61.0)</f>
        <v>61</v>
      </c>
      <c r="H2418" s="163" t="str">
        <f>IFERROR(__xludf.DUMMYFUNCTION("""COMPUTED_VALUE"""),"SG")</f>
        <v>SG</v>
      </c>
      <c r="I2418" s="163">
        <f>IFERROR(__xludf.DUMMYFUNCTION("""COMPUTED_VALUE"""),19.0)</f>
        <v>19</v>
      </c>
      <c r="J2418" s="165">
        <f>IFERROR(__xludf.DUMMYFUNCTION("""COMPUTED_VALUE"""),-3.31613114134827)</f>
        <v>-3.316131141</v>
      </c>
      <c r="K2418" s="165">
        <f>IFERROR(__xludf.DUMMYFUNCTION("""COMPUTED_VALUE"""),-2.2310753845984)</f>
        <v>-2.231075385</v>
      </c>
      <c r="L2418" s="165">
        <f>IFERROR(__xludf.DUMMYFUNCTION("""COMPUTED_VALUE"""),-1.08505575674987)</f>
        <v>-1.085055757</v>
      </c>
      <c r="M2418" s="166">
        <f t="shared" si="2"/>
        <v>-0.5040214045</v>
      </c>
      <c r="N2418" s="167">
        <f t="shared" si="3"/>
        <v>12.50978142</v>
      </c>
      <c r="O2418" s="163">
        <f t="shared" ref="O2418:Q2418" si="2422">rank(I2418,I:I)</f>
        <v>3945</v>
      </c>
      <c r="P2418" s="163">
        <f t="shared" si="2422"/>
        <v>3944</v>
      </c>
      <c r="Q2418" s="163">
        <f t="shared" si="2422"/>
        <v>3811</v>
      </c>
      <c r="R2418" s="163">
        <f>IFERROR(__xludf.DUMMYFUNCTION("RANK(M2418,filter(M:M,C:C=C2418))"),525.0)</f>
        <v>525</v>
      </c>
      <c r="S2418" s="161" t="b">
        <f t="shared" si="5"/>
        <v>0</v>
      </c>
      <c r="T2418" s="161" t="b">
        <f t="array" ref="T2418">index('Query Tool'!B:B,match(H2418,'Query Tool'!C:C,0))</f>
        <v>1</v>
      </c>
      <c r="U2418" s="161" t="b">
        <f t="array" ref="U2418">index('Query Tool'!B:B,match(C2418,'Query Tool'!C:C,0))</f>
        <v>0</v>
      </c>
      <c r="V2418" s="161" t="b">
        <f>F2418&gt;='Query Tool'!C$32</f>
        <v>1</v>
      </c>
      <c r="W2418" s="161" t="b">
        <f t="array" ref="W2418">index(Dropdowns!B:B,match(I2418,Dropdowns!A:A,0))</f>
        <v>1</v>
      </c>
      <c r="X2418" s="161" t="b">
        <f t="array" ref="X2418">index('Query Tool'!B:B,match(D2418,'Query Tool'!C:C,0))</f>
        <v>1</v>
      </c>
      <c r="Y2418" s="161" t="str">
        <f t="shared" si="6"/>
        <v>fergute01,2017-18</v>
      </c>
      <c r="Z2418" s="168">
        <f t="array" ref="Z2418">iferror(index(I:I,match($A2418&amp;","&amp;index('Year Conversion'!$A:$A,match($C2418,'Year Conversion'!$B:$B,0)),$Y:$Y,0))-I2418,"")</f>
        <v>1</v>
      </c>
      <c r="AA2418" s="168">
        <f t="array" ref="AA2418">iferror(index(J:J,match($A2418&amp;","&amp;index('Year Conversion'!$A:$A,match($C2418,'Year Conversion'!$B:$B,0)),$Y:$Y,0))-J2418,"")</f>
        <v>0.6992364517</v>
      </c>
      <c r="AB2418" s="168">
        <f t="array" ref="AB2418">iferror(index(K:K,match($A2418&amp;","&amp;index('Year Conversion'!$A:$A,match($C2418,'Year Conversion'!$B:$B,0)),$Y:$Y,0))-K2418,"")</f>
        <v>0.005226283869</v>
      </c>
      <c r="AC2418" s="168" t="str">
        <f t="shared" si="7"/>
        <v>OKC,2017-18</v>
      </c>
    </row>
    <row r="2419">
      <c r="A2419" s="161" t="str">
        <f>IFERROR(__xludf.DUMMYFUNCTION("""COMPUTED_VALUE"""),"wilsodj01")</f>
        <v>wilsodj01</v>
      </c>
      <c r="B2419" s="161" t="str">
        <f>IFERROR(__xludf.DUMMYFUNCTION("""COMPUTED_VALUE"""),"D.J. Wilson")</f>
        <v>D.J. Wilson</v>
      </c>
      <c r="C2419" s="162" t="str">
        <f>IFERROR(__xludf.DUMMYFUNCTION("""COMPUTED_VALUE"""),"2017-18")</f>
        <v>2017-18</v>
      </c>
      <c r="D2419" s="163" t="str">
        <f>IFERROR(__xludf.DUMMYFUNCTION("""COMPUTED_VALUE"""),"MIL")</f>
        <v>MIL</v>
      </c>
      <c r="E2419" s="164" t="str">
        <f>IFERROR(__xludf.DUMMYFUNCTION("""COMPUTED_VALUE"""),"Stretch Big")</f>
        <v>Stretch Big</v>
      </c>
      <c r="F2419" s="164">
        <f>IFERROR(__xludf.DUMMYFUNCTION("""COMPUTED_VALUE"""),71.0983333333333)</f>
        <v>71.09833333</v>
      </c>
      <c r="G2419" s="163">
        <f>IFERROR(__xludf.DUMMYFUNCTION("""COMPUTED_VALUE"""),22.0)</f>
        <v>22</v>
      </c>
      <c r="H2419" s="163" t="str">
        <f>IFERROR(__xludf.DUMMYFUNCTION("""COMPUTED_VALUE"""),"PF")</f>
        <v>PF</v>
      </c>
      <c r="I2419" s="163">
        <f>IFERROR(__xludf.DUMMYFUNCTION("""COMPUTED_VALUE"""),21.0)</f>
        <v>21</v>
      </c>
      <c r="J2419" s="165">
        <f>IFERROR(__xludf.DUMMYFUNCTION("""COMPUTED_VALUE"""),-1.1148189665288)</f>
        <v>-1.114818967</v>
      </c>
      <c r="K2419" s="165">
        <f>IFERROR(__xludf.DUMMYFUNCTION("""COMPUTED_VALUE"""),-0.520722246787612)</f>
        <v>-0.5207222468</v>
      </c>
      <c r="L2419" s="165">
        <f>IFERROR(__xludf.DUMMYFUNCTION("""COMPUTED_VALUE"""),-0.594096719741191)</f>
        <v>-0.5940967197</v>
      </c>
      <c r="M2419" s="166">
        <f t="shared" si="2"/>
        <v>0.05626452171</v>
      </c>
      <c r="N2419" s="167">
        <f t="shared" si="3"/>
        <v>3.231742424</v>
      </c>
      <c r="O2419" s="163">
        <f t="shared" ref="O2419:Q2419" si="2423">rank(I2419,I:I)</f>
        <v>3528</v>
      </c>
      <c r="P2419" s="163">
        <f t="shared" si="2423"/>
        <v>2638</v>
      </c>
      <c r="Q2419" s="163">
        <f t="shared" si="2423"/>
        <v>2144</v>
      </c>
      <c r="R2419" s="163">
        <f>IFERROR(__xludf.DUMMYFUNCTION("RANK(M2419,filter(M:M,C:C=C2419))"),426.0)</f>
        <v>426</v>
      </c>
      <c r="S2419" s="161" t="b">
        <f t="shared" si="5"/>
        <v>0</v>
      </c>
      <c r="T2419" s="161" t="b">
        <f t="array" ref="T2419">index('Query Tool'!B:B,match(H2419,'Query Tool'!C:C,0))</f>
        <v>1</v>
      </c>
      <c r="U2419" s="161" t="b">
        <f t="array" ref="U2419">index('Query Tool'!B:B,match(C2419,'Query Tool'!C:C,0))</f>
        <v>0</v>
      </c>
      <c r="V2419" s="161" t="b">
        <f>F2419&gt;='Query Tool'!C$32</f>
        <v>0</v>
      </c>
      <c r="W2419" s="161" t="b">
        <f t="array" ref="W2419">index(Dropdowns!B:B,match(I2419,Dropdowns!A:A,0))</f>
        <v>1</v>
      </c>
      <c r="X2419" s="161" t="b">
        <f t="array" ref="X2419">index('Query Tool'!B:B,match(D2419,'Query Tool'!C:C,0))</f>
        <v>1</v>
      </c>
      <c r="Y2419" s="161" t="str">
        <f t="shared" si="6"/>
        <v>wilsodj01,2017-18</v>
      </c>
      <c r="Z2419" s="168">
        <f t="array" ref="Z2419">iferror(index(I:I,match($A2419&amp;","&amp;index('Year Conversion'!$A:$A,match($C2419,'Year Conversion'!$B:$B,0)),$Y:$Y,0))-I2419,"")</f>
        <v>1</v>
      </c>
      <c r="AA2419" s="168">
        <f t="array" ref="AA2419">iferror(index(J:J,match($A2419&amp;","&amp;index('Year Conversion'!$A:$A,match($C2419,'Year Conversion'!$B:$B,0)),$Y:$Y,0))-J2419,"")</f>
        <v>0.5023180602</v>
      </c>
      <c r="AB2419" s="168">
        <f t="array" ref="AB2419">iferror(index(K:K,match($A2419&amp;","&amp;index('Year Conversion'!$A:$A,match($C2419,'Year Conversion'!$B:$B,0)),$Y:$Y,0))-K2419,"")</f>
        <v>-0.9102606799</v>
      </c>
      <c r="AC2419" s="168" t="str">
        <f t="shared" si="7"/>
        <v>MIL,2017-18</v>
      </c>
    </row>
    <row r="2420">
      <c r="A2420" s="161" t="str">
        <f>IFERROR(__xludf.DUMMYFUNCTION("""COMPUTED_VALUE"""),"evansja01")</f>
        <v>evansja01</v>
      </c>
      <c r="B2420" s="161" t="str">
        <f>IFERROR(__xludf.DUMMYFUNCTION("""COMPUTED_VALUE"""),"Jawun Evans")</f>
        <v>Jawun Evans</v>
      </c>
      <c r="C2420" s="162" t="str">
        <f>IFERROR(__xludf.DUMMYFUNCTION("""COMPUTED_VALUE"""),"2017-18")</f>
        <v>2017-18</v>
      </c>
      <c r="D2420" s="163" t="str">
        <f>IFERROR(__xludf.DUMMYFUNCTION("""COMPUTED_VALUE"""),"LAC")</f>
        <v>LAC</v>
      </c>
      <c r="E2420" s="164" t="str">
        <f>IFERROR(__xludf.DUMMYFUNCTION("""COMPUTED_VALUE"""),"Secondary Ball Handler")</f>
        <v>Secondary Ball Handler</v>
      </c>
      <c r="F2420" s="164">
        <f>IFERROR(__xludf.DUMMYFUNCTION("""COMPUTED_VALUE"""),777.858333333333)</f>
        <v>777.8583333</v>
      </c>
      <c r="G2420" s="163">
        <f>IFERROR(__xludf.DUMMYFUNCTION("""COMPUTED_VALUE"""),48.0)</f>
        <v>48</v>
      </c>
      <c r="H2420" s="163" t="str">
        <f>IFERROR(__xludf.DUMMYFUNCTION("""COMPUTED_VALUE"""),"PG")</f>
        <v>PG</v>
      </c>
      <c r="I2420" s="163">
        <f>IFERROR(__xludf.DUMMYFUNCTION("""COMPUTED_VALUE"""),21.0)</f>
        <v>21</v>
      </c>
      <c r="J2420" s="165">
        <f>IFERROR(__xludf.DUMMYFUNCTION("""COMPUTED_VALUE"""),-2.27060758266379)</f>
        <v>-2.270607583</v>
      </c>
      <c r="K2420" s="165">
        <f>IFERROR(__xludf.DUMMYFUNCTION("""COMPUTED_VALUE"""),-1.94797192306604)</f>
        <v>-1.947971923</v>
      </c>
      <c r="L2420" s="165">
        <f>IFERROR(__xludf.DUMMYFUNCTION("""COMPUTED_VALUE"""),-0.322635659597754)</f>
        <v>-0.3226356596</v>
      </c>
      <c r="M2420" s="166">
        <f t="shared" si="2"/>
        <v>0.01689267894</v>
      </c>
      <c r="N2420" s="167">
        <f t="shared" si="3"/>
        <v>16.20538194</v>
      </c>
      <c r="O2420" s="163">
        <f t="shared" ref="O2420:Q2420" si="2424">rank(I2420,I:I)</f>
        <v>3528</v>
      </c>
      <c r="P2420" s="163">
        <f t="shared" si="2424"/>
        <v>3640</v>
      </c>
      <c r="Q2420" s="163">
        <f t="shared" si="2424"/>
        <v>3684</v>
      </c>
      <c r="R2420" s="163">
        <f>IFERROR(__xludf.DUMMYFUNCTION("RANK(M2420,filter(M:M,C:C=C2420))"),464.0)</f>
        <v>464</v>
      </c>
      <c r="S2420" s="161" t="b">
        <f t="shared" si="5"/>
        <v>0</v>
      </c>
      <c r="T2420" s="161" t="b">
        <f t="array" ref="T2420">index('Query Tool'!B:B,match(H2420,'Query Tool'!C:C,0))</f>
        <v>1</v>
      </c>
      <c r="U2420" s="161" t="b">
        <f t="array" ref="U2420">index('Query Tool'!B:B,match(C2420,'Query Tool'!C:C,0))</f>
        <v>0</v>
      </c>
      <c r="V2420" s="161" t="b">
        <f>F2420&gt;='Query Tool'!C$32</f>
        <v>1</v>
      </c>
      <c r="W2420" s="161" t="b">
        <f t="array" ref="W2420">index(Dropdowns!B:B,match(I2420,Dropdowns!A:A,0))</f>
        <v>1</v>
      </c>
      <c r="X2420" s="161" t="b">
        <f t="array" ref="X2420">index('Query Tool'!B:B,match(D2420,'Query Tool'!C:C,0))</f>
        <v>1</v>
      </c>
      <c r="Y2420" s="161" t="str">
        <f t="shared" si="6"/>
        <v>evansja01,2017-18</v>
      </c>
      <c r="Z2420" s="168">
        <f t="array" ref="Z2420">iferror(index(I:I,match($A2420&amp;","&amp;index('Year Conversion'!$A:$A,match($C2420,'Year Conversion'!$B:$B,0)),$Y:$Y,0))-I2420,"")</f>
        <v>1</v>
      </c>
      <c r="AA2420" s="168">
        <f t="array" ref="AA2420">iferror(index(J:J,match($A2420&amp;","&amp;index('Year Conversion'!$A:$A,match($C2420,'Year Conversion'!$B:$B,0)),$Y:$Y,0))-J2420,"")</f>
        <v>1.42607443</v>
      </c>
      <c r="AB2420" s="168">
        <f t="array" ref="AB2420">iferror(index(K:K,match($A2420&amp;","&amp;index('Year Conversion'!$A:$A,match($C2420,'Year Conversion'!$B:$B,0)),$Y:$Y,0))-K2420,"")</f>
        <v>1.505964155</v>
      </c>
      <c r="AC2420" s="168" t="str">
        <f t="shared" si="7"/>
        <v>LAC,2017-18</v>
      </c>
    </row>
    <row r="2421">
      <c r="A2421" s="161" t="str">
        <f>IFERROR(__xludf.DUMMYFUNCTION("""COMPUTED_VALUE"""),"belljo01")</f>
        <v>belljo01</v>
      </c>
      <c r="B2421" s="161" t="str">
        <f>IFERROR(__xludf.DUMMYFUNCTION("""COMPUTED_VALUE"""),"Jordan Bell")</f>
        <v>Jordan Bell</v>
      </c>
      <c r="C2421" s="162" t="str">
        <f>IFERROR(__xludf.DUMMYFUNCTION("""COMPUTED_VALUE"""),"2017-18")</f>
        <v>2017-18</v>
      </c>
      <c r="D2421" s="163" t="str">
        <f>IFERROR(__xludf.DUMMYFUNCTION("""COMPUTED_VALUE"""),"GSW")</f>
        <v>GSW</v>
      </c>
      <c r="E2421" s="164" t="str">
        <f>IFERROR(__xludf.DUMMYFUNCTION("""COMPUTED_VALUE"""),"Roll + Cut Big")</f>
        <v>Roll + Cut Big</v>
      </c>
      <c r="F2421" s="164">
        <f>IFERROR(__xludf.DUMMYFUNCTION("""COMPUTED_VALUE"""),808.913333333333)</f>
        <v>808.9133333</v>
      </c>
      <c r="G2421" s="163">
        <f>IFERROR(__xludf.DUMMYFUNCTION("""COMPUTED_VALUE"""),57.0)</f>
        <v>57</v>
      </c>
      <c r="H2421" s="163" t="str">
        <f>IFERROR(__xludf.DUMMYFUNCTION("""COMPUTED_VALUE"""),"C")</f>
        <v>C</v>
      </c>
      <c r="I2421" s="163">
        <f>IFERROR(__xludf.DUMMYFUNCTION("""COMPUTED_VALUE"""),23.0)</f>
        <v>23</v>
      </c>
      <c r="J2421" s="165">
        <f>IFERROR(__xludf.DUMMYFUNCTION("""COMPUTED_VALUE"""),2.07162471286391)</f>
        <v>2.071624713</v>
      </c>
      <c r="K2421" s="165">
        <f>IFERROR(__xludf.DUMMYFUNCTION("""COMPUTED_VALUE"""),0.2700885854221)</f>
        <v>0.2700885854</v>
      </c>
      <c r="L2421" s="165">
        <f>IFERROR(__xludf.DUMMYFUNCTION("""COMPUTED_VALUE"""),1.80153612744181)</f>
        <v>1.801536127</v>
      </c>
      <c r="M2421" s="166">
        <f t="shared" si="2"/>
        <v>2.370170454</v>
      </c>
      <c r="N2421" s="167">
        <f t="shared" si="3"/>
        <v>14.19146199</v>
      </c>
      <c r="O2421" s="163">
        <f t="shared" ref="O2421:Q2421" si="2425">rank(I2421,I:I)</f>
        <v>2765</v>
      </c>
      <c r="P2421" s="163">
        <f t="shared" si="2425"/>
        <v>299</v>
      </c>
      <c r="Q2421" s="163">
        <f t="shared" si="2425"/>
        <v>937</v>
      </c>
      <c r="R2421" s="163">
        <f>IFERROR(__xludf.DUMMYFUNCTION("RANK(M2421,filter(M:M,C:C=C2421))"),141.0)</f>
        <v>141</v>
      </c>
      <c r="S2421" s="161" t="b">
        <f t="shared" si="5"/>
        <v>0</v>
      </c>
      <c r="T2421" s="161" t="b">
        <f t="array" ref="T2421">index('Query Tool'!B:B,match(H2421,'Query Tool'!C:C,0))</f>
        <v>1</v>
      </c>
      <c r="U2421" s="161" t="b">
        <f t="array" ref="U2421">index('Query Tool'!B:B,match(C2421,'Query Tool'!C:C,0))</f>
        <v>0</v>
      </c>
      <c r="V2421" s="161" t="b">
        <f>F2421&gt;='Query Tool'!C$32</f>
        <v>1</v>
      </c>
      <c r="W2421" s="161" t="b">
        <f t="array" ref="W2421">index(Dropdowns!B:B,match(I2421,Dropdowns!A:A,0))</f>
        <v>1</v>
      </c>
      <c r="X2421" s="161" t="b">
        <f t="array" ref="X2421">index('Query Tool'!B:B,match(D2421,'Query Tool'!C:C,0))</f>
        <v>1</v>
      </c>
      <c r="Y2421" s="161" t="str">
        <f t="shared" si="6"/>
        <v>belljo01,2017-18</v>
      </c>
      <c r="Z2421" s="168">
        <f t="array" ref="Z2421">iferror(index(I:I,match($A2421&amp;","&amp;index('Year Conversion'!$A:$A,match($C2421,'Year Conversion'!$B:$B,0)),$Y:$Y,0))-I2421,"")</f>
        <v>1</v>
      </c>
      <c r="AA2421" s="168">
        <f t="array" ref="AA2421">iferror(index(J:J,match($A2421&amp;","&amp;index('Year Conversion'!$A:$A,match($C2421,'Year Conversion'!$B:$B,0)),$Y:$Y,0))-J2421,"")</f>
        <v>-3.533990266</v>
      </c>
      <c r="AB2421" s="168">
        <f t="array" ref="AB2421">iferror(index(K:K,match($A2421&amp;","&amp;index('Year Conversion'!$A:$A,match($C2421,'Year Conversion'!$B:$B,0)),$Y:$Y,0))-K2421,"")</f>
        <v>-2.121051473</v>
      </c>
      <c r="AC2421" s="168" t="str">
        <f t="shared" si="7"/>
        <v>GSW,2017-18</v>
      </c>
    </row>
    <row r="2422">
      <c r="A2422" s="161" t="str">
        <f>IFERROR(__xludf.DUMMYFUNCTION("""COMPUTED_VALUE"""),"bradlto01")</f>
        <v>bradlto01</v>
      </c>
      <c r="B2422" s="161" t="str">
        <f>IFERROR(__xludf.DUMMYFUNCTION("""COMPUTED_VALUE"""),"Tony Bradley")</f>
        <v>Tony Bradley</v>
      </c>
      <c r="C2422" s="162" t="str">
        <f>IFERROR(__xludf.DUMMYFUNCTION("""COMPUTED_VALUE"""),"2017-18")</f>
        <v>2017-18</v>
      </c>
      <c r="D2422" s="163" t="str">
        <f>IFERROR(__xludf.DUMMYFUNCTION("""COMPUTED_VALUE"""),"UTA")</f>
        <v>UTA</v>
      </c>
      <c r="E2422" s="164" t="str">
        <f>IFERROR(__xludf.DUMMYFUNCTION("""COMPUTED_VALUE"""),"Roll + Cut Big")</f>
        <v>Roll + Cut Big</v>
      </c>
      <c r="F2422" s="164">
        <f>IFERROR(__xludf.DUMMYFUNCTION("""COMPUTED_VALUE"""),29.1)</f>
        <v>29.1</v>
      </c>
      <c r="G2422" s="163">
        <f>IFERROR(__xludf.DUMMYFUNCTION("""COMPUTED_VALUE"""),9.0)</f>
        <v>9</v>
      </c>
      <c r="H2422" s="163" t="str">
        <f>IFERROR(__xludf.DUMMYFUNCTION("""COMPUTED_VALUE"""),"C")</f>
        <v>C</v>
      </c>
      <c r="I2422" s="163">
        <f>IFERROR(__xludf.DUMMYFUNCTION("""COMPUTED_VALUE"""),20.0)</f>
        <v>20</v>
      </c>
      <c r="J2422" s="165">
        <f>IFERROR(__xludf.DUMMYFUNCTION("""COMPUTED_VALUE"""),-0.372874560562622)</f>
        <v>-0.3728745606</v>
      </c>
      <c r="K2422" s="165">
        <f>IFERROR(__xludf.DUMMYFUNCTION("""COMPUTED_VALUE"""),-0.0294368218809151)</f>
        <v>-0.02943682188</v>
      </c>
      <c r="L2422" s="165">
        <f>IFERROR(__xludf.DUMMYFUNCTION("""COMPUTED_VALUE"""),-0.343437738681707)</f>
        <v>-0.3434377387</v>
      </c>
      <c r="M2422" s="166">
        <f t="shared" si="2"/>
        <v>0.03754851508</v>
      </c>
      <c r="N2422" s="167">
        <f t="shared" si="3"/>
        <v>3.233333333</v>
      </c>
      <c r="O2422" s="163">
        <f t="shared" ref="O2422:Q2422" si="2426">rank(I2422,I:I)</f>
        <v>3770</v>
      </c>
      <c r="P2422" s="163">
        <f t="shared" si="2426"/>
        <v>1698</v>
      </c>
      <c r="Q2422" s="163">
        <f t="shared" si="2426"/>
        <v>1237</v>
      </c>
      <c r="R2422" s="163">
        <f>IFERROR(__xludf.DUMMYFUNCTION("RANK(M2422,filter(M:M,C:C=C2422))"),443.0)</f>
        <v>443</v>
      </c>
      <c r="S2422" s="161" t="b">
        <f t="shared" si="5"/>
        <v>0</v>
      </c>
      <c r="T2422" s="161" t="b">
        <f t="array" ref="T2422">index('Query Tool'!B:B,match(H2422,'Query Tool'!C:C,0))</f>
        <v>1</v>
      </c>
      <c r="U2422" s="161" t="b">
        <f t="array" ref="U2422">index('Query Tool'!B:B,match(C2422,'Query Tool'!C:C,0))</f>
        <v>0</v>
      </c>
      <c r="V2422" s="161" t="b">
        <f>F2422&gt;='Query Tool'!C$32</f>
        <v>0</v>
      </c>
      <c r="W2422" s="161" t="b">
        <f t="array" ref="W2422">index(Dropdowns!B:B,match(I2422,Dropdowns!A:A,0))</f>
        <v>1</v>
      </c>
      <c r="X2422" s="161" t="b">
        <f t="array" ref="X2422">index('Query Tool'!B:B,match(D2422,'Query Tool'!C:C,0))</f>
        <v>1</v>
      </c>
      <c r="Y2422" s="161" t="str">
        <f t="shared" si="6"/>
        <v>bradlto01,2017-18</v>
      </c>
      <c r="Z2422" s="168">
        <f t="array" ref="Z2422">iferror(index(I:I,match($A2422&amp;","&amp;index('Year Conversion'!$A:$A,match($C2422,'Year Conversion'!$B:$B,0)),$Y:$Y,0))-I2422,"")</f>
        <v>1</v>
      </c>
      <c r="AA2422" s="168">
        <f t="array" ref="AA2422">iferror(index(J:J,match($A2422&amp;","&amp;index('Year Conversion'!$A:$A,match($C2422,'Year Conversion'!$B:$B,0)),$Y:$Y,0))-J2422,"")</f>
        <v>-0.4448405464</v>
      </c>
      <c r="AB2422" s="168">
        <f t="array" ref="AB2422">iferror(index(K:K,match($A2422&amp;","&amp;index('Year Conversion'!$A:$A,match($C2422,'Year Conversion'!$B:$B,0)),$Y:$Y,0))-K2422,"")</f>
        <v>-0.09846416249</v>
      </c>
      <c r="AC2422" s="168" t="str">
        <f t="shared" si="7"/>
        <v>UTA,2017-18</v>
      </c>
    </row>
    <row r="2423">
      <c r="A2423" s="161" t="str">
        <f>IFERROR(__xludf.DUMMYFUNCTION("""COMPUTED_VALUE"""),"rabbiv01")</f>
        <v>rabbiv01</v>
      </c>
      <c r="B2423" s="161" t="str">
        <f>IFERROR(__xludf.DUMMYFUNCTION("""COMPUTED_VALUE"""),"Ivan Rabb")</f>
        <v>Ivan Rabb</v>
      </c>
      <c r="C2423" s="162" t="str">
        <f>IFERROR(__xludf.DUMMYFUNCTION("""COMPUTED_VALUE"""),"2017-18")</f>
        <v>2017-18</v>
      </c>
      <c r="D2423" s="163" t="str">
        <f>IFERROR(__xludf.DUMMYFUNCTION("""COMPUTED_VALUE"""),"MEM")</f>
        <v>MEM</v>
      </c>
      <c r="E2423" s="164" t="str">
        <f>IFERROR(__xludf.DUMMYFUNCTION("""COMPUTED_VALUE"""),"Roll + Cut Big")</f>
        <v>Roll + Cut Big</v>
      </c>
      <c r="F2423" s="164">
        <f>IFERROR(__xludf.DUMMYFUNCTION("""COMPUTED_VALUE"""),515.61)</f>
        <v>515.61</v>
      </c>
      <c r="G2423" s="163">
        <f>IFERROR(__xludf.DUMMYFUNCTION("""COMPUTED_VALUE"""),36.0)</f>
        <v>36</v>
      </c>
      <c r="H2423" s="163" t="str">
        <f>IFERROR(__xludf.DUMMYFUNCTION("""COMPUTED_VALUE"""),"PF")</f>
        <v>PF</v>
      </c>
      <c r="I2423" s="163">
        <f>IFERROR(__xludf.DUMMYFUNCTION("""COMPUTED_VALUE"""),20.0)</f>
        <v>20</v>
      </c>
      <c r="J2423" s="165">
        <f>IFERROR(__xludf.DUMMYFUNCTION("""COMPUTED_VALUE"""),-1.29860486190205)</f>
        <v>-1.298604862</v>
      </c>
      <c r="K2423" s="165">
        <f>IFERROR(__xludf.DUMMYFUNCTION("""COMPUTED_VALUE"""),-0.774971140080038)</f>
        <v>-0.7749711401</v>
      </c>
      <c r="L2423" s="165">
        <f>IFERROR(__xludf.DUMMYFUNCTION("""COMPUTED_VALUE"""),-0.523633721822008)</f>
        <v>-0.5236337218</v>
      </c>
      <c r="M2423" s="166">
        <f t="shared" si="2"/>
        <v>0.3445335852</v>
      </c>
      <c r="N2423" s="167">
        <f t="shared" si="3"/>
        <v>14.3225</v>
      </c>
      <c r="O2423" s="163">
        <f t="shared" ref="O2423:Q2423" si="2427">rank(I2423,I:I)</f>
        <v>3770</v>
      </c>
      <c r="P2423" s="163">
        <f t="shared" si="2427"/>
        <v>2859</v>
      </c>
      <c r="Q2423" s="163">
        <f t="shared" si="2427"/>
        <v>2524</v>
      </c>
      <c r="R2423" s="163">
        <f>IFERROR(__xludf.DUMMYFUNCTION("RANK(M2423,filter(M:M,C:C=C2423))"),310.0)</f>
        <v>310</v>
      </c>
      <c r="S2423" s="161" t="b">
        <f t="shared" si="5"/>
        <v>0</v>
      </c>
      <c r="T2423" s="161" t="b">
        <f t="array" ref="T2423">index('Query Tool'!B:B,match(H2423,'Query Tool'!C:C,0))</f>
        <v>1</v>
      </c>
      <c r="U2423" s="161" t="b">
        <f t="array" ref="U2423">index('Query Tool'!B:B,match(C2423,'Query Tool'!C:C,0))</f>
        <v>0</v>
      </c>
      <c r="V2423" s="161" t="b">
        <f>F2423&gt;='Query Tool'!C$32</f>
        <v>1</v>
      </c>
      <c r="W2423" s="161" t="b">
        <f t="array" ref="W2423">index(Dropdowns!B:B,match(I2423,Dropdowns!A:A,0))</f>
        <v>1</v>
      </c>
      <c r="X2423" s="161" t="b">
        <f t="array" ref="X2423">index('Query Tool'!B:B,match(D2423,'Query Tool'!C:C,0))</f>
        <v>1</v>
      </c>
      <c r="Y2423" s="161" t="str">
        <f t="shared" si="6"/>
        <v>rabbiv01,2017-18</v>
      </c>
      <c r="Z2423" s="168">
        <f t="array" ref="Z2423">iferror(index(I:I,match($A2423&amp;","&amp;index('Year Conversion'!$A:$A,match($C2423,'Year Conversion'!$B:$B,0)),$Y:$Y,0))-I2423,"")</f>
        <v>1</v>
      </c>
      <c r="AA2423" s="168">
        <f t="array" ref="AA2423">iferror(index(J:J,match($A2423&amp;","&amp;index('Year Conversion'!$A:$A,match($C2423,'Year Conversion'!$B:$B,0)),$Y:$Y,0))-J2423,"")</f>
        <v>0.003551793536</v>
      </c>
      <c r="AB2423" s="168">
        <f t="array" ref="AB2423">iferror(index(K:K,match($A2423&amp;","&amp;index('Year Conversion'!$A:$A,match($C2423,'Year Conversion'!$B:$B,0)),$Y:$Y,0))-K2423,"")</f>
        <v>-0.5377703586</v>
      </c>
      <c r="AC2423" s="168" t="str">
        <f t="shared" si="7"/>
        <v>MEM,2017-18</v>
      </c>
    </row>
    <row r="2424">
      <c r="A2424" s="161" t="str">
        <f>IFERROR(__xludf.DUMMYFUNCTION("""COMPUTED_VALUE"""),"kuzmaky01")</f>
        <v>kuzmaky01</v>
      </c>
      <c r="B2424" s="161" t="str">
        <f>IFERROR(__xludf.DUMMYFUNCTION("""COMPUTED_VALUE"""),"Kyle Kuzma")</f>
        <v>Kyle Kuzma</v>
      </c>
      <c r="C2424" s="162" t="str">
        <f>IFERROR(__xludf.DUMMYFUNCTION("""COMPUTED_VALUE"""),"2017-18")</f>
        <v>2017-18</v>
      </c>
      <c r="D2424" s="163" t="str">
        <f>IFERROR(__xludf.DUMMYFUNCTION("""COMPUTED_VALUE"""),"LAL")</f>
        <v>LAL</v>
      </c>
      <c r="E2424" s="164" t="str">
        <f>IFERROR(__xludf.DUMMYFUNCTION("""COMPUTED_VALUE"""),"Movement Shooter")</f>
        <v>Movement Shooter</v>
      </c>
      <c r="F2424" s="164">
        <f>IFERROR(__xludf.DUMMYFUNCTION("""COMPUTED_VALUE"""),2400.905)</f>
        <v>2400.905</v>
      </c>
      <c r="G2424" s="163">
        <f>IFERROR(__xludf.DUMMYFUNCTION("""COMPUTED_VALUE"""),77.0)</f>
        <v>77</v>
      </c>
      <c r="H2424" s="163" t="str">
        <f>IFERROR(__xludf.DUMMYFUNCTION("""COMPUTED_VALUE"""),"PF")</f>
        <v>PF</v>
      </c>
      <c r="I2424" s="163">
        <f>IFERROR(__xludf.DUMMYFUNCTION("""COMPUTED_VALUE"""),22.0)</f>
        <v>22</v>
      </c>
      <c r="J2424" s="165">
        <f>IFERROR(__xludf.DUMMYFUNCTION("""COMPUTED_VALUE"""),-1.41246265454447)</f>
        <v>-1.412462655</v>
      </c>
      <c r="K2424" s="165">
        <f>IFERROR(__xludf.DUMMYFUNCTION("""COMPUTED_VALUE"""),0.0320636463229055)</f>
        <v>0.03206364632</v>
      </c>
      <c r="L2424" s="165">
        <f>IFERROR(__xludf.DUMMYFUNCTION("""COMPUTED_VALUE"""),-1.44452630086738)</f>
        <v>-1.444526301</v>
      </c>
      <c r="M2424" s="166">
        <f t="shared" si="2"/>
        <v>1.421405859</v>
      </c>
      <c r="N2424" s="167">
        <f t="shared" si="3"/>
        <v>31.18058442</v>
      </c>
      <c r="O2424" s="163">
        <f t="shared" ref="O2424:Q2424" si="2428">rank(I2424,I:I)</f>
        <v>3178</v>
      </c>
      <c r="P2424" s="163">
        <f t="shared" si="2428"/>
        <v>2962</v>
      </c>
      <c r="Q2424" s="163">
        <f t="shared" si="2428"/>
        <v>1153</v>
      </c>
      <c r="R2424" s="163">
        <f>IFERROR(__xludf.DUMMYFUNCTION("RANK(M2424,filter(M:M,C:C=C2424))"),194.0)</f>
        <v>194</v>
      </c>
      <c r="S2424" s="161" t="b">
        <f t="shared" si="5"/>
        <v>0</v>
      </c>
      <c r="T2424" s="161" t="b">
        <f t="array" ref="T2424">index('Query Tool'!B:B,match(H2424,'Query Tool'!C:C,0))</f>
        <v>1</v>
      </c>
      <c r="U2424" s="161" t="b">
        <f t="array" ref="U2424">index('Query Tool'!B:B,match(C2424,'Query Tool'!C:C,0))</f>
        <v>0</v>
      </c>
      <c r="V2424" s="161" t="b">
        <f>F2424&gt;='Query Tool'!C$32</f>
        <v>1</v>
      </c>
      <c r="W2424" s="161" t="b">
        <f t="array" ref="W2424">index(Dropdowns!B:B,match(I2424,Dropdowns!A:A,0))</f>
        <v>1</v>
      </c>
      <c r="X2424" s="161" t="b">
        <f t="array" ref="X2424">index('Query Tool'!B:B,match(D2424,'Query Tool'!C:C,0))</f>
        <v>1</v>
      </c>
      <c r="Y2424" s="161" t="str">
        <f t="shared" si="6"/>
        <v>kuzmaky01,2017-18</v>
      </c>
      <c r="Z2424" s="168">
        <f t="array" ref="Z2424">iferror(index(I:I,match($A2424&amp;","&amp;index('Year Conversion'!$A:$A,match($C2424,'Year Conversion'!$B:$B,0)),$Y:$Y,0))-I2424,"")</f>
        <v>1</v>
      </c>
      <c r="AA2424" s="168">
        <f t="array" ref="AA2424">iferror(index(J:J,match($A2424&amp;","&amp;index('Year Conversion'!$A:$A,match($C2424,'Year Conversion'!$B:$B,0)),$Y:$Y,0))-J2424,"")</f>
        <v>1.93571394</v>
      </c>
      <c r="AB2424" s="168">
        <f t="array" ref="AB2424">iferror(index(K:K,match($A2424&amp;","&amp;index('Year Conversion'!$A:$A,match($C2424,'Year Conversion'!$B:$B,0)),$Y:$Y,0))-K2424,"")</f>
        <v>0.6028305058</v>
      </c>
      <c r="AC2424" s="168" t="str">
        <f t="shared" si="7"/>
        <v>LAL,2017-18</v>
      </c>
    </row>
    <row r="2425">
      <c r="A2425" s="161" t="str">
        <f>IFERROR(__xludf.DUMMYFUNCTION("""COMPUTED_VALUE"""),"lydonty01")</f>
        <v>lydonty01</v>
      </c>
      <c r="B2425" s="161" t="str">
        <f>IFERROR(__xludf.DUMMYFUNCTION("""COMPUTED_VALUE"""),"Tyler Lydon")</f>
        <v>Tyler Lydon</v>
      </c>
      <c r="C2425" s="162" t="str">
        <f>IFERROR(__xludf.DUMMYFUNCTION("""COMPUTED_VALUE"""),"2017-18")</f>
        <v>2017-18</v>
      </c>
      <c r="D2425" s="163" t="str">
        <f>IFERROR(__xludf.DUMMYFUNCTION("""COMPUTED_VALUE"""),"DEN")</f>
        <v>DEN</v>
      </c>
      <c r="E2425" s="164" t="str">
        <f>IFERROR(__xludf.DUMMYFUNCTION("""COMPUTED_VALUE"""),"Roll + Cut Big")</f>
        <v>Roll + Cut Big</v>
      </c>
      <c r="F2425" s="164">
        <f>IFERROR(__xludf.DUMMYFUNCTION("""COMPUTED_VALUE"""),2.16666666666667)</f>
        <v>2.166666667</v>
      </c>
      <c r="G2425" s="163">
        <f>IFERROR(__xludf.DUMMYFUNCTION("""COMPUTED_VALUE"""),1.0)</f>
        <v>1</v>
      </c>
      <c r="H2425" s="163" t="str">
        <f>IFERROR(__xludf.DUMMYFUNCTION("""COMPUTED_VALUE"""),"PF")</f>
        <v>PF</v>
      </c>
      <c r="I2425" s="163">
        <f>IFERROR(__xludf.DUMMYFUNCTION("""COMPUTED_VALUE"""),21.0)</f>
        <v>21</v>
      </c>
      <c r="J2425" s="165">
        <f>IFERROR(__xludf.DUMMYFUNCTION("""COMPUTED_VALUE"""),-0.773772114515931)</f>
        <v>-0.7737721145</v>
      </c>
      <c r="K2425" s="165">
        <f>IFERROR(__xludf.DUMMYFUNCTION("""COMPUTED_VALUE"""),-0.343322576745607)</f>
        <v>-0.3433225767</v>
      </c>
      <c r="L2425" s="165">
        <f>IFERROR(__xludf.DUMMYFUNCTION("""COMPUTED_VALUE"""),-0.430449537770324)</f>
        <v>-0.4304495378</v>
      </c>
      <c r="M2425" s="166">
        <f t="shared" si="2"/>
        <v>0.0022109335</v>
      </c>
      <c r="N2425" s="167">
        <f t="shared" si="3"/>
        <v>2.166666667</v>
      </c>
      <c r="O2425" s="163">
        <f t="shared" ref="O2425:Q2425" si="2429">rank(I2425,I:I)</f>
        <v>3528</v>
      </c>
      <c r="P2425" s="163">
        <f t="shared" si="2429"/>
        <v>2240</v>
      </c>
      <c r="Q2425" s="163">
        <f t="shared" si="2429"/>
        <v>1837</v>
      </c>
      <c r="R2425" s="163">
        <f>IFERROR(__xludf.DUMMYFUNCTION("RANK(M2425,filter(M:M,C:C=C2425))"),494.0)</f>
        <v>494</v>
      </c>
      <c r="S2425" s="161" t="b">
        <f t="shared" si="5"/>
        <v>0</v>
      </c>
      <c r="T2425" s="161" t="b">
        <f t="array" ref="T2425">index('Query Tool'!B:B,match(H2425,'Query Tool'!C:C,0))</f>
        <v>1</v>
      </c>
      <c r="U2425" s="161" t="b">
        <f t="array" ref="U2425">index('Query Tool'!B:B,match(C2425,'Query Tool'!C:C,0))</f>
        <v>0</v>
      </c>
      <c r="V2425" s="161" t="b">
        <f>F2425&gt;='Query Tool'!C$32</f>
        <v>0</v>
      </c>
      <c r="W2425" s="161" t="b">
        <f t="array" ref="W2425">index(Dropdowns!B:B,match(I2425,Dropdowns!A:A,0))</f>
        <v>1</v>
      </c>
      <c r="X2425" s="161" t="b">
        <f t="array" ref="X2425">index('Query Tool'!B:B,match(D2425,'Query Tool'!C:C,0))</f>
        <v>1</v>
      </c>
      <c r="Y2425" s="161" t="str">
        <f t="shared" si="6"/>
        <v>lydonty01,2017-18</v>
      </c>
      <c r="Z2425" s="168">
        <f t="array" ref="Z2425">iferror(index(I:I,match($A2425&amp;","&amp;index('Year Conversion'!$A:$A,match($C2425,'Year Conversion'!$B:$B,0)),$Y:$Y,0))-I2425,"")</f>
        <v>1</v>
      </c>
      <c r="AA2425" s="168">
        <f t="array" ref="AA2425">iferror(index(J:J,match($A2425&amp;","&amp;index('Year Conversion'!$A:$A,match($C2425,'Year Conversion'!$B:$B,0)),$Y:$Y,0))-J2425,"")</f>
        <v>-0.5899920563</v>
      </c>
      <c r="AB2425" s="168">
        <f t="array" ref="AB2425">iferror(index(K:K,match($A2425&amp;","&amp;index('Year Conversion'!$A:$A,match($C2425,'Year Conversion'!$B:$B,0)),$Y:$Y,0))-K2425,"")</f>
        <v>-0.3724946382</v>
      </c>
      <c r="AC2425" s="168" t="str">
        <f t="shared" si="7"/>
        <v>DEN,2017-18</v>
      </c>
    </row>
    <row r="2426">
      <c r="A2426" s="161" t="str">
        <f>IFERROR(__xludf.DUMMYFUNCTION("""COMPUTED_VALUE"""),"ojelese01")</f>
        <v>ojelese01</v>
      </c>
      <c r="B2426" s="161" t="str">
        <f>IFERROR(__xludf.DUMMYFUNCTION("""COMPUTED_VALUE"""),"Semi Ojeleye")</f>
        <v>Semi Ojeleye</v>
      </c>
      <c r="C2426" s="162" t="str">
        <f>IFERROR(__xludf.DUMMYFUNCTION("""COMPUTED_VALUE"""),"2017-18")</f>
        <v>2017-18</v>
      </c>
      <c r="D2426" s="163" t="str">
        <f>IFERROR(__xludf.DUMMYFUNCTION("""COMPUTED_VALUE"""),"BOS")</f>
        <v>BOS</v>
      </c>
      <c r="E2426" s="164" t="str">
        <f>IFERROR(__xludf.DUMMYFUNCTION("""COMPUTED_VALUE"""),"Stationary Shooter")</f>
        <v>Stationary Shooter</v>
      </c>
      <c r="F2426" s="164">
        <f>IFERROR(__xludf.DUMMYFUNCTION("""COMPUTED_VALUE"""),1150.21)</f>
        <v>1150.21</v>
      </c>
      <c r="G2426" s="163">
        <f>IFERROR(__xludf.DUMMYFUNCTION("""COMPUTED_VALUE"""),73.0)</f>
        <v>73</v>
      </c>
      <c r="H2426" s="163" t="str">
        <f>IFERROR(__xludf.DUMMYFUNCTION("""COMPUTED_VALUE"""),"PF")</f>
        <v>PF</v>
      </c>
      <c r="I2426" s="163">
        <f>IFERROR(__xludf.DUMMYFUNCTION("""COMPUTED_VALUE"""),23.0)</f>
        <v>23</v>
      </c>
      <c r="J2426" s="165">
        <f>IFERROR(__xludf.DUMMYFUNCTION("""COMPUTED_VALUE"""),-3.67113180713394)</f>
        <v>-3.671131807</v>
      </c>
      <c r="K2426" s="165">
        <f>IFERROR(__xludf.DUMMYFUNCTION("""COMPUTED_VALUE"""),-3.08859523119528)</f>
        <v>-3.088595231</v>
      </c>
      <c r="L2426" s="165">
        <f>IFERROR(__xludf.DUMMYFUNCTION("""COMPUTED_VALUE"""),-0.582536575938653)</f>
        <v>-0.5825365759</v>
      </c>
      <c r="M2426" s="166">
        <f t="shared" si="2"/>
        <v>-1.021444118</v>
      </c>
      <c r="N2426" s="167">
        <f t="shared" si="3"/>
        <v>15.75630137</v>
      </c>
      <c r="O2426" s="163">
        <f t="shared" ref="O2426:Q2426" si="2430">rank(I2426,I:I)</f>
        <v>2765</v>
      </c>
      <c r="P2426" s="163">
        <f t="shared" si="2430"/>
        <v>3981</v>
      </c>
      <c r="Q2426" s="163">
        <f t="shared" si="2430"/>
        <v>3986</v>
      </c>
      <c r="R2426" s="163">
        <f>IFERROR(__xludf.DUMMYFUNCTION("RANK(M2426,filter(M:M,C:C=C2426))"),535.0)</f>
        <v>535</v>
      </c>
      <c r="S2426" s="161" t="b">
        <f t="shared" si="5"/>
        <v>0</v>
      </c>
      <c r="T2426" s="161" t="b">
        <f t="array" ref="T2426">index('Query Tool'!B:B,match(H2426,'Query Tool'!C:C,0))</f>
        <v>1</v>
      </c>
      <c r="U2426" s="161" t="b">
        <f t="array" ref="U2426">index('Query Tool'!B:B,match(C2426,'Query Tool'!C:C,0))</f>
        <v>0</v>
      </c>
      <c r="V2426" s="161" t="b">
        <f>F2426&gt;='Query Tool'!C$32</f>
        <v>1</v>
      </c>
      <c r="W2426" s="161" t="b">
        <f t="array" ref="W2426">index(Dropdowns!B:B,match(I2426,Dropdowns!A:A,0))</f>
        <v>1</v>
      </c>
      <c r="X2426" s="161" t="b">
        <f t="array" ref="X2426">index('Query Tool'!B:B,match(D2426,'Query Tool'!C:C,0))</f>
        <v>1</v>
      </c>
      <c r="Y2426" s="161" t="str">
        <f t="shared" si="6"/>
        <v>ojelese01,2017-18</v>
      </c>
      <c r="Z2426" s="168">
        <f t="array" ref="Z2426">iferror(index(I:I,match($A2426&amp;","&amp;index('Year Conversion'!$A:$A,match($C2426,'Year Conversion'!$B:$B,0)),$Y:$Y,0))-I2426,"")</f>
        <v>1</v>
      </c>
      <c r="AA2426" s="168">
        <f t="array" ref="AA2426">iferror(index(J:J,match($A2426&amp;","&amp;index('Year Conversion'!$A:$A,match($C2426,'Year Conversion'!$B:$B,0)),$Y:$Y,0))-J2426,"")</f>
        <v>1.292379784</v>
      </c>
      <c r="AB2426" s="168">
        <f t="array" ref="AB2426">iferror(index(K:K,match($A2426&amp;","&amp;index('Year Conversion'!$A:$A,match($C2426,'Year Conversion'!$B:$B,0)),$Y:$Y,0))-K2426,"")</f>
        <v>1.623034101</v>
      </c>
      <c r="AC2426" s="168" t="str">
        <f t="shared" si="7"/>
        <v>BOS,2017-18</v>
      </c>
    </row>
    <row r="2427">
      <c r="A2427" s="161" t="str">
        <f>IFERROR(__xludf.DUMMYFUNCTION("""COMPUTED_VALUE"""),"whitede01")</f>
        <v>whitede01</v>
      </c>
      <c r="B2427" s="161" t="str">
        <f>IFERROR(__xludf.DUMMYFUNCTION("""COMPUTED_VALUE"""),"Derrick White")</f>
        <v>Derrick White</v>
      </c>
      <c r="C2427" s="162" t="str">
        <f>IFERROR(__xludf.DUMMYFUNCTION("""COMPUTED_VALUE"""),"2017-18")</f>
        <v>2017-18</v>
      </c>
      <c r="D2427" s="163" t="str">
        <f>IFERROR(__xludf.DUMMYFUNCTION("""COMPUTED_VALUE"""),"SAS")</f>
        <v>SAS</v>
      </c>
      <c r="E2427" s="164" t="str">
        <f>IFERROR(__xludf.DUMMYFUNCTION("""COMPUTED_VALUE"""),"Secondary Ball Handler")</f>
        <v>Secondary Ball Handler</v>
      </c>
      <c r="F2427" s="164">
        <f>IFERROR(__xludf.DUMMYFUNCTION("""COMPUTED_VALUE"""),138.728333333333)</f>
        <v>138.7283333</v>
      </c>
      <c r="G2427" s="163">
        <f>IFERROR(__xludf.DUMMYFUNCTION("""COMPUTED_VALUE"""),17.0)</f>
        <v>17</v>
      </c>
      <c r="H2427" s="163" t="str">
        <f>IFERROR(__xludf.DUMMYFUNCTION("""COMPUTED_VALUE"""),"PG")</f>
        <v>PG</v>
      </c>
      <c r="I2427" s="163">
        <f>IFERROR(__xludf.DUMMYFUNCTION("""COMPUTED_VALUE"""),23.0)</f>
        <v>23</v>
      </c>
      <c r="J2427" s="165">
        <f>IFERROR(__xludf.DUMMYFUNCTION("""COMPUTED_VALUE"""),-0.395134723156842)</f>
        <v>-0.3951347232</v>
      </c>
      <c r="K2427" s="165">
        <f>IFERROR(__xludf.DUMMYFUNCTION("""COMPUTED_VALUE"""),-0.258305634611758)</f>
        <v>-0.2583056346</v>
      </c>
      <c r="L2427" s="165">
        <f>IFERROR(__xludf.DUMMYFUNCTION("""COMPUTED_VALUE"""),-0.136829088545085)</f>
        <v>-0.1368290885</v>
      </c>
      <c r="M2427" s="166">
        <f t="shared" si="2"/>
        <v>0.1769242147</v>
      </c>
      <c r="N2427" s="167">
        <f t="shared" si="3"/>
        <v>8.160490196</v>
      </c>
      <c r="O2427" s="163">
        <f t="shared" ref="O2427:Q2427" si="2431">rank(I2427,I:I)</f>
        <v>2765</v>
      </c>
      <c r="P2427" s="163">
        <f t="shared" si="2431"/>
        <v>1724</v>
      </c>
      <c r="Q2427" s="163">
        <f t="shared" si="2431"/>
        <v>1689</v>
      </c>
      <c r="R2427" s="163">
        <f>IFERROR(__xludf.DUMMYFUNCTION("RANK(M2427,filter(M:M,C:C=C2427))"),354.0)</f>
        <v>354</v>
      </c>
      <c r="S2427" s="161" t="b">
        <f t="shared" si="5"/>
        <v>0</v>
      </c>
      <c r="T2427" s="161" t="b">
        <f t="array" ref="T2427">index('Query Tool'!B:B,match(H2427,'Query Tool'!C:C,0))</f>
        <v>1</v>
      </c>
      <c r="U2427" s="161" t="b">
        <f t="array" ref="U2427">index('Query Tool'!B:B,match(C2427,'Query Tool'!C:C,0))</f>
        <v>0</v>
      </c>
      <c r="V2427" s="161" t="b">
        <f>F2427&gt;='Query Tool'!C$32</f>
        <v>0</v>
      </c>
      <c r="W2427" s="161" t="b">
        <f t="array" ref="W2427">index(Dropdowns!B:B,match(I2427,Dropdowns!A:A,0))</f>
        <v>1</v>
      </c>
      <c r="X2427" s="161" t="b">
        <f t="array" ref="X2427">index('Query Tool'!B:B,match(D2427,'Query Tool'!C:C,0))</f>
        <v>1</v>
      </c>
      <c r="Y2427" s="161" t="str">
        <f t="shared" si="6"/>
        <v>whitede01,2017-18</v>
      </c>
      <c r="Z2427" s="168">
        <f t="array" ref="Z2427">iferror(index(I:I,match($A2427&amp;","&amp;index('Year Conversion'!$A:$A,match($C2427,'Year Conversion'!$B:$B,0)),$Y:$Y,0))-I2427,"")</f>
        <v>1</v>
      </c>
      <c r="AA2427" s="168">
        <f t="array" ref="AA2427">iferror(index(J:J,match($A2427&amp;","&amp;index('Year Conversion'!$A:$A,match($C2427,'Year Conversion'!$B:$B,0)),$Y:$Y,0))-J2427,"")</f>
        <v>1.867042799</v>
      </c>
      <c r="AB2427" s="168">
        <f t="array" ref="AB2427">iferror(index(K:K,match($A2427&amp;","&amp;index('Year Conversion'!$A:$A,match($C2427,'Year Conversion'!$B:$B,0)),$Y:$Y,0))-K2427,"")</f>
        <v>0.1709447234</v>
      </c>
      <c r="AC2427" s="168" t="str">
        <f t="shared" si="7"/>
        <v>SAS,2017-18</v>
      </c>
    </row>
    <row r="2428">
      <c r="A2428" s="161" t="str">
        <f>IFERROR(__xludf.DUMMYFUNCTION("""COMPUTED_VALUE"""),"swanica01")</f>
        <v>swanica01</v>
      </c>
      <c r="B2428" s="161" t="str">
        <f>IFERROR(__xludf.DUMMYFUNCTION("""COMPUTED_VALUE"""),"Caleb Swanigan")</f>
        <v>Caleb Swanigan</v>
      </c>
      <c r="C2428" s="162" t="str">
        <f>IFERROR(__xludf.DUMMYFUNCTION("""COMPUTED_VALUE"""),"2017-18")</f>
        <v>2017-18</v>
      </c>
      <c r="D2428" s="163" t="str">
        <f>IFERROR(__xludf.DUMMYFUNCTION("""COMPUTED_VALUE"""),"POR")</f>
        <v>POR</v>
      </c>
      <c r="E2428" s="164" t="str">
        <f>IFERROR(__xludf.DUMMYFUNCTION("""COMPUTED_VALUE"""),"Post Scorer")</f>
        <v>Post Scorer</v>
      </c>
      <c r="F2428" s="164">
        <f>IFERROR(__xludf.DUMMYFUNCTION("""COMPUTED_VALUE"""),189.346666666667)</f>
        <v>189.3466667</v>
      </c>
      <c r="G2428" s="163">
        <f>IFERROR(__xludf.DUMMYFUNCTION("""COMPUTED_VALUE"""),27.0)</f>
        <v>27</v>
      </c>
      <c r="H2428" s="163" t="str">
        <f>IFERROR(__xludf.DUMMYFUNCTION("""COMPUTED_VALUE"""),"PF")</f>
        <v>PF</v>
      </c>
      <c r="I2428" s="163">
        <f>IFERROR(__xludf.DUMMYFUNCTION("""COMPUTED_VALUE"""),20.0)</f>
        <v>20</v>
      </c>
      <c r="J2428" s="165">
        <f>IFERROR(__xludf.DUMMYFUNCTION("""COMPUTED_VALUE"""),-1.22491973316224)</f>
        <v>-1.224919733</v>
      </c>
      <c r="K2428" s="165">
        <f>IFERROR(__xludf.DUMMYFUNCTION("""COMPUTED_VALUE"""),-1.32432713543432)</f>
        <v>-1.324327135</v>
      </c>
      <c r="L2428" s="165">
        <f>IFERROR(__xludf.DUMMYFUNCTION("""COMPUTED_VALUE"""),0.0994074022720799)</f>
        <v>0.09940740227</v>
      </c>
      <c r="M2428" s="166">
        <f t="shared" si="2"/>
        <v>0.1358667042</v>
      </c>
      <c r="N2428" s="167">
        <f t="shared" si="3"/>
        <v>7.012839506</v>
      </c>
      <c r="O2428" s="163">
        <f t="shared" ref="O2428:Q2428" si="2432">rank(I2428,I:I)</f>
        <v>3770</v>
      </c>
      <c r="P2428" s="163">
        <f t="shared" si="2432"/>
        <v>2779</v>
      </c>
      <c r="Q2428" s="163">
        <f t="shared" si="2432"/>
        <v>3178</v>
      </c>
      <c r="R2428" s="163">
        <f>IFERROR(__xludf.DUMMYFUNCTION("RANK(M2428,filter(M:M,C:C=C2428))"),372.0)</f>
        <v>372</v>
      </c>
      <c r="S2428" s="161" t="b">
        <f t="shared" si="5"/>
        <v>0</v>
      </c>
      <c r="T2428" s="161" t="b">
        <f t="array" ref="T2428">index('Query Tool'!B:B,match(H2428,'Query Tool'!C:C,0))</f>
        <v>1</v>
      </c>
      <c r="U2428" s="161" t="b">
        <f t="array" ref="U2428">index('Query Tool'!B:B,match(C2428,'Query Tool'!C:C,0))</f>
        <v>0</v>
      </c>
      <c r="V2428" s="161" t="b">
        <f>F2428&gt;='Query Tool'!C$32</f>
        <v>0</v>
      </c>
      <c r="W2428" s="161" t="b">
        <f t="array" ref="W2428">index(Dropdowns!B:B,match(I2428,Dropdowns!A:A,0))</f>
        <v>1</v>
      </c>
      <c r="X2428" s="161" t="b">
        <f t="array" ref="X2428">index('Query Tool'!B:B,match(D2428,'Query Tool'!C:C,0))</f>
        <v>1</v>
      </c>
      <c r="Y2428" s="161" t="str">
        <f t="shared" si="6"/>
        <v>swanica01,2017-18</v>
      </c>
      <c r="Z2428" s="168">
        <f t="array" ref="Z2428">iferror(index(I:I,match($A2428&amp;","&amp;index('Year Conversion'!$A:$A,match($C2428,'Year Conversion'!$B:$B,0)),$Y:$Y,0))-I2428,"")</f>
        <v>1</v>
      </c>
      <c r="AA2428" s="168">
        <f t="array" ref="AA2428">iferror(index(J:J,match($A2428&amp;","&amp;index('Year Conversion'!$A:$A,match($C2428,'Year Conversion'!$B:$B,0)),$Y:$Y,0))-J2428,"")</f>
        <v>-0.7566099734</v>
      </c>
      <c r="AB2428" s="168">
        <f t="array" ref="AB2428">iferror(index(K:K,match($A2428&amp;","&amp;index('Year Conversion'!$A:$A,match($C2428,'Year Conversion'!$B:$B,0)),$Y:$Y,0))-K2428,"")</f>
        <v>-0.3243734579</v>
      </c>
      <c r="AC2428" s="168" t="str">
        <f t="shared" si="7"/>
        <v>POR,2017-18</v>
      </c>
    </row>
    <row r="2429">
      <c r="A2429" s="161" t="str">
        <f>IFERROR(__xludf.DUMMYFUNCTION("""COMPUTED_VALUE"""),"hartjo01")</f>
        <v>hartjo01</v>
      </c>
      <c r="B2429" s="161" t="str">
        <f>IFERROR(__xludf.DUMMYFUNCTION("""COMPUTED_VALUE"""),"Josh Hart")</f>
        <v>Josh Hart</v>
      </c>
      <c r="C2429" s="162" t="str">
        <f>IFERROR(__xludf.DUMMYFUNCTION("""COMPUTED_VALUE"""),"2017-18")</f>
        <v>2017-18</v>
      </c>
      <c r="D2429" s="163" t="str">
        <f>IFERROR(__xludf.DUMMYFUNCTION("""COMPUTED_VALUE"""),"LAL")</f>
        <v>LAL</v>
      </c>
      <c r="E2429" s="164" t="str">
        <f>IFERROR(__xludf.DUMMYFUNCTION("""COMPUTED_VALUE"""),"Movement Shooter")</f>
        <v>Movement Shooter</v>
      </c>
      <c r="F2429" s="164">
        <f>IFERROR(__xludf.DUMMYFUNCTION("""COMPUTED_VALUE"""),1460.52166666667)</f>
        <v>1460.521667</v>
      </c>
      <c r="G2429" s="163">
        <f>IFERROR(__xludf.DUMMYFUNCTION("""COMPUTED_VALUE"""),63.0)</f>
        <v>63</v>
      </c>
      <c r="H2429" s="163" t="str">
        <f>IFERROR(__xludf.DUMMYFUNCTION("""COMPUTED_VALUE"""),"SG")</f>
        <v>SG</v>
      </c>
      <c r="I2429" s="163">
        <f>IFERROR(__xludf.DUMMYFUNCTION("""COMPUTED_VALUE"""),22.0)</f>
        <v>22</v>
      </c>
      <c r="J2429" s="165">
        <f>IFERROR(__xludf.DUMMYFUNCTION("""COMPUTED_VALUE"""),-0.688505274947971)</f>
        <v>-0.6885052749</v>
      </c>
      <c r="K2429" s="165">
        <f>IFERROR(__xludf.DUMMYFUNCTION("""COMPUTED_VALUE"""),-0.366028902448858)</f>
        <v>-0.3660289024</v>
      </c>
      <c r="L2429" s="165">
        <f>IFERROR(__xludf.DUMMYFUNCTION("""COMPUTED_VALUE"""),-0.322476372499113)</f>
        <v>-0.3224763725</v>
      </c>
      <c r="M2429" s="166">
        <f t="shared" si="2"/>
        <v>1.57413398</v>
      </c>
      <c r="N2429" s="167">
        <f t="shared" si="3"/>
        <v>23.1828836</v>
      </c>
      <c r="O2429" s="163">
        <f t="shared" ref="O2429:Q2429" si="2433">rank(I2429,I:I)</f>
        <v>3178</v>
      </c>
      <c r="P2429" s="163">
        <f t="shared" si="2433"/>
        <v>2125</v>
      </c>
      <c r="Q2429" s="163">
        <f t="shared" si="2433"/>
        <v>1883</v>
      </c>
      <c r="R2429" s="163">
        <f>IFERROR(__xludf.DUMMYFUNCTION("RANK(M2429,filter(M:M,C:C=C2429))"),184.0)</f>
        <v>184</v>
      </c>
      <c r="S2429" s="161" t="b">
        <f t="shared" si="5"/>
        <v>0</v>
      </c>
      <c r="T2429" s="161" t="b">
        <f t="array" ref="T2429">index('Query Tool'!B:B,match(H2429,'Query Tool'!C:C,0))</f>
        <v>1</v>
      </c>
      <c r="U2429" s="161" t="b">
        <f t="array" ref="U2429">index('Query Tool'!B:B,match(C2429,'Query Tool'!C:C,0))</f>
        <v>0</v>
      </c>
      <c r="V2429" s="161" t="b">
        <f>F2429&gt;='Query Tool'!C$32</f>
        <v>1</v>
      </c>
      <c r="W2429" s="161" t="b">
        <f t="array" ref="W2429">index(Dropdowns!B:B,match(I2429,Dropdowns!A:A,0))</f>
        <v>1</v>
      </c>
      <c r="X2429" s="161" t="b">
        <f t="array" ref="X2429">index('Query Tool'!B:B,match(D2429,'Query Tool'!C:C,0))</f>
        <v>1</v>
      </c>
      <c r="Y2429" s="161" t="str">
        <f t="shared" si="6"/>
        <v>hartjo01,2017-18</v>
      </c>
      <c r="Z2429" s="168">
        <f t="array" ref="Z2429">iferror(index(I:I,match($A2429&amp;","&amp;index('Year Conversion'!$A:$A,match($C2429,'Year Conversion'!$B:$B,0)),$Y:$Y,0))-I2429,"")</f>
        <v>1</v>
      </c>
      <c r="AA2429" s="168">
        <f t="array" ref="AA2429">iferror(index(J:J,match($A2429&amp;","&amp;index('Year Conversion'!$A:$A,match($C2429,'Year Conversion'!$B:$B,0)),$Y:$Y,0))-J2429,"")</f>
        <v>-0.4617535771</v>
      </c>
      <c r="AB2429" s="168">
        <f t="array" ref="AB2429">iferror(index(K:K,match($A2429&amp;","&amp;index('Year Conversion'!$A:$A,match($C2429,'Year Conversion'!$B:$B,0)),$Y:$Y,0))-K2429,"")</f>
        <v>-1.531088105</v>
      </c>
      <c r="AC2429" s="168" t="str">
        <f t="shared" si="7"/>
        <v>LAL,2017-18</v>
      </c>
    </row>
    <row r="2430">
      <c r="A2430" s="161" t="str">
        <f>IFERROR(__xludf.DUMMYFUNCTION("""COMPUTED_VALUE"""),"motlejo01")</f>
        <v>motlejo01</v>
      </c>
      <c r="B2430" s="161" t="str">
        <f>IFERROR(__xludf.DUMMYFUNCTION("""COMPUTED_VALUE"""),"Johnathan Motley")</f>
        <v>Johnathan Motley</v>
      </c>
      <c r="C2430" s="162" t="str">
        <f>IFERROR(__xludf.DUMMYFUNCTION("""COMPUTED_VALUE"""),"2017-18")</f>
        <v>2017-18</v>
      </c>
      <c r="D2430" s="163" t="str">
        <f>IFERROR(__xludf.DUMMYFUNCTION("""COMPUTED_VALUE"""),"DAL")</f>
        <v>DAL</v>
      </c>
      <c r="E2430" s="164" t="str">
        <f>IFERROR(__xludf.DUMMYFUNCTION("""COMPUTED_VALUE"""),"Post Scorer")</f>
        <v>Post Scorer</v>
      </c>
      <c r="F2430" s="164">
        <f>IFERROR(__xludf.DUMMYFUNCTION("""COMPUTED_VALUE"""),175.765)</f>
        <v>175.765</v>
      </c>
      <c r="G2430" s="163">
        <f>IFERROR(__xludf.DUMMYFUNCTION("""COMPUTED_VALUE"""),11.0)</f>
        <v>11</v>
      </c>
      <c r="H2430" s="163" t="str">
        <f>IFERROR(__xludf.DUMMYFUNCTION("""COMPUTED_VALUE"""),"PF")</f>
        <v>PF</v>
      </c>
      <c r="I2430" s="163">
        <f>IFERROR(__xludf.DUMMYFUNCTION("""COMPUTED_VALUE"""),22.0)</f>
        <v>22</v>
      </c>
      <c r="J2430" s="165">
        <f>IFERROR(__xludf.DUMMYFUNCTION("""COMPUTED_VALUE"""),-0.496180728122622)</f>
        <v>-0.4961807281</v>
      </c>
      <c r="K2430" s="165">
        <f>IFERROR(__xludf.DUMMYFUNCTION("""COMPUTED_VALUE"""),-0.0938432457992385)</f>
        <v>-0.0938432458</v>
      </c>
      <c r="L2430" s="165">
        <f>IFERROR(__xludf.DUMMYFUNCTION("""COMPUTED_VALUE"""),-0.402337482323383)</f>
        <v>-0.4023374823</v>
      </c>
      <c r="M2430" s="166">
        <f t="shared" si="2"/>
        <v>0.2121942359</v>
      </c>
      <c r="N2430" s="167">
        <f t="shared" si="3"/>
        <v>15.97863636</v>
      </c>
      <c r="O2430" s="163">
        <f t="shared" ref="O2430:Q2430" si="2434">rank(I2430,I:I)</f>
        <v>3178</v>
      </c>
      <c r="P2430" s="163">
        <f t="shared" si="2434"/>
        <v>1848</v>
      </c>
      <c r="Q2430" s="163">
        <f t="shared" si="2434"/>
        <v>1352</v>
      </c>
      <c r="R2430" s="163">
        <f>IFERROR(__xludf.DUMMYFUNCTION("RANK(M2430,filter(M:M,C:C=C2430))"),339.0)</f>
        <v>339</v>
      </c>
      <c r="S2430" s="161" t="b">
        <f t="shared" si="5"/>
        <v>0</v>
      </c>
      <c r="T2430" s="161" t="b">
        <f t="array" ref="T2430">index('Query Tool'!B:B,match(H2430,'Query Tool'!C:C,0))</f>
        <v>1</v>
      </c>
      <c r="U2430" s="161" t="b">
        <f t="array" ref="U2430">index('Query Tool'!B:B,match(C2430,'Query Tool'!C:C,0))</f>
        <v>0</v>
      </c>
      <c r="V2430" s="161" t="b">
        <f>F2430&gt;='Query Tool'!C$32</f>
        <v>0</v>
      </c>
      <c r="W2430" s="161" t="b">
        <f t="array" ref="W2430">index(Dropdowns!B:B,match(I2430,Dropdowns!A:A,0))</f>
        <v>1</v>
      </c>
      <c r="X2430" s="161" t="b">
        <f t="array" ref="X2430">index('Query Tool'!B:B,match(D2430,'Query Tool'!C:C,0))</f>
        <v>1</v>
      </c>
      <c r="Y2430" s="161" t="str">
        <f t="shared" si="6"/>
        <v>motlejo01,2017-18</v>
      </c>
      <c r="Z2430" s="168">
        <f t="array" ref="Z2430">iferror(index(I:I,match($A2430&amp;","&amp;index('Year Conversion'!$A:$A,match($C2430,'Year Conversion'!$B:$B,0)),$Y:$Y,0))-I2430,"")</f>
        <v>1</v>
      </c>
      <c r="AA2430" s="168">
        <f t="array" ref="AA2430">iferror(index(J:J,match($A2430&amp;","&amp;index('Year Conversion'!$A:$A,match($C2430,'Year Conversion'!$B:$B,0)),$Y:$Y,0))-J2430,"")</f>
        <v>-0.2706733297</v>
      </c>
      <c r="AB2430" s="168">
        <f t="array" ref="AB2430">iferror(index(K:K,match($A2430&amp;","&amp;index('Year Conversion'!$A:$A,match($C2430,'Year Conversion'!$B:$B,0)),$Y:$Y,0))-K2430,"")</f>
        <v>0.1378653398</v>
      </c>
      <c r="AC2430" s="168" t="str">
        <f t="shared" si="7"/>
        <v>DAL,2017-18</v>
      </c>
    </row>
    <row r="2431">
      <c r="A2431" s="161" t="str">
        <f>IFERROR(__xludf.DUMMYFUNCTION("""COMPUTED_VALUE"""),"bacondw01")</f>
        <v>bacondw01</v>
      </c>
      <c r="B2431" s="161" t="str">
        <f>IFERROR(__xludf.DUMMYFUNCTION("""COMPUTED_VALUE"""),"Dwayne Bacon")</f>
        <v>Dwayne Bacon</v>
      </c>
      <c r="C2431" s="162" t="str">
        <f>IFERROR(__xludf.DUMMYFUNCTION("""COMPUTED_VALUE"""),"2017-18")</f>
        <v>2017-18</v>
      </c>
      <c r="D2431" s="163" t="str">
        <f>IFERROR(__xludf.DUMMYFUNCTION("""COMPUTED_VALUE"""),"CHO")</f>
        <v>CHO</v>
      </c>
      <c r="E2431" s="164" t="str">
        <f>IFERROR(__xludf.DUMMYFUNCTION("""COMPUTED_VALUE"""),"Secondary Ball Handler")</f>
        <v>Secondary Ball Handler</v>
      </c>
      <c r="F2431" s="164">
        <f>IFERROR(__xludf.DUMMYFUNCTION("""COMPUTED_VALUE"""),712.998333333333)</f>
        <v>712.9983333</v>
      </c>
      <c r="G2431" s="163">
        <f>IFERROR(__xludf.DUMMYFUNCTION("""COMPUTED_VALUE"""),53.0)</f>
        <v>53</v>
      </c>
      <c r="H2431" s="163" t="str">
        <f>IFERROR(__xludf.DUMMYFUNCTION("""COMPUTED_VALUE"""),"SG")</f>
        <v>SG</v>
      </c>
      <c r="I2431" s="163">
        <f>IFERROR(__xludf.DUMMYFUNCTION("""COMPUTED_VALUE"""),22.0)</f>
        <v>22</v>
      </c>
      <c r="J2431" s="165">
        <f>IFERROR(__xludf.DUMMYFUNCTION("""COMPUTED_VALUE"""),-2.74498318473897)</f>
        <v>-2.744983185</v>
      </c>
      <c r="K2431" s="165">
        <f>IFERROR(__xludf.DUMMYFUNCTION("""COMPUTED_VALUE"""),-3.01446488640865)</f>
        <v>-3.014464886</v>
      </c>
      <c r="L2431" s="165">
        <f>IFERROR(__xludf.DUMMYFUNCTION("""COMPUTED_VALUE"""),0.269481701669683)</f>
        <v>0.2694817017</v>
      </c>
      <c r="M2431" s="166">
        <f t="shared" si="2"/>
        <v>-0.2066564248</v>
      </c>
      <c r="N2431" s="167">
        <f t="shared" si="3"/>
        <v>13.45279874</v>
      </c>
      <c r="O2431" s="163">
        <f t="shared" ref="O2431:Q2431" si="2435">rank(I2431,I:I)</f>
        <v>3178</v>
      </c>
      <c r="P2431" s="163">
        <f t="shared" si="2435"/>
        <v>3829</v>
      </c>
      <c r="Q2431" s="163">
        <f t="shared" si="2435"/>
        <v>3981</v>
      </c>
      <c r="R2431" s="163">
        <f>IFERROR(__xludf.DUMMYFUNCTION("RANK(M2431,filter(M:M,C:C=C2431))"),514.0)</f>
        <v>514</v>
      </c>
      <c r="S2431" s="161" t="b">
        <f t="shared" si="5"/>
        <v>0</v>
      </c>
      <c r="T2431" s="161" t="b">
        <f t="array" ref="T2431">index('Query Tool'!B:B,match(H2431,'Query Tool'!C:C,0))</f>
        <v>1</v>
      </c>
      <c r="U2431" s="161" t="b">
        <f t="array" ref="U2431">index('Query Tool'!B:B,match(C2431,'Query Tool'!C:C,0))</f>
        <v>0</v>
      </c>
      <c r="V2431" s="161" t="b">
        <f>F2431&gt;='Query Tool'!C$32</f>
        <v>1</v>
      </c>
      <c r="W2431" s="161" t="b">
        <f t="array" ref="W2431">index(Dropdowns!B:B,match(I2431,Dropdowns!A:A,0))</f>
        <v>1</v>
      </c>
      <c r="X2431" s="161" t="b">
        <f t="array" ref="X2431">index('Query Tool'!B:B,match(D2431,'Query Tool'!C:C,0))</f>
        <v>1</v>
      </c>
      <c r="Y2431" s="161" t="str">
        <f t="shared" si="6"/>
        <v>bacondw01,2017-18</v>
      </c>
      <c r="Z2431" s="168">
        <f t="array" ref="Z2431">iferror(index(I:I,match($A2431&amp;","&amp;index('Year Conversion'!$A:$A,match($C2431,'Year Conversion'!$B:$B,0)),$Y:$Y,0))-I2431,"")</f>
        <v>1</v>
      </c>
      <c r="AA2431" s="168">
        <f t="array" ref="AA2431">iferror(index(J:J,match($A2431&amp;","&amp;index('Year Conversion'!$A:$A,match($C2431,'Year Conversion'!$B:$B,0)),$Y:$Y,0))-J2431,"")</f>
        <v>0.4362521361</v>
      </c>
      <c r="AB2431" s="168">
        <f t="array" ref="AB2431">iferror(index(K:K,match($A2431&amp;","&amp;index('Year Conversion'!$A:$A,match($C2431,'Year Conversion'!$B:$B,0)),$Y:$Y,0))-K2431,"")</f>
        <v>1.451409216</v>
      </c>
      <c r="AC2431" s="168" t="str">
        <f t="shared" si="7"/>
        <v>CHO,2017-18</v>
      </c>
    </row>
    <row r="2432">
      <c r="A2432" s="161" t="str">
        <f>IFERROR(__xludf.DUMMYFUNCTION("""COMPUTED_VALUE"""),"doziepj01")</f>
        <v>doziepj01</v>
      </c>
      <c r="B2432" s="161" t="str">
        <f>IFERROR(__xludf.DUMMYFUNCTION("""COMPUTED_VALUE"""),"PJ Dozier")</f>
        <v>PJ Dozier</v>
      </c>
      <c r="C2432" s="162" t="str">
        <f>IFERROR(__xludf.DUMMYFUNCTION("""COMPUTED_VALUE"""),"2017-18")</f>
        <v>2017-18</v>
      </c>
      <c r="D2432" s="163" t="str">
        <f>IFERROR(__xludf.DUMMYFUNCTION("""COMPUTED_VALUE"""),"OKC")</f>
        <v>OKC</v>
      </c>
      <c r="E2432" s="164" t="str">
        <f>IFERROR(__xludf.DUMMYFUNCTION("""COMPUTED_VALUE"""),"Slasher")</f>
        <v>Slasher</v>
      </c>
      <c r="F2432" s="164">
        <f>IFERROR(__xludf.DUMMYFUNCTION("""COMPUTED_VALUE"""),3.18833333333333)</f>
        <v>3.188333333</v>
      </c>
      <c r="G2432" s="163">
        <f>IFERROR(__xludf.DUMMYFUNCTION("""COMPUTED_VALUE"""),2.0)</f>
        <v>2</v>
      </c>
      <c r="H2432" s="163" t="str">
        <f>IFERROR(__xludf.DUMMYFUNCTION("""COMPUTED_VALUE"""),"PG")</f>
        <v>PG</v>
      </c>
      <c r="I2432" s="163">
        <f>IFERROR(__xludf.DUMMYFUNCTION("""COMPUTED_VALUE"""),21.0)</f>
        <v>21</v>
      </c>
      <c r="J2432" s="165">
        <f>IFERROR(__xludf.DUMMYFUNCTION("""COMPUTED_VALUE"""),-0.704008272843882)</f>
        <v>-0.7040082728</v>
      </c>
      <c r="K2432" s="165">
        <f>IFERROR(__xludf.DUMMYFUNCTION("""COMPUTED_VALUE"""),-0.255874662424457)</f>
        <v>-0.2558746624</v>
      </c>
      <c r="L2432" s="165">
        <f>IFERROR(__xludf.DUMMYFUNCTION("""COMPUTED_VALUE"""),-0.448133610419425)</f>
        <v>-0.4481336104</v>
      </c>
      <c r="M2432" s="166">
        <f t="shared" si="2"/>
        <v>0.003403093038</v>
      </c>
      <c r="N2432" s="167">
        <f t="shared" si="3"/>
        <v>1.594166667</v>
      </c>
      <c r="O2432" s="163">
        <f t="shared" ref="O2432:Q2432" si="2436">rank(I2432,I:I)</f>
        <v>3528</v>
      </c>
      <c r="P2432" s="163">
        <f t="shared" si="2436"/>
        <v>2149</v>
      </c>
      <c r="Q2432" s="163">
        <f t="shared" si="2436"/>
        <v>1681</v>
      </c>
      <c r="R2432" s="163">
        <f>IFERROR(__xludf.DUMMYFUNCTION("RANK(M2432,filter(M:M,C:C=C2432))"),489.0)</f>
        <v>489</v>
      </c>
      <c r="S2432" s="161" t="b">
        <f t="shared" si="5"/>
        <v>0</v>
      </c>
      <c r="T2432" s="161" t="b">
        <f t="array" ref="T2432">index('Query Tool'!B:B,match(H2432,'Query Tool'!C:C,0))</f>
        <v>1</v>
      </c>
      <c r="U2432" s="161" t="b">
        <f t="array" ref="U2432">index('Query Tool'!B:B,match(C2432,'Query Tool'!C:C,0))</f>
        <v>0</v>
      </c>
      <c r="V2432" s="161" t="b">
        <f>F2432&gt;='Query Tool'!C$32</f>
        <v>0</v>
      </c>
      <c r="W2432" s="161" t="b">
        <f t="array" ref="W2432">index(Dropdowns!B:B,match(I2432,Dropdowns!A:A,0))</f>
        <v>1</v>
      </c>
      <c r="X2432" s="161" t="b">
        <f t="array" ref="X2432">index('Query Tool'!B:B,match(D2432,'Query Tool'!C:C,0))</f>
        <v>1</v>
      </c>
      <c r="Y2432" s="161" t="str">
        <f t="shared" si="6"/>
        <v>doziepj01,2017-18</v>
      </c>
      <c r="Z2432" s="168">
        <f t="array" ref="Z2432">iferror(index(I:I,match($A2432&amp;","&amp;index('Year Conversion'!$A:$A,match($C2432,'Year Conversion'!$B:$B,0)),$Y:$Y,0))-I2432,"")</f>
        <v>1</v>
      </c>
      <c r="AA2432" s="168">
        <f t="array" ref="AA2432">iferror(index(J:J,match($A2432&amp;","&amp;index('Year Conversion'!$A:$A,match($C2432,'Year Conversion'!$B:$B,0)),$Y:$Y,0))-J2432,"")</f>
        <v>0.2304952399</v>
      </c>
      <c r="AB2432" s="168">
        <f t="array" ref="AB2432">iferror(index(K:K,match($A2432&amp;","&amp;index('Year Conversion'!$A:$A,match($C2432,'Year Conversion'!$B:$B,0)),$Y:$Y,0))-K2432,"")</f>
        <v>0.2023965721</v>
      </c>
      <c r="AC2432" s="168" t="str">
        <f t="shared" si="7"/>
        <v>OKC,2017-18</v>
      </c>
    </row>
    <row r="2433">
      <c r="A2433" s="161" t="str">
        <f>IFERROR(__xludf.DUMMYFUNCTION("""COMPUTED_VALUE"""),"peteral01")</f>
        <v>peteral01</v>
      </c>
      <c r="B2433" s="161" t="str">
        <f>IFERROR(__xludf.DUMMYFUNCTION("""COMPUTED_VALUE"""),"Alec Peters")</f>
        <v>Alec Peters</v>
      </c>
      <c r="C2433" s="162" t="str">
        <f>IFERROR(__xludf.DUMMYFUNCTION("""COMPUTED_VALUE"""),"2017-18")</f>
        <v>2017-18</v>
      </c>
      <c r="D2433" s="163" t="str">
        <f>IFERROR(__xludf.DUMMYFUNCTION("""COMPUTED_VALUE"""),"PHO")</f>
        <v>PHO</v>
      </c>
      <c r="E2433" s="164" t="str">
        <f>IFERROR(__xludf.DUMMYFUNCTION("""COMPUTED_VALUE"""),"Movement Shooter")</f>
        <v>Movement Shooter</v>
      </c>
      <c r="F2433" s="164">
        <f>IFERROR(__xludf.DUMMYFUNCTION("""COMPUTED_VALUE"""),224.855)</f>
        <v>224.855</v>
      </c>
      <c r="G2433" s="163">
        <f>IFERROR(__xludf.DUMMYFUNCTION("""COMPUTED_VALUE"""),20.0)</f>
        <v>20</v>
      </c>
      <c r="H2433" s="163" t="str">
        <f>IFERROR(__xludf.DUMMYFUNCTION("""COMPUTED_VALUE"""),"PF")</f>
        <v>PF</v>
      </c>
      <c r="I2433" s="163">
        <f>IFERROR(__xludf.DUMMYFUNCTION("""COMPUTED_VALUE"""),22.0)</f>
        <v>22</v>
      </c>
      <c r="J2433" s="165">
        <f>IFERROR(__xludf.DUMMYFUNCTION("""COMPUTED_VALUE"""),0.456044321734846)</f>
        <v>0.4560443217</v>
      </c>
      <c r="K2433" s="165">
        <f>IFERROR(__xludf.DUMMYFUNCTION("""COMPUTED_VALUE"""),0.704129573410549)</f>
        <v>0.7041295734</v>
      </c>
      <c r="L2433" s="165">
        <f>IFERROR(__xludf.DUMMYFUNCTION("""COMPUTED_VALUE"""),-0.248085251675703)</f>
        <v>-0.2480852517</v>
      </c>
      <c r="M2433" s="166">
        <f t="shared" si="2"/>
        <v>0.4157655078</v>
      </c>
      <c r="N2433" s="167">
        <f t="shared" si="3"/>
        <v>11.24275</v>
      </c>
      <c r="O2433" s="163">
        <f t="shared" ref="O2433:Q2433" si="2437">rank(I2433,I:I)</f>
        <v>3178</v>
      </c>
      <c r="P2433" s="163">
        <f t="shared" si="2437"/>
        <v>923</v>
      </c>
      <c r="Q2433" s="163">
        <f t="shared" si="2437"/>
        <v>650</v>
      </c>
      <c r="R2433" s="163">
        <f>IFERROR(__xludf.DUMMYFUNCTION("RANK(M2433,filter(M:M,C:C=C2433))"),300.0)</f>
        <v>300</v>
      </c>
      <c r="S2433" s="161" t="b">
        <f t="shared" si="5"/>
        <v>0</v>
      </c>
      <c r="T2433" s="161" t="b">
        <f t="array" ref="T2433">index('Query Tool'!B:B,match(H2433,'Query Tool'!C:C,0))</f>
        <v>1</v>
      </c>
      <c r="U2433" s="161" t="b">
        <f t="array" ref="U2433">index('Query Tool'!B:B,match(C2433,'Query Tool'!C:C,0))</f>
        <v>0</v>
      </c>
      <c r="V2433" s="161" t="b">
        <f>F2433&gt;='Query Tool'!C$32</f>
        <v>0</v>
      </c>
      <c r="W2433" s="161" t="b">
        <f t="array" ref="W2433">index(Dropdowns!B:B,match(I2433,Dropdowns!A:A,0))</f>
        <v>1</v>
      </c>
      <c r="X2433" s="161" t="b">
        <f t="array" ref="X2433">index('Query Tool'!B:B,match(D2433,'Query Tool'!C:C,0))</f>
        <v>1</v>
      </c>
      <c r="Y2433" s="161" t="str">
        <f t="shared" si="6"/>
        <v>peteral01,2017-18</v>
      </c>
      <c r="Z2433" s="168" t="str">
        <f t="array" ref="Z2433">iferror(index(I:I,match($A2433&amp;","&amp;index('Year Conversion'!$A:$A,match($C2433,'Year Conversion'!$B:$B,0)),$Y:$Y,0))-I2433,"")</f>
        <v/>
      </c>
      <c r="AA2433" s="168" t="str">
        <f t="array" ref="AA2433">iferror(index(J:J,match($A2433&amp;","&amp;index('Year Conversion'!$A:$A,match($C2433,'Year Conversion'!$B:$B,0)),$Y:$Y,0))-J2433,"")</f>
        <v/>
      </c>
      <c r="AB2433" s="168" t="str">
        <f t="array" ref="AB2433">iferror(index(K:K,match($A2433&amp;","&amp;index('Year Conversion'!$A:$A,match($C2433,'Year Conversion'!$B:$B,0)),$Y:$Y,0))-K2433,"")</f>
        <v/>
      </c>
      <c r="AC2433" s="168" t="str">
        <f t="shared" si="7"/>
        <v>PHO,2017-18</v>
      </c>
    </row>
    <row r="2434">
      <c r="A2434" s="161" t="str">
        <f>IFERROR(__xludf.DUMMYFUNCTION("""COMPUTED_VALUE"""),"sumneed01")</f>
        <v>sumneed01</v>
      </c>
      <c r="B2434" s="161" t="str">
        <f>IFERROR(__xludf.DUMMYFUNCTION("""COMPUTED_VALUE"""),"Edmond Sumner")</f>
        <v>Edmond Sumner</v>
      </c>
      <c r="C2434" s="162" t="str">
        <f>IFERROR(__xludf.DUMMYFUNCTION("""COMPUTED_VALUE"""),"2017-18")</f>
        <v>2017-18</v>
      </c>
      <c r="D2434" s="163" t="str">
        <f>IFERROR(__xludf.DUMMYFUNCTION("""COMPUTED_VALUE"""),"IND")</f>
        <v>IND</v>
      </c>
      <c r="E2434" s="164" t="str">
        <f>IFERROR(__xludf.DUMMYFUNCTION("""COMPUTED_VALUE"""),"Low Minutes")</f>
        <v>Low Minutes</v>
      </c>
      <c r="F2434" s="164">
        <f>IFERROR(__xludf.DUMMYFUNCTION("""COMPUTED_VALUE"""),2.16666666666667)</f>
        <v>2.166666667</v>
      </c>
      <c r="G2434" s="163">
        <f>IFERROR(__xludf.DUMMYFUNCTION("""COMPUTED_VALUE"""),1.0)</f>
        <v>1</v>
      </c>
      <c r="H2434" s="163" t="str">
        <f>IFERROR(__xludf.DUMMYFUNCTION("""COMPUTED_VALUE"""),"PG")</f>
        <v>PG</v>
      </c>
      <c r="I2434" s="163">
        <f>IFERROR(__xludf.DUMMYFUNCTION("""COMPUTED_VALUE"""),22.0)</f>
        <v>22</v>
      </c>
      <c r="J2434" s="165">
        <f>IFERROR(__xludf.DUMMYFUNCTION("""COMPUTED_VALUE"""),-0.731521441356289)</f>
        <v>-0.7315214414</v>
      </c>
      <c r="K2434" s="165">
        <f>IFERROR(__xludf.DUMMYFUNCTION("""COMPUTED_VALUE"""),-0.141996431923416)</f>
        <v>-0.1419964319</v>
      </c>
      <c r="L2434" s="165">
        <f>IFERROR(__xludf.DUMMYFUNCTION("""COMPUTED_VALUE"""),-0.589525009432873)</f>
        <v>-0.5895250094</v>
      </c>
      <c r="M2434" s="166">
        <f t="shared" si="2"/>
        <v>0.00227250543</v>
      </c>
      <c r="N2434" s="167">
        <f t="shared" si="3"/>
        <v>2.166666667</v>
      </c>
      <c r="O2434" s="163">
        <f t="shared" ref="O2434:Q2434" si="2438">rank(I2434,I:I)</f>
        <v>3178</v>
      </c>
      <c r="P2434" s="163">
        <f t="shared" si="2438"/>
        <v>2188</v>
      </c>
      <c r="Q2434" s="163">
        <f t="shared" si="2438"/>
        <v>1467</v>
      </c>
      <c r="R2434" s="163">
        <f>IFERROR(__xludf.DUMMYFUNCTION("RANK(M2434,filter(M:M,C:C=C2434))"),493.0)</f>
        <v>493</v>
      </c>
      <c r="S2434" s="161" t="b">
        <f t="shared" si="5"/>
        <v>0</v>
      </c>
      <c r="T2434" s="161" t="b">
        <f t="array" ref="T2434">index('Query Tool'!B:B,match(H2434,'Query Tool'!C:C,0))</f>
        <v>1</v>
      </c>
      <c r="U2434" s="161" t="b">
        <f t="array" ref="U2434">index('Query Tool'!B:B,match(C2434,'Query Tool'!C:C,0))</f>
        <v>0</v>
      </c>
      <c r="V2434" s="161" t="b">
        <f>F2434&gt;='Query Tool'!C$32</f>
        <v>0</v>
      </c>
      <c r="W2434" s="161" t="b">
        <f t="array" ref="W2434">index(Dropdowns!B:B,match(I2434,Dropdowns!A:A,0))</f>
        <v>1</v>
      </c>
      <c r="X2434" s="161" t="b">
        <f t="array" ref="X2434">index('Query Tool'!B:B,match(D2434,'Query Tool'!C:C,0))</f>
        <v>1</v>
      </c>
      <c r="Y2434" s="161" t="str">
        <f t="shared" si="6"/>
        <v>sumneed01,2017-18</v>
      </c>
      <c r="Z2434" s="168">
        <f t="array" ref="Z2434">iferror(index(I:I,match($A2434&amp;","&amp;index('Year Conversion'!$A:$A,match($C2434,'Year Conversion'!$B:$B,0)),$Y:$Y,0))-I2434,"")</f>
        <v>1</v>
      </c>
      <c r="AA2434" s="168">
        <f t="array" ref="AA2434">iferror(index(J:J,match($A2434&amp;","&amp;index('Year Conversion'!$A:$A,match($C2434,'Year Conversion'!$B:$B,0)),$Y:$Y,0))-J2434,"")</f>
        <v>-1.132195933</v>
      </c>
      <c r="AB2434" s="168">
        <f t="array" ref="AB2434">iferror(index(K:K,match($A2434&amp;","&amp;index('Year Conversion'!$A:$A,match($C2434,'Year Conversion'!$B:$B,0)),$Y:$Y,0))-K2434,"")</f>
        <v>-1.191497478</v>
      </c>
      <c r="AC2434" s="168" t="str">
        <f t="shared" si="7"/>
        <v>IND,2017-18</v>
      </c>
    </row>
    <row r="2435">
      <c r="A2435" s="161" t="str">
        <f>IFERROR(__xludf.DUMMYFUNCTION("""COMPUTED_VALUE"""),"iwundwe01")</f>
        <v>iwundwe01</v>
      </c>
      <c r="B2435" s="161" t="str">
        <f>IFERROR(__xludf.DUMMYFUNCTION("""COMPUTED_VALUE"""),"Wes Iwundu")</f>
        <v>Wes Iwundu</v>
      </c>
      <c r="C2435" s="162" t="str">
        <f>IFERROR(__xludf.DUMMYFUNCTION("""COMPUTED_VALUE"""),"2017-18")</f>
        <v>2017-18</v>
      </c>
      <c r="D2435" s="163" t="str">
        <f>IFERROR(__xludf.DUMMYFUNCTION("""COMPUTED_VALUE"""),"ORL")</f>
        <v>ORL</v>
      </c>
      <c r="E2435" s="164" t="str">
        <f>IFERROR(__xludf.DUMMYFUNCTION("""COMPUTED_VALUE"""),"Athletic Finisher")</f>
        <v>Athletic Finisher</v>
      </c>
      <c r="F2435" s="164">
        <f>IFERROR(__xludf.DUMMYFUNCTION("""COMPUTED_VALUE"""),1020.305)</f>
        <v>1020.305</v>
      </c>
      <c r="G2435" s="163">
        <f>IFERROR(__xludf.DUMMYFUNCTION("""COMPUTED_VALUE"""),62.0)</f>
        <v>62</v>
      </c>
      <c r="H2435" s="163" t="str">
        <f>IFERROR(__xludf.DUMMYFUNCTION("""COMPUTED_VALUE"""),"SF")</f>
        <v>SF</v>
      </c>
      <c r="I2435" s="163">
        <f>IFERROR(__xludf.DUMMYFUNCTION("""COMPUTED_VALUE"""),23.0)</f>
        <v>23</v>
      </c>
      <c r="J2435" s="165">
        <f>IFERROR(__xludf.DUMMYFUNCTION("""COMPUTED_VALUE"""),-2.54062649919019)</f>
        <v>-2.540626499</v>
      </c>
      <c r="K2435" s="165">
        <f>IFERROR(__xludf.DUMMYFUNCTION("""COMPUTED_VALUE"""),-2.35218713035562)</f>
        <v>-2.35218713</v>
      </c>
      <c r="L2435" s="165">
        <f>IFERROR(__xludf.DUMMYFUNCTION("""COMPUTED_VALUE"""),-0.188439368834574)</f>
        <v>-0.1884393688</v>
      </c>
      <c r="M2435" s="166">
        <f t="shared" si="2"/>
        <v>-0.1591695514</v>
      </c>
      <c r="N2435" s="167">
        <f t="shared" si="3"/>
        <v>16.45653226</v>
      </c>
      <c r="O2435" s="163">
        <f t="shared" ref="O2435:Q2435" si="2439">rank(I2435,I:I)</f>
        <v>2765</v>
      </c>
      <c r="P2435" s="163">
        <f t="shared" si="2439"/>
        <v>3771</v>
      </c>
      <c r="Q2435" s="163">
        <f t="shared" si="2439"/>
        <v>3852</v>
      </c>
      <c r="R2435" s="163">
        <f>IFERROR(__xludf.DUMMYFUNCTION("RANK(M2435,filter(M:M,C:C=C2435))"),512.0)</f>
        <v>512</v>
      </c>
      <c r="S2435" s="161" t="b">
        <f t="shared" si="5"/>
        <v>0</v>
      </c>
      <c r="T2435" s="161" t="b">
        <f t="array" ref="T2435">index('Query Tool'!B:B,match(H2435,'Query Tool'!C:C,0))</f>
        <v>1</v>
      </c>
      <c r="U2435" s="161" t="b">
        <f t="array" ref="U2435">index('Query Tool'!B:B,match(C2435,'Query Tool'!C:C,0))</f>
        <v>0</v>
      </c>
      <c r="V2435" s="161" t="b">
        <f>F2435&gt;='Query Tool'!C$32</f>
        <v>1</v>
      </c>
      <c r="W2435" s="161" t="b">
        <f t="array" ref="W2435">index(Dropdowns!B:B,match(I2435,Dropdowns!A:A,0))</f>
        <v>1</v>
      </c>
      <c r="X2435" s="161" t="b">
        <f t="array" ref="X2435">index('Query Tool'!B:B,match(D2435,'Query Tool'!C:C,0))</f>
        <v>1</v>
      </c>
      <c r="Y2435" s="161" t="str">
        <f t="shared" si="6"/>
        <v>iwundwe01,2017-18</v>
      </c>
      <c r="Z2435" s="168">
        <f t="array" ref="Z2435">iferror(index(I:I,match($A2435&amp;","&amp;index('Year Conversion'!$A:$A,match($C2435,'Year Conversion'!$B:$B,0)),$Y:$Y,0))-I2435,"")</f>
        <v>1</v>
      </c>
      <c r="AA2435" s="168">
        <f t="array" ref="AA2435">iferror(index(J:J,match($A2435&amp;","&amp;index('Year Conversion'!$A:$A,match($C2435,'Year Conversion'!$B:$B,0)),$Y:$Y,0))-J2435,"")</f>
        <v>-0.113731372</v>
      </c>
      <c r="AB2435" s="168">
        <f t="array" ref="AB2435">iferror(index(K:K,match($A2435&amp;","&amp;index('Year Conversion'!$A:$A,match($C2435,'Year Conversion'!$B:$B,0)),$Y:$Y,0))-K2435,"")</f>
        <v>-0.315214885</v>
      </c>
      <c r="AC2435" s="168" t="str">
        <f t="shared" si="7"/>
        <v>ORL,2017-18</v>
      </c>
    </row>
    <row r="2436">
      <c r="A2436" s="161" t="str">
        <f>IFERROR(__xludf.DUMMYFUNCTION("""COMPUTED_VALUE"""),"masonfr01")</f>
        <v>masonfr01</v>
      </c>
      <c r="B2436" s="161" t="str">
        <f>IFERROR(__xludf.DUMMYFUNCTION("""COMPUTED_VALUE"""),"Frank Mason")</f>
        <v>Frank Mason</v>
      </c>
      <c r="C2436" s="162" t="str">
        <f>IFERROR(__xludf.DUMMYFUNCTION("""COMPUTED_VALUE"""),"2017-18")</f>
        <v>2017-18</v>
      </c>
      <c r="D2436" s="163" t="str">
        <f>IFERROR(__xludf.DUMMYFUNCTION("""COMPUTED_VALUE"""),"SAC")</f>
        <v>SAC</v>
      </c>
      <c r="E2436" s="164" t="str">
        <f>IFERROR(__xludf.DUMMYFUNCTION("""COMPUTED_VALUE"""),"Slasher")</f>
        <v>Slasher</v>
      </c>
      <c r="F2436" s="164">
        <f>IFERROR(__xludf.DUMMYFUNCTION("""COMPUTED_VALUE"""),983.993333333333)</f>
        <v>983.9933333</v>
      </c>
      <c r="G2436" s="163">
        <f>IFERROR(__xludf.DUMMYFUNCTION("""COMPUTED_VALUE"""),52.0)</f>
        <v>52</v>
      </c>
      <c r="H2436" s="163" t="str">
        <f>IFERROR(__xludf.DUMMYFUNCTION("""COMPUTED_VALUE"""),"PG")</f>
        <v>PG</v>
      </c>
      <c r="I2436" s="163">
        <f>IFERROR(__xludf.DUMMYFUNCTION("""COMPUTED_VALUE"""),23.0)</f>
        <v>23</v>
      </c>
      <c r="J2436" s="165">
        <f>IFERROR(__xludf.DUMMYFUNCTION("""COMPUTED_VALUE"""),-1.36255803655848)</f>
        <v>-1.362558037</v>
      </c>
      <c r="K2436" s="165">
        <f>IFERROR(__xludf.DUMMYFUNCTION("""COMPUTED_VALUE"""),-0.370929284039977)</f>
        <v>-0.370929284</v>
      </c>
      <c r="L2436" s="165">
        <f>IFERROR(__xludf.DUMMYFUNCTION("""COMPUTED_VALUE"""),-0.991628752518499)</f>
        <v>-0.9916287525</v>
      </c>
      <c r="M2436" s="166">
        <f t="shared" si="2"/>
        <v>0.6153951802</v>
      </c>
      <c r="N2436" s="167">
        <f t="shared" si="3"/>
        <v>18.92294872</v>
      </c>
      <c r="O2436" s="163">
        <f t="shared" ref="O2436:Q2436" si="2440">rank(I2436,I:I)</f>
        <v>2765</v>
      </c>
      <c r="P2436" s="163">
        <f t="shared" si="2440"/>
        <v>2915</v>
      </c>
      <c r="Q2436" s="163">
        <f t="shared" si="2440"/>
        <v>1895</v>
      </c>
      <c r="R2436" s="163">
        <f>IFERROR(__xludf.DUMMYFUNCTION("RANK(M2436,filter(M:M,C:C=C2436))"),281.0)</f>
        <v>281</v>
      </c>
      <c r="S2436" s="161" t="b">
        <f t="shared" si="5"/>
        <v>0</v>
      </c>
      <c r="T2436" s="161" t="b">
        <f t="array" ref="T2436">index('Query Tool'!B:B,match(H2436,'Query Tool'!C:C,0))</f>
        <v>1</v>
      </c>
      <c r="U2436" s="161" t="b">
        <f t="array" ref="U2436">index('Query Tool'!B:B,match(C2436,'Query Tool'!C:C,0))</f>
        <v>0</v>
      </c>
      <c r="V2436" s="161" t="b">
        <f>F2436&gt;='Query Tool'!C$32</f>
        <v>1</v>
      </c>
      <c r="W2436" s="161" t="b">
        <f t="array" ref="W2436">index(Dropdowns!B:B,match(I2436,Dropdowns!A:A,0))</f>
        <v>1</v>
      </c>
      <c r="X2436" s="161" t="b">
        <f t="array" ref="X2436">index('Query Tool'!B:B,match(D2436,'Query Tool'!C:C,0))</f>
        <v>1</v>
      </c>
      <c r="Y2436" s="161" t="str">
        <f t="shared" si="6"/>
        <v>masonfr01,2017-18</v>
      </c>
      <c r="Z2436" s="168">
        <f t="array" ref="Z2436">iferror(index(I:I,match($A2436&amp;","&amp;index('Year Conversion'!$A:$A,match($C2436,'Year Conversion'!$B:$B,0)),$Y:$Y,0))-I2436,"")</f>
        <v>1</v>
      </c>
      <c r="AA2436" s="168">
        <f t="array" ref="AA2436">iferror(index(J:J,match($A2436&amp;","&amp;index('Year Conversion'!$A:$A,match($C2436,'Year Conversion'!$B:$B,0)),$Y:$Y,0))-J2436,"")</f>
        <v>-0.05797750989</v>
      </c>
      <c r="AB2436" s="168">
        <f t="array" ref="AB2436">iferror(index(K:K,match($A2436&amp;","&amp;index('Year Conversion'!$A:$A,match($C2436,'Year Conversion'!$B:$B,0)),$Y:$Y,0))-K2436,"")</f>
        <v>0.07919910412</v>
      </c>
      <c r="AC2436" s="168" t="str">
        <f t="shared" si="7"/>
        <v>SAC,2017-18</v>
      </c>
    </row>
    <row r="2437">
      <c r="A2437" s="161" t="str">
        <f>IFERROR(__xludf.DUMMYFUNCTION("""COMPUTED_VALUE"""),"thornsi01")</f>
        <v>thornsi01</v>
      </c>
      <c r="B2437" s="161" t="str">
        <f>IFERROR(__xludf.DUMMYFUNCTION("""COMPUTED_VALUE"""),"Sindarius Thornwell")</f>
        <v>Sindarius Thornwell</v>
      </c>
      <c r="C2437" s="162" t="str">
        <f>IFERROR(__xludf.DUMMYFUNCTION("""COMPUTED_VALUE"""),"2017-18")</f>
        <v>2017-18</v>
      </c>
      <c r="D2437" s="163" t="str">
        <f>IFERROR(__xludf.DUMMYFUNCTION("""COMPUTED_VALUE"""),"LAC")</f>
        <v>LAC</v>
      </c>
      <c r="E2437" s="164" t="str">
        <f>IFERROR(__xludf.DUMMYFUNCTION("""COMPUTED_VALUE"""),"Stationary Shooter")</f>
        <v>Stationary Shooter</v>
      </c>
      <c r="F2437" s="164">
        <f>IFERROR(__xludf.DUMMYFUNCTION("""COMPUTED_VALUE"""),1155.88)</f>
        <v>1155.88</v>
      </c>
      <c r="G2437" s="163">
        <f>IFERROR(__xludf.DUMMYFUNCTION("""COMPUTED_VALUE"""),73.0)</f>
        <v>73</v>
      </c>
      <c r="H2437" s="163" t="str">
        <f>IFERROR(__xludf.DUMMYFUNCTION("""COMPUTED_VALUE"""),"SG")</f>
        <v>SG</v>
      </c>
      <c r="I2437" s="163">
        <f>IFERROR(__xludf.DUMMYFUNCTION("""COMPUTED_VALUE"""),23.0)</f>
        <v>23</v>
      </c>
      <c r="J2437" s="165">
        <f>IFERROR(__xludf.DUMMYFUNCTION("""COMPUTED_VALUE"""),-1.20841227573894)</f>
        <v>-1.208412276</v>
      </c>
      <c r="K2437" s="165">
        <f>IFERROR(__xludf.DUMMYFUNCTION("""COMPUTED_VALUE"""),-2.41815742572092)</f>
        <v>-2.418157426</v>
      </c>
      <c r="L2437" s="165">
        <f>IFERROR(__xludf.DUMMYFUNCTION("""COMPUTED_VALUE"""),1.20974514998198)</f>
        <v>1.20974515</v>
      </c>
      <c r="M2437" s="166">
        <f t="shared" si="2"/>
        <v>0.8421927572</v>
      </c>
      <c r="N2437" s="167">
        <f t="shared" si="3"/>
        <v>15.8339726</v>
      </c>
      <c r="O2437" s="163">
        <f t="shared" ref="O2437:Q2437" si="2441">rank(I2437,I:I)</f>
        <v>2765</v>
      </c>
      <c r="P2437" s="163">
        <f t="shared" si="2441"/>
        <v>2754</v>
      </c>
      <c r="Q2437" s="163">
        <f t="shared" si="2441"/>
        <v>3870</v>
      </c>
      <c r="R2437" s="163">
        <f>IFERROR(__xludf.DUMMYFUNCTION("RANK(M2437,filter(M:M,C:C=C2437))"),253.0)</f>
        <v>253</v>
      </c>
      <c r="S2437" s="161" t="b">
        <f t="shared" si="5"/>
        <v>0</v>
      </c>
      <c r="T2437" s="161" t="b">
        <f t="array" ref="T2437">index('Query Tool'!B:B,match(H2437,'Query Tool'!C:C,0))</f>
        <v>1</v>
      </c>
      <c r="U2437" s="161" t="b">
        <f t="array" ref="U2437">index('Query Tool'!B:B,match(C2437,'Query Tool'!C:C,0))</f>
        <v>0</v>
      </c>
      <c r="V2437" s="161" t="b">
        <f>F2437&gt;='Query Tool'!C$32</f>
        <v>1</v>
      </c>
      <c r="W2437" s="161" t="b">
        <f t="array" ref="W2437">index(Dropdowns!B:B,match(I2437,Dropdowns!A:A,0))</f>
        <v>1</v>
      </c>
      <c r="X2437" s="161" t="b">
        <f t="array" ref="X2437">index('Query Tool'!B:B,match(D2437,'Query Tool'!C:C,0))</f>
        <v>1</v>
      </c>
      <c r="Y2437" s="161" t="str">
        <f t="shared" si="6"/>
        <v>thornsi01,2017-18</v>
      </c>
      <c r="Z2437" s="168">
        <f t="array" ref="Z2437">iferror(index(I:I,match($A2437&amp;","&amp;index('Year Conversion'!$A:$A,match($C2437,'Year Conversion'!$B:$B,0)),$Y:$Y,0))-I2437,"")</f>
        <v>1</v>
      </c>
      <c r="AA2437" s="168">
        <f t="array" ref="AA2437">iferror(index(J:J,match($A2437&amp;","&amp;index('Year Conversion'!$A:$A,match($C2437,'Year Conversion'!$B:$B,0)),$Y:$Y,0))-J2437,"")</f>
        <v>-1.16589411</v>
      </c>
      <c r="AB2437" s="168">
        <f t="array" ref="AB2437">iferror(index(K:K,match($A2437&amp;","&amp;index('Year Conversion'!$A:$A,match($C2437,'Year Conversion'!$B:$B,0)),$Y:$Y,0))-K2437,"")</f>
        <v>-0.3445639753</v>
      </c>
      <c r="AC2437" s="168" t="str">
        <f t="shared" si="7"/>
        <v>LAC,2017-18</v>
      </c>
    </row>
    <row r="2438">
      <c r="A2438" s="161" t="str">
        <f>IFERROR(__xludf.DUMMYFUNCTION("""COMPUTED_VALUE"""),"brookdi01")</f>
        <v>brookdi01</v>
      </c>
      <c r="B2438" s="161" t="str">
        <f>IFERROR(__xludf.DUMMYFUNCTION("""COMPUTED_VALUE"""),"Dillon Brooks")</f>
        <v>Dillon Brooks</v>
      </c>
      <c r="C2438" s="162" t="str">
        <f>IFERROR(__xludf.DUMMYFUNCTION("""COMPUTED_VALUE"""),"2017-18")</f>
        <v>2017-18</v>
      </c>
      <c r="D2438" s="163" t="str">
        <f>IFERROR(__xludf.DUMMYFUNCTION("""COMPUTED_VALUE"""),"MEM")</f>
        <v>MEM</v>
      </c>
      <c r="E2438" s="164" t="str">
        <f>IFERROR(__xludf.DUMMYFUNCTION("""COMPUTED_VALUE"""),"Secondary Ball Handler")</f>
        <v>Secondary Ball Handler</v>
      </c>
      <c r="F2438" s="164">
        <f>IFERROR(__xludf.DUMMYFUNCTION("""COMPUTED_VALUE"""),2349.83166666667)</f>
        <v>2349.831667</v>
      </c>
      <c r="G2438" s="163">
        <f>IFERROR(__xludf.DUMMYFUNCTION("""COMPUTED_VALUE"""),82.0)</f>
        <v>82</v>
      </c>
      <c r="H2438" s="163" t="str">
        <f>IFERROR(__xludf.DUMMYFUNCTION("""COMPUTED_VALUE"""),"SF")</f>
        <v>SF</v>
      </c>
      <c r="I2438" s="163">
        <f>IFERROR(__xludf.DUMMYFUNCTION("""COMPUTED_VALUE"""),22.0)</f>
        <v>22</v>
      </c>
      <c r="J2438" s="165">
        <f>IFERROR(__xludf.DUMMYFUNCTION("""COMPUTED_VALUE"""),-2.35705979684895)</f>
        <v>-2.357059797</v>
      </c>
      <c r="K2438" s="165">
        <f>IFERROR(__xludf.DUMMYFUNCTION("""COMPUTED_VALUE"""),-1.85862358281287)</f>
        <v>-1.858623583</v>
      </c>
      <c r="L2438" s="165">
        <f>IFERROR(__xludf.DUMMYFUNCTION("""COMPUTED_VALUE"""),-0.498436214036082)</f>
        <v>-0.498436214</v>
      </c>
      <c r="M2438" s="166">
        <f t="shared" si="2"/>
        <v>-0.08291788752</v>
      </c>
      <c r="N2438" s="167">
        <f t="shared" si="3"/>
        <v>28.65648374</v>
      </c>
      <c r="O2438" s="163">
        <f t="shared" ref="O2438:Q2438" si="2442">rank(I2438,I:I)</f>
        <v>3178</v>
      </c>
      <c r="P2438" s="163">
        <f t="shared" si="2442"/>
        <v>3687</v>
      </c>
      <c r="Q2438" s="163">
        <f t="shared" si="2442"/>
        <v>3613</v>
      </c>
      <c r="R2438" s="163">
        <f>IFERROR(__xludf.DUMMYFUNCTION("RANK(M2438,filter(M:M,C:C=C2438))"),509.0)</f>
        <v>509</v>
      </c>
      <c r="S2438" s="161" t="b">
        <f t="shared" si="5"/>
        <v>0</v>
      </c>
      <c r="T2438" s="161" t="b">
        <f t="array" ref="T2438">index('Query Tool'!B:B,match(H2438,'Query Tool'!C:C,0))</f>
        <v>1</v>
      </c>
      <c r="U2438" s="161" t="b">
        <f t="array" ref="U2438">index('Query Tool'!B:B,match(C2438,'Query Tool'!C:C,0))</f>
        <v>0</v>
      </c>
      <c r="V2438" s="161" t="b">
        <f>F2438&gt;='Query Tool'!C$32</f>
        <v>1</v>
      </c>
      <c r="W2438" s="161" t="b">
        <f t="array" ref="W2438">index(Dropdowns!B:B,match(I2438,Dropdowns!A:A,0))</f>
        <v>1</v>
      </c>
      <c r="X2438" s="161" t="b">
        <f t="array" ref="X2438">index('Query Tool'!B:B,match(D2438,'Query Tool'!C:C,0))</f>
        <v>1</v>
      </c>
      <c r="Y2438" s="161" t="str">
        <f t="shared" si="6"/>
        <v>brookdi01,2017-18</v>
      </c>
      <c r="Z2438" s="168">
        <f t="array" ref="Z2438">iferror(index(I:I,match($A2438&amp;","&amp;index('Year Conversion'!$A:$A,match($C2438,'Year Conversion'!$B:$B,0)),$Y:$Y,0))-I2438,"")</f>
        <v>1</v>
      </c>
      <c r="AA2438" s="168">
        <f t="array" ref="AA2438">iferror(index(J:J,match($A2438&amp;","&amp;index('Year Conversion'!$A:$A,match($C2438,'Year Conversion'!$B:$B,0)),$Y:$Y,0))-J2438,"")</f>
        <v>0.06679110716</v>
      </c>
      <c r="AB2438" s="168">
        <f t="array" ref="AB2438">iferror(index(K:K,match($A2438&amp;","&amp;index('Year Conversion'!$A:$A,match($C2438,'Year Conversion'!$B:$B,0)),$Y:$Y,0))-K2438,"")</f>
        <v>0.1202209985</v>
      </c>
      <c r="AC2438" s="168" t="str">
        <f t="shared" si="7"/>
        <v>MEM,2017-18</v>
      </c>
    </row>
    <row r="2439">
      <c r="A2439" s="161" t="str">
        <f>IFERROR(__xludf.DUMMYFUNCTION("""COMPUTED_VALUE"""),"dorsety01")</f>
        <v>dorsety01</v>
      </c>
      <c r="B2439" s="161" t="str">
        <f>IFERROR(__xludf.DUMMYFUNCTION("""COMPUTED_VALUE"""),"Tyler Dorsey")</f>
        <v>Tyler Dorsey</v>
      </c>
      <c r="C2439" s="162" t="str">
        <f>IFERROR(__xludf.DUMMYFUNCTION("""COMPUTED_VALUE"""),"2017-18")</f>
        <v>2017-18</v>
      </c>
      <c r="D2439" s="163" t="str">
        <f>IFERROR(__xludf.DUMMYFUNCTION("""COMPUTED_VALUE"""),"ATL")</f>
        <v>ATL</v>
      </c>
      <c r="E2439" s="164" t="str">
        <f>IFERROR(__xludf.DUMMYFUNCTION("""COMPUTED_VALUE"""),"Secondary Ball Handler")</f>
        <v>Secondary Ball Handler</v>
      </c>
      <c r="F2439" s="164">
        <f>IFERROR(__xludf.DUMMYFUNCTION("""COMPUTED_VALUE"""),974.21)</f>
        <v>974.21</v>
      </c>
      <c r="G2439" s="163">
        <f>IFERROR(__xludf.DUMMYFUNCTION("""COMPUTED_VALUE"""),56.0)</f>
        <v>56</v>
      </c>
      <c r="H2439" s="163" t="str">
        <f>IFERROR(__xludf.DUMMYFUNCTION("""COMPUTED_VALUE"""),"SG")</f>
        <v>SG</v>
      </c>
      <c r="I2439" s="163">
        <f>IFERROR(__xludf.DUMMYFUNCTION("""COMPUTED_VALUE"""),21.0)</f>
        <v>21</v>
      </c>
      <c r="J2439" s="165">
        <f>IFERROR(__xludf.DUMMYFUNCTION("""COMPUTED_VALUE"""),-2.00537050690793)</f>
        <v>-2.005370507</v>
      </c>
      <c r="K2439" s="165">
        <f>IFERROR(__xludf.DUMMYFUNCTION("""COMPUTED_VALUE"""),-0.846860956881934)</f>
        <v>-0.8468609569</v>
      </c>
      <c r="L2439" s="165">
        <f>IFERROR(__xludf.DUMMYFUNCTION("""COMPUTED_VALUE"""),-1.158509550026)</f>
        <v>-1.15850955</v>
      </c>
      <c r="M2439" s="166">
        <f t="shared" si="2"/>
        <v>0.1920842116</v>
      </c>
      <c r="N2439" s="167">
        <f t="shared" si="3"/>
        <v>17.39660714</v>
      </c>
      <c r="O2439" s="163">
        <f t="shared" ref="O2439:Q2439" si="2443">rank(I2439,I:I)</f>
        <v>3528</v>
      </c>
      <c r="P2439" s="163">
        <f t="shared" si="2443"/>
        <v>3484</v>
      </c>
      <c r="Q2439" s="163">
        <f t="shared" si="2443"/>
        <v>2616</v>
      </c>
      <c r="R2439" s="163">
        <f>IFERROR(__xludf.DUMMYFUNCTION("RANK(M2439,filter(M:M,C:C=C2439))"),348.0)</f>
        <v>348</v>
      </c>
      <c r="S2439" s="161" t="b">
        <f t="shared" si="5"/>
        <v>0</v>
      </c>
      <c r="T2439" s="161" t="b">
        <f t="array" ref="T2439">index('Query Tool'!B:B,match(H2439,'Query Tool'!C:C,0))</f>
        <v>1</v>
      </c>
      <c r="U2439" s="161" t="b">
        <f t="array" ref="U2439">index('Query Tool'!B:B,match(C2439,'Query Tool'!C:C,0))</f>
        <v>0</v>
      </c>
      <c r="V2439" s="161" t="b">
        <f>F2439&gt;='Query Tool'!C$32</f>
        <v>1</v>
      </c>
      <c r="W2439" s="161" t="b">
        <f t="array" ref="W2439">index(Dropdowns!B:B,match(I2439,Dropdowns!A:A,0))</f>
        <v>1</v>
      </c>
      <c r="X2439" s="161" t="b">
        <f t="array" ref="X2439">index('Query Tool'!B:B,match(D2439,'Query Tool'!C:C,0))</f>
        <v>1</v>
      </c>
      <c r="Y2439" s="161" t="str">
        <f t="shared" si="6"/>
        <v>dorsety01,2017-18</v>
      </c>
      <c r="Z2439" s="168">
        <f t="array" ref="Z2439">iferror(index(I:I,match($A2439&amp;","&amp;index('Year Conversion'!$A:$A,match($C2439,'Year Conversion'!$B:$B,0)),$Y:$Y,0))-I2439,"")</f>
        <v>1</v>
      </c>
      <c r="AA2439" s="168">
        <f t="array" ref="AA2439">iferror(index(J:J,match($A2439&amp;","&amp;index('Year Conversion'!$A:$A,match($C2439,'Year Conversion'!$B:$B,0)),$Y:$Y,0))-J2439,"")</f>
        <v>1.084116144</v>
      </c>
      <c r="AB2439" s="168">
        <f t="array" ref="AB2439">iferror(index(K:K,match($A2439&amp;","&amp;index('Year Conversion'!$A:$A,match($C2439,'Year Conversion'!$B:$B,0)),$Y:$Y,0))-K2439,"")</f>
        <v>0.855913071</v>
      </c>
      <c r="AC2439" s="168" t="str">
        <f t="shared" si="7"/>
        <v>ATL,2017-18</v>
      </c>
    </row>
    <row r="2440">
      <c r="A2440" s="161" t="str">
        <f>IFERROR(__xludf.DUMMYFUNCTION("""COMPUTED_VALUE"""),"bryanth01")</f>
        <v>bryanth01</v>
      </c>
      <c r="B2440" s="161" t="str">
        <f>IFERROR(__xludf.DUMMYFUNCTION("""COMPUTED_VALUE"""),"Thomas Bryant")</f>
        <v>Thomas Bryant</v>
      </c>
      <c r="C2440" s="162" t="str">
        <f>IFERROR(__xludf.DUMMYFUNCTION("""COMPUTED_VALUE"""),"2017-18")</f>
        <v>2017-18</v>
      </c>
      <c r="D2440" s="163" t="str">
        <f>IFERROR(__xludf.DUMMYFUNCTION("""COMPUTED_VALUE"""),"LAL")</f>
        <v>LAL</v>
      </c>
      <c r="E2440" s="164" t="str">
        <f>IFERROR(__xludf.DUMMYFUNCTION("""COMPUTED_VALUE"""),"Stretch Big")</f>
        <v>Stretch Big</v>
      </c>
      <c r="F2440" s="164">
        <f>IFERROR(__xludf.DUMMYFUNCTION("""COMPUTED_VALUE"""),72.285)</f>
        <v>72.285</v>
      </c>
      <c r="G2440" s="163">
        <f>IFERROR(__xludf.DUMMYFUNCTION("""COMPUTED_VALUE"""),15.0)</f>
        <v>15</v>
      </c>
      <c r="H2440" s="163" t="str">
        <f>IFERROR(__xludf.DUMMYFUNCTION("""COMPUTED_VALUE"""),"C")</f>
        <v>C</v>
      </c>
      <c r="I2440" s="163">
        <f>IFERROR(__xludf.DUMMYFUNCTION("""COMPUTED_VALUE"""),20.0)</f>
        <v>20</v>
      </c>
      <c r="J2440" s="165">
        <f>IFERROR(__xludf.DUMMYFUNCTION("""COMPUTED_VALUE"""),-0.319539582652137)</f>
        <v>-0.3195395827</v>
      </c>
      <c r="K2440" s="165">
        <f>IFERROR(__xludf.DUMMYFUNCTION("""COMPUTED_VALUE"""),-0.160831968657763)</f>
        <v>-0.1608319687</v>
      </c>
      <c r="L2440" s="165">
        <f>IFERROR(__xludf.DUMMYFUNCTION("""COMPUTED_VALUE"""),-0.158707613994374)</f>
        <v>-0.158707614</v>
      </c>
      <c r="M2440" s="166">
        <f t="shared" si="2"/>
        <v>0.0958692019</v>
      </c>
      <c r="N2440" s="167">
        <f t="shared" si="3"/>
        <v>4.819</v>
      </c>
      <c r="O2440" s="163">
        <f t="shared" ref="O2440:Q2440" si="2444">rank(I2440,I:I)</f>
        <v>3770</v>
      </c>
      <c r="P2440" s="163">
        <f t="shared" si="2444"/>
        <v>1638</v>
      </c>
      <c r="Q2440" s="163">
        <f t="shared" si="2444"/>
        <v>1497</v>
      </c>
      <c r="R2440" s="163">
        <f>IFERROR(__xludf.DUMMYFUNCTION("RANK(M2440,filter(M:M,C:C=C2440))"),400.0)</f>
        <v>400</v>
      </c>
      <c r="S2440" s="161" t="b">
        <f t="shared" si="5"/>
        <v>0</v>
      </c>
      <c r="T2440" s="161" t="b">
        <f t="array" ref="T2440">index('Query Tool'!B:B,match(H2440,'Query Tool'!C:C,0))</f>
        <v>1</v>
      </c>
      <c r="U2440" s="161" t="b">
        <f t="array" ref="U2440">index('Query Tool'!B:B,match(C2440,'Query Tool'!C:C,0))</f>
        <v>0</v>
      </c>
      <c r="V2440" s="161" t="b">
        <f>F2440&gt;='Query Tool'!C$32</f>
        <v>0</v>
      </c>
      <c r="W2440" s="161" t="b">
        <f t="array" ref="W2440">index(Dropdowns!B:B,match(I2440,Dropdowns!A:A,0))</f>
        <v>1</v>
      </c>
      <c r="X2440" s="161" t="b">
        <f t="array" ref="X2440">index('Query Tool'!B:B,match(D2440,'Query Tool'!C:C,0))</f>
        <v>1</v>
      </c>
      <c r="Y2440" s="161" t="str">
        <f t="shared" si="6"/>
        <v>bryanth01,2017-18</v>
      </c>
      <c r="Z2440" s="168">
        <f t="array" ref="Z2440">iferror(index(I:I,match($A2440&amp;","&amp;index('Year Conversion'!$A:$A,match($C2440,'Year Conversion'!$B:$B,0)),$Y:$Y,0))-I2440,"")</f>
        <v>1</v>
      </c>
      <c r="AA2440" s="168">
        <f t="array" ref="AA2440">iferror(index(J:J,match($A2440&amp;","&amp;index('Year Conversion'!$A:$A,match($C2440,'Year Conversion'!$B:$B,0)),$Y:$Y,0))-J2440,"")</f>
        <v>1.408631585</v>
      </c>
      <c r="AB2440" s="168">
        <f t="array" ref="AB2440">iferror(index(K:K,match($A2440&amp;","&amp;index('Year Conversion'!$A:$A,match($C2440,'Year Conversion'!$B:$B,0)),$Y:$Y,0))-K2440,"")</f>
        <v>0.7496724313</v>
      </c>
      <c r="AC2440" s="168" t="str">
        <f t="shared" si="7"/>
        <v>LAL,2017-18</v>
      </c>
    </row>
    <row r="2441">
      <c r="A2441" s="161" t="str">
        <f>IFERROR(__xludf.DUMMYFUNCTION("""COMPUTED_VALUE"""),"morrimo01")</f>
        <v>morrimo01</v>
      </c>
      <c r="B2441" s="161" t="str">
        <f>IFERROR(__xludf.DUMMYFUNCTION("""COMPUTED_VALUE"""),"Monte Morris")</f>
        <v>Monte Morris</v>
      </c>
      <c r="C2441" s="162" t="str">
        <f>IFERROR(__xludf.DUMMYFUNCTION("""COMPUTED_VALUE"""),"2017-18")</f>
        <v>2017-18</v>
      </c>
      <c r="D2441" s="163" t="str">
        <f>IFERROR(__xludf.DUMMYFUNCTION("""COMPUTED_VALUE"""),"DEN")</f>
        <v>DEN</v>
      </c>
      <c r="E2441" s="164" t="str">
        <f>IFERROR(__xludf.DUMMYFUNCTION("""COMPUTED_VALUE"""),"Slasher")</f>
        <v>Slasher</v>
      </c>
      <c r="F2441" s="164">
        <f>IFERROR(__xludf.DUMMYFUNCTION("""COMPUTED_VALUE"""),25.285)</f>
        <v>25.285</v>
      </c>
      <c r="G2441" s="163">
        <f>IFERROR(__xludf.DUMMYFUNCTION("""COMPUTED_VALUE"""),3.0)</f>
        <v>3</v>
      </c>
      <c r="H2441" s="163" t="str">
        <f>IFERROR(__xludf.DUMMYFUNCTION("""COMPUTED_VALUE"""),"PG")</f>
        <v>PG</v>
      </c>
      <c r="I2441" s="163">
        <f>IFERROR(__xludf.DUMMYFUNCTION("""COMPUTED_VALUE"""),22.0)</f>
        <v>22</v>
      </c>
      <c r="J2441" s="165">
        <f>IFERROR(__xludf.DUMMYFUNCTION("""COMPUTED_VALUE"""),-0.5499889649528)</f>
        <v>-0.549988965</v>
      </c>
      <c r="K2441" s="165">
        <f>IFERROR(__xludf.DUMMYFUNCTION("""COMPUTED_VALUE"""),-0.248326255317357)</f>
        <v>-0.2483262553</v>
      </c>
      <c r="L2441" s="165">
        <f>IFERROR(__xludf.DUMMYFUNCTION("""COMPUTED_VALUE"""),-0.301662709635443)</f>
        <v>-0.3016627096</v>
      </c>
      <c r="M2441" s="166">
        <f t="shared" si="2"/>
        <v>0.02960937831</v>
      </c>
      <c r="N2441" s="167">
        <f t="shared" si="3"/>
        <v>8.428333333</v>
      </c>
      <c r="O2441" s="163">
        <f t="shared" ref="O2441:Q2441" si="2445">rank(I2441,I:I)</f>
        <v>3178</v>
      </c>
      <c r="P2441" s="163">
        <f t="shared" si="2445"/>
        <v>1915</v>
      </c>
      <c r="Q2441" s="163">
        <f t="shared" si="2445"/>
        <v>1663</v>
      </c>
      <c r="R2441" s="163">
        <f>IFERROR(__xludf.DUMMYFUNCTION("RANK(M2441,filter(M:M,C:C=C2441))"),451.0)</f>
        <v>451</v>
      </c>
      <c r="S2441" s="161" t="b">
        <f t="shared" si="5"/>
        <v>0</v>
      </c>
      <c r="T2441" s="161" t="b">
        <f t="array" ref="T2441">index('Query Tool'!B:B,match(H2441,'Query Tool'!C:C,0))</f>
        <v>1</v>
      </c>
      <c r="U2441" s="161" t="b">
        <f t="array" ref="U2441">index('Query Tool'!B:B,match(C2441,'Query Tool'!C:C,0))</f>
        <v>0</v>
      </c>
      <c r="V2441" s="161" t="b">
        <f>F2441&gt;='Query Tool'!C$32</f>
        <v>0</v>
      </c>
      <c r="W2441" s="161" t="b">
        <f t="array" ref="W2441">index(Dropdowns!B:B,match(I2441,Dropdowns!A:A,0))</f>
        <v>1</v>
      </c>
      <c r="X2441" s="161" t="b">
        <f t="array" ref="X2441">index('Query Tool'!B:B,match(D2441,'Query Tool'!C:C,0))</f>
        <v>1</v>
      </c>
      <c r="Y2441" s="161" t="str">
        <f t="shared" si="6"/>
        <v>morrimo01,2017-18</v>
      </c>
      <c r="Z2441" s="168">
        <f t="array" ref="Z2441">iferror(index(I:I,match($A2441&amp;","&amp;index('Year Conversion'!$A:$A,match($C2441,'Year Conversion'!$B:$B,0)),$Y:$Y,0))-I2441,"")</f>
        <v>1</v>
      </c>
      <c r="AA2441" s="168">
        <f t="array" ref="AA2441">iferror(index(J:J,match($A2441&amp;","&amp;index('Year Conversion'!$A:$A,match($C2441,'Year Conversion'!$B:$B,0)),$Y:$Y,0))-J2441,"")</f>
        <v>0.09294580402</v>
      </c>
      <c r="AB2441" s="168">
        <f t="array" ref="AB2441">iferror(index(K:K,match($A2441&amp;","&amp;index('Year Conversion'!$A:$A,match($C2441,'Year Conversion'!$B:$B,0)),$Y:$Y,0))-K2441,"")</f>
        <v>1.148851502</v>
      </c>
      <c r="AC2441" s="168" t="str">
        <f t="shared" si="7"/>
        <v>DEN,2017-18</v>
      </c>
    </row>
    <row r="2442">
      <c r="A2442" s="161" t="str">
        <f>IFERROR(__xludf.DUMMYFUNCTION("""COMPUTED_VALUE"""),"robinde01")</f>
        <v>robinde01</v>
      </c>
      <c r="B2442" s="161" t="str">
        <f>IFERROR(__xludf.DUMMYFUNCTION("""COMPUTED_VALUE"""),"Devin Robinson")</f>
        <v>Devin Robinson</v>
      </c>
      <c r="C2442" s="162" t="str">
        <f>IFERROR(__xludf.DUMMYFUNCTION("""COMPUTED_VALUE"""),"2017-18")</f>
        <v>2017-18</v>
      </c>
      <c r="D2442" s="163" t="str">
        <f>IFERROR(__xludf.DUMMYFUNCTION("""COMPUTED_VALUE"""),"WAS")</f>
        <v>WAS</v>
      </c>
      <c r="E2442" s="164" t="str">
        <f>IFERROR(__xludf.DUMMYFUNCTION("""COMPUTED_VALUE"""),"Roll + Cut Big")</f>
        <v>Roll + Cut Big</v>
      </c>
      <c r="F2442" s="164">
        <f>IFERROR(__xludf.DUMMYFUNCTION("""COMPUTED_VALUE"""),13.2133333333333)</f>
        <v>13.21333333</v>
      </c>
      <c r="G2442" s="163">
        <f>IFERROR(__xludf.DUMMYFUNCTION("""COMPUTED_VALUE"""),1.0)</f>
        <v>1</v>
      </c>
      <c r="H2442" s="163" t="str">
        <f>IFERROR(__xludf.DUMMYFUNCTION("""COMPUTED_VALUE"""),"SF")</f>
        <v>SF</v>
      </c>
      <c r="I2442" s="163">
        <f>IFERROR(__xludf.DUMMYFUNCTION("""COMPUTED_VALUE"""),22.0)</f>
        <v>22</v>
      </c>
      <c r="J2442" s="165">
        <f>IFERROR(__xludf.DUMMYFUNCTION("""COMPUTED_VALUE"""),-0.257842178372015)</f>
        <v>-0.2578421784</v>
      </c>
      <c r="K2442" s="165">
        <f>IFERROR(__xludf.DUMMYFUNCTION("""COMPUTED_VALUE"""),-0.0102146715237736)</f>
        <v>-0.01021467152</v>
      </c>
      <c r="L2442" s="165">
        <f>IFERROR(__xludf.DUMMYFUNCTION("""COMPUTED_VALUE"""),-0.247627506848241)</f>
        <v>-0.2476275068</v>
      </c>
      <c r="M2442" s="166">
        <f t="shared" si="2"/>
        <v>0.01807383354</v>
      </c>
      <c r="N2442" s="167">
        <f t="shared" si="3"/>
        <v>13.21333333</v>
      </c>
      <c r="O2442" s="163">
        <f t="shared" ref="O2442:Q2442" si="2446">rank(I2442,I:I)</f>
        <v>3178</v>
      </c>
      <c r="P2442" s="163">
        <f t="shared" si="2446"/>
        <v>1569</v>
      </c>
      <c r="Q2442" s="163">
        <f t="shared" si="2446"/>
        <v>1214</v>
      </c>
      <c r="R2442" s="163">
        <f>IFERROR(__xludf.DUMMYFUNCTION("RANK(M2442,filter(M:M,C:C=C2442))"),461.0)</f>
        <v>461</v>
      </c>
      <c r="S2442" s="161" t="b">
        <f t="shared" si="5"/>
        <v>0</v>
      </c>
      <c r="T2442" s="161" t="b">
        <f t="array" ref="T2442">index('Query Tool'!B:B,match(H2442,'Query Tool'!C:C,0))</f>
        <v>1</v>
      </c>
      <c r="U2442" s="161" t="b">
        <f t="array" ref="U2442">index('Query Tool'!B:B,match(C2442,'Query Tool'!C:C,0))</f>
        <v>0</v>
      </c>
      <c r="V2442" s="161" t="b">
        <f>F2442&gt;='Query Tool'!C$32</f>
        <v>0</v>
      </c>
      <c r="W2442" s="161" t="b">
        <f t="array" ref="W2442">index(Dropdowns!B:B,match(I2442,Dropdowns!A:A,0))</f>
        <v>1</v>
      </c>
      <c r="X2442" s="161" t="b">
        <f t="array" ref="X2442">index('Query Tool'!B:B,match(D2442,'Query Tool'!C:C,0))</f>
        <v>1</v>
      </c>
      <c r="Y2442" s="161" t="str">
        <f t="shared" si="6"/>
        <v>robinde01,2017-18</v>
      </c>
      <c r="Z2442" s="168">
        <f t="array" ref="Z2442">iferror(index(I:I,match($A2442&amp;","&amp;index('Year Conversion'!$A:$A,match($C2442,'Year Conversion'!$B:$B,0)),$Y:$Y,0))-I2442,"")</f>
        <v>1</v>
      </c>
      <c r="AA2442" s="168">
        <f t="array" ref="AA2442">iferror(index(J:J,match($A2442&amp;","&amp;index('Year Conversion'!$A:$A,match($C2442,'Year Conversion'!$B:$B,0)),$Y:$Y,0))-J2442,"")</f>
        <v>-0.1535783077</v>
      </c>
      <c r="AB2442" s="168">
        <f t="array" ref="AB2442">iferror(index(K:K,match($A2442&amp;","&amp;index('Year Conversion'!$A:$A,match($C2442,'Year Conversion'!$B:$B,0)),$Y:$Y,0))-K2442,"")</f>
        <v>-0.3579500493</v>
      </c>
      <c r="AC2442" s="168" t="str">
        <f t="shared" si="7"/>
        <v>WAS,2017-18</v>
      </c>
    </row>
    <row r="2443">
      <c r="A2443" s="161" t="str">
        <f>IFERROR(__xludf.DUMMYFUNCTION("""COMPUTED_VALUE"""),"dotsoda01")</f>
        <v>dotsoda01</v>
      </c>
      <c r="B2443" s="161" t="str">
        <f>IFERROR(__xludf.DUMMYFUNCTION("""COMPUTED_VALUE"""),"Damyean Dotson")</f>
        <v>Damyean Dotson</v>
      </c>
      <c r="C2443" s="162" t="str">
        <f>IFERROR(__xludf.DUMMYFUNCTION("""COMPUTED_VALUE"""),"2017-18")</f>
        <v>2017-18</v>
      </c>
      <c r="D2443" s="163" t="str">
        <f>IFERROR(__xludf.DUMMYFUNCTION("""COMPUTED_VALUE"""),"NYK")</f>
        <v>NYK</v>
      </c>
      <c r="E2443" s="164" t="str">
        <f>IFERROR(__xludf.DUMMYFUNCTION("""COMPUTED_VALUE"""),"Movement Shooter")</f>
        <v>Movement Shooter</v>
      </c>
      <c r="F2443" s="164">
        <f>IFERROR(__xludf.DUMMYFUNCTION("""COMPUTED_VALUE"""),474.061666666667)</f>
        <v>474.0616667</v>
      </c>
      <c r="G2443" s="163">
        <f>IFERROR(__xludf.DUMMYFUNCTION("""COMPUTED_VALUE"""),44.0)</f>
        <v>44</v>
      </c>
      <c r="H2443" s="163" t="str">
        <f>IFERROR(__xludf.DUMMYFUNCTION("""COMPUTED_VALUE"""),"SG")</f>
        <v>SG</v>
      </c>
      <c r="I2443" s="163">
        <f>IFERROR(__xludf.DUMMYFUNCTION("""COMPUTED_VALUE"""),23.0)</f>
        <v>23</v>
      </c>
      <c r="J2443" s="165">
        <f>IFERROR(__xludf.DUMMYFUNCTION("""COMPUTED_VALUE"""),-1.54249283097531)</f>
        <v>-1.542492831</v>
      </c>
      <c r="K2443" s="165">
        <f>IFERROR(__xludf.DUMMYFUNCTION("""COMPUTED_VALUE"""),-1.16603809059638)</f>
        <v>-1.166038091</v>
      </c>
      <c r="L2443" s="165">
        <f>IFERROR(__xludf.DUMMYFUNCTION("""COMPUTED_VALUE"""),-0.37645474037893)</f>
        <v>-0.3764547404</v>
      </c>
      <c r="M2443" s="166">
        <f t="shared" si="2"/>
        <v>0.2394757604</v>
      </c>
      <c r="N2443" s="167">
        <f t="shared" si="3"/>
        <v>10.77412879</v>
      </c>
      <c r="O2443" s="163">
        <f t="shared" ref="O2443:Q2443" si="2447">rank(I2443,I:I)</f>
        <v>2765</v>
      </c>
      <c r="P2443" s="163">
        <f t="shared" si="2447"/>
        <v>3091</v>
      </c>
      <c r="Q2443" s="163">
        <f t="shared" si="2447"/>
        <v>3003</v>
      </c>
      <c r="R2443" s="163">
        <f>IFERROR(__xludf.DUMMYFUNCTION("RANK(M2443,filter(M:M,C:C=C2443))"),333.0)</f>
        <v>333</v>
      </c>
      <c r="S2443" s="161" t="b">
        <f t="shared" si="5"/>
        <v>0</v>
      </c>
      <c r="T2443" s="161" t="b">
        <f t="array" ref="T2443">index('Query Tool'!B:B,match(H2443,'Query Tool'!C:C,0))</f>
        <v>1</v>
      </c>
      <c r="U2443" s="161" t="b">
        <f t="array" ref="U2443">index('Query Tool'!B:B,match(C2443,'Query Tool'!C:C,0))</f>
        <v>0</v>
      </c>
      <c r="V2443" s="161" t="b">
        <f>F2443&gt;='Query Tool'!C$32</f>
        <v>0</v>
      </c>
      <c r="W2443" s="161" t="b">
        <f t="array" ref="W2443">index(Dropdowns!B:B,match(I2443,Dropdowns!A:A,0))</f>
        <v>1</v>
      </c>
      <c r="X2443" s="161" t="b">
        <f t="array" ref="X2443">index('Query Tool'!B:B,match(D2443,'Query Tool'!C:C,0))</f>
        <v>1</v>
      </c>
      <c r="Y2443" s="161" t="str">
        <f t="shared" si="6"/>
        <v>dotsoda01,2017-18</v>
      </c>
      <c r="Z2443" s="168">
        <f t="array" ref="Z2443">iferror(index(I:I,match($A2443&amp;","&amp;index('Year Conversion'!$A:$A,match($C2443,'Year Conversion'!$B:$B,0)),$Y:$Y,0))-I2443,"")</f>
        <v>1</v>
      </c>
      <c r="AA2443" s="168">
        <f t="array" ref="AA2443">iferror(index(J:J,match($A2443&amp;","&amp;index('Year Conversion'!$A:$A,match($C2443,'Year Conversion'!$B:$B,0)),$Y:$Y,0))-J2443,"")</f>
        <v>-0.9220392838</v>
      </c>
      <c r="AB2443" s="168">
        <f t="array" ref="AB2443">iferror(index(K:K,match($A2443&amp;","&amp;index('Year Conversion'!$A:$A,match($C2443,'Year Conversion'!$B:$B,0)),$Y:$Y,0))-K2443,"")</f>
        <v>-0.1426347306</v>
      </c>
      <c r="AC2443" s="168" t="str">
        <f t="shared" si="7"/>
        <v>NYK,2017-18</v>
      </c>
    </row>
    <row r="2444">
      <c r="A2444" s="161" t="str">
        <f>IFERROR(__xludf.DUMMYFUNCTION("""COMPUTED_VALUE"""),"simmoko01")</f>
        <v>simmoko01</v>
      </c>
      <c r="B2444" s="161" t="str">
        <f>IFERROR(__xludf.DUMMYFUNCTION("""COMPUTED_VALUE"""),"Kobi Simmons")</f>
        <v>Kobi Simmons</v>
      </c>
      <c r="C2444" s="162" t="str">
        <f>IFERROR(__xludf.DUMMYFUNCTION("""COMPUTED_VALUE"""),"2017-18")</f>
        <v>2017-18</v>
      </c>
      <c r="D2444" s="163" t="str">
        <f>IFERROR(__xludf.DUMMYFUNCTION("""COMPUTED_VALUE"""),"MEM")</f>
        <v>MEM</v>
      </c>
      <c r="E2444" s="164" t="str">
        <f>IFERROR(__xludf.DUMMYFUNCTION("""COMPUTED_VALUE"""),"Secondary Ball Handler")</f>
        <v>Secondary Ball Handler</v>
      </c>
      <c r="F2444" s="164">
        <f>IFERROR(__xludf.DUMMYFUNCTION("""COMPUTED_VALUE"""),643.093333333333)</f>
        <v>643.0933333</v>
      </c>
      <c r="G2444" s="163">
        <f>IFERROR(__xludf.DUMMYFUNCTION("""COMPUTED_VALUE"""),32.0)</f>
        <v>32</v>
      </c>
      <c r="H2444" s="163" t="str">
        <f>IFERROR(__xludf.DUMMYFUNCTION("""COMPUTED_VALUE"""),"PG")</f>
        <v>PG</v>
      </c>
      <c r="I2444" s="163">
        <f>IFERROR(__xludf.DUMMYFUNCTION("""COMPUTED_VALUE"""),20.0)</f>
        <v>20</v>
      </c>
      <c r="J2444" s="165">
        <f>IFERROR(__xludf.DUMMYFUNCTION("""COMPUTED_VALUE"""),-4.2405364395072)</f>
        <v>-4.24053644</v>
      </c>
      <c r="K2444" s="165">
        <f>IFERROR(__xludf.DUMMYFUNCTION("""COMPUTED_VALUE"""),-2.0921127092377)</f>
        <v>-2.092112709</v>
      </c>
      <c r="L2444" s="165">
        <f>IFERROR(__xludf.DUMMYFUNCTION("""COMPUTED_VALUE"""),-2.1484237302695)</f>
        <v>-2.14842373</v>
      </c>
      <c r="M2444" s="166">
        <f t="shared" si="2"/>
        <v>-0.8025260416</v>
      </c>
      <c r="N2444" s="167">
        <f t="shared" si="3"/>
        <v>20.09666667</v>
      </c>
      <c r="O2444" s="163">
        <f t="shared" ref="O2444:Q2444" si="2448">rank(I2444,I:I)</f>
        <v>3770</v>
      </c>
      <c r="P2444" s="163">
        <f t="shared" si="2448"/>
        <v>4004</v>
      </c>
      <c r="Q2444" s="163">
        <f t="shared" si="2448"/>
        <v>3759</v>
      </c>
      <c r="R2444" s="163">
        <f>IFERROR(__xludf.DUMMYFUNCTION("RANK(M2444,filter(M:M,C:C=C2444))"),532.0)</f>
        <v>532</v>
      </c>
      <c r="S2444" s="161" t="b">
        <f t="shared" si="5"/>
        <v>0</v>
      </c>
      <c r="T2444" s="161" t="b">
        <f t="array" ref="T2444">index('Query Tool'!B:B,match(H2444,'Query Tool'!C:C,0))</f>
        <v>1</v>
      </c>
      <c r="U2444" s="161" t="b">
        <f t="array" ref="U2444">index('Query Tool'!B:B,match(C2444,'Query Tool'!C:C,0))</f>
        <v>0</v>
      </c>
      <c r="V2444" s="161" t="b">
        <f>F2444&gt;='Query Tool'!C$32</f>
        <v>1</v>
      </c>
      <c r="W2444" s="161" t="b">
        <f t="array" ref="W2444">index(Dropdowns!B:B,match(I2444,Dropdowns!A:A,0))</f>
        <v>1</v>
      </c>
      <c r="X2444" s="161" t="b">
        <f t="array" ref="X2444">index('Query Tool'!B:B,match(D2444,'Query Tool'!C:C,0))</f>
        <v>1</v>
      </c>
      <c r="Y2444" s="161" t="str">
        <f t="shared" si="6"/>
        <v>simmoko01,2017-18</v>
      </c>
      <c r="Z2444" s="168">
        <f t="array" ref="Z2444">iferror(index(I:I,match($A2444&amp;","&amp;index('Year Conversion'!$A:$A,match($C2444,'Year Conversion'!$B:$B,0)),$Y:$Y,0))-I2444,"")</f>
        <v>1</v>
      </c>
      <c r="AA2444" s="168">
        <f t="array" ref="AA2444">iferror(index(J:J,match($A2444&amp;","&amp;index('Year Conversion'!$A:$A,match($C2444,'Year Conversion'!$B:$B,0)),$Y:$Y,0))-J2444,"")</f>
        <v>4.577058897</v>
      </c>
      <c r="AB2444" s="168">
        <f t="array" ref="AB2444">iferror(index(K:K,match($A2444&amp;","&amp;index('Year Conversion'!$A:$A,match($C2444,'Year Conversion'!$B:$B,0)),$Y:$Y,0))-K2444,"")</f>
        <v>1.997793785</v>
      </c>
      <c r="AC2444" s="168" t="str">
        <f t="shared" si="7"/>
        <v>MEM,2017-18</v>
      </c>
    </row>
    <row r="2445">
      <c r="A2445" s="161" t="str">
        <f>IFERROR(__xludf.DUMMYFUNCTION("""COMPUTED_VALUE"""),"brownst02")</f>
        <v>brownst02</v>
      </c>
      <c r="B2445" s="161" t="str">
        <f>IFERROR(__xludf.DUMMYFUNCTION("""COMPUTED_VALUE"""),"Sterling Brown")</f>
        <v>Sterling Brown</v>
      </c>
      <c r="C2445" s="162" t="str">
        <f>IFERROR(__xludf.DUMMYFUNCTION("""COMPUTED_VALUE"""),"2017-18")</f>
        <v>2017-18</v>
      </c>
      <c r="D2445" s="163" t="str">
        <f>IFERROR(__xludf.DUMMYFUNCTION("""COMPUTED_VALUE"""),"MIL")</f>
        <v>MIL</v>
      </c>
      <c r="E2445" s="164" t="str">
        <f>IFERROR(__xludf.DUMMYFUNCTION("""COMPUTED_VALUE"""),"Stationary Shooter")</f>
        <v>Stationary Shooter</v>
      </c>
      <c r="F2445" s="164">
        <f>IFERROR(__xludf.DUMMYFUNCTION("""COMPUTED_VALUE"""),776.446666666666)</f>
        <v>776.4466667</v>
      </c>
      <c r="G2445" s="163">
        <f>IFERROR(__xludf.DUMMYFUNCTION("""COMPUTED_VALUE"""),54.0)</f>
        <v>54</v>
      </c>
      <c r="H2445" s="163" t="str">
        <f>IFERROR(__xludf.DUMMYFUNCTION("""COMPUTED_VALUE"""),"SG")</f>
        <v>SG</v>
      </c>
      <c r="I2445" s="163">
        <f>IFERROR(__xludf.DUMMYFUNCTION("""COMPUTED_VALUE"""),22.0)</f>
        <v>22</v>
      </c>
      <c r="J2445" s="165">
        <f>IFERROR(__xludf.DUMMYFUNCTION("""COMPUTED_VALUE"""),-2.03107195275664)</f>
        <v>-2.031071953</v>
      </c>
      <c r="K2445" s="165">
        <f>IFERROR(__xludf.DUMMYFUNCTION("""COMPUTED_VALUE"""),-2.12714697826838)</f>
        <v>-2.127146978</v>
      </c>
      <c r="L2445" s="165">
        <f>IFERROR(__xludf.DUMMYFUNCTION("""COMPUTED_VALUE"""),0.0960750255117412)</f>
        <v>0.09607502551</v>
      </c>
      <c r="M2445" s="166">
        <f t="shared" si="2"/>
        <v>0.1398632085</v>
      </c>
      <c r="N2445" s="167">
        <f t="shared" si="3"/>
        <v>14.37864198</v>
      </c>
      <c r="O2445" s="163">
        <f t="shared" ref="O2445:Q2445" si="2449">rank(I2445,I:I)</f>
        <v>3178</v>
      </c>
      <c r="P2445" s="163">
        <f t="shared" si="2449"/>
        <v>3503</v>
      </c>
      <c r="Q2445" s="163">
        <f t="shared" si="2449"/>
        <v>3777</v>
      </c>
      <c r="R2445" s="163">
        <f>IFERROR(__xludf.DUMMYFUNCTION("RANK(M2445,filter(M:M,C:C=C2445))"),370.0)</f>
        <v>370</v>
      </c>
      <c r="S2445" s="161" t="b">
        <f t="shared" si="5"/>
        <v>0</v>
      </c>
      <c r="T2445" s="161" t="b">
        <f t="array" ref="T2445">index('Query Tool'!B:B,match(H2445,'Query Tool'!C:C,0))</f>
        <v>1</v>
      </c>
      <c r="U2445" s="161" t="b">
        <f t="array" ref="U2445">index('Query Tool'!B:B,match(C2445,'Query Tool'!C:C,0))</f>
        <v>0</v>
      </c>
      <c r="V2445" s="161" t="b">
        <f>F2445&gt;='Query Tool'!C$32</f>
        <v>1</v>
      </c>
      <c r="W2445" s="161" t="b">
        <f t="array" ref="W2445">index(Dropdowns!B:B,match(I2445,Dropdowns!A:A,0))</f>
        <v>1</v>
      </c>
      <c r="X2445" s="161" t="b">
        <f t="array" ref="X2445">index('Query Tool'!B:B,match(D2445,'Query Tool'!C:C,0))</f>
        <v>1</v>
      </c>
      <c r="Y2445" s="161" t="str">
        <f t="shared" si="6"/>
        <v>brownst02,2017-18</v>
      </c>
      <c r="Z2445" s="168">
        <f t="array" ref="Z2445">iferror(index(I:I,match($A2445&amp;","&amp;index('Year Conversion'!$A:$A,match($C2445,'Year Conversion'!$B:$B,0)),$Y:$Y,0))-I2445,"")</f>
        <v>1</v>
      </c>
      <c r="AA2445" s="168">
        <f t="array" ref="AA2445">iferror(index(J:J,match($A2445&amp;","&amp;index('Year Conversion'!$A:$A,match($C2445,'Year Conversion'!$B:$B,0)),$Y:$Y,0))-J2445,"")</f>
        <v>-0.6995472825</v>
      </c>
      <c r="AB2445" s="168">
        <f t="array" ref="AB2445">iferror(index(K:K,match($A2445&amp;","&amp;index('Year Conversion'!$A:$A,match($C2445,'Year Conversion'!$B:$B,0)),$Y:$Y,0))-K2445,"")</f>
        <v>0.006532611926</v>
      </c>
      <c r="AC2445" s="168" t="str">
        <f t="shared" si="7"/>
        <v>MIL,2017-18</v>
      </c>
    </row>
    <row r="2446">
      <c r="A2446" s="161" t="str">
        <f>IFERROR(__xludf.DUMMYFUNCTION("""COMPUTED_VALUE"""),"cookech01")</f>
        <v>cookech01</v>
      </c>
      <c r="B2446" s="161" t="str">
        <f>IFERROR(__xludf.DUMMYFUNCTION("""COMPUTED_VALUE"""),"Charles Cooke")</f>
        <v>Charles Cooke</v>
      </c>
      <c r="C2446" s="162" t="str">
        <f>IFERROR(__xludf.DUMMYFUNCTION("""COMPUTED_VALUE"""),"2017-18")</f>
        <v>2017-18</v>
      </c>
      <c r="D2446" s="163" t="str">
        <f>IFERROR(__xludf.DUMMYFUNCTION("""COMPUTED_VALUE"""),"NOP")</f>
        <v>NOP</v>
      </c>
      <c r="E2446" s="164" t="str">
        <f>IFERROR(__xludf.DUMMYFUNCTION("""COMPUTED_VALUE"""),"Off Screen Shooter")</f>
        <v>Off Screen Shooter</v>
      </c>
      <c r="F2446" s="164">
        <f>IFERROR(__xludf.DUMMYFUNCTION("""COMPUTED_VALUE"""),38.105)</f>
        <v>38.105</v>
      </c>
      <c r="G2446" s="163">
        <f>IFERROR(__xludf.DUMMYFUNCTION("""COMPUTED_VALUE"""),13.0)</f>
        <v>13</v>
      </c>
      <c r="H2446" s="163" t="str">
        <f>IFERROR(__xludf.DUMMYFUNCTION("""COMPUTED_VALUE"""),"SG")</f>
        <v>SG</v>
      </c>
      <c r="I2446" s="163">
        <f>IFERROR(__xludf.DUMMYFUNCTION("""COMPUTED_VALUE"""),23.0)</f>
        <v>23</v>
      </c>
      <c r="J2446" s="165">
        <f>IFERROR(__xludf.DUMMYFUNCTION("""COMPUTED_VALUE"""),-1.05695257640103)</f>
        <v>-1.056952576</v>
      </c>
      <c r="K2446" s="165">
        <f>IFERROR(__xludf.DUMMYFUNCTION("""COMPUTED_VALUE"""),-0.358637054940217)</f>
        <v>-0.3586370549</v>
      </c>
      <c r="L2446" s="165">
        <f>IFERROR(__xludf.DUMMYFUNCTION("""COMPUTED_VALUE"""),-0.698315521460812)</f>
        <v>-0.6983155215</v>
      </c>
      <c r="M2446" s="166">
        <f t="shared" si="2"/>
        <v>0.03163415487</v>
      </c>
      <c r="N2446" s="167">
        <f t="shared" si="3"/>
        <v>2.931153846</v>
      </c>
      <c r="O2446" s="163">
        <f t="shared" ref="O2446:Q2446" si="2450">rank(I2446,I:I)</f>
        <v>2765</v>
      </c>
      <c r="P2446" s="163">
        <f t="shared" si="2450"/>
        <v>2559</v>
      </c>
      <c r="Q2446" s="163">
        <f t="shared" si="2450"/>
        <v>1874</v>
      </c>
      <c r="R2446" s="163">
        <f>IFERROR(__xludf.DUMMYFUNCTION("RANK(M2446,filter(M:M,C:C=C2446))"),448.0)</f>
        <v>448</v>
      </c>
      <c r="S2446" s="161" t="b">
        <f t="shared" si="5"/>
        <v>0</v>
      </c>
      <c r="T2446" s="161" t="b">
        <f t="array" ref="T2446">index('Query Tool'!B:B,match(H2446,'Query Tool'!C:C,0))</f>
        <v>1</v>
      </c>
      <c r="U2446" s="161" t="b">
        <f t="array" ref="U2446">index('Query Tool'!B:B,match(C2446,'Query Tool'!C:C,0))</f>
        <v>0</v>
      </c>
      <c r="V2446" s="161" t="b">
        <f>F2446&gt;='Query Tool'!C$32</f>
        <v>0</v>
      </c>
      <c r="W2446" s="161" t="b">
        <f t="array" ref="W2446">index(Dropdowns!B:B,match(I2446,Dropdowns!A:A,0))</f>
        <v>1</v>
      </c>
      <c r="X2446" s="161" t="b">
        <f t="array" ref="X2446">index('Query Tool'!B:B,match(D2446,'Query Tool'!C:C,0))</f>
        <v>1</v>
      </c>
      <c r="Y2446" s="161" t="str">
        <f t="shared" si="6"/>
        <v>cookech01,2017-18</v>
      </c>
      <c r="Z2446" s="168" t="str">
        <f t="array" ref="Z2446">iferror(index(I:I,match($A2446&amp;","&amp;index('Year Conversion'!$A:$A,match($C2446,'Year Conversion'!$B:$B,0)),$Y:$Y,0))-I2446,"")</f>
        <v/>
      </c>
      <c r="AA2446" s="168" t="str">
        <f t="array" ref="AA2446">iferror(index(J:J,match($A2446&amp;","&amp;index('Year Conversion'!$A:$A,match($C2446,'Year Conversion'!$B:$B,0)),$Y:$Y,0))-J2446,"")</f>
        <v/>
      </c>
      <c r="AB2446" s="168" t="str">
        <f t="array" ref="AB2446">iferror(index(K:K,match($A2446&amp;","&amp;index('Year Conversion'!$A:$A,match($C2446,'Year Conversion'!$B:$B,0)),$Y:$Y,0))-K2446,"")</f>
        <v/>
      </c>
      <c r="AC2446" s="168" t="str">
        <f t="shared" si="7"/>
        <v>NOP,2017-18</v>
      </c>
    </row>
    <row r="2447">
      <c r="A2447" s="161" t="str">
        <f>IFERROR(__xludf.DUMMYFUNCTION("""COMPUTED_VALUE"""),"reedda01")</f>
        <v>reedda01</v>
      </c>
      <c r="B2447" s="161" t="str">
        <f>IFERROR(__xludf.DUMMYFUNCTION("""COMPUTED_VALUE"""),"Davon Reed")</f>
        <v>Davon Reed</v>
      </c>
      <c r="C2447" s="162" t="str">
        <f>IFERROR(__xludf.DUMMYFUNCTION("""COMPUTED_VALUE"""),"2017-18")</f>
        <v>2017-18</v>
      </c>
      <c r="D2447" s="163" t="str">
        <f>IFERROR(__xludf.DUMMYFUNCTION("""COMPUTED_VALUE"""),"PHO")</f>
        <v>PHO</v>
      </c>
      <c r="E2447" s="164" t="str">
        <f>IFERROR(__xludf.DUMMYFUNCTION("""COMPUTED_VALUE"""),"Off Screen Shooter")</f>
        <v>Off Screen Shooter</v>
      </c>
      <c r="F2447" s="164">
        <f>IFERROR(__xludf.DUMMYFUNCTION("""COMPUTED_VALUE"""),242.158333333333)</f>
        <v>242.1583333</v>
      </c>
      <c r="G2447" s="163">
        <f>IFERROR(__xludf.DUMMYFUNCTION("""COMPUTED_VALUE"""),21.0)</f>
        <v>21</v>
      </c>
      <c r="H2447" s="163" t="str">
        <f>IFERROR(__xludf.DUMMYFUNCTION("""COMPUTED_VALUE"""),"SG")</f>
        <v>SG</v>
      </c>
      <c r="I2447" s="163">
        <f>IFERROR(__xludf.DUMMYFUNCTION("""COMPUTED_VALUE"""),22.0)</f>
        <v>22</v>
      </c>
      <c r="J2447" s="165">
        <f>IFERROR(__xludf.DUMMYFUNCTION("""COMPUTED_VALUE"""),-0.699339421497784)</f>
        <v>-0.6993394215</v>
      </c>
      <c r="K2447" s="165">
        <f>IFERROR(__xludf.DUMMYFUNCTION("""COMPUTED_VALUE"""),-0.968963865008149)</f>
        <v>-0.968963865</v>
      </c>
      <c r="L2447" s="165">
        <f>IFERROR(__xludf.DUMMYFUNCTION("""COMPUTED_VALUE"""),0.269624443510364)</f>
        <v>0.2696244435</v>
      </c>
      <c r="M2447" s="166">
        <f t="shared" si="2"/>
        <v>0.2592303084</v>
      </c>
      <c r="N2447" s="167">
        <f t="shared" si="3"/>
        <v>11.53134921</v>
      </c>
      <c r="O2447" s="163">
        <f t="shared" ref="O2447:Q2447" si="2451">rank(I2447,I:I)</f>
        <v>3178</v>
      </c>
      <c r="P2447" s="163">
        <f t="shared" si="2451"/>
        <v>2137</v>
      </c>
      <c r="Q2447" s="163">
        <f t="shared" si="2451"/>
        <v>2767</v>
      </c>
      <c r="R2447" s="163">
        <f>IFERROR(__xludf.DUMMYFUNCTION("RANK(M2447,filter(M:M,C:C=C2447))"),326.0)</f>
        <v>326</v>
      </c>
      <c r="S2447" s="161" t="b">
        <f t="shared" si="5"/>
        <v>0</v>
      </c>
      <c r="T2447" s="161" t="b">
        <f t="array" ref="T2447">index('Query Tool'!B:B,match(H2447,'Query Tool'!C:C,0))</f>
        <v>1</v>
      </c>
      <c r="U2447" s="161" t="b">
        <f t="array" ref="U2447">index('Query Tool'!B:B,match(C2447,'Query Tool'!C:C,0))</f>
        <v>0</v>
      </c>
      <c r="V2447" s="161" t="b">
        <f>F2447&gt;='Query Tool'!C$32</f>
        <v>0</v>
      </c>
      <c r="W2447" s="161" t="b">
        <f t="array" ref="W2447">index(Dropdowns!B:B,match(I2447,Dropdowns!A:A,0))</f>
        <v>1</v>
      </c>
      <c r="X2447" s="161" t="b">
        <f t="array" ref="X2447">index('Query Tool'!B:B,match(D2447,'Query Tool'!C:C,0))</f>
        <v>1</v>
      </c>
      <c r="Y2447" s="161" t="str">
        <f t="shared" si="6"/>
        <v>reedda01,2017-18</v>
      </c>
      <c r="Z2447" s="168">
        <f t="array" ref="Z2447">iferror(index(I:I,match($A2447&amp;","&amp;index('Year Conversion'!$A:$A,match($C2447,'Year Conversion'!$B:$B,0)),$Y:$Y,0))-I2447,"")</f>
        <v>1</v>
      </c>
      <c r="AA2447" s="168">
        <f t="array" ref="AA2447">iferror(index(J:J,match($A2447&amp;","&amp;index('Year Conversion'!$A:$A,match($C2447,'Year Conversion'!$B:$B,0)),$Y:$Y,0))-J2447,"")</f>
        <v>-0.1658011804</v>
      </c>
      <c r="AB2447" s="168">
        <f t="array" ref="AB2447">iferror(index(K:K,match($A2447&amp;","&amp;index('Year Conversion'!$A:$A,match($C2447,'Year Conversion'!$B:$B,0)),$Y:$Y,0))-K2447,"")</f>
        <v>0.5706246786</v>
      </c>
      <c r="AC2447" s="168" t="str">
        <f t="shared" si="7"/>
        <v>PHO,2017-18</v>
      </c>
    </row>
    <row r="2448">
      <c r="A2448" s="161" t="str">
        <f>IFERROR(__xludf.DUMMYFUNCTION("""COMPUTED_VALUE"""),"kornelu01")</f>
        <v>kornelu01</v>
      </c>
      <c r="B2448" s="161" t="str">
        <f>IFERROR(__xludf.DUMMYFUNCTION("""COMPUTED_VALUE"""),"Luke Kornet")</f>
        <v>Luke Kornet</v>
      </c>
      <c r="C2448" s="162" t="str">
        <f>IFERROR(__xludf.DUMMYFUNCTION("""COMPUTED_VALUE"""),"2017-18")</f>
        <v>2017-18</v>
      </c>
      <c r="D2448" s="163" t="str">
        <f>IFERROR(__xludf.DUMMYFUNCTION("""COMPUTED_VALUE"""),"NYK")</f>
        <v>NYK</v>
      </c>
      <c r="E2448" s="164" t="str">
        <f>IFERROR(__xludf.DUMMYFUNCTION("""COMPUTED_VALUE"""),"Stretch Big")</f>
        <v>Stretch Big</v>
      </c>
      <c r="F2448" s="164">
        <f>IFERROR(__xludf.DUMMYFUNCTION("""COMPUTED_VALUE"""),326.488333333333)</f>
        <v>326.4883333</v>
      </c>
      <c r="G2448" s="163">
        <f>IFERROR(__xludf.DUMMYFUNCTION("""COMPUTED_VALUE"""),20.0)</f>
        <v>20</v>
      </c>
      <c r="H2448" s="163" t="str">
        <f>IFERROR(__xludf.DUMMYFUNCTION("""COMPUTED_VALUE"""),"PF")</f>
        <v>PF</v>
      </c>
      <c r="I2448" s="163">
        <f>IFERROR(__xludf.DUMMYFUNCTION("""COMPUTED_VALUE"""),22.0)</f>
        <v>22</v>
      </c>
      <c r="J2448" s="165">
        <f>IFERROR(__xludf.DUMMYFUNCTION("""COMPUTED_VALUE"""),0.40076754242226)</f>
        <v>0.4007675424</v>
      </c>
      <c r="K2448" s="165">
        <f>IFERROR(__xludf.DUMMYFUNCTION("""COMPUTED_VALUE"""),0.127123980586863)</f>
        <v>0.1271239806</v>
      </c>
      <c r="L2448" s="165">
        <f>IFERROR(__xludf.DUMMYFUNCTION("""COMPUTED_VALUE"""),0.273643561835397)</f>
        <v>0.2736435618</v>
      </c>
      <c r="M2448" s="166">
        <f t="shared" si="2"/>
        <v>0.5915314944</v>
      </c>
      <c r="N2448" s="167">
        <f t="shared" si="3"/>
        <v>16.32441667</v>
      </c>
      <c r="O2448" s="163">
        <f t="shared" ref="O2448:Q2448" si="2452">rank(I2448,I:I)</f>
        <v>3178</v>
      </c>
      <c r="P2448" s="163">
        <f t="shared" si="2452"/>
        <v>946</v>
      </c>
      <c r="Q2448" s="163">
        <f t="shared" si="2452"/>
        <v>1043</v>
      </c>
      <c r="R2448" s="163">
        <f>IFERROR(__xludf.DUMMYFUNCTION("RANK(M2448,filter(M:M,C:C=C2448))"),282.0)</f>
        <v>282</v>
      </c>
      <c r="S2448" s="161" t="b">
        <f t="shared" si="5"/>
        <v>0</v>
      </c>
      <c r="T2448" s="161" t="b">
        <f t="array" ref="T2448">index('Query Tool'!B:B,match(H2448,'Query Tool'!C:C,0))</f>
        <v>1</v>
      </c>
      <c r="U2448" s="161" t="b">
        <f t="array" ref="U2448">index('Query Tool'!B:B,match(C2448,'Query Tool'!C:C,0))</f>
        <v>0</v>
      </c>
      <c r="V2448" s="161" t="b">
        <f>F2448&gt;='Query Tool'!C$32</f>
        <v>0</v>
      </c>
      <c r="W2448" s="161" t="b">
        <f t="array" ref="W2448">index(Dropdowns!B:B,match(I2448,Dropdowns!A:A,0))</f>
        <v>1</v>
      </c>
      <c r="X2448" s="161" t="b">
        <f t="array" ref="X2448">index('Query Tool'!B:B,match(D2448,'Query Tool'!C:C,0))</f>
        <v>1</v>
      </c>
      <c r="Y2448" s="161" t="str">
        <f t="shared" si="6"/>
        <v>kornelu01,2017-18</v>
      </c>
      <c r="Z2448" s="168">
        <f t="array" ref="Z2448">iferror(index(I:I,match($A2448&amp;","&amp;index('Year Conversion'!$A:$A,match($C2448,'Year Conversion'!$B:$B,0)),$Y:$Y,0))-I2448,"")</f>
        <v>1</v>
      </c>
      <c r="AA2448" s="168">
        <f t="array" ref="AA2448">iferror(index(J:J,match($A2448&amp;","&amp;index('Year Conversion'!$A:$A,match($C2448,'Year Conversion'!$B:$B,0)),$Y:$Y,0))-J2448,"")</f>
        <v>0.4986654618</v>
      </c>
      <c r="AB2448" s="168">
        <f t="array" ref="AB2448">iferror(index(K:K,match($A2448&amp;","&amp;index('Year Conversion'!$A:$A,match($C2448,'Year Conversion'!$B:$B,0)),$Y:$Y,0))-K2448,"")</f>
        <v>-0.5457080549</v>
      </c>
      <c r="AC2448" s="168" t="str">
        <f t="shared" si="7"/>
        <v>NYK,2017-18</v>
      </c>
    </row>
    <row r="2449">
      <c r="A2449" s="161" t="str">
        <f>IFERROR(__xludf.DUMMYFUNCTION("""COMPUTED_VALUE"""),"hicksis01")</f>
        <v>hicksis01</v>
      </c>
      <c r="B2449" s="161" t="str">
        <f>IFERROR(__xludf.DUMMYFUNCTION("""COMPUTED_VALUE"""),"Isaiah Hicks")</f>
        <v>Isaiah Hicks</v>
      </c>
      <c r="C2449" s="162" t="str">
        <f>IFERROR(__xludf.DUMMYFUNCTION("""COMPUTED_VALUE"""),"2017-18")</f>
        <v>2017-18</v>
      </c>
      <c r="D2449" s="163" t="str">
        <f>IFERROR(__xludf.DUMMYFUNCTION("""COMPUTED_VALUE"""),"NYK")</f>
        <v>NYK</v>
      </c>
      <c r="E2449" s="164" t="str">
        <f>IFERROR(__xludf.DUMMYFUNCTION("""COMPUTED_VALUE"""),"Roll + Cut Big")</f>
        <v>Roll + Cut Big</v>
      </c>
      <c r="F2449" s="164">
        <f>IFERROR(__xludf.DUMMYFUNCTION("""COMPUTED_VALUE"""),239.47)</f>
        <v>239.47</v>
      </c>
      <c r="G2449" s="163">
        <f>IFERROR(__xludf.DUMMYFUNCTION("""COMPUTED_VALUE"""),18.0)</f>
        <v>18</v>
      </c>
      <c r="H2449" s="163" t="str">
        <f>IFERROR(__xludf.DUMMYFUNCTION("""COMPUTED_VALUE"""),"PF")</f>
        <v>PF</v>
      </c>
      <c r="I2449" s="163">
        <f>IFERROR(__xludf.DUMMYFUNCTION("""COMPUTED_VALUE"""),23.0)</f>
        <v>23</v>
      </c>
      <c r="J2449" s="165">
        <f>IFERROR(__xludf.DUMMYFUNCTION("""COMPUTED_VALUE"""),-2.28435987308726)</f>
        <v>-2.284359873</v>
      </c>
      <c r="K2449" s="165">
        <f>IFERROR(__xludf.DUMMYFUNCTION("""COMPUTED_VALUE"""),-1.74609767089858)</f>
        <v>-1.746097671</v>
      </c>
      <c r="L2449" s="165">
        <f>IFERROR(__xludf.DUMMYFUNCTION("""COMPUTED_VALUE"""),-0.53826220218868)</f>
        <v>-0.5382622022</v>
      </c>
      <c r="M2449" s="166">
        <f t="shared" si="2"/>
        <v>0.003027579063</v>
      </c>
      <c r="N2449" s="167">
        <f t="shared" si="3"/>
        <v>13.30388889</v>
      </c>
      <c r="O2449" s="163">
        <f t="shared" ref="O2449:Q2449" si="2453">rank(I2449,I:I)</f>
        <v>2765</v>
      </c>
      <c r="P2449" s="163">
        <f t="shared" si="2453"/>
        <v>3648</v>
      </c>
      <c r="Q2449" s="163">
        <f t="shared" si="2453"/>
        <v>3548</v>
      </c>
      <c r="R2449" s="163">
        <f>IFERROR(__xludf.DUMMYFUNCTION("RANK(M2449,filter(M:M,C:C=C2449))"),491.0)</f>
        <v>491</v>
      </c>
      <c r="S2449" s="161" t="b">
        <f t="shared" si="5"/>
        <v>0</v>
      </c>
      <c r="T2449" s="161" t="b">
        <f t="array" ref="T2449">index('Query Tool'!B:B,match(H2449,'Query Tool'!C:C,0))</f>
        <v>1</v>
      </c>
      <c r="U2449" s="161" t="b">
        <f t="array" ref="U2449">index('Query Tool'!B:B,match(C2449,'Query Tool'!C:C,0))</f>
        <v>0</v>
      </c>
      <c r="V2449" s="161" t="b">
        <f>F2449&gt;='Query Tool'!C$32</f>
        <v>0</v>
      </c>
      <c r="W2449" s="161" t="b">
        <f t="array" ref="W2449">index(Dropdowns!B:B,match(I2449,Dropdowns!A:A,0))</f>
        <v>1</v>
      </c>
      <c r="X2449" s="161" t="b">
        <f t="array" ref="X2449">index('Query Tool'!B:B,match(D2449,'Query Tool'!C:C,0))</f>
        <v>1</v>
      </c>
      <c r="Y2449" s="161" t="str">
        <f t="shared" si="6"/>
        <v>hicksis01,2017-18</v>
      </c>
      <c r="Z2449" s="168">
        <f t="array" ref="Z2449">iferror(index(I:I,match($A2449&amp;","&amp;index('Year Conversion'!$A:$A,match($C2449,'Year Conversion'!$B:$B,0)),$Y:$Y,0))-I2449,"")</f>
        <v>1</v>
      </c>
      <c r="AA2449" s="168">
        <f t="array" ref="AA2449">iferror(index(J:J,match($A2449&amp;","&amp;index('Year Conversion'!$A:$A,match($C2449,'Year Conversion'!$B:$B,0)),$Y:$Y,0))-J2449,"")</f>
        <v>2.452100922</v>
      </c>
      <c r="AB2449" s="168">
        <f t="array" ref="AB2449">iferror(index(K:K,match($A2449&amp;","&amp;index('Year Conversion'!$A:$A,match($C2449,'Year Conversion'!$B:$B,0)),$Y:$Y,0))-K2449,"")</f>
        <v>1.578626682</v>
      </c>
      <c r="AC2449" s="168" t="str">
        <f t="shared" si="7"/>
        <v>NYK,2017-18</v>
      </c>
    </row>
    <row r="2450">
      <c r="A2450" s="161" t="str">
        <f>IFERROR(__xludf.DUMMYFUNCTION("""COMPUTED_VALUE"""),"allenka01")</f>
        <v>allenka01</v>
      </c>
      <c r="B2450" s="161" t="str">
        <f>IFERROR(__xludf.DUMMYFUNCTION("""COMPUTED_VALUE"""),"Kadeem Allen")</f>
        <v>Kadeem Allen</v>
      </c>
      <c r="C2450" s="162" t="str">
        <f>IFERROR(__xludf.DUMMYFUNCTION("""COMPUTED_VALUE"""),"2017-18")</f>
        <v>2017-18</v>
      </c>
      <c r="D2450" s="163" t="str">
        <f>IFERROR(__xludf.DUMMYFUNCTION("""COMPUTED_VALUE"""),"BOS")</f>
        <v>BOS</v>
      </c>
      <c r="E2450" s="164" t="str">
        <f>IFERROR(__xludf.DUMMYFUNCTION("""COMPUTED_VALUE"""),"Secondary Ball Handler")</f>
        <v>Secondary Ball Handler</v>
      </c>
      <c r="F2450" s="164">
        <f>IFERROR(__xludf.DUMMYFUNCTION("""COMPUTED_VALUE"""),107.188333333333)</f>
        <v>107.1883333</v>
      </c>
      <c r="G2450" s="163">
        <f>IFERROR(__xludf.DUMMYFUNCTION("""COMPUTED_VALUE"""),18.0)</f>
        <v>18</v>
      </c>
      <c r="H2450" s="163" t="str">
        <f>IFERROR(__xludf.DUMMYFUNCTION("""COMPUTED_VALUE"""),"PG")</f>
        <v>PG</v>
      </c>
      <c r="I2450" s="163">
        <f>IFERROR(__xludf.DUMMYFUNCTION("""COMPUTED_VALUE"""),25.0)</f>
        <v>25</v>
      </c>
      <c r="J2450" s="165">
        <f>IFERROR(__xludf.DUMMYFUNCTION("""COMPUTED_VALUE"""),-0.953962411608406)</f>
        <v>-0.9539624116</v>
      </c>
      <c r="K2450" s="165">
        <f>IFERROR(__xludf.DUMMYFUNCTION("""COMPUTED_VALUE"""),-0.517183485852133)</f>
        <v>-0.5171834859</v>
      </c>
      <c r="L2450" s="165">
        <f>IFERROR(__xludf.DUMMYFUNCTION("""COMPUTED_VALUE"""),-0.436778925756272)</f>
        <v>-0.4367789258</v>
      </c>
      <c r="M2450" s="166">
        <f t="shared" si="2"/>
        <v>0.0963973384</v>
      </c>
      <c r="N2450" s="167">
        <f t="shared" si="3"/>
        <v>5.954907407</v>
      </c>
      <c r="O2450" s="163">
        <f t="shared" ref="O2450:Q2450" si="2454">rank(I2450,I:I)</f>
        <v>1995</v>
      </c>
      <c r="P2450" s="163">
        <f t="shared" si="2454"/>
        <v>2457</v>
      </c>
      <c r="Q2450" s="163">
        <f t="shared" si="2454"/>
        <v>2133</v>
      </c>
      <c r="R2450" s="163">
        <f>IFERROR(__xludf.DUMMYFUNCTION("RANK(M2450,filter(M:M,C:C=C2450))"),399.0)</f>
        <v>399</v>
      </c>
      <c r="S2450" s="161" t="b">
        <f t="shared" si="5"/>
        <v>0</v>
      </c>
      <c r="T2450" s="161" t="b">
        <f t="array" ref="T2450">index('Query Tool'!B:B,match(H2450,'Query Tool'!C:C,0))</f>
        <v>1</v>
      </c>
      <c r="U2450" s="161" t="b">
        <f t="array" ref="U2450">index('Query Tool'!B:B,match(C2450,'Query Tool'!C:C,0))</f>
        <v>0</v>
      </c>
      <c r="V2450" s="161" t="b">
        <f>F2450&gt;='Query Tool'!C$32</f>
        <v>0</v>
      </c>
      <c r="W2450" s="161" t="b">
        <f t="array" ref="W2450">index(Dropdowns!B:B,match(I2450,Dropdowns!A:A,0))</f>
        <v>1</v>
      </c>
      <c r="X2450" s="161" t="b">
        <f t="array" ref="X2450">index('Query Tool'!B:B,match(D2450,'Query Tool'!C:C,0))</f>
        <v>1</v>
      </c>
      <c r="Y2450" s="161" t="str">
        <f t="shared" si="6"/>
        <v>allenka01,2017-18</v>
      </c>
      <c r="Z2450" s="168">
        <f t="array" ref="Z2450">iferror(index(I:I,match($A2450&amp;","&amp;index('Year Conversion'!$A:$A,match($C2450,'Year Conversion'!$B:$B,0)),$Y:$Y,0))-I2450,"")</f>
        <v>1</v>
      </c>
      <c r="AA2450" s="168">
        <f t="array" ref="AA2450">iferror(index(J:J,match($A2450&amp;","&amp;index('Year Conversion'!$A:$A,match($C2450,'Year Conversion'!$B:$B,0)),$Y:$Y,0))-J2450,"")</f>
        <v>0.440830902</v>
      </c>
      <c r="AB2450" s="168">
        <f t="array" ref="AB2450">iferror(index(K:K,match($A2450&amp;","&amp;index('Year Conversion'!$A:$A,match($C2450,'Year Conversion'!$B:$B,0)),$Y:$Y,0))-K2450,"")</f>
        <v>0.5910817092</v>
      </c>
      <c r="AC2450" s="168" t="str">
        <f t="shared" si="7"/>
        <v>BOS,2017-18</v>
      </c>
    </row>
    <row r="2451">
      <c r="A2451" s="161" t="str">
        <f>IFERROR(__xludf.DUMMYFUNCTION("""COMPUTED_VALUE"""),"birdja01")</f>
        <v>birdja01</v>
      </c>
      <c r="B2451" s="161" t="str">
        <f>IFERROR(__xludf.DUMMYFUNCTION("""COMPUTED_VALUE"""),"Jabari Bird")</f>
        <v>Jabari Bird</v>
      </c>
      <c r="C2451" s="162" t="str">
        <f>IFERROR(__xludf.DUMMYFUNCTION("""COMPUTED_VALUE"""),"2017-18")</f>
        <v>2017-18</v>
      </c>
      <c r="D2451" s="163" t="str">
        <f>IFERROR(__xludf.DUMMYFUNCTION("""COMPUTED_VALUE"""),"BOS")</f>
        <v>BOS</v>
      </c>
      <c r="E2451" s="164" t="str">
        <f>IFERROR(__xludf.DUMMYFUNCTION("""COMPUTED_VALUE"""),"Stretch Big")</f>
        <v>Stretch Big</v>
      </c>
      <c r="F2451" s="164">
        <f>IFERROR(__xludf.DUMMYFUNCTION("""COMPUTED_VALUE"""),114.53)</f>
        <v>114.53</v>
      </c>
      <c r="G2451" s="163">
        <f>IFERROR(__xludf.DUMMYFUNCTION("""COMPUTED_VALUE"""),13.0)</f>
        <v>13</v>
      </c>
      <c r="H2451" s="163" t="str">
        <f>IFERROR(__xludf.DUMMYFUNCTION("""COMPUTED_VALUE"""),"SG")</f>
        <v>SG</v>
      </c>
      <c r="I2451" s="163">
        <f>IFERROR(__xludf.DUMMYFUNCTION("""COMPUTED_VALUE"""),23.0)</f>
        <v>23</v>
      </c>
      <c r="J2451" s="165">
        <f>IFERROR(__xludf.DUMMYFUNCTION("""COMPUTED_VALUE"""),-0.663017600945584)</f>
        <v>-0.6630176009</v>
      </c>
      <c r="K2451" s="165">
        <f>IFERROR(__xludf.DUMMYFUNCTION("""COMPUTED_VALUE"""),-0.227134316520267)</f>
        <v>-0.2271343165</v>
      </c>
      <c r="L2451" s="165">
        <f>IFERROR(__xludf.DUMMYFUNCTION("""COMPUTED_VALUE"""),-0.435883284425317)</f>
        <v>-0.4358832844</v>
      </c>
      <c r="M2451" s="166">
        <f t="shared" si="2"/>
        <v>0.1254034466</v>
      </c>
      <c r="N2451" s="167">
        <f t="shared" si="3"/>
        <v>8.81</v>
      </c>
      <c r="O2451" s="163">
        <f t="shared" ref="O2451:Q2451" si="2455">rank(I2451,I:I)</f>
        <v>2765</v>
      </c>
      <c r="P2451" s="163">
        <f t="shared" si="2455"/>
        <v>2085</v>
      </c>
      <c r="Q2451" s="163">
        <f t="shared" si="2455"/>
        <v>1615</v>
      </c>
      <c r="R2451" s="163">
        <f>IFERROR(__xludf.DUMMYFUNCTION("RANK(M2451,filter(M:M,C:C=C2451))"),381.0)</f>
        <v>381</v>
      </c>
      <c r="S2451" s="161" t="b">
        <f t="shared" si="5"/>
        <v>0</v>
      </c>
      <c r="T2451" s="161" t="b">
        <f t="array" ref="T2451">index('Query Tool'!B:B,match(H2451,'Query Tool'!C:C,0))</f>
        <v>1</v>
      </c>
      <c r="U2451" s="161" t="b">
        <f t="array" ref="U2451">index('Query Tool'!B:B,match(C2451,'Query Tool'!C:C,0))</f>
        <v>0</v>
      </c>
      <c r="V2451" s="161" t="b">
        <f>F2451&gt;='Query Tool'!C$32</f>
        <v>0</v>
      </c>
      <c r="W2451" s="161" t="b">
        <f t="array" ref="W2451">index(Dropdowns!B:B,match(I2451,Dropdowns!A:A,0))</f>
        <v>1</v>
      </c>
      <c r="X2451" s="161" t="b">
        <f t="array" ref="X2451">index('Query Tool'!B:B,match(D2451,'Query Tool'!C:C,0))</f>
        <v>1</v>
      </c>
      <c r="Y2451" s="161" t="str">
        <f t="shared" si="6"/>
        <v>birdja01,2017-18</v>
      </c>
      <c r="Z2451" s="168" t="str">
        <f t="array" ref="Z2451">iferror(index(I:I,match($A2451&amp;","&amp;index('Year Conversion'!$A:$A,match($C2451,'Year Conversion'!$B:$B,0)),$Y:$Y,0))-I2451,"")</f>
        <v/>
      </c>
      <c r="AA2451" s="168" t="str">
        <f t="array" ref="AA2451">iferror(index(J:J,match($A2451&amp;","&amp;index('Year Conversion'!$A:$A,match($C2451,'Year Conversion'!$B:$B,0)),$Y:$Y,0))-J2451,"")</f>
        <v/>
      </c>
      <c r="AB2451" s="168" t="str">
        <f t="array" ref="AB2451">iferror(index(K:K,match($A2451&amp;","&amp;index('Year Conversion'!$A:$A,match($C2451,'Year Conversion'!$B:$B,0)),$Y:$Y,0))-K2451,"")</f>
        <v/>
      </c>
      <c r="AC2451" s="168" t="str">
        <f t="shared" si="7"/>
        <v>BOS,2017-18</v>
      </c>
    </row>
    <row r="2452">
      <c r="A2452" s="161" t="str">
        <f>IFERROR(__xludf.DUMMYFUNCTION("""COMPUTED_VALUE"""),"bouchch01")</f>
        <v>bouchch01</v>
      </c>
      <c r="B2452" s="161" t="str">
        <f>IFERROR(__xludf.DUMMYFUNCTION("""COMPUTED_VALUE"""),"Chris Boucher")</f>
        <v>Chris Boucher</v>
      </c>
      <c r="C2452" s="162" t="str">
        <f>IFERROR(__xludf.DUMMYFUNCTION("""COMPUTED_VALUE"""),"2017-18")</f>
        <v>2017-18</v>
      </c>
      <c r="D2452" s="163" t="str">
        <f>IFERROR(__xludf.DUMMYFUNCTION("""COMPUTED_VALUE"""),"GSW")</f>
        <v>GSW</v>
      </c>
      <c r="E2452" s="164" t="str">
        <f>IFERROR(__xludf.DUMMYFUNCTION("""COMPUTED_VALUE"""),"Movement Shooter")</f>
        <v>Movement Shooter</v>
      </c>
      <c r="F2452" s="164">
        <f>IFERROR(__xludf.DUMMYFUNCTION("""COMPUTED_VALUE"""),1.31666666666667)</f>
        <v>1.316666667</v>
      </c>
      <c r="G2452" s="163">
        <f>IFERROR(__xludf.DUMMYFUNCTION("""COMPUTED_VALUE"""),1.0)</f>
        <v>1</v>
      </c>
      <c r="H2452" s="163" t="str">
        <f>IFERROR(__xludf.DUMMYFUNCTION("""COMPUTED_VALUE"""),"PF")</f>
        <v>PF</v>
      </c>
      <c r="I2452" s="163">
        <f>IFERROR(__xludf.DUMMYFUNCTION("""COMPUTED_VALUE"""),25.0)</f>
        <v>25</v>
      </c>
      <c r="J2452" s="165">
        <f>IFERROR(__xludf.DUMMYFUNCTION("""COMPUTED_VALUE"""),-1.05468676603264)</f>
        <v>-1.054686766</v>
      </c>
      <c r="K2452" s="165">
        <f>IFERROR(__xludf.DUMMYFUNCTION("""COMPUTED_VALUE"""),-0.110494989075163)</f>
        <v>-0.1104949891</v>
      </c>
      <c r="L2452" s="165">
        <f>IFERROR(__xludf.DUMMYFUNCTION("""COMPUTED_VALUE"""),-0.944191776957476)</f>
        <v>-0.944191777</v>
      </c>
      <c r="M2452" s="166">
        <f t="shared" si="2"/>
        <v>0.001095077384</v>
      </c>
      <c r="N2452" s="167">
        <f t="shared" si="3"/>
        <v>1.316666667</v>
      </c>
      <c r="O2452" s="163">
        <f t="shared" ref="O2452:Q2452" si="2456">rank(I2452,I:I)</f>
        <v>1995</v>
      </c>
      <c r="P2452" s="163">
        <f t="shared" si="2456"/>
        <v>2556</v>
      </c>
      <c r="Q2452" s="163">
        <f t="shared" si="2456"/>
        <v>1390</v>
      </c>
      <c r="R2452" s="163">
        <f>IFERROR(__xludf.DUMMYFUNCTION("RANK(M2452,filter(M:M,C:C=C2452))"),497.0)</f>
        <v>497</v>
      </c>
      <c r="S2452" s="161" t="b">
        <f t="shared" si="5"/>
        <v>0</v>
      </c>
      <c r="T2452" s="161" t="b">
        <f t="array" ref="T2452">index('Query Tool'!B:B,match(H2452,'Query Tool'!C:C,0))</f>
        <v>1</v>
      </c>
      <c r="U2452" s="161" t="b">
        <f t="array" ref="U2452">index('Query Tool'!B:B,match(C2452,'Query Tool'!C:C,0))</f>
        <v>0</v>
      </c>
      <c r="V2452" s="161" t="b">
        <f>F2452&gt;='Query Tool'!C$32</f>
        <v>0</v>
      </c>
      <c r="W2452" s="161" t="b">
        <f t="array" ref="W2452">index(Dropdowns!B:B,match(I2452,Dropdowns!A:A,0))</f>
        <v>1</v>
      </c>
      <c r="X2452" s="161" t="b">
        <f t="array" ref="X2452">index('Query Tool'!B:B,match(D2452,'Query Tool'!C:C,0))</f>
        <v>1</v>
      </c>
      <c r="Y2452" s="161" t="str">
        <f t="shared" si="6"/>
        <v>bouchch01,2017-18</v>
      </c>
      <c r="Z2452" s="168">
        <f t="array" ref="Z2452">iferror(index(I:I,match($A2452&amp;","&amp;index('Year Conversion'!$A:$A,match($C2452,'Year Conversion'!$B:$B,0)),$Y:$Y,0))-I2452,"")</f>
        <v>1</v>
      </c>
      <c r="AA2452" s="168">
        <f t="array" ref="AA2452">iferror(index(J:J,match($A2452&amp;","&amp;index('Year Conversion'!$A:$A,match($C2452,'Year Conversion'!$B:$B,0)),$Y:$Y,0))-J2452,"")</f>
        <v>1.455149005</v>
      </c>
      <c r="AB2452" s="168">
        <f t="array" ref="AB2452">iferror(index(K:K,match($A2452&amp;","&amp;index('Year Conversion'!$A:$A,match($C2452,'Year Conversion'!$B:$B,0)),$Y:$Y,0))-K2452,"")</f>
        <v>0.1749748313</v>
      </c>
      <c r="AC2452" s="168" t="str">
        <f t="shared" si="7"/>
        <v>GSW,2017-18</v>
      </c>
    </row>
    <row r="2453">
      <c r="A2453" s="161" t="str">
        <f>IFERROR(__xludf.DUMMYFUNCTION("""COMPUTED_VALUE"""),"wileyja01")</f>
        <v>wileyja01</v>
      </c>
      <c r="B2453" s="161" t="str">
        <f>IFERROR(__xludf.DUMMYFUNCTION("""COMPUTED_VALUE"""),"Jacob Wiley")</f>
        <v>Jacob Wiley</v>
      </c>
      <c r="C2453" s="162" t="str">
        <f>IFERROR(__xludf.DUMMYFUNCTION("""COMPUTED_VALUE"""),"2017-18")</f>
        <v>2017-18</v>
      </c>
      <c r="D2453" s="163" t="str">
        <f>IFERROR(__xludf.DUMMYFUNCTION("""COMPUTED_VALUE"""),"BRK")</f>
        <v>BRK</v>
      </c>
      <c r="E2453" s="164" t="str">
        <f>IFERROR(__xludf.DUMMYFUNCTION("""COMPUTED_VALUE"""),"Stretch Big")</f>
        <v>Stretch Big</v>
      </c>
      <c r="F2453" s="164">
        <f>IFERROR(__xludf.DUMMYFUNCTION("""COMPUTED_VALUE"""),33.2566666666667)</f>
        <v>33.25666667</v>
      </c>
      <c r="G2453" s="163">
        <f>IFERROR(__xludf.DUMMYFUNCTION("""COMPUTED_VALUE"""),5.0)</f>
        <v>5</v>
      </c>
      <c r="H2453" s="163" t="str">
        <f>IFERROR(__xludf.DUMMYFUNCTION("""COMPUTED_VALUE"""),"PF")</f>
        <v>PF</v>
      </c>
      <c r="I2453" s="163">
        <f>IFERROR(__xludf.DUMMYFUNCTION("""COMPUTED_VALUE"""),23.0)</f>
        <v>23</v>
      </c>
      <c r="J2453" s="165">
        <f>IFERROR(__xludf.DUMMYFUNCTION("""COMPUTED_VALUE"""),-0.304540341694653)</f>
        <v>-0.3045403417</v>
      </c>
      <c r="K2453" s="165">
        <f>IFERROR(__xludf.DUMMYFUNCTION("""COMPUTED_VALUE"""),-0.589705903963865)</f>
        <v>-0.589705904</v>
      </c>
      <c r="L2453" s="165">
        <f>IFERROR(__xludf.DUMMYFUNCTION("""COMPUTED_VALUE"""),0.285165562269211)</f>
        <v>0.2851655623</v>
      </c>
      <c r="M2453" s="166">
        <f t="shared" si="2"/>
        <v>0.04444338187</v>
      </c>
      <c r="N2453" s="167">
        <f t="shared" si="3"/>
        <v>6.651333333</v>
      </c>
      <c r="O2453" s="163">
        <f t="shared" ref="O2453:Q2453" si="2457">rank(I2453,I:I)</f>
        <v>2765</v>
      </c>
      <c r="P2453" s="163">
        <f t="shared" si="2457"/>
        <v>1619</v>
      </c>
      <c r="Q2453" s="163">
        <f t="shared" si="2457"/>
        <v>2250</v>
      </c>
      <c r="R2453" s="163">
        <f>IFERROR(__xludf.DUMMYFUNCTION("RANK(M2453,filter(M:M,C:C=C2453))"),435.0)</f>
        <v>435</v>
      </c>
      <c r="S2453" s="161" t="b">
        <f t="shared" si="5"/>
        <v>0</v>
      </c>
      <c r="T2453" s="161" t="b">
        <f t="array" ref="T2453">index('Query Tool'!B:B,match(H2453,'Query Tool'!C:C,0))</f>
        <v>1</v>
      </c>
      <c r="U2453" s="161" t="b">
        <f t="array" ref="U2453">index('Query Tool'!B:B,match(C2453,'Query Tool'!C:C,0))</f>
        <v>0</v>
      </c>
      <c r="V2453" s="161" t="b">
        <f>F2453&gt;='Query Tool'!C$32</f>
        <v>0</v>
      </c>
      <c r="W2453" s="161" t="b">
        <f t="array" ref="W2453">index(Dropdowns!B:B,match(I2453,Dropdowns!A:A,0))</f>
        <v>1</v>
      </c>
      <c r="X2453" s="161" t="b">
        <f t="array" ref="X2453">index('Query Tool'!B:B,match(D2453,'Query Tool'!C:C,0))</f>
        <v>1</v>
      </c>
      <c r="Y2453" s="161" t="str">
        <f t="shared" si="6"/>
        <v>wileyja01,2017-18</v>
      </c>
      <c r="Z2453" s="168" t="str">
        <f t="array" ref="Z2453">iferror(index(I:I,match($A2453&amp;","&amp;index('Year Conversion'!$A:$A,match($C2453,'Year Conversion'!$B:$B,0)),$Y:$Y,0))-I2453,"")</f>
        <v/>
      </c>
      <c r="AA2453" s="168" t="str">
        <f t="array" ref="AA2453">iferror(index(J:J,match($A2453&amp;","&amp;index('Year Conversion'!$A:$A,match($C2453,'Year Conversion'!$B:$B,0)),$Y:$Y,0))-J2453,"")</f>
        <v/>
      </c>
      <c r="AB2453" s="168" t="str">
        <f t="array" ref="AB2453">iferror(index(K:K,match($A2453&amp;","&amp;index('Year Conversion'!$A:$A,match($C2453,'Year Conversion'!$B:$B,0)),$Y:$Y,0))-K2453,"")</f>
        <v/>
      </c>
      <c r="AC2453" s="168" t="str">
        <f t="shared" si="7"/>
        <v>BRK,2017-18</v>
      </c>
    </row>
    <row r="2454">
      <c r="A2454" s="161" t="str">
        <f>IFERROR(__xludf.DUMMYFUNCTION("""COMPUTED_VALUE"""),"jamesmi02")</f>
        <v>jamesmi02</v>
      </c>
      <c r="B2454" s="161" t="str">
        <f>IFERROR(__xludf.DUMMYFUNCTION("""COMPUTED_VALUE"""),"Mike James")</f>
        <v>Mike James</v>
      </c>
      <c r="C2454" s="162" t="str">
        <f>IFERROR(__xludf.DUMMYFUNCTION("""COMPUTED_VALUE"""),"2017-18")</f>
        <v>2017-18</v>
      </c>
      <c r="D2454" s="163" t="str">
        <f>IFERROR(__xludf.DUMMYFUNCTION("""COMPUTED_VALUE"""),"TOT")</f>
        <v>TOT</v>
      </c>
      <c r="E2454" s="164" t="str">
        <f>IFERROR(__xludf.DUMMYFUNCTION("""COMPUTED_VALUE"""),"Secondary Ball Handler")</f>
        <v>Secondary Ball Handler</v>
      </c>
      <c r="F2454" s="164">
        <f>IFERROR(__xludf.DUMMYFUNCTION("""COMPUTED_VALUE"""),686.488333333333)</f>
        <v>686.4883333</v>
      </c>
      <c r="G2454" s="163">
        <f>IFERROR(__xludf.DUMMYFUNCTION("""COMPUTED_VALUE"""),36.0)</f>
        <v>36</v>
      </c>
      <c r="H2454" s="163" t="str">
        <f>IFERROR(__xludf.DUMMYFUNCTION("""COMPUTED_VALUE"""),"PG")</f>
        <v>PG</v>
      </c>
      <c r="I2454" s="163">
        <f>IFERROR(__xludf.DUMMYFUNCTION("""COMPUTED_VALUE"""),27.0)</f>
        <v>27</v>
      </c>
      <c r="J2454" s="165">
        <f>IFERROR(__xludf.DUMMYFUNCTION("""COMPUTED_VALUE"""),0.752130837665259)</f>
        <v>0.7521308377</v>
      </c>
      <c r="K2454" s="165">
        <f>IFERROR(__xludf.DUMMYFUNCTION("""COMPUTED_VALUE"""),1.08781729869488)</f>
        <v>1.087817299</v>
      </c>
      <c r="L2454" s="165">
        <f>IFERROR(__xludf.DUMMYFUNCTION("""COMPUTED_VALUE"""),-0.335686461029617)</f>
        <v>-0.335686461</v>
      </c>
      <c r="M2454" s="166">
        <f t="shared" si="2"/>
        <v>1.406166661</v>
      </c>
      <c r="N2454" s="167">
        <f t="shared" si="3"/>
        <v>19.06912037</v>
      </c>
      <c r="O2454" s="163">
        <f t="shared" ref="O2454:Q2454" si="2458">rank(I2454,I:I)</f>
        <v>1366</v>
      </c>
      <c r="P2454" s="163">
        <f t="shared" si="2458"/>
        <v>768</v>
      </c>
      <c r="Q2454" s="163">
        <f t="shared" si="2458"/>
        <v>457</v>
      </c>
      <c r="R2454" s="163">
        <f>IFERROR(__xludf.DUMMYFUNCTION("RANK(M2454,filter(M:M,C:C=C2454))"),197.0)</f>
        <v>197</v>
      </c>
      <c r="S2454" s="161" t="b">
        <f t="shared" si="5"/>
        <v>0</v>
      </c>
      <c r="T2454" s="161" t="b">
        <f t="array" ref="T2454">index('Query Tool'!B:B,match(H2454,'Query Tool'!C:C,0))</f>
        <v>1</v>
      </c>
      <c r="U2454" s="161" t="b">
        <f t="array" ref="U2454">index('Query Tool'!B:B,match(C2454,'Query Tool'!C:C,0))</f>
        <v>0</v>
      </c>
      <c r="V2454" s="161" t="b">
        <f>F2454&gt;='Query Tool'!C$32</f>
        <v>1</v>
      </c>
      <c r="W2454" s="161" t="b">
        <f t="array" ref="W2454">index(Dropdowns!B:B,match(I2454,Dropdowns!A:A,0))</f>
        <v>1</v>
      </c>
      <c r="X2454" s="161" t="b">
        <f t="array" ref="X2454">index('Query Tool'!B:B,match(D2454,'Query Tool'!C:C,0))</f>
        <v>1</v>
      </c>
      <c r="Y2454" s="161" t="str">
        <f t="shared" si="6"/>
        <v>jamesmi02,2017-18</v>
      </c>
      <c r="Z2454" s="168" t="str">
        <f t="array" ref="Z2454">iferror(index(I:I,match($A2454&amp;","&amp;index('Year Conversion'!$A:$A,match($C2454,'Year Conversion'!$B:$B,0)),$Y:$Y,0))-I2454,"")</f>
        <v/>
      </c>
      <c r="AA2454" s="168" t="str">
        <f t="array" ref="AA2454">iferror(index(J:J,match($A2454&amp;","&amp;index('Year Conversion'!$A:$A,match($C2454,'Year Conversion'!$B:$B,0)),$Y:$Y,0))-J2454,"")</f>
        <v/>
      </c>
      <c r="AB2454" s="168" t="str">
        <f t="array" ref="AB2454">iferror(index(K:K,match($A2454&amp;","&amp;index('Year Conversion'!$A:$A,match($C2454,'Year Conversion'!$B:$B,0)),$Y:$Y,0))-K2454,"")</f>
        <v/>
      </c>
      <c r="AC2454" s="168" t="str">
        <f t="shared" si="7"/>
        <v>TOT,2017-18</v>
      </c>
    </row>
    <row r="2455">
      <c r="A2455" s="161" t="str">
        <f>IFERROR(__xludf.DUMMYFUNCTION("""COMPUTED_VALUE"""),"teodomi01")</f>
        <v>teodomi01</v>
      </c>
      <c r="B2455" s="161" t="str">
        <f>IFERROR(__xludf.DUMMYFUNCTION("""COMPUTED_VALUE"""),"Milos Teodosic")</f>
        <v>Milos Teodosic</v>
      </c>
      <c r="C2455" s="162" t="str">
        <f>IFERROR(__xludf.DUMMYFUNCTION("""COMPUTED_VALUE"""),"2017-18")</f>
        <v>2017-18</v>
      </c>
      <c r="D2455" s="163" t="str">
        <f>IFERROR(__xludf.DUMMYFUNCTION("""COMPUTED_VALUE"""),"LAC")</f>
        <v>LAC</v>
      </c>
      <c r="E2455" s="164" t="str">
        <f>IFERROR(__xludf.DUMMYFUNCTION("""COMPUTED_VALUE"""),"Secondary Ball Handler")</f>
        <v>Secondary Ball Handler</v>
      </c>
      <c r="F2455" s="164">
        <f>IFERROR(__xludf.DUMMYFUNCTION("""COMPUTED_VALUE"""),1134.055)</f>
        <v>1134.055</v>
      </c>
      <c r="G2455" s="163">
        <f>IFERROR(__xludf.DUMMYFUNCTION("""COMPUTED_VALUE"""),45.0)</f>
        <v>45</v>
      </c>
      <c r="H2455" s="163" t="str">
        <f>IFERROR(__xludf.DUMMYFUNCTION("""COMPUTED_VALUE"""),"PG")</f>
        <v>PG</v>
      </c>
      <c r="I2455" s="163">
        <f>IFERROR(__xludf.DUMMYFUNCTION("""COMPUTED_VALUE"""),30.0)</f>
        <v>30</v>
      </c>
      <c r="J2455" s="165">
        <f>IFERROR(__xludf.DUMMYFUNCTION("""COMPUTED_VALUE"""),-0.64375593278578)</f>
        <v>-0.6437559328</v>
      </c>
      <c r="K2455" s="165">
        <f>IFERROR(__xludf.DUMMYFUNCTION("""COMPUTED_VALUE"""),0.303236196321492)</f>
        <v>0.3032361963</v>
      </c>
      <c r="L2455" s="165">
        <f>IFERROR(__xludf.DUMMYFUNCTION("""COMPUTED_VALUE"""),-0.946992129107272)</f>
        <v>-0.9469921291</v>
      </c>
      <c r="M2455" s="166">
        <f t="shared" si="2"/>
        <v>1.256422557</v>
      </c>
      <c r="N2455" s="167">
        <f t="shared" si="3"/>
        <v>25.20122222</v>
      </c>
      <c r="O2455" s="163">
        <f t="shared" ref="O2455:Q2455" si="2459">rank(I2455,I:I)</f>
        <v>655</v>
      </c>
      <c r="P2455" s="163">
        <f t="shared" si="2459"/>
        <v>2050</v>
      </c>
      <c r="Q2455" s="163">
        <f t="shared" si="2459"/>
        <v>904</v>
      </c>
      <c r="R2455" s="163">
        <f>IFERROR(__xludf.DUMMYFUNCTION("RANK(M2455,filter(M:M,C:C=C2455))"),213.0)</f>
        <v>213</v>
      </c>
      <c r="S2455" s="161" t="b">
        <f t="shared" si="5"/>
        <v>0</v>
      </c>
      <c r="T2455" s="161" t="b">
        <f t="array" ref="T2455">index('Query Tool'!B:B,match(H2455,'Query Tool'!C:C,0))</f>
        <v>1</v>
      </c>
      <c r="U2455" s="161" t="b">
        <f t="array" ref="U2455">index('Query Tool'!B:B,match(C2455,'Query Tool'!C:C,0))</f>
        <v>0</v>
      </c>
      <c r="V2455" s="161" t="b">
        <f>F2455&gt;='Query Tool'!C$32</f>
        <v>1</v>
      </c>
      <c r="W2455" s="161" t="b">
        <f t="array" ref="W2455">index(Dropdowns!B:B,match(I2455,Dropdowns!A:A,0))</f>
        <v>1</v>
      </c>
      <c r="X2455" s="161" t="b">
        <f t="array" ref="X2455">index('Query Tool'!B:B,match(D2455,'Query Tool'!C:C,0))</f>
        <v>1</v>
      </c>
      <c r="Y2455" s="161" t="str">
        <f t="shared" si="6"/>
        <v>teodomi01,2017-18</v>
      </c>
      <c r="Z2455" s="168">
        <f t="array" ref="Z2455">iferror(index(I:I,match($A2455&amp;","&amp;index('Year Conversion'!$A:$A,match($C2455,'Year Conversion'!$B:$B,0)),$Y:$Y,0))-I2455,"")</f>
        <v>1</v>
      </c>
      <c r="AA2455" s="168">
        <f t="array" ref="AA2455">iferror(index(J:J,match($A2455&amp;","&amp;index('Year Conversion'!$A:$A,match($C2455,'Year Conversion'!$B:$B,0)),$Y:$Y,0))-J2455,"")</f>
        <v>-0.7762210571</v>
      </c>
      <c r="AB2455" s="168">
        <f t="array" ref="AB2455">iferror(index(K:K,match($A2455&amp;","&amp;index('Year Conversion'!$A:$A,match($C2455,'Year Conversion'!$B:$B,0)),$Y:$Y,0))-K2455,"")</f>
        <v>-0.7857385149</v>
      </c>
      <c r="AC2455" s="168" t="str">
        <f t="shared" si="7"/>
        <v>LAC,2017-18</v>
      </c>
    </row>
    <row r="2456">
      <c r="A2456" s="161" t="str">
        <f>IFERROR(__xludf.DUMMYFUNCTION("""COMPUTED_VALUE"""),"cavanty01")</f>
        <v>cavanty01</v>
      </c>
      <c r="B2456" s="161" t="str">
        <f>IFERROR(__xludf.DUMMYFUNCTION("""COMPUTED_VALUE"""),"Tyler Cavanaugh")</f>
        <v>Tyler Cavanaugh</v>
      </c>
      <c r="C2456" s="162" t="str">
        <f>IFERROR(__xludf.DUMMYFUNCTION("""COMPUTED_VALUE"""),"2017-18")</f>
        <v>2017-18</v>
      </c>
      <c r="D2456" s="163" t="str">
        <f>IFERROR(__xludf.DUMMYFUNCTION("""COMPUTED_VALUE"""),"ATL")</f>
        <v>ATL</v>
      </c>
      <c r="E2456" s="164" t="str">
        <f>IFERROR(__xludf.DUMMYFUNCTION("""COMPUTED_VALUE"""),"Stretch Big")</f>
        <v>Stretch Big</v>
      </c>
      <c r="F2456" s="164">
        <f>IFERROR(__xludf.DUMMYFUNCTION("""COMPUTED_VALUE"""),518.48)</f>
        <v>518.48</v>
      </c>
      <c r="G2456" s="163">
        <f>IFERROR(__xludf.DUMMYFUNCTION("""COMPUTED_VALUE"""),39.0)</f>
        <v>39</v>
      </c>
      <c r="H2456" s="163" t="str">
        <f>IFERROR(__xludf.DUMMYFUNCTION("""COMPUTED_VALUE"""),"PF")</f>
        <v>PF</v>
      </c>
      <c r="I2456" s="163">
        <f>IFERROR(__xludf.DUMMYFUNCTION("""COMPUTED_VALUE"""),23.0)</f>
        <v>23</v>
      </c>
      <c r="J2456" s="165">
        <f>IFERROR(__xludf.DUMMYFUNCTION("""COMPUTED_VALUE"""),-1.1056650421293)</f>
        <v>-1.105665042</v>
      </c>
      <c r="K2456" s="165">
        <f>IFERROR(__xludf.DUMMYFUNCTION("""COMPUTED_VALUE"""),-0.18392979794896)</f>
        <v>-0.1839297979</v>
      </c>
      <c r="L2456" s="165">
        <f>IFERROR(__xludf.DUMMYFUNCTION("""COMPUTED_VALUE"""),-0.921735244180339)</f>
        <v>-0.9217352442</v>
      </c>
      <c r="M2456" s="166">
        <f t="shared" si="2"/>
        <v>0.4134887963</v>
      </c>
      <c r="N2456" s="167">
        <f t="shared" si="3"/>
        <v>13.29435897</v>
      </c>
      <c r="O2456" s="163">
        <f t="shared" ref="O2456:Q2456" si="2460">rank(I2456,I:I)</f>
        <v>2765</v>
      </c>
      <c r="P2456" s="163">
        <f t="shared" si="2460"/>
        <v>2620</v>
      </c>
      <c r="Q2456" s="163">
        <f t="shared" si="2460"/>
        <v>1540</v>
      </c>
      <c r="R2456" s="163">
        <f>IFERROR(__xludf.DUMMYFUNCTION("RANK(M2456,filter(M:M,C:C=C2456))"),301.0)</f>
        <v>301</v>
      </c>
      <c r="S2456" s="161" t="b">
        <f t="shared" si="5"/>
        <v>0</v>
      </c>
      <c r="T2456" s="161" t="b">
        <f t="array" ref="T2456">index('Query Tool'!B:B,match(H2456,'Query Tool'!C:C,0))</f>
        <v>1</v>
      </c>
      <c r="U2456" s="161" t="b">
        <f t="array" ref="U2456">index('Query Tool'!B:B,match(C2456,'Query Tool'!C:C,0))</f>
        <v>0</v>
      </c>
      <c r="V2456" s="161" t="b">
        <f>F2456&gt;='Query Tool'!C$32</f>
        <v>1</v>
      </c>
      <c r="W2456" s="161" t="b">
        <f t="array" ref="W2456">index(Dropdowns!B:B,match(I2456,Dropdowns!A:A,0))</f>
        <v>1</v>
      </c>
      <c r="X2456" s="161" t="b">
        <f t="array" ref="X2456">index('Query Tool'!B:B,match(D2456,'Query Tool'!C:C,0))</f>
        <v>1</v>
      </c>
      <c r="Y2456" s="161" t="str">
        <f t="shared" si="6"/>
        <v>cavanty01,2017-18</v>
      </c>
      <c r="Z2456" s="168">
        <f t="array" ref="Z2456">iferror(index(I:I,match($A2456&amp;","&amp;index('Year Conversion'!$A:$A,match($C2456,'Year Conversion'!$B:$B,0)),$Y:$Y,0))-I2456,"")</f>
        <v>1</v>
      </c>
      <c r="AA2456" s="168">
        <f t="array" ref="AA2456">iferror(index(J:J,match($A2456&amp;","&amp;index('Year Conversion'!$A:$A,match($C2456,'Year Conversion'!$B:$B,0)),$Y:$Y,0))-J2456,"")</f>
        <v>0.01572477896</v>
      </c>
      <c r="AB2456" s="168">
        <f t="array" ref="AB2456">iferror(index(K:K,match($A2456&amp;","&amp;index('Year Conversion'!$A:$A,match($C2456,'Year Conversion'!$B:$B,0)),$Y:$Y,0))-K2456,"")</f>
        <v>-0.1331945543</v>
      </c>
      <c r="AC2456" s="168" t="str">
        <f t="shared" si="7"/>
        <v>ATL,2017-18</v>
      </c>
    </row>
    <row r="2457">
      <c r="A2457" s="161" t="str">
        <f>IFERROR(__xludf.DUMMYFUNCTION("""COMPUTED_VALUE"""),"theisda01")</f>
        <v>theisda01</v>
      </c>
      <c r="B2457" s="161" t="str">
        <f>IFERROR(__xludf.DUMMYFUNCTION("""COMPUTED_VALUE"""),"Daniel Theis")</f>
        <v>Daniel Theis</v>
      </c>
      <c r="C2457" s="162" t="str">
        <f>IFERROR(__xludf.DUMMYFUNCTION("""COMPUTED_VALUE"""),"2017-18")</f>
        <v>2017-18</v>
      </c>
      <c r="D2457" s="163" t="str">
        <f>IFERROR(__xludf.DUMMYFUNCTION("""COMPUTED_VALUE"""),"BOS")</f>
        <v>BOS</v>
      </c>
      <c r="E2457" s="164" t="str">
        <f>IFERROR(__xludf.DUMMYFUNCTION("""COMPUTED_VALUE"""),"Roll + Cut Big")</f>
        <v>Roll + Cut Big</v>
      </c>
      <c r="F2457" s="164">
        <f>IFERROR(__xludf.DUMMYFUNCTION("""COMPUTED_VALUE"""),935.63)</f>
        <v>935.63</v>
      </c>
      <c r="G2457" s="163">
        <f>IFERROR(__xludf.DUMMYFUNCTION("""COMPUTED_VALUE"""),63.0)</f>
        <v>63</v>
      </c>
      <c r="H2457" s="163" t="str">
        <f>IFERROR(__xludf.DUMMYFUNCTION("""COMPUTED_VALUE"""),"C")</f>
        <v>C</v>
      </c>
      <c r="I2457" s="163">
        <f>IFERROR(__xludf.DUMMYFUNCTION("""COMPUTED_VALUE"""),25.0)</f>
        <v>25</v>
      </c>
      <c r="J2457" s="165">
        <f>IFERROR(__xludf.DUMMYFUNCTION("""COMPUTED_VALUE"""),0.203327389081737)</f>
        <v>0.2033273891</v>
      </c>
      <c r="K2457" s="165">
        <f>IFERROR(__xludf.DUMMYFUNCTION("""COMPUTED_VALUE"""),-1.25470628757508)</f>
        <v>-1.254706288</v>
      </c>
      <c r="L2457" s="165">
        <f>IFERROR(__xludf.DUMMYFUNCTION("""COMPUTED_VALUE"""),1.45803367665682)</f>
        <v>1.458033677</v>
      </c>
      <c r="M2457" s="166">
        <f t="shared" si="2"/>
        <v>1.570679552</v>
      </c>
      <c r="N2457" s="167">
        <f t="shared" si="3"/>
        <v>14.85126984</v>
      </c>
      <c r="O2457" s="163">
        <f t="shared" ref="O2457:Q2457" si="2461">rank(I2457,I:I)</f>
        <v>1995</v>
      </c>
      <c r="P2457" s="163">
        <f t="shared" si="2461"/>
        <v>1089</v>
      </c>
      <c r="Q2457" s="163">
        <f t="shared" si="2461"/>
        <v>3090</v>
      </c>
      <c r="R2457" s="163">
        <f>IFERROR(__xludf.DUMMYFUNCTION("RANK(M2457,filter(M:M,C:C=C2457))"),185.0)</f>
        <v>185</v>
      </c>
      <c r="S2457" s="161" t="b">
        <f t="shared" si="5"/>
        <v>0</v>
      </c>
      <c r="T2457" s="161" t="b">
        <f t="array" ref="T2457">index('Query Tool'!B:B,match(H2457,'Query Tool'!C:C,0))</f>
        <v>1</v>
      </c>
      <c r="U2457" s="161" t="b">
        <f t="array" ref="U2457">index('Query Tool'!B:B,match(C2457,'Query Tool'!C:C,0))</f>
        <v>0</v>
      </c>
      <c r="V2457" s="161" t="b">
        <f>F2457&gt;='Query Tool'!C$32</f>
        <v>1</v>
      </c>
      <c r="W2457" s="161" t="b">
        <f t="array" ref="W2457">index(Dropdowns!B:B,match(I2457,Dropdowns!A:A,0))</f>
        <v>1</v>
      </c>
      <c r="X2457" s="161" t="b">
        <f t="array" ref="X2457">index('Query Tool'!B:B,match(D2457,'Query Tool'!C:C,0))</f>
        <v>1</v>
      </c>
      <c r="Y2457" s="161" t="str">
        <f t="shared" si="6"/>
        <v>theisda01,2017-18</v>
      </c>
      <c r="Z2457" s="168">
        <f t="array" ref="Z2457">iferror(index(I:I,match($A2457&amp;","&amp;index('Year Conversion'!$A:$A,match($C2457,'Year Conversion'!$B:$B,0)),$Y:$Y,0))-I2457,"")</f>
        <v>1</v>
      </c>
      <c r="AA2457" s="168">
        <f t="array" ref="AA2457">iferror(index(J:J,match($A2457&amp;","&amp;index('Year Conversion'!$A:$A,match($C2457,'Year Conversion'!$B:$B,0)),$Y:$Y,0))-J2457,"")</f>
        <v>-0.1140826078</v>
      </c>
      <c r="AB2457" s="168">
        <f t="array" ref="AB2457">iferror(index(K:K,match($A2457&amp;","&amp;index('Year Conversion'!$A:$A,match($C2457,'Year Conversion'!$B:$B,0)),$Y:$Y,0))-K2457,"")</f>
        <v>1.043718356</v>
      </c>
      <c r="AC2457" s="168" t="str">
        <f t="shared" si="7"/>
        <v>BOS,2017-18</v>
      </c>
    </row>
    <row r="2458">
      <c r="A2458" s="161" t="str">
        <f>IFERROR(__xludf.DUMMYFUNCTION("""COMPUTED_VALUE"""),"klebima01")</f>
        <v>klebima01</v>
      </c>
      <c r="B2458" s="161" t="str">
        <f>IFERROR(__xludf.DUMMYFUNCTION("""COMPUTED_VALUE"""),"Maxi Kleber")</f>
        <v>Maxi Kleber</v>
      </c>
      <c r="C2458" s="162" t="str">
        <f>IFERROR(__xludf.DUMMYFUNCTION("""COMPUTED_VALUE"""),"2017-18")</f>
        <v>2017-18</v>
      </c>
      <c r="D2458" s="163" t="str">
        <f>IFERROR(__xludf.DUMMYFUNCTION("""COMPUTED_VALUE"""),"DAL")</f>
        <v>DAL</v>
      </c>
      <c r="E2458" s="164" t="str">
        <f>IFERROR(__xludf.DUMMYFUNCTION("""COMPUTED_VALUE"""),"Stretch Big")</f>
        <v>Stretch Big</v>
      </c>
      <c r="F2458" s="164">
        <f>IFERROR(__xludf.DUMMYFUNCTION("""COMPUTED_VALUE"""),1206.10833333333)</f>
        <v>1206.108333</v>
      </c>
      <c r="G2458" s="163">
        <f>IFERROR(__xludf.DUMMYFUNCTION("""COMPUTED_VALUE"""),72.0)</f>
        <v>72</v>
      </c>
      <c r="H2458" s="163" t="str">
        <f>IFERROR(__xludf.DUMMYFUNCTION("""COMPUTED_VALUE"""),"PF")</f>
        <v>PF</v>
      </c>
      <c r="I2458" s="163">
        <f>IFERROR(__xludf.DUMMYFUNCTION("""COMPUTED_VALUE"""),26.0)</f>
        <v>26</v>
      </c>
      <c r="J2458" s="165">
        <f>IFERROR(__xludf.DUMMYFUNCTION("""COMPUTED_VALUE"""),-0.743455894567007)</f>
        <v>-0.7434558946</v>
      </c>
      <c r="K2458" s="165">
        <f>IFERROR(__xludf.DUMMYFUNCTION("""COMPUTED_VALUE"""),-1.3613843372323)</f>
        <v>-1.361384337</v>
      </c>
      <c r="L2458" s="165">
        <f>IFERROR(__xludf.DUMMYFUNCTION("""COMPUTED_VALUE"""),0.617928442665295)</f>
        <v>0.6179284427</v>
      </c>
      <c r="M2458" s="166">
        <f t="shared" si="2"/>
        <v>1.255342621</v>
      </c>
      <c r="N2458" s="167">
        <f t="shared" si="3"/>
        <v>16.75150463</v>
      </c>
      <c r="O2458" s="163">
        <f t="shared" ref="O2458:Q2458" si="2462">rank(I2458,I:I)</f>
        <v>1665</v>
      </c>
      <c r="P2458" s="163">
        <f t="shared" si="2462"/>
        <v>2207</v>
      </c>
      <c r="Q2458" s="163">
        <f t="shared" si="2462"/>
        <v>3215</v>
      </c>
      <c r="R2458" s="163">
        <f>IFERROR(__xludf.DUMMYFUNCTION("RANK(M2458,filter(M:M,C:C=C2458))"),214.0)</f>
        <v>214</v>
      </c>
      <c r="S2458" s="161" t="b">
        <f t="shared" si="5"/>
        <v>0</v>
      </c>
      <c r="T2458" s="161" t="b">
        <f t="array" ref="T2458">index('Query Tool'!B:B,match(H2458,'Query Tool'!C:C,0))</f>
        <v>1</v>
      </c>
      <c r="U2458" s="161" t="b">
        <f t="array" ref="U2458">index('Query Tool'!B:B,match(C2458,'Query Tool'!C:C,0))</f>
        <v>0</v>
      </c>
      <c r="V2458" s="161" t="b">
        <f>F2458&gt;='Query Tool'!C$32</f>
        <v>1</v>
      </c>
      <c r="W2458" s="161" t="b">
        <f t="array" ref="W2458">index(Dropdowns!B:B,match(I2458,Dropdowns!A:A,0))</f>
        <v>1</v>
      </c>
      <c r="X2458" s="161" t="b">
        <f t="array" ref="X2458">index('Query Tool'!B:B,match(D2458,'Query Tool'!C:C,0))</f>
        <v>1</v>
      </c>
      <c r="Y2458" s="161" t="str">
        <f t="shared" si="6"/>
        <v>klebima01,2017-18</v>
      </c>
      <c r="Z2458" s="168">
        <f t="array" ref="Z2458">iferror(index(I:I,match($A2458&amp;","&amp;index('Year Conversion'!$A:$A,match($C2458,'Year Conversion'!$B:$B,0)),$Y:$Y,0))-I2458,"")</f>
        <v>1</v>
      </c>
      <c r="AA2458" s="168">
        <f t="array" ref="AA2458">iferror(index(J:J,match($A2458&amp;","&amp;index('Year Conversion'!$A:$A,match($C2458,'Year Conversion'!$B:$B,0)),$Y:$Y,0))-J2458,"")</f>
        <v>1.758501905</v>
      </c>
      <c r="AB2458" s="168">
        <f t="array" ref="AB2458">iferror(index(K:K,match($A2458&amp;","&amp;index('Year Conversion'!$A:$A,match($C2458,'Year Conversion'!$B:$B,0)),$Y:$Y,0))-K2458,"")</f>
        <v>0.9299914914</v>
      </c>
      <c r="AC2458" s="168" t="str">
        <f t="shared" si="7"/>
        <v>DAL,2017-18</v>
      </c>
    </row>
    <row r="2459">
      <c r="A2459" s="161" t="str">
        <f>IFERROR(__xludf.DUMMYFUNCTION("""COMPUTED_VALUE"""),"blakean01")</f>
        <v>blakean01</v>
      </c>
      <c r="B2459" s="161" t="str">
        <f>IFERROR(__xludf.DUMMYFUNCTION("""COMPUTED_VALUE"""),"Antonio Blakeney")</f>
        <v>Antonio Blakeney</v>
      </c>
      <c r="C2459" s="162" t="str">
        <f>IFERROR(__xludf.DUMMYFUNCTION("""COMPUTED_VALUE"""),"2017-18")</f>
        <v>2017-18</v>
      </c>
      <c r="D2459" s="163" t="str">
        <f>IFERROR(__xludf.DUMMYFUNCTION("""COMPUTED_VALUE"""),"CHI")</f>
        <v>CHI</v>
      </c>
      <c r="E2459" s="164" t="str">
        <f>IFERROR(__xludf.DUMMYFUNCTION("""COMPUTED_VALUE"""),"Secondary Ball Handler")</f>
        <v>Secondary Ball Handler</v>
      </c>
      <c r="F2459" s="164">
        <f>IFERROR(__xludf.DUMMYFUNCTION("""COMPUTED_VALUE"""),313.9)</f>
        <v>313.9</v>
      </c>
      <c r="G2459" s="163">
        <f>IFERROR(__xludf.DUMMYFUNCTION("""COMPUTED_VALUE"""),19.0)</f>
        <v>19</v>
      </c>
      <c r="H2459" s="163" t="str">
        <f>IFERROR(__xludf.DUMMYFUNCTION("""COMPUTED_VALUE"""),"SG")</f>
        <v>SG</v>
      </c>
      <c r="I2459" s="163">
        <f>IFERROR(__xludf.DUMMYFUNCTION("""COMPUTED_VALUE"""),21.0)</f>
        <v>21</v>
      </c>
      <c r="J2459" s="165">
        <f>IFERROR(__xludf.DUMMYFUNCTION("""COMPUTED_VALUE"""),-0.763252477182609)</f>
        <v>-0.7632524772</v>
      </c>
      <c r="K2459" s="165">
        <f>IFERROR(__xludf.DUMMYFUNCTION("""COMPUTED_VALUE"""),0.178796629233754)</f>
        <v>0.1787966292</v>
      </c>
      <c r="L2459" s="165">
        <f>IFERROR(__xludf.DUMMYFUNCTION("""COMPUTED_VALUE"""),-0.942049106416363)</f>
        <v>-0.9420491064</v>
      </c>
      <c r="M2459" s="166">
        <f t="shared" si="2"/>
        <v>0.3225340235</v>
      </c>
      <c r="N2459" s="167">
        <f t="shared" si="3"/>
        <v>16.52105263</v>
      </c>
      <c r="O2459" s="163">
        <f t="shared" ref="O2459:Q2459" si="2463">rank(I2459,I:I)</f>
        <v>3528</v>
      </c>
      <c r="P2459" s="163">
        <f t="shared" si="2463"/>
        <v>2230</v>
      </c>
      <c r="Q2459" s="163">
        <f t="shared" si="2463"/>
        <v>1002</v>
      </c>
      <c r="R2459" s="163">
        <f>IFERROR(__xludf.DUMMYFUNCTION("RANK(M2459,filter(M:M,C:C=C2459))"),317.0)</f>
        <v>317</v>
      </c>
      <c r="S2459" s="161" t="b">
        <f t="shared" si="5"/>
        <v>0</v>
      </c>
      <c r="T2459" s="161" t="b">
        <f t="array" ref="T2459">index('Query Tool'!B:B,match(H2459,'Query Tool'!C:C,0))</f>
        <v>1</v>
      </c>
      <c r="U2459" s="161" t="b">
        <f t="array" ref="U2459">index('Query Tool'!B:B,match(C2459,'Query Tool'!C:C,0))</f>
        <v>0</v>
      </c>
      <c r="V2459" s="161" t="b">
        <f>F2459&gt;='Query Tool'!C$32</f>
        <v>0</v>
      </c>
      <c r="W2459" s="161" t="b">
        <f t="array" ref="W2459">index(Dropdowns!B:B,match(I2459,Dropdowns!A:A,0))</f>
        <v>1</v>
      </c>
      <c r="X2459" s="161" t="b">
        <f t="array" ref="X2459">index('Query Tool'!B:B,match(D2459,'Query Tool'!C:C,0))</f>
        <v>1</v>
      </c>
      <c r="Y2459" s="161" t="str">
        <f t="shared" si="6"/>
        <v>blakean01,2017-18</v>
      </c>
      <c r="Z2459" s="168">
        <f t="array" ref="Z2459">iferror(index(I:I,match($A2459&amp;","&amp;index('Year Conversion'!$A:$A,match($C2459,'Year Conversion'!$B:$B,0)),$Y:$Y,0))-I2459,"")</f>
        <v>1</v>
      </c>
      <c r="AA2459" s="168">
        <f t="array" ref="AA2459">iferror(index(J:J,match($A2459&amp;","&amp;index('Year Conversion'!$A:$A,match($C2459,'Year Conversion'!$B:$B,0)),$Y:$Y,0))-J2459,"")</f>
        <v>-2.638609907</v>
      </c>
      <c r="AB2459" s="168">
        <f t="array" ref="AB2459">iferror(index(K:K,match($A2459&amp;","&amp;index('Year Conversion'!$A:$A,match($C2459,'Year Conversion'!$B:$B,0)),$Y:$Y,0))-K2459,"")</f>
        <v>-1.943349489</v>
      </c>
      <c r="AC2459" s="168" t="str">
        <f t="shared" si="7"/>
        <v>CHI,2017-18</v>
      </c>
    </row>
    <row r="2460">
      <c r="A2460" s="161" t="str">
        <f>IFERROR(__xludf.DUMMYFUNCTION("""COMPUTED_VALUE"""),"craigto01")</f>
        <v>craigto01</v>
      </c>
      <c r="B2460" s="161" t="str">
        <f>IFERROR(__xludf.DUMMYFUNCTION("""COMPUTED_VALUE"""),"Torrey Craig")</f>
        <v>Torrey Craig</v>
      </c>
      <c r="C2460" s="162" t="str">
        <f>IFERROR(__xludf.DUMMYFUNCTION("""COMPUTED_VALUE"""),"2017-18")</f>
        <v>2017-18</v>
      </c>
      <c r="D2460" s="163" t="str">
        <f>IFERROR(__xludf.DUMMYFUNCTION("""COMPUTED_VALUE"""),"DEN")</f>
        <v>DEN</v>
      </c>
      <c r="E2460" s="164" t="str">
        <f>IFERROR(__xludf.DUMMYFUNCTION("""COMPUTED_VALUE"""),"Athletic Finisher")</f>
        <v>Athletic Finisher</v>
      </c>
      <c r="F2460" s="164">
        <f>IFERROR(__xludf.DUMMYFUNCTION("""COMPUTED_VALUE"""),628.881666666667)</f>
        <v>628.8816667</v>
      </c>
      <c r="G2460" s="163">
        <f>IFERROR(__xludf.DUMMYFUNCTION("""COMPUTED_VALUE"""),39.0)</f>
        <v>39</v>
      </c>
      <c r="H2460" s="163" t="str">
        <f>IFERROR(__xludf.DUMMYFUNCTION("""COMPUTED_VALUE"""),"SF")</f>
        <v>SF</v>
      </c>
      <c r="I2460" s="163">
        <f>IFERROR(__xludf.DUMMYFUNCTION("""COMPUTED_VALUE"""),27.0)</f>
        <v>27</v>
      </c>
      <c r="J2460" s="165">
        <f>IFERROR(__xludf.DUMMYFUNCTION("""COMPUTED_VALUE"""),-1.50903090245818)</f>
        <v>-1.509030902</v>
      </c>
      <c r="K2460" s="165">
        <f>IFERROR(__xludf.DUMMYFUNCTION("""COMPUTED_VALUE"""),-1.27140105959967)</f>
        <v>-1.27140106</v>
      </c>
      <c r="L2460" s="165">
        <f>IFERROR(__xludf.DUMMYFUNCTION("""COMPUTED_VALUE"""),-0.237629842858515)</f>
        <v>-0.2376298429</v>
      </c>
      <c r="M2460" s="166">
        <f t="shared" si="2"/>
        <v>0.3317348406</v>
      </c>
      <c r="N2460" s="167">
        <f t="shared" si="3"/>
        <v>16.12517094</v>
      </c>
      <c r="O2460" s="163">
        <f t="shared" ref="O2460:Q2460" si="2464">rank(I2460,I:I)</f>
        <v>1366</v>
      </c>
      <c r="P2460" s="163">
        <f t="shared" si="2464"/>
        <v>3066</v>
      </c>
      <c r="Q2460" s="163">
        <f t="shared" si="2464"/>
        <v>3111</v>
      </c>
      <c r="R2460" s="163">
        <f>IFERROR(__xludf.DUMMYFUNCTION("RANK(M2460,filter(M:M,C:C=C2460))"),315.0)</f>
        <v>315</v>
      </c>
      <c r="S2460" s="161" t="b">
        <f t="shared" si="5"/>
        <v>0</v>
      </c>
      <c r="T2460" s="161" t="b">
        <f t="array" ref="T2460">index('Query Tool'!B:B,match(H2460,'Query Tool'!C:C,0))</f>
        <v>1</v>
      </c>
      <c r="U2460" s="161" t="b">
        <f t="array" ref="U2460">index('Query Tool'!B:B,match(C2460,'Query Tool'!C:C,0))</f>
        <v>0</v>
      </c>
      <c r="V2460" s="161" t="b">
        <f>F2460&gt;='Query Tool'!C$32</f>
        <v>1</v>
      </c>
      <c r="W2460" s="161" t="b">
        <f t="array" ref="W2460">index(Dropdowns!B:B,match(I2460,Dropdowns!A:A,0))</f>
        <v>1</v>
      </c>
      <c r="X2460" s="161" t="b">
        <f t="array" ref="X2460">index('Query Tool'!B:B,match(D2460,'Query Tool'!C:C,0))</f>
        <v>1</v>
      </c>
      <c r="Y2460" s="161" t="str">
        <f t="shared" si="6"/>
        <v>craigto01,2017-18</v>
      </c>
      <c r="Z2460" s="168">
        <f t="array" ref="Z2460">iferror(index(I:I,match($A2460&amp;","&amp;index('Year Conversion'!$A:$A,match($C2460,'Year Conversion'!$B:$B,0)),$Y:$Y,0))-I2460,"")</f>
        <v>1</v>
      </c>
      <c r="AA2460" s="168">
        <f t="array" ref="AA2460">iferror(index(J:J,match($A2460&amp;","&amp;index('Year Conversion'!$A:$A,match($C2460,'Year Conversion'!$B:$B,0)),$Y:$Y,0))-J2460,"")</f>
        <v>0.9779113058</v>
      </c>
      <c r="AB2460" s="168">
        <f t="array" ref="AB2460">iferror(index(K:K,match($A2460&amp;","&amp;index('Year Conversion'!$A:$A,match($C2460,'Year Conversion'!$B:$B,0)),$Y:$Y,0))-K2460,"")</f>
        <v>0.8184014233</v>
      </c>
      <c r="AC2460" s="168" t="str">
        <f t="shared" si="7"/>
        <v>DEN,2017-18</v>
      </c>
    </row>
    <row r="2461">
      <c r="A2461" s="161" t="str">
        <f>IFERROR(__xludf.DUMMYFUNCTION("""COMPUTED_VALUE"""),"willima05")</f>
        <v>willima05</v>
      </c>
      <c r="B2461" s="161" t="str">
        <f>IFERROR(__xludf.DUMMYFUNCTION("""COMPUTED_VALUE"""),"Matt Williams Jr.")</f>
        <v>Matt Williams Jr.</v>
      </c>
      <c r="C2461" s="162" t="str">
        <f>IFERROR(__xludf.DUMMYFUNCTION("""COMPUTED_VALUE"""),"2017-18")</f>
        <v>2017-18</v>
      </c>
      <c r="D2461" s="163" t="str">
        <f>IFERROR(__xludf.DUMMYFUNCTION("""COMPUTED_VALUE"""),"MIA")</f>
        <v>MIA</v>
      </c>
      <c r="E2461" s="164" t="str">
        <f>IFERROR(__xludf.DUMMYFUNCTION("""COMPUTED_VALUE"""),"Off Screen Shooter")</f>
        <v>Off Screen Shooter</v>
      </c>
      <c r="F2461" s="164">
        <f>IFERROR(__xludf.DUMMYFUNCTION("""COMPUTED_VALUE"""),11.4)</f>
        <v>11.4</v>
      </c>
      <c r="G2461" s="163">
        <f>IFERROR(__xludf.DUMMYFUNCTION("""COMPUTED_VALUE"""),3.0)</f>
        <v>3</v>
      </c>
      <c r="H2461" s="163" t="str">
        <f>IFERROR(__xludf.DUMMYFUNCTION("""COMPUTED_VALUE"""),"SG")</f>
        <v>SG</v>
      </c>
      <c r="I2461" s="163">
        <f>IFERROR(__xludf.DUMMYFUNCTION("""COMPUTED_VALUE"""),24.0)</f>
        <v>24</v>
      </c>
      <c r="J2461" s="165">
        <f>IFERROR(__xludf.DUMMYFUNCTION("""COMPUTED_VALUE"""),-0.218244942140389)</f>
        <v>-0.2182449421</v>
      </c>
      <c r="K2461" s="165">
        <f>IFERROR(__xludf.DUMMYFUNCTION("""COMPUTED_VALUE"""),-0.0462935479298747)</f>
        <v>-0.04629354793</v>
      </c>
      <c r="L2461" s="165">
        <f>IFERROR(__xludf.DUMMYFUNCTION("""COMPUTED_VALUE"""),-0.171951394210514)</f>
        <v>-0.1719513942</v>
      </c>
      <c r="M2461" s="166">
        <f t="shared" si="2"/>
        <v>0.01589773188</v>
      </c>
      <c r="N2461" s="167">
        <f t="shared" si="3"/>
        <v>3.8</v>
      </c>
      <c r="O2461" s="163">
        <f t="shared" ref="O2461:Q2461" si="2465">rank(I2461,I:I)</f>
        <v>2361</v>
      </c>
      <c r="P2461" s="163">
        <f t="shared" si="2465"/>
        <v>1522</v>
      </c>
      <c r="Q2461" s="163">
        <f t="shared" si="2465"/>
        <v>1266</v>
      </c>
      <c r="R2461" s="163">
        <f>IFERROR(__xludf.DUMMYFUNCTION("RANK(M2461,filter(M:M,C:C=C2461))"),466.0)</f>
        <v>466</v>
      </c>
      <c r="S2461" s="161" t="b">
        <f t="shared" si="5"/>
        <v>0</v>
      </c>
      <c r="T2461" s="161" t="b">
        <f t="array" ref="T2461">index('Query Tool'!B:B,match(H2461,'Query Tool'!C:C,0))</f>
        <v>1</v>
      </c>
      <c r="U2461" s="161" t="b">
        <f t="array" ref="U2461">index('Query Tool'!B:B,match(C2461,'Query Tool'!C:C,0))</f>
        <v>0</v>
      </c>
      <c r="V2461" s="161" t="b">
        <f>F2461&gt;='Query Tool'!C$32</f>
        <v>0</v>
      </c>
      <c r="W2461" s="161" t="b">
        <f t="array" ref="W2461">index(Dropdowns!B:B,match(I2461,Dropdowns!A:A,0))</f>
        <v>1</v>
      </c>
      <c r="X2461" s="161" t="b">
        <f t="array" ref="X2461">index('Query Tool'!B:B,match(D2461,'Query Tool'!C:C,0))</f>
        <v>1</v>
      </c>
      <c r="Y2461" s="161" t="str">
        <f t="shared" si="6"/>
        <v>willima05,2017-18</v>
      </c>
      <c r="Z2461" s="168" t="str">
        <f t="array" ref="Z2461">iferror(index(I:I,match($A2461&amp;","&amp;index('Year Conversion'!$A:$A,match($C2461,'Year Conversion'!$B:$B,0)),$Y:$Y,0))-I2461,"")</f>
        <v/>
      </c>
      <c r="AA2461" s="168" t="str">
        <f t="array" ref="AA2461">iferror(index(J:J,match($A2461&amp;","&amp;index('Year Conversion'!$A:$A,match($C2461,'Year Conversion'!$B:$B,0)),$Y:$Y,0))-J2461,"")</f>
        <v/>
      </c>
      <c r="AB2461" s="168" t="str">
        <f t="array" ref="AB2461">iferror(index(K:K,match($A2461&amp;","&amp;index('Year Conversion'!$A:$A,match($C2461,'Year Conversion'!$B:$B,0)),$Y:$Y,0))-K2461,"")</f>
        <v/>
      </c>
      <c r="AC2461" s="168" t="str">
        <f t="shared" si="7"/>
        <v>MIA,2017-18</v>
      </c>
    </row>
    <row r="2462">
      <c r="A2462" s="161" t="str">
        <f>IFERROR(__xludf.DUMMYFUNCTION("""COMPUTED_VALUE"""),"waltode01")</f>
        <v>waltode01</v>
      </c>
      <c r="B2462" s="161" t="str">
        <f>IFERROR(__xludf.DUMMYFUNCTION("""COMPUTED_VALUE"""),"Derrick Walton Jr.")</f>
        <v>Derrick Walton Jr.</v>
      </c>
      <c r="C2462" s="162" t="str">
        <f>IFERROR(__xludf.DUMMYFUNCTION("""COMPUTED_VALUE"""),"2017-18")</f>
        <v>2017-18</v>
      </c>
      <c r="D2462" s="163" t="str">
        <f>IFERROR(__xludf.DUMMYFUNCTION("""COMPUTED_VALUE"""),"MIA")</f>
        <v>MIA</v>
      </c>
      <c r="E2462" s="164" t="str">
        <f>IFERROR(__xludf.DUMMYFUNCTION("""COMPUTED_VALUE"""),"Secondary Ball Handler")</f>
        <v>Secondary Ball Handler</v>
      </c>
      <c r="F2462" s="164">
        <f>IFERROR(__xludf.DUMMYFUNCTION("""COMPUTED_VALUE"""),147.213333333333)</f>
        <v>147.2133333</v>
      </c>
      <c r="G2462" s="163">
        <f>IFERROR(__xludf.DUMMYFUNCTION("""COMPUTED_VALUE"""),16.0)</f>
        <v>16</v>
      </c>
      <c r="H2462" s="163" t="str">
        <f>IFERROR(__xludf.DUMMYFUNCTION("""COMPUTED_VALUE"""),"PG")</f>
        <v>PG</v>
      </c>
      <c r="I2462" s="163">
        <f>IFERROR(__xludf.DUMMYFUNCTION("""COMPUTED_VALUE"""),22.0)</f>
        <v>22</v>
      </c>
      <c r="J2462" s="165">
        <f>IFERROR(__xludf.DUMMYFUNCTION("""COMPUTED_VALUE"""),-0.683826367895256)</f>
        <v>-0.6838263679</v>
      </c>
      <c r="K2462" s="165">
        <f>IFERROR(__xludf.DUMMYFUNCTION("""COMPUTED_VALUE"""),-0.696074524787269)</f>
        <v>-0.6960745248</v>
      </c>
      <c r="L2462" s="165">
        <f>IFERROR(__xludf.DUMMYFUNCTION("""COMPUTED_VALUE"""),0.0122481568920132)</f>
        <v>0.01224815689</v>
      </c>
      <c r="M2462" s="166">
        <f t="shared" si="2"/>
        <v>0.1591283607</v>
      </c>
      <c r="N2462" s="167">
        <f t="shared" si="3"/>
        <v>9.200833333</v>
      </c>
      <c r="O2462" s="163">
        <f t="shared" ref="O2462:Q2462" si="2466">rank(I2462,I:I)</f>
        <v>3178</v>
      </c>
      <c r="P2462" s="163">
        <f t="shared" si="2466"/>
        <v>2117</v>
      </c>
      <c r="Q2462" s="163">
        <f t="shared" si="2466"/>
        <v>2408</v>
      </c>
      <c r="R2462" s="163">
        <f>IFERROR(__xludf.DUMMYFUNCTION("RANK(M2462,filter(M:M,C:C=C2462))"),359.0)</f>
        <v>359</v>
      </c>
      <c r="S2462" s="161" t="b">
        <f t="shared" si="5"/>
        <v>0</v>
      </c>
      <c r="T2462" s="161" t="b">
        <f t="array" ref="T2462">index('Query Tool'!B:B,match(H2462,'Query Tool'!C:C,0))</f>
        <v>1</v>
      </c>
      <c r="U2462" s="161" t="b">
        <f t="array" ref="U2462">index('Query Tool'!B:B,match(C2462,'Query Tool'!C:C,0))</f>
        <v>0</v>
      </c>
      <c r="V2462" s="161" t="b">
        <f>F2462&gt;='Query Tool'!C$32</f>
        <v>0</v>
      </c>
      <c r="W2462" s="161" t="b">
        <f t="array" ref="W2462">index(Dropdowns!B:B,match(I2462,Dropdowns!A:A,0))</f>
        <v>1</v>
      </c>
      <c r="X2462" s="161" t="b">
        <f t="array" ref="X2462">index('Query Tool'!B:B,match(D2462,'Query Tool'!C:C,0))</f>
        <v>1</v>
      </c>
      <c r="Y2462" s="161" t="str">
        <f t="shared" si="6"/>
        <v>waltode01,2017-18</v>
      </c>
      <c r="Z2462" s="168" t="str">
        <f t="array" ref="Z2462">iferror(index(I:I,match($A2462&amp;","&amp;index('Year Conversion'!$A:$A,match($C2462,'Year Conversion'!$B:$B,0)),$Y:$Y,0))-I2462,"")</f>
        <v/>
      </c>
      <c r="AA2462" s="168" t="str">
        <f t="array" ref="AA2462">iferror(index(J:J,match($A2462&amp;","&amp;index('Year Conversion'!$A:$A,match($C2462,'Year Conversion'!$B:$B,0)),$Y:$Y,0))-J2462,"")</f>
        <v/>
      </c>
      <c r="AB2462" s="168" t="str">
        <f t="array" ref="AB2462">iferror(index(K:K,match($A2462&amp;","&amp;index('Year Conversion'!$A:$A,match($C2462,'Year Conversion'!$B:$B,0)),$Y:$Y,0))-K2462,"")</f>
        <v/>
      </c>
      <c r="AC2462" s="168" t="str">
        <f t="shared" si="7"/>
        <v>MIA,2017-18</v>
      </c>
    </row>
    <row r="2463">
      <c r="A2463" s="161" t="str">
        <f>IFERROR(__xludf.DUMMYFUNCTION("""COMPUTED_VALUE"""),"clavegi01")</f>
        <v>clavegi01</v>
      </c>
      <c r="B2463" s="161" t="str">
        <f>IFERROR(__xludf.DUMMYFUNCTION("""COMPUTED_VALUE"""),"Gian Clavell")</f>
        <v>Gian Clavell</v>
      </c>
      <c r="C2463" s="162" t="str">
        <f>IFERROR(__xludf.DUMMYFUNCTION("""COMPUTED_VALUE"""),"2017-18")</f>
        <v>2017-18</v>
      </c>
      <c r="D2463" s="163" t="str">
        <f>IFERROR(__xludf.DUMMYFUNCTION("""COMPUTED_VALUE"""),"DAL")</f>
        <v>DAL</v>
      </c>
      <c r="E2463" s="164" t="str">
        <f>IFERROR(__xludf.DUMMYFUNCTION("""COMPUTED_VALUE"""),"Off Screen Shooter")</f>
        <v>Off Screen Shooter</v>
      </c>
      <c r="F2463" s="164">
        <f>IFERROR(__xludf.DUMMYFUNCTION("""COMPUTED_VALUE"""),63.6333333333333)</f>
        <v>63.63333333</v>
      </c>
      <c r="G2463" s="163">
        <f>IFERROR(__xludf.DUMMYFUNCTION("""COMPUTED_VALUE"""),7.0)</f>
        <v>7</v>
      </c>
      <c r="H2463" s="163" t="str">
        <f>IFERROR(__xludf.DUMMYFUNCTION("""COMPUTED_VALUE"""),"SG")</f>
        <v>SG</v>
      </c>
      <c r="I2463" s="163">
        <f>IFERROR(__xludf.DUMMYFUNCTION("""COMPUTED_VALUE"""),24.0)</f>
        <v>24</v>
      </c>
      <c r="J2463" s="165">
        <f>IFERROR(__xludf.DUMMYFUNCTION("""COMPUTED_VALUE"""),-0.3433618355259)</f>
        <v>-0.3433618355</v>
      </c>
      <c r="K2463" s="165">
        <f>IFERROR(__xludf.DUMMYFUNCTION("""COMPUTED_VALUE"""),-0.318579701174065)</f>
        <v>-0.3185797012</v>
      </c>
      <c r="L2463" s="165">
        <f>IFERROR(__xludf.DUMMYFUNCTION("""COMPUTED_VALUE"""),-0.0247821343518347)</f>
        <v>-0.02478213435</v>
      </c>
      <c r="M2463" s="166">
        <f t="shared" si="2"/>
        <v>0.0833732537</v>
      </c>
      <c r="N2463" s="167">
        <f t="shared" si="3"/>
        <v>9.09047619</v>
      </c>
      <c r="O2463" s="163">
        <f t="shared" ref="O2463:Q2463" si="2467">rank(I2463,I:I)</f>
        <v>2361</v>
      </c>
      <c r="P2463" s="163">
        <f t="shared" si="2467"/>
        <v>1665</v>
      </c>
      <c r="Q2463" s="163">
        <f t="shared" si="2467"/>
        <v>1793</v>
      </c>
      <c r="R2463" s="163">
        <f>IFERROR(__xludf.DUMMYFUNCTION("RANK(M2463,filter(M:M,C:C=C2463))"),407.0)</f>
        <v>407</v>
      </c>
      <c r="S2463" s="161" t="b">
        <f t="shared" si="5"/>
        <v>0</v>
      </c>
      <c r="T2463" s="161" t="b">
        <f t="array" ref="T2463">index('Query Tool'!B:B,match(H2463,'Query Tool'!C:C,0))</f>
        <v>1</v>
      </c>
      <c r="U2463" s="161" t="b">
        <f t="array" ref="U2463">index('Query Tool'!B:B,match(C2463,'Query Tool'!C:C,0))</f>
        <v>0</v>
      </c>
      <c r="V2463" s="161" t="b">
        <f>F2463&gt;='Query Tool'!C$32</f>
        <v>0</v>
      </c>
      <c r="W2463" s="161" t="b">
        <f t="array" ref="W2463">index(Dropdowns!B:B,match(I2463,Dropdowns!A:A,0))</f>
        <v>1</v>
      </c>
      <c r="X2463" s="161" t="b">
        <f t="array" ref="X2463">index('Query Tool'!B:B,match(D2463,'Query Tool'!C:C,0))</f>
        <v>1</v>
      </c>
      <c r="Y2463" s="161" t="str">
        <f t="shared" si="6"/>
        <v>clavegi01,2017-18</v>
      </c>
      <c r="Z2463" s="168" t="str">
        <f t="array" ref="Z2463">iferror(index(I:I,match($A2463&amp;","&amp;index('Year Conversion'!$A:$A,match($C2463,'Year Conversion'!$B:$B,0)),$Y:$Y,0))-I2463,"")</f>
        <v/>
      </c>
      <c r="AA2463" s="168" t="str">
        <f t="array" ref="AA2463">iferror(index(J:J,match($A2463&amp;","&amp;index('Year Conversion'!$A:$A,match($C2463,'Year Conversion'!$B:$B,0)),$Y:$Y,0))-J2463,"")</f>
        <v/>
      </c>
      <c r="AB2463" s="168" t="str">
        <f t="array" ref="AB2463">iferror(index(K:K,match($A2463&amp;","&amp;index('Year Conversion'!$A:$A,match($C2463,'Year Conversion'!$B:$B,0)),$Y:$Y,0))-K2463,"")</f>
        <v/>
      </c>
      <c r="AC2463" s="168" t="str">
        <f t="shared" si="7"/>
        <v>DAL,2017-18</v>
      </c>
    </row>
    <row r="2464">
      <c r="A2464" s="161" t="str">
        <f>IFERROR(__xludf.DUMMYFUNCTION("""COMPUTED_VALUE"""),"mathima01")</f>
        <v>mathima01</v>
      </c>
      <c r="B2464" s="161" t="str">
        <f>IFERROR(__xludf.DUMMYFUNCTION("""COMPUTED_VALUE"""),"Mangok Mathiang")</f>
        <v>Mangok Mathiang</v>
      </c>
      <c r="C2464" s="162" t="str">
        <f>IFERROR(__xludf.DUMMYFUNCTION("""COMPUTED_VALUE"""),"2017-18")</f>
        <v>2017-18</v>
      </c>
      <c r="D2464" s="163" t="str">
        <f>IFERROR(__xludf.DUMMYFUNCTION("""COMPUTED_VALUE"""),"CHO")</f>
        <v>CHO</v>
      </c>
      <c r="E2464" s="164" t="str">
        <f>IFERROR(__xludf.DUMMYFUNCTION("""COMPUTED_VALUE"""),"Roll + Cut Big")</f>
        <v>Roll + Cut Big</v>
      </c>
      <c r="F2464" s="164">
        <f>IFERROR(__xludf.DUMMYFUNCTION("""COMPUTED_VALUE"""),19.8)</f>
        <v>19.8</v>
      </c>
      <c r="G2464" s="163">
        <f>IFERROR(__xludf.DUMMYFUNCTION("""COMPUTED_VALUE"""),4.0)</f>
        <v>4</v>
      </c>
      <c r="H2464" s="163" t="str">
        <f>IFERROR(__xludf.DUMMYFUNCTION("""COMPUTED_VALUE"""),"C")</f>
        <v>C</v>
      </c>
      <c r="I2464" s="163">
        <f>IFERROR(__xludf.DUMMYFUNCTION("""COMPUTED_VALUE"""),25.0)</f>
        <v>25</v>
      </c>
      <c r="J2464" s="165">
        <f>IFERROR(__xludf.DUMMYFUNCTION("""COMPUTED_VALUE"""),-0.0257578730967425)</f>
        <v>-0.0257578731</v>
      </c>
      <c r="K2464" s="165">
        <f>IFERROR(__xludf.DUMMYFUNCTION("""COMPUTED_VALUE"""),-0.281623289075176)</f>
        <v>-0.2816232891</v>
      </c>
      <c r="L2464" s="165">
        <f>IFERROR(__xludf.DUMMYFUNCTION("""COMPUTED_VALUE"""),0.255865415978433)</f>
        <v>0.255865416</v>
      </c>
      <c r="M2464" s="166">
        <f t="shared" si="2"/>
        <v>0.03018115954</v>
      </c>
      <c r="N2464" s="167">
        <f t="shared" si="3"/>
        <v>4.95</v>
      </c>
      <c r="O2464" s="163">
        <f t="shared" ref="O2464:Q2464" si="2468">rank(I2464,I:I)</f>
        <v>1995</v>
      </c>
      <c r="P2464" s="163">
        <f t="shared" si="2468"/>
        <v>1309</v>
      </c>
      <c r="Q2464" s="163">
        <f t="shared" si="2468"/>
        <v>1729</v>
      </c>
      <c r="R2464" s="163">
        <f>IFERROR(__xludf.DUMMYFUNCTION("RANK(M2464,filter(M:M,C:C=C2464))"),449.0)</f>
        <v>449</v>
      </c>
      <c r="S2464" s="161" t="b">
        <f t="shared" si="5"/>
        <v>0</v>
      </c>
      <c r="T2464" s="161" t="b">
        <f t="array" ref="T2464">index('Query Tool'!B:B,match(H2464,'Query Tool'!C:C,0))</f>
        <v>1</v>
      </c>
      <c r="U2464" s="161" t="b">
        <f t="array" ref="U2464">index('Query Tool'!B:B,match(C2464,'Query Tool'!C:C,0))</f>
        <v>0</v>
      </c>
      <c r="V2464" s="161" t="b">
        <f>F2464&gt;='Query Tool'!C$32</f>
        <v>0</v>
      </c>
      <c r="W2464" s="161" t="b">
        <f t="array" ref="W2464">index(Dropdowns!B:B,match(I2464,Dropdowns!A:A,0))</f>
        <v>1</v>
      </c>
      <c r="X2464" s="161" t="b">
        <f t="array" ref="X2464">index('Query Tool'!B:B,match(D2464,'Query Tool'!C:C,0))</f>
        <v>1</v>
      </c>
      <c r="Y2464" s="161" t="str">
        <f t="shared" si="6"/>
        <v>mathima01,2017-18</v>
      </c>
      <c r="Z2464" s="168" t="str">
        <f t="array" ref="Z2464">iferror(index(I:I,match($A2464&amp;","&amp;index('Year Conversion'!$A:$A,match($C2464,'Year Conversion'!$B:$B,0)),$Y:$Y,0))-I2464,"")</f>
        <v/>
      </c>
      <c r="AA2464" s="168" t="str">
        <f t="array" ref="AA2464">iferror(index(J:J,match($A2464&amp;","&amp;index('Year Conversion'!$A:$A,match($C2464,'Year Conversion'!$B:$B,0)),$Y:$Y,0))-J2464,"")</f>
        <v/>
      </c>
      <c r="AB2464" s="168" t="str">
        <f t="array" ref="AB2464">iferror(index(K:K,match($A2464&amp;","&amp;index('Year Conversion'!$A:$A,match($C2464,'Year Conversion'!$B:$B,0)),$Y:$Y,0))-K2464,"")</f>
        <v/>
      </c>
      <c r="AC2464" s="168" t="str">
        <f t="shared" si="7"/>
        <v>CHO,2017-18</v>
      </c>
    </row>
    <row r="2465">
      <c r="A2465" s="161" t="str">
        <f>IFERROR(__xludf.DUMMYFUNCTION("""COMPUTED_VALUE"""),"doylemi01")</f>
        <v>doylemi01</v>
      </c>
      <c r="B2465" s="161" t="str">
        <f>IFERROR(__xludf.DUMMYFUNCTION("""COMPUTED_VALUE"""),"Milton Doyle")</f>
        <v>Milton Doyle</v>
      </c>
      <c r="C2465" s="162" t="str">
        <f>IFERROR(__xludf.DUMMYFUNCTION("""COMPUTED_VALUE"""),"2017-18")</f>
        <v>2017-18</v>
      </c>
      <c r="D2465" s="163" t="str">
        <f>IFERROR(__xludf.DUMMYFUNCTION("""COMPUTED_VALUE"""),"BRK")</f>
        <v>BRK</v>
      </c>
      <c r="E2465" s="164" t="str">
        <f>IFERROR(__xludf.DUMMYFUNCTION("""COMPUTED_VALUE"""),"Secondary Ball Handler")</f>
        <v>Secondary Ball Handler</v>
      </c>
      <c r="F2465" s="164">
        <f>IFERROR(__xludf.DUMMYFUNCTION("""COMPUTED_VALUE"""),124.516666666667)</f>
        <v>124.5166667</v>
      </c>
      <c r="G2465" s="163">
        <f>IFERROR(__xludf.DUMMYFUNCTION("""COMPUTED_VALUE"""),10.0)</f>
        <v>10</v>
      </c>
      <c r="H2465" s="163" t="str">
        <f>IFERROR(__xludf.DUMMYFUNCTION("""COMPUTED_VALUE"""),"SG")</f>
        <v>SG</v>
      </c>
      <c r="I2465" s="163">
        <f>IFERROR(__xludf.DUMMYFUNCTION("""COMPUTED_VALUE"""),24.0)</f>
        <v>24</v>
      </c>
      <c r="J2465" s="165">
        <f>IFERROR(__xludf.DUMMYFUNCTION("""COMPUTED_VALUE"""),-0.586764866883374)</f>
        <v>-0.5867648669</v>
      </c>
      <c r="K2465" s="165">
        <f>IFERROR(__xludf.DUMMYFUNCTION("""COMPUTED_VALUE"""),-0.572916932726681)</f>
        <v>-0.5729169327</v>
      </c>
      <c r="L2465" s="165">
        <f>IFERROR(__xludf.DUMMYFUNCTION("""COMPUTED_VALUE"""),-0.0138479341566932)</f>
        <v>-0.01384793416</v>
      </c>
      <c r="M2465" s="166">
        <f t="shared" si="2"/>
        <v>0.1427290803</v>
      </c>
      <c r="N2465" s="167">
        <f t="shared" si="3"/>
        <v>12.45166667</v>
      </c>
      <c r="O2465" s="163">
        <f t="shared" ref="O2465:Q2465" si="2469">rank(I2465,I:I)</f>
        <v>2361</v>
      </c>
      <c r="P2465" s="163">
        <f t="shared" si="2469"/>
        <v>1974</v>
      </c>
      <c r="Q2465" s="163">
        <f t="shared" si="2469"/>
        <v>2218</v>
      </c>
      <c r="R2465" s="163">
        <f>IFERROR(__xludf.DUMMYFUNCTION("RANK(M2465,filter(M:M,C:C=C2465))"),367.0)</f>
        <v>367</v>
      </c>
      <c r="S2465" s="161" t="b">
        <f t="shared" si="5"/>
        <v>0</v>
      </c>
      <c r="T2465" s="161" t="b">
        <f t="array" ref="T2465">index('Query Tool'!B:B,match(H2465,'Query Tool'!C:C,0))</f>
        <v>1</v>
      </c>
      <c r="U2465" s="161" t="b">
        <f t="array" ref="U2465">index('Query Tool'!B:B,match(C2465,'Query Tool'!C:C,0))</f>
        <v>0</v>
      </c>
      <c r="V2465" s="161" t="b">
        <f>F2465&gt;='Query Tool'!C$32</f>
        <v>0</v>
      </c>
      <c r="W2465" s="161" t="b">
        <f t="array" ref="W2465">index(Dropdowns!B:B,match(I2465,Dropdowns!A:A,0))</f>
        <v>1</v>
      </c>
      <c r="X2465" s="161" t="b">
        <f t="array" ref="X2465">index('Query Tool'!B:B,match(D2465,'Query Tool'!C:C,0))</f>
        <v>1</v>
      </c>
      <c r="Y2465" s="161" t="str">
        <f t="shared" si="6"/>
        <v>doylemi01,2017-18</v>
      </c>
      <c r="Z2465" s="168" t="str">
        <f t="array" ref="Z2465">iferror(index(I:I,match($A2465&amp;","&amp;index('Year Conversion'!$A:$A,match($C2465,'Year Conversion'!$B:$B,0)),$Y:$Y,0))-I2465,"")</f>
        <v/>
      </c>
      <c r="AA2465" s="168" t="str">
        <f t="array" ref="AA2465">iferror(index(J:J,match($A2465&amp;","&amp;index('Year Conversion'!$A:$A,match($C2465,'Year Conversion'!$B:$B,0)),$Y:$Y,0))-J2465,"")</f>
        <v/>
      </c>
      <c r="AB2465" s="168" t="str">
        <f t="array" ref="AB2465">iferror(index(K:K,match($A2465&amp;","&amp;index('Year Conversion'!$A:$A,match($C2465,'Year Conversion'!$B:$B,0)),$Y:$Y,0))-K2465,"")</f>
        <v/>
      </c>
      <c r="AC2465" s="168" t="str">
        <f t="shared" si="7"/>
        <v>BRK,2017-18</v>
      </c>
    </row>
    <row r="2466">
      <c r="A2466" s="161" t="str">
        <f>IFERROR(__xludf.DUMMYFUNCTION("""COMPUTED_VALUE"""),"clevean01")</f>
        <v>clevean01</v>
      </c>
      <c r="B2466" s="161" t="str">
        <f>IFERROR(__xludf.DUMMYFUNCTION("""COMPUTED_VALUE"""),"Antonius Cleveland")</f>
        <v>Antonius Cleveland</v>
      </c>
      <c r="C2466" s="162" t="str">
        <f>IFERROR(__xludf.DUMMYFUNCTION("""COMPUTED_VALUE"""),"2017-18")</f>
        <v>2017-18</v>
      </c>
      <c r="D2466" s="163" t="str">
        <f>IFERROR(__xludf.DUMMYFUNCTION("""COMPUTED_VALUE"""),"TOT")</f>
        <v>TOT</v>
      </c>
      <c r="E2466" s="164" t="str">
        <f>IFERROR(__xludf.DUMMYFUNCTION("""COMPUTED_VALUE"""),"Slasher")</f>
        <v>Slasher</v>
      </c>
      <c r="F2466" s="164">
        <f>IFERROR(__xludf.DUMMYFUNCTION("""COMPUTED_VALUE"""),122.53)</f>
        <v>122.53</v>
      </c>
      <c r="G2466" s="163">
        <f>IFERROR(__xludf.DUMMYFUNCTION("""COMPUTED_VALUE"""),17.0)</f>
        <v>17</v>
      </c>
      <c r="H2466" s="163" t="str">
        <f>IFERROR(__xludf.DUMMYFUNCTION("""COMPUTED_VALUE"""),"SG")</f>
        <v>SG</v>
      </c>
      <c r="I2466" s="163">
        <f>IFERROR(__xludf.DUMMYFUNCTION("""COMPUTED_VALUE"""),23.0)</f>
        <v>23</v>
      </c>
      <c r="J2466" s="165">
        <f>IFERROR(__xludf.DUMMYFUNCTION("""COMPUTED_VALUE"""),-0.566201411447477)</f>
        <v>-0.5662014114</v>
      </c>
      <c r="K2466" s="165">
        <f>IFERROR(__xludf.DUMMYFUNCTION("""COMPUTED_VALUE"""),-0.898870375447035)</f>
        <v>-0.8988703754</v>
      </c>
      <c r="L2466" s="165">
        <f>IFERROR(__xludf.DUMMYFUNCTION("""COMPUTED_VALUE"""),0.332668963999558)</f>
        <v>0.332668964</v>
      </c>
      <c r="M2466" s="166">
        <f t="shared" si="2"/>
        <v>0.142148199</v>
      </c>
      <c r="N2466" s="167">
        <f t="shared" si="3"/>
        <v>7.207647059</v>
      </c>
      <c r="O2466" s="163">
        <f t="shared" ref="O2466:Q2466" si="2470">rank(I2466,I:I)</f>
        <v>2765</v>
      </c>
      <c r="P2466" s="163">
        <f t="shared" si="2470"/>
        <v>1944</v>
      </c>
      <c r="Q2466" s="163">
        <f t="shared" si="2470"/>
        <v>2687</v>
      </c>
      <c r="R2466" s="163">
        <f>IFERROR(__xludf.DUMMYFUNCTION("RANK(M2466,filter(M:M,C:C=C2466))"),369.0)</f>
        <v>369</v>
      </c>
      <c r="S2466" s="161" t="b">
        <f t="shared" si="5"/>
        <v>0</v>
      </c>
      <c r="T2466" s="161" t="b">
        <f t="array" ref="T2466">index('Query Tool'!B:B,match(H2466,'Query Tool'!C:C,0))</f>
        <v>1</v>
      </c>
      <c r="U2466" s="161" t="b">
        <f t="array" ref="U2466">index('Query Tool'!B:B,match(C2466,'Query Tool'!C:C,0))</f>
        <v>0</v>
      </c>
      <c r="V2466" s="161" t="b">
        <f>F2466&gt;='Query Tool'!C$32</f>
        <v>0</v>
      </c>
      <c r="W2466" s="161" t="b">
        <f t="array" ref="W2466">index(Dropdowns!B:B,match(I2466,Dropdowns!A:A,0))</f>
        <v>1</v>
      </c>
      <c r="X2466" s="161" t="b">
        <f t="array" ref="X2466">index('Query Tool'!B:B,match(D2466,'Query Tool'!C:C,0))</f>
        <v>1</v>
      </c>
      <c r="Y2466" s="161" t="str">
        <f t="shared" si="6"/>
        <v>clevean01,2017-18</v>
      </c>
      <c r="Z2466" s="168" t="str">
        <f t="array" ref="Z2466">iferror(index(I:I,match($A2466&amp;","&amp;index('Year Conversion'!$A:$A,match($C2466,'Year Conversion'!$B:$B,0)),$Y:$Y,0))-I2466,"")</f>
        <v/>
      </c>
      <c r="AA2466" s="168" t="str">
        <f t="array" ref="AA2466">iferror(index(J:J,match($A2466&amp;","&amp;index('Year Conversion'!$A:$A,match($C2466,'Year Conversion'!$B:$B,0)),$Y:$Y,0))-J2466,"")</f>
        <v/>
      </c>
      <c r="AB2466" s="168" t="str">
        <f t="array" ref="AB2466">iferror(index(K:K,match($A2466&amp;","&amp;index('Year Conversion'!$A:$A,match($C2466,'Year Conversion'!$B:$B,0)),$Y:$Y,0))-K2466,"")</f>
        <v/>
      </c>
      <c r="AC2466" s="168" t="str">
        <f t="shared" si="7"/>
        <v>TOT,2017-18</v>
      </c>
    </row>
    <row r="2467">
      <c r="A2467" s="161" t="str">
        <f>IFERROR(__xludf.DUMMYFUNCTION("""COMPUTED_VALUE"""),"moorebe01")</f>
        <v>moorebe01</v>
      </c>
      <c r="B2467" s="161" t="str">
        <f>IFERROR(__xludf.DUMMYFUNCTION("""COMPUTED_VALUE"""),"Ben Moore")</f>
        <v>Ben Moore</v>
      </c>
      <c r="C2467" s="162" t="str">
        <f>IFERROR(__xludf.DUMMYFUNCTION("""COMPUTED_VALUE"""),"2017-18")</f>
        <v>2017-18</v>
      </c>
      <c r="D2467" s="163" t="str">
        <f>IFERROR(__xludf.DUMMYFUNCTION("""COMPUTED_VALUE"""),"IND")</f>
        <v>IND</v>
      </c>
      <c r="E2467" s="164" t="str">
        <f>IFERROR(__xludf.DUMMYFUNCTION("""COMPUTED_VALUE"""),"Low Minutes")</f>
        <v>Low Minutes</v>
      </c>
      <c r="F2467" s="164">
        <f>IFERROR(__xludf.DUMMYFUNCTION("""COMPUTED_VALUE"""),9.28333333333333)</f>
        <v>9.283333333</v>
      </c>
      <c r="G2467" s="163">
        <f>IFERROR(__xludf.DUMMYFUNCTION("""COMPUTED_VALUE"""),2.0)</f>
        <v>2</v>
      </c>
      <c r="H2467" s="163" t="str">
        <f>IFERROR(__xludf.DUMMYFUNCTION("""COMPUTED_VALUE"""),"PF")</f>
        <v>PF</v>
      </c>
      <c r="I2467" s="163">
        <f>IFERROR(__xludf.DUMMYFUNCTION("""COMPUTED_VALUE"""),22.0)</f>
        <v>22</v>
      </c>
      <c r="J2467" s="165">
        <f>IFERROR(__xludf.DUMMYFUNCTION("""COMPUTED_VALUE"""),-0.867071274116731)</f>
        <v>-0.8670712741</v>
      </c>
      <c r="K2467" s="165">
        <f>IFERROR(__xludf.DUMMYFUNCTION("""COMPUTED_VALUE"""),-0.221011857190197)</f>
        <v>-0.2210118572</v>
      </c>
      <c r="L2467" s="165">
        <f>IFERROR(__xludf.DUMMYFUNCTION("""COMPUTED_VALUE"""),-0.646059416926534)</f>
        <v>-0.6460594169</v>
      </c>
      <c r="M2467" s="166">
        <f t="shared" si="2"/>
        <v>0.00889070226</v>
      </c>
      <c r="N2467" s="167">
        <f t="shared" si="3"/>
        <v>4.641666667</v>
      </c>
      <c r="O2467" s="163">
        <f t="shared" ref="O2467:Q2467" si="2471">rank(I2467,I:I)</f>
        <v>3178</v>
      </c>
      <c r="P2467" s="163">
        <f t="shared" si="2471"/>
        <v>2359</v>
      </c>
      <c r="Q2467" s="163">
        <f t="shared" si="2471"/>
        <v>1600</v>
      </c>
      <c r="R2467" s="163">
        <f>IFERROR(__xludf.DUMMYFUNCTION("RANK(M2467,filter(M:M,C:C=C2467))"),480.0)</f>
        <v>480</v>
      </c>
      <c r="S2467" s="161" t="b">
        <f t="shared" si="5"/>
        <v>0</v>
      </c>
      <c r="T2467" s="161" t="b">
        <f t="array" ref="T2467">index('Query Tool'!B:B,match(H2467,'Query Tool'!C:C,0))</f>
        <v>1</v>
      </c>
      <c r="U2467" s="161" t="b">
        <f t="array" ref="U2467">index('Query Tool'!B:B,match(C2467,'Query Tool'!C:C,0))</f>
        <v>0</v>
      </c>
      <c r="V2467" s="161" t="b">
        <f>F2467&gt;='Query Tool'!C$32</f>
        <v>0</v>
      </c>
      <c r="W2467" s="161" t="b">
        <f t="array" ref="W2467">index(Dropdowns!B:B,match(I2467,Dropdowns!A:A,0))</f>
        <v>1</v>
      </c>
      <c r="X2467" s="161" t="b">
        <f t="array" ref="X2467">index('Query Tool'!B:B,match(D2467,'Query Tool'!C:C,0))</f>
        <v>1</v>
      </c>
      <c r="Y2467" s="161" t="str">
        <f t="shared" si="6"/>
        <v>moorebe01,2017-18</v>
      </c>
      <c r="Z2467" s="168" t="str">
        <f t="array" ref="Z2467">iferror(index(I:I,match($A2467&amp;","&amp;index('Year Conversion'!$A:$A,match($C2467,'Year Conversion'!$B:$B,0)),$Y:$Y,0))-I2467,"")</f>
        <v/>
      </c>
      <c r="AA2467" s="168" t="str">
        <f t="array" ref="AA2467">iferror(index(J:J,match($A2467&amp;","&amp;index('Year Conversion'!$A:$A,match($C2467,'Year Conversion'!$B:$B,0)),$Y:$Y,0))-J2467,"")</f>
        <v/>
      </c>
      <c r="AB2467" s="168" t="str">
        <f t="array" ref="AB2467">iferror(index(K:K,match($A2467&amp;","&amp;index('Year Conversion'!$A:$A,match($C2467,'Year Conversion'!$B:$B,0)),$Y:$Y,0))-K2467,"")</f>
        <v/>
      </c>
      <c r="AC2467" s="168" t="str">
        <f t="shared" si="7"/>
        <v>IND,2017-18</v>
      </c>
    </row>
    <row r="2468">
      <c r="A2468" s="161" t="str">
        <f>IFERROR(__xludf.DUMMYFUNCTION("""COMPUTED_VALUE"""),"hayesni01")</f>
        <v>hayesni01</v>
      </c>
      <c r="B2468" s="161" t="str">
        <f>IFERROR(__xludf.DUMMYFUNCTION("""COMPUTED_VALUE"""),"Nigel Hayes")</f>
        <v>Nigel Hayes</v>
      </c>
      <c r="C2468" s="162" t="str">
        <f>IFERROR(__xludf.DUMMYFUNCTION("""COMPUTED_VALUE"""),"2017-18")</f>
        <v>2017-18</v>
      </c>
      <c r="D2468" s="163" t="str">
        <f>IFERROR(__xludf.DUMMYFUNCTION("""COMPUTED_VALUE"""),"TOT")</f>
        <v>TOT</v>
      </c>
      <c r="E2468" s="164" t="str">
        <f>IFERROR(__xludf.DUMMYFUNCTION("""COMPUTED_VALUE"""),"Stationary Shooter")</f>
        <v>Stationary Shooter</v>
      </c>
      <c r="F2468" s="164">
        <f>IFERROR(__xludf.DUMMYFUNCTION("""COMPUTED_VALUE"""),122.171666666667)</f>
        <v>122.1716667</v>
      </c>
      <c r="G2468" s="163">
        <f>IFERROR(__xludf.DUMMYFUNCTION("""COMPUTED_VALUE"""),9.0)</f>
        <v>9</v>
      </c>
      <c r="H2468" s="163" t="str">
        <f>IFERROR(__xludf.DUMMYFUNCTION("""COMPUTED_VALUE"""),"SF")</f>
        <v>SF</v>
      </c>
      <c r="I2468" s="163">
        <f>IFERROR(__xludf.DUMMYFUNCTION("""COMPUTED_VALUE"""),23.0)</f>
        <v>23</v>
      </c>
      <c r="J2468" s="165">
        <f>IFERROR(__xludf.DUMMYFUNCTION("""COMPUTED_VALUE"""),-0.413586353115561)</f>
        <v>-0.4135863531</v>
      </c>
      <c r="K2468" s="165">
        <f>IFERROR(__xludf.DUMMYFUNCTION("""COMPUTED_VALUE"""),-0.560989082382332)</f>
        <v>-0.5609890824</v>
      </c>
      <c r="L2468" s="165">
        <f>IFERROR(__xludf.DUMMYFUNCTION("""COMPUTED_VALUE"""),0.147402729266771)</f>
        <v>0.1474027293</v>
      </c>
      <c r="M2468" s="166">
        <f t="shared" si="2"/>
        <v>0.1542902556</v>
      </c>
      <c r="N2468" s="167">
        <f t="shared" si="3"/>
        <v>13.57462963</v>
      </c>
      <c r="O2468" s="163">
        <f t="shared" ref="O2468:Q2468" si="2472">rank(I2468,I:I)</f>
        <v>2765</v>
      </c>
      <c r="P2468" s="163">
        <f t="shared" si="2472"/>
        <v>1745</v>
      </c>
      <c r="Q2468" s="163">
        <f t="shared" si="2472"/>
        <v>2202</v>
      </c>
      <c r="R2468" s="163">
        <f>IFERROR(__xludf.DUMMYFUNCTION("RANK(M2468,filter(M:M,C:C=C2468))"),362.0)</f>
        <v>362</v>
      </c>
      <c r="S2468" s="161" t="b">
        <f t="shared" si="5"/>
        <v>0</v>
      </c>
      <c r="T2468" s="161" t="b">
        <f t="array" ref="T2468">index('Query Tool'!B:B,match(H2468,'Query Tool'!C:C,0))</f>
        <v>1</v>
      </c>
      <c r="U2468" s="161" t="b">
        <f t="array" ref="U2468">index('Query Tool'!B:B,match(C2468,'Query Tool'!C:C,0))</f>
        <v>0</v>
      </c>
      <c r="V2468" s="161" t="b">
        <f>F2468&gt;='Query Tool'!C$32</f>
        <v>0</v>
      </c>
      <c r="W2468" s="161" t="b">
        <f t="array" ref="W2468">index(Dropdowns!B:B,match(I2468,Dropdowns!A:A,0))</f>
        <v>1</v>
      </c>
      <c r="X2468" s="161" t="b">
        <f t="array" ref="X2468">index('Query Tool'!B:B,match(D2468,'Query Tool'!C:C,0))</f>
        <v>1</v>
      </c>
      <c r="Y2468" s="161" t="str">
        <f t="shared" si="6"/>
        <v>hayesni01,2017-18</v>
      </c>
      <c r="Z2468" s="168" t="str">
        <f t="array" ref="Z2468">iferror(index(I:I,match($A2468&amp;","&amp;index('Year Conversion'!$A:$A,match($C2468,'Year Conversion'!$B:$B,0)),$Y:$Y,0))-I2468,"")</f>
        <v/>
      </c>
      <c r="AA2468" s="168" t="str">
        <f t="array" ref="AA2468">iferror(index(J:J,match($A2468&amp;","&amp;index('Year Conversion'!$A:$A,match($C2468,'Year Conversion'!$B:$B,0)),$Y:$Y,0))-J2468,"")</f>
        <v/>
      </c>
      <c r="AB2468" s="168" t="str">
        <f t="array" ref="AB2468">iferror(index(K:K,match($A2468&amp;","&amp;index('Year Conversion'!$A:$A,match($C2468,'Year Conversion'!$B:$B,0)),$Y:$Y,0))-K2468,"")</f>
        <v/>
      </c>
      <c r="AC2468" s="168" t="str">
        <f t="shared" si="7"/>
        <v>TOT,2017-18</v>
      </c>
    </row>
    <row r="2469">
      <c r="A2469" s="161" t="str">
        <f>IFERROR(__xludf.DUMMYFUNCTION("""COMPUTED_VALUE"""),"artisja01")</f>
        <v>artisja01</v>
      </c>
      <c r="B2469" s="161" t="str">
        <f>IFERROR(__xludf.DUMMYFUNCTION("""COMPUTED_VALUE"""),"Jamel Artis")</f>
        <v>Jamel Artis</v>
      </c>
      <c r="C2469" s="162" t="str">
        <f>IFERROR(__xludf.DUMMYFUNCTION("""COMPUTED_VALUE"""),"2017-18")</f>
        <v>2017-18</v>
      </c>
      <c r="D2469" s="163" t="str">
        <f>IFERROR(__xludf.DUMMYFUNCTION("""COMPUTED_VALUE"""),"ORL")</f>
        <v>ORL</v>
      </c>
      <c r="E2469" s="164" t="str">
        <f>IFERROR(__xludf.DUMMYFUNCTION("""COMPUTED_VALUE"""),"Stationary Shooter")</f>
        <v>Stationary Shooter</v>
      </c>
      <c r="F2469" s="164">
        <f>IFERROR(__xludf.DUMMYFUNCTION("""COMPUTED_VALUE"""),279.008333333333)</f>
        <v>279.0083333</v>
      </c>
      <c r="G2469" s="163">
        <f>IFERROR(__xludf.DUMMYFUNCTION("""COMPUTED_VALUE"""),15.0)</f>
        <v>15</v>
      </c>
      <c r="H2469" s="163" t="str">
        <f>IFERROR(__xludf.DUMMYFUNCTION("""COMPUTED_VALUE"""),"SG")</f>
        <v>SG</v>
      </c>
      <c r="I2469" s="163">
        <f>IFERROR(__xludf.DUMMYFUNCTION("""COMPUTED_VALUE"""),25.0)</f>
        <v>25</v>
      </c>
      <c r="J2469" s="165">
        <f>IFERROR(__xludf.DUMMYFUNCTION("""COMPUTED_VALUE"""),-1.25772526978206)</f>
        <v>-1.25772527</v>
      </c>
      <c r="K2469" s="165">
        <f>IFERROR(__xludf.DUMMYFUNCTION("""COMPUTED_VALUE"""),-0.971583688355837)</f>
        <v>-0.9715836884</v>
      </c>
      <c r="L2469" s="165">
        <f>IFERROR(__xludf.DUMMYFUNCTION("""COMPUTED_VALUE"""),-0.286141581426226)</f>
        <v>-0.2861415814</v>
      </c>
      <c r="M2469" s="166">
        <f t="shared" si="2"/>
        <v>0.1940724977</v>
      </c>
      <c r="N2469" s="167">
        <f t="shared" si="3"/>
        <v>18.60055556</v>
      </c>
      <c r="O2469" s="163">
        <f t="shared" ref="O2469:Q2469" si="2473">rank(I2469,I:I)</f>
        <v>1995</v>
      </c>
      <c r="P2469" s="163">
        <f t="shared" si="2473"/>
        <v>2822</v>
      </c>
      <c r="Q2469" s="163">
        <f t="shared" si="2473"/>
        <v>2770</v>
      </c>
      <c r="R2469" s="163">
        <f>IFERROR(__xludf.DUMMYFUNCTION("RANK(M2469,filter(M:M,C:C=C2469))"),346.0)</f>
        <v>346</v>
      </c>
      <c r="S2469" s="161" t="b">
        <f t="shared" si="5"/>
        <v>0</v>
      </c>
      <c r="T2469" s="161" t="b">
        <f t="array" ref="T2469">index('Query Tool'!B:B,match(H2469,'Query Tool'!C:C,0))</f>
        <v>1</v>
      </c>
      <c r="U2469" s="161" t="b">
        <f t="array" ref="U2469">index('Query Tool'!B:B,match(C2469,'Query Tool'!C:C,0))</f>
        <v>0</v>
      </c>
      <c r="V2469" s="161" t="b">
        <f>F2469&gt;='Query Tool'!C$32</f>
        <v>0</v>
      </c>
      <c r="W2469" s="161" t="b">
        <f t="array" ref="W2469">index(Dropdowns!B:B,match(I2469,Dropdowns!A:A,0))</f>
        <v>1</v>
      </c>
      <c r="X2469" s="161" t="b">
        <f t="array" ref="X2469">index('Query Tool'!B:B,match(D2469,'Query Tool'!C:C,0))</f>
        <v>1</v>
      </c>
      <c r="Y2469" s="161" t="str">
        <f t="shared" si="6"/>
        <v>artisja01,2017-18</v>
      </c>
      <c r="Z2469" s="168" t="str">
        <f t="array" ref="Z2469">iferror(index(I:I,match($A2469&amp;","&amp;index('Year Conversion'!$A:$A,match($C2469,'Year Conversion'!$B:$B,0)),$Y:$Y,0))-I2469,"")</f>
        <v/>
      </c>
      <c r="AA2469" s="168" t="str">
        <f t="array" ref="AA2469">iferror(index(J:J,match($A2469&amp;","&amp;index('Year Conversion'!$A:$A,match($C2469,'Year Conversion'!$B:$B,0)),$Y:$Y,0))-J2469,"")</f>
        <v/>
      </c>
      <c r="AB2469" s="168" t="str">
        <f t="array" ref="AB2469">iferror(index(K:K,match($A2469&amp;","&amp;index('Year Conversion'!$A:$A,match($C2469,'Year Conversion'!$B:$B,0)),$Y:$Y,0))-K2469,"")</f>
        <v/>
      </c>
      <c r="AC2469" s="168" t="str">
        <f t="shared" si="7"/>
        <v>ORL,2017-18</v>
      </c>
    </row>
    <row r="2470">
      <c r="A2470" s="161" t="str">
        <f>IFERROR(__xludf.DUMMYFUNCTION("""COMPUTED_VALUE"""),"rathaxa01")</f>
        <v>rathaxa01</v>
      </c>
      <c r="B2470" s="161" t="str">
        <f>IFERROR(__xludf.DUMMYFUNCTION("""COMPUTED_VALUE"""),"Xavier Rathan-Mayes")</f>
        <v>Xavier Rathan-Mayes</v>
      </c>
      <c r="C2470" s="162" t="str">
        <f>IFERROR(__xludf.DUMMYFUNCTION("""COMPUTED_VALUE"""),"2017-18")</f>
        <v>2017-18</v>
      </c>
      <c r="D2470" s="163" t="str">
        <f>IFERROR(__xludf.DUMMYFUNCTION("""COMPUTED_VALUE"""),"MEM")</f>
        <v>MEM</v>
      </c>
      <c r="E2470" s="164" t="str">
        <f>IFERROR(__xludf.DUMMYFUNCTION("""COMPUTED_VALUE"""),"Secondary Ball Handler")</f>
        <v>Secondary Ball Handler</v>
      </c>
      <c r="F2470" s="164">
        <f>IFERROR(__xludf.DUMMYFUNCTION("""COMPUTED_VALUE"""),117.79)</f>
        <v>117.79</v>
      </c>
      <c r="G2470" s="163">
        <f>IFERROR(__xludf.DUMMYFUNCTION("""COMPUTED_VALUE"""),5.0)</f>
        <v>5</v>
      </c>
      <c r="H2470" s="163" t="str">
        <f>IFERROR(__xludf.DUMMYFUNCTION("""COMPUTED_VALUE"""),"SG")</f>
        <v>SG</v>
      </c>
      <c r="I2470" s="163">
        <f>IFERROR(__xludf.DUMMYFUNCTION("""COMPUTED_VALUE"""),23.0)</f>
        <v>23</v>
      </c>
      <c r="J2470" s="165">
        <f>IFERROR(__xludf.DUMMYFUNCTION("""COMPUTED_VALUE"""),-0.972325121510583)</f>
        <v>-0.9723251215</v>
      </c>
      <c r="K2470" s="165">
        <f>IFERROR(__xludf.DUMMYFUNCTION("""COMPUTED_VALUE"""),-0.554899970593465)</f>
        <v>-0.5548999706</v>
      </c>
      <c r="L2470" s="165">
        <f>IFERROR(__xludf.DUMMYFUNCTION("""COMPUTED_VALUE"""),-0.417425150917118)</f>
        <v>-0.4174251509</v>
      </c>
      <c r="M2470" s="166">
        <f t="shared" si="2"/>
        <v>0.1044790898</v>
      </c>
      <c r="N2470" s="167">
        <f t="shared" si="3"/>
        <v>23.558</v>
      </c>
      <c r="O2470" s="163">
        <f t="shared" ref="O2470:Q2470" si="2474">rank(I2470,I:I)</f>
        <v>2765</v>
      </c>
      <c r="P2470" s="163">
        <f t="shared" si="2474"/>
        <v>2474</v>
      </c>
      <c r="Q2470" s="163">
        <f t="shared" si="2474"/>
        <v>2192</v>
      </c>
      <c r="R2470" s="163">
        <f>IFERROR(__xludf.DUMMYFUNCTION("RANK(M2470,filter(M:M,C:C=C2470))"),397.0)</f>
        <v>397</v>
      </c>
      <c r="S2470" s="161" t="b">
        <f t="shared" si="5"/>
        <v>0</v>
      </c>
      <c r="T2470" s="161" t="b">
        <f t="array" ref="T2470">index('Query Tool'!B:B,match(H2470,'Query Tool'!C:C,0))</f>
        <v>1</v>
      </c>
      <c r="U2470" s="161" t="b">
        <f t="array" ref="U2470">index('Query Tool'!B:B,match(C2470,'Query Tool'!C:C,0))</f>
        <v>0</v>
      </c>
      <c r="V2470" s="161" t="b">
        <f>F2470&gt;='Query Tool'!C$32</f>
        <v>0</v>
      </c>
      <c r="W2470" s="161" t="b">
        <f t="array" ref="W2470">index(Dropdowns!B:B,match(I2470,Dropdowns!A:A,0))</f>
        <v>1</v>
      </c>
      <c r="X2470" s="161" t="b">
        <f t="array" ref="X2470">index('Query Tool'!B:B,match(D2470,'Query Tool'!C:C,0))</f>
        <v>1</v>
      </c>
      <c r="Y2470" s="161" t="str">
        <f t="shared" si="6"/>
        <v>rathaxa01,2017-18</v>
      </c>
      <c r="Z2470" s="168" t="str">
        <f t="array" ref="Z2470">iferror(index(I:I,match($A2470&amp;","&amp;index('Year Conversion'!$A:$A,match($C2470,'Year Conversion'!$B:$B,0)),$Y:$Y,0))-I2470,"")</f>
        <v/>
      </c>
      <c r="AA2470" s="168" t="str">
        <f t="array" ref="AA2470">iferror(index(J:J,match($A2470&amp;","&amp;index('Year Conversion'!$A:$A,match($C2470,'Year Conversion'!$B:$B,0)),$Y:$Y,0))-J2470,"")</f>
        <v/>
      </c>
      <c r="AB2470" s="168" t="str">
        <f t="array" ref="AB2470">iferror(index(K:K,match($A2470&amp;","&amp;index('Year Conversion'!$A:$A,match($C2470,'Year Conversion'!$B:$B,0)),$Y:$Y,0))-K2470,"")</f>
        <v/>
      </c>
      <c r="AC2470" s="168" t="str">
        <f t="shared" si="7"/>
        <v>MEM,2017-18</v>
      </c>
    </row>
    <row r="2471">
      <c r="A2471" s="161" t="str">
        <f>IFERROR(__xludf.DUMMYFUNCTION("""COMPUTED_VALUE"""),"perralo01")</f>
        <v>perralo01</v>
      </c>
      <c r="B2471" s="161" t="str">
        <f>IFERROR(__xludf.DUMMYFUNCTION("""COMPUTED_VALUE"""),"London Perrantes")</f>
        <v>London Perrantes</v>
      </c>
      <c r="C2471" s="162" t="str">
        <f>IFERROR(__xludf.DUMMYFUNCTION("""COMPUTED_VALUE"""),"2017-18")</f>
        <v>2017-18</v>
      </c>
      <c r="D2471" s="163" t="str">
        <f>IFERROR(__xludf.DUMMYFUNCTION("""COMPUTED_VALUE"""),"CLE")</f>
        <v>CLE</v>
      </c>
      <c r="E2471" s="164" t="str">
        <f>IFERROR(__xludf.DUMMYFUNCTION("""COMPUTED_VALUE"""),"Secondary Ball Handler")</f>
        <v>Secondary Ball Handler</v>
      </c>
      <c r="F2471" s="164">
        <f>IFERROR(__xludf.DUMMYFUNCTION("""COMPUTED_VALUE"""),65.5233333333334)</f>
        <v>65.52333333</v>
      </c>
      <c r="G2471" s="163">
        <f>IFERROR(__xludf.DUMMYFUNCTION("""COMPUTED_VALUE"""),14.0)</f>
        <v>14</v>
      </c>
      <c r="H2471" s="163" t="str">
        <f>IFERROR(__xludf.DUMMYFUNCTION("""COMPUTED_VALUE"""),"PG")</f>
        <v>PG</v>
      </c>
      <c r="I2471" s="163">
        <f>IFERROR(__xludf.DUMMYFUNCTION("""COMPUTED_VALUE"""),23.0)</f>
        <v>23</v>
      </c>
      <c r="J2471" s="165">
        <f>IFERROR(__xludf.DUMMYFUNCTION("""COMPUTED_VALUE"""),-0.777426043086195)</f>
        <v>-0.7774260431</v>
      </c>
      <c r="K2471" s="165">
        <f>IFERROR(__xludf.DUMMYFUNCTION("""COMPUTED_VALUE"""),-0.320784614677898)</f>
        <v>-0.3207846147</v>
      </c>
      <c r="L2471" s="165">
        <f>IFERROR(__xludf.DUMMYFUNCTION("""COMPUTED_VALUE"""),-0.456641428408298)</f>
        <v>-0.4566414284</v>
      </c>
      <c r="M2471" s="166">
        <f t="shared" si="2"/>
        <v>0.06670102157</v>
      </c>
      <c r="N2471" s="167">
        <f t="shared" si="3"/>
        <v>4.680238095</v>
      </c>
      <c r="O2471" s="163">
        <f t="shared" ref="O2471:Q2471" si="2475">rank(I2471,I:I)</f>
        <v>2765</v>
      </c>
      <c r="P2471" s="163">
        <f t="shared" si="2475"/>
        <v>2243</v>
      </c>
      <c r="Q2471" s="163">
        <f t="shared" si="2475"/>
        <v>1797</v>
      </c>
      <c r="R2471" s="163">
        <f>IFERROR(__xludf.DUMMYFUNCTION("RANK(M2471,filter(M:M,C:C=C2471))"),416.0)</f>
        <v>416</v>
      </c>
      <c r="S2471" s="161" t="b">
        <f t="shared" si="5"/>
        <v>0</v>
      </c>
      <c r="T2471" s="161" t="b">
        <f t="array" ref="T2471">index('Query Tool'!B:B,match(H2471,'Query Tool'!C:C,0))</f>
        <v>1</v>
      </c>
      <c r="U2471" s="161" t="b">
        <f t="array" ref="U2471">index('Query Tool'!B:B,match(C2471,'Query Tool'!C:C,0))</f>
        <v>0</v>
      </c>
      <c r="V2471" s="161" t="b">
        <f>F2471&gt;='Query Tool'!C$32</f>
        <v>0</v>
      </c>
      <c r="W2471" s="161" t="b">
        <f t="array" ref="W2471">index(Dropdowns!B:B,match(I2471,Dropdowns!A:A,0))</f>
        <v>1</v>
      </c>
      <c r="X2471" s="161" t="b">
        <f t="array" ref="X2471">index('Query Tool'!B:B,match(D2471,'Query Tool'!C:C,0))</f>
        <v>1</v>
      </c>
      <c r="Y2471" s="161" t="str">
        <f t="shared" si="6"/>
        <v>perralo01,2017-18</v>
      </c>
      <c r="Z2471" s="168" t="str">
        <f t="array" ref="Z2471">iferror(index(I:I,match($A2471&amp;","&amp;index('Year Conversion'!$A:$A,match($C2471,'Year Conversion'!$B:$B,0)),$Y:$Y,0))-I2471,"")</f>
        <v/>
      </c>
      <c r="AA2471" s="168" t="str">
        <f t="array" ref="AA2471">iferror(index(J:J,match($A2471&amp;","&amp;index('Year Conversion'!$A:$A,match($C2471,'Year Conversion'!$B:$B,0)),$Y:$Y,0))-J2471,"")</f>
        <v/>
      </c>
      <c r="AB2471" s="168" t="str">
        <f t="array" ref="AB2471">iferror(index(K:K,match($A2471&amp;","&amp;index('Year Conversion'!$A:$A,match($C2471,'Year Conversion'!$B:$B,0)),$Y:$Y,0))-K2471,"")</f>
        <v/>
      </c>
      <c r="AC2471" s="168" t="str">
        <f t="shared" si="7"/>
        <v>CLE,2017-18</v>
      </c>
    </row>
    <row r="2472">
      <c r="A2472" s="161" t="str">
        <f>IFERROR(__xludf.DUMMYFUNCTION("""COMPUTED_VALUE"""),"whitean01")</f>
        <v>whitean01</v>
      </c>
      <c r="B2472" s="161" t="str">
        <f>IFERROR(__xludf.DUMMYFUNCTION("""COMPUTED_VALUE"""),"Andrew White III")</f>
        <v>Andrew White III</v>
      </c>
      <c r="C2472" s="162" t="str">
        <f>IFERROR(__xludf.DUMMYFUNCTION("""COMPUTED_VALUE"""),"2017-18")</f>
        <v>2017-18</v>
      </c>
      <c r="D2472" s="163" t="str">
        <f>IFERROR(__xludf.DUMMYFUNCTION("""COMPUTED_VALUE"""),"ATL")</f>
        <v>ATL</v>
      </c>
      <c r="E2472" s="164" t="str">
        <f>IFERROR(__xludf.DUMMYFUNCTION("""COMPUTED_VALUE"""),"Stationary Shooter")</f>
        <v>Stationary Shooter</v>
      </c>
      <c r="F2472" s="164">
        <f>IFERROR(__xludf.DUMMYFUNCTION("""COMPUTED_VALUE"""),209.106666666667)</f>
        <v>209.1066667</v>
      </c>
      <c r="G2472" s="163">
        <f>IFERROR(__xludf.DUMMYFUNCTION("""COMPUTED_VALUE"""),15.0)</f>
        <v>15</v>
      </c>
      <c r="H2472" s="163" t="str">
        <f>IFERROR(__xludf.DUMMYFUNCTION("""COMPUTED_VALUE"""),"SF")</f>
        <v>SF</v>
      </c>
      <c r="I2472" s="163">
        <f>IFERROR(__xludf.DUMMYFUNCTION("""COMPUTED_VALUE"""),24.0)</f>
        <v>24</v>
      </c>
      <c r="J2472" s="165">
        <f>IFERROR(__xludf.DUMMYFUNCTION("""COMPUTED_VALUE"""),-1.41257638066773)</f>
        <v>-1.412576381</v>
      </c>
      <c r="K2472" s="165">
        <f>IFERROR(__xludf.DUMMYFUNCTION("""COMPUTED_VALUE"""),-1.2324510248827)</f>
        <v>-1.232451025</v>
      </c>
      <c r="L2472" s="165">
        <f>IFERROR(__xludf.DUMMYFUNCTION("""COMPUTED_VALUE"""),-0.180125355785031)</f>
        <v>-0.1801253558</v>
      </c>
      <c r="M2472" s="166">
        <f t="shared" si="2"/>
        <v>0.1237813517</v>
      </c>
      <c r="N2472" s="167">
        <f t="shared" si="3"/>
        <v>13.94044444</v>
      </c>
      <c r="O2472" s="163">
        <f t="shared" ref="O2472:Q2472" si="2476">rank(I2472,I:I)</f>
        <v>2361</v>
      </c>
      <c r="P2472" s="163">
        <f t="shared" si="2476"/>
        <v>2963</v>
      </c>
      <c r="Q2472" s="163">
        <f t="shared" si="2476"/>
        <v>3067</v>
      </c>
      <c r="R2472" s="163">
        <f>IFERROR(__xludf.DUMMYFUNCTION("RANK(M2472,filter(M:M,C:C=C2472))"),384.0)</f>
        <v>384</v>
      </c>
      <c r="S2472" s="161" t="b">
        <f t="shared" si="5"/>
        <v>0</v>
      </c>
      <c r="T2472" s="161" t="b">
        <f t="array" ref="T2472">index('Query Tool'!B:B,match(H2472,'Query Tool'!C:C,0))</f>
        <v>1</v>
      </c>
      <c r="U2472" s="161" t="b">
        <f t="array" ref="U2472">index('Query Tool'!B:B,match(C2472,'Query Tool'!C:C,0))</f>
        <v>0</v>
      </c>
      <c r="V2472" s="161" t="b">
        <f>F2472&gt;='Query Tool'!C$32</f>
        <v>0</v>
      </c>
      <c r="W2472" s="161" t="b">
        <f t="array" ref="W2472">index(Dropdowns!B:B,match(I2472,Dropdowns!A:A,0))</f>
        <v>1</v>
      </c>
      <c r="X2472" s="161" t="b">
        <f t="array" ref="X2472">index('Query Tool'!B:B,match(D2472,'Query Tool'!C:C,0))</f>
        <v>1</v>
      </c>
      <c r="Y2472" s="161" t="str">
        <f t="shared" si="6"/>
        <v>whitean01,2017-18</v>
      </c>
      <c r="Z2472" s="168" t="str">
        <f t="array" ref="Z2472">iferror(index(I:I,match($A2472&amp;","&amp;index('Year Conversion'!$A:$A,match($C2472,'Year Conversion'!$B:$B,0)),$Y:$Y,0))-I2472,"")</f>
        <v/>
      </c>
      <c r="AA2472" s="168" t="str">
        <f t="array" ref="AA2472">iferror(index(J:J,match($A2472&amp;","&amp;index('Year Conversion'!$A:$A,match($C2472,'Year Conversion'!$B:$B,0)),$Y:$Y,0))-J2472,"")</f>
        <v/>
      </c>
      <c r="AB2472" s="168" t="str">
        <f t="array" ref="AB2472">iferror(index(K:K,match($A2472&amp;","&amp;index('Year Conversion'!$A:$A,match($C2472,'Year Conversion'!$B:$B,0)),$Y:$Y,0))-K2472,"")</f>
        <v/>
      </c>
      <c r="AC2472" s="168" t="str">
        <f t="shared" si="7"/>
        <v>ATL,2017-18</v>
      </c>
    </row>
    <row r="2473">
      <c r="A2473" s="161" t="str">
        <f>IFERROR(__xludf.DUMMYFUNCTION("""COMPUTED_VALUE"""),"mitrona01")</f>
        <v>mitrona01</v>
      </c>
      <c r="B2473" s="161" t="str">
        <f>IFERROR(__xludf.DUMMYFUNCTION("""COMPUTED_VALUE"""),"Naz Mitrou-Long")</f>
        <v>Naz Mitrou-Long</v>
      </c>
      <c r="C2473" s="162" t="str">
        <f>IFERROR(__xludf.DUMMYFUNCTION("""COMPUTED_VALUE"""),"2017-18")</f>
        <v>2017-18</v>
      </c>
      <c r="D2473" s="163" t="str">
        <f>IFERROR(__xludf.DUMMYFUNCTION("""COMPUTED_VALUE"""),"UTA")</f>
        <v>UTA</v>
      </c>
      <c r="E2473" s="164" t="str">
        <f>IFERROR(__xludf.DUMMYFUNCTION("""COMPUTED_VALUE"""),"Stationary Shooter")</f>
        <v>Stationary Shooter</v>
      </c>
      <c r="F2473" s="164">
        <f>IFERROR(__xludf.DUMMYFUNCTION("""COMPUTED_VALUE"""),0.516666666666667)</f>
        <v>0.5166666667</v>
      </c>
      <c r="G2473" s="163">
        <f>IFERROR(__xludf.DUMMYFUNCTION("""COMPUTED_VALUE"""),1.0)</f>
        <v>1</v>
      </c>
      <c r="H2473" s="163" t="str">
        <f>IFERROR(__xludf.DUMMYFUNCTION("""COMPUTED_VALUE"""),"SG")</f>
        <v>SG</v>
      </c>
      <c r="I2473" s="163">
        <f>IFERROR(__xludf.DUMMYFUNCTION("""COMPUTED_VALUE"""),24.0)</f>
        <v>24</v>
      </c>
      <c r="J2473" s="165">
        <f>IFERROR(__xludf.DUMMYFUNCTION("""COMPUTED_VALUE"""),-0.503607596733676)</f>
        <v>-0.5036075967</v>
      </c>
      <c r="K2473" s="165">
        <f>IFERROR(__xludf.DUMMYFUNCTION("""COMPUTED_VALUE"""),-0.0371078222539863)</f>
        <v>-0.03710782225</v>
      </c>
      <c r="L2473" s="165">
        <f>IFERROR(__xludf.DUMMYFUNCTION("""COMPUTED_VALUE"""),-0.46649977447969)</f>
        <v>-0.4664997745</v>
      </c>
      <c r="M2473" s="166">
        <f t="shared" si="2"/>
        <v>0.0006211672158</v>
      </c>
      <c r="N2473" s="167">
        <f t="shared" si="3"/>
        <v>0.5166666667</v>
      </c>
      <c r="O2473" s="163">
        <f t="shared" ref="O2473:Q2473" si="2477">rank(I2473,I:I)</f>
        <v>2361</v>
      </c>
      <c r="P2473" s="163">
        <f t="shared" si="2477"/>
        <v>1861</v>
      </c>
      <c r="Q2473" s="163">
        <f t="shared" si="2477"/>
        <v>1248</v>
      </c>
      <c r="R2473" s="163">
        <f>IFERROR(__xludf.DUMMYFUNCTION("RANK(M2473,filter(M:M,C:C=C2473))"),498.0)</f>
        <v>498</v>
      </c>
      <c r="S2473" s="161" t="b">
        <f t="shared" si="5"/>
        <v>0</v>
      </c>
      <c r="T2473" s="161" t="b">
        <f t="array" ref="T2473">index('Query Tool'!B:B,match(H2473,'Query Tool'!C:C,0))</f>
        <v>1</v>
      </c>
      <c r="U2473" s="161" t="b">
        <f t="array" ref="U2473">index('Query Tool'!B:B,match(C2473,'Query Tool'!C:C,0))</f>
        <v>0</v>
      </c>
      <c r="V2473" s="161" t="b">
        <f>F2473&gt;='Query Tool'!C$32</f>
        <v>0</v>
      </c>
      <c r="W2473" s="161" t="b">
        <f t="array" ref="W2473">index(Dropdowns!B:B,match(I2473,Dropdowns!A:A,0))</f>
        <v>1</v>
      </c>
      <c r="X2473" s="161" t="b">
        <f t="array" ref="X2473">index('Query Tool'!B:B,match(D2473,'Query Tool'!C:C,0))</f>
        <v>1</v>
      </c>
      <c r="Y2473" s="161" t="str">
        <f t="shared" si="6"/>
        <v>mitrona01,2017-18</v>
      </c>
      <c r="Z2473" s="168">
        <f t="array" ref="Z2473">iferror(index(I:I,match($A2473&amp;","&amp;index('Year Conversion'!$A:$A,match($C2473,'Year Conversion'!$B:$B,0)),$Y:$Y,0))-I2473,"")</f>
        <v>1</v>
      </c>
      <c r="AA2473" s="168">
        <f t="array" ref="AA2473">iferror(index(J:J,match($A2473&amp;","&amp;index('Year Conversion'!$A:$A,match($C2473,'Year Conversion'!$B:$B,0)),$Y:$Y,0))-J2473,"")</f>
        <v>-0.9213049924</v>
      </c>
      <c r="AB2473" s="168">
        <f t="array" ref="AB2473">iferror(index(K:K,match($A2473&amp;","&amp;index('Year Conversion'!$A:$A,match($C2473,'Year Conversion'!$B:$B,0)),$Y:$Y,0))-K2473,"")</f>
        <v>-0.3915838248</v>
      </c>
      <c r="AC2473" s="168" t="str">
        <f t="shared" si="7"/>
        <v>UTA,2017-18</v>
      </c>
    </row>
    <row r="2474">
      <c r="A2474" s="161" t="str">
        <f>IFERROR(__xludf.DUMMYFUNCTION("""COMPUTED_VALUE"""),"morrija01")</f>
        <v>morrija01</v>
      </c>
      <c r="B2474" s="161" t="str">
        <f>IFERROR(__xludf.DUMMYFUNCTION("""COMPUTED_VALUE"""),"Jaylen Morris")</f>
        <v>Jaylen Morris</v>
      </c>
      <c r="C2474" s="162" t="str">
        <f>IFERROR(__xludf.DUMMYFUNCTION("""COMPUTED_VALUE"""),"2017-18")</f>
        <v>2017-18</v>
      </c>
      <c r="D2474" s="163" t="str">
        <f>IFERROR(__xludf.DUMMYFUNCTION("""COMPUTED_VALUE"""),"ATL")</f>
        <v>ATL</v>
      </c>
      <c r="E2474" s="164" t="str">
        <f>IFERROR(__xludf.DUMMYFUNCTION("""COMPUTED_VALUE"""),"Stationary Shooter")</f>
        <v>Stationary Shooter</v>
      </c>
      <c r="F2474" s="164">
        <f>IFERROR(__xludf.DUMMYFUNCTION("""COMPUTED_VALUE"""),98.49)</f>
        <v>98.49</v>
      </c>
      <c r="G2474" s="163">
        <f>IFERROR(__xludf.DUMMYFUNCTION("""COMPUTED_VALUE"""),6.0)</f>
        <v>6</v>
      </c>
      <c r="H2474" s="163" t="str">
        <f>IFERROR(__xludf.DUMMYFUNCTION("""COMPUTED_VALUE"""),"SG")</f>
        <v>SG</v>
      </c>
      <c r="I2474" s="163">
        <f>IFERROR(__xludf.DUMMYFUNCTION("""COMPUTED_VALUE"""),22.0)</f>
        <v>22</v>
      </c>
      <c r="J2474" s="165">
        <f>IFERROR(__xludf.DUMMYFUNCTION("""COMPUTED_VALUE"""),-1.0155006239405)</f>
        <v>-1.015500624</v>
      </c>
      <c r="K2474" s="165">
        <f>IFERROR(__xludf.DUMMYFUNCTION("""COMPUTED_VALUE"""),-1.17412302403634)</f>
        <v>-1.174123024</v>
      </c>
      <c r="L2474" s="165">
        <f>IFERROR(__xludf.DUMMYFUNCTION("""COMPUTED_VALUE"""),0.158622400095845)</f>
        <v>0.1586224001</v>
      </c>
      <c r="M2474" s="166">
        <f t="shared" si="2"/>
        <v>0.08450497257</v>
      </c>
      <c r="N2474" s="167">
        <f t="shared" si="3"/>
        <v>16.415</v>
      </c>
      <c r="O2474" s="163">
        <f t="shared" ref="O2474:Q2474" si="2478">rank(I2474,I:I)</f>
        <v>3178</v>
      </c>
      <c r="P2474" s="163">
        <f t="shared" si="2478"/>
        <v>2519</v>
      </c>
      <c r="Q2474" s="163">
        <f t="shared" si="2478"/>
        <v>3010</v>
      </c>
      <c r="R2474" s="163">
        <f>IFERROR(__xludf.DUMMYFUNCTION("RANK(M2474,filter(M:M,C:C=C2474))"),406.0)</f>
        <v>406</v>
      </c>
      <c r="S2474" s="161" t="b">
        <f t="shared" si="5"/>
        <v>0</v>
      </c>
      <c r="T2474" s="161" t="b">
        <f t="array" ref="T2474">index('Query Tool'!B:B,match(H2474,'Query Tool'!C:C,0))</f>
        <v>1</v>
      </c>
      <c r="U2474" s="161" t="b">
        <f t="array" ref="U2474">index('Query Tool'!B:B,match(C2474,'Query Tool'!C:C,0))</f>
        <v>0</v>
      </c>
      <c r="V2474" s="161" t="b">
        <f>F2474&gt;='Query Tool'!C$32</f>
        <v>0</v>
      </c>
      <c r="W2474" s="161" t="b">
        <f t="array" ref="W2474">index(Dropdowns!B:B,match(I2474,Dropdowns!A:A,0))</f>
        <v>1</v>
      </c>
      <c r="X2474" s="161" t="b">
        <f t="array" ref="X2474">index('Query Tool'!B:B,match(D2474,'Query Tool'!C:C,0))</f>
        <v>1</v>
      </c>
      <c r="Y2474" s="161" t="str">
        <f t="shared" si="6"/>
        <v>morrija01,2017-18</v>
      </c>
      <c r="Z2474" s="168">
        <f t="array" ref="Z2474">iferror(index(I:I,match($A2474&amp;","&amp;index('Year Conversion'!$A:$A,match($C2474,'Year Conversion'!$B:$B,0)),$Y:$Y,0))-I2474,"")</f>
        <v>1</v>
      </c>
      <c r="AA2474" s="168">
        <f t="array" ref="AA2474">iferror(index(J:J,match($A2474&amp;","&amp;index('Year Conversion'!$A:$A,match($C2474,'Year Conversion'!$B:$B,0)),$Y:$Y,0))-J2474,"")</f>
        <v>0.4166572394</v>
      </c>
      <c r="AB2474" s="168">
        <f t="array" ref="AB2474">iferror(index(K:K,match($A2474&amp;","&amp;index('Year Conversion'!$A:$A,match($C2474,'Year Conversion'!$B:$B,0)),$Y:$Y,0))-K2474,"")</f>
        <v>0.9265708835</v>
      </c>
      <c r="AC2474" s="168" t="str">
        <f t="shared" si="7"/>
        <v>ATL,2017-18</v>
      </c>
    </row>
    <row r="2475">
      <c r="A2475" s="161" t="str">
        <f>IFERROR(__xludf.DUMMYFUNCTION("""COMPUTED_VALUE"""),"mccreer01")</f>
        <v>mccreer01</v>
      </c>
      <c r="B2475" s="161" t="str">
        <f>IFERROR(__xludf.DUMMYFUNCTION("""COMPUTED_VALUE"""),"Erik McCree")</f>
        <v>Erik McCree</v>
      </c>
      <c r="C2475" s="162" t="str">
        <f>IFERROR(__xludf.DUMMYFUNCTION("""COMPUTED_VALUE"""),"2017-18")</f>
        <v>2017-18</v>
      </c>
      <c r="D2475" s="163" t="str">
        <f>IFERROR(__xludf.DUMMYFUNCTION("""COMPUTED_VALUE"""),"UTA")</f>
        <v>UTA</v>
      </c>
      <c r="E2475" s="164" t="str">
        <f>IFERROR(__xludf.DUMMYFUNCTION("""COMPUTED_VALUE"""),"Secondary Ball Handler")</f>
        <v>Secondary Ball Handler</v>
      </c>
      <c r="F2475" s="164">
        <f>IFERROR(__xludf.DUMMYFUNCTION("""COMPUTED_VALUE"""),7.52166666666667)</f>
        <v>7.521666667</v>
      </c>
      <c r="G2475" s="163">
        <f>IFERROR(__xludf.DUMMYFUNCTION("""COMPUTED_VALUE"""),4.0)</f>
        <v>4</v>
      </c>
      <c r="H2475" s="163" t="str">
        <f>IFERROR(__xludf.DUMMYFUNCTION("""COMPUTED_VALUE"""),"SF")</f>
        <v>SF</v>
      </c>
      <c r="I2475" s="163">
        <f>IFERROR(__xludf.DUMMYFUNCTION("""COMPUTED_VALUE"""),24.0)</f>
        <v>24</v>
      </c>
      <c r="J2475" s="165">
        <f>IFERROR(__xludf.DUMMYFUNCTION("""COMPUTED_VALUE"""),-0.550707008300357)</f>
        <v>-0.5507070083</v>
      </c>
      <c r="K2475" s="165">
        <f>IFERROR(__xludf.DUMMYFUNCTION("""COMPUTED_VALUE"""),0.00506088365230774)</f>
        <v>0.005060883652</v>
      </c>
      <c r="L2475" s="165">
        <f>IFERROR(__xludf.DUMMYFUNCTION("""COMPUTED_VALUE"""),-0.555767891952664)</f>
        <v>-0.555767892</v>
      </c>
      <c r="M2475" s="166">
        <f t="shared" si="2"/>
        <v>0.008804426407</v>
      </c>
      <c r="N2475" s="167">
        <f t="shared" si="3"/>
        <v>1.880416667</v>
      </c>
      <c r="O2475" s="163">
        <f t="shared" ref="O2475:Q2475" si="2479">rank(I2475,I:I)</f>
        <v>2361</v>
      </c>
      <c r="P2475" s="163">
        <f t="shared" si="2479"/>
        <v>1916</v>
      </c>
      <c r="Q2475" s="163">
        <f t="shared" si="2479"/>
        <v>1194</v>
      </c>
      <c r="R2475" s="163">
        <f>IFERROR(__xludf.DUMMYFUNCTION("RANK(M2475,filter(M:M,C:C=C2475))"),482.0)</f>
        <v>482</v>
      </c>
      <c r="S2475" s="161" t="b">
        <f t="shared" si="5"/>
        <v>0</v>
      </c>
      <c r="T2475" s="161" t="b">
        <f t="array" ref="T2475">index('Query Tool'!B:B,match(H2475,'Query Tool'!C:C,0))</f>
        <v>1</v>
      </c>
      <c r="U2475" s="161" t="b">
        <f t="array" ref="U2475">index('Query Tool'!B:B,match(C2475,'Query Tool'!C:C,0))</f>
        <v>0</v>
      </c>
      <c r="V2475" s="161" t="b">
        <f>F2475&gt;='Query Tool'!C$32</f>
        <v>0</v>
      </c>
      <c r="W2475" s="161" t="b">
        <f t="array" ref="W2475">index(Dropdowns!B:B,match(I2475,Dropdowns!A:A,0))</f>
        <v>1</v>
      </c>
      <c r="X2475" s="161" t="b">
        <f t="array" ref="X2475">index('Query Tool'!B:B,match(D2475,'Query Tool'!C:C,0))</f>
        <v>1</v>
      </c>
      <c r="Y2475" s="161" t="str">
        <f t="shared" si="6"/>
        <v>mccreer01,2017-18</v>
      </c>
      <c r="Z2475" s="168" t="str">
        <f t="array" ref="Z2475">iferror(index(I:I,match($A2475&amp;","&amp;index('Year Conversion'!$A:$A,match($C2475,'Year Conversion'!$B:$B,0)),$Y:$Y,0))-I2475,"")</f>
        <v/>
      </c>
      <c r="AA2475" s="168" t="str">
        <f t="array" ref="AA2475">iferror(index(J:J,match($A2475&amp;","&amp;index('Year Conversion'!$A:$A,match($C2475,'Year Conversion'!$B:$B,0)),$Y:$Y,0))-J2475,"")</f>
        <v/>
      </c>
      <c r="AB2475" s="168" t="str">
        <f t="array" ref="AB2475">iferror(index(K:K,match($A2475&amp;","&amp;index('Year Conversion'!$A:$A,match($C2475,'Year Conversion'!$B:$B,0)),$Y:$Y,0))-K2475,"")</f>
        <v/>
      </c>
      <c r="AC2475" s="168" t="str">
        <f t="shared" si="7"/>
        <v>UTA,2017-18</v>
      </c>
    </row>
    <row r="2476">
      <c r="A2476" s="161" t="str">
        <f>IFERROR(__xludf.DUMMYFUNCTION("""COMPUTED_VALUE"""),"purviro01")</f>
        <v>purviro01</v>
      </c>
      <c r="B2476" s="161" t="str">
        <f>IFERROR(__xludf.DUMMYFUNCTION("""COMPUTED_VALUE"""),"Rodney Purvis")</f>
        <v>Rodney Purvis</v>
      </c>
      <c r="C2476" s="162" t="str">
        <f>IFERROR(__xludf.DUMMYFUNCTION("""COMPUTED_VALUE"""),"2017-18")</f>
        <v>2017-18</v>
      </c>
      <c r="D2476" s="163" t="str">
        <f>IFERROR(__xludf.DUMMYFUNCTION("""COMPUTED_VALUE"""),"ORL")</f>
        <v>ORL</v>
      </c>
      <c r="E2476" s="164" t="str">
        <f>IFERROR(__xludf.DUMMYFUNCTION("""COMPUTED_VALUE"""),"Stationary Shooter")</f>
        <v>Stationary Shooter</v>
      </c>
      <c r="F2476" s="164">
        <f>IFERROR(__xludf.DUMMYFUNCTION("""COMPUTED_VALUE"""),289.586666666667)</f>
        <v>289.5866667</v>
      </c>
      <c r="G2476" s="163">
        <f>IFERROR(__xludf.DUMMYFUNCTION("""COMPUTED_VALUE"""),16.0)</f>
        <v>16</v>
      </c>
      <c r="H2476" s="163" t="str">
        <f>IFERROR(__xludf.DUMMYFUNCTION("""COMPUTED_VALUE"""),"SG")</f>
        <v>SG</v>
      </c>
      <c r="I2476" s="163">
        <f>IFERROR(__xludf.DUMMYFUNCTION("""COMPUTED_VALUE"""),23.0)</f>
        <v>23</v>
      </c>
      <c r="J2476" s="165">
        <f>IFERROR(__xludf.DUMMYFUNCTION("""COMPUTED_VALUE"""),-1.87599666765252)</f>
        <v>-1.875996668</v>
      </c>
      <c r="K2476" s="165">
        <f>IFERROR(__xludf.DUMMYFUNCTION("""COMPUTED_VALUE"""),-1.09494923268579)</f>
        <v>-1.094949233</v>
      </c>
      <c r="L2476" s="165">
        <f>IFERROR(__xludf.DUMMYFUNCTION("""COMPUTED_VALUE"""),-0.781047434966731)</f>
        <v>-0.781047435</v>
      </c>
      <c r="M2476" s="166">
        <f t="shared" si="2"/>
        <v>0.08196356016</v>
      </c>
      <c r="N2476" s="167">
        <f t="shared" si="3"/>
        <v>18.09916667</v>
      </c>
      <c r="O2476" s="163">
        <f t="shared" ref="O2476:Q2476" si="2480">rank(I2476,I:I)</f>
        <v>2765</v>
      </c>
      <c r="P2476" s="163">
        <f t="shared" si="2480"/>
        <v>3399</v>
      </c>
      <c r="Q2476" s="163">
        <f t="shared" si="2480"/>
        <v>2924</v>
      </c>
      <c r="R2476" s="163">
        <f>IFERROR(__xludf.DUMMYFUNCTION("RANK(M2476,filter(M:M,C:C=C2476))"),408.0)</f>
        <v>408</v>
      </c>
      <c r="S2476" s="161" t="b">
        <f t="shared" si="5"/>
        <v>0</v>
      </c>
      <c r="T2476" s="161" t="b">
        <f t="array" ref="T2476">index('Query Tool'!B:B,match(H2476,'Query Tool'!C:C,0))</f>
        <v>1</v>
      </c>
      <c r="U2476" s="161" t="b">
        <f t="array" ref="U2476">index('Query Tool'!B:B,match(C2476,'Query Tool'!C:C,0))</f>
        <v>0</v>
      </c>
      <c r="V2476" s="161" t="b">
        <f>F2476&gt;='Query Tool'!C$32</f>
        <v>0</v>
      </c>
      <c r="W2476" s="161" t="b">
        <f t="array" ref="W2476">index(Dropdowns!B:B,match(I2476,Dropdowns!A:A,0))</f>
        <v>1</v>
      </c>
      <c r="X2476" s="161" t="b">
        <f t="array" ref="X2476">index('Query Tool'!B:B,match(D2476,'Query Tool'!C:C,0))</f>
        <v>1</v>
      </c>
      <c r="Y2476" s="161" t="str">
        <f t="shared" si="6"/>
        <v>purviro01,2017-18</v>
      </c>
      <c r="Z2476" s="168" t="str">
        <f t="array" ref="Z2476">iferror(index(I:I,match($A2476&amp;","&amp;index('Year Conversion'!$A:$A,match($C2476,'Year Conversion'!$B:$B,0)),$Y:$Y,0))-I2476,"")</f>
        <v/>
      </c>
      <c r="AA2476" s="168" t="str">
        <f t="array" ref="AA2476">iferror(index(J:J,match($A2476&amp;","&amp;index('Year Conversion'!$A:$A,match($C2476,'Year Conversion'!$B:$B,0)),$Y:$Y,0))-J2476,"")</f>
        <v/>
      </c>
      <c r="AB2476" s="168" t="str">
        <f t="array" ref="AB2476">iferror(index(K:K,match($A2476&amp;","&amp;index('Year Conversion'!$A:$A,match($C2476,'Year Conversion'!$B:$B,0)),$Y:$Y,0))-K2476,"")</f>
        <v/>
      </c>
      <c r="AC2476" s="168" t="str">
        <f t="shared" si="7"/>
        <v>ORL,2017-18</v>
      </c>
    </row>
    <row r="2477">
      <c r="A2477" s="161" t="str">
        <f>IFERROR(__xludf.DUMMYFUNCTION("""COMPUTED_VALUE"""),"jacksaa01")</f>
        <v>jacksaa01</v>
      </c>
      <c r="B2477" s="161" t="str">
        <f>IFERROR(__xludf.DUMMYFUNCTION("""COMPUTED_VALUE"""),"Aaron Jackson")</f>
        <v>Aaron Jackson</v>
      </c>
      <c r="C2477" s="162" t="str">
        <f>IFERROR(__xludf.DUMMYFUNCTION("""COMPUTED_VALUE"""),"2017-18")</f>
        <v>2017-18</v>
      </c>
      <c r="D2477" s="163" t="str">
        <f>IFERROR(__xludf.DUMMYFUNCTION("""COMPUTED_VALUE"""),"HOU")</f>
        <v>HOU</v>
      </c>
      <c r="E2477" s="164" t="str">
        <f>IFERROR(__xludf.DUMMYFUNCTION("""COMPUTED_VALUE"""),"Athletic Finisher")</f>
        <v>Athletic Finisher</v>
      </c>
      <c r="F2477" s="164">
        <f>IFERROR(__xludf.DUMMYFUNCTION("""COMPUTED_VALUE"""),34.5)</f>
        <v>34.5</v>
      </c>
      <c r="G2477" s="163">
        <f>IFERROR(__xludf.DUMMYFUNCTION("""COMPUTED_VALUE"""),1.0)</f>
        <v>1</v>
      </c>
      <c r="H2477" s="163" t="str">
        <f>IFERROR(__xludf.DUMMYFUNCTION("""COMPUTED_VALUE"""),"PG")</f>
        <v>PG</v>
      </c>
      <c r="I2477" s="163">
        <f>IFERROR(__xludf.DUMMYFUNCTION("""COMPUTED_VALUE"""),31.0)</f>
        <v>31</v>
      </c>
      <c r="J2477" s="165">
        <f>IFERROR(__xludf.DUMMYFUNCTION("""COMPUTED_VALUE"""),-1.13022368389883)</f>
        <v>-1.130223684</v>
      </c>
      <c r="K2477" s="165">
        <f>IFERROR(__xludf.DUMMYFUNCTION("""COMPUTED_VALUE"""),-0.313527850781669)</f>
        <v>-0.3135278508</v>
      </c>
      <c r="L2477" s="165">
        <f>IFERROR(__xludf.DUMMYFUNCTION("""COMPUTED_VALUE"""),-0.816695833117157)</f>
        <v>-0.8166958331</v>
      </c>
      <c r="M2477" s="166">
        <f t="shared" si="2"/>
        <v>0.02694555848</v>
      </c>
      <c r="N2477" s="167">
        <f t="shared" si="3"/>
        <v>34.5</v>
      </c>
      <c r="O2477" s="163">
        <f t="shared" ref="O2477:Q2477" si="2481">rank(I2477,I:I)</f>
        <v>490</v>
      </c>
      <c r="P2477" s="163">
        <f t="shared" si="2481"/>
        <v>2659</v>
      </c>
      <c r="Q2477" s="163">
        <f t="shared" si="2481"/>
        <v>1781</v>
      </c>
      <c r="R2477" s="163">
        <f>IFERROR(__xludf.DUMMYFUNCTION("RANK(M2477,filter(M:M,C:C=C2477))"),456.0)</f>
        <v>456</v>
      </c>
      <c r="S2477" s="161" t="b">
        <f t="shared" si="5"/>
        <v>0</v>
      </c>
      <c r="T2477" s="161" t="b">
        <f t="array" ref="T2477">index('Query Tool'!B:B,match(H2477,'Query Tool'!C:C,0))</f>
        <v>1</v>
      </c>
      <c r="U2477" s="161" t="b">
        <f t="array" ref="U2477">index('Query Tool'!B:B,match(C2477,'Query Tool'!C:C,0))</f>
        <v>0</v>
      </c>
      <c r="V2477" s="161" t="b">
        <f>F2477&gt;='Query Tool'!C$32</f>
        <v>0</v>
      </c>
      <c r="W2477" s="161" t="b">
        <f t="array" ref="W2477">index(Dropdowns!B:B,match(I2477,Dropdowns!A:A,0))</f>
        <v>1</v>
      </c>
      <c r="X2477" s="161" t="b">
        <f t="array" ref="X2477">index('Query Tool'!B:B,match(D2477,'Query Tool'!C:C,0))</f>
        <v>1</v>
      </c>
      <c r="Y2477" s="161" t="str">
        <f t="shared" si="6"/>
        <v>jacksaa01,2017-18</v>
      </c>
      <c r="Z2477" s="168" t="str">
        <f t="array" ref="Z2477">iferror(index(I:I,match($A2477&amp;","&amp;index('Year Conversion'!$A:$A,match($C2477,'Year Conversion'!$B:$B,0)),$Y:$Y,0))-I2477,"")</f>
        <v/>
      </c>
      <c r="AA2477" s="168" t="str">
        <f t="array" ref="AA2477">iferror(index(J:J,match($A2477&amp;","&amp;index('Year Conversion'!$A:$A,match($C2477,'Year Conversion'!$B:$B,0)),$Y:$Y,0))-J2477,"")</f>
        <v/>
      </c>
      <c r="AB2477" s="168" t="str">
        <f t="array" ref="AB2477">iferror(index(K:K,match($A2477&amp;","&amp;index('Year Conversion'!$A:$A,match($C2477,'Year Conversion'!$B:$B,0)),$Y:$Y,0))-K2477,"")</f>
        <v/>
      </c>
      <c r="AC2477" s="168" t="str">
        <f t="shared" si="7"/>
        <v>HOU,2017-18</v>
      </c>
    </row>
    <row r="2478">
      <c r="A2478" s="161" t="str">
        <f>IFERROR(__xludf.DUMMYFUNCTION("""COMPUTED_VALUE"""),"cartevi01")</f>
        <v>cartevi01</v>
      </c>
      <c r="B2478" s="161" t="str">
        <f>IFERROR(__xludf.DUMMYFUNCTION("""COMPUTED_VALUE"""),"Vince Carter")</f>
        <v>Vince Carter</v>
      </c>
      <c r="C2478" s="162" t="str">
        <f>IFERROR(__xludf.DUMMYFUNCTION("""COMPUTED_VALUE"""),"2018-19")</f>
        <v>2018-19</v>
      </c>
      <c r="D2478" s="163" t="str">
        <f>IFERROR(__xludf.DUMMYFUNCTION("""COMPUTED_VALUE"""),"ATL")</f>
        <v>ATL</v>
      </c>
      <c r="E2478" s="164" t="str">
        <f>IFERROR(__xludf.DUMMYFUNCTION("""COMPUTED_VALUE"""),"Stationary Shooter")</f>
        <v>Stationary Shooter</v>
      </c>
      <c r="F2478" s="164">
        <f>IFERROR(__xludf.DUMMYFUNCTION("""COMPUTED_VALUE"""),1330.35666666667)</f>
        <v>1330.356667</v>
      </c>
      <c r="G2478" s="163">
        <f>IFERROR(__xludf.DUMMYFUNCTION("""COMPUTED_VALUE"""),76.0)</f>
        <v>76</v>
      </c>
      <c r="H2478" s="163" t="str">
        <f>IFERROR(__xludf.DUMMYFUNCTION("""COMPUTED_VALUE"""),"PF")</f>
        <v>PF</v>
      </c>
      <c r="I2478" s="163">
        <f>IFERROR(__xludf.DUMMYFUNCTION("""COMPUTED_VALUE"""),42.0)</f>
        <v>42</v>
      </c>
      <c r="J2478" s="165">
        <f>IFERROR(__xludf.DUMMYFUNCTION("""COMPUTED_VALUE"""),-1.17399245577551)</f>
        <v>-1.173992456</v>
      </c>
      <c r="K2478" s="165">
        <f>IFERROR(__xludf.DUMMYFUNCTION("""COMPUTED_VALUE"""),-1.06310918243093)</f>
        <v>-1.063109182</v>
      </c>
      <c r="L2478" s="165">
        <f>IFERROR(__xludf.DUMMYFUNCTION("""COMPUTED_VALUE"""),-0.110883273344585)</f>
        <v>-0.1108832733</v>
      </c>
      <c r="M2478" s="166">
        <f t="shared" si="2"/>
        <v>1.000008985</v>
      </c>
      <c r="N2478" s="167">
        <f t="shared" si="3"/>
        <v>17.50469298</v>
      </c>
      <c r="O2478" s="163">
        <f t="shared" ref="O2478:Q2478" si="2482">rank(I2478,I:I)</f>
        <v>2</v>
      </c>
      <c r="P2478" s="163">
        <f t="shared" si="2482"/>
        <v>2709</v>
      </c>
      <c r="Q2478" s="163">
        <f t="shared" si="2482"/>
        <v>2888</v>
      </c>
      <c r="R2478" s="163">
        <f>IFERROR(__xludf.DUMMYFUNCTION("RANK(M2478,filter(M:M,C:C=C2478))"),223.0)</f>
        <v>223</v>
      </c>
      <c r="S2478" s="161" t="b">
        <f t="shared" si="5"/>
        <v>0</v>
      </c>
      <c r="T2478" s="161" t="b">
        <f t="array" ref="T2478">index('Query Tool'!B:B,match(H2478,'Query Tool'!C:C,0))</f>
        <v>1</v>
      </c>
      <c r="U2478" s="161" t="b">
        <f t="array" ref="U2478">index('Query Tool'!B:B,match(C2478,'Query Tool'!C:C,0))</f>
        <v>0</v>
      </c>
      <c r="V2478" s="161" t="b">
        <f>F2478&gt;='Query Tool'!C$32</f>
        <v>1</v>
      </c>
      <c r="W2478" s="161" t="b">
        <f t="array" ref="W2478">index(Dropdowns!B:B,match(I2478,Dropdowns!A:A,0))</f>
        <v>1</v>
      </c>
      <c r="X2478" s="161" t="b">
        <f t="array" ref="X2478">index('Query Tool'!B:B,match(D2478,'Query Tool'!C:C,0))</f>
        <v>1</v>
      </c>
      <c r="Y2478" s="161" t="str">
        <f t="shared" si="6"/>
        <v>cartevi01,2018-19</v>
      </c>
      <c r="Z2478" s="168">
        <f t="array" ref="Z2478">iferror(index(I:I,match($A2478&amp;","&amp;index('Year Conversion'!$A:$A,match($C2478,'Year Conversion'!$B:$B,0)),$Y:$Y,0))-I2478,"")</f>
        <v>1</v>
      </c>
      <c r="AA2478" s="168">
        <f t="array" ref="AA2478">iferror(index(J:J,match($A2478&amp;","&amp;index('Year Conversion'!$A:$A,match($C2478,'Year Conversion'!$B:$B,0)),$Y:$Y,0))-J2478,"")</f>
        <v>-1.207337902</v>
      </c>
      <c r="AB2478" s="168">
        <f t="array" ref="AB2478">iferror(index(K:K,match($A2478&amp;","&amp;index('Year Conversion'!$A:$A,match($C2478,'Year Conversion'!$B:$B,0)),$Y:$Y,0))-K2478,"")</f>
        <v>-0.5500610292</v>
      </c>
      <c r="AC2478" s="168" t="str">
        <f t="shared" si="7"/>
        <v>ATL,2018-19</v>
      </c>
    </row>
    <row r="2479">
      <c r="A2479" s="161" t="str">
        <f>IFERROR(__xludf.DUMMYFUNCTION("""COMPUTED_VALUE"""),"nowitdi01")</f>
        <v>nowitdi01</v>
      </c>
      <c r="B2479" s="161" t="str">
        <f>IFERROR(__xludf.DUMMYFUNCTION("""COMPUTED_VALUE"""),"Dirk Nowitzki")</f>
        <v>Dirk Nowitzki</v>
      </c>
      <c r="C2479" s="162" t="str">
        <f>IFERROR(__xludf.DUMMYFUNCTION("""COMPUTED_VALUE"""),"2018-19")</f>
        <v>2018-19</v>
      </c>
      <c r="D2479" s="163" t="str">
        <f>IFERROR(__xludf.DUMMYFUNCTION("""COMPUTED_VALUE"""),"DAL")</f>
        <v>DAL</v>
      </c>
      <c r="E2479" s="164" t="str">
        <f>IFERROR(__xludf.DUMMYFUNCTION("""COMPUTED_VALUE"""),"Versatile Big")</f>
        <v>Versatile Big</v>
      </c>
      <c r="F2479" s="164">
        <f>IFERROR(__xludf.DUMMYFUNCTION("""COMPUTED_VALUE"""),795.14)</f>
        <v>795.14</v>
      </c>
      <c r="G2479" s="163">
        <f>IFERROR(__xludf.DUMMYFUNCTION("""COMPUTED_VALUE"""),51.0)</f>
        <v>51</v>
      </c>
      <c r="H2479" s="163" t="str">
        <f>IFERROR(__xludf.DUMMYFUNCTION("""COMPUTED_VALUE"""),"PF")</f>
        <v>PF</v>
      </c>
      <c r="I2479" s="163">
        <f>IFERROR(__xludf.DUMMYFUNCTION("""COMPUTED_VALUE"""),40.0)</f>
        <v>40</v>
      </c>
      <c r="J2479" s="165">
        <f>IFERROR(__xludf.DUMMYFUNCTION("""COMPUTED_VALUE"""),-1.05028472199551)</f>
        <v>-1.050284722</v>
      </c>
      <c r="K2479" s="165">
        <f>IFERROR(__xludf.DUMMYFUNCTION("""COMPUTED_VALUE"""),-0.344218812773174)</f>
        <v>-0.3442188128</v>
      </c>
      <c r="L2479" s="165">
        <f>IFERROR(__xludf.DUMMYFUNCTION("""COMPUTED_VALUE"""),-0.706065909222339)</f>
        <v>-0.7060659092</v>
      </c>
      <c r="M2479" s="166">
        <f t="shared" si="2"/>
        <v>0.6636703567</v>
      </c>
      <c r="N2479" s="167">
        <f t="shared" si="3"/>
        <v>15.59098039</v>
      </c>
      <c r="O2479" s="163">
        <f t="shared" ref="O2479:Q2479" si="2483">rank(I2479,I:I)</f>
        <v>4</v>
      </c>
      <c r="P2479" s="163">
        <f t="shared" si="2483"/>
        <v>2551</v>
      </c>
      <c r="Q2479" s="163">
        <f t="shared" si="2483"/>
        <v>1839</v>
      </c>
      <c r="R2479" s="163">
        <f>IFERROR(__xludf.DUMMYFUNCTION("RANK(M2479,filter(M:M,C:C=C2479))"),264.0)</f>
        <v>264</v>
      </c>
      <c r="S2479" s="161" t="b">
        <f t="shared" si="5"/>
        <v>0</v>
      </c>
      <c r="T2479" s="161" t="b">
        <f t="array" ref="T2479">index('Query Tool'!B:B,match(H2479,'Query Tool'!C:C,0))</f>
        <v>1</v>
      </c>
      <c r="U2479" s="161" t="b">
        <f t="array" ref="U2479">index('Query Tool'!B:B,match(C2479,'Query Tool'!C:C,0))</f>
        <v>0</v>
      </c>
      <c r="V2479" s="161" t="b">
        <f>F2479&gt;='Query Tool'!C$32</f>
        <v>1</v>
      </c>
      <c r="W2479" s="161" t="b">
        <f t="array" ref="W2479">index(Dropdowns!B:B,match(I2479,Dropdowns!A:A,0))</f>
        <v>1</v>
      </c>
      <c r="X2479" s="161" t="b">
        <f t="array" ref="X2479">index('Query Tool'!B:B,match(D2479,'Query Tool'!C:C,0))</f>
        <v>1</v>
      </c>
      <c r="Y2479" s="161" t="str">
        <f t="shared" si="6"/>
        <v>nowitdi01,2018-19</v>
      </c>
      <c r="Z2479" s="168" t="str">
        <f t="array" ref="Z2479">iferror(index(I:I,match($A2479&amp;","&amp;index('Year Conversion'!$A:$A,match($C2479,'Year Conversion'!$B:$B,0)),$Y:$Y,0))-I2479,"")</f>
        <v/>
      </c>
      <c r="AA2479" s="168" t="str">
        <f t="array" ref="AA2479">iferror(index(J:J,match($A2479&amp;","&amp;index('Year Conversion'!$A:$A,match($C2479,'Year Conversion'!$B:$B,0)),$Y:$Y,0))-J2479,"")</f>
        <v/>
      </c>
      <c r="AB2479" s="168" t="str">
        <f t="array" ref="AB2479">iferror(index(K:K,match($A2479&amp;","&amp;index('Year Conversion'!$A:$A,match($C2479,'Year Conversion'!$B:$B,0)),$Y:$Y,0))-K2479,"")</f>
        <v/>
      </c>
      <c r="AC2479" s="168" t="str">
        <f t="shared" si="7"/>
        <v>DAL,2018-19</v>
      </c>
    </row>
    <row r="2480">
      <c r="A2480" s="161" t="str">
        <f>IFERROR(__xludf.DUMMYFUNCTION("""COMPUTED_VALUE"""),"crawfja01")</f>
        <v>crawfja01</v>
      </c>
      <c r="B2480" s="161" t="str">
        <f>IFERROR(__xludf.DUMMYFUNCTION("""COMPUTED_VALUE"""),"Jamal Crawford")</f>
        <v>Jamal Crawford</v>
      </c>
      <c r="C2480" s="162" t="str">
        <f>IFERROR(__xludf.DUMMYFUNCTION("""COMPUTED_VALUE"""),"2018-19")</f>
        <v>2018-19</v>
      </c>
      <c r="D2480" s="163" t="str">
        <f>IFERROR(__xludf.DUMMYFUNCTION("""COMPUTED_VALUE"""),"PHO")</f>
        <v>PHO</v>
      </c>
      <c r="E2480" s="164" t="str">
        <f>IFERROR(__xludf.DUMMYFUNCTION("""COMPUTED_VALUE"""),"Primary Ball Handler")</f>
        <v>Primary Ball Handler</v>
      </c>
      <c r="F2480" s="164">
        <f>IFERROR(__xludf.DUMMYFUNCTION("""COMPUTED_VALUE"""),1210.91166666667)</f>
        <v>1210.911667</v>
      </c>
      <c r="G2480" s="163">
        <f>IFERROR(__xludf.DUMMYFUNCTION("""COMPUTED_VALUE"""),64.0)</f>
        <v>64</v>
      </c>
      <c r="H2480" s="163" t="str">
        <f>IFERROR(__xludf.DUMMYFUNCTION("""COMPUTED_VALUE"""),"SG")</f>
        <v>SG</v>
      </c>
      <c r="I2480" s="163">
        <f>IFERROR(__xludf.DUMMYFUNCTION("""COMPUTED_VALUE"""),38.0)</f>
        <v>38</v>
      </c>
      <c r="J2480" s="165">
        <f>IFERROR(__xludf.DUMMYFUNCTION("""COMPUTED_VALUE"""),-4.13504203284682)</f>
        <v>-4.135042033</v>
      </c>
      <c r="K2480" s="165">
        <f>IFERROR(__xludf.DUMMYFUNCTION("""COMPUTED_VALUE"""),-0.85148765024636)</f>
        <v>-0.8514876502</v>
      </c>
      <c r="L2480" s="165">
        <f>IFERROR(__xludf.DUMMYFUNCTION("""COMPUTED_VALUE"""),-3.28355438260046)</f>
        <v>-3.283554383</v>
      </c>
      <c r="M2480" s="166">
        <f t="shared" si="2"/>
        <v>-1.430992433</v>
      </c>
      <c r="N2480" s="167">
        <f t="shared" si="3"/>
        <v>18.92049479</v>
      </c>
      <c r="O2480" s="163">
        <f t="shared" ref="O2480:Q2480" si="2484">rank(I2480,I:I)</f>
        <v>20</v>
      </c>
      <c r="P2480" s="163">
        <f t="shared" si="2484"/>
        <v>4000</v>
      </c>
      <c r="Q2480" s="163">
        <f t="shared" si="2484"/>
        <v>2625</v>
      </c>
      <c r="R2480" s="163">
        <f>IFERROR(__xludf.DUMMYFUNCTION("RANK(M2480,filter(M:M,C:C=C2480))"),527.0)</f>
        <v>527</v>
      </c>
      <c r="S2480" s="161" t="b">
        <f t="shared" si="5"/>
        <v>0</v>
      </c>
      <c r="T2480" s="161" t="b">
        <f t="array" ref="T2480">index('Query Tool'!B:B,match(H2480,'Query Tool'!C:C,0))</f>
        <v>1</v>
      </c>
      <c r="U2480" s="161" t="b">
        <f t="array" ref="U2480">index('Query Tool'!B:B,match(C2480,'Query Tool'!C:C,0))</f>
        <v>0</v>
      </c>
      <c r="V2480" s="161" t="b">
        <f>F2480&gt;='Query Tool'!C$32</f>
        <v>1</v>
      </c>
      <c r="W2480" s="161" t="b">
        <f t="array" ref="W2480">index(Dropdowns!B:B,match(I2480,Dropdowns!A:A,0))</f>
        <v>1</v>
      </c>
      <c r="X2480" s="161" t="b">
        <f t="array" ref="X2480">index('Query Tool'!B:B,match(D2480,'Query Tool'!C:C,0))</f>
        <v>1</v>
      </c>
      <c r="Y2480" s="161" t="str">
        <f t="shared" si="6"/>
        <v>crawfja01,2018-19</v>
      </c>
      <c r="Z2480" s="168">
        <f t="array" ref="Z2480">iferror(index(I:I,match($A2480&amp;","&amp;index('Year Conversion'!$A:$A,match($C2480,'Year Conversion'!$B:$B,0)),$Y:$Y,0))-I2480,"")</f>
        <v>1</v>
      </c>
      <c r="AA2480" s="168">
        <f t="array" ref="AA2480">iferror(index(J:J,match($A2480&amp;","&amp;index('Year Conversion'!$A:$A,match($C2480,'Year Conversion'!$B:$B,0)),$Y:$Y,0))-J2480,"")</f>
        <v>3.952625234</v>
      </c>
      <c r="AB2480" s="168">
        <f t="array" ref="AB2480">iferror(index(K:K,match($A2480&amp;","&amp;index('Year Conversion'!$A:$A,match($C2480,'Year Conversion'!$B:$B,0)),$Y:$Y,0))-K2480,"")</f>
        <v>0.7279318449</v>
      </c>
      <c r="AC2480" s="168" t="str">
        <f t="shared" si="7"/>
        <v>PHO,2018-19</v>
      </c>
    </row>
    <row r="2481">
      <c r="A2481" s="161" t="str">
        <f>IFERROR(__xludf.DUMMYFUNCTION("""COMPUTED_VALUE"""),"chandty01")</f>
        <v>chandty01</v>
      </c>
      <c r="B2481" s="161" t="str">
        <f>IFERROR(__xludf.DUMMYFUNCTION("""COMPUTED_VALUE"""),"Tyson Chandler")</f>
        <v>Tyson Chandler</v>
      </c>
      <c r="C2481" s="162" t="str">
        <f>IFERROR(__xludf.DUMMYFUNCTION("""COMPUTED_VALUE"""),"2018-19")</f>
        <v>2018-19</v>
      </c>
      <c r="D2481" s="163" t="str">
        <f>IFERROR(__xludf.DUMMYFUNCTION("""COMPUTED_VALUE"""),"TOT")</f>
        <v>TOT</v>
      </c>
      <c r="E2481" s="164" t="str">
        <f>IFERROR(__xludf.DUMMYFUNCTION("""COMPUTED_VALUE"""),"Roll + Cut Big")</f>
        <v>Roll + Cut Big</v>
      </c>
      <c r="F2481" s="164">
        <f>IFERROR(__xludf.DUMMYFUNCTION("""COMPUTED_VALUE"""),874.756666666667)</f>
        <v>874.7566667</v>
      </c>
      <c r="G2481" s="163">
        <f>IFERROR(__xludf.DUMMYFUNCTION("""COMPUTED_VALUE"""),55.0)</f>
        <v>55</v>
      </c>
      <c r="H2481" s="163" t="str">
        <f>IFERROR(__xludf.DUMMYFUNCTION("""COMPUTED_VALUE"""),"C")</f>
        <v>C</v>
      </c>
      <c r="I2481" s="163">
        <f>IFERROR(__xludf.DUMMYFUNCTION("""COMPUTED_VALUE"""),36.0)</f>
        <v>36</v>
      </c>
      <c r="J2481" s="165">
        <f>IFERROR(__xludf.DUMMYFUNCTION("""COMPUTED_VALUE"""),-1.02351020309939)</f>
        <v>-1.023510203</v>
      </c>
      <c r="K2481" s="165">
        <f>IFERROR(__xludf.DUMMYFUNCTION("""COMPUTED_VALUE"""),-2.89419852995864)</f>
        <v>-2.89419853</v>
      </c>
      <c r="L2481" s="165">
        <f>IFERROR(__xludf.DUMMYFUNCTION("""COMPUTED_VALUE"""),1.87068832685924)</f>
        <v>1.870688327</v>
      </c>
      <c r="M2481" s="166">
        <f t="shared" si="2"/>
        <v>0.7458428649</v>
      </c>
      <c r="N2481" s="167">
        <f t="shared" si="3"/>
        <v>15.90466667</v>
      </c>
      <c r="O2481" s="163">
        <f t="shared" ref="O2481:Q2481" si="2485">rank(I2481,I:I)</f>
        <v>65</v>
      </c>
      <c r="P2481" s="163">
        <f t="shared" si="2485"/>
        <v>2529</v>
      </c>
      <c r="Q2481" s="163">
        <f t="shared" si="2485"/>
        <v>3965</v>
      </c>
      <c r="R2481" s="163">
        <f>IFERROR(__xludf.DUMMYFUNCTION("RANK(M2481,filter(M:M,C:C=C2481))"),253.0)</f>
        <v>253</v>
      </c>
      <c r="S2481" s="161" t="b">
        <f t="shared" si="5"/>
        <v>0</v>
      </c>
      <c r="T2481" s="161" t="b">
        <f t="array" ref="T2481">index('Query Tool'!B:B,match(H2481,'Query Tool'!C:C,0))</f>
        <v>1</v>
      </c>
      <c r="U2481" s="161" t="b">
        <f t="array" ref="U2481">index('Query Tool'!B:B,match(C2481,'Query Tool'!C:C,0))</f>
        <v>0</v>
      </c>
      <c r="V2481" s="161" t="b">
        <f>F2481&gt;='Query Tool'!C$32</f>
        <v>1</v>
      </c>
      <c r="W2481" s="161" t="b">
        <f t="array" ref="W2481">index(Dropdowns!B:B,match(I2481,Dropdowns!A:A,0))</f>
        <v>1</v>
      </c>
      <c r="X2481" s="161" t="b">
        <f t="array" ref="X2481">index('Query Tool'!B:B,match(D2481,'Query Tool'!C:C,0))</f>
        <v>1</v>
      </c>
      <c r="Y2481" s="161" t="str">
        <f t="shared" si="6"/>
        <v>chandty01,2018-19</v>
      </c>
      <c r="Z2481" s="168">
        <f t="array" ref="Z2481">iferror(index(I:I,match($A2481&amp;","&amp;index('Year Conversion'!$A:$A,match($C2481,'Year Conversion'!$B:$B,0)),$Y:$Y,0))-I2481,"")</f>
        <v>1</v>
      </c>
      <c r="AA2481" s="168">
        <f t="array" ref="AA2481">iferror(index(J:J,match($A2481&amp;","&amp;index('Year Conversion'!$A:$A,match($C2481,'Year Conversion'!$B:$B,0)),$Y:$Y,0))-J2481,"")</f>
        <v>-0.0959768734</v>
      </c>
      <c r="AB2481" s="168">
        <f t="array" ref="AB2481">iferror(index(K:K,match($A2481&amp;","&amp;index('Year Conversion'!$A:$A,match($C2481,'Year Conversion'!$B:$B,0)),$Y:$Y,0))-K2481,"")</f>
        <v>1.354149433</v>
      </c>
      <c r="AC2481" s="168" t="str">
        <f t="shared" si="7"/>
        <v>TOT,2018-19</v>
      </c>
    </row>
    <row r="2482">
      <c r="A2482" s="161" t="str">
        <f>IFERROR(__xludf.DUMMYFUNCTION("""COMPUTED_VALUE"""),"gasolpa01")</f>
        <v>gasolpa01</v>
      </c>
      <c r="B2482" s="161" t="str">
        <f>IFERROR(__xludf.DUMMYFUNCTION("""COMPUTED_VALUE"""),"Pau Gasol")</f>
        <v>Pau Gasol</v>
      </c>
      <c r="C2482" s="162" t="str">
        <f>IFERROR(__xludf.DUMMYFUNCTION("""COMPUTED_VALUE"""),"2018-19")</f>
        <v>2018-19</v>
      </c>
      <c r="D2482" s="163" t="str">
        <f>IFERROR(__xludf.DUMMYFUNCTION("""COMPUTED_VALUE"""),"TOT")</f>
        <v>TOT</v>
      </c>
      <c r="E2482" s="164" t="str">
        <f>IFERROR(__xludf.DUMMYFUNCTION("""COMPUTED_VALUE"""),"Post Scorer")</f>
        <v>Post Scorer</v>
      </c>
      <c r="F2482" s="164">
        <f>IFERROR(__xludf.DUMMYFUNCTION("""COMPUTED_VALUE"""),360.545)</f>
        <v>360.545</v>
      </c>
      <c r="G2482" s="163">
        <f>IFERROR(__xludf.DUMMYFUNCTION("""COMPUTED_VALUE"""),30.0)</f>
        <v>30</v>
      </c>
      <c r="H2482" s="163" t="str">
        <f>IFERROR(__xludf.DUMMYFUNCTION("""COMPUTED_VALUE"""),"C")</f>
        <v>C</v>
      </c>
      <c r="I2482" s="163">
        <f>IFERROR(__xludf.DUMMYFUNCTION("""COMPUTED_VALUE"""),38.0)</f>
        <v>38</v>
      </c>
      <c r="J2482" s="165">
        <f>IFERROR(__xludf.DUMMYFUNCTION("""COMPUTED_VALUE"""),1.03035011312345)</f>
        <v>1.030350113</v>
      </c>
      <c r="K2482" s="165">
        <f>IFERROR(__xludf.DUMMYFUNCTION("""COMPUTED_VALUE"""),-0.538576205948648)</f>
        <v>-0.5385762059</v>
      </c>
      <c r="L2482" s="165">
        <f>IFERROR(__xludf.DUMMYFUNCTION("""COMPUTED_VALUE"""),1.5689263190721)</f>
        <v>1.568926319</v>
      </c>
      <c r="M2482" s="166">
        <f t="shared" si="2"/>
        <v>0.8059246395</v>
      </c>
      <c r="N2482" s="167">
        <f t="shared" si="3"/>
        <v>12.01816667</v>
      </c>
      <c r="O2482" s="163">
        <f t="shared" ref="O2482:Q2482" si="2486">rank(I2482,I:I)</f>
        <v>20</v>
      </c>
      <c r="P2482" s="163">
        <f t="shared" si="2486"/>
        <v>646</v>
      </c>
      <c r="Q2482" s="163">
        <f t="shared" si="2486"/>
        <v>2172</v>
      </c>
      <c r="R2482" s="163">
        <f>IFERROR(__xludf.DUMMYFUNCTION("RANK(M2482,filter(M:M,C:C=C2482))"),238.0)</f>
        <v>238</v>
      </c>
      <c r="S2482" s="161" t="b">
        <f t="shared" si="5"/>
        <v>0</v>
      </c>
      <c r="T2482" s="161" t="b">
        <f t="array" ref="T2482">index('Query Tool'!B:B,match(H2482,'Query Tool'!C:C,0))</f>
        <v>1</v>
      </c>
      <c r="U2482" s="161" t="b">
        <f t="array" ref="U2482">index('Query Tool'!B:B,match(C2482,'Query Tool'!C:C,0))</f>
        <v>0</v>
      </c>
      <c r="V2482" s="161" t="b">
        <f>F2482&gt;='Query Tool'!C$32</f>
        <v>0</v>
      </c>
      <c r="W2482" s="161" t="b">
        <f t="array" ref="W2482">index(Dropdowns!B:B,match(I2482,Dropdowns!A:A,0))</f>
        <v>1</v>
      </c>
      <c r="X2482" s="161" t="b">
        <f t="array" ref="X2482">index('Query Tool'!B:B,match(D2482,'Query Tool'!C:C,0))</f>
        <v>1</v>
      </c>
      <c r="Y2482" s="161" t="str">
        <f t="shared" si="6"/>
        <v>gasolpa01,2018-19</v>
      </c>
      <c r="Z2482" s="168" t="str">
        <f t="array" ref="Z2482">iferror(index(I:I,match($A2482&amp;","&amp;index('Year Conversion'!$A:$A,match($C2482,'Year Conversion'!$B:$B,0)),$Y:$Y,0))-I2482,"")</f>
        <v/>
      </c>
      <c r="AA2482" s="168" t="str">
        <f t="array" ref="AA2482">iferror(index(J:J,match($A2482&amp;","&amp;index('Year Conversion'!$A:$A,match($C2482,'Year Conversion'!$B:$B,0)),$Y:$Y,0))-J2482,"")</f>
        <v/>
      </c>
      <c r="AB2482" s="168" t="str">
        <f t="array" ref="AB2482">iferror(index(K:K,match($A2482&amp;","&amp;index('Year Conversion'!$A:$A,match($C2482,'Year Conversion'!$B:$B,0)),$Y:$Y,0))-K2482,"")</f>
        <v/>
      </c>
      <c r="AC2482" s="168" t="str">
        <f t="shared" si="7"/>
        <v>TOT,2018-19</v>
      </c>
    </row>
    <row r="2483">
      <c r="A2483" s="161" t="str">
        <f>IFERROR(__xludf.DUMMYFUNCTION("""COMPUTED_VALUE"""),"parketo01")</f>
        <v>parketo01</v>
      </c>
      <c r="B2483" s="161" t="str">
        <f>IFERROR(__xludf.DUMMYFUNCTION("""COMPUTED_VALUE"""),"Tony Parker")</f>
        <v>Tony Parker</v>
      </c>
      <c r="C2483" s="162" t="str">
        <f>IFERROR(__xludf.DUMMYFUNCTION("""COMPUTED_VALUE"""),"2018-19")</f>
        <v>2018-19</v>
      </c>
      <c r="D2483" s="163" t="str">
        <f>IFERROR(__xludf.DUMMYFUNCTION("""COMPUTED_VALUE"""),"CHO")</f>
        <v>CHO</v>
      </c>
      <c r="E2483" s="164" t="str">
        <f>IFERROR(__xludf.DUMMYFUNCTION("""COMPUTED_VALUE"""),"Slasher")</f>
        <v>Slasher</v>
      </c>
      <c r="F2483" s="164">
        <f>IFERROR(__xludf.DUMMYFUNCTION("""COMPUTED_VALUE"""),1002.80166666667)</f>
        <v>1002.801667</v>
      </c>
      <c r="G2483" s="163">
        <f>IFERROR(__xludf.DUMMYFUNCTION("""COMPUTED_VALUE"""),56.0)</f>
        <v>56</v>
      </c>
      <c r="H2483" s="163" t="str">
        <f>IFERROR(__xludf.DUMMYFUNCTION("""COMPUTED_VALUE"""),"PG")</f>
        <v>PG</v>
      </c>
      <c r="I2483" s="163">
        <f>IFERROR(__xludf.DUMMYFUNCTION("""COMPUTED_VALUE"""),36.0)</f>
        <v>36</v>
      </c>
      <c r="J2483" s="165">
        <f>IFERROR(__xludf.DUMMYFUNCTION("""COMPUTED_VALUE"""),-1.74258958484871)</f>
        <v>-1.742589585</v>
      </c>
      <c r="K2483" s="165">
        <f>IFERROR(__xludf.DUMMYFUNCTION("""COMPUTED_VALUE"""),-0.0651389322184483)</f>
        <v>-0.06513893222</v>
      </c>
      <c r="L2483" s="165">
        <f>IFERROR(__xludf.DUMMYFUNCTION("""COMPUTED_VALUE"""),-1.67745065263026)</f>
        <v>-1.677450653</v>
      </c>
      <c r="M2483" s="166">
        <f t="shared" si="2"/>
        <v>0.3728031047</v>
      </c>
      <c r="N2483" s="167">
        <f t="shared" si="3"/>
        <v>17.90717262</v>
      </c>
      <c r="O2483" s="163">
        <f t="shared" ref="O2483:Q2483" si="2487">rank(I2483,I:I)</f>
        <v>65</v>
      </c>
      <c r="P2483" s="163">
        <f t="shared" si="2487"/>
        <v>3287</v>
      </c>
      <c r="Q2483" s="163">
        <f t="shared" si="2487"/>
        <v>1296</v>
      </c>
      <c r="R2483" s="163">
        <f>IFERROR(__xludf.DUMMYFUNCTION("RANK(M2483,filter(M:M,C:C=C2483))"),309.0)</f>
        <v>309</v>
      </c>
      <c r="S2483" s="161" t="b">
        <f t="shared" si="5"/>
        <v>0</v>
      </c>
      <c r="T2483" s="161" t="b">
        <f t="array" ref="T2483">index('Query Tool'!B:B,match(H2483,'Query Tool'!C:C,0))</f>
        <v>1</v>
      </c>
      <c r="U2483" s="161" t="b">
        <f t="array" ref="U2483">index('Query Tool'!B:B,match(C2483,'Query Tool'!C:C,0))</f>
        <v>0</v>
      </c>
      <c r="V2483" s="161" t="b">
        <f>F2483&gt;='Query Tool'!C$32</f>
        <v>1</v>
      </c>
      <c r="W2483" s="161" t="b">
        <f t="array" ref="W2483">index(Dropdowns!B:B,match(I2483,Dropdowns!A:A,0))</f>
        <v>1</v>
      </c>
      <c r="X2483" s="161" t="b">
        <f t="array" ref="X2483">index('Query Tool'!B:B,match(D2483,'Query Tool'!C:C,0))</f>
        <v>1</v>
      </c>
      <c r="Y2483" s="161" t="str">
        <f t="shared" si="6"/>
        <v>parketo01,2018-19</v>
      </c>
      <c r="Z2483" s="168" t="str">
        <f t="array" ref="Z2483">iferror(index(I:I,match($A2483&amp;","&amp;index('Year Conversion'!$A:$A,match($C2483,'Year Conversion'!$B:$B,0)),$Y:$Y,0))-I2483,"")</f>
        <v/>
      </c>
      <c r="AA2483" s="168" t="str">
        <f t="array" ref="AA2483">iferror(index(J:J,match($A2483&amp;","&amp;index('Year Conversion'!$A:$A,match($C2483,'Year Conversion'!$B:$B,0)),$Y:$Y,0))-J2483,"")</f>
        <v/>
      </c>
      <c r="AB2483" s="168" t="str">
        <f t="array" ref="AB2483">iferror(index(K:K,match($A2483&amp;","&amp;index('Year Conversion'!$A:$A,match($C2483,'Year Conversion'!$B:$B,0)),$Y:$Y,0))-K2483,"")</f>
        <v/>
      </c>
      <c r="AC2483" s="168" t="str">
        <f t="shared" si="7"/>
        <v>CHO,2018-19</v>
      </c>
    </row>
    <row r="2484">
      <c r="A2484" s="161" t="str">
        <f>IFERROR(__xludf.DUMMYFUNCTION("""COMPUTED_VALUE"""),"hilarne01")</f>
        <v>hilarne01</v>
      </c>
      <c r="B2484" s="161" t="str">
        <f>IFERROR(__xludf.DUMMYFUNCTION("""COMPUTED_VALUE"""),"Nene")</f>
        <v>Nene</v>
      </c>
      <c r="C2484" s="162" t="str">
        <f>IFERROR(__xludf.DUMMYFUNCTION("""COMPUTED_VALUE"""),"2018-19")</f>
        <v>2018-19</v>
      </c>
      <c r="D2484" s="163" t="str">
        <f>IFERROR(__xludf.DUMMYFUNCTION("""COMPUTED_VALUE"""),"HOU")</f>
        <v>HOU</v>
      </c>
      <c r="E2484" s="164" t="str">
        <f>IFERROR(__xludf.DUMMYFUNCTION("""COMPUTED_VALUE"""),"Roll + Cut Big")</f>
        <v>Roll + Cut Big</v>
      </c>
      <c r="F2484" s="164">
        <f>IFERROR(__xludf.DUMMYFUNCTION("""COMPUTED_VALUE"""),545.783333333333)</f>
        <v>545.7833333</v>
      </c>
      <c r="G2484" s="163">
        <f>IFERROR(__xludf.DUMMYFUNCTION("""COMPUTED_VALUE"""),42.0)</f>
        <v>42</v>
      </c>
      <c r="H2484" s="163" t="str">
        <f>IFERROR(__xludf.DUMMYFUNCTION("""COMPUTED_VALUE"""),"C")</f>
        <v>C</v>
      </c>
      <c r="I2484" s="163">
        <f>IFERROR(__xludf.DUMMYFUNCTION("""COMPUTED_VALUE"""),36.0)</f>
        <v>36</v>
      </c>
      <c r="J2484" s="165">
        <f>IFERROR(__xludf.DUMMYFUNCTION("""COMPUTED_VALUE"""),-1.25129890144906)</f>
        <v>-1.251298901</v>
      </c>
      <c r="K2484" s="165">
        <f>IFERROR(__xludf.DUMMYFUNCTION("""COMPUTED_VALUE"""),-1.63014887767742)</f>
        <v>-1.630148878</v>
      </c>
      <c r="L2484" s="165">
        <f>IFERROR(__xludf.DUMMYFUNCTION("""COMPUTED_VALUE"""),0.37884997622836)</f>
        <v>0.3788499762</v>
      </c>
      <c r="M2484" s="166">
        <f t="shared" si="2"/>
        <v>0.381984953</v>
      </c>
      <c r="N2484" s="167">
        <f t="shared" si="3"/>
        <v>12.99484127</v>
      </c>
      <c r="O2484" s="163">
        <f t="shared" ref="O2484:Q2484" si="2488">rank(I2484,I:I)</f>
        <v>65</v>
      </c>
      <c r="P2484" s="163">
        <f t="shared" si="2488"/>
        <v>2818</v>
      </c>
      <c r="Q2484" s="163">
        <f t="shared" si="2488"/>
        <v>3467</v>
      </c>
      <c r="R2484" s="163">
        <f>IFERROR(__xludf.DUMMYFUNCTION("RANK(M2484,filter(M:M,C:C=C2484))"),306.0)</f>
        <v>306</v>
      </c>
      <c r="S2484" s="161" t="b">
        <f t="shared" si="5"/>
        <v>0</v>
      </c>
      <c r="T2484" s="161" t="b">
        <f t="array" ref="T2484">index('Query Tool'!B:B,match(H2484,'Query Tool'!C:C,0))</f>
        <v>1</v>
      </c>
      <c r="U2484" s="161" t="b">
        <f t="array" ref="U2484">index('Query Tool'!B:B,match(C2484,'Query Tool'!C:C,0))</f>
        <v>0</v>
      </c>
      <c r="V2484" s="161" t="b">
        <f>F2484&gt;='Query Tool'!C$32</f>
        <v>1</v>
      </c>
      <c r="W2484" s="161" t="b">
        <f t="array" ref="W2484">index(Dropdowns!B:B,match(I2484,Dropdowns!A:A,0))</f>
        <v>1</v>
      </c>
      <c r="X2484" s="161" t="b">
        <f t="array" ref="X2484">index('Query Tool'!B:B,match(D2484,'Query Tool'!C:C,0))</f>
        <v>1</v>
      </c>
      <c r="Y2484" s="161" t="str">
        <f t="shared" si="6"/>
        <v>hilarne01,2018-19</v>
      </c>
      <c r="Z2484" s="168" t="str">
        <f t="array" ref="Z2484">iferror(index(I:I,match($A2484&amp;","&amp;index('Year Conversion'!$A:$A,match($C2484,'Year Conversion'!$B:$B,0)),$Y:$Y,0))-I2484,"")</f>
        <v/>
      </c>
      <c r="AA2484" s="168" t="str">
        <f t="array" ref="AA2484">iferror(index(J:J,match($A2484&amp;","&amp;index('Year Conversion'!$A:$A,match($C2484,'Year Conversion'!$B:$B,0)),$Y:$Y,0))-J2484,"")</f>
        <v/>
      </c>
      <c r="AB2484" s="168" t="str">
        <f t="array" ref="AB2484">iferror(index(K:K,match($A2484&amp;","&amp;index('Year Conversion'!$A:$A,match($C2484,'Year Conversion'!$B:$B,0)),$Y:$Y,0))-K2484,"")</f>
        <v/>
      </c>
      <c r="AC2484" s="168" t="str">
        <f t="shared" si="7"/>
        <v>HOU,2018-19</v>
      </c>
    </row>
    <row r="2485">
      <c r="A2485" s="161" t="str">
        <f>IFERROR(__xludf.DUMMYFUNCTION("""COMPUTED_VALUE"""),"jamesle01")</f>
        <v>jamesle01</v>
      </c>
      <c r="B2485" s="161" t="str">
        <f>IFERROR(__xludf.DUMMYFUNCTION("""COMPUTED_VALUE"""),"LeBron James")</f>
        <v>LeBron James</v>
      </c>
      <c r="C2485" s="162" t="str">
        <f>IFERROR(__xludf.DUMMYFUNCTION("""COMPUTED_VALUE"""),"2018-19")</f>
        <v>2018-19</v>
      </c>
      <c r="D2485" s="163" t="str">
        <f>IFERROR(__xludf.DUMMYFUNCTION("""COMPUTED_VALUE"""),"LAL")</f>
        <v>LAL</v>
      </c>
      <c r="E2485" s="164" t="str">
        <f>IFERROR(__xludf.DUMMYFUNCTION("""COMPUTED_VALUE"""),"Shot Creator")</f>
        <v>Shot Creator</v>
      </c>
      <c r="F2485" s="164">
        <f>IFERROR(__xludf.DUMMYFUNCTION("""COMPUTED_VALUE"""),1937.40166666667)</f>
        <v>1937.401667</v>
      </c>
      <c r="G2485" s="163">
        <f>IFERROR(__xludf.DUMMYFUNCTION("""COMPUTED_VALUE"""),55.0)</f>
        <v>55</v>
      </c>
      <c r="H2485" s="163" t="str">
        <f>IFERROR(__xludf.DUMMYFUNCTION("""COMPUTED_VALUE"""),"SF")</f>
        <v>SF</v>
      </c>
      <c r="I2485" s="163">
        <f>IFERROR(__xludf.DUMMYFUNCTION("""COMPUTED_VALUE"""),34.0)</f>
        <v>34</v>
      </c>
      <c r="J2485" s="165">
        <f>IFERROR(__xludf.DUMMYFUNCTION("""COMPUTED_VALUE"""),4.82349018992439)</f>
        <v>4.82349019</v>
      </c>
      <c r="K2485" s="165">
        <f>IFERROR(__xludf.DUMMYFUNCTION("""COMPUTED_VALUE"""),3.861142677041)</f>
        <v>3.861142677</v>
      </c>
      <c r="L2485" s="165">
        <f>IFERROR(__xludf.DUMMYFUNCTION("""COMPUTED_VALUE"""),0.962347512883391)</f>
        <v>0.9623475129</v>
      </c>
      <c r="M2485" s="166">
        <f t="shared" si="2"/>
        <v>9.091106917</v>
      </c>
      <c r="N2485" s="167">
        <f t="shared" si="3"/>
        <v>35.22548485</v>
      </c>
      <c r="O2485" s="163">
        <f t="shared" ref="O2485:Q2485" si="2489">rank(I2485,I:I)</f>
        <v>164</v>
      </c>
      <c r="P2485" s="163">
        <f t="shared" si="2489"/>
        <v>55</v>
      </c>
      <c r="Q2485" s="163">
        <f t="shared" si="2489"/>
        <v>68</v>
      </c>
      <c r="R2485" s="163">
        <f>IFERROR(__xludf.DUMMYFUNCTION("RANK(M2485,filter(M:M,C:C=C2485))"),19.0)</f>
        <v>19</v>
      </c>
      <c r="S2485" s="161" t="b">
        <f t="shared" si="5"/>
        <v>0</v>
      </c>
      <c r="T2485" s="161" t="b">
        <f t="array" ref="T2485">index('Query Tool'!B:B,match(H2485,'Query Tool'!C:C,0))</f>
        <v>1</v>
      </c>
      <c r="U2485" s="161" t="b">
        <f t="array" ref="U2485">index('Query Tool'!B:B,match(C2485,'Query Tool'!C:C,0))</f>
        <v>0</v>
      </c>
      <c r="V2485" s="161" t="b">
        <f>F2485&gt;='Query Tool'!C$32</f>
        <v>1</v>
      </c>
      <c r="W2485" s="161" t="b">
        <f t="array" ref="W2485">index(Dropdowns!B:B,match(I2485,Dropdowns!A:A,0))</f>
        <v>1</v>
      </c>
      <c r="X2485" s="161" t="b">
        <f t="array" ref="X2485">index('Query Tool'!B:B,match(D2485,'Query Tool'!C:C,0))</f>
        <v>1</v>
      </c>
      <c r="Y2485" s="161" t="str">
        <f t="shared" si="6"/>
        <v>jamesle01,2018-19</v>
      </c>
      <c r="Z2485" s="168">
        <f t="array" ref="Z2485">iferror(index(I:I,match($A2485&amp;","&amp;index('Year Conversion'!$A:$A,match($C2485,'Year Conversion'!$B:$B,0)),$Y:$Y,0))-I2485,"")</f>
        <v>1</v>
      </c>
      <c r="AA2485" s="168">
        <f t="array" ref="AA2485">iferror(index(J:J,match($A2485&amp;","&amp;index('Year Conversion'!$A:$A,match($C2485,'Year Conversion'!$B:$B,0)),$Y:$Y,0))-J2485,"")</f>
        <v>0.5548142999</v>
      </c>
      <c r="AB2485" s="168">
        <f t="array" ref="AB2485">iferror(index(K:K,match($A2485&amp;","&amp;index('Year Conversion'!$A:$A,match($C2485,'Year Conversion'!$B:$B,0)),$Y:$Y,0))-K2485,"")</f>
        <v>0.5778987125</v>
      </c>
      <c r="AC2485" s="168" t="str">
        <f t="shared" si="7"/>
        <v>LAL,2018-19</v>
      </c>
    </row>
    <row r="2486">
      <c r="A2486" s="161" t="str">
        <f>IFERROR(__xludf.DUMMYFUNCTION("""COMPUTED_VALUE"""),"anthoca01")</f>
        <v>anthoca01</v>
      </c>
      <c r="B2486" s="161" t="str">
        <f>IFERROR(__xludf.DUMMYFUNCTION("""COMPUTED_VALUE"""),"Carmelo Anthony")</f>
        <v>Carmelo Anthony</v>
      </c>
      <c r="C2486" s="162" t="str">
        <f>IFERROR(__xludf.DUMMYFUNCTION("""COMPUTED_VALUE"""),"2018-19")</f>
        <v>2018-19</v>
      </c>
      <c r="D2486" s="163" t="str">
        <f>IFERROR(__xludf.DUMMYFUNCTION("""COMPUTED_VALUE"""),"HOU")</f>
        <v>HOU</v>
      </c>
      <c r="E2486" s="164" t="str">
        <f>IFERROR(__xludf.DUMMYFUNCTION("""COMPUTED_VALUE"""),"Stationary Shooter")</f>
        <v>Stationary Shooter</v>
      </c>
      <c r="F2486" s="164">
        <f>IFERROR(__xludf.DUMMYFUNCTION("""COMPUTED_VALUE"""),294.141666666667)</f>
        <v>294.1416667</v>
      </c>
      <c r="G2486" s="163">
        <f>IFERROR(__xludf.DUMMYFUNCTION("""COMPUTED_VALUE"""),10.0)</f>
        <v>10</v>
      </c>
      <c r="H2486" s="163" t="str">
        <f>IFERROR(__xludf.DUMMYFUNCTION("""COMPUTED_VALUE"""),"PF")</f>
        <v>PF</v>
      </c>
      <c r="I2486" s="163">
        <f>IFERROR(__xludf.DUMMYFUNCTION("""COMPUTED_VALUE"""),34.0)</f>
        <v>34</v>
      </c>
      <c r="J2486" s="165">
        <f>IFERROR(__xludf.DUMMYFUNCTION("""COMPUTED_VALUE"""),-1.78083754624293)</f>
        <v>-1.780837546</v>
      </c>
      <c r="K2486" s="165">
        <f>IFERROR(__xludf.DUMMYFUNCTION("""COMPUTED_VALUE"""),-1.02240549525813)</f>
        <v>-1.022405495</v>
      </c>
      <c r="L2486" s="165">
        <f>IFERROR(__xludf.DUMMYFUNCTION("""COMPUTED_VALUE"""),-0.758432050984799)</f>
        <v>-0.758432051</v>
      </c>
      <c r="M2486" s="166">
        <f t="shared" si="2"/>
        <v>0.1018629844</v>
      </c>
      <c r="N2486" s="167">
        <f t="shared" si="3"/>
        <v>29.41416667</v>
      </c>
      <c r="O2486" s="163">
        <f t="shared" ref="O2486:Q2486" si="2490">rank(I2486,I:I)</f>
        <v>164</v>
      </c>
      <c r="P2486" s="163">
        <f t="shared" si="2490"/>
        <v>3311</v>
      </c>
      <c r="Q2486" s="163">
        <f t="shared" si="2490"/>
        <v>2832</v>
      </c>
      <c r="R2486" s="163">
        <f>IFERROR(__xludf.DUMMYFUNCTION("RANK(M2486,filter(M:M,C:C=C2486))"),391.0)</f>
        <v>391</v>
      </c>
      <c r="S2486" s="161" t="b">
        <f t="shared" si="5"/>
        <v>0</v>
      </c>
      <c r="T2486" s="161" t="b">
        <f t="array" ref="T2486">index('Query Tool'!B:B,match(H2486,'Query Tool'!C:C,0))</f>
        <v>1</v>
      </c>
      <c r="U2486" s="161" t="b">
        <f t="array" ref="U2486">index('Query Tool'!B:B,match(C2486,'Query Tool'!C:C,0))</f>
        <v>0</v>
      </c>
      <c r="V2486" s="161" t="b">
        <f>F2486&gt;='Query Tool'!C$32</f>
        <v>0</v>
      </c>
      <c r="W2486" s="161" t="b">
        <f t="array" ref="W2486">index(Dropdowns!B:B,match(I2486,Dropdowns!A:A,0))</f>
        <v>1</v>
      </c>
      <c r="X2486" s="161" t="b">
        <f t="array" ref="X2486">index('Query Tool'!B:B,match(D2486,'Query Tool'!C:C,0))</f>
        <v>1</v>
      </c>
      <c r="Y2486" s="161" t="str">
        <f t="shared" si="6"/>
        <v>anthoca01,2018-19</v>
      </c>
      <c r="Z2486" s="168">
        <f t="array" ref="Z2486">iferror(index(I:I,match($A2486&amp;","&amp;index('Year Conversion'!$A:$A,match($C2486,'Year Conversion'!$B:$B,0)),$Y:$Y,0))-I2486,"")</f>
        <v>1</v>
      </c>
      <c r="AA2486" s="168">
        <f t="array" ref="AA2486">iferror(index(J:J,match($A2486&amp;","&amp;index('Year Conversion'!$A:$A,match($C2486,'Year Conversion'!$B:$B,0)),$Y:$Y,0))-J2486,"")</f>
        <v>1.328576898</v>
      </c>
      <c r="AB2486" s="168">
        <f t="array" ref="AB2486">iferror(index(K:K,match($A2486&amp;","&amp;index('Year Conversion'!$A:$A,match($C2486,'Year Conversion'!$B:$B,0)),$Y:$Y,0))-K2486,"")</f>
        <v>0.6306363432</v>
      </c>
      <c r="AC2486" s="168" t="str">
        <f t="shared" si="7"/>
        <v>HOU,2018-19</v>
      </c>
    </row>
    <row r="2487">
      <c r="A2487" s="161" t="str">
        <f>IFERROR(__xludf.DUMMYFUNCTION("""COMPUTED_VALUE"""),"wadedw01")</f>
        <v>wadedw01</v>
      </c>
      <c r="B2487" s="161" t="str">
        <f>IFERROR(__xludf.DUMMYFUNCTION("""COMPUTED_VALUE"""),"Dwyane Wade")</f>
        <v>Dwyane Wade</v>
      </c>
      <c r="C2487" s="162" t="str">
        <f>IFERROR(__xludf.DUMMYFUNCTION("""COMPUTED_VALUE"""),"2018-19")</f>
        <v>2018-19</v>
      </c>
      <c r="D2487" s="163" t="str">
        <f>IFERROR(__xludf.DUMMYFUNCTION("""COMPUTED_VALUE"""),"MIA")</f>
        <v>MIA</v>
      </c>
      <c r="E2487" s="164" t="str">
        <f>IFERROR(__xludf.DUMMYFUNCTION("""COMPUTED_VALUE"""),"Shot Creator")</f>
        <v>Shot Creator</v>
      </c>
      <c r="F2487" s="164">
        <f>IFERROR(__xludf.DUMMYFUNCTION("""COMPUTED_VALUE"""),1885.22666666667)</f>
        <v>1885.226667</v>
      </c>
      <c r="G2487" s="163">
        <f>IFERROR(__xludf.DUMMYFUNCTION("""COMPUTED_VALUE"""),72.0)</f>
        <v>72</v>
      </c>
      <c r="H2487" s="163" t="str">
        <f>IFERROR(__xludf.DUMMYFUNCTION("""COMPUTED_VALUE"""),"SG")</f>
        <v>SG</v>
      </c>
      <c r="I2487" s="163">
        <f>IFERROR(__xludf.DUMMYFUNCTION("""COMPUTED_VALUE"""),37.0)</f>
        <v>37</v>
      </c>
      <c r="J2487" s="165">
        <f>IFERROR(__xludf.DUMMYFUNCTION("""COMPUTED_VALUE"""),-1.56043674461596)</f>
        <v>-1.560436745</v>
      </c>
      <c r="K2487" s="165">
        <f>IFERROR(__xludf.DUMMYFUNCTION("""COMPUTED_VALUE"""),0.33231209928784)</f>
        <v>0.3323120993</v>
      </c>
      <c r="L2487" s="165">
        <f>IFERROR(__xludf.DUMMYFUNCTION("""COMPUTED_VALUE"""),-1.8927488439038)</f>
        <v>-1.892748844</v>
      </c>
      <c r="M2487" s="166">
        <f t="shared" si="2"/>
        <v>0.9297567509</v>
      </c>
      <c r="N2487" s="167">
        <f t="shared" si="3"/>
        <v>26.1837037</v>
      </c>
      <c r="O2487" s="163">
        <f t="shared" ref="O2487:Q2487" si="2491">rank(I2487,I:I)</f>
        <v>38</v>
      </c>
      <c r="P2487" s="163">
        <f t="shared" si="2491"/>
        <v>3110</v>
      </c>
      <c r="Q2487" s="163">
        <f t="shared" si="2491"/>
        <v>880</v>
      </c>
      <c r="R2487" s="163">
        <f>IFERROR(__xludf.DUMMYFUNCTION("RANK(M2487,filter(M:M,C:C=C2487))"),231.0)</f>
        <v>231</v>
      </c>
      <c r="S2487" s="161" t="b">
        <f t="shared" si="5"/>
        <v>0</v>
      </c>
      <c r="T2487" s="161" t="b">
        <f t="array" ref="T2487">index('Query Tool'!B:B,match(H2487,'Query Tool'!C:C,0))</f>
        <v>1</v>
      </c>
      <c r="U2487" s="161" t="b">
        <f t="array" ref="U2487">index('Query Tool'!B:B,match(C2487,'Query Tool'!C:C,0))</f>
        <v>0</v>
      </c>
      <c r="V2487" s="161" t="b">
        <f>F2487&gt;='Query Tool'!C$32</f>
        <v>1</v>
      </c>
      <c r="W2487" s="161" t="b">
        <f t="array" ref="W2487">index(Dropdowns!B:B,match(I2487,Dropdowns!A:A,0))</f>
        <v>1</v>
      </c>
      <c r="X2487" s="161" t="b">
        <f t="array" ref="X2487">index('Query Tool'!B:B,match(D2487,'Query Tool'!C:C,0))</f>
        <v>1</v>
      </c>
      <c r="Y2487" s="161" t="str">
        <f t="shared" si="6"/>
        <v>wadedw01,2018-19</v>
      </c>
      <c r="Z2487" s="168" t="str">
        <f t="array" ref="Z2487">iferror(index(I:I,match($A2487&amp;","&amp;index('Year Conversion'!$A:$A,match($C2487,'Year Conversion'!$B:$B,0)),$Y:$Y,0))-I2487,"")</f>
        <v/>
      </c>
      <c r="AA2487" s="168" t="str">
        <f t="array" ref="AA2487">iferror(index(J:J,match($A2487&amp;","&amp;index('Year Conversion'!$A:$A,match($C2487,'Year Conversion'!$B:$B,0)),$Y:$Y,0))-J2487,"")</f>
        <v/>
      </c>
      <c r="AB2487" s="168" t="str">
        <f t="array" ref="AB2487">iferror(index(K:K,match($A2487&amp;","&amp;index('Year Conversion'!$A:$A,match($C2487,'Year Conversion'!$B:$B,0)),$Y:$Y,0))-K2487,"")</f>
        <v/>
      </c>
      <c r="AC2487" s="168" t="str">
        <f t="shared" si="7"/>
        <v>MIA,2018-19</v>
      </c>
    </row>
    <row r="2488">
      <c r="A2488" s="161" t="str">
        <f>IFERROR(__xludf.DUMMYFUNCTION("""COMPUTED_VALUE"""),"pachuza01")</f>
        <v>pachuza01</v>
      </c>
      <c r="B2488" s="161" t="str">
        <f>IFERROR(__xludf.DUMMYFUNCTION("""COMPUTED_VALUE"""),"Zaza Pachulia")</f>
        <v>Zaza Pachulia</v>
      </c>
      <c r="C2488" s="162" t="str">
        <f>IFERROR(__xludf.DUMMYFUNCTION("""COMPUTED_VALUE"""),"2018-19")</f>
        <v>2018-19</v>
      </c>
      <c r="D2488" s="163" t="str">
        <f>IFERROR(__xludf.DUMMYFUNCTION("""COMPUTED_VALUE"""),"DET")</f>
        <v>DET</v>
      </c>
      <c r="E2488" s="164" t="str">
        <f>IFERROR(__xludf.DUMMYFUNCTION("""COMPUTED_VALUE"""),"Roll + Cut Big")</f>
        <v>Roll + Cut Big</v>
      </c>
      <c r="F2488" s="164">
        <f>IFERROR(__xludf.DUMMYFUNCTION("""COMPUTED_VALUE"""),878.165)</f>
        <v>878.165</v>
      </c>
      <c r="G2488" s="163">
        <f>IFERROR(__xludf.DUMMYFUNCTION("""COMPUTED_VALUE"""),68.0)</f>
        <v>68</v>
      </c>
      <c r="H2488" s="163" t="str">
        <f>IFERROR(__xludf.DUMMYFUNCTION("""COMPUTED_VALUE"""),"C")</f>
        <v>C</v>
      </c>
      <c r="I2488" s="163">
        <f>IFERROR(__xludf.DUMMYFUNCTION("""COMPUTED_VALUE"""),34.0)</f>
        <v>34</v>
      </c>
      <c r="J2488" s="165">
        <f>IFERROR(__xludf.DUMMYFUNCTION("""COMPUTED_VALUE"""),-0.944678010196024)</f>
        <v>-0.9446780102</v>
      </c>
      <c r="K2488" s="165">
        <f>IFERROR(__xludf.DUMMYFUNCTION("""COMPUTED_VALUE"""),-1.86974175120046)</f>
        <v>-1.869741751</v>
      </c>
      <c r="L2488" s="165">
        <f>IFERROR(__xludf.DUMMYFUNCTION("""COMPUTED_VALUE"""),0.925063741004431)</f>
        <v>0.925063741</v>
      </c>
      <c r="M2488" s="166">
        <f t="shared" si="2"/>
        <v>0.7952335346</v>
      </c>
      <c r="N2488" s="167">
        <f t="shared" si="3"/>
        <v>12.91419118</v>
      </c>
      <c r="O2488" s="163">
        <f t="shared" ref="O2488:Q2488" si="2492">rank(I2488,I:I)</f>
        <v>164</v>
      </c>
      <c r="P2488" s="163">
        <f t="shared" si="2492"/>
        <v>2444</v>
      </c>
      <c r="Q2488" s="163">
        <f t="shared" si="2492"/>
        <v>3623</v>
      </c>
      <c r="R2488" s="163">
        <f>IFERROR(__xludf.DUMMYFUNCTION("RANK(M2488,filter(M:M,C:C=C2488))"),241.0)</f>
        <v>241</v>
      </c>
      <c r="S2488" s="161" t="b">
        <f t="shared" si="5"/>
        <v>0</v>
      </c>
      <c r="T2488" s="161" t="b">
        <f t="array" ref="T2488">index('Query Tool'!B:B,match(H2488,'Query Tool'!C:C,0))</f>
        <v>1</v>
      </c>
      <c r="U2488" s="161" t="b">
        <f t="array" ref="U2488">index('Query Tool'!B:B,match(C2488,'Query Tool'!C:C,0))</f>
        <v>0</v>
      </c>
      <c r="V2488" s="161" t="b">
        <f>F2488&gt;='Query Tool'!C$32</f>
        <v>1</v>
      </c>
      <c r="W2488" s="161" t="b">
        <f t="array" ref="W2488">index(Dropdowns!B:B,match(I2488,Dropdowns!A:A,0))</f>
        <v>1</v>
      </c>
      <c r="X2488" s="161" t="b">
        <f t="array" ref="X2488">index('Query Tool'!B:B,match(D2488,'Query Tool'!C:C,0))</f>
        <v>1</v>
      </c>
      <c r="Y2488" s="161" t="str">
        <f t="shared" si="6"/>
        <v>pachuza01,2018-19</v>
      </c>
      <c r="Z2488" s="168" t="str">
        <f t="array" ref="Z2488">iferror(index(I:I,match($A2488&amp;","&amp;index('Year Conversion'!$A:$A,match($C2488,'Year Conversion'!$B:$B,0)),$Y:$Y,0))-I2488,"")</f>
        <v/>
      </c>
      <c r="AA2488" s="168" t="str">
        <f t="array" ref="AA2488">iferror(index(J:J,match($A2488&amp;","&amp;index('Year Conversion'!$A:$A,match($C2488,'Year Conversion'!$B:$B,0)),$Y:$Y,0))-J2488,"")</f>
        <v/>
      </c>
      <c r="AB2488" s="168" t="str">
        <f t="array" ref="AB2488">iferror(index(K:K,match($A2488&amp;","&amp;index('Year Conversion'!$A:$A,match($C2488,'Year Conversion'!$B:$B,0)),$Y:$Y,0))-K2488,"")</f>
        <v/>
      </c>
      <c r="AC2488" s="168" t="str">
        <f t="shared" si="7"/>
        <v>DET,2018-19</v>
      </c>
    </row>
    <row r="2489">
      <c r="A2489" s="161" t="str">
        <f>IFERROR(__xludf.DUMMYFUNCTION("""COMPUTED_VALUE"""),"korveky01")</f>
        <v>korveky01</v>
      </c>
      <c r="B2489" s="161" t="str">
        <f>IFERROR(__xludf.DUMMYFUNCTION("""COMPUTED_VALUE"""),"Kyle Korver")</f>
        <v>Kyle Korver</v>
      </c>
      <c r="C2489" s="162" t="str">
        <f>IFERROR(__xludf.DUMMYFUNCTION("""COMPUTED_VALUE"""),"2018-19")</f>
        <v>2018-19</v>
      </c>
      <c r="D2489" s="163" t="str">
        <f>IFERROR(__xludf.DUMMYFUNCTION("""COMPUTED_VALUE"""),"TOT")</f>
        <v>TOT</v>
      </c>
      <c r="E2489" s="164" t="str">
        <f>IFERROR(__xludf.DUMMYFUNCTION("""COMPUTED_VALUE"""),"Off Screen Shooter")</f>
        <v>Off Screen Shooter</v>
      </c>
      <c r="F2489" s="164">
        <f>IFERROR(__xludf.DUMMYFUNCTION("""COMPUTED_VALUE"""),1333.89)</f>
        <v>1333.89</v>
      </c>
      <c r="G2489" s="163">
        <f>IFERROR(__xludf.DUMMYFUNCTION("""COMPUTED_VALUE"""),70.0)</f>
        <v>70</v>
      </c>
      <c r="H2489" s="163" t="str">
        <f>IFERROR(__xludf.DUMMYFUNCTION("""COMPUTED_VALUE"""),"SG-PF")</f>
        <v>SG-PF</v>
      </c>
      <c r="I2489" s="163">
        <f>IFERROR(__xludf.DUMMYFUNCTION("""COMPUTED_VALUE"""),37.0)</f>
        <v>37</v>
      </c>
      <c r="J2489" s="165">
        <f>IFERROR(__xludf.DUMMYFUNCTION("""COMPUTED_VALUE"""),-0.68789576982013)</f>
        <v>-0.6878957698</v>
      </c>
      <c r="K2489" s="165">
        <f>IFERROR(__xludf.DUMMYFUNCTION("""COMPUTED_VALUE"""),-0.2056787173108)</f>
        <v>-0.2056787173</v>
      </c>
      <c r="L2489" s="165">
        <f>IFERROR(__xludf.DUMMYFUNCTION("""COMPUTED_VALUE"""),-0.48221705250933)</f>
        <v>-0.4822170525</v>
      </c>
      <c r="M2489" s="166">
        <f t="shared" si="2"/>
        <v>1.438198825</v>
      </c>
      <c r="N2489" s="167">
        <f t="shared" si="3"/>
        <v>19.05557143</v>
      </c>
      <c r="O2489" s="163">
        <f t="shared" ref="O2489:Q2489" si="2493">rank(I2489,I:I)</f>
        <v>38</v>
      </c>
      <c r="P2489" s="163">
        <f t="shared" si="2493"/>
        <v>2123</v>
      </c>
      <c r="Q2489" s="163">
        <f t="shared" si="2493"/>
        <v>1569</v>
      </c>
      <c r="R2489" s="163">
        <f>IFERROR(__xludf.DUMMYFUNCTION("RANK(M2489,filter(M:M,C:C=C2489))"),190.0)</f>
        <v>190</v>
      </c>
      <c r="S2489" s="161" t="b">
        <f t="shared" si="5"/>
        <v>0</v>
      </c>
      <c r="T2489" s="161" t="str">
        <f t="array" ref="T2489">index('Query Tool'!B:B,match(H2489,'Query Tool'!C:C,0))</f>
        <v>#N/A</v>
      </c>
      <c r="U2489" s="161" t="b">
        <f t="array" ref="U2489">index('Query Tool'!B:B,match(C2489,'Query Tool'!C:C,0))</f>
        <v>0</v>
      </c>
      <c r="V2489" s="161" t="b">
        <f>F2489&gt;='Query Tool'!C$32</f>
        <v>1</v>
      </c>
      <c r="W2489" s="161" t="b">
        <f t="array" ref="W2489">index(Dropdowns!B:B,match(I2489,Dropdowns!A:A,0))</f>
        <v>1</v>
      </c>
      <c r="X2489" s="161" t="b">
        <f t="array" ref="X2489">index('Query Tool'!B:B,match(D2489,'Query Tool'!C:C,0))</f>
        <v>1</v>
      </c>
      <c r="Y2489" s="161" t="str">
        <f t="shared" si="6"/>
        <v>korveky01,2018-19</v>
      </c>
      <c r="Z2489" s="168">
        <f t="array" ref="Z2489">iferror(index(I:I,match($A2489&amp;","&amp;index('Year Conversion'!$A:$A,match($C2489,'Year Conversion'!$B:$B,0)),$Y:$Y,0))-I2489,"")</f>
        <v>1</v>
      </c>
      <c r="AA2489" s="168">
        <f t="array" ref="AA2489">iferror(index(J:J,match($A2489&amp;","&amp;index('Year Conversion'!$A:$A,match($C2489,'Year Conversion'!$B:$B,0)),$Y:$Y,0))-J2489,"")</f>
        <v>0.7133428571</v>
      </c>
      <c r="AB2489" s="168">
        <f t="array" ref="AB2489">iferror(index(K:K,match($A2489&amp;","&amp;index('Year Conversion'!$A:$A,match($C2489,'Year Conversion'!$B:$B,0)),$Y:$Y,0))-K2489,"")</f>
        <v>0.5467012842</v>
      </c>
      <c r="AC2489" s="168" t="str">
        <f t="shared" si="7"/>
        <v>TOT,2018-19</v>
      </c>
    </row>
    <row r="2490">
      <c r="A2490" s="161" t="str">
        <f>IFERROR(__xludf.DUMMYFUNCTION("""COMPUTED_VALUE"""),"hasleud01")</f>
        <v>hasleud01</v>
      </c>
      <c r="B2490" s="161" t="str">
        <f>IFERROR(__xludf.DUMMYFUNCTION("""COMPUTED_VALUE"""),"Udonis Haslem")</f>
        <v>Udonis Haslem</v>
      </c>
      <c r="C2490" s="162" t="str">
        <f>IFERROR(__xludf.DUMMYFUNCTION("""COMPUTED_VALUE"""),"2018-19")</f>
        <v>2018-19</v>
      </c>
      <c r="D2490" s="163" t="str">
        <f>IFERROR(__xludf.DUMMYFUNCTION("""COMPUTED_VALUE"""),"MIA")</f>
        <v>MIA</v>
      </c>
      <c r="E2490" s="164" t="str">
        <f>IFERROR(__xludf.DUMMYFUNCTION("""COMPUTED_VALUE"""),"Stretch Big")</f>
        <v>Stretch Big</v>
      </c>
      <c r="F2490" s="164">
        <f>IFERROR(__xludf.DUMMYFUNCTION("""COMPUTED_VALUE"""),74.5)</f>
        <v>74.5</v>
      </c>
      <c r="G2490" s="163">
        <f>IFERROR(__xludf.DUMMYFUNCTION("""COMPUTED_VALUE"""),10.0)</f>
        <v>10</v>
      </c>
      <c r="H2490" s="163" t="str">
        <f>IFERROR(__xludf.DUMMYFUNCTION("""COMPUTED_VALUE"""),"C")</f>
        <v>C</v>
      </c>
      <c r="I2490" s="163">
        <f>IFERROR(__xludf.DUMMYFUNCTION("""COMPUTED_VALUE"""),38.0)</f>
        <v>38</v>
      </c>
      <c r="J2490" s="165">
        <f>IFERROR(__xludf.DUMMYFUNCTION("""COMPUTED_VALUE"""),-0.336117937243734)</f>
        <v>-0.3361179372</v>
      </c>
      <c r="K2490" s="165">
        <f>IFERROR(__xludf.DUMMYFUNCTION("""COMPUTED_VALUE"""),-0.371998627370222)</f>
        <v>-0.3719986274</v>
      </c>
      <c r="L2490" s="165">
        <f>IFERROR(__xludf.DUMMYFUNCTION("""COMPUTED_VALUE"""),0.0358806901264875)</f>
        <v>0.03588069013</v>
      </c>
      <c r="M2490" s="166">
        <f t="shared" si="2"/>
        <v>0.09797457262</v>
      </c>
      <c r="N2490" s="167">
        <f t="shared" si="3"/>
        <v>7.45</v>
      </c>
      <c r="O2490" s="163">
        <f t="shared" ref="O2490:Q2490" si="2494">rank(I2490,I:I)</f>
        <v>20</v>
      </c>
      <c r="P2490" s="163">
        <f t="shared" si="2494"/>
        <v>1655</v>
      </c>
      <c r="Q2490" s="163">
        <f t="shared" si="2494"/>
        <v>1898</v>
      </c>
      <c r="R2490" s="163">
        <f>IFERROR(__xludf.DUMMYFUNCTION("RANK(M2490,filter(M:M,C:C=C2490))"),395.0)</f>
        <v>395</v>
      </c>
      <c r="S2490" s="161" t="b">
        <f t="shared" si="5"/>
        <v>0</v>
      </c>
      <c r="T2490" s="161" t="b">
        <f t="array" ref="T2490">index('Query Tool'!B:B,match(H2490,'Query Tool'!C:C,0))</f>
        <v>1</v>
      </c>
      <c r="U2490" s="161" t="b">
        <f t="array" ref="U2490">index('Query Tool'!B:B,match(C2490,'Query Tool'!C:C,0))</f>
        <v>0</v>
      </c>
      <c r="V2490" s="161" t="b">
        <f>F2490&gt;='Query Tool'!C$32</f>
        <v>0</v>
      </c>
      <c r="W2490" s="161" t="b">
        <f t="array" ref="W2490">index(Dropdowns!B:B,match(I2490,Dropdowns!A:A,0))</f>
        <v>1</v>
      </c>
      <c r="X2490" s="161" t="b">
        <f t="array" ref="X2490">index('Query Tool'!B:B,match(D2490,'Query Tool'!C:C,0))</f>
        <v>1</v>
      </c>
      <c r="Y2490" s="161" t="str">
        <f t="shared" si="6"/>
        <v>hasleud01,2018-19</v>
      </c>
      <c r="Z2490" s="168">
        <f t="array" ref="Z2490">iferror(index(I:I,match($A2490&amp;","&amp;index('Year Conversion'!$A:$A,match($C2490,'Year Conversion'!$B:$B,0)),$Y:$Y,0))-I2490,"")</f>
        <v>1</v>
      </c>
      <c r="AA2490" s="168">
        <f t="array" ref="AA2490">iferror(index(J:J,match($A2490&amp;","&amp;index('Year Conversion'!$A:$A,match($C2490,'Year Conversion'!$B:$B,0)),$Y:$Y,0))-J2490,"")</f>
        <v>-0.7186221696</v>
      </c>
      <c r="AB2490" s="168">
        <f t="array" ref="AB2490">iferror(index(K:K,match($A2490&amp;","&amp;index('Year Conversion'!$A:$A,match($C2490,'Year Conversion'!$B:$B,0)),$Y:$Y,0))-K2490,"")</f>
        <v>-0.4841676979</v>
      </c>
      <c r="AC2490" s="168" t="str">
        <f t="shared" si="7"/>
        <v>MIA,2018-19</v>
      </c>
    </row>
    <row r="2491">
      <c r="A2491" s="161" t="str">
        <f>IFERROR(__xludf.DUMMYFUNCTION("""COMPUTED_VALUE"""),"howardw01")</f>
        <v>howardw01</v>
      </c>
      <c r="B2491" s="161" t="str">
        <f>IFERROR(__xludf.DUMMYFUNCTION("""COMPUTED_VALUE"""),"Dwight Howard")</f>
        <v>Dwight Howard</v>
      </c>
      <c r="C2491" s="162" t="str">
        <f>IFERROR(__xludf.DUMMYFUNCTION("""COMPUTED_VALUE"""),"2018-19")</f>
        <v>2018-19</v>
      </c>
      <c r="D2491" s="163" t="str">
        <f>IFERROR(__xludf.DUMMYFUNCTION("""COMPUTED_VALUE"""),"WAS")</f>
        <v>WAS</v>
      </c>
      <c r="E2491" s="164" t="str">
        <f>IFERROR(__xludf.DUMMYFUNCTION("""COMPUTED_VALUE"""),"Post Scorer")</f>
        <v>Post Scorer</v>
      </c>
      <c r="F2491" s="164">
        <f>IFERROR(__xludf.DUMMYFUNCTION("""COMPUTED_VALUE"""),229.536666666667)</f>
        <v>229.5366667</v>
      </c>
      <c r="G2491" s="163">
        <f>IFERROR(__xludf.DUMMYFUNCTION("""COMPUTED_VALUE"""),9.0)</f>
        <v>9</v>
      </c>
      <c r="H2491" s="163" t="str">
        <f>IFERROR(__xludf.DUMMYFUNCTION("""COMPUTED_VALUE"""),"C")</f>
        <v>C</v>
      </c>
      <c r="I2491" s="163">
        <f>IFERROR(__xludf.DUMMYFUNCTION("""COMPUTED_VALUE"""),33.0)</f>
        <v>33</v>
      </c>
      <c r="J2491" s="165">
        <f>IFERROR(__xludf.DUMMYFUNCTION("""COMPUTED_VALUE"""),-0.454833933041569)</f>
        <v>-0.454833933</v>
      </c>
      <c r="K2491" s="165">
        <f>IFERROR(__xludf.DUMMYFUNCTION("""COMPUTED_VALUE"""),-1.02935397664511)</f>
        <v>-1.029353977</v>
      </c>
      <c r="L2491" s="165">
        <f>IFERROR(__xludf.DUMMYFUNCTION("""COMPUTED_VALUE"""),0.574520043603542)</f>
        <v>0.5745200436</v>
      </c>
      <c r="M2491" s="166">
        <f t="shared" si="2"/>
        <v>0.2835031141</v>
      </c>
      <c r="N2491" s="167">
        <f t="shared" si="3"/>
        <v>25.50407407</v>
      </c>
      <c r="O2491" s="163">
        <f t="shared" ref="O2491:Q2491" si="2495">rank(I2491,I:I)</f>
        <v>246</v>
      </c>
      <c r="P2491" s="163">
        <f t="shared" si="2495"/>
        <v>1781</v>
      </c>
      <c r="Q2491" s="163">
        <f t="shared" si="2495"/>
        <v>2840</v>
      </c>
      <c r="R2491" s="163">
        <f>IFERROR(__xludf.DUMMYFUNCTION("RANK(M2491,filter(M:M,C:C=C2491))"),326.0)</f>
        <v>326</v>
      </c>
      <c r="S2491" s="161" t="b">
        <f t="shared" si="5"/>
        <v>0</v>
      </c>
      <c r="T2491" s="161" t="b">
        <f t="array" ref="T2491">index('Query Tool'!B:B,match(H2491,'Query Tool'!C:C,0))</f>
        <v>1</v>
      </c>
      <c r="U2491" s="161" t="b">
        <f t="array" ref="U2491">index('Query Tool'!B:B,match(C2491,'Query Tool'!C:C,0))</f>
        <v>0</v>
      </c>
      <c r="V2491" s="161" t="b">
        <f>F2491&gt;='Query Tool'!C$32</f>
        <v>0</v>
      </c>
      <c r="W2491" s="161" t="b">
        <f t="array" ref="W2491">index(Dropdowns!B:B,match(I2491,Dropdowns!A:A,0))</f>
        <v>1</v>
      </c>
      <c r="X2491" s="161" t="b">
        <f t="array" ref="X2491">index('Query Tool'!B:B,match(D2491,'Query Tool'!C:C,0))</f>
        <v>1</v>
      </c>
      <c r="Y2491" s="161" t="str">
        <f t="shared" si="6"/>
        <v>howardw01,2018-19</v>
      </c>
      <c r="Z2491" s="168">
        <f t="array" ref="Z2491">iferror(index(I:I,match($A2491&amp;","&amp;index('Year Conversion'!$A:$A,match($C2491,'Year Conversion'!$B:$B,0)),$Y:$Y,0))-I2491,"")</f>
        <v>1</v>
      </c>
      <c r="AA2491" s="168">
        <f t="array" ref="AA2491">iferror(index(J:J,match($A2491&amp;","&amp;index('Year Conversion'!$A:$A,match($C2491,'Year Conversion'!$B:$B,0)),$Y:$Y,0))-J2491,"")</f>
        <v>1.070881899</v>
      </c>
      <c r="AB2491" s="168">
        <f t="array" ref="AB2491">iferror(index(K:K,match($A2491&amp;","&amp;index('Year Conversion'!$A:$A,match($C2491,'Year Conversion'!$B:$B,0)),$Y:$Y,0))-K2491,"")</f>
        <v>0.125362814</v>
      </c>
      <c r="AC2491" s="168" t="str">
        <f t="shared" si="7"/>
        <v>WAS,2018-19</v>
      </c>
    </row>
    <row r="2492">
      <c r="A2492" s="161" t="str">
        <f>IFERROR(__xludf.DUMMYFUNCTION("""COMPUTED_VALUE"""),"livinsh01")</f>
        <v>livinsh01</v>
      </c>
      <c r="B2492" s="161" t="str">
        <f>IFERROR(__xludf.DUMMYFUNCTION("""COMPUTED_VALUE"""),"Shaun Livingston")</f>
        <v>Shaun Livingston</v>
      </c>
      <c r="C2492" s="162" t="str">
        <f>IFERROR(__xludf.DUMMYFUNCTION("""COMPUTED_VALUE"""),"2018-19")</f>
        <v>2018-19</v>
      </c>
      <c r="D2492" s="163" t="str">
        <f>IFERROR(__xludf.DUMMYFUNCTION("""COMPUTED_VALUE"""),"GSW")</f>
        <v>GSW</v>
      </c>
      <c r="E2492" s="164" t="str">
        <f>IFERROR(__xludf.DUMMYFUNCTION("""COMPUTED_VALUE"""),"Roll + Cut Big")</f>
        <v>Roll + Cut Big</v>
      </c>
      <c r="F2492" s="164">
        <f>IFERROR(__xludf.DUMMYFUNCTION("""COMPUTED_VALUE"""),966.891666666667)</f>
        <v>966.8916667</v>
      </c>
      <c r="G2492" s="163">
        <f>IFERROR(__xludf.DUMMYFUNCTION("""COMPUTED_VALUE"""),64.0)</f>
        <v>64</v>
      </c>
      <c r="H2492" s="163" t="str">
        <f>IFERROR(__xludf.DUMMYFUNCTION("""COMPUTED_VALUE"""),"PG")</f>
        <v>PG</v>
      </c>
      <c r="I2492" s="163">
        <f>IFERROR(__xludf.DUMMYFUNCTION("""COMPUTED_VALUE"""),33.0)</f>
        <v>33</v>
      </c>
      <c r="J2492" s="165">
        <f>IFERROR(__xludf.DUMMYFUNCTION("""COMPUTED_VALUE"""),-2.1324043649215)</f>
        <v>-2.132404365</v>
      </c>
      <c r="K2492" s="165">
        <f>IFERROR(__xludf.DUMMYFUNCTION("""COMPUTED_VALUE"""),-1.69761325546495)</f>
        <v>-1.697613255</v>
      </c>
      <c r="L2492" s="165">
        <f>IFERROR(__xludf.DUMMYFUNCTION("""COMPUTED_VALUE"""),-0.434791109456548)</f>
        <v>-0.4347911095</v>
      </c>
      <c r="M2492" s="166">
        <f t="shared" si="2"/>
        <v>0.1092921505</v>
      </c>
      <c r="N2492" s="167">
        <f t="shared" si="3"/>
        <v>15.10768229</v>
      </c>
      <c r="O2492" s="163">
        <f t="shared" ref="O2492:Q2492" si="2496">rank(I2492,I:I)</f>
        <v>246</v>
      </c>
      <c r="P2492" s="163">
        <f t="shared" si="2496"/>
        <v>3575</v>
      </c>
      <c r="Q2492" s="163">
        <f t="shared" si="2496"/>
        <v>3518</v>
      </c>
      <c r="R2492" s="163">
        <f>IFERROR(__xludf.DUMMYFUNCTION("RANK(M2492,filter(M:M,C:C=C2492))"),385.0)</f>
        <v>385</v>
      </c>
      <c r="S2492" s="161" t="b">
        <f t="shared" si="5"/>
        <v>0</v>
      </c>
      <c r="T2492" s="161" t="b">
        <f t="array" ref="T2492">index('Query Tool'!B:B,match(H2492,'Query Tool'!C:C,0))</f>
        <v>1</v>
      </c>
      <c r="U2492" s="161" t="b">
        <f t="array" ref="U2492">index('Query Tool'!B:B,match(C2492,'Query Tool'!C:C,0))</f>
        <v>0</v>
      </c>
      <c r="V2492" s="161" t="b">
        <f>F2492&gt;='Query Tool'!C$32</f>
        <v>1</v>
      </c>
      <c r="W2492" s="161" t="b">
        <f t="array" ref="W2492">index(Dropdowns!B:B,match(I2492,Dropdowns!A:A,0))</f>
        <v>1</v>
      </c>
      <c r="X2492" s="161" t="b">
        <f t="array" ref="X2492">index('Query Tool'!B:B,match(D2492,'Query Tool'!C:C,0))</f>
        <v>1</v>
      </c>
      <c r="Y2492" s="161" t="str">
        <f t="shared" si="6"/>
        <v>livinsh01,2018-19</v>
      </c>
      <c r="Z2492" s="168" t="str">
        <f t="array" ref="Z2492">iferror(index(I:I,match($A2492&amp;","&amp;index('Year Conversion'!$A:$A,match($C2492,'Year Conversion'!$B:$B,0)),$Y:$Y,0))-I2492,"")</f>
        <v/>
      </c>
      <c r="AA2492" s="168" t="str">
        <f t="array" ref="AA2492">iferror(index(J:J,match($A2492&amp;","&amp;index('Year Conversion'!$A:$A,match($C2492,'Year Conversion'!$B:$B,0)),$Y:$Y,0))-J2492,"")</f>
        <v/>
      </c>
      <c r="AB2492" s="168" t="str">
        <f t="array" ref="AB2492">iferror(index(K:K,match($A2492&amp;","&amp;index('Year Conversion'!$A:$A,match($C2492,'Year Conversion'!$B:$B,0)),$Y:$Y,0))-K2492,"")</f>
        <v/>
      </c>
      <c r="AC2492" s="168" t="str">
        <f t="shared" si="7"/>
        <v>GSW,2018-19</v>
      </c>
    </row>
    <row r="2493">
      <c r="A2493" s="161" t="str">
        <f>IFERROR(__xludf.DUMMYFUNCTION("""COMPUTED_VALUE"""),"harride01")</f>
        <v>harride01</v>
      </c>
      <c r="B2493" s="161" t="str">
        <f>IFERROR(__xludf.DUMMYFUNCTION("""COMPUTED_VALUE"""),"Devin Harris")</f>
        <v>Devin Harris</v>
      </c>
      <c r="C2493" s="162" t="str">
        <f>IFERROR(__xludf.DUMMYFUNCTION("""COMPUTED_VALUE"""),"2018-19")</f>
        <v>2018-19</v>
      </c>
      <c r="D2493" s="163" t="str">
        <f>IFERROR(__xludf.DUMMYFUNCTION("""COMPUTED_VALUE"""),"DAL")</f>
        <v>DAL</v>
      </c>
      <c r="E2493" s="164" t="str">
        <f>IFERROR(__xludf.DUMMYFUNCTION("""COMPUTED_VALUE"""),"Movement Shooter")</f>
        <v>Movement Shooter</v>
      </c>
      <c r="F2493" s="164">
        <f>IFERROR(__xludf.DUMMYFUNCTION("""COMPUTED_VALUE"""),1070.59)</f>
        <v>1070.59</v>
      </c>
      <c r="G2493" s="163">
        <f>IFERROR(__xludf.DUMMYFUNCTION("""COMPUTED_VALUE"""),68.0)</f>
        <v>68</v>
      </c>
      <c r="H2493" s="163" t="str">
        <f>IFERROR(__xludf.DUMMYFUNCTION("""COMPUTED_VALUE"""),"PG")</f>
        <v>PG</v>
      </c>
      <c r="I2493" s="163">
        <f>IFERROR(__xludf.DUMMYFUNCTION("""COMPUTED_VALUE"""),35.0)</f>
        <v>35</v>
      </c>
      <c r="J2493" s="165">
        <f>IFERROR(__xludf.DUMMYFUNCTION("""COMPUTED_VALUE"""),-1.50643409413501)</f>
        <v>-1.506434094</v>
      </c>
      <c r="K2493" s="165">
        <f>IFERROR(__xludf.DUMMYFUNCTION("""COMPUTED_VALUE"""),-0.579302804315557)</f>
        <v>-0.5793028043</v>
      </c>
      <c r="L2493" s="165">
        <f>IFERROR(__xludf.DUMMYFUNCTION("""COMPUTED_VALUE"""),-0.927131289819458)</f>
        <v>-0.9271312898</v>
      </c>
      <c r="M2493" s="166">
        <f t="shared" si="2"/>
        <v>0.5665924996</v>
      </c>
      <c r="N2493" s="167">
        <f t="shared" si="3"/>
        <v>15.74397059</v>
      </c>
      <c r="O2493" s="163">
        <f t="shared" ref="O2493:Q2493" si="2497">rank(I2493,I:I)</f>
        <v>104</v>
      </c>
      <c r="P2493" s="163">
        <f t="shared" si="2497"/>
        <v>3063</v>
      </c>
      <c r="Q2493" s="163">
        <f t="shared" si="2497"/>
        <v>2231</v>
      </c>
      <c r="R2493" s="163">
        <f>IFERROR(__xludf.DUMMYFUNCTION("RANK(M2493,filter(M:M,C:C=C2493))"),275.0)</f>
        <v>275</v>
      </c>
      <c r="S2493" s="161" t="b">
        <f t="shared" si="5"/>
        <v>0</v>
      </c>
      <c r="T2493" s="161" t="b">
        <f t="array" ref="T2493">index('Query Tool'!B:B,match(H2493,'Query Tool'!C:C,0))</f>
        <v>1</v>
      </c>
      <c r="U2493" s="161" t="b">
        <f t="array" ref="U2493">index('Query Tool'!B:B,match(C2493,'Query Tool'!C:C,0))</f>
        <v>0</v>
      </c>
      <c r="V2493" s="161" t="b">
        <f>F2493&gt;='Query Tool'!C$32</f>
        <v>1</v>
      </c>
      <c r="W2493" s="161" t="b">
        <f t="array" ref="W2493">index(Dropdowns!B:B,match(I2493,Dropdowns!A:A,0))</f>
        <v>1</v>
      </c>
      <c r="X2493" s="161" t="b">
        <f t="array" ref="X2493">index('Query Tool'!B:B,match(D2493,'Query Tool'!C:C,0))</f>
        <v>1</v>
      </c>
      <c r="Y2493" s="161" t="str">
        <f t="shared" si="6"/>
        <v>harride01,2018-19</v>
      </c>
      <c r="Z2493" s="168" t="str">
        <f t="array" ref="Z2493">iferror(index(I:I,match($A2493&amp;","&amp;index('Year Conversion'!$A:$A,match($C2493,'Year Conversion'!$B:$B,0)),$Y:$Y,0))-I2493,"")</f>
        <v/>
      </c>
      <c r="AA2493" s="168" t="str">
        <f t="array" ref="AA2493">iferror(index(J:J,match($A2493&amp;","&amp;index('Year Conversion'!$A:$A,match($C2493,'Year Conversion'!$B:$B,0)),$Y:$Y,0))-J2493,"")</f>
        <v/>
      </c>
      <c r="AB2493" s="168" t="str">
        <f t="array" ref="AB2493">iferror(index(K:K,match($A2493&amp;","&amp;index('Year Conversion'!$A:$A,match($C2493,'Year Conversion'!$B:$B,0)),$Y:$Y,0))-K2493,"")</f>
        <v/>
      </c>
      <c r="AC2493" s="168" t="str">
        <f t="shared" si="7"/>
        <v>DAL,2018-19</v>
      </c>
    </row>
    <row r="2494">
      <c r="A2494" s="161" t="str">
        <f>IFERROR(__xludf.DUMMYFUNCTION("""COMPUTED_VALUE"""),"denglu01")</f>
        <v>denglu01</v>
      </c>
      <c r="B2494" s="161" t="str">
        <f>IFERROR(__xludf.DUMMYFUNCTION("""COMPUTED_VALUE"""),"Luol Deng")</f>
        <v>Luol Deng</v>
      </c>
      <c r="C2494" s="162" t="str">
        <f>IFERROR(__xludf.DUMMYFUNCTION("""COMPUTED_VALUE"""),"2018-19")</f>
        <v>2018-19</v>
      </c>
      <c r="D2494" s="163" t="str">
        <f>IFERROR(__xludf.DUMMYFUNCTION("""COMPUTED_VALUE"""),"MIN")</f>
        <v>MIN</v>
      </c>
      <c r="E2494" s="164" t="str">
        <f>IFERROR(__xludf.DUMMYFUNCTION("""COMPUTED_VALUE"""),"Athletic Finisher")</f>
        <v>Athletic Finisher</v>
      </c>
      <c r="F2494" s="164">
        <f>IFERROR(__xludf.DUMMYFUNCTION("""COMPUTED_VALUE"""),392.225)</f>
        <v>392.225</v>
      </c>
      <c r="G2494" s="163">
        <f>IFERROR(__xludf.DUMMYFUNCTION("""COMPUTED_VALUE"""),22.0)</f>
        <v>22</v>
      </c>
      <c r="H2494" s="163" t="str">
        <f>IFERROR(__xludf.DUMMYFUNCTION("""COMPUTED_VALUE"""),"SF")</f>
        <v>SF</v>
      </c>
      <c r="I2494" s="163">
        <f>IFERROR(__xludf.DUMMYFUNCTION("""COMPUTED_VALUE"""),33.0)</f>
        <v>33</v>
      </c>
      <c r="J2494" s="165">
        <f>IFERROR(__xludf.DUMMYFUNCTION("""COMPUTED_VALUE"""),-0.254957470075563)</f>
        <v>-0.2549574701</v>
      </c>
      <c r="K2494" s="165">
        <f>IFERROR(__xludf.DUMMYFUNCTION("""COMPUTED_VALUE"""),-0.274912791025353)</f>
        <v>-0.274912791</v>
      </c>
      <c r="L2494" s="165">
        <f>IFERROR(__xludf.DUMMYFUNCTION("""COMPUTED_VALUE"""),0.0199553209497899)</f>
        <v>0.01995532095</v>
      </c>
      <c r="M2494" s="166">
        <f t="shared" si="2"/>
        <v>0.5372668466</v>
      </c>
      <c r="N2494" s="167">
        <f t="shared" si="3"/>
        <v>17.82840909</v>
      </c>
      <c r="O2494" s="163">
        <f t="shared" ref="O2494:Q2494" si="2498">rank(I2494,I:I)</f>
        <v>246</v>
      </c>
      <c r="P2494" s="163">
        <f t="shared" si="2498"/>
        <v>1566</v>
      </c>
      <c r="Q2494" s="163">
        <f t="shared" si="2498"/>
        <v>1711</v>
      </c>
      <c r="R2494" s="163">
        <f>IFERROR(__xludf.DUMMYFUNCTION("RANK(M2494,filter(M:M,C:C=C2494))"),281.0)</f>
        <v>281</v>
      </c>
      <c r="S2494" s="161" t="b">
        <f t="shared" si="5"/>
        <v>0</v>
      </c>
      <c r="T2494" s="161" t="b">
        <f t="array" ref="T2494">index('Query Tool'!B:B,match(H2494,'Query Tool'!C:C,0))</f>
        <v>1</v>
      </c>
      <c r="U2494" s="161" t="b">
        <f t="array" ref="U2494">index('Query Tool'!B:B,match(C2494,'Query Tool'!C:C,0))</f>
        <v>0</v>
      </c>
      <c r="V2494" s="161" t="b">
        <f>F2494&gt;='Query Tool'!C$32</f>
        <v>0</v>
      </c>
      <c r="W2494" s="161" t="b">
        <f t="array" ref="W2494">index(Dropdowns!B:B,match(I2494,Dropdowns!A:A,0))</f>
        <v>1</v>
      </c>
      <c r="X2494" s="161" t="b">
        <f t="array" ref="X2494">index('Query Tool'!B:B,match(D2494,'Query Tool'!C:C,0))</f>
        <v>1</v>
      </c>
      <c r="Y2494" s="161" t="str">
        <f t="shared" si="6"/>
        <v>denglu01,2018-19</v>
      </c>
      <c r="Z2494" s="168" t="str">
        <f t="array" ref="Z2494">iferror(index(I:I,match($A2494&amp;","&amp;index('Year Conversion'!$A:$A,match($C2494,'Year Conversion'!$B:$B,0)),$Y:$Y,0))-I2494,"")</f>
        <v/>
      </c>
      <c r="AA2494" s="168" t="str">
        <f t="array" ref="AA2494">iferror(index(J:J,match($A2494&amp;","&amp;index('Year Conversion'!$A:$A,match($C2494,'Year Conversion'!$B:$B,0)),$Y:$Y,0))-J2494,"")</f>
        <v/>
      </c>
      <c r="AB2494" s="168" t="str">
        <f t="array" ref="AB2494">iferror(index(K:K,match($A2494&amp;","&amp;index('Year Conversion'!$A:$A,match($C2494,'Year Conversion'!$B:$B,0)),$Y:$Y,0))-K2494,"")</f>
        <v/>
      </c>
      <c r="AC2494" s="168" t="str">
        <f t="shared" si="7"/>
        <v>MIN,2018-19</v>
      </c>
    </row>
    <row r="2495">
      <c r="A2495" s="161" t="str">
        <f>IFERROR(__xludf.DUMMYFUNCTION("""COMPUTED_VALUE"""),"iguodan01")</f>
        <v>iguodan01</v>
      </c>
      <c r="B2495" s="161" t="str">
        <f>IFERROR(__xludf.DUMMYFUNCTION("""COMPUTED_VALUE"""),"Andre Iguodala")</f>
        <v>Andre Iguodala</v>
      </c>
      <c r="C2495" s="162" t="str">
        <f>IFERROR(__xludf.DUMMYFUNCTION("""COMPUTED_VALUE"""),"2018-19")</f>
        <v>2018-19</v>
      </c>
      <c r="D2495" s="163" t="str">
        <f>IFERROR(__xludf.DUMMYFUNCTION("""COMPUTED_VALUE"""),"GSW")</f>
        <v>GSW</v>
      </c>
      <c r="E2495" s="164" t="str">
        <f>IFERROR(__xludf.DUMMYFUNCTION("""COMPUTED_VALUE"""),"Athletic Finisher")</f>
        <v>Athletic Finisher</v>
      </c>
      <c r="F2495" s="164">
        <f>IFERROR(__xludf.DUMMYFUNCTION("""COMPUTED_VALUE"""),1577.88)</f>
        <v>1577.88</v>
      </c>
      <c r="G2495" s="163">
        <f>IFERROR(__xludf.DUMMYFUNCTION("""COMPUTED_VALUE"""),68.0)</f>
        <v>68</v>
      </c>
      <c r="H2495" s="163" t="str">
        <f>IFERROR(__xludf.DUMMYFUNCTION("""COMPUTED_VALUE"""),"SF")</f>
        <v>SF</v>
      </c>
      <c r="I2495" s="163">
        <f>IFERROR(__xludf.DUMMYFUNCTION("""COMPUTED_VALUE"""),35.0)</f>
        <v>35</v>
      </c>
      <c r="J2495" s="165">
        <f>IFERROR(__xludf.DUMMYFUNCTION("""COMPUTED_VALUE"""),1.41868899338683)</f>
        <v>1.418688993</v>
      </c>
      <c r="K2495" s="165">
        <f>IFERROR(__xludf.DUMMYFUNCTION("""COMPUTED_VALUE"""),-0.276385476152943)</f>
        <v>-0.2763854762</v>
      </c>
      <c r="L2495" s="165">
        <f>IFERROR(__xludf.DUMMYFUNCTION("""COMPUTED_VALUE"""),1.69507446953978)</f>
        <v>1.69507447</v>
      </c>
      <c r="M2495" s="166">
        <f t="shared" si="2"/>
        <v>3.937547483</v>
      </c>
      <c r="N2495" s="167">
        <f t="shared" si="3"/>
        <v>23.20411765</v>
      </c>
      <c r="O2495" s="163">
        <f t="shared" ref="O2495:Q2495" si="2499">rank(I2495,I:I)</f>
        <v>104</v>
      </c>
      <c r="P2495" s="163">
        <f t="shared" si="2499"/>
        <v>485</v>
      </c>
      <c r="Q2495" s="163">
        <f t="shared" si="2499"/>
        <v>1718</v>
      </c>
      <c r="R2495" s="163">
        <f>IFERROR(__xludf.DUMMYFUNCTION("RANK(M2495,filter(M:M,C:C=C2495))"),84.0)</f>
        <v>84</v>
      </c>
      <c r="S2495" s="161" t="b">
        <f t="shared" si="5"/>
        <v>0</v>
      </c>
      <c r="T2495" s="161" t="b">
        <f t="array" ref="T2495">index('Query Tool'!B:B,match(H2495,'Query Tool'!C:C,0))</f>
        <v>1</v>
      </c>
      <c r="U2495" s="161" t="b">
        <f t="array" ref="U2495">index('Query Tool'!B:B,match(C2495,'Query Tool'!C:C,0))</f>
        <v>0</v>
      </c>
      <c r="V2495" s="161" t="b">
        <f>F2495&gt;='Query Tool'!C$32</f>
        <v>1</v>
      </c>
      <c r="W2495" s="161" t="b">
        <f t="array" ref="W2495">index(Dropdowns!B:B,match(I2495,Dropdowns!A:A,0))</f>
        <v>1</v>
      </c>
      <c r="X2495" s="161" t="b">
        <f t="array" ref="X2495">index('Query Tool'!B:B,match(D2495,'Query Tool'!C:C,0))</f>
        <v>1</v>
      </c>
      <c r="Y2495" s="161" t="str">
        <f t="shared" si="6"/>
        <v>iguodan01,2018-19</v>
      </c>
      <c r="Z2495" s="168">
        <f t="array" ref="Z2495">iferror(index(I:I,match($A2495&amp;","&amp;index('Year Conversion'!$A:$A,match($C2495,'Year Conversion'!$B:$B,0)),$Y:$Y,0))-I2495,"")</f>
        <v>1</v>
      </c>
      <c r="AA2495" s="168">
        <f t="array" ref="AA2495">iferror(index(J:J,match($A2495&amp;","&amp;index('Year Conversion'!$A:$A,match($C2495,'Year Conversion'!$B:$B,0)),$Y:$Y,0))-J2495,"")</f>
        <v>-1.714093657</v>
      </c>
      <c r="AB2495" s="168">
        <f t="array" ref="AB2495">iferror(index(K:K,match($A2495&amp;","&amp;index('Year Conversion'!$A:$A,match($C2495,'Year Conversion'!$B:$B,0)),$Y:$Y,0))-K2495,"")</f>
        <v>-1.626189611</v>
      </c>
      <c r="AC2495" s="168" t="str">
        <f t="shared" si="7"/>
        <v>GSW,2018-19</v>
      </c>
    </row>
    <row r="2496">
      <c r="A2496" s="161" t="str">
        <f>IFERROR(__xludf.DUMMYFUNCTION("""COMPUTED_VALUE"""),"smithjr01")</f>
        <v>smithjr01</v>
      </c>
      <c r="B2496" s="161" t="str">
        <f>IFERROR(__xludf.DUMMYFUNCTION("""COMPUTED_VALUE"""),"JR Smith")</f>
        <v>JR Smith</v>
      </c>
      <c r="C2496" s="162" t="str">
        <f>IFERROR(__xludf.DUMMYFUNCTION("""COMPUTED_VALUE"""),"2018-19")</f>
        <v>2018-19</v>
      </c>
      <c r="D2496" s="163" t="str">
        <f>IFERROR(__xludf.DUMMYFUNCTION("""COMPUTED_VALUE"""),"CLE")</f>
        <v>CLE</v>
      </c>
      <c r="E2496" s="164" t="str">
        <f>IFERROR(__xludf.DUMMYFUNCTION("""COMPUTED_VALUE"""),"Secondary Ball Handler")</f>
        <v>Secondary Ball Handler</v>
      </c>
      <c r="F2496" s="164">
        <f>IFERROR(__xludf.DUMMYFUNCTION("""COMPUTED_VALUE"""),222.335)</f>
        <v>222.335</v>
      </c>
      <c r="G2496" s="163">
        <f>IFERROR(__xludf.DUMMYFUNCTION("""COMPUTED_VALUE"""),11.0)</f>
        <v>11</v>
      </c>
      <c r="H2496" s="163" t="str">
        <f>IFERROR(__xludf.DUMMYFUNCTION("""COMPUTED_VALUE"""),"SG")</f>
        <v>SG</v>
      </c>
      <c r="I2496" s="163">
        <f>IFERROR(__xludf.DUMMYFUNCTION("""COMPUTED_VALUE"""),33.0)</f>
        <v>33</v>
      </c>
      <c r="J2496" s="165">
        <f>IFERROR(__xludf.DUMMYFUNCTION("""COMPUTED_VALUE"""),-0.473356309122348)</f>
        <v>-0.4733563091</v>
      </c>
      <c r="K2496" s="165">
        <f>IFERROR(__xludf.DUMMYFUNCTION("""COMPUTED_VALUE"""),-0.99124805680191)</f>
        <v>-0.9912480568</v>
      </c>
      <c r="L2496" s="165">
        <f>IFERROR(__xludf.DUMMYFUNCTION("""COMPUTED_VALUE"""),0.517891747679561)</f>
        <v>0.5178917477</v>
      </c>
      <c r="M2496" s="166">
        <f t="shared" si="2"/>
        <v>0.2718343221</v>
      </c>
      <c r="N2496" s="167">
        <f t="shared" si="3"/>
        <v>20.21227273</v>
      </c>
      <c r="O2496" s="163">
        <f t="shared" ref="O2496:Q2496" si="2500">rank(I2496,I:I)</f>
        <v>246</v>
      </c>
      <c r="P2496" s="163">
        <f t="shared" si="2500"/>
        <v>1816</v>
      </c>
      <c r="Q2496" s="163">
        <f t="shared" si="2500"/>
        <v>2789</v>
      </c>
      <c r="R2496" s="163">
        <f>IFERROR(__xludf.DUMMYFUNCTION("RANK(M2496,filter(M:M,C:C=C2496))"),329.0)</f>
        <v>329</v>
      </c>
      <c r="S2496" s="161" t="b">
        <f t="shared" si="5"/>
        <v>0</v>
      </c>
      <c r="T2496" s="161" t="b">
        <f t="array" ref="T2496">index('Query Tool'!B:B,match(H2496,'Query Tool'!C:C,0))</f>
        <v>1</v>
      </c>
      <c r="U2496" s="161" t="b">
        <f t="array" ref="U2496">index('Query Tool'!B:B,match(C2496,'Query Tool'!C:C,0))</f>
        <v>0</v>
      </c>
      <c r="V2496" s="161" t="b">
        <f>F2496&gt;='Query Tool'!C$32</f>
        <v>0</v>
      </c>
      <c r="W2496" s="161" t="b">
        <f t="array" ref="W2496">index(Dropdowns!B:B,match(I2496,Dropdowns!A:A,0))</f>
        <v>1</v>
      </c>
      <c r="X2496" s="161" t="b">
        <f t="array" ref="X2496">index('Query Tool'!B:B,match(D2496,'Query Tool'!C:C,0))</f>
        <v>1</v>
      </c>
      <c r="Y2496" s="161" t="str">
        <f t="shared" si="6"/>
        <v>smithjr01,2018-19</v>
      </c>
      <c r="Z2496" s="168">
        <f t="array" ref="Z2496">iferror(index(I:I,match($A2496&amp;","&amp;index('Year Conversion'!$A:$A,match($C2496,'Year Conversion'!$B:$B,0)),$Y:$Y,0))-I2496,"")</f>
        <v>1</v>
      </c>
      <c r="AA2496" s="168">
        <f t="array" ref="AA2496">iferror(index(J:J,match($A2496&amp;","&amp;index('Year Conversion'!$A:$A,match($C2496,'Year Conversion'!$B:$B,0)),$Y:$Y,0))-J2496,"")</f>
        <v>-1.051455907</v>
      </c>
      <c r="AB2496" s="168">
        <f t="array" ref="AB2496">iferror(index(K:K,match($A2496&amp;","&amp;index('Year Conversion'!$A:$A,match($C2496,'Year Conversion'!$B:$B,0)),$Y:$Y,0))-K2496,"")</f>
        <v>0.2089364055</v>
      </c>
      <c r="AC2496" s="168" t="str">
        <f t="shared" si="7"/>
        <v>CLE,2018-19</v>
      </c>
    </row>
    <row r="2497">
      <c r="A2497" s="161" t="str">
        <f>IFERROR(__xludf.DUMMYFUNCTION("""COMPUTED_VALUE"""),"arizatr01")</f>
        <v>arizatr01</v>
      </c>
      <c r="B2497" s="161" t="str">
        <f>IFERROR(__xludf.DUMMYFUNCTION("""COMPUTED_VALUE"""),"Trevor Ariza")</f>
        <v>Trevor Ariza</v>
      </c>
      <c r="C2497" s="162" t="str">
        <f>IFERROR(__xludf.DUMMYFUNCTION("""COMPUTED_VALUE"""),"2018-19")</f>
        <v>2018-19</v>
      </c>
      <c r="D2497" s="163" t="str">
        <f>IFERROR(__xludf.DUMMYFUNCTION("""COMPUTED_VALUE"""),"TOT")</f>
        <v>TOT</v>
      </c>
      <c r="E2497" s="164" t="str">
        <f>IFERROR(__xludf.DUMMYFUNCTION("""COMPUTED_VALUE"""),"Movement Shooter")</f>
        <v>Movement Shooter</v>
      </c>
      <c r="F2497" s="164">
        <f>IFERROR(__xludf.DUMMYFUNCTION("""COMPUTED_VALUE"""),2348.86666666667)</f>
        <v>2348.866667</v>
      </c>
      <c r="G2497" s="163">
        <f>IFERROR(__xludf.DUMMYFUNCTION("""COMPUTED_VALUE"""),69.0)</f>
        <v>69</v>
      </c>
      <c r="H2497" s="163" t="str">
        <f>IFERROR(__xludf.DUMMYFUNCTION("""COMPUTED_VALUE"""),"SF")</f>
        <v>SF</v>
      </c>
      <c r="I2497" s="163">
        <f>IFERROR(__xludf.DUMMYFUNCTION("""COMPUTED_VALUE"""),33.0)</f>
        <v>33</v>
      </c>
      <c r="J2497" s="165">
        <f>IFERROR(__xludf.DUMMYFUNCTION("""COMPUTED_VALUE"""),-1.48922353410507)</f>
        <v>-1.489223534</v>
      </c>
      <c r="K2497" s="165">
        <f>IFERROR(__xludf.DUMMYFUNCTION("""COMPUTED_VALUE"""),-0.883218167590446)</f>
        <v>-0.8832181676</v>
      </c>
      <c r="L2497" s="165">
        <f>IFERROR(__xludf.DUMMYFUNCTION("""COMPUTED_VALUE"""),-0.60600536651462)</f>
        <v>-0.6060053665</v>
      </c>
      <c r="M2497" s="166">
        <f t="shared" si="2"/>
        <v>1.270100902</v>
      </c>
      <c r="N2497" s="167">
        <f t="shared" si="3"/>
        <v>34.04154589</v>
      </c>
      <c r="O2497" s="163">
        <f t="shared" ref="O2497:Q2497" si="2501">rank(I2497,I:I)</f>
        <v>246</v>
      </c>
      <c r="P2497" s="163">
        <f t="shared" si="2501"/>
        <v>3043</v>
      </c>
      <c r="Q2497" s="163">
        <f t="shared" si="2501"/>
        <v>2670</v>
      </c>
      <c r="R2497" s="163">
        <f>IFERROR(__xludf.DUMMYFUNCTION("RANK(M2497,filter(M:M,C:C=C2497))"),203.0)</f>
        <v>203</v>
      </c>
      <c r="S2497" s="161" t="b">
        <f t="shared" si="5"/>
        <v>0</v>
      </c>
      <c r="T2497" s="161" t="b">
        <f t="array" ref="T2497">index('Query Tool'!B:B,match(H2497,'Query Tool'!C:C,0))</f>
        <v>1</v>
      </c>
      <c r="U2497" s="161" t="b">
        <f t="array" ref="U2497">index('Query Tool'!B:B,match(C2497,'Query Tool'!C:C,0))</f>
        <v>0</v>
      </c>
      <c r="V2497" s="161" t="b">
        <f>F2497&gt;='Query Tool'!C$32</f>
        <v>1</v>
      </c>
      <c r="W2497" s="161" t="b">
        <f t="array" ref="W2497">index(Dropdowns!B:B,match(I2497,Dropdowns!A:A,0))</f>
        <v>1</v>
      </c>
      <c r="X2497" s="161" t="b">
        <f t="array" ref="X2497">index('Query Tool'!B:B,match(D2497,'Query Tool'!C:C,0))</f>
        <v>1</v>
      </c>
      <c r="Y2497" s="161" t="str">
        <f t="shared" si="6"/>
        <v>arizatr01,2018-19</v>
      </c>
      <c r="Z2497" s="168">
        <f t="array" ref="Z2497">iferror(index(I:I,match($A2497&amp;","&amp;index('Year Conversion'!$A:$A,match($C2497,'Year Conversion'!$B:$B,0)),$Y:$Y,0))-I2497,"")</f>
        <v>1</v>
      </c>
      <c r="AA2497" s="168">
        <f t="array" ref="AA2497">iferror(index(J:J,match($A2497&amp;","&amp;index('Year Conversion'!$A:$A,match($C2497,'Year Conversion'!$B:$B,0)),$Y:$Y,0))-J2497,"")</f>
        <v>1.163610284</v>
      </c>
      <c r="AB2497" s="168">
        <f t="array" ref="AB2497">iferror(index(K:K,match($A2497&amp;","&amp;index('Year Conversion'!$A:$A,match($C2497,'Year Conversion'!$B:$B,0)),$Y:$Y,0))-K2497,"")</f>
        <v>-1.096039953</v>
      </c>
      <c r="AC2497" s="168" t="str">
        <f t="shared" si="7"/>
        <v>TOT,2018-19</v>
      </c>
    </row>
    <row r="2498">
      <c r="A2498" s="161" t="str">
        <f>IFERROR(__xludf.DUMMYFUNCTION("""COMPUTED_VALUE"""),"bogutan01")</f>
        <v>bogutan01</v>
      </c>
      <c r="B2498" s="161" t="str">
        <f>IFERROR(__xludf.DUMMYFUNCTION("""COMPUTED_VALUE"""),"Andrew Bogut")</f>
        <v>Andrew Bogut</v>
      </c>
      <c r="C2498" s="162" t="str">
        <f>IFERROR(__xludf.DUMMYFUNCTION("""COMPUTED_VALUE"""),"2018-19")</f>
        <v>2018-19</v>
      </c>
      <c r="D2498" s="163" t="str">
        <f>IFERROR(__xludf.DUMMYFUNCTION("""COMPUTED_VALUE"""),"GSW")</f>
        <v>GSW</v>
      </c>
      <c r="E2498" s="164" t="str">
        <f>IFERROR(__xludf.DUMMYFUNCTION("""COMPUTED_VALUE"""),"Roll + Cut Big")</f>
        <v>Roll + Cut Big</v>
      </c>
      <c r="F2498" s="164">
        <f>IFERROR(__xludf.DUMMYFUNCTION("""COMPUTED_VALUE"""),134.363333333333)</f>
        <v>134.3633333</v>
      </c>
      <c r="G2498" s="163">
        <f>IFERROR(__xludf.DUMMYFUNCTION("""COMPUTED_VALUE"""),11.0)</f>
        <v>11</v>
      </c>
      <c r="H2498" s="163" t="str">
        <f>IFERROR(__xludf.DUMMYFUNCTION("""COMPUTED_VALUE"""),"C")</f>
        <v>C</v>
      </c>
      <c r="I2498" s="163">
        <f>IFERROR(__xludf.DUMMYFUNCTION("""COMPUTED_VALUE"""),34.0)</f>
        <v>34</v>
      </c>
      <c r="J2498" s="165">
        <f>IFERROR(__xludf.DUMMYFUNCTION("""COMPUTED_VALUE"""),-0.720295779720347)</f>
        <v>-0.7202957797</v>
      </c>
      <c r="K2498" s="165">
        <f>IFERROR(__xludf.DUMMYFUNCTION("""COMPUTED_VALUE"""),-0.905074616268827)</f>
        <v>-0.9050746163</v>
      </c>
      <c r="L2498" s="165">
        <f>IFERROR(__xludf.DUMMYFUNCTION("""COMPUTED_VALUE"""),0.18477883654848)</f>
        <v>0.1847788365</v>
      </c>
      <c r="M2498" s="166">
        <f t="shared" si="2"/>
        <v>0.1419414643</v>
      </c>
      <c r="N2498" s="167">
        <f t="shared" si="3"/>
        <v>12.21484848</v>
      </c>
      <c r="O2498" s="163">
        <f t="shared" ref="O2498:Q2498" si="2502">rank(I2498,I:I)</f>
        <v>164</v>
      </c>
      <c r="P2498" s="163">
        <f t="shared" si="2502"/>
        <v>2177</v>
      </c>
      <c r="Q2498" s="163">
        <f t="shared" si="2502"/>
        <v>2699</v>
      </c>
      <c r="R2498" s="163">
        <f>IFERROR(__xludf.DUMMYFUNCTION("RANK(M2498,filter(M:M,C:C=C2498))"),368.0)</f>
        <v>368</v>
      </c>
      <c r="S2498" s="161" t="b">
        <f t="shared" si="5"/>
        <v>0</v>
      </c>
      <c r="T2498" s="161" t="b">
        <f t="array" ref="T2498">index('Query Tool'!B:B,match(H2498,'Query Tool'!C:C,0))</f>
        <v>1</v>
      </c>
      <c r="U2498" s="161" t="b">
        <f t="array" ref="U2498">index('Query Tool'!B:B,match(C2498,'Query Tool'!C:C,0))</f>
        <v>0</v>
      </c>
      <c r="V2498" s="161" t="b">
        <f>F2498&gt;='Query Tool'!C$32</f>
        <v>0</v>
      </c>
      <c r="W2498" s="161" t="b">
        <f t="array" ref="W2498">index(Dropdowns!B:B,match(I2498,Dropdowns!A:A,0))</f>
        <v>1</v>
      </c>
      <c r="X2498" s="161" t="b">
        <f t="array" ref="X2498">index('Query Tool'!B:B,match(D2498,'Query Tool'!C:C,0))</f>
        <v>1</v>
      </c>
      <c r="Y2498" s="161" t="str">
        <f t="shared" si="6"/>
        <v>bogutan01,2018-19</v>
      </c>
      <c r="Z2498" s="168" t="str">
        <f t="array" ref="Z2498">iferror(index(I:I,match($A2498&amp;","&amp;index('Year Conversion'!$A:$A,match($C2498,'Year Conversion'!$B:$B,0)),$Y:$Y,0))-I2498,"")</f>
        <v/>
      </c>
      <c r="AA2498" s="168" t="str">
        <f t="array" ref="AA2498">iferror(index(J:J,match($A2498&amp;","&amp;index('Year Conversion'!$A:$A,match($C2498,'Year Conversion'!$B:$B,0)),$Y:$Y,0))-J2498,"")</f>
        <v/>
      </c>
      <c r="AB2498" s="168" t="str">
        <f t="array" ref="AB2498">iferror(index(K:K,match($A2498&amp;","&amp;index('Year Conversion'!$A:$A,match($C2498,'Year Conversion'!$B:$B,0)),$Y:$Y,0))-K2498,"")</f>
        <v/>
      </c>
      <c r="AC2498" s="168" t="str">
        <f t="shared" si="7"/>
        <v>GSW,2018-19</v>
      </c>
    </row>
    <row r="2499">
      <c r="A2499" s="161" t="str">
        <f>IFERROR(__xludf.DUMMYFUNCTION("""COMPUTED_VALUE"""),"willima02")</f>
        <v>willima02</v>
      </c>
      <c r="B2499" s="161" t="str">
        <f>IFERROR(__xludf.DUMMYFUNCTION("""COMPUTED_VALUE"""),"Marvin Williams")</f>
        <v>Marvin Williams</v>
      </c>
      <c r="C2499" s="162" t="str">
        <f>IFERROR(__xludf.DUMMYFUNCTION("""COMPUTED_VALUE"""),"2018-19")</f>
        <v>2018-19</v>
      </c>
      <c r="D2499" s="163" t="str">
        <f>IFERROR(__xludf.DUMMYFUNCTION("""COMPUTED_VALUE"""),"CHO")</f>
        <v>CHO</v>
      </c>
      <c r="E2499" s="164" t="str">
        <f>IFERROR(__xludf.DUMMYFUNCTION("""COMPUTED_VALUE"""),"Stretch Big")</f>
        <v>Stretch Big</v>
      </c>
      <c r="F2499" s="164">
        <f>IFERROR(__xludf.DUMMYFUNCTION("""COMPUTED_VALUE"""),2133.26333333333)</f>
        <v>2133.263333</v>
      </c>
      <c r="G2499" s="163">
        <f>IFERROR(__xludf.DUMMYFUNCTION("""COMPUTED_VALUE"""),75.0)</f>
        <v>75</v>
      </c>
      <c r="H2499" s="163" t="str">
        <f>IFERROR(__xludf.DUMMYFUNCTION("""COMPUTED_VALUE"""),"PF")</f>
        <v>PF</v>
      </c>
      <c r="I2499" s="163">
        <f>IFERROR(__xludf.DUMMYFUNCTION("""COMPUTED_VALUE"""),32.0)</f>
        <v>32</v>
      </c>
      <c r="J2499" s="165">
        <f>IFERROR(__xludf.DUMMYFUNCTION("""COMPUTED_VALUE"""),0.100254366753804)</f>
        <v>0.1002543668</v>
      </c>
      <c r="K2499" s="165">
        <f>IFERROR(__xludf.DUMMYFUNCTION("""COMPUTED_VALUE"""),-0.407227278297188)</f>
        <v>-0.4072272783</v>
      </c>
      <c r="L2499" s="165">
        <f>IFERROR(__xludf.DUMMYFUNCTION("""COMPUTED_VALUE"""),0.507481645050992)</f>
        <v>0.5074816451</v>
      </c>
      <c r="M2499" s="166">
        <f t="shared" si="2"/>
        <v>3.432967237</v>
      </c>
      <c r="N2499" s="167">
        <f t="shared" si="3"/>
        <v>28.44351111</v>
      </c>
      <c r="O2499" s="163">
        <f t="shared" ref="O2499:Q2499" si="2503">rank(I2499,I:I)</f>
        <v>359</v>
      </c>
      <c r="P2499" s="163">
        <f t="shared" si="2503"/>
        <v>1188</v>
      </c>
      <c r="Q2499" s="163">
        <f t="shared" si="2503"/>
        <v>1955</v>
      </c>
      <c r="R2499" s="163">
        <f>IFERROR(__xludf.DUMMYFUNCTION("RANK(M2499,filter(M:M,C:C=C2499))"),100.0)</f>
        <v>100</v>
      </c>
      <c r="S2499" s="161" t="b">
        <f t="shared" si="5"/>
        <v>0</v>
      </c>
      <c r="T2499" s="161" t="b">
        <f t="array" ref="T2499">index('Query Tool'!B:B,match(H2499,'Query Tool'!C:C,0))</f>
        <v>1</v>
      </c>
      <c r="U2499" s="161" t="b">
        <f t="array" ref="U2499">index('Query Tool'!B:B,match(C2499,'Query Tool'!C:C,0))</f>
        <v>0</v>
      </c>
      <c r="V2499" s="161" t="b">
        <f>F2499&gt;='Query Tool'!C$32</f>
        <v>1</v>
      </c>
      <c r="W2499" s="161" t="b">
        <f t="array" ref="W2499">index(Dropdowns!B:B,match(I2499,Dropdowns!A:A,0))</f>
        <v>1</v>
      </c>
      <c r="X2499" s="161" t="b">
        <f t="array" ref="X2499">index('Query Tool'!B:B,match(D2499,'Query Tool'!C:C,0))</f>
        <v>1</v>
      </c>
      <c r="Y2499" s="161" t="str">
        <f t="shared" si="6"/>
        <v>willima02,2018-19</v>
      </c>
      <c r="Z2499" s="168">
        <f t="array" ref="Z2499">iferror(index(I:I,match($A2499&amp;","&amp;index('Year Conversion'!$A:$A,match($C2499,'Year Conversion'!$B:$B,0)),$Y:$Y,0))-I2499,"")</f>
        <v>1</v>
      </c>
      <c r="AA2499" s="168">
        <f t="array" ref="AA2499">iferror(index(J:J,match($A2499&amp;","&amp;index('Year Conversion'!$A:$A,match($C2499,'Year Conversion'!$B:$B,0)),$Y:$Y,0))-J2499,"")</f>
        <v>-0.6858200863</v>
      </c>
      <c r="AB2499" s="168">
        <f t="array" ref="AB2499">iferror(index(K:K,match($A2499&amp;","&amp;index('Year Conversion'!$A:$A,match($C2499,'Year Conversion'!$B:$B,0)),$Y:$Y,0))-K2499,"")</f>
        <v>-0.6413718367</v>
      </c>
      <c r="AC2499" s="168" t="str">
        <f t="shared" si="7"/>
        <v>CHO,2018-19</v>
      </c>
    </row>
    <row r="2500">
      <c r="A2500" s="161" t="str">
        <f>IFERROR(__xludf.DUMMYFUNCTION("""COMPUTED_VALUE"""),"paulch01")</f>
        <v>paulch01</v>
      </c>
      <c r="B2500" s="161" t="str">
        <f>IFERROR(__xludf.DUMMYFUNCTION("""COMPUTED_VALUE"""),"Chris Paul")</f>
        <v>Chris Paul</v>
      </c>
      <c r="C2500" s="162" t="str">
        <f>IFERROR(__xludf.DUMMYFUNCTION("""COMPUTED_VALUE"""),"2018-19")</f>
        <v>2018-19</v>
      </c>
      <c r="D2500" s="163" t="str">
        <f>IFERROR(__xludf.DUMMYFUNCTION("""COMPUTED_VALUE"""),"HOU")</f>
        <v>HOU</v>
      </c>
      <c r="E2500" s="164" t="str">
        <f>IFERROR(__xludf.DUMMYFUNCTION("""COMPUTED_VALUE"""),"Shot Creator")</f>
        <v>Shot Creator</v>
      </c>
      <c r="F2500" s="164">
        <f>IFERROR(__xludf.DUMMYFUNCTION("""COMPUTED_VALUE"""),1856.775)</f>
        <v>1856.775</v>
      </c>
      <c r="G2500" s="163">
        <f>IFERROR(__xludf.DUMMYFUNCTION("""COMPUTED_VALUE"""),58.0)</f>
        <v>58</v>
      </c>
      <c r="H2500" s="163" t="str">
        <f>IFERROR(__xludf.DUMMYFUNCTION("""COMPUTED_VALUE"""),"PG")</f>
        <v>PG</v>
      </c>
      <c r="I2500" s="163">
        <f>IFERROR(__xludf.DUMMYFUNCTION("""COMPUTED_VALUE"""),33.0)</f>
        <v>33</v>
      </c>
      <c r="J2500" s="165">
        <f>IFERROR(__xludf.DUMMYFUNCTION("""COMPUTED_VALUE"""),2.92076581506771)</f>
        <v>2.920765815</v>
      </c>
      <c r="K2500" s="165">
        <f>IFERROR(__xludf.DUMMYFUNCTION("""COMPUTED_VALUE"""),1.96982213488706)</f>
        <v>1.969822135</v>
      </c>
      <c r="L2500" s="165">
        <f>IFERROR(__xludf.DUMMYFUNCTION("""COMPUTED_VALUE"""),0.950943680180653)</f>
        <v>0.9509436802</v>
      </c>
      <c r="M2500" s="166">
        <f t="shared" si="2"/>
        <v>6.476073514</v>
      </c>
      <c r="N2500" s="167">
        <f t="shared" si="3"/>
        <v>32.01336207</v>
      </c>
      <c r="O2500" s="163">
        <f t="shared" ref="O2500:Q2500" si="2504">rank(I2500,I:I)</f>
        <v>246</v>
      </c>
      <c r="P2500" s="163">
        <f t="shared" si="2504"/>
        <v>176</v>
      </c>
      <c r="Q2500" s="163">
        <f t="shared" si="2504"/>
        <v>230</v>
      </c>
      <c r="R2500" s="163">
        <f>IFERROR(__xludf.DUMMYFUNCTION("RANK(M2500,filter(M:M,C:C=C2500))"),37.0)</f>
        <v>37</v>
      </c>
      <c r="S2500" s="161" t="b">
        <f t="shared" si="5"/>
        <v>0</v>
      </c>
      <c r="T2500" s="161" t="b">
        <f t="array" ref="T2500">index('Query Tool'!B:B,match(H2500,'Query Tool'!C:C,0))</f>
        <v>1</v>
      </c>
      <c r="U2500" s="161" t="b">
        <f t="array" ref="U2500">index('Query Tool'!B:B,match(C2500,'Query Tool'!C:C,0))</f>
        <v>0</v>
      </c>
      <c r="V2500" s="161" t="b">
        <f>F2500&gt;='Query Tool'!C$32</f>
        <v>1</v>
      </c>
      <c r="W2500" s="161" t="b">
        <f t="array" ref="W2500">index(Dropdowns!B:B,match(I2500,Dropdowns!A:A,0))</f>
        <v>1</v>
      </c>
      <c r="X2500" s="161" t="b">
        <f t="array" ref="X2500">index('Query Tool'!B:B,match(D2500,'Query Tool'!C:C,0))</f>
        <v>1</v>
      </c>
      <c r="Y2500" s="161" t="str">
        <f t="shared" si="6"/>
        <v>paulch01,2018-19</v>
      </c>
      <c r="Z2500" s="168">
        <f t="array" ref="Z2500">iferror(index(I:I,match($A2500&amp;","&amp;index('Year Conversion'!$A:$A,match($C2500,'Year Conversion'!$B:$B,0)),$Y:$Y,0))-I2500,"")</f>
        <v>1</v>
      </c>
      <c r="AA2500" s="168">
        <f t="array" ref="AA2500">iferror(index(J:J,match($A2500&amp;","&amp;index('Year Conversion'!$A:$A,match($C2500,'Year Conversion'!$B:$B,0)),$Y:$Y,0))-J2500,"")</f>
        <v>2.150044968</v>
      </c>
      <c r="AB2500" s="168">
        <f t="array" ref="AB2500">iferror(index(K:K,match($A2500&amp;","&amp;index('Year Conversion'!$A:$A,match($C2500,'Year Conversion'!$B:$B,0)),$Y:$Y,0))-K2500,"")</f>
        <v>1.885485736</v>
      </c>
      <c r="AC2500" s="168" t="str">
        <f t="shared" si="7"/>
        <v>HOU,2018-19</v>
      </c>
    </row>
    <row r="2501">
      <c r="A2501" s="161" t="str">
        <f>IFERROR(__xludf.DUMMYFUNCTION("""COMPUTED_VALUE"""),"feltora01")</f>
        <v>feltora01</v>
      </c>
      <c r="B2501" s="161" t="str">
        <f>IFERROR(__xludf.DUMMYFUNCTION("""COMPUTED_VALUE"""),"Raymond Felton")</f>
        <v>Raymond Felton</v>
      </c>
      <c r="C2501" s="162" t="str">
        <f>IFERROR(__xludf.DUMMYFUNCTION("""COMPUTED_VALUE"""),"2018-19")</f>
        <v>2018-19</v>
      </c>
      <c r="D2501" s="163" t="str">
        <f>IFERROR(__xludf.DUMMYFUNCTION("""COMPUTED_VALUE"""),"OKC")</f>
        <v>OKC</v>
      </c>
      <c r="E2501" s="164" t="str">
        <f>IFERROR(__xludf.DUMMYFUNCTION("""COMPUTED_VALUE"""),"Secondary Ball Handler")</f>
        <v>Secondary Ball Handler</v>
      </c>
      <c r="F2501" s="164">
        <f>IFERROR(__xludf.DUMMYFUNCTION("""COMPUTED_VALUE"""),379.37)</f>
        <v>379.37</v>
      </c>
      <c r="G2501" s="163">
        <f>IFERROR(__xludf.DUMMYFUNCTION("""COMPUTED_VALUE"""),33.0)</f>
        <v>33</v>
      </c>
      <c r="H2501" s="163" t="str">
        <f>IFERROR(__xludf.DUMMYFUNCTION("""COMPUTED_VALUE"""),"PG")</f>
        <v>PG</v>
      </c>
      <c r="I2501" s="163">
        <f>IFERROR(__xludf.DUMMYFUNCTION("""COMPUTED_VALUE"""),34.0)</f>
        <v>34</v>
      </c>
      <c r="J2501" s="165">
        <f>IFERROR(__xludf.DUMMYFUNCTION("""COMPUTED_VALUE"""),-1.55801402716606)</f>
        <v>-1.558014027</v>
      </c>
      <c r="K2501" s="165">
        <f>IFERROR(__xludf.DUMMYFUNCTION("""COMPUTED_VALUE"""),-0.748741897061794)</f>
        <v>-0.7487418971</v>
      </c>
      <c r="L2501" s="165">
        <f>IFERROR(__xludf.DUMMYFUNCTION("""COMPUTED_VALUE"""),-0.809272130104265)</f>
        <v>-0.8092721301</v>
      </c>
      <c r="M2501" s="166">
        <f t="shared" si="2"/>
        <v>0.1877112459</v>
      </c>
      <c r="N2501" s="167">
        <f t="shared" si="3"/>
        <v>11.49606061</v>
      </c>
      <c r="O2501" s="163">
        <f t="shared" ref="O2501:Q2501" si="2505">rank(I2501,I:I)</f>
        <v>164</v>
      </c>
      <c r="P2501" s="163">
        <f t="shared" si="2505"/>
        <v>3104</v>
      </c>
      <c r="Q2501" s="163">
        <f t="shared" si="2505"/>
        <v>2474</v>
      </c>
      <c r="R2501" s="163">
        <f>IFERROR(__xludf.DUMMYFUNCTION("RANK(M2501,filter(M:M,C:C=C2501))"),351.0)</f>
        <v>351</v>
      </c>
      <c r="S2501" s="161" t="b">
        <f t="shared" si="5"/>
        <v>0</v>
      </c>
      <c r="T2501" s="161" t="b">
        <f t="array" ref="T2501">index('Query Tool'!B:B,match(H2501,'Query Tool'!C:C,0))</f>
        <v>1</v>
      </c>
      <c r="U2501" s="161" t="b">
        <f t="array" ref="U2501">index('Query Tool'!B:B,match(C2501,'Query Tool'!C:C,0))</f>
        <v>0</v>
      </c>
      <c r="V2501" s="161" t="b">
        <f>F2501&gt;='Query Tool'!C$32</f>
        <v>0</v>
      </c>
      <c r="W2501" s="161" t="b">
        <f t="array" ref="W2501">index(Dropdowns!B:B,match(I2501,Dropdowns!A:A,0))</f>
        <v>1</v>
      </c>
      <c r="X2501" s="161" t="b">
        <f t="array" ref="X2501">index('Query Tool'!B:B,match(D2501,'Query Tool'!C:C,0))</f>
        <v>1</v>
      </c>
      <c r="Y2501" s="161" t="str">
        <f t="shared" si="6"/>
        <v>feltora01,2018-19</v>
      </c>
      <c r="Z2501" s="168" t="str">
        <f t="array" ref="Z2501">iferror(index(I:I,match($A2501&amp;","&amp;index('Year Conversion'!$A:$A,match($C2501,'Year Conversion'!$B:$B,0)),$Y:$Y,0))-I2501,"")</f>
        <v/>
      </c>
      <c r="AA2501" s="168" t="str">
        <f t="array" ref="AA2501">iferror(index(J:J,match($A2501&amp;","&amp;index('Year Conversion'!$A:$A,match($C2501,'Year Conversion'!$B:$B,0)),$Y:$Y,0))-J2501,"")</f>
        <v/>
      </c>
      <c r="AB2501" s="168" t="str">
        <f t="array" ref="AB2501">iferror(index(K:K,match($A2501&amp;","&amp;index('Year Conversion'!$A:$A,match($C2501,'Year Conversion'!$B:$B,0)),$Y:$Y,0))-K2501,"")</f>
        <v/>
      </c>
      <c r="AC2501" s="168" t="str">
        <f t="shared" si="7"/>
        <v>OKC,2018-19</v>
      </c>
    </row>
    <row r="2502">
      <c r="A2502" s="161" t="str">
        <f>IFERROR(__xludf.DUMMYFUNCTION("""COMPUTED_VALUE"""),"fryech01")</f>
        <v>fryech01</v>
      </c>
      <c r="B2502" s="161" t="str">
        <f>IFERROR(__xludf.DUMMYFUNCTION("""COMPUTED_VALUE"""),"Channing Frye")</f>
        <v>Channing Frye</v>
      </c>
      <c r="C2502" s="162" t="str">
        <f>IFERROR(__xludf.DUMMYFUNCTION("""COMPUTED_VALUE"""),"2018-19")</f>
        <v>2018-19</v>
      </c>
      <c r="D2502" s="163" t="str">
        <f>IFERROR(__xludf.DUMMYFUNCTION("""COMPUTED_VALUE"""),"CLE")</f>
        <v>CLE</v>
      </c>
      <c r="E2502" s="164" t="str">
        <f>IFERROR(__xludf.DUMMYFUNCTION("""COMPUTED_VALUE"""),"Stretch Big")</f>
        <v>Stretch Big</v>
      </c>
      <c r="F2502" s="164">
        <f>IFERROR(__xludf.DUMMYFUNCTION("""COMPUTED_VALUE"""),340.995)</f>
        <v>340.995</v>
      </c>
      <c r="G2502" s="163">
        <f>IFERROR(__xludf.DUMMYFUNCTION("""COMPUTED_VALUE"""),36.0)</f>
        <v>36</v>
      </c>
      <c r="H2502" s="163" t="str">
        <f>IFERROR(__xludf.DUMMYFUNCTION("""COMPUTED_VALUE"""),"C")</f>
        <v>C</v>
      </c>
      <c r="I2502" s="163">
        <f>IFERROR(__xludf.DUMMYFUNCTION("""COMPUTED_VALUE"""),35.0)</f>
        <v>35</v>
      </c>
      <c r="J2502" s="165">
        <f>IFERROR(__xludf.DUMMYFUNCTION("""COMPUTED_VALUE"""),-1.75682765230831)</f>
        <v>-1.756827652</v>
      </c>
      <c r="K2502" s="165">
        <f>IFERROR(__xludf.DUMMYFUNCTION("""COMPUTED_VALUE"""),-1.26575354332832)</f>
        <v>-1.265753543</v>
      </c>
      <c r="L2502" s="165">
        <f>IFERROR(__xludf.DUMMYFUNCTION("""COMPUTED_VALUE"""),-0.491074108979993)</f>
        <v>-0.491074109</v>
      </c>
      <c r="M2502" s="166">
        <f t="shared" si="2"/>
        <v>0.1235369765</v>
      </c>
      <c r="N2502" s="167">
        <f t="shared" si="3"/>
        <v>9.472083333</v>
      </c>
      <c r="O2502" s="163">
        <f t="shared" ref="O2502:Q2502" si="2506">rank(I2502,I:I)</f>
        <v>104</v>
      </c>
      <c r="P2502" s="163">
        <f t="shared" si="2506"/>
        <v>3298</v>
      </c>
      <c r="Q2502" s="163">
        <f t="shared" si="2506"/>
        <v>3101</v>
      </c>
      <c r="R2502" s="163">
        <f>IFERROR(__xludf.DUMMYFUNCTION("RANK(M2502,filter(M:M,C:C=C2502))"),377.0)</f>
        <v>377</v>
      </c>
      <c r="S2502" s="161" t="b">
        <f t="shared" si="5"/>
        <v>0</v>
      </c>
      <c r="T2502" s="161" t="b">
        <f t="array" ref="T2502">index('Query Tool'!B:B,match(H2502,'Query Tool'!C:C,0))</f>
        <v>1</v>
      </c>
      <c r="U2502" s="161" t="b">
        <f t="array" ref="U2502">index('Query Tool'!B:B,match(C2502,'Query Tool'!C:C,0))</f>
        <v>0</v>
      </c>
      <c r="V2502" s="161" t="b">
        <f>F2502&gt;='Query Tool'!C$32</f>
        <v>0</v>
      </c>
      <c r="W2502" s="161" t="b">
        <f t="array" ref="W2502">index(Dropdowns!B:B,match(I2502,Dropdowns!A:A,0))</f>
        <v>1</v>
      </c>
      <c r="X2502" s="161" t="b">
        <f t="array" ref="X2502">index('Query Tool'!B:B,match(D2502,'Query Tool'!C:C,0))</f>
        <v>1</v>
      </c>
      <c r="Y2502" s="161" t="str">
        <f t="shared" si="6"/>
        <v>fryech01,2018-19</v>
      </c>
      <c r="Z2502" s="168" t="str">
        <f t="array" ref="Z2502">iferror(index(I:I,match($A2502&amp;","&amp;index('Year Conversion'!$A:$A,match($C2502,'Year Conversion'!$B:$B,0)),$Y:$Y,0))-I2502,"")</f>
        <v/>
      </c>
      <c r="AA2502" s="168" t="str">
        <f t="array" ref="AA2502">iferror(index(J:J,match($A2502&amp;","&amp;index('Year Conversion'!$A:$A,match($C2502,'Year Conversion'!$B:$B,0)),$Y:$Y,0))-J2502,"")</f>
        <v/>
      </c>
      <c r="AB2502" s="168" t="str">
        <f t="array" ref="AB2502">iferror(index(K:K,match($A2502&amp;","&amp;index('Year Conversion'!$A:$A,match($C2502,'Year Conversion'!$B:$B,0)),$Y:$Y,0))-K2502,"")</f>
        <v/>
      </c>
      <c r="AC2502" s="168" t="str">
        <f t="shared" si="7"/>
        <v>CLE,2018-19</v>
      </c>
    </row>
    <row r="2503">
      <c r="A2503" s="161" t="str">
        <f>IFERROR(__xludf.DUMMYFUNCTION("""COMPUTED_VALUE"""),"greenge01")</f>
        <v>greenge01</v>
      </c>
      <c r="B2503" s="161" t="str">
        <f>IFERROR(__xludf.DUMMYFUNCTION("""COMPUTED_VALUE"""),"Gerald Green")</f>
        <v>Gerald Green</v>
      </c>
      <c r="C2503" s="162" t="str">
        <f>IFERROR(__xludf.DUMMYFUNCTION("""COMPUTED_VALUE"""),"2018-19")</f>
        <v>2018-19</v>
      </c>
      <c r="D2503" s="163" t="str">
        <f>IFERROR(__xludf.DUMMYFUNCTION("""COMPUTED_VALUE"""),"HOU")</f>
        <v>HOU</v>
      </c>
      <c r="E2503" s="164" t="str">
        <f>IFERROR(__xludf.DUMMYFUNCTION("""COMPUTED_VALUE"""),"Movement Shooter")</f>
        <v>Movement Shooter</v>
      </c>
      <c r="F2503" s="164">
        <f>IFERROR(__xludf.DUMMYFUNCTION("""COMPUTED_VALUE"""),1472.98166666667)</f>
        <v>1472.981667</v>
      </c>
      <c r="G2503" s="163">
        <f>IFERROR(__xludf.DUMMYFUNCTION("""COMPUTED_VALUE"""),73.0)</f>
        <v>73</v>
      </c>
      <c r="H2503" s="163" t="str">
        <f>IFERROR(__xludf.DUMMYFUNCTION("""COMPUTED_VALUE"""),"SG")</f>
        <v>SG</v>
      </c>
      <c r="I2503" s="163">
        <f>IFERROR(__xludf.DUMMYFUNCTION("""COMPUTED_VALUE"""),33.0)</f>
        <v>33</v>
      </c>
      <c r="J2503" s="165">
        <f>IFERROR(__xludf.DUMMYFUNCTION("""COMPUTED_VALUE"""),-1.11922081457771)</f>
        <v>-1.119220815</v>
      </c>
      <c r="K2503" s="165">
        <f>IFERROR(__xludf.DUMMYFUNCTION("""COMPUTED_VALUE"""),1.23631739100457)</f>
        <v>1.236317391</v>
      </c>
      <c r="L2503" s="165">
        <f>IFERROR(__xludf.DUMMYFUNCTION("""COMPUTED_VALUE"""),-2.35553820558228)</f>
        <v>-2.355538206</v>
      </c>
      <c r="M2503" s="166">
        <f t="shared" si="2"/>
        <v>1.161313081</v>
      </c>
      <c r="N2503" s="167">
        <f t="shared" si="3"/>
        <v>20.17783105</v>
      </c>
      <c r="O2503" s="163">
        <f t="shared" ref="O2503:Q2503" si="2507">rank(I2503,I:I)</f>
        <v>246</v>
      </c>
      <c r="P2503" s="163">
        <f t="shared" si="2507"/>
        <v>2645</v>
      </c>
      <c r="Q2503" s="163">
        <f t="shared" si="2507"/>
        <v>405</v>
      </c>
      <c r="R2503" s="163">
        <f>IFERROR(__xludf.DUMMYFUNCTION("RANK(M2503,filter(M:M,C:C=C2503))"),214.0)</f>
        <v>214</v>
      </c>
      <c r="S2503" s="161" t="b">
        <f t="shared" si="5"/>
        <v>0</v>
      </c>
      <c r="T2503" s="161" t="b">
        <f t="array" ref="T2503">index('Query Tool'!B:B,match(H2503,'Query Tool'!C:C,0))</f>
        <v>1</v>
      </c>
      <c r="U2503" s="161" t="b">
        <f t="array" ref="U2503">index('Query Tool'!B:B,match(C2503,'Query Tool'!C:C,0))</f>
        <v>0</v>
      </c>
      <c r="V2503" s="161" t="b">
        <f>F2503&gt;='Query Tool'!C$32</f>
        <v>1</v>
      </c>
      <c r="W2503" s="161" t="b">
        <f t="array" ref="W2503">index(Dropdowns!B:B,match(I2503,Dropdowns!A:A,0))</f>
        <v>1</v>
      </c>
      <c r="X2503" s="161" t="b">
        <f t="array" ref="X2503">index('Query Tool'!B:B,match(D2503,'Query Tool'!C:C,0))</f>
        <v>1</v>
      </c>
      <c r="Y2503" s="161" t="str">
        <f t="shared" si="6"/>
        <v>greenge01,2018-19</v>
      </c>
      <c r="Z2503" s="168" t="str">
        <f t="array" ref="Z2503">iferror(index(I:I,match($A2503&amp;","&amp;index('Year Conversion'!$A:$A,match($C2503,'Year Conversion'!$B:$B,0)),$Y:$Y,0))-I2503,"")</f>
        <v/>
      </c>
      <c r="AA2503" s="168" t="str">
        <f t="array" ref="AA2503">iferror(index(J:J,match($A2503&amp;","&amp;index('Year Conversion'!$A:$A,match($C2503,'Year Conversion'!$B:$B,0)),$Y:$Y,0))-J2503,"")</f>
        <v/>
      </c>
      <c r="AB2503" s="168" t="str">
        <f t="array" ref="AB2503">iferror(index(K:K,match($A2503&amp;","&amp;index('Year Conversion'!$A:$A,match($C2503,'Year Conversion'!$B:$B,0)),$Y:$Y,0))-K2503,"")</f>
        <v/>
      </c>
      <c r="AC2503" s="168" t="str">
        <f t="shared" si="7"/>
        <v>HOU,2018-19</v>
      </c>
    </row>
    <row r="2504">
      <c r="A2504" s="161" t="str">
        <f>IFERROR(__xludf.DUMMYFUNCTION("""COMPUTED_VALUE"""),"mahinia01")</f>
        <v>mahinia01</v>
      </c>
      <c r="B2504" s="161" t="str">
        <f>IFERROR(__xludf.DUMMYFUNCTION("""COMPUTED_VALUE"""),"Ian Mahinmi")</f>
        <v>Ian Mahinmi</v>
      </c>
      <c r="C2504" s="162" t="str">
        <f>IFERROR(__xludf.DUMMYFUNCTION("""COMPUTED_VALUE"""),"2018-19")</f>
        <v>2018-19</v>
      </c>
      <c r="D2504" s="163" t="str">
        <f>IFERROR(__xludf.DUMMYFUNCTION("""COMPUTED_VALUE"""),"WAS")</f>
        <v>WAS</v>
      </c>
      <c r="E2504" s="164" t="str">
        <f>IFERROR(__xludf.DUMMYFUNCTION("""COMPUTED_VALUE"""),"Roll + Cut Big")</f>
        <v>Roll + Cut Big</v>
      </c>
      <c r="F2504" s="164">
        <f>IFERROR(__xludf.DUMMYFUNCTION("""COMPUTED_VALUE"""),497.766666666666)</f>
        <v>497.7666667</v>
      </c>
      <c r="G2504" s="163">
        <f>IFERROR(__xludf.DUMMYFUNCTION("""COMPUTED_VALUE"""),34.0)</f>
        <v>34</v>
      </c>
      <c r="H2504" s="163" t="str">
        <f>IFERROR(__xludf.DUMMYFUNCTION("""COMPUTED_VALUE"""),"C")</f>
        <v>C</v>
      </c>
      <c r="I2504" s="163">
        <f>IFERROR(__xludf.DUMMYFUNCTION("""COMPUTED_VALUE"""),32.0)</f>
        <v>32</v>
      </c>
      <c r="J2504" s="165">
        <f>IFERROR(__xludf.DUMMYFUNCTION("""COMPUTED_VALUE"""),-0.126621472825311)</f>
        <v>-0.1266214728</v>
      </c>
      <c r="K2504" s="165">
        <f>IFERROR(__xludf.DUMMYFUNCTION("""COMPUTED_VALUE"""),-1.50141977699301)</f>
        <v>-1.501419777</v>
      </c>
      <c r="L2504" s="165">
        <f>IFERROR(__xludf.DUMMYFUNCTION("""COMPUTED_VALUE"""),1.3747983041677)</f>
        <v>1.374798304</v>
      </c>
      <c r="M2504" s="166">
        <f t="shared" si="2"/>
        <v>0.7248984233</v>
      </c>
      <c r="N2504" s="167">
        <f t="shared" si="3"/>
        <v>14.64019608</v>
      </c>
      <c r="O2504" s="163">
        <f t="shared" ref="O2504:Q2504" si="2508">rank(I2504,I:I)</f>
        <v>359</v>
      </c>
      <c r="P2504" s="163">
        <f t="shared" si="2508"/>
        <v>1413</v>
      </c>
      <c r="Q2504" s="163">
        <f t="shared" si="2508"/>
        <v>3355</v>
      </c>
      <c r="R2504" s="163">
        <f>IFERROR(__xludf.DUMMYFUNCTION("RANK(M2504,filter(M:M,C:C=C2504))"),255.0)</f>
        <v>255</v>
      </c>
      <c r="S2504" s="161" t="b">
        <f t="shared" si="5"/>
        <v>0</v>
      </c>
      <c r="T2504" s="161" t="b">
        <f t="array" ref="T2504">index('Query Tool'!B:B,match(H2504,'Query Tool'!C:C,0))</f>
        <v>1</v>
      </c>
      <c r="U2504" s="161" t="b">
        <f t="array" ref="U2504">index('Query Tool'!B:B,match(C2504,'Query Tool'!C:C,0))</f>
        <v>0</v>
      </c>
      <c r="V2504" s="161" t="b">
        <f>F2504&gt;='Query Tool'!C$32</f>
        <v>0</v>
      </c>
      <c r="W2504" s="161" t="b">
        <f t="array" ref="W2504">index(Dropdowns!B:B,match(I2504,Dropdowns!A:A,0))</f>
        <v>1</v>
      </c>
      <c r="X2504" s="161" t="b">
        <f t="array" ref="X2504">index('Query Tool'!B:B,match(D2504,'Query Tool'!C:C,0))</f>
        <v>1</v>
      </c>
      <c r="Y2504" s="161" t="str">
        <f t="shared" si="6"/>
        <v>mahinia01,2018-19</v>
      </c>
      <c r="Z2504" s="168">
        <f t="array" ref="Z2504">iferror(index(I:I,match($A2504&amp;","&amp;index('Year Conversion'!$A:$A,match($C2504,'Year Conversion'!$B:$B,0)),$Y:$Y,0))-I2504,"")</f>
        <v>1</v>
      </c>
      <c r="AA2504" s="168">
        <f t="array" ref="AA2504">iferror(index(J:J,match($A2504&amp;","&amp;index('Year Conversion'!$A:$A,match($C2504,'Year Conversion'!$B:$B,0)),$Y:$Y,0))-J2504,"")</f>
        <v>0.2301579199</v>
      </c>
      <c r="AB2504" s="168">
        <f t="array" ref="AB2504">iferror(index(K:K,match($A2504&amp;","&amp;index('Year Conversion'!$A:$A,match($C2504,'Year Conversion'!$B:$B,0)),$Y:$Y,0))-K2504,"")</f>
        <v>0.3203833662</v>
      </c>
      <c r="AC2504" s="168" t="str">
        <f t="shared" si="7"/>
        <v>WAS,2018-19</v>
      </c>
    </row>
    <row r="2505">
      <c r="A2505" s="161" t="str">
        <f>IFERROR(__xludf.DUMMYFUNCTION("""COMPUTED_VALUE"""),"milescj01")</f>
        <v>milescj01</v>
      </c>
      <c r="B2505" s="161" t="str">
        <f>IFERROR(__xludf.DUMMYFUNCTION("""COMPUTED_VALUE"""),"CJ Miles")</f>
        <v>CJ Miles</v>
      </c>
      <c r="C2505" s="162" t="str">
        <f>IFERROR(__xludf.DUMMYFUNCTION("""COMPUTED_VALUE"""),"2018-19")</f>
        <v>2018-19</v>
      </c>
      <c r="D2505" s="163" t="str">
        <f>IFERROR(__xludf.DUMMYFUNCTION("""COMPUTED_VALUE"""),"TOT")</f>
        <v>TOT</v>
      </c>
      <c r="E2505" s="164" t="str">
        <f>IFERROR(__xludf.DUMMYFUNCTION("""COMPUTED_VALUE"""),"Off Screen Shooter")</f>
        <v>Off Screen Shooter</v>
      </c>
      <c r="F2505" s="164">
        <f>IFERROR(__xludf.DUMMYFUNCTION("""COMPUTED_VALUE"""),856.595)</f>
        <v>856.595</v>
      </c>
      <c r="G2505" s="163">
        <f>IFERROR(__xludf.DUMMYFUNCTION("""COMPUTED_VALUE"""),53.0)</f>
        <v>53</v>
      </c>
      <c r="H2505" s="163" t="str">
        <f>IFERROR(__xludf.DUMMYFUNCTION("""COMPUTED_VALUE"""),"SF")</f>
        <v>SF</v>
      </c>
      <c r="I2505" s="163">
        <f>IFERROR(__xludf.DUMMYFUNCTION("""COMPUTED_VALUE"""),31.0)</f>
        <v>31</v>
      </c>
      <c r="J2505" s="165">
        <f>IFERROR(__xludf.DUMMYFUNCTION("""COMPUTED_VALUE"""),-1.4025604182427)</f>
        <v>-1.402560418</v>
      </c>
      <c r="K2505" s="165">
        <f>IFERROR(__xludf.DUMMYFUNCTION("""COMPUTED_VALUE"""),-0.803791914028084)</f>
        <v>-0.803791914</v>
      </c>
      <c r="L2505" s="165">
        <f>IFERROR(__xludf.DUMMYFUNCTION("""COMPUTED_VALUE"""),-0.598768504214618)</f>
        <v>-0.5987685042</v>
      </c>
      <c r="M2505" s="166">
        <f t="shared" si="2"/>
        <v>0.5128009103</v>
      </c>
      <c r="N2505" s="167">
        <f t="shared" si="3"/>
        <v>16.16216981</v>
      </c>
      <c r="O2505" s="163">
        <f t="shared" ref="O2505:Q2505" si="2509">rank(I2505,I:I)</f>
        <v>490</v>
      </c>
      <c r="P2505" s="163">
        <f t="shared" si="2509"/>
        <v>2950</v>
      </c>
      <c r="Q2505" s="163">
        <f t="shared" si="2509"/>
        <v>2562</v>
      </c>
      <c r="R2505" s="163">
        <f>IFERROR(__xludf.DUMMYFUNCTION("RANK(M2505,filter(M:M,C:C=C2505))"),283.0)</f>
        <v>283</v>
      </c>
      <c r="S2505" s="161" t="b">
        <f t="shared" si="5"/>
        <v>0</v>
      </c>
      <c r="T2505" s="161" t="b">
        <f t="array" ref="T2505">index('Query Tool'!B:B,match(H2505,'Query Tool'!C:C,0))</f>
        <v>1</v>
      </c>
      <c r="U2505" s="161" t="b">
        <f t="array" ref="U2505">index('Query Tool'!B:B,match(C2505,'Query Tool'!C:C,0))</f>
        <v>0</v>
      </c>
      <c r="V2505" s="161" t="b">
        <f>F2505&gt;='Query Tool'!C$32</f>
        <v>1</v>
      </c>
      <c r="W2505" s="161" t="b">
        <f t="array" ref="W2505">index(Dropdowns!B:B,match(I2505,Dropdowns!A:A,0))</f>
        <v>1</v>
      </c>
      <c r="X2505" s="161" t="b">
        <f t="array" ref="X2505">index('Query Tool'!B:B,match(D2505,'Query Tool'!C:C,0))</f>
        <v>1</v>
      </c>
      <c r="Y2505" s="161" t="str">
        <f t="shared" si="6"/>
        <v>milescj01,2018-19</v>
      </c>
      <c r="Z2505" s="168">
        <f t="array" ref="Z2505">iferror(index(I:I,match($A2505&amp;","&amp;index('Year Conversion'!$A:$A,match($C2505,'Year Conversion'!$B:$B,0)),$Y:$Y,0))-I2505,"")</f>
        <v>1</v>
      </c>
      <c r="AA2505" s="168">
        <f t="array" ref="AA2505">iferror(index(J:J,match($A2505&amp;","&amp;index('Year Conversion'!$A:$A,match($C2505,'Year Conversion'!$B:$B,0)),$Y:$Y,0))-J2505,"")</f>
        <v>1.380005727</v>
      </c>
      <c r="AB2505" s="168">
        <f t="array" ref="AB2505">iferror(index(K:K,match($A2505&amp;","&amp;index('Year Conversion'!$A:$A,match($C2505,'Year Conversion'!$B:$B,0)),$Y:$Y,0))-K2505,"")</f>
        <v>1.123449756</v>
      </c>
      <c r="AC2505" s="168" t="str">
        <f t="shared" si="7"/>
        <v>TOT,2018-19</v>
      </c>
    </row>
    <row r="2506">
      <c r="A2506" s="161" t="str">
        <f>IFERROR(__xludf.DUMMYFUNCTION("""COMPUTED_VALUE"""),"ilyaser01")</f>
        <v>ilyaser01</v>
      </c>
      <c r="B2506" s="161" t="str">
        <f>IFERROR(__xludf.DUMMYFUNCTION("""COMPUTED_VALUE"""),"Ersan Ilyasova")</f>
        <v>Ersan Ilyasova</v>
      </c>
      <c r="C2506" s="162" t="str">
        <f>IFERROR(__xludf.DUMMYFUNCTION("""COMPUTED_VALUE"""),"2018-19")</f>
        <v>2018-19</v>
      </c>
      <c r="D2506" s="163" t="str">
        <f>IFERROR(__xludf.DUMMYFUNCTION("""COMPUTED_VALUE"""),"MIL")</f>
        <v>MIL</v>
      </c>
      <c r="E2506" s="164" t="str">
        <f>IFERROR(__xludf.DUMMYFUNCTION("""COMPUTED_VALUE"""),"Stretch Big")</f>
        <v>Stretch Big</v>
      </c>
      <c r="F2506" s="164">
        <f>IFERROR(__xludf.DUMMYFUNCTION("""COMPUTED_VALUE"""),1231.31333333333)</f>
        <v>1231.313333</v>
      </c>
      <c r="G2506" s="163">
        <f>IFERROR(__xludf.DUMMYFUNCTION("""COMPUTED_VALUE"""),67.0)</f>
        <v>67</v>
      </c>
      <c r="H2506" s="163" t="str">
        <f>IFERROR(__xludf.DUMMYFUNCTION("""COMPUTED_VALUE"""),"PF")</f>
        <v>PF</v>
      </c>
      <c r="I2506" s="163">
        <f>IFERROR(__xludf.DUMMYFUNCTION("""COMPUTED_VALUE"""),31.0)</f>
        <v>31</v>
      </c>
      <c r="J2506" s="165">
        <f>IFERROR(__xludf.DUMMYFUNCTION("""COMPUTED_VALUE"""),0.521782804481472)</f>
        <v>0.5217828045</v>
      </c>
      <c r="K2506" s="165">
        <f>IFERROR(__xludf.DUMMYFUNCTION("""COMPUTED_VALUE"""),-0.0318159729041433)</f>
        <v>-0.0318159729</v>
      </c>
      <c r="L2506" s="165">
        <f>IFERROR(__xludf.DUMMYFUNCTION("""COMPUTED_VALUE"""),0.553598777385616)</f>
        <v>0.5535987774</v>
      </c>
      <c r="M2506" s="166">
        <f t="shared" si="2"/>
        <v>2.33126318</v>
      </c>
      <c r="N2506" s="167">
        <f t="shared" si="3"/>
        <v>18.37781095</v>
      </c>
      <c r="O2506" s="163">
        <f t="shared" ref="O2506:Q2506" si="2510">rank(I2506,I:I)</f>
        <v>490</v>
      </c>
      <c r="P2506" s="163">
        <f t="shared" si="2510"/>
        <v>890</v>
      </c>
      <c r="Q2506" s="163">
        <f t="shared" si="2510"/>
        <v>1241</v>
      </c>
      <c r="R2506" s="163">
        <f>IFERROR(__xludf.DUMMYFUNCTION("RANK(M2506,filter(M:M,C:C=C2506))"),136.0)</f>
        <v>136</v>
      </c>
      <c r="S2506" s="161" t="b">
        <f t="shared" si="5"/>
        <v>0</v>
      </c>
      <c r="T2506" s="161" t="b">
        <f t="array" ref="T2506">index('Query Tool'!B:B,match(H2506,'Query Tool'!C:C,0))</f>
        <v>1</v>
      </c>
      <c r="U2506" s="161" t="b">
        <f t="array" ref="U2506">index('Query Tool'!B:B,match(C2506,'Query Tool'!C:C,0))</f>
        <v>0</v>
      </c>
      <c r="V2506" s="161" t="b">
        <f>F2506&gt;='Query Tool'!C$32</f>
        <v>1</v>
      </c>
      <c r="W2506" s="161" t="b">
        <f t="array" ref="W2506">index(Dropdowns!B:B,match(I2506,Dropdowns!A:A,0))</f>
        <v>1</v>
      </c>
      <c r="X2506" s="161" t="b">
        <f t="array" ref="X2506">index('Query Tool'!B:B,match(D2506,'Query Tool'!C:C,0))</f>
        <v>1</v>
      </c>
      <c r="Y2506" s="161" t="str">
        <f t="shared" si="6"/>
        <v>ilyaser01,2018-19</v>
      </c>
      <c r="Z2506" s="168">
        <f t="array" ref="Z2506">iferror(index(I:I,match($A2506&amp;","&amp;index('Year Conversion'!$A:$A,match($C2506,'Year Conversion'!$B:$B,0)),$Y:$Y,0))-I2506,"")</f>
        <v>1</v>
      </c>
      <c r="AA2506" s="168">
        <f t="array" ref="AA2506">iferror(index(J:J,match($A2506&amp;","&amp;index('Year Conversion'!$A:$A,match($C2506,'Year Conversion'!$B:$B,0)),$Y:$Y,0))-J2506,"")</f>
        <v>0.7705566717</v>
      </c>
      <c r="AB2506" s="168">
        <f t="array" ref="AB2506">iferror(index(K:K,match($A2506&amp;","&amp;index('Year Conversion'!$A:$A,match($C2506,'Year Conversion'!$B:$B,0)),$Y:$Y,0))-K2506,"")</f>
        <v>0.1278865633</v>
      </c>
      <c r="AC2506" s="168" t="str">
        <f t="shared" si="7"/>
        <v>MIL,2018-19</v>
      </c>
    </row>
    <row r="2507">
      <c r="A2507" s="161" t="str">
        <f>IFERROR(__xludf.DUMMYFUNCTION("""COMPUTED_VALUE"""),"willilo02")</f>
        <v>willilo02</v>
      </c>
      <c r="B2507" s="161" t="str">
        <f>IFERROR(__xludf.DUMMYFUNCTION("""COMPUTED_VALUE"""),"Lou Williams")</f>
        <v>Lou Williams</v>
      </c>
      <c r="C2507" s="162" t="str">
        <f>IFERROR(__xludf.DUMMYFUNCTION("""COMPUTED_VALUE"""),"2018-19")</f>
        <v>2018-19</v>
      </c>
      <c r="D2507" s="163" t="str">
        <f>IFERROR(__xludf.DUMMYFUNCTION("""COMPUTED_VALUE"""),"LAC")</f>
        <v>LAC</v>
      </c>
      <c r="E2507" s="164" t="str">
        <f>IFERROR(__xludf.DUMMYFUNCTION("""COMPUTED_VALUE"""),"Slasher")</f>
        <v>Slasher</v>
      </c>
      <c r="F2507" s="164">
        <f>IFERROR(__xludf.DUMMYFUNCTION("""COMPUTED_VALUE"""),1992.58833333333)</f>
        <v>1992.588333</v>
      </c>
      <c r="G2507" s="163">
        <f>IFERROR(__xludf.DUMMYFUNCTION("""COMPUTED_VALUE"""),75.0)</f>
        <v>75</v>
      </c>
      <c r="H2507" s="163" t="str">
        <f>IFERROR(__xludf.DUMMYFUNCTION("""COMPUTED_VALUE"""),"SG")</f>
        <v>SG</v>
      </c>
      <c r="I2507" s="163">
        <f>IFERROR(__xludf.DUMMYFUNCTION("""COMPUTED_VALUE"""),32.0)</f>
        <v>32</v>
      </c>
      <c r="J2507" s="165">
        <f>IFERROR(__xludf.DUMMYFUNCTION("""COMPUTED_VALUE"""),0.718597623193325)</f>
        <v>0.7185976232</v>
      </c>
      <c r="K2507" s="165">
        <f>IFERROR(__xludf.DUMMYFUNCTION("""COMPUTED_VALUE"""),3.07972890236776)</f>
        <v>3.079728902</v>
      </c>
      <c r="L2507" s="165">
        <f>IFERROR(__xludf.DUMMYFUNCTION("""COMPUTED_VALUE"""),-2.36113127917443)</f>
        <v>-2.361131279</v>
      </c>
      <c r="M2507" s="166">
        <f t="shared" si="2"/>
        <v>4.036566774</v>
      </c>
      <c r="N2507" s="167">
        <f t="shared" si="3"/>
        <v>26.56784444</v>
      </c>
      <c r="O2507" s="163">
        <f t="shared" ref="O2507:Q2507" si="2511">rank(I2507,I:I)</f>
        <v>359</v>
      </c>
      <c r="P2507" s="163">
        <f t="shared" si="2511"/>
        <v>783</v>
      </c>
      <c r="Q2507" s="163">
        <f t="shared" si="2511"/>
        <v>116</v>
      </c>
      <c r="R2507" s="163">
        <f>IFERROR(__xludf.DUMMYFUNCTION("RANK(M2507,filter(M:M,C:C=C2507))"),83.0)</f>
        <v>83</v>
      </c>
      <c r="S2507" s="161" t="b">
        <f t="shared" si="5"/>
        <v>0</v>
      </c>
      <c r="T2507" s="161" t="b">
        <f t="array" ref="T2507">index('Query Tool'!B:B,match(H2507,'Query Tool'!C:C,0))</f>
        <v>1</v>
      </c>
      <c r="U2507" s="161" t="b">
        <f t="array" ref="U2507">index('Query Tool'!B:B,match(C2507,'Query Tool'!C:C,0))</f>
        <v>0</v>
      </c>
      <c r="V2507" s="161" t="b">
        <f>F2507&gt;='Query Tool'!C$32</f>
        <v>1</v>
      </c>
      <c r="W2507" s="161" t="b">
        <f t="array" ref="W2507">index(Dropdowns!B:B,match(I2507,Dropdowns!A:A,0))</f>
        <v>1</v>
      </c>
      <c r="X2507" s="161" t="b">
        <f t="array" ref="X2507">index('Query Tool'!B:B,match(D2507,'Query Tool'!C:C,0))</f>
        <v>1</v>
      </c>
      <c r="Y2507" s="161" t="str">
        <f t="shared" si="6"/>
        <v>willilo02,2018-19</v>
      </c>
      <c r="Z2507" s="168">
        <f t="array" ref="Z2507">iferror(index(I:I,match($A2507&amp;","&amp;index('Year Conversion'!$A:$A,match($C2507,'Year Conversion'!$B:$B,0)),$Y:$Y,0))-I2507,"")</f>
        <v>1</v>
      </c>
      <c r="AA2507" s="168">
        <f t="array" ref="AA2507">iferror(index(J:J,match($A2507&amp;","&amp;index('Year Conversion'!$A:$A,match($C2507,'Year Conversion'!$B:$B,0)),$Y:$Y,0))-J2507,"")</f>
        <v>-0.6699115891</v>
      </c>
      <c r="AB2507" s="168">
        <f t="array" ref="AB2507">iferror(index(K:K,match($A2507&amp;","&amp;index('Year Conversion'!$A:$A,match($C2507,'Year Conversion'!$B:$B,0)),$Y:$Y,0))-K2507,"")</f>
        <v>-1.153740654</v>
      </c>
      <c r="AC2507" s="168" t="str">
        <f t="shared" si="7"/>
        <v>LAC,2018-19</v>
      </c>
    </row>
    <row r="2508">
      <c r="A2508" s="161" t="str">
        <f>IFERROR(__xludf.DUMMYFUNCTION("""COMPUTED_VALUE"""),"johnsam01")</f>
        <v>johnsam01</v>
      </c>
      <c r="B2508" s="161" t="str">
        <f>IFERROR(__xludf.DUMMYFUNCTION("""COMPUTED_VALUE"""),"Amir Johnson")</f>
        <v>Amir Johnson</v>
      </c>
      <c r="C2508" s="162" t="str">
        <f>IFERROR(__xludf.DUMMYFUNCTION("""COMPUTED_VALUE"""),"2018-19")</f>
        <v>2018-19</v>
      </c>
      <c r="D2508" s="163" t="str">
        <f>IFERROR(__xludf.DUMMYFUNCTION("""COMPUTED_VALUE"""),"PHI")</f>
        <v>PHI</v>
      </c>
      <c r="E2508" s="164" t="str">
        <f>IFERROR(__xludf.DUMMYFUNCTION("""COMPUTED_VALUE"""),"Stretch Big")</f>
        <v>Stretch Big</v>
      </c>
      <c r="F2508" s="164">
        <f>IFERROR(__xludf.DUMMYFUNCTION("""COMPUTED_VALUE"""),529.171666666667)</f>
        <v>529.1716667</v>
      </c>
      <c r="G2508" s="163">
        <f>IFERROR(__xludf.DUMMYFUNCTION("""COMPUTED_VALUE"""),51.0)</f>
        <v>51</v>
      </c>
      <c r="H2508" s="163" t="str">
        <f>IFERROR(__xludf.DUMMYFUNCTION("""COMPUTED_VALUE"""),"C")</f>
        <v>C</v>
      </c>
      <c r="I2508" s="163">
        <f>IFERROR(__xludf.DUMMYFUNCTION("""COMPUTED_VALUE"""),31.0)</f>
        <v>31</v>
      </c>
      <c r="J2508" s="165">
        <f>IFERROR(__xludf.DUMMYFUNCTION("""COMPUTED_VALUE"""),-1.37047661055998)</f>
        <v>-1.370476611</v>
      </c>
      <c r="K2508" s="165">
        <f>IFERROR(__xludf.DUMMYFUNCTION("""COMPUTED_VALUE"""),-1.27515742418543)</f>
        <v>-1.275157424</v>
      </c>
      <c r="L2508" s="165">
        <f>IFERROR(__xludf.DUMMYFUNCTION("""COMPUTED_VALUE"""),-0.0953191863745495)</f>
        <v>-0.09531918637</v>
      </c>
      <c r="M2508" s="166">
        <f t="shared" si="2"/>
        <v>0.3281438771</v>
      </c>
      <c r="N2508" s="167">
        <f t="shared" si="3"/>
        <v>10.37591503</v>
      </c>
      <c r="O2508" s="163">
        <f t="shared" ref="O2508:Q2508" si="2512">rank(I2508,I:I)</f>
        <v>490</v>
      </c>
      <c r="P2508" s="163">
        <f t="shared" si="2512"/>
        <v>2926</v>
      </c>
      <c r="Q2508" s="163">
        <f t="shared" si="2512"/>
        <v>3118</v>
      </c>
      <c r="R2508" s="163">
        <f>IFERROR(__xludf.DUMMYFUNCTION("RANK(M2508,filter(M:M,C:C=C2508))"),315.0)</f>
        <v>315</v>
      </c>
      <c r="S2508" s="161" t="b">
        <f t="shared" si="5"/>
        <v>0</v>
      </c>
      <c r="T2508" s="161" t="b">
        <f t="array" ref="T2508">index('Query Tool'!B:B,match(H2508,'Query Tool'!C:C,0))</f>
        <v>1</v>
      </c>
      <c r="U2508" s="161" t="b">
        <f t="array" ref="U2508">index('Query Tool'!B:B,match(C2508,'Query Tool'!C:C,0))</f>
        <v>0</v>
      </c>
      <c r="V2508" s="161" t="b">
        <f>F2508&gt;='Query Tool'!C$32</f>
        <v>1</v>
      </c>
      <c r="W2508" s="161" t="b">
        <f t="array" ref="W2508">index(Dropdowns!B:B,match(I2508,Dropdowns!A:A,0))</f>
        <v>1</v>
      </c>
      <c r="X2508" s="161" t="b">
        <f t="array" ref="X2508">index('Query Tool'!B:B,match(D2508,'Query Tool'!C:C,0))</f>
        <v>1</v>
      </c>
      <c r="Y2508" s="161" t="str">
        <f t="shared" si="6"/>
        <v>johnsam01,2018-19</v>
      </c>
      <c r="Z2508" s="168" t="str">
        <f t="array" ref="Z2508">iferror(index(I:I,match($A2508&amp;","&amp;index('Year Conversion'!$A:$A,match($C2508,'Year Conversion'!$B:$B,0)),$Y:$Y,0))-I2508,"")</f>
        <v/>
      </c>
      <c r="AA2508" s="168" t="str">
        <f t="array" ref="AA2508">iferror(index(J:J,match($A2508&amp;","&amp;index('Year Conversion'!$A:$A,match($C2508,'Year Conversion'!$B:$B,0)),$Y:$Y,0))-J2508,"")</f>
        <v/>
      </c>
      <c r="AB2508" s="168" t="str">
        <f t="array" ref="AB2508">iferror(index(K:K,match($A2508&amp;","&amp;index('Year Conversion'!$A:$A,match($C2508,'Year Conversion'!$B:$B,0)),$Y:$Y,0))-K2508,"")</f>
        <v/>
      </c>
      <c r="AC2508" s="168" t="str">
        <f t="shared" si="7"/>
        <v>PHI,2018-19</v>
      </c>
    </row>
    <row r="2509">
      <c r="A2509" s="161" t="str">
        <f>IFERROR(__xludf.DUMMYFUNCTION("""COMPUTED_VALUE"""),"gortama01")</f>
        <v>gortama01</v>
      </c>
      <c r="B2509" s="161" t="str">
        <f>IFERROR(__xludf.DUMMYFUNCTION("""COMPUTED_VALUE"""),"Marcin Gortat")</f>
        <v>Marcin Gortat</v>
      </c>
      <c r="C2509" s="162" t="str">
        <f>IFERROR(__xludf.DUMMYFUNCTION("""COMPUTED_VALUE"""),"2018-19")</f>
        <v>2018-19</v>
      </c>
      <c r="D2509" s="163" t="str">
        <f>IFERROR(__xludf.DUMMYFUNCTION("""COMPUTED_VALUE"""),"LAC")</f>
        <v>LAC</v>
      </c>
      <c r="E2509" s="164" t="str">
        <f>IFERROR(__xludf.DUMMYFUNCTION("""COMPUTED_VALUE"""),"Roll + Cut Big")</f>
        <v>Roll + Cut Big</v>
      </c>
      <c r="F2509" s="164">
        <f>IFERROR(__xludf.DUMMYFUNCTION("""COMPUTED_VALUE"""),750.481666666667)</f>
        <v>750.4816667</v>
      </c>
      <c r="G2509" s="163">
        <f>IFERROR(__xludf.DUMMYFUNCTION("""COMPUTED_VALUE"""),47.0)</f>
        <v>47</v>
      </c>
      <c r="H2509" s="163" t="str">
        <f>IFERROR(__xludf.DUMMYFUNCTION("""COMPUTED_VALUE"""),"C")</f>
        <v>C</v>
      </c>
      <c r="I2509" s="163">
        <f>IFERROR(__xludf.DUMMYFUNCTION("""COMPUTED_VALUE"""),34.0)</f>
        <v>34</v>
      </c>
      <c r="J2509" s="165">
        <f>IFERROR(__xludf.DUMMYFUNCTION("""COMPUTED_VALUE"""),-1.14824980033609)</f>
        <v>-1.1482498</v>
      </c>
      <c r="K2509" s="165">
        <f>IFERROR(__xludf.DUMMYFUNCTION("""COMPUTED_VALUE"""),-1.77655136101496)</f>
        <v>-1.776551361</v>
      </c>
      <c r="L2509" s="165">
        <f>IFERROR(__xludf.DUMMYFUNCTION("""COMPUTED_VALUE"""),0.628301560678868)</f>
        <v>0.6283015607</v>
      </c>
      <c r="M2509" s="166">
        <f t="shared" si="2"/>
        <v>0.5770777414</v>
      </c>
      <c r="N2509" s="167">
        <f t="shared" si="3"/>
        <v>15.96769504</v>
      </c>
      <c r="O2509" s="163">
        <f t="shared" ref="O2509:Q2509" si="2513">rank(I2509,I:I)</f>
        <v>164</v>
      </c>
      <c r="P2509" s="163">
        <f t="shared" si="2513"/>
        <v>2678</v>
      </c>
      <c r="Q2509" s="163">
        <f t="shared" si="2513"/>
        <v>3564</v>
      </c>
      <c r="R2509" s="163">
        <f>IFERROR(__xludf.DUMMYFUNCTION("RANK(M2509,filter(M:M,C:C=C2509))"),272.0)</f>
        <v>272</v>
      </c>
      <c r="S2509" s="161" t="b">
        <f t="shared" si="5"/>
        <v>0</v>
      </c>
      <c r="T2509" s="161" t="b">
        <f t="array" ref="T2509">index('Query Tool'!B:B,match(H2509,'Query Tool'!C:C,0))</f>
        <v>1</v>
      </c>
      <c r="U2509" s="161" t="b">
        <f t="array" ref="U2509">index('Query Tool'!B:B,match(C2509,'Query Tool'!C:C,0))</f>
        <v>0</v>
      </c>
      <c r="V2509" s="161" t="b">
        <f>F2509&gt;='Query Tool'!C$32</f>
        <v>1</v>
      </c>
      <c r="W2509" s="161" t="b">
        <f t="array" ref="W2509">index(Dropdowns!B:B,match(I2509,Dropdowns!A:A,0))</f>
        <v>1</v>
      </c>
      <c r="X2509" s="161" t="b">
        <f t="array" ref="X2509">index('Query Tool'!B:B,match(D2509,'Query Tool'!C:C,0))</f>
        <v>1</v>
      </c>
      <c r="Y2509" s="161" t="str">
        <f t="shared" si="6"/>
        <v>gortama01,2018-19</v>
      </c>
      <c r="Z2509" s="168" t="str">
        <f t="array" ref="Z2509">iferror(index(I:I,match($A2509&amp;","&amp;index('Year Conversion'!$A:$A,match($C2509,'Year Conversion'!$B:$B,0)),$Y:$Y,0))-I2509,"")</f>
        <v/>
      </c>
      <c r="AA2509" s="168" t="str">
        <f t="array" ref="AA2509">iferror(index(J:J,match($A2509&amp;","&amp;index('Year Conversion'!$A:$A,match($C2509,'Year Conversion'!$B:$B,0)),$Y:$Y,0))-J2509,"")</f>
        <v/>
      </c>
      <c r="AB2509" s="168" t="str">
        <f t="array" ref="AB2509">iferror(index(K:K,match($A2509&amp;","&amp;index('Year Conversion'!$A:$A,match($C2509,'Year Conversion'!$B:$B,0)),$Y:$Y,0))-K2509,"")</f>
        <v/>
      </c>
      <c r="AC2509" s="168" t="str">
        <f t="shared" si="7"/>
        <v>LAC,2018-19</v>
      </c>
    </row>
    <row r="2510">
      <c r="A2510" s="161" t="str">
        <f>IFERROR(__xludf.DUMMYFUNCTION("""COMPUTED_VALUE"""),"caldejo01")</f>
        <v>caldejo01</v>
      </c>
      <c r="B2510" s="161" t="str">
        <f>IFERROR(__xludf.DUMMYFUNCTION("""COMPUTED_VALUE"""),"Jose Calderon")</f>
        <v>Jose Calderon</v>
      </c>
      <c r="C2510" s="162" t="str">
        <f>IFERROR(__xludf.DUMMYFUNCTION("""COMPUTED_VALUE"""),"2018-19")</f>
        <v>2018-19</v>
      </c>
      <c r="D2510" s="163" t="str">
        <f>IFERROR(__xludf.DUMMYFUNCTION("""COMPUTED_VALUE"""),"DET")</f>
        <v>DET</v>
      </c>
      <c r="E2510" s="164" t="str">
        <f>IFERROR(__xludf.DUMMYFUNCTION("""COMPUTED_VALUE"""),"Secondary Ball Handler")</f>
        <v>Secondary Ball Handler</v>
      </c>
      <c r="F2510" s="164">
        <f>IFERROR(__xludf.DUMMYFUNCTION("""COMPUTED_VALUE"""),631.963333333333)</f>
        <v>631.9633333</v>
      </c>
      <c r="G2510" s="163">
        <f>IFERROR(__xludf.DUMMYFUNCTION("""COMPUTED_VALUE"""),49.0)</f>
        <v>49</v>
      </c>
      <c r="H2510" s="163" t="str">
        <f>IFERROR(__xludf.DUMMYFUNCTION("""COMPUTED_VALUE"""),"PG")</f>
        <v>PG</v>
      </c>
      <c r="I2510" s="163">
        <f>IFERROR(__xludf.DUMMYFUNCTION("""COMPUTED_VALUE"""),37.0)</f>
        <v>37</v>
      </c>
      <c r="J2510" s="165">
        <f>IFERROR(__xludf.DUMMYFUNCTION("""COMPUTED_VALUE"""),-2.61101333330172)</f>
        <v>-2.611013333</v>
      </c>
      <c r="K2510" s="165">
        <f>IFERROR(__xludf.DUMMYFUNCTION("""COMPUTED_VALUE"""),-2.25183179597737)</f>
        <v>-2.251831796</v>
      </c>
      <c r="L2510" s="165">
        <f>IFERROR(__xludf.DUMMYFUNCTION("""COMPUTED_VALUE"""),-0.359181537324349)</f>
        <v>-0.3591815373</v>
      </c>
      <c r="M2510" s="166">
        <f t="shared" si="2"/>
        <v>-0.1277624787</v>
      </c>
      <c r="N2510" s="167">
        <f t="shared" si="3"/>
        <v>12.89721088</v>
      </c>
      <c r="O2510" s="163">
        <f t="shared" ref="O2510:Q2510" si="2514">rank(I2510,I:I)</f>
        <v>38</v>
      </c>
      <c r="P2510" s="163">
        <f t="shared" si="2514"/>
        <v>3788</v>
      </c>
      <c r="Q2510" s="163">
        <f t="shared" si="2514"/>
        <v>3819</v>
      </c>
      <c r="R2510" s="163">
        <f>IFERROR(__xludf.DUMMYFUNCTION("RANK(M2510,filter(M:M,C:C=C2510))"),497.0)</f>
        <v>497</v>
      </c>
      <c r="S2510" s="161" t="b">
        <f t="shared" si="5"/>
        <v>0</v>
      </c>
      <c r="T2510" s="161" t="b">
        <f t="array" ref="T2510">index('Query Tool'!B:B,match(H2510,'Query Tool'!C:C,0))</f>
        <v>1</v>
      </c>
      <c r="U2510" s="161" t="b">
        <f t="array" ref="U2510">index('Query Tool'!B:B,match(C2510,'Query Tool'!C:C,0))</f>
        <v>0</v>
      </c>
      <c r="V2510" s="161" t="b">
        <f>F2510&gt;='Query Tool'!C$32</f>
        <v>1</v>
      </c>
      <c r="W2510" s="161" t="b">
        <f t="array" ref="W2510">index(Dropdowns!B:B,match(I2510,Dropdowns!A:A,0))</f>
        <v>1</v>
      </c>
      <c r="X2510" s="161" t="b">
        <f t="array" ref="X2510">index('Query Tool'!B:B,match(D2510,'Query Tool'!C:C,0))</f>
        <v>1</v>
      </c>
      <c r="Y2510" s="161" t="str">
        <f t="shared" si="6"/>
        <v>caldejo01,2018-19</v>
      </c>
      <c r="Z2510" s="168" t="str">
        <f t="array" ref="Z2510">iferror(index(I:I,match($A2510&amp;","&amp;index('Year Conversion'!$A:$A,match($C2510,'Year Conversion'!$B:$B,0)),$Y:$Y,0))-I2510,"")</f>
        <v/>
      </c>
      <c r="AA2510" s="168" t="str">
        <f t="array" ref="AA2510">iferror(index(J:J,match($A2510&amp;","&amp;index('Year Conversion'!$A:$A,match($C2510,'Year Conversion'!$B:$B,0)),$Y:$Y,0))-J2510,"")</f>
        <v/>
      </c>
      <c r="AB2510" s="168" t="str">
        <f t="array" ref="AB2510">iferror(index(K:K,match($A2510&amp;","&amp;index('Year Conversion'!$A:$A,match($C2510,'Year Conversion'!$B:$B,0)),$Y:$Y,0))-K2510,"")</f>
        <v/>
      </c>
      <c r="AC2510" s="168" t="str">
        <f t="shared" si="7"/>
        <v>DET,2018-19</v>
      </c>
    </row>
    <row r="2511">
      <c r="A2511" s="161" t="str">
        <f>IFERROR(__xludf.DUMMYFUNCTION("""COMPUTED_VALUE"""),"aldrila01")</f>
        <v>aldrila01</v>
      </c>
      <c r="B2511" s="161" t="str">
        <f>IFERROR(__xludf.DUMMYFUNCTION("""COMPUTED_VALUE"""),"LaMarcus Aldridge")</f>
        <v>LaMarcus Aldridge</v>
      </c>
      <c r="C2511" s="162" t="str">
        <f>IFERROR(__xludf.DUMMYFUNCTION("""COMPUTED_VALUE"""),"2018-19")</f>
        <v>2018-19</v>
      </c>
      <c r="D2511" s="163" t="str">
        <f>IFERROR(__xludf.DUMMYFUNCTION("""COMPUTED_VALUE"""),"SAS")</f>
        <v>SAS</v>
      </c>
      <c r="E2511" s="164" t="str">
        <f>IFERROR(__xludf.DUMMYFUNCTION("""COMPUTED_VALUE"""),"Post Scorer")</f>
        <v>Post Scorer</v>
      </c>
      <c r="F2511" s="164">
        <f>IFERROR(__xludf.DUMMYFUNCTION("""COMPUTED_VALUE"""),2686.65)</f>
        <v>2686.65</v>
      </c>
      <c r="G2511" s="163">
        <f>IFERROR(__xludf.DUMMYFUNCTION("""COMPUTED_VALUE"""),81.0)</f>
        <v>81</v>
      </c>
      <c r="H2511" s="163" t="str">
        <f>IFERROR(__xludf.DUMMYFUNCTION("""COMPUTED_VALUE"""),"C")</f>
        <v>C</v>
      </c>
      <c r="I2511" s="163">
        <f>IFERROR(__xludf.DUMMYFUNCTION("""COMPUTED_VALUE"""),33.0)</f>
        <v>33</v>
      </c>
      <c r="J2511" s="165">
        <f>IFERROR(__xludf.DUMMYFUNCTION("""COMPUTED_VALUE"""),1.91706572740239)</f>
        <v>1.917065727</v>
      </c>
      <c r="K2511" s="165">
        <f>IFERROR(__xludf.DUMMYFUNCTION("""COMPUTED_VALUE"""),1.63260187150436)</f>
        <v>1.632601872</v>
      </c>
      <c r="L2511" s="165">
        <f>IFERROR(__xludf.DUMMYFUNCTION("""COMPUTED_VALUE"""),0.28446385589803)</f>
        <v>0.2844638559</v>
      </c>
      <c r="M2511" s="166">
        <f t="shared" si="2"/>
        <v>7.596702606</v>
      </c>
      <c r="N2511" s="167">
        <f t="shared" si="3"/>
        <v>33.16851852</v>
      </c>
      <c r="O2511" s="163">
        <f t="shared" ref="O2511:Q2511" si="2515">rank(I2511,I:I)</f>
        <v>246</v>
      </c>
      <c r="P2511" s="163">
        <f t="shared" si="2515"/>
        <v>341</v>
      </c>
      <c r="Q2511" s="163">
        <f t="shared" si="2515"/>
        <v>286</v>
      </c>
      <c r="R2511" s="163">
        <f>IFERROR(__xludf.DUMMYFUNCTION("RANK(M2511,filter(M:M,C:C=C2511))"),26.0)</f>
        <v>26</v>
      </c>
      <c r="S2511" s="161" t="b">
        <f t="shared" si="5"/>
        <v>0</v>
      </c>
      <c r="T2511" s="161" t="b">
        <f t="array" ref="T2511">index('Query Tool'!B:B,match(H2511,'Query Tool'!C:C,0))</f>
        <v>1</v>
      </c>
      <c r="U2511" s="161" t="b">
        <f t="array" ref="U2511">index('Query Tool'!B:B,match(C2511,'Query Tool'!C:C,0))</f>
        <v>0</v>
      </c>
      <c r="V2511" s="161" t="b">
        <f>F2511&gt;='Query Tool'!C$32</f>
        <v>1</v>
      </c>
      <c r="W2511" s="161" t="b">
        <f t="array" ref="W2511">index(Dropdowns!B:B,match(I2511,Dropdowns!A:A,0))</f>
        <v>1</v>
      </c>
      <c r="X2511" s="161" t="b">
        <f t="array" ref="X2511">index('Query Tool'!B:B,match(D2511,'Query Tool'!C:C,0))</f>
        <v>1</v>
      </c>
      <c r="Y2511" s="161" t="str">
        <f t="shared" si="6"/>
        <v>aldrila01,2018-19</v>
      </c>
      <c r="Z2511" s="168">
        <f t="array" ref="Z2511">iferror(index(I:I,match($A2511&amp;","&amp;index('Year Conversion'!$A:$A,match($C2511,'Year Conversion'!$B:$B,0)),$Y:$Y,0))-I2511,"")</f>
        <v>1</v>
      </c>
      <c r="AA2511" s="168">
        <f t="array" ref="AA2511">iferror(index(J:J,match($A2511&amp;","&amp;index('Year Conversion'!$A:$A,match($C2511,'Year Conversion'!$B:$B,0)),$Y:$Y,0))-J2511,"")</f>
        <v>-0.9038376131</v>
      </c>
      <c r="AB2511" s="168">
        <f t="array" ref="AB2511">iferror(index(K:K,match($A2511&amp;","&amp;index('Year Conversion'!$A:$A,match($C2511,'Year Conversion'!$B:$B,0)),$Y:$Y,0))-K2511,"")</f>
        <v>-1.207114113</v>
      </c>
      <c r="AC2511" s="168" t="str">
        <f t="shared" si="7"/>
        <v>SAS,2018-19</v>
      </c>
    </row>
    <row r="2512">
      <c r="A2512" s="161" t="str">
        <f>IFERROR(__xludf.DUMMYFUNCTION("""COMPUTED_VALUE"""),"gayru01")</f>
        <v>gayru01</v>
      </c>
      <c r="B2512" s="161" t="str">
        <f>IFERROR(__xludf.DUMMYFUNCTION("""COMPUTED_VALUE"""),"Rudy Gay")</f>
        <v>Rudy Gay</v>
      </c>
      <c r="C2512" s="162" t="str">
        <f>IFERROR(__xludf.DUMMYFUNCTION("""COMPUTED_VALUE"""),"2018-19")</f>
        <v>2018-19</v>
      </c>
      <c r="D2512" s="163" t="str">
        <f>IFERROR(__xludf.DUMMYFUNCTION("""COMPUTED_VALUE"""),"SAS")</f>
        <v>SAS</v>
      </c>
      <c r="E2512" s="164" t="str">
        <f>IFERROR(__xludf.DUMMYFUNCTION("""COMPUTED_VALUE"""),"Shot Creator")</f>
        <v>Shot Creator</v>
      </c>
      <c r="F2512" s="164">
        <f>IFERROR(__xludf.DUMMYFUNCTION("""COMPUTED_VALUE"""),1842.29333333333)</f>
        <v>1842.293333</v>
      </c>
      <c r="G2512" s="163">
        <f>IFERROR(__xludf.DUMMYFUNCTION("""COMPUTED_VALUE"""),69.0)</f>
        <v>69</v>
      </c>
      <c r="H2512" s="163" t="str">
        <f>IFERROR(__xludf.DUMMYFUNCTION("""COMPUTED_VALUE"""),"PF")</f>
        <v>PF</v>
      </c>
      <c r="I2512" s="163">
        <f>IFERROR(__xludf.DUMMYFUNCTION("""COMPUTED_VALUE"""),32.0)</f>
        <v>32</v>
      </c>
      <c r="J2512" s="165">
        <f>IFERROR(__xludf.DUMMYFUNCTION("""COMPUTED_VALUE"""),1.00373119629397)</f>
        <v>1.003731196</v>
      </c>
      <c r="K2512" s="165">
        <f>IFERROR(__xludf.DUMMYFUNCTION("""COMPUTED_VALUE"""),-0.0534073036645644)</f>
        <v>-0.05340730366</v>
      </c>
      <c r="L2512" s="165">
        <f>IFERROR(__xludf.DUMMYFUNCTION("""COMPUTED_VALUE"""),1.05713849995854)</f>
        <v>1.0571385</v>
      </c>
      <c r="M2512" s="166">
        <f t="shared" si="2"/>
        <v>4.085150072</v>
      </c>
      <c r="N2512" s="167">
        <f t="shared" si="3"/>
        <v>26.69990338</v>
      </c>
      <c r="O2512" s="163">
        <f t="shared" ref="O2512:Q2512" si="2516">rank(I2512,I:I)</f>
        <v>359</v>
      </c>
      <c r="P2512" s="163">
        <f t="shared" si="2516"/>
        <v>656</v>
      </c>
      <c r="Q2512" s="163">
        <f t="shared" si="2516"/>
        <v>1282</v>
      </c>
      <c r="R2512" s="163">
        <f>IFERROR(__xludf.DUMMYFUNCTION("RANK(M2512,filter(M:M,C:C=C2512))"),82.0)</f>
        <v>82</v>
      </c>
      <c r="S2512" s="161" t="b">
        <f t="shared" si="5"/>
        <v>0</v>
      </c>
      <c r="T2512" s="161" t="b">
        <f t="array" ref="T2512">index('Query Tool'!B:B,match(H2512,'Query Tool'!C:C,0))</f>
        <v>1</v>
      </c>
      <c r="U2512" s="161" t="b">
        <f t="array" ref="U2512">index('Query Tool'!B:B,match(C2512,'Query Tool'!C:C,0))</f>
        <v>0</v>
      </c>
      <c r="V2512" s="161" t="b">
        <f>F2512&gt;='Query Tool'!C$32</f>
        <v>1</v>
      </c>
      <c r="W2512" s="161" t="b">
        <f t="array" ref="W2512">index(Dropdowns!B:B,match(I2512,Dropdowns!A:A,0))</f>
        <v>1</v>
      </c>
      <c r="X2512" s="161" t="b">
        <f t="array" ref="X2512">index('Query Tool'!B:B,match(D2512,'Query Tool'!C:C,0))</f>
        <v>1</v>
      </c>
      <c r="Y2512" s="161" t="str">
        <f t="shared" si="6"/>
        <v>gayru01,2018-19</v>
      </c>
      <c r="Z2512" s="168">
        <f t="array" ref="Z2512">iferror(index(I:I,match($A2512&amp;","&amp;index('Year Conversion'!$A:$A,match($C2512,'Year Conversion'!$B:$B,0)),$Y:$Y,0))-I2512,"")</f>
        <v>1</v>
      </c>
      <c r="AA2512" s="168">
        <f t="array" ref="AA2512">iferror(index(J:J,match($A2512&amp;","&amp;index('Year Conversion'!$A:$A,match($C2512,'Year Conversion'!$B:$B,0)),$Y:$Y,0))-J2512,"")</f>
        <v>-0.8811935995</v>
      </c>
      <c r="AB2512" s="168">
        <f t="array" ref="AB2512">iferror(index(K:K,match($A2512&amp;","&amp;index('Year Conversion'!$A:$A,match($C2512,'Year Conversion'!$B:$B,0)),$Y:$Y,0))-K2512,"")</f>
        <v>-0.4029537497</v>
      </c>
      <c r="AC2512" s="168" t="str">
        <f t="shared" si="7"/>
        <v>SAS,2018-19</v>
      </c>
    </row>
    <row r="2513">
      <c r="A2513" s="161" t="str">
        <f>IFERROR(__xludf.DUMMYFUNCTION("""COMPUTED_VALUE"""),"redicjj01")</f>
        <v>redicjj01</v>
      </c>
      <c r="B2513" s="161" t="str">
        <f>IFERROR(__xludf.DUMMYFUNCTION("""COMPUTED_VALUE"""),"JJ Redick")</f>
        <v>JJ Redick</v>
      </c>
      <c r="C2513" s="162" t="str">
        <f>IFERROR(__xludf.DUMMYFUNCTION("""COMPUTED_VALUE"""),"2018-19")</f>
        <v>2018-19</v>
      </c>
      <c r="D2513" s="163" t="str">
        <f>IFERROR(__xludf.DUMMYFUNCTION("""COMPUTED_VALUE"""),"PHI")</f>
        <v>PHI</v>
      </c>
      <c r="E2513" s="164" t="str">
        <f>IFERROR(__xludf.DUMMYFUNCTION("""COMPUTED_VALUE"""),"Movement Shooter")</f>
        <v>Movement Shooter</v>
      </c>
      <c r="F2513" s="164">
        <f>IFERROR(__xludf.DUMMYFUNCTION("""COMPUTED_VALUE"""),2379.11666666667)</f>
        <v>2379.116667</v>
      </c>
      <c r="G2513" s="163">
        <f>IFERROR(__xludf.DUMMYFUNCTION("""COMPUTED_VALUE"""),76.0)</f>
        <v>76</v>
      </c>
      <c r="H2513" s="163" t="str">
        <f>IFERROR(__xludf.DUMMYFUNCTION("""COMPUTED_VALUE"""),"SG")</f>
        <v>SG</v>
      </c>
      <c r="I2513" s="163">
        <f>IFERROR(__xludf.DUMMYFUNCTION("""COMPUTED_VALUE"""),34.0)</f>
        <v>34</v>
      </c>
      <c r="J2513" s="165">
        <f>IFERROR(__xludf.DUMMYFUNCTION("""COMPUTED_VALUE"""),0.499984575165165)</f>
        <v>0.4999845752</v>
      </c>
      <c r="K2513" s="165">
        <f>IFERROR(__xludf.DUMMYFUNCTION("""COMPUTED_VALUE"""),1.45880036544226)</f>
        <v>1.458800365</v>
      </c>
      <c r="L2513" s="165">
        <f>IFERROR(__xludf.DUMMYFUNCTION("""COMPUTED_VALUE"""),-0.958815790277095)</f>
        <v>-0.9588157903</v>
      </c>
      <c r="M2513" s="166">
        <f t="shared" si="2"/>
        <v>4.469489848</v>
      </c>
      <c r="N2513" s="167">
        <f t="shared" si="3"/>
        <v>31.30416667</v>
      </c>
      <c r="O2513" s="163">
        <f t="shared" ref="O2513:Q2513" si="2517">rank(I2513,I:I)</f>
        <v>164</v>
      </c>
      <c r="P2513" s="163">
        <f t="shared" si="2517"/>
        <v>899</v>
      </c>
      <c r="Q2513" s="163">
        <f t="shared" si="2517"/>
        <v>333</v>
      </c>
      <c r="R2513" s="163">
        <f>IFERROR(__xludf.DUMMYFUNCTION("RANK(M2513,filter(M:M,C:C=C2513))"),69.0)</f>
        <v>69</v>
      </c>
      <c r="S2513" s="161" t="b">
        <f t="shared" si="5"/>
        <v>0</v>
      </c>
      <c r="T2513" s="161" t="b">
        <f t="array" ref="T2513">index('Query Tool'!B:B,match(H2513,'Query Tool'!C:C,0))</f>
        <v>1</v>
      </c>
      <c r="U2513" s="161" t="b">
        <f t="array" ref="U2513">index('Query Tool'!B:B,match(C2513,'Query Tool'!C:C,0))</f>
        <v>0</v>
      </c>
      <c r="V2513" s="161" t="b">
        <f>F2513&gt;='Query Tool'!C$32</f>
        <v>1</v>
      </c>
      <c r="W2513" s="161" t="b">
        <f t="array" ref="W2513">index(Dropdowns!B:B,match(I2513,Dropdowns!A:A,0))</f>
        <v>1</v>
      </c>
      <c r="X2513" s="161" t="b">
        <f t="array" ref="X2513">index('Query Tool'!B:B,match(D2513,'Query Tool'!C:C,0))</f>
        <v>1</v>
      </c>
      <c r="Y2513" s="161" t="str">
        <f t="shared" si="6"/>
        <v>redicjj01,2018-19</v>
      </c>
      <c r="Z2513" s="168">
        <f t="array" ref="Z2513">iferror(index(I:I,match($A2513&amp;","&amp;index('Year Conversion'!$A:$A,match($C2513,'Year Conversion'!$B:$B,0)),$Y:$Y,0))-I2513,"")</f>
        <v>1</v>
      </c>
      <c r="AA2513" s="168">
        <f t="array" ref="AA2513">iferror(index(J:J,match($A2513&amp;","&amp;index('Year Conversion'!$A:$A,match($C2513,'Year Conversion'!$B:$B,0)),$Y:$Y,0))-J2513,"")</f>
        <v>-1.739832025</v>
      </c>
      <c r="AB2513" s="168">
        <f t="array" ref="AB2513">iferror(index(K:K,match($A2513&amp;","&amp;index('Year Conversion'!$A:$A,match($C2513,'Year Conversion'!$B:$B,0)),$Y:$Y,0))-K2513,"")</f>
        <v>-0.2511517251</v>
      </c>
      <c r="AC2513" s="168" t="str">
        <f t="shared" si="7"/>
        <v>PHI,2018-19</v>
      </c>
    </row>
    <row r="2514">
      <c r="A2514" s="161" t="str">
        <f>IFERROR(__xludf.DUMMYFUNCTION("""COMPUTED_VALUE"""),"sefolth01")</f>
        <v>sefolth01</v>
      </c>
      <c r="B2514" s="161" t="str">
        <f>IFERROR(__xludf.DUMMYFUNCTION("""COMPUTED_VALUE"""),"Thabo Sefolosha")</f>
        <v>Thabo Sefolosha</v>
      </c>
      <c r="C2514" s="162" t="str">
        <f>IFERROR(__xludf.DUMMYFUNCTION("""COMPUTED_VALUE"""),"2018-19")</f>
        <v>2018-19</v>
      </c>
      <c r="D2514" s="163" t="str">
        <f>IFERROR(__xludf.DUMMYFUNCTION("""COMPUTED_VALUE"""),"UTA")</f>
        <v>UTA</v>
      </c>
      <c r="E2514" s="164" t="str">
        <f>IFERROR(__xludf.DUMMYFUNCTION("""COMPUTED_VALUE"""),"Stationary Shooter")</f>
        <v>Stationary Shooter</v>
      </c>
      <c r="F2514" s="164">
        <f>IFERROR(__xludf.DUMMYFUNCTION("""COMPUTED_VALUE"""),608.656666666666)</f>
        <v>608.6566667</v>
      </c>
      <c r="G2514" s="163">
        <f>IFERROR(__xludf.DUMMYFUNCTION("""COMPUTED_VALUE"""),50.0)</f>
        <v>50</v>
      </c>
      <c r="H2514" s="163" t="str">
        <f>IFERROR(__xludf.DUMMYFUNCTION("""COMPUTED_VALUE"""),"SF")</f>
        <v>SF</v>
      </c>
      <c r="I2514" s="163">
        <f>IFERROR(__xludf.DUMMYFUNCTION("""COMPUTED_VALUE"""),34.0)</f>
        <v>34</v>
      </c>
      <c r="J2514" s="165">
        <f>IFERROR(__xludf.DUMMYFUNCTION("""COMPUTED_VALUE"""),-0.439717297477323)</f>
        <v>-0.4397172975</v>
      </c>
      <c r="K2514" s="165">
        <f>IFERROR(__xludf.DUMMYFUNCTION("""COMPUTED_VALUE"""),-1.84117361102174)</f>
        <v>-1.841173611</v>
      </c>
      <c r="L2514" s="165">
        <f>IFERROR(__xludf.DUMMYFUNCTION("""COMPUTED_VALUE"""),1.40145631354442)</f>
        <v>1.401456314</v>
      </c>
      <c r="M2514" s="166">
        <f t="shared" si="2"/>
        <v>0.7579560962</v>
      </c>
      <c r="N2514" s="167">
        <f t="shared" si="3"/>
        <v>12.17313333</v>
      </c>
      <c r="O2514" s="163">
        <f t="shared" ref="O2514:Q2514" si="2518">rank(I2514,I:I)</f>
        <v>164</v>
      </c>
      <c r="P2514" s="163">
        <f t="shared" si="2518"/>
        <v>1766</v>
      </c>
      <c r="Q2514" s="163">
        <f t="shared" si="2518"/>
        <v>3600</v>
      </c>
      <c r="R2514" s="163">
        <f>IFERROR(__xludf.DUMMYFUNCTION("RANK(M2514,filter(M:M,C:C=C2514))"),249.0)</f>
        <v>249</v>
      </c>
      <c r="S2514" s="161" t="b">
        <f t="shared" si="5"/>
        <v>0</v>
      </c>
      <c r="T2514" s="161" t="b">
        <f t="array" ref="T2514">index('Query Tool'!B:B,match(H2514,'Query Tool'!C:C,0))</f>
        <v>1</v>
      </c>
      <c r="U2514" s="161" t="b">
        <f t="array" ref="U2514">index('Query Tool'!B:B,match(C2514,'Query Tool'!C:C,0))</f>
        <v>0</v>
      </c>
      <c r="V2514" s="161" t="b">
        <f>F2514&gt;='Query Tool'!C$32</f>
        <v>1</v>
      </c>
      <c r="W2514" s="161" t="b">
        <f t="array" ref="W2514">index(Dropdowns!B:B,match(I2514,Dropdowns!A:A,0))</f>
        <v>1</v>
      </c>
      <c r="X2514" s="161" t="b">
        <f t="array" ref="X2514">index('Query Tool'!B:B,match(D2514,'Query Tool'!C:C,0))</f>
        <v>1</v>
      </c>
      <c r="Y2514" s="161" t="str">
        <f t="shared" si="6"/>
        <v>sefolth01,2018-19</v>
      </c>
      <c r="Z2514" s="168">
        <f t="array" ref="Z2514">iferror(index(I:I,match($A2514&amp;","&amp;index('Year Conversion'!$A:$A,match($C2514,'Year Conversion'!$B:$B,0)),$Y:$Y,0))-I2514,"")</f>
        <v>1</v>
      </c>
      <c r="AA2514" s="168">
        <f t="array" ref="AA2514">iferror(index(J:J,match($A2514&amp;","&amp;index('Year Conversion'!$A:$A,match($C2514,'Year Conversion'!$B:$B,0)),$Y:$Y,0))-J2514,"")</f>
        <v>0.01060196944</v>
      </c>
      <c r="AB2514" s="168">
        <f t="array" ref="AB2514">iferror(index(K:K,match($A2514&amp;","&amp;index('Year Conversion'!$A:$A,match($C2514,'Year Conversion'!$B:$B,0)),$Y:$Y,0))-K2514,"")</f>
        <v>0.9119289244</v>
      </c>
      <c r="AC2514" s="168" t="str">
        <f t="shared" si="7"/>
        <v>UTA,2018-19</v>
      </c>
    </row>
    <row r="2515">
      <c r="A2515" s="161" t="str">
        <f>IFERROR(__xludf.DUMMYFUNCTION("""COMPUTED_VALUE"""),"rondora01")</f>
        <v>rondora01</v>
      </c>
      <c r="B2515" s="161" t="str">
        <f>IFERROR(__xludf.DUMMYFUNCTION("""COMPUTED_VALUE"""),"Rajon Rondo")</f>
        <v>Rajon Rondo</v>
      </c>
      <c r="C2515" s="162" t="str">
        <f>IFERROR(__xludf.DUMMYFUNCTION("""COMPUTED_VALUE"""),"2018-19")</f>
        <v>2018-19</v>
      </c>
      <c r="D2515" s="163" t="str">
        <f>IFERROR(__xludf.DUMMYFUNCTION("""COMPUTED_VALUE"""),"LAL")</f>
        <v>LAL</v>
      </c>
      <c r="E2515" s="164" t="str">
        <f>IFERROR(__xludf.DUMMYFUNCTION("""COMPUTED_VALUE"""),"Primary Ball Handler")</f>
        <v>Primary Ball Handler</v>
      </c>
      <c r="F2515" s="164">
        <f>IFERROR(__xludf.DUMMYFUNCTION("""COMPUTED_VALUE"""),1368.565)</f>
        <v>1368.565</v>
      </c>
      <c r="G2515" s="163">
        <f>IFERROR(__xludf.DUMMYFUNCTION("""COMPUTED_VALUE"""),46.0)</f>
        <v>46</v>
      </c>
      <c r="H2515" s="163" t="str">
        <f>IFERROR(__xludf.DUMMYFUNCTION("""COMPUTED_VALUE"""),"PG")</f>
        <v>PG</v>
      </c>
      <c r="I2515" s="163">
        <f>IFERROR(__xludf.DUMMYFUNCTION("""COMPUTED_VALUE"""),32.0)</f>
        <v>32</v>
      </c>
      <c r="J2515" s="165">
        <f>IFERROR(__xludf.DUMMYFUNCTION("""COMPUTED_VALUE"""),-1.85014522872055)</f>
        <v>-1.850145229</v>
      </c>
      <c r="K2515" s="165">
        <f>IFERROR(__xludf.DUMMYFUNCTION("""COMPUTED_VALUE"""),-1.37850792173217)</f>
        <v>-1.378507922</v>
      </c>
      <c r="L2515" s="165">
        <f>IFERROR(__xludf.DUMMYFUNCTION("""COMPUTED_VALUE"""),-0.471637306988383)</f>
        <v>-0.471637307</v>
      </c>
      <c r="M2515" s="166">
        <f t="shared" si="2"/>
        <v>0.4108643357</v>
      </c>
      <c r="N2515" s="167">
        <f t="shared" si="3"/>
        <v>29.75141304</v>
      </c>
      <c r="O2515" s="163">
        <f t="shared" ref="O2515:Q2515" si="2519">rank(I2515,I:I)</f>
        <v>359</v>
      </c>
      <c r="P2515" s="163">
        <f t="shared" si="2519"/>
        <v>3379</v>
      </c>
      <c r="Q2515" s="163">
        <f t="shared" si="2519"/>
        <v>3228</v>
      </c>
      <c r="R2515" s="163">
        <f>IFERROR(__xludf.DUMMYFUNCTION("RANK(M2515,filter(M:M,C:C=C2515))"),304.0)</f>
        <v>304</v>
      </c>
      <c r="S2515" s="161" t="b">
        <f t="shared" si="5"/>
        <v>0</v>
      </c>
      <c r="T2515" s="161" t="b">
        <f t="array" ref="T2515">index('Query Tool'!B:B,match(H2515,'Query Tool'!C:C,0))</f>
        <v>1</v>
      </c>
      <c r="U2515" s="161" t="b">
        <f t="array" ref="U2515">index('Query Tool'!B:B,match(C2515,'Query Tool'!C:C,0))</f>
        <v>0</v>
      </c>
      <c r="V2515" s="161" t="b">
        <f>F2515&gt;='Query Tool'!C$32</f>
        <v>1</v>
      </c>
      <c r="W2515" s="161" t="b">
        <f t="array" ref="W2515">index(Dropdowns!B:B,match(I2515,Dropdowns!A:A,0))</f>
        <v>1</v>
      </c>
      <c r="X2515" s="161" t="b">
        <f t="array" ref="X2515">index('Query Tool'!B:B,match(D2515,'Query Tool'!C:C,0))</f>
        <v>1</v>
      </c>
      <c r="Y2515" s="161" t="str">
        <f t="shared" si="6"/>
        <v>rondora01,2018-19</v>
      </c>
      <c r="Z2515" s="168">
        <f t="array" ref="Z2515">iferror(index(I:I,match($A2515&amp;","&amp;index('Year Conversion'!$A:$A,match($C2515,'Year Conversion'!$B:$B,0)),$Y:$Y,0))-I2515,"")</f>
        <v>1</v>
      </c>
      <c r="AA2515" s="168">
        <f t="array" ref="AA2515">iferror(index(J:J,match($A2515&amp;","&amp;index('Year Conversion'!$A:$A,match($C2515,'Year Conversion'!$B:$B,0)),$Y:$Y,0))-J2515,"")</f>
        <v>1.223307192</v>
      </c>
      <c r="AB2515" s="168">
        <f t="array" ref="AB2515">iferror(index(K:K,match($A2515&amp;","&amp;index('Year Conversion'!$A:$A,match($C2515,'Year Conversion'!$B:$B,0)),$Y:$Y,0))-K2515,"")</f>
        <v>1.358435868</v>
      </c>
      <c r="AC2515" s="168" t="str">
        <f t="shared" si="7"/>
        <v>LAL,2018-19</v>
      </c>
    </row>
    <row r="2516">
      <c r="A2516" s="161" t="str">
        <f>IFERROR(__xludf.DUMMYFUNCTION("""COMPUTED_VALUE"""),"lowryky01")</f>
        <v>lowryky01</v>
      </c>
      <c r="B2516" s="161" t="str">
        <f>IFERROR(__xludf.DUMMYFUNCTION("""COMPUTED_VALUE"""),"Kyle Lowry")</f>
        <v>Kyle Lowry</v>
      </c>
      <c r="C2516" s="162" t="str">
        <f>IFERROR(__xludf.DUMMYFUNCTION("""COMPUTED_VALUE"""),"2018-19")</f>
        <v>2018-19</v>
      </c>
      <c r="D2516" s="163" t="str">
        <f>IFERROR(__xludf.DUMMYFUNCTION("""COMPUTED_VALUE"""),"TOR")</f>
        <v>TOR</v>
      </c>
      <c r="E2516" s="164" t="str">
        <f>IFERROR(__xludf.DUMMYFUNCTION("""COMPUTED_VALUE"""),"Primary Ball Handler")</f>
        <v>Primary Ball Handler</v>
      </c>
      <c r="F2516" s="164">
        <f>IFERROR(__xludf.DUMMYFUNCTION("""COMPUTED_VALUE"""),2213.29333333333)</f>
        <v>2213.293333</v>
      </c>
      <c r="G2516" s="163">
        <f>IFERROR(__xludf.DUMMYFUNCTION("""COMPUTED_VALUE"""),65.0)</f>
        <v>65</v>
      </c>
      <c r="H2516" s="163" t="str">
        <f>IFERROR(__xludf.DUMMYFUNCTION("""COMPUTED_VALUE"""),"PG")</f>
        <v>PG</v>
      </c>
      <c r="I2516" s="163">
        <f>IFERROR(__xludf.DUMMYFUNCTION("""COMPUTED_VALUE"""),32.0)</f>
        <v>32</v>
      </c>
      <c r="J2516" s="165">
        <f>IFERROR(__xludf.DUMMYFUNCTION("""COMPUTED_VALUE"""),3.39373105668615)</f>
        <v>3.393731057</v>
      </c>
      <c r="K2516" s="165">
        <f>IFERROR(__xludf.DUMMYFUNCTION("""COMPUTED_VALUE"""),2.46797902651535)</f>
        <v>2.467979027</v>
      </c>
      <c r="L2516" s="165">
        <f>IFERROR(__xludf.DUMMYFUNCTION("""COMPUTED_VALUE"""),0.925752030170799)</f>
        <v>0.9257520302</v>
      </c>
      <c r="M2516" s="166">
        <f t="shared" si="2"/>
        <v>8.396716175</v>
      </c>
      <c r="N2516" s="167">
        <f t="shared" si="3"/>
        <v>34.05066667</v>
      </c>
      <c r="O2516" s="163">
        <f t="shared" ref="O2516:Q2516" si="2520">rank(I2516,I:I)</f>
        <v>359</v>
      </c>
      <c r="P2516" s="163">
        <f t="shared" si="2520"/>
        <v>139</v>
      </c>
      <c r="Q2516" s="163">
        <f t="shared" si="2520"/>
        <v>162</v>
      </c>
      <c r="R2516" s="163">
        <f>IFERROR(__xludf.DUMMYFUNCTION("RANK(M2516,filter(M:M,C:C=C2516))"),25.0)</f>
        <v>25</v>
      </c>
      <c r="S2516" s="161" t="b">
        <f t="shared" si="5"/>
        <v>0</v>
      </c>
      <c r="T2516" s="161" t="b">
        <f t="array" ref="T2516">index('Query Tool'!B:B,match(H2516,'Query Tool'!C:C,0))</f>
        <v>1</v>
      </c>
      <c r="U2516" s="161" t="b">
        <f t="array" ref="U2516">index('Query Tool'!B:B,match(C2516,'Query Tool'!C:C,0))</f>
        <v>0</v>
      </c>
      <c r="V2516" s="161" t="b">
        <f>F2516&gt;='Query Tool'!C$32</f>
        <v>1</v>
      </c>
      <c r="W2516" s="161" t="b">
        <f t="array" ref="W2516">index(Dropdowns!B:B,match(I2516,Dropdowns!A:A,0))</f>
        <v>1</v>
      </c>
      <c r="X2516" s="161" t="b">
        <f t="array" ref="X2516">index('Query Tool'!B:B,match(D2516,'Query Tool'!C:C,0))</f>
        <v>1</v>
      </c>
      <c r="Y2516" s="161" t="str">
        <f t="shared" si="6"/>
        <v>lowryky01,2018-19</v>
      </c>
      <c r="Z2516" s="168">
        <f t="array" ref="Z2516">iferror(index(I:I,match($A2516&amp;","&amp;index('Year Conversion'!$A:$A,match($C2516,'Year Conversion'!$B:$B,0)),$Y:$Y,0))-I2516,"")</f>
        <v>1</v>
      </c>
      <c r="AA2516" s="168">
        <f t="array" ref="AA2516">iferror(index(J:J,match($A2516&amp;","&amp;index('Year Conversion'!$A:$A,match($C2516,'Year Conversion'!$B:$B,0)),$Y:$Y,0))-J2516,"")</f>
        <v>-0.3069925466</v>
      </c>
      <c r="AB2516" s="168">
        <f t="array" ref="AB2516">iferror(index(K:K,match($A2516&amp;","&amp;index('Year Conversion'!$A:$A,match($C2516,'Year Conversion'!$B:$B,0)),$Y:$Y,0))-K2516,"")</f>
        <v>-0.2701842152</v>
      </c>
      <c r="AC2516" s="168" t="str">
        <f t="shared" si="7"/>
        <v>TOR,2018-19</v>
      </c>
    </row>
    <row r="2517">
      <c r="A2517" s="161" t="str">
        <f>IFERROR(__xludf.DUMMYFUNCTION("""COMPUTED_VALUE"""),"tuckepj01")</f>
        <v>tuckepj01</v>
      </c>
      <c r="B2517" s="161" t="str">
        <f>IFERROR(__xludf.DUMMYFUNCTION("""COMPUTED_VALUE"""),"P.J. Tucker")</f>
        <v>P.J. Tucker</v>
      </c>
      <c r="C2517" s="162" t="str">
        <f>IFERROR(__xludf.DUMMYFUNCTION("""COMPUTED_VALUE"""),"2018-19")</f>
        <v>2018-19</v>
      </c>
      <c r="D2517" s="163" t="str">
        <f>IFERROR(__xludf.DUMMYFUNCTION("""COMPUTED_VALUE"""),"HOU")</f>
        <v>HOU</v>
      </c>
      <c r="E2517" s="164" t="str">
        <f>IFERROR(__xludf.DUMMYFUNCTION("""COMPUTED_VALUE"""),"Stationary Shooter")</f>
        <v>Stationary Shooter</v>
      </c>
      <c r="F2517" s="164">
        <f>IFERROR(__xludf.DUMMYFUNCTION("""COMPUTED_VALUE"""),2802.12666666667)</f>
        <v>2802.126667</v>
      </c>
      <c r="G2517" s="163">
        <f>IFERROR(__xludf.DUMMYFUNCTION("""COMPUTED_VALUE"""),82.0)</f>
        <v>82</v>
      </c>
      <c r="H2517" s="163" t="str">
        <f>IFERROR(__xludf.DUMMYFUNCTION("""COMPUTED_VALUE"""),"PF")</f>
        <v>PF</v>
      </c>
      <c r="I2517" s="163">
        <f>IFERROR(__xludf.DUMMYFUNCTION("""COMPUTED_VALUE"""),33.0)</f>
        <v>33</v>
      </c>
      <c r="J2517" s="165">
        <f>IFERROR(__xludf.DUMMYFUNCTION("""COMPUTED_VALUE"""),-0.514965023904971)</f>
        <v>-0.5149650239</v>
      </c>
      <c r="K2517" s="165">
        <f>IFERROR(__xludf.DUMMYFUNCTION("""COMPUTED_VALUE"""),-1.51968490479136)</f>
        <v>-1.519684905</v>
      </c>
      <c r="L2517" s="165">
        <f>IFERROR(__xludf.DUMMYFUNCTION("""COMPUTED_VALUE"""),1.00471988088639)</f>
        <v>1.004719881</v>
      </c>
      <c r="M2517" s="166">
        <f t="shared" si="2"/>
        <v>3.347449481</v>
      </c>
      <c r="N2517" s="167">
        <f t="shared" si="3"/>
        <v>34.17227642</v>
      </c>
      <c r="O2517" s="163">
        <f t="shared" ref="O2517:Q2517" si="2521">rank(I2517,I:I)</f>
        <v>246</v>
      </c>
      <c r="P2517" s="163">
        <f t="shared" si="2521"/>
        <v>1877</v>
      </c>
      <c r="Q2517" s="163">
        <f t="shared" si="2521"/>
        <v>3379</v>
      </c>
      <c r="R2517" s="163">
        <f>IFERROR(__xludf.DUMMYFUNCTION("RANK(M2517,filter(M:M,C:C=C2517))"),105.0)</f>
        <v>105</v>
      </c>
      <c r="S2517" s="161" t="b">
        <f t="shared" si="5"/>
        <v>0</v>
      </c>
      <c r="T2517" s="161" t="b">
        <f t="array" ref="T2517">index('Query Tool'!B:B,match(H2517,'Query Tool'!C:C,0))</f>
        <v>1</v>
      </c>
      <c r="U2517" s="161" t="b">
        <f t="array" ref="U2517">index('Query Tool'!B:B,match(C2517,'Query Tool'!C:C,0))</f>
        <v>0</v>
      </c>
      <c r="V2517" s="161" t="b">
        <f>F2517&gt;='Query Tool'!C$32</f>
        <v>1</v>
      </c>
      <c r="W2517" s="161" t="b">
        <f t="array" ref="W2517">index(Dropdowns!B:B,match(I2517,Dropdowns!A:A,0))</f>
        <v>1</v>
      </c>
      <c r="X2517" s="161" t="b">
        <f t="array" ref="X2517">index('Query Tool'!B:B,match(D2517,'Query Tool'!C:C,0))</f>
        <v>1</v>
      </c>
      <c r="Y2517" s="161" t="str">
        <f t="shared" si="6"/>
        <v>tuckepj01,2018-19</v>
      </c>
      <c r="Z2517" s="168">
        <f t="array" ref="Z2517">iferror(index(I:I,match($A2517&amp;","&amp;index('Year Conversion'!$A:$A,match($C2517,'Year Conversion'!$B:$B,0)),$Y:$Y,0))-I2517,"")</f>
        <v>1</v>
      </c>
      <c r="AA2517" s="168">
        <f t="array" ref="AA2517">iferror(index(J:J,match($A2517&amp;","&amp;index('Year Conversion'!$A:$A,match($C2517,'Year Conversion'!$B:$B,0)),$Y:$Y,0))-J2517,"")</f>
        <v>-0.05849458215</v>
      </c>
      <c r="AB2517" s="168">
        <f t="array" ref="AB2517">iferror(index(K:K,match($A2517&amp;","&amp;index('Year Conversion'!$A:$A,match($C2517,'Year Conversion'!$B:$B,0)),$Y:$Y,0))-K2517,"")</f>
        <v>-0.02517896161</v>
      </c>
      <c r="AC2517" s="168" t="str">
        <f t="shared" si="7"/>
        <v>HOU,2018-19</v>
      </c>
    </row>
    <row r="2518">
      <c r="A2518" s="161" t="str">
        <f>IFERROR(__xludf.DUMMYFUNCTION("""COMPUTED_VALUE"""),"millspa01")</f>
        <v>millspa01</v>
      </c>
      <c r="B2518" s="161" t="str">
        <f>IFERROR(__xludf.DUMMYFUNCTION("""COMPUTED_VALUE"""),"Paul Millsap")</f>
        <v>Paul Millsap</v>
      </c>
      <c r="C2518" s="162" t="str">
        <f>IFERROR(__xludf.DUMMYFUNCTION("""COMPUTED_VALUE"""),"2018-19")</f>
        <v>2018-19</v>
      </c>
      <c r="D2518" s="163" t="str">
        <f>IFERROR(__xludf.DUMMYFUNCTION("""COMPUTED_VALUE"""),"DEN")</f>
        <v>DEN</v>
      </c>
      <c r="E2518" s="164" t="str">
        <f>IFERROR(__xludf.DUMMYFUNCTION("""COMPUTED_VALUE"""),"Post Scorer")</f>
        <v>Post Scorer</v>
      </c>
      <c r="F2518" s="164">
        <f>IFERROR(__xludf.DUMMYFUNCTION("""COMPUTED_VALUE"""),1894.51833333333)</f>
        <v>1894.518333</v>
      </c>
      <c r="G2518" s="163">
        <f>IFERROR(__xludf.DUMMYFUNCTION("""COMPUTED_VALUE"""),70.0)</f>
        <v>70</v>
      </c>
      <c r="H2518" s="163" t="str">
        <f>IFERROR(__xludf.DUMMYFUNCTION("""COMPUTED_VALUE"""),"PF")</f>
        <v>PF</v>
      </c>
      <c r="I2518" s="163">
        <f>IFERROR(__xludf.DUMMYFUNCTION("""COMPUTED_VALUE"""),33.0)</f>
        <v>33</v>
      </c>
      <c r="J2518" s="165">
        <f>IFERROR(__xludf.DUMMYFUNCTION("""COMPUTED_VALUE"""),2.42535572485193)</f>
        <v>2.425355725</v>
      </c>
      <c r="K2518" s="165">
        <f>IFERROR(__xludf.DUMMYFUNCTION("""COMPUTED_VALUE"""),1.10875578239921)</f>
        <v>1.108755782</v>
      </c>
      <c r="L2518" s="165">
        <f>IFERROR(__xludf.DUMMYFUNCTION("""COMPUTED_VALUE"""),1.31659994245272)</f>
        <v>1.316599942</v>
      </c>
      <c r="M2518" s="166">
        <f t="shared" si="2"/>
        <v>5.993468573</v>
      </c>
      <c r="N2518" s="167">
        <f t="shared" si="3"/>
        <v>27.06454762</v>
      </c>
      <c r="O2518" s="163">
        <f t="shared" ref="O2518:Q2518" si="2522">rank(I2518,I:I)</f>
        <v>246</v>
      </c>
      <c r="P2518" s="163">
        <f t="shared" si="2522"/>
        <v>233</v>
      </c>
      <c r="Q2518" s="163">
        <f t="shared" si="2522"/>
        <v>447</v>
      </c>
      <c r="R2518" s="163">
        <f>IFERROR(__xludf.DUMMYFUNCTION("RANK(M2518,filter(M:M,C:C=C2518))"),48.0)</f>
        <v>48</v>
      </c>
      <c r="S2518" s="161" t="b">
        <f t="shared" si="5"/>
        <v>0</v>
      </c>
      <c r="T2518" s="161" t="b">
        <f t="array" ref="T2518">index('Query Tool'!B:B,match(H2518,'Query Tool'!C:C,0))</f>
        <v>1</v>
      </c>
      <c r="U2518" s="161" t="b">
        <f t="array" ref="U2518">index('Query Tool'!B:B,match(C2518,'Query Tool'!C:C,0))</f>
        <v>0</v>
      </c>
      <c r="V2518" s="161" t="b">
        <f>F2518&gt;='Query Tool'!C$32</f>
        <v>1</v>
      </c>
      <c r="W2518" s="161" t="b">
        <f t="array" ref="W2518">index(Dropdowns!B:B,match(I2518,Dropdowns!A:A,0))</f>
        <v>1</v>
      </c>
      <c r="X2518" s="161" t="b">
        <f t="array" ref="X2518">index('Query Tool'!B:B,match(D2518,'Query Tool'!C:C,0))</f>
        <v>1</v>
      </c>
      <c r="Y2518" s="161" t="str">
        <f t="shared" si="6"/>
        <v>millspa01,2018-19</v>
      </c>
      <c r="Z2518" s="168">
        <f t="array" ref="Z2518">iferror(index(I:I,match($A2518&amp;","&amp;index('Year Conversion'!$A:$A,match($C2518,'Year Conversion'!$B:$B,0)),$Y:$Y,0))-I2518,"")</f>
        <v>1</v>
      </c>
      <c r="AA2518" s="168">
        <f t="array" ref="AA2518">iferror(index(J:J,match($A2518&amp;","&amp;index('Year Conversion'!$A:$A,match($C2518,'Year Conversion'!$B:$B,0)),$Y:$Y,0))-J2518,"")</f>
        <v>-0.9006393406</v>
      </c>
      <c r="AB2518" s="168">
        <f t="array" ref="AB2518">iferror(index(K:K,match($A2518&amp;","&amp;index('Year Conversion'!$A:$A,match($C2518,'Year Conversion'!$B:$B,0)),$Y:$Y,0))-K2518,"")</f>
        <v>-0.6881284133</v>
      </c>
      <c r="AC2518" s="168" t="str">
        <f t="shared" si="7"/>
        <v>DEN,2018-19</v>
      </c>
    </row>
    <row r="2519">
      <c r="A2519" s="161" t="str">
        <f>IFERROR(__xludf.DUMMYFUNCTION("""COMPUTED_VALUE"""),"bareajo01")</f>
        <v>bareajo01</v>
      </c>
      <c r="B2519" s="161" t="str">
        <f>IFERROR(__xludf.DUMMYFUNCTION("""COMPUTED_VALUE"""),"J.J. Barea")</f>
        <v>J.J. Barea</v>
      </c>
      <c r="C2519" s="162" t="str">
        <f>IFERROR(__xludf.DUMMYFUNCTION("""COMPUTED_VALUE"""),"2018-19")</f>
        <v>2018-19</v>
      </c>
      <c r="D2519" s="163" t="str">
        <f>IFERROR(__xludf.DUMMYFUNCTION("""COMPUTED_VALUE"""),"DAL")</f>
        <v>DAL</v>
      </c>
      <c r="E2519" s="164" t="str">
        <f>IFERROR(__xludf.DUMMYFUNCTION("""COMPUTED_VALUE"""),"Secondary Ball Handler")</f>
        <v>Secondary Ball Handler</v>
      </c>
      <c r="F2519" s="164">
        <f>IFERROR(__xludf.DUMMYFUNCTION("""COMPUTED_VALUE"""),751.808333333333)</f>
        <v>751.8083333</v>
      </c>
      <c r="G2519" s="163">
        <f>IFERROR(__xludf.DUMMYFUNCTION("""COMPUTED_VALUE"""),38.0)</f>
        <v>38</v>
      </c>
      <c r="H2519" s="163" t="str">
        <f>IFERROR(__xludf.DUMMYFUNCTION("""COMPUTED_VALUE"""),"PG")</f>
        <v>PG</v>
      </c>
      <c r="I2519" s="163">
        <f>IFERROR(__xludf.DUMMYFUNCTION("""COMPUTED_VALUE"""),34.0)</f>
        <v>34</v>
      </c>
      <c r="J2519" s="165">
        <f>IFERROR(__xludf.DUMMYFUNCTION("""COMPUTED_VALUE"""),1.51088647619092)</f>
        <v>1.510886476</v>
      </c>
      <c r="K2519" s="165">
        <f>IFERROR(__xludf.DUMMYFUNCTION("""COMPUTED_VALUE"""),2.17766402992249)</f>
        <v>2.17766403</v>
      </c>
      <c r="L2519" s="165">
        <f>IFERROR(__xludf.DUMMYFUNCTION("""COMPUTED_VALUE"""),-0.666777553731574)</f>
        <v>-0.6667775537</v>
      </c>
      <c r="M2519" s="166">
        <f t="shared" si="2"/>
        <v>1.922428722</v>
      </c>
      <c r="N2519" s="167">
        <f t="shared" si="3"/>
        <v>19.78442982</v>
      </c>
      <c r="O2519" s="163">
        <f t="shared" ref="O2519:Q2519" si="2523">rank(I2519,I:I)</f>
        <v>164</v>
      </c>
      <c r="P2519" s="163">
        <f t="shared" si="2523"/>
        <v>452</v>
      </c>
      <c r="Q2519" s="163">
        <f t="shared" si="2523"/>
        <v>204</v>
      </c>
      <c r="R2519" s="163">
        <f>IFERROR(__xludf.DUMMYFUNCTION("RANK(M2519,filter(M:M,C:C=C2519))"),155.0)</f>
        <v>155</v>
      </c>
      <c r="S2519" s="161" t="b">
        <f t="shared" si="5"/>
        <v>0</v>
      </c>
      <c r="T2519" s="161" t="b">
        <f t="array" ref="T2519">index('Query Tool'!B:B,match(H2519,'Query Tool'!C:C,0))</f>
        <v>1</v>
      </c>
      <c r="U2519" s="161" t="b">
        <f t="array" ref="U2519">index('Query Tool'!B:B,match(C2519,'Query Tool'!C:C,0))</f>
        <v>0</v>
      </c>
      <c r="V2519" s="161" t="b">
        <f>F2519&gt;='Query Tool'!C$32</f>
        <v>1</v>
      </c>
      <c r="W2519" s="161" t="b">
        <f t="array" ref="W2519">index(Dropdowns!B:B,match(I2519,Dropdowns!A:A,0))</f>
        <v>1</v>
      </c>
      <c r="X2519" s="161" t="b">
        <f t="array" ref="X2519">index('Query Tool'!B:B,match(D2519,'Query Tool'!C:C,0))</f>
        <v>1</v>
      </c>
      <c r="Y2519" s="161" t="str">
        <f t="shared" si="6"/>
        <v>bareajo01,2018-19</v>
      </c>
      <c r="Z2519" s="168">
        <f t="array" ref="Z2519">iferror(index(I:I,match($A2519&amp;","&amp;index('Year Conversion'!$A:$A,match($C2519,'Year Conversion'!$B:$B,0)),$Y:$Y,0))-I2519,"")</f>
        <v>1</v>
      </c>
      <c r="AA2519" s="168">
        <f t="array" ref="AA2519">iferror(index(J:J,match($A2519&amp;","&amp;index('Year Conversion'!$A:$A,match($C2519,'Year Conversion'!$B:$B,0)),$Y:$Y,0))-J2519,"")</f>
        <v>-2.095820454</v>
      </c>
      <c r="AB2519" s="168">
        <f t="array" ref="AB2519">iferror(index(K:K,match($A2519&amp;","&amp;index('Year Conversion'!$A:$A,match($C2519,'Year Conversion'!$B:$B,0)),$Y:$Y,0))-K2519,"")</f>
        <v>-1.332362089</v>
      </c>
      <c r="AC2519" s="168" t="str">
        <f t="shared" si="7"/>
        <v>DAL,2018-19</v>
      </c>
    </row>
    <row r="2520">
      <c r="A2520" s="161" t="str">
        <f>IFERROR(__xludf.DUMMYFUNCTION("""COMPUTED_VALUE"""),"duranke01")</f>
        <v>duranke01</v>
      </c>
      <c r="B2520" s="161" t="str">
        <f>IFERROR(__xludf.DUMMYFUNCTION("""COMPUTED_VALUE"""),"Kevin Durant")</f>
        <v>Kevin Durant</v>
      </c>
      <c r="C2520" s="162" t="str">
        <f>IFERROR(__xludf.DUMMYFUNCTION("""COMPUTED_VALUE"""),"2018-19")</f>
        <v>2018-19</v>
      </c>
      <c r="D2520" s="163" t="str">
        <f>IFERROR(__xludf.DUMMYFUNCTION("""COMPUTED_VALUE"""),"GSW")</f>
        <v>GSW</v>
      </c>
      <c r="E2520" s="164" t="str">
        <f>IFERROR(__xludf.DUMMYFUNCTION("""COMPUTED_VALUE"""),"Shot Creator")</f>
        <v>Shot Creator</v>
      </c>
      <c r="F2520" s="164">
        <f>IFERROR(__xludf.DUMMYFUNCTION("""COMPUTED_VALUE"""),2701.53166666667)</f>
        <v>2701.531667</v>
      </c>
      <c r="G2520" s="163">
        <f>IFERROR(__xludf.DUMMYFUNCTION("""COMPUTED_VALUE"""),78.0)</f>
        <v>78</v>
      </c>
      <c r="H2520" s="163" t="str">
        <f>IFERROR(__xludf.DUMMYFUNCTION("""COMPUTED_VALUE"""),"SF")</f>
        <v>SF</v>
      </c>
      <c r="I2520" s="163">
        <f>IFERROR(__xludf.DUMMYFUNCTION("""COMPUTED_VALUE"""),30.0)</f>
        <v>30</v>
      </c>
      <c r="J2520" s="165">
        <f>IFERROR(__xludf.DUMMYFUNCTION("""COMPUTED_VALUE"""),5.21109187804453)</f>
        <v>5.211091878</v>
      </c>
      <c r="K2520" s="165">
        <f>IFERROR(__xludf.DUMMYFUNCTION("""COMPUTED_VALUE"""),4.44515345577802)</f>
        <v>4.445153456</v>
      </c>
      <c r="L2520" s="165">
        <f>IFERROR(__xludf.DUMMYFUNCTION("""COMPUTED_VALUE"""),0.765938422266505)</f>
        <v>0.7659384223</v>
      </c>
      <c r="M2520" s="166">
        <f t="shared" si="2"/>
        <v>13.31347484</v>
      </c>
      <c r="N2520" s="167">
        <f t="shared" si="3"/>
        <v>34.63502137</v>
      </c>
      <c r="O2520" s="163">
        <f t="shared" ref="O2520:Q2520" si="2524">rank(I2520,I:I)</f>
        <v>655</v>
      </c>
      <c r="P2520" s="163">
        <f t="shared" si="2524"/>
        <v>43</v>
      </c>
      <c r="Q2520" s="163">
        <f t="shared" si="2524"/>
        <v>43</v>
      </c>
      <c r="R2520" s="163">
        <f>IFERROR(__xludf.DUMMYFUNCTION("RANK(M2520,filter(M:M,C:C=C2520))"),5.0)</f>
        <v>5</v>
      </c>
      <c r="S2520" s="161" t="b">
        <f t="shared" si="5"/>
        <v>0</v>
      </c>
      <c r="T2520" s="161" t="b">
        <f t="array" ref="T2520">index('Query Tool'!B:B,match(H2520,'Query Tool'!C:C,0))</f>
        <v>1</v>
      </c>
      <c r="U2520" s="161" t="b">
        <f t="array" ref="U2520">index('Query Tool'!B:B,match(C2520,'Query Tool'!C:C,0))</f>
        <v>0</v>
      </c>
      <c r="V2520" s="161" t="b">
        <f>F2520&gt;='Query Tool'!C$32</f>
        <v>1</v>
      </c>
      <c r="W2520" s="161" t="b">
        <f t="array" ref="W2520">index(Dropdowns!B:B,match(I2520,Dropdowns!A:A,0))</f>
        <v>1</v>
      </c>
      <c r="X2520" s="161" t="b">
        <f t="array" ref="X2520">index('Query Tool'!B:B,match(D2520,'Query Tool'!C:C,0))</f>
        <v>1</v>
      </c>
      <c r="Y2520" s="161" t="str">
        <f t="shared" si="6"/>
        <v>duranke01,2018-19</v>
      </c>
      <c r="Z2520" s="168" t="str">
        <f t="array" ref="Z2520">iferror(index(I:I,match($A2520&amp;","&amp;index('Year Conversion'!$A:$A,match($C2520,'Year Conversion'!$B:$B,0)),$Y:$Y,0))-I2520,"")</f>
        <v/>
      </c>
      <c r="AA2520" s="168" t="str">
        <f t="array" ref="AA2520">iferror(index(J:J,match($A2520&amp;","&amp;index('Year Conversion'!$A:$A,match($C2520,'Year Conversion'!$B:$B,0)),$Y:$Y,0))-J2520,"")</f>
        <v/>
      </c>
      <c r="AB2520" s="168" t="str">
        <f t="array" ref="AB2520">iferror(index(K:K,match($A2520&amp;","&amp;index('Year Conversion'!$A:$A,match($C2520,'Year Conversion'!$B:$B,0)),$Y:$Y,0))-K2520,"")</f>
        <v/>
      </c>
      <c r="AC2520" s="168" t="str">
        <f t="shared" si="7"/>
        <v>GSW,2018-19</v>
      </c>
    </row>
    <row r="2521">
      <c r="A2521" s="161" t="str">
        <f>IFERROR(__xludf.DUMMYFUNCTION("""COMPUTED_VALUE"""),"horfoal01")</f>
        <v>horfoal01</v>
      </c>
      <c r="B2521" s="161" t="str">
        <f>IFERROR(__xludf.DUMMYFUNCTION("""COMPUTED_VALUE"""),"Al Horford")</f>
        <v>Al Horford</v>
      </c>
      <c r="C2521" s="162" t="str">
        <f>IFERROR(__xludf.DUMMYFUNCTION("""COMPUTED_VALUE"""),"2018-19")</f>
        <v>2018-19</v>
      </c>
      <c r="D2521" s="163" t="str">
        <f>IFERROR(__xludf.DUMMYFUNCTION("""COMPUTED_VALUE"""),"BOS")</f>
        <v>BOS</v>
      </c>
      <c r="E2521" s="164" t="str">
        <f>IFERROR(__xludf.DUMMYFUNCTION("""COMPUTED_VALUE"""),"Versatile Big")</f>
        <v>Versatile Big</v>
      </c>
      <c r="F2521" s="164">
        <f>IFERROR(__xludf.DUMMYFUNCTION("""COMPUTED_VALUE"""),1972.68333333333)</f>
        <v>1972.683333</v>
      </c>
      <c r="G2521" s="163">
        <f>IFERROR(__xludf.DUMMYFUNCTION("""COMPUTED_VALUE"""),68.0)</f>
        <v>68</v>
      </c>
      <c r="H2521" s="163" t="str">
        <f>IFERROR(__xludf.DUMMYFUNCTION("""COMPUTED_VALUE"""),"C")</f>
        <v>C</v>
      </c>
      <c r="I2521" s="163">
        <f>IFERROR(__xludf.DUMMYFUNCTION("""COMPUTED_VALUE"""),32.0)</f>
        <v>32</v>
      </c>
      <c r="J2521" s="165">
        <f>IFERROR(__xludf.DUMMYFUNCTION("""COMPUTED_VALUE"""),2.45250514106417)</f>
        <v>2.452505141</v>
      </c>
      <c r="K2521" s="165">
        <f>IFERROR(__xludf.DUMMYFUNCTION("""COMPUTED_VALUE"""),1.40126245825638)</f>
        <v>1.401262458</v>
      </c>
      <c r="L2521" s="165">
        <f>IFERROR(__xludf.DUMMYFUNCTION("""COMPUTED_VALUE"""),1.05124268280779)</f>
        <v>1.051242683</v>
      </c>
      <c r="M2521" s="166">
        <f t="shared" si="2"/>
        <v>6.275977294</v>
      </c>
      <c r="N2521" s="167">
        <f t="shared" si="3"/>
        <v>29.01004902</v>
      </c>
      <c r="O2521" s="163">
        <f t="shared" ref="O2521:Q2521" si="2525">rank(I2521,I:I)</f>
        <v>359</v>
      </c>
      <c r="P2521" s="163">
        <f t="shared" si="2525"/>
        <v>228</v>
      </c>
      <c r="Q2521" s="163">
        <f t="shared" si="2525"/>
        <v>352</v>
      </c>
      <c r="R2521" s="163">
        <f>IFERROR(__xludf.DUMMYFUNCTION("RANK(M2521,filter(M:M,C:C=C2521))"),40.0)</f>
        <v>40</v>
      </c>
      <c r="S2521" s="161" t="b">
        <f t="shared" si="5"/>
        <v>0</v>
      </c>
      <c r="T2521" s="161" t="b">
        <f t="array" ref="T2521">index('Query Tool'!B:B,match(H2521,'Query Tool'!C:C,0))</f>
        <v>1</v>
      </c>
      <c r="U2521" s="161" t="b">
        <f t="array" ref="U2521">index('Query Tool'!B:B,match(C2521,'Query Tool'!C:C,0))</f>
        <v>0</v>
      </c>
      <c r="V2521" s="161" t="b">
        <f>F2521&gt;='Query Tool'!C$32</f>
        <v>1</v>
      </c>
      <c r="W2521" s="161" t="b">
        <f t="array" ref="W2521">index(Dropdowns!B:B,match(I2521,Dropdowns!A:A,0))</f>
        <v>1</v>
      </c>
      <c r="X2521" s="161" t="b">
        <f t="array" ref="X2521">index('Query Tool'!B:B,match(D2521,'Query Tool'!C:C,0))</f>
        <v>1</v>
      </c>
      <c r="Y2521" s="161" t="str">
        <f t="shared" si="6"/>
        <v>horfoal01,2018-19</v>
      </c>
      <c r="Z2521" s="168">
        <f t="array" ref="Z2521">iferror(index(I:I,match($A2521&amp;","&amp;index('Year Conversion'!$A:$A,match($C2521,'Year Conversion'!$B:$B,0)),$Y:$Y,0))-I2521,"")</f>
        <v>1</v>
      </c>
      <c r="AA2521" s="168">
        <f t="array" ref="AA2521">iferror(index(J:J,match($A2521&amp;","&amp;index('Year Conversion'!$A:$A,match($C2521,'Year Conversion'!$B:$B,0)),$Y:$Y,0))-J2521,"")</f>
        <v>-1.132594781</v>
      </c>
      <c r="AB2521" s="168">
        <f t="array" ref="AB2521">iferror(index(K:K,match($A2521&amp;","&amp;index('Year Conversion'!$A:$A,match($C2521,'Year Conversion'!$B:$B,0)),$Y:$Y,0))-K2521,"")</f>
        <v>-0.979302485</v>
      </c>
      <c r="AC2521" s="168" t="str">
        <f t="shared" si="7"/>
        <v>BOS,2018-19</v>
      </c>
    </row>
    <row r="2522">
      <c r="A2522" s="161" t="str">
        <f>IFERROR(__xludf.DUMMYFUNCTION("""COMPUTED_VALUE"""),"conlemi01")</f>
        <v>conlemi01</v>
      </c>
      <c r="B2522" s="161" t="str">
        <f>IFERROR(__xludf.DUMMYFUNCTION("""COMPUTED_VALUE"""),"Mike Conley")</f>
        <v>Mike Conley</v>
      </c>
      <c r="C2522" s="162" t="str">
        <f>IFERROR(__xludf.DUMMYFUNCTION("""COMPUTED_VALUE"""),"2018-19")</f>
        <v>2018-19</v>
      </c>
      <c r="D2522" s="163" t="str">
        <f>IFERROR(__xludf.DUMMYFUNCTION("""COMPUTED_VALUE"""),"MEM")</f>
        <v>MEM</v>
      </c>
      <c r="E2522" s="164" t="str">
        <f>IFERROR(__xludf.DUMMYFUNCTION("""COMPUTED_VALUE"""),"Primary Ball Handler")</f>
        <v>Primary Ball Handler</v>
      </c>
      <c r="F2522" s="164">
        <f>IFERROR(__xludf.DUMMYFUNCTION("""COMPUTED_VALUE"""),2341.8)</f>
        <v>2341.8</v>
      </c>
      <c r="G2522" s="163">
        <f>IFERROR(__xludf.DUMMYFUNCTION("""COMPUTED_VALUE"""),70.0)</f>
        <v>70</v>
      </c>
      <c r="H2522" s="163" t="str">
        <f>IFERROR(__xludf.DUMMYFUNCTION("""COMPUTED_VALUE"""),"PG")</f>
        <v>PG</v>
      </c>
      <c r="I2522" s="163">
        <f>IFERROR(__xludf.DUMMYFUNCTION("""COMPUTED_VALUE"""),31.0)</f>
        <v>31</v>
      </c>
      <c r="J2522" s="165">
        <f>IFERROR(__xludf.DUMMYFUNCTION("""COMPUTED_VALUE"""),3.78322738561689)</f>
        <v>3.783227386</v>
      </c>
      <c r="K2522" s="165">
        <f>IFERROR(__xludf.DUMMYFUNCTION("""COMPUTED_VALUE"""),3.70833060439803)</f>
        <v>3.708330604</v>
      </c>
      <c r="L2522" s="165">
        <f>IFERROR(__xludf.DUMMYFUNCTION("""COMPUTED_VALUE"""),0.0748967812188577)</f>
        <v>0.07489678122</v>
      </c>
      <c r="M2522" s="166">
        <f t="shared" si="2"/>
        <v>9.467299417</v>
      </c>
      <c r="N2522" s="167">
        <f t="shared" si="3"/>
        <v>33.45428571</v>
      </c>
      <c r="O2522" s="163">
        <f t="shared" ref="O2522:Q2522" si="2526">rank(I2522,I:I)</f>
        <v>490</v>
      </c>
      <c r="P2522" s="163">
        <f t="shared" si="2526"/>
        <v>109</v>
      </c>
      <c r="Q2522" s="163">
        <f t="shared" si="2526"/>
        <v>79</v>
      </c>
      <c r="R2522" s="163">
        <f>IFERROR(__xludf.DUMMYFUNCTION("RANK(M2522,filter(M:M,C:C=C2522))"),15.0)</f>
        <v>15</v>
      </c>
      <c r="S2522" s="161" t="b">
        <f t="shared" si="5"/>
        <v>0</v>
      </c>
      <c r="T2522" s="161" t="b">
        <f t="array" ref="T2522">index('Query Tool'!B:B,match(H2522,'Query Tool'!C:C,0))</f>
        <v>1</v>
      </c>
      <c r="U2522" s="161" t="b">
        <f t="array" ref="U2522">index('Query Tool'!B:B,match(C2522,'Query Tool'!C:C,0))</f>
        <v>0</v>
      </c>
      <c r="V2522" s="161" t="b">
        <f>F2522&gt;='Query Tool'!C$32</f>
        <v>1</v>
      </c>
      <c r="W2522" s="161" t="b">
        <f t="array" ref="W2522">index(Dropdowns!B:B,match(I2522,Dropdowns!A:A,0))</f>
        <v>1</v>
      </c>
      <c r="X2522" s="161" t="b">
        <f t="array" ref="X2522">index('Query Tool'!B:B,match(D2522,'Query Tool'!C:C,0))</f>
        <v>1</v>
      </c>
      <c r="Y2522" s="161" t="str">
        <f t="shared" si="6"/>
        <v>conlemi01,2018-19</v>
      </c>
      <c r="Z2522" s="168">
        <f t="array" ref="Z2522">iferror(index(I:I,match($A2522&amp;","&amp;index('Year Conversion'!$A:$A,match($C2522,'Year Conversion'!$B:$B,0)),$Y:$Y,0))-I2522,"")</f>
        <v>1</v>
      </c>
      <c r="AA2522" s="168">
        <f t="array" ref="AA2522">iferror(index(J:J,match($A2522&amp;","&amp;index('Year Conversion'!$A:$A,match($C2522,'Year Conversion'!$B:$B,0)),$Y:$Y,0))-J2522,"")</f>
        <v>-4.046987904</v>
      </c>
      <c r="AB2522" s="168">
        <f t="array" ref="AB2522">iferror(index(K:K,match($A2522&amp;","&amp;index('Year Conversion'!$A:$A,match($C2522,'Year Conversion'!$B:$B,0)),$Y:$Y,0))-K2522,"")</f>
        <v>-3.463979716</v>
      </c>
      <c r="AC2522" s="168" t="str">
        <f t="shared" si="7"/>
        <v>MEM,2018-19</v>
      </c>
    </row>
    <row r="2523">
      <c r="A2523" s="161" t="str">
        <f>IFERROR(__xludf.DUMMYFUNCTION("""COMPUTED_VALUE"""),"greenje02")</f>
        <v>greenje02</v>
      </c>
      <c r="B2523" s="161" t="str">
        <f>IFERROR(__xludf.DUMMYFUNCTION("""COMPUTED_VALUE"""),"Jeff Green")</f>
        <v>Jeff Green</v>
      </c>
      <c r="C2523" s="162" t="str">
        <f>IFERROR(__xludf.DUMMYFUNCTION("""COMPUTED_VALUE"""),"2018-19")</f>
        <v>2018-19</v>
      </c>
      <c r="D2523" s="163" t="str">
        <f>IFERROR(__xludf.DUMMYFUNCTION("""COMPUTED_VALUE"""),"WAS")</f>
        <v>WAS</v>
      </c>
      <c r="E2523" s="164" t="str">
        <f>IFERROR(__xludf.DUMMYFUNCTION("""COMPUTED_VALUE"""),"Stretch Big")</f>
        <v>Stretch Big</v>
      </c>
      <c r="F2523" s="164">
        <f>IFERROR(__xludf.DUMMYFUNCTION("""COMPUTED_VALUE"""),2096.68833333333)</f>
        <v>2096.688333</v>
      </c>
      <c r="G2523" s="163">
        <f>IFERROR(__xludf.DUMMYFUNCTION("""COMPUTED_VALUE"""),77.0)</f>
        <v>77</v>
      </c>
      <c r="H2523" s="163" t="str">
        <f>IFERROR(__xludf.DUMMYFUNCTION("""COMPUTED_VALUE"""),"PF")</f>
        <v>PF</v>
      </c>
      <c r="I2523" s="163">
        <f>IFERROR(__xludf.DUMMYFUNCTION("""COMPUTED_VALUE"""),32.0)</f>
        <v>32</v>
      </c>
      <c r="J2523" s="165">
        <f>IFERROR(__xludf.DUMMYFUNCTION("""COMPUTED_VALUE"""),-1.20352568836636)</f>
        <v>-1.203525688</v>
      </c>
      <c r="K2523" s="165">
        <f>IFERROR(__xludf.DUMMYFUNCTION("""COMPUTED_VALUE"""),-0.346098612984738)</f>
        <v>-0.346098613</v>
      </c>
      <c r="L2523" s="165">
        <f>IFERROR(__xludf.DUMMYFUNCTION("""COMPUTED_VALUE"""),-0.857427075381621)</f>
        <v>-0.8574270754</v>
      </c>
      <c r="M2523" s="166">
        <f t="shared" si="2"/>
        <v>1.534546654</v>
      </c>
      <c r="N2523" s="167">
        <f t="shared" si="3"/>
        <v>27.22971861</v>
      </c>
      <c r="O2523" s="163">
        <f t="shared" ref="O2523:Q2523" si="2527">rank(I2523,I:I)</f>
        <v>359</v>
      </c>
      <c r="P2523" s="163">
        <f t="shared" si="2527"/>
        <v>2750</v>
      </c>
      <c r="Q2523" s="163">
        <f t="shared" si="2527"/>
        <v>1845</v>
      </c>
      <c r="R2523" s="163">
        <f>IFERROR(__xludf.DUMMYFUNCTION("RANK(M2523,filter(M:M,C:C=C2523))"),185.0)</f>
        <v>185</v>
      </c>
      <c r="S2523" s="161" t="b">
        <f t="shared" si="5"/>
        <v>0</v>
      </c>
      <c r="T2523" s="161" t="b">
        <f t="array" ref="T2523">index('Query Tool'!B:B,match(H2523,'Query Tool'!C:C,0))</f>
        <v>1</v>
      </c>
      <c r="U2523" s="161" t="b">
        <f t="array" ref="U2523">index('Query Tool'!B:B,match(C2523,'Query Tool'!C:C,0))</f>
        <v>0</v>
      </c>
      <c r="V2523" s="161" t="b">
        <f>F2523&gt;='Query Tool'!C$32</f>
        <v>1</v>
      </c>
      <c r="W2523" s="161" t="b">
        <f t="array" ref="W2523">index(Dropdowns!B:B,match(I2523,Dropdowns!A:A,0))</f>
        <v>1</v>
      </c>
      <c r="X2523" s="161" t="b">
        <f t="array" ref="X2523">index('Query Tool'!B:B,match(D2523,'Query Tool'!C:C,0))</f>
        <v>1</v>
      </c>
      <c r="Y2523" s="161" t="str">
        <f t="shared" si="6"/>
        <v>greenje02,2018-19</v>
      </c>
      <c r="Z2523" s="168">
        <f t="array" ref="Z2523">iferror(index(I:I,match($A2523&amp;","&amp;index('Year Conversion'!$A:$A,match($C2523,'Year Conversion'!$B:$B,0)),$Y:$Y,0))-I2523,"")</f>
        <v>1</v>
      </c>
      <c r="AA2523" s="168">
        <f t="array" ref="AA2523">iferror(index(J:J,match($A2523&amp;","&amp;index('Year Conversion'!$A:$A,match($C2523,'Year Conversion'!$B:$B,0)),$Y:$Y,0))-J2523,"")</f>
        <v>-0.6388797509</v>
      </c>
      <c r="AB2523" s="168">
        <f t="array" ref="AB2523">iferror(index(K:K,match($A2523&amp;","&amp;index('Year Conversion'!$A:$A,match($C2523,'Year Conversion'!$B:$B,0)),$Y:$Y,0))-K2523,"")</f>
        <v>-0.9752836918</v>
      </c>
      <c r="AC2523" s="168" t="str">
        <f t="shared" si="7"/>
        <v>WAS,2018-19</v>
      </c>
    </row>
    <row r="2524">
      <c r="A2524" s="161" t="str">
        <f>IFERROR(__xludf.DUMMYFUNCTION("""COMPUTED_VALUE"""),"breweco01")</f>
        <v>breweco01</v>
      </c>
      <c r="B2524" s="161" t="str">
        <f>IFERROR(__xludf.DUMMYFUNCTION("""COMPUTED_VALUE"""),"Corey Brewer")</f>
        <v>Corey Brewer</v>
      </c>
      <c r="C2524" s="162" t="str">
        <f>IFERROR(__xludf.DUMMYFUNCTION("""COMPUTED_VALUE"""),"2018-19")</f>
        <v>2018-19</v>
      </c>
      <c r="D2524" s="163" t="str">
        <f>IFERROR(__xludf.DUMMYFUNCTION("""COMPUTED_VALUE"""),"TOT")</f>
        <v>TOT</v>
      </c>
      <c r="E2524" s="164" t="str">
        <f>IFERROR(__xludf.DUMMYFUNCTION("""COMPUTED_VALUE"""),"Athletic Finisher")</f>
        <v>Athletic Finisher</v>
      </c>
      <c r="F2524" s="164">
        <f>IFERROR(__xludf.DUMMYFUNCTION("""COMPUTED_VALUE"""),491.568333333333)</f>
        <v>491.5683333</v>
      </c>
      <c r="G2524" s="163">
        <f>IFERROR(__xludf.DUMMYFUNCTION("""COMPUTED_VALUE"""),31.0)</f>
        <v>31</v>
      </c>
      <c r="H2524" s="163" t="str">
        <f>IFERROR(__xludf.DUMMYFUNCTION("""COMPUTED_VALUE"""),"SF")</f>
        <v>SF</v>
      </c>
      <c r="I2524" s="163">
        <f>IFERROR(__xludf.DUMMYFUNCTION("""COMPUTED_VALUE"""),32.0)</f>
        <v>32</v>
      </c>
      <c r="J2524" s="165">
        <f>IFERROR(__xludf.DUMMYFUNCTION("""COMPUTED_VALUE"""),-0.928280416876227)</f>
        <v>-0.9282804169</v>
      </c>
      <c r="K2524" s="165">
        <f>IFERROR(__xludf.DUMMYFUNCTION("""COMPUTED_VALUE"""),-1.49606234491031)</f>
        <v>-1.496062345</v>
      </c>
      <c r="L2524" s="165">
        <f>IFERROR(__xludf.DUMMYFUNCTION("""COMPUTED_VALUE"""),0.567781928034085)</f>
        <v>0.567781928</v>
      </c>
      <c r="M2524" s="166">
        <f t="shared" si="2"/>
        <v>0.4505605023</v>
      </c>
      <c r="N2524" s="167">
        <f t="shared" si="3"/>
        <v>15.85704301</v>
      </c>
      <c r="O2524" s="163">
        <f t="shared" ref="O2524:Q2524" si="2528">rank(I2524,I:I)</f>
        <v>359</v>
      </c>
      <c r="P2524" s="163">
        <f t="shared" si="2528"/>
        <v>2427</v>
      </c>
      <c r="Q2524" s="163">
        <f t="shared" si="2528"/>
        <v>3347</v>
      </c>
      <c r="R2524" s="163">
        <f>IFERROR(__xludf.DUMMYFUNCTION("RANK(M2524,filter(M:M,C:C=C2524))"),298.0)</f>
        <v>298</v>
      </c>
      <c r="S2524" s="161" t="b">
        <f t="shared" si="5"/>
        <v>0</v>
      </c>
      <c r="T2524" s="161" t="b">
        <f t="array" ref="T2524">index('Query Tool'!B:B,match(H2524,'Query Tool'!C:C,0))</f>
        <v>1</v>
      </c>
      <c r="U2524" s="161" t="b">
        <f t="array" ref="U2524">index('Query Tool'!B:B,match(C2524,'Query Tool'!C:C,0))</f>
        <v>0</v>
      </c>
      <c r="V2524" s="161" t="b">
        <f>F2524&gt;='Query Tool'!C$32</f>
        <v>0</v>
      </c>
      <c r="W2524" s="161" t="b">
        <f t="array" ref="W2524">index(Dropdowns!B:B,match(I2524,Dropdowns!A:A,0))</f>
        <v>1</v>
      </c>
      <c r="X2524" s="161" t="b">
        <f t="array" ref="X2524">index('Query Tool'!B:B,match(D2524,'Query Tool'!C:C,0))</f>
        <v>1</v>
      </c>
      <c r="Y2524" s="161" t="str">
        <f t="shared" si="6"/>
        <v>breweco01,2018-19</v>
      </c>
      <c r="Z2524" s="168">
        <f t="array" ref="Z2524">iferror(index(I:I,match($A2524&amp;","&amp;index('Year Conversion'!$A:$A,match($C2524,'Year Conversion'!$B:$B,0)),$Y:$Y,0))-I2524,"")</f>
        <v>1</v>
      </c>
      <c r="AA2524" s="168">
        <f t="array" ref="AA2524">iferror(index(J:J,match($A2524&amp;","&amp;index('Year Conversion'!$A:$A,match($C2524,'Year Conversion'!$B:$B,0)),$Y:$Y,0))-J2524,"")</f>
        <v>1.137475509</v>
      </c>
      <c r="AB2524" s="168">
        <f t="array" ref="AB2524">iferror(index(K:K,match($A2524&amp;","&amp;index('Year Conversion'!$A:$A,match($C2524,'Year Conversion'!$B:$B,0)),$Y:$Y,0))-K2524,"")</f>
        <v>1.406408703</v>
      </c>
      <c r="AC2524" s="168" t="str">
        <f t="shared" si="7"/>
        <v>TOT,2018-19</v>
      </c>
    </row>
    <row r="2525">
      <c r="A2525" s="161" t="str">
        <f>IFERROR(__xludf.DUMMYFUNCTION("""COMPUTED_VALUE"""),"noahjo01")</f>
        <v>noahjo01</v>
      </c>
      <c r="B2525" s="161" t="str">
        <f>IFERROR(__xludf.DUMMYFUNCTION("""COMPUTED_VALUE"""),"Joakim Noah")</f>
        <v>Joakim Noah</v>
      </c>
      <c r="C2525" s="162" t="str">
        <f>IFERROR(__xludf.DUMMYFUNCTION("""COMPUTED_VALUE"""),"2018-19")</f>
        <v>2018-19</v>
      </c>
      <c r="D2525" s="163" t="str">
        <f>IFERROR(__xludf.DUMMYFUNCTION("""COMPUTED_VALUE"""),"MEM")</f>
        <v>MEM</v>
      </c>
      <c r="E2525" s="164" t="str">
        <f>IFERROR(__xludf.DUMMYFUNCTION("""COMPUTED_VALUE"""),"Roll + Cut Big")</f>
        <v>Roll + Cut Big</v>
      </c>
      <c r="F2525" s="164">
        <f>IFERROR(__xludf.DUMMYFUNCTION("""COMPUTED_VALUE"""),692.485)</f>
        <v>692.485</v>
      </c>
      <c r="G2525" s="163">
        <f>IFERROR(__xludf.DUMMYFUNCTION("""COMPUTED_VALUE"""),42.0)</f>
        <v>42</v>
      </c>
      <c r="H2525" s="163" t="str">
        <f>IFERROR(__xludf.DUMMYFUNCTION("""COMPUTED_VALUE"""),"C")</f>
        <v>C</v>
      </c>
      <c r="I2525" s="163">
        <f>IFERROR(__xludf.DUMMYFUNCTION("""COMPUTED_VALUE"""),33.0)</f>
        <v>33</v>
      </c>
      <c r="J2525" s="165">
        <f>IFERROR(__xludf.DUMMYFUNCTION("""COMPUTED_VALUE"""),1.65034851339726)</f>
        <v>1.650348513</v>
      </c>
      <c r="K2525" s="165">
        <f>IFERROR(__xludf.DUMMYFUNCTION("""COMPUTED_VALUE"""),-0.242456259695992)</f>
        <v>-0.2424562597</v>
      </c>
      <c r="L2525" s="165">
        <f>IFERROR(__xludf.DUMMYFUNCTION("""COMPUTED_VALUE"""),1.89280477309325)</f>
        <v>1.892804773</v>
      </c>
      <c r="M2525" s="166">
        <f t="shared" si="2"/>
        <v>1.835171084</v>
      </c>
      <c r="N2525" s="167">
        <f t="shared" si="3"/>
        <v>16.4877381</v>
      </c>
      <c r="O2525" s="163">
        <f t="shared" ref="O2525:Q2525" si="2529">rank(I2525,I:I)</f>
        <v>246</v>
      </c>
      <c r="P2525" s="163">
        <f t="shared" si="2529"/>
        <v>413</v>
      </c>
      <c r="Q2525" s="163">
        <f t="shared" si="2529"/>
        <v>1650</v>
      </c>
      <c r="R2525" s="163">
        <f>IFERROR(__xludf.DUMMYFUNCTION("RANK(M2525,filter(M:M,C:C=C2525))"),161.0)</f>
        <v>161</v>
      </c>
      <c r="S2525" s="161" t="b">
        <f t="shared" si="5"/>
        <v>0</v>
      </c>
      <c r="T2525" s="161" t="b">
        <f t="array" ref="T2525">index('Query Tool'!B:B,match(H2525,'Query Tool'!C:C,0))</f>
        <v>1</v>
      </c>
      <c r="U2525" s="161" t="b">
        <f t="array" ref="U2525">index('Query Tool'!B:B,match(C2525,'Query Tool'!C:C,0))</f>
        <v>0</v>
      </c>
      <c r="V2525" s="161" t="b">
        <f>F2525&gt;='Query Tool'!C$32</f>
        <v>1</v>
      </c>
      <c r="W2525" s="161" t="b">
        <f t="array" ref="W2525">index(Dropdowns!B:B,match(I2525,Dropdowns!A:A,0))</f>
        <v>1</v>
      </c>
      <c r="X2525" s="161" t="b">
        <f t="array" ref="X2525">index('Query Tool'!B:B,match(D2525,'Query Tool'!C:C,0))</f>
        <v>1</v>
      </c>
      <c r="Y2525" s="161" t="str">
        <f t="shared" si="6"/>
        <v>noahjo01,2018-19</v>
      </c>
      <c r="Z2525" s="168">
        <f t="array" ref="Z2525">iferror(index(I:I,match($A2525&amp;","&amp;index('Year Conversion'!$A:$A,match($C2525,'Year Conversion'!$B:$B,0)),$Y:$Y,0))-I2525,"")</f>
        <v>1</v>
      </c>
      <c r="AA2525" s="168">
        <f t="array" ref="AA2525">iferror(index(J:J,match($A2525&amp;","&amp;index('Year Conversion'!$A:$A,match($C2525,'Year Conversion'!$B:$B,0)),$Y:$Y,0))-J2525,"")</f>
        <v>-2.446710127</v>
      </c>
      <c r="AB2525" s="168">
        <f t="array" ref="AB2525">iferror(index(K:K,match($A2525&amp;","&amp;index('Year Conversion'!$A:$A,match($C2525,'Year Conversion'!$B:$B,0)),$Y:$Y,0))-K2525,"")</f>
        <v>-0.186507594</v>
      </c>
      <c r="AC2525" s="168" t="str">
        <f t="shared" si="7"/>
        <v>MEM,2018-19</v>
      </c>
    </row>
    <row r="2526">
      <c r="A2526" s="161" t="str">
        <f>IFERROR(__xludf.DUMMYFUNCTION("""COMPUTED_VALUE"""),"youngth01")</f>
        <v>youngth01</v>
      </c>
      <c r="B2526" s="161" t="str">
        <f>IFERROR(__xludf.DUMMYFUNCTION("""COMPUTED_VALUE"""),"Thaddeus Young")</f>
        <v>Thaddeus Young</v>
      </c>
      <c r="C2526" s="162" t="str">
        <f>IFERROR(__xludf.DUMMYFUNCTION("""COMPUTED_VALUE"""),"2018-19")</f>
        <v>2018-19</v>
      </c>
      <c r="D2526" s="163" t="str">
        <f>IFERROR(__xludf.DUMMYFUNCTION("""COMPUTED_VALUE"""),"IND")</f>
        <v>IND</v>
      </c>
      <c r="E2526" s="164" t="str">
        <f>IFERROR(__xludf.DUMMYFUNCTION("""COMPUTED_VALUE"""),"Post Scorer")</f>
        <v>Post Scorer</v>
      </c>
      <c r="F2526" s="164">
        <f>IFERROR(__xludf.DUMMYFUNCTION("""COMPUTED_VALUE"""),2488.83833333333)</f>
        <v>2488.838333</v>
      </c>
      <c r="G2526" s="163">
        <f>IFERROR(__xludf.DUMMYFUNCTION("""COMPUTED_VALUE"""),81.0)</f>
        <v>81</v>
      </c>
      <c r="H2526" s="163" t="str">
        <f>IFERROR(__xludf.DUMMYFUNCTION("""COMPUTED_VALUE"""),"PF")</f>
        <v>PF</v>
      </c>
      <c r="I2526" s="163">
        <f>IFERROR(__xludf.DUMMYFUNCTION("""COMPUTED_VALUE"""),30.0)</f>
        <v>30</v>
      </c>
      <c r="J2526" s="165">
        <f>IFERROR(__xludf.DUMMYFUNCTION("""COMPUTED_VALUE"""),1.19372664324201)</f>
        <v>1.193726643</v>
      </c>
      <c r="K2526" s="165">
        <f>IFERROR(__xludf.DUMMYFUNCTION("""COMPUTED_VALUE"""),-0.0164068645672756)</f>
        <v>-0.01640686457</v>
      </c>
      <c r="L2526" s="165">
        <f>IFERROR(__xludf.DUMMYFUNCTION("""COMPUTED_VALUE"""),1.21013350780929)</f>
        <v>1.210133508</v>
      </c>
      <c r="M2526" s="166">
        <f t="shared" si="2"/>
        <v>5.836016366</v>
      </c>
      <c r="N2526" s="167">
        <f t="shared" si="3"/>
        <v>30.72639918</v>
      </c>
      <c r="O2526" s="163">
        <f t="shared" ref="O2526:Q2526" si="2530">rank(I2526,I:I)</f>
        <v>655</v>
      </c>
      <c r="P2526" s="163">
        <f t="shared" si="2530"/>
        <v>574</v>
      </c>
      <c r="Q2526" s="163">
        <f t="shared" si="2530"/>
        <v>1223</v>
      </c>
      <c r="R2526" s="163">
        <f>IFERROR(__xludf.DUMMYFUNCTION("RANK(M2526,filter(M:M,C:C=C2526))"),50.0)</f>
        <v>50</v>
      </c>
      <c r="S2526" s="161" t="b">
        <f t="shared" si="5"/>
        <v>0</v>
      </c>
      <c r="T2526" s="161" t="b">
        <f t="array" ref="T2526">index('Query Tool'!B:B,match(H2526,'Query Tool'!C:C,0))</f>
        <v>1</v>
      </c>
      <c r="U2526" s="161" t="b">
        <f t="array" ref="U2526">index('Query Tool'!B:B,match(C2526,'Query Tool'!C:C,0))</f>
        <v>0</v>
      </c>
      <c r="V2526" s="161" t="b">
        <f>F2526&gt;='Query Tool'!C$32</f>
        <v>1</v>
      </c>
      <c r="W2526" s="161" t="b">
        <f t="array" ref="W2526">index(Dropdowns!B:B,match(I2526,Dropdowns!A:A,0))</f>
        <v>1</v>
      </c>
      <c r="X2526" s="161" t="b">
        <f t="array" ref="X2526">index('Query Tool'!B:B,match(D2526,'Query Tool'!C:C,0))</f>
        <v>1</v>
      </c>
      <c r="Y2526" s="161" t="str">
        <f t="shared" si="6"/>
        <v>youngth01,2018-19</v>
      </c>
      <c r="Z2526" s="168">
        <f t="array" ref="Z2526">iferror(index(I:I,match($A2526&amp;","&amp;index('Year Conversion'!$A:$A,match($C2526,'Year Conversion'!$B:$B,0)),$Y:$Y,0))-I2526,"")</f>
        <v>1</v>
      </c>
      <c r="AA2526" s="168">
        <f t="array" ref="AA2526">iferror(index(J:J,match($A2526&amp;","&amp;index('Year Conversion'!$A:$A,match($C2526,'Year Conversion'!$B:$B,0)),$Y:$Y,0))-J2526,"")</f>
        <v>-2.897277016</v>
      </c>
      <c r="AB2526" s="168">
        <f t="array" ref="AB2526">iferror(index(K:K,match($A2526&amp;","&amp;index('Year Conversion'!$A:$A,match($C2526,'Year Conversion'!$B:$B,0)),$Y:$Y,0))-K2526,"")</f>
        <v>-1.804407797</v>
      </c>
      <c r="AC2526" s="168" t="str">
        <f t="shared" si="7"/>
        <v>IND,2018-19</v>
      </c>
    </row>
    <row r="2527">
      <c r="A2527" s="161" t="str">
        <f>IFERROR(__xludf.DUMMYFUNCTION("""COMPUTED_VALUE"""),"youngni01")</f>
        <v>youngni01</v>
      </c>
      <c r="B2527" s="161" t="str">
        <f>IFERROR(__xludf.DUMMYFUNCTION("""COMPUTED_VALUE"""),"Nick Young")</f>
        <v>Nick Young</v>
      </c>
      <c r="C2527" s="162" t="str">
        <f>IFERROR(__xludf.DUMMYFUNCTION("""COMPUTED_VALUE"""),"2018-19")</f>
        <v>2018-19</v>
      </c>
      <c r="D2527" s="163" t="str">
        <f>IFERROR(__xludf.DUMMYFUNCTION("""COMPUTED_VALUE"""),"DEN")</f>
        <v>DEN</v>
      </c>
      <c r="E2527" s="164" t="str">
        <f>IFERROR(__xludf.DUMMYFUNCTION("""COMPUTED_VALUE"""),"Movement Shooter")</f>
        <v>Movement Shooter</v>
      </c>
      <c r="F2527" s="164">
        <f>IFERROR(__xludf.DUMMYFUNCTION("""COMPUTED_VALUE"""),37.1333333333334)</f>
        <v>37.13333333</v>
      </c>
      <c r="G2527" s="163">
        <f>IFERROR(__xludf.DUMMYFUNCTION("""COMPUTED_VALUE"""),4.0)</f>
        <v>4</v>
      </c>
      <c r="H2527" s="163" t="str">
        <f>IFERROR(__xludf.DUMMYFUNCTION("""COMPUTED_VALUE"""),"SG")</f>
        <v>SG</v>
      </c>
      <c r="I2527" s="163">
        <f>IFERROR(__xludf.DUMMYFUNCTION("""COMPUTED_VALUE"""),33.0)</f>
        <v>33</v>
      </c>
      <c r="J2527" s="165">
        <f>IFERROR(__xludf.DUMMYFUNCTION("""COMPUTED_VALUE"""),-1.1327515746095)</f>
        <v>-1.132751575</v>
      </c>
      <c r="K2527" s="165">
        <f>IFERROR(__xludf.DUMMYFUNCTION("""COMPUTED_VALUE"""),-0.587988809126733)</f>
        <v>-0.5879888091</v>
      </c>
      <c r="L2527" s="165">
        <f>IFERROR(__xludf.DUMMYFUNCTION("""COMPUTED_VALUE"""),-0.544762765482768)</f>
        <v>-0.5447627655</v>
      </c>
      <c r="M2527" s="166">
        <f t="shared" si="2"/>
        <v>0.02893932354</v>
      </c>
      <c r="N2527" s="167">
        <f t="shared" si="3"/>
        <v>9.283333333</v>
      </c>
      <c r="O2527" s="163">
        <f t="shared" ref="O2527:Q2527" si="2531">rank(I2527,I:I)</f>
        <v>246</v>
      </c>
      <c r="P2527" s="163">
        <f t="shared" si="2531"/>
        <v>2663</v>
      </c>
      <c r="Q2527" s="163">
        <f t="shared" si="2531"/>
        <v>2242</v>
      </c>
      <c r="R2527" s="163">
        <f>IFERROR(__xludf.DUMMYFUNCTION("RANK(M2527,filter(M:M,C:C=C2527))"),445.0)</f>
        <v>445</v>
      </c>
      <c r="S2527" s="161" t="b">
        <f t="shared" si="5"/>
        <v>0</v>
      </c>
      <c r="T2527" s="161" t="b">
        <f t="array" ref="T2527">index('Query Tool'!B:B,match(H2527,'Query Tool'!C:C,0))</f>
        <v>1</v>
      </c>
      <c r="U2527" s="161" t="b">
        <f t="array" ref="U2527">index('Query Tool'!B:B,match(C2527,'Query Tool'!C:C,0))</f>
        <v>0</v>
      </c>
      <c r="V2527" s="161" t="b">
        <f>F2527&gt;='Query Tool'!C$32</f>
        <v>0</v>
      </c>
      <c r="W2527" s="161" t="b">
        <f t="array" ref="W2527">index(Dropdowns!B:B,match(I2527,Dropdowns!A:A,0))</f>
        <v>1</v>
      </c>
      <c r="X2527" s="161" t="b">
        <f t="array" ref="X2527">index('Query Tool'!B:B,match(D2527,'Query Tool'!C:C,0))</f>
        <v>1</v>
      </c>
      <c r="Y2527" s="161" t="str">
        <f t="shared" si="6"/>
        <v>youngni01,2018-19</v>
      </c>
      <c r="Z2527" s="168" t="str">
        <f t="array" ref="Z2527">iferror(index(I:I,match($A2527&amp;","&amp;index('Year Conversion'!$A:$A,match($C2527,'Year Conversion'!$B:$B,0)),$Y:$Y,0))-I2527,"")</f>
        <v/>
      </c>
      <c r="AA2527" s="168" t="str">
        <f t="array" ref="AA2527">iferror(index(J:J,match($A2527&amp;","&amp;index('Year Conversion'!$A:$A,match($C2527,'Year Conversion'!$B:$B,0)),$Y:$Y,0))-J2527,"")</f>
        <v/>
      </c>
      <c r="AB2527" s="168" t="str">
        <f t="array" ref="AB2527">iferror(index(K:K,match($A2527&amp;","&amp;index('Year Conversion'!$A:$A,match($C2527,'Year Conversion'!$B:$B,0)),$Y:$Y,0))-K2527,"")</f>
        <v/>
      </c>
      <c r="AC2527" s="168" t="str">
        <f t="shared" si="7"/>
        <v>DEN,2018-19</v>
      </c>
    </row>
    <row r="2528">
      <c r="A2528" s="161" t="str">
        <f>IFERROR(__xludf.DUMMYFUNCTION("""COMPUTED_VALUE"""),"belinma01")</f>
        <v>belinma01</v>
      </c>
      <c r="B2528" s="161" t="str">
        <f>IFERROR(__xludf.DUMMYFUNCTION("""COMPUTED_VALUE"""),"Marco Belinelli")</f>
        <v>Marco Belinelli</v>
      </c>
      <c r="C2528" s="162" t="str">
        <f>IFERROR(__xludf.DUMMYFUNCTION("""COMPUTED_VALUE"""),"2018-19")</f>
        <v>2018-19</v>
      </c>
      <c r="D2528" s="163" t="str">
        <f>IFERROR(__xludf.DUMMYFUNCTION("""COMPUTED_VALUE"""),"SAS")</f>
        <v>SAS</v>
      </c>
      <c r="E2528" s="164" t="str">
        <f>IFERROR(__xludf.DUMMYFUNCTION("""COMPUTED_VALUE"""),"Movement Shooter")</f>
        <v>Movement Shooter</v>
      </c>
      <c r="F2528" s="164">
        <f>IFERROR(__xludf.DUMMYFUNCTION("""COMPUTED_VALUE"""),1815.35666666667)</f>
        <v>1815.356667</v>
      </c>
      <c r="G2528" s="163">
        <f>IFERROR(__xludf.DUMMYFUNCTION("""COMPUTED_VALUE"""),79.0)</f>
        <v>79</v>
      </c>
      <c r="H2528" s="163" t="str">
        <f>IFERROR(__xludf.DUMMYFUNCTION("""COMPUTED_VALUE"""),"SG")</f>
        <v>SG</v>
      </c>
      <c r="I2528" s="163">
        <f>IFERROR(__xludf.DUMMYFUNCTION("""COMPUTED_VALUE"""),32.0)</f>
        <v>32</v>
      </c>
      <c r="J2528" s="165">
        <f>IFERROR(__xludf.DUMMYFUNCTION("""COMPUTED_VALUE"""),-2.0710482794757)</f>
        <v>-2.071048279</v>
      </c>
      <c r="K2528" s="165">
        <f>IFERROR(__xludf.DUMMYFUNCTION("""COMPUTED_VALUE"""),-0.0967414827525107)</f>
        <v>-0.09674148275</v>
      </c>
      <c r="L2528" s="165">
        <f>IFERROR(__xludf.DUMMYFUNCTION("""COMPUTED_VALUE"""),-1.97430679672318)</f>
        <v>-1.974306797</v>
      </c>
      <c r="M2528" s="166">
        <f t="shared" si="2"/>
        <v>0.278925661</v>
      </c>
      <c r="N2528" s="167">
        <f t="shared" si="3"/>
        <v>22.97919831</v>
      </c>
      <c r="O2528" s="163">
        <f t="shared" ref="O2528:Q2528" si="2532">rank(I2528,I:I)</f>
        <v>359</v>
      </c>
      <c r="P2528" s="163">
        <f t="shared" si="2532"/>
        <v>3535</v>
      </c>
      <c r="Q2528" s="163">
        <f t="shared" si="2532"/>
        <v>1361</v>
      </c>
      <c r="R2528" s="163">
        <f>IFERROR(__xludf.DUMMYFUNCTION("RANK(M2528,filter(M:M,C:C=C2528))"),328.0)</f>
        <v>328</v>
      </c>
      <c r="S2528" s="161" t="b">
        <f t="shared" si="5"/>
        <v>0</v>
      </c>
      <c r="T2528" s="161" t="b">
        <f t="array" ref="T2528">index('Query Tool'!B:B,match(H2528,'Query Tool'!C:C,0))</f>
        <v>1</v>
      </c>
      <c r="U2528" s="161" t="b">
        <f t="array" ref="U2528">index('Query Tool'!B:B,match(C2528,'Query Tool'!C:C,0))</f>
        <v>0</v>
      </c>
      <c r="V2528" s="161" t="b">
        <f>F2528&gt;='Query Tool'!C$32</f>
        <v>1</v>
      </c>
      <c r="W2528" s="161" t="b">
        <f t="array" ref="W2528">index(Dropdowns!B:B,match(I2528,Dropdowns!A:A,0))</f>
        <v>1</v>
      </c>
      <c r="X2528" s="161" t="b">
        <f t="array" ref="X2528">index('Query Tool'!B:B,match(D2528,'Query Tool'!C:C,0))</f>
        <v>1</v>
      </c>
      <c r="Y2528" s="161" t="str">
        <f t="shared" si="6"/>
        <v>belinma01,2018-19</v>
      </c>
      <c r="Z2528" s="168">
        <f t="array" ref="Z2528">iferror(index(I:I,match($A2528&amp;","&amp;index('Year Conversion'!$A:$A,match($C2528,'Year Conversion'!$B:$B,0)),$Y:$Y,0))-I2528,"")</f>
        <v>1</v>
      </c>
      <c r="AA2528" s="168">
        <f t="array" ref="AA2528">iferror(index(J:J,match($A2528&amp;","&amp;index('Year Conversion'!$A:$A,match($C2528,'Year Conversion'!$B:$B,0)),$Y:$Y,0))-J2528,"")</f>
        <v>0.5654088018</v>
      </c>
      <c r="AB2528" s="168">
        <f t="array" ref="AB2528">iferror(index(K:K,match($A2528&amp;","&amp;index('Year Conversion'!$A:$A,match($C2528,'Year Conversion'!$B:$B,0)),$Y:$Y,0))-K2528,"")</f>
        <v>0.2487479864</v>
      </c>
      <c r="AC2528" s="168" t="str">
        <f t="shared" si="7"/>
        <v>SAS,2018-19</v>
      </c>
    </row>
    <row r="2529">
      <c r="A2529" s="161" t="str">
        <f>IFERROR(__xludf.DUMMYFUNCTION("""COMPUTED_VALUE"""),"smithja02")</f>
        <v>smithja02</v>
      </c>
      <c r="B2529" s="161" t="str">
        <f>IFERROR(__xludf.DUMMYFUNCTION("""COMPUTED_VALUE"""),"Jason Smith")</f>
        <v>Jason Smith</v>
      </c>
      <c r="C2529" s="162" t="str">
        <f>IFERROR(__xludf.DUMMYFUNCTION("""COMPUTED_VALUE"""),"2018-19")</f>
        <v>2018-19</v>
      </c>
      <c r="D2529" s="163" t="str">
        <f>IFERROR(__xludf.DUMMYFUNCTION("""COMPUTED_VALUE"""),"TOT")</f>
        <v>TOT</v>
      </c>
      <c r="E2529" s="164" t="str">
        <f>IFERROR(__xludf.DUMMYFUNCTION("""COMPUTED_VALUE"""),"Stretch Big")</f>
        <v>Stretch Big</v>
      </c>
      <c r="F2529" s="164">
        <f>IFERROR(__xludf.DUMMYFUNCTION("""COMPUTED_VALUE"""),190.516666666667)</f>
        <v>190.5166667</v>
      </c>
      <c r="G2529" s="163">
        <f>IFERROR(__xludf.DUMMYFUNCTION("""COMPUTED_VALUE"""),20.0)</f>
        <v>20</v>
      </c>
      <c r="H2529" s="163" t="str">
        <f>IFERROR(__xludf.DUMMYFUNCTION("""COMPUTED_VALUE"""),"PF-C")</f>
        <v>PF-C</v>
      </c>
      <c r="I2529" s="163">
        <f>IFERROR(__xludf.DUMMYFUNCTION("""COMPUTED_VALUE"""),32.0)</f>
        <v>32</v>
      </c>
      <c r="J2529" s="165">
        <f>IFERROR(__xludf.DUMMYFUNCTION("""COMPUTED_VALUE"""),-0.942236997376273)</f>
        <v>-0.9422369974</v>
      </c>
      <c r="K2529" s="165">
        <f>IFERROR(__xludf.DUMMYFUNCTION("""COMPUTED_VALUE"""),-0.862999168709119)</f>
        <v>-0.8629991687</v>
      </c>
      <c r="L2529" s="165">
        <f>IFERROR(__xludf.DUMMYFUNCTION("""COMPUTED_VALUE"""),-0.0792378286671545)</f>
        <v>-0.07923782867</v>
      </c>
      <c r="M2529" s="166">
        <f t="shared" si="2"/>
        <v>0.1728371756</v>
      </c>
      <c r="N2529" s="167">
        <f t="shared" si="3"/>
        <v>9.525833333</v>
      </c>
      <c r="O2529" s="163">
        <f t="shared" ref="O2529:Q2529" si="2533">rank(I2529,I:I)</f>
        <v>359</v>
      </c>
      <c r="P2529" s="163">
        <f t="shared" si="2533"/>
        <v>2442</v>
      </c>
      <c r="Q2529" s="163">
        <f t="shared" si="2533"/>
        <v>2639</v>
      </c>
      <c r="R2529" s="163">
        <f>IFERROR(__xludf.DUMMYFUNCTION("RANK(M2529,filter(M:M,C:C=C2529))"),357.0)</f>
        <v>357</v>
      </c>
      <c r="S2529" s="161" t="b">
        <f t="shared" si="5"/>
        <v>0</v>
      </c>
      <c r="T2529" s="161" t="str">
        <f t="array" ref="T2529">index('Query Tool'!B:B,match(H2529,'Query Tool'!C:C,0))</f>
        <v>#N/A</v>
      </c>
      <c r="U2529" s="161" t="b">
        <f t="array" ref="U2529">index('Query Tool'!B:B,match(C2529,'Query Tool'!C:C,0))</f>
        <v>0</v>
      </c>
      <c r="V2529" s="161" t="b">
        <f>F2529&gt;='Query Tool'!C$32</f>
        <v>0</v>
      </c>
      <c r="W2529" s="161" t="b">
        <f t="array" ref="W2529">index(Dropdowns!B:B,match(I2529,Dropdowns!A:A,0))</f>
        <v>1</v>
      </c>
      <c r="X2529" s="161" t="b">
        <f t="array" ref="X2529">index('Query Tool'!B:B,match(D2529,'Query Tool'!C:C,0))</f>
        <v>1</v>
      </c>
      <c r="Y2529" s="161" t="str">
        <f t="shared" si="6"/>
        <v>smithja02,2018-19</v>
      </c>
      <c r="Z2529" s="168" t="str">
        <f t="array" ref="Z2529">iferror(index(I:I,match($A2529&amp;","&amp;index('Year Conversion'!$A:$A,match($C2529,'Year Conversion'!$B:$B,0)),$Y:$Y,0))-I2529,"")</f>
        <v/>
      </c>
      <c r="AA2529" s="168" t="str">
        <f t="array" ref="AA2529">iferror(index(J:J,match($A2529&amp;","&amp;index('Year Conversion'!$A:$A,match($C2529,'Year Conversion'!$B:$B,0)),$Y:$Y,0))-J2529,"")</f>
        <v/>
      </c>
      <c r="AB2529" s="168" t="str">
        <f t="array" ref="AB2529">iferror(index(K:K,match($A2529&amp;","&amp;index('Year Conversion'!$A:$A,match($C2529,'Year Conversion'!$B:$B,0)),$Y:$Y,0))-K2529,"")</f>
        <v/>
      </c>
      <c r="AC2529" s="168" t="str">
        <f t="shared" si="7"/>
        <v>TOT,2018-19</v>
      </c>
    </row>
    <row r="2530">
      <c r="A2530" s="161" t="str">
        <f>IFERROR(__xludf.DUMMYFUNCTION("""COMPUTED_VALUE"""),"dudleja01")</f>
        <v>dudleja01</v>
      </c>
      <c r="B2530" s="161" t="str">
        <f>IFERROR(__xludf.DUMMYFUNCTION("""COMPUTED_VALUE"""),"Jared Dudley")</f>
        <v>Jared Dudley</v>
      </c>
      <c r="C2530" s="162" t="str">
        <f>IFERROR(__xludf.DUMMYFUNCTION("""COMPUTED_VALUE"""),"2018-19")</f>
        <v>2018-19</v>
      </c>
      <c r="D2530" s="163" t="str">
        <f>IFERROR(__xludf.DUMMYFUNCTION("""COMPUTED_VALUE"""),"BRK")</f>
        <v>BRK</v>
      </c>
      <c r="E2530" s="164" t="str">
        <f>IFERROR(__xludf.DUMMYFUNCTION("""COMPUTED_VALUE"""),"Stationary Shooter")</f>
        <v>Stationary Shooter</v>
      </c>
      <c r="F2530" s="164">
        <f>IFERROR(__xludf.DUMMYFUNCTION("""COMPUTED_VALUE"""),1219.64833333333)</f>
        <v>1219.648333</v>
      </c>
      <c r="G2530" s="163">
        <f>IFERROR(__xludf.DUMMYFUNCTION("""COMPUTED_VALUE"""),59.0)</f>
        <v>59</v>
      </c>
      <c r="H2530" s="163" t="str">
        <f>IFERROR(__xludf.DUMMYFUNCTION("""COMPUTED_VALUE"""),"PF")</f>
        <v>PF</v>
      </c>
      <c r="I2530" s="163">
        <f>IFERROR(__xludf.DUMMYFUNCTION("""COMPUTED_VALUE"""),33.0)</f>
        <v>33</v>
      </c>
      <c r="J2530" s="165">
        <f>IFERROR(__xludf.DUMMYFUNCTION("""COMPUTED_VALUE"""),-1.10165395628186)</f>
        <v>-1.101653956</v>
      </c>
      <c r="K2530" s="165">
        <f>IFERROR(__xludf.DUMMYFUNCTION("""COMPUTED_VALUE"""),-1.38204081077291)</f>
        <v>-1.382040811</v>
      </c>
      <c r="L2530" s="165">
        <f>IFERROR(__xludf.DUMMYFUNCTION("""COMPUTED_VALUE"""),0.280386854491048)</f>
        <v>0.2803868545</v>
      </c>
      <c r="M2530" s="166">
        <f t="shared" si="2"/>
        <v>0.9759534166</v>
      </c>
      <c r="N2530" s="167">
        <f t="shared" si="3"/>
        <v>20.67200565</v>
      </c>
      <c r="O2530" s="163">
        <f t="shared" ref="O2530:Q2530" si="2534">rank(I2530,I:I)</f>
        <v>246</v>
      </c>
      <c r="P2530" s="163">
        <f t="shared" si="2534"/>
        <v>2615</v>
      </c>
      <c r="Q2530" s="163">
        <f t="shared" si="2534"/>
        <v>3232</v>
      </c>
      <c r="R2530" s="163">
        <f>IFERROR(__xludf.DUMMYFUNCTION("RANK(M2530,filter(M:M,C:C=C2530))"),226.0)</f>
        <v>226</v>
      </c>
      <c r="S2530" s="161" t="b">
        <f t="shared" si="5"/>
        <v>0</v>
      </c>
      <c r="T2530" s="161" t="b">
        <f t="array" ref="T2530">index('Query Tool'!B:B,match(H2530,'Query Tool'!C:C,0))</f>
        <v>1</v>
      </c>
      <c r="U2530" s="161" t="b">
        <f t="array" ref="U2530">index('Query Tool'!B:B,match(C2530,'Query Tool'!C:C,0))</f>
        <v>0</v>
      </c>
      <c r="V2530" s="161" t="b">
        <f>F2530&gt;='Query Tool'!C$32</f>
        <v>1</v>
      </c>
      <c r="W2530" s="161" t="b">
        <f t="array" ref="W2530">index(Dropdowns!B:B,match(I2530,Dropdowns!A:A,0))</f>
        <v>1</v>
      </c>
      <c r="X2530" s="161" t="b">
        <f t="array" ref="X2530">index('Query Tool'!B:B,match(D2530,'Query Tool'!C:C,0))</f>
        <v>1</v>
      </c>
      <c r="Y2530" s="161" t="str">
        <f t="shared" si="6"/>
        <v>dudleja01,2018-19</v>
      </c>
      <c r="Z2530" s="168">
        <f t="array" ref="Z2530">iferror(index(I:I,match($A2530&amp;","&amp;index('Year Conversion'!$A:$A,match($C2530,'Year Conversion'!$B:$B,0)),$Y:$Y,0))-I2530,"")</f>
        <v>1</v>
      </c>
      <c r="AA2530" s="168">
        <f t="array" ref="AA2530">iferror(index(J:J,match($A2530&amp;","&amp;index('Year Conversion'!$A:$A,match($C2530,'Year Conversion'!$B:$B,0)),$Y:$Y,0))-J2530,"")</f>
        <v>-0.7809525459</v>
      </c>
      <c r="AB2530" s="168">
        <f t="array" ref="AB2530">iferror(index(K:K,match($A2530&amp;","&amp;index('Year Conversion'!$A:$A,match($C2530,'Year Conversion'!$B:$B,0)),$Y:$Y,0))-K2530,"")</f>
        <v>-1.020341139</v>
      </c>
      <c r="AC2530" s="168" t="str">
        <f t="shared" si="7"/>
        <v>BRK,2018-19</v>
      </c>
    </row>
    <row r="2531">
      <c r="A2531" s="161" t="str">
        <f>IFERROR(__xludf.DUMMYFUNCTION("""COMPUTED_VALUE"""),"chandwi01")</f>
        <v>chandwi01</v>
      </c>
      <c r="B2531" s="161" t="str">
        <f>IFERROR(__xludf.DUMMYFUNCTION("""COMPUTED_VALUE"""),"Wilson Chandler")</f>
        <v>Wilson Chandler</v>
      </c>
      <c r="C2531" s="162" t="str">
        <f>IFERROR(__xludf.DUMMYFUNCTION("""COMPUTED_VALUE"""),"2018-19")</f>
        <v>2018-19</v>
      </c>
      <c r="D2531" s="163" t="str">
        <f>IFERROR(__xludf.DUMMYFUNCTION("""COMPUTED_VALUE"""),"TOT")</f>
        <v>TOT</v>
      </c>
      <c r="E2531" s="164" t="str">
        <f>IFERROR(__xludf.DUMMYFUNCTION("""COMPUTED_VALUE"""),"Movement Shooter")</f>
        <v>Movement Shooter</v>
      </c>
      <c r="F2531" s="164">
        <f>IFERROR(__xludf.DUMMYFUNCTION("""COMPUTED_VALUE"""),1176.32833333333)</f>
        <v>1176.328333</v>
      </c>
      <c r="G2531" s="163">
        <f>IFERROR(__xludf.DUMMYFUNCTION("""COMPUTED_VALUE"""),51.0)</f>
        <v>51</v>
      </c>
      <c r="H2531" s="163" t="str">
        <f>IFERROR(__xludf.DUMMYFUNCTION("""COMPUTED_VALUE"""),"PF-SF")</f>
        <v>PF-SF</v>
      </c>
      <c r="I2531" s="163">
        <f>IFERROR(__xludf.DUMMYFUNCTION("""COMPUTED_VALUE"""),31.0)</f>
        <v>31</v>
      </c>
      <c r="J2531" s="165">
        <f>IFERROR(__xludf.DUMMYFUNCTION("""COMPUTED_VALUE"""),-1.58614753123789)</f>
        <v>-1.586147531</v>
      </c>
      <c r="K2531" s="165">
        <f>IFERROR(__xludf.DUMMYFUNCTION("""COMPUTED_VALUE"""),-1.54743553228676)</f>
        <v>-1.547435532</v>
      </c>
      <c r="L2531" s="165">
        <f>IFERROR(__xludf.DUMMYFUNCTION("""COMPUTED_VALUE"""),-0.0387119989511393)</f>
        <v>-0.03871199895</v>
      </c>
      <c r="M2531" s="166">
        <f t="shared" si="2"/>
        <v>0.5599605153</v>
      </c>
      <c r="N2531" s="167">
        <f t="shared" si="3"/>
        <v>23.06526144</v>
      </c>
      <c r="O2531" s="163">
        <f t="shared" ref="O2531:Q2531" si="2535">rank(I2531,I:I)</f>
        <v>490</v>
      </c>
      <c r="P2531" s="163">
        <f t="shared" si="2535"/>
        <v>3131</v>
      </c>
      <c r="Q2531" s="163">
        <f t="shared" si="2535"/>
        <v>3401</v>
      </c>
      <c r="R2531" s="163">
        <f>IFERROR(__xludf.DUMMYFUNCTION("RANK(M2531,filter(M:M,C:C=C2531))"),277.0)</f>
        <v>277</v>
      </c>
      <c r="S2531" s="161" t="b">
        <f t="shared" si="5"/>
        <v>0</v>
      </c>
      <c r="T2531" s="161" t="str">
        <f t="array" ref="T2531">index('Query Tool'!B:B,match(H2531,'Query Tool'!C:C,0))</f>
        <v>#N/A</v>
      </c>
      <c r="U2531" s="161" t="b">
        <f t="array" ref="U2531">index('Query Tool'!B:B,match(C2531,'Query Tool'!C:C,0))</f>
        <v>0</v>
      </c>
      <c r="V2531" s="161" t="b">
        <f>F2531&gt;='Query Tool'!C$32</f>
        <v>1</v>
      </c>
      <c r="W2531" s="161" t="b">
        <f t="array" ref="W2531">index(Dropdowns!B:B,match(I2531,Dropdowns!A:A,0))</f>
        <v>1</v>
      </c>
      <c r="X2531" s="161" t="b">
        <f t="array" ref="X2531">index('Query Tool'!B:B,match(D2531,'Query Tool'!C:C,0))</f>
        <v>1</v>
      </c>
      <c r="Y2531" s="161" t="str">
        <f t="shared" si="6"/>
        <v>chandwi01,2018-19</v>
      </c>
      <c r="Z2531" s="168">
        <f t="array" ref="Z2531">iferror(index(I:I,match($A2531&amp;","&amp;index('Year Conversion'!$A:$A,match($C2531,'Year Conversion'!$B:$B,0)),$Y:$Y,0))-I2531,"")</f>
        <v>1</v>
      </c>
      <c r="AA2531" s="168">
        <f t="array" ref="AA2531">iferror(index(J:J,match($A2531&amp;","&amp;index('Year Conversion'!$A:$A,match($C2531,'Year Conversion'!$B:$B,0)),$Y:$Y,0))-J2531,"")</f>
        <v>-0.6460661483</v>
      </c>
      <c r="AB2531" s="168">
        <f t="array" ref="AB2531">iferror(index(K:K,match($A2531&amp;","&amp;index('Year Conversion'!$A:$A,match($C2531,'Year Conversion'!$B:$B,0)),$Y:$Y,0))-K2531,"")</f>
        <v>-1.48710989</v>
      </c>
      <c r="AC2531" s="168" t="str">
        <f t="shared" si="7"/>
        <v>TOT,2018-19</v>
      </c>
    </row>
    <row r="2532">
      <c r="A2532" s="161" t="str">
        <f>IFERROR(__xludf.DUMMYFUNCTION("""COMPUTED_VALUE"""),"gasolma01")</f>
        <v>gasolma01</v>
      </c>
      <c r="B2532" s="161" t="str">
        <f>IFERROR(__xludf.DUMMYFUNCTION("""COMPUTED_VALUE"""),"Marc Gasol")</f>
        <v>Marc Gasol</v>
      </c>
      <c r="C2532" s="162" t="str">
        <f>IFERROR(__xludf.DUMMYFUNCTION("""COMPUTED_VALUE"""),"2018-19")</f>
        <v>2018-19</v>
      </c>
      <c r="D2532" s="163" t="str">
        <f>IFERROR(__xludf.DUMMYFUNCTION("""COMPUTED_VALUE"""),"TOT")</f>
        <v>TOT</v>
      </c>
      <c r="E2532" s="164" t="str">
        <f>IFERROR(__xludf.DUMMYFUNCTION("""COMPUTED_VALUE"""),"Versatile Big")</f>
        <v>Versatile Big</v>
      </c>
      <c r="F2532" s="164">
        <f>IFERROR(__xludf.DUMMYFUNCTION("""COMPUTED_VALUE"""),2435.985)</f>
        <v>2435.985</v>
      </c>
      <c r="G2532" s="163">
        <f>IFERROR(__xludf.DUMMYFUNCTION("""COMPUTED_VALUE"""),79.0)</f>
        <v>79</v>
      </c>
      <c r="H2532" s="163" t="str">
        <f>IFERROR(__xludf.DUMMYFUNCTION("""COMPUTED_VALUE"""),"C")</f>
        <v>C</v>
      </c>
      <c r="I2532" s="163">
        <f>IFERROR(__xludf.DUMMYFUNCTION("""COMPUTED_VALUE"""),34.0)</f>
        <v>34</v>
      </c>
      <c r="J2532" s="165">
        <f>IFERROR(__xludf.DUMMYFUNCTION("""COMPUTED_VALUE"""),2.12349745381357)</f>
        <v>2.123497454</v>
      </c>
      <c r="K2532" s="165">
        <f>IFERROR(__xludf.DUMMYFUNCTION("""COMPUTED_VALUE"""),-0.0882409430280179)</f>
        <v>-0.08824094303</v>
      </c>
      <c r="L2532" s="165">
        <f>IFERROR(__xludf.DUMMYFUNCTION("""COMPUTED_VALUE"""),2.21173839684159)</f>
        <v>2.211738397</v>
      </c>
      <c r="M2532" s="166">
        <f t="shared" si="2"/>
        <v>7.221247974</v>
      </c>
      <c r="N2532" s="167">
        <f t="shared" si="3"/>
        <v>30.83525316</v>
      </c>
      <c r="O2532" s="163">
        <f t="shared" ref="O2532:Q2532" si="2536">rank(I2532,I:I)</f>
        <v>164</v>
      </c>
      <c r="P2532" s="163">
        <f t="shared" si="2536"/>
        <v>288</v>
      </c>
      <c r="Q2532" s="163">
        <f t="shared" si="2536"/>
        <v>1339</v>
      </c>
      <c r="R2532" s="163">
        <f>IFERROR(__xludf.DUMMYFUNCTION("RANK(M2532,filter(M:M,C:C=C2532))"),31.0)</f>
        <v>31</v>
      </c>
      <c r="S2532" s="161" t="b">
        <f t="shared" si="5"/>
        <v>0</v>
      </c>
      <c r="T2532" s="161" t="b">
        <f t="array" ref="T2532">index('Query Tool'!B:B,match(H2532,'Query Tool'!C:C,0))</f>
        <v>1</v>
      </c>
      <c r="U2532" s="161" t="b">
        <f t="array" ref="U2532">index('Query Tool'!B:B,match(C2532,'Query Tool'!C:C,0))</f>
        <v>0</v>
      </c>
      <c r="V2532" s="161" t="b">
        <f>F2532&gt;='Query Tool'!C$32</f>
        <v>1</v>
      </c>
      <c r="W2532" s="161" t="b">
        <f t="array" ref="W2532">index(Dropdowns!B:B,match(I2532,Dropdowns!A:A,0))</f>
        <v>1</v>
      </c>
      <c r="X2532" s="161" t="b">
        <f t="array" ref="X2532">index('Query Tool'!B:B,match(D2532,'Query Tool'!C:C,0))</f>
        <v>1</v>
      </c>
      <c r="Y2532" s="161" t="str">
        <f t="shared" si="6"/>
        <v>gasolma01,2018-19</v>
      </c>
      <c r="Z2532" s="168">
        <f t="array" ref="Z2532">iferror(index(I:I,match($A2532&amp;","&amp;index('Year Conversion'!$A:$A,match($C2532,'Year Conversion'!$B:$B,0)),$Y:$Y,0))-I2532,"")</f>
        <v>1</v>
      </c>
      <c r="AA2532" s="168">
        <f t="array" ref="AA2532">iferror(index(J:J,match($A2532&amp;","&amp;index('Year Conversion'!$A:$A,match($C2532,'Year Conversion'!$B:$B,0)),$Y:$Y,0))-J2532,"")</f>
        <v>-0.8028915393</v>
      </c>
      <c r="AB2532" s="168">
        <f t="array" ref="AB2532">iferror(index(K:K,match($A2532&amp;","&amp;index('Year Conversion'!$A:$A,match($C2532,'Year Conversion'!$B:$B,0)),$Y:$Y,0))-K2532,"")</f>
        <v>-1.812557883</v>
      </c>
      <c r="AC2532" s="168" t="str">
        <f t="shared" si="7"/>
        <v>TOT,2018-19</v>
      </c>
    </row>
    <row r="2533">
      <c r="A2533" s="161" t="str">
        <f>IFERROR(__xludf.DUMMYFUNCTION("""COMPUTED_VALUE"""),"tollian01")</f>
        <v>tollian01</v>
      </c>
      <c r="B2533" s="161" t="str">
        <f>IFERROR(__xludf.DUMMYFUNCTION("""COMPUTED_VALUE"""),"Anthony Tolliver")</f>
        <v>Anthony Tolliver</v>
      </c>
      <c r="C2533" s="162" t="str">
        <f>IFERROR(__xludf.DUMMYFUNCTION("""COMPUTED_VALUE"""),"2018-19")</f>
        <v>2018-19</v>
      </c>
      <c r="D2533" s="163" t="str">
        <f>IFERROR(__xludf.DUMMYFUNCTION("""COMPUTED_VALUE"""),"MIN")</f>
        <v>MIN</v>
      </c>
      <c r="E2533" s="164" t="str">
        <f>IFERROR(__xludf.DUMMYFUNCTION("""COMPUTED_VALUE"""),"Movement Shooter")</f>
        <v>Movement Shooter</v>
      </c>
      <c r="F2533" s="164">
        <f>IFERROR(__xludf.DUMMYFUNCTION("""COMPUTED_VALUE"""),1079.34166666667)</f>
        <v>1079.341667</v>
      </c>
      <c r="G2533" s="163">
        <f>IFERROR(__xludf.DUMMYFUNCTION("""COMPUTED_VALUE"""),65.0)</f>
        <v>65</v>
      </c>
      <c r="H2533" s="163" t="str">
        <f>IFERROR(__xludf.DUMMYFUNCTION("""COMPUTED_VALUE"""),"PF")</f>
        <v>PF</v>
      </c>
      <c r="I2533" s="163">
        <f>IFERROR(__xludf.DUMMYFUNCTION("""COMPUTED_VALUE"""),33.0)</f>
        <v>33</v>
      </c>
      <c r="J2533" s="165">
        <f>IFERROR(__xludf.DUMMYFUNCTION("""COMPUTED_VALUE"""),-1.24615621185206)</f>
        <v>-1.246156212</v>
      </c>
      <c r="K2533" s="165">
        <f>IFERROR(__xludf.DUMMYFUNCTION("""COMPUTED_VALUE"""),-0.953651700624766)</f>
        <v>-0.9536517006</v>
      </c>
      <c r="L2533" s="165">
        <f>IFERROR(__xludf.DUMMYFUNCTION("""COMPUTED_VALUE"""),-0.292504511227298)</f>
        <v>-0.2925045112</v>
      </c>
      <c r="M2533" s="166">
        <f t="shared" si="2"/>
        <v>0.7591318497</v>
      </c>
      <c r="N2533" s="167">
        <f t="shared" si="3"/>
        <v>16.60525641</v>
      </c>
      <c r="O2533" s="163">
        <f t="shared" ref="O2533:Q2533" si="2537">rank(I2533,I:I)</f>
        <v>246</v>
      </c>
      <c r="P2533" s="163">
        <f t="shared" si="2537"/>
        <v>2811</v>
      </c>
      <c r="Q2533" s="163">
        <f t="shared" si="2537"/>
        <v>2748</v>
      </c>
      <c r="R2533" s="163">
        <f>IFERROR(__xludf.DUMMYFUNCTION("RANK(M2533,filter(M:M,C:C=C2533))"),248.0)</f>
        <v>248</v>
      </c>
      <c r="S2533" s="161" t="b">
        <f t="shared" si="5"/>
        <v>0</v>
      </c>
      <c r="T2533" s="161" t="b">
        <f t="array" ref="T2533">index('Query Tool'!B:B,match(H2533,'Query Tool'!C:C,0))</f>
        <v>1</v>
      </c>
      <c r="U2533" s="161" t="b">
        <f t="array" ref="U2533">index('Query Tool'!B:B,match(C2533,'Query Tool'!C:C,0))</f>
        <v>0</v>
      </c>
      <c r="V2533" s="161" t="b">
        <f>F2533&gt;='Query Tool'!C$32</f>
        <v>1</v>
      </c>
      <c r="W2533" s="161" t="b">
        <f t="array" ref="W2533">index(Dropdowns!B:B,match(I2533,Dropdowns!A:A,0))</f>
        <v>1</v>
      </c>
      <c r="X2533" s="161" t="b">
        <f t="array" ref="X2533">index('Query Tool'!B:B,match(D2533,'Query Tool'!C:C,0))</f>
        <v>1</v>
      </c>
      <c r="Y2533" s="161" t="str">
        <f t="shared" si="6"/>
        <v>tollian01,2018-19</v>
      </c>
      <c r="Z2533" s="168">
        <f t="array" ref="Z2533">iferror(index(I:I,match($A2533&amp;","&amp;index('Year Conversion'!$A:$A,match($C2533,'Year Conversion'!$B:$B,0)),$Y:$Y,0))-I2533,"")</f>
        <v>1</v>
      </c>
      <c r="AA2533" s="168">
        <f t="array" ref="AA2533">iferror(index(J:J,match($A2533&amp;","&amp;index('Year Conversion'!$A:$A,match($C2533,'Year Conversion'!$B:$B,0)),$Y:$Y,0))-J2533,"")</f>
        <v>-0.1083714511</v>
      </c>
      <c r="AB2533" s="168">
        <f t="array" ref="AB2533">iferror(index(K:K,match($A2533&amp;","&amp;index('Year Conversion'!$A:$A,match($C2533,'Year Conversion'!$B:$B,0)),$Y:$Y,0))-K2533,"")</f>
        <v>-0.349880581</v>
      </c>
      <c r="AC2533" s="168" t="str">
        <f t="shared" si="7"/>
        <v>MIN,2018-19</v>
      </c>
    </row>
    <row r="2534">
      <c r="A2534" s="161" t="str">
        <f>IFERROR(__xludf.DUMMYFUNCTION("""COMPUTED_VALUE"""),"ingraan01")</f>
        <v>ingraan01</v>
      </c>
      <c r="B2534" s="161" t="str">
        <f>IFERROR(__xludf.DUMMYFUNCTION("""COMPUTED_VALUE"""),"Andre Ingram")</f>
        <v>Andre Ingram</v>
      </c>
      <c r="C2534" s="162" t="str">
        <f>IFERROR(__xludf.DUMMYFUNCTION("""COMPUTED_VALUE"""),"2018-19")</f>
        <v>2018-19</v>
      </c>
      <c r="D2534" s="163" t="str">
        <f>IFERROR(__xludf.DUMMYFUNCTION("""COMPUTED_VALUE"""),"LAL")</f>
        <v>LAL</v>
      </c>
      <c r="E2534" s="164" t="str">
        <f>IFERROR(__xludf.DUMMYFUNCTION("""COMPUTED_VALUE"""),"Movement Shooter")</f>
        <v>Movement Shooter</v>
      </c>
      <c r="F2534" s="164">
        <f>IFERROR(__xludf.DUMMYFUNCTION("""COMPUTED_VALUE"""),14.6266666666667)</f>
        <v>14.62666667</v>
      </c>
      <c r="G2534" s="163">
        <f>IFERROR(__xludf.DUMMYFUNCTION("""COMPUTED_VALUE"""),4.0)</f>
        <v>4</v>
      </c>
      <c r="H2534" s="163" t="str">
        <f>IFERROR(__xludf.DUMMYFUNCTION("""COMPUTED_VALUE"""),"SG")</f>
        <v>SG</v>
      </c>
      <c r="I2534" s="163">
        <f>IFERROR(__xludf.DUMMYFUNCTION("""COMPUTED_VALUE"""),33.0)</f>
        <v>33</v>
      </c>
      <c r="J2534" s="165">
        <f>IFERROR(__xludf.DUMMYFUNCTION("""COMPUTED_VALUE"""),-0.228161810761023)</f>
        <v>-0.2281618108</v>
      </c>
      <c r="K2534" s="165">
        <f>IFERROR(__xludf.DUMMYFUNCTION("""COMPUTED_VALUE"""),-0.131047142065515)</f>
        <v>-0.1310471421</v>
      </c>
      <c r="L2534" s="165">
        <f>IFERROR(__xludf.DUMMYFUNCTION("""COMPUTED_VALUE"""),-0.0971146686955085)</f>
        <v>-0.0971146687</v>
      </c>
      <c r="M2534" s="166">
        <f t="shared" si="2"/>
        <v>0.02029966937</v>
      </c>
      <c r="N2534" s="167">
        <f t="shared" si="3"/>
        <v>3.656666667</v>
      </c>
      <c r="O2534" s="163">
        <f t="shared" ref="O2534:Q2534" si="2538">rank(I2534,I:I)</f>
        <v>246</v>
      </c>
      <c r="P2534" s="163">
        <f t="shared" si="2538"/>
        <v>1534</v>
      </c>
      <c r="Q2534" s="163">
        <f t="shared" si="2538"/>
        <v>1441</v>
      </c>
      <c r="R2534" s="163">
        <f>IFERROR(__xludf.DUMMYFUNCTION("RANK(M2534,filter(M:M,C:C=C2534))"),452.0)</f>
        <v>452</v>
      </c>
      <c r="S2534" s="161" t="b">
        <f t="shared" si="5"/>
        <v>0</v>
      </c>
      <c r="T2534" s="161" t="b">
        <f t="array" ref="T2534">index('Query Tool'!B:B,match(H2534,'Query Tool'!C:C,0))</f>
        <v>1</v>
      </c>
      <c r="U2534" s="161" t="b">
        <f t="array" ref="U2534">index('Query Tool'!B:B,match(C2534,'Query Tool'!C:C,0))</f>
        <v>0</v>
      </c>
      <c r="V2534" s="161" t="b">
        <f>F2534&gt;='Query Tool'!C$32</f>
        <v>0</v>
      </c>
      <c r="W2534" s="161" t="b">
        <f t="array" ref="W2534">index(Dropdowns!B:B,match(I2534,Dropdowns!A:A,0))</f>
        <v>1</v>
      </c>
      <c r="X2534" s="161" t="b">
        <f t="array" ref="X2534">index('Query Tool'!B:B,match(D2534,'Query Tool'!C:C,0))</f>
        <v>1</v>
      </c>
      <c r="Y2534" s="161" t="str">
        <f t="shared" si="6"/>
        <v>ingraan01,2018-19</v>
      </c>
      <c r="Z2534" s="168" t="str">
        <f t="array" ref="Z2534">iferror(index(I:I,match($A2534&amp;","&amp;index('Year Conversion'!$A:$A,match($C2534,'Year Conversion'!$B:$B,0)),$Y:$Y,0))-I2534,"")</f>
        <v/>
      </c>
      <c r="AA2534" s="168" t="str">
        <f t="array" ref="AA2534">iferror(index(J:J,match($A2534&amp;","&amp;index('Year Conversion'!$A:$A,match($C2534,'Year Conversion'!$B:$B,0)),$Y:$Y,0))-J2534,"")</f>
        <v/>
      </c>
      <c r="AB2534" s="168" t="str">
        <f t="array" ref="AB2534">iferror(index(K:K,match($A2534&amp;","&amp;index('Year Conversion'!$A:$A,match($C2534,'Year Conversion'!$B:$B,0)),$Y:$Y,0))-K2534,"")</f>
        <v/>
      </c>
      <c r="AC2534" s="168" t="str">
        <f t="shared" si="7"/>
        <v>LAL,2018-19</v>
      </c>
    </row>
    <row r="2535">
      <c r="A2535" s="161" t="str">
        <f>IFERROR(__xludf.DUMMYFUNCTION("""COMPUTED_VALUE"""),"beaslmi01")</f>
        <v>beaslmi01</v>
      </c>
      <c r="B2535" s="161" t="str">
        <f>IFERROR(__xludf.DUMMYFUNCTION("""COMPUTED_VALUE"""),"Michael Beasley")</f>
        <v>Michael Beasley</v>
      </c>
      <c r="C2535" s="162" t="str">
        <f>IFERROR(__xludf.DUMMYFUNCTION("""COMPUTED_VALUE"""),"2018-19")</f>
        <v>2018-19</v>
      </c>
      <c r="D2535" s="163" t="str">
        <f>IFERROR(__xludf.DUMMYFUNCTION("""COMPUTED_VALUE"""),"LAL")</f>
        <v>LAL</v>
      </c>
      <c r="E2535" s="164" t="str">
        <f>IFERROR(__xludf.DUMMYFUNCTION("""COMPUTED_VALUE"""),"Slasher")</f>
        <v>Slasher</v>
      </c>
      <c r="F2535" s="164">
        <f>IFERROR(__xludf.DUMMYFUNCTION("""COMPUTED_VALUE"""),277.483333333334)</f>
        <v>277.4833333</v>
      </c>
      <c r="G2535" s="163">
        <f>IFERROR(__xludf.DUMMYFUNCTION("""COMPUTED_VALUE"""),26.0)</f>
        <v>26</v>
      </c>
      <c r="H2535" s="163" t="str">
        <f>IFERROR(__xludf.DUMMYFUNCTION("""COMPUTED_VALUE"""),"PF")</f>
        <v>PF</v>
      </c>
      <c r="I2535" s="163">
        <f>IFERROR(__xludf.DUMMYFUNCTION("""COMPUTED_VALUE"""),30.0)</f>
        <v>30</v>
      </c>
      <c r="J2535" s="165">
        <f>IFERROR(__xludf.DUMMYFUNCTION("""COMPUTED_VALUE"""),-0.793674764008048)</f>
        <v>-0.793674764</v>
      </c>
      <c r="K2535" s="165">
        <f>IFERROR(__xludf.DUMMYFUNCTION("""COMPUTED_VALUE"""),-0.269329378087006)</f>
        <v>-0.2693293781</v>
      </c>
      <c r="L2535" s="165">
        <f>IFERROR(__xludf.DUMMYFUNCTION("""COMPUTED_VALUE"""),-0.524345385921042)</f>
        <v>-0.5243453859</v>
      </c>
      <c r="M2535" s="166">
        <f t="shared" si="2"/>
        <v>0.2794387511</v>
      </c>
      <c r="N2535" s="167">
        <f t="shared" si="3"/>
        <v>10.6724359</v>
      </c>
      <c r="O2535" s="163">
        <f t="shared" ref="O2535:Q2535" si="2539">rank(I2535,I:I)</f>
        <v>655</v>
      </c>
      <c r="P2535" s="163">
        <f t="shared" si="2539"/>
        <v>2264</v>
      </c>
      <c r="Q2535" s="163">
        <f t="shared" si="2539"/>
        <v>1701</v>
      </c>
      <c r="R2535" s="163">
        <f>IFERROR(__xludf.DUMMYFUNCTION("RANK(M2535,filter(M:M,C:C=C2535))"),327.0)</f>
        <v>327</v>
      </c>
      <c r="S2535" s="161" t="b">
        <f t="shared" si="5"/>
        <v>0</v>
      </c>
      <c r="T2535" s="161" t="b">
        <f t="array" ref="T2535">index('Query Tool'!B:B,match(H2535,'Query Tool'!C:C,0))</f>
        <v>1</v>
      </c>
      <c r="U2535" s="161" t="b">
        <f t="array" ref="U2535">index('Query Tool'!B:B,match(C2535,'Query Tool'!C:C,0))</f>
        <v>0</v>
      </c>
      <c r="V2535" s="161" t="b">
        <f>F2535&gt;='Query Tool'!C$32</f>
        <v>0</v>
      </c>
      <c r="W2535" s="161" t="b">
        <f t="array" ref="W2535">index(Dropdowns!B:B,match(I2535,Dropdowns!A:A,0))</f>
        <v>1</v>
      </c>
      <c r="X2535" s="161" t="b">
        <f t="array" ref="X2535">index('Query Tool'!B:B,match(D2535,'Query Tool'!C:C,0))</f>
        <v>1</v>
      </c>
      <c r="Y2535" s="161" t="str">
        <f t="shared" si="6"/>
        <v>beaslmi01,2018-19</v>
      </c>
      <c r="Z2535" s="168" t="str">
        <f t="array" ref="Z2535">iferror(index(I:I,match($A2535&amp;","&amp;index('Year Conversion'!$A:$A,match($C2535,'Year Conversion'!$B:$B,0)),$Y:$Y,0))-I2535,"")</f>
        <v/>
      </c>
      <c r="AA2535" s="168" t="str">
        <f t="array" ref="AA2535">iferror(index(J:J,match($A2535&amp;","&amp;index('Year Conversion'!$A:$A,match($C2535,'Year Conversion'!$B:$B,0)),$Y:$Y,0))-J2535,"")</f>
        <v/>
      </c>
      <c r="AB2535" s="168" t="str">
        <f t="array" ref="AB2535">iferror(index(K:K,match($A2535&amp;","&amp;index('Year Conversion'!$A:$A,match($C2535,'Year Conversion'!$B:$B,0)),$Y:$Y,0))-K2535,"")</f>
        <v/>
      </c>
      <c r="AC2535" s="168" t="str">
        <f t="shared" si="7"/>
        <v>LAL,2018-19</v>
      </c>
    </row>
    <row r="2536">
      <c r="A2536" s="161" t="str">
        <f>IFERROR(__xludf.DUMMYFUNCTION("""COMPUTED_VALUE"""),"rosede01")</f>
        <v>rosede01</v>
      </c>
      <c r="B2536" s="161" t="str">
        <f>IFERROR(__xludf.DUMMYFUNCTION("""COMPUTED_VALUE"""),"Derrick Rose")</f>
        <v>Derrick Rose</v>
      </c>
      <c r="C2536" s="162" t="str">
        <f>IFERROR(__xludf.DUMMYFUNCTION("""COMPUTED_VALUE"""),"2018-19")</f>
        <v>2018-19</v>
      </c>
      <c r="D2536" s="163" t="str">
        <f>IFERROR(__xludf.DUMMYFUNCTION("""COMPUTED_VALUE"""),"MIN")</f>
        <v>MIN</v>
      </c>
      <c r="E2536" s="164" t="str">
        <f>IFERROR(__xludf.DUMMYFUNCTION("""COMPUTED_VALUE"""),"Slasher")</f>
        <v>Slasher</v>
      </c>
      <c r="F2536" s="164">
        <f>IFERROR(__xludf.DUMMYFUNCTION("""COMPUTED_VALUE"""),1392.16166666667)</f>
        <v>1392.161667</v>
      </c>
      <c r="G2536" s="163">
        <f>IFERROR(__xludf.DUMMYFUNCTION("""COMPUTED_VALUE"""),51.0)</f>
        <v>51</v>
      </c>
      <c r="H2536" s="163" t="str">
        <f>IFERROR(__xludf.DUMMYFUNCTION("""COMPUTED_VALUE"""),"PG")</f>
        <v>PG</v>
      </c>
      <c r="I2536" s="163">
        <f>IFERROR(__xludf.DUMMYFUNCTION("""COMPUTED_VALUE"""),30.0)</f>
        <v>30</v>
      </c>
      <c r="J2536" s="165">
        <f>IFERROR(__xludf.DUMMYFUNCTION("""COMPUTED_VALUE"""),0.757300647993725)</f>
        <v>0.757300648</v>
      </c>
      <c r="K2536" s="165">
        <f>IFERROR(__xludf.DUMMYFUNCTION("""COMPUTED_VALUE"""),1.98280104284252)</f>
        <v>1.982801043</v>
      </c>
      <c r="L2536" s="165">
        <f>IFERROR(__xludf.DUMMYFUNCTION("""COMPUTED_VALUE"""),-1.2255003948488)</f>
        <v>-1.225500395</v>
      </c>
      <c r="M2536" s="166">
        <f t="shared" si="2"/>
        <v>2.856471654</v>
      </c>
      <c r="N2536" s="167">
        <f t="shared" si="3"/>
        <v>27.29728758</v>
      </c>
      <c r="O2536" s="163">
        <f t="shared" ref="O2536:Q2536" si="2540">rank(I2536,I:I)</f>
        <v>655</v>
      </c>
      <c r="P2536" s="163">
        <f t="shared" si="2540"/>
        <v>765</v>
      </c>
      <c r="Q2536" s="163">
        <f t="shared" si="2540"/>
        <v>229</v>
      </c>
      <c r="R2536" s="163">
        <f>IFERROR(__xludf.DUMMYFUNCTION("RANK(M2536,filter(M:M,C:C=C2536))"),118.0)</f>
        <v>118</v>
      </c>
      <c r="S2536" s="161" t="b">
        <f t="shared" si="5"/>
        <v>0</v>
      </c>
      <c r="T2536" s="161" t="b">
        <f t="array" ref="T2536">index('Query Tool'!B:B,match(H2536,'Query Tool'!C:C,0))</f>
        <v>1</v>
      </c>
      <c r="U2536" s="161" t="b">
        <f t="array" ref="U2536">index('Query Tool'!B:B,match(C2536,'Query Tool'!C:C,0))</f>
        <v>0</v>
      </c>
      <c r="V2536" s="161" t="b">
        <f>F2536&gt;='Query Tool'!C$32</f>
        <v>1</v>
      </c>
      <c r="W2536" s="161" t="b">
        <f t="array" ref="W2536">index(Dropdowns!B:B,match(I2536,Dropdowns!A:A,0))</f>
        <v>1</v>
      </c>
      <c r="X2536" s="161" t="b">
        <f t="array" ref="X2536">index('Query Tool'!B:B,match(D2536,'Query Tool'!C:C,0))</f>
        <v>1</v>
      </c>
      <c r="Y2536" s="161" t="str">
        <f t="shared" si="6"/>
        <v>rosede01,2018-19</v>
      </c>
      <c r="Z2536" s="168">
        <f t="array" ref="Z2536">iferror(index(I:I,match($A2536&amp;","&amp;index('Year Conversion'!$A:$A,match($C2536,'Year Conversion'!$B:$B,0)),$Y:$Y,0))-I2536,"")</f>
        <v>1</v>
      </c>
      <c r="AA2536" s="168">
        <f t="array" ref="AA2536">iferror(index(J:J,match($A2536&amp;","&amp;index('Year Conversion'!$A:$A,match($C2536,'Year Conversion'!$B:$B,0)),$Y:$Y,0))-J2536,"")</f>
        <v>-0.9476131955</v>
      </c>
      <c r="AB2536" s="168">
        <f t="array" ref="AB2536">iferror(index(K:K,match($A2536&amp;","&amp;index('Year Conversion'!$A:$A,match($C2536,'Year Conversion'!$B:$B,0)),$Y:$Y,0))-K2536,"")</f>
        <v>-0.2954564022</v>
      </c>
      <c r="AC2536" s="168" t="str">
        <f t="shared" si="7"/>
        <v>MIN,2018-19</v>
      </c>
    </row>
    <row r="2537">
      <c r="A2537" s="161" t="str">
        <f>IFERROR(__xludf.DUMMYFUNCTION("""COMPUTED_VALUE"""),"westbru01")</f>
        <v>westbru01</v>
      </c>
      <c r="B2537" s="161" t="str">
        <f>IFERROR(__xludf.DUMMYFUNCTION("""COMPUTED_VALUE"""),"Russell Westbrook")</f>
        <v>Russell Westbrook</v>
      </c>
      <c r="C2537" s="162" t="str">
        <f>IFERROR(__xludf.DUMMYFUNCTION("""COMPUTED_VALUE"""),"2018-19")</f>
        <v>2018-19</v>
      </c>
      <c r="D2537" s="163" t="str">
        <f>IFERROR(__xludf.DUMMYFUNCTION("""COMPUTED_VALUE"""),"OKC")</f>
        <v>OKC</v>
      </c>
      <c r="E2537" s="164" t="str">
        <f>IFERROR(__xludf.DUMMYFUNCTION("""COMPUTED_VALUE"""),"Shot Creator")</f>
        <v>Shot Creator</v>
      </c>
      <c r="F2537" s="164">
        <f>IFERROR(__xludf.DUMMYFUNCTION("""COMPUTED_VALUE"""),2629.43333333333)</f>
        <v>2629.433333</v>
      </c>
      <c r="G2537" s="163">
        <f>IFERROR(__xludf.DUMMYFUNCTION("""COMPUTED_VALUE"""),73.0)</f>
        <v>73</v>
      </c>
      <c r="H2537" s="163" t="str">
        <f>IFERROR(__xludf.DUMMYFUNCTION("""COMPUTED_VALUE"""),"PG")</f>
        <v>PG</v>
      </c>
      <c r="I2537" s="163">
        <f>IFERROR(__xludf.DUMMYFUNCTION("""COMPUTED_VALUE"""),30.0)</f>
        <v>30</v>
      </c>
      <c r="J2537" s="165">
        <f>IFERROR(__xludf.DUMMYFUNCTION("""COMPUTED_VALUE"""),4.34547365864872)</f>
        <v>4.345473659</v>
      </c>
      <c r="K2537" s="165">
        <f>IFERROR(__xludf.DUMMYFUNCTION("""COMPUTED_VALUE"""),2.96862547310614)</f>
        <v>2.968625473</v>
      </c>
      <c r="L2537" s="165">
        <f>IFERROR(__xludf.DUMMYFUNCTION("""COMPUTED_VALUE"""),1.37684818554258)</f>
        <v>1.376848186</v>
      </c>
      <c r="M2537" s="166">
        <f t="shared" si="2"/>
        <v>11.56116641</v>
      </c>
      <c r="N2537" s="167">
        <f t="shared" si="3"/>
        <v>36.0196347</v>
      </c>
      <c r="O2537" s="163">
        <f t="shared" ref="O2537:Q2537" si="2541">rank(I2537,I:I)</f>
        <v>655</v>
      </c>
      <c r="P2537" s="163">
        <f t="shared" si="2541"/>
        <v>77</v>
      </c>
      <c r="Q2537" s="163">
        <f t="shared" si="2541"/>
        <v>125</v>
      </c>
      <c r="R2537" s="163">
        <f>IFERROR(__xludf.DUMMYFUNCTION("RANK(M2537,filter(M:M,C:C=C2537))"),7.0)</f>
        <v>7</v>
      </c>
      <c r="S2537" s="161" t="b">
        <f t="shared" si="5"/>
        <v>0</v>
      </c>
      <c r="T2537" s="161" t="b">
        <f t="array" ref="T2537">index('Query Tool'!B:B,match(H2537,'Query Tool'!C:C,0))</f>
        <v>1</v>
      </c>
      <c r="U2537" s="161" t="b">
        <f t="array" ref="U2537">index('Query Tool'!B:B,match(C2537,'Query Tool'!C:C,0))</f>
        <v>0</v>
      </c>
      <c r="V2537" s="161" t="b">
        <f>F2537&gt;='Query Tool'!C$32</f>
        <v>1</v>
      </c>
      <c r="W2537" s="161" t="b">
        <f t="array" ref="W2537">index(Dropdowns!B:B,match(I2537,Dropdowns!A:A,0))</f>
        <v>1</v>
      </c>
      <c r="X2537" s="161" t="b">
        <f t="array" ref="X2537">index('Query Tool'!B:B,match(D2537,'Query Tool'!C:C,0))</f>
        <v>1</v>
      </c>
      <c r="Y2537" s="161" t="str">
        <f t="shared" si="6"/>
        <v>westbru01,2018-19</v>
      </c>
      <c r="Z2537" s="168">
        <f t="array" ref="Z2537">iferror(index(I:I,match($A2537&amp;","&amp;index('Year Conversion'!$A:$A,match($C2537,'Year Conversion'!$B:$B,0)),$Y:$Y,0))-I2537,"")</f>
        <v>1</v>
      </c>
      <c r="AA2537" s="168">
        <f t="array" ref="AA2537">iferror(index(J:J,match($A2537&amp;","&amp;index('Year Conversion'!$A:$A,match($C2537,'Year Conversion'!$B:$B,0)),$Y:$Y,0))-J2537,"")</f>
        <v>-3.304939831</v>
      </c>
      <c r="AB2537" s="168">
        <f t="array" ref="AB2537">iferror(index(K:K,match($A2537&amp;","&amp;index('Year Conversion'!$A:$A,match($C2537,'Year Conversion'!$B:$B,0)),$Y:$Y,0))-K2537,"")</f>
        <v>-1.659904016</v>
      </c>
      <c r="AC2537" s="168" t="str">
        <f t="shared" si="7"/>
        <v>OKC,2018-19</v>
      </c>
    </row>
    <row r="2538">
      <c r="A2538" s="161" t="str">
        <f>IFERROR(__xludf.DUMMYFUNCTION("""COMPUTED_VALUE"""),"loveke01")</f>
        <v>loveke01</v>
      </c>
      <c r="B2538" s="161" t="str">
        <f>IFERROR(__xludf.DUMMYFUNCTION("""COMPUTED_VALUE"""),"Kevin Love")</f>
        <v>Kevin Love</v>
      </c>
      <c r="C2538" s="162" t="str">
        <f>IFERROR(__xludf.DUMMYFUNCTION("""COMPUTED_VALUE"""),"2018-19")</f>
        <v>2018-19</v>
      </c>
      <c r="D2538" s="163" t="str">
        <f>IFERROR(__xludf.DUMMYFUNCTION("""COMPUTED_VALUE"""),"CLE")</f>
        <v>CLE</v>
      </c>
      <c r="E2538" s="164" t="str">
        <f>IFERROR(__xludf.DUMMYFUNCTION("""COMPUTED_VALUE"""),"Versatile Big")</f>
        <v>Versatile Big</v>
      </c>
      <c r="F2538" s="164">
        <f>IFERROR(__xludf.DUMMYFUNCTION("""COMPUTED_VALUE"""),597.911666666667)</f>
        <v>597.9116667</v>
      </c>
      <c r="G2538" s="163">
        <f>IFERROR(__xludf.DUMMYFUNCTION("""COMPUTED_VALUE"""),22.0)</f>
        <v>22</v>
      </c>
      <c r="H2538" s="163" t="str">
        <f>IFERROR(__xludf.DUMMYFUNCTION("""COMPUTED_VALUE"""),"PF")</f>
        <v>PF</v>
      </c>
      <c r="I2538" s="163">
        <f>IFERROR(__xludf.DUMMYFUNCTION("""COMPUTED_VALUE"""),30.0)</f>
        <v>30</v>
      </c>
      <c r="J2538" s="165">
        <f>IFERROR(__xludf.DUMMYFUNCTION("""COMPUTED_VALUE"""),3.4108066667307)</f>
        <v>3.410806667</v>
      </c>
      <c r="K2538" s="165">
        <f>IFERROR(__xludf.DUMMYFUNCTION("""COMPUTED_VALUE"""),2.41943890317677)</f>
        <v>2.419438903</v>
      </c>
      <c r="L2538" s="165">
        <f>IFERROR(__xludf.DUMMYFUNCTION("""COMPUTED_VALUE"""),0.991367763553931)</f>
        <v>0.9913677636</v>
      </c>
      <c r="M2538" s="166">
        <f t="shared" si="2"/>
        <v>2.274898322</v>
      </c>
      <c r="N2538" s="167">
        <f t="shared" si="3"/>
        <v>27.17780303</v>
      </c>
      <c r="O2538" s="163">
        <f t="shared" ref="O2538:Q2538" si="2542">rank(I2538,I:I)</f>
        <v>655</v>
      </c>
      <c r="P2538" s="163">
        <f t="shared" si="2542"/>
        <v>138</v>
      </c>
      <c r="Q2538" s="163">
        <f t="shared" si="2542"/>
        <v>167</v>
      </c>
      <c r="R2538" s="163">
        <f>IFERROR(__xludf.DUMMYFUNCTION("RANK(M2538,filter(M:M,C:C=C2538))"),137.0)</f>
        <v>137</v>
      </c>
      <c r="S2538" s="161" t="b">
        <f t="shared" si="5"/>
        <v>0</v>
      </c>
      <c r="T2538" s="161" t="b">
        <f t="array" ref="T2538">index('Query Tool'!B:B,match(H2538,'Query Tool'!C:C,0))</f>
        <v>1</v>
      </c>
      <c r="U2538" s="161" t="b">
        <f t="array" ref="U2538">index('Query Tool'!B:B,match(C2538,'Query Tool'!C:C,0))</f>
        <v>0</v>
      </c>
      <c r="V2538" s="161" t="b">
        <f>F2538&gt;='Query Tool'!C$32</f>
        <v>1</v>
      </c>
      <c r="W2538" s="161" t="b">
        <f t="array" ref="W2538">index(Dropdowns!B:B,match(I2538,Dropdowns!A:A,0))</f>
        <v>1</v>
      </c>
      <c r="X2538" s="161" t="b">
        <f t="array" ref="X2538">index('Query Tool'!B:B,match(D2538,'Query Tool'!C:C,0))</f>
        <v>1</v>
      </c>
      <c r="Y2538" s="161" t="str">
        <f t="shared" si="6"/>
        <v>loveke01,2018-19</v>
      </c>
      <c r="Z2538" s="168">
        <f t="array" ref="Z2538">iferror(index(I:I,match($A2538&amp;","&amp;index('Year Conversion'!$A:$A,match($C2538,'Year Conversion'!$B:$B,0)),$Y:$Y,0))-I2538,"")</f>
        <v>1</v>
      </c>
      <c r="AA2538" s="168">
        <f t="array" ref="AA2538">iferror(index(J:J,match($A2538&amp;","&amp;index('Year Conversion'!$A:$A,match($C2538,'Year Conversion'!$B:$B,0)),$Y:$Y,0))-J2538,"")</f>
        <v>-2.738856708</v>
      </c>
      <c r="AB2538" s="168">
        <f t="array" ref="AB2538">iferror(index(K:K,match($A2538&amp;","&amp;index('Year Conversion'!$A:$A,match($C2538,'Year Conversion'!$B:$B,0)),$Y:$Y,0))-K2538,"")</f>
        <v>-1.405254149</v>
      </c>
      <c r="AC2538" s="168" t="str">
        <f t="shared" si="7"/>
        <v>CLE,2018-19</v>
      </c>
    </row>
    <row r="2539">
      <c r="A2539" s="161" t="str">
        <f>IFERROR(__xludf.DUMMYFUNCTION("""COMPUTED_VALUE"""),"gallida01")</f>
        <v>gallida01</v>
      </c>
      <c r="B2539" s="161" t="str">
        <f>IFERROR(__xludf.DUMMYFUNCTION("""COMPUTED_VALUE"""),"Danilo Gallinari")</f>
        <v>Danilo Gallinari</v>
      </c>
      <c r="C2539" s="162" t="str">
        <f>IFERROR(__xludf.DUMMYFUNCTION("""COMPUTED_VALUE"""),"2018-19")</f>
        <v>2018-19</v>
      </c>
      <c r="D2539" s="163" t="str">
        <f>IFERROR(__xludf.DUMMYFUNCTION("""COMPUTED_VALUE"""),"LAC")</f>
        <v>LAC</v>
      </c>
      <c r="E2539" s="164" t="str">
        <f>IFERROR(__xludf.DUMMYFUNCTION("""COMPUTED_VALUE"""),"Shot Creator")</f>
        <v>Shot Creator</v>
      </c>
      <c r="F2539" s="164">
        <f>IFERROR(__xludf.DUMMYFUNCTION("""COMPUTED_VALUE"""),2059.21166666667)</f>
        <v>2059.211667</v>
      </c>
      <c r="G2539" s="163">
        <f>IFERROR(__xludf.DUMMYFUNCTION("""COMPUTED_VALUE"""),68.0)</f>
        <v>68</v>
      </c>
      <c r="H2539" s="163" t="str">
        <f>IFERROR(__xludf.DUMMYFUNCTION("""COMPUTED_VALUE"""),"SF")</f>
        <v>SF</v>
      </c>
      <c r="I2539" s="163">
        <f>IFERROR(__xludf.DUMMYFUNCTION("""COMPUTED_VALUE"""),30.0)</f>
        <v>30</v>
      </c>
      <c r="J2539" s="165">
        <f>IFERROR(__xludf.DUMMYFUNCTION("""COMPUTED_VALUE"""),2.68333802489241)</f>
        <v>2.683338025</v>
      </c>
      <c r="K2539" s="165">
        <f>IFERROR(__xludf.DUMMYFUNCTION("""COMPUTED_VALUE"""),2.35997642390149)</f>
        <v>2.359976424</v>
      </c>
      <c r="L2539" s="165">
        <f>IFERROR(__xludf.DUMMYFUNCTION("""COMPUTED_VALUE"""),0.323361600990923)</f>
        <v>0.323361601</v>
      </c>
      <c r="M2539" s="166">
        <f t="shared" si="2"/>
        <v>6.863073602</v>
      </c>
      <c r="N2539" s="167">
        <f t="shared" si="3"/>
        <v>30.28252451</v>
      </c>
      <c r="O2539" s="163">
        <f t="shared" ref="O2539:Q2539" si="2543">rank(I2539,I:I)</f>
        <v>655</v>
      </c>
      <c r="P2539" s="163">
        <f t="shared" si="2543"/>
        <v>202</v>
      </c>
      <c r="Q2539" s="163">
        <f t="shared" si="2543"/>
        <v>171</v>
      </c>
      <c r="R2539" s="163">
        <f>IFERROR(__xludf.DUMMYFUNCTION("RANK(M2539,filter(M:M,C:C=C2539))"),33.0)</f>
        <v>33</v>
      </c>
      <c r="S2539" s="161" t="b">
        <f t="shared" si="5"/>
        <v>0</v>
      </c>
      <c r="T2539" s="161" t="b">
        <f t="array" ref="T2539">index('Query Tool'!B:B,match(H2539,'Query Tool'!C:C,0))</f>
        <v>1</v>
      </c>
      <c r="U2539" s="161" t="b">
        <f t="array" ref="U2539">index('Query Tool'!B:B,match(C2539,'Query Tool'!C:C,0))</f>
        <v>0</v>
      </c>
      <c r="V2539" s="161" t="b">
        <f>F2539&gt;='Query Tool'!C$32</f>
        <v>1</v>
      </c>
      <c r="W2539" s="161" t="b">
        <f t="array" ref="W2539">index(Dropdowns!B:B,match(I2539,Dropdowns!A:A,0))</f>
        <v>1</v>
      </c>
      <c r="X2539" s="161" t="b">
        <f t="array" ref="X2539">index('Query Tool'!B:B,match(D2539,'Query Tool'!C:C,0))</f>
        <v>1</v>
      </c>
      <c r="Y2539" s="161" t="str">
        <f t="shared" si="6"/>
        <v>gallida01,2018-19</v>
      </c>
      <c r="Z2539" s="168">
        <f t="array" ref="Z2539">iferror(index(I:I,match($A2539&amp;","&amp;index('Year Conversion'!$A:$A,match($C2539,'Year Conversion'!$B:$B,0)),$Y:$Y,0))-I2539,"")</f>
        <v>1</v>
      </c>
      <c r="AA2539" s="168">
        <f t="array" ref="AA2539">iferror(index(J:J,match($A2539&amp;","&amp;index('Year Conversion'!$A:$A,match($C2539,'Year Conversion'!$B:$B,0)),$Y:$Y,0))-J2539,"")</f>
        <v>-1.375469269</v>
      </c>
      <c r="AB2539" s="168">
        <f t="array" ref="AB2539">iferror(index(K:K,match($A2539&amp;","&amp;index('Year Conversion'!$A:$A,match($C2539,'Year Conversion'!$B:$B,0)),$Y:$Y,0))-K2539,"")</f>
        <v>0.3580601198</v>
      </c>
      <c r="AC2539" s="168" t="str">
        <f t="shared" si="7"/>
        <v>LAC,2018-19</v>
      </c>
    </row>
    <row r="2540">
      <c r="A2540" s="161" t="str">
        <f>IFERROR(__xludf.DUMMYFUNCTION("""COMPUTED_VALUE"""),"gordoer01")</f>
        <v>gordoer01</v>
      </c>
      <c r="B2540" s="161" t="str">
        <f>IFERROR(__xludf.DUMMYFUNCTION("""COMPUTED_VALUE"""),"Eric Gordon")</f>
        <v>Eric Gordon</v>
      </c>
      <c r="C2540" s="162" t="str">
        <f>IFERROR(__xludf.DUMMYFUNCTION("""COMPUTED_VALUE"""),"2018-19")</f>
        <v>2018-19</v>
      </c>
      <c r="D2540" s="163" t="str">
        <f>IFERROR(__xludf.DUMMYFUNCTION("""COMPUTED_VALUE"""),"HOU")</f>
        <v>HOU</v>
      </c>
      <c r="E2540" s="164" t="str">
        <f>IFERROR(__xludf.DUMMYFUNCTION("""COMPUTED_VALUE"""),"Stationary Shooter")</f>
        <v>Stationary Shooter</v>
      </c>
      <c r="F2540" s="164">
        <f>IFERROR(__xludf.DUMMYFUNCTION("""COMPUTED_VALUE"""),2158.01)</f>
        <v>2158.01</v>
      </c>
      <c r="G2540" s="163">
        <f>IFERROR(__xludf.DUMMYFUNCTION("""COMPUTED_VALUE"""),68.0)</f>
        <v>68</v>
      </c>
      <c r="H2540" s="163" t="str">
        <f>IFERROR(__xludf.DUMMYFUNCTION("""COMPUTED_VALUE"""),"SG")</f>
        <v>SG</v>
      </c>
      <c r="I2540" s="163">
        <f>IFERROR(__xludf.DUMMYFUNCTION("""COMPUTED_VALUE"""),30.0)</f>
        <v>30</v>
      </c>
      <c r="J2540" s="165">
        <f>IFERROR(__xludf.DUMMYFUNCTION("""COMPUTED_VALUE"""),0.910704823686877)</f>
        <v>0.9107048237</v>
      </c>
      <c r="K2540" s="165">
        <f>IFERROR(__xludf.DUMMYFUNCTION("""COMPUTED_VALUE"""),1.82353558262635)</f>
        <v>1.823535583</v>
      </c>
      <c r="L2540" s="165">
        <f>IFERROR(__xludf.DUMMYFUNCTION("""COMPUTED_VALUE"""),-0.912830758939473)</f>
        <v>-0.9128307589</v>
      </c>
      <c r="M2540" s="166">
        <f t="shared" si="2"/>
        <v>4.650399646</v>
      </c>
      <c r="N2540" s="167">
        <f t="shared" si="3"/>
        <v>31.73544118</v>
      </c>
      <c r="O2540" s="163">
        <f t="shared" ref="O2540:Q2540" si="2544">rank(I2540,I:I)</f>
        <v>655</v>
      </c>
      <c r="P2540" s="163">
        <f t="shared" si="2544"/>
        <v>690</v>
      </c>
      <c r="Q2540" s="163">
        <f t="shared" si="2544"/>
        <v>255</v>
      </c>
      <c r="R2540" s="163">
        <f>IFERROR(__xludf.DUMMYFUNCTION("RANK(M2540,filter(M:M,C:C=C2540))"),64.0)</f>
        <v>64</v>
      </c>
      <c r="S2540" s="161" t="b">
        <f t="shared" si="5"/>
        <v>0</v>
      </c>
      <c r="T2540" s="161" t="b">
        <f t="array" ref="T2540">index('Query Tool'!B:B,match(H2540,'Query Tool'!C:C,0))</f>
        <v>1</v>
      </c>
      <c r="U2540" s="161" t="b">
        <f t="array" ref="U2540">index('Query Tool'!B:B,match(C2540,'Query Tool'!C:C,0))</f>
        <v>0</v>
      </c>
      <c r="V2540" s="161" t="b">
        <f>F2540&gt;='Query Tool'!C$32</f>
        <v>1</v>
      </c>
      <c r="W2540" s="161" t="b">
        <f t="array" ref="W2540">index(Dropdowns!B:B,match(I2540,Dropdowns!A:A,0))</f>
        <v>1</v>
      </c>
      <c r="X2540" s="161" t="b">
        <f t="array" ref="X2540">index('Query Tool'!B:B,match(D2540,'Query Tool'!C:C,0))</f>
        <v>1</v>
      </c>
      <c r="Y2540" s="161" t="str">
        <f t="shared" si="6"/>
        <v>gordoer01,2018-19</v>
      </c>
      <c r="Z2540" s="168">
        <f t="array" ref="Z2540">iferror(index(I:I,match($A2540&amp;","&amp;index('Year Conversion'!$A:$A,match($C2540,'Year Conversion'!$B:$B,0)),$Y:$Y,0))-I2540,"")</f>
        <v>1</v>
      </c>
      <c r="AA2540" s="168">
        <f t="array" ref="AA2540">iferror(index(J:J,match($A2540&amp;","&amp;index('Year Conversion'!$A:$A,match($C2540,'Year Conversion'!$B:$B,0)),$Y:$Y,0))-J2540,"")</f>
        <v>-1.933318819</v>
      </c>
      <c r="AB2540" s="168">
        <f t="array" ref="AB2540">iferror(index(K:K,match($A2540&amp;","&amp;index('Year Conversion'!$A:$A,match($C2540,'Year Conversion'!$B:$B,0)),$Y:$Y,0))-K2540,"")</f>
        <v>-0.6256721495</v>
      </c>
      <c r="AC2540" s="168" t="str">
        <f t="shared" si="7"/>
        <v>HOU,2018-19</v>
      </c>
    </row>
    <row r="2541">
      <c r="A2541" s="161" t="str">
        <f>IFERROR(__xludf.DUMMYFUNCTION("""COMPUTED_VALUE"""),"augusdj01")</f>
        <v>augusdj01</v>
      </c>
      <c r="B2541" s="161" t="str">
        <f>IFERROR(__xludf.DUMMYFUNCTION("""COMPUTED_VALUE"""),"D.J. Augustin")</f>
        <v>D.J. Augustin</v>
      </c>
      <c r="C2541" s="162" t="str">
        <f>IFERROR(__xludf.DUMMYFUNCTION("""COMPUTED_VALUE"""),"2018-19")</f>
        <v>2018-19</v>
      </c>
      <c r="D2541" s="163" t="str">
        <f>IFERROR(__xludf.DUMMYFUNCTION("""COMPUTED_VALUE"""),"ORL")</f>
        <v>ORL</v>
      </c>
      <c r="E2541" s="164" t="str">
        <f>IFERROR(__xludf.DUMMYFUNCTION("""COMPUTED_VALUE"""),"Primary Ball Handler")</f>
        <v>Primary Ball Handler</v>
      </c>
      <c r="F2541" s="164">
        <f>IFERROR(__xludf.DUMMYFUNCTION("""COMPUTED_VALUE"""),2268.96166666667)</f>
        <v>2268.961667</v>
      </c>
      <c r="G2541" s="163">
        <f>IFERROR(__xludf.DUMMYFUNCTION("""COMPUTED_VALUE"""),81.0)</f>
        <v>81</v>
      </c>
      <c r="H2541" s="163" t="str">
        <f>IFERROR(__xludf.DUMMYFUNCTION("""COMPUTED_VALUE"""),"PG")</f>
        <v>PG</v>
      </c>
      <c r="I2541" s="163">
        <f>IFERROR(__xludf.DUMMYFUNCTION("""COMPUTED_VALUE"""),31.0)</f>
        <v>31</v>
      </c>
      <c r="J2541" s="165">
        <f>IFERROR(__xludf.DUMMYFUNCTION("""COMPUTED_VALUE"""),0.619848338741259)</f>
        <v>0.6198483387</v>
      </c>
      <c r="K2541" s="165">
        <f>IFERROR(__xludf.DUMMYFUNCTION("""COMPUTED_VALUE"""),1.17712856155298)</f>
        <v>1.177128562</v>
      </c>
      <c r="L2541" s="165">
        <f>IFERROR(__xludf.DUMMYFUNCTION("""COMPUTED_VALUE"""),-0.557280222811718)</f>
        <v>-0.5572802228</v>
      </c>
      <c r="M2541" s="166">
        <f t="shared" si="2"/>
        <v>4.445665534</v>
      </c>
      <c r="N2541" s="167">
        <f t="shared" si="3"/>
        <v>28.01187243</v>
      </c>
      <c r="O2541" s="163">
        <f t="shared" ref="O2541:Q2541" si="2545">rank(I2541,I:I)</f>
        <v>490</v>
      </c>
      <c r="P2541" s="163">
        <f t="shared" si="2545"/>
        <v>835</v>
      </c>
      <c r="Q2541" s="163">
        <f t="shared" si="2545"/>
        <v>426</v>
      </c>
      <c r="R2541" s="163">
        <f>IFERROR(__xludf.DUMMYFUNCTION("RANK(M2541,filter(M:M,C:C=C2541))"),70.0)</f>
        <v>70</v>
      </c>
      <c r="S2541" s="161" t="b">
        <f t="shared" si="5"/>
        <v>0</v>
      </c>
      <c r="T2541" s="161" t="b">
        <f t="array" ref="T2541">index('Query Tool'!B:B,match(H2541,'Query Tool'!C:C,0))</f>
        <v>1</v>
      </c>
      <c r="U2541" s="161" t="b">
        <f t="array" ref="U2541">index('Query Tool'!B:B,match(C2541,'Query Tool'!C:C,0))</f>
        <v>0</v>
      </c>
      <c r="V2541" s="161" t="b">
        <f>F2541&gt;='Query Tool'!C$32</f>
        <v>1</v>
      </c>
      <c r="W2541" s="161" t="b">
        <f t="array" ref="W2541">index(Dropdowns!B:B,match(I2541,Dropdowns!A:A,0))</f>
        <v>1</v>
      </c>
      <c r="X2541" s="161" t="b">
        <f t="array" ref="X2541">index('Query Tool'!B:B,match(D2541,'Query Tool'!C:C,0))</f>
        <v>1</v>
      </c>
      <c r="Y2541" s="161" t="str">
        <f t="shared" si="6"/>
        <v>augusdj01,2018-19</v>
      </c>
      <c r="Z2541" s="168">
        <f t="array" ref="Z2541">iferror(index(I:I,match($A2541&amp;","&amp;index('Year Conversion'!$A:$A,match($C2541,'Year Conversion'!$B:$B,0)),$Y:$Y,0))-I2541,"")</f>
        <v>1</v>
      </c>
      <c r="AA2541" s="168">
        <f t="array" ref="AA2541">iferror(index(J:J,match($A2541&amp;","&amp;index('Year Conversion'!$A:$A,match($C2541,'Year Conversion'!$B:$B,0)),$Y:$Y,0))-J2541,"")</f>
        <v>-2.168522576</v>
      </c>
      <c r="AB2541" s="168">
        <f t="array" ref="AB2541">iferror(index(K:K,match($A2541&amp;","&amp;index('Year Conversion'!$A:$A,match($C2541,'Year Conversion'!$B:$B,0)),$Y:$Y,0))-K2541,"")</f>
        <v>-1.288938157</v>
      </c>
      <c r="AC2541" s="168" t="str">
        <f t="shared" si="7"/>
        <v>ORL,2018-19</v>
      </c>
    </row>
    <row r="2542">
      <c r="A2542" s="161" t="str">
        <f>IFERROR(__xludf.DUMMYFUNCTION("""COMPUTED_VALUE"""),"lopezbr01")</f>
        <v>lopezbr01</v>
      </c>
      <c r="B2542" s="161" t="str">
        <f>IFERROR(__xludf.DUMMYFUNCTION("""COMPUTED_VALUE"""),"Brook Lopez")</f>
        <v>Brook Lopez</v>
      </c>
      <c r="C2542" s="162" t="str">
        <f>IFERROR(__xludf.DUMMYFUNCTION("""COMPUTED_VALUE"""),"2018-19")</f>
        <v>2018-19</v>
      </c>
      <c r="D2542" s="163" t="str">
        <f>IFERROR(__xludf.DUMMYFUNCTION("""COMPUTED_VALUE"""),"MIL")</f>
        <v>MIL</v>
      </c>
      <c r="E2542" s="164" t="str">
        <f>IFERROR(__xludf.DUMMYFUNCTION("""COMPUTED_VALUE"""),"Stretch Big")</f>
        <v>Stretch Big</v>
      </c>
      <c r="F2542" s="164">
        <f>IFERROR(__xludf.DUMMYFUNCTION("""COMPUTED_VALUE"""),2321.595)</f>
        <v>2321.595</v>
      </c>
      <c r="G2542" s="163">
        <f>IFERROR(__xludf.DUMMYFUNCTION("""COMPUTED_VALUE"""),81.0)</f>
        <v>81</v>
      </c>
      <c r="H2542" s="163" t="str">
        <f>IFERROR(__xludf.DUMMYFUNCTION("""COMPUTED_VALUE"""),"C")</f>
        <v>C</v>
      </c>
      <c r="I2542" s="163">
        <f>IFERROR(__xludf.DUMMYFUNCTION("""COMPUTED_VALUE"""),30.0)</f>
        <v>30</v>
      </c>
      <c r="J2542" s="165">
        <f>IFERROR(__xludf.DUMMYFUNCTION("""COMPUTED_VALUE"""),3.12216874153337)</f>
        <v>3.122168742</v>
      </c>
      <c r="K2542" s="165">
        <f>IFERROR(__xludf.DUMMYFUNCTION("""COMPUTED_VALUE"""),-0.256402243587127)</f>
        <v>-0.2564022436</v>
      </c>
      <c r="L2542" s="165">
        <f>IFERROR(__xludf.DUMMYFUNCTION("""COMPUTED_VALUE"""),3.3785709851205)</f>
        <v>3.378570985</v>
      </c>
      <c r="M2542" s="166">
        <f t="shared" si="2"/>
        <v>8.400810767</v>
      </c>
      <c r="N2542" s="167">
        <f t="shared" si="3"/>
        <v>28.66166667</v>
      </c>
      <c r="O2542" s="163">
        <f t="shared" ref="O2542:Q2542" si="2546">rank(I2542,I:I)</f>
        <v>655</v>
      </c>
      <c r="P2542" s="163">
        <f t="shared" si="2546"/>
        <v>162</v>
      </c>
      <c r="Q2542" s="163">
        <f t="shared" si="2546"/>
        <v>1682</v>
      </c>
      <c r="R2542" s="163">
        <f>IFERROR(__xludf.DUMMYFUNCTION("RANK(M2542,filter(M:M,C:C=C2542))"),24.0)</f>
        <v>24</v>
      </c>
      <c r="S2542" s="161" t="b">
        <f t="shared" si="5"/>
        <v>0</v>
      </c>
      <c r="T2542" s="161" t="b">
        <f t="array" ref="T2542">index('Query Tool'!B:B,match(H2542,'Query Tool'!C:C,0))</f>
        <v>1</v>
      </c>
      <c r="U2542" s="161" t="b">
        <f t="array" ref="U2542">index('Query Tool'!B:B,match(C2542,'Query Tool'!C:C,0))</f>
        <v>0</v>
      </c>
      <c r="V2542" s="161" t="b">
        <f>F2542&gt;='Query Tool'!C$32</f>
        <v>1</v>
      </c>
      <c r="W2542" s="161" t="b">
        <f t="array" ref="W2542">index(Dropdowns!B:B,match(I2542,Dropdowns!A:A,0))</f>
        <v>1</v>
      </c>
      <c r="X2542" s="161" t="b">
        <f t="array" ref="X2542">index('Query Tool'!B:B,match(D2542,'Query Tool'!C:C,0))</f>
        <v>1</v>
      </c>
      <c r="Y2542" s="161" t="str">
        <f t="shared" si="6"/>
        <v>lopezbr01,2018-19</v>
      </c>
      <c r="Z2542" s="168">
        <f t="array" ref="Z2542">iferror(index(I:I,match($A2542&amp;","&amp;index('Year Conversion'!$A:$A,match($C2542,'Year Conversion'!$B:$B,0)),$Y:$Y,0))-I2542,"")</f>
        <v>1</v>
      </c>
      <c r="AA2542" s="168">
        <f t="array" ref="AA2542">iferror(index(J:J,match($A2542&amp;","&amp;index('Year Conversion'!$A:$A,match($C2542,'Year Conversion'!$B:$B,0)),$Y:$Y,0))-J2542,"")</f>
        <v>0.162354663</v>
      </c>
      <c r="AB2542" s="168">
        <f t="array" ref="AB2542">iferror(index(K:K,match($A2542&amp;","&amp;index('Year Conversion'!$A:$A,match($C2542,'Year Conversion'!$B:$B,0)),$Y:$Y,0))-K2542,"")</f>
        <v>-0.09790940977</v>
      </c>
      <c r="AC2542" s="168" t="str">
        <f t="shared" si="7"/>
        <v>MIL,2018-19</v>
      </c>
    </row>
    <row r="2543">
      <c r="A2543" s="161" t="str">
        <f>IFERROR(__xludf.DUMMYFUNCTION("""COMPUTED_VALUE"""),"bayleje01")</f>
        <v>bayleje01</v>
      </c>
      <c r="B2543" s="161" t="str">
        <f>IFERROR(__xludf.DUMMYFUNCTION("""COMPUTED_VALUE"""),"Jerryd Bayless")</f>
        <v>Jerryd Bayless</v>
      </c>
      <c r="C2543" s="162" t="str">
        <f>IFERROR(__xludf.DUMMYFUNCTION("""COMPUTED_VALUE"""),"2018-19")</f>
        <v>2018-19</v>
      </c>
      <c r="D2543" s="163" t="str">
        <f>IFERROR(__xludf.DUMMYFUNCTION("""COMPUTED_VALUE"""),"MIN")</f>
        <v>MIN</v>
      </c>
      <c r="E2543" s="164" t="str">
        <f>IFERROR(__xludf.DUMMYFUNCTION("""COMPUTED_VALUE"""),"Secondary Ball Handler")</f>
        <v>Secondary Ball Handler</v>
      </c>
      <c r="F2543" s="164">
        <f>IFERROR(__xludf.DUMMYFUNCTION("""COMPUTED_VALUE"""),656.996666666667)</f>
        <v>656.9966667</v>
      </c>
      <c r="G2543" s="163">
        <f>IFERROR(__xludf.DUMMYFUNCTION("""COMPUTED_VALUE"""),34.0)</f>
        <v>34</v>
      </c>
      <c r="H2543" s="163" t="str">
        <f>IFERROR(__xludf.DUMMYFUNCTION("""COMPUTED_VALUE"""),"PG")</f>
        <v>PG</v>
      </c>
      <c r="I2543" s="163">
        <f>IFERROR(__xludf.DUMMYFUNCTION("""COMPUTED_VALUE"""),30.0)</f>
        <v>30</v>
      </c>
      <c r="J2543" s="165">
        <f>IFERROR(__xludf.DUMMYFUNCTION("""COMPUTED_VALUE"""),-1.832636686345)</f>
        <v>-1.832636686</v>
      </c>
      <c r="K2543" s="165">
        <f>IFERROR(__xludf.DUMMYFUNCTION("""COMPUTED_VALUE"""),-0.275449131996974)</f>
        <v>-0.275449132</v>
      </c>
      <c r="L2543" s="165">
        <f>IFERROR(__xludf.DUMMYFUNCTION("""COMPUTED_VALUE"""),-1.55718755434802)</f>
        <v>-1.557187554</v>
      </c>
      <c r="M2543" s="166">
        <f t="shared" si="2"/>
        <v>0.2048872133</v>
      </c>
      <c r="N2543" s="167">
        <f t="shared" si="3"/>
        <v>19.32343137</v>
      </c>
      <c r="O2543" s="163">
        <f t="shared" ref="O2543:Q2543" si="2547">rank(I2543,I:I)</f>
        <v>655</v>
      </c>
      <c r="P2543" s="163">
        <f t="shared" si="2547"/>
        <v>3368</v>
      </c>
      <c r="Q2543" s="163">
        <f t="shared" si="2547"/>
        <v>1714</v>
      </c>
      <c r="R2543" s="163">
        <f>IFERROR(__xludf.DUMMYFUNCTION("RANK(M2543,filter(M:M,C:C=C2543))"),345.0)</f>
        <v>345</v>
      </c>
      <c r="S2543" s="161" t="b">
        <f t="shared" si="5"/>
        <v>0</v>
      </c>
      <c r="T2543" s="161" t="b">
        <f t="array" ref="T2543">index('Query Tool'!B:B,match(H2543,'Query Tool'!C:C,0))</f>
        <v>1</v>
      </c>
      <c r="U2543" s="161" t="b">
        <f t="array" ref="U2543">index('Query Tool'!B:B,match(C2543,'Query Tool'!C:C,0))</f>
        <v>0</v>
      </c>
      <c r="V2543" s="161" t="b">
        <f>F2543&gt;='Query Tool'!C$32</f>
        <v>1</v>
      </c>
      <c r="W2543" s="161" t="b">
        <f t="array" ref="W2543">index(Dropdowns!B:B,match(I2543,Dropdowns!A:A,0))</f>
        <v>1</v>
      </c>
      <c r="X2543" s="161" t="b">
        <f t="array" ref="X2543">index('Query Tool'!B:B,match(D2543,'Query Tool'!C:C,0))</f>
        <v>1</v>
      </c>
      <c r="Y2543" s="161" t="str">
        <f t="shared" si="6"/>
        <v>bayleje01,2018-19</v>
      </c>
      <c r="Z2543" s="168" t="str">
        <f t="array" ref="Z2543">iferror(index(I:I,match($A2543&amp;","&amp;index('Year Conversion'!$A:$A,match($C2543,'Year Conversion'!$B:$B,0)),$Y:$Y,0))-I2543,"")</f>
        <v/>
      </c>
      <c r="AA2543" s="168" t="str">
        <f t="array" ref="AA2543">iferror(index(J:J,match($A2543&amp;","&amp;index('Year Conversion'!$A:$A,match($C2543,'Year Conversion'!$B:$B,0)),$Y:$Y,0))-J2543,"")</f>
        <v/>
      </c>
      <c r="AB2543" s="168" t="str">
        <f t="array" ref="AB2543">iferror(index(K:K,match($A2543&amp;","&amp;index('Year Conversion'!$A:$A,match($C2543,'Year Conversion'!$B:$B,0)),$Y:$Y,0))-K2543,"")</f>
        <v/>
      </c>
      <c r="AC2543" s="168" t="str">
        <f t="shared" si="7"/>
        <v>MIN,2018-19</v>
      </c>
    </row>
    <row r="2544">
      <c r="A2544" s="161" t="str">
        <f>IFERROR(__xludf.DUMMYFUNCTION("""COMPUTED_VALUE"""),"lopezro01")</f>
        <v>lopezro01</v>
      </c>
      <c r="B2544" s="161" t="str">
        <f>IFERROR(__xludf.DUMMYFUNCTION("""COMPUTED_VALUE"""),"Robin Lopez")</f>
        <v>Robin Lopez</v>
      </c>
      <c r="C2544" s="162" t="str">
        <f>IFERROR(__xludf.DUMMYFUNCTION("""COMPUTED_VALUE"""),"2018-19")</f>
        <v>2018-19</v>
      </c>
      <c r="D2544" s="163" t="str">
        <f>IFERROR(__xludf.DUMMYFUNCTION("""COMPUTED_VALUE"""),"CHI")</f>
        <v>CHI</v>
      </c>
      <c r="E2544" s="164" t="str">
        <f>IFERROR(__xludf.DUMMYFUNCTION("""COMPUTED_VALUE"""),"Post Scorer")</f>
        <v>Post Scorer</v>
      </c>
      <c r="F2544" s="164">
        <f>IFERROR(__xludf.DUMMYFUNCTION("""COMPUTED_VALUE"""),1605.68166666667)</f>
        <v>1605.681667</v>
      </c>
      <c r="G2544" s="163">
        <f>IFERROR(__xludf.DUMMYFUNCTION("""COMPUTED_VALUE"""),74.0)</f>
        <v>74</v>
      </c>
      <c r="H2544" s="163" t="str">
        <f>IFERROR(__xludf.DUMMYFUNCTION("""COMPUTED_VALUE"""),"C")</f>
        <v>C</v>
      </c>
      <c r="I2544" s="163">
        <f>IFERROR(__xludf.DUMMYFUNCTION("""COMPUTED_VALUE"""),30.0)</f>
        <v>30</v>
      </c>
      <c r="J2544" s="165">
        <f>IFERROR(__xludf.DUMMYFUNCTION("""COMPUTED_VALUE"""),-2.13582133153447)</f>
        <v>-2.135821332</v>
      </c>
      <c r="K2544" s="165">
        <f>IFERROR(__xludf.DUMMYFUNCTION("""COMPUTED_VALUE"""),-1.43142109119951)</f>
        <v>-1.431421091</v>
      </c>
      <c r="L2544" s="165">
        <f>IFERROR(__xludf.DUMMYFUNCTION("""COMPUTED_VALUE"""),-0.704400240334969)</f>
        <v>-0.7044002403</v>
      </c>
      <c r="M2544" s="166">
        <f t="shared" si="2"/>
        <v>0.177867831</v>
      </c>
      <c r="N2544" s="167">
        <f t="shared" si="3"/>
        <v>21.6984009</v>
      </c>
      <c r="O2544" s="163">
        <f t="shared" ref="O2544:Q2544" si="2548">rank(I2544,I:I)</f>
        <v>655</v>
      </c>
      <c r="P2544" s="163">
        <f t="shared" si="2548"/>
        <v>3580</v>
      </c>
      <c r="Q2544" s="163">
        <f t="shared" si="2548"/>
        <v>3282</v>
      </c>
      <c r="R2544" s="163">
        <f>IFERROR(__xludf.DUMMYFUNCTION("RANK(M2544,filter(M:M,C:C=C2544))"),355.0)</f>
        <v>355</v>
      </c>
      <c r="S2544" s="161" t="b">
        <f t="shared" si="5"/>
        <v>0</v>
      </c>
      <c r="T2544" s="161" t="b">
        <f t="array" ref="T2544">index('Query Tool'!B:B,match(H2544,'Query Tool'!C:C,0))</f>
        <v>1</v>
      </c>
      <c r="U2544" s="161" t="b">
        <f t="array" ref="U2544">index('Query Tool'!B:B,match(C2544,'Query Tool'!C:C,0))</f>
        <v>0</v>
      </c>
      <c r="V2544" s="161" t="b">
        <f>F2544&gt;='Query Tool'!C$32</f>
        <v>1</v>
      </c>
      <c r="W2544" s="161" t="b">
        <f t="array" ref="W2544">index(Dropdowns!B:B,match(I2544,Dropdowns!A:A,0))</f>
        <v>1</v>
      </c>
      <c r="X2544" s="161" t="b">
        <f t="array" ref="X2544">index('Query Tool'!B:B,match(D2544,'Query Tool'!C:C,0))</f>
        <v>1</v>
      </c>
      <c r="Y2544" s="161" t="str">
        <f t="shared" si="6"/>
        <v>lopezro01,2018-19</v>
      </c>
      <c r="Z2544" s="168">
        <f t="array" ref="Z2544">iferror(index(I:I,match($A2544&amp;","&amp;index('Year Conversion'!$A:$A,match($C2544,'Year Conversion'!$B:$B,0)),$Y:$Y,0))-I2544,"")</f>
        <v>1</v>
      </c>
      <c r="AA2544" s="168">
        <f t="array" ref="AA2544">iferror(index(J:J,match($A2544&amp;","&amp;index('Year Conversion'!$A:$A,match($C2544,'Year Conversion'!$B:$B,0)),$Y:$Y,0))-J2544,"")</f>
        <v>0.2311202207</v>
      </c>
      <c r="AB2544" s="168">
        <f t="array" ref="AB2544">iferror(index(K:K,match($A2544&amp;","&amp;index('Year Conversion'!$A:$A,match($C2544,'Year Conversion'!$B:$B,0)),$Y:$Y,0))-K2544,"")</f>
        <v>-0.9869435788</v>
      </c>
      <c r="AC2544" s="168" t="str">
        <f t="shared" si="7"/>
        <v>CHI,2018-19</v>
      </c>
    </row>
    <row r="2545">
      <c r="A2545" s="161" t="str">
        <f>IFERROR(__xludf.DUMMYFUNCTION("""COMPUTED_VALUE"""),"mcgeeja01")</f>
        <v>mcgeeja01</v>
      </c>
      <c r="B2545" s="161" t="str">
        <f>IFERROR(__xludf.DUMMYFUNCTION("""COMPUTED_VALUE"""),"JaVale McGee")</f>
        <v>JaVale McGee</v>
      </c>
      <c r="C2545" s="162" t="str">
        <f>IFERROR(__xludf.DUMMYFUNCTION("""COMPUTED_VALUE"""),"2018-19")</f>
        <v>2018-19</v>
      </c>
      <c r="D2545" s="163" t="str">
        <f>IFERROR(__xludf.DUMMYFUNCTION("""COMPUTED_VALUE"""),"LAL")</f>
        <v>LAL</v>
      </c>
      <c r="E2545" s="164" t="str">
        <f>IFERROR(__xludf.DUMMYFUNCTION("""COMPUTED_VALUE"""),"Roll + Cut Big")</f>
        <v>Roll + Cut Big</v>
      </c>
      <c r="F2545" s="164">
        <f>IFERROR(__xludf.DUMMYFUNCTION("""COMPUTED_VALUE"""),1670.69333333333)</f>
        <v>1670.693333</v>
      </c>
      <c r="G2545" s="163">
        <f>IFERROR(__xludf.DUMMYFUNCTION("""COMPUTED_VALUE"""),75.0)</f>
        <v>75</v>
      </c>
      <c r="H2545" s="163" t="str">
        <f>IFERROR(__xludf.DUMMYFUNCTION("""COMPUTED_VALUE"""),"C")</f>
        <v>C</v>
      </c>
      <c r="I2545" s="163">
        <f>IFERROR(__xludf.DUMMYFUNCTION("""COMPUTED_VALUE"""),31.0)</f>
        <v>31</v>
      </c>
      <c r="J2545" s="165">
        <f>IFERROR(__xludf.DUMMYFUNCTION("""COMPUTED_VALUE"""),0.960472483216055)</f>
        <v>0.9604724832</v>
      </c>
      <c r="K2545" s="165">
        <f>IFERROR(__xludf.DUMMYFUNCTION("""COMPUTED_VALUE"""),-0.665034549447713)</f>
        <v>-0.6650345494</v>
      </c>
      <c r="L2545" s="165">
        <f>IFERROR(__xludf.DUMMYFUNCTION("""COMPUTED_VALUE"""),1.62550703266377)</f>
        <v>1.625507033</v>
      </c>
      <c r="M2545" s="166">
        <f t="shared" si="2"/>
        <v>3.656109976</v>
      </c>
      <c r="N2545" s="167">
        <f t="shared" si="3"/>
        <v>22.27591111</v>
      </c>
      <c r="O2545" s="163">
        <f t="shared" ref="O2545:Q2545" si="2549">rank(I2545,I:I)</f>
        <v>490</v>
      </c>
      <c r="P2545" s="163">
        <f t="shared" si="2549"/>
        <v>674</v>
      </c>
      <c r="Q2545" s="163">
        <f t="shared" si="2549"/>
        <v>2364</v>
      </c>
      <c r="R2545" s="163">
        <f>IFERROR(__xludf.DUMMYFUNCTION("RANK(M2545,filter(M:M,C:C=C2545))"),93.0)</f>
        <v>93</v>
      </c>
      <c r="S2545" s="161" t="b">
        <f t="shared" si="5"/>
        <v>0</v>
      </c>
      <c r="T2545" s="161" t="b">
        <f t="array" ref="T2545">index('Query Tool'!B:B,match(H2545,'Query Tool'!C:C,0))</f>
        <v>1</v>
      </c>
      <c r="U2545" s="161" t="b">
        <f t="array" ref="U2545">index('Query Tool'!B:B,match(C2545,'Query Tool'!C:C,0))</f>
        <v>0</v>
      </c>
      <c r="V2545" s="161" t="b">
        <f>F2545&gt;='Query Tool'!C$32</f>
        <v>1</v>
      </c>
      <c r="W2545" s="161" t="b">
        <f t="array" ref="W2545">index(Dropdowns!B:B,match(I2545,Dropdowns!A:A,0))</f>
        <v>1</v>
      </c>
      <c r="X2545" s="161" t="b">
        <f t="array" ref="X2545">index('Query Tool'!B:B,match(D2545,'Query Tool'!C:C,0))</f>
        <v>1</v>
      </c>
      <c r="Y2545" s="161" t="str">
        <f t="shared" si="6"/>
        <v>mcgeeja01,2018-19</v>
      </c>
      <c r="Z2545" s="168">
        <f t="array" ref="Z2545">iferror(index(I:I,match($A2545&amp;","&amp;index('Year Conversion'!$A:$A,match($C2545,'Year Conversion'!$B:$B,0)),$Y:$Y,0))-I2545,"")</f>
        <v>1</v>
      </c>
      <c r="AA2545" s="168">
        <f t="array" ref="AA2545">iferror(index(J:J,match($A2545&amp;","&amp;index('Year Conversion'!$A:$A,match($C2545,'Year Conversion'!$B:$B,0)),$Y:$Y,0))-J2545,"")</f>
        <v>0.8829178375</v>
      </c>
      <c r="AB2545" s="168">
        <f t="array" ref="AB2545">iferror(index(K:K,match($A2545&amp;","&amp;index('Year Conversion'!$A:$A,match($C2545,'Year Conversion'!$B:$B,0)),$Y:$Y,0))-K2545,"")</f>
        <v>-0.5778650951</v>
      </c>
      <c r="AC2545" s="168" t="str">
        <f t="shared" si="7"/>
        <v>LAL,2018-19</v>
      </c>
    </row>
    <row r="2546">
      <c r="A2546" s="161" t="str">
        <f>IFERROR(__xludf.DUMMYFUNCTION("""COMPUTED_VALUE"""),"anderry01")</f>
        <v>anderry01</v>
      </c>
      <c r="B2546" s="161" t="str">
        <f>IFERROR(__xludf.DUMMYFUNCTION("""COMPUTED_VALUE"""),"Ryan Anderson")</f>
        <v>Ryan Anderson</v>
      </c>
      <c r="C2546" s="162" t="str">
        <f>IFERROR(__xludf.DUMMYFUNCTION("""COMPUTED_VALUE"""),"2018-19")</f>
        <v>2018-19</v>
      </c>
      <c r="D2546" s="163" t="str">
        <f>IFERROR(__xludf.DUMMYFUNCTION("""COMPUTED_VALUE"""),"TOT")</f>
        <v>TOT</v>
      </c>
      <c r="E2546" s="164" t="str">
        <f>IFERROR(__xludf.DUMMYFUNCTION("""COMPUTED_VALUE"""),"Movement Shooter")</f>
        <v>Movement Shooter</v>
      </c>
      <c r="F2546" s="164">
        <f>IFERROR(__xludf.DUMMYFUNCTION("""COMPUTED_VALUE"""),321.291666666667)</f>
        <v>321.2916667</v>
      </c>
      <c r="G2546" s="163">
        <f>IFERROR(__xludf.DUMMYFUNCTION("""COMPUTED_VALUE"""),25.0)</f>
        <v>25</v>
      </c>
      <c r="H2546" s="163" t="str">
        <f>IFERROR(__xludf.DUMMYFUNCTION("""COMPUTED_VALUE"""),"PF")</f>
        <v>PF</v>
      </c>
      <c r="I2546" s="163">
        <f>IFERROR(__xludf.DUMMYFUNCTION("""COMPUTED_VALUE"""),30.0)</f>
        <v>30</v>
      </c>
      <c r="J2546" s="165">
        <f>IFERROR(__xludf.DUMMYFUNCTION("""COMPUTED_VALUE"""),-2.09658659554745)</f>
        <v>-2.096586596</v>
      </c>
      <c r="K2546" s="165">
        <f>IFERROR(__xludf.DUMMYFUNCTION("""COMPUTED_VALUE"""),-1.32630684467184)</f>
        <v>-1.326306845</v>
      </c>
      <c r="L2546" s="165">
        <f>IFERROR(__xludf.DUMMYFUNCTION("""COMPUTED_VALUE"""),-0.770279750875609)</f>
        <v>-0.7702797509</v>
      </c>
      <c r="M2546" s="166">
        <f t="shared" si="2"/>
        <v>0.04393279876</v>
      </c>
      <c r="N2546" s="167">
        <f t="shared" si="3"/>
        <v>12.85166667</v>
      </c>
      <c r="O2546" s="163">
        <f t="shared" ref="O2546:Q2546" si="2550">rank(I2546,I:I)</f>
        <v>655</v>
      </c>
      <c r="P2546" s="163">
        <f t="shared" si="2550"/>
        <v>3549</v>
      </c>
      <c r="Q2546" s="163">
        <f t="shared" si="2550"/>
        <v>3179</v>
      </c>
      <c r="R2546" s="163">
        <f>IFERROR(__xludf.DUMMYFUNCTION("RANK(M2546,filter(M:M,C:C=C2546))"),430.0)</f>
        <v>430</v>
      </c>
      <c r="S2546" s="161" t="b">
        <f t="shared" si="5"/>
        <v>0</v>
      </c>
      <c r="T2546" s="161" t="b">
        <f t="array" ref="T2546">index('Query Tool'!B:B,match(H2546,'Query Tool'!C:C,0))</f>
        <v>1</v>
      </c>
      <c r="U2546" s="161" t="b">
        <f t="array" ref="U2546">index('Query Tool'!B:B,match(C2546,'Query Tool'!C:C,0))</f>
        <v>0</v>
      </c>
      <c r="V2546" s="161" t="b">
        <f>F2546&gt;='Query Tool'!C$32</f>
        <v>0</v>
      </c>
      <c r="W2546" s="161" t="b">
        <f t="array" ref="W2546">index(Dropdowns!B:B,match(I2546,Dropdowns!A:A,0))</f>
        <v>1</v>
      </c>
      <c r="X2546" s="161" t="b">
        <f t="array" ref="X2546">index('Query Tool'!B:B,match(D2546,'Query Tool'!C:C,0))</f>
        <v>1</v>
      </c>
      <c r="Y2546" s="161" t="str">
        <f t="shared" si="6"/>
        <v>anderry01,2018-19</v>
      </c>
      <c r="Z2546" s="168">
        <f t="array" ref="Z2546">iferror(index(I:I,match($A2546&amp;","&amp;index('Year Conversion'!$A:$A,match($C2546,'Year Conversion'!$B:$B,0)),$Y:$Y,0))-I2546,"")</f>
        <v>1</v>
      </c>
      <c r="AA2546" s="168">
        <f t="array" ref="AA2546">iferror(index(J:J,match($A2546&amp;","&amp;index('Year Conversion'!$A:$A,match($C2546,'Year Conversion'!$B:$B,0)),$Y:$Y,0))-J2546,"")</f>
        <v>1.487584989</v>
      </c>
      <c r="AB2546" s="168">
        <f t="array" ref="AB2546">iferror(index(K:K,match($A2546&amp;","&amp;index('Year Conversion'!$A:$A,match($C2546,'Year Conversion'!$B:$B,0)),$Y:$Y,0))-K2546,"")</f>
        <v>1.246559391</v>
      </c>
      <c r="AC2546" s="168" t="str">
        <f t="shared" si="7"/>
        <v>TOT,2018-19</v>
      </c>
    </row>
    <row r="2547">
      <c r="A2547" s="161" t="str">
        <f>IFERROR(__xludf.DUMMYFUNCTION("""COMPUTED_VALUE"""),"leeco01")</f>
        <v>leeco01</v>
      </c>
      <c r="B2547" s="161" t="str">
        <f>IFERROR(__xludf.DUMMYFUNCTION("""COMPUTED_VALUE"""),"Courtney Lee")</f>
        <v>Courtney Lee</v>
      </c>
      <c r="C2547" s="162" t="str">
        <f>IFERROR(__xludf.DUMMYFUNCTION("""COMPUTED_VALUE"""),"2018-19")</f>
        <v>2018-19</v>
      </c>
      <c r="D2547" s="163" t="str">
        <f>IFERROR(__xludf.DUMMYFUNCTION("""COMPUTED_VALUE"""),"TOT")</f>
        <v>TOT</v>
      </c>
      <c r="E2547" s="164" t="str">
        <f>IFERROR(__xludf.DUMMYFUNCTION("""COMPUTED_VALUE"""),"Secondary Ball Handler")</f>
        <v>Secondary Ball Handler</v>
      </c>
      <c r="F2547" s="164">
        <f>IFERROR(__xludf.DUMMYFUNCTION("""COMPUTED_VALUE"""),428.23)</f>
        <v>428.23</v>
      </c>
      <c r="G2547" s="163">
        <f>IFERROR(__xludf.DUMMYFUNCTION("""COMPUTED_VALUE"""),34.0)</f>
        <v>34</v>
      </c>
      <c r="H2547" s="163" t="str">
        <f>IFERROR(__xludf.DUMMYFUNCTION("""COMPUTED_VALUE"""),"SG")</f>
        <v>SG</v>
      </c>
      <c r="I2547" s="163">
        <f>IFERROR(__xludf.DUMMYFUNCTION("""COMPUTED_VALUE"""),33.0)</f>
        <v>33</v>
      </c>
      <c r="J2547" s="165">
        <f>IFERROR(__xludf.DUMMYFUNCTION("""COMPUTED_VALUE"""),-0.9738534133638)</f>
        <v>-0.9738534134</v>
      </c>
      <c r="K2547" s="165">
        <f>IFERROR(__xludf.DUMMYFUNCTION("""COMPUTED_VALUE"""),-1.12811929211342)</f>
        <v>-1.128119292</v>
      </c>
      <c r="L2547" s="165">
        <f>IFERROR(__xludf.DUMMYFUNCTION("""COMPUTED_VALUE"""),0.154265878749619)</f>
        <v>0.1542658787</v>
      </c>
      <c r="M2547" s="166">
        <f t="shared" si="2"/>
        <v>0.3793981886</v>
      </c>
      <c r="N2547" s="167">
        <f t="shared" si="3"/>
        <v>12.595</v>
      </c>
      <c r="O2547" s="163">
        <f t="shared" ref="O2547:Q2547" si="2551">rank(I2547,I:I)</f>
        <v>246</v>
      </c>
      <c r="P2547" s="163">
        <f t="shared" si="2551"/>
        <v>2476</v>
      </c>
      <c r="Q2547" s="163">
        <f t="shared" si="2551"/>
        <v>2956</v>
      </c>
      <c r="R2547" s="163">
        <f>IFERROR(__xludf.DUMMYFUNCTION("RANK(M2547,filter(M:M,C:C=C2547))"),307.0)</f>
        <v>307</v>
      </c>
      <c r="S2547" s="161" t="b">
        <f t="shared" si="5"/>
        <v>0</v>
      </c>
      <c r="T2547" s="161" t="b">
        <f t="array" ref="T2547">index('Query Tool'!B:B,match(H2547,'Query Tool'!C:C,0))</f>
        <v>1</v>
      </c>
      <c r="U2547" s="161" t="b">
        <f t="array" ref="U2547">index('Query Tool'!B:B,match(C2547,'Query Tool'!C:C,0))</f>
        <v>0</v>
      </c>
      <c r="V2547" s="161" t="b">
        <f>F2547&gt;='Query Tool'!C$32</f>
        <v>0</v>
      </c>
      <c r="W2547" s="161" t="b">
        <f t="array" ref="W2547">index(Dropdowns!B:B,match(I2547,Dropdowns!A:A,0))</f>
        <v>1</v>
      </c>
      <c r="X2547" s="161" t="b">
        <f t="array" ref="X2547">index('Query Tool'!B:B,match(D2547,'Query Tool'!C:C,0))</f>
        <v>1</v>
      </c>
      <c r="Y2547" s="161" t="str">
        <f t="shared" si="6"/>
        <v>leeco01,2018-19</v>
      </c>
      <c r="Z2547" s="168">
        <f t="array" ref="Z2547">iferror(index(I:I,match($A2547&amp;","&amp;index('Year Conversion'!$A:$A,match($C2547,'Year Conversion'!$B:$B,0)),$Y:$Y,0))-I2547,"")</f>
        <v>1</v>
      </c>
      <c r="AA2547" s="168">
        <f t="array" ref="AA2547">iferror(index(J:J,match($A2547&amp;","&amp;index('Year Conversion'!$A:$A,match($C2547,'Year Conversion'!$B:$B,0)),$Y:$Y,0))-J2547,"")</f>
        <v>-1.028032842</v>
      </c>
      <c r="AB2547" s="168">
        <f t="array" ref="AB2547">iferror(index(K:K,match($A2547&amp;","&amp;index('Year Conversion'!$A:$A,match($C2547,'Year Conversion'!$B:$B,0)),$Y:$Y,0))-K2547,"")</f>
        <v>-0.5088238324</v>
      </c>
      <c r="AC2547" s="168" t="str">
        <f t="shared" si="7"/>
        <v>TOT,2018-19</v>
      </c>
    </row>
    <row r="2548">
      <c r="A2548" s="161" t="str">
        <f>IFERROR(__xludf.DUMMYFUNCTION("""COMPUTED_VALUE"""),"koufoko01")</f>
        <v>koufoko01</v>
      </c>
      <c r="B2548" s="161" t="str">
        <f>IFERROR(__xludf.DUMMYFUNCTION("""COMPUTED_VALUE"""),"Kosta Koufos")</f>
        <v>Kosta Koufos</v>
      </c>
      <c r="C2548" s="162" t="str">
        <f>IFERROR(__xludf.DUMMYFUNCTION("""COMPUTED_VALUE"""),"2018-19")</f>
        <v>2018-19</v>
      </c>
      <c r="D2548" s="163" t="str">
        <f>IFERROR(__xludf.DUMMYFUNCTION("""COMPUTED_VALUE"""),"SAC")</f>
        <v>SAC</v>
      </c>
      <c r="E2548" s="164" t="str">
        <f>IFERROR(__xludf.DUMMYFUNCTION("""COMPUTED_VALUE"""),"Roll + Cut Big")</f>
        <v>Roll + Cut Big</v>
      </c>
      <c r="F2548" s="164">
        <f>IFERROR(__xludf.DUMMYFUNCTION("""COMPUTED_VALUE"""),501.561666666666)</f>
        <v>501.5616667</v>
      </c>
      <c r="G2548" s="163">
        <f>IFERROR(__xludf.DUMMYFUNCTION("""COMPUTED_VALUE"""),42.0)</f>
        <v>42</v>
      </c>
      <c r="H2548" s="163" t="str">
        <f>IFERROR(__xludf.DUMMYFUNCTION("""COMPUTED_VALUE"""),"C")</f>
        <v>C</v>
      </c>
      <c r="I2548" s="163">
        <f>IFERROR(__xludf.DUMMYFUNCTION("""COMPUTED_VALUE"""),29.0)</f>
        <v>29</v>
      </c>
      <c r="J2548" s="165">
        <f>IFERROR(__xludf.DUMMYFUNCTION("""COMPUTED_VALUE"""),-1.12328953277869)</f>
        <v>-1.123289533</v>
      </c>
      <c r="K2548" s="165">
        <f>IFERROR(__xludf.DUMMYFUNCTION("""COMPUTED_VALUE"""),-2.1682691922005)</f>
        <v>-2.168269192</v>
      </c>
      <c r="L2548" s="165">
        <f>IFERROR(__xludf.DUMMYFUNCTION("""COMPUTED_VALUE"""),1.04497965942181)</f>
        <v>1.044979659</v>
      </c>
      <c r="M2548" s="166">
        <f t="shared" si="2"/>
        <v>0.3940674548</v>
      </c>
      <c r="N2548" s="167">
        <f t="shared" si="3"/>
        <v>11.94194444</v>
      </c>
      <c r="O2548" s="163">
        <f t="shared" ref="O2548:Q2548" si="2552">rank(I2548,I:I)</f>
        <v>855</v>
      </c>
      <c r="P2548" s="163">
        <f t="shared" si="2552"/>
        <v>2648</v>
      </c>
      <c r="Q2548" s="163">
        <f t="shared" si="2552"/>
        <v>3788</v>
      </c>
      <c r="R2548" s="163">
        <f>IFERROR(__xludf.DUMMYFUNCTION("RANK(M2548,filter(M:M,C:C=C2548))"),305.0)</f>
        <v>305</v>
      </c>
      <c r="S2548" s="161" t="b">
        <f t="shared" si="5"/>
        <v>0</v>
      </c>
      <c r="T2548" s="161" t="b">
        <f t="array" ref="T2548">index('Query Tool'!B:B,match(H2548,'Query Tool'!C:C,0))</f>
        <v>1</v>
      </c>
      <c r="U2548" s="161" t="b">
        <f t="array" ref="U2548">index('Query Tool'!B:B,match(C2548,'Query Tool'!C:C,0))</f>
        <v>0</v>
      </c>
      <c r="V2548" s="161" t="b">
        <f>F2548&gt;='Query Tool'!C$32</f>
        <v>1</v>
      </c>
      <c r="W2548" s="161" t="b">
        <f t="array" ref="W2548">index(Dropdowns!B:B,match(I2548,Dropdowns!A:A,0))</f>
        <v>1</v>
      </c>
      <c r="X2548" s="161" t="b">
        <f t="array" ref="X2548">index('Query Tool'!B:B,match(D2548,'Query Tool'!C:C,0))</f>
        <v>1</v>
      </c>
      <c r="Y2548" s="161" t="str">
        <f t="shared" si="6"/>
        <v>koufoko01,2018-19</v>
      </c>
      <c r="Z2548" s="168" t="str">
        <f t="array" ref="Z2548">iferror(index(I:I,match($A2548&amp;","&amp;index('Year Conversion'!$A:$A,match($C2548,'Year Conversion'!$B:$B,0)),$Y:$Y,0))-I2548,"")</f>
        <v/>
      </c>
      <c r="AA2548" s="168" t="str">
        <f t="array" ref="AA2548">iferror(index(J:J,match($A2548&amp;","&amp;index('Year Conversion'!$A:$A,match($C2548,'Year Conversion'!$B:$B,0)),$Y:$Y,0))-J2548,"")</f>
        <v/>
      </c>
      <c r="AB2548" s="168" t="str">
        <f t="array" ref="AB2548">iferror(index(K:K,match($A2548&amp;","&amp;index('Year Conversion'!$A:$A,match($C2548,'Year Conversion'!$B:$B,0)),$Y:$Y,0))-K2548,"")</f>
        <v/>
      </c>
      <c r="AC2548" s="168" t="str">
        <f t="shared" si="7"/>
        <v>SAC,2018-19</v>
      </c>
    </row>
    <row r="2549">
      <c r="A2549" s="161" t="str">
        <f>IFERROR(__xludf.DUMMYFUNCTION("""COMPUTED_VALUE"""),"ibakase01")</f>
        <v>ibakase01</v>
      </c>
      <c r="B2549" s="161" t="str">
        <f>IFERROR(__xludf.DUMMYFUNCTION("""COMPUTED_VALUE"""),"Serge Ibaka")</f>
        <v>Serge Ibaka</v>
      </c>
      <c r="C2549" s="162" t="str">
        <f>IFERROR(__xludf.DUMMYFUNCTION("""COMPUTED_VALUE"""),"2018-19")</f>
        <v>2018-19</v>
      </c>
      <c r="D2549" s="163" t="str">
        <f>IFERROR(__xludf.DUMMYFUNCTION("""COMPUTED_VALUE"""),"TOR")</f>
        <v>TOR</v>
      </c>
      <c r="E2549" s="164" t="str">
        <f>IFERROR(__xludf.DUMMYFUNCTION("""COMPUTED_VALUE"""),"Roll + Cut Big")</f>
        <v>Roll + Cut Big</v>
      </c>
      <c r="F2549" s="164">
        <f>IFERROR(__xludf.DUMMYFUNCTION("""COMPUTED_VALUE"""),2010.35833333333)</f>
        <v>2010.358333</v>
      </c>
      <c r="G2549" s="163">
        <f>IFERROR(__xludf.DUMMYFUNCTION("""COMPUTED_VALUE"""),74.0)</f>
        <v>74</v>
      </c>
      <c r="H2549" s="163" t="str">
        <f>IFERROR(__xludf.DUMMYFUNCTION("""COMPUTED_VALUE"""),"C")</f>
        <v>C</v>
      </c>
      <c r="I2549" s="163">
        <f>IFERROR(__xludf.DUMMYFUNCTION("""COMPUTED_VALUE"""),29.0)</f>
        <v>29</v>
      </c>
      <c r="J2549" s="165">
        <f>IFERROR(__xludf.DUMMYFUNCTION("""COMPUTED_VALUE"""),0.432096029773936)</f>
        <v>0.4320960298</v>
      </c>
      <c r="K2549" s="165">
        <f>IFERROR(__xludf.DUMMYFUNCTION("""COMPUTED_VALUE"""),-0.283725584920513)</f>
        <v>-0.2837255849</v>
      </c>
      <c r="L2549" s="165">
        <f>IFERROR(__xludf.DUMMYFUNCTION("""COMPUTED_VALUE"""),0.715821614694449)</f>
        <v>0.7158216147</v>
      </c>
      <c r="M2549" s="166">
        <f t="shared" si="2"/>
        <v>3.684797599</v>
      </c>
      <c r="N2549" s="167">
        <f t="shared" si="3"/>
        <v>27.1670045</v>
      </c>
      <c r="O2549" s="163">
        <f t="shared" ref="O2549:Q2549" si="2553">rank(I2549,I:I)</f>
        <v>855</v>
      </c>
      <c r="P2549" s="163">
        <f t="shared" si="2553"/>
        <v>936</v>
      </c>
      <c r="Q2549" s="163">
        <f t="shared" si="2553"/>
        <v>1735</v>
      </c>
      <c r="R2549" s="163">
        <f>IFERROR(__xludf.DUMMYFUNCTION("RANK(M2549,filter(M:M,C:C=C2549))"),92.0)</f>
        <v>92</v>
      </c>
      <c r="S2549" s="161" t="b">
        <f t="shared" si="5"/>
        <v>0</v>
      </c>
      <c r="T2549" s="161" t="b">
        <f t="array" ref="T2549">index('Query Tool'!B:B,match(H2549,'Query Tool'!C:C,0))</f>
        <v>1</v>
      </c>
      <c r="U2549" s="161" t="b">
        <f t="array" ref="U2549">index('Query Tool'!B:B,match(C2549,'Query Tool'!C:C,0))</f>
        <v>0</v>
      </c>
      <c r="V2549" s="161" t="b">
        <f>F2549&gt;='Query Tool'!C$32</f>
        <v>1</v>
      </c>
      <c r="W2549" s="161" t="b">
        <f t="array" ref="W2549">index(Dropdowns!B:B,match(I2549,Dropdowns!A:A,0))</f>
        <v>1</v>
      </c>
      <c r="X2549" s="161" t="b">
        <f t="array" ref="X2549">index('Query Tool'!B:B,match(D2549,'Query Tool'!C:C,0))</f>
        <v>1</v>
      </c>
      <c r="Y2549" s="161" t="str">
        <f t="shared" si="6"/>
        <v>ibakase01,2018-19</v>
      </c>
      <c r="Z2549" s="168">
        <f t="array" ref="Z2549">iferror(index(I:I,match($A2549&amp;","&amp;index('Year Conversion'!$A:$A,match($C2549,'Year Conversion'!$B:$B,0)),$Y:$Y,0))-I2549,"")</f>
        <v>1</v>
      </c>
      <c r="AA2549" s="168">
        <f t="array" ref="AA2549">iferror(index(J:J,match($A2549&amp;","&amp;index('Year Conversion'!$A:$A,match($C2549,'Year Conversion'!$B:$B,0)),$Y:$Y,0))-J2549,"")</f>
        <v>-0.5462263215</v>
      </c>
      <c r="AB2549" s="168">
        <f t="array" ref="AB2549">iferror(index(K:K,match($A2549&amp;","&amp;index('Year Conversion'!$A:$A,match($C2549,'Year Conversion'!$B:$B,0)),$Y:$Y,0))-K2549,"")</f>
        <v>0.04576658013</v>
      </c>
      <c r="AC2549" s="168" t="str">
        <f t="shared" si="7"/>
        <v>TOR,2018-19</v>
      </c>
    </row>
    <row r="2550">
      <c r="A2550" s="161" t="str">
        <f>IFERROR(__xludf.DUMMYFUNCTION("""COMPUTED_VALUE"""),"batumni01")</f>
        <v>batumni01</v>
      </c>
      <c r="B2550" s="161" t="str">
        <f>IFERROR(__xludf.DUMMYFUNCTION("""COMPUTED_VALUE"""),"Nicolas Batum")</f>
        <v>Nicolas Batum</v>
      </c>
      <c r="C2550" s="162" t="str">
        <f>IFERROR(__xludf.DUMMYFUNCTION("""COMPUTED_VALUE"""),"2018-19")</f>
        <v>2018-19</v>
      </c>
      <c r="D2550" s="163" t="str">
        <f>IFERROR(__xludf.DUMMYFUNCTION("""COMPUTED_VALUE"""),"CHO")</f>
        <v>CHO</v>
      </c>
      <c r="E2550" s="164" t="str">
        <f>IFERROR(__xludf.DUMMYFUNCTION("""COMPUTED_VALUE"""),"Movement Shooter")</f>
        <v>Movement Shooter</v>
      </c>
      <c r="F2550" s="164">
        <f>IFERROR(__xludf.DUMMYFUNCTION("""COMPUTED_VALUE"""),2354.01833333333)</f>
        <v>2354.018333</v>
      </c>
      <c r="G2550" s="163">
        <f>IFERROR(__xludf.DUMMYFUNCTION("""COMPUTED_VALUE"""),75.0)</f>
        <v>75</v>
      </c>
      <c r="H2550" s="163" t="str">
        <f>IFERROR(__xludf.DUMMYFUNCTION("""COMPUTED_VALUE"""),"SF")</f>
        <v>SF</v>
      </c>
      <c r="I2550" s="163">
        <f>IFERROR(__xludf.DUMMYFUNCTION("""COMPUTED_VALUE"""),30.0)</f>
        <v>30</v>
      </c>
      <c r="J2550" s="165">
        <f>IFERROR(__xludf.DUMMYFUNCTION("""COMPUTED_VALUE"""),-0.698075887535797)</f>
        <v>-0.6980758875</v>
      </c>
      <c r="K2550" s="165">
        <f>IFERROR(__xludf.DUMMYFUNCTION("""COMPUTED_VALUE"""),-1.09186026821072)</f>
        <v>-1.091860268</v>
      </c>
      <c r="L2550" s="165">
        <f>IFERROR(__xludf.DUMMYFUNCTION("""COMPUTED_VALUE"""),0.393784380674927)</f>
        <v>0.3937843807</v>
      </c>
      <c r="M2550" s="166">
        <f t="shared" si="2"/>
        <v>2.521976028</v>
      </c>
      <c r="N2550" s="167">
        <f t="shared" si="3"/>
        <v>31.38691111</v>
      </c>
      <c r="O2550" s="163">
        <f t="shared" ref="O2550:Q2550" si="2554">rank(I2550,I:I)</f>
        <v>655</v>
      </c>
      <c r="P2550" s="163">
        <f t="shared" si="2554"/>
        <v>2136</v>
      </c>
      <c r="Q2550" s="163">
        <f t="shared" si="2554"/>
        <v>2920</v>
      </c>
      <c r="R2550" s="163">
        <f>IFERROR(__xludf.DUMMYFUNCTION("RANK(M2550,filter(M:M,C:C=C2550))"),128.0)</f>
        <v>128</v>
      </c>
      <c r="S2550" s="161" t="b">
        <f t="shared" si="5"/>
        <v>0</v>
      </c>
      <c r="T2550" s="161" t="b">
        <f t="array" ref="T2550">index('Query Tool'!B:B,match(H2550,'Query Tool'!C:C,0))</f>
        <v>1</v>
      </c>
      <c r="U2550" s="161" t="b">
        <f t="array" ref="U2550">index('Query Tool'!B:B,match(C2550,'Query Tool'!C:C,0))</f>
        <v>0</v>
      </c>
      <c r="V2550" s="161" t="b">
        <f>F2550&gt;='Query Tool'!C$32</f>
        <v>1</v>
      </c>
      <c r="W2550" s="161" t="b">
        <f t="array" ref="W2550">index(Dropdowns!B:B,match(I2550,Dropdowns!A:A,0))</f>
        <v>1</v>
      </c>
      <c r="X2550" s="161" t="b">
        <f t="array" ref="X2550">index('Query Tool'!B:B,match(D2550,'Query Tool'!C:C,0))</f>
        <v>1</v>
      </c>
      <c r="Y2550" s="161" t="str">
        <f t="shared" si="6"/>
        <v>batumni01,2018-19</v>
      </c>
      <c r="Z2550" s="168">
        <f t="array" ref="Z2550">iferror(index(I:I,match($A2550&amp;","&amp;index('Year Conversion'!$A:$A,match($C2550,'Year Conversion'!$B:$B,0)),$Y:$Y,0))-I2550,"")</f>
        <v>1</v>
      </c>
      <c r="AA2550" s="168">
        <f t="array" ref="AA2550">iferror(index(J:J,match($A2550&amp;","&amp;index('Year Conversion'!$A:$A,match($C2550,'Year Conversion'!$B:$B,0)),$Y:$Y,0))-J2550,"")</f>
        <v>0.1448322885</v>
      </c>
      <c r="AB2550" s="168">
        <f t="array" ref="AB2550">iferror(index(K:K,match($A2550&amp;","&amp;index('Year Conversion'!$A:$A,match($C2550,'Year Conversion'!$B:$B,0)),$Y:$Y,0))-K2550,"")</f>
        <v>-0.2217875029</v>
      </c>
      <c r="AC2550" s="168" t="str">
        <f t="shared" si="7"/>
        <v>CHO,2018-19</v>
      </c>
    </row>
    <row r="2551">
      <c r="A2551" s="161" t="str">
        <f>IFERROR(__xludf.DUMMYFUNCTION("""COMPUTED_VALUE"""),"hillge01")</f>
        <v>hillge01</v>
      </c>
      <c r="B2551" s="161" t="str">
        <f>IFERROR(__xludf.DUMMYFUNCTION("""COMPUTED_VALUE"""),"George Hill")</f>
        <v>George Hill</v>
      </c>
      <c r="C2551" s="162" t="str">
        <f>IFERROR(__xludf.DUMMYFUNCTION("""COMPUTED_VALUE"""),"2018-19")</f>
        <v>2018-19</v>
      </c>
      <c r="D2551" s="163" t="str">
        <f>IFERROR(__xludf.DUMMYFUNCTION("""COMPUTED_VALUE"""),"TOT")</f>
        <v>TOT</v>
      </c>
      <c r="E2551" s="164" t="str">
        <f>IFERROR(__xludf.DUMMYFUNCTION("""COMPUTED_VALUE"""),"Secondary Ball Handler")</f>
        <v>Secondary Ball Handler</v>
      </c>
      <c r="F2551" s="164">
        <f>IFERROR(__xludf.DUMMYFUNCTION("""COMPUTED_VALUE"""),1302.305)</f>
        <v>1302.305</v>
      </c>
      <c r="G2551" s="163">
        <f>IFERROR(__xludf.DUMMYFUNCTION("""COMPUTED_VALUE"""),60.0)</f>
        <v>60</v>
      </c>
      <c r="H2551" s="163" t="str">
        <f>IFERROR(__xludf.DUMMYFUNCTION("""COMPUTED_VALUE"""),"PG")</f>
        <v>PG</v>
      </c>
      <c r="I2551" s="163">
        <f>IFERROR(__xludf.DUMMYFUNCTION("""COMPUTED_VALUE"""),32.0)</f>
        <v>32</v>
      </c>
      <c r="J2551" s="165">
        <f>IFERROR(__xludf.DUMMYFUNCTION("""COMPUTED_VALUE"""),0.829599881402106)</f>
        <v>0.8295998814</v>
      </c>
      <c r="K2551" s="165">
        <f>IFERROR(__xludf.DUMMYFUNCTION("""COMPUTED_VALUE"""),-0.0812626927063156)</f>
        <v>-0.08126269271</v>
      </c>
      <c r="L2551" s="165">
        <f>IFERROR(__xludf.DUMMYFUNCTION("""COMPUTED_VALUE"""),0.910862574108422)</f>
        <v>0.9108625741</v>
      </c>
      <c r="M2551" s="166">
        <f t="shared" si="2"/>
        <v>2.735413936</v>
      </c>
      <c r="N2551" s="167">
        <f t="shared" si="3"/>
        <v>21.70508333</v>
      </c>
      <c r="O2551" s="163">
        <f t="shared" ref="O2551:Q2551" si="2555">rank(I2551,I:I)</f>
        <v>359</v>
      </c>
      <c r="P2551" s="163">
        <f t="shared" si="2555"/>
        <v>721</v>
      </c>
      <c r="Q2551" s="163">
        <f t="shared" si="2555"/>
        <v>1325</v>
      </c>
      <c r="R2551" s="163">
        <f>IFERROR(__xludf.DUMMYFUNCTION("RANK(M2551,filter(M:M,C:C=C2551))"),120.0)</f>
        <v>120</v>
      </c>
      <c r="S2551" s="161" t="b">
        <f t="shared" si="5"/>
        <v>0</v>
      </c>
      <c r="T2551" s="161" t="b">
        <f t="array" ref="T2551">index('Query Tool'!B:B,match(H2551,'Query Tool'!C:C,0))</f>
        <v>1</v>
      </c>
      <c r="U2551" s="161" t="b">
        <f t="array" ref="U2551">index('Query Tool'!B:B,match(C2551,'Query Tool'!C:C,0))</f>
        <v>0</v>
      </c>
      <c r="V2551" s="161" t="b">
        <f>F2551&gt;='Query Tool'!C$32</f>
        <v>1</v>
      </c>
      <c r="W2551" s="161" t="b">
        <f t="array" ref="W2551">index(Dropdowns!B:B,match(I2551,Dropdowns!A:A,0))</f>
        <v>1</v>
      </c>
      <c r="X2551" s="161" t="b">
        <f t="array" ref="X2551">index('Query Tool'!B:B,match(D2551,'Query Tool'!C:C,0))</f>
        <v>1</v>
      </c>
      <c r="Y2551" s="161" t="str">
        <f t="shared" si="6"/>
        <v>hillge01,2018-19</v>
      </c>
      <c r="Z2551" s="168">
        <f t="array" ref="Z2551">iferror(index(I:I,match($A2551&amp;","&amp;index('Year Conversion'!$A:$A,match($C2551,'Year Conversion'!$B:$B,0)),$Y:$Y,0))-I2551,"")</f>
        <v>1</v>
      </c>
      <c r="AA2551" s="168">
        <f t="array" ref="AA2551">iferror(index(J:J,match($A2551&amp;","&amp;index('Year Conversion'!$A:$A,match($C2551,'Year Conversion'!$B:$B,0)),$Y:$Y,0))-J2551,"")</f>
        <v>1.6233547</v>
      </c>
      <c r="AB2551" s="168">
        <f t="array" ref="AB2551">iferror(index(K:K,match($A2551&amp;","&amp;index('Year Conversion'!$A:$A,match($C2551,'Year Conversion'!$B:$B,0)),$Y:$Y,0))-K2551,"")</f>
        <v>1.611952956</v>
      </c>
      <c r="AC2551" s="168" t="str">
        <f t="shared" si="7"/>
        <v>TOT,2018-19</v>
      </c>
    </row>
    <row r="2552">
      <c r="A2552" s="161" t="str">
        <f>IFERROR(__xludf.DUMMYFUNCTION("""COMPUTED_VALUE"""),"jordade01")</f>
        <v>jordade01</v>
      </c>
      <c r="B2552" s="161" t="str">
        <f>IFERROR(__xludf.DUMMYFUNCTION("""COMPUTED_VALUE"""),"DeAndre Jordan")</f>
        <v>DeAndre Jordan</v>
      </c>
      <c r="C2552" s="162" t="str">
        <f>IFERROR(__xludf.DUMMYFUNCTION("""COMPUTED_VALUE"""),"2018-19")</f>
        <v>2018-19</v>
      </c>
      <c r="D2552" s="163" t="str">
        <f>IFERROR(__xludf.DUMMYFUNCTION("""COMPUTED_VALUE"""),"TOT")</f>
        <v>TOT</v>
      </c>
      <c r="E2552" s="164" t="str">
        <f>IFERROR(__xludf.DUMMYFUNCTION("""COMPUTED_VALUE"""),"Roll + Cut Big")</f>
        <v>Roll + Cut Big</v>
      </c>
      <c r="F2552" s="164">
        <f>IFERROR(__xludf.DUMMYFUNCTION("""COMPUTED_VALUE"""),2047.18333333333)</f>
        <v>2047.183333</v>
      </c>
      <c r="G2552" s="163">
        <f>IFERROR(__xludf.DUMMYFUNCTION("""COMPUTED_VALUE"""),69.0)</f>
        <v>69</v>
      </c>
      <c r="H2552" s="163" t="str">
        <f>IFERROR(__xludf.DUMMYFUNCTION("""COMPUTED_VALUE"""),"C")</f>
        <v>C</v>
      </c>
      <c r="I2552" s="163">
        <f>IFERROR(__xludf.DUMMYFUNCTION("""COMPUTED_VALUE"""),30.0)</f>
        <v>30</v>
      </c>
      <c r="J2552" s="165">
        <f>IFERROR(__xludf.DUMMYFUNCTION("""COMPUTED_VALUE"""),0.327651461335554)</f>
        <v>0.3276514613</v>
      </c>
      <c r="K2552" s="165">
        <f>IFERROR(__xludf.DUMMYFUNCTION("""COMPUTED_VALUE"""),-1.78736547398019)</f>
        <v>-1.787365474</v>
      </c>
      <c r="L2552" s="165">
        <f>IFERROR(__xludf.DUMMYFUNCTION("""COMPUTED_VALUE"""),2.11501693531574)</f>
        <v>2.115016935</v>
      </c>
      <c r="M2552" s="166">
        <f t="shared" si="2"/>
        <v>3.608228196</v>
      </c>
      <c r="N2552" s="167">
        <f t="shared" si="3"/>
        <v>29.66932367</v>
      </c>
      <c r="O2552" s="163">
        <f t="shared" ref="O2552:Q2552" si="2556">rank(I2552,I:I)</f>
        <v>655</v>
      </c>
      <c r="P2552" s="163">
        <f t="shared" si="2556"/>
        <v>999</v>
      </c>
      <c r="Q2552" s="163">
        <f t="shared" si="2556"/>
        <v>3570</v>
      </c>
      <c r="R2552" s="163">
        <f>IFERROR(__xludf.DUMMYFUNCTION("RANK(M2552,filter(M:M,C:C=C2552))"),94.0)</f>
        <v>94</v>
      </c>
      <c r="S2552" s="161" t="b">
        <f t="shared" si="5"/>
        <v>0</v>
      </c>
      <c r="T2552" s="161" t="b">
        <f t="array" ref="T2552">index('Query Tool'!B:B,match(H2552,'Query Tool'!C:C,0))</f>
        <v>1</v>
      </c>
      <c r="U2552" s="161" t="b">
        <f t="array" ref="U2552">index('Query Tool'!B:B,match(C2552,'Query Tool'!C:C,0))</f>
        <v>0</v>
      </c>
      <c r="V2552" s="161" t="b">
        <f>F2552&gt;='Query Tool'!C$32</f>
        <v>1</v>
      </c>
      <c r="W2552" s="161" t="b">
        <f t="array" ref="W2552">index(Dropdowns!B:B,match(I2552,Dropdowns!A:A,0))</f>
        <v>1</v>
      </c>
      <c r="X2552" s="161" t="b">
        <f t="array" ref="X2552">index('Query Tool'!B:B,match(D2552,'Query Tool'!C:C,0))</f>
        <v>1</v>
      </c>
      <c r="Y2552" s="161" t="str">
        <f t="shared" si="6"/>
        <v>jordade01,2018-19</v>
      </c>
      <c r="Z2552" s="168">
        <f t="array" ref="Z2552">iferror(index(I:I,match($A2552&amp;","&amp;index('Year Conversion'!$A:$A,match($C2552,'Year Conversion'!$B:$B,0)),$Y:$Y,0))-I2552,"")</f>
        <v>1</v>
      </c>
      <c r="AA2552" s="168">
        <f t="array" ref="AA2552">iferror(index(J:J,match($A2552&amp;","&amp;index('Year Conversion'!$A:$A,match($C2552,'Year Conversion'!$B:$B,0)),$Y:$Y,0))-J2552,"")</f>
        <v>0.05835894827</v>
      </c>
      <c r="AB2552" s="168">
        <f t="array" ref="AB2552">iferror(index(K:K,match($A2552&amp;","&amp;index('Year Conversion'!$A:$A,match($C2552,'Year Conversion'!$B:$B,0)),$Y:$Y,0))-K2552,"")</f>
        <v>0.3760583818</v>
      </c>
      <c r="AC2552" s="168" t="str">
        <f t="shared" si="7"/>
        <v>TOT,2018-19</v>
      </c>
    </row>
    <row r="2553">
      <c r="A2553" s="161" t="str">
        <f>IFERROR(__xludf.DUMMYFUNCTION("""COMPUTED_VALUE"""),"mbahalu01")</f>
        <v>mbahalu01</v>
      </c>
      <c r="B2553" s="161" t="str">
        <f>IFERROR(__xludf.DUMMYFUNCTION("""COMPUTED_VALUE"""),"Luc Mbah a Moute")</f>
        <v>Luc Mbah a Moute</v>
      </c>
      <c r="C2553" s="162" t="str">
        <f>IFERROR(__xludf.DUMMYFUNCTION("""COMPUTED_VALUE"""),"2018-19")</f>
        <v>2018-19</v>
      </c>
      <c r="D2553" s="163" t="str">
        <f>IFERROR(__xludf.DUMMYFUNCTION("""COMPUTED_VALUE"""),"LAC")</f>
        <v>LAC</v>
      </c>
      <c r="E2553" s="164" t="str">
        <f>IFERROR(__xludf.DUMMYFUNCTION("""COMPUTED_VALUE"""),"Athletic Finisher")</f>
        <v>Athletic Finisher</v>
      </c>
      <c r="F2553" s="164">
        <f>IFERROR(__xludf.DUMMYFUNCTION("""COMPUTED_VALUE"""),61.0000000000001)</f>
        <v>61</v>
      </c>
      <c r="G2553" s="163">
        <f>IFERROR(__xludf.DUMMYFUNCTION("""COMPUTED_VALUE"""),4.0)</f>
        <v>4</v>
      </c>
      <c r="H2553" s="163" t="str">
        <f>IFERROR(__xludf.DUMMYFUNCTION("""COMPUTED_VALUE"""),"PF")</f>
        <v>PF</v>
      </c>
      <c r="I2553" s="163">
        <f>IFERROR(__xludf.DUMMYFUNCTION("""COMPUTED_VALUE"""),32.0)</f>
        <v>32</v>
      </c>
      <c r="J2553" s="165">
        <f>IFERROR(__xludf.DUMMYFUNCTION("""COMPUTED_VALUE"""),-0.6806341322714)</f>
        <v>-0.6806341323</v>
      </c>
      <c r="K2553" s="165">
        <f>IFERROR(__xludf.DUMMYFUNCTION("""COMPUTED_VALUE"""),-0.374476858104561)</f>
        <v>-0.3744768581</v>
      </c>
      <c r="L2553" s="165">
        <f>IFERROR(__xludf.DUMMYFUNCTION("""COMPUTED_VALUE"""),-0.306157274166839)</f>
        <v>-0.3061572742</v>
      </c>
      <c r="M2553" s="166">
        <f t="shared" si="2"/>
        <v>0.06606819426</v>
      </c>
      <c r="N2553" s="167">
        <f t="shared" si="3"/>
        <v>15.25</v>
      </c>
      <c r="O2553" s="163">
        <f t="shared" ref="O2553:Q2553" si="2557">rank(I2553,I:I)</f>
        <v>359</v>
      </c>
      <c r="P2553" s="163">
        <f t="shared" si="2557"/>
        <v>2111</v>
      </c>
      <c r="Q2553" s="163">
        <f t="shared" si="2557"/>
        <v>1905</v>
      </c>
      <c r="R2553" s="163">
        <f>IFERROR(__xludf.DUMMYFUNCTION("RANK(M2553,filter(M:M,C:C=C2553))"),408.0)</f>
        <v>408</v>
      </c>
      <c r="S2553" s="161" t="b">
        <f t="shared" si="5"/>
        <v>0</v>
      </c>
      <c r="T2553" s="161" t="b">
        <f t="array" ref="T2553">index('Query Tool'!B:B,match(H2553,'Query Tool'!C:C,0))</f>
        <v>1</v>
      </c>
      <c r="U2553" s="161" t="b">
        <f t="array" ref="U2553">index('Query Tool'!B:B,match(C2553,'Query Tool'!C:C,0))</f>
        <v>0</v>
      </c>
      <c r="V2553" s="161" t="b">
        <f>F2553&gt;='Query Tool'!C$32</f>
        <v>0</v>
      </c>
      <c r="W2553" s="161" t="b">
        <f t="array" ref="W2553">index(Dropdowns!B:B,match(I2553,Dropdowns!A:A,0))</f>
        <v>1</v>
      </c>
      <c r="X2553" s="161" t="b">
        <f t="array" ref="X2553">index('Query Tool'!B:B,match(D2553,'Query Tool'!C:C,0))</f>
        <v>1</v>
      </c>
      <c r="Y2553" s="161" t="str">
        <f t="shared" si="6"/>
        <v>mbahalu01,2018-19</v>
      </c>
      <c r="Z2553" s="168">
        <f t="array" ref="Z2553">iferror(index(I:I,match($A2553&amp;","&amp;index('Year Conversion'!$A:$A,match($C2553,'Year Conversion'!$B:$B,0)),$Y:$Y,0))-I2553,"")</f>
        <v>1</v>
      </c>
      <c r="AA2553" s="168">
        <f t="array" ref="AA2553">iferror(index(J:J,match($A2553&amp;","&amp;index('Year Conversion'!$A:$A,match($C2553,'Year Conversion'!$B:$B,0)),$Y:$Y,0))-J2553,"")</f>
        <v>-0.08579953602</v>
      </c>
      <c r="AB2553" s="168">
        <f t="array" ref="AB2553">iferror(index(K:K,match($A2553&amp;","&amp;index('Year Conversion'!$A:$A,match($C2553,'Year Conversion'!$B:$B,0)),$Y:$Y,0))-K2553,"")</f>
        <v>0.1199943665</v>
      </c>
      <c r="AC2553" s="168" t="str">
        <f t="shared" si="7"/>
        <v>LAC,2018-19</v>
      </c>
    </row>
    <row r="2554">
      <c r="A2554" s="161" t="str">
        <f>IFERROR(__xludf.DUMMYFUNCTION("""COMPUTED_VALUE"""),"dragigo01")</f>
        <v>dragigo01</v>
      </c>
      <c r="B2554" s="161" t="str">
        <f>IFERROR(__xludf.DUMMYFUNCTION("""COMPUTED_VALUE"""),"Goran Dragic")</f>
        <v>Goran Dragic</v>
      </c>
      <c r="C2554" s="162" t="str">
        <f>IFERROR(__xludf.DUMMYFUNCTION("""COMPUTED_VALUE"""),"2018-19")</f>
        <v>2018-19</v>
      </c>
      <c r="D2554" s="163" t="str">
        <f>IFERROR(__xludf.DUMMYFUNCTION("""COMPUTED_VALUE"""),"MIA")</f>
        <v>MIA</v>
      </c>
      <c r="E2554" s="164" t="str">
        <f>IFERROR(__xludf.DUMMYFUNCTION("""COMPUTED_VALUE"""),"Secondary Ball Handler")</f>
        <v>Secondary Ball Handler</v>
      </c>
      <c r="F2554" s="164">
        <f>IFERROR(__xludf.DUMMYFUNCTION("""COMPUTED_VALUE"""),990.516666666667)</f>
        <v>990.5166667</v>
      </c>
      <c r="G2554" s="163">
        <f>IFERROR(__xludf.DUMMYFUNCTION("""COMPUTED_VALUE"""),36.0)</f>
        <v>36</v>
      </c>
      <c r="H2554" s="163" t="str">
        <f>IFERROR(__xludf.DUMMYFUNCTION("""COMPUTED_VALUE"""),"PG")</f>
        <v>PG</v>
      </c>
      <c r="I2554" s="163">
        <f>IFERROR(__xludf.DUMMYFUNCTION("""COMPUTED_VALUE"""),32.0)</f>
        <v>32</v>
      </c>
      <c r="J2554" s="165">
        <f>IFERROR(__xludf.DUMMYFUNCTION("""COMPUTED_VALUE"""),0.603712428604966)</f>
        <v>0.6037124286</v>
      </c>
      <c r="K2554" s="165">
        <f>IFERROR(__xludf.DUMMYFUNCTION("""COMPUTED_VALUE"""),0.642715318410462)</f>
        <v>0.6427153184</v>
      </c>
      <c r="L2554" s="165">
        <f>IFERROR(__xludf.DUMMYFUNCTION("""COMPUTED_VALUE"""),-0.0390028898054953)</f>
        <v>-0.03900288981</v>
      </c>
      <c r="M2554" s="166">
        <f t="shared" si="2"/>
        <v>1.929999423</v>
      </c>
      <c r="N2554" s="167">
        <f t="shared" si="3"/>
        <v>27.51435185</v>
      </c>
      <c r="O2554" s="163">
        <f t="shared" ref="O2554:Q2554" si="2558">rank(I2554,I:I)</f>
        <v>359</v>
      </c>
      <c r="P2554" s="163">
        <f t="shared" si="2558"/>
        <v>842</v>
      </c>
      <c r="Q2554" s="163">
        <f t="shared" si="2558"/>
        <v>685</v>
      </c>
      <c r="R2554" s="163">
        <f>IFERROR(__xludf.DUMMYFUNCTION("RANK(M2554,filter(M:M,C:C=C2554))"),154.0)</f>
        <v>154</v>
      </c>
      <c r="S2554" s="161" t="b">
        <f t="shared" si="5"/>
        <v>0</v>
      </c>
      <c r="T2554" s="161" t="b">
        <f t="array" ref="T2554">index('Query Tool'!B:B,match(H2554,'Query Tool'!C:C,0))</f>
        <v>1</v>
      </c>
      <c r="U2554" s="161" t="b">
        <f t="array" ref="U2554">index('Query Tool'!B:B,match(C2554,'Query Tool'!C:C,0))</f>
        <v>0</v>
      </c>
      <c r="V2554" s="161" t="b">
        <f>F2554&gt;='Query Tool'!C$32</f>
        <v>1</v>
      </c>
      <c r="W2554" s="161" t="b">
        <f t="array" ref="W2554">index(Dropdowns!B:B,match(I2554,Dropdowns!A:A,0))</f>
        <v>1</v>
      </c>
      <c r="X2554" s="161" t="b">
        <f t="array" ref="X2554">index('Query Tool'!B:B,match(D2554,'Query Tool'!C:C,0))</f>
        <v>1</v>
      </c>
      <c r="Y2554" s="161" t="str">
        <f t="shared" si="6"/>
        <v>dragigo01,2018-19</v>
      </c>
      <c r="Z2554" s="168">
        <f t="array" ref="Z2554">iferror(index(I:I,match($A2554&amp;","&amp;index('Year Conversion'!$A:$A,match($C2554,'Year Conversion'!$B:$B,0)),$Y:$Y,0))-I2554,"")</f>
        <v>1</v>
      </c>
      <c r="AA2554" s="168">
        <f t="array" ref="AA2554">iferror(index(J:J,match($A2554&amp;","&amp;index('Year Conversion'!$A:$A,match($C2554,'Year Conversion'!$B:$B,0)),$Y:$Y,0))-J2554,"")</f>
        <v>-1.237242335</v>
      </c>
      <c r="AB2554" s="168">
        <f t="array" ref="AB2554">iferror(index(K:K,match($A2554&amp;","&amp;index('Year Conversion'!$A:$A,match($C2554,'Year Conversion'!$B:$B,0)),$Y:$Y,0))-K2554,"")</f>
        <v>0.2732830346</v>
      </c>
      <c r="AC2554" s="168" t="str">
        <f t="shared" si="7"/>
        <v>MIA,2018-19</v>
      </c>
    </row>
    <row r="2555">
      <c r="A2555" s="161" t="str">
        <f>IFERROR(__xludf.DUMMYFUNCTION("""COMPUTED_VALUE"""),"griffbl01")</f>
        <v>griffbl01</v>
      </c>
      <c r="B2555" s="161" t="str">
        <f>IFERROR(__xludf.DUMMYFUNCTION("""COMPUTED_VALUE"""),"Blake Griffin")</f>
        <v>Blake Griffin</v>
      </c>
      <c r="C2555" s="162" t="str">
        <f>IFERROR(__xludf.DUMMYFUNCTION("""COMPUTED_VALUE"""),"2018-19")</f>
        <v>2018-19</v>
      </c>
      <c r="D2555" s="163" t="str">
        <f>IFERROR(__xludf.DUMMYFUNCTION("""COMPUTED_VALUE"""),"DET")</f>
        <v>DET</v>
      </c>
      <c r="E2555" s="164" t="str">
        <f>IFERROR(__xludf.DUMMYFUNCTION("""COMPUTED_VALUE"""),"Versatile Big")</f>
        <v>Versatile Big</v>
      </c>
      <c r="F2555" s="164">
        <f>IFERROR(__xludf.DUMMYFUNCTION("""COMPUTED_VALUE"""),2622.33333333333)</f>
        <v>2622.333333</v>
      </c>
      <c r="G2555" s="163">
        <f>IFERROR(__xludf.DUMMYFUNCTION("""COMPUTED_VALUE"""),75.0)</f>
        <v>75</v>
      </c>
      <c r="H2555" s="163" t="str">
        <f>IFERROR(__xludf.DUMMYFUNCTION("""COMPUTED_VALUE"""),"PF")</f>
        <v>PF</v>
      </c>
      <c r="I2555" s="163">
        <f>IFERROR(__xludf.DUMMYFUNCTION("""COMPUTED_VALUE"""),29.0)</f>
        <v>29</v>
      </c>
      <c r="J2555" s="165">
        <f>IFERROR(__xludf.DUMMYFUNCTION("""COMPUTED_VALUE"""),1.89137285998024)</f>
        <v>1.89137286</v>
      </c>
      <c r="K2555" s="165">
        <f>IFERROR(__xludf.DUMMYFUNCTION("""COMPUTED_VALUE"""),1.78258082215527)</f>
        <v>1.782580822</v>
      </c>
      <c r="L2555" s="165">
        <f>IFERROR(__xludf.DUMMYFUNCTION("""COMPUTED_VALUE"""),0.108792037824968)</f>
        <v>0.1087920378</v>
      </c>
      <c r="M2555" s="166">
        <f t="shared" si="2"/>
        <v>7.370098334</v>
      </c>
      <c r="N2555" s="167">
        <f t="shared" si="3"/>
        <v>34.96444444</v>
      </c>
      <c r="O2555" s="163">
        <f t="shared" ref="O2555:Q2555" si="2559">rank(I2555,I:I)</f>
        <v>855</v>
      </c>
      <c r="P2555" s="163">
        <f t="shared" si="2559"/>
        <v>347</v>
      </c>
      <c r="Q2555" s="163">
        <f t="shared" si="2559"/>
        <v>263</v>
      </c>
      <c r="R2555" s="163">
        <f>IFERROR(__xludf.DUMMYFUNCTION("RANK(M2555,filter(M:M,C:C=C2555))"),28.0)</f>
        <v>28</v>
      </c>
      <c r="S2555" s="161" t="b">
        <f t="shared" si="5"/>
        <v>0</v>
      </c>
      <c r="T2555" s="161" t="b">
        <f t="array" ref="T2555">index('Query Tool'!B:B,match(H2555,'Query Tool'!C:C,0))</f>
        <v>1</v>
      </c>
      <c r="U2555" s="161" t="b">
        <f t="array" ref="U2555">index('Query Tool'!B:B,match(C2555,'Query Tool'!C:C,0))</f>
        <v>0</v>
      </c>
      <c r="V2555" s="161" t="b">
        <f>F2555&gt;='Query Tool'!C$32</f>
        <v>1</v>
      </c>
      <c r="W2555" s="161" t="b">
        <f t="array" ref="W2555">index(Dropdowns!B:B,match(I2555,Dropdowns!A:A,0))</f>
        <v>1</v>
      </c>
      <c r="X2555" s="161" t="b">
        <f t="array" ref="X2555">index('Query Tool'!B:B,match(D2555,'Query Tool'!C:C,0))</f>
        <v>1</v>
      </c>
      <c r="Y2555" s="161" t="str">
        <f t="shared" si="6"/>
        <v>griffbl01,2018-19</v>
      </c>
      <c r="Z2555" s="168">
        <f t="array" ref="Z2555">iferror(index(I:I,match($A2555&amp;","&amp;index('Year Conversion'!$A:$A,match($C2555,'Year Conversion'!$B:$B,0)),$Y:$Y,0))-I2555,"")</f>
        <v>1</v>
      </c>
      <c r="AA2555" s="168">
        <f t="array" ref="AA2555">iferror(index(J:J,match($A2555&amp;","&amp;index('Year Conversion'!$A:$A,match($C2555,'Year Conversion'!$B:$B,0)),$Y:$Y,0))-J2555,"")</f>
        <v>-1.171835532</v>
      </c>
      <c r="AB2555" s="168">
        <f t="array" ref="AB2555">iferror(index(K:K,match($A2555&amp;","&amp;index('Year Conversion'!$A:$A,match($C2555,'Year Conversion'!$B:$B,0)),$Y:$Y,0))-K2555,"")</f>
        <v>-0.2757577957</v>
      </c>
      <c r="AC2555" s="168" t="str">
        <f t="shared" si="7"/>
        <v>DET,2018-19</v>
      </c>
    </row>
    <row r="2556">
      <c r="A2556" s="161" t="str">
        <f>IFERROR(__xludf.DUMMYFUNCTION("""COMPUTED_VALUE"""),"hardeja01")</f>
        <v>hardeja01</v>
      </c>
      <c r="B2556" s="161" t="str">
        <f>IFERROR(__xludf.DUMMYFUNCTION("""COMPUTED_VALUE"""),"James Harden")</f>
        <v>James Harden</v>
      </c>
      <c r="C2556" s="162" t="str">
        <f>IFERROR(__xludf.DUMMYFUNCTION("""COMPUTED_VALUE"""),"2018-19")</f>
        <v>2018-19</v>
      </c>
      <c r="D2556" s="163" t="str">
        <f>IFERROR(__xludf.DUMMYFUNCTION("""COMPUTED_VALUE"""),"HOU")</f>
        <v>HOU</v>
      </c>
      <c r="E2556" s="164" t="str">
        <f>IFERROR(__xludf.DUMMYFUNCTION("""COMPUTED_VALUE"""),"Shot Creator")</f>
        <v>Shot Creator</v>
      </c>
      <c r="F2556" s="164">
        <f>IFERROR(__xludf.DUMMYFUNCTION("""COMPUTED_VALUE"""),2866.725)</f>
        <v>2866.725</v>
      </c>
      <c r="G2556" s="163">
        <f>IFERROR(__xludf.DUMMYFUNCTION("""COMPUTED_VALUE"""),78.0)</f>
        <v>78</v>
      </c>
      <c r="H2556" s="163" t="str">
        <f>IFERROR(__xludf.DUMMYFUNCTION("""COMPUTED_VALUE"""),"PG")</f>
        <v>PG</v>
      </c>
      <c r="I2556" s="163">
        <f>IFERROR(__xludf.DUMMYFUNCTION("""COMPUTED_VALUE"""),29.0)</f>
        <v>29</v>
      </c>
      <c r="J2556" s="165">
        <f>IFERROR(__xludf.DUMMYFUNCTION("""COMPUTED_VALUE"""),6.19017024135617)</f>
        <v>6.190170241</v>
      </c>
      <c r="K2556" s="165">
        <f>IFERROR(__xludf.DUMMYFUNCTION("""COMPUTED_VALUE"""),6.74342807593915)</f>
        <v>6.743428076</v>
      </c>
      <c r="L2556" s="165">
        <f>IFERROR(__xludf.DUMMYFUNCTION("""COMPUTED_VALUE"""),-0.553257834582977)</f>
        <v>-0.5532578346</v>
      </c>
      <c r="M2556" s="166">
        <f t="shared" si="2"/>
        <v>15.78465453</v>
      </c>
      <c r="N2556" s="167">
        <f t="shared" si="3"/>
        <v>36.75288462</v>
      </c>
      <c r="O2556" s="163">
        <f t="shared" ref="O2556:Q2556" si="2560">rank(I2556,I:I)</f>
        <v>855</v>
      </c>
      <c r="P2556" s="163">
        <f t="shared" si="2560"/>
        <v>15</v>
      </c>
      <c r="Q2556" s="163">
        <f t="shared" si="2560"/>
        <v>1</v>
      </c>
      <c r="R2556" s="163">
        <f>IFERROR(__xludf.DUMMYFUNCTION("RANK(M2556,filter(M:M,C:C=C2556))"),1.0)</f>
        <v>1</v>
      </c>
      <c r="S2556" s="161" t="b">
        <f t="shared" si="5"/>
        <v>0</v>
      </c>
      <c r="T2556" s="161" t="b">
        <f t="array" ref="T2556">index('Query Tool'!B:B,match(H2556,'Query Tool'!C:C,0))</f>
        <v>1</v>
      </c>
      <c r="U2556" s="161" t="b">
        <f t="array" ref="U2556">index('Query Tool'!B:B,match(C2556,'Query Tool'!C:C,0))</f>
        <v>0</v>
      </c>
      <c r="V2556" s="161" t="b">
        <f>F2556&gt;='Query Tool'!C$32</f>
        <v>1</v>
      </c>
      <c r="W2556" s="161" t="b">
        <f t="array" ref="W2556">index(Dropdowns!B:B,match(I2556,Dropdowns!A:A,0))</f>
        <v>1</v>
      </c>
      <c r="X2556" s="161" t="b">
        <f t="array" ref="X2556">index('Query Tool'!B:B,match(D2556,'Query Tool'!C:C,0))</f>
        <v>1</v>
      </c>
      <c r="Y2556" s="161" t="str">
        <f t="shared" si="6"/>
        <v>hardeja01,2018-19</v>
      </c>
      <c r="Z2556" s="168">
        <f t="array" ref="Z2556">iferror(index(I:I,match($A2556&amp;","&amp;index('Year Conversion'!$A:$A,match($C2556,'Year Conversion'!$B:$B,0)),$Y:$Y,0))-I2556,"")</f>
        <v>1</v>
      </c>
      <c r="AA2556" s="168">
        <f t="array" ref="AA2556">iferror(index(J:J,match($A2556&amp;","&amp;index('Year Conversion'!$A:$A,match($C2556,'Year Conversion'!$B:$B,0)),$Y:$Y,0))-J2556,"")</f>
        <v>0.6367312743</v>
      </c>
      <c r="AB2556" s="168">
        <f t="array" ref="AB2556">iferror(index(K:K,match($A2556&amp;","&amp;index('Year Conversion'!$A:$A,match($C2556,'Year Conversion'!$B:$B,0)),$Y:$Y,0))-K2556,"")</f>
        <v>-0.3450141413</v>
      </c>
      <c r="AC2556" s="168" t="str">
        <f t="shared" si="7"/>
        <v>HOU,2018-19</v>
      </c>
    </row>
    <row r="2557">
      <c r="A2557" s="161" t="str">
        <f>IFERROR(__xludf.DUMMYFUNCTION("""COMPUTED_VALUE"""),"evansty01")</f>
        <v>evansty01</v>
      </c>
      <c r="B2557" s="161" t="str">
        <f>IFERROR(__xludf.DUMMYFUNCTION("""COMPUTED_VALUE"""),"Tyreke Evans")</f>
        <v>Tyreke Evans</v>
      </c>
      <c r="C2557" s="162" t="str">
        <f>IFERROR(__xludf.DUMMYFUNCTION("""COMPUTED_VALUE"""),"2018-19")</f>
        <v>2018-19</v>
      </c>
      <c r="D2557" s="163" t="str">
        <f>IFERROR(__xludf.DUMMYFUNCTION("""COMPUTED_VALUE"""),"IND")</f>
        <v>IND</v>
      </c>
      <c r="E2557" s="164" t="str">
        <f>IFERROR(__xludf.DUMMYFUNCTION("""COMPUTED_VALUE"""),"Secondary Ball Handler")</f>
        <v>Secondary Ball Handler</v>
      </c>
      <c r="F2557" s="164">
        <f>IFERROR(__xludf.DUMMYFUNCTION("""COMPUTED_VALUE"""),1401.98333333333)</f>
        <v>1401.983333</v>
      </c>
      <c r="G2557" s="163">
        <f>IFERROR(__xludf.DUMMYFUNCTION("""COMPUTED_VALUE"""),69.0)</f>
        <v>69</v>
      </c>
      <c r="H2557" s="163" t="str">
        <f>IFERROR(__xludf.DUMMYFUNCTION("""COMPUTED_VALUE"""),"SG")</f>
        <v>SG</v>
      </c>
      <c r="I2557" s="163">
        <f>IFERROR(__xludf.DUMMYFUNCTION("""COMPUTED_VALUE"""),29.0)</f>
        <v>29</v>
      </c>
      <c r="J2557" s="165">
        <f>IFERROR(__xludf.DUMMYFUNCTION("""COMPUTED_VALUE"""),-1.01117694909238)</f>
        <v>-1.011176949</v>
      </c>
      <c r="K2557" s="165">
        <f>IFERROR(__xludf.DUMMYFUNCTION("""COMPUTED_VALUE"""),-0.863095983937966)</f>
        <v>-0.8630959839</v>
      </c>
      <c r="L2557" s="165">
        <f>IFERROR(__xludf.DUMMYFUNCTION("""COMPUTED_VALUE"""),-0.148080965154416)</f>
        <v>-0.1480809652</v>
      </c>
      <c r="M2557" s="166">
        <f t="shared" si="2"/>
        <v>1.206978876</v>
      </c>
      <c r="N2557" s="167">
        <f t="shared" si="3"/>
        <v>20.31859903</v>
      </c>
      <c r="O2557" s="163">
        <f t="shared" ref="O2557:Q2557" si="2561">rank(I2557,I:I)</f>
        <v>855</v>
      </c>
      <c r="P2557" s="163">
        <f t="shared" si="2561"/>
        <v>2514</v>
      </c>
      <c r="Q2557" s="163">
        <f t="shared" si="2561"/>
        <v>2640</v>
      </c>
      <c r="R2557" s="163">
        <f>IFERROR(__xludf.DUMMYFUNCTION("RANK(M2557,filter(M:M,C:C=C2557))"),206.0)</f>
        <v>206</v>
      </c>
      <c r="S2557" s="161" t="b">
        <f t="shared" si="5"/>
        <v>0</v>
      </c>
      <c r="T2557" s="161" t="b">
        <f t="array" ref="T2557">index('Query Tool'!B:B,match(H2557,'Query Tool'!C:C,0))</f>
        <v>1</v>
      </c>
      <c r="U2557" s="161" t="b">
        <f t="array" ref="U2557">index('Query Tool'!B:B,match(C2557,'Query Tool'!C:C,0))</f>
        <v>0</v>
      </c>
      <c r="V2557" s="161" t="b">
        <f>F2557&gt;='Query Tool'!C$32</f>
        <v>1</v>
      </c>
      <c r="W2557" s="161" t="b">
        <f t="array" ref="W2557">index(Dropdowns!B:B,match(I2557,Dropdowns!A:A,0))</f>
        <v>1</v>
      </c>
      <c r="X2557" s="161" t="b">
        <f t="array" ref="X2557">index('Query Tool'!B:B,match(D2557,'Query Tool'!C:C,0))</f>
        <v>1</v>
      </c>
      <c r="Y2557" s="161" t="str">
        <f t="shared" si="6"/>
        <v>evansty01,2018-19</v>
      </c>
      <c r="Z2557" s="168" t="str">
        <f t="array" ref="Z2557">iferror(index(I:I,match($A2557&amp;","&amp;index('Year Conversion'!$A:$A,match($C2557,'Year Conversion'!$B:$B,0)),$Y:$Y,0))-I2557,"")</f>
        <v/>
      </c>
      <c r="AA2557" s="168" t="str">
        <f t="array" ref="AA2557">iferror(index(J:J,match($A2557&amp;","&amp;index('Year Conversion'!$A:$A,match($C2557,'Year Conversion'!$B:$B,0)),$Y:$Y,0))-J2557,"")</f>
        <v/>
      </c>
      <c r="AB2557" s="168" t="str">
        <f t="array" ref="AB2557">iferror(index(K:K,match($A2557&amp;","&amp;index('Year Conversion'!$A:$A,match($C2557,'Year Conversion'!$B:$B,0)),$Y:$Y,0))-K2557,"")</f>
        <v/>
      </c>
      <c r="AC2557" s="168" t="str">
        <f t="shared" si="7"/>
        <v>IND,2018-19</v>
      </c>
    </row>
    <row r="2558">
      <c r="A2558" s="161" t="str">
        <f>IFERROR(__xludf.DUMMYFUNCTION("""COMPUTED_VALUE"""),"rubiori01")</f>
        <v>rubiori01</v>
      </c>
      <c r="B2558" s="161" t="str">
        <f>IFERROR(__xludf.DUMMYFUNCTION("""COMPUTED_VALUE"""),"Ricky Rubio")</f>
        <v>Ricky Rubio</v>
      </c>
      <c r="C2558" s="162" t="str">
        <f>IFERROR(__xludf.DUMMYFUNCTION("""COMPUTED_VALUE"""),"2018-19")</f>
        <v>2018-19</v>
      </c>
      <c r="D2558" s="163" t="str">
        <f>IFERROR(__xludf.DUMMYFUNCTION("""COMPUTED_VALUE"""),"UTA")</f>
        <v>UTA</v>
      </c>
      <c r="E2558" s="164" t="str">
        <f>IFERROR(__xludf.DUMMYFUNCTION("""COMPUTED_VALUE"""),"Primary Ball Handler")</f>
        <v>Primary Ball Handler</v>
      </c>
      <c r="F2558" s="164">
        <f>IFERROR(__xludf.DUMMYFUNCTION("""COMPUTED_VALUE"""),1898.95)</f>
        <v>1898.95</v>
      </c>
      <c r="G2558" s="163">
        <f>IFERROR(__xludf.DUMMYFUNCTION("""COMPUTED_VALUE"""),68.0)</f>
        <v>68</v>
      </c>
      <c r="H2558" s="163" t="str">
        <f>IFERROR(__xludf.DUMMYFUNCTION("""COMPUTED_VALUE"""),"PG")</f>
        <v>PG</v>
      </c>
      <c r="I2558" s="163">
        <f>IFERROR(__xludf.DUMMYFUNCTION("""COMPUTED_VALUE"""),28.0)</f>
        <v>28</v>
      </c>
      <c r="J2558" s="165">
        <f>IFERROR(__xludf.DUMMYFUNCTION("""COMPUTED_VALUE"""),1.31130361418554)</f>
        <v>1.311303614</v>
      </c>
      <c r="K2558" s="165">
        <f>IFERROR(__xludf.DUMMYFUNCTION("""COMPUTED_VALUE"""),0.0869743471120925)</f>
        <v>0.08697434711</v>
      </c>
      <c r="L2558" s="165">
        <f>IFERROR(__xludf.DUMMYFUNCTION("""COMPUTED_VALUE"""),1.22432926707345)</f>
        <v>1.224329267</v>
      </c>
      <c r="M2558" s="166">
        <f t="shared" si="2"/>
        <v>4.602349231</v>
      </c>
      <c r="N2558" s="167">
        <f t="shared" si="3"/>
        <v>27.92573529</v>
      </c>
      <c r="O2558" s="163">
        <f t="shared" ref="O2558:Q2558" si="2562">rank(I2558,I:I)</f>
        <v>1090</v>
      </c>
      <c r="P2558" s="163">
        <f t="shared" si="2562"/>
        <v>519</v>
      </c>
      <c r="Q2558" s="163">
        <f t="shared" si="2562"/>
        <v>1086</v>
      </c>
      <c r="R2558" s="163">
        <f>IFERROR(__xludf.DUMMYFUNCTION("RANK(M2558,filter(M:M,C:C=C2558))"),66.0)</f>
        <v>66</v>
      </c>
      <c r="S2558" s="161" t="b">
        <f t="shared" si="5"/>
        <v>0</v>
      </c>
      <c r="T2558" s="161" t="b">
        <f t="array" ref="T2558">index('Query Tool'!B:B,match(H2558,'Query Tool'!C:C,0))</f>
        <v>1</v>
      </c>
      <c r="U2558" s="161" t="b">
        <f t="array" ref="U2558">index('Query Tool'!B:B,match(C2558,'Query Tool'!C:C,0))</f>
        <v>0</v>
      </c>
      <c r="V2558" s="161" t="b">
        <f>F2558&gt;='Query Tool'!C$32</f>
        <v>1</v>
      </c>
      <c r="W2558" s="161" t="b">
        <f t="array" ref="W2558">index(Dropdowns!B:B,match(I2558,Dropdowns!A:A,0))</f>
        <v>1</v>
      </c>
      <c r="X2558" s="161" t="b">
        <f t="array" ref="X2558">index('Query Tool'!B:B,match(D2558,'Query Tool'!C:C,0))</f>
        <v>1</v>
      </c>
      <c r="Y2558" s="161" t="str">
        <f t="shared" si="6"/>
        <v>rubiori01,2018-19</v>
      </c>
      <c r="Z2558" s="168">
        <f t="array" ref="Z2558">iferror(index(I:I,match($A2558&amp;","&amp;index('Year Conversion'!$A:$A,match($C2558,'Year Conversion'!$B:$B,0)),$Y:$Y,0))-I2558,"")</f>
        <v>1</v>
      </c>
      <c r="AA2558" s="168">
        <f t="array" ref="AA2558">iferror(index(J:J,match($A2558&amp;","&amp;index('Year Conversion'!$A:$A,match($C2558,'Year Conversion'!$B:$B,0)),$Y:$Y,0))-J2558,"")</f>
        <v>0.9795446523</v>
      </c>
      <c r="AB2558" s="168">
        <f t="array" ref="AB2558">iferror(index(K:K,match($A2558&amp;","&amp;index('Year Conversion'!$A:$A,match($C2558,'Year Conversion'!$B:$B,0)),$Y:$Y,0))-K2558,"")</f>
        <v>1.372452613</v>
      </c>
      <c r="AC2558" s="168" t="str">
        <f t="shared" si="7"/>
        <v>UTA,2018-19</v>
      </c>
    </row>
    <row r="2559">
      <c r="A2559" s="161" t="str">
        <f>IFERROR(__xludf.DUMMYFUNCTION("""COMPUTED_VALUE"""),"curryst01")</f>
        <v>curryst01</v>
      </c>
      <c r="B2559" s="161" t="str">
        <f>IFERROR(__xludf.DUMMYFUNCTION("""COMPUTED_VALUE"""),"Stephen Curry")</f>
        <v>Stephen Curry</v>
      </c>
      <c r="C2559" s="162" t="str">
        <f>IFERROR(__xludf.DUMMYFUNCTION("""COMPUTED_VALUE"""),"2018-19")</f>
        <v>2018-19</v>
      </c>
      <c r="D2559" s="163" t="str">
        <f>IFERROR(__xludf.DUMMYFUNCTION("""COMPUTED_VALUE"""),"GSW")</f>
        <v>GSW</v>
      </c>
      <c r="E2559" s="164" t="str">
        <f>IFERROR(__xludf.DUMMYFUNCTION("""COMPUTED_VALUE"""),"Primary Ball Handler")</f>
        <v>Primary Ball Handler</v>
      </c>
      <c r="F2559" s="164">
        <f>IFERROR(__xludf.DUMMYFUNCTION("""COMPUTED_VALUE"""),2331.16666666667)</f>
        <v>2331.166667</v>
      </c>
      <c r="G2559" s="163">
        <f>IFERROR(__xludf.DUMMYFUNCTION("""COMPUTED_VALUE"""),69.0)</f>
        <v>69</v>
      </c>
      <c r="H2559" s="163" t="str">
        <f>IFERROR(__xludf.DUMMYFUNCTION("""COMPUTED_VALUE"""),"PG")</f>
        <v>PG</v>
      </c>
      <c r="I2559" s="163">
        <f>IFERROR(__xludf.DUMMYFUNCTION("""COMPUTED_VALUE"""),30.0)</f>
        <v>30</v>
      </c>
      <c r="J2559" s="165">
        <f>IFERROR(__xludf.DUMMYFUNCTION("""COMPUTED_VALUE"""),4.99879908359208)</f>
        <v>4.998799084</v>
      </c>
      <c r="K2559" s="165">
        <f>IFERROR(__xludf.DUMMYFUNCTION("""COMPUTED_VALUE"""),4.92982734495926)</f>
        <v>4.929827345</v>
      </c>
      <c r="L2559" s="165">
        <f>IFERROR(__xludf.DUMMYFUNCTION("""COMPUTED_VALUE"""),0.0689717386328177)</f>
        <v>0.06897173863</v>
      </c>
      <c r="M2559" s="166">
        <f t="shared" si="2"/>
        <v>11.18839681</v>
      </c>
      <c r="N2559" s="167">
        <f t="shared" si="3"/>
        <v>33.78502415</v>
      </c>
      <c r="O2559" s="163">
        <f t="shared" ref="O2559:Q2559" si="2563">rank(I2559,I:I)</f>
        <v>655</v>
      </c>
      <c r="P2559" s="163">
        <f t="shared" si="2563"/>
        <v>50</v>
      </c>
      <c r="Q2559" s="163">
        <f t="shared" si="2563"/>
        <v>29</v>
      </c>
      <c r="R2559" s="163">
        <f>IFERROR(__xludf.DUMMYFUNCTION("RANK(M2559,filter(M:M,C:C=C2559))"),9.0)</f>
        <v>9</v>
      </c>
      <c r="S2559" s="161" t="b">
        <f t="shared" si="5"/>
        <v>0</v>
      </c>
      <c r="T2559" s="161" t="b">
        <f t="array" ref="T2559">index('Query Tool'!B:B,match(H2559,'Query Tool'!C:C,0))</f>
        <v>1</v>
      </c>
      <c r="U2559" s="161" t="b">
        <f t="array" ref="U2559">index('Query Tool'!B:B,match(C2559,'Query Tool'!C:C,0))</f>
        <v>0</v>
      </c>
      <c r="V2559" s="161" t="b">
        <f>F2559&gt;='Query Tool'!C$32</f>
        <v>1</v>
      </c>
      <c r="W2559" s="161" t="b">
        <f t="array" ref="W2559">index(Dropdowns!B:B,match(I2559,Dropdowns!A:A,0))</f>
        <v>1</v>
      </c>
      <c r="X2559" s="161" t="b">
        <f t="array" ref="X2559">index('Query Tool'!B:B,match(D2559,'Query Tool'!C:C,0))</f>
        <v>1</v>
      </c>
      <c r="Y2559" s="161" t="str">
        <f t="shared" si="6"/>
        <v>curryst01,2018-19</v>
      </c>
      <c r="Z2559" s="168">
        <f t="array" ref="Z2559">iferror(index(I:I,match($A2559&amp;","&amp;index('Year Conversion'!$A:$A,match($C2559,'Year Conversion'!$B:$B,0)),$Y:$Y,0))-I2559,"")</f>
        <v>1</v>
      </c>
      <c r="AA2559" s="168">
        <f t="array" ref="AA2559">iferror(index(J:J,match($A2559&amp;","&amp;index('Year Conversion'!$A:$A,match($C2559,'Year Conversion'!$B:$B,0)),$Y:$Y,0))-J2559,"")</f>
        <v>-3.524214327</v>
      </c>
      <c r="AB2559" s="168">
        <f t="array" ref="AB2559">iferror(index(K:K,match($A2559&amp;","&amp;index('Year Conversion'!$A:$A,match($C2559,'Year Conversion'!$B:$B,0)),$Y:$Y,0))-K2559,"")</f>
        <v>-3.119626546</v>
      </c>
      <c r="AC2559" s="168" t="str">
        <f t="shared" si="7"/>
        <v>GSW,2018-19</v>
      </c>
    </row>
    <row r="2560">
      <c r="A2560" s="161" t="str">
        <f>IFERROR(__xludf.DUMMYFUNCTION("""COMPUTED_VALUE"""),"derozde01")</f>
        <v>derozde01</v>
      </c>
      <c r="B2560" s="161" t="str">
        <f>IFERROR(__xludf.DUMMYFUNCTION("""COMPUTED_VALUE"""),"DeMar DeRozan")</f>
        <v>DeMar DeRozan</v>
      </c>
      <c r="C2560" s="162" t="str">
        <f>IFERROR(__xludf.DUMMYFUNCTION("""COMPUTED_VALUE"""),"2018-19")</f>
        <v>2018-19</v>
      </c>
      <c r="D2560" s="163" t="str">
        <f>IFERROR(__xludf.DUMMYFUNCTION("""COMPUTED_VALUE"""),"SAS")</f>
        <v>SAS</v>
      </c>
      <c r="E2560" s="164" t="str">
        <f>IFERROR(__xludf.DUMMYFUNCTION("""COMPUTED_VALUE"""),"Shot Creator")</f>
        <v>Shot Creator</v>
      </c>
      <c r="F2560" s="164">
        <f>IFERROR(__xludf.DUMMYFUNCTION("""COMPUTED_VALUE"""),2688.15666666667)</f>
        <v>2688.156667</v>
      </c>
      <c r="G2560" s="163">
        <f>IFERROR(__xludf.DUMMYFUNCTION("""COMPUTED_VALUE"""),77.0)</f>
        <v>77</v>
      </c>
      <c r="H2560" s="163" t="str">
        <f>IFERROR(__xludf.DUMMYFUNCTION("""COMPUTED_VALUE"""),"SG")</f>
        <v>SG</v>
      </c>
      <c r="I2560" s="163">
        <f>IFERROR(__xludf.DUMMYFUNCTION("""COMPUTED_VALUE"""),29.0)</f>
        <v>29</v>
      </c>
      <c r="J2560" s="165">
        <f>IFERROR(__xludf.DUMMYFUNCTION("""COMPUTED_VALUE"""),0.846320852433425)</f>
        <v>0.8463208524</v>
      </c>
      <c r="K2560" s="165">
        <f>IFERROR(__xludf.DUMMYFUNCTION("""COMPUTED_VALUE"""),0.569954113253467)</f>
        <v>0.5699541133</v>
      </c>
      <c r="L2560" s="165">
        <f>IFERROR(__xludf.DUMMYFUNCTION("""COMPUTED_VALUE"""),0.276366739179958)</f>
        <v>0.2763667392</v>
      </c>
      <c r="M2560" s="166">
        <f t="shared" si="2"/>
        <v>5.676528032</v>
      </c>
      <c r="N2560" s="167">
        <f t="shared" si="3"/>
        <v>34.91112554</v>
      </c>
      <c r="O2560" s="163">
        <f t="shared" ref="O2560:Q2560" si="2564">rank(I2560,I:I)</f>
        <v>855</v>
      </c>
      <c r="P2560" s="163">
        <f t="shared" si="2564"/>
        <v>715</v>
      </c>
      <c r="Q2560" s="163">
        <f t="shared" si="2564"/>
        <v>732</v>
      </c>
      <c r="R2560" s="163">
        <f>IFERROR(__xludf.DUMMYFUNCTION("RANK(M2560,filter(M:M,C:C=C2560))"),52.0)</f>
        <v>52</v>
      </c>
      <c r="S2560" s="161" t="b">
        <f t="shared" si="5"/>
        <v>0</v>
      </c>
      <c r="T2560" s="161" t="b">
        <f t="array" ref="T2560">index('Query Tool'!B:B,match(H2560,'Query Tool'!C:C,0))</f>
        <v>1</v>
      </c>
      <c r="U2560" s="161" t="b">
        <f t="array" ref="U2560">index('Query Tool'!B:B,match(C2560,'Query Tool'!C:C,0))</f>
        <v>0</v>
      </c>
      <c r="V2560" s="161" t="b">
        <f>F2560&gt;='Query Tool'!C$32</f>
        <v>1</v>
      </c>
      <c r="W2560" s="161" t="b">
        <f t="array" ref="W2560">index(Dropdowns!B:B,match(I2560,Dropdowns!A:A,0))</f>
        <v>1</v>
      </c>
      <c r="X2560" s="161" t="b">
        <f t="array" ref="X2560">index('Query Tool'!B:B,match(D2560,'Query Tool'!C:C,0))</f>
        <v>1</v>
      </c>
      <c r="Y2560" s="161" t="str">
        <f t="shared" si="6"/>
        <v>derozde01,2018-19</v>
      </c>
      <c r="Z2560" s="168">
        <f t="array" ref="Z2560">iferror(index(I:I,match($A2560&amp;","&amp;index('Year Conversion'!$A:$A,match($C2560,'Year Conversion'!$B:$B,0)),$Y:$Y,0))-I2560,"")</f>
        <v>1</v>
      </c>
      <c r="AA2560" s="168">
        <f t="array" ref="AA2560">iferror(index(J:J,match($A2560&amp;","&amp;index('Year Conversion'!$A:$A,match($C2560,'Year Conversion'!$B:$B,0)),$Y:$Y,0))-J2560,"")</f>
        <v>-0.06592062618</v>
      </c>
      <c r="AB2560" s="168">
        <f t="array" ref="AB2560">iferror(index(K:K,match($A2560&amp;","&amp;index('Year Conversion'!$A:$A,match($C2560,'Year Conversion'!$B:$B,0)),$Y:$Y,0))-K2560,"")</f>
        <v>1.296194087</v>
      </c>
      <c r="AC2560" s="168" t="str">
        <f t="shared" si="7"/>
        <v>SAS,2018-19</v>
      </c>
    </row>
    <row r="2561">
      <c r="A2561" s="161" t="str">
        <f>IFERROR(__xludf.DUMMYFUNCTION("""COMPUTED_VALUE"""),"johnsja01")</f>
        <v>johnsja01</v>
      </c>
      <c r="B2561" s="161" t="str">
        <f>IFERROR(__xludf.DUMMYFUNCTION("""COMPUTED_VALUE"""),"James Johnson")</f>
        <v>James Johnson</v>
      </c>
      <c r="C2561" s="162" t="str">
        <f>IFERROR(__xludf.DUMMYFUNCTION("""COMPUTED_VALUE"""),"2018-19")</f>
        <v>2018-19</v>
      </c>
      <c r="D2561" s="163" t="str">
        <f>IFERROR(__xludf.DUMMYFUNCTION("""COMPUTED_VALUE"""),"MIA")</f>
        <v>MIA</v>
      </c>
      <c r="E2561" s="164" t="str">
        <f>IFERROR(__xludf.DUMMYFUNCTION("""COMPUTED_VALUE"""),"Shot Creator")</f>
        <v>Shot Creator</v>
      </c>
      <c r="F2561" s="164">
        <f>IFERROR(__xludf.DUMMYFUNCTION("""COMPUTED_VALUE"""),1163.83833333333)</f>
        <v>1163.838333</v>
      </c>
      <c r="G2561" s="163">
        <f>IFERROR(__xludf.DUMMYFUNCTION("""COMPUTED_VALUE"""),55.0)</f>
        <v>55</v>
      </c>
      <c r="H2561" s="163" t="str">
        <f>IFERROR(__xludf.DUMMYFUNCTION("""COMPUTED_VALUE"""),"PF")</f>
        <v>PF</v>
      </c>
      <c r="I2561" s="163">
        <f>IFERROR(__xludf.DUMMYFUNCTION("""COMPUTED_VALUE"""),31.0)</f>
        <v>31</v>
      </c>
      <c r="J2561" s="165">
        <f>IFERROR(__xludf.DUMMYFUNCTION("""COMPUTED_VALUE"""),-0.957486027177179)</f>
        <v>-0.9574860272</v>
      </c>
      <c r="K2561" s="165">
        <f>IFERROR(__xludf.DUMMYFUNCTION("""COMPUTED_VALUE"""),-1.50674313899901)</f>
        <v>-1.506743139</v>
      </c>
      <c r="L2561" s="165">
        <f>IFERROR(__xludf.DUMMYFUNCTION("""COMPUTED_VALUE"""),0.549257111821836)</f>
        <v>0.5492571118</v>
      </c>
      <c r="M2561" s="166">
        <f t="shared" si="2"/>
        <v>1.043916678</v>
      </c>
      <c r="N2561" s="167">
        <f t="shared" si="3"/>
        <v>21.16069697</v>
      </c>
      <c r="O2561" s="163">
        <f t="shared" ref="O2561:Q2561" si="2565">rank(I2561,I:I)</f>
        <v>490</v>
      </c>
      <c r="P2561" s="163">
        <f t="shared" si="2565"/>
        <v>2460</v>
      </c>
      <c r="Q2561" s="163">
        <f t="shared" si="2565"/>
        <v>3364</v>
      </c>
      <c r="R2561" s="163">
        <f>IFERROR(__xludf.DUMMYFUNCTION("RANK(M2561,filter(M:M,C:C=C2561))"),221.0)</f>
        <v>221</v>
      </c>
      <c r="S2561" s="161" t="b">
        <f t="shared" si="5"/>
        <v>0</v>
      </c>
      <c r="T2561" s="161" t="b">
        <f t="array" ref="T2561">index('Query Tool'!B:B,match(H2561,'Query Tool'!C:C,0))</f>
        <v>1</v>
      </c>
      <c r="U2561" s="161" t="b">
        <f t="array" ref="U2561">index('Query Tool'!B:B,match(C2561,'Query Tool'!C:C,0))</f>
        <v>0</v>
      </c>
      <c r="V2561" s="161" t="b">
        <f>F2561&gt;='Query Tool'!C$32</f>
        <v>1</v>
      </c>
      <c r="W2561" s="161" t="b">
        <f t="array" ref="W2561">index(Dropdowns!B:B,match(I2561,Dropdowns!A:A,0))</f>
        <v>1</v>
      </c>
      <c r="X2561" s="161" t="b">
        <f t="array" ref="X2561">index('Query Tool'!B:B,match(D2561,'Query Tool'!C:C,0))</f>
        <v>1</v>
      </c>
      <c r="Y2561" s="161" t="str">
        <f t="shared" si="6"/>
        <v>johnsja01,2018-19</v>
      </c>
      <c r="Z2561" s="168">
        <f t="array" ref="Z2561">iferror(index(I:I,match($A2561&amp;","&amp;index('Year Conversion'!$A:$A,match($C2561,'Year Conversion'!$B:$B,0)),$Y:$Y,0))-I2561,"")</f>
        <v>1</v>
      </c>
      <c r="AA2561" s="168">
        <f t="array" ref="AA2561">iferror(index(J:J,match($A2561&amp;","&amp;index('Year Conversion'!$A:$A,match($C2561,'Year Conversion'!$B:$B,0)),$Y:$Y,0))-J2561,"")</f>
        <v>-0.365238068</v>
      </c>
      <c r="AB2561" s="168">
        <f t="array" ref="AB2561">iferror(index(K:K,match($A2561&amp;","&amp;index('Year Conversion'!$A:$A,match($C2561,'Year Conversion'!$B:$B,0)),$Y:$Y,0))-K2561,"")</f>
        <v>0.6188243493</v>
      </c>
      <c r="AC2561" s="168" t="str">
        <f t="shared" si="7"/>
        <v>MIA,2018-19</v>
      </c>
    </row>
    <row r="2562">
      <c r="A2562" s="161" t="str">
        <f>IFERROR(__xludf.DUMMYFUNCTION("""COMPUTED_VALUE"""),"holidjr01")</f>
        <v>holidjr01</v>
      </c>
      <c r="B2562" s="161" t="str">
        <f>IFERROR(__xludf.DUMMYFUNCTION("""COMPUTED_VALUE"""),"Jrue Holiday")</f>
        <v>Jrue Holiday</v>
      </c>
      <c r="C2562" s="162" t="str">
        <f>IFERROR(__xludf.DUMMYFUNCTION("""COMPUTED_VALUE"""),"2018-19")</f>
        <v>2018-19</v>
      </c>
      <c r="D2562" s="163" t="str">
        <f>IFERROR(__xludf.DUMMYFUNCTION("""COMPUTED_VALUE"""),"NOP")</f>
        <v>NOP</v>
      </c>
      <c r="E2562" s="164" t="str">
        <f>IFERROR(__xludf.DUMMYFUNCTION("""COMPUTED_VALUE"""),"Primary Ball Handler")</f>
        <v>Primary Ball Handler</v>
      </c>
      <c r="F2562" s="164">
        <f>IFERROR(__xludf.DUMMYFUNCTION("""COMPUTED_VALUE"""),2401.92833333333)</f>
        <v>2401.928333</v>
      </c>
      <c r="G2562" s="163">
        <f>IFERROR(__xludf.DUMMYFUNCTION("""COMPUTED_VALUE"""),67.0)</f>
        <v>67</v>
      </c>
      <c r="H2562" s="163" t="str">
        <f>IFERROR(__xludf.DUMMYFUNCTION("""COMPUTED_VALUE"""),"SG")</f>
        <v>SG</v>
      </c>
      <c r="I2562" s="163">
        <f>IFERROR(__xludf.DUMMYFUNCTION("""COMPUTED_VALUE"""),28.0)</f>
        <v>28</v>
      </c>
      <c r="J2562" s="165">
        <f>IFERROR(__xludf.DUMMYFUNCTION("""COMPUTED_VALUE"""),3.84613795392009)</f>
        <v>3.846137954</v>
      </c>
      <c r="K2562" s="165">
        <f>IFERROR(__xludf.DUMMYFUNCTION("""COMPUTED_VALUE"""),3.20435245815536)</f>
        <v>3.204352458</v>
      </c>
      <c r="L2562" s="165">
        <f>IFERROR(__xludf.DUMMYFUNCTION("""COMPUTED_VALUE"""),0.641785495764723)</f>
        <v>0.6417854958</v>
      </c>
      <c r="M2562" s="166">
        <f t="shared" si="2"/>
        <v>9.806320061</v>
      </c>
      <c r="N2562" s="167">
        <f t="shared" si="3"/>
        <v>35.84967662</v>
      </c>
      <c r="O2562" s="163">
        <f t="shared" ref="O2562:Q2562" si="2566">rank(I2562,I:I)</f>
        <v>1090</v>
      </c>
      <c r="P2562" s="163">
        <f t="shared" si="2566"/>
        <v>104</v>
      </c>
      <c r="Q2562" s="163">
        <f t="shared" si="2566"/>
        <v>106</v>
      </c>
      <c r="R2562" s="163">
        <f>IFERROR(__xludf.DUMMYFUNCTION("RANK(M2562,filter(M:M,C:C=C2562))"),13.0)</f>
        <v>13</v>
      </c>
      <c r="S2562" s="161" t="b">
        <f t="shared" si="5"/>
        <v>0</v>
      </c>
      <c r="T2562" s="161" t="b">
        <f t="array" ref="T2562">index('Query Tool'!B:B,match(H2562,'Query Tool'!C:C,0))</f>
        <v>1</v>
      </c>
      <c r="U2562" s="161" t="b">
        <f t="array" ref="U2562">index('Query Tool'!B:B,match(C2562,'Query Tool'!C:C,0))</f>
        <v>0</v>
      </c>
      <c r="V2562" s="161" t="b">
        <f>F2562&gt;='Query Tool'!C$32</f>
        <v>1</v>
      </c>
      <c r="W2562" s="161" t="b">
        <f t="array" ref="W2562">index(Dropdowns!B:B,match(I2562,Dropdowns!A:A,0))</f>
        <v>1</v>
      </c>
      <c r="X2562" s="161" t="b">
        <f t="array" ref="X2562">index('Query Tool'!B:B,match(D2562,'Query Tool'!C:C,0))</f>
        <v>1</v>
      </c>
      <c r="Y2562" s="161" t="str">
        <f t="shared" si="6"/>
        <v>holidjr01,2018-19</v>
      </c>
      <c r="Z2562" s="168">
        <f t="array" ref="Z2562">iferror(index(I:I,match($A2562&amp;","&amp;index('Year Conversion'!$A:$A,match($C2562,'Year Conversion'!$B:$B,0)),$Y:$Y,0))-I2562,"")</f>
        <v>1</v>
      </c>
      <c r="AA2562" s="168">
        <f t="array" ref="AA2562">iferror(index(J:J,match($A2562&amp;","&amp;index('Year Conversion'!$A:$A,match($C2562,'Year Conversion'!$B:$B,0)),$Y:$Y,0))-J2562,"")</f>
        <v>-2.082734014</v>
      </c>
      <c r="AB2562" s="168">
        <f t="array" ref="AB2562">iferror(index(K:K,match($A2562&amp;","&amp;index('Year Conversion'!$A:$A,match($C2562,'Year Conversion'!$B:$B,0)),$Y:$Y,0))-K2562,"")</f>
        <v>-2.078517433</v>
      </c>
      <c r="AC2562" s="168" t="str">
        <f t="shared" si="7"/>
        <v>NOP,2018-19</v>
      </c>
    </row>
    <row r="2563">
      <c r="A2563" s="161" t="str">
        <f>IFERROR(__xludf.DUMMYFUNCTION("""COMPUTED_VALUE"""),"teaguje01")</f>
        <v>teaguje01</v>
      </c>
      <c r="B2563" s="161" t="str">
        <f>IFERROR(__xludf.DUMMYFUNCTION("""COMPUTED_VALUE"""),"Jeff Teague")</f>
        <v>Jeff Teague</v>
      </c>
      <c r="C2563" s="162" t="str">
        <f>IFERROR(__xludf.DUMMYFUNCTION("""COMPUTED_VALUE"""),"2018-19")</f>
        <v>2018-19</v>
      </c>
      <c r="D2563" s="163" t="str">
        <f>IFERROR(__xludf.DUMMYFUNCTION("""COMPUTED_VALUE"""),"MIN")</f>
        <v>MIN</v>
      </c>
      <c r="E2563" s="164" t="str">
        <f>IFERROR(__xludf.DUMMYFUNCTION("""COMPUTED_VALUE"""),"Slasher")</f>
        <v>Slasher</v>
      </c>
      <c r="F2563" s="164">
        <f>IFERROR(__xludf.DUMMYFUNCTION("""COMPUTED_VALUE"""),1264.035)</f>
        <v>1264.035</v>
      </c>
      <c r="G2563" s="163">
        <f>IFERROR(__xludf.DUMMYFUNCTION("""COMPUTED_VALUE"""),42.0)</f>
        <v>42</v>
      </c>
      <c r="H2563" s="163" t="str">
        <f>IFERROR(__xludf.DUMMYFUNCTION("""COMPUTED_VALUE"""),"PG")</f>
        <v>PG</v>
      </c>
      <c r="I2563" s="163">
        <f>IFERROR(__xludf.DUMMYFUNCTION("""COMPUTED_VALUE"""),30.0)</f>
        <v>30</v>
      </c>
      <c r="J2563" s="165">
        <f>IFERROR(__xludf.DUMMYFUNCTION("""COMPUTED_VALUE"""),0.493452592325099)</f>
        <v>0.4934525923</v>
      </c>
      <c r="K2563" s="165">
        <f>IFERROR(__xludf.DUMMYFUNCTION("""COMPUTED_VALUE"""),0.467991128328417)</f>
        <v>0.4679911283</v>
      </c>
      <c r="L2563" s="165">
        <f>IFERROR(__xludf.DUMMYFUNCTION("""COMPUTED_VALUE"""),0.0254614639966818)</f>
        <v>0.025461464</v>
      </c>
      <c r="M2563" s="166">
        <f t="shared" si="2"/>
        <v>2.369098502</v>
      </c>
      <c r="N2563" s="167">
        <f t="shared" si="3"/>
        <v>30.09607143</v>
      </c>
      <c r="O2563" s="163">
        <f t="shared" ref="O2563:Q2563" si="2567">rank(I2563,I:I)</f>
        <v>655</v>
      </c>
      <c r="P2563" s="163">
        <f t="shared" si="2567"/>
        <v>902</v>
      </c>
      <c r="Q2563" s="163">
        <f t="shared" si="2567"/>
        <v>786</v>
      </c>
      <c r="R2563" s="163">
        <f>IFERROR(__xludf.DUMMYFUNCTION("RANK(M2563,filter(M:M,C:C=C2563))"),133.0)</f>
        <v>133</v>
      </c>
      <c r="S2563" s="161" t="b">
        <f t="shared" si="5"/>
        <v>0</v>
      </c>
      <c r="T2563" s="161" t="b">
        <f t="array" ref="T2563">index('Query Tool'!B:B,match(H2563,'Query Tool'!C:C,0))</f>
        <v>1</v>
      </c>
      <c r="U2563" s="161" t="b">
        <f t="array" ref="U2563">index('Query Tool'!B:B,match(C2563,'Query Tool'!C:C,0))</f>
        <v>0</v>
      </c>
      <c r="V2563" s="161" t="b">
        <f>F2563&gt;='Query Tool'!C$32</f>
        <v>1</v>
      </c>
      <c r="W2563" s="161" t="b">
        <f t="array" ref="W2563">index(Dropdowns!B:B,match(I2563,Dropdowns!A:A,0))</f>
        <v>1</v>
      </c>
      <c r="X2563" s="161" t="b">
        <f t="array" ref="X2563">index('Query Tool'!B:B,match(D2563,'Query Tool'!C:C,0))</f>
        <v>1</v>
      </c>
      <c r="Y2563" s="161" t="str">
        <f t="shared" si="6"/>
        <v>teaguje01,2018-19</v>
      </c>
      <c r="Z2563" s="168">
        <f t="array" ref="Z2563">iferror(index(I:I,match($A2563&amp;","&amp;index('Year Conversion'!$A:$A,match($C2563,'Year Conversion'!$B:$B,0)),$Y:$Y,0))-I2563,"")</f>
        <v>1</v>
      </c>
      <c r="AA2563" s="168">
        <f t="array" ref="AA2563">iferror(index(J:J,match($A2563&amp;","&amp;index('Year Conversion'!$A:$A,match($C2563,'Year Conversion'!$B:$B,0)),$Y:$Y,0))-J2563,"")</f>
        <v>-2.440283598</v>
      </c>
      <c r="AB2563" s="168">
        <f t="array" ref="AB2563">iferror(index(K:K,match($A2563&amp;","&amp;index('Year Conversion'!$A:$A,match($C2563,'Year Conversion'!$B:$B,0)),$Y:$Y,0))-K2563,"")</f>
        <v>-0.357239416</v>
      </c>
      <c r="AC2563" s="168" t="str">
        <f t="shared" si="7"/>
        <v>MIN,2018-19</v>
      </c>
    </row>
    <row r="2564">
      <c r="A2564" s="161" t="str">
        <f>IFERROR(__xludf.DUMMYFUNCTION("""COMPUTED_VALUE"""),"collida01")</f>
        <v>collida01</v>
      </c>
      <c r="B2564" s="161" t="str">
        <f>IFERROR(__xludf.DUMMYFUNCTION("""COMPUTED_VALUE"""),"Darren Collison")</f>
        <v>Darren Collison</v>
      </c>
      <c r="C2564" s="162" t="str">
        <f>IFERROR(__xludf.DUMMYFUNCTION("""COMPUTED_VALUE"""),"2018-19")</f>
        <v>2018-19</v>
      </c>
      <c r="D2564" s="163" t="str">
        <f>IFERROR(__xludf.DUMMYFUNCTION("""COMPUTED_VALUE"""),"IND")</f>
        <v>IND</v>
      </c>
      <c r="E2564" s="164" t="str">
        <f>IFERROR(__xludf.DUMMYFUNCTION("""COMPUTED_VALUE"""),"Primary Ball Handler")</f>
        <v>Primary Ball Handler</v>
      </c>
      <c r="F2564" s="164">
        <f>IFERROR(__xludf.DUMMYFUNCTION("""COMPUTED_VALUE"""),2143.17833333333)</f>
        <v>2143.178333</v>
      </c>
      <c r="G2564" s="163">
        <f>IFERROR(__xludf.DUMMYFUNCTION("""COMPUTED_VALUE"""),76.0)</f>
        <v>76</v>
      </c>
      <c r="H2564" s="163" t="str">
        <f>IFERROR(__xludf.DUMMYFUNCTION("""COMPUTED_VALUE"""),"PG")</f>
        <v>PG</v>
      </c>
      <c r="I2564" s="163">
        <f>IFERROR(__xludf.DUMMYFUNCTION("""COMPUTED_VALUE"""),31.0)</f>
        <v>31</v>
      </c>
      <c r="J2564" s="165">
        <f>IFERROR(__xludf.DUMMYFUNCTION("""COMPUTED_VALUE"""),0.585655395793024)</f>
        <v>0.5856553958</v>
      </c>
      <c r="K2564" s="165">
        <f>IFERROR(__xludf.DUMMYFUNCTION("""COMPUTED_VALUE"""),0.0558569067066461)</f>
        <v>0.05585690671</v>
      </c>
      <c r="L2564" s="165">
        <f>IFERROR(__xludf.DUMMYFUNCTION("""COMPUTED_VALUE"""),0.529798489086378)</f>
        <v>0.5297984891</v>
      </c>
      <c r="M2564" s="166">
        <f t="shared" si="2"/>
        <v>4.149882378</v>
      </c>
      <c r="N2564" s="167">
        <f t="shared" si="3"/>
        <v>28.19971491</v>
      </c>
      <c r="O2564" s="163">
        <f t="shared" ref="O2564:Q2564" si="2568">rank(I2564,I:I)</f>
        <v>490</v>
      </c>
      <c r="P2564" s="163">
        <f t="shared" si="2568"/>
        <v>853</v>
      </c>
      <c r="Q2564" s="163">
        <f t="shared" si="2568"/>
        <v>1125</v>
      </c>
      <c r="R2564" s="163">
        <f>IFERROR(__xludf.DUMMYFUNCTION("RANK(M2564,filter(M:M,C:C=C2564))"),81.0)</f>
        <v>81</v>
      </c>
      <c r="S2564" s="161" t="b">
        <f t="shared" si="5"/>
        <v>0</v>
      </c>
      <c r="T2564" s="161" t="b">
        <f t="array" ref="T2564">index('Query Tool'!B:B,match(H2564,'Query Tool'!C:C,0))</f>
        <v>1</v>
      </c>
      <c r="U2564" s="161" t="b">
        <f t="array" ref="U2564">index('Query Tool'!B:B,match(C2564,'Query Tool'!C:C,0))</f>
        <v>0</v>
      </c>
      <c r="V2564" s="161" t="b">
        <f>F2564&gt;='Query Tool'!C$32</f>
        <v>1</v>
      </c>
      <c r="W2564" s="161" t="b">
        <f t="array" ref="W2564">index(Dropdowns!B:B,match(I2564,Dropdowns!A:A,0))</f>
        <v>1</v>
      </c>
      <c r="X2564" s="161" t="b">
        <f t="array" ref="X2564">index('Query Tool'!B:B,match(D2564,'Query Tool'!C:C,0))</f>
        <v>1</v>
      </c>
      <c r="Y2564" s="161" t="str">
        <f t="shared" si="6"/>
        <v>collida01,2018-19</v>
      </c>
      <c r="Z2564" s="168" t="str">
        <f t="array" ref="Z2564">iferror(index(I:I,match($A2564&amp;","&amp;index('Year Conversion'!$A:$A,match($C2564,'Year Conversion'!$B:$B,0)),$Y:$Y,0))-I2564,"")</f>
        <v/>
      </c>
      <c r="AA2564" s="168" t="str">
        <f t="array" ref="AA2564">iferror(index(J:J,match($A2564&amp;","&amp;index('Year Conversion'!$A:$A,match($C2564,'Year Conversion'!$B:$B,0)),$Y:$Y,0))-J2564,"")</f>
        <v/>
      </c>
      <c r="AB2564" s="168" t="str">
        <f t="array" ref="AB2564">iferror(index(K:K,match($A2564&amp;","&amp;index('Year Conversion'!$A:$A,match($C2564,'Year Conversion'!$B:$B,0)),$Y:$Y,0))-K2564,"")</f>
        <v/>
      </c>
      <c r="AC2564" s="168" t="str">
        <f t="shared" si="7"/>
        <v>IND,2018-19</v>
      </c>
    </row>
    <row r="2565">
      <c r="A2565" s="161" t="str">
        <f>IFERROR(__xludf.DUMMYFUNCTION("""COMPUTED_VALUE"""),"casspom01")</f>
        <v>casspom01</v>
      </c>
      <c r="B2565" s="161" t="str">
        <f>IFERROR(__xludf.DUMMYFUNCTION("""COMPUTED_VALUE"""),"Omri Casspi")</f>
        <v>Omri Casspi</v>
      </c>
      <c r="C2565" s="162" t="str">
        <f>IFERROR(__xludf.DUMMYFUNCTION("""COMPUTED_VALUE"""),"2018-19")</f>
        <v>2018-19</v>
      </c>
      <c r="D2565" s="163" t="str">
        <f>IFERROR(__xludf.DUMMYFUNCTION("""COMPUTED_VALUE"""),"MEM")</f>
        <v>MEM</v>
      </c>
      <c r="E2565" s="164" t="str">
        <f>IFERROR(__xludf.DUMMYFUNCTION("""COMPUTED_VALUE"""),"Athletic Finisher")</f>
        <v>Athletic Finisher</v>
      </c>
      <c r="F2565" s="164">
        <f>IFERROR(__xludf.DUMMYFUNCTION("""COMPUTED_VALUE"""),520.435)</f>
        <v>520.435</v>
      </c>
      <c r="G2565" s="163">
        <f>IFERROR(__xludf.DUMMYFUNCTION("""COMPUTED_VALUE"""),36.0)</f>
        <v>36</v>
      </c>
      <c r="H2565" s="163" t="str">
        <f>IFERROR(__xludf.DUMMYFUNCTION("""COMPUTED_VALUE"""),"SF")</f>
        <v>SF</v>
      </c>
      <c r="I2565" s="163">
        <f>IFERROR(__xludf.DUMMYFUNCTION("""COMPUTED_VALUE"""),30.0)</f>
        <v>30</v>
      </c>
      <c r="J2565" s="165">
        <f>IFERROR(__xludf.DUMMYFUNCTION("""COMPUTED_VALUE"""),0.186956963671232)</f>
        <v>0.1869569637</v>
      </c>
      <c r="K2565" s="165">
        <f>IFERROR(__xludf.DUMMYFUNCTION("""COMPUTED_VALUE"""),-0.995322968358833)</f>
        <v>-0.9953229684</v>
      </c>
      <c r="L2565" s="165">
        <f>IFERROR(__xludf.DUMMYFUNCTION("""COMPUTED_VALUE"""),1.18227993203007)</f>
        <v>1.182279932</v>
      </c>
      <c r="M2565" s="166">
        <f t="shared" si="2"/>
        <v>0.867932066</v>
      </c>
      <c r="N2565" s="167">
        <f t="shared" si="3"/>
        <v>14.45652778</v>
      </c>
      <c r="O2565" s="163">
        <f t="shared" ref="O2565:Q2565" si="2569">rank(I2565,I:I)</f>
        <v>655</v>
      </c>
      <c r="P2565" s="163">
        <f t="shared" si="2569"/>
        <v>1101</v>
      </c>
      <c r="Q2565" s="163">
        <f t="shared" si="2569"/>
        <v>2796</v>
      </c>
      <c r="R2565" s="163">
        <f>IFERROR(__xludf.DUMMYFUNCTION("RANK(M2565,filter(M:M,C:C=C2565))"),234.0)</f>
        <v>234</v>
      </c>
      <c r="S2565" s="161" t="b">
        <f t="shared" si="5"/>
        <v>0</v>
      </c>
      <c r="T2565" s="161" t="b">
        <f t="array" ref="T2565">index('Query Tool'!B:B,match(H2565,'Query Tool'!C:C,0))</f>
        <v>1</v>
      </c>
      <c r="U2565" s="161" t="b">
        <f t="array" ref="U2565">index('Query Tool'!B:B,match(C2565,'Query Tool'!C:C,0))</f>
        <v>0</v>
      </c>
      <c r="V2565" s="161" t="b">
        <f>F2565&gt;='Query Tool'!C$32</f>
        <v>1</v>
      </c>
      <c r="W2565" s="161" t="b">
        <f t="array" ref="W2565">index(Dropdowns!B:B,match(I2565,Dropdowns!A:A,0))</f>
        <v>1</v>
      </c>
      <c r="X2565" s="161" t="b">
        <f t="array" ref="X2565">index('Query Tool'!B:B,match(D2565,'Query Tool'!C:C,0))</f>
        <v>1</v>
      </c>
      <c r="Y2565" s="161" t="str">
        <f t="shared" si="6"/>
        <v>casspom01,2018-19</v>
      </c>
      <c r="Z2565" s="168" t="str">
        <f t="array" ref="Z2565">iferror(index(I:I,match($A2565&amp;","&amp;index('Year Conversion'!$A:$A,match($C2565,'Year Conversion'!$B:$B,0)),$Y:$Y,0))-I2565,"")</f>
        <v/>
      </c>
      <c r="AA2565" s="168" t="str">
        <f t="array" ref="AA2565">iferror(index(J:J,match($A2565&amp;","&amp;index('Year Conversion'!$A:$A,match($C2565,'Year Conversion'!$B:$B,0)),$Y:$Y,0))-J2565,"")</f>
        <v/>
      </c>
      <c r="AB2565" s="168" t="str">
        <f t="array" ref="AB2565">iferror(index(K:K,match($A2565&amp;","&amp;index('Year Conversion'!$A:$A,match($C2565,'Year Conversion'!$B:$B,0)),$Y:$Y,0))-K2565,"")</f>
        <v/>
      </c>
      <c r="AC2565" s="168" t="str">
        <f t="shared" si="7"/>
        <v>MEM,2018-19</v>
      </c>
    </row>
    <row r="2566">
      <c r="A2566" s="161" t="str">
        <f>IFERROR(__xludf.DUMMYFUNCTION("""COMPUTED_VALUE"""),"gibsota01")</f>
        <v>gibsota01</v>
      </c>
      <c r="B2566" s="161" t="str">
        <f>IFERROR(__xludf.DUMMYFUNCTION("""COMPUTED_VALUE"""),"Taj Gibson")</f>
        <v>Taj Gibson</v>
      </c>
      <c r="C2566" s="162" t="str">
        <f>IFERROR(__xludf.DUMMYFUNCTION("""COMPUTED_VALUE"""),"2018-19")</f>
        <v>2018-19</v>
      </c>
      <c r="D2566" s="163" t="str">
        <f>IFERROR(__xludf.DUMMYFUNCTION("""COMPUTED_VALUE"""),"MIN")</f>
        <v>MIN</v>
      </c>
      <c r="E2566" s="164" t="str">
        <f>IFERROR(__xludf.DUMMYFUNCTION("""COMPUTED_VALUE"""),"Post Scorer")</f>
        <v>Post Scorer</v>
      </c>
      <c r="F2566" s="164">
        <f>IFERROR(__xludf.DUMMYFUNCTION("""COMPUTED_VALUE"""),1686.35)</f>
        <v>1686.35</v>
      </c>
      <c r="G2566" s="163">
        <f>IFERROR(__xludf.DUMMYFUNCTION("""COMPUTED_VALUE"""),70.0)</f>
        <v>70</v>
      </c>
      <c r="H2566" s="163" t="str">
        <f>IFERROR(__xludf.DUMMYFUNCTION("""COMPUTED_VALUE"""),"PF")</f>
        <v>PF</v>
      </c>
      <c r="I2566" s="163">
        <f>IFERROR(__xludf.DUMMYFUNCTION("""COMPUTED_VALUE"""),33.0)</f>
        <v>33</v>
      </c>
      <c r="J2566" s="165">
        <f>IFERROR(__xludf.DUMMYFUNCTION("""COMPUTED_VALUE"""),-0.776122471878981)</f>
        <v>-0.7761224719</v>
      </c>
      <c r="K2566" s="165">
        <f>IFERROR(__xludf.DUMMYFUNCTION("""COMPUTED_VALUE"""),-0.585570839166802)</f>
        <v>-0.5855708392</v>
      </c>
      <c r="L2566" s="165">
        <f>IFERROR(__xludf.DUMMYFUNCTION("""COMPUTED_VALUE"""),-0.19055163271218)</f>
        <v>-0.1905516327</v>
      </c>
      <c r="M2566" s="166">
        <f t="shared" si="2"/>
        <v>1.718138066</v>
      </c>
      <c r="N2566" s="167">
        <f t="shared" si="3"/>
        <v>24.09071429</v>
      </c>
      <c r="O2566" s="163">
        <f t="shared" ref="O2566:Q2566" si="2570">rank(I2566,I:I)</f>
        <v>246</v>
      </c>
      <c r="P2566" s="163">
        <f t="shared" si="2570"/>
        <v>2242</v>
      </c>
      <c r="Q2566" s="163">
        <f t="shared" si="2570"/>
        <v>2239</v>
      </c>
      <c r="R2566" s="163">
        <f>IFERROR(__xludf.DUMMYFUNCTION("RANK(M2566,filter(M:M,C:C=C2566))"),170.0)</f>
        <v>170</v>
      </c>
      <c r="S2566" s="161" t="b">
        <f t="shared" si="5"/>
        <v>0</v>
      </c>
      <c r="T2566" s="161" t="b">
        <f t="array" ref="T2566">index('Query Tool'!B:B,match(H2566,'Query Tool'!C:C,0))</f>
        <v>1</v>
      </c>
      <c r="U2566" s="161" t="b">
        <f t="array" ref="U2566">index('Query Tool'!B:B,match(C2566,'Query Tool'!C:C,0))</f>
        <v>0</v>
      </c>
      <c r="V2566" s="161" t="b">
        <f>F2566&gt;='Query Tool'!C$32</f>
        <v>1</v>
      </c>
      <c r="W2566" s="161" t="b">
        <f t="array" ref="W2566">index(Dropdowns!B:B,match(I2566,Dropdowns!A:A,0))</f>
        <v>1</v>
      </c>
      <c r="X2566" s="161" t="b">
        <f t="array" ref="X2566">index('Query Tool'!B:B,match(D2566,'Query Tool'!C:C,0))</f>
        <v>1</v>
      </c>
      <c r="Y2566" s="161" t="str">
        <f t="shared" si="6"/>
        <v>gibsota01,2018-19</v>
      </c>
      <c r="Z2566" s="168">
        <f t="array" ref="Z2566">iferror(index(I:I,match($A2566&amp;","&amp;index('Year Conversion'!$A:$A,match($C2566,'Year Conversion'!$B:$B,0)),$Y:$Y,0))-I2566,"")</f>
        <v>1</v>
      </c>
      <c r="AA2566" s="168">
        <f t="array" ref="AA2566">iferror(index(J:J,match($A2566&amp;","&amp;index('Year Conversion'!$A:$A,match($C2566,'Year Conversion'!$B:$B,0)),$Y:$Y,0))-J2566,"")</f>
        <v>-1.161973199</v>
      </c>
      <c r="AB2566" s="168">
        <f t="array" ref="AB2566">iferror(index(K:K,match($A2566&amp;","&amp;index('Year Conversion'!$A:$A,match($C2566,'Year Conversion'!$B:$B,0)),$Y:$Y,0))-K2566,"")</f>
        <v>-1.446199718</v>
      </c>
      <c r="AC2566" s="168" t="str">
        <f t="shared" si="7"/>
        <v>MIN,2018-19</v>
      </c>
    </row>
    <row r="2567">
      <c r="A2567" s="161" t="str">
        <f>IFERROR(__xludf.DUMMYFUNCTION("""COMPUTED_VALUE"""),"carrode01")</f>
        <v>carrode01</v>
      </c>
      <c r="B2567" s="161" t="str">
        <f>IFERROR(__xludf.DUMMYFUNCTION("""COMPUTED_VALUE"""),"DeMarre Carroll")</f>
        <v>DeMarre Carroll</v>
      </c>
      <c r="C2567" s="162" t="str">
        <f>IFERROR(__xludf.DUMMYFUNCTION("""COMPUTED_VALUE"""),"2018-19")</f>
        <v>2018-19</v>
      </c>
      <c r="D2567" s="163" t="str">
        <f>IFERROR(__xludf.DUMMYFUNCTION("""COMPUTED_VALUE"""),"BRK")</f>
        <v>BRK</v>
      </c>
      <c r="E2567" s="164" t="str">
        <f>IFERROR(__xludf.DUMMYFUNCTION("""COMPUTED_VALUE"""),"Movement Shooter")</f>
        <v>Movement Shooter</v>
      </c>
      <c r="F2567" s="164">
        <f>IFERROR(__xludf.DUMMYFUNCTION("""COMPUTED_VALUE"""),1703.45833333333)</f>
        <v>1703.458333</v>
      </c>
      <c r="G2567" s="163">
        <f>IFERROR(__xludf.DUMMYFUNCTION("""COMPUTED_VALUE"""),67.0)</f>
        <v>67</v>
      </c>
      <c r="H2567" s="163" t="str">
        <f>IFERROR(__xludf.DUMMYFUNCTION("""COMPUTED_VALUE"""),"PF")</f>
        <v>PF</v>
      </c>
      <c r="I2567" s="163">
        <f>IFERROR(__xludf.DUMMYFUNCTION("""COMPUTED_VALUE"""),32.0)</f>
        <v>32</v>
      </c>
      <c r="J2567" s="165">
        <f>IFERROR(__xludf.DUMMYFUNCTION("""COMPUTED_VALUE"""),-0.700877257739148)</f>
        <v>-0.7008772577</v>
      </c>
      <c r="K2567" s="165">
        <f>IFERROR(__xludf.DUMMYFUNCTION("""COMPUTED_VALUE"""),0.366392524664047)</f>
        <v>0.3663925247</v>
      </c>
      <c r="L2567" s="165">
        <f>IFERROR(__xludf.DUMMYFUNCTION("""COMPUTED_VALUE"""),-1.06726978240319)</f>
        <v>-1.067269782</v>
      </c>
      <c r="M2567" s="166">
        <f t="shared" si="2"/>
        <v>1.821788296</v>
      </c>
      <c r="N2567" s="167">
        <f t="shared" si="3"/>
        <v>25.42475124</v>
      </c>
      <c r="O2567" s="163">
        <f t="shared" ref="O2567:Q2567" si="2571">rank(I2567,I:I)</f>
        <v>359</v>
      </c>
      <c r="P2567" s="163">
        <f t="shared" si="2571"/>
        <v>2142</v>
      </c>
      <c r="Q2567" s="163">
        <f t="shared" si="2571"/>
        <v>857</v>
      </c>
      <c r="R2567" s="163">
        <f>IFERROR(__xludf.DUMMYFUNCTION("RANK(M2567,filter(M:M,C:C=C2567))"),164.0)</f>
        <v>164</v>
      </c>
      <c r="S2567" s="161" t="b">
        <f t="shared" si="5"/>
        <v>0</v>
      </c>
      <c r="T2567" s="161" t="b">
        <f t="array" ref="T2567">index('Query Tool'!B:B,match(H2567,'Query Tool'!C:C,0))</f>
        <v>1</v>
      </c>
      <c r="U2567" s="161" t="b">
        <f t="array" ref="U2567">index('Query Tool'!B:B,match(C2567,'Query Tool'!C:C,0))</f>
        <v>0</v>
      </c>
      <c r="V2567" s="161" t="b">
        <f>F2567&gt;='Query Tool'!C$32</f>
        <v>1</v>
      </c>
      <c r="W2567" s="161" t="b">
        <f t="array" ref="W2567">index(Dropdowns!B:B,match(I2567,Dropdowns!A:A,0))</f>
        <v>1</v>
      </c>
      <c r="X2567" s="161" t="b">
        <f t="array" ref="X2567">index('Query Tool'!B:B,match(D2567,'Query Tool'!C:C,0))</f>
        <v>1</v>
      </c>
      <c r="Y2567" s="161" t="str">
        <f t="shared" si="6"/>
        <v>carrode01,2018-19</v>
      </c>
      <c r="Z2567" s="168">
        <f t="array" ref="Z2567">iferror(index(I:I,match($A2567&amp;","&amp;index('Year Conversion'!$A:$A,match($C2567,'Year Conversion'!$B:$B,0)),$Y:$Y,0))-I2567,"")</f>
        <v>1</v>
      </c>
      <c r="AA2567" s="168">
        <f t="array" ref="AA2567">iferror(index(J:J,match($A2567&amp;","&amp;index('Year Conversion'!$A:$A,match($C2567,'Year Conversion'!$B:$B,0)),$Y:$Y,0))-J2567,"")</f>
        <v>-0.1516511973</v>
      </c>
      <c r="AB2567" s="168">
        <f t="array" ref="AB2567">iferror(index(K:K,match($A2567&amp;","&amp;index('Year Conversion'!$A:$A,match($C2567,'Year Conversion'!$B:$B,0)),$Y:$Y,0))-K2567,"")</f>
        <v>-1.410009927</v>
      </c>
      <c r="AC2567" s="168" t="str">
        <f t="shared" si="7"/>
        <v>BRK,2018-19</v>
      </c>
    </row>
    <row r="2568">
      <c r="A2568" s="161" t="str">
        <f>IFERROR(__xludf.DUMMYFUNCTION("""COMPUTED_VALUE"""),"ellinwa01")</f>
        <v>ellinwa01</v>
      </c>
      <c r="B2568" s="161" t="str">
        <f>IFERROR(__xludf.DUMMYFUNCTION("""COMPUTED_VALUE"""),"Wayne Ellington")</f>
        <v>Wayne Ellington</v>
      </c>
      <c r="C2568" s="162" t="str">
        <f>IFERROR(__xludf.DUMMYFUNCTION("""COMPUTED_VALUE"""),"2018-19")</f>
        <v>2018-19</v>
      </c>
      <c r="D2568" s="163" t="str">
        <f>IFERROR(__xludf.DUMMYFUNCTION("""COMPUTED_VALUE"""),"TOT")</f>
        <v>TOT</v>
      </c>
      <c r="E2568" s="164" t="str">
        <f>IFERROR(__xludf.DUMMYFUNCTION("""COMPUTED_VALUE"""),"Movement Shooter")</f>
        <v>Movement Shooter</v>
      </c>
      <c r="F2568" s="164">
        <f>IFERROR(__xludf.DUMMYFUNCTION("""COMPUTED_VALUE"""),1296.84833333333)</f>
        <v>1296.848333</v>
      </c>
      <c r="G2568" s="163">
        <f>IFERROR(__xludf.DUMMYFUNCTION("""COMPUTED_VALUE"""),53.0)</f>
        <v>53</v>
      </c>
      <c r="H2568" s="163" t="str">
        <f>IFERROR(__xludf.DUMMYFUNCTION("""COMPUTED_VALUE"""),"SG")</f>
        <v>SG</v>
      </c>
      <c r="I2568" s="163">
        <f>IFERROR(__xludf.DUMMYFUNCTION("""COMPUTED_VALUE"""),31.0)</f>
        <v>31</v>
      </c>
      <c r="J2568" s="165">
        <f>IFERROR(__xludf.DUMMYFUNCTION("""COMPUTED_VALUE"""),0.278762277088719)</f>
        <v>0.2787622771</v>
      </c>
      <c r="K2568" s="165">
        <f>IFERROR(__xludf.DUMMYFUNCTION("""COMPUTED_VALUE"""),0.172386202500839)</f>
        <v>0.1723862025</v>
      </c>
      <c r="L2568" s="165">
        <f>IFERROR(__xludf.DUMMYFUNCTION("""COMPUTED_VALUE"""),0.10637607458788)</f>
        <v>0.1063760746</v>
      </c>
      <c r="M2568" s="166">
        <f t="shared" si="2"/>
        <v>2.243009514</v>
      </c>
      <c r="N2568" s="167">
        <f t="shared" si="3"/>
        <v>24.46883648</v>
      </c>
      <c r="O2568" s="163">
        <f t="shared" ref="O2568:Q2568" si="2572">rank(I2568,I:I)</f>
        <v>490</v>
      </c>
      <c r="P2568" s="163">
        <f t="shared" si="2572"/>
        <v>1034</v>
      </c>
      <c r="Q2568" s="163">
        <f t="shared" si="2572"/>
        <v>1008</v>
      </c>
      <c r="R2568" s="163">
        <f>IFERROR(__xludf.DUMMYFUNCTION("RANK(M2568,filter(M:M,C:C=C2568))"),139.0)</f>
        <v>139</v>
      </c>
      <c r="S2568" s="161" t="b">
        <f t="shared" si="5"/>
        <v>0</v>
      </c>
      <c r="T2568" s="161" t="b">
        <f t="array" ref="T2568">index('Query Tool'!B:B,match(H2568,'Query Tool'!C:C,0))</f>
        <v>1</v>
      </c>
      <c r="U2568" s="161" t="b">
        <f t="array" ref="U2568">index('Query Tool'!B:B,match(C2568,'Query Tool'!C:C,0))</f>
        <v>0</v>
      </c>
      <c r="V2568" s="161" t="b">
        <f>F2568&gt;='Query Tool'!C$32</f>
        <v>1</v>
      </c>
      <c r="W2568" s="161" t="b">
        <f t="array" ref="W2568">index(Dropdowns!B:B,match(I2568,Dropdowns!A:A,0))</f>
        <v>1</v>
      </c>
      <c r="X2568" s="161" t="b">
        <f t="array" ref="X2568">index('Query Tool'!B:B,match(D2568,'Query Tool'!C:C,0))</f>
        <v>1</v>
      </c>
      <c r="Y2568" s="161" t="str">
        <f t="shared" si="6"/>
        <v>ellinwa01,2018-19</v>
      </c>
      <c r="Z2568" s="168">
        <f t="array" ref="Z2568">iferror(index(I:I,match($A2568&amp;","&amp;index('Year Conversion'!$A:$A,match($C2568,'Year Conversion'!$B:$B,0)),$Y:$Y,0))-I2568,"")</f>
        <v>1</v>
      </c>
      <c r="AA2568" s="168">
        <f t="array" ref="AA2568">iferror(index(J:J,match($A2568&amp;","&amp;index('Year Conversion'!$A:$A,match($C2568,'Year Conversion'!$B:$B,0)),$Y:$Y,0))-J2568,"")</f>
        <v>-1.082911909</v>
      </c>
      <c r="AB2568" s="168">
        <f t="array" ref="AB2568">iferror(index(K:K,match($A2568&amp;","&amp;index('Year Conversion'!$A:$A,match($C2568,'Year Conversion'!$B:$B,0)),$Y:$Y,0))-K2568,"")</f>
        <v>-0.2496462599</v>
      </c>
      <c r="AC2568" s="168" t="str">
        <f t="shared" si="7"/>
        <v>TOT,2018-19</v>
      </c>
    </row>
    <row r="2569">
      <c r="A2569" s="161" t="str">
        <f>IFERROR(__xludf.DUMMYFUNCTION("""COMPUTED_VALUE"""),"cunnida01")</f>
        <v>cunnida01</v>
      </c>
      <c r="B2569" s="161" t="str">
        <f>IFERROR(__xludf.DUMMYFUNCTION("""COMPUTED_VALUE"""),"Dante Cunningham")</f>
        <v>Dante Cunningham</v>
      </c>
      <c r="C2569" s="162" t="str">
        <f>IFERROR(__xludf.DUMMYFUNCTION("""COMPUTED_VALUE"""),"2018-19")</f>
        <v>2018-19</v>
      </c>
      <c r="D2569" s="163" t="str">
        <f>IFERROR(__xludf.DUMMYFUNCTION("""COMPUTED_VALUE"""),"SAS")</f>
        <v>SAS</v>
      </c>
      <c r="E2569" s="164" t="str">
        <f>IFERROR(__xludf.DUMMYFUNCTION("""COMPUTED_VALUE"""),"Stretch Big")</f>
        <v>Stretch Big</v>
      </c>
      <c r="F2569" s="164">
        <f>IFERROR(__xludf.DUMMYFUNCTION("""COMPUTED_VALUE"""),928.46)</f>
        <v>928.46</v>
      </c>
      <c r="G2569" s="163">
        <f>IFERROR(__xludf.DUMMYFUNCTION("""COMPUTED_VALUE"""),64.0)</f>
        <v>64</v>
      </c>
      <c r="H2569" s="163" t="str">
        <f>IFERROR(__xludf.DUMMYFUNCTION("""COMPUTED_VALUE"""),"PF")</f>
        <v>PF</v>
      </c>
      <c r="I2569" s="163">
        <f>IFERROR(__xludf.DUMMYFUNCTION("""COMPUTED_VALUE"""),31.0)</f>
        <v>31</v>
      </c>
      <c r="J2569" s="165">
        <f>IFERROR(__xludf.DUMMYFUNCTION("""COMPUTED_VALUE"""),-2.4801033484973)</f>
        <v>-2.480103348</v>
      </c>
      <c r="K2569" s="165">
        <f>IFERROR(__xludf.DUMMYFUNCTION("""COMPUTED_VALUE"""),-2.56362826103824)</f>
        <v>-2.563628261</v>
      </c>
      <c r="L2569" s="165">
        <f>IFERROR(__xludf.DUMMYFUNCTION("""COMPUTED_VALUE"""),0.08352491254094)</f>
        <v>0.08352491254</v>
      </c>
      <c r="M2569" s="166">
        <f t="shared" si="2"/>
        <v>-0.1079345001</v>
      </c>
      <c r="N2569" s="167">
        <f t="shared" si="3"/>
        <v>14.5071875</v>
      </c>
      <c r="O2569" s="163">
        <f t="shared" ref="O2569:Q2569" si="2573">rank(I2569,I:I)</f>
        <v>490</v>
      </c>
      <c r="P2569" s="163">
        <f t="shared" si="2573"/>
        <v>3747</v>
      </c>
      <c r="Q2569" s="163">
        <f t="shared" si="2573"/>
        <v>3905</v>
      </c>
      <c r="R2569" s="163">
        <f>IFERROR(__xludf.DUMMYFUNCTION("RANK(M2569,filter(M:M,C:C=C2569))"),495.0)</f>
        <v>495</v>
      </c>
      <c r="S2569" s="161" t="b">
        <f t="shared" si="5"/>
        <v>0</v>
      </c>
      <c r="T2569" s="161" t="b">
        <f t="array" ref="T2569">index('Query Tool'!B:B,match(H2569,'Query Tool'!C:C,0))</f>
        <v>1</v>
      </c>
      <c r="U2569" s="161" t="b">
        <f t="array" ref="U2569">index('Query Tool'!B:B,match(C2569,'Query Tool'!C:C,0))</f>
        <v>0</v>
      </c>
      <c r="V2569" s="161" t="b">
        <f>F2569&gt;='Query Tool'!C$32</f>
        <v>1</v>
      </c>
      <c r="W2569" s="161" t="b">
        <f t="array" ref="W2569">index(Dropdowns!B:B,match(I2569,Dropdowns!A:A,0))</f>
        <v>1</v>
      </c>
      <c r="X2569" s="161" t="b">
        <f t="array" ref="X2569">index('Query Tool'!B:B,match(D2569,'Query Tool'!C:C,0))</f>
        <v>1</v>
      </c>
      <c r="Y2569" s="161" t="str">
        <f t="shared" si="6"/>
        <v>cunnida01,2018-19</v>
      </c>
      <c r="Z2569" s="168" t="str">
        <f t="array" ref="Z2569">iferror(index(I:I,match($A2569&amp;","&amp;index('Year Conversion'!$A:$A,match($C2569,'Year Conversion'!$B:$B,0)),$Y:$Y,0))-I2569,"")</f>
        <v/>
      </c>
      <c r="AA2569" s="168" t="str">
        <f t="array" ref="AA2569">iferror(index(J:J,match($A2569&amp;","&amp;index('Year Conversion'!$A:$A,match($C2569,'Year Conversion'!$B:$B,0)),$Y:$Y,0))-J2569,"")</f>
        <v/>
      </c>
      <c r="AB2569" s="168" t="str">
        <f t="array" ref="AB2569">iferror(index(K:K,match($A2569&amp;","&amp;index('Year Conversion'!$A:$A,match($C2569,'Year Conversion'!$B:$B,0)),$Y:$Y,0))-K2569,"")</f>
        <v/>
      </c>
      <c r="AC2569" s="168" t="str">
        <f t="shared" si="7"/>
        <v>SAS,2018-19</v>
      </c>
    </row>
    <row r="2570">
      <c r="A2570" s="161" t="str">
        <f>IFERROR(__xludf.DUMMYFUNCTION("""COMPUTED_VALUE"""),"jerebjo01")</f>
        <v>jerebjo01</v>
      </c>
      <c r="B2570" s="161" t="str">
        <f>IFERROR(__xludf.DUMMYFUNCTION("""COMPUTED_VALUE"""),"Jonas Jerebko")</f>
        <v>Jonas Jerebko</v>
      </c>
      <c r="C2570" s="162" t="str">
        <f>IFERROR(__xludf.DUMMYFUNCTION("""COMPUTED_VALUE"""),"2018-19")</f>
        <v>2018-19</v>
      </c>
      <c r="D2570" s="163" t="str">
        <f>IFERROR(__xludf.DUMMYFUNCTION("""COMPUTED_VALUE"""),"GSW")</f>
        <v>GSW</v>
      </c>
      <c r="E2570" s="164" t="str">
        <f>IFERROR(__xludf.DUMMYFUNCTION("""COMPUTED_VALUE"""),"Athletic Finisher")</f>
        <v>Athletic Finisher</v>
      </c>
      <c r="F2570" s="164">
        <f>IFERROR(__xludf.DUMMYFUNCTION("""COMPUTED_VALUE"""),1217.96333333333)</f>
        <v>1217.963333</v>
      </c>
      <c r="G2570" s="163">
        <f>IFERROR(__xludf.DUMMYFUNCTION("""COMPUTED_VALUE"""),73.0)</f>
        <v>73</v>
      </c>
      <c r="H2570" s="163" t="str">
        <f>IFERROR(__xludf.DUMMYFUNCTION("""COMPUTED_VALUE"""),"PF")</f>
        <v>PF</v>
      </c>
      <c r="I2570" s="163">
        <f>IFERROR(__xludf.DUMMYFUNCTION("""COMPUTED_VALUE"""),31.0)</f>
        <v>31</v>
      </c>
      <c r="J2570" s="165">
        <f>IFERROR(__xludf.DUMMYFUNCTION("""COMPUTED_VALUE"""),-0.00228476463178617)</f>
        <v>-0.002284764632</v>
      </c>
      <c r="K2570" s="165">
        <f>IFERROR(__xludf.DUMMYFUNCTION("""COMPUTED_VALUE"""),-0.0507497555822126)</f>
        <v>-0.05074975558</v>
      </c>
      <c r="L2570" s="165">
        <f>IFERROR(__xludf.DUMMYFUNCTION("""COMPUTED_VALUE"""),0.0484649909504264)</f>
        <v>0.04846499095</v>
      </c>
      <c r="M2570" s="166">
        <f t="shared" si="2"/>
        <v>1.875817364</v>
      </c>
      <c r="N2570" s="167">
        <f t="shared" si="3"/>
        <v>16.68442922</v>
      </c>
      <c r="O2570" s="163">
        <f t="shared" ref="O2570:Q2570" si="2574">rank(I2570,I:I)</f>
        <v>490</v>
      </c>
      <c r="P2570" s="163">
        <f t="shared" si="2574"/>
        <v>1285</v>
      </c>
      <c r="Q2570" s="163">
        <f t="shared" si="2574"/>
        <v>1277</v>
      </c>
      <c r="R2570" s="163">
        <f>IFERROR(__xludf.DUMMYFUNCTION("RANK(M2570,filter(M:M,C:C=C2570))"),157.0)</f>
        <v>157</v>
      </c>
      <c r="S2570" s="161" t="b">
        <f t="shared" si="5"/>
        <v>0</v>
      </c>
      <c r="T2570" s="161" t="b">
        <f t="array" ref="T2570">index('Query Tool'!B:B,match(H2570,'Query Tool'!C:C,0))</f>
        <v>1</v>
      </c>
      <c r="U2570" s="161" t="b">
        <f t="array" ref="U2570">index('Query Tool'!B:B,match(C2570,'Query Tool'!C:C,0))</f>
        <v>0</v>
      </c>
      <c r="V2570" s="161" t="b">
        <f>F2570&gt;='Query Tool'!C$32</f>
        <v>1</v>
      </c>
      <c r="W2570" s="161" t="b">
        <f t="array" ref="W2570">index(Dropdowns!B:B,match(I2570,Dropdowns!A:A,0))</f>
        <v>1</v>
      </c>
      <c r="X2570" s="161" t="b">
        <f t="array" ref="X2570">index('Query Tool'!B:B,match(D2570,'Query Tool'!C:C,0))</f>
        <v>1</v>
      </c>
      <c r="Y2570" s="161" t="str">
        <f t="shared" si="6"/>
        <v>jerebjo01,2018-19</v>
      </c>
      <c r="Z2570" s="168" t="str">
        <f t="array" ref="Z2570">iferror(index(I:I,match($A2570&amp;","&amp;index('Year Conversion'!$A:$A,match($C2570,'Year Conversion'!$B:$B,0)),$Y:$Y,0))-I2570,"")</f>
        <v/>
      </c>
      <c r="AA2570" s="168" t="str">
        <f t="array" ref="AA2570">iferror(index(J:J,match($A2570&amp;","&amp;index('Year Conversion'!$A:$A,match($C2570,'Year Conversion'!$B:$B,0)),$Y:$Y,0))-J2570,"")</f>
        <v/>
      </c>
      <c r="AB2570" s="168" t="str">
        <f t="array" ref="AB2570">iferror(index(K:K,match($A2570&amp;","&amp;index('Year Conversion'!$A:$A,match($C2570,'Year Conversion'!$B:$B,0)),$Y:$Y,0))-K2570,"")</f>
        <v/>
      </c>
      <c r="AC2570" s="168" t="str">
        <f t="shared" si="7"/>
        <v>GSW,2018-19</v>
      </c>
    </row>
    <row r="2571">
      <c r="A2571" s="161" t="str">
        <f>IFERROR(__xludf.DUMMYFUNCTION("""COMPUTED_VALUE"""),"meeksjo01")</f>
        <v>meeksjo01</v>
      </c>
      <c r="B2571" s="161" t="str">
        <f>IFERROR(__xludf.DUMMYFUNCTION("""COMPUTED_VALUE"""),"Jodie Meeks")</f>
        <v>Jodie Meeks</v>
      </c>
      <c r="C2571" s="162" t="str">
        <f>IFERROR(__xludf.DUMMYFUNCTION("""COMPUTED_VALUE"""),"2018-19")</f>
        <v>2018-19</v>
      </c>
      <c r="D2571" s="163" t="str">
        <f>IFERROR(__xludf.DUMMYFUNCTION("""COMPUTED_VALUE"""),"TOR")</f>
        <v>TOR</v>
      </c>
      <c r="E2571" s="164" t="str">
        <f>IFERROR(__xludf.DUMMYFUNCTION("""COMPUTED_VALUE"""),"Off Screen Shooter")</f>
        <v>Off Screen Shooter</v>
      </c>
      <c r="F2571" s="164">
        <f>IFERROR(__xludf.DUMMYFUNCTION("""COMPUTED_VALUE"""),104.04)</f>
        <v>104.04</v>
      </c>
      <c r="G2571" s="163">
        <f>IFERROR(__xludf.DUMMYFUNCTION("""COMPUTED_VALUE"""),8.0)</f>
        <v>8</v>
      </c>
      <c r="H2571" s="163" t="str">
        <f>IFERROR(__xludf.DUMMYFUNCTION("""COMPUTED_VALUE"""),"SG")</f>
        <v>SG</v>
      </c>
      <c r="I2571" s="163">
        <f>IFERROR(__xludf.DUMMYFUNCTION("""COMPUTED_VALUE"""),31.0)</f>
        <v>31</v>
      </c>
      <c r="J2571" s="165">
        <f>IFERROR(__xludf.DUMMYFUNCTION("""COMPUTED_VALUE"""),-1.10855714187601)</f>
        <v>-1.108557142</v>
      </c>
      <c r="K2571" s="165">
        <f>IFERROR(__xludf.DUMMYFUNCTION("""COMPUTED_VALUE"""),-0.0391852288088642)</f>
        <v>-0.03918522881</v>
      </c>
      <c r="L2571" s="165">
        <f>IFERROR(__xludf.DUMMYFUNCTION("""COMPUTED_VALUE"""),-1.06937191306714)</f>
        <v>-1.069371913</v>
      </c>
      <c r="M2571" s="166">
        <f t="shared" si="2"/>
        <v>0.08277027293</v>
      </c>
      <c r="N2571" s="167">
        <f t="shared" si="3"/>
        <v>13.005</v>
      </c>
      <c r="O2571" s="163">
        <f t="shared" ref="O2571:Q2571" si="2575">rank(I2571,I:I)</f>
        <v>490</v>
      </c>
      <c r="P2571" s="163">
        <f t="shared" si="2575"/>
        <v>2626</v>
      </c>
      <c r="Q2571" s="163">
        <f t="shared" si="2575"/>
        <v>1251</v>
      </c>
      <c r="R2571" s="163">
        <f>IFERROR(__xludf.DUMMYFUNCTION("RANK(M2571,filter(M:M,C:C=C2571))"),400.0)</f>
        <v>400</v>
      </c>
      <c r="S2571" s="161" t="b">
        <f t="shared" si="5"/>
        <v>0</v>
      </c>
      <c r="T2571" s="161" t="b">
        <f t="array" ref="T2571">index('Query Tool'!B:B,match(H2571,'Query Tool'!C:C,0))</f>
        <v>1</v>
      </c>
      <c r="U2571" s="161" t="b">
        <f t="array" ref="U2571">index('Query Tool'!B:B,match(C2571,'Query Tool'!C:C,0))</f>
        <v>0</v>
      </c>
      <c r="V2571" s="161" t="b">
        <f>F2571&gt;='Query Tool'!C$32</f>
        <v>0</v>
      </c>
      <c r="W2571" s="161" t="b">
        <f t="array" ref="W2571">index(Dropdowns!B:B,match(I2571,Dropdowns!A:A,0))</f>
        <v>1</v>
      </c>
      <c r="X2571" s="161" t="b">
        <f t="array" ref="X2571">index('Query Tool'!B:B,match(D2571,'Query Tool'!C:C,0))</f>
        <v>1</v>
      </c>
      <c r="Y2571" s="161" t="str">
        <f t="shared" si="6"/>
        <v>meeksjo01,2018-19</v>
      </c>
      <c r="Z2571" s="168" t="str">
        <f t="array" ref="Z2571">iferror(index(I:I,match($A2571&amp;","&amp;index('Year Conversion'!$A:$A,match($C2571,'Year Conversion'!$B:$B,0)),$Y:$Y,0))-I2571,"")</f>
        <v/>
      </c>
      <c r="AA2571" s="168" t="str">
        <f t="array" ref="AA2571">iferror(index(J:J,match($A2571&amp;","&amp;index('Year Conversion'!$A:$A,match($C2571,'Year Conversion'!$B:$B,0)),$Y:$Y,0))-J2571,"")</f>
        <v/>
      </c>
      <c r="AB2571" s="168" t="str">
        <f t="array" ref="AB2571">iferror(index(K:K,match($A2571&amp;","&amp;index('Year Conversion'!$A:$A,match($C2571,'Year Conversion'!$B:$B,0)),$Y:$Y,0))-K2571,"")</f>
        <v/>
      </c>
      <c r="AC2571" s="168" t="str">
        <f t="shared" si="7"/>
        <v>TOR,2018-19</v>
      </c>
    </row>
    <row r="2572">
      <c r="A2572" s="161" t="str">
        <f>IFERROR(__xludf.DUMMYFUNCTION("""COMPUTED_VALUE"""),"beverpa01")</f>
        <v>beverpa01</v>
      </c>
      <c r="B2572" s="161" t="str">
        <f>IFERROR(__xludf.DUMMYFUNCTION("""COMPUTED_VALUE"""),"Patrick Beverley")</f>
        <v>Patrick Beverley</v>
      </c>
      <c r="C2572" s="162" t="str">
        <f>IFERROR(__xludf.DUMMYFUNCTION("""COMPUTED_VALUE"""),"2018-19")</f>
        <v>2018-19</v>
      </c>
      <c r="D2572" s="163" t="str">
        <f>IFERROR(__xludf.DUMMYFUNCTION("""COMPUTED_VALUE"""),"LAC")</f>
        <v>LAC</v>
      </c>
      <c r="E2572" s="164" t="str">
        <f>IFERROR(__xludf.DUMMYFUNCTION("""COMPUTED_VALUE"""),"Primary Ball Handler")</f>
        <v>Primary Ball Handler</v>
      </c>
      <c r="F2572" s="164">
        <f>IFERROR(__xludf.DUMMYFUNCTION("""COMPUTED_VALUE"""),2137.22166666667)</f>
        <v>2137.221667</v>
      </c>
      <c r="G2572" s="163">
        <f>IFERROR(__xludf.DUMMYFUNCTION("""COMPUTED_VALUE"""),78.0)</f>
        <v>78</v>
      </c>
      <c r="H2572" s="163" t="str">
        <f>IFERROR(__xludf.DUMMYFUNCTION("""COMPUTED_VALUE"""),"PG")</f>
        <v>PG</v>
      </c>
      <c r="I2572" s="163">
        <f>IFERROR(__xludf.DUMMYFUNCTION("""COMPUTED_VALUE"""),30.0)</f>
        <v>30</v>
      </c>
      <c r="J2572" s="165">
        <f>IFERROR(__xludf.DUMMYFUNCTION("""COMPUTED_VALUE"""),0.776523271427293)</f>
        <v>0.7765232714</v>
      </c>
      <c r="K2572" s="165">
        <f>IFERROR(__xludf.DUMMYFUNCTION("""COMPUTED_VALUE"""),-0.197423464889706)</f>
        <v>-0.1974234649</v>
      </c>
      <c r="L2572" s="165">
        <f>IFERROR(__xludf.DUMMYFUNCTION("""COMPUTED_VALUE"""),0.973946736316998)</f>
        <v>0.9739467363</v>
      </c>
      <c r="M2572" s="166">
        <f t="shared" si="2"/>
        <v>4.412834105</v>
      </c>
      <c r="N2572" s="167">
        <f t="shared" si="3"/>
        <v>27.40027778</v>
      </c>
      <c r="O2572" s="163">
        <f t="shared" ref="O2572:Q2572" si="2576">rank(I2572,I:I)</f>
        <v>655</v>
      </c>
      <c r="P2572" s="163">
        <f t="shared" si="2576"/>
        <v>759</v>
      </c>
      <c r="Q2572" s="163">
        <f t="shared" si="2576"/>
        <v>1560</v>
      </c>
      <c r="R2572" s="163">
        <f>IFERROR(__xludf.DUMMYFUNCTION("RANK(M2572,filter(M:M,C:C=C2572))"),71.0)</f>
        <v>71</v>
      </c>
      <c r="S2572" s="161" t="b">
        <f t="shared" si="5"/>
        <v>0</v>
      </c>
      <c r="T2572" s="161" t="b">
        <f t="array" ref="T2572">index('Query Tool'!B:B,match(H2572,'Query Tool'!C:C,0))</f>
        <v>1</v>
      </c>
      <c r="U2572" s="161" t="b">
        <f t="array" ref="U2572">index('Query Tool'!B:B,match(C2572,'Query Tool'!C:C,0))</f>
        <v>0</v>
      </c>
      <c r="V2572" s="161" t="b">
        <f>F2572&gt;='Query Tool'!C$32</f>
        <v>1</v>
      </c>
      <c r="W2572" s="161" t="b">
        <f t="array" ref="W2572">index(Dropdowns!B:B,match(I2572,Dropdowns!A:A,0))</f>
        <v>1</v>
      </c>
      <c r="X2572" s="161" t="b">
        <f t="array" ref="X2572">index('Query Tool'!B:B,match(D2572,'Query Tool'!C:C,0))</f>
        <v>1</v>
      </c>
      <c r="Y2572" s="161" t="str">
        <f t="shared" si="6"/>
        <v>beverpa01,2018-19</v>
      </c>
      <c r="Z2572" s="168">
        <f t="array" ref="Z2572">iferror(index(I:I,match($A2572&amp;","&amp;index('Year Conversion'!$A:$A,match($C2572,'Year Conversion'!$B:$B,0)),$Y:$Y,0))-I2572,"")</f>
        <v>1</v>
      </c>
      <c r="AA2572" s="168">
        <f t="array" ref="AA2572">iferror(index(J:J,match($A2572&amp;","&amp;index('Year Conversion'!$A:$A,match($C2572,'Year Conversion'!$B:$B,0)),$Y:$Y,0))-J2572,"")</f>
        <v>1.235945289</v>
      </c>
      <c r="AB2572" s="168">
        <f t="array" ref="AB2572">iferror(index(K:K,match($A2572&amp;","&amp;index('Year Conversion'!$A:$A,match($C2572,'Year Conversion'!$B:$B,0)),$Y:$Y,0))-K2572,"")</f>
        <v>-0.1169845109</v>
      </c>
      <c r="AC2572" s="168" t="str">
        <f t="shared" si="7"/>
        <v>LAC,2018-19</v>
      </c>
    </row>
    <row r="2573">
      <c r="A2573" s="161" t="str">
        <f>IFERROR(__xludf.DUMMYFUNCTION("""COMPUTED_VALUE"""),"greenda02")</f>
        <v>greenda02</v>
      </c>
      <c r="B2573" s="161" t="str">
        <f>IFERROR(__xludf.DUMMYFUNCTION("""COMPUTED_VALUE"""),"Danny Green")</f>
        <v>Danny Green</v>
      </c>
      <c r="C2573" s="162" t="str">
        <f>IFERROR(__xludf.DUMMYFUNCTION("""COMPUTED_VALUE"""),"2018-19")</f>
        <v>2018-19</v>
      </c>
      <c r="D2573" s="163" t="str">
        <f>IFERROR(__xludf.DUMMYFUNCTION("""COMPUTED_VALUE"""),"TOR")</f>
        <v>TOR</v>
      </c>
      <c r="E2573" s="164" t="str">
        <f>IFERROR(__xludf.DUMMYFUNCTION("""COMPUTED_VALUE"""),"Movement Shooter")</f>
        <v>Movement Shooter</v>
      </c>
      <c r="F2573" s="164">
        <f>IFERROR(__xludf.DUMMYFUNCTION("""COMPUTED_VALUE"""),2215.465)</f>
        <v>2215.465</v>
      </c>
      <c r="G2573" s="163">
        <f>IFERROR(__xludf.DUMMYFUNCTION("""COMPUTED_VALUE"""),80.0)</f>
        <v>80</v>
      </c>
      <c r="H2573" s="163" t="str">
        <f>IFERROR(__xludf.DUMMYFUNCTION("""COMPUTED_VALUE"""),"SG")</f>
        <v>SG</v>
      </c>
      <c r="I2573" s="163">
        <f>IFERROR(__xludf.DUMMYFUNCTION("""COMPUTED_VALUE"""),31.0)</f>
        <v>31</v>
      </c>
      <c r="J2573" s="165">
        <f>IFERROR(__xludf.DUMMYFUNCTION("""COMPUTED_VALUE"""),1.79303607811329)</f>
        <v>1.793036078</v>
      </c>
      <c r="K2573" s="165">
        <f>IFERROR(__xludf.DUMMYFUNCTION("""COMPUTED_VALUE"""),0.690975385931889)</f>
        <v>0.6909753859</v>
      </c>
      <c r="L2573" s="165">
        <f>IFERROR(__xludf.DUMMYFUNCTION("""COMPUTED_VALUE"""),1.1020606921814)</f>
        <v>1.102060692</v>
      </c>
      <c r="M2573" s="166">
        <f t="shared" si="2"/>
        <v>6.081768485</v>
      </c>
      <c r="N2573" s="167">
        <f t="shared" si="3"/>
        <v>27.6933125</v>
      </c>
      <c r="O2573" s="163">
        <f t="shared" ref="O2573:Q2573" si="2577">rank(I2573,I:I)</f>
        <v>490</v>
      </c>
      <c r="P2573" s="163">
        <f t="shared" si="2577"/>
        <v>376</v>
      </c>
      <c r="Q2573" s="163">
        <f t="shared" si="2577"/>
        <v>658</v>
      </c>
      <c r="R2573" s="163">
        <f>IFERROR(__xludf.DUMMYFUNCTION("RANK(M2573,filter(M:M,C:C=C2573))"),45.0)</f>
        <v>45</v>
      </c>
      <c r="S2573" s="161" t="b">
        <f t="shared" si="5"/>
        <v>0</v>
      </c>
      <c r="T2573" s="161" t="b">
        <f t="array" ref="T2573">index('Query Tool'!B:B,match(H2573,'Query Tool'!C:C,0))</f>
        <v>1</v>
      </c>
      <c r="U2573" s="161" t="b">
        <f t="array" ref="U2573">index('Query Tool'!B:B,match(C2573,'Query Tool'!C:C,0))</f>
        <v>0</v>
      </c>
      <c r="V2573" s="161" t="b">
        <f>F2573&gt;='Query Tool'!C$32</f>
        <v>1</v>
      </c>
      <c r="W2573" s="161" t="b">
        <f t="array" ref="W2573">index(Dropdowns!B:B,match(I2573,Dropdowns!A:A,0))</f>
        <v>1</v>
      </c>
      <c r="X2573" s="161" t="b">
        <f t="array" ref="X2573">index('Query Tool'!B:B,match(D2573,'Query Tool'!C:C,0))</f>
        <v>1</v>
      </c>
      <c r="Y2573" s="161" t="str">
        <f t="shared" si="6"/>
        <v>greenda02,2018-19</v>
      </c>
      <c r="Z2573" s="168">
        <f t="array" ref="Z2573">iferror(index(I:I,match($A2573&amp;","&amp;index('Year Conversion'!$A:$A,match($C2573,'Year Conversion'!$B:$B,0)),$Y:$Y,0))-I2573,"")</f>
        <v>1</v>
      </c>
      <c r="AA2573" s="168">
        <f t="array" ref="AA2573">iferror(index(J:J,match($A2573&amp;","&amp;index('Year Conversion'!$A:$A,match($C2573,'Year Conversion'!$B:$B,0)),$Y:$Y,0))-J2573,"")</f>
        <v>-0.6709610729</v>
      </c>
      <c r="AB2573" s="168">
        <f t="array" ref="AB2573">iferror(index(K:K,match($A2573&amp;","&amp;index('Year Conversion'!$A:$A,match($C2573,'Year Conversion'!$B:$B,0)),$Y:$Y,0))-K2573,"")</f>
        <v>-0.6667892677</v>
      </c>
      <c r="AC2573" s="168" t="str">
        <f t="shared" si="7"/>
        <v>TOR,2018-19</v>
      </c>
    </row>
    <row r="2574">
      <c r="A2574" s="161" t="str">
        <f>IFERROR(__xludf.DUMMYFUNCTION("""COMPUTED_VALUE"""),"millspa02")</f>
        <v>millspa02</v>
      </c>
      <c r="B2574" s="161" t="str">
        <f>IFERROR(__xludf.DUMMYFUNCTION("""COMPUTED_VALUE"""),"Patty Mills")</f>
        <v>Patty Mills</v>
      </c>
      <c r="C2574" s="162" t="str">
        <f>IFERROR(__xludf.DUMMYFUNCTION("""COMPUTED_VALUE"""),"2018-19")</f>
        <v>2018-19</v>
      </c>
      <c r="D2574" s="163" t="str">
        <f>IFERROR(__xludf.DUMMYFUNCTION("""COMPUTED_VALUE"""),"SAS")</f>
        <v>SAS</v>
      </c>
      <c r="E2574" s="164" t="str">
        <f>IFERROR(__xludf.DUMMYFUNCTION("""COMPUTED_VALUE"""),"Primary Ball Handler")</f>
        <v>Primary Ball Handler</v>
      </c>
      <c r="F2574" s="164">
        <f>IFERROR(__xludf.DUMMYFUNCTION("""COMPUTED_VALUE"""),1907.70833333333)</f>
        <v>1907.708333</v>
      </c>
      <c r="G2574" s="163">
        <f>IFERROR(__xludf.DUMMYFUNCTION("""COMPUTED_VALUE"""),82.0)</f>
        <v>82</v>
      </c>
      <c r="H2574" s="163" t="str">
        <f>IFERROR(__xludf.DUMMYFUNCTION("""COMPUTED_VALUE"""),"PG")</f>
        <v>PG</v>
      </c>
      <c r="I2574" s="163">
        <f>IFERROR(__xludf.DUMMYFUNCTION("""COMPUTED_VALUE"""),30.0)</f>
        <v>30</v>
      </c>
      <c r="J2574" s="165">
        <f>IFERROR(__xludf.DUMMYFUNCTION("""COMPUTED_VALUE"""),-0.627660285322671)</f>
        <v>-0.6276602853</v>
      </c>
      <c r="K2574" s="165">
        <f>IFERROR(__xludf.DUMMYFUNCTION("""COMPUTED_VALUE"""),1.23580658098555)</f>
        <v>1.235806581</v>
      </c>
      <c r="L2574" s="165">
        <f>IFERROR(__xludf.DUMMYFUNCTION("""COMPUTED_VALUE"""),-1.86346686630822)</f>
        <v>-1.863466866</v>
      </c>
      <c r="M2574" s="166">
        <f t="shared" si="2"/>
        <v>2.134221857</v>
      </c>
      <c r="N2574" s="167">
        <f t="shared" si="3"/>
        <v>23.26473577</v>
      </c>
      <c r="O2574" s="163">
        <f t="shared" ref="O2574:Q2574" si="2578">rank(I2574,I:I)</f>
        <v>655</v>
      </c>
      <c r="P2574" s="163">
        <f t="shared" si="2578"/>
        <v>2030</v>
      </c>
      <c r="Q2574" s="163">
        <f t="shared" si="2578"/>
        <v>407</v>
      </c>
      <c r="R2574" s="163">
        <f>IFERROR(__xludf.DUMMYFUNCTION("RANK(M2574,filter(M:M,C:C=C2574))"),146.0)</f>
        <v>146</v>
      </c>
      <c r="S2574" s="161" t="b">
        <f t="shared" si="5"/>
        <v>0</v>
      </c>
      <c r="T2574" s="161" t="b">
        <f t="array" ref="T2574">index('Query Tool'!B:B,match(H2574,'Query Tool'!C:C,0))</f>
        <v>1</v>
      </c>
      <c r="U2574" s="161" t="b">
        <f t="array" ref="U2574">index('Query Tool'!B:B,match(C2574,'Query Tool'!C:C,0))</f>
        <v>0</v>
      </c>
      <c r="V2574" s="161" t="b">
        <f>F2574&gt;='Query Tool'!C$32</f>
        <v>1</v>
      </c>
      <c r="W2574" s="161" t="b">
        <f t="array" ref="W2574">index(Dropdowns!B:B,match(I2574,Dropdowns!A:A,0))</f>
        <v>1</v>
      </c>
      <c r="X2574" s="161" t="b">
        <f t="array" ref="X2574">index('Query Tool'!B:B,match(D2574,'Query Tool'!C:C,0))</f>
        <v>1</v>
      </c>
      <c r="Y2574" s="161" t="str">
        <f t="shared" si="6"/>
        <v>millspa02,2018-19</v>
      </c>
      <c r="Z2574" s="168">
        <f t="array" ref="Z2574">iferror(index(I:I,match($A2574&amp;","&amp;index('Year Conversion'!$A:$A,match($C2574,'Year Conversion'!$B:$B,0)),$Y:$Y,0))-I2574,"")</f>
        <v>1</v>
      </c>
      <c r="AA2574" s="168">
        <f t="array" ref="AA2574">iferror(index(J:J,match($A2574&amp;","&amp;index('Year Conversion'!$A:$A,match($C2574,'Year Conversion'!$B:$B,0)),$Y:$Y,0))-J2574,"")</f>
        <v>1.505639352</v>
      </c>
      <c r="AB2574" s="168">
        <f t="array" ref="AB2574">iferror(index(K:K,match($A2574&amp;","&amp;index('Year Conversion'!$A:$A,match($C2574,'Year Conversion'!$B:$B,0)),$Y:$Y,0))-K2574,"")</f>
        <v>0.7618535225</v>
      </c>
      <c r="AC2574" s="168" t="str">
        <f t="shared" si="7"/>
        <v>SAS,2018-19</v>
      </c>
    </row>
    <row r="2575">
      <c r="A2575" s="161" t="str">
        <f>IFERROR(__xludf.DUMMYFUNCTION("""COMPUTED_VALUE"""),"templga01")</f>
        <v>templga01</v>
      </c>
      <c r="B2575" s="161" t="str">
        <f>IFERROR(__xludf.DUMMYFUNCTION("""COMPUTED_VALUE"""),"Garrett Temple")</f>
        <v>Garrett Temple</v>
      </c>
      <c r="C2575" s="162" t="str">
        <f>IFERROR(__xludf.DUMMYFUNCTION("""COMPUTED_VALUE"""),"2018-19")</f>
        <v>2018-19</v>
      </c>
      <c r="D2575" s="163" t="str">
        <f>IFERROR(__xludf.DUMMYFUNCTION("""COMPUTED_VALUE"""),"TOT")</f>
        <v>TOT</v>
      </c>
      <c r="E2575" s="164" t="str">
        <f>IFERROR(__xludf.DUMMYFUNCTION("""COMPUTED_VALUE"""),"Movement Shooter")</f>
        <v>Movement Shooter</v>
      </c>
      <c r="F2575" s="164">
        <f>IFERROR(__xludf.DUMMYFUNCTION("""COMPUTED_VALUE"""),2040.59166666667)</f>
        <v>2040.591667</v>
      </c>
      <c r="G2575" s="163">
        <f>IFERROR(__xludf.DUMMYFUNCTION("""COMPUTED_VALUE"""),75.0)</f>
        <v>75</v>
      </c>
      <c r="H2575" s="163" t="str">
        <f>IFERROR(__xludf.DUMMYFUNCTION("""COMPUTED_VALUE"""),"SG")</f>
        <v>SG</v>
      </c>
      <c r="I2575" s="163">
        <f>IFERROR(__xludf.DUMMYFUNCTION("""COMPUTED_VALUE"""),32.0)</f>
        <v>32</v>
      </c>
      <c r="J2575" s="165">
        <f>IFERROR(__xludf.DUMMYFUNCTION("""COMPUTED_VALUE"""),-1.74085713383674)</f>
        <v>-1.740857134</v>
      </c>
      <c r="K2575" s="165">
        <f>IFERROR(__xludf.DUMMYFUNCTION("""COMPUTED_VALUE"""),-2.57778801249394)</f>
        <v>-2.577788012</v>
      </c>
      <c r="L2575" s="165">
        <f>IFERROR(__xludf.DUMMYFUNCTION("""COMPUTED_VALUE"""),0.8369308786572)</f>
        <v>0.8369308787</v>
      </c>
      <c r="M2575" s="166">
        <f t="shared" si="2"/>
        <v>0.7609670582</v>
      </c>
      <c r="N2575" s="167">
        <f t="shared" si="3"/>
        <v>27.20788889</v>
      </c>
      <c r="O2575" s="163">
        <f t="shared" ref="O2575:Q2575" si="2579">rank(I2575,I:I)</f>
        <v>359</v>
      </c>
      <c r="P2575" s="163">
        <f t="shared" si="2579"/>
        <v>3282</v>
      </c>
      <c r="Q2575" s="163">
        <f t="shared" si="2579"/>
        <v>3909</v>
      </c>
      <c r="R2575" s="163">
        <f>IFERROR(__xludf.DUMMYFUNCTION("RANK(M2575,filter(M:M,C:C=C2575))"),247.0)</f>
        <v>247</v>
      </c>
      <c r="S2575" s="161" t="b">
        <f t="shared" si="5"/>
        <v>0</v>
      </c>
      <c r="T2575" s="161" t="b">
        <f t="array" ref="T2575">index('Query Tool'!B:B,match(H2575,'Query Tool'!C:C,0))</f>
        <v>1</v>
      </c>
      <c r="U2575" s="161" t="b">
        <f t="array" ref="U2575">index('Query Tool'!B:B,match(C2575,'Query Tool'!C:C,0))</f>
        <v>0</v>
      </c>
      <c r="V2575" s="161" t="b">
        <f>F2575&gt;='Query Tool'!C$32</f>
        <v>1</v>
      </c>
      <c r="W2575" s="161" t="b">
        <f t="array" ref="W2575">index(Dropdowns!B:B,match(I2575,Dropdowns!A:A,0))</f>
        <v>1</v>
      </c>
      <c r="X2575" s="161" t="b">
        <f t="array" ref="X2575">index('Query Tool'!B:B,match(D2575,'Query Tool'!C:C,0))</f>
        <v>1</v>
      </c>
      <c r="Y2575" s="161" t="str">
        <f t="shared" si="6"/>
        <v>templga01,2018-19</v>
      </c>
      <c r="Z2575" s="168">
        <f t="array" ref="Z2575">iferror(index(I:I,match($A2575&amp;","&amp;index('Year Conversion'!$A:$A,match($C2575,'Year Conversion'!$B:$B,0)),$Y:$Y,0))-I2575,"")</f>
        <v>1</v>
      </c>
      <c r="AA2575" s="168">
        <f t="array" ref="AA2575">iferror(index(J:J,match($A2575&amp;","&amp;index('Year Conversion'!$A:$A,match($C2575,'Year Conversion'!$B:$B,0)),$Y:$Y,0))-J2575,"")</f>
        <v>0.3130610648</v>
      </c>
      <c r="AB2575" s="168">
        <f t="array" ref="AB2575">iferror(index(K:K,match($A2575&amp;","&amp;index('Year Conversion'!$A:$A,match($C2575,'Year Conversion'!$B:$B,0)),$Y:$Y,0))-K2575,"")</f>
        <v>1.569498239</v>
      </c>
      <c r="AC2575" s="168" t="str">
        <f t="shared" si="7"/>
        <v>TOT,2018-19</v>
      </c>
    </row>
    <row r="2576">
      <c r="A2576" s="161" t="str">
        <f>IFERROR(__xludf.DUMMYFUNCTION("""COMPUTED_VALUE"""),"matthwe02")</f>
        <v>matthwe02</v>
      </c>
      <c r="B2576" s="161" t="str">
        <f>IFERROR(__xludf.DUMMYFUNCTION("""COMPUTED_VALUE"""),"Wesley Matthews")</f>
        <v>Wesley Matthews</v>
      </c>
      <c r="C2576" s="162" t="str">
        <f>IFERROR(__xludf.DUMMYFUNCTION("""COMPUTED_VALUE"""),"2018-19")</f>
        <v>2018-19</v>
      </c>
      <c r="D2576" s="163" t="str">
        <f>IFERROR(__xludf.DUMMYFUNCTION("""COMPUTED_VALUE"""),"TOT")</f>
        <v>TOT</v>
      </c>
      <c r="E2576" s="164" t="str">
        <f>IFERROR(__xludf.DUMMYFUNCTION("""COMPUTED_VALUE"""),"Movement Shooter")</f>
        <v>Movement Shooter</v>
      </c>
      <c r="F2576" s="164">
        <f>IFERROR(__xludf.DUMMYFUNCTION("""COMPUTED_VALUE"""),2091.02333333333)</f>
        <v>2091.023333</v>
      </c>
      <c r="G2576" s="163">
        <f>IFERROR(__xludf.DUMMYFUNCTION("""COMPUTED_VALUE"""),69.0)</f>
        <v>69</v>
      </c>
      <c r="H2576" s="163" t="str">
        <f>IFERROR(__xludf.DUMMYFUNCTION("""COMPUTED_VALUE"""),"SF-SG")</f>
        <v>SF-SG</v>
      </c>
      <c r="I2576" s="163">
        <f>IFERROR(__xludf.DUMMYFUNCTION("""COMPUTED_VALUE"""),32.0)</f>
        <v>32</v>
      </c>
      <c r="J2576" s="165">
        <f>IFERROR(__xludf.DUMMYFUNCTION("""COMPUTED_VALUE"""),-1.08558571448413)</f>
        <v>-1.085585714</v>
      </c>
      <c r="K2576" s="165">
        <f>IFERROR(__xludf.DUMMYFUNCTION("""COMPUTED_VALUE"""),-0.547377715752324)</f>
        <v>-0.5473777158</v>
      </c>
      <c r="L2576" s="165">
        <f>IFERROR(__xludf.DUMMYFUNCTION("""COMPUTED_VALUE"""),-0.538207998731808)</f>
        <v>-0.5382079987</v>
      </c>
      <c r="M2576" s="166">
        <f t="shared" si="2"/>
        <v>1.695760747</v>
      </c>
      <c r="N2576" s="167">
        <f t="shared" si="3"/>
        <v>30.30468599</v>
      </c>
      <c r="O2576" s="163">
        <f t="shared" ref="O2576:Q2576" si="2580">rank(I2576,I:I)</f>
        <v>359</v>
      </c>
      <c r="P2576" s="163">
        <f t="shared" si="2580"/>
        <v>2598</v>
      </c>
      <c r="Q2576" s="163">
        <f t="shared" si="2580"/>
        <v>2186</v>
      </c>
      <c r="R2576" s="163">
        <f>IFERROR(__xludf.DUMMYFUNCTION("RANK(M2576,filter(M:M,C:C=C2576))"),174.0)</f>
        <v>174</v>
      </c>
      <c r="S2576" s="161" t="b">
        <f t="shared" si="5"/>
        <v>0</v>
      </c>
      <c r="T2576" s="161" t="str">
        <f t="array" ref="T2576">index('Query Tool'!B:B,match(H2576,'Query Tool'!C:C,0))</f>
        <v>#N/A</v>
      </c>
      <c r="U2576" s="161" t="b">
        <f t="array" ref="U2576">index('Query Tool'!B:B,match(C2576,'Query Tool'!C:C,0))</f>
        <v>0</v>
      </c>
      <c r="V2576" s="161" t="b">
        <f>F2576&gt;='Query Tool'!C$32</f>
        <v>1</v>
      </c>
      <c r="W2576" s="161" t="b">
        <f t="array" ref="W2576">index(Dropdowns!B:B,match(I2576,Dropdowns!A:A,0))</f>
        <v>1</v>
      </c>
      <c r="X2576" s="161" t="b">
        <f t="array" ref="X2576">index('Query Tool'!B:B,match(D2576,'Query Tool'!C:C,0))</f>
        <v>1</v>
      </c>
      <c r="Y2576" s="161" t="str">
        <f t="shared" si="6"/>
        <v>matthwe02,2018-19</v>
      </c>
      <c r="Z2576" s="168">
        <f t="array" ref="Z2576">iferror(index(I:I,match($A2576&amp;","&amp;index('Year Conversion'!$A:$A,match($C2576,'Year Conversion'!$B:$B,0)),$Y:$Y,0))-I2576,"")</f>
        <v>1</v>
      </c>
      <c r="AA2576" s="168">
        <f t="array" ref="AA2576">iferror(index(J:J,match($A2576&amp;","&amp;index('Year Conversion'!$A:$A,match($C2576,'Year Conversion'!$B:$B,0)),$Y:$Y,0))-J2576,"")</f>
        <v>1.376391787</v>
      </c>
      <c r="AB2576" s="168">
        <f t="array" ref="AB2576">iferror(index(K:K,match($A2576&amp;","&amp;index('Year Conversion'!$A:$A,match($C2576,'Year Conversion'!$B:$B,0)),$Y:$Y,0))-K2576,"")</f>
        <v>-1.160888443</v>
      </c>
      <c r="AC2576" s="168" t="str">
        <f t="shared" si="7"/>
        <v>TOT,2018-19</v>
      </c>
    </row>
    <row r="2577">
      <c r="A2577" s="161" t="str">
        <f>IFERROR(__xludf.DUMMYFUNCTION("""COMPUTED_VALUE"""),"walljo01")</f>
        <v>walljo01</v>
      </c>
      <c r="B2577" s="161" t="str">
        <f>IFERROR(__xludf.DUMMYFUNCTION("""COMPUTED_VALUE"""),"John Wall")</f>
        <v>John Wall</v>
      </c>
      <c r="C2577" s="162" t="str">
        <f>IFERROR(__xludf.DUMMYFUNCTION("""COMPUTED_VALUE"""),"2018-19")</f>
        <v>2018-19</v>
      </c>
      <c r="D2577" s="163" t="str">
        <f>IFERROR(__xludf.DUMMYFUNCTION("""COMPUTED_VALUE"""),"WAS")</f>
        <v>WAS</v>
      </c>
      <c r="E2577" s="164" t="str">
        <f>IFERROR(__xludf.DUMMYFUNCTION("""COMPUTED_VALUE"""),"Shot Creator")</f>
        <v>Shot Creator</v>
      </c>
      <c r="F2577" s="164">
        <f>IFERROR(__xludf.DUMMYFUNCTION("""COMPUTED_VALUE"""),1103.78)</f>
        <v>1103.78</v>
      </c>
      <c r="G2577" s="163">
        <f>IFERROR(__xludf.DUMMYFUNCTION("""COMPUTED_VALUE"""),32.0)</f>
        <v>32</v>
      </c>
      <c r="H2577" s="163" t="str">
        <f>IFERROR(__xludf.DUMMYFUNCTION("""COMPUTED_VALUE"""),"PG")</f>
        <v>PG</v>
      </c>
      <c r="I2577" s="163">
        <f>IFERROR(__xludf.DUMMYFUNCTION("""COMPUTED_VALUE"""),28.0)</f>
        <v>28</v>
      </c>
      <c r="J2577" s="165">
        <f>IFERROR(__xludf.DUMMYFUNCTION("""COMPUTED_VALUE"""),1.23038698235052)</f>
        <v>1.230386982</v>
      </c>
      <c r="K2577" s="165">
        <f>IFERROR(__xludf.DUMMYFUNCTION("""COMPUTED_VALUE"""),1.05711275105371)</f>
        <v>1.057112751</v>
      </c>
      <c r="L2577" s="165">
        <f>IFERROR(__xludf.DUMMYFUNCTION("""COMPUTED_VALUE"""),0.173274231296809)</f>
        <v>0.1732742313</v>
      </c>
      <c r="M2577" s="166">
        <f t="shared" si="2"/>
        <v>2.615341523</v>
      </c>
      <c r="N2577" s="167">
        <f t="shared" si="3"/>
        <v>34.493125</v>
      </c>
      <c r="O2577" s="163">
        <f t="shared" ref="O2577:Q2577" si="2581">rank(I2577,I:I)</f>
        <v>1090</v>
      </c>
      <c r="P2577" s="163">
        <f t="shared" si="2581"/>
        <v>563</v>
      </c>
      <c r="Q2577" s="163">
        <f t="shared" si="2581"/>
        <v>472</v>
      </c>
      <c r="R2577" s="163">
        <f>IFERROR(__xludf.DUMMYFUNCTION("RANK(M2577,filter(M:M,C:C=C2577))"),123.0)</f>
        <v>123</v>
      </c>
      <c r="S2577" s="161" t="b">
        <f t="shared" si="5"/>
        <v>0</v>
      </c>
      <c r="T2577" s="161" t="b">
        <f t="array" ref="T2577">index('Query Tool'!B:B,match(H2577,'Query Tool'!C:C,0))</f>
        <v>1</v>
      </c>
      <c r="U2577" s="161" t="b">
        <f t="array" ref="U2577">index('Query Tool'!B:B,match(C2577,'Query Tool'!C:C,0))</f>
        <v>0</v>
      </c>
      <c r="V2577" s="161" t="b">
        <f>F2577&gt;='Query Tool'!C$32</f>
        <v>1</v>
      </c>
      <c r="W2577" s="161" t="b">
        <f t="array" ref="W2577">index(Dropdowns!B:B,match(I2577,Dropdowns!A:A,0))</f>
        <v>1</v>
      </c>
      <c r="X2577" s="161" t="b">
        <f t="array" ref="X2577">index('Query Tool'!B:B,match(D2577,'Query Tool'!C:C,0))</f>
        <v>1</v>
      </c>
      <c r="Y2577" s="161" t="str">
        <f t="shared" si="6"/>
        <v>walljo01,2018-19</v>
      </c>
      <c r="Z2577" s="168" t="str">
        <f t="array" ref="Z2577">iferror(index(I:I,match($A2577&amp;","&amp;index('Year Conversion'!$A:$A,match($C2577,'Year Conversion'!$B:$B,0)),$Y:$Y,0))-I2577,"")</f>
        <v/>
      </c>
      <c r="AA2577" s="168" t="str">
        <f t="array" ref="AA2577">iferror(index(J:J,match($A2577&amp;","&amp;index('Year Conversion'!$A:$A,match($C2577,'Year Conversion'!$B:$B,0)),$Y:$Y,0))-J2577,"")</f>
        <v/>
      </c>
      <c r="AB2577" s="168" t="str">
        <f t="array" ref="AB2577">iferror(index(K:K,match($A2577&amp;","&amp;index('Year Conversion'!$A:$A,match($C2577,'Year Conversion'!$B:$B,0)),$Y:$Y,0))-K2577,"")</f>
        <v/>
      </c>
      <c r="AC2577" s="168" t="str">
        <f t="shared" si="7"/>
        <v>WAS,2018-19</v>
      </c>
    </row>
    <row r="2578">
      <c r="A2578" s="161" t="str">
        <f>IFERROR(__xludf.DUMMYFUNCTION("""COMPUTED_VALUE"""),"turneev01")</f>
        <v>turneev01</v>
      </c>
      <c r="B2578" s="161" t="str">
        <f>IFERROR(__xludf.DUMMYFUNCTION("""COMPUTED_VALUE"""),"Evan Turner")</f>
        <v>Evan Turner</v>
      </c>
      <c r="C2578" s="162" t="str">
        <f>IFERROR(__xludf.DUMMYFUNCTION("""COMPUTED_VALUE"""),"2018-19")</f>
        <v>2018-19</v>
      </c>
      <c r="D2578" s="163" t="str">
        <f>IFERROR(__xludf.DUMMYFUNCTION("""COMPUTED_VALUE"""),"POR")</f>
        <v>POR</v>
      </c>
      <c r="E2578" s="164" t="str">
        <f>IFERROR(__xludf.DUMMYFUNCTION("""COMPUTED_VALUE"""),"Shot Creator")</f>
        <v>Shot Creator</v>
      </c>
      <c r="F2578" s="164">
        <f>IFERROR(__xludf.DUMMYFUNCTION("""COMPUTED_VALUE"""),1605.71333333333)</f>
        <v>1605.713333</v>
      </c>
      <c r="G2578" s="163">
        <f>IFERROR(__xludf.DUMMYFUNCTION("""COMPUTED_VALUE"""),73.0)</f>
        <v>73</v>
      </c>
      <c r="H2578" s="163" t="str">
        <f>IFERROR(__xludf.DUMMYFUNCTION("""COMPUTED_VALUE"""),"PG")</f>
        <v>PG</v>
      </c>
      <c r="I2578" s="163">
        <f>IFERROR(__xludf.DUMMYFUNCTION("""COMPUTED_VALUE"""),30.0)</f>
        <v>30</v>
      </c>
      <c r="J2578" s="165">
        <f>IFERROR(__xludf.DUMMYFUNCTION("""COMPUTED_VALUE"""),-1.16256582193247)</f>
        <v>-1.162565822</v>
      </c>
      <c r="K2578" s="165">
        <f>IFERROR(__xludf.DUMMYFUNCTION("""COMPUTED_VALUE"""),-0.686343131897144)</f>
        <v>-0.6863431319</v>
      </c>
      <c r="L2578" s="165">
        <f>IFERROR(__xludf.DUMMYFUNCTION("""COMPUTED_VALUE"""),-0.476222690035331)</f>
        <v>-0.47622269</v>
      </c>
      <c r="M2578" s="166">
        <f t="shared" si="2"/>
        <v>1.219290295</v>
      </c>
      <c r="N2578" s="167">
        <f t="shared" si="3"/>
        <v>21.99607306</v>
      </c>
      <c r="O2578" s="163">
        <f t="shared" ref="O2578:Q2578" si="2582">rank(I2578,I:I)</f>
        <v>655</v>
      </c>
      <c r="P2578" s="163">
        <f t="shared" si="2582"/>
        <v>2699</v>
      </c>
      <c r="Q2578" s="163">
        <f t="shared" si="2582"/>
        <v>2396</v>
      </c>
      <c r="R2578" s="163">
        <f>IFERROR(__xludf.DUMMYFUNCTION("RANK(M2578,filter(M:M,C:C=C2578))"),205.0)</f>
        <v>205</v>
      </c>
      <c r="S2578" s="161" t="b">
        <f t="shared" si="5"/>
        <v>0</v>
      </c>
      <c r="T2578" s="161" t="b">
        <f t="array" ref="T2578">index('Query Tool'!B:B,match(H2578,'Query Tool'!C:C,0))</f>
        <v>1</v>
      </c>
      <c r="U2578" s="161" t="b">
        <f t="array" ref="U2578">index('Query Tool'!B:B,match(C2578,'Query Tool'!C:C,0))</f>
        <v>0</v>
      </c>
      <c r="V2578" s="161" t="b">
        <f>F2578&gt;='Query Tool'!C$32</f>
        <v>1</v>
      </c>
      <c r="W2578" s="161" t="b">
        <f t="array" ref="W2578">index(Dropdowns!B:B,match(I2578,Dropdowns!A:A,0))</f>
        <v>1</v>
      </c>
      <c r="X2578" s="161" t="b">
        <f t="array" ref="X2578">index('Query Tool'!B:B,match(D2578,'Query Tool'!C:C,0))</f>
        <v>1</v>
      </c>
      <c r="Y2578" s="161" t="str">
        <f t="shared" si="6"/>
        <v>turneev01,2018-19</v>
      </c>
      <c r="Z2578" s="168">
        <f t="array" ref="Z2578">iferror(index(I:I,match($A2578&amp;","&amp;index('Year Conversion'!$A:$A,match($C2578,'Year Conversion'!$B:$B,0)),$Y:$Y,0))-I2578,"")</f>
        <v>1</v>
      </c>
      <c r="AA2578" s="168">
        <f t="array" ref="AA2578">iferror(index(J:J,match($A2578&amp;","&amp;index('Year Conversion'!$A:$A,match($C2578,'Year Conversion'!$B:$B,0)),$Y:$Y,0))-J2578,"")</f>
        <v>-0.8322028089</v>
      </c>
      <c r="AB2578" s="168">
        <f t="array" ref="AB2578">iferror(index(K:K,match($A2578&amp;","&amp;index('Year Conversion'!$A:$A,match($C2578,'Year Conversion'!$B:$B,0)),$Y:$Y,0))-K2578,"")</f>
        <v>-1.528621073</v>
      </c>
      <c r="AC2578" s="168" t="str">
        <f t="shared" si="7"/>
        <v>POR,2018-19</v>
      </c>
    </row>
    <row r="2579">
      <c r="A2579" s="161" t="str">
        <f>IFERROR(__xludf.DUMMYFUNCTION("""COMPUTED_VALUE"""),"favorde01")</f>
        <v>favorde01</v>
      </c>
      <c r="B2579" s="161" t="str">
        <f>IFERROR(__xludf.DUMMYFUNCTION("""COMPUTED_VALUE"""),"Derrick Favors")</f>
        <v>Derrick Favors</v>
      </c>
      <c r="C2579" s="162" t="str">
        <f>IFERROR(__xludf.DUMMYFUNCTION("""COMPUTED_VALUE"""),"2018-19")</f>
        <v>2018-19</v>
      </c>
      <c r="D2579" s="163" t="str">
        <f>IFERROR(__xludf.DUMMYFUNCTION("""COMPUTED_VALUE"""),"UTA")</f>
        <v>UTA</v>
      </c>
      <c r="E2579" s="164" t="str">
        <f>IFERROR(__xludf.DUMMYFUNCTION("""COMPUTED_VALUE"""),"Roll + Cut Big")</f>
        <v>Roll + Cut Big</v>
      </c>
      <c r="F2579" s="164">
        <f>IFERROR(__xludf.DUMMYFUNCTION("""COMPUTED_VALUE"""),1766.47166666667)</f>
        <v>1766.471667</v>
      </c>
      <c r="G2579" s="163">
        <f>IFERROR(__xludf.DUMMYFUNCTION("""COMPUTED_VALUE"""),76.0)</f>
        <v>76</v>
      </c>
      <c r="H2579" s="163" t="str">
        <f>IFERROR(__xludf.DUMMYFUNCTION("""COMPUTED_VALUE"""),"C")</f>
        <v>C</v>
      </c>
      <c r="I2579" s="163">
        <f>IFERROR(__xludf.DUMMYFUNCTION("""COMPUTED_VALUE"""),27.0)</f>
        <v>27</v>
      </c>
      <c r="J2579" s="165">
        <f>IFERROR(__xludf.DUMMYFUNCTION("""COMPUTED_VALUE"""),1.96712622802011)</f>
        <v>1.967126228</v>
      </c>
      <c r="K2579" s="165">
        <f>IFERROR(__xludf.DUMMYFUNCTION("""COMPUTED_VALUE"""),0.612914730154709)</f>
        <v>0.6129147302</v>
      </c>
      <c r="L2579" s="165">
        <f>IFERROR(__xludf.DUMMYFUNCTION("""COMPUTED_VALUE"""),1.3542114978654)</f>
        <v>1.354211498</v>
      </c>
      <c r="M2579" s="166">
        <f t="shared" si="2"/>
        <v>5.053521394</v>
      </c>
      <c r="N2579" s="167">
        <f t="shared" si="3"/>
        <v>23.24304825</v>
      </c>
      <c r="O2579" s="163">
        <f t="shared" ref="O2579:Q2579" si="2583">rank(I2579,I:I)</f>
        <v>1366</v>
      </c>
      <c r="P2579" s="163">
        <f t="shared" si="2583"/>
        <v>329</v>
      </c>
      <c r="Q2579" s="163">
        <f t="shared" si="2583"/>
        <v>699</v>
      </c>
      <c r="R2579" s="163">
        <f>IFERROR(__xludf.DUMMYFUNCTION("RANK(M2579,filter(M:M,C:C=C2579))"),59.0)</f>
        <v>59</v>
      </c>
      <c r="S2579" s="161" t="b">
        <f t="shared" si="5"/>
        <v>0</v>
      </c>
      <c r="T2579" s="161" t="b">
        <f t="array" ref="T2579">index('Query Tool'!B:B,match(H2579,'Query Tool'!C:C,0))</f>
        <v>1</v>
      </c>
      <c r="U2579" s="161" t="b">
        <f t="array" ref="U2579">index('Query Tool'!B:B,match(C2579,'Query Tool'!C:C,0))</f>
        <v>0</v>
      </c>
      <c r="V2579" s="161" t="b">
        <f>F2579&gt;='Query Tool'!C$32</f>
        <v>1</v>
      </c>
      <c r="W2579" s="161" t="b">
        <f t="array" ref="W2579">index(Dropdowns!B:B,match(I2579,Dropdowns!A:A,0))</f>
        <v>1</v>
      </c>
      <c r="X2579" s="161" t="b">
        <f t="array" ref="X2579">index('Query Tool'!B:B,match(D2579,'Query Tool'!C:C,0))</f>
        <v>1</v>
      </c>
      <c r="Y2579" s="161" t="str">
        <f t="shared" si="6"/>
        <v>favorde01,2018-19</v>
      </c>
      <c r="Z2579" s="168">
        <f t="array" ref="Z2579">iferror(index(I:I,match($A2579&amp;","&amp;index('Year Conversion'!$A:$A,match($C2579,'Year Conversion'!$B:$B,0)),$Y:$Y,0))-I2579,"")</f>
        <v>1</v>
      </c>
      <c r="AA2579" s="168">
        <f t="array" ref="AA2579">iferror(index(J:J,match($A2579&amp;","&amp;index('Year Conversion'!$A:$A,match($C2579,'Year Conversion'!$B:$B,0)),$Y:$Y,0))-J2579,"")</f>
        <v>-0.09318930689</v>
      </c>
      <c r="AB2579" s="168">
        <f t="array" ref="AB2579">iferror(index(K:K,match($A2579&amp;","&amp;index('Year Conversion'!$A:$A,match($C2579,'Year Conversion'!$B:$B,0)),$Y:$Y,0))-K2579,"")</f>
        <v>-0.5788634069</v>
      </c>
      <c r="AC2579" s="168" t="str">
        <f t="shared" si="7"/>
        <v>UTA,2018-19</v>
      </c>
    </row>
    <row r="2580">
      <c r="A2580" s="161" t="str">
        <f>IFERROR(__xludf.DUMMYFUNCTION("""COMPUTED_VALUE"""),"johnswe01")</f>
        <v>johnswe01</v>
      </c>
      <c r="B2580" s="161" t="str">
        <f>IFERROR(__xludf.DUMMYFUNCTION("""COMPUTED_VALUE"""),"Wesley Johnson")</f>
        <v>Wesley Johnson</v>
      </c>
      <c r="C2580" s="162" t="str">
        <f>IFERROR(__xludf.DUMMYFUNCTION("""COMPUTED_VALUE"""),"2018-19")</f>
        <v>2018-19</v>
      </c>
      <c r="D2580" s="163" t="str">
        <f>IFERROR(__xludf.DUMMYFUNCTION("""COMPUTED_VALUE"""),"TOT")</f>
        <v>TOT</v>
      </c>
      <c r="E2580" s="164" t="str">
        <f>IFERROR(__xludf.DUMMYFUNCTION("""COMPUTED_VALUE"""),"Stationary Shooter")</f>
        <v>Stationary Shooter</v>
      </c>
      <c r="F2580" s="164">
        <f>IFERROR(__xludf.DUMMYFUNCTION("""COMPUTED_VALUE"""),533.958333333333)</f>
        <v>533.9583333</v>
      </c>
      <c r="G2580" s="163">
        <f>IFERROR(__xludf.DUMMYFUNCTION("""COMPUTED_VALUE"""),38.0)</f>
        <v>38</v>
      </c>
      <c r="H2580" s="163" t="str">
        <f>IFERROR(__xludf.DUMMYFUNCTION("""COMPUTED_VALUE"""),"SF")</f>
        <v>SF</v>
      </c>
      <c r="I2580" s="163">
        <f>IFERROR(__xludf.DUMMYFUNCTION("""COMPUTED_VALUE"""),31.0)</f>
        <v>31</v>
      </c>
      <c r="J2580" s="165">
        <f>IFERROR(__xludf.DUMMYFUNCTION("""COMPUTED_VALUE"""),-2.64313468573559)</f>
        <v>-2.643134686</v>
      </c>
      <c r="K2580" s="165">
        <f>IFERROR(__xludf.DUMMYFUNCTION("""COMPUTED_VALUE"""),-2.41655502310457)</f>
        <v>-2.416555023</v>
      </c>
      <c r="L2580" s="165">
        <f>IFERROR(__xludf.DUMMYFUNCTION("""COMPUTED_VALUE"""),-0.226579662631021)</f>
        <v>-0.2265796626</v>
      </c>
      <c r="M2580" s="166">
        <f t="shared" si="2"/>
        <v>-0.1191860573</v>
      </c>
      <c r="N2580" s="167">
        <f t="shared" si="3"/>
        <v>14.05153509</v>
      </c>
      <c r="O2580" s="163">
        <f t="shared" ref="O2580:Q2580" si="2584">rank(I2580,I:I)</f>
        <v>490</v>
      </c>
      <c r="P2580" s="163">
        <f t="shared" si="2584"/>
        <v>3798</v>
      </c>
      <c r="Q2580" s="163">
        <f t="shared" si="2584"/>
        <v>3869</v>
      </c>
      <c r="R2580" s="163">
        <f>IFERROR(__xludf.DUMMYFUNCTION("RANK(M2580,filter(M:M,C:C=C2580))"),496.0)</f>
        <v>496</v>
      </c>
      <c r="S2580" s="161" t="b">
        <f t="shared" si="5"/>
        <v>0</v>
      </c>
      <c r="T2580" s="161" t="b">
        <f t="array" ref="T2580">index('Query Tool'!B:B,match(H2580,'Query Tool'!C:C,0))</f>
        <v>1</v>
      </c>
      <c r="U2580" s="161" t="b">
        <f t="array" ref="U2580">index('Query Tool'!B:B,match(C2580,'Query Tool'!C:C,0))</f>
        <v>0</v>
      </c>
      <c r="V2580" s="161" t="b">
        <f>F2580&gt;='Query Tool'!C$32</f>
        <v>1</v>
      </c>
      <c r="W2580" s="161" t="b">
        <f t="array" ref="W2580">index(Dropdowns!B:B,match(I2580,Dropdowns!A:A,0))</f>
        <v>1</v>
      </c>
      <c r="X2580" s="161" t="b">
        <f t="array" ref="X2580">index('Query Tool'!B:B,match(D2580,'Query Tool'!C:C,0))</f>
        <v>1</v>
      </c>
      <c r="Y2580" s="161" t="str">
        <f t="shared" si="6"/>
        <v>johnswe01,2018-19</v>
      </c>
      <c r="Z2580" s="168" t="str">
        <f t="array" ref="Z2580">iferror(index(I:I,match($A2580&amp;","&amp;index('Year Conversion'!$A:$A,match($C2580,'Year Conversion'!$B:$B,0)),$Y:$Y,0))-I2580,"")</f>
        <v/>
      </c>
      <c r="AA2580" s="168" t="str">
        <f t="array" ref="AA2580">iferror(index(J:J,match($A2580&amp;","&amp;index('Year Conversion'!$A:$A,match($C2580,'Year Conversion'!$B:$B,0)),$Y:$Y,0))-J2580,"")</f>
        <v/>
      </c>
      <c r="AB2580" s="168" t="str">
        <f t="array" ref="AB2580">iferror(index(K:K,match($A2580&amp;","&amp;index('Year Conversion'!$A:$A,match($C2580,'Year Conversion'!$B:$B,0)),$Y:$Y,0))-K2580,"")</f>
        <v/>
      </c>
      <c r="AC2580" s="168" t="str">
        <f t="shared" si="7"/>
        <v>TOT,2018-19</v>
      </c>
    </row>
    <row r="2581">
      <c r="A2581" s="161" t="str">
        <f>IFERROR(__xludf.DUMMYFUNCTION("""COMPUTED_VALUE"""),"couside01")</f>
        <v>couside01</v>
      </c>
      <c r="B2581" s="161" t="str">
        <f>IFERROR(__xludf.DUMMYFUNCTION("""COMPUTED_VALUE"""),"DeMarcus Cousins")</f>
        <v>DeMarcus Cousins</v>
      </c>
      <c r="C2581" s="162" t="str">
        <f>IFERROR(__xludf.DUMMYFUNCTION("""COMPUTED_VALUE"""),"2018-19")</f>
        <v>2018-19</v>
      </c>
      <c r="D2581" s="163" t="str">
        <f>IFERROR(__xludf.DUMMYFUNCTION("""COMPUTED_VALUE"""),"GSW")</f>
        <v>GSW</v>
      </c>
      <c r="E2581" s="164" t="str">
        <f>IFERROR(__xludf.DUMMYFUNCTION("""COMPUTED_VALUE"""),"Versatile Big")</f>
        <v>Versatile Big</v>
      </c>
      <c r="F2581" s="164">
        <f>IFERROR(__xludf.DUMMYFUNCTION("""COMPUTED_VALUE"""),770.578333333333)</f>
        <v>770.5783333</v>
      </c>
      <c r="G2581" s="163">
        <f>IFERROR(__xludf.DUMMYFUNCTION("""COMPUTED_VALUE"""),30.0)</f>
        <v>30</v>
      </c>
      <c r="H2581" s="163" t="str">
        <f>IFERROR(__xludf.DUMMYFUNCTION("""COMPUTED_VALUE"""),"C")</f>
        <v>C</v>
      </c>
      <c r="I2581" s="163">
        <f>IFERROR(__xludf.DUMMYFUNCTION("""COMPUTED_VALUE"""),28.0)</f>
        <v>28</v>
      </c>
      <c r="J2581" s="165">
        <f>IFERROR(__xludf.DUMMYFUNCTION("""COMPUTED_VALUE"""),2.99763487309072)</f>
        <v>2.997634873</v>
      </c>
      <c r="K2581" s="165">
        <f>IFERROR(__xludf.DUMMYFUNCTION("""COMPUTED_VALUE"""),0.647322646575022)</f>
        <v>0.6473226466</v>
      </c>
      <c r="L2581" s="165">
        <f>IFERROR(__xludf.DUMMYFUNCTION("""COMPUTED_VALUE"""),2.3503122265157)</f>
        <v>2.350312227</v>
      </c>
      <c r="M2581" s="166">
        <f t="shared" si="2"/>
        <v>2.726140677</v>
      </c>
      <c r="N2581" s="167">
        <f t="shared" si="3"/>
        <v>25.68594444</v>
      </c>
      <c r="O2581" s="163">
        <f t="shared" ref="O2581:Q2581" si="2585">rank(I2581,I:I)</f>
        <v>1090</v>
      </c>
      <c r="P2581" s="163">
        <f t="shared" si="2585"/>
        <v>170</v>
      </c>
      <c r="Q2581" s="163">
        <f t="shared" si="2585"/>
        <v>682</v>
      </c>
      <c r="R2581" s="163">
        <f>IFERROR(__xludf.DUMMYFUNCTION("RANK(M2581,filter(M:M,C:C=C2581))"),121.0)</f>
        <v>121</v>
      </c>
      <c r="S2581" s="161" t="b">
        <f t="shared" si="5"/>
        <v>0</v>
      </c>
      <c r="T2581" s="161" t="b">
        <f t="array" ref="T2581">index('Query Tool'!B:B,match(H2581,'Query Tool'!C:C,0))</f>
        <v>1</v>
      </c>
      <c r="U2581" s="161" t="b">
        <f t="array" ref="U2581">index('Query Tool'!B:B,match(C2581,'Query Tool'!C:C,0))</f>
        <v>0</v>
      </c>
      <c r="V2581" s="161" t="b">
        <f>F2581&gt;='Query Tool'!C$32</f>
        <v>1</v>
      </c>
      <c r="W2581" s="161" t="b">
        <f t="array" ref="W2581">index(Dropdowns!B:B,match(I2581,Dropdowns!A:A,0))</f>
        <v>1</v>
      </c>
      <c r="X2581" s="161" t="b">
        <f t="array" ref="X2581">index('Query Tool'!B:B,match(D2581,'Query Tool'!C:C,0))</f>
        <v>1</v>
      </c>
      <c r="Y2581" s="161" t="str">
        <f t="shared" si="6"/>
        <v>couside01,2018-19</v>
      </c>
      <c r="Z2581" s="168" t="str">
        <f t="array" ref="Z2581">iferror(index(I:I,match($A2581&amp;","&amp;index('Year Conversion'!$A:$A,match($C2581,'Year Conversion'!$B:$B,0)),$Y:$Y,0))-I2581,"")</f>
        <v/>
      </c>
      <c r="AA2581" s="168" t="str">
        <f t="array" ref="AA2581">iferror(index(J:J,match($A2581&amp;","&amp;index('Year Conversion'!$A:$A,match($C2581,'Year Conversion'!$B:$B,0)),$Y:$Y,0))-J2581,"")</f>
        <v/>
      </c>
      <c r="AB2581" s="168" t="str">
        <f t="array" ref="AB2581">iferror(index(K:K,match($A2581&amp;","&amp;index('Year Conversion'!$A:$A,match($C2581,'Year Conversion'!$B:$B,0)),$Y:$Y,0))-K2581,"")</f>
        <v/>
      </c>
      <c r="AC2581" s="168" t="str">
        <f t="shared" si="7"/>
        <v>GSW,2018-19</v>
      </c>
    </row>
    <row r="2582">
      <c r="A2582" s="161" t="str">
        <f>IFERROR(__xludf.DUMMYFUNCTION("""COMPUTED_VALUE"""),"udohek01")</f>
        <v>udohek01</v>
      </c>
      <c r="B2582" s="161" t="str">
        <f>IFERROR(__xludf.DUMMYFUNCTION("""COMPUTED_VALUE"""),"Ekpe Udoh")</f>
        <v>Ekpe Udoh</v>
      </c>
      <c r="C2582" s="162" t="str">
        <f>IFERROR(__xludf.DUMMYFUNCTION("""COMPUTED_VALUE"""),"2018-19")</f>
        <v>2018-19</v>
      </c>
      <c r="D2582" s="163" t="str">
        <f>IFERROR(__xludf.DUMMYFUNCTION("""COMPUTED_VALUE"""),"UTA")</f>
        <v>UTA</v>
      </c>
      <c r="E2582" s="164" t="str">
        <f>IFERROR(__xludf.DUMMYFUNCTION("""COMPUTED_VALUE"""),"Roll + Cut Big")</f>
        <v>Roll + Cut Big</v>
      </c>
      <c r="F2582" s="164">
        <f>IFERROR(__xludf.DUMMYFUNCTION("""COMPUTED_VALUE"""),320.011666666667)</f>
        <v>320.0116667</v>
      </c>
      <c r="G2582" s="163">
        <f>IFERROR(__xludf.DUMMYFUNCTION("""COMPUTED_VALUE"""),51.0)</f>
        <v>51</v>
      </c>
      <c r="H2582" s="163" t="str">
        <f>IFERROR(__xludf.DUMMYFUNCTION("""COMPUTED_VALUE"""),"C")</f>
        <v>C</v>
      </c>
      <c r="I2582" s="163">
        <f>IFERROR(__xludf.DUMMYFUNCTION("""COMPUTED_VALUE"""),31.0)</f>
        <v>31</v>
      </c>
      <c r="J2582" s="165">
        <f>IFERROR(__xludf.DUMMYFUNCTION("""COMPUTED_VALUE"""),0.803169801638341)</f>
        <v>0.8031698016</v>
      </c>
      <c r="K2582" s="165">
        <f>IFERROR(__xludf.DUMMYFUNCTION("""COMPUTED_VALUE"""),-0.560384750681834)</f>
        <v>-0.5603847507</v>
      </c>
      <c r="L2582" s="165">
        <f>IFERROR(__xludf.DUMMYFUNCTION("""COMPUTED_VALUE"""),1.36355455232017)</f>
        <v>1.363554552</v>
      </c>
      <c r="M2582" s="166">
        <f t="shared" si="2"/>
        <v>0.6664789667</v>
      </c>
      <c r="N2582" s="167">
        <f t="shared" si="3"/>
        <v>6.274738562</v>
      </c>
      <c r="O2582" s="163">
        <f t="shared" ref="O2582:Q2582" si="2586">rank(I2582,I:I)</f>
        <v>490</v>
      </c>
      <c r="P2582" s="163">
        <f t="shared" si="2586"/>
        <v>741</v>
      </c>
      <c r="Q2582" s="163">
        <f t="shared" si="2586"/>
        <v>2201</v>
      </c>
      <c r="R2582" s="163">
        <f>IFERROR(__xludf.DUMMYFUNCTION("RANK(M2582,filter(M:M,C:C=C2582))"),262.0)</f>
        <v>262</v>
      </c>
      <c r="S2582" s="161" t="b">
        <f t="shared" si="5"/>
        <v>0</v>
      </c>
      <c r="T2582" s="161" t="b">
        <f t="array" ref="T2582">index('Query Tool'!B:B,match(H2582,'Query Tool'!C:C,0))</f>
        <v>1</v>
      </c>
      <c r="U2582" s="161" t="b">
        <f t="array" ref="U2582">index('Query Tool'!B:B,match(C2582,'Query Tool'!C:C,0))</f>
        <v>0</v>
      </c>
      <c r="V2582" s="161" t="b">
        <f>F2582&gt;='Query Tool'!C$32</f>
        <v>0</v>
      </c>
      <c r="W2582" s="161" t="b">
        <f t="array" ref="W2582">index(Dropdowns!B:B,match(I2582,Dropdowns!A:A,0))</f>
        <v>1</v>
      </c>
      <c r="X2582" s="161" t="b">
        <f t="array" ref="X2582">index('Query Tool'!B:B,match(D2582,'Query Tool'!C:C,0))</f>
        <v>1</v>
      </c>
      <c r="Y2582" s="161" t="str">
        <f t="shared" si="6"/>
        <v>udohek01,2018-19</v>
      </c>
      <c r="Z2582" s="168" t="str">
        <f t="array" ref="Z2582">iferror(index(I:I,match($A2582&amp;","&amp;index('Year Conversion'!$A:$A,match($C2582,'Year Conversion'!$B:$B,0)),$Y:$Y,0))-I2582,"")</f>
        <v/>
      </c>
      <c r="AA2582" s="168" t="str">
        <f t="array" ref="AA2582">iferror(index(J:J,match($A2582&amp;","&amp;index('Year Conversion'!$A:$A,match($C2582,'Year Conversion'!$B:$B,0)),$Y:$Y,0))-J2582,"")</f>
        <v/>
      </c>
      <c r="AB2582" s="168" t="str">
        <f t="array" ref="AB2582">iferror(index(K:K,match($A2582&amp;","&amp;index('Year Conversion'!$A:$A,match($C2582,'Year Conversion'!$B:$B,0)),$Y:$Y,0))-K2582,"")</f>
        <v/>
      </c>
      <c r="AC2582" s="168" t="str">
        <f t="shared" si="7"/>
        <v>UTA,2018-19</v>
      </c>
    </row>
    <row r="2583">
      <c r="A2583" s="161" t="str">
        <f>IFERROR(__xludf.DUMMYFUNCTION("""COMPUTED_VALUE"""),"monrogr01")</f>
        <v>monrogr01</v>
      </c>
      <c r="B2583" s="161" t="str">
        <f>IFERROR(__xludf.DUMMYFUNCTION("""COMPUTED_VALUE"""),"Greg Monroe")</f>
        <v>Greg Monroe</v>
      </c>
      <c r="C2583" s="162" t="str">
        <f>IFERROR(__xludf.DUMMYFUNCTION("""COMPUTED_VALUE"""),"2018-19")</f>
        <v>2018-19</v>
      </c>
      <c r="D2583" s="163" t="str">
        <f>IFERROR(__xludf.DUMMYFUNCTION("""COMPUTED_VALUE"""),"TOT")</f>
        <v>TOT</v>
      </c>
      <c r="E2583" s="164" t="str">
        <f>IFERROR(__xludf.DUMMYFUNCTION("""COMPUTED_VALUE"""),"Post Scorer")</f>
        <v>Post Scorer</v>
      </c>
      <c r="F2583" s="164">
        <f>IFERROR(__xludf.DUMMYFUNCTION("""COMPUTED_VALUE"""),479.916666666667)</f>
        <v>479.9166667</v>
      </c>
      <c r="G2583" s="163">
        <f>IFERROR(__xludf.DUMMYFUNCTION("""COMPUTED_VALUE"""),43.0)</f>
        <v>43</v>
      </c>
      <c r="H2583" s="163" t="str">
        <f>IFERROR(__xludf.DUMMYFUNCTION("""COMPUTED_VALUE"""),"C")</f>
        <v>C</v>
      </c>
      <c r="I2583" s="163">
        <f>IFERROR(__xludf.DUMMYFUNCTION("""COMPUTED_VALUE"""),28.0)</f>
        <v>28</v>
      </c>
      <c r="J2583" s="165">
        <f>IFERROR(__xludf.DUMMYFUNCTION("""COMPUTED_VALUE"""),-1.18156492759123)</f>
        <v>-1.181564928</v>
      </c>
      <c r="K2583" s="165">
        <f>IFERROR(__xludf.DUMMYFUNCTION("""COMPUTED_VALUE"""),-0.680373648910305)</f>
        <v>-0.6803736489</v>
      </c>
      <c r="L2583" s="165">
        <f>IFERROR(__xludf.DUMMYFUNCTION("""COMPUTED_VALUE"""),-0.501191278680923)</f>
        <v>-0.5011912787</v>
      </c>
      <c r="M2583" s="166">
        <f t="shared" si="2"/>
        <v>0.3583100992</v>
      </c>
      <c r="N2583" s="167">
        <f t="shared" si="3"/>
        <v>11.16085271</v>
      </c>
      <c r="O2583" s="163">
        <f t="shared" ref="O2583:Q2583" si="2587">rank(I2583,I:I)</f>
        <v>1090</v>
      </c>
      <c r="P2583" s="163">
        <f t="shared" si="2587"/>
        <v>2719</v>
      </c>
      <c r="Q2583" s="163">
        <f t="shared" si="2587"/>
        <v>2387</v>
      </c>
      <c r="R2583" s="163">
        <f>IFERROR(__xludf.DUMMYFUNCTION("RANK(M2583,filter(M:M,C:C=C2583))"),312.0)</f>
        <v>312</v>
      </c>
      <c r="S2583" s="161" t="b">
        <f t="shared" si="5"/>
        <v>0</v>
      </c>
      <c r="T2583" s="161" t="b">
        <f t="array" ref="T2583">index('Query Tool'!B:B,match(H2583,'Query Tool'!C:C,0))</f>
        <v>1</v>
      </c>
      <c r="U2583" s="161" t="b">
        <f t="array" ref="U2583">index('Query Tool'!B:B,match(C2583,'Query Tool'!C:C,0))</f>
        <v>0</v>
      </c>
      <c r="V2583" s="161" t="b">
        <f>F2583&gt;='Query Tool'!C$32</f>
        <v>0</v>
      </c>
      <c r="W2583" s="161" t="b">
        <f t="array" ref="W2583">index(Dropdowns!B:B,match(I2583,Dropdowns!A:A,0))</f>
        <v>1</v>
      </c>
      <c r="X2583" s="161" t="b">
        <f t="array" ref="X2583">index('Query Tool'!B:B,match(D2583,'Query Tool'!C:C,0))</f>
        <v>1</v>
      </c>
      <c r="Y2583" s="161" t="str">
        <f t="shared" si="6"/>
        <v>monrogr01,2018-19</v>
      </c>
      <c r="Z2583" s="168" t="str">
        <f t="array" ref="Z2583">iferror(index(I:I,match($A2583&amp;","&amp;index('Year Conversion'!$A:$A,match($C2583,'Year Conversion'!$B:$B,0)),$Y:$Y,0))-I2583,"")</f>
        <v/>
      </c>
      <c r="AA2583" s="168" t="str">
        <f t="array" ref="AA2583">iferror(index(J:J,match($A2583&amp;","&amp;index('Year Conversion'!$A:$A,match($C2583,'Year Conversion'!$B:$B,0)),$Y:$Y,0))-J2583,"")</f>
        <v/>
      </c>
      <c r="AB2583" s="168" t="str">
        <f t="array" ref="AB2583">iferror(index(K:K,match($A2583&amp;","&amp;index('Year Conversion'!$A:$A,match($C2583,'Year Conversion'!$B:$B,0)),$Y:$Y,0))-K2583,"")</f>
        <v/>
      </c>
      <c r="AC2583" s="168" t="str">
        <f t="shared" si="7"/>
        <v>TOT,2018-19</v>
      </c>
    </row>
    <row r="2584">
      <c r="A2584" s="161" t="str">
        <f>IFERROR(__xludf.DUMMYFUNCTION("""COMPUTED_VALUE"""),"aminual01")</f>
        <v>aminual01</v>
      </c>
      <c r="B2584" s="161" t="str">
        <f>IFERROR(__xludf.DUMMYFUNCTION("""COMPUTED_VALUE"""),"Al-Farouq Aminu")</f>
        <v>Al-Farouq Aminu</v>
      </c>
      <c r="C2584" s="162" t="str">
        <f>IFERROR(__xludf.DUMMYFUNCTION("""COMPUTED_VALUE"""),"2018-19")</f>
        <v>2018-19</v>
      </c>
      <c r="D2584" s="163" t="str">
        <f>IFERROR(__xludf.DUMMYFUNCTION("""COMPUTED_VALUE"""),"POR")</f>
        <v>POR</v>
      </c>
      <c r="E2584" s="164" t="str">
        <f>IFERROR(__xludf.DUMMYFUNCTION("""COMPUTED_VALUE"""),"Athletic Finisher")</f>
        <v>Athletic Finisher</v>
      </c>
      <c r="F2584" s="164">
        <f>IFERROR(__xludf.DUMMYFUNCTION("""COMPUTED_VALUE"""),2291.69833333333)</f>
        <v>2291.698333</v>
      </c>
      <c r="G2584" s="163">
        <f>IFERROR(__xludf.DUMMYFUNCTION("""COMPUTED_VALUE"""),81.0)</f>
        <v>81</v>
      </c>
      <c r="H2584" s="163" t="str">
        <f>IFERROR(__xludf.DUMMYFUNCTION("""COMPUTED_VALUE"""),"PF")</f>
        <v>PF</v>
      </c>
      <c r="I2584" s="163">
        <f>IFERROR(__xludf.DUMMYFUNCTION("""COMPUTED_VALUE"""),28.0)</f>
        <v>28</v>
      </c>
      <c r="J2584" s="165">
        <f>IFERROR(__xludf.DUMMYFUNCTION("""COMPUTED_VALUE"""),2.13162940177298)</f>
        <v>2.131629402</v>
      </c>
      <c r="K2584" s="165">
        <f>IFERROR(__xludf.DUMMYFUNCTION("""COMPUTED_VALUE"""),0.379387155843292)</f>
        <v>0.3793871558</v>
      </c>
      <c r="L2584" s="165">
        <f>IFERROR(__xludf.DUMMYFUNCTION("""COMPUTED_VALUE"""),1.75224224592968)</f>
        <v>1.752242246</v>
      </c>
      <c r="M2584" s="166">
        <f t="shared" si="2"/>
        <v>6.805853855</v>
      </c>
      <c r="N2584" s="167">
        <f t="shared" si="3"/>
        <v>28.29257202</v>
      </c>
      <c r="O2584" s="163">
        <f t="shared" ref="O2584:Q2584" si="2588">rank(I2584,I:I)</f>
        <v>1090</v>
      </c>
      <c r="P2584" s="163">
        <f t="shared" si="2588"/>
        <v>286</v>
      </c>
      <c r="Q2584" s="163">
        <f t="shared" si="2588"/>
        <v>847</v>
      </c>
      <c r="R2584" s="163">
        <f>IFERROR(__xludf.DUMMYFUNCTION("RANK(M2584,filter(M:M,C:C=C2584))"),35.0)</f>
        <v>35</v>
      </c>
      <c r="S2584" s="161" t="b">
        <f t="shared" si="5"/>
        <v>0</v>
      </c>
      <c r="T2584" s="161" t="b">
        <f t="array" ref="T2584">index('Query Tool'!B:B,match(H2584,'Query Tool'!C:C,0))</f>
        <v>1</v>
      </c>
      <c r="U2584" s="161" t="b">
        <f t="array" ref="U2584">index('Query Tool'!B:B,match(C2584,'Query Tool'!C:C,0))</f>
        <v>0</v>
      </c>
      <c r="V2584" s="161" t="b">
        <f>F2584&gt;='Query Tool'!C$32</f>
        <v>1</v>
      </c>
      <c r="W2584" s="161" t="b">
        <f t="array" ref="W2584">index(Dropdowns!B:B,match(I2584,Dropdowns!A:A,0))</f>
        <v>1</v>
      </c>
      <c r="X2584" s="161" t="b">
        <f t="array" ref="X2584">index('Query Tool'!B:B,match(D2584,'Query Tool'!C:C,0))</f>
        <v>1</v>
      </c>
      <c r="Y2584" s="161" t="str">
        <f t="shared" si="6"/>
        <v>aminual01,2018-19</v>
      </c>
      <c r="Z2584" s="168">
        <f t="array" ref="Z2584">iferror(index(I:I,match($A2584&amp;","&amp;index('Year Conversion'!$A:$A,match($C2584,'Year Conversion'!$B:$B,0)),$Y:$Y,0))-I2584,"")</f>
        <v>1</v>
      </c>
      <c r="AA2584" s="168">
        <f t="array" ref="AA2584">iferror(index(J:J,match($A2584&amp;","&amp;index('Year Conversion'!$A:$A,match($C2584,'Year Conversion'!$B:$B,0)),$Y:$Y,0))-J2584,"")</f>
        <v>-3.934265223</v>
      </c>
      <c r="AB2584" s="168">
        <f t="array" ref="AB2584">iferror(index(K:K,match($A2584&amp;","&amp;index('Year Conversion'!$A:$A,match($C2584,'Year Conversion'!$B:$B,0)),$Y:$Y,0))-K2584,"")</f>
        <v>-2.959161445</v>
      </c>
      <c r="AC2584" s="168" t="str">
        <f t="shared" si="7"/>
        <v>POR,2018-19</v>
      </c>
    </row>
    <row r="2585">
      <c r="A2585" s="161" t="str">
        <f>IFERROR(__xludf.DUMMYFUNCTION("""COMPUTED_VALUE"""),"haywago01")</f>
        <v>haywago01</v>
      </c>
      <c r="B2585" s="161" t="str">
        <f>IFERROR(__xludf.DUMMYFUNCTION("""COMPUTED_VALUE"""),"Gordon Hayward")</f>
        <v>Gordon Hayward</v>
      </c>
      <c r="C2585" s="162" t="str">
        <f>IFERROR(__xludf.DUMMYFUNCTION("""COMPUTED_VALUE"""),"2018-19")</f>
        <v>2018-19</v>
      </c>
      <c r="D2585" s="163" t="str">
        <f>IFERROR(__xludf.DUMMYFUNCTION("""COMPUTED_VALUE"""),"BOS")</f>
        <v>BOS</v>
      </c>
      <c r="E2585" s="164" t="str">
        <f>IFERROR(__xludf.DUMMYFUNCTION("""COMPUTED_VALUE"""),"Secondary Ball Handler")</f>
        <v>Secondary Ball Handler</v>
      </c>
      <c r="F2585" s="164">
        <f>IFERROR(__xludf.DUMMYFUNCTION("""COMPUTED_VALUE"""),1863.33833333333)</f>
        <v>1863.338333</v>
      </c>
      <c r="G2585" s="163">
        <f>IFERROR(__xludf.DUMMYFUNCTION("""COMPUTED_VALUE"""),72.0)</f>
        <v>72</v>
      </c>
      <c r="H2585" s="163" t="str">
        <f>IFERROR(__xludf.DUMMYFUNCTION("""COMPUTED_VALUE"""),"PF")</f>
        <v>PF</v>
      </c>
      <c r="I2585" s="163">
        <f>IFERROR(__xludf.DUMMYFUNCTION("""COMPUTED_VALUE"""),28.0)</f>
        <v>28</v>
      </c>
      <c r="J2585" s="165">
        <f>IFERROR(__xludf.DUMMYFUNCTION("""COMPUTED_VALUE"""),0.0462623936193766)</f>
        <v>0.04626239362</v>
      </c>
      <c r="K2585" s="165">
        <f>IFERROR(__xludf.DUMMYFUNCTION("""COMPUTED_VALUE"""),0.529754139232853)</f>
        <v>0.5297541392</v>
      </c>
      <c r="L2585" s="165">
        <f>IFERROR(__xludf.DUMMYFUNCTION("""COMPUTED_VALUE"""),-0.483491745613477)</f>
        <v>-0.4834917456</v>
      </c>
      <c r="M2585" s="166">
        <f t="shared" si="2"/>
        <v>2.930763266</v>
      </c>
      <c r="N2585" s="167">
        <f t="shared" si="3"/>
        <v>25.87969907</v>
      </c>
      <c r="O2585" s="163">
        <f t="shared" ref="O2585:Q2585" si="2589">rank(I2585,I:I)</f>
        <v>1090</v>
      </c>
      <c r="P2585" s="163">
        <f t="shared" si="2589"/>
        <v>1247</v>
      </c>
      <c r="Q2585" s="163">
        <f t="shared" si="2589"/>
        <v>752</v>
      </c>
      <c r="R2585" s="163">
        <f>IFERROR(__xludf.DUMMYFUNCTION("RANK(M2585,filter(M:M,C:C=C2585))"),117.0)</f>
        <v>117</v>
      </c>
      <c r="S2585" s="161" t="b">
        <f t="shared" si="5"/>
        <v>0</v>
      </c>
      <c r="T2585" s="161" t="b">
        <f t="array" ref="T2585">index('Query Tool'!B:B,match(H2585,'Query Tool'!C:C,0))</f>
        <v>1</v>
      </c>
      <c r="U2585" s="161" t="b">
        <f t="array" ref="U2585">index('Query Tool'!B:B,match(C2585,'Query Tool'!C:C,0))</f>
        <v>0</v>
      </c>
      <c r="V2585" s="161" t="b">
        <f>F2585&gt;='Query Tool'!C$32</f>
        <v>1</v>
      </c>
      <c r="W2585" s="161" t="b">
        <f t="array" ref="W2585">index(Dropdowns!B:B,match(I2585,Dropdowns!A:A,0))</f>
        <v>1</v>
      </c>
      <c r="X2585" s="161" t="b">
        <f t="array" ref="X2585">index('Query Tool'!B:B,match(D2585,'Query Tool'!C:C,0))</f>
        <v>1</v>
      </c>
      <c r="Y2585" s="161" t="str">
        <f t="shared" si="6"/>
        <v>haywago01,2018-19</v>
      </c>
      <c r="Z2585" s="168">
        <f t="array" ref="Z2585">iferror(index(I:I,match($A2585&amp;","&amp;index('Year Conversion'!$A:$A,match($C2585,'Year Conversion'!$B:$B,0)),$Y:$Y,0))-I2585,"")</f>
        <v>1</v>
      </c>
      <c r="AA2585" s="168">
        <f t="array" ref="AA2585">iferror(index(J:J,match($A2585&amp;","&amp;index('Year Conversion'!$A:$A,match($C2585,'Year Conversion'!$B:$B,0)),$Y:$Y,0))-J2585,"")</f>
        <v>1.768243662</v>
      </c>
      <c r="AB2585" s="168">
        <f t="array" ref="AB2585">iferror(index(K:K,match($A2585&amp;","&amp;index('Year Conversion'!$A:$A,match($C2585,'Year Conversion'!$B:$B,0)),$Y:$Y,0))-K2585,"")</f>
        <v>0.3328918249</v>
      </c>
      <c r="AC2585" s="168" t="str">
        <f t="shared" si="7"/>
        <v>BOS,2018-19</v>
      </c>
    </row>
    <row r="2586">
      <c r="A2586" s="161" t="str">
        <f>IFERROR(__xludf.DUMMYFUNCTION("""COMPUTED_VALUE"""),"georgpa01")</f>
        <v>georgpa01</v>
      </c>
      <c r="B2586" s="161" t="str">
        <f>IFERROR(__xludf.DUMMYFUNCTION("""COMPUTED_VALUE"""),"Paul George")</f>
        <v>Paul George</v>
      </c>
      <c r="C2586" s="162" t="str">
        <f>IFERROR(__xludf.DUMMYFUNCTION("""COMPUTED_VALUE"""),"2018-19")</f>
        <v>2018-19</v>
      </c>
      <c r="D2586" s="163" t="str">
        <f>IFERROR(__xludf.DUMMYFUNCTION("""COMPUTED_VALUE"""),"OKC")</f>
        <v>OKC</v>
      </c>
      <c r="E2586" s="164" t="str">
        <f>IFERROR(__xludf.DUMMYFUNCTION("""COMPUTED_VALUE"""),"Shot Creator")</f>
        <v>Shot Creator</v>
      </c>
      <c r="F2586" s="164">
        <f>IFERROR(__xludf.DUMMYFUNCTION("""COMPUTED_VALUE"""),2841.30666666667)</f>
        <v>2841.306667</v>
      </c>
      <c r="G2586" s="163">
        <f>IFERROR(__xludf.DUMMYFUNCTION("""COMPUTED_VALUE"""),77.0)</f>
        <v>77</v>
      </c>
      <c r="H2586" s="163" t="str">
        <f>IFERROR(__xludf.DUMMYFUNCTION("""COMPUTED_VALUE"""),"SF")</f>
        <v>SF</v>
      </c>
      <c r="I2586" s="163">
        <f>IFERROR(__xludf.DUMMYFUNCTION("""COMPUTED_VALUE"""),28.0)</f>
        <v>28</v>
      </c>
      <c r="J2586" s="165">
        <f>IFERROR(__xludf.DUMMYFUNCTION("""COMPUTED_VALUE"""),5.45789632926182)</f>
        <v>5.457896329</v>
      </c>
      <c r="K2586" s="165">
        <f>IFERROR(__xludf.DUMMYFUNCTION("""COMPUTED_VALUE"""),4.12870470202016)</f>
        <v>4.128704702</v>
      </c>
      <c r="L2586" s="165">
        <f>IFERROR(__xludf.DUMMYFUNCTION("""COMPUTED_VALUE"""),1.32919162724166)</f>
        <v>1.329191627</v>
      </c>
      <c r="M2586" s="166">
        <f t="shared" si="2"/>
        <v>14.42314475</v>
      </c>
      <c r="N2586" s="167">
        <f t="shared" si="3"/>
        <v>36.90008658</v>
      </c>
      <c r="O2586" s="163">
        <f t="shared" ref="O2586:Q2586" si="2590">rank(I2586,I:I)</f>
        <v>1090</v>
      </c>
      <c r="P2586" s="163">
        <f t="shared" si="2590"/>
        <v>32</v>
      </c>
      <c r="Q2586" s="163">
        <f t="shared" si="2590"/>
        <v>55</v>
      </c>
      <c r="R2586" s="163">
        <f>IFERROR(__xludf.DUMMYFUNCTION("RANK(M2586,filter(M:M,C:C=C2586))"),3.0)</f>
        <v>3</v>
      </c>
      <c r="S2586" s="161" t="b">
        <f t="shared" si="5"/>
        <v>0</v>
      </c>
      <c r="T2586" s="161" t="b">
        <f t="array" ref="T2586">index('Query Tool'!B:B,match(H2586,'Query Tool'!C:C,0))</f>
        <v>1</v>
      </c>
      <c r="U2586" s="161" t="b">
        <f t="array" ref="U2586">index('Query Tool'!B:B,match(C2586,'Query Tool'!C:C,0))</f>
        <v>0</v>
      </c>
      <c r="V2586" s="161" t="b">
        <f>F2586&gt;='Query Tool'!C$32</f>
        <v>1</v>
      </c>
      <c r="W2586" s="161" t="b">
        <f t="array" ref="W2586">index(Dropdowns!B:B,match(I2586,Dropdowns!A:A,0))</f>
        <v>1</v>
      </c>
      <c r="X2586" s="161" t="b">
        <f t="array" ref="X2586">index('Query Tool'!B:B,match(D2586,'Query Tool'!C:C,0))</f>
        <v>1</v>
      </c>
      <c r="Y2586" s="161" t="str">
        <f t="shared" si="6"/>
        <v>georgpa01,2018-19</v>
      </c>
      <c r="Z2586" s="168">
        <f t="array" ref="Z2586">iferror(index(I:I,match($A2586&amp;","&amp;index('Year Conversion'!$A:$A,match($C2586,'Year Conversion'!$B:$B,0)),$Y:$Y,0))-I2586,"")</f>
        <v>1</v>
      </c>
      <c r="AA2586" s="168">
        <f t="array" ref="AA2586">iferror(index(J:J,match($A2586&amp;","&amp;index('Year Conversion'!$A:$A,match($C2586,'Year Conversion'!$B:$B,0)),$Y:$Y,0))-J2586,"")</f>
        <v>-2.348334723</v>
      </c>
      <c r="AB2586" s="168">
        <f t="array" ref="AB2586">iferror(index(K:K,match($A2586&amp;","&amp;index('Year Conversion'!$A:$A,match($C2586,'Year Conversion'!$B:$B,0)),$Y:$Y,0))-K2586,"")</f>
        <v>-1.979831275</v>
      </c>
      <c r="AC2586" s="168" t="str">
        <f t="shared" si="7"/>
        <v>OKC,2018-19</v>
      </c>
    </row>
    <row r="2587">
      <c r="A2587" s="161" t="str">
        <f>IFERROR(__xludf.DUMMYFUNCTION("""COMPUTED_VALUE"""),"davised01")</f>
        <v>davised01</v>
      </c>
      <c r="B2587" s="161" t="str">
        <f>IFERROR(__xludf.DUMMYFUNCTION("""COMPUTED_VALUE"""),"Ed Davis")</f>
        <v>Ed Davis</v>
      </c>
      <c r="C2587" s="162" t="str">
        <f>IFERROR(__xludf.DUMMYFUNCTION("""COMPUTED_VALUE"""),"2018-19")</f>
        <v>2018-19</v>
      </c>
      <c r="D2587" s="163" t="str">
        <f>IFERROR(__xludf.DUMMYFUNCTION("""COMPUTED_VALUE"""),"BRK")</f>
        <v>BRK</v>
      </c>
      <c r="E2587" s="164" t="str">
        <f>IFERROR(__xludf.DUMMYFUNCTION("""COMPUTED_VALUE"""),"Roll + Cut Big")</f>
        <v>Roll + Cut Big</v>
      </c>
      <c r="F2587" s="164">
        <f>IFERROR(__xludf.DUMMYFUNCTION("""COMPUTED_VALUE"""),1446.01166666667)</f>
        <v>1446.011667</v>
      </c>
      <c r="G2587" s="163">
        <f>IFERROR(__xludf.DUMMYFUNCTION("""COMPUTED_VALUE"""),81.0)</f>
        <v>81</v>
      </c>
      <c r="H2587" s="163" t="str">
        <f>IFERROR(__xludf.DUMMYFUNCTION("""COMPUTED_VALUE"""),"C")</f>
        <v>C</v>
      </c>
      <c r="I2587" s="163">
        <f>IFERROR(__xludf.DUMMYFUNCTION("""COMPUTED_VALUE"""),29.0)</f>
        <v>29</v>
      </c>
      <c r="J2587" s="165">
        <f>IFERROR(__xludf.DUMMYFUNCTION("""COMPUTED_VALUE"""),0.27527889296833)</f>
        <v>0.275278893</v>
      </c>
      <c r="K2587" s="165">
        <f>IFERROR(__xludf.DUMMYFUNCTION("""COMPUTED_VALUE"""),-1.63760344162404)</f>
        <v>-1.637603442</v>
      </c>
      <c r="L2587" s="165">
        <f>IFERROR(__xludf.DUMMYFUNCTION("""COMPUTED_VALUE"""),1.91288233459237)</f>
        <v>1.912882335</v>
      </c>
      <c r="M2587" s="166">
        <f t="shared" si="2"/>
        <v>2.497605371</v>
      </c>
      <c r="N2587" s="167">
        <f t="shared" si="3"/>
        <v>17.85199588</v>
      </c>
      <c r="O2587" s="163">
        <f t="shared" ref="O2587:Q2587" si="2591">rank(I2587,I:I)</f>
        <v>855</v>
      </c>
      <c r="P2587" s="163">
        <f t="shared" si="2591"/>
        <v>1038</v>
      </c>
      <c r="Q2587" s="163">
        <f t="shared" si="2591"/>
        <v>3475</v>
      </c>
      <c r="R2587" s="163">
        <f>IFERROR(__xludf.DUMMYFUNCTION("RANK(M2587,filter(M:M,C:C=C2587))"),129.0)</f>
        <v>129</v>
      </c>
      <c r="S2587" s="161" t="b">
        <f t="shared" si="5"/>
        <v>0</v>
      </c>
      <c r="T2587" s="161" t="b">
        <f t="array" ref="T2587">index('Query Tool'!B:B,match(H2587,'Query Tool'!C:C,0))</f>
        <v>1</v>
      </c>
      <c r="U2587" s="161" t="b">
        <f t="array" ref="U2587">index('Query Tool'!B:B,match(C2587,'Query Tool'!C:C,0))</f>
        <v>0</v>
      </c>
      <c r="V2587" s="161" t="b">
        <f>F2587&gt;='Query Tool'!C$32</f>
        <v>1</v>
      </c>
      <c r="W2587" s="161" t="b">
        <f t="array" ref="W2587">index(Dropdowns!B:B,match(I2587,Dropdowns!A:A,0))</f>
        <v>1</v>
      </c>
      <c r="X2587" s="161" t="b">
        <f t="array" ref="X2587">index('Query Tool'!B:B,match(D2587,'Query Tool'!C:C,0))</f>
        <v>1</v>
      </c>
      <c r="Y2587" s="161" t="str">
        <f t="shared" si="6"/>
        <v>davised01,2018-19</v>
      </c>
      <c r="Z2587" s="168">
        <f t="array" ref="Z2587">iferror(index(I:I,match($A2587&amp;","&amp;index('Year Conversion'!$A:$A,match($C2587,'Year Conversion'!$B:$B,0)),$Y:$Y,0))-I2587,"")</f>
        <v>1</v>
      </c>
      <c r="AA2587" s="168">
        <f t="array" ref="AA2587">iferror(index(J:J,match($A2587&amp;","&amp;index('Year Conversion'!$A:$A,match($C2587,'Year Conversion'!$B:$B,0)),$Y:$Y,0))-J2587,"")</f>
        <v>-1.998398635</v>
      </c>
      <c r="AB2587" s="168">
        <f t="array" ref="AB2587">iferror(index(K:K,match($A2587&amp;","&amp;index('Year Conversion'!$A:$A,match($C2587,'Year Conversion'!$B:$B,0)),$Y:$Y,0))-K2587,"")</f>
        <v>-1.539123012</v>
      </c>
      <c r="AC2587" s="168" t="str">
        <f t="shared" si="7"/>
        <v>BRK,2018-19</v>
      </c>
    </row>
    <row r="2588">
      <c r="A2588" s="161" t="str">
        <f>IFERROR(__xludf.DUMMYFUNCTION("""COMPUTED_VALUE"""),"pattepa01")</f>
        <v>pattepa01</v>
      </c>
      <c r="B2588" s="161" t="str">
        <f>IFERROR(__xludf.DUMMYFUNCTION("""COMPUTED_VALUE"""),"Patrick Patterson")</f>
        <v>Patrick Patterson</v>
      </c>
      <c r="C2588" s="162" t="str">
        <f>IFERROR(__xludf.DUMMYFUNCTION("""COMPUTED_VALUE"""),"2018-19")</f>
        <v>2018-19</v>
      </c>
      <c r="D2588" s="163" t="str">
        <f>IFERROR(__xludf.DUMMYFUNCTION("""COMPUTED_VALUE"""),"OKC")</f>
        <v>OKC</v>
      </c>
      <c r="E2588" s="164" t="str">
        <f>IFERROR(__xludf.DUMMYFUNCTION("""COMPUTED_VALUE"""),"Stretch Big")</f>
        <v>Stretch Big</v>
      </c>
      <c r="F2588" s="164">
        <f>IFERROR(__xludf.DUMMYFUNCTION("""COMPUTED_VALUE"""),860.671666666667)</f>
        <v>860.6716667</v>
      </c>
      <c r="G2588" s="163">
        <f>IFERROR(__xludf.DUMMYFUNCTION("""COMPUTED_VALUE"""),63.0)</f>
        <v>63</v>
      </c>
      <c r="H2588" s="163" t="str">
        <f>IFERROR(__xludf.DUMMYFUNCTION("""COMPUTED_VALUE"""),"PF")</f>
        <v>PF</v>
      </c>
      <c r="I2588" s="163">
        <f>IFERROR(__xludf.DUMMYFUNCTION("""COMPUTED_VALUE"""),29.0)</f>
        <v>29</v>
      </c>
      <c r="J2588" s="165">
        <f>IFERROR(__xludf.DUMMYFUNCTION("""COMPUTED_VALUE"""),-2.75482536714986)</f>
        <v>-2.754825367</v>
      </c>
      <c r="K2588" s="165">
        <f>IFERROR(__xludf.DUMMYFUNCTION("""COMPUTED_VALUE"""),-1.56422721590539)</f>
        <v>-1.564227216</v>
      </c>
      <c r="L2588" s="165">
        <f>IFERROR(__xludf.DUMMYFUNCTION("""COMPUTED_VALUE"""),-1.19059815124447)</f>
        <v>-1.190598151</v>
      </c>
      <c r="M2588" s="166">
        <f t="shared" si="2"/>
        <v>-0.2549929794</v>
      </c>
      <c r="N2588" s="167">
        <f t="shared" si="3"/>
        <v>13.66145503</v>
      </c>
      <c r="O2588" s="163">
        <f t="shared" ref="O2588:Q2588" si="2592">rank(I2588,I:I)</f>
        <v>855</v>
      </c>
      <c r="P2588" s="163">
        <f t="shared" si="2592"/>
        <v>3834</v>
      </c>
      <c r="Q2588" s="163">
        <f t="shared" si="2592"/>
        <v>3418</v>
      </c>
      <c r="R2588" s="163">
        <f>IFERROR(__xludf.DUMMYFUNCTION("RANK(M2588,filter(M:M,C:C=C2588))"),507.0)</f>
        <v>507</v>
      </c>
      <c r="S2588" s="161" t="b">
        <f t="shared" si="5"/>
        <v>0</v>
      </c>
      <c r="T2588" s="161" t="b">
        <f t="array" ref="T2588">index('Query Tool'!B:B,match(H2588,'Query Tool'!C:C,0))</f>
        <v>1</v>
      </c>
      <c r="U2588" s="161" t="b">
        <f t="array" ref="U2588">index('Query Tool'!B:B,match(C2588,'Query Tool'!C:C,0))</f>
        <v>0</v>
      </c>
      <c r="V2588" s="161" t="b">
        <f>F2588&gt;='Query Tool'!C$32</f>
        <v>1</v>
      </c>
      <c r="W2588" s="161" t="b">
        <f t="array" ref="W2588">index(Dropdowns!B:B,match(I2588,Dropdowns!A:A,0))</f>
        <v>1</v>
      </c>
      <c r="X2588" s="161" t="b">
        <f t="array" ref="X2588">index('Query Tool'!B:B,match(D2588,'Query Tool'!C:C,0))</f>
        <v>1</v>
      </c>
      <c r="Y2588" s="161" t="str">
        <f t="shared" si="6"/>
        <v>pattepa01,2018-19</v>
      </c>
      <c r="Z2588" s="168">
        <f t="array" ref="Z2588">iferror(index(I:I,match($A2588&amp;","&amp;index('Year Conversion'!$A:$A,match($C2588,'Year Conversion'!$B:$B,0)),$Y:$Y,0))-I2588,"")</f>
        <v>1</v>
      </c>
      <c r="AA2588" s="168">
        <f t="array" ref="AA2588">iferror(index(J:J,match($A2588&amp;","&amp;index('Year Conversion'!$A:$A,match($C2588,'Year Conversion'!$B:$B,0)),$Y:$Y,0))-J2588,"")</f>
        <v>1.499961705</v>
      </c>
      <c r="AB2588" s="168">
        <f t="array" ref="AB2588">iferror(index(K:K,match($A2588&amp;","&amp;index('Year Conversion'!$A:$A,match($C2588,'Year Conversion'!$B:$B,0)),$Y:$Y,0))-K2588,"")</f>
        <v>0.5510183201</v>
      </c>
      <c r="AC2588" s="168" t="str">
        <f t="shared" si="7"/>
        <v>OKC,2018-19</v>
      </c>
    </row>
    <row r="2589">
      <c r="A2589" s="161" t="str">
        <f>IFERROR(__xludf.DUMMYFUNCTION("""COMPUTED_VALUE"""),"bledser01")</f>
        <v>bledser01</v>
      </c>
      <c r="B2589" s="161" t="str">
        <f>IFERROR(__xludf.DUMMYFUNCTION("""COMPUTED_VALUE"""),"Eric Bledsoe")</f>
        <v>Eric Bledsoe</v>
      </c>
      <c r="C2589" s="162" t="str">
        <f>IFERROR(__xludf.DUMMYFUNCTION("""COMPUTED_VALUE"""),"2018-19")</f>
        <v>2018-19</v>
      </c>
      <c r="D2589" s="163" t="str">
        <f>IFERROR(__xludf.DUMMYFUNCTION("""COMPUTED_VALUE"""),"MIL")</f>
        <v>MIL</v>
      </c>
      <c r="E2589" s="164" t="str">
        <f>IFERROR(__xludf.DUMMYFUNCTION("""COMPUTED_VALUE"""),"Primary Ball Handler")</f>
        <v>Primary Ball Handler</v>
      </c>
      <c r="F2589" s="164">
        <f>IFERROR(__xludf.DUMMYFUNCTION("""COMPUTED_VALUE"""),2271.705)</f>
        <v>2271.705</v>
      </c>
      <c r="G2589" s="163">
        <f>IFERROR(__xludf.DUMMYFUNCTION("""COMPUTED_VALUE"""),78.0)</f>
        <v>78</v>
      </c>
      <c r="H2589" s="163" t="str">
        <f>IFERROR(__xludf.DUMMYFUNCTION("""COMPUTED_VALUE"""),"PG")</f>
        <v>PG</v>
      </c>
      <c r="I2589" s="163">
        <f>IFERROR(__xludf.DUMMYFUNCTION("""COMPUTED_VALUE"""),29.0)</f>
        <v>29</v>
      </c>
      <c r="J2589" s="165">
        <f>IFERROR(__xludf.DUMMYFUNCTION("""COMPUTED_VALUE"""),3.584094977945)</f>
        <v>3.584094978</v>
      </c>
      <c r="K2589" s="165">
        <f>IFERROR(__xludf.DUMMYFUNCTION("""COMPUTED_VALUE"""),1.81995310191638)</f>
        <v>1.819953102</v>
      </c>
      <c r="L2589" s="165">
        <f>IFERROR(__xludf.DUMMYFUNCTION("""COMPUTED_VALUE"""),1.76414187602861)</f>
        <v>1.764141876</v>
      </c>
      <c r="M2589" s="166">
        <f t="shared" si="2"/>
        <v>8.89556186</v>
      </c>
      <c r="N2589" s="167">
        <f t="shared" si="3"/>
        <v>29.12442308</v>
      </c>
      <c r="O2589" s="163">
        <f t="shared" ref="O2589:Q2589" si="2593">rank(I2589,I:I)</f>
        <v>855</v>
      </c>
      <c r="P2589" s="163">
        <f t="shared" si="2593"/>
        <v>124</v>
      </c>
      <c r="Q2589" s="163">
        <f t="shared" si="2593"/>
        <v>256</v>
      </c>
      <c r="R2589" s="163">
        <f>IFERROR(__xludf.DUMMYFUNCTION("RANK(M2589,filter(M:M,C:C=C2589))"),20.0)</f>
        <v>20</v>
      </c>
      <c r="S2589" s="161" t="b">
        <f t="shared" si="5"/>
        <v>0</v>
      </c>
      <c r="T2589" s="161" t="b">
        <f t="array" ref="T2589">index('Query Tool'!B:B,match(H2589,'Query Tool'!C:C,0))</f>
        <v>1</v>
      </c>
      <c r="U2589" s="161" t="b">
        <f t="array" ref="U2589">index('Query Tool'!B:B,match(C2589,'Query Tool'!C:C,0))</f>
        <v>0</v>
      </c>
      <c r="V2589" s="161" t="b">
        <f>F2589&gt;='Query Tool'!C$32</f>
        <v>1</v>
      </c>
      <c r="W2589" s="161" t="b">
        <f t="array" ref="W2589">index(Dropdowns!B:B,match(I2589,Dropdowns!A:A,0))</f>
        <v>1</v>
      </c>
      <c r="X2589" s="161" t="b">
        <f t="array" ref="X2589">index('Query Tool'!B:B,match(D2589,'Query Tool'!C:C,0))</f>
        <v>1</v>
      </c>
      <c r="Y2589" s="161" t="str">
        <f t="shared" si="6"/>
        <v>bledser01,2018-19</v>
      </c>
      <c r="Z2589" s="168">
        <f t="array" ref="Z2589">iferror(index(I:I,match($A2589&amp;","&amp;index('Year Conversion'!$A:$A,match($C2589,'Year Conversion'!$B:$B,0)),$Y:$Y,0))-I2589,"")</f>
        <v>1</v>
      </c>
      <c r="AA2589" s="168">
        <f t="array" ref="AA2589">iferror(index(J:J,match($A2589&amp;","&amp;index('Year Conversion'!$A:$A,match($C2589,'Year Conversion'!$B:$B,0)),$Y:$Y,0))-J2589,"")</f>
        <v>-2.189827638</v>
      </c>
      <c r="AB2589" s="168">
        <f t="array" ref="AB2589">iferror(index(K:K,match($A2589&amp;","&amp;index('Year Conversion'!$A:$A,match($C2589,'Year Conversion'!$B:$B,0)),$Y:$Y,0))-K2589,"")</f>
        <v>-1.219483226</v>
      </c>
      <c r="AC2589" s="168" t="str">
        <f t="shared" si="7"/>
        <v>MIL,2018-19</v>
      </c>
    </row>
    <row r="2590">
      <c r="A2590" s="161" t="str">
        <f>IFERROR(__xludf.DUMMYFUNCTION("""COMPUTED_VALUE"""),"bradlav01")</f>
        <v>bradlav01</v>
      </c>
      <c r="B2590" s="161" t="str">
        <f>IFERROR(__xludf.DUMMYFUNCTION("""COMPUTED_VALUE"""),"Avery Bradley")</f>
        <v>Avery Bradley</v>
      </c>
      <c r="C2590" s="162" t="str">
        <f>IFERROR(__xludf.DUMMYFUNCTION("""COMPUTED_VALUE"""),"2018-19")</f>
        <v>2018-19</v>
      </c>
      <c r="D2590" s="163" t="str">
        <f>IFERROR(__xludf.DUMMYFUNCTION("""COMPUTED_VALUE"""),"TOT")</f>
        <v>TOT</v>
      </c>
      <c r="E2590" s="164" t="str">
        <f>IFERROR(__xludf.DUMMYFUNCTION("""COMPUTED_VALUE"""),"Stationary Shooter")</f>
        <v>Stationary Shooter</v>
      </c>
      <c r="F2590" s="164">
        <f>IFERROR(__xludf.DUMMYFUNCTION("""COMPUTED_VALUE"""),1905.44833333333)</f>
        <v>1905.448333</v>
      </c>
      <c r="G2590" s="163">
        <f>IFERROR(__xludf.DUMMYFUNCTION("""COMPUTED_VALUE"""),63.0)</f>
        <v>63</v>
      </c>
      <c r="H2590" s="163" t="str">
        <f>IFERROR(__xludf.DUMMYFUNCTION("""COMPUTED_VALUE"""),"SG")</f>
        <v>SG</v>
      </c>
      <c r="I2590" s="163">
        <f>IFERROR(__xludf.DUMMYFUNCTION("""COMPUTED_VALUE"""),28.0)</f>
        <v>28</v>
      </c>
      <c r="J2590" s="165">
        <f>IFERROR(__xludf.DUMMYFUNCTION("""COMPUTED_VALUE"""),-3.15845216763529)</f>
        <v>-3.158452168</v>
      </c>
      <c r="K2590" s="165">
        <f>IFERROR(__xludf.DUMMYFUNCTION("""COMPUTED_VALUE"""),-2.27369434371457)</f>
        <v>-2.273694344</v>
      </c>
      <c r="L2590" s="165">
        <f>IFERROR(__xludf.DUMMYFUNCTION("""COMPUTED_VALUE"""),-0.884757823920726)</f>
        <v>-0.8847578239</v>
      </c>
      <c r="M2590" s="166">
        <f t="shared" si="2"/>
        <v>-1.064576746</v>
      </c>
      <c r="N2590" s="167">
        <f t="shared" si="3"/>
        <v>30.24521164</v>
      </c>
      <c r="O2590" s="163">
        <f t="shared" ref="O2590:Q2590" si="2594">rank(I2590,I:I)</f>
        <v>1090</v>
      </c>
      <c r="P2590" s="163">
        <f t="shared" si="2594"/>
        <v>3918</v>
      </c>
      <c r="Q2590" s="163">
        <f t="shared" si="2594"/>
        <v>3828</v>
      </c>
      <c r="R2590" s="163">
        <f>IFERROR(__xludf.DUMMYFUNCTION("RANK(M2590,filter(M:M,C:C=C2590))"),525.0)</f>
        <v>525</v>
      </c>
      <c r="S2590" s="161" t="b">
        <f t="shared" si="5"/>
        <v>0</v>
      </c>
      <c r="T2590" s="161" t="b">
        <f t="array" ref="T2590">index('Query Tool'!B:B,match(H2590,'Query Tool'!C:C,0))</f>
        <v>1</v>
      </c>
      <c r="U2590" s="161" t="b">
        <f t="array" ref="U2590">index('Query Tool'!B:B,match(C2590,'Query Tool'!C:C,0))</f>
        <v>0</v>
      </c>
      <c r="V2590" s="161" t="b">
        <f>F2590&gt;='Query Tool'!C$32</f>
        <v>1</v>
      </c>
      <c r="W2590" s="161" t="b">
        <f t="array" ref="W2590">index(Dropdowns!B:B,match(I2590,Dropdowns!A:A,0))</f>
        <v>1</v>
      </c>
      <c r="X2590" s="161" t="b">
        <f t="array" ref="X2590">index('Query Tool'!B:B,match(D2590,'Query Tool'!C:C,0))</f>
        <v>1</v>
      </c>
      <c r="Y2590" s="161" t="str">
        <f t="shared" si="6"/>
        <v>bradlav01,2018-19</v>
      </c>
      <c r="Z2590" s="168">
        <f t="array" ref="Z2590">iferror(index(I:I,match($A2590&amp;","&amp;index('Year Conversion'!$A:$A,match($C2590,'Year Conversion'!$B:$B,0)),$Y:$Y,0))-I2590,"")</f>
        <v>1</v>
      </c>
      <c r="AA2590" s="168">
        <f t="array" ref="AA2590">iferror(index(J:J,match($A2590&amp;","&amp;index('Year Conversion'!$A:$A,match($C2590,'Year Conversion'!$B:$B,0)),$Y:$Y,0))-J2590,"")</f>
        <v>1.492892556</v>
      </c>
      <c r="AB2590" s="168">
        <f t="array" ref="AB2590">iferror(index(K:K,match($A2590&amp;","&amp;index('Year Conversion'!$A:$A,match($C2590,'Year Conversion'!$B:$B,0)),$Y:$Y,0))-K2590,"")</f>
        <v>1.100771521</v>
      </c>
      <c r="AC2590" s="168" t="str">
        <f t="shared" si="7"/>
        <v>TOT,2018-19</v>
      </c>
    </row>
    <row r="2591">
      <c r="A2591" s="161" t="str">
        <f>IFERROR(__xludf.DUMMYFUNCTION("""COMPUTED_VALUE"""),"pondequ01")</f>
        <v>pondequ01</v>
      </c>
      <c r="B2591" s="161" t="str">
        <f>IFERROR(__xludf.DUMMYFUNCTION("""COMPUTED_VALUE"""),"Quincy Pondexter")</f>
        <v>Quincy Pondexter</v>
      </c>
      <c r="C2591" s="162" t="str">
        <f>IFERROR(__xludf.DUMMYFUNCTION("""COMPUTED_VALUE"""),"2018-19")</f>
        <v>2018-19</v>
      </c>
      <c r="D2591" s="163" t="str">
        <f>IFERROR(__xludf.DUMMYFUNCTION("""COMPUTED_VALUE"""),"SAS")</f>
        <v>SAS</v>
      </c>
      <c r="E2591" s="164" t="str">
        <f>IFERROR(__xludf.DUMMYFUNCTION("""COMPUTED_VALUE"""),"Athletic Finisher")</f>
        <v>Athletic Finisher</v>
      </c>
      <c r="F2591" s="164">
        <f>IFERROR(__xludf.DUMMYFUNCTION("""COMPUTED_VALUE"""),291.878333333333)</f>
        <v>291.8783333</v>
      </c>
      <c r="G2591" s="163">
        <f>IFERROR(__xludf.DUMMYFUNCTION("""COMPUTED_VALUE"""),53.0)</f>
        <v>53</v>
      </c>
      <c r="H2591" s="163" t="str">
        <f>IFERROR(__xludf.DUMMYFUNCTION("""COMPUTED_VALUE"""),"SF")</f>
        <v>SF</v>
      </c>
      <c r="I2591" s="163">
        <f>IFERROR(__xludf.DUMMYFUNCTION("""COMPUTED_VALUE"""),30.0)</f>
        <v>30</v>
      </c>
      <c r="J2591" s="165">
        <f>IFERROR(__xludf.DUMMYFUNCTION("""COMPUTED_VALUE"""),-1.67302557804115)</f>
        <v>-1.673025578</v>
      </c>
      <c r="K2591" s="165">
        <f>IFERROR(__xludf.DUMMYFUNCTION("""COMPUTED_VALUE"""),-1.32392176156873)</f>
        <v>-1.323921762</v>
      </c>
      <c r="L2591" s="165">
        <f>IFERROR(__xludf.DUMMYFUNCTION("""COMPUTED_VALUE"""),-0.349103816472418)</f>
        <v>-0.3491038165</v>
      </c>
      <c r="M2591" s="166">
        <f t="shared" si="2"/>
        <v>0.1220329694</v>
      </c>
      <c r="N2591" s="167">
        <f t="shared" si="3"/>
        <v>5.507138365</v>
      </c>
      <c r="O2591" s="163">
        <f t="shared" ref="O2591:Q2591" si="2595">rank(I2591,I:I)</f>
        <v>655</v>
      </c>
      <c r="P2591" s="163">
        <f t="shared" si="2595"/>
        <v>3214</v>
      </c>
      <c r="Q2591" s="163">
        <f t="shared" si="2595"/>
        <v>3176</v>
      </c>
      <c r="R2591" s="163">
        <f>IFERROR(__xludf.DUMMYFUNCTION("RANK(M2591,filter(M:M,C:C=C2591))"),378.0)</f>
        <v>378</v>
      </c>
      <c r="S2591" s="161" t="b">
        <f t="shared" si="5"/>
        <v>0</v>
      </c>
      <c r="T2591" s="161" t="b">
        <f t="array" ref="T2591">index('Query Tool'!B:B,match(H2591,'Query Tool'!C:C,0))</f>
        <v>1</v>
      </c>
      <c r="U2591" s="161" t="b">
        <f t="array" ref="U2591">index('Query Tool'!B:B,match(C2591,'Query Tool'!C:C,0))</f>
        <v>0</v>
      </c>
      <c r="V2591" s="161" t="b">
        <f>F2591&gt;='Query Tool'!C$32</f>
        <v>0</v>
      </c>
      <c r="W2591" s="161" t="b">
        <f t="array" ref="W2591">index(Dropdowns!B:B,match(I2591,Dropdowns!A:A,0))</f>
        <v>1</v>
      </c>
      <c r="X2591" s="161" t="b">
        <f t="array" ref="X2591">index('Query Tool'!B:B,match(D2591,'Query Tool'!C:C,0))</f>
        <v>1</v>
      </c>
      <c r="Y2591" s="161" t="str">
        <f t="shared" si="6"/>
        <v>pondequ01,2018-19</v>
      </c>
      <c r="Z2591" s="168" t="str">
        <f t="array" ref="Z2591">iferror(index(I:I,match($A2591&amp;","&amp;index('Year Conversion'!$A:$A,match($C2591,'Year Conversion'!$B:$B,0)),$Y:$Y,0))-I2591,"")</f>
        <v/>
      </c>
      <c r="AA2591" s="168" t="str">
        <f t="array" ref="AA2591">iferror(index(J:J,match($A2591&amp;","&amp;index('Year Conversion'!$A:$A,match($C2591,'Year Conversion'!$B:$B,0)),$Y:$Y,0))-J2591,"")</f>
        <v/>
      </c>
      <c r="AB2591" s="168" t="str">
        <f t="array" ref="AB2591">iferror(index(K:K,match($A2591&amp;","&amp;index('Year Conversion'!$A:$A,match($C2591,'Year Conversion'!$B:$B,0)),$Y:$Y,0))-K2591,"")</f>
        <v/>
      </c>
      <c r="AC2591" s="168" t="str">
        <f t="shared" si="7"/>
        <v>SAS,2018-19</v>
      </c>
    </row>
    <row r="2592">
      <c r="A2592" s="161" t="str">
        <f>IFERROR(__xludf.DUMMYFUNCTION("""COMPUTED_VALUE"""),"whiteha01")</f>
        <v>whiteha01</v>
      </c>
      <c r="B2592" s="161" t="str">
        <f>IFERROR(__xludf.DUMMYFUNCTION("""COMPUTED_VALUE"""),"Hassan Whiteside")</f>
        <v>Hassan Whiteside</v>
      </c>
      <c r="C2592" s="162" t="str">
        <f>IFERROR(__xludf.DUMMYFUNCTION("""COMPUTED_VALUE"""),"2018-19")</f>
        <v>2018-19</v>
      </c>
      <c r="D2592" s="163" t="str">
        <f>IFERROR(__xludf.DUMMYFUNCTION("""COMPUTED_VALUE"""),"MIA")</f>
        <v>MIA</v>
      </c>
      <c r="E2592" s="164" t="str">
        <f>IFERROR(__xludf.DUMMYFUNCTION("""COMPUTED_VALUE"""),"Post Scorer")</f>
        <v>Post Scorer</v>
      </c>
      <c r="F2592" s="164">
        <f>IFERROR(__xludf.DUMMYFUNCTION("""COMPUTED_VALUE"""),1674.22666666667)</f>
        <v>1674.226667</v>
      </c>
      <c r="G2592" s="163">
        <f>IFERROR(__xludf.DUMMYFUNCTION("""COMPUTED_VALUE"""),72.0)</f>
        <v>72</v>
      </c>
      <c r="H2592" s="163" t="str">
        <f>IFERROR(__xludf.DUMMYFUNCTION("""COMPUTED_VALUE"""),"C")</f>
        <v>C</v>
      </c>
      <c r="I2592" s="163">
        <f>IFERROR(__xludf.DUMMYFUNCTION("""COMPUTED_VALUE"""),29.0)</f>
        <v>29</v>
      </c>
      <c r="J2592" s="165">
        <f>IFERROR(__xludf.DUMMYFUNCTION("""COMPUTED_VALUE"""),3.42201012986926)</f>
        <v>3.42201013</v>
      </c>
      <c r="K2592" s="165">
        <f>IFERROR(__xludf.DUMMYFUNCTION("""COMPUTED_VALUE"""),0.498061052198723)</f>
        <v>0.4980610522</v>
      </c>
      <c r="L2592" s="165">
        <f>IFERROR(__xludf.DUMMYFUNCTION("""COMPUTED_VALUE"""),2.92394907767053)</f>
        <v>2.923949078</v>
      </c>
      <c r="M2592" s="166">
        <f t="shared" si="2"/>
        <v>6.382046955</v>
      </c>
      <c r="N2592" s="167">
        <f t="shared" si="3"/>
        <v>23.25314815</v>
      </c>
      <c r="O2592" s="163">
        <f t="shared" ref="O2592:Q2592" si="2596">rank(I2592,I:I)</f>
        <v>855</v>
      </c>
      <c r="P2592" s="163">
        <f t="shared" si="2596"/>
        <v>136</v>
      </c>
      <c r="Q2592" s="163">
        <f t="shared" si="2596"/>
        <v>768</v>
      </c>
      <c r="R2592" s="163">
        <f>IFERROR(__xludf.DUMMYFUNCTION("RANK(M2592,filter(M:M,C:C=C2592))"),38.0)</f>
        <v>38</v>
      </c>
      <c r="S2592" s="161" t="b">
        <f t="shared" si="5"/>
        <v>0</v>
      </c>
      <c r="T2592" s="161" t="b">
        <f t="array" ref="T2592">index('Query Tool'!B:B,match(H2592,'Query Tool'!C:C,0))</f>
        <v>1</v>
      </c>
      <c r="U2592" s="161" t="b">
        <f t="array" ref="U2592">index('Query Tool'!B:B,match(C2592,'Query Tool'!C:C,0))</f>
        <v>0</v>
      </c>
      <c r="V2592" s="161" t="b">
        <f>F2592&gt;='Query Tool'!C$32</f>
        <v>1</v>
      </c>
      <c r="W2592" s="161" t="b">
        <f t="array" ref="W2592">index(Dropdowns!B:B,match(I2592,Dropdowns!A:A,0))</f>
        <v>1</v>
      </c>
      <c r="X2592" s="161" t="b">
        <f t="array" ref="X2592">index('Query Tool'!B:B,match(D2592,'Query Tool'!C:C,0))</f>
        <v>1</v>
      </c>
      <c r="Y2592" s="161" t="str">
        <f t="shared" si="6"/>
        <v>whiteha01,2018-19</v>
      </c>
      <c r="Z2592" s="168">
        <f t="array" ref="Z2592">iferror(index(I:I,match($A2592&amp;","&amp;index('Year Conversion'!$A:$A,match($C2592,'Year Conversion'!$B:$B,0)),$Y:$Y,0))-I2592,"")</f>
        <v>1</v>
      </c>
      <c r="AA2592" s="168">
        <f t="array" ref="AA2592">iferror(index(J:J,match($A2592&amp;","&amp;index('Year Conversion'!$A:$A,match($C2592,'Year Conversion'!$B:$B,0)),$Y:$Y,0))-J2592,"")</f>
        <v>0.5052704568</v>
      </c>
      <c r="AB2592" s="168">
        <f t="array" ref="AB2592">iferror(index(K:K,match($A2592&amp;","&amp;index('Year Conversion'!$A:$A,match($C2592,'Year Conversion'!$B:$B,0)),$Y:$Y,0))-K2592,"")</f>
        <v>0.0923438504</v>
      </c>
      <c r="AC2592" s="168" t="str">
        <f t="shared" si="7"/>
        <v>MIA,2018-19</v>
      </c>
    </row>
    <row r="2593">
      <c r="A2593" s="161" t="str">
        <f>IFERROR(__xludf.DUMMYFUNCTION("""COMPUTED_VALUE"""),"bjeline01")</f>
        <v>bjeline01</v>
      </c>
      <c r="B2593" s="161" t="str">
        <f>IFERROR(__xludf.DUMMYFUNCTION("""COMPUTED_VALUE"""),"Nemanja Bjelica")</f>
        <v>Nemanja Bjelica</v>
      </c>
      <c r="C2593" s="162" t="str">
        <f>IFERROR(__xludf.DUMMYFUNCTION("""COMPUTED_VALUE"""),"2018-19")</f>
        <v>2018-19</v>
      </c>
      <c r="D2593" s="163" t="str">
        <f>IFERROR(__xludf.DUMMYFUNCTION("""COMPUTED_VALUE"""),"SAC")</f>
        <v>SAC</v>
      </c>
      <c r="E2593" s="164" t="str">
        <f>IFERROR(__xludf.DUMMYFUNCTION("""COMPUTED_VALUE"""),"Stretch Big")</f>
        <v>Stretch Big</v>
      </c>
      <c r="F2593" s="164">
        <f>IFERROR(__xludf.DUMMYFUNCTION("""COMPUTED_VALUE"""),1787.91)</f>
        <v>1787.91</v>
      </c>
      <c r="G2593" s="163">
        <f>IFERROR(__xludf.DUMMYFUNCTION("""COMPUTED_VALUE"""),77.0)</f>
        <v>77</v>
      </c>
      <c r="H2593" s="163" t="str">
        <f>IFERROR(__xludf.DUMMYFUNCTION("""COMPUTED_VALUE"""),"PF")</f>
        <v>PF</v>
      </c>
      <c r="I2593" s="163">
        <f>IFERROR(__xludf.DUMMYFUNCTION("""COMPUTED_VALUE"""),30.0)</f>
        <v>30</v>
      </c>
      <c r="J2593" s="165">
        <f>IFERROR(__xludf.DUMMYFUNCTION("""COMPUTED_VALUE"""),0.817323344904779)</f>
        <v>0.8173233449</v>
      </c>
      <c r="K2593" s="165">
        <f>IFERROR(__xludf.DUMMYFUNCTION("""COMPUTED_VALUE"""),0.355810281014729)</f>
        <v>0.355810281</v>
      </c>
      <c r="L2593" s="165">
        <f>IFERROR(__xludf.DUMMYFUNCTION("""COMPUTED_VALUE"""),0.461513063890051)</f>
        <v>0.4615130639</v>
      </c>
      <c r="M2593" s="166">
        <f t="shared" si="2"/>
        <v>3.740641978</v>
      </c>
      <c r="N2593" s="167">
        <f t="shared" si="3"/>
        <v>23.21961039</v>
      </c>
      <c r="O2593" s="163">
        <f t="shared" ref="O2593:Q2593" si="2597">rank(I2593,I:I)</f>
        <v>655</v>
      </c>
      <c r="P2593" s="163">
        <f t="shared" si="2597"/>
        <v>726</v>
      </c>
      <c r="Q2593" s="163">
        <f t="shared" si="2597"/>
        <v>863</v>
      </c>
      <c r="R2593" s="163">
        <f>IFERROR(__xludf.DUMMYFUNCTION("RANK(M2593,filter(M:M,C:C=C2593))"),87.0)</f>
        <v>87</v>
      </c>
      <c r="S2593" s="161" t="b">
        <f t="shared" si="5"/>
        <v>0</v>
      </c>
      <c r="T2593" s="161" t="b">
        <f t="array" ref="T2593">index('Query Tool'!B:B,match(H2593,'Query Tool'!C:C,0))</f>
        <v>1</v>
      </c>
      <c r="U2593" s="161" t="b">
        <f t="array" ref="U2593">index('Query Tool'!B:B,match(C2593,'Query Tool'!C:C,0))</f>
        <v>0</v>
      </c>
      <c r="V2593" s="161" t="b">
        <f>F2593&gt;='Query Tool'!C$32</f>
        <v>1</v>
      </c>
      <c r="W2593" s="161" t="b">
        <f t="array" ref="W2593">index(Dropdowns!B:B,match(I2593,Dropdowns!A:A,0))</f>
        <v>1</v>
      </c>
      <c r="X2593" s="161" t="b">
        <f t="array" ref="X2593">index('Query Tool'!B:B,match(D2593,'Query Tool'!C:C,0))</f>
        <v>1</v>
      </c>
      <c r="Y2593" s="161" t="str">
        <f t="shared" si="6"/>
        <v>bjeline01,2018-19</v>
      </c>
      <c r="Z2593" s="168">
        <f t="array" ref="Z2593">iferror(index(I:I,match($A2593&amp;","&amp;index('Year Conversion'!$A:$A,match($C2593,'Year Conversion'!$B:$B,0)),$Y:$Y,0))-I2593,"")</f>
        <v>1</v>
      </c>
      <c r="AA2593" s="168">
        <f t="array" ref="AA2593">iferror(index(J:J,match($A2593&amp;","&amp;index('Year Conversion'!$A:$A,match($C2593,'Year Conversion'!$B:$B,0)),$Y:$Y,0))-J2593,"")</f>
        <v>-0.2322145436</v>
      </c>
      <c r="AB2593" s="168">
        <f t="array" ref="AB2593">iferror(index(K:K,match($A2593&amp;","&amp;index('Year Conversion'!$A:$A,match($C2593,'Year Conversion'!$B:$B,0)),$Y:$Y,0))-K2593,"")</f>
        <v>0.167750134</v>
      </c>
      <c r="AC2593" s="168" t="str">
        <f t="shared" si="7"/>
        <v>SAC,2018-19</v>
      </c>
    </row>
    <row r="2594">
      <c r="A2594" s="161" t="str">
        <f>IFERROR(__xludf.DUMMYFUNCTION("""COMPUTED_VALUE"""),"stephla01")</f>
        <v>stephla01</v>
      </c>
      <c r="B2594" s="161" t="str">
        <f>IFERROR(__xludf.DUMMYFUNCTION("""COMPUTED_VALUE"""),"Lance Stephenson")</f>
        <v>Lance Stephenson</v>
      </c>
      <c r="C2594" s="162" t="str">
        <f>IFERROR(__xludf.DUMMYFUNCTION("""COMPUTED_VALUE"""),"2018-19")</f>
        <v>2018-19</v>
      </c>
      <c r="D2594" s="163" t="str">
        <f>IFERROR(__xludf.DUMMYFUNCTION("""COMPUTED_VALUE"""),"LAL")</f>
        <v>LAL</v>
      </c>
      <c r="E2594" s="164" t="str">
        <f>IFERROR(__xludf.DUMMYFUNCTION("""COMPUTED_VALUE"""),"Secondary Ball Handler")</f>
        <v>Secondary Ball Handler</v>
      </c>
      <c r="F2594" s="164">
        <f>IFERROR(__xludf.DUMMYFUNCTION("""COMPUTED_VALUE"""),1122.76833333333)</f>
        <v>1122.768333</v>
      </c>
      <c r="G2594" s="163">
        <f>IFERROR(__xludf.DUMMYFUNCTION("""COMPUTED_VALUE"""),68.0)</f>
        <v>68</v>
      </c>
      <c r="H2594" s="163" t="str">
        <f>IFERROR(__xludf.DUMMYFUNCTION("""COMPUTED_VALUE"""),"SG")</f>
        <v>SG</v>
      </c>
      <c r="I2594" s="163">
        <f>IFERROR(__xludf.DUMMYFUNCTION("""COMPUTED_VALUE"""),28.0)</f>
        <v>28</v>
      </c>
      <c r="J2594" s="165">
        <f>IFERROR(__xludf.DUMMYFUNCTION("""COMPUTED_VALUE"""),-2.34839539324874)</f>
        <v>-2.348395393</v>
      </c>
      <c r="K2594" s="165">
        <f>IFERROR(__xludf.DUMMYFUNCTION("""COMPUTED_VALUE"""),-1.25444660270837)</f>
        <v>-1.254446603</v>
      </c>
      <c r="L2594" s="165">
        <f>IFERROR(__xludf.DUMMYFUNCTION("""COMPUTED_VALUE"""),-1.09394879054037)</f>
        <v>-1.093948791</v>
      </c>
      <c r="M2594" s="166">
        <f t="shared" si="2"/>
        <v>-0.03320923791</v>
      </c>
      <c r="N2594" s="167">
        <f t="shared" si="3"/>
        <v>16.51129902</v>
      </c>
      <c r="O2594" s="163">
        <f t="shared" ref="O2594:Q2594" si="2598">rank(I2594,I:I)</f>
        <v>1090</v>
      </c>
      <c r="P2594" s="163">
        <f t="shared" si="2598"/>
        <v>3685</v>
      </c>
      <c r="Q2594" s="163">
        <f t="shared" si="2598"/>
        <v>3089</v>
      </c>
      <c r="R2594" s="163">
        <f>IFERROR(__xludf.DUMMYFUNCTION("RANK(M2594,filter(M:M,C:C=C2594))"),488.0)</f>
        <v>488</v>
      </c>
      <c r="S2594" s="161" t="b">
        <f t="shared" si="5"/>
        <v>0</v>
      </c>
      <c r="T2594" s="161" t="b">
        <f t="array" ref="T2594">index('Query Tool'!B:B,match(H2594,'Query Tool'!C:C,0))</f>
        <v>1</v>
      </c>
      <c r="U2594" s="161" t="b">
        <f t="array" ref="U2594">index('Query Tool'!B:B,match(C2594,'Query Tool'!C:C,0))</f>
        <v>0</v>
      </c>
      <c r="V2594" s="161" t="b">
        <f>F2594&gt;='Query Tool'!C$32</f>
        <v>1</v>
      </c>
      <c r="W2594" s="161" t="b">
        <f t="array" ref="W2594">index(Dropdowns!B:B,match(I2594,Dropdowns!A:A,0))</f>
        <v>1</v>
      </c>
      <c r="X2594" s="161" t="b">
        <f t="array" ref="X2594">index('Query Tool'!B:B,match(D2594,'Query Tool'!C:C,0))</f>
        <v>1</v>
      </c>
      <c r="Y2594" s="161" t="str">
        <f t="shared" si="6"/>
        <v>stephla01,2018-19</v>
      </c>
      <c r="Z2594" s="168" t="str">
        <f t="array" ref="Z2594">iferror(index(I:I,match($A2594&amp;","&amp;index('Year Conversion'!$A:$A,match($C2594,'Year Conversion'!$B:$B,0)),$Y:$Y,0))-I2594,"")</f>
        <v/>
      </c>
      <c r="AA2594" s="168" t="str">
        <f t="array" ref="AA2594">iferror(index(J:J,match($A2594&amp;","&amp;index('Year Conversion'!$A:$A,match($C2594,'Year Conversion'!$B:$B,0)),$Y:$Y,0))-J2594,"")</f>
        <v/>
      </c>
      <c r="AB2594" s="168" t="str">
        <f t="array" ref="AB2594">iferror(index(K:K,match($A2594&amp;","&amp;index('Year Conversion'!$A:$A,match($C2594,'Year Conversion'!$B:$B,0)),$Y:$Y,0))-K2594,"")</f>
        <v/>
      </c>
      <c r="AC2594" s="168" t="str">
        <f t="shared" si="7"/>
        <v>LAL,2018-19</v>
      </c>
    </row>
    <row r="2595">
      <c r="A2595" s="161" t="str">
        <f>IFERROR(__xludf.DUMMYFUNCTION("""COMPUTED_VALUE"""),"linje01")</f>
        <v>linje01</v>
      </c>
      <c r="B2595" s="161" t="str">
        <f>IFERROR(__xludf.DUMMYFUNCTION("""COMPUTED_VALUE"""),"Jeremy Lin")</f>
        <v>Jeremy Lin</v>
      </c>
      <c r="C2595" s="162" t="str">
        <f>IFERROR(__xludf.DUMMYFUNCTION("""COMPUTED_VALUE"""),"2018-19")</f>
        <v>2018-19</v>
      </c>
      <c r="D2595" s="163" t="str">
        <f>IFERROR(__xludf.DUMMYFUNCTION("""COMPUTED_VALUE"""),"TOT")</f>
        <v>TOT</v>
      </c>
      <c r="E2595" s="164" t="str">
        <f>IFERROR(__xludf.DUMMYFUNCTION("""COMPUTED_VALUE"""),"Primary Ball Handler")</f>
        <v>Primary Ball Handler</v>
      </c>
      <c r="F2595" s="164">
        <f>IFERROR(__xludf.DUMMYFUNCTION("""COMPUTED_VALUE"""),1436.31333333333)</f>
        <v>1436.313333</v>
      </c>
      <c r="G2595" s="163">
        <f>IFERROR(__xludf.DUMMYFUNCTION("""COMPUTED_VALUE"""),74.0)</f>
        <v>74</v>
      </c>
      <c r="H2595" s="163" t="str">
        <f>IFERROR(__xludf.DUMMYFUNCTION("""COMPUTED_VALUE"""),"PG")</f>
        <v>PG</v>
      </c>
      <c r="I2595" s="163">
        <f>IFERROR(__xludf.DUMMYFUNCTION("""COMPUTED_VALUE"""),30.0)</f>
        <v>30</v>
      </c>
      <c r="J2595" s="165">
        <f>IFERROR(__xludf.DUMMYFUNCTION("""COMPUTED_VALUE"""),-1.80796993903438)</f>
        <v>-1.807969939</v>
      </c>
      <c r="K2595" s="165">
        <f>IFERROR(__xludf.DUMMYFUNCTION("""COMPUTED_VALUE"""),-1.21271297640699)</f>
        <v>-1.212712976</v>
      </c>
      <c r="L2595" s="165">
        <f>IFERROR(__xludf.DUMMYFUNCTION("""COMPUTED_VALUE"""),-0.595256962627394)</f>
        <v>-0.5952569626</v>
      </c>
      <c r="M2595" s="166">
        <f t="shared" si="2"/>
        <v>0.4714795872</v>
      </c>
      <c r="N2595" s="167">
        <f t="shared" si="3"/>
        <v>19.40963964</v>
      </c>
      <c r="O2595" s="163">
        <f t="shared" ref="O2595:Q2595" si="2599">rank(I2595,I:I)</f>
        <v>655</v>
      </c>
      <c r="P2595" s="163">
        <f t="shared" si="2599"/>
        <v>3338</v>
      </c>
      <c r="Q2595" s="163">
        <f t="shared" si="2599"/>
        <v>3045</v>
      </c>
      <c r="R2595" s="163">
        <f>IFERROR(__xludf.DUMMYFUNCTION("RANK(M2595,filter(M:M,C:C=C2595))"),293.0)</f>
        <v>293</v>
      </c>
      <c r="S2595" s="161" t="b">
        <f t="shared" si="5"/>
        <v>0</v>
      </c>
      <c r="T2595" s="161" t="b">
        <f t="array" ref="T2595">index('Query Tool'!B:B,match(H2595,'Query Tool'!C:C,0))</f>
        <v>1</v>
      </c>
      <c r="U2595" s="161" t="b">
        <f t="array" ref="U2595">index('Query Tool'!B:B,match(C2595,'Query Tool'!C:C,0))</f>
        <v>0</v>
      </c>
      <c r="V2595" s="161" t="b">
        <f>F2595&gt;='Query Tool'!C$32</f>
        <v>1</v>
      </c>
      <c r="W2595" s="161" t="b">
        <f t="array" ref="W2595">index(Dropdowns!B:B,match(I2595,Dropdowns!A:A,0))</f>
        <v>1</v>
      </c>
      <c r="X2595" s="161" t="b">
        <f t="array" ref="X2595">index('Query Tool'!B:B,match(D2595,'Query Tool'!C:C,0))</f>
        <v>1</v>
      </c>
      <c r="Y2595" s="161" t="str">
        <f t="shared" si="6"/>
        <v>linje01,2018-19</v>
      </c>
      <c r="Z2595" s="168" t="str">
        <f t="array" ref="Z2595">iferror(index(I:I,match($A2595&amp;","&amp;index('Year Conversion'!$A:$A,match($C2595,'Year Conversion'!$B:$B,0)),$Y:$Y,0))-I2595,"")</f>
        <v/>
      </c>
      <c r="AA2595" s="168" t="str">
        <f t="array" ref="AA2595">iferror(index(J:J,match($A2595&amp;","&amp;index('Year Conversion'!$A:$A,match($C2595,'Year Conversion'!$B:$B,0)),$Y:$Y,0))-J2595,"")</f>
        <v/>
      </c>
      <c r="AB2595" s="168" t="str">
        <f t="array" ref="AB2595">iferror(index(K:K,match($A2595&amp;","&amp;index('Year Conversion'!$A:$A,match($C2595,'Year Conversion'!$B:$B,0)),$Y:$Y,0))-K2595,"")</f>
        <v/>
      </c>
      <c r="AC2595" s="168" t="str">
        <f t="shared" si="7"/>
        <v>TOT,2018-19</v>
      </c>
    </row>
    <row r="2596">
      <c r="A2596" s="161" t="str">
        <f>IFERROR(__xludf.DUMMYFUNCTION("""COMPUTED_VALUE"""),"smithis01")</f>
        <v>smithis01</v>
      </c>
      <c r="B2596" s="161" t="str">
        <f>IFERROR(__xludf.DUMMYFUNCTION("""COMPUTED_VALUE"""),"Ish Smith")</f>
        <v>Ish Smith</v>
      </c>
      <c r="C2596" s="162" t="str">
        <f>IFERROR(__xludf.DUMMYFUNCTION("""COMPUTED_VALUE"""),"2018-19")</f>
        <v>2018-19</v>
      </c>
      <c r="D2596" s="163" t="str">
        <f>IFERROR(__xludf.DUMMYFUNCTION("""COMPUTED_VALUE"""),"DET")</f>
        <v>DET</v>
      </c>
      <c r="E2596" s="164" t="str">
        <f>IFERROR(__xludf.DUMMYFUNCTION("""COMPUTED_VALUE"""),"Slasher")</f>
        <v>Slasher</v>
      </c>
      <c r="F2596" s="164">
        <f>IFERROR(__xludf.DUMMYFUNCTION("""COMPUTED_VALUE"""),1250.99)</f>
        <v>1250.99</v>
      </c>
      <c r="G2596" s="163">
        <f>IFERROR(__xludf.DUMMYFUNCTION("""COMPUTED_VALUE"""),56.0)</f>
        <v>56</v>
      </c>
      <c r="H2596" s="163" t="str">
        <f>IFERROR(__xludf.DUMMYFUNCTION("""COMPUTED_VALUE"""),"PG")</f>
        <v>PG</v>
      </c>
      <c r="I2596" s="163">
        <f>IFERROR(__xludf.DUMMYFUNCTION("""COMPUTED_VALUE"""),30.0)</f>
        <v>30</v>
      </c>
      <c r="J2596" s="165">
        <f>IFERROR(__xludf.DUMMYFUNCTION("""COMPUTED_VALUE"""),-1.46436775865542)</f>
        <v>-1.464367759</v>
      </c>
      <c r="K2596" s="165">
        <f>IFERROR(__xludf.DUMMYFUNCTION("""COMPUTED_VALUE"""),-0.0641054842512501)</f>
        <v>-0.06410548425</v>
      </c>
      <c r="L2596" s="165">
        <f>IFERROR(__xludf.DUMMYFUNCTION("""COMPUTED_VALUE"""),-1.40026227440417)</f>
        <v>-1.400262274</v>
      </c>
      <c r="M2596" s="166">
        <f t="shared" si="2"/>
        <v>0.6972209608</v>
      </c>
      <c r="N2596" s="167">
        <f t="shared" si="3"/>
        <v>22.33910714</v>
      </c>
      <c r="O2596" s="163">
        <f t="shared" ref="O2596:Q2596" si="2600">rank(I2596,I:I)</f>
        <v>655</v>
      </c>
      <c r="P2596" s="163">
        <f t="shared" si="2600"/>
        <v>3022</v>
      </c>
      <c r="Q2596" s="163">
        <f t="shared" si="2600"/>
        <v>1294</v>
      </c>
      <c r="R2596" s="163">
        <f>IFERROR(__xludf.DUMMYFUNCTION("RANK(M2596,filter(M:M,C:C=C2596))"),259.0)</f>
        <v>259</v>
      </c>
      <c r="S2596" s="161" t="b">
        <f t="shared" si="5"/>
        <v>0</v>
      </c>
      <c r="T2596" s="161" t="b">
        <f t="array" ref="T2596">index('Query Tool'!B:B,match(H2596,'Query Tool'!C:C,0))</f>
        <v>1</v>
      </c>
      <c r="U2596" s="161" t="b">
        <f t="array" ref="U2596">index('Query Tool'!B:B,match(C2596,'Query Tool'!C:C,0))</f>
        <v>0</v>
      </c>
      <c r="V2596" s="161" t="b">
        <f>F2596&gt;='Query Tool'!C$32</f>
        <v>1</v>
      </c>
      <c r="W2596" s="161" t="b">
        <f t="array" ref="W2596">index(Dropdowns!B:B,match(I2596,Dropdowns!A:A,0))</f>
        <v>1</v>
      </c>
      <c r="X2596" s="161" t="b">
        <f t="array" ref="X2596">index('Query Tool'!B:B,match(D2596,'Query Tool'!C:C,0))</f>
        <v>1</v>
      </c>
      <c r="Y2596" s="161" t="str">
        <f t="shared" si="6"/>
        <v>smithis01,2018-19</v>
      </c>
      <c r="Z2596" s="168">
        <f t="array" ref="Z2596">iferror(index(I:I,match($A2596&amp;","&amp;index('Year Conversion'!$A:$A,match($C2596,'Year Conversion'!$B:$B,0)),$Y:$Y,0))-I2596,"")</f>
        <v>1</v>
      </c>
      <c r="AA2596" s="168">
        <f t="array" ref="AA2596">iferror(index(J:J,match($A2596&amp;","&amp;index('Year Conversion'!$A:$A,match($C2596,'Year Conversion'!$B:$B,0)),$Y:$Y,0))-J2596,"")</f>
        <v>0.2646619203</v>
      </c>
      <c r="AB2596" s="168">
        <f t="array" ref="AB2596">iferror(index(K:K,match($A2596&amp;","&amp;index('Year Conversion'!$A:$A,match($C2596,'Year Conversion'!$B:$B,0)),$Y:$Y,0))-K2596,"")</f>
        <v>0.2235524777</v>
      </c>
      <c r="AC2596" s="168" t="str">
        <f t="shared" si="7"/>
        <v>DET,2018-19</v>
      </c>
    </row>
    <row r="2597">
      <c r="A2597" s="161" t="str">
        <f>IFERROR(__xludf.DUMMYFUNCTION("""COMPUTED_VALUE"""),"thomala01")</f>
        <v>thomala01</v>
      </c>
      <c r="B2597" s="161" t="str">
        <f>IFERROR(__xludf.DUMMYFUNCTION("""COMPUTED_VALUE"""),"Lance Thomas")</f>
        <v>Lance Thomas</v>
      </c>
      <c r="C2597" s="162" t="str">
        <f>IFERROR(__xludf.DUMMYFUNCTION("""COMPUTED_VALUE"""),"2018-19")</f>
        <v>2018-19</v>
      </c>
      <c r="D2597" s="163" t="str">
        <f>IFERROR(__xludf.DUMMYFUNCTION("""COMPUTED_VALUE"""),"NYK")</f>
        <v>NYK</v>
      </c>
      <c r="E2597" s="164" t="str">
        <f>IFERROR(__xludf.DUMMYFUNCTION("""COMPUTED_VALUE"""),"Stationary Shooter")</f>
        <v>Stationary Shooter</v>
      </c>
      <c r="F2597" s="164">
        <f>IFERROR(__xludf.DUMMYFUNCTION("""COMPUTED_VALUE"""),783.36)</f>
        <v>783.36</v>
      </c>
      <c r="G2597" s="163">
        <f>IFERROR(__xludf.DUMMYFUNCTION("""COMPUTED_VALUE"""),46.0)</f>
        <v>46</v>
      </c>
      <c r="H2597" s="163" t="str">
        <f>IFERROR(__xludf.DUMMYFUNCTION("""COMPUTED_VALUE"""),"PF")</f>
        <v>PF</v>
      </c>
      <c r="I2597" s="163">
        <f>IFERROR(__xludf.DUMMYFUNCTION("""COMPUTED_VALUE"""),30.0)</f>
        <v>30</v>
      </c>
      <c r="J2597" s="165">
        <f>IFERROR(__xludf.DUMMYFUNCTION("""COMPUTED_VALUE"""),-3.37589325522416)</f>
        <v>-3.375893255</v>
      </c>
      <c r="K2597" s="165">
        <f>IFERROR(__xludf.DUMMYFUNCTION("""COMPUTED_VALUE"""),-2.76258503380243)</f>
        <v>-2.762585034</v>
      </c>
      <c r="L2597" s="165">
        <f>IFERROR(__xludf.DUMMYFUNCTION("""COMPUTED_VALUE"""),-0.613308221421729)</f>
        <v>-0.6133082214</v>
      </c>
      <c r="M2597" s="166">
        <f t="shared" si="2"/>
        <v>-0.5475394148</v>
      </c>
      <c r="N2597" s="167">
        <f t="shared" si="3"/>
        <v>17.02956522</v>
      </c>
      <c r="O2597" s="163">
        <f t="shared" ref="O2597:Q2597" si="2601">rank(I2597,I:I)</f>
        <v>655</v>
      </c>
      <c r="P2597" s="163">
        <f t="shared" si="2601"/>
        <v>3949</v>
      </c>
      <c r="Q2597" s="163">
        <f t="shared" si="2601"/>
        <v>3944</v>
      </c>
      <c r="R2597" s="163">
        <f>IFERROR(__xludf.DUMMYFUNCTION("RANK(M2597,filter(M:M,C:C=C2597))"),520.0)</f>
        <v>520</v>
      </c>
      <c r="S2597" s="161" t="b">
        <f t="shared" si="5"/>
        <v>0</v>
      </c>
      <c r="T2597" s="161" t="b">
        <f t="array" ref="T2597">index('Query Tool'!B:B,match(H2597,'Query Tool'!C:C,0))</f>
        <v>1</v>
      </c>
      <c r="U2597" s="161" t="b">
        <f t="array" ref="U2597">index('Query Tool'!B:B,match(C2597,'Query Tool'!C:C,0))</f>
        <v>0</v>
      </c>
      <c r="V2597" s="161" t="b">
        <f>F2597&gt;='Query Tool'!C$32</f>
        <v>1</v>
      </c>
      <c r="W2597" s="161" t="b">
        <f t="array" ref="W2597">index(Dropdowns!B:B,match(I2597,Dropdowns!A:A,0))</f>
        <v>1</v>
      </c>
      <c r="X2597" s="161" t="b">
        <f t="array" ref="X2597">index('Query Tool'!B:B,match(D2597,'Query Tool'!C:C,0))</f>
        <v>1</v>
      </c>
      <c r="Y2597" s="161" t="str">
        <f t="shared" si="6"/>
        <v>thomala01,2018-19</v>
      </c>
      <c r="Z2597" s="168">
        <f t="array" ref="Z2597">iferror(index(I:I,match($A2597&amp;","&amp;index('Year Conversion'!$A:$A,match($C2597,'Year Conversion'!$B:$B,0)),$Y:$Y,0))-I2597,"")</f>
        <v>1</v>
      </c>
      <c r="AA2597" s="168">
        <f t="array" ref="AA2597">iferror(index(J:J,match($A2597&amp;","&amp;index('Year Conversion'!$A:$A,match($C2597,'Year Conversion'!$B:$B,0)),$Y:$Y,0))-J2597,"")</f>
        <v>2.349990141</v>
      </c>
      <c r="AB2597" s="168">
        <f t="array" ref="AB2597">iferror(index(K:K,match($A2597&amp;","&amp;index('Year Conversion'!$A:$A,match($C2597,'Year Conversion'!$B:$B,0)),$Y:$Y,0))-K2597,"")</f>
        <v>2.228846112</v>
      </c>
      <c r="AC2597" s="168" t="str">
        <f t="shared" si="7"/>
        <v>NYK,2018-19</v>
      </c>
    </row>
    <row r="2598">
      <c r="A2598" s="161" t="str">
        <f>IFERROR(__xludf.DUMMYFUNCTION("""COMPUTED_VALUE"""),"irvinky01")</f>
        <v>irvinky01</v>
      </c>
      <c r="B2598" s="161" t="str">
        <f>IFERROR(__xludf.DUMMYFUNCTION("""COMPUTED_VALUE"""),"Kyrie Irving")</f>
        <v>Kyrie Irving</v>
      </c>
      <c r="C2598" s="162" t="str">
        <f>IFERROR(__xludf.DUMMYFUNCTION("""COMPUTED_VALUE"""),"2018-19")</f>
        <v>2018-19</v>
      </c>
      <c r="D2598" s="163" t="str">
        <f>IFERROR(__xludf.DUMMYFUNCTION("""COMPUTED_VALUE"""),"BOS")</f>
        <v>BOS</v>
      </c>
      <c r="E2598" s="164" t="str">
        <f>IFERROR(__xludf.DUMMYFUNCTION("""COMPUTED_VALUE"""),"Primary Ball Handler")</f>
        <v>Primary Ball Handler</v>
      </c>
      <c r="F2598" s="164">
        <f>IFERROR(__xludf.DUMMYFUNCTION("""COMPUTED_VALUE"""),2213.84666666667)</f>
        <v>2213.846667</v>
      </c>
      <c r="G2598" s="163">
        <f>IFERROR(__xludf.DUMMYFUNCTION("""COMPUTED_VALUE"""),67.0)</f>
        <v>67</v>
      </c>
      <c r="H2598" s="163" t="str">
        <f>IFERROR(__xludf.DUMMYFUNCTION("""COMPUTED_VALUE"""),"PG")</f>
        <v>PG</v>
      </c>
      <c r="I2598" s="163">
        <f>IFERROR(__xludf.DUMMYFUNCTION("""COMPUTED_VALUE"""),26.0)</f>
        <v>26</v>
      </c>
      <c r="J2598" s="165">
        <f>IFERROR(__xludf.DUMMYFUNCTION("""COMPUTED_VALUE"""),3.92318498453882)</f>
        <v>3.923184985</v>
      </c>
      <c r="K2598" s="165">
        <f>IFERROR(__xludf.DUMMYFUNCTION("""COMPUTED_VALUE"""),3.71344435786507)</f>
        <v>3.713444358</v>
      </c>
      <c r="L2598" s="165">
        <f>IFERROR(__xludf.DUMMYFUNCTION("""COMPUTED_VALUE"""),0.209740626673748)</f>
        <v>0.2097406267</v>
      </c>
      <c r="M2598" s="166">
        <f t="shared" si="2"/>
        <v>9.146498021</v>
      </c>
      <c r="N2598" s="167">
        <f t="shared" si="3"/>
        <v>33.04248756</v>
      </c>
      <c r="O2598" s="163">
        <f t="shared" ref="O2598:Q2598" si="2602">rank(I2598,I:I)</f>
        <v>1665</v>
      </c>
      <c r="P2598" s="163">
        <f t="shared" si="2602"/>
        <v>97</v>
      </c>
      <c r="Q2598" s="163">
        <f t="shared" si="2602"/>
        <v>78</v>
      </c>
      <c r="R2598" s="163">
        <f>IFERROR(__xludf.DUMMYFUNCTION("RANK(M2598,filter(M:M,C:C=C2598))"),18.0)</f>
        <v>18</v>
      </c>
      <c r="S2598" s="161" t="b">
        <f t="shared" si="5"/>
        <v>0</v>
      </c>
      <c r="T2598" s="161" t="b">
        <f t="array" ref="T2598">index('Query Tool'!B:B,match(H2598,'Query Tool'!C:C,0))</f>
        <v>1</v>
      </c>
      <c r="U2598" s="161" t="b">
        <f t="array" ref="U2598">index('Query Tool'!B:B,match(C2598,'Query Tool'!C:C,0))</f>
        <v>0</v>
      </c>
      <c r="V2598" s="161" t="b">
        <f>F2598&gt;='Query Tool'!C$32</f>
        <v>1</v>
      </c>
      <c r="W2598" s="161" t="b">
        <f t="array" ref="W2598">index(Dropdowns!B:B,match(I2598,Dropdowns!A:A,0))</f>
        <v>1</v>
      </c>
      <c r="X2598" s="161" t="b">
        <f t="array" ref="X2598">index('Query Tool'!B:B,match(D2598,'Query Tool'!C:C,0))</f>
        <v>1</v>
      </c>
      <c r="Y2598" s="161" t="str">
        <f t="shared" si="6"/>
        <v>irvinky01,2018-19</v>
      </c>
      <c r="Z2598" s="168">
        <f t="array" ref="Z2598">iferror(index(I:I,match($A2598&amp;","&amp;index('Year Conversion'!$A:$A,match($C2598,'Year Conversion'!$B:$B,0)),$Y:$Y,0))-I2598,"")</f>
        <v>1</v>
      </c>
      <c r="AA2598" s="168">
        <f t="array" ref="AA2598">iferror(index(J:J,match($A2598&amp;","&amp;index('Year Conversion'!$A:$A,match($C2598,'Year Conversion'!$B:$B,0)),$Y:$Y,0))-J2598,"")</f>
        <v>-1.880697099</v>
      </c>
      <c r="AB2598" s="168">
        <f t="array" ref="AB2598">iferror(index(K:K,match($A2598&amp;","&amp;index('Year Conversion'!$A:$A,match($C2598,'Year Conversion'!$B:$B,0)),$Y:$Y,0))-K2598,"")</f>
        <v>-0.6004398235</v>
      </c>
      <c r="AC2598" s="168" t="str">
        <f t="shared" si="7"/>
        <v>BOS,2018-19</v>
      </c>
    </row>
    <row r="2599">
      <c r="A2599" s="161" t="str">
        <f>IFERROR(__xludf.DUMMYFUNCTION("""COMPUTED_VALUE"""),"kanteen01")</f>
        <v>kanteen01</v>
      </c>
      <c r="B2599" s="161" t="str">
        <f>IFERROR(__xludf.DUMMYFUNCTION("""COMPUTED_VALUE"""),"Enes Kanter")</f>
        <v>Enes Kanter</v>
      </c>
      <c r="C2599" s="162" t="str">
        <f>IFERROR(__xludf.DUMMYFUNCTION("""COMPUTED_VALUE"""),"2018-19")</f>
        <v>2018-19</v>
      </c>
      <c r="D2599" s="163" t="str">
        <f>IFERROR(__xludf.DUMMYFUNCTION("""COMPUTED_VALUE"""),"TOT")</f>
        <v>TOT</v>
      </c>
      <c r="E2599" s="164" t="str">
        <f>IFERROR(__xludf.DUMMYFUNCTION("""COMPUTED_VALUE"""),"Post Scorer")</f>
        <v>Post Scorer</v>
      </c>
      <c r="F2599" s="164">
        <f>IFERROR(__xludf.DUMMYFUNCTION("""COMPUTED_VALUE"""),1639.37833333333)</f>
        <v>1639.378333</v>
      </c>
      <c r="G2599" s="163">
        <f>IFERROR(__xludf.DUMMYFUNCTION("""COMPUTED_VALUE"""),67.0)</f>
        <v>67</v>
      </c>
      <c r="H2599" s="163" t="str">
        <f>IFERROR(__xludf.DUMMYFUNCTION("""COMPUTED_VALUE"""),"C")</f>
        <v>C</v>
      </c>
      <c r="I2599" s="163">
        <f>IFERROR(__xludf.DUMMYFUNCTION("""COMPUTED_VALUE"""),26.0)</f>
        <v>26</v>
      </c>
      <c r="J2599" s="165">
        <f>IFERROR(__xludf.DUMMYFUNCTION("""COMPUTED_VALUE"""),0.437777572584672)</f>
        <v>0.4377775726</v>
      </c>
      <c r="K2599" s="165">
        <f>IFERROR(__xludf.DUMMYFUNCTION("""COMPUTED_VALUE"""),1.17289707986185)</f>
        <v>1.17289708</v>
      </c>
      <c r="L2599" s="165">
        <f>IFERROR(__xludf.DUMMYFUNCTION("""COMPUTED_VALUE"""),-0.735119507277175)</f>
        <v>-0.7351195073</v>
      </c>
      <c r="M2599" s="166">
        <f t="shared" si="2"/>
        <v>3.011100767</v>
      </c>
      <c r="N2599" s="167">
        <f t="shared" si="3"/>
        <v>24.46833333</v>
      </c>
      <c r="O2599" s="163">
        <f t="shared" ref="O2599:Q2599" si="2603">rank(I2599,I:I)</f>
        <v>1665</v>
      </c>
      <c r="P2599" s="163">
        <f t="shared" si="2603"/>
        <v>932</v>
      </c>
      <c r="Q2599" s="163">
        <f t="shared" si="2603"/>
        <v>429</v>
      </c>
      <c r="R2599" s="163">
        <f>IFERROR(__xludf.DUMMYFUNCTION("RANK(M2599,filter(M:M,C:C=C2599))"),114.0)</f>
        <v>114</v>
      </c>
      <c r="S2599" s="161" t="b">
        <f t="shared" si="5"/>
        <v>0</v>
      </c>
      <c r="T2599" s="161" t="b">
        <f t="array" ref="T2599">index('Query Tool'!B:B,match(H2599,'Query Tool'!C:C,0))</f>
        <v>1</v>
      </c>
      <c r="U2599" s="161" t="b">
        <f t="array" ref="U2599">index('Query Tool'!B:B,match(C2599,'Query Tool'!C:C,0))</f>
        <v>0</v>
      </c>
      <c r="V2599" s="161" t="b">
        <f>F2599&gt;='Query Tool'!C$32</f>
        <v>1</v>
      </c>
      <c r="W2599" s="161" t="b">
        <f t="array" ref="W2599">index(Dropdowns!B:B,match(I2599,Dropdowns!A:A,0))</f>
        <v>1</v>
      </c>
      <c r="X2599" s="161" t="b">
        <f t="array" ref="X2599">index('Query Tool'!B:B,match(D2599,'Query Tool'!C:C,0))</f>
        <v>1</v>
      </c>
      <c r="Y2599" s="161" t="str">
        <f t="shared" si="6"/>
        <v>kanteen01,2018-19</v>
      </c>
      <c r="Z2599" s="168">
        <f t="array" ref="Z2599">iferror(index(I:I,match($A2599&amp;","&amp;index('Year Conversion'!$A:$A,match($C2599,'Year Conversion'!$B:$B,0)),$Y:$Y,0))-I2599,"")</f>
        <v>1</v>
      </c>
      <c r="AA2599" s="168">
        <f t="array" ref="AA2599">iferror(index(J:J,match($A2599&amp;","&amp;index('Year Conversion'!$A:$A,match($C2599,'Year Conversion'!$B:$B,0)),$Y:$Y,0))-J2599,"")</f>
        <v>-0.5303868316</v>
      </c>
      <c r="AB2599" s="168">
        <f t="array" ref="AB2599">iferror(index(K:K,match($A2599&amp;","&amp;index('Year Conversion'!$A:$A,match($C2599,'Year Conversion'!$B:$B,0)),$Y:$Y,0))-K2599,"")</f>
        <v>-0.9117578086</v>
      </c>
      <c r="AC2599" s="168" t="str">
        <f t="shared" si="7"/>
        <v>TOT,2018-19</v>
      </c>
    </row>
    <row r="2600">
      <c r="A2600" s="161" t="str">
        <f>IFERROR(__xludf.DUMMYFUNCTION("""COMPUTED_VALUE"""),"thomptr01")</f>
        <v>thomptr01</v>
      </c>
      <c r="B2600" s="161" t="str">
        <f>IFERROR(__xludf.DUMMYFUNCTION("""COMPUTED_VALUE"""),"Tristan Thompson")</f>
        <v>Tristan Thompson</v>
      </c>
      <c r="C2600" s="162" t="str">
        <f>IFERROR(__xludf.DUMMYFUNCTION("""COMPUTED_VALUE"""),"2018-19")</f>
        <v>2018-19</v>
      </c>
      <c r="D2600" s="163" t="str">
        <f>IFERROR(__xludf.DUMMYFUNCTION("""COMPUTED_VALUE"""),"CLE")</f>
        <v>CLE</v>
      </c>
      <c r="E2600" s="164" t="str">
        <f>IFERROR(__xludf.DUMMYFUNCTION("""COMPUTED_VALUE"""),"Roll + Cut Big")</f>
        <v>Roll + Cut Big</v>
      </c>
      <c r="F2600" s="164">
        <f>IFERROR(__xludf.DUMMYFUNCTION("""COMPUTED_VALUE"""),1197.68833333333)</f>
        <v>1197.688333</v>
      </c>
      <c r="G2600" s="163">
        <f>IFERROR(__xludf.DUMMYFUNCTION("""COMPUTED_VALUE"""),43.0)</f>
        <v>43</v>
      </c>
      <c r="H2600" s="163" t="str">
        <f>IFERROR(__xludf.DUMMYFUNCTION("""COMPUTED_VALUE"""),"C")</f>
        <v>C</v>
      </c>
      <c r="I2600" s="163">
        <f>IFERROR(__xludf.DUMMYFUNCTION("""COMPUTED_VALUE"""),27.0)</f>
        <v>27</v>
      </c>
      <c r="J2600" s="165">
        <f>IFERROR(__xludf.DUMMYFUNCTION("""COMPUTED_VALUE"""),-0.201580935626121)</f>
        <v>-0.2015809356</v>
      </c>
      <c r="K2600" s="165">
        <f>IFERROR(__xludf.DUMMYFUNCTION("""COMPUTED_VALUE"""),-0.330709221055053)</f>
        <v>-0.3307092211</v>
      </c>
      <c r="L2600" s="165">
        <f>IFERROR(__xludf.DUMMYFUNCTION("""COMPUTED_VALUE"""),0.129128285428933)</f>
        <v>0.1291282854</v>
      </c>
      <c r="M2600" s="166">
        <f t="shared" si="2"/>
        <v>1.683674956</v>
      </c>
      <c r="N2600" s="167">
        <f t="shared" si="3"/>
        <v>27.85321705</v>
      </c>
      <c r="O2600" s="163">
        <f t="shared" ref="O2600:Q2600" si="2604">rank(I2600,I:I)</f>
        <v>1366</v>
      </c>
      <c r="P2600" s="163">
        <f t="shared" si="2604"/>
        <v>1508</v>
      </c>
      <c r="Q2600" s="163">
        <f t="shared" si="2604"/>
        <v>1813</v>
      </c>
      <c r="R2600" s="163">
        <f>IFERROR(__xludf.DUMMYFUNCTION("RANK(M2600,filter(M:M,C:C=C2600))"),175.0)</f>
        <v>175</v>
      </c>
      <c r="S2600" s="161" t="b">
        <f t="shared" si="5"/>
        <v>0</v>
      </c>
      <c r="T2600" s="161" t="b">
        <f t="array" ref="T2600">index('Query Tool'!B:B,match(H2600,'Query Tool'!C:C,0))</f>
        <v>1</v>
      </c>
      <c r="U2600" s="161" t="b">
        <f t="array" ref="U2600">index('Query Tool'!B:B,match(C2600,'Query Tool'!C:C,0))</f>
        <v>0</v>
      </c>
      <c r="V2600" s="161" t="b">
        <f>F2600&gt;='Query Tool'!C$32</f>
        <v>1</v>
      </c>
      <c r="W2600" s="161" t="b">
        <f t="array" ref="W2600">index(Dropdowns!B:B,match(I2600,Dropdowns!A:A,0))</f>
        <v>1</v>
      </c>
      <c r="X2600" s="161" t="b">
        <f t="array" ref="X2600">index('Query Tool'!B:B,match(D2600,'Query Tool'!C:C,0))</f>
        <v>1</v>
      </c>
      <c r="Y2600" s="161" t="str">
        <f t="shared" si="6"/>
        <v>thomptr01,2018-19</v>
      </c>
      <c r="Z2600" s="168">
        <f t="array" ref="Z2600">iferror(index(I:I,match($A2600&amp;","&amp;index('Year Conversion'!$A:$A,match($C2600,'Year Conversion'!$B:$B,0)),$Y:$Y,0))-I2600,"")</f>
        <v>1</v>
      </c>
      <c r="AA2600" s="168">
        <f t="array" ref="AA2600">iferror(index(J:J,match($A2600&amp;","&amp;index('Year Conversion'!$A:$A,match($C2600,'Year Conversion'!$B:$B,0)),$Y:$Y,0))-J2600,"")</f>
        <v>-0.6130014869</v>
      </c>
      <c r="AB2600" s="168">
        <f t="array" ref="AB2600">iferror(index(K:K,match($A2600&amp;","&amp;index('Year Conversion'!$A:$A,match($C2600,'Year Conversion'!$B:$B,0)),$Y:$Y,0))-K2600,"")</f>
        <v>-0.4043672906</v>
      </c>
      <c r="AC2600" s="168" t="str">
        <f t="shared" si="7"/>
        <v>CLE,2018-19</v>
      </c>
    </row>
    <row r="2601">
      <c r="A2601" s="161" t="str">
        <f>IFERROR(__xludf.DUMMYFUNCTION("""COMPUTED_VALUE"""),"valanjo01")</f>
        <v>valanjo01</v>
      </c>
      <c r="B2601" s="161" t="str">
        <f>IFERROR(__xludf.DUMMYFUNCTION("""COMPUTED_VALUE"""),"Jonas Valanciunas")</f>
        <v>Jonas Valanciunas</v>
      </c>
      <c r="C2601" s="162" t="str">
        <f>IFERROR(__xludf.DUMMYFUNCTION("""COMPUTED_VALUE"""),"2018-19")</f>
        <v>2018-19</v>
      </c>
      <c r="D2601" s="163" t="str">
        <f>IFERROR(__xludf.DUMMYFUNCTION("""COMPUTED_VALUE"""),"TOT")</f>
        <v>TOT</v>
      </c>
      <c r="E2601" s="164" t="str">
        <f>IFERROR(__xludf.DUMMYFUNCTION("""COMPUTED_VALUE"""),"Post Scorer")</f>
        <v>Post Scorer</v>
      </c>
      <c r="F2601" s="164">
        <f>IFERROR(__xludf.DUMMYFUNCTION("""COMPUTED_VALUE"""),1091.17333333333)</f>
        <v>1091.173333</v>
      </c>
      <c r="G2601" s="163">
        <f>IFERROR(__xludf.DUMMYFUNCTION("""COMPUTED_VALUE"""),49.0)</f>
        <v>49</v>
      </c>
      <c r="H2601" s="163" t="str">
        <f>IFERROR(__xludf.DUMMYFUNCTION("""COMPUTED_VALUE"""),"C")</f>
        <v>C</v>
      </c>
      <c r="I2601" s="163">
        <f>IFERROR(__xludf.DUMMYFUNCTION("""COMPUTED_VALUE"""),26.0)</f>
        <v>26</v>
      </c>
      <c r="J2601" s="165">
        <f>IFERROR(__xludf.DUMMYFUNCTION("""COMPUTED_VALUE"""),2.29089478149596)</f>
        <v>2.290894781</v>
      </c>
      <c r="K2601" s="165">
        <f>IFERROR(__xludf.DUMMYFUNCTION("""COMPUTED_VALUE"""),1.41185168387529)</f>
        <v>1.411851684</v>
      </c>
      <c r="L2601" s="165">
        <f>IFERROR(__xludf.DUMMYFUNCTION("""COMPUTED_VALUE"""),0.879043097620678)</f>
        <v>0.8790430976</v>
      </c>
      <c r="M2601" s="166">
        <f t="shared" si="2"/>
        <v>3.3553597</v>
      </c>
      <c r="N2601" s="167">
        <f t="shared" si="3"/>
        <v>22.26884354</v>
      </c>
      <c r="O2601" s="163">
        <f t="shared" ref="O2601:Q2601" si="2605">rank(I2601,I:I)</f>
        <v>1665</v>
      </c>
      <c r="P2601" s="163">
        <f t="shared" si="2605"/>
        <v>260</v>
      </c>
      <c r="Q2601" s="163">
        <f t="shared" si="2605"/>
        <v>348</v>
      </c>
      <c r="R2601" s="163">
        <f>IFERROR(__xludf.DUMMYFUNCTION("RANK(M2601,filter(M:M,C:C=C2601))"),103.0)</f>
        <v>103</v>
      </c>
      <c r="S2601" s="161" t="b">
        <f t="shared" si="5"/>
        <v>0</v>
      </c>
      <c r="T2601" s="161" t="b">
        <f t="array" ref="T2601">index('Query Tool'!B:B,match(H2601,'Query Tool'!C:C,0))</f>
        <v>1</v>
      </c>
      <c r="U2601" s="161" t="b">
        <f t="array" ref="U2601">index('Query Tool'!B:B,match(C2601,'Query Tool'!C:C,0))</f>
        <v>0</v>
      </c>
      <c r="V2601" s="161" t="b">
        <f>F2601&gt;='Query Tool'!C$32</f>
        <v>1</v>
      </c>
      <c r="W2601" s="161" t="b">
        <f t="array" ref="W2601">index(Dropdowns!B:B,match(I2601,Dropdowns!A:A,0))</f>
        <v>1</v>
      </c>
      <c r="X2601" s="161" t="b">
        <f t="array" ref="X2601">index('Query Tool'!B:B,match(D2601,'Query Tool'!C:C,0))</f>
        <v>1</v>
      </c>
      <c r="Y2601" s="161" t="str">
        <f t="shared" si="6"/>
        <v>valanjo01,2018-19</v>
      </c>
      <c r="Z2601" s="168">
        <f t="array" ref="Z2601">iferror(index(I:I,match($A2601&amp;","&amp;index('Year Conversion'!$A:$A,match($C2601,'Year Conversion'!$B:$B,0)),$Y:$Y,0))-I2601,"")</f>
        <v>1</v>
      </c>
      <c r="AA2601" s="168">
        <f t="array" ref="AA2601">iferror(index(J:J,match($A2601&amp;","&amp;index('Year Conversion'!$A:$A,match($C2601,'Year Conversion'!$B:$B,0)),$Y:$Y,0))-J2601,"")</f>
        <v>-0.6124013979</v>
      </c>
      <c r="AB2601" s="168">
        <f t="array" ref="AB2601">iferror(index(K:K,match($A2601&amp;","&amp;index('Year Conversion'!$A:$A,match($C2601,'Year Conversion'!$B:$B,0)),$Y:$Y,0))-K2601,"")</f>
        <v>-1.617856783</v>
      </c>
      <c r="AC2601" s="168" t="str">
        <f t="shared" si="7"/>
        <v>TOT,2018-19</v>
      </c>
    </row>
    <row r="2602">
      <c r="A2602" s="161" t="str">
        <f>IFERROR(__xludf.DUMMYFUNCTION("""COMPUTED_VALUE"""),"biyombi01")</f>
        <v>biyombi01</v>
      </c>
      <c r="B2602" s="161" t="str">
        <f>IFERROR(__xludf.DUMMYFUNCTION("""COMPUTED_VALUE"""),"Bismack Biyombo")</f>
        <v>Bismack Biyombo</v>
      </c>
      <c r="C2602" s="162" t="str">
        <f>IFERROR(__xludf.DUMMYFUNCTION("""COMPUTED_VALUE"""),"2018-19")</f>
        <v>2018-19</v>
      </c>
      <c r="D2602" s="163" t="str">
        <f>IFERROR(__xludf.DUMMYFUNCTION("""COMPUTED_VALUE"""),"CHO")</f>
        <v>CHO</v>
      </c>
      <c r="E2602" s="164" t="str">
        <f>IFERROR(__xludf.DUMMYFUNCTION("""COMPUTED_VALUE"""),"Roll + Cut Big")</f>
        <v>Roll + Cut Big</v>
      </c>
      <c r="F2602" s="164">
        <f>IFERROR(__xludf.DUMMYFUNCTION("""COMPUTED_VALUE"""),782.441666666667)</f>
        <v>782.4416667</v>
      </c>
      <c r="G2602" s="163">
        <f>IFERROR(__xludf.DUMMYFUNCTION("""COMPUTED_VALUE"""),54.0)</f>
        <v>54</v>
      </c>
      <c r="H2602" s="163" t="str">
        <f>IFERROR(__xludf.DUMMYFUNCTION("""COMPUTED_VALUE"""),"C")</f>
        <v>C</v>
      </c>
      <c r="I2602" s="163">
        <f>IFERROR(__xludf.DUMMYFUNCTION("""COMPUTED_VALUE"""),26.0)</f>
        <v>26</v>
      </c>
      <c r="J2602" s="165">
        <f>IFERROR(__xludf.DUMMYFUNCTION("""COMPUTED_VALUE"""),-1.70057487535942)</f>
        <v>-1.700574875</v>
      </c>
      <c r="K2602" s="165">
        <f>IFERROR(__xludf.DUMMYFUNCTION("""COMPUTED_VALUE"""),-2.35181088987328)</f>
        <v>-2.35181089</v>
      </c>
      <c r="L2602" s="165">
        <f>IFERROR(__xludf.DUMMYFUNCTION("""COMPUTED_VALUE"""),0.651236014513862)</f>
        <v>0.6512360145</v>
      </c>
      <c r="M2602" s="166">
        <f t="shared" si="2"/>
        <v>0.3127735449</v>
      </c>
      <c r="N2602" s="167">
        <f t="shared" si="3"/>
        <v>14.48966049</v>
      </c>
      <c r="O2602" s="163">
        <f t="shared" ref="O2602:Q2602" si="2606">rank(I2602,I:I)</f>
        <v>1665</v>
      </c>
      <c r="P2602" s="163">
        <f t="shared" si="2606"/>
        <v>3241</v>
      </c>
      <c r="Q2602" s="163">
        <f t="shared" si="2606"/>
        <v>3851</v>
      </c>
      <c r="R2602" s="163">
        <f>IFERROR(__xludf.DUMMYFUNCTION("RANK(M2602,filter(M:M,C:C=C2602))"),318.0)</f>
        <v>318</v>
      </c>
      <c r="S2602" s="161" t="b">
        <f t="shared" si="5"/>
        <v>0</v>
      </c>
      <c r="T2602" s="161" t="b">
        <f t="array" ref="T2602">index('Query Tool'!B:B,match(H2602,'Query Tool'!C:C,0))</f>
        <v>1</v>
      </c>
      <c r="U2602" s="161" t="b">
        <f t="array" ref="U2602">index('Query Tool'!B:B,match(C2602,'Query Tool'!C:C,0))</f>
        <v>0</v>
      </c>
      <c r="V2602" s="161" t="b">
        <f>F2602&gt;='Query Tool'!C$32</f>
        <v>1</v>
      </c>
      <c r="W2602" s="161" t="b">
        <f t="array" ref="W2602">index(Dropdowns!B:B,match(I2602,Dropdowns!A:A,0))</f>
        <v>1</v>
      </c>
      <c r="X2602" s="161" t="b">
        <f t="array" ref="X2602">index('Query Tool'!B:B,match(D2602,'Query Tool'!C:C,0))</f>
        <v>1</v>
      </c>
      <c r="Y2602" s="161" t="str">
        <f t="shared" si="6"/>
        <v>biyombi01,2018-19</v>
      </c>
      <c r="Z2602" s="168">
        <f t="array" ref="Z2602">iferror(index(I:I,match($A2602&amp;","&amp;index('Year Conversion'!$A:$A,match($C2602,'Year Conversion'!$B:$B,0)),$Y:$Y,0))-I2602,"")</f>
        <v>1</v>
      </c>
      <c r="AA2602" s="168">
        <f t="array" ref="AA2602">iferror(index(J:J,match($A2602&amp;","&amp;index('Year Conversion'!$A:$A,match($C2602,'Year Conversion'!$B:$B,0)),$Y:$Y,0))-J2602,"")</f>
        <v>0.7953681978</v>
      </c>
      <c r="AB2602" s="168">
        <f t="array" ref="AB2602">iferror(index(K:K,match($A2602&amp;","&amp;index('Year Conversion'!$A:$A,match($C2602,'Year Conversion'!$B:$B,0)),$Y:$Y,0))-K2602,"")</f>
        <v>1.001319825</v>
      </c>
      <c r="AC2602" s="168" t="str">
        <f t="shared" si="7"/>
        <v>CHO,2018-19</v>
      </c>
    </row>
    <row r="2603">
      <c r="A2603" s="161" t="str">
        <f>IFERROR(__xludf.DUMMYFUNCTION("""COMPUTED_VALUE"""),"knighbr03")</f>
        <v>knighbr03</v>
      </c>
      <c r="B2603" s="161" t="str">
        <f>IFERROR(__xludf.DUMMYFUNCTION("""COMPUTED_VALUE"""),"Brandon Knight")</f>
        <v>Brandon Knight</v>
      </c>
      <c r="C2603" s="162" t="str">
        <f>IFERROR(__xludf.DUMMYFUNCTION("""COMPUTED_VALUE"""),"2018-19")</f>
        <v>2018-19</v>
      </c>
      <c r="D2603" s="163" t="str">
        <f>IFERROR(__xludf.DUMMYFUNCTION("""COMPUTED_VALUE"""),"TOT")</f>
        <v>TOT</v>
      </c>
      <c r="E2603" s="164" t="str">
        <f>IFERROR(__xludf.DUMMYFUNCTION("""COMPUTED_VALUE"""),"Secondary Ball Handler")</f>
        <v>Secondary Ball Handler</v>
      </c>
      <c r="F2603" s="164">
        <f>IFERROR(__xludf.DUMMYFUNCTION("""COMPUTED_VALUE"""),736.545)</f>
        <v>736.545</v>
      </c>
      <c r="G2603" s="163">
        <f>IFERROR(__xludf.DUMMYFUNCTION("""COMPUTED_VALUE"""),39.0)</f>
        <v>39</v>
      </c>
      <c r="H2603" s="163" t="str">
        <f>IFERROR(__xludf.DUMMYFUNCTION("""COMPUTED_VALUE"""),"PG")</f>
        <v>PG</v>
      </c>
      <c r="I2603" s="163">
        <f>IFERROR(__xludf.DUMMYFUNCTION("""COMPUTED_VALUE"""),27.0)</f>
        <v>27</v>
      </c>
      <c r="J2603" s="165">
        <f>IFERROR(__xludf.DUMMYFUNCTION("""COMPUTED_VALUE"""),-1.80778086653448)</f>
        <v>-1.807780867</v>
      </c>
      <c r="K2603" s="165">
        <f>IFERROR(__xludf.DUMMYFUNCTION("""COMPUTED_VALUE"""),-1.2247779477836)</f>
        <v>-1.224777948</v>
      </c>
      <c r="L2603" s="165">
        <f>IFERROR(__xludf.DUMMYFUNCTION("""COMPUTED_VALUE"""),-0.583002918750883)</f>
        <v>-0.5830029188</v>
      </c>
      <c r="M2603" s="166">
        <f t="shared" si="2"/>
        <v>0.2418685092</v>
      </c>
      <c r="N2603" s="167">
        <f t="shared" si="3"/>
        <v>18.88576923</v>
      </c>
      <c r="O2603" s="163">
        <f t="shared" ref="O2603:Q2603" si="2607">rank(I2603,I:I)</f>
        <v>1366</v>
      </c>
      <c r="P2603" s="163">
        <f t="shared" si="2607"/>
        <v>3337</v>
      </c>
      <c r="Q2603" s="163">
        <f t="shared" si="2607"/>
        <v>3056</v>
      </c>
      <c r="R2603" s="163">
        <f>IFERROR(__xludf.DUMMYFUNCTION("RANK(M2603,filter(M:M,C:C=C2603))"),334.0)</f>
        <v>334</v>
      </c>
      <c r="S2603" s="161" t="b">
        <f t="shared" si="5"/>
        <v>0</v>
      </c>
      <c r="T2603" s="161" t="b">
        <f t="array" ref="T2603">index('Query Tool'!B:B,match(H2603,'Query Tool'!C:C,0))</f>
        <v>1</v>
      </c>
      <c r="U2603" s="161" t="b">
        <f t="array" ref="U2603">index('Query Tool'!B:B,match(C2603,'Query Tool'!C:C,0))</f>
        <v>0</v>
      </c>
      <c r="V2603" s="161" t="b">
        <f>F2603&gt;='Query Tool'!C$32</f>
        <v>1</v>
      </c>
      <c r="W2603" s="161" t="b">
        <f t="array" ref="W2603">index(Dropdowns!B:B,match(I2603,Dropdowns!A:A,0))</f>
        <v>1</v>
      </c>
      <c r="X2603" s="161" t="b">
        <f t="array" ref="X2603">index('Query Tool'!B:B,match(D2603,'Query Tool'!C:C,0))</f>
        <v>1</v>
      </c>
      <c r="Y2603" s="161" t="str">
        <f t="shared" si="6"/>
        <v>knighbr03,2018-19</v>
      </c>
      <c r="Z2603" s="168">
        <f t="array" ref="Z2603">iferror(index(I:I,match($A2603&amp;","&amp;index('Year Conversion'!$A:$A,match($C2603,'Year Conversion'!$B:$B,0)),$Y:$Y,0))-I2603,"")</f>
        <v>1</v>
      </c>
      <c r="AA2603" s="168">
        <f t="array" ref="AA2603">iferror(index(J:J,match($A2603&amp;","&amp;index('Year Conversion'!$A:$A,match($C2603,'Year Conversion'!$B:$B,0)),$Y:$Y,0))-J2603,"")</f>
        <v>0.5986384654</v>
      </c>
      <c r="AB2603" s="168">
        <f t="array" ref="AB2603">iferror(index(K:K,match($A2603&amp;","&amp;index('Year Conversion'!$A:$A,match($C2603,'Year Conversion'!$B:$B,0)),$Y:$Y,0))-K2603,"")</f>
        <v>1.289680411</v>
      </c>
      <c r="AC2603" s="168" t="str">
        <f t="shared" si="7"/>
        <v>TOT,2018-19</v>
      </c>
    </row>
    <row r="2604">
      <c r="A2604" s="161" t="str">
        <f>IFERROR(__xludf.DUMMYFUNCTION("""COMPUTED_VALUE"""),"walkeke02")</f>
        <v>walkeke02</v>
      </c>
      <c r="B2604" s="161" t="str">
        <f>IFERROR(__xludf.DUMMYFUNCTION("""COMPUTED_VALUE"""),"Kemba Walker")</f>
        <v>Kemba Walker</v>
      </c>
      <c r="C2604" s="162" t="str">
        <f>IFERROR(__xludf.DUMMYFUNCTION("""COMPUTED_VALUE"""),"2018-19")</f>
        <v>2018-19</v>
      </c>
      <c r="D2604" s="163" t="str">
        <f>IFERROR(__xludf.DUMMYFUNCTION("""COMPUTED_VALUE"""),"CHO")</f>
        <v>CHO</v>
      </c>
      <c r="E2604" s="164" t="str">
        <f>IFERROR(__xludf.DUMMYFUNCTION("""COMPUTED_VALUE"""),"Primary Ball Handler")</f>
        <v>Primary Ball Handler</v>
      </c>
      <c r="F2604" s="164">
        <f>IFERROR(__xludf.DUMMYFUNCTION("""COMPUTED_VALUE"""),2862.605)</f>
        <v>2862.605</v>
      </c>
      <c r="G2604" s="163">
        <f>IFERROR(__xludf.DUMMYFUNCTION("""COMPUTED_VALUE"""),82.0)</f>
        <v>82</v>
      </c>
      <c r="H2604" s="163" t="str">
        <f>IFERROR(__xludf.DUMMYFUNCTION("""COMPUTED_VALUE"""),"PG")</f>
        <v>PG</v>
      </c>
      <c r="I2604" s="163">
        <f>IFERROR(__xludf.DUMMYFUNCTION("""COMPUTED_VALUE"""),28.0)</f>
        <v>28</v>
      </c>
      <c r="J2604" s="165">
        <f>IFERROR(__xludf.DUMMYFUNCTION("""COMPUTED_VALUE"""),2.5046221435247)</f>
        <v>2.504622144</v>
      </c>
      <c r="K2604" s="165">
        <f>IFERROR(__xludf.DUMMYFUNCTION("""COMPUTED_VALUE"""),3.86238747266994)</f>
        <v>3.862387473</v>
      </c>
      <c r="L2604" s="165">
        <f>IFERROR(__xludf.DUMMYFUNCTION("""COMPUTED_VALUE"""),-1.35776532914524)</f>
        <v>-1.357765329</v>
      </c>
      <c r="M2604" s="166">
        <f t="shared" si="2"/>
        <v>9.205261942</v>
      </c>
      <c r="N2604" s="167">
        <f t="shared" si="3"/>
        <v>34.90981707</v>
      </c>
      <c r="O2604" s="163">
        <f t="shared" ref="O2604:Q2604" si="2608">rank(I2604,I:I)</f>
        <v>1090</v>
      </c>
      <c r="P2604" s="163">
        <f t="shared" si="2608"/>
        <v>223</v>
      </c>
      <c r="Q2604" s="163">
        <f t="shared" si="2608"/>
        <v>67</v>
      </c>
      <c r="R2604" s="163">
        <f>IFERROR(__xludf.DUMMYFUNCTION("RANK(M2604,filter(M:M,C:C=C2604))"),17.0)</f>
        <v>17</v>
      </c>
      <c r="S2604" s="161" t="b">
        <f t="shared" si="5"/>
        <v>0</v>
      </c>
      <c r="T2604" s="161" t="b">
        <f t="array" ref="T2604">index('Query Tool'!B:B,match(H2604,'Query Tool'!C:C,0))</f>
        <v>1</v>
      </c>
      <c r="U2604" s="161" t="b">
        <f t="array" ref="U2604">index('Query Tool'!B:B,match(C2604,'Query Tool'!C:C,0))</f>
        <v>0</v>
      </c>
      <c r="V2604" s="161" t="b">
        <f>F2604&gt;='Query Tool'!C$32</f>
        <v>1</v>
      </c>
      <c r="W2604" s="161" t="b">
        <f t="array" ref="W2604">index(Dropdowns!B:B,match(I2604,Dropdowns!A:A,0))</f>
        <v>1</v>
      </c>
      <c r="X2604" s="161" t="b">
        <f t="array" ref="X2604">index('Query Tool'!B:B,match(D2604,'Query Tool'!C:C,0))</f>
        <v>1</v>
      </c>
      <c r="Y2604" s="161" t="str">
        <f t="shared" si="6"/>
        <v>walkeke02,2018-19</v>
      </c>
      <c r="Z2604" s="168">
        <f t="array" ref="Z2604">iferror(index(I:I,match($A2604&amp;","&amp;index('Year Conversion'!$A:$A,match($C2604,'Year Conversion'!$B:$B,0)),$Y:$Y,0))-I2604,"")</f>
        <v>1</v>
      </c>
      <c r="AA2604" s="168">
        <f t="array" ref="AA2604">iferror(index(J:J,match($A2604&amp;","&amp;index('Year Conversion'!$A:$A,match($C2604,'Year Conversion'!$B:$B,0)),$Y:$Y,0))-J2604,"")</f>
        <v>0.08199292168</v>
      </c>
      <c r="AB2604" s="168">
        <f t="array" ref="AB2604">iferror(index(K:K,match($A2604&amp;","&amp;index('Year Conversion'!$A:$A,match($C2604,'Year Conversion'!$B:$B,0)),$Y:$Y,0))-K2604,"")</f>
        <v>-1.019511559</v>
      </c>
      <c r="AC2604" s="168" t="str">
        <f t="shared" si="7"/>
        <v>CHO,2018-19</v>
      </c>
    </row>
    <row r="2605">
      <c r="A2605" s="161" t="str">
        <f>IFERROR(__xludf.DUMMYFUNCTION("""COMPUTED_VALUE"""),"fredeji01")</f>
        <v>fredeji01</v>
      </c>
      <c r="B2605" s="161" t="str">
        <f>IFERROR(__xludf.DUMMYFUNCTION("""COMPUTED_VALUE"""),"Jimmer Fredette")</f>
        <v>Jimmer Fredette</v>
      </c>
      <c r="C2605" s="162" t="str">
        <f>IFERROR(__xludf.DUMMYFUNCTION("""COMPUTED_VALUE"""),"2018-19")</f>
        <v>2018-19</v>
      </c>
      <c r="D2605" s="163" t="str">
        <f>IFERROR(__xludf.DUMMYFUNCTION("""COMPUTED_VALUE"""),"PHO")</f>
        <v>PHO</v>
      </c>
      <c r="E2605" s="164" t="str">
        <f>IFERROR(__xludf.DUMMYFUNCTION("""COMPUTED_VALUE"""),"Secondary Ball Handler")</f>
        <v>Secondary Ball Handler</v>
      </c>
      <c r="F2605" s="164">
        <f>IFERROR(__xludf.DUMMYFUNCTION("""COMPUTED_VALUE"""),64.7666666666668)</f>
        <v>64.76666667</v>
      </c>
      <c r="G2605" s="163">
        <f>IFERROR(__xludf.DUMMYFUNCTION("""COMPUTED_VALUE"""),6.0)</f>
        <v>6</v>
      </c>
      <c r="H2605" s="163" t="str">
        <f>IFERROR(__xludf.DUMMYFUNCTION("""COMPUTED_VALUE"""),"SG")</f>
        <v>SG</v>
      </c>
      <c r="I2605" s="163">
        <f>IFERROR(__xludf.DUMMYFUNCTION("""COMPUTED_VALUE"""),29.0)</f>
        <v>29</v>
      </c>
      <c r="J2605" s="165">
        <f>IFERROR(__xludf.DUMMYFUNCTION("""COMPUTED_VALUE"""),-0.486217370790014)</f>
        <v>-0.4862173708</v>
      </c>
      <c r="K2605" s="165">
        <f>IFERROR(__xludf.DUMMYFUNCTION("""COMPUTED_VALUE"""),-0.0394321862450108)</f>
        <v>-0.03943218625</v>
      </c>
      <c r="L2605" s="165">
        <f>IFERROR(__xludf.DUMMYFUNCTION("""COMPUTED_VALUE"""),-0.446785184545003)</f>
        <v>-0.4467851845</v>
      </c>
      <c r="M2605" s="166">
        <f t="shared" si="2"/>
        <v>0.07862488615</v>
      </c>
      <c r="N2605" s="167">
        <f t="shared" si="3"/>
        <v>10.79444444</v>
      </c>
      <c r="O2605" s="163">
        <f t="shared" ref="O2605:Q2605" si="2609">rank(I2605,I:I)</f>
        <v>855</v>
      </c>
      <c r="P2605" s="163">
        <f t="shared" si="2609"/>
        <v>1831</v>
      </c>
      <c r="Q2605" s="163">
        <f t="shared" si="2609"/>
        <v>1253</v>
      </c>
      <c r="R2605" s="163">
        <f>IFERROR(__xludf.DUMMYFUNCTION("RANK(M2605,filter(M:M,C:C=C2605))"),401.0)</f>
        <v>401</v>
      </c>
      <c r="S2605" s="161" t="b">
        <f t="shared" si="5"/>
        <v>0</v>
      </c>
      <c r="T2605" s="161" t="b">
        <f t="array" ref="T2605">index('Query Tool'!B:B,match(H2605,'Query Tool'!C:C,0))</f>
        <v>1</v>
      </c>
      <c r="U2605" s="161" t="b">
        <f t="array" ref="U2605">index('Query Tool'!B:B,match(C2605,'Query Tool'!C:C,0))</f>
        <v>0</v>
      </c>
      <c r="V2605" s="161" t="b">
        <f>F2605&gt;='Query Tool'!C$32</f>
        <v>0</v>
      </c>
      <c r="W2605" s="161" t="b">
        <f t="array" ref="W2605">index(Dropdowns!B:B,match(I2605,Dropdowns!A:A,0))</f>
        <v>1</v>
      </c>
      <c r="X2605" s="161" t="b">
        <f t="array" ref="X2605">index('Query Tool'!B:B,match(D2605,'Query Tool'!C:C,0))</f>
        <v>1</v>
      </c>
      <c r="Y2605" s="161" t="str">
        <f t="shared" si="6"/>
        <v>fredeji01,2018-19</v>
      </c>
      <c r="Z2605" s="168" t="str">
        <f t="array" ref="Z2605">iferror(index(I:I,match($A2605&amp;","&amp;index('Year Conversion'!$A:$A,match($C2605,'Year Conversion'!$B:$B,0)),$Y:$Y,0))-I2605,"")</f>
        <v/>
      </c>
      <c r="AA2605" s="168" t="str">
        <f t="array" ref="AA2605">iferror(index(J:J,match($A2605&amp;","&amp;index('Year Conversion'!$A:$A,match($C2605,'Year Conversion'!$B:$B,0)),$Y:$Y,0))-J2605,"")</f>
        <v/>
      </c>
      <c r="AB2605" s="168" t="str">
        <f t="array" ref="AB2605">iferror(index(K:K,match($A2605&amp;","&amp;index('Year Conversion'!$A:$A,match($C2605,'Year Conversion'!$B:$B,0)),$Y:$Y,0))-K2605,"")</f>
        <v/>
      </c>
      <c r="AC2605" s="168" t="str">
        <f t="shared" si="7"/>
        <v>PHO,2018-19</v>
      </c>
    </row>
    <row r="2606">
      <c r="A2606" s="161" t="str">
        <f>IFERROR(__xludf.DUMMYFUNCTION("""COMPUTED_VALUE"""),"thompkl01")</f>
        <v>thompkl01</v>
      </c>
      <c r="B2606" s="161" t="str">
        <f>IFERROR(__xludf.DUMMYFUNCTION("""COMPUTED_VALUE"""),"Klay Thompson")</f>
        <v>Klay Thompson</v>
      </c>
      <c r="C2606" s="162" t="str">
        <f>IFERROR(__xludf.DUMMYFUNCTION("""COMPUTED_VALUE"""),"2018-19")</f>
        <v>2018-19</v>
      </c>
      <c r="D2606" s="163" t="str">
        <f>IFERROR(__xludf.DUMMYFUNCTION("""COMPUTED_VALUE"""),"GSW")</f>
        <v>GSW</v>
      </c>
      <c r="E2606" s="164" t="str">
        <f>IFERROR(__xludf.DUMMYFUNCTION("""COMPUTED_VALUE"""),"Off Screen Shooter")</f>
        <v>Off Screen Shooter</v>
      </c>
      <c r="F2606" s="164">
        <f>IFERROR(__xludf.DUMMYFUNCTION("""COMPUTED_VALUE"""),2652.33333333333)</f>
        <v>2652.333333</v>
      </c>
      <c r="G2606" s="163">
        <f>IFERROR(__xludf.DUMMYFUNCTION("""COMPUTED_VALUE"""),78.0)</f>
        <v>78</v>
      </c>
      <c r="H2606" s="163" t="str">
        <f>IFERROR(__xludf.DUMMYFUNCTION("""COMPUTED_VALUE"""),"SG")</f>
        <v>SG</v>
      </c>
      <c r="I2606" s="163">
        <f>IFERROR(__xludf.DUMMYFUNCTION("""COMPUTED_VALUE"""),28.0)</f>
        <v>28</v>
      </c>
      <c r="J2606" s="165">
        <f>IFERROR(__xludf.DUMMYFUNCTION("""COMPUTED_VALUE"""),0.550769856569048)</f>
        <v>0.5507698566</v>
      </c>
      <c r="K2606" s="165">
        <f>IFERROR(__xludf.DUMMYFUNCTION("""COMPUTED_VALUE"""),1.10989544521346)</f>
        <v>1.109895445</v>
      </c>
      <c r="L2606" s="165">
        <f>IFERROR(__xludf.DUMMYFUNCTION("""COMPUTED_VALUE"""),-0.559125588644416)</f>
        <v>-0.5591255886</v>
      </c>
      <c r="M2606" s="166">
        <f t="shared" si="2"/>
        <v>5.073472574</v>
      </c>
      <c r="N2606" s="167">
        <f t="shared" si="3"/>
        <v>34.0042735</v>
      </c>
      <c r="O2606" s="163">
        <f t="shared" ref="O2606:Q2606" si="2610">rank(I2606,I:I)</f>
        <v>1090</v>
      </c>
      <c r="P2606" s="163">
        <f t="shared" si="2610"/>
        <v>869</v>
      </c>
      <c r="Q2606" s="163">
        <f t="shared" si="2610"/>
        <v>446</v>
      </c>
      <c r="R2606" s="163">
        <f>IFERROR(__xludf.DUMMYFUNCTION("RANK(M2606,filter(M:M,C:C=C2606))"),58.0)</f>
        <v>58</v>
      </c>
      <c r="S2606" s="161" t="b">
        <f t="shared" si="5"/>
        <v>0</v>
      </c>
      <c r="T2606" s="161" t="b">
        <f t="array" ref="T2606">index('Query Tool'!B:B,match(H2606,'Query Tool'!C:C,0))</f>
        <v>1</v>
      </c>
      <c r="U2606" s="161" t="b">
        <f t="array" ref="U2606">index('Query Tool'!B:B,match(C2606,'Query Tool'!C:C,0))</f>
        <v>0</v>
      </c>
      <c r="V2606" s="161" t="b">
        <f>F2606&gt;='Query Tool'!C$32</f>
        <v>1</v>
      </c>
      <c r="W2606" s="161" t="b">
        <f t="array" ref="W2606">index(Dropdowns!B:B,match(I2606,Dropdowns!A:A,0))</f>
        <v>1</v>
      </c>
      <c r="X2606" s="161" t="b">
        <f t="array" ref="X2606">index('Query Tool'!B:B,match(D2606,'Query Tool'!C:C,0))</f>
        <v>1</v>
      </c>
      <c r="Y2606" s="161" t="str">
        <f t="shared" si="6"/>
        <v>thompkl01,2018-19</v>
      </c>
      <c r="Z2606" s="168" t="str">
        <f t="array" ref="Z2606">iferror(index(I:I,match($A2606&amp;","&amp;index('Year Conversion'!$A:$A,match($C2606,'Year Conversion'!$B:$B,0)),$Y:$Y,0))-I2606,"")</f>
        <v/>
      </c>
      <c r="AA2606" s="168" t="str">
        <f t="array" ref="AA2606">iferror(index(J:J,match($A2606&amp;","&amp;index('Year Conversion'!$A:$A,match($C2606,'Year Conversion'!$B:$B,0)),$Y:$Y,0))-J2606,"")</f>
        <v/>
      </c>
      <c r="AB2606" s="168" t="str">
        <f t="array" ref="AB2606">iferror(index(K:K,match($A2606&amp;","&amp;index('Year Conversion'!$A:$A,match($C2606,'Year Conversion'!$B:$B,0)),$Y:$Y,0))-K2606,"")</f>
        <v/>
      </c>
      <c r="AC2606" s="168" t="str">
        <f t="shared" si="7"/>
        <v>GSW,2018-19</v>
      </c>
    </row>
    <row r="2607">
      <c r="A2607" s="161" t="str">
        <f>IFERROR(__xludf.DUMMYFUNCTION("""COMPUTED_VALUE"""),"burksal01")</f>
        <v>burksal01</v>
      </c>
      <c r="B2607" s="161" t="str">
        <f>IFERROR(__xludf.DUMMYFUNCTION("""COMPUTED_VALUE"""),"Alec Burks")</f>
        <v>Alec Burks</v>
      </c>
      <c r="C2607" s="162" t="str">
        <f>IFERROR(__xludf.DUMMYFUNCTION("""COMPUTED_VALUE"""),"2018-19")</f>
        <v>2018-19</v>
      </c>
      <c r="D2607" s="163" t="str">
        <f>IFERROR(__xludf.DUMMYFUNCTION("""COMPUTED_VALUE"""),"TOT")</f>
        <v>TOT</v>
      </c>
      <c r="E2607" s="164" t="str">
        <f>IFERROR(__xludf.DUMMYFUNCTION("""COMPUTED_VALUE"""),"Secondary Ball Handler")</f>
        <v>Secondary Ball Handler</v>
      </c>
      <c r="F2607" s="164">
        <f>IFERROR(__xludf.DUMMYFUNCTION("""COMPUTED_VALUE"""),1374.94666666667)</f>
        <v>1374.946667</v>
      </c>
      <c r="G2607" s="163">
        <f>IFERROR(__xludf.DUMMYFUNCTION("""COMPUTED_VALUE"""),64.0)</f>
        <v>64</v>
      </c>
      <c r="H2607" s="163" t="str">
        <f>IFERROR(__xludf.DUMMYFUNCTION("""COMPUTED_VALUE"""),"SG")</f>
        <v>SG</v>
      </c>
      <c r="I2607" s="163">
        <f>IFERROR(__xludf.DUMMYFUNCTION("""COMPUTED_VALUE"""),27.0)</f>
        <v>27</v>
      </c>
      <c r="J2607" s="165">
        <f>IFERROR(__xludf.DUMMYFUNCTION("""COMPUTED_VALUE"""),-1.56601091580529)</f>
        <v>-1.566010916</v>
      </c>
      <c r="K2607" s="165">
        <f>IFERROR(__xludf.DUMMYFUNCTION("""COMPUTED_VALUE"""),-0.604889119183177)</f>
        <v>-0.6048891192</v>
      </c>
      <c r="L2607" s="165">
        <f>IFERROR(__xludf.DUMMYFUNCTION("""COMPUTED_VALUE"""),-0.961121796622113)</f>
        <v>-0.9611217966</v>
      </c>
      <c r="M2607" s="166">
        <f t="shared" si="2"/>
        <v>0.6729818314</v>
      </c>
      <c r="N2607" s="167">
        <f t="shared" si="3"/>
        <v>21.48354167</v>
      </c>
      <c r="O2607" s="163">
        <f t="shared" ref="O2607:Q2607" si="2611">rank(I2607,I:I)</f>
        <v>1366</v>
      </c>
      <c r="P2607" s="163">
        <f t="shared" si="2611"/>
        <v>3113</v>
      </c>
      <c r="Q2607" s="163">
        <f t="shared" si="2611"/>
        <v>2269</v>
      </c>
      <c r="R2607" s="163">
        <f>IFERROR(__xludf.DUMMYFUNCTION("RANK(M2607,filter(M:M,C:C=C2607))"),261.0)</f>
        <v>261</v>
      </c>
      <c r="S2607" s="161" t="b">
        <f t="shared" si="5"/>
        <v>0</v>
      </c>
      <c r="T2607" s="161" t="b">
        <f t="array" ref="T2607">index('Query Tool'!B:B,match(H2607,'Query Tool'!C:C,0))</f>
        <v>1</v>
      </c>
      <c r="U2607" s="161" t="b">
        <f t="array" ref="U2607">index('Query Tool'!B:B,match(C2607,'Query Tool'!C:C,0))</f>
        <v>0</v>
      </c>
      <c r="V2607" s="161" t="b">
        <f>F2607&gt;='Query Tool'!C$32</f>
        <v>1</v>
      </c>
      <c r="W2607" s="161" t="b">
        <f t="array" ref="W2607">index(Dropdowns!B:B,match(I2607,Dropdowns!A:A,0))</f>
        <v>1</v>
      </c>
      <c r="X2607" s="161" t="b">
        <f t="array" ref="X2607">index('Query Tool'!B:B,match(D2607,'Query Tool'!C:C,0))</f>
        <v>1</v>
      </c>
      <c r="Y2607" s="161" t="str">
        <f t="shared" si="6"/>
        <v>burksal01,2018-19</v>
      </c>
      <c r="Z2607" s="168">
        <f t="array" ref="Z2607">iferror(index(I:I,match($A2607&amp;","&amp;index('Year Conversion'!$A:$A,match($C2607,'Year Conversion'!$B:$B,0)),$Y:$Y,0))-I2607,"")</f>
        <v>1</v>
      </c>
      <c r="AA2607" s="168">
        <f t="array" ref="AA2607">iferror(index(J:J,match($A2607&amp;","&amp;index('Year Conversion'!$A:$A,match($C2607,'Year Conversion'!$B:$B,0)),$Y:$Y,0))-J2607,"")</f>
        <v>0.1513557065</v>
      </c>
      <c r="AB2607" s="168">
        <f t="array" ref="AB2607">iferror(index(K:K,match($A2607&amp;","&amp;index('Year Conversion'!$A:$A,match($C2607,'Year Conversion'!$B:$B,0)),$Y:$Y,0))-K2607,"")</f>
        <v>-0.1687703945</v>
      </c>
      <c r="AC2607" s="168" t="str">
        <f t="shared" si="7"/>
        <v>TOT,2018-19</v>
      </c>
    </row>
    <row r="2608">
      <c r="A2608" s="161" t="str">
        <f>IFERROR(__xludf.DUMMYFUNCTION("""COMPUTED_VALUE"""),"morrima02")</f>
        <v>morrima02</v>
      </c>
      <c r="B2608" s="161" t="str">
        <f>IFERROR(__xludf.DUMMYFUNCTION("""COMPUTED_VALUE"""),"Markieff Morris")</f>
        <v>Markieff Morris</v>
      </c>
      <c r="C2608" s="162" t="str">
        <f>IFERROR(__xludf.DUMMYFUNCTION("""COMPUTED_VALUE"""),"2018-19")</f>
        <v>2018-19</v>
      </c>
      <c r="D2608" s="163" t="str">
        <f>IFERROR(__xludf.DUMMYFUNCTION("""COMPUTED_VALUE"""),"TOT")</f>
        <v>TOT</v>
      </c>
      <c r="E2608" s="164" t="str">
        <f>IFERROR(__xludf.DUMMYFUNCTION("""COMPUTED_VALUE"""),"Versatile Big")</f>
        <v>Versatile Big</v>
      </c>
      <c r="F2608" s="164">
        <f>IFERROR(__xludf.DUMMYFUNCTION("""COMPUTED_VALUE"""),1270.52666666667)</f>
        <v>1270.526667</v>
      </c>
      <c r="G2608" s="163">
        <f>IFERROR(__xludf.DUMMYFUNCTION("""COMPUTED_VALUE"""),58.0)</f>
        <v>58</v>
      </c>
      <c r="H2608" s="163" t="str">
        <f>IFERROR(__xludf.DUMMYFUNCTION("""COMPUTED_VALUE"""),"PF")</f>
        <v>PF</v>
      </c>
      <c r="I2608" s="163">
        <f>IFERROR(__xludf.DUMMYFUNCTION("""COMPUTED_VALUE"""),29.0)</f>
        <v>29</v>
      </c>
      <c r="J2608" s="165">
        <f>IFERROR(__xludf.DUMMYFUNCTION("""COMPUTED_VALUE"""),-2.23196446682492)</f>
        <v>-2.231964467</v>
      </c>
      <c r="K2608" s="165">
        <f>IFERROR(__xludf.DUMMYFUNCTION("""COMPUTED_VALUE"""),-1.19122596457659)</f>
        <v>-1.191225965</v>
      </c>
      <c r="L2608" s="165">
        <f>IFERROR(__xludf.DUMMYFUNCTION("""COMPUTED_VALUE"""),-1.04073850224833)</f>
        <v>-1.040738502</v>
      </c>
      <c r="M2608" s="166">
        <f t="shared" si="2"/>
        <v>0.06000320868</v>
      </c>
      <c r="N2608" s="167">
        <f t="shared" si="3"/>
        <v>21.90563218</v>
      </c>
      <c r="O2608" s="163">
        <f t="shared" ref="O2608:Q2608" si="2612">rank(I2608,I:I)</f>
        <v>855</v>
      </c>
      <c r="P2608" s="163">
        <f t="shared" si="2612"/>
        <v>3620</v>
      </c>
      <c r="Q2608" s="163">
        <f t="shared" si="2612"/>
        <v>3031</v>
      </c>
      <c r="R2608" s="163">
        <f>IFERROR(__xludf.DUMMYFUNCTION("RANK(M2608,filter(M:M,C:C=C2608))"),412.0)</f>
        <v>412</v>
      </c>
      <c r="S2608" s="161" t="b">
        <f t="shared" si="5"/>
        <v>0</v>
      </c>
      <c r="T2608" s="161" t="b">
        <f t="array" ref="T2608">index('Query Tool'!B:B,match(H2608,'Query Tool'!C:C,0))</f>
        <v>1</v>
      </c>
      <c r="U2608" s="161" t="b">
        <f t="array" ref="U2608">index('Query Tool'!B:B,match(C2608,'Query Tool'!C:C,0))</f>
        <v>0</v>
      </c>
      <c r="V2608" s="161" t="b">
        <f>F2608&gt;='Query Tool'!C$32</f>
        <v>1</v>
      </c>
      <c r="W2608" s="161" t="b">
        <f t="array" ref="W2608">index(Dropdowns!B:B,match(I2608,Dropdowns!A:A,0))</f>
        <v>1</v>
      </c>
      <c r="X2608" s="161" t="b">
        <f t="array" ref="X2608">index('Query Tool'!B:B,match(D2608,'Query Tool'!C:C,0))</f>
        <v>1</v>
      </c>
      <c r="Y2608" s="161" t="str">
        <f t="shared" si="6"/>
        <v>morrima02,2018-19</v>
      </c>
      <c r="Z2608" s="168">
        <f t="array" ref="Z2608">iferror(index(I:I,match($A2608&amp;","&amp;index('Year Conversion'!$A:$A,match($C2608,'Year Conversion'!$B:$B,0)),$Y:$Y,0))-I2608,"")</f>
        <v>1</v>
      </c>
      <c r="AA2608" s="168">
        <f t="array" ref="AA2608">iferror(index(J:J,match($A2608&amp;","&amp;index('Year Conversion'!$A:$A,match($C2608,'Year Conversion'!$B:$B,0)),$Y:$Y,0))-J2608,"")</f>
        <v>-0.4188783616</v>
      </c>
      <c r="AB2608" s="168">
        <f t="array" ref="AB2608">iferror(index(K:K,match($A2608&amp;","&amp;index('Year Conversion'!$A:$A,match($C2608,'Year Conversion'!$B:$B,0)),$Y:$Y,0))-K2608,"")</f>
        <v>-0.6079115434</v>
      </c>
      <c r="AC2608" s="168" t="str">
        <f t="shared" si="7"/>
        <v>TOT,2018-19</v>
      </c>
    </row>
    <row r="2609">
      <c r="A2609" s="161" t="str">
        <f>IFERROR(__xludf.DUMMYFUNCTION("""COMPUTED_VALUE"""),"morrima03")</f>
        <v>morrima03</v>
      </c>
      <c r="B2609" s="161" t="str">
        <f>IFERROR(__xludf.DUMMYFUNCTION("""COMPUTED_VALUE"""),"Marcus Morris Sr.")</f>
        <v>Marcus Morris Sr.</v>
      </c>
      <c r="C2609" s="162" t="str">
        <f>IFERROR(__xludf.DUMMYFUNCTION("""COMPUTED_VALUE"""),"2018-19")</f>
        <v>2018-19</v>
      </c>
      <c r="D2609" s="163" t="str">
        <f>IFERROR(__xludf.DUMMYFUNCTION("""COMPUTED_VALUE"""),"BOS")</f>
        <v>BOS</v>
      </c>
      <c r="E2609" s="164" t="str">
        <f>IFERROR(__xludf.DUMMYFUNCTION("""COMPUTED_VALUE"""),"Shot Creator")</f>
        <v>Shot Creator</v>
      </c>
      <c r="F2609" s="164">
        <f>IFERROR(__xludf.DUMMYFUNCTION("""COMPUTED_VALUE"""),2090.50666666667)</f>
        <v>2090.506667</v>
      </c>
      <c r="G2609" s="163">
        <f>IFERROR(__xludf.DUMMYFUNCTION("""COMPUTED_VALUE"""),75.0)</f>
        <v>75</v>
      </c>
      <c r="H2609" s="163" t="str">
        <f>IFERROR(__xludf.DUMMYFUNCTION("""COMPUTED_VALUE"""),"PF")</f>
        <v>PF</v>
      </c>
      <c r="I2609" s="163">
        <f>IFERROR(__xludf.DUMMYFUNCTION("""COMPUTED_VALUE"""),29.0)</f>
        <v>29</v>
      </c>
      <c r="J2609" s="165">
        <f>IFERROR(__xludf.DUMMYFUNCTION("""COMPUTED_VALUE"""),0.337078761712969)</f>
        <v>0.3370787617</v>
      </c>
      <c r="K2609" s="165">
        <f>IFERROR(__xludf.DUMMYFUNCTION("""COMPUTED_VALUE"""),0.319767756918759)</f>
        <v>0.3197677569</v>
      </c>
      <c r="L2609" s="165">
        <f>IFERROR(__xludf.DUMMYFUNCTION("""COMPUTED_VALUE"""),0.0173110047942107)</f>
        <v>0.01731100479</v>
      </c>
      <c r="M2609" s="166">
        <f t="shared" si="2"/>
        <v>3.697867706</v>
      </c>
      <c r="N2609" s="167">
        <f t="shared" si="3"/>
        <v>27.87342222</v>
      </c>
      <c r="O2609" s="163">
        <f t="shared" ref="O2609:Q2609" si="2613">rank(I2609,I:I)</f>
        <v>855</v>
      </c>
      <c r="P2609" s="163">
        <f t="shared" si="2613"/>
        <v>992</v>
      </c>
      <c r="Q2609" s="163">
        <f t="shared" si="2613"/>
        <v>895</v>
      </c>
      <c r="R2609" s="163">
        <f>IFERROR(__xludf.DUMMYFUNCTION("RANK(M2609,filter(M:M,C:C=C2609))"),89.0)</f>
        <v>89</v>
      </c>
      <c r="S2609" s="161" t="b">
        <f t="shared" si="5"/>
        <v>0</v>
      </c>
      <c r="T2609" s="161" t="b">
        <f t="array" ref="T2609">index('Query Tool'!B:B,match(H2609,'Query Tool'!C:C,0))</f>
        <v>1</v>
      </c>
      <c r="U2609" s="161" t="b">
        <f t="array" ref="U2609">index('Query Tool'!B:B,match(C2609,'Query Tool'!C:C,0))</f>
        <v>0</v>
      </c>
      <c r="V2609" s="161" t="b">
        <f>F2609&gt;='Query Tool'!C$32</f>
        <v>1</v>
      </c>
      <c r="W2609" s="161" t="b">
        <f t="array" ref="W2609">index(Dropdowns!B:B,match(I2609,Dropdowns!A:A,0))</f>
        <v>1</v>
      </c>
      <c r="X2609" s="161" t="b">
        <f t="array" ref="X2609">index('Query Tool'!B:B,match(D2609,'Query Tool'!C:C,0))</f>
        <v>1</v>
      </c>
      <c r="Y2609" s="161" t="str">
        <f t="shared" si="6"/>
        <v>morrima03,2018-19</v>
      </c>
      <c r="Z2609" s="168">
        <f t="array" ref="Z2609">iferror(index(I:I,match($A2609&amp;","&amp;index('Year Conversion'!$A:$A,match($C2609,'Year Conversion'!$B:$B,0)),$Y:$Y,0))-I2609,"")</f>
        <v>1</v>
      </c>
      <c r="AA2609" s="168">
        <f t="array" ref="AA2609">iferror(index(J:J,match($A2609&amp;","&amp;index('Year Conversion'!$A:$A,match($C2609,'Year Conversion'!$B:$B,0)),$Y:$Y,0))-J2609,"")</f>
        <v>0.8341889346</v>
      </c>
      <c r="AB2609" s="168">
        <f t="array" ref="AB2609">iferror(index(K:K,match($A2609&amp;","&amp;index('Year Conversion'!$A:$A,match($C2609,'Year Conversion'!$B:$B,0)),$Y:$Y,0))-K2609,"")</f>
        <v>0.2742808444</v>
      </c>
      <c r="AC2609" s="168" t="str">
        <f t="shared" si="7"/>
        <v>BOS,2018-19</v>
      </c>
    </row>
    <row r="2610">
      <c r="A2610" s="161" t="str">
        <f>IFERROR(__xludf.DUMMYFUNCTION("""COMPUTED_VALUE"""),"leonaka01")</f>
        <v>leonaka01</v>
      </c>
      <c r="B2610" s="161" t="str">
        <f>IFERROR(__xludf.DUMMYFUNCTION("""COMPUTED_VALUE"""),"Kawhi Leonard")</f>
        <v>Kawhi Leonard</v>
      </c>
      <c r="C2610" s="162" t="str">
        <f>IFERROR(__xludf.DUMMYFUNCTION("""COMPUTED_VALUE"""),"2018-19")</f>
        <v>2018-19</v>
      </c>
      <c r="D2610" s="163" t="str">
        <f>IFERROR(__xludf.DUMMYFUNCTION("""COMPUTED_VALUE"""),"TOR")</f>
        <v>TOR</v>
      </c>
      <c r="E2610" s="164" t="str">
        <f>IFERROR(__xludf.DUMMYFUNCTION("""COMPUTED_VALUE"""),"Shot Creator")</f>
        <v>Shot Creator</v>
      </c>
      <c r="F2610" s="164">
        <f>IFERROR(__xludf.DUMMYFUNCTION("""COMPUTED_VALUE"""),2040.18333333333)</f>
        <v>2040.183333</v>
      </c>
      <c r="G2610" s="163">
        <f>IFERROR(__xludf.DUMMYFUNCTION("""COMPUTED_VALUE"""),60.0)</f>
        <v>60</v>
      </c>
      <c r="H2610" s="163" t="str">
        <f>IFERROR(__xludf.DUMMYFUNCTION("""COMPUTED_VALUE"""),"SF")</f>
        <v>SF</v>
      </c>
      <c r="I2610" s="163">
        <f>IFERROR(__xludf.DUMMYFUNCTION("""COMPUTED_VALUE"""),27.0)</f>
        <v>27</v>
      </c>
      <c r="J2610" s="165">
        <f>IFERROR(__xludf.DUMMYFUNCTION("""COMPUTED_VALUE"""),4.24740837861162)</f>
        <v>4.247408379</v>
      </c>
      <c r="K2610" s="165">
        <f>IFERROR(__xludf.DUMMYFUNCTION("""COMPUTED_VALUE"""),3.7063995497707)</f>
        <v>3.70639955</v>
      </c>
      <c r="L2610" s="165">
        <f>IFERROR(__xludf.DUMMYFUNCTION("""COMPUTED_VALUE"""),0.541008828840925)</f>
        <v>0.5410088288</v>
      </c>
      <c r="M2610" s="166">
        <f t="shared" si="2"/>
        <v>8.845317991</v>
      </c>
      <c r="N2610" s="167">
        <f t="shared" si="3"/>
        <v>34.00305556</v>
      </c>
      <c r="O2610" s="163">
        <f t="shared" ref="O2610:Q2610" si="2614">rank(I2610,I:I)</f>
        <v>1366</v>
      </c>
      <c r="P2610" s="163">
        <f t="shared" si="2614"/>
        <v>85</v>
      </c>
      <c r="Q2610" s="163">
        <f t="shared" si="2614"/>
        <v>80</v>
      </c>
      <c r="R2610" s="163">
        <f>IFERROR(__xludf.DUMMYFUNCTION("RANK(M2610,filter(M:M,C:C=C2610))"),22.0)</f>
        <v>22</v>
      </c>
      <c r="S2610" s="161" t="b">
        <f t="shared" si="5"/>
        <v>0</v>
      </c>
      <c r="T2610" s="161" t="b">
        <f t="array" ref="T2610">index('Query Tool'!B:B,match(H2610,'Query Tool'!C:C,0))</f>
        <v>1</v>
      </c>
      <c r="U2610" s="161" t="b">
        <f t="array" ref="U2610">index('Query Tool'!B:B,match(C2610,'Query Tool'!C:C,0))</f>
        <v>0</v>
      </c>
      <c r="V2610" s="161" t="b">
        <f>F2610&gt;='Query Tool'!C$32</f>
        <v>1</v>
      </c>
      <c r="W2610" s="161" t="b">
        <f t="array" ref="W2610">index(Dropdowns!B:B,match(I2610,Dropdowns!A:A,0))</f>
        <v>1</v>
      </c>
      <c r="X2610" s="161" t="b">
        <f t="array" ref="X2610">index('Query Tool'!B:B,match(D2610,'Query Tool'!C:C,0))</f>
        <v>1</v>
      </c>
      <c r="Y2610" s="161" t="str">
        <f t="shared" si="6"/>
        <v>leonaka01,2018-19</v>
      </c>
      <c r="Z2610" s="168">
        <f t="array" ref="Z2610">iferror(index(I:I,match($A2610&amp;","&amp;index('Year Conversion'!$A:$A,match($C2610,'Year Conversion'!$B:$B,0)),$Y:$Y,0))-I2610,"")</f>
        <v>1</v>
      </c>
      <c r="AA2610" s="168">
        <f t="array" ref="AA2610">iferror(index(J:J,match($A2610&amp;","&amp;index('Year Conversion'!$A:$A,match($C2610,'Year Conversion'!$B:$B,0)),$Y:$Y,0))-J2610,"")</f>
        <v>2.420463892</v>
      </c>
      <c r="AB2610" s="168">
        <f t="array" ref="AB2610">iferror(index(K:K,match($A2610&amp;","&amp;index('Year Conversion'!$A:$A,match($C2610,'Year Conversion'!$B:$B,0)),$Y:$Y,0))-K2610,"")</f>
        <v>1.410085011</v>
      </c>
      <c r="AC2610" s="168" t="str">
        <f t="shared" si="7"/>
        <v>TOR,2018-19</v>
      </c>
    </row>
    <row r="2611">
      <c r="A2611" s="161" t="str">
        <f>IFERROR(__xludf.DUMMYFUNCTION("""COMPUTED_VALUE"""),"vucevni01")</f>
        <v>vucevni01</v>
      </c>
      <c r="B2611" s="161" t="str">
        <f>IFERROR(__xludf.DUMMYFUNCTION("""COMPUTED_VALUE"""),"Nikola Vucevic")</f>
        <v>Nikola Vucevic</v>
      </c>
      <c r="C2611" s="162" t="str">
        <f>IFERROR(__xludf.DUMMYFUNCTION("""COMPUTED_VALUE"""),"2018-19")</f>
        <v>2018-19</v>
      </c>
      <c r="D2611" s="163" t="str">
        <f>IFERROR(__xludf.DUMMYFUNCTION("""COMPUTED_VALUE"""),"ORL")</f>
        <v>ORL</v>
      </c>
      <c r="E2611" s="164" t="str">
        <f>IFERROR(__xludf.DUMMYFUNCTION("""COMPUTED_VALUE"""),"Post Scorer")</f>
        <v>Post Scorer</v>
      </c>
      <c r="F2611" s="164">
        <f>IFERROR(__xludf.DUMMYFUNCTION("""COMPUTED_VALUE"""),2510.17666666667)</f>
        <v>2510.176667</v>
      </c>
      <c r="G2611" s="163">
        <f>IFERROR(__xludf.DUMMYFUNCTION("""COMPUTED_VALUE"""),80.0)</f>
        <v>80</v>
      </c>
      <c r="H2611" s="163" t="str">
        <f>IFERROR(__xludf.DUMMYFUNCTION("""COMPUTED_VALUE"""),"C")</f>
        <v>C</v>
      </c>
      <c r="I2611" s="163">
        <f>IFERROR(__xludf.DUMMYFUNCTION("""COMPUTED_VALUE"""),28.0)</f>
        <v>28</v>
      </c>
      <c r="J2611" s="165">
        <f>IFERROR(__xludf.DUMMYFUNCTION("""COMPUTED_VALUE"""),4.34562846074003)</f>
        <v>4.345628461</v>
      </c>
      <c r="K2611" s="165">
        <f>IFERROR(__xludf.DUMMYFUNCTION("""COMPUTED_VALUE"""),1.96423945281149)</f>
        <v>1.964239453</v>
      </c>
      <c r="L2611" s="165">
        <f>IFERROR(__xludf.DUMMYFUNCTION("""COMPUTED_VALUE"""),2.38138900792853)</f>
        <v>2.381389008</v>
      </c>
      <c r="M2611" s="166">
        <f t="shared" si="2"/>
        <v>11.03705774</v>
      </c>
      <c r="N2611" s="167">
        <f t="shared" si="3"/>
        <v>31.37720833</v>
      </c>
      <c r="O2611" s="163">
        <f t="shared" ref="O2611:Q2611" si="2615">rank(I2611,I:I)</f>
        <v>1090</v>
      </c>
      <c r="P2611" s="163">
        <f t="shared" si="2615"/>
        <v>76</v>
      </c>
      <c r="Q2611" s="163">
        <f t="shared" si="2615"/>
        <v>233</v>
      </c>
      <c r="R2611" s="163">
        <f>IFERROR(__xludf.DUMMYFUNCTION("RANK(M2611,filter(M:M,C:C=C2611))"),11.0)</f>
        <v>11</v>
      </c>
      <c r="S2611" s="161" t="b">
        <f t="shared" si="5"/>
        <v>0</v>
      </c>
      <c r="T2611" s="161" t="b">
        <f t="array" ref="T2611">index('Query Tool'!B:B,match(H2611,'Query Tool'!C:C,0))</f>
        <v>1</v>
      </c>
      <c r="U2611" s="161" t="b">
        <f t="array" ref="U2611">index('Query Tool'!B:B,match(C2611,'Query Tool'!C:C,0))</f>
        <v>0</v>
      </c>
      <c r="V2611" s="161" t="b">
        <f>F2611&gt;='Query Tool'!C$32</f>
        <v>1</v>
      </c>
      <c r="W2611" s="161" t="b">
        <f t="array" ref="W2611">index(Dropdowns!B:B,match(I2611,Dropdowns!A:A,0))</f>
        <v>1</v>
      </c>
      <c r="X2611" s="161" t="b">
        <f t="array" ref="X2611">index('Query Tool'!B:B,match(D2611,'Query Tool'!C:C,0))</f>
        <v>1</v>
      </c>
      <c r="Y2611" s="161" t="str">
        <f t="shared" si="6"/>
        <v>vucevni01,2018-19</v>
      </c>
      <c r="Z2611" s="168">
        <f t="array" ref="Z2611">iferror(index(I:I,match($A2611&amp;","&amp;index('Year Conversion'!$A:$A,match($C2611,'Year Conversion'!$B:$B,0)),$Y:$Y,0))-I2611,"")</f>
        <v>1</v>
      </c>
      <c r="AA2611" s="168">
        <f t="array" ref="AA2611">iferror(index(J:J,match($A2611&amp;","&amp;index('Year Conversion'!$A:$A,match($C2611,'Year Conversion'!$B:$B,0)),$Y:$Y,0))-J2611,"")</f>
        <v>-1.276609085</v>
      </c>
      <c r="AB2611" s="168">
        <f t="array" ref="AB2611">iferror(index(K:K,match($A2611&amp;","&amp;index('Year Conversion'!$A:$A,match($C2611,'Year Conversion'!$B:$B,0)),$Y:$Y,0))-K2611,"")</f>
        <v>-0.1750455927</v>
      </c>
      <c r="AC2611" s="168" t="str">
        <f t="shared" si="7"/>
        <v>ORL,2018-19</v>
      </c>
    </row>
    <row r="2612">
      <c r="A2612" s="161" t="str">
        <f>IFERROR(__xludf.DUMMYFUNCTION("""COMPUTED_VALUE"""),"shumpim01")</f>
        <v>shumpim01</v>
      </c>
      <c r="B2612" s="161" t="str">
        <f>IFERROR(__xludf.DUMMYFUNCTION("""COMPUTED_VALUE"""),"Iman Shumpert")</f>
        <v>Iman Shumpert</v>
      </c>
      <c r="C2612" s="162" t="str">
        <f>IFERROR(__xludf.DUMMYFUNCTION("""COMPUTED_VALUE"""),"2018-19")</f>
        <v>2018-19</v>
      </c>
      <c r="D2612" s="163" t="str">
        <f>IFERROR(__xludf.DUMMYFUNCTION("""COMPUTED_VALUE"""),"TOT")</f>
        <v>TOT</v>
      </c>
      <c r="E2612" s="164" t="str">
        <f>IFERROR(__xludf.DUMMYFUNCTION("""COMPUTED_VALUE"""),"Movement Shooter")</f>
        <v>Movement Shooter</v>
      </c>
      <c r="F2612" s="164">
        <f>IFERROR(__xludf.DUMMYFUNCTION("""COMPUTED_VALUE"""),1480.8)</f>
        <v>1480.8</v>
      </c>
      <c r="G2612" s="163">
        <f>IFERROR(__xludf.DUMMYFUNCTION("""COMPUTED_VALUE"""),62.0)</f>
        <v>62</v>
      </c>
      <c r="H2612" s="163" t="str">
        <f>IFERROR(__xludf.DUMMYFUNCTION("""COMPUTED_VALUE"""),"SG")</f>
        <v>SG</v>
      </c>
      <c r="I2612" s="163">
        <f>IFERROR(__xludf.DUMMYFUNCTION("""COMPUTED_VALUE"""),28.0)</f>
        <v>28</v>
      </c>
      <c r="J2612" s="165">
        <f>IFERROR(__xludf.DUMMYFUNCTION("""COMPUTED_VALUE"""),-2.19357127603408)</f>
        <v>-2.193571276</v>
      </c>
      <c r="K2612" s="165">
        <f>IFERROR(__xludf.DUMMYFUNCTION("""COMPUTED_VALUE"""),-1.85966319567823)</f>
        <v>-1.859663196</v>
      </c>
      <c r="L2612" s="165">
        <f>IFERROR(__xludf.DUMMYFUNCTION("""COMPUTED_VALUE"""),-0.333908080355856)</f>
        <v>-0.3339080804</v>
      </c>
      <c r="M2612" s="166">
        <f t="shared" si="2"/>
        <v>0.1074915991</v>
      </c>
      <c r="N2612" s="167">
        <f t="shared" si="3"/>
        <v>23.88387097</v>
      </c>
      <c r="O2612" s="163">
        <f t="shared" ref="O2612:Q2612" si="2616">rank(I2612,I:I)</f>
        <v>1090</v>
      </c>
      <c r="P2612" s="163">
        <f t="shared" si="2616"/>
        <v>3607</v>
      </c>
      <c r="Q2612" s="163">
        <f t="shared" si="2616"/>
        <v>3615</v>
      </c>
      <c r="R2612" s="163">
        <f>IFERROR(__xludf.DUMMYFUNCTION("RANK(M2612,filter(M:M,C:C=C2612))"),387.0)</f>
        <v>387</v>
      </c>
      <c r="S2612" s="161" t="b">
        <f t="shared" si="5"/>
        <v>0</v>
      </c>
      <c r="T2612" s="161" t="b">
        <f t="array" ref="T2612">index('Query Tool'!B:B,match(H2612,'Query Tool'!C:C,0))</f>
        <v>1</v>
      </c>
      <c r="U2612" s="161" t="b">
        <f t="array" ref="U2612">index('Query Tool'!B:B,match(C2612,'Query Tool'!C:C,0))</f>
        <v>0</v>
      </c>
      <c r="V2612" s="161" t="b">
        <f>F2612&gt;='Query Tool'!C$32</f>
        <v>1</v>
      </c>
      <c r="W2612" s="161" t="b">
        <f t="array" ref="W2612">index(Dropdowns!B:B,match(I2612,Dropdowns!A:A,0))</f>
        <v>1</v>
      </c>
      <c r="X2612" s="161" t="b">
        <f t="array" ref="X2612">index('Query Tool'!B:B,match(D2612,'Query Tool'!C:C,0))</f>
        <v>1</v>
      </c>
      <c r="Y2612" s="161" t="str">
        <f t="shared" si="6"/>
        <v>shumpim01,2018-19</v>
      </c>
      <c r="Z2612" s="168">
        <f t="array" ref="Z2612">iferror(index(I:I,match($A2612&amp;","&amp;index('Year Conversion'!$A:$A,match($C2612,'Year Conversion'!$B:$B,0)),$Y:$Y,0))-I2612,"")</f>
        <v>1</v>
      </c>
      <c r="AA2612" s="168">
        <f t="array" ref="AA2612">iferror(index(J:J,match($A2612&amp;","&amp;index('Year Conversion'!$A:$A,match($C2612,'Year Conversion'!$B:$B,0)),$Y:$Y,0))-J2612,"")</f>
        <v>-0.1657347271</v>
      </c>
      <c r="AB2612" s="168">
        <f t="array" ref="AB2612">iferror(index(K:K,match($A2612&amp;","&amp;index('Year Conversion'!$A:$A,match($C2612,'Year Conversion'!$B:$B,0)),$Y:$Y,0))-K2612,"")</f>
        <v>-0.4030120864</v>
      </c>
      <c r="AC2612" s="168" t="str">
        <f t="shared" si="7"/>
        <v>TOT,2018-19</v>
      </c>
    </row>
    <row r="2613">
      <c r="A2613" s="161" t="str">
        <f>IFERROR(__xludf.DUMMYFUNCTION("""COMPUTED_VALUE"""),"harrito02")</f>
        <v>harrito02</v>
      </c>
      <c r="B2613" s="161" t="str">
        <f>IFERROR(__xludf.DUMMYFUNCTION("""COMPUTED_VALUE"""),"Tobias Harris")</f>
        <v>Tobias Harris</v>
      </c>
      <c r="C2613" s="162" t="str">
        <f>IFERROR(__xludf.DUMMYFUNCTION("""COMPUTED_VALUE"""),"2018-19")</f>
        <v>2018-19</v>
      </c>
      <c r="D2613" s="163" t="str">
        <f>IFERROR(__xludf.DUMMYFUNCTION("""COMPUTED_VALUE"""),"TOT")</f>
        <v>TOT</v>
      </c>
      <c r="E2613" s="164" t="str">
        <f>IFERROR(__xludf.DUMMYFUNCTION("""COMPUTED_VALUE"""),"Shot Creator")</f>
        <v>Shot Creator</v>
      </c>
      <c r="F2613" s="164">
        <f>IFERROR(__xludf.DUMMYFUNCTION("""COMPUTED_VALUE"""),2847.82)</f>
        <v>2847.82</v>
      </c>
      <c r="G2613" s="163">
        <f>IFERROR(__xludf.DUMMYFUNCTION("""COMPUTED_VALUE"""),82.0)</f>
        <v>82</v>
      </c>
      <c r="H2613" s="163" t="str">
        <f>IFERROR(__xludf.DUMMYFUNCTION("""COMPUTED_VALUE"""),"PF")</f>
        <v>PF</v>
      </c>
      <c r="I2613" s="163">
        <f>IFERROR(__xludf.DUMMYFUNCTION("""COMPUTED_VALUE"""),26.0)</f>
        <v>26</v>
      </c>
      <c r="J2613" s="165">
        <f>IFERROR(__xludf.DUMMYFUNCTION("""COMPUTED_VALUE"""),0.150784481525933)</f>
        <v>0.1507844815</v>
      </c>
      <c r="K2613" s="165">
        <f>IFERROR(__xludf.DUMMYFUNCTION("""COMPUTED_VALUE"""),0.488565070950394)</f>
        <v>0.488565071</v>
      </c>
      <c r="L2613" s="165">
        <f>IFERROR(__xludf.DUMMYFUNCTION("""COMPUTED_VALUE"""),-0.337780589424461)</f>
        <v>-0.3377805894</v>
      </c>
      <c r="M2613" s="166">
        <f t="shared" si="2"/>
        <v>4.679881891</v>
      </c>
      <c r="N2613" s="167">
        <f t="shared" si="3"/>
        <v>34.7295122</v>
      </c>
      <c r="O2613" s="163">
        <f t="shared" ref="O2613:Q2613" si="2617">rank(I2613,I:I)</f>
        <v>1665</v>
      </c>
      <c r="P2613" s="163">
        <f t="shared" si="2617"/>
        <v>1133</v>
      </c>
      <c r="Q2613" s="163">
        <f t="shared" si="2617"/>
        <v>771</v>
      </c>
      <c r="R2613" s="163">
        <f>IFERROR(__xludf.DUMMYFUNCTION("RANK(M2613,filter(M:M,C:C=C2613))"),63.0)</f>
        <v>63</v>
      </c>
      <c r="S2613" s="161" t="b">
        <f t="shared" si="5"/>
        <v>0</v>
      </c>
      <c r="T2613" s="161" t="b">
        <f t="array" ref="T2613">index('Query Tool'!B:B,match(H2613,'Query Tool'!C:C,0))</f>
        <v>1</v>
      </c>
      <c r="U2613" s="161" t="b">
        <f t="array" ref="U2613">index('Query Tool'!B:B,match(C2613,'Query Tool'!C:C,0))</f>
        <v>0</v>
      </c>
      <c r="V2613" s="161" t="b">
        <f>F2613&gt;='Query Tool'!C$32</f>
        <v>1</v>
      </c>
      <c r="W2613" s="161" t="b">
        <f t="array" ref="W2613">index(Dropdowns!B:B,match(I2613,Dropdowns!A:A,0))</f>
        <v>1</v>
      </c>
      <c r="X2613" s="161" t="b">
        <f t="array" ref="X2613">index('Query Tool'!B:B,match(D2613,'Query Tool'!C:C,0))</f>
        <v>1</v>
      </c>
      <c r="Y2613" s="161" t="str">
        <f t="shared" si="6"/>
        <v>harrito02,2018-19</v>
      </c>
      <c r="Z2613" s="168">
        <f t="array" ref="Z2613">iferror(index(I:I,match($A2613&amp;","&amp;index('Year Conversion'!$A:$A,match($C2613,'Year Conversion'!$B:$B,0)),$Y:$Y,0))-I2613,"")</f>
        <v>1</v>
      </c>
      <c r="AA2613" s="168">
        <f t="array" ref="AA2613">iferror(index(J:J,match($A2613&amp;","&amp;index('Year Conversion'!$A:$A,match($C2613,'Year Conversion'!$B:$B,0)),$Y:$Y,0))-J2613,"")</f>
        <v>1.716725942</v>
      </c>
      <c r="AB2613" s="168">
        <f t="array" ref="AB2613">iferror(index(K:K,match($A2613&amp;","&amp;index('Year Conversion'!$A:$A,match($C2613,'Year Conversion'!$B:$B,0)),$Y:$Y,0))-K2613,"")</f>
        <v>0.9448379386</v>
      </c>
      <c r="AC2613" s="168" t="str">
        <f t="shared" si="7"/>
        <v>TOT,2018-19</v>
      </c>
    </row>
    <row r="2614">
      <c r="A2614" s="161" t="str">
        <f>IFERROR(__xludf.DUMMYFUNCTION("""COMPUTED_VALUE"""),"motiedo01")</f>
        <v>motiedo01</v>
      </c>
      <c r="B2614" s="161" t="str">
        <f>IFERROR(__xludf.DUMMYFUNCTION("""COMPUTED_VALUE"""),"Donatas Motiejunas")</f>
        <v>Donatas Motiejunas</v>
      </c>
      <c r="C2614" s="162" t="str">
        <f>IFERROR(__xludf.DUMMYFUNCTION("""COMPUTED_VALUE"""),"2018-19")</f>
        <v>2018-19</v>
      </c>
      <c r="D2614" s="163" t="str">
        <f>IFERROR(__xludf.DUMMYFUNCTION("""COMPUTED_VALUE"""),"SAS")</f>
        <v>SAS</v>
      </c>
      <c r="E2614" s="164" t="str">
        <f>IFERROR(__xludf.DUMMYFUNCTION("""COMPUTED_VALUE"""),"Post Scorer")</f>
        <v>Post Scorer</v>
      </c>
      <c r="F2614" s="164">
        <f>IFERROR(__xludf.DUMMYFUNCTION("""COMPUTED_VALUE"""),12.7833333333333)</f>
        <v>12.78333333</v>
      </c>
      <c r="G2614" s="163">
        <f>IFERROR(__xludf.DUMMYFUNCTION("""COMPUTED_VALUE"""),3.0)</f>
        <v>3</v>
      </c>
      <c r="H2614" s="163" t="str">
        <f>IFERROR(__xludf.DUMMYFUNCTION("""COMPUTED_VALUE"""),"PF")</f>
        <v>PF</v>
      </c>
      <c r="I2614" s="163">
        <f>IFERROR(__xludf.DUMMYFUNCTION("""COMPUTED_VALUE"""),28.0)</f>
        <v>28</v>
      </c>
      <c r="J2614" s="165">
        <f>IFERROR(__xludf.DUMMYFUNCTION("""COMPUTED_VALUE"""),-0.524196199563155)</f>
        <v>-0.5241961996</v>
      </c>
      <c r="K2614" s="165">
        <f>IFERROR(__xludf.DUMMYFUNCTION("""COMPUTED_VALUE"""),-0.276053985285036)</f>
        <v>-0.2760539853</v>
      </c>
      <c r="L2614" s="165">
        <f>IFERROR(__xludf.DUMMYFUNCTION("""COMPUTED_VALUE"""),-0.248142214278119)</f>
        <v>-0.2481422143</v>
      </c>
      <c r="M2614" s="166">
        <f t="shared" si="2"/>
        <v>0.01519163368</v>
      </c>
      <c r="N2614" s="167">
        <f t="shared" si="3"/>
        <v>4.261111111</v>
      </c>
      <c r="O2614" s="163">
        <f t="shared" ref="O2614:Q2614" si="2618">rank(I2614,I:I)</f>
        <v>1090</v>
      </c>
      <c r="P2614" s="163">
        <f t="shared" si="2618"/>
        <v>1888</v>
      </c>
      <c r="Q2614" s="163">
        <f t="shared" si="2618"/>
        <v>1715</v>
      </c>
      <c r="R2614" s="163">
        <f>IFERROR(__xludf.DUMMYFUNCTION("RANK(M2614,filter(M:M,C:C=C2614))"),458.0)</f>
        <v>458</v>
      </c>
      <c r="S2614" s="161" t="b">
        <f t="shared" si="5"/>
        <v>0</v>
      </c>
      <c r="T2614" s="161" t="b">
        <f t="array" ref="T2614">index('Query Tool'!B:B,match(H2614,'Query Tool'!C:C,0))</f>
        <v>1</v>
      </c>
      <c r="U2614" s="161" t="b">
        <f t="array" ref="U2614">index('Query Tool'!B:B,match(C2614,'Query Tool'!C:C,0))</f>
        <v>0</v>
      </c>
      <c r="V2614" s="161" t="b">
        <f>F2614&gt;='Query Tool'!C$32</f>
        <v>0</v>
      </c>
      <c r="W2614" s="161" t="b">
        <f t="array" ref="W2614">index(Dropdowns!B:B,match(I2614,Dropdowns!A:A,0))</f>
        <v>1</v>
      </c>
      <c r="X2614" s="161" t="b">
        <f t="array" ref="X2614">index('Query Tool'!B:B,match(D2614,'Query Tool'!C:C,0))</f>
        <v>1</v>
      </c>
      <c r="Y2614" s="161" t="str">
        <f t="shared" si="6"/>
        <v>motiedo01,2018-19</v>
      </c>
      <c r="Z2614" s="168" t="str">
        <f t="array" ref="Z2614">iferror(index(I:I,match($A2614&amp;","&amp;index('Year Conversion'!$A:$A,match($C2614,'Year Conversion'!$B:$B,0)),$Y:$Y,0))-I2614,"")</f>
        <v/>
      </c>
      <c r="AA2614" s="168" t="str">
        <f t="array" ref="AA2614">iferror(index(J:J,match($A2614&amp;","&amp;index('Year Conversion'!$A:$A,match($C2614,'Year Conversion'!$B:$B,0)),$Y:$Y,0))-J2614,"")</f>
        <v/>
      </c>
      <c r="AB2614" s="168" t="str">
        <f t="array" ref="AB2614">iferror(index(K:K,match($A2614&amp;","&amp;index('Year Conversion'!$A:$A,match($C2614,'Year Conversion'!$B:$B,0)),$Y:$Y,0))-K2614,"")</f>
        <v/>
      </c>
      <c r="AC2614" s="168" t="str">
        <f t="shared" si="7"/>
        <v>SAS,2018-19</v>
      </c>
    </row>
    <row r="2615">
      <c r="A2615" s="161" t="str">
        <f>IFERROR(__xludf.DUMMYFUNCTION("""COMPUTED_VALUE"""),"farieke01")</f>
        <v>farieke01</v>
      </c>
      <c r="B2615" s="161" t="str">
        <f>IFERROR(__xludf.DUMMYFUNCTION("""COMPUTED_VALUE"""),"Kenneth Faried")</f>
        <v>Kenneth Faried</v>
      </c>
      <c r="C2615" s="162" t="str">
        <f>IFERROR(__xludf.DUMMYFUNCTION("""COMPUTED_VALUE"""),"2018-19")</f>
        <v>2018-19</v>
      </c>
      <c r="D2615" s="163" t="str">
        <f>IFERROR(__xludf.DUMMYFUNCTION("""COMPUTED_VALUE"""),"TOT")</f>
        <v>TOT</v>
      </c>
      <c r="E2615" s="164" t="str">
        <f>IFERROR(__xludf.DUMMYFUNCTION("""COMPUTED_VALUE"""),"Roll + Cut Big")</f>
        <v>Roll + Cut Big</v>
      </c>
      <c r="F2615" s="164">
        <f>IFERROR(__xludf.DUMMYFUNCTION("""COMPUTED_VALUE"""),728.176666666667)</f>
        <v>728.1766667</v>
      </c>
      <c r="G2615" s="163">
        <f>IFERROR(__xludf.DUMMYFUNCTION("""COMPUTED_VALUE"""),37.0)</f>
        <v>37</v>
      </c>
      <c r="H2615" s="163" t="str">
        <f>IFERROR(__xludf.DUMMYFUNCTION("""COMPUTED_VALUE"""),"C")</f>
        <v>C</v>
      </c>
      <c r="I2615" s="163">
        <f>IFERROR(__xludf.DUMMYFUNCTION("""COMPUTED_VALUE"""),29.0)</f>
        <v>29</v>
      </c>
      <c r="J2615" s="165">
        <f>IFERROR(__xludf.DUMMYFUNCTION("""COMPUTED_VALUE"""),0.551627981042271)</f>
        <v>0.551627981</v>
      </c>
      <c r="K2615" s="165">
        <f>IFERROR(__xludf.DUMMYFUNCTION("""COMPUTED_VALUE"""),0.93985029000577)</f>
        <v>0.93985029</v>
      </c>
      <c r="L2615" s="165">
        <f>IFERROR(__xludf.DUMMYFUNCTION("""COMPUTED_VALUE"""),-0.388222308963499)</f>
        <v>-0.388222309</v>
      </c>
      <c r="M2615" s="166">
        <f t="shared" si="2"/>
        <v>1.39330161</v>
      </c>
      <c r="N2615" s="167">
        <f t="shared" si="3"/>
        <v>19.68045045</v>
      </c>
      <c r="O2615" s="163">
        <f t="shared" ref="O2615:Q2615" si="2619">rank(I2615,I:I)</f>
        <v>855</v>
      </c>
      <c r="P2615" s="163">
        <f t="shared" si="2619"/>
        <v>866</v>
      </c>
      <c r="Q2615" s="163">
        <f t="shared" si="2619"/>
        <v>532</v>
      </c>
      <c r="R2615" s="163">
        <f>IFERROR(__xludf.DUMMYFUNCTION("RANK(M2615,filter(M:M,C:C=C2615))"),194.0)</f>
        <v>194</v>
      </c>
      <c r="S2615" s="161" t="b">
        <f t="shared" si="5"/>
        <v>0</v>
      </c>
      <c r="T2615" s="161" t="b">
        <f t="array" ref="T2615">index('Query Tool'!B:B,match(H2615,'Query Tool'!C:C,0))</f>
        <v>1</v>
      </c>
      <c r="U2615" s="161" t="b">
        <f t="array" ref="U2615">index('Query Tool'!B:B,match(C2615,'Query Tool'!C:C,0))</f>
        <v>0</v>
      </c>
      <c r="V2615" s="161" t="b">
        <f>F2615&gt;='Query Tool'!C$32</f>
        <v>1</v>
      </c>
      <c r="W2615" s="161" t="b">
        <f t="array" ref="W2615">index(Dropdowns!B:B,match(I2615,Dropdowns!A:A,0))</f>
        <v>1</v>
      </c>
      <c r="X2615" s="161" t="b">
        <f t="array" ref="X2615">index('Query Tool'!B:B,match(D2615,'Query Tool'!C:C,0))</f>
        <v>1</v>
      </c>
      <c r="Y2615" s="161" t="str">
        <f t="shared" si="6"/>
        <v>farieke01,2018-19</v>
      </c>
      <c r="Z2615" s="168" t="str">
        <f t="array" ref="Z2615">iferror(index(I:I,match($A2615&amp;","&amp;index('Year Conversion'!$A:$A,match($C2615,'Year Conversion'!$B:$B,0)),$Y:$Y,0))-I2615,"")</f>
        <v/>
      </c>
      <c r="AA2615" s="168" t="str">
        <f t="array" ref="AA2615">iferror(index(J:J,match($A2615&amp;","&amp;index('Year Conversion'!$A:$A,match($C2615,'Year Conversion'!$B:$B,0)),$Y:$Y,0))-J2615,"")</f>
        <v/>
      </c>
      <c r="AB2615" s="168" t="str">
        <f t="array" ref="AB2615">iferror(index(K:K,match($A2615&amp;","&amp;index('Year Conversion'!$A:$A,match($C2615,'Year Conversion'!$B:$B,0)),$Y:$Y,0))-K2615,"")</f>
        <v/>
      </c>
      <c r="AC2615" s="168" t="str">
        <f t="shared" si="7"/>
        <v>TOT,2018-19</v>
      </c>
    </row>
    <row r="2616">
      <c r="A2616" s="161" t="str">
        <f>IFERROR(__xludf.DUMMYFUNCTION("""COMPUTED_VALUE"""),"mirotni01")</f>
        <v>mirotni01</v>
      </c>
      <c r="B2616" s="161" t="str">
        <f>IFERROR(__xludf.DUMMYFUNCTION("""COMPUTED_VALUE"""),"Nikola Mirotic")</f>
        <v>Nikola Mirotic</v>
      </c>
      <c r="C2616" s="162" t="str">
        <f>IFERROR(__xludf.DUMMYFUNCTION("""COMPUTED_VALUE"""),"2018-19")</f>
        <v>2018-19</v>
      </c>
      <c r="D2616" s="163" t="str">
        <f>IFERROR(__xludf.DUMMYFUNCTION("""COMPUTED_VALUE"""),"TOT")</f>
        <v>TOT</v>
      </c>
      <c r="E2616" s="164" t="str">
        <f>IFERROR(__xludf.DUMMYFUNCTION("""COMPUTED_VALUE"""),"Movement Shooter")</f>
        <v>Movement Shooter</v>
      </c>
      <c r="F2616" s="164">
        <f>IFERROR(__xludf.DUMMYFUNCTION("""COMPUTED_VALUE"""),1245.195)</f>
        <v>1245.195</v>
      </c>
      <c r="G2616" s="163">
        <f>IFERROR(__xludf.DUMMYFUNCTION("""COMPUTED_VALUE"""),46.0)</f>
        <v>46</v>
      </c>
      <c r="H2616" s="163" t="str">
        <f>IFERROR(__xludf.DUMMYFUNCTION("""COMPUTED_VALUE"""),"PF")</f>
        <v>PF</v>
      </c>
      <c r="I2616" s="163">
        <f>IFERROR(__xludf.DUMMYFUNCTION("""COMPUTED_VALUE"""),27.0)</f>
        <v>27</v>
      </c>
      <c r="J2616" s="165">
        <f>IFERROR(__xludf.DUMMYFUNCTION("""COMPUTED_VALUE"""),0.515501234240234)</f>
        <v>0.5155012342</v>
      </c>
      <c r="K2616" s="165">
        <f>IFERROR(__xludf.DUMMYFUNCTION("""COMPUTED_VALUE"""),0.781974053051436)</f>
        <v>0.7819740531</v>
      </c>
      <c r="L2616" s="165">
        <f>IFERROR(__xludf.DUMMYFUNCTION("""COMPUTED_VALUE"""),-0.266472818811202)</f>
        <v>-0.2664728188</v>
      </c>
      <c r="M2616" s="166">
        <f t="shared" si="2"/>
        <v>2.352278081</v>
      </c>
      <c r="N2616" s="167">
        <f t="shared" si="3"/>
        <v>27.06945652</v>
      </c>
      <c r="O2616" s="163">
        <f t="shared" ref="O2616:Q2616" si="2620">rank(I2616,I:I)</f>
        <v>1366</v>
      </c>
      <c r="P2616" s="163">
        <f t="shared" si="2620"/>
        <v>897</v>
      </c>
      <c r="Q2616" s="163">
        <f t="shared" si="2620"/>
        <v>609</v>
      </c>
      <c r="R2616" s="163">
        <f>IFERROR(__xludf.DUMMYFUNCTION("RANK(M2616,filter(M:M,C:C=C2616))"),135.0)</f>
        <v>135</v>
      </c>
      <c r="S2616" s="161" t="b">
        <f t="shared" si="5"/>
        <v>0</v>
      </c>
      <c r="T2616" s="161" t="b">
        <f t="array" ref="T2616">index('Query Tool'!B:B,match(H2616,'Query Tool'!C:C,0))</f>
        <v>1</v>
      </c>
      <c r="U2616" s="161" t="b">
        <f t="array" ref="U2616">index('Query Tool'!B:B,match(C2616,'Query Tool'!C:C,0))</f>
        <v>0</v>
      </c>
      <c r="V2616" s="161" t="b">
        <f>F2616&gt;='Query Tool'!C$32</f>
        <v>1</v>
      </c>
      <c r="W2616" s="161" t="b">
        <f t="array" ref="W2616">index(Dropdowns!B:B,match(I2616,Dropdowns!A:A,0))</f>
        <v>1</v>
      </c>
      <c r="X2616" s="161" t="b">
        <f t="array" ref="X2616">index('Query Tool'!B:B,match(D2616,'Query Tool'!C:C,0))</f>
        <v>1</v>
      </c>
      <c r="Y2616" s="161" t="str">
        <f t="shared" si="6"/>
        <v>mirotni01,2018-19</v>
      </c>
      <c r="Z2616" s="168" t="str">
        <f t="array" ref="Z2616">iferror(index(I:I,match($A2616&amp;","&amp;index('Year Conversion'!$A:$A,match($C2616,'Year Conversion'!$B:$B,0)),$Y:$Y,0))-I2616,"")</f>
        <v/>
      </c>
      <c r="AA2616" s="168" t="str">
        <f t="array" ref="AA2616">iferror(index(J:J,match($A2616&amp;","&amp;index('Year Conversion'!$A:$A,match($C2616,'Year Conversion'!$B:$B,0)),$Y:$Y,0))-J2616,"")</f>
        <v/>
      </c>
      <c r="AB2616" s="168" t="str">
        <f t="array" ref="AB2616">iferror(index(K:K,match($A2616&amp;","&amp;index('Year Conversion'!$A:$A,match($C2616,'Year Conversion'!$B:$B,0)),$Y:$Y,0))-K2616,"")</f>
        <v/>
      </c>
      <c r="AC2616" s="168" t="str">
        <f t="shared" si="7"/>
        <v>TOT,2018-19</v>
      </c>
    </row>
    <row r="2617">
      <c r="A2617" s="161" t="str">
        <f>IFERROR(__xludf.DUMMYFUNCTION("""COMPUTED_VALUE"""),"jacksre01")</f>
        <v>jacksre01</v>
      </c>
      <c r="B2617" s="161" t="str">
        <f>IFERROR(__xludf.DUMMYFUNCTION("""COMPUTED_VALUE"""),"Reggie Jackson")</f>
        <v>Reggie Jackson</v>
      </c>
      <c r="C2617" s="162" t="str">
        <f>IFERROR(__xludf.DUMMYFUNCTION("""COMPUTED_VALUE"""),"2018-19")</f>
        <v>2018-19</v>
      </c>
      <c r="D2617" s="163" t="str">
        <f>IFERROR(__xludf.DUMMYFUNCTION("""COMPUTED_VALUE"""),"DET")</f>
        <v>DET</v>
      </c>
      <c r="E2617" s="164" t="str">
        <f>IFERROR(__xludf.DUMMYFUNCTION("""COMPUTED_VALUE"""),"Primary Ball Handler")</f>
        <v>Primary Ball Handler</v>
      </c>
      <c r="F2617" s="164">
        <f>IFERROR(__xludf.DUMMYFUNCTION("""COMPUTED_VALUE"""),2288.86833333333)</f>
        <v>2288.868333</v>
      </c>
      <c r="G2617" s="163">
        <f>IFERROR(__xludf.DUMMYFUNCTION("""COMPUTED_VALUE"""),82.0)</f>
        <v>82</v>
      </c>
      <c r="H2617" s="163" t="str">
        <f>IFERROR(__xludf.DUMMYFUNCTION("""COMPUTED_VALUE"""),"PG")</f>
        <v>PG</v>
      </c>
      <c r="I2617" s="163">
        <f>IFERROR(__xludf.DUMMYFUNCTION("""COMPUTED_VALUE"""),28.0)</f>
        <v>28</v>
      </c>
      <c r="J2617" s="165">
        <f>IFERROR(__xludf.DUMMYFUNCTION("""COMPUTED_VALUE"""),0.136884461985298)</f>
        <v>0.136884462</v>
      </c>
      <c r="K2617" s="165">
        <f>IFERROR(__xludf.DUMMYFUNCTION("""COMPUTED_VALUE"""),0.413493060846028)</f>
        <v>0.4134930608</v>
      </c>
      <c r="L2617" s="165">
        <f>IFERROR(__xludf.DUMMYFUNCTION("""COMPUTED_VALUE"""),-0.27660859886073)</f>
        <v>-0.2766085989</v>
      </c>
      <c r="M2617" s="166">
        <f t="shared" si="2"/>
        <v>3.739897271</v>
      </c>
      <c r="N2617" s="167">
        <f t="shared" si="3"/>
        <v>27.91302846</v>
      </c>
      <c r="O2617" s="163">
        <f t="shared" ref="O2617:Q2617" si="2621">rank(I2617,I:I)</f>
        <v>1090</v>
      </c>
      <c r="P2617" s="163">
        <f t="shared" si="2621"/>
        <v>1149</v>
      </c>
      <c r="Q2617" s="163">
        <f t="shared" si="2621"/>
        <v>824</v>
      </c>
      <c r="R2617" s="163">
        <f>IFERROR(__xludf.DUMMYFUNCTION("RANK(M2617,filter(M:M,C:C=C2617))"),88.0)</f>
        <v>88</v>
      </c>
      <c r="S2617" s="161" t="b">
        <f t="shared" si="5"/>
        <v>0</v>
      </c>
      <c r="T2617" s="161" t="b">
        <f t="array" ref="T2617">index('Query Tool'!B:B,match(H2617,'Query Tool'!C:C,0))</f>
        <v>1</v>
      </c>
      <c r="U2617" s="161" t="b">
        <f t="array" ref="U2617">index('Query Tool'!B:B,match(C2617,'Query Tool'!C:C,0))</f>
        <v>0</v>
      </c>
      <c r="V2617" s="161" t="b">
        <f>F2617&gt;='Query Tool'!C$32</f>
        <v>1</v>
      </c>
      <c r="W2617" s="161" t="b">
        <f t="array" ref="W2617">index(Dropdowns!B:B,match(I2617,Dropdowns!A:A,0))</f>
        <v>1</v>
      </c>
      <c r="X2617" s="161" t="b">
        <f t="array" ref="X2617">index('Query Tool'!B:B,match(D2617,'Query Tool'!C:C,0))</f>
        <v>1</v>
      </c>
      <c r="Y2617" s="161" t="str">
        <f t="shared" si="6"/>
        <v>jacksre01,2018-19</v>
      </c>
      <c r="Z2617" s="168">
        <f t="array" ref="Z2617">iferror(index(I:I,match($A2617&amp;","&amp;index('Year Conversion'!$A:$A,match($C2617,'Year Conversion'!$B:$B,0)),$Y:$Y,0))-I2617,"")</f>
        <v>1</v>
      </c>
      <c r="AA2617" s="168">
        <f t="array" ref="AA2617">iferror(index(J:J,match($A2617&amp;","&amp;index('Year Conversion'!$A:$A,match($C2617,'Year Conversion'!$B:$B,0)),$Y:$Y,0))-J2617,"")</f>
        <v>-0.5453409826</v>
      </c>
      <c r="AB2617" s="168">
        <f t="array" ref="AB2617">iferror(index(K:K,match($A2617&amp;","&amp;index('Year Conversion'!$A:$A,match($C2617,'Year Conversion'!$B:$B,0)),$Y:$Y,0))-K2617,"")</f>
        <v>0.3055441695</v>
      </c>
      <c r="AC2617" s="168" t="str">
        <f t="shared" si="7"/>
        <v>DET,2018-19</v>
      </c>
    </row>
    <row r="2618">
      <c r="A2618" s="161" t="str">
        <f>IFERROR(__xludf.DUMMYFUNCTION("""COMPUTED_VALUE"""),"brookma01")</f>
        <v>brookma01</v>
      </c>
      <c r="B2618" s="161" t="str">
        <f>IFERROR(__xludf.DUMMYFUNCTION("""COMPUTED_VALUE"""),"MarShon Brooks")</f>
        <v>MarShon Brooks</v>
      </c>
      <c r="C2618" s="162" t="str">
        <f>IFERROR(__xludf.DUMMYFUNCTION("""COMPUTED_VALUE"""),"2018-19")</f>
        <v>2018-19</v>
      </c>
      <c r="D2618" s="163" t="str">
        <f>IFERROR(__xludf.DUMMYFUNCTION("""COMPUTED_VALUE"""),"MEM")</f>
        <v>MEM</v>
      </c>
      <c r="E2618" s="164" t="str">
        <f>IFERROR(__xludf.DUMMYFUNCTION("""COMPUTED_VALUE"""),"Secondary Ball Handler")</f>
        <v>Secondary Ball Handler</v>
      </c>
      <c r="F2618" s="164">
        <f>IFERROR(__xludf.DUMMYFUNCTION("""COMPUTED_VALUE"""),386.753333333333)</f>
        <v>386.7533333</v>
      </c>
      <c r="G2618" s="163">
        <f>IFERROR(__xludf.DUMMYFUNCTION("""COMPUTED_VALUE"""),29.0)</f>
        <v>29</v>
      </c>
      <c r="H2618" s="163" t="str">
        <f>IFERROR(__xludf.DUMMYFUNCTION("""COMPUTED_VALUE"""),"SG")</f>
        <v>SG</v>
      </c>
      <c r="I2618" s="163">
        <f>IFERROR(__xludf.DUMMYFUNCTION("""COMPUTED_VALUE"""),30.0)</f>
        <v>30</v>
      </c>
      <c r="J2618" s="165">
        <f>IFERROR(__xludf.DUMMYFUNCTION("""COMPUTED_VALUE"""),-2.3222539328427)</f>
        <v>-2.322253933</v>
      </c>
      <c r="K2618" s="165">
        <f>IFERROR(__xludf.DUMMYFUNCTION("""COMPUTED_VALUE"""),-1.07799733322904)</f>
        <v>-1.077997333</v>
      </c>
      <c r="L2618" s="165">
        <f>IFERROR(__xludf.DUMMYFUNCTION("""COMPUTED_VALUE"""),-1.24425659961366)</f>
        <v>-1.2442566</v>
      </c>
      <c r="M2618" s="166">
        <f t="shared" si="2"/>
        <v>-0.004775743613</v>
      </c>
      <c r="N2618" s="167">
        <f t="shared" si="3"/>
        <v>13.33632184</v>
      </c>
      <c r="O2618" s="163">
        <f t="shared" ref="O2618:Q2618" si="2622">rank(I2618,I:I)</f>
        <v>655</v>
      </c>
      <c r="P2618" s="163">
        <f t="shared" si="2622"/>
        <v>3667</v>
      </c>
      <c r="Q2618" s="163">
        <f t="shared" si="2622"/>
        <v>2907</v>
      </c>
      <c r="R2618" s="163">
        <f>IFERROR(__xludf.DUMMYFUNCTION("RANK(M2618,filter(M:M,C:C=C2618))"),479.0)</f>
        <v>479</v>
      </c>
      <c r="S2618" s="161" t="b">
        <f t="shared" si="5"/>
        <v>0</v>
      </c>
      <c r="T2618" s="161" t="b">
        <f t="array" ref="T2618">index('Query Tool'!B:B,match(H2618,'Query Tool'!C:C,0))</f>
        <v>1</v>
      </c>
      <c r="U2618" s="161" t="b">
        <f t="array" ref="U2618">index('Query Tool'!B:B,match(C2618,'Query Tool'!C:C,0))</f>
        <v>0</v>
      </c>
      <c r="V2618" s="161" t="b">
        <f>F2618&gt;='Query Tool'!C$32</f>
        <v>0</v>
      </c>
      <c r="W2618" s="161" t="b">
        <f t="array" ref="W2618">index(Dropdowns!B:B,match(I2618,Dropdowns!A:A,0))</f>
        <v>1</v>
      </c>
      <c r="X2618" s="161" t="b">
        <f t="array" ref="X2618">index('Query Tool'!B:B,match(D2618,'Query Tool'!C:C,0))</f>
        <v>1</v>
      </c>
      <c r="Y2618" s="161" t="str">
        <f t="shared" si="6"/>
        <v>brookma01,2018-19</v>
      </c>
      <c r="Z2618" s="168" t="str">
        <f t="array" ref="Z2618">iferror(index(I:I,match($A2618&amp;","&amp;index('Year Conversion'!$A:$A,match($C2618,'Year Conversion'!$B:$B,0)),$Y:$Y,0))-I2618,"")</f>
        <v/>
      </c>
      <c r="AA2618" s="168" t="str">
        <f t="array" ref="AA2618">iferror(index(J:J,match($A2618&amp;","&amp;index('Year Conversion'!$A:$A,match($C2618,'Year Conversion'!$B:$B,0)),$Y:$Y,0))-J2618,"")</f>
        <v/>
      </c>
      <c r="AB2618" s="168" t="str">
        <f t="array" ref="AB2618">iferror(index(K:K,match($A2618&amp;","&amp;index('Year Conversion'!$A:$A,match($C2618,'Year Conversion'!$B:$B,0)),$Y:$Y,0))-K2618,"")</f>
        <v/>
      </c>
      <c r="AC2618" s="168" t="str">
        <f t="shared" si="7"/>
        <v>MEM,2018-19</v>
      </c>
    </row>
    <row r="2619">
      <c r="A2619" s="161" t="str">
        <f>IFERROR(__xludf.DUMMYFUNCTION("""COMPUTED_VALUE"""),"josepco01")</f>
        <v>josepco01</v>
      </c>
      <c r="B2619" s="161" t="str">
        <f>IFERROR(__xludf.DUMMYFUNCTION("""COMPUTED_VALUE"""),"Cory Joseph")</f>
        <v>Cory Joseph</v>
      </c>
      <c r="C2619" s="162" t="str">
        <f>IFERROR(__xludf.DUMMYFUNCTION("""COMPUTED_VALUE"""),"2018-19")</f>
        <v>2018-19</v>
      </c>
      <c r="D2619" s="163" t="str">
        <f>IFERROR(__xludf.DUMMYFUNCTION("""COMPUTED_VALUE"""),"IND")</f>
        <v>IND</v>
      </c>
      <c r="E2619" s="164" t="str">
        <f>IFERROR(__xludf.DUMMYFUNCTION("""COMPUTED_VALUE"""),"Primary Ball Handler")</f>
        <v>Primary Ball Handler</v>
      </c>
      <c r="F2619" s="164">
        <f>IFERROR(__xludf.DUMMYFUNCTION("""COMPUTED_VALUE"""),2063.48166666667)</f>
        <v>2063.481667</v>
      </c>
      <c r="G2619" s="163">
        <f>IFERROR(__xludf.DUMMYFUNCTION("""COMPUTED_VALUE"""),82.0)</f>
        <v>82</v>
      </c>
      <c r="H2619" s="163" t="str">
        <f>IFERROR(__xludf.DUMMYFUNCTION("""COMPUTED_VALUE"""),"PG")</f>
        <v>PG</v>
      </c>
      <c r="I2619" s="163">
        <f>IFERROR(__xludf.DUMMYFUNCTION("""COMPUTED_VALUE"""),27.0)</f>
        <v>27</v>
      </c>
      <c r="J2619" s="165">
        <f>IFERROR(__xludf.DUMMYFUNCTION("""COMPUTED_VALUE"""),0.821615895574252)</f>
        <v>0.8216158956</v>
      </c>
      <c r="K2619" s="165">
        <f>IFERROR(__xludf.DUMMYFUNCTION("""COMPUTED_VALUE"""),-0.650371904700955)</f>
        <v>-0.6503719047</v>
      </c>
      <c r="L2619" s="165">
        <f>IFERROR(__xludf.DUMMYFUNCTION("""COMPUTED_VALUE"""),1.47198780027521)</f>
        <v>1.4719878</v>
      </c>
      <c r="M2619" s="166">
        <f t="shared" si="2"/>
        <v>4.323144446</v>
      </c>
      <c r="N2619" s="167">
        <f t="shared" si="3"/>
        <v>25.16441057</v>
      </c>
      <c r="O2619" s="163">
        <f t="shared" ref="O2619:Q2619" si="2623">rank(I2619,I:I)</f>
        <v>1366</v>
      </c>
      <c r="P2619" s="163">
        <f t="shared" si="2623"/>
        <v>724</v>
      </c>
      <c r="Q2619" s="163">
        <f t="shared" si="2623"/>
        <v>2333</v>
      </c>
      <c r="R2619" s="163">
        <f>IFERROR(__xludf.DUMMYFUNCTION("RANK(M2619,filter(M:M,C:C=C2619))"),77.0)</f>
        <v>77</v>
      </c>
      <c r="S2619" s="161" t="b">
        <f t="shared" si="5"/>
        <v>0</v>
      </c>
      <c r="T2619" s="161" t="b">
        <f t="array" ref="T2619">index('Query Tool'!B:B,match(H2619,'Query Tool'!C:C,0))</f>
        <v>1</v>
      </c>
      <c r="U2619" s="161" t="b">
        <f t="array" ref="U2619">index('Query Tool'!B:B,match(C2619,'Query Tool'!C:C,0))</f>
        <v>0</v>
      </c>
      <c r="V2619" s="161" t="b">
        <f>F2619&gt;='Query Tool'!C$32</f>
        <v>1</v>
      </c>
      <c r="W2619" s="161" t="b">
        <f t="array" ref="W2619">index(Dropdowns!B:B,match(I2619,Dropdowns!A:A,0))</f>
        <v>1</v>
      </c>
      <c r="X2619" s="161" t="b">
        <f t="array" ref="X2619">index('Query Tool'!B:B,match(D2619,'Query Tool'!C:C,0))</f>
        <v>1</v>
      </c>
      <c r="Y2619" s="161" t="str">
        <f t="shared" si="6"/>
        <v>josepco01,2018-19</v>
      </c>
      <c r="Z2619" s="168">
        <f t="array" ref="Z2619">iferror(index(I:I,match($A2619&amp;","&amp;index('Year Conversion'!$A:$A,match($C2619,'Year Conversion'!$B:$B,0)),$Y:$Y,0))-I2619,"")</f>
        <v>1</v>
      </c>
      <c r="AA2619" s="168">
        <f t="array" ref="AA2619">iferror(index(J:J,match($A2619&amp;","&amp;index('Year Conversion'!$A:$A,match($C2619,'Year Conversion'!$B:$B,0)),$Y:$Y,0))-J2619,"")</f>
        <v>-1.948856473</v>
      </c>
      <c r="AB2619" s="168">
        <f t="array" ref="AB2619">iferror(index(K:K,match($A2619&amp;","&amp;index('Year Conversion'!$A:$A,match($C2619,'Year Conversion'!$B:$B,0)),$Y:$Y,0))-K2619,"")</f>
        <v>-0.3768678806</v>
      </c>
      <c r="AC2619" s="168" t="str">
        <f t="shared" si="7"/>
        <v>IND,2018-19</v>
      </c>
    </row>
    <row r="2620">
      <c r="A2620" s="161" t="str">
        <f>IFERROR(__xludf.DUMMYFUNCTION("""COMPUTED_VALUE"""),"butleji01")</f>
        <v>butleji01</v>
      </c>
      <c r="B2620" s="161" t="str">
        <f>IFERROR(__xludf.DUMMYFUNCTION("""COMPUTED_VALUE"""),"Jimmy Butler")</f>
        <v>Jimmy Butler</v>
      </c>
      <c r="C2620" s="162" t="str">
        <f>IFERROR(__xludf.DUMMYFUNCTION("""COMPUTED_VALUE"""),"2018-19")</f>
        <v>2018-19</v>
      </c>
      <c r="D2620" s="163" t="str">
        <f>IFERROR(__xludf.DUMMYFUNCTION("""COMPUTED_VALUE"""),"TOT")</f>
        <v>TOT</v>
      </c>
      <c r="E2620" s="164" t="str">
        <f>IFERROR(__xludf.DUMMYFUNCTION("""COMPUTED_VALUE"""),"Shot Creator")</f>
        <v>Shot Creator</v>
      </c>
      <c r="F2620" s="164">
        <f>IFERROR(__xludf.DUMMYFUNCTION("""COMPUTED_VALUE"""),2184.97666666667)</f>
        <v>2184.976667</v>
      </c>
      <c r="G2620" s="163">
        <f>IFERROR(__xludf.DUMMYFUNCTION("""COMPUTED_VALUE"""),65.0)</f>
        <v>65</v>
      </c>
      <c r="H2620" s="163" t="str">
        <f>IFERROR(__xludf.DUMMYFUNCTION("""COMPUTED_VALUE"""),"SF-SG")</f>
        <v>SF-SG</v>
      </c>
      <c r="I2620" s="163">
        <f>IFERROR(__xludf.DUMMYFUNCTION("""COMPUTED_VALUE"""),29.0)</f>
        <v>29</v>
      </c>
      <c r="J2620" s="165">
        <f>IFERROR(__xludf.DUMMYFUNCTION("""COMPUTED_VALUE"""),1.93200088983521)</f>
        <v>1.93200089</v>
      </c>
      <c r="K2620" s="165">
        <f>IFERROR(__xludf.DUMMYFUNCTION("""COMPUTED_VALUE"""),1.27775518282282)</f>
        <v>1.277755183</v>
      </c>
      <c r="L2620" s="165">
        <f>IFERROR(__xludf.DUMMYFUNCTION("""COMPUTED_VALUE"""),0.654245707012389)</f>
        <v>0.654245707</v>
      </c>
      <c r="M2620" s="166">
        <f t="shared" si="2"/>
        <v>6.199848638</v>
      </c>
      <c r="N2620" s="167">
        <f t="shared" si="3"/>
        <v>33.61502564</v>
      </c>
      <c r="O2620" s="163">
        <f t="shared" ref="O2620:Q2620" si="2624">rank(I2620,I:I)</f>
        <v>855</v>
      </c>
      <c r="P2620" s="163">
        <f t="shared" si="2624"/>
        <v>336</v>
      </c>
      <c r="Q2620" s="163">
        <f t="shared" si="2624"/>
        <v>393</v>
      </c>
      <c r="R2620" s="163">
        <f>IFERROR(__xludf.DUMMYFUNCTION("RANK(M2620,filter(M:M,C:C=C2620))"),42.0)</f>
        <v>42</v>
      </c>
      <c r="S2620" s="161" t="b">
        <f t="shared" si="5"/>
        <v>0</v>
      </c>
      <c r="T2620" s="161" t="str">
        <f t="array" ref="T2620">index('Query Tool'!B:B,match(H2620,'Query Tool'!C:C,0))</f>
        <v>#N/A</v>
      </c>
      <c r="U2620" s="161" t="b">
        <f t="array" ref="U2620">index('Query Tool'!B:B,match(C2620,'Query Tool'!C:C,0))</f>
        <v>0</v>
      </c>
      <c r="V2620" s="161" t="b">
        <f>F2620&gt;='Query Tool'!C$32</f>
        <v>1</v>
      </c>
      <c r="W2620" s="161" t="b">
        <f t="array" ref="W2620">index(Dropdowns!B:B,match(I2620,Dropdowns!A:A,0))</f>
        <v>1</v>
      </c>
      <c r="X2620" s="161" t="b">
        <f t="array" ref="X2620">index('Query Tool'!B:B,match(D2620,'Query Tool'!C:C,0))</f>
        <v>1</v>
      </c>
      <c r="Y2620" s="161" t="str">
        <f t="shared" si="6"/>
        <v>butleji01,2018-19</v>
      </c>
      <c r="Z2620" s="168">
        <f t="array" ref="Z2620">iferror(index(I:I,match($A2620&amp;","&amp;index('Year Conversion'!$A:$A,match($C2620,'Year Conversion'!$B:$B,0)),$Y:$Y,0))-I2620,"")</f>
        <v>1</v>
      </c>
      <c r="AA2620" s="168">
        <f t="array" ref="AA2620">iferror(index(J:J,match($A2620&amp;","&amp;index('Year Conversion'!$A:$A,match($C2620,'Year Conversion'!$B:$B,0)),$Y:$Y,0))-J2620,"")</f>
        <v>3.122362856</v>
      </c>
      <c r="AB2620" s="168">
        <f t="array" ref="AB2620">iferror(index(K:K,match($A2620&amp;","&amp;index('Year Conversion'!$A:$A,match($C2620,'Year Conversion'!$B:$B,0)),$Y:$Y,0))-K2620,"")</f>
        <v>2.805860582</v>
      </c>
      <c r="AC2620" s="168" t="str">
        <f t="shared" si="7"/>
        <v>TOT,2018-19</v>
      </c>
    </row>
    <row r="2621">
      <c r="A2621" s="161" t="str">
        <f>IFERROR(__xludf.DUMMYFUNCTION("""COMPUTED_VALUE"""),"bogdabo02")</f>
        <v>bogdabo02</v>
      </c>
      <c r="B2621" s="161" t="str">
        <f>IFERROR(__xludf.DUMMYFUNCTION("""COMPUTED_VALUE"""),"Bojan Bogdanovic")</f>
        <v>Bojan Bogdanovic</v>
      </c>
      <c r="C2621" s="162" t="str">
        <f>IFERROR(__xludf.DUMMYFUNCTION("""COMPUTED_VALUE"""),"2018-19")</f>
        <v>2018-19</v>
      </c>
      <c r="D2621" s="163" t="str">
        <f>IFERROR(__xludf.DUMMYFUNCTION("""COMPUTED_VALUE"""),"IND")</f>
        <v>IND</v>
      </c>
      <c r="E2621" s="164" t="str">
        <f>IFERROR(__xludf.DUMMYFUNCTION("""COMPUTED_VALUE"""),"Off Screen Shooter")</f>
        <v>Off Screen Shooter</v>
      </c>
      <c r="F2621" s="164">
        <f>IFERROR(__xludf.DUMMYFUNCTION("""COMPUTED_VALUE"""),2573.05833333333)</f>
        <v>2573.058333</v>
      </c>
      <c r="G2621" s="163">
        <f>IFERROR(__xludf.DUMMYFUNCTION("""COMPUTED_VALUE"""),81.0)</f>
        <v>81</v>
      </c>
      <c r="H2621" s="163" t="str">
        <f>IFERROR(__xludf.DUMMYFUNCTION("""COMPUTED_VALUE"""),"SF")</f>
        <v>SF</v>
      </c>
      <c r="I2621" s="163">
        <f>IFERROR(__xludf.DUMMYFUNCTION("""COMPUTED_VALUE"""),29.0)</f>
        <v>29</v>
      </c>
      <c r="J2621" s="165">
        <f>IFERROR(__xludf.DUMMYFUNCTION("""COMPUTED_VALUE"""),0.236411193245557)</f>
        <v>0.2364111932</v>
      </c>
      <c r="K2621" s="165">
        <f>IFERROR(__xludf.DUMMYFUNCTION("""COMPUTED_VALUE"""),0.391127611038264)</f>
        <v>0.391127611</v>
      </c>
      <c r="L2621" s="165">
        <f>IFERROR(__xludf.DUMMYFUNCTION("""COMPUTED_VALUE"""),-0.154716417792707)</f>
        <v>-0.1547164178</v>
      </c>
      <c r="M2621" s="166">
        <f t="shared" si="2"/>
        <v>4.376875949</v>
      </c>
      <c r="N2621" s="167">
        <f t="shared" si="3"/>
        <v>31.76615226</v>
      </c>
      <c r="O2621" s="163">
        <f t="shared" ref="O2621:Q2621" si="2625">rank(I2621,I:I)</f>
        <v>855</v>
      </c>
      <c r="P2621" s="163">
        <f t="shared" si="2625"/>
        <v>1063</v>
      </c>
      <c r="Q2621" s="163">
        <f t="shared" si="2625"/>
        <v>840</v>
      </c>
      <c r="R2621" s="163">
        <f>IFERROR(__xludf.DUMMYFUNCTION("RANK(M2621,filter(M:M,C:C=C2621))"),74.0)</f>
        <v>74</v>
      </c>
      <c r="S2621" s="161" t="b">
        <f t="shared" si="5"/>
        <v>0</v>
      </c>
      <c r="T2621" s="161" t="b">
        <f t="array" ref="T2621">index('Query Tool'!B:B,match(H2621,'Query Tool'!C:C,0))</f>
        <v>1</v>
      </c>
      <c r="U2621" s="161" t="b">
        <f t="array" ref="U2621">index('Query Tool'!B:B,match(C2621,'Query Tool'!C:C,0))</f>
        <v>0</v>
      </c>
      <c r="V2621" s="161" t="b">
        <f>F2621&gt;='Query Tool'!C$32</f>
        <v>1</v>
      </c>
      <c r="W2621" s="161" t="b">
        <f t="array" ref="W2621">index(Dropdowns!B:B,match(I2621,Dropdowns!A:A,0))</f>
        <v>1</v>
      </c>
      <c r="X2621" s="161" t="b">
        <f t="array" ref="X2621">index('Query Tool'!B:B,match(D2621,'Query Tool'!C:C,0))</f>
        <v>1</v>
      </c>
      <c r="Y2621" s="161" t="str">
        <f t="shared" si="6"/>
        <v>bogdabo02,2018-19</v>
      </c>
      <c r="Z2621" s="168">
        <f t="array" ref="Z2621">iferror(index(I:I,match($A2621&amp;","&amp;index('Year Conversion'!$A:$A,match($C2621,'Year Conversion'!$B:$B,0)),$Y:$Y,0))-I2621,"")</f>
        <v>1</v>
      </c>
      <c r="AA2621" s="168">
        <f t="array" ref="AA2621">iferror(index(J:J,match($A2621&amp;","&amp;index('Year Conversion'!$A:$A,match($C2621,'Year Conversion'!$B:$B,0)),$Y:$Y,0))-J2621,"")</f>
        <v>-0.148678506</v>
      </c>
      <c r="AB2621" s="168">
        <f t="array" ref="AB2621">iferror(index(K:K,match($A2621&amp;","&amp;index('Year Conversion'!$A:$A,match($C2621,'Year Conversion'!$B:$B,0)),$Y:$Y,0))-K2621,"")</f>
        <v>0.9205993368</v>
      </c>
      <c r="AC2621" s="168" t="str">
        <f t="shared" si="7"/>
        <v>IND,2018-19</v>
      </c>
    </row>
    <row r="2622">
      <c r="A2622" s="161" t="str">
        <f>IFERROR(__xludf.DUMMYFUNCTION("""COMPUTED_VALUE"""),"macksh01")</f>
        <v>macksh01</v>
      </c>
      <c r="B2622" s="161" t="str">
        <f>IFERROR(__xludf.DUMMYFUNCTION("""COMPUTED_VALUE"""),"Shelvin Mack")</f>
        <v>Shelvin Mack</v>
      </c>
      <c r="C2622" s="162" t="str">
        <f>IFERROR(__xludf.DUMMYFUNCTION("""COMPUTED_VALUE"""),"2018-19")</f>
        <v>2018-19</v>
      </c>
      <c r="D2622" s="163" t="str">
        <f>IFERROR(__xludf.DUMMYFUNCTION("""COMPUTED_VALUE"""),"TOT")</f>
        <v>TOT</v>
      </c>
      <c r="E2622" s="164" t="str">
        <f>IFERROR(__xludf.DUMMYFUNCTION("""COMPUTED_VALUE"""),"Primary Ball Handler")</f>
        <v>Primary Ball Handler</v>
      </c>
      <c r="F2622" s="164">
        <f>IFERROR(__xludf.DUMMYFUNCTION("""COMPUTED_VALUE"""),1246.645)</f>
        <v>1246.645</v>
      </c>
      <c r="G2622" s="163">
        <f>IFERROR(__xludf.DUMMYFUNCTION("""COMPUTED_VALUE"""),57.0)</f>
        <v>57</v>
      </c>
      <c r="H2622" s="163" t="str">
        <f>IFERROR(__xludf.DUMMYFUNCTION("""COMPUTED_VALUE"""),"PG")</f>
        <v>PG</v>
      </c>
      <c r="I2622" s="163">
        <f>IFERROR(__xludf.DUMMYFUNCTION("""COMPUTED_VALUE"""),28.0)</f>
        <v>28</v>
      </c>
      <c r="J2622" s="165">
        <f>IFERROR(__xludf.DUMMYFUNCTION("""COMPUTED_VALUE"""),-2.54911008265221)</f>
        <v>-2.549110083</v>
      </c>
      <c r="K2622" s="165">
        <f>IFERROR(__xludf.DUMMYFUNCTION("""COMPUTED_VALUE"""),-1.46036291726701)</f>
        <v>-1.460362917</v>
      </c>
      <c r="L2622" s="165">
        <f>IFERROR(__xludf.DUMMYFUNCTION("""COMPUTED_VALUE"""),-1.08874716538521)</f>
        <v>-1.088747165</v>
      </c>
      <c r="M2622" s="166">
        <f t="shared" si="2"/>
        <v>-0.2014202252</v>
      </c>
      <c r="N2622" s="167">
        <f t="shared" si="3"/>
        <v>21.87096491</v>
      </c>
      <c r="O2622" s="163">
        <f t="shared" ref="O2622:Q2622" si="2626">rank(I2622,I:I)</f>
        <v>1090</v>
      </c>
      <c r="P2622" s="163">
        <f t="shared" si="2626"/>
        <v>3773</v>
      </c>
      <c r="Q2622" s="163">
        <f t="shared" si="2626"/>
        <v>3309</v>
      </c>
      <c r="R2622" s="163">
        <f>IFERROR(__xludf.DUMMYFUNCTION("RANK(M2622,filter(M:M,C:C=C2622))"),504.0)</f>
        <v>504</v>
      </c>
      <c r="S2622" s="161" t="b">
        <f t="shared" si="5"/>
        <v>0</v>
      </c>
      <c r="T2622" s="161" t="b">
        <f t="array" ref="T2622">index('Query Tool'!B:B,match(H2622,'Query Tool'!C:C,0))</f>
        <v>1</v>
      </c>
      <c r="U2622" s="161" t="b">
        <f t="array" ref="U2622">index('Query Tool'!B:B,match(C2622,'Query Tool'!C:C,0))</f>
        <v>0</v>
      </c>
      <c r="V2622" s="161" t="b">
        <f>F2622&gt;='Query Tool'!C$32</f>
        <v>1</v>
      </c>
      <c r="W2622" s="161" t="b">
        <f t="array" ref="W2622">index(Dropdowns!B:B,match(I2622,Dropdowns!A:A,0))</f>
        <v>1</v>
      </c>
      <c r="X2622" s="161" t="b">
        <f t="array" ref="X2622">index('Query Tool'!B:B,match(D2622,'Query Tool'!C:C,0))</f>
        <v>1</v>
      </c>
      <c r="Y2622" s="161" t="str">
        <f t="shared" si="6"/>
        <v>macksh01,2018-19</v>
      </c>
      <c r="Z2622" s="168" t="str">
        <f t="array" ref="Z2622">iferror(index(I:I,match($A2622&amp;","&amp;index('Year Conversion'!$A:$A,match($C2622,'Year Conversion'!$B:$B,0)),$Y:$Y,0))-I2622,"")</f>
        <v/>
      </c>
      <c r="AA2622" s="168" t="str">
        <f t="array" ref="AA2622">iferror(index(J:J,match($A2622&amp;","&amp;index('Year Conversion'!$A:$A,match($C2622,'Year Conversion'!$B:$B,0)),$Y:$Y,0))-J2622,"")</f>
        <v/>
      </c>
      <c r="AB2622" s="168" t="str">
        <f t="array" ref="AB2622">iferror(index(K:K,match($A2622&amp;","&amp;index('Year Conversion'!$A:$A,match($C2622,'Year Conversion'!$B:$B,0)),$Y:$Y,0))-K2622,"")</f>
        <v/>
      </c>
      <c r="AC2622" s="168" t="str">
        <f t="shared" si="7"/>
        <v>TOT,2018-19</v>
      </c>
    </row>
    <row r="2623">
      <c r="A2623" s="161" t="str">
        <f>IFERROR(__xludf.DUMMYFUNCTION("""COMPUTED_VALUE"""),"parsoch01")</f>
        <v>parsoch01</v>
      </c>
      <c r="B2623" s="161" t="str">
        <f>IFERROR(__xludf.DUMMYFUNCTION("""COMPUTED_VALUE"""),"Chandler Parsons")</f>
        <v>Chandler Parsons</v>
      </c>
      <c r="C2623" s="162" t="str">
        <f>IFERROR(__xludf.DUMMYFUNCTION("""COMPUTED_VALUE"""),"2018-19")</f>
        <v>2018-19</v>
      </c>
      <c r="D2623" s="163" t="str">
        <f>IFERROR(__xludf.DUMMYFUNCTION("""COMPUTED_VALUE"""),"MEM")</f>
        <v>MEM</v>
      </c>
      <c r="E2623" s="164" t="str">
        <f>IFERROR(__xludf.DUMMYFUNCTION("""COMPUTED_VALUE"""),"Secondary Ball Handler")</f>
        <v>Secondary Ball Handler</v>
      </c>
      <c r="F2623" s="164">
        <f>IFERROR(__xludf.DUMMYFUNCTION("""COMPUTED_VALUE"""),495.77)</f>
        <v>495.77</v>
      </c>
      <c r="G2623" s="163">
        <f>IFERROR(__xludf.DUMMYFUNCTION("""COMPUTED_VALUE"""),25.0)</f>
        <v>25</v>
      </c>
      <c r="H2623" s="163" t="str">
        <f>IFERROR(__xludf.DUMMYFUNCTION("""COMPUTED_VALUE"""),"SF")</f>
        <v>SF</v>
      </c>
      <c r="I2623" s="163">
        <f>IFERROR(__xludf.DUMMYFUNCTION("""COMPUTED_VALUE"""),30.0)</f>
        <v>30</v>
      </c>
      <c r="J2623" s="165">
        <f>IFERROR(__xludf.DUMMYFUNCTION("""COMPUTED_VALUE"""),-2.58890334967468)</f>
        <v>-2.58890335</v>
      </c>
      <c r="K2623" s="165">
        <f>IFERROR(__xludf.DUMMYFUNCTION("""COMPUTED_VALUE"""),-1.91515594118422)</f>
        <v>-1.915155941</v>
      </c>
      <c r="L2623" s="165">
        <f>IFERROR(__xludf.DUMMYFUNCTION("""COMPUTED_VALUE"""),-0.673747408490463)</f>
        <v>-0.6737474085</v>
      </c>
      <c r="M2623" s="166">
        <f t="shared" si="2"/>
        <v>-0.09304285068</v>
      </c>
      <c r="N2623" s="167">
        <f t="shared" si="3"/>
        <v>19.8308</v>
      </c>
      <c r="O2623" s="163">
        <f t="shared" ref="O2623:Q2623" si="2627">rank(I2623,I:I)</f>
        <v>655</v>
      </c>
      <c r="P2623" s="163">
        <f t="shared" si="2627"/>
        <v>3782</v>
      </c>
      <c r="Q2623" s="163">
        <f t="shared" si="2627"/>
        <v>3660</v>
      </c>
      <c r="R2623" s="163">
        <f>IFERROR(__xludf.DUMMYFUNCTION("RANK(M2623,filter(M:M,C:C=C2623))"),493.0)</f>
        <v>493</v>
      </c>
      <c r="S2623" s="161" t="b">
        <f t="shared" si="5"/>
        <v>0</v>
      </c>
      <c r="T2623" s="161" t="b">
        <f t="array" ref="T2623">index('Query Tool'!B:B,match(H2623,'Query Tool'!C:C,0))</f>
        <v>1</v>
      </c>
      <c r="U2623" s="161" t="b">
        <f t="array" ref="U2623">index('Query Tool'!B:B,match(C2623,'Query Tool'!C:C,0))</f>
        <v>0</v>
      </c>
      <c r="V2623" s="161" t="b">
        <f>F2623&gt;='Query Tool'!C$32</f>
        <v>0</v>
      </c>
      <c r="W2623" s="161" t="b">
        <f t="array" ref="W2623">index(Dropdowns!B:B,match(I2623,Dropdowns!A:A,0))</f>
        <v>1</v>
      </c>
      <c r="X2623" s="161" t="b">
        <f t="array" ref="X2623">index('Query Tool'!B:B,match(D2623,'Query Tool'!C:C,0))</f>
        <v>1</v>
      </c>
      <c r="Y2623" s="161" t="str">
        <f t="shared" si="6"/>
        <v>parsoch01,2018-19</v>
      </c>
      <c r="Z2623" s="168">
        <f t="array" ref="Z2623">iferror(index(I:I,match($A2623&amp;","&amp;index('Year Conversion'!$A:$A,match($C2623,'Year Conversion'!$B:$B,0)),$Y:$Y,0))-I2623,"")</f>
        <v>1</v>
      </c>
      <c r="AA2623" s="168">
        <f t="array" ref="AA2623">iferror(index(J:J,match($A2623&amp;","&amp;index('Year Conversion'!$A:$A,match($C2623,'Year Conversion'!$B:$B,0)),$Y:$Y,0))-J2623,"")</f>
        <v>1.9193224</v>
      </c>
      <c r="AB2623" s="168">
        <f t="array" ref="AB2623">iferror(index(K:K,match($A2623&amp;","&amp;index('Year Conversion'!$A:$A,match($C2623,'Year Conversion'!$B:$B,0)),$Y:$Y,0))-K2623,"")</f>
        <v>1.486563979</v>
      </c>
      <c r="AC2623" s="168" t="str">
        <f t="shared" si="7"/>
        <v>MEM,2018-19</v>
      </c>
    </row>
    <row r="2624">
      <c r="A2624" s="161" t="str">
        <f>IFERROR(__xludf.DUMMYFUNCTION("""COMPUTED_VALUE"""),"leuerjo01")</f>
        <v>leuerjo01</v>
      </c>
      <c r="B2624" s="161" t="str">
        <f>IFERROR(__xludf.DUMMYFUNCTION("""COMPUTED_VALUE"""),"Jon Leuer")</f>
        <v>Jon Leuer</v>
      </c>
      <c r="C2624" s="162" t="str">
        <f>IFERROR(__xludf.DUMMYFUNCTION("""COMPUTED_VALUE"""),"2018-19")</f>
        <v>2018-19</v>
      </c>
      <c r="D2624" s="163" t="str">
        <f>IFERROR(__xludf.DUMMYFUNCTION("""COMPUTED_VALUE"""),"DET")</f>
        <v>DET</v>
      </c>
      <c r="E2624" s="164" t="str">
        <f>IFERROR(__xludf.DUMMYFUNCTION("""COMPUTED_VALUE"""),"Roll + Cut Big")</f>
        <v>Roll + Cut Big</v>
      </c>
      <c r="F2624" s="164">
        <f>IFERROR(__xludf.DUMMYFUNCTION("""COMPUTED_VALUE"""),402.368333333333)</f>
        <v>402.3683333</v>
      </c>
      <c r="G2624" s="163">
        <f>IFERROR(__xludf.DUMMYFUNCTION("""COMPUTED_VALUE"""),41.0)</f>
        <v>41</v>
      </c>
      <c r="H2624" s="163" t="str">
        <f>IFERROR(__xludf.DUMMYFUNCTION("""COMPUTED_VALUE"""),"PF")</f>
        <v>PF</v>
      </c>
      <c r="I2624" s="163">
        <f>IFERROR(__xludf.DUMMYFUNCTION("""COMPUTED_VALUE"""),29.0)</f>
        <v>29</v>
      </c>
      <c r="J2624" s="165">
        <f>IFERROR(__xludf.DUMMYFUNCTION("""COMPUTED_VALUE"""),-1.78109058733178)</f>
        <v>-1.781090587</v>
      </c>
      <c r="K2624" s="165">
        <f>IFERROR(__xludf.DUMMYFUNCTION("""COMPUTED_VALUE"""),-2.0200087185097)</f>
        <v>-2.020008719</v>
      </c>
      <c r="L2624" s="165">
        <f>IFERROR(__xludf.DUMMYFUNCTION("""COMPUTED_VALUE"""),0.238918131177914)</f>
        <v>0.2389181312</v>
      </c>
      <c r="M2624" s="166">
        <f t="shared" si="2"/>
        <v>0.1392747702</v>
      </c>
      <c r="N2624" s="167">
        <f t="shared" si="3"/>
        <v>9.813861789</v>
      </c>
      <c r="O2624" s="163">
        <f t="shared" ref="O2624:Q2624" si="2628">rank(I2624,I:I)</f>
        <v>855</v>
      </c>
      <c r="P2624" s="163">
        <f t="shared" si="2628"/>
        <v>3312</v>
      </c>
      <c r="Q2624" s="163">
        <f t="shared" si="2628"/>
        <v>3716</v>
      </c>
      <c r="R2624" s="163">
        <f>IFERROR(__xludf.DUMMYFUNCTION("RANK(M2624,filter(M:M,C:C=C2624))"),370.0)</f>
        <v>370</v>
      </c>
      <c r="S2624" s="161" t="b">
        <f t="shared" si="5"/>
        <v>0</v>
      </c>
      <c r="T2624" s="161" t="b">
        <f t="array" ref="T2624">index('Query Tool'!B:B,match(H2624,'Query Tool'!C:C,0))</f>
        <v>1</v>
      </c>
      <c r="U2624" s="161" t="b">
        <f t="array" ref="U2624">index('Query Tool'!B:B,match(C2624,'Query Tool'!C:C,0))</f>
        <v>0</v>
      </c>
      <c r="V2624" s="161" t="b">
        <f>F2624&gt;='Query Tool'!C$32</f>
        <v>0</v>
      </c>
      <c r="W2624" s="161" t="b">
        <f t="array" ref="W2624">index(Dropdowns!B:B,match(I2624,Dropdowns!A:A,0))</f>
        <v>1</v>
      </c>
      <c r="X2624" s="161" t="b">
        <f t="array" ref="X2624">index('Query Tool'!B:B,match(D2624,'Query Tool'!C:C,0))</f>
        <v>1</v>
      </c>
      <c r="Y2624" s="161" t="str">
        <f t="shared" si="6"/>
        <v>leuerjo01,2018-19</v>
      </c>
      <c r="Z2624" s="168" t="str">
        <f t="array" ref="Z2624">iferror(index(I:I,match($A2624&amp;","&amp;index('Year Conversion'!$A:$A,match($C2624,'Year Conversion'!$B:$B,0)),$Y:$Y,0))-I2624,"")</f>
        <v/>
      </c>
      <c r="AA2624" s="168" t="str">
        <f t="array" ref="AA2624">iferror(index(J:J,match($A2624&amp;","&amp;index('Year Conversion'!$A:$A,match($C2624,'Year Conversion'!$B:$B,0)),$Y:$Y,0))-J2624,"")</f>
        <v/>
      </c>
      <c r="AB2624" s="168" t="str">
        <f t="array" ref="AB2624">iferror(index(K:K,match($A2624&amp;","&amp;index('Year Conversion'!$A:$A,match($C2624,'Year Conversion'!$B:$B,0)),$Y:$Y,0))-K2624,"")</f>
        <v/>
      </c>
      <c r="AC2624" s="168" t="str">
        <f t="shared" si="7"/>
        <v>DET,2018-19</v>
      </c>
    </row>
    <row r="2625">
      <c r="A2625" s="161" t="str">
        <f>IFERROR(__xludf.DUMMYFUNCTION("""COMPUTED_VALUE"""),"bertada01")</f>
        <v>bertada01</v>
      </c>
      <c r="B2625" s="161" t="str">
        <f>IFERROR(__xludf.DUMMYFUNCTION("""COMPUTED_VALUE"""),"Davis Bertans")</f>
        <v>Davis Bertans</v>
      </c>
      <c r="C2625" s="162" t="str">
        <f>IFERROR(__xludf.DUMMYFUNCTION("""COMPUTED_VALUE"""),"2018-19")</f>
        <v>2018-19</v>
      </c>
      <c r="D2625" s="163" t="str">
        <f>IFERROR(__xludf.DUMMYFUNCTION("""COMPUTED_VALUE"""),"SAS")</f>
        <v>SAS</v>
      </c>
      <c r="E2625" s="164" t="str">
        <f>IFERROR(__xludf.DUMMYFUNCTION("""COMPUTED_VALUE"""),"Movement Shooter")</f>
        <v>Movement Shooter</v>
      </c>
      <c r="F2625" s="164">
        <f>IFERROR(__xludf.DUMMYFUNCTION("""COMPUTED_VALUE"""),1631.70833333333)</f>
        <v>1631.708333</v>
      </c>
      <c r="G2625" s="163">
        <f>IFERROR(__xludf.DUMMYFUNCTION("""COMPUTED_VALUE"""),76.0)</f>
        <v>76</v>
      </c>
      <c r="H2625" s="163" t="str">
        <f>IFERROR(__xludf.DUMMYFUNCTION("""COMPUTED_VALUE"""),"PF")</f>
        <v>PF</v>
      </c>
      <c r="I2625" s="163">
        <f>IFERROR(__xludf.DUMMYFUNCTION("""COMPUTED_VALUE"""),26.0)</f>
        <v>26</v>
      </c>
      <c r="J2625" s="165">
        <f>IFERROR(__xludf.DUMMYFUNCTION("""COMPUTED_VALUE"""),1.58106531448744)</f>
        <v>1.581065314</v>
      </c>
      <c r="K2625" s="165">
        <f>IFERROR(__xludf.DUMMYFUNCTION("""COMPUTED_VALUE"""),0.903099911848664)</f>
        <v>0.9030999118</v>
      </c>
      <c r="L2625" s="165">
        <f>IFERROR(__xludf.DUMMYFUNCTION("""COMPUTED_VALUE"""),0.677965402638772)</f>
        <v>0.6779654026</v>
      </c>
      <c r="M2625" s="166">
        <f t="shared" si="2"/>
        <v>4.248835549</v>
      </c>
      <c r="N2625" s="167">
        <f t="shared" si="3"/>
        <v>21.46984649</v>
      </c>
      <c r="O2625" s="163">
        <f t="shared" ref="O2625:Q2625" si="2629">rank(I2625,I:I)</f>
        <v>1665</v>
      </c>
      <c r="P2625" s="163">
        <f t="shared" si="2629"/>
        <v>436</v>
      </c>
      <c r="Q2625" s="163">
        <f t="shared" si="2629"/>
        <v>549</v>
      </c>
      <c r="R2625" s="163">
        <f>IFERROR(__xludf.DUMMYFUNCTION("RANK(M2625,filter(M:M,C:C=C2625))"),78.0)</f>
        <v>78</v>
      </c>
      <c r="S2625" s="161" t="b">
        <f t="shared" si="5"/>
        <v>0</v>
      </c>
      <c r="T2625" s="161" t="b">
        <f t="array" ref="T2625">index('Query Tool'!B:B,match(H2625,'Query Tool'!C:C,0))</f>
        <v>1</v>
      </c>
      <c r="U2625" s="161" t="b">
        <f t="array" ref="U2625">index('Query Tool'!B:B,match(C2625,'Query Tool'!C:C,0))</f>
        <v>0</v>
      </c>
      <c r="V2625" s="161" t="b">
        <f>F2625&gt;='Query Tool'!C$32</f>
        <v>1</v>
      </c>
      <c r="W2625" s="161" t="b">
        <f t="array" ref="W2625">index(Dropdowns!B:B,match(I2625,Dropdowns!A:A,0))</f>
        <v>1</v>
      </c>
      <c r="X2625" s="161" t="b">
        <f t="array" ref="X2625">index('Query Tool'!B:B,match(D2625,'Query Tool'!C:C,0))</f>
        <v>1</v>
      </c>
      <c r="Y2625" s="161" t="str">
        <f t="shared" si="6"/>
        <v>bertada01,2018-19</v>
      </c>
      <c r="Z2625" s="168">
        <f t="array" ref="Z2625">iferror(index(I:I,match($A2625&amp;","&amp;index('Year Conversion'!$A:$A,match($C2625,'Year Conversion'!$B:$B,0)),$Y:$Y,0))-I2625,"")</f>
        <v>1</v>
      </c>
      <c r="AA2625" s="168">
        <f t="array" ref="AA2625">iferror(index(J:J,match($A2625&amp;","&amp;index('Year Conversion'!$A:$A,match($C2625,'Year Conversion'!$B:$B,0)),$Y:$Y,0))-J2625,"")</f>
        <v>-1.661302429</v>
      </c>
      <c r="AB2625" s="168">
        <f t="array" ref="AB2625">iferror(index(K:K,match($A2625&amp;","&amp;index('Year Conversion'!$A:$A,match($C2625,'Year Conversion'!$B:$B,0)),$Y:$Y,0))-K2625,"")</f>
        <v>0.07530956146</v>
      </c>
      <c r="AC2625" s="168" t="str">
        <f t="shared" si="7"/>
        <v>SAS,2018-19</v>
      </c>
    </row>
    <row r="2626">
      <c r="A2626" s="161" t="str">
        <f>IFERROR(__xludf.DUMMYFUNCTION("""COMPUTED_VALUE"""),"mooreet01")</f>
        <v>mooreet01</v>
      </c>
      <c r="B2626" s="161" t="str">
        <f>IFERROR(__xludf.DUMMYFUNCTION("""COMPUTED_VALUE"""),"E'Twaun Moore")</f>
        <v>E'Twaun Moore</v>
      </c>
      <c r="C2626" s="162" t="str">
        <f>IFERROR(__xludf.DUMMYFUNCTION("""COMPUTED_VALUE"""),"2018-19")</f>
        <v>2018-19</v>
      </c>
      <c r="D2626" s="163" t="str">
        <f>IFERROR(__xludf.DUMMYFUNCTION("""COMPUTED_VALUE"""),"NOP")</f>
        <v>NOP</v>
      </c>
      <c r="E2626" s="164" t="str">
        <f>IFERROR(__xludf.DUMMYFUNCTION("""COMPUTED_VALUE"""),"Movement Shooter")</f>
        <v>Movement Shooter</v>
      </c>
      <c r="F2626" s="164">
        <f>IFERROR(__xludf.DUMMYFUNCTION("""COMPUTED_VALUE"""),1463.01333333333)</f>
        <v>1463.013333</v>
      </c>
      <c r="G2626" s="163">
        <f>IFERROR(__xludf.DUMMYFUNCTION("""COMPUTED_VALUE"""),53.0)</f>
        <v>53</v>
      </c>
      <c r="H2626" s="163" t="str">
        <f>IFERROR(__xludf.DUMMYFUNCTION("""COMPUTED_VALUE"""),"SG")</f>
        <v>SG</v>
      </c>
      <c r="I2626" s="163">
        <f>IFERROR(__xludf.DUMMYFUNCTION("""COMPUTED_VALUE"""),29.0)</f>
        <v>29</v>
      </c>
      <c r="J2626" s="165">
        <f>IFERROR(__xludf.DUMMYFUNCTION("""COMPUTED_VALUE"""),-2.47713752251645)</f>
        <v>-2.477137523</v>
      </c>
      <c r="K2626" s="165">
        <f>IFERROR(__xludf.DUMMYFUNCTION("""COMPUTED_VALUE"""),-1.16720338044511)</f>
        <v>-1.16720338</v>
      </c>
      <c r="L2626" s="165">
        <f>IFERROR(__xludf.DUMMYFUNCTION("""COMPUTED_VALUE"""),-1.30993414207134)</f>
        <v>-1.309934142</v>
      </c>
      <c r="M2626" s="166">
        <f t="shared" si="2"/>
        <v>-0.1672252186</v>
      </c>
      <c r="N2626" s="167">
        <f t="shared" si="3"/>
        <v>27.60402516</v>
      </c>
      <c r="O2626" s="163">
        <f t="shared" ref="O2626:Q2626" si="2630">rank(I2626,I:I)</f>
        <v>855</v>
      </c>
      <c r="P2626" s="163">
        <f t="shared" si="2630"/>
        <v>3746</v>
      </c>
      <c r="Q2626" s="163">
        <f t="shared" si="2630"/>
        <v>3006</v>
      </c>
      <c r="R2626" s="163">
        <f>IFERROR(__xludf.DUMMYFUNCTION("RANK(M2626,filter(M:M,C:C=C2626))"),503.0)</f>
        <v>503</v>
      </c>
      <c r="S2626" s="161" t="b">
        <f t="shared" si="5"/>
        <v>0</v>
      </c>
      <c r="T2626" s="161" t="b">
        <f t="array" ref="T2626">index('Query Tool'!B:B,match(H2626,'Query Tool'!C:C,0))</f>
        <v>1</v>
      </c>
      <c r="U2626" s="161" t="b">
        <f t="array" ref="U2626">index('Query Tool'!B:B,match(C2626,'Query Tool'!C:C,0))</f>
        <v>0</v>
      </c>
      <c r="V2626" s="161" t="b">
        <f>F2626&gt;='Query Tool'!C$32</f>
        <v>1</v>
      </c>
      <c r="W2626" s="161" t="b">
        <f t="array" ref="W2626">index(Dropdowns!B:B,match(I2626,Dropdowns!A:A,0))</f>
        <v>1</v>
      </c>
      <c r="X2626" s="161" t="b">
        <f t="array" ref="X2626">index('Query Tool'!B:B,match(D2626,'Query Tool'!C:C,0))</f>
        <v>1</v>
      </c>
      <c r="Y2626" s="161" t="str">
        <f t="shared" si="6"/>
        <v>mooreet01,2018-19</v>
      </c>
      <c r="Z2626" s="168">
        <f t="array" ref="Z2626">iferror(index(I:I,match($A2626&amp;","&amp;index('Year Conversion'!$A:$A,match($C2626,'Year Conversion'!$B:$B,0)),$Y:$Y,0))-I2626,"")</f>
        <v>1</v>
      </c>
      <c r="AA2626" s="168">
        <f t="array" ref="AA2626">iferror(index(J:J,match($A2626&amp;","&amp;index('Year Conversion'!$A:$A,match($C2626,'Year Conversion'!$B:$B,0)),$Y:$Y,0))-J2626,"")</f>
        <v>0.07102433084</v>
      </c>
      <c r="AB2626" s="168">
        <f t="array" ref="AB2626">iferror(index(K:K,match($A2626&amp;","&amp;index('Year Conversion'!$A:$A,match($C2626,'Year Conversion'!$B:$B,0)),$Y:$Y,0))-K2626,"")</f>
        <v>0.2332456093</v>
      </c>
      <c r="AC2626" s="168" t="str">
        <f t="shared" si="7"/>
        <v>NOP,2018-19</v>
      </c>
    </row>
    <row r="2627">
      <c r="A2627" s="161" t="str">
        <f>IFERROR(__xludf.DUMMYFUNCTION("""COMPUTED_VALUE"""),"thomais02")</f>
        <v>thomais02</v>
      </c>
      <c r="B2627" s="161" t="str">
        <f>IFERROR(__xludf.DUMMYFUNCTION("""COMPUTED_VALUE"""),"Isaiah Thomas")</f>
        <v>Isaiah Thomas</v>
      </c>
      <c r="C2627" s="162" t="str">
        <f>IFERROR(__xludf.DUMMYFUNCTION("""COMPUTED_VALUE"""),"2018-19")</f>
        <v>2018-19</v>
      </c>
      <c r="D2627" s="163" t="str">
        <f>IFERROR(__xludf.DUMMYFUNCTION("""COMPUTED_VALUE"""),"DEN")</f>
        <v>DEN</v>
      </c>
      <c r="E2627" s="164" t="str">
        <f>IFERROR(__xludf.DUMMYFUNCTION("""COMPUTED_VALUE"""),"Secondary Ball Handler")</f>
        <v>Secondary Ball Handler</v>
      </c>
      <c r="F2627" s="164">
        <f>IFERROR(__xludf.DUMMYFUNCTION("""COMPUTED_VALUE"""),180.78)</f>
        <v>180.78</v>
      </c>
      <c r="G2627" s="163">
        <f>IFERROR(__xludf.DUMMYFUNCTION("""COMPUTED_VALUE"""),12.0)</f>
        <v>12</v>
      </c>
      <c r="H2627" s="163" t="str">
        <f>IFERROR(__xludf.DUMMYFUNCTION("""COMPUTED_VALUE"""),"SG")</f>
        <v>SG</v>
      </c>
      <c r="I2627" s="163">
        <f>IFERROR(__xludf.DUMMYFUNCTION("""COMPUTED_VALUE"""),29.0)</f>
        <v>29</v>
      </c>
      <c r="J2627" s="165">
        <f>IFERROR(__xludf.DUMMYFUNCTION("""COMPUTED_VALUE"""),-1.32924673022941)</f>
        <v>-1.32924673</v>
      </c>
      <c r="K2627" s="165">
        <f>IFERROR(__xludf.DUMMYFUNCTION("""COMPUTED_VALUE"""),-0.224091224736272)</f>
        <v>-0.2240912247</v>
      </c>
      <c r="L2627" s="165">
        <f>IFERROR(__xludf.DUMMYFUNCTION("""COMPUTED_VALUE"""),-1.10515550549313)</f>
        <v>-1.105155505</v>
      </c>
      <c r="M2627" s="166">
        <f t="shared" si="2"/>
        <v>0.1170903532</v>
      </c>
      <c r="N2627" s="167">
        <f t="shared" si="3"/>
        <v>15.065</v>
      </c>
      <c r="O2627" s="163">
        <f t="shared" ref="O2627:Q2627" si="2631">rank(I2627,I:I)</f>
        <v>855</v>
      </c>
      <c r="P2627" s="163">
        <f t="shared" si="2631"/>
        <v>2894</v>
      </c>
      <c r="Q2627" s="163">
        <f t="shared" si="2631"/>
        <v>1605</v>
      </c>
      <c r="R2627" s="163">
        <f>IFERROR(__xludf.DUMMYFUNCTION("RANK(M2627,filter(M:M,C:C=C2627))"),382.0)</f>
        <v>382</v>
      </c>
      <c r="S2627" s="161" t="b">
        <f t="shared" si="5"/>
        <v>0</v>
      </c>
      <c r="T2627" s="161" t="b">
        <f t="array" ref="T2627">index('Query Tool'!B:B,match(H2627,'Query Tool'!C:C,0))</f>
        <v>1</v>
      </c>
      <c r="U2627" s="161" t="b">
        <f t="array" ref="U2627">index('Query Tool'!B:B,match(C2627,'Query Tool'!C:C,0))</f>
        <v>0</v>
      </c>
      <c r="V2627" s="161" t="b">
        <f>F2627&gt;='Query Tool'!C$32</f>
        <v>0</v>
      </c>
      <c r="W2627" s="161" t="b">
        <f t="array" ref="W2627">index(Dropdowns!B:B,match(I2627,Dropdowns!A:A,0))</f>
        <v>1</v>
      </c>
      <c r="X2627" s="161" t="b">
        <f t="array" ref="X2627">index('Query Tool'!B:B,match(D2627,'Query Tool'!C:C,0))</f>
        <v>1</v>
      </c>
      <c r="Y2627" s="161" t="str">
        <f t="shared" si="6"/>
        <v>thomais02,2018-19</v>
      </c>
      <c r="Z2627" s="168">
        <f t="array" ref="Z2627">iferror(index(I:I,match($A2627&amp;","&amp;index('Year Conversion'!$A:$A,match($C2627,'Year Conversion'!$B:$B,0)),$Y:$Y,0))-I2627,"")</f>
        <v>1</v>
      </c>
      <c r="AA2627" s="168">
        <f t="array" ref="AA2627">iferror(index(J:J,match($A2627&amp;","&amp;index('Year Conversion'!$A:$A,match($C2627,'Year Conversion'!$B:$B,0)),$Y:$Y,0))-J2627,"")</f>
        <v>-1.458772373</v>
      </c>
      <c r="AB2627" s="168">
        <f t="array" ref="AB2627">iferror(index(K:K,match($A2627&amp;","&amp;index('Year Conversion'!$A:$A,match($C2627,'Year Conversion'!$B:$B,0)),$Y:$Y,0))-K2627,"")</f>
        <v>-0.3114815712</v>
      </c>
      <c r="AC2627" s="168" t="str">
        <f t="shared" si="7"/>
        <v>DEN,2018-19</v>
      </c>
    </row>
    <row r="2628">
      <c r="A2628" s="161" t="str">
        <f>IFERROR(__xludf.DUMMYFUNCTION("""COMPUTED_VALUE"""),"wanambr01")</f>
        <v>wanambr01</v>
      </c>
      <c r="B2628" s="161" t="str">
        <f>IFERROR(__xludf.DUMMYFUNCTION("""COMPUTED_VALUE"""),"Brad Wanamaker")</f>
        <v>Brad Wanamaker</v>
      </c>
      <c r="C2628" s="162" t="str">
        <f>IFERROR(__xludf.DUMMYFUNCTION("""COMPUTED_VALUE"""),"2018-19")</f>
        <v>2018-19</v>
      </c>
      <c r="D2628" s="163" t="str">
        <f>IFERROR(__xludf.DUMMYFUNCTION("""COMPUTED_VALUE"""),"BOS")</f>
        <v>BOS</v>
      </c>
      <c r="E2628" s="164" t="str">
        <f>IFERROR(__xludf.DUMMYFUNCTION("""COMPUTED_VALUE"""),"Secondary Ball Handler")</f>
        <v>Secondary Ball Handler</v>
      </c>
      <c r="F2628" s="164">
        <f>IFERROR(__xludf.DUMMYFUNCTION("""COMPUTED_VALUE"""),342.608333333333)</f>
        <v>342.6083333</v>
      </c>
      <c r="G2628" s="163">
        <f>IFERROR(__xludf.DUMMYFUNCTION("""COMPUTED_VALUE"""),36.0)</f>
        <v>36</v>
      </c>
      <c r="H2628" s="163" t="str">
        <f>IFERROR(__xludf.DUMMYFUNCTION("""COMPUTED_VALUE"""),"PG")</f>
        <v>PG</v>
      </c>
      <c r="I2628" s="163">
        <f>IFERROR(__xludf.DUMMYFUNCTION("""COMPUTED_VALUE"""),29.0)</f>
        <v>29</v>
      </c>
      <c r="J2628" s="165">
        <f>IFERROR(__xludf.DUMMYFUNCTION("""COMPUTED_VALUE"""),-0.331095460052286)</f>
        <v>-0.3310954601</v>
      </c>
      <c r="K2628" s="165">
        <f>IFERROR(__xludf.DUMMYFUNCTION("""COMPUTED_VALUE"""),-0.0761416290017402)</f>
        <v>-0.076141629</v>
      </c>
      <c r="L2628" s="165">
        <f>IFERROR(__xludf.DUMMYFUNCTION("""COMPUTED_VALUE"""),-0.254953831050546)</f>
        <v>-0.2549538311</v>
      </c>
      <c r="M2628" s="166">
        <f t="shared" si="2"/>
        <v>0.4517220528</v>
      </c>
      <c r="N2628" s="167">
        <f t="shared" si="3"/>
        <v>9.516898148</v>
      </c>
      <c r="O2628" s="163">
        <f t="shared" ref="O2628:Q2628" si="2632">rank(I2628,I:I)</f>
        <v>855</v>
      </c>
      <c r="P2628" s="163">
        <f t="shared" si="2632"/>
        <v>1650</v>
      </c>
      <c r="Q2628" s="163">
        <f t="shared" si="2632"/>
        <v>1316</v>
      </c>
      <c r="R2628" s="163">
        <f>IFERROR(__xludf.DUMMYFUNCTION("RANK(M2628,filter(M:M,C:C=C2628))"),297.0)</f>
        <v>297</v>
      </c>
      <c r="S2628" s="161" t="b">
        <f t="shared" si="5"/>
        <v>0</v>
      </c>
      <c r="T2628" s="161" t="b">
        <f t="array" ref="T2628">index('Query Tool'!B:B,match(H2628,'Query Tool'!C:C,0))</f>
        <v>1</v>
      </c>
      <c r="U2628" s="161" t="b">
        <f t="array" ref="U2628">index('Query Tool'!B:B,match(C2628,'Query Tool'!C:C,0))</f>
        <v>0</v>
      </c>
      <c r="V2628" s="161" t="b">
        <f>F2628&gt;='Query Tool'!C$32</f>
        <v>0</v>
      </c>
      <c r="W2628" s="161" t="b">
        <f t="array" ref="W2628">index(Dropdowns!B:B,match(I2628,Dropdowns!A:A,0))</f>
        <v>1</v>
      </c>
      <c r="X2628" s="161" t="b">
        <f t="array" ref="X2628">index('Query Tool'!B:B,match(D2628,'Query Tool'!C:C,0))</f>
        <v>1</v>
      </c>
      <c r="Y2628" s="161" t="str">
        <f t="shared" si="6"/>
        <v>wanambr01,2018-19</v>
      </c>
      <c r="Z2628" s="168">
        <f t="array" ref="Z2628">iferror(index(I:I,match($A2628&amp;","&amp;index('Year Conversion'!$A:$A,match($C2628,'Year Conversion'!$B:$B,0)),$Y:$Y,0))-I2628,"")</f>
        <v>1</v>
      </c>
      <c r="AA2628" s="168">
        <f t="array" ref="AA2628">iferror(index(J:J,match($A2628&amp;","&amp;index('Year Conversion'!$A:$A,match($C2628,'Year Conversion'!$B:$B,0)),$Y:$Y,0))-J2628,"")</f>
        <v>-0.5555216228</v>
      </c>
      <c r="AB2628" s="168">
        <f t="array" ref="AB2628">iferror(index(K:K,match($A2628&amp;","&amp;index('Year Conversion'!$A:$A,match($C2628,'Year Conversion'!$B:$B,0)),$Y:$Y,0))-K2628,"")</f>
        <v>-0.04615297949</v>
      </c>
      <c r="AC2628" s="168" t="str">
        <f t="shared" si="7"/>
        <v>BOS,2018-19</v>
      </c>
    </row>
    <row r="2629">
      <c r="A2629" s="161" t="str">
        <f>IFERROR(__xludf.DUMMYFUNCTION("""COMPUTED_VALUE"""),"davisan02")</f>
        <v>davisan02</v>
      </c>
      <c r="B2629" s="161" t="str">
        <f>IFERROR(__xludf.DUMMYFUNCTION("""COMPUTED_VALUE"""),"Anthony Davis")</f>
        <v>Anthony Davis</v>
      </c>
      <c r="C2629" s="162" t="str">
        <f>IFERROR(__xludf.DUMMYFUNCTION("""COMPUTED_VALUE"""),"2018-19")</f>
        <v>2018-19</v>
      </c>
      <c r="D2629" s="163" t="str">
        <f>IFERROR(__xludf.DUMMYFUNCTION("""COMPUTED_VALUE"""),"NOP")</f>
        <v>NOP</v>
      </c>
      <c r="E2629" s="164" t="str">
        <f>IFERROR(__xludf.DUMMYFUNCTION("""COMPUTED_VALUE"""),"Post Scorer")</f>
        <v>Post Scorer</v>
      </c>
      <c r="F2629" s="164">
        <f>IFERROR(__xludf.DUMMYFUNCTION("""COMPUTED_VALUE"""),1849.88333333333)</f>
        <v>1849.883333</v>
      </c>
      <c r="G2629" s="163">
        <f>IFERROR(__xludf.DUMMYFUNCTION("""COMPUTED_VALUE"""),56.0)</f>
        <v>56</v>
      </c>
      <c r="H2629" s="163" t="str">
        <f>IFERROR(__xludf.DUMMYFUNCTION("""COMPUTED_VALUE"""),"C")</f>
        <v>C</v>
      </c>
      <c r="I2629" s="163">
        <f>IFERROR(__xludf.DUMMYFUNCTION("""COMPUTED_VALUE"""),25.0)</f>
        <v>25</v>
      </c>
      <c r="J2629" s="165">
        <f>IFERROR(__xludf.DUMMYFUNCTION("""COMPUTED_VALUE"""),5.78504386062614)</f>
        <v>5.785043861</v>
      </c>
      <c r="K2629" s="165">
        <f>IFERROR(__xludf.DUMMYFUNCTION("""COMPUTED_VALUE"""),3.40398450767258)</f>
        <v>3.403984508</v>
      </c>
      <c r="L2629" s="165">
        <f>IFERROR(__xludf.DUMMYFUNCTION("""COMPUTED_VALUE"""),2.38105935295356)</f>
        <v>2.381059353</v>
      </c>
      <c r="M2629" s="166">
        <f t="shared" si="2"/>
        <v>9.749090358</v>
      </c>
      <c r="N2629" s="167">
        <f t="shared" si="3"/>
        <v>33.03363095</v>
      </c>
      <c r="O2629" s="163">
        <f t="shared" ref="O2629:Q2629" si="2633">rank(I2629,I:I)</f>
        <v>1995</v>
      </c>
      <c r="P2629" s="163">
        <f t="shared" si="2633"/>
        <v>23</v>
      </c>
      <c r="Q2629" s="163">
        <f t="shared" si="2633"/>
        <v>97</v>
      </c>
      <c r="R2629" s="163">
        <f>IFERROR(__xludf.DUMMYFUNCTION("RANK(M2629,filter(M:M,C:C=C2629))"),14.0)</f>
        <v>14</v>
      </c>
      <c r="S2629" s="161" t="b">
        <f t="shared" si="5"/>
        <v>0</v>
      </c>
      <c r="T2629" s="161" t="b">
        <f t="array" ref="T2629">index('Query Tool'!B:B,match(H2629,'Query Tool'!C:C,0))</f>
        <v>1</v>
      </c>
      <c r="U2629" s="161" t="b">
        <f t="array" ref="U2629">index('Query Tool'!B:B,match(C2629,'Query Tool'!C:C,0))</f>
        <v>0</v>
      </c>
      <c r="V2629" s="161" t="b">
        <f>F2629&gt;='Query Tool'!C$32</f>
        <v>1</v>
      </c>
      <c r="W2629" s="161" t="b">
        <f t="array" ref="W2629">index(Dropdowns!B:B,match(I2629,Dropdowns!A:A,0))</f>
        <v>1</v>
      </c>
      <c r="X2629" s="161" t="b">
        <f t="array" ref="X2629">index('Query Tool'!B:B,match(D2629,'Query Tool'!C:C,0))</f>
        <v>1</v>
      </c>
      <c r="Y2629" s="161" t="str">
        <f t="shared" si="6"/>
        <v>davisan02,2018-19</v>
      </c>
      <c r="Z2629" s="168">
        <f t="array" ref="Z2629">iferror(index(I:I,match($A2629&amp;","&amp;index('Year Conversion'!$A:$A,match($C2629,'Year Conversion'!$B:$B,0)),$Y:$Y,0))-I2629,"")</f>
        <v>1</v>
      </c>
      <c r="AA2629" s="168">
        <f t="array" ref="AA2629">iferror(index(J:J,match($A2629&amp;","&amp;index('Year Conversion'!$A:$A,match($C2629,'Year Conversion'!$B:$B,0)),$Y:$Y,0))-J2629,"")</f>
        <v>-1.064739189</v>
      </c>
      <c r="AB2629" s="168">
        <f t="array" ref="AB2629">iferror(index(K:K,match($A2629&amp;","&amp;index('Year Conversion'!$A:$A,match($C2629,'Year Conversion'!$B:$B,0)),$Y:$Y,0))-K2629,"")</f>
        <v>-0.8985058668</v>
      </c>
      <c r="AC2629" s="168" t="str">
        <f t="shared" si="7"/>
        <v>NOP,2018-19</v>
      </c>
    </row>
    <row r="2630">
      <c r="A2630" s="161" t="str">
        <f>IFERROR(__xludf.DUMMYFUNCTION("""COMPUTED_VALUE"""),"kiddgmi01")</f>
        <v>kiddgmi01</v>
      </c>
      <c r="B2630" s="161" t="str">
        <f>IFERROR(__xludf.DUMMYFUNCTION("""COMPUTED_VALUE"""),"Michael Kidd-Gilchrist")</f>
        <v>Michael Kidd-Gilchrist</v>
      </c>
      <c r="C2630" s="162" t="str">
        <f>IFERROR(__xludf.DUMMYFUNCTION("""COMPUTED_VALUE"""),"2018-19")</f>
        <v>2018-19</v>
      </c>
      <c r="D2630" s="163" t="str">
        <f>IFERROR(__xludf.DUMMYFUNCTION("""COMPUTED_VALUE"""),"CHO")</f>
        <v>CHO</v>
      </c>
      <c r="E2630" s="164" t="str">
        <f>IFERROR(__xludf.DUMMYFUNCTION("""COMPUTED_VALUE"""),"Roll + Cut Big")</f>
        <v>Roll + Cut Big</v>
      </c>
      <c r="F2630" s="164">
        <f>IFERROR(__xludf.DUMMYFUNCTION("""COMPUTED_VALUE"""),1179.16333333333)</f>
        <v>1179.163333</v>
      </c>
      <c r="G2630" s="163">
        <f>IFERROR(__xludf.DUMMYFUNCTION("""COMPUTED_VALUE"""),64.0)</f>
        <v>64</v>
      </c>
      <c r="H2630" s="163" t="str">
        <f>IFERROR(__xludf.DUMMYFUNCTION("""COMPUTED_VALUE"""),"PF")</f>
        <v>PF</v>
      </c>
      <c r="I2630" s="163">
        <f>IFERROR(__xludf.DUMMYFUNCTION("""COMPUTED_VALUE"""),25.0)</f>
        <v>25</v>
      </c>
      <c r="J2630" s="165">
        <f>IFERROR(__xludf.DUMMYFUNCTION("""COMPUTED_VALUE"""),-0.141689952059723)</f>
        <v>-0.1416899521</v>
      </c>
      <c r="K2630" s="165">
        <f>IFERROR(__xludf.DUMMYFUNCTION("""COMPUTED_VALUE"""),-1.11847449485041)</f>
        <v>-1.118474495</v>
      </c>
      <c r="L2630" s="165">
        <f>IFERROR(__xludf.DUMMYFUNCTION("""COMPUTED_VALUE"""),0.976784542790683)</f>
        <v>0.9767845428</v>
      </c>
      <c r="M2630" s="166">
        <f t="shared" si="2"/>
        <v>1.705239282</v>
      </c>
      <c r="N2630" s="167">
        <f t="shared" si="3"/>
        <v>18.42442708</v>
      </c>
      <c r="O2630" s="163">
        <f t="shared" ref="O2630:Q2630" si="2634">rank(I2630,I:I)</f>
        <v>1995</v>
      </c>
      <c r="P2630" s="163">
        <f t="shared" si="2634"/>
        <v>1427</v>
      </c>
      <c r="Q2630" s="163">
        <f t="shared" si="2634"/>
        <v>2946</v>
      </c>
      <c r="R2630" s="163">
        <f>IFERROR(__xludf.DUMMYFUNCTION("RANK(M2630,filter(M:M,C:C=C2630))"),173.0)</f>
        <v>173</v>
      </c>
      <c r="S2630" s="161" t="b">
        <f t="shared" si="5"/>
        <v>0</v>
      </c>
      <c r="T2630" s="161" t="b">
        <f t="array" ref="T2630">index('Query Tool'!B:B,match(H2630,'Query Tool'!C:C,0))</f>
        <v>1</v>
      </c>
      <c r="U2630" s="161" t="b">
        <f t="array" ref="U2630">index('Query Tool'!B:B,match(C2630,'Query Tool'!C:C,0))</f>
        <v>0</v>
      </c>
      <c r="V2630" s="161" t="b">
        <f>F2630&gt;='Query Tool'!C$32</f>
        <v>1</v>
      </c>
      <c r="W2630" s="161" t="b">
        <f t="array" ref="W2630">index(Dropdowns!B:B,match(I2630,Dropdowns!A:A,0))</f>
        <v>1</v>
      </c>
      <c r="X2630" s="161" t="b">
        <f t="array" ref="X2630">index('Query Tool'!B:B,match(D2630,'Query Tool'!C:C,0))</f>
        <v>1</v>
      </c>
      <c r="Y2630" s="161" t="str">
        <f t="shared" si="6"/>
        <v>kiddgmi01,2018-19</v>
      </c>
      <c r="Z2630" s="168">
        <f t="array" ref="Z2630">iferror(index(I:I,match($A2630&amp;","&amp;index('Year Conversion'!$A:$A,match($C2630,'Year Conversion'!$B:$B,0)),$Y:$Y,0))-I2630,"")</f>
        <v>1</v>
      </c>
      <c r="AA2630" s="168">
        <f t="array" ref="AA2630">iferror(index(J:J,match($A2630&amp;","&amp;index('Year Conversion'!$A:$A,match($C2630,'Year Conversion'!$B:$B,0)),$Y:$Y,0))-J2630,"")</f>
        <v>-0.6578829045</v>
      </c>
      <c r="AB2630" s="168">
        <f t="array" ref="AB2630">iferror(index(K:K,match($A2630&amp;","&amp;index('Year Conversion'!$A:$A,match($C2630,'Year Conversion'!$B:$B,0)),$Y:$Y,0))-K2630,"")</f>
        <v>-0.2029603263</v>
      </c>
      <c r="AC2630" s="168" t="str">
        <f t="shared" si="7"/>
        <v>CHO,2018-19</v>
      </c>
    </row>
    <row r="2631">
      <c r="A2631" s="161" t="str">
        <f>IFERROR(__xludf.DUMMYFUNCTION("""COMPUTED_VALUE"""),"bealbr01")</f>
        <v>bealbr01</v>
      </c>
      <c r="B2631" s="161" t="str">
        <f>IFERROR(__xludf.DUMMYFUNCTION("""COMPUTED_VALUE"""),"Bradley Beal")</f>
        <v>Bradley Beal</v>
      </c>
      <c r="C2631" s="162" t="str">
        <f>IFERROR(__xludf.DUMMYFUNCTION("""COMPUTED_VALUE"""),"2018-19")</f>
        <v>2018-19</v>
      </c>
      <c r="D2631" s="163" t="str">
        <f>IFERROR(__xludf.DUMMYFUNCTION("""COMPUTED_VALUE"""),"WAS")</f>
        <v>WAS</v>
      </c>
      <c r="E2631" s="164" t="str">
        <f>IFERROR(__xludf.DUMMYFUNCTION("""COMPUTED_VALUE"""),"Primary Ball Handler")</f>
        <v>Primary Ball Handler</v>
      </c>
      <c r="F2631" s="164">
        <f>IFERROR(__xludf.DUMMYFUNCTION("""COMPUTED_VALUE"""),3027.65166666667)</f>
        <v>3027.651667</v>
      </c>
      <c r="G2631" s="163">
        <f>IFERROR(__xludf.DUMMYFUNCTION("""COMPUTED_VALUE"""),82.0)</f>
        <v>82</v>
      </c>
      <c r="H2631" s="163" t="str">
        <f>IFERROR(__xludf.DUMMYFUNCTION("""COMPUTED_VALUE"""),"SG")</f>
        <v>SG</v>
      </c>
      <c r="I2631" s="163">
        <f>IFERROR(__xludf.DUMMYFUNCTION("""COMPUTED_VALUE"""),25.0)</f>
        <v>25</v>
      </c>
      <c r="J2631" s="165">
        <f>IFERROR(__xludf.DUMMYFUNCTION("""COMPUTED_VALUE"""),2.07739933770449)</f>
        <v>2.077399338</v>
      </c>
      <c r="K2631" s="165">
        <f>IFERROR(__xludf.DUMMYFUNCTION("""COMPUTED_VALUE"""),2.93454653582067)</f>
        <v>2.934546536</v>
      </c>
      <c r="L2631" s="165">
        <f>IFERROR(__xludf.DUMMYFUNCTION("""COMPUTED_VALUE"""),-0.857147198116186)</f>
        <v>-0.8571471981</v>
      </c>
      <c r="M2631" s="166">
        <f t="shared" si="2"/>
        <v>8.882801268</v>
      </c>
      <c r="N2631" s="167">
        <f t="shared" si="3"/>
        <v>36.9225813</v>
      </c>
      <c r="O2631" s="163">
        <f t="shared" ref="O2631:Q2631" si="2635">rank(I2631,I:I)</f>
        <v>1995</v>
      </c>
      <c r="P2631" s="163">
        <f t="shared" si="2635"/>
        <v>298</v>
      </c>
      <c r="Q2631" s="163">
        <f t="shared" si="2635"/>
        <v>126</v>
      </c>
      <c r="R2631" s="163">
        <f>IFERROR(__xludf.DUMMYFUNCTION("RANK(M2631,filter(M:M,C:C=C2631))"),21.0)</f>
        <v>21</v>
      </c>
      <c r="S2631" s="161" t="b">
        <f t="shared" si="5"/>
        <v>0</v>
      </c>
      <c r="T2631" s="161" t="b">
        <f t="array" ref="T2631">index('Query Tool'!B:B,match(H2631,'Query Tool'!C:C,0))</f>
        <v>1</v>
      </c>
      <c r="U2631" s="161" t="b">
        <f t="array" ref="U2631">index('Query Tool'!B:B,match(C2631,'Query Tool'!C:C,0))</f>
        <v>0</v>
      </c>
      <c r="V2631" s="161" t="b">
        <f>F2631&gt;='Query Tool'!C$32</f>
        <v>1</v>
      </c>
      <c r="W2631" s="161" t="b">
        <f t="array" ref="W2631">index(Dropdowns!B:B,match(I2631,Dropdowns!A:A,0))</f>
        <v>1</v>
      </c>
      <c r="X2631" s="161" t="b">
        <f t="array" ref="X2631">index('Query Tool'!B:B,match(D2631,'Query Tool'!C:C,0))</f>
        <v>1</v>
      </c>
      <c r="Y2631" s="161" t="str">
        <f t="shared" si="6"/>
        <v>bealbr01,2018-19</v>
      </c>
      <c r="Z2631" s="168">
        <f t="array" ref="Z2631">iferror(index(I:I,match($A2631&amp;","&amp;index('Year Conversion'!$A:$A,match($C2631,'Year Conversion'!$B:$B,0)),$Y:$Y,0))-I2631,"")</f>
        <v>1</v>
      </c>
      <c r="AA2631" s="168">
        <f t="array" ref="AA2631">iferror(index(J:J,match($A2631&amp;","&amp;index('Year Conversion'!$A:$A,match($C2631,'Year Conversion'!$B:$B,0)),$Y:$Y,0))-J2631,"")</f>
        <v>-0.1887338725</v>
      </c>
      <c r="AB2631" s="168">
        <f t="array" ref="AB2631">iferror(index(K:K,match($A2631&amp;","&amp;index('Year Conversion'!$A:$A,match($C2631,'Year Conversion'!$B:$B,0)),$Y:$Y,0))-K2631,"")</f>
        <v>1.155874662</v>
      </c>
      <c r="AC2631" s="168" t="str">
        <f t="shared" si="7"/>
        <v>WAS,2018-19</v>
      </c>
    </row>
    <row r="2632">
      <c r="A2632" s="161" t="str">
        <f>IFERROR(__xludf.DUMMYFUNCTION("""COMPUTED_VALUE"""),"waitedi01")</f>
        <v>waitedi01</v>
      </c>
      <c r="B2632" s="161" t="str">
        <f>IFERROR(__xludf.DUMMYFUNCTION("""COMPUTED_VALUE"""),"Dion Waiters")</f>
        <v>Dion Waiters</v>
      </c>
      <c r="C2632" s="162" t="str">
        <f>IFERROR(__xludf.DUMMYFUNCTION("""COMPUTED_VALUE"""),"2018-19")</f>
        <v>2018-19</v>
      </c>
      <c r="D2632" s="163" t="str">
        <f>IFERROR(__xludf.DUMMYFUNCTION("""COMPUTED_VALUE"""),"MIA")</f>
        <v>MIA</v>
      </c>
      <c r="E2632" s="164" t="str">
        <f>IFERROR(__xludf.DUMMYFUNCTION("""COMPUTED_VALUE"""),"Shot Creator")</f>
        <v>Shot Creator</v>
      </c>
      <c r="F2632" s="164">
        <f>IFERROR(__xludf.DUMMYFUNCTION("""COMPUTED_VALUE"""),1137.90333333333)</f>
        <v>1137.903333</v>
      </c>
      <c r="G2632" s="163">
        <f>IFERROR(__xludf.DUMMYFUNCTION("""COMPUTED_VALUE"""),44.0)</f>
        <v>44</v>
      </c>
      <c r="H2632" s="163" t="str">
        <f>IFERROR(__xludf.DUMMYFUNCTION("""COMPUTED_VALUE"""),"SG")</f>
        <v>SG</v>
      </c>
      <c r="I2632" s="163">
        <f>IFERROR(__xludf.DUMMYFUNCTION("""COMPUTED_VALUE"""),27.0)</f>
        <v>27</v>
      </c>
      <c r="J2632" s="165">
        <f>IFERROR(__xludf.DUMMYFUNCTION("""COMPUTED_VALUE"""),-0.614805531669203)</f>
        <v>-0.6148055317</v>
      </c>
      <c r="K2632" s="165">
        <f>IFERROR(__xludf.DUMMYFUNCTION("""COMPUTED_VALUE"""),0.197929412391864)</f>
        <v>0.1979294124</v>
      </c>
      <c r="L2632" s="165">
        <f>IFERROR(__xludf.DUMMYFUNCTION("""COMPUTED_VALUE"""),-0.812734944061068)</f>
        <v>-0.8127349441</v>
      </c>
      <c r="M2632" s="166">
        <f t="shared" si="2"/>
        <v>1.282859189</v>
      </c>
      <c r="N2632" s="167">
        <f t="shared" si="3"/>
        <v>25.86143939</v>
      </c>
      <c r="O2632" s="163">
        <f t="shared" ref="O2632:Q2632" si="2636">rank(I2632,I:I)</f>
        <v>1366</v>
      </c>
      <c r="P2632" s="163">
        <f t="shared" si="2636"/>
        <v>2020</v>
      </c>
      <c r="Q2632" s="163">
        <f t="shared" si="2636"/>
        <v>983</v>
      </c>
      <c r="R2632" s="163">
        <f>IFERROR(__xludf.DUMMYFUNCTION("RANK(M2632,filter(M:M,C:C=C2632))"),202.0)</f>
        <v>202</v>
      </c>
      <c r="S2632" s="161" t="b">
        <f t="shared" si="5"/>
        <v>0</v>
      </c>
      <c r="T2632" s="161" t="b">
        <f t="array" ref="T2632">index('Query Tool'!B:B,match(H2632,'Query Tool'!C:C,0))</f>
        <v>1</v>
      </c>
      <c r="U2632" s="161" t="b">
        <f t="array" ref="U2632">index('Query Tool'!B:B,match(C2632,'Query Tool'!C:C,0))</f>
        <v>0</v>
      </c>
      <c r="V2632" s="161" t="b">
        <f>F2632&gt;='Query Tool'!C$32</f>
        <v>1</v>
      </c>
      <c r="W2632" s="161" t="b">
        <f t="array" ref="W2632">index(Dropdowns!B:B,match(I2632,Dropdowns!A:A,0))</f>
        <v>1</v>
      </c>
      <c r="X2632" s="161" t="b">
        <f t="array" ref="X2632">index('Query Tool'!B:B,match(D2632,'Query Tool'!C:C,0))</f>
        <v>1</v>
      </c>
      <c r="Y2632" s="161" t="str">
        <f t="shared" si="6"/>
        <v>waitedi01,2018-19</v>
      </c>
      <c r="Z2632" s="168">
        <f t="array" ref="Z2632">iferror(index(I:I,match($A2632&amp;","&amp;index('Year Conversion'!$A:$A,match($C2632,'Year Conversion'!$B:$B,0)),$Y:$Y,0))-I2632,"")</f>
        <v>1</v>
      </c>
      <c r="AA2632" s="168">
        <f t="array" ref="AA2632">iferror(index(J:J,match($A2632&amp;","&amp;index('Year Conversion'!$A:$A,match($C2632,'Year Conversion'!$B:$B,0)),$Y:$Y,0))-J2632,"")</f>
        <v>-0.09599074954</v>
      </c>
      <c r="AB2632" s="168">
        <f t="array" ref="AB2632">iferror(index(K:K,match($A2632&amp;","&amp;index('Year Conversion'!$A:$A,match($C2632,'Year Conversion'!$B:$B,0)),$Y:$Y,0))-K2632,"")</f>
        <v>-0.3315568015</v>
      </c>
      <c r="AC2632" s="168" t="str">
        <f t="shared" si="7"/>
        <v>MIA,2018-19</v>
      </c>
    </row>
    <row r="2633">
      <c r="A2633" s="161" t="str">
        <f>IFERROR(__xludf.DUMMYFUNCTION("""COMPUTED_VALUE"""),"lillada01")</f>
        <v>lillada01</v>
      </c>
      <c r="B2633" s="161" t="str">
        <f>IFERROR(__xludf.DUMMYFUNCTION("""COMPUTED_VALUE"""),"Damian Lillard")</f>
        <v>Damian Lillard</v>
      </c>
      <c r="C2633" s="162" t="str">
        <f>IFERROR(__xludf.DUMMYFUNCTION("""COMPUTED_VALUE"""),"2018-19")</f>
        <v>2018-19</v>
      </c>
      <c r="D2633" s="163" t="str">
        <f>IFERROR(__xludf.DUMMYFUNCTION("""COMPUTED_VALUE"""),"POR")</f>
        <v>POR</v>
      </c>
      <c r="E2633" s="164" t="str">
        <f>IFERROR(__xludf.DUMMYFUNCTION("""COMPUTED_VALUE"""),"Primary Ball Handler")</f>
        <v>Primary Ball Handler</v>
      </c>
      <c r="F2633" s="164">
        <f>IFERROR(__xludf.DUMMYFUNCTION("""COMPUTED_VALUE"""),2837.75666666667)</f>
        <v>2837.756667</v>
      </c>
      <c r="G2633" s="163">
        <f>IFERROR(__xludf.DUMMYFUNCTION("""COMPUTED_VALUE"""),80.0)</f>
        <v>80</v>
      </c>
      <c r="H2633" s="163" t="str">
        <f>IFERROR(__xludf.DUMMYFUNCTION("""COMPUTED_VALUE"""),"PG")</f>
        <v>PG</v>
      </c>
      <c r="I2633" s="163">
        <f>IFERROR(__xludf.DUMMYFUNCTION("""COMPUTED_VALUE"""),28.0)</f>
        <v>28</v>
      </c>
      <c r="J2633" s="165">
        <f>IFERROR(__xludf.DUMMYFUNCTION("""COMPUTED_VALUE"""),4.89566170050219)</f>
        <v>4.895661701</v>
      </c>
      <c r="K2633" s="165">
        <f>IFERROR(__xludf.DUMMYFUNCTION("""COMPUTED_VALUE"""),5.22174053469937)</f>
        <v>5.221740535</v>
      </c>
      <c r="L2633" s="165">
        <f>IFERROR(__xludf.DUMMYFUNCTION("""COMPUTED_VALUE"""),-0.326078834197177)</f>
        <v>-0.3260788342</v>
      </c>
      <c r="M2633" s="166">
        <f t="shared" si="2"/>
        <v>13.44128321</v>
      </c>
      <c r="N2633" s="167">
        <f t="shared" si="3"/>
        <v>35.47195833</v>
      </c>
      <c r="O2633" s="163">
        <f t="shared" ref="O2633:Q2633" si="2637">rank(I2633,I:I)</f>
        <v>1090</v>
      </c>
      <c r="P2633" s="163">
        <f t="shared" si="2637"/>
        <v>52</v>
      </c>
      <c r="Q2633" s="163">
        <f t="shared" si="2637"/>
        <v>26</v>
      </c>
      <c r="R2633" s="163">
        <f>IFERROR(__xludf.DUMMYFUNCTION("RANK(M2633,filter(M:M,C:C=C2633))"),4.0)</f>
        <v>4</v>
      </c>
      <c r="S2633" s="161" t="b">
        <f t="shared" si="5"/>
        <v>0</v>
      </c>
      <c r="T2633" s="161" t="b">
        <f t="array" ref="T2633">index('Query Tool'!B:B,match(H2633,'Query Tool'!C:C,0))</f>
        <v>1</v>
      </c>
      <c r="U2633" s="161" t="b">
        <f t="array" ref="U2633">index('Query Tool'!B:B,match(C2633,'Query Tool'!C:C,0))</f>
        <v>0</v>
      </c>
      <c r="V2633" s="161" t="b">
        <f>F2633&gt;='Query Tool'!C$32</f>
        <v>1</v>
      </c>
      <c r="W2633" s="161" t="b">
        <f t="array" ref="W2633">index(Dropdowns!B:B,match(I2633,Dropdowns!A:A,0))</f>
        <v>1</v>
      </c>
      <c r="X2633" s="161" t="b">
        <f t="array" ref="X2633">index('Query Tool'!B:B,match(D2633,'Query Tool'!C:C,0))</f>
        <v>1</v>
      </c>
      <c r="Y2633" s="161" t="str">
        <f t="shared" si="6"/>
        <v>lillada01,2018-19</v>
      </c>
      <c r="Z2633" s="168">
        <f t="array" ref="Z2633">iferror(index(I:I,match($A2633&amp;","&amp;index('Year Conversion'!$A:$A,match($C2633,'Year Conversion'!$B:$B,0)),$Y:$Y,0))-I2633,"")</f>
        <v>1</v>
      </c>
      <c r="AA2633" s="168">
        <f t="array" ref="AA2633">iferror(index(J:J,match($A2633&amp;","&amp;index('Year Conversion'!$A:$A,match($C2633,'Year Conversion'!$B:$B,0)),$Y:$Y,0))-J2633,"")</f>
        <v>-1.023872232</v>
      </c>
      <c r="AB2633" s="168">
        <f t="array" ref="AB2633">iferror(index(K:K,match($A2633&amp;","&amp;index('Year Conversion'!$A:$A,match($C2633,'Year Conversion'!$B:$B,0)),$Y:$Y,0))-K2633,"")</f>
        <v>0.609602467</v>
      </c>
      <c r="AC2633" s="168" t="str">
        <f t="shared" si="7"/>
        <v>POR,2018-19</v>
      </c>
    </row>
    <row r="2634">
      <c r="A2634" s="161" t="str">
        <f>IFERROR(__xludf.DUMMYFUNCTION("""COMPUTED_VALUE"""),"rosste01")</f>
        <v>rosste01</v>
      </c>
      <c r="B2634" s="161" t="str">
        <f>IFERROR(__xludf.DUMMYFUNCTION("""COMPUTED_VALUE"""),"Terrence Ross")</f>
        <v>Terrence Ross</v>
      </c>
      <c r="C2634" s="162" t="str">
        <f>IFERROR(__xludf.DUMMYFUNCTION("""COMPUTED_VALUE"""),"2018-19")</f>
        <v>2018-19</v>
      </c>
      <c r="D2634" s="163" t="str">
        <f>IFERROR(__xludf.DUMMYFUNCTION("""COMPUTED_VALUE"""),"ORL")</f>
        <v>ORL</v>
      </c>
      <c r="E2634" s="164" t="str">
        <f>IFERROR(__xludf.DUMMYFUNCTION("""COMPUTED_VALUE"""),"Off Screen Shooter")</f>
        <v>Off Screen Shooter</v>
      </c>
      <c r="F2634" s="164">
        <f>IFERROR(__xludf.DUMMYFUNCTION("""COMPUTED_VALUE"""),2150.05333333333)</f>
        <v>2150.053333</v>
      </c>
      <c r="G2634" s="163">
        <f>IFERROR(__xludf.DUMMYFUNCTION("""COMPUTED_VALUE"""),81.0)</f>
        <v>81</v>
      </c>
      <c r="H2634" s="163" t="str">
        <f>IFERROR(__xludf.DUMMYFUNCTION("""COMPUTED_VALUE"""),"SG")</f>
        <v>SG</v>
      </c>
      <c r="I2634" s="163">
        <f>IFERROR(__xludf.DUMMYFUNCTION("""COMPUTED_VALUE"""),27.0)</f>
        <v>27</v>
      </c>
      <c r="J2634" s="165">
        <f>IFERROR(__xludf.DUMMYFUNCTION("""COMPUTED_VALUE"""),-1.18870362967301)</f>
        <v>-1.18870363</v>
      </c>
      <c r="K2634" s="165">
        <f>IFERROR(__xludf.DUMMYFUNCTION("""COMPUTED_VALUE"""),-0.357937715277186)</f>
        <v>-0.3579377153</v>
      </c>
      <c r="L2634" s="165">
        <f>IFERROR(__xludf.DUMMYFUNCTION("""COMPUTED_VALUE"""),-0.830765914395829)</f>
        <v>-0.8307659144</v>
      </c>
      <c r="M2634" s="166">
        <f t="shared" si="2"/>
        <v>1.594961627</v>
      </c>
      <c r="N2634" s="167">
        <f t="shared" si="3"/>
        <v>26.54386831</v>
      </c>
      <c r="O2634" s="163">
        <f t="shared" ref="O2634:Q2634" si="2638">rank(I2634,I:I)</f>
        <v>1366</v>
      </c>
      <c r="P2634" s="163">
        <f t="shared" si="2638"/>
        <v>2726</v>
      </c>
      <c r="Q2634" s="163">
        <f t="shared" si="2638"/>
        <v>1872</v>
      </c>
      <c r="R2634" s="163">
        <f>IFERROR(__xludf.DUMMYFUNCTION("RANK(M2634,filter(M:M,C:C=C2634))"),183.0)</f>
        <v>183</v>
      </c>
      <c r="S2634" s="161" t="b">
        <f t="shared" si="5"/>
        <v>0</v>
      </c>
      <c r="T2634" s="161" t="b">
        <f t="array" ref="T2634">index('Query Tool'!B:B,match(H2634,'Query Tool'!C:C,0))</f>
        <v>1</v>
      </c>
      <c r="U2634" s="161" t="b">
        <f t="array" ref="U2634">index('Query Tool'!B:B,match(C2634,'Query Tool'!C:C,0))</f>
        <v>0</v>
      </c>
      <c r="V2634" s="161" t="b">
        <f>F2634&gt;='Query Tool'!C$32</f>
        <v>1</v>
      </c>
      <c r="W2634" s="161" t="b">
        <f t="array" ref="W2634">index(Dropdowns!B:B,match(I2634,Dropdowns!A:A,0))</f>
        <v>1</v>
      </c>
      <c r="X2634" s="161" t="b">
        <f t="array" ref="X2634">index('Query Tool'!B:B,match(D2634,'Query Tool'!C:C,0))</f>
        <v>1</v>
      </c>
      <c r="Y2634" s="161" t="str">
        <f t="shared" si="6"/>
        <v>rosste01,2018-19</v>
      </c>
      <c r="Z2634" s="168">
        <f t="array" ref="Z2634">iferror(index(I:I,match($A2634&amp;","&amp;index('Year Conversion'!$A:$A,match($C2634,'Year Conversion'!$B:$B,0)),$Y:$Y,0))-I2634,"")</f>
        <v>1</v>
      </c>
      <c r="AA2634" s="168">
        <f t="array" ref="AA2634">iferror(index(J:J,match($A2634&amp;","&amp;index('Year Conversion'!$A:$A,match($C2634,'Year Conversion'!$B:$B,0)),$Y:$Y,0))-J2634,"")</f>
        <v>0.1855390144</v>
      </c>
      <c r="AB2634" s="168">
        <f t="array" ref="AB2634">iferror(index(K:K,match($A2634&amp;","&amp;index('Year Conversion'!$A:$A,match($C2634,'Year Conversion'!$B:$B,0)),$Y:$Y,0))-K2634,"")</f>
        <v>0.6371341723</v>
      </c>
      <c r="AC2634" s="168" t="str">
        <f t="shared" si="7"/>
        <v>ORL,2018-19</v>
      </c>
    </row>
    <row r="2635">
      <c r="A2635" s="161" t="str">
        <f>IFERROR(__xludf.DUMMYFUNCTION("""COMPUTED_VALUE"""),"drumman01")</f>
        <v>drumman01</v>
      </c>
      <c r="B2635" s="161" t="str">
        <f>IFERROR(__xludf.DUMMYFUNCTION("""COMPUTED_VALUE"""),"Andre Drummond")</f>
        <v>Andre Drummond</v>
      </c>
      <c r="C2635" s="162" t="str">
        <f>IFERROR(__xludf.DUMMYFUNCTION("""COMPUTED_VALUE"""),"2018-19")</f>
        <v>2018-19</v>
      </c>
      <c r="D2635" s="163" t="str">
        <f>IFERROR(__xludf.DUMMYFUNCTION("""COMPUTED_VALUE"""),"DET")</f>
        <v>DET</v>
      </c>
      <c r="E2635" s="164" t="str">
        <f>IFERROR(__xludf.DUMMYFUNCTION("""COMPUTED_VALUE"""),"Post Scorer")</f>
        <v>Post Scorer</v>
      </c>
      <c r="F2635" s="164">
        <f>IFERROR(__xludf.DUMMYFUNCTION("""COMPUTED_VALUE"""),2646.89)</f>
        <v>2646.89</v>
      </c>
      <c r="G2635" s="163">
        <f>IFERROR(__xludf.DUMMYFUNCTION("""COMPUTED_VALUE"""),79.0)</f>
        <v>79</v>
      </c>
      <c r="H2635" s="163" t="str">
        <f>IFERROR(__xludf.DUMMYFUNCTION("""COMPUTED_VALUE"""),"C")</f>
        <v>C</v>
      </c>
      <c r="I2635" s="163">
        <f>IFERROR(__xludf.DUMMYFUNCTION("""COMPUTED_VALUE"""),25.0)</f>
        <v>25</v>
      </c>
      <c r="J2635" s="165">
        <f>IFERROR(__xludf.DUMMYFUNCTION("""COMPUTED_VALUE"""),2.93626326417219)</f>
        <v>2.936263264</v>
      </c>
      <c r="K2635" s="165">
        <f>IFERROR(__xludf.DUMMYFUNCTION("""COMPUTED_VALUE"""),0.930473833849163)</f>
        <v>0.9304738338</v>
      </c>
      <c r="L2635" s="165">
        <f>IFERROR(__xludf.DUMMYFUNCTION("""COMPUTED_VALUE"""),2.00578943032303)</f>
        <v>2.00578943</v>
      </c>
      <c r="M2635" s="166">
        <f t="shared" si="2"/>
        <v>9.258532303</v>
      </c>
      <c r="N2635" s="167">
        <f t="shared" si="3"/>
        <v>33.50493671</v>
      </c>
      <c r="O2635" s="163">
        <f t="shared" ref="O2635:Q2635" si="2639">rank(I2635,I:I)</f>
        <v>1995</v>
      </c>
      <c r="P2635" s="163">
        <f t="shared" si="2639"/>
        <v>173</v>
      </c>
      <c r="Q2635" s="163">
        <f t="shared" si="2639"/>
        <v>540</v>
      </c>
      <c r="R2635" s="163">
        <f>IFERROR(__xludf.DUMMYFUNCTION("RANK(M2635,filter(M:M,C:C=C2635))"),16.0)</f>
        <v>16</v>
      </c>
      <c r="S2635" s="161" t="b">
        <f t="shared" si="5"/>
        <v>0</v>
      </c>
      <c r="T2635" s="161" t="b">
        <f t="array" ref="T2635">index('Query Tool'!B:B,match(H2635,'Query Tool'!C:C,0))</f>
        <v>1</v>
      </c>
      <c r="U2635" s="161" t="b">
        <f t="array" ref="U2635">index('Query Tool'!B:B,match(C2635,'Query Tool'!C:C,0))</f>
        <v>0</v>
      </c>
      <c r="V2635" s="161" t="b">
        <f>F2635&gt;='Query Tool'!C$32</f>
        <v>1</v>
      </c>
      <c r="W2635" s="161" t="b">
        <f t="array" ref="W2635">index(Dropdowns!B:B,match(I2635,Dropdowns!A:A,0))</f>
        <v>1</v>
      </c>
      <c r="X2635" s="161" t="b">
        <f t="array" ref="X2635">index('Query Tool'!B:B,match(D2635,'Query Tool'!C:C,0))</f>
        <v>1</v>
      </c>
      <c r="Y2635" s="161" t="str">
        <f t="shared" si="6"/>
        <v>drumman01,2018-19</v>
      </c>
      <c r="Z2635" s="168">
        <f t="array" ref="Z2635">iferror(index(I:I,match($A2635&amp;","&amp;index('Year Conversion'!$A:$A,match($C2635,'Year Conversion'!$B:$B,0)),$Y:$Y,0))-I2635,"")</f>
        <v>1</v>
      </c>
      <c r="AA2635" s="168">
        <f t="array" ref="AA2635">iferror(index(J:J,match($A2635&amp;","&amp;index('Year Conversion'!$A:$A,match($C2635,'Year Conversion'!$B:$B,0)),$Y:$Y,0))-J2635,"")</f>
        <v>-1.945786701</v>
      </c>
      <c r="AB2635" s="168">
        <f t="array" ref="AB2635">iferror(index(K:K,match($A2635&amp;","&amp;index('Year Conversion'!$A:$A,match($C2635,'Year Conversion'!$B:$B,0)),$Y:$Y,0))-K2635,"")</f>
        <v>-1.934365343</v>
      </c>
      <c r="AC2635" s="168" t="str">
        <f t="shared" si="7"/>
        <v>DET,2018-19</v>
      </c>
    </row>
    <row r="2636">
      <c r="A2636" s="161" t="str">
        <f>IFERROR(__xludf.DUMMYFUNCTION("""COMPUTED_VALUE"""),"barneha02")</f>
        <v>barneha02</v>
      </c>
      <c r="B2636" s="161" t="str">
        <f>IFERROR(__xludf.DUMMYFUNCTION("""COMPUTED_VALUE"""),"Harrison Barnes")</f>
        <v>Harrison Barnes</v>
      </c>
      <c r="C2636" s="162" t="str">
        <f>IFERROR(__xludf.DUMMYFUNCTION("""COMPUTED_VALUE"""),"2018-19")</f>
        <v>2018-19</v>
      </c>
      <c r="D2636" s="163" t="str">
        <f>IFERROR(__xludf.DUMMYFUNCTION("""COMPUTED_VALUE"""),"TOT")</f>
        <v>TOT</v>
      </c>
      <c r="E2636" s="164" t="str">
        <f>IFERROR(__xludf.DUMMYFUNCTION("""COMPUTED_VALUE"""),"Movement Shooter")</f>
        <v>Movement Shooter</v>
      </c>
      <c r="F2636" s="164">
        <f>IFERROR(__xludf.DUMMYFUNCTION("""COMPUTED_VALUE"""),2532.59333333333)</f>
        <v>2532.593333</v>
      </c>
      <c r="G2636" s="163">
        <f>IFERROR(__xludf.DUMMYFUNCTION("""COMPUTED_VALUE"""),77.0)</f>
        <v>77</v>
      </c>
      <c r="H2636" s="163" t="str">
        <f>IFERROR(__xludf.DUMMYFUNCTION("""COMPUTED_VALUE"""),"PF-SF")</f>
        <v>PF-SF</v>
      </c>
      <c r="I2636" s="163">
        <f>IFERROR(__xludf.DUMMYFUNCTION("""COMPUTED_VALUE"""),26.0)</f>
        <v>26</v>
      </c>
      <c r="J2636" s="165">
        <f>IFERROR(__xludf.DUMMYFUNCTION("""COMPUTED_VALUE"""),-2.10804579854847)</f>
        <v>-2.108045799</v>
      </c>
      <c r="K2636" s="165">
        <f>IFERROR(__xludf.DUMMYFUNCTION("""COMPUTED_VALUE"""),-1.19948880693111)</f>
        <v>-1.199488807</v>
      </c>
      <c r="L2636" s="165">
        <f>IFERROR(__xludf.DUMMYFUNCTION("""COMPUTED_VALUE"""),-0.908556991617356)</f>
        <v>-0.9085569916</v>
      </c>
      <c r="M2636" s="166">
        <f t="shared" si="2"/>
        <v>0.3270919211</v>
      </c>
      <c r="N2636" s="167">
        <f t="shared" si="3"/>
        <v>32.89082251</v>
      </c>
      <c r="O2636" s="163">
        <f t="shared" ref="O2636:Q2636" si="2640">rank(I2636,I:I)</f>
        <v>1665</v>
      </c>
      <c r="P2636" s="163">
        <f t="shared" si="2640"/>
        <v>3557</v>
      </c>
      <c r="Q2636" s="163">
        <f t="shared" si="2640"/>
        <v>3038</v>
      </c>
      <c r="R2636" s="163">
        <f>IFERROR(__xludf.DUMMYFUNCTION("RANK(M2636,filter(M:M,C:C=C2636))"),316.0)</f>
        <v>316</v>
      </c>
      <c r="S2636" s="161" t="b">
        <f t="shared" si="5"/>
        <v>0</v>
      </c>
      <c r="T2636" s="161" t="str">
        <f t="array" ref="T2636">index('Query Tool'!B:B,match(H2636,'Query Tool'!C:C,0))</f>
        <v>#N/A</v>
      </c>
      <c r="U2636" s="161" t="b">
        <f t="array" ref="U2636">index('Query Tool'!B:B,match(C2636,'Query Tool'!C:C,0))</f>
        <v>0</v>
      </c>
      <c r="V2636" s="161" t="b">
        <f>F2636&gt;='Query Tool'!C$32</f>
        <v>1</v>
      </c>
      <c r="W2636" s="161" t="b">
        <f t="array" ref="W2636">index(Dropdowns!B:B,match(I2636,Dropdowns!A:A,0))</f>
        <v>1</v>
      </c>
      <c r="X2636" s="161" t="b">
        <f t="array" ref="X2636">index('Query Tool'!B:B,match(D2636,'Query Tool'!C:C,0))</f>
        <v>1</v>
      </c>
      <c r="Y2636" s="161" t="str">
        <f t="shared" si="6"/>
        <v>barneha02,2018-19</v>
      </c>
      <c r="Z2636" s="168">
        <f t="array" ref="Z2636">iferror(index(I:I,match($A2636&amp;","&amp;index('Year Conversion'!$A:$A,match($C2636,'Year Conversion'!$B:$B,0)),$Y:$Y,0))-I2636,"")</f>
        <v>1</v>
      </c>
      <c r="AA2636" s="168">
        <f t="array" ref="AA2636">iferror(index(J:J,match($A2636&amp;","&amp;index('Year Conversion'!$A:$A,match($C2636,'Year Conversion'!$B:$B,0)),$Y:$Y,0))-J2636,"")</f>
        <v>1.655903794</v>
      </c>
      <c r="AB2636" s="168">
        <f t="array" ref="AB2636">iferror(index(K:K,match($A2636&amp;","&amp;index('Year Conversion'!$A:$A,match($C2636,'Year Conversion'!$B:$B,0)),$Y:$Y,0))-K2636,"")</f>
        <v>1.100361173</v>
      </c>
      <c r="AC2636" s="168" t="str">
        <f t="shared" si="7"/>
        <v>TOT,2018-19</v>
      </c>
    </row>
    <row r="2637">
      <c r="A2637" s="161" t="str">
        <f>IFERROR(__xludf.DUMMYFUNCTION("""COMPUTED_VALUE"""),"riverau01")</f>
        <v>riverau01</v>
      </c>
      <c r="B2637" s="161" t="str">
        <f>IFERROR(__xludf.DUMMYFUNCTION("""COMPUTED_VALUE"""),"Austin Rivers")</f>
        <v>Austin Rivers</v>
      </c>
      <c r="C2637" s="162" t="str">
        <f>IFERROR(__xludf.DUMMYFUNCTION("""COMPUTED_VALUE"""),"2018-19")</f>
        <v>2018-19</v>
      </c>
      <c r="D2637" s="163" t="str">
        <f>IFERROR(__xludf.DUMMYFUNCTION("""COMPUTED_VALUE"""),"TOT")</f>
        <v>TOT</v>
      </c>
      <c r="E2637" s="164" t="str">
        <f>IFERROR(__xludf.DUMMYFUNCTION("""COMPUTED_VALUE"""),"Shot Creator")</f>
        <v>Shot Creator</v>
      </c>
      <c r="F2637" s="164">
        <f>IFERROR(__xludf.DUMMYFUNCTION("""COMPUTED_VALUE"""),2027.72666666667)</f>
        <v>2027.726667</v>
      </c>
      <c r="G2637" s="163">
        <f>IFERROR(__xludf.DUMMYFUNCTION("""COMPUTED_VALUE"""),76.0)</f>
        <v>76</v>
      </c>
      <c r="H2637" s="163" t="str">
        <f>IFERROR(__xludf.DUMMYFUNCTION("""COMPUTED_VALUE"""),"SG")</f>
        <v>SG</v>
      </c>
      <c r="I2637" s="163">
        <f>IFERROR(__xludf.DUMMYFUNCTION("""COMPUTED_VALUE"""),26.0)</f>
        <v>26</v>
      </c>
      <c r="J2637" s="165">
        <f>IFERROR(__xludf.DUMMYFUNCTION("""COMPUTED_VALUE"""),-1.76206063660066)</f>
        <v>-1.762060637</v>
      </c>
      <c r="K2637" s="165">
        <f>IFERROR(__xludf.DUMMYFUNCTION("""COMPUTED_VALUE"""),-0.364393687179963)</f>
        <v>-0.3643936872</v>
      </c>
      <c r="L2637" s="165">
        <f>IFERROR(__xludf.DUMMYFUNCTION("""COMPUTED_VALUE"""),-1.3976669494207)</f>
        <v>-1.397666949</v>
      </c>
      <c r="M2637" s="166">
        <f t="shared" si="2"/>
        <v>0.7275502322</v>
      </c>
      <c r="N2637" s="167">
        <f t="shared" si="3"/>
        <v>26.68061404</v>
      </c>
      <c r="O2637" s="163">
        <f t="shared" ref="O2637:Q2637" si="2641">rank(I2637,I:I)</f>
        <v>1665</v>
      </c>
      <c r="P2637" s="163">
        <f t="shared" si="2641"/>
        <v>3304</v>
      </c>
      <c r="Q2637" s="163">
        <f t="shared" si="2641"/>
        <v>1880</v>
      </c>
      <c r="R2637" s="163">
        <f>IFERROR(__xludf.DUMMYFUNCTION("RANK(M2637,filter(M:M,C:C=C2637))"),254.0)</f>
        <v>254</v>
      </c>
      <c r="S2637" s="161" t="b">
        <f t="shared" si="5"/>
        <v>0</v>
      </c>
      <c r="T2637" s="161" t="b">
        <f t="array" ref="T2637">index('Query Tool'!B:B,match(H2637,'Query Tool'!C:C,0))</f>
        <v>1</v>
      </c>
      <c r="U2637" s="161" t="b">
        <f t="array" ref="U2637">index('Query Tool'!B:B,match(C2637,'Query Tool'!C:C,0))</f>
        <v>0</v>
      </c>
      <c r="V2637" s="161" t="b">
        <f>F2637&gt;='Query Tool'!C$32</f>
        <v>1</v>
      </c>
      <c r="W2637" s="161" t="b">
        <f t="array" ref="W2637">index(Dropdowns!B:B,match(I2637,Dropdowns!A:A,0))</f>
        <v>1</v>
      </c>
      <c r="X2637" s="161" t="b">
        <f t="array" ref="X2637">index('Query Tool'!B:B,match(D2637,'Query Tool'!C:C,0))</f>
        <v>1</v>
      </c>
      <c r="Y2637" s="161" t="str">
        <f t="shared" si="6"/>
        <v>riverau01,2018-19</v>
      </c>
      <c r="Z2637" s="168">
        <f t="array" ref="Z2637">iferror(index(I:I,match($A2637&amp;","&amp;index('Year Conversion'!$A:$A,match($C2637,'Year Conversion'!$B:$B,0)),$Y:$Y,0))-I2637,"")</f>
        <v>1</v>
      </c>
      <c r="AA2637" s="168">
        <f t="array" ref="AA2637">iferror(index(J:J,match($A2637&amp;","&amp;index('Year Conversion'!$A:$A,match($C2637,'Year Conversion'!$B:$B,0)),$Y:$Y,0))-J2637,"")</f>
        <v>-0.04456836391</v>
      </c>
      <c r="AB2637" s="168">
        <f t="array" ref="AB2637">iferror(index(K:K,match($A2637&amp;","&amp;index('Year Conversion'!$A:$A,match($C2637,'Year Conversion'!$B:$B,0)),$Y:$Y,0))-K2637,"")</f>
        <v>0.291388328</v>
      </c>
      <c r="AC2637" s="168" t="str">
        <f t="shared" si="7"/>
        <v>TOT,2018-19</v>
      </c>
    </row>
    <row r="2638">
      <c r="A2638" s="161" t="str">
        <f>IFERROR(__xludf.DUMMYFUNCTION("""COMPUTED_VALUE"""),"leoname01")</f>
        <v>leoname01</v>
      </c>
      <c r="B2638" s="161" t="str">
        <f>IFERROR(__xludf.DUMMYFUNCTION("""COMPUTED_VALUE"""),"Meyers Leonard")</f>
        <v>Meyers Leonard</v>
      </c>
      <c r="C2638" s="162" t="str">
        <f>IFERROR(__xludf.DUMMYFUNCTION("""COMPUTED_VALUE"""),"2018-19")</f>
        <v>2018-19</v>
      </c>
      <c r="D2638" s="163" t="str">
        <f>IFERROR(__xludf.DUMMYFUNCTION("""COMPUTED_VALUE"""),"POR")</f>
        <v>POR</v>
      </c>
      <c r="E2638" s="164" t="str">
        <f>IFERROR(__xludf.DUMMYFUNCTION("""COMPUTED_VALUE"""),"Stretch Big")</f>
        <v>Stretch Big</v>
      </c>
      <c r="F2638" s="164">
        <f>IFERROR(__xludf.DUMMYFUNCTION("""COMPUTED_VALUE"""),877.678333333333)</f>
        <v>877.6783333</v>
      </c>
      <c r="G2638" s="163">
        <f>IFERROR(__xludf.DUMMYFUNCTION("""COMPUTED_VALUE"""),61.0)</f>
        <v>61</v>
      </c>
      <c r="H2638" s="163" t="str">
        <f>IFERROR(__xludf.DUMMYFUNCTION("""COMPUTED_VALUE"""),"C")</f>
        <v>C</v>
      </c>
      <c r="I2638" s="163">
        <f>IFERROR(__xludf.DUMMYFUNCTION("""COMPUTED_VALUE"""),26.0)</f>
        <v>26</v>
      </c>
      <c r="J2638" s="165">
        <f>IFERROR(__xludf.DUMMYFUNCTION("""COMPUTED_VALUE"""),-1.79608363459282)</f>
        <v>-1.796083635</v>
      </c>
      <c r="K2638" s="165">
        <f>IFERROR(__xludf.DUMMYFUNCTION("""COMPUTED_VALUE"""),-0.780486896013201)</f>
        <v>-0.780486896</v>
      </c>
      <c r="L2638" s="165">
        <f>IFERROR(__xludf.DUMMYFUNCTION("""COMPUTED_VALUE"""),-1.01559673857961)</f>
        <v>-1.015596739</v>
      </c>
      <c r="M2638" s="166">
        <f t="shared" si="2"/>
        <v>0.2950429126</v>
      </c>
      <c r="N2638" s="167">
        <f t="shared" si="3"/>
        <v>14.3881694</v>
      </c>
      <c r="O2638" s="163">
        <f t="shared" ref="O2638:Q2638" si="2642">rank(I2638,I:I)</f>
        <v>1665</v>
      </c>
      <c r="P2638" s="163">
        <f t="shared" si="2642"/>
        <v>3325</v>
      </c>
      <c r="Q2638" s="163">
        <f t="shared" si="2642"/>
        <v>2533</v>
      </c>
      <c r="R2638" s="163">
        <f>IFERROR(__xludf.DUMMYFUNCTION("RANK(M2638,filter(M:M,C:C=C2638))"),322.0)</f>
        <v>322</v>
      </c>
      <c r="S2638" s="161" t="b">
        <f t="shared" si="5"/>
        <v>0</v>
      </c>
      <c r="T2638" s="161" t="b">
        <f t="array" ref="T2638">index('Query Tool'!B:B,match(H2638,'Query Tool'!C:C,0))</f>
        <v>1</v>
      </c>
      <c r="U2638" s="161" t="b">
        <f t="array" ref="U2638">index('Query Tool'!B:B,match(C2638,'Query Tool'!C:C,0))</f>
        <v>0</v>
      </c>
      <c r="V2638" s="161" t="b">
        <f>F2638&gt;='Query Tool'!C$32</f>
        <v>1</v>
      </c>
      <c r="W2638" s="161" t="b">
        <f t="array" ref="W2638">index(Dropdowns!B:B,match(I2638,Dropdowns!A:A,0))</f>
        <v>1</v>
      </c>
      <c r="X2638" s="161" t="b">
        <f t="array" ref="X2638">index('Query Tool'!B:B,match(D2638,'Query Tool'!C:C,0))</f>
        <v>1</v>
      </c>
      <c r="Y2638" s="161" t="str">
        <f t="shared" si="6"/>
        <v>leoname01,2018-19</v>
      </c>
      <c r="Z2638" s="168">
        <f t="array" ref="Z2638">iferror(index(I:I,match($A2638&amp;","&amp;index('Year Conversion'!$A:$A,match($C2638,'Year Conversion'!$B:$B,0)),$Y:$Y,0))-I2638,"")</f>
        <v>1</v>
      </c>
      <c r="AA2638" s="168">
        <f t="array" ref="AA2638">iferror(index(J:J,match($A2638&amp;","&amp;index('Year Conversion'!$A:$A,match($C2638,'Year Conversion'!$B:$B,0)),$Y:$Y,0))-J2638,"")</f>
        <v>1.061600491</v>
      </c>
      <c r="AB2638" s="168">
        <f t="array" ref="AB2638">iferror(index(K:K,match($A2638&amp;","&amp;index('Year Conversion'!$A:$A,match($C2638,'Year Conversion'!$B:$B,0)),$Y:$Y,0))-K2638,"")</f>
        <v>-0.9949988254</v>
      </c>
      <c r="AC2638" s="168" t="str">
        <f t="shared" si="7"/>
        <v>POR,2018-19</v>
      </c>
    </row>
    <row r="2639">
      <c r="A2639" s="161" t="str">
        <f>IFERROR(__xludf.DUMMYFUNCTION("""COMPUTED_VALUE"""),"lambje01")</f>
        <v>lambje01</v>
      </c>
      <c r="B2639" s="161" t="str">
        <f>IFERROR(__xludf.DUMMYFUNCTION("""COMPUTED_VALUE"""),"Jeremy Lamb")</f>
        <v>Jeremy Lamb</v>
      </c>
      <c r="C2639" s="162" t="str">
        <f>IFERROR(__xludf.DUMMYFUNCTION("""COMPUTED_VALUE"""),"2018-19")</f>
        <v>2018-19</v>
      </c>
      <c r="D2639" s="163" t="str">
        <f>IFERROR(__xludf.DUMMYFUNCTION("""COMPUTED_VALUE"""),"CHO")</f>
        <v>CHO</v>
      </c>
      <c r="E2639" s="164" t="str">
        <f>IFERROR(__xludf.DUMMYFUNCTION("""COMPUTED_VALUE"""),"Secondary Ball Handler")</f>
        <v>Secondary Ball Handler</v>
      </c>
      <c r="F2639" s="164">
        <f>IFERROR(__xludf.DUMMYFUNCTION("""COMPUTED_VALUE"""),2250.09)</f>
        <v>2250.09</v>
      </c>
      <c r="G2639" s="163">
        <f>IFERROR(__xludf.DUMMYFUNCTION("""COMPUTED_VALUE"""),79.0)</f>
        <v>79</v>
      </c>
      <c r="H2639" s="163" t="str">
        <f>IFERROR(__xludf.DUMMYFUNCTION("""COMPUTED_VALUE"""),"SG")</f>
        <v>SG</v>
      </c>
      <c r="I2639" s="163">
        <f>IFERROR(__xludf.DUMMYFUNCTION("""COMPUTED_VALUE"""),26.0)</f>
        <v>26</v>
      </c>
      <c r="J2639" s="165">
        <f>IFERROR(__xludf.DUMMYFUNCTION("""COMPUTED_VALUE"""),1.23439726348698)</f>
        <v>1.234397263</v>
      </c>
      <c r="K2639" s="165">
        <f>IFERROR(__xludf.DUMMYFUNCTION("""COMPUTED_VALUE"""),0.625972530208852)</f>
        <v>0.6259725302</v>
      </c>
      <c r="L2639" s="165">
        <f>IFERROR(__xludf.DUMMYFUNCTION("""COMPUTED_VALUE"""),0.60842473327813)</f>
        <v>0.6084247333</v>
      </c>
      <c r="M2639" s="166">
        <f t="shared" si="2"/>
        <v>5.337500571</v>
      </c>
      <c r="N2639" s="167">
        <f t="shared" si="3"/>
        <v>28.4821519</v>
      </c>
      <c r="O2639" s="163">
        <f t="shared" ref="O2639:Q2639" si="2643">rank(I2639,I:I)</f>
        <v>1665</v>
      </c>
      <c r="P2639" s="163">
        <f t="shared" si="2643"/>
        <v>557</v>
      </c>
      <c r="Q2639" s="163">
        <f t="shared" si="2643"/>
        <v>692</v>
      </c>
      <c r="R2639" s="163">
        <f>IFERROR(__xludf.DUMMYFUNCTION("RANK(M2639,filter(M:M,C:C=C2639))"),54.0)</f>
        <v>54</v>
      </c>
      <c r="S2639" s="161" t="b">
        <f t="shared" si="5"/>
        <v>0</v>
      </c>
      <c r="T2639" s="161" t="b">
        <f t="array" ref="T2639">index('Query Tool'!B:B,match(H2639,'Query Tool'!C:C,0))</f>
        <v>1</v>
      </c>
      <c r="U2639" s="161" t="b">
        <f t="array" ref="U2639">index('Query Tool'!B:B,match(C2639,'Query Tool'!C:C,0))</f>
        <v>0</v>
      </c>
      <c r="V2639" s="161" t="b">
        <f>F2639&gt;='Query Tool'!C$32</f>
        <v>1</v>
      </c>
      <c r="W2639" s="161" t="b">
        <f t="array" ref="W2639">index(Dropdowns!B:B,match(I2639,Dropdowns!A:A,0))</f>
        <v>1</v>
      </c>
      <c r="X2639" s="161" t="b">
        <f t="array" ref="X2639">index('Query Tool'!B:B,match(D2639,'Query Tool'!C:C,0))</f>
        <v>1</v>
      </c>
      <c r="Y2639" s="161" t="str">
        <f t="shared" si="6"/>
        <v>lambje01,2018-19</v>
      </c>
      <c r="Z2639" s="168">
        <f t="array" ref="Z2639">iferror(index(I:I,match($A2639&amp;","&amp;index('Year Conversion'!$A:$A,match($C2639,'Year Conversion'!$B:$B,0)),$Y:$Y,0))-I2639,"")</f>
        <v>1</v>
      </c>
      <c r="AA2639" s="168">
        <f t="array" ref="AA2639">iferror(index(J:J,match($A2639&amp;","&amp;index('Year Conversion'!$A:$A,match($C2639,'Year Conversion'!$B:$B,0)),$Y:$Y,0))-J2639,"")</f>
        <v>-1.088273045</v>
      </c>
      <c r="AB2639" s="168">
        <f t="array" ref="AB2639">iferror(index(K:K,match($A2639&amp;","&amp;index('Year Conversion'!$A:$A,match($C2639,'Year Conversion'!$B:$B,0)),$Y:$Y,0))-K2639,"")</f>
        <v>-0.5714726307</v>
      </c>
      <c r="AC2639" s="168" t="str">
        <f t="shared" si="7"/>
        <v>CHO,2018-19</v>
      </c>
    </row>
    <row r="2640">
      <c r="A2640" s="161" t="str">
        <f>IFERROR(__xludf.DUMMYFUNCTION("""COMPUTED_VALUE"""),"hensojo01")</f>
        <v>hensojo01</v>
      </c>
      <c r="B2640" s="161" t="str">
        <f>IFERROR(__xludf.DUMMYFUNCTION("""COMPUTED_VALUE"""),"John Henson")</f>
        <v>John Henson</v>
      </c>
      <c r="C2640" s="162" t="str">
        <f>IFERROR(__xludf.DUMMYFUNCTION("""COMPUTED_VALUE"""),"2018-19")</f>
        <v>2018-19</v>
      </c>
      <c r="D2640" s="163" t="str">
        <f>IFERROR(__xludf.DUMMYFUNCTION("""COMPUTED_VALUE"""),"MIL")</f>
        <v>MIL</v>
      </c>
      <c r="E2640" s="164" t="str">
        <f>IFERROR(__xludf.DUMMYFUNCTION("""COMPUTED_VALUE"""),"Stretch Big")</f>
        <v>Stretch Big</v>
      </c>
      <c r="F2640" s="164">
        <f>IFERROR(__xludf.DUMMYFUNCTION("""COMPUTED_VALUE"""),188.408333333333)</f>
        <v>188.4083333</v>
      </c>
      <c r="G2640" s="163">
        <f>IFERROR(__xludf.DUMMYFUNCTION("""COMPUTED_VALUE"""),14.0)</f>
        <v>14</v>
      </c>
      <c r="H2640" s="163" t="str">
        <f>IFERROR(__xludf.DUMMYFUNCTION("""COMPUTED_VALUE"""),"C")</f>
        <v>C</v>
      </c>
      <c r="I2640" s="163">
        <f>IFERROR(__xludf.DUMMYFUNCTION("""COMPUTED_VALUE"""),28.0)</f>
        <v>28</v>
      </c>
      <c r="J2640" s="165">
        <f>IFERROR(__xludf.DUMMYFUNCTION("""COMPUTED_VALUE"""),0.0846999730312885)</f>
        <v>0.08469997303</v>
      </c>
      <c r="K2640" s="165">
        <f>IFERROR(__xludf.DUMMYFUNCTION("""COMPUTED_VALUE"""),-0.234913695182127)</f>
        <v>-0.2349136952</v>
      </c>
      <c r="L2640" s="165">
        <f>IFERROR(__xludf.DUMMYFUNCTION("""COMPUTED_VALUE"""),0.319613668213416)</f>
        <v>0.3196136682</v>
      </c>
      <c r="M2640" s="166">
        <f t="shared" si="2"/>
        <v>0.3012215829</v>
      </c>
      <c r="N2640" s="167">
        <f t="shared" si="3"/>
        <v>13.4577381</v>
      </c>
      <c r="O2640" s="163">
        <f t="shared" ref="O2640:Q2640" si="2644">rank(I2640,I:I)</f>
        <v>1090</v>
      </c>
      <c r="P2640" s="163">
        <f t="shared" si="2644"/>
        <v>1207</v>
      </c>
      <c r="Q2640" s="163">
        <f t="shared" si="2644"/>
        <v>1634</v>
      </c>
      <c r="R2640" s="163">
        <f>IFERROR(__xludf.DUMMYFUNCTION("RANK(M2640,filter(M:M,C:C=C2640))"),319.0)</f>
        <v>319</v>
      </c>
      <c r="S2640" s="161" t="b">
        <f t="shared" si="5"/>
        <v>0</v>
      </c>
      <c r="T2640" s="161" t="b">
        <f t="array" ref="T2640">index('Query Tool'!B:B,match(H2640,'Query Tool'!C:C,0))</f>
        <v>1</v>
      </c>
      <c r="U2640" s="161" t="b">
        <f t="array" ref="U2640">index('Query Tool'!B:B,match(C2640,'Query Tool'!C:C,0))</f>
        <v>0</v>
      </c>
      <c r="V2640" s="161" t="b">
        <f>F2640&gt;='Query Tool'!C$32</f>
        <v>0</v>
      </c>
      <c r="W2640" s="161" t="b">
        <f t="array" ref="W2640">index(Dropdowns!B:B,match(I2640,Dropdowns!A:A,0))</f>
        <v>1</v>
      </c>
      <c r="X2640" s="161" t="b">
        <f t="array" ref="X2640">index('Query Tool'!B:B,match(D2640,'Query Tool'!C:C,0))</f>
        <v>1</v>
      </c>
      <c r="Y2640" s="161" t="str">
        <f t="shared" si="6"/>
        <v>hensojo01,2018-19</v>
      </c>
      <c r="Z2640" s="168">
        <f t="array" ref="Z2640">iferror(index(I:I,match($A2640&amp;","&amp;index('Year Conversion'!$A:$A,match($C2640,'Year Conversion'!$B:$B,0)),$Y:$Y,0))-I2640,"")</f>
        <v>1</v>
      </c>
      <c r="AA2640" s="168">
        <f t="array" ref="AA2640">iferror(index(J:J,match($A2640&amp;","&amp;index('Year Conversion'!$A:$A,match($C2640,'Year Conversion'!$B:$B,0)),$Y:$Y,0))-J2640,"")</f>
        <v>1.209031719</v>
      </c>
      <c r="AB2640" s="168">
        <f t="array" ref="AB2640">iferror(index(K:K,match($A2640&amp;","&amp;index('Year Conversion'!$A:$A,match($C2640,'Year Conversion'!$B:$B,0)),$Y:$Y,0))-K2640,"")</f>
        <v>-0.7793127143</v>
      </c>
      <c r="AC2640" s="168" t="str">
        <f t="shared" si="7"/>
        <v>MIL,2018-19</v>
      </c>
    </row>
    <row r="2641">
      <c r="A2641" s="161" t="str">
        <f>IFERROR(__xludf.DUMMYFUNCTION("""COMPUTED_VALUE"""),"harklma01")</f>
        <v>harklma01</v>
      </c>
      <c r="B2641" s="161" t="str">
        <f>IFERROR(__xludf.DUMMYFUNCTION("""COMPUTED_VALUE"""),"Maurice Harkless")</f>
        <v>Maurice Harkless</v>
      </c>
      <c r="C2641" s="162" t="str">
        <f>IFERROR(__xludf.DUMMYFUNCTION("""COMPUTED_VALUE"""),"2018-19")</f>
        <v>2018-19</v>
      </c>
      <c r="D2641" s="163" t="str">
        <f>IFERROR(__xludf.DUMMYFUNCTION("""COMPUTED_VALUE"""),"POR")</f>
        <v>POR</v>
      </c>
      <c r="E2641" s="164" t="str">
        <f>IFERROR(__xludf.DUMMYFUNCTION("""COMPUTED_VALUE"""),"Stretch Big")</f>
        <v>Stretch Big</v>
      </c>
      <c r="F2641" s="164">
        <f>IFERROR(__xludf.DUMMYFUNCTION("""COMPUTED_VALUE"""),1415.13)</f>
        <v>1415.13</v>
      </c>
      <c r="G2641" s="163">
        <f>IFERROR(__xludf.DUMMYFUNCTION("""COMPUTED_VALUE"""),60.0)</f>
        <v>60</v>
      </c>
      <c r="H2641" s="163" t="str">
        <f>IFERROR(__xludf.DUMMYFUNCTION("""COMPUTED_VALUE"""),"SF")</f>
        <v>SF</v>
      </c>
      <c r="I2641" s="163">
        <f>IFERROR(__xludf.DUMMYFUNCTION("""COMPUTED_VALUE"""),25.0)</f>
        <v>25</v>
      </c>
      <c r="J2641" s="165">
        <f>IFERROR(__xludf.DUMMYFUNCTION("""COMPUTED_VALUE"""),0.838553296852788)</f>
        <v>0.8385532969</v>
      </c>
      <c r="K2641" s="165">
        <f>IFERROR(__xludf.DUMMYFUNCTION("""COMPUTED_VALUE"""),-0.574673462677937)</f>
        <v>-0.5746734627</v>
      </c>
      <c r="L2641" s="165">
        <f>IFERROR(__xludf.DUMMYFUNCTION("""COMPUTED_VALUE"""),1.41322675953072)</f>
        <v>1.41322676</v>
      </c>
      <c r="M2641" s="166">
        <f t="shared" si="2"/>
        <v>2.980913549</v>
      </c>
      <c r="N2641" s="167">
        <f t="shared" si="3"/>
        <v>23.5855</v>
      </c>
      <c r="O2641" s="163">
        <f t="shared" ref="O2641:Q2641" si="2645">rank(I2641,I:I)</f>
        <v>1995</v>
      </c>
      <c r="P2641" s="163">
        <f t="shared" si="2645"/>
        <v>719</v>
      </c>
      <c r="Q2641" s="163">
        <f t="shared" si="2645"/>
        <v>2224</v>
      </c>
      <c r="R2641" s="163">
        <f>IFERROR(__xludf.DUMMYFUNCTION("RANK(M2641,filter(M:M,C:C=C2641))"),115.0)</f>
        <v>115</v>
      </c>
      <c r="S2641" s="161" t="b">
        <f t="shared" si="5"/>
        <v>0</v>
      </c>
      <c r="T2641" s="161" t="b">
        <f t="array" ref="T2641">index('Query Tool'!B:B,match(H2641,'Query Tool'!C:C,0))</f>
        <v>1</v>
      </c>
      <c r="U2641" s="161" t="b">
        <f t="array" ref="U2641">index('Query Tool'!B:B,match(C2641,'Query Tool'!C:C,0))</f>
        <v>0</v>
      </c>
      <c r="V2641" s="161" t="b">
        <f>F2641&gt;='Query Tool'!C$32</f>
        <v>1</v>
      </c>
      <c r="W2641" s="161" t="b">
        <f t="array" ref="W2641">index(Dropdowns!B:B,match(I2641,Dropdowns!A:A,0))</f>
        <v>1</v>
      </c>
      <c r="X2641" s="161" t="b">
        <f t="array" ref="X2641">index('Query Tool'!B:B,match(D2641,'Query Tool'!C:C,0))</f>
        <v>1</v>
      </c>
      <c r="Y2641" s="161" t="str">
        <f t="shared" si="6"/>
        <v>harklma01,2018-19</v>
      </c>
      <c r="Z2641" s="168">
        <f t="array" ref="Z2641">iferror(index(I:I,match($A2641&amp;","&amp;index('Year Conversion'!$A:$A,match($C2641,'Year Conversion'!$B:$B,0)),$Y:$Y,0))-I2641,"")</f>
        <v>1</v>
      </c>
      <c r="AA2641" s="168">
        <f t="array" ref="AA2641">iferror(index(J:J,match($A2641&amp;","&amp;index('Year Conversion'!$A:$A,match($C2641,'Year Conversion'!$B:$B,0)),$Y:$Y,0))-J2641,"")</f>
        <v>-2.89779721</v>
      </c>
      <c r="AB2641" s="168">
        <f t="array" ref="AB2641">iferror(index(K:K,match($A2641&amp;","&amp;index('Year Conversion'!$A:$A,match($C2641,'Year Conversion'!$B:$B,0)),$Y:$Y,0))-K2641,"")</f>
        <v>-1.598667151</v>
      </c>
      <c r="AC2641" s="168" t="str">
        <f t="shared" si="7"/>
        <v>POR,2018-19</v>
      </c>
    </row>
    <row r="2642">
      <c r="A2642" s="161" t="str">
        <f>IFERROR(__xludf.DUMMYFUNCTION("""COMPUTED_VALUE"""),"zellety01")</f>
        <v>zellety01</v>
      </c>
      <c r="B2642" s="161" t="str">
        <f>IFERROR(__xludf.DUMMYFUNCTION("""COMPUTED_VALUE"""),"Tyler Zeller")</f>
        <v>Tyler Zeller</v>
      </c>
      <c r="C2642" s="162" t="str">
        <f>IFERROR(__xludf.DUMMYFUNCTION("""COMPUTED_VALUE"""),"2018-19")</f>
        <v>2018-19</v>
      </c>
      <c r="D2642" s="163" t="str">
        <f>IFERROR(__xludf.DUMMYFUNCTION("""COMPUTED_VALUE"""),"TOT")</f>
        <v>TOT</v>
      </c>
      <c r="E2642" s="164" t="str">
        <f>IFERROR(__xludf.DUMMYFUNCTION("""COMPUTED_VALUE"""),"Roll + Cut Big")</f>
        <v>Roll + Cut Big</v>
      </c>
      <c r="F2642" s="164">
        <f>IFERROR(__xludf.DUMMYFUNCTION("""COMPUTED_VALUE"""),92.8466666666667)</f>
        <v>92.84666667</v>
      </c>
      <c r="G2642" s="163">
        <f>IFERROR(__xludf.DUMMYFUNCTION("""COMPUTED_VALUE"""),6.0)</f>
        <v>6</v>
      </c>
      <c r="H2642" s="163" t="str">
        <f>IFERROR(__xludf.DUMMYFUNCTION("""COMPUTED_VALUE"""),"C")</f>
        <v>C</v>
      </c>
      <c r="I2642" s="163">
        <f>IFERROR(__xludf.DUMMYFUNCTION("""COMPUTED_VALUE"""),29.0)</f>
        <v>29</v>
      </c>
      <c r="J2642" s="165">
        <f>IFERROR(__xludf.DUMMYFUNCTION("""COMPUTED_VALUE"""),-0.300261211208647)</f>
        <v>-0.3002612112</v>
      </c>
      <c r="K2642" s="165">
        <f>IFERROR(__xludf.DUMMYFUNCTION("""COMPUTED_VALUE"""),-0.239107362977401)</f>
        <v>-0.239107363</v>
      </c>
      <c r="L2642" s="165">
        <f>IFERROR(__xludf.DUMMYFUNCTION("""COMPUTED_VALUE"""),-0.0611538482312458)</f>
        <v>-0.06115384823</v>
      </c>
      <c r="M2642" s="166">
        <f t="shared" si="2"/>
        <v>0.1243457308</v>
      </c>
      <c r="N2642" s="167">
        <f t="shared" si="3"/>
        <v>15.47444444</v>
      </c>
      <c r="O2642" s="163">
        <f t="shared" ref="O2642:Q2642" si="2646">rank(I2642,I:I)</f>
        <v>855</v>
      </c>
      <c r="P2642" s="163">
        <f t="shared" si="2646"/>
        <v>1613</v>
      </c>
      <c r="Q2642" s="163">
        <f t="shared" si="2646"/>
        <v>1642</v>
      </c>
      <c r="R2642" s="163">
        <f>IFERROR(__xludf.DUMMYFUNCTION("RANK(M2642,filter(M:M,C:C=C2642))"),376.0)</f>
        <v>376</v>
      </c>
      <c r="S2642" s="161" t="b">
        <f t="shared" si="5"/>
        <v>0</v>
      </c>
      <c r="T2642" s="161" t="b">
        <f t="array" ref="T2642">index('Query Tool'!B:B,match(H2642,'Query Tool'!C:C,0))</f>
        <v>1</v>
      </c>
      <c r="U2642" s="161" t="b">
        <f t="array" ref="U2642">index('Query Tool'!B:B,match(C2642,'Query Tool'!C:C,0))</f>
        <v>0</v>
      </c>
      <c r="V2642" s="161" t="b">
        <f>F2642&gt;='Query Tool'!C$32</f>
        <v>0</v>
      </c>
      <c r="W2642" s="161" t="b">
        <f t="array" ref="W2642">index(Dropdowns!B:B,match(I2642,Dropdowns!A:A,0))</f>
        <v>1</v>
      </c>
      <c r="X2642" s="161" t="b">
        <f t="array" ref="X2642">index('Query Tool'!B:B,match(D2642,'Query Tool'!C:C,0))</f>
        <v>1</v>
      </c>
      <c r="Y2642" s="161" t="str">
        <f t="shared" si="6"/>
        <v>zellety01,2018-19</v>
      </c>
      <c r="Z2642" s="168">
        <f t="array" ref="Z2642">iferror(index(I:I,match($A2642&amp;","&amp;index('Year Conversion'!$A:$A,match($C2642,'Year Conversion'!$B:$B,0)),$Y:$Y,0))-I2642,"")</f>
        <v>1</v>
      </c>
      <c r="AA2642" s="168">
        <f t="array" ref="AA2642">iferror(index(J:J,match($A2642&amp;","&amp;index('Year Conversion'!$A:$A,match($C2642,'Year Conversion'!$B:$B,0)),$Y:$Y,0))-J2642,"")</f>
        <v>0.0001347741156</v>
      </c>
      <c r="AB2642" s="168">
        <f t="array" ref="AB2642">iferror(index(K:K,match($A2642&amp;","&amp;index('Year Conversion'!$A:$A,match($C2642,'Year Conversion'!$B:$B,0)),$Y:$Y,0))-K2642,"")</f>
        <v>0.0809125715</v>
      </c>
      <c r="AC2642" s="168" t="str">
        <f t="shared" si="7"/>
        <v>TOT,2018-19</v>
      </c>
    </row>
    <row r="2643">
      <c r="A2643" s="161" t="str">
        <f>IFERROR(__xludf.DUMMYFUNCTION("""COMPUTED_VALUE"""),"joneste01")</f>
        <v>joneste01</v>
      </c>
      <c r="B2643" s="161" t="str">
        <f>IFERROR(__xludf.DUMMYFUNCTION("""COMPUTED_VALUE"""),"Terrence Jones")</f>
        <v>Terrence Jones</v>
      </c>
      <c r="C2643" s="162" t="str">
        <f>IFERROR(__xludf.DUMMYFUNCTION("""COMPUTED_VALUE"""),"2018-19")</f>
        <v>2018-19</v>
      </c>
      <c r="D2643" s="163" t="str">
        <f>IFERROR(__xludf.DUMMYFUNCTION("""COMPUTED_VALUE"""),"HOU")</f>
        <v>HOU</v>
      </c>
      <c r="E2643" s="164" t="str">
        <f>IFERROR(__xludf.DUMMYFUNCTION("""COMPUTED_VALUE"""),"Versatile Big")</f>
        <v>Versatile Big</v>
      </c>
      <c r="F2643" s="164">
        <f>IFERROR(__xludf.DUMMYFUNCTION("""COMPUTED_VALUE"""),5.1)</f>
        <v>5.1</v>
      </c>
      <c r="G2643" s="163">
        <f>IFERROR(__xludf.DUMMYFUNCTION("""COMPUTED_VALUE"""),2.0)</f>
        <v>2</v>
      </c>
      <c r="H2643" s="163" t="str">
        <f>IFERROR(__xludf.DUMMYFUNCTION("""COMPUTED_VALUE"""),"PF")</f>
        <v>PF</v>
      </c>
      <c r="I2643" s="163">
        <f>IFERROR(__xludf.DUMMYFUNCTION("""COMPUTED_VALUE"""),27.0)</f>
        <v>27</v>
      </c>
      <c r="J2643" s="165">
        <f>IFERROR(__xludf.DUMMYFUNCTION("""COMPUTED_VALUE"""),-0.843059027267325)</f>
        <v>-0.8430590273</v>
      </c>
      <c r="K2643" s="165">
        <f>IFERROR(__xludf.DUMMYFUNCTION("""COMPUTED_VALUE"""),-0.0876784518018212)</f>
        <v>-0.0876784518</v>
      </c>
      <c r="L2643" s="165">
        <f>IFERROR(__xludf.DUMMYFUNCTION("""COMPUTED_VALUE"""),-0.755380575465504)</f>
        <v>-0.7553805755</v>
      </c>
      <c r="M2643" s="166">
        <f t="shared" si="2"/>
        <v>0.004966611488</v>
      </c>
      <c r="N2643" s="167">
        <f t="shared" si="3"/>
        <v>2.55</v>
      </c>
      <c r="O2643" s="163">
        <f t="shared" ref="O2643:Q2643" si="2647">rank(I2643,I:I)</f>
        <v>1366</v>
      </c>
      <c r="P2643" s="163">
        <f t="shared" si="2647"/>
        <v>2340</v>
      </c>
      <c r="Q2643" s="163">
        <f t="shared" si="2647"/>
        <v>1338</v>
      </c>
      <c r="R2643" s="163">
        <f>IFERROR(__xludf.DUMMYFUNCTION("RANK(M2643,filter(M:M,C:C=C2643))"),471.0)</f>
        <v>471</v>
      </c>
      <c r="S2643" s="161" t="b">
        <f t="shared" si="5"/>
        <v>0</v>
      </c>
      <c r="T2643" s="161" t="b">
        <f t="array" ref="T2643">index('Query Tool'!B:B,match(H2643,'Query Tool'!C:C,0))</f>
        <v>1</v>
      </c>
      <c r="U2643" s="161" t="b">
        <f t="array" ref="U2643">index('Query Tool'!B:B,match(C2643,'Query Tool'!C:C,0))</f>
        <v>0</v>
      </c>
      <c r="V2643" s="161" t="b">
        <f>F2643&gt;='Query Tool'!C$32</f>
        <v>0</v>
      </c>
      <c r="W2643" s="161" t="b">
        <f t="array" ref="W2643">index(Dropdowns!B:B,match(I2643,Dropdowns!A:A,0))</f>
        <v>1</v>
      </c>
      <c r="X2643" s="161" t="b">
        <f t="array" ref="X2643">index('Query Tool'!B:B,match(D2643,'Query Tool'!C:C,0))</f>
        <v>1</v>
      </c>
      <c r="Y2643" s="161" t="str">
        <f t="shared" si="6"/>
        <v>joneste01,2018-19</v>
      </c>
      <c r="Z2643" s="168" t="str">
        <f t="array" ref="Z2643">iferror(index(I:I,match($A2643&amp;","&amp;index('Year Conversion'!$A:$A,match($C2643,'Year Conversion'!$B:$B,0)),$Y:$Y,0))-I2643,"")</f>
        <v/>
      </c>
      <c r="AA2643" s="168" t="str">
        <f t="array" ref="AA2643">iferror(index(J:J,match($A2643&amp;","&amp;index('Year Conversion'!$A:$A,match($C2643,'Year Conversion'!$B:$B,0)),$Y:$Y,0))-J2643,"")</f>
        <v/>
      </c>
      <c r="AB2643" s="168" t="str">
        <f t="array" ref="AB2643">iferror(index(K:K,match($A2643&amp;","&amp;index('Year Conversion'!$A:$A,match($C2643,'Year Conversion'!$B:$B,0)),$Y:$Y,0))-K2643,"")</f>
        <v/>
      </c>
      <c r="AC2643" s="168" t="str">
        <f t="shared" si="7"/>
        <v>HOU,2018-19</v>
      </c>
    </row>
    <row r="2644">
      <c r="A2644" s="161" t="str">
        <f>IFERROR(__xludf.DUMMYFUNCTION("""COMPUTED_VALUE"""),"fournev01")</f>
        <v>fournev01</v>
      </c>
      <c r="B2644" s="161" t="str">
        <f>IFERROR(__xludf.DUMMYFUNCTION("""COMPUTED_VALUE"""),"Evan Fournier")</f>
        <v>Evan Fournier</v>
      </c>
      <c r="C2644" s="162" t="str">
        <f>IFERROR(__xludf.DUMMYFUNCTION("""COMPUTED_VALUE"""),"2018-19")</f>
        <v>2018-19</v>
      </c>
      <c r="D2644" s="163" t="str">
        <f>IFERROR(__xludf.DUMMYFUNCTION("""COMPUTED_VALUE"""),"ORL")</f>
        <v>ORL</v>
      </c>
      <c r="E2644" s="164" t="str">
        <f>IFERROR(__xludf.DUMMYFUNCTION("""COMPUTED_VALUE"""),"Secondary Ball Handler")</f>
        <v>Secondary Ball Handler</v>
      </c>
      <c r="F2644" s="164">
        <f>IFERROR(__xludf.DUMMYFUNCTION("""COMPUTED_VALUE"""),2553.28166666667)</f>
        <v>2553.281667</v>
      </c>
      <c r="G2644" s="163">
        <f>IFERROR(__xludf.DUMMYFUNCTION("""COMPUTED_VALUE"""),81.0)</f>
        <v>81</v>
      </c>
      <c r="H2644" s="163" t="str">
        <f>IFERROR(__xludf.DUMMYFUNCTION("""COMPUTED_VALUE"""),"SG")</f>
        <v>SG</v>
      </c>
      <c r="I2644" s="163">
        <f>IFERROR(__xludf.DUMMYFUNCTION("""COMPUTED_VALUE"""),26.0)</f>
        <v>26</v>
      </c>
      <c r="J2644" s="165">
        <f>IFERROR(__xludf.DUMMYFUNCTION("""COMPUTED_VALUE"""),-1.17965995910295)</f>
        <v>-1.179659959</v>
      </c>
      <c r="K2644" s="165">
        <f>IFERROR(__xludf.DUMMYFUNCTION("""COMPUTED_VALUE"""),0.0181175791785615)</f>
        <v>0.01811757918</v>
      </c>
      <c r="L2644" s="165">
        <f>IFERROR(__xludf.DUMMYFUNCTION("""COMPUTED_VALUE"""),-1.19777753828151)</f>
        <v>-1.197777538</v>
      </c>
      <c r="M2644" s="166">
        <f t="shared" si="2"/>
        <v>1.909563285</v>
      </c>
      <c r="N2644" s="167">
        <f t="shared" si="3"/>
        <v>31.52199588</v>
      </c>
      <c r="O2644" s="163">
        <f t="shared" ref="O2644:Q2644" si="2648">rank(I2644,I:I)</f>
        <v>1665</v>
      </c>
      <c r="P2644" s="163">
        <f t="shared" si="2648"/>
        <v>2715</v>
      </c>
      <c r="Q2644" s="163">
        <f t="shared" si="2648"/>
        <v>1176</v>
      </c>
      <c r="R2644" s="163">
        <f>IFERROR(__xludf.DUMMYFUNCTION("RANK(M2644,filter(M:M,C:C=C2644))"),156.0)</f>
        <v>156</v>
      </c>
      <c r="S2644" s="161" t="b">
        <f t="shared" si="5"/>
        <v>0</v>
      </c>
      <c r="T2644" s="161" t="b">
        <f t="array" ref="T2644">index('Query Tool'!B:B,match(H2644,'Query Tool'!C:C,0))</f>
        <v>1</v>
      </c>
      <c r="U2644" s="161" t="b">
        <f t="array" ref="U2644">index('Query Tool'!B:B,match(C2644,'Query Tool'!C:C,0))</f>
        <v>0</v>
      </c>
      <c r="V2644" s="161" t="b">
        <f>F2644&gt;='Query Tool'!C$32</f>
        <v>1</v>
      </c>
      <c r="W2644" s="161" t="b">
        <f t="array" ref="W2644">index(Dropdowns!B:B,match(I2644,Dropdowns!A:A,0))</f>
        <v>1</v>
      </c>
      <c r="X2644" s="161" t="b">
        <f t="array" ref="X2644">index('Query Tool'!B:B,match(D2644,'Query Tool'!C:C,0))</f>
        <v>1</v>
      </c>
      <c r="Y2644" s="161" t="str">
        <f t="shared" si="6"/>
        <v>fournev01,2018-19</v>
      </c>
      <c r="Z2644" s="168">
        <f t="array" ref="Z2644">iferror(index(I:I,match($A2644&amp;","&amp;index('Year Conversion'!$A:$A,match($C2644,'Year Conversion'!$B:$B,0)),$Y:$Y,0))-I2644,"")</f>
        <v>1</v>
      </c>
      <c r="AA2644" s="168">
        <f t="array" ref="AA2644">iferror(index(J:J,match($A2644&amp;","&amp;index('Year Conversion'!$A:$A,match($C2644,'Year Conversion'!$B:$B,0)),$Y:$Y,0))-J2644,"")</f>
        <v>1.979805475</v>
      </c>
      <c r="AB2644" s="168">
        <f t="array" ref="AB2644">iferror(index(K:K,match($A2644&amp;","&amp;index('Year Conversion'!$A:$A,match($C2644,'Year Conversion'!$B:$B,0)),$Y:$Y,0))-K2644,"")</f>
        <v>0.6901437581</v>
      </c>
      <c r="AC2644" s="168" t="str">
        <f t="shared" si="7"/>
        <v>ORL,2018-19</v>
      </c>
    </row>
    <row r="2645">
      <c r="A2645" s="161" t="str">
        <f>IFERROR(__xludf.DUMMYFUNCTION("""COMPUTED_VALUE"""),"jenkijo01")</f>
        <v>jenkijo01</v>
      </c>
      <c r="B2645" s="161" t="str">
        <f>IFERROR(__xludf.DUMMYFUNCTION("""COMPUTED_VALUE"""),"John Jenkins")</f>
        <v>John Jenkins</v>
      </c>
      <c r="C2645" s="162" t="str">
        <f>IFERROR(__xludf.DUMMYFUNCTION("""COMPUTED_VALUE"""),"2018-19")</f>
        <v>2018-19</v>
      </c>
      <c r="D2645" s="163" t="str">
        <f>IFERROR(__xludf.DUMMYFUNCTION("""COMPUTED_VALUE"""),"TOT")</f>
        <v>TOT</v>
      </c>
      <c r="E2645" s="164" t="str">
        <f>IFERROR(__xludf.DUMMYFUNCTION("""COMPUTED_VALUE"""),"Off Screen Shooter")</f>
        <v>Off Screen Shooter</v>
      </c>
      <c r="F2645" s="164">
        <f>IFERROR(__xludf.DUMMYFUNCTION("""COMPUTED_VALUE"""),333.105)</f>
        <v>333.105</v>
      </c>
      <c r="G2645" s="163">
        <f>IFERROR(__xludf.DUMMYFUNCTION("""COMPUTED_VALUE"""),26.0)</f>
        <v>26</v>
      </c>
      <c r="H2645" s="163" t="str">
        <f>IFERROR(__xludf.DUMMYFUNCTION("""COMPUTED_VALUE"""),"SG")</f>
        <v>SG</v>
      </c>
      <c r="I2645" s="163">
        <f>IFERROR(__xludf.DUMMYFUNCTION("""COMPUTED_VALUE"""),27.0)</f>
        <v>27</v>
      </c>
      <c r="J2645" s="165">
        <f>IFERROR(__xludf.DUMMYFUNCTION("""COMPUTED_VALUE"""),-2.3713261955302)</f>
        <v>-2.371326196</v>
      </c>
      <c r="K2645" s="165">
        <f>IFERROR(__xludf.DUMMYFUNCTION("""COMPUTED_VALUE"""),-0.842668231307891)</f>
        <v>-0.8426682313</v>
      </c>
      <c r="L2645" s="165">
        <f>IFERROR(__xludf.DUMMYFUNCTION("""COMPUTED_VALUE"""),-1.52865796422231)</f>
        <v>-1.528657964</v>
      </c>
      <c r="M2645" s="166">
        <f t="shared" si="2"/>
        <v>-0.01488458782</v>
      </c>
      <c r="N2645" s="167">
        <f t="shared" si="3"/>
        <v>12.81173077</v>
      </c>
      <c r="O2645" s="163">
        <f t="shared" ref="O2645:Q2645" si="2649">rank(I2645,I:I)</f>
        <v>1366</v>
      </c>
      <c r="P2645" s="163">
        <f t="shared" si="2649"/>
        <v>3695</v>
      </c>
      <c r="Q2645" s="163">
        <f t="shared" si="2649"/>
        <v>2609</v>
      </c>
      <c r="R2645" s="163">
        <f>IFERROR(__xludf.DUMMYFUNCTION("RANK(M2645,filter(M:M,C:C=C2645))"),483.0)</f>
        <v>483</v>
      </c>
      <c r="S2645" s="161" t="b">
        <f t="shared" si="5"/>
        <v>0</v>
      </c>
      <c r="T2645" s="161" t="b">
        <f t="array" ref="T2645">index('Query Tool'!B:B,match(H2645,'Query Tool'!C:C,0))</f>
        <v>1</v>
      </c>
      <c r="U2645" s="161" t="b">
        <f t="array" ref="U2645">index('Query Tool'!B:B,match(C2645,'Query Tool'!C:C,0))</f>
        <v>0</v>
      </c>
      <c r="V2645" s="161" t="b">
        <f>F2645&gt;='Query Tool'!C$32</f>
        <v>0</v>
      </c>
      <c r="W2645" s="161" t="b">
        <f t="array" ref="W2645">index(Dropdowns!B:B,match(I2645,Dropdowns!A:A,0))</f>
        <v>1</v>
      </c>
      <c r="X2645" s="161" t="b">
        <f t="array" ref="X2645">index('Query Tool'!B:B,match(D2645,'Query Tool'!C:C,0))</f>
        <v>1</v>
      </c>
      <c r="Y2645" s="161" t="str">
        <f t="shared" si="6"/>
        <v>jenkijo01,2018-19</v>
      </c>
      <c r="Z2645" s="168" t="str">
        <f t="array" ref="Z2645">iferror(index(I:I,match($A2645&amp;","&amp;index('Year Conversion'!$A:$A,match($C2645,'Year Conversion'!$B:$B,0)),$Y:$Y,0))-I2645,"")</f>
        <v/>
      </c>
      <c r="AA2645" s="168" t="str">
        <f t="array" ref="AA2645">iferror(index(J:J,match($A2645&amp;","&amp;index('Year Conversion'!$A:$A,match($C2645,'Year Conversion'!$B:$B,0)),$Y:$Y,0))-J2645,"")</f>
        <v/>
      </c>
      <c r="AB2645" s="168" t="str">
        <f t="array" ref="AB2645">iferror(index(K:K,match($A2645&amp;","&amp;index('Year Conversion'!$A:$A,match($C2645,'Year Conversion'!$B:$B,0)),$Y:$Y,0))-K2645,"")</f>
        <v/>
      </c>
      <c r="AC2645" s="168" t="str">
        <f t="shared" si="7"/>
        <v>TOT,2018-19</v>
      </c>
    </row>
    <row r="2646">
      <c r="A2646" s="161" t="str">
        <f>IFERROR(__xludf.DUMMYFUNCTION("""COMPUTED_VALUE"""),"plumlmi01")</f>
        <v>plumlmi01</v>
      </c>
      <c r="B2646" s="161" t="str">
        <f>IFERROR(__xludf.DUMMYFUNCTION("""COMPUTED_VALUE"""),"Miles Plumlee")</f>
        <v>Miles Plumlee</v>
      </c>
      <c r="C2646" s="162" t="str">
        <f>IFERROR(__xludf.DUMMYFUNCTION("""COMPUTED_VALUE"""),"2018-19")</f>
        <v>2018-19</v>
      </c>
      <c r="D2646" s="163" t="str">
        <f>IFERROR(__xludf.DUMMYFUNCTION("""COMPUTED_VALUE"""),"ATL")</f>
        <v>ATL</v>
      </c>
      <c r="E2646" s="164" t="str">
        <f>IFERROR(__xludf.DUMMYFUNCTION("""COMPUTED_VALUE"""),"Roll + Cut Big")</f>
        <v>Roll + Cut Big</v>
      </c>
      <c r="F2646" s="164">
        <f>IFERROR(__xludf.DUMMYFUNCTION("""COMPUTED_VALUE"""),172.921666666667)</f>
        <v>172.9216667</v>
      </c>
      <c r="G2646" s="163">
        <f>IFERROR(__xludf.DUMMYFUNCTION("""COMPUTED_VALUE"""),18.0)</f>
        <v>18</v>
      </c>
      <c r="H2646" s="163" t="str">
        <f>IFERROR(__xludf.DUMMYFUNCTION("""COMPUTED_VALUE"""),"C")</f>
        <v>C</v>
      </c>
      <c r="I2646" s="163">
        <f>IFERROR(__xludf.DUMMYFUNCTION("""COMPUTED_VALUE"""),30.0)</f>
        <v>30</v>
      </c>
      <c r="J2646" s="165">
        <f>IFERROR(__xludf.DUMMYFUNCTION("""COMPUTED_VALUE"""),0.0279227699826364)</f>
        <v>0.02792276998</v>
      </c>
      <c r="K2646" s="165">
        <f>IFERROR(__xludf.DUMMYFUNCTION("""COMPUTED_VALUE"""),-0.0275148906259911)</f>
        <v>-0.02751489063</v>
      </c>
      <c r="L2646" s="165">
        <f>IFERROR(__xludf.DUMMYFUNCTION("""COMPUTED_VALUE"""),0.0554376606086275)</f>
        <v>0.05543766061</v>
      </c>
      <c r="M2646" s="166">
        <f t="shared" si="2"/>
        <v>0.269842859</v>
      </c>
      <c r="N2646" s="167">
        <f t="shared" si="3"/>
        <v>9.606759259</v>
      </c>
      <c r="O2646" s="163">
        <f t="shared" ref="O2646:Q2646" si="2650">rank(I2646,I:I)</f>
        <v>655</v>
      </c>
      <c r="P2646" s="163">
        <f t="shared" si="2650"/>
        <v>1266</v>
      </c>
      <c r="Q2646" s="163">
        <f t="shared" si="2650"/>
        <v>1235</v>
      </c>
      <c r="R2646" s="163">
        <f>IFERROR(__xludf.DUMMYFUNCTION("RANK(M2646,filter(M:M,C:C=C2646))"),330.0)</f>
        <v>330</v>
      </c>
      <c r="S2646" s="161" t="b">
        <f t="shared" si="5"/>
        <v>0</v>
      </c>
      <c r="T2646" s="161" t="b">
        <f t="array" ref="T2646">index('Query Tool'!B:B,match(H2646,'Query Tool'!C:C,0))</f>
        <v>1</v>
      </c>
      <c r="U2646" s="161" t="b">
        <f t="array" ref="U2646">index('Query Tool'!B:B,match(C2646,'Query Tool'!C:C,0))</f>
        <v>0</v>
      </c>
      <c r="V2646" s="161" t="b">
        <f>F2646&gt;='Query Tool'!C$32</f>
        <v>0</v>
      </c>
      <c r="W2646" s="161" t="b">
        <f t="array" ref="W2646">index(Dropdowns!B:B,match(I2646,Dropdowns!A:A,0))</f>
        <v>1</v>
      </c>
      <c r="X2646" s="161" t="b">
        <f t="array" ref="X2646">index('Query Tool'!B:B,match(D2646,'Query Tool'!C:C,0))</f>
        <v>1</v>
      </c>
      <c r="Y2646" s="161" t="str">
        <f t="shared" si="6"/>
        <v>plumlmi01,2018-19</v>
      </c>
      <c r="Z2646" s="168" t="str">
        <f t="array" ref="Z2646">iferror(index(I:I,match($A2646&amp;","&amp;index('Year Conversion'!$A:$A,match($C2646,'Year Conversion'!$B:$B,0)),$Y:$Y,0))-I2646,"")</f>
        <v/>
      </c>
      <c r="AA2646" s="168" t="str">
        <f t="array" ref="AA2646">iferror(index(J:J,match($A2646&amp;","&amp;index('Year Conversion'!$A:$A,match($C2646,'Year Conversion'!$B:$B,0)),$Y:$Y,0))-J2646,"")</f>
        <v/>
      </c>
      <c r="AB2646" s="168" t="str">
        <f t="array" ref="AB2646">iferror(index(K:K,match($A2646&amp;","&amp;index('Year Conversion'!$A:$A,match($C2646,'Year Conversion'!$B:$B,0)),$Y:$Y,0))-K2646,"")</f>
        <v/>
      </c>
      <c r="AC2646" s="168" t="str">
        <f t="shared" si="7"/>
        <v>ATL,2018-19</v>
      </c>
    </row>
    <row r="2647">
      <c r="A2647" s="161" t="str">
        <f>IFERROR(__xludf.DUMMYFUNCTION("""COMPUTED_VALUE"""),"satorto01")</f>
        <v>satorto01</v>
      </c>
      <c r="B2647" s="161" t="str">
        <f>IFERROR(__xludf.DUMMYFUNCTION("""COMPUTED_VALUE"""),"Tomas Satoransky")</f>
        <v>Tomas Satoransky</v>
      </c>
      <c r="C2647" s="162" t="str">
        <f>IFERROR(__xludf.DUMMYFUNCTION("""COMPUTED_VALUE"""),"2018-19")</f>
        <v>2018-19</v>
      </c>
      <c r="D2647" s="163" t="str">
        <f>IFERROR(__xludf.DUMMYFUNCTION("""COMPUTED_VALUE"""),"WAS")</f>
        <v>WAS</v>
      </c>
      <c r="E2647" s="164" t="str">
        <f>IFERROR(__xludf.DUMMYFUNCTION("""COMPUTED_VALUE"""),"Primary Ball Handler")</f>
        <v>Primary Ball Handler</v>
      </c>
      <c r="F2647" s="164">
        <f>IFERROR(__xludf.DUMMYFUNCTION("""COMPUTED_VALUE"""),2163.56666666667)</f>
        <v>2163.566667</v>
      </c>
      <c r="G2647" s="163">
        <f>IFERROR(__xludf.DUMMYFUNCTION("""COMPUTED_VALUE"""),80.0)</f>
        <v>80</v>
      </c>
      <c r="H2647" s="163" t="str">
        <f>IFERROR(__xludf.DUMMYFUNCTION("""COMPUTED_VALUE"""),"PG")</f>
        <v>PG</v>
      </c>
      <c r="I2647" s="163">
        <f>IFERROR(__xludf.DUMMYFUNCTION("""COMPUTED_VALUE"""),27.0)</f>
        <v>27</v>
      </c>
      <c r="J2647" s="165">
        <f>IFERROR(__xludf.DUMMYFUNCTION("""COMPUTED_VALUE"""),0.0997478594645725)</f>
        <v>0.09974785946</v>
      </c>
      <c r="K2647" s="165">
        <f>IFERROR(__xludf.DUMMYFUNCTION("""COMPUTED_VALUE"""),0.417516408543772)</f>
        <v>0.4175164085</v>
      </c>
      <c r="L2647" s="165">
        <f>IFERROR(__xludf.DUMMYFUNCTION("""COMPUTED_VALUE"""),-0.317768549079199)</f>
        <v>-0.3177685491</v>
      </c>
      <c r="M2647" s="166">
        <f t="shared" si="2"/>
        <v>3.480994275</v>
      </c>
      <c r="N2647" s="167">
        <f t="shared" si="3"/>
        <v>27.04458333</v>
      </c>
      <c r="O2647" s="163">
        <f t="shared" ref="O2647:Q2647" si="2651">rank(I2647,I:I)</f>
        <v>1366</v>
      </c>
      <c r="P2647" s="163">
        <f t="shared" si="2651"/>
        <v>1189</v>
      </c>
      <c r="Q2647" s="163">
        <f t="shared" si="2651"/>
        <v>818</v>
      </c>
      <c r="R2647" s="163">
        <f>IFERROR(__xludf.DUMMYFUNCTION("RANK(M2647,filter(M:M,C:C=C2647))"),98.0)</f>
        <v>98</v>
      </c>
      <c r="S2647" s="161" t="b">
        <f t="shared" si="5"/>
        <v>0</v>
      </c>
      <c r="T2647" s="161" t="b">
        <f t="array" ref="T2647">index('Query Tool'!B:B,match(H2647,'Query Tool'!C:C,0))</f>
        <v>1</v>
      </c>
      <c r="U2647" s="161" t="b">
        <f t="array" ref="U2647">index('Query Tool'!B:B,match(C2647,'Query Tool'!C:C,0))</f>
        <v>0</v>
      </c>
      <c r="V2647" s="161" t="b">
        <f>F2647&gt;='Query Tool'!C$32</f>
        <v>1</v>
      </c>
      <c r="W2647" s="161" t="b">
        <f t="array" ref="W2647">index(Dropdowns!B:B,match(I2647,Dropdowns!A:A,0))</f>
        <v>1</v>
      </c>
      <c r="X2647" s="161" t="b">
        <f t="array" ref="X2647">index('Query Tool'!B:B,match(D2647,'Query Tool'!C:C,0))</f>
        <v>1</v>
      </c>
      <c r="Y2647" s="161" t="str">
        <f t="shared" si="6"/>
        <v>satorto01,2018-19</v>
      </c>
      <c r="Z2647" s="168">
        <f t="array" ref="Z2647">iferror(index(I:I,match($A2647&amp;","&amp;index('Year Conversion'!$A:$A,match($C2647,'Year Conversion'!$B:$B,0)),$Y:$Y,0))-I2647,"")</f>
        <v>1</v>
      </c>
      <c r="AA2647" s="168">
        <f t="array" ref="AA2647">iferror(index(J:J,match($A2647&amp;","&amp;index('Year Conversion'!$A:$A,match($C2647,'Year Conversion'!$B:$B,0)),$Y:$Y,0))-J2647,"")</f>
        <v>-1.02827627</v>
      </c>
      <c r="AB2647" s="168">
        <f t="array" ref="AB2647">iferror(index(K:K,match($A2647&amp;","&amp;index('Year Conversion'!$A:$A,match($C2647,'Year Conversion'!$B:$B,0)),$Y:$Y,0))-K2647,"")</f>
        <v>-0.8575040432</v>
      </c>
      <c r="AC2647" s="168" t="str">
        <f t="shared" si="7"/>
        <v>WAS,2018-19</v>
      </c>
    </row>
    <row r="2648">
      <c r="A2648" s="161" t="str">
        <f>IFERROR(__xludf.DUMMYFUNCTION("""COMPUTED_VALUE"""),"crowdja01")</f>
        <v>crowdja01</v>
      </c>
      <c r="B2648" s="161" t="str">
        <f>IFERROR(__xludf.DUMMYFUNCTION("""COMPUTED_VALUE"""),"Jae Crowder")</f>
        <v>Jae Crowder</v>
      </c>
      <c r="C2648" s="162" t="str">
        <f>IFERROR(__xludf.DUMMYFUNCTION("""COMPUTED_VALUE"""),"2018-19")</f>
        <v>2018-19</v>
      </c>
      <c r="D2648" s="163" t="str">
        <f>IFERROR(__xludf.DUMMYFUNCTION("""COMPUTED_VALUE"""),"UTA")</f>
        <v>UTA</v>
      </c>
      <c r="E2648" s="164" t="str">
        <f>IFERROR(__xludf.DUMMYFUNCTION("""COMPUTED_VALUE"""),"Stationary Shooter")</f>
        <v>Stationary Shooter</v>
      </c>
      <c r="F2648" s="164">
        <f>IFERROR(__xludf.DUMMYFUNCTION("""COMPUTED_VALUE"""),2165.73166666667)</f>
        <v>2165.731667</v>
      </c>
      <c r="G2648" s="163">
        <f>IFERROR(__xludf.DUMMYFUNCTION("""COMPUTED_VALUE"""),80.0)</f>
        <v>80</v>
      </c>
      <c r="H2648" s="163" t="str">
        <f>IFERROR(__xludf.DUMMYFUNCTION("""COMPUTED_VALUE"""),"SF")</f>
        <v>SF</v>
      </c>
      <c r="I2648" s="163">
        <f>IFERROR(__xludf.DUMMYFUNCTION("""COMPUTED_VALUE"""),28.0)</f>
        <v>28</v>
      </c>
      <c r="J2648" s="165">
        <f>IFERROR(__xludf.DUMMYFUNCTION("""COMPUTED_VALUE"""),0.89378650965)</f>
        <v>0.8937865097</v>
      </c>
      <c r="K2648" s="165">
        <f>IFERROR(__xludf.DUMMYFUNCTION("""COMPUTED_VALUE"""),0.742210209081819)</f>
        <v>0.7422102091</v>
      </c>
      <c r="L2648" s="165">
        <f>IFERROR(__xludf.DUMMYFUNCTION("""COMPUTED_VALUE"""),0.151576300568181)</f>
        <v>0.1515763006</v>
      </c>
      <c r="M2648" s="166">
        <f t="shared" si="2"/>
        <v>4.642420385</v>
      </c>
      <c r="N2648" s="167">
        <f t="shared" si="3"/>
        <v>27.07164583</v>
      </c>
      <c r="O2648" s="163">
        <f t="shared" ref="O2648:Q2648" si="2652">rank(I2648,I:I)</f>
        <v>1090</v>
      </c>
      <c r="P2648" s="163">
        <f t="shared" si="2652"/>
        <v>699</v>
      </c>
      <c r="Q2648" s="163">
        <f t="shared" si="2652"/>
        <v>626</v>
      </c>
      <c r="R2648" s="163">
        <f>IFERROR(__xludf.DUMMYFUNCTION("RANK(M2648,filter(M:M,C:C=C2648))"),65.0)</f>
        <v>65</v>
      </c>
      <c r="S2648" s="161" t="b">
        <f t="shared" si="5"/>
        <v>0</v>
      </c>
      <c r="T2648" s="161" t="b">
        <f t="array" ref="T2648">index('Query Tool'!B:B,match(H2648,'Query Tool'!C:C,0))</f>
        <v>1</v>
      </c>
      <c r="U2648" s="161" t="b">
        <f t="array" ref="U2648">index('Query Tool'!B:B,match(C2648,'Query Tool'!C:C,0))</f>
        <v>0</v>
      </c>
      <c r="V2648" s="161" t="b">
        <f>F2648&gt;='Query Tool'!C$32</f>
        <v>1</v>
      </c>
      <c r="W2648" s="161" t="b">
        <f t="array" ref="W2648">index(Dropdowns!B:B,match(I2648,Dropdowns!A:A,0))</f>
        <v>1</v>
      </c>
      <c r="X2648" s="161" t="b">
        <f t="array" ref="X2648">index('Query Tool'!B:B,match(D2648,'Query Tool'!C:C,0))</f>
        <v>1</v>
      </c>
      <c r="Y2648" s="161" t="str">
        <f t="shared" si="6"/>
        <v>crowdja01,2018-19</v>
      </c>
      <c r="Z2648" s="168">
        <f t="array" ref="Z2648">iferror(index(I:I,match($A2648&amp;","&amp;index('Year Conversion'!$A:$A,match($C2648,'Year Conversion'!$B:$B,0)),$Y:$Y,0))-I2648,"")</f>
        <v>1</v>
      </c>
      <c r="AA2648" s="168">
        <f t="array" ref="AA2648">iferror(index(J:J,match($A2648&amp;","&amp;index('Year Conversion'!$A:$A,match($C2648,'Year Conversion'!$B:$B,0)),$Y:$Y,0))-J2648,"")</f>
        <v>-1.15015583</v>
      </c>
      <c r="AB2648" s="168">
        <f t="array" ref="AB2648">iferror(index(K:K,match($A2648&amp;","&amp;index('Year Conversion'!$A:$A,match($C2648,'Year Conversion'!$B:$B,0)),$Y:$Y,0))-K2648,"")</f>
        <v>-1.070156159</v>
      </c>
      <c r="AC2648" s="168" t="str">
        <f t="shared" si="7"/>
        <v>UTA,2018-19</v>
      </c>
    </row>
    <row r="2649">
      <c r="A2649" s="161" t="str">
        <f>IFERROR(__xludf.DUMMYFUNCTION("""COMPUTED_VALUE"""),"greendr01")</f>
        <v>greendr01</v>
      </c>
      <c r="B2649" s="161" t="str">
        <f>IFERROR(__xludf.DUMMYFUNCTION("""COMPUTED_VALUE"""),"Draymond Green")</f>
        <v>Draymond Green</v>
      </c>
      <c r="C2649" s="162" t="str">
        <f>IFERROR(__xludf.DUMMYFUNCTION("""COMPUTED_VALUE"""),"2018-19")</f>
        <v>2018-19</v>
      </c>
      <c r="D2649" s="163" t="str">
        <f>IFERROR(__xludf.DUMMYFUNCTION("""COMPUTED_VALUE"""),"GSW")</f>
        <v>GSW</v>
      </c>
      <c r="E2649" s="164" t="str">
        <f>IFERROR(__xludf.DUMMYFUNCTION("""COMPUTED_VALUE"""),"Athletic Finisher")</f>
        <v>Athletic Finisher</v>
      </c>
      <c r="F2649" s="164">
        <f>IFERROR(__xludf.DUMMYFUNCTION("""COMPUTED_VALUE"""),2064.69333333333)</f>
        <v>2064.693333</v>
      </c>
      <c r="G2649" s="163">
        <f>IFERROR(__xludf.DUMMYFUNCTION("""COMPUTED_VALUE"""),66.0)</f>
        <v>66</v>
      </c>
      <c r="H2649" s="163" t="str">
        <f>IFERROR(__xludf.DUMMYFUNCTION("""COMPUTED_VALUE"""),"PF")</f>
        <v>PF</v>
      </c>
      <c r="I2649" s="163">
        <f>IFERROR(__xludf.DUMMYFUNCTION("""COMPUTED_VALUE"""),28.0)</f>
        <v>28</v>
      </c>
      <c r="J2649" s="165">
        <f>IFERROR(__xludf.DUMMYFUNCTION("""COMPUTED_VALUE"""),2.0559358710292)</f>
        <v>2.055935871</v>
      </c>
      <c r="K2649" s="165">
        <f>IFERROR(__xludf.DUMMYFUNCTION("""COMPUTED_VALUE"""),-0.581401035021128)</f>
        <v>-0.581401035</v>
      </c>
      <c r="L2649" s="165">
        <f>IFERROR(__xludf.DUMMYFUNCTION("""COMPUTED_VALUE"""),2.63733690605033)</f>
        <v>2.637336906</v>
      </c>
      <c r="M2649" s="166">
        <f t="shared" si="2"/>
        <v>6.028234611</v>
      </c>
      <c r="N2649" s="167">
        <f t="shared" si="3"/>
        <v>31.28323232</v>
      </c>
      <c r="O2649" s="163">
        <f t="shared" ref="O2649:Q2649" si="2653">rank(I2649,I:I)</f>
        <v>1090</v>
      </c>
      <c r="P2649" s="163">
        <f t="shared" si="2653"/>
        <v>302</v>
      </c>
      <c r="Q2649" s="163">
        <f t="shared" si="2653"/>
        <v>2234</v>
      </c>
      <c r="R2649" s="163">
        <f>IFERROR(__xludf.DUMMYFUNCTION("RANK(M2649,filter(M:M,C:C=C2649))"),46.0)</f>
        <v>46</v>
      </c>
      <c r="S2649" s="161" t="b">
        <f t="shared" si="5"/>
        <v>0</v>
      </c>
      <c r="T2649" s="161" t="b">
        <f t="array" ref="T2649">index('Query Tool'!B:B,match(H2649,'Query Tool'!C:C,0))</f>
        <v>1</v>
      </c>
      <c r="U2649" s="161" t="b">
        <f t="array" ref="U2649">index('Query Tool'!B:B,match(C2649,'Query Tool'!C:C,0))</f>
        <v>0</v>
      </c>
      <c r="V2649" s="161" t="b">
        <f>F2649&gt;='Query Tool'!C$32</f>
        <v>1</v>
      </c>
      <c r="W2649" s="161" t="b">
        <f t="array" ref="W2649">index(Dropdowns!B:B,match(I2649,Dropdowns!A:A,0))</f>
        <v>1</v>
      </c>
      <c r="X2649" s="161" t="b">
        <f t="array" ref="X2649">index('Query Tool'!B:B,match(D2649,'Query Tool'!C:C,0))</f>
        <v>1</v>
      </c>
      <c r="Y2649" s="161" t="str">
        <f t="shared" si="6"/>
        <v>greendr01,2018-19</v>
      </c>
      <c r="Z2649" s="168">
        <f t="array" ref="Z2649">iferror(index(I:I,match($A2649&amp;","&amp;index('Year Conversion'!$A:$A,match($C2649,'Year Conversion'!$B:$B,0)),$Y:$Y,0))-I2649,"")</f>
        <v>1</v>
      </c>
      <c r="AA2649" s="168">
        <f t="array" ref="AA2649">iferror(index(J:J,match($A2649&amp;","&amp;index('Year Conversion'!$A:$A,match($C2649,'Year Conversion'!$B:$B,0)),$Y:$Y,0))-J2649,"")</f>
        <v>-1.653613143</v>
      </c>
      <c r="AB2649" s="168">
        <f t="array" ref="AB2649">iferror(index(K:K,match($A2649&amp;","&amp;index('Year Conversion'!$A:$A,match($C2649,'Year Conversion'!$B:$B,0)),$Y:$Y,0))-K2649,"")</f>
        <v>-1.625352952</v>
      </c>
      <c r="AC2649" s="168" t="str">
        <f t="shared" si="7"/>
        <v>GSW,2018-19</v>
      </c>
    </row>
    <row r="2650">
      <c r="A2650" s="161" t="str">
        <f>IFERROR(__xludf.DUMMYFUNCTION("""COMPUTED_VALUE"""),"acyqu01")</f>
        <v>acyqu01</v>
      </c>
      <c r="B2650" s="161" t="str">
        <f>IFERROR(__xludf.DUMMYFUNCTION("""COMPUTED_VALUE"""),"Quincy Acy")</f>
        <v>Quincy Acy</v>
      </c>
      <c r="C2650" s="162" t="str">
        <f>IFERROR(__xludf.DUMMYFUNCTION("""COMPUTED_VALUE"""),"2018-19")</f>
        <v>2018-19</v>
      </c>
      <c r="D2650" s="163" t="str">
        <f>IFERROR(__xludf.DUMMYFUNCTION("""COMPUTED_VALUE"""),"PHO")</f>
        <v>PHO</v>
      </c>
      <c r="E2650" s="164" t="str">
        <f>IFERROR(__xludf.DUMMYFUNCTION("""COMPUTED_VALUE"""),"Stretch Big")</f>
        <v>Stretch Big</v>
      </c>
      <c r="F2650" s="164">
        <f>IFERROR(__xludf.DUMMYFUNCTION("""COMPUTED_VALUE"""),122.93)</f>
        <v>122.93</v>
      </c>
      <c r="G2650" s="163">
        <f>IFERROR(__xludf.DUMMYFUNCTION("""COMPUTED_VALUE"""),10.0)</f>
        <v>10</v>
      </c>
      <c r="H2650" s="163" t="str">
        <f>IFERROR(__xludf.DUMMYFUNCTION("""COMPUTED_VALUE"""),"PF")</f>
        <v>PF</v>
      </c>
      <c r="I2650" s="163">
        <f>IFERROR(__xludf.DUMMYFUNCTION("""COMPUTED_VALUE"""),28.0)</f>
        <v>28</v>
      </c>
      <c r="J2650" s="165">
        <f>IFERROR(__xludf.DUMMYFUNCTION("""COMPUTED_VALUE"""),-0.169646461109304)</f>
        <v>-0.1696464611</v>
      </c>
      <c r="K2650" s="165">
        <f>IFERROR(__xludf.DUMMYFUNCTION("""COMPUTED_VALUE"""),-0.659162678114004)</f>
        <v>-0.6591626781</v>
      </c>
      <c r="L2650" s="165">
        <f>IFERROR(__xludf.DUMMYFUNCTION("""COMPUTED_VALUE"""),0.489516217004701)</f>
        <v>0.489516217</v>
      </c>
      <c r="M2650" s="166">
        <f t="shared" si="2"/>
        <v>0.1754576599</v>
      </c>
      <c r="N2650" s="167">
        <f t="shared" si="3"/>
        <v>12.293</v>
      </c>
      <c r="O2650" s="163">
        <f t="shared" ref="O2650:Q2650" si="2654">rank(I2650,I:I)</f>
        <v>1090</v>
      </c>
      <c r="P2650" s="163">
        <f t="shared" si="2654"/>
        <v>1470</v>
      </c>
      <c r="Q2650" s="163">
        <f t="shared" si="2654"/>
        <v>2345</v>
      </c>
      <c r="R2650" s="163">
        <f>IFERROR(__xludf.DUMMYFUNCTION("RANK(M2650,filter(M:M,C:C=C2650))"),356.0)</f>
        <v>356</v>
      </c>
      <c r="S2650" s="161" t="b">
        <f t="shared" si="5"/>
        <v>0</v>
      </c>
      <c r="T2650" s="161" t="b">
        <f t="array" ref="T2650">index('Query Tool'!B:B,match(H2650,'Query Tool'!C:C,0))</f>
        <v>1</v>
      </c>
      <c r="U2650" s="161" t="b">
        <f t="array" ref="U2650">index('Query Tool'!B:B,match(C2650,'Query Tool'!C:C,0))</f>
        <v>0</v>
      </c>
      <c r="V2650" s="161" t="b">
        <f>F2650&gt;='Query Tool'!C$32</f>
        <v>0</v>
      </c>
      <c r="W2650" s="161" t="b">
        <f t="array" ref="W2650">index(Dropdowns!B:B,match(I2650,Dropdowns!A:A,0))</f>
        <v>1</v>
      </c>
      <c r="X2650" s="161" t="b">
        <f t="array" ref="X2650">index('Query Tool'!B:B,match(D2650,'Query Tool'!C:C,0))</f>
        <v>1</v>
      </c>
      <c r="Y2650" s="161" t="str">
        <f t="shared" si="6"/>
        <v>acyqu01,2018-19</v>
      </c>
      <c r="Z2650" s="168" t="str">
        <f t="array" ref="Z2650">iferror(index(I:I,match($A2650&amp;","&amp;index('Year Conversion'!$A:$A,match($C2650,'Year Conversion'!$B:$B,0)),$Y:$Y,0))-I2650,"")</f>
        <v/>
      </c>
      <c r="AA2650" s="168" t="str">
        <f t="array" ref="AA2650">iferror(index(J:J,match($A2650&amp;","&amp;index('Year Conversion'!$A:$A,match($C2650,'Year Conversion'!$B:$B,0)),$Y:$Y,0))-J2650,"")</f>
        <v/>
      </c>
      <c r="AB2650" s="168" t="str">
        <f t="array" ref="AB2650">iferror(index(K:K,match($A2650&amp;","&amp;index('Year Conversion'!$A:$A,match($C2650,'Year Conversion'!$B:$B,0)),$Y:$Y,0))-K2650,"")</f>
        <v/>
      </c>
      <c r="AC2650" s="168" t="str">
        <f t="shared" si="7"/>
        <v>PHO,2018-19</v>
      </c>
    </row>
    <row r="2651">
      <c r="A2651" s="161" t="str">
        <f>IFERROR(__xludf.DUMMYFUNCTION("""COMPUTED_VALUE"""),"middlkh01")</f>
        <v>middlkh01</v>
      </c>
      <c r="B2651" s="161" t="str">
        <f>IFERROR(__xludf.DUMMYFUNCTION("""COMPUTED_VALUE"""),"Khris Middleton")</f>
        <v>Khris Middleton</v>
      </c>
      <c r="C2651" s="162" t="str">
        <f>IFERROR(__xludf.DUMMYFUNCTION("""COMPUTED_VALUE"""),"2018-19")</f>
        <v>2018-19</v>
      </c>
      <c r="D2651" s="163" t="str">
        <f>IFERROR(__xludf.DUMMYFUNCTION("""COMPUTED_VALUE"""),"MIL")</f>
        <v>MIL</v>
      </c>
      <c r="E2651" s="164" t="str">
        <f>IFERROR(__xludf.DUMMYFUNCTION("""COMPUTED_VALUE"""),"Shot Creator")</f>
        <v>Shot Creator</v>
      </c>
      <c r="F2651" s="164">
        <f>IFERROR(__xludf.DUMMYFUNCTION("""COMPUTED_VALUE"""),2393.33833333333)</f>
        <v>2393.338333</v>
      </c>
      <c r="G2651" s="163">
        <f>IFERROR(__xludf.DUMMYFUNCTION("""COMPUTED_VALUE"""),77.0)</f>
        <v>77</v>
      </c>
      <c r="H2651" s="163" t="str">
        <f>IFERROR(__xludf.DUMMYFUNCTION("""COMPUTED_VALUE"""),"SF")</f>
        <v>SF</v>
      </c>
      <c r="I2651" s="163">
        <f>IFERROR(__xludf.DUMMYFUNCTION("""COMPUTED_VALUE"""),27.0)</f>
        <v>27</v>
      </c>
      <c r="J2651" s="165">
        <f>IFERROR(__xludf.DUMMYFUNCTION("""COMPUTED_VALUE"""),1.43825295492428)</f>
        <v>1.438252955</v>
      </c>
      <c r="K2651" s="165">
        <f>IFERROR(__xludf.DUMMYFUNCTION("""COMPUTED_VALUE"""),0.977004524447093)</f>
        <v>0.9770045244</v>
      </c>
      <c r="L2651" s="165">
        <f>IFERROR(__xludf.DUMMYFUNCTION("""COMPUTED_VALUE"""),0.461248430477189)</f>
        <v>0.4612484305</v>
      </c>
      <c r="M2651" s="166">
        <f t="shared" si="2"/>
        <v>6.003797617</v>
      </c>
      <c r="N2651" s="167">
        <f t="shared" si="3"/>
        <v>31.08231602</v>
      </c>
      <c r="O2651" s="163">
        <f t="shared" ref="O2651:Q2651" si="2655">rank(I2651,I:I)</f>
        <v>1366</v>
      </c>
      <c r="P2651" s="163">
        <f t="shared" si="2655"/>
        <v>477</v>
      </c>
      <c r="Q2651" s="163">
        <f t="shared" si="2655"/>
        <v>513</v>
      </c>
      <c r="R2651" s="163">
        <f>IFERROR(__xludf.DUMMYFUNCTION("RANK(M2651,filter(M:M,C:C=C2651))"),47.0)</f>
        <v>47</v>
      </c>
      <c r="S2651" s="161" t="b">
        <f t="shared" si="5"/>
        <v>0</v>
      </c>
      <c r="T2651" s="161" t="b">
        <f t="array" ref="T2651">index('Query Tool'!B:B,match(H2651,'Query Tool'!C:C,0))</f>
        <v>1</v>
      </c>
      <c r="U2651" s="161" t="b">
        <f t="array" ref="U2651">index('Query Tool'!B:B,match(C2651,'Query Tool'!C:C,0))</f>
        <v>0</v>
      </c>
      <c r="V2651" s="161" t="b">
        <f>F2651&gt;='Query Tool'!C$32</f>
        <v>1</v>
      </c>
      <c r="W2651" s="161" t="b">
        <f t="array" ref="W2651">index(Dropdowns!B:B,match(I2651,Dropdowns!A:A,0))</f>
        <v>1</v>
      </c>
      <c r="X2651" s="161" t="b">
        <f t="array" ref="X2651">index('Query Tool'!B:B,match(D2651,'Query Tool'!C:C,0))</f>
        <v>1</v>
      </c>
      <c r="Y2651" s="161" t="str">
        <f t="shared" si="6"/>
        <v>middlkh01,2018-19</v>
      </c>
      <c r="Z2651" s="168">
        <f t="array" ref="Z2651">iferror(index(I:I,match($A2651&amp;","&amp;index('Year Conversion'!$A:$A,match($C2651,'Year Conversion'!$B:$B,0)),$Y:$Y,0))-I2651,"")</f>
        <v>1</v>
      </c>
      <c r="AA2651" s="168">
        <f t="array" ref="AA2651">iferror(index(J:J,match($A2651&amp;","&amp;index('Year Conversion'!$A:$A,match($C2651,'Year Conversion'!$B:$B,0)),$Y:$Y,0))-J2651,"")</f>
        <v>3.245844679</v>
      </c>
      <c r="AB2651" s="168">
        <f t="array" ref="AB2651">iferror(index(K:K,match($A2651&amp;","&amp;index('Year Conversion'!$A:$A,match($C2651,'Year Conversion'!$B:$B,0)),$Y:$Y,0))-K2651,"")</f>
        <v>1.870524015</v>
      </c>
      <c r="AC2651" s="168" t="str">
        <f t="shared" si="7"/>
        <v>MIL,2018-19</v>
      </c>
    </row>
    <row r="2652">
      <c r="A2652" s="161" t="str">
        <f>IFERROR(__xludf.DUMMYFUNCTION("""COMPUTED_VALUE"""),"bartowi01")</f>
        <v>bartowi01</v>
      </c>
      <c r="B2652" s="161" t="str">
        <f>IFERROR(__xludf.DUMMYFUNCTION("""COMPUTED_VALUE"""),"Will Barton")</f>
        <v>Will Barton</v>
      </c>
      <c r="C2652" s="162" t="str">
        <f>IFERROR(__xludf.DUMMYFUNCTION("""COMPUTED_VALUE"""),"2018-19")</f>
        <v>2018-19</v>
      </c>
      <c r="D2652" s="163" t="str">
        <f>IFERROR(__xludf.DUMMYFUNCTION("""COMPUTED_VALUE"""),"DEN")</f>
        <v>DEN</v>
      </c>
      <c r="E2652" s="164" t="str">
        <f>IFERROR(__xludf.DUMMYFUNCTION("""COMPUTED_VALUE"""),"Secondary Ball Handler")</f>
        <v>Secondary Ball Handler</v>
      </c>
      <c r="F2652" s="164">
        <f>IFERROR(__xludf.DUMMYFUNCTION("""COMPUTED_VALUE"""),1188.97833333333)</f>
        <v>1188.978333</v>
      </c>
      <c r="G2652" s="163">
        <f>IFERROR(__xludf.DUMMYFUNCTION("""COMPUTED_VALUE"""),43.0)</f>
        <v>43</v>
      </c>
      <c r="H2652" s="163" t="str">
        <f>IFERROR(__xludf.DUMMYFUNCTION("""COMPUTED_VALUE"""),"SF")</f>
        <v>SF</v>
      </c>
      <c r="I2652" s="163">
        <f>IFERROR(__xludf.DUMMYFUNCTION("""COMPUTED_VALUE"""),28.0)</f>
        <v>28</v>
      </c>
      <c r="J2652" s="165">
        <f>IFERROR(__xludf.DUMMYFUNCTION("""COMPUTED_VALUE"""),-1.6201935185126)</f>
        <v>-1.620193519</v>
      </c>
      <c r="K2652" s="165">
        <f>IFERROR(__xludf.DUMMYFUNCTION("""COMPUTED_VALUE"""),-0.886706486827981)</f>
        <v>-0.8867064868</v>
      </c>
      <c r="L2652" s="165">
        <f>IFERROR(__xludf.DUMMYFUNCTION("""COMPUTED_VALUE"""),-0.733487031684622)</f>
        <v>-0.7334870317</v>
      </c>
      <c r="M2652" s="166">
        <f t="shared" si="2"/>
        <v>0.5389813172</v>
      </c>
      <c r="N2652" s="167">
        <f t="shared" si="3"/>
        <v>27.65065891</v>
      </c>
      <c r="O2652" s="163">
        <f t="shared" ref="O2652:Q2652" si="2656">rank(I2652,I:I)</f>
        <v>1090</v>
      </c>
      <c r="P2652" s="163">
        <f t="shared" si="2656"/>
        <v>3167</v>
      </c>
      <c r="Q2652" s="163">
        <f t="shared" si="2656"/>
        <v>2675</v>
      </c>
      <c r="R2652" s="163">
        <f>IFERROR(__xludf.DUMMYFUNCTION("RANK(M2652,filter(M:M,C:C=C2652))"),280.0)</f>
        <v>280</v>
      </c>
      <c r="S2652" s="161" t="b">
        <f t="shared" si="5"/>
        <v>0</v>
      </c>
      <c r="T2652" s="161" t="b">
        <f t="array" ref="T2652">index('Query Tool'!B:B,match(H2652,'Query Tool'!C:C,0))</f>
        <v>1</v>
      </c>
      <c r="U2652" s="161" t="b">
        <f t="array" ref="U2652">index('Query Tool'!B:B,match(C2652,'Query Tool'!C:C,0))</f>
        <v>0</v>
      </c>
      <c r="V2652" s="161" t="b">
        <f>F2652&gt;='Query Tool'!C$32</f>
        <v>1</v>
      </c>
      <c r="W2652" s="161" t="b">
        <f t="array" ref="W2652">index(Dropdowns!B:B,match(I2652,Dropdowns!A:A,0))</f>
        <v>1</v>
      </c>
      <c r="X2652" s="161" t="b">
        <f t="array" ref="X2652">index('Query Tool'!B:B,match(D2652,'Query Tool'!C:C,0))</f>
        <v>1</v>
      </c>
      <c r="Y2652" s="161" t="str">
        <f t="shared" si="6"/>
        <v>bartowi01,2018-19</v>
      </c>
      <c r="Z2652" s="168">
        <f t="array" ref="Z2652">iferror(index(I:I,match($A2652&amp;","&amp;index('Year Conversion'!$A:$A,match($C2652,'Year Conversion'!$B:$B,0)),$Y:$Y,0))-I2652,"")</f>
        <v>1</v>
      </c>
      <c r="AA2652" s="168">
        <f t="array" ref="AA2652">iferror(index(J:J,match($A2652&amp;","&amp;index('Year Conversion'!$A:$A,match($C2652,'Year Conversion'!$B:$B,0)),$Y:$Y,0))-J2652,"")</f>
        <v>2.139998534</v>
      </c>
      <c r="AB2652" s="168">
        <f t="array" ref="AB2652">iferror(index(K:K,match($A2652&amp;","&amp;index('Year Conversion'!$A:$A,match($C2652,'Year Conversion'!$B:$B,0)),$Y:$Y,0))-K2652,"")</f>
        <v>1.240274888</v>
      </c>
      <c r="AC2652" s="168" t="str">
        <f t="shared" si="7"/>
        <v>DEN,2018-19</v>
      </c>
    </row>
    <row r="2653">
      <c r="A2653" s="161" t="str">
        <f>IFERROR(__xludf.DUMMYFUNCTION("""COMPUTED_VALUE"""),"scottmi01")</f>
        <v>scottmi01</v>
      </c>
      <c r="B2653" s="161" t="str">
        <f>IFERROR(__xludf.DUMMYFUNCTION("""COMPUTED_VALUE"""),"Mike Scott")</f>
        <v>Mike Scott</v>
      </c>
      <c r="C2653" s="162" t="str">
        <f>IFERROR(__xludf.DUMMYFUNCTION("""COMPUTED_VALUE"""),"2018-19")</f>
        <v>2018-19</v>
      </c>
      <c r="D2653" s="163" t="str">
        <f>IFERROR(__xludf.DUMMYFUNCTION("""COMPUTED_VALUE"""),"TOT")</f>
        <v>TOT</v>
      </c>
      <c r="E2653" s="164" t="str">
        <f>IFERROR(__xludf.DUMMYFUNCTION("""COMPUTED_VALUE"""),"Stationary Shooter")</f>
        <v>Stationary Shooter</v>
      </c>
      <c r="F2653" s="164">
        <f>IFERROR(__xludf.DUMMYFUNCTION("""COMPUTED_VALUE"""),1395.78166666667)</f>
        <v>1395.781667</v>
      </c>
      <c r="G2653" s="163">
        <f>IFERROR(__xludf.DUMMYFUNCTION("""COMPUTED_VALUE"""),79.0)</f>
        <v>79</v>
      </c>
      <c r="H2653" s="163" t="str">
        <f>IFERROR(__xludf.DUMMYFUNCTION("""COMPUTED_VALUE"""),"PF")</f>
        <v>PF</v>
      </c>
      <c r="I2653" s="163">
        <f>IFERROR(__xludf.DUMMYFUNCTION("""COMPUTED_VALUE"""),30.0)</f>
        <v>30</v>
      </c>
      <c r="J2653" s="165">
        <f>IFERROR(__xludf.DUMMYFUNCTION("""COMPUTED_VALUE"""),-3.11607045103896)</f>
        <v>-3.116070451</v>
      </c>
      <c r="K2653" s="165">
        <f>IFERROR(__xludf.DUMMYFUNCTION("""COMPUTED_VALUE"""),-1.96277309964402)</f>
        <v>-1.9627731</v>
      </c>
      <c r="L2653" s="165">
        <f>IFERROR(__xludf.DUMMYFUNCTION("""COMPUTED_VALUE"""),-1.15329735139493)</f>
        <v>-1.153297351</v>
      </c>
      <c r="M2653" s="166">
        <f t="shared" si="2"/>
        <v>-0.7415354419</v>
      </c>
      <c r="N2653" s="167">
        <f t="shared" si="3"/>
        <v>17.66812236</v>
      </c>
      <c r="O2653" s="163">
        <f t="shared" ref="O2653:Q2653" si="2657">rank(I2653,I:I)</f>
        <v>655</v>
      </c>
      <c r="P2653" s="163">
        <f t="shared" si="2657"/>
        <v>3910</v>
      </c>
      <c r="Q2653" s="163">
        <f t="shared" si="2657"/>
        <v>3696</v>
      </c>
      <c r="R2653" s="163">
        <f>IFERROR(__xludf.DUMMYFUNCTION("RANK(M2653,filter(M:M,C:C=C2653))"),523.0)</f>
        <v>523</v>
      </c>
      <c r="S2653" s="161" t="b">
        <f t="shared" si="5"/>
        <v>0</v>
      </c>
      <c r="T2653" s="161" t="b">
        <f t="array" ref="T2653">index('Query Tool'!B:B,match(H2653,'Query Tool'!C:C,0))</f>
        <v>1</v>
      </c>
      <c r="U2653" s="161" t="b">
        <f t="array" ref="U2653">index('Query Tool'!B:B,match(C2653,'Query Tool'!C:C,0))</f>
        <v>0</v>
      </c>
      <c r="V2653" s="161" t="b">
        <f>F2653&gt;='Query Tool'!C$32</f>
        <v>1</v>
      </c>
      <c r="W2653" s="161" t="b">
        <f t="array" ref="W2653">index(Dropdowns!B:B,match(I2653,Dropdowns!A:A,0))</f>
        <v>1</v>
      </c>
      <c r="X2653" s="161" t="b">
        <f t="array" ref="X2653">index('Query Tool'!B:B,match(D2653,'Query Tool'!C:C,0))</f>
        <v>1</v>
      </c>
      <c r="Y2653" s="161" t="str">
        <f t="shared" si="6"/>
        <v>scottmi01,2018-19</v>
      </c>
      <c r="Z2653" s="168">
        <f t="array" ref="Z2653">iferror(index(I:I,match($A2653&amp;","&amp;index('Year Conversion'!$A:$A,match($C2653,'Year Conversion'!$B:$B,0)),$Y:$Y,0))-I2653,"")</f>
        <v>1</v>
      </c>
      <c r="AA2653" s="168">
        <f t="array" ref="AA2653">iferror(index(J:J,match($A2653&amp;","&amp;index('Year Conversion'!$A:$A,match($C2653,'Year Conversion'!$B:$B,0)),$Y:$Y,0))-J2653,"")</f>
        <v>2.513127672</v>
      </c>
      <c r="AB2653" s="168">
        <f t="array" ref="AB2653">iferror(index(K:K,match($A2653&amp;","&amp;index('Year Conversion'!$A:$A,match($C2653,'Year Conversion'!$B:$B,0)),$Y:$Y,0))-K2653,"")</f>
        <v>1.879228569</v>
      </c>
      <c r="AC2653" s="168" t="str">
        <f t="shared" si="7"/>
        <v>TOT,2018-19</v>
      </c>
    </row>
    <row r="2654">
      <c r="A2654" s="161" t="str">
        <f>IFERROR(__xludf.DUMMYFUNCTION("""COMPUTED_VALUE"""),"milleda01")</f>
        <v>milleda01</v>
      </c>
      <c r="B2654" s="161" t="str">
        <f>IFERROR(__xludf.DUMMYFUNCTION("""COMPUTED_VALUE"""),"Darius Miller")</f>
        <v>Darius Miller</v>
      </c>
      <c r="C2654" s="162" t="str">
        <f>IFERROR(__xludf.DUMMYFUNCTION("""COMPUTED_VALUE"""),"2018-19")</f>
        <v>2018-19</v>
      </c>
      <c r="D2654" s="163" t="str">
        <f>IFERROR(__xludf.DUMMYFUNCTION("""COMPUTED_VALUE"""),"NOP")</f>
        <v>NOP</v>
      </c>
      <c r="E2654" s="164" t="str">
        <f>IFERROR(__xludf.DUMMYFUNCTION("""COMPUTED_VALUE"""),"Off Screen Shooter")</f>
        <v>Off Screen Shooter</v>
      </c>
      <c r="F2654" s="164">
        <f>IFERROR(__xludf.DUMMYFUNCTION("""COMPUTED_VALUE"""),1757.505)</f>
        <v>1757.505</v>
      </c>
      <c r="G2654" s="163">
        <f>IFERROR(__xludf.DUMMYFUNCTION("""COMPUTED_VALUE"""),69.0)</f>
        <v>69</v>
      </c>
      <c r="H2654" s="163" t="str">
        <f>IFERROR(__xludf.DUMMYFUNCTION("""COMPUTED_VALUE"""),"SF")</f>
        <v>SF</v>
      </c>
      <c r="I2654" s="163">
        <f>IFERROR(__xludf.DUMMYFUNCTION("""COMPUTED_VALUE"""),28.0)</f>
        <v>28</v>
      </c>
      <c r="J2654" s="165">
        <f>IFERROR(__xludf.DUMMYFUNCTION("""COMPUTED_VALUE"""),-2.01304677385764)</f>
        <v>-2.013046774</v>
      </c>
      <c r="K2654" s="165">
        <f>IFERROR(__xludf.DUMMYFUNCTION("""COMPUTED_VALUE"""),-0.556458618473909)</f>
        <v>-0.5564586185</v>
      </c>
      <c r="L2654" s="165">
        <f>IFERROR(__xludf.DUMMYFUNCTION("""COMPUTED_VALUE"""),-1.45658815538373)</f>
        <v>-1.456588155</v>
      </c>
      <c r="M2654" s="166">
        <f t="shared" si="2"/>
        <v>0.3375816451</v>
      </c>
      <c r="N2654" s="167">
        <f t="shared" si="3"/>
        <v>25.47108696</v>
      </c>
      <c r="O2654" s="163">
        <f t="shared" ref="O2654:Q2654" si="2658">rank(I2654,I:I)</f>
        <v>1090</v>
      </c>
      <c r="P2654" s="163">
        <f t="shared" si="2658"/>
        <v>3488</v>
      </c>
      <c r="Q2654" s="163">
        <f t="shared" si="2658"/>
        <v>2194</v>
      </c>
      <c r="R2654" s="163">
        <f>IFERROR(__xludf.DUMMYFUNCTION("RANK(M2654,filter(M:M,C:C=C2654))"),314.0)</f>
        <v>314</v>
      </c>
      <c r="S2654" s="161" t="b">
        <f t="shared" si="5"/>
        <v>0</v>
      </c>
      <c r="T2654" s="161" t="b">
        <f t="array" ref="T2654">index('Query Tool'!B:B,match(H2654,'Query Tool'!C:C,0))</f>
        <v>1</v>
      </c>
      <c r="U2654" s="161" t="b">
        <f t="array" ref="U2654">index('Query Tool'!B:B,match(C2654,'Query Tool'!C:C,0))</f>
        <v>0</v>
      </c>
      <c r="V2654" s="161" t="b">
        <f>F2654&gt;='Query Tool'!C$32</f>
        <v>1</v>
      </c>
      <c r="W2654" s="161" t="b">
        <f t="array" ref="W2654">index(Dropdowns!B:B,match(I2654,Dropdowns!A:A,0))</f>
        <v>1</v>
      </c>
      <c r="X2654" s="161" t="b">
        <f t="array" ref="X2654">index('Query Tool'!B:B,match(D2654,'Query Tool'!C:C,0))</f>
        <v>1</v>
      </c>
      <c r="Y2654" s="161" t="str">
        <f t="shared" si="6"/>
        <v>milleda01,2018-19</v>
      </c>
      <c r="Z2654" s="168" t="str">
        <f t="array" ref="Z2654">iferror(index(I:I,match($A2654&amp;","&amp;index('Year Conversion'!$A:$A,match($C2654,'Year Conversion'!$B:$B,0)),$Y:$Y,0))-I2654,"")</f>
        <v/>
      </c>
      <c r="AA2654" s="168" t="str">
        <f t="array" ref="AA2654">iferror(index(J:J,match($A2654&amp;","&amp;index('Year Conversion'!$A:$A,match($C2654,'Year Conversion'!$B:$B,0)),$Y:$Y,0))-J2654,"")</f>
        <v/>
      </c>
      <c r="AB2654" s="168" t="str">
        <f t="array" ref="AB2654">iferror(index(K:K,match($A2654&amp;","&amp;index('Year Conversion'!$A:$A,match($C2654,'Year Conversion'!$B:$B,0)),$Y:$Y,0))-K2654,"")</f>
        <v/>
      </c>
      <c r="AC2654" s="168" t="str">
        <f t="shared" si="7"/>
        <v>NOP,2018-19</v>
      </c>
    </row>
    <row r="2655">
      <c r="A2655" s="161" t="str">
        <f>IFERROR(__xludf.DUMMYFUNCTION("""COMPUTED_VALUE"""),"oquinky01")</f>
        <v>oquinky01</v>
      </c>
      <c r="B2655" s="161" t="str">
        <f>IFERROR(__xludf.DUMMYFUNCTION("""COMPUTED_VALUE"""),"Kyle O'Quinn")</f>
        <v>Kyle O'Quinn</v>
      </c>
      <c r="C2655" s="162" t="str">
        <f>IFERROR(__xludf.DUMMYFUNCTION("""COMPUTED_VALUE"""),"2018-19")</f>
        <v>2018-19</v>
      </c>
      <c r="D2655" s="163" t="str">
        <f>IFERROR(__xludf.DUMMYFUNCTION("""COMPUTED_VALUE"""),"IND")</f>
        <v>IND</v>
      </c>
      <c r="E2655" s="164" t="str">
        <f>IFERROR(__xludf.DUMMYFUNCTION("""COMPUTED_VALUE"""),"Roll + Cut Big")</f>
        <v>Roll + Cut Big</v>
      </c>
      <c r="F2655" s="164">
        <f>IFERROR(__xludf.DUMMYFUNCTION("""COMPUTED_VALUE"""),370.716666666667)</f>
        <v>370.7166667</v>
      </c>
      <c r="G2655" s="163">
        <f>IFERROR(__xludf.DUMMYFUNCTION("""COMPUTED_VALUE"""),45.0)</f>
        <v>45</v>
      </c>
      <c r="H2655" s="163" t="str">
        <f>IFERROR(__xludf.DUMMYFUNCTION("""COMPUTED_VALUE"""),"C")</f>
        <v>C</v>
      </c>
      <c r="I2655" s="163">
        <f>IFERROR(__xludf.DUMMYFUNCTION("""COMPUTED_VALUE"""),28.0)</f>
        <v>28</v>
      </c>
      <c r="J2655" s="165">
        <f>IFERROR(__xludf.DUMMYFUNCTION("""COMPUTED_VALUE"""),0.257419802282518)</f>
        <v>0.2574198023</v>
      </c>
      <c r="K2655" s="165">
        <f>IFERROR(__xludf.DUMMYFUNCTION("""COMPUTED_VALUE"""),-0.676806001416481)</f>
        <v>-0.6768060014</v>
      </c>
      <c r="L2655" s="165">
        <f>IFERROR(__xludf.DUMMYFUNCTION("""COMPUTED_VALUE"""),0.934225803698999)</f>
        <v>0.9342258037</v>
      </c>
      <c r="M2655" s="166">
        <f t="shared" si="2"/>
        <v>0.6358534125</v>
      </c>
      <c r="N2655" s="167">
        <f t="shared" si="3"/>
        <v>8.238148148</v>
      </c>
      <c r="O2655" s="163">
        <f t="shared" ref="O2655:Q2655" si="2659">rank(I2655,I:I)</f>
        <v>1090</v>
      </c>
      <c r="P2655" s="163">
        <f t="shared" si="2659"/>
        <v>1050</v>
      </c>
      <c r="Q2655" s="163">
        <f t="shared" si="2659"/>
        <v>2380</v>
      </c>
      <c r="R2655" s="163">
        <f>IFERROR(__xludf.DUMMYFUNCTION("RANK(M2655,filter(M:M,C:C=C2655))"),268.0)</f>
        <v>268</v>
      </c>
      <c r="S2655" s="161" t="b">
        <f t="shared" si="5"/>
        <v>0</v>
      </c>
      <c r="T2655" s="161" t="b">
        <f t="array" ref="T2655">index('Query Tool'!B:B,match(H2655,'Query Tool'!C:C,0))</f>
        <v>1</v>
      </c>
      <c r="U2655" s="161" t="b">
        <f t="array" ref="U2655">index('Query Tool'!B:B,match(C2655,'Query Tool'!C:C,0))</f>
        <v>0</v>
      </c>
      <c r="V2655" s="161" t="b">
        <f>F2655&gt;='Query Tool'!C$32</f>
        <v>0</v>
      </c>
      <c r="W2655" s="161" t="b">
        <f t="array" ref="W2655">index(Dropdowns!B:B,match(I2655,Dropdowns!A:A,0))</f>
        <v>1</v>
      </c>
      <c r="X2655" s="161" t="b">
        <f t="array" ref="X2655">index('Query Tool'!B:B,match(D2655,'Query Tool'!C:C,0))</f>
        <v>1</v>
      </c>
      <c r="Y2655" s="161" t="str">
        <f t="shared" si="6"/>
        <v>oquinky01,2018-19</v>
      </c>
      <c r="Z2655" s="168">
        <f t="array" ref="Z2655">iferror(index(I:I,match($A2655&amp;","&amp;index('Year Conversion'!$A:$A,match($C2655,'Year Conversion'!$B:$B,0)),$Y:$Y,0))-I2655,"")</f>
        <v>1</v>
      </c>
      <c r="AA2655" s="168">
        <f t="array" ref="AA2655">iferror(index(J:J,match($A2655&amp;","&amp;index('Year Conversion'!$A:$A,match($C2655,'Year Conversion'!$B:$B,0)),$Y:$Y,0))-J2655,"")</f>
        <v>0.8766633146</v>
      </c>
      <c r="AB2655" s="168">
        <f t="array" ref="AB2655">iferror(index(K:K,match($A2655&amp;","&amp;index('Year Conversion'!$A:$A,match($C2655,'Year Conversion'!$B:$B,0)),$Y:$Y,0))-K2655,"")</f>
        <v>0.8697501527</v>
      </c>
      <c r="AC2655" s="168" t="str">
        <f t="shared" si="7"/>
        <v>IND,2018-19</v>
      </c>
    </row>
    <row r="2656">
      <c r="A2656" s="161" t="str">
        <f>IFERROR(__xludf.DUMMYFUNCTION("""COMPUTED_VALUE"""),"bazemke01")</f>
        <v>bazemke01</v>
      </c>
      <c r="B2656" s="161" t="str">
        <f>IFERROR(__xludf.DUMMYFUNCTION("""COMPUTED_VALUE"""),"Kent Bazemore")</f>
        <v>Kent Bazemore</v>
      </c>
      <c r="C2656" s="162" t="str">
        <f>IFERROR(__xludf.DUMMYFUNCTION("""COMPUTED_VALUE"""),"2018-19")</f>
        <v>2018-19</v>
      </c>
      <c r="D2656" s="163" t="str">
        <f>IFERROR(__xludf.DUMMYFUNCTION("""COMPUTED_VALUE"""),"ATL")</f>
        <v>ATL</v>
      </c>
      <c r="E2656" s="164" t="str">
        <f>IFERROR(__xludf.DUMMYFUNCTION("""COMPUTED_VALUE"""),"Secondary Ball Handler")</f>
        <v>Secondary Ball Handler</v>
      </c>
      <c r="F2656" s="164">
        <f>IFERROR(__xludf.DUMMYFUNCTION("""COMPUTED_VALUE"""),1643.41333333333)</f>
        <v>1643.413333</v>
      </c>
      <c r="G2656" s="163">
        <f>IFERROR(__xludf.DUMMYFUNCTION("""COMPUTED_VALUE"""),67.0)</f>
        <v>67</v>
      </c>
      <c r="H2656" s="163" t="str">
        <f>IFERROR(__xludf.DUMMYFUNCTION("""COMPUTED_VALUE"""),"SG")</f>
        <v>SG</v>
      </c>
      <c r="I2656" s="163">
        <f>IFERROR(__xludf.DUMMYFUNCTION("""COMPUTED_VALUE"""),29.0)</f>
        <v>29</v>
      </c>
      <c r="J2656" s="165">
        <f>IFERROR(__xludf.DUMMYFUNCTION("""COMPUTED_VALUE"""),-1.39506664760537)</f>
        <v>-1.395066648</v>
      </c>
      <c r="K2656" s="165">
        <f>IFERROR(__xludf.DUMMYFUNCTION("""COMPUTED_VALUE"""),-1.63183793475932)</f>
        <v>-1.631837935</v>
      </c>
      <c r="L2656" s="165">
        <f>IFERROR(__xludf.DUMMYFUNCTION("""COMPUTED_VALUE"""),0.236771287153952)</f>
        <v>0.2367712872</v>
      </c>
      <c r="M2656" s="166">
        <f t="shared" si="2"/>
        <v>0.9920655448</v>
      </c>
      <c r="N2656" s="167">
        <f t="shared" si="3"/>
        <v>24.52855721</v>
      </c>
      <c r="O2656" s="163">
        <f t="shared" ref="O2656:Q2656" si="2660">rank(I2656,I:I)</f>
        <v>855</v>
      </c>
      <c r="P2656" s="163">
        <f t="shared" si="2660"/>
        <v>2944</v>
      </c>
      <c r="Q2656" s="163">
        <f t="shared" si="2660"/>
        <v>3470</v>
      </c>
      <c r="R2656" s="163">
        <f>IFERROR(__xludf.DUMMYFUNCTION("RANK(M2656,filter(M:M,C:C=C2656))"),225.0)</f>
        <v>225</v>
      </c>
      <c r="S2656" s="161" t="b">
        <f t="shared" si="5"/>
        <v>0</v>
      </c>
      <c r="T2656" s="161" t="b">
        <f t="array" ref="T2656">index('Query Tool'!B:B,match(H2656,'Query Tool'!C:C,0))</f>
        <v>1</v>
      </c>
      <c r="U2656" s="161" t="b">
        <f t="array" ref="U2656">index('Query Tool'!B:B,match(C2656,'Query Tool'!C:C,0))</f>
        <v>0</v>
      </c>
      <c r="V2656" s="161" t="b">
        <f>F2656&gt;='Query Tool'!C$32</f>
        <v>1</v>
      </c>
      <c r="W2656" s="161" t="b">
        <f t="array" ref="W2656">index(Dropdowns!B:B,match(I2656,Dropdowns!A:A,0))</f>
        <v>1</v>
      </c>
      <c r="X2656" s="161" t="b">
        <f t="array" ref="X2656">index('Query Tool'!B:B,match(D2656,'Query Tool'!C:C,0))</f>
        <v>1</v>
      </c>
      <c r="Y2656" s="161" t="str">
        <f t="shared" si="6"/>
        <v>bazemke01,2018-19</v>
      </c>
      <c r="Z2656" s="168">
        <f t="array" ref="Z2656">iferror(index(I:I,match($A2656&amp;","&amp;index('Year Conversion'!$A:$A,match($C2656,'Year Conversion'!$B:$B,0)),$Y:$Y,0))-I2656,"")</f>
        <v>1</v>
      </c>
      <c r="AA2656" s="168">
        <f t="array" ref="AA2656">iferror(index(J:J,match($A2656&amp;","&amp;index('Year Conversion'!$A:$A,match($C2656,'Year Conversion'!$B:$B,0)),$Y:$Y,0))-J2656,"")</f>
        <v>0.8340099589</v>
      </c>
      <c r="AB2656" s="168">
        <f t="array" ref="AB2656">iferror(index(K:K,match($A2656&amp;","&amp;index('Year Conversion'!$A:$A,match($C2656,'Year Conversion'!$B:$B,0)),$Y:$Y,0))-K2656,"")</f>
        <v>-0.2893681729</v>
      </c>
      <c r="AC2656" s="168" t="str">
        <f t="shared" si="7"/>
        <v>ATL,2018-19</v>
      </c>
    </row>
    <row r="2657">
      <c r="A2657" s="161" t="str">
        <f>IFERROR(__xludf.DUMMYFUNCTION("""COMPUTED_VALUE"""),"machasc01")</f>
        <v>machasc01</v>
      </c>
      <c r="B2657" s="161" t="str">
        <f>IFERROR(__xludf.DUMMYFUNCTION("""COMPUTED_VALUE"""),"Scott Machado")</f>
        <v>Scott Machado</v>
      </c>
      <c r="C2657" s="162" t="str">
        <f>IFERROR(__xludf.DUMMYFUNCTION("""COMPUTED_VALUE"""),"2018-19")</f>
        <v>2018-19</v>
      </c>
      <c r="D2657" s="163" t="str">
        <f>IFERROR(__xludf.DUMMYFUNCTION("""COMPUTED_VALUE"""),"LAL")</f>
        <v>LAL</v>
      </c>
      <c r="E2657" s="164" t="str">
        <f>IFERROR(__xludf.DUMMYFUNCTION("""COMPUTED_VALUE"""),"Slasher")</f>
        <v>Slasher</v>
      </c>
      <c r="F2657" s="164">
        <f>IFERROR(__xludf.DUMMYFUNCTION("""COMPUTED_VALUE"""),19.1666666666667)</f>
        <v>19.16666667</v>
      </c>
      <c r="G2657" s="163">
        <f>IFERROR(__xludf.DUMMYFUNCTION("""COMPUTED_VALUE"""),4.0)</f>
        <v>4</v>
      </c>
      <c r="H2657" s="163" t="str">
        <f>IFERROR(__xludf.DUMMYFUNCTION("""COMPUTED_VALUE"""),"PG")</f>
        <v>PG</v>
      </c>
      <c r="I2657" s="163">
        <f>IFERROR(__xludf.DUMMYFUNCTION("""COMPUTED_VALUE"""),28.0)</f>
        <v>28</v>
      </c>
      <c r="J2657" s="165">
        <f>IFERROR(__xludf.DUMMYFUNCTION("""COMPUTED_VALUE"""),-0.254534561755323)</f>
        <v>-0.2545345618</v>
      </c>
      <c r="K2657" s="165">
        <f>IFERROR(__xludf.DUMMYFUNCTION("""COMPUTED_VALUE"""),-0.0831110627124597)</f>
        <v>-0.08311106271</v>
      </c>
      <c r="L2657" s="165">
        <f>IFERROR(__xludf.DUMMYFUNCTION("""COMPUTED_VALUE"""),-0.171423499042863)</f>
        <v>-0.171423499</v>
      </c>
      <c r="M2657" s="166">
        <f t="shared" si="2"/>
        <v>0.02625981876</v>
      </c>
      <c r="N2657" s="167">
        <f t="shared" si="3"/>
        <v>4.791666667</v>
      </c>
      <c r="O2657" s="163">
        <f t="shared" ref="O2657:Q2657" si="2661">rank(I2657,I:I)</f>
        <v>1090</v>
      </c>
      <c r="P2657" s="163">
        <f t="shared" si="2661"/>
        <v>1564</v>
      </c>
      <c r="Q2657" s="163">
        <f t="shared" si="2661"/>
        <v>1331</v>
      </c>
      <c r="R2657" s="163">
        <f>IFERROR(__xludf.DUMMYFUNCTION("RANK(M2657,filter(M:M,C:C=C2657))"),447.0)</f>
        <v>447</v>
      </c>
      <c r="S2657" s="161" t="b">
        <f t="shared" si="5"/>
        <v>0</v>
      </c>
      <c r="T2657" s="161" t="b">
        <f t="array" ref="T2657">index('Query Tool'!B:B,match(H2657,'Query Tool'!C:C,0))</f>
        <v>1</v>
      </c>
      <c r="U2657" s="161" t="b">
        <f t="array" ref="U2657">index('Query Tool'!B:B,match(C2657,'Query Tool'!C:C,0))</f>
        <v>0</v>
      </c>
      <c r="V2657" s="161" t="b">
        <f>F2657&gt;='Query Tool'!C$32</f>
        <v>0</v>
      </c>
      <c r="W2657" s="161" t="b">
        <f t="array" ref="W2657">index(Dropdowns!B:B,match(I2657,Dropdowns!A:A,0))</f>
        <v>1</v>
      </c>
      <c r="X2657" s="161" t="b">
        <f t="array" ref="X2657">index('Query Tool'!B:B,match(D2657,'Query Tool'!C:C,0))</f>
        <v>1</v>
      </c>
      <c r="Y2657" s="161" t="str">
        <f t="shared" si="6"/>
        <v>machasc01,2018-19</v>
      </c>
      <c r="Z2657" s="168" t="str">
        <f t="array" ref="Z2657">iferror(index(I:I,match($A2657&amp;","&amp;index('Year Conversion'!$A:$A,match($C2657,'Year Conversion'!$B:$B,0)),$Y:$Y,0))-I2657,"")</f>
        <v/>
      </c>
      <c r="AA2657" s="168" t="str">
        <f t="array" ref="AA2657">iferror(index(J:J,match($A2657&amp;","&amp;index('Year Conversion'!$A:$A,match($C2657,'Year Conversion'!$B:$B,0)),$Y:$Y,0))-J2657,"")</f>
        <v/>
      </c>
      <c r="AB2657" s="168" t="str">
        <f t="array" ref="AB2657">iferror(index(K:K,match($A2657&amp;","&amp;index('Year Conversion'!$A:$A,match($C2657,'Year Conversion'!$B:$B,0)),$Y:$Y,0))-K2657,"")</f>
        <v/>
      </c>
      <c r="AC2657" s="168" t="str">
        <f t="shared" si="7"/>
        <v>LAL,2018-19</v>
      </c>
    </row>
    <row r="2658">
      <c r="A2658" s="161" t="str">
        <f>IFERROR(__xludf.DUMMYFUNCTION("""COMPUTED_VALUE"""),"holidju01")</f>
        <v>holidju01</v>
      </c>
      <c r="B2658" s="161" t="str">
        <f>IFERROR(__xludf.DUMMYFUNCTION("""COMPUTED_VALUE"""),"Justin Holiday")</f>
        <v>Justin Holiday</v>
      </c>
      <c r="C2658" s="162" t="str">
        <f>IFERROR(__xludf.DUMMYFUNCTION("""COMPUTED_VALUE"""),"2018-19")</f>
        <v>2018-19</v>
      </c>
      <c r="D2658" s="163" t="str">
        <f>IFERROR(__xludf.DUMMYFUNCTION("""COMPUTED_VALUE"""),"TOT")</f>
        <v>TOT</v>
      </c>
      <c r="E2658" s="164" t="str">
        <f>IFERROR(__xludf.DUMMYFUNCTION("""COMPUTED_VALUE"""),"Movement Shooter")</f>
        <v>Movement Shooter</v>
      </c>
      <c r="F2658" s="164">
        <f>IFERROR(__xludf.DUMMYFUNCTION("""COMPUTED_VALUE"""),2606.61166666667)</f>
        <v>2606.611667</v>
      </c>
      <c r="G2658" s="163">
        <f>IFERROR(__xludf.DUMMYFUNCTION("""COMPUTED_VALUE"""),82.0)</f>
        <v>82</v>
      </c>
      <c r="H2658" s="163" t="str">
        <f>IFERROR(__xludf.DUMMYFUNCTION("""COMPUTED_VALUE"""),"SG")</f>
        <v>SG</v>
      </c>
      <c r="I2658" s="163">
        <f>IFERROR(__xludf.DUMMYFUNCTION("""COMPUTED_VALUE"""),29.0)</f>
        <v>29</v>
      </c>
      <c r="J2658" s="165">
        <f>IFERROR(__xludf.DUMMYFUNCTION("""COMPUTED_VALUE"""),-2.05337502320284)</f>
        <v>-2.053375023</v>
      </c>
      <c r="K2658" s="165">
        <f>IFERROR(__xludf.DUMMYFUNCTION("""COMPUTED_VALUE"""),-2.19350881780714)</f>
        <v>-2.193508818</v>
      </c>
      <c r="L2658" s="165">
        <f>IFERROR(__xludf.DUMMYFUNCTION("""COMPUTED_VALUE"""),0.140133794604298)</f>
        <v>0.1401337946</v>
      </c>
      <c r="M2658" s="166">
        <f t="shared" si="2"/>
        <v>0.4310143774</v>
      </c>
      <c r="N2658" s="167">
        <f t="shared" si="3"/>
        <v>31.78794715</v>
      </c>
      <c r="O2658" s="163">
        <f t="shared" ref="O2658:Q2658" si="2662">rank(I2658,I:I)</f>
        <v>855</v>
      </c>
      <c r="P2658" s="163">
        <f t="shared" si="2662"/>
        <v>3518</v>
      </c>
      <c r="Q2658" s="163">
        <f t="shared" si="2662"/>
        <v>3801</v>
      </c>
      <c r="R2658" s="163">
        <f>IFERROR(__xludf.DUMMYFUNCTION("RANK(M2658,filter(M:M,C:C=C2658))"),303.0)</f>
        <v>303</v>
      </c>
      <c r="S2658" s="161" t="b">
        <f t="shared" si="5"/>
        <v>0</v>
      </c>
      <c r="T2658" s="161" t="b">
        <f t="array" ref="T2658">index('Query Tool'!B:B,match(H2658,'Query Tool'!C:C,0))</f>
        <v>1</v>
      </c>
      <c r="U2658" s="161" t="b">
        <f t="array" ref="U2658">index('Query Tool'!B:B,match(C2658,'Query Tool'!C:C,0))</f>
        <v>0</v>
      </c>
      <c r="V2658" s="161" t="b">
        <f>F2658&gt;='Query Tool'!C$32</f>
        <v>1</v>
      </c>
      <c r="W2658" s="161" t="b">
        <f t="array" ref="W2658">index(Dropdowns!B:B,match(I2658,Dropdowns!A:A,0))</f>
        <v>1</v>
      </c>
      <c r="X2658" s="161" t="b">
        <f t="array" ref="X2658">index('Query Tool'!B:B,match(D2658,'Query Tool'!C:C,0))</f>
        <v>1</v>
      </c>
      <c r="Y2658" s="161" t="str">
        <f t="shared" si="6"/>
        <v>holidju01,2018-19</v>
      </c>
      <c r="Z2658" s="168">
        <f t="array" ref="Z2658">iferror(index(I:I,match($A2658&amp;","&amp;index('Year Conversion'!$A:$A,match($C2658,'Year Conversion'!$B:$B,0)),$Y:$Y,0))-I2658,"")</f>
        <v>1</v>
      </c>
      <c r="AA2658" s="168">
        <f t="array" ref="AA2658">iferror(index(J:J,match($A2658&amp;","&amp;index('Year Conversion'!$A:$A,match($C2658,'Year Conversion'!$B:$B,0)),$Y:$Y,0))-J2658,"")</f>
        <v>1.862060152</v>
      </c>
      <c r="AB2658" s="168">
        <f t="array" ref="AB2658">iferror(index(K:K,match($A2658&amp;","&amp;index('Year Conversion'!$A:$A,match($C2658,'Year Conversion'!$B:$B,0)),$Y:$Y,0))-K2658,"")</f>
        <v>1.939866731</v>
      </c>
      <c r="AC2658" s="168" t="str">
        <f t="shared" si="7"/>
        <v>TOT,2018-19</v>
      </c>
    </row>
    <row r="2659">
      <c r="A2659" s="161" t="str">
        <f>IFERROR(__xludf.DUMMYFUNCTION("""COMPUTED_VALUE"""),"greenja01")</f>
        <v>greenja01</v>
      </c>
      <c r="B2659" s="161" t="str">
        <f>IFERROR(__xludf.DUMMYFUNCTION("""COMPUTED_VALUE"""),"JaMychal Green")</f>
        <v>JaMychal Green</v>
      </c>
      <c r="C2659" s="162" t="str">
        <f>IFERROR(__xludf.DUMMYFUNCTION("""COMPUTED_VALUE"""),"2018-19")</f>
        <v>2018-19</v>
      </c>
      <c r="D2659" s="163" t="str">
        <f>IFERROR(__xludf.DUMMYFUNCTION("""COMPUTED_VALUE"""),"TOT")</f>
        <v>TOT</v>
      </c>
      <c r="E2659" s="164" t="str">
        <f>IFERROR(__xludf.DUMMYFUNCTION("""COMPUTED_VALUE"""),"Stretch Big")</f>
        <v>Stretch Big</v>
      </c>
      <c r="F2659" s="164">
        <f>IFERROR(__xludf.DUMMYFUNCTION("""COMPUTED_VALUE"""),1370.58333333333)</f>
        <v>1370.583333</v>
      </c>
      <c r="G2659" s="163">
        <f>IFERROR(__xludf.DUMMYFUNCTION("""COMPUTED_VALUE"""),65.0)</f>
        <v>65</v>
      </c>
      <c r="H2659" s="163" t="str">
        <f>IFERROR(__xludf.DUMMYFUNCTION("""COMPUTED_VALUE"""),"PF")</f>
        <v>PF</v>
      </c>
      <c r="I2659" s="163">
        <f>IFERROR(__xludf.DUMMYFUNCTION("""COMPUTED_VALUE"""),28.0)</f>
        <v>28</v>
      </c>
      <c r="J2659" s="165">
        <f>IFERROR(__xludf.DUMMYFUNCTION("""COMPUTED_VALUE"""),-0.812732518896519)</f>
        <v>-0.8127325189</v>
      </c>
      <c r="K2659" s="165">
        <f>IFERROR(__xludf.DUMMYFUNCTION("""COMPUTED_VALUE"""),-1.17935086517654)</f>
        <v>-1.179350865</v>
      </c>
      <c r="L2659" s="165">
        <f>IFERROR(__xludf.DUMMYFUNCTION("""COMPUTED_VALUE"""),0.366618346280019)</f>
        <v>0.3666183463</v>
      </c>
      <c r="M2659" s="166">
        <f t="shared" si="2"/>
        <v>1.362679062</v>
      </c>
      <c r="N2659" s="167">
        <f t="shared" si="3"/>
        <v>21.08589744</v>
      </c>
      <c r="O2659" s="163">
        <f t="shared" ref="O2659:Q2659" si="2663">rank(I2659,I:I)</f>
        <v>1090</v>
      </c>
      <c r="P2659" s="163">
        <f t="shared" si="2663"/>
        <v>2300</v>
      </c>
      <c r="Q2659" s="163">
        <f t="shared" si="2663"/>
        <v>3017</v>
      </c>
      <c r="R2659" s="163">
        <f>IFERROR(__xludf.DUMMYFUNCTION("RANK(M2659,filter(M:M,C:C=C2659))"),196.0)</f>
        <v>196</v>
      </c>
      <c r="S2659" s="161" t="b">
        <f t="shared" si="5"/>
        <v>0</v>
      </c>
      <c r="T2659" s="161" t="b">
        <f t="array" ref="T2659">index('Query Tool'!B:B,match(H2659,'Query Tool'!C:C,0))</f>
        <v>1</v>
      </c>
      <c r="U2659" s="161" t="b">
        <f t="array" ref="U2659">index('Query Tool'!B:B,match(C2659,'Query Tool'!C:C,0))</f>
        <v>0</v>
      </c>
      <c r="V2659" s="161" t="b">
        <f>F2659&gt;='Query Tool'!C$32</f>
        <v>1</v>
      </c>
      <c r="W2659" s="161" t="b">
        <f t="array" ref="W2659">index(Dropdowns!B:B,match(I2659,Dropdowns!A:A,0))</f>
        <v>1</v>
      </c>
      <c r="X2659" s="161" t="b">
        <f t="array" ref="X2659">index('Query Tool'!B:B,match(D2659,'Query Tool'!C:C,0))</f>
        <v>1</v>
      </c>
      <c r="Y2659" s="161" t="str">
        <f t="shared" si="6"/>
        <v>greenja01,2018-19</v>
      </c>
      <c r="Z2659" s="168">
        <f t="array" ref="Z2659">iferror(index(I:I,match($A2659&amp;","&amp;index('Year Conversion'!$A:$A,match($C2659,'Year Conversion'!$B:$B,0)),$Y:$Y,0))-I2659,"")</f>
        <v>1</v>
      </c>
      <c r="AA2659" s="168">
        <f t="array" ref="AA2659">iferror(index(J:J,match($A2659&amp;","&amp;index('Year Conversion'!$A:$A,match($C2659,'Year Conversion'!$B:$B,0)),$Y:$Y,0))-J2659,"")</f>
        <v>0.8847930922</v>
      </c>
      <c r="AB2659" s="168">
        <f t="array" ref="AB2659">iferror(index(K:K,match($A2659&amp;","&amp;index('Year Conversion'!$A:$A,match($C2659,'Year Conversion'!$B:$B,0)),$Y:$Y,0))-K2659,"")</f>
        <v>0.44361989</v>
      </c>
      <c r="AC2659" s="168" t="str">
        <f t="shared" si="7"/>
        <v>TOT,2018-19</v>
      </c>
    </row>
    <row r="2660">
      <c r="A2660" s="161" t="str">
        <f>IFERROR(__xludf.DUMMYFUNCTION("""COMPUTED_VALUE"""),"nunnaja01")</f>
        <v>nunnaja01</v>
      </c>
      <c r="B2660" s="161" t="str">
        <f>IFERROR(__xludf.DUMMYFUNCTION("""COMPUTED_VALUE"""),"James Nunnally")</f>
        <v>James Nunnally</v>
      </c>
      <c r="C2660" s="162" t="str">
        <f>IFERROR(__xludf.DUMMYFUNCTION("""COMPUTED_VALUE"""),"2018-19")</f>
        <v>2018-19</v>
      </c>
      <c r="D2660" s="163" t="str">
        <f>IFERROR(__xludf.DUMMYFUNCTION("""COMPUTED_VALUE"""),"TOT")</f>
        <v>TOT</v>
      </c>
      <c r="E2660" s="164" t="str">
        <f>IFERROR(__xludf.DUMMYFUNCTION("""COMPUTED_VALUE"""),"Stationary Shooter")</f>
        <v>Stationary Shooter</v>
      </c>
      <c r="F2660" s="164">
        <f>IFERROR(__xludf.DUMMYFUNCTION("""COMPUTED_VALUE"""),101.493333333333)</f>
        <v>101.4933333</v>
      </c>
      <c r="G2660" s="163">
        <f>IFERROR(__xludf.DUMMYFUNCTION("""COMPUTED_VALUE"""),15.0)</f>
        <v>15</v>
      </c>
      <c r="H2660" s="163" t="str">
        <f>IFERROR(__xludf.DUMMYFUNCTION("""COMPUTED_VALUE"""),"SF")</f>
        <v>SF</v>
      </c>
      <c r="I2660" s="163">
        <f>IFERROR(__xludf.DUMMYFUNCTION("""COMPUTED_VALUE"""),28.0)</f>
        <v>28</v>
      </c>
      <c r="J2660" s="165">
        <f>IFERROR(__xludf.DUMMYFUNCTION("""COMPUTED_VALUE"""),-1.16214659472322)</f>
        <v>-1.162146595</v>
      </c>
      <c r="K2660" s="165">
        <f>IFERROR(__xludf.DUMMYFUNCTION("""COMPUTED_VALUE"""),-0.301196219051799)</f>
        <v>-0.3011962191</v>
      </c>
      <c r="L2660" s="165">
        <f>IFERROR(__xludf.DUMMYFUNCTION("""COMPUTED_VALUE"""),-0.860950375671418)</f>
        <v>-0.8609503757</v>
      </c>
      <c r="M2660" s="166">
        <f t="shared" si="2"/>
        <v>0.07709697418</v>
      </c>
      <c r="N2660" s="167">
        <f t="shared" si="3"/>
        <v>6.766222222</v>
      </c>
      <c r="O2660" s="163">
        <f t="shared" ref="O2660:Q2660" si="2664">rank(I2660,I:I)</f>
        <v>1090</v>
      </c>
      <c r="P2660" s="163">
        <f t="shared" si="2664"/>
        <v>2698</v>
      </c>
      <c r="Q2660" s="163">
        <f t="shared" si="2664"/>
        <v>1764</v>
      </c>
      <c r="R2660" s="163">
        <f>IFERROR(__xludf.DUMMYFUNCTION("RANK(M2660,filter(M:M,C:C=C2660))"),403.0)</f>
        <v>403</v>
      </c>
      <c r="S2660" s="161" t="b">
        <f t="shared" si="5"/>
        <v>0</v>
      </c>
      <c r="T2660" s="161" t="b">
        <f t="array" ref="T2660">index('Query Tool'!B:B,match(H2660,'Query Tool'!C:C,0))</f>
        <v>1</v>
      </c>
      <c r="U2660" s="161" t="b">
        <f t="array" ref="U2660">index('Query Tool'!B:B,match(C2660,'Query Tool'!C:C,0))</f>
        <v>0</v>
      </c>
      <c r="V2660" s="161" t="b">
        <f>F2660&gt;='Query Tool'!C$32</f>
        <v>0</v>
      </c>
      <c r="W2660" s="161" t="b">
        <f t="array" ref="W2660">index(Dropdowns!B:B,match(I2660,Dropdowns!A:A,0))</f>
        <v>1</v>
      </c>
      <c r="X2660" s="161" t="b">
        <f t="array" ref="X2660">index('Query Tool'!B:B,match(D2660,'Query Tool'!C:C,0))</f>
        <v>1</v>
      </c>
      <c r="Y2660" s="161" t="str">
        <f t="shared" si="6"/>
        <v>nunnaja01,2018-19</v>
      </c>
      <c r="Z2660" s="168" t="str">
        <f t="array" ref="Z2660">iferror(index(I:I,match($A2660&amp;","&amp;index('Year Conversion'!$A:$A,match($C2660,'Year Conversion'!$B:$B,0)),$Y:$Y,0))-I2660,"")</f>
        <v/>
      </c>
      <c r="AA2660" s="168" t="str">
        <f t="array" ref="AA2660">iferror(index(J:J,match($A2660&amp;","&amp;index('Year Conversion'!$A:$A,match($C2660,'Year Conversion'!$B:$B,0)),$Y:$Y,0))-J2660,"")</f>
        <v/>
      </c>
      <c r="AB2660" s="168" t="str">
        <f t="array" ref="AB2660">iferror(index(K:K,match($A2660&amp;","&amp;index('Year Conversion'!$A:$A,match($C2660,'Year Conversion'!$B:$B,0)),$Y:$Y,0))-K2660,"")</f>
        <v/>
      </c>
      <c r="AC2660" s="168" t="str">
        <f t="shared" si="7"/>
        <v>TOT,2018-19</v>
      </c>
    </row>
    <row r="2661">
      <c r="A2661" s="161" t="str">
        <f>IFERROR(__xludf.DUMMYFUNCTION("""COMPUTED_VALUE"""),"baynear01")</f>
        <v>baynear01</v>
      </c>
      <c r="B2661" s="161" t="str">
        <f>IFERROR(__xludf.DUMMYFUNCTION("""COMPUTED_VALUE"""),"Aron Baynes")</f>
        <v>Aron Baynes</v>
      </c>
      <c r="C2661" s="162" t="str">
        <f>IFERROR(__xludf.DUMMYFUNCTION("""COMPUTED_VALUE"""),"2018-19")</f>
        <v>2018-19</v>
      </c>
      <c r="D2661" s="163" t="str">
        <f>IFERROR(__xludf.DUMMYFUNCTION("""COMPUTED_VALUE"""),"BOS")</f>
        <v>BOS</v>
      </c>
      <c r="E2661" s="164" t="str">
        <f>IFERROR(__xludf.DUMMYFUNCTION("""COMPUTED_VALUE"""),"Stretch Big")</f>
        <v>Stretch Big</v>
      </c>
      <c r="F2661" s="164">
        <f>IFERROR(__xludf.DUMMYFUNCTION("""COMPUTED_VALUE"""),820.795)</f>
        <v>820.795</v>
      </c>
      <c r="G2661" s="163">
        <f>IFERROR(__xludf.DUMMYFUNCTION("""COMPUTED_VALUE"""),51.0)</f>
        <v>51</v>
      </c>
      <c r="H2661" s="163" t="str">
        <f>IFERROR(__xludf.DUMMYFUNCTION("""COMPUTED_VALUE"""),"C")</f>
        <v>C</v>
      </c>
      <c r="I2661" s="163">
        <f>IFERROR(__xludf.DUMMYFUNCTION("""COMPUTED_VALUE"""),32.0)</f>
        <v>32</v>
      </c>
      <c r="J2661" s="165">
        <f>IFERROR(__xludf.DUMMYFUNCTION("""COMPUTED_VALUE"""),-0.879460683607128)</f>
        <v>-0.8794606836</v>
      </c>
      <c r="K2661" s="165">
        <f>IFERROR(__xludf.DUMMYFUNCTION("""COMPUTED_VALUE"""),-1.85100558005552)</f>
        <v>-1.85100558</v>
      </c>
      <c r="L2661" s="165">
        <f>IFERROR(__xludf.DUMMYFUNCTION("""COMPUTED_VALUE"""),0.971544896448397)</f>
        <v>0.9715448964</v>
      </c>
      <c r="M2661" s="166">
        <f t="shared" si="2"/>
        <v>0.7792459353</v>
      </c>
      <c r="N2661" s="167">
        <f t="shared" si="3"/>
        <v>16.09401961</v>
      </c>
      <c r="O2661" s="163">
        <f t="shared" ref="O2661:Q2661" si="2665">rank(I2661,I:I)</f>
        <v>359</v>
      </c>
      <c r="P2661" s="163">
        <f t="shared" si="2665"/>
        <v>2375</v>
      </c>
      <c r="Q2661" s="163">
        <f t="shared" si="2665"/>
        <v>3607</v>
      </c>
      <c r="R2661" s="163">
        <f>IFERROR(__xludf.DUMMYFUNCTION("RANK(M2661,filter(M:M,C:C=C2661))"),244.0)</f>
        <v>244</v>
      </c>
      <c r="S2661" s="161" t="b">
        <f t="shared" si="5"/>
        <v>0</v>
      </c>
      <c r="T2661" s="161" t="b">
        <f t="array" ref="T2661">index('Query Tool'!B:B,match(H2661,'Query Tool'!C:C,0))</f>
        <v>1</v>
      </c>
      <c r="U2661" s="161" t="b">
        <f t="array" ref="U2661">index('Query Tool'!B:B,match(C2661,'Query Tool'!C:C,0))</f>
        <v>0</v>
      </c>
      <c r="V2661" s="161" t="b">
        <f>F2661&gt;='Query Tool'!C$32</f>
        <v>1</v>
      </c>
      <c r="W2661" s="161" t="b">
        <f t="array" ref="W2661">index(Dropdowns!B:B,match(I2661,Dropdowns!A:A,0))</f>
        <v>1</v>
      </c>
      <c r="X2661" s="161" t="b">
        <f t="array" ref="X2661">index('Query Tool'!B:B,match(D2661,'Query Tool'!C:C,0))</f>
        <v>1</v>
      </c>
      <c r="Y2661" s="161" t="str">
        <f t="shared" si="6"/>
        <v>baynear01,2018-19</v>
      </c>
      <c r="Z2661" s="168">
        <f t="array" ref="Z2661">iferror(index(I:I,match($A2661&amp;","&amp;index('Year Conversion'!$A:$A,match($C2661,'Year Conversion'!$B:$B,0)),$Y:$Y,0))-I2661,"")</f>
        <v>1</v>
      </c>
      <c r="AA2661" s="168">
        <f t="array" ref="AA2661">iferror(index(J:J,match($A2661&amp;","&amp;index('Year Conversion'!$A:$A,match($C2661,'Year Conversion'!$B:$B,0)),$Y:$Y,0))-J2661,"")</f>
        <v>1.312989826</v>
      </c>
      <c r="AB2661" s="168">
        <f t="array" ref="AB2661">iferror(index(K:K,match($A2661&amp;","&amp;index('Year Conversion'!$A:$A,match($C2661,'Year Conversion'!$B:$B,0)),$Y:$Y,0))-K2661,"")</f>
        <v>2.068686345</v>
      </c>
      <c r="AC2661" s="168" t="str">
        <f t="shared" si="7"/>
        <v>BOS,2018-19</v>
      </c>
    </row>
    <row r="2662">
      <c r="A2662" s="161" t="str">
        <f>IFERROR(__xludf.DUMMYFUNCTION("""COMPUTED_VALUE"""),"noelne01")</f>
        <v>noelne01</v>
      </c>
      <c r="B2662" s="161" t="str">
        <f>IFERROR(__xludf.DUMMYFUNCTION("""COMPUTED_VALUE"""),"Nerlens Noel")</f>
        <v>Nerlens Noel</v>
      </c>
      <c r="C2662" s="162" t="str">
        <f>IFERROR(__xludf.DUMMYFUNCTION("""COMPUTED_VALUE"""),"2018-19")</f>
        <v>2018-19</v>
      </c>
      <c r="D2662" s="163" t="str">
        <f>IFERROR(__xludf.DUMMYFUNCTION("""COMPUTED_VALUE"""),"OKC")</f>
        <v>OKC</v>
      </c>
      <c r="E2662" s="164" t="str">
        <f>IFERROR(__xludf.DUMMYFUNCTION("""COMPUTED_VALUE"""),"Roll + Cut Big")</f>
        <v>Roll + Cut Big</v>
      </c>
      <c r="F2662" s="164">
        <f>IFERROR(__xludf.DUMMYFUNCTION("""COMPUTED_VALUE"""),1055.61666666667)</f>
        <v>1055.616667</v>
      </c>
      <c r="G2662" s="163">
        <f>IFERROR(__xludf.DUMMYFUNCTION("""COMPUTED_VALUE"""),77.0)</f>
        <v>77</v>
      </c>
      <c r="H2662" s="163" t="str">
        <f>IFERROR(__xludf.DUMMYFUNCTION("""COMPUTED_VALUE"""),"C")</f>
        <v>C</v>
      </c>
      <c r="I2662" s="163">
        <f>IFERROR(__xludf.DUMMYFUNCTION("""COMPUTED_VALUE"""),24.0)</f>
        <v>24</v>
      </c>
      <c r="J2662" s="165">
        <f>IFERROR(__xludf.DUMMYFUNCTION("""COMPUTED_VALUE"""),0.305094217393103)</f>
        <v>0.3050942174</v>
      </c>
      <c r="K2662" s="165">
        <f>IFERROR(__xludf.DUMMYFUNCTION("""COMPUTED_VALUE"""),-2.04313401762956)</f>
        <v>-2.043134018</v>
      </c>
      <c r="L2662" s="165">
        <f>IFERROR(__xludf.DUMMYFUNCTION("""COMPUTED_VALUE"""),2.34822823502266)</f>
        <v>2.348228235</v>
      </c>
      <c r="M2662" s="166">
        <f t="shared" si="2"/>
        <v>1.84451224</v>
      </c>
      <c r="N2662" s="167">
        <f t="shared" si="3"/>
        <v>13.70930736</v>
      </c>
      <c r="O2662" s="163">
        <f t="shared" ref="O2662:Q2662" si="2666">rank(I2662,I:I)</f>
        <v>2361</v>
      </c>
      <c r="P2662" s="163">
        <f t="shared" si="2666"/>
        <v>1015</v>
      </c>
      <c r="Q2662" s="163">
        <f t="shared" si="2666"/>
        <v>3731</v>
      </c>
      <c r="R2662" s="163">
        <f>IFERROR(__xludf.DUMMYFUNCTION("RANK(M2662,filter(M:M,C:C=C2662))"),160.0)</f>
        <v>160</v>
      </c>
      <c r="S2662" s="161" t="b">
        <f t="shared" si="5"/>
        <v>0</v>
      </c>
      <c r="T2662" s="161" t="b">
        <f t="array" ref="T2662">index('Query Tool'!B:B,match(H2662,'Query Tool'!C:C,0))</f>
        <v>1</v>
      </c>
      <c r="U2662" s="161" t="b">
        <f t="array" ref="U2662">index('Query Tool'!B:B,match(C2662,'Query Tool'!C:C,0))</f>
        <v>0</v>
      </c>
      <c r="V2662" s="161" t="b">
        <f>F2662&gt;='Query Tool'!C$32</f>
        <v>1</v>
      </c>
      <c r="W2662" s="161" t="b">
        <f t="array" ref="W2662">index(Dropdowns!B:B,match(I2662,Dropdowns!A:A,0))</f>
        <v>1</v>
      </c>
      <c r="X2662" s="161" t="b">
        <f t="array" ref="X2662">index('Query Tool'!B:B,match(D2662,'Query Tool'!C:C,0))</f>
        <v>1</v>
      </c>
      <c r="Y2662" s="161" t="str">
        <f t="shared" si="6"/>
        <v>noelne01,2018-19</v>
      </c>
      <c r="Z2662" s="168">
        <f t="array" ref="Z2662">iferror(index(I:I,match($A2662&amp;","&amp;index('Year Conversion'!$A:$A,match($C2662,'Year Conversion'!$B:$B,0)),$Y:$Y,0))-I2662,"")</f>
        <v>1</v>
      </c>
      <c r="AA2662" s="168">
        <f t="array" ref="AA2662">iferror(index(J:J,match($A2662&amp;","&amp;index('Year Conversion'!$A:$A,match($C2662,'Year Conversion'!$B:$B,0)),$Y:$Y,0))-J2662,"")</f>
        <v>0.6701207504</v>
      </c>
      <c r="AB2662" s="168">
        <f t="array" ref="AB2662">iferror(index(K:K,match($A2662&amp;","&amp;index('Year Conversion'!$A:$A,match($C2662,'Year Conversion'!$B:$B,0)),$Y:$Y,0))-K2662,"")</f>
        <v>0.5470124395</v>
      </c>
      <c r="AC2662" s="168" t="str">
        <f t="shared" si="7"/>
        <v>OKC,2018-19</v>
      </c>
    </row>
    <row r="2663">
      <c r="A2663" s="161" t="str">
        <f>IFERROR(__xludf.DUMMYFUNCTION("""COMPUTED_VALUE"""),"lenal01")</f>
        <v>lenal01</v>
      </c>
      <c r="B2663" s="161" t="str">
        <f>IFERROR(__xludf.DUMMYFUNCTION("""COMPUTED_VALUE"""),"Alex Len")</f>
        <v>Alex Len</v>
      </c>
      <c r="C2663" s="162" t="str">
        <f>IFERROR(__xludf.DUMMYFUNCTION("""COMPUTED_VALUE"""),"2018-19")</f>
        <v>2018-19</v>
      </c>
      <c r="D2663" s="163" t="str">
        <f>IFERROR(__xludf.DUMMYFUNCTION("""COMPUTED_VALUE"""),"ATL")</f>
        <v>ATL</v>
      </c>
      <c r="E2663" s="164" t="str">
        <f>IFERROR(__xludf.DUMMYFUNCTION("""COMPUTED_VALUE"""),"Stretch Big")</f>
        <v>Stretch Big</v>
      </c>
      <c r="F2663" s="164">
        <f>IFERROR(__xludf.DUMMYFUNCTION("""COMPUTED_VALUE"""),1544.075)</f>
        <v>1544.075</v>
      </c>
      <c r="G2663" s="163">
        <f>IFERROR(__xludf.DUMMYFUNCTION("""COMPUTED_VALUE"""),77.0)</f>
        <v>77</v>
      </c>
      <c r="H2663" s="163" t="str">
        <f>IFERROR(__xludf.DUMMYFUNCTION("""COMPUTED_VALUE"""),"C")</f>
        <v>C</v>
      </c>
      <c r="I2663" s="163">
        <f>IFERROR(__xludf.DUMMYFUNCTION("""COMPUTED_VALUE"""),25.0)</f>
        <v>25</v>
      </c>
      <c r="J2663" s="165">
        <f>IFERROR(__xludf.DUMMYFUNCTION("""COMPUTED_VALUE"""),0.151868276389377)</f>
        <v>0.1518682764</v>
      </c>
      <c r="K2663" s="165">
        <f>IFERROR(__xludf.DUMMYFUNCTION("""COMPUTED_VALUE"""),-0.348570941013772)</f>
        <v>-0.348570941</v>
      </c>
      <c r="L2663" s="165">
        <f>IFERROR(__xludf.DUMMYFUNCTION("""COMPUTED_VALUE"""),0.500439217403149)</f>
        <v>0.5004392174</v>
      </c>
      <c r="M2663" s="166">
        <f t="shared" si="2"/>
        <v>2.538538714</v>
      </c>
      <c r="N2663" s="167">
        <f t="shared" si="3"/>
        <v>20.05292208</v>
      </c>
      <c r="O2663" s="163">
        <f t="shared" ref="O2663:Q2663" si="2667">rank(I2663,I:I)</f>
        <v>1995</v>
      </c>
      <c r="P2663" s="163">
        <f t="shared" si="2667"/>
        <v>1130</v>
      </c>
      <c r="Q2663" s="163">
        <f t="shared" si="2667"/>
        <v>1848</v>
      </c>
      <c r="R2663" s="163">
        <f>IFERROR(__xludf.DUMMYFUNCTION("RANK(M2663,filter(M:M,C:C=C2663))"),127.0)</f>
        <v>127</v>
      </c>
      <c r="S2663" s="161" t="b">
        <f t="shared" si="5"/>
        <v>0</v>
      </c>
      <c r="T2663" s="161" t="b">
        <f t="array" ref="T2663">index('Query Tool'!B:B,match(H2663,'Query Tool'!C:C,0))</f>
        <v>1</v>
      </c>
      <c r="U2663" s="161" t="b">
        <f t="array" ref="U2663">index('Query Tool'!B:B,match(C2663,'Query Tool'!C:C,0))</f>
        <v>0</v>
      </c>
      <c r="V2663" s="161" t="b">
        <f>F2663&gt;='Query Tool'!C$32</f>
        <v>1</v>
      </c>
      <c r="W2663" s="161" t="b">
        <f t="array" ref="W2663">index(Dropdowns!B:B,match(I2663,Dropdowns!A:A,0))</f>
        <v>1</v>
      </c>
      <c r="X2663" s="161" t="b">
        <f t="array" ref="X2663">index('Query Tool'!B:B,match(D2663,'Query Tool'!C:C,0))</f>
        <v>1</v>
      </c>
      <c r="Y2663" s="161" t="str">
        <f t="shared" si="6"/>
        <v>lenal01,2018-19</v>
      </c>
      <c r="Z2663" s="168">
        <f t="array" ref="Z2663">iferror(index(I:I,match($A2663&amp;","&amp;index('Year Conversion'!$A:$A,match($C2663,'Year Conversion'!$B:$B,0)),$Y:$Y,0))-I2663,"")</f>
        <v>1</v>
      </c>
      <c r="AA2663" s="168">
        <f t="array" ref="AA2663">iferror(index(J:J,match($A2663&amp;","&amp;index('Year Conversion'!$A:$A,match($C2663,'Year Conversion'!$B:$B,0)),$Y:$Y,0))-J2663,"")</f>
        <v>0.6643060475</v>
      </c>
      <c r="AB2663" s="168">
        <f t="array" ref="AB2663">iferror(index(K:K,match($A2663&amp;","&amp;index('Year Conversion'!$A:$A,match($C2663,'Year Conversion'!$B:$B,0)),$Y:$Y,0))-K2663,"")</f>
        <v>-0.4791162023</v>
      </c>
      <c r="AC2663" s="168" t="str">
        <f t="shared" si="7"/>
        <v>ATL,2018-19</v>
      </c>
    </row>
    <row r="2664">
      <c r="A2664" s="161" t="str">
        <f>IFERROR(__xludf.DUMMYFUNCTION("""COMPUTED_VALUE"""),"crabbal01")</f>
        <v>crabbal01</v>
      </c>
      <c r="B2664" s="161" t="str">
        <f>IFERROR(__xludf.DUMMYFUNCTION("""COMPUTED_VALUE"""),"Allen Crabbe")</f>
        <v>Allen Crabbe</v>
      </c>
      <c r="C2664" s="162" t="str">
        <f>IFERROR(__xludf.DUMMYFUNCTION("""COMPUTED_VALUE"""),"2018-19")</f>
        <v>2018-19</v>
      </c>
      <c r="D2664" s="163" t="str">
        <f>IFERROR(__xludf.DUMMYFUNCTION("""COMPUTED_VALUE"""),"BRK")</f>
        <v>BRK</v>
      </c>
      <c r="E2664" s="164" t="str">
        <f>IFERROR(__xludf.DUMMYFUNCTION("""COMPUTED_VALUE"""),"Off Screen Shooter")</f>
        <v>Off Screen Shooter</v>
      </c>
      <c r="F2664" s="164">
        <f>IFERROR(__xludf.DUMMYFUNCTION("""COMPUTED_VALUE"""),1133.08833333333)</f>
        <v>1133.088333</v>
      </c>
      <c r="G2664" s="163">
        <f>IFERROR(__xludf.DUMMYFUNCTION("""COMPUTED_VALUE"""),43.0)</f>
        <v>43</v>
      </c>
      <c r="H2664" s="163" t="str">
        <f>IFERROR(__xludf.DUMMYFUNCTION("""COMPUTED_VALUE"""),"SG")</f>
        <v>SG</v>
      </c>
      <c r="I2664" s="163">
        <f>IFERROR(__xludf.DUMMYFUNCTION("""COMPUTED_VALUE"""),26.0)</f>
        <v>26</v>
      </c>
      <c r="J2664" s="165">
        <f>IFERROR(__xludf.DUMMYFUNCTION("""COMPUTED_VALUE"""),-1.52555564923263)</f>
        <v>-1.525555649</v>
      </c>
      <c r="K2664" s="165">
        <f>IFERROR(__xludf.DUMMYFUNCTION("""COMPUTED_VALUE"""),-1.34969971237229)</f>
        <v>-1.349699712</v>
      </c>
      <c r="L2664" s="165">
        <f>IFERROR(__xludf.DUMMYFUNCTION("""COMPUTED_VALUE"""),-0.175855936860347)</f>
        <v>-0.1758559369</v>
      </c>
      <c r="M2664" s="166">
        <f t="shared" si="2"/>
        <v>0.5852004853</v>
      </c>
      <c r="N2664" s="167">
        <f t="shared" si="3"/>
        <v>26.35089147</v>
      </c>
      <c r="O2664" s="163">
        <f t="shared" ref="O2664:Q2664" si="2668">rank(I2664,I:I)</f>
        <v>1665</v>
      </c>
      <c r="P2664" s="163">
        <f t="shared" si="2668"/>
        <v>3077</v>
      </c>
      <c r="Q2664" s="163">
        <f t="shared" si="2668"/>
        <v>3202</v>
      </c>
      <c r="R2664" s="163">
        <f>IFERROR(__xludf.DUMMYFUNCTION("RANK(M2664,filter(M:M,C:C=C2664))"),271.0)</f>
        <v>271</v>
      </c>
      <c r="S2664" s="161" t="b">
        <f t="shared" si="5"/>
        <v>0</v>
      </c>
      <c r="T2664" s="161" t="b">
        <f t="array" ref="T2664">index('Query Tool'!B:B,match(H2664,'Query Tool'!C:C,0))</f>
        <v>1</v>
      </c>
      <c r="U2664" s="161" t="b">
        <f t="array" ref="U2664">index('Query Tool'!B:B,match(C2664,'Query Tool'!C:C,0))</f>
        <v>0</v>
      </c>
      <c r="V2664" s="161" t="b">
        <f>F2664&gt;='Query Tool'!C$32</f>
        <v>1</v>
      </c>
      <c r="W2664" s="161" t="b">
        <f t="array" ref="W2664">index(Dropdowns!B:B,match(I2664,Dropdowns!A:A,0))</f>
        <v>1</v>
      </c>
      <c r="X2664" s="161" t="b">
        <f t="array" ref="X2664">index('Query Tool'!B:B,match(D2664,'Query Tool'!C:C,0))</f>
        <v>1</v>
      </c>
      <c r="Y2664" s="161" t="str">
        <f t="shared" si="6"/>
        <v>crabbal01,2018-19</v>
      </c>
      <c r="Z2664" s="168">
        <f t="array" ref="Z2664">iferror(index(I:I,match($A2664&amp;","&amp;index('Year Conversion'!$A:$A,match($C2664,'Year Conversion'!$B:$B,0)),$Y:$Y,0))-I2664,"")</f>
        <v>1</v>
      </c>
      <c r="AA2664" s="168">
        <f t="array" ref="AA2664">iferror(index(J:J,match($A2664&amp;","&amp;index('Year Conversion'!$A:$A,match($C2664,'Year Conversion'!$B:$B,0)),$Y:$Y,0))-J2664,"")</f>
        <v>-1.603772184</v>
      </c>
      <c r="AB2664" s="168">
        <f t="array" ref="AB2664">iferror(index(K:K,match($A2664&amp;","&amp;index('Year Conversion'!$A:$A,match($C2664,'Year Conversion'!$B:$B,0)),$Y:$Y,0))-K2664,"")</f>
        <v>-0.5544348997</v>
      </c>
      <c r="AC2664" s="168" t="str">
        <f t="shared" si="7"/>
        <v>BRK,2018-19</v>
      </c>
    </row>
    <row r="2665">
      <c r="A2665" s="161" t="str">
        <f>IFERROR(__xludf.DUMMYFUNCTION("""COMPUTED_VALUE"""),"mclembe01")</f>
        <v>mclembe01</v>
      </c>
      <c r="B2665" s="161" t="str">
        <f>IFERROR(__xludf.DUMMYFUNCTION("""COMPUTED_VALUE"""),"Ben McLemore")</f>
        <v>Ben McLemore</v>
      </c>
      <c r="C2665" s="162" t="str">
        <f>IFERROR(__xludf.DUMMYFUNCTION("""COMPUTED_VALUE"""),"2018-19")</f>
        <v>2018-19</v>
      </c>
      <c r="D2665" s="163" t="str">
        <f>IFERROR(__xludf.DUMMYFUNCTION("""COMPUTED_VALUE"""),"SAC")</f>
        <v>SAC</v>
      </c>
      <c r="E2665" s="164" t="str">
        <f>IFERROR(__xludf.DUMMYFUNCTION("""COMPUTED_VALUE"""),"Movement Shooter")</f>
        <v>Movement Shooter</v>
      </c>
      <c r="F2665" s="164">
        <f>IFERROR(__xludf.DUMMYFUNCTION("""COMPUTED_VALUE"""),157.623333333333)</f>
        <v>157.6233333</v>
      </c>
      <c r="G2665" s="163">
        <f>IFERROR(__xludf.DUMMYFUNCTION("""COMPUTED_VALUE"""),19.0)</f>
        <v>19</v>
      </c>
      <c r="H2665" s="163" t="str">
        <f>IFERROR(__xludf.DUMMYFUNCTION("""COMPUTED_VALUE"""),"SG")</f>
        <v>SG</v>
      </c>
      <c r="I2665" s="163">
        <f>IFERROR(__xludf.DUMMYFUNCTION("""COMPUTED_VALUE"""),25.0)</f>
        <v>25</v>
      </c>
      <c r="J2665" s="165">
        <f>IFERROR(__xludf.DUMMYFUNCTION("""COMPUTED_VALUE"""),-0.802210387406268)</f>
        <v>-0.8022103874</v>
      </c>
      <c r="K2665" s="165">
        <f>IFERROR(__xludf.DUMMYFUNCTION("""COMPUTED_VALUE"""),-0.455880647417217)</f>
        <v>-0.4558806474</v>
      </c>
      <c r="L2665" s="165">
        <f>IFERROR(__xludf.DUMMYFUNCTION("""COMPUTED_VALUE"""),-0.346329739989051)</f>
        <v>-0.34632974</v>
      </c>
      <c r="M2665" s="166">
        <f t="shared" si="2"/>
        <v>0.1578294395</v>
      </c>
      <c r="N2665" s="167">
        <f t="shared" si="3"/>
        <v>8.295964912</v>
      </c>
      <c r="O2665" s="163">
        <f t="shared" ref="O2665:Q2665" si="2669">rank(I2665,I:I)</f>
        <v>1995</v>
      </c>
      <c r="P2665" s="163">
        <f t="shared" si="2669"/>
        <v>2280</v>
      </c>
      <c r="Q2665" s="163">
        <f t="shared" si="2669"/>
        <v>2046</v>
      </c>
      <c r="R2665" s="163">
        <f>IFERROR(__xludf.DUMMYFUNCTION("RANK(M2665,filter(M:M,C:C=C2665))"),364.0)</f>
        <v>364</v>
      </c>
      <c r="S2665" s="161" t="b">
        <f t="shared" si="5"/>
        <v>0</v>
      </c>
      <c r="T2665" s="161" t="b">
        <f t="array" ref="T2665">index('Query Tool'!B:B,match(H2665,'Query Tool'!C:C,0))</f>
        <v>1</v>
      </c>
      <c r="U2665" s="161" t="b">
        <f t="array" ref="U2665">index('Query Tool'!B:B,match(C2665,'Query Tool'!C:C,0))</f>
        <v>0</v>
      </c>
      <c r="V2665" s="161" t="b">
        <f>F2665&gt;='Query Tool'!C$32</f>
        <v>0</v>
      </c>
      <c r="W2665" s="161" t="b">
        <f t="array" ref="W2665">index(Dropdowns!B:B,match(I2665,Dropdowns!A:A,0))</f>
        <v>1</v>
      </c>
      <c r="X2665" s="161" t="b">
        <f t="array" ref="X2665">index('Query Tool'!B:B,match(D2665,'Query Tool'!C:C,0))</f>
        <v>1</v>
      </c>
      <c r="Y2665" s="161" t="str">
        <f t="shared" si="6"/>
        <v>mclembe01,2018-19</v>
      </c>
      <c r="Z2665" s="168">
        <f t="array" ref="Z2665">iferror(index(I:I,match($A2665&amp;","&amp;index('Year Conversion'!$A:$A,match($C2665,'Year Conversion'!$B:$B,0)),$Y:$Y,0))-I2665,"")</f>
        <v>1</v>
      </c>
      <c r="AA2665" s="168">
        <f t="array" ref="AA2665">iferror(index(J:J,match($A2665&amp;","&amp;index('Year Conversion'!$A:$A,match($C2665,'Year Conversion'!$B:$B,0)),$Y:$Y,0))-J2665,"")</f>
        <v>-0.2082698022</v>
      </c>
      <c r="AB2665" s="168">
        <f t="array" ref="AB2665">iferror(index(K:K,match($A2665&amp;","&amp;index('Year Conversion'!$A:$A,match($C2665,'Year Conversion'!$B:$B,0)),$Y:$Y,0))-K2665,"")</f>
        <v>1.298793864</v>
      </c>
      <c r="AC2665" s="168" t="str">
        <f t="shared" si="7"/>
        <v>SAC,2018-19</v>
      </c>
    </row>
    <row r="2666">
      <c r="A2666" s="161" t="str">
        <f>IFERROR(__xludf.DUMMYFUNCTION("""COMPUTED_VALUE"""),"mccolcj01")</f>
        <v>mccolcj01</v>
      </c>
      <c r="B2666" s="161" t="str">
        <f>IFERROR(__xludf.DUMMYFUNCTION("""COMPUTED_VALUE"""),"CJ McCollum")</f>
        <v>CJ McCollum</v>
      </c>
      <c r="C2666" s="162" t="str">
        <f>IFERROR(__xludf.DUMMYFUNCTION("""COMPUTED_VALUE"""),"2018-19")</f>
        <v>2018-19</v>
      </c>
      <c r="D2666" s="163" t="str">
        <f>IFERROR(__xludf.DUMMYFUNCTION("""COMPUTED_VALUE"""),"POR")</f>
        <v>POR</v>
      </c>
      <c r="E2666" s="164" t="str">
        <f>IFERROR(__xludf.DUMMYFUNCTION("""COMPUTED_VALUE"""),"Primary Ball Handler")</f>
        <v>Primary Ball Handler</v>
      </c>
      <c r="F2666" s="164">
        <f>IFERROR(__xludf.DUMMYFUNCTION("""COMPUTED_VALUE"""),2375.25666666667)</f>
        <v>2375.256667</v>
      </c>
      <c r="G2666" s="163">
        <f>IFERROR(__xludf.DUMMYFUNCTION("""COMPUTED_VALUE"""),70.0)</f>
        <v>70</v>
      </c>
      <c r="H2666" s="163" t="str">
        <f>IFERROR(__xludf.DUMMYFUNCTION("""COMPUTED_VALUE"""),"SG")</f>
        <v>SG</v>
      </c>
      <c r="I2666" s="163">
        <f>IFERROR(__xludf.DUMMYFUNCTION("""COMPUTED_VALUE"""),27.0)</f>
        <v>27</v>
      </c>
      <c r="J2666" s="165">
        <f>IFERROR(__xludf.DUMMYFUNCTION("""COMPUTED_VALUE"""),0.959286586050118)</f>
        <v>0.9592865861</v>
      </c>
      <c r="K2666" s="165">
        <f>IFERROR(__xludf.DUMMYFUNCTION("""COMPUTED_VALUE"""),1.46510604427596)</f>
        <v>1.465106044</v>
      </c>
      <c r="L2666" s="165">
        <f>IFERROR(__xludf.DUMMYFUNCTION("""COMPUTED_VALUE"""),-0.505819458225839)</f>
        <v>-0.5058194582</v>
      </c>
      <c r="M2666" s="166">
        <f t="shared" si="2"/>
        <v>5.196069691</v>
      </c>
      <c r="N2666" s="167">
        <f t="shared" si="3"/>
        <v>33.9322381</v>
      </c>
      <c r="O2666" s="163">
        <f t="shared" ref="O2666:Q2666" si="2670">rank(I2666,I:I)</f>
        <v>1366</v>
      </c>
      <c r="P2666" s="163">
        <f t="shared" si="2670"/>
        <v>676</v>
      </c>
      <c r="Q2666" s="163">
        <f t="shared" si="2670"/>
        <v>329</v>
      </c>
      <c r="R2666" s="163">
        <f>IFERROR(__xludf.DUMMYFUNCTION("RANK(M2666,filter(M:M,C:C=C2666))"),55.0)</f>
        <v>55</v>
      </c>
      <c r="S2666" s="161" t="b">
        <f t="shared" si="5"/>
        <v>0</v>
      </c>
      <c r="T2666" s="161" t="b">
        <f t="array" ref="T2666">index('Query Tool'!B:B,match(H2666,'Query Tool'!C:C,0))</f>
        <v>1</v>
      </c>
      <c r="U2666" s="161" t="b">
        <f t="array" ref="U2666">index('Query Tool'!B:B,match(C2666,'Query Tool'!C:C,0))</f>
        <v>0</v>
      </c>
      <c r="V2666" s="161" t="b">
        <f>F2666&gt;='Query Tool'!C$32</f>
        <v>1</v>
      </c>
      <c r="W2666" s="161" t="b">
        <f t="array" ref="W2666">index(Dropdowns!B:B,match(I2666,Dropdowns!A:A,0))</f>
        <v>1</v>
      </c>
      <c r="X2666" s="161" t="b">
        <f t="array" ref="X2666">index('Query Tool'!B:B,match(D2666,'Query Tool'!C:C,0))</f>
        <v>1</v>
      </c>
      <c r="Y2666" s="161" t="str">
        <f t="shared" si="6"/>
        <v>mccolcj01,2018-19</v>
      </c>
      <c r="Z2666" s="168">
        <f t="array" ref="Z2666">iferror(index(I:I,match($A2666&amp;","&amp;index('Year Conversion'!$A:$A,match($C2666,'Year Conversion'!$B:$B,0)),$Y:$Y,0))-I2666,"")</f>
        <v>1</v>
      </c>
      <c r="AA2666" s="168">
        <f t="array" ref="AA2666">iferror(index(J:J,match($A2666&amp;","&amp;index('Year Conversion'!$A:$A,match($C2666,'Year Conversion'!$B:$B,0)),$Y:$Y,0))-J2666,"")</f>
        <v>-0.4620575651</v>
      </c>
      <c r="AB2666" s="168">
        <f t="array" ref="AB2666">iferror(index(K:K,match($A2666&amp;","&amp;index('Year Conversion'!$A:$A,match($C2666,'Year Conversion'!$B:$B,0)),$Y:$Y,0))-K2666,"")</f>
        <v>0.6054537845</v>
      </c>
      <c r="AC2666" s="168" t="str">
        <f t="shared" si="7"/>
        <v>POR,2018-19</v>
      </c>
    </row>
    <row r="2667">
      <c r="A2667" s="161" t="str">
        <f>IFERROR(__xludf.DUMMYFUNCTION("""COMPUTED_VALUE"""),"zelleco01")</f>
        <v>zelleco01</v>
      </c>
      <c r="B2667" s="161" t="str">
        <f>IFERROR(__xludf.DUMMYFUNCTION("""COMPUTED_VALUE"""),"Cody Zeller")</f>
        <v>Cody Zeller</v>
      </c>
      <c r="C2667" s="162" t="str">
        <f>IFERROR(__xludf.DUMMYFUNCTION("""COMPUTED_VALUE"""),"2018-19")</f>
        <v>2018-19</v>
      </c>
      <c r="D2667" s="163" t="str">
        <f>IFERROR(__xludf.DUMMYFUNCTION("""COMPUTED_VALUE"""),"CHO")</f>
        <v>CHO</v>
      </c>
      <c r="E2667" s="164" t="str">
        <f>IFERROR(__xludf.DUMMYFUNCTION("""COMPUTED_VALUE"""),"Roll + Cut Big")</f>
        <v>Roll + Cut Big</v>
      </c>
      <c r="F2667" s="164">
        <f>IFERROR(__xludf.DUMMYFUNCTION("""COMPUTED_VALUE"""),1242.96333333333)</f>
        <v>1242.963333</v>
      </c>
      <c r="G2667" s="163">
        <f>IFERROR(__xludf.DUMMYFUNCTION("""COMPUTED_VALUE"""),49.0)</f>
        <v>49</v>
      </c>
      <c r="H2667" s="163" t="str">
        <f>IFERROR(__xludf.DUMMYFUNCTION("""COMPUTED_VALUE"""),"C")</f>
        <v>C</v>
      </c>
      <c r="I2667" s="163">
        <f>IFERROR(__xludf.DUMMYFUNCTION("""COMPUTED_VALUE"""),26.0)</f>
        <v>26</v>
      </c>
      <c r="J2667" s="165">
        <f>IFERROR(__xludf.DUMMYFUNCTION("""COMPUTED_VALUE"""),0.811461465663537)</f>
        <v>0.8114614657</v>
      </c>
      <c r="K2667" s="165">
        <f>IFERROR(__xludf.DUMMYFUNCTION("""COMPUTED_VALUE"""),0.0537820473018195)</f>
        <v>0.0537820473</v>
      </c>
      <c r="L2667" s="165">
        <f>IFERROR(__xludf.DUMMYFUNCTION("""COMPUTED_VALUE"""),0.757679418361718)</f>
        <v>0.7576794184</v>
      </c>
      <c r="M2667" s="166">
        <f t="shared" si="2"/>
        <v>2.595613009</v>
      </c>
      <c r="N2667" s="167">
        <f t="shared" si="3"/>
        <v>25.36659864</v>
      </c>
      <c r="O2667" s="163">
        <f t="shared" ref="O2667:Q2667" si="2671">rank(I2667,I:I)</f>
        <v>1665</v>
      </c>
      <c r="P2667" s="163">
        <f t="shared" si="2671"/>
        <v>733</v>
      </c>
      <c r="Q2667" s="163">
        <f t="shared" si="2671"/>
        <v>1128</v>
      </c>
      <c r="R2667" s="163">
        <f>IFERROR(__xludf.DUMMYFUNCTION("RANK(M2667,filter(M:M,C:C=C2667))"),124.0)</f>
        <v>124</v>
      </c>
      <c r="S2667" s="161" t="b">
        <f t="shared" si="5"/>
        <v>0</v>
      </c>
      <c r="T2667" s="161" t="b">
        <f t="array" ref="T2667">index('Query Tool'!B:B,match(H2667,'Query Tool'!C:C,0))</f>
        <v>1</v>
      </c>
      <c r="U2667" s="161" t="b">
        <f t="array" ref="U2667">index('Query Tool'!B:B,match(C2667,'Query Tool'!C:C,0))</f>
        <v>0</v>
      </c>
      <c r="V2667" s="161" t="b">
        <f>F2667&gt;='Query Tool'!C$32</f>
        <v>1</v>
      </c>
      <c r="W2667" s="161" t="b">
        <f t="array" ref="W2667">index(Dropdowns!B:B,match(I2667,Dropdowns!A:A,0))</f>
        <v>1</v>
      </c>
      <c r="X2667" s="161" t="b">
        <f t="array" ref="X2667">index('Query Tool'!B:B,match(D2667,'Query Tool'!C:C,0))</f>
        <v>1</v>
      </c>
      <c r="Y2667" s="161" t="str">
        <f t="shared" si="6"/>
        <v>zelleco01,2018-19</v>
      </c>
      <c r="Z2667" s="168">
        <f t="array" ref="Z2667">iferror(index(I:I,match($A2667&amp;","&amp;index('Year Conversion'!$A:$A,match($C2667,'Year Conversion'!$B:$B,0)),$Y:$Y,0))-I2667,"")</f>
        <v>1</v>
      </c>
      <c r="AA2667" s="168">
        <f t="array" ref="AA2667">iferror(index(J:J,match($A2667&amp;","&amp;index('Year Conversion'!$A:$A,match($C2667,'Year Conversion'!$B:$B,0)),$Y:$Y,0))-J2667,"")</f>
        <v>-2.687565459</v>
      </c>
      <c r="AB2667" s="168">
        <f t="array" ref="AB2667">iferror(index(K:K,match($A2667&amp;","&amp;index('Year Conversion'!$A:$A,match($C2667,'Year Conversion'!$B:$B,0)),$Y:$Y,0))-K2667,"")</f>
        <v>-1.116053611</v>
      </c>
      <c r="AC2667" s="168" t="str">
        <f t="shared" si="7"/>
        <v>CHO,2018-19</v>
      </c>
    </row>
    <row r="2668">
      <c r="A2668" s="161" t="str">
        <f>IFERROR(__xludf.DUMMYFUNCTION("""COMPUTED_VALUE"""),"schrode01")</f>
        <v>schrode01</v>
      </c>
      <c r="B2668" s="161" t="str">
        <f>IFERROR(__xludf.DUMMYFUNCTION("""COMPUTED_VALUE"""),"Dennis Schroder")</f>
        <v>Dennis Schroder</v>
      </c>
      <c r="C2668" s="162" t="str">
        <f>IFERROR(__xludf.DUMMYFUNCTION("""COMPUTED_VALUE"""),"2018-19")</f>
        <v>2018-19</v>
      </c>
      <c r="D2668" s="163" t="str">
        <f>IFERROR(__xludf.DUMMYFUNCTION("""COMPUTED_VALUE"""),"OKC")</f>
        <v>OKC</v>
      </c>
      <c r="E2668" s="164" t="str">
        <f>IFERROR(__xludf.DUMMYFUNCTION("""COMPUTED_VALUE"""),"Primary Ball Handler")</f>
        <v>Primary Ball Handler</v>
      </c>
      <c r="F2668" s="164">
        <f>IFERROR(__xludf.DUMMYFUNCTION("""COMPUTED_VALUE"""),2313.75166666667)</f>
        <v>2313.751667</v>
      </c>
      <c r="G2668" s="163">
        <f>IFERROR(__xludf.DUMMYFUNCTION("""COMPUTED_VALUE"""),79.0)</f>
        <v>79</v>
      </c>
      <c r="H2668" s="163" t="str">
        <f>IFERROR(__xludf.DUMMYFUNCTION("""COMPUTED_VALUE"""),"PG")</f>
        <v>PG</v>
      </c>
      <c r="I2668" s="163">
        <f>IFERROR(__xludf.DUMMYFUNCTION("""COMPUTED_VALUE"""),25.0)</f>
        <v>25</v>
      </c>
      <c r="J2668" s="165">
        <f>IFERROR(__xludf.DUMMYFUNCTION("""COMPUTED_VALUE"""),-0.644983385165918)</f>
        <v>-0.6449833852</v>
      </c>
      <c r="K2668" s="165">
        <f>IFERROR(__xludf.DUMMYFUNCTION("""COMPUTED_VALUE"""),0.101360312418179)</f>
        <v>0.1013603124</v>
      </c>
      <c r="L2668" s="165">
        <f>IFERROR(__xludf.DUMMYFUNCTION("""COMPUTED_VALUE"""),-0.746343697584097)</f>
        <v>-0.7463436976</v>
      </c>
      <c r="M2668" s="166">
        <f t="shared" si="2"/>
        <v>2.561500236</v>
      </c>
      <c r="N2668" s="167">
        <f t="shared" si="3"/>
        <v>29.28799578</v>
      </c>
      <c r="O2668" s="163">
        <f t="shared" ref="O2668:Q2668" si="2672">rank(I2668,I:I)</f>
        <v>1995</v>
      </c>
      <c r="P2668" s="163">
        <f t="shared" si="2672"/>
        <v>2056</v>
      </c>
      <c r="Q2668" s="163">
        <f t="shared" si="2672"/>
        <v>1067</v>
      </c>
      <c r="R2668" s="163">
        <f>IFERROR(__xludf.DUMMYFUNCTION("RANK(M2668,filter(M:M,C:C=C2668))"),126.0)</f>
        <v>126</v>
      </c>
      <c r="S2668" s="161" t="b">
        <f t="shared" si="5"/>
        <v>0</v>
      </c>
      <c r="T2668" s="161" t="b">
        <f t="array" ref="T2668">index('Query Tool'!B:B,match(H2668,'Query Tool'!C:C,0))</f>
        <v>1</v>
      </c>
      <c r="U2668" s="161" t="b">
        <f t="array" ref="U2668">index('Query Tool'!B:B,match(C2668,'Query Tool'!C:C,0))</f>
        <v>0</v>
      </c>
      <c r="V2668" s="161" t="b">
        <f>F2668&gt;='Query Tool'!C$32</f>
        <v>1</v>
      </c>
      <c r="W2668" s="161" t="b">
        <f t="array" ref="W2668">index(Dropdowns!B:B,match(I2668,Dropdowns!A:A,0))</f>
        <v>1</v>
      </c>
      <c r="X2668" s="161" t="b">
        <f t="array" ref="X2668">index('Query Tool'!B:B,match(D2668,'Query Tool'!C:C,0))</f>
        <v>1</v>
      </c>
      <c r="Y2668" s="161" t="str">
        <f t="shared" si="6"/>
        <v>schrode01,2018-19</v>
      </c>
      <c r="Z2668" s="168">
        <f t="array" ref="Z2668">iferror(index(I:I,match($A2668&amp;","&amp;index('Year Conversion'!$A:$A,match($C2668,'Year Conversion'!$B:$B,0)),$Y:$Y,0))-I2668,"")</f>
        <v>1</v>
      </c>
      <c r="AA2668" s="168">
        <f t="array" ref="AA2668">iferror(index(J:J,match($A2668&amp;","&amp;index('Year Conversion'!$A:$A,match($C2668,'Year Conversion'!$B:$B,0)),$Y:$Y,0))-J2668,"")</f>
        <v>0.7073820031</v>
      </c>
      <c r="AB2668" s="168">
        <f t="array" ref="AB2668">iferror(index(K:K,match($A2668&amp;","&amp;index('Year Conversion'!$A:$A,match($C2668,'Year Conversion'!$B:$B,0)),$Y:$Y,0))-K2668,"")</f>
        <v>0.0500874388</v>
      </c>
      <c r="AC2668" s="168" t="str">
        <f t="shared" si="7"/>
        <v>OKC,2018-19</v>
      </c>
    </row>
    <row r="2669">
      <c r="A2669" s="161" t="str">
        <f>IFERROR(__xludf.DUMMYFUNCTION("""COMPUTED_VALUE"""),"dedmode01")</f>
        <v>dedmode01</v>
      </c>
      <c r="B2669" s="161" t="str">
        <f>IFERROR(__xludf.DUMMYFUNCTION("""COMPUTED_VALUE"""),"Dewayne Dedmon")</f>
        <v>Dewayne Dedmon</v>
      </c>
      <c r="C2669" s="162" t="str">
        <f>IFERROR(__xludf.DUMMYFUNCTION("""COMPUTED_VALUE"""),"2018-19")</f>
        <v>2018-19</v>
      </c>
      <c r="D2669" s="163" t="str">
        <f>IFERROR(__xludf.DUMMYFUNCTION("""COMPUTED_VALUE"""),"ATL")</f>
        <v>ATL</v>
      </c>
      <c r="E2669" s="164" t="str">
        <f>IFERROR(__xludf.DUMMYFUNCTION("""COMPUTED_VALUE"""),"Stretch Big")</f>
        <v>Stretch Big</v>
      </c>
      <c r="F2669" s="164">
        <f>IFERROR(__xludf.DUMMYFUNCTION("""COMPUTED_VALUE"""),1609.20666666667)</f>
        <v>1609.206667</v>
      </c>
      <c r="G2669" s="163">
        <f>IFERROR(__xludf.DUMMYFUNCTION("""COMPUTED_VALUE"""),64.0)</f>
        <v>64</v>
      </c>
      <c r="H2669" s="163" t="str">
        <f>IFERROR(__xludf.DUMMYFUNCTION("""COMPUTED_VALUE"""),"C")</f>
        <v>C</v>
      </c>
      <c r="I2669" s="163">
        <f>IFERROR(__xludf.DUMMYFUNCTION("""COMPUTED_VALUE"""),29.0)</f>
        <v>29</v>
      </c>
      <c r="J2669" s="165">
        <f>IFERROR(__xludf.DUMMYFUNCTION("""COMPUTED_VALUE"""),-0.344559011037041)</f>
        <v>-0.344559011</v>
      </c>
      <c r="K2669" s="165">
        <f>IFERROR(__xludf.DUMMYFUNCTION("""COMPUTED_VALUE"""),-1.24161881048018)</f>
        <v>-1.24161881</v>
      </c>
      <c r="L2669" s="165">
        <f>IFERROR(__xludf.DUMMYFUNCTION("""COMPUTED_VALUE"""),0.897059799443136)</f>
        <v>0.8970597994</v>
      </c>
      <c r="M2669" s="166">
        <f t="shared" si="2"/>
        <v>2.107106144</v>
      </c>
      <c r="N2669" s="167">
        <f t="shared" si="3"/>
        <v>25.14385417</v>
      </c>
      <c r="O2669" s="163">
        <f t="shared" ref="O2669:Q2669" si="2673">rank(I2669,I:I)</f>
        <v>855</v>
      </c>
      <c r="P2669" s="163">
        <f t="shared" si="2673"/>
        <v>1666</v>
      </c>
      <c r="Q2669" s="163">
        <f t="shared" si="2673"/>
        <v>3075</v>
      </c>
      <c r="R2669" s="163">
        <f>IFERROR(__xludf.DUMMYFUNCTION("RANK(M2669,filter(M:M,C:C=C2669))"),148.0)</f>
        <v>148</v>
      </c>
      <c r="S2669" s="161" t="b">
        <f t="shared" si="5"/>
        <v>0</v>
      </c>
      <c r="T2669" s="161" t="b">
        <f t="array" ref="T2669">index('Query Tool'!B:B,match(H2669,'Query Tool'!C:C,0))</f>
        <v>1</v>
      </c>
      <c r="U2669" s="161" t="b">
        <f t="array" ref="U2669">index('Query Tool'!B:B,match(C2669,'Query Tool'!C:C,0))</f>
        <v>0</v>
      </c>
      <c r="V2669" s="161" t="b">
        <f>F2669&gt;='Query Tool'!C$32</f>
        <v>1</v>
      </c>
      <c r="W2669" s="161" t="b">
        <f t="array" ref="W2669">index(Dropdowns!B:B,match(I2669,Dropdowns!A:A,0))</f>
        <v>1</v>
      </c>
      <c r="X2669" s="161" t="b">
        <f t="array" ref="X2669">index('Query Tool'!B:B,match(D2669,'Query Tool'!C:C,0))</f>
        <v>1</v>
      </c>
      <c r="Y2669" s="161" t="str">
        <f t="shared" si="6"/>
        <v>dedmode01,2018-19</v>
      </c>
      <c r="Z2669" s="168">
        <f t="array" ref="Z2669">iferror(index(I:I,match($A2669&amp;","&amp;index('Year Conversion'!$A:$A,match($C2669,'Year Conversion'!$B:$B,0)),$Y:$Y,0))-I2669,"")</f>
        <v>1</v>
      </c>
      <c r="AA2669" s="168">
        <f t="array" ref="AA2669">iferror(index(J:J,match($A2669&amp;","&amp;index('Year Conversion'!$A:$A,match($C2669,'Year Conversion'!$B:$B,0)),$Y:$Y,0))-J2669,"")</f>
        <v>0.6251867148</v>
      </c>
      <c r="AB2669" s="168">
        <f t="array" ref="AB2669">iferror(index(K:K,match($A2669&amp;","&amp;index('Year Conversion'!$A:$A,match($C2669,'Year Conversion'!$B:$B,0)),$Y:$Y,0))-K2669,"")</f>
        <v>-0.4174497318</v>
      </c>
      <c r="AC2669" s="168" t="str">
        <f t="shared" si="7"/>
        <v>ATL,2018-19</v>
      </c>
    </row>
    <row r="2670">
      <c r="A2670" s="161" t="str">
        <f>IFERROR(__xludf.DUMMYFUNCTION("""COMPUTED_VALUE"""),"stephdj01")</f>
        <v>stephdj01</v>
      </c>
      <c r="B2670" s="161" t="str">
        <f>IFERROR(__xludf.DUMMYFUNCTION("""COMPUTED_VALUE"""),"DJ Stephens")</f>
        <v>DJ Stephens</v>
      </c>
      <c r="C2670" s="162" t="str">
        <f>IFERROR(__xludf.DUMMYFUNCTION("""COMPUTED_VALUE"""),"2018-19")</f>
        <v>2018-19</v>
      </c>
      <c r="D2670" s="163" t="str">
        <f>IFERROR(__xludf.DUMMYFUNCTION("""COMPUTED_VALUE"""),"MEM")</f>
        <v>MEM</v>
      </c>
      <c r="E2670" s="164" t="str">
        <f>IFERROR(__xludf.DUMMYFUNCTION("""COMPUTED_VALUE"""),"Roll + Cut Big")</f>
        <v>Roll + Cut Big</v>
      </c>
      <c r="F2670" s="164">
        <f>IFERROR(__xludf.DUMMYFUNCTION("""COMPUTED_VALUE"""),6.73333333333333)</f>
        <v>6.733333333</v>
      </c>
      <c r="G2670" s="163">
        <f>IFERROR(__xludf.DUMMYFUNCTION("""COMPUTED_VALUE"""),1.0)</f>
        <v>1</v>
      </c>
      <c r="H2670" s="163" t="str">
        <f>IFERROR(__xludf.DUMMYFUNCTION("""COMPUTED_VALUE"""),"SG")</f>
        <v>SG</v>
      </c>
      <c r="I2670" s="163">
        <f>IFERROR(__xludf.DUMMYFUNCTION("""COMPUTED_VALUE"""),28.0)</f>
        <v>28</v>
      </c>
      <c r="J2670" s="165">
        <f>IFERROR(__xludf.DUMMYFUNCTION("""COMPUTED_VALUE"""),-0.553927659416538)</f>
        <v>-0.5539276594</v>
      </c>
      <c r="K2670" s="165">
        <f>IFERROR(__xludf.DUMMYFUNCTION("""COMPUTED_VALUE"""),-0.450506393172939)</f>
        <v>-0.4505063932</v>
      </c>
      <c r="L2670" s="165">
        <f>IFERROR(__xludf.DUMMYFUNCTION("""COMPUTED_VALUE"""),-0.103421266243599)</f>
        <v>-0.1034212662</v>
      </c>
      <c r="M2670" s="166">
        <f t="shared" si="2"/>
        <v>0.007867047447</v>
      </c>
      <c r="N2670" s="167">
        <f t="shared" si="3"/>
        <v>6.733333333</v>
      </c>
      <c r="O2670" s="163">
        <f t="shared" ref="O2670:Q2670" si="2674">rank(I2670,I:I)</f>
        <v>1090</v>
      </c>
      <c r="P2670" s="163">
        <f t="shared" si="2674"/>
        <v>1922</v>
      </c>
      <c r="Q2670" s="163">
        <f t="shared" si="2674"/>
        <v>2032</v>
      </c>
      <c r="R2670" s="163">
        <f>IFERROR(__xludf.DUMMYFUNCTION("RANK(M2670,filter(M:M,C:C=C2670))"),462.0)</f>
        <v>462</v>
      </c>
      <c r="S2670" s="161" t="b">
        <f t="shared" si="5"/>
        <v>0</v>
      </c>
      <c r="T2670" s="161" t="b">
        <f t="array" ref="T2670">index('Query Tool'!B:B,match(H2670,'Query Tool'!C:C,0))</f>
        <v>1</v>
      </c>
      <c r="U2670" s="161" t="b">
        <f t="array" ref="U2670">index('Query Tool'!B:B,match(C2670,'Query Tool'!C:C,0))</f>
        <v>0</v>
      </c>
      <c r="V2670" s="161" t="b">
        <f>F2670&gt;='Query Tool'!C$32</f>
        <v>0</v>
      </c>
      <c r="W2670" s="161" t="b">
        <f t="array" ref="W2670">index(Dropdowns!B:B,match(I2670,Dropdowns!A:A,0))</f>
        <v>1</v>
      </c>
      <c r="X2670" s="161" t="b">
        <f t="array" ref="X2670">index('Query Tool'!B:B,match(D2670,'Query Tool'!C:C,0))</f>
        <v>1</v>
      </c>
      <c r="Y2670" s="161" t="str">
        <f t="shared" si="6"/>
        <v>stephdj01,2018-19</v>
      </c>
      <c r="Z2670" s="168" t="str">
        <f t="array" ref="Z2670">iferror(index(I:I,match($A2670&amp;","&amp;index('Year Conversion'!$A:$A,match($C2670,'Year Conversion'!$B:$B,0)),$Y:$Y,0))-I2670,"")</f>
        <v/>
      </c>
      <c r="AA2670" s="168" t="str">
        <f t="array" ref="AA2670">iferror(index(J:J,match($A2670&amp;","&amp;index('Year Conversion'!$A:$A,match($C2670,'Year Conversion'!$B:$B,0)),$Y:$Y,0))-J2670,"")</f>
        <v/>
      </c>
      <c r="AB2670" s="168" t="str">
        <f t="array" ref="AB2670">iferror(index(K:K,match($A2670&amp;","&amp;index('Year Conversion'!$A:$A,match($C2670,'Year Conversion'!$B:$B,0)),$Y:$Y,0))-K2670,"")</f>
        <v/>
      </c>
      <c r="AC2670" s="168" t="str">
        <f t="shared" si="7"/>
        <v>MEM,2018-19</v>
      </c>
    </row>
    <row r="2671">
      <c r="A2671" s="161" t="str">
        <f>IFERROR(__xludf.DUMMYFUNCTION("""COMPUTED_VALUE"""),"dienggo01")</f>
        <v>dienggo01</v>
      </c>
      <c r="B2671" s="161" t="str">
        <f>IFERROR(__xludf.DUMMYFUNCTION("""COMPUTED_VALUE"""),"Gorgui Dieng")</f>
        <v>Gorgui Dieng</v>
      </c>
      <c r="C2671" s="162" t="str">
        <f>IFERROR(__xludf.DUMMYFUNCTION("""COMPUTED_VALUE"""),"2018-19")</f>
        <v>2018-19</v>
      </c>
      <c r="D2671" s="163" t="str">
        <f>IFERROR(__xludf.DUMMYFUNCTION("""COMPUTED_VALUE"""),"MIN")</f>
        <v>MIN</v>
      </c>
      <c r="E2671" s="164" t="str">
        <f>IFERROR(__xludf.DUMMYFUNCTION("""COMPUTED_VALUE"""),"Roll + Cut Big")</f>
        <v>Roll + Cut Big</v>
      </c>
      <c r="F2671" s="164">
        <f>IFERROR(__xludf.DUMMYFUNCTION("""COMPUTED_VALUE"""),1031.22166666667)</f>
        <v>1031.221667</v>
      </c>
      <c r="G2671" s="163">
        <f>IFERROR(__xludf.DUMMYFUNCTION("""COMPUTED_VALUE"""),76.0)</f>
        <v>76</v>
      </c>
      <c r="H2671" s="163" t="str">
        <f>IFERROR(__xludf.DUMMYFUNCTION("""COMPUTED_VALUE"""),"C")</f>
        <v>C</v>
      </c>
      <c r="I2671" s="163">
        <f>IFERROR(__xludf.DUMMYFUNCTION("""COMPUTED_VALUE"""),29.0)</f>
        <v>29</v>
      </c>
      <c r="J2671" s="165">
        <f>IFERROR(__xludf.DUMMYFUNCTION("""COMPUTED_VALUE"""),0.35128393672925)</f>
        <v>0.3512839367</v>
      </c>
      <c r="K2671" s="165">
        <f>IFERROR(__xludf.DUMMYFUNCTION("""COMPUTED_VALUE"""),-0.752968171938281)</f>
        <v>-0.7529681719</v>
      </c>
      <c r="L2671" s="165">
        <f>IFERROR(__xludf.DUMMYFUNCTION("""COMPUTED_VALUE"""),1.10425210866753)</f>
        <v>1.104252109</v>
      </c>
      <c r="M2671" s="166">
        <f t="shared" si="2"/>
        <v>1.833984555</v>
      </c>
      <c r="N2671" s="167">
        <f t="shared" si="3"/>
        <v>13.56870614</v>
      </c>
      <c r="O2671" s="163">
        <f t="shared" ref="O2671:Q2671" si="2675">rank(I2671,I:I)</f>
        <v>855</v>
      </c>
      <c r="P2671" s="163">
        <f t="shared" si="2675"/>
        <v>982</v>
      </c>
      <c r="Q2671" s="163">
        <f t="shared" si="2675"/>
        <v>2482</v>
      </c>
      <c r="R2671" s="163">
        <f>IFERROR(__xludf.DUMMYFUNCTION("RANK(M2671,filter(M:M,C:C=C2671))"),162.0)</f>
        <v>162</v>
      </c>
      <c r="S2671" s="161" t="b">
        <f t="shared" si="5"/>
        <v>0</v>
      </c>
      <c r="T2671" s="161" t="b">
        <f t="array" ref="T2671">index('Query Tool'!B:B,match(H2671,'Query Tool'!C:C,0))</f>
        <v>1</v>
      </c>
      <c r="U2671" s="161" t="b">
        <f t="array" ref="U2671">index('Query Tool'!B:B,match(C2671,'Query Tool'!C:C,0))</f>
        <v>0</v>
      </c>
      <c r="V2671" s="161" t="b">
        <f>F2671&gt;='Query Tool'!C$32</f>
        <v>1</v>
      </c>
      <c r="W2671" s="161" t="b">
        <f t="array" ref="W2671">index(Dropdowns!B:B,match(I2671,Dropdowns!A:A,0))</f>
        <v>1</v>
      </c>
      <c r="X2671" s="161" t="b">
        <f t="array" ref="X2671">index('Query Tool'!B:B,match(D2671,'Query Tool'!C:C,0))</f>
        <v>1</v>
      </c>
      <c r="Y2671" s="161" t="str">
        <f t="shared" si="6"/>
        <v>dienggo01,2018-19</v>
      </c>
      <c r="Z2671" s="168">
        <f t="array" ref="Z2671">iferror(index(I:I,match($A2671&amp;","&amp;index('Year Conversion'!$A:$A,match($C2671,'Year Conversion'!$B:$B,0)),$Y:$Y,0))-I2671,"")</f>
        <v>1</v>
      </c>
      <c r="AA2671" s="168">
        <f t="array" ref="AA2671">iferror(index(J:J,match($A2671&amp;","&amp;index('Year Conversion'!$A:$A,match($C2671,'Year Conversion'!$B:$B,0)),$Y:$Y,0))-J2671,"")</f>
        <v>-0.3095066074</v>
      </c>
      <c r="AB2671" s="168">
        <f t="array" ref="AB2671">iferror(index(K:K,match($A2671&amp;","&amp;index('Year Conversion'!$A:$A,match($C2671,'Year Conversion'!$B:$B,0)),$Y:$Y,0))-K2671,"")</f>
        <v>-1.032666171</v>
      </c>
      <c r="AC2671" s="168" t="str">
        <f t="shared" si="7"/>
        <v>MIN,2018-19</v>
      </c>
    </row>
    <row r="2672">
      <c r="A2672" s="161" t="str">
        <f>IFERROR(__xludf.DUMMYFUNCTION("""COMPUTED_VALUE"""),"canaais01")</f>
        <v>canaais01</v>
      </c>
      <c r="B2672" s="161" t="str">
        <f>IFERROR(__xludf.DUMMYFUNCTION("""COMPUTED_VALUE"""),"Isaiah Canaan")</f>
        <v>Isaiah Canaan</v>
      </c>
      <c r="C2672" s="162" t="str">
        <f>IFERROR(__xludf.DUMMYFUNCTION("""COMPUTED_VALUE"""),"2018-19")</f>
        <v>2018-19</v>
      </c>
      <c r="D2672" s="163" t="str">
        <f>IFERROR(__xludf.DUMMYFUNCTION("""COMPUTED_VALUE"""),"TOT")</f>
        <v>TOT</v>
      </c>
      <c r="E2672" s="164" t="str">
        <f>IFERROR(__xludf.DUMMYFUNCTION("""COMPUTED_VALUE"""),"Secondary Ball Handler")</f>
        <v>Secondary Ball Handler</v>
      </c>
      <c r="F2672" s="164">
        <f>IFERROR(__xludf.DUMMYFUNCTION("""COMPUTED_VALUE"""),627.923333333333)</f>
        <v>627.9233333</v>
      </c>
      <c r="G2672" s="163">
        <f>IFERROR(__xludf.DUMMYFUNCTION("""COMPUTED_VALUE"""),30.0)</f>
        <v>30</v>
      </c>
      <c r="H2672" s="163" t="str">
        <f>IFERROR(__xludf.DUMMYFUNCTION("""COMPUTED_VALUE"""),"PG")</f>
        <v>PG</v>
      </c>
      <c r="I2672" s="163">
        <f>IFERROR(__xludf.DUMMYFUNCTION("""COMPUTED_VALUE"""),27.0)</f>
        <v>27</v>
      </c>
      <c r="J2672" s="165">
        <f>IFERROR(__xludf.DUMMYFUNCTION("""COMPUTED_VALUE"""),-2.87594990984126)</f>
        <v>-2.87594991</v>
      </c>
      <c r="K2672" s="165">
        <f>IFERROR(__xludf.DUMMYFUNCTION("""COMPUTED_VALUE"""),-1.68440846066223)</f>
        <v>-1.684408461</v>
      </c>
      <c r="L2672" s="165">
        <f>IFERROR(__xludf.DUMMYFUNCTION("""COMPUTED_VALUE"""),-1.19154144917903)</f>
        <v>-1.191541449</v>
      </c>
      <c r="M2672" s="166">
        <f t="shared" si="2"/>
        <v>-0.2356553937</v>
      </c>
      <c r="N2672" s="167">
        <f t="shared" si="3"/>
        <v>20.93077778</v>
      </c>
      <c r="O2672" s="163">
        <f t="shared" ref="O2672:Q2672" si="2676">rank(I2672,I:I)</f>
        <v>1366</v>
      </c>
      <c r="P2672" s="163">
        <f t="shared" si="2676"/>
        <v>3861</v>
      </c>
      <c r="Q2672" s="163">
        <f t="shared" si="2676"/>
        <v>3510</v>
      </c>
      <c r="R2672" s="163">
        <f>IFERROR(__xludf.DUMMYFUNCTION("RANK(M2672,filter(M:M,C:C=C2672))"),506.0)</f>
        <v>506</v>
      </c>
      <c r="S2672" s="161" t="b">
        <f t="shared" si="5"/>
        <v>0</v>
      </c>
      <c r="T2672" s="161" t="b">
        <f t="array" ref="T2672">index('Query Tool'!B:B,match(H2672,'Query Tool'!C:C,0))</f>
        <v>1</v>
      </c>
      <c r="U2672" s="161" t="b">
        <f t="array" ref="U2672">index('Query Tool'!B:B,match(C2672,'Query Tool'!C:C,0))</f>
        <v>0</v>
      </c>
      <c r="V2672" s="161" t="b">
        <f>F2672&gt;='Query Tool'!C$32</f>
        <v>1</v>
      </c>
      <c r="W2672" s="161" t="b">
        <f t="array" ref="W2672">index(Dropdowns!B:B,match(I2672,Dropdowns!A:A,0))</f>
        <v>1</v>
      </c>
      <c r="X2672" s="161" t="b">
        <f t="array" ref="X2672">index('Query Tool'!B:B,match(D2672,'Query Tool'!C:C,0))</f>
        <v>1</v>
      </c>
      <c r="Y2672" s="161" t="str">
        <f t="shared" si="6"/>
        <v>canaais01,2018-19</v>
      </c>
      <c r="Z2672" s="168" t="str">
        <f t="array" ref="Z2672">iferror(index(I:I,match($A2672&amp;","&amp;index('Year Conversion'!$A:$A,match($C2672,'Year Conversion'!$B:$B,0)),$Y:$Y,0))-I2672,"")</f>
        <v/>
      </c>
      <c r="AA2672" s="168" t="str">
        <f t="array" ref="AA2672">iferror(index(J:J,match($A2672&amp;","&amp;index('Year Conversion'!$A:$A,match($C2672,'Year Conversion'!$B:$B,0)),$Y:$Y,0))-J2672,"")</f>
        <v/>
      </c>
      <c r="AB2672" s="168" t="str">
        <f t="array" ref="AB2672">iferror(index(K:K,match($A2672&amp;","&amp;index('Year Conversion'!$A:$A,match($C2672,'Year Conversion'!$B:$B,0)),$Y:$Y,0))-K2672,"")</f>
        <v/>
      </c>
      <c r="AC2672" s="168" t="str">
        <f t="shared" si="7"/>
        <v>TOT,2018-19</v>
      </c>
    </row>
    <row r="2673">
      <c r="A2673" s="161" t="str">
        <f>IFERROR(__xludf.DUMMYFUNCTION("""COMPUTED_VALUE"""),"olynyke01")</f>
        <v>olynyke01</v>
      </c>
      <c r="B2673" s="161" t="str">
        <f>IFERROR(__xludf.DUMMYFUNCTION("""COMPUTED_VALUE"""),"Kelly Olynyk")</f>
        <v>Kelly Olynyk</v>
      </c>
      <c r="C2673" s="162" t="str">
        <f>IFERROR(__xludf.DUMMYFUNCTION("""COMPUTED_VALUE"""),"2018-19")</f>
        <v>2018-19</v>
      </c>
      <c r="D2673" s="163" t="str">
        <f>IFERROR(__xludf.DUMMYFUNCTION("""COMPUTED_VALUE"""),"MIA")</f>
        <v>MIA</v>
      </c>
      <c r="E2673" s="164" t="str">
        <f>IFERROR(__xludf.DUMMYFUNCTION("""COMPUTED_VALUE"""),"Stretch Big")</f>
        <v>Stretch Big</v>
      </c>
      <c r="F2673" s="164">
        <f>IFERROR(__xludf.DUMMYFUNCTION("""COMPUTED_VALUE"""),1812.25333333333)</f>
        <v>1812.253333</v>
      </c>
      <c r="G2673" s="163">
        <f>IFERROR(__xludf.DUMMYFUNCTION("""COMPUTED_VALUE"""),79.0)</f>
        <v>79</v>
      </c>
      <c r="H2673" s="163" t="str">
        <f>IFERROR(__xludf.DUMMYFUNCTION("""COMPUTED_VALUE"""),"PF")</f>
        <v>PF</v>
      </c>
      <c r="I2673" s="163">
        <f>IFERROR(__xludf.DUMMYFUNCTION("""COMPUTED_VALUE"""),27.0)</f>
        <v>27</v>
      </c>
      <c r="J2673" s="165">
        <f>IFERROR(__xludf.DUMMYFUNCTION("""COMPUTED_VALUE"""),0.856603791638443)</f>
        <v>0.8566037916</v>
      </c>
      <c r="K2673" s="165">
        <f>IFERROR(__xludf.DUMMYFUNCTION("""COMPUTED_VALUE"""),-0.354766207225391)</f>
        <v>-0.3547662072</v>
      </c>
      <c r="L2673" s="165">
        <f>IFERROR(__xludf.DUMMYFUNCTION("""COMPUTED_VALUE"""),1.21136999886383)</f>
        <v>1.211369999</v>
      </c>
      <c r="M2673" s="166">
        <f t="shared" si="2"/>
        <v>3.839425876</v>
      </c>
      <c r="N2673" s="167">
        <f t="shared" si="3"/>
        <v>22.93991561</v>
      </c>
      <c r="O2673" s="163">
        <f t="shared" ref="O2673:Q2673" si="2677">rank(I2673,I:I)</f>
        <v>1366</v>
      </c>
      <c r="P2673" s="163">
        <f t="shared" si="2677"/>
        <v>711</v>
      </c>
      <c r="Q2673" s="163">
        <f t="shared" si="2677"/>
        <v>1865</v>
      </c>
      <c r="R2673" s="163">
        <f>IFERROR(__xludf.DUMMYFUNCTION("RANK(M2673,filter(M:M,C:C=C2673))"),85.0)</f>
        <v>85</v>
      </c>
      <c r="S2673" s="161" t="b">
        <f t="shared" si="5"/>
        <v>0</v>
      </c>
      <c r="T2673" s="161" t="b">
        <f t="array" ref="T2673">index('Query Tool'!B:B,match(H2673,'Query Tool'!C:C,0))</f>
        <v>1</v>
      </c>
      <c r="U2673" s="161" t="b">
        <f t="array" ref="U2673">index('Query Tool'!B:B,match(C2673,'Query Tool'!C:C,0))</f>
        <v>0</v>
      </c>
      <c r="V2673" s="161" t="b">
        <f>F2673&gt;='Query Tool'!C$32</f>
        <v>1</v>
      </c>
      <c r="W2673" s="161" t="b">
        <f t="array" ref="W2673">index(Dropdowns!B:B,match(I2673,Dropdowns!A:A,0))</f>
        <v>1</v>
      </c>
      <c r="X2673" s="161" t="b">
        <f t="array" ref="X2673">index('Query Tool'!B:B,match(D2673,'Query Tool'!C:C,0))</f>
        <v>1</v>
      </c>
      <c r="Y2673" s="161" t="str">
        <f t="shared" si="6"/>
        <v>olynyke01,2018-19</v>
      </c>
      <c r="Z2673" s="168">
        <f t="array" ref="Z2673">iferror(index(I:I,match($A2673&amp;","&amp;index('Year Conversion'!$A:$A,match($C2673,'Year Conversion'!$B:$B,0)),$Y:$Y,0))-I2673,"")</f>
        <v>1</v>
      </c>
      <c r="AA2673" s="168">
        <f t="array" ref="AA2673">iferror(index(J:J,match($A2673&amp;","&amp;index('Year Conversion'!$A:$A,match($C2673,'Year Conversion'!$B:$B,0)),$Y:$Y,0))-J2673,"")</f>
        <v>-0.8857856751</v>
      </c>
      <c r="AB2673" s="168">
        <f t="array" ref="AB2673">iferror(index(K:K,match($A2673&amp;","&amp;index('Year Conversion'!$A:$A,match($C2673,'Year Conversion'!$B:$B,0)),$Y:$Y,0))-K2673,"")</f>
        <v>-0.1370346064</v>
      </c>
      <c r="AC2673" s="168" t="str">
        <f t="shared" si="7"/>
        <v>MIA,2018-19</v>
      </c>
    </row>
    <row r="2674">
      <c r="A2674" s="161" t="str">
        <f>IFERROR(__xludf.DUMMYFUNCTION("""COMPUTED_VALUE"""),"caldwke01")</f>
        <v>caldwke01</v>
      </c>
      <c r="B2674" s="161" t="str">
        <f>IFERROR(__xludf.DUMMYFUNCTION("""COMPUTED_VALUE"""),"Kentavious Caldwell-Pope")</f>
        <v>Kentavious Caldwell-Pope</v>
      </c>
      <c r="C2674" s="162" t="str">
        <f>IFERROR(__xludf.DUMMYFUNCTION("""COMPUTED_VALUE"""),"2018-19")</f>
        <v>2018-19</v>
      </c>
      <c r="D2674" s="163" t="str">
        <f>IFERROR(__xludf.DUMMYFUNCTION("""COMPUTED_VALUE"""),"LAL")</f>
        <v>LAL</v>
      </c>
      <c r="E2674" s="164" t="str">
        <f>IFERROR(__xludf.DUMMYFUNCTION("""COMPUTED_VALUE"""),"Off Screen Shooter")</f>
        <v>Off Screen Shooter</v>
      </c>
      <c r="F2674" s="164">
        <f>IFERROR(__xludf.DUMMYFUNCTION("""COMPUTED_VALUE"""),2035.135)</f>
        <v>2035.135</v>
      </c>
      <c r="G2674" s="163">
        <f>IFERROR(__xludf.DUMMYFUNCTION("""COMPUTED_VALUE"""),82.0)</f>
        <v>82</v>
      </c>
      <c r="H2674" s="163" t="str">
        <f>IFERROR(__xludf.DUMMYFUNCTION("""COMPUTED_VALUE"""),"SG")</f>
        <v>SG</v>
      </c>
      <c r="I2674" s="163">
        <f>IFERROR(__xludf.DUMMYFUNCTION("""COMPUTED_VALUE"""),25.0)</f>
        <v>25</v>
      </c>
      <c r="J2674" s="165">
        <f>IFERROR(__xludf.DUMMYFUNCTION("""COMPUTED_VALUE"""),-1.49570257862685)</f>
        <v>-1.495702579</v>
      </c>
      <c r="K2674" s="165">
        <f>IFERROR(__xludf.DUMMYFUNCTION("""COMPUTED_VALUE"""),0.270171315667755)</f>
        <v>0.2701713157</v>
      </c>
      <c r="L2674" s="165">
        <f>IFERROR(__xludf.DUMMYFUNCTION("""COMPUTED_VALUE"""),-1.7658738942946)</f>
        <v>-1.765873894</v>
      </c>
      <c r="M2674" s="166">
        <f t="shared" si="2"/>
        <v>1.091649346</v>
      </c>
      <c r="N2674" s="167">
        <f t="shared" si="3"/>
        <v>24.81871951</v>
      </c>
      <c r="O2674" s="163">
        <f t="shared" ref="O2674:Q2674" si="2678">rank(I2674,I:I)</f>
        <v>1995</v>
      </c>
      <c r="P2674" s="163">
        <f t="shared" si="2678"/>
        <v>3050</v>
      </c>
      <c r="Q2674" s="163">
        <f t="shared" si="2678"/>
        <v>936</v>
      </c>
      <c r="R2674" s="163">
        <f>IFERROR(__xludf.DUMMYFUNCTION("RANK(M2674,filter(M:M,C:C=C2674))"),218.0)</f>
        <v>218</v>
      </c>
      <c r="S2674" s="161" t="b">
        <f t="shared" si="5"/>
        <v>0</v>
      </c>
      <c r="T2674" s="161" t="b">
        <f t="array" ref="T2674">index('Query Tool'!B:B,match(H2674,'Query Tool'!C:C,0))</f>
        <v>1</v>
      </c>
      <c r="U2674" s="161" t="b">
        <f t="array" ref="U2674">index('Query Tool'!B:B,match(C2674,'Query Tool'!C:C,0))</f>
        <v>0</v>
      </c>
      <c r="V2674" s="161" t="b">
        <f>F2674&gt;='Query Tool'!C$32</f>
        <v>1</v>
      </c>
      <c r="W2674" s="161" t="b">
        <f t="array" ref="W2674">index(Dropdowns!B:B,match(I2674,Dropdowns!A:A,0))</f>
        <v>1</v>
      </c>
      <c r="X2674" s="161" t="b">
        <f t="array" ref="X2674">index('Query Tool'!B:B,match(D2674,'Query Tool'!C:C,0))</f>
        <v>1</v>
      </c>
      <c r="Y2674" s="161" t="str">
        <f t="shared" si="6"/>
        <v>caldwke01,2018-19</v>
      </c>
      <c r="Z2674" s="168">
        <f t="array" ref="Z2674">iferror(index(I:I,match($A2674&amp;","&amp;index('Year Conversion'!$A:$A,match($C2674,'Year Conversion'!$B:$B,0)),$Y:$Y,0))-I2674,"")</f>
        <v>1</v>
      </c>
      <c r="AA2674" s="168">
        <f t="array" ref="AA2674">iferror(index(J:J,match($A2674&amp;","&amp;index('Year Conversion'!$A:$A,match($C2674,'Year Conversion'!$B:$B,0)),$Y:$Y,0))-J2674,"")</f>
        <v>0.8136170154</v>
      </c>
      <c r="AB2674" s="168">
        <f t="array" ref="AB2674">iferror(index(K:K,match($A2674&amp;","&amp;index('Year Conversion'!$A:$A,match($C2674,'Year Conversion'!$B:$B,0)),$Y:$Y,0))-K2674,"")</f>
        <v>-0.5832812159</v>
      </c>
      <c r="AC2674" s="168" t="str">
        <f t="shared" si="7"/>
        <v>LAL,2018-19</v>
      </c>
    </row>
    <row r="2675">
      <c r="A2675" s="161" t="str">
        <f>IFERROR(__xludf.DUMMYFUNCTION("""COMPUTED_VALUE"""),"brownlo01")</f>
        <v>brownlo01</v>
      </c>
      <c r="B2675" s="161" t="str">
        <f>IFERROR(__xludf.DUMMYFUNCTION("""COMPUTED_VALUE"""),"Lorenzo Brown")</f>
        <v>Lorenzo Brown</v>
      </c>
      <c r="C2675" s="162" t="str">
        <f>IFERROR(__xludf.DUMMYFUNCTION("""COMPUTED_VALUE"""),"2018-19")</f>
        <v>2018-19</v>
      </c>
      <c r="D2675" s="163" t="str">
        <f>IFERROR(__xludf.DUMMYFUNCTION("""COMPUTED_VALUE"""),"TOR")</f>
        <v>TOR</v>
      </c>
      <c r="E2675" s="164" t="str">
        <f>IFERROR(__xludf.DUMMYFUNCTION("""COMPUTED_VALUE"""),"Secondary Ball Handler")</f>
        <v>Secondary Ball Handler</v>
      </c>
      <c r="F2675" s="164">
        <f>IFERROR(__xludf.DUMMYFUNCTION("""COMPUTED_VALUE"""),212.191666666667)</f>
        <v>212.1916667</v>
      </c>
      <c r="G2675" s="163">
        <f>IFERROR(__xludf.DUMMYFUNCTION("""COMPUTED_VALUE"""),26.0)</f>
        <v>26</v>
      </c>
      <c r="H2675" s="163" t="str">
        <f>IFERROR(__xludf.DUMMYFUNCTION("""COMPUTED_VALUE"""),"PG")</f>
        <v>PG</v>
      </c>
      <c r="I2675" s="163">
        <f>IFERROR(__xludf.DUMMYFUNCTION("""COMPUTED_VALUE"""),28.0)</f>
        <v>28</v>
      </c>
      <c r="J2675" s="165">
        <f>IFERROR(__xludf.DUMMYFUNCTION("""COMPUTED_VALUE"""),-1.60259989963683)</f>
        <v>-1.6025999</v>
      </c>
      <c r="K2675" s="165">
        <f>IFERROR(__xludf.DUMMYFUNCTION("""COMPUTED_VALUE"""),-1.52865175391494)</f>
        <v>-1.528651754</v>
      </c>
      <c r="L2675" s="165">
        <f>IFERROR(__xludf.DUMMYFUNCTION("""COMPUTED_VALUE"""),-0.0739481457218897)</f>
        <v>-0.07394814572</v>
      </c>
      <c r="M2675" s="166">
        <f t="shared" si="2"/>
        <v>0.09867945128</v>
      </c>
      <c r="N2675" s="167">
        <f t="shared" si="3"/>
        <v>8.161217949</v>
      </c>
      <c r="O2675" s="163">
        <f t="shared" ref="O2675:Q2675" si="2679">rank(I2675,I:I)</f>
        <v>1090</v>
      </c>
      <c r="P2675" s="163">
        <f t="shared" si="2679"/>
        <v>3148</v>
      </c>
      <c r="Q2675" s="163">
        <f t="shared" si="2679"/>
        <v>3387</v>
      </c>
      <c r="R2675" s="163">
        <f>IFERROR(__xludf.DUMMYFUNCTION("RANK(M2675,filter(M:M,C:C=C2675))"),394.0)</f>
        <v>394</v>
      </c>
      <c r="S2675" s="161" t="b">
        <f t="shared" si="5"/>
        <v>0</v>
      </c>
      <c r="T2675" s="161" t="b">
        <f t="array" ref="T2675">index('Query Tool'!B:B,match(H2675,'Query Tool'!C:C,0))</f>
        <v>1</v>
      </c>
      <c r="U2675" s="161" t="b">
        <f t="array" ref="U2675">index('Query Tool'!B:B,match(C2675,'Query Tool'!C:C,0))</f>
        <v>0</v>
      </c>
      <c r="V2675" s="161" t="b">
        <f>F2675&gt;='Query Tool'!C$32</f>
        <v>0</v>
      </c>
      <c r="W2675" s="161" t="b">
        <f t="array" ref="W2675">index(Dropdowns!B:B,match(I2675,Dropdowns!A:A,0))</f>
        <v>1</v>
      </c>
      <c r="X2675" s="161" t="b">
        <f t="array" ref="X2675">index('Query Tool'!B:B,match(D2675,'Query Tool'!C:C,0))</f>
        <v>1</v>
      </c>
      <c r="Y2675" s="161" t="str">
        <f t="shared" si="6"/>
        <v>brownlo01,2018-19</v>
      </c>
      <c r="Z2675" s="168" t="str">
        <f t="array" ref="Z2675">iferror(index(I:I,match($A2675&amp;","&amp;index('Year Conversion'!$A:$A,match($C2675,'Year Conversion'!$B:$B,0)),$Y:$Y,0))-I2675,"")</f>
        <v/>
      </c>
      <c r="AA2675" s="168" t="str">
        <f t="array" ref="AA2675">iferror(index(J:J,match($A2675&amp;","&amp;index('Year Conversion'!$A:$A,match($C2675,'Year Conversion'!$B:$B,0)),$Y:$Y,0))-J2675,"")</f>
        <v/>
      </c>
      <c r="AB2675" s="168" t="str">
        <f t="array" ref="AB2675">iferror(index(K:K,match($A2675&amp;","&amp;index('Year Conversion'!$A:$A,match($C2675,'Year Conversion'!$B:$B,0)),$Y:$Y,0))-K2675,"")</f>
        <v/>
      </c>
      <c r="AC2675" s="168" t="str">
        <f t="shared" si="7"/>
        <v>TOR,2018-19</v>
      </c>
    </row>
    <row r="2676">
      <c r="A2676" s="161" t="str">
        <f>IFERROR(__xludf.DUMMYFUNCTION("""COMPUTED_VALUE"""),"plumlma01")</f>
        <v>plumlma01</v>
      </c>
      <c r="B2676" s="161" t="str">
        <f>IFERROR(__xludf.DUMMYFUNCTION("""COMPUTED_VALUE"""),"Mason Plumlee")</f>
        <v>Mason Plumlee</v>
      </c>
      <c r="C2676" s="162" t="str">
        <f>IFERROR(__xludf.DUMMYFUNCTION("""COMPUTED_VALUE"""),"2018-19")</f>
        <v>2018-19</v>
      </c>
      <c r="D2676" s="163" t="str">
        <f>IFERROR(__xludf.DUMMYFUNCTION("""COMPUTED_VALUE"""),"DEN")</f>
        <v>DEN</v>
      </c>
      <c r="E2676" s="164" t="str">
        <f>IFERROR(__xludf.DUMMYFUNCTION("""COMPUTED_VALUE"""),"Post Scorer")</f>
        <v>Post Scorer</v>
      </c>
      <c r="F2676" s="164">
        <f>IFERROR(__xludf.DUMMYFUNCTION("""COMPUTED_VALUE"""),1730.92)</f>
        <v>1730.92</v>
      </c>
      <c r="G2676" s="163">
        <f>IFERROR(__xludf.DUMMYFUNCTION("""COMPUTED_VALUE"""),82.0)</f>
        <v>82</v>
      </c>
      <c r="H2676" s="163" t="str">
        <f>IFERROR(__xludf.DUMMYFUNCTION("""COMPUTED_VALUE"""),"C")</f>
        <v>C</v>
      </c>
      <c r="I2676" s="163">
        <f>IFERROR(__xludf.DUMMYFUNCTION("""COMPUTED_VALUE"""),28.0)</f>
        <v>28</v>
      </c>
      <c r="J2676" s="165">
        <f>IFERROR(__xludf.DUMMYFUNCTION("""COMPUTED_VALUE"""),0.964994376711273)</f>
        <v>0.9649943767</v>
      </c>
      <c r="K2676" s="165">
        <f>IFERROR(__xludf.DUMMYFUNCTION("""COMPUTED_VALUE"""),-0.658169626324539)</f>
        <v>-0.6581696263</v>
      </c>
      <c r="L2676" s="165">
        <f>IFERROR(__xludf.DUMMYFUNCTION("""COMPUTED_VALUE"""),1.62316400303581)</f>
        <v>1.623164003</v>
      </c>
      <c r="M2676" s="166">
        <f t="shared" si="2"/>
        <v>3.793165318</v>
      </c>
      <c r="N2676" s="167">
        <f t="shared" si="3"/>
        <v>21.10878049</v>
      </c>
      <c r="O2676" s="163">
        <f t="shared" ref="O2676:Q2676" si="2680">rank(I2676,I:I)</f>
        <v>1090</v>
      </c>
      <c r="P2676" s="163">
        <f t="shared" si="2680"/>
        <v>671</v>
      </c>
      <c r="Q2676" s="163">
        <f t="shared" si="2680"/>
        <v>2343</v>
      </c>
      <c r="R2676" s="163">
        <f>IFERROR(__xludf.DUMMYFUNCTION("RANK(M2676,filter(M:M,C:C=C2676))"),86.0)</f>
        <v>86</v>
      </c>
      <c r="S2676" s="161" t="b">
        <f t="shared" si="5"/>
        <v>0</v>
      </c>
      <c r="T2676" s="161" t="b">
        <f t="array" ref="T2676">index('Query Tool'!B:B,match(H2676,'Query Tool'!C:C,0))</f>
        <v>1</v>
      </c>
      <c r="U2676" s="161" t="b">
        <f t="array" ref="U2676">index('Query Tool'!B:B,match(C2676,'Query Tool'!C:C,0))</f>
        <v>0</v>
      </c>
      <c r="V2676" s="161" t="b">
        <f>F2676&gt;='Query Tool'!C$32</f>
        <v>1</v>
      </c>
      <c r="W2676" s="161" t="b">
        <f t="array" ref="W2676">index(Dropdowns!B:B,match(I2676,Dropdowns!A:A,0))</f>
        <v>1</v>
      </c>
      <c r="X2676" s="161" t="b">
        <f t="array" ref="X2676">index('Query Tool'!B:B,match(D2676,'Query Tool'!C:C,0))</f>
        <v>1</v>
      </c>
      <c r="Y2676" s="161" t="str">
        <f t="shared" si="6"/>
        <v>plumlma01,2018-19</v>
      </c>
      <c r="Z2676" s="168">
        <f t="array" ref="Z2676">iferror(index(I:I,match($A2676&amp;","&amp;index('Year Conversion'!$A:$A,match($C2676,'Year Conversion'!$B:$B,0)),$Y:$Y,0))-I2676,"")</f>
        <v>1</v>
      </c>
      <c r="AA2676" s="168">
        <f t="array" ref="AA2676">iferror(index(J:J,match($A2676&amp;","&amp;index('Year Conversion'!$A:$A,match($C2676,'Year Conversion'!$B:$B,0)),$Y:$Y,0))-J2676,"")</f>
        <v>0.1364111136</v>
      </c>
      <c r="AB2676" s="168">
        <f t="array" ref="AB2676">iferror(index(K:K,match($A2676&amp;","&amp;index('Year Conversion'!$A:$A,match($C2676,'Year Conversion'!$B:$B,0)),$Y:$Y,0))-K2676,"")</f>
        <v>0.8783853088</v>
      </c>
      <c r="AC2676" s="168" t="str">
        <f t="shared" si="7"/>
        <v>DEN,2018-19</v>
      </c>
    </row>
    <row r="2677">
      <c r="A2677" s="161" t="str">
        <f>IFERROR(__xludf.DUMMYFUNCTION("""COMPUTED_VALUE"""),"cartemi01")</f>
        <v>cartemi01</v>
      </c>
      <c r="B2677" s="161" t="str">
        <f>IFERROR(__xludf.DUMMYFUNCTION("""COMPUTED_VALUE"""),"Michael Carter-Williams")</f>
        <v>Michael Carter-Williams</v>
      </c>
      <c r="C2677" s="162" t="str">
        <f>IFERROR(__xludf.DUMMYFUNCTION("""COMPUTED_VALUE"""),"2018-19")</f>
        <v>2018-19</v>
      </c>
      <c r="D2677" s="163" t="str">
        <f>IFERROR(__xludf.DUMMYFUNCTION("""COMPUTED_VALUE"""),"TOT")</f>
        <v>TOT</v>
      </c>
      <c r="E2677" s="164" t="str">
        <f>IFERROR(__xludf.DUMMYFUNCTION("""COMPUTED_VALUE"""),"Secondary Ball Handler")</f>
        <v>Secondary Ball Handler</v>
      </c>
      <c r="F2677" s="164">
        <f>IFERROR(__xludf.DUMMYFUNCTION("""COMPUTED_VALUE"""),371.816666666667)</f>
        <v>371.8166667</v>
      </c>
      <c r="G2677" s="163">
        <f>IFERROR(__xludf.DUMMYFUNCTION("""COMPUTED_VALUE"""),28.0)</f>
        <v>28</v>
      </c>
      <c r="H2677" s="163" t="str">
        <f>IFERROR(__xludf.DUMMYFUNCTION("""COMPUTED_VALUE"""),"PG")</f>
        <v>PG</v>
      </c>
      <c r="I2677" s="163">
        <f>IFERROR(__xludf.DUMMYFUNCTION("""COMPUTED_VALUE"""),27.0)</f>
        <v>27</v>
      </c>
      <c r="J2677" s="165">
        <f>IFERROR(__xludf.DUMMYFUNCTION("""COMPUTED_VALUE"""),0.36578389810645)</f>
        <v>0.3657838981</v>
      </c>
      <c r="K2677" s="165">
        <f>IFERROR(__xludf.DUMMYFUNCTION("""COMPUTED_VALUE"""),0.4585249519378)</f>
        <v>0.4585249519</v>
      </c>
      <c r="L2677" s="165">
        <f>IFERROR(__xludf.DUMMYFUNCTION("""COMPUTED_VALUE"""),-0.0927410538313498)</f>
        <v>-0.09274105383</v>
      </c>
      <c r="M2677" s="166">
        <f t="shared" si="2"/>
        <v>0.6648932042</v>
      </c>
      <c r="N2677" s="167">
        <f t="shared" si="3"/>
        <v>13.27916667</v>
      </c>
      <c r="O2677" s="163">
        <f t="shared" ref="O2677:Q2677" si="2681">rank(I2677,I:I)</f>
        <v>1366</v>
      </c>
      <c r="P2677" s="163">
        <f t="shared" si="2681"/>
        <v>973</v>
      </c>
      <c r="Q2677" s="163">
        <f t="shared" si="2681"/>
        <v>795</v>
      </c>
      <c r="R2677" s="163">
        <f>IFERROR(__xludf.DUMMYFUNCTION("RANK(M2677,filter(M:M,C:C=C2677))"),263.0)</f>
        <v>263</v>
      </c>
      <c r="S2677" s="161" t="b">
        <f t="shared" si="5"/>
        <v>0</v>
      </c>
      <c r="T2677" s="161" t="b">
        <f t="array" ref="T2677">index('Query Tool'!B:B,match(H2677,'Query Tool'!C:C,0))</f>
        <v>1</v>
      </c>
      <c r="U2677" s="161" t="b">
        <f t="array" ref="U2677">index('Query Tool'!B:B,match(C2677,'Query Tool'!C:C,0))</f>
        <v>0</v>
      </c>
      <c r="V2677" s="161" t="b">
        <f>F2677&gt;='Query Tool'!C$32</f>
        <v>0</v>
      </c>
      <c r="W2677" s="161" t="b">
        <f t="array" ref="W2677">index(Dropdowns!B:B,match(I2677,Dropdowns!A:A,0))</f>
        <v>1</v>
      </c>
      <c r="X2677" s="161" t="b">
        <f t="array" ref="X2677">index('Query Tool'!B:B,match(D2677,'Query Tool'!C:C,0))</f>
        <v>1</v>
      </c>
      <c r="Y2677" s="161" t="str">
        <f t="shared" si="6"/>
        <v>cartemi01,2018-19</v>
      </c>
      <c r="Z2677" s="168">
        <f t="array" ref="Z2677">iferror(index(I:I,match($A2677&amp;","&amp;index('Year Conversion'!$A:$A,match($C2677,'Year Conversion'!$B:$B,0)),$Y:$Y,0))-I2677,"")</f>
        <v>1</v>
      </c>
      <c r="AA2677" s="168">
        <f t="array" ref="AA2677">iferror(index(J:J,match($A2677&amp;","&amp;index('Year Conversion'!$A:$A,match($C2677,'Year Conversion'!$B:$B,0)),$Y:$Y,0))-J2677,"")</f>
        <v>-0.3307613031</v>
      </c>
      <c r="AB2677" s="168">
        <f t="array" ref="AB2677">iferror(index(K:K,match($A2677&amp;","&amp;index('Year Conversion'!$A:$A,match($C2677,'Year Conversion'!$B:$B,0)),$Y:$Y,0))-K2677,"")</f>
        <v>-0.5963853619</v>
      </c>
      <c r="AC2677" s="168" t="str">
        <f t="shared" si="7"/>
        <v>TOT,2018-19</v>
      </c>
    </row>
    <row r="2678">
      <c r="A2678" s="161" t="str">
        <f>IFERROR(__xludf.DUMMYFUNCTION("""COMPUTED_VALUE"""),"muscami01")</f>
        <v>muscami01</v>
      </c>
      <c r="B2678" s="161" t="str">
        <f>IFERROR(__xludf.DUMMYFUNCTION("""COMPUTED_VALUE"""),"Mike Muscala")</f>
        <v>Mike Muscala</v>
      </c>
      <c r="C2678" s="162" t="str">
        <f>IFERROR(__xludf.DUMMYFUNCTION("""COMPUTED_VALUE"""),"2018-19")</f>
        <v>2018-19</v>
      </c>
      <c r="D2678" s="163" t="str">
        <f>IFERROR(__xludf.DUMMYFUNCTION("""COMPUTED_VALUE"""),"TOT")</f>
        <v>TOT</v>
      </c>
      <c r="E2678" s="164" t="str">
        <f>IFERROR(__xludf.DUMMYFUNCTION("""COMPUTED_VALUE"""),"Stationary Shooter")</f>
        <v>Stationary Shooter</v>
      </c>
      <c r="F2678" s="164">
        <f>IFERROR(__xludf.DUMMYFUNCTION("""COMPUTED_VALUE"""),1305.88166666667)</f>
        <v>1305.881667</v>
      </c>
      <c r="G2678" s="163">
        <f>IFERROR(__xludf.DUMMYFUNCTION("""COMPUTED_VALUE"""),64.0)</f>
        <v>64</v>
      </c>
      <c r="H2678" s="163" t="str">
        <f>IFERROR(__xludf.DUMMYFUNCTION("""COMPUTED_VALUE"""),"PF")</f>
        <v>PF</v>
      </c>
      <c r="I2678" s="163">
        <f>IFERROR(__xludf.DUMMYFUNCTION("""COMPUTED_VALUE"""),27.0)</f>
        <v>27</v>
      </c>
      <c r="J2678" s="165">
        <f>IFERROR(__xludf.DUMMYFUNCTION("""COMPUTED_VALUE"""),-1.09741288355418)</f>
        <v>-1.097412884</v>
      </c>
      <c r="K2678" s="165">
        <f>IFERROR(__xludf.DUMMYFUNCTION("""COMPUTED_VALUE"""),-1.19014642109309)</f>
        <v>-1.190146421</v>
      </c>
      <c r="L2678" s="165">
        <f>IFERROR(__xludf.DUMMYFUNCTION("""COMPUTED_VALUE"""),0.0927335375389071)</f>
        <v>0.09273353754</v>
      </c>
      <c r="M2678" s="166">
        <f t="shared" si="2"/>
        <v>1.048671823</v>
      </c>
      <c r="N2678" s="167">
        <f t="shared" si="3"/>
        <v>20.40440104</v>
      </c>
      <c r="O2678" s="163">
        <f t="shared" ref="O2678:Q2678" si="2682">rank(I2678,I:I)</f>
        <v>1366</v>
      </c>
      <c r="P2678" s="163">
        <f t="shared" si="2682"/>
        <v>2609</v>
      </c>
      <c r="Q2678" s="163">
        <f t="shared" si="2682"/>
        <v>3027</v>
      </c>
      <c r="R2678" s="163">
        <f>IFERROR(__xludf.DUMMYFUNCTION("RANK(M2678,filter(M:M,C:C=C2678))"),219.0)</f>
        <v>219</v>
      </c>
      <c r="S2678" s="161" t="b">
        <f t="shared" si="5"/>
        <v>0</v>
      </c>
      <c r="T2678" s="161" t="b">
        <f t="array" ref="T2678">index('Query Tool'!B:B,match(H2678,'Query Tool'!C:C,0))</f>
        <v>1</v>
      </c>
      <c r="U2678" s="161" t="b">
        <f t="array" ref="U2678">index('Query Tool'!B:B,match(C2678,'Query Tool'!C:C,0))</f>
        <v>0</v>
      </c>
      <c r="V2678" s="161" t="b">
        <f>F2678&gt;='Query Tool'!C$32</f>
        <v>1</v>
      </c>
      <c r="W2678" s="161" t="b">
        <f t="array" ref="W2678">index(Dropdowns!B:B,match(I2678,Dropdowns!A:A,0))</f>
        <v>1</v>
      </c>
      <c r="X2678" s="161" t="b">
        <f t="array" ref="X2678">index('Query Tool'!B:B,match(D2678,'Query Tool'!C:C,0))</f>
        <v>1</v>
      </c>
      <c r="Y2678" s="161" t="str">
        <f t="shared" si="6"/>
        <v>muscami01,2018-19</v>
      </c>
      <c r="Z2678" s="168">
        <f t="array" ref="Z2678">iferror(index(I:I,match($A2678&amp;","&amp;index('Year Conversion'!$A:$A,match($C2678,'Year Conversion'!$B:$B,0)),$Y:$Y,0))-I2678,"")</f>
        <v>1</v>
      </c>
      <c r="AA2678" s="168">
        <f t="array" ref="AA2678">iferror(index(J:J,match($A2678&amp;","&amp;index('Year Conversion'!$A:$A,match($C2678,'Year Conversion'!$B:$B,0)),$Y:$Y,0))-J2678,"")</f>
        <v>0.8496762548</v>
      </c>
      <c r="AB2678" s="168">
        <f t="array" ref="AB2678">iferror(index(K:K,match($A2678&amp;","&amp;index('Year Conversion'!$A:$A,match($C2678,'Year Conversion'!$B:$B,0)),$Y:$Y,0))-K2678,"")</f>
        <v>0.4765261264</v>
      </c>
      <c r="AC2678" s="168" t="str">
        <f t="shared" si="7"/>
        <v>TOT,2018-19</v>
      </c>
    </row>
    <row r="2679">
      <c r="A2679" s="161" t="str">
        <f>IFERROR(__xludf.DUMMYFUNCTION("""COMPUTED_VALUE"""),"porteot01")</f>
        <v>porteot01</v>
      </c>
      <c r="B2679" s="161" t="str">
        <f>IFERROR(__xludf.DUMMYFUNCTION("""COMPUTED_VALUE"""),"Otto Porter Jr.")</f>
        <v>Otto Porter Jr.</v>
      </c>
      <c r="C2679" s="162" t="str">
        <f>IFERROR(__xludf.DUMMYFUNCTION("""COMPUTED_VALUE"""),"2018-19")</f>
        <v>2018-19</v>
      </c>
      <c r="D2679" s="163" t="str">
        <f>IFERROR(__xludf.DUMMYFUNCTION("""COMPUTED_VALUE"""),"TOT")</f>
        <v>TOT</v>
      </c>
      <c r="E2679" s="164" t="str">
        <f>IFERROR(__xludf.DUMMYFUNCTION("""COMPUTED_VALUE"""),"Movement Shooter")</f>
        <v>Movement Shooter</v>
      </c>
      <c r="F2679" s="164">
        <f>IFERROR(__xludf.DUMMYFUNCTION("""COMPUTED_VALUE"""),1683.75166666667)</f>
        <v>1683.751667</v>
      </c>
      <c r="G2679" s="163">
        <f>IFERROR(__xludf.DUMMYFUNCTION("""COMPUTED_VALUE"""),56.0)</f>
        <v>56</v>
      </c>
      <c r="H2679" s="163" t="str">
        <f>IFERROR(__xludf.DUMMYFUNCTION("""COMPUTED_VALUE"""),"SF")</f>
        <v>SF</v>
      </c>
      <c r="I2679" s="163">
        <f>IFERROR(__xludf.DUMMYFUNCTION("""COMPUTED_VALUE"""),25.0)</f>
        <v>25</v>
      </c>
      <c r="J2679" s="165">
        <f>IFERROR(__xludf.DUMMYFUNCTION("""COMPUTED_VALUE"""),1.90576963075666)</f>
        <v>1.905769631</v>
      </c>
      <c r="K2679" s="165">
        <f>IFERROR(__xludf.DUMMYFUNCTION("""COMPUTED_VALUE"""),0.76586178452795)</f>
        <v>0.7658617845</v>
      </c>
      <c r="L2679" s="165">
        <f>IFERROR(__xludf.DUMMYFUNCTION("""COMPUTED_VALUE"""),1.13990784622871)</f>
        <v>1.139907846</v>
      </c>
      <c r="M2679" s="166">
        <f t="shared" si="2"/>
        <v>4.748303326</v>
      </c>
      <c r="N2679" s="167">
        <f t="shared" si="3"/>
        <v>30.06699405</v>
      </c>
      <c r="O2679" s="163">
        <f t="shared" ref="O2679:Q2679" si="2683">rank(I2679,I:I)</f>
        <v>1995</v>
      </c>
      <c r="P2679" s="163">
        <f t="shared" si="2683"/>
        <v>343</v>
      </c>
      <c r="Q2679" s="163">
        <f t="shared" si="2683"/>
        <v>613</v>
      </c>
      <c r="R2679" s="163">
        <f>IFERROR(__xludf.DUMMYFUNCTION("RANK(M2679,filter(M:M,C:C=C2679))"),62.0)</f>
        <v>62</v>
      </c>
      <c r="S2679" s="161" t="b">
        <f t="shared" si="5"/>
        <v>0</v>
      </c>
      <c r="T2679" s="161" t="b">
        <f t="array" ref="T2679">index('Query Tool'!B:B,match(H2679,'Query Tool'!C:C,0))</f>
        <v>1</v>
      </c>
      <c r="U2679" s="161" t="b">
        <f t="array" ref="U2679">index('Query Tool'!B:B,match(C2679,'Query Tool'!C:C,0))</f>
        <v>0</v>
      </c>
      <c r="V2679" s="161" t="b">
        <f>F2679&gt;='Query Tool'!C$32</f>
        <v>1</v>
      </c>
      <c r="W2679" s="161" t="b">
        <f t="array" ref="W2679">index(Dropdowns!B:B,match(I2679,Dropdowns!A:A,0))</f>
        <v>1</v>
      </c>
      <c r="X2679" s="161" t="b">
        <f t="array" ref="X2679">index('Query Tool'!B:B,match(D2679,'Query Tool'!C:C,0))</f>
        <v>1</v>
      </c>
      <c r="Y2679" s="161" t="str">
        <f t="shared" si="6"/>
        <v>porteot01,2018-19</v>
      </c>
      <c r="Z2679" s="168">
        <f t="array" ref="Z2679">iferror(index(I:I,match($A2679&amp;","&amp;index('Year Conversion'!$A:$A,match($C2679,'Year Conversion'!$B:$B,0)),$Y:$Y,0))-I2679,"")</f>
        <v>1</v>
      </c>
      <c r="AA2679" s="168">
        <f t="array" ref="AA2679">iferror(index(J:J,match($A2679&amp;","&amp;index('Year Conversion'!$A:$A,match($C2679,'Year Conversion'!$B:$B,0)),$Y:$Y,0))-J2679,"")</f>
        <v>-1.444360866</v>
      </c>
      <c r="AB2679" s="168">
        <f t="array" ref="AB2679">iferror(index(K:K,match($A2679&amp;","&amp;index('Year Conversion'!$A:$A,match($C2679,'Year Conversion'!$B:$B,0)),$Y:$Y,0))-K2679,"")</f>
        <v>-0.009103495586</v>
      </c>
      <c r="AC2679" s="168" t="str">
        <f t="shared" si="7"/>
        <v>TOT,2018-19</v>
      </c>
    </row>
    <row r="2680">
      <c r="A2680" s="161" t="str">
        <f>IFERROR(__xludf.DUMMYFUNCTION("""COMPUTED_VALUE"""),"bullore01")</f>
        <v>bullore01</v>
      </c>
      <c r="B2680" s="161" t="str">
        <f>IFERROR(__xludf.DUMMYFUNCTION("""COMPUTED_VALUE"""),"Reggie Bullock")</f>
        <v>Reggie Bullock</v>
      </c>
      <c r="C2680" s="162" t="str">
        <f>IFERROR(__xludf.DUMMYFUNCTION("""COMPUTED_VALUE"""),"2018-19")</f>
        <v>2018-19</v>
      </c>
      <c r="D2680" s="163" t="str">
        <f>IFERROR(__xludf.DUMMYFUNCTION("""COMPUTED_VALUE"""),"TOT")</f>
        <v>TOT</v>
      </c>
      <c r="E2680" s="164" t="str">
        <f>IFERROR(__xludf.DUMMYFUNCTION("""COMPUTED_VALUE"""),"Movement Shooter")</f>
        <v>Movement Shooter</v>
      </c>
      <c r="F2680" s="164">
        <f>IFERROR(__xludf.DUMMYFUNCTION("""COMPUTED_VALUE"""),1878.89)</f>
        <v>1878.89</v>
      </c>
      <c r="G2680" s="163">
        <f>IFERROR(__xludf.DUMMYFUNCTION("""COMPUTED_VALUE"""),63.0)</f>
        <v>63</v>
      </c>
      <c r="H2680" s="163" t="str">
        <f>IFERROR(__xludf.DUMMYFUNCTION("""COMPUTED_VALUE"""),"SG")</f>
        <v>SG</v>
      </c>
      <c r="I2680" s="163">
        <f>IFERROR(__xludf.DUMMYFUNCTION("""COMPUTED_VALUE"""),27.0)</f>
        <v>27</v>
      </c>
      <c r="J2680" s="165">
        <f>IFERROR(__xludf.DUMMYFUNCTION("""COMPUTED_VALUE"""),-1.87688613360967)</f>
        <v>-1.876886134</v>
      </c>
      <c r="K2680" s="165">
        <f>IFERROR(__xludf.DUMMYFUNCTION("""COMPUTED_VALUE"""),-0.759611276583329)</f>
        <v>-0.7596112766</v>
      </c>
      <c r="L2680" s="165">
        <f>IFERROR(__xludf.DUMMYFUNCTION("""COMPUTED_VALUE"""),-1.11727485702635)</f>
        <v>-1.117274857</v>
      </c>
      <c r="M2680" s="166">
        <f t="shared" si="2"/>
        <v>0.5306838747</v>
      </c>
      <c r="N2680" s="167">
        <f t="shared" si="3"/>
        <v>29.82365079</v>
      </c>
      <c r="O2680" s="163">
        <f t="shared" ref="O2680:Q2680" si="2684">rank(I2680,I:I)</f>
        <v>1366</v>
      </c>
      <c r="P2680" s="163">
        <f t="shared" si="2684"/>
        <v>3402</v>
      </c>
      <c r="Q2680" s="163">
        <f t="shared" si="2684"/>
        <v>2495</v>
      </c>
      <c r="R2680" s="163">
        <f>IFERROR(__xludf.DUMMYFUNCTION("RANK(M2680,filter(M:M,C:C=C2680))"),282.0)</f>
        <v>282</v>
      </c>
      <c r="S2680" s="161" t="b">
        <f t="shared" si="5"/>
        <v>0</v>
      </c>
      <c r="T2680" s="161" t="b">
        <f t="array" ref="T2680">index('Query Tool'!B:B,match(H2680,'Query Tool'!C:C,0))</f>
        <v>1</v>
      </c>
      <c r="U2680" s="161" t="b">
        <f t="array" ref="U2680">index('Query Tool'!B:B,match(C2680,'Query Tool'!C:C,0))</f>
        <v>0</v>
      </c>
      <c r="V2680" s="161" t="b">
        <f>F2680&gt;='Query Tool'!C$32</f>
        <v>1</v>
      </c>
      <c r="W2680" s="161" t="b">
        <f t="array" ref="W2680">index(Dropdowns!B:B,match(I2680,Dropdowns!A:A,0))</f>
        <v>1</v>
      </c>
      <c r="X2680" s="161" t="b">
        <f t="array" ref="X2680">index('Query Tool'!B:B,match(D2680,'Query Tool'!C:C,0))</f>
        <v>1</v>
      </c>
      <c r="Y2680" s="161" t="str">
        <f t="shared" si="6"/>
        <v>bullore01,2018-19</v>
      </c>
      <c r="Z2680" s="168">
        <f t="array" ref="Z2680">iferror(index(I:I,match($A2680&amp;","&amp;index('Year Conversion'!$A:$A,match($C2680,'Year Conversion'!$B:$B,0)),$Y:$Y,0))-I2680,"")</f>
        <v>1</v>
      </c>
      <c r="AA2680" s="168">
        <f t="array" ref="AA2680">iferror(index(J:J,match($A2680&amp;","&amp;index('Year Conversion'!$A:$A,match($C2680,'Year Conversion'!$B:$B,0)),$Y:$Y,0))-J2680,"")</f>
        <v>0.4399422446</v>
      </c>
      <c r="AB2680" s="168">
        <f t="array" ref="AB2680">iferror(index(K:K,match($A2680&amp;","&amp;index('Year Conversion'!$A:$A,match($C2680,'Year Conversion'!$B:$B,0)),$Y:$Y,0))-K2680,"")</f>
        <v>-0.2334634647</v>
      </c>
      <c r="AC2680" s="168" t="str">
        <f t="shared" si="7"/>
        <v>TOT,2018-19</v>
      </c>
    </row>
    <row r="2681">
      <c r="A2681" s="161" t="str">
        <f>IFERROR(__xludf.DUMMYFUNCTION("""COMPUTED_VALUE"""),"covinro01")</f>
        <v>covinro01</v>
      </c>
      <c r="B2681" s="161" t="str">
        <f>IFERROR(__xludf.DUMMYFUNCTION("""COMPUTED_VALUE"""),"Robert Covington")</f>
        <v>Robert Covington</v>
      </c>
      <c r="C2681" s="162" t="str">
        <f>IFERROR(__xludf.DUMMYFUNCTION("""COMPUTED_VALUE"""),"2018-19")</f>
        <v>2018-19</v>
      </c>
      <c r="D2681" s="163" t="str">
        <f>IFERROR(__xludf.DUMMYFUNCTION("""COMPUTED_VALUE"""),"TOT")</f>
        <v>TOT</v>
      </c>
      <c r="E2681" s="164" t="str">
        <f>IFERROR(__xludf.DUMMYFUNCTION("""COMPUTED_VALUE"""),"Movement Shooter")</f>
        <v>Movement Shooter</v>
      </c>
      <c r="F2681" s="164">
        <f>IFERROR(__xludf.DUMMYFUNCTION("""COMPUTED_VALUE"""),1202.60166666667)</f>
        <v>1202.601667</v>
      </c>
      <c r="G2681" s="163">
        <f>IFERROR(__xludf.DUMMYFUNCTION("""COMPUTED_VALUE"""),35.0)</f>
        <v>35</v>
      </c>
      <c r="H2681" s="163" t="str">
        <f>IFERROR(__xludf.DUMMYFUNCTION("""COMPUTED_VALUE"""),"SF")</f>
        <v>SF</v>
      </c>
      <c r="I2681" s="163">
        <f>IFERROR(__xludf.DUMMYFUNCTION("""COMPUTED_VALUE"""),28.0)</f>
        <v>28</v>
      </c>
      <c r="J2681" s="165">
        <f>IFERROR(__xludf.DUMMYFUNCTION("""COMPUTED_VALUE"""),1.57677531526709)</f>
        <v>1.576775315</v>
      </c>
      <c r="K2681" s="165">
        <f>IFERROR(__xludf.DUMMYFUNCTION("""COMPUTED_VALUE"""),-0.94111977499437)</f>
        <v>-0.941119775</v>
      </c>
      <c r="L2681" s="165">
        <f>IFERROR(__xludf.DUMMYFUNCTION("""COMPUTED_VALUE"""),2.51789509026146)</f>
        <v>2.51789509</v>
      </c>
      <c r="M2681" s="166">
        <f t="shared" si="2"/>
        <v>3.128034389</v>
      </c>
      <c r="N2681" s="167">
        <f t="shared" si="3"/>
        <v>34.36004762</v>
      </c>
      <c r="O2681" s="163">
        <f t="shared" ref="O2681:Q2681" si="2685">rank(I2681,I:I)</f>
        <v>1090</v>
      </c>
      <c r="P2681" s="163">
        <f t="shared" si="2685"/>
        <v>437</v>
      </c>
      <c r="Q2681" s="163">
        <f t="shared" si="2685"/>
        <v>2737</v>
      </c>
      <c r="R2681" s="163">
        <f>IFERROR(__xludf.DUMMYFUNCTION("RANK(M2681,filter(M:M,C:C=C2681))"),111.0)</f>
        <v>111</v>
      </c>
      <c r="S2681" s="161" t="b">
        <f t="shared" si="5"/>
        <v>0</v>
      </c>
      <c r="T2681" s="161" t="b">
        <f t="array" ref="T2681">index('Query Tool'!B:B,match(H2681,'Query Tool'!C:C,0))</f>
        <v>1</v>
      </c>
      <c r="U2681" s="161" t="b">
        <f t="array" ref="U2681">index('Query Tool'!B:B,match(C2681,'Query Tool'!C:C,0))</f>
        <v>0</v>
      </c>
      <c r="V2681" s="161" t="b">
        <f>F2681&gt;='Query Tool'!C$32</f>
        <v>1</v>
      </c>
      <c r="W2681" s="161" t="b">
        <f t="array" ref="W2681">index(Dropdowns!B:B,match(I2681,Dropdowns!A:A,0))</f>
        <v>1</v>
      </c>
      <c r="X2681" s="161" t="b">
        <f t="array" ref="X2681">index('Query Tool'!B:B,match(D2681,'Query Tool'!C:C,0))</f>
        <v>1</v>
      </c>
      <c r="Y2681" s="161" t="str">
        <f t="shared" si="6"/>
        <v>covinro01,2018-19</v>
      </c>
      <c r="Z2681" s="168">
        <f t="array" ref="Z2681">iferror(index(I:I,match($A2681&amp;","&amp;index('Year Conversion'!$A:$A,match($C2681,'Year Conversion'!$B:$B,0)),$Y:$Y,0))-I2681,"")</f>
        <v>1</v>
      </c>
      <c r="AA2681" s="168">
        <f t="array" ref="AA2681">iferror(index(J:J,match($A2681&amp;","&amp;index('Year Conversion'!$A:$A,match($C2681,'Year Conversion'!$B:$B,0)),$Y:$Y,0))-J2681,"")</f>
        <v>0.6748463704</v>
      </c>
      <c r="AB2681" s="168">
        <f t="array" ref="AB2681">iferror(index(K:K,match($A2681&amp;","&amp;index('Year Conversion'!$A:$A,match($C2681,'Year Conversion'!$B:$B,0)),$Y:$Y,0))-K2681,"")</f>
        <v>1.285692951</v>
      </c>
      <c r="AC2681" s="168" t="str">
        <f t="shared" si="7"/>
        <v>TOT,2018-19</v>
      </c>
    </row>
    <row r="2682">
      <c r="A2682" s="161" t="str">
        <f>IFERROR(__xludf.DUMMYFUNCTION("""COMPUTED_VALUE"""),"goberru01")</f>
        <v>goberru01</v>
      </c>
      <c r="B2682" s="161" t="str">
        <f>IFERROR(__xludf.DUMMYFUNCTION("""COMPUTED_VALUE"""),"Rudy Gobert")</f>
        <v>Rudy Gobert</v>
      </c>
      <c r="C2682" s="162" t="str">
        <f>IFERROR(__xludf.DUMMYFUNCTION("""COMPUTED_VALUE"""),"2018-19")</f>
        <v>2018-19</v>
      </c>
      <c r="D2682" s="163" t="str">
        <f>IFERROR(__xludf.DUMMYFUNCTION("""COMPUTED_VALUE"""),"UTA")</f>
        <v>UTA</v>
      </c>
      <c r="E2682" s="164" t="str">
        <f>IFERROR(__xludf.DUMMYFUNCTION("""COMPUTED_VALUE"""),"Roll + Cut Big")</f>
        <v>Roll + Cut Big</v>
      </c>
      <c r="F2682" s="164">
        <f>IFERROR(__xludf.DUMMYFUNCTION("""COMPUTED_VALUE"""),2576.68666666667)</f>
        <v>2576.686667</v>
      </c>
      <c r="G2682" s="163">
        <f>IFERROR(__xludf.DUMMYFUNCTION("""COMPUTED_VALUE"""),81.0)</f>
        <v>81</v>
      </c>
      <c r="H2682" s="163" t="str">
        <f>IFERROR(__xludf.DUMMYFUNCTION("""COMPUTED_VALUE"""),"C")</f>
        <v>C</v>
      </c>
      <c r="I2682" s="163">
        <f>IFERROR(__xludf.DUMMYFUNCTION("""COMPUTED_VALUE"""),26.0)</f>
        <v>26</v>
      </c>
      <c r="J2682" s="165">
        <f>IFERROR(__xludf.DUMMYFUNCTION("""COMPUTED_VALUE"""),5.01693213012557)</f>
        <v>5.01693213</v>
      </c>
      <c r="K2682" s="165">
        <f>IFERROR(__xludf.DUMMYFUNCTION("""COMPUTED_VALUE"""),1.04110572187855)</f>
        <v>1.041105722</v>
      </c>
      <c r="L2682" s="165">
        <f>IFERROR(__xludf.DUMMYFUNCTION("""COMPUTED_VALUE"""),3.97582640824701)</f>
        <v>3.975826408</v>
      </c>
      <c r="M2682" s="166">
        <f t="shared" si="2"/>
        <v>12.39519008</v>
      </c>
      <c r="N2682" s="167">
        <f t="shared" si="3"/>
        <v>31.8109465</v>
      </c>
      <c r="O2682" s="163">
        <f t="shared" ref="O2682:Q2682" si="2686">rank(I2682,I:I)</f>
        <v>1665</v>
      </c>
      <c r="P2682" s="163">
        <f t="shared" si="2686"/>
        <v>49</v>
      </c>
      <c r="Q2682" s="163">
        <f t="shared" si="2686"/>
        <v>483</v>
      </c>
      <c r="R2682" s="163">
        <f>IFERROR(__xludf.DUMMYFUNCTION("RANK(M2682,filter(M:M,C:C=C2682))"),6.0)</f>
        <v>6</v>
      </c>
      <c r="S2682" s="161" t="b">
        <f t="shared" si="5"/>
        <v>0</v>
      </c>
      <c r="T2682" s="161" t="b">
        <f t="array" ref="T2682">index('Query Tool'!B:B,match(H2682,'Query Tool'!C:C,0))</f>
        <v>1</v>
      </c>
      <c r="U2682" s="161" t="b">
        <f t="array" ref="U2682">index('Query Tool'!B:B,match(C2682,'Query Tool'!C:C,0))</f>
        <v>0</v>
      </c>
      <c r="V2682" s="161" t="b">
        <f>F2682&gt;='Query Tool'!C$32</f>
        <v>1</v>
      </c>
      <c r="W2682" s="161" t="b">
        <f t="array" ref="W2682">index(Dropdowns!B:B,match(I2682,Dropdowns!A:A,0))</f>
        <v>1</v>
      </c>
      <c r="X2682" s="161" t="b">
        <f t="array" ref="X2682">index('Query Tool'!B:B,match(D2682,'Query Tool'!C:C,0))</f>
        <v>1</v>
      </c>
      <c r="Y2682" s="161" t="str">
        <f t="shared" si="6"/>
        <v>goberru01,2018-19</v>
      </c>
      <c r="Z2682" s="168">
        <f t="array" ref="Z2682">iferror(index(I:I,match($A2682&amp;","&amp;index('Year Conversion'!$A:$A,match($C2682,'Year Conversion'!$B:$B,0)),$Y:$Y,0))-I2682,"")</f>
        <v>1</v>
      </c>
      <c r="AA2682" s="168">
        <f t="array" ref="AA2682">iferror(index(J:J,match($A2682&amp;","&amp;index('Year Conversion'!$A:$A,match($C2682,'Year Conversion'!$B:$B,0)),$Y:$Y,0))-J2682,"")</f>
        <v>-1.059790379</v>
      </c>
      <c r="AB2682" s="168">
        <f t="array" ref="AB2682">iferror(index(K:K,match($A2682&amp;","&amp;index('Year Conversion'!$A:$A,match($C2682,'Year Conversion'!$B:$B,0)),$Y:$Y,0))-K2682,"")</f>
        <v>-0.6578264478</v>
      </c>
      <c r="AC2682" s="168" t="str">
        <f t="shared" si="7"/>
        <v>UTA,2018-19</v>
      </c>
    </row>
    <row r="2683">
      <c r="A2683" s="161" t="str">
        <f>IFERROR(__xludf.DUMMYFUNCTION("""COMPUTED_VALUE"""),"adamsst01")</f>
        <v>adamsst01</v>
      </c>
      <c r="B2683" s="161" t="str">
        <f>IFERROR(__xludf.DUMMYFUNCTION("""COMPUTED_VALUE"""),"Steven Adams")</f>
        <v>Steven Adams</v>
      </c>
      <c r="C2683" s="162" t="str">
        <f>IFERROR(__xludf.DUMMYFUNCTION("""COMPUTED_VALUE"""),"2018-19")</f>
        <v>2018-19</v>
      </c>
      <c r="D2683" s="163" t="str">
        <f>IFERROR(__xludf.DUMMYFUNCTION("""COMPUTED_VALUE"""),"OKC")</f>
        <v>OKC</v>
      </c>
      <c r="E2683" s="164" t="str">
        <f>IFERROR(__xludf.DUMMYFUNCTION("""COMPUTED_VALUE"""),"Post Scorer")</f>
        <v>Post Scorer</v>
      </c>
      <c r="F2683" s="164">
        <f>IFERROR(__xludf.DUMMYFUNCTION("""COMPUTED_VALUE"""),2669.25833333333)</f>
        <v>2669.258333</v>
      </c>
      <c r="G2683" s="163">
        <f>IFERROR(__xludf.DUMMYFUNCTION("""COMPUTED_VALUE"""),80.0)</f>
        <v>80</v>
      </c>
      <c r="H2683" s="163" t="str">
        <f>IFERROR(__xludf.DUMMYFUNCTION("""COMPUTED_VALUE"""),"C")</f>
        <v>C</v>
      </c>
      <c r="I2683" s="163">
        <f>IFERROR(__xludf.DUMMYFUNCTION("""COMPUTED_VALUE"""),25.0)</f>
        <v>25</v>
      </c>
      <c r="J2683" s="165">
        <f>IFERROR(__xludf.DUMMYFUNCTION("""COMPUTED_VALUE"""),1.76607822588717)</f>
        <v>1.766078226</v>
      </c>
      <c r="K2683" s="165">
        <f>IFERROR(__xludf.DUMMYFUNCTION("""COMPUTED_VALUE"""),0.23336547290311)</f>
        <v>0.2333654729</v>
      </c>
      <c r="L2683" s="165">
        <f>IFERROR(__xludf.DUMMYFUNCTION("""COMPUTED_VALUE"""),1.53271275298406)</f>
        <v>1.532712753</v>
      </c>
      <c r="M2683" s="166">
        <f t="shared" si="2"/>
        <v>7.279617834</v>
      </c>
      <c r="N2683" s="167">
        <f t="shared" si="3"/>
        <v>33.36572917</v>
      </c>
      <c r="O2683" s="163">
        <f t="shared" ref="O2683:Q2683" si="2687">rank(I2683,I:I)</f>
        <v>1995</v>
      </c>
      <c r="P2683" s="163">
        <f t="shared" si="2687"/>
        <v>379</v>
      </c>
      <c r="Q2683" s="163">
        <f t="shared" si="2687"/>
        <v>960</v>
      </c>
      <c r="R2683" s="163">
        <f>IFERROR(__xludf.DUMMYFUNCTION("RANK(M2683,filter(M:M,C:C=C2683))"),30.0)</f>
        <v>30</v>
      </c>
      <c r="S2683" s="161" t="b">
        <f t="shared" si="5"/>
        <v>0</v>
      </c>
      <c r="T2683" s="161" t="b">
        <f t="array" ref="T2683">index('Query Tool'!B:B,match(H2683,'Query Tool'!C:C,0))</f>
        <v>1</v>
      </c>
      <c r="U2683" s="161" t="b">
        <f t="array" ref="U2683">index('Query Tool'!B:B,match(C2683,'Query Tool'!C:C,0))</f>
        <v>0</v>
      </c>
      <c r="V2683" s="161" t="b">
        <f>F2683&gt;='Query Tool'!C$32</f>
        <v>1</v>
      </c>
      <c r="W2683" s="161" t="b">
        <f t="array" ref="W2683">index(Dropdowns!B:B,match(I2683,Dropdowns!A:A,0))</f>
        <v>1</v>
      </c>
      <c r="X2683" s="161" t="b">
        <f t="array" ref="X2683">index('Query Tool'!B:B,match(D2683,'Query Tool'!C:C,0))</f>
        <v>1</v>
      </c>
      <c r="Y2683" s="161" t="str">
        <f t="shared" si="6"/>
        <v>adamsst01,2018-19</v>
      </c>
      <c r="Z2683" s="168">
        <f t="array" ref="Z2683">iferror(index(I:I,match($A2683&amp;","&amp;index('Year Conversion'!$A:$A,match($C2683,'Year Conversion'!$B:$B,0)),$Y:$Y,0))-I2683,"")</f>
        <v>1</v>
      </c>
      <c r="AA2683" s="168">
        <f t="array" ref="AA2683">iferror(index(J:J,match($A2683&amp;","&amp;index('Year Conversion'!$A:$A,match($C2683,'Year Conversion'!$B:$B,0)),$Y:$Y,0))-J2683,"")</f>
        <v>-0.2747347254</v>
      </c>
      <c r="AB2683" s="168">
        <f t="array" ref="AB2683">iferror(index(K:K,match($A2683&amp;","&amp;index('Year Conversion'!$A:$A,match($C2683,'Year Conversion'!$B:$B,0)),$Y:$Y,0))-K2683,"")</f>
        <v>0.3998819905</v>
      </c>
      <c r="AC2683" s="168" t="str">
        <f t="shared" si="7"/>
        <v>OKC,2018-19</v>
      </c>
    </row>
    <row r="2684">
      <c r="A2684" s="161" t="str">
        <f>IFERROR(__xludf.DUMMYFUNCTION("""COMPUTED_VALUE"""),"hardati02")</f>
        <v>hardati02</v>
      </c>
      <c r="B2684" s="161" t="str">
        <f>IFERROR(__xludf.DUMMYFUNCTION("""COMPUTED_VALUE"""),"Tim Hardaway Jr.")</f>
        <v>Tim Hardaway Jr.</v>
      </c>
      <c r="C2684" s="162" t="str">
        <f>IFERROR(__xludf.DUMMYFUNCTION("""COMPUTED_VALUE"""),"2018-19")</f>
        <v>2018-19</v>
      </c>
      <c r="D2684" s="163" t="str">
        <f>IFERROR(__xludf.DUMMYFUNCTION("""COMPUTED_VALUE"""),"TOT")</f>
        <v>TOT</v>
      </c>
      <c r="E2684" s="164" t="str">
        <f>IFERROR(__xludf.DUMMYFUNCTION("""COMPUTED_VALUE"""),"Secondary Ball Handler")</f>
        <v>Secondary Ball Handler</v>
      </c>
      <c r="F2684" s="164">
        <f>IFERROR(__xludf.DUMMYFUNCTION("""COMPUTED_VALUE"""),2056.60666666667)</f>
        <v>2056.606667</v>
      </c>
      <c r="G2684" s="163">
        <f>IFERROR(__xludf.DUMMYFUNCTION("""COMPUTED_VALUE"""),65.0)</f>
        <v>65</v>
      </c>
      <c r="H2684" s="163" t="str">
        <f>IFERROR(__xludf.DUMMYFUNCTION("""COMPUTED_VALUE"""),"SG")</f>
        <v>SG</v>
      </c>
      <c r="I2684" s="163">
        <f>IFERROR(__xludf.DUMMYFUNCTION("""COMPUTED_VALUE"""),26.0)</f>
        <v>26</v>
      </c>
      <c r="J2684" s="165">
        <f>IFERROR(__xludf.DUMMYFUNCTION("""COMPUTED_VALUE"""),-0.702738738059013)</f>
        <v>-0.7027387381</v>
      </c>
      <c r="K2684" s="165">
        <f>IFERROR(__xludf.DUMMYFUNCTION("""COMPUTED_VALUE"""),0.417952674945454)</f>
        <v>0.4179526749</v>
      </c>
      <c r="L2684" s="165">
        <f>IFERROR(__xludf.DUMMYFUNCTION("""COMPUTED_VALUE"""),-1.12069141300447)</f>
        <v>-1.120691413</v>
      </c>
      <c r="M2684" s="166">
        <f t="shared" si="2"/>
        <v>2.196892186</v>
      </c>
      <c r="N2684" s="167">
        <f t="shared" si="3"/>
        <v>31.64010256</v>
      </c>
      <c r="O2684" s="163">
        <f t="shared" ref="O2684:Q2684" si="2688">rank(I2684,I:I)</f>
        <v>1665</v>
      </c>
      <c r="P2684" s="163">
        <f t="shared" si="2688"/>
        <v>2144</v>
      </c>
      <c r="Q2684" s="163">
        <f t="shared" si="2688"/>
        <v>817</v>
      </c>
      <c r="R2684" s="163">
        <f>IFERROR(__xludf.DUMMYFUNCTION("RANK(M2684,filter(M:M,C:C=C2684))"),143.0)</f>
        <v>143</v>
      </c>
      <c r="S2684" s="161" t="b">
        <f t="shared" si="5"/>
        <v>0</v>
      </c>
      <c r="T2684" s="161" t="b">
        <f t="array" ref="T2684">index('Query Tool'!B:B,match(H2684,'Query Tool'!C:C,0))</f>
        <v>1</v>
      </c>
      <c r="U2684" s="161" t="b">
        <f t="array" ref="U2684">index('Query Tool'!B:B,match(C2684,'Query Tool'!C:C,0))</f>
        <v>0</v>
      </c>
      <c r="V2684" s="161" t="b">
        <f>F2684&gt;='Query Tool'!C$32</f>
        <v>1</v>
      </c>
      <c r="W2684" s="161" t="b">
        <f t="array" ref="W2684">index(Dropdowns!B:B,match(I2684,Dropdowns!A:A,0))</f>
        <v>1</v>
      </c>
      <c r="X2684" s="161" t="b">
        <f t="array" ref="X2684">index('Query Tool'!B:B,match(D2684,'Query Tool'!C:C,0))</f>
        <v>1</v>
      </c>
      <c r="Y2684" s="161" t="str">
        <f t="shared" si="6"/>
        <v>hardati02,2018-19</v>
      </c>
      <c r="Z2684" s="168">
        <f t="array" ref="Z2684">iferror(index(I:I,match($A2684&amp;","&amp;index('Year Conversion'!$A:$A,match($C2684,'Year Conversion'!$B:$B,0)),$Y:$Y,0))-I2684,"")</f>
        <v>1</v>
      </c>
      <c r="AA2684" s="168">
        <f t="array" ref="AA2684">iferror(index(J:J,match($A2684&amp;","&amp;index('Year Conversion'!$A:$A,match($C2684,'Year Conversion'!$B:$B,0)),$Y:$Y,0))-J2684,"")</f>
        <v>0.8677540269</v>
      </c>
      <c r="AB2684" s="168">
        <f t="array" ref="AB2684">iferror(index(K:K,match($A2684&amp;","&amp;index('Year Conversion'!$A:$A,match($C2684,'Year Conversion'!$B:$B,0)),$Y:$Y,0))-K2684,"")</f>
        <v>0.7752343468</v>
      </c>
      <c r="AC2684" s="168" t="str">
        <f t="shared" si="7"/>
        <v>TOT,2018-19</v>
      </c>
    </row>
    <row r="2685">
      <c r="A2685" s="161" t="str">
        <f>IFERROR(__xludf.DUMMYFUNCTION("""COMPUTED_VALUE"""),"snellto01")</f>
        <v>snellto01</v>
      </c>
      <c r="B2685" s="161" t="str">
        <f>IFERROR(__xludf.DUMMYFUNCTION("""COMPUTED_VALUE"""),"Tony Snell")</f>
        <v>Tony Snell</v>
      </c>
      <c r="C2685" s="162" t="str">
        <f>IFERROR(__xludf.DUMMYFUNCTION("""COMPUTED_VALUE"""),"2018-19")</f>
        <v>2018-19</v>
      </c>
      <c r="D2685" s="163" t="str">
        <f>IFERROR(__xludf.DUMMYFUNCTION("""COMPUTED_VALUE"""),"MIL")</f>
        <v>MIL</v>
      </c>
      <c r="E2685" s="164" t="str">
        <f>IFERROR(__xludf.DUMMYFUNCTION("""COMPUTED_VALUE"""),"Stationary Shooter")</f>
        <v>Stationary Shooter</v>
      </c>
      <c r="F2685" s="164">
        <f>IFERROR(__xludf.DUMMYFUNCTION("""COMPUTED_VALUE"""),1303.915)</f>
        <v>1303.915</v>
      </c>
      <c r="G2685" s="163">
        <f>IFERROR(__xludf.DUMMYFUNCTION("""COMPUTED_VALUE"""),74.0)</f>
        <v>74</v>
      </c>
      <c r="H2685" s="163" t="str">
        <f>IFERROR(__xludf.DUMMYFUNCTION("""COMPUTED_VALUE"""),"SF")</f>
        <v>SF</v>
      </c>
      <c r="I2685" s="163">
        <f>IFERROR(__xludf.DUMMYFUNCTION("""COMPUTED_VALUE"""),27.0)</f>
        <v>27</v>
      </c>
      <c r="J2685" s="165">
        <f>IFERROR(__xludf.DUMMYFUNCTION("""COMPUTED_VALUE"""),-1.28413484379564)</f>
        <v>-1.284134844</v>
      </c>
      <c r="K2685" s="165">
        <f>IFERROR(__xludf.DUMMYFUNCTION("""COMPUTED_VALUE"""),-0.922992620530313)</f>
        <v>-0.9229926205</v>
      </c>
      <c r="L2685" s="165">
        <f>IFERROR(__xludf.DUMMYFUNCTION("""COMPUTED_VALUE"""),-0.361142223265332)</f>
        <v>-0.3611422233</v>
      </c>
      <c r="M2685" s="166">
        <f t="shared" si="2"/>
        <v>0.8839159408</v>
      </c>
      <c r="N2685" s="167">
        <f t="shared" si="3"/>
        <v>17.62047297</v>
      </c>
      <c r="O2685" s="163">
        <f t="shared" ref="O2685:Q2685" si="2689">rank(I2685,I:I)</f>
        <v>1366</v>
      </c>
      <c r="P2685" s="163">
        <f t="shared" si="2689"/>
        <v>2845</v>
      </c>
      <c r="Q2685" s="163">
        <f t="shared" si="2689"/>
        <v>2717</v>
      </c>
      <c r="R2685" s="163">
        <f>IFERROR(__xludf.DUMMYFUNCTION("RANK(M2685,filter(M:M,C:C=C2685))"),233.0)</f>
        <v>233</v>
      </c>
      <c r="S2685" s="161" t="b">
        <f t="shared" si="5"/>
        <v>0</v>
      </c>
      <c r="T2685" s="161" t="b">
        <f t="array" ref="T2685">index('Query Tool'!B:B,match(H2685,'Query Tool'!C:C,0))</f>
        <v>1</v>
      </c>
      <c r="U2685" s="161" t="b">
        <f t="array" ref="U2685">index('Query Tool'!B:B,match(C2685,'Query Tool'!C:C,0))</f>
        <v>0</v>
      </c>
      <c r="V2685" s="161" t="b">
        <f>F2685&gt;='Query Tool'!C$32</f>
        <v>1</v>
      </c>
      <c r="W2685" s="161" t="b">
        <f t="array" ref="W2685">index(Dropdowns!B:B,match(I2685,Dropdowns!A:A,0))</f>
        <v>1</v>
      </c>
      <c r="X2685" s="161" t="b">
        <f t="array" ref="X2685">index('Query Tool'!B:B,match(D2685,'Query Tool'!C:C,0))</f>
        <v>1</v>
      </c>
      <c r="Y2685" s="161" t="str">
        <f t="shared" si="6"/>
        <v>snellto01,2018-19</v>
      </c>
      <c r="Z2685" s="168">
        <f t="array" ref="Z2685">iferror(index(I:I,match($A2685&amp;","&amp;index('Year Conversion'!$A:$A,match($C2685,'Year Conversion'!$B:$B,0)),$Y:$Y,0))-I2685,"")</f>
        <v>1</v>
      </c>
      <c r="AA2685" s="168">
        <f t="array" ref="AA2685">iferror(index(J:J,match($A2685&amp;","&amp;index('Year Conversion'!$A:$A,match($C2685,'Year Conversion'!$B:$B,0)),$Y:$Y,0))-J2685,"")</f>
        <v>-1.489319235</v>
      </c>
      <c r="AB2685" s="168">
        <f t="array" ref="AB2685">iferror(index(K:K,match($A2685&amp;","&amp;index('Year Conversion'!$A:$A,match($C2685,'Year Conversion'!$B:$B,0)),$Y:$Y,0))-K2685,"")</f>
        <v>-0.4176625267</v>
      </c>
      <c r="AC2685" s="168" t="str">
        <f t="shared" si="7"/>
        <v>MIL,2018-19</v>
      </c>
    </row>
    <row r="2686">
      <c r="A2686" s="161" t="str">
        <f>IFERROR(__xludf.DUMMYFUNCTION("""COMPUTED_VALUE"""),"burketr01")</f>
        <v>burketr01</v>
      </c>
      <c r="B2686" s="161" t="str">
        <f>IFERROR(__xludf.DUMMYFUNCTION("""COMPUTED_VALUE"""),"Trey Burke")</f>
        <v>Trey Burke</v>
      </c>
      <c r="C2686" s="162" t="str">
        <f>IFERROR(__xludf.DUMMYFUNCTION("""COMPUTED_VALUE"""),"2018-19")</f>
        <v>2018-19</v>
      </c>
      <c r="D2686" s="163" t="str">
        <f>IFERROR(__xludf.DUMMYFUNCTION("""COMPUTED_VALUE"""),"TOT")</f>
        <v>TOT</v>
      </c>
      <c r="E2686" s="164" t="str">
        <f>IFERROR(__xludf.DUMMYFUNCTION("""COMPUTED_VALUE"""),"Slasher")</f>
        <v>Slasher</v>
      </c>
      <c r="F2686" s="164">
        <f>IFERROR(__xludf.DUMMYFUNCTION("""COMPUTED_VALUE"""),1124.595)</f>
        <v>1124.595</v>
      </c>
      <c r="G2686" s="163">
        <f>IFERROR(__xludf.DUMMYFUNCTION("""COMPUTED_VALUE"""),58.0)</f>
        <v>58</v>
      </c>
      <c r="H2686" s="163" t="str">
        <f>IFERROR(__xludf.DUMMYFUNCTION("""COMPUTED_VALUE"""),"PG")</f>
        <v>PG</v>
      </c>
      <c r="I2686" s="163">
        <f>IFERROR(__xludf.DUMMYFUNCTION("""COMPUTED_VALUE"""),26.0)</f>
        <v>26</v>
      </c>
      <c r="J2686" s="165">
        <f>IFERROR(__xludf.DUMMYFUNCTION("""COMPUTED_VALUE"""),-0.563432415325927)</f>
        <v>-0.5634324153</v>
      </c>
      <c r="K2686" s="165">
        <f>IFERROR(__xludf.DUMMYFUNCTION("""COMPUTED_VALUE"""),1.01088851409567)</f>
        <v>1.010888514</v>
      </c>
      <c r="L2686" s="165">
        <f>IFERROR(__xludf.DUMMYFUNCTION("""COMPUTED_VALUE"""),-1.5743209294216)</f>
        <v>-1.574320929</v>
      </c>
      <c r="M2686" s="166">
        <f t="shared" si="2"/>
        <v>1.306749815</v>
      </c>
      <c r="N2686" s="167">
        <f t="shared" si="3"/>
        <v>19.38956897</v>
      </c>
      <c r="O2686" s="163">
        <f t="shared" ref="O2686:Q2686" si="2690">rank(I2686,I:I)</f>
        <v>1665</v>
      </c>
      <c r="P2686" s="163">
        <f t="shared" si="2690"/>
        <v>1939</v>
      </c>
      <c r="Q2686" s="163">
        <f t="shared" si="2690"/>
        <v>499</v>
      </c>
      <c r="R2686" s="163">
        <f>IFERROR(__xludf.DUMMYFUNCTION("RANK(M2686,filter(M:M,C:C=C2686))"),200.0)</f>
        <v>200</v>
      </c>
      <c r="S2686" s="161" t="b">
        <f t="shared" si="5"/>
        <v>0</v>
      </c>
      <c r="T2686" s="161" t="b">
        <f t="array" ref="T2686">index('Query Tool'!B:B,match(H2686,'Query Tool'!C:C,0))</f>
        <v>1</v>
      </c>
      <c r="U2686" s="161" t="b">
        <f t="array" ref="U2686">index('Query Tool'!B:B,match(C2686,'Query Tool'!C:C,0))</f>
        <v>0</v>
      </c>
      <c r="V2686" s="161" t="b">
        <f>F2686&gt;='Query Tool'!C$32</f>
        <v>1</v>
      </c>
      <c r="W2686" s="161" t="b">
        <f t="array" ref="W2686">index(Dropdowns!B:B,match(I2686,Dropdowns!A:A,0))</f>
        <v>1</v>
      </c>
      <c r="X2686" s="161" t="b">
        <f t="array" ref="X2686">index('Query Tool'!B:B,match(D2686,'Query Tool'!C:C,0))</f>
        <v>1</v>
      </c>
      <c r="Y2686" s="161" t="str">
        <f t="shared" si="6"/>
        <v>burketr01,2018-19</v>
      </c>
      <c r="Z2686" s="168">
        <f t="array" ref="Z2686">iferror(index(I:I,match($A2686&amp;","&amp;index('Year Conversion'!$A:$A,match($C2686,'Year Conversion'!$B:$B,0)),$Y:$Y,0))-I2686,"")</f>
        <v>1</v>
      </c>
      <c r="AA2686" s="168">
        <f t="array" ref="AA2686">iferror(index(J:J,match($A2686&amp;","&amp;index('Year Conversion'!$A:$A,match($C2686,'Year Conversion'!$B:$B,0)),$Y:$Y,0))-J2686,"")</f>
        <v>0.1676843009</v>
      </c>
      <c r="AB2686" s="168">
        <f t="array" ref="AB2686">iferror(index(K:K,match($A2686&amp;","&amp;index('Year Conversion'!$A:$A,match($C2686,'Year Conversion'!$B:$B,0)),$Y:$Y,0))-K2686,"")</f>
        <v>-0.3925265197</v>
      </c>
      <c r="AC2686" s="168" t="str">
        <f t="shared" si="7"/>
        <v>TOT,2018-19</v>
      </c>
    </row>
    <row r="2687">
      <c r="A2687" s="161" t="str">
        <f>IFERROR(__xludf.DUMMYFUNCTION("""COMPUTED_VALUE"""),"oladivi01")</f>
        <v>oladivi01</v>
      </c>
      <c r="B2687" s="161" t="str">
        <f>IFERROR(__xludf.DUMMYFUNCTION("""COMPUTED_VALUE"""),"Victor Oladipo")</f>
        <v>Victor Oladipo</v>
      </c>
      <c r="C2687" s="162" t="str">
        <f>IFERROR(__xludf.DUMMYFUNCTION("""COMPUTED_VALUE"""),"2018-19")</f>
        <v>2018-19</v>
      </c>
      <c r="D2687" s="163" t="str">
        <f>IFERROR(__xludf.DUMMYFUNCTION("""COMPUTED_VALUE"""),"IND")</f>
        <v>IND</v>
      </c>
      <c r="E2687" s="164" t="str">
        <f>IFERROR(__xludf.DUMMYFUNCTION("""COMPUTED_VALUE"""),"Secondary Ball Handler")</f>
        <v>Secondary Ball Handler</v>
      </c>
      <c r="F2687" s="164">
        <f>IFERROR(__xludf.DUMMYFUNCTION("""COMPUTED_VALUE"""),1146.67333333333)</f>
        <v>1146.673333</v>
      </c>
      <c r="G2687" s="163">
        <f>IFERROR(__xludf.DUMMYFUNCTION("""COMPUTED_VALUE"""),36.0)</f>
        <v>36</v>
      </c>
      <c r="H2687" s="163" t="str">
        <f>IFERROR(__xludf.DUMMYFUNCTION("""COMPUTED_VALUE"""),"SG")</f>
        <v>SG</v>
      </c>
      <c r="I2687" s="163">
        <f>IFERROR(__xludf.DUMMYFUNCTION("""COMPUTED_VALUE"""),26.0)</f>
        <v>26</v>
      </c>
      <c r="J2687" s="165">
        <f>IFERROR(__xludf.DUMMYFUNCTION("""COMPUTED_VALUE"""),1.96279467131973)</f>
        <v>1.962794671</v>
      </c>
      <c r="K2687" s="165">
        <f>IFERROR(__xludf.DUMMYFUNCTION("""COMPUTED_VALUE"""),0.894726183123058)</f>
        <v>0.8947261831</v>
      </c>
      <c r="L2687" s="165">
        <f>IFERROR(__xludf.DUMMYFUNCTION("""COMPUTED_VALUE"""),1.06806848819667)</f>
        <v>1.068068488</v>
      </c>
      <c r="M2687" s="166">
        <f t="shared" si="2"/>
        <v>3.277107277</v>
      </c>
      <c r="N2687" s="167">
        <f t="shared" si="3"/>
        <v>31.85203704</v>
      </c>
      <c r="O2687" s="163">
        <f t="shared" ref="O2687:Q2687" si="2691">rank(I2687,I:I)</f>
        <v>1665</v>
      </c>
      <c r="P2687" s="163">
        <f t="shared" si="2691"/>
        <v>331</v>
      </c>
      <c r="Q2687" s="163">
        <f t="shared" si="2691"/>
        <v>556</v>
      </c>
      <c r="R2687" s="163">
        <f>IFERROR(__xludf.DUMMYFUNCTION("RANK(M2687,filter(M:M,C:C=C2687))"),107.0)</f>
        <v>107</v>
      </c>
      <c r="S2687" s="161" t="b">
        <f t="shared" si="5"/>
        <v>0</v>
      </c>
      <c r="T2687" s="161" t="b">
        <f t="array" ref="T2687">index('Query Tool'!B:B,match(H2687,'Query Tool'!C:C,0))</f>
        <v>1</v>
      </c>
      <c r="U2687" s="161" t="b">
        <f t="array" ref="U2687">index('Query Tool'!B:B,match(C2687,'Query Tool'!C:C,0))</f>
        <v>0</v>
      </c>
      <c r="V2687" s="161" t="b">
        <f>F2687&gt;='Query Tool'!C$32</f>
        <v>1</v>
      </c>
      <c r="W2687" s="161" t="b">
        <f t="array" ref="W2687">index(Dropdowns!B:B,match(I2687,Dropdowns!A:A,0))</f>
        <v>1</v>
      </c>
      <c r="X2687" s="161" t="b">
        <f t="array" ref="X2687">index('Query Tool'!B:B,match(D2687,'Query Tool'!C:C,0))</f>
        <v>1</v>
      </c>
      <c r="Y2687" s="161" t="str">
        <f t="shared" si="6"/>
        <v>oladivi01,2018-19</v>
      </c>
      <c r="Z2687" s="168">
        <f t="array" ref="Z2687">iferror(index(I:I,match($A2687&amp;","&amp;index('Year Conversion'!$A:$A,match($C2687,'Year Conversion'!$B:$B,0)),$Y:$Y,0))-I2687,"")</f>
        <v>1</v>
      </c>
      <c r="AA2687" s="168">
        <f t="array" ref="AA2687">iferror(index(J:J,match($A2687&amp;","&amp;index('Year Conversion'!$A:$A,match($C2687,'Year Conversion'!$B:$B,0)),$Y:$Y,0))-J2687,"")</f>
        <v>-2.575389411</v>
      </c>
      <c r="AB2687" s="168">
        <f t="array" ref="AB2687">iferror(index(K:K,match($A2687&amp;","&amp;index('Year Conversion'!$A:$A,match($C2687,'Year Conversion'!$B:$B,0)),$Y:$Y,0))-K2687,"")</f>
        <v>-0.8924306369</v>
      </c>
      <c r="AC2687" s="168" t="str">
        <f t="shared" si="7"/>
        <v>IND,2018-19</v>
      </c>
    </row>
    <row r="2688">
      <c r="A2688" s="161" t="str">
        <f>IFERROR(__xludf.DUMMYFUNCTION("""COMPUTED_VALUE"""),"antetgi01")</f>
        <v>antetgi01</v>
      </c>
      <c r="B2688" s="161" t="str">
        <f>IFERROR(__xludf.DUMMYFUNCTION("""COMPUTED_VALUE"""),"Giannis Antetokounmpo")</f>
        <v>Giannis Antetokounmpo</v>
      </c>
      <c r="C2688" s="162" t="str">
        <f>IFERROR(__xludf.DUMMYFUNCTION("""COMPUTED_VALUE"""),"2018-19")</f>
        <v>2018-19</v>
      </c>
      <c r="D2688" s="163" t="str">
        <f>IFERROR(__xludf.DUMMYFUNCTION("""COMPUTED_VALUE"""),"MIL")</f>
        <v>MIL</v>
      </c>
      <c r="E2688" s="164" t="str">
        <f>IFERROR(__xludf.DUMMYFUNCTION("""COMPUTED_VALUE"""),"Shot Creator")</f>
        <v>Shot Creator</v>
      </c>
      <c r="F2688" s="164">
        <f>IFERROR(__xludf.DUMMYFUNCTION("""COMPUTED_VALUE"""),2358.22166666667)</f>
        <v>2358.221667</v>
      </c>
      <c r="G2688" s="163">
        <f>IFERROR(__xludf.DUMMYFUNCTION("""COMPUTED_VALUE"""),72.0)</f>
        <v>72</v>
      </c>
      <c r="H2688" s="163" t="str">
        <f>IFERROR(__xludf.DUMMYFUNCTION("""COMPUTED_VALUE"""),"PF")</f>
        <v>PF</v>
      </c>
      <c r="I2688" s="163">
        <f>IFERROR(__xludf.DUMMYFUNCTION("""COMPUTED_VALUE"""),24.0)</f>
        <v>24</v>
      </c>
      <c r="J2688" s="165">
        <f>IFERROR(__xludf.DUMMYFUNCTION("""COMPUTED_VALUE"""),7.93248752729861)</f>
        <v>7.932487527</v>
      </c>
      <c r="K2688" s="165">
        <f>IFERROR(__xludf.DUMMYFUNCTION("""COMPUTED_VALUE"""),4.28633920780191)</f>
        <v>4.286339208</v>
      </c>
      <c r="L2688" s="165">
        <f>IFERROR(__xludf.DUMMYFUNCTION("""COMPUTED_VALUE"""),3.6461483194967)</f>
        <v>3.646148319</v>
      </c>
      <c r="M2688" s="166">
        <f t="shared" si="2"/>
        <v>15.24924012</v>
      </c>
      <c r="N2688" s="167">
        <f t="shared" si="3"/>
        <v>32.7530787</v>
      </c>
      <c r="O2688" s="163">
        <f t="shared" ref="O2688:Q2688" si="2692">rank(I2688,I:I)</f>
        <v>2361</v>
      </c>
      <c r="P2688" s="163">
        <f t="shared" si="2692"/>
        <v>2</v>
      </c>
      <c r="Q2688" s="163">
        <f t="shared" si="2692"/>
        <v>49</v>
      </c>
      <c r="R2688" s="163">
        <f>IFERROR(__xludf.DUMMYFUNCTION("RANK(M2688,filter(M:M,C:C=C2688))"),2.0)</f>
        <v>2</v>
      </c>
      <c r="S2688" s="161" t="b">
        <f t="shared" si="5"/>
        <v>0</v>
      </c>
      <c r="T2688" s="161" t="b">
        <f t="array" ref="T2688">index('Query Tool'!B:B,match(H2688,'Query Tool'!C:C,0))</f>
        <v>1</v>
      </c>
      <c r="U2688" s="161" t="b">
        <f t="array" ref="U2688">index('Query Tool'!B:B,match(C2688,'Query Tool'!C:C,0))</f>
        <v>0</v>
      </c>
      <c r="V2688" s="161" t="b">
        <f>F2688&gt;='Query Tool'!C$32</f>
        <v>1</v>
      </c>
      <c r="W2688" s="161" t="b">
        <f t="array" ref="W2688">index(Dropdowns!B:B,match(I2688,Dropdowns!A:A,0))</f>
        <v>1</v>
      </c>
      <c r="X2688" s="161" t="b">
        <f t="array" ref="X2688">index('Query Tool'!B:B,match(D2688,'Query Tool'!C:C,0))</f>
        <v>1</v>
      </c>
      <c r="Y2688" s="161" t="str">
        <f t="shared" si="6"/>
        <v>antetgi01,2018-19</v>
      </c>
      <c r="Z2688" s="168">
        <f t="array" ref="Z2688">iferror(index(I:I,match($A2688&amp;","&amp;index('Year Conversion'!$A:$A,match($C2688,'Year Conversion'!$B:$B,0)),$Y:$Y,0))-I2688,"")</f>
        <v>1</v>
      </c>
      <c r="AA2688" s="168">
        <f t="array" ref="AA2688">iferror(index(J:J,match($A2688&amp;","&amp;index('Year Conversion'!$A:$A,match($C2688,'Year Conversion'!$B:$B,0)),$Y:$Y,0))-J2688,"")</f>
        <v>1.186634773</v>
      </c>
      <c r="AB2688" s="168">
        <f t="array" ref="AB2688">iferror(index(K:K,match($A2688&amp;","&amp;index('Year Conversion'!$A:$A,match($C2688,'Year Conversion'!$B:$B,0)),$Y:$Y,0))-K2688,"")</f>
        <v>0.5833225191</v>
      </c>
      <c r="AC2688" s="168" t="str">
        <f t="shared" si="7"/>
        <v>MIL,2018-19</v>
      </c>
    </row>
    <row r="2689">
      <c r="A2689" s="161" t="str">
        <f>IFERROR(__xludf.DUMMYFUNCTION("""COMPUTED_VALUE"""),"ennisja01")</f>
        <v>ennisja01</v>
      </c>
      <c r="B2689" s="161" t="str">
        <f>IFERROR(__xludf.DUMMYFUNCTION("""COMPUTED_VALUE"""),"James Ennis III")</f>
        <v>James Ennis III</v>
      </c>
      <c r="C2689" s="162" t="str">
        <f>IFERROR(__xludf.DUMMYFUNCTION("""COMPUTED_VALUE"""),"2018-19")</f>
        <v>2018-19</v>
      </c>
      <c r="D2689" s="163" t="str">
        <f>IFERROR(__xludf.DUMMYFUNCTION("""COMPUTED_VALUE"""),"TOT")</f>
        <v>TOT</v>
      </c>
      <c r="E2689" s="164" t="str">
        <f>IFERROR(__xludf.DUMMYFUNCTION("""COMPUTED_VALUE"""),"Athletic Finisher")</f>
        <v>Athletic Finisher</v>
      </c>
      <c r="F2689" s="164">
        <f>IFERROR(__xludf.DUMMYFUNCTION("""COMPUTED_VALUE"""),1229.63833333333)</f>
        <v>1229.638333</v>
      </c>
      <c r="G2689" s="163">
        <f>IFERROR(__xludf.DUMMYFUNCTION("""COMPUTED_VALUE"""),58.0)</f>
        <v>58</v>
      </c>
      <c r="H2689" s="163" t="str">
        <f>IFERROR(__xludf.DUMMYFUNCTION("""COMPUTED_VALUE"""),"SF")</f>
        <v>SF</v>
      </c>
      <c r="I2689" s="163">
        <f>IFERROR(__xludf.DUMMYFUNCTION("""COMPUTED_VALUE"""),28.0)</f>
        <v>28</v>
      </c>
      <c r="J2689" s="165">
        <f>IFERROR(__xludf.DUMMYFUNCTION("""COMPUTED_VALUE"""),-1.9461428666786)</f>
        <v>-1.946142867</v>
      </c>
      <c r="K2689" s="165">
        <f>IFERROR(__xludf.DUMMYFUNCTION("""COMPUTED_VALUE"""),-0.859785178221748)</f>
        <v>-0.8597851782</v>
      </c>
      <c r="L2689" s="165">
        <f>IFERROR(__xludf.DUMMYFUNCTION("""COMPUTED_VALUE"""),-1.08635768845685)</f>
        <v>-1.086357688</v>
      </c>
      <c r="M2689" s="166">
        <f t="shared" si="2"/>
        <v>0.2907568191</v>
      </c>
      <c r="N2689" s="167">
        <f t="shared" si="3"/>
        <v>21.20066092</v>
      </c>
      <c r="O2689" s="163">
        <f t="shared" ref="O2689:Q2689" si="2693">rank(I2689,I:I)</f>
        <v>1090</v>
      </c>
      <c r="P2689" s="163">
        <f t="shared" si="2693"/>
        <v>3446</v>
      </c>
      <c r="Q2689" s="163">
        <f t="shared" si="2693"/>
        <v>2633</v>
      </c>
      <c r="R2689" s="163">
        <f>IFERROR(__xludf.DUMMYFUNCTION("RANK(M2689,filter(M:M,C:C=C2689))"),323.0)</f>
        <v>323</v>
      </c>
      <c r="S2689" s="161" t="b">
        <f t="shared" si="5"/>
        <v>0</v>
      </c>
      <c r="T2689" s="161" t="b">
        <f t="array" ref="T2689">index('Query Tool'!B:B,match(H2689,'Query Tool'!C:C,0))</f>
        <v>1</v>
      </c>
      <c r="U2689" s="161" t="b">
        <f t="array" ref="U2689">index('Query Tool'!B:B,match(C2689,'Query Tool'!C:C,0))</f>
        <v>0</v>
      </c>
      <c r="V2689" s="161" t="b">
        <f>F2689&gt;='Query Tool'!C$32</f>
        <v>1</v>
      </c>
      <c r="W2689" s="161" t="b">
        <f t="array" ref="W2689">index(Dropdowns!B:B,match(I2689,Dropdowns!A:A,0))</f>
        <v>1</v>
      </c>
      <c r="X2689" s="161" t="b">
        <f t="array" ref="X2689">index('Query Tool'!B:B,match(D2689,'Query Tool'!C:C,0))</f>
        <v>1</v>
      </c>
      <c r="Y2689" s="161" t="str">
        <f t="shared" si="6"/>
        <v>ennisja01,2018-19</v>
      </c>
      <c r="Z2689" s="168">
        <f t="array" ref="Z2689">iferror(index(I:I,match($A2689&amp;","&amp;index('Year Conversion'!$A:$A,match($C2689,'Year Conversion'!$B:$B,0)),$Y:$Y,0))-I2689,"")</f>
        <v>1</v>
      </c>
      <c r="AA2689" s="168">
        <f t="array" ref="AA2689">iferror(index(J:J,match($A2689&amp;","&amp;index('Year Conversion'!$A:$A,match($C2689,'Year Conversion'!$B:$B,0)),$Y:$Y,0))-J2689,"")</f>
        <v>0.526160553</v>
      </c>
      <c r="AB2689" s="168">
        <f t="array" ref="AB2689">iferror(index(K:K,match($A2689&amp;","&amp;index('Year Conversion'!$A:$A,match($C2689,'Year Conversion'!$B:$B,0)),$Y:$Y,0))-K2689,"")</f>
        <v>0.4092328145</v>
      </c>
      <c r="AC2689" s="168" t="str">
        <f t="shared" si="7"/>
        <v>TOT,2018-19</v>
      </c>
    </row>
    <row r="2690">
      <c r="A2690" s="161" t="str">
        <f>IFERROR(__xludf.DUMMYFUNCTION("""COMPUTED_VALUE"""),"abrinal01")</f>
        <v>abrinal01</v>
      </c>
      <c r="B2690" s="161" t="str">
        <f>IFERROR(__xludf.DUMMYFUNCTION("""COMPUTED_VALUE"""),"Alex Abrines")</f>
        <v>Alex Abrines</v>
      </c>
      <c r="C2690" s="162" t="str">
        <f>IFERROR(__xludf.DUMMYFUNCTION("""COMPUTED_VALUE"""),"2018-19")</f>
        <v>2018-19</v>
      </c>
      <c r="D2690" s="163" t="str">
        <f>IFERROR(__xludf.DUMMYFUNCTION("""COMPUTED_VALUE"""),"OKC")</f>
        <v>OKC</v>
      </c>
      <c r="E2690" s="164" t="str">
        <f>IFERROR(__xludf.DUMMYFUNCTION("""COMPUTED_VALUE"""),"Movement Shooter")</f>
        <v>Movement Shooter</v>
      </c>
      <c r="F2690" s="164">
        <f>IFERROR(__xludf.DUMMYFUNCTION("""COMPUTED_VALUE"""),588.273333333333)</f>
        <v>588.2733333</v>
      </c>
      <c r="G2690" s="163">
        <f>IFERROR(__xludf.DUMMYFUNCTION("""COMPUTED_VALUE"""),31.0)</f>
        <v>31</v>
      </c>
      <c r="H2690" s="163" t="str">
        <f>IFERROR(__xludf.DUMMYFUNCTION("""COMPUTED_VALUE"""),"SG")</f>
        <v>SG</v>
      </c>
      <c r="I2690" s="163">
        <f>IFERROR(__xludf.DUMMYFUNCTION("""COMPUTED_VALUE"""),25.0)</f>
        <v>25</v>
      </c>
      <c r="J2690" s="165">
        <f>IFERROR(__xludf.DUMMYFUNCTION("""COMPUTED_VALUE"""),-2.45641504146919)</f>
        <v>-2.456415041</v>
      </c>
      <c r="K2690" s="165">
        <f>IFERROR(__xludf.DUMMYFUNCTION("""COMPUTED_VALUE"""),-1.88039385184137)</f>
        <v>-1.880393852</v>
      </c>
      <c r="L2690" s="165">
        <f>IFERROR(__xludf.DUMMYFUNCTION("""COMPUTED_VALUE"""),-0.576021189627825)</f>
        <v>-0.5760211896</v>
      </c>
      <c r="M2690" s="166">
        <f t="shared" si="2"/>
        <v>-0.05922702355</v>
      </c>
      <c r="N2690" s="167">
        <f t="shared" si="3"/>
        <v>18.97655914</v>
      </c>
      <c r="O2690" s="163">
        <f t="shared" ref="O2690:Q2690" si="2694">rank(I2690,I:I)</f>
        <v>1995</v>
      </c>
      <c r="P2690" s="163">
        <f t="shared" si="2694"/>
        <v>3740</v>
      </c>
      <c r="Q2690" s="163">
        <f t="shared" si="2694"/>
        <v>3629</v>
      </c>
      <c r="R2690" s="163">
        <f>IFERROR(__xludf.DUMMYFUNCTION("RANK(M2690,filter(M:M,C:C=C2690))"),489.0)</f>
        <v>489</v>
      </c>
      <c r="S2690" s="161" t="b">
        <f t="shared" si="5"/>
        <v>0</v>
      </c>
      <c r="T2690" s="161" t="b">
        <f t="array" ref="T2690">index('Query Tool'!B:B,match(H2690,'Query Tool'!C:C,0))</f>
        <v>1</v>
      </c>
      <c r="U2690" s="161" t="b">
        <f t="array" ref="U2690">index('Query Tool'!B:B,match(C2690,'Query Tool'!C:C,0))</f>
        <v>0</v>
      </c>
      <c r="V2690" s="161" t="b">
        <f>F2690&gt;='Query Tool'!C$32</f>
        <v>1</v>
      </c>
      <c r="W2690" s="161" t="b">
        <f t="array" ref="W2690">index(Dropdowns!B:B,match(I2690,Dropdowns!A:A,0))</f>
        <v>1</v>
      </c>
      <c r="X2690" s="161" t="b">
        <f t="array" ref="X2690">index('Query Tool'!B:B,match(D2690,'Query Tool'!C:C,0))</f>
        <v>1</v>
      </c>
      <c r="Y2690" s="161" t="str">
        <f t="shared" si="6"/>
        <v>abrinal01,2018-19</v>
      </c>
      <c r="Z2690" s="168" t="str">
        <f t="array" ref="Z2690">iferror(index(I:I,match($A2690&amp;","&amp;index('Year Conversion'!$A:$A,match($C2690,'Year Conversion'!$B:$B,0)),$Y:$Y,0))-I2690,"")</f>
        <v/>
      </c>
      <c r="AA2690" s="168" t="str">
        <f t="array" ref="AA2690">iferror(index(J:J,match($A2690&amp;","&amp;index('Year Conversion'!$A:$A,match($C2690,'Year Conversion'!$B:$B,0)),$Y:$Y,0))-J2690,"")</f>
        <v/>
      </c>
      <c r="AB2690" s="168" t="str">
        <f t="array" ref="AB2690">iferror(index(K:K,match($A2690&amp;","&amp;index('Year Conversion'!$A:$A,match($C2690,'Year Conversion'!$B:$B,0)),$Y:$Y,0))-K2690,"")</f>
        <v/>
      </c>
      <c r="AC2690" s="168" t="str">
        <f t="shared" si="7"/>
        <v>OKC,2018-19</v>
      </c>
    </row>
    <row r="2691">
      <c r="A2691" s="161" t="str">
        <f>IFERROR(__xludf.DUMMYFUNCTION("""COMPUTED_VALUE"""),"dellama01")</f>
        <v>dellama01</v>
      </c>
      <c r="B2691" s="161" t="str">
        <f>IFERROR(__xludf.DUMMYFUNCTION("""COMPUTED_VALUE"""),"Matthew Dellavedova")</f>
        <v>Matthew Dellavedova</v>
      </c>
      <c r="C2691" s="162" t="str">
        <f>IFERROR(__xludf.DUMMYFUNCTION("""COMPUTED_VALUE"""),"2018-19")</f>
        <v>2018-19</v>
      </c>
      <c r="D2691" s="163" t="str">
        <f>IFERROR(__xludf.DUMMYFUNCTION("""COMPUTED_VALUE"""),"TOT")</f>
        <v>TOT</v>
      </c>
      <c r="E2691" s="164" t="str">
        <f>IFERROR(__xludf.DUMMYFUNCTION("""COMPUTED_VALUE"""),"Secondary Ball Handler")</f>
        <v>Secondary Ball Handler</v>
      </c>
      <c r="F2691" s="164">
        <f>IFERROR(__xludf.DUMMYFUNCTION("""COMPUTED_VALUE"""),812.193333333333)</f>
        <v>812.1933333</v>
      </c>
      <c r="G2691" s="163">
        <f>IFERROR(__xludf.DUMMYFUNCTION("""COMPUTED_VALUE"""),48.0)</f>
        <v>48</v>
      </c>
      <c r="H2691" s="163" t="str">
        <f>IFERROR(__xludf.DUMMYFUNCTION("""COMPUTED_VALUE"""),"PG")</f>
        <v>PG</v>
      </c>
      <c r="I2691" s="163">
        <f>IFERROR(__xludf.DUMMYFUNCTION("""COMPUTED_VALUE"""),28.0)</f>
        <v>28</v>
      </c>
      <c r="J2691" s="165">
        <f>IFERROR(__xludf.DUMMYFUNCTION("""COMPUTED_VALUE"""),-1.2600090810452)</f>
        <v>-1.260009081</v>
      </c>
      <c r="K2691" s="165">
        <f>IFERROR(__xludf.DUMMYFUNCTION("""COMPUTED_VALUE"""),-0.56119291091419)</f>
        <v>-0.5611929109</v>
      </c>
      <c r="L2691" s="165">
        <f>IFERROR(__xludf.DUMMYFUNCTION("""COMPUTED_VALUE"""),-0.698816170131008)</f>
        <v>-0.6988161701</v>
      </c>
      <c r="M2691" s="166">
        <f t="shared" si="2"/>
        <v>0.5637027639</v>
      </c>
      <c r="N2691" s="167">
        <f t="shared" si="3"/>
        <v>16.92069444</v>
      </c>
      <c r="O2691" s="163">
        <f t="shared" ref="O2691:Q2691" si="2695">rank(I2691,I:I)</f>
        <v>1090</v>
      </c>
      <c r="P2691" s="163">
        <f t="shared" si="2695"/>
        <v>2824</v>
      </c>
      <c r="Q2691" s="163">
        <f t="shared" si="2695"/>
        <v>2203</v>
      </c>
      <c r="R2691" s="163">
        <f>IFERROR(__xludf.DUMMYFUNCTION("RANK(M2691,filter(M:M,C:C=C2691))"),276.0)</f>
        <v>276</v>
      </c>
      <c r="S2691" s="161" t="b">
        <f t="shared" si="5"/>
        <v>0</v>
      </c>
      <c r="T2691" s="161" t="b">
        <f t="array" ref="T2691">index('Query Tool'!B:B,match(H2691,'Query Tool'!C:C,0))</f>
        <v>1</v>
      </c>
      <c r="U2691" s="161" t="b">
        <f t="array" ref="U2691">index('Query Tool'!B:B,match(C2691,'Query Tool'!C:C,0))</f>
        <v>0</v>
      </c>
      <c r="V2691" s="161" t="b">
        <f>F2691&gt;='Query Tool'!C$32</f>
        <v>1</v>
      </c>
      <c r="W2691" s="161" t="b">
        <f t="array" ref="W2691">index(Dropdowns!B:B,match(I2691,Dropdowns!A:A,0))</f>
        <v>1</v>
      </c>
      <c r="X2691" s="161" t="b">
        <f t="array" ref="X2691">index('Query Tool'!B:B,match(D2691,'Query Tool'!C:C,0))</f>
        <v>1</v>
      </c>
      <c r="Y2691" s="161" t="str">
        <f t="shared" si="6"/>
        <v>dellama01,2018-19</v>
      </c>
      <c r="Z2691" s="168">
        <f t="array" ref="Z2691">iferror(index(I:I,match($A2691&amp;","&amp;index('Year Conversion'!$A:$A,match($C2691,'Year Conversion'!$B:$B,0)),$Y:$Y,0))-I2691,"")</f>
        <v>1</v>
      </c>
      <c r="AA2691" s="168">
        <f t="array" ref="AA2691">iferror(index(J:J,match($A2691&amp;","&amp;index('Year Conversion'!$A:$A,match($C2691,'Year Conversion'!$B:$B,0)),$Y:$Y,0))-J2691,"")</f>
        <v>0.3667712293</v>
      </c>
      <c r="AB2691" s="168">
        <f t="array" ref="AB2691">iferror(index(K:K,match($A2691&amp;","&amp;index('Year Conversion'!$A:$A,match($C2691,'Year Conversion'!$B:$B,0)),$Y:$Y,0))-K2691,"")</f>
        <v>-0.6320857522</v>
      </c>
      <c r="AC2691" s="168" t="str">
        <f t="shared" si="7"/>
        <v>TOT,2018-19</v>
      </c>
    </row>
    <row r="2692">
      <c r="A2692" s="161" t="str">
        <f>IFERROR(__xludf.DUMMYFUNCTION("""COMPUTED_VALUE"""),"hillso01")</f>
        <v>hillso01</v>
      </c>
      <c r="B2692" s="161" t="str">
        <f>IFERROR(__xludf.DUMMYFUNCTION("""COMPUTED_VALUE"""),"Solomon Hill")</f>
        <v>Solomon Hill</v>
      </c>
      <c r="C2692" s="162" t="str">
        <f>IFERROR(__xludf.DUMMYFUNCTION("""COMPUTED_VALUE"""),"2018-19")</f>
        <v>2018-19</v>
      </c>
      <c r="D2692" s="163" t="str">
        <f>IFERROR(__xludf.DUMMYFUNCTION("""COMPUTED_VALUE"""),"NOP")</f>
        <v>NOP</v>
      </c>
      <c r="E2692" s="164" t="str">
        <f>IFERROR(__xludf.DUMMYFUNCTION("""COMPUTED_VALUE"""),"Athletic Finisher")</f>
        <v>Athletic Finisher</v>
      </c>
      <c r="F2692" s="164">
        <f>IFERROR(__xludf.DUMMYFUNCTION("""COMPUTED_VALUE"""),878.525)</f>
        <v>878.525</v>
      </c>
      <c r="G2692" s="163">
        <f>IFERROR(__xludf.DUMMYFUNCTION("""COMPUTED_VALUE"""),44.0)</f>
        <v>44</v>
      </c>
      <c r="H2692" s="163" t="str">
        <f>IFERROR(__xludf.DUMMYFUNCTION("""COMPUTED_VALUE"""),"SF")</f>
        <v>SF</v>
      </c>
      <c r="I2692" s="163">
        <f>IFERROR(__xludf.DUMMYFUNCTION("""COMPUTED_VALUE"""),27.0)</f>
        <v>27</v>
      </c>
      <c r="J2692" s="165">
        <f>IFERROR(__xludf.DUMMYFUNCTION("""COMPUTED_VALUE"""),-3.05108242411879)</f>
        <v>-3.051082424</v>
      </c>
      <c r="K2692" s="165">
        <f>IFERROR(__xludf.DUMMYFUNCTION("""COMPUTED_VALUE"""),-2.28224017898011)</f>
        <v>-2.282240179</v>
      </c>
      <c r="L2692" s="165">
        <f>IFERROR(__xludf.DUMMYFUNCTION("""COMPUTED_VALUE"""),-0.768842245138676)</f>
        <v>-0.7688422451</v>
      </c>
      <c r="M2692" s="166">
        <f t="shared" si="2"/>
        <v>-0.4297271624</v>
      </c>
      <c r="N2692" s="167">
        <f t="shared" si="3"/>
        <v>19.96647727</v>
      </c>
      <c r="O2692" s="163">
        <f t="shared" ref="O2692:Q2692" si="2696">rank(I2692,I:I)</f>
        <v>1366</v>
      </c>
      <c r="P2692" s="163">
        <f t="shared" si="2696"/>
        <v>3895</v>
      </c>
      <c r="Q2692" s="163">
        <f t="shared" si="2696"/>
        <v>3830</v>
      </c>
      <c r="R2692" s="163">
        <f>IFERROR(__xludf.DUMMYFUNCTION("RANK(M2692,filter(M:M,C:C=C2692))"),516.0)</f>
        <v>516</v>
      </c>
      <c r="S2692" s="161" t="b">
        <f t="shared" si="5"/>
        <v>0</v>
      </c>
      <c r="T2692" s="161" t="b">
        <f t="array" ref="T2692">index('Query Tool'!B:B,match(H2692,'Query Tool'!C:C,0))</f>
        <v>1</v>
      </c>
      <c r="U2692" s="161" t="b">
        <f t="array" ref="U2692">index('Query Tool'!B:B,match(C2692,'Query Tool'!C:C,0))</f>
        <v>0</v>
      </c>
      <c r="V2692" s="161" t="b">
        <f>F2692&gt;='Query Tool'!C$32</f>
        <v>1</v>
      </c>
      <c r="W2692" s="161" t="b">
        <f t="array" ref="W2692">index(Dropdowns!B:B,match(I2692,Dropdowns!A:A,0))</f>
        <v>1</v>
      </c>
      <c r="X2692" s="161" t="b">
        <f t="array" ref="X2692">index('Query Tool'!B:B,match(D2692,'Query Tool'!C:C,0))</f>
        <v>1</v>
      </c>
      <c r="Y2692" s="161" t="str">
        <f t="shared" si="6"/>
        <v>hillso01,2018-19</v>
      </c>
      <c r="Z2692" s="168">
        <f t="array" ref="Z2692">iferror(index(I:I,match($A2692&amp;","&amp;index('Year Conversion'!$A:$A,match($C2692,'Year Conversion'!$B:$B,0)),$Y:$Y,0))-I2692,"")</f>
        <v>1</v>
      </c>
      <c r="AA2692" s="168">
        <f t="array" ref="AA2692">iferror(index(J:J,match($A2692&amp;","&amp;index('Year Conversion'!$A:$A,match($C2692,'Year Conversion'!$B:$B,0)),$Y:$Y,0))-J2692,"")</f>
        <v>1.18605559</v>
      </c>
      <c r="AB2692" s="168">
        <f t="array" ref="AB2692">iferror(index(K:K,match($A2692&amp;","&amp;index('Year Conversion'!$A:$A,match($C2692,'Year Conversion'!$B:$B,0)),$Y:$Y,0))-K2692,"")</f>
        <v>1.189050267</v>
      </c>
      <c r="AC2692" s="168" t="str">
        <f t="shared" si="7"/>
        <v>NOP,2018-19</v>
      </c>
    </row>
    <row r="2693">
      <c r="A2693" s="161" t="str">
        <f>IFERROR(__xludf.DUMMYFUNCTION("""COMPUTED_VALUE"""),"netora01")</f>
        <v>netora01</v>
      </c>
      <c r="B2693" s="161" t="str">
        <f>IFERROR(__xludf.DUMMYFUNCTION("""COMPUTED_VALUE"""),"Raul Neto")</f>
        <v>Raul Neto</v>
      </c>
      <c r="C2693" s="162" t="str">
        <f>IFERROR(__xludf.DUMMYFUNCTION("""COMPUTED_VALUE"""),"2018-19")</f>
        <v>2018-19</v>
      </c>
      <c r="D2693" s="163" t="str">
        <f>IFERROR(__xludf.DUMMYFUNCTION("""COMPUTED_VALUE"""),"UTA")</f>
        <v>UTA</v>
      </c>
      <c r="E2693" s="164" t="str">
        <f>IFERROR(__xludf.DUMMYFUNCTION("""COMPUTED_VALUE"""),"Secondary Ball Handler")</f>
        <v>Secondary Ball Handler</v>
      </c>
      <c r="F2693" s="164">
        <f>IFERROR(__xludf.DUMMYFUNCTION("""COMPUTED_VALUE"""),473.588333333333)</f>
        <v>473.5883333</v>
      </c>
      <c r="G2693" s="163">
        <f>IFERROR(__xludf.DUMMYFUNCTION("""COMPUTED_VALUE"""),37.0)</f>
        <v>37</v>
      </c>
      <c r="H2693" s="163" t="str">
        <f>IFERROR(__xludf.DUMMYFUNCTION("""COMPUTED_VALUE"""),"PG")</f>
        <v>PG</v>
      </c>
      <c r="I2693" s="163">
        <f>IFERROR(__xludf.DUMMYFUNCTION("""COMPUTED_VALUE"""),26.0)</f>
        <v>26</v>
      </c>
      <c r="J2693" s="165">
        <f>IFERROR(__xludf.DUMMYFUNCTION("""COMPUTED_VALUE"""),-0.211892787638648)</f>
        <v>-0.2118927876</v>
      </c>
      <c r="K2693" s="165">
        <f>IFERROR(__xludf.DUMMYFUNCTION("""COMPUTED_VALUE"""),0.334029164113623)</f>
        <v>0.3340291641</v>
      </c>
      <c r="L2693" s="165">
        <f>IFERROR(__xludf.DUMMYFUNCTION("""COMPUTED_VALUE"""),-0.545921951752271)</f>
        <v>-0.5459219518</v>
      </c>
      <c r="M2693" s="166">
        <f t="shared" si="2"/>
        <v>0.662464651</v>
      </c>
      <c r="N2693" s="167">
        <f t="shared" si="3"/>
        <v>12.79968468</v>
      </c>
      <c r="O2693" s="163">
        <f t="shared" ref="O2693:Q2693" si="2697">rank(I2693,I:I)</f>
        <v>1665</v>
      </c>
      <c r="P2693" s="163">
        <f t="shared" si="2697"/>
        <v>1516</v>
      </c>
      <c r="Q2693" s="163">
        <f t="shared" si="2697"/>
        <v>878</v>
      </c>
      <c r="R2693" s="163">
        <f>IFERROR(__xludf.DUMMYFUNCTION("RANK(M2693,filter(M:M,C:C=C2693))"),265.0)</f>
        <v>265</v>
      </c>
      <c r="S2693" s="161" t="b">
        <f t="shared" si="5"/>
        <v>0</v>
      </c>
      <c r="T2693" s="161" t="b">
        <f t="array" ref="T2693">index('Query Tool'!B:B,match(H2693,'Query Tool'!C:C,0))</f>
        <v>1</v>
      </c>
      <c r="U2693" s="161" t="b">
        <f t="array" ref="U2693">index('Query Tool'!B:B,match(C2693,'Query Tool'!C:C,0))</f>
        <v>0</v>
      </c>
      <c r="V2693" s="161" t="b">
        <f>F2693&gt;='Query Tool'!C$32</f>
        <v>0</v>
      </c>
      <c r="W2693" s="161" t="b">
        <f t="array" ref="W2693">index(Dropdowns!B:B,match(I2693,Dropdowns!A:A,0))</f>
        <v>1</v>
      </c>
      <c r="X2693" s="161" t="b">
        <f t="array" ref="X2693">index('Query Tool'!B:B,match(D2693,'Query Tool'!C:C,0))</f>
        <v>1</v>
      </c>
      <c r="Y2693" s="161" t="str">
        <f t="shared" si="6"/>
        <v>netora01,2018-19</v>
      </c>
      <c r="Z2693" s="168">
        <f t="array" ref="Z2693">iferror(index(I:I,match($A2693&amp;","&amp;index('Year Conversion'!$A:$A,match($C2693,'Year Conversion'!$B:$B,0)),$Y:$Y,0))-I2693,"")</f>
        <v>1</v>
      </c>
      <c r="AA2693" s="168">
        <f t="array" ref="AA2693">iferror(index(J:J,match($A2693&amp;","&amp;index('Year Conversion'!$A:$A,match($C2693,'Year Conversion'!$B:$B,0)),$Y:$Y,0))-J2693,"")</f>
        <v>-1.347400203</v>
      </c>
      <c r="AB2693" s="168">
        <f t="array" ref="AB2693">iferror(index(K:K,match($A2693&amp;","&amp;index('Year Conversion'!$A:$A,match($C2693,'Year Conversion'!$B:$B,0)),$Y:$Y,0))-K2693,"")</f>
        <v>-1.345594796</v>
      </c>
      <c r="AC2693" s="168" t="str">
        <f t="shared" si="7"/>
        <v>UTA,2018-19</v>
      </c>
    </row>
    <row r="2694">
      <c r="A2694" s="161" t="str">
        <f>IFERROR(__xludf.DUMMYFUNCTION("""COMPUTED_VALUE"""),"clarkia01")</f>
        <v>clarkia01</v>
      </c>
      <c r="B2694" s="161" t="str">
        <f>IFERROR(__xludf.DUMMYFUNCTION("""COMPUTED_VALUE"""),"Ian Clark")</f>
        <v>Ian Clark</v>
      </c>
      <c r="C2694" s="162" t="str">
        <f>IFERROR(__xludf.DUMMYFUNCTION("""COMPUTED_VALUE"""),"2018-19")</f>
        <v>2018-19</v>
      </c>
      <c r="D2694" s="163" t="str">
        <f>IFERROR(__xludf.DUMMYFUNCTION("""COMPUTED_VALUE"""),"NOP")</f>
        <v>NOP</v>
      </c>
      <c r="E2694" s="164" t="str">
        <f>IFERROR(__xludf.DUMMYFUNCTION("""COMPUTED_VALUE"""),"Movement Shooter")</f>
        <v>Movement Shooter</v>
      </c>
      <c r="F2694" s="164">
        <f>IFERROR(__xludf.DUMMYFUNCTION("""COMPUTED_VALUE"""),972.578333333333)</f>
        <v>972.5783333</v>
      </c>
      <c r="G2694" s="163">
        <f>IFERROR(__xludf.DUMMYFUNCTION("""COMPUTED_VALUE"""),60.0)</f>
        <v>60</v>
      </c>
      <c r="H2694" s="163" t="str">
        <f>IFERROR(__xludf.DUMMYFUNCTION("""COMPUTED_VALUE"""),"SG")</f>
        <v>SG</v>
      </c>
      <c r="I2694" s="163">
        <f>IFERROR(__xludf.DUMMYFUNCTION("""COMPUTED_VALUE"""),27.0)</f>
        <v>27</v>
      </c>
      <c r="J2694" s="165">
        <f>IFERROR(__xludf.DUMMYFUNCTION("""COMPUTED_VALUE"""),-2.41322008456501)</f>
        <v>-2.413220085</v>
      </c>
      <c r="K2694" s="165">
        <f>IFERROR(__xludf.DUMMYFUNCTION("""COMPUTED_VALUE"""),-0.934904257712983)</f>
        <v>-0.9349042577</v>
      </c>
      <c r="L2694" s="165">
        <f>IFERROR(__xludf.DUMMYFUNCTION("""COMPUTED_VALUE"""),-1.47831582685202)</f>
        <v>-1.478315827</v>
      </c>
      <c r="M2694" s="166">
        <f t="shared" si="2"/>
        <v>-0.07028403745</v>
      </c>
      <c r="N2694" s="167">
        <f t="shared" si="3"/>
        <v>16.20963889</v>
      </c>
      <c r="O2694" s="163">
        <f t="shared" ref="O2694:Q2694" si="2698">rank(I2694,I:I)</f>
        <v>1366</v>
      </c>
      <c r="P2694" s="163">
        <f t="shared" si="2698"/>
        <v>3723</v>
      </c>
      <c r="Q2694" s="163">
        <f t="shared" si="2698"/>
        <v>2733</v>
      </c>
      <c r="R2694" s="163">
        <f>IFERROR(__xludf.DUMMYFUNCTION("RANK(M2694,filter(M:M,C:C=C2694))"),491.0)</f>
        <v>491</v>
      </c>
      <c r="S2694" s="161" t="b">
        <f t="shared" si="5"/>
        <v>0</v>
      </c>
      <c r="T2694" s="161" t="b">
        <f t="array" ref="T2694">index('Query Tool'!B:B,match(H2694,'Query Tool'!C:C,0))</f>
        <v>1</v>
      </c>
      <c r="U2694" s="161" t="b">
        <f t="array" ref="U2694">index('Query Tool'!B:B,match(C2694,'Query Tool'!C:C,0))</f>
        <v>0</v>
      </c>
      <c r="V2694" s="161" t="b">
        <f>F2694&gt;='Query Tool'!C$32</f>
        <v>1</v>
      </c>
      <c r="W2694" s="161" t="b">
        <f t="array" ref="W2694">index(Dropdowns!B:B,match(I2694,Dropdowns!A:A,0))</f>
        <v>1</v>
      </c>
      <c r="X2694" s="161" t="b">
        <f t="array" ref="X2694">index('Query Tool'!B:B,match(D2694,'Query Tool'!C:C,0))</f>
        <v>1</v>
      </c>
      <c r="Y2694" s="161" t="str">
        <f t="shared" si="6"/>
        <v>clarkia01,2018-19</v>
      </c>
      <c r="Z2694" s="168" t="str">
        <f t="array" ref="Z2694">iferror(index(I:I,match($A2694&amp;","&amp;index('Year Conversion'!$A:$A,match($C2694,'Year Conversion'!$B:$B,0)),$Y:$Y,0))-I2694,"")</f>
        <v/>
      </c>
      <c r="AA2694" s="168" t="str">
        <f t="array" ref="AA2694">iferror(index(J:J,match($A2694&amp;","&amp;index('Year Conversion'!$A:$A,match($C2694,'Year Conversion'!$B:$B,0)),$Y:$Y,0))-J2694,"")</f>
        <v/>
      </c>
      <c r="AB2694" s="168" t="str">
        <f t="array" ref="AB2694">iferror(index(K:K,match($A2694&amp;","&amp;index('Year Conversion'!$A:$A,match($C2694,'Year Conversion'!$B:$B,0)),$Y:$Y,0))-K2694,"")</f>
        <v/>
      </c>
      <c r="AC2694" s="168" t="str">
        <f t="shared" si="7"/>
        <v>NOP,2018-19</v>
      </c>
    </row>
    <row r="2695">
      <c r="A2695" s="161" t="str">
        <f>IFERROR(__xludf.DUMMYFUNCTION("""COMPUTED_VALUE"""),"curryse01")</f>
        <v>curryse01</v>
      </c>
      <c r="B2695" s="161" t="str">
        <f>IFERROR(__xludf.DUMMYFUNCTION("""COMPUTED_VALUE"""),"Seth Curry")</f>
        <v>Seth Curry</v>
      </c>
      <c r="C2695" s="162" t="str">
        <f>IFERROR(__xludf.DUMMYFUNCTION("""COMPUTED_VALUE"""),"2018-19")</f>
        <v>2018-19</v>
      </c>
      <c r="D2695" s="163" t="str">
        <f>IFERROR(__xludf.DUMMYFUNCTION("""COMPUTED_VALUE"""),"POR")</f>
        <v>POR</v>
      </c>
      <c r="E2695" s="164" t="str">
        <f>IFERROR(__xludf.DUMMYFUNCTION("""COMPUTED_VALUE"""),"Secondary Ball Handler")</f>
        <v>Secondary Ball Handler</v>
      </c>
      <c r="F2695" s="164">
        <f>IFERROR(__xludf.DUMMYFUNCTION("""COMPUTED_VALUE"""),1399.39166666667)</f>
        <v>1399.391667</v>
      </c>
      <c r="G2695" s="163">
        <f>IFERROR(__xludf.DUMMYFUNCTION("""COMPUTED_VALUE"""),74.0)</f>
        <v>74</v>
      </c>
      <c r="H2695" s="163" t="str">
        <f>IFERROR(__xludf.DUMMYFUNCTION("""COMPUTED_VALUE"""),"SG")</f>
        <v>SG</v>
      </c>
      <c r="I2695" s="163">
        <f>IFERROR(__xludf.DUMMYFUNCTION("""COMPUTED_VALUE"""),28.0)</f>
        <v>28</v>
      </c>
      <c r="J2695" s="165">
        <f>IFERROR(__xludf.DUMMYFUNCTION("""COMPUTED_VALUE"""),-1.5412361531924)</f>
        <v>-1.541236153</v>
      </c>
      <c r="K2695" s="165">
        <f>IFERROR(__xludf.DUMMYFUNCTION("""COMPUTED_VALUE"""),-0.696173038867373)</f>
        <v>-0.6961730389</v>
      </c>
      <c r="L2695" s="165">
        <f>IFERROR(__xludf.DUMMYFUNCTION("""COMPUTED_VALUE"""),-0.845063114325027)</f>
        <v>-0.8450631143</v>
      </c>
      <c r="M2695" s="166">
        <f t="shared" si="2"/>
        <v>0.7080870102</v>
      </c>
      <c r="N2695" s="167">
        <f t="shared" si="3"/>
        <v>18.9106982</v>
      </c>
      <c r="O2695" s="163">
        <f t="shared" ref="O2695:Q2695" si="2699">rank(I2695,I:I)</f>
        <v>1090</v>
      </c>
      <c r="P2695" s="163">
        <f t="shared" si="2699"/>
        <v>3089</v>
      </c>
      <c r="Q2695" s="163">
        <f t="shared" si="2699"/>
        <v>2409</v>
      </c>
      <c r="R2695" s="163">
        <f>IFERROR(__xludf.DUMMYFUNCTION("RANK(M2695,filter(M:M,C:C=C2695))"),257.0)</f>
        <v>257</v>
      </c>
      <c r="S2695" s="161" t="b">
        <f t="shared" si="5"/>
        <v>0</v>
      </c>
      <c r="T2695" s="161" t="b">
        <f t="array" ref="T2695">index('Query Tool'!B:B,match(H2695,'Query Tool'!C:C,0))</f>
        <v>1</v>
      </c>
      <c r="U2695" s="161" t="b">
        <f t="array" ref="U2695">index('Query Tool'!B:B,match(C2695,'Query Tool'!C:C,0))</f>
        <v>0</v>
      </c>
      <c r="V2695" s="161" t="b">
        <f>F2695&gt;='Query Tool'!C$32</f>
        <v>1</v>
      </c>
      <c r="W2695" s="161" t="b">
        <f t="array" ref="W2695">index(Dropdowns!B:B,match(I2695,Dropdowns!A:A,0))</f>
        <v>1</v>
      </c>
      <c r="X2695" s="161" t="b">
        <f t="array" ref="X2695">index('Query Tool'!B:B,match(D2695,'Query Tool'!C:C,0))</f>
        <v>1</v>
      </c>
      <c r="Y2695" s="161" t="str">
        <f t="shared" si="6"/>
        <v>curryse01,2018-19</v>
      </c>
      <c r="Z2695" s="168">
        <f t="array" ref="Z2695">iferror(index(I:I,match($A2695&amp;","&amp;index('Year Conversion'!$A:$A,match($C2695,'Year Conversion'!$B:$B,0)),$Y:$Y,0))-I2695,"")</f>
        <v>1</v>
      </c>
      <c r="AA2695" s="168">
        <f t="array" ref="AA2695">iferror(index(J:J,match($A2695&amp;","&amp;index('Year Conversion'!$A:$A,match($C2695,'Year Conversion'!$B:$B,0)),$Y:$Y,0))-J2695,"")</f>
        <v>1.615716865</v>
      </c>
      <c r="AB2695" s="168">
        <f t="array" ref="AB2695">iferror(index(K:K,match($A2695&amp;","&amp;index('Year Conversion'!$A:$A,match($C2695,'Year Conversion'!$B:$B,0)),$Y:$Y,0))-K2695,"")</f>
        <v>2.347301808</v>
      </c>
      <c r="AC2695" s="168" t="str">
        <f t="shared" si="7"/>
        <v>POR,2018-19</v>
      </c>
    </row>
    <row r="2696">
      <c r="A2696" s="161" t="str">
        <f>IFERROR(__xludf.DUMMYFUNCTION("""COMPUTED_VALUE"""),"lucaska01")</f>
        <v>lucaska01</v>
      </c>
      <c r="B2696" s="161" t="str">
        <f>IFERROR(__xludf.DUMMYFUNCTION("""COMPUTED_VALUE"""),"Kalin Lucas")</f>
        <v>Kalin Lucas</v>
      </c>
      <c r="C2696" s="162" t="str">
        <f>IFERROR(__xludf.DUMMYFUNCTION("""COMPUTED_VALUE"""),"2018-19")</f>
        <v>2018-19</v>
      </c>
      <c r="D2696" s="163" t="str">
        <f>IFERROR(__xludf.DUMMYFUNCTION("""COMPUTED_VALUE"""),"DET")</f>
        <v>DET</v>
      </c>
      <c r="E2696" s="164" t="str">
        <f>IFERROR(__xludf.DUMMYFUNCTION("""COMPUTED_VALUE"""),"Secondary Ball Handler")</f>
        <v>Secondary Ball Handler</v>
      </c>
      <c r="F2696" s="164">
        <f>IFERROR(__xludf.DUMMYFUNCTION("""COMPUTED_VALUE"""),5.58333333333333)</f>
        <v>5.583333333</v>
      </c>
      <c r="G2696" s="163">
        <f>IFERROR(__xludf.DUMMYFUNCTION("""COMPUTED_VALUE"""),1.0)</f>
        <v>1</v>
      </c>
      <c r="H2696" s="163" t="str">
        <f>IFERROR(__xludf.DUMMYFUNCTION("""COMPUTED_VALUE"""),"PG")</f>
        <v>PG</v>
      </c>
      <c r="I2696" s="163">
        <f>IFERROR(__xludf.DUMMYFUNCTION("""COMPUTED_VALUE"""),29.0)</f>
        <v>29</v>
      </c>
      <c r="J2696" s="165">
        <f>IFERROR(__xludf.DUMMYFUNCTION("""COMPUTED_VALUE"""),-0.224550133045424)</f>
        <v>-0.224550133</v>
      </c>
      <c r="K2696" s="165">
        <f>IFERROR(__xludf.DUMMYFUNCTION("""COMPUTED_VALUE"""),-0.242958088988016)</f>
        <v>-0.242958089</v>
      </c>
      <c r="L2696" s="165">
        <f>IFERROR(__xludf.DUMMYFUNCTION("""COMPUTED_VALUE"""),0.0184079559425921)</f>
        <v>0.01840795594</v>
      </c>
      <c r="M2696" s="166">
        <f t="shared" si="2"/>
        <v>0.007762440537</v>
      </c>
      <c r="N2696" s="167">
        <f t="shared" si="3"/>
        <v>5.583333333</v>
      </c>
      <c r="O2696" s="163">
        <f t="shared" ref="O2696:Q2696" si="2700">rank(I2696,I:I)</f>
        <v>855</v>
      </c>
      <c r="P2696" s="163">
        <f t="shared" si="2700"/>
        <v>1530</v>
      </c>
      <c r="Q2696" s="163">
        <f t="shared" si="2700"/>
        <v>1653</v>
      </c>
      <c r="R2696" s="163">
        <f>IFERROR(__xludf.DUMMYFUNCTION("RANK(M2696,filter(M:M,C:C=C2696))"),463.0)</f>
        <v>463</v>
      </c>
      <c r="S2696" s="161" t="b">
        <f t="shared" si="5"/>
        <v>0</v>
      </c>
      <c r="T2696" s="161" t="b">
        <f t="array" ref="T2696">index('Query Tool'!B:B,match(H2696,'Query Tool'!C:C,0))</f>
        <v>1</v>
      </c>
      <c r="U2696" s="161" t="b">
        <f t="array" ref="U2696">index('Query Tool'!B:B,match(C2696,'Query Tool'!C:C,0))</f>
        <v>0</v>
      </c>
      <c r="V2696" s="161" t="b">
        <f>F2696&gt;='Query Tool'!C$32</f>
        <v>0</v>
      </c>
      <c r="W2696" s="161" t="b">
        <f t="array" ref="W2696">index(Dropdowns!B:B,match(I2696,Dropdowns!A:A,0))</f>
        <v>1</v>
      </c>
      <c r="X2696" s="161" t="b">
        <f t="array" ref="X2696">index('Query Tool'!B:B,match(D2696,'Query Tool'!C:C,0))</f>
        <v>1</v>
      </c>
      <c r="Y2696" s="161" t="str">
        <f t="shared" si="6"/>
        <v>lucaska01,2018-19</v>
      </c>
      <c r="Z2696" s="168" t="str">
        <f t="array" ref="Z2696">iferror(index(I:I,match($A2696&amp;","&amp;index('Year Conversion'!$A:$A,match($C2696,'Year Conversion'!$B:$B,0)),$Y:$Y,0))-I2696,"")</f>
        <v/>
      </c>
      <c r="AA2696" s="168" t="str">
        <f t="array" ref="AA2696">iferror(index(J:J,match($A2696&amp;","&amp;index('Year Conversion'!$A:$A,match($C2696,'Year Conversion'!$B:$B,0)),$Y:$Y,0))-J2696,"")</f>
        <v/>
      </c>
      <c r="AB2696" s="168" t="str">
        <f t="array" ref="AB2696">iferror(index(K:K,match($A2696&amp;","&amp;index('Year Conversion'!$A:$A,match($C2696,'Year Conversion'!$B:$B,0)),$Y:$Y,0))-K2696,"")</f>
        <v/>
      </c>
      <c r="AC2696" s="168" t="str">
        <f t="shared" si="7"/>
        <v>DET,2018-19</v>
      </c>
    </row>
    <row r="2697">
      <c r="A2697" s="161" t="str">
        <f>IFERROR(__xludf.DUMMYFUNCTION("""COMPUTED_VALUE"""),"danietr01")</f>
        <v>danietr01</v>
      </c>
      <c r="B2697" s="161" t="str">
        <f>IFERROR(__xludf.DUMMYFUNCTION("""COMPUTED_VALUE"""),"Troy Daniels")</f>
        <v>Troy Daniels</v>
      </c>
      <c r="C2697" s="162" t="str">
        <f>IFERROR(__xludf.DUMMYFUNCTION("""COMPUTED_VALUE"""),"2018-19")</f>
        <v>2018-19</v>
      </c>
      <c r="D2697" s="163" t="str">
        <f>IFERROR(__xludf.DUMMYFUNCTION("""COMPUTED_VALUE"""),"PHO")</f>
        <v>PHO</v>
      </c>
      <c r="E2697" s="164" t="str">
        <f>IFERROR(__xludf.DUMMYFUNCTION("""COMPUTED_VALUE"""),"Movement Shooter")</f>
        <v>Movement Shooter</v>
      </c>
      <c r="F2697" s="164">
        <f>IFERROR(__xludf.DUMMYFUNCTION("""COMPUTED_VALUE"""),759.73)</f>
        <v>759.73</v>
      </c>
      <c r="G2697" s="163">
        <f>IFERROR(__xludf.DUMMYFUNCTION("""COMPUTED_VALUE"""),51.0)</f>
        <v>51</v>
      </c>
      <c r="H2697" s="163" t="str">
        <f>IFERROR(__xludf.DUMMYFUNCTION("""COMPUTED_VALUE"""),"SG")</f>
        <v>SG</v>
      </c>
      <c r="I2697" s="163">
        <f>IFERROR(__xludf.DUMMYFUNCTION("""COMPUTED_VALUE"""),27.0)</f>
        <v>27</v>
      </c>
      <c r="J2697" s="165">
        <f>IFERROR(__xludf.DUMMYFUNCTION("""COMPUTED_VALUE"""),-1.87949351427764)</f>
        <v>-1.879493514</v>
      </c>
      <c r="K2697" s="165">
        <f>IFERROR(__xludf.DUMMYFUNCTION("""COMPUTED_VALUE"""),-0.533175978120581)</f>
        <v>-0.5331759781</v>
      </c>
      <c r="L2697" s="165">
        <f>IFERROR(__xludf.DUMMYFUNCTION("""COMPUTED_VALUE"""),-1.34631753615706)</f>
        <v>-1.346317536</v>
      </c>
      <c r="M2697" s="166">
        <f t="shared" si="2"/>
        <v>0.213266196</v>
      </c>
      <c r="N2697" s="167">
        <f t="shared" si="3"/>
        <v>14.89666667</v>
      </c>
      <c r="O2697" s="163">
        <f t="shared" ref="O2697:Q2697" si="2701">rank(I2697,I:I)</f>
        <v>1366</v>
      </c>
      <c r="P2697" s="163">
        <f t="shared" si="2701"/>
        <v>3404</v>
      </c>
      <c r="Q2697" s="163">
        <f t="shared" si="2701"/>
        <v>2160</v>
      </c>
      <c r="R2697" s="163">
        <f>IFERROR(__xludf.DUMMYFUNCTION("RANK(M2697,filter(M:M,C:C=C2697))"),343.0)</f>
        <v>343</v>
      </c>
      <c r="S2697" s="161" t="b">
        <f t="shared" si="5"/>
        <v>0</v>
      </c>
      <c r="T2697" s="161" t="b">
        <f t="array" ref="T2697">index('Query Tool'!B:B,match(H2697,'Query Tool'!C:C,0))</f>
        <v>1</v>
      </c>
      <c r="U2697" s="161" t="b">
        <f t="array" ref="U2697">index('Query Tool'!B:B,match(C2697,'Query Tool'!C:C,0))</f>
        <v>0</v>
      </c>
      <c r="V2697" s="161" t="b">
        <f>F2697&gt;='Query Tool'!C$32</f>
        <v>1</v>
      </c>
      <c r="W2697" s="161" t="b">
        <f t="array" ref="W2697">index(Dropdowns!B:B,match(I2697,Dropdowns!A:A,0))</f>
        <v>1</v>
      </c>
      <c r="X2697" s="161" t="b">
        <f t="array" ref="X2697">index('Query Tool'!B:B,match(D2697,'Query Tool'!C:C,0))</f>
        <v>1</v>
      </c>
      <c r="Y2697" s="161" t="str">
        <f t="shared" si="6"/>
        <v>danietr01,2018-19</v>
      </c>
      <c r="Z2697" s="168">
        <f t="array" ref="Z2697">iferror(index(I:I,match($A2697&amp;","&amp;index('Year Conversion'!$A:$A,match($C2697,'Year Conversion'!$B:$B,0)),$Y:$Y,0))-I2697,"")</f>
        <v>1</v>
      </c>
      <c r="AA2697" s="168">
        <f t="array" ref="AA2697">iferror(index(J:J,match($A2697&amp;","&amp;index('Year Conversion'!$A:$A,match($C2697,'Year Conversion'!$B:$B,0)),$Y:$Y,0))-J2697,"")</f>
        <v>-0.1459149245</v>
      </c>
      <c r="AB2697" s="168">
        <f t="array" ref="AB2697">iferror(index(K:K,match($A2697&amp;","&amp;index('Year Conversion'!$A:$A,match($C2697,'Year Conversion'!$B:$B,0)),$Y:$Y,0))-K2697,"")</f>
        <v>0.0139243176</v>
      </c>
      <c r="AC2697" s="168" t="str">
        <f t="shared" si="7"/>
        <v>PHO,2018-19</v>
      </c>
    </row>
    <row r="2698">
      <c r="A2698" s="161" t="str">
        <f>IFERROR(__xludf.DUMMYFUNCTION("""COMPUTED_VALUE"""),"mcgruro01")</f>
        <v>mcgruro01</v>
      </c>
      <c r="B2698" s="161" t="str">
        <f>IFERROR(__xludf.DUMMYFUNCTION("""COMPUTED_VALUE"""),"Rodney McGruder")</f>
        <v>Rodney McGruder</v>
      </c>
      <c r="C2698" s="162" t="str">
        <f>IFERROR(__xludf.DUMMYFUNCTION("""COMPUTED_VALUE"""),"2018-19")</f>
        <v>2018-19</v>
      </c>
      <c r="D2698" s="163" t="str">
        <f>IFERROR(__xludf.DUMMYFUNCTION("""COMPUTED_VALUE"""),"MIA")</f>
        <v>MIA</v>
      </c>
      <c r="E2698" s="164" t="str">
        <f>IFERROR(__xludf.DUMMYFUNCTION("""COMPUTED_VALUE"""),"Movement Shooter")</f>
        <v>Movement Shooter</v>
      </c>
      <c r="F2698" s="164">
        <f>IFERROR(__xludf.DUMMYFUNCTION("""COMPUTED_VALUE"""),1549.715)</f>
        <v>1549.715</v>
      </c>
      <c r="G2698" s="163">
        <f>IFERROR(__xludf.DUMMYFUNCTION("""COMPUTED_VALUE"""),66.0)</f>
        <v>66</v>
      </c>
      <c r="H2698" s="163" t="str">
        <f>IFERROR(__xludf.DUMMYFUNCTION("""COMPUTED_VALUE"""),"SG")</f>
        <v>SG</v>
      </c>
      <c r="I2698" s="163">
        <f>IFERROR(__xludf.DUMMYFUNCTION("""COMPUTED_VALUE"""),27.0)</f>
        <v>27</v>
      </c>
      <c r="J2698" s="165">
        <f>IFERROR(__xludf.DUMMYFUNCTION("""COMPUTED_VALUE"""),-1.24289230318928)</f>
        <v>-1.242892303</v>
      </c>
      <c r="K2698" s="165">
        <f>IFERROR(__xludf.DUMMYFUNCTION("""COMPUTED_VALUE"""),-1.45023569515133)</f>
        <v>-1.450235695</v>
      </c>
      <c r="L2698" s="165">
        <f>IFERROR(__xludf.DUMMYFUNCTION("""COMPUTED_VALUE"""),0.207343391962055)</f>
        <v>0.207343392</v>
      </c>
      <c r="M2698" s="166">
        <f t="shared" si="2"/>
        <v>1.093347082</v>
      </c>
      <c r="N2698" s="167">
        <f t="shared" si="3"/>
        <v>23.4805303</v>
      </c>
      <c r="O2698" s="163">
        <f t="shared" ref="O2698:Q2698" si="2702">rank(I2698,I:I)</f>
        <v>1366</v>
      </c>
      <c r="P2698" s="163">
        <f t="shared" si="2702"/>
        <v>2805</v>
      </c>
      <c r="Q2698" s="163">
        <f t="shared" si="2702"/>
        <v>3298</v>
      </c>
      <c r="R2698" s="163">
        <f>IFERROR(__xludf.DUMMYFUNCTION("RANK(M2698,filter(M:M,C:C=C2698))"),217.0)</f>
        <v>217</v>
      </c>
      <c r="S2698" s="161" t="b">
        <f t="shared" si="5"/>
        <v>0</v>
      </c>
      <c r="T2698" s="161" t="b">
        <f t="array" ref="T2698">index('Query Tool'!B:B,match(H2698,'Query Tool'!C:C,0))</f>
        <v>1</v>
      </c>
      <c r="U2698" s="161" t="b">
        <f t="array" ref="U2698">index('Query Tool'!B:B,match(C2698,'Query Tool'!C:C,0))</f>
        <v>0</v>
      </c>
      <c r="V2698" s="161" t="b">
        <f>F2698&gt;='Query Tool'!C$32</f>
        <v>1</v>
      </c>
      <c r="W2698" s="161" t="b">
        <f t="array" ref="W2698">index(Dropdowns!B:B,match(I2698,Dropdowns!A:A,0))</f>
        <v>1</v>
      </c>
      <c r="X2698" s="161" t="b">
        <f t="array" ref="X2698">index('Query Tool'!B:B,match(D2698,'Query Tool'!C:C,0))</f>
        <v>1</v>
      </c>
      <c r="Y2698" s="161" t="str">
        <f t="shared" si="6"/>
        <v>mcgruro01,2018-19</v>
      </c>
      <c r="Z2698" s="168">
        <f t="array" ref="Z2698">iferror(index(I:I,match($A2698&amp;","&amp;index('Year Conversion'!$A:$A,match($C2698,'Year Conversion'!$B:$B,0)),$Y:$Y,0))-I2698,"")</f>
        <v>1</v>
      </c>
      <c r="AA2698" s="168">
        <f t="array" ref="AA2698">iferror(index(J:J,match($A2698&amp;","&amp;index('Year Conversion'!$A:$A,match($C2698,'Year Conversion'!$B:$B,0)),$Y:$Y,0))-J2698,"")</f>
        <v>-0.5776785508</v>
      </c>
      <c r="AB2698" s="168">
        <f t="array" ref="AB2698">iferror(index(K:K,match($A2698&amp;","&amp;index('Year Conversion'!$A:$A,match($C2698,'Year Conversion'!$B:$B,0)),$Y:$Y,0))-K2698,"")</f>
        <v>-0.1491772177</v>
      </c>
      <c r="AC2698" s="168" t="str">
        <f t="shared" si="7"/>
        <v>MIA,2018-19</v>
      </c>
    </row>
    <row r="2699">
      <c r="A2699" s="161" t="str">
        <f>IFERROR(__xludf.DUMMYFUNCTION("""COMPUTED_VALUE"""),"simmojo02")</f>
        <v>simmojo02</v>
      </c>
      <c r="B2699" s="161" t="str">
        <f>IFERROR(__xludf.DUMMYFUNCTION("""COMPUTED_VALUE"""),"Jonathon Simmons")</f>
        <v>Jonathon Simmons</v>
      </c>
      <c r="C2699" s="162" t="str">
        <f>IFERROR(__xludf.DUMMYFUNCTION("""COMPUTED_VALUE"""),"2018-19")</f>
        <v>2018-19</v>
      </c>
      <c r="D2699" s="163" t="str">
        <f>IFERROR(__xludf.DUMMYFUNCTION("""COMPUTED_VALUE"""),"TOT")</f>
        <v>TOT</v>
      </c>
      <c r="E2699" s="164" t="str">
        <f>IFERROR(__xludf.DUMMYFUNCTION("""COMPUTED_VALUE"""),"Secondary Ball Handler")</f>
        <v>Secondary Ball Handler</v>
      </c>
      <c r="F2699" s="164">
        <f>IFERROR(__xludf.DUMMYFUNCTION("""COMPUTED_VALUE"""),1064.265)</f>
        <v>1064.265</v>
      </c>
      <c r="G2699" s="163">
        <f>IFERROR(__xludf.DUMMYFUNCTION("""COMPUTED_VALUE"""),56.0)</f>
        <v>56</v>
      </c>
      <c r="H2699" s="163" t="str">
        <f>IFERROR(__xludf.DUMMYFUNCTION("""COMPUTED_VALUE"""),"SG-SF")</f>
        <v>SG-SF</v>
      </c>
      <c r="I2699" s="163">
        <f>IFERROR(__xludf.DUMMYFUNCTION("""COMPUTED_VALUE"""),29.0)</f>
        <v>29</v>
      </c>
      <c r="J2699" s="165">
        <f>IFERROR(__xludf.DUMMYFUNCTION("""COMPUTED_VALUE"""),-2.83488454343689)</f>
        <v>-2.834884543</v>
      </c>
      <c r="K2699" s="165">
        <f>IFERROR(__xludf.DUMMYFUNCTION("""COMPUTED_VALUE"""),-2.17961787297832)</f>
        <v>-2.179617873</v>
      </c>
      <c r="L2699" s="165">
        <f>IFERROR(__xludf.DUMMYFUNCTION("""COMPUTED_VALUE"""),-0.655266670458573)</f>
        <v>-0.6552666705</v>
      </c>
      <c r="M2699" s="166">
        <f t="shared" si="2"/>
        <v>-0.3709254274</v>
      </c>
      <c r="N2699" s="167">
        <f t="shared" si="3"/>
        <v>19.00473214</v>
      </c>
      <c r="O2699" s="163">
        <f t="shared" ref="O2699:Q2699" si="2703">rank(I2699,I:I)</f>
        <v>855</v>
      </c>
      <c r="P2699" s="163">
        <f t="shared" si="2703"/>
        <v>3852</v>
      </c>
      <c r="Q2699" s="163">
        <f t="shared" si="2703"/>
        <v>3795</v>
      </c>
      <c r="R2699" s="163">
        <f>IFERROR(__xludf.DUMMYFUNCTION("RANK(M2699,filter(M:M,C:C=C2699))"),511.0)</f>
        <v>511</v>
      </c>
      <c r="S2699" s="161" t="b">
        <f t="shared" si="5"/>
        <v>0</v>
      </c>
      <c r="T2699" s="161" t="str">
        <f t="array" ref="T2699">index('Query Tool'!B:B,match(H2699,'Query Tool'!C:C,0))</f>
        <v>#N/A</v>
      </c>
      <c r="U2699" s="161" t="b">
        <f t="array" ref="U2699">index('Query Tool'!B:B,match(C2699,'Query Tool'!C:C,0))</f>
        <v>0</v>
      </c>
      <c r="V2699" s="161" t="b">
        <f>F2699&gt;='Query Tool'!C$32</f>
        <v>1</v>
      </c>
      <c r="W2699" s="161" t="b">
        <f t="array" ref="W2699">index(Dropdowns!B:B,match(I2699,Dropdowns!A:A,0))</f>
        <v>1</v>
      </c>
      <c r="X2699" s="161" t="b">
        <f t="array" ref="X2699">index('Query Tool'!B:B,match(D2699,'Query Tool'!C:C,0))</f>
        <v>1</v>
      </c>
      <c r="Y2699" s="161" t="str">
        <f t="shared" si="6"/>
        <v>simmojo02,2018-19</v>
      </c>
      <c r="Z2699" s="168" t="str">
        <f t="array" ref="Z2699">iferror(index(I:I,match($A2699&amp;","&amp;index('Year Conversion'!$A:$A,match($C2699,'Year Conversion'!$B:$B,0)),$Y:$Y,0))-I2699,"")</f>
        <v/>
      </c>
      <c r="AA2699" s="168" t="str">
        <f t="array" ref="AA2699">iferror(index(J:J,match($A2699&amp;","&amp;index('Year Conversion'!$A:$A,match($C2699,'Year Conversion'!$B:$B,0)),$Y:$Y,0))-J2699,"")</f>
        <v/>
      </c>
      <c r="AB2699" s="168" t="str">
        <f t="array" ref="AB2699">iferror(index(K:K,match($A2699&amp;","&amp;index('Year Conversion'!$A:$A,match($C2699,'Year Conversion'!$B:$B,0)),$Y:$Y,0))-K2699,"")</f>
        <v/>
      </c>
      <c r="AC2699" s="168" t="str">
        <f t="shared" si="7"/>
        <v>TOT,2018-19</v>
      </c>
    </row>
    <row r="2700">
      <c r="A2700" s="161" t="str">
        <f>IFERROR(__xludf.DUMMYFUNCTION("""COMPUTED_VALUE"""),"willicj01")</f>
        <v>willicj01</v>
      </c>
      <c r="B2700" s="161" t="str">
        <f>IFERROR(__xludf.DUMMYFUNCTION("""COMPUTED_VALUE"""),"C.J. Williams")</f>
        <v>C.J. Williams</v>
      </c>
      <c r="C2700" s="162" t="str">
        <f>IFERROR(__xludf.DUMMYFUNCTION("""COMPUTED_VALUE"""),"2018-19")</f>
        <v>2018-19</v>
      </c>
      <c r="D2700" s="163" t="str">
        <f>IFERROR(__xludf.DUMMYFUNCTION("""COMPUTED_VALUE"""),"MIN")</f>
        <v>MIN</v>
      </c>
      <c r="E2700" s="164" t="str">
        <f>IFERROR(__xludf.DUMMYFUNCTION("""COMPUTED_VALUE"""),"Secondary Ball Handler")</f>
        <v>Secondary Ball Handler</v>
      </c>
      <c r="F2700" s="164">
        <f>IFERROR(__xludf.DUMMYFUNCTION("""COMPUTED_VALUE"""),128.166666666667)</f>
        <v>128.1666667</v>
      </c>
      <c r="G2700" s="163">
        <f>IFERROR(__xludf.DUMMYFUNCTION("""COMPUTED_VALUE"""),15.0)</f>
        <v>15</v>
      </c>
      <c r="H2700" s="163" t="str">
        <f>IFERROR(__xludf.DUMMYFUNCTION("""COMPUTED_VALUE"""),"SG")</f>
        <v>SG</v>
      </c>
      <c r="I2700" s="163">
        <f>IFERROR(__xludf.DUMMYFUNCTION("""COMPUTED_VALUE"""),28.0)</f>
        <v>28</v>
      </c>
      <c r="J2700" s="165">
        <f>IFERROR(__xludf.DUMMYFUNCTION("""COMPUTED_VALUE"""),-1.90581742810328)</f>
        <v>-1.905817428</v>
      </c>
      <c r="K2700" s="165">
        <f>IFERROR(__xludf.DUMMYFUNCTION("""COMPUTED_VALUE"""),-1.22777852067709)</f>
        <v>-1.227778521</v>
      </c>
      <c r="L2700" s="165">
        <f>IFERROR(__xludf.DUMMYFUNCTION("""COMPUTED_VALUE"""),-0.678038907426188)</f>
        <v>-0.6780389074</v>
      </c>
      <c r="M2700" s="166">
        <f t="shared" si="2"/>
        <v>0.03373707694</v>
      </c>
      <c r="N2700" s="167">
        <f t="shared" si="3"/>
        <v>8.544444444</v>
      </c>
      <c r="O2700" s="163">
        <f t="shared" ref="O2700:Q2700" si="2704">rank(I2700,I:I)</f>
        <v>1090</v>
      </c>
      <c r="P2700" s="163">
        <f t="shared" si="2704"/>
        <v>3423</v>
      </c>
      <c r="Q2700" s="163">
        <f t="shared" si="2704"/>
        <v>3061</v>
      </c>
      <c r="R2700" s="163">
        <f>IFERROR(__xludf.DUMMYFUNCTION("RANK(M2700,filter(M:M,C:C=C2700))"),436.0)</f>
        <v>436</v>
      </c>
      <c r="S2700" s="161" t="b">
        <f t="shared" si="5"/>
        <v>0</v>
      </c>
      <c r="T2700" s="161" t="b">
        <f t="array" ref="T2700">index('Query Tool'!B:B,match(H2700,'Query Tool'!C:C,0))</f>
        <v>1</v>
      </c>
      <c r="U2700" s="161" t="b">
        <f t="array" ref="U2700">index('Query Tool'!B:B,match(C2700,'Query Tool'!C:C,0))</f>
        <v>0</v>
      </c>
      <c r="V2700" s="161" t="b">
        <f>F2700&gt;='Query Tool'!C$32</f>
        <v>0</v>
      </c>
      <c r="W2700" s="161" t="b">
        <f t="array" ref="W2700">index(Dropdowns!B:B,match(I2700,Dropdowns!A:A,0))</f>
        <v>1</v>
      </c>
      <c r="X2700" s="161" t="b">
        <f t="array" ref="X2700">index('Query Tool'!B:B,match(D2700,'Query Tool'!C:C,0))</f>
        <v>1</v>
      </c>
      <c r="Y2700" s="161" t="str">
        <f t="shared" si="6"/>
        <v>willicj01,2018-19</v>
      </c>
      <c r="Z2700" s="168" t="str">
        <f t="array" ref="Z2700">iferror(index(I:I,match($A2700&amp;","&amp;index('Year Conversion'!$A:$A,match($C2700,'Year Conversion'!$B:$B,0)),$Y:$Y,0))-I2700,"")</f>
        <v/>
      </c>
      <c r="AA2700" s="168" t="str">
        <f t="array" ref="AA2700">iferror(index(J:J,match($A2700&amp;","&amp;index('Year Conversion'!$A:$A,match($C2700,'Year Conversion'!$B:$B,0)),$Y:$Y,0))-J2700,"")</f>
        <v/>
      </c>
      <c r="AB2700" s="168" t="str">
        <f t="array" ref="AB2700">iferror(index(K:K,match($A2700&amp;","&amp;index('Year Conversion'!$A:$A,match($C2700,'Year Conversion'!$B:$B,0)),$Y:$Y,0))-K2700,"")</f>
        <v/>
      </c>
      <c r="AC2700" s="168" t="str">
        <f t="shared" si="7"/>
        <v>MIN,2018-19</v>
      </c>
    </row>
    <row r="2701">
      <c r="A2701" s="161" t="str">
        <f>IFERROR(__xludf.DUMMYFUNCTION("""COMPUTED_VALUE"""),"napiesh01")</f>
        <v>napiesh01</v>
      </c>
      <c r="B2701" s="161" t="str">
        <f>IFERROR(__xludf.DUMMYFUNCTION("""COMPUTED_VALUE"""),"Shabazz Napier")</f>
        <v>Shabazz Napier</v>
      </c>
      <c r="C2701" s="162" t="str">
        <f>IFERROR(__xludf.DUMMYFUNCTION("""COMPUTED_VALUE"""),"2018-19")</f>
        <v>2018-19</v>
      </c>
      <c r="D2701" s="163" t="str">
        <f>IFERROR(__xludf.DUMMYFUNCTION("""COMPUTED_VALUE"""),"BRK")</f>
        <v>BRK</v>
      </c>
      <c r="E2701" s="164" t="str">
        <f>IFERROR(__xludf.DUMMYFUNCTION("""COMPUTED_VALUE"""),"Secondary Ball Handler")</f>
        <v>Secondary Ball Handler</v>
      </c>
      <c r="F2701" s="164">
        <f>IFERROR(__xludf.DUMMYFUNCTION("""COMPUTED_VALUE"""),982.836666666666)</f>
        <v>982.8366667</v>
      </c>
      <c r="G2701" s="163">
        <f>IFERROR(__xludf.DUMMYFUNCTION("""COMPUTED_VALUE"""),56.0)</f>
        <v>56</v>
      </c>
      <c r="H2701" s="163" t="str">
        <f>IFERROR(__xludf.DUMMYFUNCTION("""COMPUTED_VALUE"""),"PG")</f>
        <v>PG</v>
      </c>
      <c r="I2701" s="163">
        <f>IFERROR(__xludf.DUMMYFUNCTION("""COMPUTED_VALUE"""),27.0)</f>
        <v>27</v>
      </c>
      <c r="J2701" s="165">
        <f>IFERROR(__xludf.DUMMYFUNCTION("""COMPUTED_VALUE"""),0.048100816630648)</f>
        <v>0.04810081663</v>
      </c>
      <c r="K2701" s="165">
        <f>IFERROR(__xludf.DUMMYFUNCTION("""COMPUTED_VALUE"""),1.02648126440821)</f>
        <v>1.026481264</v>
      </c>
      <c r="L2701" s="165">
        <f>IFERROR(__xludf.DUMMYFUNCTION("""COMPUTED_VALUE"""),-0.97838044777756)</f>
        <v>-0.9783804478</v>
      </c>
      <c r="M2701" s="166">
        <f t="shared" si="2"/>
        <v>1.547078915</v>
      </c>
      <c r="N2701" s="167">
        <f t="shared" si="3"/>
        <v>17.55065476</v>
      </c>
      <c r="O2701" s="163">
        <f t="shared" ref="O2701:Q2701" si="2705">rank(I2701,I:I)</f>
        <v>1366</v>
      </c>
      <c r="P2701" s="163">
        <f t="shared" si="2705"/>
        <v>1243</v>
      </c>
      <c r="Q2701" s="163">
        <f t="shared" si="2705"/>
        <v>493</v>
      </c>
      <c r="R2701" s="163">
        <f>IFERROR(__xludf.DUMMYFUNCTION("RANK(M2701,filter(M:M,C:C=C2701))"),184.0)</f>
        <v>184</v>
      </c>
      <c r="S2701" s="161" t="b">
        <f t="shared" si="5"/>
        <v>0</v>
      </c>
      <c r="T2701" s="161" t="b">
        <f t="array" ref="T2701">index('Query Tool'!B:B,match(H2701,'Query Tool'!C:C,0))</f>
        <v>1</v>
      </c>
      <c r="U2701" s="161" t="b">
        <f t="array" ref="U2701">index('Query Tool'!B:B,match(C2701,'Query Tool'!C:C,0))</f>
        <v>0</v>
      </c>
      <c r="V2701" s="161" t="b">
        <f>F2701&gt;='Query Tool'!C$32</f>
        <v>1</v>
      </c>
      <c r="W2701" s="161" t="b">
        <f t="array" ref="W2701">index(Dropdowns!B:B,match(I2701,Dropdowns!A:A,0))</f>
        <v>1</v>
      </c>
      <c r="X2701" s="161" t="b">
        <f t="array" ref="X2701">index('Query Tool'!B:B,match(D2701,'Query Tool'!C:C,0))</f>
        <v>1</v>
      </c>
      <c r="Y2701" s="161" t="str">
        <f t="shared" si="6"/>
        <v>napiesh01,2018-19</v>
      </c>
      <c r="Z2701" s="168">
        <f t="array" ref="Z2701">iferror(index(I:I,match($A2701&amp;","&amp;index('Year Conversion'!$A:$A,match($C2701,'Year Conversion'!$B:$B,0)),$Y:$Y,0))-I2701,"")</f>
        <v>1</v>
      </c>
      <c r="AA2701" s="168">
        <f t="array" ref="AA2701">iferror(index(J:J,match($A2701&amp;","&amp;index('Year Conversion'!$A:$A,match($C2701,'Year Conversion'!$B:$B,0)),$Y:$Y,0))-J2701,"")</f>
        <v>-0.3067852681</v>
      </c>
      <c r="AB2701" s="168">
        <f t="array" ref="AB2701">iferror(index(K:K,match($A2701&amp;","&amp;index('Year Conversion'!$A:$A,match($C2701,'Year Conversion'!$B:$B,0)),$Y:$Y,0))-K2701,"")</f>
        <v>-1.695138091</v>
      </c>
      <c r="AC2701" s="168" t="str">
        <f t="shared" si="7"/>
        <v>BRK,2018-19</v>
      </c>
    </row>
    <row r="2702">
      <c r="A2702" s="161" t="str">
        <f>IFERROR(__xludf.DUMMYFUNCTION("""COMPUTED_VALUE"""),"mcraejo01")</f>
        <v>mcraejo01</v>
      </c>
      <c r="B2702" s="161" t="str">
        <f>IFERROR(__xludf.DUMMYFUNCTION("""COMPUTED_VALUE"""),"Jordan McRae")</f>
        <v>Jordan McRae</v>
      </c>
      <c r="C2702" s="162" t="str">
        <f>IFERROR(__xludf.DUMMYFUNCTION("""COMPUTED_VALUE"""),"2018-19")</f>
        <v>2018-19</v>
      </c>
      <c r="D2702" s="163" t="str">
        <f>IFERROR(__xludf.DUMMYFUNCTION("""COMPUTED_VALUE"""),"WAS")</f>
        <v>WAS</v>
      </c>
      <c r="E2702" s="164" t="str">
        <f>IFERROR(__xludf.DUMMYFUNCTION("""COMPUTED_VALUE"""),"Secondary Ball Handler")</f>
        <v>Secondary Ball Handler</v>
      </c>
      <c r="F2702" s="164">
        <f>IFERROR(__xludf.DUMMYFUNCTION("""COMPUTED_VALUE"""),332.843333333333)</f>
        <v>332.8433333</v>
      </c>
      <c r="G2702" s="163">
        <f>IFERROR(__xludf.DUMMYFUNCTION("""COMPUTED_VALUE"""),27.0)</f>
        <v>27</v>
      </c>
      <c r="H2702" s="163" t="str">
        <f>IFERROR(__xludf.DUMMYFUNCTION("""COMPUTED_VALUE"""),"SG")</f>
        <v>SG</v>
      </c>
      <c r="I2702" s="163">
        <f>IFERROR(__xludf.DUMMYFUNCTION("""COMPUTED_VALUE"""),27.0)</f>
        <v>27</v>
      </c>
      <c r="J2702" s="165">
        <f>IFERROR(__xludf.DUMMYFUNCTION("""COMPUTED_VALUE"""),-0.873709552801782)</f>
        <v>-0.8737095528</v>
      </c>
      <c r="K2702" s="165">
        <f>IFERROR(__xludf.DUMMYFUNCTION("""COMPUTED_VALUE"""),-0.325325080070734)</f>
        <v>-0.3253250801</v>
      </c>
      <c r="L2702" s="165">
        <f>IFERROR(__xludf.DUMMYFUNCTION("""COMPUTED_VALUE"""),-0.548384472731048)</f>
        <v>-0.5483844727</v>
      </c>
      <c r="M2702" s="166">
        <f t="shared" si="2"/>
        <v>0.3172810601</v>
      </c>
      <c r="N2702" s="167">
        <f t="shared" si="3"/>
        <v>12.32753086</v>
      </c>
      <c r="O2702" s="163">
        <f t="shared" ref="O2702:Q2702" si="2706">rank(I2702,I:I)</f>
        <v>1366</v>
      </c>
      <c r="P2702" s="163">
        <f t="shared" si="2706"/>
        <v>2368</v>
      </c>
      <c r="Q2702" s="163">
        <f t="shared" si="2706"/>
        <v>1802</v>
      </c>
      <c r="R2702" s="163">
        <f>IFERROR(__xludf.DUMMYFUNCTION("RANK(M2702,filter(M:M,C:C=C2702))"),317.0)</f>
        <v>317</v>
      </c>
      <c r="S2702" s="161" t="b">
        <f t="shared" si="5"/>
        <v>0</v>
      </c>
      <c r="T2702" s="161" t="b">
        <f t="array" ref="T2702">index('Query Tool'!B:B,match(H2702,'Query Tool'!C:C,0))</f>
        <v>1</v>
      </c>
      <c r="U2702" s="161" t="b">
        <f t="array" ref="U2702">index('Query Tool'!B:B,match(C2702,'Query Tool'!C:C,0))</f>
        <v>0</v>
      </c>
      <c r="V2702" s="161" t="b">
        <f>F2702&gt;='Query Tool'!C$32</f>
        <v>0</v>
      </c>
      <c r="W2702" s="161" t="b">
        <f t="array" ref="W2702">index(Dropdowns!B:B,match(I2702,Dropdowns!A:A,0))</f>
        <v>1</v>
      </c>
      <c r="X2702" s="161" t="b">
        <f t="array" ref="X2702">index('Query Tool'!B:B,match(D2702,'Query Tool'!C:C,0))</f>
        <v>1</v>
      </c>
      <c r="Y2702" s="161" t="str">
        <f t="shared" si="6"/>
        <v>mcraejo01,2018-19</v>
      </c>
      <c r="Z2702" s="168">
        <f t="array" ref="Z2702">iferror(index(I:I,match($A2702&amp;","&amp;index('Year Conversion'!$A:$A,match($C2702,'Year Conversion'!$B:$B,0)),$Y:$Y,0))-I2702,"")</f>
        <v>1</v>
      </c>
      <c r="AA2702" s="168">
        <f t="array" ref="AA2702">iferror(index(J:J,match($A2702&amp;","&amp;index('Year Conversion'!$A:$A,match($C2702,'Year Conversion'!$B:$B,0)),$Y:$Y,0))-J2702,"")</f>
        <v>0.03197829355</v>
      </c>
      <c r="AB2702" s="168">
        <f t="array" ref="AB2702">iferror(index(K:K,match($A2702&amp;","&amp;index('Year Conversion'!$A:$A,match($C2702,'Year Conversion'!$B:$B,0)),$Y:$Y,0))-K2702,"")</f>
        <v>0.5858725711</v>
      </c>
      <c r="AC2702" s="168" t="str">
        <f t="shared" si="7"/>
        <v>WAS,2018-19</v>
      </c>
    </row>
    <row r="2703">
      <c r="A2703" s="161" t="str">
        <f>IFERROR(__xludf.DUMMYFUNCTION("""COMPUTED_VALUE"""),"lavinza01")</f>
        <v>lavinza01</v>
      </c>
      <c r="B2703" s="161" t="str">
        <f>IFERROR(__xludf.DUMMYFUNCTION("""COMPUTED_VALUE"""),"Zach LaVine")</f>
        <v>Zach LaVine</v>
      </c>
      <c r="C2703" s="162" t="str">
        <f>IFERROR(__xludf.DUMMYFUNCTION("""COMPUTED_VALUE"""),"2018-19")</f>
        <v>2018-19</v>
      </c>
      <c r="D2703" s="163" t="str">
        <f>IFERROR(__xludf.DUMMYFUNCTION("""COMPUTED_VALUE"""),"CHI")</f>
        <v>CHI</v>
      </c>
      <c r="E2703" s="164" t="str">
        <f>IFERROR(__xludf.DUMMYFUNCTION("""COMPUTED_VALUE"""),"Shot Creator")</f>
        <v>Shot Creator</v>
      </c>
      <c r="F2703" s="164">
        <f>IFERROR(__xludf.DUMMYFUNCTION("""COMPUTED_VALUE"""),2170.855)</f>
        <v>2170.855</v>
      </c>
      <c r="G2703" s="163">
        <f>IFERROR(__xludf.DUMMYFUNCTION("""COMPUTED_VALUE"""),63.0)</f>
        <v>63</v>
      </c>
      <c r="H2703" s="163" t="str">
        <f>IFERROR(__xludf.DUMMYFUNCTION("""COMPUTED_VALUE"""),"SG")</f>
        <v>SG</v>
      </c>
      <c r="I2703" s="163">
        <f>IFERROR(__xludf.DUMMYFUNCTION("""COMPUTED_VALUE"""),23.0)</f>
        <v>23</v>
      </c>
      <c r="J2703" s="165">
        <f>IFERROR(__xludf.DUMMYFUNCTION("""COMPUTED_VALUE"""),-0.174593074327881)</f>
        <v>-0.1745930743</v>
      </c>
      <c r="K2703" s="165">
        <f>IFERROR(__xludf.DUMMYFUNCTION("""COMPUTED_VALUE"""),1.14803860965402)</f>
        <v>1.14803861</v>
      </c>
      <c r="L2703" s="165">
        <f>IFERROR(__xludf.DUMMYFUNCTION("""COMPUTED_VALUE"""),-1.3226316839819)</f>
        <v>-1.322631684</v>
      </c>
      <c r="M2703" s="166">
        <f t="shared" si="2"/>
        <v>3.091216717</v>
      </c>
      <c r="N2703" s="167">
        <f t="shared" si="3"/>
        <v>34.45801587</v>
      </c>
      <c r="O2703" s="163">
        <f t="shared" ref="O2703:Q2703" si="2707">rank(I2703,I:I)</f>
        <v>2765</v>
      </c>
      <c r="P2703" s="163">
        <f t="shared" si="2707"/>
        <v>1476</v>
      </c>
      <c r="Q2703" s="163">
        <f t="shared" si="2707"/>
        <v>436</v>
      </c>
      <c r="R2703" s="163">
        <f>IFERROR(__xludf.DUMMYFUNCTION("RANK(M2703,filter(M:M,C:C=C2703))"),112.0)</f>
        <v>112</v>
      </c>
      <c r="S2703" s="161" t="b">
        <f t="shared" si="5"/>
        <v>0</v>
      </c>
      <c r="T2703" s="161" t="b">
        <f t="array" ref="T2703">index('Query Tool'!B:B,match(H2703,'Query Tool'!C:C,0))</f>
        <v>1</v>
      </c>
      <c r="U2703" s="161" t="b">
        <f t="array" ref="U2703">index('Query Tool'!B:B,match(C2703,'Query Tool'!C:C,0))</f>
        <v>0</v>
      </c>
      <c r="V2703" s="161" t="b">
        <f>F2703&gt;='Query Tool'!C$32</f>
        <v>1</v>
      </c>
      <c r="W2703" s="161" t="b">
        <f t="array" ref="W2703">index(Dropdowns!B:B,match(I2703,Dropdowns!A:A,0))</f>
        <v>1</v>
      </c>
      <c r="X2703" s="161" t="b">
        <f t="array" ref="X2703">index('Query Tool'!B:B,match(D2703,'Query Tool'!C:C,0))</f>
        <v>1</v>
      </c>
      <c r="Y2703" s="161" t="str">
        <f t="shared" si="6"/>
        <v>lavinza01,2018-19</v>
      </c>
      <c r="Z2703" s="168">
        <f t="array" ref="Z2703">iferror(index(I:I,match($A2703&amp;","&amp;index('Year Conversion'!$A:$A,match($C2703,'Year Conversion'!$B:$B,0)),$Y:$Y,0))-I2703,"")</f>
        <v>1</v>
      </c>
      <c r="AA2703" s="168">
        <f t="array" ref="AA2703">iferror(index(J:J,match($A2703&amp;","&amp;index('Year Conversion'!$A:$A,match($C2703,'Year Conversion'!$B:$B,0)),$Y:$Y,0))-J2703,"")</f>
        <v>0.5396827699</v>
      </c>
      <c r="AB2703" s="168">
        <f t="array" ref="AB2703">iferror(index(K:K,match($A2703&amp;","&amp;index('Year Conversion'!$A:$A,match($C2703,'Year Conversion'!$B:$B,0)),$Y:$Y,0))-K2703,"")</f>
        <v>0.668557803</v>
      </c>
      <c r="AC2703" s="168" t="str">
        <f t="shared" si="7"/>
        <v>CHI,2018-19</v>
      </c>
    </row>
    <row r="2704">
      <c r="A2704" s="161" t="str">
        <f>IFERROR(__xludf.DUMMYFUNCTION("""COMPUTED_VALUE"""),"paytoel01")</f>
        <v>paytoel01</v>
      </c>
      <c r="B2704" s="161" t="str">
        <f>IFERROR(__xludf.DUMMYFUNCTION("""COMPUTED_VALUE"""),"Elfrid Payton")</f>
        <v>Elfrid Payton</v>
      </c>
      <c r="C2704" s="162" t="str">
        <f>IFERROR(__xludf.DUMMYFUNCTION("""COMPUTED_VALUE"""),"2018-19")</f>
        <v>2018-19</v>
      </c>
      <c r="D2704" s="163" t="str">
        <f>IFERROR(__xludf.DUMMYFUNCTION("""COMPUTED_VALUE"""),"NOP")</f>
        <v>NOP</v>
      </c>
      <c r="E2704" s="164" t="str">
        <f>IFERROR(__xludf.DUMMYFUNCTION("""COMPUTED_VALUE"""),"Slasher")</f>
        <v>Slasher</v>
      </c>
      <c r="F2704" s="164">
        <f>IFERROR(__xludf.DUMMYFUNCTION("""COMPUTED_VALUE"""),1249.77333333333)</f>
        <v>1249.773333</v>
      </c>
      <c r="G2704" s="163">
        <f>IFERROR(__xludf.DUMMYFUNCTION("""COMPUTED_VALUE"""),42.0)</f>
        <v>42</v>
      </c>
      <c r="H2704" s="163" t="str">
        <f>IFERROR(__xludf.DUMMYFUNCTION("""COMPUTED_VALUE"""),"PG")</f>
        <v>PG</v>
      </c>
      <c r="I2704" s="163">
        <f>IFERROR(__xludf.DUMMYFUNCTION("""COMPUTED_VALUE"""),24.0)</f>
        <v>24</v>
      </c>
      <c r="J2704" s="165">
        <f>IFERROR(__xludf.DUMMYFUNCTION("""COMPUTED_VALUE"""),0.551518128325489)</f>
        <v>0.5515181283</v>
      </c>
      <c r="K2704" s="165">
        <f>IFERROR(__xludf.DUMMYFUNCTION("""COMPUTED_VALUE"""),0.330123216311811)</f>
        <v>0.3301232163</v>
      </c>
      <c r="L2704" s="165">
        <f>IFERROR(__xludf.DUMMYFUNCTION("""COMPUTED_VALUE"""),0.221394912013678)</f>
        <v>0.221394912</v>
      </c>
      <c r="M2704" s="166">
        <f t="shared" si="2"/>
        <v>2.391238229</v>
      </c>
      <c r="N2704" s="167">
        <f t="shared" si="3"/>
        <v>29.75650794</v>
      </c>
      <c r="O2704" s="163">
        <f t="shared" ref="O2704:Q2704" si="2708">rank(I2704,I:I)</f>
        <v>2361</v>
      </c>
      <c r="P2704" s="163">
        <f t="shared" si="2708"/>
        <v>867</v>
      </c>
      <c r="Q2704" s="163">
        <f t="shared" si="2708"/>
        <v>881</v>
      </c>
      <c r="R2704" s="163">
        <f>IFERROR(__xludf.DUMMYFUNCTION("RANK(M2704,filter(M:M,C:C=C2704))"),131.0)</f>
        <v>131</v>
      </c>
      <c r="S2704" s="161" t="b">
        <f t="shared" si="5"/>
        <v>0</v>
      </c>
      <c r="T2704" s="161" t="b">
        <f t="array" ref="T2704">index('Query Tool'!B:B,match(H2704,'Query Tool'!C:C,0))</f>
        <v>1</v>
      </c>
      <c r="U2704" s="161" t="b">
        <f t="array" ref="U2704">index('Query Tool'!B:B,match(C2704,'Query Tool'!C:C,0))</f>
        <v>0</v>
      </c>
      <c r="V2704" s="161" t="b">
        <f>F2704&gt;='Query Tool'!C$32</f>
        <v>1</v>
      </c>
      <c r="W2704" s="161" t="b">
        <f t="array" ref="W2704">index(Dropdowns!B:B,match(I2704,Dropdowns!A:A,0))</f>
        <v>1</v>
      </c>
      <c r="X2704" s="161" t="b">
        <f t="array" ref="X2704">index('Query Tool'!B:B,match(D2704,'Query Tool'!C:C,0))</f>
        <v>1</v>
      </c>
      <c r="Y2704" s="161" t="str">
        <f t="shared" si="6"/>
        <v>paytoel01,2018-19</v>
      </c>
      <c r="Z2704" s="168">
        <f t="array" ref="Z2704">iferror(index(I:I,match($A2704&amp;","&amp;index('Year Conversion'!$A:$A,match($C2704,'Year Conversion'!$B:$B,0)),$Y:$Y,0))-I2704,"")</f>
        <v>1</v>
      </c>
      <c r="AA2704" s="168">
        <f t="array" ref="AA2704">iferror(index(J:J,match($A2704&amp;","&amp;index('Year Conversion'!$A:$A,match($C2704,'Year Conversion'!$B:$B,0)),$Y:$Y,0))-J2704,"")</f>
        <v>1.489610739</v>
      </c>
      <c r="AB2704" s="168">
        <f t="array" ref="AB2704">iferror(index(K:K,match($A2704&amp;","&amp;index('Year Conversion'!$A:$A,match($C2704,'Year Conversion'!$B:$B,0)),$Y:$Y,0))-K2704,"")</f>
        <v>1.188246736</v>
      </c>
      <c r="AC2704" s="168" t="str">
        <f t="shared" si="7"/>
        <v>NOP,2018-19</v>
      </c>
    </row>
    <row r="2705">
      <c r="A2705" s="161" t="str">
        <f>IFERROR(__xludf.DUMMYFUNCTION("""COMPUTED_VALUE"""),"clarkjo01")</f>
        <v>clarkjo01</v>
      </c>
      <c r="B2705" s="161" t="str">
        <f>IFERROR(__xludf.DUMMYFUNCTION("""COMPUTED_VALUE"""),"Jordan Clarkson")</f>
        <v>Jordan Clarkson</v>
      </c>
      <c r="C2705" s="162" t="str">
        <f>IFERROR(__xludf.DUMMYFUNCTION("""COMPUTED_VALUE"""),"2018-19")</f>
        <v>2018-19</v>
      </c>
      <c r="D2705" s="163" t="str">
        <f>IFERROR(__xludf.DUMMYFUNCTION("""COMPUTED_VALUE"""),"CLE")</f>
        <v>CLE</v>
      </c>
      <c r="E2705" s="164" t="str">
        <f>IFERROR(__xludf.DUMMYFUNCTION("""COMPUTED_VALUE"""),"Shot Creator")</f>
        <v>Shot Creator</v>
      </c>
      <c r="F2705" s="164">
        <f>IFERROR(__xludf.DUMMYFUNCTION("""COMPUTED_VALUE"""),2214.48)</f>
        <v>2214.48</v>
      </c>
      <c r="G2705" s="163">
        <f>IFERROR(__xludf.DUMMYFUNCTION("""COMPUTED_VALUE"""),81.0)</f>
        <v>81</v>
      </c>
      <c r="H2705" s="163" t="str">
        <f>IFERROR(__xludf.DUMMYFUNCTION("""COMPUTED_VALUE"""),"SG")</f>
        <v>SG</v>
      </c>
      <c r="I2705" s="163">
        <f>IFERROR(__xludf.DUMMYFUNCTION("""COMPUTED_VALUE"""),26.0)</f>
        <v>26</v>
      </c>
      <c r="J2705" s="165">
        <f>IFERROR(__xludf.DUMMYFUNCTION("""COMPUTED_VALUE"""),-2.29895592231833)</f>
        <v>-2.298955922</v>
      </c>
      <c r="K2705" s="165">
        <f>IFERROR(__xludf.DUMMYFUNCTION("""COMPUTED_VALUE"""),1.04290251595935)</f>
        <v>1.042902516</v>
      </c>
      <c r="L2705" s="165">
        <f>IFERROR(__xludf.DUMMYFUNCTION("""COMPUTED_VALUE"""),-3.34185843827768)</f>
        <v>-3.341858438</v>
      </c>
      <c r="M2705" s="166">
        <f t="shared" si="2"/>
        <v>0.006675781421</v>
      </c>
      <c r="N2705" s="167">
        <f t="shared" si="3"/>
        <v>27.33925926</v>
      </c>
      <c r="O2705" s="163">
        <f t="shared" ref="O2705:Q2705" si="2709">rank(I2705,I:I)</f>
        <v>1665</v>
      </c>
      <c r="P2705" s="163">
        <f t="shared" si="2709"/>
        <v>3657</v>
      </c>
      <c r="Q2705" s="163">
        <f t="shared" si="2709"/>
        <v>481</v>
      </c>
      <c r="R2705" s="163">
        <f>IFERROR(__xludf.DUMMYFUNCTION("RANK(M2705,filter(M:M,C:C=C2705))"),466.0)</f>
        <v>466</v>
      </c>
      <c r="S2705" s="161" t="b">
        <f t="shared" si="5"/>
        <v>0</v>
      </c>
      <c r="T2705" s="161" t="b">
        <f t="array" ref="T2705">index('Query Tool'!B:B,match(H2705,'Query Tool'!C:C,0))</f>
        <v>1</v>
      </c>
      <c r="U2705" s="161" t="b">
        <f t="array" ref="U2705">index('Query Tool'!B:B,match(C2705,'Query Tool'!C:C,0))</f>
        <v>0</v>
      </c>
      <c r="V2705" s="161" t="b">
        <f>F2705&gt;='Query Tool'!C$32</f>
        <v>1</v>
      </c>
      <c r="W2705" s="161" t="b">
        <f t="array" ref="W2705">index(Dropdowns!B:B,match(I2705,Dropdowns!A:A,0))</f>
        <v>1</v>
      </c>
      <c r="X2705" s="161" t="b">
        <f t="array" ref="X2705">index('Query Tool'!B:B,match(D2705,'Query Tool'!C:C,0))</f>
        <v>1</v>
      </c>
      <c r="Y2705" s="161" t="str">
        <f t="shared" si="6"/>
        <v>clarkjo01,2018-19</v>
      </c>
      <c r="Z2705" s="168">
        <f t="array" ref="Z2705">iferror(index(I:I,match($A2705&amp;","&amp;index('Year Conversion'!$A:$A,match($C2705,'Year Conversion'!$B:$B,0)),$Y:$Y,0))-I2705,"")</f>
        <v>1</v>
      </c>
      <c r="AA2705" s="168">
        <f t="array" ref="AA2705">iferror(index(J:J,match($A2705&amp;","&amp;index('Year Conversion'!$A:$A,match($C2705,'Year Conversion'!$B:$B,0)),$Y:$Y,0))-J2705,"")</f>
        <v>2.78563176</v>
      </c>
      <c r="AB2705" s="168">
        <f t="array" ref="AB2705">iferror(index(K:K,match($A2705&amp;","&amp;index('Year Conversion'!$A:$A,match($C2705,'Year Conversion'!$B:$B,0)),$Y:$Y,0))-K2705,"")</f>
        <v>1.121784534</v>
      </c>
      <c r="AC2705" s="168" t="str">
        <f t="shared" si="7"/>
        <v>CLE,2018-19</v>
      </c>
    </row>
    <row r="2706">
      <c r="A2706" s="161" t="str">
        <f>IFERROR(__xludf.DUMMYFUNCTION("""COMPUTED_VALUE"""),"harriga01")</f>
        <v>harriga01</v>
      </c>
      <c r="B2706" s="161" t="str">
        <f>IFERROR(__xludf.DUMMYFUNCTION("""COMPUTED_VALUE"""),"Gary Harris")</f>
        <v>Gary Harris</v>
      </c>
      <c r="C2706" s="162" t="str">
        <f>IFERROR(__xludf.DUMMYFUNCTION("""COMPUTED_VALUE"""),"2018-19")</f>
        <v>2018-19</v>
      </c>
      <c r="D2706" s="163" t="str">
        <f>IFERROR(__xludf.DUMMYFUNCTION("""COMPUTED_VALUE"""),"DEN")</f>
        <v>DEN</v>
      </c>
      <c r="E2706" s="164" t="str">
        <f>IFERROR(__xludf.DUMMYFUNCTION("""COMPUTED_VALUE"""),"Stationary Shooter")</f>
        <v>Stationary Shooter</v>
      </c>
      <c r="F2706" s="164">
        <f>IFERROR(__xludf.DUMMYFUNCTION("""COMPUTED_VALUE"""),1639.24333333333)</f>
        <v>1639.243333</v>
      </c>
      <c r="G2706" s="163">
        <f>IFERROR(__xludf.DUMMYFUNCTION("""COMPUTED_VALUE"""),57.0)</f>
        <v>57</v>
      </c>
      <c r="H2706" s="163" t="str">
        <f>IFERROR(__xludf.DUMMYFUNCTION("""COMPUTED_VALUE"""),"SG")</f>
        <v>SG</v>
      </c>
      <c r="I2706" s="163">
        <f>IFERROR(__xludf.DUMMYFUNCTION("""COMPUTED_VALUE"""),24.0)</f>
        <v>24</v>
      </c>
      <c r="J2706" s="165">
        <f>IFERROR(__xludf.DUMMYFUNCTION("""COMPUTED_VALUE"""),-0.472554767997726)</f>
        <v>-0.472554768</v>
      </c>
      <c r="K2706" s="165">
        <f>IFERROR(__xludf.DUMMYFUNCTION("""COMPUTED_VALUE"""),-0.0727437753995634)</f>
        <v>-0.0727437754</v>
      </c>
      <c r="L2706" s="165">
        <f>IFERROR(__xludf.DUMMYFUNCTION("""COMPUTED_VALUE"""),-0.399810992598163)</f>
        <v>-0.3998109926</v>
      </c>
      <c r="M2706" s="166">
        <f t="shared" si="2"/>
        <v>2.005079579</v>
      </c>
      <c r="N2706" s="167">
        <f t="shared" si="3"/>
        <v>28.75865497</v>
      </c>
      <c r="O2706" s="163">
        <f t="shared" ref="O2706:Q2706" si="2710">rank(I2706,I:I)</f>
        <v>2361</v>
      </c>
      <c r="P2706" s="163">
        <f t="shared" si="2710"/>
        <v>1813</v>
      </c>
      <c r="Q2706" s="163">
        <f t="shared" si="2710"/>
        <v>1309</v>
      </c>
      <c r="R2706" s="163">
        <f>IFERROR(__xludf.DUMMYFUNCTION("RANK(M2706,filter(M:M,C:C=C2706))"),151.0)</f>
        <v>151</v>
      </c>
      <c r="S2706" s="161" t="b">
        <f t="shared" si="5"/>
        <v>0</v>
      </c>
      <c r="T2706" s="161" t="b">
        <f t="array" ref="T2706">index('Query Tool'!B:B,match(H2706,'Query Tool'!C:C,0))</f>
        <v>1</v>
      </c>
      <c r="U2706" s="161" t="b">
        <f t="array" ref="U2706">index('Query Tool'!B:B,match(C2706,'Query Tool'!C:C,0))</f>
        <v>0</v>
      </c>
      <c r="V2706" s="161" t="b">
        <f>F2706&gt;='Query Tool'!C$32</f>
        <v>1</v>
      </c>
      <c r="W2706" s="161" t="b">
        <f t="array" ref="W2706">index(Dropdowns!B:B,match(I2706,Dropdowns!A:A,0))</f>
        <v>1</v>
      </c>
      <c r="X2706" s="161" t="b">
        <f t="array" ref="X2706">index('Query Tool'!B:B,match(D2706,'Query Tool'!C:C,0))</f>
        <v>1</v>
      </c>
      <c r="Y2706" s="161" t="str">
        <f t="shared" si="6"/>
        <v>harriga01,2018-19</v>
      </c>
      <c r="Z2706" s="168">
        <f t="array" ref="Z2706">iferror(index(I:I,match($A2706&amp;","&amp;index('Year Conversion'!$A:$A,match($C2706,'Year Conversion'!$B:$B,0)),$Y:$Y,0))-I2706,"")</f>
        <v>1</v>
      </c>
      <c r="AA2706" s="168">
        <f t="array" ref="AA2706">iferror(index(J:J,match($A2706&amp;","&amp;index('Year Conversion'!$A:$A,match($C2706,'Year Conversion'!$B:$B,0)),$Y:$Y,0))-J2706,"")</f>
        <v>-0.09301818554</v>
      </c>
      <c r="AB2706" s="168">
        <f t="array" ref="AB2706">iferror(index(K:K,match($A2706&amp;","&amp;index('Year Conversion'!$A:$A,match($C2706,'Year Conversion'!$B:$B,0)),$Y:$Y,0))-K2706,"")</f>
        <v>-0.5504174129</v>
      </c>
      <c r="AC2706" s="168" t="str">
        <f t="shared" si="7"/>
        <v>DEN,2018-19</v>
      </c>
    </row>
    <row r="2707">
      <c r="A2707" s="161" t="str">
        <f>IFERROR(__xludf.DUMMYFUNCTION("""COMPUTED_VALUE"""),"dinwisp01")</f>
        <v>dinwisp01</v>
      </c>
      <c r="B2707" s="161" t="str">
        <f>IFERROR(__xludf.DUMMYFUNCTION("""COMPUTED_VALUE"""),"Spencer Dinwiddie")</f>
        <v>Spencer Dinwiddie</v>
      </c>
      <c r="C2707" s="162" t="str">
        <f>IFERROR(__xludf.DUMMYFUNCTION("""COMPUTED_VALUE"""),"2018-19")</f>
        <v>2018-19</v>
      </c>
      <c r="D2707" s="163" t="str">
        <f>IFERROR(__xludf.DUMMYFUNCTION("""COMPUTED_VALUE"""),"BRK")</f>
        <v>BRK</v>
      </c>
      <c r="E2707" s="164" t="str">
        <f>IFERROR(__xludf.DUMMYFUNCTION("""COMPUTED_VALUE"""),"Shot Creator")</f>
        <v>Shot Creator</v>
      </c>
      <c r="F2707" s="164">
        <f>IFERROR(__xludf.DUMMYFUNCTION("""COMPUTED_VALUE"""),1914.00333333333)</f>
        <v>1914.003333</v>
      </c>
      <c r="G2707" s="163">
        <f>IFERROR(__xludf.DUMMYFUNCTION("""COMPUTED_VALUE"""),68.0)</f>
        <v>68</v>
      </c>
      <c r="H2707" s="163" t="str">
        <f>IFERROR(__xludf.DUMMYFUNCTION("""COMPUTED_VALUE"""),"PG")</f>
        <v>PG</v>
      </c>
      <c r="I2707" s="163">
        <f>IFERROR(__xludf.DUMMYFUNCTION("""COMPUTED_VALUE"""),25.0)</f>
        <v>25</v>
      </c>
      <c r="J2707" s="165">
        <f>IFERROR(__xludf.DUMMYFUNCTION("""COMPUTED_VALUE"""),-0.618282817792997)</f>
        <v>-0.6182828178</v>
      </c>
      <c r="K2707" s="165">
        <f>IFERROR(__xludf.DUMMYFUNCTION("""COMPUTED_VALUE"""),1.19744412712761)</f>
        <v>1.197444127</v>
      </c>
      <c r="L2707" s="165">
        <f>IFERROR(__xludf.DUMMYFUNCTION("""COMPUTED_VALUE"""),-1.81572694492061)</f>
        <v>-1.815726945</v>
      </c>
      <c r="M2707" s="166">
        <f t="shared" si="2"/>
        <v>2.153345448</v>
      </c>
      <c r="N2707" s="167">
        <f t="shared" si="3"/>
        <v>28.14710784</v>
      </c>
      <c r="O2707" s="163">
        <f t="shared" ref="O2707:Q2707" si="2711">rank(I2707,I:I)</f>
        <v>1995</v>
      </c>
      <c r="P2707" s="163">
        <f t="shared" si="2711"/>
        <v>2022</v>
      </c>
      <c r="Q2707" s="163">
        <f t="shared" si="2711"/>
        <v>419</v>
      </c>
      <c r="R2707" s="163">
        <f>IFERROR(__xludf.DUMMYFUNCTION("RANK(M2707,filter(M:M,C:C=C2707))"),144.0)</f>
        <v>144</v>
      </c>
      <c r="S2707" s="161" t="b">
        <f t="shared" si="5"/>
        <v>0</v>
      </c>
      <c r="T2707" s="161" t="b">
        <f t="array" ref="T2707">index('Query Tool'!B:B,match(H2707,'Query Tool'!C:C,0))</f>
        <v>1</v>
      </c>
      <c r="U2707" s="161" t="b">
        <f t="array" ref="U2707">index('Query Tool'!B:B,match(C2707,'Query Tool'!C:C,0))</f>
        <v>0</v>
      </c>
      <c r="V2707" s="161" t="b">
        <f>F2707&gt;='Query Tool'!C$32</f>
        <v>1</v>
      </c>
      <c r="W2707" s="161" t="b">
        <f t="array" ref="W2707">index(Dropdowns!B:B,match(I2707,Dropdowns!A:A,0))</f>
        <v>1</v>
      </c>
      <c r="X2707" s="161" t="b">
        <f t="array" ref="X2707">index('Query Tool'!B:B,match(D2707,'Query Tool'!C:C,0))</f>
        <v>1</v>
      </c>
      <c r="Y2707" s="161" t="str">
        <f t="shared" si="6"/>
        <v>dinwisp01,2018-19</v>
      </c>
      <c r="Z2707" s="168">
        <f t="array" ref="Z2707">iferror(index(I:I,match($A2707&amp;","&amp;index('Year Conversion'!$A:$A,match($C2707,'Year Conversion'!$B:$B,0)),$Y:$Y,0))-I2707,"")</f>
        <v>1</v>
      </c>
      <c r="AA2707" s="168">
        <f t="array" ref="AA2707">iferror(index(J:J,match($A2707&amp;","&amp;index('Year Conversion'!$A:$A,match($C2707,'Year Conversion'!$B:$B,0)),$Y:$Y,0))-J2707,"")</f>
        <v>2.036346368</v>
      </c>
      <c r="AB2707" s="168">
        <f t="array" ref="AB2707">iferror(index(K:K,match($A2707&amp;","&amp;index('Year Conversion'!$A:$A,match($C2707,'Year Conversion'!$B:$B,0)),$Y:$Y,0))-K2707,"")</f>
        <v>1.374450293</v>
      </c>
      <c r="AC2707" s="168" t="str">
        <f t="shared" si="7"/>
        <v>BRK,2018-19</v>
      </c>
    </row>
    <row r="2708">
      <c r="A2708" s="161" t="str">
        <f>IFERROR(__xludf.DUMMYFUNCTION("""COMPUTED_VALUE"""),"stausni01")</f>
        <v>stausni01</v>
      </c>
      <c r="B2708" s="161" t="str">
        <f>IFERROR(__xludf.DUMMYFUNCTION("""COMPUTED_VALUE"""),"Nik Stauskas")</f>
        <v>Nik Stauskas</v>
      </c>
      <c r="C2708" s="162" t="str">
        <f>IFERROR(__xludf.DUMMYFUNCTION("""COMPUTED_VALUE"""),"2018-19")</f>
        <v>2018-19</v>
      </c>
      <c r="D2708" s="163" t="str">
        <f>IFERROR(__xludf.DUMMYFUNCTION("""COMPUTED_VALUE"""),"TOT")</f>
        <v>TOT</v>
      </c>
      <c r="E2708" s="164" t="str">
        <f>IFERROR(__xludf.DUMMYFUNCTION("""COMPUTED_VALUE"""),"Movement Shooter")</f>
        <v>Movement Shooter</v>
      </c>
      <c r="F2708" s="164">
        <f>IFERROR(__xludf.DUMMYFUNCTION("""COMPUTED_VALUE"""),1014.79666666667)</f>
        <v>1014.796667</v>
      </c>
      <c r="G2708" s="163">
        <f>IFERROR(__xludf.DUMMYFUNCTION("""COMPUTED_VALUE"""),68.0)</f>
        <v>68</v>
      </c>
      <c r="H2708" s="163" t="str">
        <f>IFERROR(__xludf.DUMMYFUNCTION("""COMPUTED_VALUE"""),"SG")</f>
        <v>SG</v>
      </c>
      <c r="I2708" s="163">
        <f>IFERROR(__xludf.DUMMYFUNCTION("""COMPUTED_VALUE"""),25.0)</f>
        <v>25</v>
      </c>
      <c r="J2708" s="165">
        <f>IFERROR(__xludf.DUMMYFUNCTION("""COMPUTED_VALUE"""),-2.93618881280017)</f>
        <v>-2.936188813</v>
      </c>
      <c r="K2708" s="165">
        <f>IFERROR(__xludf.DUMMYFUNCTION("""COMPUTED_VALUE"""),-1.46171039572876)</f>
        <v>-1.461710396</v>
      </c>
      <c r="L2708" s="165">
        <f>IFERROR(__xludf.DUMMYFUNCTION("""COMPUTED_VALUE"""),-1.47447841707141)</f>
        <v>-1.474478417</v>
      </c>
      <c r="M2708" s="166">
        <f t="shared" si="2"/>
        <v>-0.4206424328</v>
      </c>
      <c r="N2708" s="167">
        <f t="shared" si="3"/>
        <v>14.92348039</v>
      </c>
      <c r="O2708" s="163">
        <f t="shared" ref="O2708:Q2708" si="2712">rank(I2708,I:I)</f>
        <v>1995</v>
      </c>
      <c r="P2708" s="163">
        <f t="shared" si="2712"/>
        <v>3875</v>
      </c>
      <c r="Q2708" s="163">
        <f t="shared" si="2712"/>
        <v>3311</v>
      </c>
      <c r="R2708" s="163">
        <f>IFERROR(__xludf.DUMMYFUNCTION("RANK(M2708,filter(M:M,C:C=C2708))"),515.0)</f>
        <v>515</v>
      </c>
      <c r="S2708" s="161" t="b">
        <f t="shared" si="5"/>
        <v>0</v>
      </c>
      <c r="T2708" s="161" t="b">
        <f t="array" ref="T2708">index('Query Tool'!B:B,match(H2708,'Query Tool'!C:C,0))</f>
        <v>1</v>
      </c>
      <c r="U2708" s="161" t="b">
        <f t="array" ref="U2708">index('Query Tool'!B:B,match(C2708,'Query Tool'!C:C,0))</f>
        <v>0</v>
      </c>
      <c r="V2708" s="161" t="b">
        <f>F2708&gt;='Query Tool'!C$32</f>
        <v>1</v>
      </c>
      <c r="W2708" s="161" t="b">
        <f t="array" ref="W2708">index(Dropdowns!B:B,match(I2708,Dropdowns!A:A,0))</f>
        <v>1</v>
      </c>
      <c r="X2708" s="161" t="b">
        <f t="array" ref="X2708">index('Query Tool'!B:B,match(D2708,'Query Tool'!C:C,0))</f>
        <v>1</v>
      </c>
      <c r="Y2708" s="161" t="str">
        <f t="shared" si="6"/>
        <v>stausni01,2018-19</v>
      </c>
      <c r="Z2708" s="168" t="str">
        <f t="array" ref="Z2708">iferror(index(I:I,match($A2708&amp;","&amp;index('Year Conversion'!$A:$A,match($C2708,'Year Conversion'!$B:$B,0)),$Y:$Y,0))-I2708,"")</f>
        <v/>
      </c>
      <c r="AA2708" s="168" t="str">
        <f t="array" ref="AA2708">iferror(index(J:J,match($A2708&amp;","&amp;index('Year Conversion'!$A:$A,match($C2708,'Year Conversion'!$B:$B,0)),$Y:$Y,0))-J2708,"")</f>
        <v/>
      </c>
      <c r="AB2708" s="168" t="str">
        <f t="array" ref="AB2708">iferror(index(K:K,match($A2708&amp;","&amp;index('Year Conversion'!$A:$A,match($C2708,'Year Conversion'!$B:$B,0)),$Y:$Y,0))-K2708,"")</f>
        <v/>
      </c>
      <c r="AC2708" s="168" t="str">
        <f t="shared" si="7"/>
        <v>TOT,2018-19</v>
      </c>
    </row>
    <row r="2709">
      <c r="A2709" s="161" t="str">
        <f>IFERROR(__xludf.DUMMYFUNCTION("""COMPUTED_VALUE"""),"hoodro01")</f>
        <v>hoodro01</v>
      </c>
      <c r="B2709" s="161" t="str">
        <f>IFERROR(__xludf.DUMMYFUNCTION("""COMPUTED_VALUE"""),"Rodney Hood")</f>
        <v>Rodney Hood</v>
      </c>
      <c r="C2709" s="162" t="str">
        <f>IFERROR(__xludf.DUMMYFUNCTION("""COMPUTED_VALUE"""),"2018-19")</f>
        <v>2018-19</v>
      </c>
      <c r="D2709" s="163" t="str">
        <f>IFERROR(__xludf.DUMMYFUNCTION("""COMPUTED_VALUE"""),"TOT")</f>
        <v>TOT</v>
      </c>
      <c r="E2709" s="164" t="str">
        <f>IFERROR(__xludf.DUMMYFUNCTION("""COMPUTED_VALUE"""),"Shot Creator")</f>
        <v>Shot Creator</v>
      </c>
      <c r="F2709" s="164">
        <f>IFERROR(__xludf.DUMMYFUNCTION("""COMPUTED_VALUE"""),1892.56333333333)</f>
        <v>1892.563333</v>
      </c>
      <c r="G2709" s="163">
        <f>IFERROR(__xludf.DUMMYFUNCTION("""COMPUTED_VALUE"""),72.0)</f>
        <v>72</v>
      </c>
      <c r="H2709" s="163" t="str">
        <f>IFERROR(__xludf.DUMMYFUNCTION("""COMPUTED_VALUE"""),"SG")</f>
        <v>SG</v>
      </c>
      <c r="I2709" s="163">
        <f>IFERROR(__xludf.DUMMYFUNCTION("""COMPUTED_VALUE"""),26.0)</f>
        <v>26</v>
      </c>
      <c r="J2709" s="165">
        <f>IFERROR(__xludf.DUMMYFUNCTION("""COMPUTED_VALUE"""),-1.01991621734717)</f>
        <v>-1.019916217</v>
      </c>
      <c r="K2709" s="165">
        <f>IFERROR(__xludf.DUMMYFUNCTION("""COMPUTED_VALUE"""),-0.228832413287976)</f>
        <v>-0.2288324133</v>
      </c>
      <c r="L2709" s="165">
        <f>IFERROR(__xludf.DUMMYFUNCTION("""COMPUTED_VALUE"""),-0.791083804059196)</f>
        <v>-0.7910838041</v>
      </c>
      <c r="M2709" s="166">
        <f t="shared" si="2"/>
        <v>1.618220145</v>
      </c>
      <c r="N2709" s="167">
        <f t="shared" si="3"/>
        <v>26.28560185</v>
      </c>
      <c r="O2709" s="163">
        <f t="shared" ref="O2709:Q2709" si="2713">rank(I2709,I:I)</f>
        <v>1665</v>
      </c>
      <c r="P2709" s="163">
        <f t="shared" si="2713"/>
        <v>2525</v>
      </c>
      <c r="Q2709" s="163">
        <f t="shared" si="2713"/>
        <v>1621</v>
      </c>
      <c r="R2709" s="163">
        <f>IFERROR(__xludf.DUMMYFUNCTION("RANK(M2709,filter(M:M,C:C=C2709))"),181.0)</f>
        <v>181</v>
      </c>
      <c r="S2709" s="161" t="b">
        <f t="shared" si="5"/>
        <v>0</v>
      </c>
      <c r="T2709" s="161" t="b">
        <f t="array" ref="T2709">index('Query Tool'!B:B,match(H2709,'Query Tool'!C:C,0))</f>
        <v>1</v>
      </c>
      <c r="U2709" s="161" t="b">
        <f t="array" ref="U2709">index('Query Tool'!B:B,match(C2709,'Query Tool'!C:C,0))</f>
        <v>0</v>
      </c>
      <c r="V2709" s="161" t="b">
        <f>F2709&gt;='Query Tool'!C$32</f>
        <v>1</v>
      </c>
      <c r="W2709" s="161" t="b">
        <f t="array" ref="W2709">index(Dropdowns!B:B,match(I2709,Dropdowns!A:A,0))</f>
        <v>1</v>
      </c>
      <c r="X2709" s="161" t="b">
        <f t="array" ref="X2709">index('Query Tool'!B:B,match(D2709,'Query Tool'!C:C,0))</f>
        <v>1</v>
      </c>
      <c r="Y2709" s="161" t="str">
        <f t="shared" si="6"/>
        <v>hoodro01,2018-19</v>
      </c>
      <c r="Z2709" s="168">
        <f t="array" ref="Z2709">iferror(index(I:I,match($A2709&amp;","&amp;index('Year Conversion'!$A:$A,match($C2709,'Year Conversion'!$B:$B,0)),$Y:$Y,0))-I2709,"")</f>
        <v>1</v>
      </c>
      <c r="AA2709" s="168">
        <f t="array" ref="AA2709">iferror(index(J:J,match($A2709&amp;","&amp;index('Year Conversion'!$A:$A,match($C2709,'Year Conversion'!$B:$B,0)),$Y:$Y,0))-J2709,"")</f>
        <v>-0.6394215157</v>
      </c>
      <c r="AB2709" s="168">
        <f t="array" ref="AB2709">iferror(index(K:K,match($A2709&amp;","&amp;index('Year Conversion'!$A:$A,match($C2709,'Year Conversion'!$B:$B,0)),$Y:$Y,0))-K2709,"")</f>
        <v>-1.451490657</v>
      </c>
      <c r="AC2709" s="168" t="str">
        <f t="shared" si="7"/>
        <v>TOT,2018-19</v>
      </c>
    </row>
    <row r="2710">
      <c r="A2710" s="161" t="str">
        <f>IFERROR(__xludf.DUMMYFUNCTION("""COMPUTED_VALUE"""),"birchkh01")</f>
        <v>birchkh01</v>
      </c>
      <c r="B2710" s="161" t="str">
        <f>IFERROR(__xludf.DUMMYFUNCTION("""COMPUTED_VALUE"""),"Khem Birch")</f>
        <v>Khem Birch</v>
      </c>
      <c r="C2710" s="162" t="str">
        <f>IFERROR(__xludf.DUMMYFUNCTION("""COMPUTED_VALUE"""),"2018-19")</f>
        <v>2018-19</v>
      </c>
      <c r="D2710" s="163" t="str">
        <f>IFERROR(__xludf.DUMMYFUNCTION("""COMPUTED_VALUE"""),"ORL")</f>
        <v>ORL</v>
      </c>
      <c r="E2710" s="164" t="str">
        <f>IFERROR(__xludf.DUMMYFUNCTION("""COMPUTED_VALUE"""),"Roll + Cut Big")</f>
        <v>Roll + Cut Big</v>
      </c>
      <c r="F2710" s="164">
        <f>IFERROR(__xludf.DUMMYFUNCTION("""COMPUTED_VALUE"""),642.861666666667)</f>
        <v>642.8616667</v>
      </c>
      <c r="G2710" s="163">
        <f>IFERROR(__xludf.DUMMYFUNCTION("""COMPUTED_VALUE"""),50.0)</f>
        <v>50</v>
      </c>
      <c r="H2710" s="163" t="str">
        <f>IFERROR(__xludf.DUMMYFUNCTION("""COMPUTED_VALUE"""),"C")</f>
        <v>C</v>
      </c>
      <c r="I2710" s="163">
        <f>IFERROR(__xludf.DUMMYFUNCTION("""COMPUTED_VALUE"""),26.0)</f>
        <v>26</v>
      </c>
      <c r="J2710" s="165">
        <f>IFERROR(__xludf.DUMMYFUNCTION("""COMPUTED_VALUE"""),-0.114433016914997)</f>
        <v>-0.1144330169</v>
      </c>
      <c r="K2710" s="165">
        <f>IFERROR(__xludf.DUMMYFUNCTION("""COMPUTED_VALUE"""),-0.219369480678982)</f>
        <v>-0.2193694807</v>
      </c>
      <c r="L2710" s="165">
        <f>IFERROR(__xludf.DUMMYFUNCTION("""COMPUTED_VALUE"""),0.104936463763985)</f>
        <v>0.1049364638</v>
      </c>
      <c r="M2710" s="166">
        <f t="shared" si="2"/>
        <v>0.9414828009</v>
      </c>
      <c r="N2710" s="167">
        <f t="shared" si="3"/>
        <v>12.85723333</v>
      </c>
      <c r="O2710" s="163">
        <f t="shared" ref="O2710:Q2710" si="2714">rank(I2710,I:I)</f>
        <v>1665</v>
      </c>
      <c r="P2710" s="163">
        <f t="shared" si="2714"/>
        <v>1400</v>
      </c>
      <c r="Q2710" s="163">
        <f t="shared" si="2714"/>
        <v>1598</v>
      </c>
      <c r="R2710" s="163">
        <f>IFERROR(__xludf.DUMMYFUNCTION("RANK(M2710,filter(M:M,C:C=C2710))"),230.0)</f>
        <v>230</v>
      </c>
      <c r="S2710" s="161" t="b">
        <f t="shared" si="5"/>
        <v>0</v>
      </c>
      <c r="T2710" s="161" t="b">
        <f t="array" ref="T2710">index('Query Tool'!B:B,match(H2710,'Query Tool'!C:C,0))</f>
        <v>1</v>
      </c>
      <c r="U2710" s="161" t="b">
        <f t="array" ref="U2710">index('Query Tool'!B:B,match(C2710,'Query Tool'!C:C,0))</f>
        <v>0</v>
      </c>
      <c r="V2710" s="161" t="b">
        <f>F2710&gt;='Query Tool'!C$32</f>
        <v>1</v>
      </c>
      <c r="W2710" s="161" t="b">
        <f t="array" ref="W2710">index(Dropdowns!B:B,match(I2710,Dropdowns!A:A,0))</f>
        <v>1</v>
      </c>
      <c r="X2710" s="161" t="b">
        <f t="array" ref="X2710">index('Query Tool'!B:B,match(D2710,'Query Tool'!C:C,0))</f>
        <v>1</v>
      </c>
      <c r="Y2710" s="161" t="str">
        <f t="shared" si="6"/>
        <v>birchkh01,2018-19</v>
      </c>
      <c r="Z2710" s="168">
        <f t="array" ref="Z2710">iferror(index(I:I,match($A2710&amp;","&amp;index('Year Conversion'!$A:$A,match($C2710,'Year Conversion'!$B:$B,0)),$Y:$Y,0))-I2710,"")</f>
        <v>1</v>
      </c>
      <c r="AA2710" s="168">
        <f t="array" ref="AA2710">iferror(index(J:J,match($A2710&amp;","&amp;index('Year Conversion'!$A:$A,match($C2710,'Year Conversion'!$B:$B,0)),$Y:$Y,0))-J2710,"")</f>
        <v>-2.028911602</v>
      </c>
      <c r="AB2710" s="168">
        <f t="array" ref="AB2710">iferror(index(K:K,match($A2710&amp;","&amp;index('Year Conversion'!$A:$A,match($C2710,'Year Conversion'!$B:$B,0)),$Y:$Y,0))-K2710,"")</f>
        <v>-2.474568238</v>
      </c>
      <c r="AC2710" s="168" t="str">
        <f t="shared" si="7"/>
        <v>ORL,2018-19</v>
      </c>
    </row>
    <row r="2711">
      <c r="A2711" s="161" t="str">
        <f>IFERROR(__xludf.DUMMYFUNCTION("""COMPUTED_VALUE"""),"robingl02")</f>
        <v>robingl02</v>
      </c>
      <c r="B2711" s="161" t="str">
        <f>IFERROR(__xludf.DUMMYFUNCTION("""COMPUTED_VALUE"""),"Glenn Robinson III")</f>
        <v>Glenn Robinson III</v>
      </c>
      <c r="C2711" s="162" t="str">
        <f>IFERROR(__xludf.DUMMYFUNCTION("""COMPUTED_VALUE"""),"2018-19")</f>
        <v>2018-19</v>
      </c>
      <c r="D2711" s="163" t="str">
        <f>IFERROR(__xludf.DUMMYFUNCTION("""COMPUTED_VALUE"""),"DET")</f>
        <v>DET</v>
      </c>
      <c r="E2711" s="164" t="str">
        <f>IFERROR(__xludf.DUMMYFUNCTION("""COMPUTED_VALUE"""),"Athletic Finisher")</f>
        <v>Athletic Finisher</v>
      </c>
      <c r="F2711" s="164">
        <f>IFERROR(__xludf.DUMMYFUNCTION("""COMPUTED_VALUE"""),610.111666666667)</f>
        <v>610.1116667</v>
      </c>
      <c r="G2711" s="163">
        <f>IFERROR(__xludf.DUMMYFUNCTION("""COMPUTED_VALUE"""),47.0)</f>
        <v>47</v>
      </c>
      <c r="H2711" s="163" t="str">
        <f>IFERROR(__xludf.DUMMYFUNCTION("""COMPUTED_VALUE"""),"SF")</f>
        <v>SF</v>
      </c>
      <c r="I2711" s="163">
        <f>IFERROR(__xludf.DUMMYFUNCTION("""COMPUTED_VALUE"""),25.0)</f>
        <v>25</v>
      </c>
      <c r="J2711" s="165">
        <f>IFERROR(__xludf.DUMMYFUNCTION("""COMPUTED_VALUE"""),-2.3471854069489)</f>
        <v>-2.347185407</v>
      </c>
      <c r="K2711" s="165">
        <f>IFERROR(__xludf.DUMMYFUNCTION("""COMPUTED_VALUE"""),-2.37234504997621)</f>
        <v>-2.37234505</v>
      </c>
      <c r="L2711" s="165">
        <f>IFERROR(__xludf.DUMMYFUNCTION("""COMPUTED_VALUE"""),0.0251596430273119)</f>
        <v>0.02515964303</v>
      </c>
      <c r="M2711" s="166">
        <f t="shared" si="2"/>
        <v>-0.01755943666</v>
      </c>
      <c r="N2711" s="167">
        <f t="shared" si="3"/>
        <v>12.98109929</v>
      </c>
      <c r="O2711" s="163">
        <f t="shared" ref="O2711:Q2711" si="2715">rank(I2711,I:I)</f>
        <v>1995</v>
      </c>
      <c r="P2711" s="163">
        <f t="shared" si="2715"/>
        <v>3683</v>
      </c>
      <c r="Q2711" s="163">
        <f t="shared" si="2715"/>
        <v>3857</v>
      </c>
      <c r="R2711" s="163">
        <f>IFERROR(__xludf.DUMMYFUNCTION("RANK(M2711,filter(M:M,C:C=C2711))"),485.0)</f>
        <v>485</v>
      </c>
      <c r="S2711" s="161" t="b">
        <f t="shared" si="5"/>
        <v>0</v>
      </c>
      <c r="T2711" s="161" t="b">
        <f t="array" ref="T2711">index('Query Tool'!B:B,match(H2711,'Query Tool'!C:C,0))</f>
        <v>1</v>
      </c>
      <c r="U2711" s="161" t="b">
        <f t="array" ref="U2711">index('Query Tool'!B:B,match(C2711,'Query Tool'!C:C,0))</f>
        <v>0</v>
      </c>
      <c r="V2711" s="161" t="b">
        <f>F2711&gt;='Query Tool'!C$32</f>
        <v>1</v>
      </c>
      <c r="W2711" s="161" t="b">
        <f t="array" ref="W2711">index(Dropdowns!B:B,match(I2711,Dropdowns!A:A,0))</f>
        <v>1</v>
      </c>
      <c r="X2711" s="161" t="b">
        <f t="array" ref="X2711">index('Query Tool'!B:B,match(D2711,'Query Tool'!C:C,0))</f>
        <v>1</v>
      </c>
      <c r="Y2711" s="161" t="str">
        <f t="shared" si="6"/>
        <v>robingl02,2018-19</v>
      </c>
      <c r="Z2711" s="168">
        <f t="array" ref="Z2711">iferror(index(I:I,match($A2711&amp;","&amp;index('Year Conversion'!$A:$A,match($C2711,'Year Conversion'!$B:$B,0)),$Y:$Y,0))-I2711,"")</f>
        <v>1</v>
      </c>
      <c r="AA2711" s="168">
        <f t="array" ref="AA2711">iferror(index(J:J,match($A2711&amp;","&amp;index('Year Conversion'!$A:$A,match($C2711,'Year Conversion'!$B:$B,0)),$Y:$Y,0))-J2711,"")</f>
        <v>-0.3298015729</v>
      </c>
      <c r="AB2711" s="168">
        <f t="array" ref="AB2711">iferror(index(K:K,match($A2711&amp;","&amp;index('Year Conversion'!$A:$A,match($C2711,'Year Conversion'!$B:$B,0)),$Y:$Y,0))-K2711,"")</f>
        <v>1.192861038</v>
      </c>
      <c r="AC2711" s="168" t="str">
        <f t="shared" si="7"/>
        <v>DET,2018-19</v>
      </c>
    </row>
    <row r="2712">
      <c r="A2712" s="161" t="str">
        <f>IFERROR(__xludf.DUMMYFUNCTION("""COMPUTED_VALUE"""),"grantje01")</f>
        <v>grantje01</v>
      </c>
      <c r="B2712" s="161" t="str">
        <f>IFERROR(__xludf.DUMMYFUNCTION("""COMPUTED_VALUE"""),"Jerami Grant")</f>
        <v>Jerami Grant</v>
      </c>
      <c r="C2712" s="162" t="str">
        <f>IFERROR(__xludf.DUMMYFUNCTION("""COMPUTED_VALUE"""),"2018-19")</f>
        <v>2018-19</v>
      </c>
      <c r="D2712" s="163" t="str">
        <f>IFERROR(__xludf.DUMMYFUNCTION("""COMPUTED_VALUE"""),"OKC")</f>
        <v>OKC</v>
      </c>
      <c r="E2712" s="164" t="str">
        <f>IFERROR(__xludf.DUMMYFUNCTION("""COMPUTED_VALUE"""),"Stretch Big")</f>
        <v>Stretch Big</v>
      </c>
      <c r="F2712" s="164">
        <f>IFERROR(__xludf.DUMMYFUNCTION("""COMPUTED_VALUE"""),2612.26)</f>
        <v>2612.26</v>
      </c>
      <c r="G2712" s="163">
        <f>IFERROR(__xludf.DUMMYFUNCTION("""COMPUTED_VALUE"""),80.0)</f>
        <v>80</v>
      </c>
      <c r="H2712" s="163" t="str">
        <f>IFERROR(__xludf.DUMMYFUNCTION("""COMPUTED_VALUE"""),"PF")</f>
        <v>PF</v>
      </c>
      <c r="I2712" s="163">
        <f>IFERROR(__xludf.DUMMYFUNCTION("""COMPUTED_VALUE"""),24.0)</f>
        <v>24</v>
      </c>
      <c r="J2712" s="165">
        <f>IFERROR(__xludf.DUMMYFUNCTION("""COMPUTED_VALUE"""),0.0828794740241692)</f>
        <v>0.08287947402</v>
      </c>
      <c r="K2712" s="165">
        <f>IFERROR(__xludf.DUMMYFUNCTION("""COMPUTED_VALUE"""),-1.25473346983998)</f>
        <v>-1.25473347</v>
      </c>
      <c r="L2712" s="165">
        <f>IFERROR(__xludf.DUMMYFUNCTION("""COMPUTED_VALUE"""),1.33761294386414)</f>
        <v>1.337612944</v>
      </c>
      <c r="M2712" s="166">
        <f t="shared" si="2"/>
        <v>4.173196713</v>
      </c>
      <c r="N2712" s="167">
        <f t="shared" si="3"/>
        <v>32.65325</v>
      </c>
      <c r="O2712" s="163">
        <f t="shared" ref="O2712:Q2712" si="2716">rank(I2712,I:I)</f>
        <v>2361</v>
      </c>
      <c r="P2712" s="163">
        <f t="shared" si="2716"/>
        <v>1211</v>
      </c>
      <c r="Q2712" s="163">
        <f t="shared" si="2716"/>
        <v>3091</v>
      </c>
      <c r="R2712" s="163">
        <f>IFERROR(__xludf.DUMMYFUNCTION("RANK(M2712,filter(M:M,C:C=C2712))"),79.0)</f>
        <v>79</v>
      </c>
      <c r="S2712" s="161" t="b">
        <f t="shared" si="5"/>
        <v>0</v>
      </c>
      <c r="T2712" s="161" t="b">
        <f t="array" ref="T2712">index('Query Tool'!B:B,match(H2712,'Query Tool'!C:C,0))</f>
        <v>1</v>
      </c>
      <c r="U2712" s="161" t="b">
        <f t="array" ref="U2712">index('Query Tool'!B:B,match(C2712,'Query Tool'!C:C,0))</f>
        <v>0</v>
      </c>
      <c r="V2712" s="161" t="b">
        <f>F2712&gt;='Query Tool'!C$32</f>
        <v>1</v>
      </c>
      <c r="W2712" s="161" t="b">
        <f t="array" ref="W2712">index(Dropdowns!B:B,match(I2712,Dropdowns!A:A,0))</f>
        <v>1</v>
      </c>
      <c r="X2712" s="161" t="b">
        <f t="array" ref="X2712">index('Query Tool'!B:B,match(D2712,'Query Tool'!C:C,0))</f>
        <v>1</v>
      </c>
      <c r="Y2712" s="161" t="str">
        <f t="shared" si="6"/>
        <v>grantje01,2018-19</v>
      </c>
      <c r="Z2712" s="168">
        <f t="array" ref="Z2712">iferror(index(I:I,match($A2712&amp;","&amp;index('Year Conversion'!$A:$A,match($C2712,'Year Conversion'!$B:$B,0)),$Y:$Y,0))-I2712,"")</f>
        <v>1</v>
      </c>
      <c r="AA2712" s="168">
        <f t="array" ref="AA2712">iferror(index(J:J,match($A2712&amp;","&amp;index('Year Conversion'!$A:$A,match($C2712,'Year Conversion'!$B:$B,0)),$Y:$Y,0))-J2712,"")</f>
        <v>-1.930545155</v>
      </c>
      <c r="AB2712" s="168">
        <f t="array" ref="AB2712">iferror(index(K:K,match($A2712&amp;","&amp;index('Year Conversion'!$A:$A,match($C2712,'Year Conversion'!$B:$B,0)),$Y:$Y,0))-K2712,"")</f>
        <v>0.5492689031</v>
      </c>
      <c r="AC2712" s="168" t="str">
        <f t="shared" si="7"/>
        <v>OKC,2018-19</v>
      </c>
    </row>
    <row r="2713">
      <c r="A2713" s="161" t="str">
        <f>IFERROR(__xludf.DUMMYFUNCTION("""COMPUTED_VALUE"""),"harrijo01")</f>
        <v>harrijo01</v>
      </c>
      <c r="B2713" s="161" t="str">
        <f>IFERROR(__xludf.DUMMYFUNCTION("""COMPUTED_VALUE"""),"Joe Harris")</f>
        <v>Joe Harris</v>
      </c>
      <c r="C2713" s="162" t="str">
        <f>IFERROR(__xludf.DUMMYFUNCTION("""COMPUTED_VALUE"""),"2018-19")</f>
        <v>2018-19</v>
      </c>
      <c r="D2713" s="163" t="str">
        <f>IFERROR(__xludf.DUMMYFUNCTION("""COMPUTED_VALUE"""),"BRK")</f>
        <v>BRK</v>
      </c>
      <c r="E2713" s="164" t="str">
        <f>IFERROR(__xludf.DUMMYFUNCTION("""COMPUTED_VALUE"""),"Off Screen Shooter")</f>
        <v>Off Screen Shooter</v>
      </c>
      <c r="F2713" s="164">
        <f>IFERROR(__xludf.DUMMYFUNCTION("""COMPUTED_VALUE"""),2293.52166666667)</f>
        <v>2293.521667</v>
      </c>
      <c r="G2713" s="163">
        <f>IFERROR(__xludf.DUMMYFUNCTION("""COMPUTED_VALUE"""),76.0)</f>
        <v>76</v>
      </c>
      <c r="H2713" s="163" t="str">
        <f>IFERROR(__xludf.DUMMYFUNCTION("""COMPUTED_VALUE"""),"SG")</f>
        <v>SG</v>
      </c>
      <c r="I2713" s="163">
        <f>IFERROR(__xludf.DUMMYFUNCTION("""COMPUTED_VALUE"""),27.0)</f>
        <v>27</v>
      </c>
      <c r="J2713" s="165">
        <f>IFERROR(__xludf.DUMMYFUNCTION("""COMPUTED_VALUE"""),-0.820487300106081)</f>
        <v>-0.8204873001</v>
      </c>
      <c r="K2713" s="165">
        <f>IFERROR(__xludf.DUMMYFUNCTION("""COMPUTED_VALUE"""),0.0284861898257575)</f>
        <v>0.02848618983</v>
      </c>
      <c r="L2713" s="165">
        <f>IFERROR(__xludf.DUMMYFUNCTION("""COMPUTED_VALUE"""),-0.848973489931839)</f>
        <v>-0.8489734899</v>
      </c>
      <c r="M2713" s="166">
        <f t="shared" si="2"/>
        <v>2.268337016</v>
      </c>
      <c r="N2713" s="167">
        <f t="shared" si="3"/>
        <v>30.17791667</v>
      </c>
      <c r="O2713" s="163">
        <f t="shared" ref="O2713:Q2713" si="2717">rank(I2713,I:I)</f>
        <v>1366</v>
      </c>
      <c r="P2713" s="163">
        <f t="shared" si="2717"/>
        <v>2316</v>
      </c>
      <c r="Q2713" s="163">
        <f t="shared" si="2717"/>
        <v>1159</v>
      </c>
      <c r="R2713" s="163">
        <f>IFERROR(__xludf.DUMMYFUNCTION("RANK(M2713,filter(M:M,C:C=C2713))"),138.0)</f>
        <v>138</v>
      </c>
      <c r="S2713" s="161" t="b">
        <f t="shared" si="5"/>
        <v>0</v>
      </c>
      <c r="T2713" s="161" t="b">
        <f t="array" ref="T2713">index('Query Tool'!B:B,match(H2713,'Query Tool'!C:C,0))</f>
        <v>1</v>
      </c>
      <c r="U2713" s="161" t="b">
        <f t="array" ref="U2713">index('Query Tool'!B:B,match(C2713,'Query Tool'!C:C,0))</f>
        <v>0</v>
      </c>
      <c r="V2713" s="161" t="b">
        <f>F2713&gt;='Query Tool'!C$32</f>
        <v>1</v>
      </c>
      <c r="W2713" s="161" t="b">
        <f t="array" ref="W2713">index(Dropdowns!B:B,match(I2713,Dropdowns!A:A,0))</f>
        <v>1</v>
      </c>
      <c r="X2713" s="161" t="b">
        <f t="array" ref="X2713">index('Query Tool'!B:B,match(D2713,'Query Tool'!C:C,0))</f>
        <v>1</v>
      </c>
      <c r="Y2713" s="161" t="str">
        <f t="shared" si="6"/>
        <v>harrijo01,2018-19</v>
      </c>
      <c r="Z2713" s="168">
        <f t="array" ref="Z2713">iferror(index(I:I,match($A2713&amp;","&amp;index('Year Conversion'!$A:$A,match($C2713,'Year Conversion'!$B:$B,0)),$Y:$Y,0))-I2713,"")</f>
        <v>1</v>
      </c>
      <c r="AA2713" s="168">
        <f t="array" ref="AA2713">iferror(index(J:J,match($A2713&amp;","&amp;index('Year Conversion'!$A:$A,match($C2713,'Year Conversion'!$B:$B,0)),$Y:$Y,0))-J2713,"")</f>
        <v>1.20197303</v>
      </c>
      <c r="AB2713" s="168">
        <f t="array" ref="AB2713">iferror(index(K:K,match($A2713&amp;","&amp;index('Year Conversion'!$A:$A,match($C2713,'Year Conversion'!$B:$B,0)),$Y:$Y,0))-K2713,"")</f>
        <v>0.9781729939</v>
      </c>
      <c r="AC2713" s="168" t="str">
        <f t="shared" si="7"/>
        <v>BRK,2018-19</v>
      </c>
    </row>
    <row r="2714">
      <c r="A2714" s="161" t="str">
        <f>IFERROR(__xludf.DUMMYFUNCTION("""COMPUTED_VALUE"""),"mcderdo01")</f>
        <v>mcderdo01</v>
      </c>
      <c r="B2714" s="161" t="str">
        <f>IFERROR(__xludf.DUMMYFUNCTION("""COMPUTED_VALUE"""),"Doug McDermott")</f>
        <v>Doug McDermott</v>
      </c>
      <c r="C2714" s="162" t="str">
        <f>IFERROR(__xludf.DUMMYFUNCTION("""COMPUTED_VALUE"""),"2018-19")</f>
        <v>2018-19</v>
      </c>
      <c r="D2714" s="163" t="str">
        <f>IFERROR(__xludf.DUMMYFUNCTION("""COMPUTED_VALUE"""),"IND")</f>
        <v>IND</v>
      </c>
      <c r="E2714" s="164" t="str">
        <f>IFERROR(__xludf.DUMMYFUNCTION("""COMPUTED_VALUE"""),"Off Screen Shooter")</f>
        <v>Off Screen Shooter</v>
      </c>
      <c r="F2714" s="164">
        <f>IFERROR(__xludf.DUMMYFUNCTION("""COMPUTED_VALUE"""),1339.665)</f>
        <v>1339.665</v>
      </c>
      <c r="G2714" s="163">
        <f>IFERROR(__xludf.DUMMYFUNCTION("""COMPUTED_VALUE"""),77.0)</f>
        <v>77</v>
      </c>
      <c r="H2714" s="163" t="str">
        <f>IFERROR(__xludf.DUMMYFUNCTION("""COMPUTED_VALUE"""),"SF")</f>
        <v>SF</v>
      </c>
      <c r="I2714" s="163">
        <f>IFERROR(__xludf.DUMMYFUNCTION("""COMPUTED_VALUE"""),27.0)</f>
        <v>27</v>
      </c>
      <c r="J2714" s="165">
        <f>IFERROR(__xludf.DUMMYFUNCTION("""COMPUTED_VALUE"""),-1.78311221754757)</f>
        <v>-1.783112218</v>
      </c>
      <c r="K2714" s="165">
        <f>IFERROR(__xludf.DUMMYFUNCTION("""COMPUTED_VALUE"""),-0.542753103218374)</f>
        <v>-0.5427531032</v>
      </c>
      <c r="L2714" s="165">
        <f>IFERROR(__xludf.DUMMYFUNCTION("""COMPUTED_VALUE"""),-1.2403591143292)</f>
        <v>-1.240359114</v>
      </c>
      <c r="M2714" s="166">
        <f t="shared" si="2"/>
        <v>0.4619063408</v>
      </c>
      <c r="N2714" s="167">
        <f t="shared" si="3"/>
        <v>17.39824675</v>
      </c>
      <c r="O2714" s="163">
        <f t="shared" ref="O2714:Q2714" si="2718">rank(I2714,I:I)</f>
        <v>1366</v>
      </c>
      <c r="P2714" s="163">
        <f t="shared" si="2718"/>
        <v>3314</v>
      </c>
      <c r="Q2714" s="163">
        <f t="shared" si="2718"/>
        <v>2175</v>
      </c>
      <c r="R2714" s="163">
        <f>IFERROR(__xludf.DUMMYFUNCTION("RANK(M2714,filter(M:M,C:C=C2714))"),295.0)</f>
        <v>295</v>
      </c>
      <c r="S2714" s="161" t="b">
        <f t="shared" si="5"/>
        <v>0</v>
      </c>
      <c r="T2714" s="161" t="b">
        <f t="array" ref="T2714">index('Query Tool'!B:B,match(H2714,'Query Tool'!C:C,0))</f>
        <v>1</v>
      </c>
      <c r="U2714" s="161" t="b">
        <f t="array" ref="U2714">index('Query Tool'!B:B,match(C2714,'Query Tool'!C:C,0))</f>
        <v>0</v>
      </c>
      <c r="V2714" s="161" t="b">
        <f>F2714&gt;='Query Tool'!C$32</f>
        <v>1</v>
      </c>
      <c r="W2714" s="161" t="b">
        <f t="array" ref="W2714">index(Dropdowns!B:B,match(I2714,Dropdowns!A:A,0))</f>
        <v>1</v>
      </c>
      <c r="X2714" s="161" t="b">
        <f t="array" ref="X2714">index('Query Tool'!B:B,match(D2714,'Query Tool'!C:C,0))</f>
        <v>1</v>
      </c>
      <c r="Y2714" s="161" t="str">
        <f t="shared" si="6"/>
        <v>mcderdo01,2018-19</v>
      </c>
      <c r="Z2714" s="168">
        <f t="array" ref="Z2714">iferror(index(I:I,match($A2714&amp;","&amp;index('Year Conversion'!$A:$A,match($C2714,'Year Conversion'!$B:$B,0)),$Y:$Y,0))-I2714,"")</f>
        <v>1</v>
      </c>
      <c r="AA2714" s="168">
        <f t="array" ref="AA2714">iferror(index(J:J,match($A2714&amp;","&amp;index('Year Conversion'!$A:$A,match($C2714,'Year Conversion'!$B:$B,0)),$Y:$Y,0))-J2714,"")</f>
        <v>0.8648671794</v>
      </c>
      <c r="AB2714" s="168">
        <f t="array" ref="AB2714">iferror(index(K:K,match($A2714&amp;","&amp;index('Year Conversion'!$A:$A,match($C2714,'Year Conversion'!$B:$B,0)),$Y:$Y,0))-K2714,"")</f>
        <v>0.8838541314</v>
      </c>
      <c r="AC2714" s="168" t="str">
        <f t="shared" si="7"/>
        <v>IND,2018-19</v>
      </c>
    </row>
    <row r="2715">
      <c r="A2715" s="161" t="str">
        <f>IFERROR(__xludf.DUMMYFUNCTION("""COMPUTED_VALUE"""),"gordoaa01")</f>
        <v>gordoaa01</v>
      </c>
      <c r="B2715" s="161" t="str">
        <f>IFERROR(__xludf.DUMMYFUNCTION("""COMPUTED_VALUE"""),"Aaron Gordon")</f>
        <v>Aaron Gordon</v>
      </c>
      <c r="C2715" s="162" t="str">
        <f>IFERROR(__xludf.DUMMYFUNCTION("""COMPUTED_VALUE"""),"2018-19")</f>
        <v>2018-19</v>
      </c>
      <c r="D2715" s="163" t="str">
        <f>IFERROR(__xludf.DUMMYFUNCTION("""COMPUTED_VALUE"""),"ORL")</f>
        <v>ORL</v>
      </c>
      <c r="E2715" s="164" t="str">
        <f>IFERROR(__xludf.DUMMYFUNCTION("""COMPUTED_VALUE"""),"Shot Creator")</f>
        <v>Shot Creator</v>
      </c>
      <c r="F2715" s="164">
        <f>IFERROR(__xludf.DUMMYFUNCTION("""COMPUTED_VALUE"""),2632.53333333333)</f>
        <v>2632.533333</v>
      </c>
      <c r="G2715" s="163">
        <f>IFERROR(__xludf.DUMMYFUNCTION("""COMPUTED_VALUE"""),78.0)</f>
        <v>78</v>
      </c>
      <c r="H2715" s="163" t="str">
        <f>IFERROR(__xludf.DUMMYFUNCTION("""COMPUTED_VALUE"""),"PF")</f>
        <v>PF</v>
      </c>
      <c r="I2715" s="163">
        <f>IFERROR(__xludf.DUMMYFUNCTION("""COMPUTED_VALUE"""),23.0)</f>
        <v>23</v>
      </c>
      <c r="J2715" s="165">
        <f>IFERROR(__xludf.DUMMYFUNCTION("""COMPUTED_VALUE"""),0.990422190296464)</f>
        <v>0.9904221903</v>
      </c>
      <c r="K2715" s="165">
        <f>IFERROR(__xludf.DUMMYFUNCTION("""COMPUTED_VALUE"""),-0.0340690719722097)</f>
        <v>-0.03406907197</v>
      </c>
      <c r="L2715" s="165">
        <f>IFERROR(__xludf.DUMMYFUNCTION("""COMPUTED_VALUE"""),1.02449126226867)</f>
        <v>1.024491262</v>
      </c>
      <c r="M2715" s="166">
        <f t="shared" si="2"/>
        <v>5.81392561</v>
      </c>
      <c r="N2715" s="167">
        <f t="shared" si="3"/>
        <v>33.75042735</v>
      </c>
      <c r="O2715" s="163">
        <f t="shared" ref="O2715:Q2715" si="2719">rank(I2715,I:I)</f>
        <v>2765</v>
      </c>
      <c r="P2715" s="163">
        <f t="shared" si="2719"/>
        <v>663</v>
      </c>
      <c r="Q2715" s="163">
        <f t="shared" si="2719"/>
        <v>1245</v>
      </c>
      <c r="R2715" s="163">
        <f>IFERROR(__xludf.DUMMYFUNCTION("RANK(M2715,filter(M:M,C:C=C2715))"),51.0)</f>
        <v>51</v>
      </c>
      <c r="S2715" s="161" t="b">
        <f t="shared" si="5"/>
        <v>0</v>
      </c>
      <c r="T2715" s="161" t="b">
        <f t="array" ref="T2715">index('Query Tool'!B:B,match(H2715,'Query Tool'!C:C,0))</f>
        <v>1</v>
      </c>
      <c r="U2715" s="161" t="b">
        <f t="array" ref="U2715">index('Query Tool'!B:B,match(C2715,'Query Tool'!C:C,0))</f>
        <v>0</v>
      </c>
      <c r="V2715" s="161" t="b">
        <f>F2715&gt;='Query Tool'!C$32</f>
        <v>1</v>
      </c>
      <c r="W2715" s="161" t="b">
        <f t="array" ref="W2715">index(Dropdowns!B:B,match(I2715,Dropdowns!A:A,0))</f>
        <v>1</v>
      </c>
      <c r="X2715" s="161" t="b">
        <f t="array" ref="X2715">index('Query Tool'!B:B,match(D2715,'Query Tool'!C:C,0))</f>
        <v>1</v>
      </c>
      <c r="Y2715" s="161" t="str">
        <f t="shared" si="6"/>
        <v>gordoaa01,2018-19</v>
      </c>
      <c r="Z2715" s="168">
        <f t="array" ref="Z2715">iferror(index(I:I,match($A2715&amp;","&amp;index('Year Conversion'!$A:$A,match($C2715,'Year Conversion'!$B:$B,0)),$Y:$Y,0))-I2715,"")</f>
        <v>1</v>
      </c>
      <c r="AA2715" s="168">
        <f t="array" ref="AA2715">iferror(index(J:J,match($A2715&amp;","&amp;index('Year Conversion'!$A:$A,match($C2715,'Year Conversion'!$B:$B,0)),$Y:$Y,0))-J2715,"")</f>
        <v>-0.208760854</v>
      </c>
      <c r="AB2715" s="168">
        <f t="array" ref="AB2715">iferror(index(K:K,match($A2715&amp;","&amp;index('Year Conversion'!$A:$A,match($C2715,'Year Conversion'!$B:$B,0)),$Y:$Y,0))-K2715,"")</f>
        <v>0.2846393787</v>
      </c>
      <c r="AC2715" s="168" t="str">
        <f t="shared" si="7"/>
        <v>ORL,2018-19</v>
      </c>
    </row>
    <row r="2716">
      <c r="A2716" s="161" t="str">
        <f>IFERROR(__xludf.DUMMYFUNCTION("""COMPUTED_VALUE"""),"warretj01")</f>
        <v>warretj01</v>
      </c>
      <c r="B2716" s="161" t="str">
        <f>IFERROR(__xludf.DUMMYFUNCTION("""COMPUTED_VALUE"""),"T.J. Warren")</f>
        <v>T.J. Warren</v>
      </c>
      <c r="C2716" s="162" t="str">
        <f>IFERROR(__xludf.DUMMYFUNCTION("""COMPUTED_VALUE"""),"2018-19")</f>
        <v>2018-19</v>
      </c>
      <c r="D2716" s="163" t="str">
        <f>IFERROR(__xludf.DUMMYFUNCTION("""COMPUTED_VALUE"""),"PHO")</f>
        <v>PHO</v>
      </c>
      <c r="E2716" s="164" t="str">
        <f>IFERROR(__xludf.DUMMYFUNCTION("""COMPUTED_VALUE"""),"Movement Shooter")</f>
        <v>Movement Shooter</v>
      </c>
      <c r="F2716" s="164">
        <f>IFERROR(__xludf.DUMMYFUNCTION("""COMPUTED_VALUE"""),1359.99833333333)</f>
        <v>1359.998333</v>
      </c>
      <c r="G2716" s="163">
        <f>IFERROR(__xludf.DUMMYFUNCTION("""COMPUTED_VALUE"""),43.0)</f>
        <v>43</v>
      </c>
      <c r="H2716" s="163" t="str">
        <f>IFERROR(__xludf.DUMMYFUNCTION("""COMPUTED_VALUE"""),"SF")</f>
        <v>SF</v>
      </c>
      <c r="I2716" s="163">
        <f>IFERROR(__xludf.DUMMYFUNCTION("""COMPUTED_VALUE"""),25.0)</f>
        <v>25</v>
      </c>
      <c r="J2716" s="165">
        <f>IFERROR(__xludf.DUMMYFUNCTION("""COMPUTED_VALUE"""),-0.546161988526763)</f>
        <v>-0.5461619885</v>
      </c>
      <c r="K2716" s="165">
        <f>IFERROR(__xludf.DUMMYFUNCTION("""COMPUTED_VALUE"""),-0.216250738464664)</f>
        <v>-0.2162507385</v>
      </c>
      <c r="L2716" s="165">
        <f>IFERROR(__xludf.DUMMYFUNCTION("""COMPUTED_VALUE"""),-0.329911250062099)</f>
        <v>-0.3299112501</v>
      </c>
      <c r="M2716" s="166">
        <f t="shared" si="2"/>
        <v>1.596097204</v>
      </c>
      <c r="N2716" s="167">
        <f t="shared" si="3"/>
        <v>31.62786822</v>
      </c>
      <c r="O2716" s="163">
        <f t="shared" ref="O2716:Q2716" si="2720">rank(I2716,I:I)</f>
        <v>1995</v>
      </c>
      <c r="P2716" s="163">
        <f t="shared" si="2720"/>
        <v>1911</v>
      </c>
      <c r="Q2716" s="163">
        <f t="shared" si="2720"/>
        <v>1591</v>
      </c>
      <c r="R2716" s="163">
        <f>IFERROR(__xludf.DUMMYFUNCTION("RANK(M2716,filter(M:M,C:C=C2716))"),182.0)</f>
        <v>182</v>
      </c>
      <c r="S2716" s="161" t="b">
        <f t="shared" si="5"/>
        <v>0</v>
      </c>
      <c r="T2716" s="161" t="b">
        <f t="array" ref="T2716">index('Query Tool'!B:B,match(H2716,'Query Tool'!C:C,0))</f>
        <v>1</v>
      </c>
      <c r="U2716" s="161" t="b">
        <f t="array" ref="U2716">index('Query Tool'!B:B,match(C2716,'Query Tool'!C:C,0))</f>
        <v>0</v>
      </c>
      <c r="V2716" s="161" t="b">
        <f>F2716&gt;='Query Tool'!C$32</f>
        <v>1</v>
      </c>
      <c r="W2716" s="161" t="b">
        <f t="array" ref="W2716">index(Dropdowns!B:B,match(I2716,Dropdowns!A:A,0))</f>
        <v>1</v>
      </c>
      <c r="X2716" s="161" t="b">
        <f t="array" ref="X2716">index('Query Tool'!B:B,match(D2716,'Query Tool'!C:C,0))</f>
        <v>1</v>
      </c>
      <c r="Y2716" s="161" t="str">
        <f t="shared" si="6"/>
        <v>warretj01,2018-19</v>
      </c>
      <c r="Z2716" s="168">
        <f t="array" ref="Z2716">iferror(index(I:I,match($A2716&amp;","&amp;index('Year Conversion'!$A:$A,match($C2716,'Year Conversion'!$B:$B,0)),$Y:$Y,0))-I2716,"")</f>
        <v>1</v>
      </c>
      <c r="AA2716" s="168">
        <f t="array" ref="AA2716">iferror(index(J:J,match($A2716&amp;","&amp;index('Year Conversion'!$A:$A,match($C2716,'Year Conversion'!$B:$B,0)),$Y:$Y,0))-J2716,"")</f>
        <v>1.229379546</v>
      </c>
      <c r="AB2716" s="168">
        <f t="array" ref="AB2716">iferror(index(K:K,match($A2716&amp;","&amp;index('Year Conversion'!$A:$A,match($C2716,'Year Conversion'!$B:$B,0)),$Y:$Y,0))-K2716,"")</f>
        <v>0.788139002</v>
      </c>
      <c r="AC2716" s="168" t="str">
        <f t="shared" si="7"/>
        <v>PHO,2018-19</v>
      </c>
    </row>
    <row r="2717">
      <c r="A2717" s="161" t="str">
        <f>IFERROR(__xludf.DUMMYFUNCTION("""COMPUTED_VALUE"""),"smartma01")</f>
        <v>smartma01</v>
      </c>
      <c r="B2717" s="161" t="str">
        <f>IFERROR(__xludf.DUMMYFUNCTION("""COMPUTED_VALUE"""),"Marcus Smart")</f>
        <v>Marcus Smart</v>
      </c>
      <c r="C2717" s="162" t="str">
        <f>IFERROR(__xludf.DUMMYFUNCTION("""COMPUTED_VALUE"""),"2018-19")</f>
        <v>2018-19</v>
      </c>
      <c r="D2717" s="163" t="str">
        <f>IFERROR(__xludf.DUMMYFUNCTION("""COMPUTED_VALUE"""),"BOS")</f>
        <v>BOS</v>
      </c>
      <c r="E2717" s="164" t="str">
        <f>IFERROR(__xludf.DUMMYFUNCTION("""COMPUTED_VALUE"""),"Primary Ball Handler")</f>
        <v>Primary Ball Handler</v>
      </c>
      <c r="F2717" s="164">
        <f>IFERROR(__xludf.DUMMYFUNCTION("""COMPUTED_VALUE"""),2199.78333333333)</f>
        <v>2199.783333</v>
      </c>
      <c r="G2717" s="163">
        <f>IFERROR(__xludf.DUMMYFUNCTION("""COMPUTED_VALUE"""),80.0)</f>
        <v>80</v>
      </c>
      <c r="H2717" s="163" t="str">
        <f>IFERROR(__xludf.DUMMYFUNCTION("""COMPUTED_VALUE"""),"SG")</f>
        <v>SG</v>
      </c>
      <c r="I2717" s="163">
        <f>IFERROR(__xludf.DUMMYFUNCTION("""COMPUTED_VALUE"""),24.0)</f>
        <v>24</v>
      </c>
      <c r="J2717" s="165">
        <f>IFERROR(__xludf.DUMMYFUNCTION("""COMPUTED_VALUE"""),0.522829967483)</f>
        <v>0.5228299675</v>
      </c>
      <c r="K2717" s="165">
        <f>IFERROR(__xludf.DUMMYFUNCTION("""COMPUTED_VALUE"""),-0.532710794699904)</f>
        <v>-0.5327107947</v>
      </c>
      <c r="L2717" s="165">
        <f>IFERROR(__xludf.DUMMYFUNCTION("""COMPUTED_VALUE"""),1.0555407621829)</f>
        <v>1.055540762</v>
      </c>
      <c r="M2717" s="166">
        <f t="shared" si="2"/>
        <v>4.166432563</v>
      </c>
      <c r="N2717" s="167">
        <f t="shared" si="3"/>
        <v>27.49729167</v>
      </c>
      <c r="O2717" s="163">
        <f t="shared" ref="O2717:Q2717" si="2721">rank(I2717,I:I)</f>
        <v>2361</v>
      </c>
      <c r="P2717" s="163">
        <f t="shared" si="2721"/>
        <v>889</v>
      </c>
      <c r="Q2717" s="163">
        <f t="shared" si="2721"/>
        <v>2158</v>
      </c>
      <c r="R2717" s="163">
        <f>IFERROR(__xludf.DUMMYFUNCTION("RANK(M2717,filter(M:M,C:C=C2717))"),80.0)</f>
        <v>80</v>
      </c>
      <c r="S2717" s="161" t="b">
        <f t="shared" si="5"/>
        <v>0</v>
      </c>
      <c r="T2717" s="161" t="b">
        <f t="array" ref="T2717">index('Query Tool'!B:B,match(H2717,'Query Tool'!C:C,0))</f>
        <v>1</v>
      </c>
      <c r="U2717" s="161" t="b">
        <f t="array" ref="U2717">index('Query Tool'!B:B,match(C2717,'Query Tool'!C:C,0))</f>
        <v>0</v>
      </c>
      <c r="V2717" s="161" t="b">
        <f>F2717&gt;='Query Tool'!C$32</f>
        <v>1</v>
      </c>
      <c r="W2717" s="161" t="b">
        <f t="array" ref="W2717">index(Dropdowns!B:B,match(I2717,Dropdowns!A:A,0))</f>
        <v>1</v>
      </c>
      <c r="X2717" s="161" t="b">
        <f t="array" ref="X2717">index('Query Tool'!B:B,match(D2717,'Query Tool'!C:C,0))</f>
        <v>1</v>
      </c>
      <c r="Y2717" s="161" t="str">
        <f t="shared" si="6"/>
        <v>smartma01,2018-19</v>
      </c>
      <c r="Z2717" s="168">
        <f t="array" ref="Z2717">iferror(index(I:I,match($A2717&amp;","&amp;index('Year Conversion'!$A:$A,match($C2717,'Year Conversion'!$B:$B,0)),$Y:$Y,0))-I2717,"")</f>
        <v>1</v>
      </c>
      <c r="AA2717" s="168">
        <f t="array" ref="AA2717">iferror(index(J:J,match($A2717&amp;","&amp;index('Year Conversion'!$A:$A,match($C2717,'Year Conversion'!$B:$B,0)),$Y:$Y,0))-J2717,"")</f>
        <v>0.5818011398</v>
      </c>
      <c r="AB2717" s="168">
        <f t="array" ref="AB2717">iferror(index(K:K,match($A2717&amp;","&amp;index('Year Conversion'!$A:$A,match($C2717,'Year Conversion'!$B:$B,0)),$Y:$Y,0))-K2717,"")</f>
        <v>0.9065511382</v>
      </c>
      <c r="AC2717" s="168" t="str">
        <f t="shared" si="7"/>
        <v>BOS,2018-19</v>
      </c>
    </row>
    <row r="2718">
      <c r="A2718" s="161" t="str">
        <f>IFERROR(__xludf.DUMMYFUNCTION("""COMPUTED_VALUE"""),"anderky01")</f>
        <v>anderky01</v>
      </c>
      <c r="B2718" s="161" t="str">
        <f>IFERROR(__xludf.DUMMYFUNCTION("""COMPUTED_VALUE"""),"Kyle Anderson")</f>
        <v>Kyle Anderson</v>
      </c>
      <c r="C2718" s="162" t="str">
        <f>IFERROR(__xludf.DUMMYFUNCTION("""COMPUTED_VALUE"""),"2018-19")</f>
        <v>2018-19</v>
      </c>
      <c r="D2718" s="163" t="str">
        <f>IFERROR(__xludf.DUMMYFUNCTION("""COMPUTED_VALUE"""),"MEM")</f>
        <v>MEM</v>
      </c>
      <c r="E2718" s="164" t="str">
        <f>IFERROR(__xludf.DUMMYFUNCTION("""COMPUTED_VALUE"""),"Athletic Finisher")</f>
        <v>Athletic Finisher</v>
      </c>
      <c r="F2718" s="164">
        <f>IFERROR(__xludf.DUMMYFUNCTION("""COMPUTED_VALUE"""),1281.52666666667)</f>
        <v>1281.526667</v>
      </c>
      <c r="G2718" s="163">
        <f>IFERROR(__xludf.DUMMYFUNCTION("""COMPUTED_VALUE"""),43.0)</f>
        <v>43</v>
      </c>
      <c r="H2718" s="163" t="str">
        <f>IFERROR(__xludf.DUMMYFUNCTION("""COMPUTED_VALUE"""),"SF")</f>
        <v>SF</v>
      </c>
      <c r="I2718" s="163">
        <f>IFERROR(__xludf.DUMMYFUNCTION("""COMPUTED_VALUE"""),25.0)</f>
        <v>25</v>
      </c>
      <c r="J2718" s="165">
        <f>IFERROR(__xludf.DUMMYFUNCTION("""COMPUTED_VALUE"""),-0.662913006377976)</f>
        <v>-0.6629130064</v>
      </c>
      <c r="K2718" s="165">
        <f>IFERROR(__xludf.DUMMYFUNCTION("""COMPUTED_VALUE"""),-2.36257395892939)</f>
        <v>-2.362573959</v>
      </c>
      <c r="L2718" s="165">
        <f>IFERROR(__xludf.DUMMYFUNCTION("""COMPUTED_VALUE"""),1.69966095255142)</f>
        <v>1.699660953</v>
      </c>
      <c r="M2718" s="166">
        <f t="shared" si="2"/>
        <v>1.403284658</v>
      </c>
      <c r="N2718" s="167">
        <f t="shared" si="3"/>
        <v>29.80294574</v>
      </c>
      <c r="O2718" s="163">
        <f t="shared" ref="O2718:Q2718" si="2722">rank(I2718,I:I)</f>
        <v>1995</v>
      </c>
      <c r="P2718" s="163">
        <f t="shared" si="2722"/>
        <v>2083</v>
      </c>
      <c r="Q2718" s="163">
        <f t="shared" si="2722"/>
        <v>3853</v>
      </c>
      <c r="R2718" s="163">
        <f>IFERROR(__xludf.DUMMYFUNCTION("RANK(M2718,filter(M:M,C:C=C2718))"),192.0)</f>
        <v>192</v>
      </c>
      <c r="S2718" s="161" t="b">
        <f t="shared" si="5"/>
        <v>0</v>
      </c>
      <c r="T2718" s="161" t="b">
        <f t="array" ref="T2718">index('Query Tool'!B:B,match(H2718,'Query Tool'!C:C,0))</f>
        <v>1</v>
      </c>
      <c r="U2718" s="161" t="b">
        <f t="array" ref="U2718">index('Query Tool'!B:B,match(C2718,'Query Tool'!C:C,0))</f>
        <v>0</v>
      </c>
      <c r="V2718" s="161" t="b">
        <f>F2718&gt;='Query Tool'!C$32</f>
        <v>1</v>
      </c>
      <c r="W2718" s="161" t="b">
        <f t="array" ref="W2718">index(Dropdowns!B:B,match(I2718,Dropdowns!A:A,0))</f>
        <v>1</v>
      </c>
      <c r="X2718" s="161" t="b">
        <f t="array" ref="X2718">index('Query Tool'!B:B,match(D2718,'Query Tool'!C:C,0))</f>
        <v>1</v>
      </c>
      <c r="Y2718" s="161" t="str">
        <f t="shared" si="6"/>
        <v>anderky01,2018-19</v>
      </c>
      <c r="Z2718" s="168">
        <f t="array" ref="Z2718">iferror(index(I:I,match($A2718&amp;","&amp;index('Year Conversion'!$A:$A,match($C2718,'Year Conversion'!$B:$B,0)),$Y:$Y,0))-I2718,"")</f>
        <v>1</v>
      </c>
      <c r="AA2718" s="168">
        <f t="array" ref="AA2718">iferror(index(J:J,match($A2718&amp;","&amp;index('Year Conversion'!$A:$A,match($C2718,'Year Conversion'!$B:$B,0)),$Y:$Y,0))-J2718,"")</f>
        <v>0.2720212897</v>
      </c>
      <c r="AB2718" s="168">
        <f t="array" ref="AB2718">iferror(index(K:K,match($A2718&amp;","&amp;index('Year Conversion'!$A:$A,match($C2718,'Year Conversion'!$B:$B,0)),$Y:$Y,0))-K2718,"")</f>
        <v>0.6924097685</v>
      </c>
      <c r="AC2718" s="168" t="str">
        <f t="shared" si="7"/>
        <v>MEM,2018-19</v>
      </c>
    </row>
    <row r="2719">
      <c r="A2719" s="161" t="str">
        <f>IFERROR(__xludf.DUMMYFUNCTION("""COMPUTED_VALUE"""),"poweldw01")</f>
        <v>poweldw01</v>
      </c>
      <c r="B2719" s="161" t="str">
        <f>IFERROR(__xludf.DUMMYFUNCTION("""COMPUTED_VALUE"""),"Dwight Powell")</f>
        <v>Dwight Powell</v>
      </c>
      <c r="C2719" s="162" t="str">
        <f>IFERROR(__xludf.DUMMYFUNCTION("""COMPUTED_VALUE"""),"2018-19")</f>
        <v>2018-19</v>
      </c>
      <c r="D2719" s="163" t="str">
        <f>IFERROR(__xludf.DUMMYFUNCTION("""COMPUTED_VALUE"""),"DAL")</f>
        <v>DAL</v>
      </c>
      <c r="E2719" s="164" t="str">
        <f>IFERROR(__xludf.DUMMYFUNCTION("""COMPUTED_VALUE"""),"Stretch Big")</f>
        <v>Stretch Big</v>
      </c>
      <c r="F2719" s="164">
        <f>IFERROR(__xludf.DUMMYFUNCTION("""COMPUTED_VALUE"""),1662.535)</f>
        <v>1662.535</v>
      </c>
      <c r="G2719" s="163">
        <f>IFERROR(__xludf.DUMMYFUNCTION("""COMPUTED_VALUE"""),77.0)</f>
        <v>77</v>
      </c>
      <c r="H2719" s="163" t="str">
        <f>IFERROR(__xludf.DUMMYFUNCTION("""COMPUTED_VALUE"""),"C")</f>
        <v>C</v>
      </c>
      <c r="I2719" s="163">
        <f>IFERROR(__xludf.DUMMYFUNCTION("""COMPUTED_VALUE"""),27.0)</f>
        <v>27</v>
      </c>
      <c r="J2719" s="165">
        <f>IFERROR(__xludf.DUMMYFUNCTION("""COMPUTED_VALUE"""),1.59412977861)</f>
        <v>1.594129779</v>
      </c>
      <c r="K2719" s="165">
        <f>IFERROR(__xludf.DUMMYFUNCTION("""COMPUTED_VALUE"""),1.37739543527208)</f>
        <v>1.377395435</v>
      </c>
      <c r="L2719" s="165">
        <f>IFERROR(__xludf.DUMMYFUNCTION("""COMPUTED_VALUE"""),0.216734343337918)</f>
        <v>0.2167343433</v>
      </c>
      <c r="M2719" s="166">
        <f t="shared" si="2"/>
        <v>4.343596417</v>
      </c>
      <c r="N2719" s="167">
        <f t="shared" si="3"/>
        <v>21.59136364</v>
      </c>
      <c r="O2719" s="163">
        <f t="shared" ref="O2719:Q2719" si="2723">rank(I2719,I:I)</f>
        <v>1366</v>
      </c>
      <c r="P2719" s="163">
        <f t="shared" si="2723"/>
        <v>432</v>
      </c>
      <c r="Q2719" s="163">
        <f t="shared" si="2723"/>
        <v>360</v>
      </c>
      <c r="R2719" s="163">
        <f>IFERROR(__xludf.DUMMYFUNCTION("RANK(M2719,filter(M:M,C:C=C2719))"),76.0)</f>
        <v>76</v>
      </c>
      <c r="S2719" s="161" t="b">
        <f t="shared" si="5"/>
        <v>0</v>
      </c>
      <c r="T2719" s="161" t="b">
        <f t="array" ref="T2719">index('Query Tool'!B:B,match(H2719,'Query Tool'!C:C,0))</f>
        <v>1</v>
      </c>
      <c r="U2719" s="161" t="b">
        <f t="array" ref="U2719">index('Query Tool'!B:B,match(C2719,'Query Tool'!C:C,0))</f>
        <v>0</v>
      </c>
      <c r="V2719" s="161" t="b">
        <f>F2719&gt;='Query Tool'!C$32</f>
        <v>1</v>
      </c>
      <c r="W2719" s="161" t="b">
        <f t="array" ref="W2719">index(Dropdowns!B:B,match(I2719,Dropdowns!A:A,0))</f>
        <v>1</v>
      </c>
      <c r="X2719" s="161" t="b">
        <f t="array" ref="X2719">index('Query Tool'!B:B,match(D2719,'Query Tool'!C:C,0))</f>
        <v>1</v>
      </c>
      <c r="Y2719" s="161" t="str">
        <f t="shared" si="6"/>
        <v>poweldw01,2018-19</v>
      </c>
      <c r="Z2719" s="168">
        <f t="array" ref="Z2719">iferror(index(I:I,match($A2719&amp;","&amp;index('Year Conversion'!$A:$A,match($C2719,'Year Conversion'!$B:$B,0)),$Y:$Y,0))-I2719,"")</f>
        <v>1</v>
      </c>
      <c r="AA2719" s="168">
        <f t="array" ref="AA2719">iferror(index(J:J,match($A2719&amp;","&amp;index('Year Conversion'!$A:$A,match($C2719,'Year Conversion'!$B:$B,0)),$Y:$Y,0))-J2719,"")</f>
        <v>-1.579341076</v>
      </c>
      <c r="AB2719" s="168">
        <f t="array" ref="AB2719">iferror(index(K:K,match($A2719&amp;","&amp;index('Year Conversion'!$A:$A,match($C2719,'Year Conversion'!$B:$B,0)),$Y:$Y,0))-K2719,"")</f>
        <v>-2.02287481</v>
      </c>
      <c r="AC2719" s="168" t="str">
        <f t="shared" si="7"/>
        <v>DAL,2018-19</v>
      </c>
    </row>
    <row r="2720">
      <c r="A2720" s="161" t="str">
        <f>IFERROR(__xludf.DUMMYFUNCTION("""COMPUTED_VALUE"""),"vonleno01")</f>
        <v>vonleno01</v>
      </c>
      <c r="B2720" s="161" t="str">
        <f>IFERROR(__xludf.DUMMYFUNCTION("""COMPUTED_VALUE"""),"Noah Vonleh")</f>
        <v>Noah Vonleh</v>
      </c>
      <c r="C2720" s="162" t="str">
        <f>IFERROR(__xludf.DUMMYFUNCTION("""COMPUTED_VALUE"""),"2018-19")</f>
        <v>2018-19</v>
      </c>
      <c r="D2720" s="163" t="str">
        <f>IFERROR(__xludf.DUMMYFUNCTION("""COMPUTED_VALUE"""),"NYK")</f>
        <v>NYK</v>
      </c>
      <c r="E2720" s="164" t="str">
        <f>IFERROR(__xludf.DUMMYFUNCTION("""COMPUTED_VALUE"""),"Versatile Big")</f>
        <v>Versatile Big</v>
      </c>
      <c r="F2720" s="164">
        <f>IFERROR(__xludf.DUMMYFUNCTION("""COMPUTED_VALUE"""),1721.695)</f>
        <v>1721.695</v>
      </c>
      <c r="G2720" s="163">
        <f>IFERROR(__xludf.DUMMYFUNCTION("""COMPUTED_VALUE"""),68.0)</f>
        <v>68</v>
      </c>
      <c r="H2720" s="163" t="str">
        <f>IFERROR(__xludf.DUMMYFUNCTION("""COMPUTED_VALUE"""),"PF")</f>
        <v>PF</v>
      </c>
      <c r="I2720" s="163">
        <f>IFERROR(__xludf.DUMMYFUNCTION("""COMPUTED_VALUE"""),23.0)</f>
        <v>23</v>
      </c>
      <c r="J2720" s="165">
        <f>IFERROR(__xludf.DUMMYFUNCTION("""COMPUTED_VALUE"""),-0.254607407519548)</f>
        <v>-0.2546074075</v>
      </c>
      <c r="K2720" s="165">
        <f>IFERROR(__xludf.DUMMYFUNCTION("""COMPUTED_VALUE"""),-1.35083056957861)</f>
        <v>-1.35083057</v>
      </c>
      <c r="L2720" s="165">
        <f>IFERROR(__xludf.DUMMYFUNCTION("""COMPUTED_VALUE"""),1.09622316205907)</f>
        <v>1.096223162</v>
      </c>
      <c r="M2720" s="166">
        <f t="shared" si="2"/>
        <v>2.35877105</v>
      </c>
      <c r="N2720" s="167">
        <f t="shared" si="3"/>
        <v>25.31904412</v>
      </c>
      <c r="O2720" s="163">
        <f t="shared" ref="O2720:Q2720" si="2724">rank(I2720,I:I)</f>
        <v>2765</v>
      </c>
      <c r="P2720" s="163">
        <f t="shared" si="2724"/>
        <v>1565</v>
      </c>
      <c r="Q2720" s="163">
        <f t="shared" si="2724"/>
        <v>3205</v>
      </c>
      <c r="R2720" s="163">
        <f>IFERROR(__xludf.DUMMYFUNCTION("RANK(M2720,filter(M:M,C:C=C2720))"),134.0)</f>
        <v>134</v>
      </c>
      <c r="S2720" s="161" t="b">
        <f t="shared" si="5"/>
        <v>0</v>
      </c>
      <c r="T2720" s="161" t="b">
        <f t="array" ref="T2720">index('Query Tool'!B:B,match(H2720,'Query Tool'!C:C,0))</f>
        <v>1</v>
      </c>
      <c r="U2720" s="161" t="b">
        <f t="array" ref="U2720">index('Query Tool'!B:B,match(C2720,'Query Tool'!C:C,0))</f>
        <v>0</v>
      </c>
      <c r="V2720" s="161" t="b">
        <f>F2720&gt;='Query Tool'!C$32</f>
        <v>1</v>
      </c>
      <c r="W2720" s="161" t="b">
        <f t="array" ref="W2720">index(Dropdowns!B:B,match(I2720,Dropdowns!A:A,0))</f>
        <v>1</v>
      </c>
      <c r="X2720" s="161" t="b">
        <f t="array" ref="X2720">index('Query Tool'!B:B,match(D2720,'Query Tool'!C:C,0))</f>
        <v>1</v>
      </c>
      <c r="Y2720" s="161" t="str">
        <f t="shared" si="6"/>
        <v>vonleno01,2018-19</v>
      </c>
      <c r="Z2720" s="168">
        <f t="array" ref="Z2720">iferror(index(I:I,match($A2720&amp;","&amp;index('Year Conversion'!$A:$A,match($C2720,'Year Conversion'!$B:$B,0)),$Y:$Y,0))-I2720,"")</f>
        <v>1</v>
      </c>
      <c r="AA2720" s="168">
        <f t="array" ref="AA2720">iferror(index(J:J,match($A2720&amp;","&amp;index('Year Conversion'!$A:$A,match($C2720,'Year Conversion'!$B:$B,0)),$Y:$Y,0))-J2720,"")</f>
        <v>-0.8734104235</v>
      </c>
      <c r="AB2720" s="168">
        <f t="array" ref="AB2720">iferror(index(K:K,match($A2720&amp;","&amp;index('Year Conversion'!$A:$A,match($C2720,'Year Conversion'!$B:$B,0)),$Y:$Y,0))-K2720,"")</f>
        <v>-0.2581655324</v>
      </c>
      <c r="AC2720" s="168" t="str">
        <f t="shared" si="7"/>
        <v>NYK,2018-19</v>
      </c>
    </row>
    <row r="2721">
      <c r="A2721" s="161" t="str">
        <f>IFERROR(__xludf.DUMMYFUNCTION("""COMPUTED_VALUE"""),"randlju01")</f>
        <v>randlju01</v>
      </c>
      <c r="B2721" s="161" t="str">
        <f>IFERROR(__xludf.DUMMYFUNCTION("""COMPUTED_VALUE"""),"Julius Randle")</f>
        <v>Julius Randle</v>
      </c>
      <c r="C2721" s="162" t="str">
        <f>IFERROR(__xludf.DUMMYFUNCTION("""COMPUTED_VALUE"""),"2018-19")</f>
        <v>2018-19</v>
      </c>
      <c r="D2721" s="163" t="str">
        <f>IFERROR(__xludf.DUMMYFUNCTION("""COMPUTED_VALUE"""),"NOP")</f>
        <v>NOP</v>
      </c>
      <c r="E2721" s="164" t="str">
        <f>IFERROR(__xludf.DUMMYFUNCTION("""COMPUTED_VALUE"""),"Post Scorer")</f>
        <v>Post Scorer</v>
      </c>
      <c r="F2721" s="164">
        <f>IFERROR(__xludf.DUMMYFUNCTION("""COMPUTED_VALUE"""),2231.635)</f>
        <v>2231.635</v>
      </c>
      <c r="G2721" s="163">
        <f>IFERROR(__xludf.DUMMYFUNCTION("""COMPUTED_VALUE"""),73.0)</f>
        <v>73</v>
      </c>
      <c r="H2721" s="163" t="str">
        <f>IFERROR(__xludf.DUMMYFUNCTION("""COMPUTED_VALUE"""),"PF")</f>
        <v>PF</v>
      </c>
      <c r="I2721" s="163">
        <f>IFERROR(__xludf.DUMMYFUNCTION("""COMPUTED_VALUE"""),24.0)</f>
        <v>24</v>
      </c>
      <c r="J2721" s="165">
        <f>IFERROR(__xludf.DUMMYFUNCTION("""COMPUTED_VALUE"""),-0.0594273463292241)</f>
        <v>-0.05942734633</v>
      </c>
      <c r="K2721" s="165">
        <f>IFERROR(__xludf.DUMMYFUNCTION("""COMPUTED_VALUE"""),1.1085101520392)</f>
        <v>1.108510152</v>
      </c>
      <c r="L2721" s="165">
        <f>IFERROR(__xludf.DUMMYFUNCTION("""COMPUTED_VALUE"""),-1.16793749836842)</f>
        <v>-1.167937498</v>
      </c>
      <c r="M2721" s="166">
        <f t="shared" si="2"/>
        <v>3.351026579</v>
      </c>
      <c r="N2721" s="167">
        <f t="shared" si="3"/>
        <v>30.57034247</v>
      </c>
      <c r="O2721" s="163">
        <f t="shared" ref="O2721:Q2721" si="2725">rank(I2721,I:I)</f>
        <v>2361</v>
      </c>
      <c r="P2721" s="163">
        <f t="shared" si="2725"/>
        <v>1346</v>
      </c>
      <c r="Q2721" s="163">
        <f t="shared" si="2725"/>
        <v>448</v>
      </c>
      <c r="R2721" s="163">
        <f>IFERROR(__xludf.DUMMYFUNCTION("RANK(M2721,filter(M:M,C:C=C2721))"),104.0)</f>
        <v>104</v>
      </c>
      <c r="S2721" s="161" t="b">
        <f t="shared" si="5"/>
        <v>0</v>
      </c>
      <c r="T2721" s="161" t="b">
        <f t="array" ref="T2721">index('Query Tool'!B:B,match(H2721,'Query Tool'!C:C,0))</f>
        <v>1</v>
      </c>
      <c r="U2721" s="161" t="b">
        <f t="array" ref="U2721">index('Query Tool'!B:B,match(C2721,'Query Tool'!C:C,0))</f>
        <v>0</v>
      </c>
      <c r="V2721" s="161" t="b">
        <f>F2721&gt;='Query Tool'!C$32</f>
        <v>1</v>
      </c>
      <c r="W2721" s="161" t="b">
        <f t="array" ref="W2721">index(Dropdowns!B:B,match(I2721,Dropdowns!A:A,0))</f>
        <v>1</v>
      </c>
      <c r="X2721" s="161" t="b">
        <f t="array" ref="X2721">index('Query Tool'!B:B,match(D2721,'Query Tool'!C:C,0))</f>
        <v>1</v>
      </c>
      <c r="Y2721" s="161" t="str">
        <f t="shared" si="6"/>
        <v>randlju01,2018-19</v>
      </c>
      <c r="Z2721" s="168">
        <f t="array" ref="Z2721">iferror(index(I:I,match($A2721&amp;","&amp;index('Year Conversion'!$A:$A,match($C2721,'Year Conversion'!$B:$B,0)),$Y:$Y,0))-I2721,"")</f>
        <v>1</v>
      </c>
      <c r="AA2721" s="168">
        <f t="array" ref="AA2721">iferror(index(J:J,match($A2721&amp;","&amp;index('Year Conversion'!$A:$A,match($C2721,'Year Conversion'!$B:$B,0)),$Y:$Y,0))-J2721,"")</f>
        <v>0.3434736371</v>
      </c>
      <c r="AB2721" s="168">
        <f t="array" ref="AB2721">iferror(index(K:K,match($A2721&amp;","&amp;index('Year Conversion'!$A:$A,match($C2721,'Year Conversion'!$B:$B,0)),$Y:$Y,0))-K2721,"")</f>
        <v>-1.14153436</v>
      </c>
      <c r="AC2721" s="168" t="str">
        <f t="shared" si="7"/>
        <v>NOP,2018-19</v>
      </c>
    </row>
    <row r="2722">
      <c r="A2722" s="161" t="str">
        <f>IFERROR(__xludf.DUMMYFUNCTION("""COMPUTED_VALUE"""),"wiggian01")</f>
        <v>wiggian01</v>
      </c>
      <c r="B2722" s="161" t="str">
        <f>IFERROR(__xludf.DUMMYFUNCTION("""COMPUTED_VALUE"""),"Andrew Wiggins")</f>
        <v>Andrew Wiggins</v>
      </c>
      <c r="C2722" s="162" t="str">
        <f>IFERROR(__xludf.DUMMYFUNCTION("""COMPUTED_VALUE"""),"2018-19")</f>
        <v>2018-19</v>
      </c>
      <c r="D2722" s="163" t="str">
        <f>IFERROR(__xludf.DUMMYFUNCTION("""COMPUTED_VALUE"""),"MIN")</f>
        <v>MIN</v>
      </c>
      <c r="E2722" s="164" t="str">
        <f>IFERROR(__xludf.DUMMYFUNCTION("""COMPUTED_VALUE"""),"Shot Creator")</f>
        <v>Shot Creator</v>
      </c>
      <c r="F2722" s="164">
        <f>IFERROR(__xludf.DUMMYFUNCTION("""COMPUTED_VALUE"""),2542.71333333333)</f>
        <v>2542.713333</v>
      </c>
      <c r="G2722" s="163">
        <f>IFERROR(__xludf.DUMMYFUNCTION("""COMPUTED_VALUE"""),73.0)</f>
        <v>73</v>
      </c>
      <c r="H2722" s="163" t="str">
        <f>IFERROR(__xludf.DUMMYFUNCTION("""COMPUTED_VALUE"""),"SF")</f>
        <v>SF</v>
      </c>
      <c r="I2722" s="163">
        <f>IFERROR(__xludf.DUMMYFUNCTION("""COMPUTED_VALUE"""),23.0)</f>
        <v>23</v>
      </c>
      <c r="J2722" s="165">
        <f>IFERROR(__xludf.DUMMYFUNCTION("""COMPUTED_VALUE"""),-1.31595183089963)</f>
        <v>-1.315951831</v>
      </c>
      <c r="K2722" s="165">
        <f>IFERROR(__xludf.DUMMYFUNCTION("""COMPUTED_VALUE"""),-0.334572041422483)</f>
        <v>-0.3345720414</v>
      </c>
      <c r="L2722" s="165">
        <f>IFERROR(__xludf.DUMMYFUNCTION("""COMPUTED_VALUE"""),-0.981379789477146)</f>
        <v>-0.9813797895</v>
      </c>
      <c r="M2722" s="166">
        <f t="shared" si="2"/>
        <v>1.669529148</v>
      </c>
      <c r="N2722" s="167">
        <f t="shared" si="3"/>
        <v>34.8316895</v>
      </c>
      <c r="O2722" s="163">
        <f t="shared" ref="O2722:Q2722" si="2726">rank(I2722,I:I)</f>
        <v>2765</v>
      </c>
      <c r="P2722" s="163">
        <f t="shared" si="2726"/>
        <v>2878</v>
      </c>
      <c r="Q2722" s="163">
        <f t="shared" si="2726"/>
        <v>1820</v>
      </c>
      <c r="R2722" s="163">
        <f>IFERROR(__xludf.DUMMYFUNCTION("RANK(M2722,filter(M:M,C:C=C2722))"),177.0)</f>
        <v>177</v>
      </c>
      <c r="S2722" s="161" t="b">
        <f t="shared" si="5"/>
        <v>0</v>
      </c>
      <c r="T2722" s="161" t="b">
        <f t="array" ref="T2722">index('Query Tool'!B:B,match(H2722,'Query Tool'!C:C,0))</f>
        <v>1</v>
      </c>
      <c r="U2722" s="161" t="b">
        <f t="array" ref="U2722">index('Query Tool'!B:B,match(C2722,'Query Tool'!C:C,0))</f>
        <v>0</v>
      </c>
      <c r="V2722" s="161" t="b">
        <f>F2722&gt;='Query Tool'!C$32</f>
        <v>1</v>
      </c>
      <c r="W2722" s="161" t="b">
        <f t="array" ref="W2722">index(Dropdowns!B:B,match(I2722,Dropdowns!A:A,0))</f>
        <v>1</v>
      </c>
      <c r="X2722" s="161" t="b">
        <f t="array" ref="X2722">index('Query Tool'!B:B,match(D2722,'Query Tool'!C:C,0))</f>
        <v>1</v>
      </c>
      <c r="Y2722" s="161" t="str">
        <f t="shared" si="6"/>
        <v>wiggian01,2018-19</v>
      </c>
      <c r="Z2722" s="168">
        <f t="array" ref="Z2722">iferror(index(I:I,match($A2722&amp;","&amp;index('Year Conversion'!$A:$A,match($C2722,'Year Conversion'!$B:$B,0)),$Y:$Y,0))-I2722,"")</f>
        <v>1</v>
      </c>
      <c r="AA2722" s="168">
        <f t="array" ref="AA2722">iferror(index(J:J,match($A2722&amp;","&amp;index('Year Conversion'!$A:$A,match($C2722,'Year Conversion'!$B:$B,0)),$Y:$Y,0))-J2722,"")</f>
        <v>1.350863606</v>
      </c>
      <c r="AB2722" s="168">
        <f t="array" ref="AB2722">iferror(index(K:K,match($A2722&amp;","&amp;index('Year Conversion'!$A:$A,match($C2722,'Year Conversion'!$B:$B,0)),$Y:$Y,0))-K2722,"")</f>
        <v>1.374690446</v>
      </c>
      <c r="AC2722" s="168" t="str">
        <f t="shared" si="7"/>
        <v>MIN,2018-19</v>
      </c>
    </row>
    <row r="2723">
      <c r="A2723" s="161" t="str">
        <f>IFERROR(__xludf.DUMMYFUNCTION("""COMPUTED_VALUE"""),"parkeja01")</f>
        <v>parkeja01</v>
      </c>
      <c r="B2723" s="161" t="str">
        <f>IFERROR(__xludf.DUMMYFUNCTION("""COMPUTED_VALUE"""),"Jabari Parker")</f>
        <v>Jabari Parker</v>
      </c>
      <c r="C2723" s="162" t="str">
        <f>IFERROR(__xludf.DUMMYFUNCTION("""COMPUTED_VALUE"""),"2018-19")</f>
        <v>2018-19</v>
      </c>
      <c r="D2723" s="163" t="str">
        <f>IFERROR(__xludf.DUMMYFUNCTION("""COMPUTED_VALUE"""),"TOT")</f>
        <v>TOT</v>
      </c>
      <c r="E2723" s="164" t="str">
        <f>IFERROR(__xludf.DUMMYFUNCTION("""COMPUTED_VALUE"""),"Shot Creator")</f>
        <v>Shot Creator</v>
      </c>
      <c r="F2723" s="164">
        <f>IFERROR(__xludf.DUMMYFUNCTION("""COMPUTED_VALUE"""),1724.27166666667)</f>
        <v>1724.271667</v>
      </c>
      <c r="G2723" s="163">
        <f>IFERROR(__xludf.DUMMYFUNCTION("""COMPUTED_VALUE"""),64.0)</f>
        <v>64</v>
      </c>
      <c r="H2723" s="163" t="str">
        <f>IFERROR(__xludf.DUMMYFUNCTION("""COMPUTED_VALUE"""),"PF")</f>
        <v>PF</v>
      </c>
      <c r="I2723" s="163">
        <f>IFERROR(__xludf.DUMMYFUNCTION("""COMPUTED_VALUE"""),23.0)</f>
        <v>23</v>
      </c>
      <c r="J2723" s="165">
        <f>IFERROR(__xludf.DUMMYFUNCTION("""COMPUTED_VALUE"""),-0.857529840373482)</f>
        <v>-0.8575298404</v>
      </c>
      <c r="K2723" s="165">
        <f>IFERROR(__xludf.DUMMYFUNCTION("""COMPUTED_VALUE"""),-0.469821462175001)</f>
        <v>-0.4698214622</v>
      </c>
      <c r="L2723" s="165">
        <f>IFERROR(__xludf.DUMMYFUNCTION("""COMPUTED_VALUE"""),-0.38770837819848)</f>
        <v>-0.3877083782</v>
      </c>
      <c r="M2723" s="166">
        <f t="shared" si="2"/>
        <v>1.662402477</v>
      </c>
      <c r="N2723" s="167">
        <f t="shared" si="3"/>
        <v>26.94174479</v>
      </c>
      <c r="O2723" s="163">
        <f t="shared" ref="O2723:Q2723" si="2727">rank(I2723,I:I)</f>
        <v>2765</v>
      </c>
      <c r="P2723" s="163">
        <f t="shared" si="2727"/>
        <v>2351</v>
      </c>
      <c r="Q2723" s="163">
        <f t="shared" si="2727"/>
        <v>2063</v>
      </c>
      <c r="R2723" s="163">
        <f>IFERROR(__xludf.DUMMYFUNCTION("RANK(M2723,filter(M:M,C:C=C2723))"),179.0)</f>
        <v>179</v>
      </c>
      <c r="S2723" s="161" t="b">
        <f t="shared" si="5"/>
        <v>0</v>
      </c>
      <c r="T2723" s="161" t="b">
        <f t="array" ref="T2723">index('Query Tool'!B:B,match(H2723,'Query Tool'!C:C,0))</f>
        <v>1</v>
      </c>
      <c r="U2723" s="161" t="b">
        <f t="array" ref="U2723">index('Query Tool'!B:B,match(C2723,'Query Tool'!C:C,0))</f>
        <v>0</v>
      </c>
      <c r="V2723" s="161" t="b">
        <f>F2723&gt;='Query Tool'!C$32</f>
        <v>1</v>
      </c>
      <c r="W2723" s="161" t="b">
        <f t="array" ref="W2723">index(Dropdowns!B:B,match(I2723,Dropdowns!A:A,0))</f>
        <v>1</v>
      </c>
      <c r="X2723" s="161" t="b">
        <f t="array" ref="X2723">index('Query Tool'!B:B,match(D2723,'Query Tool'!C:C,0))</f>
        <v>1</v>
      </c>
      <c r="Y2723" s="161" t="str">
        <f t="shared" si="6"/>
        <v>parkeja01,2018-19</v>
      </c>
      <c r="Z2723" s="168">
        <f t="array" ref="Z2723">iferror(index(I:I,match($A2723&amp;","&amp;index('Year Conversion'!$A:$A,match($C2723,'Year Conversion'!$B:$B,0)),$Y:$Y,0))-I2723,"")</f>
        <v>1</v>
      </c>
      <c r="AA2723" s="168">
        <f t="array" ref="AA2723">iferror(index(J:J,match($A2723&amp;","&amp;index('Year Conversion'!$A:$A,match($C2723,'Year Conversion'!$B:$B,0)),$Y:$Y,0))-J2723,"")</f>
        <v>1.530892045</v>
      </c>
      <c r="AB2723" s="168">
        <f t="array" ref="AB2723">iferror(index(K:K,match($A2723&amp;","&amp;index('Year Conversion'!$A:$A,match($C2723,'Year Conversion'!$B:$B,0)),$Y:$Y,0))-K2723,"")</f>
        <v>1.554916007</v>
      </c>
      <c r="AC2723" s="168" t="str">
        <f t="shared" si="7"/>
        <v>TOT,2018-19</v>
      </c>
    </row>
    <row r="2724">
      <c r="A2724" s="161" t="str">
        <f>IFERROR(__xludf.DUMMYFUNCTION("""COMPUTED_VALUE"""),"embiijo01")</f>
        <v>embiijo01</v>
      </c>
      <c r="B2724" s="161" t="str">
        <f>IFERROR(__xludf.DUMMYFUNCTION("""COMPUTED_VALUE"""),"Joel Embiid")</f>
        <v>Joel Embiid</v>
      </c>
      <c r="C2724" s="162" t="str">
        <f>IFERROR(__xludf.DUMMYFUNCTION("""COMPUTED_VALUE"""),"2018-19")</f>
        <v>2018-19</v>
      </c>
      <c r="D2724" s="163" t="str">
        <f>IFERROR(__xludf.DUMMYFUNCTION("""COMPUTED_VALUE"""),"PHI")</f>
        <v>PHI</v>
      </c>
      <c r="E2724" s="164" t="str">
        <f>IFERROR(__xludf.DUMMYFUNCTION("""COMPUTED_VALUE"""),"Post Scorer")</f>
        <v>Post Scorer</v>
      </c>
      <c r="F2724" s="164">
        <f>IFERROR(__xludf.DUMMYFUNCTION("""COMPUTED_VALUE"""),2154.305)</f>
        <v>2154.305</v>
      </c>
      <c r="G2724" s="163">
        <f>IFERROR(__xludf.DUMMYFUNCTION("""COMPUTED_VALUE"""),64.0)</f>
        <v>64</v>
      </c>
      <c r="H2724" s="163" t="str">
        <f>IFERROR(__xludf.DUMMYFUNCTION("""COMPUTED_VALUE"""),"C")</f>
        <v>C</v>
      </c>
      <c r="I2724" s="163">
        <f>IFERROR(__xludf.DUMMYFUNCTION("""COMPUTED_VALUE"""),24.0)</f>
        <v>24</v>
      </c>
      <c r="J2724" s="165">
        <f>IFERROR(__xludf.DUMMYFUNCTION("""COMPUTED_VALUE"""),5.6489532045598)</f>
        <v>5.648953205</v>
      </c>
      <c r="K2724" s="165">
        <f>IFERROR(__xludf.DUMMYFUNCTION("""COMPUTED_VALUE"""),3.04243742132965)</f>
        <v>3.042437421</v>
      </c>
      <c r="L2724" s="165">
        <f>IFERROR(__xludf.DUMMYFUNCTION("""COMPUTED_VALUE"""),2.60651578323014)</f>
        <v>2.606515783</v>
      </c>
      <c r="M2724" s="166">
        <f t="shared" si="2"/>
        <v>11.1804277</v>
      </c>
      <c r="N2724" s="167">
        <f t="shared" si="3"/>
        <v>33.66101563</v>
      </c>
      <c r="O2724" s="163">
        <f t="shared" ref="O2724:Q2724" si="2728">rank(I2724,I:I)</f>
        <v>2361</v>
      </c>
      <c r="P2724" s="163">
        <f t="shared" si="2728"/>
        <v>29</v>
      </c>
      <c r="Q2724" s="163">
        <f t="shared" si="2728"/>
        <v>118</v>
      </c>
      <c r="R2724" s="163">
        <f>IFERROR(__xludf.DUMMYFUNCTION("RANK(M2724,filter(M:M,C:C=C2724))"),10.0)</f>
        <v>10</v>
      </c>
      <c r="S2724" s="161" t="b">
        <f t="shared" si="5"/>
        <v>0</v>
      </c>
      <c r="T2724" s="161" t="b">
        <f t="array" ref="T2724">index('Query Tool'!B:B,match(H2724,'Query Tool'!C:C,0))</f>
        <v>1</v>
      </c>
      <c r="U2724" s="161" t="b">
        <f t="array" ref="U2724">index('Query Tool'!B:B,match(C2724,'Query Tool'!C:C,0))</f>
        <v>0</v>
      </c>
      <c r="V2724" s="161" t="b">
        <f>F2724&gt;='Query Tool'!C$32</f>
        <v>1</v>
      </c>
      <c r="W2724" s="161" t="b">
        <f t="array" ref="W2724">index(Dropdowns!B:B,match(I2724,Dropdowns!A:A,0))</f>
        <v>1</v>
      </c>
      <c r="X2724" s="161" t="b">
        <f t="array" ref="X2724">index('Query Tool'!B:B,match(D2724,'Query Tool'!C:C,0))</f>
        <v>1</v>
      </c>
      <c r="Y2724" s="161" t="str">
        <f t="shared" si="6"/>
        <v>embiijo01,2018-19</v>
      </c>
      <c r="Z2724" s="168">
        <f t="array" ref="Z2724">iferror(index(I:I,match($A2724&amp;","&amp;index('Year Conversion'!$A:$A,match($C2724,'Year Conversion'!$B:$B,0)),$Y:$Y,0))-I2724,"")</f>
        <v>1</v>
      </c>
      <c r="AA2724" s="168">
        <f t="array" ref="AA2724">iferror(index(J:J,match($A2724&amp;","&amp;index('Year Conversion'!$A:$A,match($C2724,'Year Conversion'!$B:$B,0)),$Y:$Y,0))-J2724,"")</f>
        <v>-1.917270425</v>
      </c>
      <c r="AB2724" s="168">
        <f t="array" ref="AB2724">iferror(index(K:K,match($A2724&amp;","&amp;index('Year Conversion'!$A:$A,match($C2724,'Year Conversion'!$B:$B,0)),$Y:$Y,0))-K2724,"")</f>
        <v>-1.508466807</v>
      </c>
      <c r="AC2724" s="168" t="str">
        <f t="shared" si="7"/>
        <v>PHI,2018-19</v>
      </c>
    </row>
    <row r="2725">
      <c r="A2725" s="161" t="str">
        <f>IFERROR(__xludf.DUMMYFUNCTION("""COMPUTED_VALUE"""),"exumda01")</f>
        <v>exumda01</v>
      </c>
      <c r="B2725" s="161" t="str">
        <f>IFERROR(__xludf.DUMMYFUNCTION("""COMPUTED_VALUE"""),"Dante Exum")</f>
        <v>Dante Exum</v>
      </c>
      <c r="C2725" s="162" t="str">
        <f>IFERROR(__xludf.DUMMYFUNCTION("""COMPUTED_VALUE"""),"2018-19")</f>
        <v>2018-19</v>
      </c>
      <c r="D2725" s="163" t="str">
        <f>IFERROR(__xludf.DUMMYFUNCTION("""COMPUTED_VALUE"""),"UTA")</f>
        <v>UTA</v>
      </c>
      <c r="E2725" s="164" t="str">
        <f>IFERROR(__xludf.DUMMYFUNCTION("""COMPUTED_VALUE"""),"Slasher")</f>
        <v>Slasher</v>
      </c>
      <c r="F2725" s="164">
        <f>IFERROR(__xludf.DUMMYFUNCTION("""COMPUTED_VALUE"""),664.048333333334)</f>
        <v>664.0483333</v>
      </c>
      <c r="G2725" s="163">
        <f>IFERROR(__xludf.DUMMYFUNCTION("""COMPUTED_VALUE"""),42.0)</f>
        <v>42</v>
      </c>
      <c r="H2725" s="163" t="str">
        <f>IFERROR(__xludf.DUMMYFUNCTION("""COMPUTED_VALUE"""),"PG")</f>
        <v>PG</v>
      </c>
      <c r="I2725" s="163">
        <f>IFERROR(__xludf.DUMMYFUNCTION("""COMPUTED_VALUE"""),23.0)</f>
        <v>23</v>
      </c>
      <c r="J2725" s="165">
        <f>IFERROR(__xludf.DUMMYFUNCTION("""COMPUTED_VALUE"""),-1.18089482527154)</f>
        <v>-1.180894825</v>
      </c>
      <c r="K2725" s="165">
        <f>IFERROR(__xludf.DUMMYFUNCTION("""COMPUTED_VALUE"""),-0.279082409614453)</f>
        <v>-0.2790824096</v>
      </c>
      <c r="L2725" s="165">
        <f>IFERROR(__xludf.DUMMYFUNCTION("""COMPUTED_VALUE"""),-0.901812415657087)</f>
        <v>-0.9018124157</v>
      </c>
      <c r="M2725" s="166">
        <f t="shared" si="2"/>
        <v>0.4960827208</v>
      </c>
      <c r="N2725" s="167">
        <f t="shared" si="3"/>
        <v>15.8106746</v>
      </c>
      <c r="O2725" s="163">
        <f t="shared" ref="O2725:Q2725" si="2729">rank(I2725,I:I)</f>
        <v>2765</v>
      </c>
      <c r="P2725" s="163">
        <f t="shared" si="2729"/>
        <v>2717</v>
      </c>
      <c r="Q2725" s="163">
        <f t="shared" si="2729"/>
        <v>1724</v>
      </c>
      <c r="R2725" s="163">
        <f>IFERROR(__xludf.DUMMYFUNCTION("RANK(M2725,filter(M:M,C:C=C2725))"),287.0)</f>
        <v>287</v>
      </c>
      <c r="S2725" s="161" t="b">
        <f t="shared" si="5"/>
        <v>0</v>
      </c>
      <c r="T2725" s="161" t="b">
        <f t="array" ref="T2725">index('Query Tool'!B:B,match(H2725,'Query Tool'!C:C,0))</f>
        <v>1</v>
      </c>
      <c r="U2725" s="161" t="b">
        <f t="array" ref="U2725">index('Query Tool'!B:B,match(C2725,'Query Tool'!C:C,0))</f>
        <v>0</v>
      </c>
      <c r="V2725" s="161" t="b">
        <f>F2725&gt;='Query Tool'!C$32</f>
        <v>1</v>
      </c>
      <c r="W2725" s="161" t="b">
        <f t="array" ref="W2725">index(Dropdowns!B:B,match(I2725,Dropdowns!A:A,0))</f>
        <v>1</v>
      </c>
      <c r="X2725" s="161" t="b">
        <f t="array" ref="X2725">index('Query Tool'!B:B,match(D2725,'Query Tool'!C:C,0))</f>
        <v>1</v>
      </c>
      <c r="Y2725" s="161" t="str">
        <f t="shared" si="6"/>
        <v>exumda01,2018-19</v>
      </c>
      <c r="Z2725" s="168">
        <f t="array" ref="Z2725">iferror(index(I:I,match($A2725&amp;","&amp;index('Year Conversion'!$A:$A,match($C2725,'Year Conversion'!$B:$B,0)),$Y:$Y,0))-I2725,"")</f>
        <v>1</v>
      </c>
      <c r="AA2725" s="168">
        <f t="array" ref="AA2725">iferror(index(J:J,match($A2725&amp;","&amp;index('Year Conversion'!$A:$A,match($C2725,'Year Conversion'!$B:$B,0)),$Y:$Y,0))-J2725,"")</f>
        <v>-0.1709319005</v>
      </c>
      <c r="AB2725" s="168">
        <f t="array" ref="AB2725">iferror(index(K:K,match($A2725&amp;","&amp;index('Year Conversion'!$A:$A,match($C2725,'Year Conversion'!$B:$B,0)),$Y:$Y,0))-K2725,"")</f>
        <v>-1.390602052</v>
      </c>
      <c r="AC2725" s="168" t="str">
        <f t="shared" si="7"/>
        <v>UTA,2018-19</v>
      </c>
    </row>
    <row r="2726">
      <c r="A2726" s="161" t="str">
        <f>IFERROR(__xludf.DUMMYFUNCTION("""COMPUTED_VALUE"""),"sampsja02")</f>
        <v>sampsja02</v>
      </c>
      <c r="B2726" s="161" t="str">
        <f>IFERROR(__xludf.DUMMYFUNCTION("""COMPUTED_VALUE"""),"JaKarr Sampson")</f>
        <v>JaKarr Sampson</v>
      </c>
      <c r="C2726" s="162" t="str">
        <f>IFERROR(__xludf.DUMMYFUNCTION("""COMPUTED_VALUE"""),"2018-19")</f>
        <v>2018-19</v>
      </c>
      <c r="D2726" s="163" t="str">
        <f>IFERROR(__xludf.DUMMYFUNCTION("""COMPUTED_VALUE"""),"CHI")</f>
        <v>CHI</v>
      </c>
      <c r="E2726" s="164" t="str">
        <f>IFERROR(__xludf.DUMMYFUNCTION("""COMPUTED_VALUE"""),"Stationary Shooter")</f>
        <v>Stationary Shooter</v>
      </c>
      <c r="F2726" s="164">
        <f>IFERROR(__xludf.DUMMYFUNCTION("""COMPUTED_VALUE"""),127.266666666667)</f>
        <v>127.2666667</v>
      </c>
      <c r="G2726" s="163">
        <f>IFERROR(__xludf.DUMMYFUNCTION("""COMPUTED_VALUE"""),4.0)</f>
        <v>4</v>
      </c>
      <c r="H2726" s="163" t="str">
        <f>IFERROR(__xludf.DUMMYFUNCTION("""COMPUTED_VALUE"""),"SF")</f>
        <v>SF</v>
      </c>
      <c r="I2726" s="163">
        <f>IFERROR(__xludf.DUMMYFUNCTION("""COMPUTED_VALUE"""),25.0)</f>
        <v>25</v>
      </c>
      <c r="J2726" s="165">
        <f>IFERROR(__xludf.DUMMYFUNCTION("""COMPUTED_VALUE"""),-0.00804710068039677)</f>
        <v>-0.00804710068</v>
      </c>
      <c r="K2726" s="165">
        <f>IFERROR(__xludf.DUMMYFUNCTION("""COMPUTED_VALUE"""),-9.3345207942544E-4)</f>
        <v>-0.0009334520794</v>
      </c>
      <c r="L2726" s="165">
        <f>IFERROR(__xludf.DUMMYFUNCTION("""COMPUTED_VALUE"""),-0.00711364860097133)</f>
        <v>-0.007113648601</v>
      </c>
      <c r="M2726" s="166">
        <f t="shared" si="2"/>
        <v>0.1955123214</v>
      </c>
      <c r="N2726" s="167">
        <f t="shared" si="3"/>
        <v>31.81666667</v>
      </c>
      <c r="O2726" s="163">
        <f t="shared" ref="O2726:Q2726" si="2730">rank(I2726,I:I)</f>
        <v>1995</v>
      </c>
      <c r="P2726" s="163">
        <f t="shared" si="2730"/>
        <v>1295</v>
      </c>
      <c r="Q2726" s="163">
        <f t="shared" si="2730"/>
        <v>1199</v>
      </c>
      <c r="R2726" s="163">
        <f>IFERROR(__xludf.DUMMYFUNCTION("RANK(M2726,filter(M:M,C:C=C2726))"),348.0)</f>
        <v>348</v>
      </c>
      <c r="S2726" s="161" t="b">
        <f t="shared" si="5"/>
        <v>0</v>
      </c>
      <c r="T2726" s="161" t="b">
        <f t="array" ref="T2726">index('Query Tool'!B:B,match(H2726,'Query Tool'!C:C,0))</f>
        <v>1</v>
      </c>
      <c r="U2726" s="161" t="b">
        <f t="array" ref="U2726">index('Query Tool'!B:B,match(C2726,'Query Tool'!C:C,0))</f>
        <v>0</v>
      </c>
      <c r="V2726" s="161" t="b">
        <f>F2726&gt;='Query Tool'!C$32</f>
        <v>0</v>
      </c>
      <c r="W2726" s="161" t="b">
        <f t="array" ref="W2726">index(Dropdowns!B:B,match(I2726,Dropdowns!A:A,0))</f>
        <v>1</v>
      </c>
      <c r="X2726" s="161" t="b">
        <f t="array" ref="X2726">index('Query Tool'!B:B,match(D2726,'Query Tool'!C:C,0))</f>
        <v>1</v>
      </c>
      <c r="Y2726" s="161" t="str">
        <f t="shared" si="6"/>
        <v>sampsja02,2018-19</v>
      </c>
      <c r="Z2726" s="168">
        <f t="array" ref="Z2726">iferror(index(I:I,match($A2726&amp;","&amp;index('Year Conversion'!$A:$A,match($C2726,'Year Conversion'!$B:$B,0)),$Y:$Y,0))-I2726,"")</f>
        <v>1</v>
      </c>
      <c r="AA2726" s="168">
        <f t="array" ref="AA2726">iferror(index(J:J,match($A2726&amp;","&amp;index('Year Conversion'!$A:$A,match($C2726,'Year Conversion'!$B:$B,0)),$Y:$Y,0))-J2726,"")</f>
        <v>-0.7775876543</v>
      </c>
      <c r="AB2726" s="168">
        <f t="array" ref="AB2726">iferror(index(K:K,match($A2726&amp;","&amp;index('Year Conversion'!$A:$A,match($C2726,'Year Conversion'!$B:$B,0)),$Y:$Y,0))-K2726,"")</f>
        <v>-1.678944725</v>
      </c>
      <c r="AC2726" s="168" t="str">
        <f t="shared" si="7"/>
        <v>CHI,2018-19</v>
      </c>
    </row>
    <row r="2727">
      <c r="A2727" s="161" t="str">
        <f>IFERROR(__xludf.DUMMYFUNCTION("""COMPUTED_VALUE"""),"moreler01")</f>
        <v>moreler01</v>
      </c>
      <c r="B2727" s="161" t="str">
        <f>IFERROR(__xludf.DUMMYFUNCTION("""COMPUTED_VALUE"""),"Eric Moreland")</f>
        <v>Eric Moreland</v>
      </c>
      <c r="C2727" s="162" t="str">
        <f>IFERROR(__xludf.DUMMYFUNCTION("""COMPUTED_VALUE"""),"2018-19")</f>
        <v>2018-19</v>
      </c>
      <c r="D2727" s="163" t="str">
        <f>IFERROR(__xludf.DUMMYFUNCTION("""COMPUTED_VALUE"""),"TOT")</f>
        <v>TOT</v>
      </c>
      <c r="E2727" s="164" t="str">
        <f>IFERROR(__xludf.DUMMYFUNCTION("""COMPUTED_VALUE"""),"Post Scorer")</f>
        <v>Post Scorer</v>
      </c>
      <c r="F2727" s="164">
        <f>IFERROR(__xludf.DUMMYFUNCTION("""COMPUTED_VALUE"""),43.2066666666667)</f>
        <v>43.20666667</v>
      </c>
      <c r="G2727" s="163">
        <f>IFERROR(__xludf.DUMMYFUNCTION("""COMPUTED_VALUE"""),5.0)</f>
        <v>5</v>
      </c>
      <c r="H2727" s="163" t="str">
        <f>IFERROR(__xludf.DUMMYFUNCTION("""COMPUTED_VALUE"""),"PF")</f>
        <v>PF</v>
      </c>
      <c r="I2727" s="163">
        <f>IFERROR(__xludf.DUMMYFUNCTION("""COMPUTED_VALUE"""),27.0)</f>
        <v>27</v>
      </c>
      <c r="J2727" s="165">
        <f>IFERROR(__xludf.DUMMYFUNCTION("""COMPUTED_VALUE"""),-0.974491686638935)</f>
        <v>-0.9744916866</v>
      </c>
      <c r="K2727" s="165">
        <f>IFERROR(__xludf.DUMMYFUNCTION("""COMPUTED_VALUE"""),-0.538364091382089)</f>
        <v>-0.5383640914</v>
      </c>
      <c r="L2727" s="165">
        <f>IFERROR(__xludf.DUMMYFUNCTION("""COMPUTED_VALUE"""),-0.436127595256847)</f>
        <v>-0.4361275953</v>
      </c>
      <c r="M2727" s="166">
        <f t="shared" si="2"/>
        <v>0.03826121612</v>
      </c>
      <c r="N2727" s="167">
        <f t="shared" si="3"/>
        <v>8.641333333</v>
      </c>
      <c r="O2727" s="163">
        <f t="shared" ref="O2727:Q2727" si="2731">rank(I2727,I:I)</f>
        <v>1366</v>
      </c>
      <c r="P2727" s="163">
        <f t="shared" si="2731"/>
        <v>2478</v>
      </c>
      <c r="Q2727" s="163">
        <f t="shared" si="2731"/>
        <v>2171</v>
      </c>
      <c r="R2727" s="163">
        <f>IFERROR(__xludf.DUMMYFUNCTION("RANK(M2727,filter(M:M,C:C=C2727))"),432.0)</f>
        <v>432</v>
      </c>
      <c r="S2727" s="161" t="b">
        <f t="shared" si="5"/>
        <v>0</v>
      </c>
      <c r="T2727" s="161" t="b">
        <f t="array" ref="T2727">index('Query Tool'!B:B,match(H2727,'Query Tool'!C:C,0))</f>
        <v>1</v>
      </c>
      <c r="U2727" s="161" t="b">
        <f t="array" ref="U2727">index('Query Tool'!B:B,match(C2727,'Query Tool'!C:C,0))</f>
        <v>0</v>
      </c>
      <c r="V2727" s="161" t="b">
        <f>F2727&gt;='Query Tool'!C$32</f>
        <v>0</v>
      </c>
      <c r="W2727" s="161" t="b">
        <f t="array" ref="W2727">index(Dropdowns!B:B,match(I2727,Dropdowns!A:A,0))</f>
        <v>1</v>
      </c>
      <c r="X2727" s="161" t="b">
        <f t="array" ref="X2727">index('Query Tool'!B:B,match(D2727,'Query Tool'!C:C,0))</f>
        <v>1</v>
      </c>
      <c r="Y2727" s="161" t="str">
        <f t="shared" si="6"/>
        <v>moreler01,2018-19</v>
      </c>
      <c r="Z2727" s="168" t="str">
        <f t="array" ref="Z2727">iferror(index(I:I,match($A2727&amp;","&amp;index('Year Conversion'!$A:$A,match($C2727,'Year Conversion'!$B:$B,0)),$Y:$Y,0))-I2727,"")</f>
        <v/>
      </c>
      <c r="AA2727" s="168" t="str">
        <f t="array" ref="AA2727">iferror(index(J:J,match($A2727&amp;","&amp;index('Year Conversion'!$A:$A,match($C2727,'Year Conversion'!$B:$B,0)),$Y:$Y,0))-J2727,"")</f>
        <v/>
      </c>
      <c r="AB2727" s="168" t="str">
        <f t="array" ref="AB2727">iferror(index(K:K,match($A2727&amp;","&amp;index('Year Conversion'!$A:$A,match($C2727,'Year Conversion'!$B:$B,0)),$Y:$Y,0))-K2727,"")</f>
        <v/>
      </c>
      <c r="AC2727" s="168" t="str">
        <f t="shared" si="7"/>
        <v>TOT,2018-19</v>
      </c>
    </row>
    <row r="2728">
      <c r="A2728" s="161" t="str">
        <f>IFERROR(__xludf.DUMMYFUNCTION("""COMPUTED_VALUE"""),"saricda01")</f>
        <v>saricda01</v>
      </c>
      <c r="B2728" s="161" t="str">
        <f>IFERROR(__xludf.DUMMYFUNCTION("""COMPUTED_VALUE"""),"Dario Saric")</f>
        <v>Dario Saric</v>
      </c>
      <c r="C2728" s="162" t="str">
        <f>IFERROR(__xludf.DUMMYFUNCTION("""COMPUTED_VALUE"""),"2018-19")</f>
        <v>2018-19</v>
      </c>
      <c r="D2728" s="163" t="str">
        <f>IFERROR(__xludf.DUMMYFUNCTION("""COMPUTED_VALUE"""),"TOT")</f>
        <v>TOT</v>
      </c>
      <c r="E2728" s="164" t="str">
        <f>IFERROR(__xludf.DUMMYFUNCTION("""COMPUTED_VALUE"""),"Stretch Big")</f>
        <v>Stretch Big</v>
      </c>
      <c r="F2728" s="164">
        <f>IFERROR(__xludf.DUMMYFUNCTION("""COMPUTED_VALUE"""),2022.41166666667)</f>
        <v>2022.411667</v>
      </c>
      <c r="G2728" s="163">
        <f>IFERROR(__xludf.DUMMYFUNCTION("""COMPUTED_VALUE"""),81.0)</f>
        <v>81</v>
      </c>
      <c r="H2728" s="163" t="str">
        <f>IFERROR(__xludf.DUMMYFUNCTION("""COMPUTED_VALUE"""),"PF")</f>
        <v>PF</v>
      </c>
      <c r="I2728" s="163">
        <f>IFERROR(__xludf.DUMMYFUNCTION("""COMPUTED_VALUE"""),24.0)</f>
        <v>24</v>
      </c>
      <c r="J2728" s="165">
        <f>IFERROR(__xludf.DUMMYFUNCTION("""COMPUTED_VALUE"""),-1.01374429407268)</f>
        <v>-1.013744294</v>
      </c>
      <c r="K2728" s="165">
        <f>IFERROR(__xludf.DUMMYFUNCTION("""COMPUTED_VALUE"""),-0.113706583398208)</f>
        <v>-0.1137065834</v>
      </c>
      <c r="L2728" s="165">
        <f>IFERROR(__xludf.DUMMYFUNCTION("""COMPUTED_VALUE"""),-0.900037710674474)</f>
        <v>-0.9000377107</v>
      </c>
      <c r="M2728" s="166">
        <f t="shared" si="2"/>
        <v>1.737625049</v>
      </c>
      <c r="N2728" s="167">
        <f t="shared" si="3"/>
        <v>24.96804527</v>
      </c>
      <c r="O2728" s="163">
        <f t="shared" ref="O2728:Q2728" si="2732">rank(I2728,I:I)</f>
        <v>2361</v>
      </c>
      <c r="P2728" s="163">
        <f t="shared" si="2732"/>
        <v>2518</v>
      </c>
      <c r="Q2728" s="163">
        <f t="shared" si="2732"/>
        <v>1396</v>
      </c>
      <c r="R2728" s="163">
        <f>IFERROR(__xludf.DUMMYFUNCTION("RANK(M2728,filter(M:M,C:C=C2728))"),169.0)</f>
        <v>169</v>
      </c>
      <c r="S2728" s="161" t="b">
        <f t="shared" si="5"/>
        <v>0</v>
      </c>
      <c r="T2728" s="161" t="b">
        <f t="array" ref="T2728">index('Query Tool'!B:B,match(H2728,'Query Tool'!C:C,0))</f>
        <v>1</v>
      </c>
      <c r="U2728" s="161" t="b">
        <f t="array" ref="U2728">index('Query Tool'!B:B,match(C2728,'Query Tool'!C:C,0))</f>
        <v>0</v>
      </c>
      <c r="V2728" s="161" t="b">
        <f>F2728&gt;='Query Tool'!C$32</f>
        <v>1</v>
      </c>
      <c r="W2728" s="161" t="b">
        <f t="array" ref="W2728">index(Dropdowns!B:B,match(I2728,Dropdowns!A:A,0))</f>
        <v>1</v>
      </c>
      <c r="X2728" s="161" t="b">
        <f t="array" ref="X2728">index('Query Tool'!B:B,match(D2728,'Query Tool'!C:C,0))</f>
        <v>1</v>
      </c>
      <c r="Y2728" s="161" t="str">
        <f t="shared" si="6"/>
        <v>saricda01,2018-19</v>
      </c>
      <c r="Z2728" s="168">
        <f t="array" ref="Z2728">iferror(index(I:I,match($A2728&amp;","&amp;index('Year Conversion'!$A:$A,match($C2728,'Year Conversion'!$B:$B,0)),$Y:$Y,0))-I2728,"")</f>
        <v>1</v>
      </c>
      <c r="AA2728" s="168">
        <f t="array" ref="AA2728">iferror(index(J:J,match($A2728&amp;","&amp;index('Year Conversion'!$A:$A,match($C2728,'Year Conversion'!$B:$B,0)),$Y:$Y,0))-J2728,"")</f>
        <v>0.351825021</v>
      </c>
      <c r="AB2728" s="168">
        <f t="array" ref="AB2728">iferror(index(K:K,match($A2728&amp;","&amp;index('Year Conversion'!$A:$A,match($C2728,'Year Conversion'!$B:$B,0)),$Y:$Y,0))-K2728,"")</f>
        <v>-0.4931214163</v>
      </c>
      <c r="AC2728" s="168" t="str">
        <f t="shared" si="7"/>
        <v>TOT,2018-19</v>
      </c>
    </row>
    <row r="2729">
      <c r="A2729" s="161" t="str">
        <f>IFERROR(__xludf.DUMMYFUNCTION("""COMPUTED_VALUE"""),"capelca01")</f>
        <v>capelca01</v>
      </c>
      <c r="B2729" s="161" t="str">
        <f>IFERROR(__xludf.DUMMYFUNCTION("""COMPUTED_VALUE"""),"Clint Capela")</f>
        <v>Clint Capela</v>
      </c>
      <c r="C2729" s="162" t="str">
        <f>IFERROR(__xludf.DUMMYFUNCTION("""COMPUTED_VALUE"""),"2018-19")</f>
        <v>2018-19</v>
      </c>
      <c r="D2729" s="163" t="str">
        <f>IFERROR(__xludf.DUMMYFUNCTION("""COMPUTED_VALUE"""),"HOU")</f>
        <v>HOU</v>
      </c>
      <c r="E2729" s="164" t="str">
        <f>IFERROR(__xludf.DUMMYFUNCTION("""COMPUTED_VALUE"""),"Roll + Cut Big")</f>
        <v>Roll + Cut Big</v>
      </c>
      <c r="F2729" s="164">
        <f>IFERROR(__xludf.DUMMYFUNCTION("""COMPUTED_VALUE"""),2248.72833333333)</f>
        <v>2248.728333</v>
      </c>
      <c r="G2729" s="163">
        <f>IFERROR(__xludf.DUMMYFUNCTION("""COMPUTED_VALUE"""),67.0)</f>
        <v>67</v>
      </c>
      <c r="H2729" s="163" t="str">
        <f>IFERROR(__xludf.DUMMYFUNCTION("""COMPUTED_VALUE"""),"C")</f>
        <v>C</v>
      </c>
      <c r="I2729" s="163">
        <f>IFERROR(__xludf.DUMMYFUNCTION("""COMPUTED_VALUE"""),24.0)</f>
        <v>24</v>
      </c>
      <c r="J2729" s="165">
        <f>IFERROR(__xludf.DUMMYFUNCTION("""COMPUTED_VALUE"""),2.21280730986727)</f>
        <v>2.21280731</v>
      </c>
      <c r="K2729" s="165">
        <f>IFERROR(__xludf.DUMMYFUNCTION("""COMPUTED_VALUE"""),0.698358948269862)</f>
        <v>0.6983589483</v>
      </c>
      <c r="L2729" s="165">
        <f>IFERROR(__xludf.DUMMYFUNCTION("""COMPUTED_VALUE"""),1.51444836159741)</f>
        <v>1.514448362</v>
      </c>
      <c r="M2729" s="166">
        <f t="shared" si="2"/>
        <v>6.7989244</v>
      </c>
      <c r="N2729" s="167">
        <f t="shared" si="3"/>
        <v>33.56310945</v>
      </c>
      <c r="O2729" s="163">
        <f t="shared" ref="O2729:Q2729" si="2733">rank(I2729,I:I)</f>
        <v>2361</v>
      </c>
      <c r="P2729" s="163">
        <f t="shared" si="2733"/>
        <v>268</v>
      </c>
      <c r="Q2729" s="163">
        <f t="shared" si="2733"/>
        <v>655</v>
      </c>
      <c r="R2729" s="163">
        <f>IFERROR(__xludf.DUMMYFUNCTION("RANK(M2729,filter(M:M,C:C=C2729))"),36.0)</f>
        <v>36</v>
      </c>
      <c r="S2729" s="161" t="b">
        <f t="shared" si="5"/>
        <v>0</v>
      </c>
      <c r="T2729" s="161" t="b">
        <f t="array" ref="T2729">index('Query Tool'!B:B,match(H2729,'Query Tool'!C:C,0))</f>
        <v>1</v>
      </c>
      <c r="U2729" s="161" t="b">
        <f t="array" ref="U2729">index('Query Tool'!B:B,match(C2729,'Query Tool'!C:C,0))</f>
        <v>0</v>
      </c>
      <c r="V2729" s="161" t="b">
        <f>F2729&gt;='Query Tool'!C$32</f>
        <v>1</v>
      </c>
      <c r="W2729" s="161" t="b">
        <f t="array" ref="W2729">index(Dropdowns!B:B,match(I2729,Dropdowns!A:A,0))</f>
        <v>1</v>
      </c>
      <c r="X2729" s="161" t="b">
        <f t="array" ref="X2729">index('Query Tool'!B:B,match(D2729,'Query Tool'!C:C,0))</f>
        <v>1</v>
      </c>
      <c r="Y2729" s="161" t="str">
        <f t="shared" si="6"/>
        <v>capelca01,2018-19</v>
      </c>
      <c r="Z2729" s="168">
        <f t="array" ref="Z2729">iferror(index(I:I,match($A2729&amp;","&amp;index('Year Conversion'!$A:$A,match($C2729,'Year Conversion'!$B:$B,0)),$Y:$Y,0))-I2729,"")</f>
        <v>1</v>
      </c>
      <c r="AA2729" s="168">
        <f t="array" ref="AA2729">iferror(index(J:J,match($A2729&amp;","&amp;index('Year Conversion'!$A:$A,match($C2729,'Year Conversion'!$B:$B,0)),$Y:$Y,0))-J2729,"")</f>
        <v>-1.389391605</v>
      </c>
      <c r="AB2729" s="168">
        <f t="array" ref="AB2729">iferror(index(K:K,match($A2729&amp;","&amp;index('Year Conversion'!$A:$A,match($C2729,'Year Conversion'!$B:$B,0)),$Y:$Y,0))-K2729,"")</f>
        <v>-1.653299488</v>
      </c>
      <c r="AC2729" s="168" t="str">
        <f t="shared" si="7"/>
        <v>HOU,2018-19</v>
      </c>
    </row>
    <row r="2730">
      <c r="A2730" s="161" t="str">
        <f>IFERROR(__xludf.DUMMYFUNCTION("""COMPUTED_VALUE"""),"bogdabo01")</f>
        <v>bogdabo01</v>
      </c>
      <c r="B2730" s="161" t="str">
        <f>IFERROR(__xludf.DUMMYFUNCTION("""COMPUTED_VALUE"""),"Bogdan Bogdanovic")</f>
        <v>Bogdan Bogdanovic</v>
      </c>
      <c r="C2730" s="162" t="str">
        <f>IFERROR(__xludf.DUMMYFUNCTION("""COMPUTED_VALUE"""),"2018-19")</f>
        <v>2018-19</v>
      </c>
      <c r="D2730" s="163" t="str">
        <f>IFERROR(__xludf.DUMMYFUNCTION("""COMPUTED_VALUE"""),"SAC")</f>
        <v>SAC</v>
      </c>
      <c r="E2730" s="164" t="str">
        <f>IFERROR(__xludf.DUMMYFUNCTION("""COMPUTED_VALUE"""),"Secondary Ball Handler")</f>
        <v>Secondary Ball Handler</v>
      </c>
      <c r="F2730" s="164">
        <f>IFERROR(__xludf.DUMMYFUNCTION("""COMPUTED_VALUE"""),1947.17)</f>
        <v>1947.17</v>
      </c>
      <c r="G2730" s="163">
        <f>IFERROR(__xludf.DUMMYFUNCTION("""COMPUTED_VALUE"""),70.0)</f>
        <v>70</v>
      </c>
      <c r="H2730" s="163" t="str">
        <f>IFERROR(__xludf.DUMMYFUNCTION("""COMPUTED_VALUE"""),"SG")</f>
        <v>SG</v>
      </c>
      <c r="I2730" s="163">
        <f>IFERROR(__xludf.DUMMYFUNCTION("""COMPUTED_VALUE"""),26.0)</f>
        <v>26</v>
      </c>
      <c r="J2730" s="165">
        <f>IFERROR(__xludf.DUMMYFUNCTION("""COMPUTED_VALUE"""),-0.579136359154609)</f>
        <v>-0.5791363592</v>
      </c>
      <c r="K2730" s="165">
        <f>IFERROR(__xludf.DUMMYFUNCTION("""COMPUTED_VALUE"""),0.112523305799962)</f>
        <v>0.1125233058</v>
      </c>
      <c r="L2730" s="165">
        <f>IFERROR(__xludf.DUMMYFUNCTION("""COMPUTED_VALUE"""),-0.691659664954572)</f>
        <v>-0.691659665</v>
      </c>
      <c r="M2730" s="166">
        <f t="shared" si="2"/>
        <v>2.241972806</v>
      </c>
      <c r="N2730" s="167">
        <f t="shared" si="3"/>
        <v>27.81671429</v>
      </c>
      <c r="O2730" s="163">
        <f t="shared" ref="O2730:Q2730" si="2734">rank(I2730,I:I)</f>
        <v>1665</v>
      </c>
      <c r="P2730" s="163">
        <f t="shared" si="2734"/>
        <v>1963</v>
      </c>
      <c r="Q2730" s="163">
        <f t="shared" si="2734"/>
        <v>1055</v>
      </c>
      <c r="R2730" s="163">
        <f>IFERROR(__xludf.DUMMYFUNCTION("RANK(M2730,filter(M:M,C:C=C2730))"),140.0)</f>
        <v>140</v>
      </c>
      <c r="S2730" s="161" t="b">
        <f t="shared" si="5"/>
        <v>0</v>
      </c>
      <c r="T2730" s="161" t="b">
        <f t="array" ref="T2730">index('Query Tool'!B:B,match(H2730,'Query Tool'!C:C,0))</f>
        <v>1</v>
      </c>
      <c r="U2730" s="161" t="b">
        <f t="array" ref="U2730">index('Query Tool'!B:B,match(C2730,'Query Tool'!C:C,0))</f>
        <v>0</v>
      </c>
      <c r="V2730" s="161" t="b">
        <f>F2730&gt;='Query Tool'!C$32</f>
        <v>1</v>
      </c>
      <c r="W2730" s="161" t="b">
        <f t="array" ref="W2730">index(Dropdowns!B:B,match(I2730,Dropdowns!A:A,0))</f>
        <v>1</v>
      </c>
      <c r="X2730" s="161" t="b">
        <f t="array" ref="X2730">index('Query Tool'!B:B,match(D2730,'Query Tool'!C:C,0))</f>
        <v>1</v>
      </c>
      <c r="Y2730" s="161" t="str">
        <f t="shared" si="6"/>
        <v>bogdabo01,2018-19</v>
      </c>
      <c r="Z2730" s="168">
        <f t="array" ref="Z2730">iferror(index(I:I,match($A2730&amp;","&amp;index('Year Conversion'!$A:$A,match($C2730,'Year Conversion'!$B:$B,0)),$Y:$Y,0))-I2730,"")</f>
        <v>1</v>
      </c>
      <c r="AA2730" s="168">
        <f t="array" ref="AA2730">iferror(index(J:J,match($A2730&amp;","&amp;index('Year Conversion'!$A:$A,match($C2730,'Year Conversion'!$B:$B,0)),$Y:$Y,0))-J2730,"")</f>
        <v>0.04798328205</v>
      </c>
      <c r="AB2730" s="168">
        <f t="array" ref="AB2730">iferror(index(K:K,match($A2730&amp;","&amp;index('Year Conversion'!$A:$A,match($C2730,'Year Conversion'!$B:$B,0)),$Y:$Y,0))-K2730,"")</f>
        <v>0.6713150196</v>
      </c>
      <c r="AC2730" s="168" t="str">
        <f t="shared" si="7"/>
        <v>SAC,2018-19</v>
      </c>
    </row>
    <row r="2731">
      <c r="A2731" s="161" t="str">
        <f>IFERROR(__xludf.DUMMYFUNCTION("""COMPUTED_VALUE"""),"nurkiju01")</f>
        <v>nurkiju01</v>
      </c>
      <c r="B2731" s="161" t="str">
        <f>IFERROR(__xludf.DUMMYFUNCTION("""COMPUTED_VALUE"""),"Jusuf Nurkic")</f>
        <v>Jusuf Nurkic</v>
      </c>
      <c r="C2731" s="162" t="str">
        <f>IFERROR(__xludf.DUMMYFUNCTION("""COMPUTED_VALUE"""),"2018-19")</f>
        <v>2018-19</v>
      </c>
      <c r="D2731" s="163" t="str">
        <f>IFERROR(__xludf.DUMMYFUNCTION("""COMPUTED_VALUE"""),"POR")</f>
        <v>POR</v>
      </c>
      <c r="E2731" s="164" t="str">
        <f>IFERROR(__xludf.DUMMYFUNCTION("""COMPUTED_VALUE"""),"Post Scorer")</f>
        <v>Post Scorer</v>
      </c>
      <c r="F2731" s="164">
        <f>IFERROR(__xludf.DUMMYFUNCTION("""COMPUTED_VALUE"""),1973.55333333333)</f>
        <v>1973.553333</v>
      </c>
      <c r="G2731" s="163">
        <f>IFERROR(__xludf.DUMMYFUNCTION("""COMPUTED_VALUE"""),72.0)</f>
        <v>72</v>
      </c>
      <c r="H2731" s="163" t="str">
        <f>IFERROR(__xludf.DUMMYFUNCTION("""COMPUTED_VALUE"""),"C")</f>
        <v>C</v>
      </c>
      <c r="I2731" s="163">
        <f>IFERROR(__xludf.DUMMYFUNCTION("""COMPUTED_VALUE"""),24.0)</f>
        <v>24</v>
      </c>
      <c r="J2731" s="165">
        <f>IFERROR(__xludf.DUMMYFUNCTION("""COMPUTED_VALUE"""),4.21376484776387)</f>
        <v>4.213764848</v>
      </c>
      <c r="K2731" s="165">
        <f>IFERROR(__xludf.DUMMYFUNCTION("""COMPUTED_VALUE"""),1.61861255786725)</f>
        <v>1.618612558</v>
      </c>
      <c r="L2731" s="165">
        <f>IFERROR(__xludf.DUMMYFUNCTION("""COMPUTED_VALUE"""),2.59515228989662)</f>
        <v>2.59515229</v>
      </c>
      <c r="M2731" s="166">
        <f t="shared" si="2"/>
        <v>8.514855965</v>
      </c>
      <c r="N2731" s="167">
        <f t="shared" si="3"/>
        <v>27.41046296</v>
      </c>
      <c r="O2731" s="163">
        <f t="shared" ref="O2731:Q2731" si="2735">rank(I2731,I:I)</f>
        <v>2361</v>
      </c>
      <c r="P2731" s="163">
        <f t="shared" si="2735"/>
        <v>88</v>
      </c>
      <c r="Q2731" s="163">
        <f t="shared" si="2735"/>
        <v>290</v>
      </c>
      <c r="R2731" s="163">
        <f>IFERROR(__xludf.DUMMYFUNCTION("RANK(M2731,filter(M:M,C:C=C2731))"),23.0)</f>
        <v>23</v>
      </c>
      <c r="S2731" s="161" t="b">
        <f t="shared" si="5"/>
        <v>0</v>
      </c>
      <c r="T2731" s="161" t="b">
        <f t="array" ref="T2731">index('Query Tool'!B:B,match(H2731,'Query Tool'!C:C,0))</f>
        <v>1</v>
      </c>
      <c r="U2731" s="161" t="b">
        <f t="array" ref="U2731">index('Query Tool'!B:B,match(C2731,'Query Tool'!C:C,0))</f>
        <v>0</v>
      </c>
      <c r="V2731" s="161" t="b">
        <f>F2731&gt;='Query Tool'!C$32</f>
        <v>1</v>
      </c>
      <c r="W2731" s="161" t="b">
        <f t="array" ref="W2731">index(Dropdowns!B:B,match(I2731,Dropdowns!A:A,0))</f>
        <v>1</v>
      </c>
      <c r="X2731" s="161" t="b">
        <f t="array" ref="X2731">index('Query Tool'!B:B,match(D2731,'Query Tool'!C:C,0))</f>
        <v>1</v>
      </c>
      <c r="Y2731" s="161" t="str">
        <f t="shared" si="6"/>
        <v>nurkiju01,2018-19</v>
      </c>
      <c r="Z2731" s="168">
        <f t="array" ref="Z2731">iferror(index(I:I,match($A2731&amp;","&amp;index('Year Conversion'!$A:$A,match($C2731,'Year Conversion'!$B:$B,0)),$Y:$Y,0))-I2731,"")</f>
        <v>1</v>
      </c>
      <c r="AA2731" s="168">
        <f t="array" ref="AA2731">iferror(index(J:J,match($A2731&amp;","&amp;index('Year Conversion'!$A:$A,match($C2731,'Year Conversion'!$B:$B,0)),$Y:$Y,0))-J2731,"")</f>
        <v>-2.085883194</v>
      </c>
      <c r="AB2731" s="168">
        <f t="array" ref="AB2731">iferror(index(K:K,match($A2731&amp;","&amp;index('Year Conversion'!$A:$A,match($C2731,'Year Conversion'!$B:$B,0)),$Y:$Y,0))-K2731,"")</f>
        <v>-0.8009855007</v>
      </c>
      <c r="AC2731" s="168" t="str">
        <f t="shared" si="7"/>
        <v>POR,2018-19</v>
      </c>
    </row>
    <row r="2732">
      <c r="A2732" s="161" t="str">
        <f>IFERROR(__xludf.DUMMYFUNCTION("""COMPUTED_VALUE"""),"cabocbr01")</f>
        <v>cabocbr01</v>
      </c>
      <c r="B2732" s="161" t="str">
        <f>IFERROR(__xludf.DUMMYFUNCTION("""COMPUTED_VALUE"""),"Bruno Caboclo")</f>
        <v>Bruno Caboclo</v>
      </c>
      <c r="C2732" s="162" t="str">
        <f>IFERROR(__xludf.DUMMYFUNCTION("""COMPUTED_VALUE"""),"2018-19")</f>
        <v>2018-19</v>
      </c>
      <c r="D2732" s="163" t="str">
        <f>IFERROR(__xludf.DUMMYFUNCTION("""COMPUTED_VALUE"""),"MEM")</f>
        <v>MEM</v>
      </c>
      <c r="E2732" s="164" t="str">
        <f>IFERROR(__xludf.DUMMYFUNCTION("""COMPUTED_VALUE"""),"Stationary Shooter")</f>
        <v>Stationary Shooter</v>
      </c>
      <c r="F2732" s="164">
        <f>IFERROR(__xludf.DUMMYFUNCTION("""COMPUTED_VALUE"""),799.701666666667)</f>
        <v>799.7016667</v>
      </c>
      <c r="G2732" s="163">
        <f>IFERROR(__xludf.DUMMYFUNCTION("""COMPUTED_VALUE"""),34.0)</f>
        <v>34</v>
      </c>
      <c r="H2732" s="163" t="str">
        <f>IFERROR(__xludf.DUMMYFUNCTION("""COMPUTED_VALUE"""),"PF")</f>
        <v>PF</v>
      </c>
      <c r="I2732" s="163">
        <f>IFERROR(__xludf.DUMMYFUNCTION("""COMPUTED_VALUE"""),23.0)</f>
        <v>23</v>
      </c>
      <c r="J2732" s="165">
        <f>IFERROR(__xludf.DUMMYFUNCTION("""COMPUTED_VALUE"""),0.00581687607755177)</f>
        <v>0.005816876078</v>
      </c>
      <c r="K2732" s="165">
        <f>IFERROR(__xludf.DUMMYFUNCTION("""COMPUTED_VALUE"""),-0.739006903035027)</f>
        <v>-0.739006903</v>
      </c>
      <c r="L2732" s="165">
        <f>IFERROR(__xludf.DUMMYFUNCTION("""COMPUTED_VALUE"""),0.744823779112579)</f>
        <v>0.7448237791</v>
      </c>
      <c r="M2732" s="166">
        <f t="shared" si="2"/>
        <v>1.236009576</v>
      </c>
      <c r="N2732" s="167">
        <f t="shared" si="3"/>
        <v>23.52063725</v>
      </c>
      <c r="O2732" s="163">
        <f t="shared" ref="O2732:Q2732" si="2736">rank(I2732,I:I)</f>
        <v>2765</v>
      </c>
      <c r="P2732" s="163">
        <f t="shared" si="2736"/>
        <v>1277</v>
      </c>
      <c r="Q2732" s="163">
        <f t="shared" si="2736"/>
        <v>2467</v>
      </c>
      <c r="R2732" s="163">
        <f>IFERROR(__xludf.DUMMYFUNCTION("RANK(M2732,filter(M:M,C:C=C2732))"),204.0)</f>
        <v>204</v>
      </c>
      <c r="S2732" s="161" t="b">
        <f t="shared" si="5"/>
        <v>0</v>
      </c>
      <c r="T2732" s="161" t="b">
        <f t="array" ref="T2732">index('Query Tool'!B:B,match(H2732,'Query Tool'!C:C,0))</f>
        <v>1</v>
      </c>
      <c r="U2732" s="161" t="b">
        <f t="array" ref="U2732">index('Query Tool'!B:B,match(C2732,'Query Tool'!C:C,0))</f>
        <v>0</v>
      </c>
      <c r="V2732" s="161" t="b">
        <f>F2732&gt;='Query Tool'!C$32</f>
        <v>1</v>
      </c>
      <c r="W2732" s="161" t="b">
        <f t="array" ref="W2732">index(Dropdowns!B:B,match(I2732,Dropdowns!A:A,0))</f>
        <v>1</v>
      </c>
      <c r="X2732" s="161" t="b">
        <f t="array" ref="X2732">index('Query Tool'!B:B,match(D2732,'Query Tool'!C:C,0))</f>
        <v>1</v>
      </c>
      <c r="Y2732" s="161" t="str">
        <f t="shared" si="6"/>
        <v>cabocbr01,2018-19</v>
      </c>
      <c r="Z2732" s="168">
        <f t="array" ref="Z2732">iferror(index(I:I,match($A2732&amp;","&amp;index('Year Conversion'!$A:$A,match($C2732,'Year Conversion'!$B:$B,0)),$Y:$Y,0))-I2732,"")</f>
        <v>1</v>
      </c>
      <c r="AA2732" s="168">
        <f t="array" ref="AA2732">iferror(index(J:J,match($A2732&amp;","&amp;index('Year Conversion'!$A:$A,match($C2732,'Year Conversion'!$B:$B,0)),$Y:$Y,0))-J2732,"")</f>
        <v>0.0221008518</v>
      </c>
      <c r="AB2732" s="168">
        <f t="array" ref="AB2732">iferror(index(K:K,match($A2732&amp;","&amp;index('Year Conversion'!$A:$A,match($C2732,'Year Conversion'!$B:$B,0)),$Y:$Y,0))-K2732,"")</f>
        <v>-0.03189213179</v>
      </c>
      <c r="AC2732" s="168" t="str">
        <f t="shared" si="7"/>
        <v>MEM,2018-19</v>
      </c>
    </row>
    <row r="2733">
      <c r="A2733" s="161" t="str">
        <f>IFERROR(__xludf.DUMMYFUNCTION("""COMPUTED_VALUE"""),"jokicni01")</f>
        <v>jokicni01</v>
      </c>
      <c r="B2733" s="161" t="str">
        <f>IFERROR(__xludf.DUMMYFUNCTION("""COMPUTED_VALUE"""),"Nikola Jokic")</f>
        <v>Nikola Jokic</v>
      </c>
      <c r="C2733" s="162" t="str">
        <f>IFERROR(__xludf.DUMMYFUNCTION("""COMPUTED_VALUE"""),"2018-19")</f>
        <v>2018-19</v>
      </c>
      <c r="D2733" s="163" t="str">
        <f>IFERROR(__xludf.DUMMYFUNCTION("""COMPUTED_VALUE"""),"DEN")</f>
        <v>DEN</v>
      </c>
      <c r="E2733" s="164" t="str">
        <f>IFERROR(__xludf.DUMMYFUNCTION("""COMPUTED_VALUE"""),"Post Scorer")</f>
        <v>Post Scorer</v>
      </c>
      <c r="F2733" s="164">
        <f>IFERROR(__xludf.DUMMYFUNCTION("""COMPUTED_VALUE"""),2503.58666666667)</f>
        <v>2503.586667</v>
      </c>
      <c r="G2733" s="163">
        <f>IFERROR(__xludf.DUMMYFUNCTION("""COMPUTED_VALUE"""),80.0)</f>
        <v>80</v>
      </c>
      <c r="H2733" s="163" t="str">
        <f>IFERROR(__xludf.DUMMYFUNCTION("""COMPUTED_VALUE"""),"C")</f>
        <v>C</v>
      </c>
      <c r="I2733" s="163">
        <f>IFERROR(__xludf.DUMMYFUNCTION("""COMPUTED_VALUE"""),23.0)</f>
        <v>23</v>
      </c>
      <c r="J2733" s="165">
        <f>IFERROR(__xludf.DUMMYFUNCTION("""COMPUTED_VALUE"""),4.61770387925581)</f>
        <v>4.617703879</v>
      </c>
      <c r="K2733" s="165">
        <f>IFERROR(__xludf.DUMMYFUNCTION("""COMPUTED_VALUE"""),3.58548790379688)</f>
        <v>3.585487904</v>
      </c>
      <c r="L2733" s="165">
        <f>IFERROR(__xludf.DUMMYFUNCTION("""COMPUTED_VALUE"""),1.03221597545894)</f>
        <v>1.032215975</v>
      </c>
      <c r="M2733" s="166">
        <f t="shared" si="2"/>
        <v>11.43090972</v>
      </c>
      <c r="N2733" s="167">
        <f t="shared" si="3"/>
        <v>31.29483333</v>
      </c>
      <c r="O2733" s="163">
        <f t="shared" ref="O2733:Q2733" si="2737">rank(I2733,I:I)</f>
        <v>2765</v>
      </c>
      <c r="P2733" s="163">
        <f t="shared" si="2737"/>
        <v>65</v>
      </c>
      <c r="Q2733" s="163">
        <f t="shared" si="2737"/>
        <v>84</v>
      </c>
      <c r="R2733" s="163">
        <f>IFERROR(__xludf.DUMMYFUNCTION("RANK(M2733,filter(M:M,C:C=C2733))"),8.0)</f>
        <v>8</v>
      </c>
      <c r="S2733" s="161" t="b">
        <f t="shared" si="5"/>
        <v>0</v>
      </c>
      <c r="T2733" s="161" t="b">
        <f t="array" ref="T2733">index('Query Tool'!B:B,match(H2733,'Query Tool'!C:C,0))</f>
        <v>1</v>
      </c>
      <c r="U2733" s="161" t="b">
        <f t="array" ref="U2733">index('Query Tool'!B:B,match(C2733,'Query Tool'!C:C,0))</f>
        <v>0</v>
      </c>
      <c r="V2733" s="161" t="b">
        <f>F2733&gt;='Query Tool'!C$32</f>
        <v>1</v>
      </c>
      <c r="W2733" s="161" t="b">
        <f t="array" ref="W2733">index(Dropdowns!B:B,match(I2733,Dropdowns!A:A,0))</f>
        <v>1</v>
      </c>
      <c r="X2733" s="161" t="b">
        <f t="array" ref="X2733">index('Query Tool'!B:B,match(D2733,'Query Tool'!C:C,0))</f>
        <v>1</v>
      </c>
      <c r="Y2733" s="161" t="str">
        <f t="shared" si="6"/>
        <v>jokicni01,2018-19</v>
      </c>
      <c r="Z2733" s="168">
        <f t="array" ref="Z2733">iferror(index(I:I,match($A2733&amp;","&amp;index('Year Conversion'!$A:$A,match($C2733,'Year Conversion'!$B:$B,0)),$Y:$Y,0))-I2733,"")</f>
        <v>1</v>
      </c>
      <c r="AA2733" s="168">
        <f t="array" ref="AA2733">iferror(index(J:J,match($A2733&amp;","&amp;index('Year Conversion'!$A:$A,match($C2733,'Year Conversion'!$B:$B,0)),$Y:$Y,0))-J2733,"")</f>
        <v>-0.5002100588</v>
      </c>
      <c r="AB2733" s="168">
        <f t="array" ref="AB2733">iferror(index(K:K,match($A2733&amp;","&amp;index('Year Conversion'!$A:$A,match($C2733,'Year Conversion'!$B:$B,0)),$Y:$Y,0))-K2733,"")</f>
        <v>-0.43067651</v>
      </c>
      <c r="AC2733" s="168" t="str">
        <f t="shared" si="7"/>
        <v>DEN,2018-19</v>
      </c>
    </row>
    <row r="2734">
      <c r="A2734" s="161" t="str">
        <f>IFERROR(__xludf.DUMMYFUNCTION("""COMPUTED_VALUE"""),"johnsty01")</f>
        <v>johnsty01</v>
      </c>
      <c r="B2734" s="161" t="str">
        <f>IFERROR(__xludf.DUMMYFUNCTION("""COMPUTED_VALUE"""),"Tyler Johnson")</f>
        <v>Tyler Johnson</v>
      </c>
      <c r="C2734" s="162" t="str">
        <f>IFERROR(__xludf.DUMMYFUNCTION("""COMPUTED_VALUE"""),"2018-19")</f>
        <v>2018-19</v>
      </c>
      <c r="D2734" s="163" t="str">
        <f>IFERROR(__xludf.DUMMYFUNCTION("""COMPUTED_VALUE"""),"TOT")</f>
        <v>TOT</v>
      </c>
      <c r="E2734" s="164" t="str">
        <f>IFERROR(__xludf.DUMMYFUNCTION("""COMPUTED_VALUE"""),"Movement Shooter")</f>
        <v>Movement Shooter</v>
      </c>
      <c r="F2734" s="164">
        <f>IFERROR(__xludf.DUMMYFUNCTION("""COMPUTED_VALUE"""),1529.075)</f>
        <v>1529.075</v>
      </c>
      <c r="G2734" s="163">
        <f>IFERROR(__xludf.DUMMYFUNCTION("""COMPUTED_VALUE"""),57.0)</f>
        <v>57</v>
      </c>
      <c r="H2734" s="163" t="str">
        <f>IFERROR(__xludf.DUMMYFUNCTION("""COMPUTED_VALUE"""),"PG")</f>
        <v>PG</v>
      </c>
      <c r="I2734" s="163">
        <f>IFERROR(__xludf.DUMMYFUNCTION("""COMPUTED_VALUE"""),26.0)</f>
        <v>26</v>
      </c>
      <c r="J2734" s="165">
        <f>IFERROR(__xludf.DUMMYFUNCTION("""COMPUTED_VALUE"""),-1.30192968249621)</f>
        <v>-1.301929682</v>
      </c>
      <c r="K2734" s="165">
        <f>IFERROR(__xludf.DUMMYFUNCTION("""COMPUTED_VALUE"""),-0.760470876650142)</f>
        <v>-0.7604708767</v>
      </c>
      <c r="L2734" s="165">
        <f>IFERROR(__xludf.DUMMYFUNCTION("""COMPUTED_VALUE"""),-0.541458805846073)</f>
        <v>-0.5414588058</v>
      </c>
      <c r="M2734" s="166">
        <f t="shared" si="2"/>
        <v>1.018333286</v>
      </c>
      <c r="N2734" s="167">
        <f t="shared" si="3"/>
        <v>26.82587719</v>
      </c>
      <c r="O2734" s="163">
        <f t="shared" ref="O2734:Q2734" si="2738">rank(I2734,I:I)</f>
        <v>1665</v>
      </c>
      <c r="P2734" s="163">
        <f t="shared" si="2738"/>
        <v>2862</v>
      </c>
      <c r="Q2734" s="163">
        <f t="shared" si="2738"/>
        <v>2496</v>
      </c>
      <c r="R2734" s="163">
        <f>IFERROR(__xludf.DUMMYFUNCTION("RANK(M2734,filter(M:M,C:C=C2734))"),222.0)</f>
        <v>222</v>
      </c>
      <c r="S2734" s="161" t="b">
        <f t="shared" si="5"/>
        <v>0</v>
      </c>
      <c r="T2734" s="161" t="b">
        <f t="array" ref="T2734">index('Query Tool'!B:B,match(H2734,'Query Tool'!C:C,0))</f>
        <v>1</v>
      </c>
      <c r="U2734" s="161" t="b">
        <f t="array" ref="U2734">index('Query Tool'!B:B,match(C2734,'Query Tool'!C:C,0))</f>
        <v>0</v>
      </c>
      <c r="V2734" s="161" t="b">
        <f>F2734&gt;='Query Tool'!C$32</f>
        <v>1</v>
      </c>
      <c r="W2734" s="161" t="b">
        <f t="array" ref="W2734">index(Dropdowns!B:B,match(I2734,Dropdowns!A:A,0))</f>
        <v>1</v>
      </c>
      <c r="X2734" s="161" t="b">
        <f t="array" ref="X2734">index('Query Tool'!B:B,match(D2734,'Query Tool'!C:C,0))</f>
        <v>1</v>
      </c>
      <c r="Y2734" s="161" t="str">
        <f t="shared" si="6"/>
        <v>johnsty01,2018-19</v>
      </c>
      <c r="Z2734" s="168">
        <f t="array" ref="Z2734">iferror(index(I:I,match($A2734&amp;","&amp;index('Year Conversion'!$A:$A,match($C2734,'Year Conversion'!$B:$B,0)),$Y:$Y,0))-I2734,"")</f>
        <v>1</v>
      </c>
      <c r="AA2734" s="168">
        <f t="array" ref="AA2734">iferror(index(J:J,match($A2734&amp;","&amp;index('Year Conversion'!$A:$A,match($C2734,'Year Conversion'!$B:$B,0)),$Y:$Y,0))-J2734,"")</f>
        <v>-0.5147263856</v>
      </c>
      <c r="AB2734" s="168">
        <f t="array" ref="AB2734">iferror(index(K:K,match($A2734&amp;","&amp;index('Year Conversion'!$A:$A,match($C2734,'Year Conversion'!$B:$B,0)),$Y:$Y,0))-K2734,"")</f>
        <v>-0.3713926049</v>
      </c>
      <c r="AC2734" s="168" t="str">
        <f t="shared" si="7"/>
        <v>TOT,2018-19</v>
      </c>
    </row>
    <row r="2735">
      <c r="A2735" s="161" t="str">
        <f>IFERROR(__xludf.DUMMYFUNCTION("""COMPUTED_VALUE"""),"fraziti01")</f>
        <v>fraziti01</v>
      </c>
      <c r="B2735" s="161" t="str">
        <f>IFERROR(__xludf.DUMMYFUNCTION("""COMPUTED_VALUE"""),"Tim Frazier")</f>
        <v>Tim Frazier</v>
      </c>
      <c r="C2735" s="162" t="str">
        <f>IFERROR(__xludf.DUMMYFUNCTION("""COMPUTED_VALUE"""),"2018-19")</f>
        <v>2018-19</v>
      </c>
      <c r="D2735" s="163" t="str">
        <f>IFERROR(__xludf.DUMMYFUNCTION("""COMPUTED_VALUE"""),"TOT")</f>
        <v>TOT</v>
      </c>
      <c r="E2735" s="164" t="str">
        <f>IFERROR(__xludf.DUMMYFUNCTION("""COMPUTED_VALUE"""),"Secondary Ball Handler")</f>
        <v>Secondary Ball Handler</v>
      </c>
      <c r="F2735" s="164">
        <f>IFERROR(__xludf.DUMMYFUNCTION("""COMPUTED_VALUE"""),1119.66333333333)</f>
        <v>1119.663333</v>
      </c>
      <c r="G2735" s="163">
        <f>IFERROR(__xludf.DUMMYFUNCTION("""COMPUTED_VALUE"""),59.0)</f>
        <v>59</v>
      </c>
      <c r="H2735" s="163" t="str">
        <f>IFERROR(__xludf.DUMMYFUNCTION("""COMPUTED_VALUE"""),"PG")</f>
        <v>PG</v>
      </c>
      <c r="I2735" s="163">
        <f>IFERROR(__xludf.DUMMYFUNCTION("""COMPUTED_VALUE"""),28.0)</f>
        <v>28</v>
      </c>
      <c r="J2735" s="165">
        <f>IFERROR(__xludf.DUMMYFUNCTION("""COMPUTED_VALUE"""),-1.67919560131573)</f>
        <v>-1.679195601</v>
      </c>
      <c r="K2735" s="165">
        <f>IFERROR(__xludf.DUMMYFUNCTION("""COMPUTED_VALUE"""),-0.836390216010375)</f>
        <v>-0.836390216</v>
      </c>
      <c r="L2735" s="165">
        <f>IFERROR(__xludf.DUMMYFUNCTION("""COMPUTED_VALUE"""),-0.842805385305359)</f>
        <v>-0.8428053853</v>
      </c>
      <c r="M2735" s="166">
        <f t="shared" si="2"/>
        <v>0.4635225866</v>
      </c>
      <c r="N2735" s="167">
        <f t="shared" si="3"/>
        <v>18.97734463</v>
      </c>
      <c r="O2735" s="163">
        <f t="shared" ref="O2735:Q2735" si="2739">rank(I2735,I:I)</f>
        <v>1090</v>
      </c>
      <c r="P2735" s="163">
        <f t="shared" si="2739"/>
        <v>3222</v>
      </c>
      <c r="Q2735" s="163">
        <f t="shared" si="2739"/>
        <v>2601</v>
      </c>
      <c r="R2735" s="163">
        <f>IFERROR(__xludf.DUMMYFUNCTION("RANK(M2735,filter(M:M,C:C=C2735))"),294.0)</f>
        <v>294</v>
      </c>
      <c r="S2735" s="161" t="b">
        <f t="shared" si="5"/>
        <v>0</v>
      </c>
      <c r="T2735" s="161" t="b">
        <f t="array" ref="T2735">index('Query Tool'!B:B,match(H2735,'Query Tool'!C:C,0))</f>
        <v>1</v>
      </c>
      <c r="U2735" s="161" t="b">
        <f t="array" ref="U2735">index('Query Tool'!B:B,match(C2735,'Query Tool'!C:C,0))</f>
        <v>0</v>
      </c>
      <c r="V2735" s="161" t="b">
        <f>F2735&gt;='Query Tool'!C$32</f>
        <v>1</v>
      </c>
      <c r="W2735" s="161" t="b">
        <f t="array" ref="W2735">index(Dropdowns!B:B,match(I2735,Dropdowns!A:A,0))</f>
        <v>1</v>
      </c>
      <c r="X2735" s="161" t="b">
        <f t="array" ref="X2735">index('Query Tool'!B:B,match(D2735,'Query Tool'!C:C,0))</f>
        <v>1</v>
      </c>
      <c r="Y2735" s="161" t="str">
        <f t="shared" si="6"/>
        <v>fraziti01,2018-19</v>
      </c>
      <c r="Z2735" s="168">
        <f t="array" ref="Z2735">iferror(index(I:I,match($A2735&amp;","&amp;index('Year Conversion'!$A:$A,match($C2735,'Year Conversion'!$B:$B,0)),$Y:$Y,0))-I2735,"")</f>
        <v>1</v>
      </c>
      <c r="AA2735" s="168">
        <f t="array" ref="AA2735">iferror(index(J:J,match($A2735&amp;","&amp;index('Year Conversion'!$A:$A,match($C2735,'Year Conversion'!$B:$B,0)),$Y:$Y,0))-J2735,"")</f>
        <v>0.1715201111</v>
      </c>
      <c r="AB2735" s="168">
        <f t="array" ref="AB2735">iferror(index(K:K,match($A2735&amp;","&amp;index('Year Conversion'!$A:$A,match($C2735,'Year Conversion'!$B:$B,0)),$Y:$Y,0))-K2735,"")</f>
        <v>-0.4990883112</v>
      </c>
      <c r="AC2735" s="168" t="str">
        <f t="shared" si="7"/>
        <v>TOT,2018-19</v>
      </c>
    </row>
    <row r="2736">
      <c r="A2736" s="161" t="str">
        <f>IFERROR(__xludf.DUMMYFUNCTION("""COMPUTED_VALUE"""),"gallola01")</f>
        <v>gallola01</v>
      </c>
      <c r="B2736" s="161" t="str">
        <f>IFERROR(__xludf.DUMMYFUNCTION("""COMPUTED_VALUE"""),"Langston Galloway")</f>
        <v>Langston Galloway</v>
      </c>
      <c r="C2736" s="162" t="str">
        <f>IFERROR(__xludf.DUMMYFUNCTION("""COMPUTED_VALUE"""),"2018-19")</f>
        <v>2018-19</v>
      </c>
      <c r="D2736" s="163" t="str">
        <f>IFERROR(__xludf.DUMMYFUNCTION("""COMPUTED_VALUE"""),"DET")</f>
        <v>DET</v>
      </c>
      <c r="E2736" s="164" t="str">
        <f>IFERROR(__xludf.DUMMYFUNCTION("""COMPUTED_VALUE"""),"Movement Shooter")</f>
        <v>Movement Shooter</v>
      </c>
      <c r="F2736" s="164">
        <f>IFERROR(__xludf.DUMMYFUNCTION("""COMPUTED_VALUE"""),1745.17166666667)</f>
        <v>1745.171667</v>
      </c>
      <c r="G2736" s="163">
        <f>IFERROR(__xludf.DUMMYFUNCTION("""COMPUTED_VALUE"""),80.0)</f>
        <v>80</v>
      </c>
      <c r="H2736" s="163" t="str">
        <f>IFERROR(__xludf.DUMMYFUNCTION("""COMPUTED_VALUE"""),"SG")</f>
        <v>SG</v>
      </c>
      <c r="I2736" s="163">
        <f>IFERROR(__xludf.DUMMYFUNCTION("""COMPUTED_VALUE"""),27.0)</f>
        <v>27</v>
      </c>
      <c r="J2736" s="165">
        <f>IFERROR(__xludf.DUMMYFUNCTION("""COMPUTED_VALUE"""),-1.48305752723152)</f>
        <v>-1.483057527</v>
      </c>
      <c r="K2736" s="165">
        <f>IFERROR(__xludf.DUMMYFUNCTION("""COMPUTED_VALUE"""),0.172268247847138)</f>
        <v>0.1722682478</v>
      </c>
      <c r="L2736" s="165">
        <f>IFERROR(__xludf.DUMMYFUNCTION("""COMPUTED_VALUE"""),-1.65532577507866)</f>
        <v>-1.655325775</v>
      </c>
      <c r="M2736" s="166">
        <f t="shared" si="2"/>
        <v>0.9508537718</v>
      </c>
      <c r="N2736" s="167">
        <f t="shared" si="3"/>
        <v>21.81464583</v>
      </c>
      <c r="O2736" s="163">
        <f t="shared" ref="O2736:Q2736" si="2740">rank(I2736,I:I)</f>
        <v>1366</v>
      </c>
      <c r="P2736" s="163">
        <f t="shared" si="2740"/>
        <v>3039</v>
      </c>
      <c r="Q2736" s="163">
        <f t="shared" si="2740"/>
        <v>1009</v>
      </c>
      <c r="R2736" s="163">
        <f>IFERROR(__xludf.DUMMYFUNCTION("RANK(M2736,filter(M:M,C:C=C2736))"),229.0)</f>
        <v>229</v>
      </c>
      <c r="S2736" s="161" t="b">
        <f t="shared" si="5"/>
        <v>0</v>
      </c>
      <c r="T2736" s="161" t="b">
        <f t="array" ref="T2736">index('Query Tool'!B:B,match(H2736,'Query Tool'!C:C,0))</f>
        <v>1</v>
      </c>
      <c r="U2736" s="161" t="b">
        <f t="array" ref="U2736">index('Query Tool'!B:B,match(C2736,'Query Tool'!C:C,0))</f>
        <v>0</v>
      </c>
      <c r="V2736" s="161" t="b">
        <f>F2736&gt;='Query Tool'!C$32</f>
        <v>1</v>
      </c>
      <c r="W2736" s="161" t="b">
        <f t="array" ref="W2736">index(Dropdowns!B:B,match(I2736,Dropdowns!A:A,0))</f>
        <v>1</v>
      </c>
      <c r="X2736" s="161" t="b">
        <f t="array" ref="X2736">index('Query Tool'!B:B,match(D2736,'Query Tool'!C:C,0))</f>
        <v>1</v>
      </c>
      <c r="Y2736" s="161" t="str">
        <f t="shared" si="6"/>
        <v>gallola01,2018-19</v>
      </c>
      <c r="Z2736" s="168">
        <f t="array" ref="Z2736">iferror(index(I:I,match($A2736&amp;","&amp;index('Year Conversion'!$A:$A,match($C2736,'Year Conversion'!$B:$B,0)),$Y:$Y,0))-I2736,"")</f>
        <v>1</v>
      </c>
      <c r="AA2736" s="168">
        <f t="array" ref="AA2736">iferror(index(J:J,match($A2736&amp;","&amp;index('Year Conversion'!$A:$A,match($C2736,'Year Conversion'!$B:$B,0)),$Y:$Y,0))-J2736,"")</f>
        <v>-0.5376472062</v>
      </c>
      <c r="AB2736" s="168">
        <f t="array" ref="AB2736">iferror(index(K:K,match($A2736&amp;","&amp;index('Year Conversion'!$A:$A,match($C2736,'Year Conversion'!$B:$B,0)),$Y:$Y,0))-K2736,"")</f>
        <v>-0.4531767402</v>
      </c>
      <c r="AC2736" s="168" t="str">
        <f t="shared" si="7"/>
        <v>DET,2018-19</v>
      </c>
    </row>
    <row r="2737">
      <c r="A2737" s="161" t="str">
        <f>IFERROR(__xludf.DUMMYFUNCTION("""COMPUTED_VALUE"""),"inglejo01")</f>
        <v>inglejo01</v>
      </c>
      <c r="B2737" s="161" t="str">
        <f>IFERROR(__xludf.DUMMYFUNCTION("""COMPUTED_VALUE"""),"Joe Ingles")</f>
        <v>Joe Ingles</v>
      </c>
      <c r="C2737" s="162" t="str">
        <f>IFERROR(__xludf.DUMMYFUNCTION("""COMPUTED_VALUE"""),"2018-19")</f>
        <v>2018-19</v>
      </c>
      <c r="D2737" s="163" t="str">
        <f>IFERROR(__xludf.DUMMYFUNCTION("""COMPUTED_VALUE"""),"UTA")</f>
        <v>UTA</v>
      </c>
      <c r="E2737" s="164" t="str">
        <f>IFERROR(__xludf.DUMMYFUNCTION("""COMPUTED_VALUE"""),"Secondary Ball Handler")</f>
        <v>Secondary Ball Handler</v>
      </c>
      <c r="F2737" s="164">
        <f>IFERROR(__xludf.DUMMYFUNCTION("""COMPUTED_VALUE"""),2567.56666666667)</f>
        <v>2567.566667</v>
      </c>
      <c r="G2737" s="163">
        <f>IFERROR(__xludf.DUMMYFUNCTION("""COMPUTED_VALUE"""),82.0)</f>
        <v>82</v>
      </c>
      <c r="H2737" s="163" t="str">
        <f>IFERROR(__xludf.DUMMYFUNCTION("""COMPUTED_VALUE"""),"PF")</f>
        <v>PF</v>
      </c>
      <c r="I2737" s="163">
        <f>IFERROR(__xludf.DUMMYFUNCTION("""COMPUTED_VALUE"""),31.0)</f>
        <v>31</v>
      </c>
      <c r="J2737" s="165">
        <f>IFERROR(__xludf.DUMMYFUNCTION("""COMPUTED_VALUE"""),1.9321779551558)</f>
        <v>1.932177955</v>
      </c>
      <c r="K2737" s="165">
        <f>IFERROR(__xludf.DUMMYFUNCTION("""COMPUTED_VALUE"""),0.588369150319439)</f>
        <v>0.5883691503</v>
      </c>
      <c r="L2737" s="165">
        <f>IFERROR(__xludf.DUMMYFUNCTION("""COMPUTED_VALUE"""),1.34380880483636)</f>
        <v>1.343808805</v>
      </c>
      <c r="M2737" s="166">
        <f t="shared" si="2"/>
        <v>7.285745581</v>
      </c>
      <c r="N2737" s="167">
        <f t="shared" si="3"/>
        <v>31.31178862</v>
      </c>
      <c r="O2737" s="163">
        <f t="shared" ref="O2737:Q2737" si="2741">rank(I2737,I:I)</f>
        <v>490</v>
      </c>
      <c r="P2737" s="163">
        <f t="shared" si="2741"/>
        <v>335</v>
      </c>
      <c r="Q2737" s="163">
        <f t="shared" si="2741"/>
        <v>718</v>
      </c>
      <c r="R2737" s="163">
        <f>IFERROR(__xludf.DUMMYFUNCTION("RANK(M2737,filter(M:M,C:C=C2737))"),29.0)</f>
        <v>29</v>
      </c>
      <c r="S2737" s="161" t="b">
        <f t="shared" si="5"/>
        <v>0</v>
      </c>
      <c r="T2737" s="161" t="b">
        <f t="array" ref="T2737">index('Query Tool'!B:B,match(H2737,'Query Tool'!C:C,0))</f>
        <v>1</v>
      </c>
      <c r="U2737" s="161" t="b">
        <f t="array" ref="U2737">index('Query Tool'!B:B,match(C2737,'Query Tool'!C:C,0))</f>
        <v>0</v>
      </c>
      <c r="V2737" s="161" t="b">
        <f>F2737&gt;='Query Tool'!C$32</f>
        <v>1</v>
      </c>
      <c r="W2737" s="161" t="b">
        <f t="array" ref="W2737">index(Dropdowns!B:B,match(I2737,Dropdowns!A:A,0))</f>
        <v>1</v>
      </c>
      <c r="X2737" s="161" t="b">
        <f t="array" ref="X2737">index('Query Tool'!B:B,match(D2737,'Query Tool'!C:C,0))</f>
        <v>1</v>
      </c>
      <c r="Y2737" s="161" t="str">
        <f t="shared" si="6"/>
        <v>inglejo01,2018-19</v>
      </c>
      <c r="Z2737" s="168">
        <f t="array" ref="Z2737">iferror(index(I:I,match($A2737&amp;","&amp;index('Year Conversion'!$A:$A,match($C2737,'Year Conversion'!$B:$B,0)),$Y:$Y,0))-I2737,"")</f>
        <v>1</v>
      </c>
      <c r="AA2737" s="168">
        <f t="array" ref="AA2737">iferror(index(J:J,match($A2737&amp;","&amp;index('Year Conversion'!$A:$A,match($C2737,'Year Conversion'!$B:$B,0)),$Y:$Y,0))-J2737,"")</f>
        <v>-0.7962942152</v>
      </c>
      <c r="AB2737" s="168">
        <f t="array" ref="AB2737">iferror(index(K:K,match($A2737&amp;","&amp;index('Year Conversion'!$A:$A,match($C2737,'Year Conversion'!$B:$B,0)),$Y:$Y,0))-K2737,"")</f>
        <v>-0.1784242811</v>
      </c>
      <c r="AC2737" s="168" t="str">
        <f t="shared" si="7"/>
        <v>UTA,2018-19</v>
      </c>
    </row>
    <row r="2738">
      <c r="A2738" s="161" t="str">
        <f>IFERROR(__xludf.DUMMYFUNCTION("""COMPUTED_VALUE"""),"mccontj01")</f>
        <v>mccontj01</v>
      </c>
      <c r="B2738" s="161" t="str">
        <f>IFERROR(__xludf.DUMMYFUNCTION("""COMPUTED_VALUE"""),"T.J. McConnell")</f>
        <v>T.J. McConnell</v>
      </c>
      <c r="C2738" s="162" t="str">
        <f>IFERROR(__xludf.DUMMYFUNCTION("""COMPUTED_VALUE"""),"2018-19")</f>
        <v>2018-19</v>
      </c>
      <c r="D2738" s="163" t="str">
        <f>IFERROR(__xludf.DUMMYFUNCTION("""COMPUTED_VALUE"""),"PHI")</f>
        <v>PHI</v>
      </c>
      <c r="E2738" s="164" t="str">
        <f>IFERROR(__xludf.DUMMYFUNCTION("""COMPUTED_VALUE"""),"Primary Ball Handler")</f>
        <v>Primary Ball Handler</v>
      </c>
      <c r="F2738" s="164">
        <f>IFERROR(__xludf.DUMMYFUNCTION("""COMPUTED_VALUE"""),1470.285)</f>
        <v>1470.285</v>
      </c>
      <c r="G2738" s="163">
        <f>IFERROR(__xludf.DUMMYFUNCTION("""COMPUTED_VALUE"""),76.0)</f>
        <v>76</v>
      </c>
      <c r="H2738" s="163" t="str">
        <f>IFERROR(__xludf.DUMMYFUNCTION("""COMPUTED_VALUE"""),"PG")</f>
        <v>PG</v>
      </c>
      <c r="I2738" s="163">
        <f>IFERROR(__xludf.DUMMYFUNCTION("""COMPUTED_VALUE"""),26.0)</f>
        <v>26</v>
      </c>
      <c r="J2738" s="165">
        <f>IFERROR(__xludf.DUMMYFUNCTION("""COMPUTED_VALUE"""),-0.745524519407915)</f>
        <v>-0.7455245194</v>
      </c>
      <c r="K2738" s="165">
        <f>IFERROR(__xludf.DUMMYFUNCTION("""COMPUTED_VALUE"""),-0.541076469234752)</f>
        <v>-0.5410764692</v>
      </c>
      <c r="L2738" s="165">
        <f>IFERROR(__xludf.DUMMYFUNCTION("""COMPUTED_VALUE"""),-0.204448050173163)</f>
        <v>-0.2044480502</v>
      </c>
      <c r="M2738" s="166">
        <f t="shared" si="2"/>
        <v>1.528257389</v>
      </c>
      <c r="N2738" s="167">
        <f t="shared" si="3"/>
        <v>19.34585526</v>
      </c>
      <c r="O2738" s="163">
        <f t="shared" ref="O2738:Q2738" si="2742">rank(I2738,I:I)</f>
        <v>1665</v>
      </c>
      <c r="P2738" s="163">
        <f t="shared" si="2742"/>
        <v>2209</v>
      </c>
      <c r="Q2738" s="163">
        <f t="shared" si="2742"/>
        <v>2173</v>
      </c>
      <c r="R2738" s="163">
        <f>IFERROR(__xludf.DUMMYFUNCTION("RANK(M2738,filter(M:M,C:C=C2738))"),186.0)</f>
        <v>186</v>
      </c>
      <c r="S2738" s="161" t="b">
        <f t="shared" si="5"/>
        <v>0</v>
      </c>
      <c r="T2738" s="161" t="b">
        <f t="array" ref="T2738">index('Query Tool'!B:B,match(H2738,'Query Tool'!C:C,0))</f>
        <v>1</v>
      </c>
      <c r="U2738" s="161" t="b">
        <f t="array" ref="U2738">index('Query Tool'!B:B,match(C2738,'Query Tool'!C:C,0))</f>
        <v>0</v>
      </c>
      <c r="V2738" s="161" t="b">
        <f>F2738&gt;='Query Tool'!C$32</f>
        <v>1</v>
      </c>
      <c r="W2738" s="161" t="b">
        <f t="array" ref="W2738">index(Dropdowns!B:B,match(I2738,Dropdowns!A:A,0))</f>
        <v>1</v>
      </c>
      <c r="X2738" s="161" t="b">
        <f t="array" ref="X2738">index('Query Tool'!B:B,match(D2738,'Query Tool'!C:C,0))</f>
        <v>1</v>
      </c>
      <c r="Y2738" s="161" t="str">
        <f t="shared" si="6"/>
        <v>mccontj01,2018-19</v>
      </c>
      <c r="Z2738" s="168">
        <f t="array" ref="Z2738">iferror(index(I:I,match($A2738&amp;","&amp;index('Year Conversion'!$A:$A,match($C2738,'Year Conversion'!$B:$B,0)),$Y:$Y,0))-I2738,"")</f>
        <v>1</v>
      </c>
      <c r="AA2738" s="168">
        <f t="array" ref="AA2738">iferror(index(J:J,match($A2738&amp;","&amp;index('Year Conversion'!$A:$A,match($C2738,'Year Conversion'!$B:$B,0)),$Y:$Y,0))-J2738,"")</f>
        <v>0.2203800134</v>
      </c>
      <c r="AB2738" s="168">
        <f t="array" ref="AB2738">iferror(index(K:K,match($A2738&amp;","&amp;index('Year Conversion'!$A:$A,match($C2738,'Year Conversion'!$B:$B,0)),$Y:$Y,0))-K2738,"")</f>
        <v>0.338501716</v>
      </c>
      <c r="AC2738" s="168" t="str">
        <f t="shared" si="7"/>
        <v>PHI,2018-19</v>
      </c>
    </row>
    <row r="2739">
      <c r="A2739" s="161" t="str">
        <f>IFERROR(__xludf.DUMMYFUNCTION("""COMPUTED_VALUE"""),"okafoja01")</f>
        <v>okafoja01</v>
      </c>
      <c r="B2739" s="161" t="str">
        <f>IFERROR(__xludf.DUMMYFUNCTION("""COMPUTED_VALUE"""),"Jahlil Okafor")</f>
        <v>Jahlil Okafor</v>
      </c>
      <c r="C2739" s="162" t="str">
        <f>IFERROR(__xludf.DUMMYFUNCTION("""COMPUTED_VALUE"""),"2018-19")</f>
        <v>2018-19</v>
      </c>
      <c r="D2739" s="163" t="str">
        <f>IFERROR(__xludf.DUMMYFUNCTION("""COMPUTED_VALUE"""),"NOP")</f>
        <v>NOP</v>
      </c>
      <c r="E2739" s="164" t="str">
        <f>IFERROR(__xludf.DUMMYFUNCTION("""COMPUTED_VALUE"""),"Post Scorer")</f>
        <v>Post Scorer</v>
      </c>
      <c r="F2739" s="164">
        <f>IFERROR(__xludf.DUMMYFUNCTION("""COMPUTED_VALUE"""),934.848333333334)</f>
        <v>934.8483333</v>
      </c>
      <c r="G2739" s="163">
        <f>IFERROR(__xludf.DUMMYFUNCTION("""COMPUTED_VALUE"""),59.0)</f>
        <v>59</v>
      </c>
      <c r="H2739" s="163" t="str">
        <f>IFERROR(__xludf.DUMMYFUNCTION("""COMPUTED_VALUE"""),"C")</f>
        <v>C</v>
      </c>
      <c r="I2739" s="163">
        <f>IFERROR(__xludf.DUMMYFUNCTION("""COMPUTED_VALUE"""),23.0)</f>
        <v>23</v>
      </c>
      <c r="J2739" s="165">
        <f>IFERROR(__xludf.DUMMYFUNCTION("""COMPUTED_VALUE"""),-0.190331612123689)</f>
        <v>-0.1903316121</v>
      </c>
      <c r="K2739" s="165">
        <f>IFERROR(__xludf.DUMMYFUNCTION("""COMPUTED_VALUE"""),-0.674958051234004)</f>
        <v>-0.6749580512</v>
      </c>
      <c r="L2739" s="165">
        <f>IFERROR(__xludf.DUMMYFUNCTION("""COMPUTED_VALUE"""),0.484626439110315)</f>
        <v>0.4846264391</v>
      </c>
      <c r="M2739" s="166">
        <f t="shared" si="2"/>
        <v>1.321271154</v>
      </c>
      <c r="N2739" s="167">
        <f t="shared" si="3"/>
        <v>15.84488701</v>
      </c>
      <c r="O2739" s="163">
        <f t="shared" ref="O2739:Q2739" si="2743">rank(I2739,I:I)</f>
        <v>2765</v>
      </c>
      <c r="P2739" s="163">
        <f t="shared" si="2743"/>
        <v>1498</v>
      </c>
      <c r="Q2739" s="163">
        <f t="shared" si="2743"/>
        <v>2377</v>
      </c>
      <c r="R2739" s="163">
        <f>IFERROR(__xludf.DUMMYFUNCTION("RANK(M2739,filter(M:M,C:C=C2739))"),198.0)</f>
        <v>198</v>
      </c>
      <c r="S2739" s="161" t="b">
        <f t="shared" si="5"/>
        <v>0</v>
      </c>
      <c r="T2739" s="161" t="b">
        <f t="array" ref="T2739">index('Query Tool'!B:B,match(H2739,'Query Tool'!C:C,0))</f>
        <v>1</v>
      </c>
      <c r="U2739" s="161" t="b">
        <f t="array" ref="U2739">index('Query Tool'!B:B,match(C2739,'Query Tool'!C:C,0))</f>
        <v>0</v>
      </c>
      <c r="V2739" s="161" t="b">
        <f>F2739&gt;='Query Tool'!C$32</f>
        <v>1</v>
      </c>
      <c r="W2739" s="161" t="b">
        <f t="array" ref="W2739">index(Dropdowns!B:B,match(I2739,Dropdowns!A:A,0))</f>
        <v>1</v>
      </c>
      <c r="X2739" s="161" t="b">
        <f t="array" ref="X2739">index('Query Tool'!B:B,match(D2739,'Query Tool'!C:C,0))</f>
        <v>1</v>
      </c>
      <c r="Y2739" s="161" t="str">
        <f t="shared" si="6"/>
        <v>okafoja01,2018-19</v>
      </c>
      <c r="Z2739" s="168">
        <f t="array" ref="Z2739">iferror(index(I:I,match($A2739&amp;","&amp;index('Year Conversion'!$A:$A,match($C2739,'Year Conversion'!$B:$B,0)),$Y:$Y,0))-I2739,"")</f>
        <v>1</v>
      </c>
      <c r="AA2739" s="168">
        <f t="array" ref="AA2739">iferror(index(J:J,match($A2739&amp;","&amp;index('Year Conversion'!$A:$A,match($C2739,'Year Conversion'!$B:$B,0)),$Y:$Y,0))-J2739,"")</f>
        <v>-0.4205793478</v>
      </c>
      <c r="AB2739" s="168">
        <f t="array" ref="AB2739">iferror(index(K:K,match($A2739&amp;","&amp;index('Year Conversion'!$A:$A,match($C2739,'Year Conversion'!$B:$B,0)),$Y:$Y,0))-K2739,"")</f>
        <v>0.1396541292</v>
      </c>
      <c r="AC2739" s="168" t="str">
        <f t="shared" si="7"/>
        <v>NOP,2018-19</v>
      </c>
    </row>
    <row r="2740">
      <c r="A2740" s="161" t="str">
        <f>IFERROR(__xludf.DUMMYFUNCTION("""COMPUTED_VALUE"""),"mudiaem01")</f>
        <v>mudiaem01</v>
      </c>
      <c r="B2740" s="161" t="str">
        <f>IFERROR(__xludf.DUMMYFUNCTION("""COMPUTED_VALUE"""),"Emmanuel Mudiay")</f>
        <v>Emmanuel Mudiay</v>
      </c>
      <c r="C2740" s="162" t="str">
        <f>IFERROR(__xludf.DUMMYFUNCTION("""COMPUTED_VALUE"""),"2018-19")</f>
        <v>2018-19</v>
      </c>
      <c r="D2740" s="163" t="str">
        <f>IFERROR(__xludf.DUMMYFUNCTION("""COMPUTED_VALUE"""),"NYK")</f>
        <v>NYK</v>
      </c>
      <c r="E2740" s="164" t="str">
        <f>IFERROR(__xludf.DUMMYFUNCTION("""COMPUTED_VALUE"""),"Slasher")</f>
        <v>Slasher</v>
      </c>
      <c r="F2740" s="164">
        <f>IFERROR(__xludf.DUMMYFUNCTION("""COMPUTED_VALUE"""),1607.06166666667)</f>
        <v>1607.061667</v>
      </c>
      <c r="G2740" s="163">
        <f>IFERROR(__xludf.DUMMYFUNCTION("""COMPUTED_VALUE"""),59.0)</f>
        <v>59</v>
      </c>
      <c r="H2740" s="163" t="str">
        <f>IFERROR(__xludf.DUMMYFUNCTION("""COMPUTED_VALUE"""),"PG")</f>
        <v>PG</v>
      </c>
      <c r="I2740" s="163">
        <f>IFERROR(__xludf.DUMMYFUNCTION("""COMPUTED_VALUE"""),22.0)</f>
        <v>22</v>
      </c>
      <c r="J2740" s="165">
        <f>IFERROR(__xludf.DUMMYFUNCTION("""COMPUTED_VALUE"""),-2.32021480568084)</f>
        <v>-2.320214806</v>
      </c>
      <c r="K2740" s="165">
        <f>IFERROR(__xludf.DUMMYFUNCTION("""COMPUTED_VALUE"""),-0.615705267778007)</f>
        <v>-0.6157052678</v>
      </c>
      <c r="L2740" s="165">
        <f>IFERROR(__xludf.DUMMYFUNCTION("""COMPUTED_VALUE"""),-1.70450953790284)</f>
        <v>-1.704509538</v>
      </c>
      <c r="M2740" s="166">
        <f t="shared" si="2"/>
        <v>-0.01768402608</v>
      </c>
      <c r="N2740" s="167">
        <f t="shared" si="3"/>
        <v>27.23833333</v>
      </c>
      <c r="O2740" s="163">
        <f t="shared" ref="O2740:Q2740" si="2744">rank(I2740,I:I)</f>
        <v>3178</v>
      </c>
      <c r="P2740" s="163">
        <f t="shared" si="2744"/>
        <v>3665</v>
      </c>
      <c r="Q2740" s="163">
        <f t="shared" si="2744"/>
        <v>2285</v>
      </c>
      <c r="R2740" s="163">
        <f>IFERROR(__xludf.DUMMYFUNCTION("RANK(M2740,filter(M:M,C:C=C2740))"),486.0)</f>
        <v>486</v>
      </c>
      <c r="S2740" s="161" t="b">
        <f t="shared" si="5"/>
        <v>0</v>
      </c>
      <c r="T2740" s="161" t="b">
        <f t="array" ref="T2740">index('Query Tool'!B:B,match(H2740,'Query Tool'!C:C,0))</f>
        <v>1</v>
      </c>
      <c r="U2740" s="161" t="b">
        <f t="array" ref="U2740">index('Query Tool'!B:B,match(C2740,'Query Tool'!C:C,0))</f>
        <v>0</v>
      </c>
      <c r="V2740" s="161" t="b">
        <f>F2740&gt;='Query Tool'!C$32</f>
        <v>1</v>
      </c>
      <c r="W2740" s="161" t="b">
        <f t="array" ref="W2740">index(Dropdowns!B:B,match(I2740,Dropdowns!A:A,0))</f>
        <v>1</v>
      </c>
      <c r="X2740" s="161" t="b">
        <f t="array" ref="X2740">index('Query Tool'!B:B,match(D2740,'Query Tool'!C:C,0))</f>
        <v>1</v>
      </c>
      <c r="Y2740" s="161" t="str">
        <f t="shared" si="6"/>
        <v>mudiaem01,2018-19</v>
      </c>
      <c r="Z2740" s="168">
        <f t="array" ref="Z2740">iferror(index(I:I,match($A2740&amp;","&amp;index('Year Conversion'!$A:$A,match($C2740,'Year Conversion'!$B:$B,0)),$Y:$Y,0))-I2740,"")</f>
        <v>1</v>
      </c>
      <c r="AA2740" s="168">
        <f t="array" ref="AA2740">iferror(index(J:J,match($A2740&amp;","&amp;index('Year Conversion'!$A:$A,match($C2740,'Year Conversion'!$B:$B,0)),$Y:$Y,0))-J2740,"")</f>
        <v>0.2733205882</v>
      </c>
      <c r="AB2740" s="168">
        <f t="array" ref="AB2740">iferror(index(K:K,match($A2740&amp;","&amp;index('Year Conversion'!$A:$A,match($C2740,'Year Conversion'!$B:$B,0)),$Y:$Y,0))-K2740,"")</f>
        <v>-0.6817935095</v>
      </c>
      <c r="AC2740" s="168" t="str">
        <f t="shared" si="7"/>
        <v>NYK,2018-19</v>
      </c>
    </row>
    <row r="2741">
      <c r="A2741" s="161" t="str">
        <f>IFERROR(__xludf.DUMMYFUNCTION("""COMPUTED_VALUE"""),"jonesty01")</f>
        <v>jonesty01</v>
      </c>
      <c r="B2741" s="161" t="str">
        <f>IFERROR(__xludf.DUMMYFUNCTION("""COMPUTED_VALUE"""),"Tyus Jones")</f>
        <v>Tyus Jones</v>
      </c>
      <c r="C2741" s="162" t="str">
        <f>IFERROR(__xludf.DUMMYFUNCTION("""COMPUTED_VALUE"""),"2018-19")</f>
        <v>2018-19</v>
      </c>
      <c r="D2741" s="163" t="str">
        <f>IFERROR(__xludf.DUMMYFUNCTION("""COMPUTED_VALUE"""),"MIN")</f>
        <v>MIN</v>
      </c>
      <c r="E2741" s="164" t="str">
        <f>IFERROR(__xludf.DUMMYFUNCTION("""COMPUTED_VALUE"""),"Primary Ball Handler")</f>
        <v>Primary Ball Handler</v>
      </c>
      <c r="F2741" s="164">
        <f>IFERROR(__xludf.DUMMYFUNCTION("""COMPUTED_VALUE"""),1560.42333333333)</f>
        <v>1560.423333</v>
      </c>
      <c r="G2741" s="163">
        <f>IFERROR(__xludf.DUMMYFUNCTION("""COMPUTED_VALUE"""),68.0)</f>
        <v>68</v>
      </c>
      <c r="H2741" s="163" t="str">
        <f>IFERROR(__xludf.DUMMYFUNCTION("""COMPUTED_VALUE"""),"PG")</f>
        <v>PG</v>
      </c>
      <c r="I2741" s="163">
        <f>IFERROR(__xludf.DUMMYFUNCTION("""COMPUTED_VALUE"""),22.0)</f>
        <v>22</v>
      </c>
      <c r="J2741" s="165">
        <f>IFERROR(__xludf.DUMMYFUNCTION("""COMPUTED_VALUE"""),0.765441713186922)</f>
        <v>0.7654417132</v>
      </c>
      <c r="K2741" s="165">
        <f>IFERROR(__xludf.DUMMYFUNCTION("""COMPUTED_VALUE"""),0.538487472697603)</f>
        <v>0.5384874727</v>
      </c>
      <c r="L2741" s="165">
        <f>IFERROR(__xludf.DUMMYFUNCTION("""COMPUTED_VALUE"""),0.226954240489319)</f>
        <v>0.2269542405</v>
      </c>
      <c r="M2741" s="166">
        <f t="shared" si="2"/>
        <v>3.210259011</v>
      </c>
      <c r="N2741" s="167">
        <f t="shared" si="3"/>
        <v>22.94740196</v>
      </c>
      <c r="O2741" s="163">
        <f t="shared" ref="O2741:Q2741" si="2745">rank(I2741,I:I)</f>
        <v>3178</v>
      </c>
      <c r="P2741" s="163">
        <f t="shared" si="2745"/>
        <v>761</v>
      </c>
      <c r="Q2741" s="163">
        <f t="shared" si="2745"/>
        <v>746</v>
      </c>
      <c r="R2741" s="163">
        <f>IFERROR(__xludf.DUMMYFUNCTION("RANK(M2741,filter(M:M,C:C=C2741))"),110.0)</f>
        <v>110</v>
      </c>
      <c r="S2741" s="161" t="b">
        <f t="shared" si="5"/>
        <v>0</v>
      </c>
      <c r="T2741" s="161" t="b">
        <f t="array" ref="T2741">index('Query Tool'!B:B,match(H2741,'Query Tool'!C:C,0))</f>
        <v>1</v>
      </c>
      <c r="U2741" s="161" t="b">
        <f t="array" ref="U2741">index('Query Tool'!B:B,match(C2741,'Query Tool'!C:C,0))</f>
        <v>0</v>
      </c>
      <c r="V2741" s="161" t="b">
        <f>F2741&gt;='Query Tool'!C$32</f>
        <v>1</v>
      </c>
      <c r="W2741" s="161" t="b">
        <f t="array" ref="W2741">index(Dropdowns!B:B,match(I2741,Dropdowns!A:A,0))</f>
        <v>1</v>
      </c>
      <c r="X2741" s="161" t="b">
        <f t="array" ref="X2741">index('Query Tool'!B:B,match(D2741,'Query Tool'!C:C,0))</f>
        <v>1</v>
      </c>
      <c r="Y2741" s="161" t="str">
        <f t="shared" si="6"/>
        <v>jonesty01,2018-19</v>
      </c>
      <c r="Z2741" s="168">
        <f t="array" ref="Z2741">iferror(index(I:I,match($A2741&amp;","&amp;index('Year Conversion'!$A:$A,match($C2741,'Year Conversion'!$B:$B,0)),$Y:$Y,0))-I2741,"")</f>
        <v>1</v>
      </c>
      <c r="AA2741" s="168">
        <f t="array" ref="AA2741">iferror(index(J:J,match($A2741&amp;","&amp;index('Year Conversion'!$A:$A,match($C2741,'Year Conversion'!$B:$B,0)),$Y:$Y,0))-J2741,"")</f>
        <v>-0.2351823484</v>
      </c>
      <c r="AB2741" s="168">
        <f t="array" ref="AB2741">iferror(index(K:K,match($A2741&amp;","&amp;index('Year Conversion'!$A:$A,match($C2741,'Year Conversion'!$B:$B,0)),$Y:$Y,0))-K2741,"")</f>
        <v>0.3002361206</v>
      </c>
      <c r="AC2741" s="168" t="str">
        <f t="shared" si="7"/>
        <v>MIN,2018-19</v>
      </c>
    </row>
    <row r="2742">
      <c r="A2742" s="161" t="str">
        <f>IFERROR(__xludf.DUMMYFUNCTION("""COMPUTED_VALUE"""),"anderju01")</f>
        <v>anderju01</v>
      </c>
      <c r="B2742" s="161" t="str">
        <f>IFERROR(__xludf.DUMMYFUNCTION("""COMPUTED_VALUE"""),"Justin Anderson")</f>
        <v>Justin Anderson</v>
      </c>
      <c r="C2742" s="162" t="str">
        <f>IFERROR(__xludf.DUMMYFUNCTION("""COMPUTED_VALUE"""),"2018-19")</f>
        <v>2018-19</v>
      </c>
      <c r="D2742" s="163" t="str">
        <f>IFERROR(__xludf.DUMMYFUNCTION("""COMPUTED_VALUE"""),"ATL")</f>
        <v>ATL</v>
      </c>
      <c r="E2742" s="164" t="str">
        <f>IFERROR(__xludf.DUMMYFUNCTION("""COMPUTED_VALUE"""),"Stationary Shooter")</f>
        <v>Stationary Shooter</v>
      </c>
      <c r="F2742" s="164">
        <f>IFERROR(__xludf.DUMMYFUNCTION("""COMPUTED_VALUE"""),463.505)</f>
        <v>463.505</v>
      </c>
      <c r="G2742" s="163">
        <f>IFERROR(__xludf.DUMMYFUNCTION("""COMPUTED_VALUE"""),48.0)</f>
        <v>48</v>
      </c>
      <c r="H2742" s="163" t="str">
        <f>IFERROR(__xludf.DUMMYFUNCTION("""COMPUTED_VALUE"""),"SF")</f>
        <v>SF</v>
      </c>
      <c r="I2742" s="163">
        <f>IFERROR(__xludf.DUMMYFUNCTION("""COMPUTED_VALUE"""),25.0)</f>
        <v>25</v>
      </c>
      <c r="J2742" s="165">
        <f>IFERROR(__xludf.DUMMYFUNCTION("""COMPUTED_VALUE"""),-0.766554962537939)</f>
        <v>-0.7665549625</v>
      </c>
      <c r="K2742" s="165">
        <f>IFERROR(__xludf.DUMMYFUNCTION("""COMPUTED_VALUE"""),-0.70105625654492)</f>
        <v>-0.7010562565</v>
      </c>
      <c r="L2742" s="165">
        <f>IFERROR(__xludf.DUMMYFUNCTION("""COMPUTED_VALUE"""),-0.0654987059930189)</f>
        <v>-0.06549870599</v>
      </c>
      <c r="M2742" s="166">
        <f t="shared" si="2"/>
        <v>0.4752245237</v>
      </c>
      <c r="N2742" s="167">
        <f t="shared" si="3"/>
        <v>9.656354167</v>
      </c>
      <c r="O2742" s="163">
        <f t="shared" ref="O2742:Q2742" si="2746">rank(I2742,I:I)</f>
        <v>1995</v>
      </c>
      <c r="P2742" s="163">
        <f t="shared" si="2746"/>
        <v>2234</v>
      </c>
      <c r="Q2742" s="163">
        <f t="shared" si="2746"/>
        <v>2418</v>
      </c>
      <c r="R2742" s="163">
        <f>IFERROR(__xludf.DUMMYFUNCTION("RANK(M2742,filter(M:M,C:C=C2742))"),292.0)</f>
        <v>292</v>
      </c>
      <c r="S2742" s="161" t="b">
        <f t="shared" si="5"/>
        <v>0</v>
      </c>
      <c r="T2742" s="161" t="b">
        <f t="array" ref="T2742">index('Query Tool'!B:B,match(H2742,'Query Tool'!C:C,0))</f>
        <v>1</v>
      </c>
      <c r="U2742" s="161" t="b">
        <f t="array" ref="U2742">index('Query Tool'!B:B,match(C2742,'Query Tool'!C:C,0))</f>
        <v>0</v>
      </c>
      <c r="V2742" s="161" t="b">
        <f>F2742&gt;='Query Tool'!C$32</f>
        <v>0</v>
      </c>
      <c r="W2742" s="161" t="b">
        <f t="array" ref="W2742">index(Dropdowns!B:B,match(I2742,Dropdowns!A:A,0))</f>
        <v>1</v>
      </c>
      <c r="X2742" s="161" t="b">
        <f t="array" ref="X2742">index('Query Tool'!B:B,match(D2742,'Query Tool'!C:C,0))</f>
        <v>1</v>
      </c>
      <c r="Y2742" s="161" t="str">
        <f t="shared" si="6"/>
        <v>anderju01,2018-19</v>
      </c>
      <c r="Z2742" s="168">
        <f t="array" ref="Z2742">iferror(index(I:I,match($A2742&amp;","&amp;index('Year Conversion'!$A:$A,match($C2742,'Year Conversion'!$B:$B,0)),$Y:$Y,0))-I2742,"")</f>
        <v>1</v>
      </c>
      <c r="AA2742" s="168">
        <f t="array" ref="AA2742">iferror(index(J:J,match($A2742&amp;","&amp;index('Year Conversion'!$A:$A,match($C2742,'Year Conversion'!$B:$B,0)),$Y:$Y,0))-J2742,"")</f>
        <v>0.4680321155</v>
      </c>
      <c r="AB2742" s="168">
        <f t="array" ref="AB2742">iferror(index(K:K,match($A2742&amp;","&amp;index('Year Conversion'!$A:$A,match($C2742,'Year Conversion'!$B:$B,0)),$Y:$Y,0))-K2742,"")</f>
        <v>0.2837559565</v>
      </c>
      <c r="AC2742" s="168" t="str">
        <f t="shared" si="7"/>
        <v>ATL,2018-19</v>
      </c>
    </row>
    <row r="2743">
      <c r="A2743" s="161" t="str">
        <f>IFERROR(__xludf.DUMMYFUNCTION("""COMPUTED_VALUE"""),"harremo01")</f>
        <v>harremo01</v>
      </c>
      <c r="B2743" s="161" t="str">
        <f>IFERROR(__xludf.DUMMYFUNCTION("""COMPUTED_VALUE"""),"Montrezl Harrell")</f>
        <v>Montrezl Harrell</v>
      </c>
      <c r="C2743" s="162" t="str">
        <f>IFERROR(__xludf.DUMMYFUNCTION("""COMPUTED_VALUE"""),"2018-19")</f>
        <v>2018-19</v>
      </c>
      <c r="D2743" s="163" t="str">
        <f>IFERROR(__xludf.DUMMYFUNCTION("""COMPUTED_VALUE"""),"LAC")</f>
        <v>LAC</v>
      </c>
      <c r="E2743" s="164" t="str">
        <f>IFERROR(__xludf.DUMMYFUNCTION("""COMPUTED_VALUE"""),"Post Scorer")</f>
        <v>Post Scorer</v>
      </c>
      <c r="F2743" s="164">
        <f>IFERROR(__xludf.DUMMYFUNCTION("""COMPUTED_VALUE"""),2158.14833333333)</f>
        <v>2158.148333</v>
      </c>
      <c r="G2743" s="163">
        <f>IFERROR(__xludf.DUMMYFUNCTION("""COMPUTED_VALUE"""),82.0)</f>
        <v>82</v>
      </c>
      <c r="H2743" s="163" t="str">
        <f>IFERROR(__xludf.DUMMYFUNCTION("""COMPUTED_VALUE"""),"C")</f>
        <v>C</v>
      </c>
      <c r="I2743" s="163">
        <f>IFERROR(__xludf.DUMMYFUNCTION("""COMPUTED_VALUE"""),25.0)</f>
        <v>25</v>
      </c>
      <c r="J2743" s="165">
        <f>IFERROR(__xludf.DUMMYFUNCTION("""COMPUTED_VALUE"""),0.729733035340579)</f>
        <v>0.7297330353</v>
      </c>
      <c r="K2743" s="165">
        <f>IFERROR(__xludf.DUMMYFUNCTION("""COMPUTED_VALUE"""),0.880976749332638)</f>
        <v>0.8809767493</v>
      </c>
      <c r="L2743" s="165">
        <f>IFERROR(__xludf.DUMMYFUNCTION("""COMPUTED_VALUE"""),-0.151243713992059)</f>
        <v>-0.151243714</v>
      </c>
      <c r="M2743" s="166">
        <f t="shared" si="2"/>
        <v>4.388123354</v>
      </c>
      <c r="N2743" s="167">
        <f t="shared" si="3"/>
        <v>26.31888211</v>
      </c>
      <c r="O2743" s="163">
        <f t="shared" ref="O2743:Q2743" si="2747">rank(I2743,I:I)</f>
        <v>1995</v>
      </c>
      <c r="P2743" s="163">
        <f t="shared" si="2747"/>
        <v>774</v>
      </c>
      <c r="Q2743" s="163">
        <f t="shared" si="2747"/>
        <v>559</v>
      </c>
      <c r="R2743" s="163">
        <f>IFERROR(__xludf.DUMMYFUNCTION("RANK(M2743,filter(M:M,C:C=C2743))"),72.0)</f>
        <v>72</v>
      </c>
      <c r="S2743" s="161" t="b">
        <f t="shared" si="5"/>
        <v>0</v>
      </c>
      <c r="T2743" s="161" t="b">
        <f t="array" ref="T2743">index('Query Tool'!B:B,match(H2743,'Query Tool'!C:C,0))</f>
        <v>1</v>
      </c>
      <c r="U2743" s="161" t="b">
        <f t="array" ref="U2743">index('Query Tool'!B:B,match(C2743,'Query Tool'!C:C,0))</f>
        <v>0</v>
      </c>
      <c r="V2743" s="161" t="b">
        <f>F2743&gt;='Query Tool'!C$32</f>
        <v>1</v>
      </c>
      <c r="W2743" s="161" t="b">
        <f t="array" ref="W2743">index(Dropdowns!B:B,match(I2743,Dropdowns!A:A,0))</f>
        <v>1</v>
      </c>
      <c r="X2743" s="161" t="b">
        <f t="array" ref="X2743">index('Query Tool'!B:B,match(D2743,'Query Tool'!C:C,0))</f>
        <v>1</v>
      </c>
      <c r="Y2743" s="161" t="str">
        <f t="shared" si="6"/>
        <v>harremo01,2018-19</v>
      </c>
      <c r="Z2743" s="168">
        <f t="array" ref="Z2743">iferror(index(I:I,match($A2743&amp;","&amp;index('Year Conversion'!$A:$A,match($C2743,'Year Conversion'!$B:$B,0)),$Y:$Y,0))-I2743,"")</f>
        <v>1</v>
      </c>
      <c r="AA2743" s="168">
        <f t="array" ref="AA2743">iferror(index(J:J,match($A2743&amp;","&amp;index('Year Conversion'!$A:$A,match($C2743,'Year Conversion'!$B:$B,0)),$Y:$Y,0))-J2743,"")</f>
        <v>0.966915016</v>
      </c>
      <c r="AB2743" s="168">
        <f t="array" ref="AB2743">iferror(index(K:K,match($A2743&amp;","&amp;index('Year Conversion'!$A:$A,match($C2743,'Year Conversion'!$B:$B,0)),$Y:$Y,0))-K2743,"")</f>
        <v>0.5361811107</v>
      </c>
      <c r="AC2743" s="168" t="str">
        <f t="shared" si="7"/>
        <v>LAC,2018-19</v>
      </c>
    </row>
    <row r="2744">
      <c r="A2744" s="161" t="str">
        <f>IFERROR(__xludf.DUMMYFUNCTION("""COMPUTED_VALUE"""),"harrian01")</f>
        <v>harrian01</v>
      </c>
      <c r="B2744" s="161" t="str">
        <f>IFERROR(__xludf.DUMMYFUNCTION("""COMPUTED_VALUE"""),"Andrew Harrison")</f>
        <v>Andrew Harrison</v>
      </c>
      <c r="C2744" s="162" t="str">
        <f>IFERROR(__xludf.DUMMYFUNCTION("""COMPUTED_VALUE"""),"2018-19")</f>
        <v>2018-19</v>
      </c>
      <c r="D2744" s="163" t="str">
        <f>IFERROR(__xludf.DUMMYFUNCTION("""COMPUTED_VALUE"""),"TOT")</f>
        <v>TOT</v>
      </c>
      <c r="E2744" s="164" t="str">
        <f>IFERROR(__xludf.DUMMYFUNCTION("""COMPUTED_VALUE"""),"Shot Creator")</f>
        <v>Shot Creator</v>
      </c>
      <c r="F2744" s="164">
        <f>IFERROR(__xludf.DUMMYFUNCTION("""COMPUTED_VALUE"""),185.785)</f>
        <v>185.785</v>
      </c>
      <c r="G2744" s="163">
        <f>IFERROR(__xludf.DUMMYFUNCTION("""COMPUTED_VALUE"""),17.0)</f>
        <v>17</v>
      </c>
      <c r="H2744" s="163" t="str">
        <f>IFERROR(__xludf.DUMMYFUNCTION("""COMPUTED_VALUE"""),"PG")</f>
        <v>PG</v>
      </c>
      <c r="I2744" s="163">
        <f>IFERROR(__xludf.DUMMYFUNCTION("""COMPUTED_VALUE"""),24.0)</f>
        <v>24</v>
      </c>
      <c r="J2744" s="165">
        <f>IFERROR(__xludf.DUMMYFUNCTION("""COMPUTED_VALUE"""),-0.167408789413868)</f>
        <v>-0.1674087894</v>
      </c>
      <c r="K2744" s="165">
        <f>IFERROR(__xludf.DUMMYFUNCTION("""COMPUTED_VALUE"""),-0.472066775065771)</f>
        <v>-0.4720667751</v>
      </c>
      <c r="L2744" s="165">
        <f>IFERROR(__xludf.DUMMYFUNCTION("""COMPUTED_VALUE"""),0.304657985651904)</f>
        <v>0.3046579857</v>
      </c>
      <c r="M2744" s="166">
        <f t="shared" si="2"/>
        <v>0.2654506781</v>
      </c>
      <c r="N2744" s="167">
        <f t="shared" si="3"/>
        <v>10.92852941</v>
      </c>
      <c r="O2744" s="163">
        <f t="shared" ref="O2744:Q2744" si="2748">rank(I2744,I:I)</f>
        <v>2361</v>
      </c>
      <c r="P2744" s="163">
        <f t="shared" si="2748"/>
        <v>1463</v>
      </c>
      <c r="Q2744" s="163">
        <f t="shared" si="2748"/>
        <v>2072</v>
      </c>
      <c r="R2744" s="163">
        <f>IFERROR(__xludf.DUMMYFUNCTION("RANK(M2744,filter(M:M,C:C=C2744))"),331.0)</f>
        <v>331</v>
      </c>
      <c r="S2744" s="161" t="b">
        <f t="shared" si="5"/>
        <v>0</v>
      </c>
      <c r="T2744" s="161" t="b">
        <f t="array" ref="T2744">index('Query Tool'!B:B,match(H2744,'Query Tool'!C:C,0))</f>
        <v>1</v>
      </c>
      <c r="U2744" s="161" t="b">
        <f t="array" ref="U2744">index('Query Tool'!B:B,match(C2744,'Query Tool'!C:C,0))</f>
        <v>0</v>
      </c>
      <c r="V2744" s="161" t="b">
        <f>F2744&gt;='Query Tool'!C$32</f>
        <v>0</v>
      </c>
      <c r="W2744" s="161" t="b">
        <f t="array" ref="W2744">index(Dropdowns!B:B,match(I2744,Dropdowns!A:A,0))</f>
        <v>1</v>
      </c>
      <c r="X2744" s="161" t="b">
        <f t="array" ref="X2744">index('Query Tool'!B:B,match(D2744,'Query Tool'!C:C,0))</f>
        <v>1</v>
      </c>
      <c r="Y2744" s="161" t="str">
        <f t="shared" si="6"/>
        <v>harrian01,2018-19</v>
      </c>
      <c r="Z2744" s="168" t="str">
        <f t="array" ref="Z2744">iferror(index(I:I,match($A2744&amp;","&amp;index('Year Conversion'!$A:$A,match($C2744,'Year Conversion'!$B:$B,0)),$Y:$Y,0))-I2744,"")</f>
        <v/>
      </c>
      <c r="AA2744" s="168" t="str">
        <f t="array" ref="AA2744">iferror(index(J:J,match($A2744&amp;","&amp;index('Year Conversion'!$A:$A,match($C2744,'Year Conversion'!$B:$B,0)),$Y:$Y,0))-J2744,"")</f>
        <v/>
      </c>
      <c r="AB2744" s="168" t="str">
        <f t="array" ref="AB2744">iferror(index(K:K,match($A2744&amp;","&amp;index('Year Conversion'!$A:$A,match($C2744,'Year Conversion'!$B:$B,0)),$Y:$Y,0))-K2744,"")</f>
        <v/>
      </c>
      <c r="AC2744" s="168" t="str">
        <f t="shared" si="7"/>
        <v>TOT,2018-19</v>
      </c>
    </row>
    <row r="2745">
      <c r="A2745" s="161" t="str">
        <f>IFERROR(__xludf.DUMMYFUNCTION("""COMPUTED_VALUE"""),"wrighde01")</f>
        <v>wrighde01</v>
      </c>
      <c r="B2745" s="161" t="str">
        <f>IFERROR(__xludf.DUMMYFUNCTION("""COMPUTED_VALUE"""),"Delon Wright")</f>
        <v>Delon Wright</v>
      </c>
      <c r="C2745" s="162" t="str">
        <f>IFERROR(__xludf.DUMMYFUNCTION("""COMPUTED_VALUE"""),"2018-19")</f>
        <v>2018-19</v>
      </c>
      <c r="D2745" s="163" t="str">
        <f>IFERROR(__xludf.DUMMYFUNCTION("""COMPUTED_VALUE"""),"TOT")</f>
        <v>TOT</v>
      </c>
      <c r="E2745" s="164" t="str">
        <f>IFERROR(__xludf.DUMMYFUNCTION("""COMPUTED_VALUE"""),"Secondary Ball Handler")</f>
        <v>Secondary Ball Handler</v>
      </c>
      <c r="F2745" s="164">
        <f>IFERROR(__xludf.DUMMYFUNCTION("""COMPUTED_VALUE"""),1698.43666666667)</f>
        <v>1698.436667</v>
      </c>
      <c r="G2745" s="163">
        <f>IFERROR(__xludf.DUMMYFUNCTION("""COMPUTED_VALUE"""),75.0)</f>
        <v>75</v>
      </c>
      <c r="H2745" s="163" t="str">
        <f>IFERROR(__xludf.DUMMYFUNCTION("""COMPUTED_VALUE"""),"PG")</f>
        <v>PG</v>
      </c>
      <c r="I2745" s="163">
        <f>IFERROR(__xludf.DUMMYFUNCTION("""COMPUTED_VALUE"""),26.0)</f>
        <v>26</v>
      </c>
      <c r="J2745" s="165">
        <f>IFERROR(__xludf.DUMMYFUNCTION("""COMPUTED_VALUE"""),0.678476988610048)</f>
        <v>0.6784769886</v>
      </c>
      <c r="K2745" s="165">
        <f>IFERROR(__xludf.DUMMYFUNCTION("""COMPUTED_VALUE"""),0.60199887217781)</f>
        <v>0.6019988722</v>
      </c>
      <c r="L2745" s="165">
        <f>IFERROR(__xludf.DUMMYFUNCTION("""COMPUTED_VALUE"""),0.0764781164322381)</f>
        <v>0.07647811643</v>
      </c>
      <c r="M2745" s="166">
        <f t="shared" si="2"/>
        <v>3.394829524</v>
      </c>
      <c r="N2745" s="167">
        <f t="shared" si="3"/>
        <v>22.64582222</v>
      </c>
      <c r="O2745" s="163">
        <f t="shared" ref="O2745:Q2745" si="2749">rank(I2745,I:I)</f>
        <v>1665</v>
      </c>
      <c r="P2745" s="163">
        <f t="shared" si="2749"/>
        <v>807</v>
      </c>
      <c r="Q2745" s="163">
        <f t="shared" si="2749"/>
        <v>706</v>
      </c>
      <c r="R2745" s="163">
        <f>IFERROR(__xludf.DUMMYFUNCTION("RANK(M2745,filter(M:M,C:C=C2745))"),102.0)</f>
        <v>102</v>
      </c>
      <c r="S2745" s="161" t="b">
        <f t="shared" si="5"/>
        <v>0</v>
      </c>
      <c r="T2745" s="161" t="b">
        <f t="array" ref="T2745">index('Query Tool'!B:B,match(H2745,'Query Tool'!C:C,0))</f>
        <v>1</v>
      </c>
      <c r="U2745" s="161" t="b">
        <f t="array" ref="U2745">index('Query Tool'!B:B,match(C2745,'Query Tool'!C:C,0))</f>
        <v>0</v>
      </c>
      <c r="V2745" s="161" t="b">
        <f>F2745&gt;='Query Tool'!C$32</f>
        <v>1</v>
      </c>
      <c r="W2745" s="161" t="b">
        <f t="array" ref="W2745">index(Dropdowns!B:B,match(I2745,Dropdowns!A:A,0))</f>
        <v>1</v>
      </c>
      <c r="X2745" s="161" t="b">
        <f t="array" ref="X2745">index('Query Tool'!B:B,match(D2745,'Query Tool'!C:C,0))</f>
        <v>1</v>
      </c>
      <c r="Y2745" s="161" t="str">
        <f t="shared" si="6"/>
        <v>wrighde01,2018-19</v>
      </c>
      <c r="Z2745" s="168">
        <f t="array" ref="Z2745">iferror(index(I:I,match($A2745&amp;","&amp;index('Year Conversion'!$A:$A,match($C2745,'Year Conversion'!$B:$B,0)),$Y:$Y,0))-I2745,"")</f>
        <v>1</v>
      </c>
      <c r="AA2745" s="168">
        <f t="array" ref="AA2745">iferror(index(J:J,match($A2745&amp;","&amp;index('Year Conversion'!$A:$A,match($C2745,'Year Conversion'!$B:$B,0)),$Y:$Y,0))-J2745,"")</f>
        <v>-0.5118161121</v>
      </c>
      <c r="AB2745" s="168">
        <f t="array" ref="AB2745">iferror(index(K:K,match($A2745&amp;","&amp;index('Year Conversion'!$A:$A,match($C2745,'Year Conversion'!$B:$B,0)),$Y:$Y,0))-K2745,"")</f>
        <v>-0.3684781633</v>
      </c>
      <c r="AC2745" s="168" t="str">
        <f t="shared" si="7"/>
        <v>TOT,2018-19</v>
      </c>
    </row>
    <row r="2746">
      <c r="A2746" s="161" t="str">
        <f>IFERROR(__xludf.DUMMYFUNCTION("""COMPUTED_VALUE"""),"hunterj01")</f>
        <v>hunterj01</v>
      </c>
      <c r="B2746" s="161" t="str">
        <f>IFERROR(__xludf.DUMMYFUNCTION("""COMPUTED_VALUE"""),"RJ Hunter")</f>
        <v>RJ Hunter</v>
      </c>
      <c r="C2746" s="162" t="str">
        <f>IFERROR(__xludf.DUMMYFUNCTION("""COMPUTED_VALUE"""),"2018-19")</f>
        <v>2018-19</v>
      </c>
      <c r="D2746" s="163" t="str">
        <f>IFERROR(__xludf.DUMMYFUNCTION("""COMPUTED_VALUE"""),"BOS")</f>
        <v>BOS</v>
      </c>
      <c r="E2746" s="164" t="str">
        <f>IFERROR(__xludf.DUMMYFUNCTION("""COMPUTED_VALUE"""),"Secondary Ball Handler")</f>
        <v>Secondary Ball Handler</v>
      </c>
      <c r="F2746" s="164">
        <f>IFERROR(__xludf.DUMMYFUNCTION("""COMPUTED_VALUE"""),25.6833333333333)</f>
        <v>25.68333333</v>
      </c>
      <c r="G2746" s="163">
        <f>IFERROR(__xludf.DUMMYFUNCTION("""COMPUTED_VALUE"""),1.0)</f>
        <v>1</v>
      </c>
      <c r="H2746" s="163" t="str">
        <f>IFERROR(__xludf.DUMMYFUNCTION("""COMPUTED_VALUE"""),"SG")</f>
        <v>SG</v>
      </c>
      <c r="I2746" s="163">
        <f>IFERROR(__xludf.DUMMYFUNCTION("""COMPUTED_VALUE"""),25.0)</f>
        <v>25</v>
      </c>
      <c r="J2746" s="165">
        <f>IFERROR(__xludf.DUMMYFUNCTION("""COMPUTED_VALUE"""),-0.362551767547013)</f>
        <v>-0.3625517675</v>
      </c>
      <c r="K2746" s="165">
        <f>IFERROR(__xludf.DUMMYFUNCTION("""COMPUTED_VALUE"""),0.118642521100885)</f>
        <v>0.1186425211</v>
      </c>
      <c r="L2746" s="165">
        <f>IFERROR(__xludf.DUMMYFUNCTION("""COMPUTED_VALUE"""),-0.481194288647898)</f>
        <v>-0.4811942886</v>
      </c>
      <c r="M2746" s="166">
        <f t="shared" si="2"/>
        <v>0.03331854094</v>
      </c>
      <c r="N2746" s="167">
        <f t="shared" si="3"/>
        <v>25.68333333</v>
      </c>
      <c r="O2746" s="163">
        <f t="shared" ref="O2746:Q2746" si="2750">rank(I2746,I:I)</f>
        <v>1995</v>
      </c>
      <c r="P2746" s="163">
        <f t="shared" si="2750"/>
        <v>1686</v>
      </c>
      <c r="Q2746" s="163">
        <f t="shared" si="2750"/>
        <v>1048</v>
      </c>
      <c r="R2746" s="163">
        <f>IFERROR(__xludf.DUMMYFUNCTION("RANK(M2746,filter(M:M,C:C=C2746))"),438.0)</f>
        <v>438</v>
      </c>
      <c r="S2746" s="161" t="b">
        <f t="shared" si="5"/>
        <v>0</v>
      </c>
      <c r="T2746" s="161" t="b">
        <f t="array" ref="T2746">index('Query Tool'!B:B,match(H2746,'Query Tool'!C:C,0))</f>
        <v>1</v>
      </c>
      <c r="U2746" s="161" t="b">
        <f t="array" ref="U2746">index('Query Tool'!B:B,match(C2746,'Query Tool'!C:C,0))</f>
        <v>0</v>
      </c>
      <c r="V2746" s="161" t="b">
        <f>F2746&gt;='Query Tool'!C$32</f>
        <v>0</v>
      </c>
      <c r="W2746" s="161" t="b">
        <f t="array" ref="W2746">index(Dropdowns!B:B,match(I2746,Dropdowns!A:A,0))</f>
        <v>1</v>
      </c>
      <c r="X2746" s="161" t="b">
        <f t="array" ref="X2746">index('Query Tool'!B:B,match(D2746,'Query Tool'!C:C,0))</f>
        <v>1</v>
      </c>
      <c r="Y2746" s="161" t="str">
        <f t="shared" si="6"/>
        <v>hunterj01,2018-19</v>
      </c>
      <c r="Z2746" s="168" t="str">
        <f t="array" ref="Z2746">iferror(index(I:I,match($A2746&amp;","&amp;index('Year Conversion'!$A:$A,match($C2746,'Year Conversion'!$B:$B,0)),$Y:$Y,0))-I2746,"")</f>
        <v/>
      </c>
      <c r="AA2746" s="168" t="str">
        <f t="array" ref="AA2746">iferror(index(J:J,match($A2746&amp;","&amp;index('Year Conversion'!$A:$A,match($C2746,'Year Conversion'!$B:$B,0)),$Y:$Y,0))-J2746,"")</f>
        <v/>
      </c>
      <c r="AB2746" s="168" t="str">
        <f t="array" ref="AB2746">iferror(index(K:K,match($A2746&amp;","&amp;index('Year Conversion'!$A:$A,match($C2746,'Year Conversion'!$B:$B,0)),$Y:$Y,0))-K2746,"")</f>
        <v/>
      </c>
      <c r="AC2746" s="168" t="str">
        <f t="shared" si="7"/>
        <v>BOS,2018-19</v>
      </c>
    </row>
    <row r="2747">
      <c r="A2747" s="161" t="str">
        <f>IFERROR(__xludf.DUMMYFUNCTION("""COMPUTED_VALUE"""),"dekkesa01")</f>
        <v>dekkesa01</v>
      </c>
      <c r="B2747" s="161" t="str">
        <f>IFERROR(__xludf.DUMMYFUNCTION("""COMPUTED_VALUE"""),"Sam Dekker")</f>
        <v>Sam Dekker</v>
      </c>
      <c r="C2747" s="162" t="str">
        <f>IFERROR(__xludf.DUMMYFUNCTION("""COMPUTED_VALUE"""),"2018-19")</f>
        <v>2018-19</v>
      </c>
      <c r="D2747" s="163" t="str">
        <f>IFERROR(__xludf.DUMMYFUNCTION("""COMPUTED_VALUE"""),"TOT")</f>
        <v>TOT</v>
      </c>
      <c r="E2747" s="164" t="str">
        <f>IFERROR(__xludf.DUMMYFUNCTION("""COMPUTED_VALUE"""),"Roll + Cut Big")</f>
        <v>Roll + Cut Big</v>
      </c>
      <c r="F2747" s="164">
        <f>IFERROR(__xludf.DUMMYFUNCTION("""COMPUTED_VALUE"""),788.605)</f>
        <v>788.605</v>
      </c>
      <c r="G2747" s="163">
        <f>IFERROR(__xludf.DUMMYFUNCTION("""COMPUTED_VALUE"""),47.0)</f>
        <v>47</v>
      </c>
      <c r="H2747" s="163" t="str">
        <f>IFERROR(__xludf.DUMMYFUNCTION("""COMPUTED_VALUE"""),"PF")</f>
        <v>PF</v>
      </c>
      <c r="I2747" s="163">
        <f>IFERROR(__xludf.DUMMYFUNCTION("""COMPUTED_VALUE"""),24.0)</f>
        <v>24</v>
      </c>
      <c r="J2747" s="165">
        <f>IFERROR(__xludf.DUMMYFUNCTION("""COMPUTED_VALUE"""),-0.870457181467788)</f>
        <v>-0.8704571815</v>
      </c>
      <c r="K2747" s="165">
        <f>IFERROR(__xludf.DUMMYFUNCTION("""COMPUTED_VALUE"""),-0.410091624660181)</f>
        <v>-0.4100916247</v>
      </c>
      <c r="L2747" s="165">
        <f>IFERROR(__xludf.DUMMYFUNCTION("""COMPUTED_VALUE"""),-0.460365556807607)</f>
        <v>-0.4603655568</v>
      </c>
      <c r="M2747" s="166">
        <f t="shared" si="2"/>
        <v>0.7534570565</v>
      </c>
      <c r="N2747" s="167">
        <f t="shared" si="3"/>
        <v>16.77882979</v>
      </c>
      <c r="O2747" s="163">
        <f t="shared" ref="O2747:Q2747" si="2751">rank(I2747,I:I)</f>
        <v>2361</v>
      </c>
      <c r="P2747" s="163">
        <f t="shared" si="2751"/>
        <v>2363</v>
      </c>
      <c r="Q2747" s="163">
        <f t="shared" si="2751"/>
        <v>1962</v>
      </c>
      <c r="R2747" s="163">
        <f>IFERROR(__xludf.DUMMYFUNCTION("RANK(M2747,filter(M:M,C:C=C2747))"),251.0)</f>
        <v>251</v>
      </c>
      <c r="S2747" s="161" t="b">
        <f t="shared" si="5"/>
        <v>0</v>
      </c>
      <c r="T2747" s="161" t="b">
        <f t="array" ref="T2747">index('Query Tool'!B:B,match(H2747,'Query Tool'!C:C,0))</f>
        <v>1</v>
      </c>
      <c r="U2747" s="161" t="b">
        <f t="array" ref="U2747">index('Query Tool'!B:B,match(C2747,'Query Tool'!C:C,0))</f>
        <v>0</v>
      </c>
      <c r="V2747" s="161" t="b">
        <f>F2747&gt;='Query Tool'!C$32</f>
        <v>1</v>
      </c>
      <c r="W2747" s="161" t="b">
        <f t="array" ref="W2747">index(Dropdowns!B:B,match(I2747,Dropdowns!A:A,0))</f>
        <v>1</v>
      </c>
      <c r="X2747" s="161" t="b">
        <f t="array" ref="X2747">index('Query Tool'!B:B,match(D2747,'Query Tool'!C:C,0))</f>
        <v>1</v>
      </c>
      <c r="Y2747" s="161" t="str">
        <f t="shared" si="6"/>
        <v>dekkesa01,2018-19</v>
      </c>
      <c r="Z2747" s="168" t="str">
        <f t="array" ref="Z2747">iferror(index(I:I,match($A2747&amp;","&amp;index('Year Conversion'!$A:$A,match($C2747,'Year Conversion'!$B:$B,0)),$Y:$Y,0))-I2747,"")</f>
        <v/>
      </c>
      <c r="AA2747" s="168" t="str">
        <f t="array" ref="AA2747">iferror(index(J:J,match($A2747&amp;","&amp;index('Year Conversion'!$A:$A,match($C2747,'Year Conversion'!$B:$B,0)),$Y:$Y,0))-J2747,"")</f>
        <v/>
      </c>
      <c r="AB2747" s="168" t="str">
        <f t="array" ref="AB2747">iferror(index(K:K,match($A2747&amp;","&amp;index('Year Conversion'!$A:$A,match($C2747,'Year Conversion'!$B:$B,0)),$Y:$Y,0))-K2747,"")</f>
        <v/>
      </c>
      <c r="AC2747" s="168" t="str">
        <f t="shared" si="7"/>
        <v>TOT,2018-19</v>
      </c>
    </row>
    <row r="2748">
      <c r="A2748" s="161" t="str">
        <f>IFERROR(__xludf.DUMMYFUNCTION("""COMPUTED_VALUE"""),"russeda01")</f>
        <v>russeda01</v>
      </c>
      <c r="B2748" s="161" t="str">
        <f>IFERROR(__xludf.DUMMYFUNCTION("""COMPUTED_VALUE"""),"D'Angelo Russell")</f>
        <v>D'Angelo Russell</v>
      </c>
      <c r="C2748" s="162" t="str">
        <f>IFERROR(__xludf.DUMMYFUNCTION("""COMPUTED_VALUE"""),"2018-19")</f>
        <v>2018-19</v>
      </c>
      <c r="D2748" s="163" t="str">
        <f>IFERROR(__xludf.DUMMYFUNCTION("""COMPUTED_VALUE"""),"BRK")</f>
        <v>BRK</v>
      </c>
      <c r="E2748" s="164" t="str">
        <f>IFERROR(__xludf.DUMMYFUNCTION("""COMPUTED_VALUE"""),"Secondary Ball Handler")</f>
        <v>Secondary Ball Handler</v>
      </c>
      <c r="F2748" s="164">
        <f>IFERROR(__xludf.DUMMYFUNCTION("""COMPUTED_VALUE"""),2447.955)</f>
        <v>2447.955</v>
      </c>
      <c r="G2748" s="163">
        <f>IFERROR(__xludf.DUMMYFUNCTION("""COMPUTED_VALUE"""),81.0)</f>
        <v>81</v>
      </c>
      <c r="H2748" s="163" t="str">
        <f>IFERROR(__xludf.DUMMYFUNCTION("""COMPUTED_VALUE"""),"PG")</f>
        <v>PG</v>
      </c>
      <c r="I2748" s="163">
        <f>IFERROR(__xludf.DUMMYFUNCTION("""COMPUTED_VALUE"""),22.0)</f>
        <v>22</v>
      </c>
      <c r="J2748" s="165">
        <f>IFERROR(__xludf.DUMMYFUNCTION("""COMPUTED_VALUE"""),1.47868212112934)</f>
        <v>1.478682121</v>
      </c>
      <c r="K2748" s="165">
        <f>IFERROR(__xludf.DUMMYFUNCTION("""COMPUTED_VALUE"""),1.74641945889161)</f>
        <v>1.746419459</v>
      </c>
      <c r="L2748" s="165">
        <f>IFERROR(__xludf.DUMMYFUNCTION("""COMPUTED_VALUE"""),-0.267737337762266)</f>
        <v>-0.2677373378</v>
      </c>
      <c r="M2748" s="166">
        <f t="shared" si="2"/>
        <v>6.206941678</v>
      </c>
      <c r="N2748" s="167">
        <f t="shared" si="3"/>
        <v>30.22166667</v>
      </c>
      <c r="O2748" s="163">
        <f t="shared" ref="O2748:Q2748" si="2752">rank(I2748,I:I)</f>
        <v>3178</v>
      </c>
      <c r="P2748" s="163">
        <f t="shared" si="2752"/>
        <v>462</v>
      </c>
      <c r="Q2748" s="163">
        <f t="shared" si="2752"/>
        <v>266</v>
      </c>
      <c r="R2748" s="163">
        <f>IFERROR(__xludf.DUMMYFUNCTION("RANK(M2748,filter(M:M,C:C=C2748))"),41.0)</f>
        <v>41</v>
      </c>
      <c r="S2748" s="161" t="b">
        <f t="shared" si="5"/>
        <v>0</v>
      </c>
      <c r="T2748" s="161" t="b">
        <f t="array" ref="T2748">index('Query Tool'!B:B,match(H2748,'Query Tool'!C:C,0))</f>
        <v>1</v>
      </c>
      <c r="U2748" s="161" t="b">
        <f t="array" ref="U2748">index('Query Tool'!B:B,match(C2748,'Query Tool'!C:C,0))</f>
        <v>0</v>
      </c>
      <c r="V2748" s="161" t="b">
        <f>F2748&gt;='Query Tool'!C$32</f>
        <v>1</v>
      </c>
      <c r="W2748" s="161" t="b">
        <f t="array" ref="W2748">index(Dropdowns!B:B,match(I2748,Dropdowns!A:A,0))</f>
        <v>1</v>
      </c>
      <c r="X2748" s="161" t="b">
        <f t="array" ref="X2748">index('Query Tool'!B:B,match(D2748,'Query Tool'!C:C,0))</f>
        <v>1</v>
      </c>
      <c r="Y2748" s="161" t="str">
        <f t="shared" si="6"/>
        <v>russeda01,2018-19</v>
      </c>
      <c r="Z2748" s="168">
        <f t="array" ref="Z2748">iferror(index(I:I,match($A2748&amp;","&amp;index('Year Conversion'!$A:$A,match($C2748,'Year Conversion'!$B:$B,0)),$Y:$Y,0))-I2748,"")</f>
        <v>1</v>
      </c>
      <c r="AA2748" s="168">
        <f t="array" ref="AA2748">iferror(index(J:J,match($A2748&amp;","&amp;index('Year Conversion'!$A:$A,match($C2748,'Year Conversion'!$B:$B,0)),$Y:$Y,0))-J2748,"")</f>
        <v>-1.283407329</v>
      </c>
      <c r="AB2748" s="168">
        <f t="array" ref="AB2748">iferror(index(K:K,match($A2748&amp;","&amp;index('Year Conversion'!$A:$A,match($C2748,'Year Conversion'!$B:$B,0)),$Y:$Y,0))-K2748,"")</f>
        <v>0.3679974159</v>
      </c>
      <c r="AC2748" s="168" t="str">
        <f t="shared" si="7"/>
        <v>BRK,2018-19</v>
      </c>
    </row>
    <row r="2749">
      <c r="A2749" s="161" t="str">
        <f>IFERROR(__xludf.DUMMYFUNCTION("""COMPUTED_VALUE"""),"townska01")</f>
        <v>townska01</v>
      </c>
      <c r="B2749" s="161" t="str">
        <f>IFERROR(__xludf.DUMMYFUNCTION("""COMPUTED_VALUE"""),"Karl-Anthony Towns")</f>
        <v>Karl-Anthony Towns</v>
      </c>
      <c r="C2749" s="162" t="str">
        <f>IFERROR(__xludf.DUMMYFUNCTION("""COMPUTED_VALUE"""),"2018-19")</f>
        <v>2018-19</v>
      </c>
      <c r="D2749" s="163" t="str">
        <f>IFERROR(__xludf.DUMMYFUNCTION("""COMPUTED_VALUE"""),"MIN")</f>
        <v>MIN</v>
      </c>
      <c r="E2749" s="164" t="str">
        <f>IFERROR(__xludf.DUMMYFUNCTION("""COMPUTED_VALUE"""),"Versatile Big")</f>
        <v>Versatile Big</v>
      </c>
      <c r="F2749" s="164">
        <f>IFERROR(__xludf.DUMMYFUNCTION("""COMPUTED_VALUE"""),2544.66)</f>
        <v>2544.66</v>
      </c>
      <c r="G2749" s="163">
        <f>IFERROR(__xludf.DUMMYFUNCTION("""COMPUTED_VALUE"""),77.0)</f>
        <v>77</v>
      </c>
      <c r="H2749" s="163" t="str">
        <f>IFERROR(__xludf.DUMMYFUNCTION("""COMPUTED_VALUE"""),"C")</f>
        <v>C</v>
      </c>
      <c r="I2749" s="163">
        <f>IFERROR(__xludf.DUMMYFUNCTION("""COMPUTED_VALUE"""),23.0)</f>
        <v>23</v>
      </c>
      <c r="J2749" s="165">
        <f>IFERROR(__xludf.DUMMYFUNCTION("""COMPUTED_VALUE"""),3.6616110592103)</f>
        <v>3.661611059</v>
      </c>
      <c r="K2749" s="165">
        <f>IFERROR(__xludf.DUMMYFUNCTION("""COMPUTED_VALUE"""),2.79113278442865)</f>
        <v>2.791132784</v>
      </c>
      <c r="L2749" s="165">
        <f>IFERROR(__xludf.DUMMYFUNCTION("""COMPUTED_VALUE"""),0.870478274781654)</f>
        <v>0.8704782748</v>
      </c>
      <c r="M2749" s="166">
        <f t="shared" si="2"/>
        <v>10.09036895</v>
      </c>
      <c r="N2749" s="167">
        <f t="shared" si="3"/>
        <v>33.04753247</v>
      </c>
      <c r="O2749" s="163">
        <f t="shared" ref="O2749:Q2749" si="2753">rank(I2749,I:I)</f>
        <v>2765</v>
      </c>
      <c r="P2749" s="163">
        <f t="shared" si="2753"/>
        <v>118</v>
      </c>
      <c r="Q2749" s="163">
        <f t="shared" si="2753"/>
        <v>138</v>
      </c>
      <c r="R2749" s="163">
        <f>IFERROR(__xludf.DUMMYFUNCTION("RANK(M2749,filter(M:M,C:C=C2749))"),12.0)</f>
        <v>12</v>
      </c>
      <c r="S2749" s="161" t="b">
        <f t="shared" si="5"/>
        <v>0</v>
      </c>
      <c r="T2749" s="161" t="b">
        <f t="array" ref="T2749">index('Query Tool'!B:B,match(H2749,'Query Tool'!C:C,0))</f>
        <v>1</v>
      </c>
      <c r="U2749" s="161" t="b">
        <f t="array" ref="U2749">index('Query Tool'!B:B,match(C2749,'Query Tool'!C:C,0))</f>
        <v>0</v>
      </c>
      <c r="V2749" s="161" t="b">
        <f>F2749&gt;='Query Tool'!C$32</f>
        <v>1</v>
      </c>
      <c r="W2749" s="161" t="b">
        <f t="array" ref="W2749">index(Dropdowns!B:B,match(I2749,Dropdowns!A:A,0))</f>
        <v>1</v>
      </c>
      <c r="X2749" s="161" t="b">
        <f t="array" ref="X2749">index('Query Tool'!B:B,match(D2749,'Query Tool'!C:C,0))</f>
        <v>1</v>
      </c>
      <c r="Y2749" s="161" t="str">
        <f t="shared" si="6"/>
        <v>townska01,2018-19</v>
      </c>
      <c r="Z2749" s="168">
        <f t="array" ref="Z2749">iferror(index(I:I,match($A2749&amp;","&amp;index('Year Conversion'!$A:$A,match($C2749,'Year Conversion'!$B:$B,0)),$Y:$Y,0))-I2749,"")</f>
        <v>1</v>
      </c>
      <c r="AA2749" s="168">
        <f t="array" ref="AA2749">iferror(index(J:J,match($A2749&amp;","&amp;index('Year Conversion'!$A:$A,match($C2749,'Year Conversion'!$B:$B,0)),$Y:$Y,0))-J2749,"")</f>
        <v>0.6173583819</v>
      </c>
      <c r="AB2749" s="168">
        <f t="array" ref="AB2749">iferror(index(K:K,match($A2749&amp;","&amp;index('Year Conversion'!$A:$A,match($C2749,'Year Conversion'!$B:$B,0)),$Y:$Y,0))-K2749,"")</f>
        <v>1.376649117</v>
      </c>
      <c r="AC2749" s="168" t="str">
        <f t="shared" si="7"/>
        <v>MIN,2018-19</v>
      </c>
    </row>
    <row r="2750">
      <c r="A2750" s="161" t="str">
        <f>IFERROR(__xludf.DUMMYFUNCTION("""COMPUTED_VALUE"""),"holmeri01")</f>
        <v>holmeri01</v>
      </c>
      <c r="B2750" s="161" t="str">
        <f>IFERROR(__xludf.DUMMYFUNCTION("""COMPUTED_VALUE"""),"Richaun Holmes")</f>
        <v>Richaun Holmes</v>
      </c>
      <c r="C2750" s="162" t="str">
        <f>IFERROR(__xludf.DUMMYFUNCTION("""COMPUTED_VALUE"""),"2018-19")</f>
        <v>2018-19</v>
      </c>
      <c r="D2750" s="163" t="str">
        <f>IFERROR(__xludf.DUMMYFUNCTION("""COMPUTED_VALUE"""),"PHO")</f>
        <v>PHO</v>
      </c>
      <c r="E2750" s="164" t="str">
        <f>IFERROR(__xludf.DUMMYFUNCTION("""COMPUTED_VALUE"""),"Roll + Cut Big")</f>
        <v>Roll + Cut Big</v>
      </c>
      <c r="F2750" s="164">
        <f>IFERROR(__xludf.DUMMYFUNCTION("""COMPUTED_VALUE"""),1183.68833333333)</f>
        <v>1183.688333</v>
      </c>
      <c r="G2750" s="163">
        <f>IFERROR(__xludf.DUMMYFUNCTION("""COMPUTED_VALUE"""),70.0)</f>
        <v>70</v>
      </c>
      <c r="H2750" s="163" t="str">
        <f>IFERROR(__xludf.DUMMYFUNCTION("""COMPUTED_VALUE"""),"C")</f>
        <v>C</v>
      </c>
      <c r="I2750" s="163">
        <f>IFERROR(__xludf.DUMMYFUNCTION("""COMPUTED_VALUE"""),25.0)</f>
        <v>25</v>
      </c>
      <c r="J2750" s="165">
        <f>IFERROR(__xludf.DUMMYFUNCTION("""COMPUTED_VALUE"""),0.703644433172692)</f>
        <v>0.7036444332</v>
      </c>
      <c r="K2750" s="165">
        <f>IFERROR(__xludf.DUMMYFUNCTION("""COMPUTED_VALUE"""),-0.179917035516326)</f>
        <v>-0.1799170355</v>
      </c>
      <c r="L2750" s="165">
        <f>IFERROR(__xludf.DUMMYFUNCTION("""COMPUTED_VALUE"""),0.883561468689017)</f>
        <v>0.8835614687</v>
      </c>
      <c r="M2750" s="166">
        <f t="shared" si="2"/>
        <v>2.385996745</v>
      </c>
      <c r="N2750" s="167">
        <f t="shared" si="3"/>
        <v>16.90983333</v>
      </c>
      <c r="O2750" s="163">
        <f t="shared" ref="O2750:Q2750" si="2754">rank(I2750,I:I)</f>
        <v>1995</v>
      </c>
      <c r="P2750" s="163">
        <f t="shared" si="2754"/>
        <v>794</v>
      </c>
      <c r="Q2750" s="163">
        <f t="shared" si="2754"/>
        <v>1535</v>
      </c>
      <c r="R2750" s="163">
        <f>IFERROR(__xludf.DUMMYFUNCTION("RANK(M2750,filter(M:M,C:C=C2750))"),132.0)</f>
        <v>132</v>
      </c>
      <c r="S2750" s="161" t="b">
        <f t="shared" si="5"/>
        <v>0</v>
      </c>
      <c r="T2750" s="161" t="b">
        <f t="array" ref="T2750">index('Query Tool'!B:B,match(H2750,'Query Tool'!C:C,0))</f>
        <v>1</v>
      </c>
      <c r="U2750" s="161" t="b">
        <f t="array" ref="U2750">index('Query Tool'!B:B,match(C2750,'Query Tool'!C:C,0))</f>
        <v>0</v>
      </c>
      <c r="V2750" s="161" t="b">
        <f>F2750&gt;='Query Tool'!C$32</f>
        <v>1</v>
      </c>
      <c r="W2750" s="161" t="b">
        <f t="array" ref="W2750">index(Dropdowns!B:B,match(I2750,Dropdowns!A:A,0))</f>
        <v>1</v>
      </c>
      <c r="X2750" s="161" t="b">
        <f t="array" ref="X2750">index('Query Tool'!B:B,match(D2750,'Query Tool'!C:C,0))</f>
        <v>1</v>
      </c>
      <c r="Y2750" s="161" t="str">
        <f t="shared" si="6"/>
        <v>holmeri01,2018-19</v>
      </c>
      <c r="Z2750" s="168">
        <f t="array" ref="Z2750">iferror(index(I:I,match($A2750&amp;","&amp;index('Year Conversion'!$A:$A,match($C2750,'Year Conversion'!$B:$B,0)),$Y:$Y,0))-I2750,"")</f>
        <v>1</v>
      </c>
      <c r="AA2750" s="168">
        <f t="array" ref="AA2750">iferror(index(J:J,match($A2750&amp;","&amp;index('Year Conversion'!$A:$A,match($C2750,'Year Conversion'!$B:$B,0)),$Y:$Y,0))-J2750,"")</f>
        <v>1.850491883</v>
      </c>
      <c r="AB2750" s="168">
        <f t="array" ref="AB2750">iferror(index(K:K,match($A2750&amp;","&amp;index('Year Conversion'!$A:$A,match($C2750,'Year Conversion'!$B:$B,0)),$Y:$Y,0))-K2750,"")</f>
        <v>0.6692248676</v>
      </c>
      <c r="AC2750" s="168" t="str">
        <f t="shared" si="7"/>
        <v>PHO,2018-19</v>
      </c>
    </row>
    <row r="2751">
      <c r="A2751" s="161" t="str">
        <f>IFERROR(__xludf.DUMMYFUNCTION("""COMPUTED_VALUE"""),"winslju01")</f>
        <v>winslju01</v>
      </c>
      <c r="B2751" s="161" t="str">
        <f>IFERROR(__xludf.DUMMYFUNCTION("""COMPUTED_VALUE"""),"Justise Winslow")</f>
        <v>Justise Winslow</v>
      </c>
      <c r="C2751" s="162" t="str">
        <f>IFERROR(__xludf.DUMMYFUNCTION("""COMPUTED_VALUE"""),"2018-19")</f>
        <v>2018-19</v>
      </c>
      <c r="D2751" s="163" t="str">
        <f>IFERROR(__xludf.DUMMYFUNCTION("""COMPUTED_VALUE"""),"MIA")</f>
        <v>MIA</v>
      </c>
      <c r="E2751" s="164" t="str">
        <f>IFERROR(__xludf.DUMMYFUNCTION("""COMPUTED_VALUE"""),"Stationary Shooter")</f>
        <v>Stationary Shooter</v>
      </c>
      <c r="F2751" s="164">
        <f>IFERROR(__xludf.DUMMYFUNCTION("""COMPUTED_VALUE"""),1959.505)</f>
        <v>1959.505</v>
      </c>
      <c r="G2751" s="163">
        <f>IFERROR(__xludf.DUMMYFUNCTION("""COMPUTED_VALUE"""),66.0)</f>
        <v>66</v>
      </c>
      <c r="H2751" s="163" t="str">
        <f>IFERROR(__xludf.DUMMYFUNCTION("""COMPUTED_VALUE"""),"SF")</f>
        <v>SF</v>
      </c>
      <c r="I2751" s="163">
        <f>IFERROR(__xludf.DUMMYFUNCTION("""COMPUTED_VALUE"""),22.0)</f>
        <v>22</v>
      </c>
      <c r="J2751" s="165">
        <f>IFERROR(__xludf.DUMMYFUNCTION("""COMPUTED_VALUE"""),0.32293425876282)</f>
        <v>0.3229342588</v>
      </c>
      <c r="K2751" s="165">
        <f>IFERROR(__xludf.DUMMYFUNCTION("""COMPUTED_VALUE"""),-0.819865007423045)</f>
        <v>-0.8198650074</v>
      </c>
      <c r="L2751" s="165">
        <f>IFERROR(__xludf.DUMMYFUNCTION("""COMPUTED_VALUE"""),1.14279926618587)</f>
        <v>1.142799266</v>
      </c>
      <c r="M2751" s="166">
        <f t="shared" si="2"/>
        <v>3.447463192</v>
      </c>
      <c r="N2751" s="167">
        <f t="shared" si="3"/>
        <v>29.6894697</v>
      </c>
      <c r="O2751" s="163">
        <f t="shared" ref="O2751:Q2751" si="2755">rank(I2751,I:I)</f>
        <v>3178</v>
      </c>
      <c r="P2751" s="163">
        <f t="shared" si="2755"/>
        <v>1003</v>
      </c>
      <c r="Q2751" s="163">
        <f t="shared" si="2755"/>
        <v>2578</v>
      </c>
      <c r="R2751" s="163">
        <f>IFERROR(__xludf.DUMMYFUNCTION("RANK(M2751,filter(M:M,C:C=C2751))"),99.0)</f>
        <v>99</v>
      </c>
      <c r="S2751" s="161" t="b">
        <f t="shared" si="5"/>
        <v>0</v>
      </c>
      <c r="T2751" s="161" t="b">
        <f t="array" ref="T2751">index('Query Tool'!B:B,match(H2751,'Query Tool'!C:C,0))</f>
        <v>1</v>
      </c>
      <c r="U2751" s="161" t="b">
        <f t="array" ref="U2751">index('Query Tool'!B:B,match(C2751,'Query Tool'!C:C,0))</f>
        <v>0</v>
      </c>
      <c r="V2751" s="161" t="b">
        <f>F2751&gt;='Query Tool'!C$32</f>
        <v>1</v>
      </c>
      <c r="W2751" s="161" t="b">
        <f t="array" ref="W2751">index(Dropdowns!B:B,match(I2751,Dropdowns!A:A,0))</f>
        <v>1</v>
      </c>
      <c r="X2751" s="161" t="b">
        <f t="array" ref="X2751">index('Query Tool'!B:B,match(D2751,'Query Tool'!C:C,0))</f>
        <v>1</v>
      </c>
      <c r="Y2751" s="161" t="str">
        <f t="shared" si="6"/>
        <v>winslju01,2018-19</v>
      </c>
      <c r="Z2751" s="168">
        <f t="array" ref="Z2751">iferror(index(I:I,match($A2751&amp;","&amp;index('Year Conversion'!$A:$A,match($C2751,'Year Conversion'!$B:$B,0)),$Y:$Y,0))-I2751,"")</f>
        <v>1</v>
      </c>
      <c r="AA2751" s="168">
        <f t="array" ref="AA2751">iferror(index(J:J,match($A2751&amp;","&amp;index('Year Conversion'!$A:$A,match($C2751,'Year Conversion'!$B:$B,0)),$Y:$Y,0))-J2751,"")</f>
        <v>-1.693218658</v>
      </c>
      <c r="AB2751" s="168">
        <f t="array" ref="AB2751">iferror(index(K:K,match($A2751&amp;","&amp;index('Year Conversion'!$A:$A,match($C2751,'Year Conversion'!$B:$B,0)),$Y:$Y,0))-K2751,"")</f>
        <v>-0.6994754348</v>
      </c>
      <c r="AC2751" s="168" t="str">
        <f t="shared" si="7"/>
        <v>MIA,2018-19</v>
      </c>
    </row>
    <row r="2752">
      <c r="A2752" s="161" t="str">
        <f>IFERROR(__xludf.DUMMYFUNCTION("""COMPUTED_VALUE"""),"caulewi01")</f>
        <v>caulewi01</v>
      </c>
      <c r="B2752" s="161" t="str">
        <f>IFERROR(__xludf.DUMMYFUNCTION("""COMPUTED_VALUE"""),"Willie Cauley-Stein")</f>
        <v>Willie Cauley-Stein</v>
      </c>
      <c r="C2752" s="162" t="str">
        <f>IFERROR(__xludf.DUMMYFUNCTION("""COMPUTED_VALUE"""),"2018-19")</f>
        <v>2018-19</v>
      </c>
      <c r="D2752" s="163" t="str">
        <f>IFERROR(__xludf.DUMMYFUNCTION("""COMPUTED_VALUE"""),"SAC")</f>
        <v>SAC</v>
      </c>
      <c r="E2752" s="164" t="str">
        <f>IFERROR(__xludf.DUMMYFUNCTION("""COMPUTED_VALUE"""),"Roll + Cut Big")</f>
        <v>Roll + Cut Big</v>
      </c>
      <c r="F2752" s="164">
        <f>IFERROR(__xludf.DUMMYFUNCTION("""COMPUTED_VALUE"""),2212.54666666667)</f>
        <v>2212.546667</v>
      </c>
      <c r="G2752" s="163">
        <f>IFERROR(__xludf.DUMMYFUNCTION("""COMPUTED_VALUE"""),81.0)</f>
        <v>81</v>
      </c>
      <c r="H2752" s="163" t="str">
        <f>IFERROR(__xludf.DUMMYFUNCTION("""COMPUTED_VALUE"""),"C")</f>
        <v>C</v>
      </c>
      <c r="I2752" s="163">
        <f>IFERROR(__xludf.DUMMYFUNCTION("""COMPUTED_VALUE"""),25.0)</f>
        <v>25</v>
      </c>
      <c r="J2752" s="165">
        <f>IFERROR(__xludf.DUMMYFUNCTION("""COMPUTED_VALUE"""),1.64201913683272)</f>
        <v>1.642019137</v>
      </c>
      <c r="K2752" s="165">
        <f>IFERROR(__xludf.DUMMYFUNCTION("""COMPUTED_VALUE"""),-0.132483139755592)</f>
        <v>-0.1324831398</v>
      </c>
      <c r="L2752" s="165">
        <f>IFERROR(__xludf.DUMMYFUNCTION("""COMPUTED_VALUE"""),1.77450227658832)</f>
        <v>1.774502277</v>
      </c>
      <c r="M2752" s="166">
        <f t="shared" si="2"/>
        <v>5.851237452</v>
      </c>
      <c r="N2752" s="167">
        <f t="shared" si="3"/>
        <v>27.31539095</v>
      </c>
      <c r="O2752" s="163">
        <f t="shared" ref="O2752:Q2752" si="2756">rank(I2752,I:I)</f>
        <v>1995</v>
      </c>
      <c r="P2752" s="163">
        <f t="shared" si="2756"/>
        <v>418</v>
      </c>
      <c r="Q2752" s="163">
        <f t="shared" si="2756"/>
        <v>1446</v>
      </c>
      <c r="R2752" s="163">
        <f>IFERROR(__xludf.DUMMYFUNCTION("RANK(M2752,filter(M:M,C:C=C2752))"),49.0)</f>
        <v>49</v>
      </c>
      <c r="S2752" s="161" t="b">
        <f t="shared" si="5"/>
        <v>0</v>
      </c>
      <c r="T2752" s="161" t="b">
        <f t="array" ref="T2752">index('Query Tool'!B:B,match(H2752,'Query Tool'!C:C,0))</f>
        <v>1</v>
      </c>
      <c r="U2752" s="161" t="b">
        <f t="array" ref="U2752">index('Query Tool'!B:B,match(C2752,'Query Tool'!C:C,0))</f>
        <v>0</v>
      </c>
      <c r="V2752" s="161" t="b">
        <f>F2752&gt;='Query Tool'!C$32</f>
        <v>1</v>
      </c>
      <c r="W2752" s="161" t="b">
        <f t="array" ref="W2752">index(Dropdowns!B:B,match(I2752,Dropdowns!A:A,0))</f>
        <v>1</v>
      </c>
      <c r="X2752" s="161" t="b">
        <f t="array" ref="X2752">index('Query Tool'!B:B,match(D2752,'Query Tool'!C:C,0))</f>
        <v>1</v>
      </c>
      <c r="Y2752" s="161" t="str">
        <f t="shared" si="6"/>
        <v>caulewi01,2018-19</v>
      </c>
      <c r="Z2752" s="168">
        <f t="array" ref="Z2752">iferror(index(I:I,match($A2752&amp;","&amp;index('Year Conversion'!$A:$A,match($C2752,'Year Conversion'!$B:$B,0)),$Y:$Y,0))-I2752,"")</f>
        <v>1</v>
      </c>
      <c r="AA2752" s="168">
        <f t="array" ref="AA2752">iferror(index(J:J,match($A2752&amp;","&amp;index('Year Conversion'!$A:$A,match($C2752,'Year Conversion'!$B:$B,0)),$Y:$Y,0))-J2752,"")</f>
        <v>-0.9257616178</v>
      </c>
      <c r="AB2752" s="168">
        <f t="array" ref="AB2752">iferror(index(K:K,match($A2752&amp;","&amp;index('Year Conversion'!$A:$A,match($C2752,'Year Conversion'!$B:$B,0)),$Y:$Y,0))-K2752,"")</f>
        <v>-2.204783344</v>
      </c>
      <c r="AC2752" s="168" t="str">
        <f t="shared" si="7"/>
        <v>SAC,2018-19</v>
      </c>
    </row>
    <row r="2753">
      <c r="A2753" s="161" t="str">
        <f>IFERROR(__xludf.DUMMYFUNCTION("""COMPUTED_VALUE"""),"oubreke01")</f>
        <v>oubreke01</v>
      </c>
      <c r="B2753" s="161" t="str">
        <f>IFERROR(__xludf.DUMMYFUNCTION("""COMPUTED_VALUE"""),"Kelly Oubre Jr.")</f>
        <v>Kelly Oubre Jr.</v>
      </c>
      <c r="C2753" s="162" t="str">
        <f>IFERROR(__xludf.DUMMYFUNCTION("""COMPUTED_VALUE"""),"2018-19")</f>
        <v>2018-19</v>
      </c>
      <c r="D2753" s="163" t="str">
        <f>IFERROR(__xludf.DUMMYFUNCTION("""COMPUTED_VALUE"""),"TOT")</f>
        <v>TOT</v>
      </c>
      <c r="E2753" s="164" t="str">
        <f>IFERROR(__xludf.DUMMYFUNCTION("""COMPUTED_VALUE"""),"Stationary Shooter")</f>
        <v>Stationary Shooter</v>
      </c>
      <c r="F2753" s="164">
        <f>IFERROR(__xludf.DUMMYFUNCTION("""COMPUTED_VALUE"""),1934.79333333333)</f>
        <v>1934.793333</v>
      </c>
      <c r="G2753" s="163">
        <f>IFERROR(__xludf.DUMMYFUNCTION("""COMPUTED_VALUE"""),69.0)</f>
        <v>69</v>
      </c>
      <c r="H2753" s="163" t="str">
        <f>IFERROR(__xludf.DUMMYFUNCTION("""COMPUTED_VALUE"""),"SF")</f>
        <v>SF</v>
      </c>
      <c r="I2753" s="163">
        <f>IFERROR(__xludf.DUMMYFUNCTION("""COMPUTED_VALUE"""),23.0)</f>
        <v>23</v>
      </c>
      <c r="J2753" s="165">
        <f>IFERROR(__xludf.DUMMYFUNCTION("""COMPUTED_VALUE"""),-0.588406918550358)</f>
        <v>-0.5884069186</v>
      </c>
      <c r="K2753" s="165">
        <f>IFERROR(__xludf.DUMMYFUNCTION("""COMPUTED_VALUE"""),-0.0274873877280248)</f>
        <v>-0.02748738773</v>
      </c>
      <c r="L2753" s="165">
        <f>IFERROR(__xludf.DUMMYFUNCTION("""COMPUTED_VALUE"""),-0.560919530822334)</f>
        <v>-0.5609195308</v>
      </c>
      <c r="M2753" s="166">
        <f t="shared" si="2"/>
        <v>2.215646779</v>
      </c>
      <c r="N2753" s="167">
        <f t="shared" si="3"/>
        <v>28.04048309</v>
      </c>
      <c r="O2753" s="163">
        <f t="shared" ref="O2753:Q2753" si="2757">rank(I2753,I:I)</f>
        <v>2765</v>
      </c>
      <c r="P2753" s="163">
        <f t="shared" si="2757"/>
        <v>1977</v>
      </c>
      <c r="Q2753" s="163">
        <f t="shared" si="2757"/>
        <v>1234</v>
      </c>
      <c r="R2753" s="163">
        <f>IFERROR(__xludf.DUMMYFUNCTION("RANK(M2753,filter(M:M,C:C=C2753))"),142.0)</f>
        <v>142</v>
      </c>
      <c r="S2753" s="161" t="b">
        <f t="shared" si="5"/>
        <v>0</v>
      </c>
      <c r="T2753" s="161" t="b">
        <f t="array" ref="T2753">index('Query Tool'!B:B,match(H2753,'Query Tool'!C:C,0))</f>
        <v>1</v>
      </c>
      <c r="U2753" s="161" t="b">
        <f t="array" ref="U2753">index('Query Tool'!B:B,match(C2753,'Query Tool'!C:C,0))</f>
        <v>0</v>
      </c>
      <c r="V2753" s="161" t="b">
        <f>F2753&gt;='Query Tool'!C$32</f>
        <v>1</v>
      </c>
      <c r="W2753" s="161" t="b">
        <f t="array" ref="W2753">index(Dropdowns!B:B,match(I2753,Dropdowns!A:A,0))</f>
        <v>1</v>
      </c>
      <c r="X2753" s="161" t="b">
        <f t="array" ref="X2753">index('Query Tool'!B:B,match(D2753,'Query Tool'!C:C,0))</f>
        <v>1</v>
      </c>
      <c r="Y2753" s="161" t="str">
        <f t="shared" si="6"/>
        <v>oubreke01,2018-19</v>
      </c>
      <c r="Z2753" s="168">
        <f t="array" ref="Z2753">iferror(index(I:I,match($A2753&amp;","&amp;index('Year Conversion'!$A:$A,match($C2753,'Year Conversion'!$B:$B,0)),$Y:$Y,0))-I2753,"")</f>
        <v>1</v>
      </c>
      <c r="AA2753" s="168">
        <f t="array" ref="AA2753">iferror(index(J:J,match($A2753&amp;","&amp;index('Year Conversion'!$A:$A,match($C2753,'Year Conversion'!$B:$B,0)),$Y:$Y,0))-J2753,"")</f>
        <v>0.6381825087</v>
      </c>
      <c r="AB2753" s="168">
        <f t="array" ref="AB2753">iferror(index(K:K,match($A2753&amp;","&amp;index('Year Conversion'!$A:$A,match($C2753,'Year Conversion'!$B:$B,0)),$Y:$Y,0))-K2753,"")</f>
        <v>-0.1428391608</v>
      </c>
      <c r="AC2753" s="168" t="str">
        <f t="shared" si="7"/>
        <v>TOT,2018-19</v>
      </c>
    </row>
    <row r="2754">
      <c r="A2754" s="161" t="str">
        <f>IFERROR(__xludf.DUMMYFUNCTION("""COMPUTED_VALUE"""),"kaminfr01")</f>
        <v>kaminfr01</v>
      </c>
      <c r="B2754" s="161" t="str">
        <f>IFERROR(__xludf.DUMMYFUNCTION("""COMPUTED_VALUE"""),"Frank Kaminsky")</f>
        <v>Frank Kaminsky</v>
      </c>
      <c r="C2754" s="162" t="str">
        <f>IFERROR(__xludf.DUMMYFUNCTION("""COMPUTED_VALUE"""),"2018-19")</f>
        <v>2018-19</v>
      </c>
      <c r="D2754" s="163" t="str">
        <f>IFERROR(__xludf.DUMMYFUNCTION("""COMPUTED_VALUE"""),"CHO")</f>
        <v>CHO</v>
      </c>
      <c r="E2754" s="164" t="str">
        <f>IFERROR(__xludf.DUMMYFUNCTION("""COMPUTED_VALUE"""),"Stretch Big")</f>
        <v>Stretch Big</v>
      </c>
      <c r="F2754" s="164">
        <f>IFERROR(__xludf.DUMMYFUNCTION("""COMPUTED_VALUE"""),754.69)</f>
        <v>754.69</v>
      </c>
      <c r="G2754" s="163">
        <f>IFERROR(__xludf.DUMMYFUNCTION("""COMPUTED_VALUE"""),47.0)</f>
        <v>47</v>
      </c>
      <c r="H2754" s="163" t="str">
        <f>IFERROR(__xludf.DUMMYFUNCTION("""COMPUTED_VALUE"""),"C")</f>
        <v>C</v>
      </c>
      <c r="I2754" s="163">
        <f>IFERROR(__xludf.DUMMYFUNCTION("""COMPUTED_VALUE"""),25.0)</f>
        <v>25</v>
      </c>
      <c r="J2754" s="165">
        <f>IFERROR(__xludf.DUMMYFUNCTION("""COMPUTED_VALUE"""),1.17653876464381)</f>
        <v>1.176538765</v>
      </c>
      <c r="K2754" s="165">
        <f>IFERROR(__xludf.DUMMYFUNCTION("""COMPUTED_VALUE"""),1.03641875705603)</f>
        <v>1.036418757</v>
      </c>
      <c r="L2754" s="165">
        <f>IFERROR(__xludf.DUMMYFUNCTION("""COMPUTED_VALUE"""),0.140120007587785)</f>
        <v>0.1401200076</v>
      </c>
      <c r="M2754" s="166">
        <f t="shared" si="2"/>
        <v>1.760959918</v>
      </c>
      <c r="N2754" s="167">
        <f t="shared" si="3"/>
        <v>16.05723404</v>
      </c>
      <c r="O2754" s="163">
        <f t="shared" ref="O2754:Q2754" si="2758">rank(I2754,I:I)</f>
        <v>1995</v>
      </c>
      <c r="P2754" s="163">
        <f t="shared" si="2758"/>
        <v>580</v>
      </c>
      <c r="Q2754" s="163">
        <f t="shared" si="2758"/>
        <v>487</v>
      </c>
      <c r="R2754" s="163">
        <f>IFERROR(__xludf.DUMMYFUNCTION("RANK(M2754,filter(M:M,C:C=C2754))"),168.0)</f>
        <v>168</v>
      </c>
      <c r="S2754" s="161" t="b">
        <f t="shared" si="5"/>
        <v>0</v>
      </c>
      <c r="T2754" s="161" t="b">
        <f t="array" ref="T2754">index('Query Tool'!B:B,match(H2754,'Query Tool'!C:C,0))</f>
        <v>1</v>
      </c>
      <c r="U2754" s="161" t="b">
        <f t="array" ref="U2754">index('Query Tool'!B:B,match(C2754,'Query Tool'!C:C,0))</f>
        <v>0</v>
      </c>
      <c r="V2754" s="161" t="b">
        <f>F2754&gt;='Query Tool'!C$32</f>
        <v>1</v>
      </c>
      <c r="W2754" s="161" t="b">
        <f t="array" ref="W2754">index(Dropdowns!B:B,match(I2754,Dropdowns!A:A,0))</f>
        <v>1</v>
      </c>
      <c r="X2754" s="161" t="b">
        <f t="array" ref="X2754">index('Query Tool'!B:B,match(D2754,'Query Tool'!C:C,0))</f>
        <v>1</v>
      </c>
      <c r="Y2754" s="161" t="str">
        <f t="shared" si="6"/>
        <v>kaminfr01,2018-19</v>
      </c>
      <c r="Z2754" s="168">
        <f t="array" ref="Z2754">iferror(index(I:I,match($A2754&amp;","&amp;index('Year Conversion'!$A:$A,match($C2754,'Year Conversion'!$B:$B,0)),$Y:$Y,0))-I2754,"")</f>
        <v>1</v>
      </c>
      <c r="AA2754" s="168">
        <f t="array" ref="AA2754">iferror(index(J:J,match($A2754&amp;","&amp;index('Year Conversion'!$A:$A,match($C2754,'Year Conversion'!$B:$B,0)),$Y:$Y,0))-J2754,"")</f>
        <v>-2.398515998</v>
      </c>
      <c r="AB2754" s="168">
        <f t="array" ref="AB2754">iferror(index(K:K,match($A2754&amp;","&amp;index('Year Conversion'!$A:$A,match($C2754,'Year Conversion'!$B:$B,0)),$Y:$Y,0))-K2754,"")</f>
        <v>-1.740316351</v>
      </c>
      <c r="AC2754" s="168" t="str">
        <f t="shared" si="7"/>
        <v>CHO,2018-19</v>
      </c>
    </row>
    <row r="2755">
      <c r="A2755" s="161" t="str">
        <f>IFERROR(__xludf.DUMMYFUNCTION("""COMPUTED_VALUE"""),"bookede01")</f>
        <v>bookede01</v>
      </c>
      <c r="B2755" s="161" t="str">
        <f>IFERROR(__xludf.DUMMYFUNCTION("""COMPUTED_VALUE"""),"Devin Booker")</f>
        <v>Devin Booker</v>
      </c>
      <c r="C2755" s="162" t="str">
        <f>IFERROR(__xludf.DUMMYFUNCTION("""COMPUTED_VALUE"""),"2018-19")</f>
        <v>2018-19</v>
      </c>
      <c r="D2755" s="163" t="str">
        <f>IFERROR(__xludf.DUMMYFUNCTION("""COMPUTED_VALUE"""),"PHO")</f>
        <v>PHO</v>
      </c>
      <c r="E2755" s="164" t="str">
        <f>IFERROR(__xludf.DUMMYFUNCTION("""COMPUTED_VALUE"""),"Shot Creator")</f>
        <v>Shot Creator</v>
      </c>
      <c r="F2755" s="164">
        <f>IFERROR(__xludf.DUMMYFUNCTION("""COMPUTED_VALUE"""),2242.11833333333)</f>
        <v>2242.118333</v>
      </c>
      <c r="G2755" s="163">
        <f>IFERROR(__xludf.DUMMYFUNCTION("""COMPUTED_VALUE"""),64.0)</f>
        <v>64</v>
      </c>
      <c r="H2755" s="163" t="str">
        <f>IFERROR(__xludf.DUMMYFUNCTION("""COMPUTED_VALUE"""),"SG")</f>
        <v>SG</v>
      </c>
      <c r="I2755" s="163">
        <f>IFERROR(__xludf.DUMMYFUNCTION("""COMPUTED_VALUE"""),22.0)</f>
        <v>22</v>
      </c>
      <c r="J2755" s="165">
        <f>IFERROR(__xludf.DUMMYFUNCTION("""COMPUTED_VALUE"""),-0.129141708565289)</f>
        <v>-0.1291417086</v>
      </c>
      <c r="K2755" s="165">
        <f>IFERROR(__xludf.DUMMYFUNCTION("""COMPUTED_VALUE"""),2.57023709250678)</f>
        <v>2.570237093</v>
      </c>
      <c r="L2755" s="165">
        <f>IFERROR(__xludf.DUMMYFUNCTION("""COMPUTED_VALUE"""),-2.69937880107207)</f>
        <v>-2.699378801</v>
      </c>
      <c r="M2755" s="166">
        <f t="shared" si="2"/>
        <v>3.26139129</v>
      </c>
      <c r="N2755" s="167">
        <f t="shared" si="3"/>
        <v>35.03309896</v>
      </c>
      <c r="O2755" s="163">
        <f t="shared" ref="O2755:Q2755" si="2759">rank(I2755,I:I)</f>
        <v>3178</v>
      </c>
      <c r="P2755" s="163">
        <f t="shared" si="2759"/>
        <v>1415</v>
      </c>
      <c r="Q2755" s="163">
        <f t="shared" si="2759"/>
        <v>151</v>
      </c>
      <c r="R2755" s="163">
        <f>IFERROR(__xludf.DUMMYFUNCTION("RANK(M2755,filter(M:M,C:C=C2755))"),108.0)</f>
        <v>108</v>
      </c>
      <c r="S2755" s="161" t="b">
        <f t="shared" si="5"/>
        <v>0</v>
      </c>
      <c r="T2755" s="161" t="b">
        <f t="array" ref="T2755">index('Query Tool'!B:B,match(H2755,'Query Tool'!C:C,0))</f>
        <v>1</v>
      </c>
      <c r="U2755" s="161" t="b">
        <f t="array" ref="U2755">index('Query Tool'!B:B,match(C2755,'Query Tool'!C:C,0))</f>
        <v>0</v>
      </c>
      <c r="V2755" s="161" t="b">
        <f>F2755&gt;='Query Tool'!C$32</f>
        <v>1</v>
      </c>
      <c r="W2755" s="161" t="b">
        <f t="array" ref="W2755">index(Dropdowns!B:B,match(I2755,Dropdowns!A:A,0))</f>
        <v>1</v>
      </c>
      <c r="X2755" s="161" t="b">
        <f t="array" ref="X2755">index('Query Tool'!B:B,match(D2755,'Query Tool'!C:C,0))</f>
        <v>1</v>
      </c>
      <c r="Y2755" s="161" t="str">
        <f t="shared" si="6"/>
        <v>bookede01,2018-19</v>
      </c>
      <c r="Z2755" s="168">
        <f t="array" ref="Z2755">iferror(index(I:I,match($A2755&amp;","&amp;index('Year Conversion'!$A:$A,match($C2755,'Year Conversion'!$B:$B,0)),$Y:$Y,0))-I2755,"")</f>
        <v>1</v>
      </c>
      <c r="AA2755" s="168">
        <f t="array" ref="AA2755">iferror(index(J:J,match($A2755&amp;","&amp;index('Year Conversion'!$A:$A,match($C2755,'Year Conversion'!$B:$B,0)),$Y:$Y,0))-J2755,"")</f>
        <v>1.737479889</v>
      </c>
      <c r="AB2755" s="168">
        <f t="array" ref="AB2755">iferror(index(K:K,match($A2755&amp;","&amp;index('Year Conversion'!$A:$A,match($C2755,'Year Conversion'!$B:$B,0)),$Y:$Y,0))-K2755,"")</f>
        <v>0.7226674095</v>
      </c>
      <c r="AC2755" s="168" t="str">
        <f t="shared" si="7"/>
        <v>PHO,2018-19</v>
      </c>
    </row>
    <row r="2756">
      <c r="A2756" s="161" t="str">
        <f>IFERROR(__xludf.DUMMYFUNCTION("""COMPUTED_VALUE"""),"payneca01")</f>
        <v>payneca01</v>
      </c>
      <c r="B2756" s="161" t="str">
        <f>IFERROR(__xludf.DUMMYFUNCTION("""COMPUTED_VALUE"""),"Cameron Payne")</f>
        <v>Cameron Payne</v>
      </c>
      <c r="C2756" s="162" t="str">
        <f>IFERROR(__xludf.DUMMYFUNCTION("""COMPUTED_VALUE"""),"2018-19")</f>
        <v>2018-19</v>
      </c>
      <c r="D2756" s="163" t="str">
        <f>IFERROR(__xludf.DUMMYFUNCTION("""COMPUTED_VALUE"""),"TOT")</f>
        <v>TOT</v>
      </c>
      <c r="E2756" s="164" t="str">
        <f>IFERROR(__xludf.DUMMYFUNCTION("""COMPUTED_VALUE"""),"Secondary Ball Handler")</f>
        <v>Secondary Ball Handler</v>
      </c>
      <c r="F2756" s="164">
        <f>IFERROR(__xludf.DUMMYFUNCTION("""COMPUTED_VALUE"""),712.225)</f>
        <v>712.225</v>
      </c>
      <c r="G2756" s="163">
        <f>IFERROR(__xludf.DUMMYFUNCTION("""COMPUTED_VALUE"""),40.0)</f>
        <v>40</v>
      </c>
      <c r="H2756" s="163" t="str">
        <f>IFERROR(__xludf.DUMMYFUNCTION("""COMPUTED_VALUE"""),"PG")</f>
        <v>PG</v>
      </c>
      <c r="I2756" s="163">
        <f>IFERROR(__xludf.DUMMYFUNCTION("""COMPUTED_VALUE"""),24.0)</f>
        <v>24</v>
      </c>
      <c r="J2756" s="165">
        <f>IFERROR(__xludf.DUMMYFUNCTION("""COMPUTED_VALUE"""),-1.29010887673387)</f>
        <v>-1.290108877</v>
      </c>
      <c r="K2756" s="165">
        <f>IFERROR(__xludf.DUMMYFUNCTION("""COMPUTED_VALUE"""),-1.44038669860048)</f>
        <v>-1.440386699</v>
      </c>
      <c r="L2756" s="165">
        <f>IFERROR(__xludf.DUMMYFUNCTION("""COMPUTED_VALUE"""),0.150277821866607)</f>
        <v>0.1502778219</v>
      </c>
      <c r="M2756" s="166">
        <f t="shared" si="2"/>
        <v>0.4799640718</v>
      </c>
      <c r="N2756" s="167">
        <f t="shared" si="3"/>
        <v>17.805625</v>
      </c>
      <c r="O2756" s="163">
        <f t="shared" ref="O2756:Q2756" si="2760">rank(I2756,I:I)</f>
        <v>2361</v>
      </c>
      <c r="P2756" s="163">
        <f t="shared" si="2760"/>
        <v>2851</v>
      </c>
      <c r="Q2756" s="163">
        <f t="shared" si="2760"/>
        <v>3291</v>
      </c>
      <c r="R2756" s="163">
        <f>IFERROR(__xludf.DUMMYFUNCTION("RANK(M2756,filter(M:M,C:C=C2756))"),291.0)</f>
        <v>291</v>
      </c>
      <c r="S2756" s="161" t="b">
        <f t="shared" si="5"/>
        <v>0</v>
      </c>
      <c r="T2756" s="161" t="b">
        <f t="array" ref="T2756">index('Query Tool'!B:B,match(H2756,'Query Tool'!C:C,0))</f>
        <v>1</v>
      </c>
      <c r="U2756" s="161" t="b">
        <f t="array" ref="U2756">index('Query Tool'!B:B,match(C2756,'Query Tool'!C:C,0))</f>
        <v>0</v>
      </c>
      <c r="V2756" s="161" t="b">
        <f>F2756&gt;='Query Tool'!C$32</f>
        <v>1</v>
      </c>
      <c r="W2756" s="161" t="b">
        <f t="array" ref="W2756">index(Dropdowns!B:B,match(I2756,Dropdowns!A:A,0))</f>
        <v>1</v>
      </c>
      <c r="X2756" s="161" t="b">
        <f t="array" ref="X2756">index('Query Tool'!B:B,match(D2756,'Query Tool'!C:C,0))</f>
        <v>1</v>
      </c>
      <c r="Y2756" s="161" t="str">
        <f t="shared" si="6"/>
        <v>payneca01,2018-19</v>
      </c>
      <c r="Z2756" s="168">
        <f t="array" ref="Z2756">iferror(index(I:I,match($A2756&amp;","&amp;index('Year Conversion'!$A:$A,match($C2756,'Year Conversion'!$B:$B,0)),$Y:$Y,0))-I2756,"")</f>
        <v>1</v>
      </c>
      <c r="AA2756" s="168">
        <f t="array" ref="AA2756">iferror(index(J:J,match($A2756&amp;","&amp;index('Year Conversion'!$A:$A,match($C2756,'Year Conversion'!$B:$B,0)),$Y:$Y,0))-J2756,"")</f>
        <v>1.58860468</v>
      </c>
      <c r="AB2756" s="168">
        <f t="array" ref="AB2756">iferror(index(K:K,match($A2756&amp;","&amp;index('Year Conversion'!$A:$A,match($C2756,'Year Conversion'!$B:$B,0)),$Y:$Y,0))-K2756,"")</f>
        <v>1.057855161</v>
      </c>
      <c r="AC2756" s="168" t="str">
        <f t="shared" si="7"/>
        <v>TOT,2018-19</v>
      </c>
    </row>
    <row r="2757">
      <c r="A2757" s="161" t="str">
        <f>IFERROR(__xludf.DUMMYFUNCTION("""COMPUTED_VALUE"""),"turnemy01")</f>
        <v>turnemy01</v>
      </c>
      <c r="B2757" s="161" t="str">
        <f>IFERROR(__xludf.DUMMYFUNCTION("""COMPUTED_VALUE"""),"Myles Turner")</f>
        <v>Myles Turner</v>
      </c>
      <c r="C2757" s="162" t="str">
        <f>IFERROR(__xludf.DUMMYFUNCTION("""COMPUTED_VALUE"""),"2018-19")</f>
        <v>2018-19</v>
      </c>
      <c r="D2757" s="163" t="str">
        <f>IFERROR(__xludf.DUMMYFUNCTION("""COMPUTED_VALUE"""),"IND")</f>
        <v>IND</v>
      </c>
      <c r="E2757" s="164" t="str">
        <f>IFERROR(__xludf.DUMMYFUNCTION("""COMPUTED_VALUE"""),"Stretch Big")</f>
        <v>Stretch Big</v>
      </c>
      <c r="F2757" s="164">
        <f>IFERROR(__xludf.DUMMYFUNCTION("""COMPUTED_VALUE"""),2118.81666666667)</f>
        <v>2118.816667</v>
      </c>
      <c r="G2757" s="163">
        <f>IFERROR(__xludf.DUMMYFUNCTION("""COMPUTED_VALUE"""),74.0)</f>
        <v>74</v>
      </c>
      <c r="H2757" s="163" t="str">
        <f>IFERROR(__xludf.DUMMYFUNCTION("""COMPUTED_VALUE"""),"C")</f>
        <v>C</v>
      </c>
      <c r="I2757" s="163">
        <f>IFERROR(__xludf.DUMMYFUNCTION("""COMPUTED_VALUE"""),22.0)</f>
        <v>22</v>
      </c>
      <c r="J2757" s="165">
        <f>IFERROR(__xludf.DUMMYFUNCTION("""COMPUTED_VALUE"""),2.15550147775176)</f>
        <v>2.155501478</v>
      </c>
      <c r="K2757" s="165">
        <f>IFERROR(__xludf.DUMMYFUNCTION("""COMPUTED_VALUE"""),-1.88129514610718)</f>
        <v>-1.881295146</v>
      </c>
      <c r="L2757" s="165">
        <f>IFERROR(__xludf.DUMMYFUNCTION("""COMPUTED_VALUE"""),4.03679662385894)</f>
        <v>4.036796624</v>
      </c>
      <c r="M2757" s="166">
        <f t="shared" si="2"/>
        <v>6.32588839</v>
      </c>
      <c r="N2757" s="167">
        <f t="shared" si="3"/>
        <v>28.63265766</v>
      </c>
      <c r="O2757" s="163">
        <f t="shared" ref="O2757:Q2757" si="2761">rank(I2757,I:I)</f>
        <v>3178</v>
      </c>
      <c r="P2757" s="163">
        <f t="shared" si="2761"/>
        <v>281</v>
      </c>
      <c r="Q2757" s="163">
        <f t="shared" si="2761"/>
        <v>3630</v>
      </c>
      <c r="R2757" s="163">
        <f>IFERROR(__xludf.DUMMYFUNCTION("RANK(M2757,filter(M:M,C:C=C2757))"),39.0)</f>
        <v>39</v>
      </c>
      <c r="S2757" s="161" t="b">
        <f t="shared" si="5"/>
        <v>0</v>
      </c>
      <c r="T2757" s="161" t="b">
        <f t="array" ref="T2757">index('Query Tool'!B:B,match(H2757,'Query Tool'!C:C,0))</f>
        <v>1</v>
      </c>
      <c r="U2757" s="161" t="b">
        <f t="array" ref="U2757">index('Query Tool'!B:B,match(C2757,'Query Tool'!C:C,0))</f>
        <v>0</v>
      </c>
      <c r="V2757" s="161" t="b">
        <f>F2757&gt;='Query Tool'!C$32</f>
        <v>1</v>
      </c>
      <c r="W2757" s="161" t="b">
        <f t="array" ref="W2757">index(Dropdowns!B:B,match(I2757,Dropdowns!A:A,0))</f>
        <v>1</v>
      </c>
      <c r="X2757" s="161" t="b">
        <f t="array" ref="X2757">index('Query Tool'!B:B,match(D2757,'Query Tool'!C:C,0))</f>
        <v>1</v>
      </c>
      <c r="Y2757" s="161" t="str">
        <f t="shared" si="6"/>
        <v>turnemy01,2018-19</v>
      </c>
      <c r="Z2757" s="168">
        <f t="array" ref="Z2757">iferror(index(I:I,match($A2757&amp;","&amp;index('Year Conversion'!$A:$A,match($C2757,'Year Conversion'!$B:$B,0)),$Y:$Y,0))-I2757,"")</f>
        <v>1</v>
      </c>
      <c r="AA2757" s="168">
        <f t="array" ref="AA2757">iferror(index(J:J,match($A2757&amp;","&amp;index('Year Conversion'!$A:$A,match($C2757,'Year Conversion'!$B:$B,0)),$Y:$Y,0))-J2757,"")</f>
        <v>-0.946483134</v>
      </c>
      <c r="AB2757" s="168">
        <f t="array" ref="AB2757">iferror(index(K:K,match($A2757&amp;","&amp;index('Year Conversion'!$A:$A,match($C2757,'Year Conversion'!$B:$B,0)),$Y:$Y,0))-K2757,"")</f>
        <v>0.5186502034</v>
      </c>
      <c r="AC2757" s="168" t="str">
        <f t="shared" si="7"/>
        <v>IND,2018-19</v>
      </c>
    </row>
    <row r="2758">
      <c r="A2758" s="161" t="str">
        <f>IFERROR(__xludf.DUMMYFUNCTION("""COMPUTED_VALUE"""),"lylestr01")</f>
        <v>lylestr01</v>
      </c>
      <c r="B2758" s="161" t="str">
        <f>IFERROR(__xludf.DUMMYFUNCTION("""COMPUTED_VALUE"""),"Trey Lyles")</f>
        <v>Trey Lyles</v>
      </c>
      <c r="C2758" s="162" t="str">
        <f>IFERROR(__xludf.DUMMYFUNCTION("""COMPUTED_VALUE"""),"2018-19")</f>
        <v>2018-19</v>
      </c>
      <c r="D2758" s="163" t="str">
        <f>IFERROR(__xludf.DUMMYFUNCTION("""COMPUTED_VALUE"""),"DEN")</f>
        <v>DEN</v>
      </c>
      <c r="E2758" s="164" t="str">
        <f>IFERROR(__xludf.DUMMYFUNCTION("""COMPUTED_VALUE"""),"Stretch Big")</f>
        <v>Stretch Big</v>
      </c>
      <c r="F2758" s="164">
        <f>IFERROR(__xludf.DUMMYFUNCTION("""COMPUTED_VALUE"""),1119.695)</f>
        <v>1119.695</v>
      </c>
      <c r="G2758" s="163">
        <f>IFERROR(__xludf.DUMMYFUNCTION("""COMPUTED_VALUE"""),64.0)</f>
        <v>64</v>
      </c>
      <c r="H2758" s="163" t="str">
        <f>IFERROR(__xludf.DUMMYFUNCTION("""COMPUTED_VALUE"""),"PF")</f>
        <v>PF</v>
      </c>
      <c r="I2758" s="163">
        <f>IFERROR(__xludf.DUMMYFUNCTION("""COMPUTED_VALUE"""),23.0)</f>
        <v>23</v>
      </c>
      <c r="J2758" s="165">
        <f>IFERROR(__xludf.DUMMYFUNCTION("""COMPUTED_VALUE"""),-0.720882817418453)</f>
        <v>-0.7208828174</v>
      </c>
      <c r="K2758" s="165">
        <f>IFERROR(__xludf.DUMMYFUNCTION("""COMPUTED_VALUE"""),-0.33660304279882)</f>
        <v>-0.3366030428</v>
      </c>
      <c r="L2758" s="165">
        <f>IFERROR(__xludf.DUMMYFUNCTION("""COMPUTED_VALUE"""),-0.384279774619633)</f>
        <v>-0.3842797746</v>
      </c>
      <c r="M2758" s="166">
        <f t="shared" si="2"/>
        <v>1.182403934</v>
      </c>
      <c r="N2758" s="167">
        <f t="shared" si="3"/>
        <v>17.49523438</v>
      </c>
      <c r="O2758" s="163">
        <f t="shared" ref="O2758:Q2758" si="2762">rank(I2758,I:I)</f>
        <v>2765</v>
      </c>
      <c r="P2758" s="163">
        <f t="shared" si="2762"/>
        <v>2179</v>
      </c>
      <c r="Q2758" s="163">
        <f t="shared" si="2762"/>
        <v>1828</v>
      </c>
      <c r="R2758" s="163">
        <f>IFERROR(__xludf.DUMMYFUNCTION("RANK(M2758,filter(M:M,C:C=C2758))"),210.0)</f>
        <v>210</v>
      </c>
      <c r="S2758" s="161" t="b">
        <f t="shared" si="5"/>
        <v>0</v>
      </c>
      <c r="T2758" s="161" t="b">
        <f t="array" ref="T2758">index('Query Tool'!B:B,match(H2758,'Query Tool'!C:C,0))</f>
        <v>1</v>
      </c>
      <c r="U2758" s="161" t="b">
        <f t="array" ref="U2758">index('Query Tool'!B:B,match(C2758,'Query Tool'!C:C,0))</f>
        <v>0</v>
      </c>
      <c r="V2758" s="161" t="b">
        <f>F2758&gt;='Query Tool'!C$32</f>
        <v>1</v>
      </c>
      <c r="W2758" s="161" t="b">
        <f t="array" ref="W2758">index(Dropdowns!B:B,match(I2758,Dropdowns!A:A,0))</f>
        <v>1</v>
      </c>
      <c r="X2758" s="161" t="b">
        <f t="array" ref="X2758">index('Query Tool'!B:B,match(D2758,'Query Tool'!C:C,0))</f>
        <v>1</v>
      </c>
      <c r="Y2758" s="161" t="str">
        <f t="shared" si="6"/>
        <v>lylestr01,2018-19</v>
      </c>
      <c r="Z2758" s="168">
        <f t="array" ref="Z2758">iferror(index(I:I,match($A2758&amp;","&amp;index('Year Conversion'!$A:$A,match($C2758,'Year Conversion'!$B:$B,0)),$Y:$Y,0))-I2758,"")</f>
        <v>1</v>
      </c>
      <c r="AA2758" s="168">
        <f t="array" ref="AA2758">iferror(index(J:J,match($A2758&amp;","&amp;index('Year Conversion'!$A:$A,match($C2758,'Year Conversion'!$B:$B,0)),$Y:$Y,0))-J2758,"")</f>
        <v>1.465763125</v>
      </c>
      <c r="AB2758" s="168">
        <f t="array" ref="AB2758">iferror(index(K:K,match($A2758&amp;","&amp;index('Year Conversion'!$A:$A,match($C2758,'Year Conversion'!$B:$B,0)),$Y:$Y,0))-K2758,"")</f>
        <v>0.02047952831</v>
      </c>
      <c r="AC2758" s="168" t="str">
        <f t="shared" si="7"/>
        <v>DEN,2018-19</v>
      </c>
    </row>
    <row r="2759">
      <c r="A2759" s="161" t="str">
        <f>IFERROR(__xludf.DUMMYFUNCTION("""COMPUTED_VALUE"""),"johnsst04")</f>
        <v>johnsst04</v>
      </c>
      <c r="B2759" s="161" t="str">
        <f>IFERROR(__xludf.DUMMYFUNCTION("""COMPUTED_VALUE"""),"Stanley Johnson")</f>
        <v>Stanley Johnson</v>
      </c>
      <c r="C2759" s="162" t="str">
        <f>IFERROR(__xludf.DUMMYFUNCTION("""COMPUTED_VALUE"""),"2018-19")</f>
        <v>2018-19</v>
      </c>
      <c r="D2759" s="163" t="str">
        <f>IFERROR(__xludf.DUMMYFUNCTION("""COMPUTED_VALUE"""),"TOT")</f>
        <v>TOT</v>
      </c>
      <c r="E2759" s="164" t="str">
        <f>IFERROR(__xludf.DUMMYFUNCTION("""COMPUTED_VALUE"""),"Stationary Shooter")</f>
        <v>Stationary Shooter</v>
      </c>
      <c r="F2759" s="164">
        <f>IFERROR(__xludf.DUMMYFUNCTION("""COMPUTED_VALUE"""),1207.37)</f>
        <v>1207.37</v>
      </c>
      <c r="G2759" s="163">
        <f>IFERROR(__xludf.DUMMYFUNCTION("""COMPUTED_VALUE"""),66.0)</f>
        <v>66</v>
      </c>
      <c r="H2759" s="163" t="str">
        <f>IFERROR(__xludf.DUMMYFUNCTION("""COMPUTED_VALUE"""),"SF")</f>
        <v>SF</v>
      </c>
      <c r="I2759" s="163">
        <f>IFERROR(__xludf.DUMMYFUNCTION("""COMPUTED_VALUE"""),22.0)</f>
        <v>22</v>
      </c>
      <c r="J2759" s="165">
        <f>IFERROR(__xludf.DUMMYFUNCTION("""COMPUTED_VALUE"""),-2.04887714610142)</f>
        <v>-2.048877146</v>
      </c>
      <c r="K2759" s="165">
        <f>IFERROR(__xludf.DUMMYFUNCTION("""COMPUTED_VALUE"""),-2.69638384605269)</f>
        <v>-2.696383846</v>
      </c>
      <c r="L2759" s="165">
        <f>IFERROR(__xludf.DUMMYFUNCTION("""COMPUTED_VALUE"""),0.647506699951265)</f>
        <v>0.6475067</v>
      </c>
      <c r="M2759" s="166">
        <f t="shared" si="2"/>
        <v>0.2032415923</v>
      </c>
      <c r="N2759" s="167">
        <f t="shared" si="3"/>
        <v>18.29348485</v>
      </c>
      <c r="O2759" s="163">
        <f t="shared" ref="O2759:Q2759" si="2763">rank(I2759,I:I)</f>
        <v>3178</v>
      </c>
      <c r="P2759" s="163">
        <f t="shared" si="2763"/>
        <v>3516</v>
      </c>
      <c r="Q2759" s="163">
        <f t="shared" si="2763"/>
        <v>3931</v>
      </c>
      <c r="R2759" s="163">
        <f>IFERROR(__xludf.DUMMYFUNCTION("RANK(M2759,filter(M:M,C:C=C2759))"),347.0)</f>
        <v>347</v>
      </c>
      <c r="S2759" s="161" t="b">
        <f t="shared" si="5"/>
        <v>0</v>
      </c>
      <c r="T2759" s="161" t="b">
        <f t="array" ref="T2759">index('Query Tool'!B:B,match(H2759,'Query Tool'!C:C,0))</f>
        <v>1</v>
      </c>
      <c r="U2759" s="161" t="b">
        <f t="array" ref="U2759">index('Query Tool'!B:B,match(C2759,'Query Tool'!C:C,0))</f>
        <v>0</v>
      </c>
      <c r="V2759" s="161" t="b">
        <f>F2759&gt;='Query Tool'!C$32</f>
        <v>1</v>
      </c>
      <c r="W2759" s="161" t="b">
        <f t="array" ref="W2759">index(Dropdowns!B:B,match(I2759,Dropdowns!A:A,0))</f>
        <v>1</v>
      </c>
      <c r="X2759" s="161" t="b">
        <f t="array" ref="X2759">index('Query Tool'!B:B,match(D2759,'Query Tool'!C:C,0))</f>
        <v>1</v>
      </c>
      <c r="Y2759" s="161" t="str">
        <f t="shared" si="6"/>
        <v>johnsst04,2018-19</v>
      </c>
      <c r="Z2759" s="168">
        <f t="array" ref="Z2759">iferror(index(I:I,match($A2759&amp;","&amp;index('Year Conversion'!$A:$A,match($C2759,'Year Conversion'!$B:$B,0)),$Y:$Y,0))-I2759,"")</f>
        <v>1</v>
      </c>
      <c r="AA2759" s="168">
        <f t="array" ref="AA2759">iferror(index(J:J,match($A2759&amp;","&amp;index('Year Conversion'!$A:$A,match($C2759,'Year Conversion'!$B:$B,0)),$Y:$Y,0))-J2759,"")</f>
        <v>1.108570135</v>
      </c>
      <c r="AB2759" s="168">
        <f t="array" ref="AB2759">iferror(index(K:K,match($A2759&amp;","&amp;index('Year Conversion'!$A:$A,match($C2759,'Year Conversion'!$B:$B,0)),$Y:$Y,0))-K2759,"")</f>
        <v>1.934880531</v>
      </c>
      <c r="AC2759" s="168" t="str">
        <f t="shared" si="7"/>
        <v>TOT,2018-19</v>
      </c>
    </row>
    <row r="2760">
      <c r="A2760" s="161" t="str">
        <f>IFERROR(__xludf.DUMMYFUNCTION("""COMPUTED_VALUE"""),"grantje02")</f>
        <v>grantje02</v>
      </c>
      <c r="B2760" s="161" t="str">
        <f>IFERROR(__xludf.DUMMYFUNCTION("""COMPUTED_VALUE"""),"Jerian Grant")</f>
        <v>Jerian Grant</v>
      </c>
      <c r="C2760" s="162" t="str">
        <f>IFERROR(__xludf.DUMMYFUNCTION("""COMPUTED_VALUE"""),"2018-19")</f>
        <v>2018-19</v>
      </c>
      <c r="D2760" s="163" t="str">
        <f>IFERROR(__xludf.DUMMYFUNCTION("""COMPUTED_VALUE"""),"ORL")</f>
        <v>ORL</v>
      </c>
      <c r="E2760" s="164" t="str">
        <f>IFERROR(__xludf.DUMMYFUNCTION("""COMPUTED_VALUE"""),"Primary Ball Handler")</f>
        <v>Primary Ball Handler</v>
      </c>
      <c r="F2760" s="164">
        <f>IFERROR(__xludf.DUMMYFUNCTION("""COMPUTED_VALUE"""),938.773333333333)</f>
        <v>938.7733333</v>
      </c>
      <c r="G2760" s="163">
        <f>IFERROR(__xludf.DUMMYFUNCTION("""COMPUTED_VALUE"""),60.0)</f>
        <v>60</v>
      </c>
      <c r="H2760" s="163" t="str">
        <f>IFERROR(__xludf.DUMMYFUNCTION("""COMPUTED_VALUE"""),"PG")</f>
        <v>PG</v>
      </c>
      <c r="I2760" s="163">
        <f>IFERROR(__xludf.DUMMYFUNCTION("""COMPUTED_VALUE"""),26.0)</f>
        <v>26</v>
      </c>
      <c r="J2760" s="165">
        <f>IFERROR(__xludf.DUMMYFUNCTION("""COMPUTED_VALUE"""),-1.95653456040753)</f>
        <v>-1.95653456</v>
      </c>
      <c r="K2760" s="165">
        <f>IFERROR(__xludf.DUMMYFUNCTION("""COMPUTED_VALUE"""),-2.02056938880649)</f>
        <v>-2.020569389</v>
      </c>
      <c r="L2760" s="165">
        <f>IFERROR(__xludf.DUMMYFUNCTION("""COMPUTED_VALUE"""),0.0640348283989589)</f>
        <v>0.0640348284</v>
      </c>
      <c r="M2760" s="166">
        <f t="shared" si="2"/>
        <v>0.2155059565</v>
      </c>
      <c r="N2760" s="167">
        <f t="shared" si="3"/>
        <v>15.64622222</v>
      </c>
      <c r="O2760" s="163">
        <f t="shared" ref="O2760:Q2760" si="2764">rank(I2760,I:I)</f>
        <v>1665</v>
      </c>
      <c r="P2760" s="163">
        <f t="shared" si="2764"/>
        <v>3451</v>
      </c>
      <c r="Q2760" s="163">
        <f t="shared" si="2764"/>
        <v>3718</v>
      </c>
      <c r="R2760" s="163">
        <f>IFERROR(__xludf.DUMMYFUNCTION("RANK(M2760,filter(M:M,C:C=C2760))"),341.0)</f>
        <v>341</v>
      </c>
      <c r="S2760" s="161" t="b">
        <f t="shared" si="5"/>
        <v>0</v>
      </c>
      <c r="T2760" s="161" t="b">
        <f t="array" ref="T2760">index('Query Tool'!B:B,match(H2760,'Query Tool'!C:C,0))</f>
        <v>1</v>
      </c>
      <c r="U2760" s="161" t="b">
        <f t="array" ref="U2760">index('Query Tool'!B:B,match(C2760,'Query Tool'!C:C,0))</f>
        <v>0</v>
      </c>
      <c r="V2760" s="161" t="b">
        <f>F2760&gt;='Query Tool'!C$32</f>
        <v>1</v>
      </c>
      <c r="W2760" s="161" t="b">
        <f t="array" ref="W2760">index(Dropdowns!B:B,match(I2760,Dropdowns!A:A,0))</f>
        <v>1</v>
      </c>
      <c r="X2760" s="161" t="b">
        <f t="array" ref="X2760">index('Query Tool'!B:B,match(D2760,'Query Tool'!C:C,0))</f>
        <v>1</v>
      </c>
      <c r="Y2760" s="161" t="str">
        <f t="shared" si="6"/>
        <v>grantje02,2018-19</v>
      </c>
      <c r="Z2760" s="168">
        <f t="array" ref="Z2760">iferror(index(I:I,match($A2760&amp;","&amp;index('Year Conversion'!$A:$A,match($C2760,'Year Conversion'!$B:$B,0)),$Y:$Y,0))-I2760,"")</f>
        <v>1</v>
      </c>
      <c r="AA2760" s="168">
        <f t="array" ref="AA2760">iferror(index(J:J,match($A2760&amp;","&amp;index('Year Conversion'!$A:$A,match($C2760,'Year Conversion'!$B:$B,0)),$Y:$Y,0))-J2760,"")</f>
        <v>1.1423666</v>
      </c>
      <c r="AB2760" s="168">
        <f t="array" ref="AB2760">iferror(index(K:K,match($A2760&amp;","&amp;index('Year Conversion'!$A:$A,match($C2760,'Year Conversion'!$B:$B,0)),$Y:$Y,0))-K2760,"")</f>
        <v>1.55017501</v>
      </c>
      <c r="AC2760" s="168" t="str">
        <f t="shared" si="7"/>
        <v>ORL,2018-19</v>
      </c>
    </row>
    <row r="2761">
      <c r="A2761" s="161" t="str">
        <f>IFERROR(__xludf.DUMMYFUNCTION("""COMPUTED_VALUE"""),"portibo01")</f>
        <v>portibo01</v>
      </c>
      <c r="B2761" s="161" t="str">
        <f>IFERROR(__xludf.DUMMYFUNCTION("""COMPUTED_VALUE"""),"Bobby Portis")</f>
        <v>Bobby Portis</v>
      </c>
      <c r="C2761" s="162" t="str">
        <f>IFERROR(__xludf.DUMMYFUNCTION("""COMPUTED_VALUE"""),"2018-19")</f>
        <v>2018-19</v>
      </c>
      <c r="D2761" s="163" t="str">
        <f>IFERROR(__xludf.DUMMYFUNCTION("""COMPUTED_VALUE"""),"TOT")</f>
        <v>TOT</v>
      </c>
      <c r="E2761" s="164" t="str">
        <f>IFERROR(__xludf.DUMMYFUNCTION("""COMPUTED_VALUE"""),"Versatile Big")</f>
        <v>Versatile Big</v>
      </c>
      <c r="F2761" s="164">
        <f>IFERROR(__xludf.DUMMYFUNCTION("""COMPUTED_VALUE"""),1298.17666666667)</f>
        <v>1298.176667</v>
      </c>
      <c r="G2761" s="163">
        <f>IFERROR(__xludf.DUMMYFUNCTION("""COMPUTED_VALUE"""),50.0)</f>
        <v>50</v>
      </c>
      <c r="H2761" s="163" t="str">
        <f>IFERROR(__xludf.DUMMYFUNCTION("""COMPUTED_VALUE"""),"PF")</f>
        <v>PF</v>
      </c>
      <c r="I2761" s="163">
        <f>IFERROR(__xludf.DUMMYFUNCTION("""COMPUTED_VALUE"""),23.0)</f>
        <v>23</v>
      </c>
      <c r="J2761" s="165">
        <f>IFERROR(__xludf.DUMMYFUNCTION("""COMPUTED_VALUE"""),-0.257910406869523)</f>
        <v>-0.2579104069</v>
      </c>
      <c r="K2761" s="165">
        <f>IFERROR(__xludf.DUMMYFUNCTION("""COMPUTED_VALUE"""),0.587652586146291)</f>
        <v>0.5876525861</v>
      </c>
      <c r="L2761" s="165">
        <f>IFERROR(__xludf.DUMMYFUNCTION("""COMPUTED_VALUE"""),-0.845562993015814)</f>
        <v>-0.845562993</v>
      </c>
      <c r="M2761" s="166">
        <f t="shared" si="2"/>
        <v>1.775648852</v>
      </c>
      <c r="N2761" s="167">
        <f t="shared" si="3"/>
        <v>25.96353333</v>
      </c>
      <c r="O2761" s="163">
        <f t="shared" ref="O2761:Q2761" si="2765">rank(I2761,I:I)</f>
        <v>2765</v>
      </c>
      <c r="P2761" s="163">
        <f t="shared" si="2765"/>
        <v>1570</v>
      </c>
      <c r="Q2761" s="163">
        <f t="shared" si="2765"/>
        <v>720</v>
      </c>
      <c r="R2761" s="163">
        <f>IFERROR(__xludf.DUMMYFUNCTION("RANK(M2761,filter(M:M,C:C=C2761))"),167.0)</f>
        <v>167</v>
      </c>
      <c r="S2761" s="161" t="b">
        <f t="shared" si="5"/>
        <v>0</v>
      </c>
      <c r="T2761" s="161" t="b">
        <f t="array" ref="T2761">index('Query Tool'!B:B,match(H2761,'Query Tool'!C:C,0))</f>
        <v>1</v>
      </c>
      <c r="U2761" s="161" t="b">
        <f t="array" ref="U2761">index('Query Tool'!B:B,match(C2761,'Query Tool'!C:C,0))</f>
        <v>0</v>
      </c>
      <c r="V2761" s="161" t="b">
        <f>F2761&gt;='Query Tool'!C$32</f>
        <v>1</v>
      </c>
      <c r="W2761" s="161" t="b">
        <f t="array" ref="W2761">index(Dropdowns!B:B,match(I2761,Dropdowns!A:A,0))</f>
        <v>1</v>
      </c>
      <c r="X2761" s="161" t="b">
        <f t="array" ref="X2761">index('Query Tool'!B:B,match(D2761,'Query Tool'!C:C,0))</f>
        <v>1</v>
      </c>
      <c r="Y2761" s="161" t="str">
        <f t="shared" si="6"/>
        <v>portibo01,2018-19</v>
      </c>
      <c r="Z2761" s="168">
        <f t="array" ref="Z2761">iferror(index(I:I,match($A2761&amp;","&amp;index('Year Conversion'!$A:$A,match($C2761,'Year Conversion'!$B:$B,0)),$Y:$Y,0))-I2761,"")</f>
        <v>1</v>
      </c>
      <c r="AA2761" s="168">
        <f t="array" ref="AA2761">iferror(index(J:J,match($A2761&amp;","&amp;index('Year Conversion'!$A:$A,match($C2761,'Year Conversion'!$B:$B,0)),$Y:$Y,0))-J2761,"")</f>
        <v>-1.388407437</v>
      </c>
      <c r="AB2761" s="168">
        <f t="array" ref="AB2761">iferror(index(K:K,match($A2761&amp;","&amp;index('Year Conversion'!$A:$A,match($C2761,'Year Conversion'!$B:$B,0)),$Y:$Y,0))-K2761,"")</f>
        <v>-1.150595963</v>
      </c>
      <c r="AC2761" s="168" t="str">
        <f t="shared" si="7"/>
        <v>TOT,2018-19</v>
      </c>
    </row>
    <row r="2762">
      <c r="A2762" s="161" t="str">
        <f>IFERROR(__xludf.DUMMYFUNCTION("""COMPUTED_VALUE"""),"looneke01")</f>
        <v>looneke01</v>
      </c>
      <c r="B2762" s="161" t="str">
        <f>IFERROR(__xludf.DUMMYFUNCTION("""COMPUTED_VALUE"""),"Kevon Looney")</f>
        <v>Kevon Looney</v>
      </c>
      <c r="C2762" s="162" t="str">
        <f>IFERROR(__xludf.DUMMYFUNCTION("""COMPUTED_VALUE"""),"2018-19")</f>
        <v>2018-19</v>
      </c>
      <c r="D2762" s="163" t="str">
        <f>IFERROR(__xludf.DUMMYFUNCTION("""COMPUTED_VALUE"""),"GSW")</f>
        <v>GSW</v>
      </c>
      <c r="E2762" s="164" t="str">
        <f>IFERROR(__xludf.DUMMYFUNCTION("""COMPUTED_VALUE"""),"Roll + Cut Big")</f>
        <v>Roll + Cut Big</v>
      </c>
      <c r="F2762" s="164">
        <f>IFERROR(__xludf.DUMMYFUNCTION("""COMPUTED_VALUE"""),1481.32333333333)</f>
        <v>1481.323333</v>
      </c>
      <c r="G2762" s="163">
        <f>IFERROR(__xludf.DUMMYFUNCTION("""COMPUTED_VALUE"""),80.0)</f>
        <v>80</v>
      </c>
      <c r="H2762" s="163" t="str">
        <f>IFERROR(__xludf.DUMMYFUNCTION("""COMPUTED_VALUE"""),"C")</f>
        <v>C</v>
      </c>
      <c r="I2762" s="163">
        <f>IFERROR(__xludf.DUMMYFUNCTION("""COMPUTED_VALUE"""),22.0)</f>
        <v>22</v>
      </c>
      <c r="J2762" s="165">
        <f>IFERROR(__xludf.DUMMYFUNCTION("""COMPUTED_VALUE"""),0.735255987656371)</f>
        <v>0.7352559877</v>
      </c>
      <c r="K2762" s="165">
        <f>IFERROR(__xludf.DUMMYFUNCTION("""COMPUTED_VALUE"""),0.575955355388736)</f>
        <v>0.5759553554</v>
      </c>
      <c r="L2762" s="165">
        <f>IFERROR(__xludf.DUMMYFUNCTION("""COMPUTED_VALUE"""),0.159300632267635)</f>
        <v>0.1593006323</v>
      </c>
      <c r="M2762" s="166">
        <f t="shared" si="2"/>
        <v>3.017450936</v>
      </c>
      <c r="N2762" s="167">
        <f t="shared" si="3"/>
        <v>18.51654167</v>
      </c>
      <c r="O2762" s="163">
        <f t="shared" ref="O2762:Q2762" si="2766">rank(I2762,I:I)</f>
        <v>3178</v>
      </c>
      <c r="P2762" s="163">
        <f t="shared" si="2766"/>
        <v>772</v>
      </c>
      <c r="Q2762" s="163">
        <f t="shared" si="2766"/>
        <v>728</v>
      </c>
      <c r="R2762" s="163">
        <f>IFERROR(__xludf.DUMMYFUNCTION("RANK(M2762,filter(M:M,C:C=C2762))"),113.0)</f>
        <v>113</v>
      </c>
      <c r="S2762" s="161" t="b">
        <f t="shared" si="5"/>
        <v>0</v>
      </c>
      <c r="T2762" s="161" t="b">
        <f t="array" ref="T2762">index('Query Tool'!B:B,match(H2762,'Query Tool'!C:C,0))</f>
        <v>1</v>
      </c>
      <c r="U2762" s="161" t="b">
        <f t="array" ref="U2762">index('Query Tool'!B:B,match(C2762,'Query Tool'!C:C,0))</f>
        <v>0</v>
      </c>
      <c r="V2762" s="161" t="b">
        <f>F2762&gt;='Query Tool'!C$32</f>
        <v>1</v>
      </c>
      <c r="W2762" s="161" t="b">
        <f t="array" ref="W2762">index(Dropdowns!B:B,match(I2762,Dropdowns!A:A,0))</f>
        <v>1</v>
      </c>
      <c r="X2762" s="161" t="b">
        <f t="array" ref="X2762">index('Query Tool'!B:B,match(D2762,'Query Tool'!C:C,0))</f>
        <v>1</v>
      </c>
      <c r="Y2762" s="161" t="str">
        <f t="shared" si="6"/>
        <v>looneke01,2018-19</v>
      </c>
      <c r="Z2762" s="168">
        <f t="array" ref="Z2762">iferror(index(I:I,match($A2762&amp;","&amp;index('Year Conversion'!$A:$A,match($C2762,'Year Conversion'!$B:$B,0)),$Y:$Y,0))-I2762,"")</f>
        <v>1</v>
      </c>
      <c r="AA2762" s="168">
        <f t="array" ref="AA2762">iferror(index(J:J,match($A2762&amp;","&amp;index('Year Conversion'!$A:$A,match($C2762,'Year Conversion'!$B:$B,0)),$Y:$Y,0))-J2762,"")</f>
        <v>-2.201603136</v>
      </c>
      <c r="AB2762" s="168">
        <f t="array" ref="AB2762">iferror(index(K:K,match($A2762&amp;","&amp;index('Year Conversion'!$A:$A,match($C2762,'Year Conversion'!$B:$B,0)),$Y:$Y,0))-K2762,"")</f>
        <v>-2.404904816</v>
      </c>
      <c r="AC2762" s="168" t="str">
        <f t="shared" si="7"/>
        <v>GSW,2018-19</v>
      </c>
    </row>
    <row r="2763">
      <c r="A2763" s="161" t="str">
        <f>IFERROR(__xludf.DUMMYFUNCTION("""COMPUTED_VALUE"""),"woodch01")</f>
        <v>woodch01</v>
      </c>
      <c r="B2763" s="161" t="str">
        <f>IFERROR(__xludf.DUMMYFUNCTION("""COMPUTED_VALUE"""),"Christian Wood")</f>
        <v>Christian Wood</v>
      </c>
      <c r="C2763" s="162" t="str">
        <f>IFERROR(__xludf.DUMMYFUNCTION("""COMPUTED_VALUE"""),"2018-19")</f>
        <v>2018-19</v>
      </c>
      <c r="D2763" s="163" t="str">
        <f>IFERROR(__xludf.DUMMYFUNCTION("""COMPUTED_VALUE"""),"TOT")</f>
        <v>TOT</v>
      </c>
      <c r="E2763" s="164" t="str">
        <f>IFERROR(__xludf.DUMMYFUNCTION("""COMPUTED_VALUE"""),"Roll + Cut Big")</f>
        <v>Roll + Cut Big</v>
      </c>
      <c r="F2763" s="164">
        <f>IFERROR(__xludf.DUMMYFUNCTION("""COMPUTED_VALUE"""),250.305)</f>
        <v>250.305</v>
      </c>
      <c r="G2763" s="163">
        <f>IFERROR(__xludf.DUMMYFUNCTION("""COMPUTED_VALUE"""),21.0)</f>
        <v>21</v>
      </c>
      <c r="H2763" s="163" t="str">
        <f>IFERROR(__xludf.DUMMYFUNCTION("""COMPUTED_VALUE"""),"PF")</f>
        <v>PF</v>
      </c>
      <c r="I2763" s="163">
        <f>IFERROR(__xludf.DUMMYFUNCTION("""COMPUTED_VALUE"""),23.0)</f>
        <v>23</v>
      </c>
      <c r="J2763" s="165">
        <f>IFERROR(__xludf.DUMMYFUNCTION("""COMPUTED_VALUE"""),-0.148422016811536)</f>
        <v>-0.1484220168</v>
      </c>
      <c r="K2763" s="165">
        <f>IFERROR(__xludf.DUMMYFUNCTION("""COMPUTED_VALUE"""),-0.17742376372375)</f>
        <v>-0.1774237637</v>
      </c>
      <c r="L2763" s="165">
        <f>IFERROR(__xludf.DUMMYFUNCTION("""COMPUTED_VALUE"""),0.0290017469122136)</f>
        <v>0.02900174691</v>
      </c>
      <c r="M2763" s="166">
        <f t="shared" si="2"/>
        <v>0.3608409687</v>
      </c>
      <c r="N2763" s="167">
        <f t="shared" si="3"/>
        <v>11.91928571</v>
      </c>
      <c r="O2763" s="163">
        <f t="shared" ref="O2763:Q2763" si="2767">rank(I2763,I:I)</f>
        <v>2765</v>
      </c>
      <c r="P2763" s="163">
        <f t="shared" si="2767"/>
        <v>1438</v>
      </c>
      <c r="Q2763" s="163">
        <f t="shared" si="2767"/>
        <v>1529</v>
      </c>
      <c r="R2763" s="163">
        <f>IFERROR(__xludf.DUMMYFUNCTION("RANK(M2763,filter(M:M,C:C=C2763))"),311.0)</f>
        <v>311</v>
      </c>
      <c r="S2763" s="161" t="b">
        <f t="shared" si="5"/>
        <v>0</v>
      </c>
      <c r="T2763" s="161" t="b">
        <f t="array" ref="T2763">index('Query Tool'!B:B,match(H2763,'Query Tool'!C:C,0))</f>
        <v>1</v>
      </c>
      <c r="U2763" s="161" t="b">
        <f t="array" ref="U2763">index('Query Tool'!B:B,match(C2763,'Query Tool'!C:C,0))</f>
        <v>0</v>
      </c>
      <c r="V2763" s="161" t="b">
        <f>F2763&gt;='Query Tool'!C$32</f>
        <v>0</v>
      </c>
      <c r="W2763" s="161" t="b">
        <f t="array" ref="W2763">index(Dropdowns!B:B,match(I2763,Dropdowns!A:A,0))</f>
        <v>1</v>
      </c>
      <c r="X2763" s="161" t="b">
        <f t="array" ref="X2763">index('Query Tool'!B:B,match(D2763,'Query Tool'!C:C,0))</f>
        <v>1</v>
      </c>
      <c r="Y2763" s="161" t="str">
        <f t="shared" si="6"/>
        <v>woodch01,2018-19</v>
      </c>
      <c r="Z2763" s="168">
        <f t="array" ref="Z2763">iferror(index(I:I,match($A2763&amp;","&amp;index('Year Conversion'!$A:$A,match($C2763,'Year Conversion'!$B:$B,0)),$Y:$Y,0))-I2763,"")</f>
        <v>1</v>
      </c>
      <c r="AA2763" s="168">
        <f t="array" ref="AA2763">iferror(index(J:J,match($A2763&amp;","&amp;index('Year Conversion'!$A:$A,match($C2763,'Year Conversion'!$B:$B,0)),$Y:$Y,0))-J2763,"")</f>
        <v>2.612593718</v>
      </c>
      <c r="AB2763" s="168">
        <f t="array" ref="AB2763">iferror(index(K:K,match($A2763&amp;","&amp;index('Year Conversion'!$A:$A,match($C2763,'Year Conversion'!$B:$B,0)),$Y:$Y,0))-K2763,"")</f>
        <v>2.192336291</v>
      </c>
      <c r="AC2763" s="168" t="str">
        <f t="shared" si="7"/>
        <v>TOT,2018-19</v>
      </c>
    </row>
    <row r="2764">
      <c r="A2764" s="161" t="str">
        <f>IFERROR(__xludf.DUMMYFUNCTION("""COMPUTED_VALUE"""),"holliro01")</f>
        <v>holliro01</v>
      </c>
      <c r="B2764" s="161" t="str">
        <f>IFERROR(__xludf.DUMMYFUNCTION("""COMPUTED_VALUE"""),"Rondae Hollis-Jefferson")</f>
        <v>Rondae Hollis-Jefferson</v>
      </c>
      <c r="C2764" s="162" t="str">
        <f>IFERROR(__xludf.DUMMYFUNCTION("""COMPUTED_VALUE"""),"2018-19")</f>
        <v>2018-19</v>
      </c>
      <c r="D2764" s="163" t="str">
        <f>IFERROR(__xludf.DUMMYFUNCTION("""COMPUTED_VALUE"""),"BRK")</f>
        <v>BRK</v>
      </c>
      <c r="E2764" s="164" t="str">
        <f>IFERROR(__xludf.DUMMYFUNCTION("""COMPUTED_VALUE"""),"Roll + Cut Big")</f>
        <v>Roll + Cut Big</v>
      </c>
      <c r="F2764" s="164">
        <f>IFERROR(__xludf.DUMMYFUNCTION("""COMPUTED_VALUE"""),1233.96333333333)</f>
        <v>1233.963333</v>
      </c>
      <c r="G2764" s="163">
        <f>IFERROR(__xludf.DUMMYFUNCTION("""COMPUTED_VALUE"""),59.0)</f>
        <v>59</v>
      </c>
      <c r="H2764" s="163" t="str">
        <f>IFERROR(__xludf.DUMMYFUNCTION("""COMPUTED_VALUE"""),"SF")</f>
        <v>SF</v>
      </c>
      <c r="I2764" s="163">
        <f>IFERROR(__xludf.DUMMYFUNCTION("""COMPUTED_VALUE"""),24.0)</f>
        <v>24</v>
      </c>
      <c r="J2764" s="165">
        <f>IFERROR(__xludf.DUMMYFUNCTION("""COMPUTED_VALUE"""),-0.0379622978300078)</f>
        <v>-0.03796229783</v>
      </c>
      <c r="K2764" s="165">
        <f>IFERROR(__xludf.DUMMYFUNCTION("""COMPUTED_VALUE"""),-1.06946659777283)</f>
        <v>-1.069466598</v>
      </c>
      <c r="L2764" s="165">
        <f>IFERROR(__xludf.DUMMYFUNCTION("""COMPUTED_VALUE"""),1.03150429994282)</f>
        <v>1.0315043</v>
      </c>
      <c r="M2764" s="166">
        <f t="shared" si="2"/>
        <v>1.870778398</v>
      </c>
      <c r="N2764" s="167">
        <f t="shared" si="3"/>
        <v>20.91463277</v>
      </c>
      <c r="O2764" s="163">
        <f t="shared" ref="O2764:Q2764" si="2768">rank(I2764,I:I)</f>
        <v>2361</v>
      </c>
      <c r="P2764" s="163">
        <f t="shared" si="2768"/>
        <v>1324</v>
      </c>
      <c r="Q2764" s="163">
        <f t="shared" si="2768"/>
        <v>2896</v>
      </c>
      <c r="R2764" s="163">
        <f>IFERROR(__xludf.DUMMYFUNCTION("RANK(M2764,filter(M:M,C:C=C2764))"),158.0)</f>
        <v>158</v>
      </c>
      <c r="S2764" s="161" t="b">
        <f t="shared" si="5"/>
        <v>0</v>
      </c>
      <c r="T2764" s="161" t="b">
        <f t="array" ref="T2764">index('Query Tool'!B:B,match(H2764,'Query Tool'!C:C,0))</f>
        <v>1</v>
      </c>
      <c r="U2764" s="161" t="b">
        <f t="array" ref="U2764">index('Query Tool'!B:B,match(C2764,'Query Tool'!C:C,0))</f>
        <v>0</v>
      </c>
      <c r="V2764" s="161" t="b">
        <f>F2764&gt;='Query Tool'!C$32</f>
        <v>1</v>
      </c>
      <c r="W2764" s="161" t="b">
        <f t="array" ref="W2764">index(Dropdowns!B:B,match(I2764,Dropdowns!A:A,0))</f>
        <v>1</v>
      </c>
      <c r="X2764" s="161" t="b">
        <f t="array" ref="X2764">index('Query Tool'!B:B,match(D2764,'Query Tool'!C:C,0))</f>
        <v>1</v>
      </c>
      <c r="Y2764" s="161" t="str">
        <f t="shared" si="6"/>
        <v>holliro01,2018-19</v>
      </c>
      <c r="Z2764" s="168">
        <f t="array" ref="Z2764">iferror(index(I:I,match($A2764&amp;","&amp;index('Year Conversion'!$A:$A,match($C2764,'Year Conversion'!$B:$B,0)),$Y:$Y,0))-I2764,"")</f>
        <v>1</v>
      </c>
      <c r="AA2764" s="168">
        <f t="array" ref="AA2764">iferror(index(J:J,match($A2764&amp;","&amp;index('Year Conversion'!$A:$A,match($C2764,'Year Conversion'!$B:$B,0)),$Y:$Y,0))-J2764,"")</f>
        <v>1.156087372</v>
      </c>
      <c r="AB2764" s="168">
        <f t="array" ref="AB2764">iferror(index(K:K,match($A2764&amp;","&amp;index('Year Conversion'!$A:$A,match($C2764,'Year Conversion'!$B:$B,0)),$Y:$Y,0))-K2764,"")</f>
        <v>1.396822692</v>
      </c>
      <c r="AC2764" s="168" t="str">
        <f t="shared" si="7"/>
        <v>BRK,2018-19</v>
      </c>
    </row>
    <row r="2765">
      <c r="A2765" s="161" t="str">
        <f>IFERROR(__xludf.DUMMYFUNCTION("""COMPUTED_VALUE"""),"roziete01")</f>
        <v>roziete01</v>
      </c>
      <c r="B2765" s="161" t="str">
        <f>IFERROR(__xludf.DUMMYFUNCTION("""COMPUTED_VALUE"""),"Terry Rozier")</f>
        <v>Terry Rozier</v>
      </c>
      <c r="C2765" s="162" t="str">
        <f>IFERROR(__xludf.DUMMYFUNCTION("""COMPUTED_VALUE"""),"2018-19")</f>
        <v>2018-19</v>
      </c>
      <c r="D2765" s="163" t="str">
        <f>IFERROR(__xludf.DUMMYFUNCTION("""COMPUTED_VALUE"""),"BOS")</f>
        <v>BOS</v>
      </c>
      <c r="E2765" s="164" t="str">
        <f>IFERROR(__xludf.DUMMYFUNCTION("""COMPUTED_VALUE"""),"Primary Ball Handler")</f>
        <v>Primary Ball Handler</v>
      </c>
      <c r="F2765" s="164">
        <f>IFERROR(__xludf.DUMMYFUNCTION("""COMPUTED_VALUE"""),1791.385)</f>
        <v>1791.385</v>
      </c>
      <c r="G2765" s="163">
        <f>IFERROR(__xludf.DUMMYFUNCTION("""COMPUTED_VALUE"""),79.0)</f>
        <v>79</v>
      </c>
      <c r="H2765" s="163" t="str">
        <f>IFERROR(__xludf.DUMMYFUNCTION("""COMPUTED_VALUE"""),"PG")</f>
        <v>PG</v>
      </c>
      <c r="I2765" s="163">
        <f>IFERROR(__xludf.DUMMYFUNCTION("""COMPUTED_VALUE"""),24.0)</f>
        <v>24</v>
      </c>
      <c r="J2765" s="165">
        <f>IFERROR(__xludf.DUMMYFUNCTION("""COMPUTED_VALUE"""),-1.31643159100472)</f>
        <v>-1.316431591</v>
      </c>
      <c r="K2765" s="165">
        <f>IFERROR(__xludf.DUMMYFUNCTION("""COMPUTED_VALUE"""),-1.12616409609492)</f>
        <v>-1.126164096</v>
      </c>
      <c r="L2765" s="165">
        <f>IFERROR(__xludf.DUMMYFUNCTION("""COMPUTED_VALUE"""),-0.190267494909802)</f>
        <v>-0.1902674949</v>
      </c>
      <c r="M2765" s="166">
        <f t="shared" si="2"/>
        <v>1.175636559</v>
      </c>
      <c r="N2765" s="167">
        <f t="shared" si="3"/>
        <v>22.67575949</v>
      </c>
      <c r="O2765" s="163">
        <f t="shared" ref="O2765:Q2765" si="2769">rank(I2765,I:I)</f>
        <v>2361</v>
      </c>
      <c r="P2765" s="163">
        <f t="shared" si="2769"/>
        <v>2879</v>
      </c>
      <c r="Q2765" s="163">
        <f t="shared" si="2769"/>
        <v>2954</v>
      </c>
      <c r="R2765" s="163">
        <f>IFERROR(__xludf.DUMMYFUNCTION("RANK(M2765,filter(M:M,C:C=C2765))"),212.0)</f>
        <v>212</v>
      </c>
      <c r="S2765" s="161" t="b">
        <f t="shared" si="5"/>
        <v>0</v>
      </c>
      <c r="T2765" s="161" t="b">
        <f t="array" ref="T2765">index('Query Tool'!B:B,match(H2765,'Query Tool'!C:C,0))</f>
        <v>1</v>
      </c>
      <c r="U2765" s="161" t="b">
        <f t="array" ref="U2765">index('Query Tool'!B:B,match(C2765,'Query Tool'!C:C,0))</f>
        <v>0</v>
      </c>
      <c r="V2765" s="161" t="b">
        <f>F2765&gt;='Query Tool'!C$32</f>
        <v>1</v>
      </c>
      <c r="W2765" s="161" t="b">
        <f t="array" ref="W2765">index(Dropdowns!B:B,match(I2765,Dropdowns!A:A,0))</f>
        <v>1</v>
      </c>
      <c r="X2765" s="161" t="b">
        <f t="array" ref="X2765">index('Query Tool'!B:B,match(D2765,'Query Tool'!C:C,0))</f>
        <v>1</v>
      </c>
      <c r="Y2765" s="161" t="str">
        <f t="shared" si="6"/>
        <v>roziete01,2018-19</v>
      </c>
      <c r="Z2765" s="168">
        <f t="array" ref="Z2765">iferror(index(I:I,match($A2765&amp;","&amp;index('Year Conversion'!$A:$A,match($C2765,'Year Conversion'!$B:$B,0)),$Y:$Y,0))-I2765,"")</f>
        <v>1</v>
      </c>
      <c r="AA2765" s="168">
        <f t="array" ref="AA2765">iferror(index(J:J,match($A2765&amp;","&amp;index('Year Conversion'!$A:$A,match($C2765,'Year Conversion'!$B:$B,0)),$Y:$Y,0))-J2765,"")</f>
        <v>-1.466993633</v>
      </c>
      <c r="AB2765" s="168">
        <f t="array" ref="AB2765">iferror(index(K:K,match($A2765&amp;","&amp;index('Year Conversion'!$A:$A,match($C2765,'Year Conversion'!$B:$B,0)),$Y:$Y,0))-K2765,"")</f>
        <v>0.1271600815</v>
      </c>
      <c r="AC2765" s="168" t="str">
        <f t="shared" si="7"/>
        <v>BOS,2018-19</v>
      </c>
    </row>
    <row r="2766">
      <c r="A2766" s="161" t="str">
        <f>IFERROR(__xludf.DUMMYFUNCTION("""COMPUTED_VALUE"""),"powelno01")</f>
        <v>powelno01</v>
      </c>
      <c r="B2766" s="161" t="str">
        <f>IFERROR(__xludf.DUMMYFUNCTION("""COMPUTED_VALUE"""),"Norman Powell")</f>
        <v>Norman Powell</v>
      </c>
      <c r="C2766" s="162" t="str">
        <f>IFERROR(__xludf.DUMMYFUNCTION("""COMPUTED_VALUE"""),"2018-19")</f>
        <v>2018-19</v>
      </c>
      <c r="D2766" s="163" t="str">
        <f>IFERROR(__xludf.DUMMYFUNCTION("""COMPUTED_VALUE"""),"TOR")</f>
        <v>TOR</v>
      </c>
      <c r="E2766" s="164" t="str">
        <f>IFERROR(__xludf.DUMMYFUNCTION("""COMPUTED_VALUE"""),"Secondary Ball Handler")</f>
        <v>Secondary Ball Handler</v>
      </c>
      <c r="F2766" s="164">
        <f>IFERROR(__xludf.DUMMYFUNCTION("""COMPUTED_VALUE"""),1126.465)</f>
        <v>1126.465</v>
      </c>
      <c r="G2766" s="163">
        <f>IFERROR(__xludf.DUMMYFUNCTION("""COMPUTED_VALUE"""),60.0)</f>
        <v>60</v>
      </c>
      <c r="H2766" s="163" t="str">
        <f>IFERROR(__xludf.DUMMYFUNCTION("""COMPUTED_VALUE"""),"SG")</f>
        <v>SG</v>
      </c>
      <c r="I2766" s="163">
        <f>IFERROR(__xludf.DUMMYFUNCTION("""COMPUTED_VALUE"""),25.0)</f>
        <v>25</v>
      </c>
      <c r="J2766" s="165">
        <f>IFERROR(__xludf.DUMMYFUNCTION("""COMPUTED_VALUE"""),-1.23751205084455)</f>
        <v>-1.237512051</v>
      </c>
      <c r="K2766" s="165">
        <f>IFERROR(__xludf.DUMMYFUNCTION("""COMPUTED_VALUE"""),-0.864312198631154)</f>
        <v>-0.8643121986</v>
      </c>
      <c r="L2766" s="165">
        <f>IFERROR(__xludf.DUMMYFUNCTION("""COMPUTED_VALUE"""),-0.373199852213397)</f>
        <v>-0.3731998522</v>
      </c>
      <c r="M2766" s="166">
        <f t="shared" si="2"/>
        <v>0.7987978435</v>
      </c>
      <c r="N2766" s="167">
        <f t="shared" si="3"/>
        <v>18.77441667</v>
      </c>
      <c r="O2766" s="163">
        <f t="shared" ref="O2766:Q2766" si="2770">rank(I2766,I:I)</f>
        <v>1995</v>
      </c>
      <c r="P2766" s="163">
        <f t="shared" si="2770"/>
        <v>2800</v>
      </c>
      <c r="Q2766" s="163">
        <f t="shared" si="2770"/>
        <v>2642</v>
      </c>
      <c r="R2766" s="163">
        <f>IFERROR(__xludf.DUMMYFUNCTION("RANK(M2766,filter(M:M,C:C=C2766))"),239.0)</f>
        <v>239</v>
      </c>
      <c r="S2766" s="161" t="b">
        <f t="shared" si="5"/>
        <v>0</v>
      </c>
      <c r="T2766" s="161" t="b">
        <f t="array" ref="T2766">index('Query Tool'!B:B,match(H2766,'Query Tool'!C:C,0))</f>
        <v>1</v>
      </c>
      <c r="U2766" s="161" t="b">
        <f t="array" ref="U2766">index('Query Tool'!B:B,match(C2766,'Query Tool'!C:C,0))</f>
        <v>0</v>
      </c>
      <c r="V2766" s="161" t="b">
        <f>F2766&gt;='Query Tool'!C$32</f>
        <v>1</v>
      </c>
      <c r="W2766" s="161" t="b">
        <f t="array" ref="W2766">index(Dropdowns!B:B,match(I2766,Dropdowns!A:A,0))</f>
        <v>1</v>
      </c>
      <c r="X2766" s="161" t="b">
        <f t="array" ref="X2766">index('Query Tool'!B:B,match(D2766,'Query Tool'!C:C,0))</f>
        <v>1</v>
      </c>
      <c r="Y2766" s="161" t="str">
        <f t="shared" si="6"/>
        <v>powelno01,2018-19</v>
      </c>
      <c r="Z2766" s="168">
        <f t="array" ref="Z2766">iferror(index(I:I,match($A2766&amp;","&amp;index('Year Conversion'!$A:$A,match($C2766,'Year Conversion'!$B:$B,0)),$Y:$Y,0))-I2766,"")</f>
        <v>1</v>
      </c>
      <c r="AA2766" s="168">
        <f t="array" ref="AA2766">iferror(index(J:J,match($A2766&amp;","&amp;index('Year Conversion'!$A:$A,match($C2766,'Year Conversion'!$B:$B,0)),$Y:$Y,0))-J2766,"")</f>
        <v>0.8288456012</v>
      </c>
      <c r="AB2766" s="168">
        <f t="array" ref="AB2766">iferror(index(K:K,match($A2766&amp;","&amp;index('Year Conversion'!$A:$A,match($C2766,'Year Conversion'!$B:$B,0)),$Y:$Y,0))-K2766,"")</f>
        <v>0.7899712042</v>
      </c>
      <c r="AC2766" s="168" t="str">
        <f t="shared" si="7"/>
        <v>TOR,2018-19</v>
      </c>
    </row>
    <row r="2767">
      <c r="A2767" s="161" t="str">
        <f>IFERROR(__xludf.DUMMYFUNCTION("""COMPUTED_VALUE"""),"randlch01")</f>
        <v>randlch01</v>
      </c>
      <c r="B2767" s="161" t="str">
        <f>IFERROR(__xludf.DUMMYFUNCTION("""COMPUTED_VALUE"""),"Chasson Randle")</f>
        <v>Chasson Randle</v>
      </c>
      <c r="C2767" s="162" t="str">
        <f>IFERROR(__xludf.DUMMYFUNCTION("""COMPUTED_VALUE"""),"2018-19")</f>
        <v>2018-19</v>
      </c>
      <c r="D2767" s="163" t="str">
        <f>IFERROR(__xludf.DUMMYFUNCTION("""COMPUTED_VALUE"""),"WAS")</f>
        <v>WAS</v>
      </c>
      <c r="E2767" s="164" t="str">
        <f>IFERROR(__xludf.DUMMYFUNCTION("""COMPUTED_VALUE"""),"Secondary Ball Handler")</f>
        <v>Secondary Ball Handler</v>
      </c>
      <c r="F2767" s="164">
        <f>IFERROR(__xludf.DUMMYFUNCTION("""COMPUTED_VALUE"""),742.91)</f>
        <v>742.91</v>
      </c>
      <c r="G2767" s="163">
        <f>IFERROR(__xludf.DUMMYFUNCTION("""COMPUTED_VALUE"""),49.0)</f>
        <v>49</v>
      </c>
      <c r="H2767" s="163" t="str">
        <f>IFERROR(__xludf.DUMMYFUNCTION("""COMPUTED_VALUE"""),"PG")</f>
        <v>PG</v>
      </c>
      <c r="I2767" s="163">
        <f>IFERROR(__xludf.DUMMYFUNCTION("""COMPUTED_VALUE"""),25.0)</f>
        <v>25</v>
      </c>
      <c r="J2767" s="165">
        <f>IFERROR(__xludf.DUMMYFUNCTION("""COMPUTED_VALUE"""),-2.32914994050267)</f>
        <v>-2.329149941</v>
      </c>
      <c r="K2767" s="165">
        <f>IFERROR(__xludf.DUMMYFUNCTION("""COMPUTED_VALUE"""),-1.17513493515708)</f>
        <v>-1.175134935</v>
      </c>
      <c r="L2767" s="165">
        <f>IFERROR(__xludf.DUMMYFUNCTION("""COMPUTED_VALUE"""),-1.15401500534558)</f>
        <v>-1.154015005</v>
      </c>
      <c r="M2767" s="166">
        <f t="shared" si="2"/>
        <v>-0.01255091554</v>
      </c>
      <c r="N2767" s="167">
        <f t="shared" si="3"/>
        <v>15.16142857</v>
      </c>
      <c r="O2767" s="163">
        <f t="shared" ref="O2767:Q2767" si="2771">rank(I2767,I:I)</f>
        <v>1995</v>
      </c>
      <c r="P2767" s="163">
        <f t="shared" si="2771"/>
        <v>3670</v>
      </c>
      <c r="Q2767" s="163">
        <f t="shared" si="2771"/>
        <v>3011</v>
      </c>
      <c r="R2767" s="163">
        <f>IFERROR(__xludf.DUMMYFUNCTION("RANK(M2767,filter(M:M,C:C=C2767))"),481.0)</f>
        <v>481</v>
      </c>
      <c r="S2767" s="161" t="b">
        <f t="shared" si="5"/>
        <v>0</v>
      </c>
      <c r="T2767" s="161" t="b">
        <f t="array" ref="T2767">index('Query Tool'!B:B,match(H2767,'Query Tool'!C:C,0))</f>
        <v>1</v>
      </c>
      <c r="U2767" s="161" t="b">
        <f t="array" ref="U2767">index('Query Tool'!B:B,match(C2767,'Query Tool'!C:C,0))</f>
        <v>0</v>
      </c>
      <c r="V2767" s="161" t="b">
        <f>F2767&gt;='Query Tool'!C$32</f>
        <v>1</v>
      </c>
      <c r="W2767" s="161" t="b">
        <f t="array" ref="W2767">index(Dropdowns!B:B,match(I2767,Dropdowns!A:A,0))</f>
        <v>1</v>
      </c>
      <c r="X2767" s="161" t="b">
        <f t="array" ref="X2767">index('Query Tool'!B:B,match(D2767,'Query Tool'!C:C,0))</f>
        <v>1</v>
      </c>
      <c r="Y2767" s="161" t="str">
        <f t="shared" si="6"/>
        <v>randlch01,2018-19</v>
      </c>
      <c r="Z2767" s="168">
        <f t="array" ref="Z2767">iferror(index(I:I,match($A2767&amp;","&amp;index('Year Conversion'!$A:$A,match($C2767,'Year Conversion'!$B:$B,0)),$Y:$Y,0))-I2767,"")</f>
        <v>1</v>
      </c>
      <c r="AA2767" s="168">
        <f t="array" ref="AA2767">iferror(index(J:J,match($A2767&amp;","&amp;index('Year Conversion'!$A:$A,match($C2767,'Year Conversion'!$B:$B,0)),$Y:$Y,0))-J2767,"")</f>
        <v>1.988186799</v>
      </c>
      <c r="AB2767" s="168">
        <f t="array" ref="AB2767">iferror(index(K:K,match($A2767&amp;","&amp;index('Year Conversion'!$A:$A,match($C2767,'Year Conversion'!$B:$B,0)),$Y:$Y,0))-K2767,"")</f>
        <v>0.5990026385</v>
      </c>
      <c r="AC2767" s="168" t="str">
        <f t="shared" si="7"/>
        <v>WAS,2018-19</v>
      </c>
    </row>
    <row r="2768">
      <c r="A2768" s="161" t="str">
        <f>IFERROR(__xludf.DUMMYFUNCTION("""COMPUTED_VALUE"""),"martija01")</f>
        <v>martija01</v>
      </c>
      <c r="B2768" s="161" t="str">
        <f>IFERROR(__xludf.DUMMYFUNCTION("""COMPUTED_VALUE"""),"Jarell Martin")</f>
        <v>Jarell Martin</v>
      </c>
      <c r="C2768" s="162" t="str">
        <f>IFERROR(__xludf.DUMMYFUNCTION("""COMPUTED_VALUE"""),"2018-19")</f>
        <v>2018-19</v>
      </c>
      <c r="D2768" s="163" t="str">
        <f>IFERROR(__xludf.DUMMYFUNCTION("""COMPUTED_VALUE"""),"ORL")</f>
        <v>ORL</v>
      </c>
      <c r="E2768" s="164" t="str">
        <f>IFERROR(__xludf.DUMMYFUNCTION("""COMPUTED_VALUE"""),"Stationary Shooter")</f>
        <v>Stationary Shooter</v>
      </c>
      <c r="F2768" s="164">
        <f>IFERROR(__xludf.DUMMYFUNCTION("""COMPUTED_VALUE"""),327.88)</f>
        <v>327.88</v>
      </c>
      <c r="G2768" s="163">
        <f>IFERROR(__xludf.DUMMYFUNCTION("""COMPUTED_VALUE"""),42.0)</f>
        <v>42</v>
      </c>
      <c r="H2768" s="163" t="str">
        <f>IFERROR(__xludf.DUMMYFUNCTION("""COMPUTED_VALUE"""),"PF")</f>
        <v>PF</v>
      </c>
      <c r="I2768" s="163">
        <f>IFERROR(__xludf.DUMMYFUNCTION("""COMPUTED_VALUE"""),24.0)</f>
        <v>24</v>
      </c>
      <c r="J2768" s="165">
        <f>IFERROR(__xludf.DUMMYFUNCTION("""COMPUTED_VALUE"""),-1.00428156906808)</f>
        <v>-1.004281569</v>
      </c>
      <c r="K2768" s="165">
        <f>IFERROR(__xludf.DUMMYFUNCTION("""COMPUTED_VALUE"""),-1.50728784974359)</f>
        <v>-1.50728785</v>
      </c>
      <c r="L2768" s="165">
        <f>IFERROR(__xludf.DUMMYFUNCTION("""COMPUTED_VALUE"""),0.503006280675518)</f>
        <v>0.5030062807</v>
      </c>
      <c r="M2768" s="166">
        <f t="shared" si="2"/>
        <v>0.2837923779</v>
      </c>
      <c r="N2768" s="167">
        <f t="shared" si="3"/>
        <v>7.806666667</v>
      </c>
      <c r="O2768" s="163">
        <f t="shared" ref="O2768:Q2768" si="2772">rank(I2768,I:I)</f>
        <v>2361</v>
      </c>
      <c r="P2768" s="163">
        <f t="shared" si="2772"/>
        <v>2507</v>
      </c>
      <c r="Q2768" s="163">
        <f t="shared" si="2772"/>
        <v>3365</v>
      </c>
      <c r="R2768" s="163">
        <f>IFERROR(__xludf.DUMMYFUNCTION("RANK(M2768,filter(M:M,C:C=C2768))"),325.0)</f>
        <v>325</v>
      </c>
      <c r="S2768" s="161" t="b">
        <f t="shared" si="5"/>
        <v>0</v>
      </c>
      <c r="T2768" s="161" t="b">
        <f t="array" ref="T2768">index('Query Tool'!B:B,match(H2768,'Query Tool'!C:C,0))</f>
        <v>1</v>
      </c>
      <c r="U2768" s="161" t="b">
        <f t="array" ref="U2768">index('Query Tool'!B:B,match(C2768,'Query Tool'!C:C,0))</f>
        <v>0</v>
      </c>
      <c r="V2768" s="161" t="b">
        <f>F2768&gt;='Query Tool'!C$32</f>
        <v>0</v>
      </c>
      <c r="W2768" s="161" t="b">
        <f t="array" ref="W2768">index(Dropdowns!B:B,match(I2768,Dropdowns!A:A,0))</f>
        <v>1</v>
      </c>
      <c r="X2768" s="161" t="b">
        <f t="array" ref="X2768">index('Query Tool'!B:B,match(D2768,'Query Tool'!C:C,0))</f>
        <v>1</v>
      </c>
      <c r="Y2768" s="161" t="str">
        <f t="shared" si="6"/>
        <v>martija01,2018-19</v>
      </c>
      <c r="Z2768" s="168" t="str">
        <f t="array" ref="Z2768">iferror(index(I:I,match($A2768&amp;","&amp;index('Year Conversion'!$A:$A,match($C2768,'Year Conversion'!$B:$B,0)),$Y:$Y,0))-I2768,"")</f>
        <v/>
      </c>
      <c r="AA2768" s="168" t="str">
        <f t="array" ref="AA2768">iferror(index(J:J,match($A2768&amp;","&amp;index('Year Conversion'!$A:$A,match($C2768,'Year Conversion'!$B:$B,0)),$Y:$Y,0))-J2768,"")</f>
        <v/>
      </c>
      <c r="AB2768" s="168" t="str">
        <f t="array" ref="AB2768">iferror(index(K:K,match($A2768&amp;","&amp;index('Year Conversion'!$A:$A,match($C2768,'Year Conversion'!$B:$B,0)),$Y:$Y,0))-K2768,"")</f>
        <v/>
      </c>
      <c r="AC2768" s="168" t="str">
        <f t="shared" si="7"/>
        <v>ORL,2018-19</v>
      </c>
    </row>
    <row r="2769">
      <c r="A2769" s="161" t="str">
        <f>IFERROR(__xludf.DUMMYFUNCTION("""COMPUTED_VALUE"""),"cookqu01")</f>
        <v>cookqu01</v>
      </c>
      <c r="B2769" s="161" t="str">
        <f>IFERROR(__xludf.DUMMYFUNCTION("""COMPUTED_VALUE"""),"Quinn Cook")</f>
        <v>Quinn Cook</v>
      </c>
      <c r="C2769" s="162" t="str">
        <f>IFERROR(__xludf.DUMMYFUNCTION("""COMPUTED_VALUE"""),"2018-19")</f>
        <v>2018-19</v>
      </c>
      <c r="D2769" s="163" t="str">
        <f>IFERROR(__xludf.DUMMYFUNCTION("""COMPUTED_VALUE"""),"GSW")</f>
        <v>GSW</v>
      </c>
      <c r="E2769" s="164" t="str">
        <f>IFERROR(__xludf.DUMMYFUNCTION("""COMPUTED_VALUE"""),"Secondary Ball Handler")</f>
        <v>Secondary Ball Handler</v>
      </c>
      <c r="F2769" s="164">
        <f>IFERROR(__xludf.DUMMYFUNCTION("""COMPUTED_VALUE"""),1058.90166666667)</f>
        <v>1058.901667</v>
      </c>
      <c r="G2769" s="163">
        <f>IFERROR(__xludf.DUMMYFUNCTION("""COMPUTED_VALUE"""),74.0)</f>
        <v>74</v>
      </c>
      <c r="H2769" s="163" t="str">
        <f>IFERROR(__xludf.DUMMYFUNCTION("""COMPUTED_VALUE"""),"PG")</f>
        <v>PG</v>
      </c>
      <c r="I2769" s="163">
        <f>IFERROR(__xludf.DUMMYFUNCTION("""COMPUTED_VALUE"""),25.0)</f>
        <v>25</v>
      </c>
      <c r="J2769" s="165">
        <f>IFERROR(__xludf.DUMMYFUNCTION("""COMPUTED_VALUE"""),-2.8879060243983)</f>
        <v>-2.887906024</v>
      </c>
      <c r="K2769" s="165">
        <f>IFERROR(__xludf.DUMMYFUNCTION("""COMPUTED_VALUE"""),-0.703163950989976)</f>
        <v>-0.703163951</v>
      </c>
      <c r="L2769" s="165">
        <f>IFERROR(__xludf.DUMMYFUNCTION("""COMPUTED_VALUE"""),-2.18474207340832)</f>
        <v>-2.184742073</v>
      </c>
      <c r="M2769" s="166">
        <f t="shared" si="2"/>
        <v>-0.4056453618</v>
      </c>
      <c r="N2769" s="167">
        <f t="shared" si="3"/>
        <v>14.30948198</v>
      </c>
      <c r="O2769" s="163">
        <f t="shared" ref="O2769:Q2769" si="2773">rank(I2769,I:I)</f>
        <v>1995</v>
      </c>
      <c r="P2769" s="163">
        <f t="shared" si="2773"/>
        <v>3863</v>
      </c>
      <c r="Q2769" s="163">
        <f t="shared" si="2773"/>
        <v>2420</v>
      </c>
      <c r="R2769" s="163">
        <f>IFERROR(__xludf.DUMMYFUNCTION("RANK(M2769,filter(M:M,C:C=C2769))"),514.0)</f>
        <v>514</v>
      </c>
      <c r="S2769" s="161" t="b">
        <f t="shared" si="5"/>
        <v>0</v>
      </c>
      <c r="T2769" s="161" t="b">
        <f t="array" ref="T2769">index('Query Tool'!B:B,match(H2769,'Query Tool'!C:C,0))</f>
        <v>1</v>
      </c>
      <c r="U2769" s="161" t="b">
        <f t="array" ref="U2769">index('Query Tool'!B:B,match(C2769,'Query Tool'!C:C,0))</f>
        <v>0</v>
      </c>
      <c r="V2769" s="161" t="b">
        <f>F2769&gt;='Query Tool'!C$32</f>
        <v>1</v>
      </c>
      <c r="W2769" s="161" t="b">
        <f t="array" ref="W2769">index(Dropdowns!B:B,match(I2769,Dropdowns!A:A,0))</f>
        <v>1</v>
      </c>
      <c r="X2769" s="161" t="b">
        <f t="array" ref="X2769">index('Query Tool'!B:B,match(D2769,'Query Tool'!C:C,0))</f>
        <v>1</v>
      </c>
      <c r="Y2769" s="161" t="str">
        <f t="shared" si="6"/>
        <v>cookqu01,2018-19</v>
      </c>
      <c r="Z2769" s="168">
        <f t="array" ref="Z2769">iferror(index(I:I,match($A2769&amp;","&amp;index('Year Conversion'!$A:$A,match($C2769,'Year Conversion'!$B:$B,0)),$Y:$Y,0))-I2769,"")</f>
        <v>1</v>
      </c>
      <c r="AA2769" s="168">
        <f t="array" ref="AA2769">iferror(index(J:J,match($A2769&amp;","&amp;index('Year Conversion'!$A:$A,match($C2769,'Year Conversion'!$B:$B,0)),$Y:$Y,0))-J2769,"")</f>
        <v>0.9497525617</v>
      </c>
      <c r="AB2769" s="168">
        <f t="array" ref="AB2769">iferror(index(K:K,match($A2769&amp;","&amp;index('Year Conversion'!$A:$A,match($C2769,'Year Conversion'!$B:$B,0)),$Y:$Y,0))-K2769,"")</f>
        <v>0.06829120054</v>
      </c>
      <c r="AC2769" s="168" t="str">
        <f t="shared" si="7"/>
        <v>GSW,2018-19</v>
      </c>
    </row>
    <row r="2770">
      <c r="A2770" s="161" t="str">
        <f>IFERROR(__xludf.DUMMYFUNCTION("""COMPUTED_VALUE"""),"connapa01")</f>
        <v>connapa01</v>
      </c>
      <c r="B2770" s="161" t="str">
        <f>IFERROR(__xludf.DUMMYFUNCTION("""COMPUTED_VALUE"""),"Pat Connaughton")</f>
        <v>Pat Connaughton</v>
      </c>
      <c r="C2770" s="162" t="str">
        <f>IFERROR(__xludf.DUMMYFUNCTION("""COMPUTED_VALUE"""),"2018-19")</f>
        <v>2018-19</v>
      </c>
      <c r="D2770" s="163" t="str">
        <f>IFERROR(__xludf.DUMMYFUNCTION("""COMPUTED_VALUE"""),"MIL")</f>
        <v>MIL</v>
      </c>
      <c r="E2770" s="164" t="str">
        <f>IFERROR(__xludf.DUMMYFUNCTION("""COMPUTED_VALUE"""),"Athletic Finisher")</f>
        <v>Athletic Finisher</v>
      </c>
      <c r="F2770" s="164">
        <f>IFERROR(__xludf.DUMMYFUNCTION("""COMPUTED_VALUE"""),1261.17333333333)</f>
        <v>1261.173333</v>
      </c>
      <c r="G2770" s="163">
        <f>IFERROR(__xludf.DUMMYFUNCTION("""COMPUTED_VALUE"""),61.0)</f>
        <v>61</v>
      </c>
      <c r="H2770" s="163" t="str">
        <f>IFERROR(__xludf.DUMMYFUNCTION("""COMPUTED_VALUE"""),"SG")</f>
        <v>SG</v>
      </c>
      <c r="I2770" s="163">
        <f>IFERROR(__xludf.DUMMYFUNCTION("""COMPUTED_VALUE"""),26.0)</f>
        <v>26</v>
      </c>
      <c r="J2770" s="165">
        <f>IFERROR(__xludf.DUMMYFUNCTION("""COMPUTED_VALUE"""),0.0385201622763456)</f>
        <v>0.03852016228</v>
      </c>
      <c r="K2770" s="165">
        <f>IFERROR(__xludf.DUMMYFUNCTION("""COMPUTED_VALUE"""),0.322942876803441)</f>
        <v>0.3229428768</v>
      </c>
      <c r="L2770" s="165">
        <f>IFERROR(__xludf.DUMMYFUNCTION("""COMPUTED_VALUE"""),-0.284422714527096)</f>
        <v>-0.2844227145</v>
      </c>
      <c r="M2770" s="166">
        <f t="shared" si="2"/>
        <v>1.977061368</v>
      </c>
      <c r="N2770" s="167">
        <f t="shared" si="3"/>
        <v>20.67497268</v>
      </c>
      <c r="O2770" s="163">
        <f t="shared" ref="O2770:Q2770" si="2774">rank(I2770,I:I)</f>
        <v>1665</v>
      </c>
      <c r="P2770" s="163">
        <f t="shared" si="2774"/>
        <v>1254</v>
      </c>
      <c r="Q2770" s="163">
        <f t="shared" si="2774"/>
        <v>891</v>
      </c>
      <c r="R2770" s="163">
        <f>IFERROR(__xludf.DUMMYFUNCTION("RANK(M2770,filter(M:M,C:C=C2770))"),152.0)</f>
        <v>152</v>
      </c>
      <c r="S2770" s="161" t="b">
        <f t="shared" si="5"/>
        <v>0</v>
      </c>
      <c r="T2770" s="161" t="b">
        <f t="array" ref="T2770">index('Query Tool'!B:B,match(H2770,'Query Tool'!C:C,0))</f>
        <v>1</v>
      </c>
      <c r="U2770" s="161" t="b">
        <f t="array" ref="U2770">index('Query Tool'!B:B,match(C2770,'Query Tool'!C:C,0))</f>
        <v>0</v>
      </c>
      <c r="V2770" s="161" t="b">
        <f>F2770&gt;='Query Tool'!C$32</f>
        <v>1</v>
      </c>
      <c r="W2770" s="161" t="b">
        <f t="array" ref="W2770">index(Dropdowns!B:B,match(I2770,Dropdowns!A:A,0))</f>
        <v>1</v>
      </c>
      <c r="X2770" s="161" t="b">
        <f t="array" ref="X2770">index('Query Tool'!B:B,match(D2770,'Query Tool'!C:C,0))</f>
        <v>1</v>
      </c>
      <c r="Y2770" s="161" t="str">
        <f t="shared" si="6"/>
        <v>connapa01,2018-19</v>
      </c>
      <c r="Z2770" s="168">
        <f t="array" ref="Z2770">iferror(index(I:I,match($A2770&amp;","&amp;index('Year Conversion'!$A:$A,match($C2770,'Year Conversion'!$B:$B,0)),$Y:$Y,0))-I2770,"")</f>
        <v>1</v>
      </c>
      <c r="AA2770" s="168">
        <f t="array" ref="AA2770">iferror(index(J:J,match($A2770&amp;","&amp;index('Year Conversion'!$A:$A,match($C2770,'Year Conversion'!$B:$B,0)),$Y:$Y,0))-J2770,"")</f>
        <v>0.04598020542</v>
      </c>
      <c r="AB2770" s="168">
        <f t="array" ref="AB2770">iferror(index(K:K,match($A2770&amp;","&amp;index('Year Conversion'!$A:$A,match($C2770,'Year Conversion'!$B:$B,0)),$Y:$Y,0))-K2770,"")</f>
        <v>-0.5423765352</v>
      </c>
      <c r="AC2770" s="168" t="str">
        <f t="shared" si="7"/>
        <v>MIL,2018-19</v>
      </c>
    </row>
    <row r="2771">
      <c r="A2771" s="161" t="str">
        <f>IFERROR(__xludf.DUMMYFUNCTION("""COMPUTED_VALUE"""),"hernawi01")</f>
        <v>hernawi01</v>
      </c>
      <c r="B2771" s="161" t="str">
        <f>IFERROR(__xludf.DUMMYFUNCTION("""COMPUTED_VALUE"""),"Willy Hernangomez")</f>
        <v>Willy Hernangomez</v>
      </c>
      <c r="C2771" s="162" t="str">
        <f>IFERROR(__xludf.DUMMYFUNCTION("""COMPUTED_VALUE"""),"2018-19")</f>
        <v>2018-19</v>
      </c>
      <c r="D2771" s="163" t="str">
        <f>IFERROR(__xludf.DUMMYFUNCTION("""COMPUTED_VALUE"""),"CHO")</f>
        <v>CHO</v>
      </c>
      <c r="E2771" s="164" t="str">
        <f>IFERROR(__xludf.DUMMYFUNCTION("""COMPUTED_VALUE"""),"Roll + Cut Big")</f>
        <v>Roll + Cut Big</v>
      </c>
      <c r="F2771" s="164">
        <f>IFERROR(__xludf.DUMMYFUNCTION("""COMPUTED_VALUE"""),811.853333333333)</f>
        <v>811.8533333</v>
      </c>
      <c r="G2771" s="163">
        <f>IFERROR(__xludf.DUMMYFUNCTION("""COMPUTED_VALUE"""),58.0)</f>
        <v>58</v>
      </c>
      <c r="H2771" s="163" t="str">
        <f>IFERROR(__xludf.DUMMYFUNCTION("""COMPUTED_VALUE"""),"C")</f>
        <v>C</v>
      </c>
      <c r="I2771" s="163">
        <f>IFERROR(__xludf.DUMMYFUNCTION("""COMPUTED_VALUE"""),24.0)</f>
        <v>24</v>
      </c>
      <c r="J2771" s="165">
        <f>IFERROR(__xludf.DUMMYFUNCTION("""COMPUTED_VALUE"""),-0.799081921969016)</f>
        <v>-0.799081922</v>
      </c>
      <c r="K2771" s="165">
        <f>IFERROR(__xludf.DUMMYFUNCTION("""COMPUTED_VALUE"""),0.430331230898448)</f>
        <v>0.4303312309</v>
      </c>
      <c r="L2771" s="165">
        <f>IFERROR(__xludf.DUMMYFUNCTION("""COMPUTED_VALUE"""),-1.22941315286746)</f>
        <v>-1.229413153</v>
      </c>
      <c r="M2771" s="166">
        <f t="shared" si="2"/>
        <v>0.8146226798</v>
      </c>
      <c r="N2771" s="167">
        <f t="shared" si="3"/>
        <v>13.99747126</v>
      </c>
      <c r="O2771" s="163">
        <f t="shared" ref="O2771:Q2771" si="2775">rank(I2771,I:I)</f>
        <v>2361</v>
      </c>
      <c r="P2771" s="163">
        <f t="shared" si="2775"/>
        <v>2274</v>
      </c>
      <c r="Q2771" s="163">
        <f t="shared" si="2775"/>
        <v>809</v>
      </c>
      <c r="R2771" s="163">
        <f>IFERROR(__xludf.DUMMYFUNCTION("RANK(M2771,filter(M:M,C:C=C2771))"),236.0)</f>
        <v>236</v>
      </c>
      <c r="S2771" s="161" t="b">
        <f t="shared" si="5"/>
        <v>0</v>
      </c>
      <c r="T2771" s="161" t="b">
        <f t="array" ref="T2771">index('Query Tool'!B:B,match(H2771,'Query Tool'!C:C,0))</f>
        <v>1</v>
      </c>
      <c r="U2771" s="161" t="b">
        <f t="array" ref="U2771">index('Query Tool'!B:B,match(C2771,'Query Tool'!C:C,0))</f>
        <v>0</v>
      </c>
      <c r="V2771" s="161" t="b">
        <f>F2771&gt;='Query Tool'!C$32</f>
        <v>1</v>
      </c>
      <c r="W2771" s="161" t="b">
        <f t="array" ref="W2771">index(Dropdowns!B:B,match(I2771,Dropdowns!A:A,0))</f>
        <v>1</v>
      </c>
      <c r="X2771" s="161" t="b">
        <f t="array" ref="X2771">index('Query Tool'!B:B,match(D2771,'Query Tool'!C:C,0))</f>
        <v>1</v>
      </c>
      <c r="Y2771" s="161" t="str">
        <f t="shared" si="6"/>
        <v>hernawi01,2018-19</v>
      </c>
      <c r="Z2771" s="168">
        <f t="array" ref="Z2771">iferror(index(I:I,match($A2771&amp;","&amp;index('Year Conversion'!$A:$A,match($C2771,'Year Conversion'!$B:$B,0)),$Y:$Y,0))-I2771,"")</f>
        <v>1</v>
      </c>
      <c r="AA2771" s="168">
        <f t="array" ref="AA2771">iferror(index(J:J,match($A2771&amp;","&amp;index('Year Conversion'!$A:$A,match($C2771,'Year Conversion'!$B:$B,0)),$Y:$Y,0))-J2771,"")</f>
        <v>0.7107243398</v>
      </c>
      <c r="AB2771" s="168">
        <f t="array" ref="AB2771">iferror(index(K:K,match($A2771&amp;","&amp;index('Year Conversion'!$A:$A,match($C2771,'Year Conversion'!$B:$B,0)),$Y:$Y,0))-K2771,"")</f>
        <v>-0.3421141691</v>
      </c>
      <c r="AC2771" s="168" t="str">
        <f t="shared" si="7"/>
        <v>CHO,2018-19</v>
      </c>
    </row>
    <row r="2772">
      <c r="A2772" s="161" t="str">
        <f>IFERROR(__xludf.DUMMYFUNCTION("""COMPUTED_VALUE"""),"richajo01")</f>
        <v>richajo01</v>
      </c>
      <c r="B2772" s="161" t="str">
        <f>IFERROR(__xludf.DUMMYFUNCTION("""COMPUTED_VALUE"""),"Josh Richardson")</f>
        <v>Josh Richardson</v>
      </c>
      <c r="C2772" s="162" t="str">
        <f>IFERROR(__xludf.DUMMYFUNCTION("""COMPUTED_VALUE"""),"2018-19")</f>
        <v>2018-19</v>
      </c>
      <c r="D2772" s="163" t="str">
        <f>IFERROR(__xludf.DUMMYFUNCTION("""COMPUTED_VALUE"""),"MIA")</f>
        <v>MIA</v>
      </c>
      <c r="E2772" s="164" t="str">
        <f>IFERROR(__xludf.DUMMYFUNCTION("""COMPUTED_VALUE"""),"Primary Ball Handler")</f>
        <v>Primary Ball Handler</v>
      </c>
      <c r="F2772" s="164">
        <f>IFERROR(__xludf.DUMMYFUNCTION("""COMPUTED_VALUE"""),2539.43)</f>
        <v>2539.43</v>
      </c>
      <c r="G2772" s="163">
        <f>IFERROR(__xludf.DUMMYFUNCTION("""COMPUTED_VALUE"""),73.0)</f>
        <v>73</v>
      </c>
      <c r="H2772" s="163" t="str">
        <f>IFERROR(__xludf.DUMMYFUNCTION("""COMPUTED_VALUE"""),"SG")</f>
        <v>SG</v>
      </c>
      <c r="I2772" s="163">
        <f>IFERROR(__xludf.DUMMYFUNCTION("""COMPUTED_VALUE"""),25.0)</f>
        <v>25</v>
      </c>
      <c r="J2772" s="165">
        <f>IFERROR(__xludf.DUMMYFUNCTION("""COMPUTED_VALUE"""),0.399587403894582)</f>
        <v>0.3995874039</v>
      </c>
      <c r="K2772" s="165">
        <f>IFERROR(__xludf.DUMMYFUNCTION("""COMPUTED_VALUE"""),0.0307461986724988)</f>
        <v>0.03074619867</v>
      </c>
      <c r="L2772" s="165">
        <f>IFERROR(__xludf.DUMMYFUNCTION("""COMPUTED_VALUE"""),0.368841205222083)</f>
        <v>0.3688412052</v>
      </c>
      <c r="M2772" s="166">
        <f t="shared" si="2"/>
        <v>4.598919628</v>
      </c>
      <c r="N2772" s="167">
        <f t="shared" si="3"/>
        <v>34.78671233</v>
      </c>
      <c r="O2772" s="163">
        <f t="shared" ref="O2772:Q2772" si="2776">rank(I2772,I:I)</f>
        <v>1995</v>
      </c>
      <c r="P2772" s="163">
        <f t="shared" si="2776"/>
        <v>948</v>
      </c>
      <c r="Q2772" s="163">
        <f t="shared" si="2776"/>
        <v>1155</v>
      </c>
      <c r="R2772" s="163">
        <f>IFERROR(__xludf.DUMMYFUNCTION("RANK(M2772,filter(M:M,C:C=C2772))"),67.0)</f>
        <v>67</v>
      </c>
      <c r="S2772" s="161" t="b">
        <f t="shared" si="5"/>
        <v>0</v>
      </c>
      <c r="T2772" s="161" t="b">
        <f t="array" ref="T2772">index('Query Tool'!B:B,match(H2772,'Query Tool'!C:C,0))</f>
        <v>1</v>
      </c>
      <c r="U2772" s="161" t="b">
        <f t="array" ref="U2772">index('Query Tool'!B:B,match(C2772,'Query Tool'!C:C,0))</f>
        <v>0</v>
      </c>
      <c r="V2772" s="161" t="b">
        <f>F2772&gt;='Query Tool'!C$32</f>
        <v>1</v>
      </c>
      <c r="W2772" s="161" t="b">
        <f t="array" ref="W2772">index(Dropdowns!B:B,match(I2772,Dropdowns!A:A,0))</f>
        <v>1</v>
      </c>
      <c r="X2772" s="161" t="b">
        <f t="array" ref="X2772">index('Query Tool'!B:B,match(D2772,'Query Tool'!C:C,0))</f>
        <v>1</v>
      </c>
      <c r="Y2772" s="161" t="str">
        <f t="shared" si="6"/>
        <v>richajo01,2018-19</v>
      </c>
      <c r="Z2772" s="168">
        <f t="array" ref="Z2772">iferror(index(I:I,match($A2772&amp;","&amp;index('Year Conversion'!$A:$A,match($C2772,'Year Conversion'!$B:$B,0)),$Y:$Y,0))-I2772,"")</f>
        <v>1</v>
      </c>
      <c r="AA2772" s="168">
        <f t="array" ref="AA2772">iferror(index(J:J,match($A2772&amp;","&amp;index('Year Conversion'!$A:$A,match($C2772,'Year Conversion'!$B:$B,0)),$Y:$Y,0))-J2772,"")</f>
        <v>-1.04386884</v>
      </c>
      <c r="AB2772" s="168">
        <f t="array" ref="AB2772">iferror(index(K:K,match($A2772&amp;","&amp;index('Year Conversion'!$A:$A,match($C2772,'Year Conversion'!$B:$B,0)),$Y:$Y,0))-K2772,"")</f>
        <v>-0.6040489783</v>
      </c>
      <c r="AC2772" s="168" t="str">
        <f t="shared" si="7"/>
        <v>MIA,2018-19</v>
      </c>
    </row>
    <row r="2773">
      <c r="A2773" s="161" t="str">
        <f>IFERROR(__xludf.DUMMYFUNCTION("""COMPUTED_VALUE"""),"grahatr01")</f>
        <v>grahatr01</v>
      </c>
      <c r="B2773" s="161" t="str">
        <f>IFERROR(__xludf.DUMMYFUNCTION("""COMPUTED_VALUE"""),"Treveon Graham")</f>
        <v>Treveon Graham</v>
      </c>
      <c r="C2773" s="162" t="str">
        <f>IFERROR(__xludf.DUMMYFUNCTION("""COMPUTED_VALUE"""),"2018-19")</f>
        <v>2018-19</v>
      </c>
      <c r="D2773" s="163" t="str">
        <f>IFERROR(__xludf.DUMMYFUNCTION("""COMPUTED_VALUE"""),"BRK")</f>
        <v>BRK</v>
      </c>
      <c r="E2773" s="164" t="str">
        <f>IFERROR(__xludf.DUMMYFUNCTION("""COMPUTED_VALUE"""),"Movement Shooter")</f>
        <v>Movement Shooter</v>
      </c>
      <c r="F2773" s="164">
        <f>IFERROR(__xludf.DUMMYFUNCTION("""COMPUTED_VALUE"""),715.361666666667)</f>
        <v>715.3616667</v>
      </c>
      <c r="G2773" s="163">
        <f>IFERROR(__xludf.DUMMYFUNCTION("""COMPUTED_VALUE"""),35.0)</f>
        <v>35</v>
      </c>
      <c r="H2773" s="163" t="str">
        <f>IFERROR(__xludf.DUMMYFUNCTION("""COMPUTED_VALUE"""),"SG")</f>
        <v>SG</v>
      </c>
      <c r="I2773" s="163">
        <f>IFERROR(__xludf.DUMMYFUNCTION("""COMPUTED_VALUE"""),25.0)</f>
        <v>25</v>
      </c>
      <c r="J2773" s="165">
        <f>IFERROR(__xludf.DUMMYFUNCTION("""COMPUTED_VALUE"""),-1.14006476828596)</f>
        <v>-1.140064768</v>
      </c>
      <c r="K2773" s="165">
        <f>IFERROR(__xludf.DUMMYFUNCTION("""COMPUTED_VALUE"""),-0.904613231650739)</f>
        <v>-0.9046132317</v>
      </c>
      <c r="L2773" s="165">
        <f>IFERROR(__xludf.DUMMYFUNCTION("""COMPUTED_VALUE"""),-0.235451536635217)</f>
        <v>-0.2354515366</v>
      </c>
      <c r="M2773" s="166">
        <f t="shared" si="2"/>
        <v>0.5539985543</v>
      </c>
      <c r="N2773" s="167">
        <f t="shared" si="3"/>
        <v>20.43890476</v>
      </c>
      <c r="O2773" s="163">
        <f t="shared" ref="O2773:Q2773" si="2777">rank(I2773,I:I)</f>
        <v>1995</v>
      </c>
      <c r="P2773" s="163">
        <f t="shared" si="2777"/>
        <v>2669</v>
      </c>
      <c r="Q2773" s="163">
        <f t="shared" si="2777"/>
        <v>2698</v>
      </c>
      <c r="R2773" s="163">
        <f>IFERROR(__xludf.DUMMYFUNCTION("RANK(M2773,filter(M:M,C:C=C2773))"),279.0)</f>
        <v>279</v>
      </c>
      <c r="S2773" s="161" t="b">
        <f t="shared" si="5"/>
        <v>0</v>
      </c>
      <c r="T2773" s="161" t="b">
        <f t="array" ref="T2773">index('Query Tool'!B:B,match(H2773,'Query Tool'!C:C,0))</f>
        <v>1</v>
      </c>
      <c r="U2773" s="161" t="b">
        <f t="array" ref="U2773">index('Query Tool'!B:B,match(C2773,'Query Tool'!C:C,0))</f>
        <v>0</v>
      </c>
      <c r="V2773" s="161" t="b">
        <f>F2773&gt;='Query Tool'!C$32</f>
        <v>1</v>
      </c>
      <c r="W2773" s="161" t="b">
        <f t="array" ref="W2773">index(Dropdowns!B:B,match(I2773,Dropdowns!A:A,0))</f>
        <v>1</v>
      </c>
      <c r="X2773" s="161" t="b">
        <f t="array" ref="X2773">index('Query Tool'!B:B,match(D2773,'Query Tool'!C:C,0))</f>
        <v>1</v>
      </c>
      <c r="Y2773" s="161" t="str">
        <f t="shared" si="6"/>
        <v>grahatr01,2018-19</v>
      </c>
      <c r="Z2773" s="168">
        <f t="array" ref="Z2773">iferror(index(I:I,match($A2773&amp;","&amp;index('Year Conversion'!$A:$A,match($C2773,'Year Conversion'!$B:$B,0)),$Y:$Y,0))-I2773,"")</f>
        <v>1</v>
      </c>
      <c r="AA2773" s="168">
        <f t="array" ref="AA2773">iferror(index(J:J,match($A2773&amp;","&amp;index('Year Conversion'!$A:$A,match($C2773,'Year Conversion'!$B:$B,0)),$Y:$Y,0))-J2773,"")</f>
        <v>-0.8164602334</v>
      </c>
      <c r="AB2773" s="168">
        <f t="array" ref="AB2773">iferror(index(K:K,match($A2773&amp;","&amp;index('Year Conversion'!$A:$A,match($C2773,'Year Conversion'!$B:$B,0)),$Y:$Y,0))-K2773,"")</f>
        <v>-0.746668312</v>
      </c>
      <c r="AC2773" s="168" t="str">
        <f t="shared" si="7"/>
        <v>BRK,2018-19</v>
      </c>
    </row>
    <row r="2774">
      <c r="A2774" s="161" t="str">
        <f>IFERROR(__xludf.DUMMYFUNCTION("""COMPUTED_VALUE"""),"nancela02")</f>
        <v>nancela02</v>
      </c>
      <c r="B2774" s="161" t="str">
        <f>IFERROR(__xludf.DUMMYFUNCTION("""COMPUTED_VALUE"""),"Larry Nance Jr.")</f>
        <v>Larry Nance Jr.</v>
      </c>
      <c r="C2774" s="162" t="str">
        <f>IFERROR(__xludf.DUMMYFUNCTION("""COMPUTED_VALUE"""),"2018-19")</f>
        <v>2018-19</v>
      </c>
      <c r="D2774" s="163" t="str">
        <f>IFERROR(__xludf.DUMMYFUNCTION("""COMPUTED_VALUE"""),"CLE")</f>
        <v>CLE</v>
      </c>
      <c r="E2774" s="164" t="str">
        <f>IFERROR(__xludf.DUMMYFUNCTION("""COMPUTED_VALUE"""),"Roll + Cut Big")</f>
        <v>Roll + Cut Big</v>
      </c>
      <c r="F2774" s="164">
        <f>IFERROR(__xludf.DUMMYFUNCTION("""COMPUTED_VALUE"""),1795.44333333333)</f>
        <v>1795.443333</v>
      </c>
      <c r="G2774" s="163">
        <f>IFERROR(__xludf.DUMMYFUNCTION("""COMPUTED_VALUE"""),67.0)</f>
        <v>67</v>
      </c>
      <c r="H2774" s="163" t="str">
        <f>IFERROR(__xludf.DUMMYFUNCTION("""COMPUTED_VALUE"""),"C")</f>
        <v>C</v>
      </c>
      <c r="I2774" s="163">
        <f>IFERROR(__xludf.DUMMYFUNCTION("""COMPUTED_VALUE"""),26.0)</f>
        <v>26</v>
      </c>
      <c r="J2774" s="165">
        <f>IFERROR(__xludf.DUMMYFUNCTION("""COMPUTED_VALUE"""),0.683583629055001)</f>
        <v>0.6835836291</v>
      </c>
      <c r="K2774" s="165">
        <f>IFERROR(__xludf.DUMMYFUNCTION("""COMPUTED_VALUE"""),-0.165654050709026)</f>
        <v>-0.1656540507</v>
      </c>
      <c r="L2774" s="165">
        <f>IFERROR(__xludf.DUMMYFUNCTION("""COMPUTED_VALUE"""),0.849237679764027)</f>
        <v>0.8492376798</v>
      </c>
      <c r="M2774" s="166">
        <f t="shared" si="2"/>
        <v>3.594895625</v>
      </c>
      <c r="N2774" s="167">
        <f t="shared" si="3"/>
        <v>26.79766169</v>
      </c>
      <c r="O2774" s="163">
        <f t="shared" ref="O2774:Q2774" si="2778">rank(I2774,I:I)</f>
        <v>1665</v>
      </c>
      <c r="P2774" s="163">
        <f t="shared" si="2778"/>
        <v>804</v>
      </c>
      <c r="Q2774" s="163">
        <f t="shared" si="2778"/>
        <v>1505</v>
      </c>
      <c r="R2774" s="163">
        <f>IFERROR(__xludf.DUMMYFUNCTION("RANK(M2774,filter(M:M,C:C=C2774))"),95.0)</f>
        <v>95</v>
      </c>
      <c r="S2774" s="161" t="b">
        <f t="shared" si="5"/>
        <v>0</v>
      </c>
      <c r="T2774" s="161" t="b">
        <f t="array" ref="T2774">index('Query Tool'!B:B,match(H2774,'Query Tool'!C:C,0))</f>
        <v>1</v>
      </c>
      <c r="U2774" s="161" t="b">
        <f t="array" ref="U2774">index('Query Tool'!B:B,match(C2774,'Query Tool'!C:C,0))</f>
        <v>0</v>
      </c>
      <c r="V2774" s="161" t="b">
        <f>F2774&gt;='Query Tool'!C$32</f>
        <v>1</v>
      </c>
      <c r="W2774" s="161" t="b">
        <f t="array" ref="W2774">index(Dropdowns!B:B,match(I2774,Dropdowns!A:A,0))</f>
        <v>1</v>
      </c>
      <c r="X2774" s="161" t="b">
        <f t="array" ref="X2774">index('Query Tool'!B:B,match(D2774,'Query Tool'!C:C,0))</f>
        <v>1</v>
      </c>
      <c r="Y2774" s="161" t="str">
        <f t="shared" si="6"/>
        <v>nancela02,2018-19</v>
      </c>
      <c r="Z2774" s="168">
        <f t="array" ref="Z2774">iferror(index(I:I,match($A2774&amp;","&amp;index('Year Conversion'!$A:$A,match($C2774,'Year Conversion'!$B:$B,0)),$Y:$Y,0))-I2774,"")</f>
        <v>1</v>
      </c>
      <c r="AA2774" s="168">
        <f t="array" ref="AA2774">iferror(index(J:J,match($A2774&amp;","&amp;index('Year Conversion'!$A:$A,match($C2774,'Year Conversion'!$B:$B,0)),$Y:$Y,0))-J2774,"")</f>
        <v>-0.4799001955</v>
      </c>
      <c r="AB2774" s="168">
        <f t="array" ref="AB2774">iferror(index(K:K,match($A2774&amp;","&amp;index('Year Conversion'!$A:$A,match($C2774,'Year Conversion'!$B:$B,0)),$Y:$Y,0))-K2774,"")</f>
        <v>0.08313019907</v>
      </c>
      <c r="AC2774" s="168" t="str">
        <f t="shared" si="7"/>
        <v>CLE,2018-19</v>
      </c>
    </row>
    <row r="2775">
      <c r="A2775" s="161" t="str">
        <f>IFERROR(__xludf.DUMMYFUNCTION("""COMPUTED_VALUE"""),"hezonma01")</f>
        <v>hezonma01</v>
      </c>
      <c r="B2775" s="161" t="str">
        <f>IFERROR(__xludf.DUMMYFUNCTION("""COMPUTED_VALUE"""),"Mario Hezonja")</f>
        <v>Mario Hezonja</v>
      </c>
      <c r="C2775" s="162" t="str">
        <f>IFERROR(__xludf.DUMMYFUNCTION("""COMPUTED_VALUE"""),"2018-19")</f>
        <v>2018-19</v>
      </c>
      <c r="D2775" s="163" t="str">
        <f>IFERROR(__xludf.DUMMYFUNCTION("""COMPUTED_VALUE"""),"NYK")</f>
        <v>NYK</v>
      </c>
      <c r="E2775" s="164" t="str">
        <f>IFERROR(__xludf.DUMMYFUNCTION("""COMPUTED_VALUE"""),"Secondary Ball Handler")</f>
        <v>Secondary Ball Handler</v>
      </c>
      <c r="F2775" s="164">
        <f>IFERROR(__xludf.DUMMYFUNCTION("""COMPUTED_VALUE"""),1206.27)</f>
        <v>1206.27</v>
      </c>
      <c r="G2775" s="163">
        <f>IFERROR(__xludf.DUMMYFUNCTION("""COMPUTED_VALUE"""),58.0)</f>
        <v>58</v>
      </c>
      <c r="H2775" s="163" t="str">
        <f>IFERROR(__xludf.DUMMYFUNCTION("""COMPUTED_VALUE"""),"SF")</f>
        <v>SF</v>
      </c>
      <c r="I2775" s="163">
        <f>IFERROR(__xludf.DUMMYFUNCTION("""COMPUTED_VALUE"""),23.0)</f>
        <v>23</v>
      </c>
      <c r="J2775" s="165">
        <f>IFERROR(__xludf.DUMMYFUNCTION("""COMPUTED_VALUE"""),-1.09172665203244)</f>
        <v>-1.091726652</v>
      </c>
      <c r="K2775" s="165">
        <f>IFERROR(__xludf.DUMMYFUNCTION("""COMPUTED_VALUE"""),-1.39668769069639)</f>
        <v>-1.396687691</v>
      </c>
      <c r="L2775" s="165">
        <f>IFERROR(__xludf.DUMMYFUNCTION("""COMPUTED_VALUE"""),0.304961038663941)</f>
        <v>0.3049610387</v>
      </c>
      <c r="M2775" s="166">
        <f t="shared" si="2"/>
        <v>0.9732812711</v>
      </c>
      <c r="N2775" s="167">
        <f t="shared" si="3"/>
        <v>20.79775862</v>
      </c>
      <c r="O2775" s="163">
        <f t="shared" ref="O2775:Q2775" si="2779">rank(I2775,I:I)</f>
        <v>2765</v>
      </c>
      <c r="P2775" s="163">
        <f t="shared" si="2779"/>
        <v>2601</v>
      </c>
      <c r="Q2775" s="163">
        <f t="shared" si="2779"/>
        <v>3251</v>
      </c>
      <c r="R2775" s="163">
        <f>IFERROR(__xludf.DUMMYFUNCTION("RANK(M2775,filter(M:M,C:C=C2775))"),227.0)</f>
        <v>227</v>
      </c>
      <c r="S2775" s="161" t="b">
        <f t="shared" si="5"/>
        <v>0</v>
      </c>
      <c r="T2775" s="161" t="b">
        <f t="array" ref="T2775">index('Query Tool'!B:B,match(H2775,'Query Tool'!C:C,0))</f>
        <v>1</v>
      </c>
      <c r="U2775" s="161" t="b">
        <f t="array" ref="U2775">index('Query Tool'!B:B,match(C2775,'Query Tool'!C:C,0))</f>
        <v>0</v>
      </c>
      <c r="V2775" s="161" t="b">
        <f>F2775&gt;='Query Tool'!C$32</f>
        <v>1</v>
      </c>
      <c r="W2775" s="161" t="b">
        <f t="array" ref="W2775">index(Dropdowns!B:B,match(I2775,Dropdowns!A:A,0))</f>
        <v>1</v>
      </c>
      <c r="X2775" s="161" t="b">
        <f t="array" ref="X2775">index('Query Tool'!B:B,match(D2775,'Query Tool'!C:C,0))</f>
        <v>1</v>
      </c>
      <c r="Y2775" s="161" t="str">
        <f t="shared" si="6"/>
        <v>hezonma01,2018-19</v>
      </c>
      <c r="Z2775" s="168">
        <f t="array" ref="Z2775">iferror(index(I:I,match($A2775&amp;","&amp;index('Year Conversion'!$A:$A,match($C2775,'Year Conversion'!$B:$B,0)),$Y:$Y,0))-I2775,"")</f>
        <v>1</v>
      </c>
      <c r="AA2775" s="168">
        <f t="array" ref="AA2775">iferror(index(J:J,match($A2775&amp;","&amp;index('Year Conversion'!$A:$A,match($C2775,'Year Conversion'!$B:$B,0)),$Y:$Y,0))-J2775,"")</f>
        <v>-1.318419667</v>
      </c>
      <c r="AB2775" s="168">
        <f t="array" ref="AB2775">iferror(index(K:K,match($A2775&amp;","&amp;index('Year Conversion'!$A:$A,match($C2775,'Year Conversion'!$B:$B,0)),$Y:$Y,0))-K2775,"")</f>
        <v>-0.9155321551</v>
      </c>
      <c r="AC2775" s="168" t="str">
        <f t="shared" si="7"/>
        <v>NYK,2018-19</v>
      </c>
    </row>
    <row r="2776">
      <c r="A2776" s="161" t="str">
        <f>IFERROR(__xludf.DUMMYFUNCTION("""COMPUTED_VALUE"""),"willial03")</f>
        <v>willial03</v>
      </c>
      <c r="B2776" s="161" t="str">
        <f>IFERROR(__xludf.DUMMYFUNCTION("""COMPUTED_VALUE"""),"Alan Williams")</f>
        <v>Alan Williams</v>
      </c>
      <c r="C2776" s="162" t="str">
        <f>IFERROR(__xludf.DUMMYFUNCTION("""COMPUTED_VALUE"""),"2018-19")</f>
        <v>2018-19</v>
      </c>
      <c r="D2776" s="163" t="str">
        <f>IFERROR(__xludf.DUMMYFUNCTION("""COMPUTED_VALUE"""),"BRK")</f>
        <v>BRK</v>
      </c>
      <c r="E2776" s="164" t="str">
        <f>IFERROR(__xludf.DUMMYFUNCTION("""COMPUTED_VALUE"""),"Roll + Cut Big")</f>
        <v>Roll + Cut Big</v>
      </c>
      <c r="F2776" s="164">
        <f>IFERROR(__xludf.DUMMYFUNCTION("""COMPUTED_VALUE"""),25.5333333333333)</f>
        <v>25.53333333</v>
      </c>
      <c r="G2776" s="163">
        <f>IFERROR(__xludf.DUMMYFUNCTION("""COMPUTED_VALUE"""),5.0)</f>
        <v>5</v>
      </c>
      <c r="H2776" s="163" t="str">
        <f>IFERROR(__xludf.DUMMYFUNCTION("""COMPUTED_VALUE"""),"PF")</f>
        <v>PF</v>
      </c>
      <c r="I2776" s="163">
        <f>IFERROR(__xludf.DUMMYFUNCTION("""COMPUTED_VALUE"""),26.0)</f>
        <v>26</v>
      </c>
      <c r="J2776" s="165">
        <f>IFERROR(__xludf.DUMMYFUNCTION("""COMPUTED_VALUE"""),0.211065366514253)</f>
        <v>0.2110653665</v>
      </c>
      <c r="K2776" s="165">
        <f>IFERROR(__xludf.DUMMYFUNCTION("""COMPUTED_VALUE"""),0.129103958911186)</f>
        <v>0.1291039589</v>
      </c>
      <c r="L2776" s="165">
        <f>IFERROR(__xludf.DUMMYFUNCTION("""COMPUTED_VALUE"""),0.081961407603067)</f>
        <v>0.0819614076</v>
      </c>
      <c r="M2776" s="166">
        <f t="shared" si="2"/>
        <v>0.04299700939</v>
      </c>
      <c r="N2776" s="167">
        <f t="shared" si="3"/>
        <v>5.106666667</v>
      </c>
      <c r="O2776" s="163">
        <f t="shared" ref="O2776:Q2776" si="2780">rank(I2776,I:I)</f>
        <v>1665</v>
      </c>
      <c r="P2776" s="163">
        <f t="shared" si="2780"/>
        <v>1077</v>
      </c>
      <c r="Q2776" s="163">
        <f t="shared" si="2780"/>
        <v>1042</v>
      </c>
      <c r="R2776" s="163">
        <f>IFERROR(__xludf.DUMMYFUNCTION("RANK(M2776,filter(M:M,C:C=C2776))"),431.0)</f>
        <v>431</v>
      </c>
      <c r="S2776" s="161" t="b">
        <f t="shared" si="5"/>
        <v>0</v>
      </c>
      <c r="T2776" s="161" t="b">
        <f t="array" ref="T2776">index('Query Tool'!B:B,match(H2776,'Query Tool'!C:C,0))</f>
        <v>1</v>
      </c>
      <c r="U2776" s="161" t="b">
        <f t="array" ref="U2776">index('Query Tool'!B:B,match(C2776,'Query Tool'!C:C,0))</f>
        <v>0</v>
      </c>
      <c r="V2776" s="161" t="b">
        <f>F2776&gt;='Query Tool'!C$32</f>
        <v>0</v>
      </c>
      <c r="W2776" s="161" t="b">
        <f t="array" ref="W2776">index(Dropdowns!B:B,match(I2776,Dropdowns!A:A,0))</f>
        <v>1</v>
      </c>
      <c r="X2776" s="161" t="b">
        <f t="array" ref="X2776">index('Query Tool'!B:B,match(D2776,'Query Tool'!C:C,0))</f>
        <v>1</v>
      </c>
      <c r="Y2776" s="161" t="str">
        <f t="shared" si="6"/>
        <v>willial03,2018-19</v>
      </c>
      <c r="Z2776" s="168" t="str">
        <f t="array" ref="Z2776">iferror(index(I:I,match($A2776&amp;","&amp;index('Year Conversion'!$A:$A,match($C2776,'Year Conversion'!$B:$B,0)),$Y:$Y,0))-I2776,"")</f>
        <v/>
      </c>
      <c r="AA2776" s="168" t="str">
        <f t="array" ref="AA2776">iferror(index(J:J,match($A2776&amp;","&amp;index('Year Conversion'!$A:$A,match($C2776,'Year Conversion'!$B:$B,0)),$Y:$Y,0))-J2776,"")</f>
        <v/>
      </c>
      <c r="AB2776" s="168" t="str">
        <f t="array" ref="AB2776">iferror(index(K:K,match($A2776&amp;","&amp;index('Year Conversion'!$A:$A,match($C2776,'Year Conversion'!$B:$B,0)),$Y:$Y,0))-K2776,"")</f>
        <v/>
      </c>
      <c r="AC2776" s="168" t="str">
        <f t="shared" si="7"/>
        <v>BRK,2018-19</v>
      </c>
    </row>
    <row r="2777">
      <c r="A2777" s="161" t="str">
        <f>IFERROR(__xludf.DUMMYFUNCTION("""COMPUTED_VALUE"""),"onealro01")</f>
        <v>onealro01</v>
      </c>
      <c r="B2777" s="161" t="str">
        <f>IFERROR(__xludf.DUMMYFUNCTION("""COMPUTED_VALUE"""),"Royce O'Neale")</f>
        <v>Royce O'Neale</v>
      </c>
      <c r="C2777" s="162" t="str">
        <f>IFERROR(__xludf.DUMMYFUNCTION("""COMPUTED_VALUE"""),"2018-19")</f>
        <v>2018-19</v>
      </c>
      <c r="D2777" s="163" t="str">
        <f>IFERROR(__xludf.DUMMYFUNCTION("""COMPUTED_VALUE"""),"UTA")</f>
        <v>UTA</v>
      </c>
      <c r="E2777" s="164" t="str">
        <f>IFERROR(__xludf.DUMMYFUNCTION("""COMPUTED_VALUE"""),"Stationary Shooter")</f>
        <v>Stationary Shooter</v>
      </c>
      <c r="F2777" s="164">
        <f>IFERROR(__xludf.DUMMYFUNCTION("""COMPUTED_VALUE"""),1671.105)</f>
        <v>1671.105</v>
      </c>
      <c r="G2777" s="163">
        <f>IFERROR(__xludf.DUMMYFUNCTION("""COMPUTED_VALUE"""),82.0)</f>
        <v>82</v>
      </c>
      <c r="H2777" s="163" t="str">
        <f>IFERROR(__xludf.DUMMYFUNCTION("""COMPUTED_VALUE"""),"SF")</f>
        <v>SF</v>
      </c>
      <c r="I2777" s="163">
        <f>IFERROR(__xludf.DUMMYFUNCTION("""COMPUTED_VALUE"""),25.0)</f>
        <v>25</v>
      </c>
      <c r="J2777" s="165">
        <f>IFERROR(__xludf.DUMMYFUNCTION("""COMPUTED_VALUE"""),-0.764474885438058)</f>
        <v>-0.7644748854</v>
      </c>
      <c r="K2777" s="165">
        <f>IFERROR(__xludf.DUMMYFUNCTION("""COMPUTED_VALUE"""),-1.70523438208151)</f>
        <v>-1.705234382</v>
      </c>
      <c r="L2777" s="165">
        <f>IFERROR(__xludf.DUMMYFUNCTION("""COMPUTED_VALUE"""),0.940759496643456)</f>
        <v>0.9407594966</v>
      </c>
      <c r="M2777" s="166">
        <f t="shared" si="2"/>
        <v>1.715695956</v>
      </c>
      <c r="N2777" s="167">
        <f t="shared" si="3"/>
        <v>20.37932927</v>
      </c>
      <c r="O2777" s="163">
        <f t="shared" ref="O2777:Q2777" si="2781">rank(I2777,I:I)</f>
        <v>1995</v>
      </c>
      <c r="P2777" s="163">
        <f t="shared" si="2781"/>
        <v>2231</v>
      </c>
      <c r="Q2777" s="163">
        <f t="shared" si="2781"/>
        <v>3521</v>
      </c>
      <c r="R2777" s="163">
        <f>IFERROR(__xludf.DUMMYFUNCTION("RANK(M2777,filter(M:M,C:C=C2777))"),171.0)</f>
        <v>171</v>
      </c>
      <c r="S2777" s="161" t="b">
        <f t="shared" si="5"/>
        <v>0</v>
      </c>
      <c r="T2777" s="161" t="b">
        <f t="array" ref="T2777">index('Query Tool'!B:B,match(H2777,'Query Tool'!C:C,0))</f>
        <v>1</v>
      </c>
      <c r="U2777" s="161" t="b">
        <f t="array" ref="U2777">index('Query Tool'!B:B,match(C2777,'Query Tool'!C:C,0))</f>
        <v>0</v>
      </c>
      <c r="V2777" s="161" t="b">
        <f>F2777&gt;='Query Tool'!C$32</f>
        <v>1</v>
      </c>
      <c r="W2777" s="161" t="b">
        <f t="array" ref="W2777">index(Dropdowns!B:B,match(I2777,Dropdowns!A:A,0))</f>
        <v>1</v>
      </c>
      <c r="X2777" s="161" t="b">
        <f t="array" ref="X2777">index('Query Tool'!B:B,match(D2777,'Query Tool'!C:C,0))</f>
        <v>1</v>
      </c>
      <c r="Y2777" s="161" t="str">
        <f t="shared" si="6"/>
        <v>onealro01,2018-19</v>
      </c>
      <c r="Z2777" s="168">
        <f t="array" ref="Z2777">iferror(index(I:I,match($A2777&amp;","&amp;index('Year Conversion'!$A:$A,match($C2777,'Year Conversion'!$B:$B,0)),$Y:$Y,0))-I2777,"")</f>
        <v>1</v>
      </c>
      <c r="AA2777" s="168">
        <f t="array" ref="AA2777">iferror(index(J:J,match($A2777&amp;","&amp;index('Year Conversion'!$A:$A,match($C2777,'Year Conversion'!$B:$B,0)),$Y:$Y,0))-J2777,"")</f>
        <v>2.025598073</v>
      </c>
      <c r="AB2777" s="168">
        <f t="array" ref="AB2777">iferror(index(K:K,match($A2777&amp;","&amp;index('Year Conversion'!$A:$A,match($C2777,'Year Conversion'!$B:$B,0)),$Y:$Y,0))-K2777,"")</f>
        <v>0.9889616363</v>
      </c>
      <c r="AC2777" s="168" t="str">
        <f t="shared" si="7"/>
        <v>UTA,2018-19</v>
      </c>
    </row>
    <row r="2778">
      <c r="A2778" s="161" t="str">
        <f>IFERROR(__xludf.DUMMYFUNCTION("""COMPUTED_VALUE"""),"osmande01")</f>
        <v>osmande01</v>
      </c>
      <c r="B2778" s="161" t="str">
        <f>IFERROR(__xludf.DUMMYFUNCTION("""COMPUTED_VALUE"""),"Cedi Osman")</f>
        <v>Cedi Osman</v>
      </c>
      <c r="C2778" s="162" t="str">
        <f>IFERROR(__xludf.DUMMYFUNCTION("""COMPUTED_VALUE"""),"2018-19")</f>
        <v>2018-19</v>
      </c>
      <c r="D2778" s="163" t="str">
        <f>IFERROR(__xludf.DUMMYFUNCTION("""COMPUTED_VALUE"""),"CLE")</f>
        <v>CLE</v>
      </c>
      <c r="E2778" s="164" t="str">
        <f>IFERROR(__xludf.DUMMYFUNCTION("""COMPUTED_VALUE"""),"Secondary Ball Handler")</f>
        <v>Secondary Ball Handler</v>
      </c>
      <c r="F2778" s="164">
        <f>IFERROR(__xludf.DUMMYFUNCTION("""COMPUTED_VALUE"""),2443.91166666667)</f>
        <v>2443.911667</v>
      </c>
      <c r="G2778" s="163">
        <f>IFERROR(__xludf.DUMMYFUNCTION("""COMPUTED_VALUE"""),76.0)</f>
        <v>76</v>
      </c>
      <c r="H2778" s="163" t="str">
        <f>IFERROR(__xludf.DUMMYFUNCTION("""COMPUTED_VALUE"""),"SF")</f>
        <v>SF</v>
      </c>
      <c r="I2778" s="163">
        <f>IFERROR(__xludf.DUMMYFUNCTION("""COMPUTED_VALUE"""),23.0)</f>
        <v>23</v>
      </c>
      <c r="J2778" s="165">
        <f>IFERROR(__xludf.DUMMYFUNCTION("""COMPUTED_VALUE"""),-2.19226413268017)</f>
        <v>-2.192264133</v>
      </c>
      <c r="K2778" s="165">
        <f>IFERROR(__xludf.DUMMYFUNCTION("""COMPUTED_VALUE"""),-0.797113108059118)</f>
        <v>-0.7971131081</v>
      </c>
      <c r="L2778" s="165">
        <f>IFERROR(__xludf.DUMMYFUNCTION("""COMPUTED_VALUE"""),-1.39515102462105)</f>
        <v>-1.395151025</v>
      </c>
      <c r="M2778" s="166">
        <f t="shared" si="2"/>
        <v>0.1795152214</v>
      </c>
      <c r="N2778" s="167">
        <f t="shared" si="3"/>
        <v>32.15673246</v>
      </c>
      <c r="O2778" s="163">
        <f t="shared" ref="O2778:Q2778" si="2782">rank(I2778,I:I)</f>
        <v>2765</v>
      </c>
      <c r="P2778" s="163">
        <f t="shared" si="2782"/>
        <v>3606</v>
      </c>
      <c r="Q2778" s="163">
        <f t="shared" si="2782"/>
        <v>2554</v>
      </c>
      <c r="R2778" s="163">
        <f>IFERROR(__xludf.DUMMYFUNCTION("RANK(M2778,filter(M:M,C:C=C2778))"),354.0)</f>
        <v>354</v>
      </c>
      <c r="S2778" s="161" t="b">
        <f t="shared" si="5"/>
        <v>0</v>
      </c>
      <c r="T2778" s="161" t="b">
        <f t="array" ref="T2778">index('Query Tool'!B:B,match(H2778,'Query Tool'!C:C,0))</f>
        <v>1</v>
      </c>
      <c r="U2778" s="161" t="b">
        <f t="array" ref="U2778">index('Query Tool'!B:B,match(C2778,'Query Tool'!C:C,0))</f>
        <v>0</v>
      </c>
      <c r="V2778" s="161" t="b">
        <f>F2778&gt;='Query Tool'!C$32</f>
        <v>1</v>
      </c>
      <c r="W2778" s="161" t="b">
        <f t="array" ref="W2778">index(Dropdowns!B:B,match(I2778,Dropdowns!A:A,0))</f>
        <v>1</v>
      </c>
      <c r="X2778" s="161" t="b">
        <f t="array" ref="X2778">index('Query Tool'!B:B,match(D2778,'Query Tool'!C:C,0))</f>
        <v>1</v>
      </c>
      <c r="Y2778" s="161" t="str">
        <f t="shared" si="6"/>
        <v>osmande01,2018-19</v>
      </c>
      <c r="Z2778" s="168">
        <f t="array" ref="Z2778">iferror(index(I:I,match($A2778&amp;","&amp;index('Year Conversion'!$A:$A,match($C2778,'Year Conversion'!$B:$B,0)),$Y:$Y,0))-I2778,"")</f>
        <v>1</v>
      </c>
      <c r="AA2778" s="168">
        <f t="array" ref="AA2778">iferror(index(J:J,match($A2778&amp;","&amp;index('Year Conversion'!$A:$A,match($C2778,'Year Conversion'!$B:$B,0)),$Y:$Y,0))-J2778,"")</f>
        <v>0.4672385342</v>
      </c>
      <c r="AB2778" s="168">
        <f t="array" ref="AB2778">iferror(index(K:K,match($A2778&amp;","&amp;index('Year Conversion'!$A:$A,match($C2778,'Year Conversion'!$B:$B,0)),$Y:$Y,0))-K2778,"")</f>
        <v>-0.2389446156</v>
      </c>
      <c r="AC2778" s="168" t="str">
        <f t="shared" si="7"/>
        <v>CLE,2018-19</v>
      </c>
    </row>
    <row r="2779">
      <c r="A2779" s="161" t="str">
        <f>IFERROR(__xludf.DUMMYFUNCTION("""COMPUTED_VALUE"""),"feliccr01")</f>
        <v>feliccr01</v>
      </c>
      <c r="B2779" s="161" t="str">
        <f>IFERROR(__xludf.DUMMYFUNCTION("""COMPUTED_VALUE"""),"Cristiano Felicio")</f>
        <v>Cristiano Felicio</v>
      </c>
      <c r="C2779" s="162" t="str">
        <f>IFERROR(__xludf.DUMMYFUNCTION("""COMPUTED_VALUE"""),"2018-19")</f>
        <v>2018-19</v>
      </c>
      <c r="D2779" s="163" t="str">
        <f>IFERROR(__xludf.DUMMYFUNCTION("""COMPUTED_VALUE"""),"CHI")</f>
        <v>CHI</v>
      </c>
      <c r="E2779" s="164" t="str">
        <f>IFERROR(__xludf.DUMMYFUNCTION("""COMPUTED_VALUE"""),"Roll + Cut Big")</f>
        <v>Roll + Cut Big</v>
      </c>
      <c r="F2779" s="164">
        <f>IFERROR(__xludf.DUMMYFUNCTION("""COMPUTED_VALUE"""),746.396666666667)</f>
        <v>746.3966667</v>
      </c>
      <c r="G2779" s="163">
        <f>IFERROR(__xludf.DUMMYFUNCTION("""COMPUTED_VALUE"""),60.0)</f>
        <v>60</v>
      </c>
      <c r="H2779" s="163" t="str">
        <f>IFERROR(__xludf.DUMMYFUNCTION("""COMPUTED_VALUE"""),"C")</f>
        <v>C</v>
      </c>
      <c r="I2779" s="163">
        <f>IFERROR(__xludf.DUMMYFUNCTION("""COMPUTED_VALUE"""),26.0)</f>
        <v>26</v>
      </c>
      <c r="J2779" s="165">
        <f>IFERROR(__xludf.DUMMYFUNCTION("""COMPUTED_VALUE"""),-2.33619535001445)</f>
        <v>-2.33619535</v>
      </c>
      <c r="K2779" s="165">
        <f>IFERROR(__xludf.DUMMYFUNCTION("""COMPUTED_VALUE"""),-1.02420318689064)</f>
        <v>-1.024203187</v>
      </c>
      <c r="L2779" s="165">
        <f>IFERROR(__xludf.DUMMYFUNCTION("""COMPUTED_VALUE"""),-1.31199216312381)</f>
        <v>-1.311992163</v>
      </c>
      <c r="M2779" s="166">
        <f t="shared" si="2"/>
        <v>-0.01607596109</v>
      </c>
      <c r="N2779" s="167">
        <f t="shared" si="3"/>
        <v>12.43994444</v>
      </c>
      <c r="O2779" s="163">
        <f t="shared" ref="O2779:Q2779" si="2783">rank(I2779,I:I)</f>
        <v>1665</v>
      </c>
      <c r="P2779" s="163">
        <f t="shared" si="2783"/>
        <v>3675</v>
      </c>
      <c r="Q2779" s="163">
        <f t="shared" si="2783"/>
        <v>2833</v>
      </c>
      <c r="R2779" s="163">
        <f>IFERROR(__xludf.DUMMYFUNCTION("RANK(M2779,filter(M:M,C:C=C2779))"),484.0)</f>
        <v>484</v>
      </c>
      <c r="S2779" s="161" t="b">
        <f t="shared" si="5"/>
        <v>0</v>
      </c>
      <c r="T2779" s="161" t="b">
        <f t="array" ref="T2779">index('Query Tool'!B:B,match(H2779,'Query Tool'!C:C,0))</f>
        <v>1</v>
      </c>
      <c r="U2779" s="161" t="b">
        <f t="array" ref="U2779">index('Query Tool'!B:B,match(C2779,'Query Tool'!C:C,0))</f>
        <v>0</v>
      </c>
      <c r="V2779" s="161" t="b">
        <f>F2779&gt;='Query Tool'!C$32</f>
        <v>1</v>
      </c>
      <c r="W2779" s="161" t="b">
        <f t="array" ref="W2779">index(Dropdowns!B:B,match(I2779,Dropdowns!A:A,0))</f>
        <v>1</v>
      </c>
      <c r="X2779" s="161" t="b">
        <f t="array" ref="X2779">index('Query Tool'!B:B,match(D2779,'Query Tool'!C:C,0))</f>
        <v>1</v>
      </c>
      <c r="Y2779" s="161" t="str">
        <f t="shared" si="6"/>
        <v>feliccr01,2018-19</v>
      </c>
      <c r="Z2779" s="168">
        <f t="array" ref="Z2779">iferror(index(I:I,match($A2779&amp;","&amp;index('Year Conversion'!$A:$A,match($C2779,'Year Conversion'!$B:$B,0)),$Y:$Y,0))-I2779,"")</f>
        <v>1</v>
      </c>
      <c r="AA2779" s="168">
        <f t="array" ref="AA2779">iferror(index(J:J,match($A2779&amp;","&amp;index('Year Conversion'!$A:$A,match($C2779,'Year Conversion'!$B:$B,0)),$Y:$Y,0))-J2779,"")</f>
        <v>-0.3510450389</v>
      </c>
      <c r="AB2779" s="168">
        <f t="array" ref="AB2779">iferror(index(K:K,match($A2779&amp;","&amp;index('Year Conversion'!$A:$A,match($C2779,'Year Conversion'!$B:$B,0)),$Y:$Y,0))-K2779,"")</f>
        <v>-0.3162492442</v>
      </c>
      <c r="AC2779" s="168" t="str">
        <f t="shared" si="7"/>
        <v>CHI,2018-19</v>
      </c>
    </row>
    <row r="2780">
      <c r="A2780" s="161" t="str">
        <f>IFERROR(__xludf.DUMMYFUNCTION("""COMPUTED_VALUE"""),"marjabo01")</f>
        <v>marjabo01</v>
      </c>
      <c r="B2780" s="161" t="str">
        <f>IFERROR(__xludf.DUMMYFUNCTION("""COMPUTED_VALUE"""),"Boban Marjanovic")</f>
        <v>Boban Marjanovic</v>
      </c>
      <c r="C2780" s="162" t="str">
        <f>IFERROR(__xludf.DUMMYFUNCTION("""COMPUTED_VALUE"""),"2018-19")</f>
        <v>2018-19</v>
      </c>
      <c r="D2780" s="163" t="str">
        <f>IFERROR(__xludf.DUMMYFUNCTION("""COMPUTED_VALUE"""),"TOT")</f>
        <v>TOT</v>
      </c>
      <c r="E2780" s="164" t="str">
        <f>IFERROR(__xludf.DUMMYFUNCTION("""COMPUTED_VALUE"""),"Post Scorer")</f>
        <v>Post Scorer</v>
      </c>
      <c r="F2780" s="164">
        <f>IFERROR(__xludf.DUMMYFUNCTION("""COMPUTED_VALUE"""),680.658333333334)</f>
        <v>680.6583333</v>
      </c>
      <c r="G2780" s="163">
        <f>IFERROR(__xludf.DUMMYFUNCTION("""COMPUTED_VALUE"""),58.0)</f>
        <v>58</v>
      </c>
      <c r="H2780" s="163" t="str">
        <f>IFERROR(__xludf.DUMMYFUNCTION("""COMPUTED_VALUE"""),"C")</f>
        <v>C</v>
      </c>
      <c r="I2780" s="163">
        <f>IFERROR(__xludf.DUMMYFUNCTION("""COMPUTED_VALUE"""),30.0)</f>
        <v>30</v>
      </c>
      <c r="J2780" s="165">
        <f>IFERROR(__xludf.DUMMYFUNCTION("""COMPUTED_VALUE"""),1.446517189189)</f>
        <v>1.446517189</v>
      </c>
      <c r="K2780" s="165">
        <f>IFERROR(__xludf.DUMMYFUNCTION("""COMPUTED_VALUE"""),0.639714675816115)</f>
        <v>0.6397146758</v>
      </c>
      <c r="L2780" s="165">
        <f>IFERROR(__xludf.DUMMYFUNCTION("""COMPUTED_VALUE"""),0.806802513372887)</f>
        <v>0.8068025134</v>
      </c>
      <c r="M2780" s="166">
        <f t="shared" si="2"/>
        <v>1.711221965</v>
      </c>
      <c r="N2780" s="167">
        <f t="shared" si="3"/>
        <v>11.73548851</v>
      </c>
      <c r="O2780" s="163">
        <f t="shared" ref="O2780:Q2780" si="2784">rank(I2780,I:I)</f>
        <v>655</v>
      </c>
      <c r="P2780" s="163">
        <f t="shared" si="2784"/>
        <v>473</v>
      </c>
      <c r="Q2780" s="163">
        <f t="shared" si="2784"/>
        <v>687</v>
      </c>
      <c r="R2780" s="163">
        <f>IFERROR(__xludf.DUMMYFUNCTION("RANK(M2780,filter(M:M,C:C=C2780))"),172.0)</f>
        <v>172</v>
      </c>
      <c r="S2780" s="161" t="b">
        <f t="shared" si="5"/>
        <v>0</v>
      </c>
      <c r="T2780" s="161" t="b">
        <f t="array" ref="T2780">index('Query Tool'!B:B,match(H2780,'Query Tool'!C:C,0))</f>
        <v>1</v>
      </c>
      <c r="U2780" s="161" t="b">
        <f t="array" ref="U2780">index('Query Tool'!B:B,match(C2780,'Query Tool'!C:C,0))</f>
        <v>0</v>
      </c>
      <c r="V2780" s="161" t="b">
        <f>F2780&gt;='Query Tool'!C$32</f>
        <v>1</v>
      </c>
      <c r="W2780" s="161" t="b">
        <f t="array" ref="W2780">index(Dropdowns!B:B,match(I2780,Dropdowns!A:A,0))</f>
        <v>1</v>
      </c>
      <c r="X2780" s="161" t="b">
        <f t="array" ref="X2780">index('Query Tool'!B:B,match(D2780,'Query Tool'!C:C,0))</f>
        <v>1</v>
      </c>
      <c r="Y2780" s="161" t="str">
        <f t="shared" si="6"/>
        <v>marjabo01,2018-19</v>
      </c>
      <c r="Z2780" s="168">
        <f t="array" ref="Z2780">iferror(index(I:I,match($A2780&amp;","&amp;index('Year Conversion'!$A:$A,match($C2780,'Year Conversion'!$B:$B,0)),$Y:$Y,0))-I2780,"")</f>
        <v>1</v>
      </c>
      <c r="AA2780" s="168">
        <f t="array" ref="AA2780">iferror(index(J:J,match($A2780&amp;","&amp;index('Year Conversion'!$A:$A,match($C2780,'Year Conversion'!$B:$B,0)),$Y:$Y,0))-J2780,"")</f>
        <v>-0.5090243071</v>
      </c>
      <c r="AB2780" s="168">
        <f t="array" ref="AB2780">iferror(index(K:K,match($A2780&amp;","&amp;index('Year Conversion'!$A:$A,match($C2780,'Year Conversion'!$B:$B,0)),$Y:$Y,0))-K2780,"")</f>
        <v>1.029333103</v>
      </c>
      <c r="AC2780" s="168" t="str">
        <f t="shared" si="7"/>
        <v>TOT,2018-19</v>
      </c>
    </row>
    <row r="2781">
      <c r="A2781" s="161" t="str">
        <f>IFERROR(__xludf.DUMMYFUNCTION("""COMPUTED_VALUE"""),"mejrisa01")</f>
        <v>mejrisa01</v>
      </c>
      <c r="B2781" s="161" t="str">
        <f>IFERROR(__xludf.DUMMYFUNCTION("""COMPUTED_VALUE"""),"Salah Mejri")</f>
        <v>Salah Mejri</v>
      </c>
      <c r="C2781" s="162" t="str">
        <f>IFERROR(__xludf.DUMMYFUNCTION("""COMPUTED_VALUE"""),"2018-19")</f>
        <v>2018-19</v>
      </c>
      <c r="D2781" s="163" t="str">
        <f>IFERROR(__xludf.DUMMYFUNCTION("""COMPUTED_VALUE"""),"DAL")</f>
        <v>DAL</v>
      </c>
      <c r="E2781" s="164" t="str">
        <f>IFERROR(__xludf.DUMMYFUNCTION("""COMPUTED_VALUE"""),"Stretch Big")</f>
        <v>Stretch Big</v>
      </c>
      <c r="F2781" s="164">
        <f>IFERROR(__xludf.DUMMYFUNCTION("""COMPUTED_VALUE"""),399.126666666667)</f>
        <v>399.1266667</v>
      </c>
      <c r="G2781" s="163">
        <f>IFERROR(__xludf.DUMMYFUNCTION("""COMPUTED_VALUE"""),36.0)</f>
        <v>36</v>
      </c>
      <c r="H2781" s="163" t="str">
        <f>IFERROR(__xludf.DUMMYFUNCTION("""COMPUTED_VALUE"""),"C")</f>
        <v>C</v>
      </c>
      <c r="I2781" s="163">
        <f>IFERROR(__xludf.DUMMYFUNCTION("""COMPUTED_VALUE"""),32.0)</f>
        <v>32</v>
      </c>
      <c r="J2781" s="165">
        <f>IFERROR(__xludf.DUMMYFUNCTION("""COMPUTED_VALUE"""),0.637303352031536)</f>
        <v>0.637303352</v>
      </c>
      <c r="K2781" s="165">
        <f>IFERROR(__xludf.DUMMYFUNCTION("""COMPUTED_VALUE"""),-0.761577309006734)</f>
        <v>-0.761577309</v>
      </c>
      <c r="L2781" s="165">
        <f>IFERROR(__xludf.DUMMYFUNCTION("""COMPUTED_VALUE"""),1.39888066103827)</f>
        <v>1.398880661</v>
      </c>
      <c r="M2781" s="166">
        <f t="shared" si="2"/>
        <v>0.7867137167</v>
      </c>
      <c r="N2781" s="167">
        <f t="shared" si="3"/>
        <v>11.08685185</v>
      </c>
      <c r="O2781" s="163">
        <f t="shared" ref="O2781:Q2781" si="2785">rank(I2781,I:I)</f>
        <v>359</v>
      </c>
      <c r="P2781" s="163">
        <f t="shared" si="2785"/>
        <v>827</v>
      </c>
      <c r="Q2781" s="163">
        <f t="shared" si="2785"/>
        <v>2499</v>
      </c>
      <c r="R2781" s="163">
        <f>IFERROR(__xludf.DUMMYFUNCTION("RANK(M2781,filter(M:M,C:C=C2781))"),243.0)</f>
        <v>243</v>
      </c>
      <c r="S2781" s="161" t="b">
        <f t="shared" si="5"/>
        <v>0</v>
      </c>
      <c r="T2781" s="161" t="b">
        <f t="array" ref="T2781">index('Query Tool'!B:B,match(H2781,'Query Tool'!C:C,0))</f>
        <v>1</v>
      </c>
      <c r="U2781" s="161" t="b">
        <f t="array" ref="U2781">index('Query Tool'!B:B,match(C2781,'Query Tool'!C:C,0))</f>
        <v>0</v>
      </c>
      <c r="V2781" s="161" t="b">
        <f>F2781&gt;='Query Tool'!C$32</f>
        <v>0</v>
      </c>
      <c r="W2781" s="161" t="b">
        <f t="array" ref="W2781">index(Dropdowns!B:B,match(I2781,Dropdowns!A:A,0))</f>
        <v>1</v>
      </c>
      <c r="X2781" s="161" t="b">
        <f t="array" ref="X2781">index('Query Tool'!B:B,match(D2781,'Query Tool'!C:C,0))</f>
        <v>1</v>
      </c>
      <c r="Y2781" s="161" t="str">
        <f t="shared" si="6"/>
        <v>mejrisa01,2018-19</v>
      </c>
      <c r="Z2781" s="168" t="str">
        <f t="array" ref="Z2781">iferror(index(I:I,match($A2781&amp;","&amp;index('Year Conversion'!$A:$A,match($C2781,'Year Conversion'!$B:$B,0)),$Y:$Y,0))-I2781,"")</f>
        <v/>
      </c>
      <c r="AA2781" s="168" t="str">
        <f t="array" ref="AA2781">iferror(index(J:J,match($A2781&amp;","&amp;index('Year Conversion'!$A:$A,match($C2781,'Year Conversion'!$B:$B,0)),$Y:$Y,0))-J2781,"")</f>
        <v/>
      </c>
      <c r="AB2781" s="168" t="str">
        <f t="array" ref="AB2781">iferror(index(K:K,match($A2781&amp;","&amp;index('Year Conversion'!$A:$A,match($C2781,'Year Conversion'!$B:$B,0)),$Y:$Y,0))-K2781,"")</f>
        <v/>
      </c>
      <c r="AC2781" s="168" t="str">
        <f t="shared" si="7"/>
        <v>DAL,2018-19</v>
      </c>
    </row>
    <row r="2782">
      <c r="A2782" s="161" t="str">
        <f>IFERROR(__xludf.DUMMYFUNCTION("""COMPUTED_VALUE"""),"millema01")</f>
        <v>millema01</v>
      </c>
      <c r="B2782" s="161" t="str">
        <f>IFERROR(__xludf.DUMMYFUNCTION("""COMPUTED_VALUE"""),"Malcolm Miller")</f>
        <v>Malcolm Miller</v>
      </c>
      <c r="C2782" s="162" t="str">
        <f>IFERROR(__xludf.DUMMYFUNCTION("""COMPUTED_VALUE"""),"2018-19")</f>
        <v>2018-19</v>
      </c>
      <c r="D2782" s="163" t="str">
        <f>IFERROR(__xludf.DUMMYFUNCTION("""COMPUTED_VALUE"""),"TOR")</f>
        <v>TOR</v>
      </c>
      <c r="E2782" s="164" t="str">
        <f>IFERROR(__xludf.DUMMYFUNCTION("""COMPUTED_VALUE"""),"Stationary Shooter")</f>
        <v>Stationary Shooter</v>
      </c>
      <c r="F2782" s="164">
        <f>IFERROR(__xludf.DUMMYFUNCTION("""COMPUTED_VALUE"""),67.1)</f>
        <v>67.1</v>
      </c>
      <c r="G2782" s="163">
        <f>IFERROR(__xludf.DUMMYFUNCTION("""COMPUTED_VALUE"""),10.0)</f>
        <v>10</v>
      </c>
      <c r="H2782" s="163" t="str">
        <f>IFERROR(__xludf.DUMMYFUNCTION("""COMPUTED_VALUE"""),"SF")</f>
        <v>SF</v>
      </c>
      <c r="I2782" s="163">
        <f>IFERROR(__xludf.DUMMYFUNCTION("""COMPUTED_VALUE"""),25.0)</f>
        <v>25</v>
      </c>
      <c r="J2782" s="165">
        <f>IFERROR(__xludf.DUMMYFUNCTION("""COMPUTED_VALUE"""),-1.15484583736544)</f>
        <v>-1.154845837</v>
      </c>
      <c r="K2782" s="165">
        <f>IFERROR(__xludf.DUMMYFUNCTION("""COMPUTED_VALUE"""),-0.283559480313291)</f>
        <v>-0.2835594803</v>
      </c>
      <c r="L2782" s="165">
        <f>IFERROR(__xludf.DUMMYFUNCTION("""COMPUTED_VALUE"""),-0.871286357052153)</f>
        <v>-0.8712863571</v>
      </c>
      <c r="M2782" s="166">
        <f t="shared" si="2"/>
        <v>0.05129933636</v>
      </c>
      <c r="N2782" s="167">
        <f t="shared" si="3"/>
        <v>6.71</v>
      </c>
      <c r="O2782" s="163">
        <f t="shared" ref="O2782:Q2782" si="2786">rank(I2782,I:I)</f>
        <v>1995</v>
      </c>
      <c r="P2782" s="163">
        <f t="shared" si="2786"/>
        <v>2686</v>
      </c>
      <c r="Q2782" s="163">
        <f t="shared" si="2786"/>
        <v>1734</v>
      </c>
      <c r="R2782" s="163">
        <f>IFERROR(__xludf.DUMMYFUNCTION("RANK(M2782,filter(M:M,C:C=C2782))"),421.0)</f>
        <v>421</v>
      </c>
      <c r="S2782" s="161" t="b">
        <f t="shared" si="5"/>
        <v>0</v>
      </c>
      <c r="T2782" s="161" t="b">
        <f t="array" ref="T2782">index('Query Tool'!B:B,match(H2782,'Query Tool'!C:C,0))</f>
        <v>1</v>
      </c>
      <c r="U2782" s="161" t="b">
        <f t="array" ref="U2782">index('Query Tool'!B:B,match(C2782,'Query Tool'!C:C,0))</f>
        <v>0</v>
      </c>
      <c r="V2782" s="161" t="b">
        <f>F2782&gt;='Query Tool'!C$32</f>
        <v>0</v>
      </c>
      <c r="W2782" s="161" t="b">
        <f t="array" ref="W2782">index(Dropdowns!B:B,match(I2782,Dropdowns!A:A,0))</f>
        <v>1</v>
      </c>
      <c r="X2782" s="161" t="b">
        <f t="array" ref="X2782">index('Query Tool'!B:B,match(D2782,'Query Tool'!C:C,0))</f>
        <v>1</v>
      </c>
      <c r="Y2782" s="161" t="str">
        <f t="shared" si="6"/>
        <v>millema01,2018-19</v>
      </c>
      <c r="Z2782" s="168">
        <f t="array" ref="Z2782">iferror(index(I:I,match($A2782&amp;","&amp;index('Year Conversion'!$A:$A,match($C2782,'Year Conversion'!$B:$B,0)),$Y:$Y,0))-I2782,"")</f>
        <v>1</v>
      </c>
      <c r="AA2782" s="168">
        <f t="array" ref="AA2782">iferror(index(J:J,match($A2782&amp;","&amp;index('Year Conversion'!$A:$A,match($C2782,'Year Conversion'!$B:$B,0)),$Y:$Y,0))-J2782,"")</f>
        <v>-0.5953692065</v>
      </c>
      <c r="AB2782" s="168">
        <f t="array" ref="AB2782">iferror(index(K:K,match($A2782&amp;","&amp;index('Year Conversion'!$A:$A,match($C2782,'Year Conversion'!$B:$B,0)),$Y:$Y,0))-K2782,"")</f>
        <v>-0.7837752133</v>
      </c>
      <c r="AC2782" s="168" t="str">
        <f t="shared" si="7"/>
        <v>TOR,2018-19</v>
      </c>
    </row>
    <row r="2783">
      <c r="A2783" s="161" t="str">
        <f>IFERROR(__xludf.DUMMYFUNCTION("""COMPUTED_VALUE"""),"siberjo01")</f>
        <v>siberjo01</v>
      </c>
      <c r="B2783" s="161" t="str">
        <f>IFERROR(__xludf.DUMMYFUNCTION("""COMPUTED_VALUE"""),"Jordan Sibert")</f>
        <v>Jordan Sibert</v>
      </c>
      <c r="C2783" s="162" t="str">
        <f>IFERROR(__xludf.DUMMYFUNCTION("""COMPUTED_VALUE"""),"2018-19")</f>
        <v>2018-19</v>
      </c>
      <c r="D2783" s="163" t="str">
        <f>IFERROR(__xludf.DUMMYFUNCTION("""COMPUTED_VALUE"""),"ATL")</f>
        <v>ATL</v>
      </c>
      <c r="E2783" s="164" t="str">
        <f>IFERROR(__xludf.DUMMYFUNCTION("""COMPUTED_VALUE"""),"Stationary Shooter")</f>
        <v>Stationary Shooter</v>
      </c>
      <c r="F2783" s="164">
        <f>IFERROR(__xludf.DUMMYFUNCTION("""COMPUTED_VALUE"""),4.23333333333333)</f>
        <v>4.233333333</v>
      </c>
      <c r="G2783" s="163">
        <f>IFERROR(__xludf.DUMMYFUNCTION("""COMPUTED_VALUE"""),1.0)</f>
        <v>1</v>
      </c>
      <c r="H2783" s="163" t="str">
        <f>IFERROR(__xludf.DUMMYFUNCTION("""COMPUTED_VALUE"""),"SG")</f>
        <v>SG</v>
      </c>
      <c r="I2783" s="163">
        <f>IFERROR(__xludf.DUMMYFUNCTION("""COMPUTED_VALUE"""),26.0)</f>
        <v>26</v>
      </c>
      <c r="J2783" s="165">
        <f>IFERROR(__xludf.DUMMYFUNCTION("""COMPUTED_VALUE"""),-0.058943087110888)</f>
        <v>-0.05894308711</v>
      </c>
      <c r="K2783" s="165">
        <f>IFERROR(__xludf.DUMMYFUNCTION("""COMPUTED_VALUE"""),0.0264740501753368)</f>
        <v>0.02647405018</v>
      </c>
      <c r="L2783" s="165">
        <f>IFERROR(__xludf.DUMMYFUNCTION("""COMPUTED_VALUE"""),-0.0854171372862248)</f>
        <v>-0.08541713729</v>
      </c>
      <c r="M2783" s="166">
        <f t="shared" si="2"/>
        <v>0.006358161991</v>
      </c>
      <c r="N2783" s="167">
        <f t="shared" si="3"/>
        <v>4.233333333</v>
      </c>
      <c r="O2783" s="163">
        <f t="shared" ref="O2783:Q2783" si="2787">rank(I2783,I:I)</f>
        <v>1665</v>
      </c>
      <c r="P2783" s="163">
        <f t="shared" si="2787"/>
        <v>1345</v>
      </c>
      <c r="Q2783" s="163">
        <f t="shared" si="2787"/>
        <v>1161</v>
      </c>
      <c r="R2783" s="163">
        <f>IFERROR(__xludf.DUMMYFUNCTION("RANK(M2783,filter(M:M,C:C=C2783))"),467.0)</f>
        <v>467</v>
      </c>
      <c r="S2783" s="161" t="b">
        <f t="shared" si="5"/>
        <v>0</v>
      </c>
      <c r="T2783" s="161" t="b">
        <f t="array" ref="T2783">index('Query Tool'!B:B,match(H2783,'Query Tool'!C:C,0))</f>
        <v>1</v>
      </c>
      <c r="U2783" s="161" t="b">
        <f t="array" ref="U2783">index('Query Tool'!B:B,match(C2783,'Query Tool'!C:C,0))</f>
        <v>0</v>
      </c>
      <c r="V2783" s="161" t="b">
        <f>F2783&gt;='Query Tool'!C$32</f>
        <v>0</v>
      </c>
      <c r="W2783" s="161" t="b">
        <f t="array" ref="W2783">index(Dropdowns!B:B,match(I2783,Dropdowns!A:A,0))</f>
        <v>1</v>
      </c>
      <c r="X2783" s="161" t="b">
        <f t="array" ref="X2783">index('Query Tool'!B:B,match(D2783,'Query Tool'!C:C,0))</f>
        <v>1</v>
      </c>
      <c r="Y2783" s="161" t="str">
        <f t="shared" si="6"/>
        <v>siberjo01,2018-19</v>
      </c>
      <c r="Z2783" s="168" t="str">
        <f t="array" ref="Z2783">iferror(index(I:I,match($A2783&amp;","&amp;index('Year Conversion'!$A:$A,match($C2783,'Year Conversion'!$B:$B,0)),$Y:$Y,0))-I2783,"")</f>
        <v/>
      </c>
      <c r="AA2783" s="168" t="str">
        <f t="array" ref="AA2783">iferror(index(J:J,match($A2783&amp;","&amp;index('Year Conversion'!$A:$A,match($C2783,'Year Conversion'!$B:$B,0)),$Y:$Y,0))-J2783,"")</f>
        <v/>
      </c>
      <c r="AB2783" s="168" t="str">
        <f t="array" ref="AB2783">iferror(index(K:K,match($A2783&amp;","&amp;index('Year Conversion'!$A:$A,match($C2783,'Year Conversion'!$B:$B,0)),$Y:$Y,0))-K2783,"")</f>
        <v/>
      </c>
      <c r="AC2783" s="168" t="str">
        <f t="shared" si="7"/>
        <v>ATL,2018-19</v>
      </c>
    </row>
    <row r="2784">
      <c r="A2784" s="161" t="str">
        <f>IFERROR(__xludf.DUMMYFUNCTION("""COMPUTED_VALUE"""),"lemonwa01")</f>
        <v>lemonwa01</v>
      </c>
      <c r="B2784" s="161" t="str">
        <f>IFERROR(__xludf.DUMMYFUNCTION("""COMPUTED_VALUE"""),"Walt Lemon Jr.")</f>
        <v>Walt Lemon Jr.</v>
      </c>
      <c r="C2784" s="162" t="str">
        <f>IFERROR(__xludf.DUMMYFUNCTION("""COMPUTED_VALUE"""),"2018-19")</f>
        <v>2018-19</v>
      </c>
      <c r="D2784" s="163" t="str">
        <f>IFERROR(__xludf.DUMMYFUNCTION("""COMPUTED_VALUE"""),"CHI")</f>
        <v>CHI</v>
      </c>
      <c r="E2784" s="164" t="str">
        <f>IFERROR(__xludf.DUMMYFUNCTION("""COMPUTED_VALUE"""),"Slasher")</f>
        <v>Slasher</v>
      </c>
      <c r="F2784" s="164">
        <f>IFERROR(__xludf.DUMMYFUNCTION("""COMPUTED_VALUE"""),167.15)</f>
        <v>167.15</v>
      </c>
      <c r="G2784" s="163">
        <f>IFERROR(__xludf.DUMMYFUNCTION("""COMPUTED_VALUE"""),6.0)</f>
        <v>6</v>
      </c>
      <c r="H2784" s="163" t="str">
        <f>IFERROR(__xludf.DUMMYFUNCTION("""COMPUTED_VALUE"""),"PG")</f>
        <v>PG</v>
      </c>
      <c r="I2784" s="163">
        <f>IFERROR(__xludf.DUMMYFUNCTION("""COMPUTED_VALUE"""),26.0)</f>
        <v>26</v>
      </c>
      <c r="J2784" s="165">
        <f>IFERROR(__xludf.DUMMYFUNCTION("""COMPUTED_VALUE"""),-0.190655413727808)</f>
        <v>-0.1906554137</v>
      </c>
      <c r="K2784" s="165">
        <f>IFERROR(__xludf.DUMMYFUNCTION("""COMPUTED_VALUE"""),-0.25517485630463)</f>
        <v>-0.2551748563</v>
      </c>
      <c r="L2784" s="165">
        <f>IFERROR(__xludf.DUMMYFUNCTION("""COMPUTED_VALUE"""),0.0645194425768217)</f>
        <v>0.06451944258</v>
      </c>
      <c r="M2784" s="166">
        <f t="shared" si="2"/>
        <v>0.2362055518</v>
      </c>
      <c r="N2784" s="167">
        <f t="shared" si="3"/>
        <v>27.85833333</v>
      </c>
      <c r="O2784" s="163">
        <f t="shared" ref="O2784:Q2784" si="2788">rank(I2784,I:I)</f>
        <v>1665</v>
      </c>
      <c r="P2784" s="163">
        <f t="shared" si="2788"/>
        <v>1499</v>
      </c>
      <c r="Q2784" s="163">
        <f t="shared" si="2788"/>
        <v>1678</v>
      </c>
      <c r="R2784" s="163">
        <f>IFERROR(__xludf.DUMMYFUNCTION("RANK(M2784,filter(M:M,C:C=C2784))"),336.0)</f>
        <v>336</v>
      </c>
      <c r="S2784" s="161" t="b">
        <f t="shared" si="5"/>
        <v>0</v>
      </c>
      <c r="T2784" s="161" t="b">
        <f t="array" ref="T2784">index('Query Tool'!B:B,match(H2784,'Query Tool'!C:C,0))</f>
        <v>1</v>
      </c>
      <c r="U2784" s="161" t="b">
        <f t="array" ref="U2784">index('Query Tool'!B:B,match(C2784,'Query Tool'!C:C,0))</f>
        <v>0</v>
      </c>
      <c r="V2784" s="161" t="b">
        <f>F2784&gt;='Query Tool'!C$32</f>
        <v>0</v>
      </c>
      <c r="W2784" s="161" t="b">
        <f t="array" ref="W2784">index(Dropdowns!B:B,match(I2784,Dropdowns!A:A,0))</f>
        <v>1</v>
      </c>
      <c r="X2784" s="161" t="b">
        <f t="array" ref="X2784">index('Query Tool'!B:B,match(D2784,'Query Tool'!C:C,0))</f>
        <v>1</v>
      </c>
      <c r="Y2784" s="161" t="str">
        <f t="shared" si="6"/>
        <v>lemonwa01,2018-19</v>
      </c>
      <c r="Z2784" s="168" t="str">
        <f t="array" ref="Z2784">iferror(index(I:I,match($A2784&amp;","&amp;index('Year Conversion'!$A:$A,match($C2784,'Year Conversion'!$B:$B,0)),$Y:$Y,0))-I2784,"")</f>
        <v/>
      </c>
      <c r="AA2784" s="168" t="str">
        <f t="array" ref="AA2784">iferror(index(J:J,match($A2784&amp;","&amp;index('Year Conversion'!$A:$A,match($C2784,'Year Conversion'!$B:$B,0)),$Y:$Y,0))-J2784,"")</f>
        <v/>
      </c>
      <c r="AB2784" s="168" t="str">
        <f t="array" ref="AB2784">iferror(index(K:K,match($A2784&amp;","&amp;index('Year Conversion'!$A:$A,match($C2784,'Year Conversion'!$B:$B,0)),$Y:$Y,0))-K2784,"")</f>
        <v/>
      </c>
      <c r="AC2784" s="168" t="str">
        <f t="shared" si="7"/>
        <v>CHI,2018-19</v>
      </c>
    </row>
    <row r="2785">
      <c r="A2785" s="161" t="str">
        <f>IFERROR(__xludf.DUMMYFUNCTION("""COMPUTED_VALUE"""),"washbju01")</f>
        <v>washbju01</v>
      </c>
      <c r="B2785" s="161" t="str">
        <f>IFERROR(__xludf.DUMMYFUNCTION("""COMPUTED_VALUE"""),"Julian Washburn")</f>
        <v>Julian Washburn</v>
      </c>
      <c r="C2785" s="162" t="str">
        <f>IFERROR(__xludf.DUMMYFUNCTION("""COMPUTED_VALUE"""),"2018-19")</f>
        <v>2018-19</v>
      </c>
      <c r="D2785" s="163" t="str">
        <f>IFERROR(__xludf.DUMMYFUNCTION("""COMPUTED_VALUE"""),"MEM")</f>
        <v>MEM</v>
      </c>
      <c r="E2785" s="164" t="str">
        <f>IFERROR(__xludf.DUMMYFUNCTION("""COMPUTED_VALUE"""),"Movement Shooter")</f>
        <v>Movement Shooter</v>
      </c>
      <c r="F2785" s="164">
        <f>IFERROR(__xludf.DUMMYFUNCTION("""COMPUTED_VALUE"""),253.886666666667)</f>
        <v>253.8866667</v>
      </c>
      <c r="G2785" s="163">
        <f>IFERROR(__xludf.DUMMYFUNCTION("""COMPUTED_VALUE"""),18.0)</f>
        <v>18</v>
      </c>
      <c r="H2785" s="163" t="str">
        <f>IFERROR(__xludf.DUMMYFUNCTION("""COMPUTED_VALUE"""),"SF")</f>
        <v>SF</v>
      </c>
      <c r="I2785" s="163">
        <f>IFERROR(__xludf.DUMMYFUNCTION("""COMPUTED_VALUE"""),27.0)</f>
        <v>27</v>
      </c>
      <c r="J2785" s="165">
        <f>IFERROR(__xludf.DUMMYFUNCTION("""COMPUTED_VALUE"""),-1.68106172429217)</f>
        <v>-1.681061724</v>
      </c>
      <c r="K2785" s="165">
        <f>IFERROR(__xludf.DUMMYFUNCTION("""COMPUTED_VALUE"""),-1.65476927931458)</f>
        <v>-1.654769279</v>
      </c>
      <c r="L2785" s="165">
        <f>IFERROR(__xludf.DUMMYFUNCTION("""COMPUTED_VALUE"""),-0.0262924449775883)</f>
        <v>-0.02629244498</v>
      </c>
      <c r="M2785" s="166">
        <f t="shared" si="2"/>
        <v>0.1047892992</v>
      </c>
      <c r="N2785" s="167">
        <f t="shared" si="3"/>
        <v>14.10481481</v>
      </c>
      <c r="O2785" s="163">
        <f t="shared" ref="O2785:Q2785" si="2789">rank(I2785,I:I)</f>
        <v>1366</v>
      </c>
      <c r="P2785" s="163">
        <f t="shared" si="2789"/>
        <v>3225</v>
      </c>
      <c r="Q2785" s="163">
        <f t="shared" si="2789"/>
        <v>3487</v>
      </c>
      <c r="R2785" s="163">
        <f>IFERROR(__xludf.DUMMYFUNCTION("RANK(M2785,filter(M:M,C:C=C2785))"),390.0)</f>
        <v>390</v>
      </c>
      <c r="S2785" s="161" t="b">
        <f t="shared" si="5"/>
        <v>0</v>
      </c>
      <c r="T2785" s="161" t="b">
        <f t="array" ref="T2785">index('Query Tool'!B:B,match(H2785,'Query Tool'!C:C,0))</f>
        <v>1</v>
      </c>
      <c r="U2785" s="161" t="b">
        <f t="array" ref="U2785">index('Query Tool'!B:B,match(C2785,'Query Tool'!C:C,0))</f>
        <v>0</v>
      </c>
      <c r="V2785" s="161" t="b">
        <f>F2785&gt;='Query Tool'!C$32</f>
        <v>0</v>
      </c>
      <c r="W2785" s="161" t="b">
        <f t="array" ref="W2785">index(Dropdowns!B:B,match(I2785,Dropdowns!A:A,0))</f>
        <v>1</v>
      </c>
      <c r="X2785" s="161" t="b">
        <f t="array" ref="X2785">index('Query Tool'!B:B,match(D2785,'Query Tool'!C:C,0))</f>
        <v>1</v>
      </c>
      <c r="Y2785" s="161" t="str">
        <f t="shared" si="6"/>
        <v>washbju01,2018-19</v>
      </c>
      <c r="Z2785" s="168" t="str">
        <f t="array" ref="Z2785">iferror(index(I:I,match($A2785&amp;","&amp;index('Year Conversion'!$A:$A,match($C2785,'Year Conversion'!$B:$B,0)),$Y:$Y,0))-I2785,"")</f>
        <v/>
      </c>
      <c r="AA2785" s="168" t="str">
        <f t="array" ref="AA2785">iferror(index(J:J,match($A2785&amp;","&amp;index('Year Conversion'!$A:$A,match($C2785,'Year Conversion'!$B:$B,0)),$Y:$Y,0))-J2785,"")</f>
        <v/>
      </c>
      <c r="AB2785" s="168" t="str">
        <f t="array" ref="AB2785">iferror(index(K:K,match($A2785&amp;","&amp;index('Year Conversion'!$A:$A,match($C2785,'Year Conversion'!$B:$B,0)),$Y:$Y,0))-K2785,"")</f>
        <v/>
      </c>
      <c r="AC2785" s="168" t="str">
        <f t="shared" si="7"/>
        <v>MEM,2018-19</v>
      </c>
    </row>
    <row r="2786">
      <c r="A2786" s="161" t="str">
        <f>IFERROR(__xludf.DUMMYFUNCTION("""COMPUTED_VALUE"""),"simmobe01")</f>
        <v>simmobe01</v>
      </c>
      <c r="B2786" s="161" t="str">
        <f>IFERROR(__xludf.DUMMYFUNCTION("""COMPUTED_VALUE"""),"Ben Simmons")</f>
        <v>Ben Simmons</v>
      </c>
      <c r="C2786" s="162" t="str">
        <f>IFERROR(__xludf.DUMMYFUNCTION("""COMPUTED_VALUE"""),"2018-19")</f>
        <v>2018-19</v>
      </c>
      <c r="D2786" s="163" t="str">
        <f>IFERROR(__xludf.DUMMYFUNCTION("""COMPUTED_VALUE"""),"PHI")</f>
        <v>PHI</v>
      </c>
      <c r="E2786" s="164" t="str">
        <f>IFERROR(__xludf.DUMMYFUNCTION("""COMPUTED_VALUE"""),"Post Scorer")</f>
        <v>Post Scorer</v>
      </c>
      <c r="F2786" s="164">
        <f>IFERROR(__xludf.DUMMYFUNCTION("""COMPUTED_VALUE"""),2700.26333333333)</f>
        <v>2700.263333</v>
      </c>
      <c r="G2786" s="163">
        <f>IFERROR(__xludf.DUMMYFUNCTION("""COMPUTED_VALUE"""),79.0)</f>
        <v>79</v>
      </c>
      <c r="H2786" s="163" t="str">
        <f>IFERROR(__xludf.DUMMYFUNCTION("""COMPUTED_VALUE"""),"PG")</f>
        <v>PG</v>
      </c>
      <c r="I2786" s="163">
        <f>IFERROR(__xludf.DUMMYFUNCTION("""COMPUTED_VALUE"""),22.0)</f>
        <v>22</v>
      </c>
      <c r="J2786" s="165">
        <f>IFERROR(__xludf.DUMMYFUNCTION("""COMPUTED_VALUE"""),1.07786734037019)</f>
        <v>1.07786734</v>
      </c>
      <c r="K2786" s="165">
        <f>IFERROR(__xludf.DUMMYFUNCTION("""COMPUTED_VALUE"""),0.8105178231634)</f>
        <v>0.8105178232</v>
      </c>
      <c r="L2786" s="165">
        <f>IFERROR(__xludf.DUMMYFUNCTION("""COMPUTED_VALUE"""),0.267349517206793)</f>
        <v>0.2673495172</v>
      </c>
      <c r="M2786" s="166">
        <f t="shared" si="2"/>
        <v>6.121991876</v>
      </c>
      <c r="N2786" s="167">
        <f t="shared" si="3"/>
        <v>34.18054852</v>
      </c>
      <c r="O2786" s="163">
        <f t="shared" ref="O2786:Q2786" si="2790">rank(I2786,I:I)</f>
        <v>3178</v>
      </c>
      <c r="P2786" s="163">
        <f t="shared" si="2790"/>
        <v>629</v>
      </c>
      <c r="Q2786" s="163">
        <f t="shared" si="2790"/>
        <v>598</v>
      </c>
      <c r="R2786" s="163">
        <f>IFERROR(__xludf.DUMMYFUNCTION("RANK(M2786,filter(M:M,C:C=C2786))"),44.0)</f>
        <v>44</v>
      </c>
      <c r="S2786" s="161" t="b">
        <f t="shared" si="5"/>
        <v>0</v>
      </c>
      <c r="T2786" s="161" t="b">
        <f t="array" ref="T2786">index('Query Tool'!B:B,match(H2786,'Query Tool'!C:C,0))</f>
        <v>1</v>
      </c>
      <c r="U2786" s="161" t="b">
        <f t="array" ref="U2786">index('Query Tool'!B:B,match(C2786,'Query Tool'!C:C,0))</f>
        <v>0</v>
      </c>
      <c r="V2786" s="161" t="b">
        <f>F2786&gt;='Query Tool'!C$32</f>
        <v>1</v>
      </c>
      <c r="W2786" s="161" t="b">
        <f t="array" ref="W2786">index(Dropdowns!B:B,match(I2786,Dropdowns!A:A,0))</f>
        <v>1</v>
      </c>
      <c r="X2786" s="161" t="b">
        <f t="array" ref="X2786">index('Query Tool'!B:B,match(D2786,'Query Tool'!C:C,0))</f>
        <v>1</v>
      </c>
      <c r="Y2786" s="161" t="str">
        <f t="shared" si="6"/>
        <v>simmobe01,2018-19</v>
      </c>
      <c r="Z2786" s="168">
        <f t="array" ref="Z2786">iferror(index(I:I,match($A2786&amp;","&amp;index('Year Conversion'!$A:$A,match($C2786,'Year Conversion'!$B:$B,0)),$Y:$Y,0))-I2786,"")</f>
        <v>1</v>
      </c>
      <c r="AA2786" s="168">
        <f t="array" ref="AA2786">iferror(index(J:J,match($A2786&amp;","&amp;index('Year Conversion'!$A:$A,match($C2786,'Year Conversion'!$B:$B,0)),$Y:$Y,0))-J2786,"")</f>
        <v>1.091501781</v>
      </c>
      <c r="AB2786" s="168">
        <f t="array" ref="AB2786">iferror(index(K:K,match($A2786&amp;","&amp;index('Year Conversion'!$A:$A,match($C2786,'Year Conversion'!$B:$B,0)),$Y:$Y,0))-K2786,"")</f>
        <v>-0.2925842877</v>
      </c>
      <c r="AC2786" s="168" t="str">
        <f t="shared" si="7"/>
        <v>PHI,2018-19</v>
      </c>
    </row>
    <row r="2787">
      <c r="A2787" s="161" t="str">
        <f>IFERROR(__xludf.DUMMYFUNCTION("""COMPUTED_VALUE"""),"bendedr01")</f>
        <v>bendedr01</v>
      </c>
      <c r="B2787" s="161" t="str">
        <f>IFERROR(__xludf.DUMMYFUNCTION("""COMPUTED_VALUE"""),"Dragan Bender")</f>
        <v>Dragan Bender</v>
      </c>
      <c r="C2787" s="162" t="str">
        <f>IFERROR(__xludf.DUMMYFUNCTION("""COMPUTED_VALUE"""),"2018-19")</f>
        <v>2018-19</v>
      </c>
      <c r="D2787" s="163" t="str">
        <f>IFERROR(__xludf.DUMMYFUNCTION("""COMPUTED_VALUE"""),"PHO")</f>
        <v>PHO</v>
      </c>
      <c r="E2787" s="164" t="str">
        <f>IFERROR(__xludf.DUMMYFUNCTION("""COMPUTED_VALUE"""),"Stretch Big")</f>
        <v>Stretch Big</v>
      </c>
      <c r="F2787" s="164">
        <f>IFERROR(__xludf.DUMMYFUNCTION("""COMPUTED_VALUE"""),826.208333333333)</f>
        <v>826.2083333</v>
      </c>
      <c r="G2787" s="163">
        <f>IFERROR(__xludf.DUMMYFUNCTION("""COMPUTED_VALUE"""),46.0)</f>
        <v>46</v>
      </c>
      <c r="H2787" s="163" t="str">
        <f>IFERROR(__xludf.DUMMYFUNCTION("""COMPUTED_VALUE"""),"PF")</f>
        <v>PF</v>
      </c>
      <c r="I2787" s="163">
        <f>IFERROR(__xludf.DUMMYFUNCTION("""COMPUTED_VALUE"""),21.0)</f>
        <v>21</v>
      </c>
      <c r="J2787" s="165">
        <f>IFERROR(__xludf.DUMMYFUNCTION("""COMPUTED_VALUE"""),-0.855362248753273)</f>
        <v>-0.8553622488</v>
      </c>
      <c r="K2787" s="165">
        <f>IFERROR(__xludf.DUMMYFUNCTION("""COMPUTED_VALUE"""),-1.31254147667375)</f>
        <v>-1.312541477</v>
      </c>
      <c r="L2787" s="165">
        <f>IFERROR(__xludf.DUMMYFUNCTION("""COMPUTED_VALUE"""),0.457179227920476)</f>
        <v>0.4571792279</v>
      </c>
      <c r="M2787" s="166">
        <f t="shared" si="2"/>
        <v>0.7977665769</v>
      </c>
      <c r="N2787" s="167">
        <f t="shared" si="3"/>
        <v>17.96105072</v>
      </c>
      <c r="O2787" s="163">
        <f t="shared" ref="O2787:Q2787" si="2791">rank(I2787,I:I)</f>
        <v>3528</v>
      </c>
      <c r="P2787" s="163">
        <f t="shared" si="2791"/>
        <v>2349</v>
      </c>
      <c r="Q2787" s="163">
        <f t="shared" si="2791"/>
        <v>3163</v>
      </c>
      <c r="R2787" s="163">
        <f>IFERROR(__xludf.DUMMYFUNCTION("RANK(M2787,filter(M:M,C:C=C2787))"),240.0)</f>
        <v>240</v>
      </c>
      <c r="S2787" s="161" t="b">
        <f t="shared" si="5"/>
        <v>0</v>
      </c>
      <c r="T2787" s="161" t="b">
        <f t="array" ref="T2787">index('Query Tool'!B:B,match(H2787,'Query Tool'!C:C,0))</f>
        <v>1</v>
      </c>
      <c r="U2787" s="161" t="b">
        <f t="array" ref="U2787">index('Query Tool'!B:B,match(C2787,'Query Tool'!C:C,0))</f>
        <v>0</v>
      </c>
      <c r="V2787" s="161" t="b">
        <f>F2787&gt;='Query Tool'!C$32</f>
        <v>1</v>
      </c>
      <c r="W2787" s="161" t="b">
        <f t="array" ref="W2787">index(Dropdowns!B:B,match(I2787,Dropdowns!A:A,0))</f>
        <v>1</v>
      </c>
      <c r="X2787" s="161" t="b">
        <f t="array" ref="X2787">index('Query Tool'!B:B,match(D2787,'Query Tool'!C:C,0))</f>
        <v>1</v>
      </c>
      <c r="Y2787" s="161" t="str">
        <f t="shared" si="6"/>
        <v>bendedr01,2018-19</v>
      </c>
      <c r="Z2787" s="168">
        <f t="array" ref="Z2787">iferror(index(I:I,match($A2787&amp;","&amp;index('Year Conversion'!$A:$A,match($C2787,'Year Conversion'!$B:$B,0)),$Y:$Y,0))-I2787,"")</f>
        <v>1</v>
      </c>
      <c r="AA2787" s="168">
        <f t="array" ref="AA2787">iferror(index(J:J,match($A2787&amp;","&amp;index('Year Conversion'!$A:$A,match($C2787,'Year Conversion'!$B:$B,0)),$Y:$Y,0))-J2787,"")</f>
        <v>0.6860265522</v>
      </c>
      <c r="AB2787" s="168">
        <f t="array" ref="AB2787">iferror(index(K:K,match($A2787&amp;","&amp;index('Year Conversion'!$A:$A,match($C2787,'Year Conversion'!$B:$B,0)),$Y:$Y,0))-K2787,"")</f>
        <v>0.3892031178</v>
      </c>
      <c r="AC2787" s="168" t="str">
        <f t="shared" si="7"/>
        <v>PHO,2018-19</v>
      </c>
    </row>
    <row r="2788">
      <c r="A2788" s="161" t="str">
        <f>IFERROR(__xludf.DUMMYFUNCTION("""COMPUTED_VALUE"""),"sabondo01")</f>
        <v>sabondo01</v>
      </c>
      <c r="B2788" s="161" t="str">
        <f>IFERROR(__xludf.DUMMYFUNCTION("""COMPUTED_VALUE"""),"Domantas Sabonis")</f>
        <v>Domantas Sabonis</v>
      </c>
      <c r="C2788" s="162" t="str">
        <f>IFERROR(__xludf.DUMMYFUNCTION("""COMPUTED_VALUE"""),"2018-19")</f>
        <v>2018-19</v>
      </c>
      <c r="D2788" s="163" t="str">
        <f>IFERROR(__xludf.DUMMYFUNCTION("""COMPUTED_VALUE"""),"IND")</f>
        <v>IND</v>
      </c>
      <c r="E2788" s="164" t="str">
        <f>IFERROR(__xludf.DUMMYFUNCTION("""COMPUTED_VALUE"""),"Post Scorer")</f>
        <v>Post Scorer</v>
      </c>
      <c r="F2788" s="164">
        <f>IFERROR(__xludf.DUMMYFUNCTION("""COMPUTED_VALUE"""),1838.44666666667)</f>
        <v>1838.446667</v>
      </c>
      <c r="G2788" s="163">
        <f>IFERROR(__xludf.DUMMYFUNCTION("""COMPUTED_VALUE"""),74.0)</f>
        <v>74</v>
      </c>
      <c r="H2788" s="163" t="str">
        <f>IFERROR(__xludf.DUMMYFUNCTION("""COMPUTED_VALUE"""),"C")</f>
        <v>C</v>
      </c>
      <c r="I2788" s="163">
        <f>IFERROR(__xludf.DUMMYFUNCTION("""COMPUTED_VALUE"""),22.0)</f>
        <v>22</v>
      </c>
      <c r="J2788" s="165">
        <f>IFERROR(__xludf.DUMMYFUNCTION("""COMPUTED_VALUE"""),1.70790665136611)</f>
        <v>1.707906651</v>
      </c>
      <c r="K2788" s="165">
        <f>IFERROR(__xludf.DUMMYFUNCTION("""COMPUTED_VALUE"""),0.608938329820676)</f>
        <v>0.6089383298</v>
      </c>
      <c r="L2788" s="165">
        <f>IFERROR(__xludf.DUMMYFUNCTION("""COMPUTED_VALUE"""),1.09896832154543)</f>
        <v>1.098968322</v>
      </c>
      <c r="M2788" s="166">
        <f t="shared" si="2"/>
        <v>4.942620822</v>
      </c>
      <c r="N2788" s="167">
        <f t="shared" si="3"/>
        <v>24.84387387</v>
      </c>
      <c r="O2788" s="163">
        <f t="shared" ref="O2788:Q2788" si="2792">rank(I2788,I:I)</f>
        <v>3178</v>
      </c>
      <c r="P2788" s="163">
        <f t="shared" si="2792"/>
        <v>394</v>
      </c>
      <c r="Q2788" s="163">
        <f t="shared" si="2792"/>
        <v>703</v>
      </c>
      <c r="R2788" s="163">
        <f>IFERROR(__xludf.DUMMYFUNCTION("RANK(M2788,filter(M:M,C:C=C2788))"),60.0)</f>
        <v>60</v>
      </c>
      <c r="S2788" s="161" t="b">
        <f t="shared" si="5"/>
        <v>0</v>
      </c>
      <c r="T2788" s="161" t="b">
        <f t="array" ref="T2788">index('Query Tool'!B:B,match(H2788,'Query Tool'!C:C,0))</f>
        <v>1</v>
      </c>
      <c r="U2788" s="161" t="b">
        <f t="array" ref="U2788">index('Query Tool'!B:B,match(C2788,'Query Tool'!C:C,0))</f>
        <v>0</v>
      </c>
      <c r="V2788" s="161" t="b">
        <f>F2788&gt;='Query Tool'!C$32</f>
        <v>1</v>
      </c>
      <c r="W2788" s="161" t="b">
        <f t="array" ref="W2788">index(Dropdowns!B:B,match(I2788,Dropdowns!A:A,0))</f>
        <v>1</v>
      </c>
      <c r="X2788" s="161" t="b">
        <f t="array" ref="X2788">index('Query Tool'!B:B,match(D2788,'Query Tool'!C:C,0))</f>
        <v>1</v>
      </c>
      <c r="Y2788" s="161" t="str">
        <f t="shared" si="6"/>
        <v>sabondo01,2018-19</v>
      </c>
      <c r="Z2788" s="168">
        <f t="array" ref="Z2788">iferror(index(I:I,match($A2788&amp;","&amp;index('Year Conversion'!$A:$A,match($C2788,'Year Conversion'!$B:$B,0)),$Y:$Y,0))-I2788,"")</f>
        <v>1</v>
      </c>
      <c r="AA2788" s="168">
        <f t="array" ref="AA2788">iferror(index(J:J,match($A2788&amp;","&amp;index('Year Conversion'!$A:$A,match($C2788,'Year Conversion'!$B:$B,0)),$Y:$Y,0))-J2788,"")</f>
        <v>0.6167774672</v>
      </c>
      <c r="AB2788" s="168">
        <f t="array" ref="AB2788">iferror(index(K:K,match($A2788&amp;","&amp;index('Year Conversion'!$A:$A,match($C2788,'Year Conversion'!$B:$B,0)),$Y:$Y,0))-K2788,"")</f>
        <v>0.3954063849</v>
      </c>
      <c r="AC2788" s="168" t="str">
        <f t="shared" si="7"/>
        <v>IND,2018-19</v>
      </c>
    </row>
    <row r="2789">
      <c r="A2789" s="161" t="str">
        <f>IFERROR(__xludf.DUMMYFUNCTION("""COMPUTED_VALUE"""),"baldwwa01")</f>
        <v>baldwwa01</v>
      </c>
      <c r="B2789" s="161" t="str">
        <f>IFERROR(__xludf.DUMMYFUNCTION("""COMPUTED_VALUE"""),"Wade Baldwin IV")</f>
        <v>Wade Baldwin IV</v>
      </c>
      <c r="C2789" s="162" t="str">
        <f>IFERROR(__xludf.DUMMYFUNCTION("""COMPUTED_VALUE"""),"2018-19")</f>
        <v>2018-19</v>
      </c>
      <c r="D2789" s="163" t="str">
        <f>IFERROR(__xludf.DUMMYFUNCTION("""COMPUTED_VALUE"""),"POR")</f>
        <v>POR</v>
      </c>
      <c r="E2789" s="164" t="str">
        <f>IFERROR(__xludf.DUMMYFUNCTION("""COMPUTED_VALUE"""),"Slasher")</f>
        <v>Slasher</v>
      </c>
      <c r="F2789" s="164">
        <f>IFERROR(__xludf.DUMMYFUNCTION("""COMPUTED_VALUE"""),93.6533333333333)</f>
        <v>93.65333333</v>
      </c>
      <c r="G2789" s="163">
        <f>IFERROR(__xludf.DUMMYFUNCTION("""COMPUTED_VALUE"""),16.0)</f>
        <v>16</v>
      </c>
      <c r="H2789" s="163" t="str">
        <f>IFERROR(__xludf.DUMMYFUNCTION("""COMPUTED_VALUE"""),"PG")</f>
        <v>PG</v>
      </c>
      <c r="I2789" s="163">
        <f>IFERROR(__xludf.DUMMYFUNCTION("""COMPUTED_VALUE"""),22.0)</f>
        <v>22</v>
      </c>
      <c r="J2789" s="165">
        <f>IFERROR(__xludf.DUMMYFUNCTION("""COMPUTED_VALUE"""),-1.81868507011572)</f>
        <v>-1.81868507</v>
      </c>
      <c r="K2789" s="165">
        <f>IFERROR(__xludf.DUMMYFUNCTION("""COMPUTED_VALUE"""),-1.13110049219184)</f>
        <v>-1.131100492</v>
      </c>
      <c r="L2789" s="165">
        <f>IFERROR(__xludf.DUMMYFUNCTION("""COMPUTED_VALUE"""),-0.687584577923883)</f>
        <v>-0.6875845779</v>
      </c>
      <c r="M2789" s="166">
        <f t="shared" si="2"/>
        <v>0.03007497412</v>
      </c>
      <c r="N2789" s="167">
        <f t="shared" si="3"/>
        <v>5.853333333</v>
      </c>
      <c r="O2789" s="163">
        <f t="shared" ref="O2789:Q2789" si="2793">rank(I2789,I:I)</f>
        <v>3178</v>
      </c>
      <c r="P2789" s="163">
        <f t="shared" si="2793"/>
        <v>3350</v>
      </c>
      <c r="Q2789" s="163">
        <f t="shared" si="2793"/>
        <v>2962</v>
      </c>
      <c r="R2789" s="163">
        <f>IFERROR(__xludf.DUMMYFUNCTION("RANK(M2789,filter(M:M,C:C=C2789))"),442.0)</f>
        <v>442</v>
      </c>
      <c r="S2789" s="161" t="b">
        <f t="shared" si="5"/>
        <v>0</v>
      </c>
      <c r="T2789" s="161" t="b">
        <f t="array" ref="T2789">index('Query Tool'!B:B,match(H2789,'Query Tool'!C:C,0))</f>
        <v>1</v>
      </c>
      <c r="U2789" s="161" t="b">
        <f t="array" ref="U2789">index('Query Tool'!B:B,match(C2789,'Query Tool'!C:C,0))</f>
        <v>0</v>
      </c>
      <c r="V2789" s="161" t="b">
        <f>F2789&gt;='Query Tool'!C$32</f>
        <v>0</v>
      </c>
      <c r="W2789" s="161" t="b">
        <f t="array" ref="W2789">index(Dropdowns!B:B,match(I2789,Dropdowns!A:A,0))</f>
        <v>1</v>
      </c>
      <c r="X2789" s="161" t="b">
        <f t="array" ref="X2789">index('Query Tool'!B:B,match(D2789,'Query Tool'!C:C,0))</f>
        <v>1</v>
      </c>
      <c r="Y2789" s="161" t="str">
        <f t="shared" si="6"/>
        <v>baldwwa01,2018-19</v>
      </c>
      <c r="Z2789" s="168" t="str">
        <f t="array" ref="Z2789">iferror(index(I:I,match($A2789&amp;","&amp;index('Year Conversion'!$A:$A,match($C2789,'Year Conversion'!$B:$B,0)),$Y:$Y,0))-I2789,"")</f>
        <v/>
      </c>
      <c r="AA2789" s="168" t="str">
        <f t="array" ref="AA2789">iferror(index(J:J,match($A2789&amp;","&amp;index('Year Conversion'!$A:$A,match($C2789,'Year Conversion'!$B:$B,0)),$Y:$Y,0))-J2789,"")</f>
        <v/>
      </c>
      <c r="AB2789" s="168" t="str">
        <f t="array" ref="AB2789">iferror(index(K:K,match($A2789&amp;","&amp;index('Year Conversion'!$A:$A,match($C2789,'Year Conversion'!$B:$B,0)),$Y:$Y,0))-K2789,"")</f>
        <v/>
      </c>
      <c r="AC2789" s="168" t="str">
        <f t="shared" si="7"/>
        <v>POR,2018-19</v>
      </c>
    </row>
    <row r="2790">
      <c r="A2790" s="161" t="str">
        <f>IFERROR(__xludf.DUMMYFUNCTION("""COMPUTED_VALUE"""),"beaslma01")</f>
        <v>beaslma01</v>
      </c>
      <c r="B2790" s="161" t="str">
        <f>IFERROR(__xludf.DUMMYFUNCTION("""COMPUTED_VALUE"""),"Malik Beasley")</f>
        <v>Malik Beasley</v>
      </c>
      <c r="C2790" s="162" t="str">
        <f>IFERROR(__xludf.DUMMYFUNCTION("""COMPUTED_VALUE"""),"2018-19")</f>
        <v>2018-19</v>
      </c>
      <c r="D2790" s="163" t="str">
        <f>IFERROR(__xludf.DUMMYFUNCTION("""COMPUTED_VALUE"""),"DEN")</f>
        <v>DEN</v>
      </c>
      <c r="E2790" s="164" t="str">
        <f>IFERROR(__xludf.DUMMYFUNCTION("""COMPUTED_VALUE"""),"Movement Shooter")</f>
        <v>Movement Shooter</v>
      </c>
      <c r="F2790" s="164">
        <f>IFERROR(__xludf.DUMMYFUNCTION("""COMPUTED_VALUE"""),1878.72333333333)</f>
        <v>1878.723333</v>
      </c>
      <c r="G2790" s="163">
        <f>IFERROR(__xludf.DUMMYFUNCTION("""COMPUTED_VALUE"""),81.0)</f>
        <v>81</v>
      </c>
      <c r="H2790" s="163" t="str">
        <f>IFERROR(__xludf.DUMMYFUNCTION("""COMPUTED_VALUE"""),"SG")</f>
        <v>SG</v>
      </c>
      <c r="I2790" s="163">
        <f>IFERROR(__xludf.DUMMYFUNCTION("""COMPUTED_VALUE"""),22.0)</f>
        <v>22</v>
      </c>
      <c r="J2790" s="165">
        <f>IFERROR(__xludf.DUMMYFUNCTION("""COMPUTED_VALUE"""),-1.1723085404997)</f>
        <v>-1.17230854</v>
      </c>
      <c r="K2790" s="165">
        <f>IFERROR(__xludf.DUMMYFUNCTION("""COMPUTED_VALUE"""),0.219295022855939)</f>
        <v>0.2192950229</v>
      </c>
      <c r="L2790" s="165">
        <f>IFERROR(__xludf.DUMMYFUNCTION("""COMPUTED_VALUE"""),-1.39160356335564)</f>
        <v>-1.391603563</v>
      </c>
      <c r="M2790" s="166">
        <f t="shared" si="2"/>
        <v>1.414328602</v>
      </c>
      <c r="N2790" s="167">
        <f t="shared" si="3"/>
        <v>23.19411523</v>
      </c>
      <c r="O2790" s="163">
        <f t="shared" ref="O2790:Q2790" si="2794">rank(I2790,I:I)</f>
        <v>3178</v>
      </c>
      <c r="P2790" s="163">
        <f t="shared" si="2794"/>
        <v>2707</v>
      </c>
      <c r="Q2790" s="163">
        <f t="shared" si="2794"/>
        <v>971</v>
      </c>
      <c r="R2790" s="163">
        <f>IFERROR(__xludf.DUMMYFUNCTION("RANK(M2790,filter(M:M,C:C=C2790))"),191.0)</f>
        <v>191</v>
      </c>
      <c r="S2790" s="161" t="b">
        <f t="shared" si="5"/>
        <v>0</v>
      </c>
      <c r="T2790" s="161" t="b">
        <f t="array" ref="T2790">index('Query Tool'!B:B,match(H2790,'Query Tool'!C:C,0))</f>
        <v>1</v>
      </c>
      <c r="U2790" s="161" t="b">
        <f t="array" ref="U2790">index('Query Tool'!B:B,match(C2790,'Query Tool'!C:C,0))</f>
        <v>0</v>
      </c>
      <c r="V2790" s="161" t="b">
        <f>F2790&gt;='Query Tool'!C$32</f>
        <v>1</v>
      </c>
      <c r="W2790" s="161" t="b">
        <f t="array" ref="W2790">index(Dropdowns!B:B,match(I2790,Dropdowns!A:A,0))</f>
        <v>1</v>
      </c>
      <c r="X2790" s="161" t="b">
        <f t="array" ref="X2790">index('Query Tool'!B:B,match(D2790,'Query Tool'!C:C,0))</f>
        <v>1</v>
      </c>
      <c r="Y2790" s="161" t="str">
        <f t="shared" si="6"/>
        <v>beaslma01,2018-19</v>
      </c>
      <c r="Z2790" s="168">
        <f t="array" ref="Z2790">iferror(index(I:I,match($A2790&amp;","&amp;index('Year Conversion'!$A:$A,match($C2790,'Year Conversion'!$B:$B,0)),$Y:$Y,0))-I2790,"")</f>
        <v>1</v>
      </c>
      <c r="AA2790" s="168">
        <f t="array" ref="AA2790">iferror(index(J:J,match($A2790&amp;","&amp;index('Year Conversion'!$A:$A,match($C2790,'Year Conversion'!$B:$B,0)),$Y:$Y,0))-J2790,"")</f>
        <v>-0.5631278014</v>
      </c>
      <c r="AB2790" s="168">
        <f t="array" ref="AB2790">iferror(index(K:K,match($A2790&amp;","&amp;index('Year Conversion'!$A:$A,match($C2790,'Year Conversion'!$B:$B,0)),$Y:$Y,0))-K2790,"")</f>
        <v>-0.6237243856</v>
      </c>
      <c r="AC2790" s="168" t="str">
        <f t="shared" si="7"/>
        <v>DEN,2018-19</v>
      </c>
    </row>
    <row r="2791">
      <c r="A2791" s="161" t="str">
        <f>IFERROR(__xludf.DUMMYFUNCTION("""COMPUTED_VALUE"""),"chrisma01")</f>
        <v>chrisma01</v>
      </c>
      <c r="B2791" s="161" t="str">
        <f>IFERROR(__xludf.DUMMYFUNCTION("""COMPUTED_VALUE"""),"Marquese Chriss")</f>
        <v>Marquese Chriss</v>
      </c>
      <c r="C2791" s="162" t="str">
        <f>IFERROR(__xludf.DUMMYFUNCTION("""COMPUTED_VALUE"""),"2018-19")</f>
        <v>2018-19</v>
      </c>
      <c r="D2791" s="163" t="str">
        <f>IFERROR(__xludf.DUMMYFUNCTION("""COMPUTED_VALUE"""),"TOT")</f>
        <v>TOT</v>
      </c>
      <c r="E2791" s="164" t="str">
        <f>IFERROR(__xludf.DUMMYFUNCTION("""COMPUTED_VALUE"""),"Stretch Big")</f>
        <v>Stretch Big</v>
      </c>
      <c r="F2791" s="164">
        <f>IFERROR(__xludf.DUMMYFUNCTION("""COMPUTED_VALUE"""),498.801666666667)</f>
        <v>498.8016667</v>
      </c>
      <c r="G2791" s="163">
        <f>IFERROR(__xludf.DUMMYFUNCTION("""COMPUTED_VALUE"""),43.0)</f>
        <v>43</v>
      </c>
      <c r="H2791" s="163" t="str">
        <f>IFERROR(__xludf.DUMMYFUNCTION("""COMPUTED_VALUE"""),"PF")</f>
        <v>PF</v>
      </c>
      <c r="I2791" s="163">
        <f>IFERROR(__xludf.DUMMYFUNCTION("""COMPUTED_VALUE"""),21.0)</f>
        <v>21</v>
      </c>
      <c r="J2791" s="165">
        <f>IFERROR(__xludf.DUMMYFUNCTION("""COMPUTED_VALUE"""),-0.950869868559035)</f>
        <v>-0.9508698686</v>
      </c>
      <c r="K2791" s="165">
        <f>IFERROR(__xludf.DUMMYFUNCTION("""COMPUTED_VALUE"""),-0.879499293785603)</f>
        <v>-0.8794992938</v>
      </c>
      <c r="L2791" s="165">
        <f>IFERROR(__xludf.DUMMYFUNCTION("""COMPUTED_VALUE"""),-0.0713705747734315)</f>
        <v>-0.07137057477</v>
      </c>
      <c r="M2791" s="166">
        <f t="shared" si="2"/>
        <v>0.4496217559</v>
      </c>
      <c r="N2791" s="167">
        <f t="shared" si="3"/>
        <v>11.60003876</v>
      </c>
      <c r="O2791" s="163">
        <f t="shared" ref="O2791:Q2791" si="2795">rank(I2791,I:I)</f>
        <v>3528</v>
      </c>
      <c r="P2791" s="163">
        <f t="shared" si="2795"/>
        <v>2452</v>
      </c>
      <c r="Q2791" s="163">
        <f t="shared" si="2795"/>
        <v>2664</v>
      </c>
      <c r="R2791" s="163">
        <f>IFERROR(__xludf.DUMMYFUNCTION("RANK(M2791,filter(M:M,C:C=C2791))"),299.0)</f>
        <v>299</v>
      </c>
      <c r="S2791" s="161" t="b">
        <f t="shared" si="5"/>
        <v>0</v>
      </c>
      <c r="T2791" s="161" t="b">
        <f t="array" ref="T2791">index('Query Tool'!B:B,match(H2791,'Query Tool'!C:C,0))</f>
        <v>1</v>
      </c>
      <c r="U2791" s="161" t="b">
        <f t="array" ref="U2791">index('Query Tool'!B:B,match(C2791,'Query Tool'!C:C,0))</f>
        <v>0</v>
      </c>
      <c r="V2791" s="161" t="b">
        <f>F2791&gt;='Query Tool'!C$32</f>
        <v>0</v>
      </c>
      <c r="W2791" s="161" t="b">
        <f t="array" ref="W2791">index(Dropdowns!B:B,match(I2791,Dropdowns!A:A,0))</f>
        <v>1</v>
      </c>
      <c r="X2791" s="161" t="b">
        <f t="array" ref="X2791">index('Query Tool'!B:B,match(D2791,'Query Tool'!C:C,0))</f>
        <v>1</v>
      </c>
      <c r="Y2791" s="161" t="str">
        <f t="shared" si="6"/>
        <v>chrisma01,2018-19</v>
      </c>
      <c r="Z2791" s="168">
        <f t="array" ref="Z2791">iferror(index(I:I,match($A2791&amp;","&amp;index('Year Conversion'!$A:$A,match($C2791,'Year Conversion'!$B:$B,0)),$Y:$Y,0))-I2791,"")</f>
        <v>1</v>
      </c>
      <c r="AA2791" s="168">
        <f t="array" ref="AA2791">iferror(index(J:J,match($A2791&amp;","&amp;index('Year Conversion'!$A:$A,match($C2791,'Year Conversion'!$B:$B,0)),$Y:$Y,0))-J2791,"")</f>
        <v>1.471934157</v>
      </c>
      <c r="AB2791" s="168">
        <f t="array" ref="AB2791">iferror(index(K:K,match($A2791&amp;","&amp;index('Year Conversion'!$A:$A,match($C2791,'Year Conversion'!$B:$B,0)),$Y:$Y,0))-K2791,"")</f>
        <v>0.3029295122</v>
      </c>
      <c r="AC2791" s="168" t="str">
        <f t="shared" si="7"/>
        <v>TOT,2018-19</v>
      </c>
    </row>
    <row r="2792">
      <c r="A2792" s="161" t="str">
        <f>IFERROR(__xludf.DUMMYFUNCTION("""COMPUTED_VALUE"""),"davisde01")</f>
        <v>davisde01</v>
      </c>
      <c r="B2792" s="161" t="str">
        <f>IFERROR(__xludf.DUMMYFUNCTION("""COMPUTED_VALUE"""),"Deyonta Davis")</f>
        <v>Deyonta Davis</v>
      </c>
      <c r="C2792" s="162" t="str">
        <f>IFERROR(__xludf.DUMMYFUNCTION("""COMPUTED_VALUE"""),"2018-19")</f>
        <v>2018-19</v>
      </c>
      <c r="D2792" s="163" t="str">
        <f>IFERROR(__xludf.DUMMYFUNCTION("""COMPUTED_VALUE"""),"ATL")</f>
        <v>ATL</v>
      </c>
      <c r="E2792" s="164" t="str">
        <f>IFERROR(__xludf.DUMMYFUNCTION("""COMPUTED_VALUE"""),"Roll + Cut Big")</f>
        <v>Roll + Cut Big</v>
      </c>
      <c r="F2792" s="164">
        <f>IFERROR(__xludf.DUMMYFUNCTION("""COMPUTED_VALUE"""),118.435)</f>
        <v>118.435</v>
      </c>
      <c r="G2792" s="163">
        <f>IFERROR(__xludf.DUMMYFUNCTION("""COMPUTED_VALUE"""),9.0)</f>
        <v>9</v>
      </c>
      <c r="H2792" s="163" t="str">
        <f>IFERROR(__xludf.DUMMYFUNCTION("""COMPUTED_VALUE"""),"C")</f>
        <v>C</v>
      </c>
      <c r="I2792" s="163">
        <f>IFERROR(__xludf.DUMMYFUNCTION("""COMPUTED_VALUE"""),22.0)</f>
        <v>22</v>
      </c>
      <c r="J2792" s="165">
        <f>IFERROR(__xludf.DUMMYFUNCTION("""COMPUTED_VALUE"""),0.114504033661009)</f>
        <v>0.1145040337</v>
      </c>
      <c r="K2792" s="165">
        <f>IFERROR(__xludf.DUMMYFUNCTION("""COMPUTED_VALUE"""),-0.527228517805567)</f>
        <v>-0.5272285178</v>
      </c>
      <c r="L2792" s="165">
        <f>IFERROR(__xludf.DUMMYFUNCTION("""COMPUTED_VALUE"""),0.641732551466576)</f>
        <v>0.6417325515</v>
      </c>
      <c r="M2792" s="166">
        <f t="shared" si="2"/>
        <v>0.1917300055</v>
      </c>
      <c r="N2792" s="167">
        <f t="shared" si="3"/>
        <v>13.15944444</v>
      </c>
      <c r="O2792" s="163">
        <f t="shared" ref="O2792:Q2792" si="2796">rank(I2792,I:I)</f>
        <v>3178</v>
      </c>
      <c r="P2792" s="163">
        <f t="shared" si="2796"/>
        <v>1169</v>
      </c>
      <c r="Q2792" s="163">
        <f t="shared" si="2796"/>
        <v>2151</v>
      </c>
      <c r="R2792" s="163">
        <f>IFERROR(__xludf.DUMMYFUNCTION("RANK(M2792,filter(M:M,C:C=C2792))"),350.0)</f>
        <v>350</v>
      </c>
      <c r="S2792" s="161" t="b">
        <f t="shared" si="5"/>
        <v>0</v>
      </c>
      <c r="T2792" s="161" t="b">
        <f t="array" ref="T2792">index('Query Tool'!B:B,match(H2792,'Query Tool'!C:C,0))</f>
        <v>1</v>
      </c>
      <c r="U2792" s="161" t="b">
        <f t="array" ref="U2792">index('Query Tool'!B:B,match(C2792,'Query Tool'!C:C,0))</f>
        <v>0</v>
      </c>
      <c r="V2792" s="161" t="b">
        <f>F2792&gt;='Query Tool'!C$32</f>
        <v>0</v>
      </c>
      <c r="W2792" s="161" t="b">
        <f t="array" ref="W2792">index(Dropdowns!B:B,match(I2792,Dropdowns!A:A,0))</f>
        <v>1</v>
      </c>
      <c r="X2792" s="161" t="b">
        <f t="array" ref="X2792">index('Query Tool'!B:B,match(D2792,'Query Tool'!C:C,0))</f>
        <v>1</v>
      </c>
      <c r="Y2792" s="161" t="str">
        <f t="shared" si="6"/>
        <v>davisde01,2018-19</v>
      </c>
      <c r="Z2792" s="168" t="str">
        <f t="array" ref="Z2792">iferror(index(I:I,match($A2792&amp;","&amp;index('Year Conversion'!$A:$A,match($C2792,'Year Conversion'!$B:$B,0)),$Y:$Y,0))-I2792,"")</f>
        <v/>
      </c>
      <c r="AA2792" s="168" t="str">
        <f t="array" ref="AA2792">iferror(index(J:J,match($A2792&amp;","&amp;index('Year Conversion'!$A:$A,match($C2792,'Year Conversion'!$B:$B,0)),$Y:$Y,0))-J2792,"")</f>
        <v/>
      </c>
      <c r="AB2792" s="168" t="str">
        <f t="array" ref="AB2792">iferror(index(K:K,match($A2792&amp;","&amp;index('Year Conversion'!$A:$A,match($C2792,'Year Conversion'!$B:$B,0)),$Y:$Y,0))-K2792,"")</f>
        <v/>
      </c>
      <c r="AC2792" s="168" t="str">
        <f t="shared" si="7"/>
        <v>ATL,2018-19</v>
      </c>
    </row>
    <row r="2793">
      <c r="A2793" s="161" t="str">
        <f>IFERROR(__xludf.DUMMYFUNCTION("""COMPUTED_VALUE"""),"dunnkr01")</f>
        <v>dunnkr01</v>
      </c>
      <c r="B2793" s="161" t="str">
        <f>IFERROR(__xludf.DUMMYFUNCTION("""COMPUTED_VALUE"""),"Kris Dunn")</f>
        <v>Kris Dunn</v>
      </c>
      <c r="C2793" s="162" t="str">
        <f>IFERROR(__xludf.DUMMYFUNCTION("""COMPUTED_VALUE"""),"2018-19")</f>
        <v>2018-19</v>
      </c>
      <c r="D2793" s="163" t="str">
        <f>IFERROR(__xludf.DUMMYFUNCTION("""COMPUTED_VALUE"""),"CHI")</f>
        <v>CHI</v>
      </c>
      <c r="E2793" s="164" t="str">
        <f>IFERROR(__xludf.DUMMYFUNCTION("""COMPUTED_VALUE"""),"Slasher")</f>
        <v>Slasher</v>
      </c>
      <c r="F2793" s="164">
        <f>IFERROR(__xludf.DUMMYFUNCTION("""COMPUTED_VALUE"""),1389.35333333333)</f>
        <v>1389.353333</v>
      </c>
      <c r="G2793" s="163">
        <f>IFERROR(__xludf.DUMMYFUNCTION("""COMPUTED_VALUE"""),46.0)</f>
        <v>46</v>
      </c>
      <c r="H2793" s="163" t="str">
        <f>IFERROR(__xludf.DUMMYFUNCTION("""COMPUTED_VALUE"""),"PG")</f>
        <v>PG</v>
      </c>
      <c r="I2793" s="163">
        <f>IFERROR(__xludf.DUMMYFUNCTION("""COMPUTED_VALUE"""),24.0)</f>
        <v>24</v>
      </c>
      <c r="J2793" s="165">
        <f>IFERROR(__xludf.DUMMYFUNCTION("""COMPUTED_VALUE"""),-1.68403472110975)</f>
        <v>-1.684034721</v>
      </c>
      <c r="K2793" s="165">
        <f>IFERROR(__xludf.DUMMYFUNCTION("""COMPUTED_VALUE"""),-1.72651432191985)</f>
        <v>-1.726514322</v>
      </c>
      <c r="L2793" s="165">
        <f>IFERROR(__xludf.DUMMYFUNCTION("""COMPUTED_VALUE"""),0.0424796008100984)</f>
        <v>0.04247960081</v>
      </c>
      <c r="M2793" s="166">
        <f t="shared" si="2"/>
        <v>0.5706901611</v>
      </c>
      <c r="N2793" s="167">
        <f t="shared" si="3"/>
        <v>30.20333333</v>
      </c>
      <c r="O2793" s="163">
        <f t="shared" ref="O2793:Q2793" si="2797">rank(I2793,I:I)</f>
        <v>2361</v>
      </c>
      <c r="P2793" s="163">
        <f t="shared" si="2797"/>
        <v>3226</v>
      </c>
      <c r="Q2793" s="163">
        <f t="shared" si="2797"/>
        <v>3535</v>
      </c>
      <c r="R2793" s="163">
        <f>IFERROR(__xludf.DUMMYFUNCTION("RANK(M2793,filter(M:M,C:C=C2793))"),274.0)</f>
        <v>274</v>
      </c>
      <c r="S2793" s="161" t="b">
        <f t="shared" si="5"/>
        <v>0</v>
      </c>
      <c r="T2793" s="161" t="b">
        <f t="array" ref="T2793">index('Query Tool'!B:B,match(H2793,'Query Tool'!C:C,0))</f>
        <v>1</v>
      </c>
      <c r="U2793" s="161" t="b">
        <f t="array" ref="U2793">index('Query Tool'!B:B,match(C2793,'Query Tool'!C:C,0))</f>
        <v>0</v>
      </c>
      <c r="V2793" s="161" t="b">
        <f>F2793&gt;='Query Tool'!C$32</f>
        <v>1</v>
      </c>
      <c r="W2793" s="161" t="b">
        <f t="array" ref="W2793">index(Dropdowns!B:B,match(I2793,Dropdowns!A:A,0))</f>
        <v>1</v>
      </c>
      <c r="X2793" s="161" t="b">
        <f t="array" ref="X2793">index('Query Tool'!B:B,match(D2793,'Query Tool'!C:C,0))</f>
        <v>1</v>
      </c>
      <c r="Y2793" s="161" t="str">
        <f t="shared" si="6"/>
        <v>dunnkr01,2018-19</v>
      </c>
      <c r="Z2793" s="168">
        <f t="array" ref="Z2793">iferror(index(I:I,match($A2793&amp;","&amp;index('Year Conversion'!$A:$A,match($C2793,'Year Conversion'!$B:$B,0)),$Y:$Y,0))-I2793,"")</f>
        <v>1</v>
      </c>
      <c r="AA2793" s="168">
        <f t="array" ref="AA2793">iferror(index(J:J,match($A2793&amp;","&amp;index('Year Conversion'!$A:$A,match($C2793,'Year Conversion'!$B:$B,0)),$Y:$Y,0))-J2793,"")</f>
        <v>3.109858724</v>
      </c>
      <c r="AB2793" s="168">
        <f t="array" ref="AB2793">iferror(index(K:K,match($A2793&amp;","&amp;index('Year Conversion'!$A:$A,match($C2793,'Year Conversion'!$B:$B,0)),$Y:$Y,0))-K2793,"")</f>
        <v>0.4981172502</v>
      </c>
      <c r="AC2793" s="168" t="str">
        <f t="shared" si="7"/>
        <v>CHI,2018-19</v>
      </c>
    </row>
    <row r="2794">
      <c r="A2794" s="161" t="str">
        <f>IFERROR(__xludf.DUMMYFUNCTION("""COMPUTED_VALUE"""),"ellenhe01")</f>
        <v>ellenhe01</v>
      </c>
      <c r="B2794" s="161" t="str">
        <f>IFERROR(__xludf.DUMMYFUNCTION("""COMPUTED_VALUE"""),"Henry Ellenson")</f>
        <v>Henry Ellenson</v>
      </c>
      <c r="C2794" s="162" t="str">
        <f>IFERROR(__xludf.DUMMYFUNCTION("""COMPUTED_VALUE"""),"2018-19")</f>
        <v>2018-19</v>
      </c>
      <c r="D2794" s="163" t="str">
        <f>IFERROR(__xludf.DUMMYFUNCTION("""COMPUTED_VALUE"""),"TOT")</f>
        <v>TOT</v>
      </c>
      <c r="E2794" s="164" t="str">
        <f>IFERROR(__xludf.DUMMYFUNCTION("""COMPUTED_VALUE"""),"Stationary Shooter")</f>
        <v>Stationary Shooter</v>
      </c>
      <c r="F2794" s="164">
        <f>IFERROR(__xludf.DUMMYFUNCTION("""COMPUTED_VALUE"""),259.106666666667)</f>
        <v>259.1066667</v>
      </c>
      <c r="G2794" s="163">
        <f>IFERROR(__xludf.DUMMYFUNCTION("""COMPUTED_VALUE"""),19.0)</f>
        <v>19</v>
      </c>
      <c r="H2794" s="163" t="str">
        <f>IFERROR(__xludf.DUMMYFUNCTION("""COMPUTED_VALUE"""),"PF")</f>
        <v>PF</v>
      </c>
      <c r="I2794" s="163">
        <f>IFERROR(__xludf.DUMMYFUNCTION("""COMPUTED_VALUE"""),22.0)</f>
        <v>22</v>
      </c>
      <c r="J2794" s="165">
        <f>IFERROR(__xludf.DUMMYFUNCTION("""COMPUTED_VALUE"""),-0.308577356772976)</f>
        <v>-0.3085773568</v>
      </c>
      <c r="K2794" s="165">
        <f>IFERROR(__xludf.DUMMYFUNCTION("""COMPUTED_VALUE"""),-0.527045903867688)</f>
        <v>-0.5270459039</v>
      </c>
      <c r="L2794" s="165">
        <f>IFERROR(__xludf.DUMMYFUNCTION("""COMPUTED_VALUE"""),0.218468547094713)</f>
        <v>0.2184685471</v>
      </c>
      <c r="M2794" s="166">
        <f t="shared" si="2"/>
        <v>0.3455587643</v>
      </c>
      <c r="N2794" s="167">
        <f t="shared" si="3"/>
        <v>13.63719298</v>
      </c>
      <c r="O2794" s="163">
        <f t="shared" ref="O2794:Q2794" si="2798">rank(I2794,I:I)</f>
        <v>3178</v>
      </c>
      <c r="P2794" s="163">
        <f t="shared" si="2798"/>
        <v>1625</v>
      </c>
      <c r="Q2794" s="163">
        <f t="shared" si="2798"/>
        <v>2149</v>
      </c>
      <c r="R2794" s="163">
        <f>IFERROR(__xludf.DUMMYFUNCTION("RANK(M2794,filter(M:M,C:C=C2794))"),313.0)</f>
        <v>313</v>
      </c>
      <c r="S2794" s="161" t="b">
        <f t="shared" si="5"/>
        <v>0</v>
      </c>
      <c r="T2794" s="161" t="b">
        <f t="array" ref="T2794">index('Query Tool'!B:B,match(H2794,'Query Tool'!C:C,0))</f>
        <v>1</v>
      </c>
      <c r="U2794" s="161" t="b">
        <f t="array" ref="U2794">index('Query Tool'!B:B,match(C2794,'Query Tool'!C:C,0))</f>
        <v>0</v>
      </c>
      <c r="V2794" s="161" t="b">
        <f>F2794&gt;='Query Tool'!C$32</f>
        <v>0</v>
      </c>
      <c r="W2794" s="161" t="b">
        <f t="array" ref="W2794">index(Dropdowns!B:B,match(I2794,Dropdowns!A:A,0))</f>
        <v>1</v>
      </c>
      <c r="X2794" s="161" t="b">
        <f t="array" ref="X2794">index('Query Tool'!B:B,match(D2794,'Query Tool'!C:C,0))</f>
        <v>1</v>
      </c>
      <c r="Y2794" s="161" t="str">
        <f t="shared" si="6"/>
        <v>ellenhe01,2018-19</v>
      </c>
      <c r="Z2794" s="168">
        <f t="array" ref="Z2794">iferror(index(I:I,match($A2794&amp;","&amp;index('Year Conversion'!$A:$A,match($C2794,'Year Conversion'!$B:$B,0)),$Y:$Y,0))-I2794,"")</f>
        <v>1</v>
      </c>
      <c r="AA2794" s="168">
        <f t="array" ref="AA2794">iferror(index(J:J,match($A2794&amp;","&amp;index('Year Conversion'!$A:$A,match($C2794,'Year Conversion'!$B:$B,0)),$Y:$Y,0))-J2794,"")</f>
        <v>0.2030189671</v>
      </c>
      <c r="AB2794" s="168">
        <f t="array" ref="AB2794">iferror(index(K:K,match($A2794&amp;","&amp;index('Year Conversion'!$A:$A,match($C2794,'Year Conversion'!$B:$B,0)),$Y:$Y,0))-K2794,"")</f>
        <v>0.3248888352</v>
      </c>
      <c r="AC2794" s="168" t="str">
        <f t="shared" si="7"/>
        <v>TOT,2018-19</v>
      </c>
    </row>
    <row r="2795">
      <c r="A2795" s="161" t="str">
        <f>IFERROR(__xludf.DUMMYFUNCTION("""COMPUTED_VALUE"""),"hieldbu01")</f>
        <v>hieldbu01</v>
      </c>
      <c r="B2795" s="161" t="str">
        <f>IFERROR(__xludf.DUMMYFUNCTION("""COMPUTED_VALUE"""),"Buddy Hield")</f>
        <v>Buddy Hield</v>
      </c>
      <c r="C2795" s="162" t="str">
        <f>IFERROR(__xludf.DUMMYFUNCTION("""COMPUTED_VALUE"""),"2018-19")</f>
        <v>2018-19</v>
      </c>
      <c r="D2795" s="163" t="str">
        <f>IFERROR(__xludf.DUMMYFUNCTION("""COMPUTED_VALUE"""),"SAC")</f>
        <v>SAC</v>
      </c>
      <c r="E2795" s="164" t="str">
        <f>IFERROR(__xludf.DUMMYFUNCTION("""COMPUTED_VALUE"""),"Movement Shooter")</f>
        <v>Movement Shooter</v>
      </c>
      <c r="F2795" s="164">
        <f>IFERROR(__xludf.DUMMYFUNCTION("""COMPUTED_VALUE"""),2614.85833333333)</f>
        <v>2614.858333</v>
      </c>
      <c r="G2795" s="163">
        <f>IFERROR(__xludf.DUMMYFUNCTION("""COMPUTED_VALUE"""),82.0)</f>
        <v>82</v>
      </c>
      <c r="H2795" s="163" t="str">
        <f>IFERROR(__xludf.DUMMYFUNCTION("""COMPUTED_VALUE"""),"SG")</f>
        <v>SG</v>
      </c>
      <c r="I2795" s="163">
        <f>IFERROR(__xludf.DUMMYFUNCTION("""COMPUTED_VALUE"""),26.0)</f>
        <v>26</v>
      </c>
      <c r="J2795" s="165">
        <f>IFERROR(__xludf.DUMMYFUNCTION("""COMPUTED_VALUE"""),-0.191928692800754)</f>
        <v>-0.1919286928</v>
      </c>
      <c r="K2795" s="165">
        <f>IFERROR(__xludf.DUMMYFUNCTION("""COMPUTED_VALUE"""),0.899475077069278)</f>
        <v>0.8994750771</v>
      </c>
      <c r="L2795" s="165">
        <f>IFERROR(__xludf.DUMMYFUNCTION("""COMPUTED_VALUE"""),-1.09140376987003)</f>
        <v>-1.09140377</v>
      </c>
      <c r="M2795" s="166">
        <f t="shared" si="2"/>
        <v>3.692904068</v>
      </c>
      <c r="N2795" s="167">
        <f t="shared" si="3"/>
        <v>31.88851626</v>
      </c>
      <c r="O2795" s="163">
        <f t="shared" ref="O2795:Q2795" si="2799">rank(I2795,I:I)</f>
        <v>1665</v>
      </c>
      <c r="P2795" s="163">
        <f t="shared" si="2799"/>
        <v>1501</v>
      </c>
      <c r="Q2795" s="163">
        <f t="shared" si="2799"/>
        <v>553</v>
      </c>
      <c r="R2795" s="163">
        <f>IFERROR(__xludf.DUMMYFUNCTION("RANK(M2795,filter(M:M,C:C=C2795))"),91.0)</f>
        <v>91</v>
      </c>
      <c r="S2795" s="161" t="b">
        <f t="shared" si="5"/>
        <v>0</v>
      </c>
      <c r="T2795" s="161" t="b">
        <f t="array" ref="T2795">index('Query Tool'!B:B,match(H2795,'Query Tool'!C:C,0))</f>
        <v>1</v>
      </c>
      <c r="U2795" s="161" t="b">
        <f t="array" ref="U2795">index('Query Tool'!B:B,match(C2795,'Query Tool'!C:C,0))</f>
        <v>0</v>
      </c>
      <c r="V2795" s="161" t="b">
        <f>F2795&gt;='Query Tool'!C$32</f>
        <v>1</v>
      </c>
      <c r="W2795" s="161" t="b">
        <f t="array" ref="W2795">index(Dropdowns!B:B,match(I2795,Dropdowns!A:A,0))</f>
        <v>1</v>
      </c>
      <c r="X2795" s="161" t="b">
        <f t="array" ref="X2795">index('Query Tool'!B:B,match(D2795,'Query Tool'!C:C,0))</f>
        <v>1</v>
      </c>
      <c r="Y2795" s="161" t="str">
        <f t="shared" si="6"/>
        <v>hieldbu01,2018-19</v>
      </c>
      <c r="Z2795" s="168">
        <f t="array" ref="Z2795">iferror(index(I:I,match($A2795&amp;","&amp;index('Year Conversion'!$A:$A,match($C2795,'Year Conversion'!$B:$B,0)),$Y:$Y,0))-I2795,"")</f>
        <v>1</v>
      </c>
      <c r="AA2795" s="168">
        <f t="array" ref="AA2795">iferror(index(J:J,match($A2795&amp;","&amp;index('Year Conversion'!$A:$A,match($C2795,'Year Conversion'!$B:$B,0)),$Y:$Y,0))-J2795,"")</f>
        <v>-0.3895061825</v>
      </c>
      <c r="AB2795" s="168">
        <f t="array" ref="AB2795">iferror(index(K:K,match($A2795&amp;","&amp;index('Year Conversion'!$A:$A,match($C2795,'Year Conversion'!$B:$B,0)),$Y:$Y,0))-K2795,"")</f>
        <v>0.4288969418</v>
      </c>
      <c r="AC2795" s="168" t="str">
        <f t="shared" si="7"/>
        <v>SAC,2018-19</v>
      </c>
    </row>
    <row r="2796">
      <c r="A2796" s="161" t="str">
        <f>IFERROR(__xludf.DUMMYFUNCTION("""COMPUTED_VALUE"""),"ingrabr01")</f>
        <v>ingrabr01</v>
      </c>
      <c r="B2796" s="161" t="str">
        <f>IFERROR(__xludf.DUMMYFUNCTION("""COMPUTED_VALUE"""),"Brandon Ingram")</f>
        <v>Brandon Ingram</v>
      </c>
      <c r="C2796" s="162" t="str">
        <f>IFERROR(__xludf.DUMMYFUNCTION("""COMPUTED_VALUE"""),"2018-19")</f>
        <v>2018-19</v>
      </c>
      <c r="D2796" s="163" t="str">
        <f>IFERROR(__xludf.DUMMYFUNCTION("""COMPUTED_VALUE"""),"LAL")</f>
        <v>LAL</v>
      </c>
      <c r="E2796" s="164" t="str">
        <f>IFERROR(__xludf.DUMMYFUNCTION("""COMPUTED_VALUE"""),"Shot Creator")</f>
        <v>Shot Creator</v>
      </c>
      <c r="F2796" s="164">
        <f>IFERROR(__xludf.DUMMYFUNCTION("""COMPUTED_VALUE"""),1760.49333333333)</f>
        <v>1760.493333</v>
      </c>
      <c r="G2796" s="163">
        <f>IFERROR(__xludf.DUMMYFUNCTION("""COMPUTED_VALUE"""),52.0)</f>
        <v>52</v>
      </c>
      <c r="H2796" s="163" t="str">
        <f>IFERROR(__xludf.DUMMYFUNCTION("""COMPUTED_VALUE"""),"SF")</f>
        <v>SF</v>
      </c>
      <c r="I2796" s="163">
        <f>IFERROR(__xludf.DUMMYFUNCTION("""COMPUTED_VALUE"""),21.0)</f>
        <v>21</v>
      </c>
      <c r="J2796" s="165">
        <f>IFERROR(__xludf.DUMMYFUNCTION("""COMPUTED_VALUE"""),-0.744508726420666)</f>
        <v>-0.7445087264</v>
      </c>
      <c r="K2796" s="165">
        <f>IFERROR(__xludf.DUMMYFUNCTION("""COMPUTED_VALUE"""),-0.427640392704844)</f>
        <v>-0.4276403927</v>
      </c>
      <c r="L2796" s="165">
        <f>IFERROR(__xludf.DUMMYFUNCTION("""COMPUTED_VALUE"""),-0.316868333715822)</f>
        <v>-0.3168683337</v>
      </c>
      <c r="M2796" s="166">
        <f t="shared" si="2"/>
        <v>1.831111316</v>
      </c>
      <c r="N2796" s="167">
        <f t="shared" si="3"/>
        <v>33.85564103</v>
      </c>
      <c r="O2796" s="163">
        <f t="shared" ref="O2796:Q2796" si="2800">rank(I2796,I:I)</f>
        <v>3528</v>
      </c>
      <c r="P2796" s="163">
        <f t="shared" si="2800"/>
        <v>2208</v>
      </c>
      <c r="Q2796" s="163">
        <f t="shared" si="2800"/>
        <v>1996</v>
      </c>
      <c r="R2796" s="163">
        <f>IFERROR(__xludf.DUMMYFUNCTION("RANK(M2796,filter(M:M,C:C=C2796))"),163.0)</f>
        <v>163</v>
      </c>
      <c r="S2796" s="161" t="b">
        <f t="shared" si="5"/>
        <v>0</v>
      </c>
      <c r="T2796" s="161" t="b">
        <f t="array" ref="T2796">index('Query Tool'!B:B,match(H2796,'Query Tool'!C:C,0))</f>
        <v>1</v>
      </c>
      <c r="U2796" s="161" t="b">
        <f t="array" ref="U2796">index('Query Tool'!B:B,match(C2796,'Query Tool'!C:C,0))</f>
        <v>0</v>
      </c>
      <c r="V2796" s="161" t="b">
        <f>F2796&gt;='Query Tool'!C$32</f>
        <v>1</v>
      </c>
      <c r="W2796" s="161" t="b">
        <f t="array" ref="W2796">index(Dropdowns!B:B,match(I2796,Dropdowns!A:A,0))</f>
        <v>1</v>
      </c>
      <c r="X2796" s="161" t="b">
        <f t="array" ref="X2796">index('Query Tool'!B:B,match(D2796,'Query Tool'!C:C,0))</f>
        <v>1</v>
      </c>
      <c r="Y2796" s="161" t="str">
        <f t="shared" si="6"/>
        <v>ingrabr01,2018-19</v>
      </c>
      <c r="Z2796" s="168">
        <f t="array" ref="Z2796">iferror(index(I:I,match($A2796&amp;","&amp;index('Year Conversion'!$A:$A,match($C2796,'Year Conversion'!$B:$B,0)),$Y:$Y,0))-I2796,"")</f>
        <v>1</v>
      </c>
      <c r="AA2796" s="168">
        <f t="array" ref="AA2796">iferror(index(J:J,match($A2796&amp;","&amp;index('Year Conversion'!$A:$A,match($C2796,'Year Conversion'!$B:$B,0)),$Y:$Y,0))-J2796,"")</f>
        <v>1.045518651</v>
      </c>
      <c r="AB2796" s="168">
        <f t="array" ref="AB2796">iferror(index(K:K,match($A2796&amp;","&amp;index('Year Conversion'!$A:$A,match($C2796,'Year Conversion'!$B:$B,0)),$Y:$Y,0))-K2796,"")</f>
        <v>1.561923104</v>
      </c>
      <c r="AC2796" s="168" t="str">
        <f t="shared" si="7"/>
        <v>LAL,2018-19</v>
      </c>
    </row>
    <row r="2797">
      <c r="A2797" s="161" t="str">
        <f>IFERROR(__xludf.DUMMYFUNCTION("""COMPUTED_VALUE"""),"jacksde01")</f>
        <v>jacksde01</v>
      </c>
      <c r="B2797" s="161" t="str">
        <f>IFERROR(__xludf.DUMMYFUNCTION("""COMPUTED_VALUE"""),"Demetrius Jackson")</f>
        <v>Demetrius Jackson</v>
      </c>
      <c r="C2797" s="162" t="str">
        <f>IFERROR(__xludf.DUMMYFUNCTION("""COMPUTED_VALUE"""),"2018-19")</f>
        <v>2018-19</v>
      </c>
      <c r="D2797" s="163" t="str">
        <f>IFERROR(__xludf.DUMMYFUNCTION("""COMPUTED_VALUE"""),"PHI")</f>
        <v>PHI</v>
      </c>
      <c r="E2797" s="164" t="str">
        <f>IFERROR(__xludf.DUMMYFUNCTION("""COMPUTED_VALUE"""),"Secondary Ball Handler")</f>
        <v>Secondary Ball Handler</v>
      </c>
      <c r="F2797" s="164">
        <f>IFERROR(__xludf.DUMMYFUNCTION("""COMPUTED_VALUE"""),39.4516666666666)</f>
        <v>39.45166667</v>
      </c>
      <c r="G2797" s="163">
        <f>IFERROR(__xludf.DUMMYFUNCTION("""COMPUTED_VALUE"""),6.0)</f>
        <v>6</v>
      </c>
      <c r="H2797" s="163" t="str">
        <f>IFERROR(__xludf.DUMMYFUNCTION("""COMPUTED_VALUE"""),"PG")</f>
        <v>PG</v>
      </c>
      <c r="I2797" s="163">
        <f>IFERROR(__xludf.DUMMYFUNCTION("""COMPUTED_VALUE"""),24.0)</f>
        <v>24</v>
      </c>
      <c r="J2797" s="165">
        <f>IFERROR(__xludf.DUMMYFUNCTION("""COMPUTED_VALUE"""),-0.605294697178671)</f>
        <v>-0.6052946972</v>
      </c>
      <c r="K2797" s="165">
        <f>IFERROR(__xludf.DUMMYFUNCTION("""COMPUTED_VALUE"""),-0.0992530951330211)</f>
        <v>-0.09925309513</v>
      </c>
      <c r="L2797" s="165">
        <f>IFERROR(__xludf.DUMMYFUNCTION("""COMPUTED_VALUE"""),-0.50604160204565)</f>
        <v>-0.506041602</v>
      </c>
      <c r="M2797" s="166">
        <f t="shared" si="2"/>
        <v>0.04472993365</v>
      </c>
      <c r="N2797" s="167">
        <f t="shared" si="3"/>
        <v>6.575277778</v>
      </c>
      <c r="O2797" s="163">
        <f t="shared" ref="O2797:Q2797" si="2801">rank(I2797,I:I)</f>
        <v>2361</v>
      </c>
      <c r="P2797" s="163">
        <f t="shared" si="2801"/>
        <v>2007</v>
      </c>
      <c r="Q2797" s="163">
        <f t="shared" si="2801"/>
        <v>1367</v>
      </c>
      <c r="R2797" s="163">
        <f>IFERROR(__xludf.DUMMYFUNCTION("RANK(M2797,filter(M:M,C:C=C2797))"),428.0)</f>
        <v>428</v>
      </c>
      <c r="S2797" s="161" t="b">
        <f t="shared" si="5"/>
        <v>0</v>
      </c>
      <c r="T2797" s="161" t="b">
        <f t="array" ref="T2797">index('Query Tool'!B:B,match(H2797,'Query Tool'!C:C,0))</f>
        <v>1</v>
      </c>
      <c r="U2797" s="161" t="b">
        <f t="array" ref="U2797">index('Query Tool'!B:B,match(C2797,'Query Tool'!C:C,0))</f>
        <v>0</v>
      </c>
      <c r="V2797" s="161" t="b">
        <f>F2797&gt;='Query Tool'!C$32</f>
        <v>0</v>
      </c>
      <c r="W2797" s="161" t="b">
        <f t="array" ref="W2797">index(Dropdowns!B:B,match(I2797,Dropdowns!A:A,0))</f>
        <v>1</v>
      </c>
      <c r="X2797" s="161" t="b">
        <f t="array" ref="X2797">index('Query Tool'!B:B,match(D2797,'Query Tool'!C:C,0))</f>
        <v>1</v>
      </c>
      <c r="Y2797" s="161" t="str">
        <f t="shared" si="6"/>
        <v>jacksde01,2018-19</v>
      </c>
      <c r="Z2797" s="168" t="str">
        <f t="array" ref="Z2797">iferror(index(I:I,match($A2797&amp;","&amp;index('Year Conversion'!$A:$A,match($C2797,'Year Conversion'!$B:$B,0)),$Y:$Y,0))-I2797,"")</f>
        <v/>
      </c>
      <c r="AA2797" s="168" t="str">
        <f t="array" ref="AA2797">iferror(index(J:J,match($A2797&amp;","&amp;index('Year Conversion'!$A:$A,match($C2797,'Year Conversion'!$B:$B,0)),$Y:$Y,0))-J2797,"")</f>
        <v/>
      </c>
      <c r="AB2797" s="168" t="str">
        <f t="array" ref="AB2797">iferror(index(K:K,match($A2797&amp;","&amp;index('Year Conversion'!$A:$A,match($C2797,'Year Conversion'!$B:$B,0)),$Y:$Y,0))-K2797,"")</f>
        <v/>
      </c>
      <c r="AC2797" s="168" t="str">
        <f t="shared" si="7"/>
        <v>PHI,2018-19</v>
      </c>
    </row>
    <row r="2798">
      <c r="A2798" s="161" t="str">
        <f>IFERROR(__xludf.DUMMYFUNCTION("""COMPUTED_VALUE"""),"jonesda03")</f>
        <v>jonesda03</v>
      </c>
      <c r="B2798" s="161" t="str">
        <f>IFERROR(__xludf.DUMMYFUNCTION("""COMPUTED_VALUE"""),"Damian Jones")</f>
        <v>Damian Jones</v>
      </c>
      <c r="C2798" s="162" t="str">
        <f>IFERROR(__xludf.DUMMYFUNCTION("""COMPUTED_VALUE"""),"2018-19")</f>
        <v>2018-19</v>
      </c>
      <c r="D2798" s="163" t="str">
        <f>IFERROR(__xludf.DUMMYFUNCTION("""COMPUTED_VALUE"""),"GSW")</f>
        <v>GSW</v>
      </c>
      <c r="E2798" s="164" t="str">
        <f>IFERROR(__xludf.DUMMYFUNCTION("""COMPUTED_VALUE"""),"Roll + Cut Big")</f>
        <v>Roll + Cut Big</v>
      </c>
      <c r="F2798" s="164">
        <f>IFERROR(__xludf.DUMMYFUNCTION("""COMPUTED_VALUE"""),409.618333333333)</f>
        <v>409.6183333</v>
      </c>
      <c r="G2798" s="163">
        <f>IFERROR(__xludf.DUMMYFUNCTION("""COMPUTED_VALUE"""),24.0)</f>
        <v>24</v>
      </c>
      <c r="H2798" s="163" t="str">
        <f>IFERROR(__xludf.DUMMYFUNCTION("""COMPUTED_VALUE"""),"C")</f>
        <v>C</v>
      </c>
      <c r="I2798" s="163">
        <f>IFERROR(__xludf.DUMMYFUNCTION("""COMPUTED_VALUE"""),23.0)</f>
        <v>23</v>
      </c>
      <c r="J2798" s="165">
        <f>IFERROR(__xludf.DUMMYFUNCTION("""COMPUTED_VALUE"""),-0.941885185568622)</f>
        <v>-0.9418851856</v>
      </c>
      <c r="K2798" s="165">
        <f>IFERROR(__xludf.DUMMYFUNCTION("""COMPUTED_VALUE"""),-1.33528684887156)</f>
        <v>-1.335286849</v>
      </c>
      <c r="L2798" s="165">
        <f>IFERROR(__xludf.DUMMYFUNCTION("""COMPUTED_VALUE"""),0.393401663302938)</f>
        <v>0.3934016633</v>
      </c>
      <c r="M2798" s="166">
        <f t="shared" si="2"/>
        <v>0.3717035297</v>
      </c>
      <c r="N2798" s="167">
        <f t="shared" si="3"/>
        <v>17.06743056</v>
      </c>
      <c r="O2798" s="163">
        <f t="shared" ref="O2798:Q2798" si="2802">rank(I2798,I:I)</f>
        <v>2765</v>
      </c>
      <c r="P2798" s="163">
        <f t="shared" si="2802"/>
        <v>2440</v>
      </c>
      <c r="Q2798" s="163">
        <f t="shared" si="2802"/>
        <v>3187</v>
      </c>
      <c r="R2798" s="163">
        <f>IFERROR(__xludf.DUMMYFUNCTION("RANK(M2798,filter(M:M,C:C=C2798))"),310.0)</f>
        <v>310</v>
      </c>
      <c r="S2798" s="161" t="b">
        <f t="shared" si="5"/>
        <v>0</v>
      </c>
      <c r="T2798" s="161" t="b">
        <f t="array" ref="T2798">index('Query Tool'!B:B,match(H2798,'Query Tool'!C:C,0))</f>
        <v>1</v>
      </c>
      <c r="U2798" s="161" t="b">
        <f t="array" ref="U2798">index('Query Tool'!B:B,match(C2798,'Query Tool'!C:C,0))</f>
        <v>0</v>
      </c>
      <c r="V2798" s="161" t="b">
        <f>F2798&gt;='Query Tool'!C$32</f>
        <v>0</v>
      </c>
      <c r="W2798" s="161" t="b">
        <f t="array" ref="W2798">index(Dropdowns!B:B,match(I2798,Dropdowns!A:A,0))</f>
        <v>1</v>
      </c>
      <c r="X2798" s="161" t="b">
        <f t="array" ref="X2798">index('Query Tool'!B:B,match(D2798,'Query Tool'!C:C,0))</f>
        <v>1</v>
      </c>
      <c r="Y2798" s="161" t="str">
        <f t="shared" si="6"/>
        <v>jonesda03,2018-19</v>
      </c>
      <c r="Z2798" s="168">
        <f t="array" ref="Z2798">iferror(index(I:I,match($A2798&amp;","&amp;index('Year Conversion'!$A:$A,match($C2798,'Year Conversion'!$B:$B,0)),$Y:$Y,0))-I2798,"")</f>
        <v>1</v>
      </c>
      <c r="AA2798" s="168">
        <f t="array" ref="AA2798">iferror(index(J:J,match($A2798&amp;","&amp;index('Year Conversion'!$A:$A,match($C2798,'Year Conversion'!$B:$B,0)),$Y:$Y,0))-J2798,"")</f>
        <v>-0.6876824763</v>
      </c>
      <c r="AB2798" s="168">
        <f t="array" ref="AB2798">iferror(index(K:K,match($A2798&amp;","&amp;index('Year Conversion'!$A:$A,match($C2798,'Year Conversion'!$B:$B,0)),$Y:$Y,0))-K2798,"")</f>
        <v>-0.2734877246</v>
      </c>
      <c r="AC2798" s="168" t="str">
        <f t="shared" si="7"/>
        <v>GSW,2018-19</v>
      </c>
    </row>
    <row r="2799">
      <c r="A2799" s="161" t="str">
        <f>IFERROR(__xludf.DUMMYFUNCTION("""COMPUTED_VALUE"""),"labissk01")</f>
        <v>labissk01</v>
      </c>
      <c r="B2799" s="161" t="str">
        <f>IFERROR(__xludf.DUMMYFUNCTION("""COMPUTED_VALUE"""),"Skal Labissiere")</f>
        <v>Skal Labissiere</v>
      </c>
      <c r="C2799" s="162" t="str">
        <f>IFERROR(__xludf.DUMMYFUNCTION("""COMPUTED_VALUE"""),"2018-19")</f>
        <v>2018-19</v>
      </c>
      <c r="D2799" s="163" t="str">
        <f>IFERROR(__xludf.DUMMYFUNCTION("""COMPUTED_VALUE"""),"TOT")</f>
        <v>TOT</v>
      </c>
      <c r="E2799" s="164" t="str">
        <f>IFERROR(__xludf.DUMMYFUNCTION("""COMPUTED_VALUE"""),"Versatile Big")</f>
        <v>Versatile Big</v>
      </c>
      <c r="F2799" s="164">
        <f>IFERROR(__xludf.DUMMYFUNCTION("""COMPUTED_VALUE"""),176.47)</f>
        <v>176.47</v>
      </c>
      <c r="G2799" s="163">
        <f>IFERROR(__xludf.DUMMYFUNCTION("""COMPUTED_VALUE"""),22.0)</f>
        <v>22</v>
      </c>
      <c r="H2799" s="163" t="str">
        <f>IFERROR(__xludf.DUMMYFUNCTION("""COMPUTED_VALUE"""),"PF")</f>
        <v>PF</v>
      </c>
      <c r="I2799" s="163">
        <f>IFERROR(__xludf.DUMMYFUNCTION("""COMPUTED_VALUE"""),22.0)</f>
        <v>22</v>
      </c>
      <c r="J2799" s="165">
        <f>IFERROR(__xludf.DUMMYFUNCTION("""COMPUTED_VALUE"""),-0.74265363510895)</f>
        <v>-0.7426536351</v>
      </c>
      <c r="K2799" s="165">
        <f>IFERROR(__xludf.DUMMYFUNCTION("""COMPUTED_VALUE"""),-0.401118010659216)</f>
        <v>-0.4011180107</v>
      </c>
      <c r="L2799" s="165">
        <f>IFERROR(__xludf.DUMMYFUNCTION("""COMPUTED_VALUE"""),-0.341535624449734)</f>
        <v>-0.3415356244</v>
      </c>
      <c r="M2799" s="166">
        <f t="shared" si="2"/>
        <v>0.1837688727</v>
      </c>
      <c r="N2799" s="167">
        <f t="shared" si="3"/>
        <v>8.021363636</v>
      </c>
      <c r="O2799" s="163">
        <f t="shared" ref="O2799:Q2799" si="2803">rank(I2799,I:I)</f>
        <v>3178</v>
      </c>
      <c r="P2799" s="163">
        <f t="shared" si="2803"/>
        <v>2206</v>
      </c>
      <c r="Q2799" s="163">
        <f t="shared" si="2803"/>
        <v>1943</v>
      </c>
      <c r="R2799" s="163">
        <f>IFERROR(__xludf.DUMMYFUNCTION("RANK(M2799,filter(M:M,C:C=C2799))"),353.0)</f>
        <v>353</v>
      </c>
      <c r="S2799" s="161" t="b">
        <f t="shared" si="5"/>
        <v>0</v>
      </c>
      <c r="T2799" s="161" t="b">
        <f t="array" ref="T2799">index('Query Tool'!B:B,match(H2799,'Query Tool'!C:C,0))</f>
        <v>1</v>
      </c>
      <c r="U2799" s="161" t="b">
        <f t="array" ref="U2799">index('Query Tool'!B:B,match(C2799,'Query Tool'!C:C,0))</f>
        <v>0</v>
      </c>
      <c r="V2799" s="161" t="b">
        <f>F2799&gt;='Query Tool'!C$32</f>
        <v>0</v>
      </c>
      <c r="W2799" s="161" t="b">
        <f t="array" ref="W2799">index(Dropdowns!B:B,match(I2799,Dropdowns!A:A,0))</f>
        <v>1</v>
      </c>
      <c r="X2799" s="161" t="b">
        <f t="array" ref="X2799">index('Query Tool'!B:B,match(D2799,'Query Tool'!C:C,0))</f>
        <v>1</v>
      </c>
      <c r="Y2799" s="161" t="str">
        <f t="shared" si="6"/>
        <v>labissk01,2018-19</v>
      </c>
      <c r="Z2799" s="168">
        <f t="array" ref="Z2799">iferror(index(I:I,match($A2799&amp;","&amp;index('Year Conversion'!$A:$A,match($C2799,'Year Conversion'!$B:$B,0)),$Y:$Y,0))-I2799,"")</f>
        <v>1</v>
      </c>
      <c r="AA2799" s="168">
        <f t="array" ref="AA2799">iferror(index(J:J,match($A2799&amp;","&amp;index('Year Conversion'!$A:$A,match($C2799,'Year Conversion'!$B:$B,0)),$Y:$Y,0))-J2799,"")</f>
        <v>-0.02370814788</v>
      </c>
      <c r="AB2799" s="168">
        <f t="array" ref="AB2799">iferror(index(K:K,match($A2799&amp;","&amp;index('Year Conversion'!$A:$A,match($C2799,'Year Conversion'!$B:$B,0)),$Y:$Y,0))-K2799,"")</f>
        <v>-0.6437750037</v>
      </c>
      <c r="AC2799" s="168" t="str">
        <f t="shared" si="7"/>
        <v>TOT,2018-19</v>
      </c>
    </row>
    <row r="2800">
      <c r="A2800" s="161" t="str">
        <f>IFERROR(__xludf.DUMMYFUNCTION("""COMPUTED_VALUE"""),"leverca01")</f>
        <v>leverca01</v>
      </c>
      <c r="B2800" s="161" t="str">
        <f>IFERROR(__xludf.DUMMYFUNCTION("""COMPUTED_VALUE"""),"Caris LeVert")</f>
        <v>Caris LeVert</v>
      </c>
      <c r="C2800" s="162" t="str">
        <f>IFERROR(__xludf.DUMMYFUNCTION("""COMPUTED_VALUE"""),"2018-19")</f>
        <v>2018-19</v>
      </c>
      <c r="D2800" s="163" t="str">
        <f>IFERROR(__xludf.DUMMYFUNCTION("""COMPUTED_VALUE"""),"BRK")</f>
        <v>BRK</v>
      </c>
      <c r="E2800" s="164" t="str">
        <f>IFERROR(__xludf.DUMMYFUNCTION("""COMPUTED_VALUE"""),"Shot Creator")</f>
        <v>Shot Creator</v>
      </c>
      <c r="F2800" s="164">
        <f>IFERROR(__xludf.DUMMYFUNCTION("""COMPUTED_VALUE"""),1062.88666666667)</f>
        <v>1062.886667</v>
      </c>
      <c r="G2800" s="163">
        <f>IFERROR(__xludf.DUMMYFUNCTION("""COMPUTED_VALUE"""),40.0)</f>
        <v>40</v>
      </c>
      <c r="H2800" s="163" t="str">
        <f>IFERROR(__xludf.DUMMYFUNCTION("""COMPUTED_VALUE"""),"SF")</f>
        <v>SF</v>
      </c>
      <c r="I2800" s="163">
        <f>IFERROR(__xludf.DUMMYFUNCTION("""COMPUTED_VALUE"""),24.0)</f>
        <v>24</v>
      </c>
      <c r="J2800" s="165">
        <f>IFERROR(__xludf.DUMMYFUNCTION("""COMPUTED_VALUE"""),0.560042522589249)</f>
        <v>0.5600425226</v>
      </c>
      <c r="K2800" s="165">
        <f>IFERROR(__xludf.DUMMYFUNCTION("""COMPUTED_VALUE"""),0.679258622711339)</f>
        <v>0.6792586227</v>
      </c>
      <c r="L2800" s="165">
        <f>IFERROR(__xludf.DUMMYFUNCTION("""COMPUTED_VALUE"""),-0.119216100122089)</f>
        <v>-0.1192161001</v>
      </c>
      <c r="M2800" s="166">
        <f t="shared" si="2"/>
        <v>2.039761571</v>
      </c>
      <c r="N2800" s="167">
        <f t="shared" si="3"/>
        <v>26.57216667</v>
      </c>
      <c r="O2800" s="163">
        <f t="shared" ref="O2800:Q2800" si="2804">rank(I2800,I:I)</f>
        <v>2361</v>
      </c>
      <c r="P2800" s="163">
        <f t="shared" si="2804"/>
        <v>864</v>
      </c>
      <c r="Q2800" s="163">
        <f t="shared" si="2804"/>
        <v>661</v>
      </c>
      <c r="R2800" s="163">
        <f>IFERROR(__xludf.DUMMYFUNCTION("RANK(M2800,filter(M:M,C:C=C2800))"),150.0)</f>
        <v>150</v>
      </c>
      <c r="S2800" s="161" t="b">
        <f t="shared" si="5"/>
        <v>0</v>
      </c>
      <c r="T2800" s="161" t="b">
        <f t="array" ref="T2800">index('Query Tool'!B:B,match(H2800,'Query Tool'!C:C,0))</f>
        <v>1</v>
      </c>
      <c r="U2800" s="161" t="b">
        <f t="array" ref="U2800">index('Query Tool'!B:B,match(C2800,'Query Tool'!C:C,0))</f>
        <v>0</v>
      </c>
      <c r="V2800" s="161" t="b">
        <f>F2800&gt;='Query Tool'!C$32</f>
        <v>1</v>
      </c>
      <c r="W2800" s="161" t="b">
        <f t="array" ref="W2800">index(Dropdowns!B:B,match(I2800,Dropdowns!A:A,0))</f>
        <v>1</v>
      </c>
      <c r="X2800" s="161" t="b">
        <f t="array" ref="X2800">index('Query Tool'!B:B,match(D2800,'Query Tool'!C:C,0))</f>
        <v>1</v>
      </c>
      <c r="Y2800" s="161" t="str">
        <f t="shared" si="6"/>
        <v>leverca01,2018-19</v>
      </c>
      <c r="Z2800" s="168">
        <f t="array" ref="Z2800">iferror(index(I:I,match($A2800&amp;","&amp;index('Year Conversion'!$A:$A,match($C2800,'Year Conversion'!$B:$B,0)),$Y:$Y,0))-I2800,"")</f>
        <v>1</v>
      </c>
      <c r="AA2800" s="168">
        <f t="array" ref="AA2800">iferror(index(J:J,match($A2800&amp;","&amp;index('Year Conversion'!$A:$A,match($C2800,'Year Conversion'!$B:$B,0)),$Y:$Y,0))-J2800,"")</f>
        <v>-0.3213009309</v>
      </c>
      <c r="AB2800" s="168">
        <f t="array" ref="AB2800">iferror(index(K:K,match($A2800&amp;","&amp;index('Year Conversion'!$A:$A,match($C2800,'Year Conversion'!$B:$B,0)),$Y:$Y,0))-K2800,"")</f>
        <v>0.7102655634</v>
      </c>
      <c r="AC2800" s="168" t="str">
        <f t="shared" si="7"/>
        <v>BRK,2018-19</v>
      </c>
    </row>
    <row r="2801">
      <c r="A2801" s="161" t="str">
        <f>IFERROR(__xludf.DUMMYFUNCTION("""COMPUTED_VALUE"""),"makerth01")</f>
        <v>makerth01</v>
      </c>
      <c r="B2801" s="161" t="str">
        <f>IFERROR(__xludf.DUMMYFUNCTION("""COMPUTED_VALUE"""),"Thon Maker")</f>
        <v>Thon Maker</v>
      </c>
      <c r="C2801" s="162" t="str">
        <f>IFERROR(__xludf.DUMMYFUNCTION("""COMPUTED_VALUE"""),"2018-19")</f>
        <v>2018-19</v>
      </c>
      <c r="D2801" s="163" t="str">
        <f>IFERROR(__xludf.DUMMYFUNCTION("""COMPUTED_VALUE"""),"TOT")</f>
        <v>TOT</v>
      </c>
      <c r="E2801" s="164" t="str">
        <f>IFERROR(__xludf.DUMMYFUNCTION("""COMPUTED_VALUE"""),"Stretch Big")</f>
        <v>Stretch Big</v>
      </c>
      <c r="F2801" s="164">
        <f>IFERROR(__xludf.DUMMYFUNCTION("""COMPUTED_VALUE"""),972.301666666667)</f>
        <v>972.3016667</v>
      </c>
      <c r="G2801" s="163">
        <f>IFERROR(__xludf.DUMMYFUNCTION("""COMPUTED_VALUE"""),64.0)</f>
        <v>64</v>
      </c>
      <c r="H2801" s="163" t="str">
        <f>IFERROR(__xludf.DUMMYFUNCTION("""COMPUTED_VALUE"""),"C-PF")</f>
        <v>C-PF</v>
      </c>
      <c r="I2801" s="163">
        <f>IFERROR(__xludf.DUMMYFUNCTION("""COMPUTED_VALUE"""),21.0)</f>
        <v>21</v>
      </c>
      <c r="J2801" s="165">
        <f>IFERROR(__xludf.DUMMYFUNCTION("""COMPUTED_VALUE"""),-0.542025881148577)</f>
        <v>-0.5420258811</v>
      </c>
      <c r="K2801" s="165">
        <f>IFERROR(__xludf.DUMMYFUNCTION("""COMPUTED_VALUE"""),-1.46297240707582)</f>
        <v>-1.462972407</v>
      </c>
      <c r="L2801" s="165">
        <f>IFERROR(__xludf.DUMMYFUNCTION("""COMPUTED_VALUE"""),0.920946525927241)</f>
        <v>0.9209465259</v>
      </c>
      <c r="M2801" s="166">
        <f t="shared" si="2"/>
        <v>1.143803437</v>
      </c>
      <c r="N2801" s="167">
        <f t="shared" si="3"/>
        <v>15.19221354</v>
      </c>
      <c r="O2801" s="163">
        <f t="shared" ref="O2801:Q2801" si="2805">rank(I2801,I:I)</f>
        <v>3528</v>
      </c>
      <c r="P2801" s="163">
        <f t="shared" si="2805"/>
        <v>1905</v>
      </c>
      <c r="Q2801" s="163">
        <f t="shared" si="2805"/>
        <v>3314</v>
      </c>
      <c r="R2801" s="163">
        <f>IFERROR(__xludf.DUMMYFUNCTION("RANK(M2801,filter(M:M,C:C=C2801))"),216.0)</f>
        <v>216</v>
      </c>
      <c r="S2801" s="161" t="b">
        <f t="shared" si="5"/>
        <v>0</v>
      </c>
      <c r="T2801" s="161" t="str">
        <f t="array" ref="T2801">index('Query Tool'!B:B,match(H2801,'Query Tool'!C:C,0))</f>
        <v>#N/A</v>
      </c>
      <c r="U2801" s="161" t="b">
        <f t="array" ref="U2801">index('Query Tool'!B:B,match(C2801,'Query Tool'!C:C,0))</f>
        <v>0</v>
      </c>
      <c r="V2801" s="161" t="b">
        <f>F2801&gt;='Query Tool'!C$32</f>
        <v>1</v>
      </c>
      <c r="W2801" s="161" t="b">
        <f t="array" ref="W2801">index(Dropdowns!B:B,match(I2801,Dropdowns!A:A,0))</f>
        <v>1</v>
      </c>
      <c r="X2801" s="161" t="b">
        <f t="array" ref="X2801">index('Query Tool'!B:B,match(D2801,'Query Tool'!C:C,0))</f>
        <v>1</v>
      </c>
      <c r="Y2801" s="161" t="str">
        <f t="shared" si="6"/>
        <v>makerth01,2018-19</v>
      </c>
      <c r="Z2801" s="168">
        <f t="array" ref="Z2801">iferror(index(I:I,match($A2801&amp;","&amp;index('Year Conversion'!$A:$A,match($C2801,'Year Conversion'!$B:$B,0)),$Y:$Y,0))-I2801,"")</f>
        <v>1</v>
      </c>
      <c r="AA2801" s="168">
        <f t="array" ref="AA2801">iferror(index(J:J,match($A2801&amp;","&amp;index('Year Conversion'!$A:$A,match($C2801,'Year Conversion'!$B:$B,0)),$Y:$Y,0))-J2801,"")</f>
        <v>-0.7235072859</v>
      </c>
      <c r="AB2801" s="168">
        <f t="array" ref="AB2801">iferror(index(K:K,match($A2801&amp;","&amp;index('Year Conversion'!$A:$A,match($C2801,'Year Conversion'!$B:$B,0)),$Y:$Y,0))-K2801,"")</f>
        <v>0.01543726224</v>
      </c>
      <c r="AC2801" s="168" t="str">
        <f t="shared" si="7"/>
        <v>TOT,2018-19</v>
      </c>
    </row>
    <row r="2802">
      <c r="A2802" s="161" t="str">
        <f>IFERROR(__xludf.DUMMYFUNCTION("""COMPUTED_VALUE"""),"murraja01")</f>
        <v>murraja01</v>
      </c>
      <c r="B2802" s="161" t="str">
        <f>IFERROR(__xludf.DUMMYFUNCTION("""COMPUTED_VALUE"""),"Jamal Murray")</f>
        <v>Jamal Murray</v>
      </c>
      <c r="C2802" s="162" t="str">
        <f>IFERROR(__xludf.DUMMYFUNCTION("""COMPUTED_VALUE"""),"2018-19")</f>
        <v>2018-19</v>
      </c>
      <c r="D2802" s="163" t="str">
        <f>IFERROR(__xludf.DUMMYFUNCTION("""COMPUTED_VALUE"""),"DEN")</f>
        <v>DEN</v>
      </c>
      <c r="E2802" s="164" t="str">
        <f>IFERROR(__xludf.DUMMYFUNCTION("""COMPUTED_VALUE"""),"Primary Ball Handler")</f>
        <v>Primary Ball Handler</v>
      </c>
      <c r="F2802" s="164">
        <f>IFERROR(__xludf.DUMMYFUNCTION("""COMPUTED_VALUE"""),2447.31166666667)</f>
        <v>2447.311667</v>
      </c>
      <c r="G2802" s="163">
        <f>IFERROR(__xludf.DUMMYFUNCTION("""COMPUTED_VALUE"""),75.0)</f>
        <v>75</v>
      </c>
      <c r="H2802" s="163" t="str">
        <f>IFERROR(__xludf.DUMMYFUNCTION("""COMPUTED_VALUE"""),"PG")</f>
        <v>PG</v>
      </c>
      <c r="I2802" s="163">
        <f>IFERROR(__xludf.DUMMYFUNCTION("""COMPUTED_VALUE"""),21.0)</f>
        <v>21</v>
      </c>
      <c r="J2802" s="165">
        <f>IFERROR(__xludf.DUMMYFUNCTION("""COMPUTED_VALUE"""),1.05879941189603)</f>
        <v>1.058799412</v>
      </c>
      <c r="K2802" s="165">
        <f>IFERROR(__xludf.DUMMYFUNCTION("""COMPUTED_VALUE"""),1.37584489625795)</f>
        <v>1.375844896</v>
      </c>
      <c r="L2802" s="165">
        <f>IFERROR(__xludf.DUMMYFUNCTION("""COMPUTED_VALUE"""),-0.317045484361913)</f>
        <v>-0.3170454844</v>
      </c>
      <c r="M2802" s="166">
        <f t="shared" si="2"/>
        <v>5.517192088</v>
      </c>
      <c r="N2802" s="167">
        <f t="shared" si="3"/>
        <v>32.63082222</v>
      </c>
      <c r="O2802" s="163">
        <f t="shared" ref="O2802:Q2802" si="2806">rank(I2802,I:I)</f>
        <v>3528</v>
      </c>
      <c r="P2802" s="163">
        <f t="shared" si="2806"/>
        <v>638</v>
      </c>
      <c r="Q2802" s="163">
        <f t="shared" si="2806"/>
        <v>361</v>
      </c>
      <c r="R2802" s="163">
        <f>IFERROR(__xludf.DUMMYFUNCTION("RANK(M2802,filter(M:M,C:C=C2802))"),53.0)</f>
        <v>53</v>
      </c>
      <c r="S2802" s="161" t="b">
        <f t="shared" si="5"/>
        <v>0</v>
      </c>
      <c r="T2802" s="161" t="b">
        <f t="array" ref="T2802">index('Query Tool'!B:B,match(H2802,'Query Tool'!C:C,0))</f>
        <v>1</v>
      </c>
      <c r="U2802" s="161" t="b">
        <f t="array" ref="U2802">index('Query Tool'!B:B,match(C2802,'Query Tool'!C:C,0))</f>
        <v>0</v>
      </c>
      <c r="V2802" s="161" t="b">
        <f>F2802&gt;='Query Tool'!C$32</f>
        <v>1</v>
      </c>
      <c r="W2802" s="161" t="b">
        <f t="array" ref="W2802">index(Dropdowns!B:B,match(I2802,Dropdowns!A:A,0))</f>
        <v>1</v>
      </c>
      <c r="X2802" s="161" t="b">
        <f t="array" ref="X2802">index('Query Tool'!B:B,match(D2802,'Query Tool'!C:C,0))</f>
        <v>1</v>
      </c>
      <c r="Y2802" s="161" t="str">
        <f t="shared" si="6"/>
        <v>murraja01,2018-19</v>
      </c>
      <c r="Z2802" s="168">
        <f t="array" ref="Z2802">iferror(index(I:I,match($A2802&amp;","&amp;index('Year Conversion'!$A:$A,match($C2802,'Year Conversion'!$B:$B,0)),$Y:$Y,0))-I2802,"")</f>
        <v>1</v>
      </c>
      <c r="AA2802" s="168">
        <f t="array" ref="AA2802">iferror(index(J:J,match($A2802&amp;","&amp;index('Year Conversion'!$A:$A,match($C2802,'Year Conversion'!$B:$B,0)),$Y:$Y,0))-J2802,"")</f>
        <v>0.05327462669</v>
      </c>
      <c r="AB2802" s="168">
        <f t="array" ref="AB2802">iferror(index(K:K,match($A2802&amp;","&amp;index('Year Conversion'!$A:$A,match($C2802,'Year Conversion'!$B:$B,0)),$Y:$Y,0))-K2802,"")</f>
        <v>0.5066172805</v>
      </c>
      <c r="AC2802" s="168" t="str">
        <f t="shared" si="7"/>
        <v>DEN,2018-19</v>
      </c>
    </row>
    <row r="2803">
      <c r="A2803" s="161" t="str">
        <f>IFERROR(__xludf.DUMMYFUNCTION("""COMPUTED_VALUE"""),"poeltja01")</f>
        <v>poeltja01</v>
      </c>
      <c r="B2803" s="161" t="str">
        <f>IFERROR(__xludf.DUMMYFUNCTION("""COMPUTED_VALUE"""),"Jakob Poeltl")</f>
        <v>Jakob Poeltl</v>
      </c>
      <c r="C2803" s="162" t="str">
        <f>IFERROR(__xludf.DUMMYFUNCTION("""COMPUTED_VALUE"""),"2018-19")</f>
        <v>2018-19</v>
      </c>
      <c r="D2803" s="163" t="str">
        <f>IFERROR(__xludf.DUMMYFUNCTION("""COMPUTED_VALUE"""),"SAS")</f>
        <v>SAS</v>
      </c>
      <c r="E2803" s="164" t="str">
        <f>IFERROR(__xludf.DUMMYFUNCTION("""COMPUTED_VALUE"""),"Roll + Cut Big")</f>
        <v>Roll + Cut Big</v>
      </c>
      <c r="F2803" s="164">
        <f>IFERROR(__xludf.DUMMYFUNCTION("""COMPUTED_VALUE"""),1272.655)</f>
        <v>1272.655</v>
      </c>
      <c r="G2803" s="163">
        <f>IFERROR(__xludf.DUMMYFUNCTION("""COMPUTED_VALUE"""),77.0)</f>
        <v>77</v>
      </c>
      <c r="H2803" s="163" t="str">
        <f>IFERROR(__xludf.DUMMYFUNCTION("""COMPUTED_VALUE"""),"C")</f>
        <v>C</v>
      </c>
      <c r="I2803" s="163">
        <f>IFERROR(__xludf.DUMMYFUNCTION("""COMPUTED_VALUE"""),23.0)</f>
        <v>23</v>
      </c>
      <c r="J2803" s="165">
        <f>IFERROR(__xludf.DUMMYFUNCTION("""COMPUTED_VALUE"""),0.301913251670928)</f>
        <v>0.3019132517</v>
      </c>
      <c r="K2803" s="165">
        <f>IFERROR(__xludf.DUMMYFUNCTION("""COMPUTED_VALUE"""),-0.374515729787309)</f>
        <v>-0.3745157298</v>
      </c>
      <c r="L2803" s="165">
        <f>IFERROR(__xludf.DUMMYFUNCTION("""COMPUTED_VALUE"""),0.676428981458237)</f>
        <v>0.6764289815</v>
      </c>
      <c r="M2803" s="166">
        <f t="shared" si="2"/>
        <v>2.221021898</v>
      </c>
      <c r="N2803" s="167">
        <f t="shared" si="3"/>
        <v>16.52798701</v>
      </c>
      <c r="O2803" s="163">
        <f t="shared" ref="O2803:Q2803" si="2807">rank(I2803,I:I)</f>
        <v>2765</v>
      </c>
      <c r="P2803" s="163">
        <f t="shared" si="2807"/>
        <v>1019</v>
      </c>
      <c r="Q2803" s="163">
        <f t="shared" si="2807"/>
        <v>1906</v>
      </c>
      <c r="R2803" s="163">
        <f>IFERROR(__xludf.DUMMYFUNCTION("RANK(M2803,filter(M:M,C:C=C2803))"),141.0)</f>
        <v>141</v>
      </c>
      <c r="S2803" s="161" t="b">
        <f t="shared" si="5"/>
        <v>0</v>
      </c>
      <c r="T2803" s="161" t="b">
        <f t="array" ref="T2803">index('Query Tool'!B:B,match(H2803,'Query Tool'!C:C,0))</f>
        <v>1</v>
      </c>
      <c r="U2803" s="161" t="b">
        <f t="array" ref="U2803">index('Query Tool'!B:B,match(C2803,'Query Tool'!C:C,0))</f>
        <v>0</v>
      </c>
      <c r="V2803" s="161" t="b">
        <f>F2803&gt;='Query Tool'!C$32</f>
        <v>1</v>
      </c>
      <c r="W2803" s="161" t="b">
        <f t="array" ref="W2803">index(Dropdowns!B:B,match(I2803,Dropdowns!A:A,0))</f>
        <v>1</v>
      </c>
      <c r="X2803" s="161" t="b">
        <f t="array" ref="X2803">index('Query Tool'!B:B,match(D2803,'Query Tool'!C:C,0))</f>
        <v>1</v>
      </c>
      <c r="Y2803" s="161" t="str">
        <f t="shared" si="6"/>
        <v>poeltja01,2018-19</v>
      </c>
      <c r="Z2803" s="168">
        <f t="array" ref="Z2803">iferror(index(I:I,match($A2803&amp;","&amp;index('Year Conversion'!$A:$A,match($C2803,'Year Conversion'!$B:$B,0)),$Y:$Y,0))-I2803,"")</f>
        <v>1</v>
      </c>
      <c r="AA2803" s="168">
        <f t="array" ref="AA2803">iferror(index(J:J,match($A2803&amp;","&amp;index('Year Conversion'!$A:$A,match($C2803,'Year Conversion'!$B:$B,0)),$Y:$Y,0))-J2803,"")</f>
        <v>2.331675097</v>
      </c>
      <c r="AB2803" s="168">
        <f t="array" ref="AB2803">iferror(index(K:K,match($A2803&amp;","&amp;index('Year Conversion'!$A:$A,match($C2803,'Year Conversion'!$B:$B,0)),$Y:$Y,0))-K2803,"")</f>
        <v>0.6304918299</v>
      </c>
      <c r="AC2803" s="168" t="str">
        <f t="shared" si="7"/>
        <v>SAS,2018-19</v>
      </c>
    </row>
    <row r="2804">
      <c r="A2804" s="161" t="str">
        <f>IFERROR(__xludf.DUMMYFUNCTION("""COMPUTED_VALUE"""),"princta02")</f>
        <v>princta02</v>
      </c>
      <c r="B2804" s="161" t="str">
        <f>IFERROR(__xludf.DUMMYFUNCTION("""COMPUTED_VALUE"""),"Taurean Prince")</f>
        <v>Taurean Prince</v>
      </c>
      <c r="C2804" s="162" t="str">
        <f>IFERROR(__xludf.DUMMYFUNCTION("""COMPUTED_VALUE"""),"2018-19")</f>
        <v>2018-19</v>
      </c>
      <c r="D2804" s="163" t="str">
        <f>IFERROR(__xludf.DUMMYFUNCTION("""COMPUTED_VALUE"""),"ATL")</f>
        <v>ATL</v>
      </c>
      <c r="E2804" s="164" t="str">
        <f>IFERROR(__xludf.DUMMYFUNCTION("""COMPUTED_VALUE"""),"Secondary Ball Handler")</f>
        <v>Secondary Ball Handler</v>
      </c>
      <c r="F2804" s="164">
        <f>IFERROR(__xludf.DUMMYFUNCTION("""COMPUTED_VALUE"""),1552.29166666667)</f>
        <v>1552.291667</v>
      </c>
      <c r="G2804" s="163">
        <f>IFERROR(__xludf.DUMMYFUNCTION("""COMPUTED_VALUE"""),55.0)</f>
        <v>55</v>
      </c>
      <c r="H2804" s="163" t="str">
        <f>IFERROR(__xludf.DUMMYFUNCTION("""COMPUTED_VALUE"""),"SF")</f>
        <v>SF</v>
      </c>
      <c r="I2804" s="163">
        <f>IFERROR(__xludf.DUMMYFUNCTION("""COMPUTED_VALUE"""),24.0)</f>
        <v>24</v>
      </c>
      <c r="J2804" s="165">
        <f>IFERROR(__xludf.DUMMYFUNCTION("""COMPUTED_VALUE"""),-1.81237546913689)</f>
        <v>-1.812375469</v>
      </c>
      <c r="K2804" s="165">
        <f>IFERROR(__xludf.DUMMYFUNCTION("""COMPUTED_VALUE"""),-0.862718211111111)</f>
        <v>-0.8627182111</v>
      </c>
      <c r="L2804" s="165">
        <f>IFERROR(__xludf.DUMMYFUNCTION("""COMPUTED_VALUE"""),-0.949657258025775)</f>
        <v>-0.949657258</v>
      </c>
      <c r="M2804" s="166">
        <f t="shared" si="2"/>
        <v>0.5050020949</v>
      </c>
      <c r="N2804" s="167">
        <f t="shared" si="3"/>
        <v>28.22348485</v>
      </c>
      <c r="O2804" s="163">
        <f t="shared" ref="O2804:Q2804" si="2808">rank(I2804,I:I)</f>
        <v>2361</v>
      </c>
      <c r="P2804" s="163">
        <f t="shared" si="2808"/>
        <v>3340</v>
      </c>
      <c r="Q2804" s="163">
        <f t="shared" si="2808"/>
        <v>2638</v>
      </c>
      <c r="R2804" s="163">
        <f>IFERROR(__xludf.DUMMYFUNCTION("RANK(M2804,filter(M:M,C:C=C2804))"),285.0)</f>
        <v>285</v>
      </c>
      <c r="S2804" s="161" t="b">
        <f t="shared" si="5"/>
        <v>0</v>
      </c>
      <c r="T2804" s="161" t="b">
        <f t="array" ref="T2804">index('Query Tool'!B:B,match(H2804,'Query Tool'!C:C,0))</f>
        <v>1</v>
      </c>
      <c r="U2804" s="161" t="b">
        <f t="array" ref="U2804">index('Query Tool'!B:B,match(C2804,'Query Tool'!C:C,0))</f>
        <v>0</v>
      </c>
      <c r="V2804" s="161" t="b">
        <f>F2804&gt;='Query Tool'!C$32</f>
        <v>1</v>
      </c>
      <c r="W2804" s="161" t="b">
        <f t="array" ref="W2804">index(Dropdowns!B:B,match(I2804,Dropdowns!A:A,0))</f>
        <v>1</v>
      </c>
      <c r="X2804" s="161" t="b">
        <f t="array" ref="X2804">index('Query Tool'!B:B,match(D2804,'Query Tool'!C:C,0))</f>
        <v>1</v>
      </c>
      <c r="Y2804" s="161" t="str">
        <f t="shared" si="6"/>
        <v>princta02,2018-19</v>
      </c>
      <c r="Z2804" s="168">
        <f t="array" ref="Z2804">iferror(index(I:I,match($A2804&amp;","&amp;index('Year Conversion'!$A:$A,match($C2804,'Year Conversion'!$B:$B,0)),$Y:$Y,0))-I2804,"")</f>
        <v>1</v>
      </c>
      <c r="AA2804" s="168">
        <f t="array" ref="AA2804">iferror(index(J:J,match($A2804&amp;","&amp;index('Year Conversion'!$A:$A,match($C2804,'Year Conversion'!$B:$B,0)),$Y:$Y,0))-J2804,"")</f>
        <v>1.754261511</v>
      </c>
      <c r="AB2804" s="168">
        <f t="array" ref="AB2804">iferror(index(K:K,match($A2804&amp;","&amp;index('Year Conversion'!$A:$A,match($C2804,'Year Conversion'!$B:$B,0)),$Y:$Y,0))-K2804,"")</f>
        <v>0.1710622023</v>
      </c>
      <c r="AC2804" s="168" t="str">
        <f t="shared" si="7"/>
        <v>ATL,2018-19</v>
      </c>
    </row>
    <row r="2805">
      <c r="A2805" s="161" t="str">
        <f>IFERROR(__xludf.DUMMYFUNCTION("""COMPUTED_VALUE"""),"qizh01")</f>
        <v>qizh01</v>
      </c>
      <c r="B2805" s="161" t="str">
        <f>IFERROR(__xludf.DUMMYFUNCTION("""COMPUTED_VALUE"""),"Zhou Qi")</f>
        <v>Zhou Qi</v>
      </c>
      <c r="C2805" s="162" t="str">
        <f>IFERROR(__xludf.DUMMYFUNCTION("""COMPUTED_VALUE"""),"2018-19")</f>
        <v>2018-19</v>
      </c>
      <c r="D2805" s="163" t="str">
        <f>IFERROR(__xludf.DUMMYFUNCTION("""COMPUTED_VALUE"""),"HOU")</f>
        <v>HOU</v>
      </c>
      <c r="E2805" s="164" t="str">
        <f>IFERROR(__xludf.DUMMYFUNCTION("""COMPUTED_VALUE"""),"Roll + Cut Big")</f>
        <v>Roll + Cut Big</v>
      </c>
      <c r="F2805" s="164">
        <f>IFERROR(__xludf.DUMMYFUNCTION("""COMPUTED_VALUE"""),0.955)</f>
        <v>0.955</v>
      </c>
      <c r="G2805" s="163">
        <f>IFERROR(__xludf.DUMMYFUNCTION("""COMPUTED_VALUE"""),1.0)</f>
        <v>1</v>
      </c>
      <c r="H2805" s="163" t="str">
        <f>IFERROR(__xludf.DUMMYFUNCTION("""COMPUTED_VALUE"""),"PF")</f>
        <v>PF</v>
      </c>
      <c r="I2805" s="163">
        <f>IFERROR(__xludf.DUMMYFUNCTION("""COMPUTED_VALUE"""),23.0)</f>
        <v>23</v>
      </c>
      <c r="J2805" s="165">
        <f>IFERROR(__xludf.DUMMYFUNCTION("""COMPUTED_VALUE"""),-0.804617828065552)</f>
        <v>-0.8046178281</v>
      </c>
      <c r="K2805" s="165">
        <f>IFERROR(__xludf.DUMMYFUNCTION("""COMPUTED_VALUE"""),-0.0779215904545165)</f>
        <v>-0.07792159045</v>
      </c>
      <c r="L2805" s="165">
        <f>IFERROR(__xludf.DUMMYFUNCTION("""COMPUTED_VALUE"""),-0.726696237611036)</f>
        <v>-0.7266962376</v>
      </c>
      <c r="M2805" s="166">
        <f t="shared" si="2"/>
        <v>0.0009547028736</v>
      </c>
      <c r="N2805" s="167">
        <f t="shared" si="3"/>
        <v>0.955</v>
      </c>
      <c r="O2805" s="163">
        <f t="shared" ref="O2805:Q2805" si="2809">rank(I2805,I:I)</f>
        <v>2765</v>
      </c>
      <c r="P2805" s="163">
        <f t="shared" si="2809"/>
        <v>2284</v>
      </c>
      <c r="Q2805" s="163">
        <f t="shared" si="2809"/>
        <v>1320</v>
      </c>
      <c r="R2805" s="163">
        <f>IFERROR(__xludf.DUMMYFUNCTION("RANK(M2805,filter(M:M,C:C=C2805))"),477.0)</f>
        <v>477</v>
      </c>
      <c r="S2805" s="161" t="b">
        <f t="shared" si="5"/>
        <v>0</v>
      </c>
      <c r="T2805" s="161" t="b">
        <f t="array" ref="T2805">index('Query Tool'!B:B,match(H2805,'Query Tool'!C:C,0))</f>
        <v>1</v>
      </c>
      <c r="U2805" s="161" t="b">
        <f t="array" ref="U2805">index('Query Tool'!B:B,match(C2805,'Query Tool'!C:C,0))</f>
        <v>0</v>
      </c>
      <c r="V2805" s="161" t="b">
        <f>F2805&gt;='Query Tool'!C$32</f>
        <v>0</v>
      </c>
      <c r="W2805" s="161" t="b">
        <f t="array" ref="W2805">index(Dropdowns!B:B,match(I2805,Dropdowns!A:A,0))</f>
        <v>1</v>
      </c>
      <c r="X2805" s="161" t="b">
        <f t="array" ref="X2805">index('Query Tool'!B:B,match(D2805,'Query Tool'!C:C,0))</f>
        <v>1</v>
      </c>
      <c r="Y2805" s="161" t="str">
        <f t="shared" si="6"/>
        <v>qizh01,2018-19</v>
      </c>
      <c r="Z2805" s="168" t="str">
        <f t="array" ref="Z2805">iferror(index(I:I,match($A2805&amp;","&amp;index('Year Conversion'!$A:$A,match($C2805,'Year Conversion'!$B:$B,0)),$Y:$Y,0))-I2805,"")</f>
        <v/>
      </c>
      <c r="AA2805" s="168" t="str">
        <f t="array" ref="AA2805">iferror(index(J:J,match($A2805&amp;","&amp;index('Year Conversion'!$A:$A,match($C2805,'Year Conversion'!$B:$B,0)),$Y:$Y,0))-J2805,"")</f>
        <v/>
      </c>
      <c r="AB2805" s="168" t="str">
        <f t="array" ref="AB2805">iferror(index(K:K,match($A2805&amp;","&amp;index('Year Conversion'!$A:$A,match($C2805,'Year Conversion'!$B:$B,0)),$Y:$Y,0))-K2805,"")</f>
        <v/>
      </c>
      <c r="AC2805" s="168" t="str">
        <f t="shared" si="7"/>
        <v>HOU,2018-19</v>
      </c>
    </row>
    <row r="2806">
      <c r="A2806" s="161" t="str">
        <f>IFERROR(__xludf.DUMMYFUNCTION("""COMPUTED_VALUE"""),"ulisty01")</f>
        <v>ulisty01</v>
      </c>
      <c r="B2806" s="161" t="str">
        <f>IFERROR(__xludf.DUMMYFUNCTION("""COMPUTED_VALUE"""),"Tyler Ulis")</f>
        <v>Tyler Ulis</v>
      </c>
      <c r="C2806" s="162" t="str">
        <f>IFERROR(__xludf.DUMMYFUNCTION("""COMPUTED_VALUE"""),"2018-19")</f>
        <v>2018-19</v>
      </c>
      <c r="D2806" s="163" t="str">
        <f>IFERROR(__xludf.DUMMYFUNCTION("""COMPUTED_VALUE"""),"CHI")</f>
        <v>CHI</v>
      </c>
      <c r="E2806" s="164" t="str">
        <f>IFERROR(__xludf.DUMMYFUNCTION("""COMPUTED_VALUE"""),"Secondary Ball Handler")</f>
        <v>Secondary Ball Handler</v>
      </c>
      <c r="F2806" s="164">
        <f>IFERROR(__xludf.DUMMYFUNCTION("""COMPUTED_VALUE"""),0.828333333333333)</f>
        <v>0.8283333333</v>
      </c>
      <c r="G2806" s="163">
        <f>IFERROR(__xludf.DUMMYFUNCTION("""COMPUTED_VALUE"""),1.0)</f>
        <v>1</v>
      </c>
      <c r="H2806" s="163" t="str">
        <f>IFERROR(__xludf.DUMMYFUNCTION("""COMPUTED_VALUE"""),"PG")</f>
        <v>PG</v>
      </c>
      <c r="I2806" s="163">
        <f>IFERROR(__xludf.DUMMYFUNCTION("""COMPUTED_VALUE"""),23.0)</f>
        <v>23</v>
      </c>
      <c r="J2806" s="165">
        <f>IFERROR(__xludf.DUMMYFUNCTION("""COMPUTED_VALUE"""),-0.0763218003407188)</f>
        <v>-0.07632180034</v>
      </c>
      <c r="K2806" s="165">
        <f>IFERROR(__xludf.DUMMYFUNCTION("""COMPUTED_VALUE"""),-0.119309936407617)</f>
        <v>-0.1193099364</v>
      </c>
      <c r="L2806" s="165">
        <f>IFERROR(__xludf.DUMMYFUNCTION("""COMPUTED_VALUE"""),0.0429881360668984)</f>
        <v>0.04298813607</v>
      </c>
      <c r="M2806" s="166">
        <f t="shared" si="2"/>
        <v>0.001234392027</v>
      </c>
      <c r="N2806" s="167">
        <f t="shared" si="3"/>
        <v>0.8283333333</v>
      </c>
      <c r="O2806" s="163">
        <f t="shared" ref="O2806:Q2806" si="2810">rank(I2806,I:I)</f>
        <v>2765</v>
      </c>
      <c r="P2806" s="163">
        <f t="shared" si="2810"/>
        <v>1365</v>
      </c>
      <c r="Q2806" s="163">
        <f t="shared" si="2810"/>
        <v>1405</v>
      </c>
      <c r="R2806" s="163">
        <f>IFERROR(__xludf.DUMMYFUNCTION("RANK(M2806,filter(M:M,C:C=C2806))"),475.0)</f>
        <v>475</v>
      </c>
      <c r="S2806" s="161" t="b">
        <f t="shared" si="5"/>
        <v>0</v>
      </c>
      <c r="T2806" s="161" t="b">
        <f t="array" ref="T2806">index('Query Tool'!B:B,match(H2806,'Query Tool'!C:C,0))</f>
        <v>1</v>
      </c>
      <c r="U2806" s="161" t="b">
        <f t="array" ref="U2806">index('Query Tool'!B:B,match(C2806,'Query Tool'!C:C,0))</f>
        <v>0</v>
      </c>
      <c r="V2806" s="161" t="b">
        <f>F2806&gt;='Query Tool'!C$32</f>
        <v>0</v>
      </c>
      <c r="W2806" s="161" t="b">
        <f t="array" ref="W2806">index(Dropdowns!B:B,match(I2806,Dropdowns!A:A,0))</f>
        <v>1</v>
      </c>
      <c r="X2806" s="161" t="b">
        <f t="array" ref="X2806">index('Query Tool'!B:B,match(D2806,'Query Tool'!C:C,0))</f>
        <v>1</v>
      </c>
      <c r="Y2806" s="161" t="str">
        <f t="shared" si="6"/>
        <v>ulisty01,2018-19</v>
      </c>
      <c r="Z2806" s="168" t="str">
        <f t="array" ref="Z2806">iferror(index(I:I,match($A2806&amp;","&amp;index('Year Conversion'!$A:$A,match($C2806,'Year Conversion'!$B:$B,0)),$Y:$Y,0))-I2806,"")</f>
        <v/>
      </c>
      <c r="AA2806" s="168" t="str">
        <f t="array" ref="AA2806">iferror(index(J:J,match($A2806&amp;","&amp;index('Year Conversion'!$A:$A,match($C2806,'Year Conversion'!$B:$B,0)),$Y:$Y,0))-J2806,"")</f>
        <v/>
      </c>
      <c r="AB2806" s="168" t="str">
        <f t="array" ref="AB2806">iferror(index(K:K,match($A2806&amp;","&amp;index('Year Conversion'!$A:$A,match($C2806,'Year Conversion'!$B:$B,0)),$Y:$Y,0))-K2806,"")</f>
        <v/>
      </c>
      <c r="AC2806" s="168" t="str">
        <f t="shared" si="7"/>
        <v>CHI,2018-19</v>
      </c>
    </row>
    <row r="2807">
      <c r="A2807" s="161" t="str">
        <f>IFERROR(__xludf.DUMMYFUNCTION("""COMPUTED_VALUE"""),"bakerro01")</f>
        <v>bakerro01</v>
      </c>
      <c r="B2807" s="161" t="str">
        <f>IFERROR(__xludf.DUMMYFUNCTION("""COMPUTED_VALUE"""),"Ron Baker")</f>
        <v>Ron Baker</v>
      </c>
      <c r="C2807" s="162" t="str">
        <f>IFERROR(__xludf.DUMMYFUNCTION("""COMPUTED_VALUE"""),"2018-19")</f>
        <v>2018-19</v>
      </c>
      <c r="D2807" s="163" t="str">
        <f>IFERROR(__xludf.DUMMYFUNCTION("""COMPUTED_VALUE"""),"TOT")</f>
        <v>TOT</v>
      </c>
      <c r="E2807" s="164" t="str">
        <f>IFERROR(__xludf.DUMMYFUNCTION("""COMPUTED_VALUE"""),"Secondary Ball Handler")</f>
        <v>Secondary Ball Handler</v>
      </c>
      <c r="F2807" s="164">
        <f>IFERROR(__xludf.DUMMYFUNCTION("""COMPUTED_VALUE"""),151.985)</f>
        <v>151.985</v>
      </c>
      <c r="G2807" s="163">
        <f>IFERROR(__xludf.DUMMYFUNCTION("""COMPUTED_VALUE"""),15.0)</f>
        <v>15</v>
      </c>
      <c r="H2807" s="163" t="str">
        <f>IFERROR(__xludf.DUMMYFUNCTION("""COMPUTED_VALUE"""),"SG")</f>
        <v>SG</v>
      </c>
      <c r="I2807" s="163">
        <f>IFERROR(__xludf.DUMMYFUNCTION("""COMPUTED_VALUE"""),25.0)</f>
        <v>25</v>
      </c>
      <c r="J2807" s="165">
        <f>IFERROR(__xludf.DUMMYFUNCTION("""COMPUTED_VALUE"""),-0.480001089234382)</f>
        <v>-0.4800010892</v>
      </c>
      <c r="K2807" s="165">
        <f>IFERROR(__xludf.DUMMYFUNCTION("""COMPUTED_VALUE"""),-0.959534842502685)</f>
        <v>-0.9595348425</v>
      </c>
      <c r="L2807" s="165">
        <f>IFERROR(__xludf.DUMMYFUNCTION("""COMPUTED_VALUE"""),0.479533753268302)</f>
        <v>0.4795337533</v>
      </c>
      <c r="M2807" s="166">
        <f t="shared" si="2"/>
        <v>0.1851417982</v>
      </c>
      <c r="N2807" s="167">
        <f t="shared" si="3"/>
        <v>10.13233333</v>
      </c>
      <c r="O2807" s="163">
        <f t="shared" ref="O2807:Q2807" si="2811">rank(I2807,I:I)</f>
        <v>1995</v>
      </c>
      <c r="P2807" s="163">
        <f t="shared" si="2811"/>
        <v>1825</v>
      </c>
      <c r="Q2807" s="163">
        <f t="shared" si="2811"/>
        <v>2758</v>
      </c>
      <c r="R2807" s="163">
        <f>IFERROR(__xludf.DUMMYFUNCTION("RANK(M2807,filter(M:M,C:C=C2807))"),352.0)</f>
        <v>352</v>
      </c>
      <c r="S2807" s="161" t="b">
        <f t="shared" si="5"/>
        <v>0</v>
      </c>
      <c r="T2807" s="161" t="b">
        <f t="array" ref="T2807">index('Query Tool'!B:B,match(H2807,'Query Tool'!C:C,0))</f>
        <v>1</v>
      </c>
      <c r="U2807" s="161" t="b">
        <f t="array" ref="U2807">index('Query Tool'!B:B,match(C2807,'Query Tool'!C:C,0))</f>
        <v>0</v>
      </c>
      <c r="V2807" s="161" t="b">
        <f>F2807&gt;='Query Tool'!C$32</f>
        <v>0</v>
      </c>
      <c r="W2807" s="161" t="b">
        <f t="array" ref="W2807">index(Dropdowns!B:B,match(I2807,Dropdowns!A:A,0))</f>
        <v>1</v>
      </c>
      <c r="X2807" s="161" t="b">
        <f t="array" ref="X2807">index('Query Tool'!B:B,match(D2807,'Query Tool'!C:C,0))</f>
        <v>1</v>
      </c>
      <c r="Y2807" s="161" t="str">
        <f t="shared" si="6"/>
        <v>bakerro01,2018-19</v>
      </c>
      <c r="Z2807" s="168" t="str">
        <f t="array" ref="Z2807">iferror(index(I:I,match($A2807&amp;","&amp;index('Year Conversion'!$A:$A,match($C2807,'Year Conversion'!$B:$B,0)),$Y:$Y,0))-I2807,"")</f>
        <v/>
      </c>
      <c r="AA2807" s="168" t="str">
        <f t="array" ref="AA2807">iferror(index(J:J,match($A2807&amp;","&amp;index('Year Conversion'!$A:$A,match($C2807,'Year Conversion'!$B:$B,0)),$Y:$Y,0))-J2807,"")</f>
        <v/>
      </c>
      <c r="AB2807" s="168" t="str">
        <f t="array" ref="AB2807">iferror(index(K:K,match($A2807&amp;","&amp;index('Year Conversion'!$A:$A,match($C2807,'Year Conversion'!$B:$B,0)),$Y:$Y,0))-K2807,"")</f>
        <v/>
      </c>
      <c r="AC2807" s="168" t="str">
        <f t="shared" si="7"/>
        <v>TOT,2018-19</v>
      </c>
    </row>
    <row r="2808">
      <c r="A2808" s="161" t="str">
        <f>IFERROR(__xludf.DUMMYFUNCTION("""COMPUTED_VALUE"""),"brownja02")</f>
        <v>brownja02</v>
      </c>
      <c r="B2808" s="161" t="str">
        <f>IFERROR(__xludf.DUMMYFUNCTION("""COMPUTED_VALUE"""),"Jaylen Brown")</f>
        <v>Jaylen Brown</v>
      </c>
      <c r="C2808" s="162" t="str">
        <f>IFERROR(__xludf.DUMMYFUNCTION("""COMPUTED_VALUE"""),"2018-19")</f>
        <v>2018-19</v>
      </c>
      <c r="D2808" s="163" t="str">
        <f>IFERROR(__xludf.DUMMYFUNCTION("""COMPUTED_VALUE"""),"BOS")</f>
        <v>BOS</v>
      </c>
      <c r="E2808" s="164" t="str">
        <f>IFERROR(__xludf.DUMMYFUNCTION("""COMPUTED_VALUE"""),"Stationary Shooter")</f>
        <v>Stationary Shooter</v>
      </c>
      <c r="F2808" s="164">
        <f>IFERROR(__xludf.DUMMYFUNCTION("""COMPUTED_VALUE"""),1913.35166666667)</f>
        <v>1913.351667</v>
      </c>
      <c r="G2808" s="163">
        <f>IFERROR(__xludf.DUMMYFUNCTION("""COMPUTED_VALUE"""),74.0)</f>
        <v>74</v>
      </c>
      <c r="H2808" s="163" t="str">
        <f>IFERROR(__xludf.DUMMYFUNCTION("""COMPUTED_VALUE"""),"SG")</f>
        <v>SG</v>
      </c>
      <c r="I2808" s="163">
        <f>IFERROR(__xludf.DUMMYFUNCTION("""COMPUTED_VALUE"""),22.0)</f>
        <v>22</v>
      </c>
      <c r="J2808" s="165">
        <f>IFERROR(__xludf.DUMMYFUNCTION("""COMPUTED_VALUE"""),-0.682042813439078)</f>
        <v>-0.6820428134</v>
      </c>
      <c r="K2808" s="165">
        <f>IFERROR(__xludf.DUMMYFUNCTION("""COMPUTED_VALUE"""),-1.00448047542265)</f>
        <v>-1.004480475</v>
      </c>
      <c r="L2808" s="165">
        <f>IFERROR(__xludf.DUMMYFUNCTION("""COMPUTED_VALUE"""),0.322437661983568)</f>
        <v>0.322437662</v>
      </c>
      <c r="M2808" s="166">
        <f t="shared" si="2"/>
        <v>2.070509146</v>
      </c>
      <c r="N2808" s="167">
        <f t="shared" si="3"/>
        <v>25.8561036</v>
      </c>
      <c r="O2808" s="163">
        <f t="shared" ref="O2808:Q2808" si="2812">rank(I2808,I:I)</f>
        <v>3178</v>
      </c>
      <c r="P2808" s="163">
        <f t="shared" si="2812"/>
        <v>2113</v>
      </c>
      <c r="Q2808" s="163">
        <f t="shared" si="2812"/>
        <v>2810</v>
      </c>
      <c r="R2808" s="163">
        <f>IFERROR(__xludf.DUMMYFUNCTION("RANK(M2808,filter(M:M,C:C=C2808))"),149.0)</f>
        <v>149</v>
      </c>
      <c r="S2808" s="161" t="b">
        <f t="shared" si="5"/>
        <v>0</v>
      </c>
      <c r="T2808" s="161" t="b">
        <f t="array" ref="T2808">index('Query Tool'!B:B,match(H2808,'Query Tool'!C:C,0))</f>
        <v>1</v>
      </c>
      <c r="U2808" s="161" t="b">
        <f t="array" ref="U2808">index('Query Tool'!B:B,match(C2808,'Query Tool'!C:C,0))</f>
        <v>0</v>
      </c>
      <c r="V2808" s="161" t="b">
        <f>F2808&gt;='Query Tool'!C$32</f>
        <v>1</v>
      </c>
      <c r="W2808" s="161" t="b">
        <f t="array" ref="W2808">index(Dropdowns!B:B,match(I2808,Dropdowns!A:A,0))</f>
        <v>1</v>
      </c>
      <c r="X2808" s="161" t="b">
        <f t="array" ref="X2808">index('Query Tool'!B:B,match(D2808,'Query Tool'!C:C,0))</f>
        <v>1</v>
      </c>
      <c r="Y2808" s="161" t="str">
        <f t="shared" si="6"/>
        <v>brownja02,2018-19</v>
      </c>
      <c r="Z2808" s="168">
        <f t="array" ref="Z2808">iferror(index(I:I,match($A2808&amp;","&amp;index('Year Conversion'!$A:$A,match($C2808,'Year Conversion'!$B:$B,0)),$Y:$Y,0))-I2808,"")</f>
        <v>1</v>
      </c>
      <c r="AA2808" s="168">
        <f t="array" ref="AA2808">iferror(index(J:J,match($A2808&amp;","&amp;index('Year Conversion'!$A:$A,match($C2808,'Year Conversion'!$B:$B,0)),$Y:$Y,0))-J2808,"")</f>
        <v>1.053872206</v>
      </c>
      <c r="AB2808" s="168">
        <f t="array" ref="AB2808">iferror(index(K:K,match($A2808&amp;","&amp;index('Year Conversion'!$A:$A,match($C2808,'Year Conversion'!$B:$B,0)),$Y:$Y,0))-K2808,"")</f>
        <v>1.8600983</v>
      </c>
      <c r="AC2808" s="168" t="str">
        <f t="shared" si="7"/>
        <v>BOS,2018-19</v>
      </c>
    </row>
    <row r="2809">
      <c r="A2809" s="161" t="str">
        <f>IFERROR(__xludf.DUMMYFUNCTION("""COMPUTED_VALUE"""),"bembrde01")</f>
        <v>bembrde01</v>
      </c>
      <c r="B2809" s="161" t="str">
        <f>IFERROR(__xludf.DUMMYFUNCTION("""COMPUTED_VALUE"""),"DeAndre' Bembry")</f>
        <v>DeAndre' Bembry</v>
      </c>
      <c r="C2809" s="162" t="str">
        <f>IFERROR(__xludf.DUMMYFUNCTION("""COMPUTED_VALUE"""),"2018-19")</f>
        <v>2018-19</v>
      </c>
      <c r="D2809" s="163" t="str">
        <f>IFERROR(__xludf.DUMMYFUNCTION("""COMPUTED_VALUE"""),"ATL")</f>
        <v>ATL</v>
      </c>
      <c r="E2809" s="164" t="str">
        <f>IFERROR(__xludf.DUMMYFUNCTION("""COMPUTED_VALUE"""),"Stationary Shooter")</f>
        <v>Stationary Shooter</v>
      </c>
      <c r="F2809" s="164">
        <f>IFERROR(__xludf.DUMMYFUNCTION("""COMPUTED_VALUE"""),1931.28)</f>
        <v>1931.28</v>
      </c>
      <c r="G2809" s="163">
        <f>IFERROR(__xludf.DUMMYFUNCTION("""COMPUTED_VALUE"""),82.0)</f>
        <v>82</v>
      </c>
      <c r="H2809" s="163" t="str">
        <f>IFERROR(__xludf.DUMMYFUNCTION("""COMPUTED_VALUE"""),"SG")</f>
        <v>SG</v>
      </c>
      <c r="I2809" s="163">
        <f>IFERROR(__xludf.DUMMYFUNCTION("""COMPUTED_VALUE"""),24.0)</f>
        <v>24</v>
      </c>
      <c r="J2809" s="165">
        <f>IFERROR(__xludf.DUMMYFUNCTION("""COMPUTED_VALUE"""),-1.69910855832491)</f>
        <v>-1.699108558</v>
      </c>
      <c r="K2809" s="165">
        <f>IFERROR(__xludf.DUMMYFUNCTION("""COMPUTED_VALUE"""),-1.49394556945847)</f>
        <v>-1.493945569</v>
      </c>
      <c r="L2809" s="165">
        <f>IFERROR(__xludf.DUMMYFUNCTION("""COMPUTED_VALUE"""),-0.205162988866433)</f>
        <v>-0.2051629889</v>
      </c>
      <c r="M2809" s="166">
        <f t="shared" si="2"/>
        <v>0.7738970491</v>
      </c>
      <c r="N2809" s="167">
        <f t="shared" si="3"/>
        <v>23.55219512</v>
      </c>
      <c r="O2809" s="163">
        <f t="shared" ref="O2809:Q2809" si="2813">rank(I2809,I:I)</f>
        <v>2361</v>
      </c>
      <c r="P2809" s="163">
        <f t="shared" si="2813"/>
        <v>3237</v>
      </c>
      <c r="Q2809" s="163">
        <f t="shared" si="2813"/>
        <v>3345</v>
      </c>
      <c r="R2809" s="163">
        <f>IFERROR(__xludf.DUMMYFUNCTION("RANK(M2809,filter(M:M,C:C=C2809))"),246.0)</f>
        <v>246</v>
      </c>
      <c r="S2809" s="161" t="b">
        <f t="shared" si="5"/>
        <v>0</v>
      </c>
      <c r="T2809" s="161" t="b">
        <f t="array" ref="T2809">index('Query Tool'!B:B,match(H2809,'Query Tool'!C:C,0))</f>
        <v>1</v>
      </c>
      <c r="U2809" s="161" t="b">
        <f t="array" ref="U2809">index('Query Tool'!B:B,match(C2809,'Query Tool'!C:C,0))</f>
        <v>0</v>
      </c>
      <c r="V2809" s="161" t="b">
        <f>F2809&gt;='Query Tool'!C$32</f>
        <v>1</v>
      </c>
      <c r="W2809" s="161" t="b">
        <f t="array" ref="W2809">index(Dropdowns!B:B,match(I2809,Dropdowns!A:A,0))</f>
        <v>1</v>
      </c>
      <c r="X2809" s="161" t="b">
        <f t="array" ref="X2809">index('Query Tool'!B:B,match(D2809,'Query Tool'!C:C,0))</f>
        <v>1</v>
      </c>
      <c r="Y2809" s="161" t="str">
        <f t="shared" si="6"/>
        <v>bembrde01,2018-19</v>
      </c>
      <c r="Z2809" s="168">
        <f t="array" ref="Z2809">iferror(index(I:I,match($A2809&amp;","&amp;index('Year Conversion'!$A:$A,match($C2809,'Year Conversion'!$B:$B,0)),$Y:$Y,0))-I2809,"")</f>
        <v>1</v>
      </c>
      <c r="AA2809" s="168">
        <f t="array" ref="AA2809">iferror(index(J:J,match($A2809&amp;","&amp;index('Year Conversion'!$A:$A,match($C2809,'Year Conversion'!$B:$B,0)),$Y:$Y,0))-J2809,"")</f>
        <v>-0.4008043698</v>
      </c>
      <c r="AB2809" s="168">
        <f t="array" ref="AB2809">iferror(index(K:K,match($A2809&amp;","&amp;index('Year Conversion'!$A:$A,match($C2809,'Year Conversion'!$B:$B,0)),$Y:$Y,0))-K2809,"")</f>
        <v>-1.410572346</v>
      </c>
      <c r="AC2809" s="168" t="str">
        <f t="shared" si="7"/>
        <v>ATL,2018-19</v>
      </c>
    </row>
    <row r="2810">
      <c r="A2810" s="161" t="str">
        <f>IFERROR(__xludf.DUMMYFUNCTION("""COMPUTED_VALUE"""),"brogdma01")</f>
        <v>brogdma01</v>
      </c>
      <c r="B2810" s="161" t="str">
        <f>IFERROR(__xludf.DUMMYFUNCTION("""COMPUTED_VALUE"""),"Malcolm Brogdon")</f>
        <v>Malcolm Brogdon</v>
      </c>
      <c r="C2810" s="162" t="str">
        <f>IFERROR(__xludf.DUMMYFUNCTION("""COMPUTED_VALUE"""),"2018-19")</f>
        <v>2018-19</v>
      </c>
      <c r="D2810" s="163" t="str">
        <f>IFERROR(__xludf.DUMMYFUNCTION("""COMPUTED_VALUE"""),"MIL")</f>
        <v>MIL</v>
      </c>
      <c r="E2810" s="164" t="str">
        <f>IFERROR(__xludf.DUMMYFUNCTION("""COMPUTED_VALUE"""),"Primary Ball Handler")</f>
        <v>Primary Ball Handler</v>
      </c>
      <c r="F2810" s="164">
        <f>IFERROR(__xludf.DUMMYFUNCTION("""COMPUTED_VALUE"""),1831.59166666667)</f>
        <v>1831.591667</v>
      </c>
      <c r="G2810" s="163">
        <f>IFERROR(__xludf.DUMMYFUNCTION("""COMPUTED_VALUE"""),64.0)</f>
        <v>64</v>
      </c>
      <c r="H2810" s="163" t="str">
        <f>IFERROR(__xludf.DUMMYFUNCTION("""COMPUTED_VALUE"""),"SG")</f>
        <v>SG</v>
      </c>
      <c r="I2810" s="163">
        <f>IFERROR(__xludf.DUMMYFUNCTION("""COMPUTED_VALUE"""),26.0)</f>
        <v>26</v>
      </c>
      <c r="J2810" s="165">
        <f>IFERROR(__xludf.DUMMYFUNCTION("""COMPUTED_VALUE"""),1.62726517382229)</f>
        <v>1.627265174</v>
      </c>
      <c r="K2810" s="165">
        <f>IFERROR(__xludf.DUMMYFUNCTION("""COMPUTED_VALUE"""),1.26374752231153)</f>
        <v>1.263747522</v>
      </c>
      <c r="L2810" s="165">
        <f>IFERROR(__xludf.DUMMYFUNCTION("""COMPUTED_VALUE"""),0.363517651510763)</f>
        <v>0.3635176515</v>
      </c>
      <c r="M2810" s="166">
        <f t="shared" si="2"/>
        <v>4.825757387</v>
      </c>
      <c r="N2810" s="167">
        <f t="shared" si="3"/>
        <v>28.61861979</v>
      </c>
      <c r="O2810" s="163">
        <f t="shared" ref="O2810:Q2810" si="2814">rank(I2810,I:I)</f>
        <v>1665</v>
      </c>
      <c r="P2810" s="163">
        <f t="shared" si="2814"/>
        <v>423</v>
      </c>
      <c r="Q2810" s="163">
        <f t="shared" si="2814"/>
        <v>398</v>
      </c>
      <c r="R2810" s="163">
        <f>IFERROR(__xludf.DUMMYFUNCTION("RANK(M2810,filter(M:M,C:C=C2810))"),61.0)</f>
        <v>61</v>
      </c>
      <c r="S2810" s="161" t="b">
        <f t="shared" si="5"/>
        <v>0</v>
      </c>
      <c r="T2810" s="161" t="b">
        <f t="array" ref="T2810">index('Query Tool'!B:B,match(H2810,'Query Tool'!C:C,0))</f>
        <v>1</v>
      </c>
      <c r="U2810" s="161" t="b">
        <f t="array" ref="U2810">index('Query Tool'!B:B,match(C2810,'Query Tool'!C:C,0))</f>
        <v>0</v>
      </c>
      <c r="V2810" s="161" t="b">
        <f>F2810&gt;='Query Tool'!C$32</f>
        <v>1</v>
      </c>
      <c r="W2810" s="161" t="b">
        <f t="array" ref="W2810">index(Dropdowns!B:B,match(I2810,Dropdowns!A:A,0))</f>
        <v>1</v>
      </c>
      <c r="X2810" s="161" t="b">
        <f t="array" ref="X2810">index('Query Tool'!B:B,match(D2810,'Query Tool'!C:C,0))</f>
        <v>1</v>
      </c>
      <c r="Y2810" s="161" t="str">
        <f t="shared" si="6"/>
        <v>brogdma01,2018-19</v>
      </c>
      <c r="Z2810" s="168">
        <f t="array" ref="Z2810">iferror(index(I:I,match($A2810&amp;","&amp;index('Year Conversion'!$A:$A,match($C2810,'Year Conversion'!$B:$B,0)),$Y:$Y,0))-I2810,"")</f>
        <v>1</v>
      </c>
      <c r="AA2810" s="168">
        <f t="array" ref="AA2810">iferror(index(J:J,match($A2810&amp;","&amp;index('Year Conversion'!$A:$A,match($C2810,'Year Conversion'!$B:$B,0)),$Y:$Y,0))-J2810,"")</f>
        <v>0.02161551937</v>
      </c>
      <c r="AB2810" s="168">
        <f t="array" ref="AB2810">iferror(index(K:K,match($A2810&amp;","&amp;index('Year Conversion'!$A:$A,match($C2810,'Year Conversion'!$B:$B,0)),$Y:$Y,0))-K2810,"")</f>
        <v>0.2242953899</v>
      </c>
      <c r="AC2810" s="168" t="str">
        <f t="shared" si="7"/>
        <v>MIL,2018-19</v>
      </c>
    </row>
    <row r="2811">
      <c r="A2811" s="161" t="str">
        <f>IFERROR(__xludf.DUMMYFUNCTION("""COMPUTED_VALUE"""),"diallch01")</f>
        <v>diallch01</v>
      </c>
      <c r="B2811" s="161" t="str">
        <f>IFERROR(__xludf.DUMMYFUNCTION("""COMPUTED_VALUE"""),"Cheick Diallo")</f>
        <v>Cheick Diallo</v>
      </c>
      <c r="C2811" s="162" t="str">
        <f>IFERROR(__xludf.DUMMYFUNCTION("""COMPUTED_VALUE"""),"2018-19")</f>
        <v>2018-19</v>
      </c>
      <c r="D2811" s="163" t="str">
        <f>IFERROR(__xludf.DUMMYFUNCTION("""COMPUTED_VALUE"""),"NOP")</f>
        <v>NOP</v>
      </c>
      <c r="E2811" s="164" t="str">
        <f>IFERROR(__xludf.DUMMYFUNCTION("""COMPUTED_VALUE"""),"Roll + Cut Big")</f>
        <v>Roll + Cut Big</v>
      </c>
      <c r="F2811" s="164">
        <f>IFERROR(__xludf.DUMMYFUNCTION("""COMPUTED_VALUE"""),895.645)</f>
        <v>895.645</v>
      </c>
      <c r="G2811" s="163">
        <f>IFERROR(__xludf.DUMMYFUNCTION("""COMPUTED_VALUE"""),64.0)</f>
        <v>64</v>
      </c>
      <c r="H2811" s="163" t="str">
        <f>IFERROR(__xludf.DUMMYFUNCTION("""COMPUTED_VALUE"""),"PF")</f>
        <v>PF</v>
      </c>
      <c r="I2811" s="163">
        <f>IFERROR(__xludf.DUMMYFUNCTION("""COMPUTED_VALUE"""),22.0)</f>
        <v>22</v>
      </c>
      <c r="J2811" s="165">
        <f>IFERROR(__xludf.DUMMYFUNCTION("""COMPUTED_VALUE"""),-0.139713822828932)</f>
        <v>-0.1397138228</v>
      </c>
      <c r="K2811" s="165">
        <f>IFERROR(__xludf.DUMMYFUNCTION("""COMPUTED_VALUE"""),-0.845799718262649)</f>
        <v>-0.8457997183</v>
      </c>
      <c r="L2811" s="165">
        <f>IFERROR(__xludf.DUMMYFUNCTION("""COMPUTED_VALUE"""),0.706085895433717)</f>
        <v>0.7060858954</v>
      </c>
      <c r="M2811" s="166">
        <f t="shared" si="2"/>
        <v>1.29642427</v>
      </c>
      <c r="N2811" s="167">
        <f t="shared" si="3"/>
        <v>13.99445313</v>
      </c>
      <c r="O2811" s="163">
        <f t="shared" ref="O2811:Q2811" si="2815">rank(I2811,I:I)</f>
        <v>3178</v>
      </c>
      <c r="P2811" s="163">
        <f t="shared" si="2815"/>
        <v>1423</v>
      </c>
      <c r="Q2811" s="163">
        <f t="shared" si="2815"/>
        <v>2613</v>
      </c>
      <c r="R2811" s="163">
        <f>IFERROR(__xludf.DUMMYFUNCTION("RANK(M2811,filter(M:M,C:C=C2811))"),201.0)</f>
        <v>201</v>
      </c>
      <c r="S2811" s="161" t="b">
        <f t="shared" si="5"/>
        <v>0</v>
      </c>
      <c r="T2811" s="161" t="b">
        <f t="array" ref="T2811">index('Query Tool'!B:B,match(H2811,'Query Tool'!C:C,0))</f>
        <v>1</v>
      </c>
      <c r="U2811" s="161" t="b">
        <f t="array" ref="U2811">index('Query Tool'!B:B,match(C2811,'Query Tool'!C:C,0))</f>
        <v>0</v>
      </c>
      <c r="V2811" s="161" t="b">
        <f>F2811&gt;='Query Tool'!C$32</f>
        <v>1</v>
      </c>
      <c r="W2811" s="161" t="b">
        <f t="array" ref="W2811">index(Dropdowns!B:B,match(I2811,Dropdowns!A:A,0))</f>
        <v>1</v>
      </c>
      <c r="X2811" s="161" t="b">
        <f t="array" ref="X2811">index('Query Tool'!B:B,match(D2811,'Query Tool'!C:C,0))</f>
        <v>1</v>
      </c>
      <c r="Y2811" s="161" t="str">
        <f t="shared" si="6"/>
        <v>diallch01,2018-19</v>
      </c>
      <c r="Z2811" s="168">
        <f t="array" ref="Z2811">iferror(index(I:I,match($A2811&amp;","&amp;index('Year Conversion'!$A:$A,match($C2811,'Year Conversion'!$B:$B,0)),$Y:$Y,0))-I2811,"")</f>
        <v>1</v>
      </c>
      <c r="AA2811" s="168">
        <f t="array" ref="AA2811">iferror(index(J:J,match($A2811&amp;","&amp;index('Year Conversion'!$A:$A,match($C2811,'Year Conversion'!$B:$B,0)),$Y:$Y,0))-J2811,"")</f>
        <v>-1.285205426</v>
      </c>
      <c r="AB2811" s="168">
        <f t="array" ref="AB2811">iferror(index(K:K,match($A2811&amp;","&amp;index('Year Conversion'!$A:$A,match($C2811,'Year Conversion'!$B:$B,0)),$Y:$Y,0))-K2811,"")</f>
        <v>-1.059365585</v>
      </c>
      <c r="AC2811" s="168" t="str">
        <f t="shared" si="7"/>
        <v>NOP,2018-19</v>
      </c>
    </row>
    <row r="2812">
      <c r="A2812" s="161" t="str">
        <f>IFERROR(__xludf.DUMMYFUNCTION("""COMPUTED_VALUE"""),"hamilda02")</f>
        <v>hamilda02</v>
      </c>
      <c r="B2812" s="161" t="str">
        <f>IFERROR(__xludf.DUMMYFUNCTION("""COMPUTED_VALUE"""),"Daniel Hamilton")</f>
        <v>Daniel Hamilton</v>
      </c>
      <c r="C2812" s="162" t="str">
        <f>IFERROR(__xludf.DUMMYFUNCTION("""COMPUTED_VALUE"""),"2018-19")</f>
        <v>2018-19</v>
      </c>
      <c r="D2812" s="163" t="str">
        <f>IFERROR(__xludf.DUMMYFUNCTION("""COMPUTED_VALUE"""),"ATL")</f>
        <v>ATL</v>
      </c>
      <c r="E2812" s="164" t="str">
        <f>IFERROR(__xludf.DUMMYFUNCTION("""COMPUTED_VALUE"""),"Secondary Ball Handler")</f>
        <v>Secondary Ball Handler</v>
      </c>
      <c r="F2812" s="164">
        <f>IFERROR(__xludf.DUMMYFUNCTION("""COMPUTED_VALUE"""),204.171666666667)</f>
        <v>204.1716667</v>
      </c>
      <c r="G2812" s="163">
        <f>IFERROR(__xludf.DUMMYFUNCTION("""COMPUTED_VALUE"""),19.0)</f>
        <v>19</v>
      </c>
      <c r="H2812" s="163" t="str">
        <f>IFERROR(__xludf.DUMMYFUNCTION("""COMPUTED_VALUE"""),"SG")</f>
        <v>SG</v>
      </c>
      <c r="I2812" s="163">
        <f>IFERROR(__xludf.DUMMYFUNCTION("""COMPUTED_VALUE"""),23.0)</f>
        <v>23</v>
      </c>
      <c r="J2812" s="165">
        <f>IFERROR(__xludf.DUMMYFUNCTION("""COMPUTED_VALUE"""),-1.1140565237023)</f>
        <v>-1.114056524</v>
      </c>
      <c r="K2812" s="165">
        <f>IFERROR(__xludf.DUMMYFUNCTION("""COMPUTED_VALUE"""),-1.06285959006837)</f>
        <v>-1.06285959</v>
      </c>
      <c r="L2812" s="165">
        <f>IFERROR(__xludf.DUMMYFUNCTION("""COMPUTED_VALUE"""),-0.0511969336339379)</f>
        <v>-0.05119693363</v>
      </c>
      <c r="M2812" s="166">
        <f t="shared" si="2"/>
        <v>0.1616781148</v>
      </c>
      <c r="N2812" s="167">
        <f t="shared" si="3"/>
        <v>10.74587719</v>
      </c>
      <c r="O2812" s="163">
        <f t="shared" ref="O2812:Q2812" si="2816">rank(I2812,I:I)</f>
        <v>2765</v>
      </c>
      <c r="P2812" s="163">
        <f t="shared" si="2816"/>
        <v>2636</v>
      </c>
      <c r="Q2812" s="163">
        <f t="shared" si="2816"/>
        <v>2887</v>
      </c>
      <c r="R2812" s="163">
        <f>IFERROR(__xludf.DUMMYFUNCTION("RANK(M2812,filter(M:M,C:C=C2812))"),360.0)</f>
        <v>360</v>
      </c>
      <c r="S2812" s="161" t="b">
        <f t="shared" si="5"/>
        <v>0</v>
      </c>
      <c r="T2812" s="161" t="b">
        <f t="array" ref="T2812">index('Query Tool'!B:B,match(H2812,'Query Tool'!C:C,0))</f>
        <v>1</v>
      </c>
      <c r="U2812" s="161" t="b">
        <f t="array" ref="U2812">index('Query Tool'!B:B,match(C2812,'Query Tool'!C:C,0))</f>
        <v>0</v>
      </c>
      <c r="V2812" s="161" t="b">
        <f>F2812&gt;='Query Tool'!C$32</f>
        <v>0</v>
      </c>
      <c r="W2812" s="161" t="b">
        <f t="array" ref="W2812">index(Dropdowns!B:B,match(I2812,Dropdowns!A:A,0))</f>
        <v>1</v>
      </c>
      <c r="X2812" s="161" t="b">
        <f t="array" ref="X2812">index('Query Tool'!B:B,match(D2812,'Query Tool'!C:C,0))</f>
        <v>1</v>
      </c>
      <c r="Y2812" s="161" t="str">
        <f t="shared" si="6"/>
        <v>hamilda02,2018-19</v>
      </c>
      <c r="Z2812" s="168" t="str">
        <f t="array" ref="Z2812">iferror(index(I:I,match($A2812&amp;","&amp;index('Year Conversion'!$A:$A,match($C2812,'Year Conversion'!$B:$B,0)),$Y:$Y,0))-I2812,"")</f>
        <v/>
      </c>
      <c r="AA2812" s="168" t="str">
        <f t="array" ref="AA2812">iferror(index(J:J,match($A2812&amp;","&amp;index('Year Conversion'!$A:$A,match($C2812,'Year Conversion'!$B:$B,0)),$Y:$Y,0))-J2812,"")</f>
        <v/>
      </c>
      <c r="AB2812" s="168" t="str">
        <f t="array" ref="AB2812">iferror(index(K:K,match($A2812&amp;","&amp;index('Year Conversion'!$A:$A,match($C2812,'Year Conversion'!$B:$B,0)),$Y:$Y,0))-K2812,"")</f>
        <v/>
      </c>
      <c r="AC2812" s="168" t="str">
        <f t="shared" si="7"/>
        <v>ATL,2018-19</v>
      </c>
    </row>
    <row r="2813">
      <c r="A2813" s="161" t="str">
        <f>IFERROR(__xludf.DUMMYFUNCTION("""COMPUTED_VALUE"""),"laymaja01")</f>
        <v>laymaja01</v>
      </c>
      <c r="B2813" s="161" t="str">
        <f>IFERROR(__xludf.DUMMYFUNCTION("""COMPUTED_VALUE"""),"Jake Layman")</f>
        <v>Jake Layman</v>
      </c>
      <c r="C2813" s="162" t="str">
        <f>IFERROR(__xludf.DUMMYFUNCTION("""COMPUTED_VALUE"""),"2018-19")</f>
        <v>2018-19</v>
      </c>
      <c r="D2813" s="163" t="str">
        <f>IFERROR(__xludf.DUMMYFUNCTION("""COMPUTED_VALUE"""),"POR")</f>
        <v>POR</v>
      </c>
      <c r="E2813" s="164" t="str">
        <f>IFERROR(__xludf.DUMMYFUNCTION("""COMPUTED_VALUE"""),"Athletic Finisher")</f>
        <v>Athletic Finisher</v>
      </c>
      <c r="F2813" s="164">
        <f>IFERROR(__xludf.DUMMYFUNCTION("""COMPUTED_VALUE"""),1326.93666666667)</f>
        <v>1326.936667</v>
      </c>
      <c r="G2813" s="163">
        <f>IFERROR(__xludf.DUMMYFUNCTION("""COMPUTED_VALUE"""),71.0)</f>
        <v>71</v>
      </c>
      <c r="H2813" s="163" t="str">
        <f>IFERROR(__xludf.DUMMYFUNCTION("""COMPUTED_VALUE"""),"SF")</f>
        <v>SF</v>
      </c>
      <c r="I2813" s="163">
        <f>IFERROR(__xludf.DUMMYFUNCTION("""COMPUTED_VALUE"""),24.0)</f>
        <v>24</v>
      </c>
      <c r="J2813" s="165">
        <f>IFERROR(__xludf.DUMMYFUNCTION("""COMPUTED_VALUE"""),-1.1178489332777)</f>
        <v>-1.117848933</v>
      </c>
      <c r="K2813" s="165">
        <f>IFERROR(__xludf.DUMMYFUNCTION("""COMPUTED_VALUE"""),-0.835097044721292)</f>
        <v>-0.8350970447</v>
      </c>
      <c r="L2813" s="165">
        <f>IFERROR(__xludf.DUMMYFUNCTION("""COMPUTED_VALUE"""),-0.282751888556408)</f>
        <v>-0.2827518886</v>
      </c>
      <c r="M2813" s="166">
        <f t="shared" si="2"/>
        <v>1.047390699</v>
      </c>
      <c r="N2813" s="167">
        <f t="shared" si="3"/>
        <v>18.68924883</v>
      </c>
      <c r="O2813" s="163">
        <f t="shared" ref="O2813:Q2813" si="2817">rank(I2813,I:I)</f>
        <v>2361</v>
      </c>
      <c r="P2813" s="163">
        <f t="shared" si="2817"/>
        <v>2642</v>
      </c>
      <c r="Q2813" s="163">
        <f t="shared" si="2817"/>
        <v>2599</v>
      </c>
      <c r="R2813" s="163">
        <f>IFERROR(__xludf.DUMMYFUNCTION("RANK(M2813,filter(M:M,C:C=C2813))"),220.0)</f>
        <v>220</v>
      </c>
      <c r="S2813" s="161" t="b">
        <f t="shared" si="5"/>
        <v>0</v>
      </c>
      <c r="T2813" s="161" t="b">
        <f t="array" ref="T2813">index('Query Tool'!B:B,match(H2813,'Query Tool'!C:C,0))</f>
        <v>1</v>
      </c>
      <c r="U2813" s="161" t="b">
        <f t="array" ref="U2813">index('Query Tool'!B:B,match(C2813,'Query Tool'!C:C,0))</f>
        <v>0</v>
      </c>
      <c r="V2813" s="161" t="b">
        <f>F2813&gt;='Query Tool'!C$32</f>
        <v>1</v>
      </c>
      <c r="W2813" s="161" t="b">
        <f t="array" ref="W2813">index(Dropdowns!B:B,match(I2813,Dropdowns!A:A,0))</f>
        <v>1</v>
      </c>
      <c r="X2813" s="161" t="b">
        <f t="array" ref="X2813">index('Query Tool'!B:B,match(D2813,'Query Tool'!C:C,0))</f>
        <v>1</v>
      </c>
      <c r="Y2813" s="161" t="str">
        <f t="shared" si="6"/>
        <v>laymaja01,2018-19</v>
      </c>
      <c r="Z2813" s="168">
        <f t="array" ref="Z2813">iferror(index(I:I,match($A2813&amp;","&amp;index('Year Conversion'!$A:$A,match($C2813,'Year Conversion'!$B:$B,0)),$Y:$Y,0))-I2813,"")</f>
        <v>1</v>
      </c>
      <c r="AA2813" s="168">
        <f t="array" ref="AA2813">iferror(index(J:J,match($A2813&amp;","&amp;index('Year Conversion'!$A:$A,match($C2813,'Year Conversion'!$B:$B,0)),$Y:$Y,0))-J2813,"")</f>
        <v>-0.08424740362</v>
      </c>
      <c r="AB2813" s="168">
        <f t="array" ref="AB2813">iferror(index(K:K,match($A2813&amp;","&amp;index('Year Conversion'!$A:$A,match($C2813,'Year Conversion'!$B:$B,0)),$Y:$Y,0))-K2813,"")</f>
        <v>-0.6323551933</v>
      </c>
      <c r="AC2813" s="168" t="str">
        <f t="shared" si="7"/>
        <v>POR,2018-19</v>
      </c>
    </row>
    <row r="2814">
      <c r="A2814" s="161" t="str">
        <f>IFERROR(__xludf.DUMMYFUNCTION("""COMPUTED_VALUE"""),"mccawpa01")</f>
        <v>mccawpa01</v>
      </c>
      <c r="B2814" s="161" t="str">
        <f>IFERROR(__xludf.DUMMYFUNCTION("""COMPUTED_VALUE"""),"Patrick McCaw")</f>
        <v>Patrick McCaw</v>
      </c>
      <c r="C2814" s="162" t="str">
        <f>IFERROR(__xludf.DUMMYFUNCTION("""COMPUTED_VALUE"""),"2018-19")</f>
        <v>2018-19</v>
      </c>
      <c r="D2814" s="163" t="str">
        <f>IFERROR(__xludf.DUMMYFUNCTION("""COMPUTED_VALUE"""),"TOT")</f>
        <v>TOT</v>
      </c>
      <c r="E2814" s="164" t="str">
        <f>IFERROR(__xludf.DUMMYFUNCTION("""COMPUTED_VALUE"""),"Movement Shooter")</f>
        <v>Movement Shooter</v>
      </c>
      <c r="F2814" s="164">
        <f>IFERROR(__xludf.DUMMYFUNCTION("""COMPUTED_VALUE"""),397.295)</f>
        <v>397.295</v>
      </c>
      <c r="G2814" s="163">
        <f>IFERROR(__xludf.DUMMYFUNCTION("""COMPUTED_VALUE"""),29.0)</f>
        <v>29</v>
      </c>
      <c r="H2814" s="163" t="str">
        <f>IFERROR(__xludf.DUMMYFUNCTION("""COMPUTED_VALUE"""),"SG")</f>
        <v>SG</v>
      </c>
      <c r="I2814" s="163">
        <f>IFERROR(__xludf.DUMMYFUNCTION("""COMPUTED_VALUE"""),23.0)</f>
        <v>23</v>
      </c>
      <c r="J2814" s="165">
        <f>IFERROR(__xludf.DUMMYFUNCTION("""COMPUTED_VALUE"""),-2.81318171638223)</f>
        <v>-2.813181716</v>
      </c>
      <c r="K2814" s="165">
        <f>IFERROR(__xludf.DUMMYFUNCTION("""COMPUTED_VALUE"""),-2.53839708231503)</f>
        <v>-2.538397082</v>
      </c>
      <c r="L2814" s="165">
        <f>IFERROR(__xludf.DUMMYFUNCTION("""COMPUTED_VALUE"""),-0.274784634067194)</f>
        <v>-0.2747846341</v>
      </c>
      <c r="M2814" s="166">
        <f t="shared" si="2"/>
        <v>-0.1328440302</v>
      </c>
      <c r="N2814" s="167">
        <f t="shared" si="3"/>
        <v>13.69982759</v>
      </c>
      <c r="O2814" s="163">
        <f t="shared" ref="O2814:Q2814" si="2818">rank(I2814,I:I)</f>
        <v>2765</v>
      </c>
      <c r="P2814" s="163">
        <f t="shared" si="2818"/>
        <v>3849</v>
      </c>
      <c r="Q2814" s="163">
        <f t="shared" si="2818"/>
        <v>3895</v>
      </c>
      <c r="R2814" s="163">
        <f>IFERROR(__xludf.DUMMYFUNCTION("RANK(M2814,filter(M:M,C:C=C2814))"),500.0)</f>
        <v>500</v>
      </c>
      <c r="S2814" s="161" t="b">
        <f t="shared" si="5"/>
        <v>0</v>
      </c>
      <c r="T2814" s="161" t="b">
        <f t="array" ref="T2814">index('Query Tool'!B:B,match(H2814,'Query Tool'!C:C,0))</f>
        <v>1</v>
      </c>
      <c r="U2814" s="161" t="b">
        <f t="array" ref="U2814">index('Query Tool'!B:B,match(C2814,'Query Tool'!C:C,0))</f>
        <v>0</v>
      </c>
      <c r="V2814" s="161" t="b">
        <f>F2814&gt;='Query Tool'!C$32</f>
        <v>0</v>
      </c>
      <c r="W2814" s="161" t="b">
        <f t="array" ref="W2814">index(Dropdowns!B:B,match(I2814,Dropdowns!A:A,0))</f>
        <v>1</v>
      </c>
      <c r="X2814" s="161" t="b">
        <f t="array" ref="X2814">index('Query Tool'!B:B,match(D2814,'Query Tool'!C:C,0))</f>
        <v>1</v>
      </c>
      <c r="Y2814" s="161" t="str">
        <f t="shared" si="6"/>
        <v>mccawpa01,2018-19</v>
      </c>
      <c r="Z2814" s="168">
        <f t="array" ref="Z2814">iferror(index(I:I,match($A2814&amp;","&amp;index('Year Conversion'!$A:$A,match($C2814,'Year Conversion'!$B:$B,0)),$Y:$Y,0))-I2814,"")</f>
        <v>1</v>
      </c>
      <c r="AA2814" s="168">
        <f t="array" ref="AA2814">iferror(index(J:J,match($A2814&amp;","&amp;index('Year Conversion'!$A:$A,match($C2814,'Year Conversion'!$B:$B,0)),$Y:$Y,0))-J2814,"")</f>
        <v>0.0005237521173</v>
      </c>
      <c r="AB2814" s="168">
        <f t="array" ref="AB2814">iferror(index(K:K,match($A2814&amp;","&amp;index('Year Conversion'!$A:$A,match($C2814,'Year Conversion'!$B:$B,0)),$Y:$Y,0))-K2814,"")</f>
        <v>-0.2777647043</v>
      </c>
      <c r="AC2814" s="168" t="str">
        <f t="shared" si="7"/>
        <v>TOT,2018-19</v>
      </c>
    </row>
    <row r="2815">
      <c r="A2815" s="161" t="str">
        <f>IFERROR(__xludf.DUMMYFUNCTION("""COMPUTED_VALUE"""),"niangge01")</f>
        <v>niangge01</v>
      </c>
      <c r="B2815" s="161" t="str">
        <f>IFERROR(__xludf.DUMMYFUNCTION("""COMPUTED_VALUE"""),"Georges Niang")</f>
        <v>Georges Niang</v>
      </c>
      <c r="C2815" s="162" t="str">
        <f>IFERROR(__xludf.DUMMYFUNCTION("""COMPUTED_VALUE"""),"2018-19")</f>
        <v>2018-19</v>
      </c>
      <c r="D2815" s="163" t="str">
        <f>IFERROR(__xludf.DUMMYFUNCTION("""COMPUTED_VALUE"""),"UTA")</f>
        <v>UTA</v>
      </c>
      <c r="E2815" s="164" t="str">
        <f>IFERROR(__xludf.DUMMYFUNCTION("""COMPUTED_VALUE"""),"Stationary Shooter")</f>
        <v>Stationary Shooter</v>
      </c>
      <c r="F2815" s="164">
        <f>IFERROR(__xludf.DUMMYFUNCTION("""COMPUTED_VALUE"""),516.348333333333)</f>
        <v>516.3483333</v>
      </c>
      <c r="G2815" s="163">
        <f>IFERROR(__xludf.DUMMYFUNCTION("""COMPUTED_VALUE"""),59.0)</f>
        <v>59</v>
      </c>
      <c r="H2815" s="163" t="str">
        <f>IFERROR(__xludf.DUMMYFUNCTION("""COMPUTED_VALUE"""),"PF")</f>
        <v>PF</v>
      </c>
      <c r="I2815" s="163">
        <f>IFERROR(__xludf.DUMMYFUNCTION("""COMPUTED_VALUE"""),25.0)</f>
        <v>25</v>
      </c>
      <c r="J2815" s="165">
        <f>IFERROR(__xludf.DUMMYFUNCTION("""COMPUTED_VALUE"""),-1.74157811847475)</f>
        <v>-1.741578118</v>
      </c>
      <c r="K2815" s="165">
        <f>IFERROR(__xludf.DUMMYFUNCTION("""COMPUTED_VALUE"""),-0.492373729040777)</f>
        <v>-0.492373729</v>
      </c>
      <c r="L2815" s="165">
        <f>IFERROR(__xludf.DUMMYFUNCTION("""COMPUTED_VALUE"""),-1.24920438943397)</f>
        <v>-1.249204389</v>
      </c>
      <c r="M2815" s="166">
        <f t="shared" si="2"/>
        <v>0.1923061504</v>
      </c>
      <c r="N2815" s="167">
        <f t="shared" si="3"/>
        <v>8.751666667</v>
      </c>
      <c r="O2815" s="163">
        <f t="shared" ref="O2815:Q2815" si="2819">rank(I2815,I:I)</f>
        <v>1995</v>
      </c>
      <c r="P2815" s="163">
        <f t="shared" si="2819"/>
        <v>3284</v>
      </c>
      <c r="Q2815" s="163">
        <f t="shared" si="2819"/>
        <v>2097</v>
      </c>
      <c r="R2815" s="163">
        <f>IFERROR(__xludf.DUMMYFUNCTION("RANK(M2815,filter(M:M,C:C=C2815))"),349.0)</f>
        <v>349</v>
      </c>
      <c r="S2815" s="161" t="b">
        <f t="shared" si="5"/>
        <v>0</v>
      </c>
      <c r="T2815" s="161" t="b">
        <f t="array" ref="T2815">index('Query Tool'!B:B,match(H2815,'Query Tool'!C:C,0))</f>
        <v>1</v>
      </c>
      <c r="U2815" s="161" t="b">
        <f t="array" ref="U2815">index('Query Tool'!B:B,match(C2815,'Query Tool'!C:C,0))</f>
        <v>0</v>
      </c>
      <c r="V2815" s="161" t="b">
        <f>F2815&gt;='Query Tool'!C$32</f>
        <v>1</v>
      </c>
      <c r="W2815" s="161" t="b">
        <f t="array" ref="W2815">index(Dropdowns!B:B,match(I2815,Dropdowns!A:A,0))</f>
        <v>1</v>
      </c>
      <c r="X2815" s="161" t="b">
        <f t="array" ref="X2815">index('Query Tool'!B:B,match(D2815,'Query Tool'!C:C,0))</f>
        <v>1</v>
      </c>
      <c r="Y2815" s="161" t="str">
        <f t="shared" si="6"/>
        <v>niangge01,2018-19</v>
      </c>
      <c r="Z2815" s="168">
        <f t="array" ref="Z2815">iferror(index(I:I,match($A2815&amp;","&amp;index('Year Conversion'!$A:$A,match($C2815,'Year Conversion'!$B:$B,0)),$Y:$Y,0))-I2815,"")</f>
        <v>1</v>
      </c>
      <c r="AA2815" s="168">
        <f t="array" ref="AA2815">iferror(index(J:J,match($A2815&amp;","&amp;index('Year Conversion'!$A:$A,match($C2815,'Year Conversion'!$B:$B,0)),$Y:$Y,0))-J2815,"")</f>
        <v>0.3479706457</v>
      </c>
      <c r="AB2815" s="168">
        <f t="array" ref="AB2815">iferror(index(K:K,match($A2815&amp;","&amp;index('Year Conversion'!$A:$A,match($C2815,'Year Conversion'!$B:$B,0)),$Y:$Y,0))-K2815,"")</f>
        <v>0.3846427746</v>
      </c>
      <c r="AC2815" s="168" t="str">
        <f t="shared" si="7"/>
        <v>UTA,2018-19</v>
      </c>
    </row>
    <row r="2816">
      <c r="A2816" s="161" t="str">
        <f>IFERROR(__xludf.DUMMYFUNCTION("""COMPUTED_VALUE"""),"paytoga02")</f>
        <v>paytoga02</v>
      </c>
      <c r="B2816" s="161" t="str">
        <f>IFERROR(__xludf.DUMMYFUNCTION("""COMPUTED_VALUE"""),"Gary Payton II")</f>
        <v>Gary Payton II</v>
      </c>
      <c r="C2816" s="162" t="str">
        <f>IFERROR(__xludf.DUMMYFUNCTION("""COMPUTED_VALUE"""),"2018-19")</f>
        <v>2018-19</v>
      </c>
      <c r="D2816" s="163" t="str">
        <f>IFERROR(__xludf.DUMMYFUNCTION("""COMPUTED_VALUE"""),"WAS")</f>
        <v>WAS</v>
      </c>
      <c r="E2816" s="164" t="str">
        <f>IFERROR(__xludf.DUMMYFUNCTION("""COMPUTED_VALUE"""),"Stretch Big")</f>
        <v>Stretch Big</v>
      </c>
      <c r="F2816" s="164">
        <f>IFERROR(__xludf.DUMMYFUNCTION("""COMPUTED_VALUE"""),15.9166666666667)</f>
        <v>15.91666667</v>
      </c>
      <c r="G2816" s="163">
        <f>IFERROR(__xludf.DUMMYFUNCTION("""COMPUTED_VALUE"""),3.0)</f>
        <v>3</v>
      </c>
      <c r="H2816" s="163" t="str">
        <f>IFERROR(__xludf.DUMMYFUNCTION("""COMPUTED_VALUE"""),"PG")</f>
        <v>PG</v>
      </c>
      <c r="I2816" s="163">
        <f>IFERROR(__xludf.DUMMYFUNCTION("""COMPUTED_VALUE"""),26.0)</f>
        <v>26</v>
      </c>
      <c r="J2816" s="165">
        <f>IFERROR(__xludf.DUMMYFUNCTION("""COMPUTED_VALUE"""),-0.352773220720771)</f>
        <v>-0.3527732207</v>
      </c>
      <c r="K2816" s="165">
        <f>IFERROR(__xludf.DUMMYFUNCTION("""COMPUTED_VALUE"""),-0.0981916587871727)</f>
        <v>-0.09819165879</v>
      </c>
      <c r="L2816" s="165">
        <f>IFERROR(__xludf.DUMMYFUNCTION("""COMPUTED_VALUE"""),-0.254581561933598)</f>
        <v>-0.2545815619</v>
      </c>
      <c r="M2816" s="166">
        <f t="shared" si="2"/>
        <v>0.02075329064</v>
      </c>
      <c r="N2816" s="167">
        <f t="shared" si="3"/>
        <v>5.305555556</v>
      </c>
      <c r="O2816" s="163">
        <f t="shared" ref="O2816:Q2816" si="2820">rank(I2816,I:I)</f>
        <v>1665</v>
      </c>
      <c r="P2816" s="163">
        <f t="shared" si="2820"/>
        <v>1674</v>
      </c>
      <c r="Q2816" s="163">
        <f t="shared" si="2820"/>
        <v>1364</v>
      </c>
      <c r="R2816" s="163">
        <f>IFERROR(__xludf.DUMMYFUNCTION("RANK(M2816,filter(M:M,C:C=C2816))"),451.0)</f>
        <v>451</v>
      </c>
      <c r="S2816" s="161" t="b">
        <f t="shared" si="5"/>
        <v>0</v>
      </c>
      <c r="T2816" s="161" t="b">
        <f t="array" ref="T2816">index('Query Tool'!B:B,match(H2816,'Query Tool'!C:C,0))</f>
        <v>1</v>
      </c>
      <c r="U2816" s="161" t="b">
        <f t="array" ref="U2816">index('Query Tool'!B:B,match(C2816,'Query Tool'!C:C,0))</f>
        <v>0</v>
      </c>
      <c r="V2816" s="161" t="b">
        <f>F2816&gt;='Query Tool'!C$32</f>
        <v>0</v>
      </c>
      <c r="W2816" s="161" t="b">
        <f t="array" ref="W2816">index(Dropdowns!B:B,match(I2816,Dropdowns!A:A,0))</f>
        <v>1</v>
      </c>
      <c r="X2816" s="161" t="b">
        <f t="array" ref="X2816">index('Query Tool'!B:B,match(D2816,'Query Tool'!C:C,0))</f>
        <v>1</v>
      </c>
      <c r="Y2816" s="161" t="str">
        <f t="shared" si="6"/>
        <v>paytoga02,2018-19</v>
      </c>
      <c r="Z2816" s="168">
        <f t="array" ref="Z2816">iferror(index(I:I,match($A2816&amp;","&amp;index('Year Conversion'!$A:$A,match($C2816,'Year Conversion'!$B:$B,0)),$Y:$Y,0))-I2816,"")</f>
        <v>1</v>
      </c>
      <c r="AA2816" s="168">
        <f t="array" ref="AA2816">iferror(index(J:J,match($A2816&amp;","&amp;index('Year Conversion'!$A:$A,match($C2816,'Year Conversion'!$B:$B,0)),$Y:$Y,0))-J2816,"")</f>
        <v>-1.111638427</v>
      </c>
      <c r="AB2816" s="168">
        <f t="array" ref="AB2816">iferror(index(K:K,match($A2816&amp;","&amp;index('Year Conversion'!$A:$A,match($C2816,'Year Conversion'!$B:$B,0)),$Y:$Y,0))-K2816,"")</f>
        <v>-1.718294168</v>
      </c>
      <c r="AC2816" s="168" t="str">
        <f t="shared" si="7"/>
        <v>WAS,2018-19</v>
      </c>
    </row>
    <row r="2817">
      <c r="A2817" s="161" t="str">
        <f>IFERROR(__xludf.DUMMYFUNCTION("""COMPUTED_VALUE"""),"richama01")</f>
        <v>richama01</v>
      </c>
      <c r="B2817" s="161" t="str">
        <f>IFERROR(__xludf.DUMMYFUNCTION("""COMPUTED_VALUE"""),"Malachi Richardson")</f>
        <v>Malachi Richardson</v>
      </c>
      <c r="C2817" s="162" t="str">
        <f>IFERROR(__xludf.DUMMYFUNCTION("""COMPUTED_VALUE"""),"2018-19")</f>
        <v>2018-19</v>
      </c>
      <c r="D2817" s="163" t="str">
        <f>IFERROR(__xludf.DUMMYFUNCTION("""COMPUTED_VALUE"""),"TOR")</f>
        <v>TOR</v>
      </c>
      <c r="E2817" s="164" t="str">
        <f>IFERROR(__xludf.DUMMYFUNCTION("""COMPUTED_VALUE"""),"Movement Shooter")</f>
        <v>Movement Shooter</v>
      </c>
      <c r="F2817" s="164">
        <f>IFERROR(__xludf.DUMMYFUNCTION("""COMPUTED_VALUE"""),103.423333333333)</f>
        <v>103.4233333</v>
      </c>
      <c r="G2817" s="163">
        <f>IFERROR(__xludf.DUMMYFUNCTION("""COMPUTED_VALUE"""),22.0)</f>
        <v>22</v>
      </c>
      <c r="H2817" s="163" t="str">
        <f>IFERROR(__xludf.DUMMYFUNCTION("""COMPUTED_VALUE"""),"SG")</f>
        <v>SG</v>
      </c>
      <c r="I2817" s="163">
        <f>IFERROR(__xludf.DUMMYFUNCTION("""COMPUTED_VALUE"""),23.0)</f>
        <v>23</v>
      </c>
      <c r="J2817" s="165">
        <f>IFERROR(__xludf.DUMMYFUNCTION("""COMPUTED_VALUE"""),-1.61236846720852)</f>
        <v>-1.612368467</v>
      </c>
      <c r="K2817" s="165">
        <f>IFERROR(__xludf.DUMMYFUNCTION("""COMPUTED_VALUE"""),-0.908983627661494)</f>
        <v>-0.9089836277</v>
      </c>
      <c r="L2817" s="165">
        <f>IFERROR(__xludf.DUMMYFUNCTION("""COMPUTED_VALUE"""),-0.703384839547024)</f>
        <v>-0.7033848395</v>
      </c>
      <c r="M2817" s="166">
        <f t="shared" si="2"/>
        <v>0.04742303346</v>
      </c>
      <c r="N2817" s="167">
        <f t="shared" si="3"/>
        <v>4.701060606</v>
      </c>
      <c r="O2817" s="163">
        <f t="shared" ref="O2817:Q2817" si="2821">rank(I2817,I:I)</f>
        <v>2765</v>
      </c>
      <c r="P2817" s="163">
        <f t="shared" si="2821"/>
        <v>3157</v>
      </c>
      <c r="Q2817" s="163">
        <f t="shared" si="2821"/>
        <v>2702</v>
      </c>
      <c r="R2817" s="163">
        <f>IFERROR(__xludf.DUMMYFUNCTION("RANK(M2817,filter(M:M,C:C=C2817))"),425.0)</f>
        <v>425</v>
      </c>
      <c r="S2817" s="161" t="b">
        <f t="shared" si="5"/>
        <v>0</v>
      </c>
      <c r="T2817" s="161" t="b">
        <f t="array" ref="T2817">index('Query Tool'!B:B,match(H2817,'Query Tool'!C:C,0))</f>
        <v>1</v>
      </c>
      <c r="U2817" s="161" t="b">
        <f t="array" ref="U2817">index('Query Tool'!B:B,match(C2817,'Query Tool'!C:C,0))</f>
        <v>0</v>
      </c>
      <c r="V2817" s="161" t="b">
        <f>F2817&gt;='Query Tool'!C$32</f>
        <v>0</v>
      </c>
      <c r="W2817" s="161" t="b">
        <f t="array" ref="W2817">index(Dropdowns!B:B,match(I2817,Dropdowns!A:A,0))</f>
        <v>1</v>
      </c>
      <c r="X2817" s="161" t="b">
        <f t="array" ref="X2817">index('Query Tool'!B:B,match(D2817,'Query Tool'!C:C,0))</f>
        <v>1</v>
      </c>
      <c r="Y2817" s="161" t="str">
        <f t="shared" si="6"/>
        <v>richama01,2018-19</v>
      </c>
      <c r="Z2817" s="168" t="str">
        <f t="array" ref="Z2817">iferror(index(I:I,match($A2817&amp;","&amp;index('Year Conversion'!$A:$A,match($C2817,'Year Conversion'!$B:$B,0)),$Y:$Y,0))-I2817,"")</f>
        <v/>
      </c>
      <c r="AA2817" s="168" t="str">
        <f t="array" ref="AA2817">iferror(index(J:J,match($A2817&amp;","&amp;index('Year Conversion'!$A:$A,match($C2817,'Year Conversion'!$B:$B,0)),$Y:$Y,0))-J2817,"")</f>
        <v/>
      </c>
      <c r="AB2817" s="168" t="str">
        <f t="array" ref="AB2817">iferror(index(K:K,match($A2817&amp;","&amp;index('Year Conversion'!$A:$A,match($C2817,'Year Conversion'!$B:$B,0)),$Y:$Y,0))-K2817,"")</f>
        <v/>
      </c>
      <c r="AC2817" s="168" t="str">
        <f t="shared" si="7"/>
        <v>TOR,2018-19</v>
      </c>
    </row>
    <row r="2818">
      <c r="A2818" s="161" t="str">
        <f>IFERROR(__xludf.DUMMYFUNCTION("""COMPUTED_VALUE"""),"seldewa01")</f>
        <v>seldewa01</v>
      </c>
      <c r="B2818" s="161" t="str">
        <f>IFERROR(__xludf.DUMMYFUNCTION("""COMPUTED_VALUE"""),"Wayne Selden")</f>
        <v>Wayne Selden</v>
      </c>
      <c r="C2818" s="162" t="str">
        <f>IFERROR(__xludf.DUMMYFUNCTION("""COMPUTED_VALUE"""),"2018-19")</f>
        <v>2018-19</v>
      </c>
      <c r="D2818" s="163" t="str">
        <f>IFERROR(__xludf.DUMMYFUNCTION("""COMPUTED_VALUE"""),"TOT")</f>
        <v>TOT</v>
      </c>
      <c r="E2818" s="164" t="str">
        <f>IFERROR(__xludf.DUMMYFUNCTION("""COMPUTED_VALUE"""),"Stationary Shooter")</f>
        <v>Stationary Shooter</v>
      </c>
      <c r="F2818" s="164">
        <f>IFERROR(__xludf.DUMMYFUNCTION("""COMPUTED_VALUE"""),1438.58)</f>
        <v>1438.58</v>
      </c>
      <c r="G2818" s="163">
        <f>IFERROR(__xludf.DUMMYFUNCTION("""COMPUTED_VALUE"""),75.0)</f>
        <v>75</v>
      </c>
      <c r="H2818" s="163" t="str">
        <f>IFERROR(__xludf.DUMMYFUNCTION("""COMPUTED_VALUE"""),"SG")</f>
        <v>SG</v>
      </c>
      <c r="I2818" s="163">
        <f>IFERROR(__xludf.DUMMYFUNCTION("""COMPUTED_VALUE"""),24.0)</f>
        <v>24</v>
      </c>
      <c r="J2818" s="165">
        <f>IFERROR(__xludf.DUMMYFUNCTION("""COMPUTED_VALUE"""),-3.06480789686405)</f>
        <v>-3.064807897</v>
      </c>
      <c r="K2818" s="165">
        <f>IFERROR(__xludf.DUMMYFUNCTION("""COMPUTED_VALUE"""),-1.93825737527274)</f>
        <v>-1.938257375</v>
      </c>
      <c r="L2818" s="165">
        <f>IFERROR(__xludf.DUMMYFUNCTION("""COMPUTED_VALUE"""),-1.12655052159131)</f>
        <v>-1.126550522</v>
      </c>
      <c r="M2818" s="166">
        <f t="shared" si="2"/>
        <v>-0.7164823162</v>
      </c>
      <c r="N2818" s="167">
        <f t="shared" si="3"/>
        <v>19.18106667</v>
      </c>
      <c r="O2818" s="163">
        <f t="shared" ref="O2818:Q2818" si="2822">rank(I2818,I:I)</f>
        <v>2361</v>
      </c>
      <c r="P2818" s="163">
        <f t="shared" si="2822"/>
        <v>3899</v>
      </c>
      <c r="Q2818" s="163">
        <f t="shared" si="2822"/>
        <v>3677</v>
      </c>
      <c r="R2818" s="163">
        <f>IFERROR(__xludf.DUMMYFUNCTION("RANK(M2818,filter(M:M,C:C=C2818))"),522.0)</f>
        <v>522</v>
      </c>
      <c r="S2818" s="161" t="b">
        <f t="shared" si="5"/>
        <v>0</v>
      </c>
      <c r="T2818" s="161" t="b">
        <f t="array" ref="T2818">index('Query Tool'!B:B,match(H2818,'Query Tool'!C:C,0))</f>
        <v>1</v>
      </c>
      <c r="U2818" s="161" t="b">
        <f t="array" ref="U2818">index('Query Tool'!B:B,match(C2818,'Query Tool'!C:C,0))</f>
        <v>0</v>
      </c>
      <c r="V2818" s="161" t="b">
        <f>F2818&gt;='Query Tool'!C$32</f>
        <v>1</v>
      </c>
      <c r="W2818" s="161" t="b">
        <f t="array" ref="W2818">index(Dropdowns!B:B,match(I2818,Dropdowns!A:A,0))</f>
        <v>1</v>
      </c>
      <c r="X2818" s="161" t="b">
        <f t="array" ref="X2818">index('Query Tool'!B:B,match(D2818,'Query Tool'!C:C,0))</f>
        <v>1</v>
      </c>
      <c r="Y2818" s="161" t="str">
        <f t="shared" si="6"/>
        <v>seldewa01,2018-19</v>
      </c>
      <c r="Z2818" s="168" t="str">
        <f t="array" ref="Z2818">iferror(index(I:I,match($A2818&amp;","&amp;index('Year Conversion'!$A:$A,match($C2818,'Year Conversion'!$B:$B,0)),$Y:$Y,0))-I2818,"")</f>
        <v/>
      </c>
      <c r="AA2818" s="168" t="str">
        <f t="array" ref="AA2818">iferror(index(J:J,match($A2818&amp;","&amp;index('Year Conversion'!$A:$A,match($C2818,'Year Conversion'!$B:$B,0)),$Y:$Y,0))-J2818,"")</f>
        <v/>
      </c>
      <c r="AB2818" s="168" t="str">
        <f t="array" ref="AB2818">iferror(index(K:K,match($A2818&amp;","&amp;index('Year Conversion'!$A:$A,match($C2818,'Year Conversion'!$B:$B,0)),$Y:$Y,0))-K2818,"")</f>
        <v/>
      </c>
      <c r="AC2818" s="168" t="str">
        <f t="shared" si="7"/>
        <v>TOT,2018-19</v>
      </c>
    </row>
    <row r="2819">
      <c r="A2819" s="161" t="str">
        <f>IFERROR(__xludf.DUMMYFUNCTION("""COMPUTED_VALUE"""),"siakapa01")</f>
        <v>siakapa01</v>
      </c>
      <c r="B2819" s="161" t="str">
        <f>IFERROR(__xludf.DUMMYFUNCTION("""COMPUTED_VALUE"""),"Pascal Siakam")</f>
        <v>Pascal Siakam</v>
      </c>
      <c r="C2819" s="162" t="str">
        <f>IFERROR(__xludf.DUMMYFUNCTION("""COMPUTED_VALUE"""),"2018-19")</f>
        <v>2018-19</v>
      </c>
      <c r="D2819" s="163" t="str">
        <f>IFERROR(__xludf.DUMMYFUNCTION("""COMPUTED_VALUE"""),"TOR")</f>
        <v>TOR</v>
      </c>
      <c r="E2819" s="164" t="str">
        <f>IFERROR(__xludf.DUMMYFUNCTION("""COMPUTED_VALUE"""),"Shot Creator")</f>
        <v>Shot Creator</v>
      </c>
      <c r="F2819" s="164">
        <f>IFERROR(__xludf.DUMMYFUNCTION("""COMPUTED_VALUE"""),2547.63)</f>
        <v>2547.63</v>
      </c>
      <c r="G2819" s="163">
        <f>IFERROR(__xludf.DUMMYFUNCTION("""COMPUTED_VALUE"""),80.0)</f>
        <v>80</v>
      </c>
      <c r="H2819" s="163" t="str">
        <f>IFERROR(__xludf.DUMMYFUNCTION("""COMPUTED_VALUE"""),"PF")</f>
        <v>PF</v>
      </c>
      <c r="I2819" s="163">
        <f>IFERROR(__xludf.DUMMYFUNCTION("""COMPUTED_VALUE"""),24.0)</f>
        <v>24</v>
      </c>
      <c r="J2819" s="165">
        <f>IFERROR(__xludf.DUMMYFUNCTION("""COMPUTED_VALUE"""),2.05200397568652)</f>
        <v>2.052003976</v>
      </c>
      <c r="K2819" s="165">
        <f>IFERROR(__xludf.DUMMYFUNCTION("""COMPUTED_VALUE"""),0.721747613065252)</f>
        <v>0.7217476131</v>
      </c>
      <c r="L2819" s="165">
        <f>IFERROR(__xludf.DUMMYFUNCTION("""COMPUTED_VALUE"""),1.33025636262127)</f>
        <v>1.330256363</v>
      </c>
      <c r="M2819" s="166">
        <f t="shared" si="2"/>
        <v>7.431616975</v>
      </c>
      <c r="N2819" s="167">
        <f t="shared" si="3"/>
        <v>31.845375</v>
      </c>
      <c r="O2819" s="163">
        <f t="shared" ref="O2819:Q2819" si="2823">rank(I2819,I:I)</f>
        <v>2361</v>
      </c>
      <c r="P2819" s="163">
        <f t="shared" si="2823"/>
        <v>305</v>
      </c>
      <c r="Q2819" s="163">
        <f t="shared" si="2823"/>
        <v>637</v>
      </c>
      <c r="R2819" s="163">
        <f>IFERROR(__xludf.DUMMYFUNCTION("RANK(M2819,filter(M:M,C:C=C2819))"),27.0)</f>
        <v>27</v>
      </c>
      <c r="S2819" s="161" t="b">
        <f t="shared" si="5"/>
        <v>0</v>
      </c>
      <c r="T2819" s="161" t="b">
        <f t="array" ref="T2819">index('Query Tool'!B:B,match(H2819,'Query Tool'!C:C,0))</f>
        <v>1</v>
      </c>
      <c r="U2819" s="161" t="b">
        <f t="array" ref="U2819">index('Query Tool'!B:B,match(C2819,'Query Tool'!C:C,0))</f>
        <v>0</v>
      </c>
      <c r="V2819" s="161" t="b">
        <f>F2819&gt;='Query Tool'!C$32</f>
        <v>1</v>
      </c>
      <c r="W2819" s="161" t="b">
        <f t="array" ref="W2819">index(Dropdowns!B:B,match(I2819,Dropdowns!A:A,0))</f>
        <v>1</v>
      </c>
      <c r="X2819" s="161" t="b">
        <f t="array" ref="X2819">index('Query Tool'!B:B,match(D2819,'Query Tool'!C:C,0))</f>
        <v>1</v>
      </c>
      <c r="Y2819" s="161" t="str">
        <f t="shared" si="6"/>
        <v>siakapa01,2018-19</v>
      </c>
      <c r="Z2819" s="168">
        <f t="array" ref="Z2819">iferror(index(I:I,match($A2819&amp;","&amp;index('Year Conversion'!$A:$A,match($C2819,'Year Conversion'!$B:$B,0)),$Y:$Y,0))-I2819,"")</f>
        <v>1</v>
      </c>
      <c r="AA2819" s="168">
        <f t="array" ref="AA2819">iferror(index(J:J,match($A2819&amp;","&amp;index('Year Conversion'!$A:$A,match($C2819,'Year Conversion'!$B:$B,0)),$Y:$Y,0))-J2819,"")</f>
        <v>-0.8396612468</v>
      </c>
      <c r="AB2819" s="168">
        <f t="array" ref="AB2819">iferror(index(K:K,match($A2819&amp;","&amp;index('Year Conversion'!$A:$A,match($C2819,'Year Conversion'!$B:$B,0)),$Y:$Y,0))-K2819,"")</f>
        <v>-0.3740757007</v>
      </c>
      <c r="AC2819" s="168" t="str">
        <f t="shared" si="7"/>
        <v>TOR,2018-19</v>
      </c>
    </row>
    <row r="2820">
      <c r="A2820" s="161" t="str">
        <f>IFERROR(__xludf.DUMMYFUNCTION("""COMPUTED_VALUE"""),"willitr02")</f>
        <v>willitr02</v>
      </c>
      <c r="B2820" s="161" t="str">
        <f>IFERROR(__xludf.DUMMYFUNCTION("""COMPUTED_VALUE"""),"Troy Williams")</f>
        <v>Troy Williams</v>
      </c>
      <c r="C2820" s="162" t="str">
        <f>IFERROR(__xludf.DUMMYFUNCTION("""COMPUTED_VALUE"""),"2018-19")</f>
        <v>2018-19</v>
      </c>
      <c r="D2820" s="163" t="str">
        <f>IFERROR(__xludf.DUMMYFUNCTION("""COMPUTED_VALUE"""),"SAC")</f>
        <v>SAC</v>
      </c>
      <c r="E2820" s="164" t="str">
        <f>IFERROR(__xludf.DUMMYFUNCTION("""COMPUTED_VALUE"""),"Movement Shooter")</f>
        <v>Movement Shooter</v>
      </c>
      <c r="F2820" s="164">
        <f>IFERROR(__xludf.DUMMYFUNCTION("""COMPUTED_VALUE"""),311.971666666666)</f>
        <v>311.9716667</v>
      </c>
      <c r="G2820" s="163">
        <f>IFERROR(__xludf.DUMMYFUNCTION("""COMPUTED_VALUE"""),21.0)</f>
        <v>21</v>
      </c>
      <c r="H2820" s="163" t="str">
        <f>IFERROR(__xludf.DUMMYFUNCTION("""COMPUTED_VALUE"""),"SF")</f>
        <v>SF</v>
      </c>
      <c r="I2820" s="163">
        <f>IFERROR(__xludf.DUMMYFUNCTION("""COMPUTED_VALUE"""),24.0)</f>
        <v>24</v>
      </c>
      <c r="J2820" s="165">
        <f>IFERROR(__xludf.DUMMYFUNCTION("""COMPUTED_VALUE"""),-1.66001657826995)</f>
        <v>-1.660016578</v>
      </c>
      <c r="K2820" s="165">
        <f>IFERROR(__xludf.DUMMYFUNCTION("""COMPUTED_VALUE"""),-1.49987978881296)</f>
        <v>-1.499879789</v>
      </c>
      <c r="L2820" s="165">
        <f>IFERROR(__xludf.DUMMYFUNCTION("""COMPUTED_VALUE"""),-0.160136789456983)</f>
        <v>-0.1601367895</v>
      </c>
      <c r="M2820" s="166">
        <f t="shared" si="2"/>
        <v>0.1331386293</v>
      </c>
      <c r="N2820" s="167">
        <f t="shared" si="3"/>
        <v>14.85579365</v>
      </c>
      <c r="O2820" s="163">
        <f t="shared" ref="O2820:Q2820" si="2824">rank(I2820,I:I)</f>
        <v>2361</v>
      </c>
      <c r="P2820" s="163">
        <f t="shared" si="2824"/>
        <v>3203</v>
      </c>
      <c r="Q2820" s="163">
        <f t="shared" si="2824"/>
        <v>3352</v>
      </c>
      <c r="R2820" s="163">
        <f>IFERROR(__xludf.DUMMYFUNCTION("RANK(M2820,filter(M:M,C:C=C2820))"),374.0)</f>
        <v>374</v>
      </c>
      <c r="S2820" s="161" t="b">
        <f t="shared" si="5"/>
        <v>0</v>
      </c>
      <c r="T2820" s="161" t="b">
        <f t="array" ref="T2820">index('Query Tool'!B:B,match(H2820,'Query Tool'!C:C,0))</f>
        <v>1</v>
      </c>
      <c r="U2820" s="161" t="b">
        <f t="array" ref="U2820">index('Query Tool'!B:B,match(C2820,'Query Tool'!C:C,0))</f>
        <v>0</v>
      </c>
      <c r="V2820" s="161" t="b">
        <f>F2820&gt;='Query Tool'!C$32</f>
        <v>0</v>
      </c>
      <c r="W2820" s="161" t="b">
        <f t="array" ref="W2820">index(Dropdowns!B:B,match(I2820,Dropdowns!A:A,0))</f>
        <v>1</v>
      </c>
      <c r="X2820" s="161" t="b">
        <f t="array" ref="X2820">index('Query Tool'!B:B,match(D2820,'Query Tool'!C:C,0))</f>
        <v>1</v>
      </c>
      <c r="Y2820" s="161" t="str">
        <f t="shared" si="6"/>
        <v>willitr02,2018-19</v>
      </c>
      <c r="Z2820" s="168" t="str">
        <f t="array" ref="Z2820">iferror(index(I:I,match($A2820&amp;","&amp;index('Year Conversion'!$A:$A,match($C2820,'Year Conversion'!$B:$B,0)),$Y:$Y,0))-I2820,"")</f>
        <v/>
      </c>
      <c r="AA2820" s="168" t="str">
        <f t="array" ref="AA2820">iferror(index(J:J,match($A2820&amp;","&amp;index('Year Conversion'!$A:$A,match($C2820,'Year Conversion'!$B:$B,0)),$Y:$Y,0))-J2820,"")</f>
        <v/>
      </c>
      <c r="AB2820" s="168" t="str">
        <f t="array" ref="AB2820">iferror(index(K:K,match($A2820&amp;","&amp;index('Year Conversion'!$A:$A,match($C2820,'Year Conversion'!$B:$B,0)),$Y:$Y,0))-K2820,"")</f>
        <v/>
      </c>
      <c r="AC2820" s="168" t="str">
        <f t="shared" si="7"/>
        <v>SAC,2018-19</v>
      </c>
    </row>
    <row r="2821">
      <c r="A2821" s="161" t="str">
        <f>IFERROR(__xludf.DUMMYFUNCTION("""COMPUTED_VALUE"""),"korkmfu01")</f>
        <v>korkmfu01</v>
      </c>
      <c r="B2821" s="161" t="str">
        <f>IFERROR(__xludf.DUMMYFUNCTION("""COMPUTED_VALUE"""),"Furkan Korkmaz")</f>
        <v>Furkan Korkmaz</v>
      </c>
      <c r="C2821" s="162" t="str">
        <f>IFERROR(__xludf.DUMMYFUNCTION("""COMPUTED_VALUE"""),"2018-19")</f>
        <v>2018-19</v>
      </c>
      <c r="D2821" s="163" t="str">
        <f>IFERROR(__xludf.DUMMYFUNCTION("""COMPUTED_VALUE"""),"PHI")</f>
        <v>PHI</v>
      </c>
      <c r="E2821" s="164" t="str">
        <f>IFERROR(__xludf.DUMMYFUNCTION("""COMPUTED_VALUE"""),"Movement Shooter")</f>
        <v>Movement Shooter</v>
      </c>
      <c r="F2821" s="164">
        <f>IFERROR(__xludf.DUMMYFUNCTION("""COMPUTED_VALUE"""),679.231666666667)</f>
        <v>679.2316667</v>
      </c>
      <c r="G2821" s="163">
        <f>IFERROR(__xludf.DUMMYFUNCTION("""COMPUTED_VALUE"""),48.0)</f>
        <v>48</v>
      </c>
      <c r="H2821" s="163" t="str">
        <f>IFERROR(__xludf.DUMMYFUNCTION("""COMPUTED_VALUE"""),"SG")</f>
        <v>SG</v>
      </c>
      <c r="I2821" s="163">
        <f>IFERROR(__xludf.DUMMYFUNCTION("""COMPUTED_VALUE"""),21.0)</f>
        <v>21</v>
      </c>
      <c r="J2821" s="165">
        <f>IFERROR(__xludf.DUMMYFUNCTION("""COMPUTED_VALUE"""),-0.168913234251598)</f>
        <v>-0.1689132343</v>
      </c>
      <c r="K2821" s="165">
        <f>IFERROR(__xludf.DUMMYFUNCTION("""COMPUTED_VALUE"""),0.190770809381481)</f>
        <v>0.1907708094</v>
      </c>
      <c r="L2821" s="165">
        <f>IFERROR(__xludf.DUMMYFUNCTION("""COMPUTED_VALUE"""),-0.359684043633078)</f>
        <v>-0.3596840436</v>
      </c>
      <c r="M2821" s="166">
        <f t="shared" si="2"/>
        <v>0.9698012668</v>
      </c>
      <c r="N2821" s="167">
        <f t="shared" si="3"/>
        <v>14.15065972</v>
      </c>
      <c r="O2821" s="163">
        <f t="shared" ref="O2821:Q2821" si="2825">rank(I2821,I:I)</f>
        <v>3528</v>
      </c>
      <c r="P2821" s="163">
        <f t="shared" si="2825"/>
        <v>1467</v>
      </c>
      <c r="Q2821" s="163">
        <f t="shared" si="2825"/>
        <v>990</v>
      </c>
      <c r="R2821" s="163">
        <f>IFERROR(__xludf.DUMMYFUNCTION("RANK(M2821,filter(M:M,C:C=C2821))"),228.0)</f>
        <v>228</v>
      </c>
      <c r="S2821" s="161" t="b">
        <f t="shared" si="5"/>
        <v>0</v>
      </c>
      <c r="T2821" s="161" t="b">
        <f t="array" ref="T2821">index('Query Tool'!B:B,match(H2821,'Query Tool'!C:C,0))</f>
        <v>1</v>
      </c>
      <c r="U2821" s="161" t="b">
        <f t="array" ref="U2821">index('Query Tool'!B:B,match(C2821,'Query Tool'!C:C,0))</f>
        <v>0</v>
      </c>
      <c r="V2821" s="161" t="b">
        <f>F2821&gt;='Query Tool'!C$32</f>
        <v>1</v>
      </c>
      <c r="W2821" s="161" t="b">
        <f t="array" ref="W2821">index(Dropdowns!B:B,match(I2821,Dropdowns!A:A,0))</f>
        <v>1</v>
      </c>
      <c r="X2821" s="161" t="b">
        <f t="array" ref="X2821">index('Query Tool'!B:B,match(D2821,'Query Tool'!C:C,0))</f>
        <v>1</v>
      </c>
      <c r="Y2821" s="161" t="str">
        <f t="shared" si="6"/>
        <v>korkmfu01,2018-19</v>
      </c>
      <c r="Z2821" s="168">
        <f t="array" ref="Z2821">iferror(index(I:I,match($A2821&amp;","&amp;index('Year Conversion'!$A:$A,match($C2821,'Year Conversion'!$B:$B,0)),$Y:$Y,0))-I2821,"")</f>
        <v>1</v>
      </c>
      <c r="AA2821" s="168">
        <f t="array" ref="AA2821">iferror(index(J:J,match($A2821&amp;","&amp;index('Year Conversion'!$A:$A,match($C2821,'Year Conversion'!$B:$B,0)),$Y:$Y,0))-J2821,"")</f>
        <v>-1.452594225</v>
      </c>
      <c r="AB2821" s="168">
        <f t="array" ref="AB2821">iferror(index(K:K,match($A2821&amp;","&amp;index('Year Conversion'!$A:$A,match($C2821,'Year Conversion'!$B:$B,0)),$Y:$Y,0))-K2821,"")</f>
        <v>-0.7682133705</v>
      </c>
      <c r="AC2821" s="168" t="str">
        <f t="shared" si="7"/>
        <v>PHI,2018-19</v>
      </c>
    </row>
    <row r="2822">
      <c r="A2822" s="161" t="str">
        <f>IFERROR(__xludf.DUMMYFUNCTION("""COMPUTED_VALUE"""),"luwawti01")</f>
        <v>luwawti01</v>
      </c>
      <c r="B2822" s="161" t="str">
        <f>IFERROR(__xludf.DUMMYFUNCTION("""COMPUTED_VALUE"""),"Timothe Luwawu-Cabarrot")</f>
        <v>Timothe Luwawu-Cabarrot</v>
      </c>
      <c r="C2822" s="162" t="str">
        <f>IFERROR(__xludf.DUMMYFUNCTION("""COMPUTED_VALUE"""),"2018-19")</f>
        <v>2018-19</v>
      </c>
      <c r="D2822" s="163" t="str">
        <f>IFERROR(__xludf.DUMMYFUNCTION("""COMPUTED_VALUE"""),"TOT")</f>
        <v>TOT</v>
      </c>
      <c r="E2822" s="164" t="str">
        <f>IFERROR(__xludf.DUMMYFUNCTION("""COMPUTED_VALUE"""),"Stationary Shooter")</f>
        <v>Stationary Shooter</v>
      </c>
      <c r="F2822" s="164">
        <f>IFERROR(__xludf.DUMMYFUNCTION("""COMPUTED_VALUE"""),669.29)</f>
        <v>669.29</v>
      </c>
      <c r="G2822" s="163">
        <f>IFERROR(__xludf.DUMMYFUNCTION("""COMPUTED_VALUE"""),50.0)</f>
        <v>50</v>
      </c>
      <c r="H2822" s="163" t="str">
        <f>IFERROR(__xludf.DUMMYFUNCTION("""COMPUTED_VALUE"""),"SF")</f>
        <v>SF</v>
      </c>
      <c r="I2822" s="163">
        <f>IFERROR(__xludf.DUMMYFUNCTION("""COMPUTED_VALUE"""),23.0)</f>
        <v>23</v>
      </c>
      <c r="J2822" s="165">
        <f>IFERROR(__xludf.DUMMYFUNCTION("""COMPUTED_VALUE"""),-2.05701223782686)</f>
        <v>-2.057012238</v>
      </c>
      <c r="K2822" s="165">
        <f>IFERROR(__xludf.DUMMYFUNCTION("""COMPUTED_VALUE"""),-1.7193111868882)</f>
        <v>-1.719311187</v>
      </c>
      <c r="L2822" s="165">
        <f>IFERROR(__xludf.DUMMYFUNCTION("""COMPUTED_VALUE"""),-0.337701050938658)</f>
        <v>-0.3377010509</v>
      </c>
      <c r="M2822" s="166">
        <f t="shared" si="2"/>
        <v>0.1090573019</v>
      </c>
      <c r="N2822" s="167">
        <f t="shared" si="3"/>
        <v>13.3858</v>
      </c>
      <c r="O2822" s="163">
        <f t="shared" ref="O2822:Q2822" si="2826">rank(I2822,I:I)</f>
        <v>2765</v>
      </c>
      <c r="P2822" s="163">
        <f t="shared" si="2826"/>
        <v>3523</v>
      </c>
      <c r="Q2822" s="163">
        <f t="shared" si="2826"/>
        <v>3531</v>
      </c>
      <c r="R2822" s="163">
        <f>IFERROR(__xludf.DUMMYFUNCTION("RANK(M2822,filter(M:M,C:C=C2822))"),386.0)</f>
        <v>386</v>
      </c>
      <c r="S2822" s="161" t="b">
        <f t="shared" si="5"/>
        <v>0</v>
      </c>
      <c r="T2822" s="161" t="b">
        <f t="array" ref="T2822">index('Query Tool'!B:B,match(H2822,'Query Tool'!C:C,0))</f>
        <v>1</v>
      </c>
      <c r="U2822" s="161" t="b">
        <f t="array" ref="U2822">index('Query Tool'!B:B,match(C2822,'Query Tool'!C:C,0))</f>
        <v>0</v>
      </c>
      <c r="V2822" s="161" t="b">
        <f>F2822&gt;='Query Tool'!C$32</f>
        <v>1</v>
      </c>
      <c r="W2822" s="161" t="b">
        <f t="array" ref="W2822">index(Dropdowns!B:B,match(I2822,Dropdowns!A:A,0))</f>
        <v>1</v>
      </c>
      <c r="X2822" s="161" t="b">
        <f t="array" ref="X2822">index('Query Tool'!B:B,match(D2822,'Query Tool'!C:C,0))</f>
        <v>1</v>
      </c>
      <c r="Y2822" s="161" t="str">
        <f t="shared" si="6"/>
        <v>luwawti01,2018-19</v>
      </c>
      <c r="Z2822" s="168">
        <f t="array" ref="Z2822">iferror(index(I:I,match($A2822&amp;","&amp;index('Year Conversion'!$A:$A,match($C2822,'Year Conversion'!$B:$B,0)),$Y:$Y,0))-I2822,"")</f>
        <v>1</v>
      </c>
      <c r="AA2822" s="168">
        <f t="array" ref="AA2822">iferror(index(J:J,match($A2822&amp;","&amp;index('Year Conversion'!$A:$A,match($C2822,'Year Conversion'!$B:$B,0)),$Y:$Y,0))-J2822,"")</f>
        <v>0.2363688627</v>
      </c>
      <c r="AB2822" s="168">
        <f t="array" ref="AB2822">iferror(index(K:K,match($A2822&amp;","&amp;index('Year Conversion'!$A:$A,match($C2822,'Year Conversion'!$B:$B,0)),$Y:$Y,0))-K2822,"")</f>
        <v>0.2141719805</v>
      </c>
      <c r="AC2822" s="168" t="str">
        <f t="shared" si="7"/>
        <v>TOT,2018-19</v>
      </c>
    </row>
    <row r="2823">
      <c r="A2823" s="161" t="str">
        <f>IFERROR(__xludf.DUMMYFUNCTION("""COMPUTED_VALUE"""),"zizican01")</f>
        <v>zizican01</v>
      </c>
      <c r="B2823" s="161" t="str">
        <f>IFERROR(__xludf.DUMMYFUNCTION("""COMPUTED_VALUE"""),"Ante Zizic")</f>
        <v>Ante Zizic</v>
      </c>
      <c r="C2823" s="162" t="str">
        <f>IFERROR(__xludf.DUMMYFUNCTION("""COMPUTED_VALUE"""),"2018-19")</f>
        <v>2018-19</v>
      </c>
      <c r="D2823" s="163" t="str">
        <f>IFERROR(__xludf.DUMMYFUNCTION("""COMPUTED_VALUE"""),"CLE")</f>
        <v>CLE</v>
      </c>
      <c r="E2823" s="164" t="str">
        <f>IFERROR(__xludf.DUMMYFUNCTION("""COMPUTED_VALUE"""),"Post Scorer")</f>
        <v>Post Scorer</v>
      </c>
      <c r="F2823" s="164">
        <f>IFERROR(__xludf.DUMMYFUNCTION("""COMPUTED_VALUE"""),1081.96833333333)</f>
        <v>1081.968333</v>
      </c>
      <c r="G2823" s="163">
        <f>IFERROR(__xludf.DUMMYFUNCTION("""COMPUTED_VALUE"""),59.0)</f>
        <v>59</v>
      </c>
      <c r="H2823" s="163" t="str">
        <f>IFERROR(__xludf.DUMMYFUNCTION("""COMPUTED_VALUE"""),"C")</f>
        <v>C</v>
      </c>
      <c r="I2823" s="163">
        <f>IFERROR(__xludf.DUMMYFUNCTION("""COMPUTED_VALUE"""),22.0)</f>
        <v>22</v>
      </c>
      <c r="J2823" s="165">
        <f>IFERROR(__xludf.DUMMYFUNCTION("""COMPUTED_VALUE"""),-1.25090383657218)</f>
        <v>-1.250903837</v>
      </c>
      <c r="K2823" s="165">
        <f>IFERROR(__xludf.DUMMYFUNCTION("""COMPUTED_VALUE"""),-1.54319565398845)</f>
        <v>-1.543195654</v>
      </c>
      <c r="L2823" s="165">
        <f>IFERROR(__xludf.DUMMYFUNCTION("""COMPUTED_VALUE"""),0.29229181741627)</f>
        <v>0.2922918174</v>
      </c>
      <c r="M2823" s="166">
        <f t="shared" si="2"/>
        <v>0.7575384965</v>
      </c>
      <c r="N2823" s="167">
        <f t="shared" si="3"/>
        <v>18.33844633</v>
      </c>
      <c r="O2823" s="163">
        <f t="shared" ref="O2823:Q2823" si="2827">rank(I2823,I:I)</f>
        <v>3178</v>
      </c>
      <c r="P2823" s="163">
        <f t="shared" si="2827"/>
        <v>2817</v>
      </c>
      <c r="Q2823" s="163">
        <f t="shared" si="2827"/>
        <v>3399</v>
      </c>
      <c r="R2823" s="163">
        <f>IFERROR(__xludf.DUMMYFUNCTION("RANK(M2823,filter(M:M,C:C=C2823))"),250.0)</f>
        <v>250</v>
      </c>
      <c r="S2823" s="161" t="b">
        <f t="shared" si="5"/>
        <v>0</v>
      </c>
      <c r="T2823" s="161" t="b">
        <f t="array" ref="T2823">index('Query Tool'!B:B,match(H2823,'Query Tool'!C:C,0))</f>
        <v>1</v>
      </c>
      <c r="U2823" s="161" t="b">
        <f t="array" ref="U2823">index('Query Tool'!B:B,match(C2823,'Query Tool'!C:C,0))</f>
        <v>0</v>
      </c>
      <c r="V2823" s="161" t="b">
        <f>F2823&gt;='Query Tool'!C$32</f>
        <v>1</v>
      </c>
      <c r="W2823" s="161" t="b">
        <f t="array" ref="W2823">index(Dropdowns!B:B,match(I2823,Dropdowns!A:A,0))</f>
        <v>1</v>
      </c>
      <c r="X2823" s="161" t="b">
        <f t="array" ref="X2823">index('Query Tool'!B:B,match(D2823,'Query Tool'!C:C,0))</f>
        <v>1</v>
      </c>
      <c r="Y2823" s="161" t="str">
        <f t="shared" si="6"/>
        <v>zizican01,2018-19</v>
      </c>
      <c r="Z2823" s="168">
        <f t="array" ref="Z2823">iferror(index(I:I,match($A2823&amp;","&amp;index('Year Conversion'!$A:$A,match($C2823,'Year Conversion'!$B:$B,0)),$Y:$Y,0))-I2823,"")</f>
        <v>1</v>
      </c>
      <c r="AA2823" s="168">
        <f t="array" ref="AA2823">iferror(index(J:J,match($A2823&amp;","&amp;index('Year Conversion'!$A:$A,match($C2823,'Year Conversion'!$B:$B,0)),$Y:$Y,0))-J2823,"")</f>
        <v>1.552666398</v>
      </c>
      <c r="AB2823" s="168">
        <f t="array" ref="AB2823">iferror(index(K:K,match($A2823&amp;","&amp;index('Year Conversion'!$A:$A,match($C2823,'Year Conversion'!$B:$B,0)),$Y:$Y,0))-K2823,"")</f>
        <v>1.410888255</v>
      </c>
      <c r="AC2823" s="168" t="str">
        <f t="shared" si="7"/>
        <v>CLE,2018-19</v>
      </c>
    </row>
    <row r="2824">
      <c r="A2824" s="161" t="str">
        <f>IFERROR(__xludf.DUMMYFUNCTION("""COMPUTED_VALUE"""),"ferreyo01")</f>
        <v>ferreyo01</v>
      </c>
      <c r="B2824" s="161" t="str">
        <f>IFERROR(__xludf.DUMMYFUNCTION("""COMPUTED_VALUE"""),"Yogi Ferrell")</f>
        <v>Yogi Ferrell</v>
      </c>
      <c r="C2824" s="162" t="str">
        <f>IFERROR(__xludf.DUMMYFUNCTION("""COMPUTED_VALUE"""),"2018-19")</f>
        <v>2018-19</v>
      </c>
      <c r="D2824" s="163" t="str">
        <f>IFERROR(__xludf.DUMMYFUNCTION("""COMPUTED_VALUE"""),"SAC")</f>
        <v>SAC</v>
      </c>
      <c r="E2824" s="164" t="str">
        <f>IFERROR(__xludf.DUMMYFUNCTION("""COMPUTED_VALUE"""),"Secondary Ball Handler")</f>
        <v>Secondary Ball Handler</v>
      </c>
      <c r="F2824" s="164">
        <f>IFERROR(__xludf.DUMMYFUNCTION("""COMPUTED_VALUE"""),1066.64833333333)</f>
        <v>1066.648333</v>
      </c>
      <c r="G2824" s="163">
        <f>IFERROR(__xludf.DUMMYFUNCTION("""COMPUTED_VALUE"""),71.0)</f>
        <v>71</v>
      </c>
      <c r="H2824" s="163" t="str">
        <f>IFERROR(__xludf.DUMMYFUNCTION("""COMPUTED_VALUE"""),"PG")</f>
        <v>PG</v>
      </c>
      <c r="I2824" s="163">
        <f>IFERROR(__xludf.DUMMYFUNCTION("""COMPUTED_VALUE"""),25.0)</f>
        <v>25</v>
      </c>
      <c r="J2824" s="165">
        <f>IFERROR(__xludf.DUMMYFUNCTION("""COMPUTED_VALUE"""),-0.629367498097975)</f>
        <v>-0.6293674981</v>
      </c>
      <c r="K2824" s="165">
        <f>IFERROR(__xludf.DUMMYFUNCTION("""COMPUTED_VALUE"""),-0.0355143022880018)</f>
        <v>-0.03551430229</v>
      </c>
      <c r="L2824" s="165">
        <f>IFERROR(__xludf.DUMMYFUNCTION("""COMPUTED_VALUE"""),-0.593853195809973)</f>
        <v>-0.5938531958</v>
      </c>
      <c r="M2824" s="166">
        <f t="shared" si="2"/>
        <v>1.192072138</v>
      </c>
      <c r="N2824" s="167">
        <f t="shared" si="3"/>
        <v>15.02321596</v>
      </c>
      <c r="O2824" s="163">
        <f t="shared" ref="O2824:Q2824" si="2828">rank(I2824,I:I)</f>
        <v>1995</v>
      </c>
      <c r="P2824" s="163">
        <f t="shared" si="2828"/>
        <v>2033</v>
      </c>
      <c r="Q2824" s="163">
        <f t="shared" si="2828"/>
        <v>1246</v>
      </c>
      <c r="R2824" s="163">
        <f>IFERROR(__xludf.DUMMYFUNCTION("RANK(M2824,filter(M:M,C:C=C2824))"),209.0)</f>
        <v>209</v>
      </c>
      <c r="S2824" s="161" t="b">
        <f t="shared" si="5"/>
        <v>0</v>
      </c>
      <c r="T2824" s="161" t="b">
        <f t="array" ref="T2824">index('Query Tool'!B:B,match(H2824,'Query Tool'!C:C,0))</f>
        <v>1</v>
      </c>
      <c r="U2824" s="161" t="b">
        <f t="array" ref="U2824">index('Query Tool'!B:B,match(C2824,'Query Tool'!C:C,0))</f>
        <v>0</v>
      </c>
      <c r="V2824" s="161" t="b">
        <f>F2824&gt;='Query Tool'!C$32</f>
        <v>1</v>
      </c>
      <c r="W2824" s="161" t="b">
        <f t="array" ref="W2824">index(Dropdowns!B:B,match(I2824,Dropdowns!A:A,0))</f>
        <v>1</v>
      </c>
      <c r="X2824" s="161" t="b">
        <f t="array" ref="X2824">index('Query Tool'!B:B,match(D2824,'Query Tool'!C:C,0))</f>
        <v>1</v>
      </c>
      <c r="Y2824" s="161" t="str">
        <f t="shared" si="6"/>
        <v>ferreyo01,2018-19</v>
      </c>
      <c r="Z2824" s="168">
        <f t="array" ref="Z2824">iferror(index(I:I,match($A2824&amp;","&amp;index('Year Conversion'!$A:$A,match($C2824,'Year Conversion'!$B:$B,0)),$Y:$Y,0))-I2824,"")</f>
        <v>1</v>
      </c>
      <c r="AA2824" s="168">
        <f t="array" ref="AA2824">iferror(index(J:J,match($A2824&amp;","&amp;index('Year Conversion'!$A:$A,match($C2824,'Year Conversion'!$B:$B,0)),$Y:$Y,0))-J2824,"")</f>
        <v>0.3969804458</v>
      </c>
      <c r="AB2824" s="168">
        <f t="array" ref="AB2824">iferror(index(K:K,match($A2824&amp;","&amp;index('Year Conversion'!$A:$A,match($C2824,'Year Conversion'!$B:$B,0)),$Y:$Y,0))-K2824,"")</f>
        <v>-0.03352228108</v>
      </c>
      <c r="AC2824" s="168" t="str">
        <f t="shared" si="7"/>
        <v>SAC,2018-19</v>
      </c>
    </row>
    <row r="2825">
      <c r="A2825" s="161" t="str">
        <f>IFERROR(__xludf.DUMMYFUNCTION("""COMPUTED_VALUE"""),"leeda03")</f>
        <v>leeda03</v>
      </c>
      <c r="B2825" s="161" t="str">
        <f>IFERROR(__xludf.DUMMYFUNCTION("""COMPUTED_VALUE"""),"Damion Lee")</f>
        <v>Damion Lee</v>
      </c>
      <c r="C2825" s="162" t="str">
        <f>IFERROR(__xludf.DUMMYFUNCTION("""COMPUTED_VALUE"""),"2018-19")</f>
        <v>2018-19</v>
      </c>
      <c r="D2825" s="163" t="str">
        <f>IFERROR(__xludf.DUMMYFUNCTION("""COMPUTED_VALUE"""),"GSW")</f>
        <v>GSW</v>
      </c>
      <c r="E2825" s="164" t="str">
        <f>IFERROR(__xludf.DUMMYFUNCTION("""COMPUTED_VALUE"""),"Off Screen Shooter")</f>
        <v>Off Screen Shooter</v>
      </c>
      <c r="F2825" s="164">
        <f>IFERROR(__xludf.DUMMYFUNCTION("""COMPUTED_VALUE"""),375.188333333333)</f>
        <v>375.1883333</v>
      </c>
      <c r="G2825" s="163">
        <f>IFERROR(__xludf.DUMMYFUNCTION("""COMPUTED_VALUE"""),32.0)</f>
        <v>32</v>
      </c>
      <c r="H2825" s="163" t="str">
        <f>IFERROR(__xludf.DUMMYFUNCTION("""COMPUTED_VALUE"""),"SG")</f>
        <v>SG</v>
      </c>
      <c r="I2825" s="163">
        <f>IFERROR(__xludf.DUMMYFUNCTION("""COMPUTED_VALUE"""),26.0)</f>
        <v>26</v>
      </c>
      <c r="J2825" s="165">
        <f>IFERROR(__xludf.DUMMYFUNCTION("""COMPUTED_VALUE"""),-1.83537579153828)</f>
        <v>-1.835375792</v>
      </c>
      <c r="K2825" s="165">
        <f>IFERROR(__xludf.DUMMYFUNCTION("""COMPUTED_VALUE"""),-0.818666029321922)</f>
        <v>-0.8186660293</v>
      </c>
      <c r="L2825" s="165">
        <f>IFERROR(__xludf.DUMMYFUNCTION("""COMPUTED_VALUE"""),-1.01670976221635)</f>
        <v>-1.016709762</v>
      </c>
      <c r="M2825" s="166">
        <f t="shared" si="2"/>
        <v>0.1163208532</v>
      </c>
      <c r="N2825" s="167">
        <f t="shared" si="3"/>
        <v>11.72463542</v>
      </c>
      <c r="O2825" s="163">
        <f t="shared" ref="O2825:Q2825" si="2829">rank(I2825,I:I)</f>
        <v>1665</v>
      </c>
      <c r="P2825" s="163">
        <f t="shared" si="2829"/>
        <v>3369</v>
      </c>
      <c r="Q2825" s="163">
        <f t="shared" si="2829"/>
        <v>2576</v>
      </c>
      <c r="R2825" s="163">
        <f>IFERROR(__xludf.DUMMYFUNCTION("RANK(M2825,filter(M:M,C:C=C2825))"),383.0)</f>
        <v>383</v>
      </c>
      <c r="S2825" s="161" t="b">
        <f t="shared" si="5"/>
        <v>0</v>
      </c>
      <c r="T2825" s="161" t="b">
        <f t="array" ref="T2825">index('Query Tool'!B:B,match(H2825,'Query Tool'!C:C,0))</f>
        <v>1</v>
      </c>
      <c r="U2825" s="161" t="b">
        <f t="array" ref="U2825">index('Query Tool'!B:B,match(C2825,'Query Tool'!C:C,0))</f>
        <v>0</v>
      </c>
      <c r="V2825" s="161" t="b">
        <f>F2825&gt;='Query Tool'!C$32</f>
        <v>0</v>
      </c>
      <c r="W2825" s="161" t="b">
        <f t="array" ref="W2825">index(Dropdowns!B:B,match(I2825,Dropdowns!A:A,0))</f>
        <v>1</v>
      </c>
      <c r="X2825" s="161" t="b">
        <f t="array" ref="X2825">index('Query Tool'!B:B,match(D2825,'Query Tool'!C:C,0))</f>
        <v>1</v>
      </c>
      <c r="Y2825" s="161" t="str">
        <f t="shared" si="6"/>
        <v>leeda03,2018-19</v>
      </c>
      <c r="Z2825" s="168">
        <f t="array" ref="Z2825">iferror(index(I:I,match($A2825&amp;","&amp;index('Year Conversion'!$A:$A,match($C2825,'Year Conversion'!$B:$B,0)),$Y:$Y,0))-I2825,"")</f>
        <v>1</v>
      </c>
      <c r="AA2825" s="168">
        <f t="array" ref="AA2825">iferror(index(J:J,match($A2825&amp;","&amp;index('Year Conversion'!$A:$A,match($C2825,'Year Conversion'!$B:$B,0)),$Y:$Y,0))-J2825,"")</f>
        <v>2.169590929</v>
      </c>
      <c r="AB2825" s="168">
        <f t="array" ref="AB2825">iferror(index(K:K,match($A2825&amp;","&amp;index('Year Conversion'!$A:$A,match($C2825,'Year Conversion'!$B:$B,0)),$Y:$Y,0))-K2825,"")</f>
        <v>0.4341642904</v>
      </c>
      <c r="AC2825" s="168" t="str">
        <f t="shared" si="7"/>
        <v>GSW,2018-19</v>
      </c>
    </row>
    <row r="2826">
      <c r="A2826" s="161" t="str">
        <f>IFERROR(__xludf.DUMMYFUNCTION("""COMPUTED_VALUE"""),"poythal01")</f>
        <v>poythal01</v>
      </c>
      <c r="B2826" s="161" t="str">
        <f>IFERROR(__xludf.DUMMYFUNCTION("""COMPUTED_VALUE"""),"Alex Poythress")</f>
        <v>Alex Poythress</v>
      </c>
      <c r="C2826" s="162" t="str">
        <f>IFERROR(__xludf.DUMMYFUNCTION("""COMPUTED_VALUE"""),"2018-19")</f>
        <v>2018-19</v>
      </c>
      <c r="D2826" s="163" t="str">
        <f>IFERROR(__xludf.DUMMYFUNCTION("""COMPUTED_VALUE"""),"ATL")</f>
        <v>ATL</v>
      </c>
      <c r="E2826" s="164" t="str">
        <f>IFERROR(__xludf.DUMMYFUNCTION("""COMPUTED_VALUE"""),"Stretch Big")</f>
        <v>Stretch Big</v>
      </c>
      <c r="F2826" s="164">
        <f>IFERROR(__xludf.DUMMYFUNCTION("""COMPUTED_VALUE"""),304.9)</f>
        <v>304.9</v>
      </c>
      <c r="G2826" s="163">
        <f>IFERROR(__xludf.DUMMYFUNCTION("""COMPUTED_VALUE"""),21.0)</f>
        <v>21</v>
      </c>
      <c r="H2826" s="163" t="str">
        <f>IFERROR(__xludf.DUMMYFUNCTION("""COMPUTED_VALUE"""),"PF")</f>
        <v>PF</v>
      </c>
      <c r="I2826" s="163">
        <f>IFERROR(__xludf.DUMMYFUNCTION("""COMPUTED_VALUE"""),25.0)</f>
        <v>25</v>
      </c>
      <c r="J2826" s="165">
        <f>IFERROR(__xludf.DUMMYFUNCTION("""COMPUTED_VALUE"""),-1.54157492160567)</f>
        <v>-1.541574922</v>
      </c>
      <c r="K2826" s="165">
        <f>IFERROR(__xludf.DUMMYFUNCTION("""COMPUTED_VALUE"""),-1.73645100514575)</f>
        <v>-1.736451005</v>
      </c>
      <c r="L2826" s="165">
        <f>IFERROR(__xludf.DUMMYFUNCTION("""COMPUTED_VALUE"""),0.19487608354008)</f>
        <v>0.1948760835</v>
      </c>
      <c r="M2826" s="166">
        <f t="shared" si="2"/>
        <v>0.1542093205</v>
      </c>
      <c r="N2826" s="167">
        <f t="shared" si="3"/>
        <v>14.51904762</v>
      </c>
      <c r="O2826" s="163">
        <f t="shared" ref="O2826:Q2826" si="2830">rank(I2826,I:I)</f>
        <v>1995</v>
      </c>
      <c r="P2826" s="163">
        <f t="shared" si="2830"/>
        <v>3090</v>
      </c>
      <c r="Q2826" s="163">
        <f t="shared" si="2830"/>
        <v>3542</v>
      </c>
      <c r="R2826" s="163">
        <f>IFERROR(__xludf.DUMMYFUNCTION("RANK(M2826,filter(M:M,C:C=C2826))"),365.0)</f>
        <v>365</v>
      </c>
      <c r="S2826" s="161" t="b">
        <f t="shared" si="5"/>
        <v>0</v>
      </c>
      <c r="T2826" s="161" t="b">
        <f t="array" ref="T2826">index('Query Tool'!B:B,match(H2826,'Query Tool'!C:C,0))</f>
        <v>1</v>
      </c>
      <c r="U2826" s="161" t="b">
        <f t="array" ref="U2826">index('Query Tool'!B:B,match(C2826,'Query Tool'!C:C,0))</f>
        <v>0</v>
      </c>
      <c r="V2826" s="161" t="b">
        <f>F2826&gt;='Query Tool'!C$32</f>
        <v>0</v>
      </c>
      <c r="W2826" s="161" t="b">
        <f t="array" ref="W2826">index(Dropdowns!B:B,match(I2826,Dropdowns!A:A,0))</f>
        <v>1</v>
      </c>
      <c r="X2826" s="161" t="b">
        <f t="array" ref="X2826">index('Query Tool'!B:B,match(D2826,'Query Tool'!C:C,0))</f>
        <v>1</v>
      </c>
      <c r="Y2826" s="161" t="str">
        <f t="shared" si="6"/>
        <v>poythal01,2018-19</v>
      </c>
      <c r="Z2826" s="168" t="str">
        <f t="array" ref="Z2826">iferror(index(I:I,match($A2826&amp;","&amp;index('Year Conversion'!$A:$A,match($C2826,'Year Conversion'!$B:$B,0)),$Y:$Y,0))-I2826,"")</f>
        <v/>
      </c>
      <c r="AA2826" s="168" t="str">
        <f t="array" ref="AA2826">iferror(index(J:J,match($A2826&amp;","&amp;index('Year Conversion'!$A:$A,match($C2826,'Year Conversion'!$B:$B,0)),$Y:$Y,0))-J2826,"")</f>
        <v/>
      </c>
      <c r="AB2826" s="168" t="str">
        <f t="array" ref="AB2826">iferror(index(K:K,match($A2826&amp;","&amp;index('Year Conversion'!$A:$A,match($C2826,'Year Conversion'!$B:$B,0)),$Y:$Y,0))-K2826,"")</f>
        <v/>
      </c>
      <c r="AC2826" s="168" t="str">
        <f t="shared" si="7"/>
        <v>ATL,2018-19</v>
      </c>
    </row>
    <row r="2827">
      <c r="A2827" s="161" t="str">
        <f>IFERROR(__xludf.DUMMYFUNCTION("""COMPUTED_VALUE"""),"wallaty01")</f>
        <v>wallaty01</v>
      </c>
      <c r="B2827" s="161" t="str">
        <f>IFERROR(__xludf.DUMMYFUNCTION("""COMPUTED_VALUE"""),"Tyrone Wallace")</f>
        <v>Tyrone Wallace</v>
      </c>
      <c r="C2827" s="162" t="str">
        <f>IFERROR(__xludf.DUMMYFUNCTION("""COMPUTED_VALUE"""),"2018-19")</f>
        <v>2018-19</v>
      </c>
      <c r="D2827" s="163" t="str">
        <f>IFERROR(__xludf.DUMMYFUNCTION("""COMPUTED_VALUE"""),"LAC")</f>
        <v>LAC</v>
      </c>
      <c r="E2827" s="164" t="str">
        <f>IFERROR(__xludf.DUMMYFUNCTION("""COMPUTED_VALUE"""),"Athletic Finisher")</f>
        <v>Athletic Finisher</v>
      </c>
      <c r="F2827" s="164">
        <f>IFERROR(__xludf.DUMMYFUNCTION("""COMPUTED_VALUE"""),627.718333333333)</f>
        <v>627.7183333</v>
      </c>
      <c r="G2827" s="163">
        <f>IFERROR(__xludf.DUMMYFUNCTION("""COMPUTED_VALUE"""),62.0)</f>
        <v>62</v>
      </c>
      <c r="H2827" s="163" t="str">
        <f>IFERROR(__xludf.DUMMYFUNCTION("""COMPUTED_VALUE"""),"PG")</f>
        <v>PG</v>
      </c>
      <c r="I2827" s="163">
        <f>IFERROR(__xludf.DUMMYFUNCTION("""COMPUTED_VALUE"""),24.0)</f>
        <v>24</v>
      </c>
      <c r="J2827" s="165">
        <f>IFERROR(__xludf.DUMMYFUNCTION("""COMPUTED_VALUE"""),-2.17198186535514)</f>
        <v>-2.171981865</v>
      </c>
      <c r="K2827" s="165">
        <f>IFERROR(__xludf.DUMMYFUNCTION("""COMPUTED_VALUE"""),-1.89300393995422)</f>
        <v>-1.89300394</v>
      </c>
      <c r="L2827" s="165">
        <f>IFERROR(__xludf.DUMMYFUNCTION("""COMPUTED_VALUE"""),-0.278977925400923)</f>
        <v>-0.2789779254</v>
      </c>
      <c r="M2827" s="166">
        <f t="shared" si="2"/>
        <v>0.05452382661</v>
      </c>
      <c r="N2827" s="167">
        <f t="shared" si="3"/>
        <v>10.12448925</v>
      </c>
      <c r="O2827" s="163">
        <f t="shared" ref="O2827:Q2827" si="2831">rank(I2827,I:I)</f>
        <v>2361</v>
      </c>
      <c r="P2827" s="163">
        <f t="shared" si="2831"/>
        <v>3595</v>
      </c>
      <c r="Q2827" s="163">
        <f t="shared" si="2831"/>
        <v>3640</v>
      </c>
      <c r="R2827" s="163">
        <f>IFERROR(__xludf.DUMMYFUNCTION("RANK(M2827,filter(M:M,C:C=C2827))"),415.0)</f>
        <v>415</v>
      </c>
      <c r="S2827" s="161" t="b">
        <f t="shared" si="5"/>
        <v>0</v>
      </c>
      <c r="T2827" s="161" t="b">
        <f t="array" ref="T2827">index('Query Tool'!B:B,match(H2827,'Query Tool'!C:C,0))</f>
        <v>1</v>
      </c>
      <c r="U2827" s="161" t="b">
        <f t="array" ref="U2827">index('Query Tool'!B:B,match(C2827,'Query Tool'!C:C,0))</f>
        <v>0</v>
      </c>
      <c r="V2827" s="161" t="b">
        <f>F2827&gt;='Query Tool'!C$32</f>
        <v>1</v>
      </c>
      <c r="W2827" s="161" t="b">
        <f t="array" ref="W2827">index(Dropdowns!B:B,match(I2827,Dropdowns!A:A,0))</f>
        <v>1</v>
      </c>
      <c r="X2827" s="161" t="b">
        <f t="array" ref="X2827">index('Query Tool'!B:B,match(D2827,'Query Tool'!C:C,0))</f>
        <v>1</v>
      </c>
      <c r="Y2827" s="161" t="str">
        <f t="shared" si="6"/>
        <v>wallaty01,2018-19</v>
      </c>
      <c r="Z2827" s="168">
        <f t="array" ref="Z2827">iferror(index(I:I,match($A2827&amp;","&amp;index('Year Conversion'!$A:$A,match($C2827,'Year Conversion'!$B:$B,0)),$Y:$Y,0))-I2827,"")</f>
        <v>1</v>
      </c>
      <c r="AA2827" s="168">
        <f t="array" ref="AA2827">iferror(index(J:J,match($A2827&amp;","&amp;index('Year Conversion'!$A:$A,match($C2827,'Year Conversion'!$B:$B,0)),$Y:$Y,0))-J2827,"")</f>
        <v>1.518627617</v>
      </c>
      <c r="AB2827" s="168">
        <f t="array" ref="AB2827">iferror(index(K:K,match($A2827&amp;","&amp;index('Year Conversion'!$A:$A,match($C2827,'Year Conversion'!$B:$B,0)),$Y:$Y,0))-K2827,"")</f>
        <v>1.019836738</v>
      </c>
      <c r="AC2827" s="168" t="str">
        <f t="shared" si="7"/>
        <v>LAC,2018-19</v>
      </c>
    </row>
    <row r="2828">
      <c r="A2828" s="161" t="str">
        <f>IFERROR(__xludf.DUMMYFUNCTION("""COMPUTED_VALUE"""),"hernaju01")</f>
        <v>hernaju01</v>
      </c>
      <c r="B2828" s="161" t="str">
        <f>IFERROR(__xludf.DUMMYFUNCTION("""COMPUTED_VALUE"""),"Juancho Hernangomez")</f>
        <v>Juancho Hernangomez</v>
      </c>
      <c r="C2828" s="162" t="str">
        <f>IFERROR(__xludf.DUMMYFUNCTION("""COMPUTED_VALUE"""),"2018-19")</f>
        <v>2018-19</v>
      </c>
      <c r="D2828" s="163" t="str">
        <f>IFERROR(__xludf.DUMMYFUNCTION("""COMPUTED_VALUE"""),"DEN")</f>
        <v>DEN</v>
      </c>
      <c r="E2828" s="164" t="str">
        <f>IFERROR(__xludf.DUMMYFUNCTION("""COMPUTED_VALUE"""),"Athletic Finisher")</f>
        <v>Athletic Finisher</v>
      </c>
      <c r="F2828" s="164">
        <f>IFERROR(__xludf.DUMMYFUNCTION("""COMPUTED_VALUE"""),1358.15666666667)</f>
        <v>1358.156667</v>
      </c>
      <c r="G2828" s="163">
        <f>IFERROR(__xludf.DUMMYFUNCTION("""COMPUTED_VALUE"""),70.0)</f>
        <v>70</v>
      </c>
      <c r="H2828" s="163" t="str">
        <f>IFERROR(__xludf.DUMMYFUNCTION("""COMPUTED_VALUE"""),"PF")</f>
        <v>PF</v>
      </c>
      <c r="I2828" s="163">
        <f>IFERROR(__xludf.DUMMYFUNCTION("""COMPUTED_VALUE"""),23.0)</f>
        <v>23</v>
      </c>
      <c r="J2828" s="165">
        <f>IFERROR(__xludf.DUMMYFUNCTION("""COMPUTED_VALUE"""),-1.42712009778318)</f>
        <v>-1.427120098</v>
      </c>
      <c r="K2828" s="165">
        <f>IFERROR(__xludf.DUMMYFUNCTION("""COMPUTED_VALUE"""),-1.09515799028136)</f>
        <v>-1.09515799</v>
      </c>
      <c r="L2828" s="165">
        <f>IFERROR(__xludf.DUMMYFUNCTION("""COMPUTED_VALUE"""),-0.331962107501817)</f>
        <v>-0.3319621075</v>
      </c>
      <c r="M2828" s="166">
        <f t="shared" si="2"/>
        <v>0.7907593582</v>
      </c>
      <c r="N2828" s="167">
        <f t="shared" si="3"/>
        <v>19.4022381</v>
      </c>
      <c r="O2828" s="163">
        <f t="shared" ref="O2828:Q2828" si="2832">rank(I2828,I:I)</f>
        <v>2765</v>
      </c>
      <c r="P2828" s="163">
        <f t="shared" si="2832"/>
        <v>2986</v>
      </c>
      <c r="Q2828" s="163">
        <f t="shared" si="2832"/>
        <v>2925</v>
      </c>
      <c r="R2828" s="163">
        <f>IFERROR(__xludf.DUMMYFUNCTION("RANK(M2828,filter(M:M,C:C=C2828))"),242.0)</f>
        <v>242</v>
      </c>
      <c r="S2828" s="161" t="b">
        <f t="shared" si="5"/>
        <v>0</v>
      </c>
      <c r="T2828" s="161" t="b">
        <f t="array" ref="T2828">index('Query Tool'!B:B,match(H2828,'Query Tool'!C:C,0))</f>
        <v>1</v>
      </c>
      <c r="U2828" s="161" t="b">
        <f t="array" ref="U2828">index('Query Tool'!B:B,match(C2828,'Query Tool'!C:C,0))</f>
        <v>0</v>
      </c>
      <c r="V2828" s="161" t="b">
        <f>F2828&gt;='Query Tool'!C$32</f>
        <v>1</v>
      </c>
      <c r="W2828" s="161" t="b">
        <f t="array" ref="W2828">index(Dropdowns!B:B,match(I2828,Dropdowns!A:A,0))</f>
        <v>1</v>
      </c>
      <c r="X2828" s="161" t="b">
        <f t="array" ref="X2828">index('Query Tool'!B:B,match(D2828,'Query Tool'!C:C,0))</f>
        <v>1</v>
      </c>
      <c r="Y2828" s="161" t="str">
        <f t="shared" si="6"/>
        <v>hernaju01,2018-19</v>
      </c>
      <c r="Z2828" s="168">
        <f t="array" ref="Z2828">iferror(index(I:I,match($A2828&amp;","&amp;index('Year Conversion'!$A:$A,match($C2828,'Year Conversion'!$B:$B,0)),$Y:$Y,0))-I2828,"")</f>
        <v>1</v>
      </c>
      <c r="AA2828" s="168">
        <f t="array" ref="AA2828">iferror(index(J:J,match($A2828&amp;","&amp;index('Year Conversion'!$A:$A,match($C2828,'Year Conversion'!$B:$B,0)),$Y:$Y,0))-J2828,"")</f>
        <v>-0.5937857268</v>
      </c>
      <c r="AB2828" s="168">
        <f t="array" ref="AB2828">iferror(index(K:K,match($A2828&amp;","&amp;index('Year Conversion'!$A:$A,match($C2828,'Year Conversion'!$B:$B,0)),$Y:$Y,0))-K2828,"")</f>
        <v>-0.1548002872</v>
      </c>
      <c r="AC2828" s="168" t="str">
        <f t="shared" si="7"/>
        <v>DEN,2018-19</v>
      </c>
    </row>
    <row r="2829">
      <c r="A2829" s="161" t="str">
        <f>IFERROR(__xludf.DUMMYFUNCTION("""COMPUTED_VALUE"""),"yabusgu01")</f>
        <v>yabusgu01</v>
      </c>
      <c r="B2829" s="161" t="str">
        <f>IFERROR(__xludf.DUMMYFUNCTION("""COMPUTED_VALUE"""),"Guerschon Yabusele")</f>
        <v>Guerschon Yabusele</v>
      </c>
      <c r="C2829" s="162" t="str">
        <f>IFERROR(__xludf.DUMMYFUNCTION("""COMPUTED_VALUE"""),"2018-19")</f>
        <v>2018-19</v>
      </c>
      <c r="D2829" s="163" t="str">
        <f>IFERROR(__xludf.DUMMYFUNCTION("""COMPUTED_VALUE"""),"BOS")</f>
        <v>BOS</v>
      </c>
      <c r="E2829" s="164" t="str">
        <f>IFERROR(__xludf.DUMMYFUNCTION("""COMPUTED_VALUE"""),"Versatile Big")</f>
        <v>Versatile Big</v>
      </c>
      <c r="F2829" s="164">
        <f>IFERROR(__xludf.DUMMYFUNCTION("""COMPUTED_VALUE"""),250.803333333333)</f>
        <v>250.8033333</v>
      </c>
      <c r="G2829" s="163">
        <f>IFERROR(__xludf.DUMMYFUNCTION("""COMPUTED_VALUE"""),41.0)</f>
        <v>41</v>
      </c>
      <c r="H2829" s="163" t="str">
        <f>IFERROR(__xludf.DUMMYFUNCTION("""COMPUTED_VALUE"""),"PF")</f>
        <v>PF</v>
      </c>
      <c r="I2829" s="163">
        <f>IFERROR(__xludf.DUMMYFUNCTION("""COMPUTED_VALUE"""),23.0)</f>
        <v>23</v>
      </c>
      <c r="J2829" s="165">
        <f>IFERROR(__xludf.DUMMYFUNCTION("""COMPUTED_VALUE"""),-1.40647920563914)</f>
        <v>-1.406479206</v>
      </c>
      <c r="K2829" s="165">
        <f>IFERROR(__xludf.DUMMYFUNCTION("""COMPUTED_VALUE"""),-0.70017105495863)</f>
        <v>-0.700171055</v>
      </c>
      <c r="L2829" s="165">
        <f>IFERROR(__xludf.DUMMYFUNCTION("""COMPUTED_VALUE"""),-0.706308150680508)</f>
        <v>-0.7063081507</v>
      </c>
      <c r="M2829" s="166">
        <f t="shared" si="2"/>
        <v>0.1494863012</v>
      </c>
      <c r="N2829" s="167">
        <f t="shared" si="3"/>
        <v>6.117154472</v>
      </c>
      <c r="O2829" s="163">
        <f t="shared" ref="O2829:Q2829" si="2833">rank(I2829,I:I)</f>
        <v>2765</v>
      </c>
      <c r="P2829" s="163">
        <f t="shared" si="2833"/>
        <v>2958</v>
      </c>
      <c r="Q2829" s="163">
        <f t="shared" si="2833"/>
        <v>2415</v>
      </c>
      <c r="R2829" s="163">
        <f>IFERROR(__xludf.DUMMYFUNCTION("RANK(M2829,filter(M:M,C:C=C2829))"),367.0)</f>
        <v>367</v>
      </c>
      <c r="S2829" s="161" t="b">
        <f t="shared" si="5"/>
        <v>0</v>
      </c>
      <c r="T2829" s="161" t="b">
        <f t="array" ref="T2829">index('Query Tool'!B:B,match(H2829,'Query Tool'!C:C,0))</f>
        <v>1</v>
      </c>
      <c r="U2829" s="161" t="b">
        <f t="array" ref="U2829">index('Query Tool'!B:B,match(C2829,'Query Tool'!C:C,0))</f>
        <v>0</v>
      </c>
      <c r="V2829" s="161" t="b">
        <f>F2829&gt;='Query Tool'!C$32</f>
        <v>0</v>
      </c>
      <c r="W2829" s="161" t="b">
        <f t="array" ref="W2829">index(Dropdowns!B:B,match(I2829,Dropdowns!A:A,0))</f>
        <v>1</v>
      </c>
      <c r="X2829" s="161" t="b">
        <f t="array" ref="X2829">index('Query Tool'!B:B,match(D2829,'Query Tool'!C:C,0))</f>
        <v>1</v>
      </c>
      <c r="Y2829" s="161" t="str">
        <f t="shared" si="6"/>
        <v>yabusgu01,2018-19</v>
      </c>
      <c r="Z2829" s="168" t="str">
        <f t="array" ref="Z2829">iferror(index(I:I,match($A2829&amp;","&amp;index('Year Conversion'!$A:$A,match($C2829,'Year Conversion'!$B:$B,0)),$Y:$Y,0))-I2829,"")</f>
        <v/>
      </c>
      <c r="AA2829" s="168" t="str">
        <f t="array" ref="AA2829">iferror(index(J:J,match($A2829&amp;","&amp;index('Year Conversion'!$A:$A,match($C2829,'Year Conversion'!$B:$B,0)),$Y:$Y,0))-J2829,"")</f>
        <v/>
      </c>
      <c r="AB2829" s="168" t="str">
        <f t="array" ref="AB2829">iferror(index(K:K,match($A2829&amp;","&amp;index('Year Conversion'!$A:$A,match($C2829,'Year Conversion'!$B:$B,0)),$Y:$Y,0))-K2829,"")</f>
        <v/>
      </c>
      <c r="AC2829" s="168" t="str">
        <f t="shared" si="7"/>
        <v>BOS,2018-19</v>
      </c>
    </row>
    <row r="2830">
      <c r="A2830" s="161" t="str">
        <f>IFERROR(__xludf.DUMMYFUNCTION("""COMPUTED_VALUE"""),"zubaciv01")</f>
        <v>zubaciv01</v>
      </c>
      <c r="B2830" s="161" t="str">
        <f>IFERROR(__xludf.DUMMYFUNCTION("""COMPUTED_VALUE"""),"Ivica Zubac")</f>
        <v>Ivica Zubac</v>
      </c>
      <c r="C2830" s="162" t="str">
        <f>IFERROR(__xludf.DUMMYFUNCTION("""COMPUTED_VALUE"""),"2018-19")</f>
        <v>2018-19</v>
      </c>
      <c r="D2830" s="163" t="str">
        <f>IFERROR(__xludf.DUMMYFUNCTION("""COMPUTED_VALUE"""),"TOT")</f>
        <v>TOT</v>
      </c>
      <c r="E2830" s="164" t="str">
        <f>IFERROR(__xludf.DUMMYFUNCTION("""COMPUTED_VALUE"""),"Roll + Cut Big")</f>
        <v>Roll + Cut Big</v>
      </c>
      <c r="F2830" s="164">
        <f>IFERROR(__xludf.DUMMYFUNCTION("""COMPUTED_VALUE"""),1039.2)</f>
        <v>1039.2</v>
      </c>
      <c r="G2830" s="163">
        <f>IFERROR(__xludf.DUMMYFUNCTION("""COMPUTED_VALUE"""),59.0)</f>
        <v>59</v>
      </c>
      <c r="H2830" s="163" t="str">
        <f>IFERROR(__xludf.DUMMYFUNCTION("""COMPUTED_VALUE"""),"C")</f>
        <v>C</v>
      </c>
      <c r="I2830" s="163">
        <f>IFERROR(__xludf.DUMMYFUNCTION("""COMPUTED_VALUE"""),21.0)</f>
        <v>21</v>
      </c>
      <c r="J2830" s="165">
        <f>IFERROR(__xludf.DUMMYFUNCTION("""COMPUTED_VALUE"""),0.765435026667377)</f>
        <v>0.7654350267</v>
      </c>
      <c r="K2830" s="165">
        <f>IFERROR(__xludf.DUMMYFUNCTION("""COMPUTED_VALUE"""),-0.715675949599161)</f>
        <v>-0.7156759496</v>
      </c>
      <c r="L2830" s="165">
        <f>IFERROR(__xludf.DUMMYFUNCTION("""COMPUTED_VALUE"""),1.48111097626654)</f>
        <v>1.481110976</v>
      </c>
      <c r="M2830" s="166">
        <f t="shared" si="2"/>
        <v>2.137941545</v>
      </c>
      <c r="N2830" s="167">
        <f t="shared" si="3"/>
        <v>17.61355932</v>
      </c>
      <c r="O2830" s="163">
        <f t="shared" ref="O2830:Q2830" si="2834">rank(I2830,I:I)</f>
        <v>3528</v>
      </c>
      <c r="P2830" s="163">
        <f t="shared" si="2834"/>
        <v>762</v>
      </c>
      <c r="Q2830" s="163">
        <f t="shared" si="2834"/>
        <v>2435</v>
      </c>
      <c r="R2830" s="163">
        <f>IFERROR(__xludf.DUMMYFUNCTION("RANK(M2830,filter(M:M,C:C=C2830))"),145.0)</f>
        <v>145</v>
      </c>
      <c r="S2830" s="161" t="b">
        <f t="shared" si="5"/>
        <v>0</v>
      </c>
      <c r="T2830" s="161" t="b">
        <f t="array" ref="T2830">index('Query Tool'!B:B,match(H2830,'Query Tool'!C:C,0))</f>
        <v>1</v>
      </c>
      <c r="U2830" s="161" t="b">
        <f t="array" ref="U2830">index('Query Tool'!B:B,match(C2830,'Query Tool'!C:C,0))</f>
        <v>0</v>
      </c>
      <c r="V2830" s="161" t="b">
        <f>F2830&gt;='Query Tool'!C$32</f>
        <v>1</v>
      </c>
      <c r="W2830" s="161" t="b">
        <f t="array" ref="W2830">index(Dropdowns!B:B,match(I2830,Dropdowns!A:A,0))</f>
        <v>1</v>
      </c>
      <c r="X2830" s="161" t="b">
        <f t="array" ref="X2830">index('Query Tool'!B:B,match(D2830,'Query Tool'!C:C,0))</f>
        <v>1</v>
      </c>
      <c r="Y2830" s="161" t="str">
        <f t="shared" si="6"/>
        <v>zubaciv01,2018-19</v>
      </c>
      <c r="Z2830" s="168">
        <f t="array" ref="Z2830">iferror(index(I:I,match($A2830&amp;","&amp;index('Year Conversion'!$A:$A,match($C2830,'Year Conversion'!$B:$B,0)),$Y:$Y,0))-I2830,"")</f>
        <v>1</v>
      </c>
      <c r="AA2830" s="168">
        <f t="array" ref="AA2830">iferror(index(J:J,match($A2830&amp;","&amp;index('Year Conversion'!$A:$A,match($C2830,'Year Conversion'!$B:$B,0)),$Y:$Y,0))-J2830,"")</f>
        <v>2.611030892</v>
      </c>
      <c r="AB2830" s="168">
        <f t="array" ref="AB2830">iferror(index(K:K,match($A2830&amp;","&amp;index('Year Conversion'!$A:$A,match($C2830,'Year Conversion'!$B:$B,0)),$Y:$Y,0))-K2830,"")</f>
        <v>1.298746498</v>
      </c>
      <c r="AC2830" s="168" t="str">
        <f t="shared" si="7"/>
        <v>TOT,2018-19</v>
      </c>
    </row>
    <row r="2831">
      <c r="A2831" s="161" t="str">
        <f>IFERROR(__xludf.DUMMYFUNCTION("""COMPUTED_VALUE"""),"finnedo01")</f>
        <v>finnedo01</v>
      </c>
      <c r="B2831" s="161" t="str">
        <f>IFERROR(__xludf.DUMMYFUNCTION("""COMPUTED_VALUE"""),"Dorian Finney-Smith")</f>
        <v>Dorian Finney-Smith</v>
      </c>
      <c r="C2831" s="162" t="str">
        <f>IFERROR(__xludf.DUMMYFUNCTION("""COMPUTED_VALUE"""),"2018-19")</f>
        <v>2018-19</v>
      </c>
      <c r="D2831" s="163" t="str">
        <f>IFERROR(__xludf.DUMMYFUNCTION("""COMPUTED_VALUE"""),"DAL")</f>
        <v>DAL</v>
      </c>
      <c r="E2831" s="164" t="str">
        <f>IFERROR(__xludf.DUMMYFUNCTION("""COMPUTED_VALUE"""),"Athletic Finisher")</f>
        <v>Athletic Finisher</v>
      </c>
      <c r="F2831" s="164">
        <f>IFERROR(__xludf.DUMMYFUNCTION("""COMPUTED_VALUE"""),1985.28333333333)</f>
        <v>1985.283333</v>
      </c>
      <c r="G2831" s="163">
        <f>IFERROR(__xludf.DUMMYFUNCTION("""COMPUTED_VALUE"""),81.0)</f>
        <v>81</v>
      </c>
      <c r="H2831" s="163" t="str">
        <f>IFERROR(__xludf.DUMMYFUNCTION("""COMPUTED_VALUE"""),"SF")</f>
        <v>SF</v>
      </c>
      <c r="I2831" s="163">
        <f>IFERROR(__xludf.DUMMYFUNCTION("""COMPUTED_VALUE"""),25.0)</f>
        <v>25</v>
      </c>
      <c r="J2831" s="165">
        <f>IFERROR(__xludf.DUMMYFUNCTION("""COMPUTED_VALUE"""),-0.705570635384062)</f>
        <v>-0.7055706354</v>
      </c>
      <c r="K2831" s="165">
        <f>IFERROR(__xludf.DUMMYFUNCTION("""COMPUTED_VALUE"""),-0.495846821512683)</f>
        <v>-0.4958468215</v>
      </c>
      <c r="L2831" s="165">
        <f>IFERROR(__xludf.DUMMYFUNCTION("""COMPUTED_VALUE"""),-0.209723813871379)</f>
        <v>-0.2097238139</v>
      </c>
      <c r="M2831" s="166">
        <f t="shared" si="2"/>
        <v>2.116921183</v>
      </c>
      <c r="N2831" s="167">
        <f t="shared" si="3"/>
        <v>24.50967078</v>
      </c>
      <c r="O2831" s="163">
        <f t="shared" ref="O2831:Q2831" si="2835">rank(I2831,I:I)</f>
        <v>1995</v>
      </c>
      <c r="P2831" s="163">
        <f t="shared" si="2835"/>
        <v>2153</v>
      </c>
      <c r="Q2831" s="163">
        <f t="shared" si="2835"/>
        <v>2103</v>
      </c>
      <c r="R2831" s="163">
        <f>IFERROR(__xludf.DUMMYFUNCTION("RANK(M2831,filter(M:M,C:C=C2831))"),147.0)</f>
        <v>147</v>
      </c>
      <c r="S2831" s="161" t="b">
        <f t="shared" si="5"/>
        <v>0</v>
      </c>
      <c r="T2831" s="161" t="b">
        <f t="array" ref="T2831">index('Query Tool'!B:B,match(H2831,'Query Tool'!C:C,0))</f>
        <v>1</v>
      </c>
      <c r="U2831" s="161" t="b">
        <f t="array" ref="U2831">index('Query Tool'!B:B,match(C2831,'Query Tool'!C:C,0))</f>
        <v>0</v>
      </c>
      <c r="V2831" s="161" t="b">
        <f>F2831&gt;='Query Tool'!C$32</f>
        <v>1</v>
      </c>
      <c r="W2831" s="161" t="b">
        <f t="array" ref="W2831">index(Dropdowns!B:B,match(I2831,Dropdowns!A:A,0))</f>
        <v>1</v>
      </c>
      <c r="X2831" s="161" t="b">
        <f t="array" ref="X2831">index('Query Tool'!B:B,match(D2831,'Query Tool'!C:C,0))</f>
        <v>1</v>
      </c>
      <c r="Y2831" s="161" t="str">
        <f t="shared" si="6"/>
        <v>finnedo01,2018-19</v>
      </c>
      <c r="Z2831" s="168">
        <f t="array" ref="Z2831">iferror(index(I:I,match($A2831&amp;","&amp;index('Year Conversion'!$A:$A,match($C2831,'Year Conversion'!$B:$B,0)),$Y:$Y,0))-I2831,"")</f>
        <v>1</v>
      </c>
      <c r="AA2831" s="168">
        <f t="array" ref="AA2831">iferror(index(J:J,match($A2831&amp;","&amp;index('Year Conversion'!$A:$A,match($C2831,'Year Conversion'!$B:$B,0)),$Y:$Y,0))-J2831,"")</f>
        <v>0.8039781669</v>
      </c>
      <c r="AB2831" s="168">
        <f t="array" ref="AB2831">iferror(index(K:K,match($A2831&amp;","&amp;index('Year Conversion'!$A:$A,match($C2831,'Year Conversion'!$B:$B,0)),$Y:$Y,0))-K2831,"")</f>
        <v>0.5785717867</v>
      </c>
      <c r="AC2831" s="168" t="str">
        <f t="shared" si="7"/>
        <v>DAL,2018-19</v>
      </c>
    </row>
    <row r="2832">
      <c r="A2832" s="161" t="str">
        <f>IFERROR(__xludf.DUMMYFUNCTION("""COMPUTED_VALUE"""),"vanvlfr01")</f>
        <v>vanvlfr01</v>
      </c>
      <c r="B2832" s="161" t="str">
        <f>IFERROR(__xludf.DUMMYFUNCTION("""COMPUTED_VALUE"""),"Fred VanVleet")</f>
        <v>Fred VanVleet</v>
      </c>
      <c r="C2832" s="162" t="str">
        <f>IFERROR(__xludf.DUMMYFUNCTION("""COMPUTED_VALUE"""),"2018-19")</f>
        <v>2018-19</v>
      </c>
      <c r="D2832" s="163" t="str">
        <f>IFERROR(__xludf.DUMMYFUNCTION("""COMPUTED_VALUE"""),"TOR")</f>
        <v>TOR</v>
      </c>
      <c r="E2832" s="164" t="str">
        <f>IFERROR(__xludf.DUMMYFUNCTION("""COMPUTED_VALUE"""),"Primary Ball Handler")</f>
        <v>Primary Ball Handler</v>
      </c>
      <c r="F2832" s="164">
        <f>IFERROR(__xludf.DUMMYFUNCTION("""COMPUTED_VALUE"""),1760.25333333333)</f>
        <v>1760.253333</v>
      </c>
      <c r="G2832" s="163">
        <f>IFERROR(__xludf.DUMMYFUNCTION("""COMPUTED_VALUE"""),64.0)</f>
        <v>64</v>
      </c>
      <c r="H2832" s="163" t="str">
        <f>IFERROR(__xludf.DUMMYFUNCTION("""COMPUTED_VALUE"""),"PG")</f>
        <v>PG</v>
      </c>
      <c r="I2832" s="163">
        <f>IFERROR(__xludf.DUMMYFUNCTION("""COMPUTED_VALUE"""),24.0)</f>
        <v>24</v>
      </c>
      <c r="J2832" s="165">
        <f>IFERROR(__xludf.DUMMYFUNCTION("""COMPUTED_VALUE"""),0.828304750138399)</f>
        <v>0.8283047501</v>
      </c>
      <c r="K2832" s="165">
        <f>IFERROR(__xludf.DUMMYFUNCTION("""COMPUTED_VALUE"""),1.08504696900873)</f>
        <v>1.085046969</v>
      </c>
      <c r="L2832" s="165">
        <f>IFERROR(__xludf.DUMMYFUNCTION("""COMPUTED_VALUE"""),-0.256742218870329)</f>
        <v>-0.2567422189</v>
      </c>
      <c r="M2832" s="166">
        <f t="shared" si="2"/>
        <v>3.695774485</v>
      </c>
      <c r="N2832" s="167">
        <f t="shared" si="3"/>
        <v>27.50395833</v>
      </c>
      <c r="O2832" s="163">
        <f t="shared" ref="O2832:Q2832" si="2836">rank(I2832,I:I)</f>
        <v>2361</v>
      </c>
      <c r="P2832" s="163">
        <f t="shared" si="2836"/>
        <v>722</v>
      </c>
      <c r="Q2832" s="163">
        <f t="shared" si="2836"/>
        <v>459</v>
      </c>
      <c r="R2832" s="163">
        <f>IFERROR(__xludf.DUMMYFUNCTION("RANK(M2832,filter(M:M,C:C=C2832))"),90.0)</f>
        <v>90</v>
      </c>
      <c r="S2832" s="161" t="b">
        <f t="shared" si="5"/>
        <v>0</v>
      </c>
      <c r="T2832" s="161" t="b">
        <f t="array" ref="T2832">index('Query Tool'!B:B,match(H2832,'Query Tool'!C:C,0))</f>
        <v>1</v>
      </c>
      <c r="U2832" s="161" t="b">
        <f t="array" ref="U2832">index('Query Tool'!B:B,match(C2832,'Query Tool'!C:C,0))</f>
        <v>0</v>
      </c>
      <c r="V2832" s="161" t="b">
        <f>F2832&gt;='Query Tool'!C$32</f>
        <v>1</v>
      </c>
      <c r="W2832" s="161" t="b">
        <f t="array" ref="W2832">index(Dropdowns!B:B,match(I2832,Dropdowns!A:A,0))</f>
        <v>1</v>
      </c>
      <c r="X2832" s="161" t="b">
        <f t="array" ref="X2832">index('Query Tool'!B:B,match(D2832,'Query Tool'!C:C,0))</f>
        <v>1</v>
      </c>
      <c r="Y2832" s="161" t="str">
        <f t="shared" si="6"/>
        <v>vanvlfr01,2018-19</v>
      </c>
      <c r="Z2832" s="168">
        <f t="array" ref="Z2832">iferror(index(I:I,match($A2832&amp;","&amp;index('Year Conversion'!$A:$A,match($C2832,'Year Conversion'!$B:$B,0)),$Y:$Y,0))-I2832,"")</f>
        <v>1</v>
      </c>
      <c r="AA2832" s="168">
        <f t="array" ref="AA2832">iferror(index(J:J,match($A2832&amp;","&amp;index('Year Conversion'!$A:$A,match($C2832,'Year Conversion'!$B:$B,0)),$Y:$Y,0))-J2832,"")</f>
        <v>0.8941211564</v>
      </c>
      <c r="AB2832" s="168">
        <f t="array" ref="AB2832">iferror(index(K:K,match($A2832&amp;","&amp;index('Year Conversion'!$A:$A,match($C2832,'Year Conversion'!$B:$B,0)),$Y:$Y,0))-K2832,"")</f>
        <v>-0.529873659</v>
      </c>
      <c r="AC2832" s="168" t="str">
        <f t="shared" si="7"/>
        <v>TOR,2018-19</v>
      </c>
    </row>
    <row r="2833">
      <c r="A2833" s="161" t="str">
        <f>IFERROR(__xludf.DUMMYFUNCTION("""COMPUTED_VALUE"""),"naderab01")</f>
        <v>naderab01</v>
      </c>
      <c r="B2833" s="161" t="str">
        <f>IFERROR(__xludf.DUMMYFUNCTION("""COMPUTED_VALUE"""),"Abdel Nader")</f>
        <v>Abdel Nader</v>
      </c>
      <c r="C2833" s="162" t="str">
        <f>IFERROR(__xludf.DUMMYFUNCTION("""COMPUTED_VALUE"""),"2018-19")</f>
        <v>2018-19</v>
      </c>
      <c r="D2833" s="163" t="str">
        <f>IFERROR(__xludf.DUMMYFUNCTION("""COMPUTED_VALUE"""),"OKC")</f>
        <v>OKC</v>
      </c>
      <c r="E2833" s="164" t="str">
        <f>IFERROR(__xludf.DUMMYFUNCTION("""COMPUTED_VALUE"""),"Stationary Shooter")</f>
        <v>Stationary Shooter</v>
      </c>
      <c r="F2833" s="164">
        <f>IFERROR(__xludf.DUMMYFUNCTION("""COMPUTED_VALUE"""),693.656666666667)</f>
        <v>693.6566667</v>
      </c>
      <c r="G2833" s="163">
        <f>IFERROR(__xludf.DUMMYFUNCTION("""COMPUTED_VALUE"""),61.0)</f>
        <v>61</v>
      </c>
      <c r="H2833" s="163" t="str">
        <f>IFERROR(__xludf.DUMMYFUNCTION("""COMPUTED_VALUE"""),"SF")</f>
        <v>SF</v>
      </c>
      <c r="I2833" s="163">
        <f>IFERROR(__xludf.DUMMYFUNCTION("""COMPUTED_VALUE"""),25.0)</f>
        <v>25</v>
      </c>
      <c r="J2833" s="165">
        <f>IFERROR(__xludf.DUMMYFUNCTION("""COMPUTED_VALUE"""),-3.36013489268068)</f>
        <v>-3.360134893</v>
      </c>
      <c r="K2833" s="165">
        <f>IFERROR(__xludf.DUMMYFUNCTION("""COMPUTED_VALUE"""),-2.66576792958106)</f>
        <v>-2.66576793</v>
      </c>
      <c r="L2833" s="165">
        <f>IFERROR(__xludf.DUMMYFUNCTION("""COMPUTED_VALUE"""),-0.694366963099621)</f>
        <v>-0.6943669631</v>
      </c>
      <c r="M2833" s="166">
        <f t="shared" si="2"/>
        <v>-0.477808358</v>
      </c>
      <c r="N2833" s="167">
        <f t="shared" si="3"/>
        <v>11.37142077</v>
      </c>
      <c r="O2833" s="163">
        <f t="shared" ref="O2833:Q2833" si="2837">rank(I2833,I:I)</f>
        <v>1995</v>
      </c>
      <c r="P2833" s="163">
        <f t="shared" si="2837"/>
        <v>3946</v>
      </c>
      <c r="Q2833" s="163">
        <f t="shared" si="2837"/>
        <v>3924</v>
      </c>
      <c r="R2833" s="163">
        <f>IFERROR(__xludf.DUMMYFUNCTION("RANK(M2833,filter(M:M,C:C=C2833))"),517.0)</f>
        <v>517</v>
      </c>
      <c r="S2833" s="161" t="b">
        <f t="shared" si="5"/>
        <v>0</v>
      </c>
      <c r="T2833" s="161" t="b">
        <f t="array" ref="T2833">index('Query Tool'!B:B,match(H2833,'Query Tool'!C:C,0))</f>
        <v>1</v>
      </c>
      <c r="U2833" s="161" t="b">
        <f t="array" ref="U2833">index('Query Tool'!B:B,match(C2833,'Query Tool'!C:C,0))</f>
        <v>0</v>
      </c>
      <c r="V2833" s="161" t="b">
        <f>F2833&gt;='Query Tool'!C$32</f>
        <v>1</v>
      </c>
      <c r="W2833" s="161" t="b">
        <f t="array" ref="W2833">index(Dropdowns!B:B,match(I2833,Dropdowns!A:A,0))</f>
        <v>1</v>
      </c>
      <c r="X2833" s="161" t="b">
        <f t="array" ref="X2833">index('Query Tool'!B:B,match(D2833,'Query Tool'!C:C,0))</f>
        <v>1</v>
      </c>
      <c r="Y2833" s="161" t="str">
        <f t="shared" si="6"/>
        <v>naderab01,2018-19</v>
      </c>
      <c r="Z2833" s="168">
        <f t="array" ref="Z2833">iferror(index(I:I,match($A2833&amp;","&amp;index('Year Conversion'!$A:$A,match($C2833,'Year Conversion'!$B:$B,0)),$Y:$Y,0))-I2833,"")</f>
        <v>1</v>
      </c>
      <c r="AA2833" s="168">
        <f t="array" ref="AA2833">iferror(index(J:J,match($A2833&amp;","&amp;index('Year Conversion'!$A:$A,match($C2833,'Year Conversion'!$B:$B,0)),$Y:$Y,0))-J2833,"")</f>
        <v>-0.3573461703</v>
      </c>
      <c r="AB2833" s="168">
        <f t="array" ref="AB2833">iferror(index(K:K,match($A2833&amp;","&amp;index('Year Conversion'!$A:$A,match($C2833,'Year Conversion'!$B:$B,0)),$Y:$Y,0))-K2833,"")</f>
        <v>0.04815061982</v>
      </c>
      <c r="AC2833" s="168" t="str">
        <f t="shared" si="7"/>
        <v>OKC,2018-19</v>
      </c>
    </row>
    <row r="2834">
      <c r="A2834" s="161" t="str">
        <f>IFERROR(__xludf.DUMMYFUNCTION("""COMPUTED_VALUE"""),"arcidry01")</f>
        <v>arcidry01</v>
      </c>
      <c r="B2834" s="161" t="str">
        <f>IFERROR(__xludf.DUMMYFUNCTION("""COMPUTED_VALUE"""),"Ryan Arcidiacono")</f>
        <v>Ryan Arcidiacono</v>
      </c>
      <c r="C2834" s="162" t="str">
        <f>IFERROR(__xludf.DUMMYFUNCTION("""COMPUTED_VALUE"""),"2018-19")</f>
        <v>2018-19</v>
      </c>
      <c r="D2834" s="163" t="str">
        <f>IFERROR(__xludf.DUMMYFUNCTION("""COMPUTED_VALUE"""),"CHI")</f>
        <v>CHI</v>
      </c>
      <c r="E2834" s="164" t="str">
        <f>IFERROR(__xludf.DUMMYFUNCTION("""COMPUTED_VALUE"""),"Primary Ball Handler")</f>
        <v>Primary Ball Handler</v>
      </c>
      <c r="F2834" s="164">
        <f>IFERROR(__xludf.DUMMYFUNCTION("""COMPUTED_VALUE"""),1961.3)</f>
        <v>1961.3</v>
      </c>
      <c r="G2834" s="163">
        <f>IFERROR(__xludf.DUMMYFUNCTION("""COMPUTED_VALUE"""),81.0)</f>
        <v>81</v>
      </c>
      <c r="H2834" s="163" t="str">
        <f>IFERROR(__xludf.DUMMYFUNCTION("""COMPUTED_VALUE"""),"PG")</f>
        <v>PG</v>
      </c>
      <c r="I2834" s="163">
        <f>IFERROR(__xludf.DUMMYFUNCTION("""COMPUTED_VALUE"""),24.0)</f>
        <v>24</v>
      </c>
      <c r="J2834" s="165">
        <f>IFERROR(__xludf.DUMMYFUNCTION("""COMPUTED_VALUE"""),-0.889737512837188)</f>
        <v>-0.8897375128</v>
      </c>
      <c r="K2834" s="165">
        <f>IFERROR(__xludf.DUMMYFUNCTION("""COMPUTED_VALUE"""),-0.381779461463755)</f>
        <v>-0.3817794615</v>
      </c>
      <c r="L2834" s="165">
        <f>IFERROR(__xludf.DUMMYFUNCTION("""COMPUTED_VALUE"""),-0.507958051373434)</f>
        <v>-0.5079580514</v>
      </c>
      <c r="M2834" s="166">
        <f t="shared" si="2"/>
        <v>1.848473273</v>
      </c>
      <c r="N2834" s="167">
        <f t="shared" si="3"/>
        <v>24.21358025</v>
      </c>
      <c r="O2834" s="163">
        <f t="shared" ref="O2834:Q2834" si="2838">rank(I2834,I:I)</f>
        <v>2361</v>
      </c>
      <c r="P2834" s="163">
        <f t="shared" si="2838"/>
        <v>2379</v>
      </c>
      <c r="Q2834" s="163">
        <f t="shared" si="2838"/>
        <v>1918</v>
      </c>
      <c r="R2834" s="163">
        <f>IFERROR(__xludf.DUMMYFUNCTION("RANK(M2834,filter(M:M,C:C=C2834))"),159.0)</f>
        <v>159</v>
      </c>
      <c r="S2834" s="161" t="b">
        <f t="shared" si="5"/>
        <v>0</v>
      </c>
      <c r="T2834" s="161" t="b">
        <f t="array" ref="T2834">index('Query Tool'!B:B,match(H2834,'Query Tool'!C:C,0))</f>
        <v>1</v>
      </c>
      <c r="U2834" s="161" t="b">
        <f t="array" ref="U2834">index('Query Tool'!B:B,match(C2834,'Query Tool'!C:C,0))</f>
        <v>0</v>
      </c>
      <c r="V2834" s="161" t="b">
        <f>F2834&gt;='Query Tool'!C$32</f>
        <v>1</v>
      </c>
      <c r="W2834" s="161" t="b">
        <f t="array" ref="W2834">index(Dropdowns!B:B,match(I2834,Dropdowns!A:A,0))</f>
        <v>1</v>
      </c>
      <c r="X2834" s="161" t="b">
        <f t="array" ref="X2834">index('Query Tool'!B:B,match(D2834,'Query Tool'!C:C,0))</f>
        <v>1</v>
      </c>
      <c r="Y2834" s="161" t="str">
        <f t="shared" si="6"/>
        <v>arcidry01,2018-19</v>
      </c>
      <c r="Z2834" s="168">
        <f t="array" ref="Z2834">iferror(index(I:I,match($A2834&amp;","&amp;index('Year Conversion'!$A:$A,match($C2834,'Year Conversion'!$B:$B,0)),$Y:$Y,0))-I2834,"")</f>
        <v>1</v>
      </c>
      <c r="AA2834" s="168">
        <f t="array" ref="AA2834">iferror(index(J:J,match($A2834&amp;","&amp;index('Year Conversion'!$A:$A,match($C2834,'Year Conversion'!$B:$B,0)),$Y:$Y,0))-J2834,"")</f>
        <v>-1.597226551</v>
      </c>
      <c r="AB2834" s="168">
        <f t="array" ref="AB2834">iferror(index(K:K,match($A2834&amp;","&amp;index('Year Conversion'!$A:$A,match($C2834,'Year Conversion'!$B:$B,0)),$Y:$Y,0))-K2834,"")</f>
        <v>-1.53605956</v>
      </c>
      <c r="AC2834" s="168" t="str">
        <f t="shared" si="7"/>
        <v>CHI,2018-19</v>
      </c>
    </row>
    <row r="2835">
      <c r="A2835" s="161" t="str">
        <f>IFERROR(__xludf.DUMMYFUNCTION("""COMPUTED_VALUE"""),"forbebr01")</f>
        <v>forbebr01</v>
      </c>
      <c r="B2835" s="161" t="str">
        <f>IFERROR(__xludf.DUMMYFUNCTION("""COMPUTED_VALUE"""),"Bryn Forbes")</f>
        <v>Bryn Forbes</v>
      </c>
      <c r="C2835" s="162" t="str">
        <f>IFERROR(__xludf.DUMMYFUNCTION("""COMPUTED_VALUE"""),"2018-19")</f>
        <v>2018-19</v>
      </c>
      <c r="D2835" s="163" t="str">
        <f>IFERROR(__xludf.DUMMYFUNCTION("""COMPUTED_VALUE"""),"SAS")</f>
        <v>SAS</v>
      </c>
      <c r="E2835" s="164" t="str">
        <f>IFERROR(__xludf.DUMMYFUNCTION("""COMPUTED_VALUE"""),"Secondary Ball Handler")</f>
        <v>Secondary Ball Handler</v>
      </c>
      <c r="F2835" s="164">
        <f>IFERROR(__xludf.DUMMYFUNCTION("""COMPUTED_VALUE"""),2292.6)</f>
        <v>2292.6</v>
      </c>
      <c r="G2835" s="163">
        <f>IFERROR(__xludf.DUMMYFUNCTION("""COMPUTED_VALUE"""),82.0)</f>
        <v>82</v>
      </c>
      <c r="H2835" s="163" t="str">
        <f>IFERROR(__xludf.DUMMYFUNCTION("""COMPUTED_VALUE"""),"SG")</f>
        <v>SG</v>
      </c>
      <c r="I2835" s="163">
        <f>IFERROR(__xludf.DUMMYFUNCTION("""COMPUTED_VALUE"""),25.0)</f>
        <v>25</v>
      </c>
      <c r="J2835" s="165">
        <f>IFERROR(__xludf.DUMMYFUNCTION("""COMPUTED_VALUE"""),-1.38932954917748)</f>
        <v>-1.389329549</v>
      </c>
      <c r="K2835" s="165">
        <f>IFERROR(__xludf.DUMMYFUNCTION("""COMPUTED_VALUE"""),-0.821216400517083)</f>
        <v>-0.8212164005</v>
      </c>
      <c r="L2835" s="165">
        <f>IFERROR(__xludf.DUMMYFUNCTION("""COMPUTED_VALUE"""),-0.568113148660397)</f>
        <v>-0.5681131487</v>
      </c>
      <c r="M2835" s="166">
        <f t="shared" si="2"/>
        <v>1.392750903</v>
      </c>
      <c r="N2835" s="167">
        <f t="shared" si="3"/>
        <v>27.95853659</v>
      </c>
      <c r="O2835" s="163">
        <f t="shared" ref="O2835:Q2835" si="2839">rank(I2835,I:I)</f>
        <v>1995</v>
      </c>
      <c r="P2835" s="163">
        <f t="shared" si="2839"/>
        <v>2940</v>
      </c>
      <c r="Q2835" s="163">
        <f t="shared" si="2839"/>
        <v>2581</v>
      </c>
      <c r="R2835" s="163">
        <f>IFERROR(__xludf.DUMMYFUNCTION("RANK(M2835,filter(M:M,C:C=C2835))"),195.0)</f>
        <v>195</v>
      </c>
      <c r="S2835" s="161" t="b">
        <f t="shared" si="5"/>
        <v>0</v>
      </c>
      <c r="T2835" s="161" t="b">
        <f t="array" ref="T2835">index('Query Tool'!B:B,match(H2835,'Query Tool'!C:C,0))</f>
        <v>1</v>
      </c>
      <c r="U2835" s="161" t="b">
        <f t="array" ref="U2835">index('Query Tool'!B:B,match(C2835,'Query Tool'!C:C,0))</f>
        <v>0</v>
      </c>
      <c r="V2835" s="161" t="b">
        <f>F2835&gt;='Query Tool'!C$32</f>
        <v>1</v>
      </c>
      <c r="W2835" s="161" t="b">
        <f t="array" ref="W2835">index(Dropdowns!B:B,match(I2835,Dropdowns!A:A,0))</f>
        <v>1</v>
      </c>
      <c r="X2835" s="161" t="b">
        <f t="array" ref="X2835">index('Query Tool'!B:B,match(D2835,'Query Tool'!C:C,0))</f>
        <v>1</v>
      </c>
      <c r="Y2835" s="161" t="str">
        <f t="shared" si="6"/>
        <v>forbebr01,2018-19</v>
      </c>
      <c r="Z2835" s="168">
        <f t="array" ref="Z2835">iferror(index(I:I,match($A2835&amp;","&amp;index('Year Conversion'!$A:$A,match($C2835,'Year Conversion'!$B:$B,0)),$Y:$Y,0))-I2835,"")</f>
        <v>1</v>
      </c>
      <c r="AA2835" s="168">
        <f t="array" ref="AA2835">iferror(index(J:J,match($A2835&amp;","&amp;index('Year Conversion'!$A:$A,match($C2835,'Year Conversion'!$B:$B,0)),$Y:$Y,0))-J2835,"")</f>
        <v>-1.525371416</v>
      </c>
      <c r="AB2835" s="168">
        <f t="array" ref="AB2835">iferror(index(K:K,match($A2835&amp;","&amp;index('Year Conversion'!$A:$A,match($C2835,'Year Conversion'!$B:$B,0)),$Y:$Y,0))-K2835,"")</f>
        <v>-0.1251339887</v>
      </c>
      <c r="AC2835" s="168" t="str">
        <f t="shared" si="7"/>
        <v>SAS,2018-19</v>
      </c>
    </row>
    <row r="2836">
      <c r="A2836" s="161" t="str">
        <f>IFERROR(__xludf.DUMMYFUNCTION("""COMPUTED_VALUE"""),"whiteok01")</f>
        <v>whiteok01</v>
      </c>
      <c r="B2836" s="161" t="str">
        <f>IFERROR(__xludf.DUMMYFUNCTION("""COMPUTED_VALUE"""),"Okaro White")</f>
        <v>Okaro White</v>
      </c>
      <c r="C2836" s="162" t="str">
        <f>IFERROR(__xludf.DUMMYFUNCTION("""COMPUTED_VALUE"""),"2018-19")</f>
        <v>2018-19</v>
      </c>
      <c r="D2836" s="163" t="str">
        <f>IFERROR(__xludf.DUMMYFUNCTION("""COMPUTED_VALUE"""),"WAS")</f>
        <v>WAS</v>
      </c>
      <c r="E2836" s="164" t="str">
        <f>IFERROR(__xludf.DUMMYFUNCTION("""COMPUTED_VALUE"""),"Stationary Shooter")</f>
        <v>Stationary Shooter</v>
      </c>
      <c r="F2836" s="164">
        <f>IFERROR(__xludf.DUMMYFUNCTION("""COMPUTED_VALUE"""),6.27666666666667)</f>
        <v>6.276666667</v>
      </c>
      <c r="G2836" s="163">
        <f>IFERROR(__xludf.DUMMYFUNCTION("""COMPUTED_VALUE"""),3.0)</f>
        <v>3</v>
      </c>
      <c r="H2836" s="163" t="str">
        <f>IFERROR(__xludf.DUMMYFUNCTION("""COMPUTED_VALUE"""),"PF")</f>
        <v>PF</v>
      </c>
      <c r="I2836" s="163">
        <f>IFERROR(__xludf.DUMMYFUNCTION("""COMPUTED_VALUE"""),26.0)</f>
        <v>26</v>
      </c>
      <c r="J2836" s="165">
        <f>IFERROR(__xludf.DUMMYFUNCTION("""COMPUTED_VALUE"""),-0.464964576964772)</f>
        <v>-0.464964577</v>
      </c>
      <c r="K2836" s="165">
        <f>IFERROR(__xludf.DUMMYFUNCTION("""COMPUTED_VALUE"""),-0.178954555532317)</f>
        <v>-0.1789545555</v>
      </c>
      <c r="L2836" s="165">
        <f>IFERROR(__xludf.DUMMYFUNCTION("""COMPUTED_VALUE"""),-0.286010021432455)</f>
        <v>-0.2860100214</v>
      </c>
      <c r="M2836" s="166">
        <f t="shared" si="2"/>
        <v>0.007709544281</v>
      </c>
      <c r="N2836" s="167">
        <f t="shared" si="3"/>
        <v>2.092222222</v>
      </c>
      <c r="O2836" s="163">
        <f t="shared" ref="O2836:Q2836" si="2840">rank(I2836,I:I)</f>
        <v>1665</v>
      </c>
      <c r="P2836" s="163">
        <f t="shared" si="2840"/>
        <v>1799</v>
      </c>
      <c r="Q2836" s="163">
        <f t="shared" si="2840"/>
        <v>1531</v>
      </c>
      <c r="R2836" s="163">
        <f>IFERROR(__xludf.DUMMYFUNCTION("RANK(M2836,filter(M:M,C:C=C2836))"),464.0)</f>
        <v>464</v>
      </c>
      <c r="S2836" s="161" t="b">
        <f t="shared" si="5"/>
        <v>0</v>
      </c>
      <c r="T2836" s="161" t="b">
        <f t="array" ref="T2836">index('Query Tool'!B:B,match(H2836,'Query Tool'!C:C,0))</f>
        <v>1</v>
      </c>
      <c r="U2836" s="161" t="b">
        <f t="array" ref="U2836">index('Query Tool'!B:B,match(C2836,'Query Tool'!C:C,0))</f>
        <v>0</v>
      </c>
      <c r="V2836" s="161" t="b">
        <f>F2836&gt;='Query Tool'!C$32</f>
        <v>0</v>
      </c>
      <c r="W2836" s="161" t="b">
        <f t="array" ref="W2836">index(Dropdowns!B:B,match(I2836,Dropdowns!A:A,0))</f>
        <v>1</v>
      </c>
      <c r="X2836" s="161" t="b">
        <f t="array" ref="X2836">index('Query Tool'!B:B,match(D2836,'Query Tool'!C:C,0))</f>
        <v>1</v>
      </c>
      <c r="Y2836" s="161" t="str">
        <f t="shared" si="6"/>
        <v>whiteok01,2018-19</v>
      </c>
      <c r="Z2836" s="168" t="str">
        <f t="array" ref="Z2836">iferror(index(I:I,match($A2836&amp;","&amp;index('Year Conversion'!$A:$A,match($C2836,'Year Conversion'!$B:$B,0)),$Y:$Y,0))-I2836,"")</f>
        <v/>
      </c>
      <c r="AA2836" s="168" t="str">
        <f t="array" ref="AA2836">iferror(index(J:J,match($A2836&amp;","&amp;index('Year Conversion'!$A:$A,match($C2836,'Year Conversion'!$B:$B,0)),$Y:$Y,0))-J2836,"")</f>
        <v/>
      </c>
      <c r="AB2836" s="168" t="str">
        <f t="array" ref="AB2836">iferror(index(K:K,match($A2836&amp;","&amp;index('Year Conversion'!$A:$A,match($C2836,'Year Conversion'!$B:$B,0)),$Y:$Y,0))-K2836,"")</f>
        <v/>
      </c>
      <c r="AC2836" s="168" t="str">
        <f t="shared" si="7"/>
        <v>WAS,2018-19</v>
      </c>
    </row>
    <row r="2837">
      <c r="A2837" s="161" t="str">
        <f>IFERROR(__xludf.DUMMYFUNCTION("""COMPUTED_VALUE"""),"houseda01")</f>
        <v>houseda01</v>
      </c>
      <c r="B2837" s="161" t="str">
        <f>IFERROR(__xludf.DUMMYFUNCTION("""COMPUTED_VALUE"""),"Danuel House Jr.")</f>
        <v>Danuel House Jr.</v>
      </c>
      <c r="C2837" s="162" t="str">
        <f>IFERROR(__xludf.DUMMYFUNCTION("""COMPUTED_VALUE"""),"2018-19")</f>
        <v>2018-19</v>
      </c>
      <c r="D2837" s="163" t="str">
        <f>IFERROR(__xludf.DUMMYFUNCTION("""COMPUTED_VALUE"""),"HOU")</f>
        <v>HOU</v>
      </c>
      <c r="E2837" s="164" t="str">
        <f>IFERROR(__xludf.DUMMYFUNCTION("""COMPUTED_VALUE"""),"Stationary Shooter")</f>
        <v>Stationary Shooter</v>
      </c>
      <c r="F2837" s="164">
        <f>IFERROR(__xludf.DUMMYFUNCTION("""COMPUTED_VALUE"""),978.665)</f>
        <v>978.665</v>
      </c>
      <c r="G2837" s="163">
        <f>IFERROR(__xludf.DUMMYFUNCTION("""COMPUTED_VALUE"""),39.0)</f>
        <v>39</v>
      </c>
      <c r="H2837" s="163" t="str">
        <f>IFERROR(__xludf.DUMMYFUNCTION("""COMPUTED_VALUE"""),"SF")</f>
        <v>SF</v>
      </c>
      <c r="I2837" s="163">
        <f>IFERROR(__xludf.DUMMYFUNCTION("""COMPUTED_VALUE"""),25.0)</f>
        <v>25</v>
      </c>
      <c r="J2837" s="165">
        <f>IFERROR(__xludf.DUMMYFUNCTION("""COMPUTED_VALUE"""),-1.19220591103368)</f>
        <v>-1.192205911</v>
      </c>
      <c r="K2837" s="165">
        <f>IFERROR(__xludf.DUMMYFUNCTION("""COMPUTED_VALUE"""),-0.453855583258632)</f>
        <v>-0.4538555833</v>
      </c>
      <c r="L2837" s="165">
        <f>IFERROR(__xludf.DUMMYFUNCTION("""COMPUTED_VALUE"""),-0.738350327775047)</f>
        <v>-0.7383503278</v>
      </c>
      <c r="M2837" s="166">
        <f t="shared" si="2"/>
        <v>0.7237001642</v>
      </c>
      <c r="N2837" s="167">
        <f t="shared" si="3"/>
        <v>25.09397436</v>
      </c>
      <c r="O2837" s="163">
        <f t="shared" ref="O2837:Q2837" si="2841">rank(I2837,I:I)</f>
        <v>1995</v>
      </c>
      <c r="P2837" s="163">
        <f t="shared" si="2841"/>
        <v>2734</v>
      </c>
      <c r="Q2837" s="163">
        <f t="shared" si="2841"/>
        <v>2041</v>
      </c>
      <c r="R2837" s="163">
        <f>IFERROR(__xludf.DUMMYFUNCTION("RANK(M2837,filter(M:M,C:C=C2837))"),256.0)</f>
        <v>256</v>
      </c>
      <c r="S2837" s="161" t="b">
        <f t="shared" si="5"/>
        <v>0</v>
      </c>
      <c r="T2837" s="161" t="b">
        <f t="array" ref="T2837">index('Query Tool'!B:B,match(H2837,'Query Tool'!C:C,0))</f>
        <v>1</v>
      </c>
      <c r="U2837" s="161" t="b">
        <f t="array" ref="U2837">index('Query Tool'!B:B,match(C2837,'Query Tool'!C:C,0))</f>
        <v>0</v>
      </c>
      <c r="V2837" s="161" t="b">
        <f>F2837&gt;='Query Tool'!C$32</f>
        <v>1</v>
      </c>
      <c r="W2837" s="161" t="b">
        <f t="array" ref="W2837">index(Dropdowns!B:B,match(I2837,Dropdowns!A:A,0))</f>
        <v>1</v>
      </c>
      <c r="X2837" s="161" t="b">
        <f t="array" ref="X2837">index('Query Tool'!B:B,match(D2837,'Query Tool'!C:C,0))</f>
        <v>1</v>
      </c>
      <c r="Y2837" s="161" t="str">
        <f t="shared" si="6"/>
        <v>houseda01,2018-19</v>
      </c>
      <c r="Z2837" s="168">
        <f t="array" ref="Z2837">iferror(index(I:I,match($A2837&amp;","&amp;index('Year Conversion'!$A:$A,match($C2837,'Year Conversion'!$B:$B,0)),$Y:$Y,0))-I2837,"")</f>
        <v>1</v>
      </c>
      <c r="AA2837" s="168">
        <f t="array" ref="AA2837">iferror(index(J:J,match($A2837&amp;","&amp;index('Year Conversion'!$A:$A,match($C2837,'Year Conversion'!$B:$B,0)),$Y:$Y,0))-J2837,"")</f>
        <v>1.902646533</v>
      </c>
      <c r="AB2837" s="168">
        <f t="array" ref="AB2837">iferror(index(K:K,match($A2837&amp;","&amp;index('Year Conversion'!$A:$A,match($C2837,'Year Conversion'!$B:$B,0)),$Y:$Y,0))-K2837,"")</f>
        <v>0.7799956328</v>
      </c>
      <c r="AC2837" s="168" t="str">
        <f t="shared" si="7"/>
        <v>HOU,2018-19</v>
      </c>
    </row>
    <row r="2838">
      <c r="A2838" s="161" t="str">
        <f>IFERROR(__xludf.DUMMYFUNCTION("""COMPUTED_VALUE"""),"jonesja04")</f>
        <v>jonesja04</v>
      </c>
      <c r="B2838" s="161" t="str">
        <f>IFERROR(__xludf.DUMMYFUNCTION("""COMPUTED_VALUE"""),"Jalen Jones")</f>
        <v>Jalen Jones</v>
      </c>
      <c r="C2838" s="162" t="str">
        <f>IFERROR(__xludf.DUMMYFUNCTION("""COMPUTED_VALUE"""),"2018-19")</f>
        <v>2018-19</v>
      </c>
      <c r="D2838" s="163" t="str">
        <f>IFERROR(__xludf.DUMMYFUNCTION("""COMPUTED_VALUE"""),"CLE")</f>
        <v>CLE</v>
      </c>
      <c r="E2838" s="164" t="str">
        <f>IFERROR(__xludf.DUMMYFUNCTION("""COMPUTED_VALUE"""),"Stationary Shooter")</f>
        <v>Stationary Shooter</v>
      </c>
      <c r="F2838" s="164">
        <f>IFERROR(__xludf.DUMMYFUNCTION("""COMPUTED_VALUE"""),214.123333333334)</f>
        <v>214.1233333</v>
      </c>
      <c r="G2838" s="163">
        <f>IFERROR(__xludf.DUMMYFUNCTION("""COMPUTED_VALUE"""),16.0)</f>
        <v>16</v>
      </c>
      <c r="H2838" s="163" t="str">
        <f>IFERROR(__xludf.DUMMYFUNCTION("""COMPUTED_VALUE"""),"SF")</f>
        <v>SF</v>
      </c>
      <c r="I2838" s="163">
        <f>IFERROR(__xludf.DUMMYFUNCTION("""COMPUTED_VALUE"""),25.0)</f>
        <v>25</v>
      </c>
      <c r="J2838" s="165">
        <f>IFERROR(__xludf.DUMMYFUNCTION("""COMPUTED_VALUE"""),-0.580867642025605)</f>
        <v>-0.580867642</v>
      </c>
      <c r="K2838" s="165">
        <f>IFERROR(__xludf.DUMMYFUNCTION("""COMPUTED_VALUE"""),-0.907065850579986)</f>
        <v>-0.9070658506</v>
      </c>
      <c r="L2838" s="165">
        <f>IFERROR(__xludf.DUMMYFUNCTION("""COMPUTED_VALUE"""),0.326198208554381)</f>
        <v>0.3261982086</v>
      </c>
      <c r="M2838" s="166">
        <f t="shared" si="2"/>
        <v>0.2462921679</v>
      </c>
      <c r="N2838" s="167">
        <f t="shared" si="3"/>
        <v>13.38270833</v>
      </c>
      <c r="O2838" s="163">
        <f t="shared" ref="O2838:Q2838" si="2842">rank(I2838,I:I)</f>
        <v>1995</v>
      </c>
      <c r="P2838" s="163">
        <f t="shared" si="2842"/>
        <v>1964</v>
      </c>
      <c r="Q2838" s="163">
        <f t="shared" si="2842"/>
        <v>2700</v>
      </c>
      <c r="R2838" s="163">
        <f>IFERROR(__xludf.DUMMYFUNCTION("RANK(M2838,filter(M:M,C:C=C2838))"),333.0)</f>
        <v>333</v>
      </c>
      <c r="S2838" s="161" t="b">
        <f t="shared" si="5"/>
        <v>0</v>
      </c>
      <c r="T2838" s="161" t="b">
        <f t="array" ref="T2838">index('Query Tool'!B:B,match(H2838,'Query Tool'!C:C,0))</f>
        <v>1</v>
      </c>
      <c r="U2838" s="161" t="b">
        <f t="array" ref="U2838">index('Query Tool'!B:B,match(C2838,'Query Tool'!C:C,0))</f>
        <v>0</v>
      </c>
      <c r="V2838" s="161" t="b">
        <f>F2838&gt;='Query Tool'!C$32</f>
        <v>0</v>
      </c>
      <c r="W2838" s="161" t="b">
        <f t="array" ref="W2838">index(Dropdowns!B:B,match(I2838,Dropdowns!A:A,0))</f>
        <v>1</v>
      </c>
      <c r="X2838" s="161" t="b">
        <f t="array" ref="X2838">index('Query Tool'!B:B,match(D2838,'Query Tool'!C:C,0))</f>
        <v>1</v>
      </c>
      <c r="Y2838" s="161" t="str">
        <f t="shared" si="6"/>
        <v>jonesja04,2018-19</v>
      </c>
      <c r="Z2838" s="168" t="str">
        <f t="array" ref="Z2838">iferror(index(I:I,match($A2838&amp;","&amp;index('Year Conversion'!$A:$A,match($C2838,'Year Conversion'!$B:$B,0)),$Y:$Y,0))-I2838,"")</f>
        <v/>
      </c>
      <c r="AA2838" s="168" t="str">
        <f t="array" ref="AA2838">iferror(index(J:J,match($A2838&amp;","&amp;index('Year Conversion'!$A:$A,match($C2838,'Year Conversion'!$B:$B,0)),$Y:$Y,0))-J2838,"")</f>
        <v/>
      </c>
      <c r="AB2838" s="168" t="str">
        <f t="array" ref="AB2838">iferror(index(K:K,match($A2838&amp;","&amp;index('Year Conversion'!$A:$A,match($C2838,'Year Conversion'!$B:$B,0)),$Y:$Y,0))-K2838,"")</f>
        <v/>
      </c>
      <c r="AC2838" s="168" t="str">
        <f t="shared" si="7"/>
        <v>CLE,2018-19</v>
      </c>
    </row>
    <row r="2839">
      <c r="A2839" s="161" t="str">
        <f>IFERROR(__xludf.DUMMYFUNCTION("""COMPUTED_VALUE"""),"jonesde02")</f>
        <v>jonesde02</v>
      </c>
      <c r="B2839" s="161" t="str">
        <f>IFERROR(__xludf.DUMMYFUNCTION("""COMPUTED_VALUE"""),"Derrick Jones Jr.")</f>
        <v>Derrick Jones Jr.</v>
      </c>
      <c r="C2839" s="162" t="str">
        <f>IFERROR(__xludf.DUMMYFUNCTION("""COMPUTED_VALUE"""),"2018-19")</f>
        <v>2018-19</v>
      </c>
      <c r="D2839" s="163" t="str">
        <f>IFERROR(__xludf.DUMMYFUNCTION("""COMPUTED_VALUE"""),"MIA")</f>
        <v>MIA</v>
      </c>
      <c r="E2839" s="164" t="str">
        <f>IFERROR(__xludf.DUMMYFUNCTION("""COMPUTED_VALUE"""),"Stretch Big")</f>
        <v>Stretch Big</v>
      </c>
      <c r="F2839" s="164">
        <f>IFERROR(__xludf.DUMMYFUNCTION("""COMPUTED_VALUE"""),1153.53666666667)</f>
        <v>1153.536667</v>
      </c>
      <c r="G2839" s="163">
        <f>IFERROR(__xludf.DUMMYFUNCTION("""COMPUTED_VALUE"""),60.0)</f>
        <v>60</v>
      </c>
      <c r="H2839" s="163" t="str">
        <f>IFERROR(__xludf.DUMMYFUNCTION("""COMPUTED_VALUE"""),"SF")</f>
        <v>SF</v>
      </c>
      <c r="I2839" s="163">
        <f>IFERROR(__xludf.DUMMYFUNCTION("""COMPUTED_VALUE"""),21.0)</f>
        <v>21</v>
      </c>
      <c r="J2839" s="165">
        <f>IFERROR(__xludf.DUMMYFUNCTION("""COMPUTED_VALUE"""),-0.412287187620028)</f>
        <v>-0.4122871876</v>
      </c>
      <c r="K2839" s="165">
        <f>IFERROR(__xludf.DUMMYFUNCTION("""COMPUTED_VALUE"""),-1.22484502379462)</f>
        <v>-1.224845024</v>
      </c>
      <c r="L2839" s="165">
        <f>IFERROR(__xludf.DUMMYFUNCTION("""COMPUTED_VALUE"""),0.812557836174596)</f>
        <v>0.8125578362</v>
      </c>
      <c r="M2839" s="166">
        <f t="shared" si="2"/>
        <v>1.457807872</v>
      </c>
      <c r="N2839" s="167">
        <f t="shared" si="3"/>
        <v>19.22561111</v>
      </c>
      <c r="O2839" s="163">
        <f t="shared" ref="O2839:Q2839" si="2843">rank(I2839,I:I)</f>
        <v>3528</v>
      </c>
      <c r="P2839" s="163">
        <f t="shared" si="2843"/>
        <v>1744</v>
      </c>
      <c r="Q2839" s="163">
        <f t="shared" si="2843"/>
        <v>3057</v>
      </c>
      <c r="R2839" s="163">
        <f>IFERROR(__xludf.DUMMYFUNCTION("RANK(M2839,filter(M:M,C:C=C2839))"),188.0)</f>
        <v>188</v>
      </c>
      <c r="S2839" s="161" t="b">
        <f t="shared" si="5"/>
        <v>0</v>
      </c>
      <c r="T2839" s="161" t="b">
        <f t="array" ref="T2839">index('Query Tool'!B:B,match(H2839,'Query Tool'!C:C,0))</f>
        <v>1</v>
      </c>
      <c r="U2839" s="161" t="b">
        <f t="array" ref="U2839">index('Query Tool'!B:B,match(C2839,'Query Tool'!C:C,0))</f>
        <v>0</v>
      </c>
      <c r="V2839" s="161" t="b">
        <f>F2839&gt;='Query Tool'!C$32</f>
        <v>1</v>
      </c>
      <c r="W2839" s="161" t="b">
        <f t="array" ref="W2839">index(Dropdowns!B:B,match(I2839,Dropdowns!A:A,0))</f>
        <v>1</v>
      </c>
      <c r="X2839" s="161" t="b">
        <f t="array" ref="X2839">index('Query Tool'!B:B,match(D2839,'Query Tool'!C:C,0))</f>
        <v>1</v>
      </c>
      <c r="Y2839" s="161" t="str">
        <f t="shared" si="6"/>
        <v>jonesde02,2018-19</v>
      </c>
      <c r="Z2839" s="168">
        <f t="array" ref="Z2839">iferror(index(I:I,match($A2839&amp;","&amp;index('Year Conversion'!$A:$A,match($C2839,'Year Conversion'!$B:$B,0)),$Y:$Y,0))-I2839,"")</f>
        <v>1</v>
      </c>
      <c r="AA2839" s="168">
        <f t="array" ref="AA2839">iferror(index(J:J,match($A2839&amp;","&amp;index('Year Conversion'!$A:$A,match($C2839,'Year Conversion'!$B:$B,0)),$Y:$Y,0))-J2839,"")</f>
        <v>-0.1375299452</v>
      </c>
      <c r="AB2839" s="168">
        <f t="array" ref="AB2839">iferror(index(K:K,match($A2839&amp;","&amp;index('Year Conversion'!$A:$A,match($C2839,'Year Conversion'!$B:$B,0)),$Y:$Y,0))-K2839,"")</f>
        <v>1.261696521</v>
      </c>
      <c r="AC2839" s="168" t="str">
        <f t="shared" si="7"/>
        <v>MIA,2018-19</v>
      </c>
    </row>
    <row r="2840">
      <c r="A2840" s="161" t="str">
        <f>IFERROR(__xludf.DUMMYFUNCTION("""COMPUTED_VALUE"""),"harrish01")</f>
        <v>harrish01</v>
      </c>
      <c r="B2840" s="161" t="str">
        <f>IFERROR(__xludf.DUMMYFUNCTION("""COMPUTED_VALUE"""),"Shaquille Harrison")</f>
        <v>Shaquille Harrison</v>
      </c>
      <c r="C2840" s="162" t="str">
        <f>IFERROR(__xludf.DUMMYFUNCTION("""COMPUTED_VALUE"""),"2018-19")</f>
        <v>2018-19</v>
      </c>
      <c r="D2840" s="163" t="str">
        <f>IFERROR(__xludf.DUMMYFUNCTION("""COMPUTED_VALUE"""),"CHI")</f>
        <v>CHI</v>
      </c>
      <c r="E2840" s="164" t="str">
        <f>IFERROR(__xludf.DUMMYFUNCTION("""COMPUTED_VALUE"""),"Slasher")</f>
        <v>Slasher</v>
      </c>
      <c r="F2840" s="164">
        <f>IFERROR(__xludf.DUMMYFUNCTION("""COMPUTED_VALUE"""),1429.97)</f>
        <v>1429.97</v>
      </c>
      <c r="G2840" s="163">
        <f>IFERROR(__xludf.DUMMYFUNCTION("""COMPUTED_VALUE"""),73.0)</f>
        <v>73</v>
      </c>
      <c r="H2840" s="163" t="str">
        <f>IFERROR(__xludf.DUMMYFUNCTION("""COMPUTED_VALUE"""),"SG")</f>
        <v>SG</v>
      </c>
      <c r="I2840" s="163">
        <f>IFERROR(__xludf.DUMMYFUNCTION("""COMPUTED_VALUE"""),25.0)</f>
        <v>25</v>
      </c>
      <c r="J2840" s="165">
        <f>IFERROR(__xludf.DUMMYFUNCTION("""COMPUTED_VALUE"""),-2.40980254906838)</f>
        <v>-2.409802549</v>
      </c>
      <c r="K2840" s="165">
        <f>IFERROR(__xludf.DUMMYFUNCTION("""COMPUTED_VALUE"""),-2.01873761176829)</f>
        <v>-2.018737612</v>
      </c>
      <c r="L2840" s="165">
        <f>IFERROR(__xludf.DUMMYFUNCTION("""COMPUTED_VALUE"""),-0.391064937300086)</f>
        <v>-0.3910649373</v>
      </c>
      <c r="M2840" s="166">
        <f t="shared" si="2"/>
        <v>-0.1001215925</v>
      </c>
      <c r="N2840" s="167">
        <f t="shared" si="3"/>
        <v>19.58863014</v>
      </c>
      <c r="O2840" s="163">
        <f t="shared" ref="O2840:Q2840" si="2844">rank(I2840,I:I)</f>
        <v>1995</v>
      </c>
      <c r="P2840" s="163">
        <f t="shared" si="2844"/>
        <v>3721</v>
      </c>
      <c r="Q2840" s="163">
        <f t="shared" si="2844"/>
        <v>3715</v>
      </c>
      <c r="R2840" s="163">
        <f>IFERROR(__xludf.DUMMYFUNCTION("RANK(M2840,filter(M:M,C:C=C2840))"),494.0)</f>
        <v>494</v>
      </c>
      <c r="S2840" s="161" t="b">
        <f t="shared" si="5"/>
        <v>0</v>
      </c>
      <c r="T2840" s="161" t="b">
        <f t="array" ref="T2840">index('Query Tool'!B:B,match(H2840,'Query Tool'!C:C,0))</f>
        <v>1</v>
      </c>
      <c r="U2840" s="161" t="b">
        <f t="array" ref="U2840">index('Query Tool'!B:B,match(C2840,'Query Tool'!C:C,0))</f>
        <v>0</v>
      </c>
      <c r="V2840" s="161" t="b">
        <f>F2840&gt;='Query Tool'!C$32</f>
        <v>1</v>
      </c>
      <c r="W2840" s="161" t="b">
        <f t="array" ref="W2840">index(Dropdowns!B:B,match(I2840,Dropdowns!A:A,0))</f>
        <v>1</v>
      </c>
      <c r="X2840" s="161" t="b">
        <f t="array" ref="X2840">index('Query Tool'!B:B,match(D2840,'Query Tool'!C:C,0))</f>
        <v>1</v>
      </c>
      <c r="Y2840" s="161" t="str">
        <f t="shared" si="6"/>
        <v>harrish01,2018-19</v>
      </c>
      <c r="Z2840" s="168">
        <f t="array" ref="Z2840">iferror(index(I:I,match($A2840&amp;","&amp;index('Year Conversion'!$A:$A,match($C2840,'Year Conversion'!$B:$B,0)),$Y:$Y,0))-I2840,"")</f>
        <v>1</v>
      </c>
      <c r="AA2840" s="168">
        <f t="array" ref="AA2840">iferror(index(J:J,match($A2840&amp;","&amp;index('Year Conversion'!$A:$A,match($C2840,'Year Conversion'!$B:$B,0)),$Y:$Y,0))-J2840,"")</f>
        <v>3.779455752</v>
      </c>
      <c r="AB2840" s="168">
        <f t="array" ref="AB2840">iferror(index(K:K,match($A2840&amp;","&amp;index('Year Conversion'!$A:$A,match($C2840,'Year Conversion'!$B:$B,0)),$Y:$Y,0))-K2840,"")</f>
        <v>1.745935474</v>
      </c>
      <c r="AC2840" s="168" t="str">
        <f t="shared" si="7"/>
        <v>CHI,2018-19</v>
      </c>
    </row>
    <row r="2841">
      <c r="A2841" s="161" t="str">
        <f>IFERROR(__xludf.DUMMYFUNCTION("""COMPUTED_VALUE"""),"carusal01")</f>
        <v>carusal01</v>
      </c>
      <c r="B2841" s="161" t="str">
        <f>IFERROR(__xludf.DUMMYFUNCTION("""COMPUTED_VALUE"""),"Alex Caruso")</f>
        <v>Alex Caruso</v>
      </c>
      <c r="C2841" s="162" t="str">
        <f>IFERROR(__xludf.DUMMYFUNCTION("""COMPUTED_VALUE"""),"2018-19")</f>
        <v>2018-19</v>
      </c>
      <c r="D2841" s="163" t="str">
        <f>IFERROR(__xludf.DUMMYFUNCTION("""COMPUTED_VALUE"""),"LAL")</f>
        <v>LAL</v>
      </c>
      <c r="E2841" s="164" t="str">
        <f>IFERROR(__xludf.DUMMYFUNCTION("""COMPUTED_VALUE"""),"Secondary Ball Handler")</f>
        <v>Secondary Ball Handler</v>
      </c>
      <c r="F2841" s="164">
        <f>IFERROR(__xludf.DUMMYFUNCTION("""COMPUTED_VALUE"""),531.126666666667)</f>
        <v>531.1266667</v>
      </c>
      <c r="G2841" s="163">
        <f>IFERROR(__xludf.DUMMYFUNCTION("""COMPUTED_VALUE"""),25.0)</f>
        <v>25</v>
      </c>
      <c r="H2841" s="163" t="str">
        <f>IFERROR(__xludf.DUMMYFUNCTION("""COMPUTED_VALUE"""),"PG")</f>
        <v>PG</v>
      </c>
      <c r="I2841" s="163">
        <f>IFERROR(__xludf.DUMMYFUNCTION("""COMPUTED_VALUE"""),24.0)</f>
        <v>24</v>
      </c>
      <c r="J2841" s="165">
        <f>IFERROR(__xludf.DUMMYFUNCTION("""COMPUTED_VALUE"""),-0.407299885809674)</f>
        <v>-0.4072998858</v>
      </c>
      <c r="K2841" s="165">
        <f>IFERROR(__xludf.DUMMYFUNCTION("""COMPUTED_VALUE"""),-0.335663658892314)</f>
        <v>-0.3356636589</v>
      </c>
      <c r="L2841" s="165">
        <f>IFERROR(__xludf.DUMMYFUNCTION("""COMPUTED_VALUE"""),-0.0716362269173599)</f>
        <v>-0.07163622692</v>
      </c>
      <c r="M2841" s="166">
        <f t="shared" si="2"/>
        <v>0.6730078594</v>
      </c>
      <c r="N2841" s="167">
        <f t="shared" si="3"/>
        <v>21.24506667</v>
      </c>
      <c r="O2841" s="163">
        <f t="shared" ref="O2841:Q2841" si="2845">rank(I2841,I:I)</f>
        <v>2361</v>
      </c>
      <c r="P2841" s="163">
        <f t="shared" si="2845"/>
        <v>1736</v>
      </c>
      <c r="Q2841" s="163">
        <f t="shared" si="2845"/>
        <v>1826</v>
      </c>
      <c r="R2841" s="163">
        <f>IFERROR(__xludf.DUMMYFUNCTION("RANK(M2841,filter(M:M,C:C=C2841))"),260.0)</f>
        <v>260</v>
      </c>
      <c r="S2841" s="161" t="b">
        <f t="shared" si="5"/>
        <v>0</v>
      </c>
      <c r="T2841" s="161" t="b">
        <f t="array" ref="T2841">index('Query Tool'!B:B,match(H2841,'Query Tool'!C:C,0))</f>
        <v>1</v>
      </c>
      <c r="U2841" s="161" t="b">
        <f t="array" ref="U2841">index('Query Tool'!B:B,match(C2841,'Query Tool'!C:C,0))</f>
        <v>0</v>
      </c>
      <c r="V2841" s="161" t="b">
        <f>F2841&gt;='Query Tool'!C$32</f>
        <v>1</v>
      </c>
      <c r="W2841" s="161" t="b">
        <f t="array" ref="W2841">index(Dropdowns!B:B,match(I2841,Dropdowns!A:A,0))</f>
        <v>1</v>
      </c>
      <c r="X2841" s="161" t="b">
        <f t="array" ref="X2841">index('Query Tool'!B:B,match(D2841,'Query Tool'!C:C,0))</f>
        <v>1</v>
      </c>
      <c r="Y2841" s="161" t="str">
        <f t="shared" si="6"/>
        <v>carusal01,2018-19</v>
      </c>
      <c r="Z2841" s="168">
        <f t="array" ref="Z2841">iferror(index(I:I,match($A2841&amp;","&amp;index('Year Conversion'!$A:$A,match($C2841,'Year Conversion'!$B:$B,0)),$Y:$Y,0))-I2841,"")</f>
        <v>1</v>
      </c>
      <c r="AA2841" s="168">
        <f t="array" ref="AA2841">iferror(index(J:J,match($A2841&amp;","&amp;index('Year Conversion'!$A:$A,match($C2841,'Year Conversion'!$B:$B,0)),$Y:$Y,0))-J2841,"")</f>
        <v>1.208173234</v>
      </c>
      <c r="AB2841" s="168">
        <f t="array" ref="AB2841">iferror(index(K:K,match($A2841&amp;","&amp;index('Year Conversion'!$A:$A,match($C2841,'Year Conversion'!$B:$B,0)),$Y:$Y,0))-K2841,"")</f>
        <v>-0.3629626876</v>
      </c>
      <c r="AC2841" s="168" t="str">
        <f t="shared" si="7"/>
        <v>LAL,2018-19</v>
      </c>
    </row>
    <row r="2842">
      <c r="A2842" s="161" t="str">
        <f>IFERROR(__xludf.DUMMYFUNCTION("""COMPUTED_VALUE"""),"nwabada01")</f>
        <v>nwabada01</v>
      </c>
      <c r="B2842" s="161" t="str">
        <f>IFERROR(__xludf.DUMMYFUNCTION("""COMPUTED_VALUE"""),"David Nwaba")</f>
        <v>David Nwaba</v>
      </c>
      <c r="C2842" s="162" t="str">
        <f>IFERROR(__xludf.DUMMYFUNCTION("""COMPUTED_VALUE"""),"2018-19")</f>
        <v>2018-19</v>
      </c>
      <c r="D2842" s="163" t="str">
        <f>IFERROR(__xludf.DUMMYFUNCTION("""COMPUTED_VALUE"""),"CLE")</f>
        <v>CLE</v>
      </c>
      <c r="E2842" s="164" t="str">
        <f>IFERROR(__xludf.DUMMYFUNCTION("""COMPUTED_VALUE"""),"Athletic Finisher")</f>
        <v>Athletic Finisher</v>
      </c>
      <c r="F2842" s="164">
        <f>IFERROR(__xludf.DUMMYFUNCTION("""COMPUTED_VALUE"""),984.23)</f>
        <v>984.23</v>
      </c>
      <c r="G2842" s="163">
        <f>IFERROR(__xludf.DUMMYFUNCTION("""COMPUTED_VALUE"""),51.0)</f>
        <v>51</v>
      </c>
      <c r="H2842" s="163" t="str">
        <f>IFERROR(__xludf.DUMMYFUNCTION("""COMPUTED_VALUE"""),"SF")</f>
        <v>SF</v>
      </c>
      <c r="I2842" s="163">
        <f>IFERROR(__xludf.DUMMYFUNCTION("""COMPUTED_VALUE"""),26.0)</f>
        <v>26</v>
      </c>
      <c r="J2842" s="165">
        <f>IFERROR(__xludf.DUMMYFUNCTION("""COMPUTED_VALUE"""),0.226427031066848)</f>
        <v>0.2264270311</v>
      </c>
      <c r="K2842" s="165">
        <f>IFERROR(__xludf.DUMMYFUNCTION("""COMPUTED_VALUE"""),-0.442271155634424)</f>
        <v>-0.4422711556</v>
      </c>
      <c r="L2842" s="165">
        <f>IFERROR(__xludf.DUMMYFUNCTION("""COMPUTED_VALUE"""),0.668698186701272)</f>
        <v>0.6686981867</v>
      </c>
      <c r="M2842" s="166">
        <f t="shared" si="2"/>
        <v>1.667591315</v>
      </c>
      <c r="N2842" s="167">
        <f t="shared" si="3"/>
        <v>19.29862745</v>
      </c>
      <c r="O2842" s="163">
        <f t="shared" ref="O2842:Q2842" si="2846">rank(I2842,I:I)</f>
        <v>1665</v>
      </c>
      <c r="P2842" s="163">
        <f t="shared" si="2846"/>
        <v>1070</v>
      </c>
      <c r="Q2842" s="163">
        <f t="shared" si="2846"/>
        <v>2021</v>
      </c>
      <c r="R2842" s="163">
        <f>IFERROR(__xludf.DUMMYFUNCTION("RANK(M2842,filter(M:M,C:C=C2842))"),178.0)</f>
        <v>178</v>
      </c>
      <c r="S2842" s="161" t="b">
        <f t="shared" si="5"/>
        <v>0</v>
      </c>
      <c r="T2842" s="161" t="b">
        <f t="array" ref="T2842">index('Query Tool'!B:B,match(H2842,'Query Tool'!C:C,0))</f>
        <v>1</v>
      </c>
      <c r="U2842" s="161" t="b">
        <f t="array" ref="U2842">index('Query Tool'!B:B,match(C2842,'Query Tool'!C:C,0))</f>
        <v>0</v>
      </c>
      <c r="V2842" s="161" t="b">
        <f>F2842&gt;='Query Tool'!C$32</f>
        <v>1</v>
      </c>
      <c r="W2842" s="161" t="b">
        <f t="array" ref="W2842">index(Dropdowns!B:B,match(I2842,Dropdowns!A:A,0))</f>
        <v>1</v>
      </c>
      <c r="X2842" s="161" t="b">
        <f t="array" ref="X2842">index('Query Tool'!B:B,match(D2842,'Query Tool'!C:C,0))</f>
        <v>1</v>
      </c>
      <c r="Y2842" s="161" t="str">
        <f t="shared" si="6"/>
        <v>nwabada01,2018-19</v>
      </c>
      <c r="Z2842" s="168">
        <f t="array" ref="Z2842">iferror(index(I:I,match($A2842&amp;","&amp;index('Year Conversion'!$A:$A,match($C2842,'Year Conversion'!$B:$B,0)),$Y:$Y,0))-I2842,"")</f>
        <v>1</v>
      </c>
      <c r="AA2842" s="168">
        <f t="array" ref="AA2842">iferror(index(J:J,match($A2842&amp;","&amp;index('Year Conversion'!$A:$A,match($C2842,'Year Conversion'!$B:$B,0)),$Y:$Y,0))-J2842,"")</f>
        <v>-0.6203984392</v>
      </c>
      <c r="AB2842" s="168">
        <f t="array" ref="AB2842">iferror(index(K:K,match($A2842&amp;","&amp;index('Year Conversion'!$A:$A,match($C2842,'Year Conversion'!$B:$B,0)),$Y:$Y,0))-K2842,"")</f>
        <v>-1.408853105</v>
      </c>
      <c r="AC2842" s="168" t="str">
        <f t="shared" si="7"/>
        <v>CLE,2018-19</v>
      </c>
    </row>
    <row r="2843">
      <c r="A2843" s="161" t="str">
        <f>IFERROR(__xludf.DUMMYFUNCTION("""COMPUTED_VALUE"""),"mckinal01")</f>
        <v>mckinal01</v>
      </c>
      <c r="B2843" s="161" t="str">
        <f>IFERROR(__xludf.DUMMYFUNCTION("""COMPUTED_VALUE"""),"Alfonzo McKinnie")</f>
        <v>Alfonzo McKinnie</v>
      </c>
      <c r="C2843" s="162" t="str">
        <f>IFERROR(__xludf.DUMMYFUNCTION("""COMPUTED_VALUE"""),"2018-19")</f>
        <v>2018-19</v>
      </c>
      <c r="D2843" s="163" t="str">
        <f>IFERROR(__xludf.DUMMYFUNCTION("""COMPUTED_VALUE"""),"GSW")</f>
        <v>GSW</v>
      </c>
      <c r="E2843" s="164" t="str">
        <f>IFERROR(__xludf.DUMMYFUNCTION("""COMPUTED_VALUE"""),"Athletic Finisher")</f>
        <v>Athletic Finisher</v>
      </c>
      <c r="F2843" s="164">
        <f>IFERROR(__xludf.DUMMYFUNCTION("""COMPUTED_VALUE"""),1003.35833333333)</f>
        <v>1003.358333</v>
      </c>
      <c r="G2843" s="163">
        <f>IFERROR(__xludf.DUMMYFUNCTION("""COMPUTED_VALUE"""),72.0)</f>
        <v>72</v>
      </c>
      <c r="H2843" s="163" t="str">
        <f>IFERROR(__xludf.DUMMYFUNCTION("""COMPUTED_VALUE"""),"SF")</f>
        <v>SF</v>
      </c>
      <c r="I2843" s="163">
        <f>IFERROR(__xludf.DUMMYFUNCTION("""COMPUTED_VALUE"""),26.0)</f>
        <v>26</v>
      </c>
      <c r="J2843" s="165">
        <f>IFERROR(__xludf.DUMMYFUNCTION("""COMPUTED_VALUE"""),-2.50537685543221)</f>
        <v>-2.505376855</v>
      </c>
      <c r="K2843" s="165">
        <f>IFERROR(__xludf.DUMMYFUNCTION("""COMPUTED_VALUE"""),-1.60746751610192)</f>
        <v>-1.607467516</v>
      </c>
      <c r="L2843" s="165">
        <f>IFERROR(__xludf.DUMMYFUNCTION("""COMPUTED_VALUE"""),-0.897909339330287)</f>
        <v>-0.8979093393</v>
      </c>
      <c r="M2843" s="166">
        <f t="shared" si="2"/>
        <v>-0.1333026605</v>
      </c>
      <c r="N2843" s="167">
        <f t="shared" si="3"/>
        <v>13.93553241</v>
      </c>
      <c r="O2843" s="163">
        <f t="shared" ref="O2843:Q2843" si="2847">rank(I2843,I:I)</f>
        <v>1665</v>
      </c>
      <c r="P2843" s="163">
        <f t="shared" si="2847"/>
        <v>3755</v>
      </c>
      <c r="Q2843" s="163">
        <f t="shared" si="2847"/>
        <v>3448</v>
      </c>
      <c r="R2843" s="163">
        <f>IFERROR(__xludf.DUMMYFUNCTION("RANK(M2843,filter(M:M,C:C=C2843))"),501.0)</f>
        <v>501</v>
      </c>
      <c r="S2843" s="161" t="b">
        <f t="shared" si="5"/>
        <v>0</v>
      </c>
      <c r="T2843" s="161" t="b">
        <f t="array" ref="T2843">index('Query Tool'!B:B,match(H2843,'Query Tool'!C:C,0))</f>
        <v>1</v>
      </c>
      <c r="U2843" s="161" t="b">
        <f t="array" ref="U2843">index('Query Tool'!B:B,match(C2843,'Query Tool'!C:C,0))</f>
        <v>0</v>
      </c>
      <c r="V2843" s="161" t="b">
        <f>F2843&gt;='Query Tool'!C$32</f>
        <v>1</v>
      </c>
      <c r="W2843" s="161" t="b">
        <f t="array" ref="W2843">index(Dropdowns!B:B,match(I2843,Dropdowns!A:A,0))</f>
        <v>1</v>
      </c>
      <c r="X2843" s="161" t="b">
        <f t="array" ref="X2843">index('Query Tool'!B:B,match(D2843,'Query Tool'!C:C,0))</f>
        <v>1</v>
      </c>
      <c r="Y2843" s="161" t="str">
        <f t="shared" si="6"/>
        <v>mckinal01,2018-19</v>
      </c>
      <c r="Z2843" s="168">
        <f t="array" ref="Z2843">iferror(index(I:I,match($A2843&amp;","&amp;index('Year Conversion'!$A:$A,match($C2843,'Year Conversion'!$B:$B,0)),$Y:$Y,0))-I2843,"")</f>
        <v>1</v>
      </c>
      <c r="AA2843" s="168">
        <f t="array" ref="AA2843">iferror(index(J:J,match($A2843&amp;","&amp;index('Year Conversion'!$A:$A,match($C2843,'Year Conversion'!$B:$B,0)),$Y:$Y,0))-J2843,"")</f>
        <v>-0.1145603889</v>
      </c>
      <c r="AB2843" s="168">
        <f t="array" ref="AB2843">iferror(index(K:K,match($A2843&amp;","&amp;index('Year Conversion'!$A:$A,match($C2843,'Year Conversion'!$B:$B,0)),$Y:$Y,0))-K2843,"")</f>
        <v>-0.2812644577</v>
      </c>
      <c r="AC2843" s="168" t="str">
        <f t="shared" si="7"/>
        <v>GSW,2018-19</v>
      </c>
    </row>
    <row r="2844">
      <c r="A2844" s="161" t="str">
        <f>IFERROR(__xludf.DUMMYFUNCTION("""COMPUTED_VALUE"""),"loydjo01")</f>
        <v>loydjo01</v>
      </c>
      <c r="B2844" s="161" t="str">
        <f>IFERROR(__xludf.DUMMYFUNCTION("""COMPUTED_VALUE"""),"Jordan Loyd")</f>
        <v>Jordan Loyd</v>
      </c>
      <c r="C2844" s="162" t="str">
        <f>IFERROR(__xludf.DUMMYFUNCTION("""COMPUTED_VALUE"""),"2018-19")</f>
        <v>2018-19</v>
      </c>
      <c r="D2844" s="163" t="str">
        <f>IFERROR(__xludf.DUMMYFUNCTION("""COMPUTED_VALUE"""),"TOR")</f>
        <v>TOR</v>
      </c>
      <c r="E2844" s="164" t="str">
        <f>IFERROR(__xludf.DUMMYFUNCTION("""COMPUTED_VALUE"""),"Secondary Ball Handler")</f>
        <v>Secondary Ball Handler</v>
      </c>
      <c r="F2844" s="164">
        <f>IFERROR(__xludf.DUMMYFUNCTION("""COMPUTED_VALUE"""),54.8333333333333)</f>
        <v>54.83333333</v>
      </c>
      <c r="G2844" s="163">
        <f>IFERROR(__xludf.DUMMYFUNCTION("""COMPUTED_VALUE"""),12.0)</f>
        <v>12</v>
      </c>
      <c r="H2844" s="163" t="str">
        <f>IFERROR(__xludf.DUMMYFUNCTION("""COMPUTED_VALUE"""),"PG")</f>
        <v>PG</v>
      </c>
      <c r="I2844" s="163">
        <f>IFERROR(__xludf.DUMMYFUNCTION("""COMPUTED_VALUE"""),25.0)</f>
        <v>25</v>
      </c>
      <c r="J2844" s="165">
        <f>IFERROR(__xludf.DUMMYFUNCTION("""COMPUTED_VALUE"""),-1.04612968500333)</f>
        <v>-1.046129685</v>
      </c>
      <c r="K2844" s="165">
        <f>IFERROR(__xludf.DUMMYFUNCTION("""COMPUTED_VALUE"""),-0.41139913131408)</f>
        <v>-0.4113991313</v>
      </c>
      <c r="L2844" s="165">
        <f>IFERROR(__xludf.DUMMYFUNCTION("""COMPUTED_VALUE"""),-0.634730553689247)</f>
        <v>-0.6347305537</v>
      </c>
      <c r="M2844" s="166">
        <f t="shared" si="2"/>
        <v>0.04592001004</v>
      </c>
      <c r="N2844" s="167">
        <f t="shared" si="3"/>
        <v>4.569444444</v>
      </c>
      <c r="O2844" s="163">
        <f t="shared" ref="O2844:Q2844" si="2848">rank(I2844,I:I)</f>
        <v>1995</v>
      </c>
      <c r="P2844" s="163">
        <f t="shared" si="2848"/>
        <v>2547</v>
      </c>
      <c r="Q2844" s="163">
        <f t="shared" si="2848"/>
        <v>1964</v>
      </c>
      <c r="R2844" s="163">
        <f>IFERROR(__xludf.DUMMYFUNCTION("RANK(M2844,filter(M:M,C:C=C2844))"),426.0)</f>
        <v>426</v>
      </c>
      <c r="S2844" s="161" t="b">
        <f t="shared" si="5"/>
        <v>0</v>
      </c>
      <c r="T2844" s="161" t="b">
        <f t="array" ref="T2844">index('Query Tool'!B:B,match(H2844,'Query Tool'!C:C,0))</f>
        <v>1</v>
      </c>
      <c r="U2844" s="161" t="b">
        <f t="array" ref="U2844">index('Query Tool'!B:B,match(C2844,'Query Tool'!C:C,0))</f>
        <v>0</v>
      </c>
      <c r="V2844" s="161" t="b">
        <f>F2844&gt;='Query Tool'!C$32</f>
        <v>0</v>
      </c>
      <c r="W2844" s="161" t="b">
        <f t="array" ref="W2844">index(Dropdowns!B:B,match(I2844,Dropdowns!A:A,0))</f>
        <v>1</v>
      </c>
      <c r="X2844" s="161" t="b">
        <f t="array" ref="X2844">index('Query Tool'!B:B,match(D2844,'Query Tool'!C:C,0))</f>
        <v>1</v>
      </c>
      <c r="Y2844" s="161" t="str">
        <f t="shared" si="6"/>
        <v>loydjo01,2018-19</v>
      </c>
      <c r="Z2844" s="168" t="str">
        <f t="array" ref="Z2844">iferror(index(I:I,match($A2844&amp;","&amp;index('Year Conversion'!$A:$A,match($C2844,'Year Conversion'!$B:$B,0)),$Y:$Y,0))-I2844,"")</f>
        <v/>
      </c>
      <c r="AA2844" s="168" t="str">
        <f t="array" ref="AA2844">iferror(index(J:J,match($A2844&amp;","&amp;index('Year Conversion'!$A:$A,match($C2844,'Year Conversion'!$B:$B,0)),$Y:$Y,0))-J2844,"")</f>
        <v/>
      </c>
      <c r="AB2844" s="168" t="str">
        <f t="array" ref="AB2844">iferror(index(K:K,match($A2844&amp;","&amp;index('Year Conversion'!$A:$A,match($C2844,'Year Conversion'!$B:$B,0)),$Y:$Y,0))-K2844,"")</f>
        <v/>
      </c>
      <c r="AC2844" s="168" t="str">
        <f t="shared" si="7"/>
        <v>TOR,2018-19</v>
      </c>
    </row>
    <row r="2845">
      <c r="A2845" s="161" t="str">
        <f>IFERROR(__xludf.DUMMYFUNCTION("""COMPUTED_VALUE"""),"creekmi01")</f>
        <v>creekmi01</v>
      </c>
      <c r="B2845" s="161" t="str">
        <f>IFERROR(__xludf.DUMMYFUNCTION("""COMPUTED_VALUE"""),"Mitchell Creek")</f>
        <v>Mitchell Creek</v>
      </c>
      <c r="C2845" s="162" t="str">
        <f>IFERROR(__xludf.DUMMYFUNCTION("""COMPUTED_VALUE"""),"2018-19")</f>
        <v>2018-19</v>
      </c>
      <c r="D2845" s="163" t="str">
        <f>IFERROR(__xludf.DUMMYFUNCTION("""COMPUTED_VALUE"""),"TOT")</f>
        <v>TOT</v>
      </c>
      <c r="E2845" s="164" t="str">
        <f>IFERROR(__xludf.DUMMYFUNCTION("""COMPUTED_VALUE"""),"Roll + Cut Big")</f>
        <v>Roll + Cut Big</v>
      </c>
      <c r="F2845" s="164">
        <f>IFERROR(__xludf.DUMMYFUNCTION("""COMPUTED_VALUE"""),47.1500000000001)</f>
        <v>47.15</v>
      </c>
      <c r="G2845" s="163">
        <f>IFERROR(__xludf.DUMMYFUNCTION("""COMPUTED_VALUE"""),5.0)</f>
        <v>5</v>
      </c>
      <c r="H2845" s="163" t="str">
        <f>IFERROR(__xludf.DUMMYFUNCTION("""COMPUTED_VALUE"""),"SF")</f>
        <v>SF</v>
      </c>
      <c r="I2845" s="163">
        <f>IFERROR(__xludf.DUMMYFUNCTION("""COMPUTED_VALUE"""),26.0)</f>
        <v>26</v>
      </c>
      <c r="J2845" s="165">
        <f>IFERROR(__xludf.DUMMYFUNCTION("""COMPUTED_VALUE"""),-0.147049135841932)</f>
        <v>-0.1470491358</v>
      </c>
      <c r="K2845" s="165">
        <f>IFERROR(__xludf.DUMMYFUNCTION("""COMPUTED_VALUE"""),-0.0395436111688844)</f>
        <v>-0.03954361117</v>
      </c>
      <c r="L2845" s="165">
        <f>IFERROR(__xludf.DUMMYFUNCTION("""COMPUTED_VALUE"""),-0.107505524673048)</f>
        <v>-0.1075055247</v>
      </c>
      <c r="M2845" s="166">
        <f t="shared" si="2"/>
        <v>0.06801531849</v>
      </c>
      <c r="N2845" s="167">
        <f t="shared" si="3"/>
        <v>9.43</v>
      </c>
      <c r="O2845" s="163">
        <f t="shared" ref="O2845:Q2845" si="2849">rank(I2845,I:I)</f>
        <v>1665</v>
      </c>
      <c r="P2845" s="163">
        <f t="shared" si="2849"/>
        <v>1436</v>
      </c>
      <c r="Q2845" s="163">
        <f t="shared" si="2849"/>
        <v>1254</v>
      </c>
      <c r="R2845" s="163">
        <f>IFERROR(__xludf.DUMMYFUNCTION("RANK(M2845,filter(M:M,C:C=C2845))"),407.0)</f>
        <v>407</v>
      </c>
      <c r="S2845" s="161" t="b">
        <f t="shared" si="5"/>
        <v>0</v>
      </c>
      <c r="T2845" s="161" t="b">
        <f t="array" ref="T2845">index('Query Tool'!B:B,match(H2845,'Query Tool'!C:C,0))</f>
        <v>1</v>
      </c>
      <c r="U2845" s="161" t="b">
        <f t="array" ref="U2845">index('Query Tool'!B:B,match(C2845,'Query Tool'!C:C,0))</f>
        <v>0</v>
      </c>
      <c r="V2845" s="161" t="b">
        <f>F2845&gt;='Query Tool'!C$32</f>
        <v>0</v>
      </c>
      <c r="W2845" s="161" t="b">
        <f t="array" ref="W2845">index(Dropdowns!B:B,match(I2845,Dropdowns!A:A,0))</f>
        <v>1</v>
      </c>
      <c r="X2845" s="161" t="b">
        <f t="array" ref="X2845">index('Query Tool'!B:B,match(D2845,'Query Tool'!C:C,0))</f>
        <v>1</v>
      </c>
      <c r="Y2845" s="161" t="str">
        <f t="shared" si="6"/>
        <v>creekmi01,2018-19</v>
      </c>
      <c r="Z2845" s="168" t="str">
        <f t="array" ref="Z2845">iferror(index(I:I,match($A2845&amp;","&amp;index('Year Conversion'!$A:$A,match($C2845,'Year Conversion'!$B:$B,0)),$Y:$Y,0))-I2845,"")</f>
        <v/>
      </c>
      <c r="AA2845" s="168" t="str">
        <f t="array" ref="AA2845">iferror(index(J:J,match($A2845&amp;","&amp;index('Year Conversion'!$A:$A,match($C2845,'Year Conversion'!$B:$B,0)),$Y:$Y,0))-J2845,"")</f>
        <v/>
      </c>
      <c r="AB2845" s="168" t="str">
        <f t="array" ref="AB2845">iferror(index(K:K,match($A2845&amp;","&amp;index('Year Conversion'!$A:$A,match($C2845,'Year Conversion'!$B:$B,0)),$Y:$Y,0))-K2845,"")</f>
        <v/>
      </c>
      <c r="AC2845" s="168" t="str">
        <f t="shared" si="7"/>
        <v>TOT,2018-19</v>
      </c>
    </row>
    <row r="2846">
      <c r="A2846" s="161" t="str">
        <f>IFERROR(__xludf.DUMMYFUNCTION("""COMPUTED_VALUE"""),"fultzma01")</f>
        <v>fultzma01</v>
      </c>
      <c r="B2846" s="161" t="str">
        <f>IFERROR(__xludf.DUMMYFUNCTION("""COMPUTED_VALUE"""),"Markelle Fultz")</f>
        <v>Markelle Fultz</v>
      </c>
      <c r="C2846" s="162" t="str">
        <f>IFERROR(__xludf.DUMMYFUNCTION("""COMPUTED_VALUE"""),"2018-19")</f>
        <v>2018-19</v>
      </c>
      <c r="D2846" s="163" t="str">
        <f>IFERROR(__xludf.DUMMYFUNCTION("""COMPUTED_VALUE"""),"PHI")</f>
        <v>PHI</v>
      </c>
      <c r="E2846" s="164" t="str">
        <f>IFERROR(__xludf.DUMMYFUNCTION("""COMPUTED_VALUE"""),"Slasher")</f>
        <v>Slasher</v>
      </c>
      <c r="F2846" s="164">
        <f>IFERROR(__xludf.DUMMYFUNCTION("""COMPUTED_VALUE"""),426.85)</f>
        <v>426.85</v>
      </c>
      <c r="G2846" s="163">
        <f>IFERROR(__xludf.DUMMYFUNCTION("""COMPUTED_VALUE"""),19.0)</f>
        <v>19</v>
      </c>
      <c r="H2846" s="163" t="str">
        <f>IFERROR(__xludf.DUMMYFUNCTION("""COMPUTED_VALUE"""),"SG")</f>
        <v>SG</v>
      </c>
      <c r="I2846" s="163">
        <f>IFERROR(__xludf.DUMMYFUNCTION("""COMPUTED_VALUE"""),20.0)</f>
        <v>20</v>
      </c>
      <c r="J2846" s="165">
        <f>IFERROR(__xludf.DUMMYFUNCTION("""COMPUTED_VALUE"""),-1.8243441243947)</f>
        <v>-1.824344124</v>
      </c>
      <c r="K2846" s="165">
        <f>IFERROR(__xludf.DUMMYFUNCTION("""COMPUTED_VALUE"""),-1.68705406833449)</f>
        <v>-1.687054068</v>
      </c>
      <c r="L2846" s="165">
        <f>IFERROR(__xludf.DUMMYFUNCTION("""COMPUTED_VALUE"""),-0.137290056060213)</f>
        <v>-0.1372900561</v>
      </c>
      <c r="M2846" s="166">
        <f t="shared" si="2"/>
        <v>0.1354684639</v>
      </c>
      <c r="N2846" s="167">
        <f t="shared" si="3"/>
        <v>22.46578947</v>
      </c>
      <c r="O2846" s="163">
        <f t="shared" ref="O2846:Q2846" si="2850">rank(I2846,I:I)</f>
        <v>3770</v>
      </c>
      <c r="P2846" s="163">
        <f t="shared" si="2850"/>
        <v>3363</v>
      </c>
      <c r="Q2846" s="163">
        <f t="shared" si="2850"/>
        <v>3513</v>
      </c>
      <c r="R2846" s="163">
        <f>IFERROR(__xludf.DUMMYFUNCTION("RANK(M2846,filter(M:M,C:C=C2846))"),372.0)</f>
        <v>372</v>
      </c>
      <c r="S2846" s="161" t="b">
        <f t="shared" si="5"/>
        <v>0</v>
      </c>
      <c r="T2846" s="161" t="b">
        <f t="array" ref="T2846">index('Query Tool'!B:B,match(H2846,'Query Tool'!C:C,0))</f>
        <v>1</v>
      </c>
      <c r="U2846" s="161" t="b">
        <f t="array" ref="U2846">index('Query Tool'!B:B,match(C2846,'Query Tool'!C:C,0))</f>
        <v>0</v>
      </c>
      <c r="V2846" s="161" t="b">
        <f>F2846&gt;='Query Tool'!C$32</f>
        <v>0</v>
      </c>
      <c r="W2846" s="161" t="b">
        <f t="array" ref="W2846">index(Dropdowns!B:B,match(I2846,Dropdowns!A:A,0))</f>
        <v>1</v>
      </c>
      <c r="X2846" s="161" t="b">
        <f t="array" ref="X2846">index('Query Tool'!B:B,match(D2846,'Query Tool'!C:C,0))</f>
        <v>1</v>
      </c>
      <c r="Y2846" s="161" t="str">
        <f t="shared" si="6"/>
        <v>fultzma01,2018-19</v>
      </c>
      <c r="Z2846" s="168">
        <f t="array" ref="Z2846">iferror(index(I:I,match($A2846&amp;","&amp;index('Year Conversion'!$A:$A,match($C2846,'Year Conversion'!$B:$B,0)),$Y:$Y,0))-I2846,"")</f>
        <v>1</v>
      </c>
      <c r="AA2846" s="168">
        <f t="array" ref="AA2846">iferror(index(J:J,match($A2846&amp;","&amp;index('Year Conversion'!$A:$A,match($C2846,'Year Conversion'!$B:$B,0)),$Y:$Y,0))-J2846,"")</f>
        <v>1.353139042</v>
      </c>
      <c r="AB2846" s="168">
        <f t="array" ref="AB2846">iferror(index(K:K,match($A2846&amp;","&amp;index('Year Conversion'!$A:$A,match($C2846,'Year Conversion'!$B:$B,0)),$Y:$Y,0))-K2846,"")</f>
        <v>1.112908595</v>
      </c>
      <c r="AC2846" s="168" t="str">
        <f t="shared" si="7"/>
        <v>PHI,2018-19</v>
      </c>
    </row>
    <row r="2847">
      <c r="A2847" s="161" t="str">
        <f>IFERROR(__xludf.DUMMYFUNCTION("""COMPUTED_VALUE"""),"balllo01")</f>
        <v>balllo01</v>
      </c>
      <c r="B2847" s="161" t="str">
        <f>IFERROR(__xludf.DUMMYFUNCTION("""COMPUTED_VALUE"""),"Lonzo Ball")</f>
        <v>Lonzo Ball</v>
      </c>
      <c r="C2847" s="162" t="str">
        <f>IFERROR(__xludf.DUMMYFUNCTION("""COMPUTED_VALUE"""),"2018-19")</f>
        <v>2018-19</v>
      </c>
      <c r="D2847" s="163" t="str">
        <f>IFERROR(__xludf.DUMMYFUNCTION("""COMPUTED_VALUE"""),"LAL")</f>
        <v>LAL</v>
      </c>
      <c r="E2847" s="164" t="str">
        <f>IFERROR(__xludf.DUMMYFUNCTION("""COMPUTED_VALUE"""),"Secondary Ball Handler")</f>
        <v>Secondary Ball Handler</v>
      </c>
      <c r="F2847" s="164">
        <f>IFERROR(__xludf.DUMMYFUNCTION("""COMPUTED_VALUE"""),1422.53833333333)</f>
        <v>1422.538333</v>
      </c>
      <c r="G2847" s="163">
        <f>IFERROR(__xludf.DUMMYFUNCTION("""COMPUTED_VALUE"""),47.0)</f>
        <v>47</v>
      </c>
      <c r="H2847" s="163" t="str">
        <f>IFERROR(__xludf.DUMMYFUNCTION("""COMPUTED_VALUE"""),"PG")</f>
        <v>PG</v>
      </c>
      <c r="I2847" s="163">
        <f>IFERROR(__xludf.DUMMYFUNCTION("""COMPUTED_VALUE"""),21.0)</f>
        <v>21</v>
      </c>
      <c r="J2847" s="165">
        <f>IFERROR(__xludf.DUMMYFUNCTION("""COMPUTED_VALUE"""),0.481604757293483)</f>
        <v>0.4816047573</v>
      </c>
      <c r="K2847" s="165">
        <f>IFERROR(__xludf.DUMMYFUNCTION("""COMPUTED_VALUE"""),-0.987656793587875)</f>
        <v>-0.9876567936</v>
      </c>
      <c r="L2847" s="165">
        <f>IFERROR(__xludf.DUMMYFUNCTION("""COMPUTED_VALUE"""),1.46926155088136)</f>
        <v>1.469261551</v>
      </c>
      <c r="M2847" s="166">
        <f t="shared" si="2"/>
        <v>2.654819433</v>
      </c>
      <c r="N2847" s="167">
        <f t="shared" si="3"/>
        <v>30.26677305</v>
      </c>
      <c r="O2847" s="163">
        <f t="shared" ref="O2847:Q2847" si="2851">rank(I2847,I:I)</f>
        <v>3528</v>
      </c>
      <c r="P2847" s="163">
        <f t="shared" si="2851"/>
        <v>909</v>
      </c>
      <c r="Q2847" s="163">
        <f t="shared" si="2851"/>
        <v>2785</v>
      </c>
      <c r="R2847" s="163">
        <f>IFERROR(__xludf.DUMMYFUNCTION("RANK(M2847,filter(M:M,C:C=C2847))"),122.0)</f>
        <v>122</v>
      </c>
      <c r="S2847" s="161" t="b">
        <f t="shared" si="5"/>
        <v>0</v>
      </c>
      <c r="T2847" s="161" t="b">
        <f t="array" ref="T2847">index('Query Tool'!B:B,match(H2847,'Query Tool'!C:C,0))</f>
        <v>1</v>
      </c>
      <c r="U2847" s="161" t="b">
        <f t="array" ref="U2847">index('Query Tool'!B:B,match(C2847,'Query Tool'!C:C,0))</f>
        <v>0</v>
      </c>
      <c r="V2847" s="161" t="b">
        <f>F2847&gt;='Query Tool'!C$32</f>
        <v>1</v>
      </c>
      <c r="W2847" s="161" t="b">
        <f t="array" ref="W2847">index(Dropdowns!B:B,match(I2847,Dropdowns!A:A,0))</f>
        <v>1</v>
      </c>
      <c r="X2847" s="161" t="b">
        <f t="array" ref="X2847">index('Query Tool'!B:B,match(D2847,'Query Tool'!C:C,0))</f>
        <v>1</v>
      </c>
      <c r="Y2847" s="161" t="str">
        <f t="shared" si="6"/>
        <v>balllo01,2018-19</v>
      </c>
      <c r="Z2847" s="168">
        <f t="array" ref="Z2847">iferror(index(I:I,match($A2847&amp;","&amp;index('Year Conversion'!$A:$A,match($C2847,'Year Conversion'!$B:$B,0)),$Y:$Y,0))-I2847,"")</f>
        <v>1</v>
      </c>
      <c r="AA2847" s="168">
        <f t="array" ref="AA2847">iferror(index(J:J,match($A2847&amp;","&amp;index('Year Conversion'!$A:$A,match($C2847,'Year Conversion'!$B:$B,0)),$Y:$Y,0))-J2847,"")</f>
        <v>-1.181070381</v>
      </c>
      <c r="AB2847" s="168">
        <f t="array" ref="AB2847">iferror(index(K:K,match($A2847&amp;","&amp;index('Year Conversion'!$A:$A,match($C2847,'Year Conversion'!$B:$B,0)),$Y:$Y,0))-K2847,"")</f>
        <v>-0.136506522</v>
      </c>
      <c r="AC2847" s="168" t="str">
        <f t="shared" si="7"/>
        <v>LAL,2018-19</v>
      </c>
    </row>
    <row r="2848">
      <c r="A2848" s="161" t="str">
        <f>IFERROR(__xludf.DUMMYFUNCTION("""COMPUTED_VALUE"""),"jacksjo02")</f>
        <v>jacksjo02</v>
      </c>
      <c r="B2848" s="161" t="str">
        <f>IFERROR(__xludf.DUMMYFUNCTION("""COMPUTED_VALUE"""),"Josh Jackson")</f>
        <v>Josh Jackson</v>
      </c>
      <c r="C2848" s="162" t="str">
        <f>IFERROR(__xludf.DUMMYFUNCTION("""COMPUTED_VALUE"""),"2018-19")</f>
        <v>2018-19</v>
      </c>
      <c r="D2848" s="163" t="str">
        <f>IFERROR(__xludf.DUMMYFUNCTION("""COMPUTED_VALUE"""),"PHO")</f>
        <v>PHO</v>
      </c>
      <c r="E2848" s="164" t="str">
        <f>IFERROR(__xludf.DUMMYFUNCTION("""COMPUTED_VALUE"""),"Secondary Ball Handler")</f>
        <v>Secondary Ball Handler</v>
      </c>
      <c r="F2848" s="164">
        <f>IFERROR(__xludf.DUMMYFUNCTION("""COMPUTED_VALUE"""),1988.12666666667)</f>
        <v>1988.126667</v>
      </c>
      <c r="G2848" s="163">
        <f>IFERROR(__xludf.DUMMYFUNCTION("""COMPUTED_VALUE"""),79.0)</f>
        <v>79</v>
      </c>
      <c r="H2848" s="163" t="str">
        <f>IFERROR(__xludf.DUMMYFUNCTION("""COMPUTED_VALUE"""),"SG")</f>
        <v>SG</v>
      </c>
      <c r="I2848" s="163">
        <f>IFERROR(__xludf.DUMMYFUNCTION("""COMPUTED_VALUE"""),21.0)</f>
        <v>21</v>
      </c>
      <c r="J2848" s="165">
        <f>IFERROR(__xludf.DUMMYFUNCTION("""COMPUTED_VALUE"""),-3.07624096020478)</f>
        <v>-3.07624096</v>
      </c>
      <c r="K2848" s="165">
        <f>IFERROR(__xludf.DUMMYFUNCTION("""COMPUTED_VALUE"""),-2.5676555697517)</f>
        <v>-2.56765557</v>
      </c>
      <c r="L2848" s="165">
        <f>IFERROR(__xludf.DUMMYFUNCTION("""COMPUTED_VALUE"""),-0.508585390453079)</f>
        <v>-0.5085853905</v>
      </c>
      <c r="M2848" s="166">
        <f t="shared" si="2"/>
        <v>-1.004920942</v>
      </c>
      <c r="N2848" s="167">
        <f t="shared" si="3"/>
        <v>25.16616034</v>
      </c>
      <c r="O2848" s="163">
        <f t="shared" ref="O2848:Q2848" si="2852">rank(I2848,I:I)</f>
        <v>3528</v>
      </c>
      <c r="P2848" s="163">
        <f t="shared" si="2852"/>
        <v>3903</v>
      </c>
      <c r="Q2848" s="163">
        <f t="shared" si="2852"/>
        <v>3906</v>
      </c>
      <c r="R2848" s="163">
        <f>IFERROR(__xludf.DUMMYFUNCTION("RANK(M2848,filter(M:M,C:C=C2848))"),524.0)</f>
        <v>524</v>
      </c>
      <c r="S2848" s="161" t="b">
        <f t="shared" si="5"/>
        <v>0</v>
      </c>
      <c r="T2848" s="161" t="b">
        <f t="array" ref="T2848">index('Query Tool'!B:B,match(H2848,'Query Tool'!C:C,0))</f>
        <v>1</v>
      </c>
      <c r="U2848" s="161" t="b">
        <f t="array" ref="U2848">index('Query Tool'!B:B,match(C2848,'Query Tool'!C:C,0))</f>
        <v>0</v>
      </c>
      <c r="V2848" s="161" t="b">
        <f>F2848&gt;='Query Tool'!C$32</f>
        <v>1</v>
      </c>
      <c r="W2848" s="161" t="b">
        <f t="array" ref="W2848">index(Dropdowns!B:B,match(I2848,Dropdowns!A:A,0))</f>
        <v>1</v>
      </c>
      <c r="X2848" s="161" t="b">
        <f t="array" ref="X2848">index('Query Tool'!B:B,match(D2848,'Query Tool'!C:C,0))</f>
        <v>1</v>
      </c>
      <c r="Y2848" s="161" t="str">
        <f t="shared" si="6"/>
        <v>jacksjo02,2018-19</v>
      </c>
      <c r="Z2848" s="168">
        <f t="array" ref="Z2848">iferror(index(I:I,match($A2848&amp;","&amp;index('Year Conversion'!$A:$A,match($C2848,'Year Conversion'!$B:$B,0)),$Y:$Y,0))-I2848,"")</f>
        <v>1</v>
      </c>
      <c r="AA2848" s="168">
        <f t="array" ref="AA2848">iferror(index(J:J,match($A2848&amp;","&amp;index('Year Conversion'!$A:$A,match($C2848,'Year Conversion'!$B:$B,0)),$Y:$Y,0))-J2848,"")</f>
        <v>4.134316587</v>
      </c>
      <c r="AB2848" s="168">
        <f t="array" ref="AB2848">iferror(index(K:K,match($A2848&amp;","&amp;index('Year Conversion'!$A:$A,match($C2848,'Year Conversion'!$B:$B,0)),$Y:$Y,0))-K2848,"")</f>
        <v>3.168591831</v>
      </c>
      <c r="AC2848" s="168" t="str">
        <f t="shared" si="7"/>
        <v>PHO,2018-19</v>
      </c>
    </row>
    <row r="2849">
      <c r="A2849" s="161" t="str">
        <f>IFERROR(__xludf.DUMMYFUNCTION("""COMPUTED_VALUE"""),"foxde01")</f>
        <v>foxde01</v>
      </c>
      <c r="B2849" s="161" t="str">
        <f>IFERROR(__xludf.DUMMYFUNCTION("""COMPUTED_VALUE"""),"De'Aaron Fox")</f>
        <v>De'Aaron Fox</v>
      </c>
      <c r="C2849" s="162" t="str">
        <f>IFERROR(__xludf.DUMMYFUNCTION("""COMPUTED_VALUE"""),"2018-19")</f>
        <v>2018-19</v>
      </c>
      <c r="D2849" s="163" t="str">
        <f>IFERROR(__xludf.DUMMYFUNCTION("""COMPUTED_VALUE"""),"SAC")</f>
        <v>SAC</v>
      </c>
      <c r="E2849" s="164" t="str">
        <f>IFERROR(__xludf.DUMMYFUNCTION("""COMPUTED_VALUE"""),"Slasher")</f>
        <v>Slasher</v>
      </c>
      <c r="F2849" s="164">
        <f>IFERROR(__xludf.DUMMYFUNCTION("""COMPUTED_VALUE"""),2545.84333333333)</f>
        <v>2545.843333</v>
      </c>
      <c r="G2849" s="163">
        <f>IFERROR(__xludf.DUMMYFUNCTION("""COMPUTED_VALUE"""),81.0)</f>
        <v>81</v>
      </c>
      <c r="H2849" s="163" t="str">
        <f>IFERROR(__xludf.DUMMYFUNCTION("""COMPUTED_VALUE"""),"PG")</f>
        <v>PG</v>
      </c>
      <c r="I2849" s="163">
        <f>IFERROR(__xludf.DUMMYFUNCTION("""COMPUTED_VALUE"""),21.0)</f>
        <v>21</v>
      </c>
      <c r="J2849" s="165">
        <f>IFERROR(__xludf.DUMMYFUNCTION("""COMPUTED_VALUE"""),0.701122970700632)</f>
        <v>0.7011229707</v>
      </c>
      <c r="K2849" s="165">
        <f>IFERROR(__xludf.DUMMYFUNCTION("""COMPUTED_VALUE"""),0.954813543740567)</f>
        <v>0.9548135437</v>
      </c>
      <c r="L2849" s="165">
        <f>IFERROR(__xludf.DUMMYFUNCTION("""COMPUTED_VALUE"""),-0.253690573039935)</f>
        <v>-0.253690573</v>
      </c>
      <c r="M2849" s="166">
        <f t="shared" si="2"/>
        <v>5.127415297</v>
      </c>
      <c r="N2849" s="167">
        <f t="shared" si="3"/>
        <v>31.43016461</v>
      </c>
      <c r="O2849" s="163">
        <f t="shared" ref="O2849:Q2849" si="2853">rank(I2849,I:I)</f>
        <v>3528</v>
      </c>
      <c r="P2849" s="163">
        <f t="shared" si="2853"/>
        <v>798</v>
      </c>
      <c r="Q2849" s="163">
        <f t="shared" si="2853"/>
        <v>526</v>
      </c>
      <c r="R2849" s="163">
        <f>IFERROR(__xludf.DUMMYFUNCTION("RANK(M2849,filter(M:M,C:C=C2849))"),57.0)</f>
        <v>57</v>
      </c>
      <c r="S2849" s="161" t="b">
        <f t="shared" si="5"/>
        <v>0</v>
      </c>
      <c r="T2849" s="161" t="b">
        <f t="array" ref="T2849">index('Query Tool'!B:B,match(H2849,'Query Tool'!C:C,0))</f>
        <v>1</v>
      </c>
      <c r="U2849" s="161" t="b">
        <f t="array" ref="U2849">index('Query Tool'!B:B,match(C2849,'Query Tool'!C:C,0))</f>
        <v>0</v>
      </c>
      <c r="V2849" s="161" t="b">
        <f>F2849&gt;='Query Tool'!C$32</f>
        <v>1</v>
      </c>
      <c r="W2849" s="161" t="b">
        <f t="array" ref="W2849">index(Dropdowns!B:B,match(I2849,Dropdowns!A:A,0))</f>
        <v>1</v>
      </c>
      <c r="X2849" s="161" t="b">
        <f t="array" ref="X2849">index('Query Tool'!B:B,match(D2849,'Query Tool'!C:C,0))</f>
        <v>1</v>
      </c>
      <c r="Y2849" s="161" t="str">
        <f t="shared" si="6"/>
        <v>foxde01,2018-19</v>
      </c>
      <c r="Z2849" s="168">
        <f t="array" ref="Z2849">iferror(index(I:I,match($A2849&amp;","&amp;index('Year Conversion'!$A:$A,match($C2849,'Year Conversion'!$B:$B,0)),$Y:$Y,0))-I2849,"")</f>
        <v>1</v>
      </c>
      <c r="AA2849" s="168">
        <f t="array" ref="AA2849">iferror(index(J:J,match($A2849&amp;","&amp;index('Year Conversion'!$A:$A,match($C2849,'Year Conversion'!$B:$B,0)),$Y:$Y,0))-J2849,"")</f>
        <v>0.4756305557</v>
      </c>
      <c r="AB2849" s="168">
        <f t="array" ref="AB2849">iferror(index(K:K,match($A2849&amp;","&amp;index('Year Conversion'!$A:$A,match($C2849,'Year Conversion'!$B:$B,0)),$Y:$Y,0))-K2849,"")</f>
        <v>1.357781975</v>
      </c>
      <c r="AC2849" s="168" t="str">
        <f t="shared" si="7"/>
        <v>SAC,2018-19</v>
      </c>
    </row>
    <row r="2850">
      <c r="A2850" s="161" t="str">
        <f>IFERROR(__xludf.DUMMYFUNCTION("""COMPUTED_VALUE"""),"tatumja01")</f>
        <v>tatumja01</v>
      </c>
      <c r="B2850" s="161" t="str">
        <f>IFERROR(__xludf.DUMMYFUNCTION("""COMPUTED_VALUE"""),"Jayson Tatum")</f>
        <v>Jayson Tatum</v>
      </c>
      <c r="C2850" s="162" t="str">
        <f>IFERROR(__xludf.DUMMYFUNCTION("""COMPUTED_VALUE"""),"2018-19")</f>
        <v>2018-19</v>
      </c>
      <c r="D2850" s="163" t="str">
        <f>IFERROR(__xludf.DUMMYFUNCTION("""COMPUTED_VALUE"""),"BOS")</f>
        <v>BOS</v>
      </c>
      <c r="E2850" s="164" t="str">
        <f>IFERROR(__xludf.DUMMYFUNCTION("""COMPUTED_VALUE"""),"Shot Creator")</f>
        <v>Shot Creator</v>
      </c>
      <c r="F2850" s="164">
        <f>IFERROR(__xludf.DUMMYFUNCTION("""COMPUTED_VALUE"""),2454.69666666667)</f>
        <v>2454.696667</v>
      </c>
      <c r="G2850" s="163">
        <f>IFERROR(__xludf.DUMMYFUNCTION("""COMPUTED_VALUE"""),79.0)</f>
        <v>79</v>
      </c>
      <c r="H2850" s="163" t="str">
        <f>IFERROR(__xludf.DUMMYFUNCTION("""COMPUTED_VALUE"""),"SF")</f>
        <v>SF</v>
      </c>
      <c r="I2850" s="163">
        <f>IFERROR(__xludf.DUMMYFUNCTION("""COMPUTED_VALUE"""),20.0)</f>
        <v>20</v>
      </c>
      <c r="J2850" s="165">
        <f>IFERROR(__xludf.DUMMYFUNCTION("""COMPUTED_VALUE"""),1.84399274644625)</f>
        <v>1.843992746</v>
      </c>
      <c r="K2850" s="165">
        <f>IFERROR(__xludf.DUMMYFUNCTION("""COMPUTED_VALUE"""),0.298544312736962)</f>
        <v>0.2985443127</v>
      </c>
      <c r="L2850" s="165">
        <f>IFERROR(__xludf.DUMMYFUNCTION("""COMPUTED_VALUE"""),1.54544843370929)</f>
        <v>1.545448434</v>
      </c>
      <c r="M2850" s="166">
        <f t="shared" si="2"/>
        <v>6.821671705</v>
      </c>
      <c r="N2850" s="167">
        <f t="shared" si="3"/>
        <v>31.0721097</v>
      </c>
      <c r="O2850" s="163">
        <f t="shared" ref="O2850:Q2850" si="2854">rank(I2850,I:I)</f>
        <v>3770</v>
      </c>
      <c r="P2850" s="163">
        <f t="shared" si="2854"/>
        <v>361</v>
      </c>
      <c r="Q2850" s="163">
        <f t="shared" si="2854"/>
        <v>913</v>
      </c>
      <c r="R2850" s="163">
        <f>IFERROR(__xludf.DUMMYFUNCTION("RANK(M2850,filter(M:M,C:C=C2850))"),34.0)</f>
        <v>34</v>
      </c>
      <c r="S2850" s="161" t="b">
        <f t="shared" si="5"/>
        <v>0</v>
      </c>
      <c r="T2850" s="161" t="b">
        <f t="array" ref="T2850">index('Query Tool'!B:B,match(H2850,'Query Tool'!C:C,0))</f>
        <v>1</v>
      </c>
      <c r="U2850" s="161" t="b">
        <f t="array" ref="U2850">index('Query Tool'!B:B,match(C2850,'Query Tool'!C:C,0))</f>
        <v>0</v>
      </c>
      <c r="V2850" s="161" t="b">
        <f>F2850&gt;='Query Tool'!C$32</f>
        <v>1</v>
      </c>
      <c r="W2850" s="161" t="b">
        <f t="array" ref="W2850">index(Dropdowns!B:B,match(I2850,Dropdowns!A:A,0))</f>
        <v>1</v>
      </c>
      <c r="X2850" s="161" t="b">
        <f t="array" ref="X2850">index('Query Tool'!B:B,match(D2850,'Query Tool'!C:C,0))</f>
        <v>1</v>
      </c>
      <c r="Y2850" s="161" t="str">
        <f t="shared" si="6"/>
        <v>tatumja01,2018-19</v>
      </c>
      <c r="Z2850" s="168">
        <f t="array" ref="Z2850">iferror(index(I:I,match($A2850&amp;","&amp;index('Year Conversion'!$A:$A,match($C2850,'Year Conversion'!$B:$B,0)),$Y:$Y,0))-I2850,"")</f>
        <v>1</v>
      </c>
      <c r="AA2850" s="168">
        <f t="array" ref="AA2850">iferror(index(J:J,match($A2850&amp;","&amp;index('Year Conversion'!$A:$A,match($C2850,'Year Conversion'!$B:$B,0)),$Y:$Y,0))-J2850,"")</f>
        <v>2.499467665</v>
      </c>
      <c r="AB2850" s="168">
        <f t="array" ref="AB2850">iferror(index(K:K,match($A2850&amp;","&amp;index('Year Conversion'!$A:$A,match($C2850,'Year Conversion'!$B:$B,0)),$Y:$Y,0))-K2850,"")</f>
        <v>2.506950803</v>
      </c>
      <c r="AC2850" s="168" t="str">
        <f t="shared" si="7"/>
        <v>BOS,2018-19</v>
      </c>
    </row>
    <row r="2851">
      <c r="A2851" s="161" t="str">
        <f>IFERROR(__xludf.DUMMYFUNCTION("""COMPUTED_VALUE"""),"monkma01")</f>
        <v>monkma01</v>
      </c>
      <c r="B2851" s="161" t="str">
        <f>IFERROR(__xludf.DUMMYFUNCTION("""COMPUTED_VALUE"""),"Malik Monk")</f>
        <v>Malik Monk</v>
      </c>
      <c r="C2851" s="162" t="str">
        <f>IFERROR(__xludf.DUMMYFUNCTION("""COMPUTED_VALUE"""),"2018-19")</f>
        <v>2018-19</v>
      </c>
      <c r="D2851" s="163" t="str">
        <f>IFERROR(__xludf.DUMMYFUNCTION("""COMPUTED_VALUE"""),"CHO")</f>
        <v>CHO</v>
      </c>
      <c r="E2851" s="164" t="str">
        <f>IFERROR(__xludf.DUMMYFUNCTION("""COMPUTED_VALUE"""),"Movement Shooter")</f>
        <v>Movement Shooter</v>
      </c>
      <c r="F2851" s="164">
        <f>IFERROR(__xludf.DUMMYFUNCTION("""COMPUTED_VALUE"""),1258.095)</f>
        <v>1258.095</v>
      </c>
      <c r="G2851" s="163">
        <f>IFERROR(__xludf.DUMMYFUNCTION("""COMPUTED_VALUE"""),73.0)</f>
        <v>73</v>
      </c>
      <c r="H2851" s="163" t="str">
        <f>IFERROR(__xludf.DUMMYFUNCTION("""COMPUTED_VALUE"""),"SG")</f>
        <v>SG</v>
      </c>
      <c r="I2851" s="163">
        <f>IFERROR(__xludf.DUMMYFUNCTION("""COMPUTED_VALUE"""),20.0)</f>
        <v>20</v>
      </c>
      <c r="J2851" s="165">
        <f>IFERROR(__xludf.DUMMYFUNCTION("""COMPUTED_VALUE"""),-1.46310702392466)</f>
        <v>-1.463107024</v>
      </c>
      <c r="K2851" s="165">
        <f>IFERROR(__xludf.DUMMYFUNCTION("""COMPUTED_VALUE"""),0.0787374943412798)</f>
        <v>0.07873749434</v>
      </c>
      <c r="L2851" s="165">
        <f>IFERROR(__xludf.DUMMYFUNCTION("""COMPUTED_VALUE"""),-1.54184451826594)</f>
        <v>-1.541844518</v>
      </c>
      <c r="M2851" s="166">
        <f t="shared" si="2"/>
        <v>0.7022406853</v>
      </c>
      <c r="N2851" s="167">
        <f t="shared" si="3"/>
        <v>17.23417808</v>
      </c>
      <c r="O2851" s="163">
        <f t="shared" ref="O2851:Q2851" si="2855">rank(I2851,I:I)</f>
        <v>3770</v>
      </c>
      <c r="P2851" s="163">
        <f t="shared" si="2855"/>
        <v>3019</v>
      </c>
      <c r="Q2851" s="163">
        <f t="shared" si="2855"/>
        <v>1096</v>
      </c>
      <c r="R2851" s="163">
        <f>IFERROR(__xludf.DUMMYFUNCTION("RANK(M2851,filter(M:M,C:C=C2851))"),258.0)</f>
        <v>258</v>
      </c>
      <c r="S2851" s="161" t="b">
        <f t="shared" si="5"/>
        <v>0</v>
      </c>
      <c r="T2851" s="161" t="b">
        <f t="array" ref="T2851">index('Query Tool'!B:B,match(H2851,'Query Tool'!C:C,0))</f>
        <v>1</v>
      </c>
      <c r="U2851" s="161" t="b">
        <f t="array" ref="U2851">index('Query Tool'!B:B,match(C2851,'Query Tool'!C:C,0))</f>
        <v>0</v>
      </c>
      <c r="V2851" s="161" t="b">
        <f>F2851&gt;='Query Tool'!C$32</f>
        <v>1</v>
      </c>
      <c r="W2851" s="161" t="b">
        <f t="array" ref="W2851">index(Dropdowns!B:B,match(I2851,Dropdowns!A:A,0))</f>
        <v>1</v>
      </c>
      <c r="X2851" s="161" t="b">
        <f t="array" ref="X2851">index('Query Tool'!B:B,match(D2851,'Query Tool'!C:C,0))</f>
        <v>1</v>
      </c>
      <c r="Y2851" s="161" t="str">
        <f t="shared" si="6"/>
        <v>monkma01,2018-19</v>
      </c>
      <c r="Z2851" s="168">
        <f t="array" ref="Z2851">iferror(index(I:I,match($A2851&amp;","&amp;index('Year Conversion'!$A:$A,match($C2851,'Year Conversion'!$B:$B,0)),$Y:$Y,0))-I2851,"")</f>
        <v>1</v>
      </c>
      <c r="AA2851" s="168">
        <f t="array" ref="AA2851">iferror(index(J:J,match($A2851&amp;","&amp;index('Year Conversion'!$A:$A,match($C2851,'Year Conversion'!$B:$B,0)),$Y:$Y,0))-J2851,"")</f>
        <v>-1.79523324</v>
      </c>
      <c r="AB2851" s="168">
        <f t="array" ref="AB2851">iferror(index(K:K,match($A2851&amp;","&amp;index('Year Conversion'!$A:$A,match($C2851,'Year Conversion'!$B:$B,0)),$Y:$Y,0))-K2851,"")</f>
        <v>-1.150697297</v>
      </c>
      <c r="AC2851" s="168" t="str">
        <f t="shared" si="7"/>
        <v>CHO,2018-19</v>
      </c>
    </row>
    <row r="2852">
      <c r="A2852" s="161" t="str">
        <f>IFERROR(__xludf.DUMMYFUNCTION("""COMPUTED_VALUE"""),"isaacjo01")</f>
        <v>isaacjo01</v>
      </c>
      <c r="B2852" s="161" t="str">
        <f>IFERROR(__xludf.DUMMYFUNCTION("""COMPUTED_VALUE"""),"Jonathan Isaac")</f>
        <v>Jonathan Isaac</v>
      </c>
      <c r="C2852" s="162" t="str">
        <f>IFERROR(__xludf.DUMMYFUNCTION("""COMPUTED_VALUE"""),"2018-19")</f>
        <v>2018-19</v>
      </c>
      <c r="D2852" s="163" t="str">
        <f>IFERROR(__xludf.DUMMYFUNCTION("""COMPUTED_VALUE"""),"ORL")</f>
        <v>ORL</v>
      </c>
      <c r="E2852" s="164" t="str">
        <f>IFERROR(__xludf.DUMMYFUNCTION("""COMPUTED_VALUE"""),"Athletic Finisher")</f>
        <v>Athletic Finisher</v>
      </c>
      <c r="F2852" s="164">
        <f>IFERROR(__xludf.DUMMYFUNCTION("""COMPUTED_VALUE"""),1996.18333333333)</f>
        <v>1996.183333</v>
      </c>
      <c r="G2852" s="163">
        <f>IFERROR(__xludf.DUMMYFUNCTION("""COMPUTED_VALUE"""),75.0)</f>
        <v>75</v>
      </c>
      <c r="H2852" s="163" t="str">
        <f>IFERROR(__xludf.DUMMYFUNCTION("""COMPUTED_VALUE"""),"PF")</f>
        <v>PF</v>
      </c>
      <c r="I2852" s="163">
        <f>IFERROR(__xludf.DUMMYFUNCTION("""COMPUTED_VALUE"""),21.0)</f>
        <v>21</v>
      </c>
      <c r="J2852" s="165">
        <f>IFERROR(__xludf.DUMMYFUNCTION("""COMPUTED_VALUE"""),0.36185821935735)</f>
        <v>0.3618582194</v>
      </c>
      <c r="K2852" s="165">
        <f>IFERROR(__xludf.DUMMYFUNCTION("""COMPUTED_VALUE"""),-1.27902953345535)</f>
        <v>-1.279029533</v>
      </c>
      <c r="L2852" s="165">
        <f>IFERROR(__xludf.DUMMYFUNCTION("""COMPUTED_VALUE"""),1.6408877528127)</f>
        <v>1.640887753</v>
      </c>
      <c r="M2852" s="166">
        <f t="shared" si="2"/>
        <v>3.564351874</v>
      </c>
      <c r="N2852" s="167">
        <f t="shared" si="3"/>
        <v>26.61577778</v>
      </c>
      <c r="O2852" s="163">
        <f t="shared" ref="O2852:Q2852" si="2856">rank(I2852,I:I)</f>
        <v>3528</v>
      </c>
      <c r="P2852" s="163">
        <f t="shared" si="2856"/>
        <v>976</v>
      </c>
      <c r="Q2852" s="163">
        <f t="shared" si="2856"/>
        <v>3120</v>
      </c>
      <c r="R2852" s="163">
        <f>IFERROR(__xludf.DUMMYFUNCTION("RANK(M2852,filter(M:M,C:C=C2852))"),96.0)</f>
        <v>96</v>
      </c>
      <c r="S2852" s="161" t="b">
        <f t="shared" si="5"/>
        <v>0</v>
      </c>
      <c r="T2852" s="161" t="b">
        <f t="array" ref="T2852">index('Query Tool'!B:B,match(H2852,'Query Tool'!C:C,0))</f>
        <v>1</v>
      </c>
      <c r="U2852" s="161" t="b">
        <f t="array" ref="U2852">index('Query Tool'!B:B,match(C2852,'Query Tool'!C:C,0))</f>
        <v>0</v>
      </c>
      <c r="V2852" s="161" t="b">
        <f>F2852&gt;='Query Tool'!C$32</f>
        <v>1</v>
      </c>
      <c r="W2852" s="161" t="b">
        <f t="array" ref="W2852">index(Dropdowns!B:B,match(I2852,Dropdowns!A:A,0))</f>
        <v>1</v>
      </c>
      <c r="X2852" s="161" t="b">
        <f t="array" ref="X2852">index('Query Tool'!B:B,match(D2852,'Query Tool'!C:C,0))</f>
        <v>1</v>
      </c>
      <c r="Y2852" s="161" t="str">
        <f t="shared" si="6"/>
        <v>isaacjo01,2018-19</v>
      </c>
      <c r="Z2852" s="168">
        <f t="array" ref="Z2852">iferror(index(I:I,match($A2852&amp;","&amp;index('Year Conversion'!$A:$A,match($C2852,'Year Conversion'!$B:$B,0)),$Y:$Y,0))-I2852,"")</f>
        <v>1</v>
      </c>
      <c r="AA2852" s="168">
        <f t="array" ref="AA2852">iferror(index(J:J,match($A2852&amp;","&amp;index('Year Conversion'!$A:$A,match($C2852,'Year Conversion'!$B:$B,0)),$Y:$Y,0))-J2852,"")</f>
        <v>1.947751322</v>
      </c>
      <c r="AB2852" s="168">
        <f t="array" ref="AB2852">iferror(index(K:K,match($A2852&amp;","&amp;index('Year Conversion'!$A:$A,match($C2852,'Year Conversion'!$B:$B,0)),$Y:$Y,0))-K2852,"")</f>
        <v>0.1005149126</v>
      </c>
      <c r="AC2852" s="168" t="str">
        <f t="shared" si="7"/>
        <v>ORL,2018-19</v>
      </c>
    </row>
    <row r="2853">
      <c r="A2853" s="161" t="str">
        <f>IFERROR(__xludf.DUMMYFUNCTION("""COMPUTED_VALUE"""),"smithde03")</f>
        <v>smithde03</v>
      </c>
      <c r="B2853" s="161" t="str">
        <f>IFERROR(__xludf.DUMMYFUNCTION("""COMPUTED_VALUE"""),"Dennis Smith Jr.")</f>
        <v>Dennis Smith Jr.</v>
      </c>
      <c r="C2853" s="162" t="str">
        <f>IFERROR(__xludf.DUMMYFUNCTION("""COMPUTED_VALUE"""),"2018-19")</f>
        <v>2018-19</v>
      </c>
      <c r="D2853" s="163" t="str">
        <f>IFERROR(__xludf.DUMMYFUNCTION("""COMPUTED_VALUE"""),"TOT")</f>
        <v>TOT</v>
      </c>
      <c r="E2853" s="164" t="str">
        <f>IFERROR(__xludf.DUMMYFUNCTION("""COMPUTED_VALUE"""),"Secondary Ball Handler")</f>
        <v>Secondary Ball Handler</v>
      </c>
      <c r="F2853" s="164">
        <f>IFERROR(__xludf.DUMMYFUNCTION("""COMPUTED_VALUE"""),1508.475)</f>
        <v>1508.475</v>
      </c>
      <c r="G2853" s="163">
        <f>IFERROR(__xludf.DUMMYFUNCTION("""COMPUTED_VALUE"""),53.0)</f>
        <v>53</v>
      </c>
      <c r="H2853" s="163" t="str">
        <f>IFERROR(__xludf.DUMMYFUNCTION("""COMPUTED_VALUE"""),"PG")</f>
        <v>PG</v>
      </c>
      <c r="I2853" s="163">
        <f>IFERROR(__xludf.DUMMYFUNCTION("""COMPUTED_VALUE"""),21.0)</f>
        <v>21</v>
      </c>
      <c r="J2853" s="165">
        <f>IFERROR(__xludf.DUMMYFUNCTION("""COMPUTED_VALUE"""),-1.48271646908864)</f>
        <v>-1.482716469</v>
      </c>
      <c r="K2853" s="165">
        <f>IFERROR(__xludf.DUMMYFUNCTION("""COMPUTED_VALUE"""),-1.47928244322064)</f>
        <v>-1.479282443</v>
      </c>
      <c r="L2853" s="165">
        <f>IFERROR(__xludf.DUMMYFUNCTION("""COMPUTED_VALUE"""),-0.00343402586799146)</f>
        <v>-0.003434025868</v>
      </c>
      <c r="M2853" s="166">
        <f t="shared" si="2"/>
        <v>0.8222336975</v>
      </c>
      <c r="N2853" s="167">
        <f t="shared" si="3"/>
        <v>28.46179245</v>
      </c>
      <c r="O2853" s="163">
        <f t="shared" ref="O2853:Q2853" si="2857">rank(I2853,I:I)</f>
        <v>3528</v>
      </c>
      <c r="P2853" s="163">
        <f t="shared" si="2857"/>
        <v>3037</v>
      </c>
      <c r="Q2853" s="163">
        <f t="shared" si="2857"/>
        <v>3337</v>
      </c>
      <c r="R2853" s="163">
        <f>IFERROR(__xludf.DUMMYFUNCTION("RANK(M2853,filter(M:M,C:C=C2853))"),235.0)</f>
        <v>235</v>
      </c>
      <c r="S2853" s="161" t="b">
        <f t="shared" si="5"/>
        <v>0</v>
      </c>
      <c r="T2853" s="161" t="b">
        <f t="array" ref="T2853">index('Query Tool'!B:B,match(H2853,'Query Tool'!C:C,0))</f>
        <v>1</v>
      </c>
      <c r="U2853" s="161" t="b">
        <f t="array" ref="U2853">index('Query Tool'!B:B,match(C2853,'Query Tool'!C:C,0))</f>
        <v>0</v>
      </c>
      <c r="V2853" s="161" t="b">
        <f>F2853&gt;='Query Tool'!C$32</f>
        <v>1</v>
      </c>
      <c r="W2853" s="161" t="b">
        <f t="array" ref="W2853">index(Dropdowns!B:B,match(I2853,Dropdowns!A:A,0))</f>
        <v>1</v>
      </c>
      <c r="X2853" s="161" t="b">
        <f t="array" ref="X2853">index('Query Tool'!B:B,match(D2853,'Query Tool'!C:C,0))</f>
        <v>1</v>
      </c>
      <c r="Y2853" s="161" t="str">
        <f t="shared" si="6"/>
        <v>smithde03,2018-19</v>
      </c>
      <c r="Z2853" s="168">
        <f t="array" ref="Z2853">iferror(index(I:I,match($A2853&amp;","&amp;index('Year Conversion'!$A:$A,match($C2853,'Year Conversion'!$B:$B,0)),$Y:$Y,0))-I2853,"")</f>
        <v>1</v>
      </c>
      <c r="AA2853" s="168">
        <f t="array" ref="AA2853">iferror(index(J:J,match($A2853&amp;","&amp;index('Year Conversion'!$A:$A,match($C2853,'Year Conversion'!$B:$B,0)),$Y:$Y,0))-J2853,"")</f>
        <v>-1.778288653</v>
      </c>
      <c r="AB2853" s="168">
        <f t="array" ref="AB2853">iferror(index(K:K,match($A2853&amp;","&amp;index('Year Conversion'!$A:$A,match($C2853,'Year Conversion'!$B:$B,0)),$Y:$Y,0))-K2853,"")</f>
        <v>-0.853573177</v>
      </c>
      <c r="AC2853" s="168" t="str">
        <f t="shared" si="7"/>
        <v>TOT,2018-19</v>
      </c>
    </row>
    <row r="2854">
      <c r="A2854" s="161" t="str">
        <f>IFERROR(__xludf.DUMMYFUNCTION("""COMPUTED_VALUE"""),"ntilila01")</f>
        <v>ntilila01</v>
      </c>
      <c r="B2854" s="161" t="str">
        <f>IFERROR(__xludf.DUMMYFUNCTION("""COMPUTED_VALUE"""),"Frank Ntilikina")</f>
        <v>Frank Ntilikina</v>
      </c>
      <c r="C2854" s="162" t="str">
        <f>IFERROR(__xludf.DUMMYFUNCTION("""COMPUTED_VALUE"""),"2018-19")</f>
        <v>2018-19</v>
      </c>
      <c r="D2854" s="163" t="str">
        <f>IFERROR(__xludf.DUMMYFUNCTION("""COMPUTED_VALUE"""),"NYK")</f>
        <v>NYK</v>
      </c>
      <c r="E2854" s="164" t="str">
        <f>IFERROR(__xludf.DUMMYFUNCTION("""COMPUTED_VALUE"""),"Secondary Ball Handler")</f>
        <v>Secondary Ball Handler</v>
      </c>
      <c r="F2854" s="164">
        <f>IFERROR(__xludf.DUMMYFUNCTION("""COMPUTED_VALUE"""),903.603333333333)</f>
        <v>903.6033333</v>
      </c>
      <c r="G2854" s="163">
        <f>IFERROR(__xludf.DUMMYFUNCTION("""COMPUTED_VALUE"""),43.0)</f>
        <v>43</v>
      </c>
      <c r="H2854" s="163" t="str">
        <f>IFERROR(__xludf.DUMMYFUNCTION("""COMPUTED_VALUE"""),"PG")</f>
        <v>PG</v>
      </c>
      <c r="I2854" s="163">
        <f>IFERROR(__xludf.DUMMYFUNCTION("""COMPUTED_VALUE"""),20.0)</f>
        <v>20</v>
      </c>
      <c r="J2854" s="165">
        <f>IFERROR(__xludf.DUMMYFUNCTION("""COMPUTED_VALUE"""),-2.51977363215289)</f>
        <v>-2.519773632</v>
      </c>
      <c r="K2854" s="165">
        <f>IFERROR(__xludf.DUMMYFUNCTION("""COMPUTED_VALUE"""),-2.30256450096424)</f>
        <v>-2.302564501</v>
      </c>
      <c r="L2854" s="165">
        <f>IFERROR(__xludf.DUMMYFUNCTION("""COMPUTED_VALUE"""),-0.217209131188653)</f>
        <v>-0.2172091312</v>
      </c>
      <c r="M2854" s="166">
        <f t="shared" si="2"/>
        <v>-0.1285933075</v>
      </c>
      <c r="N2854" s="167">
        <f t="shared" si="3"/>
        <v>21.01403101</v>
      </c>
      <c r="O2854" s="163">
        <f t="shared" ref="O2854:Q2854" si="2858">rank(I2854,I:I)</f>
        <v>3770</v>
      </c>
      <c r="P2854" s="163">
        <f t="shared" si="2858"/>
        <v>3762</v>
      </c>
      <c r="Q2854" s="163">
        <f t="shared" si="2858"/>
        <v>3836</v>
      </c>
      <c r="R2854" s="163">
        <f>IFERROR(__xludf.DUMMYFUNCTION("RANK(M2854,filter(M:M,C:C=C2854))"),498.0)</f>
        <v>498</v>
      </c>
      <c r="S2854" s="161" t="b">
        <f t="shared" si="5"/>
        <v>0</v>
      </c>
      <c r="T2854" s="161" t="b">
        <f t="array" ref="T2854">index('Query Tool'!B:B,match(H2854,'Query Tool'!C:C,0))</f>
        <v>1</v>
      </c>
      <c r="U2854" s="161" t="b">
        <f t="array" ref="U2854">index('Query Tool'!B:B,match(C2854,'Query Tool'!C:C,0))</f>
        <v>0</v>
      </c>
      <c r="V2854" s="161" t="b">
        <f>F2854&gt;='Query Tool'!C$32</f>
        <v>1</v>
      </c>
      <c r="W2854" s="161" t="b">
        <f t="array" ref="W2854">index(Dropdowns!B:B,match(I2854,Dropdowns!A:A,0))</f>
        <v>1</v>
      </c>
      <c r="X2854" s="161" t="b">
        <f t="array" ref="X2854">index('Query Tool'!B:B,match(D2854,'Query Tool'!C:C,0))</f>
        <v>1</v>
      </c>
      <c r="Y2854" s="161" t="str">
        <f t="shared" si="6"/>
        <v>ntilila01,2018-19</v>
      </c>
      <c r="Z2854" s="168">
        <f t="array" ref="Z2854">iferror(index(I:I,match($A2854&amp;","&amp;index('Year Conversion'!$A:$A,match($C2854,'Year Conversion'!$B:$B,0)),$Y:$Y,0))-I2854,"")</f>
        <v>1</v>
      </c>
      <c r="AA2854" s="168">
        <f t="array" ref="AA2854">iferror(index(J:J,match($A2854&amp;","&amp;index('Year Conversion'!$A:$A,match($C2854,'Year Conversion'!$B:$B,0)),$Y:$Y,0))-J2854,"")</f>
        <v>1.039985715</v>
      </c>
      <c r="AB2854" s="168">
        <f t="array" ref="AB2854">iferror(index(K:K,match($A2854&amp;","&amp;index('Year Conversion'!$A:$A,match($C2854,'Year Conversion'!$B:$B,0)),$Y:$Y,0))-K2854,"")</f>
        <v>0.2147164566</v>
      </c>
      <c r="AC2854" s="168" t="str">
        <f t="shared" si="7"/>
        <v>NYK,2018-19</v>
      </c>
    </row>
    <row r="2855">
      <c r="A2855" s="161" t="str">
        <f>IFERROR(__xludf.DUMMYFUNCTION("""COMPUTED_VALUE"""),"markkla01")</f>
        <v>markkla01</v>
      </c>
      <c r="B2855" s="161" t="str">
        <f>IFERROR(__xludf.DUMMYFUNCTION("""COMPUTED_VALUE"""),"Lauri Markkanen")</f>
        <v>Lauri Markkanen</v>
      </c>
      <c r="C2855" s="162" t="str">
        <f>IFERROR(__xludf.DUMMYFUNCTION("""COMPUTED_VALUE"""),"2018-19")</f>
        <v>2018-19</v>
      </c>
      <c r="D2855" s="163" t="str">
        <f>IFERROR(__xludf.DUMMYFUNCTION("""COMPUTED_VALUE"""),"CHI")</f>
        <v>CHI</v>
      </c>
      <c r="E2855" s="164" t="str">
        <f>IFERROR(__xludf.DUMMYFUNCTION("""COMPUTED_VALUE"""),"Stretch Big")</f>
        <v>Stretch Big</v>
      </c>
      <c r="F2855" s="164">
        <f>IFERROR(__xludf.DUMMYFUNCTION("""COMPUTED_VALUE"""),1682.12833333333)</f>
        <v>1682.128333</v>
      </c>
      <c r="G2855" s="163">
        <f>IFERROR(__xludf.DUMMYFUNCTION("""COMPUTED_VALUE"""),52.0)</f>
        <v>52</v>
      </c>
      <c r="H2855" s="163" t="str">
        <f>IFERROR(__xludf.DUMMYFUNCTION("""COMPUTED_VALUE"""),"PF")</f>
        <v>PF</v>
      </c>
      <c r="I2855" s="163">
        <f>IFERROR(__xludf.DUMMYFUNCTION("""COMPUTED_VALUE"""),21.0)</f>
        <v>21</v>
      </c>
      <c r="J2855" s="165">
        <f>IFERROR(__xludf.DUMMYFUNCTION("""COMPUTED_VALUE"""),-0.00706371541570416)</f>
        <v>-0.007063715416</v>
      </c>
      <c r="K2855" s="165">
        <f>IFERROR(__xludf.DUMMYFUNCTION("""COMPUTED_VALUE"""),0.826397652556125)</f>
        <v>0.8263976526</v>
      </c>
      <c r="L2855" s="165">
        <f>IFERROR(__xludf.DUMMYFUNCTION("""COMPUTED_VALUE"""),-0.833461367971829)</f>
        <v>-0.833461368</v>
      </c>
      <c r="M2855" s="166">
        <f t="shared" si="2"/>
        <v>2.585270407</v>
      </c>
      <c r="N2855" s="167">
        <f t="shared" si="3"/>
        <v>32.34862179</v>
      </c>
      <c r="O2855" s="163">
        <f t="shared" ref="O2855:Q2855" si="2859">rank(I2855,I:I)</f>
        <v>3528</v>
      </c>
      <c r="P2855" s="163">
        <f t="shared" si="2859"/>
        <v>1294</v>
      </c>
      <c r="Q2855" s="163">
        <f t="shared" si="2859"/>
        <v>592</v>
      </c>
      <c r="R2855" s="163">
        <f>IFERROR(__xludf.DUMMYFUNCTION("RANK(M2855,filter(M:M,C:C=C2855))"),125.0)</f>
        <v>125</v>
      </c>
      <c r="S2855" s="161" t="b">
        <f t="shared" si="5"/>
        <v>0</v>
      </c>
      <c r="T2855" s="161" t="b">
        <f t="array" ref="T2855">index('Query Tool'!B:B,match(H2855,'Query Tool'!C:C,0))</f>
        <v>1</v>
      </c>
      <c r="U2855" s="161" t="b">
        <f t="array" ref="U2855">index('Query Tool'!B:B,match(C2855,'Query Tool'!C:C,0))</f>
        <v>0</v>
      </c>
      <c r="V2855" s="161" t="b">
        <f>F2855&gt;='Query Tool'!C$32</f>
        <v>1</v>
      </c>
      <c r="W2855" s="161" t="b">
        <f t="array" ref="W2855">index(Dropdowns!B:B,match(I2855,Dropdowns!A:A,0))</f>
        <v>1</v>
      </c>
      <c r="X2855" s="161" t="b">
        <f t="array" ref="X2855">index('Query Tool'!B:B,match(D2855,'Query Tool'!C:C,0))</f>
        <v>1</v>
      </c>
      <c r="Y2855" s="161" t="str">
        <f t="shared" si="6"/>
        <v>markkla01,2018-19</v>
      </c>
      <c r="Z2855" s="168">
        <f t="array" ref="Z2855">iferror(index(I:I,match($A2855&amp;","&amp;index('Year Conversion'!$A:$A,match($C2855,'Year Conversion'!$B:$B,0)),$Y:$Y,0))-I2855,"")</f>
        <v>1</v>
      </c>
      <c r="AA2855" s="168">
        <f t="array" ref="AA2855">iferror(index(J:J,match($A2855&amp;","&amp;index('Year Conversion'!$A:$A,match($C2855,'Year Conversion'!$B:$B,0)),$Y:$Y,0))-J2855,"")</f>
        <v>0.03554730683</v>
      </c>
      <c r="AB2855" s="168">
        <f t="array" ref="AB2855">iferror(index(K:K,match($A2855&amp;","&amp;index('Year Conversion'!$A:$A,match($C2855,'Year Conversion'!$B:$B,0)),$Y:$Y,0))-K2855,"")</f>
        <v>-0.8009690071</v>
      </c>
      <c r="AC2855" s="168" t="str">
        <f t="shared" si="7"/>
        <v>CHI,2018-19</v>
      </c>
    </row>
    <row r="2856">
      <c r="A2856" s="161" t="str">
        <f>IFERROR(__xludf.DUMMYFUNCTION("""COMPUTED_VALUE"""),"mitchdo01")</f>
        <v>mitchdo01</v>
      </c>
      <c r="B2856" s="161" t="str">
        <f>IFERROR(__xludf.DUMMYFUNCTION("""COMPUTED_VALUE"""),"Donovan Mitchell")</f>
        <v>Donovan Mitchell</v>
      </c>
      <c r="C2856" s="162" t="str">
        <f>IFERROR(__xludf.DUMMYFUNCTION("""COMPUTED_VALUE"""),"2018-19")</f>
        <v>2018-19</v>
      </c>
      <c r="D2856" s="163" t="str">
        <f>IFERROR(__xludf.DUMMYFUNCTION("""COMPUTED_VALUE"""),"UTA")</f>
        <v>UTA</v>
      </c>
      <c r="E2856" s="164" t="str">
        <f>IFERROR(__xludf.DUMMYFUNCTION("""COMPUTED_VALUE"""),"Primary Ball Handler")</f>
        <v>Primary Ball Handler</v>
      </c>
      <c r="F2856" s="164">
        <f>IFERROR(__xludf.DUMMYFUNCTION("""COMPUTED_VALUE"""),2598.27166666667)</f>
        <v>2598.271667</v>
      </c>
      <c r="G2856" s="163">
        <f>IFERROR(__xludf.DUMMYFUNCTION("""COMPUTED_VALUE"""),77.0)</f>
        <v>77</v>
      </c>
      <c r="H2856" s="163" t="str">
        <f>IFERROR(__xludf.DUMMYFUNCTION("""COMPUTED_VALUE"""),"SG")</f>
        <v>SG</v>
      </c>
      <c r="I2856" s="163">
        <f>IFERROR(__xludf.DUMMYFUNCTION("""COMPUTED_VALUE"""),22.0)</f>
        <v>22</v>
      </c>
      <c r="J2856" s="165">
        <f>IFERROR(__xludf.DUMMYFUNCTION("""COMPUTED_VALUE"""),1.81105574526183)</f>
        <v>1.811055745</v>
      </c>
      <c r="K2856" s="165">
        <f>IFERROR(__xludf.DUMMYFUNCTION("""COMPUTED_VALUE"""),1.51921685717131)</f>
        <v>1.519216857</v>
      </c>
      <c r="L2856" s="165">
        <f>IFERROR(__xludf.DUMMYFUNCTION("""COMPUTED_VALUE"""),0.291838888090522)</f>
        <v>0.2918388881</v>
      </c>
      <c r="M2856" s="166">
        <f t="shared" si="2"/>
        <v>7.163769748</v>
      </c>
      <c r="N2856" s="167">
        <f t="shared" si="3"/>
        <v>33.74378788</v>
      </c>
      <c r="O2856" s="163">
        <f t="shared" ref="O2856:Q2856" si="2860">rank(I2856,I:I)</f>
        <v>3178</v>
      </c>
      <c r="P2856" s="163">
        <f t="shared" si="2860"/>
        <v>370</v>
      </c>
      <c r="Q2856" s="163">
        <f t="shared" si="2860"/>
        <v>315</v>
      </c>
      <c r="R2856" s="163">
        <f>IFERROR(__xludf.DUMMYFUNCTION("RANK(M2856,filter(M:M,C:C=C2856))"),32.0)</f>
        <v>32</v>
      </c>
      <c r="S2856" s="161" t="b">
        <f t="shared" si="5"/>
        <v>0</v>
      </c>
      <c r="T2856" s="161" t="b">
        <f t="array" ref="T2856">index('Query Tool'!B:B,match(H2856,'Query Tool'!C:C,0))</f>
        <v>1</v>
      </c>
      <c r="U2856" s="161" t="b">
        <f t="array" ref="U2856">index('Query Tool'!B:B,match(C2856,'Query Tool'!C:C,0))</f>
        <v>0</v>
      </c>
      <c r="V2856" s="161" t="b">
        <f>F2856&gt;='Query Tool'!C$32</f>
        <v>1</v>
      </c>
      <c r="W2856" s="161" t="b">
        <f t="array" ref="W2856">index(Dropdowns!B:B,match(I2856,Dropdowns!A:A,0))</f>
        <v>1</v>
      </c>
      <c r="X2856" s="161" t="b">
        <f t="array" ref="X2856">index('Query Tool'!B:B,match(D2856,'Query Tool'!C:C,0))</f>
        <v>1</v>
      </c>
      <c r="Y2856" s="161" t="str">
        <f t="shared" si="6"/>
        <v>mitchdo01,2018-19</v>
      </c>
      <c r="Z2856" s="168">
        <f t="array" ref="Z2856">iferror(index(I:I,match($A2856&amp;","&amp;index('Year Conversion'!$A:$A,match($C2856,'Year Conversion'!$B:$B,0)),$Y:$Y,0))-I2856,"")</f>
        <v>1</v>
      </c>
      <c r="AA2856" s="168">
        <f t="array" ref="AA2856">iferror(index(J:J,match($A2856&amp;","&amp;index('Year Conversion'!$A:$A,match($C2856,'Year Conversion'!$B:$B,0)),$Y:$Y,0))-J2856,"")</f>
        <v>-2.120730459</v>
      </c>
      <c r="AB2856" s="168">
        <f t="array" ref="AB2856">iferror(index(K:K,match($A2856&amp;","&amp;index('Year Conversion'!$A:$A,match($C2856,'Year Conversion'!$B:$B,0)),$Y:$Y,0))-K2856,"")</f>
        <v>-0.03001247967</v>
      </c>
      <c r="AC2856" s="168" t="str">
        <f t="shared" si="7"/>
        <v>UTA,2018-19</v>
      </c>
    </row>
    <row r="2857">
      <c r="A2857" s="161" t="str">
        <f>IFERROR(__xludf.DUMMYFUNCTION("""COMPUTED_VALUE"""),"kennalu01")</f>
        <v>kennalu01</v>
      </c>
      <c r="B2857" s="161" t="str">
        <f>IFERROR(__xludf.DUMMYFUNCTION("""COMPUTED_VALUE"""),"Luke Kennard")</f>
        <v>Luke Kennard</v>
      </c>
      <c r="C2857" s="162" t="str">
        <f>IFERROR(__xludf.DUMMYFUNCTION("""COMPUTED_VALUE"""),"2018-19")</f>
        <v>2018-19</v>
      </c>
      <c r="D2857" s="163" t="str">
        <f>IFERROR(__xludf.DUMMYFUNCTION("""COMPUTED_VALUE"""),"DET")</f>
        <v>DET</v>
      </c>
      <c r="E2857" s="164" t="str">
        <f>IFERROR(__xludf.DUMMYFUNCTION("""COMPUTED_VALUE"""),"Secondary Ball Handler")</f>
        <v>Secondary Ball Handler</v>
      </c>
      <c r="F2857" s="164">
        <f>IFERROR(__xludf.DUMMYFUNCTION("""COMPUTED_VALUE"""),1436.63)</f>
        <v>1436.63</v>
      </c>
      <c r="G2857" s="163">
        <f>IFERROR(__xludf.DUMMYFUNCTION("""COMPUTED_VALUE"""),63.0)</f>
        <v>63</v>
      </c>
      <c r="H2857" s="163" t="str">
        <f>IFERROR(__xludf.DUMMYFUNCTION("""COMPUTED_VALUE"""),"SG")</f>
        <v>SG</v>
      </c>
      <c r="I2857" s="163">
        <f>IFERROR(__xludf.DUMMYFUNCTION("""COMPUTED_VALUE"""),22.0)</f>
        <v>22</v>
      </c>
      <c r="J2857" s="165">
        <f>IFERROR(__xludf.DUMMYFUNCTION("""COMPUTED_VALUE"""),-1.61141039943145)</f>
        <v>-1.611410399</v>
      </c>
      <c r="K2857" s="165">
        <f>IFERROR(__xludf.DUMMYFUNCTION("""COMPUTED_VALUE"""),-0.634217245421016)</f>
        <v>-0.6342172454</v>
      </c>
      <c r="L2857" s="165">
        <f>IFERROR(__xludf.DUMMYFUNCTION("""COMPUTED_VALUE"""),-0.97719315401043)</f>
        <v>-0.977193154</v>
      </c>
      <c r="M2857" s="166">
        <f t="shared" si="2"/>
        <v>0.6596605431</v>
      </c>
      <c r="N2857" s="167">
        <f t="shared" si="3"/>
        <v>22.80365079</v>
      </c>
      <c r="O2857" s="163">
        <f t="shared" ref="O2857:Q2857" si="2861">rank(I2857,I:I)</f>
        <v>3178</v>
      </c>
      <c r="P2857" s="163">
        <f t="shared" si="2861"/>
        <v>3156</v>
      </c>
      <c r="Q2857" s="163">
        <f t="shared" si="2861"/>
        <v>2311</v>
      </c>
      <c r="R2857" s="163">
        <f>IFERROR(__xludf.DUMMYFUNCTION("RANK(M2857,filter(M:M,C:C=C2857))"),266.0)</f>
        <v>266</v>
      </c>
      <c r="S2857" s="161" t="b">
        <f t="shared" si="5"/>
        <v>0</v>
      </c>
      <c r="T2857" s="161" t="b">
        <f t="array" ref="T2857">index('Query Tool'!B:B,match(H2857,'Query Tool'!C:C,0))</f>
        <v>1</v>
      </c>
      <c r="U2857" s="161" t="b">
        <f t="array" ref="U2857">index('Query Tool'!B:B,match(C2857,'Query Tool'!C:C,0))</f>
        <v>0</v>
      </c>
      <c r="V2857" s="161" t="b">
        <f>F2857&gt;='Query Tool'!C$32</f>
        <v>1</v>
      </c>
      <c r="W2857" s="161" t="b">
        <f t="array" ref="W2857">index(Dropdowns!B:B,match(I2857,Dropdowns!A:A,0))</f>
        <v>1</v>
      </c>
      <c r="X2857" s="161" t="b">
        <f t="array" ref="X2857">index('Query Tool'!B:B,match(D2857,'Query Tool'!C:C,0))</f>
        <v>1</v>
      </c>
      <c r="Y2857" s="161" t="str">
        <f t="shared" si="6"/>
        <v>kennalu01,2018-19</v>
      </c>
      <c r="Z2857" s="168">
        <f t="array" ref="Z2857">iferror(index(I:I,match($A2857&amp;","&amp;index('Year Conversion'!$A:$A,match($C2857,'Year Conversion'!$B:$B,0)),$Y:$Y,0))-I2857,"")</f>
        <v>1</v>
      </c>
      <c r="AA2857" s="168">
        <f t="array" ref="AA2857">iferror(index(J:J,match($A2857&amp;","&amp;index('Year Conversion'!$A:$A,match($C2857,'Year Conversion'!$B:$B,0)),$Y:$Y,0))-J2857,"")</f>
        <v>0.8846963016</v>
      </c>
      <c r="AB2857" s="168">
        <f t="array" ref="AB2857">iferror(index(K:K,match($A2857&amp;","&amp;index('Year Conversion'!$A:$A,match($C2857,'Year Conversion'!$B:$B,0)),$Y:$Y,0))-K2857,"")</f>
        <v>1.319070854</v>
      </c>
      <c r="AC2857" s="168" t="str">
        <f t="shared" si="7"/>
        <v>DET,2018-19</v>
      </c>
    </row>
    <row r="2858">
      <c r="A2858" s="161" t="str">
        <f>IFERROR(__xludf.DUMMYFUNCTION("""COMPUTED_VALUE"""),"colliza01")</f>
        <v>colliza01</v>
      </c>
      <c r="B2858" s="161" t="str">
        <f>IFERROR(__xludf.DUMMYFUNCTION("""COMPUTED_VALUE"""),"Zach Collins")</f>
        <v>Zach Collins</v>
      </c>
      <c r="C2858" s="162" t="str">
        <f>IFERROR(__xludf.DUMMYFUNCTION("""COMPUTED_VALUE"""),"2018-19")</f>
        <v>2018-19</v>
      </c>
      <c r="D2858" s="163" t="str">
        <f>IFERROR(__xludf.DUMMYFUNCTION("""COMPUTED_VALUE"""),"POR")</f>
        <v>POR</v>
      </c>
      <c r="E2858" s="164" t="str">
        <f>IFERROR(__xludf.DUMMYFUNCTION("""COMPUTED_VALUE"""),"Stretch Big")</f>
        <v>Stretch Big</v>
      </c>
      <c r="F2858" s="164">
        <f>IFERROR(__xludf.DUMMYFUNCTION("""COMPUTED_VALUE"""),1355.73666666667)</f>
        <v>1355.736667</v>
      </c>
      <c r="G2858" s="163">
        <f>IFERROR(__xludf.DUMMYFUNCTION("""COMPUTED_VALUE"""),77.0)</f>
        <v>77</v>
      </c>
      <c r="H2858" s="163" t="str">
        <f>IFERROR(__xludf.DUMMYFUNCTION("""COMPUTED_VALUE"""),"C")</f>
        <v>C</v>
      </c>
      <c r="I2858" s="163">
        <f>IFERROR(__xludf.DUMMYFUNCTION("""COMPUTED_VALUE"""),21.0)</f>
        <v>21</v>
      </c>
      <c r="J2858" s="165">
        <f>IFERROR(__xludf.DUMMYFUNCTION("""COMPUTED_VALUE"""),-1.02728606260277)</f>
        <v>-1.027286063</v>
      </c>
      <c r="K2858" s="165">
        <f>IFERROR(__xludf.DUMMYFUNCTION("""COMPUTED_VALUE"""),-1.42489848141293)</f>
        <v>-1.424898481</v>
      </c>
      <c r="L2858" s="165">
        <f>IFERROR(__xludf.DUMMYFUNCTION("""COMPUTED_VALUE"""),0.397612418810156)</f>
        <v>0.3976124188</v>
      </c>
      <c r="M2858" s="166">
        <f t="shared" si="2"/>
        <v>1.152504194</v>
      </c>
      <c r="N2858" s="167">
        <f t="shared" si="3"/>
        <v>17.6069697</v>
      </c>
      <c r="O2858" s="163">
        <f t="shared" ref="O2858:Q2858" si="2862">rank(I2858,I:I)</f>
        <v>3528</v>
      </c>
      <c r="P2858" s="163">
        <f t="shared" si="2862"/>
        <v>2534</v>
      </c>
      <c r="Q2858" s="163">
        <f t="shared" si="2862"/>
        <v>3275</v>
      </c>
      <c r="R2858" s="163">
        <f>IFERROR(__xludf.DUMMYFUNCTION("RANK(M2858,filter(M:M,C:C=C2858))"),215.0)</f>
        <v>215</v>
      </c>
      <c r="S2858" s="161" t="b">
        <f t="shared" si="5"/>
        <v>0</v>
      </c>
      <c r="T2858" s="161" t="b">
        <f t="array" ref="T2858">index('Query Tool'!B:B,match(H2858,'Query Tool'!C:C,0))</f>
        <v>1</v>
      </c>
      <c r="U2858" s="161" t="b">
        <f t="array" ref="U2858">index('Query Tool'!B:B,match(C2858,'Query Tool'!C:C,0))</f>
        <v>0</v>
      </c>
      <c r="V2858" s="161" t="b">
        <f>F2858&gt;='Query Tool'!C$32</f>
        <v>1</v>
      </c>
      <c r="W2858" s="161" t="b">
        <f t="array" ref="W2858">index(Dropdowns!B:B,match(I2858,Dropdowns!A:A,0))</f>
        <v>1</v>
      </c>
      <c r="X2858" s="161" t="b">
        <f t="array" ref="X2858">index('Query Tool'!B:B,match(D2858,'Query Tool'!C:C,0))</f>
        <v>1</v>
      </c>
      <c r="Y2858" s="161" t="str">
        <f t="shared" si="6"/>
        <v>colliza01,2018-19</v>
      </c>
      <c r="Z2858" s="168">
        <f t="array" ref="Z2858">iferror(index(I:I,match($A2858&amp;","&amp;index('Year Conversion'!$A:$A,match($C2858,'Year Conversion'!$B:$B,0)),$Y:$Y,0))-I2858,"")</f>
        <v>1</v>
      </c>
      <c r="AA2858" s="168">
        <f t="array" ref="AA2858">iferror(index(J:J,match($A2858&amp;","&amp;index('Year Conversion'!$A:$A,match($C2858,'Year Conversion'!$B:$B,0)),$Y:$Y,0))-J2858,"")</f>
        <v>0.4248577067</v>
      </c>
      <c r="AB2858" s="168">
        <f t="array" ref="AB2858">iferror(index(K:K,match($A2858&amp;","&amp;index('Year Conversion'!$A:$A,match($C2858,'Year Conversion'!$B:$B,0)),$Y:$Y,0))-K2858,"")</f>
        <v>0.1064734362</v>
      </c>
      <c r="AC2858" s="168" t="str">
        <f t="shared" si="7"/>
        <v>POR,2018-19</v>
      </c>
    </row>
    <row r="2859">
      <c r="A2859" s="161" t="str">
        <f>IFERROR(__xludf.DUMMYFUNCTION("""COMPUTED_VALUE"""),"collijo01")</f>
        <v>collijo01</v>
      </c>
      <c r="B2859" s="161" t="str">
        <f>IFERROR(__xludf.DUMMYFUNCTION("""COMPUTED_VALUE"""),"John Collins")</f>
        <v>John Collins</v>
      </c>
      <c r="C2859" s="162" t="str">
        <f>IFERROR(__xludf.DUMMYFUNCTION("""COMPUTED_VALUE"""),"2018-19")</f>
        <v>2018-19</v>
      </c>
      <c r="D2859" s="163" t="str">
        <f>IFERROR(__xludf.DUMMYFUNCTION("""COMPUTED_VALUE"""),"ATL")</f>
        <v>ATL</v>
      </c>
      <c r="E2859" s="164" t="str">
        <f>IFERROR(__xludf.DUMMYFUNCTION("""COMPUTED_VALUE"""),"Roll + Cut Big")</f>
        <v>Roll + Cut Big</v>
      </c>
      <c r="F2859" s="164">
        <f>IFERROR(__xludf.DUMMYFUNCTION("""COMPUTED_VALUE"""),1828.40166666667)</f>
        <v>1828.401667</v>
      </c>
      <c r="G2859" s="163">
        <f>IFERROR(__xludf.DUMMYFUNCTION("""COMPUTED_VALUE"""),61.0)</f>
        <v>61</v>
      </c>
      <c r="H2859" s="163" t="str">
        <f>IFERROR(__xludf.DUMMYFUNCTION("""COMPUTED_VALUE"""),"PF")</f>
        <v>PF</v>
      </c>
      <c r="I2859" s="163">
        <f>IFERROR(__xludf.DUMMYFUNCTION("""COMPUTED_VALUE"""),21.0)</f>
        <v>21</v>
      </c>
      <c r="J2859" s="165">
        <f>IFERROR(__xludf.DUMMYFUNCTION("""COMPUTED_VALUE"""),0.33840127343931)</f>
        <v>0.3384012734</v>
      </c>
      <c r="K2859" s="165">
        <f>IFERROR(__xludf.DUMMYFUNCTION("""COMPUTED_VALUE"""),1.93825721637176)</f>
        <v>1.938257216</v>
      </c>
      <c r="L2859" s="165">
        <f>IFERROR(__xludf.DUMMYFUNCTION("""COMPUTED_VALUE"""),-1.59985594293245)</f>
        <v>-1.599855943</v>
      </c>
      <c r="M2859" s="166">
        <f t="shared" si="2"/>
        <v>3.235863347</v>
      </c>
      <c r="N2859" s="167">
        <f t="shared" si="3"/>
        <v>29.97379781</v>
      </c>
      <c r="O2859" s="163">
        <f t="shared" ref="O2859:Q2859" si="2863">rank(I2859,I:I)</f>
        <v>3528</v>
      </c>
      <c r="P2859" s="163">
        <f t="shared" si="2863"/>
        <v>991</v>
      </c>
      <c r="Q2859" s="163">
        <f t="shared" si="2863"/>
        <v>235</v>
      </c>
      <c r="R2859" s="163">
        <f>IFERROR(__xludf.DUMMYFUNCTION("RANK(M2859,filter(M:M,C:C=C2859))"),109.0)</f>
        <v>109</v>
      </c>
      <c r="S2859" s="161" t="b">
        <f t="shared" si="5"/>
        <v>0</v>
      </c>
      <c r="T2859" s="161" t="b">
        <f t="array" ref="T2859">index('Query Tool'!B:B,match(H2859,'Query Tool'!C:C,0))</f>
        <v>1</v>
      </c>
      <c r="U2859" s="161" t="b">
        <f t="array" ref="U2859">index('Query Tool'!B:B,match(C2859,'Query Tool'!C:C,0))</f>
        <v>0</v>
      </c>
      <c r="V2859" s="161" t="b">
        <f>F2859&gt;='Query Tool'!C$32</f>
        <v>1</v>
      </c>
      <c r="W2859" s="161" t="b">
        <f t="array" ref="W2859">index(Dropdowns!B:B,match(I2859,Dropdowns!A:A,0))</f>
        <v>1</v>
      </c>
      <c r="X2859" s="161" t="b">
        <f t="array" ref="X2859">index('Query Tool'!B:B,match(D2859,'Query Tool'!C:C,0))</f>
        <v>1</v>
      </c>
      <c r="Y2859" s="161" t="str">
        <f t="shared" si="6"/>
        <v>collijo01,2018-19</v>
      </c>
      <c r="Z2859" s="168">
        <f t="array" ref="Z2859">iferror(index(I:I,match($A2859&amp;","&amp;index('Year Conversion'!$A:$A,match($C2859,'Year Conversion'!$B:$B,0)),$Y:$Y,0))-I2859,"")</f>
        <v>1</v>
      </c>
      <c r="AA2859" s="168">
        <f t="array" ref="AA2859">iferror(index(J:J,match($A2859&amp;","&amp;index('Year Conversion'!$A:$A,match($C2859,'Year Conversion'!$B:$B,0)),$Y:$Y,0))-J2859,"")</f>
        <v>0.9841329955</v>
      </c>
      <c r="AB2859" s="168">
        <f t="array" ref="AB2859">iferror(index(K:K,match($A2859&amp;","&amp;index('Year Conversion'!$A:$A,match($C2859,'Year Conversion'!$B:$B,0)),$Y:$Y,0))-K2859,"")</f>
        <v>-1.101165055</v>
      </c>
      <c r="AC2859" s="168" t="str">
        <f t="shared" si="7"/>
        <v>ATL,2018-19</v>
      </c>
    </row>
    <row r="2860">
      <c r="A2860" s="161" t="str">
        <f>IFERROR(__xludf.DUMMYFUNCTION("""COMPUTED_VALUE"""),"jacksju01")</f>
        <v>jacksju01</v>
      </c>
      <c r="B2860" s="161" t="str">
        <f>IFERROR(__xludf.DUMMYFUNCTION("""COMPUTED_VALUE"""),"Justin Jackson")</f>
        <v>Justin Jackson</v>
      </c>
      <c r="C2860" s="162" t="str">
        <f>IFERROR(__xludf.DUMMYFUNCTION("""COMPUTED_VALUE"""),"2018-19")</f>
        <v>2018-19</v>
      </c>
      <c r="D2860" s="163" t="str">
        <f>IFERROR(__xludf.DUMMYFUNCTION("""COMPUTED_VALUE"""),"TOT")</f>
        <v>TOT</v>
      </c>
      <c r="E2860" s="164" t="str">
        <f>IFERROR(__xludf.DUMMYFUNCTION("""COMPUTED_VALUE"""),"Movement Shooter")</f>
        <v>Movement Shooter</v>
      </c>
      <c r="F2860" s="164">
        <f>IFERROR(__xludf.DUMMYFUNCTION("""COMPUTED_VALUE"""),1613.25)</f>
        <v>1613.25</v>
      </c>
      <c r="G2860" s="163">
        <f>IFERROR(__xludf.DUMMYFUNCTION("""COMPUTED_VALUE"""),81.0)</f>
        <v>81</v>
      </c>
      <c r="H2860" s="163" t="str">
        <f>IFERROR(__xludf.DUMMYFUNCTION("""COMPUTED_VALUE"""),"SF")</f>
        <v>SF</v>
      </c>
      <c r="I2860" s="163">
        <f>IFERROR(__xludf.DUMMYFUNCTION("""COMPUTED_VALUE"""),23.0)</f>
        <v>23</v>
      </c>
      <c r="J2860" s="165">
        <f>IFERROR(__xludf.DUMMYFUNCTION("""COMPUTED_VALUE"""),-1.55010549244303)</f>
        <v>-1.550105492</v>
      </c>
      <c r="K2860" s="165">
        <f>IFERROR(__xludf.DUMMYFUNCTION("""COMPUTED_VALUE"""),-0.513020261633561)</f>
        <v>-0.5130202616</v>
      </c>
      <c r="L2860" s="165">
        <f>IFERROR(__xludf.DUMMYFUNCTION("""COMPUTED_VALUE"""),-1.03708523080947)</f>
        <v>-1.037085231</v>
      </c>
      <c r="M2860" s="166">
        <f t="shared" si="2"/>
        <v>0.8067473331</v>
      </c>
      <c r="N2860" s="167">
        <f t="shared" si="3"/>
        <v>19.91666667</v>
      </c>
      <c r="O2860" s="163">
        <f t="shared" ref="O2860:Q2860" si="2864">rank(I2860,I:I)</f>
        <v>2765</v>
      </c>
      <c r="P2860" s="163">
        <f t="shared" si="2864"/>
        <v>3099</v>
      </c>
      <c r="Q2860" s="163">
        <f t="shared" si="2864"/>
        <v>2128</v>
      </c>
      <c r="R2860" s="163">
        <f>IFERROR(__xludf.DUMMYFUNCTION("RANK(M2860,filter(M:M,C:C=C2860))"),237.0)</f>
        <v>237</v>
      </c>
      <c r="S2860" s="161" t="b">
        <f t="shared" si="5"/>
        <v>0</v>
      </c>
      <c r="T2860" s="161" t="b">
        <f t="array" ref="T2860">index('Query Tool'!B:B,match(H2860,'Query Tool'!C:C,0))</f>
        <v>1</v>
      </c>
      <c r="U2860" s="161" t="b">
        <f t="array" ref="U2860">index('Query Tool'!B:B,match(C2860,'Query Tool'!C:C,0))</f>
        <v>0</v>
      </c>
      <c r="V2860" s="161" t="b">
        <f>F2860&gt;='Query Tool'!C$32</f>
        <v>1</v>
      </c>
      <c r="W2860" s="161" t="b">
        <f t="array" ref="W2860">index(Dropdowns!B:B,match(I2860,Dropdowns!A:A,0))</f>
        <v>1</v>
      </c>
      <c r="X2860" s="161" t="b">
        <f t="array" ref="X2860">index('Query Tool'!B:B,match(D2860,'Query Tool'!C:C,0))</f>
        <v>1</v>
      </c>
      <c r="Y2860" s="161" t="str">
        <f t="shared" si="6"/>
        <v>jacksju01,2018-19</v>
      </c>
      <c r="Z2860" s="168">
        <f t="array" ref="Z2860">iferror(index(I:I,match($A2860&amp;","&amp;index('Year Conversion'!$A:$A,match($C2860,'Year Conversion'!$B:$B,0)),$Y:$Y,0))-I2860,"")</f>
        <v>1</v>
      </c>
      <c r="AA2860" s="168">
        <f t="array" ref="AA2860">iferror(index(J:J,match($A2860&amp;","&amp;index('Year Conversion'!$A:$A,match($C2860,'Year Conversion'!$B:$B,0)),$Y:$Y,0))-J2860,"")</f>
        <v>-0.5186447928</v>
      </c>
      <c r="AB2860" s="168">
        <f t="array" ref="AB2860">iferror(index(K:K,match($A2860&amp;","&amp;index('Year Conversion'!$A:$A,match($C2860,'Year Conversion'!$B:$B,0)),$Y:$Y,0))-K2860,"")</f>
        <v>0.003528246294</v>
      </c>
      <c r="AC2860" s="168" t="str">
        <f t="shared" si="7"/>
        <v>TOT,2018-19</v>
      </c>
    </row>
    <row r="2861">
      <c r="A2861" s="161" t="str">
        <f>IFERROR(__xludf.DUMMYFUNCTION("""COMPUTED_VALUE"""),"pattoju01")</f>
        <v>pattoju01</v>
      </c>
      <c r="B2861" s="161" t="str">
        <f>IFERROR(__xludf.DUMMYFUNCTION("""COMPUTED_VALUE"""),"Justin Patton")</f>
        <v>Justin Patton</v>
      </c>
      <c r="C2861" s="162" t="str">
        <f>IFERROR(__xludf.DUMMYFUNCTION("""COMPUTED_VALUE"""),"2018-19")</f>
        <v>2018-19</v>
      </c>
      <c r="D2861" s="163" t="str">
        <f>IFERROR(__xludf.DUMMYFUNCTION("""COMPUTED_VALUE"""),"PHI")</f>
        <v>PHI</v>
      </c>
      <c r="E2861" s="164" t="str">
        <f>IFERROR(__xludf.DUMMYFUNCTION("""COMPUTED_VALUE"""),"Stretch Big")</f>
        <v>Stretch Big</v>
      </c>
      <c r="F2861" s="164">
        <f>IFERROR(__xludf.DUMMYFUNCTION("""COMPUTED_VALUE"""),20.6)</f>
        <v>20.6</v>
      </c>
      <c r="G2861" s="163">
        <f>IFERROR(__xludf.DUMMYFUNCTION("""COMPUTED_VALUE"""),3.0)</f>
        <v>3</v>
      </c>
      <c r="H2861" s="163" t="str">
        <f>IFERROR(__xludf.DUMMYFUNCTION("""COMPUTED_VALUE"""),"C")</f>
        <v>C</v>
      </c>
      <c r="I2861" s="163">
        <f>IFERROR(__xludf.DUMMYFUNCTION("""COMPUTED_VALUE"""),21.0)</f>
        <v>21</v>
      </c>
      <c r="J2861" s="165">
        <f>IFERROR(__xludf.DUMMYFUNCTION("""COMPUTED_VALUE"""),-0.59620275326005)</f>
        <v>-0.5962027533</v>
      </c>
      <c r="K2861" s="165">
        <f>IFERROR(__xludf.DUMMYFUNCTION("""COMPUTED_VALUE"""),-0.176402282125211)</f>
        <v>-0.1764022821</v>
      </c>
      <c r="L2861" s="165">
        <f>IFERROR(__xludf.DUMMYFUNCTION("""COMPUTED_VALUE"""),-0.419800471134839)</f>
        <v>-0.4198004711</v>
      </c>
      <c r="M2861" s="166">
        <f t="shared" si="2"/>
        <v>0.02348217088</v>
      </c>
      <c r="N2861" s="167">
        <f t="shared" si="3"/>
        <v>6.866666667</v>
      </c>
      <c r="O2861" s="163">
        <f t="shared" ref="O2861:Q2861" si="2865">rank(I2861,I:I)</f>
        <v>3528</v>
      </c>
      <c r="P2861" s="163">
        <f t="shared" si="2865"/>
        <v>1989</v>
      </c>
      <c r="Q2861" s="163">
        <f t="shared" si="2865"/>
        <v>1524</v>
      </c>
      <c r="R2861" s="163">
        <f>IFERROR(__xludf.DUMMYFUNCTION("RANK(M2861,filter(M:M,C:C=C2861))"),448.0)</f>
        <v>448</v>
      </c>
      <c r="S2861" s="161" t="b">
        <f t="shared" si="5"/>
        <v>0</v>
      </c>
      <c r="T2861" s="161" t="b">
        <f t="array" ref="T2861">index('Query Tool'!B:B,match(H2861,'Query Tool'!C:C,0))</f>
        <v>1</v>
      </c>
      <c r="U2861" s="161" t="b">
        <f t="array" ref="U2861">index('Query Tool'!B:B,match(C2861,'Query Tool'!C:C,0))</f>
        <v>0</v>
      </c>
      <c r="V2861" s="161" t="b">
        <f>F2861&gt;='Query Tool'!C$32</f>
        <v>0</v>
      </c>
      <c r="W2861" s="161" t="b">
        <f t="array" ref="W2861">index(Dropdowns!B:B,match(I2861,Dropdowns!A:A,0))</f>
        <v>1</v>
      </c>
      <c r="X2861" s="161" t="b">
        <f t="array" ref="X2861">index('Query Tool'!B:B,match(D2861,'Query Tool'!C:C,0))</f>
        <v>1</v>
      </c>
      <c r="Y2861" s="161" t="str">
        <f t="shared" si="6"/>
        <v>pattoju01,2018-19</v>
      </c>
      <c r="Z2861" s="168">
        <f t="array" ref="Z2861">iferror(index(I:I,match($A2861&amp;","&amp;index('Year Conversion'!$A:$A,match($C2861,'Year Conversion'!$B:$B,0)),$Y:$Y,0))-I2861,"")</f>
        <v>1</v>
      </c>
      <c r="AA2861" s="168">
        <f t="array" ref="AA2861">iferror(index(J:J,match($A2861&amp;","&amp;index('Year Conversion'!$A:$A,match($C2861,'Year Conversion'!$B:$B,0)),$Y:$Y,0))-J2861,"")</f>
        <v>-0.3248206516</v>
      </c>
      <c r="AB2861" s="168">
        <f t="array" ref="AB2861">iferror(index(K:K,match($A2861&amp;","&amp;index('Year Conversion'!$A:$A,match($C2861,'Year Conversion'!$B:$B,0)),$Y:$Y,0))-K2861,"")</f>
        <v>-0.02397774835</v>
      </c>
      <c r="AC2861" s="168" t="str">
        <f t="shared" si="7"/>
        <v>PHI,2018-19</v>
      </c>
    </row>
    <row r="2862">
      <c r="A2862" s="161" t="str">
        <f>IFERROR(__xludf.DUMMYFUNCTION("""COMPUTED_VALUE"""),"anunoog01")</f>
        <v>anunoog01</v>
      </c>
      <c r="B2862" s="161" t="str">
        <f>IFERROR(__xludf.DUMMYFUNCTION("""COMPUTED_VALUE"""),"OG Anunoby")</f>
        <v>OG Anunoby</v>
      </c>
      <c r="C2862" s="162" t="str">
        <f>IFERROR(__xludf.DUMMYFUNCTION("""COMPUTED_VALUE"""),"2018-19")</f>
        <v>2018-19</v>
      </c>
      <c r="D2862" s="163" t="str">
        <f>IFERROR(__xludf.DUMMYFUNCTION("""COMPUTED_VALUE"""),"TOR")</f>
        <v>TOR</v>
      </c>
      <c r="E2862" s="164" t="str">
        <f>IFERROR(__xludf.DUMMYFUNCTION("""COMPUTED_VALUE"""),"Athletic Finisher")</f>
        <v>Athletic Finisher</v>
      </c>
      <c r="F2862" s="164">
        <f>IFERROR(__xludf.DUMMYFUNCTION("""COMPUTED_VALUE"""),1352.26666666667)</f>
        <v>1352.266667</v>
      </c>
      <c r="G2862" s="163">
        <f>IFERROR(__xludf.DUMMYFUNCTION("""COMPUTED_VALUE"""),67.0)</f>
        <v>67</v>
      </c>
      <c r="H2862" s="163" t="str">
        <f>IFERROR(__xludf.DUMMYFUNCTION("""COMPUTED_VALUE"""),"SF")</f>
        <v>SF</v>
      </c>
      <c r="I2862" s="163">
        <f>IFERROR(__xludf.DUMMYFUNCTION("""COMPUTED_VALUE"""),21.0)</f>
        <v>21</v>
      </c>
      <c r="J2862" s="165">
        <f>IFERROR(__xludf.DUMMYFUNCTION("""COMPUTED_VALUE"""),-2.44796863542038)</f>
        <v>-2.447968635</v>
      </c>
      <c r="K2862" s="165">
        <f>IFERROR(__xludf.DUMMYFUNCTION("""COMPUTED_VALUE"""),-1.76234421951054)</f>
        <v>-1.76234422</v>
      </c>
      <c r="L2862" s="165">
        <f>IFERROR(__xludf.DUMMYFUNCTION("""COMPUTED_VALUE"""),-0.685624415909849)</f>
        <v>-0.6856244159</v>
      </c>
      <c r="M2862" s="166">
        <f t="shared" si="2"/>
        <v>-0.1286347855</v>
      </c>
      <c r="N2862" s="167">
        <f t="shared" si="3"/>
        <v>20.18308458</v>
      </c>
      <c r="O2862" s="163">
        <f t="shared" ref="O2862:Q2862" si="2866">rank(I2862,I:I)</f>
        <v>3528</v>
      </c>
      <c r="P2862" s="163">
        <f t="shared" si="2866"/>
        <v>3737</v>
      </c>
      <c r="Q2862" s="163">
        <f t="shared" si="2866"/>
        <v>3553</v>
      </c>
      <c r="R2862" s="163">
        <f>IFERROR(__xludf.DUMMYFUNCTION("RANK(M2862,filter(M:M,C:C=C2862))"),499.0)</f>
        <v>499</v>
      </c>
      <c r="S2862" s="161" t="b">
        <f t="shared" si="5"/>
        <v>0</v>
      </c>
      <c r="T2862" s="161" t="b">
        <f t="array" ref="T2862">index('Query Tool'!B:B,match(H2862,'Query Tool'!C:C,0))</f>
        <v>1</v>
      </c>
      <c r="U2862" s="161" t="b">
        <f t="array" ref="U2862">index('Query Tool'!B:B,match(C2862,'Query Tool'!C:C,0))</f>
        <v>0</v>
      </c>
      <c r="V2862" s="161" t="b">
        <f>F2862&gt;='Query Tool'!C$32</f>
        <v>1</v>
      </c>
      <c r="W2862" s="161" t="b">
        <f t="array" ref="W2862">index(Dropdowns!B:B,match(I2862,Dropdowns!A:A,0))</f>
        <v>1</v>
      </c>
      <c r="X2862" s="161" t="b">
        <f t="array" ref="X2862">index('Query Tool'!B:B,match(D2862,'Query Tool'!C:C,0))</f>
        <v>1</v>
      </c>
      <c r="Y2862" s="161" t="str">
        <f t="shared" si="6"/>
        <v>anunoog01,2018-19</v>
      </c>
      <c r="Z2862" s="168">
        <f t="array" ref="Z2862">iferror(index(I:I,match($A2862&amp;","&amp;index('Year Conversion'!$A:$A,match($C2862,'Year Conversion'!$B:$B,0)),$Y:$Y,0))-I2862,"")</f>
        <v>1</v>
      </c>
      <c r="AA2862" s="168">
        <f t="array" ref="AA2862">iferror(index(J:J,match($A2862&amp;","&amp;index('Year Conversion'!$A:$A,match($C2862,'Year Conversion'!$B:$B,0)),$Y:$Y,0))-J2862,"")</f>
        <v>3.076582927</v>
      </c>
      <c r="AB2862" s="168">
        <f t="array" ref="AB2862">iferror(index(K:K,match($A2862&amp;","&amp;index('Year Conversion'!$A:$A,match($C2862,'Year Conversion'!$B:$B,0)),$Y:$Y,0))-K2862,"")</f>
        <v>0.8324152523</v>
      </c>
      <c r="AC2862" s="168" t="str">
        <f t="shared" si="7"/>
        <v>TOR,2018-19</v>
      </c>
    </row>
    <row r="2863">
      <c r="A2863" s="161" t="str">
        <f>IFERROR(__xludf.DUMMYFUNCTION("""COMPUTED_VALUE"""),"gilesha01")</f>
        <v>gilesha01</v>
      </c>
      <c r="B2863" s="161" t="str">
        <f>IFERROR(__xludf.DUMMYFUNCTION("""COMPUTED_VALUE"""),"Harry Giles III")</f>
        <v>Harry Giles III</v>
      </c>
      <c r="C2863" s="162" t="str">
        <f>IFERROR(__xludf.DUMMYFUNCTION("""COMPUTED_VALUE"""),"2018-19")</f>
        <v>2018-19</v>
      </c>
      <c r="D2863" s="163" t="str">
        <f>IFERROR(__xludf.DUMMYFUNCTION("""COMPUTED_VALUE"""),"SAC")</f>
        <v>SAC</v>
      </c>
      <c r="E2863" s="164" t="str">
        <f>IFERROR(__xludf.DUMMYFUNCTION("""COMPUTED_VALUE"""),"Post Scorer")</f>
        <v>Post Scorer</v>
      </c>
      <c r="F2863" s="164">
        <f>IFERROR(__xludf.DUMMYFUNCTION("""COMPUTED_VALUE"""),819.99)</f>
        <v>819.99</v>
      </c>
      <c r="G2863" s="163">
        <f>IFERROR(__xludf.DUMMYFUNCTION("""COMPUTED_VALUE"""),58.0)</f>
        <v>58</v>
      </c>
      <c r="H2863" s="163" t="str">
        <f>IFERROR(__xludf.DUMMYFUNCTION("""COMPUTED_VALUE"""),"PF")</f>
        <v>PF</v>
      </c>
      <c r="I2863" s="163">
        <f>IFERROR(__xludf.DUMMYFUNCTION("""COMPUTED_VALUE"""),20.0)</f>
        <v>20</v>
      </c>
      <c r="J2863" s="165">
        <f>IFERROR(__xludf.DUMMYFUNCTION("""COMPUTED_VALUE"""),-1.90861190178526)</f>
        <v>-1.908611902</v>
      </c>
      <c r="K2863" s="165">
        <f>IFERROR(__xludf.DUMMYFUNCTION("""COMPUTED_VALUE"""),-1.62336562123892)</f>
        <v>-1.623365621</v>
      </c>
      <c r="L2863" s="165">
        <f>IFERROR(__xludf.DUMMYFUNCTION("""COMPUTED_VALUE"""),-0.285246280546337)</f>
        <v>-0.2852462805</v>
      </c>
      <c r="M2863" s="166">
        <f t="shared" si="2"/>
        <v>0.2143227851</v>
      </c>
      <c r="N2863" s="167">
        <f t="shared" si="3"/>
        <v>14.13775862</v>
      </c>
      <c r="O2863" s="163">
        <f t="shared" ref="O2863:Q2863" si="2867">rank(I2863,I:I)</f>
        <v>3770</v>
      </c>
      <c r="P2863" s="163">
        <f t="shared" si="2867"/>
        <v>3424</v>
      </c>
      <c r="Q2863" s="163">
        <f t="shared" si="2867"/>
        <v>3463</v>
      </c>
      <c r="R2863" s="163">
        <f>IFERROR(__xludf.DUMMYFUNCTION("RANK(M2863,filter(M:M,C:C=C2863))"),342.0)</f>
        <v>342</v>
      </c>
      <c r="S2863" s="161" t="b">
        <f t="shared" si="5"/>
        <v>0</v>
      </c>
      <c r="T2863" s="161" t="b">
        <f t="array" ref="T2863">index('Query Tool'!B:B,match(H2863,'Query Tool'!C:C,0))</f>
        <v>1</v>
      </c>
      <c r="U2863" s="161" t="b">
        <f t="array" ref="U2863">index('Query Tool'!B:B,match(C2863,'Query Tool'!C:C,0))</f>
        <v>0</v>
      </c>
      <c r="V2863" s="161" t="b">
        <f>F2863&gt;='Query Tool'!C$32</f>
        <v>1</v>
      </c>
      <c r="W2863" s="161" t="b">
        <f t="array" ref="W2863">index(Dropdowns!B:B,match(I2863,Dropdowns!A:A,0))</f>
        <v>1</v>
      </c>
      <c r="X2863" s="161" t="b">
        <f t="array" ref="X2863">index('Query Tool'!B:B,match(D2863,'Query Tool'!C:C,0))</f>
        <v>1</v>
      </c>
      <c r="Y2863" s="161" t="str">
        <f t="shared" si="6"/>
        <v>gilesha01,2018-19</v>
      </c>
      <c r="Z2863" s="168">
        <f t="array" ref="Z2863">iferror(index(I:I,match($A2863&amp;","&amp;index('Year Conversion'!$A:$A,match($C2863,'Year Conversion'!$B:$B,0)),$Y:$Y,0))-I2863,"")</f>
        <v>1</v>
      </c>
      <c r="AA2863" s="168">
        <f t="array" ref="AA2863">iferror(index(J:J,match($A2863&amp;","&amp;index('Year Conversion'!$A:$A,match($C2863,'Year Conversion'!$B:$B,0)),$Y:$Y,0))-J2863,"")</f>
        <v>0.7170736898</v>
      </c>
      <c r="AB2863" s="168">
        <f t="array" ref="AB2863">iferror(index(K:K,match($A2863&amp;","&amp;index('Year Conversion'!$A:$A,match($C2863,'Year Conversion'!$B:$B,0)),$Y:$Y,0))-K2863,"")</f>
        <v>0.4459760986</v>
      </c>
      <c r="AC2863" s="168" t="str">
        <f t="shared" si="7"/>
        <v>SAC,2018-19</v>
      </c>
    </row>
    <row r="2864">
      <c r="A2864" s="161" t="str">
        <f>IFERROR(__xludf.DUMMYFUNCTION("""COMPUTED_VALUE"""),"allenja01")</f>
        <v>allenja01</v>
      </c>
      <c r="B2864" s="161" t="str">
        <f>IFERROR(__xludf.DUMMYFUNCTION("""COMPUTED_VALUE"""),"Jarrett Allen")</f>
        <v>Jarrett Allen</v>
      </c>
      <c r="C2864" s="162" t="str">
        <f>IFERROR(__xludf.DUMMYFUNCTION("""COMPUTED_VALUE"""),"2018-19")</f>
        <v>2018-19</v>
      </c>
      <c r="D2864" s="163" t="str">
        <f>IFERROR(__xludf.DUMMYFUNCTION("""COMPUTED_VALUE"""),"BRK")</f>
        <v>BRK</v>
      </c>
      <c r="E2864" s="164" t="str">
        <f>IFERROR(__xludf.DUMMYFUNCTION("""COMPUTED_VALUE"""),"Roll + Cut Big")</f>
        <v>Roll + Cut Big</v>
      </c>
      <c r="F2864" s="164">
        <f>IFERROR(__xludf.DUMMYFUNCTION("""COMPUTED_VALUE"""),2095.97)</f>
        <v>2095.97</v>
      </c>
      <c r="G2864" s="163">
        <f>IFERROR(__xludf.DUMMYFUNCTION("""COMPUTED_VALUE"""),80.0)</f>
        <v>80</v>
      </c>
      <c r="H2864" s="163" t="str">
        <f>IFERROR(__xludf.DUMMYFUNCTION("""COMPUTED_VALUE"""),"C")</f>
        <v>C</v>
      </c>
      <c r="I2864" s="163">
        <f>IFERROR(__xludf.DUMMYFUNCTION("""COMPUTED_VALUE"""),20.0)</f>
        <v>20</v>
      </c>
      <c r="J2864" s="165">
        <f>IFERROR(__xludf.DUMMYFUNCTION("""COMPUTED_VALUE"""),1.3619072129509)</f>
        <v>1.361907213</v>
      </c>
      <c r="K2864" s="165">
        <f>IFERROR(__xludf.DUMMYFUNCTION("""COMPUTED_VALUE"""),-0.351486713392726)</f>
        <v>-0.3514867134</v>
      </c>
      <c r="L2864" s="165">
        <f>IFERROR(__xludf.DUMMYFUNCTION("""COMPUTED_VALUE"""),1.71339392634363)</f>
        <v>1.713393926</v>
      </c>
      <c r="M2864" s="166">
        <f t="shared" si="2"/>
        <v>5.150829691</v>
      </c>
      <c r="N2864" s="167">
        <f t="shared" si="3"/>
        <v>26.199625</v>
      </c>
      <c r="O2864" s="163">
        <f t="shared" ref="O2864:Q2864" si="2868">rank(I2864,I:I)</f>
        <v>3770</v>
      </c>
      <c r="P2864" s="163">
        <f t="shared" si="2868"/>
        <v>507</v>
      </c>
      <c r="Q2864" s="163">
        <f t="shared" si="2868"/>
        <v>1856</v>
      </c>
      <c r="R2864" s="163">
        <f>IFERROR(__xludf.DUMMYFUNCTION("RANK(M2864,filter(M:M,C:C=C2864))"),56.0)</f>
        <v>56</v>
      </c>
      <c r="S2864" s="161" t="b">
        <f t="shared" si="5"/>
        <v>0</v>
      </c>
      <c r="T2864" s="161" t="b">
        <f t="array" ref="T2864">index('Query Tool'!B:B,match(H2864,'Query Tool'!C:C,0))</f>
        <v>1</v>
      </c>
      <c r="U2864" s="161" t="b">
        <f t="array" ref="U2864">index('Query Tool'!B:B,match(C2864,'Query Tool'!C:C,0))</f>
        <v>0</v>
      </c>
      <c r="V2864" s="161" t="b">
        <f>F2864&gt;='Query Tool'!C$32</f>
        <v>1</v>
      </c>
      <c r="W2864" s="161" t="b">
        <f t="array" ref="W2864">index(Dropdowns!B:B,match(I2864,Dropdowns!A:A,0))</f>
        <v>1</v>
      </c>
      <c r="X2864" s="161" t="b">
        <f t="array" ref="X2864">index('Query Tool'!B:B,match(D2864,'Query Tool'!C:C,0))</f>
        <v>1</v>
      </c>
      <c r="Y2864" s="161" t="str">
        <f t="shared" si="6"/>
        <v>allenja01,2018-19</v>
      </c>
      <c r="Z2864" s="168">
        <f t="array" ref="Z2864">iferror(index(I:I,match($A2864&amp;","&amp;index('Year Conversion'!$A:$A,match($C2864,'Year Conversion'!$B:$B,0)),$Y:$Y,0))-I2864,"")</f>
        <v>1</v>
      </c>
      <c r="AA2864" s="168">
        <f t="array" ref="AA2864">iferror(index(J:J,match($A2864&amp;","&amp;index('Year Conversion'!$A:$A,match($C2864,'Year Conversion'!$B:$B,0)),$Y:$Y,0))-J2864,"")</f>
        <v>1.205566089</v>
      </c>
      <c r="AB2864" s="168">
        <f t="array" ref="AB2864">iferror(index(K:K,match($A2864&amp;","&amp;index('Year Conversion'!$A:$A,match($C2864,'Year Conversion'!$B:$B,0)),$Y:$Y,0))-K2864,"")</f>
        <v>1.006518764</v>
      </c>
      <c r="AC2864" s="168" t="str">
        <f t="shared" si="7"/>
        <v>BRK,2018-19</v>
      </c>
    </row>
    <row r="2865">
      <c r="A2865" s="161" t="str">
        <f>IFERROR(__xludf.DUMMYFUNCTION("""COMPUTED_VALUE"""),"anigbik01")</f>
        <v>anigbik01</v>
      </c>
      <c r="B2865" s="161" t="str">
        <f>IFERROR(__xludf.DUMMYFUNCTION("""COMPUTED_VALUE"""),"Ike Anigbogu")</f>
        <v>Ike Anigbogu</v>
      </c>
      <c r="C2865" s="162" t="str">
        <f>IFERROR(__xludf.DUMMYFUNCTION("""COMPUTED_VALUE"""),"2018-19")</f>
        <v>2018-19</v>
      </c>
      <c r="D2865" s="163" t="str">
        <f>IFERROR(__xludf.DUMMYFUNCTION("""COMPUTED_VALUE"""),"IND")</f>
        <v>IND</v>
      </c>
      <c r="E2865" s="164" t="str">
        <f>IFERROR(__xludf.DUMMYFUNCTION("""COMPUTED_VALUE"""),"Roll + Cut Big")</f>
        <v>Roll + Cut Big</v>
      </c>
      <c r="F2865" s="164">
        <f>IFERROR(__xludf.DUMMYFUNCTION("""COMPUTED_VALUE"""),6.15)</f>
        <v>6.15</v>
      </c>
      <c r="G2865" s="163">
        <f>IFERROR(__xludf.DUMMYFUNCTION("""COMPUTED_VALUE"""),3.0)</f>
        <v>3</v>
      </c>
      <c r="H2865" s="163" t="str">
        <f>IFERROR(__xludf.DUMMYFUNCTION("""COMPUTED_VALUE"""),"C")</f>
        <v>C</v>
      </c>
      <c r="I2865" s="163">
        <f>IFERROR(__xludf.DUMMYFUNCTION("""COMPUTED_VALUE"""),20.0)</f>
        <v>20</v>
      </c>
      <c r="J2865" s="165">
        <f>IFERROR(__xludf.DUMMYFUNCTION("""COMPUTED_VALUE"""),-0.983117985505874)</f>
        <v>-0.9831179855</v>
      </c>
      <c r="K2865" s="165">
        <f>IFERROR(__xludf.DUMMYFUNCTION("""COMPUTED_VALUE"""),-0.324175495900153)</f>
        <v>-0.3241754959</v>
      </c>
      <c r="L2865" s="165">
        <f>IFERROR(__xludf.DUMMYFUNCTION("""COMPUTED_VALUE"""),-0.658942489605721)</f>
        <v>-0.6589424896</v>
      </c>
      <c r="M2865" s="166">
        <f t="shared" si="2"/>
        <v>0.005410444286</v>
      </c>
      <c r="N2865" s="167">
        <f t="shared" si="3"/>
        <v>2.05</v>
      </c>
      <c r="O2865" s="163">
        <f t="shared" ref="O2865:Q2865" si="2869">rank(I2865,I:I)</f>
        <v>3770</v>
      </c>
      <c r="P2865" s="163">
        <f t="shared" si="2869"/>
        <v>2488</v>
      </c>
      <c r="Q2865" s="163">
        <f t="shared" si="2869"/>
        <v>1801</v>
      </c>
      <c r="R2865" s="163">
        <f>IFERROR(__xludf.DUMMYFUNCTION("RANK(M2865,filter(M:M,C:C=C2865))"),469.0)</f>
        <v>469</v>
      </c>
      <c r="S2865" s="161" t="b">
        <f t="shared" si="5"/>
        <v>0</v>
      </c>
      <c r="T2865" s="161" t="b">
        <f t="array" ref="T2865">index('Query Tool'!B:B,match(H2865,'Query Tool'!C:C,0))</f>
        <v>1</v>
      </c>
      <c r="U2865" s="161" t="b">
        <f t="array" ref="U2865">index('Query Tool'!B:B,match(C2865,'Query Tool'!C:C,0))</f>
        <v>0</v>
      </c>
      <c r="V2865" s="161" t="b">
        <f>F2865&gt;='Query Tool'!C$32</f>
        <v>0</v>
      </c>
      <c r="W2865" s="161" t="b">
        <f t="array" ref="W2865">index(Dropdowns!B:B,match(I2865,Dropdowns!A:A,0))</f>
        <v>1</v>
      </c>
      <c r="X2865" s="161" t="b">
        <f t="array" ref="X2865">index('Query Tool'!B:B,match(D2865,'Query Tool'!C:C,0))</f>
        <v>1</v>
      </c>
      <c r="Y2865" s="161" t="str">
        <f t="shared" si="6"/>
        <v>anigbik01,2018-19</v>
      </c>
      <c r="Z2865" s="168" t="str">
        <f t="array" ref="Z2865">iferror(index(I:I,match($A2865&amp;","&amp;index('Year Conversion'!$A:$A,match($C2865,'Year Conversion'!$B:$B,0)),$Y:$Y,0))-I2865,"")</f>
        <v/>
      </c>
      <c r="AA2865" s="168" t="str">
        <f t="array" ref="AA2865">iferror(index(J:J,match($A2865&amp;","&amp;index('Year Conversion'!$A:$A,match($C2865,'Year Conversion'!$B:$B,0)),$Y:$Y,0))-J2865,"")</f>
        <v/>
      </c>
      <c r="AB2865" s="168" t="str">
        <f t="array" ref="AB2865">iferror(index(K:K,match($A2865&amp;","&amp;index('Year Conversion'!$A:$A,match($C2865,'Year Conversion'!$B:$B,0)),$Y:$Y,0))-K2865,"")</f>
        <v/>
      </c>
      <c r="AC2865" s="168" t="str">
        <f t="shared" si="7"/>
        <v>IND,2018-19</v>
      </c>
    </row>
    <row r="2866">
      <c r="A2866" s="161" t="str">
        <f>IFERROR(__xludf.DUMMYFUNCTION("""COMPUTED_VALUE"""),"leaftj01")</f>
        <v>leaftj01</v>
      </c>
      <c r="B2866" s="161" t="str">
        <f>IFERROR(__xludf.DUMMYFUNCTION("""COMPUTED_VALUE"""),"T.J. Leaf")</f>
        <v>T.J. Leaf</v>
      </c>
      <c r="C2866" s="162" t="str">
        <f>IFERROR(__xludf.DUMMYFUNCTION("""COMPUTED_VALUE"""),"2018-19")</f>
        <v>2018-19</v>
      </c>
      <c r="D2866" s="163" t="str">
        <f>IFERROR(__xludf.DUMMYFUNCTION("""COMPUTED_VALUE"""),"IND")</f>
        <v>IND</v>
      </c>
      <c r="E2866" s="164" t="str">
        <f>IFERROR(__xludf.DUMMYFUNCTION("""COMPUTED_VALUE"""),"Roll + Cut Big")</f>
        <v>Roll + Cut Big</v>
      </c>
      <c r="F2866" s="164">
        <f>IFERROR(__xludf.DUMMYFUNCTION("""COMPUTED_VALUE"""),521.566666666667)</f>
        <v>521.5666667</v>
      </c>
      <c r="G2866" s="163">
        <f>IFERROR(__xludf.DUMMYFUNCTION("""COMPUTED_VALUE"""),58.0)</f>
        <v>58</v>
      </c>
      <c r="H2866" s="163" t="str">
        <f>IFERROR(__xludf.DUMMYFUNCTION("""COMPUTED_VALUE"""),"PF")</f>
        <v>PF</v>
      </c>
      <c r="I2866" s="163">
        <f>IFERROR(__xludf.DUMMYFUNCTION("""COMPUTED_VALUE"""),21.0)</f>
        <v>21</v>
      </c>
      <c r="J2866" s="165">
        <f>IFERROR(__xludf.DUMMYFUNCTION("""COMPUTED_VALUE"""),-0.529373761780931)</f>
        <v>-0.5293737618</v>
      </c>
      <c r="K2866" s="165">
        <f>IFERROR(__xludf.DUMMYFUNCTION("""COMPUTED_VALUE"""),-0.267576077882461)</f>
        <v>-0.2675760779</v>
      </c>
      <c r="L2866" s="165">
        <f>IFERROR(__xludf.DUMMYFUNCTION("""COMPUTED_VALUE"""),-0.26179768389847)</f>
        <v>-0.2617976839</v>
      </c>
      <c r="M2866" s="166">
        <f t="shared" si="2"/>
        <v>0.6180080691</v>
      </c>
      <c r="N2866" s="167">
        <f t="shared" si="3"/>
        <v>8.992528736</v>
      </c>
      <c r="O2866" s="163">
        <f t="shared" ref="O2866:Q2866" si="2870">rank(I2866,I:I)</f>
        <v>3528</v>
      </c>
      <c r="P2866" s="163">
        <f t="shared" si="2870"/>
        <v>1893</v>
      </c>
      <c r="Q2866" s="163">
        <f t="shared" si="2870"/>
        <v>1697</v>
      </c>
      <c r="R2866" s="163">
        <f>IFERROR(__xludf.DUMMYFUNCTION("RANK(M2866,filter(M:M,C:C=C2866))"),269.0)</f>
        <v>269</v>
      </c>
      <c r="S2866" s="161" t="b">
        <f t="shared" si="5"/>
        <v>0</v>
      </c>
      <c r="T2866" s="161" t="b">
        <f t="array" ref="T2866">index('Query Tool'!B:B,match(H2866,'Query Tool'!C:C,0))</f>
        <v>1</v>
      </c>
      <c r="U2866" s="161" t="b">
        <f t="array" ref="U2866">index('Query Tool'!B:B,match(C2866,'Query Tool'!C:C,0))</f>
        <v>0</v>
      </c>
      <c r="V2866" s="161" t="b">
        <f>F2866&gt;='Query Tool'!C$32</f>
        <v>1</v>
      </c>
      <c r="W2866" s="161" t="b">
        <f t="array" ref="W2866">index(Dropdowns!B:B,match(I2866,Dropdowns!A:A,0))</f>
        <v>1</v>
      </c>
      <c r="X2866" s="161" t="b">
        <f t="array" ref="X2866">index('Query Tool'!B:B,match(D2866,'Query Tool'!C:C,0))</f>
        <v>1</v>
      </c>
      <c r="Y2866" s="161" t="str">
        <f t="shared" si="6"/>
        <v>leaftj01,2018-19</v>
      </c>
      <c r="Z2866" s="168">
        <f t="array" ref="Z2866">iferror(index(I:I,match($A2866&amp;","&amp;index('Year Conversion'!$A:$A,match($C2866,'Year Conversion'!$B:$B,0)),$Y:$Y,0))-I2866,"")</f>
        <v>1</v>
      </c>
      <c r="AA2866" s="168">
        <f t="array" ref="AA2866">iferror(index(J:J,match($A2866&amp;","&amp;index('Year Conversion'!$A:$A,match($C2866,'Year Conversion'!$B:$B,0)),$Y:$Y,0))-J2866,"")</f>
        <v>-0.03608770144</v>
      </c>
      <c r="AB2866" s="168">
        <f t="array" ref="AB2866">iferror(index(K:K,match($A2866&amp;","&amp;index('Year Conversion'!$A:$A,match($C2866,'Year Conversion'!$B:$B,0)),$Y:$Y,0))-K2866,"")</f>
        <v>-0.4487829128</v>
      </c>
      <c r="AC2866" s="168" t="str">
        <f t="shared" si="7"/>
        <v>IND,2018-19</v>
      </c>
    </row>
    <row r="2867">
      <c r="A2867" s="161" t="str">
        <f>IFERROR(__xludf.DUMMYFUNCTION("""COMPUTED_VALUE"""),"adebaba01")</f>
        <v>adebaba01</v>
      </c>
      <c r="B2867" s="161" t="str">
        <f>IFERROR(__xludf.DUMMYFUNCTION("""COMPUTED_VALUE"""),"Bam Adebayo")</f>
        <v>Bam Adebayo</v>
      </c>
      <c r="C2867" s="162" t="str">
        <f>IFERROR(__xludf.DUMMYFUNCTION("""COMPUTED_VALUE"""),"2018-19")</f>
        <v>2018-19</v>
      </c>
      <c r="D2867" s="163" t="str">
        <f>IFERROR(__xludf.DUMMYFUNCTION("""COMPUTED_VALUE"""),"MIA")</f>
        <v>MIA</v>
      </c>
      <c r="E2867" s="164" t="str">
        <f>IFERROR(__xludf.DUMMYFUNCTION("""COMPUTED_VALUE"""),"Roll + Cut Big")</f>
        <v>Roll + Cut Big</v>
      </c>
      <c r="F2867" s="164">
        <f>IFERROR(__xludf.DUMMYFUNCTION("""COMPUTED_VALUE"""),1912.6)</f>
        <v>1912.6</v>
      </c>
      <c r="G2867" s="163">
        <f>IFERROR(__xludf.DUMMYFUNCTION("""COMPUTED_VALUE"""),82.0)</f>
        <v>82</v>
      </c>
      <c r="H2867" s="163" t="str">
        <f>IFERROR(__xludf.DUMMYFUNCTION("""COMPUTED_VALUE"""),"C")</f>
        <v>C</v>
      </c>
      <c r="I2867" s="163">
        <f>IFERROR(__xludf.DUMMYFUNCTION("""COMPUTED_VALUE"""),21.0)</f>
        <v>21</v>
      </c>
      <c r="J2867" s="165">
        <f>IFERROR(__xludf.DUMMYFUNCTION("""COMPUTED_VALUE"""),1.25207096940664)</f>
        <v>1.252070969</v>
      </c>
      <c r="K2867" s="165">
        <f>IFERROR(__xludf.DUMMYFUNCTION("""COMPUTED_VALUE"""),-0.864211318920797)</f>
        <v>-0.8642113189</v>
      </c>
      <c r="L2867" s="165">
        <f>IFERROR(__xludf.DUMMYFUNCTION("""COMPUTED_VALUE"""),2.11628228832744)</f>
        <v>2.116282288</v>
      </c>
      <c r="M2867" s="166">
        <f t="shared" si="2"/>
        <v>4.559574513</v>
      </c>
      <c r="N2867" s="167">
        <f t="shared" si="3"/>
        <v>23.32439024</v>
      </c>
      <c r="O2867" s="163">
        <f t="shared" ref="O2867:Q2867" si="2871">rank(I2867,I:I)</f>
        <v>3528</v>
      </c>
      <c r="P2867" s="163">
        <f t="shared" si="2871"/>
        <v>548</v>
      </c>
      <c r="Q2867" s="163">
        <f t="shared" si="2871"/>
        <v>2641</v>
      </c>
      <c r="R2867" s="163">
        <f>IFERROR(__xludf.DUMMYFUNCTION("RANK(M2867,filter(M:M,C:C=C2867))"),68.0)</f>
        <v>68</v>
      </c>
      <c r="S2867" s="161" t="b">
        <f t="shared" si="5"/>
        <v>0</v>
      </c>
      <c r="T2867" s="161" t="b">
        <f t="array" ref="T2867">index('Query Tool'!B:B,match(H2867,'Query Tool'!C:C,0))</f>
        <v>1</v>
      </c>
      <c r="U2867" s="161" t="b">
        <f t="array" ref="U2867">index('Query Tool'!B:B,match(C2867,'Query Tool'!C:C,0))</f>
        <v>0</v>
      </c>
      <c r="V2867" s="161" t="b">
        <f>F2867&gt;='Query Tool'!C$32</f>
        <v>1</v>
      </c>
      <c r="W2867" s="161" t="b">
        <f t="array" ref="W2867">index(Dropdowns!B:B,match(I2867,Dropdowns!A:A,0))</f>
        <v>1</v>
      </c>
      <c r="X2867" s="161" t="b">
        <f t="array" ref="X2867">index('Query Tool'!B:B,match(D2867,'Query Tool'!C:C,0))</f>
        <v>1</v>
      </c>
      <c r="Y2867" s="161" t="str">
        <f t="shared" si="6"/>
        <v>adebaba01,2018-19</v>
      </c>
      <c r="Z2867" s="168">
        <f t="array" ref="Z2867">iferror(index(I:I,match($A2867&amp;","&amp;index('Year Conversion'!$A:$A,match($C2867,'Year Conversion'!$B:$B,0)),$Y:$Y,0))-I2867,"")</f>
        <v>1</v>
      </c>
      <c r="AA2867" s="168">
        <f t="array" ref="AA2867">iferror(index(J:J,match($A2867&amp;","&amp;index('Year Conversion'!$A:$A,match($C2867,'Year Conversion'!$B:$B,0)),$Y:$Y,0))-J2867,"")</f>
        <v>1.682791299</v>
      </c>
      <c r="AB2867" s="168">
        <f t="array" ref="AB2867">iferror(index(K:K,match($A2867&amp;","&amp;index('Year Conversion'!$A:$A,match($C2867,'Year Conversion'!$B:$B,0)),$Y:$Y,0))-K2867,"")</f>
        <v>1.880026979</v>
      </c>
      <c r="AC2867" s="168" t="str">
        <f t="shared" si="7"/>
        <v>MIA,2018-19</v>
      </c>
    </row>
    <row r="2868">
      <c r="A2868" s="161" t="str">
        <f>IFERROR(__xludf.DUMMYFUNCTION("""COMPUTED_VALUE"""),"fergute01")</f>
        <v>fergute01</v>
      </c>
      <c r="B2868" s="161" t="str">
        <f>IFERROR(__xludf.DUMMYFUNCTION("""COMPUTED_VALUE"""),"Terrance Ferguson")</f>
        <v>Terrance Ferguson</v>
      </c>
      <c r="C2868" s="162" t="str">
        <f>IFERROR(__xludf.DUMMYFUNCTION("""COMPUTED_VALUE"""),"2018-19")</f>
        <v>2018-19</v>
      </c>
      <c r="D2868" s="163" t="str">
        <f>IFERROR(__xludf.DUMMYFUNCTION("""COMPUTED_VALUE"""),"OKC")</f>
        <v>OKC</v>
      </c>
      <c r="E2868" s="164" t="str">
        <f>IFERROR(__xludf.DUMMYFUNCTION("""COMPUTED_VALUE"""),"Stationary Shooter")</f>
        <v>Stationary Shooter</v>
      </c>
      <c r="F2868" s="164">
        <f>IFERROR(__xludf.DUMMYFUNCTION("""COMPUTED_VALUE"""),1931.07833333333)</f>
        <v>1931.078333</v>
      </c>
      <c r="G2868" s="163">
        <f>IFERROR(__xludf.DUMMYFUNCTION("""COMPUTED_VALUE"""),74.0)</f>
        <v>74</v>
      </c>
      <c r="H2868" s="163" t="str">
        <f>IFERROR(__xludf.DUMMYFUNCTION("""COMPUTED_VALUE"""),"SG")</f>
        <v>SG</v>
      </c>
      <c r="I2868" s="163">
        <f>IFERROR(__xludf.DUMMYFUNCTION("""COMPUTED_VALUE"""),20.0)</f>
        <v>20</v>
      </c>
      <c r="J2868" s="165">
        <f>IFERROR(__xludf.DUMMYFUNCTION("""COMPUTED_VALUE"""),-2.61689468965456)</f>
        <v>-2.61689469</v>
      </c>
      <c r="K2868" s="165">
        <f>IFERROR(__xludf.DUMMYFUNCTION("""COMPUTED_VALUE"""),-2.22584910072938)</f>
        <v>-2.225849101</v>
      </c>
      <c r="L2868" s="165">
        <f>IFERROR(__xludf.DUMMYFUNCTION("""COMPUTED_VALUE"""),-0.391045588925181)</f>
        <v>-0.3910455889</v>
      </c>
      <c r="M2868" s="166">
        <f t="shared" si="2"/>
        <v>-0.3978444155</v>
      </c>
      <c r="N2868" s="167">
        <f t="shared" si="3"/>
        <v>26.09565315</v>
      </c>
      <c r="O2868" s="163">
        <f t="shared" ref="O2868:Q2868" si="2872">rank(I2868,I:I)</f>
        <v>3770</v>
      </c>
      <c r="P2868" s="163">
        <f t="shared" si="2872"/>
        <v>3791</v>
      </c>
      <c r="Q2868" s="163">
        <f t="shared" si="2872"/>
        <v>3809</v>
      </c>
      <c r="R2868" s="163">
        <f>IFERROR(__xludf.DUMMYFUNCTION("RANK(M2868,filter(M:M,C:C=C2868))"),513.0)</f>
        <v>513</v>
      </c>
      <c r="S2868" s="161" t="b">
        <f t="shared" si="5"/>
        <v>0</v>
      </c>
      <c r="T2868" s="161" t="b">
        <f t="array" ref="T2868">index('Query Tool'!B:B,match(H2868,'Query Tool'!C:C,0))</f>
        <v>1</v>
      </c>
      <c r="U2868" s="161" t="b">
        <f t="array" ref="U2868">index('Query Tool'!B:B,match(C2868,'Query Tool'!C:C,0))</f>
        <v>0</v>
      </c>
      <c r="V2868" s="161" t="b">
        <f>F2868&gt;='Query Tool'!C$32</f>
        <v>1</v>
      </c>
      <c r="W2868" s="161" t="b">
        <f t="array" ref="W2868">index(Dropdowns!B:B,match(I2868,Dropdowns!A:A,0))</f>
        <v>1</v>
      </c>
      <c r="X2868" s="161" t="b">
        <f t="array" ref="X2868">index('Query Tool'!B:B,match(D2868,'Query Tool'!C:C,0))</f>
        <v>1</v>
      </c>
      <c r="Y2868" s="161" t="str">
        <f t="shared" si="6"/>
        <v>fergute01,2018-19</v>
      </c>
      <c r="Z2868" s="168">
        <f t="array" ref="Z2868">iferror(index(I:I,match($A2868&amp;","&amp;index('Year Conversion'!$A:$A,match($C2868,'Year Conversion'!$B:$B,0)),$Y:$Y,0))-I2868,"")</f>
        <v>1</v>
      </c>
      <c r="AA2868" s="168">
        <f t="array" ref="AA2868">iferror(index(J:J,match($A2868&amp;","&amp;index('Year Conversion'!$A:$A,match($C2868,'Year Conversion'!$B:$B,0)),$Y:$Y,0))-J2868,"")</f>
        <v>-0.4101987865</v>
      </c>
      <c r="AB2868" s="168">
        <f t="array" ref="AB2868">iferror(index(K:K,match($A2868&amp;","&amp;index('Year Conversion'!$A:$A,match($C2868,'Year Conversion'!$B:$B,0)),$Y:$Y,0))-K2868,"")</f>
        <v>-0.6128977948</v>
      </c>
      <c r="AC2868" s="168" t="str">
        <f t="shared" si="7"/>
        <v>OKC,2018-19</v>
      </c>
    </row>
    <row r="2869">
      <c r="A2869" s="161" t="str">
        <f>IFERROR(__xludf.DUMMYFUNCTION("""COMPUTED_VALUE"""),"wilsodj01")</f>
        <v>wilsodj01</v>
      </c>
      <c r="B2869" s="161" t="str">
        <f>IFERROR(__xludf.DUMMYFUNCTION("""COMPUTED_VALUE"""),"D.J. Wilson")</f>
        <v>D.J. Wilson</v>
      </c>
      <c r="C2869" s="162" t="str">
        <f>IFERROR(__xludf.DUMMYFUNCTION("""COMPUTED_VALUE"""),"2018-19")</f>
        <v>2018-19</v>
      </c>
      <c r="D2869" s="163" t="str">
        <f>IFERROR(__xludf.DUMMYFUNCTION("""COMPUTED_VALUE"""),"MIL")</f>
        <v>MIL</v>
      </c>
      <c r="E2869" s="164" t="str">
        <f>IFERROR(__xludf.DUMMYFUNCTION("""COMPUTED_VALUE"""),"Stretch Big")</f>
        <v>Stretch Big</v>
      </c>
      <c r="F2869" s="164">
        <f>IFERROR(__xludf.DUMMYFUNCTION("""COMPUTED_VALUE"""),882.038333333333)</f>
        <v>882.0383333</v>
      </c>
      <c r="G2869" s="163">
        <f>IFERROR(__xludf.DUMMYFUNCTION("""COMPUTED_VALUE"""),48.0)</f>
        <v>48</v>
      </c>
      <c r="H2869" s="163" t="str">
        <f>IFERROR(__xludf.DUMMYFUNCTION("""COMPUTED_VALUE"""),"PF")</f>
        <v>PF</v>
      </c>
      <c r="I2869" s="163">
        <f>IFERROR(__xludf.DUMMYFUNCTION("""COMPUTED_VALUE"""),22.0)</f>
        <v>22</v>
      </c>
      <c r="J2869" s="165">
        <f>IFERROR(__xludf.DUMMYFUNCTION("""COMPUTED_VALUE"""),-0.612500906307635)</f>
        <v>-0.6125009063</v>
      </c>
      <c r="K2869" s="165">
        <f>IFERROR(__xludf.DUMMYFUNCTION("""COMPUTED_VALUE"""),-1.43098292668186)</f>
        <v>-1.430982927</v>
      </c>
      <c r="L2869" s="165">
        <f>IFERROR(__xludf.DUMMYFUNCTION("""COMPUTED_VALUE"""),0.818482020374222)</f>
        <v>0.8184820204</v>
      </c>
      <c r="M2869" s="166">
        <f t="shared" si="2"/>
        <v>0.9957682403</v>
      </c>
      <c r="N2869" s="167">
        <f t="shared" si="3"/>
        <v>18.37579861</v>
      </c>
      <c r="O2869" s="163">
        <f t="shared" ref="O2869:Q2869" si="2873">rank(I2869,I:I)</f>
        <v>3178</v>
      </c>
      <c r="P2869" s="163">
        <f t="shared" si="2873"/>
        <v>2014</v>
      </c>
      <c r="Q2869" s="163">
        <f t="shared" si="2873"/>
        <v>3281</v>
      </c>
      <c r="R2869" s="163">
        <f>IFERROR(__xludf.DUMMYFUNCTION("RANK(M2869,filter(M:M,C:C=C2869))"),224.0)</f>
        <v>224</v>
      </c>
      <c r="S2869" s="161" t="b">
        <f t="shared" si="5"/>
        <v>0</v>
      </c>
      <c r="T2869" s="161" t="b">
        <f t="array" ref="T2869">index('Query Tool'!B:B,match(H2869,'Query Tool'!C:C,0))</f>
        <v>1</v>
      </c>
      <c r="U2869" s="161" t="b">
        <f t="array" ref="U2869">index('Query Tool'!B:B,match(C2869,'Query Tool'!C:C,0))</f>
        <v>0</v>
      </c>
      <c r="V2869" s="161" t="b">
        <f>F2869&gt;='Query Tool'!C$32</f>
        <v>1</v>
      </c>
      <c r="W2869" s="161" t="b">
        <f t="array" ref="W2869">index(Dropdowns!B:B,match(I2869,Dropdowns!A:A,0))</f>
        <v>1</v>
      </c>
      <c r="X2869" s="161" t="b">
        <f t="array" ref="X2869">index('Query Tool'!B:B,match(D2869,'Query Tool'!C:C,0))</f>
        <v>1</v>
      </c>
      <c r="Y2869" s="161" t="str">
        <f t="shared" si="6"/>
        <v>wilsodj01,2018-19</v>
      </c>
      <c r="Z2869" s="168">
        <f t="array" ref="Z2869">iferror(index(I:I,match($A2869&amp;","&amp;index('Year Conversion'!$A:$A,match($C2869,'Year Conversion'!$B:$B,0)),$Y:$Y,0))-I2869,"")</f>
        <v>1</v>
      </c>
      <c r="AA2869" s="168">
        <f t="array" ref="AA2869">iferror(index(J:J,match($A2869&amp;","&amp;index('Year Conversion'!$A:$A,match($C2869,'Year Conversion'!$B:$B,0)),$Y:$Y,0))-J2869,"")</f>
        <v>-1.019311912</v>
      </c>
      <c r="AB2869" s="168">
        <f t="array" ref="AB2869">iferror(index(K:K,match($A2869&amp;","&amp;index('Year Conversion'!$A:$A,match($C2869,'Year Conversion'!$B:$B,0)),$Y:$Y,0))-K2869,"")</f>
        <v>-0.08036040956</v>
      </c>
      <c r="AC2869" s="168" t="str">
        <f t="shared" si="7"/>
        <v>MIL,2018-19</v>
      </c>
    </row>
    <row r="2870">
      <c r="A2870" s="161" t="str">
        <f>IFERROR(__xludf.DUMMYFUNCTION("""COMPUTED_VALUE"""),"harteis01")</f>
        <v>harteis01</v>
      </c>
      <c r="B2870" s="161" t="str">
        <f>IFERROR(__xludf.DUMMYFUNCTION("""COMPUTED_VALUE"""),"Isaiah Hartenstein")</f>
        <v>Isaiah Hartenstein</v>
      </c>
      <c r="C2870" s="162" t="str">
        <f>IFERROR(__xludf.DUMMYFUNCTION("""COMPUTED_VALUE"""),"2018-19")</f>
        <v>2018-19</v>
      </c>
      <c r="D2870" s="163" t="str">
        <f>IFERROR(__xludf.DUMMYFUNCTION("""COMPUTED_VALUE"""),"HOU")</f>
        <v>HOU</v>
      </c>
      <c r="E2870" s="164" t="str">
        <f>IFERROR(__xludf.DUMMYFUNCTION("""COMPUTED_VALUE"""),"Roll + Cut Big")</f>
        <v>Roll + Cut Big</v>
      </c>
      <c r="F2870" s="164">
        <f>IFERROR(__xludf.DUMMYFUNCTION("""COMPUTED_VALUE"""),221.26)</f>
        <v>221.26</v>
      </c>
      <c r="G2870" s="163">
        <f>IFERROR(__xludf.DUMMYFUNCTION("""COMPUTED_VALUE"""),28.0)</f>
        <v>28</v>
      </c>
      <c r="H2870" s="163" t="str">
        <f>IFERROR(__xludf.DUMMYFUNCTION("""COMPUTED_VALUE"""),"PF")</f>
        <v>PF</v>
      </c>
      <c r="I2870" s="163">
        <f>IFERROR(__xludf.DUMMYFUNCTION("""COMPUTED_VALUE"""),20.0)</f>
        <v>20</v>
      </c>
      <c r="J2870" s="165">
        <f>IFERROR(__xludf.DUMMYFUNCTION("""COMPUTED_VALUE"""),-1.19972693739768)</f>
        <v>-1.199726937</v>
      </c>
      <c r="K2870" s="165">
        <f>IFERROR(__xludf.DUMMYFUNCTION("""COMPUTED_VALUE"""),-1.40211895642945)</f>
        <v>-1.402118956</v>
      </c>
      <c r="L2870" s="165">
        <f>IFERROR(__xludf.DUMMYFUNCTION("""COMPUTED_VALUE"""),0.202392019031771)</f>
        <v>0.202392019</v>
      </c>
      <c r="M2870" s="166">
        <f t="shared" si="2"/>
        <v>0.1625014003</v>
      </c>
      <c r="N2870" s="167">
        <f t="shared" si="3"/>
        <v>7.902142857</v>
      </c>
      <c r="O2870" s="163">
        <f t="shared" ref="O2870:Q2870" si="2874">rank(I2870,I:I)</f>
        <v>3770</v>
      </c>
      <c r="P2870" s="163">
        <f t="shared" si="2874"/>
        <v>2746</v>
      </c>
      <c r="Q2870" s="163">
        <f t="shared" si="2874"/>
        <v>3254</v>
      </c>
      <c r="R2870" s="163">
        <f>IFERROR(__xludf.DUMMYFUNCTION("RANK(M2870,filter(M:M,C:C=C2870))"),359.0)</f>
        <v>359</v>
      </c>
      <c r="S2870" s="161" t="b">
        <f t="shared" si="5"/>
        <v>0</v>
      </c>
      <c r="T2870" s="161" t="b">
        <f t="array" ref="T2870">index('Query Tool'!B:B,match(H2870,'Query Tool'!C:C,0))</f>
        <v>1</v>
      </c>
      <c r="U2870" s="161" t="b">
        <f t="array" ref="U2870">index('Query Tool'!B:B,match(C2870,'Query Tool'!C:C,0))</f>
        <v>0</v>
      </c>
      <c r="V2870" s="161" t="b">
        <f>F2870&gt;='Query Tool'!C$32</f>
        <v>0</v>
      </c>
      <c r="W2870" s="161" t="b">
        <f t="array" ref="W2870">index(Dropdowns!B:B,match(I2870,Dropdowns!A:A,0))</f>
        <v>1</v>
      </c>
      <c r="X2870" s="161" t="b">
        <f t="array" ref="X2870">index('Query Tool'!B:B,match(D2870,'Query Tool'!C:C,0))</f>
        <v>1</v>
      </c>
      <c r="Y2870" s="161" t="str">
        <f t="shared" si="6"/>
        <v>harteis01,2018-19</v>
      </c>
      <c r="Z2870" s="168">
        <f t="array" ref="Z2870">iferror(index(I:I,match($A2870&amp;","&amp;index('Year Conversion'!$A:$A,match($C2870,'Year Conversion'!$B:$B,0)),$Y:$Y,0))-I2870,"")</f>
        <v>1</v>
      </c>
      <c r="AA2870" s="168">
        <f t="array" ref="AA2870">iferror(index(J:J,match($A2870&amp;","&amp;index('Year Conversion'!$A:$A,match($C2870,'Year Conversion'!$B:$B,0)),$Y:$Y,0))-J2870,"")</f>
        <v>0.8723209396</v>
      </c>
      <c r="AB2870" s="168">
        <f t="array" ref="AB2870">iferror(index(K:K,match($A2870&amp;","&amp;index('Year Conversion'!$A:$A,match($C2870,'Year Conversion'!$B:$B,0)),$Y:$Y,0))-K2870,"")</f>
        <v>0.84503691</v>
      </c>
      <c r="AC2870" s="168" t="str">
        <f t="shared" si="7"/>
        <v>HOU,2018-19</v>
      </c>
    </row>
    <row r="2871">
      <c r="A2871" s="161" t="str">
        <f>IFERROR(__xludf.DUMMYFUNCTION("""COMPUTED_VALUE"""),"evansja01")</f>
        <v>evansja01</v>
      </c>
      <c r="B2871" s="161" t="str">
        <f>IFERROR(__xludf.DUMMYFUNCTION("""COMPUTED_VALUE"""),"Jawun Evans")</f>
        <v>Jawun Evans</v>
      </c>
      <c r="C2871" s="162" t="str">
        <f>IFERROR(__xludf.DUMMYFUNCTION("""COMPUTED_VALUE"""),"2018-19")</f>
        <v>2018-19</v>
      </c>
      <c r="D2871" s="163" t="str">
        <f>IFERROR(__xludf.DUMMYFUNCTION("""COMPUTED_VALUE"""),"TOT")</f>
        <v>TOT</v>
      </c>
      <c r="E2871" s="164" t="str">
        <f>IFERROR(__xludf.DUMMYFUNCTION("""COMPUTED_VALUE"""),"Slasher")</f>
        <v>Slasher</v>
      </c>
      <c r="F2871" s="164">
        <f>IFERROR(__xludf.DUMMYFUNCTION("""COMPUTED_VALUE"""),64.3483333333332)</f>
        <v>64.34833333</v>
      </c>
      <c r="G2871" s="163">
        <f>IFERROR(__xludf.DUMMYFUNCTION("""COMPUTED_VALUE"""),8.0)</f>
        <v>8</v>
      </c>
      <c r="H2871" s="163" t="str">
        <f>IFERROR(__xludf.DUMMYFUNCTION("""COMPUTED_VALUE"""),"PG")</f>
        <v>PG</v>
      </c>
      <c r="I2871" s="163">
        <f>IFERROR(__xludf.DUMMYFUNCTION("""COMPUTED_VALUE"""),22.0)</f>
        <v>22</v>
      </c>
      <c r="J2871" s="165">
        <f>IFERROR(__xludf.DUMMYFUNCTION("""COMPUTED_VALUE"""),-0.844533152559516)</f>
        <v>-0.8445331526</v>
      </c>
      <c r="K2871" s="165">
        <f>IFERROR(__xludf.DUMMYFUNCTION("""COMPUTED_VALUE"""),-0.442007768342753)</f>
        <v>-0.4420077683</v>
      </c>
      <c r="L2871" s="165">
        <f>IFERROR(__xludf.DUMMYFUNCTION("""COMPUTED_VALUE"""),-0.402525384216763)</f>
        <v>-0.4025253842</v>
      </c>
      <c r="M2871" s="166">
        <f t="shared" si="2"/>
        <v>0.06260156519</v>
      </c>
      <c r="N2871" s="167">
        <f t="shared" si="3"/>
        <v>8.043541667</v>
      </c>
      <c r="O2871" s="163">
        <f t="shared" ref="O2871:Q2871" si="2875">rank(I2871,I:I)</f>
        <v>3178</v>
      </c>
      <c r="P2871" s="163">
        <f t="shared" si="2875"/>
        <v>2341</v>
      </c>
      <c r="Q2871" s="163">
        <f t="shared" si="2875"/>
        <v>2020</v>
      </c>
      <c r="R2871" s="163">
        <f>IFERROR(__xludf.DUMMYFUNCTION("RANK(M2871,filter(M:M,C:C=C2871))"),409.0)</f>
        <v>409</v>
      </c>
      <c r="S2871" s="161" t="b">
        <f t="shared" si="5"/>
        <v>0</v>
      </c>
      <c r="T2871" s="161" t="b">
        <f t="array" ref="T2871">index('Query Tool'!B:B,match(H2871,'Query Tool'!C:C,0))</f>
        <v>1</v>
      </c>
      <c r="U2871" s="161" t="b">
        <f t="array" ref="U2871">index('Query Tool'!B:B,match(C2871,'Query Tool'!C:C,0))</f>
        <v>0</v>
      </c>
      <c r="V2871" s="161" t="b">
        <f>F2871&gt;='Query Tool'!C$32</f>
        <v>0</v>
      </c>
      <c r="W2871" s="161" t="b">
        <f t="array" ref="W2871">index(Dropdowns!B:B,match(I2871,Dropdowns!A:A,0))</f>
        <v>1</v>
      </c>
      <c r="X2871" s="161" t="b">
        <f t="array" ref="X2871">index('Query Tool'!B:B,match(D2871,'Query Tool'!C:C,0))</f>
        <v>1</v>
      </c>
      <c r="Y2871" s="161" t="str">
        <f t="shared" si="6"/>
        <v>evansja01,2018-19</v>
      </c>
      <c r="Z2871" s="168" t="str">
        <f t="array" ref="Z2871">iferror(index(I:I,match($A2871&amp;","&amp;index('Year Conversion'!$A:$A,match($C2871,'Year Conversion'!$B:$B,0)),$Y:$Y,0))-I2871,"")</f>
        <v/>
      </c>
      <c r="AA2871" s="168" t="str">
        <f t="array" ref="AA2871">iferror(index(J:J,match($A2871&amp;","&amp;index('Year Conversion'!$A:$A,match($C2871,'Year Conversion'!$B:$B,0)),$Y:$Y,0))-J2871,"")</f>
        <v/>
      </c>
      <c r="AB2871" s="168" t="str">
        <f t="array" ref="AB2871">iferror(index(K:K,match($A2871&amp;","&amp;index('Year Conversion'!$A:$A,match($C2871,'Year Conversion'!$B:$B,0)),$Y:$Y,0))-K2871,"")</f>
        <v/>
      </c>
      <c r="AC2871" s="168" t="str">
        <f t="shared" si="7"/>
        <v>TOT,2018-19</v>
      </c>
    </row>
    <row r="2872">
      <c r="A2872" s="161" t="str">
        <f>IFERROR(__xludf.DUMMYFUNCTION("""COMPUTED_VALUE"""),"belljo01")</f>
        <v>belljo01</v>
      </c>
      <c r="B2872" s="161" t="str">
        <f>IFERROR(__xludf.DUMMYFUNCTION("""COMPUTED_VALUE"""),"Jordan Bell")</f>
        <v>Jordan Bell</v>
      </c>
      <c r="C2872" s="162" t="str">
        <f>IFERROR(__xludf.DUMMYFUNCTION("""COMPUTED_VALUE"""),"2018-19")</f>
        <v>2018-19</v>
      </c>
      <c r="D2872" s="163" t="str">
        <f>IFERROR(__xludf.DUMMYFUNCTION("""COMPUTED_VALUE"""),"GSW")</f>
        <v>GSW</v>
      </c>
      <c r="E2872" s="164" t="str">
        <f>IFERROR(__xludf.DUMMYFUNCTION("""COMPUTED_VALUE"""),"Roll + Cut Big")</f>
        <v>Roll + Cut Big</v>
      </c>
      <c r="F2872" s="164">
        <f>IFERROR(__xludf.DUMMYFUNCTION("""COMPUTED_VALUE"""),788.29)</f>
        <v>788.29</v>
      </c>
      <c r="G2872" s="163">
        <f>IFERROR(__xludf.DUMMYFUNCTION("""COMPUTED_VALUE"""),68.0)</f>
        <v>68</v>
      </c>
      <c r="H2872" s="163" t="str">
        <f>IFERROR(__xludf.DUMMYFUNCTION("""COMPUTED_VALUE"""),"C")</f>
        <v>C</v>
      </c>
      <c r="I2872" s="163">
        <f>IFERROR(__xludf.DUMMYFUNCTION("""COMPUTED_VALUE"""),24.0)</f>
        <v>24</v>
      </c>
      <c r="J2872" s="165">
        <f>IFERROR(__xludf.DUMMYFUNCTION("""COMPUTED_VALUE"""),-1.46236555354113)</f>
        <v>-1.462365554</v>
      </c>
      <c r="K2872" s="165">
        <f>IFERROR(__xludf.DUMMYFUNCTION("""COMPUTED_VALUE"""),-1.85096288795925)</f>
        <v>-1.850962888</v>
      </c>
      <c r="L2872" s="165">
        <f>IFERROR(__xludf.DUMMYFUNCTION("""COMPUTED_VALUE"""),0.388597334418114)</f>
        <v>0.3885973344</v>
      </c>
      <c r="M2872" s="166">
        <f t="shared" si="2"/>
        <v>0.4403965359</v>
      </c>
      <c r="N2872" s="167">
        <f t="shared" si="3"/>
        <v>11.5925</v>
      </c>
      <c r="O2872" s="163">
        <f t="shared" ref="O2872:Q2872" si="2876">rank(I2872,I:I)</f>
        <v>2361</v>
      </c>
      <c r="P2872" s="163">
        <f t="shared" si="2876"/>
        <v>3017</v>
      </c>
      <c r="Q2872" s="163">
        <f t="shared" si="2876"/>
        <v>3606</v>
      </c>
      <c r="R2872" s="163">
        <f>IFERROR(__xludf.DUMMYFUNCTION("RANK(M2872,filter(M:M,C:C=C2872))"),302.0)</f>
        <v>302</v>
      </c>
      <c r="S2872" s="161" t="b">
        <f t="shared" si="5"/>
        <v>0</v>
      </c>
      <c r="T2872" s="161" t="b">
        <f t="array" ref="T2872">index('Query Tool'!B:B,match(H2872,'Query Tool'!C:C,0))</f>
        <v>1</v>
      </c>
      <c r="U2872" s="161" t="b">
        <f t="array" ref="U2872">index('Query Tool'!B:B,match(C2872,'Query Tool'!C:C,0))</f>
        <v>0</v>
      </c>
      <c r="V2872" s="161" t="b">
        <f>F2872&gt;='Query Tool'!C$32</f>
        <v>1</v>
      </c>
      <c r="W2872" s="161" t="b">
        <f t="array" ref="W2872">index(Dropdowns!B:B,match(I2872,Dropdowns!A:A,0))</f>
        <v>1</v>
      </c>
      <c r="X2872" s="161" t="b">
        <f t="array" ref="X2872">index('Query Tool'!B:B,match(D2872,'Query Tool'!C:C,0))</f>
        <v>1</v>
      </c>
      <c r="Y2872" s="161" t="str">
        <f t="shared" si="6"/>
        <v>belljo01,2018-19</v>
      </c>
      <c r="Z2872" s="168">
        <f t="array" ref="Z2872">iferror(index(I:I,match($A2872&amp;","&amp;index('Year Conversion'!$A:$A,match($C2872,'Year Conversion'!$B:$B,0)),$Y:$Y,0))-I2872,"")</f>
        <v>1</v>
      </c>
      <c r="AA2872" s="168">
        <f t="array" ref="AA2872">iferror(index(J:J,match($A2872&amp;","&amp;index('Year Conversion'!$A:$A,match($C2872,'Year Conversion'!$B:$B,0)),$Y:$Y,0))-J2872,"")</f>
        <v>1.083256292</v>
      </c>
      <c r="AB2872" s="168">
        <f t="array" ref="AB2872">iferror(index(K:K,match($A2872&amp;","&amp;index('Year Conversion'!$A:$A,match($C2872,'Year Conversion'!$B:$B,0)),$Y:$Y,0))-K2872,"")</f>
        <v>1.448119066</v>
      </c>
      <c r="AC2872" s="168" t="str">
        <f t="shared" si="7"/>
        <v>GSW,2018-19</v>
      </c>
    </row>
    <row r="2873">
      <c r="A2873" s="161" t="str">
        <f>IFERROR(__xludf.DUMMYFUNCTION("""COMPUTED_VALUE"""),"bradlto01")</f>
        <v>bradlto01</v>
      </c>
      <c r="B2873" s="161" t="str">
        <f>IFERROR(__xludf.DUMMYFUNCTION("""COMPUTED_VALUE"""),"Tony Bradley")</f>
        <v>Tony Bradley</v>
      </c>
      <c r="C2873" s="162" t="str">
        <f>IFERROR(__xludf.DUMMYFUNCTION("""COMPUTED_VALUE"""),"2018-19")</f>
        <v>2018-19</v>
      </c>
      <c r="D2873" s="163" t="str">
        <f>IFERROR(__xludf.DUMMYFUNCTION("""COMPUTED_VALUE"""),"UTA")</f>
        <v>UTA</v>
      </c>
      <c r="E2873" s="164" t="str">
        <f>IFERROR(__xludf.DUMMYFUNCTION("""COMPUTED_VALUE"""),"Roll + Cut Big")</f>
        <v>Roll + Cut Big</v>
      </c>
      <c r="F2873" s="164">
        <f>IFERROR(__xludf.DUMMYFUNCTION("""COMPUTED_VALUE"""),35.9)</f>
        <v>35.9</v>
      </c>
      <c r="G2873" s="163">
        <f>IFERROR(__xludf.DUMMYFUNCTION("""COMPUTED_VALUE"""),3.0)</f>
        <v>3</v>
      </c>
      <c r="H2873" s="163" t="str">
        <f>IFERROR(__xludf.DUMMYFUNCTION("""COMPUTED_VALUE"""),"C")</f>
        <v>C</v>
      </c>
      <c r="I2873" s="163">
        <f>IFERROR(__xludf.DUMMYFUNCTION("""COMPUTED_VALUE"""),21.0)</f>
        <v>21</v>
      </c>
      <c r="J2873" s="165">
        <f>IFERROR(__xludf.DUMMYFUNCTION("""COMPUTED_VALUE"""),-0.817715106941837)</f>
        <v>-0.8177151069</v>
      </c>
      <c r="K2873" s="165">
        <f>IFERROR(__xludf.DUMMYFUNCTION("""COMPUTED_VALUE"""),-0.127900984374404)</f>
        <v>-0.1279009844</v>
      </c>
      <c r="L2873" s="165">
        <f>IFERROR(__xludf.DUMMYFUNCTION("""COMPUTED_VALUE"""),-0.689814122567433)</f>
        <v>-0.6898141226</v>
      </c>
      <c r="M2873" s="166">
        <f t="shared" si="2"/>
        <v>0.03557269938</v>
      </c>
      <c r="N2873" s="167">
        <f t="shared" si="3"/>
        <v>11.96666667</v>
      </c>
      <c r="O2873" s="163">
        <f t="shared" ref="O2873:Q2873" si="2877">rank(I2873,I:I)</f>
        <v>3528</v>
      </c>
      <c r="P2873" s="163">
        <f t="shared" si="2877"/>
        <v>2310</v>
      </c>
      <c r="Q2873" s="163">
        <f t="shared" si="2877"/>
        <v>1431</v>
      </c>
      <c r="R2873" s="163">
        <f>IFERROR(__xludf.DUMMYFUNCTION("RANK(M2873,filter(M:M,C:C=C2873))"),434.0)</f>
        <v>434</v>
      </c>
      <c r="S2873" s="161" t="b">
        <f t="shared" si="5"/>
        <v>0</v>
      </c>
      <c r="T2873" s="161" t="b">
        <f t="array" ref="T2873">index('Query Tool'!B:B,match(H2873,'Query Tool'!C:C,0))</f>
        <v>1</v>
      </c>
      <c r="U2873" s="161" t="b">
        <f t="array" ref="U2873">index('Query Tool'!B:B,match(C2873,'Query Tool'!C:C,0))</f>
        <v>0</v>
      </c>
      <c r="V2873" s="161" t="b">
        <f>F2873&gt;='Query Tool'!C$32</f>
        <v>0</v>
      </c>
      <c r="W2873" s="161" t="b">
        <f t="array" ref="W2873">index(Dropdowns!B:B,match(I2873,Dropdowns!A:A,0))</f>
        <v>1</v>
      </c>
      <c r="X2873" s="161" t="b">
        <f t="array" ref="X2873">index('Query Tool'!B:B,match(D2873,'Query Tool'!C:C,0))</f>
        <v>1</v>
      </c>
      <c r="Y2873" s="161" t="str">
        <f t="shared" si="6"/>
        <v>bradlto01,2018-19</v>
      </c>
      <c r="Z2873" s="168">
        <f t="array" ref="Z2873">iferror(index(I:I,match($A2873&amp;","&amp;index('Year Conversion'!$A:$A,match($C2873,'Year Conversion'!$B:$B,0)),$Y:$Y,0))-I2873,"")</f>
        <v>1</v>
      </c>
      <c r="AA2873" s="168">
        <f t="array" ref="AA2873">iferror(index(J:J,match($A2873&amp;","&amp;index('Year Conversion'!$A:$A,match($C2873,'Year Conversion'!$B:$B,0)),$Y:$Y,0))-J2873,"")</f>
        <v>0.4560425957</v>
      </c>
      <c r="AB2873" s="168">
        <f t="array" ref="AB2873">iferror(index(K:K,match($A2873&amp;","&amp;index('Year Conversion'!$A:$A,match($C2873,'Year Conversion'!$B:$B,0)),$Y:$Y,0))-K2873,"")</f>
        <v>0.3115063075</v>
      </c>
      <c r="AC2873" s="168" t="str">
        <f t="shared" si="7"/>
        <v>UTA,2018-19</v>
      </c>
    </row>
    <row r="2874">
      <c r="A2874" s="161" t="str">
        <f>IFERROR(__xludf.DUMMYFUNCTION("""COMPUTED_VALUE"""),"rabbiv01")</f>
        <v>rabbiv01</v>
      </c>
      <c r="B2874" s="161" t="str">
        <f>IFERROR(__xludf.DUMMYFUNCTION("""COMPUTED_VALUE"""),"Ivan Rabb")</f>
        <v>Ivan Rabb</v>
      </c>
      <c r="C2874" s="162" t="str">
        <f>IFERROR(__xludf.DUMMYFUNCTION("""COMPUTED_VALUE"""),"2018-19")</f>
        <v>2018-19</v>
      </c>
      <c r="D2874" s="163" t="str">
        <f>IFERROR(__xludf.DUMMYFUNCTION("""COMPUTED_VALUE"""),"MEM")</f>
        <v>MEM</v>
      </c>
      <c r="E2874" s="164" t="str">
        <f>IFERROR(__xludf.DUMMYFUNCTION("""COMPUTED_VALUE"""),"Roll + Cut Big")</f>
        <v>Roll + Cut Big</v>
      </c>
      <c r="F2874" s="164">
        <f>IFERROR(__xludf.DUMMYFUNCTION("""COMPUTED_VALUE"""),720.681666666667)</f>
        <v>720.6816667</v>
      </c>
      <c r="G2874" s="163">
        <f>IFERROR(__xludf.DUMMYFUNCTION("""COMPUTED_VALUE"""),49.0)</f>
        <v>49</v>
      </c>
      <c r="H2874" s="163" t="str">
        <f>IFERROR(__xludf.DUMMYFUNCTION("""COMPUTED_VALUE"""),"PF")</f>
        <v>PF</v>
      </c>
      <c r="I2874" s="163">
        <f>IFERROR(__xludf.DUMMYFUNCTION("""COMPUTED_VALUE"""),21.0)</f>
        <v>21</v>
      </c>
      <c r="J2874" s="165">
        <f>IFERROR(__xludf.DUMMYFUNCTION("""COMPUTED_VALUE"""),-1.29505306836622)</f>
        <v>-1.295053068</v>
      </c>
      <c r="K2874" s="165">
        <f>IFERROR(__xludf.DUMMYFUNCTION("""COMPUTED_VALUE"""),-1.3127414986541)</f>
        <v>-1.312741499</v>
      </c>
      <c r="L2874" s="165">
        <f>IFERROR(__xludf.DUMMYFUNCTION("""COMPUTED_VALUE"""),0.0176884302878799)</f>
        <v>0.01768843029</v>
      </c>
      <c r="M2874" s="166">
        <f t="shared" si="2"/>
        <v>0.4832773523</v>
      </c>
      <c r="N2874" s="167">
        <f t="shared" si="3"/>
        <v>14.70778912</v>
      </c>
      <c r="O2874" s="163">
        <f t="shared" ref="O2874:Q2874" si="2878">rank(I2874,I:I)</f>
        <v>3528</v>
      </c>
      <c r="P2874" s="163">
        <f t="shared" si="2878"/>
        <v>2856</v>
      </c>
      <c r="Q2874" s="163">
        <f t="shared" si="2878"/>
        <v>3164</v>
      </c>
      <c r="R2874" s="163">
        <f>IFERROR(__xludf.DUMMYFUNCTION("RANK(M2874,filter(M:M,C:C=C2874))"),290.0)</f>
        <v>290</v>
      </c>
      <c r="S2874" s="161" t="b">
        <f t="shared" si="5"/>
        <v>0</v>
      </c>
      <c r="T2874" s="161" t="b">
        <f t="array" ref="T2874">index('Query Tool'!B:B,match(H2874,'Query Tool'!C:C,0))</f>
        <v>1</v>
      </c>
      <c r="U2874" s="161" t="b">
        <f t="array" ref="U2874">index('Query Tool'!B:B,match(C2874,'Query Tool'!C:C,0))</f>
        <v>0</v>
      </c>
      <c r="V2874" s="161" t="b">
        <f>F2874&gt;='Query Tool'!C$32</f>
        <v>1</v>
      </c>
      <c r="W2874" s="161" t="b">
        <f t="array" ref="W2874">index(Dropdowns!B:B,match(I2874,Dropdowns!A:A,0))</f>
        <v>1</v>
      </c>
      <c r="X2874" s="161" t="b">
        <f t="array" ref="X2874">index('Query Tool'!B:B,match(D2874,'Query Tool'!C:C,0))</f>
        <v>1</v>
      </c>
      <c r="Y2874" s="161" t="str">
        <f t="shared" si="6"/>
        <v>rabbiv01,2018-19</v>
      </c>
      <c r="Z2874" s="168" t="str">
        <f t="array" ref="Z2874">iferror(index(I:I,match($A2874&amp;","&amp;index('Year Conversion'!$A:$A,match($C2874,'Year Conversion'!$B:$B,0)),$Y:$Y,0))-I2874,"")</f>
        <v/>
      </c>
      <c r="AA2874" s="168" t="str">
        <f t="array" ref="AA2874">iferror(index(J:J,match($A2874&amp;","&amp;index('Year Conversion'!$A:$A,match($C2874,'Year Conversion'!$B:$B,0)),$Y:$Y,0))-J2874,"")</f>
        <v/>
      </c>
      <c r="AB2874" s="168" t="str">
        <f t="array" ref="AB2874">iferror(index(K:K,match($A2874&amp;","&amp;index('Year Conversion'!$A:$A,match($C2874,'Year Conversion'!$B:$B,0)),$Y:$Y,0))-K2874,"")</f>
        <v/>
      </c>
      <c r="AC2874" s="168" t="str">
        <f t="shared" si="7"/>
        <v>MEM,2018-19</v>
      </c>
    </row>
    <row r="2875">
      <c r="A2875" s="161" t="str">
        <f>IFERROR(__xludf.DUMMYFUNCTION("""COMPUTED_VALUE"""),"kuzmaky01")</f>
        <v>kuzmaky01</v>
      </c>
      <c r="B2875" s="161" t="str">
        <f>IFERROR(__xludf.DUMMYFUNCTION("""COMPUTED_VALUE"""),"Kyle Kuzma")</f>
        <v>Kyle Kuzma</v>
      </c>
      <c r="C2875" s="162" t="str">
        <f>IFERROR(__xludf.DUMMYFUNCTION("""COMPUTED_VALUE"""),"2018-19")</f>
        <v>2018-19</v>
      </c>
      <c r="D2875" s="163" t="str">
        <f>IFERROR(__xludf.DUMMYFUNCTION("""COMPUTED_VALUE"""),"LAL")</f>
        <v>LAL</v>
      </c>
      <c r="E2875" s="164" t="str">
        <f>IFERROR(__xludf.DUMMYFUNCTION("""COMPUTED_VALUE"""),"Movement Shooter")</f>
        <v>Movement Shooter</v>
      </c>
      <c r="F2875" s="164">
        <f>IFERROR(__xludf.DUMMYFUNCTION("""COMPUTED_VALUE"""),2313.58166666667)</f>
        <v>2313.581667</v>
      </c>
      <c r="G2875" s="163">
        <f>IFERROR(__xludf.DUMMYFUNCTION("""COMPUTED_VALUE"""),70.0)</f>
        <v>70</v>
      </c>
      <c r="H2875" s="163" t="str">
        <f>IFERROR(__xludf.DUMMYFUNCTION("""COMPUTED_VALUE"""),"PF")</f>
        <v>PF</v>
      </c>
      <c r="I2875" s="163">
        <f>IFERROR(__xludf.DUMMYFUNCTION("""COMPUTED_VALUE"""),23.0)</f>
        <v>23</v>
      </c>
      <c r="J2875" s="165">
        <f>IFERROR(__xludf.DUMMYFUNCTION("""COMPUTED_VALUE"""),0.523251285549457)</f>
        <v>0.5232512855</v>
      </c>
      <c r="K2875" s="165">
        <f>IFERROR(__xludf.DUMMYFUNCTION("""COMPUTED_VALUE"""),0.634894152159077)</f>
        <v>0.6348941522</v>
      </c>
      <c r="L2875" s="165">
        <f>IFERROR(__xludf.DUMMYFUNCTION("""COMPUTED_VALUE"""),-0.11164286660962)</f>
        <v>-0.1116428666</v>
      </c>
      <c r="M2875" s="166">
        <f t="shared" si="2"/>
        <v>4.382625248</v>
      </c>
      <c r="N2875" s="167">
        <f t="shared" si="3"/>
        <v>33.05116667</v>
      </c>
      <c r="O2875" s="163">
        <f t="shared" ref="O2875:Q2875" si="2879">rank(I2875,I:I)</f>
        <v>2765</v>
      </c>
      <c r="P2875" s="163">
        <f t="shared" si="2879"/>
        <v>888</v>
      </c>
      <c r="Q2875" s="163">
        <f t="shared" si="2879"/>
        <v>688</v>
      </c>
      <c r="R2875" s="163">
        <f>IFERROR(__xludf.DUMMYFUNCTION("RANK(M2875,filter(M:M,C:C=C2875))"),73.0)</f>
        <v>73</v>
      </c>
      <c r="S2875" s="161" t="b">
        <f t="shared" si="5"/>
        <v>0</v>
      </c>
      <c r="T2875" s="161" t="b">
        <f t="array" ref="T2875">index('Query Tool'!B:B,match(H2875,'Query Tool'!C:C,0))</f>
        <v>1</v>
      </c>
      <c r="U2875" s="161" t="b">
        <f t="array" ref="U2875">index('Query Tool'!B:B,match(C2875,'Query Tool'!C:C,0))</f>
        <v>0</v>
      </c>
      <c r="V2875" s="161" t="b">
        <f>F2875&gt;='Query Tool'!C$32</f>
        <v>1</v>
      </c>
      <c r="W2875" s="161" t="b">
        <f t="array" ref="W2875">index(Dropdowns!B:B,match(I2875,Dropdowns!A:A,0))</f>
        <v>1</v>
      </c>
      <c r="X2875" s="161" t="b">
        <f t="array" ref="X2875">index('Query Tool'!B:B,match(D2875,'Query Tool'!C:C,0))</f>
        <v>1</v>
      </c>
      <c r="Y2875" s="161" t="str">
        <f t="shared" si="6"/>
        <v>kuzmaky01,2018-19</v>
      </c>
      <c r="Z2875" s="168">
        <f t="array" ref="Z2875">iferror(index(I:I,match($A2875&amp;","&amp;index('Year Conversion'!$A:$A,match($C2875,'Year Conversion'!$B:$B,0)),$Y:$Y,0))-I2875,"")</f>
        <v>1</v>
      </c>
      <c r="AA2875" s="168">
        <f t="array" ref="AA2875">iferror(index(J:J,match($A2875&amp;","&amp;index('Year Conversion'!$A:$A,match($C2875,'Year Conversion'!$B:$B,0)),$Y:$Y,0))-J2875,"")</f>
        <v>-0.2914844225</v>
      </c>
      <c r="AB2875" s="168">
        <f t="array" ref="AB2875">iferror(index(K:K,match($A2875&amp;","&amp;index('Year Conversion'!$A:$A,match($C2875,'Year Conversion'!$B:$B,0)),$Y:$Y,0))-K2875,"")</f>
        <v>-0.550597993</v>
      </c>
      <c r="AC2875" s="168" t="str">
        <f t="shared" si="7"/>
        <v>LAL,2018-19</v>
      </c>
    </row>
    <row r="2876">
      <c r="A2876" s="161" t="str">
        <f>IFERROR(__xludf.DUMMYFUNCTION("""COMPUTED_VALUE"""),"lydonty01")</f>
        <v>lydonty01</v>
      </c>
      <c r="B2876" s="161" t="str">
        <f>IFERROR(__xludf.DUMMYFUNCTION("""COMPUTED_VALUE"""),"Tyler Lydon")</f>
        <v>Tyler Lydon</v>
      </c>
      <c r="C2876" s="162" t="str">
        <f>IFERROR(__xludf.DUMMYFUNCTION("""COMPUTED_VALUE"""),"2018-19")</f>
        <v>2018-19</v>
      </c>
      <c r="D2876" s="163" t="str">
        <f>IFERROR(__xludf.DUMMYFUNCTION("""COMPUTED_VALUE"""),"DEN")</f>
        <v>DEN</v>
      </c>
      <c r="E2876" s="164" t="str">
        <f>IFERROR(__xludf.DUMMYFUNCTION("""COMPUTED_VALUE"""),"Stretch Big")</f>
        <v>Stretch Big</v>
      </c>
      <c r="F2876" s="164">
        <f>IFERROR(__xludf.DUMMYFUNCTION("""COMPUTED_VALUE"""),93.5366666666667)</f>
        <v>93.53666667</v>
      </c>
      <c r="G2876" s="163">
        <f>IFERROR(__xludf.DUMMYFUNCTION("""COMPUTED_VALUE"""),25.0)</f>
        <v>25</v>
      </c>
      <c r="H2876" s="163" t="str">
        <f>IFERROR(__xludf.DUMMYFUNCTION("""COMPUTED_VALUE"""),"PF")</f>
        <v>PF</v>
      </c>
      <c r="I2876" s="163">
        <f>IFERROR(__xludf.DUMMYFUNCTION("""COMPUTED_VALUE"""),22.0)</f>
        <v>22</v>
      </c>
      <c r="J2876" s="165">
        <f>IFERROR(__xludf.DUMMYFUNCTION("""COMPUTED_VALUE"""),-1.36376417077411)</f>
        <v>-1.363764171</v>
      </c>
      <c r="K2876" s="165">
        <f>IFERROR(__xludf.DUMMYFUNCTION("""COMPUTED_VALUE"""),-0.715817214915062)</f>
        <v>-0.7158172149</v>
      </c>
      <c r="L2876" s="165">
        <f>IFERROR(__xludf.DUMMYFUNCTION("""COMPUTED_VALUE"""),-0.647946955859047)</f>
        <v>-0.6479469559</v>
      </c>
      <c r="M2876" s="166">
        <f t="shared" si="2"/>
        <v>0.05842290329</v>
      </c>
      <c r="N2876" s="167">
        <f t="shared" si="3"/>
        <v>3.741466667</v>
      </c>
      <c r="O2876" s="163">
        <f t="shared" ref="O2876:Q2876" si="2880">rank(I2876,I:I)</f>
        <v>3178</v>
      </c>
      <c r="P2876" s="163">
        <f t="shared" si="2880"/>
        <v>2917</v>
      </c>
      <c r="Q2876" s="163">
        <f t="shared" si="2880"/>
        <v>2437</v>
      </c>
      <c r="R2876" s="163">
        <f>IFERROR(__xludf.DUMMYFUNCTION("RANK(M2876,filter(M:M,C:C=C2876))"),414.0)</f>
        <v>414</v>
      </c>
      <c r="S2876" s="161" t="b">
        <f t="shared" si="5"/>
        <v>0</v>
      </c>
      <c r="T2876" s="161" t="b">
        <f t="array" ref="T2876">index('Query Tool'!B:B,match(H2876,'Query Tool'!C:C,0))</f>
        <v>1</v>
      </c>
      <c r="U2876" s="161" t="b">
        <f t="array" ref="U2876">index('Query Tool'!B:B,match(C2876,'Query Tool'!C:C,0))</f>
        <v>0</v>
      </c>
      <c r="V2876" s="161" t="b">
        <f>F2876&gt;='Query Tool'!C$32</f>
        <v>0</v>
      </c>
      <c r="W2876" s="161" t="b">
        <f t="array" ref="W2876">index(Dropdowns!B:B,match(I2876,Dropdowns!A:A,0))</f>
        <v>1</v>
      </c>
      <c r="X2876" s="161" t="b">
        <f t="array" ref="X2876">index('Query Tool'!B:B,match(D2876,'Query Tool'!C:C,0))</f>
        <v>1</v>
      </c>
      <c r="Y2876" s="161" t="str">
        <f t="shared" si="6"/>
        <v>lydonty01,2018-19</v>
      </c>
      <c r="Z2876" s="168" t="str">
        <f t="array" ref="Z2876">iferror(index(I:I,match($A2876&amp;","&amp;index('Year Conversion'!$A:$A,match($C2876,'Year Conversion'!$B:$B,0)),$Y:$Y,0))-I2876,"")</f>
        <v/>
      </c>
      <c r="AA2876" s="168" t="str">
        <f t="array" ref="AA2876">iferror(index(J:J,match($A2876&amp;","&amp;index('Year Conversion'!$A:$A,match($C2876,'Year Conversion'!$B:$B,0)),$Y:$Y,0))-J2876,"")</f>
        <v/>
      </c>
      <c r="AB2876" s="168" t="str">
        <f t="array" ref="AB2876">iferror(index(K:K,match($A2876&amp;","&amp;index('Year Conversion'!$A:$A,match($C2876,'Year Conversion'!$B:$B,0)),$Y:$Y,0))-K2876,"")</f>
        <v/>
      </c>
      <c r="AC2876" s="168" t="str">
        <f t="shared" si="7"/>
        <v>DEN,2018-19</v>
      </c>
    </row>
    <row r="2877">
      <c r="A2877" s="161" t="str">
        <f>IFERROR(__xludf.DUMMYFUNCTION("""COMPUTED_VALUE"""),"ojelese01")</f>
        <v>ojelese01</v>
      </c>
      <c r="B2877" s="161" t="str">
        <f>IFERROR(__xludf.DUMMYFUNCTION("""COMPUTED_VALUE"""),"Semi Ojeleye")</f>
        <v>Semi Ojeleye</v>
      </c>
      <c r="C2877" s="162" t="str">
        <f>IFERROR(__xludf.DUMMYFUNCTION("""COMPUTED_VALUE"""),"2018-19")</f>
        <v>2018-19</v>
      </c>
      <c r="D2877" s="163" t="str">
        <f>IFERROR(__xludf.DUMMYFUNCTION("""COMPUTED_VALUE"""),"BOS")</f>
        <v>BOS</v>
      </c>
      <c r="E2877" s="164" t="str">
        <f>IFERROR(__xludf.DUMMYFUNCTION("""COMPUTED_VALUE"""),"Stationary Shooter")</f>
        <v>Stationary Shooter</v>
      </c>
      <c r="F2877" s="164">
        <f>IFERROR(__xludf.DUMMYFUNCTION("""COMPUTED_VALUE"""),594.438333333333)</f>
        <v>594.4383333</v>
      </c>
      <c r="G2877" s="163">
        <f>IFERROR(__xludf.DUMMYFUNCTION("""COMPUTED_VALUE"""),56.0)</f>
        <v>56</v>
      </c>
      <c r="H2877" s="163" t="str">
        <f>IFERROR(__xludf.DUMMYFUNCTION("""COMPUTED_VALUE"""),"PF")</f>
        <v>PF</v>
      </c>
      <c r="I2877" s="163">
        <f>IFERROR(__xludf.DUMMYFUNCTION("""COMPUTED_VALUE"""),24.0)</f>
        <v>24</v>
      </c>
      <c r="J2877" s="165">
        <f>IFERROR(__xludf.DUMMYFUNCTION("""COMPUTED_VALUE"""),-2.37875202330709)</f>
        <v>-2.378752023</v>
      </c>
      <c r="K2877" s="165">
        <f>IFERROR(__xludf.DUMMYFUNCTION("""COMPUTED_VALUE"""),-1.46556113014308)</f>
        <v>-1.46556113</v>
      </c>
      <c r="L2877" s="165">
        <f>IFERROR(__xludf.DUMMYFUNCTION("""COMPUTED_VALUE"""),-0.913190893164005)</f>
        <v>-0.9131908932</v>
      </c>
      <c r="M2877" s="166">
        <f t="shared" si="2"/>
        <v>-0.02946922869</v>
      </c>
      <c r="N2877" s="167">
        <f t="shared" si="3"/>
        <v>10.61497024</v>
      </c>
      <c r="O2877" s="163">
        <f t="shared" ref="O2877:Q2877" si="2881">rank(I2877,I:I)</f>
        <v>2361</v>
      </c>
      <c r="P2877" s="163">
        <f t="shared" si="2881"/>
        <v>3702</v>
      </c>
      <c r="Q2877" s="163">
        <f t="shared" si="2881"/>
        <v>3321</v>
      </c>
      <c r="R2877" s="163">
        <f>IFERROR(__xludf.DUMMYFUNCTION("RANK(M2877,filter(M:M,C:C=C2877))"),487.0)</f>
        <v>487</v>
      </c>
      <c r="S2877" s="161" t="b">
        <f t="shared" si="5"/>
        <v>0</v>
      </c>
      <c r="T2877" s="161" t="b">
        <f t="array" ref="T2877">index('Query Tool'!B:B,match(H2877,'Query Tool'!C:C,0))</f>
        <v>1</v>
      </c>
      <c r="U2877" s="161" t="b">
        <f t="array" ref="U2877">index('Query Tool'!B:B,match(C2877,'Query Tool'!C:C,0))</f>
        <v>0</v>
      </c>
      <c r="V2877" s="161" t="b">
        <f>F2877&gt;='Query Tool'!C$32</f>
        <v>1</v>
      </c>
      <c r="W2877" s="161" t="b">
        <f t="array" ref="W2877">index(Dropdowns!B:B,match(I2877,Dropdowns!A:A,0))</f>
        <v>1</v>
      </c>
      <c r="X2877" s="161" t="b">
        <f t="array" ref="X2877">index('Query Tool'!B:B,match(D2877,'Query Tool'!C:C,0))</f>
        <v>1</v>
      </c>
      <c r="Y2877" s="161" t="str">
        <f t="shared" si="6"/>
        <v>ojelese01,2018-19</v>
      </c>
      <c r="Z2877" s="168">
        <f t="array" ref="Z2877">iferror(index(I:I,match($A2877&amp;","&amp;index('Year Conversion'!$A:$A,match($C2877,'Year Conversion'!$B:$B,0)),$Y:$Y,0))-I2877,"")</f>
        <v>1</v>
      </c>
      <c r="AA2877" s="168">
        <f t="array" ref="AA2877">iferror(index(J:J,match($A2877&amp;","&amp;index('Year Conversion'!$A:$A,match($C2877,'Year Conversion'!$B:$B,0)),$Y:$Y,0))-J2877,"")</f>
        <v>-1.169059315</v>
      </c>
      <c r="AB2877" s="168">
        <f t="array" ref="AB2877">iferror(index(K:K,match($A2877&amp;","&amp;index('Year Conversion'!$A:$A,match($C2877,'Year Conversion'!$B:$B,0)),$Y:$Y,0))-K2877,"")</f>
        <v>-1.505324564</v>
      </c>
      <c r="AC2877" s="168" t="str">
        <f t="shared" si="7"/>
        <v>BOS,2018-19</v>
      </c>
    </row>
    <row r="2878">
      <c r="A2878" s="161" t="str">
        <f>IFERROR(__xludf.DUMMYFUNCTION("""COMPUTED_VALUE"""),"whitede01")</f>
        <v>whitede01</v>
      </c>
      <c r="B2878" s="161" t="str">
        <f>IFERROR(__xludf.DUMMYFUNCTION("""COMPUTED_VALUE"""),"Derrick White")</f>
        <v>Derrick White</v>
      </c>
      <c r="C2878" s="162" t="str">
        <f>IFERROR(__xludf.DUMMYFUNCTION("""COMPUTED_VALUE"""),"2018-19")</f>
        <v>2018-19</v>
      </c>
      <c r="D2878" s="163" t="str">
        <f>IFERROR(__xludf.DUMMYFUNCTION("""COMPUTED_VALUE"""),"SAS")</f>
        <v>SAS</v>
      </c>
      <c r="E2878" s="164" t="str">
        <f>IFERROR(__xludf.DUMMYFUNCTION("""COMPUTED_VALUE"""),"Slasher")</f>
        <v>Slasher</v>
      </c>
      <c r="F2878" s="164">
        <f>IFERROR(__xludf.DUMMYFUNCTION("""COMPUTED_VALUE"""),1727.97333333333)</f>
        <v>1727.973333</v>
      </c>
      <c r="G2878" s="163">
        <f>IFERROR(__xludf.DUMMYFUNCTION("""COMPUTED_VALUE"""),67.0)</f>
        <v>67</v>
      </c>
      <c r="H2878" s="163" t="str">
        <f>IFERROR(__xludf.DUMMYFUNCTION("""COMPUTED_VALUE"""),"PG")</f>
        <v>PG</v>
      </c>
      <c r="I2878" s="163">
        <f>IFERROR(__xludf.DUMMYFUNCTION("""COMPUTED_VALUE"""),24.0)</f>
        <v>24</v>
      </c>
      <c r="J2878" s="165">
        <f>IFERROR(__xludf.DUMMYFUNCTION("""COMPUTED_VALUE"""),1.47190807632144)</f>
        <v>1.471908076</v>
      </c>
      <c r="K2878" s="165">
        <f>IFERROR(__xludf.DUMMYFUNCTION("""COMPUTED_VALUE"""),-0.0873609112612083)</f>
        <v>-0.08736091126</v>
      </c>
      <c r="L2878" s="165">
        <f>IFERROR(__xludf.DUMMYFUNCTION("""COMPUTED_VALUE"""),1.55926898758265)</f>
        <v>1.559268988</v>
      </c>
      <c r="M2878" s="166">
        <f t="shared" si="2"/>
        <v>4.373563035</v>
      </c>
      <c r="N2878" s="167">
        <f t="shared" si="3"/>
        <v>25.79064677</v>
      </c>
      <c r="O2878" s="163">
        <f t="shared" ref="O2878:Q2878" si="2882">rank(I2878,I:I)</f>
        <v>2361</v>
      </c>
      <c r="P2878" s="163">
        <f t="shared" si="2882"/>
        <v>465</v>
      </c>
      <c r="Q2878" s="163">
        <f t="shared" si="2882"/>
        <v>1337</v>
      </c>
      <c r="R2878" s="163">
        <f>IFERROR(__xludf.DUMMYFUNCTION("RANK(M2878,filter(M:M,C:C=C2878))"),75.0)</f>
        <v>75</v>
      </c>
      <c r="S2878" s="161" t="b">
        <f t="shared" si="5"/>
        <v>0</v>
      </c>
      <c r="T2878" s="161" t="b">
        <f t="array" ref="T2878">index('Query Tool'!B:B,match(H2878,'Query Tool'!C:C,0))</f>
        <v>1</v>
      </c>
      <c r="U2878" s="161" t="b">
        <f t="array" ref="U2878">index('Query Tool'!B:B,match(C2878,'Query Tool'!C:C,0))</f>
        <v>0</v>
      </c>
      <c r="V2878" s="161" t="b">
        <f>F2878&gt;='Query Tool'!C$32</f>
        <v>1</v>
      </c>
      <c r="W2878" s="161" t="b">
        <f t="array" ref="W2878">index(Dropdowns!B:B,match(I2878,Dropdowns!A:A,0))</f>
        <v>1</v>
      </c>
      <c r="X2878" s="161" t="b">
        <f t="array" ref="X2878">index('Query Tool'!B:B,match(D2878,'Query Tool'!C:C,0))</f>
        <v>1</v>
      </c>
      <c r="Y2878" s="161" t="str">
        <f t="shared" si="6"/>
        <v>whitede01,2018-19</v>
      </c>
      <c r="Z2878" s="168">
        <f t="array" ref="Z2878">iferror(index(I:I,match($A2878&amp;","&amp;index('Year Conversion'!$A:$A,match($C2878,'Year Conversion'!$B:$B,0)),$Y:$Y,0))-I2878,"")</f>
        <v>1</v>
      </c>
      <c r="AA2878" s="168">
        <f t="array" ref="AA2878">iferror(index(J:J,match($A2878&amp;","&amp;index('Year Conversion'!$A:$A,match($C2878,'Year Conversion'!$B:$B,0)),$Y:$Y,0))-J2878,"")</f>
        <v>0.5830586301</v>
      </c>
      <c r="AB2878" s="168">
        <f t="array" ref="AB2878">iferror(index(K:K,match($A2878&amp;","&amp;index('Year Conversion'!$A:$A,match($C2878,'Year Conversion'!$B:$B,0)),$Y:$Y,0))-K2878,"")</f>
        <v>1.536299847</v>
      </c>
      <c r="AC2878" s="168" t="str">
        <f t="shared" si="7"/>
        <v>SAS,2018-19</v>
      </c>
    </row>
    <row r="2879">
      <c r="A2879" s="161" t="str">
        <f>IFERROR(__xludf.DUMMYFUNCTION("""COMPUTED_VALUE"""),"jacksfr01")</f>
        <v>jacksfr01</v>
      </c>
      <c r="B2879" s="161" t="str">
        <f>IFERROR(__xludf.DUMMYFUNCTION("""COMPUTED_VALUE"""),"Frank Jackson")</f>
        <v>Frank Jackson</v>
      </c>
      <c r="C2879" s="162" t="str">
        <f>IFERROR(__xludf.DUMMYFUNCTION("""COMPUTED_VALUE"""),"2018-19")</f>
        <v>2018-19</v>
      </c>
      <c r="D2879" s="163" t="str">
        <f>IFERROR(__xludf.DUMMYFUNCTION("""COMPUTED_VALUE"""),"NOP")</f>
        <v>NOP</v>
      </c>
      <c r="E2879" s="164" t="str">
        <f>IFERROR(__xludf.DUMMYFUNCTION("""COMPUTED_VALUE"""),"Movement Shooter")</f>
        <v>Movement Shooter</v>
      </c>
      <c r="F2879" s="164">
        <f>IFERROR(__xludf.DUMMYFUNCTION("""COMPUTED_VALUE"""),1168.86333333333)</f>
        <v>1168.863333</v>
      </c>
      <c r="G2879" s="163">
        <f>IFERROR(__xludf.DUMMYFUNCTION("""COMPUTED_VALUE"""),61.0)</f>
        <v>61</v>
      </c>
      <c r="H2879" s="163" t="str">
        <f>IFERROR(__xludf.DUMMYFUNCTION("""COMPUTED_VALUE"""),"PG")</f>
        <v>PG</v>
      </c>
      <c r="I2879" s="163">
        <f>IFERROR(__xludf.DUMMYFUNCTION("""COMPUTED_VALUE"""),20.0)</f>
        <v>20</v>
      </c>
      <c r="J2879" s="165">
        <f>IFERROR(__xludf.DUMMYFUNCTION("""COMPUTED_VALUE"""),-2.74464547277794)</f>
        <v>-2.744645473</v>
      </c>
      <c r="K2879" s="165">
        <f>IFERROR(__xludf.DUMMYFUNCTION("""COMPUTED_VALUE"""),-1.13712635850078)</f>
        <v>-1.137126359</v>
      </c>
      <c r="L2879" s="165">
        <f>IFERROR(__xludf.DUMMYFUNCTION("""COMPUTED_VALUE"""),-1.60751911427716)</f>
        <v>-1.607519114</v>
      </c>
      <c r="M2879" s="166">
        <f t="shared" si="2"/>
        <v>-0.3385270235</v>
      </c>
      <c r="N2879" s="167">
        <f t="shared" si="3"/>
        <v>19.16169399</v>
      </c>
      <c r="O2879" s="163">
        <f t="shared" ref="O2879:Q2879" si="2883">rank(I2879,I:I)</f>
        <v>3770</v>
      </c>
      <c r="P2879" s="163">
        <f t="shared" si="2883"/>
        <v>3828</v>
      </c>
      <c r="Q2879" s="163">
        <f t="shared" si="2883"/>
        <v>2969</v>
      </c>
      <c r="R2879" s="163">
        <f>IFERROR(__xludf.DUMMYFUNCTION("RANK(M2879,filter(M:M,C:C=C2879))"),510.0)</f>
        <v>510</v>
      </c>
      <c r="S2879" s="161" t="b">
        <f t="shared" si="5"/>
        <v>0</v>
      </c>
      <c r="T2879" s="161" t="b">
        <f t="array" ref="T2879">index('Query Tool'!B:B,match(H2879,'Query Tool'!C:C,0))</f>
        <v>1</v>
      </c>
      <c r="U2879" s="161" t="b">
        <f t="array" ref="U2879">index('Query Tool'!B:B,match(C2879,'Query Tool'!C:C,0))</f>
        <v>0</v>
      </c>
      <c r="V2879" s="161" t="b">
        <f>F2879&gt;='Query Tool'!C$32</f>
        <v>1</v>
      </c>
      <c r="W2879" s="161" t="b">
        <f t="array" ref="W2879">index(Dropdowns!B:B,match(I2879,Dropdowns!A:A,0))</f>
        <v>1</v>
      </c>
      <c r="X2879" s="161" t="b">
        <f t="array" ref="X2879">index('Query Tool'!B:B,match(D2879,'Query Tool'!C:C,0))</f>
        <v>1</v>
      </c>
      <c r="Y2879" s="161" t="str">
        <f t="shared" si="6"/>
        <v>jacksfr01,2018-19</v>
      </c>
      <c r="Z2879" s="168">
        <f t="array" ref="Z2879">iferror(index(I:I,match($A2879&amp;","&amp;index('Year Conversion'!$A:$A,match($C2879,'Year Conversion'!$B:$B,0)),$Y:$Y,0))-I2879,"")</f>
        <v>1</v>
      </c>
      <c r="AA2879" s="168">
        <f t="array" ref="AA2879">iferror(index(J:J,match($A2879&amp;","&amp;index('Year Conversion'!$A:$A,match($C2879,'Year Conversion'!$B:$B,0)),$Y:$Y,0))-J2879,"")</f>
        <v>0.118454601</v>
      </c>
      <c r="AB2879" s="168">
        <f t="array" ref="AB2879">iferror(index(K:K,match($A2879&amp;","&amp;index('Year Conversion'!$A:$A,match($C2879,'Year Conversion'!$B:$B,0)),$Y:$Y,0))-K2879,"")</f>
        <v>0.6228461885</v>
      </c>
      <c r="AC2879" s="168" t="str">
        <f t="shared" si="7"/>
        <v>NOP,2018-19</v>
      </c>
    </row>
    <row r="2880">
      <c r="A2880" s="161" t="str">
        <f>IFERROR(__xludf.DUMMYFUNCTION("""COMPUTED_VALUE"""),"swanica01")</f>
        <v>swanica01</v>
      </c>
      <c r="B2880" s="161" t="str">
        <f>IFERROR(__xludf.DUMMYFUNCTION("""COMPUTED_VALUE"""),"Caleb Swanigan")</f>
        <v>Caleb Swanigan</v>
      </c>
      <c r="C2880" s="162" t="str">
        <f>IFERROR(__xludf.DUMMYFUNCTION("""COMPUTED_VALUE"""),"2018-19")</f>
        <v>2018-19</v>
      </c>
      <c r="D2880" s="163" t="str">
        <f>IFERROR(__xludf.DUMMYFUNCTION("""COMPUTED_VALUE"""),"TOT")</f>
        <v>TOT</v>
      </c>
      <c r="E2880" s="164" t="str">
        <f>IFERROR(__xludf.DUMMYFUNCTION("""COMPUTED_VALUE"""),"Post Scorer")</f>
        <v>Post Scorer</v>
      </c>
      <c r="F2880" s="164">
        <f>IFERROR(__xludf.DUMMYFUNCTION("""COMPUTED_VALUE"""),178.033333333333)</f>
        <v>178.0333333</v>
      </c>
      <c r="G2880" s="163">
        <f>IFERROR(__xludf.DUMMYFUNCTION("""COMPUTED_VALUE"""),21.0)</f>
        <v>21</v>
      </c>
      <c r="H2880" s="163" t="str">
        <f>IFERROR(__xludf.DUMMYFUNCTION("""COMPUTED_VALUE"""),"PF")</f>
        <v>PF</v>
      </c>
      <c r="I2880" s="163">
        <f>IFERROR(__xludf.DUMMYFUNCTION("""COMPUTED_VALUE"""),21.0)</f>
        <v>21</v>
      </c>
      <c r="J2880" s="165">
        <f>IFERROR(__xludf.DUMMYFUNCTION("""COMPUTED_VALUE"""),-1.98152970654465)</f>
        <v>-1.981529707</v>
      </c>
      <c r="K2880" s="165">
        <f>IFERROR(__xludf.DUMMYFUNCTION("""COMPUTED_VALUE"""),-1.64870059335545)</f>
        <v>-1.648700593</v>
      </c>
      <c r="L2880" s="165">
        <f>IFERROR(__xludf.DUMMYFUNCTION("""COMPUTED_VALUE"""),-0.332829113189199)</f>
        <v>-0.3328291132</v>
      </c>
      <c r="M2880" s="166">
        <f t="shared" si="2"/>
        <v>0.03791738637</v>
      </c>
      <c r="N2880" s="167">
        <f t="shared" si="3"/>
        <v>8.477777778</v>
      </c>
      <c r="O2880" s="163">
        <f t="shared" ref="O2880:Q2880" si="2884">rank(I2880,I:I)</f>
        <v>3528</v>
      </c>
      <c r="P2880" s="163">
        <f t="shared" si="2884"/>
        <v>3467</v>
      </c>
      <c r="Q2880" s="163">
        <f t="shared" si="2884"/>
        <v>3482</v>
      </c>
      <c r="R2880" s="163">
        <f>IFERROR(__xludf.DUMMYFUNCTION("RANK(M2880,filter(M:M,C:C=C2880))"),433.0)</f>
        <v>433</v>
      </c>
      <c r="S2880" s="161" t="b">
        <f t="shared" si="5"/>
        <v>0</v>
      </c>
      <c r="T2880" s="161" t="b">
        <f t="array" ref="T2880">index('Query Tool'!B:B,match(H2880,'Query Tool'!C:C,0))</f>
        <v>1</v>
      </c>
      <c r="U2880" s="161" t="b">
        <f t="array" ref="U2880">index('Query Tool'!B:B,match(C2880,'Query Tool'!C:C,0))</f>
        <v>0</v>
      </c>
      <c r="V2880" s="161" t="b">
        <f>F2880&gt;='Query Tool'!C$32</f>
        <v>0</v>
      </c>
      <c r="W2880" s="161" t="b">
        <f t="array" ref="W2880">index(Dropdowns!B:B,match(I2880,Dropdowns!A:A,0))</f>
        <v>1</v>
      </c>
      <c r="X2880" s="161" t="b">
        <f t="array" ref="X2880">index('Query Tool'!B:B,match(D2880,'Query Tool'!C:C,0))</f>
        <v>1</v>
      </c>
      <c r="Y2880" s="161" t="str">
        <f t="shared" si="6"/>
        <v>swanica01,2018-19</v>
      </c>
      <c r="Z2880" s="168">
        <f t="array" ref="Z2880">iferror(index(I:I,match($A2880&amp;","&amp;index('Year Conversion'!$A:$A,match($C2880,'Year Conversion'!$B:$B,0)),$Y:$Y,0))-I2880,"")</f>
        <v>1</v>
      </c>
      <c r="AA2880" s="168">
        <f t="array" ref="AA2880">iferror(index(J:J,match($A2880&amp;","&amp;index('Year Conversion'!$A:$A,match($C2880,'Year Conversion'!$B:$B,0)),$Y:$Y,0))-J2880,"")</f>
        <v>0.1062489423</v>
      </c>
      <c r="AB2880" s="168">
        <f t="array" ref="AB2880">iferror(index(K:K,match($A2880&amp;","&amp;index('Year Conversion'!$A:$A,match($C2880,'Year Conversion'!$B:$B,0)),$Y:$Y,0))-K2880,"")</f>
        <v>-0.2867547374</v>
      </c>
      <c r="AC2880" s="168" t="str">
        <f t="shared" si="7"/>
        <v>TOT,2018-19</v>
      </c>
    </row>
    <row r="2881">
      <c r="A2881" s="161" t="str">
        <f>IFERROR(__xludf.DUMMYFUNCTION("""COMPUTED_VALUE"""),"hartjo01")</f>
        <v>hartjo01</v>
      </c>
      <c r="B2881" s="161" t="str">
        <f>IFERROR(__xludf.DUMMYFUNCTION("""COMPUTED_VALUE"""),"Josh Hart")</f>
        <v>Josh Hart</v>
      </c>
      <c r="C2881" s="162" t="str">
        <f>IFERROR(__xludf.DUMMYFUNCTION("""COMPUTED_VALUE"""),"2018-19")</f>
        <v>2018-19</v>
      </c>
      <c r="D2881" s="163" t="str">
        <f>IFERROR(__xludf.DUMMYFUNCTION("""COMPUTED_VALUE"""),"LAL")</f>
        <v>LAL</v>
      </c>
      <c r="E2881" s="164" t="str">
        <f>IFERROR(__xludf.DUMMYFUNCTION("""COMPUTED_VALUE"""),"Movement Shooter")</f>
        <v>Movement Shooter</v>
      </c>
      <c r="F2881" s="164">
        <f>IFERROR(__xludf.DUMMYFUNCTION("""COMPUTED_VALUE"""),1714.815)</f>
        <v>1714.815</v>
      </c>
      <c r="G2881" s="163">
        <f>IFERROR(__xludf.DUMMYFUNCTION("""COMPUTED_VALUE"""),67.0)</f>
        <v>67</v>
      </c>
      <c r="H2881" s="163" t="str">
        <f>IFERROR(__xludf.DUMMYFUNCTION("""COMPUTED_VALUE"""),"SG")</f>
        <v>SG</v>
      </c>
      <c r="I2881" s="163">
        <f>IFERROR(__xludf.DUMMYFUNCTION("""COMPUTED_VALUE"""),23.0)</f>
        <v>23</v>
      </c>
      <c r="J2881" s="165">
        <f>IFERROR(__xludf.DUMMYFUNCTION("""COMPUTED_VALUE"""),-1.1502588520282)</f>
        <v>-1.150258852</v>
      </c>
      <c r="K2881" s="165">
        <f>IFERROR(__xludf.DUMMYFUNCTION("""COMPUTED_VALUE"""),-1.89711700788996)</f>
        <v>-1.897117008</v>
      </c>
      <c r="L2881" s="165">
        <f>IFERROR(__xludf.DUMMYFUNCTION("""COMPUTED_VALUE"""),0.746858155861762)</f>
        <v>0.7468581559</v>
      </c>
      <c r="M2881" s="166">
        <f t="shared" si="2"/>
        <v>1.31628531</v>
      </c>
      <c r="N2881" s="167">
        <f t="shared" si="3"/>
        <v>25.59425373</v>
      </c>
      <c r="O2881" s="163">
        <f t="shared" ref="O2881:Q2881" si="2885">rank(I2881,I:I)</f>
        <v>2765</v>
      </c>
      <c r="P2881" s="163">
        <f t="shared" si="2885"/>
        <v>2680</v>
      </c>
      <c r="Q2881" s="163">
        <f t="shared" si="2885"/>
        <v>3642</v>
      </c>
      <c r="R2881" s="163">
        <f>IFERROR(__xludf.DUMMYFUNCTION("RANK(M2881,filter(M:M,C:C=C2881))"),199.0)</f>
        <v>199</v>
      </c>
      <c r="S2881" s="161" t="b">
        <f t="shared" si="5"/>
        <v>0</v>
      </c>
      <c r="T2881" s="161" t="b">
        <f t="array" ref="T2881">index('Query Tool'!B:B,match(H2881,'Query Tool'!C:C,0))</f>
        <v>1</v>
      </c>
      <c r="U2881" s="161" t="b">
        <f t="array" ref="U2881">index('Query Tool'!B:B,match(C2881,'Query Tool'!C:C,0))</f>
        <v>0</v>
      </c>
      <c r="V2881" s="161" t="b">
        <f>F2881&gt;='Query Tool'!C$32</f>
        <v>1</v>
      </c>
      <c r="W2881" s="161" t="b">
        <f t="array" ref="W2881">index(Dropdowns!B:B,match(I2881,Dropdowns!A:A,0))</f>
        <v>1</v>
      </c>
      <c r="X2881" s="161" t="b">
        <f t="array" ref="X2881">index('Query Tool'!B:B,match(D2881,'Query Tool'!C:C,0))</f>
        <v>1</v>
      </c>
      <c r="Y2881" s="161" t="str">
        <f t="shared" si="6"/>
        <v>hartjo01,2018-19</v>
      </c>
      <c r="Z2881" s="168">
        <f t="array" ref="Z2881">iferror(index(I:I,match($A2881&amp;","&amp;index('Year Conversion'!$A:$A,match($C2881,'Year Conversion'!$B:$B,0)),$Y:$Y,0))-I2881,"")</f>
        <v>1</v>
      </c>
      <c r="AA2881" s="168">
        <f t="array" ref="AA2881">iferror(index(J:J,match($A2881&amp;","&amp;index('Year Conversion'!$A:$A,match($C2881,'Year Conversion'!$B:$B,0)),$Y:$Y,0))-J2881,"")</f>
        <v>0.5276852578</v>
      </c>
      <c r="AB2881" s="168">
        <f t="array" ref="AB2881">iferror(index(K:K,match($A2881&amp;","&amp;index('Year Conversion'!$A:$A,match($C2881,'Year Conversion'!$B:$B,0)),$Y:$Y,0))-K2881,"")</f>
        <v>1.238070995</v>
      </c>
      <c r="AC2881" s="168" t="str">
        <f t="shared" si="7"/>
        <v>LAL,2018-19</v>
      </c>
    </row>
    <row r="2882">
      <c r="A2882" s="161" t="str">
        <f>IFERROR(__xludf.DUMMYFUNCTION("""COMPUTED_VALUE"""),"motlejo01")</f>
        <v>motlejo01</v>
      </c>
      <c r="B2882" s="161" t="str">
        <f>IFERROR(__xludf.DUMMYFUNCTION("""COMPUTED_VALUE"""),"Johnathan Motley")</f>
        <v>Johnathan Motley</v>
      </c>
      <c r="C2882" s="162" t="str">
        <f>IFERROR(__xludf.DUMMYFUNCTION("""COMPUTED_VALUE"""),"2018-19")</f>
        <v>2018-19</v>
      </c>
      <c r="D2882" s="163" t="str">
        <f>IFERROR(__xludf.DUMMYFUNCTION("""COMPUTED_VALUE"""),"LAC")</f>
        <v>LAC</v>
      </c>
      <c r="E2882" s="164" t="str">
        <f>IFERROR(__xludf.DUMMYFUNCTION("""COMPUTED_VALUE"""),"Roll + Cut Big")</f>
        <v>Roll + Cut Big</v>
      </c>
      <c r="F2882" s="164">
        <f>IFERROR(__xludf.DUMMYFUNCTION("""COMPUTED_VALUE"""),156.018333333333)</f>
        <v>156.0183333</v>
      </c>
      <c r="G2882" s="163">
        <f>IFERROR(__xludf.DUMMYFUNCTION("""COMPUTED_VALUE"""),22.0)</f>
        <v>22</v>
      </c>
      <c r="H2882" s="163" t="str">
        <f>IFERROR(__xludf.DUMMYFUNCTION("""COMPUTED_VALUE"""),"PF")</f>
        <v>PF</v>
      </c>
      <c r="I2882" s="163">
        <f>IFERROR(__xludf.DUMMYFUNCTION("""COMPUTED_VALUE"""),23.0)</f>
        <v>23</v>
      </c>
      <c r="J2882" s="165">
        <f>IFERROR(__xludf.DUMMYFUNCTION("""COMPUTED_VALUE"""),-0.766854057807179)</f>
        <v>-0.7668540578</v>
      </c>
      <c r="K2882" s="165">
        <f>IFERROR(__xludf.DUMMYFUNCTION("""COMPUTED_VALUE"""),0.0440220940239851)</f>
        <v>0.04402209402</v>
      </c>
      <c r="L2882" s="165">
        <f>IFERROR(__xludf.DUMMYFUNCTION("""COMPUTED_VALUE"""),-0.810876151831164)</f>
        <v>-0.8108761518</v>
      </c>
      <c r="M2882" s="166">
        <f t="shared" si="2"/>
        <v>0.1599318058</v>
      </c>
      <c r="N2882" s="167">
        <f t="shared" si="3"/>
        <v>7.091742424</v>
      </c>
      <c r="O2882" s="163">
        <f t="shared" ref="O2882:Q2882" si="2886">rank(I2882,I:I)</f>
        <v>2765</v>
      </c>
      <c r="P2882" s="163">
        <f t="shared" si="2886"/>
        <v>2235</v>
      </c>
      <c r="Q2882" s="163">
        <f t="shared" si="2886"/>
        <v>1136</v>
      </c>
      <c r="R2882" s="163">
        <f>IFERROR(__xludf.DUMMYFUNCTION("RANK(M2882,filter(M:M,C:C=C2882))"),362.0)</f>
        <v>362</v>
      </c>
      <c r="S2882" s="161" t="b">
        <f t="shared" si="5"/>
        <v>0</v>
      </c>
      <c r="T2882" s="161" t="b">
        <f t="array" ref="T2882">index('Query Tool'!B:B,match(H2882,'Query Tool'!C:C,0))</f>
        <v>1</v>
      </c>
      <c r="U2882" s="161" t="b">
        <f t="array" ref="U2882">index('Query Tool'!B:B,match(C2882,'Query Tool'!C:C,0))</f>
        <v>0</v>
      </c>
      <c r="V2882" s="161" t="b">
        <f>F2882&gt;='Query Tool'!C$32</f>
        <v>0</v>
      </c>
      <c r="W2882" s="161" t="b">
        <f t="array" ref="W2882">index(Dropdowns!B:B,match(I2882,Dropdowns!A:A,0))</f>
        <v>1</v>
      </c>
      <c r="X2882" s="161" t="b">
        <f t="array" ref="X2882">index('Query Tool'!B:B,match(D2882,'Query Tool'!C:C,0))</f>
        <v>1</v>
      </c>
      <c r="Y2882" s="161" t="str">
        <f t="shared" si="6"/>
        <v>motlejo01,2018-19</v>
      </c>
      <c r="Z2882" s="168">
        <f t="array" ref="Z2882">iferror(index(I:I,match($A2882&amp;","&amp;index('Year Conversion'!$A:$A,match($C2882,'Year Conversion'!$B:$B,0)),$Y:$Y,0))-I2882,"")</f>
        <v>1</v>
      </c>
      <c r="AA2882" s="168">
        <f t="array" ref="AA2882">iferror(index(J:J,match($A2882&amp;","&amp;index('Year Conversion'!$A:$A,match($C2882,'Year Conversion'!$B:$B,0)),$Y:$Y,0))-J2882,"")</f>
        <v>0.3812162547</v>
      </c>
      <c r="AB2882" s="168">
        <f t="array" ref="AB2882">iferror(index(K:K,match($A2882&amp;","&amp;index('Year Conversion'!$A:$A,match($C2882,'Year Conversion'!$B:$B,0)),$Y:$Y,0))-K2882,"")</f>
        <v>0.003969607208</v>
      </c>
      <c r="AC2882" s="168" t="str">
        <f t="shared" si="7"/>
        <v>LAC,2018-19</v>
      </c>
    </row>
    <row r="2883">
      <c r="A2883" s="161" t="str">
        <f>IFERROR(__xludf.DUMMYFUNCTION("""COMPUTED_VALUE"""),"bacondw01")</f>
        <v>bacondw01</v>
      </c>
      <c r="B2883" s="161" t="str">
        <f>IFERROR(__xludf.DUMMYFUNCTION("""COMPUTED_VALUE"""),"Dwayne Bacon")</f>
        <v>Dwayne Bacon</v>
      </c>
      <c r="C2883" s="162" t="str">
        <f>IFERROR(__xludf.DUMMYFUNCTION("""COMPUTED_VALUE"""),"2018-19")</f>
        <v>2018-19</v>
      </c>
      <c r="D2883" s="163" t="str">
        <f>IFERROR(__xludf.DUMMYFUNCTION("""COMPUTED_VALUE"""),"CHO")</f>
        <v>CHO</v>
      </c>
      <c r="E2883" s="164" t="str">
        <f>IFERROR(__xludf.DUMMYFUNCTION("""COMPUTED_VALUE"""),"Secondary Ball Handler")</f>
        <v>Secondary Ball Handler</v>
      </c>
      <c r="F2883" s="164">
        <f>IFERROR(__xludf.DUMMYFUNCTION("""COMPUTED_VALUE"""),758.668333333333)</f>
        <v>758.6683333</v>
      </c>
      <c r="G2883" s="163">
        <f>IFERROR(__xludf.DUMMYFUNCTION("""COMPUTED_VALUE"""),43.0)</f>
        <v>43</v>
      </c>
      <c r="H2883" s="163" t="str">
        <f>IFERROR(__xludf.DUMMYFUNCTION("""COMPUTED_VALUE"""),"SG")</f>
        <v>SG</v>
      </c>
      <c r="I2883" s="163">
        <f>IFERROR(__xludf.DUMMYFUNCTION("""COMPUTED_VALUE"""),23.0)</f>
        <v>23</v>
      </c>
      <c r="J2883" s="165">
        <f>IFERROR(__xludf.DUMMYFUNCTION("""COMPUTED_VALUE"""),-2.30873104867251)</f>
        <v>-2.308731049</v>
      </c>
      <c r="K2883" s="165">
        <f>IFERROR(__xludf.DUMMYFUNCTION("""COMPUTED_VALUE"""),-1.56305567087038)</f>
        <v>-1.563055671</v>
      </c>
      <c r="L2883" s="165">
        <f>IFERROR(__xludf.DUMMYFUNCTION("""COMPUTED_VALUE"""),-0.745675377802127)</f>
        <v>-0.7456753778</v>
      </c>
      <c r="M2883" s="166">
        <f t="shared" si="2"/>
        <v>-0.002603769784</v>
      </c>
      <c r="N2883" s="167">
        <f t="shared" si="3"/>
        <v>17.64344961</v>
      </c>
      <c r="O2883" s="163">
        <f t="shared" ref="O2883:Q2883" si="2887">rank(I2883,I:I)</f>
        <v>2765</v>
      </c>
      <c r="P2883" s="163">
        <f t="shared" si="2887"/>
        <v>3661</v>
      </c>
      <c r="Q2883" s="163">
        <f t="shared" si="2887"/>
        <v>3416</v>
      </c>
      <c r="R2883" s="163">
        <f>IFERROR(__xludf.DUMMYFUNCTION("RANK(M2883,filter(M:M,C:C=C2883))"),478.0)</f>
        <v>478</v>
      </c>
      <c r="S2883" s="161" t="b">
        <f t="shared" si="5"/>
        <v>0</v>
      </c>
      <c r="T2883" s="161" t="b">
        <f t="array" ref="T2883">index('Query Tool'!B:B,match(H2883,'Query Tool'!C:C,0))</f>
        <v>1</v>
      </c>
      <c r="U2883" s="161" t="b">
        <f t="array" ref="U2883">index('Query Tool'!B:B,match(C2883,'Query Tool'!C:C,0))</f>
        <v>0</v>
      </c>
      <c r="V2883" s="161" t="b">
        <f>F2883&gt;='Query Tool'!C$32</f>
        <v>1</v>
      </c>
      <c r="W2883" s="161" t="b">
        <f t="array" ref="W2883">index(Dropdowns!B:B,match(I2883,Dropdowns!A:A,0))</f>
        <v>1</v>
      </c>
      <c r="X2883" s="161" t="b">
        <f t="array" ref="X2883">index('Query Tool'!B:B,match(D2883,'Query Tool'!C:C,0))</f>
        <v>1</v>
      </c>
      <c r="Y2883" s="161" t="str">
        <f t="shared" si="6"/>
        <v>bacondw01,2018-19</v>
      </c>
      <c r="Z2883" s="168">
        <f t="array" ref="Z2883">iferror(index(I:I,match($A2883&amp;","&amp;index('Year Conversion'!$A:$A,match($C2883,'Year Conversion'!$B:$B,0)),$Y:$Y,0))-I2883,"")</f>
        <v>1</v>
      </c>
      <c r="AA2883" s="168">
        <f t="array" ref="AA2883">iferror(index(J:J,match($A2883&amp;","&amp;index('Year Conversion'!$A:$A,match($C2883,'Year Conversion'!$B:$B,0)),$Y:$Y,0))-J2883,"")</f>
        <v>-0.8296165395</v>
      </c>
      <c r="AB2883" s="168">
        <f t="array" ref="AB2883">iferror(index(K:K,match($A2883&amp;","&amp;index('Year Conversion'!$A:$A,match($C2883,'Year Conversion'!$B:$B,0)),$Y:$Y,0))-K2883,"")</f>
        <v>-0.9679711191</v>
      </c>
      <c r="AC2883" s="168" t="str">
        <f t="shared" si="7"/>
        <v>CHO,2018-19</v>
      </c>
    </row>
    <row r="2884">
      <c r="A2884" s="161" t="str">
        <f>IFERROR(__xludf.DUMMYFUNCTION("""COMPUTED_VALUE"""),"doziepj01")</f>
        <v>doziepj01</v>
      </c>
      <c r="B2884" s="161" t="str">
        <f>IFERROR(__xludf.DUMMYFUNCTION("""COMPUTED_VALUE"""),"PJ Dozier")</f>
        <v>PJ Dozier</v>
      </c>
      <c r="C2884" s="162" t="str">
        <f>IFERROR(__xludf.DUMMYFUNCTION("""COMPUTED_VALUE"""),"2018-19")</f>
        <v>2018-19</v>
      </c>
      <c r="D2884" s="163" t="str">
        <f>IFERROR(__xludf.DUMMYFUNCTION("""COMPUTED_VALUE"""),"BOS")</f>
        <v>BOS</v>
      </c>
      <c r="E2884" s="164" t="str">
        <f>IFERROR(__xludf.DUMMYFUNCTION("""COMPUTED_VALUE"""),"Athletic Finisher")</f>
        <v>Athletic Finisher</v>
      </c>
      <c r="F2884" s="164">
        <f>IFERROR(__xludf.DUMMYFUNCTION("""COMPUTED_VALUE"""),50.8433333333333)</f>
        <v>50.84333333</v>
      </c>
      <c r="G2884" s="163">
        <f>IFERROR(__xludf.DUMMYFUNCTION("""COMPUTED_VALUE"""),6.0)</f>
        <v>6</v>
      </c>
      <c r="H2884" s="163" t="str">
        <f>IFERROR(__xludf.DUMMYFUNCTION("""COMPUTED_VALUE"""),"SG")</f>
        <v>SG</v>
      </c>
      <c r="I2884" s="163">
        <f>IFERROR(__xludf.DUMMYFUNCTION("""COMPUTED_VALUE"""),22.0)</f>
        <v>22</v>
      </c>
      <c r="J2884" s="165">
        <f>IFERROR(__xludf.DUMMYFUNCTION("""COMPUTED_VALUE"""),-0.473513032960027)</f>
        <v>-0.473513033</v>
      </c>
      <c r="K2884" s="165">
        <f>IFERROR(__xludf.DUMMYFUNCTION("""COMPUTED_VALUE"""),-0.0534780903591032)</f>
        <v>-0.05347809036</v>
      </c>
      <c r="L2884" s="165">
        <f>IFERROR(__xludf.DUMMYFUNCTION("""COMPUTED_VALUE"""),-0.420034942600924)</f>
        <v>-0.4200349426</v>
      </c>
      <c r="M2884" s="166">
        <f t="shared" si="2"/>
        <v>0.06215741894</v>
      </c>
      <c r="N2884" s="167">
        <f t="shared" si="3"/>
        <v>8.473888889</v>
      </c>
      <c r="O2884" s="163">
        <f t="shared" ref="O2884:Q2884" si="2888">rank(I2884,I:I)</f>
        <v>3178</v>
      </c>
      <c r="P2884" s="163">
        <f t="shared" si="2888"/>
        <v>1817</v>
      </c>
      <c r="Q2884" s="163">
        <f t="shared" si="2888"/>
        <v>1283</v>
      </c>
      <c r="R2884" s="163">
        <f>IFERROR(__xludf.DUMMYFUNCTION("RANK(M2884,filter(M:M,C:C=C2884))"),410.0)</f>
        <v>410</v>
      </c>
      <c r="S2884" s="161" t="b">
        <f t="shared" si="5"/>
        <v>0</v>
      </c>
      <c r="T2884" s="161" t="b">
        <f t="array" ref="T2884">index('Query Tool'!B:B,match(H2884,'Query Tool'!C:C,0))</f>
        <v>1</v>
      </c>
      <c r="U2884" s="161" t="b">
        <f t="array" ref="U2884">index('Query Tool'!B:B,match(C2884,'Query Tool'!C:C,0))</f>
        <v>0</v>
      </c>
      <c r="V2884" s="161" t="b">
        <f>F2884&gt;='Query Tool'!C$32</f>
        <v>0</v>
      </c>
      <c r="W2884" s="161" t="b">
        <f t="array" ref="W2884">index(Dropdowns!B:B,match(I2884,Dropdowns!A:A,0))</f>
        <v>1</v>
      </c>
      <c r="X2884" s="161" t="b">
        <f t="array" ref="X2884">index('Query Tool'!B:B,match(D2884,'Query Tool'!C:C,0))</f>
        <v>1</v>
      </c>
      <c r="Y2884" s="161" t="str">
        <f t="shared" si="6"/>
        <v>doziepj01,2018-19</v>
      </c>
      <c r="Z2884" s="168">
        <f t="array" ref="Z2884">iferror(index(I:I,match($A2884&amp;","&amp;index('Year Conversion'!$A:$A,match($C2884,'Year Conversion'!$B:$B,0)),$Y:$Y,0))-I2884,"")</f>
        <v>1</v>
      </c>
      <c r="AA2884" s="168">
        <f t="array" ref="AA2884">iferror(index(J:J,match($A2884&amp;","&amp;index('Year Conversion'!$A:$A,match($C2884,'Year Conversion'!$B:$B,0)),$Y:$Y,0))-J2884,"")</f>
        <v>-0.446364329</v>
      </c>
      <c r="AB2884" s="168">
        <f t="array" ref="AB2884">iferror(index(K:K,match($A2884&amp;","&amp;index('Year Conversion'!$A:$A,match($C2884,'Year Conversion'!$B:$B,0)),$Y:$Y,0))-K2884,"")</f>
        <v>-0.525419363</v>
      </c>
      <c r="AC2884" s="168" t="str">
        <f t="shared" si="7"/>
        <v>BOS,2018-19</v>
      </c>
    </row>
    <row r="2885">
      <c r="A2885" s="161" t="str">
        <f>IFERROR(__xludf.DUMMYFUNCTION("""COMPUTED_VALUE"""),"sumneed01")</f>
        <v>sumneed01</v>
      </c>
      <c r="B2885" s="161" t="str">
        <f>IFERROR(__xludf.DUMMYFUNCTION("""COMPUTED_VALUE"""),"Edmond Sumner")</f>
        <v>Edmond Sumner</v>
      </c>
      <c r="C2885" s="162" t="str">
        <f>IFERROR(__xludf.DUMMYFUNCTION("""COMPUTED_VALUE"""),"2018-19")</f>
        <v>2018-19</v>
      </c>
      <c r="D2885" s="163" t="str">
        <f>IFERROR(__xludf.DUMMYFUNCTION("""COMPUTED_VALUE"""),"IND")</f>
        <v>IND</v>
      </c>
      <c r="E2885" s="164" t="str">
        <f>IFERROR(__xludf.DUMMYFUNCTION("""COMPUTED_VALUE"""),"Athletic Finisher")</f>
        <v>Athletic Finisher</v>
      </c>
      <c r="F2885" s="164">
        <f>IFERROR(__xludf.DUMMYFUNCTION("""COMPUTED_VALUE"""),209.838333333333)</f>
        <v>209.8383333</v>
      </c>
      <c r="G2885" s="163">
        <f>IFERROR(__xludf.DUMMYFUNCTION("""COMPUTED_VALUE"""),23.0)</f>
        <v>23</v>
      </c>
      <c r="H2885" s="163" t="str">
        <f>IFERROR(__xludf.DUMMYFUNCTION("""COMPUTED_VALUE"""),"PG")</f>
        <v>PG</v>
      </c>
      <c r="I2885" s="163">
        <f>IFERROR(__xludf.DUMMYFUNCTION("""COMPUTED_VALUE"""),23.0)</f>
        <v>23</v>
      </c>
      <c r="J2885" s="165">
        <f>IFERROR(__xludf.DUMMYFUNCTION("""COMPUTED_VALUE"""),-1.86371737401875)</f>
        <v>-1.863717374</v>
      </c>
      <c r="K2885" s="165">
        <f>IFERROR(__xludf.DUMMYFUNCTION("""COMPUTED_VALUE"""),-1.33349391029251)</f>
        <v>-1.33349391</v>
      </c>
      <c r="L2885" s="165">
        <f>IFERROR(__xludf.DUMMYFUNCTION("""COMPUTED_VALUE"""),-0.530223463726235)</f>
        <v>-0.5302234637</v>
      </c>
      <c r="M2885" s="166">
        <f t="shared" si="2"/>
        <v>0.06110397396</v>
      </c>
      <c r="N2885" s="167">
        <f t="shared" si="3"/>
        <v>9.123405797</v>
      </c>
      <c r="O2885" s="163">
        <f t="shared" ref="O2885:Q2885" si="2889">rank(I2885,I:I)</f>
        <v>2765</v>
      </c>
      <c r="P2885" s="163">
        <f t="shared" si="2889"/>
        <v>3388</v>
      </c>
      <c r="Q2885" s="163">
        <f t="shared" si="2889"/>
        <v>3185</v>
      </c>
      <c r="R2885" s="163">
        <f>IFERROR(__xludf.DUMMYFUNCTION("RANK(M2885,filter(M:M,C:C=C2885))"),411.0)</f>
        <v>411</v>
      </c>
      <c r="S2885" s="161" t="b">
        <f t="shared" si="5"/>
        <v>0</v>
      </c>
      <c r="T2885" s="161" t="b">
        <f t="array" ref="T2885">index('Query Tool'!B:B,match(H2885,'Query Tool'!C:C,0))</f>
        <v>1</v>
      </c>
      <c r="U2885" s="161" t="b">
        <f t="array" ref="U2885">index('Query Tool'!B:B,match(C2885,'Query Tool'!C:C,0))</f>
        <v>0</v>
      </c>
      <c r="V2885" s="161" t="b">
        <f>F2885&gt;='Query Tool'!C$32</f>
        <v>0</v>
      </c>
      <c r="W2885" s="161" t="b">
        <f t="array" ref="W2885">index(Dropdowns!B:B,match(I2885,Dropdowns!A:A,0))</f>
        <v>1</v>
      </c>
      <c r="X2885" s="161" t="b">
        <f t="array" ref="X2885">index('Query Tool'!B:B,match(D2885,'Query Tool'!C:C,0))</f>
        <v>1</v>
      </c>
      <c r="Y2885" s="161" t="str">
        <f t="shared" si="6"/>
        <v>sumneed01,2018-19</v>
      </c>
      <c r="Z2885" s="168">
        <f t="array" ref="Z2885">iferror(index(I:I,match($A2885&amp;","&amp;index('Year Conversion'!$A:$A,match($C2885,'Year Conversion'!$B:$B,0)),$Y:$Y,0))-I2885,"")</f>
        <v>1</v>
      </c>
      <c r="AA2885" s="168">
        <f t="array" ref="AA2885">iferror(index(J:J,match($A2885&amp;","&amp;index('Year Conversion'!$A:$A,match($C2885,'Year Conversion'!$B:$B,0)),$Y:$Y,0))-J2885,"")</f>
        <v>-0.5185698491</v>
      </c>
      <c r="AB2885" s="168">
        <f t="array" ref="AB2885">iferror(index(K:K,match($A2885&amp;","&amp;index('Year Conversion'!$A:$A,match($C2885,'Year Conversion'!$B:$B,0)),$Y:$Y,0))-K2885,"")</f>
        <v>-0.391594548</v>
      </c>
      <c r="AC2885" s="168" t="str">
        <f t="shared" si="7"/>
        <v>IND,2018-19</v>
      </c>
    </row>
    <row r="2886">
      <c r="A2886" s="161" t="str">
        <f>IFERROR(__xludf.DUMMYFUNCTION("""COMPUTED_VALUE"""),"iwundwe01")</f>
        <v>iwundwe01</v>
      </c>
      <c r="B2886" s="161" t="str">
        <f>IFERROR(__xludf.DUMMYFUNCTION("""COMPUTED_VALUE"""),"Wes Iwundu")</f>
        <v>Wes Iwundu</v>
      </c>
      <c r="C2886" s="162" t="str">
        <f>IFERROR(__xludf.DUMMYFUNCTION("""COMPUTED_VALUE"""),"2018-19")</f>
        <v>2018-19</v>
      </c>
      <c r="D2886" s="163" t="str">
        <f>IFERROR(__xludf.DUMMYFUNCTION("""COMPUTED_VALUE"""),"ORL")</f>
        <v>ORL</v>
      </c>
      <c r="E2886" s="164" t="str">
        <f>IFERROR(__xludf.DUMMYFUNCTION("""COMPUTED_VALUE"""),"Stationary Shooter")</f>
        <v>Stationary Shooter</v>
      </c>
      <c r="F2886" s="164">
        <f>IFERROR(__xludf.DUMMYFUNCTION("""COMPUTED_VALUE"""),1233.2)</f>
        <v>1233.2</v>
      </c>
      <c r="G2886" s="163">
        <f>IFERROR(__xludf.DUMMYFUNCTION("""COMPUTED_VALUE"""),68.0)</f>
        <v>68</v>
      </c>
      <c r="H2886" s="163" t="str">
        <f>IFERROR(__xludf.DUMMYFUNCTION("""COMPUTED_VALUE"""),"SF")</f>
        <v>SF</v>
      </c>
      <c r="I2886" s="163">
        <f>IFERROR(__xludf.DUMMYFUNCTION("""COMPUTED_VALUE"""),24.0)</f>
        <v>24</v>
      </c>
      <c r="J2886" s="165">
        <f>IFERROR(__xludf.DUMMYFUNCTION("""COMPUTED_VALUE"""),-2.65435787116226)</f>
        <v>-2.654357871</v>
      </c>
      <c r="K2886" s="165">
        <f>IFERROR(__xludf.DUMMYFUNCTION("""COMPUTED_VALUE"""),-2.66740201534289)</f>
        <v>-2.667402015</v>
      </c>
      <c r="L2886" s="165">
        <f>IFERROR(__xludf.DUMMYFUNCTION("""COMPUTED_VALUE"""),0.0130441441806249)</f>
        <v>0.01304414418</v>
      </c>
      <c r="M2886" s="166">
        <f t="shared" si="2"/>
        <v>-0.284328851</v>
      </c>
      <c r="N2886" s="167">
        <f t="shared" si="3"/>
        <v>18.13529412</v>
      </c>
      <c r="O2886" s="163">
        <f t="shared" ref="O2886:Q2886" si="2890">rank(I2886,I:I)</f>
        <v>2361</v>
      </c>
      <c r="P2886" s="163">
        <f t="shared" si="2890"/>
        <v>3803</v>
      </c>
      <c r="Q2886" s="163">
        <f t="shared" si="2890"/>
        <v>3925</v>
      </c>
      <c r="R2886" s="163">
        <f>IFERROR(__xludf.DUMMYFUNCTION("RANK(M2886,filter(M:M,C:C=C2886))"),508.0)</f>
        <v>508</v>
      </c>
      <c r="S2886" s="161" t="b">
        <f t="shared" si="5"/>
        <v>0</v>
      </c>
      <c r="T2886" s="161" t="b">
        <f t="array" ref="T2886">index('Query Tool'!B:B,match(H2886,'Query Tool'!C:C,0))</f>
        <v>1</v>
      </c>
      <c r="U2886" s="161" t="b">
        <f t="array" ref="U2886">index('Query Tool'!B:B,match(C2886,'Query Tool'!C:C,0))</f>
        <v>0</v>
      </c>
      <c r="V2886" s="161" t="b">
        <f>F2886&gt;='Query Tool'!C$32</f>
        <v>1</v>
      </c>
      <c r="W2886" s="161" t="b">
        <f t="array" ref="W2886">index(Dropdowns!B:B,match(I2886,Dropdowns!A:A,0))</f>
        <v>1</v>
      </c>
      <c r="X2886" s="161" t="b">
        <f t="array" ref="X2886">index('Query Tool'!B:B,match(D2886,'Query Tool'!C:C,0))</f>
        <v>1</v>
      </c>
      <c r="Y2886" s="161" t="str">
        <f t="shared" si="6"/>
        <v>iwundwe01,2018-19</v>
      </c>
      <c r="Z2886" s="168">
        <f t="array" ref="Z2886">iferror(index(I:I,match($A2886&amp;","&amp;index('Year Conversion'!$A:$A,match($C2886,'Year Conversion'!$B:$B,0)),$Y:$Y,0))-I2886,"")</f>
        <v>1</v>
      </c>
      <c r="AA2886" s="168">
        <f t="array" ref="AA2886">iferror(index(J:J,match($A2886&amp;","&amp;index('Year Conversion'!$A:$A,match($C2886,'Year Conversion'!$B:$B,0)),$Y:$Y,0))-J2886,"")</f>
        <v>0.919459828</v>
      </c>
      <c r="AB2886" s="168">
        <f t="array" ref="AB2886">iferror(index(K:K,match($A2886&amp;","&amp;index('Year Conversion'!$A:$A,match($C2886,'Year Conversion'!$B:$B,0)),$Y:$Y,0))-K2886,"")</f>
        <v>0.9522345641</v>
      </c>
      <c r="AC2886" s="168" t="str">
        <f t="shared" si="7"/>
        <v>ORL,2018-19</v>
      </c>
    </row>
    <row r="2887">
      <c r="A2887" s="161" t="str">
        <f>IFERROR(__xludf.DUMMYFUNCTION("""COMPUTED_VALUE"""),"masonfr01")</f>
        <v>masonfr01</v>
      </c>
      <c r="B2887" s="161" t="str">
        <f>IFERROR(__xludf.DUMMYFUNCTION("""COMPUTED_VALUE"""),"Frank Mason")</f>
        <v>Frank Mason</v>
      </c>
      <c r="C2887" s="162" t="str">
        <f>IFERROR(__xludf.DUMMYFUNCTION("""COMPUTED_VALUE"""),"2018-19")</f>
        <v>2018-19</v>
      </c>
      <c r="D2887" s="163" t="str">
        <f>IFERROR(__xludf.DUMMYFUNCTION("""COMPUTED_VALUE"""),"SAC")</f>
        <v>SAC</v>
      </c>
      <c r="E2887" s="164" t="str">
        <f>IFERROR(__xludf.DUMMYFUNCTION("""COMPUTED_VALUE"""),"Secondary Ball Handler")</f>
        <v>Secondary Ball Handler</v>
      </c>
      <c r="F2887" s="164">
        <f>IFERROR(__xludf.DUMMYFUNCTION("""COMPUTED_VALUE"""),435.478333333333)</f>
        <v>435.4783333</v>
      </c>
      <c r="G2887" s="163">
        <f>IFERROR(__xludf.DUMMYFUNCTION("""COMPUTED_VALUE"""),38.0)</f>
        <v>38</v>
      </c>
      <c r="H2887" s="163" t="str">
        <f>IFERROR(__xludf.DUMMYFUNCTION("""COMPUTED_VALUE"""),"PG")</f>
        <v>PG</v>
      </c>
      <c r="I2887" s="163">
        <f>IFERROR(__xludf.DUMMYFUNCTION("""COMPUTED_VALUE"""),24.0)</f>
        <v>24</v>
      </c>
      <c r="J2887" s="165">
        <f>IFERROR(__xludf.DUMMYFUNCTION("""COMPUTED_VALUE"""),-1.42053554644506)</f>
        <v>-1.420535546</v>
      </c>
      <c r="K2887" s="165">
        <f>IFERROR(__xludf.DUMMYFUNCTION("""COMPUTED_VALUE"""),-0.29173017991974)</f>
        <v>-0.2917301799</v>
      </c>
      <c r="L2887" s="165">
        <f>IFERROR(__xludf.DUMMYFUNCTION("""COMPUTED_VALUE"""),-1.12880536652532)</f>
        <v>-1.128805367</v>
      </c>
      <c r="M2887" s="166">
        <f t="shared" si="2"/>
        <v>0.2554654365</v>
      </c>
      <c r="N2887" s="167">
        <f t="shared" si="3"/>
        <v>11.45995614</v>
      </c>
      <c r="O2887" s="163">
        <f t="shared" ref="O2887:Q2887" si="2891">rank(I2887,I:I)</f>
        <v>2361</v>
      </c>
      <c r="P2887" s="163">
        <f t="shared" si="2891"/>
        <v>2975</v>
      </c>
      <c r="Q2887" s="163">
        <f t="shared" si="2891"/>
        <v>1747</v>
      </c>
      <c r="R2887" s="163">
        <f>IFERROR(__xludf.DUMMYFUNCTION("RANK(M2887,filter(M:M,C:C=C2887))"),332.0)</f>
        <v>332</v>
      </c>
      <c r="S2887" s="161" t="b">
        <f t="shared" si="5"/>
        <v>0</v>
      </c>
      <c r="T2887" s="161" t="b">
        <f t="array" ref="T2887">index('Query Tool'!B:B,match(H2887,'Query Tool'!C:C,0))</f>
        <v>1</v>
      </c>
      <c r="U2887" s="161" t="b">
        <f t="array" ref="U2887">index('Query Tool'!B:B,match(C2887,'Query Tool'!C:C,0))</f>
        <v>0</v>
      </c>
      <c r="V2887" s="161" t="b">
        <f>F2887&gt;='Query Tool'!C$32</f>
        <v>0</v>
      </c>
      <c r="W2887" s="161" t="b">
        <f t="array" ref="W2887">index(Dropdowns!B:B,match(I2887,Dropdowns!A:A,0))</f>
        <v>1</v>
      </c>
      <c r="X2887" s="161" t="b">
        <f t="array" ref="X2887">index('Query Tool'!B:B,match(D2887,'Query Tool'!C:C,0))</f>
        <v>1</v>
      </c>
      <c r="Y2887" s="161" t="str">
        <f t="shared" si="6"/>
        <v>masonfr01,2018-19</v>
      </c>
      <c r="Z2887" s="168">
        <f t="array" ref="Z2887">iferror(index(I:I,match($A2887&amp;","&amp;index('Year Conversion'!$A:$A,match($C2887,'Year Conversion'!$B:$B,0)),$Y:$Y,0))-I2887,"")</f>
        <v>1</v>
      </c>
      <c r="AA2887" s="168">
        <f t="array" ref="AA2887">iferror(index(J:J,match($A2887&amp;","&amp;index('Year Conversion'!$A:$A,match($C2887,'Year Conversion'!$B:$B,0)),$Y:$Y,0))-J2887,"")</f>
        <v>1.526658229</v>
      </c>
      <c r="AB2887" s="168">
        <f t="array" ref="AB2887">iferror(index(K:K,match($A2887&amp;","&amp;index('Year Conversion'!$A:$A,match($C2887,'Year Conversion'!$B:$B,0)),$Y:$Y,0))-K2887,"")</f>
        <v>0.5831954958</v>
      </c>
      <c r="AC2887" s="168" t="str">
        <f t="shared" si="7"/>
        <v>SAC,2018-19</v>
      </c>
    </row>
    <row r="2888">
      <c r="A2888" s="161" t="str">
        <f>IFERROR(__xludf.DUMMYFUNCTION("""COMPUTED_VALUE"""),"boldejo01")</f>
        <v>boldejo01</v>
      </c>
      <c r="B2888" s="161" t="str">
        <f>IFERROR(__xludf.DUMMYFUNCTION("""COMPUTED_VALUE"""),"Jonah Bolden")</f>
        <v>Jonah Bolden</v>
      </c>
      <c r="C2888" s="162" t="str">
        <f>IFERROR(__xludf.DUMMYFUNCTION("""COMPUTED_VALUE"""),"2018-19")</f>
        <v>2018-19</v>
      </c>
      <c r="D2888" s="163" t="str">
        <f>IFERROR(__xludf.DUMMYFUNCTION("""COMPUTED_VALUE"""),"PHI")</f>
        <v>PHI</v>
      </c>
      <c r="E2888" s="164" t="str">
        <f>IFERROR(__xludf.DUMMYFUNCTION("""COMPUTED_VALUE"""),"Athletic Finisher")</f>
        <v>Athletic Finisher</v>
      </c>
      <c r="F2888" s="164">
        <f>IFERROR(__xludf.DUMMYFUNCTION("""COMPUTED_VALUE"""),638.671666666667)</f>
        <v>638.6716667</v>
      </c>
      <c r="G2888" s="163">
        <f>IFERROR(__xludf.DUMMYFUNCTION("""COMPUTED_VALUE"""),44.0)</f>
        <v>44</v>
      </c>
      <c r="H2888" s="163" t="str">
        <f>IFERROR(__xludf.DUMMYFUNCTION("""COMPUTED_VALUE"""),"PF")</f>
        <v>PF</v>
      </c>
      <c r="I2888" s="163">
        <f>IFERROR(__xludf.DUMMYFUNCTION("""COMPUTED_VALUE"""),23.0)</f>
        <v>23</v>
      </c>
      <c r="J2888" s="165">
        <f>IFERROR(__xludf.DUMMYFUNCTION("""COMPUTED_VALUE"""),-0.487868436854189)</f>
        <v>-0.4878684369</v>
      </c>
      <c r="K2888" s="165">
        <f>IFERROR(__xludf.DUMMYFUNCTION("""COMPUTED_VALUE"""),-1.27847591161028)</f>
        <v>-1.278475912</v>
      </c>
      <c r="L2888" s="165">
        <f>IFERROR(__xludf.DUMMYFUNCTION("""COMPUTED_VALUE"""),0.79060747475609)</f>
        <v>0.7906074748</v>
      </c>
      <c r="M2888" s="166">
        <f t="shared" si="2"/>
        <v>0.7746189646</v>
      </c>
      <c r="N2888" s="167">
        <f t="shared" si="3"/>
        <v>14.51526515</v>
      </c>
      <c r="O2888" s="163">
        <f t="shared" ref="O2888:Q2888" si="2892">rank(I2888,I:I)</f>
        <v>2765</v>
      </c>
      <c r="P2888" s="163">
        <f t="shared" si="2892"/>
        <v>1836</v>
      </c>
      <c r="Q2888" s="163">
        <f t="shared" si="2892"/>
        <v>3119</v>
      </c>
      <c r="R2888" s="163">
        <f>IFERROR(__xludf.DUMMYFUNCTION("RANK(M2888,filter(M:M,C:C=C2888))"),245.0)</f>
        <v>245</v>
      </c>
      <c r="S2888" s="161" t="b">
        <f t="shared" si="5"/>
        <v>0</v>
      </c>
      <c r="T2888" s="161" t="b">
        <f t="array" ref="T2888">index('Query Tool'!B:B,match(H2888,'Query Tool'!C:C,0))</f>
        <v>1</v>
      </c>
      <c r="U2888" s="161" t="b">
        <f t="array" ref="U2888">index('Query Tool'!B:B,match(C2888,'Query Tool'!C:C,0))</f>
        <v>0</v>
      </c>
      <c r="V2888" s="161" t="b">
        <f>F2888&gt;='Query Tool'!C$32</f>
        <v>1</v>
      </c>
      <c r="W2888" s="161" t="b">
        <f t="array" ref="W2888">index(Dropdowns!B:B,match(I2888,Dropdowns!A:A,0))</f>
        <v>1</v>
      </c>
      <c r="X2888" s="161" t="b">
        <f t="array" ref="X2888">index('Query Tool'!B:B,match(D2888,'Query Tool'!C:C,0))</f>
        <v>1</v>
      </c>
      <c r="Y2888" s="161" t="str">
        <f t="shared" si="6"/>
        <v>boldejo01,2018-19</v>
      </c>
      <c r="Z2888" s="168">
        <f t="array" ref="Z2888">iferror(index(I:I,match($A2888&amp;","&amp;index('Year Conversion'!$A:$A,match($C2888,'Year Conversion'!$B:$B,0)),$Y:$Y,0))-I2888,"")</f>
        <v>1</v>
      </c>
      <c r="AA2888" s="168">
        <f t="array" ref="AA2888">iferror(index(J:J,match($A2888&amp;","&amp;index('Year Conversion'!$A:$A,match($C2888,'Year Conversion'!$B:$B,0)),$Y:$Y,0))-J2888,"")</f>
        <v>-0.07082161013</v>
      </c>
      <c r="AB2888" s="168">
        <f t="array" ref="AB2888">iferror(index(K:K,match($A2888&amp;","&amp;index('Year Conversion'!$A:$A,match($C2888,'Year Conversion'!$B:$B,0)),$Y:$Y,0))-K2888,"")</f>
        <v>0.6644219477</v>
      </c>
      <c r="AC2888" s="168" t="str">
        <f t="shared" si="7"/>
        <v>PHI,2018-19</v>
      </c>
    </row>
    <row r="2889">
      <c r="A2889" s="161" t="str">
        <f>IFERROR(__xludf.DUMMYFUNCTION("""COMPUTED_VALUE"""),"thornsi01")</f>
        <v>thornsi01</v>
      </c>
      <c r="B2889" s="161" t="str">
        <f>IFERROR(__xludf.DUMMYFUNCTION("""COMPUTED_VALUE"""),"Sindarius Thornwell")</f>
        <v>Sindarius Thornwell</v>
      </c>
      <c r="C2889" s="162" t="str">
        <f>IFERROR(__xludf.DUMMYFUNCTION("""COMPUTED_VALUE"""),"2018-19")</f>
        <v>2018-19</v>
      </c>
      <c r="D2889" s="163" t="str">
        <f>IFERROR(__xludf.DUMMYFUNCTION("""COMPUTED_VALUE"""),"LAC")</f>
        <v>LAC</v>
      </c>
      <c r="E2889" s="164" t="str">
        <f>IFERROR(__xludf.DUMMYFUNCTION("""COMPUTED_VALUE"""),"Athletic Finisher")</f>
        <v>Athletic Finisher</v>
      </c>
      <c r="F2889" s="164">
        <f>IFERROR(__xludf.DUMMYFUNCTION("""COMPUTED_VALUE"""),313.451666666667)</f>
        <v>313.4516667</v>
      </c>
      <c r="G2889" s="163">
        <f>IFERROR(__xludf.DUMMYFUNCTION("""COMPUTED_VALUE"""),64.0)</f>
        <v>64</v>
      </c>
      <c r="H2889" s="163" t="str">
        <f>IFERROR(__xludf.DUMMYFUNCTION("""COMPUTED_VALUE"""),"SG")</f>
        <v>SG</v>
      </c>
      <c r="I2889" s="163">
        <f>IFERROR(__xludf.DUMMYFUNCTION("""COMPUTED_VALUE"""),24.0)</f>
        <v>24</v>
      </c>
      <c r="J2889" s="165">
        <f>IFERROR(__xludf.DUMMYFUNCTION("""COMPUTED_VALUE"""),-2.37430638592842)</f>
        <v>-2.374306386</v>
      </c>
      <c r="K2889" s="165">
        <f>IFERROR(__xludf.DUMMYFUNCTION("""COMPUTED_VALUE"""),-2.76272140099668)</f>
        <v>-2.762721401</v>
      </c>
      <c r="L2889" s="165">
        <f>IFERROR(__xludf.DUMMYFUNCTION("""COMPUTED_VALUE"""),0.388415015068263)</f>
        <v>0.3884150151</v>
      </c>
      <c r="M2889" s="166">
        <f t="shared" si="2"/>
        <v>-0.01462163238</v>
      </c>
      <c r="N2889" s="167">
        <f t="shared" si="3"/>
        <v>4.897682292</v>
      </c>
      <c r="O2889" s="163">
        <f t="shared" ref="O2889:Q2889" si="2893">rank(I2889,I:I)</f>
        <v>2361</v>
      </c>
      <c r="P2889" s="163">
        <f t="shared" si="2893"/>
        <v>3698</v>
      </c>
      <c r="Q2889" s="163">
        <f t="shared" si="2893"/>
        <v>3945</v>
      </c>
      <c r="R2889" s="163">
        <f>IFERROR(__xludf.DUMMYFUNCTION("RANK(M2889,filter(M:M,C:C=C2889))"),482.0)</f>
        <v>482</v>
      </c>
      <c r="S2889" s="161" t="b">
        <f t="shared" si="5"/>
        <v>0</v>
      </c>
      <c r="T2889" s="161" t="b">
        <f t="array" ref="T2889">index('Query Tool'!B:B,match(H2889,'Query Tool'!C:C,0))</f>
        <v>1</v>
      </c>
      <c r="U2889" s="161" t="b">
        <f t="array" ref="U2889">index('Query Tool'!B:B,match(C2889,'Query Tool'!C:C,0))</f>
        <v>0</v>
      </c>
      <c r="V2889" s="161" t="b">
        <f>F2889&gt;='Query Tool'!C$32</f>
        <v>0</v>
      </c>
      <c r="W2889" s="161" t="b">
        <f t="array" ref="W2889">index(Dropdowns!B:B,match(I2889,Dropdowns!A:A,0))</f>
        <v>1</v>
      </c>
      <c r="X2889" s="161" t="b">
        <f t="array" ref="X2889">index('Query Tool'!B:B,match(D2889,'Query Tool'!C:C,0))</f>
        <v>1</v>
      </c>
      <c r="Y2889" s="161" t="str">
        <f t="shared" si="6"/>
        <v>thornsi01,2018-19</v>
      </c>
      <c r="Z2889" s="168">
        <f t="array" ref="Z2889">iferror(index(I:I,match($A2889&amp;","&amp;index('Year Conversion'!$A:$A,match($C2889,'Year Conversion'!$B:$B,0)),$Y:$Y,0))-I2889,"")</f>
        <v>1</v>
      </c>
      <c r="AA2889" s="168">
        <f t="array" ref="AA2889">iferror(index(J:J,match($A2889&amp;","&amp;index('Year Conversion'!$A:$A,match($C2889,'Year Conversion'!$B:$B,0)),$Y:$Y,0))-J2889,"")</f>
        <v>2.35736725</v>
      </c>
      <c r="AB2889" s="168">
        <f t="array" ref="AB2889">iferror(index(K:K,match($A2889&amp;","&amp;index('Year Conversion'!$A:$A,match($C2889,'Year Conversion'!$B:$B,0)),$Y:$Y,0))-K2889,"")</f>
        <v>2.756273536</v>
      </c>
      <c r="AC2889" s="168" t="str">
        <f t="shared" si="7"/>
        <v>LAC,2018-19</v>
      </c>
    </row>
    <row r="2890">
      <c r="A2890" s="161" t="str">
        <f>IFERROR(__xludf.DUMMYFUNCTION("""COMPUTED_VALUE"""),"brookdi01")</f>
        <v>brookdi01</v>
      </c>
      <c r="B2890" s="161" t="str">
        <f>IFERROR(__xludf.DUMMYFUNCTION("""COMPUTED_VALUE"""),"Dillon Brooks")</f>
        <v>Dillon Brooks</v>
      </c>
      <c r="C2890" s="162" t="str">
        <f>IFERROR(__xludf.DUMMYFUNCTION("""COMPUTED_VALUE"""),"2018-19")</f>
        <v>2018-19</v>
      </c>
      <c r="D2890" s="163" t="str">
        <f>IFERROR(__xludf.DUMMYFUNCTION("""COMPUTED_VALUE"""),"MEM")</f>
        <v>MEM</v>
      </c>
      <c r="E2890" s="164" t="str">
        <f>IFERROR(__xludf.DUMMYFUNCTION("""COMPUTED_VALUE"""),"Movement Shooter")</f>
        <v>Movement Shooter</v>
      </c>
      <c r="F2890" s="164">
        <f>IFERROR(__xludf.DUMMYFUNCTION("""COMPUTED_VALUE"""),329.895)</f>
        <v>329.895</v>
      </c>
      <c r="G2890" s="163">
        <f>IFERROR(__xludf.DUMMYFUNCTION("""COMPUTED_VALUE"""),18.0)</f>
        <v>18</v>
      </c>
      <c r="H2890" s="163" t="str">
        <f>IFERROR(__xludf.DUMMYFUNCTION("""COMPUTED_VALUE"""),"SF")</f>
        <v>SF</v>
      </c>
      <c r="I2890" s="163">
        <f>IFERROR(__xludf.DUMMYFUNCTION("""COMPUTED_VALUE"""),23.0)</f>
        <v>23</v>
      </c>
      <c r="J2890" s="165">
        <f>IFERROR(__xludf.DUMMYFUNCTION("""COMPUTED_VALUE"""),-2.29026868968396)</f>
        <v>-2.29026869</v>
      </c>
      <c r="K2890" s="165">
        <f>IFERROR(__xludf.DUMMYFUNCTION("""COMPUTED_VALUE"""),-1.73840258435467)</f>
        <v>-1.738402584</v>
      </c>
      <c r="L2890" s="165">
        <f>IFERROR(__xludf.DUMMYFUNCTION("""COMPUTED_VALUE"""),-0.55186610532929)</f>
        <v>-0.5518661053</v>
      </c>
      <c r="M2890" s="166">
        <f t="shared" si="2"/>
        <v>0.002884860241</v>
      </c>
      <c r="N2890" s="167">
        <f t="shared" si="3"/>
        <v>18.3275</v>
      </c>
      <c r="O2890" s="163">
        <f t="shared" ref="O2890:Q2890" si="2894">rank(I2890,I:I)</f>
        <v>2765</v>
      </c>
      <c r="P2890" s="163">
        <f t="shared" si="2894"/>
        <v>3650</v>
      </c>
      <c r="Q2890" s="163">
        <f t="shared" si="2894"/>
        <v>3543</v>
      </c>
      <c r="R2890" s="163">
        <f>IFERROR(__xludf.DUMMYFUNCTION("RANK(M2890,filter(M:M,C:C=C2890))"),473.0)</f>
        <v>473</v>
      </c>
      <c r="S2890" s="161" t="b">
        <f t="shared" si="5"/>
        <v>0</v>
      </c>
      <c r="T2890" s="161" t="b">
        <f t="array" ref="T2890">index('Query Tool'!B:B,match(H2890,'Query Tool'!C:C,0))</f>
        <v>1</v>
      </c>
      <c r="U2890" s="161" t="b">
        <f t="array" ref="U2890">index('Query Tool'!B:B,match(C2890,'Query Tool'!C:C,0))</f>
        <v>0</v>
      </c>
      <c r="V2890" s="161" t="b">
        <f>F2890&gt;='Query Tool'!C$32</f>
        <v>0</v>
      </c>
      <c r="W2890" s="161" t="b">
        <f t="array" ref="W2890">index(Dropdowns!B:B,match(I2890,Dropdowns!A:A,0))</f>
        <v>1</v>
      </c>
      <c r="X2890" s="161" t="b">
        <f t="array" ref="X2890">index('Query Tool'!B:B,match(D2890,'Query Tool'!C:C,0))</f>
        <v>1</v>
      </c>
      <c r="Y2890" s="161" t="str">
        <f t="shared" si="6"/>
        <v>brookdi01,2018-19</v>
      </c>
      <c r="Z2890" s="168">
        <f t="array" ref="Z2890">iferror(index(I:I,match($A2890&amp;","&amp;index('Year Conversion'!$A:$A,match($C2890,'Year Conversion'!$B:$B,0)),$Y:$Y,0))-I2890,"")</f>
        <v>1</v>
      </c>
      <c r="AA2890" s="168">
        <f t="array" ref="AA2890">iferror(index(J:J,match($A2890&amp;","&amp;index('Year Conversion'!$A:$A,match($C2890,'Year Conversion'!$B:$B,0)),$Y:$Y,0))-J2890,"")</f>
        <v>1.06714225</v>
      </c>
      <c r="AB2890" s="168">
        <f t="array" ref="AB2890">iferror(index(K:K,match($A2890&amp;","&amp;index('Year Conversion'!$A:$A,match($C2890,'Year Conversion'!$B:$B,0)),$Y:$Y,0))-K2890,"")</f>
        <v>1.357431372</v>
      </c>
      <c r="AC2890" s="168" t="str">
        <f t="shared" si="7"/>
        <v>MEM,2018-19</v>
      </c>
    </row>
    <row r="2891">
      <c r="A2891" s="161" t="str">
        <f>IFERROR(__xludf.DUMMYFUNCTION("""COMPUTED_VALUE"""),"dorsety01")</f>
        <v>dorsety01</v>
      </c>
      <c r="B2891" s="161" t="str">
        <f>IFERROR(__xludf.DUMMYFUNCTION("""COMPUTED_VALUE"""),"Tyler Dorsey")</f>
        <v>Tyler Dorsey</v>
      </c>
      <c r="C2891" s="162" t="str">
        <f>IFERROR(__xludf.DUMMYFUNCTION("""COMPUTED_VALUE"""),"2018-19")</f>
        <v>2018-19</v>
      </c>
      <c r="D2891" s="163" t="str">
        <f>IFERROR(__xludf.DUMMYFUNCTION("""COMPUTED_VALUE"""),"TOT")</f>
        <v>TOT</v>
      </c>
      <c r="E2891" s="164" t="str">
        <f>IFERROR(__xludf.DUMMYFUNCTION("""COMPUTED_VALUE"""),"Movement Shooter")</f>
        <v>Movement Shooter</v>
      </c>
      <c r="F2891" s="164">
        <f>IFERROR(__xludf.DUMMYFUNCTION("""COMPUTED_VALUE"""),697.853333333333)</f>
        <v>697.8533333</v>
      </c>
      <c r="G2891" s="163">
        <f>IFERROR(__xludf.DUMMYFUNCTION("""COMPUTED_VALUE"""),48.0)</f>
        <v>48</v>
      </c>
      <c r="H2891" s="163" t="str">
        <f>IFERROR(__xludf.DUMMYFUNCTION("""COMPUTED_VALUE"""),"SG")</f>
        <v>SG</v>
      </c>
      <c r="I2891" s="163">
        <f>IFERROR(__xludf.DUMMYFUNCTION("""COMPUTED_VALUE"""),22.0)</f>
        <v>22</v>
      </c>
      <c r="J2891" s="165">
        <f>IFERROR(__xludf.DUMMYFUNCTION("""COMPUTED_VALUE"""),-0.921254362454944)</f>
        <v>-0.9212543625</v>
      </c>
      <c r="K2891" s="165">
        <f>IFERROR(__xludf.DUMMYFUNCTION("""COMPUTED_VALUE"""),0.00905211416667398)</f>
        <v>0.009052114167</v>
      </c>
      <c r="L2891" s="165">
        <f>IFERROR(__xludf.DUMMYFUNCTION("""COMPUTED_VALUE"""),-0.930306476621618)</f>
        <v>-0.9303064766</v>
      </c>
      <c r="M2891" s="166">
        <f t="shared" si="2"/>
        <v>0.6429306075</v>
      </c>
      <c r="N2891" s="167">
        <f t="shared" si="3"/>
        <v>14.53861111</v>
      </c>
      <c r="O2891" s="163">
        <f t="shared" ref="O2891:Q2891" si="2895">rank(I2891,I:I)</f>
        <v>3178</v>
      </c>
      <c r="P2891" s="163">
        <f t="shared" si="2895"/>
        <v>2420</v>
      </c>
      <c r="Q2891" s="163">
        <f t="shared" si="2895"/>
        <v>1190</v>
      </c>
      <c r="R2891" s="163">
        <f>IFERROR(__xludf.DUMMYFUNCTION("RANK(M2891,filter(M:M,C:C=C2891))"),267.0)</f>
        <v>267</v>
      </c>
      <c r="S2891" s="161" t="b">
        <f t="shared" si="5"/>
        <v>0</v>
      </c>
      <c r="T2891" s="161" t="b">
        <f t="array" ref="T2891">index('Query Tool'!B:B,match(H2891,'Query Tool'!C:C,0))</f>
        <v>1</v>
      </c>
      <c r="U2891" s="161" t="b">
        <f t="array" ref="U2891">index('Query Tool'!B:B,match(C2891,'Query Tool'!C:C,0))</f>
        <v>0</v>
      </c>
      <c r="V2891" s="161" t="b">
        <f>F2891&gt;='Query Tool'!C$32</f>
        <v>1</v>
      </c>
      <c r="W2891" s="161" t="b">
        <f t="array" ref="W2891">index(Dropdowns!B:B,match(I2891,Dropdowns!A:A,0))</f>
        <v>1</v>
      </c>
      <c r="X2891" s="161" t="b">
        <f t="array" ref="X2891">index('Query Tool'!B:B,match(D2891,'Query Tool'!C:C,0))</f>
        <v>1</v>
      </c>
      <c r="Y2891" s="161" t="str">
        <f t="shared" si="6"/>
        <v>dorsety01,2018-19</v>
      </c>
      <c r="Z2891" s="168" t="str">
        <f t="array" ref="Z2891">iferror(index(I:I,match($A2891&amp;","&amp;index('Year Conversion'!$A:$A,match($C2891,'Year Conversion'!$B:$B,0)),$Y:$Y,0))-I2891,"")</f>
        <v/>
      </c>
      <c r="AA2891" s="168" t="str">
        <f t="array" ref="AA2891">iferror(index(J:J,match($A2891&amp;","&amp;index('Year Conversion'!$A:$A,match($C2891,'Year Conversion'!$B:$B,0)),$Y:$Y,0))-J2891,"")</f>
        <v/>
      </c>
      <c r="AB2891" s="168" t="str">
        <f t="array" ref="AB2891">iferror(index(K:K,match($A2891&amp;","&amp;index('Year Conversion'!$A:$A,match($C2891,'Year Conversion'!$B:$B,0)),$Y:$Y,0))-K2891,"")</f>
        <v/>
      </c>
      <c r="AC2891" s="168" t="str">
        <f t="shared" si="7"/>
        <v>TOT,2018-19</v>
      </c>
    </row>
    <row r="2892">
      <c r="A2892" s="161" t="str">
        <f>IFERROR(__xludf.DUMMYFUNCTION("""COMPUTED_VALUE"""),"blossja01")</f>
        <v>blossja01</v>
      </c>
      <c r="B2892" s="161" t="str">
        <f>IFERROR(__xludf.DUMMYFUNCTION("""COMPUTED_VALUE"""),"Jaron Blossomgame")</f>
        <v>Jaron Blossomgame</v>
      </c>
      <c r="C2892" s="162" t="str">
        <f>IFERROR(__xludf.DUMMYFUNCTION("""COMPUTED_VALUE"""),"2018-19")</f>
        <v>2018-19</v>
      </c>
      <c r="D2892" s="163" t="str">
        <f>IFERROR(__xludf.DUMMYFUNCTION("""COMPUTED_VALUE"""),"CLE")</f>
        <v>CLE</v>
      </c>
      <c r="E2892" s="164" t="str">
        <f>IFERROR(__xludf.DUMMYFUNCTION("""COMPUTED_VALUE"""),"Stretch Big")</f>
        <v>Stretch Big</v>
      </c>
      <c r="F2892" s="164">
        <f>IFERROR(__xludf.DUMMYFUNCTION("""COMPUTED_VALUE"""),439.16)</f>
        <v>439.16</v>
      </c>
      <c r="G2892" s="163">
        <f>IFERROR(__xludf.DUMMYFUNCTION("""COMPUTED_VALUE"""),27.0)</f>
        <v>27</v>
      </c>
      <c r="H2892" s="163" t="str">
        <f>IFERROR(__xludf.DUMMYFUNCTION("""COMPUTED_VALUE"""),"SF")</f>
        <v>SF</v>
      </c>
      <c r="I2892" s="163">
        <f>IFERROR(__xludf.DUMMYFUNCTION("""COMPUTED_VALUE"""),25.0)</f>
        <v>25</v>
      </c>
      <c r="J2892" s="165">
        <f>IFERROR(__xludf.DUMMYFUNCTION("""COMPUTED_VALUE"""),-1.27521957141297)</f>
        <v>-1.275219571</v>
      </c>
      <c r="K2892" s="165">
        <f>IFERROR(__xludf.DUMMYFUNCTION("""COMPUTED_VALUE"""),-1.49842174587192)</f>
        <v>-1.498421746</v>
      </c>
      <c r="L2892" s="165">
        <f>IFERROR(__xludf.DUMMYFUNCTION("""COMPUTED_VALUE"""),0.223202174458947)</f>
        <v>0.2232021745</v>
      </c>
      <c r="M2892" s="166">
        <f t="shared" si="2"/>
        <v>0.3003255328</v>
      </c>
      <c r="N2892" s="167">
        <f t="shared" si="3"/>
        <v>16.26518519</v>
      </c>
      <c r="O2892" s="163">
        <f t="shared" ref="O2892:Q2892" si="2896">rank(I2892,I:I)</f>
        <v>1995</v>
      </c>
      <c r="P2892" s="163">
        <f t="shared" si="2896"/>
        <v>2839</v>
      </c>
      <c r="Q2892" s="163">
        <f t="shared" si="2896"/>
        <v>3349</v>
      </c>
      <c r="R2892" s="163">
        <f>IFERROR(__xludf.DUMMYFUNCTION("RANK(M2892,filter(M:M,C:C=C2892))"),320.0)</f>
        <v>320</v>
      </c>
      <c r="S2892" s="161" t="b">
        <f t="shared" si="5"/>
        <v>0</v>
      </c>
      <c r="T2892" s="161" t="b">
        <f t="array" ref="T2892">index('Query Tool'!B:B,match(H2892,'Query Tool'!C:C,0))</f>
        <v>1</v>
      </c>
      <c r="U2892" s="161" t="b">
        <f t="array" ref="U2892">index('Query Tool'!B:B,match(C2892,'Query Tool'!C:C,0))</f>
        <v>0</v>
      </c>
      <c r="V2892" s="161" t="b">
        <f>F2892&gt;='Query Tool'!C$32</f>
        <v>0</v>
      </c>
      <c r="W2892" s="161" t="b">
        <f t="array" ref="W2892">index(Dropdowns!B:B,match(I2892,Dropdowns!A:A,0))</f>
        <v>1</v>
      </c>
      <c r="X2892" s="161" t="b">
        <f t="array" ref="X2892">index('Query Tool'!B:B,match(D2892,'Query Tool'!C:C,0))</f>
        <v>1</v>
      </c>
      <c r="Y2892" s="161" t="str">
        <f t="shared" si="6"/>
        <v>blossja01,2018-19</v>
      </c>
      <c r="Z2892" s="168" t="str">
        <f t="array" ref="Z2892">iferror(index(I:I,match($A2892&amp;","&amp;index('Year Conversion'!$A:$A,match($C2892,'Year Conversion'!$B:$B,0)),$Y:$Y,0))-I2892,"")</f>
        <v/>
      </c>
      <c r="AA2892" s="168" t="str">
        <f t="array" ref="AA2892">iferror(index(J:J,match($A2892&amp;","&amp;index('Year Conversion'!$A:$A,match($C2892,'Year Conversion'!$B:$B,0)),$Y:$Y,0))-J2892,"")</f>
        <v/>
      </c>
      <c r="AB2892" s="168" t="str">
        <f t="array" ref="AB2892">iferror(index(K:K,match($A2892&amp;","&amp;index('Year Conversion'!$A:$A,match($C2892,'Year Conversion'!$B:$B,0)),$Y:$Y,0))-K2892,"")</f>
        <v/>
      </c>
      <c r="AC2892" s="168" t="str">
        <f t="shared" si="7"/>
        <v>CLE,2018-19</v>
      </c>
    </row>
    <row r="2893">
      <c r="A2893" s="161" t="str">
        <f>IFERROR(__xludf.DUMMYFUNCTION("""COMPUTED_VALUE"""),"bryanth01")</f>
        <v>bryanth01</v>
      </c>
      <c r="B2893" s="161" t="str">
        <f>IFERROR(__xludf.DUMMYFUNCTION("""COMPUTED_VALUE"""),"Thomas Bryant")</f>
        <v>Thomas Bryant</v>
      </c>
      <c r="C2893" s="162" t="str">
        <f>IFERROR(__xludf.DUMMYFUNCTION("""COMPUTED_VALUE"""),"2018-19")</f>
        <v>2018-19</v>
      </c>
      <c r="D2893" s="163" t="str">
        <f>IFERROR(__xludf.DUMMYFUNCTION("""COMPUTED_VALUE"""),"WAS")</f>
        <v>WAS</v>
      </c>
      <c r="E2893" s="164" t="str">
        <f>IFERROR(__xludf.DUMMYFUNCTION("""COMPUTED_VALUE"""),"Roll + Cut Big")</f>
        <v>Roll + Cut Big</v>
      </c>
      <c r="F2893" s="164">
        <f>IFERROR(__xludf.DUMMYFUNCTION("""COMPUTED_VALUE"""),1496.34333333333)</f>
        <v>1496.343333</v>
      </c>
      <c r="G2893" s="163">
        <f>IFERROR(__xludf.DUMMYFUNCTION("""COMPUTED_VALUE"""),72.0)</f>
        <v>72</v>
      </c>
      <c r="H2893" s="163" t="str">
        <f>IFERROR(__xludf.DUMMYFUNCTION("""COMPUTED_VALUE"""),"C")</f>
        <v>C</v>
      </c>
      <c r="I2893" s="163">
        <f>IFERROR(__xludf.DUMMYFUNCTION("""COMPUTED_VALUE"""),21.0)</f>
        <v>21</v>
      </c>
      <c r="J2893" s="165">
        <f>IFERROR(__xludf.DUMMYFUNCTION("""COMPUTED_VALUE"""),1.08909200245517)</f>
        <v>1.089092002</v>
      </c>
      <c r="K2893" s="165">
        <f>IFERROR(__xludf.DUMMYFUNCTION("""COMPUTED_VALUE"""),0.588840462611653)</f>
        <v>0.5888404626</v>
      </c>
      <c r="L2893" s="165">
        <f>IFERROR(__xludf.DUMMYFUNCTION("""COMPUTED_VALUE"""),0.500251539843514)</f>
        <v>0.5002515398</v>
      </c>
      <c r="M2893" s="166">
        <f t="shared" si="2"/>
        <v>3.403753021</v>
      </c>
      <c r="N2893" s="167">
        <f t="shared" si="3"/>
        <v>20.7825463</v>
      </c>
      <c r="O2893" s="163">
        <f t="shared" ref="O2893:Q2893" si="2897">rank(I2893,I:I)</f>
        <v>3528</v>
      </c>
      <c r="P2893" s="163">
        <f t="shared" si="2897"/>
        <v>625</v>
      </c>
      <c r="Q2893" s="163">
        <f t="shared" si="2897"/>
        <v>716</v>
      </c>
      <c r="R2893" s="163">
        <f>IFERROR(__xludf.DUMMYFUNCTION("RANK(M2893,filter(M:M,C:C=C2893))"),101.0)</f>
        <v>101</v>
      </c>
      <c r="S2893" s="161" t="b">
        <f t="shared" si="5"/>
        <v>0</v>
      </c>
      <c r="T2893" s="161" t="b">
        <f t="array" ref="T2893">index('Query Tool'!B:B,match(H2893,'Query Tool'!C:C,0))</f>
        <v>1</v>
      </c>
      <c r="U2893" s="161" t="b">
        <f t="array" ref="U2893">index('Query Tool'!B:B,match(C2893,'Query Tool'!C:C,0))</f>
        <v>0</v>
      </c>
      <c r="V2893" s="161" t="b">
        <f>F2893&gt;='Query Tool'!C$32</f>
        <v>1</v>
      </c>
      <c r="W2893" s="161" t="b">
        <f t="array" ref="W2893">index(Dropdowns!B:B,match(I2893,Dropdowns!A:A,0))</f>
        <v>1</v>
      </c>
      <c r="X2893" s="161" t="b">
        <f t="array" ref="X2893">index('Query Tool'!B:B,match(D2893,'Query Tool'!C:C,0))</f>
        <v>1</v>
      </c>
      <c r="Y2893" s="161" t="str">
        <f t="shared" si="6"/>
        <v>bryanth01,2018-19</v>
      </c>
      <c r="Z2893" s="168">
        <f t="array" ref="Z2893">iferror(index(I:I,match($A2893&amp;","&amp;index('Year Conversion'!$A:$A,match($C2893,'Year Conversion'!$B:$B,0)),$Y:$Y,0))-I2893,"")</f>
        <v>1</v>
      </c>
      <c r="AA2893" s="168">
        <f t="array" ref="AA2893">iferror(index(J:J,match($A2893&amp;","&amp;index('Year Conversion'!$A:$A,match($C2893,'Year Conversion'!$B:$B,0)),$Y:$Y,0))-J2893,"")</f>
        <v>-1.535648691</v>
      </c>
      <c r="AB2893" s="168">
        <f t="array" ref="AB2893">iferror(index(K:K,match($A2893&amp;","&amp;index('Year Conversion'!$A:$A,match($C2893,'Year Conversion'!$B:$B,0)),$Y:$Y,0))-K2893,"")</f>
        <v>-1.04039475</v>
      </c>
      <c r="AC2893" s="168" t="str">
        <f t="shared" si="7"/>
        <v>WAS,2018-19</v>
      </c>
    </row>
    <row r="2894">
      <c r="A2894" s="161" t="str">
        <f>IFERROR(__xludf.DUMMYFUNCTION("""COMPUTED_VALUE"""),"morrimo01")</f>
        <v>morrimo01</v>
      </c>
      <c r="B2894" s="161" t="str">
        <f>IFERROR(__xludf.DUMMYFUNCTION("""COMPUTED_VALUE"""),"Monte Morris")</f>
        <v>Monte Morris</v>
      </c>
      <c r="C2894" s="162" t="str">
        <f>IFERROR(__xludf.DUMMYFUNCTION("""COMPUTED_VALUE"""),"2018-19")</f>
        <v>2018-19</v>
      </c>
      <c r="D2894" s="163" t="str">
        <f>IFERROR(__xludf.DUMMYFUNCTION("""COMPUTED_VALUE"""),"DEN")</f>
        <v>DEN</v>
      </c>
      <c r="E2894" s="164" t="str">
        <f>IFERROR(__xludf.DUMMYFUNCTION("""COMPUTED_VALUE"""),"Primary Ball Handler")</f>
        <v>Primary Ball Handler</v>
      </c>
      <c r="F2894" s="164">
        <f>IFERROR(__xludf.DUMMYFUNCTION("""COMPUTED_VALUE"""),1970.20833333333)</f>
        <v>1970.208333</v>
      </c>
      <c r="G2894" s="163">
        <f>IFERROR(__xludf.DUMMYFUNCTION("""COMPUTED_VALUE"""),82.0)</f>
        <v>82</v>
      </c>
      <c r="H2894" s="163" t="str">
        <f>IFERROR(__xludf.DUMMYFUNCTION("""COMPUTED_VALUE"""),"PG")</f>
        <v>PG</v>
      </c>
      <c r="I2894" s="163">
        <f>IFERROR(__xludf.DUMMYFUNCTION("""COMPUTED_VALUE"""),23.0)</f>
        <v>23</v>
      </c>
      <c r="J2894" s="165">
        <f>IFERROR(__xludf.DUMMYFUNCTION("""COMPUTED_VALUE"""),-0.457043160930552)</f>
        <v>-0.4570431609</v>
      </c>
      <c r="K2894" s="165">
        <f>IFERROR(__xludf.DUMMYFUNCTION("""COMPUTED_VALUE"""),0.900525246430878)</f>
        <v>0.9005252464</v>
      </c>
      <c r="L2894" s="165">
        <f>IFERROR(__xludf.DUMMYFUNCTION("""COMPUTED_VALUE"""),-1.35756840736143)</f>
        <v>-1.357568407</v>
      </c>
      <c r="M2894" s="166">
        <f t="shared" si="2"/>
        <v>2.430492752</v>
      </c>
      <c r="N2894" s="167">
        <f t="shared" si="3"/>
        <v>24.02693089</v>
      </c>
      <c r="O2894" s="163">
        <f t="shared" ref="O2894:Q2894" si="2898">rank(I2894,I:I)</f>
        <v>2765</v>
      </c>
      <c r="P2894" s="163">
        <f t="shared" si="2898"/>
        <v>1787</v>
      </c>
      <c r="Q2894" s="163">
        <f t="shared" si="2898"/>
        <v>552</v>
      </c>
      <c r="R2894" s="163">
        <f>IFERROR(__xludf.DUMMYFUNCTION("RANK(M2894,filter(M:M,C:C=C2894))"),130.0)</f>
        <v>130</v>
      </c>
      <c r="S2894" s="161" t="b">
        <f t="shared" si="5"/>
        <v>0</v>
      </c>
      <c r="T2894" s="161" t="b">
        <f t="array" ref="T2894">index('Query Tool'!B:B,match(H2894,'Query Tool'!C:C,0))</f>
        <v>1</v>
      </c>
      <c r="U2894" s="161" t="b">
        <f t="array" ref="U2894">index('Query Tool'!B:B,match(C2894,'Query Tool'!C:C,0))</f>
        <v>0</v>
      </c>
      <c r="V2894" s="161" t="b">
        <f>F2894&gt;='Query Tool'!C$32</f>
        <v>1</v>
      </c>
      <c r="W2894" s="161" t="b">
        <f t="array" ref="W2894">index(Dropdowns!B:B,match(I2894,Dropdowns!A:A,0))</f>
        <v>1</v>
      </c>
      <c r="X2894" s="161" t="b">
        <f t="array" ref="X2894">index('Query Tool'!B:B,match(D2894,'Query Tool'!C:C,0))</f>
        <v>1</v>
      </c>
      <c r="Y2894" s="161" t="str">
        <f t="shared" si="6"/>
        <v>morrimo01,2018-19</v>
      </c>
      <c r="Z2894" s="168">
        <f t="array" ref="Z2894">iferror(index(I:I,match($A2894&amp;","&amp;index('Year Conversion'!$A:$A,match($C2894,'Year Conversion'!$B:$B,0)),$Y:$Y,0))-I2894,"")</f>
        <v>1</v>
      </c>
      <c r="AA2894" s="168">
        <f t="array" ref="AA2894">iferror(index(J:J,match($A2894&amp;","&amp;index('Year Conversion'!$A:$A,match($C2894,'Year Conversion'!$B:$B,0)),$Y:$Y,0))-J2894,"")</f>
        <v>1.026024831</v>
      </c>
      <c r="AB2894" s="168">
        <f t="array" ref="AB2894">iferror(index(K:K,match($A2894&amp;","&amp;index('Year Conversion'!$A:$A,match($C2894,'Year Conversion'!$B:$B,0)),$Y:$Y,0))-K2894,"")</f>
        <v>-0.0337586678</v>
      </c>
      <c r="AC2894" s="168" t="str">
        <f t="shared" si="7"/>
        <v>DEN,2018-19</v>
      </c>
    </row>
    <row r="2895">
      <c r="A2895" s="161" t="str">
        <f>IFERROR(__xludf.DUMMYFUNCTION("""COMPUTED_VALUE"""),"robinde01")</f>
        <v>robinde01</v>
      </c>
      <c r="B2895" s="161" t="str">
        <f>IFERROR(__xludf.DUMMYFUNCTION("""COMPUTED_VALUE"""),"Devin Robinson")</f>
        <v>Devin Robinson</v>
      </c>
      <c r="C2895" s="162" t="str">
        <f>IFERROR(__xludf.DUMMYFUNCTION("""COMPUTED_VALUE"""),"2018-19")</f>
        <v>2018-19</v>
      </c>
      <c r="D2895" s="163" t="str">
        <f>IFERROR(__xludf.DUMMYFUNCTION("""COMPUTED_VALUE"""),"WAS")</f>
        <v>WAS</v>
      </c>
      <c r="E2895" s="164" t="str">
        <f>IFERROR(__xludf.DUMMYFUNCTION("""COMPUTED_VALUE"""),"Athletic Finisher")</f>
        <v>Athletic Finisher</v>
      </c>
      <c r="F2895" s="164">
        <f>IFERROR(__xludf.DUMMYFUNCTION("""COMPUTED_VALUE"""),94.5166666666667)</f>
        <v>94.51666667</v>
      </c>
      <c r="G2895" s="163">
        <f>IFERROR(__xludf.DUMMYFUNCTION("""COMPUTED_VALUE"""),7.0)</f>
        <v>7</v>
      </c>
      <c r="H2895" s="163" t="str">
        <f>IFERROR(__xludf.DUMMYFUNCTION("""COMPUTED_VALUE"""),"SF")</f>
        <v>SF</v>
      </c>
      <c r="I2895" s="163">
        <f>IFERROR(__xludf.DUMMYFUNCTION("""COMPUTED_VALUE"""),23.0)</f>
        <v>23</v>
      </c>
      <c r="J2895" s="165">
        <f>IFERROR(__xludf.DUMMYFUNCTION("""COMPUTED_VALUE"""),-0.411420486022566)</f>
        <v>-0.411420486</v>
      </c>
      <c r="K2895" s="165">
        <f>IFERROR(__xludf.DUMMYFUNCTION("""COMPUTED_VALUE"""),-0.368164720784017)</f>
        <v>-0.3681647208</v>
      </c>
      <c r="L2895" s="165">
        <f>IFERROR(__xludf.DUMMYFUNCTION("""COMPUTED_VALUE"""),-0.0432557652385498)</f>
        <v>-0.04325576524</v>
      </c>
      <c r="M2895" s="166">
        <f t="shared" si="2"/>
        <v>0.1195027495</v>
      </c>
      <c r="N2895" s="167">
        <f t="shared" si="3"/>
        <v>13.50238095</v>
      </c>
      <c r="O2895" s="163">
        <f t="shared" ref="O2895:Q2895" si="2899">rank(I2895,I:I)</f>
        <v>2765</v>
      </c>
      <c r="P2895" s="163">
        <f t="shared" si="2899"/>
        <v>1743</v>
      </c>
      <c r="Q2895" s="163">
        <f t="shared" si="2899"/>
        <v>1888</v>
      </c>
      <c r="R2895" s="163">
        <f>IFERROR(__xludf.DUMMYFUNCTION("RANK(M2895,filter(M:M,C:C=C2895))"),380.0)</f>
        <v>380</v>
      </c>
      <c r="S2895" s="161" t="b">
        <f t="shared" si="5"/>
        <v>0</v>
      </c>
      <c r="T2895" s="161" t="b">
        <f t="array" ref="T2895">index('Query Tool'!B:B,match(H2895,'Query Tool'!C:C,0))</f>
        <v>1</v>
      </c>
      <c r="U2895" s="161" t="b">
        <f t="array" ref="U2895">index('Query Tool'!B:B,match(C2895,'Query Tool'!C:C,0))</f>
        <v>0</v>
      </c>
      <c r="V2895" s="161" t="b">
        <f>F2895&gt;='Query Tool'!C$32</f>
        <v>0</v>
      </c>
      <c r="W2895" s="161" t="b">
        <f t="array" ref="W2895">index(Dropdowns!B:B,match(I2895,Dropdowns!A:A,0))</f>
        <v>1</v>
      </c>
      <c r="X2895" s="161" t="b">
        <f t="array" ref="X2895">index('Query Tool'!B:B,match(D2895,'Query Tool'!C:C,0))</f>
        <v>1</v>
      </c>
      <c r="Y2895" s="161" t="str">
        <f t="shared" si="6"/>
        <v>robinde01,2018-19</v>
      </c>
      <c r="Z2895" s="168" t="str">
        <f t="array" ref="Z2895">iferror(index(I:I,match($A2895&amp;","&amp;index('Year Conversion'!$A:$A,match($C2895,'Year Conversion'!$B:$B,0)),$Y:$Y,0))-I2895,"")</f>
        <v/>
      </c>
      <c r="AA2895" s="168" t="str">
        <f t="array" ref="AA2895">iferror(index(J:J,match($A2895&amp;","&amp;index('Year Conversion'!$A:$A,match($C2895,'Year Conversion'!$B:$B,0)),$Y:$Y,0))-J2895,"")</f>
        <v/>
      </c>
      <c r="AB2895" s="168" t="str">
        <f t="array" ref="AB2895">iferror(index(K:K,match($A2895&amp;","&amp;index('Year Conversion'!$A:$A,match($C2895,'Year Conversion'!$B:$B,0)),$Y:$Y,0))-K2895,"")</f>
        <v/>
      </c>
      <c r="AC2895" s="168" t="str">
        <f t="shared" si="7"/>
        <v>WAS,2018-19</v>
      </c>
    </row>
    <row r="2896">
      <c r="A2896" s="161" t="str">
        <f>IFERROR(__xludf.DUMMYFUNCTION("""COMPUTED_VALUE"""),"dotsoda01")</f>
        <v>dotsoda01</v>
      </c>
      <c r="B2896" s="161" t="str">
        <f>IFERROR(__xludf.DUMMYFUNCTION("""COMPUTED_VALUE"""),"Damyean Dotson")</f>
        <v>Damyean Dotson</v>
      </c>
      <c r="C2896" s="162" t="str">
        <f>IFERROR(__xludf.DUMMYFUNCTION("""COMPUTED_VALUE"""),"2018-19")</f>
        <v>2018-19</v>
      </c>
      <c r="D2896" s="163" t="str">
        <f>IFERROR(__xludf.DUMMYFUNCTION("""COMPUTED_VALUE"""),"NYK")</f>
        <v>NYK</v>
      </c>
      <c r="E2896" s="164" t="str">
        <f>IFERROR(__xludf.DUMMYFUNCTION("""COMPUTED_VALUE"""),"Movement Shooter")</f>
        <v>Movement Shooter</v>
      </c>
      <c r="F2896" s="164">
        <f>IFERROR(__xludf.DUMMYFUNCTION("""COMPUTED_VALUE"""),2003.805)</f>
        <v>2003.805</v>
      </c>
      <c r="G2896" s="163">
        <f>IFERROR(__xludf.DUMMYFUNCTION("""COMPUTED_VALUE"""),73.0)</f>
        <v>73</v>
      </c>
      <c r="H2896" s="163" t="str">
        <f>IFERROR(__xludf.DUMMYFUNCTION("""COMPUTED_VALUE"""),"SG")</f>
        <v>SG</v>
      </c>
      <c r="I2896" s="163">
        <f>IFERROR(__xludf.DUMMYFUNCTION("""COMPUTED_VALUE"""),24.0)</f>
        <v>24</v>
      </c>
      <c r="J2896" s="165">
        <f>IFERROR(__xludf.DUMMYFUNCTION("""COMPUTED_VALUE"""),-2.46453211480333)</f>
        <v>-2.464532115</v>
      </c>
      <c r="K2896" s="165">
        <f>IFERROR(__xludf.DUMMYFUNCTION("""COMPUTED_VALUE"""),-1.30867282119724)</f>
        <v>-1.308672821</v>
      </c>
      <c r="L2896" s="165">
        <f>IFERROR(__xludf.DUMMYFUNCTION("""COMPUTED_VALUE"""),-1.15585929360609)</f>
        <v>-1.155859294</v>
      </c>
      <c r="M2896" s="166">
        <f t="shared" si="2"/>
        <v>-0.2124355746</v>
      </c>
      <c r="N2896" s="167">
        <f t="shared" si="3"/>
        <v>27.44938356</v>
      </c>
      <c r="O2896" s="163">
        <f t="shared" ref="O2896:Q2896" si="2900">rank(I2896,I:I)</f>
        <v>2361</v>
      </c>
      <c r="P2896" s="163">
        <f t="shared" si="2900"/>
        <v>3744</v>
      </c>
      <c r="Q2896" s="163">
        <f t="shared" si="2900"/>
        <v>3157</v>
      </c>
      <c r="R2896" s="163">
        <f>IFERROR(__xludf.DUMMYFUNCTION("RANK(M2896,filter(M:M,C:C=C2896))"),505.0)</f>
        <v>505</v>
      </c>
      <c r="S2896" s="161" t="b">
        <f t="shared" si="5"/>
        <v>0</v>
      </c>
      <c r="T2896" s="161" t="b">
        <f t="array" ref="T2896">index('Query Tool'!B:B,match(H2896,'Query Tool'!C:C,0))</f>
        <v>1</v>
      </c>
      <c r="U2896" s="161" t="b">
        <f t="array" ref="U2896">index('Query Tool'!B:B,match(C2896,'Query Tool'!C:C,0))</f>
        <v>0</v>
      </c>
      <c r="V2896" s="161" t="b">
        <f>F2896&gt;='Query Tool'!C$32</f>
        <v>1</v>
      </c>
      <c r="W2896" s="161" t="b">
        <f t="array" ref="W2896">index(Dropdowns!B:B,match(I2896,Dropdowns!A:A,0))</f>
        <v>1</v>
      </c>
      <c r="X2896" s="161" t="b">
        <f t="array" ref="X2896">index('Query Tool'!B:B,match(D2896,'Query Tool'!C:C,0))</f>
        <v>1</v>
      </c>
      <c r="Y2896" s="161" t="str">
        <f t="shared" si="6"/>
        <v>dotsoda01,2018-19</v>
      </c>
      <c r="Z2896" s="168">
        <f t="array" ref="Z2896">iferror(index(I:I,match($A2896&amp;","&amp;index('Year Conversion'!$A:$A,match($C2896,'Year Conversion'!$B:$B,0)),$Y:$Y,0))-I2896,"")</f>
        <v>1</v>
      </c>
      <c r="AA2896" s="168">
        <f t="array" ref="AA2896">iferror(index(J:J,match($A2896&amp;","&amp;index('Year Conversion'!$A:$A,match($C2896,'Year Conversion'!$B:$B,0)),$Y:$Y,0))-J2896,"")</f>
        <v>0.3558359472</v>
      </c>
      <c r="AB2896" s="168">
        <f t="array" ref="AB2896">iferror(index(K:K,match($A2896&amp;","&amp;index('Year Conversion'!$A:$A,match($C2896,'Year Conversion'!$B:$B,0)),$Y:$Y,0))-K2896,"")</f>
        <v>0.3258972942</v>
      </c>
      <c r="AC2896" s="168" t="str">
        <f t="shared" si="7"/>
        <v>NYK,2018-19</v>
      </c>
    </row>
    <row r="2897">
      <c r="A2897" s="161" t="str">
        <f>IFERROR(__xludf.DUMMYFUNCTION("""COMPUTED_VALUE"""),"simmoko01")</f>
        <v>simmoko01</v>
      </c>
      <c r="B2897" s="161" t="str">
        <f>IFERROR(__xludf.DUMMYFUNCTION("""COMPUTED_VALUE"""),"Kobi Simmons")</f>
        <v>Kobi Simmons</v>
      </c>
      <c r="C2897" s="162" t="str">
        <f>IFERROR(__xludf.DUMMYFUNCTION("""COMPUTED_VALUE"""),"2018-19")</f>
        <v>2018-19</v>
      </c>
      <c r="D2897" s="163" t="str">
        <f>IFERROR(__xludf.DUMMYFUNCTION("""COMPUTED_VALUE"""),"CLE")</f>
        <v>CLE</v>
      </c>
      <c r="E2897" s="164" t="str">
        <f>IFERROR(__xludf.DUMMYFUNCTION("""COMPUTED_VALUE"""),"Secondary Ball Handler")</f>
        <v>Secondary Ball Handler</v>
      </c>
      <c r="F2897" s="164">
        <f>IFERROR(__xludf.DUMMYFUNCTION("""COMPUTED_VALUE"""),1.8)</f>
        <v>1.8</v>
      </c>
      <c r="G2897" s="163">
        <f>IFERROR(__xludf.DUMMYFUNCTION("""COMPUTED_VALUE"""),1.0)</f>
        <v>1</v>
      </c>
      <c r="H2897" s="163" t="str">
        <f>IFERROR(__xludf.DUMMYFUNCTION("""COMPUTED_VALUE"""),"PG")</f>
        <v>PG</v>
      </c>
      <c r="I2897" s="163">
        <f>IFERROR(__xludf.DUMMYFUNCTION("""COMPUTED_VALUE"""),21.0)</f>
        <v>21</v>
      </c>
      <c r="J2897" s="165">
        <f>IFERROR(__xludf.DUMMYFUNCTION("""COMPUTED_VALUE"""),0.336522457779889)</f>
        <v>0.3365224578</v>
      </c>
      <c r="K2897" s="165">
        <f>IFERROR(__xludf.DUMMYFUNCTION("""COMPUTED_VALUE"""),-0.0943189246019405)</f>
        <v>-0.0943189246</v>
      </c>
      <c r="L2897" s="165">
        <f>IFERROR(__xludf.DUMMYFUNCTION("""COMPUTED_VALUE"""),0.43084138238183)</f>
        <v>0.4308413824</v>
      </c>
      <c r="M2897" s="166">
        <f t="shared" si="2"/>
        <v>0.003183319789</v>
      </c>
      <c r="N2897" s="167">
        <f t="shared" si="3"/>
        <v>1.8</v>
      </c>
      <c r="O2897" s="163">
        <f t="shared" ref="O2897:Q2897" si="2901">rank(I2897,I:I)</f>
        <v>3528</v>
      </c>
      <c r="P2897" s="163">
        <f t="shared" si="2901"/>
        <v>993</v>
      </c>
      <c r="Q2897" s="163">
        <f t="shared" si="2901"/>
        <v>1353</v>
      </c>
      <c r="R2897" s="163">
        <f>IFERROR(__xludf.DUMMYFUNCTION("RANK(M2897,filter(M:M,C:C=C2897))"),472.0)</f>
        <v>472</v>
      </c>
      <c r="S2897" s="161" t="b">
        <f t="shared" si="5"/>
        <v>0</v>
      </c>
      <c r="T2897" s="161" t="b">
        <f t="array" ref="T2897">index('Query Tool'!B:B,match(H2897,'Query Tool'!C:C,0))</f>
        <v>1</v>
      </c>
      <c r="U2897" s="161" t="b">
        <f t="array" ref="U2897">index('Query Tool'!B:B,match(C2897,'Query Tool'!C:C,0))</f>
        <v>0</v>
      </c>
      <c r="V2897" s="161" t="b">
        <f>F2897&gt;='Query Tool'!C$32</f>
        <v>0</v>
      </c>
      <c r="W2897" s="161" t="b">
        <f t="array" ref="W2897">index(Dropdowns!B:B,match(I2897,Dropdowns!A:A,0))</f>
        <v>1</v>
      </c>
      <c r="X2897" s="161" t="b">
        <f t="array" ref="X2897">index('Query Tool'!B:B,match(D2897,'Query Tool'!C:C,0))</f>
        <v>1</v>
      </c>
      <c r="Y2897" s="161" t="str">
        <f t="shared" si="6"/>
        <v>simmoko01,2018-19</v>
      </c>
      <c r="Z2897" s="168" t="str">
        <f t="array" ref="Z2897">iferror(index(I:I,match($A2897&amp;","&amp;index('Year Conversion'!$A:$A,match($C2897,'Year Conversion'!$B:$B,0)),$Y:$Y,0))-I2897,"")</f>
        <v/>
      </c>
      <c r="AA2897" s="168" t="str">
        <f t="array" ref="AA2897">iferror(index(J:J,match($A2897&amp;","&amp;index('Year Conversion'!$A:$A,match($C2897,'Year Conversion'!$B:$B,0)),$Y:$Y,0))-J2897,"")</f>
        <v/>
      </c>
      <c r="AB2897" s="168" t="str">
        <f t="array" ref="AB2897">iferror(index(K:K,match($A2897&amp;","&amp;index('Year Conversion'!$A:$A,match($C2897,'Year Conversion'!$B:$B,0)),$Y:$Y,0))-K2897,"")</f>
        <v/>
      </c>
      <c r="AC2897" s="168" t="str">
        <f t="shared" si="7"/>
        <v>CLE,2018-19</v>
      </c>
    </row>
    <row r="2898">
      <c r="A2898" s="161" t="str">
        <f>IFERROR(__xludf.DUMMYFUNCTION("""COMPUTED_VALUE"""),"brownst02")</f>
        <v>brownst02</v>
      </c>
      <c r="B2898" s="161" t="str">
        <f>IFERROR(__xludf.DUMMYFUNCTION("""COMPUTED_VALUE"""),"Sterling Brown")</f>
        <v>Sterling Brown</v>
      </c>
      <c r="C2898" s="162" t="str">
        <f>IFERROR(__xludf.DUMMYFUNCTION("""COMPUTED_VALUE"""),"2018-19")</f>
        <v>2018-19</v>
      </c>
      <c r="D2898" s="163" t="str">
        <f>IFERROR(__xludf.DUMMYFUNCTION("""COMPUTED_VALUE"""),"MIL")</f>
        <v>MIL</v>
      </c>
      <c r="E2898" s="164" t="str">
        <f>IFERROR(__xludf.DUMMYFUNCTION("""COMPUTED_VALUE"""),"Stationary Shooter")</f>
        <v>Stationary Shooter</v>
      </c>
      <c r="F2898" s="164">
        <f>IFERROR(__xludf.DUMMYFUNCTION("""COMPUTED_VALUE"""),1034.36333333333)</f>
        <v>1034.363333</v>
      </c>
      <c r="G2898" s="163">
        <f>IFERROR(__xludf.DUMMYFUNCTION("""COMPUTED_VALUE"""),58.0)</f>
        <v>58</v>
      </c>
      <c r="H2898" s="163" t="str">
        <f>IFERROR(__xludf.DUMMYFUNCTION("""COMPUTED_VALUE"""),"SG")</f>
        <v>SG</v>
      </c>
      <c r="I2898" s="163">
        <f>IFERROR(__xludf.DUMMYFUNCTION("""COMPUTED_VALUE"""),23.0)</f>
        <v>23</v>
      </c>
      <c r="J2898" s="165">
        <f>IFERROR(__xludf.DUMMYFUNCTION("""COMPUTED_VALUE"""),-2.73061923530423)</f>
        <v>-2.730619235</v>
      </c>
      <c r="K2898" s="165">
        <f>IFERROR(__xludf.DUMMYFUNCTION("""COMPUTED_VALUE"""),-2.12061436634288)</f>
        <v>-2.120614366</v>
      </c>
      <c r="L2898" s="165">
        <f>IFERROR(__xludf.DUMMYFUNCTION("""COMPUTED_VALUE"""),-0.61000486896135)</f>
        <v>-0.610004869</v>
      </c>
      <c r="M2898" s="166">
        <f t="shared" si="2"/>
        <v>-0.2900910163</v>
      </c>
      <c r="N2898" s="167">
        <f t="shared" si="3"/>
        <v>17.83385057</v>
      </c>
      <c r="O2898" s="163">
        <f t="shared" ref="O2898:Q2898" si="2902">rank(I2898,I:I)</f>
        <v>2765</v>
      </c>
      <c r="P2898" s="163">
        <f t="shared" si="2902"/>
        <v>3822</v>
      </c>
      <c r="Q2898" s="163">
        <f t="shared" si="2902"/>
        <v>3773</v>
      </c>
      <c r="R2898" s="163">
        <f>IFERROR(__xludf.DUMMYFUNCTION("RANK(M2898,filter(M:M,C:C=C2898))"),509.0)</f>
        <v>509</v>
      </c>
      <c r="S2898" s="161" t="b">
        <f t="shared" si="5"/>
        <v>0</v>
      </c>
      <c r="T2898" s="161" t="b">
        <f t="array" ref="T2898">index('Query Tool'!B:B,match(H2898,'Query Tool'!C:C,0))</f>
        <v>1</v>
      </c>
      <c r="U2898" s="161" t="b">
        <f t="array" ref="U2898">index('Query Tool'!B:B,match(C2898,'Query Tool'!C:C,0))</f>
        <v>0</v>
      </c>
      <c r="V2898" s="161" t="b">
        <f>F2898&gt;='Query Tool'!C$32</f>
        <v>1</v>
      </c>
      <c r="W2898" s="161" t="b">
        <f t="array" ref="W2898">index(Dropdowns!B:B,match(I2898,Dropdowns!A:A,0))</f>
        <v>1</v>
      </c>
      <c r="X2898" s="161" t="b">
        <f t="array" ref="X2898">index('Query Tool'!B:B,match(D2898,'Query Tool'!C:C,0))</f>
        <v>1</v>
      </c>
      <c r="Y2898" s="161" t="str">
        <f t="shared" si="6"/>
        <v>brownst02,2018-19</v>
      </c>
      <c r="Z2898" s="168">
        <f t="array" ref="Z2898">iferror(index(I:I,match($A2898&amp;","&amp;index('Year Conversion'!$A:$A,match($C2898,'Year Conversion'!$B:$B,0)),$Y:$Y,0))-I2898,"")</f>
        <v>1</v>
      </c>
      <c r="AA2898" s="168">
        <f t="array" ref="AA2898">iferror(index(J:J,match($A2898&amp;","&amp;index('Year Conversion'!$A:$A,match($C2898,'Year Conversion'!$B:$B,0)),$Y:$Y,0))-J2898,"")</f>
        <v>1.298976427</v>
      </c>
      <c r="AB2898" s="168">
        <f t="array" ref="AB2898">iferror(index(K:K,match($A2898&amp;","&amp;index('Year Conversion'!$A:$A,match($C2898,'Year Conversion'!$B:$B,0)),$Y:$Y,0))-K2898,"")</f>
        <v>0.1318195447</v>
      </c>
      <c r="AC2898" s="168" t="str">
        <f t="shared" si="7"/>
        <v>MIL,2018-19</v>
      </c>
    </row>
    <row r="2899">
      <c r="A2899" s="161" t="str">
        <f>IFERROR(__xludf.DUMMYFUNCTION("""COMPUTED_VALUE"""),"reedda01")</f>
        <v>reedda01</v>
      </c>
      <c r="B2899" s="161" t="str">
        <f>IFERROR(__xludf.DUMMYFUNCTION("""COMPUTED_VALUE"""),"Davon Reed")</f>
        <v>Davon Reed</v>
      </c>
      <c r="C2899" s="162" t="str">
        <f>IFERROR(__xludf.DUMMYFUNCTION("""COMPUTED_VALUE"""),"2018-19")</f>
        <v>2018-19</v>
      </c>
      <c r="D2899" s="163" t="str">
        <f>IFERROR(__xludf.DUMMYFUNCTION("""COMPUTED_VALUE"""),"IND")</f>
        <v>IND</v>
      </c>
      <c r="E2899" s="164" t="str">
        <f>IFERROR(__xludf.DUMMYFUNCTION("""COMPUTED_VALUE"""),"Athletic Finisher")</f>
        <v>Athletic Finisher</v>
      </c>
      <c r="F2899" s="164">
        <f>IFERROR(__xludf.DUMMYFUNCTION("""COMPUTED_VALUE"""),46.9166666666667)</f>
        <v>46.91666667</v>
      </c>
      <c r="G2899" s="163">
        <f>IFERROR(__xludf.DUMMYFUNCTION("""COMPUTED_VALUE"""),10.0)</f>
        <v>10</v>
      </c>
      <c r="H2899" s="163" t="str">
        <f>IFERROR(__xludf.DUMMYFUNCTION("""COMPUTED_VALUE"""),"SG")</f>
        <v>SG</v>
      </c>
      <c r="I2899" s="163">
        <f>IFERROR(__xludf.DUMMYFUNCTION("""COMPUTED_VALUE"""),23.0)</f>
        <v>23</v>
      </c>
      <c r="J2899" s="165">
        <f>IFERROR(__xludf.DUMMYFUNCTION("""COMPUTED_VALUE"""),-0.865140601867598)</f>
        <v>-0.8651406019</v>
      </c>
      <c r="K2899" s="165">
        <f>IFERROR(__xludf.DUMMYFUNCTION("""COMPUTED_VALUE"""),-0.398339186451127)</f>
        <v>-0.3983391865</v>
      </c>
      <c r="L2899" s="165">
        <f>IFERROR(__xludf.DUMMYFUNCTION("""COMPUTED_VALUE"""),-0.466801415416471)</f>
        <v>-0.4668014154</v>
      </c>
      <c r="M2899" s="166">
        <f t="shared" si="2"/>
        <v>0.04499324227</v>
      </c>
      <c r="N2899" s="167">
        <f t="shared" si="3"/>
        <v>4.691666667</v>
      </c>
      <c r="O2899" s="163">
        <f t="shared" ref="O2899:Q2899" si="2903">rank(I2899,I:I)</f>
        <v>2765</v>
      </c>
      <c r="P2899" s="163">
        <f t="shared" si="2903"/>
        <v>2357</v>
      </c>
      <c r="Q2899" s="163">
        <f t="shared" si="2903"/>
        <v>1940</v>
      </c>
      <c r="R2899" s="163">
        <f>IFERROR(__xludf.DUMMYFUNCTION("RANK(M2899,filter(M:M,C:C=C2899))"),427.0)</f>
        <v>427</v>
      </c>
      <c r="S2899" s="161" t="b">
        <f t="shared" si="5"/>
        <v>0</v>
      </c>
      <c r="T2899" s="161" t="b">
        <f t="array" ref="T2899">index('Query Tool'!B:B,match(H2899,'Query Tool'!C:C,0))</f>
        <v>1</v>
      </c>
      <c r="U2899" s="161" t="b">
        <f t="array" ref="U2899">index('Query Tool'!B:B,match(C2899,'Query Tool'!C:C,0))</f>
        <v>0</v>
      </c>
      <c r="V2899" s="161" t="b">
        <f>F2899&gt;='Query Tool'!C$32</f>
        <v>0</v>
      </c>
      <c r="W2899" s="161" t="b">
        <f t="array" ref="W2899">index(Dropdowns!B:B,match(I2899,Dropdowns!A:A,0))</f>
        <v>1</v>
      </c>
      <c r="X2899" s="161" t="b">
        <f t="array" ref="X2899">index('Query Tool'!B:B,match(D2899,'Query Tool'!C:C,0))</f>
        <v>1</v>
      </c>
      <c r="Y2899" s="161" t="str">
        <f t="shared" si="6"/>
        <v>reedda01,2018-19</v>
      </c>
      <c r="Z2899" s="168" t="str">
        <f t="array" ref="Z2899">iferror(index(I:I,match($A2899&amp;","&amp;index('Year Conversion'!$A:$A,match($C2899,'Year Conversion'!$B:$B,0)),$Y:$Y,0))-I2899,"")</f>
        <v/>
      </c>
      <c r="AA2899" s="168" t="str">
        <f t="array" ref="AA2899">iferror(index(J:J,match($A2899&amp;","&amp;index('Year Conversion'!$A:$A,match($C2899,'Year Conversion'!$B:$B,0)),$Y:$Y,0))-J2899,"")</f>
        <v/>
      </c>
      <c r="AB2899" s="168" t="str">
        <f t="array" ref="AB2899">iferror(index(K:K,match($A2899&amp;","&amp;index('Year Conversion'!$A:$A,match($C2899,'Year Conversion'!$B:$B,0)),$Y:$Y,0))-K2899,"")</f>
        <v/>
      </c>
      <c r="AC2899" s="168" t="str">
        <f t="shared" si="7"/>
        <v>IND,2018-19</v>
      </c>
    </row>
    <row r="2900">
      <c r="A2900" s="161" t="str">
        <f>IFERROR(__xludf.DUMMYFUNCTION("""COMPUTED_VALUE"""),"kornelu01")</f>
        <v>kornelu01</v>
      </c>
      <c r="B2900" s="161" t="str">
        <f>IFERROR(__xludf.DUMMYFUNCTION("""COMPUTED_VALUE"""),"Luke Kornet")</f>
        <v>Luke Kornet</v>
      </c>
      <c r="C2900" s="162" t="str">
        <f>IFERROR(__xludf.DUMMYFUNCTION("""COMPUTED_VALUE"""),"2018-19")</f>
        <v>2018-19</v>
      </c>
      <c r="D2900" s="163" t="str">
        <f>IFERROR(__xludf.DUMMYFUNCTION("""COMPUTED_VALUE"""),"NYK")</f>
        <v>NYK</v>
      </c>
      <c r="E2900" s="164" t="str">
        <f>IFERROR(__xludf.DUMMYFUNCTION("""COMPUTED_VALUE"""),"Stretch Big")</f>
        <v>Stretch Big</v>
      </c>
      <c r="F2900" s="164">
        <f>IFERROR(__xludf.DUMMYFUNCTION("""COMPUTED_VALUE"""),784.003333333333)</f>
        <v>784.0033333</v>
      </c>
      <c r="G2900" s="163">
        <f>IFERROR(__xludf.DUMMYFUNCTION("""COMPUTED_VALUE"""),46.0)</f>
        <v>46</v>
      </c>
      <c r="H2900" s="163" t="str">
        <f>IFERROR(__xludf.DUMMYFUNCTION("""COMPUTED_VALUE"""),"PF")</f>
        <v>PF</v>
      </c>
      <c r="I2900" s="163">
        <f>IFERROR(__xludf.DUMMYFUNCTION("""COMPUTED_VALUE"""),23.0)</f>
        <v>23</v>
      </c>
      <c r="J2900" s="165">
        <f>IFERROR(__xludf.DUMMYFUNCTION("""COMPUTED_VALUE"""),0.899433004182478)</f>
        <v>0.8994330042</v>
      </c>
      <c r="K2900" s="165">
        <f>IFERROR(__xludf.DUMMYFUNCTION("""COMPUTED_VALUE"""),-0.418584074295912)</f>
        <v>-0.4185840743</v>
      </c>
      <c r="L2900" s="165">
        <f>IFERROR(__xludf.DUMMYFUNCTION("""COMPUTED_VALUE"""),1.31801707847839)</f>
        <v>1.318017078</v>
      </c>
      <c r="M2900" s="166">
        <f t="shared" si="2"/>
        <v>1.68354891</v>
      </c>
      <c r="N2900" s="167">
        <f t="shared" si="3"/>
        <v>17.04355072</v>
      </c>
      <c r="O2900" s="163">
        <f t="shared" ref="O2900:Q2900" si="2904">rank(I2900,I:I)</f>
        <v>2765</v>
      </c>
      <c r="P2900" s="163">
        <f t="shared" si="2904"/>
        <v>694</v>
      </c>
      <c r="Q2900" s="163">
        <f t="shared" si="2904"/>
        <v>1980</v>
      </c>
      <c r="R2900" s="163">
        <f>IFERROR(__xludf.DUMMYFUNCTION("RANK(M2900,filter(M:M,C:C=C2900))"),176.0)</f>
        <v>176</v>
      </c>
      <c r="S2900" s="161" t="b">
        <f t="shared" si="5"/>
        <v>0</v>
      </c>
      <c r="T2900" s="161" t="b">
        <f t="array" ref="T2900">index('Query Tool'!B:B,match(H2900,'Query Tool'!C:C,0))</f>
        <v>1</v>
      </c>
      <c r="U2900" s="161" t="b">
        <f t="array" ref="U2900">index('Query Tool'!B:B,match(C2900,'Query Tool'!C:C,0))</f>
        <v>0</v>
      </c>
      <c r="V2900" s="161" t="b">
        <f>F2900&gt;='Query Tool'!C$32</f>
        <v>1</v>
      </c>
      <c r="W2900" s="161" t="b">
        <f t="array" ref="W2900">index(Dropdowns!B:B,match(I2900,Dropdowns!A:A,0))</f>
        <v>1</v>
      </c>
      <c r="X2900" s="161" t="b">
        <f t="array" ref="X2900">index('Query Tool'!B:B,match(D2900,'Query Tool'!C:C,0))</f>
        <v>1</v>
      </c>
      <c r="Y2900" s="161" t="str">
        <f t="shared" si="6"/>
        <v>kornelu01,2018-19</v>
      </c>
      <c r="Z2900" s="168">
        <f t="array" ref="Z2900">iferror(index(I:I,match($A2900&amp;","&amp;index('Year Conversion'!$A:$A,match($C2900,'Year Conversion'!$B:$B,0)),$Y:$Y,0))-I2900,"")</f>
        <v>1</v>
      </c>
      <c r="AA2900" s="168">
        <f t="array" ref="AA2900">iferror(index(J:J,match($A2900&amp;","&amp;index('Year Conversion'!$A:$A,match($C2900,'Year Conversion'!$B:$B,0)),$Y:$Y,0))-J2900,"")</f>
        <v>-1.084644418</v>
      </c>
      <c r="AB2900" s="168">
        <f t="array" ref="AB2900">iferror(index(K:K,match($A2900&amp;","&amp;index('Year Conversion'!$A:$A,match($C2900,'Year Conversion'!$B:$B,0)),$Y:$Y,0))-K2900,"")</f>
        <v>0.1616681985</v>
      </c>
      <c r="AC2900" s="168" t="str">
        <f t="shared" si="7"/>
        <v>NYK,2018-19</v>
      </c>
    </row>
    <row r="2901">
      <c r="A2901" s="161" t="str">
        <f>IFERROR(__xludf.DUMMYFUNCTION("""COMPUTED_VALUE"""),"hicksis01")</f>
        <v>hicksis01</v>
      </c>
      <c r="B2901" s="161" t="str">
        <f>IFERROR(__xludf.DUMMYFUNCTION("""COMPUTED_VALUE"""),"Isaiah Hicks")</f>
        <v>Isaiah Hicks</v>
      </c>
      <c r="C2901" s="162" t="str">
        <f>IFERROR(__xludf.DUMMYFUNCTION("""COMPUTED_VALUE"""),"2018-19")</f>
        <v>2018-19</v>
      </c>
      <c r="D2901" s="163" t="str">
        <f>IFERROR(__xludf.DUMMYFUNCTION("""COMPUTED_VALUE"""),"NYK")</f>
        <v>NYK</v>
      </c>
      <c r="E2901" s="164" t="str">
        <f>IFERROR(__xludf.DUMMYFUNCTION("""COMPUTED_VALUE"""),"Roll + Cut Big")</f>
        <v>Roll + Cut Big</v>
      </c>
      <c r="F2901" s="164">
        <f>IFERROR(__xludf.DUMMYFUNCTION("""COMPUTED_VALUE"""),32.3333333333333)</f>
        <v>32.33333333</v>
      </c>
      <c r="G2901" s="163">
        <f>IFERROR(__xludf.DUMMYFUNCTION("""COMPUTED_VALUE"""),3.0)</f>
        <v>3</v>
      </c>
      <c r="H2901" s="163" t="str">
        <f>IFERROR(__xludf.DUMMYFUNCTION("""COMPUTED_VALUE"""),"PF")</f>
        <v>PF</v>
      </c>
      <c r="I2901" s="163">
        <f>IFERROR(__xludf.DUMMYFUNCTION("""COMPUTED_VALUE"""),24.0)</f>
        <v>24</v>
      </c>
      <c r="J2901" s="165">
        <f>IFERROR(__xludf.DUMMYFUNCTION("""COMPUTED_VALUE"""),0.16774104926829)</f>
        <v>0.1677410493</v>
      </c>
      <c r="K2901" s="165">
        <f>IFERROR(__xludf.DUMMYFUNCTION("""COMPUTED_VALUE"""),-0.167470989382739)</f>
        <v>-0.1674709894</v>
      </c>
      <c r="L2901" s="165">
        <f>IFERROR(__xludf.DUMMYFUNCTION("""COMPUTED_VALUE"""),0.335212038651029)</f>
        <v>0.3352120387</v>
      </c>
      <c r="M2901" s="166">
        <f t="shared" si="2"/>
        <v>0.05350363356</v>
      </c>
      <c r="N2901" s="167">
        <f t="shared" si="3"/>
        <v>10.77777778</v>
      </c>
      <c r="O2901" s="163">
        <f t="shared" ref="O2901:Q2901" si="2905">rank(I2901,I:I)</f>
        <v>2361</v>
      </c>
      <c r="P2901" s="163">
        <f t="shared" si="2905"/>
        <v>1111</v>
      </c>
      <c r="Q2901" s="163">
        <f t="shared" si="2905"/>
        <v>1508</v>
      </c>
      <c r="R2901" s="163">
        <f>IFERROR(__xludf.DUMMYFUNCTION("RANK(M2901,filter(M:M,C:C=C2901))"),416.0)</f>
        <v>416</v>
      </c>
      <c r="S2901" s="161" t="b">
        <f t="shared" si="5"/>
        <v>0</v>
      </c>
      <c r="T2901" s="161" t="b">
        <f t="array" ref="T2901">index('Query Tool'!B:B,match(H2901,'Query Tool'!C:C,0))</f>
        <v>1</v>
      </c>
      <c r="U2901" s="161" t="b">
        <f t="array" ref="U2901">index('Query Tool'!B:B,match(C2901,'Query Tool'!C:C,0))</f>
        <v>0</v>
      </c>
      <c r="V2901" s="161" t="b">
        <f>F2901&gt;='Query Tool'!C$32</f>
        <v>0</v>
      </c>
      <c r="W2901" s="161" t="b">
        <f t="array" ref="W2901">index(Dropdowns!B:B,match(I2901,Dropdowns!A:A,0))</f>
        <v>1</v>
      </c>
      <c r="X2901" s="161" t="b">
        <f t="array" ref="X2901">index('Query Tool'!B:B,match(D2901,'Query Tool'!C:C,0))</f>
        <v>1</v>
      </c>
      <c r="Y2901" s="161" t="str">
        <f t="shared" si="6"/>
        <v>hicksis01,2018-19</v>
      </c>
      <c r="Z2901" s="168" t="str">
        <f t="array" ref="Z2901">iferror(index(I:I,match($A2901&amp;","&amp;index('Year Conversion'!$A:$A,match($C2901,'Year Conversion'!$B:$B,0)),$Y:$Y,0))-I2901,"")</f>
        <v/>
      </c>
      <c r="AA2901" s="168" t="str">
        <f t="array" ref="AA2901">iferror(index(J:J,match($A2901&amp;","&amp;index('Year Conversion'!$A:$A,match($C2901,'Year Conversion'!$B:$B,0)),$Y:$Y,0))-J2901,"")</f>
        <v/>
      </c>
      <c r="AB2901" s="168" t="str">
        <f t="array" ref="AB2901">iferror(index(K:K,match($A2901&amp;","&amp;index('Year Conversion'!$A:$A,match($C2901,'Year Conversion'!$B:$B,0)),$Y:$Y,0))-K2901,"")</f>
        <v/>
      </c>
      <c r="AC2901" s="168" t="str">
        <f t="shared" si="7"/>
        <v>NYK,2018-19</v>
      </c>
    </row>
    <row r="2902">
      <c r="A2902" s="161" t="str">
        <f>IFERROR(__xludf.DUMMYFUNCTION("""COMPUTED_VALUE"""),"allenka01")</f>
        <v>allenka01</v>
      </c>
      <c r="B2902" s="161" t="str">
        <f>IFERROR(__xludf.DUMMYFUNCTION("""COMPUTED_VALUE"""),"Kadeem Allen")</f>
        <v>Kadeem Allen</v>
      </c>
      <c r="C2902" s="162" t="str">
        <f>IFERROR(__xludf.DUMMYFUNCTION("""COMPUTED_VALUE"""),"2018-19")</f>
        <v>2018-19</v>
      </c>
      <c r="D2902" s="163" t="str">
        <f>IFERROR(__xludf.DUMMYFUNCTION("""COMPUTED_VALUE"""),"NYK")</f>
        <v>NYK</v>
      </c>
      <c r="E2902" s="164" t="str">
        <f>IFERROR(__xludf.DUMMYFUNCTION("""COMPUTED_VALUE"""),"Slasher")</f>
        <v>Slasher</v>
      </c>
      <c r="F2902" s="164">
        <f>IFERROR(__xludf.DUMMYFUNCTION("""COMPUTED_VALUE"""),415.548333333333)</f>
        <v>415.5483333</v>
      </c>
      <c r="G2902" s="163">
        <f>IFERROR(__xludf.DUMMYFUNCTION("""COMPUTED_VALUE"""),19.0)</f>
        <v>19</v>
      </c>
      <c r="H2902" s="163" t="str">
        <f>IFERROR(__xludf.DUMMYFUNCTION("""COMPUTED_VALUE"""),"PG")</f>
        <v>PG</v>
      </c>
      <c r="I2902" s="163">
        <f>IFERROR(__xludf.DUMMYFUNCTION("""COMPUTED_VALUE"""),26.0)</f>
        <v>26</v>
      </c>
      <c r="J2902" s="165">
        <f>IFERROR(__xludf.DUMMYFUNCTION("""COMPUTED_VALUE"""),-0.513131509621419)</f>
        <v>-0.5131315096</v>
      </c>
      <c r="K2902" s="165">
        <f>IFERROR(__xludf.DUMMYFUNCTION("""COMPUTED_VALUE"""),0.0738982233177408)</f>
        <v>0.07389822332</v>
      </c>
      <c r="L2902" s="165">
        <f>IFERROR(__xludf.DUMMYFUNCTION("""COMPUTED_VALUE"""),-0.587029732939159)</f>
        <v>-0.5870297329</v>
      </c>
      <c r="M2902" s="166">
        <f t="shared" si="2"/>
        <v>0.4969314438</v>
      </c>
      <c r="N2902" s="167">
        <f t="shared" si="3"/>
        <v>21.87096491</v>
      </c>
      <c r="O2902" s="163">
        <f t="shared" ref="O2902:Q2902" si="2906">rank(I2902,I:I)</f>
        <v>1665</v>
      </c>
      <c r="P2902" s="163">
        <f t="shared" si="2906"/>
        <v>1872</v>
      </c>
      <c r="Q2902" s="163">
        <f t="shared" si="2906"/>
        <v>1098</v>
      </c>
      <c r="R2902" s="163">
        <f>IFERROR(__xludf.DUMMYFUNCTION("RANK(M2902,filter(M:M,C:C=C2902))"),286.0)</f>
        <v>286</v>
      </c>
      <c r="S2902" s="161" t="b">
        <f t="shared" si="5"/>
        <v>0</v>
      </c>
      <c r="T2902" s="161" t="b">
        <f t="array" ref="T2902">index('Query Tool'!B:B,match(H2902,'Query Tool'!C:C,0))</f>
        <v>1</v>
      </c>
      <c r="U2902" s="161" t="b">
        <f t="array" ref="U2902">index('Query Tool'!B:B,match(C2902,'Query Tool'!C:C,0))</f>
        <v>0</v>
      </c>
      <c r="V2902" s="161" t="b">
        <f>F2902&gt;='Query Tool'!C$32</f>
        <v>0</v>
      </c>
      <c r="W2902" s="161" t="b">
        <f t="array" ref="W2902">index(Dropdowns!B:B,match(I2902,Dropdowns!A:A,0))</f>
        <v>1</v>
      </c>
      <c r="X2902" s="161" t="b">
        <f t="array" ref="X2902">index('Query Tool'!B:B,match(D2902,'Query Tool'!C:C,0))</f>
        <v>1</v>
      </c>
      <c r="Y2902" s="161" t="str">
        <f t="shared" si="6"/>
        <v>allenka01,2018-19</v>
      </c>
      <c r="Z2902" s="168">
        <f t="array" ref="Z2902">iferror(index(I:I,match($A2902&amp;","&amp;index('Year Conversion'!$A:$A,match($C2902,'Year Conversion'!$B:$B,0)),$Y:$Y,0))-I2902,"")</f>
        <v>1</v>
      </c>
      <c r="AA2902" s="168">
        <f t="array" ref="AA2902">iferror(index(J:J,match($A2902&amp;","&amp;index('Year Conversion'!$A:$A,match($C2902,'Year Conversion'!$B:$B,0)),$Y:$Y,0))-J2902,"")</f>
        <v>0.7356876484</v>
      </c>
      <c r="AB2902" s="168">
        <f t="array" ref="AB2902">iferror(index(K:K,match($A2902&amp;","&amp;index('Year Conversion'!$A:$A,match($C2902,'Year Conversion'!$B:$B,0)),$Y:$Y,0))-K2902,"")</f>
        <v>0.2508662676</v>
      </c>
      <c r="AC2902" s="168" t="str">
        <f t="shared" si="7"/>
        <v>NYK,2018-19</v>
      </c>
    </row>
    <row r="2903">
      <c r="A2903" s="161" t="str">
        <f>IFERROR(__xludf.DUMMYFUNCTION("""COMPUTED_VALUE"""),"bouchch01")</f>
        <v>bouchch01</v>
      </c>
      <c r="B2903" s="161" t="str">
        <f>IFERROR(__xludf.DUMMYFUNCTION("""COMPUTED_VALUE"""),"Chris Boucher")</f>
        <v>Chris Boucher</v>
      </c>
      <c r="C2903" s="162" t="str">
        <f>IFERROR(__xludf.DUMMYFUNCTION("""COMPUTED_VALUE"""),"2018-19")</f>
        <v>2018-19</v>
      </c>
      <c r="D2903" s="163" t="str">
        <f>IFERROR(__xludf.DUMMYFUNCTION("""COMPUTED_VALUE"""),"TOR")</f>
        <v>TOR</v>
      </c>
      <c r="E2903" s="164" t="str">
        <f>IFERROR(__xludf.DUMMYFUNCTION("""COMPUTED_VALUE"""),"Stretch Big")</f>
        <v>Stretch Big</v>
      </c>
      <c r="F2903" s="164">
        <f>IFERROR(__xludf.DUMMYFUNCTION("""COMPUTED_VALUE"""),163.161666666667)</f>
        <v>163.1616667</v>
      </c>
      <c r="G2903" s="163">
        <f>IFERROR(__xludf.DUMMYFUNCTION("""COMPUTED_VALUE"""),28.0)</f>
        <v>28</v>
      </c>
      <c r="H2903" s="163" t="str">
        <f>IFERROR(__xludf.DUMMYFUNCTION("""COMPUTED_VALUE"""),"PF")</f>
        <v>PF</v>
      </c>
      <c r="I2903" s="163">
        <f>IFERROR(__xludf.DUMMYFUNCTION("""COMPUTED_VALUE"""),26.0)</f>
        <v>26</v>
      </c>
      <c r="J2903" s="165">
        <f>IFERROR(__xludf.DUMMYFUNCTION("""COMPUTED_VALUE"""),0.40046223856343)</f>
        <v>0.4004622386</v>
      </c>
      <c r="K2903" s="165">
        <f>IFERROR(__xludf.DUMMYFUNCTION("""COMPUTED_VALUE"""),0.0644798422574328)</f>
        <v>0.06447984226</v>
      </c>
      <c r="L2903" s="165">
        <f>IFERROR(__xludf.DUMMYFUNCTION("""COMPUTED_VALUE"""),0.335982396305997)</f>
        <v>0.3359823963</v>
      </c>
      <c r="M2903" s="166">
        <f t="shared" si="2"/>
        <v>0.2955827121</v>
      </c>
      <c r="N2903" s="167">
        <f t="shared" si="3"/>
        <v>5.827202381</v>
      </c>
      <c r="O2903" s="163">
        <f t="shared" ref="O2903:Q2903" si="2907">rank(I2903,I:I)</f>
        <v>1665</v>
      </c>
      <c r="P2903" s="163">
        <f t="shared" si="2907"/>
        <v>947</v>
      </c>
      <c r="Q2903" s="163">
        <f t="shared" si="2907"/>
        <v>1114</v>
      </c>
      <c r="R2903" s="163">
        <f>IFERROR(__xludf.DUMMYFUNCTION("RANK(M2903,filter(M:M,C:C=C2903))"),321.0)</f>
        <v>321</v>
      </c>
      <c r="S2903" s="161" t="b">
        <f t="shared" si="5"/>
        <v>0</v>
      </c>
      <c r="T2903" s="161" t="b">
        <f t="array" ref="T2903">index('Query Tool'!B:B,match(H2903,'Query Tool'!C:C,0))</f>
        <v>1</v>
      </c>
      <c r="U2903" s="161" t="b">
        <f t="array" ref="U2903">index('Query Tool'!B:B,match(C2903,'Query Tool'!C:C,0))</f>
        <v>0</v>
      </c>
      <c r="V2903" s="161" t="b">
        <f>F2903&gt;='Query Tool'!C$32</f>
        <v>0</v>
      </c>
      <c r="W2903" s="161" t="b">
        <f t="array" ref="W2903">index(Dropdowns!B:B,match(I2903,Dropdowns!A:A,0))</f>
        <v>1</v>
      </c>
      <c r="X2903" s="161" t="b">
        <f t="array" ref="X2903">index('Query Tool'!B:B,match(D2903,'Query Tool'!C:C,0))</f>
        <v>1</v>
      </c>
      <c r="Y2903" s="161" t="str">
        <f t="shared" si="6"/>
        <v>bouchch01,2018-19</v>
      </c>
      <c r="Z2903" s="168">
        <f t="array" ref="Z2903">iferror(index(I:I,match($A2903&amp;","&amp;index('Year Conversion'!$A:$A,match($C2903,'Year Conversion'!$B:$B,0)),$Y:$Y,0))-I2903,"")</f>
        <v>1</v>
      </c>
      <c r="AA2903" s="168">
        <f t="array" ref="AA2903">iferror(index(J:J,match($A2903&amp;","&amp;index('Year Conversion'!$A:$A,match($C2903,'Year Conversion'!$B:$B,0)),$Y:$Y,0))-J2903,"")</f>
        <v>1.396803148</v>
      </c>
      <c r="AB2903" s="168">
        <f t="array" ref="AB2903">iferror(index(K:K,match($A2903&amp;","&amp;index('Year Conversion'!$A:$A,match($C2903,'Year Conversion'!$B:$B,0)),$Y:$Y,0))-K2903,"")</f>
        <v>1.238214589</v>
      </c>
      <c r="AC2903" s="168" t="str">
        <f t="shared" si="7"/>
        <v>TOR,2018-19</v>
      </c>
    </row>
    <row r="2904">
      <c r="A2904" s="161" t="str">
        <f>IFERROR(__xludf.DUMMYFUNCTION("""COMPUTED_VALUE"""),"teodomi01")</f>
        <v>teodomi01</v>
      </c>
      <c r="B2904" s="161" t="str">
        <f>IFERROR(__xludf.DUMMYFUNCTION("""COMPUTED_VALUE"""),"Milos Teodosic")</f>
        <v>Milos Teodosic</v>
      </c>
      <c r="C2904" s="162" t="str">
        <f>IFERROR(__xludf.DUMMYFUNCTION("""COMPUTED_VALUE"""),"2018-19")</f>
        <v>2018-19</v>
      </c>
      <c r="D2904" s="163" t="str">
        <f>IFERROR(__xludf.DUMMYFUNCTION("""COMPUTED_VALUE"""),"LAC")</f>
        <v>LAC</v>
      </c>
      <c r="E2904" s="164" t="str">
        <f>IFERROR(__xludf.DUMMYFUNCTION("""COMPUTED_VALUE"""),"Secondary Ball Handler")</f>
        <v>Secondary Ball Handler</v>
      </c>
      <c r="F2904" s="164">
        <f>IFERROR(__xludf.DUMMYFUNCTION("""COMPUTED_VALUE"""),150.003333333333)</f>
        <v>150.0033333</v>
      </c>
      <c r="G2904" s="163">
        <f>IFERROR(__xludf.DUMMYFUNCTION("""COMPUTED_VALUE"""),15.0)</f>
        <v>15</v>
      </c>
      <c r="H2904" s="163" t="str">
        <f>IFERROR(__xludf.DUMMYFUNCTION("""COMPUTED_VALUE"""),"PG")</f>
        <v>PG</v>
      </c>
      <c r="I2904" s="163">
        <f>IFERROR(__xludf.DUMMYFUNCTION("""COMPUTED_VALUE"""),31.0)</f>
        <v>31</v>
      </c>
      <c r="J2904" s="165">
        <f>IFERROR(__xludf.DUMMYFUNCTION("""COMPUTED_VALUE"""),-1.41997698987029)</f>
        <v>-1.41997699</v>
      </c>
      <c r="K2904" s="165">
        <f>IFERROR(__xludf.DUMMYFUNCTION("""COMPUTED_VALUE"""),-0.48250231856325)</f>
        <v>-0.4825023186</v>
      </c>
      <c r="L2904" s="165">
        <f>IFERROR(__xludf.DUMMYFUNCTION("""COMPUTED_VALUE"""),-0.937474671307039)</f>
        <v>-0.9374746713</v>
      </c>
      <c r="M2904" s="166">
        <f t="shared" si="2"/>
        <v>0.08805273975</v>
      </c>
      <c r="N2904" s="167">
        <f t="shared" si="3"/>
        <v>10.00022222</v>
      </c>
      <c r="O2904" s="163">
        <f t="shared" ref="O2904:Q2904" si="2908">rank(I2904,I:I)</f>
        <v>490</v>
      </c>
      <c r="P2904" s="163">
        <f t="shared" si="2908"/>
        <v>2973</v>
      </c>
      <c r="Q2904" s="163">
        <f t="shared" si="2908"/>
        <v>2086</v>
      </c>
      <c r="R2904" s="163">
        <f>IFERROR(__xludf.DUMMYFUNCTION("RANK(M2904,filter(M:M,C:C=C2904))"),398.0)</f>
        <v>398</v>
      </c>
      <c r="S2904" s="161" t="b">
        <f t="shared" si="5"/>
        <v>0</v>
      </c>
      <c r="T2904" s="161" t="b">
        <f t="array" ref="T2904">index('Query Tool'!B:B,match(H2904,'Query Tool'!C:C,0))</f>
        <v>1</v>
      </c>
      <c r="U2904" s="161" t="b">
        <f t="array" ref="U2904">index('Query Tool'!B:B,match(C2904,'Query Tool'!C:C,0))</f>
        <v>0</v>
      </c>
      <c r="V2904" s="161" t="b">
        <f>F2904&gt;='Query Tool'!C$32</f>
        <v>0</v>
      </c>
      <c r="W2904" s="161" t="b">
        <f t="array" ref="W2904">index(Dropdowns!B:B,match(I2904,Dropdowns!A:A,0))</f>
        <v>1</v>
      </c>
      <c r="X2904" s="161" t="b">
        <f t="array" ref="X2904">index('Query Tool'!B:B,match(D2904,'Query Tool'!C:C,0))</f>
        <v>1</v>
      </c>
      <c r="Y2904" s="161" t="str">
        <f t="shared" si="6"/>
        <v>teodomi01,2018-19</v>
      </c>
      <c r="Z2904" s="168" t="str">
        <f t="array" ref="Z2904">iferror(index(I:I,match($A2904&amp;","&amp;index('Year Conversion'!$A:$A,match($C2904,'Year Conversion'!$B:$B,0)),$Y:$Y,0))-I2904,"")</f>
        <v/>
      </c>
      <c r="AA2904" s="168" t="str">
        <f t="array" ref="AA2904">iferror(index(J:J,match($A2904&amp;","&amp;index('Year Conversion'!$A:$A,match($C2904,'Year Conversion'!$B:$B,0)),$Y:$Y,0))-J2904,"")</f>
        <v/>
      </c>
      <c r="AB2904" s="168" t="str">
        <f t="array" ref="AB2904">iferror(index(K:K,match($A2904&amp;","&amp;index('Year Conversion'!$A:$A,match($C2904,'Year Conversion'!$B:$B,0)),$Y:$Y,0))-K2904,"")</f>
        <v/>
      </c>
      <c r="AC2904" s="168" t="str">
        <f t="shared" si="7"/>
        <v>LAC,2018-19</v>
      </c>
    </row>
    <row r="2905">
      <c r="A2905" s="161" t="str">
        <f>IFERROR(__xludf.DUMMYFUNCTION("""COMPUTED_VALUE"""),"cavanty01")</f>
        <v>cavanty01</v>
      </c>
      <c r="B2905" s="161" t="str">
        <f>IFERROR(__xludf.DUMMYFUNCTION("""COMPUTED_VALUE"""),"Tyler Cavanaugh")</f>
        <v>Tyler Cavanaugh</v>
      </c>
      <c r="C2905" s="162" t="str">
        <f>IFERROR(__xludf.DUMMYFUNCTION("""COMPUTED_VALUE"""),"2018-19")</f>
        <v>2018-19</v>
      </c>
      <c r="D2905" s="163" t="str">
        <f>IFERROR(__xludf.DUMMYFUNCTION("""COMPUTED_VALUE"""),"UTA")</f>
        <v>UTA</v>
      </c>
      <c r="E2905" s="164" t="str">
        <f>IFERROR(__xludf.DUMMYFUNCTION("""COMPUTED_VALUE"""),"Athletic Finisher")</f>
        <v>Athletic Finisher</v>
      </c>
      <c r="F2905" s="164">
        <f>IFERROR(__xludf.DUMMYFUNCTION("""COMPUTED_VALUE"""),39.4983333333333)</f>
        <v>39.49833333</v>
      </c>
      <c r="G2905" s="163">
        <f>IFERROR(__xludf.DUMMYFUNCTION("""COMPUTED_VALUE"""),11.0)</f>
        <v>11</v>
      </c>
      <c r="H2905" s="163" t="str">
        <f>IFERROR(__xludf.DUMMYFUNCTION("""COMPUTED_VALUE"""),"PF")</f>
        <v>PF</v>
      </c>
      <c r="I2905" s="163">
        <f>IFERROR(__xludf.DUMMYFUNCTION("""COMPUTED_VALUE"""),24.0)</f>
        <v>24</v>
      </c>
      <c r="J2905" s="165">
        <f>IFERROR(__xludf.DUMMYFUNCTION("""COMPUTED_VALUE"""),-1.08994026317324)</f>
        <v>-1.089940263</v>
      </c>
      <c r="K2905" s="165">
        <f>IFERROR(__xludf.DUMMYFUNCTION("""COMPUTED_VALUE"""),-0.317124352273289)</f>
        <v>-0.3171243523</v>
      </c>
      <c r="L2905" s="165">
        <f>IFERROR(__xludf.DUMMYFUNCTION("""COMPUTED_VALUE"""),-0.772815910899948)</f>
        <v>-0.7728159109</v>
      </c>
      <c r="M2905" s="166">
        <f t="shared" si="2"/>
        <v>0.03191664156</v>
      </c>
      <c r="N2905" s="167">
        <f t="shared" si="3"/>
        <v>3.590757576</v>
      </c>
      <c r="O2905" s="163">
        <f t="shared" ref="O2905:Q2905" si="2909">rank(I2905,I:I)</f>
        <v>2361</v>
      </c>
      <c r="P2905" s="163">
        <f t="shared" si="2909"/>
        <v>2600</v>
      </c>
      <c r="Q2905" s="163">
        <f t="shared" si="2909"/>
        <v>1788</v>
      </c>
      <c r="R2905" s="163">
        <f>IFERROR(__xludf.DUMMYFUNCTION("RANK(M2905,filter(M:M,C:C=C2905))"),441.0)</f>
        <v>441</v>
      </c>
      <c r="S2905" s="161" t="b">
        <f t="shared" si="5"/>
        <v>0</v>
      </c>
      <c r="T2905" s="161" t="b">
        <f t="array" ref="T2905">index('Query Tool'!B:B,match(H2905,'Query Tool'!C:C,0))</f>
        <v>1</v>
      </c>
      <c r="U2905" s="161" t="b">
        <f t="array" ref="U2905">index('Query Tool'!B:B,match(C2905,'Query Tool'!C:C,0))</f>
        <v>0</v>
      </c>
      <c r="V2905" s="161" t="b">
        <f>F2905&gt;='Query Tool'!C$32</f>
        <v>0</v>
      </c>
      <c r="W2905" s="161" t="b">
        <f t="array" ref="W2905">index(Dropdowns!B:B,match(I2905,Dropdowns!A:A,0))</f>
        <v>1</v>
      </c>
      <c r="X2905" s="161" t="b">
        <f t="array" ref="X2905">index('Query Tool'!B:B,match(D2905,'Query Tool'!C:C,0))</f>
        <v>1</v>
      </c>
      <c r="Y2905" s="161" t="str">
        <f t="shared" si="6"/>
        <v>cavanty01,2018-19</v>
      </c>
      <c r="Z2905" s="168" t="str">
        <f t="array" ref="Z2905">iferror(index(I:I,match($A2905&amp;","&amp;index('Year Conversion'!$A:$A,match($C2905,'Year Conversion'!$B:$B,0)),$Y:$Y,0))-I2905,"")</f>
        <v/>
      </c>
      <c r="AA2905" s="168" t="str">
        <f t="array" ref="AA2905">iferror(index(J:J,match($A2905&amp;","&amp;index('Year Conversion'!$A:$A,match($C2905,'Year Conversion'!$B:$B,0)),$Y:$Y,0))-J2905,"")</f>
        <v/>
      </c>
      <c r="AB2905" s="168" t="str">
        <f t="array" ref="AB2905">iferror(index(K:K,match($A2905&amp;","&amp;index('Year Conversion'!$A:$A,match($C2905,'Year Conversion'!$B:$B,0)),$Y:$Y,0))-K2905,"")</f>
        <v/>
      </c>
      <c r="AC2905" s="168" t="str">
        <f t="shared" si="7"/>
        <v>UTA,2018-19</v>
      </c>
    </row>
    <row r="2906">
      <c r="A2906" s="161" t="str">
        <f>IFERROR(__xludf.DUMMYFUNCTION("""COMPUTED_VALUE"""),"theisda01")</f>
        <v>theisda01</v>
      </c>
      <c r="B2906" s="161" t="str">
        <f>IFERROR(__xludf.DUMMYFUNCTION("""COMPUTED_VALUE"""),"Daniel Theis")</f>
        <v>Daniel Theis</v>
      </c>
      <c r="C2906" s="162" t="str">
        <f>IFERROR(__xludf.DUMMYFUNCTION("""COMPUTED_VALUE"""),"2018-19")</f>
        <v>2018-19</v>
      </c>
      <c r="D2906" s="163" t="str">
        <f>IFERROR(__xludf.DUMMYFUNCTION("""COMPUTED_VALUE"""),"BOS")</f>
        <v>BOS</v>
      </c>
      <c r="E2906" s="164" t="str">
        <f>IFERROR(__xludf.DUMMYFUNCTION("""COMPUTED_VALUE"""),"Stretch Big")</f>
        <v>Stretch Big</v>
      </c>
      <c r="F2906" s="164">
        <f>IFERROR(__xludf.DUMMYFUNCTION("""COMPUTED_VALUE"""),907.58)</f>
        <v>907.58</v>
      </c>
      <c r="G2906" s="163">
        <f>IFERROR(__xludf.DUMMYFUNCTION("""COMPUTED_VALUE"""),66.0)</f>
        <v>66</v>
      </c>
      <c r="H2906" s="163" t="str">
        <f>IFERROR(__xludf.DUMMYFUNCTION("""COMPUTED_VALUE"""),"C")</f>
        <v>C</v>
      </c>
      <c r="I2906" s="163">
        <f>IFERROR(__xludf.DUMMYFUNCTION("""COMPUTED_VALUE"""),26.0)</f>
        <v>26</v>
      </c>
      <c r="J2906" s="165">
        <f>IFERROR(__xludf.DUMMYFUNCTION("""COMPUTED_VALUE"""),0.0892447812592994)</f>
        <v>0.08924478126</v>
      </c>
      <c r="K2906" s="165">
        <f>IFERROR(__xludf.DUMMYFUNCTION("""COMPUTED_VALUE"""),-0.210987931269985)</f>
        <v>-0.2109879313</v>
      </c>
      <c r="L2906" s="165">
        <f>IFERROR(__xludf.DUMMYFUNCTION("""COMPUTED_VALUE"""),0.300232712529284)</f>
        <v>0.3002327125</v>
      </c>
      <c r="M2906" s="166">
        <f t="shared" si="2"/>
        <v>1.453792432</v>
      </c>
      <c r="N2906" s="167">
        <f t="shared" si="3"/>
        <v>13.75121212</v>
      </c>
      <c r="O2906" s="163">
        <f t="shared" ref="O2906:Q2906" si="2910">rank(I2906,I:I)</f>
        <v>1665</v>
      </c>
      <c r="P2906" s="163">
        <f t="shared" si="2910"/>
        <v>1203</v>
      </c>
      <c r="Q2906" s="163">
        <f t="shared" si="2910"/>
        <v>1583</v>
      </c>
      <c r="R2906" s="163">
        <f>IFERROR(__xludf.DUMMYFUNCTION("RANK(M2906,filter(M:M,C:C=C2906))"),189.0)</f>
        <v>189</v>
      </c>
      <c r="S2906" s="161" t="b">
        <f t="shared" si="5"/>
        <v>0</v>
      </c>
      <c r="T2906" s="161" t="b">
        <f t="array" ref="T2906">index('Query Tool'!B:B,match(H2906,'Query Tool'!C:C,0))</f>
        <v>1</v>
      </c>
      <c r="U2906" s="161" t="b">
        <f t="array" ref="U2906">index('Query Tool'!B:B,match(C2906,'Query Tool'!C:C,0))</f>
        <v>0</v>
      </c>
      <c r="V2906" s="161" t="b">
        <f>F2906&gt;='Query Tool'!C$32</f>
        <v>1</v>
      </c>
      <c r="W2906" s="161" t="b">
        <f t="array" ref="W2906">index(Dropdowns!B:B,match(I2906,Dropdowns!A:A,0))</f>
        <v>1</v>
      </c>
      <c r="X2906" s="161" t="b">
        <f t="array" ref="X2906">index('Query Tool'!B:B,match(D2906,'Query Tool'!C:C,0))</f>
        <v>1</v>
      </c>
      <c r="Y2906" s="161" t="str">
        <f t="shared" si="6"/>
        <v>theisda01,2018-19</v>
      </c>
      <c r="Z2906" s="168">
        <f t="array" ref="Z2906">iferror(index(I:I,match($A2906&amp;","&amp;index('Year Conversion'!$A:$A,match($C2906,'Year Conversion'!$B:$B,0)),$Y:$Y,0))-I2906,"")</f>
        <v>1</v>
      </c>
      <c r="AA2906" s="168">
        <f t="array" ref="AA2906">iferror(index(J:J,match($A2906&amp;","&amp;index('Year Conversion'!$A:$A,match($C2906,'Year Conversion'!$B:$B,0)),$Y:$Y,0))-J2906,"")</f>
        <v>1.67625447</v>
      </c>
      <c r="AB2906" s="168">
        <f t="array" ref="AB2906">iferror(index(K:K,match($A2906&amp;","&amp;index('Year Conversion'!$A:$A,match($C2906,'Year Conversion'!$B:$B,0)),$Y:$Y,0))-K2906,"")</f>
        <v>-0.3785356257</v>
      </c>
      <c r="AC2906" s="168" t="str">
        <f t="shared" si="7"/>
        <v>BOS,2018-19</v>
      </c>
    </row>
    <row r="2907">
      <c r="A2907" s="161" t="str">
        <f>IFERROR(__xludf.DUMMYFUNCTION("""COMPUTED_VALUE"""),"klebima01")</f>
        <v>klebima01</v>
      </c>
      <c r="B2907" s="161" t="str">
        <f>IFERROR(__xludf.DUMMYFUNCTION("""COMPUTED_VALUE"""),"Maxi Kleber")</f>
        <v>Maxi Kleber</v>
      </c>
      <c r="C2907" s="162" t="str">
        <f>IFERROR(__xludf.DUMMYFUNCTION("""COMPUTED_VALUE"""),"2018-19")</f>
        <v>2018-19</v>
      </c>
      <c r="D2907" s="163" t="str">
        <f>IFERROR(__xludf.DUMMYFUNCTION("""COMPUTED_VALUE"""),"DAL")</f>
        <v>DAL</v>
      </c>
      <c r="E2907" s="164" t="str">
        <f>IFERROR(__xludf.DUMMYFUNCTION("""COMPUTED_VALUE"""),"Stretch Big")</f>
        <v>Stretch Big</v>
      </c>
      <c r="F2907" s="164">
        <f>IFERROR(__xludf.DUMMYFUNCTION("""COMPUTED_VALUE"""),1502.16166666667)</f>
        <v>1502.161667</v>
      </c>
      <c r="G2907" s="163">
        <f>IFERROR(__xludf.DUMMYFUNCTION("""COMPUTED_VALUE"""),71.0)</f>
        <v>71</v>
      </c>
      <c r="H2907" s="163" t="str">
        <f>IFERROR(__xludf.DUMMYFUNCTION("""COMPUTED_VALUE"""),"PF")</f>
        <v>PF</v>
      </c>
      <c r="I2907" s="163">
        <f>IFERROR(__xludf.DUMMYFUNCTION("""COMPUTED_VALUE"""),27.0)</f>
        <v>27</v>
      </c>
      <c r="J2907" s="165">
        <f>IFERROR(__xludf.DUMMYFUNCTION("""COMPUTED_VALUE"""),1.0150460104213)</f>
        <v>1.01504601</v>
      </c>
      <c r="K2907" s="165">
        <f>IFERROR(__xludf.DUMMYFUNCTION("""COMPUTED_VALUE"""),-0.431392845851597)</f>
        <v>-0.4313928459</v>
      </c>
      <c r="L2907" s="165">
        <f>IFERROR(__xludf.DUMMYFUNCTION("""COMPUTED_VALUE"""),1.4464388562729)</f>
        <v>1.446438856</v>
      </c>
      <c r="M2907" s="166">
        <f t="shared" si="2"/>
        <v>3.342343567</v>
      </c>
      <c r="N2907" s="167">
        <f t="shared" si="3"/>
        <v>21.15720657</v>
      </c>
      <c r="O2907" s="163">
        <f t="shared" ref="O2907:Q2907" si="2911">rank(I2907,I:I)</f>
        <v>1366</v>
      </c>
      <c r="P2907" s="163">
        <f t="shared" si="2911"/>
        <v>653</v>
      </c>
      <c r="Q2907" s="163">
        <f t="shared" si="2911"/>
        <v>2004</v>
      </c>
      <c r="R2907" s="163">
        <f>IFERROR(__xludf.DUMMYFUNCTION("RANK(M2907,filter(M:M,C:C=C2907))"),106.0)</f>
        <v>106</v>
      </c>
      <c r="S2907" s="161" t="b">
        <f t="shared" si="5"/>
        <v>0</v>
      </c>
      <c r="T2907" s="161" t="b">
        <f t="array" ref="T2907">index('Query Tool'!B:B,match(H2907,'Query Tool'!C:C,0))</f>
        <v>1</v>
      </c>
      <c r="U2907" s="161" t="b">
        <f t="array" ref="U2907">index('Query Tool'!B:B,match(C2907,'Query Tool'!C:C,0))</f>
        <v>0</v>
      </c>
      <c r="V2907" s="161" t="b">
        <f>F2907&gt;='Query Tool'!C$32</f>
        <v>1</v>
      </c>
      <c r="W2907" s="161" t="b">
        <f t="array" ref="W2907">index(Dropdowns!B:B,match(I2907,Dropdowns!A:A,0))</f>
        <v>1</v>
      </c>
      <c r="X2907" s="161" t="b">
        <f t="array" ref="X2907">index('Query Tool'!B:B,match(D2907,'Query Tool'!C:C,0))</f>
        <v>1</v>
      </c>
      <c r="Y2907" s="161" t="str">
        <f t="shared" si="6"/>
        <v>klebima01,2018-19</v>
      </c>
      <c r="Z2907" s="168">
        <f t="array" ref="Z2907">iferror(index(I:I,match($A2907&amp;","&amp;index('Year Conversion'!$A:$A,match($C2907,'Year Conversion'!$B:$B,0)),$Y:$Y,0))-I2907,"")</f>
        <v>1</v>
      </c>
      <c r="AA2907" s="168">
        <f t="array" ref="AA2907">iferror(index(J:J,match($A2907&amp;","&amp;index('Year Conversion'!$A:$A,match($C2907,'Year Conversion'!$B:$B,0)),$Y:$Y,0))-J2907,"")</f>
        <v>-1.500436777</v>
      </c>
      <c r="AB2907" s="168">
        <f t="array" ref="AB2907">iferror(index(K:K,match($A2907&amp;","&amp;index('Year Conversion'!$A:$A,match($C2907,'Year Conversion'!$B:$B,0)),$Y:$Y,0))-K2907,"")</f>
        <v>0.2297497981</v>
      </c>
      <c r="AC2907" s="168" t="str">
        <f t="shared" si="7"/>
        <v>DAL,2018-19</v>
      </c>
    </row>
    <row r="2908">
      <c r="A2908" s="161" t="str">
        <f>IFERROR(__xludf.DUMMYFUNCTION("""COMPUTED_VALUE"""),"blakean01")</f>
        <v>blakean01</v>
      </c>
      <c r="B2908" s="161" t="str">
        <f>IFERROR(__xludf.DUMMYFUNCTION("""COMPUTED_VALUE"""),"Antonio Blakeney")</f>
        <v>Antonio Blakeney</v>
      </c>
      <c r="C2908" s="162" t="str">
        <f>IFERROR(__xludf.DUMMYFUNCTION("""COMPUTED_VALUE"""),"2018-19")</f>
        <v>2018-19</v>
      </c>
      <c r="D2908" s="163" t="str">
        <f>IFERROR(__xludf.DUMMYFUNCTION("""COMPUTED_VALUE"""),"CHI")</f>
        <v>CHI</v>
      </c>
      <c r="E2908" s="164" t="str">
        <f>IFERROR(__xludf.DUMMYFUNCTION("""COMPUTED_VALUE"""),"Slasher")</f>
        <v>Slasher</v>
      </c>
      <c r="F2908" s="164">
        <f>IFERROR(__xludf.DUMMYFUNCTION("""COMPUTED_VALUE"""),829.036666666667)</f>
        <v>829.0366667</v>
      </c>
      <c r="G2908" s="163">
        <f>IFERROR(__xludf.DUMMYFUNCTION("""COMPUTED_VALUE"""),57.0)</f>
        <v>57</v>
      </c>
      <c r="H2908" s="163" t="str">
        <f>IFERROR(__xludf.DUMMYFUNCTION("""COMPUTED_VALUE"""),"SG")</f>
        <v>SG</v>
      </c>
      <c r="I2908" s="163">
        <f>IFERROR(__xludf.DUMMYFUNCTION("""COMPUTED_VALUE"""),22.0)</f>
        <v>22</v>
      </c>
      <c r="J2908" s="165">
        <f>IFERROR(__xludf.DUMMYFUNCTION("""COMPUTED_VALUE"""),-3.40186238371326)</f>
        <v>-3.401862384</v>
      </c>
      <c r="K2908" s="165">
        <f>IFERROR(__xludf.DUMMYFUNCTION("""COMPUTED_VALUE"""),-1.76455286021356)</f>
        <v>-1.76455286</v>
      </c>
      <c r="L2908" s="165">
        <f>IFERROR(__xludf.DUMMYFUNCTION("""COMPUTED_VALUE"""),-1.63730952349971)</f>
        <v>-1.637309523</v>
      </c>
      <c r="M2908" s="166">
        <f t="shared" si="2"/>
        <v>-0.5933073887</v>
      </c>
      <c r="N2908" s="167">
        <f t="shared" si="3"/>
        <v>14.54450292</v>
      </c>
      <c r="O2908" s="163">
        <f t="shared" ref="O2908:Q2908" si="2912">rank(I2908,I:I)</f>
        <v>3178</v>
      </c>
      <c r="P2908" s="163">
        <f t="shared" si="2912"/>
        <v>3953</v>
      </c>
      <c r="Q2908" s="163">
        <f t="shared" si="2912"/>
        <v>3558</v>
      </c>
      <c r="R2908" s="163">
        <f>IFERROR(__xludf.DUMMYFUNCTION("RANK(M2908,filter(M:M,C:C=C2908))"),521.0)</f>
        <v>521</v>
      </c>
      <c r="S2908" s="161" t="b">
        <f t="shared" si="5"/>
        <v>0</v>
      </c>
      <c r="T2908" s="161" t="b">
        <f t="array" ref="T2908">index('Query Tool'!B:B,match(H2908,'Query Tool'!C:C,0))</f>
        <v>1</v>
      </c>
      <c r="U2908" s="161" t="b">
        <f t="array" ref="U2908">index('Query Tool'!B:B,match(C2908,'Query Tool'!C:C,0))</f>
        <v>0</v>
      </c>
      <c r="V2908" s="161" t="b">
        <f>F2908&gt;='Query Tool'!C$32</f>
        <v>1</v>
      </c>
      <c r="W2908" s="161" t="b">
        <f t="array" ref="W2908">index(Dropdowns!B:B,match(I2908,Dropdowns!A:A,0))</f>
        <v>1</v>
      </c>
      <c r="X2908" s="161" t="b">
        <f t="array" ref="X2908">index('Query Tool'!B:B,match(D2908,'Query Tool'!C:C,0))</f>
        <v>1</v>
      </c>
      <c r="Y2908" s="161" t="str">
        <f t="shared" si="6"/>
        <v>blakean01,2018-19</v>
      </c>
      <c r="Z2908" s="168" t="str">
        <f t="array" ref="Z2908">iferror(index(I:I,match($A2908&amp;","&amp;index('Year Conversion'!$A:$A,match($C2908,'Year Conversion'!$B:$B,0)),$Y:$Y,0))-I2908,"")</f>
        <v/>
      </c>
      <c r="AA2908" s="168" t="str">
        <f t="array" ref="AA2908">iferror(index(J:J,match($A2908&amp;","&amp;index('Year Conversion'!$A:$A,match($C2908,'Year Conversion'!$B:$B,0)),$Y:$Y,0))-J2908,"")</f>
        <v/>
      </c>
      <c r="AB2908" s="168" t="str">
        <f t="array" ref="AB2908">iferror(index(K:K,match($A2908&amp;","&amp;index('Year Conversion'!$A:$A,match($C2908,'Year Conversion'!$B:$B,0)),$Y:$Y,0))-K2908,"")</f>
        <v/>
      </c>
      <c r="AC2908" s="168" t="str">
        <f t="shared" si="7"/>
        <v>CHI,2018-19</v>
      </c>
    </row>
    <row r="2909">
      <c r="A2909" s="161" t="str">
        <f>IFERROR(__xludf.DUMMYFUNCTION("""COMPUTED_VALUE"""),"craigto01")</f>
        <v>craigto01</v>
      </c>
      <c r="B2909" s="161" t="str">
        <f>IFERROR(__xludf.DUMMYFUNCTION("""COMPUTED_VALUE"""),"Torrey Craig")</f>
        <v>Torrey Craig</v>
      </c>
      <c r="C2909" s="162" t="str">
        <f>IFERROR(__xludf.DUMMYFUNCTION("""COMPUTED_VALUE"""),"2018-19")</f>
        <v>2018-19</v>
      </c>
      <c r="D2909" s="163" t="str">
        <f>IFERROR(__xludf.DUMMYFUNCTION("""COMPUTED_VALUE"""),"DEN")</f>
        <v>DEN</v>
      </c>
      <c r="E2909" s="164" t="str">
        <f>IFERROR(__xludf.DUMMYFUNCTION("""COMPUTED_VALUE"""),"Athletic Finisher")</f>
        <v>Athletic Finisher</v>
      </c>
      <c r="F2909" s="164">
        <f>IFERROR(__xludf.DUMMYFUNCTION("""COMPUTED_VALUE"""),1503.015)</f>
        <v>1503.015</v>
      </c>
      <c r="G2909" s="163">
        <f>IFERROR(__xludf.DUMMYFUNCTION("""COMPUTED_VALUE"""),75.0)</f>
        <v>75</v>
      </c>
      <c r="H2909" s="163" t="str">
        <f>IFERROR(__xludf.DUMMYFUNCTION("""COMPUTED_VALUE"""),"SF")</f>
        <v>SF</v>
      </c>
      <c r="I2909" s="163">
        <f>IFERROR(__xludf.DUMMYFUNCTION("""COMPUTED_VALUE"""),28.0)</f>
        <v>28</v>
      </c>
      <c r="J2909" s="165">
        <f>IFERROR(__xludf.DUMMYFUNCTION("""COMPUTED_VALUE"""),-0.531119596672449)</f>
        <v>-0.5311195967</v>
      </c>
      <c r="K2909" s="165">
        <f>IFERROR(__xludf.DUMMYFUNCTION("""COMPUTED_VALUE"""),-0.452999636296621)</f>
        <v>-0.4529996363</v>
      </c>
      <c r="L2909" s="165">
        <f>IFERROR(__xludf.DUMMYFUNCTION("""COMPUTED_VALUE"""),-0.0781199603758286)</f>
        <v>-0.07811996038</v>
      </c>
      <c r="M2909" s="166">
        <f t="shared" si="2"/>
        <v>1.779166197</v>
      </c>
      <c r="N2909" s="167">
        <f t="shared" si="3"/>
        <v>20.0402</v>
      </c>
      <c r="O2909" s="163">
        <f t="shared" ref="O2909:Q2909" si="2913">rank(I2909,I:I)</f>
        <v>1090</v>
      </c>
      <c r="P2909" s="163">
        <f t="shared" si="2913"/>
        <v>1894</v>
      </c>
      <c r="Q2909" s="163">
        <f t="shared" si="2913"/>
        <v>2038</v>
      </c>
      <c r="R2909" s="163">
        <f>IFERROR(__xludf.DUMMYFUNCTION("RANK(M2909,filter(M:M,C:C=C2909))"),166.0)</f>
        <v>166</v>
      </c>
      <c r="S2909" s="161" t="b">
        <f t="shared" si="5"/>
        <v>0</v>
      </c>
      <c r="T2909" s="161" t="b">
        <f t="array" ref="T2909">index('Query Tool'!B:B,match(H2909,'Query Tool'!C:C,0))</f>
        <v>1</v>
      </c>
      <c r="U2909" s="161" t="b">
        <f t="array" ref="U2909">index('Query Tool'!B:B,match(C2909,'Query Tool'!C:C,0))</f>
        <v>0</v>
      </c>
      <c r="V2909" s="161" t="b">
        <f>F2909&gt;='Query Tool'!C$32</f>
        <v>1</v>
      </c>
      <c r="W2909" s="161" t="b">
        <f t="array" ref="W2909">index(Dropdowns!B:B,match(I2909,Dropdowns!A:A,0))</f>
        <v>1</v>
      </c>
      <c r="X2909" s="161" t="b">
        <f t="array" ref="X2909">index('Query Tool'!B:B,match(D2909,'Query Tool'!C:C,0))</f>
        <v>1</v>
      </c>
      <c r="Y2909" s="161" t="str">
        <f t="shared" si="6"/>
        <v>craigto01,2018-19</v>
      </c>
      <c r="Z2909" s="168">
        <f t="array" ref="Z2909">iferror(index(I:I,match($A2909&amp;","&amp;index('Year Conversion'!$A:$A,match($C2909,'Year Conversion'!$B:$B,0)),$Y:$Y,0))-I2909,"")</f>
        <v>1</v>
      </c>
      <c r="AA2909" s="168">
        <f t="array" ref="AA2909">iferror(index(J:J,match($A2909&amp;","&amp;index('Year Conversion'!$A:$A,match($C2909,'Year Conversion'!$B:$B,0)),$Y:$Y,0))-J2909,"")</f>
        <v>-1.460461977</v>
      </c>
      <c r="AB2909" s="168">
        <f t="array" ref="AB2909">iferror(index(K:K,match($A2909&amp;","&amp;index('Year Conversion'!$A:$A,match($C2909,'Year Conversion'!$B:$B,0)),$Y:$Y,0))-K2909,"")</f>
        <v>-0.7350217278</v>
      </c>
      <c r="AC2909" s="168" t="str">
        <f t="shared" si="7"/>
        <v>DEN,2018-19</v>
      </c>
    </row>
    <row r="2910">
      <c r="A2910" s="161" t="str">
        <f>IFERROR(__xludf.DUMMYFUNCTION("""COMPUTED_VALUE"""),"caupatr01")</f>
        <v>caupatr01</v>
      </c>
      <c r="B2910" s="161" t="str">
        <f>IFERROR(__xludf.DUMMYFUNCTION("""COMPUTED_VALUE"""),"Troy Caupain")</f>
        <v>Troy Caupain</v>
      </c>
      <c r="C2910" s="162" t="str">
        <f>IFERROR(__xludf.DUMMYFUNCTION("""COMPUTED_VALUE"""),"2018-19")</f>
        <v>2018-19</v>
      </c>
      <c r="D2910" s="163" t="str">
        <f>IFERROR(__xludf.DUMMYFUNCTION("""COMPUTED_VALUE"""),"ORL")</f>
        <v>ORL</v>
      </c>
      <c r="E2910" s="164" t="str">
        <f>IFERROR(__xludf.DUMMYFUNCTION("""COMPUTED_VALUE"""),"Secondary Ball Handler")</f>
        <v>Secondary Ball Handler</v>
      </c>
      <c r="F2910" s="164">
        <f>IFERROR(__xludf.DUMMYFUNCTION("""COMPUTED_VALUE"""),15.6333333333333)</f>
        <v>15.63333333</v>
      </c>
      <c r="G2910" s="163">
        <f>IFERROR(__xludf.DUMMYFUNCTION("""COMPUTED_VALUE"""),4.0)</f>
        <v>4</v>
      </c>
      <c r="H2910" s="163" t="str">
        <f>IFERROR(__xludf.DUMMYFUNCTION("""COMPUTED_VALUE"""),"PG")</f>
        <v>PG</v>
      </c>
      <c r="I2910" s="163">
        <f>IFERROR(__xludf.DUMMYFUNCTION("""COMPUTED_VALUE"""),23.0)</f>
        <v>23</v>
      </c>
      <c r="J2910" s="165">
        <f>IFERROR(__xludf.DUMMYFUNCTION("""COMPUTED_VALUE"""),-0.37515524702114)</f>
        <v>-0.375155247</v>
      </c>
      <c r="K2910" s="165">
        <f>IFERROR(__xludf.DUMMYFUNCTION("""COMPUTED_VALUE"""),-0.142953397254535)</f>
        <v>-0.1429533973</v>
      </c>
      <c r="L2910" s="165">
        <f>IFERROR(__xludf.DUMMYFUNCTION("""COMPUTED_VALUE"""),-0.232201849766605)</f>
        <v>-0.2322018498</v>
      </c>
      <c r="M2910" s="166">
        <f t="shared" si="2"/>
        <v>0.02014808772</v>
      </c>
      <c r="N2910" s="167">
        <f t="shared" si="3"/>
        <v>3.908333333</v>
      </c>
      <c r="O2910" s="163">
        <f t="shared" ref="O2910:Q2910" si="2914">rank(I2910,I:I)</f>
        <v>2765</v>
      </c>
      <c r="P2910" s="163">
        <f t="shared" si="2914"/>
        <v>1701</v>
      </c>
      <c r="Q2910" s="163">
        <f t="shared" si="2914"/>
        <v>1468</v>
      </c>
      <c r="R2910" s="163">
        <f>IFERROR(__xludf.DUMMYFUNCTION("RANK(M2910,filter(M:M,C:C=C2910))"),453.0)</f>
        <v>453</v>
      </c>
      <c r="S2910" s="161" t="b">
        <f t="shared" si="5"/>
        <v>0</v>
      </c>
      <c r="T2910" s="161" t="b">
        <f t="array" ref="T2910">index('Query Tool'!B:B,match(H2910,'Query Tool'!C:C,0))</f>
        <v>1</v>
      </c>
      <c r="U2910" s="161" t="b">
        <f t="array" ref="U2910">index('Query Tool'!B:B,match(C2910,'Query Tool'!C:C,0))</f>
        <v>0</v>
      </c>
      <c r="V2910" s="161" t="b">
        <f>F2910&gt;='Query Tool'!C$32</f>
        <v>0</v>
      </c>
      <c r="W2910" s="161" t="b">
        <f t="array" ref="W2910">index(Dropdowns!B:B,match(I2910,Dropdowns!A:A,0))</f>
        <v>1</v>
      </c>
      <c r="X2910" s="161" t="b">
        <f t="array" ref="X2910">index('Query Tool'!B:B,match(D2910,'Query Tool'!C:C,0))</f>
        <v>1</v>
      </c>
      <c r="Y2910" s="161" t="str">
        <f t="shared" si="6"/>
        <v>caupatr01,2018-19</v>
      </c>
      <c r="Z2910" s="168" t="str">
        <f t="array" ref="Z2910">iferror(index(I:I,match($A2910&amp;","&amp;index('Year Conversion'!$A:$A,match($C2910,'Year Conversion'!$B:$B,0)),$Y:$Y,0))-I2910,"")</f>
        <v/>
      </c>
      <c r="AA2910" s="168" t="str">
        <f t="array" ref="AA2910">iferror(index(J:J,match($A2910&amp;","&amp;index('Year Conversion'!$A:$A,match($C2910,'Year Conversion'!$B:$B,0)),$Y:$Y,0))-J2910,"")</f>
        <v/>
      </c>
      <c r="AB2910" s="168" t="str">
        <f t="array" ref="AB2910">iferror(index(K:K,match($A2910&amp;","&amp;index('Year Conversion'!$A:$A,match($C2910,'Year Conversion'!$B:$B,0)),$Y:$Y,0))-K2910,"")</f>
        <v/>
      </c>
      <c r="AC2910" s="168" t="str">
        <f t="shared" si="7"/>
        <v>ORL,2018-19</v>
      </c>
    </row>
    <row r="2911">
      <c r="A2911" s="161" t="str">
        <f>IFERROR(__xludf.DUMMYFUNCTION("""COMPUTED_VALUE"""),"mitrona01")</f>
        <v>mitrona01</v>
      </c>
      <c r="B2911" s="161" t="str">
        <f>IFERROR(__xludf.DUMMYFUNCTION("""COMPUTED_VALUE"""),"Naz Mitrou-Long")</f>
        <v>Naz Mitrou-Long</v>
      </c>
      <c r="C2911" s="162" t="str">
        <f>IFERROR(__xludf.DUMMYFUNCTION("""COMPUTED_VALUE"""),"2018-19")</f>
        <v>2018-19</v>
      </c>
      <c r="D2911" s="163" t="str">
        <f>IFERROR(__xludf.DUMMYFUNCTION("""COMPUTED_VALUE"""),"UTA")</f>
        <v>UTA</v>
      </c>
      <c r="E2911" s="164" t="str">
        <f>IFERROR(__xludf.DUMMYFUNCTION("""COMPUTED_VALUE"""),"Secondary Ball Handler")</f>
        <v>Secondary Ball Handler</v>
      </c>
      <c r="F2911" s="164">
        <f>IFERROR(__xludf.DUMMYFUNCTION("""COMPUTED_VALUE"""),83.915)</f>
        <v>83.915</v>
      </c>
      <c r="G2911" s="163">
        <f>IFERROR(__xludf.DUMMYFUNCTION("""COMPUTED_VALUE"""),14.0)</f>
        <v>14</v>
      </c>
      <c r="H2911" s="163" t="str">
        <f>IFERROR(__xludf.DUMMYFUNCTION("""COMPUTED_VALUE"""),"SG")</f>
        <v>SG</v>
      </c>
      <c r="I2911" s="163">
        <f>IFERROR(__xludf.DUMMYFUNCTION("""COMPUTED_VALUE"""),25.0)</f>
        <v>25</v>
      </c>
      <c r="J2911" s="165">
        <f>IFERROR(__xludf.DUMMYFUNCTION("""COMPUTED_VALUE"""),-1.42491258910929)</f>
        <v>-1.424912589</v>
      </c>
      <c r="K2911" s="165">
        <f>IFERROR(__xludf.DUMMYFUNCTION("""COMPUTED_VALUE"""),-0.428691647004737)</f>
        <v>-0.428691647</v>
      </c>
      <c r="L2911" s="165">
        <f>IFERROR(__xludf.DUMMYFUNCTION("""COMPUTED_VALUE"""),-0.996220942104557)</f>
        <v>-0.9962209421</v>
      </c>
      <c r="M2911" s="166">
        <f t="shared" si="2"/>
        <v>0.04898165476</v>
      </c>
      <c r="N2911" s="167">
        <f t="shared" si="3"/>
        <v>5.993928571</v>
      </c>
      <c r="O2911" s="163">
        <f t="shared" ref="O2911:Q2911" si="2915">rank(I2911,I:I)</f>
        <v>1995</v>
      </c>
      <c r="P2911" s="163">
        <f t="shared" si="2915"/>
        <v>2979</v>
      </c>
      <c r="Q2911" s="163">
        <f t="shared" si="2915"/>
        <v>2000</v>
      </c>
      <c r="R2911" s="163">
        <f>IFERROR(__xludf.DUMMYFUNCTION("RANK(M2911,filter(M:M,C:C=C2911))"),423.0)</f>
        <v>423</v>
      </c>
      <c r="S2911" s="161" t="b">
        <f t="shared" si="5"/>
        <v>0</v>
      </c>
      <c r="T2911" s="161" t="b">
        <f t="array" ref="T2911">index('Query Tool'!B:B,match(H2911,'Query Tool'!C:C,0))</f>
        <v>1</v>
      </c>
      <c r="U2911" s="161" t="b">
        <f t="array" ref="U2911">index('Query Tool'!B:B,match(C2911,'Query Tool'!C:C,0))</f>
        <v>0</v>
      </c>
      <c r="V2911" s="161" t="b">
        <f>F2911&gt;='Query Tool'!C$32</f>
        <v>0</v>
      </c>
      <c r="W2911" s="161" t="b">
        <f t="array" ref="W2911">index(Dropdowns!B:B,match(I2911,Dropdowns!A:A,0))</f>
        <v>1</v>
      </c>
      <c r="X2911" s="161" t="b">
        <f t="array" ref="X2911">index('Query Tool'!B:B,match(D2911,'Query Tool'!C:C,0))</f>
        <v>1</v>
      </c>
      <c r="Y2911" s="161" t="str">
        <f t="shared" si="6"/>
        <v>mitrona01,2018-19</v>
      </c>
      <c r="Z2911" s="168">
        <f t="array" ref="Z2911">iferror(index(I:I,match($A2911&amp;","&amp;index('Year Conversion'!$A:$A,match($C2911,'Year Conversion'!$B:$B,0)),$Y:$Y,0))-I2911,"")</f>
        <v>1</v>
      </c>
      <c r="AA2911" s="168">
        <f t="array" ref="AA2911">iferror(index(J:J,match($A2911&amp;","&amp;index('Year Conversion'!$A:$A,match($C2911,'Year Conversion'!$B:$B,0)),$Y:$Y,0))-J2911,"")</f>
        <v>1.026353593</v>
      </c>
      <c r="AB2911" s="168">
        <f t="array" ref="AB2911">iferror(index(K:K,match($A2911&amp;","&amp;index('Year Conversion'!$A:$A,match($C2911,'Year Conversion'!$B:$B,0)),$Y:$Y,0))-K2911,"")</f>
        <v>0.3011809329</v>
      </c>
      <c r="AC2911" s="168" t="str">
        <f t="shared" si="7"/>
        <v>UTA,2018-19</v>
      </c>
    </row>
    <row r="2912">
      <c r="A2912" s="161" t="str">
        <f>IFERROR(__xludf.DUMMYFUNCTION("""COMPUTED_VALUE"""),"briscis01")</f>
        <v>briscis01</v>
      </c>
      <c r="B2912" s="161" t="str">
        <f>IFERROR(__xludf.DUMMYFUNCTION("""COMPUTED_VALUE"""),"Isaiah Briscoe")</f>
        <v>Isaiah Briscoe</v>
      </c>
      <c r="C2912" s="162" t="str">
        <f>IFERROR(__xludf.DUMMYFUNCTION("""COMPUTED_VALUE"""),"2018-19")</f>
        <v>2018-19</v>
      </c>
      <c r="D2912" s="163" t="str">
        <f>IFERROR(__xludf.DUMMYFUNCTION("""COMPUTED_VALUE"""),"ORL")</f>
        <v>ORL</v>
      </c>
      <c r="E2912" s="164" t="str">
        <f>IFERROR(__xludf.DUMMYFUNCTION("""COMPUTED_VALUE"""),"Secondary Ball Handler")</f>
        <v>Secondary Ball Handler</v>
      </c>
      <c r="F2912" s="164">
        <f>IFERROR(__xludf.DUMMYFUNCTION("""COMPUTED_VALUE"""),559.23)</f>
        <v>559.23</v>
      </c>
      <c r="G2912" s="163">
        <f>IFERROR(__xludf.DUMMYFUNCTION("""COMPUTED_VALUE"""),39.0)</f>
        <v>39</v>
      </c>
      <c r="H2912" s="163" t="str">
        <f>IFERROR(__xludf.DUMMYFUNCTION("""COMPUTED_VALUE"""),"PG")</f>
        <v>PG</v>
      </c>
      <c r="I2912" s="163">
        <f>IFERROR(__xludf.DUMMYFUNCTION("""COMPUTED_VALUE"""),22.0)</f>
        <v>22</v>
      </c>
      <c r="J2912" s="165">
        <f>IFERROR(__xludf.DUMMYFUNCTION("""COMPUTED_VALUE"""),-2.68647778667681)</f>
        <v>-2.686477787</v>
      </c>
      <c r="K2912" s="165">
        <f>IFERROR(__xludf.DUMMYFUNCTION("""COMPUTED_VALUE"""),-2.48125117657611)</f>
        <v>-2.481251177</v>
      </c>
      <c r="L2912" s="165">
        <f>IFERROR(__xludf.DUMMYFUNCTION("""COMPUTED_VALUE"""),-0.205226610100704)</f>
        <v>-0.2052266101</v>
      </c>
      <c r="M2912" s="166">
        <f t="shared" si="2"/>
        <v>-0.1406942628</v>
      </c>
      <c r="N2912" s="167">
        <f t="shared" si="3"/>
        <v>14.33923077</v>
      </c>
      <c r="O2912" s="163">
        <f t="shared" ref="O2912:Q2912" si="2916">rank(I2912,I:I)</f>
        <v>3178</v>
      </c>
      <c r="P2912" s="163">
        <f t="shared" si="2916"/>
        <v>3807</v>
      </c>
      <c r="Q2912" s="163">
        <f t="shared" si="2916"/>
        <v>3885</v>
      </c>
      <c r="R2912" s="163">
        <f>IFERROR(__xludf.DUMMYFUNCTION("RANK(M2912,filter(M:M,C:C=C2912))"),502.0)</f>
        <v>502</v>
      </c>
      <c r="S2912" s="161" t="b">
        <f t="shared" si="5"/>
        <v>0</v>
      </c>
      <c r="T2912" s="161" t="b">
        <f t="array" ref="T2912">index('Query Tool'!B:B,match(H2912,'Query Tool'!C:C,0))</f>
        <v>1</v>
      </c>
      <c r="U2912" s="161" t="b">
        <f t="array" ref="U2912">index('Query Tool'!B:B,match(C2912,'Query Tool'!C:C,0))</f>
        <v>0</v>
      </c>
      <c r="V2912" s="161" t="b">
        <f>F2912&gt;='Query Tool'!C$32</f>
        <v>1</v>
      </c>
      <c r="W2912" s="161" t="b">
        <f t="array" ref="W2912">index(Dropdowns!B:B,match(I2912,Dropdowns!A:A,0))</f>
        <v>1</v>
      </c>
      <c r="X2912" s="161" t="b">
        <f t="array" ref="X2912">index('Query Tool'!B:B,match(D2912,'Query Tool'!C:C,0))</f>
        <v>1</v>
      </c>
      <c r="Y2912" s="161" t="str">
        <f t="shared" si="6"/>
        <v>briscis01,2018-19</v>
      </c>
      <c r="Z2912" s="168" t="str">
        <f t="array" ref="Z2912">iferror(index(I:I,match($A2912&amp;","&amp;index('Year Conversion'!$A:$A,match($C2912,'Year Conversion'!$B:$B,0)),$Y:$Y,0))-I2912,"")</f>
        <v/>
      </c>
      <c r="AA2912" s="168" t="str">
        <f t="array" ref="AA2912">iferror(index(J:J,match($A2912&amp;","&amp;index('Year Conversion'!$A:$A,match($C2912,'Year Conversion'!$B:$B,0)),$Y:$Y,0))-J2912,"")</f>
        <v/>
      </c>
      <c r="AB2912" s="168" t="str">
        <f t="array" ref="AB2912">iferror(index(K:K,match($A2912&amp;","&amp;index('Year Conversion'!$A:$A,match($C2912,'Year Conversion'!$B:$B,0)),$Y:$Y,0))-K2912,"")</f>
        <v/>
      </c>
      <c r="AC2912" s="168" t="str">
        <f t="shared" si="7"/>
        <v>ORL,2018-19</v>
      </c>
    </row>
    <row r="2913">
      <c r="A2913" s="161" t="str">
        <f>IFERROR(__xludf.DUMMYFUNCTION("""COMPUTED_VALUE"""),"jeffeam01")</f>
        <v>jeffeam01</v>
      </c>
      <c r="B2913" s="161" t="str">
        <f>IFERROR(__xludf.DUMMYFUNCTION("""COMPUTED_VALUE"""),"Amile Jefferson")</f>
        <v>Amile Jefferson</v>
      </c>
      <c r="C2913" s="162" t="str">
        <f>IFERROR(__xludf.DUMMYFUNCTION("""COMPUTED_VALUE"""),"2018-19")</f>
        <v>2018-19</v>
      </c>
      <c r="D2913" s="163" t="str">
        <f>IFERROR(__xludf.DUMMYFUNCTION("""COMPUTED_VALUE"""),"ORL")</f>
        <v>ORL</v>
      </c>
      <c r="E2913" s="164" t="str">
        <f>IFERROR(__xludf.DUMMYFUNCTION("""COMPUTED_VALUE"""),"Roll + Cut Big")</f>
        <v>Roll + Cut Big</v>
      </c>
      <c r="F2913" s="164">
        <f>IFERROR(__xludf.DUMMYFUNCTION("""COMPUTED_VALUE"""),68.25)</f>
        <v>68.25</v>
      </c>
      <c r="G2913" s="163">
        <f>IFERROR(__xludf.DUMMYFUNCTION("""COMPUTED_VALUE"""),12.0)</f>
        <v>12</v>
      </c>
      <c r="H2913" s="163" t="str">
        <f>IFERROR(__xludf.DUMMYFUNCTION("""COMPUTED_VALUE"""),"PF")</f>
        <v>PF</v>
      </c>
      <c r="I2913" s="163">
        <f>IFERROR(__xludf.DUMMYFUNCTION("""COMPUTED_VALUE"""),25.0)</f>
        <v>25</v>
      </c>
      <c r="J2913" s="165">
        <f>IFERROR(__xludf.DUMMYFUNCTION("""COMPUTED_VALUE"""),-0.101844491408861)</f>
        <v>-0.1018444914</v>
      </c>
      <c r="K2913" s="165">
        <f>IFERROR(__xludf.DUMMYFUNCTION("""COMPUTED_VALUE"""),-0.0260597951810591)</f>
        <v>-0.02605979518</v>
      </c>
      <c r="L2913" s="165">
        <f>IFERROR(__xludf.DUMMYFUNCTION("""COMPUTED_VALUE"""),-0.0757846962278018)</f>
        <v>-0.07578469623</v>
      </c>
      <c r="M2913" s="166">
        <f t="shared" si="2"/>
        <v>0.1005326006</v>
      </c>
      <c r="N2913" s="167">
        <f t="shared" si="3"/>
        <v>5.6875</v>
      </c>
      <c r="O2913" s="163">
        <f t="shared" ref="O2913:Q2913" si="2917">rank(I2913,I:I)</f>
        <v>1995</v>
      </c>
      <c r="P2913" s="163">
        <f t="shared" si="2917"/>
        <v>1384</v>
      </c>
      <c r="Q2913" s="163">
        <f t="shared" si="2917"/>
        <v>1233</v>
      </c>
      <c r="R2913" s="163">
        <f>IFERROR(__xludf.DUMMYFUNCTION("RANK(M2913,filter(M:M,C:C=C2913))"),392.0)</f>
        <v>392</v>
      </c>
      <c r="S2913" s="161" t="b">
        <f t="shared" si="5"/>
        <v>0</v>
      </c>
      <c r="T2913" s="161" t="b">
        <f t="array" ref="T2913">index('Query Tool'!B:B,match(H2913,'Query Tool'!C:C,0))</f>
        <v>1</v>
      </c>
      <c r="U2913" s="161" t="b">
        <f t="array" ref="U2913">index('Query Tool'!B:B,match(C2913,'Query Tool'!C:C,0))</f>
        <v>0</v>
      </c>
      <c r="V2913" s="161" t="b">
        <f>F2913&gt;='Query Tool'!C$32</f>
        <v>0</v>
      </c>
      <c r="W2913" s="161" t="b">
        <f t="array" ref="W2913">index(Dropdowns!B:B,match(I2913,Dropdowns!A:A,0))</f>
        <v>1</v>
      </c>
      <c r="X2913" s="161" t="b">
        <f t="array" ref="X2913">index('Query Tool'!B:B,match(D2913,'Query Tool'!C:C,0))</f>
        <v>1</v>
      </c>
      <c r="Y2913" s="161" t="str">
        <f t="shared" si="6"/>
        <v>jeffeam01,2018-19</v>
      </c>
      <c r="Z2913" s="168">
        <f t="array" ref="Z2913">iferror(index(I:I,match($A2913&amp;","&amp;index('Year Conversion'!$A:$A,match($C2913,'Year Conversion'!$B:$B,0)),$Y:$Y,0))-I2913,"")</f>
        <v>1</v>
      </c>
      <c r="AA2913" s="168">
        <f t="array" ref="AA2913">iferror(index(J:J,match($A2913&amp;","&amp;index('Year Conversion'!$A:$A,match($C2913,'Year Conversion'!$B:$B,0)),$Y:$Y,0))-J2913,"")</f>
        <v>-0.4581007197</v>
      </c>
      <c r="AB2913" s="168">
        <f t="array" ref="AB2913">iferror(index(K:K,match($A2913&amp;","&amp;index('Year Conversion'!$A:$A,match($C2913,'Year Conversion'!$B:$B,0)),$Y:$Y,0))-K2913,"")</f>
        <v>-0.7694137298</v>
      </c>
      <c r="AC2913" s="168" t="str">
        <f t="shared" si="7"/>
        <v>ORL,2018-19</v>
      </c>
    </row>
    <row r="2914">
      <c r="A2914" s="161" t="str">
        <f>IFERROR(__xludf.DUMMYFUNCTION("""COMPUTED_VALUE"""),"morrija01")</f>
        <v>morrija01</v>
      </c>
      <c r="B2914" s="161" t="str">
        <f>IFERROR(__xludf.DUMMYFUNCTION("""COMPUTED_VALUE"""),"Jaylen Morris")</f>
        <v>Jaylen Morris</v>
      </c>
      <c r="C2914" s="162" t="str">
        <f>IFERROR(__xludf.DUMMYFUNCTION("""COMPUTED_VALUE"""),"2018-19")</f>
        <v>2018-19</v>
      </c>
      <c r="D2914" s="163" t="str">
        <f>IFERROR(__xludf.DUMMYFUNCTION("""COMPUTED_VALUE"""),"MIL")</f>
        <v>MIL</v>
      </c>
      <c r="E2914" s="164" t="str">
        <f>IFERROR(__xludf.DUMMYFUNCTION("""COMPUTED_VALUE"""),"Stationary Shooter")</f>
        <v>Stationary Shooter</v>
      </c>
      <c r="F2914" s="164">
        <f>IFERROR(__xludf.DUMMYFUNCTION("""COMPUTED_VALUE"""),28.5133333333333)</f>
        <v>28.51333333</v>
      </c>
      <c r="G2914" s="163">
        <f>IFERROR(__xludf.DUMMYFUNCTION("""COMPUTED_VALUE"""),4.0)</f>
        <v>4</v>
      </c>
      <c r="H2914" s="163" t="str">
        <f>IFERROR(__xludf.DUMMYFUNCTION("""COMPUTED_VALUE"""),"SG")</f>
        <v>SG</v>
      </c>
      <c r="I2914" s="163">
        <f>IFERROR(__xludf.DUMMYFUNCTION("""COMPUTED_VALUE"""),23.0)</f>
        <v>23</v>
      </c>
      <c r="J2914" s="165">
        <f>IFERROR(__xludf.DUMMYFUNCTION("""COMPUTED_VALUE"""),-0.598843384571678)</f>
        <v>-0.5988433846</v>
      </c>
      <c r="K2914" s="165">
        <f>IFERROR(__xludf.DUMMYFUNCTION("""COMPUTED_VALUE"""),-0.24755214054677)</f>
        <v>-0.2475521405</v>
      </c>
      <c r="L2914" s="165">
        <f>IFERROR(__xludf.DUMMYFUNCTION("""COMPUTED_VALUE"""),-0.351291244024907)</f>
        <v>-0.351291244</v>
      </c>
      <c r="M2914" s="166">
        <f t="shared" si="2"/>
        <v>0.03245198179</v>
      </c>
      <c r="N2914" s="167">
        <f t="shared" si="3"/>
        <v>7.128333333</v>
      </c>
      <c r="O2914" s="163">
        <f t="shared" ref="O2914:Q2914" si="2918">rank(I2914,I:I)</f>
        <v>2765</v>
      </c>
      <c r="P2914" s="163">
        <f t="shared" si="2918"/>
        <v>1995</v>
      </c>
      <c r="Q2914" s="163">
        <f t="shared" si="2918"/>
        <v>1662</v>
      </c>
      <c r="R2914" s="163">
        <f>IFERROR(__xludf.DUMMYFUNCTION("RANK(M2914,filter(M:M,C:C=C2914))"),439.0)</f>
        <v>439</v>
      </c>
      <c r="S2914" s="161" t="b">
        <f t="shared" si="5"/>
        <v>0</v>
      </c>
      <c r="T2914" s="161" t="b">
        <f t="array" ref="T2914">index('Query Tool'!B:B,match(H2914,'Query Tool'!C:C,0))</f>
        <v>1</v>
      </c>
      <c r="U2914" s="161" t="b">
        <f t="array" ref="U2914">index('Query Tool'!B:B,match(C2914,'Query Tool'!C:C,0))</f>
        <v>0</v>
      </c>
      <c r="V2914" s="161" t="b">
        <f>F2914&gt;='Query Tool'!C$32</f>
        <v>0</v>
      </c>
      <c r="W2914" s="161" t="b">
        <f t="array" ref="W2914">index(Dropdowns!B:B,match(I2914,Dropdowns!A:A,0))</f>
        <v>1</v>
      </c>
      <c r="X2914" s="161" t="b">
        <f t="array" ref="X2914">index('Query Tool'!B:B,match(D2914,'Query Tool'!C:C,0))</f>
        <v>1</v>
      </c>
      <c r="Y2914" s="161" t="str">
        <f t="shared" si="6"/>
        <v>morrija01,2018-19</v>
      </c>
      <c r="Z2914" s="168" t="str">
        <f t="array" ref="Z2914">iferror(index(I:I,match($A2914&amp;","&amp;index('Year Conversion'!$A:$A,match($C2914,'Year Conversion'!$B:$B,0)),$Y:$Y,0))-I2914,"")</f>
        <v/>
      </c>
      <c r="AA2914" s="168" t="str">
        <f t="array" ref="AA2914">iferror(index(J:J,match($A2914&amp;","&amp;index('Year Conversion'!$A:$A,match($C2914,'Year Conversion'!$B:$B,0)),$Y:$Y,0))-J2914,"")</f>
        <v/>
      </c>
      <c r="AB2914" s="168" t="str">
        <f t="array" ref="AB2914">iferror(index(K:K,match($A2914&amp;","&amp;index('Year Conversion'!$A:$A,match($C2914,'Year Conversion'!$B:$B,0)),$Y:$Y,0))-K2914,"")</f>
        <v/>
      </c>
      <c r="AC2914" s="168" t="str">
        <f t="shared" si="7"/>
        <v>MIL,2018-19</v>
      </c>
    </row>
    <row r="2915">
      <c r="A2915" s="161" t="str">
        <f>IFERROR(__xludf.DUMMYFUNCTION("""COMPUTED_VALUE"""),"hannadu01")</f>
        <v>hannadu01</v>
      </c>
      <c r="B2915" s="161" t="str">
        <f>IFERROR(__xludf.DUMMYFUNCTION("""COMPUTED_VALUE"""),"Dusty Hannahs")</f>
        <v>Dusty Hannahs</v>
      </c>
      <c r="C2915" s="162" t="str">
        <f>IFERROR(__xludf.DUMMYFUNCTION("""COMPUTED_VALUE"""),"2018-19")</f>
        <v>2018-19</v>
      </c>
      <c r="D2915" s="163" t="str">
        <f>IFERROR(__xludf.DUMMYFUNCTION("""COMPUTED_VALUE"""),"MEM")</f>
        <v>MEM</v>
      </c>
      <c r="E2915" s="164" t="str">
        <f>IFERROR(__xludf.DUMMYFUNCTION("""COMPUTED_VALUE"""),"Movement Shooter")</f>
        <v>Movement Shooter</v>
      </c>
      <c r="F2915" s="164">
        <f>IFERROR(__xludf.DUMMYFUNCTION("""COMPUTED_VALUE"""),25.9166666666667)</f>
        <v>25.91666667</v>
      </c>
      <c r="G2915" s="163">
        <f>IFERROR(__xludf.DUMMYFUNCTION("""COMPUTED_VALUE"""),2.0)</f>
        <v>2</v>
      </c>
      <c r="H2915" s="163" t="str">
        <f>IFERROR(__xludf.DUMMYFUNCTION("""COMPUTED_VALUE"""),"SG")</f>
        <v>SG</v>
      </c>
      <c r="I2915" s="163">
        <f>IFERROR(__xludf.DUMMYFUNCTION("""COMPUTED_VALUE"""),25.0)</f>
        <v>25</v>
      </c>
      <c r="J2915" s="165">
        <f>IFERROR(__xludf.DUMMYFUNCTION("""COMPUTED_VALUE"""),-0.571193677087171)</f>
        <v>-0.5711936771</v>
      </c>
      <c r="K2915" s="165">
        <f>IFERROR(__xludf.DUMMYFUNCTION("""COMPUTED_VALUE"""),-0.303353553694948)</f>
        <v>-0.3033535537</v>
      </c>
      <c r="L2915" s="165">
        <f>IFERROR(__xludf.DUMMYFUNCTION("""COMPUTED_VALUE"""),-0.267840123392223)</f>
        <v>-0.2678401234</v>
      </c>
      <c r="M2915" s="166">
        <f t="shared" si="2"/>
        <v>0.02997905624</v>
      </c>
      <c r="N2915" s="167">
        <f t="shared" si="3"/>
        <v>12.95833333</v>
      </c>
      <c r="O2915" s="163">
        <f t="shared" ref="O2915:Q2915" si="2919">rank(I2915,I:I)</f>
        <v>1995</v>
      </c>
      <c r="P2915" s="163">
        <f t="shared" si="2919"/>
        <v>1954</v>
      </c>
      <c r="Q2915" s="163">
        <f t="shared" si="2919"/>
        <v>1766</v>
      </c>
      <c r="R2915" s="163">
        <f>IFERROR(__xludf.DUMMYFUNCTION("RANK(M2915,filter(M:M,C:C=C2915))"),443.0)</f>
        <v>443</v>
      </c>
      <c r="S2915" s="161" t="b">
        <f t="shared" si="5"/>
        <v>0</v>
      </c>
      <c r="T2915" s="161" t="b">
        <f t="array" ref="T2915">index('Query Tool'!B:B,match(H2915,'Query Tool'!C:C,0))</f>
        <v>1</v>
      </c>
      <c r="U2915" s="161" t="b">
        <f t="array" ref="U2915">index('Query Tool'!B:B,match(C2915,'Query Tool'!C:C,0))</f>
        <v>0</v>
      </c>
      <c r="V2915" s="161" t="b">
        <f>F2915&gt;='Query Tool'!C$32</f>
        <v>0</v>
      </c>
      <c r="W2915" s="161" t="b">
        <f t="array" ref="W2915">index(Dropdowns!B:B,match(I2915,Dropdowns!A:A,0))</f>
        <v>1</v>
      </c>
      <c r="X2915" s="161" t="b">
        <f t="array" ref="X2915">index('Query Tool'!B:B,match(D2915,'Query Tool'!C:C,0))</f>
        <v>1</v>
      </c>
      <c r="Y2915" s="161" t="str">
        <f t="shared" si="6"/>
        <v>hannadu01,2018-19</v>
      </c>
      <c r="Z2915" s="168">
        <f t="array" ref="Z2915">iferror(index(I:I,match($A2915&amp;","&amp;index('Year Conversion'!$A:$A,match($C2915,'Year Conversion'!$B:$B,0)),$Y:$Y,0))-I2915,"")</f>
        <v>1</v>
      </c>
      <c r="AA2915" s="168">
        <f t="array" ref="AA2915">iferror(index(J:J,match($A2915&amp;","&amp;index('Year Conversion'!$A:$A,match($C2915,'Year Conversion'!$B:$B,0)),$Y:$Y,0))-J2915,"")</f>
        <v>0.2930483995</v>
      </c>
      <c r="AB2915" s="168">
        <f t="array" ref="AB2915">iferror(index(K:K,match($A2915&amp;","&amp;index('Year Conversion'!$A:$A,match($C2915,'Year Conversion'!$B:$B,0)),$Y:$Y,0))-K2915,"")</f>
        <v>0.2808446704</v>
      </c>
      <c r="AC2915" s="168" t="str">
        <f t="shared" si="7"/>
        <v>MEM,2018-19</v>
      </c>
    </row>
    <row r="2916">
      <c r="A2916" s="161" t="str">
        <f>IFERROR(__xludf.DUMMYFUNCTION("""COMPUTED_VALUE"""),"garrebi01")</f>
        <v>garrebi01</v>
      </c>
      <c r="B2916" s="161" t="str">
        <f>IFERROR(__xludf.DUMMYFUNCTION("""COMPUTED_VALUE"""),"Billy Garrett")</f>
        <v>Billy Garrett</v>
      </c>
      <c r="C2916" s="162" t="str">
        <f>IFERROR(__xludf.DUMMYFUNCTION("""COMPUTED_VALUE"""),"2018-19")</f>
        <v>2018-19</v>
      </c>
      <c r="D2916" s="163" t="str">
        <f>IFERROR(__xludf.DUMMYFUNCTION("""COMPUTED_VALUE"""),"NYK")</f>
        <v>NYK</v>
      </c>
      <c r="E2916" s="164" t="str">
        <f>IFERROR(__xludf.DUMMYFUNCTION("""COMPUTED_VALUE"""),"Secondary Ball Handler")</f>
        <v>Secondary Ball Handler</v>
      </c>
      <c r="F2916" s="164">
        <f>IFERROR(__xludf.DUMMYFUNCTION("""COMPUTED_VALUE"""),63.4333333333333)</f>
        <v>63.43333333</v>
      </c>
      <c r="G2916" s="163">
        <f>IFERROR(__xludf.DUMMYFUNCTION("""COMPUTED_VALUE"""),4.0)</f>
        <v>4</v>
      </c>
      <c r="H2916" s="163" t="str">
        <f>IFERROR(__xludf.DUMMYFUNCTION("""COMPUTED_VALUE"""),"SG")</f>
        <v>SG</v>
      </c>
      <c r="I2916" s="163">
        <f>IFERROR(__xludf.DUMMYFUNCTION("""COMPUTED_VALUE"""),24.0)</f>
        <v>24</v>
      </c>
      <c r="J2916" s="165">
        <f>IFERROR(__xludf.DUMMYFUNCTION("""COMPUTED_VALUE"""),-0.155783023237579)</f>
        <v>-0.1557830232</v>
      </c>
      <c r="K2916" s="165">
        <f>IFERROR(__xludf.DUMMYFUNCTION("""COMPUTED_VALUE"""),-0.234134589027821)</f>
        <v>-0.234134589</v>
      </c>
      <c r="L2916" s="165">
        <f>IFERROR(__xludf.DUMMYFUNCTION("""COMPUTED_VALUE"""),0.0783515657902411)</f>
        <v>0.07835156579</v>
      </c>
      <c r="M2916" s="166">
        <f t="shared" si="2"/>
        <v>0.09113104667</v>
      </c>
      <c r="N2916" s="167">
        <f t="shared" si="3"/>
        <v>15.85833333</v>
      </c>
      <c r="O2916" s="163">
        <f t="shared" ref="O2916:Q2916" si="2920">rank(I2916,I:I)</f>
        <v>2361</v>
      </c>
      <c r="P2916" s="163">
        <f t="shared" si="2920"/>
        <v>1449</v>
      </c>
      <c r="Q2916" s="163">
        <f t="shared" si="2920"/>
        <v>1632</v>
      </c>
      <c r="R2916" s="163">
        <f>IFERROR(__xludf.DUMMYFUNCTION("RANK(M2916,filter(M:M,C:C=C2916))"),396.0)</f>
        <v>396</v>
      </c>
      <c r="S2916" s="161" t="b">
        <f t="shared" si="5"/>
        <v>0</v>
      </c>
      <c r="T2916" s="161" t="b">
        <f t="array" ref="T2916">index('Query Tool'!B:B,match(H2916,'Query Tool'!C:C,0))</f>
        <v>1</v>
      </c>
      <c r="U2916" s="161" t="b">
        <f t="array" ref="U2916">index('Query Tool'!B:B,match(C2916,'Query Tool'!C:C,0))</f>
        <v>0</v>
      </c>
      <c r="V2916" s="161" t="b">
        <f>F2916&gt;='Query Tool'!C$32</f>
        <v>0</v>
      </c>
      <c r="W2916" s="161" t="b">
        <f t="array" ref="W2916">index(Dropdowns!B:B,match(I2916,Dropdowns!A:A,0))</f>
        <v>1</v>
      </c>
      <c r="X2916" s="161" t="b">
        <f t="array" ref="X2916">index('Query Tool'!B:B,match(D2916,'Query Tool'!C:C,0))</f>
        <v>1</v>
      </c>
      <c r="Y2916" s="161" t="str">
        <f t="shared" si="6"/>
        <v>garrebi01,2018-19</v>
      </c>
      <c r="Z2916" s="168" t="str">
        <f t="array" ref="Z2916">iferror(index(I:I,match($A2916&amp;","&amp;index('Year Conversion'!$A:$A,match($C2916,'Year Conversion'!$B:$B,0)),$Y:$Y,0))-I2916,"")</f>
        <v/>
      </c>
      <c r="AA2916" s="168" t="str">
        <f t="array" ref="AA2916">iferror(index(J:J,match($A2916&amp;","&amp;index('Year Conversion'!$A:$A,match($C2916,'Year Conversion'!$B:$B,0)),$Y:$Y,0))-J2916,"")</f>
        <v/>
      </c>
      <c r="AB2916" s="168" t="str">
        <f t="array" ref="AB2916">iferror(index(K:K,match($A2916&amp;","&amp;index('Year Conversion'!$A:$A,match($C2916,'Year Conversion'!$B:$B,0)),$Y:$Y,0))-K2916,"")</f>
        <v/>
      </c>
      <c r="AC2916" s="168" t="str">
        <f t="shared" si="7"/>
        <v>NYK,2018-19</v>
      </c>
    </row>
    <row r="2917">
      <c r="A2917" s="161" t="str">
        <f>IFERROR(__xludf.DUMMYFUNCTION("""COMPUTED_VALUE"""),"mccalta01")</f>
        <v>mccalta01</v>
      </c>
      <c r="B2917" s="161" t="str">
        <f>IFERROR(__xludf.DUMMYFUNCTION("""COMPUTED_VALUE"""),"Tahjere McCall")</f>
        <v>Tahjere McCall</v>
      </c>
      <c r="C2917" s="162" t="str">
        <f>IFERROR(__xludf.DUMMYFUNCTION("""COMPUTED_VALUE"""),"2018-19")</f>
        <v>2018-19</v>
      </c>
      <c r="D2917" s="163" t="str">
        <f>IFERROR(__xludf.DUMMYFUNCTION("""COMPUTED_VALUE"""),"BRK")</f>
        <v>BRK</v>
      </c>
      <c r="E2917" s="164" t="str">
        <f>IFERROR(__xludf.DUMMYFUNCTION("""COMPUTED_VALUE"""),"Off Screen Shooter")</f>
        <v>Off Screen Shooter</v>
      </c>
      <c r="F2917" s="164">
        <f>IFERROR(__xludf.DUMMYFUNCTION("""COMPUTED_VALUE"""),7.96666666666667)</f>
        <v>7.966666667</v>
      </c>
      <c r="G2917" s="163">
        <f>IFERROR(__xludf.DUMMYFUNCTION("""COMPUTED_VALUE"""),1.0)</f>
        <v>1</v>
      </c>
      <c r="H2917" s="163" t="str">
        <f>IFERROR(__xludf.DUMMYFUNCTION("""COMPUTED_VALUE"""),"SG")</f>
        <v>SG</v>
      </c>
      <c r="I2917" s="163">
        <f>IFERROR(__xludf.DUMMYFUNCTION("""COMPUTED_VALUE"""),24.0)</f>
        <v>24</v>
      </c>
      <c r="J2917" s="165">
        <f>IFERROR(__xludf.DUMMYFUNCTION("""COMPUTED_VALUE"""),-0.0465989640986278)</f>
        <v>-0.0465989641</v>
      </c>
      <c r="K2917" s="165">
        <f>IFERROR(__xludf.DUMMYFUNCTION("""COMPUTED_VALUE"""),-0.0517889378533579)</f>
        <v>-0.05178893785</v>
      </c>
      <c r="L2917" s="165">
        <f>IFERROR(__xludf.DUMMYFUNCTION("""COMPUTED_VALUE"""),0.00518997375473004)</f>
        <v>0.005189973755</v>
      </c>
      <c r="M2917" s="166">
        <f t="shared" si="2"/>
        <v>0.01203166004</v>
      </c>
      <c r="N2917" s="167">
        <f t="shared" si="3"/>
        <v>7.966666667</v>
      </c>
      <c r="O2917" s="163">
        <f t="shared" ref="O2917:Q2917" si="2921">rank(I2917,I:I)</f>
        <v>2361</v>
      </c>
      <c r="P2917" s="163">
        <f t="shared" si="2921"/>
        <v>1328</v>
      </c>
      <c r="Q2917" s="163">
        <f t="shared" si="2921"/>
        <v>1278</v>
      </c>
      <c r="R2917" s="163">
        <f>IFERROR(__xludf.DUMMYFUNCTION("RANK(M2917,filter(M:M,C:C=C2917))"),460.0)</f>
        <v>460</v>
      </c>
      <c r="S2917" s="161" t="b">
        <f t="shared" si="5"/>
        <v>0</v>
      </c>
      <c r="T2917" s="161" t="b">
        <f t="array" ref="T2917">index('Query Tool'!B:B,match(H2917,'Query Tool'!C:C,0))</f>
        <v>1</v>
      </c>
      <c r="U2917" s="161" t="b">
        <f t="array" ref="U2917">index('Query Tool'!B:B,match(C2917,'Query Tool'!C:C,0))</f>
        <v>0</v>
      </c>
      <c r="V2917" s="161" t="b">
        <f>F2917&gt;='Query Tool'!C$32</f>
        <v>0</v>
      </c>
      <c r="W2917" s="161" t="b">
        <f t="array" ref="W2917">index(Dropdowns!B:B,match(I2917,Dropdowns!A:A,0))</f>
        <v>1</v>
      </c>
      <c r="X2917" s="161" t="b">
        <f t="array" ref="X2917">index('Query Tool'!B:B,match(D2917,'Query Tool'!C:C,0))</f>
        <v>1</v>
      </c>
      <c r="Y2917" s="161" t="str">
        <f t="shared" si="6"/>
        <v>mccalta01,2018-19</v>
      </c>
      <c r="Z2917" s="168" t="str">
        <f t="array" ref="Z2917">iferror(index(I:I,match($A2917&amp;","&amp;index('Year Conversion'!$A:$A,match($C2917,'Year Conversion'!$B:$B,0)),$Y:$Y,0))-I2917,"")</f>
        <v/>
      </c>
      <c r="AA2917" s="168" t="str">
        <f t="array" ref="AA2917">iferror(index(J:J,match($A2917&amp;","&amp;index('Year Conversion'!$A:$A,match($C2917,'Year Conversion'!$B:$B,0)),$Y:$Y,0))-J2917,"")</f>
        <v/>
      </c>
      <c r="AB2917" s="168" t="str">
        <f t="array" ref="AB2917">iferror(index(K:K,match($A2917&amp;","&amp;index('Year Conversion'!$A:$A,match($C2917,'Year Conversion'!$B:$B,0)),$Y:$Y,0))-K2917,"")</f>
        <v/>
      </c>
      <c r="AC2917" s="168" t="str">
        <f t="shared" si="7"/>
        <v>BRK,2018-19</v>
      </c>
    </row>
    <row r="2918">
      <c r="A2918" s="161" t="str">
        <f>IFERROR(__xludf.DUMMYFUNCTION("""COMPUTED_VALUE"""),"alkinra01")</f>
        <v>alkinra01</v>
      </c>
      <c r="B2918" s="161" t="str">
        <f>IFERROR(__xludf.DUMMYFUNCTION("""COMPUTED_VALUE"""),"Rawle Alkins")</f>
        <v>Rawle Alkins</v>
      </c>
      <c r="C2918" s="162" t="str">
        <f>IFERROR(__xludf.DUMMYFUNCTION("""COMPUTED_VALUE"""),"2018-19")</f>
        <v>2018-19</v>
      </c>
      <c r="D2918" s="163" t="str">
        <f>IFERROR(__xludf.DUMMYFUNCTION("""COMPUTED_VALUE"""),"CHI")</f>
        <v>CHI</v>
      </c>
      <c r="E2918" s="164" t="str">
        <f>IFERROR(__xludf.DUMMYFUNCTION("""COMPUTED_VALUE"""),"Athletic Finisher")</f>
        <v>Athletic Finisher</v>
      </c>
      <c r="F2918" s="164">
        <f>IFERROR(__xludf.DUMMYFUNCTION("""COMPUTED_VALUE"""),120.353333333333)</f>
        <v>120.3533333</v>
      </c>
      <c r="G2918" s="163">
        <f>IFERROR(__xludf.DUMMYFUNCTION("""COMPUTED_VALUE"""),10.0)</f>
        <v>10</v>
      </c>
      <c r="H2918" s="163" t="str">
        <f>IFERROR(__xludf.DUMMYFUNCTION("""COMPUTED_VALUE"""),"SG")</f>
        <v>SG</v>
      </c>
      <c r="I2918" s="163">
        <f>IFERROR(__xludf.DUMMYFUNCTION("""COMPUTED_VALUE"""),21.0)</f>
        <v>21</v>
      </c>
      <c r="J2918" s="165">
        <f>IFERROR(__xludf.DUMMYFUNCTION("""COMPUTED_VALUE"""),-0.420054961235916)</f>
        <v>-0.4200549612</v>
      </c>
      <c r="K2918" s="165">
        <f>IFERROR(__xludf.DUMMYFUNCTION("""COMPUTED_VALUE"""),-0.10469890169588)</f>
        <v>-0.1046989017</v>
      </c>
      <c r="L2918" s="165">
        <f>IFERROR(__xludf.DUMMYFUNCTION("""COMPUTED_VALUE"""),-0.315356059540036)</f>
        <v>-0.3153560595</v>
      </c>
      <c r="M2918" s="166">
        <f t="shared" si="2"/>
        <v>0.1514693981</v>
      </c>
      <c r="N2918" s="167">
        <f t="shared" si="3"/>
        <v>12.03533333</v>
      </c>
      <c r="O2918" s="163">
        <f t="shared" ref="O2918:Q2918" si="2922">rank(I2918,I:I)</f>
        <v>3528</v>
      </c>
      <c r="P2918" s="163">
        <f t="shared" si="2922"/>
        <v>1751</v>
      </c>
      <c r="Q2918" s="163">
        <f t="shared" si="2922"/>
        <v>1377</v>
      </c>
      <c r="R2918" s="163">
        <f>IFERROR(__xludf.DUMMYFUNCTION("RANK(M2918,filter(M:M,C:C=C2918))"),366.0)</f>
        <v>366</v>
      </c>
      <c r="S2918" s="161" t="b">
        <f t="shared" si="5"/>
        <v>0</v>
      </c>
      <c r="T2918" s="161" t="b">
        <f t="array" ref="T2918">index('Query Tool'!B:B,match(H2918,'Query Tool'!C:C,0))</f>
        <v>1</v>
      </c>
      <c r="U2918" s="161" t="b">
        <f t="array" ref="U2918">index('Query Tool'!B:B,match(C2918,'Query Tool'!C:C,0))</f>
        <v>0</v>
      </c>
      <c r="V2918" s="161" t="b">
        <f>F2918&gt;='Query Tool'!C$32</f>
        <v>0</v>
      </c>
      <c r="W2918" s="161" t="b">
        <f t="array" ref="W2918">index(Dropdowns!B:B,match(I2918,Dropdowns!A:A,0))</f>
        <v>1</v>
      </c>
      <c r="X2918" s="161" t="b">
        <f t="array" ref="X2918">index('Query Tool'!B:B,match(D2918,'Query Tool'!C:C,0))</f>
        <v>1</v>
      </c>
      <c r="Y2918" s="161" t="str">
        <f t="shared" si="6"/>
        <v>alkinra01,2018-19</v>
      </c>
      <c r="Z2918" s="168" t="str">
        <f t="array" ref="Z2918">iferror(index(I:I,match($A2918&amp;","&amp;index('Year Conversion'!$A:$A,match($C2918,'Year Conversion'!$B:$B,0)),$Y:$Y,0))-I2918,"")</f>
        <v/>
      </c>
      <c r="AA2918" s="168" t="str">
        <f t="array" ref="AA2918">iferror(index(J:J,match($A2918&amp;","&amp;index('Year Conversion'!$A:$A,match($C2918,'Year Conversion'!$B:$B,0)),$Y:$Y,0))-J2918,"")</f>
        <v/>
      </c>
      <c r="AB2918" s="168" t="str">
        <f t="array" ref="AB2918">iferror(index(K:K,match($A2918&amp;","&amp;index('Year Conversion'!$A:$A,match($C2918,'Year Conversion'!$B:$B,0)),$Y:$Y,0))-K2918,"")</f>
        <v/>
      </c>
      <c r="AC2918" s="168" t="str">
        <f t="shared" si="7"/>
        <v>CHI,2018-19</v>
      </c>
    </row>
    <row r="2919">
      <c r="A2919" s="161" t="str">
        <f>IFERROR(__xludf.DUMMYFUNCTION("""COMPUTED_VALUE"""),"allengr01")</f>
        <v>allengr01</v>
      </c>
      <c r="B2919" s="161" t="str">
        <f>IFERROR(__xludf.DUMMYFUNCTION("""COMPUTED_VALUE"""),"Grayson Allen")</f>
        <v>Grayson Allen</v>
      </c>
      <c r="C2919" s="162" t="str">
        <f>IFERROR(__xludf.DUMMYFUNCTION("""COMPUTED_VALUE"""),"2018-19")</f>
        <v>2018-19</v>
      </c>
      <c r="D2919" s="163" t="str">
        <f>IFERROR(__xludf.DUMMYFUNCTION("""COMPUTED_VALUE"""),"UTA")</f>
        <v>UTA</v>
      </c>
      <c r="E2919" s="164" t="str">
        <f>IFERROR(__xludf.DUMMYFUNCTION("""COMPUTED_VALUE"""),"Secondary Ball Handler")</f>
        <v>Secondary Ball Handler</v>
      </c>
      <c r="F2919" s="164">
        <f>IFERROR(__xludf.DUMMYFUNCTION("""COMPUTED_VALUE"""),416.293333333333)</f>
        <v>416.2933333</v>
      </c>
      <c r="G2919" s="163">
        <f>IFERROR(__xludf.DUMMYFUNCTION("""COMPUTED_VALUE"""),38.0)</f>
        <v>38</v>
      </c>
      <c r="H2919" s="163" t="str">
        <f>IFERROR(__xludf.DUMMYFUNCTION("""COMPUTED_VALUE"""),"SG")</f>
        <v>SG</v>
      </c>
      <c r="I2919" s="163">
        <f>IFERROR(__xludf.DUMMYFUNCTION("""COMPUTED_VALUE"""),23.0)</f>
        <v>23</v>
      </c>
      <c r="J2919" s="165">
        <f>IFERROR(__xludf.DUMMYFUNCTION("""COMPUTED_VALUE"""),-4.16158901388493)</f>
        <v>-4.161589014</v>
      </c>
      <c r="K2919" s="165">
        <f>IFERROR(__xludf.DUMMYFUNCTION("""COMPUTED_VALUE"""),-1.28647820598757)</f>
        <v>-1.286478206</v>
      </c>
      <c r="L2919" s="165">
        <f>IFERROR(__xludf.DUMMYFUNCTION("""COMPUTED_VALUE"""),-2.87511080789736)</f>
        <v>-2.875110808</v>
      </c>
      <c r="M2919" s="166">
        <f t="shared" si="2"/>
        <v>-0.4988946499</v>
      </c>
      <c r="N2919" s="167">
        <f t="shared" si="3"/>
        <v>10.95508772</v>
      </c>
      <c r="O2919" s="163">
        <f t="shared" ref="O2919:Q2919" si="2923">rank(I2919,I:I)</f>
        <v>2765</v>
      </c>
      <c r="P2919" s="163">
        <f t="shared" si="2923"/>
        <v>4003</v>
      </c>
      <c r="Q2919" s="163">
        <f t="shared" si="2923"/>
        <v>3127</v>
      </c>
      <c r="R2919" s="163">
        <f>IFERROR(__xludf.DUMMYFUNCTION("RANK(M2919,filter(M:M,C:C=C2919))"),519.0)</f>
        <v>519</v>
      </c>
      <c r="S2919" s="161" t="b">
        <f t="shared" si="5"/>
        <v>0</v>
      </c>
      <c r="T2919" s="161" t="b">
        <f t="array" ref="T2919">index('Query Tool'!B:B,match(H2919,'Query Tool'!C:C,0))</f>
        <v>1</v>
      </c>
      <c r="U2919" s="161" t="b">
        <f t="array" ref="U2919">index('Query Tool'!B:B,match(C2919,'Query Tool'!C:C,0))</f>
        <v>0</v>
      </c>
      <c r="V2919" s="161" t="b">
        <f>F2919&gt;='Query Tool'!C$32</f>
        <v>0</v>
      </c>
      <c r="W2919" s="161" t="b">
        <f t="array" ref="W2919">index(Dropdowns!B:B,match(I2919,Dropdowns!A:A,0))</f>
        <v>1</v>
      </c>
      <c r="X2919" s="161" t="b">
        <f t="array" ref="X2919">index('Query Tool'!B:B,match(D2919,'Query Tool'!C:C,0))</f>
        <v>1</v>
      </c>
      <c r="Y2919" s="161" t="str">
        <f t="shared" si="6"/>
        <v>allengr01,2018-19</v>
      </c>
      <c r="Z2919" s="168">
        <f t="array" ref="Z2919">iferror(index(I:I,match($A2919&amp;","&amp;index('Year Conversion'!$A:$A,match($C2919,'Year Conversion'!$B:$B,0)),$Y:$Y,0))-I2919,"")</f>
        <v>1</v>
      </c>
      <c r="AA2919" s="168">
        <f t="array" ref="AA2919">iferror(index(J:J,match($A2919&amp;","&amp;index('Year Conversion'!$A:$A,match($C2919,'Year Conversion'!$B:$B,0)),$Y:$Y,0))-J2919,"")</f>
        <v>2.467614737</v>
      </c>
      <c r="AB2919" s="168">
        <f t="array" ref="AB2919">iferror(index(K:K,match($A2919&amp;","&amp;index('Year Conversion'!$A:$A,match($C2919,'Year Conversion'!$B:$B,0)),$Y:$Y,0))-K2919,"")</f>
        <v>0.9330333632</v>
      </c>
      <c r="AC2919" s="168" t="str">
        <f t="shared" si="7"/>
        <v>UTA,2018-19</v>
      </c>
    </row>
    <row r="2920">
      <c r="A2920" s="161" t="str">
        <f>IFERROR(__xludf.DUMMYFUNCTION("""COMPUTED_VALUE"""),"antetko01")</f>
        <v>antetko01</v>
      </c>
      <c r="B2920" s="161" t="str">
        <f>IFERROR(__xludf.DUMMYFUNCTION("""COMPUTED_VALUE"""),"Kostas Antetokounmpo")</f>
        <v>Kostas Antetokounmpo</v>
      </c>
      <c r="C2920" s="162" t="str">
        <f>IFERROR(__xludf.DUMMYFUNCTION("""COMPUTED_VALUE"""),"2018-19")</f>
        <v>2018-19</v>
      </c>
      <c r="D2920" s="163" t="str">
        <f>IFERROR(__xludf.DUMMYFUNCTION("""COMPUTED_VALUE"""),"DAL")</f>
        <v>DAL</v>
      </c>
      <c r="E2920" s="164" t="str">
        <f>IFERROR(__xludf.DUMMYFUNCTION("""COMPUTED_VALUE"""),"Post Scorer")</f>
        <v>Post Scorer</v>
      </c>
      <c r="F2920" s="164">
        <f>IFERROR(__xludf.DUMMYFUNCTION("""COMPUTED_VALUE"""),10.5666666666667)</f>
        <v>10.56666667</v>
      </c>
      <c r="G2920" s="163">
        <f>IFERROR(__xludf.DUMMYFUNCTION("""COMPUTED_VALUE"""),2.0)</f>
        <v>2</v>
      </c>
      <c r="H2920" s="163" t="str">
        <f>IFERROR(__xludf.DUMMYFUNCTION("""COMPUTED_VALUE"""),"PF")</f>
        <v>PF</v>
      </c>
      <c r="I2920" s="163">
        <f>IFERROR(__xludf.DUMMYFUNCTION("""COMPUTED_VALUE"""),21.0)</f>
        <v>21</v>
      </c>
      <c r="J2920" s="165">
        <f>IFERROR(__xludf.DUMMYFUNCTION("""COMPUTED_VALUE"""),-0.185667987344502)</f>
        <v>-0.1856679873</v>
      </c>
      <c r="K2920" s="165">
        <f>IFERROR(__xludf.DUMMYFUNCTION("""COMPUTED_VALUE"""),-0.245502021017471)</f>
        <v>-0.245502021</v>
      </c>
      <c r="L2920" s="165">
        <f>IFERROR(__xludf.DUMMYFUNCTION("""COMPUTED_VALUE"""),0.0598340336729692)</f>
        <v>0.05983403367</v>
      </c>
      <c r="M2920" s="166">
        <f t="shared" si="2"/>
        <v>0.01496765369</v>
      </c>
      <c r="N2920" s="167">
        <f t="shared" si="3"/>
        <v>5.283333333</v>
      </c>
      <c r="O2920" s="163">
        <f t="shared" ref="O2920:Q2920" si="2924">rank(I2920,I:I)</f>
        <v>3528</v>
      </c>
      <c r="P2920" s="163">
        <f t="shared" si="2924"/>
        <v>1490</v>
      </c>
      <c r="Q2920" s="163">
        <f t="shared" si="2924"/>
        <v>1659</v>
      </c>
      <c r="R2920" s="163">
        <f>IFERROR(__xludf.DUMMYFUNCTION("RANK(M2920,filter(M:M,C:C=C2920))"),459.0)</f>
        <v>459</v>
      </c>
      <c r="S2920" s="161" t="b">
        <f t="shared" si="5"/>
        <v>0</v>
      </c>
      <c r="T2920" s="161" t="b">
        <f t="array" ref="T2920">index('Query Tool'!B:B,match(H2920,'Query Tool'!C:C,0))</f>
        <v>1</v>
      </c>
      <c r="U2920" s="161" t="b">
        <f t="array" ref="U2920">index('Query Tool'!B:B,match(C2920,'Query Tool'!C:C,0))</f>
        <v>0</v>
      </c>
      <c r="V2920" s="161" t="b">
        <f>F2920&gt;='Query Tool'!C$32</f>
        <v>0</v>
      </c>
      <c r="W2920" s="161" t="b">
        <f t="array" ref="W2920">index(Dropdowns!B:B,match(I2920,Dropdowns!A:A,0))</f>
        <v>1</v>
      </c>
      <c r="X2920" s="161" t="b">
        <f t="array" ref="X2920">index('Query Tool'!B:B,match(D2920,'Query Tool'!C:C,0))</f>
        <v>1</v>
      </c>
      <c r="Y2920" s="161" t="str">
        <f t="shared" si="6"/>
        <v>antetko01,2018-19</v>
      </c>
      <c r="Z2920" s="168">
        <f t="array" ref="Z2920">iferror(index(I:I,match($A2920&amp;","&amp;index('Year Conversion'!$A:$A,match($C2920,'Year Conversion'!$B:$B,0)),$Y:$Y,0))-I2920,"")</f>
        <v>1</v>
      </c>
      <c r="AA2920" s="168">
        <f t="array" ref="AA2920">iferror(index(J:J,match($A2920&amp;","&amp;index('Year Conversion'!$A:$A,match($C2920,'Year Conversion'!$B:$B,0)),$Y:$Y,0))-J2920,"")</f>
        <v>-0.4947921377</v>
      </c>
      <c r="AB2920" s="168">
        <f t="array" ref="AB2920">iferror(index(K:K,match($A2920&amp;","&amp;index('Year Conversion'!$A:$A,match($C2920,'Year Conversion'!$B:$B,0)),$Y:$Y,0))-K2920,"")</f>
        <v>0.172189972</v>
      </c>
      <c r="AC2920" s="168" t="str">
        <f t="shared" si="7"/>
        <v>DAL,2018-19</v>
      </c>
    </row>
    <row r="2921">
      <c r="A2921" s="161" t="str">
        <f>IFERROR(__xludf.DUMMYFUNCTION("""COMPUTED_VALUE"""),"baglema01")</f>
        <v>baglema01</v>
      </c>
      <c r="B2921" s="161" t="str">
        <f>IFERROR(__xludf.DUMMYFUNCTION("""COMPUTED_VALUE"""),"Marvin Bagley III")</f>
        <v>Marvin Bagley III</v>
      </c>
      <c r="C2921" s="162" t="str">
        <f>IFERROR(__xludf.DUMMYFUNCTION("""COMPUTED_VALUE"""),"2018-19")</f>
        <v>2018-19</v>
      </c>
      <c r="D2921" s="163" t="str">
        <f>IFERROR(__xludf.DUMMYFUNCTION("""COMPUTED_VALUE"""),"SAC")</f>
        <v>SAC</v>
      </c>
      <c r="E2921" s="164" t="str">
        <f>IFERROR(__xludf.DUMMYFUNCTION("""COMPUTED_VALUE"""),"Post Scorer")</f>
        <v>Post Scorer</v>
      </c>
      <c r="F2921" s="164">
        <f>IFERROR(__xludf.DUMMYFUNCTION("""COMPUTED_VALUE"""),1567.495)</f>
        <v>1567.495</v>
      </c>
      <c r="G2921" s="163">
        <f>IFERROR(__xludf.DUMMYFUNCTION("""COMPUTED_VALUE"""),62.0)</f>
        <v>62</v>
      </c>
      <c r="H2921" s="163" t="str">
        <f>IFERROR(__xludf.DUMMYFUNCTION("""COMPUTED_VALUE"""),"PF")</f>
        <v>PF</v>
      </c>
      <c r="I2921" s="163">
        <f>IFERROR(__xludf.DUMMYFUNCTION("""COMPUTED_VALUE"""),19.0)</f>
        <v>19</v>
      </c>
      <c r="J2921" s="165">
        <f>IFERROR(__xludf.DUMMYFUNCTION("""COMPUTED_VALUE"""),-1.4411986045517)</f>
        <v>-1.441198605</v>
      </c>
      <c r="K2921" s="165">
        <f>IFERROR(__xludf.DUMMYFUNCTION("""COMPUTED_VALUE"""),-0.150885238135603)</f>
        <v>-0.1508852381</v>
      </c>
      <c r="L2921" s="165">
        <f>IFERROR(__xludf.DUMMYFUNCTION("""COMPUTED_VALUE"""),-1.29031336641609)</f>
        <v>-1.290313366</v>
      </c>
      <c r="M2921" s="166">
        <f t="shared" si="2"/>
        <v>0.8978911816</v>
      </c>
      <c r="N2921" s="167">
        <f t="shared" si="3"/>
        <v>25.28217742</v>
      </c>
      <c r="O2921" s="163">
        <f t="shared" ref="O2921:Q2921" si="2925">rank(I2921,I:I)</f>
        <v>3945</v>
      </c>
      <c r="P2921" s="163">
        <f t="shared" si="2925"/>
        <v>3002</v>
      </c>
      <c r="Q2921" s="163">
        <f t="shared" si="2925"/>
        <v>1478</v>
      </c>
      <c r="R2921" s="163">
        <f>IFERROR(__xludf.DUMMYFUNCTION("RANK(M2921,filter(M:M,C:C=C2921))"),232.0)</f>
        <v>232</v>
      </c>
      <c r="S2921" s="161" t="b">
        <f t="shared" si="5"/>
        <v>0</v>
      </c>
      <c r="T2921" s="161" t="b">
        <f t="array" ref="T2921">index('Query Tool'!B:B,match(H2921,'Query Tool'!C:C,0))</f>
        <v>1</v>
      </c>
      <c r="U2921" s="161" t="b">
        <f t="array" ref="U2921">index('Query Tool'!B:B,match(C2921,'Query Tool'!C:C,0))</f>
        <v>0</v>
      </c>
      <c r="V2921" s="161" t="b">
        <f>F2921&gt;='Query Tool'!C$32</f>
        <v>1</v>
      </c>
      <c r="W2921" s="161" t="b">
        <f t="array" ref="W2921">index(Dropdowns!B:B,match(I2921,Dropdowns!A:A,0))</f>
        <v>1</v>
      </c>
      <c r="X2921" s="161" t="b">
        <f t="array" ref="X2921">index('Query Tool'!B:B,match(D2921,'Query Tool'!C:C,0))</f>
        <v>1</v>
      </c>
      <c r="Y2921" s="161" t="str">
        <f t="shared" si="6"/>
        <v>baglema01,2018-19</v>
      </c>
      <c r="Z2921" s="168">
        <f t="array" ref="Z2921">iferror(index(I:I,match($A2921&amp;","&amp;index('Year Conversion'!$A:$A,match($C2921,'Year Conversion'!$B:$B,0)),$Y:$Y,0))-I2921,"")</f>
        <v>1</v>
      </c>
      <c r="AA2921" s="168">
        <f t="array" ref="AA2921">iferror(index(J:J,match($A2921&amp;","&amp;index('Year Conversion'!$A:$A,match($C2921,'Year Conversion'!$B:$B,0)),$Y:$Y,0))-J2921,"")</f>
        <v>0.5447192758</v>
      </c>
      <c r="AB2921" s="168">
        <f t="array" ref="AB2921">iferror(index(K:K,match($A2921&amp;","&amp;index('Year Conversion'!$A:$A,match($C2921,'Year Conversion'!$B:$B,0)),$Y:$Y,0))-K2921,"")</f>
        <v>-0.457575713</v>
      </c>
      <c r="AC2921" s="168" t="str">
        <f t="shared" si="7"/>
        <v>SAC,2018-19</v>
      </c>
    </row>
    <row r="2922">
      <c r="A2922" s="161" t="str">
        <f>IFERROR(__xludf.DUMMYFUNCTION("""COMPUTED_VALUE"""),"bambamo01")</f>
        <v>bambamo01</v>
      </c>
      <c r="B2922" s="161" t="str">
        <f>IFERROR(__xludf.DUMMYFUNCTION("""COMPUTED_VALUE"""),"Mo Bamba")</f>
        <v>Mo Bamba</v>
      </c>
      <c r="C2922" s="162" t="str">
        <f>IFERROR(__xludf.DUMMYFUNCTION("""COMPUTED_VALUE"""),"2018-19")</f>
        <v>2018-19</v>
      </c>
      <c r="D2922" s="163" t="str">
        <f>IFERROR(__xludf.DUMMYFUNCTION("""COMPUTED_VALUE"""),"ORL")</f>
        <v>ORL</v>
      </c>
      <c r="E2922" s="164" t="str">
        <f>IFERROR(__xludf.DUMMYFUNCTION("""COMPUTED_VALUE"""),"Stretch Big")</f>
        <v>Stretch Big</v>
      </c>
      <c r="F2922" s="164">
        <f>IFERROR(__xludf.DUMMYFUNCTION("""COMPUTED_VALUE"""),766.193333333333)</f>
        <v>766.1933333</v>
      </c>
      <c r="G2922" s="163">
        <f>IFERROR(__xludf.DUMMYFUNCTION("""COMPUTED_VALUE"""),47.0)</f>
        <v>47</v>
      </c>
      <c r="H2922" s="163" t="str">
        <f>IFERROR(__xludf.DUMMYFUNCTION("""COMPUTED_VALUE"""),"C")</f>
        <v>C</v>
      </c>
      <c r="I2922" s="163">
        <f>IFERROR(__xludf.DUMMYFUNCTION("""COMPUTED_VALUE"""),20.0)</f>
        <v>20</v>
      </c>
      <c r="J2922" s="165">
        <f>IFERROR(__xludf.DUMMYFUNCTION("""COMPUTED_VALUE"""),-1.11837572894926)</f>
        <v>-1.118375729</v>
      </c>
      <c r="K2922" s="165">
        <f>IFERROR(__xludf.DUMMYFUNCTION("""COMPUTED_VALUE"""),-2.96226610141919)</f>
        <v>-2.962266101</v>
      </c>
      <c r="L2922" s="165">
        <f>IFERROR(__xludf.DUMMYFUNCTION("""COMPUTED_VALUE"""),1.84389037246992)</f>
        <v>1.843890372</v>
      </c>
      <c r="M2922" s="166">
        <f t="shared" si="2"/>
        <v>0.6045085484</v>
      </c>
      <c r="N2922" s="167">
        <f t="shared" si="3"/>
        <v>16.30198582</v>
      </c>
      <c r="O2922" s="163">
        <f t="shared" ref="O2922:Q2922" si="2926">rank(I2922,I:I)</f>
        <v>3770</v>
      </c>
      <c r="P2922" s="163">
        <f t="shared" si="2926"/>
        <v>2644</v>
      </c>
      <c r="Q2922" s="163">
        <f t="shared" si="2926"/>
        <v>3976</v>
      </c>
      <c r="R2922" s="163">
        <f>IFERROR(__xludf.DUMMYFUNCTION("RANK(M2922,filter(M:M,C:C=C2922))"),270.0)</f>
        <v>270</v>
      </c>
      <c r="S2922" s="161" t="b">
        <f t="shared" si="5"/>
        <v>0</v>
      </c>
      <c r="T2922" s="161" t="b">
        <f t="array" ref="T2922">index('Query Tool'!B:B,match(H2922,'Query Tool'!C:C,0))</f>
        <v>1</v>
      </c>
      <c r="U2922" s="161" t="b">
        <f t="array" ref="U2922">index('Query Tool'!B:B,match(C2922,'Query Tool'!C:C,0))</f>
        <v>0</v>
      </c>
      <c r="V2922" s="161" t="b">
        <f>F2922&gt;='Query Tool'!C$32</f>
        <v>1</v>
      </c>
      <c r="W2922" s="161" t="b">
        <f t="array" ref="W2922">index(Dropdowns!B:B,match(I2922,Dropdowns!A:A,0))</f>
        <v>1</v>
      </c>
      <c r="X2922" s="161" t="b">
        <f t="array" ref="X2922">index('Query Tool'!B:B,match(D2922,'Query Tool'!C:C,0))</f>
        <v>1</v>
      </c>
      <c r="Y2922" s="161" t="str">
        <f t="shared" si="6"/>
        <v>bambamo01,2018-19</v>
      </c>
      <c r="Z2922" s="168">
        <f t="array" ref="Z2922">iferror(index(I:I,match($A2922&amp;","&amp;index('Year Conversion'!$A:$A,match($C2922,'Year Conversion'!$B:$B,0)),$Y:$Y,0))-I2922,"")</f>
        <v>1</v>
      </c>
      <c r="AA2922" s="168">
        <f t="array" ref="AA2922">iferror(index(J:J,match($A2922&amp;","&amp;index('Year Conversion'!$A:$A,match($C2922,'Year Conversion'!$B:$B,0)),$Y:$Y,0))-J2922,"")</f>
        <v>2.015330927</v>
      </c>
      <c r="AB2922" s="168">
        <f t="array" ref="AB2922">iferror(index(K:K,match($A2922&amp;","&amp;index('Year Conversion'!$A:$A,match($C2922,'Year Conversion'!$B:$B,0)),$Y:$Y,0))-K2922,"")</f>
        <v>1.855214247</v>
      </c>
      <c r="AC2922" s="168" t="str">
        <f t="shared" si="7"/>
        <v>ORL,2018-19</v>
      </c>
    </row>
    <row r="2923">
      <c r="A2923" s="161" t="str">
        <f>IFERROR(__xludf.DUMMYFUNCTION("""COMPUTED_VALUE"""),"bateske01")</f>
        <v>bateske01</v>
      </c>
      <c r="B2923" s="161" t="str">
        <f>IFERROR(__xludf.DUMMYFUNCTION("""COMPUTED_VALUE"""),"Keita Bates-Diop")</f>
        <v>Keita Bates-Diop</v>
      </c>
      <c r="C2923" s="162" t="str">
        <f>IFERROR(__xludf.DUMMYFUNCTION("""COMPUTED_VALUE"""),"2018-19")</f>
        <v>2018-19</v>
      </c>
      <c r="D2923" s="163" t="str">
        <f>IFERROR(__xludf.DUMMYFUNCTION("""COMPUTED_VALUE"""),"MIN")</f>
        <v>MIN</v>
      </c>
      <c r="E2923" s="164" t="str">
        <f>IFERROR(__xludf.DUMMYFUNCTION("""COMPUTED_VALUE"""),"Athletic Finisher")</f>
        <v>Athletic Finisher</v>
      </c>
      <c r="F2923" s="164">
        <f>IFERROR(__xludf.DUMMYFUNCTION("""COMPUTED_VALUE"""),503.376666666667)</f>
        <v>503.3766667</v>
      </c>
      <c r="G2923" s="163">
        <f>IFERROR(__xludf.DUMMYFUNCTION("""COMPUTED_VALUE"""),30.0)</f>
        <v>30</v>
      </c>
      <c r="H2923" s="163" t="str">
        <f>IFERROR(__xludf.DUMMYFUNCTION("""COMPUTED_VALUE"""),"SF")</f>
        <v>SF</v>
      </c>
      <c r="I2923" s="163">
        <f>IFERROR(__xludf.DUMMYFUNCTION("""COMPUTED_VALUE"""),23.0)</f>
        <v>23</v>
      </c>
      <c r="J2923" s="165">
        <f>IFERROR(__xludf.DUMMYFUNCTION("""COMPUTED_VALUE"""),-1.97046820802376)</f>
        <v>-1.970468208</v>
      </c>
      <c r="K2923" s="165">
        <f>IFERROR(__xludf.DUMMYFUNCTION("""COMPUTED_VALUE"""),-1.45348014690118)</f>
        <v>-1.453480147</v>
      </c>
      <c r="L2923" s="165">
        <f>IFERROR(__xludf.DUMMYFUNCTION("""COMPUTED_VALUE"""),-0.516988061122575)</f>
        <v>-0.5169880611</v>
      </c>
      <c r="M2923" s="166">
        <f t="shared" si="2"/>
        <v>0.1109022553</v>
      </c>
      <c r="N2923" s="167">
        <f t="shared" si="3"/>
        <v>16.77922222</v>
      </c>
      <c r="O2923" s="163">
        <f t="shared" ref="O2923:Q2923" si="2927">rank(I2923,I:I)</f>
        <v>2765</v>
      </c>
      <c r="P2923" s="163">
        <f t="shared" si="2927"/>
        <v>3458</v>
      </c>
      <c r="Q2923" s="163">
        <f t="shared" si="2927"/>
        <v>3302</v>
      </c>
      <c r="R2923" s="163">
        <f>IFERROR(__xludf.DUMMYFUNCTION("RANK(M2923,filter(M:M,C:C=C2923))"),384.0)</f>
        <v>384</v>
      </c>
      <c r="S2923" s="161" t="b">
        <f t="shared" si="5"/>
        <v>0</v>
      </c>
      <c r="T2923" s="161" t="b">
        <f t="array" ref="T2923">index('Query Tool'!B:B,match(H2923,'Query Tool'!C:C,0))</f>
        <v>1</v>
      </c>
      <c r="U2923" s="161" t="b">
        <f t="array" ref="U2923">index('Query Tool'!B:B,match(C2923,'Query Tool'!C:C,0))</f>
        <v>0</v>
      </c>
      <c r="V2923" s="161" t="b">
        <f>F2923&gt;='Query Tool'!C$32</f>
        <v>1</v>
      </c>
      <c r="W2923" s="161" t="b">
        <f t="array" ref="W2923">index(Dropdowns!B:B,match(I2923,Dropdowns!A:A,0))</f>
        <v>1</v>
      </c>
      <c r="X2923" s="161" t="b">
        <f t="array" ref="X2923">index('Query Tool'!B:B,match(D2923,'Query Tool'!C:C,0))</f>
        <v>1</v>
      </c>
      <c r="Y2923" s="161" t="str">
        <f t="shared" si="6"/>
        <v>bateske01,2018-19</v>
      </c>
      <c r="Z2923" s="168">
        <f t="array" ref="Z2923">iferror(index(I:I,match($A2923&amp;","&amp;index('Year Conversion'!$A:$A,match($C2923,'Year Conversion'!$B:$B,0)),$Y:$Y,0))-I2923,"")</f>
        <v>1</v>
      </c>
      <c r="AA2923" s="168">
        <f t="array" ref="AA2923">iferror(index(J:J,match($A2923&amp;","&amp;index('Year Conversion'!$A:$A,match($C2923,'Year Conversion'!$B:$B,0)),$Y:$Y,0))-J2923,"")</f>
        <v>-0.9782474094</v>
      </c>
      <c r="AB2923" s="168">
        <f t="array" ref="AB2923">iferror(index(K:K,match($A2923&amp;","&amp;index('Year Conversion'!$A:$A,match($C2923,'Year Conversion'!$B:$B,0)),$Y:$Y,0))-K2923,"")</f>
        <v>-0.6284077485</v>
      </c>
      <c r="AC2923" s="168" t="str">
        <f t="shared" si="7"/>
        <v>MIN,2018-19</v>
      </c>
    </row>
    <row r="2924">
      <c r="A2924" s="161" t="str">
        <f>IFERROR(__xludf.DUMMYFUNCTION("""COMPUTED_VALUE"""),"bridgmi01")</f>
        <v>bridgmi01</v>
      </c>
      <c r="B2924" s="161" t="str">
        <f>IFERROR(__xludf.DUMMYFUNCTION("""COMPUTED_VALUE"""),"Mikal Bridges")</f>
        <v>Mikal Bridges</v>
      </c>
      <c r="C2924" s="162" t="str">
        <f>IFERROR(__xludf.DUMMYFUNCTION("""COMPUTED_VALUE"""),"2018-19")</f>
        <v>2018-19</v>
      </c>
      <c r="D2924" s="163" t="str">
        <f>IFERROR(__xludf.DUMMYFUNCTION("""COMPUTED_VALUE"""),"PHO")</f>
        <v>PHO</v>
      </c>
      <c r="E2924" s="164" t="str">
        <f>IFERROR(__xludf.DUMMYFUNCTION("""COMPUTED_VALUE"""),"Movement Shooter")</f>
        <v>Movement Shooter</v>
      </c>
      <c r="F2924" s="164">
        <f>IFERROR(__xludf.DUMMYFUNCTION("""COMPUTED_VALUE"""),2417.115)</f>
        <v>2417.115</v>
      </c>
      <c r="G2924" s="163">
        <f>IFERROR(__xludf.DUMMYFUNCTION("""COMPUTED_VALUE"""),82.0)</f>
        <v>82</v>
      </c>
      <c r="H2924" s="163" t="str">
        <f>IFERROR(__xludf.DUMMYFUNCTION("""COMPUTED_VALUE"""),"SF")</f>
        <v>SF</v>
      </c>
      <c r="I2924" s="163">
        <f>IFERROR(__xludf.DUMMYFUNCTION("""COMPUTED_VALUE"""),22.0)</f>
        <v>22</v>
      </c>
      <c r="J2924" s="165">
        <f>IFERROR(__xludf.DUMMYFUNCTION("""COMPUTED_VALUE"""),-0.472029731408081)</f>
        <v>-0.4720297314</v>
      </c>
      <c r="K2924" s="165">
        <f>IFERROR(__xludf.DUMMYFUNCTION("""COMPUTED_VALUE"""),-0.532570918633491)</f>
        <v>-0.5325709186</v>
      </c>
      <c r="L2924" s="165">
        <f>IFERROR(__xludf.DUMMYFUNCTION("""COMPUTED_VALUE"""),0.06054118722541)</f>
        <v>0.06054118723</v>
      </c>
      <c r="M2924" s="166">
        <f t="shared" si="2"/>
        <v>2.957406663</v>
      </c>
      <c r="N2924" s="167">
        <f t="shared" si="3"/>
        <v>29.4770122</v>
      </c>
      <c r="O2924" s="163">
        <f t="shared" ref="O2924:Q2924" si="2928">rank(I2924,I:I)</f>
        <v>3178</v>
      </c>
      <c r="P2924" s="163">
        <f t="shared" si="2928"/>
        <v>1811</v>
      </c>
      <c r="Q2924" s="163">
        <f t="shared" si="2928"/>
        <v>2157</v>
      </c>
      <c r="R2924" s="163">
        <f>IFERROR(__xludf.DUMMYFUNCTION("RANK(M2924,filter(M:M,C:C=C2924))"),116.0)</f>
        <v>116</v>
      </c>
      <c r="S2924" s="161" t="b">
        <f t="shared" si="5"/>
        <v>0</v>
      </c>
      <c r="T2924" s="161" t="b">
        <f t="array" ref="T2924">index('Query Tool'!B:B,match(H2924,'Query Tool'!C:C,0))</f>
        <v>1</v>
      </c>
      <c r="U2924" s="161" t="b">
        <f t="array" ref="U2924">index('Query Tool'!B:B,match(C2924,'Query Tool'!C:C,0))</f>
        <v>0</v>
      </c>
      <c r="V2924" s="161" t="b">
        <f>F2924&gt;='Query Tool'!C$32</f>
        <v>1</v>
      </c>
      <c r="W2924" s="161" t="b">
        <f t="array" ref="W2924">index(Dropdowns!B:B,match(I2924,Dropdowns!A:A,0))</f>
        <v>1</v>
      </c>
      <c r="X2924" s="161" t="b">
        <f t="array" ref="X2924">index('Query Tool'!B:B,match(D2924,'Query Tool'!C:C,0))</f>
        <v>1</v>
      </c>
      <c r="Y2924" s="161" t="str">
        <f t="shared" si="6"/>
        <v>bridgmi01,2018-19</v>
      </c>
      <c r="Z2924" s="168">
        <f t="array" ref="Z2924">iferror(index(I:I,match($A2924&amp;","&amp;index('Year Conversion'!$A:$A,match($C2924,'Year Conversion'!$B:$B,0)),$Y:$Y,0))-I2924,"")</f>
        <v>1</v>
      </c>
      <c r="AA2924" s="168">
        <f t="array" ref="AA2924">iferror(index(J:J,match($A2924&amp;","&amp;index('Year Conversion'!$A:$A,match($C2924,'Year Conversion'!$B:$B,0)),$Y:$Y,0))-J2924,"")</f>
        <v>0.9674104311</v>
      </c>
      <c r="AB2924" s="168">
        <f t="array" ref="AB2924">iferror(index(K:K,match($A2924&amp;","&amp;index('Year Conversion'!$A:$A,match($C2924,'Year Conversion'!$B:$B,0)),$Y:$Y,0))-K2924,"")</f>
        <v>-0.2814494736</v>
      </c>
      <c r="AC2924" s="168" t="str">
        <f t="shared" si="7"/>
        <v>PHO,2018-19</v>
      </c>
    </row>
    <row r="2925">
      <c r="A2925" s="161" t="str">
        <f>IFERROR(__xludf.DUMMYFUNCTION("""COMPUTED_VALUE"""),"bridgmi02")</f>
        <v>bridgmi02</v>
      </c>
      <c r="B2925" s="161" t="str">
        <f>IFERROR(__xludf.DUMMYFUNCTION("""COMPUTED_VALUE"""),"Miles Bridges")</f>
        <v>Miles Bridges</v>
      </c>
      <c r="C2925" s="162" t="str">
        <f>IFERROR(__xludf.DUMMYFUNCTION("""COMPUTED_VALUE"""),"2018-19")</f>
        <v>2018-19</v>
      </c>
      <c r="D2925" s="163" t="str">
        <f>IFERROR(__xludf.DUMMYFUNCTION("""COMPUTED_VALUE"""),"CHO")</f>
        <v>CHO</v>
      </c>
      <c r="E2925" s="164" t="str">
        <f>IFERROR(__xludf.DUMMYFUNCTION("""COMPUTED_VALUE"""),"Stationary Shooter")</f>
        <v>Stationary Shooter</v>
      </c>
      <c r="F2925" s="164">
        <f>IFERROR(__xludf.DUMMYFUNCTION("""COMPUTED_VALUE"""),1696.33333333333)</f>
        <v>1696.333333</v>
      </c>
      <c r="G2925" s="163">
        <f>IFERROR(__xludf.DUMMYFUNCTION("""COMPUTED_VALUE"""),80.0)</f>
        <v>80</v>
      </c>
      <c r="H2925" s="163" t="str">
        <f>IFERROR(__xludf.DUMMYFUNCTION("""COMPUTED_VALUE"""),"SF")</f>
        <v>SF</v>
      </c>
      <c r="I2925" s="163">
        <f>IFERROR(__xludf.DUMMYFUNCTION("""COMPUTED_VALUE"""),20.0)</f>
        <v>20</v>
      </c>
      <c r="J2925" s="165">
        <f>IFERROR(__xludf.DUMMYFUNCTION("""COMPUTED_VALUE"""),-0.989336595023723)</f>
        <v>-0.989336595</v>
      </c>
      <c r="K2925" s="165">
        <f>IFERROR(__xludf.DUMMYFUNCTION("""COMPUTED_VALUE"""),-0.736498392188352)</f>
        <v>-0.7364983922</v>
      </c>
      <c r="L2925" s="165">
        <f>IFERROR(__xludf.DUMMYFUNCTION("""COMPUTED_VALUE"""),-0.252838202835371)</f>
        <v>-0.2528382028</v>
      </c>
      <c r="M2925" s="166">
        <f t="shared" si="2"/>
        <v>1.48526106</v>
      </c>
      <c r="N2925" s="167">
        <f t="shared" si="3"/>
        <v>21.20416667</v>
      </c>
      <c r="O2925" s="163">
        <f t="shared" ref="O2925:Q2925" si="2929">rank(I2925,I:I)</f>
        <v>3770</v>
      </c>
      <c r="P2925" s="163">
        <f t="shared" si="2929"/>
        <v>2492</v>
      </c>
      <c r="Q2925" s="163">
        <f t="shared" si="2929"/>
        <v>2463</v>
      </c>
      <c r="R2925" s="163">
        <f>IFERROR(__xludf.DUMMYFUNCTION("RANK(M2925,filter(M:M,C:C=C2925))"),187.0)</f>
        <v>187</v>
      </c>
      <c r="S2925" s="161" t="b">
        <f t="shared" si="5"/>
        <v>0</v>
      </c>
      <c r="T2925" s="161" t="b">
        <f t="array" ref="T2925">index('Query Tool'!B:B,match(H2925,'Query Tool'!C:C,0))</f>
        <v>1</v>
      </c>
      <c r="U2925" s="161" t="b">
        <f t="array" ref="U2925">index('Query Tool'!B:B,match(C2925,'Query Tool'!C:C,0))</f>
        <v>0</v>
      </c>
      <c r="V2925" s="161" t="b">
        <f>F2925&gt;='Query Tool'!C$32</f>
        <v>1</v>
      </c>
      <c r="W2925" s="161" t="b">
        <f t="array" ref="W2925">index(Dropdowns!B:B,match(I2925,Dropdowns!A:A,0))</f>
        <v>1</v>
      </c>
      <c r="X2925" s="161" t="b">
        <f t="array" ref="X2925">index('Query Tool'!B:B,match(D2925,'Query Tool'!C:C,0))</f>
        <v>1</v>
      </c>
      <c r="Y2925" s="161" t="str">
        <f t="shared" si="6"/>
        <v>bridgmi02,2018-19</v>
      </c>
      <c r="Z2925" s="168">
        <f t="array" ref="Z2925">iferror(index(I:I,match($A2925&amp;","&amp;index('Year Conversion'!$A:$A,match($C2925,'Year Conversion'!$B:$B,0)),$Y:$Y,0))-I2925,"")</f>
        <v>1</v>
      </c>
      <c r="AA2925" s="168">
        <f t="array" ref="AA2925">iferror(index(J:J,match($A2925&amp;","&amp;index('Year Conversion'!$A:$A,match($C2925,'Year Conversion'!$B:$B,0)),$Y:$Y,0))-J2925,"")</f>
        <v>-2.000391807</v>
      </c>
      <c r="AB2925" s="168">
        <f t="array" ref="AB2925">iferror(index(K:K,match($A2925&amp;","&amp;index('Year Conversion'!$A:$A,match($C2925,'Year Conversion'!$B:$B,0)),$Y:$Y,0))-K2925,"")</f>
        <v>-0.3001827455</v>
      </c>
      <c r="AC2925" s="168" t="str">
        <f t="shared" si="7"/>
        <v>CHO,2018-19</v>
      </c>
    </row>
    <row r="2926">
      <c r="A2926" s="161" t="str">
        <f>IFERROR(__xludf.DUMMYFUNCTION("""COMPUTED_VALUE"""),"brownbr01")</f>
        <v>brownbr01</v>
      </c>
      <c r="B2926" s="161" t="str">
        <f>IFERROR(__xludf.DUMMYFUNCTION("""COMPUTED_VALUE"""),"Bruce Brown")</f>
        <v>Bruce Brown</v>
      </c>
      <c r="C2926" s="162" t="str">
        <f>IFERROR(__xludf.DUMMYFUNCTION("""COMPUTED_VALUE"""),"2018-19")</f>
        <v>2018-19</v>
      </c>
      <c r="D2926" s="163" t="str">
        <f>IFERROR(__xludf.DUMMYFUNCTION("""COMPUTED_VALUE"""),"DET")</f>
        <v>DET</v>
      </c>
      <c r="E2926" s="164" t="str">
        <f>IFERROR(__xludf.DUMMYFUNCTION("""COMPUTED_VALUE"""),"Athletic Finisher")</f>
        <v>Athletic Finisher</v>
      </c>
      <c r="F2926" s="164">
        <f>IFERROR(__xludf.DUMMYFUNCTION("""COMPUTED_VALUE"""),1449.31666666667)</f>
        <v>1449.316667</v>
      </c>
      <c r="G2926" s="163">
        <f>IFERROR(__xludf.DUMMYFUNCTION("""COMPUTED_VALUE"""),74.0)</f>
        <v>74</v>
      </c>
      <c r="H2926" s="163" t="str">
        <f>IFERROR(__xludf.DUMMYFUNCTION("""COMPUTED_VALUE"""),"SG")</f>
        <v>SG</v>
      </c>
      <c r="I2926" s="163">
        <f>IFERROR(__xludf.DUMMYFUNCTION("""COMPUTED_VALUE"""),22.0)</f>
        <v>22</v>
      </c>
      <c r="J2926" s="165">
        <f>IFERROR(__xludf.DUMMYFUNCTION("""COMPUTED_VALUE"""),-1.82610904782614)</f>
        <v>-1.826109048</v>
      </c>
      <c r="K2926" s="165">
        <f>IFERROR(__xludf.DUMMYFUNCTION("""COMPUTED_VALUE"""),-2.89062631900129)</f>
        <v>-2.890626319</v>
      </c>
      <c r="L2926" s="165">
        <f>IFERROR(__xludf.DUMMYFUNCTION("""COMPUTED_VALUE"""),1.06451727117515)</f>
        <v>1.064517271</v>
      </c>
      <c r="M2926" s="166">
        <f t="shared" si="2"/>
        <v>0.4582656964</v>
      </c>
      <c r="N2926" s="167">
        <f t="shared" si="3"/>
        <v>19.58536036</v>
      </c>
      <c r="O2926" s="163">
        <f t="shared" ref="O2926:Q2926" si="2930">rank(I2926,I:I)</f>
        <v>3178</v>
      </c>
      <c r="P2926" s="163">
        <f t="shared" si="2930"/>
        <v>3364</v>
      </c>
      <c r="Q2926" s="163">
        <f t="shared" si="2930"/>
        <v>3964</v>
      </c>
      <c r="R2926" s="163">
        <f>IFERROR(__xludf.DUMMYFUNCTION("RANK(M2926,filter(M:M,C:C=C2926))"),296.0)</f>
        <v>296</v>
      </c>
      <c r="S2926" s="161" t="b">
        <f t="shared" si="5"/>
        <v>0</v>
      </c>
      <c r="T2926" s="161" t="b">
        <f t="array" ref="T2926">index('Query Tool'!B:B,match(H2926,'Query Tool'!C:C,0))</f>
        <v>1</v>
      </c>
      <c r="U2926" s="161" t="b">
        <f t="array" ref="U2926">index('Query Tool'!B:B,match(C2926,'Query Tool'!C:C,0))</f>
        <v>0</v>
      </c>
      <c r="V2926" s="161" t="b">
        <f>F2926&gt;='Query Tool'!C$32</f>
        <v>1</v>
      </c>
      <c r="W2926" s="161" t="b">
        <f t="array" ref="W2926">index(Dropdowns!B:B,match(I2926,Dropdowns!A:A,0))</f>
        <v>1</v>
      </c>
      <c r="X2926" s="161" t="b">
        <f t="array" ref="X2926">index('Query Tool'!B:B,match(D2926,'Query Tool'!C:C,0))</f>
        <v>1</v>
      </c>
      <c r="Y2926" s="161" t="str">
        <f t="shared" si="6"/>
        <v>brownbr01,2018-19</v>
      </c>
      <c r="Z2926" s="168">
        <f t="array" ref="Z2926">iferror(index(I:I,match($A2926&amp;","&amp;index('Year Conversion'!$A:$A,match($C2926,'Year Conversion'!$B:$B,0)),$Y:$Y,0))-I2926,"")</f>
        <v>1</v>
      </c>
      <c r="AA2926" s="168">
        <f t="array" ref="AA2926">iferror(index(J:J,match($A2926&amp;","&amp;index('Year Conversion'!$A:$A,match($C2926,'Year Conversion'!$B:$B,0)),$Y:$Y,0))-J2926,"")</f>
        <v>-0.117467507</v>
      </c>
      <c r="AB2926" s="168">
        <f t="array" ref="AB2926">iferror(index(K:K,match($A2926&amp;","&amp;index('Year Conversion'!$A:$A,match($C2926,'Year Conversion'!$B:$B,0)),$Y:$Y,0))-K2926,"")</f>
        <v>0.8308348937</v>
      </c>
      <c r="AC2926" s="168" t="str">
        <f t="shared" si="7"/>
        <v>DET,2018-19</v>
      </c>
    </row>
    <row r="2927">
      <c r="A2927" s="161" t="str">
        <f>IFERROR(__xludf.DUMMYFUNCTION("""COMPUTED_VALUE"""),"browntr01")</f>
        <v>browntr01</v>
      </c>
      <c r="B2927" s="161" t="str">
        <f>IFERROR(__xludf.DUMMYFUNCTION("""COMPUTED_VALUE"""),"Troy Brown Jr.")</f>
        <v>Troy Brown Jr.</v>
      </c>
      <c r="C2927" s="162" t="str">
        <f>IFERROR(__xludf.DUMMYFUNCTION("""COMPUTED_VALUE"""),"2018-19")</f>
        <v>2018-19</v>
      </c>
      <c r="D2927" s="163" t="str">
        <f>IFERROR(__xludf.DUMMYFUNCTION("""COMPUTED_VALUE"""),"WAS")</f>
        <v>WAS</v>
      </c>
      <c r="E2927" s="164" t="str">
        <f>IFERROR(__xludf.DUMMYFUNCTION("""COMPUTED_VALUE"""),"Stationary Shooter")</f>
        <v>Stationary Shooter</v>
      </c>
      <c r="F2927" s="164">
        <f>IFERROR(__xludf.DUMMYFUNCTION("""COMPUTED_VALUE"""),729.736666666667)</f>
        <v>729.7366667</v>
      </c>
      <c r="G2927" s="163">
        <f>IFERROR(__xludf.DUMMYFUNCTION("""COMPUTED_VALUE"""),52.0)</f>
        <v>52</v>
      </c>
      <c r="H2927" s="163" t="str">
        <f>IFERROR(__xludf.DUMMYFUNCTION("""COMPUTED_VALUE"""),"SF")</f>
        <v>SF</v>
      </c>
      <c r="I2927" s="163">
        <f>IFERROR(__xludf.DUMMYFUNCTION("""COMPUTED_VALUE"""),19.0)</f>
        <v>19</v>
      </c>
      <c r="J2927" s="165">
        <f>IFERROR(__xludf.DUMMYFUNCTION("""COMPUTED_VALUE"""),-1.30067089486252)</f>
        <v>-1.300670895</v>
      </c>
      <c r="K2927" s="165">
        <f>IFERROR(__xludf.DUMMYFUNCTION("""COMPUTED_VALUE"""),-0.179241328647306)</f>
        <v>-0.1792413286</v>
      </c>
      <c r="L2927" s="165">
        <f>IFERROR(__xludf.DUMMYFUNCTION("""COMPUTED_VALUE"""),-1.12142956621521)</f>
        <v>-1.121429566</v>
      </c>
      <c r="M2927" s="166">
        <f t="shared" si="2"/>
        <v>0.4866049354</v>
      </c>
      <c r="N2927" s="167">
        <f t="shared" si="3"/>
        <v>14.03339744</v>
      </c>
      <c r="O2927" s="163">
        <f t="shared" ref="O2927:Q2927" si="2931">rank(I2927,I:I)</f>
        <v>3945</v>
      </c>
      <c r="P2927" s="163">
        <f t="shared" si="2931"/>
        <v>2860</v>
      </c>
      <c r="Q2927" s="163">
        <f t="shared" si="2931"/>
        <v>1532</v>
      </c>
      <c r="R2927" s="163">
        <f>IFERROR(__xludf.DUMMYFUNCTION("RANK(M2927,filter(M:M,C:C=C2927))"),288.0)</f>
        <v>288</v>
      </c>
      <c r="S2927" s="161" t="b">
        <f t="shared" si="5"/>
        <v>0</v>
      </c>
      <c r="T2927" s="161" t="b">
        <f t="array" ref="T2927">index('Query Tool'!B:B,match(H2927,'Query Tool'!C:C,0))</f>
        <v>1</v>
      </c>
      <c r="U2927" s="161" t="b">
        <f t="array" ref="U2927">index('Query Tool'!B:B,match(C2927,'Query Tool'!C:C,0))</f>
        <v>0</v>
      </c>
      <c r="V2927" s="161" t="b">
        <f>F2927&gt;='Query Tool'!C$32</f>
        <v>1</v>
      </c>
      <c r="W2927" s="161" t="b">
        <f t="array" ref="W2927">index(Dropdowns!B:B,match(I2927,Dropdowns!A:A,0))</f>
        <v>1</v>
      </c>
      <c r="X2927" s="161" t="b">
        <f t="array" ref="X2927">index('Query Tool'!B:B,match(D2927,'Query Tool'!C:C,0))</f>
        <v>1</v>
      </c>
      <c r="Y2927" s="161" t="str">
        <f t="shared" si="6"/>
        <v>browntr01,2018-19</v>
      </c>
      <c r="Z2927" s="168">
        <f t="array" ref="Z2927">iferror(index(I:I,match($A2927&amp;","&amp;index('Year Conversion'!$A:$A,match($C2927,'Year Conversion'!$B:$B,0)),$Y:$Y,0))-I2927,"")</f>
        <v>1</v>
      </c>
      <c r="AA2927" s="168">
        <f t="array" ref="AA2927">iferror(index(J:J,match($A2927&amp;","&amp;index('Year Conversion'!$A:$A,match($C2927,'Year Conversion'!$B:$B,0)),$Y:$Y,0))-J2927,"")</f>
        <v>-0.2727125021</v>
      </c>
      <c r="AB2927" s="168">
        <f t="array" ref="AB2927">iferror(index(K:K,match($A2927&amp;","&amp;index('Year Conversion'!$A:$A,match($C2927,'Year Conversion'!$B:$B,0)),$Y:$Y,0))-K2927,"")</f>
        <v>-0.06957332823</v>
      </c>
      <c r="AC2927" s="168" t="str">
        <f t="shared" si="7"/>
        <v>WAS,2018-19</v>
      </c>
    </row>
    <row r="2928">
      <c r="A2928" s="161" t="str">
        <f>IFERROR(__xludf.DUMMYFUNCTION("""COMPUTED_VALUE"""),"brunsja01")</f>
        <v>brunsja01</v>
      </c>
      <c r="B2928" s="161" t="str">
        <f>IFERROR(__xludf.DUMMYFUNCTION("""COMPUTED_VALUE"""),"Jalen Brunson")</f>
        <v>Jalen Brunson</v>
      </c>
      <c r="C2928" s="162" t="str">
        <f>IFERROR(__xludf.DUMMYFUNCTION("""COMPUTED_VALUE"""),"2018-19")</f>
        <v>2018-19</v>
      </c>
      <c r="D2928" s="163" t="str">
        <f>IFERROR(__xludf.DUMMYFUNCTION("""COMPUTED_VALUE"""),"DAL")</f>
        <v>DAL</v>
      </c>
      <c r="E2928" s="164" t="str">
        <f>IFERROR(__xludf.DUMMYFUNCTION("""COMPUTED_VALUE"""),"Primary Ball Handler")</f>
        <v>Primary Ball Handler</v>
      </c>
      <c r="F2928" s="164">
        <f>IFERROR(__xludf.DUMMYFUNCTION("""COMPUTED_VALUE"""),1591.25833333333)</f>
        <v>1591.258333</v>
      </c>
      <c r="G2928" s="163">
        <f>IFERROR(__xludf.DUMMYFUNCTION("""COMPUTED_VALUE"""),73.0)</f>
        <v>73</v>
      </c>
      <c r="H2928" s="163" t="str">
        <f>IFERROR(__xludf.DUMMYFUNCTION("""COMPUTED_VALUE"""),"PG")</f>
        <v>PG</v>
      </c>
      <c r="I2928" s="163">
        <f>IFERROR(__xludf.DUMMYFUNCTION("""COMPUTED_VALUE"""),22.0)</f>
        <v>22</v>
      </c>
      <c r="J2928" s="165">
        <f>IFERROR(__xludf.DUMMYFUNCTION("""COMPUTED_VALUE"""),-0.611870889604005)</f>
        <v>-0.6118708896</v>
      </c>
      <c r="K2928" s="165">
        <f>IFERROR(__xludf.DUMMYFUNCTION("""COMPUTED_VALUE"""),0.369510180217194)</f>
        <v>0.3695101802</v>
      </c>
      <c r="L2928" s="165">
        <f>IFERROR(__xludf.DUMMYFUNCTION("""COMPUTED_VALUE"""),-0.981381069821198)</f>
        <v>-0.9813810698</v>
      </c>
      <c r="M2928" s="166">
        <f t="shared" si="2"/>
        <v>1.797109808</v>
      </c>
      <c r="N2928" s="167">
        <f t="shared" si="3"/>
        <v>21.79805936</v>
      </c>
      <c r="O2928" s="163">
        <f t="shared" ref="O2928:Q2928" si="2932">rank(I2928,I:I)</f>
        <v>3178</v>
      </c>
      <c r="P2928" s="163">
        <f t="shared" si="2932"/>
        <v>2012</v>
      </c>
      <c r="Q2928" s="163">
        <f t="shared" si="2932"/>
        <v>854</v>
      </c>
      <c r="R2928" s="163">
        <f>IFERROR(__xludf.DUMMYFUNCTION("RANK(M2928,filter(M:M,C:C=C2928))"),165.0)</f>
        <v>165</v>
      </c>
      <c r="S2928" s="161" t="b">
        <f t="shared" si="5"/>
        <v>0</v>
      </c>
      <c r="T2928" s="161" t="b">
        <f t="array" ref="T2928">index('Query Tool'!B:B,match(H2928,'Query Tool'!C:C,0))</f>
        <v>1</v>
      </c>
      <c r="U2928" s="161" t="b">
        <f t="array" ref="U2928">index('Query Tool'!B:B,match(C2928,'Query Tool'!C:C,0))</f>
        <v>0</v>
      </c>
      <c r="V2928" s="161" t="b">
        <f>F2928&gt;='Query Tool'!C$32</f>
        <v>1</v>
      </c>
      <c r="W2928" s="161" t="b">
        <f t="array" ref="W2928">index(Dropdowns!B:B,match(I2928,Dropdowns!A:A,0))</f>
        <v>1</v>
      </c>
      <c r="X2928" s="161" t="b">
        <f t="array" ref="X2928">index('Query Tool'!B:B,match(D2928,'Query Tool'!C:C,0))</f>
        <v>1</v>
      </c>
      <c r="Y2928" s="161" t="str">
        <f t="shared" si="6"/>
        <v>brunsja01,2018-19</v>
      </c>
      <c r="Z2928" s="168">
        <f t="array" ref="Z2928">iferror(index(I:I,match($A2928&amp;","&amp;index('Year Conversion'!$A:$A,match($C2928,'Year Conversion'!$B:$B,0)),$Y:$Y,0))-I2928,"")</f>
        <v>1</v>
      </c>
      <c r="AA2928" s="168">
        <f t="array" ref="AA2928">iferror(index(J:J,match($A2928&amp;","&amp;index('Year Conversion'!$A:$A,match($C2928,'Year Conversion'!$B:$B,0)),$Y:$Y,0))-J2928,"")</f>
        <v>0.5091111988</v>
      </c>
      <c r="AB2928" s="168">
        <f t="array" ref="AB2928">iferror(index(K:K,match($A2928&amp;","&amp;index('Year Conversion'!$A:$A,match($C2928,'Year Conversion'!$B:$B,0)),$Y:$Y,0))-K2928,"")</f>
        <v>0.3464145122</v>
      </c>
      <c r="AC2928" s="168" t="str">
        <f t="shared" si="7"/>
        <v>DAL,2018-19</v>
      </c>
    </row>
    <row r="2929">
      <c r="A2929" s="161" t="str">
        <f>IFERROR(__xludf.DUMMYFUNCTION("""COMPUTED_VALUE"""),"carteje01")</f>
        <v>carteje01</v>
      </c>
      <c r="B2929" s="161" t="str">
        <f>IFERROR(__xludf.DUMMYFUNCTION("""COMPUTED_VALUE"""),"Jevon Carter")</f>
        <v>Jevon Carter</v>
      </c>
      <c r="C2929" s="162" t="str">
        <f>IFERROR(__xludf.DUMMYFUNCTION("""COMPUTED_VALUE"""),"2018-19")</f>
        <v>2018-19</v>
      </c>
      <c r="D2929" s="163" t="str">
        <f>IFERROR(__xludf.DUMMYFUNCTION("""COMPUTED_VALUE"""),"MEM")</f>
        <v>MEM</v>
      </c>
      <c r="E2929" s="164" t="str">
        <f>IFERROR(__xludf.DUMMYFUNCTION("""COMPUTED_VALUE"""),"Secondary Ball Handler")</f>
        <v>Secondary Ball Handler</v>
      </c>
      <c r="F2929" s="164">
        <f>IFERROR(__xludf.DUMMYFUNCTION("""COMPUTED_VALUE"""),576.501666666667)</f>
        <v>576.5016667</v>
      </c>
      <c r="G2929" s="163">
        <f>IFERROR(__xludf.DUMMYFUNCTION("""COMPUTED_VALUE"""),39.0)</f>
        <v>39</v>
      </c>
      <c r="H2929" s="163" t="str">
        <f>IFERROR(__xludf.DUMMYFUNCTION("""COMPUTED_VALUE"""),"PG")</f>
        <v>PG</v>
      </c>
      <c r="I2929" s="163">
        <f>IFERROR(__xludf.DUMMYFUNCTION("""COMPUTED_VALUE"""),23.0)</f>
        <v>23</v>
      </c>
      <c r="J2929" s="165">
        <f>IFERROR(__xludf.DUMMYFUNCTION("""COMPUTED_VALUE"""),-1.32182534153306)</f>
        <v>-1.321825342</v>
      </c>
      <c r="K2929" s="165">
        <f>IFERROR(__xludf.DUMMYFUNCTION("""COMPUTED_VALUE"""),-1.25040289405846)</f>
        <v>-1.250402894</v>
      </c>
      <c r="L2929" s="165">
        <f>IFERROR(__xludf.DUMMYFUNCTION("""COMPUTED_VALUE"""),-0.0714224474745988)</f>
        <v>-0.07142244747</v>
      </c>
      <c r="M2929" s="166">
        <f t="shared" si="2"/>
        <v>0.3762608732</v>
      </c>
      <c r="N2929" s="167">
        <f t="shared" si="3"/>
        <v>14.78209402</v>
      </c>
      <c r="O2929" s="163">
        <f t="shared" ref="O2929:Q2929" si="2933">rank(I2929,I:I)</f>
        <v>2765</v>
      </c>
      <c r="P2929" s="163">
        <f t="shared" si="2933"/>
        <v>2886</v>
      </c>
      <c r="Q2929" s="163">
        <f t="shared" si="2933"/>
        <v>3084</v>
      </c>
      <c r="R2929" s="163">
        <f>IFERROR(__xludf.DUMMYFUNCTION("RANK(M2929,filter(M:M,C:C=C2929))"),308.0)</f>
        <v>308</v>
      </c>
      <c r="S2929" s="161" t="b">
        <f t="shared" si="5"/>
        <v>0</v>
      </c>
      <c r="T2929" s="161" t="b">
        <f t="array" ref="T2929">index('Query Tool'!B:B,match(H2929,'Query Tool'!C:C,0))</f>
        <v>1</v>
      </c>
      <c r="U2929" s="161" t="b">
        <f t="array" ref="U2929">index('Query Tool'!B:B,match(C2929,'Query Tool'!C:C,0))</f>
        <v>0</v>
      </c>
      <c r="V2929" s="161" t="b">
        <f>F2929&gt;='Query Tool'!C$32</f>
        <v>1</v>
      </c>
      <c r="W2929" s="161" t="b">
        <f t="array" ref="W2929">index(Dropdowns!B:B,match(I2929,Dropdowns!A:A,0))</f>
        <v>1</v>
      </c>
      <c r="X2929" s="161" t="b">
        <f t="array" ref="X2929">index('Query Tool'!B:B,match(D2929,'Query Tool'!C:C,0))</f>
        <v>1</v>
      </c>
      <c r="Y2929" s="161" t="str">
        <f t="shared" si="6"/>
        <v>carteje01,2018-19</v>
      </c>
      <c r="Z2929" s="168">
        <f t="array" ref="Z2929">iferror(index(I:I,match($A2929&amp;","&amp;index('Year Conversion'!$A:$A,match($C2929,'Year Conversion'!$B:$B,0)),$Y:$Y,0))-I2929,"")</f>
        <v>1</v>
      </c>
      <c r="AA2929" s="168">
        <f t="array" ref="AA2929">iferror(index(J:J,match($A2929&amp;","&amp;index('Year Conversion'!$A:$A,match($C2929,'Year Conversion'!$B:$B,0)),$Y:$Y,0))-J2929,"")</f>
        <v>0.4482167018</v>
      </c>
      <c r="AB2929" s="168">
        <f t="array" ref="AB2929">iferror(index(K:K,match($A2929&amp;","&amp;index('Year Conversion'!$A:$A,match($C2929,'Year Conversion'!$B:$B,0)),$Y:$Y,0))-K2929,"")</f>
        <v>-0.2904612519</v>
      </c>
      <c r="AC2929" s="168" t="str">
        <f t="shared" si="7"/>
        <v>MEM,2018-19</v>
      </c>
    </row>
    <row r="2930">
      <c r="A2930" s="161" t="str">
        <f>IFERROR(__xludf.DUMMYFUNCTION("""COMPUTED_VALUE"""),"cartewe01")</f>
        <v>cartewe01</v>
      </c>
      <c r="B2930" s="161" t="str">
        <f>IFERROR(__xludf.DUMMYFUNCTION("""COMPUTED_VALUE"""),"Wendell Carter Jr.")</f>
        <v>Wendell Carter Jr.</v>
      </c>
      <c r="C2930" s="162" t="str">
        <f>IFERROR(__xludf.DUMMYFUNCTION("""COMPUTED_VALUE"""),"2018-19")</f>
        <v>2018-19</v>
      </c>
      <c r="D2930" s="163" t="str">
        <f>IFERROR(__xludf.DUMMYFUNCTION("""COMPUTED_VALUE"""),"CHI")</f>
        <v>CHI</v>
      </c>
      <c r="E2930" s="164" t="str">
        <f>IFERROR(__xludf.DUMMYFUNCTION("""COMPUTED_VALUE"""),"Post Scorer")</f>
        <v>Post Scorer</v>
      </c>
      <c r="F2930" s="164">
        <f>IFERROR(__xludf.DUMMYFUNCTION("""COMPUTED_VALUE"""),1109.8)</f>
        <v>1109.8</v>
      </c>
      <c r="G2930" s="163">
        <f>IFERROR(__xludf.DUMMYFUNCTION("""COMPUTED_VALUE"""),44.0)</f>
        <v>44</v>
      </c>
      <c r="H2930" s="163" t="str">
        <f>IFERROR(__xludf.DUMMYFUNCTION("""COMPUTED_VALUE"""),"C")</f>
        <v>C</v>
      </c>
      <c r="I2930" s="163">
        <f>IFERROR(__xludf.DUMMYFUNCTION("""COMPUTED_VALUE"""),19.0)</f>
        <v>19</v>
      </c>
      <c r="J2930" s="165">
        <f>IFERROR(__xludf.DUMMYFUNCTION("""COMPUTED_VALUE"""),-0.415423495753465)</f>
        <v>-0.4154234958</v>
      </c>
      <c r="K2930" s="165">
        <f>IFERROR(__xludf.DUMMYFUNCTION("""COMPUTED_VALUE"""),-2.42111805276908)</f>
        <v>-2.421118053</v>
      </c>
      <c r="L2930" s="165">
        <f>IFERROR(__xludf.DUMMYFUNCTION("""COMPUTED_VALUE"""),2.00569455701562)</f>
        <v>2.005694557</v>
      </c>
      <c r="M2930" s="166">
        <f t="shared" si="2"/>
        <v>1.400189716</v>
      </c>
      <c r="N2930" s="167">
        <f t="shared" si="3"/>
        <v>25.22272727</v>
      </c>
      <c r="O2930" s="163">
        <f t="shared" ref="O2930:Q2930" si="2934">rank(I2930,I:I)</f>
        <v>3945</v>
      </c>
      <c r="P2930" s="163">
        <f t="shared" si="2934"/>
        <v>1748</v>
      </c>
      <c r="Q2930" s="163">
        <f t="shared" si="2934"/>
        <v>3873</v>
      </c>
      <c r="R2930" s="163">
        <f>IFERROR(__xludf.DUMMYFUNCTION("RANK(M2930,filter(M:M,C:C=C2930))"),193.0)</f>
        <v>193</v>
      </c>
      <c r="S2930" s="161" t="b">
        <f t="shared" si="5"/>
        <v>0</v>
      </c>
      <c r="T2930" s="161" t="b">
        <f t="array" ref="T2930">index('Query Tool'!B:B,match(H2930,'Query Tool'!C:C,0))</f>
        <v>1</v>
      </c>
      <c r="U2930" s="161" t="b">
        <f t="array" ref="U2930">index('Query Tool'!B:B,match(C2930,'Query Tool'!C:C,0))</f>
        <v>0</v>
      </c>
      <c r="V2930" s="161" t="b">
        <f>F2930&gt;='Query Tool'!C$32</f>
        <v>1</v>
      </c>
      <c r="W2930" s="161" t="b">
        <f t="array" ref="W2930">index(Dropdowns!B:B,match(I2930,Dropdowns!A:A,0))</f>
        <v>1</v>
      </c>
      <c r="X2930" s="161" t="b">
        <f t="array" ref="X2930">index('Query Tool'!B:B,match(D2930,'Query Tool'!C:C,0))</f>
        <v>1</v>
      </c>
      <c r="Y2930" s="161" t="str">
        <f t="shared" si="6"/>
        <v>cartewe01,2018-19</v>
      </c>
      <c r="Z2930" s="168">
        <f t="array" ref="Z2930">iferror(index(I:I,match($A2930&amp;","&amp;index('Year Conversion'!$A:$A,match($C2930,'Year Conversion'!$B:$B,0)),$Y:$Y,0))-I2930,"")</f>
        <v>1</v>
      </c>
      <c r="AA2930" s="168">
        <f t="array" ref="AA2930">iferror(index(J:J,match($A2930&amp;","&amp;index('Year Conversion'!$A:$A,match($C2930,'Year Conversion'!$B:$B,0)),$Y:$Y,0))-J2930,"")</f>
        <v>0.2712494672</v>
      </c>
      <c r="AB2930" s="168">
        <f t="array" ref="AB2930">iferror(index(K:K,match($A2930&amp;","&amp;index('Year Conversion'!$A:$A,match($C2930,'Year Conversion'!$B:$B,0)),$Y:$Y,0))-K2930,"")</f>
        <v>0.557528891</v>
      </c>
      <c r="AC2930" s="168" t="str">
        <f t="shared" si="7"/>
        <v>CHI,2018-19</v>
      </c>
    </row>
    <row r="2931">
      <c r="A2931" s="161" t="str">
        <f>IFERROR(__xludf.DUMMYFUNCTION("""COMPUTED_VALUE"""),"diallha01")</f>
        <v>diallha01</v>
      </c>
      <c r="B2931" s="161" t="str">
        <f>IFERROR(__xludf.DUMMYFUNCTION("""COMPUTED_VALUE"""),"Hamidou Diallo")</f>
        <v>Hamidou Diallo</v>
      </c>
      <c r="C2931" s="162" t="str">
        <f>IFERROR(__xludf.DUMMYFUNCTION("""COMPUTED_VALUE"""),"2018-19")</f>
        <v>2018-19</v>
      </c>
      <c r="D2931" s="163" t="str">
        <f>IFERROR(__xludf.DUMMYFUNCTION("""COMPUTED_VALUE"""),"OKC")</f>
        <v>OKC</v>
      </c>
      <c r="E2931" s="164" t="str">
        <f>IFERROR(__xludf.DUMMYFUNCTION("""COMPUTED_VALUE"""),"Athletic Finisher")</f>
        <v>Athletic Finisher</v>
      </c>
      <c r="F2931" s="164">
        <f>IFERROR(__xludf.DUMMYFUNCTION("""COMPUTED_VALUE"""),526.28)</f>
        <v>526.28</v>
      </c>
      <c r="G2931" s="163">
        <f>IFERROR(__xludf.DUMMYFUNCTION("""COMPUTED_VALUE"""),51.0)</f>
        <v>51</v>
      </c>
      <c r="H2931" s="163" t="str">
        <f>IFERROR(__xludf.DUMMYFUNCTION("""COMPUTED_VALUE"""),"SG")</f>
        <v>SG</v>
      </c>
      <c r="I2931" s="163">
        <f>IFERROR(__xludf.DUMMYFUNCTION("""COMPUTED_VALUE"""),20.0)</f>
        <v>20</v>
      </c>
      <c r="J2931" s="165">
        <f>IFERROR(__xludf.DUMMYFUNCTION("""COMPUTED_VALUE"""),-2.50761020542626)</f>
        <v>-2.507610205</v>
      </c>
      <c r="K2931" s="165">
        <f>IFERROR(__xludf.DUMMYFUNCTION("""COMPUTED_VALUE"""),-1.66173936721548)</f>
        <v>-1.661739367</v>
      </c>
      <c r="L2931" s="165">
        <f>IFERROR(__xludf.DUMMYFUNCTION("""COMPUTED_VALUE"""),-0.84587083821078)</f>
        <v>-0.8458708382</v>
      </c>
      <c r="M2931" s="166">
        <f t="shared" si="2"/>
        <v>-0.07069173957</v>
      </c>
      <c r="N2931" s="167">
        <f t="shared" si="3"/>
        <v>10.31921569</v>
      </c>
      <c r="O2931" s="163">
        <f t="shared" ref="O2931:Q2931" si="2935">rank(I2931,I:I)</f>
        <v>3770</v>
      </c>
      <c r="P2931" s="163">
        <f t="shared" si="2935"/>
        <v>3757</v>
      </c>
      <c r="Q2931" s="163">
        <f t="shared" si="2935"/>
        <v>3492</v>
      </c>
      <c r="R2931" s="163">
        <f>IFERROR(__xludf.DUMMYFUNCTION("RANK(M2931,filter(M:M,C:C=C2931))"),492.0)</f>
        <v>492</v>
      </c>
      <c r="S2931" s="161" t="b">
        <f t="shared" si="5"/>
        <v>0</v>
      </c>
      <c r="T2931" s="161" t="b">
        <f t="array" ref="T2931">index('Query Tool'!B:B,match(H2931,'Query Tool'!C:C,0))</f>
        <v>1</v>
      </c>
      <c r="U2931" s="161" t="b">
        <f t="array" ref="U2931">index('Query Tool'!B:B,match(C2931,'Query Tool'!C:C,0))</f>
        <v>0</v>
      </c>
      <c r="V2931" s="161" t="b">
        <f>F2931&gt;='Query Tool'!C$32</f>
        <v>1</v>
      </c>
      <c r="W2931" s="161" t="b">
        <f t="array" ref="W2931">index(Dropdowns!B:B,match(I2931,Dropdowns!A:A,0))</f>
        <v>1</v>
      </c>
      <c r="X2931" s="161" t="b">
        <f t="array" ref="X2931">index('Query Tool'!B:B,match(D2931,'Query Tool'!C:C,0))</f>
        <v>1</v>
      </c>
      <c r="Y2931" s="161" t="str">
        <f t="shared" si="6"/>
        <v>diallha01,2018-19</v>
      </c>
      <c r="Z2931" s="168">
        <f t="array" ref="Z2931">iferror(index(I:I,match($A2931&amp;","&amp;index('Year Conversion'!$A:$A,match($C2931,'Year Conversion'!$B:$B,0)),$Y:$Y,0))-I2931,"")</f>
        <v>1</v>
      </c>
      <c r="AA2931" s="168">
        <f t="array" ref="AA2931">iferror(index(J:J,match($A2931&amp;","&amp;index('Year Conversion'!$A:$A,match($C2931,'Year Conversion'!$B:$B,0)),$Y:$Y,0))-J2931,"")</f>
        <v>-0.8906143552</v>
      </c>
      <c r="AB2931" s="168">
        <f t="array" ref="AB2931">iferror(index(K:K,match($A2931&amp;","&amp;index('Year Conversion'!$A:$A,match($C2931,'Year Conversion'!$B:$B,0)),$Y:$Y,0))-K2931,"")</f>
        <v>-1.547815933</v>
      </c>
      <c r="AC2931" s="168" t="str">
        <f t="shared" si="7"/>
        <v>OKC,2018-19</v>
      </c>
    </row>
    <row r="2932">
      <c r="A2932" s="161" t="str">
        <f>IFERROR(__xludf.DUMMYFUNCTION("""COMPUTED_VALUE"""),"divindo01")</f>
        <v>divindo01</v>
      </c>
      <c r="B2932" s="161" t="str">
        <f>IFERROR(__xludf.DUMMYFUNCTION("""COMPUTED_VALUE"""),"Donte DiVincenzo")</f>
        <v>Donte DiVincenzo</v>
      </c>
      <c r="C2932" s="162" t="str">
        <f>IFERROR(__xludf.DUMMYFUNCTION("""COMPUTED_VALUE"""),"2018-19")</f>
        <v>2018-19</v>
      </c>
      <c r="D2932" s="163" t="str">
        <f>IFERROR(__xludf.DUMMYFUNCTION("""COMPUTED_VALUE"""),"MIL")</f>
        <v>MIL</v>
      </c>
      <c r="E2932" s="164" t="str">
        <f>IFERROR(__xludf.DUMMYFUNCTION("""COMPUTED_VALUE"""),"Stationary Shooter")</f>
        <v>Stationary Shooter</v>
      </c>
      <c r="F2932" s="164">
        <f>IFERROR(__xludf.DUMMYFUNCTION("""COMPUTED_VALUE"""),411.286666666667)</f>
        <v>411.2866667</v>
      </c>
      <c r="G2932" s="163">
        <f>IFERROR(__xludf.DUMMYFUNCTION("""COMPUTED_VALUE"""),27.0)</f>
        <v>27</v>
      </c>
      <c r="H2932" s="163" t="str">
        <f>IFERROR(__xludf.DUMMYFUNCTION("""COMPUTED_VALUE"""),"SG")</f>
        <v>SG</v>
      </c>
      <c r="I2932" s="163">
        <f>IFERROR(__xludf.DUMMYFUNCTION("""COMPUTED_VALUE"""),22.0)</f>
        <v>22</v>
      </c>
      <c r="J2932" s="165">
        <f>IFERROR(__xludf.DUMMYFUNCTION("""COMPUTED_VALUE"""),-1.80635681481141)</f>
        <v>-1.806356815</v>
      </c>
      <c r="K2932" s="165">
        <f>IFERROR(__xludf.DUMMYFUNCTION("""COMPUTED_VALUE"""),-1.17689143421537)</f>
        <v>-1.176891434</v>
      </c>
      <c r="L2932" s="165">
        <f>IFERROR(__xludf.DUMMYFUNCTION("""COMPUTED_VALUE"""),-0.629465380596044)</f>
        <v>-0.6294653806</v>
      </c>
      <c r="M2932" s="166">
        <f t="shared" si="2"/>
        <v>0.1354488984</v>
      </c>
      <c r="N2932" s="167">
        <f t="shared" si="3"/>
        <v>15.23283951</v>
      </c>
      <c r="O2932" s="163">
        <f t="shared" ref="O2932:Q2932" si="2936">rank(I2932,I:I)</f>
        <v>3178</v>
      </c>
      <c r="P2932" s="163">
        <f t="shared" si="2936"/>
        <v>3334</v>
      </c>
      <c r="Q2932" s="163">
        <f t="shared" si="2936"/>
        <v>3013</v>
      </c>
      <c r="R2932" s="163">
        <f>IFERROR(__xludf.DUMMYFUNCTION("RANK(M2932,filter(M:M,C:C=C2932))"),373.0)</f>
        <v>373</v>
      </c>
      <c r="S2932" s="161" t="b">
        <f t="shared" si="5"/>
        <v>0</v>
      </c>
      <c r="T2932" s="161" t="b">
        <f t="array" ref="T2932">index('Query Tool'!B:B,match(H2932,'Query Tool'!C:C,0))</f>
        <v>1</v>
      </c>
      <c r="U2932" s="161" t="b">
        <f t="array" ref="U2932">index('Query Tool'!B:B,match(C2932,'Query Tool'!C:C,0))</f>
        <v>0</v>
      </c>
      <c r="V2932" s="161" t="b">
        <f>F2932&gt;='Query Tool'!C$32</f>
        <v>0</v>
      </c>
      <c r="W2932" s="161" t="b">
        <f t="array" ref="W2932">index(Dropdowns!B:B,match(I2932,Dropdowns!A:A,0))</f>
        <v>1</v>
      </c>
      <c r="X2932" s="161" t="b">
        <f t="array" ref="X2932">index('Query Tool'!B:B,match(D2932,'Query Tool'!C:C,0))</f>
        <v>1</v>
      </c>
      <c r="Y2932" s="161" t="str">
        <f t="shared" si="6"/>
        <v>divindo01,2018-19</v>
      </c>
      <c r="Z2932" s="168">
        <f t="array" ref="Z2932">iferror(index(I:I,match($A2932&amp;","&amp;index('Year Conversion'!$A:$A,match($C2932,'Year Conversion'!$B:$B,0)),$Y:$Y,0))-I2932,"")</f>
        <v>1</v>
      </c>
      <c r="AA2932" s="168">
        <f t="array" ref="AA2932">iferror(index(J:J,match($A2932&amp;","&amp;index('Year Conversion'!$A:$A,match($C2932,'Year Conversion'!$B:$B,0)),$Y:$Y,0))-J2932,"")</f>
        <v>3.268878336</v>
      </c>
      <c r="AB2932" s="168">
        <f t="array" ref="AB2932">iferror(index(K:K,match($A2932&amp;","&amp;index('Year Conversion'!$A:$A,match($C2932,'Year Conversion'!$B:$B,0)),$Y:$Y,0))-K2932,"")</f>
        <v>1.054208542</v>
      </c>
      <c r="AC2932" s="168" t="str">
        <f t="shared" si="7"/>
        <v>MIL,2018-19</v>
      </c>
    </row>
    <row r="2933">
      <c r="A2933" s="161" t="str">
        <f>IFERROR(__xludf.DUMMYFUNCTION("""COMPUTED_VALUE"""),"duvaltr01")</f>
        <v>duvaltr01</v>
      </c>
      <c r="B2933" s="161" t="str">
        <f>IFERROR(__xludf.DUMMYFUNCTION("""COMPUTED_VALUE"""),"Trevon Duval")</f>
        <v>Trevon Duval</v>
      </c>
      <c r="C2933" s="162" t="str">
        <f>IFERROR(__xludf.DUMMYFUNCTION("""COMPUTED_VALUE"""),"2018-19")</f>
        <v>2018-19</v>
      </c>
      <c r="D2933" s="163" t="str">
        <f>IFERROR(__xludf.DUMMYFUNCTION("""COMPUTED_VALUE"""),"MIL")</f>
        <v>MIL</v>
      </c>
      <c r="E2933" s="164" t="str">
        <f>IFERROR(__xludf.DUMMYFUNCTION("""COMPUTED_VALUE"""),"Secondary Ball Handler")</f>
        <v>Secondary Ball Handler</v>
      </c>
      <c r="F2933" s="164">
        <f>IFERROR(__xludf.DUMMYFUNCTION("""COMPUTED_VALUE"""),5.60333333333333)</f>
        <v>5.603333333</v>
      </c>
      <c r="G2933" s="163">
        <f>IFERROR(__xludf.DUMMYFUNCTION("""COMPUTED_VALUE"""),3.0)</f>
        <v>3</v>
      </c>
      <c r="H2933" s="163" t="str">
        <f>IFERROR(__xludf.DUMMYFUNCTION("""COMPUTED_VALUE"""),"PG")</f>
        <v>PG</v>
      </c>
      <c r="I2933" s="163">
        <f>IFERROR(__xludf.DUMMYFUNCTION("""COMPUTED_VALUE"""),20.0)</f>
        <v>20</v>
      </c>
      <c r="J2933" s="165">
        <f>IFERROR(__xludf.DUMMYFUNCTION("""COMPUTED_VALUE"""),-0.704050040687028)</f>
        <v>-0.7040500407</v>
      </c>
      <c r="K2933" s="165">
        <f>IFERROR(__xludf.DUMMYFUNCTION("""COMPUTED_VALUE"""),-0.0928353119283121)</f>
        <v>-0.09283531193</v>
      </c>
      <c r="L2933" s="165">
        <f>IFERROR(__xludf.DUMMYFUNCTION("""COMPUTED_VALUE"""),-0.611214728758716)</f>
        <v>-0.6112147288</v>
      </c>
      <c r="M2933" s="166">
        <f t="shared" si="2"/>
        <v>0.005980605108</v>
      </c>
      <c r="N2933" s="167">
        <f t="shared" si="3"/>
        <v>1.867777778</v>
      </c>
      <c r="O2933" s="163">
        <f t="shared" ref="O2933:Q2933" si="2937">rank(I2933,I:I)</f>
        <v>3770</v>
      </c>
      <c r="P2933" s="163">
        <f t="shared" si="2937"/>
        <v>2150</v>
      </c>
      <c r="Q2933" s="163">
        <f t="shared" si="2937"/>
        <v>1348</v>
      </c>
      <c r="R2933" s="163">
        <f>IFERROR(__xludf.DUMMYFUNCTION("RANK(M2933,filter(M:M,C:C=C2933))"),468.0)</f>
        <v>468</v>
      </c>
      <c r="S2933" s="161" t="b">
        <f t="shared" si="5"/>
        <v>0</v>
      </c>
      <c r="T2933" s="161" t="b">
        <f t="array" ref="T2933">index('Query Tool'!B:B,match(H2933,'Query Tool'!C:C,0))</f>
        <v>1</v>
      </c>
      <c r="U2933" s="161" t="b">
        <f t="array" ref="U2933">index('Query Tool'!B:B,match(C2933,'Query Tool'!C:C,0))</f>
        <v>0</v>
      </c>
      <c r="V2933" s="161" t="b">
        <f>F2933&gt;='Query Tool'!C$32</f>
        <v>0</v>
      </c>
      <c r="W2933" s="161" t="b">
        <f t="array" ref="W2933">index(Dropdowns!B:B,match(I2933,Dropdowns!A:A,0))</f>
        <v>1</v>
      </c>
      <c r="X2933" s="161" t="b">
        <f t="array" ref="X2933">index('Query Tool'!B:B,match(D2933,'Query Tool'!C:C,0))</f>
        <v>1</v>
      </c>
      <c r="Y2933" s="161" t="str">
        <f t="shared" si="6"/>
        <v>duvaltr01,2018-19</v>
      </c>
      <c r="Z2933" s="168" t="str">
        <f t="array" ref="Z2933">iferror(index(I:I,match($A2933&amp;","&amp;index('Year Conversion'!$A:$A,match($C2933,'Year Conversion'!$B:$B,0)),$Y:$Y,0))-I2933,"")</f>
        <v/>
      </c>
      <c r="AA2933" s="168" t="str">
        <f t="array" ref="AA2933">iferror(index(J:J,match($A2933&amp;","&amp;index('Year Conversion'!$A:$A,match($C2933,'Year Conversion'!$B:$B,0)),$Y:$Y,0))-J2933,"")</f>
        <v/>
      </c>
      <c r="AB2933" s="168" t="str">
        <f t="array" ref="AB2933">iferror(index(K:K,match($A2933&amp;","&amp;index('Year Conversion'!$A:$A,match($C2933,'Year Conversion'!$B:$B,0)),$Y:$Y,0))-K2933,"")</f>
        <v/>
      </c>
      <c r="AC2933" s="168" t="str">
        <f t="shared" si="7"/>
        <v>MIL,2018-19</v>
      </c>
    </row>
    <row r="2934">
      <c r="A2934" s="161" t="str">
        <f>IFERROR(__xludf.DUMMYFUNCTION("""COMPUTED_VALUE"""),"evansja02")</f>
        <v>evansja02</v>
      </c>
      <c r="B2934" s="161" t="str">
        <f>IFERROR(__xludf.DUMMYFUNCTION("""COMPUTED_VALUE"""),"Jacob Evans")</f>
        <v>Jacob Evans</v>
      </c>
      <c r="C2934" s="162" t="str">
        <f>IFERROR(__xludf.DUMMYFUNCTION("""COMPUTED_VALUE"""),"2018-19")</f>
        <v>2018-19</v>
      </c>
      <c r="D2934" s="163" t="str">
        <f>IFERROR(__xludf.DUMMYFUNCTION("""COMPUTED_VALUE"""),"GSW")</f>
        <v>GSW</v>
      </c>
      <c r="E2934" s="164" t="str">
        <f>IFERROR(__xludf.DUMMYFUNCTION("""COMPUTED_VALUE"""),"Stationary Shooter")</f>
        <v>Stationary Shooter</v>
      </c>
      <c r="F2934" s="164">
        <f>IFERROR(__xludf.DUMMYFUNCTION("""COMPUTED_VALUE"""),203.596666666667)</f>
        <v>203.5966667</v>
      </c>
      <c r="G2934" s="163">
        <f>IFERROR(__xludf.DUMMYFUNCTION("""COMPUTED_VALUE"""),30.0)</f>
        <v>30</v>
      </c>
      <c r="H2934" s="163" t="str">
        <f>IFERROR(__xludf.DUMMYFUNCTION("""COMPUTED_VALUE"""),"SG")</f>
        <v>SG</v>
      </c>
      <c r="I2934" s="163">
        <f>IFERROR(__xludf.DUMMYFUNCTION("""COMPUTED_VALUE"""),21.0)</f>
        <v>21</v>
      </c>
      <c r="J2934" s="165">
        <f>IFERROR(__xludf.DUMMYFUNCTION("""COMPUTED_VALUE"""),-2.79120104093444)</f>
        <v>-2.791201041</v>
      </c>
      <c r="K2934" s="165">
        <f>IFERROR(__xludf.DUMMYFUNCTION("""COMPUTED_VALUE"""),-1.88768278224128)</f>
        <v>-1.887682782</v>
      </c>
      <c r="L2934" s="165">
        <f>IFERROR(__xludf.DUMMYFUNCTION("""COMPUTED_VALUE"""),-0.903518258693161)</f>
        <v>-0.9035182587</v>
      </c>
      <c r="M2934" s="166">
        <f t="shared" si="2"/>
        <v>-0.06515637056</v>
      </c>
      <c r="N2934" s="167">
        <f t="shared" si="3"/>
        <v>6.786555556</v>
      </c>
      <c r="O2934" s="163">
        <f t="shared" ref="O2934:Q2934" si="2938">rank(I2934,I:I)</f>
        <v>3528</v>
      </c>
      <c r="P2934" s="163">
        <f t="shared" si="2938"/>
        <v>3843</v>
      </c>
      <c r="Q2934" s="163">
        <f t="shared" si="2938"/>
        <v>3636</v>
      </c>
      <c r="R2934" s="163">
        <f>IFERROR(__xludf.DUMMYFUNCTION("RANK(M2934,filter(M:M,C:C=C2934))"),490.0)</f>
        <v>490</v>
      </c>
      <c r="S2934" s="161" t="b">
        <f t="shared" si="5"/>
        <v>0</v>
      </c>
      <c r="T2934" s="161" t="b">
        <f t="array" ref="T2934">index('Query Tool'!B:B,match(H2934,'Query Tool'!C:C,0))</f>
        <v>1</v>
      </c>
      <c r="U2934" s="161" t="b">
        <f t="array" ref="U2934">index('Query Tool'!B:B,match(C2934,'Query Tool'!C:C,0))</f>
        <v>0</v>
      </c>
      <c r="V2934" s="161" t="b">
        <f>F2934&gt;='Query Tool'!C$32</f>
        <v>0</v>
      </c>
      <c r="W2934" s="161" t="b">
        <f t="array" ref="W2934">index(Dropdowns!B:B,match(I2934,Dropdowns!A:A,0))</f>
        <v>1</v>
      </c>
      <c r="X2934" s="161" t="b">
        <f t="array" ref="X2934">index('Query Tool'!B:B,match(D2934,'Query Tool'!C:C,0))</f>
        <v>1</v>
      </c>
      <c r="Y2934" s="161" t="str">
        <f t="shared" si="6"/>
        <v>evansja02,2018-19</v>
      </c>
      <c r="Z2934" s="168">
        <f t="array" ref="Z2934">iferror(index(I:I,match($A2934&amp;","&amp;index('Year Conversion'!$A:$A,match($C2934,'Year Conversion'!$B:$B,0)),$Y:$Y,0))-I2934,"")</f>
        <v>1</v>
      </c>
      <c r="AA2934" s="168">
        <f t="array" ref="AA2934">iferror(index(J:J,match($A2934&amp;","&amp;index('Year Conversion'!$A:$A,match($C2934,'Year Conversion'!$B:$B,0)),$Y:$Y,0))-J2934,"")</f>
        <v>-0.4591093603</v>
      </c>
      <c r="AB2934" s="168">
        <f t="array" ref="AB2934">iferror(index(K:K,match($A2934&amp;","&amp;index('Year Conversion'!$A:$A,match($C2934,'Year Conversion'!$B:$B,0)),$Y:$Y,0))-K2934,"")</f>
        <v>-1.43640009</v>
      </c>
      <c r="AC2934" s="168" t="str">
        <f t="shared" si="7"/>
        <v>GSW,2018-19</v>
      </c>
    </row>
    <row r="2935">
      <c r="A2935" s="161" t="str">
        <f>IFERROR(__xludf.DUMMYFUNCTION("""COMPUTED_VALUE"""),"frazime01")</f>
        <v>frazime01</v>
      </c>
      <c r="B2935" s="161" t="str">
        <f>IFERROR(__xludf.DUMMYFUNCTION("""COMPUTED_VALUE"""),"Melvin Frazier Jr.")</f>
        <v>Melvin Frazier Jr.</v>
      </c>
      <c r="C2935" s="162" t="str">
        <f>IFERROR(__xludf.DUMMYFUNCTION("""COMPUTED_VALUE"""),"2018-19")</f>
        <v>2018-19</v>
      </c>
      <c r="D2935" s="163" t="str">
        <f>IFERROR(__xludf.DUMMYFUNCTION("""COMPUTED_VALUE"""),"ORL")</f>
        <v>ORL</v>
      </c>
      <c r="E2935" s="164" t="str">
        <f>IFERROR(__xludf.DUMMYFUNCTION("""COMPUTED_VALUE"""),"Off Screen Shooter")</f>
        <v>Off Screen Shooter</v>
      </c>
      <c r="F2935" s="164">
        <f>IFERROR(__xludf.DUMMYFUNCTION("""COMPUTED_VALUE"""),44.4333333333333)</f>
        <v>44.43333333</v>
      </c>
      <c r="G2935" s="163">
        <f>IFERROR(__xludf.DUMMYFUNCTION("""COMPUTED_VALUE"""),10.0)</f>
        <v>10</v>
      </c>
      <c r="H2935" s="163" t="str">
        <f>IFERROR(__xludf.DUMMYFUNCTION("""COMPUTED_VALUE"""),"SG")</f>
        <v>SG</v>
      </c>
      <c r="I2935" s="163">
        <f>IFERROR(__xludf.DUMMYFUNCTION("""COMPUTED_VALUE"""),22.0)</f>
        <v>22</v>
      </c>
      <c r="J2935" s="165">
        <f>IFERROR(__xludf.DUMMYFUNCTION("""COMPUTED_VALUE"""),-0.670722560885721)</f>
        <v>-0.6707225609</v>
      </c>
      <c r="K2935" s="165">
        <f>IFERROR(__xludf.DUMMYFUNCTION("""COMPUTED_VALUE"""),-0.232792992899663)</f>
        <v>-0.2327929929</v>
      </c>
      <c r="L2935" s="165">
        <f>IFERROR(__xludf.DUMMYFUNCTION("""COMPUTED_VALUE"""),-0.437929567986058)</f>
        <v>-0.437929568</v>
      </c>
      <c r="M2935" s="166">
        <f t="shared" si="2"/>
        <v>0.04842143535</v>
      </c>
      <c r="N2935" s="167">
        <f t="shared" si="3"/>
        <v>4.443333333</v>
      </c>
      <c r="O2935" s="163">
        <f t="shared" ref="O2935:Q2935" si="2939">rank(I2935,I:I)</f>
        <v>3178</v>
      </c>
      <c r="P2935" s="163">
        <f t="shared" si="2939"/>
        <v>2096</v>
      </c>
      <c r="Q2935" s="163">
        <f t="shared" si="2939"/>
        <v>1630</v>
      </c>
      <c r="R2935" s="163">
        <f>IFERROR(__xludf.DUMMYFUNCTION("RANK(M2935,filter(M:M,C:C=C2935))"),424.0)</f>
        <v>424</v>
      </c>
      <c r="S2935" s="161" t="b">
        <f t="shared" si="5"/>
        <v>0</v>
      </c>
      <c r="T2935" s="161" t="b">
        <f t="array" ref="T2935">index('Query Tool'!B:B,match(H2935,'Query Tool'!C:C,0))</f>
        <v>1</v>
      </c>
      <c r="U2935" s="161" t="b">
        <f t="array" ref="U2935">index('Query Tool'!B:B,match(C2935,'Query Tool'!C:C,0))</f>
        <v>0</v>
      </c>
      <c r="V2935" s="161" t="b">
        <f>F2935&gt;='Query Tool'!C$32</f>
        <v>0</v>
      </c>
      <c r="W2935" s="161" t="b">
        <f t="array" ref="W2935">index(Dropdowns!B:B,match(I2935,Dropdowns!A:A,0))</f>
        <v>1</v>
      </c>
      <c r="X2935" s="161" t="b">
        <f t="array" ref="X2935">index('Query Tool'!B:B,match(D2935,'Query Tool'!C:C,0))</f>
        <v>1</v>
      </c>
      <c r="Y2935" s="161" t="str">
        <f t="shared" si="6"/>
        <v>frazime01,2018-19</v>
      </c>
      <c r="Z2935" s="168">
        <f t="array" ref="Z2935">iferror(index(I:I,match($A2935&amp;","&amp;index('Year Conversion'!$A:$A,match($C2935,'Year Conversion'!$B:$B,0)),$Y:$Y,0))-I2935,"")</f>
        <v>1</v>
      </c>
      <c r="AA2935" s="168">
        <f t="array" ref="AA2935">iferror(index(J:J,match($A2935&amp;","&amp;index('Year Conversion'!$A:$A,match($C2935,'Year Conversion'!$B:$B,0)),$Y:$Y,0))-J2935,"")</f>
        <v>-1.017309632</v>
      </c>
      <c r="AB2935" s="168">
        <f t="array" ref="AB2935">iferror(index(K:K,match($A2935&amp;","&amp;index('Year Conversion'!$A:$A,match($C2935,'Year Conversion'!$B:$B,0)),$Y:$Y,0))-K2935,"")</f>
        <v>-1.036108237</v>
      </c>
      <c r="AC2935" s="168" t="str">
        <f t="shared" si="7"/>
        <v>ORL,2018-19</v>
      </c>
    </row>
    <row r="2936">
      <c r="A2936" s="161" t="str">
        <f>IFERROR(__xludf.DUMMYFUNCTION("""COMPUTED_VALUE"""),"gilgesh01")</f>
        <v>gilgesh01</v>
      </c>
      <c r="B2936" s="161" t="str">
        <f>IFERROR(__xludf.DUMMYFUNCTION("""COMPUTED_VALUE"""),"Shai Gilgeous-Alexander")</f>
        <v>Shai Gilgeous-Alexander</v>
      </c>
      <c r="C2936" s="162" t="str">
        <f>IFERROR(__xludf.DUMMYFUNCTION("""COMPUTED_VALUE"""),"2018-19")</f>
        <v>2018-19</v>
      </c>
      <c r="D2936" s="163" t="str">
        <f>IFERROR(__xludf.DUMMYFUNCTION("""COMPUTED_VALUE"""),"LAC")</f>
        <v>LAC</v>
      </c>
      <c r="E2936" s="164" t="str">
        <f>IFERROR(__xludf.DUMMYFUNCTION("""COMPUTED_VALUE"""),"Slasher")</f>
        <v>Slasher</v>
      </c>
      <c r="F2936" s="164">
        <f>IFERROR(__xludf.DUMMYFUNCTION("""COMPUTED_VALUE"""),2173.90666666667)</f>
        <v>2173.906667</v>
      </c>
      <c r="G2936" s="163">
        <f>IFERROR(__xludf.DUMMYFUNCTION("""COMPUTED_VALUE"""),82.0)</f>
        <v>82</v>
      </c>
      <c r="H2936" s="163" t="str">
        <f>IFERROR(__xludf.DUMMYFUNCTION("""COMPUTED_VALUE"""),"PG")</f>
        <v>PG</v>
      </c>
      <c r="I2936" s="163">
        <f>IFERROR(__xludf.DUMMYFUNCTION("""COMPUTED_VALUE"""),20.0)</f>
        <v>20</v>
      </c>
      <c r="J2936" s="165">
        <f>IFERROR(__xludf.DUMMYFUNCTION("""COMPUTED_VALUE"""),-1.3724407746803)</f>
        <v>-1.372440775</v>
      </c>
      <c r="K2936" s="165">
        <f>IFERROR(__xludf.DUMMYFUNCTION("""COMPUTED_VALUE"""),-1.73368877328157)</f>
        <v>-1.733688773</v>
      </c>
      <c r="L2936" s="165">
        <f>IFERROR(__xludf.DUMMYFUNCTION("""COMPUTED_VALUE"""),0.361247998601269)</f>
        <v>0.3612479986</v>
      </c>
      <c r="M2936" s="166">
        <f t="shared" si="2"/>
        <v>1.345201839</v>
      </c>
      <c r="N2936" s="167">
        <f t="shared" si="3"/>
        <v>26.51105691</v>
      </c>
      <c r="O2936" s="163">
        <f t="shared" ref="O2936:Q2936" si="2940">rank(I2936,I:I)</f>
        <v>3770</v>
      </c>
      <c r="P2936" s="163">
        <f t="shared" si="2940"/>
        <v>2928</v>
      </c>
      <c r="Q2936" s="163">
        <f t="shared" si="2940"/>
        <v>3541</v>
      </c>
      <c r="R2936" s="163">
        <f>IFERROR(__xludf.DUMMYFUNCTION("RANK(M2936,filter(M:M,C:C=C2936))"),197.0)</f>
        <v>197</v>
      </c>
      <c r="S2936" s="161" t="b">
        <f t="shared" si="5"/>
        <v>0</v>
      </c>
      <c r="T2936" s="161" t="b">
        <f t="array" ref="T2936">index('Query Tool'!B:B,match(H2936,'Query Tool'!C:C,0))</f>
        <v>1</v>
      </c>
      <c r="U2936" s="161" t="b">
        <f t="array" ref="U2936">index('Query Tool'!B:B,match(C2936,'Query Tool'!C:C,0))</f>
        <v>0</v>
      </c>
      <c r="V2936" s="161" t="b">
        <f>F2936&gt;='Query Tool'!C$32</f>
        <v>1</v>
      </c>
      <c r="W2936" s="161" t="b">
        <f t="array" ref="W2936">index(Dropdowns!B:B,match(I2936,Dropdowns!A:A,0))</f>
        <v>1</v>
      </c>
      <c r="X2936" s="161" t="b">
        <f t="array" ref="X2936">index('Query Tool'!B:B,match(D2936,'Query Tool'!C:C,0))</f>
        <v>1</v>
      </c>
      <c r="Y2936" s="161" t="str">
        <f t="shared" si="6"/>
        <v>gilgesh01,2018-19</v>
      </c>
      <c r="Z2936" s="168">
        <f t="array" ref="Z2936">iferror(index(I:I,match($A2936&amp;","&amp;index('Year Conversion'!$A:$A,match($C2936,'Year Conversion'!$B:$B,0)),$Y:$Y,0))-I2936,"")</f>
        <v>1</v>
      </c>
      <c r="AA2936" s="168">
        <f t="array" ref="AA2936">iferror(index(J:J,match($A2936&amp;","&amp;index('Year Conversion'!$A:$A,match($C2936,'Year Conversion'!$B:$B,0)),$Y:$Y,0))-J2936,"")</f>
        <v>1.893131911</v>
      </c>
      <c r="AB2936" s="168">
        <f t="array" ref="AB2936">iferror(index(K:K,match($A2936&amp;","&amp;index('Year Conversion'!$A:$A,match($C2936,'Year Conversion'!$B:$B,0)),$Y:$Y,0))-K2936,"")</f>
        <v>2.806493121</v>
      </c>
      <c r="AC2936" s="168" t="str">
        <f t="shared" si="7"/>
        <v>LAC,2018-19</v>
      </c>
    </row>
    <row r="2937">
      <c r="A2937" s="161" t="str">
        <f>IFERROR(__xludf.DUMMYFUNCTION("""COMPUTED_VALUE"""),"grahade01")</f>
        <v>grahade01</v>
      </c>
      <c r="B2937" s="161" t="str">
        <f>IFERROR(__xludf.DUMMYFUNCTION("""COMPUTED_VALUE"""),"Devonte' Graham")</f>
        <v>Devonte' Graham</v>
      </c>
      <c r="C2937" s="162" t="str">
        <f>IFERROR(__xludf.DUMMYFUNCTION("""COMPUTED_VALUE"""),"2018-19")</f>
        <v>2018-19</v>
      </c>
      <c r="D2937" s="163" t="str">
        <f>IFERROR(__xludf.DUMMYFUNCTION("""COMPUTED_VALUE"""),"CHO")</f>
        <v>CHO</v>
      </c>
      <c r="E2937" s="164" t="str">
        <f>IFERROR(__xludf.DUMMYFUNCTION("""COMPUTED_VALUE"""),"Secondary Ball Handler")</f>
        <v>Secondary Ball Handler</v>
      </c>
      <c r="F2937" s="164">
        <f>IFERROR(__xludf.DUMMYFUNCTION("""COMPUTED_VALUE"""),676.095)</f>
        <v>676.095</v>
      </c>
      <c r="G2937" s="163">
        <f>IFERROR(__xludf.DUMMYFUNCTION("""COMPUTED_VALUE"""),46.0)</f>
        <v>46</v>
      </c>
      <c r="H2937" s="163" t="str">
        <f>IFERROR(__xludf.DUMMYFUNCTION("""COMPUTED_VALUE"""),"PG")</f>
        <v>PG</v>
      </c>
      <c r="I2937" s="163">
        <f>IFERROR(__xludf.DUMMYFUNCTION("""COMPUTED_VALUE"""),23.0)</f>
        <v>23</v>
      </c>
      <c r="J2937" s="165">
        <f>IFERROR(__xludf.DUMMYFUNCTION("""COMPUTED_VALUE"""),-1.30367314210389)</f>
        <v>-1.303673142</v>
      </c>
      <c r="K2937" s="165">
        <f>IFERROR(__xludf.DUMMYFUNCTION("""COMPUTED_VALUE"""),-0.0796151030639109)</f>
        <v>-0.07961510306</v>
      </c>
      <c r="L2937" s="165">
        <f>IFERROR(__xludf.DUMMYFUNCTION("""COMPUTED_VALUE"""),-1.22405803903998)</f>
        <v>-1.224058039</v>
      </c>
      <c r="M2937" s="166">
        <f t="shared" si="2"/>
        <v>0.4494766092</v>
      </c>
      <c r="N2937" s="167">
        <f t="shared" si="3"/>
        <v>14.69771739</v>
      </c>
      <c r="O2937" s="163">
        <f t="shared" ref="O2937:Q2937" si="2941">rank(I2937,I:I)</f>
        <v>2765</v>
      </c>
      <c r="P2937" s="163">
        <f t="shared" si="2941"/>
        <v>2864</v>
      </c>
      <c r="Q2937" s="163">
        <f t="shared" si="2941"/>
        <v>1322</v>
      </c>
      <c r="R2937" s="163">
        <f>IFERROR(__xludf.DUMMYFUNCTION("RANK(M2937,filter(M:M,C:C=C2937))"),300.0)</f>
        <v>300</v>
      </c>
      <c r="S2937" s="161" t="b">
        <f t="shared" si="5"/>
        <v>0</v>
      </c>
      <c r="T2937" s="161" t="b">
        <f t="array" ref="T2937">index('Query Tool'!B:B,match(H2937,'Query Tool'!C:C,0))</f>
        <v>1</v>
      </c>
      <c r="U2937" s="161" t="b">
        <f t="array" ref="U2937">index('Query Tool'!B:B,match(C2937,'Query Tool'!C:C,0))</f>
        <v>0</v>
      </c>
      <c r="V2937" s="161" t="b">
        <f>F2937&gt;='Query Tool'!C$32</f>
        <v>1</v>
      </c>
      <c r="W2937" s="161" t="b">
        <f t="array" ref="W2937">index(Dropdowns!B:B,match(I2937,Dropdowns!A:A,0))</f>
        <v>1</v>
      </c>
      <c r="X2937" s="161" t="b">
        <f t="array" ref="X2937">index('Query Tool'!B:B,match(D2937,'Query Tool'!C:C,0))</f>
        <v>1</v>
      </c>
      <c r="Y2937" s="161" t="str">
        <f t="shared" si="6"/>
        <v>grahade01,2018-19</v>
      </c>
      <c r="Z2937" s="168">
        <f t="array" ref="Z2937">iferror(index(I:I,match($A2937&amp;","&amp;index('Year Conversion'!$A:$A,match($C2937,'Year Conversion'!$B:$B,0)),$Y:$Y,0))-I2937,"")</f>
        <v>1</v>
      </c>
      <c r="AA2937" s="168">
        <f t="array" ref="AA2937">iferror(index(J:J,match($A2937&amp;","&amp;index('Year Conversion'!$A:$A,match($C2937,'Year Conversion'!$B:$B,0)),$Y:$Y,0))-J2937,"")</f>
        <v>1.380989601</v>
      </c>
      <c r="AB2937" s="168">
        <f t="array" ref="AB2937">iferror(index(K:K,match($A2937&amp;","&amp;index('Year Conversion'!$A:$A,match($C2937,'Year Conversion'!$B:$B,0)),$Y:$Y,0))-K2937,"")</f>
        <v>2.144901337</v>
      </c>
      <c r="AC2937" s="168" t="str">
        <f t="shared" si="7"/>
        <v>CHO,2018-19</v>
      </c>
    </row>
    <row r="2938">
      <c r="A2938" s="161" t="str">
        <f>IFERROR(__xludf.DUMMYFUNCTION("""COMPUTED_VALUE"""),"holidaa01")</f>
        <v>holidaa01</v>
      </c>
      <c r="B2938" s="161" t="str">
        <f>IFERROR(__xludf.DUMMYFUNCTION("""COMPUTED_VALUE"""),"Aaron Holiday")</f>
        <v>Aaron Holiday</v>
      </c>
      <c r="C2938" s="162" t="str">
        <f>IFERROR(__xludf.DUMMYFUNCTION("""COMPUTED_VALUE"""),"2018-19")</f>
        <v>2018-19</v>
      </c>
      <c r="D2938" s="163" t="str">
        <f>IFERROR(__xludf.DUMMYFUNCTION("""COMPUTED_VALUE"""),"IND")</f>
        <v>IND</v>
      </c>
      <c r="E2938" s="164" t="str">
        <f>IFERROR(__xludf.DUMMYFUNCTION("""COMPUTED_VALUE"""),"Secondary Ball Handler")</f>
        <v>Secondary Ball Handler</v>
      </c>
      <c r="F2938" s="164">
        <f>IFERROR(__xludf.DUMMYFUNCTION("""COMPUTED_VALUE"""),645.83)</f>
        <v>645.83</v>
      </c>
      <c r="G2938" s="163">
        <f>IFERROR(__xludf.DUMMYFUNCTION("""COMPUTED_VALUE"""),50.0)</f>
        <v>50</v>
      </c>
      <c r="H2938" s="163" t="str">
        <f>IFERROR(__xludf.DUMMYFUNCTION("""COMPUTED_VALUE"""),"PG")</f>
        <v>PG</v>
      </c>
      <c r="I2938" s="163">
        <f>IFERROR(__xludf.DUMMYFUNCTION("""COMPUTED_VALUE"""),22.0)</f>
        <v>22</v>
      </c>
      <c r="J2938" s="165">
        <f>IFERROR(__xludf.DUMMYFUNCTION("""COMPUTED_VALUE"""),-0.970607805121168)</f>
        <v>-0.9706078051</v>
      </c>
      <c r="K2938" s="165">
        <f>IFERROR(__xludf.DUMMYFUNCTION("""COMPUTED_VALUE"""),-0.427566501811658)</f>
        <v>-0.4275665018</v>
      </c>
      <c r="L2938" s="165">
        <f>IFERROR(__xludf.DUMMYFUNCTION("""COMPUTED_VALUE"""),-0.54304130330951)</f>
        <v>-0.5430413033</v>
      </c>
      <c r="M2938" s="166">
        <f t="shared" si="2"/>
        <v>0.5735925068</v>
      </c>
      <c r="N2938" s="167">
        <f t="shared" si="3"/>
        <v>12.9166</v>
      </c>
      <c r="O2938" s="163">
        <f t="shared" ref="O2938:Q2938" si="2942">rank(I2938,I:I)</f>
        <v>3178</v>
      </c>
      <c r="P2938" s="163">
        <f t="shared" si="2942"/>
        <v>2471</v>
      </c>
      <c r="Q2938" s="163">
        <f t="shared" si="2942"/>
        <v>1995</v>
      </c>
      <c r="R2938" s="163">
        <f>IFERROR(__xludf.DUMMYFUNCTION("RANK(M2938,filter(M:M,C:C=C2938))"),273.0)</f>
        <v>273</v>
      </c>
      <c r="S2938" s="161" t="b">
        <f t="shared" si="5"/>
        <v>0</v>
      </c>
      <c r="T2938" s="161" t="b">
        <f t="array" ref="T2938">index('Query Tool'!B:B,match(H2938,'Query Tool'!C:C,0))</f>
        <v>1</v>
      </c>
      <c r="U2938" s="161" t="b">
        <f t="array" ref="U2938">index('Query Tool'!B:B,match(C2938,'Query Tool'!C:C,0))</f>
        <v>0</v>
      </c>
      <c r="V2938" s="161" t="b">
        <f>F2938&gt;='Query Tool'!C$32</f>
        <v>1</v>
      </c>
      <c r="W2938" s="161" t="b">
        <f t="array" ref="W2938">index(Dropdowns!B:B,match(I2938,Dropdowns!A:A,0))</f>
        <v>1</v>
      </c>
      <c r="X2938" s="161" t="b">
        <f t="array" ref="X2938">index('Query Tool'!B:B,match(D2938,'Query Tool'!C:C,0))</f>
        <v>1</v>
      </c>
      <c r="Y2938" s="161" t="str">
        <f t="shared" si="6"/>
        <v>holidaa01,2018-19</v>
      </c>
      <c r="Z2938" s="168">
        <f t="array" ref="Z2938">iferror(index(I:I,match($A2938&amp;","&amp;index('Year Conversion'!$A:$A,match($C2938,'Year Conversion'!$B:$B,0)),$Y:$Y,0))-I2938,"")</f>
        <v>1</v>
      </c>
      <c r="AA2938" s="168">
        <f t="array" ref="AA2938">iferror(index(J:J,match($A2938&amp;","&amp;index('Year Conversion'!$A:$A,match($C2938,'Year Conversion'!$B:$B,0)),$Y:$Y,0))-J2938,"")</f>
        <v>0.02042323146</v>
      </c>
      <c r="AB2938" s="168">
        <f t="array" ref="AB2938">iferror(index(K:K,match($A2938&amp;","&amp;index('Year Conversion'!$A:$A,match($C2938,'Year Conversion'!$B:$B,0)),$Y:$Y,0))-K2938,"")</f>
        <v>-0.0004775123615</v>
      </c>
      <c r="AC2938" s="168" t="str">
        <f t="shared" si="7"/>
        <v>IND,2018-19</v>
      </c>
    </row>
    <row r="2939">
      <c r="A2939" s="161" t="str">
        <f>IFERROR(__xludf.DUMMYFUNCTION("""COMPUTED_VALUE"""),"huertke01")</f>
        <v>huertke01</v>
      </c>
      <c r="B2939" s="161" t="str">
        <f>IFERROR(__xludf.DUMMYFUNCTION("""COMPUTED_VALUE"""),"Kevin Huerter")</f>
        <v>Kevin Huerter</v>
      </c>
      <c r="C2939" s="162" t="str">
        <f>IFERROR(__xludf.DUMMYFUNCTION("""COMPUTED_VALUE"""),"2018-19")</f>
        <v>2018-19</v>
      </c>
      <c r="D2939" s="163" t="str">
        <f>IFERROR(__xludf.DUMMYFUNCTION("""COMPUTED_VALUE"""),"ATL")</f>
        <v>ATL</v>
      </c>
      <c r="E2939" s="164" t="str">
        <f>IFERROR(__xludf.DUMMYFUNCTION("""COMPUTED_VALUE"""),"Secondary Ball Handler")</f>
        <v>Secondary Ball Handler</v>
      </c>
      <c r="F2939" s="164">
        <f>IFERROR(__xludf.DUMMYFUNCTION("""COMPUTED_VALUE"""),2048.53)</f>
        <v>2048.53</v>
      </c>
      <c r="G2939" s="163">
        <f>IFERROR(__xludf.DUMMYFUNCTION("""COMPUTED_VALUE"""),75.0)</f>
        <v>75</v>
      </c>
      <c r="H2939" s="163" t="str">
        <f>IFERROR(__xludf.DUMMYFUNCTION("""COMPUTED_VALUE"""),"SG")</f>
        <v>SG</v>
      </c>
      <c r="I2939" s="163">
        <f>IFERROR(__xludf.DUMMYFUNCTION("""COMPUTED_VALUE"""),20.0)</f>
        <v>20</v>
      </c>
      <c r="J2939" s="165">
        <f>IFERROR(__xludf.DUMMYFUNCTION("""COMPUTED_VALUE"""),-1.44988591210517)</f>
        <v>-1.449885912</v>
      </c>
      <c r="K2939" s="165">
        <f>IFERROR(__xludf.DUMMYFUNCTION("""COMPUTED_VALUE"""),-0.780551625442396)</f>
        <v>-0.7805516254</v>
      </c>
      <c r="L2939" s="165">
        <f>IFERROR(__xludf.DUMMYFUNCTION("""COMPUTED_VALUE"""),-0.669334286662779)</f>
        <v>-0.6693342867</v>
      </c>
      <c r="M2939" s="166">
        <f t="shared" si="2"/>
        <v>1.161543109</v>
      </c>
      <c r="N2939" s="167">
        <f t="shared" si="3"/>
        <v>27.31373333</v>
      </c>
      <c r="O2939" s="163">
        <f t="shared" ref="O2939:Q2939" si="2943">rank(I2939,I:I)</f>
        <v>3770</v>
      </c>
      <c r="P2939" s="163">
        <f t="shared" si="2943"/>
        <v>3007</v>
      </c>
      <c r="Q2939" s="163">
        <f t="shared" si="2943"/>
        <v>2534</v>
      </c>
      <c r="R2939" s="163">
        <f>IFERROR(__xludf.DUMMYFUNCTION("RANK(M2939,filter(M:M,C:C=C2939))"),213.0)</f>
        <v>213</v>
      </c>
      <c r="S2939" s="161" t="b">
        <f t="shared" si="5"/>
        <v>0</v>
      </c>
      <c r="T2939" s="161" t="b">
        <f t="array" ref="T2939">index('Query Tool'!B:B,match(H2939,'Query Tool'!C:C,0))</f>
        <v>1</v>
      </c>
      <c r="U2939" s="161" t="b">
        <f t="array" ref="U2939">index('Query Tool'!B:B,match(C2939,'Query Tool'!C:C,0))</f>
        <v>0</v>
      </c>
      <c r="V2939" s="161" t="b">
        <f>F2939&gt;='Query Tool'!C$32</f>
        <v>1</v>
      </c>
      <c r="W2939" s="161" t="b">
        <f t="array" ref="W2939">index(Dropdowns!B:B,match(I2939,Dropdowns!A:A,0))</f>
        <v>1</v>
      </c>
      <c r="X2939" s="161" t="b">
        <f t="array" ref="X2939">index('Query Tool'!B:B,match(D2939,'Query Tool'!C:C,0))</f>
        <v>1</v>
      </c>
      <c r="Y2939" s="161" t="str">
        <f t="shared" si="6"/>
        <v>huertke01,2018-19</v>
      </c>
      <c r="Z2939" s="168">
        <f t="array" ref="Z2939">iferror(index(I:I,match($A2939&amp;","&amp;index('Year Conversion'!$A:$A,match($C2939,'Year Conversion'!$B:$B,0)),$Y:$Y,0))-I2939,"")</f>
        <v>1</v>
      </c>
      <c r="AA2939" s="168">
        <f t="array" ref="AA2939">iferror(index(J:J,match($A2939&amp;","&amp;index('Year Conversion'!$A:$A,match($C2939,'Year Conversion'!$B:$B,0)),$Y:$Y,0))-J2939,"")</f>
        <v>-0.660638647</v>
      </c>
      <c r="AB2939" s="168">
        <f t="array" ref="AB2939">iferror(index(K:K,match($A2939&amp;","&amp;index('Year Conversion'!$A:$A,match($C2939,'Year Conversion'!$B:$B,0)),$Y:$Y,0))-K2939,"")</f>
        <v>-0.2671965876</v>
      </c>
      <c r="AC2939" s="168" t="str">
        <f t="shared" si="7"/>
        <v>ATL,2018-19</v>
      </c>
    </row>
    <row r="2940">
      <c r="A2940" s="161" t="str">
        <f>IFERROR(__xludf.DUMMYFUNCTION("""COMPUTED_VALUE"""),"hutchch01")</f>
        <v>hutchch01</v>
      </c>
      <c r="B2940" s="161" t="str">
        <f>IFERROR(__xludf.DUMMYFUNCTION("""COMPUTED_VALUE"""),"Chandler Hutchison")</f>
        <v>Chandler Hutchison</v>
      </c>
      <c r="C2940" s="162" t="str">
        <f>IFERROR(__xludf.DUMMYFUNCTION("""COMPUTED_VALUE"""),"2018-19")</f>
        <v>2018-19</v>
      </c>
      <c r="D2940" s="163" t="str">
        <f>IFERROR(__xludf.DUMMYFUNCTION("""COMPUTED_VALUE"""),"CHI")</f>
        <v>CHI</v>
      </c>
      <c r="E2940" s="164" t="str">
        <f>IFERROR(__xludf.DUMMYFUNCTION("""COMPUTED_VALUE"""),"Athletic Finisher")</f>
        <v>Athletic Finisher</v>
      </c>
      <c r="F2940" s="164">
        <f>IFERROR(__xludf.DUMMYFUNCTION("""COMPUTED_VALUE"""),894.615)</f>
        <v>894.615</v>
      </c>
      <c r="G2940" s="163">
        <f>IFERROR(__xludf.DUMMYFUNCTION("""COMPUTED_VALUE"""),44.0)</f>
        <v>44</v>
      </c>
      <c r="H2940" s="163" t="str">
        <f>IFERROR(__xludf.DUMMYFUNCTION("""COMPUTED_VALUE"""),"SF")</f>
        <v>SF</v>
      </c>
      <c r="I2940" s="163">
        <f>IFERROR(__xludf.DUMMYFUNCTION("""COMPUTED_VALUE"""),22.0)</f>
        <v>22</v>
      </c>
      <c r="J2940" s="165">
        <f>IFERROR(__xludf.DUMMYFUNCTION("""COMPUTED_VALUE"""),-2.98180436081649)</f>
        <v>-2.981804361</v>
      </c>
      <c r="K2940" s="165">
        <f>IFERROR(__xludf.DUMMYFUNCTION("""COMPUTED_VALUE"""),-2.93993312553164)</f>
        <v>-2.939933126</v>
      </c>
      <c r="L2940" s="165">
        <f>IFERROR(__xludf.DUMMYFUNCTION("""COMPUTED_VALUE"""),-0.0418712352848421)</f>
        <v>-0.04187123528</v>
      </c>
      <c r="M2940" s="166">
        <f t="shared" si="2"/>
        <v>-0.3973585458</v>
      </c>
      <c r="N2940" s="167">
        <f t="shared" si="3"/>
        <v>20.33215909</v>
      </c>
      <c r="O2940" s="163">
        <f t="shared" ref="O2940:Q2940" si="2944">rank(I2940,I:I)</f>
        <v>3178</v>
      </c>
      <c r="P2940" s="163">
        <f t="shared" si="2944"/>
        <v>3883</v>
      </c>
      <c r="Q2940" s="163">
        <f t="shared" si="2944"/>
        <v>3971</v>
      </c>
      <c r="R2940" s="163">
        <f>IFERROR(__xludf.DUMMYFUNCTION("RANK(M2940,filter(M:M,C:C=C2940))"),512.0)</f>
        <v>512</v>
      </c>
      <c r="S2940" s="161" t="b">
        <f t="shared" si="5"/>
        <v>0</v>
      </c>
      <c r="T2940" s="161" t="b">
        <f t="array" ref="T2940">index('Query Tool'!B:B,match(H2940,'Query Tool'!C:C,0))</f>
        <v>1</v>
      </c>
      <c r="U2940" s="161" t="b">
        <f t="array" ref="U2940">index('Query Tool'!B:B,match(C2940,'Query Tool'!C:C,0))</f>
        <v>0</v>
      </c>
      <c r="V2940" s="161" t="b">
        <f>F2940&gt;='Query Tool'!C$32</f>
        <v>1</v>
      </c>
      <c r="W2940" s="161" t="b">
        <f t="array" ref="W2940">index(Dropdowns!B:B,match(I2940,Dropdowns!A:A,0))</f>
        <v>1</v>
      </c>
      <c r="X2940" s="161" t="b">
        <f t="array" ref="X2940">index('Query Tool'!B:B,match(D2940,'Query Tool'!C:C,0))</f>
        <v>1</v>
      </c>
      <c r="Y2940" s="161" t="str">
        <f t="shared" si="6"/>
        <v>hutchch01,2018-19</v>
      </c>
      <c r="Z2940" s="168">
        <f t="array" ref="Z2940">iferror(index(I:I,match($A2940&amp;","&amp;index('Year Conversion'!$A:$A,match($C2940,'Year Conversion'!$B:$B,0)),$Y:$Y,0))-I2940,"")</f>
        <v>1</v>
      </c>
      <c r="AA2940" s="168">
        <f t="array" ref="AA2940">iferror(index(J:J,match($A2940&amp;","&amp;index('Year Conversion'!$A:$A,match($C2940,'Year Conversion'!$B:$B,0)),$Y:$Y,0))-J2940,"")</f>
        <v>1.307038765</v>
      </c>
      <c r="AB2940" s="168">
        <f t="array" ref="AB2940">iferror(index(K:K,match($A2940&amp;","&amp;index('Year Conversion'!$A:$A,match($C2940,'Year Conversion'!$B:$B,0)),$Y:$Y,0))-K2940,"")</f>
        <v>1.402550915</v>
      </c>
      <c r="AC2940" s="168" t="str">
        <f t="shared" si="7"/>
        <v>CHI,2018-19</v>
      </c>
    </row>
    <row r="2941">
      <c r="A2941" s="161" t="str">
        <f>IFERROR(__xludf.DUMMYFUNCTION("""COMPUTED_VALUE"""),"jacksja02")</f>
        <v>jacksja02</v>
      </c>
      <c r="B2941" s="161" t="str">
        <f>IFERROR(__xludf.DUMMYFUNCTION("""COMPUTED_VALUE"""),"Jaren Jackson Jr.")</f>
        <v>Jaren Jackson Jr.</v>
      </c>
      <c r="C2941" s="162" t="str">
        <f>IFERROR(__xludf.DUMMYFUNCTION("""COMPUTED_VALUE"""),"2018-19")</f>
        <v>2018-19</v>
      </c>
      <c r="D2941" s="163" t="str">
        <f>IFERROR(__xludf.DUMMYFUNCTION("""COMPUTED_VALUE"""),"MEM")</f>
        <v>MEM</v>
      </c>
      <c r="E2941" s="164" t="str">
        <f>IFERROR(__xludf.DUMMYFUNCTION("""COMPUTED_VALUE"""),"Post Scorer")</f>
        <v>Post Scorer</v>
      </c>
      <c r="F2941" s="164">
        <f>IFERROR(__xludf.DUMMYFUNCTION("""COMPUTED_VALUE"""),1514.68833333333)</f>
        <v>1514.688333</v>
      </c>
      <c r="G2941" s="163">
        <f>IFERROR(__xludf.DUMMYFUNCTION("""COMPUTED_VALUE"""),58.0)</f>
        <v>58</v>
      </c>
      <c r="H2941" s="163" t="str">
        <f>IFERROR(__xludf.DUMMYFUNCTION("""COMPUTED_VALUE"""),"PF")</f>
        <v>PF</v>
      </c>
      <c r="I2941" s="163">
        <f>IFERROR(__xludf.DUMMYFUNCTION("""COMPUTED_VALUE"""),19.0)</f>
        <v>19</v>
      </c>
      <c r="J2941" s="165">
        <f>IFERROR(__xludf.DUMMYFUNCTION("""COMPUTED_VALUE"""),-0.662938810315123)</f>
        <v>-0.6629388103</v>
      </c>
      <c r="K2941" s="165">
        <f>IFERROR(__xludf.DUMMYFUNCTION("""COMPUTED_VALUE"""),-2.1075297011048)</f>
        <v>-2.107529701</v>
      </c>
      <c r="L2941" s="165">
        <f>IFERROR(__xludf.DUMMYFUNCTION("""COMPUTED_VALUE"""),1.44459089078968)</f>
        <v>1.444590891</v>
      </c>
      <c r="M2941" s="166">
        <f t="shared" si="2"/>
        <v>1.658572738</v>
      </c>
      <c r="N2941" s="167">
        <f t="shared" si="3"/>
        <v>26.11531609</v>
      </c>
      <c r="O2941" s="163">
        <f t="shared" ref="O2941:Q2941" si="2945">rank(I2941,I:I)</f>
        <v>3945</v>
      </c>
      <c r="P2941" s="163">
        <f t="shared" si="2945"/>
        <v>2084</v>
      </c>
      <c r="Q2941" s="163">
        <f t="shared" si="2945"/>
        <v>3768</v>
      </c>
      <c r="R2941" s="163">
        <f>IFERROR(__xludf.DUMMYFUNCTION("RANK(M2941,filter(M:M,C:C=C2941))"),180.0)</f>
        <v>180</v>
      </c>
      <c r="S2941" s="161" t="b">
        <f t="shared" si="5"/>
        <v>0</v>
      </c>
      <c r="T2941" s="161" t="b">
        <f t="array" ref="T2941">index('Query Tool'!B:B,match(H2941,'Query Tool'!C:C,0))</f>
        <v>1</v>
      </c>
      <c r="U2941" s="161" t="b">
        <f t="array" ref="U2941">index('Query Tool'!B:B,match(C2941,'Query Tool'!C:C,0))</f>
        <v>0</v>
      </c>
      <c r="V2941" s="161" t="b">
        <f>F2941&gt;='Query Tool'!C$32</f>
        <v>1</v>
      </c>
      <c r="W2941" s="161" t="b">
        <f t="array" ref="W2941">index(Dropdowns!B:B,match(I2941,Dropdowns!A:A,0))</f>
        <v>1</v>
      </c>
      <c r="X2941" s="161" t="b">
        <f t="array" ref="X2941">index('Query Tool'!B:B,match(D2941,'Query Tool'!C:C,0))</f>
        <v>1</v>
      </c>
      <c r="Y2941" s="161" t="str">
        <f t="shared" si="6"/>
        <v>jacksja02,2018-19</v>
      </c>
      <c r="Z2941" s="168">
        <f t="array" ref="Z2941">iferror(index(I:I,match($A2941&amp;","&amp;index('Year Conversion'!$A:$A,match($C2941,'Year Conversion'!$B:$B,0)),$Y:$Y,0))-I2941,"")</f>
        <v>1</v>
      </c>
      <c r="AA2941" s="168">
        <f t="array" ref="AA2941">iferror(index(J:J,match($A2941&amp;","&amp;index('Year Conversion'!$A:$A,match($C2941,'Year Conversion'!$B:$B,0)),$Y:$Y,0))-J2941,"")</f>
        <v>1.253641468</v>
      </c>
      <c r="AB2941" s="168">
        <f t="array" ref="AB2941">iferror(index(K:K,match($A2941&amp;","&amp;index('Year Conversion'!$A:$A,match($C2941,'Year Conversion'!$B:$B,0)),$Y:$Y,0))-K2941,"")</f>
        <v>1.981843515</v>
      </c>
      <c r="AC2941" s="168" t="str">
        <f t="shared" si="7"/>
        <v>MEM,2018-19</v>
      </c>
    </row>
    <row r="2942">
      <c r="A2942" s="161" t="str">
        <f>IFERROR(__xludf.DUMMYFUNCTION("""COMPUTED_VALUE"""),"johnsal02")</f>
        <v>johnsal02</v>
      </c>
      <c r="B2942" s="161" t="str">
        <f>IFERROR(__xludf.DUMMYFUNCTION("""COMPUTED_VALUE"""),"Alize Johnson")</f>
        <v>Alize Johnson</v>
      </c>
      <c r="C2942" s="162" t="str">
        <f>IFERROR(__xludf.DUMMYFUNCTION("""COMPUTED_VALUE"""),"2018-19")</f>
        <v>2018-19</v>
      </c>
      <c r="D2942" s="163" t="str">
        <f>IFERROR(__xludf.DUMMYFUNCTION("""COMPUTED_VALUE"""),"IND")</f>
        <v>IND</v>
      </c>
      <c r="E2942" s="164" t="str">
        <f>IFERROR(__xludf.DUMMYFUNCTION("""COMPUTED_VALUE"""),"Roll + Cut Big")</f>
        <v>Roll + Cut Big</v>
      </c>
      <c r="F2942" s="164">
        <f>IFERROR(__xludf.DUMMYFUNCTION("""COMPUTED_VALUE"""),64.4333333333334)</f>
        <v>64.43333333</v>
      </c>
      <c r="G2942" s="163">
        <f>IFERROR(__xludf.DUMMYFUNCTION("""COMPUTED_VALUE"""),14.0)</f>
        <v>14</v>
      </c>
      <c r="H2942" s="163" t="str">
        <f>IFERROR(__xludf.DUMMYFUNCTION("""COMPUTED_VALUE"""),"PF")</f>
        <v>PF</v>
      </c>
      <c r="I2942" s="163">
        <f>IFERROR(__xludf.DUMMYFUNCTION("""COMPUTED_VALUE"""),22.0)</f>
        <v>22</v>
      </c>
      <c r="J2942" s="165">
        <f>IFERROR(__xludf.DUMMYFUNCTION("""COMPUTED_VALUE"""),-1.08375530747467)</f>
        <v>-1.083755307</v>
      </c>
      <c r="K2942" s="165">
        <f>IFERROR(__xludf.DUMMYFUNCTION("""COMPUTED_VALUE"""),-0.459260191141722)</f>
        <v>-0.4592601911</v>
      </c>
      <c r="L2942" s="165">
        <f>IFERROR(__xludf.DUMMYFUNCTION("""COMPUTED_VALUE"""),-0.62449511633295)</f>
        <v>-0.6244951163</v>
      </c>
      <c r="M2942" s="166">
        <f t="shared" si="2"/>
        <v>0.05233273468</v>
      </c>
      <c r="N2942" s="167">
        <f t="shared" si="3"/>
        <v>4.602380952</v>
      </c>
      <c r="O2942" s="163">
        <f t="shared" ref="O2942:Q2942" si="2946">rank(I2942,I:I)</f>
        <v>3178</v>
      </c>
      <c r="P2942" s="163">
        <f t="shared" si="2946"/>
        <v>2593</v>
      </c>
      <c r="Q2942" s="163">
        <f t="shared" si="2946"/>
        <v>2050</v>
      </c>
      <c r="R2942" s="163">
        <f>IFERROR(__xludf.DUMMYFUNCTION("RANK(M2942,filter(M:M,C:C=C2942))"),419.0)</f>
        <v>419</v>
      </c>
      <c r="S2942" s="161" t="b">
        <f t="shared" si="5"/>
        <v>0</v>
      </c>
      <c r="T2942" s="161" t="b">
        <f t="array" ref="T2942">index('Query Tool'!B:B,match(H2942,'Query Tool'!C:C,0))</f>
        <v>1</v>
      </c>
      <c r="U2942" s="161" t="b">
        <f t="array" ref="U2942">index('Query Tool'!B:B,match(C2942,'Query Tool'!C:C,0))</f>
        <v>0</v>
      </c>
      <c r="V2942" s="161" t="b">
        <f>F2942&gt;='Query Tool'!C$32</f>
        <v>0</v>
      </c>
      <c r="W2942" s="161" t="b">
        <f t="array" ref="W2942">index(Dropdowns!B:B,match(I2942,Dropdowns!A:A,0))</f>
        <v>1</v>
      </c>
      <c r="X2942" s="161" t="b">
        <f t="array" ref="X2942">index('Query Tool'!B:B,match(D2942,'Query Tool'!C:C,0))</f>
        <v>1</v>
      </c>
      <c r="Y2942" s="161" t="str">
        <f t="shared" si="6"/>
        <v>johnsal02,2018-19</v>
      </c>
      <c r="Z2942" s="168">
        <f t="array" ref="Z2942">iferror(index(I:I,match($A2942&amp;","&amp;index('Year Conversion'!$A:$A,match($C2942,'Year Conversion'!$B:$B,0)),$Y:$Y,0))-I2942,"")</f>
        <v>1</v>
      </c>
      <c r="AA2942" s="168">
        <f t="array" ref="AA2942">iferror(index(J:J,match($A2942&amp;","&amp;index('Year Conversion'!$A:$A,match($C2942,'Year Conversion'!$B:$B,0)),$Y:$Y,0))-J2942,"")</f>
        <v>0.5893222643</v>
      </c>
      <c r="AB2942" s="168">
        <f t="array" ref="AB2942">iferror(index(K:K,match($A2942&amp;","&amp;index('Year Conversion'!$A:$A,match($C2942,'Year Conversion'!$B:$B,0)),$Y:$Y,0))-K2942,"")</f>
        <v>-0.01161318754</v>
      </c>
      <c r="AC2942" s="168" t="str">
        <f t="shared" si="7"/>
        <v>IND,2018-19</v>
      </c>
    </row>
    <row r="2943">
      <c r="A2943" s="161" t="str">
        <f>IFERROR(__xludf.DUMMYFUNCTION("""COMPUTED_VALUE"""),"kingge03")</f>
        <v>kingge03</v>
      </c>
      <c r="B2943" s="161" t="str">
        <f>IFERROR(__xludf.DUMMYFUNCTION("""COMPUTED_VALUE"""),"George King")</f>
        <v>George King</v>
      </c>
      <c r="C2943" s="162" t="str">
        <f>IFERROR(__xludf.DUMMYFUNCTION("""COMPUTED_VALUE"""),"2018-19")</f>
        <v>2018-19</v>
      </c>
      <c r="D2943" s="163" t="str">
        <f>IFERROR(__xludf.DUMMYFUNCTION("""COMPUTED_VALUE"""),"PHO")</f>
        <v>PHO</v>
      </c>
      <c r="E2943" s="164" t="str">
        <f>IFERROR(__xludf.DUMMYFUNCTION("""COMPUTED_VALUE"""),"Low Minutes")</f>
        <v>Low Minutes</v>
      </c>
      <c r="F2943" s="164">
        <f>IFERROR(__xludf.DUMMYFUNCTION("""COMPUTED_VALUE"""),5.9)</f>
        <v>5.9</v>
      </c>
      <c r="G2943" s="163">
        <f>IFERROR(__xludf.DUMMYFUNCTION("""COMPUTED_VALUE"""),1.0)</f>
        <v>1</v>
      </c>
      <c r="H2943" s="163" t="str">
        <f>IFERROR(__xludf.DUMMYFUNCTION("""COMPUTED_VALUE"""),"SF")</f>
        <v>SF</v>
      </c>
      <c r="I2943" s="163">
        <f>IFERROR(__xludf.DUMMYFUNCTION("""COMPUTED_VALUE"""),25.0)</f>
        <v>25</v>
      </c>
      <c r="J2943" s="165">
        <f>IFERROR(__xludf.DUMMYFUNCTION("""COMPUTED_VALUE"""),-0.357419224814017)</f>
        <v>-0.3574192248</v>
      </c>
      <c r="K2943" s="165">
        <f>IFERROR(__xludf.DUMMYFUNCTION("""COMPUTED_VALUE"""),0.0382459395538235)</f>
        <v>0.03824593955</v>
      </c>
      <c r="L2943" s="165">
        <f>IFERROR(__xludf.DUMMYFUNCTION("""COMPUTED_VALUE"""),-0.395665164367841)</f>
        <v>-0.3956651644</v>
      </c>
      <c r="M2943" s="166">
        <f t="shared" si="2"/>
        <v>0.007674372019</v>
      </c>
      <c r="N2943" s="167">
        <f t="shared" si="3"/>
        <v>5.9</v>
      </c>
      <c r="O2943" s="163">
        <f t="shared" ref="O2943:Q2943" si="2947">rank(I2943,I:I)</f>
        <v>1995</v>
      </c>
      <c r="P2943" s="163">
        <f t="shared" si="2947"/>
        <v>1679</v>
      </c>
      <c r="Q2943" s="163">
        <f t="shared" si="2947"/>
        <v>1141</v>
      </c>
      <c r="R2943" s="163">
        <f>IFERROR(__xludf.DUMMYFUNCTION("RANK(M2943,filter(M:M,C:C=C2943))"),465.0)</f>
        <v>465</v>
      </c>
      <c r="S2943" s="161" t="b">
        <f t="shared" si="5"/>
        <v>0</v>
      </c>
      <c r="T2943" s="161" t="b">
        <f t="array" ref="T2943">index('Query Tool'!B:B,match(H2943,'Query Tool'!C:C,0))</f>
        <v>1</v>
      </c>
      <c r="U2943" s="161" t="b">
        <f t="array" ref="U2943">index('Query Tool'!B:B,match(C2943,'Query Tool'!C:C,0))</f>
        <v>0</v>
      </c>
      <c r="V2943" s="161" t="b">
        <f>F2943&gt;='Query Tool'!C$32</f>
        <v>0</v>
      </c>
      <c r="W2943" s="161" t="b">
        <f t="array" ref="W2943">index(Dropdowns!B:B,match(I2943,Dropdowns!A:A,0))</f>
        <v>1</v>
      </c>
      <c r="X2943" s="161" t="b">
        <f t="array" ref="X2943">index('Query Tool'!B:B,match(D2943,'Query Tool'!C:C,0))</f>
        <v>1</v>
      </c>
      <c r="Y2943" s="161" t="str">
        <f t="shared" si="6"/>
        <v>kingge03,2018-19</v>
      </c>
      <c r="Z2943" s="168" t="str">
        <f t="array" ref="Z2943">iferror(index(I:I,match($A2943&amp;","&amp;index('Year Conversion'!$A:$A,match($C2943,'Year Conversion'!$B:$B,0)),$Y:$Y,0))-I2943,"")</f>
        <v/>
      </c>
      <c r="AA2943" s="168" t="str">
        <f t="array" ref="AA2943">iferror(index(J:J,match($A2943&amp;","&amp;index('Year Conversion'!$A:$A,match($C2943,'Year Conversion'!$B:$B,0)),$Y:$Y,0))-J2943,"")</f>
        <v/>
      </c>
      <c r="AB2943" s="168" t="str">
        <f t="array" ref="AB2943">iferror(index(K:K,match($A2943&amp;","&amp;index('Year Conversion'!$A:$A,match($C2943,'Year Conversion'!$B:$B,0)),$Y:$Y,0))-K2943,"")</f>
        <v/>
      </c>
      <c r="AC2943" s="168" t="str">
        <f t="shared" si="7"/>
        <v>PHO,2018-19</v>
      </c>
    </row>
    <row r="2944">
      <c r="A2944" s="161" t="str">
        <f>IFERROR(__xludf.DUMMYFUNCTION("""COMPUTED_VALUE"""),"knoxke01")</f>
        <v>knoxke01</v>
      </c>
      <c r="B2944" s="161" t="str">
        <f>IFERROR(__xludf.DUMMYFUNCTION("""COMPUTED_VALUE"""),"Kevin Knox II")</f>
        <v>Kevin Knox II</v>
      </c>
      <c r="C2944" s="162" t="str">
        <f>IFERROR(__xludf.DUMMYFUNCTION("""COMPUTED_VALUE"""),"2018-19")</f>
        <v>2018-19</v>
      </c>
      <c r="D2944" s="163" t="str">
        <f>IFERROR(__xludf.DUMMYFUNCTION("""COMPUTED_VALUE"""),"NYK")</f>
        <v>NYK</v>
      </c>
      <c r="E2944" s="164" t="str">
        <f>IFERROR(__xludf.DUMMYFUNCTION("""COMPUTED_VALUE"""),"Stationary Shooter")</f>
        <v>Stationary Shooter</v>
      </c>
      <c r="F2944" s="164">
        <f>IFERROR(__xludf.DUMMYFUNCTION("""COMPUTED_VALUE"""),2157.89333333333)</f>
        <v>2157.893333</v>
      </c>
      <c r="G2944" s="163">
        <f>IFERROR(__xludf.DUMMYFUNCTION("""COMPUTED_VALUE"""),75.0)</f>
        <v>75</v>
      </c>
      <c r="H2944" s="163" t="str">
        <f>IFERROR(__xludf.DUMMYFUNCTION("""COMPUTED_VALUE"""),"PF")</f>
        <v>PF</v>
      </c>
      <c r="I2944" s="163">
        <f>IFERROR(__xludf.DUMMYFUNCTION("""COMPUTED_VALUE"""),19.0)</f>
        <v>19</v>
      </c>
      <c r="J2944" s="165">
        <f>IFERROR(__xludf.DUMMYFUNCTION("""COMPUTED_VALUE"""),-4.78276630689152)</f>
        <v>-4.782766307</v>
      </c>
      <c r="K2944" s="165">
        <f>IFERROR(__xludf.DUMMYFUNCTION("""COMPUTED_VALUE"""),-2.54707638953871)</f>
        <v>-2.54707639</v>
      </c>
      <c r="L2944" s="165">
        <f>IFERROR(__xludf.DUMMYFUNCTION("""COMPUTED_VALUE"""),-2.23568991735281)</f>
        <v>-2.235689917</v>
      </c>
      <c r="M2944" s="166">
        <f t="shared" si="2"/>
        <v>-3.418347118</v>
      </c>
      <c r="N2944" s="167">
        <f t="shared" si="3"/>
        <v>28.77191111</v>
      </c>
      <c r="O2944" s="163">
        <f t="shared" ref="O2944:Q2944" si="2948">rank(I2944,I:I)</f>
        <v>3945</v>
      </c>
      <c r="P2944" s="163">
        <f t="shared" si="2948"/>
        <v>4014</v>
      </c>
      <c r="Q2944" s="163">
        <f t="shared" si="2948"/>
        <v>3899</v>
      </c>
      <c r="R2944" s="163">
        <f>IFERROR(__xludf.DUMMYFUNCTION("RANK(M2944,filter(M:M,C:C=C2944))"),528.0)</f>
        <v>528</v>
      </c>
      <c r="S2944" s="161" t="b">
        <f t="shared" si="5"/>
        <v>0</v>
      </c>
      <c r="T2944" s="161" t="b">
        <f t="array" ref="T2944">index('Query Tool'!B:B,match(H2944,'Query Tool'!C:C,0))</f>
        <v>1</v>
      </c>
      <c r="U2944" s="161" t="b">
        <f t="array" ref="U2944">index('Query Tool'!B:B,match(C2944,'Query Tool'!C:C,0))</f>
        <v>0</v>
      </c>
      <c r="V2944" s="161" t="b">
        <f>F2944&gt;='Query Tool'!C$32</f>
        <v>1</v>
      </c>
      <c r="W2944" s="161" t="b">
        <f t="array" ref="W2944">index(Dropdowns!B:B,match(I2944,Dropdowns!A:A,0))</f>
        <v>1</v>
      </c>
      <c r="X2944" s="161" t="b">
        <f t="array" ref="X2944">index('Query Tool'!B:B,match(D2944,'Query Tool'!C:C,0))</f>
        <v>1</v>
      </c>
      <c r="Y2944" s="161" t="str">
        <f t="shared" si="6"/>
        <v>knoxke01,2018-19</v>
      </c>
      <c r="Z2944" s="168">
        <f t="array" ref="Z2944">iferror(index(I:I,match($A2944&amp;","&amp;index('Year Conversion'!$A:$A,match($C2944,'Year Conversion'!$B:$B,0)),$Y:$Y,0))-I2944,"")</f>
        <v>1</v>
      </c>
      <c r="AA2944" s="168">
        <f t="array" ref="AA2944">iferror(index(J:J,match($A2944&amp;","&amp;index('Year Conversion'!$A:$A,match($C2944,'Year Conversion'!$B:$B,0)),$Y:$Y,0))-J2944,"")</f>
        <v>1.155586489</v>
      </c>
      <c r="AB2944" s="168">
        <f t="array" ref="AB2944">iferror(index(K:K,match($A2944&amp;","&amp;index('Year Conversion'!$A:$A,match($C2944,'Year Conversion'!$B:$B,0)),$Y:$Y,0))-K2944,"")</f>
        <v>0.275382934</v>
      </c>
      <c r="AC2944" s="168" t="str">
        <f t="shared" si="7"/>
        <v>NYK,2018-19</v>
      </c>
    </row>
    <row r="2945">
      <c r="A2945" s="161" t="str">
        <f>IFERROR(__xludf.DUMMYFUNCTION("""COMPUTED_VALUE"""),"matenya01")</f>
        <v>matenya01</v>
      </c>
      <c r="B2945" s="161" t="str">
        <f>IFERROR(__xludf.DUMMYFUNCTION("""COMPUTED_VALUE"""),"Yante Maten")</f>
        <v>Yante Maten</v>
      </c>
      <c r="C2945" s="162" t="str">
        <f>IFERROR(__xludf.DUMMYFUNCTION("""COMPUTED_VALUE"""),"2018-19")</f>
        <v>2018-19</v>
      </c>
      <c r="D2945" s="163" t="str">
        <f>IFERROR(__xludf.DUMMYFUNCTION("""COMPUTED_VALUE"""),"MIA")</f>
        <v>MIA</v>
      </c>
      <c r="E2945" s="164" t="str">
        <f>IFERROR(__xludf.DUMMYFUNCTION("""COMPUTED_VALUE"""),"Athletic Finisher")</f>
        <v>Athletic Finisher</v>
      </c>
      <c r="F2945" s="164">
        <f>IFERROR(__xludf.DUMMYFUNCTION("""COMPUTED_VALUE"""),13.0333333333333)</f>
        <v>13.03333333</v>
      </c>
      <c r="G2945" s="163">
        <f>IFERROR(__xludf.DUMMYFUNCTION("""COMPUTED_VALUE"""),2.0)</f>
        <v>2</v>
      </c>
      <c r="H2945" s="163" t="str">
        <f>IFERROR(__xludf.DUMMYFUNCTION("""COMPUTED_VALUE"""),"PF")</f>
        <v>PF</v>
      </c>
      <c r="I2945" s="163">
        <f>IFERROR(__xludf.DUMMYFUNCTION("""COMPUTED_VALUE"""),22.0)</f>
        <v>22</v>
      </c>
      <c r="J2945" s="165">
        <f>IFERROR(__xludf.DUMMYFUNCTION("""COMPUTED_VALUE"""),-0.299724678428866)</f>
        <v>-0.2997246784</v>
      </c>
      <c r="K2945" s="165">
        <f>IFERROR(__xludf.DUMMYFUNCTION("""COMPUTED_VALUE"""),-0.224562135888953)</f>
        <v>-0.2245621359</v>
      </c>
      <c r="L2945" s="165">
        <f>IFERROR(__xludf.DUMMYFUNCTION("""COMPUTED_VALUE"""),-0.0751625425399133)</f>
        <v>-0.07516254254</v>
      </c>
      <c r="M2945" s="166">
        <f t="shared" si="2"/>
        <v>0.01745972124</v>
      </c>
      <c r="N2945" s="167">
        <f t="shared" si="3"/>
        <v>6.516666667</v>
      </c>
      <c r="O2945" s="163">
        <f t="shared" ref="O2945:Q2945" si="2949">rank(I2945,I:I)</f>
        <v>3178</v>
      </c>
      <c r="P2945" s="163">
        <f t="shared" si="2949"/>
        <v>1610</v>
      </c>
      <c r="Q2945" s="163">
        <f t="shared" si="2949"/>
        <v>1606</v>
      </c>
      <c r="R2945" s="163">
        <f>IFERROR(__xludf.DUMMYFUNCTION("RANK(M2945,filter(M:M,C:C=C2945))"),456.0)</f>
        <v>456</v>
      </c>
      <c r="S2945" s="161" t="b">
        <f t="shared" si="5"/>
        <v>0</v>
      </c>
      <c r="T2945" s="161" t="b">
        <f t="array" ref="T2945">index('Query Tool'!B:B,match(H2945,'Query Tool'!C:C,0))</f>
        <v>1</v>
      </c>
      <c r="U2945" s="161" t="b">
        <f t="array" ref="U2945">index('Query Tool'!B:B,match(C2945,'Query Tool'!C:C,0))</f>
        <v>0</v>
      </c>
      <c r="V2945" s="161" t="b">
        <f>F2945&gt;='Query Tool'!C$32</f>
        <v>0</v>
      </c>
      <c r="W2945" s="161" t="b">
        <f t="array" ref="W2945">index(Dropdowns!B:B,match(I2945,Dropdowns!A:A,0))</f>
        <v>1</v>
      </c>
      <c r="X2945" s="161" t="b">
        <f t="array" ref="X2945">index('Query Tool'!B:B,match(D2945,'Query Tool'!C:C,0))</f>
        <v>1</v>
      </c>
      <c r="Y2945" s="161" t="str">
        <f t="shared" si="6"/>
        <v>matenya01,2018-19</v>
      </c>
      <c r="Z2945" s="168" t="str">
        <f t="array" ref="Z2945">iferror(index(I:I,match($A2945&amp;","&amp;index('Year Conversion'!$A:$A,match($C2945,'Year Conversion'!$B:$B,0)),$Y:$Y,0))-I2945,"")</f>
        <v/>
      </c>
      <c r="AA2945" s="168" t="str">
        <f t="array" ref="AA2945">iferror(index(J:J,match($A2945&amp;","&amp;index('Year Conversion'!$A:$A,match($C2945,'Year Conversion'!$B:$B,0)),$Y:$Y,0))-J2945,"")</f>
        <v/>
      </c>
      <c r="AB2945" s="168" t="str">
        <f t="array" ref="AB2945">iferror(index(K:K,match($A2945&amp;","&amp;index('Year Conversion'!$A:$A,match($C2945,'Year Conversion'!$B:$B,0)),$Y:$Y,0))-K2945,"")</f>
        <v/>
      </c>
      <c r="AC2945" s="168" t="str">
        <f t="shared" si="7"/>
        <v>MIA,2018-19</v>
      </c>
    </row>
    <row r="2946">
      <c r="A2946" s="161" t="str">
        <f>IFERROR(__xludf.DUMMYFUNCTION("""COMPUTED_VALUE"""),"meltode01")</f>
        <v>meltode01</v>
      </c>
      <c r="B2946" s="161" t="str">
        <f>IFERROR(__xludf.DUMMYFUNCTION("""COMPUTED_VALUE"""),"De'Anthony Melton")</f>
        <v>De'Anthony Melton</v>
      </c>
      <c r="C2946" s="162" t="str">
        <f>IFERROR(__xludf.DUMMYFUNCTION("""COMPUTED_VALUE"""),"2018-19")</f>
        <v>2018-19</v>
      </c>
      <c r="D2946" s="163" t="str">
        <f>IFERROR(__xludf.DUMMYFUNCTION("""COMPUTED_VALUE"""),"PHO")</f>
        <v>PHO</v>
      </c>
      <c r="E2946" s="164" t="str">
        <f>IFERROR(__xludf.DUMMYFUNCTION("""COMPUTED_VALUE"""),"Secondary Ball Handler")</f>
        <v>Secondary Ball Handler</v>
      </c>
      <c r="F2946" s="164">
        <f>IFERROR(__xludf.DUMMYFUNCTION("""COMPUTED_VALUE"""),983.89)</f>
        <v>983.89</v>
      </c>
      <c r="G2946" s="163">
        <f>IFERROR(__xludf.DUMMYFUNCTION("""COMPUTED_VALUE"""),50.0)</f>
        <v>50</v>
      </c>
      <c r="H2946" s="163" t="str">
        <f>IFERROR(__xludf.DUMMYFUNCTION("""COMPUTED_VALUE"""),"PG")</f>
        <v>PG</v>
      </c>
      <c r="I2946" s="163">
        <f>IFERROR(__xludf.DUMMYFUNCTION("""COMPUTED_VALUE"""),20.0)</f>
        <v>20</v>
      </c>
      <c r="J2946" s="165">
        <f>IFERROR(__xludf.DUMMYFUNCTION("""COMPUTED_VALUE"""),-1.15611401289087)</f>
        <v>-1.156114013</v>
      </c>
      <c r="K2946" s="165">
        <f>IFERROR(__xludf.DUMMYFUNCTION("""COMPUTED_VALUE"""),-1.90537892582644)</f>
        <v>-1.905378926</v>
      </c>
      <c r="L2946" s="165">
        <f>IFERROR(__xludf.DUMMYFUNCTION("""COMPUTED_VALUE"""),0.749264912935565)</f>
        <v>0.7492649129</v>
      </c>
      <c r="M2946" s="166">
        <f t="shared" si="2"/>
        <v>0.7513676795</v>
      </c>
      <c r="N2946" s="167">
        <f t="shared" si="3"/>
        <v>19.6778</v>
      </c>
      <c r="O2946" s="163">
        <f t="shared" ref="O2946:Q2946" si="2950">rank(I2946,I:I)</f>
        <v>3770</v>
      </c>
      <c r="P2946" s="163">
        <f t="shared" si="2950"/>
        <v>2689</v>
      </c>
      <c r="Q2946" s="163">
        <f t="shared" si="2950"/>
        <v>3652</v>
      </c>
      <c r="R2946" s="163">
        <f>IFERROR(__xludf.DUMMYFUNCTION("RANK(M2946,filter(M:M,C:C=C2946))"),252.0)</f>
        <v>252</v>
      </c>
      <c r="S2946" s="161" t="b">
        <f t="shared" si="5"/>
        <v>0</v>
      </c>
      <c r="T2946" s="161" t="b">
        <f t="array" ref="T2946">index('Query Tool'!B:B,match(H2946,'Query Tool'!C:C,0))</f>
        <v>1</v>
      </c>
      <c r="U2946" s="161" t="b">
        <f t="array" ref="U2946">index('Query Tool'!B:B,match(C2946,'Query Tool'!C:C,0))</f>
        <v>0</v>
      </c>
      <c r="V2946" s="161" t="b">
        <f>F2946&gt;='Query Tool'!C$32</f>
        <v>1</v>
      </c>
      <c r="W2946" s="161" t="b">
        <f t="array" ref="W2946">index(Dropdowns!B:B,match(I2946,Dropdowns!A:A,0))</f>
        <v>1</v>
      </c>
      <c r="X2946" s="161" t="b">
        <f t="array" ref="X2946">index('Query Tool'!B:B,match(D2946,'Query Tool'!C:C,0))</f>
        <v>1</v>
      </c>
      <c r="Y2946" s="161" t="str">
        <f t="shared" si="6"/>
        <v>meltode01,2018-19</v>
      </c>
      <c r="Z2946" s="168">
        <f t="array" ref="Z2946">iferror(index(I:I,match($A2946&amp;","&amp;index('Year Conversion'!$A:$A,match($C2946,'Year Conversion'!$B:$B,0)),$Y:$Y,0))-I2946,"")</f>
        <v>1</v>
      </c>
      <c r="AA2946" s="168">
        <f t="array" ref="AA2946">iferror(index(J:J,match($A2946&amp;","&amp;index('Year Conversion'!$A:$A,match($C2946,'Year Conversion'!$B:$B,0)),$Y:$Y,0))-J2946,"")</f>
        <v>3.149071329</v>
      </c>
      <c r="AB2946" s="168">
        <f t="array" ref="AB2946">iferror(index(K:K,match($A2946&amp;","&amp;index('Year Conversion'!$A:$A,match($C2946,'Year Conversion'!$B:$B,0)),$Y:$Y,0))-K2946,"")</f>
        <v>2.139755055</v>
      </c>
      <c r="AC2946" s="168" t="str">
        <f t="shared" si="7"/>
        <v>PHO,2018-19</v>
      </c>
    </row>
    <row r="2947">
      <c r="A2947" s="161" t="str">
        <f>IFERROR(__xludf.DUMMYFUNCTION("""COMPUTED_VALUE"""),"metuch01")</f>
        <v>metuch01</v>
      </c>
      <c r="B2947" s="161" t="str">
        <f>IFERROR(__xludf.DUMMYFUNCTION("""COMPUTED_VALUE"""),"Chimezie Metu")</f>
        <v>Chimezie Metu</v>
      </c>
      <c r="C2947" s="162" t="str">
        <f>IFERROR(__xludf.DUMMYFUNCTION("""COMPUTED_VALUE"""),"2018-19")</f>
        <v>2018-19</v>
      </c>
      <c r="D2947" s="163" t="str">
        <f>IFERROR(__xludf.DUMMYFUNCTION("""COMPUTED_VALUE"""),"SAS")</f>
        <v>SAS</v>
      </c>
      <c r="E2947" s="164" t="str">
        <f>IFERROR(__xludf.DUMMYFUNCTION("""COMPUTED_VALUE"""),"Post Scorer")</f>
        <v>Post Scorer</v>
      </c>
      <c r="F2947" s="164">
        <f>IFERROR(__xludf.DUMMYFUNCTION("""COMPUTED_VALUE"""),145.44)</f>
        <v>145.44</v>
      </c>
      <c r="G2947" s="163">
        <f>IFERROR(__xludf.DUMMYFUNCTION("""COMPUTED_VALUE"""),29.0)</f>
        <v>29</v>
      </c>
      <c r="H2947" s="163" t="str">
        <f>IFERROR(__xludf.DUMMYFUNCTION("""COMPUTED_VALUE"""),"PF")</f>
        <v>PF</v>
      </c>
      <c r="I2947" s="163">
        <f>IFERROR(__xludf.DUMMYFUNCTION("""COMPUTED_VALUE"""),21.0)</f>
        <v>21</v>
      </c>
      <c r="J2947" s="165">
        <f>IFERROR(__xludf.DUMMYFUNCTION("""COMPUTED_VALUE"""),-1.49309030315925)</f>
        <v>-1.493090303</v>
      </c>
      <c r="K2947" s="165">
        <f>IFERROR(__xludf.DUMMYFUNCTION("""COMPUTED_VALUE"""),-1.18194803471644)</f>
        <v>-1.181948035</v>
      </c>
      <c r="L2947" s="165">
        <f>IFERROR(__xludf.DUMMYFUNCTION("""COMPUTED_VALUE"""),-0.311142268442809)</f>
        <v>-0.3111422684</v>
      </c>
      <c r="M2947" s="166">
        <f t="shared" si="2"/>
        <v>0.07826800073</v>
      </c>
      <c r="N2947" s="167">
        <f t="shared" si="3"/>
        <v>5.015172414</v>
      </c>
      <c r="O2947" s="163">
        <f t="shared" ref="O2947:Q2947" si="2951">rank(I2947,I:I)</f>
        <v>3528</v>
      </c>
      <c r="P2947" s="163">
        <f t="shared" si="2951"/>
        <v>3046</v>
      </c>
      <c r="Q2947" s="163">
        <f t="shared" si="2951"/>
        <v>3020</v>
      </c>
      <c r="R2947" s="163">
        <f>IFERROR(__xludf.DUMMYFUNCTION("RANK(M2947,filter(M:M,C:C=C2947))"),402.0)</f>
        <v>402</v>
      </c>
      <c r="S2947" s="161" t="b">
        <f t="shared" si="5"/>
        <v>0</v>
      </c>
      <c r="T2947" s="161" t="b">
        <f t="array" ref="T2947">index('Query Tool'!B:B,match(H2947,'Query Tool'!C:C,0))</f>
        <v>1</v>
      </c>
      <c r="U2947" s="161" t="b">
        <f t="array" ref="U2947">index('Query Tool'!B:B,match(C2947,'Query Tool'!C:C,0))</f>
        <v>0</v>
      </c>
      <c r="V2947" s="161" t="b">
        <f>F2947&gt;='Query Tool'!C$32</f>
        <v>0</v>
      </c>
      <c r="W2947" s="161" t="b">
        <f t="array" ref="W2947">index(Dropdowns!B:B,match(I2947,Dropdowns!A:A,0))</f>
        <v>1</v>
      </c>
      <c r="X2947" s="161" t="b">
        <f t="array" ref="X2947">index('Query Tool'!B:B,match(D2947,'Query Tool'!C:C,0))</f>
        <v>1</v>
      </c>
      <c r="Y2947" s="161" t="str">
        <f t="shared" si="6"/>
        <v>metuch01,2018-19</v>
      </c>
      <c r="Z2947" s="168">
        <f t="array" ref="Z2947">iferror(index(I:I,match($A2947&amp;","&amp;index('Year Conversion'!$A:$A,match($C2947,'Year Conversion'!$B:$B,0)),$Y:$Y,0))-I2947,"")</f>
        <v>1</v>
      </c>
      <c r="AA2947" s="168">
        <f t="array" ref="AA2947">iferror(index(J:J,match($A2947&amp;","&amp;index('Year Conversion'!$A:$A,match($C2947,'Year Conversion'!$B:$B,0)),$Y:$Y,0))-J2947,"")</f>
        <v>1.245244805</v>
      </c>
      <c r="AB2947" s="168">
        <f t="array" ref="AB2947">iferror(index(K:K,match($A2947&amp;","&amp;index('Year Conversion'!$A:$A,match($C2947,'Year Conversion'!$B:$B,0)),$Y:$Y,0))-K2947,"")</f>
        <v>1.076588308</v>
      </c>
      <c r="AC2947" s="168" t="str">
        <f t="shared" si="7"/>
        <v>SAS,2018-19</v>
      </c>
    </row>
    <row r="2948">
      <c r="A2948" s="161" t="str">
        <f>IFERROR(__xludf.DUMMYFUNCTION("""COMPUTED_VALUE"""),"miltosh01")</f>
        <v>miltosh01</v>
      </c>
      <c r="B2948" s="161" t="str">
        <f>IFERROR(__xludf.DUMMYFUNCTION("""COMPUTED_VALUE"""),"Shake Milton")</f>
        <v>Shake Milton</v>
      </c>
      <c r="C2948" s="162" t="str">
        <f>IFERROR(__xludf.DUMMYFUNCTION("""COMPUTED_VALUE"""),"2018-19")</f>
        <v>2018-19</v>
      </c>
      <c r="D2948" s="163" t="str">
        <f>IFERROR(__xludf.DUMMYFUNCTION("""COMPUTED_VALUE"""),"PHI")</f>
        <v>PHI</v>
      </c>
      <c r="E2948" s="164" t="str">
        <f>IFERROR(__xludf.DUMMYFUNCTION("""COMPUTED_VALUE"""),"Movement Shooter")</f>
        <v>Movement Shooter</v>
      </c>
      <c r="F2948" s="164">
        <f>IFERROR(__xludf.DUMMYFUNCTION("""COMPUTED_VALUE"""),268.225)</f>
        <v>268.225</v>
      </c>
      <c r="G2948" s="163">
        <f>IFERROR(__xludf.DUMMYFUNCTION("""COMPUTED_VALUE"""),20.0)</f>
        <v>20</v>
      </c>
      <c r="H2948" s="163" t="str">
        <f>IFERROR(__xludf.DUMMYFUNCTION("""COMPUTED_VALUE"""),"SG")</f>
        <v>SG</v>
      </c>
      <c r="I2948" s="163">
        <f>IFERROR(__xludf.DUMMYFUNCTION("""COMPUTED_VALUE"""),22.0)</f>
        <v>22</v>
      </c>
      <c r="J2948" s="165">
        <f>IFERROR(__xludf.DUMMYFUNCTION("""COMPUTED_VALUE"""),-1.15916132049911)</f>
        <v>-1.15916132</v>
      </c>
      <c r="K2948" s="165">
        <f>IFERROR(__xludf.DUMMYFUNCTION("""COMPUTED_VALUE"""),-0.270575374444848)</f>
        <v>-0.2705753744</v>
      </c>
      <c r="L2948" s="165">
        <f>IFERROR(__xludf.DUMMYFUNCTION("""COMPUTED_VALUE"""),-0.88858594605426)</f>
        <v>-0.8885859461</v>
      </c>
      <c r="M2948" s="166">
        <f t="shared" si="2"/>
        <v>0.2042875034</v>
      </c>
      <c r="N2948" s="167">
        <f t="shared" si="3"/>
        <v>13.41125</v>
      </c>
      <c r="O2948" s="163">
        <f t="shared" ref="O2948:Q2948" si="2952">rank(I2948,I:I)</f>
        <v>3178</v>
      </c>
      <c r="P2948" s="163">
        <f t="shared" si="2952"/>
        <v>2694</v>
      </c>
      <c r="Q2948" s="163">
        <f t="shared" si="2952"/>
        <v>1705</v>
      </c>
      <c r="R2948" s="163">
        <f>IFERROR(__xludf.DUMMYFUNCTION("RANK(M2948,filter(M:M,C:C=C2948))"),346.0)</f>
        <v>346</v>
      </c>
      <c r="S2948" s="161" t="b">
        <f t="shared" si="5"/>
        <v>0</v>
      </c>
      <c r="T2948" s="161" t="b">
        <f t="array" ref="T2948">index('Query Tool'!B:B,match(H2948,'Query Tool'!C:C,0))</f>
        <v>1</v>
      </c>
      <c r="U2948" s="161" t="b">
        <f t="array" ref="U2948">index('Query Tool'!B:B,match(C2948,'Query Tool'!C:C,0))</f>
        <v>0</v>
      </c>
      <c r="V2948" s="161" t="b">
        <f>F2948&gt;='Query Tool'!C$32</f>
        <v>0</v>
      </c>
      <c r="W2948" s="161" t="b">
        <f t="array" ref="W2948">index(Dropdowns!B:B,match(I2948,Dropdowns!A:A,0))</f>
        <v>1</v>
      </c>
      <c r="X2948" s="161" t="b">
        <f t="array" ref="X2948">index('Query Tool'!B:B,match(D2948,'Query Tool'!C:C,0))</f>
        <v>1</v>
      </c>
      <c r="Y2948" s="161" t="str">
        <f t="shared" si="6"/>
        <v>miltosh01,2018-19</v>
      </c>
      <c r="Z2948" s="168">
        <f t="array" ref="Z2948">iferror(index(I:I,match($A2948&amp;","&amp;index('Year Conversion'!$A:$A,match($C2948,'Year Conversion'!$B:$B,0)),$Y:$Y,0))-I2948,"")</f>
        <v>1</v>
      </c>
      <c r="AA2948" s="168">
        <f t="array" ref="AA2948">iferror(index(J:J,match($A2948&amp;","&amp;index('Year Conversion'!$A:$A,match($C2948,'Year Conversion'!$B:$B,0)),$Y:$Y,0))-J2948,"")</f>
        <v>0.4499325817</v>
      </c>
      <c r="AB2948" s="168">
        <f t="array" ref="AB2948">iferror(index(K:K,match($A2948&amp;","&amp;index('Year Conversion'!$A:$A,match($C2948,'Year Conversion'!$B:$B,0)),$Y:$Y,0))-K2948,"")</f>
        <v>1.308812098</v>
      </c>
      <c r="AC2948" s="168" t="str">
        <f t="shared" si="7"/>
        <v>PHI,2018-19</v>
      </c>
    </row>
    <row r="2949">
      <c r="A2949" s="161" t="str">
        <f>IFERROR(__xludf.DUMMYFUNCTION("""COMPUTED_VALUE"""),"mykhasv01")</f>
        <v>mykhasv01</v>
      </c>
      <c r="B2949" s="161" t="str">
        <f>IFERROR(__xludf.DUMMYFUNCTION("""COMPUTED_VALUE"""),"Svi Mykhailiuk")</f>
        <v>Svi Mykhailiuk</v>
      </c>
      <c r="C2949" s="162" t="str">
        <f>IFERROR(__xludf.DUMMYFUNCTION("""COMPUTED_VALUE"""),"2018-19")</f>
        <v>2018-19</v>
      </c>
      <c r="D2949" s="163" t="str">
        <f>IFERROR(__xludf.DUMMYFUNCTION("""COMPUTED_VALUE"""),"TOT")</f>
        <v>TOT</v>
      </c>
      <c r="E2949" s="164" t="str">
        <f>IFERROR(__xludf.DUMMYFUNCTION("""COMPUTED_VALUE"""),"Off Screen Shooter")</f>
        <v>Off Screen Shooter</v>
      </c>
      <c r="F2949" s="164">
        <f>IFERROR(__xludf.DUMMYFUNCTION("""COMPUTED_VALUE"""),440.13)</f>
        <v>440.13</v>
      </c>
      <c r="G2949" s="163">
        <f>IFERROR(__xludf.DUMMYFUNCTION("""COMPUTED_VALUE"""),42.0)</f>
        <v>42</v>
      </c>
      <c r="H2949" s="163" t="str">
        <f>IFERROR(__xludf.DUMMYFUNCTION("""COMPUTED_VALUE"""),"SF")</f>
        <v>SF</v>
      </c>
      <c r="I2949" s="163">
        <f>IFERROR(__xludf.DUMMYFUNCTION("""COMPUTED_VALUE"""),21.0)</f>
        <v>21</v>
      </c>
      <c r="J2949" s="165">
        <f>IFERROR(__xludf.DUMMYFUNCTION("""COMPUTED_VALUE"""),-1.82427700455977)</f>
        <v>-1.824277005</v>
      </c>
      <c r="K2949" s="165">
        <f>IFERROR(__xludf.DUMMYFUNCTION("""COMPUTED_VALUE"""),-0.937176369399243)</f>
        <v>-0.9371763694</v>
      </c>
      <c r="L2949" s="165">
        <f>IFERROR(__xludf.DUMMYFUNCTION("""COMPUTED_VALUE"""),-0.887100635160525)</f>
        <v>-0.8871006352</v>
      </c>
      <c r="M2949" s="166">
        <f t="shared" si="2"/>
        <v>0.1397027517</v>
      </c>
      <c r="N2949" s="167">
        <f t="shared" si="3"/>
        <v>10.47928571</v>
      </c>
      <c r="O2949" s="163">
        <f t="shared" ref="O2949:Q2949" si="2953">rank(I2949,I:I)</f>
        <v>3528</v>
      </c>
      <c r="P2949" s="163">
        <f t="shared" si="2953"/>
        <v>3362</v>
      </c>
      <c r="Q2949" s="163">
        <f t="shared" si="2953"/>
        <v>2735</v>
      </c>
      <c r="R2949" s="163">
        <f>IFERROR(__xludf.DUMMYFUNCTION("RANK(M2949,filter(M:M,C:C=C2949))"),369.0)</f>
        <v>369</v>
      </c>
      <c r="S2949" s="161" t="b">
        <f t="shared" si="5"/>
        <v>0</v>
      </c>
      <c r="T2949" s="161" t="b">
        <f t="array" ref="T2949">index('Query Tool'!B:B,match(H2949,'Query Tool'!C:C,0))</f>
        <v>1</v>
      </c>
      <c r="U2949" s="161" t="b">
        <f t="array" ref="U2949">index('Query Tool'!B:B,match(C2949,'Query Tool'!C:C,0))</f>
        <v>0</v>
      </c>
      <c r="V2949" s="161" t="b">
        <f>F2949&gt;='Query Tool'!C$32</f>
        <v>0</v>
      </c>
      <c r="W2949" s="161" t="b">
        <f t="array" ref="W2949">index(Dropdowns!B:B,match(I2949,Dropdowns!A:A,0))</f>
        <v>1</v>
      </c>
      <c r="X2949" s="161" t="b">
        <f t="array" ref="X2949">index('Query Tool'!B:B,match(D2949,'Query Tool'!C:C,0))</f>
        <v>1</v>
      </c>
      <c r="Y2949" s="161" t="str">
        <f t="shared" si="6"/>
        <v>mykhasv01,2018-19</v>
      </c>
      <c r="Z2949" s="168">
        <f t="array" ref="Z2949">iferror(index(I:I,match($A2949&amp;","&amp;index('Year Conversion'!$A:$A,match($C2949,'Year Conversion'!$B:$B,0)),$Y:$Y,0))-I2949,"")</f>
        <v>1</v>
      </c>
      <c r="AA2949" s="168">
        <f t="array" ref="AA2949">iferror(index(J:J,match($A2949&amp;","&amp;index('Year Conversion'!$A:$A,match($C2949,'Year Conversion'!$B:$B,0)),$Y:$Y,0))-J2949,"")</f>
        <v>1.194710031</v>
      </c>
      <c r="AB2949" s="168">
        <f t="array" ref="AB2949">iferror(index(K:K,match($A2949&amp;","&amp;index('Year Conversion'!$A:$A,match($C2949,'Year Conversion'!$B:$B,0)),$Y:$Y,0))-K2949,"")</f>
        <v>1.02741304</v>
      </c>
      <c r="AC2949" s="168" t="str">
        <f t="shared" si="7"/>
        <v>TOT,2018-19</v>
      </c>
    </row>
    <row r="2950">
      <c r="A2950" s="161" t="str">
        <f>IFERROR(__xludf.DUMMYFUNCTION("""COMPUTED_VALUE"""),"okogijo01")</f>
        <v>okogijo01</v>
      </c>
      <c r="B2950" s="161" t="str">
        <f>IFERROR(__xludf.DUMMYFUNCTION("""COMPUTED_VALUE"""),"Josh Okogie")</f>
        <v>Josh Okogie</v>
      </c>
      <c r="C2950" s="162" t="str">
        <f>IFERROR(__xludf.DUMMYFUNCTION("""COMPUTED_VALUE"""),"2018-19")</f>
        <v>2018-19</v>
      </c>
      <c r="D2950" s="163" t="str">
        <f>IFERROR(__xludf.DUMMYFUNCTION("""COMPUTED_VALUE"""),"MIN")</f>
        <v>MIN</v>
      </c>
      <c r="E2950" s="164" t="str">
        <f>IFERROR(__xludf.DUMMYFUNCTION("""COMPUTED_VALUE"""),"Stationary Shooter")</f>
        <v>Stationary Shooter</v>
      </c>
      <c r="F2950" s="164">
        <f>IFERROR(__xludf.DUMMYFUNCTION("""COMPUTED_VALUE"""),1757.17)</f>
        <v>1757.17</v>
      </c>
      <c r="G2950" s="163">
        <f>IFERROR(__xludf.DUMMYFUNCTION("""COMPUTED_VALUE"""),74.0)</f>
        <v>74</v>
      </c>
      <c r="H2950" s="163" t="str">
        <f>IFERROR(__xludf.DUMMYFUNCTION("""COMPUTED_VALUE"""),"SG")</f>
        <v>SG</v>
      </c>
      <c r="I2950" s="163">
        <f>IFERROR(__xludf.DUMMYFUNCTION("""COMPUTED_VALUE"""),20.0)</f>
        <v>20</v>
      </c>
      <c r="J2950" s="165">
        <f>IFERROR(__xludf.DUMMYFUNCTION("""COMPUTED_VALUE"""),0.0766983267384623)</f>
        <v>0.07669832674</v>
      </c>
      <c r="K2950" s="165">
        <f>IFERROR(__xludf.DUMMYFUNCTION("""COMPUTED_VALUE"""),-0.646692401273585)</f>
        <v>-0.6466924013</v>
      </c>
      <c r="L2950" s="165">
        <f>IFERROR(__xludf.DUMMYFUNCTION("""COMPUTED_VALUE"""),0.723390728012047)</f>
        <v>0.723390728</v>
      </c>
      <c r="M2950" s="166">
        <f t="shared" si="2"/>
        <v>2.799831583</v>
      </c>
      <c r="N2950" s="167">
        <f t="shared" si="3"/>
        <v>23.74554054</v>
      </c>
      <c r="O2950" s="163">
        <f t="shared" ref="O2950:Q2950" si="2954">rank(I2950,I:I)</f>
        <v>3770</v>
      </c>
      <c r="P2950" s="163">
        <f t="shared" si="2954"/>
        <v>1217</v>
      </c>
      <c r="Q2950" s="163">
        <f t="shared" si="2954"/>
        <v>2331</v>
      </c>
      <c r="R2950" s="163">
        <f>IFERROR(__xludf.DUMMYFUNCTION("RANK(M2950,filter(M:M,C:C=C2950))"),119.0)</f>
        <v>119</v>
      </c>
      <c r="S2950" s="161" t="b">
        <f t="shared" si="5"/>
        <v>0</v>
      </c>
      <c r="T2950" s="161" t="b">
        <f t="array" ref="T2950">index('Query Tool'!B:B,match(H2950,'Query Tool'!C:C,0))</f>
        <v>1</v>
      </c>
      <c r="U2950" s="161" t="b">
        <f t="array" ref="U2950">index('Query Tool'!B:B,match(C2950,'Query Tool'!C:C,0))</f>
        <v>0</v>
      </c>
      <c r="V2950" s="161" t="b">
        <f>F2950&gt;='Query Tool'!C$32</f>
        <v>1</v>
      </c>
      <c r="W2950" s="161" t="b">
        <f t="array" ref="W2950">index(Dropdowns!B:B,match(I2950,Dropdowns!A:A,0))</f>
        <v>1</v>
      </c>
      <c r="X2950" s="161" t="b">
        <f t="array" ref="X2950">index('Query Tool'!B:B,match(D2950,'Query Tool'!C:C,0))</f>
        <v>1</v>
      </c>
      <c r="Y2950" s="161" t="str">
        <f t="shared" si="6"/>
        <v>okogijo01,2018-19</v>
      </c>
      <c r="Z2950" s="168">
        <f t="array" ref="Z2950">iferror(index(I:I,match($A2950&amp;","&amp;index('Year Conversion'!$A:$A,match($C2950,'Year Conversion'!$B:$B,0)),$Y:$Y,0))-I2950,"")</f>
        <v>1</v>
      </c>
      <c r="AA2950" s="168">
        <f t="array" ref="AA2950">iferror(index(J:J,match($A2950&amp;","&amp;index('Year Conversion'!$A:$A,match($C2950,'Year Conversion'!$B:$B,0)),$Y:$Y,0))-J2950,"")</f>
        <v>-2.210343364</v>
      </c>
      <c r="AB2950" s="168">
        <f t="array" ref="AB2950">iferror(index(K:K,match($A2950&amp;","&amp;index('Year Conversion'!$A:$A,match($C2950,'Year Conversion'!$B:$B,0)),$Y:$Y,0))-K2950,"")</f>
        <v>-1.021889512</v>
      </c>
      <c r="AC2950" s="168" t="str">
        <f t="shared" si="7"/>
        <v>MIN,2018-19</v>
      </c>
    </row>
    <row r="2951">
      <c r="A2951" s="161" t="str">
        <f>IFERROR(__xludf.DUMMYFUNCTION("""COMPUTED_VALUE"""),"robinje01")</f>
        <v>robinje01</v>
      </c>
      <c r="B2951" s="161" t="str">
        <f>IFERROR(__xludf.DUMMYFUNCTION("""COMPUTED_VALUE"""),"Jerome Robinson")</f>
        <v>Jerome Robinson</v>
      </c>
      <c r="C2951" s="162" t="str">
        <f>IFERROR(__xludf.DUMMYFUNCTION("""COMPUTED_VALUE"""),"2018-19")</f>
        <v>2018-19</v>
      </c>
      <c r="D2951" s="163" t="str">
        <f>IFERROR(__xludf.DUMMYFUNCTION("""COMPUTED_VALUE"""),"LAC")</f>
        <v>LAC</v>
      </c>
      <c r="E2951" s="164" t="str">
        <f>IFERROR(__xludf.DUMMYFUNCTION("""COMPUTED_VALUE"""),"Movement Shooter")</f>
        <v>Movement Shooter</v>
      </c>
      <c r="F2951" s="164">
        <f>IFERROR(__xludf.DUMMYFUNCTION("""COMPUTED_VALUE"""),320.52)</f>
        <v>320.52</v>
      </c>
      <c r="G2951" s="163">
        <f>IFERROR(__xludf.DUMMYFUNCTION("""COMPUTED_VALUE"""),33.0)</f>
        <v>33</v>
      </c>
      <c r="H2951" s="163" t="str">
        <f>IFERROR(__xludf.DUMMYFUNCTION("""COMPUTED_VALUE"""),"SG")</f>
        <v>SG</v>
      </c>
      <c r="I2951" s="163">
        <f>IFERROR(__xludf.DUMMYFUNCTION("""COMPUTED_VALUE"""),21.0)</f>
        <v>21</v>
      </c>
      <c r="J2951" s="165">
        <f>IFERROR(__xludf.DUMMYFUNCTION("""COMPUTED_VALUE"""),-2.34466681927033)</f>
        <v>-2.344666819</v>
      </c>
      <c r="K2951" s="165">
        <f>IFERROR(__xludf.DUMMYFUNCTION("""COMPUTED_VALUE"""),-1.33187583180859)</f>
        <v>-1.331875832</v>
      </c>
      <c r="L2951" s="165">
        <f>IFERROR(__xludf.DUMMYFUNCTION("""COMPUTED_VALUE"""),-1.01279098746174)</f>
        <v>-1.012790987</v>
      </c>
      <c r="M2951" s="166">
        <f t="shared" si="2"/>
        <v>-0.008692837415</v>
      </c>
      <c r="N2951" s="167">
        <f t="shared" si="3"/>
        <v>9.712727273</v>
      </c>
      <c r="O2951" s="163">
        <f t="shared" ref="O2951:Q2951" si="2955">rank(I2951,I:I)</f>
        <v>3528</v>
      </c>
      <c r="P2951" s="163">
        <f t="shared" si="2955"/>
        <v>3680</v>
      </c>
      <c r="Q2951" s="163">
        <f t="shared" si="2955"/>
        <v>3184</v>
      </c>
      <c r="R2951" s="163">
        <f>IFERROR(__xludf.DUMMYFUNCTION("RANK(M2951,filter(M:M,C:C=C2951))"),480.0)</f>
        <v>480</v>
      </c>
      <c r="S2951" s="161" t="b">
        <f t="shared" si="5"/>
        <v>0</v>
      </c>
      <c r="T2951" s="161" t="b">
        <f t="array" ref="T2951">index('Query Tool'!B:B,match(H2951,'Query Tool'!C:C,0))</f>
        <v>1</v>
      </c>
      <c r="U2951" s="161" t="b">
        <f t="array" ref="U2951">index('Query Tool'!B:B,match(C2951,'Query Tool'!C:C,0))</f>
        <v>0</v>
      </c>
      <c r="V2951" s="161" t="b">
        <f>F2951&gt;='Query Tool'!C$32</f>
        <v>0</v>
      </c>
      <c r="W2951" s="161" t="b">
        <f t="array" ref="W2951">index(Dropdowns!B:B,match(I2951,Dropdowns!A:A,0))</f>
        <v>1</v>
      </c>
      <c r="X2951" s="161" t="b">
        <f t="array" ref="X2951">index('Query Tool'!B:B,match(D2951,'Query Tool'!C:C,0))</f>
        <v>1</v>
      </c>
      <c r="Y2951" s="161" t="str">
        <f t="shared" si="6"/>
        <v>robinje01,2018-19</v>
      </c>
      <c r="Z2951" s="168">
        <f t="array" ref="Z2951">iferror(index(I:I,match($A2951&amp;","&amp;index('Year Conversion'!$A:$A,match($C2951,'Year Conversion'!$B:$B,0)),$Y:$Y,0))-I2951,"")</f>
        <v>1</v>
      </c>
      <c r="AA2951" s="168">
        <f t="array" ref="AA2951">iferror(index(J:J,match($A2951&amp;","&amp;index('Year Conversion'!$A:$A,match($C2951,'Year Conversion'!$B:$B,0)),$Y:$Y,0))-J2951,"")</f>
        <v>0.1852272303</v>
      </c>
      <c r="AB2951" s="168">
        <f t="array" ref="AB2951">iferror(index(K:K,match($A2951&amp;","&amp;index('Year Conversion'!$A:$A,match($C2951,'Year Conversion'!$B:$B,0)),$Y:$Y,0))-K2951,"")</f>
        <v>-0.6004389268</v>
      </c>
      <c r="AC2951" s="168" t="str">
        <f t="shared" si="7"/>
        <v>LAC,2018-19</v>
      </c>
    </row>
    <row r="2952">
      <c r="A2952" s="161" t="str">
        <f>IFERROR(__xludf.DUMMYFUNCTION("""COMPUTED_VALUE"""),"robinmi01")</f>
        <v>robinmi01</v>
      </c>
      <c r="B2952" s="161" t="str">
        <f>IFERROR(__xludf.DUMMYFUNCTION("""COMPUTED_VALUE"""),"Mitchell Robinson")</f>
        <v>Mitchell Robinson</v>
      </c>
      <c r="C2952" s="162" t="str">
        <f>IFERROR(__xludf.DUMMYFUNCTION("""COMPUTED_VALUE"""),"2018-19")</f>
        <v>2018-19</v>
      </c>
      <c r="D2952" s="163" t="str">
        <f>IFERROR(__xludf.DUMMYFUNCTION("""COMPUTED_VALUE"""),"NYK")</f>
        <v>NYK</v>
      </c>
      <c r="E2952" s="164" t="str">
        <f>IFERROR(__xludf.DUMMYFUNCTION("""COMPUTED_VALUE"""),"Roll + Cut Big")</f>
        <v>Roll + Cut Big</v>
      </c>
      <c r="F2952" s="164">
        <f>IFERROR(__xludf.DUMMYFUNCTION("""COMPUTED_VALUE"""),1359.50833333333)</f>
        <v>1359.508333</v>
      </c>
      <c r="G2952" s="163">
        <f>IFERROR(__xludf.DUMMYFUNCTION("""COMPUTED_VALUE"""),66.0)</f>
        <v>66</v>
      </c>
      <c r="H2952" s="163" t="str">
        <f>IFERROR(__xludf.DUMMYFUNCTION("""COMPUTED_VALUE"""),"C")</f>
        <v>C</v>
      </c>
      <c r="I2952" s="163">
        <f>IFERROR(__xludf.DUMMYFUNCTION("""COMPUTED_VALUE"""),20.0)</f>
        <v>20</v>
      </c>
      <c r="J2952" s="165">
        <f>IFERROR(__xludf.DUMMYFUNCTION("""COMPUTED_VALUE"""),1.54701747965281)</f>
        <v>1.54701748</v>
      </c>
      <c r="K2952" s="165">
        <f>IFERROR(__xludf.DUMMYFUNCTION("""COMPUTED_VALUE"""),-0.64292551943606)</f>
        <v>-0.6429255194</v>
      </c>
      <c r="L2952" s="165">
        <f>IFERROR(__xludf.DUMMYFUNCTION("""COMPUTED_VALUE"""),2.18994299908887)</f>
        <v>2.189942999</v>
      </c>
      <c r="M2952" s="166">
        <f t="shared" si="2"/>
        <v>3.509157833</v>
      </c>
      <c r="N2952" s="167">
        <f t="shared" si="3"/>
        <v>20.59861111</v>
      </c>
      <c r="O2952" s="163">
        <f t="shared" ref="O2952:Q2952" si="2956">rank(I2952,I:I)</f>
        <v>3770</v>
      </c>
      <c r="P2952" s="163">
        <f t="shared" si="2956"/>
        <v>444</v>
      </c>
      <c r="Q2952" s="163">
        <f t="shared" si="2956"/>
        <v>2325</v>
      </c>
      <c r="R2952" s="163">
        <f>IFERROR(__xludf.DUMMYFUNCTION("RANK(M2952,filter(M:M,C:C=C2952))"),97.0)</f>
        <v>97</v>
      </c>
      <c r="S2952" s="161" t="b">
        <f t="shared" si="5"/>
        <v>0</v>
      </c>
      <c r="T2952" s="161" t="b">
        <f t="array" ref="T2952">index('Query Tool'!B:B,match(H2952,'Query Tool'!C:C,0))</f>
        <v>1</v>
      </c>
      <c r="U2952" s="161" t="b">
        <f t="array" ref="U2952">index('Query Tool'!B:B,match(C2952,'Query Tool'!C:C,0))</f>
        <v>0</v>
      </c>
      <c r="V2952" s="161" t="b">
        <f>F2952&gt;='Query Tool'!C$32</f>
        <v>1</v>
      </c>
      <c r="W2952" s="161" t="b">
        <f t="array" ref="W2952">index(Dropdowns!B:B,match(I2952,Dropdowns!A:A,0))</f>
        <v>1</v>
      </c>
      <c r="X2952" s="161" t="b">
        <f t="array" ref="X2952">index('Query Tool'!B:B,match(D2952,'Query Tool'!C:C,0))</f>
        <v>1</v>
      </c>
      <c r="Y2952" s="161" t="str">
        <f t="shared" si="6"/>
        <v>robinmi01,2018-19</v>
      </c>
      <c r="Z2952" s="168">
        <f t="array" ref="Z2952">iferror(index(I:I,match($A2952&amp;","&amp;index('Year Conversion'!$A:$A,match($C2952,'Year Conversion'!$B:$B,0)),$Y:$Y,0))-I2952,"")</f>
        <v>1</v>
      </c>
      <c r="AA2952" s="168">
        <f t="array" ref="AA2952">iferror(index(J:J,match($A2952&amp;","&amp;index('Year Conversion'!$A:$A,match($C2952,'Year Conversion'!$B:$B,0)),$Y:$Y,0))-J2952,"")</f>
        <v>0.6686418042</v>
      </c>
      <c r="AB2952" s="168">
        <f t="array" ref="AB2952">iferror(index(K:K,match($A2952&amp;","&amp;index('Year Conversion'!$A:$A,match($C2952,'Year Conversion'!$B:$B,0)),$Y:$Y,0))-K2952,"")</f>
        <v>1.069000186</v>
      </c>
      <c r="AC2952" s="168" t="str">
        <f t="shared" si="7"/>
        <v>NYK,2018-19</v>
      </c>
    </row>
    <row r="2953">
      <c r="A2953" s="161" t="str">
        <f>IFERROR(__xludf.DUMMYFUNCTION("""COMPUTED_VALUE"""),"sextoco01")</f>
        <v>sextoco01</v>
      </c>
      <c r="B2953" s="161" t="str">
        <f>IFERROR(__xludf.DUMMYFUNCTION("""COMPUTED_VALUE"""),"Collin Sexton")</f>
        <v>Collin Sexton</v>
      </c>
      <c r="C2953" s="162" t="str">
        <f>IFERROR(__xludf.DUMMYFUNCTION("""COMPUTED_VALUE"""),"2018-19")</f>
        <v>2018-19</v>
      </c>
      <c r="D2953" s="163" t="str">
        <f>IFERROR(__xludf.DUMMYFUNCTION("""COMPUTED_VALUE"""),"CLE")</f>
        <v>CLE</v>
      </c>
      <c r="E2953" s="164" t="str">
        <f>IFERROR(__xludf.DUMMYFUNCTION("""COMPUTED_VALUE"""),"Slasher")</f>
        <v>Slasher</v>
      </c>
      <c r="F2953" s="164">
        <f>IFERROR(__xludf.DUMMYFUNCTION("""COMPUTED_VALUE"""),2605.02333333333)</f>
        <v>2605.023333</v>
      </c>
      <c r="G2953" s="163">
        <f>IFERROR(__xludf.DUMMYFUNCTION("""COMPUTED_VALUE"""),82.0)</f>
        <v>82</v>
      </c>
      <c r="H2953" s="163" t="str">
        <f>IFERROR(__xludf.DUMMYFUNCTION("""COMPUTED_VALUE"""),"PG")</f>
        <v>PG</v>
      </c>
      <c r="I2953" s="163">
        <f>IFERROR(__xludf.DUMMYFUNCTION("""COMPUTED_VALUE"""),20.0)</f>
        <v>20</v>
      </c>
      <c r="J2953" s="165">
        <f>IFERROR(__xludf.DUMMYFUNCTION("""COMPUTED_VALUE"""),-4.41404860085103)</f>
        <v>-4.414048601</v>
      </c>
      <c r="K2953" s="165">
        <f>IFERROR(__xludf.DUMMYFUNCTION("""COMPUTED_VALUE"""),-1.29772150347143)</f>
        <v>-1.297721503</v>
      </c>
      <c r="L2953" s="165">
        <f>IFERROR(__xludf.DUMMYFUNCTION("""COMPUTED_VALUE"""),-3.1163270973796)</f>
        <v>-3.116327097</v>
      </c>
      <c r="M2953" s="166">
        <f t="shared" si="2"/>
        <v>-3.532982785</v>
      </c>
      <c r="N2953" s="167">
        <f t="shared" si="3"/>
        <v>31.76857724</v>
      </c>
      <c r="O2953" s="163">
        <f t="shared" ref="O2953:Q2953" si="2957">rank(I2953,I:I)</f>
        <v>3770</v>
      </c>
      <c r="P2953" s="163">
        <f t="shared" si="2957"/>
        <v>4009</v>
      </c>
      <c r="Q2953" s="163">
        <f t="shared" si="2957"/>
        <v>3142</v>
      </c>
      <c r="R2953" s="163">
        <f>IFERROR(__xludf.DUMMYFUNCTION("RANK(M2953,filter(M:M,C:C=C2953))"),529.0)</f>
        <v>529</v>
      </c>
      <c r="S2953" s="161" t="b">
        <f t="shared" si="5"/>
        <v>0</v>
      </c>
      <c r="T2953" s="161" t="b">
        <f t="array" ref="T2953">index('Query Tool'!B:B,match(H2953,'Query Tool'!C:C,0))</f>
        <v>1</v>
      </c>
      <c r="U2953" s="161" t="b">
        <f t="array" ref="U2953">index('Query Tool'!B:B,match(C2953,'Query Tool'!C:C,0))</f>
        <v>0</v>
      </c>
      <c r="V2953" s="161" t="b">
        <f>F2953&gt;='Query Tool'!C$32</f>
        <v>1</v>
      </c>
      <c r="W2953" s="161" t="b">
        <f t="array" ref="W2953">index(Dropdowns!B:B,match(I2953,Dropdowns!A:A,0))</f>
        <v>1</v>
      </c>
      <c r="X2953" s="161" t="b">
        <f t="array" ref="X2953">index('Query Tool'!B:B,match(D2953,'Query Tool'!C:C,0))</f>
        <v>1</v>
      </c>
      <c r="Y2953" s="161" t="str">
        <f t="shared" si="6"/>
        <v>sextoco01,2018-19</v>
      </c>
      <c r="Z2953" s="168">
        <f t="array" ref="Z2953">iferror(index(I:I,match($A2953&amp;","&amp;index('Year Conversion'!$A:$A,match($C2953,'Year Conversion'!$B:$B,0)),$Y:$Y,0))-I2953,"")</f>
        <v>1</v>
      </c>
      <c r="AA2953" s="168">
        <f t="array" ref="AA2953">iferror(index(J:J,match($A2953&amp;","&amp;index('Year Conversion'!$A:$A,match($C2953,'Year Conversion'!$B:$B,0)),$Y:$Y,0))-J2953,"")</f>
        <v>2.327365821</v>
      </c>
      <c r="AB2953" s="168">
        <f t="array" ref="AB2953">iferror(index(K:K,match($A2953&amp;","&amp;index('Year Conversion'!$A:$A,match($C2953,'Year Conversion'!$B:$B,0)),$Y:$Y,0))-K2953,"")</f>
        <v>2.231066376</v>
      </c>
      <c r="AC2953" s="168" t="str">
        <f t="shared" si="7"/>
        <v>CLE,2018-19</v>
      </c>
    </row>
    <row r="2954">
      <c r="A2954" s="161" t="str">
        <f>IFERROR(__xludf.DUMMYFUNCTION("""COMPUTED_VALUE"""),"shamela01")</f>
        <v>shamela01</v>
      </c>
      <c r="B2954" s="161" t="str">
        <f>IFERROR(__xludf.DUMMYFUNCTION("""COMPUTED_VALUE"""),"Landry Shamet")</f>
        <v>Landry Shamet</v>
      </c>
      <c r="C2954" s="162" t="str">
        <f>IFERROR(__xludf.DUMMYFUNCTION("""COMPUTED_VALUE"""),"2018-19")</f>
        <v>2018-19</v>
      </c>
      <c r="D2954" s="163" t="str">
        <f>IFERROR(__xludf.DUMMYFUNCTION("""COMPUTED_VALUE"""),"TOT")</f>
        <v>TOT</v>
      </c>
      <c r="E2954" s="164" t="str">
        <f>IFERROR(__xludf.DUMMYFUNCTION("""COMPUTED_VALUE"""),"Off Screen Shooter")</f>
        <v>Off Screen Shooter</v>
      </c>
      <c r="F2954" s="164">
        <f>IFERROR(__xludf.DUMMYFUNCTION("""COMPUTED_VALUE"""),1801.89333333333)</f>
        <v>1801.893333</v>
      </c>
      <c r="G2954" s="163">
        <f>IFERROR(__xludf.DUMMYFUNCTION("""COMPUTED_VALUE"""),79.0)</f>
        <v>79</v>
      </c>
      <c r="H2954" s="163" t="str">
        <f>IFERROR(__xludf.DUMMYFUNCTION("""COMPUTED_VALUE"""),"SG")</f>
        <v>SG</v>
      </c>
      <c r="I2954" s="163">
        <f>IFERROR(__xludf.DUMMYFUNCTION("""COMPUTED_VALUE"""),21.0)</f>
        <v>21</v>
      </c>
      <c r="J2954" s="165">
        <f>IFERROR(__xludf.DUMMYFUNCTION("""COMPUTED_VALUE"""),-1.89738132378347)</f>
        <v>-1.897381324</v>
      </c>
      <c r="K2954" s="165">
        <f>IFERROR(__xludf.DUMMYFUNCTION("""COMPUTED_VALUE"""),-0.352253341523685)</f>
        <v>-0.3522533415</v>
      </c>
      <c r="L2954" s="165">
        <f>IFERROR(__xludf.DUMMYFUNCTION("""COMPUTED_VALUE"""),-1.54512798225978)</f>
        <v>-1.545127982</v>
      </c>
      <c r="M2954" s="166">
        <f t="shared" si="2"/>
        <v>0.4844045053</v>
      </c>
      <c r="N2954" s="167">
        <f t="shared" si="3"/>
        <v>22.80877637</v>
      </c>
      <c r="O2954" s="163">
        <f t="shared" ref="O2954:Q2954" si="2958">rank(I2954,I:I)</f>
        <v>3528</v>
      </c>
      <c r="P2954" s="163">
        <f t="shared" si="2958"/>
        <v>3415</v>
      </c>
      <c r="Q2954" s="163">
        <f t="shared" si="2958"/>
        <v>1859</v>
      </c>
      <c r="R2954" s="163">
        <f>IFERROR(__xludf.DUMMYFUNCTION("RANK(M2954,filter(M:M,C:C=C2954))"),289.0)</f>
        <v>289</v>
      </c>
      <c r="S2954" s="161" t="b">
        <f t="shared" si="5"/>
        <v>0</v>
      </c>
      <c r="T2954" s="161" t="b">
        <f t="array" ref="T2954">index('Query Tool'!B:B,match(H2954,'Query Tool'!C:C,0))</f>
        <v>1</v>
      </c>
      <c r="U2954" s="161" t="b">
        <f t="array" ref="U2954">index('Query Tool'!B:B,match(C2954,'Query Tool'!C:C,0))</f>
        <v>0</v>
      </c>
      <c r="V2954" s="161" t="b">
        <f>F2954&gt;='Query Tool'!C$32</f>
        <v>1</v>
      </c>
      <c r="W2954" s="161" t="b">
        <f t="array" ref="W2954">index(Dropdowns!B:B,match(I2954,Dropdowns!A:A,0))</f>
        <v>1</v>
      </c>
      <c r="X2954" s="161" t="b">
        <f t="array" ref="X2954">index('Query Tool'!B:B,match(D2954,'Query Tool'!C:C,0))</f>
        <v>1</v>
      </c>
      <c r="Y2954" s="161" t="str">
        <f t="shared" si="6"/>
        <v>shamela01,2018-19</v>
      </c>
      <c r="Z2954" s="168">
        <f t="array" ref="Z2954">iferror(index(I:I,match($A2954&amp;","&amp;index('Year Conversion'!$A:$A,match($C2954,'Year Conversion'!$B:$B,0)),$Y:$Y,0))-I2954,"")</f>
        <v>1</v>
      </c>
      <c r="AA2954" s="168">
        <f t="array" ref="AA2954">iferror(index(J:J,match($A2954&amp;","&amp;index('Year Conversion'!$A:$A,match($C2954,'Year Conversion'!$B:$B,0)),$Y:$Y,0))-J2954,"")</f>
        <v>0.997945815</v>
      </c>
      <c r="AB2954" s="168">
        <f t="array" ref="AB2954">iferror(index(K:K,match($A2954&amp;","&amp;index('Year Conversion'!$A:$A,match($C2954,'Year Conversion'!$B:$B,0)),$Y:$Y,0))-K2954,"")</f>
        <v>0.05555959267</v>
      </c>
      <c r="AC2954" s="168" t="str">
        <f t="shared" si="7"/>
        <v>TOT,2018-19</v>
      </c>
    </row>
    <row r="2955">
      <c r="A2955" s="161" t="str">
        <f>IFERROR(__xludf.DUMMYFUNCTION("""COMPUTED_VALUE"""),"simonan01")</f>
        <v>simonan01</v>
      </c>
      <c r="B2955" s="161" t="str">
        <f>IFERROR(__xludf.DUMMYFUNCTION("""COMPUTED_VALUE"""),"Anfernee Simons")</f>
        <v>Anfernee Simons</v>
      </c>
      <c r="C2955" s="162" t="str">
        <f>IFERROR(__xludf.DUMMYFUNCTION("""COMPUTED_VALUE"""),"2018-19")</f>
        <v>2018-19</v>
      </c>
      <c r="D2955" s="163" t="str">
        <f>IFERROR(__xludf.DUMMYFUNCTION("""COMPUTED_VALUE"""),"POR")</f>
        <v>POR</v>
      </c>
      <c r="E2955" s="164" t="str">
        <f>IFERROR(__xludf.DUMMYFUNCTION("""COMPUTED_VALUE"""),"Secondary Ball Handler")</f>
        <v>Secondary Ball Handler</v>
      </c>
      <c r="F2955" s="164">
        <f>IFERROR(__xludf.DUMMYFUNCTION("""COMPUTED_VALUE"""),140.508333333333)</f>
        <v>140.5083333</v>
      </c>
      <c r="G2955" s="163">
        <f>IFERROR(__xludf.DUMMYFUNCTION("""COMPUTED_VALUE"""),20.0)</f>
        <v>20</v>
      </c>
      <c r="H2955" s="163" t="str">
        <f>IFERROR(__xludf.DUMMYFUNCTION("""COMPUTED_VALUE"""),"SG")</f>
        <v>SG</v>
      </c>
      <c r="I2955" s="163">
        <f>IFERROR(__xludf.DUMMYFUNCTION("""COMPUTED_VALUE"""),19.0)</f>
        <v>19</v>
      </c>
      <c r="J2955" s="165">
        <f>IFERROR(__xludf.DUMMYFUNCTION("""COMPUTED_VALUE"""),-1.94445320646443)</f>
        <v>-1.944453206</v>
      </c>
      <c r="K2955" s="165">
        <f>IFERROR(__xludf.DUMMYFUNCTION("""COMPUTED_VALUE"""),-0.566810709434594)</f>
        <v>-0.5668107094</v>
      </c>
      <c r="L2955" s="165">
        <f>IFERROR(__xludf.DUMMYFUNCTION("""COMPUTED_VALUE"""),-1.37764249702984)</f>
        <v>-1.377642497</v>
      </c>
      <c r="M2955" s="166">
        <f t="shared" si="2"/>
        <v>0.03338176727</v>
      </c>
      <c r="N2955" s="167">
        <f t="shared" si="3"/>
        <v>7.025416667</v>
      </c>
      <c r="O2955" s="163">
        <f t="shared" ref="O2955:Q2955" si="2959">rank(I2955,I:I)</f>
        <v>3945</v>
      </c>
      <c r="P2955" s="163">
        <f t="shared" si="2959"/>
        <v>3445</v>
      </c>
      <c r="Q2955" s="163">
        <f t="shared" si="2959"/>
        <v>2213</v>
      </c>
      <c r="R2955" s="163">
        <f>IFERROR(__xludf.DUMMYFUNCTION("RANK(M2955,filter(M:M,C:C=C2955))"),437.0)</f>
        <v>437</v>
      </c>
      <c r="S2955" s="161" t="b">
        <f t="shared" si="5"/>
        <v>0</v>
      </c>
      <c r="T2955" s="161" t="b">
        <f t="array" ref="T2955">index('Query Tool'!B:B,match(H2955,'Query Tool'!C:C,0))</f>
        <v>1</v>
      </c>
      <c r="U2955" s="161" t="b">
        <f t="array" ref="U2955">index('Query Tool'!B:B,match(C2955,'Query Tool'!C:C,0))</f>
        <v>0</v>
      </c>
      <c r="V2955" s="161" t="b">
        <f>F2955&gt;='Query Tool'!C$32</f>
        <v>0</v>
      </c>
      <c r="W2955" s="161" t="b">
        <f t="array" ref="W2955">index(Dropdowns!B:B,match(I2955,Dropdowns!A:A,0))</f>
        <v>1</v>
      </c>
      <c r="X2955" s="161" t="b">
        <f t="array" ref="X2955">index('Query Tool'!B:B,match(D2955,'Query Tool'!C:C,0))</f>
        <v>1</v>
      </c>
      <c r="Y2955" s="161" t="str">
        <f t="shared" si="6"/>
        <v>simonan01,2018-19</v>
      </c>
      <c r="Z2955" s="168">
        <f t="array" ref="Z2955">iferror(index(I:I,match($A2955&amp;","&amp;index('Year Conversion'!$A:$A,match($C2955,'Year Conversion'!$B:$B,0)),$Y:$Y,0))-I2955,"")</f>
        <v>1</v>
      </c>
      <c r="AA2955" s="168">
        <f t="array" ref="AA2955">iferror(index(J:J,match($A2955&amp;","&amp;index('Year Conversion'!$A:$A,match($C2955,'Year Conversion'!$B:$B,0)),$Y:$Y,0))-J2955,"")</f>
        <v>-2.656221108</v>
      </c>
      <c r="AB2955" s="168">
        <f t="array" ref="AB2955">iferror(index(K:K,match($A2955&amp;","&amp;index('Year Conversion'!$A:$A,match($C2955,'Year Conversion'!$B:$B,0)),$Y:$Y,0))-K2955,"")</f>
        <v>-1.142933332</v>
      </c>
      <c r="AC2955" s="168" t="str">
        <f t="shared" si="7"/>
        <v>POR,2018-19</v>
      </c>
    </row>
    <row r="2956">
      <c r="A2956" s="161" t="str">
        <f>IFERROR(__xludf.DUMMYFUNCTION("""COMPUTED_VALUE"""),"smithzh01")</f>
        <v>smithzh01</v>
      </c>
      <c r="B2956" s="161" t="str">
        <f>IFERROR(__xludf.DUMMYFUNCTION("""COMPUTED_VALUE"""),"Zhaire Smith")</f>
        <v>Zhaire Smith</v>
      </c>
      <c r="C2956" s="162" t="str">
        <f>IFERROR(__xludf.DUMMYFUNCTION("""COMPUTED_VALUE"""),"2018-19")</f>
        <v>2018-19</v>
      </c>
      <c r="D2956" s="163" t="str">
        <f>IFERROR(__xludf.DUMMYFUNCTION("""COMPUTED_VALUE"""),"PHI")</f>
        <v>PHI</v>
      </c>
      <c r="E2956" s="164" t="str">
        <f>IFERROR(__xludf.DUMMYFUNCTION("""COMPUTED_VALUE"""),"Movement Shooter")</f>
        <v>Movement Shooter</v>
      </c>
      <c r="F2956" s="164">
        <f>IFERROR(__xludf.DUMMYFUNCTION("""COMPUTED_VALUE"""),110.616666666667)</f>
        <v>110.6166667</v>
      </c>
      <c r="G2956" s="163">
        <f>IFERROR(__xludf.DUMMYFUNCTION("""COMPUTED_VALUE"""),6.0)</f>
        <v>6</v>
      </c>
      <c r="H2956" s="163" t="str">
        <f>IFERROR(__xludf.DUMMYFUNCTION("""COMPUTED_VALUE"""),"SG")</f>
        <v>SG</v>
      </c>
      <c r="I2956" s="163">
        <f>IFERROR(__xludf.DUMMYFUNCTION("""COMPUTED_VALUE"""),19.0)</f>
        <v>19</v>
      </c>
      <c r="J2956" s="165">
        <f>IFERROR(__xludf.DUMMYFUNCTION("""COMPUTED_VALUE"""),-0.691374165985517)</f>
        <v>-0.691374166</v>
      </c>
      <c r="K2956" s="165">
        <f>IFERROR(__xludf.DUMMYFUNCTION("""COMPUTED_VALUE"""),-0.0465476193118595)</f>
        <v>-0.04654761931</v>
      </c>
      <c r="L2956" s="165">
        <f>IFERROR(__xludf.DUMMYFUNCTION("""COMPUTED_VALUE"""),-0.644826546673658)</f>
        <v>-0.6448265467</v>
      </c>
      <c r="M2956" s="166">
        <f t="shared" si="2"/>
        <v>0.1190078825</v>
      </c>
      <c r="N2956" s="167">
        <f t="shared" si="3"/>
        <v>18.43611111</v>
      </c>
      <c r="O2956" s="163">
        <f t="shared" ref="O2956:Q2956" si="2960">rank(I2956,I:I)</f>
        <v>3945</v>
      </c>
      <c r="P2956" s="163">
        <f t="shared" si="2960"/>
        <v>2127</v>
      </c>
      <c r="Q2956" s="163">
        <f t="shared" si="2960"/>
        <v>1267</v>
      </c>
      <c r="R2956" s="163">
        <f>IFERROR(__xludf.DUMMYFUNCTION("RANK(M2956,filter(M:M,C:C=C2956))"),381.0)</f>
        <v>381</v>
      </c>
      <c r="S2956" s="161" t="b">
        <f t="shared" si="5"/>
        <v>0</v>
      </c>
      <c r="T2956" s="161" t="b">
        <f t="array" ref="T2956">index('Query Tool'!B:B,match(H2956,'Query Tool'!C:C,0))</f>
        <v>1</v>
      </c>
      <c r="U2956" s="161" t="b">
        <f t="array" ref="U2956">index('Query Tool'!B:B,match(C2956,'Query Tool'!C:C,0))</f>
        <v>0</v>
      </c>
      <c r="V2956" s="161" t="b">
        <f>F2956&gt;='Query Tool'!C$32</f>
        <v>0</v>
      </c>
      <c r="W2956" s="161" t="b">
        <f t="array" ref="W2956">index(Dropdowns!B:B,match(I2956,Dropdowns!A:A,0))</f>
        <v>1</v>
      </c>
      <c r="X2956" s="161" t="b">
        <f t="array" ref="X2956">index('Query Tool'!B:B,match(D2956,'Query Tool'!C:C,0))</f>
        <v>1</v>
      </c>
      <c r="Y2956" s="161" t="str">
        <f t="shared" si="6"/>
        <v>smithzh01,2018-19</v>
      </c>
      <c r="Z2956" s="168">
        <f t="array" ref="Z2956">iferror(index(I:I,match($A2956&amp;","&amp;index('Year Conversion'!$A:$A,match($C2956,'Year Conversion'!$B:$B,0)),$Y:$Y,0))-I2956,"")</f>
        <v>1</v>
      </c>
      <c r="AA2956" s="168">
        <f t="array" ref="AA2956">iferror(index(J:J,match($A2956&amp;","&amp;index('Year Conversion'!$A:$A,match($C2956,'Year Conversion'!$B:$B,0)),$Y:$Y,0))-J2956,"")</f>
        <v>-0.01137137414</v>
      </c>
      <c r="AB2956" s="168">
        <f t="array" ref="AB2956">iferror(index(K:K,match($A2956&amp;","&amp;index('Year Conversion'!$A:$A,match($C2956,'Year Conversion'!$B:$B,0)),$Y:$Y,0))-K2956,"")</f>
        <v>-0.2720277945</v>
      </c>
      <c r="AC2956" s="168" t="str">
        <f t="shared" si="7"/>
        <v>PHI,2018-19</v>
      </c>
    </row>
    <row r="2957">
      <c r="A2957" s="161" t="str">
        <f>IFERROR(__xludf.DUMMYFUNCTION("""COMPUTED_VALUE"""),"spellom01")</f>
        <v>spellom01</v>
      </c>
      <c r="B2957" s="161" t="str">
        <f>IFERROR(__xludf.DUMMYFUNCTION("""COMPUTED_VALUE"""),"Omari Spellman")</f>
        <v>Omari Spellman</v>
      </c>
      <c r="C2957" s="162" t="str">
        <f>IFERROR(__xludf.DUMMYFUNCTION("""COMPUTED_VALUE"""),"2018-19")</f>
        <v>2018-19</v>
      </c>
      <c r="D2957" s="163" t="str">
        <f>IFERROR(__xludf.DUMMYFUNCTION("""COMPUTED_VALUE"""),"ATL")</f>
        <v>ATL</v>
      </c>
      <c r="E2957" s="164" t="str">
        <f>IFERROR(__xludf.DUMMYFUNCTION("""COMPUTED_VALUE"""),"Stretch Big")</f>
        <v>Stretch Big</v>
      </c>
      <c r="F2957" s="164">
        <f>IFERROR(__xludf.DUMMYFUNCTION("""COMPUTED_VALUE"""),804.541666666666)</f>
        <v>804.5416667</v>
      </c>
      <c r="G2957" s="163">
        <f>IFERROR(__xludf.DUMMYFUNCTION("""COMPUTED_VALUE"""),46.0)</f>
        <v>46</v>
      </c>
      <c r="H2957" s="163" t="str">
        <f>IFERROR(__xludf.DUMMYFUNCTION("""COMPUTED_VALUE"""),"PF")</f>
        <v>PF</v>
      </c>
      <c r="I2957" s="163">
        <f>IFERROR(__xludf.DUMMYFUNCTION("""COMPUTED_VALUE"""),21.0)</f>
        <v>21</v>
      </c>
      <c r="J2957" s="165">
        <f>IFERROR(__xludf.DUMMYFUNCTION("""COMPUTED_VALUE"""),-1.85597784497489)</f>
        <v>-1.855977845</v>
      </c>
      <c r="K2957" s="165">
        <f>IFERROR(__xludf.DUMMYFUNCTION("""COMPUTED_VALUE"""),-1.05402064829179)</f>
        <v>-1.054020648</v>
      </c>
      <c r="L2957" s="165">
        <f>IFERROR(__xludf.DUMMYFUNCTION("""COMPUTED_VALUE"""),-0.801957196683101)</f>
        <v>-0.8019571967</v>
      </c>
      <c r="M2957" s="166">
        <f t="shared" si="2"/>
        <v>0.2384169814</v>
      </c>
      <c r="N2957" s="167">
        <f t="shared" si="3"/>
        <v>17.49003623</v>
      </c>
      <c r="O2957" s="163">
        <f t="shared" ref="O2957:Q2957" si="2961">rank(I2957,I:I)</f>
        <v>3528</v>
      </c>
      <c r="P2957" s="163">
        <f t="shared" si="2961"/>
        <v>3384</v>
      </c>
      <c r="Q2957" s="163">
        <f t="shared" si="2961"/>
        <v>2876</v>
      </c>
      <c r="R2957" s="163">
        <f>IFERROR(__xludf.DUMMYFUNCTION("RANK(M2957,filter(M:M,C:C=C2957))"),335.0)</f>
        <v>335</v>
      </c>
      <c r="S2957" s="161" t="b">
        <f t="shared" si="5"/>
        <v>0</v>
      </c>
      <c r="T2957" s="161" t="b">
        <f t="array" ref="T2957">index('Query Tool'!B:B,match(H2957,'Query Tool'!C:C,0))</f>
        <v>1</v>
      </c>
      <c r="U2957" s="161" t="b">
        <f t="array" ref="U2957">index('Query Tool'!B:B,match(C2957,'Query Tool'!C:C,0))</f>
        <v>0</v>
      </c>
      <c r="V2957" s="161" t="b">
        <f>F2957&gt;='Query Tool'!C$32</f>
        <v>1</v>
      </c>
      <c r="W2957" s="161" t="b">
        <f t="array" ref="W2957">index(Dropdowns!B:B,match(I2957,Dropdowns!A:A,0))</f>
        <v>1</v>
      </c>
      <c r="X2957" s="161" t="b">
        <f t="array" ref="X2957">index('Query Tool'!B:B,match(D2957,'Query Tool'!C:C,0))</f>
        <v>1</v>
      </c>
      <c r="Y2957" s="161" t="str">
        <f t="shared" si="6"/>
        <v>spellom01,2018-19</v>
      </c>
      <c r="Z2957" s="168">
        <f t="array" ref="Z2957">iferror(index(I:I,match($A2957&amp;","&amp;index('Year Conversion'!$A:$A,match($C2957,'Year Conversion'!$B:$B,0)),$Y:$Y,0))-I2957,"")</f>
        <v>1</v>
      </c>
      <c r="AA2957" s="168">
        <f t="array" ref="AA2957">iferror(index(J:J,match($A2957&amp;","&amp;index('Year Conversion'!$A:$A,match($C2957,'Year Conversion'!$B:$B,0)),$Y:$Y,0))-J2957,"")</f>
        <v>-0.03427047855</v>
      </c>
      <c r="AB2957" s="168">
        <f t="array" ref="AB2957">iferror(index(K:K,match($A2957&amp;","&amp;index('Year Conversion'!$A:$A,match($C2957,'Year Conversion'!$B:$B,0)),$Y:$Y,0))-K2957,"")</f>
        <v>-0.7789024917</v>
      </c>
      <c r="AC2957" s="168" t="str">
        <f t="shared" si="7"/>
        <v>ATL,2018-19</v>
      </c>
    </row>
    <row r="2958">
      <c r="A2958" s="161" t="str">
        <f>IFERROR(__xludf.DUMMYFUNCTION("""COMPUTED_VALUE"""),"thomakh01")</f>
        <v>thomakh01</v>
      </c>
      <c r="B2958" s="161" t="str">
        <f>IFERROR(__xludf.DUMMYFUNCTION("""COMPUTED_VALUE"""),"Khyri Thomas")</f>
        <v>Khyri Thomas</v>
      </c>
      <c r="C2958" s="162" t="str">
        <f>IFERROR(__xludf.DUMMYFUNCTION("""COMPUTED_VALUE"""),"2018-19")</f>
        <v>2018-19</v>
      </c>
      <c r="D2958" s="163" t="str">
        <f>IFERROR(__xludf.DUMMYFUNCTION("""COMPUTED_VALUE"""),"DET")</f>
        <v>DET</v>
      </c>
      <c r="E2958" s="164" t="str">
        <f>IFERROR(__xludf.DUMMYFUNCTION("""COMPUTED_VALUE"""),"Movement Shooter")</f>
        <v>Movement Shooter</v>
      </c>
      <c r="F2958" s="164">
        <f>IFERROR(__xludf.DUMMYFUNCTION("""COMPUTED_VALUE"""),195.468333333333)</f>
        <v>195.4683333</v>
      </c>
      <c r="G2958" s="163">
        <f>IFERROR(__xludf.DUMMYFUNCTION("""COMPUTED_VALUE"""),26.0)</f>
        <v>26</v>
      </c>
      <c r="H2958" s="163" t="str">
        <f>IFERROR(__xludf.DUMMYFUNCTION("""COMPUTED_VALUE"""),"SG")</f>
        <v>SG</v>
      </c>
      <c r="I2958" s="163">
        <f>IFERROR(__xludf.DUMMYFUNCTION("""COMPUTED_VALUE"""),22.0)</f>
        <v>22</v>
      </c>
      <c r="J2958" s="165">
        <f>IFERROR(__xludf.DUMMYFUNCTION("""COMPUTED_VALUE"""),-1.07920682478461)</f>
        <v>-1.079206825</v>
      </c>
      <c r="K2958" s="165">
        <f>IFERROR(__xludf.DUMMYFUNCTION("""COMPUTED_VALUE"""),-1.03482887411839)</f>
        <v>-1.034828874</v>
      </c>
      <c r="L2958" s="165">
        <f>IFERROR(__xludf.DUMMYFUNCTION("""COMPUTED_VALUE"""),-0.0443779506662159)</f>
        <v>-0.04437795067</v>
      </c>
      <c r="M2958" s="166">
        <f t="shared" si="2"/>
        <v>0.1593558231</v>
      </c>
      <c r="N2958" s="167">
        <f t="shared" si="3"/>
        <v>7.518012821</v>
      </c>
      <c r="O2958" s="163">
        <f t="shared" ref="O2958:Q2958" si="2962">rank(I2958,I:I)</f>
        <v>3178</v>
      </c>
      <c r="P2958" s="163">
        <f t="shared" si="2962"/>
        <v>2588</v>
      </c>
      <c r="Q2958" s="163">
        <f t="shared" si="2962"/>
        <v>2848</v>
      </c>
      <c r="R2958" s="163">
        <f>IFERROR(__xludf.DUMMYFUNCTION("RANK(M2958,filter(M:M,C:C=C2958))"),363.0)</f>
        <v>363</v>
      </c>
      <c r="S2958" s="161" t="b">
        <f t="shared" si="5"/>
        <v>0</v>
      </c>
      <c r="T2958" s="161" t="b">
        <f t="array" ref="T2958">index('Query Tool'!B:B,match(H2958,'Query Tool'!C:C,0))</f>
        <v>1</v>
      </c>
      <c r="U2958" s="161" t="b">
        <f t="array" ref="U2958">index('Query Tool'!B:B,match(C2958,'Query Tool'!C:C,0))</f>
        <v>0</v>
      </c>
      <c r="V2958" s="161" t="b">
        <f>F2958&gt;='Query Tool'!C$32</f>
        <v>0</v>
      </c>
      <c r="W2958" s="161" t="b">
        <f t="array" ref="W2958">index(Dropdowns!B:B,match(I2958,Dropdowns!A:A,0))</f>
        <v>1</v>
      </c>
      <c r="X2958" s="161" t="b">
        <f t="array" ref="X2958">index('Query Tool'!B:B,match(D2958,'Query Tool'!C:C,0))</f>
        <v>1</v>
      </c>
      <c r="Y2958" s="161" t="str">
        <f t="shared" si="6"/>
        <v>thomakh01,2018-19</v>
      </c>
      <c r="Z2958" s="168">
        <f t="array" ref="Z2958">iferror(index(I:I,match($A2958&amp;","&amp;index('Year Conversion'!$A:$A,match($C2958,'Year Conversion'!$B:$B,0)),$Y:$Y,0))-I2958,"")</f>
        <v>1</v>
      </c>
      <c r="AA2958" s="168">
        <f t="array" ref="AA2958">iferror(index(J:J,match($A2958&amp;","&amp;index('Year Conversion'!$A:$A,match($C2958,'Year Conversion'!$B:$B,0)),$Y:$Y,0))-J2958,"")</f>
        <v>0.01224516171</v>
      </c>
      <c r="AB2958" s="168">
        <f t="array" ref="AB2958">iferror(index(K:K,match($A2958&amp;","&amp;index('Year Conversion'!$A:$A,match($C2958,'Year Conversion'!$B:$B,0)),$Y:$Y,0))-K2958,"")</f>
        <v>0.463633576</v>
      </c>
      <c r="AC2958" s="168" t="str">
        <f t="shared" si="7"/>
        <v>DET,2018-19</v>
      </c>
    </row>
    <row r="2959">
      <c r="A2959" s="161" t="str">
        <f>IFERROR(__xludf.DUMMYFUNCTION("""COMPUTED_VALUE"""),"trentga02")</f>
        <v>trentga02</v>
      </c>
      <c r="B2959" s="161" t="str">
        <f>IFERROR(__xludf.DUMMYFUNCTION("""COMPUTED_VALUE"""),"Gary Trent Jr.")</f>
        <v>Gary Trent Jr.</v>
      </c>
      <c r="C2959" s="162" t="str">
        <f>IFERROR(__xludf.DUMMYFUNCTION("""COMPUTED_VALUE"""),"2018-19")</f>
        <v>2018-19</v>
      </c>
      <c r="D2959" s="163" t="str">
        <f>IFERROR(__xludf.DUMMYFUNCTION("""COMPUTED_VALUE"""),"POR")</f>
        <v>POR</v>
      </c>
      <c r="E2959" s="164" t="str">
        <f>IFERROR(__xludf.DUMMYFUNCTION("""COMPUTED_VALUE"""),"Secondary Ball Handler")</f>
        <v>Secondary Ball Handler</v>
      </c>
      <c r="F2959" s="164">
        <f>IFERROR(__xludf.DUMMYFUNCTION("""COMPUTED_VALUE"""),110.55)</f>
        <v>110.55</v>
      </c>
      <c r="G2959" s="163">
        <f>IFERROR(__xludf.DUMMYFUNCTION("""COMPUTED_VALUE"""),15.0)</f>
        <v>15</v>
      </c>
      <c r="H2959" s="163" t="str">
        <f>IFERROR(__xludf.DUMMYFUNCTION("""COMPUTED_VALUE"""),"SG")</f>
        <v>SG</v>
      </c>
      <c r="I2959" s="163">
        <f>IFERROR(__xludf.DUMMYFUNCTION("""COMPUTED_VALUE"""),20.0)</f>
        <v>20</v>
      </c>
      <c r="J2959" s="165">
        <f>IFERROR(__xludf.DUMMYFUNCTION("""COMPUTED_VALUE"""),-1.08361746015516)</f>
        <v>-1.08361746</v>
      </c>
      <c r="K2959" s="165">
        <f>IFERROR(__xludf.DUMMYFUNCTION("""COMPUTED_VALUE"""),-0.355026512120167)</f>
        <v>-0.3550265121</v>
      </c>
      <c r="L2959" s="165">
        <f>IFERROR(__xludf.DUMMYFUNCTION("""COMPUTED_VALUE"""),-0.728590948034997)</f>
        <v>-0.728590948</v>
      </c>
      <c r="M2959" s="166">
        <f t="shared" si="2"/>
        <v>0.08979890187</v>
      </c>
      <c r="N2959" s="167">
        <f t="shared" si="3"/>
        <v>7.37</v>
      </c>
      <c r="O2959" s="163">
        <f t="shared" ref="O2959:Q2959" si="2963">rank(I2959,I:I)</f>
        <v>3770</v>
      </c>
      <c r="P2959" s="163">
        <f t="shared" si="2963"/>
        <v>2592</v>
      </c>
      <c r="Q2959" s="163">
        <f t="shared" si="2963"/>
        <v>1866</v>
      </c>
      <c r="R2959" s="163">
        <f>IFERROR(__xludf.DUMMYFUNCTION("RANK(M2959,filter(M:M,C:C=C2959))"),397.0)</f>
        <v>397</v>
      </c>
      <c r="S2959" s="161" t="b">
        <f t="shared" si="5"/>
        <v>0</v>
      </c>
      <c r="T2959" s="161" t="b">
        <f t="array" ref="T2959">index('Query Tool'!B:B,match(H2959,'Query Tool'!C:C,0))</f>
        <v>1</v>
      </c>
      <c r="U2959" s="161" t="b">
        <f t="array" ref="U2959">index('Query Tool'!B:B,match(C2959,'Query Tool'!C:C,0))</f>
        <v>0</v>
      </c>
      <c r="V2959" s="161" t="b">
        <f>F2959&gt;='Query Tool'!C$32</f>
        <v>0</v>
      </c>
      <c r="W2959" s="161" t="b">
        <f t="array" ref="W2959">index(Dropdowns!B:B,match(I2959,Dropdowns!A:A,0))</f>
        <v>1</v>
      </c>
      <c r="X2959" s="161" t="b">
        <f t="array" ref="X2959">index('Query Tool'!B:B,match(D2959,'Query Tool'!C:C,0))</f>
        <v>1</v>
      </c>
      <c r="Y2959" s="161" t="str">
        <f t="shared" si="6"/>
        <v>trentga02,2018-19</v>
      </c>
      <c r="Z2959" s="168">
        <f t="array" ref="Z2959">iferror(index(I:I,match($A2959&amp;","&amp;index('Year Conversion'!$A:$A,match($C2959,'Year Conversion'!$B:$B,0)),$Y:$Y,0))-I2959,"")</f>
        <v>1</v>
      </c>
      <c r="AA2959" s="168">
        <f t="array" ref="AA2959">iferror(index(J:J,match($A2959&amp;","&amp;index('Year Conversion'!$A:$A,match($C2959,'Year Conversion'!$B:$B,0)),$Y:$Y,0))-J2959,"")</f>
        <v>-0.2839947817</v>
      </c>
      <c r="AB2959" s="168">
        <f t="array" ref="AB2959">iferror(index(K:K,match($A2959&amp;","&amp;index('Year Conversion'!$A:$A,match($C2959,'Year Conversion'!$B:$B,0)),$Y:$Y,0))-K2959,"")</f>
        <v>0.4468336494</v>
      </c>
      <c r="AC2959" s="168" t="str">
        <f t="shared" si="7"/>
        <v>POR,2018-19</v>
      </c>
    </row>
    <row r="2960">
      <c r="A2960" s="161" t="str">
        <f>IFERROR(__xludf.DUMMYFUNCTION("""COMPUTED_VALUE"""),"trieral01")</f>
        <v>trieral01</v>
      </c>
      <c r="B2960" s="161" t="str">
        <f>IFERROR(__xludf.DUMMYFUNCTION("""COMPUTED_VALUE"""),"Allonzo Trier")</f>
        <v>Allonzo Trier</v>
      </c>
      <c r="C2960" s="162" t="str">
        <f>IFERROR(__xludf.DUMMYFUNCTION("""COMPUTED_VALUE"""),"2018-19")</f>
        <v>2018-19</v>
      </c>
      <c r="D2960" s="163" t="str">
        <f>IFERROR(__xludf.DUMMYFUNCTION("""COMPUTED_VALUE"""),"NYK")</f>
        <v>NYK</v>
      </c>
      <c r="E2960" s="164" t="str">
        <f>IFERROR(__xludf.DUMMYFUNCTION("""COMPUTED_VALUE"""),"Secondary Ball Handler")</f>
        <v>Secondary Ball Handler</v>
      </c>
      <c r="F2960" s="164">
        <f>IFERROR(__xludf.DUMMYFUNCTION("""COMPUTED_VALUE"""),1458.56333333333)</f>
        <v>1458.563333</v>
      </c>
      <c r="G2960" s="163">
        <f>IFERROR(__xludf.DUMMYFUNCTION("""COMPUTED_VALUE"""),64.0)</f>
        <v>64</v>
      </c>
      <c r="H2960" s="163" t="str">
        <f>IFERROR(__xludf.DUMMYFUNCTION("""COMPUTED_VALUE"""),"SG")</f>
        <v>SG</v>
      </c>
      <c r="I2960" s="163">
        <f>IFERROR(__xludf.DUMMYFUNCTION("""COMPUTED_VALUE"""),23.0)</f>
        <v>23</v>
      </c>
      <c r="J2960" s="165">
        <f>IFERROR(__xludf.DUMMYFUNCTION("""COMPUTED_VALUE"""),-3.68777712341478)</f>
        <v>-3.687777123</v>
      </c>
      <c r="K2960" s="165">
        <f>IFERROR(__xludf.DUMMYFUNCTION("""COMPUTED_VALUE"""),-1.75999695997978)</f>
        <v>-1.75999696</v>
      </c>
      <c r="L2960" s="165">
        <f>IFERROR(__xludf.DUMMYFUNCTION("""COMPUTED_VALUE"""),-1.927780163435)</f>
        <v>-1.927780163</v>
      </c>
      <c r="M2960" s="166">
        <f t="shared" si="2"/>
        <v>-1.310755534</v>
      </c>
      <c r="N2960" s="167">
        <f t="shared" si="3"/>
        <v>22.79005208</v>
      </c>
      <c r="O2960" s="163">
        <f t="shared" ref="O2960:Q2960" si="2964">rank(I2960,I:I)</f>
        <v>2765</v>
      </c>
      <c r="P2960" s="163">
        <f t="shared" si="2964"/>
        <v>3982</v>
      </c>
      <c r="Q2960" s="163">
        <f t="shared" si="2964"/>
        <v>3551</v>
      </c>
      <c r="R2960" s="163">
        <f>IFERROR(__xludf.DUMMYFUNCTION("RANK(M2960,filter(M:M,C:C=C2960))"),526.0)</f>
        <v>526</v>
      </c>
      <c r="S2960" s="161" t="b">
        <f t="shared" si="5"/>
        <v>0</v>
      </c>
      <c r="T2960" s="161" t="b">
        <f t="array" ref="T2960">index('Query Tool'!B:B,match(H2960,'Query Tool'!C:C,0))</f>
        <v>1</v>
      </c>
      <c r="U2960" s="161" t="b">
        <f t="array" ref="U2960">index('Query Tool'!B:B,match(C2960,'Query Tool'!C:C,0))</f>
        <v>0</v>
      </c>
      <c r="V2960" s="161" t="b">
        <f>F2960&gt;='Query Tool'!C$32</f>
        <v>1</v>
      </c>
      <c r="W2960" s="161" t="b">
        <f t="array" ref="W2960">index(Dropdowns!B:B,match(I2960,Dropdowns!A:A,0))</f>
        <v>1</v>
      </c>
      <c r="X2960" s="161" t="b">
        <f t="array" ref="X2960">index('Query Tool'!B:B,match(D2960,'Query Tool'!C:C,0))</f>
        <v>1</v>
      </c>
      <c r="Y2960" s="161" t="str">
        <f t="shared" si="6"/>
        <v>trieral01,2018-19</v>
      </c>
      <c r="Z2960" s="168">
        <f t="array" ref="Z2960">iferror(index(I:I,match($A2960&amp;","&amp;index('Year Conversion'!$A:$A,match($C2960,'Year Conversion'!$B:$B,0)),$Y:$Y,0))-I2960,"")</f>
        <v>1</v>
      </c>
      <c r="AA2960" s="168">
        <f t="array" ref="AA2960">iferror(index(J:J,match($A2960&amp;","&amp;index('Year Conversion'!$A:$A,match($C2960,'Year Conversion'!$B:$B,0)),$Y:$Y,0))-J2960,"")</f>
        <v>2.375392802</v>
      </c>
      <c r="AB2960" s="168">
        <f t="array" ref="AB2960">iferror(index(K:K,match($A2960&amp;","&amp;index('Year Conversion'!$A:$A,match($C2960,'Year Conversion'!$B:$B,0)),$Y:$Y,0))-K2960,"")</f>
        <v>1.364911337</v>
      </c>
      <c r="AC2960" s="168" t="str">
        <f t="shared" si="7"/>
        <v>NYK,2018-19</v>
      </c>
    </row>
    <row r="2961">
      <c r="A2961" s="161" t="str">
        <f>IFERROR(__xludf.DUMMYFUNCTION("""COMPUTED_VALUE"""),"vandeja01")</f>
        <v>vandeja01</v>
      </c>
      <c r="B2961" s="161" t="str">
        <f>IFERROR(__xludf.DUMMYFUNCTION("""COMPUTED_VALUE"""),"Jarred Vanderbilt")</f>
        <v>Jarred Vanderbilt</v>
      </c>
      <c r="C2961" s="162" t="str">
        <f>IFERROR(__xludf.DUMMYFUNCTION("""COMPUTED_VALUE"""),"2018-19")</f>
        <v>2018-19</v>
      </c>
      <c r="D2961" s="163" t="str">
        <f>IFERROR(__xludf.DUMMYFUNCTION("""COMPUTED_VALUE"""),"DEN")</f>
        <v>DEN</v>
      </c>
      <c r="E2961" s="164" t="str">
        <f>IFERROR(__xludf.DUMMYFUNCTION("""COMPUTED_VALUE"""),"Roll + Cut Big")</f>
        <v>Roll + Cut Big</v>
      </c>
      <c r="F2961" s="164">
        <f>IFERROR(__xludf.DUMMYFUNCTION("""COMPUTED_VALUE"""),69.1866666666666)</f>
        <v>69.18666667</v>
      </c>
      <c r="G2961" s="163">
        <f>IFERROR(__xludf.DUMMYFUNCTION("""COMPUTED_VALUE"""),17.0)</f>
        <v>17</v>
      </c>
      <c r="H2961" s="163" t="str">
        <f>IFERROR(__xludf.DUMMYFUNCTION("""COMPUTED_VALUE"""),"PF")</f>
        <v>PF</v>
      </c>
      <c r="I2961" s="163">
        <f>IFERROR(__xludf.DUMMYFUNCTION("""COMPUTED_VALUE"""),19.0)</f>
        <v>19</v>
      </c>
      <c r="J2961" s="165">
        <f>IFERROR(__xludf.DUMMYFUNCTION("""COMPUTED_VALUE"""),-0.736462163453342)</f>
        <v>-0.7364621635</v>
      </c>
      <c r="K2961" s="165">
        <f>IFERROR(__xludf.DUMMYFUNCTION("""COMPUTED_VALUE"""),-0.731200611258086)</f>
        <v>-0.7312006113</v>
      </c>
      <c r="L2961" s="165">
        <f>IFERROR(__xludf.DUMMYFUNCTION("""COMPUTED_VALUE"""),-0.00526155219525615)</f>
        <v>-0.005261552195</v>
      </c>
      <c r="M2961" s="166">
        <f t="shared" si="2"/>
        <v>0.07233639956</v>
      </c>
      <c r="N2961" s="167">
        <f t="shared" si="3"/>
        <v>4.069803922</v>
      </c>
      <c r="O2961" s="163">
        <f t="shared" ref="O2961:Q2961" si="2965">rank(I2961,I:I)</f>
        <v>3945</v>
      </c>
      <c r="P2961" s="163">
        <f t="shared" si="2965"/>
        <v>2193</v>
      </c>
      <c r="Q2961" s="163">
        <f t="shared" si="2965"/>
        <v>2456</v>
      </c>
      <c r="R2961" s="163">
        <f>IFERROR(__xludf.DUMMYFUNCTION("RANK(M2961,filter(M:M,C:C=C2961))"),405.0)</f>
        <v>405</v>
      </c>
      <c r="S2961" s="161" t="b">
        <f t="shared" si="5"/>
        <v>0</v>
      </c>
      <c r="T2961" s="161" t="b">
        <f t="array" ref="T2961">index('Query Tool'!B:B,match(H2961,'Query Tool'!C:C,0))</f>
        <v>1</v>
      </c>
      <c r="U2961" s="161" t="b">
        <f t="array" ref="U2961">index('Query Tool'!B:B,match(C2961,'Query Tool'!C:C,0))</f>
        <v>0</v>
      </c>
      <c r="V2961" s="161" t="b">
        <f>F2961&gt;='Query Tool'!C$32</f>
        <v>0</v>
      </c>
      <c r="W2961" s="161" t="b">
        <f t="array" ref="W2961">index(Dropdowns!B:B,match(I2961,Dropdowns!A:A,0))</f>
        <v>1</v>
      </c>
      <c r="X2961" s="161" t="b">
        <f t="array" ref="X2961">index('Query Tool'!B:B,match(D2961,'Query Tool'!C:C,0))</f>
        <v>1</v>
      </c>
      <c r="Y2961" s="161" t="str">
        <f t="shared" si="6"/>
        <v>vandeja01,2018-19</v>
      </c>
      <c r="Z2961" s="168">
        <f t="array" ref="Z2961">iferror(index(I:I,match($A2961&amp;","&amp;index('Year Conversion'!$A:$A,match($C2961,'Year Conversion'!$B:$B,0)),$Y:$Y,0))-I2961,"")</f>
        <v>1</v>
      </c>
      <c r="AA2961" s="168">
        <f t="array" ref="AA2961">iferror(index(J:J,match($A2961&amp;","&amp;index('Year Conversion'!$A:$A,match($C2961,'Year Conversion'!$B:$B,0)),$Y:$Y,0))-J2961,"")</f>
        <v>-0.3720229568</v>
      </c>
      <c r="AB2961" s="168">
        <f t="array" ref="AB2961">iferror(index(K:K,match($A2961&amp;","&amp;index('Year Conversion'!$A:$A,match($C2961,'Year Conversion'!$B:$B,0)),$Y:$Y,0))-K2961,"")</f>
        <v>0.04728065898</v>
      </c>
      <c r="AC2961" s="168" t="str">
        <f t="shared" si="7"/>
        <v>DEN,2018-19</v>
      </c>
    </row>
    <row r="2962">
      <c r="A2962" s="161" t="str">
        <f>IFERROR(__xludf.DUMMYFUNCTION("""COMPUTED_VALUE"""),"wagnemo01")</f>
        <v>wagnemo01</v>
      </c>
      <c r="B2962" s="161" t="str">
        <f>IFERROR(__xludf.DUMMYFUNCTION("""COMPUTED_VALUE"""),"Moritz Wagner")</f>
        <v>Moritz Wagner</v>
      </c>
      <c r="C2962" s="162" t="str">
        <f>IFERROR(__xludf.DUMMYFUNCTION("""COMPUTED_VALUE"""),"2018-19")</f>
        <v>2018-19</v>
      </c>
      <c r="D2962" s="163" t="str">
        <f>IFERROR(__xludf.DUMMYFUNCTION("""COMPUTED_VALUE"""),"LAL")</f>
        <v>LAL</v>
      </c>
      <c r="E2962" s="164" t="str">
        <f>IFERROR(__xludf.DUMMYFUNCTION("""COMPUTED_VALUE"""),"Stretch Big")</f>
        <v>Stretch Big</v>
      </c>
      <c r="F2962" s="164">
        <f>IFERROR(__xludf.DUMMYFUNCTION("""COMPUTED_VALUE"""),446.18)</f>
        <v>446.18</v>
      </c>
      <c r="G2962" s="163">
        <f>IFERROR(__xludf.DUMMYFUNCTION("""COMPUTED_VALUE"""),43.0)</f>
        <v>43</v>
      </c>
      <c r="H2962" s="163" t="str">
        <f>IFERROR(__xludf.DUMMYFUNCTION("""COMPUTED_VALUE"""),"C")</f>
        <v>C</v>
      </c>
      <c r="I2962" s="163">
        <f>IFERROR(__xludf.DUMMYFUNCTION("""COMPUTED_VALUE"""),21.0)</f>
        <v>21</v>
      </c>
      <c r="J2962" s="165">
        <f>IFERROR(__xludf.DUMMYFUNCTION("""COMPUTED_VALUE"""),-1.54292550817619)</f>
        <v>-1.542925508</v>
      </c>
      <c r="K2962" s="165">
        <f>IFERROR(__xludf.DUMMYFUNCTION("""COMPUTED_VALUE"""),-1.58078744966015)</f>
        <v>-1.58078745</v>
      </c>
      <c r="L2962" s="165">
        <f>IFERROR(__xludf.DUMMYFUNCTION("""COMPUTED_VALUE"""),0.037861941483962)</f>
        <v>0.03786194148</v>
      </c>
      <c r="M2962" s="166">
        <f t="shared" si="2"/>
        <v>0.225262259</v>
      </c>
      <c r="N2962" s="167">
        <f t="shared" si="3"/>
        <v>10.37627907</v>
      </c>
      <c r="O2962" s="163">
        <f t="shared" ref="O2962:Q2962" si="2966">rank(I2962,I:I)</f>
        <v>3528</v>
      </c>
      <c r="P2962" s="163">
        <f t="shared" si="2966"/>
        <v>3092</v>
      </c>
      <c r="Q2962" s="163">
        <f t="shared" si="2966"/>
        <v>3434</v>
      </c>
      <c r="R2962" s="163">
        <f>IFERROR(__xludf.DUMMYFUNCTION("RANK(M2962,filter(M:M,C:C=C2962))"),338.0)</f>
        <v>338</v>
      </c>
      <c r="S2962" s="161" t="b">
        <f t="shared" si="5"/>
        <v>0</v>
      </c>
      <c r="T2962" s="161" t="b">
        <f t="array" ref="T2962">index('Query Tool'!B:B,match(H2962,'Query Tool'!C:C,0))</f>
        <v>1</v>
      </c>
      <c r="U2962" s="161" t="b">
        <f t="array" ref="U2962">index('Query Tool'!B:B,match(C2962,'Query Tool'!C:C,0))</f>
        <v>0</v>
      </c>
      <c r="V2962" s="161" t="b">
        <f>F2962&gt;='Query Tool'!C$32</f>
        <v>0</v>
      </c>
      <c r="W2962" s="161" t="b">
        <f t="array" ref="W2962">index(Dropdowns!B:B,match(I2962,Dropdowns!A:A,0))</f>
        <v>1</v>
      </c>
      <c r="X2962" s="161" t="b">
        <f t="array" ref="X2962">index('Query Tool'!B:B,match(D2962,'Query Tool'!C:C,0))</f>
        <v>1</v>
      </c>
      <c r="Y2962" s="161" t="str">
        <f t="shared" si="6"/>
        <v>wagnemo01,2018-19</v>
      </c>
      <c r="Z2962" s="168">
        <f t="array" ref="Z2962">iferror(index(I:I,match($A2962&amp;","&amp;index('Year Conversion'!$A:$A,match($C2962,'Year Conversion'!$B:$B,0)),$Y:$Y,0))-I2962,"")</f>
        <v>1</v>
      </c>
      <c r="AA2962" s="168">
        <f t="array" ref="AA2962">iferror(index(J:J,match($A2962&amp;","&amp;index('Year Conversion'!$A:$A,match($C2962,'Year Conversion'!$B:$B,0)),$Y:$Y,0))-J2962,"")</f>
        <v>-0.1018782377</v>
      </c>
      <c r="AB2962" s="168">
        <f t="array" ref="AB2962">iferror(index(K:K,match($A2962&amp;","&amp;index('Year Conversion'!$A:$A,match($C2962,'Year Conversion'!$B:$B,0)),$Y:$Y,0))-K2962,"")</f>
        <v>-0.3441383597</v>
      </c>
      <c r="AC2962" s="168" t="str">
        <f t="shared" si="7"/>
        <v>LAL,2018-19</v>
      </c>
    </row>
    <row r="2963">
      <c r="A2963" s="161" t="str">
        <f>IFERROR(__xludf.DUMMYFUNCTION("""COMPUTED_VALUE"""),"walkelo01")</f>
        <v>walkelo01</v>
      </c>
      <c r="B2963" s="161" t="str">
        <f>IFERROR(__xludf.DUMMYFUNCTION("""COMPUTED_VALUE"""),"Lonnie Walker IV")</f>
        <v>Lonnie Walker IV</v>
      </c>
      <c r="C2963" s="162" t="str">
        <f>IFERROR(__xludf.DUMMYFUNCTION("""COMPUTED_VALUE"""),"2018-19")</f>
        <v>2018-19</v>
      </c>
      <c r="D2963" s="163" t="str">
        <f>IFERROR(__xludf.DUMMYFUNCTION("""COMPUTED_VALUE"""),"SAS")</f>
        <v>SAS</v>
      </c>
      <c r="E2963" s="164" t="str">
        <f>IFERROR(__xludf.DUMMYFUNCTION("""COMPUTED_VALUE"""),"Secondary Ball Handler")</f>
        <v>Secondary Ball Handler</v>
      </c>
      <c r="F2963" s="164">
        <f>IFERROR(__xludf.DUMMYFUNCTION("""COMPUTED_VALUE"""),117.798333333333)</f>
        <v>117.7983333</v>
      </c>
      <c r="G2963" s="163">
        <f>IFERROR(__xludf.DUMMYFUNCTION("""COMPUTED_VALUE"""),17.0)</f>
        <v>17</v>
      </c>
      <c r="H2963" s="163" t="str">
        <f>IFERROR(__xludf.DUMMYFUNCTION("""COMPUTED_VALUE"""),"SG")</f>
        <v>SG</v>
      </c>
      <c r="I2963" s="163">
        <f>IFERROR(__xludf.DUMMYFUNCTION("""COMPUTED_VALUE"""),20.0)</f>
        <v>20</v>
      </c>
      <c r="J2963" s="165">
        <f>IFERROR(__xludf.DUMMYFUNCTION("""COMPUTED_VALUE"""),-1.39682660131409)</f>
        <v>-1.396826601</v>
      </c>
      <c r="K2963" s="165">
        <f>IFERROR(__xludf.DUMMYFUNCTION("""COMPUTED_VALUE"""),-1.00735961905161)</f>
        <v>-1.007359619</v>
      </c>
      <c r="L2963" s="165">
        <f>IFERROR(__xludf.DUMMYFUNCTION("""COMPUTED_VALUE"""),-0.38946698226248)</f>
        <v>-0.3894669823</v>
      </c>
      <c r="M2963" s="166">
        <f t="shared" si="2"/>
        <v>0.07097168823</v>
      </c>
      <c r="N2963" s="167">
        <f t="shared" si="3"/>
        <v>6.929313725</v>
      </c>
      <c r="O2963" s="163">
        <f t="shared" ref="O2963:Q2963" si="2967">rank(I2963,I:I)</f>
        <v>3770</v>
      </c>
      <c r="P2963" s="163">
        <f t="shared" si="2967"/>
        <v>2945</v>
      </c>
      <c r="Q2963" s="163">
        <f t="shared" si="2967"/>
        <v>2814</v>
      </c>
      <c r="R2963" s="163">
        <f>IFERROR(__xludf.DUMMYFUNCTION("RANK(M2963,filter(M:M,C:C=C2963))"),406.0)</f>
        <v>406</v>
      </c>
      <c r="S2963" s="161" t="b">
        <f t="shared" si="5"/>
        <v>0</v>
      </c>
      <c r="T2963" s="161" t="b">
        <f t="array" ref="T2963">index('Query Tool'!B:B,match(H2963,'Query Tool'!C:C,0))</f>
        <v>1</v>
      </c>
      <c r="U2963" s="161" t="b">
        <f t="array" ref="U2963">index('Query Tool'!B:B,match(C2963,'Query Tool'!C:C,0))</f>
        <v>0</v>
      </c>
      <c r="V2963" s="161" t="b">
        <f>F2963&gt;='Query Tool'!C$32</f>
        <v>0</v>
      </c>
      <c r="W2963" s="161" t="b">
        <f t="array" ref="W2963">index(Dropdowns!B:B,match(I2963,Dropdowns!A:A,0))</f>
        <v>1</v>
      </c>
      <c r="X2963" s="161" t="b">
        <f t="array" ref="X2963">index('Query Tool'!B:B,match(D2963,'Query Tool'!C:C,0))</f>
        <v>1</v>
      </c>
      <c r="Y2963" s="161" t="str">
        <f t="shared" si="6"/>
        <v>walkelo01,2018-19</v>
      </c>
      <c r="Z2963" s="168">
        <f t="array" ref="Z2963">iferror(index(I:I,match($A2963&amp;","&amp;index('Year Conversion'!$A:$A,match($C2963,'Year Conversion'!$B:$B,0)),$Y:$Y,0))-I2963,"")</f>
        <v>1</v>
      </c>
      <c r="AA2963" s="168">
        <f t="array" ref="AA2963">iferror(index(J:J,match($A2963&amp;","&amp;index('Year Conversion'!$A:$A,match($C2963,'Year Conversion'!$B:$B,0)),$Y:$Y,0))-J2963,"")</f>
        <v>-0.7183755335</v>
      </c>
      <c r="AB2963" s="168">
        <f t="array" ref="AB2963">iferror(index(K:K,match($A2963&amp;","&amp;index('Year Conversion'!$A:$A,match($C2963,'Year Conversion'!$B:$B,0)),$Y:$Y,0))-K2963,"")</f>
        <v>-0.2927892033</v>
      </c>
      <c r="AC2963" s="168" t="str">
        <f t="shared" si="7"/>
        <v>SAS,2018-19</v>
      </c>
    </row>
    <row r="2964">
      <c r="A2964" s="161" t="str">
        <f>IFERROR(__xludf.DUMMYFUNCTION("""COMPUTED_VALUE"""),"willike04")</f>
        <v>willike04</v>
      </c>
      <c r="B2964" s="161" t="str">
        <f>IFERROR(__xludf.DUMMYFUNCTION("""COMPUTED_VALUE"""),"Kenrich Williams")</f>
        <v>Kenrich Williams</v>
      </c>
      <c r="C2964" s="162" t="str">
        <f>IFERROR(__xludf.DUMMYFUNCTION("""COMPUTED_VALUE"""),"2018-19")</f>
        <v>2018-19</v>
      </c>
      <c r="D2964" s="163" t="str">
        <f>IFERROR(__xludf.DUMMYFUNCTION("""COMPUTED_VALUE"""),"NOP")</f>
        <v>NOP</v>
      </c>
      <c r="E2964" s="164" t="str">
        <f>IFERROR(__xludf.DUMMYFUNCTION("""COMPUTED_VALUE"""),"Stationary Shooter")</f>
        <v>Stationary Shooter</v>
      </c>
      <c r="F2964" s="164">
        <f>IFERROR(__xludf.DUMMYFUNCTION("""COMPUTED_VALUE"""),1079.22)</f>
        <v>1079.22</v>
      </c>
      <c r="G2964" s="163">
        <f>IFERROR(__xludf.DUMMYFUNCTION("""COMPUTED_VALUE"""),46.0)</f>
        <v>46</v>
      </c>
      <c r="H2964" s="163" t="str">
        <f>IFERROR(__xludf.DUMMYFUNCTION("""COMPUTED_VALUE"""),"SF")</f>
        <v>SF</v>
      </c>
      <c r="I2964" s="163">
        <f>IFERROR(__xludf.DUMMYFUNCTION("""COMPUTED_VALUE"""),24.0)</f>
        <v>24</v>
      </c>
      <c r="J2964" s="165">
        <f>IFERROR(__xludf.DUMMYFUNCTION("""COMPUTED_VALUE"""),-0.66553175544857)</f>
        <v>-0.6655317554</v>
      </c>
      <c r="K2964" s="165">
        <f>IFERROR(__xludf.DUMMYFUNCTION("""COMPUTED_VALUE"""),-1.07673102328109)</f>
        <v>-1.076731023</v>
      </c>
      <c r="L2964" s="165">
        <f>IFERROR(__xludf.DUMMYFUNCTION("""COMPUTED_VALUE"""),0.411199267832525)</f>
        <v>0.4111992678</v>
      </c>
      <c r="M2964" s="166">
        <f t="shared" si="2"/>
        <v>1.179854912</v>
      </c>
      <c r="N2964" s="167">
        <f t="shared" si="3"/>
        <v>23.46130435</v>
      </c>
      <c r="O2964" s="163">
        <f t="shared" ref="O2964:Q2964" si="2968">rank(I2964,I:I)</f>
        <v>2361</v>
      </c>
      <c r="P2964" s="163">
        <f t="shared" si="2968"/>
        <v>2087</v>
      </c>
      <c r="Q2964" s="163">
        <f t="shared" si="2968"/>
        <v>2906</v>
      </c>
      <c r="R2964" s="163">
        <f>IFERROR(__xludf.DUMMYFUNCTION("RANK(M2964,filter(M:M,C:C=C2964))"),211.0)</f>
        <v>211</v>
      </c>
      <c r="S2964" s="161" t="b">
        <f t="shared" si="5"/>
        <v>0</v>
      </c>
      <c r="T2964" s="161" t="b">
        <f t="array" ref="T2964">index('Query Tool'!B:B,match(H2964,'Query Tool'!C:C,0))</f>
        <v>1</v>
      </c>
      <c r="U2964" s="161" t="b">
        <f t="array" ref="U2964">index('Query Tool'!B:B,match(C2964,'Query Tool'!C:C,0))</f>
        <v>0</v>
      </c>
      <c r="V2964" s="161" t="b">
        <f>F2964&gt;='Query Tool'!C$32</f>
        <v>1</v>
      </c>
      <c r="W2964" s="161" t="b">
        <f t="array" ref="W2964">index(Dropdowns!B:B,match(I2964,Dropdowns!A:A,0))</f>
        <v>1</v>
      </c>
      <c r="X2964" s="161" t="b">
        <f t="array" ref="X2964">index('Query Tool'!B:B,match(D2964,'Query Tool'!C:C,0))</f>
        <v>1</v>
      </c>
      <c r="Y2964" s="161" t="str">
        <f t="shared" si="6"/>
        <v>willike04,2018-19</v>
      </c>
      <c r="Z2964" s="168">
        <f t="array" ref="Z2964">iferror(index(I:I,match($A2964&amp;","&amp;index('Year Conversion'!$A:$A,match($C2964,'Year Conversion'!$B:$B,0)),$Y:$Y,0))-I2964,"")</f>
        <v>1</v>
      </c>
      <c r="AA2964" s="168">
        <f t="array" ref="AA2964">iferror(index(J:J,match($A2964&amp;","&amp;index('Year Conversion'!$A:$A,match($C2964,'Year Conversion'!$B:$B,0)),$Y:$Y,0))-J2964,"")</f>
        <v>0.3279050135</v>
      </c>
      <c r="AB2964" s="168">
        <f t="array" ref="AB2964">iferror(index(K:K,match($A2964&amp;","&amp;index('Year Conversion'!$A:$A,match($C2964,'Year Conversion'!$B:$B,0)),$Y:$Y,0))-K2964,"")</f>
        <v>-0.6500582992</v>
      </c>
      <c r="AC2964" s="168" t="str">
        <f t="shared" si="7"/>
        <v>NOP,2018-19</v>
      </c>
    </row>
    <row r="2965">
      <c r="A2965" s="161" t="str">
        <f>IFERROR(__xludf.DUMMYFUNCTION("""COMPUTED_VALUE"""),"youngtr01")</f>
        <v>youngtr01</v>
      </c>
      <c r="B2965" s="161" t="str">
        <f>IFERROR(__xludf.DUMMYFUNCTION("""COMPUTED_VALUE"""),"Trae Young")</f>
        <v>Trae Young</v>
      </c>
      <c r="C2965" s="162" t="str">
        <f>IFERROR(__xludf.DUMMYFUNCTION("""COMPUTED_VALUE"""),"2018-19")</f>
        <v>2018-19</v>
      </c>
      <c r="D2965" s="163" t="str">
        <f>IFERROR(__xludf.DUMMYFUNCTION("""COMPUTED_VALUE"""),"ATL")</f>
        <v>ATL</v>
      </c>
      <c r="E2965" s="164" t="str">
        <f>IFERROR(__xludf.DUMMYFUNCTION("""COMPUTED_VALUE"""),"Primary Ball Handler")</f>
        <v>Primary Ball Handler</v>
      </c>
      <c r="F2965" s="164">
        <f>IFERROR(__xludf.DUMMYFUNCTION("""COMPUTED_VALUE"""),2503.28166666667)</f>
        <v>2503.281667</v>
      </c>
      <c r="G2965" s="163">
        <f>IFERROR(__xludf.DUMMYFUNCTION("""COMPUTED_VALUE"""),81.0)</f>
        <v>81</v>
      </c>
      <c r="H2965" s="163" t="str">
        <f>IFERROR(__xludf.DUMMYFUNCTION("""COMPUTED_VALUE"""),"PG")</f>
        <v>PG</v>
      </c>
      <c r="I2965" s="163">
        <f>IFERROR(__xludf.DUMMYFUNCTION("""COMPUTED_VALUE"""),20.0)</f>
        <v>20</v>
      </c>
      <c r="J2965" s="165">
        <f>IFERROR(__xludf.DUMMYFUNCTION("""COMPUTED_VALUE"""),-1.58037372756406)</f>
        <v>-1.580373728</v>
      </c>
      <c r="K2965" s="165">
        <f>IFERROR(__xludf.DUMMYFUNCTION("""COMPUTED_VALUE"""),1.7896541672137)</f>
        <v>1.789654167</v>
      </c>
      <c r="L2965" s="165">
        <f>IFERROR(__xludf.DUMMYFUNCTION("""COMPUTED_VALUE"""),-3.37002789477776)</f>
        <v>-3.370027895</v>
      </c>
      <c r="M2965" s="166">
        <f t="shared" si="2"/>
        <v>1.201265424</v>
      </c>
      <c r="N2965" s="167">
        <f t="shared" si="3"/>
        <v>30.90471193</v>
      </c>
      <c r="O2965" s="163">
        <f t="shared" ref="O2965:Q2965" si="2969">rank(I2965,I:I)</f>
        <v>3770</v>
      </c>
      <c r="P2965" s="163">
        <f t="shared" si="2969"/>
        <v>3128</v>
      </c>
      <c r="Q2965" s="163">
        <f t="shared" si="2969"/>
        <v>261</v>
      </c>
      <c r="R2965" s="163">
        <f>IFERROR(__xludf.DUMMYFUNCTION("RANK(M2965,filter(M:M,C:C=C2965))"),207.0)</f>
        <v>207</v>
      </c>
      <c r="S2965" s="161" t="b">
        <f t="shared" si="5"/>
        <v>0</v>
      </c>
      <c r="T2965" s="161" t="b">
        <f t="array" ref="T2965">index('Query Tool'!B:B,match(H2965,'Query Tool'!C:C,0))</f>
        <v>1</v>
      </c>
      <c r="U2965" s="161" t="b">
        <f t="array" ref="U2965">index('Query Tool'!B:B,match(C2965,'Query Tool'!C:C,0))</f>
        <v>0</v>
      </c>
      <c r="V2965" s="161" t="b">
        <f>F2965&gt;='Query Tool'!C$32</f>
        <v>1</v>
      </c>
      <c r="W2965" s="161" t="b">
        <f t="array" ref="W2965">index(Dropdowns!B:B,match(I2965,Dropdowns!A:A,0))</f>
        <v>1</v>
      </c>
      <c r="X2965" s="161" t="b">
        <f t="array" ref="X2965">index('Query Tool'!B:B,match(D2965,'Query Tool'!C:C,0))</f>
        <v>1</v>
      </c>
      <c r="Y2965" s="161" t="str">
        <f t="shared" si="6"/>
        <v>youngtr01,2018-19</v>
      </c>
      <c r="Z2965" s="168">
        <f t="array" ref="Z2965">iferror(index(I:I,match($A2965&amp;","&amp;index('Year Conversion'!$A:$A,match($C2965,'Year Conversion'!$B:$B,0)),$Y:$Y,0))-I2965,"")</f>
        <v>1</v>
      </c>
      <c r="AA2965" s="168">
        <f t="array" ref="AA2965">iferror(index(J:J,match($A2965&amp;","&amp;index('Year Conversion'!$A:$A,match($C2965,'Year Conversion'!$B:$B,0)),$Y:$Y,0))-J2965,"")</f>
        <v>2.834076023</v>
      </c>
      <c r="AB2965" s="168">
        <f t="array" ref="AB2965">iferror(index(K:K,match($A2965&amp;","&amp;index('Year Conversion'!$A:$A,match($C2965,'Year Conversion'!$B:$B,0)),$Y:$Y,0))-K2965,"")</f>
        <v>3.040298772</v>
      </c>
      <c r="AC2965" s="168" t="str">
        <f t="shared" si="7"/>
        <v>ATL,2018-19</v>
      </c>
    </row>
    <row r="2966">
      <c r="A2966" s="161" t="str">
        <f>IFERROR(__xludf.DUMMYFUNCTION("""COMPUTED_VALUE"""),"aytonde01")</f>
        <v>aytonde01</v>
      </c>
      <c r="B2966" s="161" t="str">
        <f>IFERROR(__xludf.DUMMYFUNCTION("""COMPUTED_VALUE"""),"Deandre Ayton")</f>
        <v>Deandre Ayton</v>
      </c>
      <c r="C2966" s="162" t="str">
        <f>IFERROR(__xludf.DUMMYFUNCTION("""COMPUTED_VALUE"""),"2018-19")</f>
        <v>2018-19</v>
      </c>
      <c r="D2966" s="163" t="str">
        <f>IFERROR(__xludf.DUMMYFUNCTION("""COMPUTED_VALUE"""),"PHO")</f>
        <v>PHO</v>
      </c>
      <c r="E2966" s="164" t="str">
        <f>IFERROR(__xludf.DUMMYFUNCTION("""COMPUTED_VALUE"""),"Post Scorer")</f>
        <v>Post Scorer</v>
      </c>
      <c r="F2966" s="164">
        <f>IFERROR(__xludf.DUMMYFUNCTION("""COMPUTED_VALUE"""),2182.68833333333)</f>
        <v>2182.688333</v>
      </c>
      <c r="G2966" s="163">
        <f>IFERROR(__xludf.DUMMYFUNCTION("""COMPUTED_VALUE"""),71.0)</f>
        <v>71</v>
      </c>
      <c r="H2966" s="163" t="str">
        <f>IFERROR(__xludf.DUMMYFUNCTION("""COMPUTED_VALUE"""),"C")</f>
        <v>C</v>
      </c>
      <c r="I2966" s="163">
        <f>IFERROR(__xludf.DUMMYFUNCTION("""COMPUTED_VALUE"""),20.0)</f>
        <v>20</v>
      </c>
      <c r="J2966" s="165">
        <f>IFERROR(__xludf.DUMMYFUNCTION("""COMPUTED_VALUE"""),-0.969742288764375)</f>
        <v>-0.9697422888</v>
      </c>
      <c r="K2966" s="165">
        <f>IFERROR(__xludf.DUMMYFUNCTION("""COMPUTED_VALUE"""),-0.717226161230452)</f>
        <v>-0.7172261612</v>
      </c>
      <c r="L2966" s="165">
        <f>IFERROR(__xludf.DUMMYFUNCTION("""COMPUTED_VALUE"""),-0.252516127533923)</f>
        <v>-0.2525161275</v>
      </c>
      <c r="M2966" s="166">
        <f t="shared" si="2"/>
        <v>1.93981855</v>
      </c>
      <c r="N2966" s="167">
        <f t="shared" si="3"/>
        <v>30.7420892</v>
      </c>
      <c r="O2966" s="163">
        <f t="shared" ref="O2966:Q2966" si="2970">rank(I2966,I:I)</f>
        <v>3770</v>
      </c>
      <c r="P2966" s="163">
        <f t="shared" si="2970"/>
        <v>2470</v>
      </c>
      <c r="Q2966" s="163">
        <f t="shared" si="2970"/>
        <v>2441</v>
      </c>
      <c r="R2966" s="163">
        <f>IFERROR(__xludf.DUMMYFUNCTION("RANK(M2966,filter(M:M,C:C=C2966))"),153.0)</f>
        <v>153</v>
      </c>
      <c r="S2966" s="161" t="b">
        <f t="shared" si="5"/>
        <v>0</v>
      </c>
      <c r="T2966" s="161" t="b">
        <f t="array" ref="T2966">index('Query Tool'!B:B,match(H2966,'Query Tool'!C:C,0))</f>
        <v>1</v>
      </c>
      <c r="U2966" s="161" t="b">
        <f t="array" ref="U2966">index('Query Tool'!B:B,match(C2966,'Query Tool'!C:C,0))</f>
        <v>0</v>
      </c>
      <c r="V2966" s="161" t="b">
        <f>F2966&gt;='Query Tool'!C$32</f>
        <v>1</v>
      </c>
      <c r="W2966" s="161" t="b">
        <f t="array" ref="W2966">index(Dropdowns!B:B,match(I2966,Dropdowns!A:A,0))</f>
        <v>1</v>
      </c>
      <c r="X2966" s="161" t="b">
        <f t="array" ref="X2966">index('Query Tool'!B:B,match(D2966,'Query Tool'!C:C,0))</f>
        <v>1</v>
      </c>
      <c r="Y2966" s="161" t="str">
        <f t="shared" si="6"/>
        <v>aytonde01,2018-19</v>
      </c>
      <c r="Z2966" s="168">
        <f t="array" ref="Z2966">iferror(index(I:I,match($A2966&amp;","&amp;index('Year Conversion'!$A:$A,match($C2966,'Year Conversion'!$B:$B,0)),$Y:$Y,0))-I2966,"")</f>
        <v>1</v>
      </c>
      <c r="AA2966" s="168">
        <f t="array" ref="AA2966">iferror(index(J:J,match($A2966&amp;","&amp;index('Year Conversion'!$A:$A,match($C2966,'Year Conversion'!$B:$B,0)),$Y:$Y,0))-J2966,"")</f>
        <v>1.678661365</v>
      </c>
      <c r="AB2966" s="168">
        <f t="array" ref="AB2966">iferror(index(K:K,match($A2966&amp;","&amp;index('Year Conversion'!$A:$A,match($C2966,'Year Conversion'!$B:$B,0)),$Y:$Y,0))-K2966,"")</f>
        <v>0.8798785333</v>
      </c>
      <c r="AC2966" s="168" t="str">
        <f t="shared" si="7"/>
        <v>PHO,2018-19</v>
      </c>
    </row>
    <row r="2967">
      <c r="A2967" s="161" t="str">
        <f>IFERROR(__xludf.DUMMYFUNCTION("""COMPUTED_VALUE"""),"doncilu01")</f>
        <v>doncilu01</v>
      </c>
      <c r="B2967" s="161" t="str">
        <f>IFERROR(__xludf.DUMMYFUNCTION("""COMPUTED_VALUE"""),"Luka Doncic")</f>
        <v>Luka Doncic</v>
      </c>
      <c r="C2967" s="162" t="str">
        <f>IFERROR(__xludf.DUMMYFUNCTION("""COMPUTED_VALUE"""),"2018-19")</f>
        <v>2018-19</v>
      </c>
      <c r="D2967" s="163" t="str">
        <f>IFERROR(__xludf.DUMMYFUNCTION("""COMPUTED_VALUE"""),"DAL")</f>
        <v>DAL</v>
      </c>
      <c r="E2967" s="164" t="str">
        <f>IFERROR(__xludf.DUMMYFUNCTION("""COMPUTED_VALUE"""),"Shot Creator")</f>
        <v>Shot Creator</v>
      </c>
      <c r="F2967" s="164">
        <f>IFERROR(__xludf.DUMMYFUNCTION("""COMPUTED_VALUE"""),2317.74)</f>
        <v>2317.74</v>
      </c>
      <c r="G2967" s="163">
        <f>IFERROR(__xludf.DUMMYFUNCTION("""COMPUTED_VALUE"""),72.0)</f>
        <v>72</v>
      </c>
      <c r="H2967" s="163" t="str">
        <f>IFERROR(__xludf.DUMMYFUNCTION("""COMPUTED_VALUE"""),"SG")</f>
        <v>SG</v>
      </c>
      <c r="I2967" s="163">
        <f>IFERROR(__xludf.DUMMYFUNCTION("""COMPUTED_VALUE"""),19.0)</f>
        <v>19</v>
      </c>
      <c r="J2967" s="165">
        <f>IFERROR(__xludf.DUMMYFUNCTION("""COMPUTED_VALUE"""),1.67031675032653)</f>
        <v>1.67031675</v>
      </c>
      <c r="K2967" s="165">
        <f>IFERROR(__xludf.DUMMYFUNCTION("""COMPUTED_VALUE"""),2.21121509705378)</f>
        <v>2.211215097</v>
      </c>
      <c r="L2967" s="165">
        <f>IFERROR(__xludf.DUMMYFUNCTION("""COMPUTED_VALUE"""),-0.540898346727256)</f>
        <v>-0.5408983467</v>
      </c>
      <c r="M2967" s="166">
        <f t="shared" si="2"/>
        <v>6.17314483</v>
      </c>
      <c r="N2967" s="167">
        <f t="shared" si="3"/>
        <v>32.19083333</v>
      </c>
      <c r="O2967" s="163">
        <f t="shared" ref="O2967:Q2967" si="2971">rank(I2967,I:I)</f>
        <v>3945</v>
      </c>
      <c r="P2967" s="163">
        <f t="shared" si="2971"/>
        <v>407</v>
      </c>
      <c r="Q2967" s="163">
        <f t="shared" si="2971"/>
        <v>198</v>
      </c>
      <c r="R2967" s="163">
        <f>IFERROR(__xludf.DUMMYFUNCTION("RANK(M2967,filter(M:M,C:C=C2967))"),43.0)</f>
        <v>43</v>
      </c>
      <c r="S2967" s="161" t="b">
        <f t="shared" si="5"/>
        <v>0</v>
      </c>
      <c r="T2967" s="161" t="b">
        <f t="array" ref="T2967">index('Query Tool'!B:B,match(H2967,'Query Tool'!C:C,0))</f>
        <v>1</v>
      </c>
      <c r="U2967" s="161" t="b">
        <f t="array" ref="U2967">index('Query Tool'!B:B,match(C2967,'Query Tool'!C:C,0))</f>
        <v>0</v>
      </c>
      <c r="V2967" s="161" t="b">
        <f>F2967&gt;='Query Tool'!C$32</f>
        <v>1</v>
      </c>
      <c r="W2967" s="161" t="b">
        <f t="array" ref="W2967">index(Dropdowns!B:B,match(I2967,Dropdowns!A:A,0))</f>
        <v>1</v>
      </c>
      <c r="X2967" s="161" t="b">
        <f t="array" ref="X2967">index('Query Tool'!B:B,match(D2967,'Query Tool'!C:C,0))</f>
        <v>1</v>
      </c>
      <c r="Y2967" s="161" t="str">
        <f t="shared" si="6"/>
        <v>doncilu01,2018-19</v>
      </c>
      <c r="Z2967" s="168">
        <f t="array" ref="Z2967">iferror(index(I:I,match($A2967&amp;","&amp;index('Year Conversion'!$A:$A,match($C2967,'Year Conversion'!$B:$B,0)),$Y:$Y,0))-I2967,"")</f>
        <v>1</v>
      </c>
      <c r="AA2967" s="168">
        <f t="array" ref="AA2967">iferror(index(J:J,match($A2967&amp;","&amp;index('Year Conversion'!$A:$A,match($C2967,'Year Conversion'!$B:$B,0)),$Y:$Y,0))-J2967,"")</f>
        <v>3.14147811</v>
      </c>
      <c r="AB2967" s="168">
        <f t="array" ref="AB2967">iferror(index(K:K,match($A2967&amp;","&amp;index('Year Conversion'!$A:$A,match($C2967,'Year Conversion'!$B:$B,0)),$Y:$Y,0))-K2967,"")</f>
        <v>3.524951591</v>
      </c>
      <c r="AC2967" s="168" t="str">
        <f t="shared" si="7"/>
        <v>DAL,2018-19</v>
      </c>
    </row>
    <row r="2968">
      <c r="A2968" s="161" t="str">
        <f>IFERROR(__xludf.DUMMYFUNCTION("""COMPUTED_VALUE"""),"pinsoth01")</f>
        <v>pinsoth01</v>
      </c>
      <c r="B2968" s="161" t="str">
        <f>IFERROR(__xludf.DUMMYFUNCTION("""COMPUTED_VALUE"""),"Theo Pinson")</f>
        <v>Theo Pinson</v>
      </c>
      <c r="C2968" s="162" t="str">
        <f>IFERROR(__xludf.DUMMYFUNCTION("""COMPUTED_VALUE"""),"2018-19")</f>
        <v>2018-19</v>
      </c>
      <c r="D2968" s="163" t="str">
        <f>IFERROR(__xludf.DUMMYFUNCTION("""COMPUTED_VALUE"""),"BRK")</f>
        <v>BRK</v>
      </c>
      <c r="E2968" s="164" t="str">
        <f>IFERROR(__xludf.DUMMYFUNCTION("""COMPUTED_VALUE"""),"Secondary Ball Handler")</f>
        <v>Secondary Ball Handler</v>
      </c>
      <c r="F2968" s="164">
        <f>IFERROR(__xludf.DUMMYFUNCTION("""COMPUTED_VALUE"""),211.373333333333)</f>
        <v>211.3733333</v>
      </c>
      <c r="G2968" s="163">
        <f>IFERROR(__xludf.DUMMYFUNCTION("""COMPUTED_VALUE"""),18.0)</f>
        <v>18</v>
      </c>
      <c r="H2968" s="163" t="str">
        <f>IFERROR(__xludf.DUMMYFUNCTION("""COMPUTED_VALUE"""),"SG")</f>
        <v>SG</v>
      </c>
      <c r="I2968" s="163">
        <f>IFERROR(__xludf.DUMMYFUNCTION("""COMPUTED_VALUE"""),23.0)</f>
        <v>23</v>
      </c>
      <c r="J2968" s="165">
        <f>IFERROR(__xludf.DUMMYFUNCTION("""COMPUTED_VALUE"""),-0.749139028453274)</f>
        <v>-0.7491390285</v>
      </c>
      <c r="K2968" s="165">
        <f>IFERROR(__xludf.DUMMYFUNCTION("""COMPUTED_VALUE"""),-0.393571469939503)</f>
        <v>-0.3935714699</v>
      </c>
      <c r="L2968" s="165">
        <f>IFERROR(__xludf.DUMMYFUNCTION("""COMPUTED_VALUE"""),-0.355567558513771)</f>
        <v>-0.3555675585</v>
      </c>
      <c r="M2968" s="166">
        <f t="shared" si="2"/>
        <v>0.2191937562</v>
      </c>
      <c r="N2968" s="167">
        <f t="shared" si="3"/>
        <v>11.74296296</v>
      </c>
      <c r="O2968" s="163">
        <f t="shared" ref="O2968:Q2968" si="2972">rank(I2968,I:I)</f>
        <v>2765</v>
      </c>
      <c r="P2968" s="163">
        <f t="shared" si="2972"/>
        <v>2215</v>
      </c>
      <c r="Q2968" s="163">
        <f t="shared" si="2972"/>
        <v>1934</v>
      </c>
      <c r="R2968" s="163">
        <f>IFERROR(__xludf.DUMMYFUNCTION("RANK(M2968,filter(M:M,C:C=C2968))"),340.0)</f>
        <v>340</v>
      </c>
      <c r="S2968" s="161" t="b">
        <f t="shared" si="5"/>
        <v>0</v>
      </c>
      <c r="T2968" s="161" t="b">
        <f t="array" ref="T2968">index('Query Tool'!B:B,match(H2968,'Query Tool'!C:C,0))</f>
        <v>1</v>
      </c>
      <c r="U2968" s="161" t="b">
        <f t="array" ref="U2968">index('Query Tool'!B:B,match(C2968,'Query Tool'!C:C,0))</f>
        <v>0</v>
      </c>
      <c r="V2968" s="161" t="b">
        <f>F2968&gt;='Query Tool'!C$32</f>
        <v>0</v>
      </c>
      <c r="W2968" s="161" t="b">
        <f t="array" ref="W2968">index(Dropdowns!B:B,match(I2968,Dropdowns!A:A,0))</f>
        <v>1</v>
      </c>
      <c r="X2968" s="161" t="b">
        <f t="array" ref="X2968">index('Query Tool'!B:B,match(D2968,'Query Tool'!C:C,0))</f>
        <v>1</v>
      </c>
      <c r="Y2968" s="161" t="str">
        <f t="shared" si="6"/>
        <v>pinsoth01,2018-19</v>
      </c>
      <c r="Z2968" s="168">
        <f t="array" ref="Z2968">iferror(index(I:I,match($A2968&amp;","&amp;index('Year Conversion'!$A:$A,match($C2968,'Year Conversion'!$B:$B,0)),$Y:$Y,0))-I2968,"")</f>
        <v>1</v>
      </c>
      <c r="AA2968" s="168">
        <f t="array" ref="AA2968">iferror(index(J:J,match($A2968&amp;","&amp;index('Year Conversion'!$A:$A,match($C2968,'Year Conversion'!$B:$B,0)),$Y:$Y,0))-J2968,"")</f>
        <v>-0.7659108714</v>
      </c>
      <c r="AB2968" s="168">
        <f t="array" ref="AB2968">iferror(index(K:K,match($A2968&amp;","&amp;index('Year Conversion'!$A:$A,match($C2968,'Year Conversion'!$B:$B,0)),$Y:$Y,0))-K2968,"")</f>
        <v>-1.070523861</v>
      </c>
      <c r="AC2968" s="168" t="str">
        <f t="shared" si="7"/>
        <v>BRK,2018-19</v>
      </c>
    </row>
    <row r="2969">
      <c r="A2969" s="161" t="str">
        <f>IFERROR(__xludf.DUMMYFUNCTION("""COMPUTED_VALUE"""),"spaldra01")</f>
        <v>spaldra01</v>
      </c>
      <c r="B2969" s="161" t="str">
        <f>IFERROR(__xludf.DUMMYFUNCTION("""COMPUTED_VALUE"""),"Ray Spalding")</f>
        <v>Ray Spalding</v>
      </c>
      <c r="C2969" s="162" t="str">
        <f>IFERROR(__xludf.DUMMYFUNCTION("""COMPUTED_VALUE"""),"2018-19")</f>
        <v>2018-19</v>
      </c>
      <c r="D2969" s="163" t="str">
        <f>IFERROR(__xludf.DUMMYFUNCTION("""COMPUTED_VALUE"""),"TOT")</f>
        <v>TOT</v>
      </c>
      <c r="E2969" s="164" t="str">
        <f>IFERROR(__xludf.DUMMYFUNCTION("""COMPUTED_VALUE"""),"Roll + Cut Big")</f>
        <v>Roll + Cut Big</v>
      </c>
      <c r="F2969" s="164">
        <f>IFERROR(__xludf.DUMMYFUNCTION("""COMPUTED_VALUE"""),147.626666666667)</f>
        <v>147.6266667</v>
      </c>
      <c r="G2969" s="163">
        <f>IFERROR(__xludf.DUMMYFUNCTION("""COMPUTED_VALUE"""),14.0)</f>
        <v>14</v>
      </c>
      <c r="H2969" s="163" t="str">
        <f>IFERROR(__xludf.DUMMYFUNCTION("""COMPUTED_VALUE"""),"PF")</f>
        <v>PF</v>
      </c>
      <c r="I2969" s="163">
        <f>IFERROR(__xludf.DUMMYFUNCTION("""COMPUTED_VALUE"""),21.0)</f>
        <v>21</v>
      </c>
      <c r="J2969" s="165">
        <f>IFERROR(__xludf.DUMMYFUNCTION("""COMPUTED_VALUE"""),-0.0672221157104996)</f>
        <v>-0.06722211571</v>
      </c>
      <c r="K2969" s="165">
        <f>IFERROR(__xludf.DUMMYFUNCTION("""COMPUTED_VALUE"""),-0.573740418505647)</f>
        <v>-0.5737404185</v>
      </c>
      <c r="L2969" s="165">
        <f>IFERROR(__xludf.DUMMYFUNCTION("""COMPUTED_VALUE"""),0.506518302795147)</f>
        <v>0.5065183028</v>
      </c>
      <c r="M2969" s="166">
        <f t="shared" si="2"/>
        <v>0.2209006438</v>
      </c>
      <c r="N2969" s="167">
        <f t="shared" si="3"/>
        <v>10.5447619</v>
      </c>
      <c r="O2969" s="163">
        <f t="shared" ref="O2969:Q2969" si="2973">rank(I2969,I:I)</f>
        <v>3528</v>
      </c>
      <c r="P2969" s="163">
        <f t="shared" si="2973"/>
        <v>1355</v>
      </c>
      <c r="Q2969" s="163">
        <f t="shared" si="2973"/>
        <v>2222</v>
      </c>
      <c r="R2969" s="163">
        <f>IFERROR(__xludf.DUMMYFUNCTION("RANK(M2969,filter(M:M,C:C=C2969))"),339.0)</f>
        <v>339</v>
      </c>
      <c r="S2969" s="161" t="b">
        <f t="shared" si="5"/>
        <v>0</v>
      </c>
      <c r="T2969" s="161" t="b">
        <f t="array" ref="T2969">index('Query Tool'!B:B,match(H2969,'Query Tool'!C:C,0))</f>
        <v>1</v>
      </c>
      <c r="U2969" s="161" t="b">
        <f t="array" ref="U2969">index('Query Tool'!B:B,match(C2969,'Query Tool'!C:C,0))</f>
        <v>0</v>
      </c>
      <c r="V2969" s="161" t="b">
        <f>F2969&gt;='Query Tool'!C$32</f>
        <v>0</v>
      </c>
      <c r="W2969" s="161" t="b">
        <f t="array" ref="W2969">index(Dropdowns!B:B,match(I2969,Dropdowns!A:A,0))</f>
        <v>1</v>
      </c>
      <c r="X2969" s="161" t="b">
        <f t="array" ref="X2969">index('Query Tool'!B:B,match(D2969,'Query Tool'!C:C,0))</f>
        <v>1</v>
      </c>
      <c r="Y2969" s="161" t="str">
        <f t="shared" si="6"/>
        <v>spaldra01,2018-19</v>
      </c>
      <c r="Z2969" s="168" t="str">
        <f t="array" ref="Z2969">iferror(index(I:I,match($A2969&amp;","&amp;index('Year Conversion'!$A:$A,match($C2969,'Year Conversion'!$B:$B,0)),$Y:$Y,0))-I2969,"")</f>
        <v/>
      </c>
      <c r="AA2969" s="168" t="str">
        <f t="array" ref="AA2969">iferror(index(J:J,match($A2969&amp;","&amp;index('Year Conversion'!$A:$A,match($C2969,'Year Conversion'!$B:$B,0)),$Y:$Y,0))-J2969,"")</f>
        <v/>
      </c>
      <c r="AB2969" s="168" t="str">
        <f t="array" ref="AB2969">iferror(index(K:K,match($A2969&amp;","&amp;index('Year Conversion'!$A:$A,match($C2969,'Year Conversion'!$B:$B,0)),$Y:$Y,0))-K2969,"")</f>
        <v/>
      </c>
      <c r="AC2969" s="168" t="str">
        <f t="shared" si="7"/>
        <v>TOT,2018-19</v>
      </c>
    </row>
    <row r="2970">
      <c r="A2970" s="161" t="str">
        <f>IFERROR(__xludf.DUMMYFUNCTION("""COMPUTED_VALUE"""),"colsobo01")</f>
        <v>colsobo01</v>
      </c>
      <c r="B2970" s="161" t="str">
        <f>IFERROR(__xludf.DUMMYFUNCTION("""COMPUTED_VALUE"""),"Bonzie Colson")</f>
        <v>Bonzie Colson</v>
      </c>
      <c r="C2970" s="162" t="str">
        <f>IFERROR(__xludf.DUMMYFUNCTION("""COMPUTED_VALUE"""),"2018-19")</f>
        <v>2018-19</v>
      </c>
      <c r="D2970" s="163" t="str">
        <f>IFERROR(__xludf.DUMMYFUNCTION("""COMPUTED_VALUE"""),"MIL")</f>
        <v>MIL</v>
      </c>
      <c r="E2970" s="164" t="str">
        <f>IFERROR(__xludf.DUMMYFUNCTION("""COMPUTED_VALUE"""),"Athletic Finisher")</f>
        <v>Athletic Finisher</v>
      </c>
      <c r="F2970" s="164">
        <f>IFERROR(__xludf.DUMMYFUNCTION("""COMPUTED_VALUE"""),98.4766666666666)</f>
        <v>98.47666667</v>
      </c>
      <c r="G2970" s="163">
        <f>IFERROR(__xludf.DUMMYFUNCTION("""COMPUTED_VALUE"""),8.0)</f>
        <v>8</v>
      </c>
      <c r="H2970" s="163" t="str">
        <f>IFERROR(__xludf.DUMMYFUNCTION("""COMPUTED_VALUE"""),"SF")</f>
        <v>SF</v>
      </c>
      <c r="I2970" s="163">
        <f>IFERROR(__xludf.DUMMYFUNCTION("""COMPUTED_VALUE"""),23.0)</f>
        <v>23</v>
      </c>
      <c r="J2970" s="165">
        <f>IFERROR(__xludf.DUMMYFUNCTION("""COMPUTED_VALUE"""),-0.463947428065181)</f>
        <v>-0.4639474281</v>
      </c>
      <c r="K2970" s="165">
        <f>IFERROR(__xludf.DUMMYFUNCTION("""COMPUTED_VALUE"""),0.136555219354368)</f>
        <v>0.1365552194</v>
      </c>
      <c r="L2970" s="165">
        <f>IFERROR(__xludf.DUMMYFUNCTION("""COMPUTED_VALUE"""),-0.600502647419549)</f>
        <v>-0.6005026474</v>
      </c>
      <c r="M2970" s="166">
        <f t="shared" si="2"/>
        <v>0.1210250199</v>
      </c>
      <c r="N2970" s="167">
        <f t="shared" si="3"/>
        <v>12.30958333</v>
      </c>
      <c r="O2970" s="163">
        <f t="shared" ref="O2970:Q2970" si="2974">rank(I2970,I:I)</f>
        <v>2765</v>
      </c>
      <c r="P2970" s="163">
        <f t="shared" si="2974"/>
        <v>1796</v>
      </c>
      <c r="Q2970" s="163">
        <f t="shared" si="2974"/>
        <v>1036</v>
      </c>
      <c r="R2970" s="163">
        <f>IFERROR(__xludf.DUMMYFUNCTION("RANK(M2970,filter(M:M,C:C=C2970))"),379.0)</f>
        <v>379</v>
      </c>
      <c r="S2970" s="161" t="b">
        <f t="shared" si="5"/>
        <v>0</v>
      </c>
      <c r="T2970" s="161" t="b">
        <f t="array" ref="T2970">index('Query Tool'!B:B,match(H2970,'Query Tool'!C:C,0))</f>
        <v>1</v>
      </c>
      <c r="U2970" s="161" t="b">
        <f t="array" ref="U2970">index('Query Tool'!B:B,match(C2970,'Query Tool'!C:C,0))</f>
        <v>0</v>
      </c>
      <c r="V2970" s="161" t="b">
        <f>F2970&gt;='Query Tool'!C$32</f>
        <v>0</v>
      </c>
      <c r="W2970" s="161" t="b">
        <f t="array" ref="W2970">index(Dropdowns!B:B,match(I2970,Dropdowns!A:A,0))</f>
        <v>1</v>
      </c>
      <c r="X2970" s="161" t="b">
        <f t="array" ref="X2970">index('Query Tool'!B:B,match(D2970,'Query Tool'!C:C,0))</f>
        <v>1</v>
      </c>
      <c r="Y2970" s="161" t="str">
        <f t="shared" si="6"/>
        <v>colsobo01,2018-19</v>
      </c>
      <c r="Z2970" s="168" t="str">
        <f t="array" ref="Z2970">iferror(index(I:I,match($A2970&amp;","&amp;index('Year Conversion'!$A:$A,match($C2970,'Year Conversion'!$B:$B,0)),$Y:$Y,0))-I2970,"")</f>
        <v/>
      </c>
      <c r="AA2970" s="168" t="str">
        <f t="array" ref="AA2970">iferror(index(J:J,match($A2970&amp;","&amp;index('Year Conversion'!$A:$A,match($C2970,'Year Conversion'!$B:$B,0)),$Y:$Y,0))-J2970,"")</f>
        <v/>
      </c>
      <c r="AB2970" s="168" t="str">
        <f t="array" ref="AB2970">iferror(index(K:K,match($A2970&amp;","&amp;index('Year Conversion'!$A:$A,match($C2970,'Year Conversion'!$B:$B,0)),$Y:$Y,0))-K2970,"")</f>
        <v/>
      </c>
      <c r="AC2970" s="168" t="str">
        <f t="shared" si="7"/>
        <v>MIL,2018-19</v>
      </c>
    </row>
    <row r="2971">
      <c r="A2971" s="161" t="str">
        <f>IFERROR(__xludf.DUMMYFUNCTION("""COMPUTED_VALUE"""),"edwarvi01")</f>
        <v>edwarvi01</v>
      </c>
      <c r="B2971" s="161" t="str">
        <f>IFERROR(__xludf.DUMMYFUNCTION("""COMPUTED_VALUE"""),"Vincent Edwards")</f>
        <v>Vincent Edwards</v>
      </c>
      <c r="C2971" s="162" t="str">
        <f>IFERROR(__xludf.DUMMYFUNCTION("""COMPUTED_VALUE"""),"2018-19")</f>
        <v>2018-19</v>
      </c>
      <c r="D2971" s="163" t="str">
        <f>IFERROR(__xludf.DUMMYFUNCTION("""COMPUTED_VALUE"""),"HOU")</f>
        <v>HOU</v>
      </c>
      <c r="E2971" s="164" t="str">
        <f>IFERROR(__xludf.DUMMYFUNCTION("""COMPUTED_VALUE"""),"Movement Shooter")</f>
        <v>Movement Shooter</v>
      </c>
      <c r="F2971" s="164">
        <f>IFERROR(__xludf.DUMMYFUNCTION("""COMPUTED_VALUE"""),15.7166666666667)</f>
        <v>15.71666667</v>
      </c>
      <c r="G2971" s="163">
        <f>IFERROR(__xludf.DUMMYFUNCTION("""COMPUTED_VALUE"""),2.0)</f>
        <v>2</v>
      </c>
      <c r="H2971" s="163" t="str">
        <f>IFERROR(__xludf.DUMMYFUNCTION("""COMPUTED_VALUE"""),"SF")</f>
        <v>SF</v>
      </c>
      <c r="I2971" s="163">
        <f>IFERROR(__xludf.DUMMYFUNCTION("""COMPUTED_VALUE"""),22.0)</f>
        <v>22</v>
      </c>
      <c r="J2971" s="165">
        <f>IFERROR(__xludf.DUMMYFUNCTION("""COMPUTED_VALUE"""),-0.79263078080666)</f>
        <v>-0.7926307808</v>
      </c>
      <c r="K2971" s="165">
        <f>IFERROR(__xludf.DUMMYFUNCTION("""COMPUTED_VALUE"""),-0.0680462086398512)</f>
        <v>-0.06804620864</v>
      </c>
      <c r="L2971" s="165">
        <f>IFERROR(__xludf.DUMMYFUNCTION("""COMPUTED_VALUE"""),-0.724584572166808)</f>
        <v>-0.7245845722</v>
      </c>
      <c r="M2971" s="166">
        <f t="shared" si="2"/>
        <v>0.01583845471</v>
      </c>
      <c r="N2971" s="167">
        <f t="shared" si="3"/>
        <v>7.858333333</v>
      </c>
      <c r="O2971" s="163">
        <f t="shared" ref="O2971:Q2971" si="2975">rank(I2971,I:I)</f>
        <v>3178</v>
      </c>
      <c r="P2971" s="163">
        <f t="shared" si="2975"/>
        <v>2263</v>
      </c>
      <c r="Q2971" s="163">
        <f t="shared" si="2975"/>
        <v>1303</v>
      </c>
      <c r="R2971" s="163">
        <f>IFERROR(__xludf.DUMMYFUNCTION("RANK(M2971,filter(M:M,C:C=C2971))"),457.0)</f>
        <v>457</v>
      </c>
      <c r="S2971" s="161" t="b">
        <f t="shared" si="5"/>
        <v>0</v>
      </c>
      <c r="T2971" s="161" t="b">
        <f t="array" ref="T2971">index('Query Tool'!B:B,match(H2971,'Query Tool'!C:C,0))</f>
        <v>1</v>
      </c>
      <c r="U2971" s="161" t="b">
        <f t="array" ref="U2971">index('Query Tool'!B:B,match(C2971,'Query Tool'!C:C,0))</f>
        <v>0</v>
      </c>
      <c r="V2971" s="161" t="b">
        <f>F2971&gt;='Query Tool'!C$32</f>
        <v>0</v>
      </c>
      <c r="W2971" s="161" t="b">
        <f t="array" ref="W2971">index(Dropdowns!B:B,match(I2971,Dropdowns!A:A,0))</f>
        <v>1</v>
      </c>
      <c r="X2971" s="161" t="b">
        <f t="array" ref="X2971">index('Query Tool'!B:B,match(D2971,'Query Tool'!C:C,0))</f>
        <v>1</v>
      </c>
      <c r="Y2971" s="161" t="str">
        <f t="shared" si="6"/>
        <v>edwarvi01,2018-19</v>
      </c>
      <c r="Z2971" s="168" t="str">
        <f t="array" ref="Z2971">iferror(index(I:I,match($A2971&amp;","&amp;index('Year Conversion'!$A:$A,match($C2971,'Year Conversion'!$B:$B,0)),$Y:$Y,0))-I2971,"")</f>
        <v/>
      </c>
      <c r="AA2971" s="168" t="str">
        <f t="array" ref="AA2971">iferror(index(J:J,match($A2971&amp;","&amp;index('Year Conversion'!$A:$A,match($C2971,'Year Conversion'!$B:$B,0)),$Y:$Y,0))-J2971,"")</f>
        <v/>
      </c>
      <c r="AB2971" s="168" t="str">
        <f t="array" ref="AB2971">iferror(index(K:K,match($A2971&amp;","&amp;index('Year Conversion'!$A:$A,match($C2971,'Year Conversion'!$B:$B,0)),$Y:$Y,0))-K2971,"")</f>
        <v/>
      </c>
      <c r="AC2971" s="168" t="str">
        <f t="shared" si="7"/>
        <v>HOU,2018-19</v>
      </c>
    </row>
    <row r="2972">
      <c r="A2972" s="161" t="str">
        <f>IFERROR(__xludf.DUMMYFUNCTION("""COMPUTED_VALUE"""),"grantdo01")</f>
        <v>grantdo01</v>
      </c>
      <c r="B2972" s="161" t="str">
        <f>IFERROR(__xludf.DUMMYFUNCTION("""COMPUTED_VALUE"""),"Donte Grantham")</f>
        <v>Donte Grantham</v>
      </c>
      <c r="C2972" s="162" t="str">
        <f>IFERROR(__xludf.DUMMYFUNCTION("""COMPUTED_VALUE"""),"2018-19")</f>
        <v>2018-19</v>
      </c>
      <c r="D2972" s="163" t="str">
        <f>IFERROR(__xludf.DUMMYFUNCTION("""COMPUTED_VALUE"""),"OKC")</f>
        <v>OKC</v>
      </c>
      <c r="E2972" s="164" t="str">
        <f>IFERROR(__xludf.DUMMYFUNCTION("""COMPUTED_VALUE"""),"Low Minutes")</f>
        <v>Low Minutes</v>
      </c>
      <c r="F2972" s="164">
        <f>IFERROR(__xludf.DUMMYFUNCTION("""COMPUTED_VALUE"""),2.43166666666667)</f>
        <v>2.431666667</v>
      </c>
      <c r="G2972" s="163">
        <f>IFERROR(__xludf.DUMMYFUNCTION("""COMPUTED_VALUE"""),3.0)</f>
        <v>3</v>
      </c>
      <c r="H2972" s="163" t="str">
        <f>IFERROR(__xludf.DUMMYFUNCTION("""COMPUTED_VALUE"""),"SF")</f>
        <v>SF</v>
      </c>
      <c r="I2972" s="163">
        <f>IFERROR(__xludf.DUMMYFUNCTION("""COMPUTED_VALUE"""),23.0)</f>
        <v>23</v>
      </c>
      <c r="J2972" s="165">
        <f>IFERROR(__xludf.DUMMYFUNCTION("""COMPUTED_VALUE"""),-0.592720914125381)</f>
        <v>-0.5927209141</v>
      </c>
      <c r="K2972" s="165">
        <f>IFERROR(__xludf.DUMMYFUNCTION("""COMPUTED_VALUE"""),-0.11802607276972)</f>
        <v>-0.1180260728</v>
      </c>
      <c r="L2972" s="165">
        <f>IFERROR(__xludf.DUMMYFUNCTION("""COMPUTED_VALUE"""),-0.474694841355661)</f>
        <v>-0.4746948414</v>
      </c>
      <c r="M2972" s="166">
        <f t="shared" si="2"/>
        <v>0.002777583833</v>
      </c>
      <c r="N2972" s="167">
        <f t="shared" si="3"/>
        <v>0.8105555556</v>
      </c>
      <c r="O2972" s="163">
        <f t="shared" ref="O2972:Q2972" si="2976">rank(I2972,I:I)</f>
        <v>2765</v>
      </c>
      <c r="P2972" s="163">
        <f t="shared" si="2976"/>
        <v>1983</v>
      </c>
      <c r="Q2972" s="163">
        <f t="shared" si="2976"/>
        <v>1402</v>
      </c>
      <c r="R2972" s="163">
        <f>IFERROR(__xludf.DUMMYFUNCTION("RANK(M2972,filter(M:M,C:C=C2972))"),474.0)</f>
        <v>474</v>
      </c>
      <c r="S2972" s="161" t="b">
        <f t="shared" si="5"/>
        <v>0</v>
      </c>
      <c r="T2972" s="161" t="b">
        <f t="array" ref="T2972">index('Query Tool'!B:B,match(H2972,'Query Tool'!C:C,0))</f>
        <v>1</v>
      </c>
      <c r="U2972" s="161" t="b">
        <f t="array" ref="U2972">index('Query Tool'!B:B,match(C2972,'Query Tool'!C:C,0))</f>
        <v>0</v>
      </c>
      <c r="V2972" s="161" t="b">
        <f>F2972&gt;='Query Tool'!C$32</f>
        <v>0</v>
      </c>
      <c r="W2972" s="161" t="b">
        <f t="array" ref="W2972">index(Dropdowns!B:B,match(I2972,Dropdowns!A:A,0))</f>
        <v>1</v>
      </c>
      <c r="X2972" s="161" t="b">
        <f t="array" ref="X2972">index('Query Tool'!B:B,match(D2972,'Query Tool'!C:C,0))</f>
        <v>1</v>
      </c>
      <c r="Y2972" s="161" t="str">
        <f t="shared" si="6"/>
        <v>grantdo01,2018-19</v>
      </c>
      <c r="Z2972" s="168" t="str">
        <f t="array" ref="Z2972">iferror(index(I:I,match($A2972&amp;","&amp;index('Year Conversion'!$A:$A,match($C2972,'Year Conversion'!$B:$B,0)),$Y:$Y,0))-I2972,"")</f>
        <v/>
      </c>
      <c r="AA2972" s="168" t="str">
        <f t="array" ref="AA2972">iferror(index(J:J,match($A2972&amp;","&amp;index('Year Conversion'!$A:$A,match($C2972,'Year Conversion'!$B:$B,0)),$Y:$Y,0))-J2972,"")</f>
        <v/>
      </c>
      <c r="AB2972" s="168" t="str">
        <f t="array" ref="AB2972">iferror(index(K:K,match($A2972&amp;","&amp;index('Year Conversion'!$A:$A,match($C2972,'Year Conversion'!$B:$B,0)),$Y:$Y,0))-K2972,"")</f>
        <v/>
      </c>
      <c r="AC2972" s="168" t="str">
        <f t="shared" si="7"/>
        <v>OKC,2018-19</v>
      </c>
    </row>
    <row r="2973">
      <c r="A2973" s="161" t="str">
        <f>IFERROR(__xludf.DUMMYFUNCTION("""COMPUTED_VALUE"""),"williro04")</f>
        <v>williro04</v>
      </c>
      <c r="B2973" s="161" t="str">
        <f>IFERROR(__xludf.DUMMYFUNCTION("""COMPUTED_VALUE"""),"Robert Williams III")</f>
        <v>Robert Williams III</v>
      </c>
      <c r="C2973" s="162" t="str">
        <f>IFERROR(__xludf.DUMMYFUNCTION("""COMPUTED_VALUE"""),"2018-19")</f>
        <v>2018-19</v>
      </c>
      <c r="D2973" s="163" t="str">
        <f>IFERROR(__xludf.DUMMYFUNCTION("""COMPUTED_VALUE"""),"BOS")</f>
        <v>BOS</v>
      </c>
      <c r="E2973" s="164" t="str">
        <f>IFERROR(__xludf.DUMMYFUNCTION("""COMPUTED_VALUE"""),"Roll + Cut Big")</f>
        <v>Roll + Cut Big</v>
      </c>
      <c r="F2973" s="164">
        <f>IFERROR(__xludf.DUMMYFUNCTION("""COMPUTED_VALUE"""),282.84)</f>
        <v>282.84</v>
      </c>
      <c r="G2973" s="163">
        <f>IFERROR(__xludf.DUMMYFUNCTION("""COMPUTED_VALUE"""),32.0)</f>
        <v>32</v>
      </c>
      <c r="H2973" s="163" t="str">
        <f>IFERROR(__xludf.DUMMYFUNCTION("""COMPUTED_VALUE"""),"C")</f>
        <v>C</v>
      </c>
      <c r="I2973" s="163">
        <f>IFERROR(__xludf.DUMMYFUNCTION("""COMPUTED_VALUE"""),21.0)</f>
        <v>21</v>
      </c>
      <c r="J2973" s="165">
        <f>IFERROR(__xludf.DUMMYFUNCTION("""COMPUTED_VALUE"""),0.626068240377749)</f>
        <v>0.6260682404</v>
      </c>
      <c r="K2973" s="165">
        <f>IFERROR(__xludf.DUMMYFUNCTION("""COMPUTED_VALUE"""),-1.86901337475933)</f>
        <v>-1.869013375</v>
      </c>
      <c r="L2973" s="165">
        <f>IFERROR(__xludf.DUMMYFUNCTION("""COMPUTED_VALUE"""),2.49508161513708)</f>
        <v>2.495081615</v>
      </c>
      <c r="M2973" s="166">
        <f t="shared" si="2"/>
        <v>0.5553636425</v>
      </c>
      <c r="N2973" s="167">
        <f t="shared" si="3"/>
        <v>8.83875</v>
      </c>
      <c r="O2973" s="163">
        <f t="shared" ref="O2973:Q2973" si="2977">rank(I2973,I:I)</f>
        <v>3528</v>
      </c>
      <c r="P2973" s="163">
        <f t="shared" si="2977"/>
        <v>833</v>
      </c>
      <c r="Q2973" s="163">
        <f t="shared" si="2977"/>
        <v>3622</v>
      </c>
      <c r="R2973" s="163">
        <f>IFERROR(__xludf.DUMMYFUNCTION("RANK(M2973,filter(M:M,C:C=C2973))"),278.0)</f>
        <v>278</v>
      </c>
      <c r="S2973" s="161" t="b">
        <f t="shared" si="5"/>
        <v>0</v>
      </c>
      <c r="T2973" s="161" t="b">
        <f t="array" ref="T2973">index('Query Tool'!B:B,match(H2973,'Query Tool'!C:C,0))</f>
        <v>1</v>
      </c>
      <c r="U2973" s="161" t="b">
        <f t="array" ref="U2973">index('Query Tool'!B:B,match(C2973,'Query Tool'!C:C,0))</f>
        <v>0</v>
      </c>
      <c r="V2973" s="161" t="b">
        <f>F2973&gt;='Query Tool'!C$32</f>
        <v>0</v>
      </c>
      <c r="W2973" s="161" t="b">
        <f t="array" ref="W2973">index(Dropdowns!B:B,match(I2973,Dropdowns!A:A,0))</f>
        <v>1</v>
      </c>
      <c r="X2973" s="161" t="b">
        <f t="array" ref="X2973">index('Query Tool'!B:B,match(D2973,'Query Tool'!C:C,0))</f>
        <v>1</v>
      </c>
      <c r="Y2973" s="161" t="str">
        <f t="shared" si="6"/>
        <v>williro04,2018-19</v>
      </c>
      <c r="Z2973" s="168">
        <f t="array" ref="Z2973">iferror(index(I:I,match($A2973&amp;","&amp;index('Year Conversion'!$A:$A,match($C2973,'Year Conversion'!$B:$B,0)),$Y:$Y,0))-I2973,"")</f>
        <v>1</v>
      </c>
      <c r="AA2973" s="168">
        <f t="array" ref="AA2973">iferror(index(J:J,match($A2973&amp;","&amp;index('Year Conversion'!$A:$A,match($C2973,'Year Conversion'!$B:$B,0)),$Y:$Y,0))-J2973,"")</f>
        <v>0.9317325368</v>
      </c>
      <c r="AB2973" s="168">
        <f t="array" ref="AB2973">iferror(index(K:K,match($A2973&amp;","&amp;index('Year Conversion'!$A:$A,match($C2973,'Year Conversion'!$B:$B,0)),$Y:$Y,0))-K2973,"")</f>
        <v>1.496714472</v>
      </c>
      <c r="AC2973" s="168" t="str">
        <f t="shared" si="7"/>
        <v>BOS,2018-19</v>
      </c>
    </row>
    <row r="2974">
      <c r="A2974" s="161" t="str">
        <f>IFERROR(__xludf.DUMMYFUNCTION("""COMPUTED_VALUE"""),"musadz01")</f>
        <v>musadz01</v>
      </c>
      <c r="B2974" s="161" t="str">
        <f>IFERROR(__xludf.DUMMYFUNCTION("""COMPUTED_VALUE"""),"Dzanan Musa")</f>
        <v>Dzanan Musa</v>
      </c>
      <c r="C2974" s="162" t="str">
        <f>IFERROR(__xludf.DUMMYFUNCTION("""COMPUTED_VALUE"""),"2018-19")</f>
        <v>2018-19</v>
      </c>
      <c r="D2974" s="163" t="str">
        <f>IFERROR(__xludf.DUMMYFUNCTION("""COMPUTED_VALUE"""),"BRK")</f>
        <v>BRK</v>
      </c>
      <c r="E2974" s="164" t="str">
        <f>IFERROR(__xludf.DUMMYFUNCTION("""COMPUTED_VALUE"""),"Secondary Ball Handler")</f>
        <v>Secondary Ball Handler</v>
      </c>
      <c r="F2974" s="164">
        <f>IFERROR(__xludf.DUMMYFUNCTION("""COMPUTED_VALUE"""),39.2883333333333)</f>
        <v>39.28833333</v>
      </c>
      <c r="G2974" s="163">
        <f>IFERROR(__xludf.DUMMYFUNCTION("""COMPUTED_VALUE"""),9.0)</f>
        <v>9</v>
      </c>
      <c r="H2974" s="163" t="str">
        <f>IFERROR(__xludf.DUMMYFUNCTION("""COMPUTED_VALUE"""),"SG")</f>
        <v>SG</v>
      </c>
      <c r="I2974" s="163">
        <f>IFERROR(__xludf.DUMMYFUNCTION("""COMPUTED_VALUE"""),19.0)</f>
        <v>19</v>
      </c>
      <c r="J2974" s="165">
        <f>IFERROR(__xludf.DUMMYFUNCTION("""COMPUTED_VALUE"""),-0.0721621967824952)</f>
        <v>-0.07216219678</v>
      </c>
      <c r="K2974" s="165">
        <f>IFERROR(__xludf.DUMMYFUNCTION("""COMPUTED_VALUE"""),0.0812605305001785)</f>
        <v>0.0812605305</v>
      </c>
      <c r="L2974" s="165">
        <f>IFERROR(__xludf.DUMMYFUNCTION("""COMPUTED_VALUE"""),-0.153422727282674)</f>
        <v>-0.1534227273</v>
      </c>
      <c r="M2974" s="166">
        <f t="shared" si="2"/>
        <v>0.0586581103</v>
      </c>
      <c r="N2974" s="167">
        <f t="shared" si="3"/>
        <v>4.36537037</v>
      </c>
      <c r="O2974" s="163">
        <f t="shared" ref="O2974:Q2974" si="2978">rank(I2974,I:I)</f>
        <v>3945</v>
      </c>
      <c r="P2974" s="163">
        <f t="shared" si="2978"/>
        <v>1359</v>
      </c>
      <c r="Q2974" s="163">
        <f t="shared" si="2978"/>
        <v>1092</v>
      </c>
      <c r="R2974" s="163">
        <f>IFERROR(__xludf.DUMMYFUNCTION("RANK(M2974,filter(M:M,C:C=C2974))"),413.0)</f>
        <v>413</v>
      </c>
      <c r="S2974" s="161" t="b">
        <f t="shared" si="5"/>
        <v>0</v>
      </c>
      <c r="T2974" s="161" t="b">
        <f t="array" ref="T2974">index('Query Tool'!B:B,match(H2974,'Query Tool'!C:C,0))</f>
        <v>1</v>
      </c>
      <c r="U2974" s="161" t="b">
        <f t="array" ref="U2974">index('Query Tool'!B:B,match(C2974,'Query Tool'!C:C,0))</f>
        <v>0</v>
      </c>
      <c r="V2974" s="161" t="b">
        <f>F2974&gt;='Query Tool'!C$32</f>
        <v>0</v>
      </c>
      <c r="W2974" s="161" t="b">
        <f t="array" ref="W2974">index(Dropdowns!B:B,match(I2974,Dropdowns!A:A,0))</f>
        <v>1</v>
      </c>
      <c r="X2974" s="161" t="b">
        <f t="array" ref="X2974">index('Query Tool'!B:B,match(D2974,'Query Tool'!C:C,0))</f>
        <v>1</v>
      </c>
      <c r="Y2974" s="161" t="str">
        <f t="shared" si="6"/>
        <v>musadz01,2018-19</v>
      </c>
      <c r="Z2974" s="168">
        <f t="array" ref="Z2974">iferror(index(I:I,match($A2974&amp;","&amp;index('Year Conversion'!$A:$A,match($C2974,'Year Conversion'!$B:$B,0)),$Y:$Y,0))-I2974,"")</f>
        <v>1</v>
      </c>
      <c r="AA2974" s="168">
        <f t="array" ref="AA2974">iferror(index(J:J,match($A2974&amp;","&amp;index('Year Conversion'!$A:$A,match($C2974,'Year Conversion'!$B:$B,0)),$Y:$Y,0))-J2974,"")</f>
        <v>-1.595133902</v>
      </c>
      <c r="AB2974" s="168">
        <f t="array" ref="AB2974">iferror(index(K:K,match($A2974&amp;","&amp;index('Year Conversion'!$A:$A,match($C2974,'Year Conversion'!$B:$B,0)),$Y:$Y,0))-K2974,"")</f>
        <v>-1.355078444</v>
      </c>
      <c r="AC2974" s="168" t="str">
        <f t="shared" si="7"/>
        <v>BRK,2018-19</v>
      </c>
    </row>
    <row r="2975">
      <c r="A2975" s="161" t="str">
        <f>IFERROR(__xludf.DUMMYFUNCTION("""COMPUTED_VALUE"""),"okoboel01")</f>
        <v>okoboel01</v>
      </c>
      <c r="B2975" s="161" t="str">
        <f>IFERROR(__xludf.DUMMYFUNCTION("""COMPUTED_VALUE"""),"Elie Okobo")</f>
        <v>Elie Okobo</v>
      </c>
      <c r="C2975" s="162" t="str">
        <f>IFERROR(__xludf.DUMMYFUNCTION("""COMPUTED_VALUE"""),"2018-19")</f>
        <v>2018-19</v>
      </c>
      <c r="D2975" s="163" t="str">
        <f>IFERROR(__xludf.DUMMYFUNCTION("""COMPUTED_VALUE"""),"PHO")</f>
        <v>PHO</v>
      </c>
      <c r="E2975" s="164" t="str">
        <f>IFERROR(__xludf.DUMMYFUNCTION("""COMPUTED_VALUE"""),"Primary Ball Handler")</f>
        <v>Primary Ball Handler</v>
      </c>
      <c r="F2975" s="164">
        <f>IFERROR(__xludf.DUMMYFUNCTION("""COMPUTED_VALUE"""),958.19)</f>
        <v>958.19</v>
      </c>
      <c r="G2975" s="163">
        <f>IFERROR(__xludf.DUMMYFUNCTION("""COMPUTED_VALUE"""),53.0)</f>
        <v>53</v>
      </c>
      <c r="H2975" s="163" t="str">
        <f>IFERROR(__xludf.DUMMYFUNCTION("""COMPUTED_VALUE"""),"PG")</f>
        <v>PG</v>
      </c>
      <c r="I2975" s="163">
        <f>IFERROR(__xludf.DUMMYFUNCTION("""COMPUTED_VALUE"""),21.0)</f>
        <v>21</v>
      </c>
      <c r="J2975" s="165">
        <f>IFERROR(__xludf.DUMMYFUNCTION("""COMPUTED_VALUE"""),-3.07417466134639)</f>
        <v>-3.074174661</v>
      </c>
      <c r="K2975" s="165">
        <f>IFERROR(__xludf.DUMMYFUNCTION("""COMPUTED_VALUE"""),-2.09999929330348)</f>
        <v>-2.099999293</v>
      </c>
      <c r="L2975" s="165">
        <f>IFERROR(__xludf.DUMMYFUNCTION("""COMPUTED_VALUE"""),-0.974175368042915)</f>
        <v>-0.974175368</v>
      </c>
      <c r="M2975" s="166">
        <f t="shared" si="2"/>
        <v>-0.4830443184</v>
      </c>
      <c r="N2975" s="167">
        <f t="shared" si="3"/>
        <v>18.0790566</v>
      </c>
      <c r="O2975" s="163">
        <f t="shared" ref="O2975:Q2975" si="2979">rank(I2975,I:I)</f>
        <v>3528</v>
      </c>
      <c r="P2975" s="163">
        <f t="shared" si="2979"/>
        <v>3901</v>
      </c>
      <c r="Q2975" s="163">
        <f t="shared" si="2979"/>
        <v>3764</v>
      </c>
      <c r="R2975" s="163">
        <f>IFERROR(__xludf.DUMMYFUNCTION("RANK(M2975,filter(M:M,C:C=C2975))"),518.0)</f>
        <v>518</v>
      </c>
      <c r="S2975" s="161" t="b">
        <f t="shared" si="5"/>
        <v>0</v>
      </c>
      <c r="T2975" s="161" t="b">
        <f t="array" ref="T2975">index('Query Tool'!B:B,match(H2975,'Query Tool'!C:C,0))</f>
        <v>1</v>
      </c>
      <c r="U2975" s="161" t="b">
        <f t="array" ref="U2975">index('Query Tool'!B:B,match(C2975,'Query Tool'!C:C,0))</f>
        <v>0</v>
      </c>
      <c r="V2975" s="161" t="b">
        <f>F2975&gt;='Query Tool'!C$32</f>
        <v>1</v>
      </c>
      <c r="W2975" s="161" t="b">
        <f t="array" ref="W2975">index(Dropdowns!B:B,match(I2975,Dropdowns!A:A,0))</f>
        <v>1</v>
      </c>
      <c r="X2975" s="161" t="b">
        <f t="array" ref="X2975">index('Query Tool'!B:B,match(D2975,'Query Tool'!C:C,0))</f>
        <v>1</v>
      </c>
      <c r="Y2975" s="161" t="str">
        <f t="shared" si="6"/>
        <v>okoboel01,2018-19</v>
      </c>
      <c r="Z2975" s="168">
        <f t="array" ref="Z2975">iferror(index(I:I,match($A2975&amp;","&amp;index('Year Conversion'!$A:$A,match($C2975,'Year Conversion'!$B:$B,0)),$Y:$Y,0))-I2975,"")</f>
        <v>1</v>
      </c>
      <c r="AA2975" s="168">
        <f t="array" ref="AA2975">iferror(index(J:J,match($A2975&amp;","&amp;index('Year Conversion'!$A:$A,match($C2975,'Year Conversion'!$B:$B,0)),$Y:$Y,0))-J2975,"")</f>
        <v>1.881124693</v>
      </c>
      <c r="AB2975" s="168">
        <f t="array" ref="AB2975">iferror(index(K:K,match($A2975&amp;","&amp;index('Year Conversion'!$A:$A,match($C2975,'Year Conversion'!$B:$B,0)),$Y:$Y,0))-K2975,"")</f>
        <v>1.213970174</v>
      </c>
      <c r="AC2975" s="168" t="str">
        <f t="shared" si="7"/>
        <v>PHO,2018-19</v>
      </c>
    </row>
    <row r="2976">
      <c r="A2976" s="161" t="str">
        <f>IFERROR(__xludf.DUMMYFUNCTION("""COMPUTED_VALUE"""),"adelde01")</f>
        <v>adelde01</v>
      </c>
      <c r="B2976" s="161" t="str">
        <f>IFERROR(__xludf.DUMMYFUNCTION("""COMPUTED_VALUE"""),"Deng Adel")</f>
        <v>Deng Adel</v>
      </c>
      <c r="C2976" s="162" t="str">
        <f>IFERROR(__xludf.DUMMYFUNCTION("""COMPUTED_VALUE"""),"2018-19")</f>
        <v>2018-19</v>
      </c>
      <c r="D2976" s="163" t="str">
        <f>IFERROR(__xludf.DUMMYFUNCTION("""COMPUTED_VALUE"""),"CLE")</f>
        <v>CLE</v>
      </c>
      <c r="E2976" s="164" t="str">
        <f>IFERROR(__xludf.DUMMYFUNCTION("""COMPUTED_VALUE"""),"Stationary Shooter")</f>
        <v>Stationary Shooter</v>
      </c>
      <c r="F2976" s="164">
        <f>IFERROR(__xludf.DUMMYFUNCTION("""COMPUTED_VALUE"""),194.17)</f>
        <v>194.17</v>
      </c>
      <c r="G2976" s="163">
        <f>IFERROR(__xludf.DUMMYFUNCTION("""COMPUTED_VALUE"""),19.0)</f>
        <v>19</v>
      </c>
      <c r="H2976" s="163" t="str">
        <f>IFERROR(__xludf.DUMMYFUNCTION("""COMPUTED_VALUE"""),"SF")</f>
        <v>SF</v>
      </c>
      <c r="I2976" s="163">
        <f>IFERROR(__xludf.DUMMYFUNCTION("""COMPUTED_VALUE"""),21.0)</f>
        <v>21</v>
      </c>
      <c r="J2976" s="165">
        <f>IFERROR(__xludf.DUMMYFUNCTION("""COMPUTED_VALUE"""),-1.62019410797933)</f>
        <v>-1.620194108</v>
      </c>
      <c r="K2976" s="165">
        <f>IFERROR(__xludf.DUMMYFUNCTION("""COMPUTED_VALUE"""),-1.88411823357461)</f>
        <v>-1.884118234</v>
      </c>
      <c r="L2976" s="165">
        <f>IFERROR(__xludf.DUMMYFUNCTION("""COMPUTED_VALUE"""),0.263924125595287)</f>
        <v>0.2639241256</v>
      </c>
      <c r="M2976" s="166">
        <f t="shared" si="2"/>
        <v>0.08802003255</v>
      </c>
      <c r="N2976" s="167">
        <f t="shared" si="3"/>
        <v>10.21947368</v>
      </c>
      <c r="O2976" s="163">
        <f t="shared" ref="O2976:Q2976" si="2980">rank(I2976,I:I)</f>
        <v>3528</v>
      </c>
      <c r="P2976" s="163">
        <f t="shared" si="2980"/>
        <v>3168</v>
      </c>
      <c r="Q2976" s="163">
        <f t="shared" si="2980"/>
        <v>3633</v>
      </c>
      <c r="R2976" s="163">
        <f>IFERROR(__xludf.DUMMYFUNCTION("RANK(M2976,filter(M:M,C:C=C2976))"),399.0)</f>
        <v>399</v>
      </c>
      <c r="S2976" s="161" t="b">
        <f t="shared" si="5"/>
        <v>0</v>
      </c>
      <c r="T2976" s="161" t="b">
        <f t="array" ref="T2976">index('Query Tool'!B:B,match(H2976,'Query Tool'!C:C,0))</f>
        <v>1</v>
      </c>
      <c r="U2976" s="161" t="b">
        <f t="array" ref="U2976">index('Query Tool'!B:B,match(C2976,'Query Tool'!C:C,0))</f>
        <v>0</v>
      </c>
      <c r="V2976" s="161" t="b">
        <f>F2976&gt;='Query Tool'!C$32</f>
        <v>0</v>
      </c>
      <c r="W2976" s="161" t="b">
        <f t="array" ref="W2976">index(Dropdowns!B:B,match(I2976,Dropdowns!A:A,0))</f>
        <v>1</v>
      </c>
      <c r="X2976" s="161" t="b">
        <f t="array" ref="X2976">index('Query Tool'!B:B,match(D2976,'Query Tool'!C:C,0))</f>
        <v>1</v>
      </c>
      <c r="Y2976" s="161" t="str">
        <f t="shared" si="6"/>
        <v>adelde01,2018-19</v>
      </c>
      <c r="Z2976" s="168" t="str">
        <f t="array" ref="Z2976">iferror(index(I:I,match($A2976&amp;","&amp;index('Year Conversion'!$A:$A,match($C2976,'Year Conversion'!$B:$B,0)),$Y:$Y,0))-I2976,"")</f>
        <v/>
      </c>
      <c r="AA2976" s="168" t="str">
        <f t="array" ref="AA2976">iferror(index(J:J,match($A2976&amp;","&amp;index('Year Conversion'!$A:$A,match($C2976,'Year Conversion'!$B:$B,0)),$Y:$Y,0))-J2976,"")</f>
        <v/>
      </c>
      <c r="AB2976" s="168" t="str">
        <f t="array" ref="AB2976">iferror(index(K:K,match($A2976&amp;","&amp;index('Year Conversion'!$A:$A,match($C2976,'Year Conversion'!$B:$B,0)),$Y:$Y,0))-K2976,"")</f>
        <v/>
      </c>
      <c r="AC2976" s="168" t="str">
        <f t="shared" si="7"/>
        <v>CLE,2018-19</v>
      </c>
    </row>
    <row r="2977">
      <c r="A2977" s="161" t="str">
        <f>IFERROR(__xludf.DUMMYFUNCTION("""COMPUTED_VALUE"""),"kurucro01")</f>
        <v>kurucro01</v>
      </c>
      <c r="B2977" s="161" t="str">
        <f>IFERROR(__xludf.DUMMYFUNCTION("""COMPUTED_VALUE"""),"Rodions Kurucs")</f>
        <v>Rodions Kurucs</v>
      </c>
      <c r="C2977" s="162" t="str">
        <f>IFERROR(__xludf.DUMMYFUNCTION("""COMPUTED_VALUE"""),"2018-19")</f>
        <v>2018-19</v>
      </c>
      <c r="D2977" s="163" t="str">
        <f>IFERROR(__xludf.DUMMYFUNCTION("""COMPUTED_VALUE"""),"BRK")</f>
        <v>BRK</v>
      </c>
      <c r="E2977" s="164" t="str">
        <f>IFERROR(__xludf.DUMMYFUNCTION("""COMPUTED_VALUE"""),"Athletic Finisher")</f>
        <v>Athletic Finisher</v>
      </c>
      <c r="F2977" s="164">
        <f>IFERROR(__xludf.DUMMYFUNCTION("""COMPUTED_VALUE"""),1293.75)</f>
        <v>1293.75</v>
      </c>
      <c r="G2977" s="163">
        <f>IFERROR(__xludf.DUMMYFUNCTION("""COMPUTED_VALUE"""),63.0)</f>
        <v>63</v>
      </c>
      <c r="H2977" s="163" t="str">
        <f>IFERROR(__xludf.DUMMYFUNCTION("""COMPUTED_VALUE"""),"SF")</f>
        <v>SF</v>
      </c>
      <c r="I2977" s="163">
        <f>IFERROR(__xludf.DUMMYFUNCTION("""COMPUTED_VALUE"""),20.0)</f>
        <v>20</v>
      </c>
      <c r="J2977" s="165">
        <f>IFERROR(__xludf.DUMMYFUNCTION("""COMPUTED_VALUE"""),-0.918401922628097)</f>
        <v>-0.9184019226</v>
      </c>
      <c r="K2977" s="165">
        <f>IFERROR(__xludf.DUMMYFUNCTION("""COMPUTED_VALUE"""),-1.56501141505815)</f>
        <v>-1.565011415</v>
      </c>
      <c r="L2977" s="165">
        <f>IFERROR(__xludf.DUMMYFUNCTION("""COMPUTED_VALUE"""),0.646609492430051)</f>
        <v>0.6466094924</v>
      </c>
      <c r="M2977" s="166">
        <f t="shared" si="2"/>
        <v>1.194408022</v>
      </c>
      <c r="N2977" s="167">
        <f t="shared" si="3"/>
        <v>20.53571429</v>
      </c>
      <c r="O2977" s="163">
        <f t="shared" ref="O2977:Q2977" si="2981">rank(I2977,I:I)</f>
        <v>3770</v>
      </c>
      <c r="P2977" s="163">
        <f t="shared" si="2981"/>
        <v>2416</v>
      </c>
      <c r="Q2977" s="163">
        <f t="shared" si="2981"/>
        <v>3419</v>
      </c>
      <c r="R2977" s="163">
        <f>IFERROR(__xludf.DUMMYFUNCTION("RANK(M2977,filter(M:M,C:C=C2977))"),208.0)</f>
        <v>208</v>
      </c>
      <c r="S2977" s="161" t="b">
        <f t="shared" si="5"/>
        <v>0</v>
      </c>
      <c r="T2977" s="161" t="b">
        <f t="array" ref="T2977">index('Query Tool'!B:B,match(H2977,'Query Tool'!C:C,0))</f>
        <v>1</v>
      </c>
      <c r="U2977" s="161" t="b">
        <f t="array" ref="U2977">index('Query Tool'!B:B,match(C2977,'Query Tool'!C:C,0))</f>
        <v>0</v>
      </c>
      <c r="V2977" s="161" t="b">
        <f>F2977&gt;='Query Tool'!C$32</f>
        <v>1</v>
      </c>
      <c r="W2977" s="161" t="b">
        <f t="array" ref="W2977">index(Dropdowns!B:B,match(I2977,Dropdowns!A:A,0))</f>
        <v>1</v>
      </c>
      <c r="X2977" s="161" t="b">
        <f t="array" ref="X2977">index('Query Tool'!B:B,match(D2977,'Query Tool'!C:C,0))</f>
        <v>1</v>
      </c>
      <c r="Y2977" s="161" t="str">
        <f t="shared" si="6"/>
        <v>kurucro01,2018-19</v>
      </c>
      <c r="Z2977" s="168">
        <f t="array" ref="Z2977">iferror(index(I:I,match($A2977&amp;","&amp;index('Year Conversion'!$A:$A,match($C2977,'Year Conversion'!$B:$B,0)),$Y:$Y,0))-I2977,"")</f>
        <v>1</v>
      </c>
      <c r="AA2977" s="168">
        <f t="array" ref="AA2977">iferror(index(J:J,match($A2977&amp;","&amp;index('Year Conversion'!$A:$A,match($C2977,'Year Conversion'!$B:$B,0)),$Y:$Y,0))-J2977,"")</f>
        <v>-1.377952711</v>
      </c>
      <c r="AB2977" s="168">
        <f t="array" ref="AB2977">iferror(index(K:K,match($A2977&amp;","&amp;index('Year Conversion'!$A:$A,match($C2977,'Year Conversion'!$B:$B,0)),$Y:$Y,0))-K2977,"")</f>
        <v>-0.9934928447</v>
      </c>
      <c r="AC2977" s="168" t="str">
        <f t="shared" si="7"/>
        <v>BRK,2018-19</v>
      </c>
    </row>
    <row r="2978">
      <c r="A2978" s="161" t="str">
        <f>IFERROR(__xludf.DUMMYFUNCTION("""COMPUTED_VALUE"""),"bongais01")</f>
        <v>bongais01</v>
      </c>
      <c r="B2978" s="161" t="str">
        <f>IFERROR(__xludf.DUMMYFUNCTION("""COMPUTED_VALUE"""),"Isaac Bonga")</f>
        <v>Isaac Bonga</v>
      </c>
      <c r="C2978" s="162" t="str">
        <f>IFERROR(__xludf.DUMMYFUNCTION("""COMPUTED_VALUE"""),"2018-19")</f>
        <v>2018-19</v>
      </c>
      <c r="D2978" s="163" t="str">
        <f>IFERROR(__xludf.DUMMYFUNCTION("""COMPUTED_VALUE"""),"LAL")</f>
        <v>LAL</v>
      </c>
      <c r="E2978" s="164" t="str">
        <f>IFERROR(__xludf.DUMMYFUNCTION("""COMPUTED_VALUE"""),"Athletic Finisher")</f>
        <v>Athletic Finisher</v>
      </c>
      <c r="F2978" s="164">
        <f>IFERROR(__xludf.DUMMYFUNCTION("""COMPUTED_VALUE"""),120.025)</f>
        <v>120.025</v>
      </c>
      <c r="G2978" s="163">
        <f>IFERROR(__xludf.DUMMYFUNCTION("""COMPUTED_VALUE"""),22.0)</f>
        <v>22</v>
      </c>
      <c r="H2978" s="163" t="str">
        <f>IFERROR(__xludf.DUMMYFUNCTION("""COMPUTED_VALUE"""),"PG")</f>
        <v>PG</v>
      </c>
      <c r="I2978" s="163">
        <f>IFERROR(__xludf.DUMMYFUNCTION("""COMPUTED_VALUE"""),19.0)</f>
        <v>19</v>
      </c>
      <c r="J2978" s="165">
        <f>IFERROR(__xludf.DUMMYFUNCTION("""COMPUTED_VALUE"""),0.249209423138639)</f>
        <v>0.2492094231</v>
      </c>
      <c r="K2978" s="165">
        <f>IFERROR(__xludf.DUMMYFUNCTION("""COMPUTED_VALUE"""),-0.366620212151132)</f>
        <v>-0.3666202122</v>
      </c>
      <c r="L2978" s="165">
        <f>IFERROR(__xludf.DUMMYFUNCTION("""COMPUTED_VALUE"""),0.615829635289771)</f>
        <v>0.6158296353</v>
      </c>
      <c r="M2978" s="166">
        <f t="shared" si="2"/>
        <v>0.205202737</v>
      </c>
      <c r="N2978" s="167">
        <f t="shared" si="3"/>
        <v>5.455681818</v>
      </c>
      <c r="O2978" s="163">
        <f t="shared" ref="O2978:Q2978" si="2982">rank(I2978,I:I)</f>
        <v>3945</v>
      </c>
      <c r="P2978" s="163">
        <f t="shared" si="2982"/>
        <v>1055</v>
      </c>
      <c r="Q2978" s="163">
        <f t="shared" si="2982"/>
        <v>1886</v>
      </c>
      <c r="R2978" s="163">
        <f>IFERROR(__xludf.DUMMYFUNCTION("RANK(M2978,filter(M:M,C:C=C2978))"),344.0)</f>
        <v>344</v>
      </c>
      <c r="S2978" s="161" t="b">
        <f t="shared" si="5"/>
        <v>0</v>
      </c>
      <c r="T2978" s="161" t="b">
        <f t="array" ref="T2978">index('Query Tool'!B:B,match(H2978,'Query Tool'!C:C,0))</f>
        <v>1</v>
      </c>
      <c r="U2978" s="161" t="b">
        <f t="array" ref="U2978">index('Query Tool'!B:B,match(C2978,'Query Tool'!C:C,0))</f>
        <v>0</v>
      </c>
      <c r="V2978" s="161" t="b">
        <f>F2978&gt;='Query Tool'!C$32</f>
        <v>0</v>
      </c>
      <c r="W2978" s="161" t="b">
        <f t="array" ref="W2978">index(Dropdowns!B:B,match(I2978,Dropdowns!A:A,0))</f>
        <v>1</v>
      </c>
      <c r="X2978" s="161" t="b">
        <f t="array" ref="X2978">index('Query Tool'!B:B,match(D2978,'Query Tool'!C:C,0))</f>
        <v>1</v>
      </c>
      <c r="Y2978" s="161" t="str">
        <f t="shared" si="6"/>
        <v>bongais01,2018-19</v>
      </c>
      <c r="Z2978" s="168">
        <f t="array" ref="Z2978">iferror(index(I:I,match($A2978&amp;","&amp;index('Year Conversion'!$A:$A,match($C2978,'Year Conversion'!$B:$B,0)),$Y:$Y,0))-I2978,"")</f>
        <v>1</v>
      </c>
      <c r="AA2978" s="168">
        <f t="array" ref="AA2978">iferror(index(J:J,match($A2978&amp;","&amp;index('Year Conversion'!$A:$A,match($C2978,'Year Conversion'!$B:$B,0)),$Y:$Y,0))-J2978,"")</f>
        <v>-0.6809183148</v>
      </c>
      <c r="AB2978" s="168">
        <f t="array" ref="AB2978">iferror(index(K:K,match($A2978&amp;","&amp;index('Year Conversion'!$A:$A,match($C2978,'Year Conversion'!$B:$B,0)),$Y:$Y,0))-K2978,"")</f>
        <v>-1.69860321</v>
      </c>
      <c r="AC2978" s="168" t="str">
        <f t="shared" si="7"/>
        <v>LAL,2018-19</v>
      </c>
    </row>
    <row r="2979">
      <c r="A2979" s="161" t="str">
        <f>IFERROR(__xludf.DUMMYFUNCTION("""COMPUTED_VALUE"""),"davisty01")</f>
        <v>davisty01</v>
      </c>
      <c r="B2979" s="161" t="str">
        <f>IFERROR(__xludf.DUMMYFUNCTION("""COMPUTED_VALUE"""),"Tyler Davis")</f>
        <v>Tyler Davis</v>
      </c>
      <c r="C2979" s="162" t="str">
        <f>IFERROR(__xludf.DUMMYFUNCTION("""COMPUTED_VALUE"""),"2018-19")</f>
        <v>2018-19</v>
      </c>
      <c r="D2979" s="163" t="str">
        <f>IFERROR(__xludf.DUMMYFUNCTION("""COMPUTED_VALUE"""),"OKC")</f>
        <v>OKC</v>
      </c>
      <c r="E2979" s="164" t="str">
        <f>IFERROR(__xludf.DUMMYFUNCTION("""COMPUTED_VALUE"""),"Roll + Cut Big")</f>
        <v>Roll + Cut Big</v>
      </c>
      <c r="F2979" s="164">
        <f>IFERROR(__xludf.DUMMYFUNCTION("""COMPUTED_VALUE"""),0.911666666666667)</f>
        <v>0.9116666667</v>
      </c>
      <c r="G2979" s="163">
        <f>IFERROR(__xludf.DUMMYFUNCTION("""COMPUTED_VALUE"""),1.0)</f>
        <v>1</v>
      </c>
      <c r="H2979" s="163" t="str">
        <f>IFERROR(__xludf.DUMMYFUNCTION("""COMPUTED_VALUE"""),"C")</f>
        <v>C</v>
      </c>
      <c r="I2979" s="163">
        <f>IFERROR(__xludf.DUMMYFUNCTION("""COMPUTED_VALUE"""),21.0)</f>
        <v>21</v>
      </c>
      <c r="J2979" s="165">
        <f>IFERROR(__xludf.DUMMYFUNCTION("""COMPUTED_VALUE"""),-0.646329634949709)</f>
        <v>-0.6463296349</v>
      </c>
      <c r="K2979" s="165">
        <f>IFERROR(__xludf.DUMMYFUNCTION("""COMPUTED_VALUE"""),-0.161489116121473)</f>
        <v>-0.1614891161</v>
      </c>
      <c r="L2979" s="165">
        <f>IFERROR(__xludf.DUMMYFUNCTION("""COMPUTED_VALUE"""),-0.484840518828236)</f>
        <v>-0.4848405188</v>
      </c>
      <c r="M2979" s="166">
        <f t="shared" si="2"/>
        <v>0.001008458779</v>
      </c>
      <c r="N2979" s="167">
        <f t="shared" si="3"/>
        <v>0.9116666667</v>
      </c>
      <c r="O2979" s="163">
        <f t="shared" ref="O2979:Q2979" si="2983">rank(I2979,I:I)</f>
        <v>3528</v>
      </c>
      <c r="P2979" s="163">
        <f t="shared" si="2983"/>
        <v>2059</v>
      </c>
      <c r="Q2979" s="163">
        <f t="shared" si="2983"/>
        <v>1498</v>
      </c>
      <c r="R2979" s="163">
        <f>IFERROR(__xludf.DUMMYFUNCTION("RANK(M2979,filter(M:M,C:C=C2979))"),476.0)</f>
        <v>476</v>
      </c>
      <c r="S2979" s="161" t="b">
        <f t="shared" si="5"/>
        <v>0</v>
      </c>
      <c r="T2979" s="161" t="b">
        <f t="array" ref="T2979">index('Query Tool'!B:B,match(H2979,'Query Tool'!C:C,0))</f>
        <v>1</v>
      </c>
      <c r="U2979" s="161" t="b">
        <f t="array" ref="U2979">index('Query Tool'!B:B,match(C2979,'Query Tool'!C:C,0))</f>
        <v>0</v>
      </c>
      <c r="V2979" s="161" t="b">
        <f>F2979&gt;='Query Tool'!C$32</f>
        <v>0</v>
      </c>
      <c r="W2979" s="161" t="b">
        <f t="array" ref="W2979">index(Dropdowns!B:B,match(I2979,Dropdowns!A:A,0))</f>
        <v>1</v>
      </c>
      <c r="X2979" s="161" t="b">
        <f t="array" ref="X2979">index('Query Tool'!B:B,match(D2979,'Query Tool'!C:C,0))</f>
        <v>1</v>
      </c>
      <c r="Y2979" s="161" t="str">
        <f t="shared" si="6"/>
        <v>davisty01,2018-19</v>
      </c>
      <c r="Z2979" s="168" t="str">
        <f t="array" ref="Z2979">iferror(index(I:I,match($A2979&amp;","&amp;index('Year Conversion'!$A:$A,match($C2979,'Year Conversion'!$B:$B,0)),$Y:$Y,0))-I2979,"")</f>
        <v/>
      </c>
      <c r="AA2979" s="168" t="str">
        <f t="array" ref="AA2979">iferror(index(J:J,match($A2979&amp;","&amp;index('Year Conversion'!$A:$A,match($C2979,'Year Conversion'!$B:$B,0)),$Y:$Y,0))-J2979,"")</f>
        <v/>
      </c>
      <c r="AB2979" s="168" t="str">
        <f t="array" ref="AB2979">iferror(index(K:K,match($A2979&amp;","&amp;index('Year Conversion'!$A:$A,match($C2979,'Year Conversion'!$B:$B,0)),$Y:$Y,0))-K2979,"")</f>
        <v/>
      </c>
      <c r="AC2979" s="168" t="str">
        <f t="shared" si="7"/>
        <v>OKC,2018-19</v>
      </c>
    </row>
    <row r="2980">
      <c r="A2980" s="161" t="str">
        <f>IFERROR(__xludf.DUMMYFUNCTION("""COMPUTED_VALUE"""),"derrima01")</f>
        <v>derrima01</v>
      </c>
      <c r="B2980" s="161" t="str">
        <f>IFERROR(__xludf.DUMMYFUNCTION("""COMPUTED_VALUE"""),"Marcus Derrickson")</f>
        <v>Marcus Derrickson</v>
      </c>
      <c r="C2980" s="162" t="str">
        <f>IFERROR(__xludf.DUMMYFUNCTION("""COMPUTED_VALUE"""),"2018-19")</f>
        <v>2018-19</v>
      </c>
      <c r="D2980" s="163" t="str">
        <f>IFERROR(__xludf.DUMMYFUNCTION("""COMPUTED_VALUE"""),"GSW")</f>
        <v>GSW</v>
      </c>
      <c r="E2980" s="164" t="str">
        <f>IFERROR(__xludf.DUMMYFUNCTION("""COMPUTED_VALUE"""),"Versatile Big")</f>
        <v>Versatile Big</v>
      </c>
      <c r="F2980" s="164">
        <f>IFERROR(__xludf.DUMMYFUNCTION("""COMPUTED_VALUE"""),67.3216666666667)</f>
        <v>67.32166667</v>
      </c>
      <c r="G2980" s="163">
        <f>IFERROR(__xludf.DUMMYFUNCTION("""COMPUTED_VALUE"""),11.0)</f>
        <v>11</v>
      </c>
      <c r="H2980" s="163" t="str">
        <f>IFERROR(__xludf.DUMMYFUNCTION("""COMPUTED_VALUE"""),"PF")</f>
        <v>PF</v>
      </c>
      <c r="I2980" s="163">
        <f>IFERROR(__xludf.DUMMYFUNCTION("""COMPUTED_VALUE"""),22.0)</f>
        <v>22</v>
      </c>
      <c r="J2980" s="165">
        <f>IFERROR(__xludf.DUMMYFUNCTION("""COMPUTED_VALUE"""),-1.15298145720434)</f>
        <v>-1.152981457</v>
      </c>
      <c r="K2980" s="165">
        <f>IFERROR(__xludf.DUMMYFUNCTION("""COMPUTED_VALUE"""),-0.208986067964871)</f>
        <v>-0.208986068</v>
      </c>
      <c r="L2980" s="165">
        <f>IFERROR(__xludf.DUMMYFUNCTION("""COMPUTED_VALUE"""),-0.943995389239464)</f>
        <v>-0.9439953892</v>
      </c>
      <c r="M2980" s="166">
        <f t="shared" si="2"/>
        <v>0.05155295697</v>
      </c>
      <c r="N2980" s="167">
        <f t="shared" si="3"/>
        <v>6.120151515</v>
      </c>
      <c r="O2980" s="163">
        <f t="shared" ref="O2980:Q2980" si="2984">rank(I2980,I:I)</f>
        <v>3178</v>
      </c>
      <c r="P2980" s="163">
        <f t="shared" si="2984"/>
        <v>2683</v>
      </c>
      <c r="Q2980" s="163">
        <f t="shared" si="2984"/>
        <v>1577</v>
      </c>
      <c r="R2980" s="163">
        <f>IFERROR(__xludf.DUMMYFUNCTION("RANK(M2980,filter(M:M,C:C=C2980))"),420.0)</f>
        <v>420</v>
      </c>
      <c r="S2980" s="161" t="b">
        <f t="shared" si="5"/>
        <v>0</v>
      </c>
      <c r="T2980" s="161" t="b">
        <f t="array" ref="T2980">index('Query Tool'!B:B,match(H2980,'Query Tool'!C:C,0))</f>
        <v>1</v>
      </c>
      <c r="U2980" s="161" t="b">
        <f t="array" ref="U2980">index('Query Tool'!B:B,match(C2980,'Query Tool'!C:C,0))</f>
        <v>0</v>
      </c>
      <c r="V2980" s="161" t="b">
        <f>F2980&gt;='Query Tool'!C$32</f>
        <v>0</v>
      </c>
      <c r="W2980" s="161" t="b">
        <f t="array" ref="W2980">index(Dropdowns!B:B,match(I2980,Dropdowns!A:A,0))</f>
        <v>1</v>
      </c>
      <c r="X2980" s="161" t="b">
        <f t="array" ref="X2980">index('Query Tool'!B:B,match(D2980,'Query Tool'!C:C,0))</f>
        <v>1</v>
      </c>
      <c r="Y2980" s="161" t="str">
        <f t="shared" si="6"/>
        <v>derrima01,2018-19</v>
      </c>
      <c r="Z2980" s="168" t="str">
        <f t="array" ref="Z2980">iferror(index(I:I,match($A2980&amp;","&amp;index('Year Conversion'!$A:$A,match($C2980,'Year Conversion'!$B:$B,0)),$Y:$Y,0))-I2980,"")</f>
        <v/>
      </c>
      <c r="AA2980" s="168" t="str">
        <f t="array" ref="AA2980">iferror(index(J:J,match($A2980&amp;","&amp;index('Year Conversion'!$A:$A,match($C2980,'Year Conversion'!$B:$B,0)),$Y:$Y,0))-J2980,"")</f>
        <v/>
      </c>
      <c r="AB2980" s="168" t="str">
        <f t="array" ref="AB2980">iferror(index(K:K,match($A2980&amp;","&amp;index('Year Conversion'!$A:$A,match($C2980,'Year Conversion'!$B:$B,0)),$Y:$Y,0))-K2980,"")</f>
        <v/>
      </c>
      <c r="AC2980" s="168" t="str">
        <f t="shared" si="7"/>
        <v>GSW,2018-19</v>
      </c>
    </row>
    <row r="2981">
      <c r="A2981" s="161" t="str">
        <f>IFERROR(__xludf.DUMMYFUNCTION("""COMPUTED_VALUE"""),"sampsbr01")</f>
        <v>sampsbr01</v>
      </c>
      <c r="B2981" s="161" t="str">
        <f>IFERROR(__xludf.DUMMYFUNCTION("""COMPUTED_VALUE"""),"Brandon Sampson")</f>
        <v>Brandon Sampson</v>
      </c>
      <c r="C2981" s="162" t="str">
        <f>IFERROR(__xludf.DUMMYFUNCTION("""COMPUTED_VALUE"""),"2018-19")</f>
        <v>2018-19</v>
      </c>
      <c r="D2981" s="163" t="str">
        <f>IFERROR(__xludf.DUMMYFUNCTION("""COMPUTED_VALUE"""),"CHI")</f>
        <v>CHI</v>
      </c>
      <c r="E2981" s="164" t="str">
        <f>IFERROR(__xludf.DUMMYFUNCTION("""COMPUTED_VALUE"""),"Stationary Shooter")</f>
        <v>Stationary Shooter</v>
      </c>
      <c r="F2981" s="164">
        <f>IFERROR(__xludf.DUMMYFUNCTION("""COMPUTED_VALUE"""),214.305)</f>
        <v>214.305</v>
      </c>
      <c r="G2981" s="163">
        <f>IFERROR(__xludf.DUMMYFUNCTION("""COMPUTED_VALUE"""),14.0)</f>
        <v>14</v>
      </c>
      <c r="H2981" s="163" t="str">
        <f>IFERROR(__xludf.DUMMYFUNCTION("""COMPUTED_VALUE"""),"SG")</f>
        <v>SG</v>
      </c>
      <c r="I2981" s="163">
        <f>IFERROR(__xludf.DUMMYFUNCTION("""COMPUTED_VALUE"""),21.0)</f>
        <v>21</v>
      </c>
      <c r="J2981" s="165">
        <f>IFERROR(__xludf.DUMMYFUNCTION("""COMPUTED_VALUE"""),-1.56299265383075)</f>
        <v>-1.562992654</v>
      </c>
      <c r="K2981" s="165">
        <f>IFERROR(__xludf.DUMMYFUNCTION("""COMPUTED_VALUE"""),-1.18541944045145)</f>
        <v>-1.18541944</v>
      </c>
      <c r="L2981" s="165">
        <f>IFERROR(__xludf.DUMMYFUNCTION("""COMPUTED_VALUE"""),-0.377573213379304)</f>
        <v>-0.3775732134</v>
      </c>
      <c r="M2981" s="166">
        <f t="shared" si="2"/>
        <v>0.1053254601</v>
      </c>
      <c r="N2981" s="167">
        <f t="shared" si="3"/>
        <v>15.3075</v>
      </c>
      <c r="O2981" s="163">
        <f t="shared" ref="O2981:Q2981" si="2985">rank(I2981,I:I)</f>
        <v>3528</v>
      </c>
      <c r="P2981" s="163">
        <f t="shared" si="2985"/>
        <v>3111</v>
      </c>
      <c r="Q2981" s="163">
        <f t="shared" si="2985"/>
        <v>3022</v>
      </c>
      <c r="R2981" s="163">
        <f>IFERROR(__xludf.DUMMYFUNCTION("RANK(M2981,filter(M:M,C:C=C2981))"),389.0)</f>
        <v>389</v>
      </c>
      <c r="S2981" s="161" t="b">
        <f t="shared" si="5"/>
        <v>0</v>
      </c>
      <c r="T2981" s="161" t="b">
        <f t="array" ref="T2981">index('Query Tool'!B:B,match(H2981,'Query Tool'!C:C,0))</f>
        <v>1</v>
      </c>
      <c r="U2981" s="161" t="b">
        <f t="array" ref="U2981">index('Query Tool'!B:B,match(C2981,'Query Tool'!C:C,0))</f>
        <v>0</v>
      </c>
      <c r="V2981" s="161" t="b">
        <f>F2981&gt;='Query Tool'!C$32</f>
        <v>0</v>
      </c>
      <c r="W2981" s="161" t="b">
        <f t="array" ref="W2981">index(Dropdowns!B:B,match(I2981,Dropdowns!A:A,0))</f>
        <v>1</v>
      </c>
      <c r="X2981" s="161" t="b">
        <f t="array" ref="X2981">index('Query Tool'!B:B,match(D2981,'Query Tool'!C:C,0))</f>
        <v>1</v>
      </c>
      <c r="Y2981" s="161" t="str">
        <f t="shared" si="6"/>
        <v>sampsbr01,2018-19</v>
      </c>
      <c r="Z2981" s="168" t="str">
        <f t="array" ref="Z2981">iferror(index(I:I,match($A2981&amp;","&amp;index('Year Conversion'!$A:$A,match($C2981,'Year Conversion'!$B:$B,0)),$Y:$Y,0))-I2981,"")</f>
        <v/>
      </c>
      <c r="AA2981" s="168" t="str">
        <f t="array" ref="AA2981">iferror(index(J:J,match($A2981&amp;","&amp;index('Year Conversion'!$A:$A,match($C2981,'Year Conversion'!$B:$B,0)),$Y:$Y,0))-J2981,"")</f>
        <v/>
      </c>
      <c r="AB2981" s="168" t="str">
        <f t="array" ref="AB2981">iferror(index(K:K,match($A2981&amp;","&amp;index('Year Conversion'!$A:$A,match($C2981,'Year Conversion'!$B:$B,0)),$Y:$Y,0))-K2981,"")</f>
        <v/>
      </c>
      <c r="AC2981" s="168" t="str">
        <f t="shared" si="7"/>
        <v>CHI,2018-19</v>
      </c>
    </row>
    <row r="2982">
      <c r="A2982" s="161" t="str">
        <f>IFERROR(__xludf.DUMMYFUNCTION("""COMPUTED_VALUE"""),"clarkga01")</f>
        <v>clarkga01</v>
      </c>
      <c r="B2982" s="161" t="str">
        <f>IFERROR(__xludf.DUMMYFUNCTION("""COMPUTED_VALUE"""),"Gary Clark")</f>
        <v>Gary Clark</v>
      </c>
      <c r="C2982" s="162" t="str">
        <f>IFERROR(__xludf.DUMMYFUNCTION("""COMPUTED_VALUE"""),"2018-19")</f>
        <v>2018-19</v>
      </c>
      <c r="D2982" s="163" t="str">
        <f>IFERROR(__xludf.DUMMYFUNCTION("""COMPUTED_VALUE"""),"HOU")</f>
        <v>HOU</v>
      </c>
      <c r="E2982" s="164" t="str">
        <f>IFERROR(__xludf.DUMMYFUNCTION("""COMPUTED_VALUE"""),"Stationary Shooter")</f>
        <v>Stationary Shooter</v>
      </c>
      <c r="F2982" s="164">
        <f>IFERROR(__xludf.DUMMYFUNCTION("""COMPUTED_VALUE"""),640.606666666667)</f>
        <v>640.6066667</v>
      </c>
      <c r="G2982" s="163">
        <f>IFERROR(__xludf.DUMMYFUNCTION("""COMPUTED_VALUE"""),51.0)</f>
        <v>51</v>
      </c>
      <c r="H2982" s="163" t="str">
        <f>IFERROR(__xludf.DUMMYFUNCTION("""COMPUTED_VALUE"""),"PF")</f>
        <v>PF</v>
      </c>
      <c r="I2982" s="163">
        <f>IFERROR(__xludf.DUMMYFUNCTION("""COMPUTED_VALUE"""),24.0)</f>
        <v>24</v>
      </c>
      <c r="J2982" s="165">
        <f>IFERROR(__xludf.DUMMYFUNCTION("""COMPUTED_VALUE"""),-1.11810384820648)</f>
        <v>-1.118103848</v>
      </c>
      <c r="K2982" s="165">
        <f>IFERROR(__xludf.DUMMYFUNCTION("""COMPUTED_VALUE"""),-0.75881074325396)</f>
        <v>-0.7588107433</v>
      </c>
      <c r="L2982" s="165">
        <f>IFERROR(__xludf.DUMMYFUNCTION("""COMPUTED_VALUE"""),-0.359293104952519)</f>
        <v>-0.359293105</v>
      </c>
      <c r="M2982" s="166">
        <f t="shared" si="2"/>
        <v>0.5055404303</v>
      </c>
      <c r="N2982" s="167">
        <f t="shared" si="3"/>
        <v>12.56091503</v>
      </c>
      <c r="O2982" s="163">
        <f t="shared" ref="O2982:Q2982" si="2986">rank(I2982,I:I)</f>
        <v>2361</v>
      </c>
      <c r="P2982" s="163">
        <f t="shared" si="2986"/>
        <v>2643</v>
      </c>
      <c r="Q2982" s="163">
        <f t="shared" si="2986"/>
        <v>2493</v>
      </c>
      <c r="R2982" s="163">
        <f>IFERROR(__xludf.DUMMYFUNCTION("RANK(M2982,filter(M:M,C:C=C2982))"),284.0)</f>
        <v>284</v>
      </c>
      <c r="S2982" s="161" t="b">
        <f t="shared" si="5"/>
        <v>0</v>
      </c>
      <c r="T2982" s="161" t="b">
        <f t="array" ref="T2982">index('Query Tool'!B:B,match(H2982,'Query Tool'!C:C,0))</f>
        <v>1</v>
      </c>
      <c r="U2982" s="161" t="b">
        <f t="array" ref="U2982">index('Query Tool'!B:B,match(C2982,'Query Tool'!C:C,0))</f>
        <v>0</v>
      </c>
      <c r="V2982" s="161" t="b">
        <f>F2982&gt;='Query Tool'!C$32</f>
        <v>1</v>
      </c>
      <c r="W2982" s="161" t="b">
        <f t="array" ref="W2982">index(Dropdowns!B:B,match(I2982,Dropdowns!A:A,0))</f>
        <v>1</v>
      </c>
      <c r="X2982" s="161" t="b">
        <f t="array" ref="X2982">index('Query Tool'!B:B,match(D2982,'Query Tool'!C:C,0))</f>
        <v>1</v>
      </c>
      <c r="Y2982" s="161" t="str">
        <f t="shared" si="6"/>
        <v>clarkga01,2018-19</v>
      </c>
      <c r="Z2982" s="168">
        <f t="array" ref="Z2982">iferror(index(I:I,match($A2982&amp;","&amp;index('Year Conversion'!$A:$A,match($C2982,'Year Conversion'!$B:$B,0)),$Y:$Y,0))-I2982,"")</f>
        <v>1</v>
      </c>
      <c r="AA2982" s="168">
        <f t="array" ref="AA2982">iferror(index(J:J,match($A2982&amp;","&amp;index('Year Conversion'!$A:$A,match($C2982,'Year Conversion'!$B:$B,0)),$Y:$Y,0))-J2982,"")</f>
        <v>-1.13387008</v>
      </c>
      <c r="AB2982" s="168">
        <f t="array" ref="AB2982">iferror(index(K:K,match($A2982&amp;","&amp;index('Year Conversion'!$A:$A,match($C2982,'Year Conversion'!$B:$B,0)),$Y:$Y,0))-K2982,"")</f>
        <v>-0.6051909382</v>
      </c>
      <c r="AC2982" s="168" t="str">
        <f t="shared" si="7"/>
        <v>HOU,2018-19</v>
      </c>
    </row>
    <row r="2983">
      <c r="A2983" s="161" t="str">
        <f>IFERROR(__xludf.DUMMYFUNCTION("""COMPUTED_VALUE"""),"delgaan01")</f>
        <v>delgaan01</v>
      </c>
      <c r="B2983" s="161" t="str">
        <f>IFERROR(__xludf.DUMMYFUNCTION("""COMPUTED_VALUE"""),"Angel Delgado")</f>
        <v>Angel Delgado</v>
      </c>
      <c r="C2983" s="162" t="str">
        <f>IFERROR(__xludf.DUMMYFUNCTION("""COMPUTED_VALUE"""),"2018-19")</f>
        <v>2018-19</v>
      </c>
      <c r="D2983" s="163" t="str">
        <f>IFERROR(__xludf.DUMMYFUNCTION("""COMPUTED_VALUE"""),"LAC")</f>
        <v>LAC</v>
      </c>
      <c r="E2983" s="164" t="str">
        <f>IFERROR(__xludf.DUMMYFUNCTION("""COMPUTED_VALUE"""),"Roll + Cut Big")</f>
        <v>Roll + Cut Big</v>
      </c>
      <c r="F2983" s="164">
        <f>IFERROR(__xludf.DUMMYFUNCTION("""COMPUTED_VALUE"""),14.7666666666667)</f>
        <v>14.76666667</v>
      </c>
      <c r="G2983" s="163">
        <f>IFERROR(__xludf.DUMMYFUNCTION("""COMPUTED_VALUE"""),2.0)</f>
        <v>2</v>
      </c>
      <c r="H2983" s="163" t="str">
        <f>IFERROR(__xludf.DUMMYFUNCTION("""COMPUTED_VALUE"""),"C")</f>
        <v>C</v>
      </c>
      <c r="I2983" s="163">
        <f>IFERROR(__xludf.DUMMYFUNCTION("""COMPUTED_VALUE"""),24.0)</f>
        <v>24</v>
      </c>
      <c r="J2983" s="165">
        <f>IFERROR(__xludf.DUMMYFUNCTION("""COMPUTED_VALUE"""),-0.500743492927189)</f>
        <v>-0.5007434929</v>
      </c>
      <c r="K2983" s="165">
        <f>IFERROR(__xludf.DUMMYFUNCTION("""COMPUTED_VALUE"""),-0.226867602560923)</f>
        <v>-0.2268676026</v>
      </c>
      <c r="L2983" s="165">
        <f>IFERROR(__xludf.DUMMYFUNCTION("""COMPUTED_VALUE"""),-0.273875890366266)</f>
        <v>-0.2738758904</v>
      </c>
      <c r="M2983" s="166">
        <f t="shared" si="2"/>
        <v>0.01778184352</v>
      </c>
      <c r="N2983" s="167">
        <f t="shared" si="3"/>
        <v>7.383333333</v>
      </c>
      <c r="O2983" s="163">
        <f t="shared" ref="O2983:Q2983" si="2987">rank(I2983,I:I)</f>
        <v>2361</v>
      </c>
      <c r="P2983" s="163">
        <f t="shared" si="2987"/>
        <v>1857</v>
      </c>
      <c r="Q2983" s="163">
        <f t="shared" si="2987"/>
        <v>1614</v>
      </c>
      <c r="R2983" s="163">
        <f>IFERROR(__xludf.DUMMYFUNCTION("RANK(M2983,filter(M:M,C:C=C2983))"),455.0)</f>
        <v>455</v>
      </c>
      <c r="S2983" s="161" t="b">
        <f t="shared" si="5"/>
        <v>0</v>
      </c>
      <c r="T2983" s="161" t="b">
        <f t="array" ref="T2983">index('Query Tool'!B:B,match(H2983,'Query Tool'!C:C,0))</f>
        <v>1</v>
      </c>
      <c r="U2983" s="161" t="b">
        <f t="array" ref="U2983">index('Query Tool'!B:B,match(C2983,'Query Tool'!C:C,0))</f>
        <v>0</v>
      </c>
      <c r="V2983" s="161" t="b">
        <f>F2983&gt;='Query Tool'!C$32</f>
        <v>0</v>
      </c>
      <c r="W2983" s="161" t="b">
        <f t="array" ref="W2983">index(Dropdowns!B:B,match(I2983,Dropdowns!A:A,0))</f>
        <v>1</v>
      </c>
      <c r="X2983" s="161" t="b">
        <f t="array" ref="X2983">index('Query Tool'!B:B,match(D2983,'Query Tool'!C:C,0))</f>
        <v>1</v>
      </c>
      <c r="Y2983" s="161" t="str">
        <f t="shared" si="6"/>
        <v>delgaan01,2018-19</v>
      </c>
      <c r="Z2983" s="168" t="str">
        <f t="array" ref="Z2983">iferror(index(I:I,match($A2983&amp;","&amp;index('Year Conversion'!$A:$A,match($C2983,'Year Conversion'!$B:$B,0)),$Y:$Y,0))-I2983,"")</f>
        <v/>
      </c>
      <c r="AA2983" s="168" t="str">
        <f t="array" ref="AA2983">iferror(index(J:J,match($A2983&amp;","&amp;index('Year Conversion'!$A:$A,match($C2983,'Year Conversion'!$B:$B,0)),$Y:$Y,0))-J2983,"")</f>
        <v/>
      </c>
      <c r="AB2983" s="168" t="str">
        <f t="array" ref="AB2983">iferror(index(K:K,match($A2983&amp;","&amp;index('Year Conversion'!$A:$A,match($C2983,'Year Conversion'!$B:$B,0)),$Y:$Y,0))-K2983,"")</f>
        <v/>
      </c>
      <c r="AC2983" s="168" t="str">
        <f t="shared" si="7"/>
        <v>LAC,2018-19</v>
      </c>
    </row>
    <row r="2984">
      <c r="A2984" s="161" t="str">
        <f>IFERROR(__xludf.DUMMYFUNCTION("""COMPUTED_VALUE"""),"welshth01")</f>
        <v>welshth01</v>
      </c>
      <c r="B2984" s="161" t="str">
        <f>IFERROR(__xludf.DUMMYFUNCTION("""COMPUTED_VALUE"""),"Thomas Welsh")</f>
        <v>Thomas Welsh</v>
      </c>
      <c r="C2984" s="162" t="str">
        <f>IFERROR(__xludf.DUMMYFUNCTION("""COMPUTED_VALUE"""),"2018-19")</f>
        <v>2018-19</v>
      </c>
      <c r="D2984" s="163" t="str">
        <f>IFERROR(__xludf.DUMMYFUNCTION("""COMPUTED_VALUE"""),"DEN")</f>
        <v>DEN</v>
      </c>
      <c r="E2984" s="164" t="str">
        <f>IFERROR(__xludf.DUMMYFUNCTION("""COMPUTED_VALUE"""),"Stretch Big")</f>
        <v>Stretch Big</v>
      </c>
      <c r="F2984" s="164">
        <f>IFERROR(__xludf.DUMMYFUNCTION("""COMPUTED_VALUE"""),36.3066666666667)</f>
        <v>36.30666667</v>
      </c>
      <c r="G2984" s="163">
        <f>IFERROR(__xludf.DUMMYFUNCTION("""COMPUTED_VALUE"""),11.0)</f>
        <v>11</v>
      </c>
      <c r="H2984" s="163" t="str">
        <f>IFERROR(__xludf.DUMMYFUNCTION("""COMPUTED_VALUE"""),"C")</f>
        <v>C</v>
      </c>
      <c r="I2984" s="163">
        <f>IFERROR(__xludf.DUMMYFUNCTION("""COMPUTED_VALUE"""),22.0)</f>
        <v>22</v>
      </c>
      <c r="J2984" s="165">
        <f>IFERROR(__xludf.DUMMYFUNCTION("""COMPUTED_VALUE"""),-0.849522702709839)</f>
        <v>-0.8495227027</v>
      </c>
      <c r="K2984" s="165">
        <f>IFERROR(__xludf.DUMMYFUNCTION("""COMPUTED_VALUE"""),-0.349238236620006)</f>
        <v>-0.3492382366</v>
      </c>
      <c r="L2984" s="165">
        <f>IFERROR(__xludf.DUMMYFUNCTION("""COMPUTED_VALUE"""),-0.500284466089834)</f>
        <v>-0.5002844661</v>
      </c>
      <c r="M2984" s="166">
        <f t="shared" si="2"/>
        <v>0.0351993361</v>
      </c>
      <c r="N2984" s="167">
        <f t="shared" si="3"/>
        <v>3.300606061</v>
      </c>
      <c r="O2984" s="163">
        <f t="shared" ref="O2984:Q2984" si="2988">rank(I2984,I:I)</f>
        <v>3178</v>
      </c>
      <c r="P2984" s="163">
        <f t="shared" si="2988"/>
        <v>2345</v>
      </c>
      <c r="Q2984" s="163">
        <f t="shared" si="2988"/>
        <v>1850</v>
      </c>
      <c r="R2984" s="163">
        <f>IFERROR(__xludf.DUMMYFUNCTION("RANK(M2984,filter(M:M,C:C=C2984))"),435.0)</f>
        <v>435</v>
      </c>
      <c r="S2984" s="161" t="b">
        <f t="shared" si="5"/>
        <v>0</v>
      </c>
      <c r="T2984" s="161" t="b">
        <f t="array" ref="T2984">index('Query Tool'!B:B,match(H2984,'Query Tool'!C:C,0))</f>
        <v>1</v>
      </c>
      <c r="U2984" s="161" t="b">
        <f t="array" ref="U2984">index('Query Tool'!B:B,match(C2984,'Query Tool'!C:C,0))</f>
        <v>0</v>
      </c>
      <c r="V2984" s="161" t="b">
        <f>F2984&gt;='Query Tool'!C$32</f>
        <v>0</v>
      </c>
      <c r="W2984" s="161" t="b">
        <f t="array" ref="W2984">index(Dropdowns!B:B,match(I2984,Dropdowns!A:A,0))</f>
        <v>1</v>
      </c>
      <c r="X2984" s="161" t="b">
        <f t="array" ref="X2984">index('Query Tool'!B:B,match(D2984,'Query Tool'!C:C,0))</f>
        <v>1</v>
      </c>
      <c r="Y2984" s="161" t="str">
        <f t="shared" si="6"/>
        <v>welshth01,2018-19</v>
      </c>
      <c r="Z2984" s="168" t="str">
        <f t="array" ref="Z2984">iferror(index(I:I,match($A2984&amp;","&amp;index('Year Conversion'!$A:$A,match($C2984,'Year Conversion'!$B:$B,0)),$Y:$Y,0))-I2984,"")</f>
        <v/>
      </c>
      <c r="AA2984" s="168" t="str">
        <f t="array" ref="AA2984">iferror(index(J:J,match($A2984&amp;","&amp;index('Year Conversion'!$A:$A,match($C2984,'Year Conversion'!$B:$B,0)),$Y:$Y,0))-J2984,"")</f>
        <v/>
      </c>
      <c r="AB2984" s="168" t="str">
        <f t="array" ref="AB2984">iferror(index(K:K,match($A2984&amp;","&amp;index('Year Conversion'!$A:$A,match($C2984,'Year Conversion'!$B:$B,0)),$Y:$Y,0))-K2984,"")</f>
        <v/>
      </c>
      <c r="AC2984" s="168" t="str">
        <f t="shared" si="7"/>
        <v>DEN,2018-19</v>
      </c>
    </row>
    <row r="2985">
      <c r="A2985" s="161" t="str">
        <f>IFERROR(__xludf.DUMMYFUNCTION("""COMPUTED_VALUE"""),"adamsja01")</f>
        <v>adamsja01</v>
      </c>
      <c r="B2985" s="161" t="str">
        <f>IFERROR(__xludf.DUMMYFUNCTION("""COMPUTED_VALUE"""),"Jaylen Adams")</f>
        <v>Jaylen Adams</v>
      </c>
      <c r="C2985" s="162" t="str">
        <f>IFERROR(__xludf.DUMMYFUNCTION("""COMPUTED_VALUE"""),"2018-19")</f>
        <v>2018-19</v>
      </c>
      <c r="D2985" s="163" t="str">
        <f>IFERROR(__xludf.DUMMYFUNCTION("""COMPUTED_VALUE"""),"ATL")</f>
        <v>ATL</v>
      </c>
      <c r="E2985" s="164" t="str">
        <f>IFERROR(__xludf.DUMMYFUNCTION("""COMPUTED_VALUE"""),"Secondary Ball Handler")</f>
        <v>Secondary Ball Handler</v>
      </c>
      <c r="F2985" s="164">
        <f>IFERROR(__xludf.DUMMYFUNCTION("""COMPUTED_VALUE"""),427.588333333333)</f>
        <v>427.5883333</v>
      </c>
      <c r="G2985" s="163">
        <f>IFERROR(__xludf.DUMMYFUNCTION("""COMPUTED_VALUE"""),34.0)</f>
        <v>34</v>
      </c>
      <c r="H2985" s="163" t="str">
        <f>IFERROR(__xludf.DUMMYFUNCTION("""COMPUTED_VALUE"""),"PG")</f>
        <v>PG</v>
      </c>
      <c r="I2985" s="163">
        <f>IFERROR(__xludf.DUMMYFUNCTION("""COMPUTED_VALUE"""),22.0)</f>
        <v>22</v>
      </c>
      <c r="J2985" s="165">
        <f>IFERROR(__xludf.DUMMYFUNCTION("""COMPUTED_VALUE"""),-2.23713248488959)</f>
        <v>-2.237132485</v>
      </c>
      <c r="K2985" s="165">
        <f>IFERROR(__xludf.DUMMYFUNCTION("""COMPUTED_VALUE"""),-1.82499977477816)</f>
        <v>-1.824999775</v>
      </c>
      <c r="L2985" s="165">
        <f>IFERROR(__xludf.DUMMYFUNCTION("""COMPUTED_VALUE"""),-0.412132710111432)</f>
        <v>-0.4121327101</v>
      </c>
      <c r="M2985" s="166">
        <f t="shared" si="2"/>
        <v>0.01873449369</v>
      </c>
      <c r="N2985" s="167">
        <f t="shared" si="3"/>
        <v>12.57612745</v>
      </c>
      <c r="O2985" s="163">
        <f t="shared" ref="O2985:Q2985" si="2989">rank(I2985,I:I)</f>
        <v>3178</v>
      </c>
      <c r="P2985" s="163">
        <f t="shared" si="2989"/>
        <v>3627</v>
      </c>
      <c r="Q2985" s="163">
        <f t="shared" si="2989"/>
        <v>3587</v>
      </c>
      <c r="R2985" s="163">
        <f>IFERROR(__xludf.DUMMYFUNCTION("RANK(M2985,filter(M:M,C:C=C2985))"),454.0)</f>
        <v>454</v>
      </c>
      <c r="S2985" s="161" t="b">
        <f t="shared" si="5"/>
        <v>0</v>
      </c>
      <c r="T2985" s="161" t="b">
        <f t="array" ref="T2985">index('Query Tool'!B:B,match(H2985,'Query Tool'!C:C,0))</f>
        <v>1</v>
      </c>
      <c r="U2985" s="161" t="b">
        <f t="array" ref="U2985">index('Query Tool'!B:B,match(C2985,'Query Tool'!C:C,0))</f>
        <v>0</v>
      </c>
      <c r="V2985" s="161" t="b">
        <f>F2985&gt;='Query Tool'!C$32</f>
        <v>0</v>
      </c>
      <c r="W2985" s="161" t="b">
        <f t="array" ref="W2985">index(Dropdowns!B:B,match(I2985,Dropdowns!A:A,0))</f>
        <v>1</v>
      </c>
      <c r="X2985" s="161" t="b">
        <f t="array" ref="X2985">index('Query Tool'!B:B,match(D2985,'Query Tool'!C:C,0))</f>
        <v>1</v>
      </c>
      <c r="Y2985" s="161" t="str">
        <f t="shared" si="6"/>
        <v>adamsja01,2018-19</v>
      </c>
      <c r="Z2985" s="168" t="str">
        <f t="array" ref="Z2985">iferror(index(I:I,match($A2985&amp;","&amp;index('Year Conversion'!$A:$A,match($C2985,'Year Conversion'!$B:$B,0)),$Y:$Y,0))-I2985,"")</f>
        <v/>
      </c>
      <c r="AA2985" s="168" t="str">
        <f t="array" ref="AA2985">iferror(index(J:J,match($A2985&amp;","&amp;index('Year Conversion'!$A:$A,match($C2985,'Year Conversion'!$B:$B,0)),$Y:$Y,0))-J2985,"")</f>
        <v/>
      </c>
      <c r="AB2985" s="168" t="str">
        <f t="array" ref="AB2985">iferror(index(K:K,match($A2985&amp;","&amp;index('Year Conversion'!$A:$A,match($C2985,'Year Conversion'!$B:$B,0)),$Y:$Y,0))-K2985,"")</f>
        <v/>
      </c>
      <c r="AC2985" s="168" t="str">
        <f t="shared" si="7"/>
        <v>ATL,2018-19</v>
      </c>
    </row>
    <row r="2986">
      <c r="A2986" s="161" t="str">
        <f>IFERROR(__xludf.DUMMYFUNCTION("""COMPUTED_VALUE"""),"macurjp01")</f>
        <v>macurjp01</v>
      </c>
      <c r="B2986" s="161" t="str">
        <f>IFERROR(__xludf.DUMMYFUNCTION("""COMPUTED_VALUE"""),"J.P. Macura")</f>
        <v>J.P. Macura</v>
      </c>
      <c r="C2986" s="162" t="str">
        <f>IFERROR(__xludf.DUMMYFUNCTION("""COMPUTED_VALUE"""),"2018-19")</f>
        <v>2018-19</v>
      </c>
      <c r="D2986" s="163" t="str">
        <f>IFERROR(__xludf.DUMMYFUNCTION("""COMPUTED_VALUE"""),"CHO")</f>
        <v>CHO</v>
      </c>
      <c r="E2986" s="164" t="str">
        <f>IFERROR(__xludf.DUMMYFUNCTION("""COMPUTED_VALUE"""),"Athletic Finisher")</f>
        <v>Athletic Finisher</v>
      </c>
      <c r="F2986" s="164">
        <f>IFERROR(__xludf.DUMMYFUNCTION("""COMPUTED_VALUE"""),16.8333333333333)</f>
        <v>16.83333333</v>
      </c>
      <c r="G2986" s="163">
        <f>IFERROR(__xludf.DUMMYFUNCTION("""COMPUTED_VALUE"""),2.0)</f>
        <v>2</v>
      </c>
      <c r="H2986" s="163" t="str">
        <f>IFERROR(__xludf.DUMMYFUNCTION("""COMPUTED_VALUE"""),"SG")</f>
        <v>SG</v>
      </c>
      <c r="I2986" s="163">
        <f>IFERROR(__xludf.DUMMYFUNCTION("""COMPUTED_VALUE"""),23.0)</f>
        <v>23</v>
      </c>
      <c r="J2986" s="165">
        <f>IFERROR(__xludf.DUMMYFUNCTION("""COMPUTED_VALUE"""),-0.319173167806517)</f>
        <v>-0.3191731678</v>
      </c>
      <c r="K2986" s="165">
        <f>IFERROR(__xludf.DUMMYFUNCTION("""COMPUTED_VALUE"""),-0.365284031188161)</f>
        <v>-0.3652840312</v>
      </c>
      <c r="L2986" s="165">
        <f>IFERROR(__xludf.DUMMYFUNCTION("""COMPUTED_VALUE"""),0.0461108633816439)</f>
        <v>0.04611086338</v>
      </c>
      <c r="M2986" s="166">
        <f t="shared" si="2"/>
        <v>0.02232964922</v>
      </c>
      <c r="N2986" s="167">
        <f t="shared" si="3"/>
        <v>8.416666667</v>
      </c>
      <c r="O2986" s="163">
        <f t="shared" ref="O2986:Q2986" si="2990">rank(I2986,I:I)</f>
        <v>2765</v>
      </c>
      <c r="P2986" s="163">
        <f t="shared" si="2990"/>
        <v>1637</v>
      </c>
      <c r="Q2986" s="163">
        <f t="shared" si="2990"/>
        <v>1881</v>
      </c>
      <c r="R2986" s="163">
        <f>IFERROR(__xludf.DUMMYFUNCTION("RANK(M2986,filter(M:M,C:C=C2986))"),449.0)</f>
        <v>449</v>
      </c>
      <c r="S2986" s="161" t="b">
        <f t="shared" si="5"/>
        <v>0</v>
      </c>
      <c r="T2986" s="161" t="b">
        <f t="array" ref="T2986">index('Query Tool'!B:B,match(H2986,'Query Tool'!C:C,0))</f>
        <v>1</v>
      </c>
      <c r="U2986" s="161" t="b">
        <f t="array" ref="U2986">index('Query Tool'!B:B,match(C2986,'Query Tool'!C:C,0))</f>
        <v>0</v>
      </c>
      <c r="V2986" s="161" t="b">
        <f>F2986&gt;='Query Tool'!C$32</f>
        <v>0</v>
      </c>
      <c r="W2986" s="161" t="b">
        <f t="array" ref="W2986">index(Dropdowns!B:B,match(I2986,Dropdowns!A:A,0))</f>
        <v>1</v>
      </c>
      <c r="X2986" s="161" t="b">
        <f t="array" ref="X2986">index('Query Tool'!B:B,match(D2986,'Query Tool'!C:C,0))</f>
        <v>1</v>
      </c>
      <c r="Y2986" s="161" t="str">
        <f t="shared" si="6"/>
        <v>macurjp01,2018-19</v>
      </c>
      <c r="Z2986" s="168">
        <f t="array" ref="Z2986">iferror(index(I:I,match($A2986&amp;","&amp;index('Year Conversion'!$A:$A,match($C2986,'Year Conversion'!$B:$B,0)),$Y:$Y,0))-I2986,"")</f>
        <v>1</v>
      </c>
      <c r="AA2986" s="168">
        <f t="array" ref="AA2986">iferror(index(J:J,match($A2986&amp;","&amp;index('Year Conversion'!$A:$A,match($C2986,'Year Conversion'!$B:$B,0)),$Y:$Y,0))-J2986,"")</f>
        <v>0.7041951046</v>
      </c>
      <c r="AB2986" s="168">
        <f t="array" ref="AB2986">iferror(index(K:K,match($A2986&amp;","&amp;index('Year Conversion'!$A:$A,match($C2986,'Year Conversion'!$B:$B,0)),$Y:$Y,0))-K2986,"")</f>
        <v>0.3577834553</v>
      </c>
      <c r="AC2986" s="168" t="str">
        <f t="shared" si="7"/>
        <v>CHO,2018-19</v>
      </c>
    </row>
    <row r="2987">
      <c r="A2987" s="161" t="str">
        <f>IFERROR(__xludf.DUMMYFUNCTION("""COMPUTED_VALUE"""),"terreja01")</f>
        <v>terreja01</v>
      </c>
      <c r="B2987" s="161" t="str">
        <f>IFERROR(__xludf.DUMMYFUNCTION("""COMPUTED_VALUE"""),"Jared Terrell")</f>
        <v>Jared Terrell</v>
      </c>
      <c r="C2987" s="162" t="str">
        <f>IFERROR(__xludf.DUMMYFUNCTION("""COMPUTED_VALUE"""),"2018-19")</f>
        <v>2018-19</v>
      </c>
      <c r="D2987" s="163" t="str">
        <f>IFERROR(__xludf.DUMMYFUNCTION("""COMPUTED_VALUE"""),"MIN")</f>
        <v>MIN</v>
      </c>
      <c r="E2987" s="164" t="str">
        <f>IFERROR(__xludf.DUMMYFUNCTION("""COMPUTED_VALUE"""),"Secondary Ball Handler")</f>
        <v>Secondary Ball Handler</v>
      </c>
      <c r="F2987" s="164">
        <f>IFERROR(__xludf.DUMMYFUNCTION("""COMPUTED_VALUE"""),110.921666666667)</f>
        <v>110.9216667</v>
      </c>
      <c r="G2987" s="163">
        <f>IFERROR(__xludf.DUMMYFUNCTION("""COMPUTED_VALUE"""),14.0)</f>
        <v>14</v>
      </c>
      <c r="H2987" s="163" t="str">
        <f>IFERROR(__xludf.DUMMYFUNCTION("""COMPUTED_VALUE"""),"SG")</f>
        <v>SG</v>
      </c>
      <c r="I2987" s="163">
        <f>IFERROR(__xludf.DUMMYFUNCTION("""COMPUTED_VALUE"""),23.0)</f>
        <v>23</v>
      </c>
      <c r="J2987" s="165">
        <f>IFERROR(__xludf.DUMMYFUNCTION("""COMPUTED_VALUE"""),-1.69624192877464)</f>
        <v>-1.696241929</v>
      </c>
      <c r="K2987" s="165">
        <f>IFERROR(__xludf.DUMMYFUNCTION("""COMPUTED_VALUE"""),-1.05554958572569)</f>
        <v>-1.055549586</v>
      </c>
      <c r="L2987" s="165">
        <f>IFERROR(__xludf.DUMMYFUNCTION("""COMPUTED_VALUE"""),-0.640692343048947)</f>
        <v>-0.640692343</v>
      </c>
      <c r="M2987" s="166">
        <f t="shared" si="2"/>
        <v>0.04466003453</v>
      </c>
      <c r="N2987" s="167">
        <f t="shared" si="3"/>
        <v>7.92297619</v>
      </c>
      <c r="O2987" s="163">
        <f t="shared" ref="O2987:Q2987" si="2991">rank(I2987,I:I)</f>
        <v>2765</v>
      </c>
      <c r="P2987" s="163">
        <f t="shared" si="2991"/>
        <v>3236</v>
      </c>
      <c r="Q2987" s="163">
        <f t="shared" si="2991"/>
        <v>2879</v>
      </c>
      <c r="R2987" s="163">
        <f>IFERROR(__xludf.DUMMYFUNCTION("RANK(M2987,filter(M:M,C:C=C2987))"),429.0)</f>
        <v>429</v>
      </c>
      <c r="S2987" s="161" t="b">
        <f t="shared" si="5"/>
        <v>0</v>
      </c>
      <c r="T2987" s="161" t="b">
        <f t="array" ref="T2987">index('Query Tool'!B:B,match(H2987,'Query Tool'!C:C,0))</f>
        <v>1</v>
      </c>
      <c r="U2987" s="161" t="b">
        <f t="array" ref="U2987">index('Query Tool'!B:B,match(C2987,'Query Tool'!C:C,0))</f>
        <v>0</v>
      </c>
      <c r="V2987" s="161" t="b">
        <f>F2987&gt;='Query Tool'!C$32</f>
        <v>0</v>
      </c>
      <c r="W2987" s="161" t="b">
        <f t="array" ref="W2987">index(Dropdowns!B:B,match(I2987,Dropdowns!A:A,0))</f>
        <v>1</v>
      </c>
      <c r="X2987" s="161" t="b">
        <f t="array" ref="X2987">index('Query Tool'!B:B,match(D2987,'Query Tool'!C:C,0))</f>
        <v>1</v>
      </c>
      <c r="Y2987" s="161" t="str">
        <f t="shared" si="6"/>
        <v>terreja01,2018-19</v>
      </c>
      <c r="Z2987" s="168" t="str">
        <f t="array" ref="Z2987">iferror(index(I:I,match($A2987&amp;","&amp;index('Year Conversion'!$A:$A,match($C2987,'Year Conversion'!$B:$B,0)),$Y:$Y,0))-I2987,"")</f>
        <v/>
      </c>
      <c r="AA2987" s="168" t="str">
        <f t="array" ref="AA2987">iferror(index(J:J,match($A2987&amp;","&amp;index('Year Conversion'!$A:$A,match($C2987,'Year Conversion'!$B:$B,0)),$Y:$Y,0))-J2987,"")</f>
        <v/>
      </c>
      <c r="AB2987" s="168" t="str">
        <f t="array" ref="AB2987">iferror(index(K:K,match($A2987&amp;","&amp;index('Year Conversion'!$A:$A,match($C2987,'Year Conversion'!$B:$B,0)),$Y:$Y,0))-K2987,"")</f>
        <v/>
      </c>
      <c r="AC2987" s="168" t="str">
        <f t="shared" si="7"/>
        <v>MIN,2018-19</v>
      </c>
    </row>
    <row r="2988">
      <c r="A2988" s="161" t="str">
        <f>IFERROR(__xludf.DUMMYFUNCTION("""COMPUTED_VALUE"""),"burtode02")</f>
        <v>burtode02</v>
      </c>
      <c r="B2988" s="161" t="str">
        <f>IFERROR(__xludf.DUMMYFUNCTION("""COMPUTED_VALUE"""),"Deonte Burton")</f>
        <v>Deonte Burton</v>
      </c>
      <c r="C2988" s="162" t="str">
        <f>IFERROR(__xludf.DUMMYFUNCTION("""COMPUTED_VALUE"""),"2018-19")</f>
        <v>2018-19</v>
      </c>
      <c r="D2988" s="163" t="str">
        <f>IFERROR(__xludf.DUMMYFUNCTION("""COMPUTED_VALUE"""),"OKC")</f>
        <v>OKC</v>
      </c>
      <c r="E2988" s="164" t="str">
        <f>IFERROR(__xludf.DUMMYFUNCTION("""COMPUTED_VALUE"""),"Stationary Shooter")</f>
        <v>Stationary Shooter</v>
      </c>
      <c r="F2988" s="164">
        <f>IFERROR(__xludf.DUMMYFUNCTION("""COMPUTED_VALUE"""),239.881666666667)</f>
        <v>239.8816667</v>
      </c>
      <c r="G2988" s="163">
        <f>IFERROR(__xludf.DUMMYFUNCTION("""COMPUTED_VALUE"""),32.0)</f>
        <v>32</v>
      </c>
      <c r="H2988" s="163" t="str">
        <f>IFERROR(__xludf.DUMMYFUNCTION("""COMPUTED_VALUE"""),"SG")</f>
        <v>SG</v>
      </c>
      <c r="I2988" s="163">
        <f>IFERROR(__xludf.DUMMYFUNCTION("""COMPUTED_VALUE"""),25.0)</f>
        <v>25</v>
      </c>
      <c r="J2988" s="165">
        <f>IFERROR(__xludf.DUMMYFUNCTION("""COMPUTED_VALUE"""),-1.63305215354184)</f>
        <v>-1.633052154</v>
      </c>
      <c r="K2988" s="165">
        <f>IFERROR(__xludf.DUMMYFUNCTION("""COMPUTED_VALUE"""),-1.92411877154999)</f>
        <v>-1.924118772</v>
      </c>
      <c r="L2988" s="165">
        <f>IFERROR(__xludf.DUMMYFUNCTION("""COMPUTED_VALUE"""),0.291066618008145)</f>
        <v>0.291066618</v>
      </c>
      <c r="M2988" s="166">
        <f t="shared" si="2"/>
        <v>0.1066850693</v>
      </c>
      <c r="N2988" s="167">
        <f t="shared" si="3"/>
        <v>7.496302083</v>
      </c>
      <c r="O2988" s="163">
        <f t="shared" ref="O2988:Q2988" si="2992">rank(I2988,I:I)</f>
        <v>1995</v>
      </c>
      <c r="P2988" s="163">
        <f t="shared" si="2992"/>
        <v>3179</v>
      </c>
      <c r="Q2988" s="163">
        <f t="shared" si="2992"/>
        <v>3667</v>
      </c>
      <c r="R2988" s="163">
        <f>IFERROR(__xludf.DUMMYFUNCTION("RANK(M2988,filter(M:M,C:C=C2988))"),388.0)</f>
        <v>388</v>
      </c>
      <c r="S2988" s="161" t="b">
        <f t="shared" si="5"/>
        <v>0</v>
      </c>
      <c r="T2988" s="161" t="b">
        <f t="array" ref="T2988">index('Query Tool'!B:B,match(H2988,'Query Tool'!C:C,0))</f>
        <v>1</v>
      </c>
      <c r="U2988" s="161" t="b">
        <f t="array" ref="U2988">index('Query Tool'!B:B,match(C2988,'Query Tool'!C:C,0))</f>
        <v>0</v>
      </c>
      <c r="V2988" s="161" t="b">
        <f>F2988&gt;='Query Tool'!C$32</f>
        <v>0</v>
      </c>
      <c r="W2988" s="161" t="b">
        <f t="array" ref="W2988">index(Dropdowns!B:B,match(I2988,Dropdowns!A:A,0))</f>
        <v>1</v>
      </c>
      <c r="X2988" s="161" t="b">
        <f t="array" ref="X2988">index('Query Tool'!B:B,match(D2988,'Query Tool'!C:C,0))</f>
        <v>1</v>
      </c>
      <c r="Y2988" s="161" t="str">
        <f t="shared" si="6"/>
        <v>burtode02,2018-19</v>
      </c>
      <c r="Z2988" s="168">
        <f t="array" ref="Z2988">iferror(index(I:I,match($A2988&amp;","&amp;index('Year Conversion'!$A:$A,match($C2988,'Year Conversion'!$B:$B,0)),$Y:$Y,0))-I2988,"")</f>
        <v>1</v>
      </c>
      <c r="AA2988" s="168">
        <f t="array" ref="AA2988">iferror(index(J:J,match($A2988&amp;","&amp;index('Year Conversion'!$A:$A,match($C2988,'Year Conversion'!$B:$B,0)),$Y:$Y,0))-J2988,"")</f>
        <v>-2.16206815</v>
      </c>
      <c r="AB2988" s="168">
        <f t="array" ref="AB2988">iferror(index(K:K,match($A2988&amp;","&amp;index('Year Conversion'!$A:$A,match($C2988,'Year Conversion'!$B:$B,0)),$Y:$Y,0))-K2988,"")</f>
        <v>-1.452756388</v>
      </c>
      <c r="AC2988" s="168" t="str">
        <f t="shared" si="7"/>
        <v>OKC,2018-19</v>
      </c>
    </row>
    <row r="2989">
      <c r="A2989" s="161" t="str">
        <f>IFERROR(__xludf.DUMMYFUNCTION("""COMPUTED_VALUE"""),"robindu01")</f>
        <v>robindu01</v>
      </c>
      <c r="B2989" s="161" t="str">
        <f>IFERROR(__xludf.DUMMYFUNCTION("""COMPUTED_VALUE"""),"Duncan Robinson")</f>
        <v>Duncan Robinson</v>
      </c>
      <c r="C2989" s="162" t="str">
        <f>IFERROR(__xludf.DUMMYFUNCTION("""COMPUTED_VALUE"""),"2018-19")</f>
        <v>2018-19</v>
      </c>
      <c r="D2989" s="163" t="str">
        <f>IFERROR(__xludf.DUMMYFUNCTION("""COMPUTED_VALUE"""),"MIA")</f>
        <v>MIA</v>
      </c>
      <c r="E2989" s="164" t="str">
        <f>IFERROR(__xludf.DUMMYFUNCTION("""COMPUTED_VALUE"""),"Movement Shooter")</f>
        <v>Movement Shooter</v>
      </c>
      <c r="F2989" s="164">
        <f>IFERROR(__xludf.DUMMYFUNCTION("""COMPUTED_VALUE"""),160.936666666667)</f>
        <v>160.9366667</v>
      </c>
      <c r="G2989" s="163">
        <f>IFERROR(__xludf.DUMMYFUNCTION("""COMPUTED_VALUE"""),15.0)</f>
        <v>15</v>
      </c>
      <c r="H2989" s="163" t="str">
        <f>IFERROR(__xludf.DUMMYFUNCTION("""COMPUTED_VALUE"""),"SF")</f>
        <v>SF</v>
      </c>
      <c r="I2989" s="163">
        <f>IFERROR(__xludf.DUMMYFUNCTION("""COMPUTED_VALUE"""),24.0)</f>
        <v>24</v>
      </c>
      <c r="J2989" s="165">
        <f>IFERROR(__xludf.DUMMYFUNCTION("""COMPUTED_VALUE"""),-0.711764754082984)</f>
        <v>-0.7117647541</v>
      </c>
      <c r="K2989" s="165">
        <f>IFERROR(__xludf.DUMMYFUNCTION("""COMPUTED_VALUE"""),-0.309893228048497)</f>
        <v>-0.309893228</v>
      </c>
      <c r="L2989" s="165">
        <f>IFERROR(__xludf.DUMMYFUNCTION("""COMPUTED_VALUE"""),-0.401871526034487)</f>
        <v>-0.401871526</v>
      </c>
      <c r="M2989" s="166">
        <f t="shared" si="2"/>
        <v>0.1709371985</v>
      </c>
      <c r="N2989" s="167">
        <f t="shared" si="3"/>
        <v>10.72911111</v>
      </c>
      <c r="O2989" s="163">
        <f t="shared" ref="O2989:Q2989" si="2993">rank(I2989,I:I)</f>
        <v>2361</v>
      </c>
      <c r="P2989" s="163">
        <f t="shared" si="2993"/>
        <v>2164</v>
      </c>
      <c r="Q2989" s="163">
        <f t="shared" si="2993"/>
        <v>1773</v>
      </c>
      <c r="R2989" s="163">
        <f>IFERROR(__xludf.DUMMYFUNCTION("RANK(M2989,filter(M:M,C:C=C2989))"),358.0)</f>
        <v>358</v>
      </c>
      <c r="S2989" s="161" t="b">
        <f t="shared" si="5"/>
        <v>0</v>
      </c>
      <c r="T2989" s="161" t="b">
        <f t="array" ref="T2989">index('Query Tool'!B:B,match(H2989,'Query Tool'!C:C,0))</f>
        <v>1</v>
      </c>
      <c r="U2989" s="161" t="b">
        <f t="array" ref="U2989">index('Query Tool'!B:B,match(C2989,'Query Tool'!C:C,0))</f>
        <v>0</v>
      </c>
      <c r="V2989" s="161" t="b">
        <f>F2989&gt;='Query Tool'!C$32</f>
        <v>0</v>
      </c>
      <c r="W2989" s="161" t="b">
        <f t="array" ref="W2989">index(Dropdowns!B:B,match(I2989,Dropdowns!A:A,0))</f>
        <v>1</v>
      </c>
      <c r="X2989" s="161" t="b">
        <f t="array" ref="X2989">index('Query Tool'!B:B,match(D2989,'Query Tool'!C:C,0))</f>
        <v>1</v>
      </c>
      <c r="Y2989" s="161" t="str">
        <f t="shared" si="6"/>
        <v>robindu01,2018-19</v>
      </c>
      <c r="Z2989" s="168">
        <f t="array" ref="Z2989">iferror(index(I:I,match($A2989&amp;","&amp;index('Year Conversion'!$A:$A,match($C2989,'Year Conversion'!$B:$B,0)),$Y:$Y,0))-I2989,"")</f>
        <v>1</v>
      </c>
      <c r="AA2989" s="168">
        <f t="array" ref="AA2989">iferror(index(J:J,match($A2989&amp;","&amp;index('Year Conversion'!$A:$A,match($C2989,'Year Conversion'!$B:$B,0)),$Y:$Y,0))-J2989,"")</f>
        <v>2.259473547</v>
      </c>
      <c r="AB2989" s="168">
        <f t="array" ref="AB2989">iferror(index(K:K,match($A2989&amp;","&amp;index('Year Conversion'!$A:$A,match($C2989,'Year Conversion'!$B:$B,0)),$Y:$Y,0))-K2989,"")</f>
        <v>1.682561232</v>
      </c>
      <c r="AC2989" s="168" t="str">
        <f t="shared" si="7"/>
        <v>MIA,2018-19</v>
      </c>
    </row>
    <row r="2990">
      <c r="A2990" s="161" t="str">
        <f>IFERROR(__xludf.DUMMYFUNCTION("""COMPUTED_VALUE"""),"maconda01")</f>
        <v>maconda01</v>
      </c>
      <c r="B2990" s="161" t="str">
        <f>IFERROR(__xludf.DUMMYFUNCTION("""COMPUTED_VALUE"""),"Daryl Macon")</f>
        <v>Daryl Macon</v>
      </c>
      <c r="C2990" s="162" t="str">
        <f>IFERROR(__xludf.DUMMYFUNCTION("""COMPUTED_VALUE"""),"2018-19")</f>
        <v>2018-19</v>
      </c>
      <c r="D2990" s="163" t="str">
        <f>IFERROR(__xludf.DUMMYFUNCTION("""COMPUTED_VALUE"""),"DAL")</f>
        <v>DAL</v>
      </c>
      <c r="E2990" s="164" t="str">
        <f>IFERROR(__xludf.DUMMYFUNCTION("""COMPUTED_VALUE"""),"Movement Shooter")</f>
        <v>Movement Shooter</v>
      </c>
      <c r="F2990" s="164">
        <f>IFERROR(__xludf.DUMMYFUNCTION("""COMPUTED_VALUE"""),89.8466666666666)</f>
        <v>89.84666667</v>
      </c>
      <c r="G2990" s="163">
        <f>IFERROR(__xludf.DUMMYFUNCTION("""COMPUTED_VALUE"""),8.0)</f>
        <v>8</v>
      </c>
      <c r="H2990" s="163" t="str">
        <f>IFERROR(__xludf.DUMMYFUNCTION("""COMPUTED_VALUE"""),"SG")</f>
        <v>SG</v>
      </c>
      <c r="I2990" s="163">
        <f>IFERROR(__xludf.DUMMYFUNCTION("""COMPUTED_VALUE"""),23.0)</f>
        <v>23</v>
      </c>
      <c r="J2990" s="165">
        <f>IFERROR(__xludf.DUMMYFUNCTION("""COMPUTED_VALUE"""),-0.64152318655713)</f>
        <v>-0.6415231866</v>
      </c>
      <c r="K2990" s="165">
        <f>IFERROR(__xludf.DUMMYFUNCTION("""COMPUTED_VALUE"""),-0.505462338737733)</f>
        <v>-0.5054623387</v>
      </c>
      <c r="L2990" s="165">
        <f>IFERROR(__xludf.DUMMYFUNCTION("""COMPUTED_VALUE"""),-0.136060847819397)</f>
        <v>-0.1360608478</v>
      </c>
      <c r="M2990" s="166">
        <f t="shared" si="2"/>
        <v>0.09967637469</v>
      </c>
      <c r="N2990" s="167">
        <f t="shared" si="3"/>
        <v>11.23083333</v>
      </c>
      <c r="O2990" s="163">
        <f t="shared" ref="O2990:Q2990" si="2994">rank(I2990,I:I)</f>
        <v>2765</v>
      </c>
      <c r="P2990" s="163">
        <f t="shared" si="2994"/>
        <v>2047</v>
      </c>
      <c r="Q2990" s="163">
        <f t="shared" si="2994"/>
        <v>2110</v>
      </c>
      <c r="R2990" s="163">
        <f>IFERROR(__xludf.DUMMYFUNCTION("RANK(M2990,filter(M:M,C:C=C2990))"),393.0)</f>
        <v>393</v>
      </c>
      <c r="S2990" s="161" t="b">
        <f t="shared" si="5"/>
        <v>0</v>
      </c>
      <c r="T2990" s="161" t="b">
        <f t="array" ref="T2990">index('Query Tool'!B:B,match(H2990,'Query Tool'!C:C,0))</f>
        <v>1</v>
      </c>
      <c r="U2990" s="161" t="b">
        <f t="array" ref="U2990">index('Query Tool'!B:B,match(C2990,'Query Tool'!C:C,0))</f>
        <v>0</v>
      </c>
      <c r="V2990" s="161" t="b">
        <f>F2990&gt;='Query Tool'!C$32</f>
        <v>0</v>
      </c>
      <c r="W2990" s="161" t="b">
        <f t="array" ref="W2990">index(Dropdowns!B:B,match(I2990,Dropdowns!A:A,0))</f>
        <v>1</v>
      </c>
      <c r="X2990" s="161" t="b">
        <f t="array" ref="X2990">index('Query Tool'!B:B,match(D2990,'Query Tool'!C:C,0))</f>
        <v>1</v>
      </c>
      <c r="Y2990" s="161" t="str">
        <f t="shared" si="6"/>
        <v>maconda01,2018-19</v>
      </c>
      <c r="Z2990" s="168">
        <f t="array" ref="Z2990">iferror(index(I:I,match($A2990&amp;","&amp;index('Year Conversion'!$A:$A,match($C2990,'Year Conversion'!$B:$B,0)),$Y:$Y,0))-I2990,"")</f>
        <v>1</v>
      </c>
      <c r="AA2990" s="168">
        <f t="array" ref="AA2990">iferror(index(J:J,match($A2990&amp;","&amp;index('Year Conversion'!$A:$A,match($C2990,'Year Conversion'!$B:$B,0)),$Y:$Y,0))-J2990,"")</f>
        <v>-0.2058276788</v>
      </c>
      <c r="AB2990" s="168">
        <f t="array" ref="AB2990">iferror(index(K:K,match($A2990&amp;","&amp;index('Year Conversion'!$A:$A,match($C2990,'Year Conversion'!$B:$B,0)),$Y:$Y,0))-K2990,"")</f>
        <v>-0.03748094756</v>
      </c>
      <c r="AC2990" s="168" t="str">
        <f t="shared" si="7"/>
        <v>DAL,2018-19</v>
      </c>
    </row>
    <row r="2991">
      <c r="A2991" s="161" t="str">
        <f>IFERROR(__xludf.DUMMYFUNCTION("""COMPUTED_VALUE"""),"watanyu01")</f>
        <v>watanyu01</v>
      </c>
      <c r="B2991" s="161" t="str">
        <f>IFERROR(__xludf.DUMMYFUNCTION("""COMPUTED_VALUE"""),"Yuta Watanabe")</f>
        <v>Yuta Watanabe</v>
      </c>
      <c r="C2991" s="162" t="str">
        <f>IFERROR(__xludf.DUMMYFUNCTION("""COMPUTED_VALUE"""),"2018-19")</f>
        <v>2018-19</v>
      </c>
      <c r="D2991" s="163" t="str">
        <f>IFERROR(__xludf.DUMMYFUNCTION("""COMPUTED_VALUE"""),"MEM")</f>
        <v>MEM</v>
      </c>
      <c r="E2991" s="164" t="str">
        <f>IFERROR(__xludf.DUMMYFUNCTION("""COMPUTED_VALUE"""),"Movement Shooter")</f>
        <v>Movement Shooter</v>
      </c>
      <c r="F2991" s="164">
        <f>IFERROR(__xludf.DUMMYFUNCTION("""COMPUTED_VALUE"""),174.35)</f>
        <v>174.35</v>
      </c>
      <c r="G2991" s="163">
        <f>IFERROR(__xludf.DUMMYFUNCTION("""COMPUTED_VALUE"""),15.0)</f>
        <v>15</v>
      </c>
      <c r="H2991" s="163" t="str">
        <f>IFERROR(__xludf.DUMMYFUNCTION("""COMPUTED_VALUE"""),"SF")</f>
        <v>SF</v>
      </c>
      <c r="I2991" s="163">
        <f>IFERROR(__xludf.DUMMYFUNCTION("""COMPUTED_VALUE"""),24.0)</f>
        <v>24</v>
      </c>
      <c r="J2991" s="165">
        <f>IFERROR(__xludf.DUMMYFUNCTION("""COMPUTED_VALUE"""),-0.924710331316163)</f>
        <v>-0.9247103313</v>
      </c>
      <c r="K2991" s="165">
        <f>IFERROR(__xludf.DUMMYFUNCTION("""COMPUTED_VALUE"""),-0.884383810812278)</f>
        <v>-0.8843838108</v>
      </c>
      <c r="L2991" s="165">
        <f>IFERROR(__xludf.DUMMYFUNCTION("""COMPUTED_VALUE"""),-0.0403265205038845)</f>
        <v>-0.0403265205</v>
      </c>
      <c r="M2991" s="166">
        <f t="shared" si="2"/>
        <v>0.1602234452</v>
      </c>
      <c r="N2991" s="167">
        <f t="shared" si="3"/>
        <v>11.62333333</v>
      </c>
      <c r="O2991" s="163">
        <f t="shared" ref="O2991:Q2991" si="2995">rank(I2991,I:I)</f>
        <v>2361</v>
      </c>
      <c r="P2991" s="163">
        <f t="shared" si="2995"/>
        <v>2423</v>
      </c>
      <c r="Q2991" s="163">
        <f t="shared" si="2995"/>
        <v>2673</v>
      </c>
      <c r="R2991" s="163">
        <f>IFERROR(__xludf.DUMMYFUNCTION("RANK(M2991,filter(M:M,C:C=C2991))"),361.0)</f>
        <v>361</v>
      </c>
      <c r="S2991" s="161" t="b">
        <f t="shared" si="5"/>
        <v>0</v>
      </c>
      <c r="T2991" s="161" t="b">
        <f t="array" ref="T2991">index('Query Tool'!B:B,match(H2991,'Query Tool'!C:C,0))</f>
        <v>1</v>
      </c>
      <c r="U2991" s="161" t="b">
        <f t="array" ref="U2991">index('Query Tool'!B:B,match(C2991,'Query Tool'!C:C,0))</f>
        <v>0</v>
      </c>
      <c r="V2991" s="161" t="b">
        <f>F2991&gt;='Query Tool'!C$32</f>
        <v>0</v>
      </c>
      <c r="W2991" s="161" t="b">
        <f t="array" ref="W2991">index(Dropdowns!B:B,match(I2991,Dropdowns!A:A,0))</f>
        <v>1</v>
      </c>
      <c r="X2991" s="161" t="b">
        <f t="array" ref="X2991">index('Query Tool'!B:B,match(D2991,'Query Tool'!C:C,0))</f>
        <v>1</v>
      </c>
      <c r="Y2991" s="161" t="str">
        <f t="shared" si="6"/>
        <v>watanyu01,2018-19</v>
      </c>
      <c r="Z2991" s="168">
        <f t="array" ref="Z2991">iferror(index(I:I,match($A2991&amp;","&amp;index('Year Conversion'!$A:$A,match($C2991,'Year Conversion'!$B:$B,0)),$Y:$Y,0))-I2991,"")</f>
        <v>1</v>
      </c>
      <c r="AA2991" s="168">
        <f t="array" ref="AA2991">iferror(index(J:J,match($A2991&amp;","&amp;index('Year Conversion'!$A:$A,match($C2991,'Year Conversion'!$B:$B,0)),$Y:$Y,0))-J2991,"")</f>
        <v>0.6284381444</v>
      </c>
      <c r="AB2991" s="168">
        <f t="array" ref="AB2991">iferror(index(K:K,match($A2991&amp;","&amp;index('Year Conversion'!$A:$A,match($C2991,'Year Conversion'!$B:$B,0)),$Y:$Y,0))-K2991,"")</f>
        <v>0.4587278524</v>
      </c>
      <c r="AC2991" s="168" t="str">
        <f t="shared" si="7"/>
        <v>MEM,2018-19</v>
      </c>
    </row>
    <row r="2992">
      <c r="A2992" s="161" t="str">
        <f>IFERROR(__xludf.DUMMYFUNCTION("""COMPUTED_VALUE"""),"willijo04")</f>
        <v>willijo04</v>
      </c>
      <c r="B2992" s="161" t="str">
        <f>IFERROR(__xludf.DUMMYFUNCTION("""COMPUTED_VALUE"""),"Johnathan Williams")</f>
        <v>Johnathan Williams</v>
      </c>
      <c r="C2992" s="162" t="str">
        <f>IFERROR(__xludf.DUMMYFUNCTION("""COMPUTED_VALUE"""),"2018-19")</f>
        <v>2018-19</v>
      </c>
      <c r="D2992" s="163" t="str">
        <f>IFERROR(__xludf.DUMMYFUNCTION("""COMPUTED_VALUE"""),"LAL")</f>
        <v>LAL</v>
      </c>
      <c r="E2992" s="164" t="str">
        <f>IFERROR(__xludf.DUMMYFUNCTION("""COMPUTED_VALUE"""),"Roll + Cut Big")</f>
        <v>Roll + Cut Big</v>
      </c>
      <c r="F2992" s="164">
        <f>IFERROR(__xludf.DUMMYFUNCTION("""COMPUTED_VALUE"""),371.703333333333)</f>
        <v>371.7033333</v>
      </c>
      <c r="G2992" s="163">
        <f>IFERROR(__xludf.DUMMYFUNCTION("""COMPUTED_VALUE"""),24.0)</f>
        <v>24</v>
      </c>
      <c r="H2992" s="163" t="str">
        <f>IFERROR(__xludf.DUMMYFUNCTION("""COMPUTED_VALUE"""),"C")</f>
        <v>C</v>
      </c>
      <c r="I2992" s="163">
        <f>IFERROR(__xludf.DUMMYFUNCTION("""COMPUTED_VALUE"""),23.0)</f>
        <v>23</v>
      </c>
      <c r="J2992" s="165">
        <f>IFERROR(__xludf.DUMMYFUNCTION("""COMPUTED_VALUE"""),-0.49628519557225)</f>
        <v>-0.4962851956</v>
      </c>
      <c r="K2992" s="165">
        <f>IFERROR(__xludf.DUMMYFUNCTION("""COMPUTED_VALUE"""),-0.498043901889991)</f>
        <v>-0.4980439019</v>
      </c>
      <c r="L2992" s="165">
        <f>IFERROR(__xludf.DUMMYFUNCTION("""COMPUTED_VALUE"""),0.001758706317741)</f>
        <v>0.001758706318</v>
      </c>
      <c r="M2992" s="166">
        <f t="shared" si="2"/>
        <v>0.4487167985</v>
      </c>
      <c r="N2992" s="167">
        <f t="shared" si="3"/>
        <v>15.48763889</v>
      </c>
      <c r="O2992" s="163">
        <f t="shared" ref="O2992:Q2992" si="2996">rank(I2992,I:I)</f>
        <v>2765</v>
      </c>
      <c r="P2992" s="163">
        <f t="shared" si="2996"/>
        <v>1849</v>
      </c>
      <c r="Q2992" s="163">
        <f t="shared" si="2996"/>
        <v>2105</v>
      </c>
      <c r="R2992" s="163">
        <f>IFERROR(__xludf.DUMMYFUNCTION("RANK(M2992,filter(M:M,C:C=C2992))"),301.0)</f>
        <v>301</v>
      </c>
      <c r="S2992" s="161" t="b">
        <f t="shared" si="5"/>
        <v>0</v>
      </c>
      <c r="T2992" s="161" t="b">
        <f t="array" ref="T2992">index('Query Tool'!B:B,match(H2992,'Query Tool'!C:C,0))</f>
        <v>1</v>
      </c>
      <c r="U2992" s="161" t="b">
        <f t="array" ref="U2992">index('Query Tool'!B:B,match(C2992,'Query Tool'!C:C,0))</f>
        <v>0</v>
      </c>
      <c r="V2992" s="161" t="b">
        <f>F2992&gt;='Query Tool'!C$32</f>
        <v>0</v>
      </c>
      <c r="W2992" s="161" t="b">
        <f t="array" ref="W2992">index(Dropdowns!B:B,match(I2992,Dropdowns!A:A,0))</f>
        <v>1</v>
      </c>
      <c r="X2992" s="161" t="b">
        <f t="array" ref="X2992">index('Query Tool'!B:B,match(D2992,'Query Tool'!C:C,0))</f>
        <v>1</v>
      </c>
      <c r="Y2992" s="161" t="str">
        <f t="shared" si="6"/>
        <v>willijo04,2018-19</v>
      </c>
      <c r="Z2992" s="168">
        <f t="array" ref="Z2992">iferror(index(I:I,match($A2992&amp;","&amp;index('Year Conversion'!$A:$A,match($C2992,'Year Conversion'!$B:$B,0)),$Y:$Y,0))-I2992,"")</f>
        <v>1</v>
      </c>
      <c r="AA2992" s="168">
        <f t="array" ref="AA2992">iferror(index(J:J,match($A2992&amp;","&amp;index('Year Conversion'!$A:$A,match($C2992,'Year Conversion'!$B:$B,0)),$Y:$Y,0))-J2992,"")</f>
        <v>-0.7296465325</v>
      </c>
      <c r="AB2992" s="168">
        <f t="array" ref="AB2992">iferror(index(K:K,match($A2992&amp;","&amp;index('Year Conversion'!$A:$A,match($C2992,'Year Conversion'!$B:$B,0)),$Y:$Y,0))-K2992,"")</f>
        <v>-0.8262310109</v>
      </c>
      <c r="AC2992" s="168" t="str">
        <f t="shared" si="7"/>
        <v>LAL,2018-19</v>
      </c>
    </row>
    <row r="2993">
      <c r="A2993" s="161" t="str">
        <f>IFERROR(__xludf.DUMMYFUNCTION("""COMPUTED_VALUE"""),"chealjo01")</f>
        <v>chealjo01</v>
      </c>
      <c r="B2993" s="161" t="str">
        <f>IFERROR(__xludf.DUMMYFUNCTION("""COMPUTED_VALUE"""),"Joe Chealey")</f>
        <v>Joe Chealey</v>
      </c>
      <c r="C2993" s="162" t="str">
        <f>IFERROR(__xludf.DUMMYFUNCTION("""COMPUTED_VALUE"""),"2018-19")</f>
        <v>2018-19</v>
      </c>
      <c r="D2993" s="163" t="str">
        <f>IFERROR(__xludf.DUMMYFUNCTION("""COMPUTED_VALUE"""),"CHO")</f>
        <v>CHO</v>
      </c>
      <c r="E2993" s="164" t="str">
        <f>IFERROR(__xludf.DUMMYFUNCTION("""COMPUTED_VALUE"""),"Slasher")</f>
        <v>Slasher</v>
      </c>
      <c r="F2993" s="164">
        <f>IFERROR(__xludf.DUMMYFUNCTION("""COMPUTED_VALUE"""),7.75)</f>
        <v>7.75</v>
      </c>
      <c r="G2993" s="163">
        <f>IFERROR(__xludf.DUMMYFUNCTION("""COMPUTED_VALUE"""),1.0)</f>
        <v>1</v>
      </c>
      <c r="H2993" s="163" t="str">
        <f>IFERROR(__xludf.DUMMYFUNCTION("""COMPUTED_VALUE"""),"PG")</f>
        <v>PG</v>
      </c>
      <c r="I2993" s="163">
        <f>IFERROR(__xludf.DUMMYFUNCTION("""COMPUTED_VALUE"""),23.0)</f>
        <v>23</v>
      </c>
      <c r="J2993" s="165">
        <f>IFERROR(__xludf.DUMMYFUNCTION("""COMPUTED_VALUE"""),-0.500936833042882)</f>
        <v>-0.500936833</v>
      </c>
      <c r="K2993" s="165">
        <f>IFERROR(__xludf.DUMMYFUNCTION("""COMPUTED_VALUE"""),-0.366377410198898)</f>
        <v>-0.3663774102</v>
      </c>
      <c r="L2993" s="165">
        <f>IFERROR(__xludf.DUMMYFUNCTION("""COMPUTED_VALUE"""),-0.134559422843984)</f>
        <v>-0.1345594228</v>
      </c>
      <c r="M2993" s="166">
        <f t="shared" si="2"/>
        <v>0.009331448239</v>
      </c>
      <c r="N2993" s="167">
        <f t="shared" si="3"/>
        <v>7.75</v>
      </c>
      <c r="O2993" s="163">
        <f t="shared" ref="O2993:Q2993" si="2997">rank(I2993,I:I)</f>
        <v>2765</v>
      </c>
      <c r="P2993" s="163">
        <f t="shared" si="2997"/>
        <v>1858</v>
      </c>
      <c r="Q2993" s="163">
        <f t="shared" si="2997"/>
        <v>1884</v>
      </c>
      <c r="R2993" s="163">
        <f>IFERROR(__xludf.DUMMYFUNCTION("RANK(M2993,filter(M:M,C:C=C2993))"),461.0)</f>
        <v>461</v>
      </c>
      <c r="S2993" s="161" t="b">
        <f t="shared" si="5"/>
        <v>0</v>
      </c>
      <c r="T2993" s="161" t="b">
        <f t="array" ref="T2993">index('Query Tool'!B:B,match(H2993,'Query Tool'!C:C,0))</f>
        <v>1</v>
      </c>
      <c r="U2993" s="161" t="b">
        <f t="array" ref="U2993">index('Query Tool'!B:B,match(C2993,'Query Tool'!C:C,0))</f>
        <v>0</v>
      </c>
      <c r="V2993" s="161" t="b">
        <f>F2993&gt;='Query Tool'!C$32</f>
        <v>0</v>
      </c>
      <c r="W2993" s="161" t="b">
        <f t="array" ref="W2993">index(Dropdowns!B:B,match(I2993,Dropdowns!A:A,0))</f>
        <v>1</v>
      </c>
      <c r="X2993" s="161" t="b">
        <f t="array" ref="X2993">index('Query Tool'!B:B,match(D2993,'Query Tool'!C:C,0))</f>
        <v>1</v>
      </c>
      <c r="Y2993" s="161" t="str">
        <f t="shared" si="6"/>
        <v>chealjo01,2018-19</v>
      </c>
      <c r="Z2993" s="168">
        <f t="array" ref="Z2993">iferror(index(I:I,match($A2993&amp;","&amp;index('Year Conversion'!$A:$A,match($C2993,'Year Conversion'!$B:$B,0)),$Y:$Y,0))-I2993,"")</f>
        <v>1</v>
      </c>
      <c r="AA2993" s="168">
        <f t="array" ref="AA2993">iferror(index(J:J,match($A2993&amp;","&amp;index('Year Conversion'!$A:$A,match($C2993,'Year Conversion'!$B:$B,0)),$Y:$Y,0))-J2993,"")</f>
        <v>-0.06551015438</v>
      </c>
      <c r="AB2993" s="168">
        <f t="array" ref="AB2993">iferror(index(K:K,match($A2993&amp;","&amp;index('Year Conversion'!$A:$A,match($C2993,'Year Conversion'!$B:$B,0)),$Y:$Y,0))-K2993,"")</f>
        <v>-0.4535977004</v>
      </c>
      <c r="AC2993" s="168" t="str">
        <f t="shared" si="7"/>
        <v>CHO,2018-19</v>
      </c>
    </row>
    <row r="2994">
      <c r="A2994" s="161" t="str">
        <f>IFERROR(__xludf.DUMMYFUNCTION("""COMPUTED_VALUE"""),"terryem01")</f>
        <v>terryem01</v>
      </c>
      <c r="B2994" s="161" t="str">
        <f>IFERROR(__xludf.DUMMYFUNCTION("""COMPUTED_VALUE"""),"Emanuel Terry")</f>
        <v>Emanuel Terry</v>
      </c>
      <c r="C2994" s="162" t="str">
        <f>IFERROR(__xludf.DUMMYFUNCTION("""COMPUTED_VALUE"""),"2018-19")</f>
        <v>2018-19</v>
      </c>
      <c r="D2994" s="163" t="str">
        <f>IFERROR(__xludf.DUMMYFUNCTION("""COMPUTED_VALUE"""),"TOT")</f>
        <v>TOT</v>
      </c>
      <c r="E2994" s="164" t="str">
        <f>IFERROR(__xludf.DUMMYFUNCTION("""COMPUTED_VALUE"""),"Roll + Cut Big")</f>
        <v>Roll + Cut Big</v>
      </c>
      <c r="F2994" s="164">
        <f>IFERROR(__xludf.DUMMYFUNCTION("""COMPUTED_VALUE"""),22.7316666666667)</f>
        <v>22.73166667</v>
      </c>
      <c r="G2994" s="163">
        <f>IFERROR(__xludf.DUMMYFUNCTION("""COMPUTED_VALUE"""),3.0)</f>
        <v>3</v>
      </c>
      <c r="H2994" s="163" t="str">
        <f>IFERROR(__xludf.DUMMYFUNCTION("""COMPUTED_VALUE"""),"PF")</f>
        <v>PF</v>
      </c>
      <c r="I2994" s="163">
        <f>IFERROR(__xludf.DUMMYFUNCTION("""COMPUTED_VALUE"""),22.0)</f>
        <v>22</v>
      </c>
      <c r="J2994" s="165">
        <f>IFERROR(__xludf.DUMMYFUNCTION("""COMPUTED_VALUE"""),-0.189469677269729)</f>
        <v>-0.1894696773</v>
      </c>
      <c r="K2994" s="165">
        <f>IFERROR(__xludf.DUMMYFUNCTION("""COMPUTED_VALUE"""),0.0811614361696423)</f>
        <v>0.08116143617</v>
      </c>
      <c r="L2994" s="165">
        <f>IFERROR(__xludf.DUMMYFUNCTION("""COMPUTED_VALUE"""),-0.270631113439372)</f>
        <v>-0.2706311134</v>
      </c>
      <c r="M2994" s="166">
        <f t="shared" si="2"/>
        <v>0.03214108797</v>
      </c>
      <c r="N2994" s="167">
        <f t="shared" si="3"/>
        <v>7.577222222</v>
      </c>
      <c r="O2994" s="163">
        <f t="shared" ref="O2994:Q2994" si="2998">rank(I2994,I:I)</f>
        <v>3178</v>
      </c>
      <c r="P2994" s="163">
        <f t="shared" si="2998"/>
        <v>1494</v>
      </c>
      <c r="Q2994" s="163">
        <f t="shared" si="2998"/>
        <v>1093</v>
      </c>
      <c r="R2994" s="163">
        <f>IFERROR(__xludf.DUMMYFUNCTION("RANK(M2994,filter(M:M,C:C=C2994))"),440.0)</f>
        <v>440</v>
      </c>
      <c r="S2994" s="161" t="b">
        <f t="shared" si="5"/>
        <v>0</v>
      </c>
      <c r="T2994" s="161" t="b">
        <f t="array" ref="T2994">index('Query Tool'!B:B,match(H2994,'Query Tool'!C:C,0))</f>
        <v>1</v>
      </c>
      <c r="U2994" s="161" t="b">
        <f t="array" ref="U2994">index('Query Tool'!B:B,match(C2994,'Query Tool'!C:C,0))</f>
        <v>0</v>
      </c>
      <c r="V2994" s="161" t="b">
        <f>F2994&gt;='Query Tool'!C$32</f>
        <v>0</v>
      </c>
      <c r="W2994" s="161" t="b">
        <f t="array" ref="W2994">index(Dropdowns!B:B,match(I2994,Dropdowns!A:A,0))</f>
        <v>1</v>
      </c>
      <c r="X2994" s="161" t="b">
        <f t="array" ref="X2994">index('Query Tool'!B:B,match(D2994,'Query Tool'!C:C,0))</f>
        <v>1</v>
      </c>
      <c r="Y2994" s="161" t="str">
        <f t="shared" si="6"/>
        <v>terryem01,2018-19</v>
      </c>
      <c r="Z2994" s="168" t="str">
        <f t="array" ref="Z2994">iferror(index(I:I,match($A2994&amp;","&amp;index('Year Conversion'!$A:$A,match($C2994,'Year Conversion'!$B:$B,0)),$Y:$Y,0))-I2994,"")</f>
        <v/>
      </c>
      <c r="AA2994" s="168" t="str">
        <f t="array" ref="AA2994">iferror(index(J:J,match($A2994&amp;","&amp;index('Year Conversion'!$A:$A,match($C2994,'Year Conversion'!$B:$B,0)),$Y:$Y,0))-J2994,"")</f>
        <v/>
      </c>
      <c r="AB2994" s="168" t="str">
        <f t="array" ref="AB2994">iferror(index(K:K,match($A2994&amp;","&amp;index('Year Conversion'!$A:$A,match($C2994,'Year Conversion'!$B:$B,0)),$Y:$Y,0))-K2994,"")</f>
        <v/>
      </c>
      <c r="AC2994" s="168" t="str">
        <f t="shared" si="7"/>
        <v>TOT,2018-19</v>
      </c>
    </row>
    <row r="2995">
      <c r="A2995" s="161" t="str">
        <f>IFERROR(__xludf.DUMMYFUNCTION("""COMPUTED_VALUE"""),"broekry01")</f>
        <v>broekry01</v>
      </c>
      <c r="B2995" s="161" t="str">
        <f>IFERROR(__xludf.DUMMYFUNCTION("""COMPUTED_VALUE"""),"Ryan Broekhoff")</f>
        <v>Ryan Broekhoff</v>
      </c>
      <c r="C2995" s="162" t="str">
        <f>IFERROR(__xludf.DUMMYFUNCTION("""COMPUTED_VALUE"""),"2018-19")</f>
        <v>2018-19</v>
      </c>
      <c r="D2995" s="163" t="str">
        <f>IFERROR(__xludf.DUMMYFUNCTION("""COMPUTED_VALUE"""),"DAL")</f>
        <v>DAL</v>
      </c>
      <c r="E2995" s="164" t="str">
        <f>IFERROR(__xludf.DUMMYFUNCTION("""COMPUTED_VALUE"""),"Off Screen Shooter")</f>
        <v>Off Screen Shooter</v>
      </c>
      <c r="F2995" s="164">
        <f>IFERROR(__xludf.DUMMYFUNCTION("""COMPUTED_VALUE"""),453.586666666667)</f>
        <v>453.5866667</v>
      </c>
      <c r="G2995" s="163">
        <f>IFERROR(__xludf.DUMMYFUNCTION("""COMPUTED_VALUE"""),42.0)</f>
        <v>42</v>
      </c>
      <c r="H2995" s="163" t="str">
        <f>IFERROR(__xludf.DUMMYFUNCTION("""COMPUTED_VALUE"""),"SG")</f>
        <v>SG</v>
      </c>
      <c r="I2995" s="163">
        <f>IFERROR(__xludf.DUMMYFUNCTION("""COMPUTED_VALUE"""),28.0)</f>
        <v>28</v>
      </c>
      <c r="J2995" s="165">
        <f>IFERROR(__xludf.DUMMYFUNCTION("""COMPUTED_VALUE"""),-1.34681646760277)</f>
        <v>-1.346816468</v>
      </c>
      <c r="K2995" s="165">
        <f>IFERROR(__xludf.DUMMYFUNCTION("""COMPUTED_VALUE"""),-0.632193635621124)</f>
        <v>-0.6321936356</v>
      </c>
      <c r="L2995" s="165">
        <f>IFERROR(__xludf.DUMMYFUNCTION("""COMPUTED_VALUE"""),-0.71462283198165)</f>
        <v>-0.714622832</v>
      </c>
      <c r="M2995" s="166">
        <f t="shared" si="2"/>
        <v>0.2884529478</v>
      </c>
      <c r="N2995" s="167">
        <f t="shared" si="3"/>
        <v>10.79968254</v>
      </c>
      <c r="O2995" s="163">
        <f t="shared" ref="O2995:Q2995" si="2999">rank(I2995,I:I)</f>
        <v>1090</v>
      </c>
      <c r="P2995" s="163">
        <f t="shared" si="2999"/>
        <v>2905</v>
      </c>
      <c r="Q2995" s="163">
        <f t="shared" si="2999"/>
        <v>2308</v>
      </c>
      <c r="R2995" s="163">
        <f>IFERROR(__xludf.DUMMYFUNCTION("RANK(M2995,filter(M:M,C:C=C2995))"),324.0)</f>
        <v>324</v>
      </c>
      <c r="S2995" s="161" t="b">
        <f t="shared" si="5"/>
        <v>0</v>
      </c>
      <c r="T2995" s="161" t="b">
        <f t="array" ref="T2995">index('Query Tool'!B:B,match(H2995,'Query Tool'!C:C,0))</f>
        <v>1</v>
      </c>
      <c r="U2995" s="161" t="b">
        <f t="array" ref="U2995">index('Query Tool'!B:B,match(C2995,'Query Tool'!C:C,0))</f>
        <v>0</v>
      </c>
      <c r="V2995" s="161" t="b">
        <f>F2995&gt;='Query Tool'!C$32</f>
        <v>0</v>
      </c>
      <c r="W2995" s="161" t="b">
        <f t="array" ref="W2995">index(Dropdowns!B:B,match(I2995,Dropdowns!A:A,0))</f>
        <v>1</v>
      </c>
      <c r="X2995" s="161" t="b">
        <f t="array" ref="X2995">index('Query Tool'!B:B,match(D2995,'Query Tool'!C:C,0))</f>
        <v>1</v>
      </c>
      <c r="Y2995" s="161" t="str">
        <f t="shared" si="6"/>
        <v>broekry01,2018-19</v>
      </c>
      <c r="Z2995" s="168">
        <f t="array" ref="Z2995">iferror(index(I:I,match($A2995&amp;","&amp;index('Year Conversion'!$A:$A,match($C2995,'Year Conversion'!$B:$B,0)),$Y:$Y,0))-I2995,"")</f>
        <v>1</v>
      </c>
      <c r="AA2995" s="168">
        <f t="array" ref="AA2995">iferror(index(J:J,match($A2995&amp;","&amp;index('Year Conversion'!$A:$A,match($C2995,'Year Conversion'!$B:$B,0)),$Y:$Y,0))-J2995,"")</f>
        <v>0.2633049618</v>
      </c>
      <c r="AB2995" s="168">
        <f t="array" ref="AB2995">iferror(index(K:K,match($A2995&amp;","&amp;index('Year Conversion'!$A:$A,match($C2995,'Year Conversion'!$B:$B,0)),$Y:$Y,0))-K2995,"")</f>
        <v>0.167140055</v>
      </c>
      <c r="AC2995" s="168" t="str">
        <f t="shared" si="7"/>
        <v>DAL,2018-19</v>
      </c>
    </row>
    <row r="2996">
      <c r="A2996" s="161" t="str">
        <f>IFERROR(__xludf.DUMMYFUNCTION("""COMPUTED_VALUE"""),"akoonde01")</f>
        <v>akoonde01</v>
      </c>
      <c r="B2996" s="161" t="str">
        <f>IFERROR(__xludf.DUMMYFUNCTION("""COMPUTED_VALUE"""),"DeVaughn Akoon-Purcell")</f>
        <v>DeVaughn Akoon-Purcell</v>
      </c>
      <c r="C2996" s="162" t="str">
        <f>IFERROR(__xludf.DUMMYFUNCTION("""COMPUTED_VALUE"""),"2018-19")</f>
        <v>2018-19</v>
      </c>
      <c r="D2996" s="163" t="str">
        <f>IFERROR(__xludf.DUMMYFUNCTION("""COMPUTED_VALUE"""),"DEN")</f>
        <v>DEN</v>
      </c>
      <c r="E2996" s="164" t="str">
        <f>IFERROR(__xludf.DUMMYFUNCTION("""COMPUTED_VALUE"""),"Stationary Shooter")</f>
        <v>Stationary Shooter</v>
      </c>
      <c r="F2996" s="164">
        <f>IFERROR(__xludf.DUMMYFUNCTION("""COMPUTED_VALUE"""),21.6466666666667)</f>
        <v>21.64666667</v>
      </c>
      <c r="G2996" s="163">
        <f>IFERROR(__xludf.DUMMYFUNCTION("""COMPUTED_VALUE"""),7.0)</f>
        <v>7</v>
      </c>
      <c r="H2996" s="163" t="str">
        <f>IFERROR(__xludf.DUMMYFUNCTION("""COMPUTED_VALUE"""),"SG")</f>
        <v>SG</v>
      </c>
      <c r="I2996" s="163">
        <f>IFERROR(__xludf.DUMMYFUNCTION("""COMPUTED_VALUE"""),25.0)</f>
        <v>25</v>
      </c>
      <c r="J2996" s="165">
        <f>IFERROR(__xludf.DUMMYFUNCTION("""COMPUTED_VALUE"""),-0.7977741499864)</f>
        <v>-0.79777415</v>
      </c>
      <c r="K2996" s="165">
        <f>IFERROR(__xludf.DUMMYFUNCTION("""COMPUTED_VALUE"""),-0.320494281930137)</f>
        <v>-0.3204942819</v>
      </c>
      <c r="L2996" s="165">
        <f>IFERROR(__xludf.DUMMYFUNCTION("""COMPUTED_VALUE"""),-0.477279868056262)</f>
        <v>-0.4772798681</v>
      </c>
      <c r="M2996" s="166">
        <f t="shared" si="2"/>
        <v>0.02173954147</v>
      </c>
      <c r="N2996" s="167">
        <f t="shared" si="3"/>
        <v>3.092380952</v>
      </c>
      <c r="O2996" s="163">
        <f t="shared" ref="O2996:Q2996" si="3000">rank(I2996,I:I)</f>
        <v>1995</v>
      </c>
      <c r="P2996" s="163">
        <f t="shared" si="3000"/>
        <v>2272</v>
      </c>
      <c r="Q2996" s="163">
        <f t="shared" si="3000"/>
        <v>1795</v>
      </c>
      <c r="R2996" s="163">
        <f>IFERROR(__xludf.DUMMYFUNCTION("RANK(M2996,filter(M:M,C:C=C2996))"),450.0)</f>
        <v>450</v>
      </c>
      <c r="S2996" s="161" t="b">
        <f t="shared" si="5"/>
        <v>0</v>
      </c>
      <c r="T2996" s="161" t="b">
        <f t="array" ref="T2996">index('Query Tool'!B:B,match(H2996,'Query Tool'!C:C,0))</f>
        <v>1</v>
      </c>
      <c r="U2996" s="161" t="b">
        <f t="array" ref="U2996">index('Query Tool'!B:B,match(C2996,'Query Tool'!C:C,0))</f>
        <v>0</v>
      </c>
      <c r="V2996" s="161" t="b">
        <f>F2996&gt;='Query Tool'!C$32</f>
        <v>0</v>
      </c>
      <c r="W2996" s="161" t="b">
        <f t="array" ref="W2996">index(Dropdowns!B:B,match(I2996,Dropdowns!A:A,0))</f>
        <v>1</v>
      </c>
      <c r="X2996" s="161" t="b">
        <f t="array" ref="X2996">index('Query Tool'!B:B,match(D2996,'Query Tool'!C:C,0))</f>
        <v>1</v>
      </c>
      <c r="Y2996" s="161" t="str">
        <f t="shared" si="6"/>
        <v>akoonde01,2018-19</v>
      </c>
      <c r="Z2996" s="168" t="str">
        <f t="array" ref="Z2996">iferror(index(I:I,match($A2996&amp;","&amp;index('Year Conversion'!$A:$A,match($C2996,'Year Conversion'!$B:$B,0)),$Y:$Y,0))-I2996,"")</f>
        <v/>
      </c>
      <c r="AA2996" s="168" t="str">
        <f t="array" ref="AA2996">iferror(index(J:J,match($A2996&amp;","&amp;index('Year Conversion'!$A:$A,match($C2996,'Year Conversion'!$B:$B,0)),$Y:$Y,0))-J2996,"")</f>
        <v/>
      </c>
      <c r="AB2996" s="168" t="str">
        <f t="array" ref="AB2996">iferror(index(K:K,match($A2996&amp;","&amp;index('Year Conversion'!$A:$A,match($C2996,'Year Conversion'!$B:$B,0)),$Y:$Y,0))-K2996,"")</f>
        <v/>
      </c>
      <c r="AC2996" s="168" t="str">
        <f t="shared" si="7"/>
        <v>DEN,2018-19</v>
      </c>
    </row>
    <row r="2997">
      <c r="A2997" s="161" t="str">
        <f>IFERROR(__xludf.DUMMYFUNCTION("""COMPUTED_VALUE"""),"loftoza01")</f>
        <v>loftoza01</v>
      </c>
      <c r="B2997" s="161" t="str">
        <f>IFERROR(__xludf.DUMMYFUNCTION("""COMPUTED_VALUE"""),"Zach Lofton")</f>
        <v>Zach Lofton</v>
      </c>
      <c r="C2997" s="162" t="str">
        <f>IFERROR(__xludf.DUMMYFUNCTION("""COMPUTED_VALUE"""),"2018-19")</f>
        <v>2018-19</v>
      </c>
      <c r="D2997" s="163" t="str">
        <f>IFERROR(__xludf.DUMMYFUNCTION("""COMPUTED_VALUE"""),"DET")</f>
        <v>DET</v>
      </c>
      <c r="E2997" s="164" t="str">
        <f>IFERROR(__xludf.DUMMYFUNCTION("""COMPUTED_VALUE"""),"Stationary Shooter")</f>
        <v>Stationary Shooter</v>
      </c>
      <c r="F2997" s="164">
        <f>IFERROR(__xludf.DUMMYFUNCTION("""COMPUTED_VALUE"""),3.75)</f>
        <v>3.75</v>
      </c>
      <c r="G2997" s="163">
        <f>IFERROR(__xludf.DUMMYFUNCTION("""COMPUTED_VALUE"""),1.0)</f>
        <v>1</v>
      </c>
      <c r="H2997" s="163" t="str">
        <f>IFERROR(__xludf.DUMMYFUNCTION("""COMPUTED_VALUE"""),"SG")</f>
        <v>SG</v>
      </c>
      <c r="I2997" s="163">
        <f>IFERROR(__xludf.DUMMYFUNCTION("""COMPUTED_VALUE"""),26.0)</f>
        <v>26</v>
      </c>
      <c r="J2997" s="165">
        <f>IFERROR(__xludf.DUMMYFUNCTION("""COMPUTED_VALUE"""),-0.274829557309567)</f>
        <v>-0.2748295573</v>
      </c>
      <c r="K2997" s="165">
        <f>IFERROR(__xludf.DUMMYFUNCTION("""COMPUTED_VALUE"""),-0.251748019075183)</f>
        <v>-0.2517480191</v>
      </c>
      <c r="L2997" s="165">
        <f>IFERROR(__xludf.DUMMYFUNCTION("""COMPUTED_VALUE"""),-0.0230815382343841)</f>
        <v>-0.02308153823</v>
      </c>
      <c r="M2997" s="166">
        <f t="shared" si="2"/>
        <v>0.005086495565</v>
      </c>
      <c r="N2997" s="167">
        <f t="shared" si="3"/>
        <v>3.75</v>
      </c>
      <c r="O2997" s="163">
        <f t="shared" ref="O2997:Q2997" si="3001">rank(I2997,I:I)</f>
        <v>1665</v>
      </c>
      <c r="P2997" s="163">
        <f t="shared" si="3001"/>
        <v>1583</v>
      </c>
      <c r="Q2997" s="163">
        <f t="shared" si="3001"/>
        <v>1667</v>
      </c>
      <c r="R2997" s="163">
        <f>IFERROR(__xludf.DUMMYFUNCTION("RANK(M2997,filter(M:M,C:C=C2997))"),470.0)</f>
        <v>470</v>
      </c>
      <c r="S2997" s="161" t="b">
        <f t="shared" si="5"/>
        <v>0</v>
      </c>
      <c r="T2997" s="161" t="b">
        <f t="array" ref="T2997">index('Query Tool'!B:B,match(H2997,'Query Tool'!C:C,0))</f>
        <v>1</v>
      </c>
      <c r="U2997" s="161" t="b">
        <f t="array" ref="U2997">index('Query Tool'!B:B,match(C2997,'Query Tool'!C:C,0))</f>
        <v>0</v>
      </c>
      <c r="V2997" s="161" t="b">
        <f>F2997&gt;='Query Tool'!C$32</f>
        <v>0</v>
      </c>
      <c r="W2997" s="161" t="b">
        <f t="array" ref="W2997">index(Dropdowns!B:B,match(I2997,Dropdowns!A:A,0))</f>
        <v>1</v>
      </c>
      <c r="X2997" s="161" t="b">
        <f t="array" ref="X2997">index('Query Tool'!B:B,match(D2997,'Query Tool'!C:C,0))</f>
        <v>1</v>
      </c>
      <c r="Y2997" s="161" t="str">
        <f t="shared" si="6"/>
        <v>loftoza01,2018-19</v>
      </c>
      <c r="Z2997" s="168" t="str">
        <f t="array" ref="Z2997">iferror(index(I:I,match($A2997&amp;","&amp;index('Year Conversion'!$A:$A,match($C2997,'Year Conversion'!$B:$B,0)),$Y:$Y,0))-I2997,"")</f>
        <v/>
      </c>
      <c r="AA2997" s="168" t="str">
        <f t="array" ref="AA2997">iferror(index(J:J,match($A2997&amp;","&amp;index('Year Conversion'!$A:$A,match($C2997,'Year Conversion'!$B:$B,0)),$Y:$Y,0))-J2997,"")</f>
        <v/>
      </c>
      <c r="AB2997" s="168" t="str">
        <f t="array" ref="AB2997">iferror(index(K:K,match($A2997&amp;","&amp;index('Year Conversion'!$A:$A,match($C2997,'Year Conversion'!$B:$B,0)),$Y:$Y,0))-K2997,"")</f>
        <v/>
      </c>
      <c r="AC2997" s="168" t="str">
        <f t="shared" si="7"/>
        <v>DET,2018-19</v>
      </c>
    </row>
    <row r="2998">
      <c r="A2998" s="161" t="str">
        <f>IFERROR(__xludf.DUMMYFUNCTION("""COMPUTED_VALUE"""),"goodwbr01")</f>
        <v>goodwbr01</v>
      </c>
      <c r="B2998" s="161" t="str">
        <f>IFERROR(__xludf.DUMMYFUNCTION("""COMPUTED_VALUE"""),"Brandon Goodwin")</f>
        <v>Brandon Goodwin</v>
      </c>
      <c r="C2998" s="162" t="str">
        <f>IFERROR(__xludf.DUMMYFUNCTION("""COMPUTED_VALUE"""),"2018-19")</f>
        <v>2018-19</v>
      </c>
      <c r="D2998" s="163" t="str">
        <f>IFERROR(__xludf.DUMMYFUNCTION("""COMPUTED_VALUE"""),"DEN")</f>
        <v>DEN</v>
      </c>
      <c r="E2998" s="164" t="str">
        <f>IFERROR(__xludf.DUMMYFUNCTION("""COMPUTED_VALUE"""),"Slasher")</f>
        <v>Slasher</v>
      </c>
      <c r="F2998" s="164">
        <f>IFERROR(__xludf.DUMMYFUNCTION("""COMPUTED_VALUE"""),57.0533333333333)</f>
        <v>57.05333333</v>
      </c>
      <c r="G2998" s="163">
        <f>IFERROR(__xludf.DUMMYFUNCTION("""COMPUTED_VALUE"""),16.0)</f>
        <v>16</v>
      </c>
      <c r="H2998" s="163" t="str">
        <f>IFERROR(__xludf.DUMMYFUNCTION("""COMPUTED_VALUE"""),"PG")</f>
        <v>PG</v>
      </c>
      <c r="I2998" s="163">
        <f>IFERROR(__xludf.DUMMYFUNCTION("""COMPUTED_VALUE"""),23.0)</f>
        <v>23</v>
      </c>
      <c r="J2998" s="165">
        <f>IFERROR(__xludf.DUMMYFUNCTION("""COMPUTED_VALUE"""),-0.902147453743081)</f>
        <v>-0.9021474537</v>
      </c>
      <c r="K2998" s="165">
        <f>IFERROR(__xludf.DUMMYFUNCTION("""COMPUTED_VALUE"""),-0.212412393991546)</f>
        <v>-0.212412394</v>
      </c>
      <c r="L2998" s="165">
        <f>IFERROR(__xludf.DUMMYFUNCTION("""COMPUTED_VALUE"""),-0.689735059751534)</f>
        <v>-0.6897350598</v>
      </c>
      <c r="M2998" s="166">
        <f t="shared" si="2"/>
        <v>0.05329550245</v>
      </c>
      <c r="N2998" s="167">
        <f t="shared" si="3"/>
        <v>3.565833333</v>
      </c>
      <c r="O2998" s="163">
        <f t="shared" ref="O2998:Q2998" si="3002">rank(I2998,I:I)</f>
        <v>2765</v>
      </c>
      <c r="P2998" s="163">
        <f t="shared" si="3002"/>
        <v>2396</v>
      </c>
      <c r="Q2998" s="163">
        <f t="shared" si="3002"/>
        <v>1588</v>
      </c>
      <c r="R2998" s="163">
        <f>IFERROR(__xludf.DUMMYFUNCTION("RANK(M2998,filter(M:M,C:C=C2998))"),417.0)</f>
        <v>417</v>
      </c>
      <c r="S2998" s="161" t="b">
        <f t="shared" si="5"/>
        <v>0</v>
      </c>
      <c r="T2998" s="161" t="b">
        <f t="array" ref="T2998">index('Query Tool'!B:B,match(H2998,'Query Tool'!C:C,0))</f>
        <v>1</v>
      </c>
      <c r="U2998" s="161" t="b">
        <f t="array" ref="U2998">index('Query Tool'!B:B,match(C2998,'Query Tool'!C:C,0))</f>
        <v>0</v>
      </c>
      <c r="V2998" s="161" t="b">
        <f>F2998&gt;='Query Tool'!C$32</f>
        <v>0</v>
      </c>
      <c r="W2998" s="161" t="b">
        <f t="array" ref="W2998">index(Dropdowns!B:B,match(I2998,Dropdowns!A:A,0))</f>
        <v>1</v>
      </c>
      <c r="X2998" s="161" t="b">
        <f t="array" ref="X2998">index('Query Tool'!B:B,match(D2998,'Query Tool'!C:C,0))</f>
        <v>1</v>
      </c>
      <c r="Y2998" s="161" t="str">
        <f t="shared" si="6"/>
        <v>goodwbr01,2018-19</v>
      </c>
      <c r="Z2998" s="168">
        <f t="array" ref="Z2998">iferror(index(I:I,match($A2998&amp;","&amp;index('Year Conversion'!$A:$A,match($C2998,'Year Conversion'!$B:$B,0)),$Y:$Y,0))-I2998,"")</f>
        <v>1</v>
      </c>
      <c r="AA2998" s="168">
        <f t="array" ref="AA2998">iferror(index(J:J,match($A2998&amp;","&amp;index('Year Conversion'!$A:$A,match($C2998,'Year Conversion'!$B:$B,0)),$Y:$Y,0))-J2998,"")</f>
        <v>-0.3591701202</v>
      </c>
      <c r="AB2998" s="168">
        <f t="array" ref="AB2998">iferror(index(K:K,match($A2998&amp;","&amp;index('Year Conversion'!$A:$A,match($C2998,'Year Conversion'!$B:$B,0)),$Y:$Y,0))-K2998,"")</f>
        <v>-0.4122393694</v>
      </c>
      <c r="AC2998" s="168" t="str">
        <f t="shared" si="7"/>
        <v>DEN,2018-19</v>
      </c>
    </row>
    <row r="2999">
      <c r="A2999" s="161" t="str">
        <f>IFERROR(__xludf.DUMMYFUNCTION("""COMPUTED_VALUE"""),"johnsbj01")</f>
        <v>johnsbj01</v>
      </c>
      <c r="B2999" s="161" t="str">
        <f>IFERROR(__xludf.DUMMYFUNCTION("""COMPUTED_VALUE"""),"BJ Johnson")</f>
        <v>BJ Johnson</v>
      </c>
      <c r="C2999" s="162" t="str">
        <f>IFERROR(__xludf.DUMMYFUNCTION("""COMPUTED_VALUE"""),"2018-19")</f>
        <v>2018-19</v>
      </c>
      <c r="D2999" s="163" t="str">
        <f>IFERROR(__xludf.DUMMYFUNCTION("""COMPUTED_VALUE"""),"TOT")</f>
        <v>TOT</v>
      </c>
      <c r="E2999" s="164" t="str">
        <f>IFERROR(__xludf.DUMMYFUNCTION("""COMPUTED_VALUE"""),"Stationary Shooter")</f>
        <v>Stationary Shooter</v>
      </c>
      <c r="F2999" s="164">
        <f>IFERROR(__xludf.DUMMYFUNCTION("""COMPUTED_VALUE"""),49.35)</f>
        <v>49.35</v>
      </c>
      <c r="G2999" s="163">
        <f>IFERROR(__xludf.DUMMYFUNCTION("""COMPUTED_VALUE"""),7.0)</f>
        <v>7</v>
      </c>
      <c r="H2999" s="163" t="str">
        <f>IFERROR(__xludf.DUMMYFUNCTION("""COMPUTED_VALUE"""),"SF")</f>
        <v>SF</v>
      </c>
      <c r="I2999" s="163">
        <f>IFERROR(__xludf.DUMMYFUNCTION("""COMPUTED_VALUE"""),23.0)</f>
        <v>23</v>
      </c>
      <c r="J2999" s="165">
        <f>IFERROR(__xludf.DUMMYFUNCTION("""COMPUTED_VALUE"""),-0.770210968106555)</f>
        <v>-0.7702109681</v>
      </c>
      <c r="K2999" s="165">
        <f>IFERROR(__xludf.DUMMYFUNCTION("""COMPUTED_VALUE"""),-0.415076675774126)</f>
        <v>-0.4150766758</v>
      </c>
      <c r="L2999" s="165">
        <f>IFERROR(__xludf.DUMMYFUNCTION("""COMPUTED_VALUE"""),-0.355134292332429)</f>
        <v>-0.3551342923</v>
      </c>
      <c r="M2999" s="166">
        <f t="shared" si="2"/>
        <v>0.05047645231</v>
      </c>
      <c r="N2999" s="167">
        <f t="shared" si="3"/>
        <v>7.05</v>
      </c>
      <c r="O2999" s="163">
        <f t="shared" ref="O2999:Q2999" si="3003">rank(I2999,I:I)</f>
        <v>2765</v>
      </c>
      <c r="P2999" s="163">
        <f t="shared" si="3003"/>
        <v>2237</v>
      </c>
      <c r="Q2999" s="163">
        <f t="shared" si="3003"/>
        <v>1970</v>
      </c>
      <c r="R2999" s="163">
        <f>IFERROR(__xludf.DUMMYFUNCTION("RANK(M2999,filter(M:M,C:C=C2999))"),422.0)</f>
        <v>422</v>
      </c>
      <c r="S2999" s="161" t="b">
        <f t="shared" si="5"/>
        <v>0</v>
      </c>
      <c r="T2999" s="161" t="b">
        <f t="array" ref="T2999">index('Query Tool'!B:B,match(H2999,'Query Tool'!C:C,0))</f>
        <v>1</v>
      </c>
      <c r="U2999" s="161" t="b">
        <f t="array" ref="U2999">index('Query Tool'!B:B,match(C2999,'Query Tool'!C:C,0))</f>
        <v>0</v>
      </c>
      <c r="V2999" s="161" t="b">
        <f>F2999&gt;='Query Tool'!C$32</f>
        <v>0</v>
      </c>
      <c r="W2999" s="161" t="b">
        <f t="array" ref="W2999">index(Dropdowns!B:B,match(I2999,Dropdowns!A:A,0))</f>
        <v>1</v>
      </c>
      <c r="X2999" s="161" t="b">
        <f t="array" ref="X2999">index('Query Tool'!B:B,match(D2999,'Query Tool'!C:C,0))</f>
        <v>1</v>
      </c>
      <c r="Y2999" s="161" t="str">
        <f t="shared" si="6"/>
        <v>johnsbj01,2018-19</v>
      </c>
      <c r="Z2999" s="168">
        <f t="array" ref="Z2999">iferror(index(I:I,match($A2999&amp;","&amp;index('Year Conversion'!$A:$A,match($C2999,'Year Conversion'!$B:$B,0)),$Y:$Y,0))-I2999,"")</f>
        <v>1</v>
      </c>
      <c r="AA2999" s="168">
        <f t="array" ref="AA2999">iferror(index(J:J,match($A2999&amp;","&amp;index('Year Conversion'!$A:$A,match($C2999,'Year Conversion'!$B:$B,0)),$Y:$Y,0))-J2999,"")</f>
        <v>-0.06395766938</v>
      </c>
      <c r="AB2999" s="168">
        <f t="array" ref="AB2999">iferror(index(K:K,match($A2999&amp;","&amp;index('Year Conversion'!$A:$A,match($C2999,'Year Conversion'!$B:$B,0)),$Y:$Y,0))-K2999,"")</f>
        <v>-0.18837603</v>
      </c>
      <c r="AC2999" s="168" t="str">
        <f t="shared" si="7"/>
        <v>TOT,2018-19</v>
      </c>
    </row>
    <row r="3000">
      <c r="A3000" s="161" t="str">
        <f>IFERROR(__xludf.DUMMYFUNCTION("""COMPUTED_VALUE"""),"chiozch01")</f>
        <v>chiozch01</v>
      </c>
      <c r="B3000" s="161" t="str">
        <f>IFERROR(__xludf.DUMMYFUNCTION("""COMPUTED_VALUE"""),"Chris Chiozza")</f>
        <v>Chris Chiozza</v>
      </c>
      <c r="C3000" s="162" t="str">
        <f>IFERROR(__xludf.DUMMYFUNCTION("""COMPUTED_VALUE"""),"2018-19")</f>
        <v>2018-19</v>
      </c>
      <c r="D3000" s="163" t="str">
        <f>IFERROR(__xludf.DUMMYFUNCTION("""COMPUTED_VALUE"""),"HOU")</f>
        <v>HOU</v>
      </c>
      <c r="E3000" s="164" t="str">
        <f>IFERROR(__xludf.DUMMYFUNCTION("""COMPUTED_VALUE"""),"Stationary Shooter")</f>
        <v>Stationary Shooter</v>
      </c>
      <c r="F3000" s="164">
        <f>IFERROR(__xludf.DUMMYFUNCTION("""COMPUTED_VALUE"""),32.5333333333333)</f>
        <v>32.53333333</v>
      </c>
      <c r="G3000" s="163">
        <f>IFERROR(__xludf.DUMMYFUNCTION("""COMPUTED_VALUE"""),7.0)</f>
        <v>7</v>
      </c>
      <c r="H3000" s="163" t="str">
        <f>IFERROR(__xludf.DUMMYFUNCTION("""COMPUTED_VALUE"""),"PG")</f>
        <v>PG</v>
      </c>
      <c r="I3000" s="163">
        <f>IFERROR(__xludf.DUMMYFUNCTION("""COMPUTED_VALUE"""),23.0)</f>
        <v>23</v>
      </c>
      <c r="J3000" s="165">
        <f>IFERROR(__xludf.DUMMYFUNCTION("""COMPUTED_VALUE"""),-0.966146618384123)</f>
        <v>-0.9661466184</v>
      </c>
      <c r="K3000" s="165">
        <f>IFERROR(__xludf.DUMMYFUNCTION("""COMPUTED_VALUE"""),-0.174060822860629)</f>
        <v>-0.1740608229</v>
      </c>
      <c r="L3000" s="165">
        <f>IFERROR(__xludf.DUMMYFUNCTION("""COMPUTED_VALUE"""),-0.792085795523494)</f>
        <v>-0.7920857955</v>
      </c>
      <c r="M3000" s="166">
        <f t="shared" si="2"/>
        <v>0.02899187774</v>
      </c>
      <c r="N3000" s="167">
        <f t="shared" si="3"/>
        <v>4.647619048</v>
      </c>
      <c r="O3000" s="163">
        <f t="shared" ref="O3000:Q3000" si="3004">rank(I3000,I:I)</f>
        <v>2765</v>
      </c>
      <c r="P3000" s="163">
        <f t="shared" si="3004"/>
        <v>2467</v>
      </c>
      <c r="Q3000" s="163">
        <f t="shared" si="3004"/>
        <v>1520</v>
      </c>
      <c r="R3000" s="163">
        <f>IFERROR(__xludf.DUMMYFUNCTION("RANK(M3000,filter(M:M,C:C=C3000))"),444.0)</f>
        <v>444</v>
      </c>
      <c r="S3000" s="161" t="b">
        <f t="shared" si="5"/>
        <v>0</v>
      </c>
      <c r="T3000" s="161" t="b">
        <f t="array" ref="T3000">index('Query Tool'!B:B,match(H3000,'Query Tool'!C:C,0))</f>
        <v>1</v>
      </c>
      <c r="U3000" s="161" t="b">
        <f t="array" ref="U3000">index('Query Tool'!B:B,match(C3000,'Query Tool'!C:C,0))</f>
        <v>0</v>
      </c>
      <c r="V3000" s="161" t="b">
        <f>F3000&gt;='Query Tool'!C$32</f>
        <v>0</v>
      </c>
      <c r="W3000" s="161" t="b">
        <f t="array" ref="W3000">index(Dropdowns!B:B,match(I3000,Dropdowns!A:A,0))</f>
        <v>1</v>
      </c>
      <c r="X3000" s="161" t="b">
        <f t="array" ref="X3000">index('Query Tool'!B:B,match(D3000,'Query Tool'!C:C,0))</f>
        <v>1</v>
      </c>
      <c r="Y3000" s="161" t="str">
        <f t="shared" si="6"/>
        <v>chiozch01,2018-19</v>
      </c>
      <c r="Z3000" s="168">
        <f t="array" ref="Z3000">iferror(index(I:I,match($A3000&amp;","&amp;index('Year Conversion'!$A:$A,match($C3000,'Year Conversion'!$B:$B,0)),$Y:$Y,0))-I3000,"")</f>
        <v>1</v>
      </c>
      <c r="AA3000" s="168">
        <f t="array" ref="AA3000">iferror(index(J:J,match($A3000&amp;","&amp;index('Year Conversion'!$A:$A,match($C3000,'Year Conversion'!$B:$B,0)),$Y:$Y,0))-J3000,"")</f>
        <v>1.567873338</v>
      </c>
      <c r="AB3000" s="168">
        <f t="array" ref="AB3000">iferror(index(K:K,match($A3000&amp;","&amp;index('Year Conversion'!$A:$A,match($C3000,'Year Conversion'!$B:$B,0)),$Y:$Y,0))-K3000,"")</f>
        <v>0.4764288984</v>
      </c>
      <c r="AC3000" s="168" t="str">
        <f t="shared" si="7"/>
        <v>HOU,2018-19</v>
      </c>
    </row>
    <row r="3001">
      <c r="A3001" s="161" t="str">
        <f>IFERROR(__xludf.DUMMYFUNCTION("""COMPUTED_VALUE"""),"jonesje01")</f>
        <v>jonesje01</v>
      </c>
      <c r="B3001" s="161" t="str">
        <f>IFERROR(__xludf.DUMMYFUNCTION("""COMPUTED_VALUE"""),"Jemerrio Jones")</f>
        <v>Jemerrio Jones</v>
      </c>
      <c r="C3001" s="162" t="str">
        <f>IFERROR(__xludf.DUMMYFUNCTION("""COMPUTED_VALUE"""),"2018-19")</f>
        <v>2018-19</v>
      </c>
      <c r="D3001" s="163" t="str">
        <f>IFERROR(__xludf.DUMMYFUNCTION("""COMPUTED_VALUE"""),"LAL")</f>
        <v>LAL</v>
      </c>
      <c r="E3001" s="164" t="str">
        <f>IFERROR(__xludf.DUMMYFUNCTION("""COMPUTED_VALUE"""),"Stretch Big")</f>
        <v>Stretch Big</v>
      </c>
      <c r="F3001" s="164">
        <f>IFERROR(__xludf.DUMMYFUNCTION("""COMPUTED_VALUE"""),143.116666666667)</f>
        <v>143.1166667</v>
      </c>
      <c r="G3001" s="163">
        <f>IFERROR(__xludf.DUMMYFUNCTION("""COMPUTED_VALUE"""),6.0)</f>
        <v>6</v>
      </c>
      <c r="H3001" s="163" t="str">
        <f>IFERROR(__xludf.DUMMYFUNCTION("""COMPUTED_VALUE"""),"SF")</f>
        <v>SF</v>
      </c>
      <c r="I3001" s="163">
        <f>IFERROR(__xludf.DUMMYFUNCTION("""COMPUTED_VALUE"""),23.0)</f>
        <v>23</v>
      </c>
      <c r="J3001" s="165">
        <f>IFERROR(__xludf.DUMMYFUNCTION("""COMPUTED_VALUE"""),0.107390960588942)</f>
        <v>0.1073909606</v>
      </c>
      <c r="K3001" s="165">
        <f>IFERROR(__xludf.DUMMYFUNCTION("""COMPUTED_VALUE"""),-0.491366481440967)</f>
        <v>-0.4913664814</v>
      </c>
      <c r="L3001" s="165">
        <f>IFERROR(__xludf.DUMMYFUNCTION("""COMPUTED_VALUE"""),0.598757442029909)</f>
        <v>0.598757442</v>
      </c>
      <c r="M3001" s="166">
        <f t="shared" si="2"/>
        <v>0.2309999459</v>
      </c>
      <c r="N3001" s="167">
        <f t="shared" si="3"/>
        <v>23.85277778</v>
      </c>
      <c r="O3001" s="163">
        <f t="shared" ref="O3001:Q3001" si="3005">rank(I3001,I:I)</f>
        <v>2765</v>
      </c>
      <c r="P3001" s="163">
        <f t="shared" si="3005"/>
        <v>1181</v>
      </c>
      <c r="Q3001" s="163">
        <f t="shared" si="3005"/>
        <v>2092</v>
      </c>
      <c r="R3001" s="163">
        <f>IFERROR(__xludf.DUMMYFUNCTION("RANK(M3001,filter(M:M,C:C=C3001))"),337.0)</f>
        <v>337</v>
      </c>
      <c r="S3001" s="161" t="b">
        <f t="shared" si="5"/>
        <v>0</v>
      </c>
      <c r="T3001" s="161" t="b">
        <f t="array" ref="T3001">index('Query Tool'!B:B,match(H3001,'Query Tool'!C:C,0))</f>
        <v>1</v>
      </c>
      <c r="U3001" s="161" t="b">
        <f t="array" ref="U3001">index('Query Tool'!B:B,match(C3001,'Query Tool'!C:C,0))</f>
        <v>0</v>
      </c>
      <c r="V3001" s="161" t="b">
        <f>F3001&gt;='Query Tool'!C$32</f>
        <v>0</v>
      </c>
      <c r="W3001" s="161" t="b">
        <f t="array" ref="W3001">index(Dropdowns!B:B,match(I3001,Dropdowns!A:A,0))</f>
        <v>1</v>
      </c>
      <c r="X3001" s="161" t="b">
        <f t="array" ref="X3001">index('Query Tool'!B:B,match(D3001,'Query Tool'!C:C,0))</f>
        <v>1</v>
      </c>
      <c r="Y3001" s="161" t="str">
        <f t="shared" si="6"/>
        <v>jonesje01,2018-19</v>
      </c>
      <c r="Z3001" s="168" t="str">
        <f t="array" ref="Z3001">iferror(index(I:I,match($A3001&amp;","&amp;index('Year Conversion'!$A:$A,match($C3001,'Year Conversion'!$B:$B,0)),$Y:$Y,0))-I3001,"")</f>
        <v/>
      </c>
      <c r="AA3001" s="168" t="str">
        <f t="array" ref="AA3001">iferror(index(J:J,match($A3001&amp;","&amp;index('Year Conversion'!$A:$A,match($C3001,'Year Conversion'!$B:$B,0)),$Y:$Y,0))-J3001,"")</f>
        <v/>
      </c>
      <c r="AB3001" s="168" t="str">
        <f t="array" ref="AB3001">iferror(index(K:K,match($A3001&amp;","&amp;index('Year Conversion'!$A:$A,match($C3001,'Year Conversion'!$B:$B,0)),$Y:$Y,0))-K3001,"")</f>
        <v/>
      </c>
      <c r="AC3001" s="168" t="str">
        <f t="shared" si="7"/>
        <v>LAL,2018-19</v>
      </c>
    </row>
    <row r="3002">
      <c r="A3002" s="161" t="str">
        <f>IFERROR(__xludf.DUMMYFUNCTION("""COMPUTED_VALUE"""),"eubandr01")</f>
        <v>eubandr01</v>
      </c>
      <c r="B3002" s="161" t="str">
        <f>IFERROR(__xludf.DUMMYFUNCTION("""COMPUTED_VALUE"""),"Drew Eubanks")</f>
        <v>Drew Eubanks</v>
      </c>
      <c r="C3002" s="162" t="str">
        <f>IFERROR(__xludf.DUMMYFUNCTION("""COMPUTED_VALUE"""),"2018-19")</f>
        <v>2018-19</v>
      </c>
      <c r="D3002" s="163" t="str">
        <f>IFERROR(__xludf.DUMMYFUNCTION("""COMPUTED_VALUE"""),"SAS")</f>
        <v>SAS</v>
      </c>
      <c r="E3002" s="164" t="str">
        <f>IFERROR(__xludf.DUMMYFUNCTION("""COMPUTED_VALUE"""),"Post Scorer")</f>
        <v>Post Scorer</v>
      </c>
      <c r="F3002" s="164">
        <f>IFERROR(__xludf.DUMMYFUNCTION("""COMPUTED_VALUE"""),113.41)</f>
        <v>113.41</v>
      </c>
      <c r="G3002" s="163">
        <f>IFERROR(__xludf.DUMMYFUNCTION("""COMPUTED_VALUE"""),23.0)</f>
        <v>23</v>
      </c>
      <c r="H3002" s="163" t="str">
        <f>IFERROR(__xludf.DUMMYFUNCTION("""COMPUTED_VALUE"""),"PF")</f>
        <v>PF</v>
      </c>
      <c r="I3002" s="163">
        <f>IFERROR(__xludf.DUMMYFUNCTION("""COMPUTED_VALUE"""),21.0)</f>
        <v>21</v>
      </c>
      <c r="J3002" s="165">
        <f>IFERROR(__xludf.DUMMYFUNCTION("""COMPUTED_VALUE"""),-0.477977702096641)</f>
        <v>-0.4779777021</v>
      </c>
      <c r="K3002" s="165">
        <f>IFERROR(__xludf.DUMMYFUNCTION("""COMPUTED_VALUE"""),-0.692298334147697)</f>
        <v>-0.6922983341</v>
      </c>
      <c r="L3002" s="165">
        <f>IFERROR(__xludf.DUMMYFUNCTION("""COMPUTED_VALUE"""),0.214320632051057)</f>
        <v>0.2143206321</v>
      </c>
      <c r="M3002" s="166">
        <f t="shared" si="2"/>
        <v>0.1383058996</v>
      </c>
      <c r="N3002" s="167">
        <f t="shared" si="3"/>
        <v>4.930869565</v>
      </c>
      <c r="O3002" s="163">
        <f t="shared" ref="O3002:Q3002" si="3006">rank(I3002,I:I)</f>
        <v>3528</v>
      </c>
      <c r="P3002" s="163">
        <f t="shared" si="3006"/>
        <v>1822</v>
      </c>
      <c r="Q3002" s="163">
        <f t="shared" si="3006"/>
        <v>2405</v>
      </c>
      <c r="R3002" s="163">
        <f>IFERROR(__xludf.DUMMYFUNCTION("RANK(M3002,filter(M:M,C:C=C3002))"),371.0)</f>
        <v>371</v>
      </c>
      <c r="S3002" s="161" t="b">
        <f t="shared" si="5"/>
        <v>0</v>
      </c>
      <c r="T3002" s="161" t="b">
        <f t="array" ref="T3002">index('Query Tool'!B:B,match(H3002,'Query Tool'!C:C,0))</f>
        <v>1</v>
      </c>
      <c r="U3002" s="161" t="b">
        <f t="array" ref="U3002">index('Query Tool'!B:B,match(C3002,'Query Tool'!C:C,0))</f>
        <v>0</v>
      </c>
      <c r="V3002" s="161" t="b">
        <f>F3002&gt;='Query Tool'!C$32</f>
        <v>0</v>
      </c>
      <c r="W3002" s="161" t="b">
        <f t="array" ref="W3002">index(Dropdowns!B:B,match(I3002,Dropdowns!A:A,0))</f>
        <v>1</v>
      </c>
      <c r="X3002" s="161" t="b">
        <f t="array" ref="X3002">index('Query Tool'!B:B,match(D3002,'Query Tool'!C:C,0))</f>
        <v>1</v>
      </c>
      <c r="Y3002" s="161" t="str">
        <f t="shared" si="6"/>
        <v>eubandr01,2018-19</v>
      </c>
      <c r="Z3002" s="168">
        <f t="array" ref="Z3002">iferror(index(I:I,match($A3002&amp;","&amp;index('Year Conversion'!$A:$A,match($C3002,'Year Conversion'!$B:$B,0)),$Y:$Y,0))-I3002,"")</f>
        <v>1</v>
      </c>
      <c r="AA3002" s="168">
        <f t="array" ref="AA3002">iferror(index(J:J,match($A3002&amp;","&amp;index('Year Conversion'!$A:$A,match($C3002,'Year Conversion'!$B:$B,0)),$Y:$Y,0))-J3002,"")</f>
        <v>-0.7405833748</v>
      </c>
      <c r="AB3002" s="168">
        <f t="array" ref="AB3002">iferror(index(K:K,match($A3002&amp;","&amp;index('Year Conversion'!$A:$A,match($C3002,'Year Conversion'!$B:$B,0)),$Y:$Y,0))-K3002,"")</f>
        <v>-1.283825833</v>
      </c>
      <c r="AC3002" s="168" t="str">
        <f t="shared" si="7"/>
        <v>SAS,2018-19</v>
      </c>
    </row>
    <row r="3003">
      <c r="A3003" s="161" t="str">
        <f>IFERROR(__xludf.DUMMYFUNCTION("""COMPUTED_VALUE"""),"reynoca01")</f>
        <v>reynoca01</v>
      </c>
      <c r="B3003" s="161" t="str">
        <f>IFERROR(__xludf.DUMMYFUNCTION("""COMPUTED_VALUE"""),"Cameron Reynolds")</f>
        <v>Cameron Reynolds</v>
      </c>
      <c r="C3003" s="162" t="str">
        <f>IFERROR(__xludf.DUMMYFUNCTION("""COMPUTED_VALUE"""),"2018-19")</f>
        <v>2018-19</v>
      </c>
      <c r="D3003" s="163" t="str">
        <f>IFERROR(__xludf.DUMMYFUNCTION("""COMPUTED_VALUE"""),"MIN")</f>
        <v>MIN</v>
      </c>
      <c r="E3003" s="164" t="str">
        <f>IFERROR(__xludf.DUMMYFUNCTION("""COMPUTED_VALUE"""),"Movement Shooter")</f>
        <v>Movement Shooter</v>
      </c>
      <c r="F3003" s="164">
        <f>IFERROR(__xludf.DUMMYFUNCTION("""COMPUTED_VALUE"""),259.448333333333)</f>
        <v>259.4483333</v>
      </c>
      <c r="G3003" s="163">
        <f>IFERROR(__xludf.DUMMYFUNCTION("""COMPUTED_VALUE"""),19.0)</f>
        <v>19</v>
      </c>
      <c r="H3003" s="163" t="str">
        <f>IFERROR(__xludf.DUMMYFUNCTION("""COMPUTED_VALUE"""),"SG")</f>
        <v>SG</v>
      </c>
      <c r="I3003" s="163">
        <f>IFERROR(__xludf.DUMMYFUNCTION("""COMPUTED_VALUE"""),23.0)</f>
        <v>23</v>
      </c>
      <c r="J3003" s="165">
        <f>IFERROR(__xludf.DUMMYFUNCTION("""COMPUTED_VALUE"""),-1.5470760618343)</f>
        <v>-1.547076062</v>
      </c>
      <c r="K3003" s="165">
        <f>IFERROR(__xludf.DUMMYFUNCTION("""COMPUTED_VALUE"""),-0.91453359578704)</f>
        <v>-0.9145335958</v>
      </c>
      <c r="L3003" s="165">
        <f>IFERROR(__xludf.DUMMYFUNCTION("""COMPUTED_VALUE"""),-0.632542466047257)</f>
        <v>-0.632542466</v>
      </c>
      <c r="M3003" s="166">
        <f t="shared" si="2"/>
        <v>0.1302684799</v>
      </c>
      <c r="N3003" s="167">
        <f t="shared" si="3"/>
        <v>13.65517544</v>
      </c>
      <c r="O3003" s="163">
        <f t="shared" ref="O3003:Q3003" si="3007">rank(I3003,I:I)</f>
        <v>2765</v>
      </c>
      <c r="P3003" s="163">
        <f t="shared" si="3007"/>
        <v>3096</v>
      </c>
      <c r="Q3003" s="163">
        <f t="shared" si="3007"/>
        <v>2708</v>
      </c>
      <c r="R3003" s="163">
        <f>IFERROR(__xludf.DUMMYFUNCTION("RANK(M3003,filter(M:M,C:C=C3003))"),375.0)</f>
        <v>375</v>
      </c>
      <c r="S3003" s="161" t="b">
        <f t="shared" si="5"/>
        <v>0</v>
      </c>
      <c r="T3003" s="161" t="b">
        <f t="array" ref="T3003">index('Query Tool'!B:B,match(H3003,'Query Tool'!C:C,0))</f>
        <v>1</v>
      </c>
      <c r="U3003" s="161" t="b">
        <f t="array" ref="U3003">index('Query Tool'!B:B,match(C3003,'Query Tool'!C:C,0))</f>
        <v>0</v>
      </c>
      <c r="V3003" s="161" t="b">
        <f>F3003&gt;='Query Tool'!C$32</f>
        <v>0</v>
      </c>
      <c r="W3003" s="161" t="b">
        <f t="array" ref="W3003">index(Dropdowns!B:B,match(I3003,Dropdowns!A:A,0))</f>
        <v>1</v>
      </c>
      <c r="X3003" s="161" t="b">
        <f t="array" ref="X3003">index('Query Tool'!B:B,match(D3003,'Query Tool'!C:C,0))</f>
        <v>1</v>
      </c>
      <c r="Y3003" s="161" t="str">
        <f t="shared" si="6"/>
        <v>reynoca01,2018-19</v>
      </c>
      <c r="Z3003" s="168" t="str">
        <f t="array" ref="Z3003">iferror(index(I:I,match($A3003&amp;","&amp;index('Year Conversion'!$A:$A,match($C3003,'Year Conversion'!$B:$B,0)),$Y:$Y,0))-I3003,"")</f>
        <v/>
      </c>
      <c r="AA3003" s="168" t="str">
        <f t="array" ref="AA3003">iferror(index(J:J,match($A3003&amp;","&amp;index('Year Conversion'!$A:$A,match($C3003,'Year Conversion'!$B:$B,0)),$Y:$Y,0))-J3003,"")</f>
        <v/>
      </c>
      <c r="AB3003" s="168" t="str">
        <f t="array" ref="AB3003">iferror(index(K:K,match($A3003&amp;","&amp;index('Year Conversion'!$A:$A,match($C3003,'Year Conversion'!$B:$B,0)),$Y:$Y,0))-K3003,"")</f>
        <v/>
      </c>
      <c r="AC3003" s="168" t="str">
        <f t="shared" si="7"/>
        <v>MIN,2018-19</v>
      </c>
    </row>
    <row r="3004">
      <c r="A3004" s="161" t="str">
        <f>IFERROR(__xludf.DUMMYFUNCTION("""COMPUTED_VALUE"""),"highsha01")</f>
        <v>highsha01</v>
      </c>
      <c r="B3004" s="161" t="str">
        <f>IFERROR(__xludf.DUMMYFUNCTION("""COMPUTED_VALUE"""),"Haywood Highsmith")</f>
        <v>Haywood Highsmith</v>
      </c>
      <c r="C3004" s="162" t="str">
        <f>IFERROR(__xludf.DUMMYFUNCTION("""COMPUTED_VALUE"""),"2018-19")</f>
        <v>2018-19</v>
      </c>
      <c r="D3004" s="163" t="str">
        <f>IFERROR(__xludf.DUMMYFUNCTION("""COMPUTED_VALUE"""),"PHI")</f>
        <v>PHI</v>
      </c>
      <c r="E3004" s="164" t="str">
        <f>IFERROR(__xludf.DUMMYFUNCTION("""COMPUTED_VALUE"""),"Stationary Shooter")</f>
        <v>Stationary Shooter</v>
      </c>
      <c r="F3004" s="164">
        <f>IFERROR(__xludf.DUMMYFUNCTION("""COMPUTED_VALUE"""),39.7833333333333)</f>
        <v>39.78333333</v>
      </c>
      <c r="G3004" s="163">
        <f>IFERROR(__xludf.DUMMYFUNCTION("""COMPUTED_VALUE"""),5.0)</f>
        <v>5</v>
      </c>
      <c r="H3004" s="163" t="str">
        <f>IFERROR(__xludf.DUMMYFUNCTION("""COMPUTED_VALUE"""),"SF")</f>
        <v>SF</v>
      </c>
      <c r="I3004" s="163">
        <f>IFERROR(__xludf.DUMMYFUNCTION("""COMPUTED_VALUE"""),22.0)</f>
        <v>22</v>
      </c>
      <c r="J3004" s="165">
        <f>IFERROR(__xludf.DUMMYFUNCTION("""COMPUTED_VALUE"""),-1.21738558226537)</f>
        <v>-1.217385582</v>
      </c>
      <c r="K3004" s="165">
        <f>IFERROR(__xludf.DUMMYFUNCTION("""COMPUTED_VALUE"""),-0.390239800397555)</f>
        <v>-0.3902398004</v>
      </c>
      <c r="L3004" s="165">
        <f>IFERROR(__xludf.DUMMYFUNCTION("""COMPUTED_VALUE"""),-0.82714578186782)</f>
        <v>-0.8271457819</v>
      </c>
      <c r="M3004" s="166">
        <f t="shared" si="2"/>
        <v>0.02874756837</v>
      </c>
      <c r="N3004" s="167">
        <f t="shared" si="3"/>
        <v>7.956666667</v>
      </c>
      <c r="O3004" s="163">
        <f t="shared" ref="O3004:Q3004" si="3008">rank(I3004,I:I)</f>
        <v>3178</v>
      </c>
      <c r="P3004" s="163">
        <f t="shared" si="3008"/>
        <v>2767</v>
      </c>
      <c r="Q3004" s="163">
        <f t="shared" si="3008"/>
        <v>1931</v>
      </c>
      <c r="R3004" s="163">
        <f>IFERROR(__xludf.DUMMYFUNCTION("RANK(M3004,filter(M:M,C:C=C3004))"),446.0)</f>
        <v>446</v>
      </c>
      <c r="S3004" s="161" t="b">
        <f t="shared" si="5"/>
        <v>0</v>
      </c>
      <c r="T3004" s="161" t="b">
        <f t="array" ref="T3004">index('Query Tool'!B:B,match(H3004,'Query Tool'!C:C,0))</f>
        <v>1</v>
      </c>
      <c r="U3004" s="161" t="b">
        <f t="array" ref="U3004">index('Query Tool'!B:B,match(C3004,'Query Tool'!C:C,0))</f>
        <v>0</v>
      </c>
      <c r="V3004" s="161" t="b">
        <f>F3004&gt;='Query Tool'!C$32</f>
        <v>0</v>
      </c>
      <c r="W3004" s="161" t="b">
        <f t="array" ref="W3004">index(Dropdowns!B:B,match(I3004,Dropdowns!A:A,0))</f>
        <v>1</v>
      </c>
      <c r="X3004" s="161" t="b">
        <f t="array" ref="X3004">index('Query Tool'!B:B,match(D3004,'Query Tool'!C:C,0))</f>
        <v>1</v>
      </c>
      <c r="Y3004" s="161" t="str">
        <f t="shared" si="6"/>
        <v>highsha01,2018-19</v>
      </c>
      <c r="Z3004" s="168" t="str">
        <f t="array" ref="Z3004">iferror(index(I:I,match($A3004&amp;","&amp;index('Year Conversion'!$A:$A,match($C3004,'Year Conversion'!$B:$B,0)),$Y:$Y,0))-I3004,"")</f>
        <v/>
      </c>
      <c r="AA3004" s="168" t="str">
        <f t="array" ref="AA3004">iferror(index(J:J,match($A3004&amp;","&amp;index('Year Conversion'!$A:$A,match($C3004,'Year Conversion'!$B:$B,0)),$Y:$Y,0))-J3004,"")</f>
        <v/>
      </c>
      <c r="AB3004" s="168" t="str">
        <f t="array" ref="AB3004">iferror(index(K:K,match($A3004&amp;","&amp;index('Year Conversion'!$A:$A,match($C3004,'Year Conversion'!$B:$B,0)),$Y:$Y,0))-K3004,"")</f>
        <v/>
      </c>
      <c r="AC3004" s="168" t="str">
        <f t="shared" si="7"/>
        <v>PHI,2018-19</v>
      </c>
    </row>
    <row r="3005">
      <c r="A3005" s="161" t="str">
        <f>IFERROR(__xludf.DUMMYFUNCTION("""COMPUTED_VALUE"""),"humphis01")</f>
        <v>humphis01</v>
      </c>
      <c r="B3005" s="161" t="str">
        <f>IFERROR(__xludf.DUMMYFUNCTION("""COMPUTED_VALUE"""),"Isaac Humphries")</f>
        <v>Isaac Humphries</v>
      </c>
      <c r="C3005" s="162" t="str">
        <f>IFERROR(__xludf.DUMMYFUNCTION("""COMPUTED_VALUE"""),"2018-19")</f>
        <v>2018-19</v>
      </c>
      <c r="D3005" s="163" t="str">
        <f>IFERROR(__xludf.DUMMYFUNCTION("""COMPUTED_VALUE"""),"ATL")</f>
        <v>ATL</v>
      </c>
      <c r="E3005" s="164" t="str">
        <f>IFERROR(__xludf.DUMMYFUNCTION("""COMPUTED_VALUE"""),"Stretch Big")</f>
        <v>Stretch Big</v>
      </c>
      <c r="F3005" s="164">
        <f>IFERROR(__xludf.DUMMYFUNCTION("""COMPUTED_VALUE"""),56.4333333333334)</f>
        <v>56.43333333</v>
      </c>
      <c r="G3005" s="163">
        <f>IFERROR(__xludf.DUMMYFUNCTION("""COMPUTED_VALUE"""),5.0)</f>
        <v>5</v>
      </c>
      <c r="H3005" s="163" t="str">
        <f>IFERROR(__xludf.DUMMYFUNCTION("""COMPUTED_VALUE"""),"C")</f>
        <v>C</v>
      </c>
      <c r="I3005" s="163">
        <f>IFERROR(__xludf.DUMMYFUNCTION("""COMPUTED_VALUE"""),21.0)</f>
        <v>21</v>
      </c>
      <c r="J3005" s="165">
        <f>IFERROR(__xludf.DUMMYFUNCTION("""COMPUTED_VALUE"""),-0.373547934776072)</f>
        <v>-0.3735479348</v>
      </c>
      <c r="K3005" s="165">
        <f>IFERROR(__xludf.DUMMYFUNCTION("""COMPUTED_VALUE"""),-0.243011329568655)</f>
        <v>-0.2430113296</v>
      </c>
      <c r="L3005" s="165">
        <f>IFERROR(__xludf.DUMMYFUNCTION("""COMPUTED_VALUE"""),-0.130536605207417)</f>
        <v>-0.1305366052</v>
      </c>
      <c r="M3005" s="166">
        <f t="shared" si="2"/>
        <v>0.07279184765</v>
      </c>
      <c r="N3005" s="167">
        <f t="shared" si="3"/>
        <v>11.28666667</v>
      </c>
      <c r="O3005" s="163">
        <f t="shared" ref="O3005:Q3005" si="3009">rank(I3005,I:I)</f>
        <v>3528</v>
      </c>
      <c r="P3005" s="163">
        <f t="shared" si="3009"/>
        <v>1699</v>
      </c>
      <c r="Q3005" s="163">
        <f t="shared" si="3009"/>
        <v>1654</v>
      </c>
      <c r="R3005" s="163">
        <f>IFERROR(__xludf.DUMMYFUNCTION("RANK(M3005,filter(M:M,C:C=C3005))"),404.0)</f>
        <v>404</v>
      </c>
      <c r="S3005" s="161" t="b">
        <f t="shared" si="5"/>
        <v>0</v>
      </c>
      <c r="T3005" s="161" t="b">
        <f t="array" ref="T3005">index('Query Tool'!B:B,match(H3005,'Query Tool'!C:C,0))</f>
        <v>1</v>
      </c>
      <c r="U3005" s="161" t="b">
        <f t="array" ref="U3005">index('Query Tool'!B:B,match(C3005,'Query Tool'!C:C,0))</f>
        <v>0</v>
      </c>
      <c r="V3005" s="161" t="b">
        <f>F3005&gt;='Query Tool'!C$32</f>
        <v>0</v>
      </c>
      <c r="W3005" s="161" t="b">
        <f t="array" ref="W3005">index(Dropdowns!B:B,match(I3005,Dropdowns!A:A,0))</f>
        <v>1</v>
      </c>
      <c r="X3005" s="161" t="b">
        <f t="array" ref="X3005">index('Query Tool'!B:B,match(D3005,'Query Tool'!C:C,0))</f>
        <v>1</v>
      </c>
      <c r="Y3005" s="161" t="str">
        <f t="shared" si="6"/>
        <v>humphis01,2018-19</v>
      </c>
      <c r="Z3005" s="168" t="str">
        <f t="array" ref="Z3005">iferror(index(I:I,match($A3005&amp;","&amp;index('Year Conversion'!$A:$A,match($C3005,'Year Conversion'!$B:$B,0)),$Y:$Y,0))-I3005,"")</f>
        <v/>
      </c>
      <c r="AA3005" s="168" t="str">
        <f t="array" ref="AA3005">iferror(index(J:J,match($A3005&amp;","&amp;index('Year Conversion'!$A:$A,match($C3005,'Year Conversion'!$B:$B,0)),$Y:$Y,0))-J3005,"")</f>
        <v/>
      </c>
      <c r="AB3005" s="168" t="str">
        <f t="array" ref="AB3005">iferror(index(K:K,match($A3005&amp;","&amp;index('Year Conversion'!$A:$A,match($C3005,'Year Conversion'!$B:$B,0)),$Y:$Y,0))-K3005,"")</f>
        <v/>
      </c>
      <c r="AC3005" s="168" t="str">
        <f t="shared" si="7"/>
        <v>ATL,2018-19</v>
      </c>
    </row>
    <row r="3006">
      <c r="A3006" s="161" t="str">
        <f>IFERROR(__xludf.DUMMYFUNCTION("""COMPUTED_VALUE"""),"bertada02")</f>
        <v>bertada02</v>
      </c>
      <c r="B3006" s="161" t="str">
        <f>IFERROR(__xludf.DUMMYFUNCTION("""COMPUTED_VALUE"""),"Dairis Bertans")</f>
        <v>Dairis Bertans</v>
      </c>
      <c r="C3006" s="162" t="str">
        <f>IFERROR(__xludf.DUMMYFUNCTION("""COMPUTED_VALUE"""),"2018-19")</f>
        <v>2018-19</v>
      </c>
      <c r="D3006" s="163" t="str">
        <f>IFERROR(__xludf.DUMMYFUNCTION("""COMPUTED_VALUE"""),"NOP")</f>
        <v>NOP</v>
      </c>
      <c r="E3006" s="164" t="str">
        <f>IFERROR(__xludf.DUMMYFUNCTION("""COMPUTED_VALUE"""),"Off Screen Shooter")</f>
        <v>Off Screen Shooter</v>
      </c>
      <c r="F3006" s="164">
        <f>IFERROR(__xludf.DUMMYFUNCTION("""COMPUTED_VALUE"""),167.043333333333)</f>
        <v>167.0433333</v>
      </c>
      <c r="G3006" s="163">
        <f>IFERROR(__xludf.DUMMYFUNCTION("""COMPUTED_VALUE"""),12.0)</f>
        <v>12</v>
      </c>
      <c r="H3006" s="163" t="str">
        <f>IFERROR(__xludf.DUMMYFUNCTION("""COMPUTED_VALUE"""),"SG")</f>
        <v>SG</v>
      </c>
      <c r="I3006" s="163">
        <f>IFERROR(__xludf.DUMMYFUNCTION("""COMPUTED_VALUE"""),29.0)</f>
        <v>29</v>
      </c>
      <c r="J3006" s="165">
        <f>IFERROR(__xludf.DUMMYFUNCTION("""COMPUTED_VALUE"""),-1.82228104016261)</f>
        <v>-1.82228104</v>
      </c>
      <c r="K3006" s="165">
        <f>IFERROR(__xludf.DUMMYFUNCTION("""COMPUTED_VALUE"""),-0.797079250164493)</f>
        <v>-0.7970792502</v>
      </c>
      <c r="L3006" s="165">
        <f>IFERROR(__xludf.DUMMYFUNCTION("""COMPUTED_VALUE"""),-1.02520178999811)</f>
        <v>-1.02520179</v>
      </c>
      <c r="M3006" s="166">
        <f t="shared" si="2"/>
        <v>0.05324333511</v>
      </c>
      <c r="N3006" s="167">
        <f t="shared" si="3"/>
        <v>13.92027778</v>
      </c>
      <c r="O3006" s="163">
        <f t="shared" ref="O3006:Q3006" si="3010">rank(I3006,I:I)</f>
        <v>855</v>
      </c>
      <c r="P3006" s="163">
        <f t="shared" si="3010"/>
        <v>3358</v>
      </c>
      <c r="Q3006" s="163">
        <f t="shared" si="3010"/>
        <v>2553</v>
      </c>
      <c r="R3006" s="163">
        <f>IFERROR(__xludf.DUMMYFUNCTION("RANK(M3006,filter(M:M,C:C=C3006))"),418.0)</f>
        <v>418</v>
      </c>
      <c r="S3006" s="161" t="b">
        <f t="shared" si="5"/>
        <v>0</v>
      </c>
      <c r="T3006" s="161" t="b">
        <f t="array" ref="T3006">index('Query Tool'!B:B,match(H3006,'Query Tool'!C:C,0))</f>
        <v>1</v>
      </c>
      <c r="U3006" s="161" t="b">
        <f t="array" ref="U3006">index('Query Tool'!B:B,match(C3006,'Query Tool'!C:C,0))</f>
        <v>0</v>
      </c>
      <c r="V3006" s="161" t="b">
        <f>F3006&gt;='Query Tool'!C$32</f>
        <v>0</v>
      </c>
      <c r="W3006" s="161" t="b">
        <f t="array" ref="W3006">index(Dropdowns!B:B,match(I3006,Dropdowns!A:A,0))</f>
        <v>1</v>
      </c>
      <c r="X3006" s="161" t="b">
        <f t="array" ref="X3006">index('Query Tool'!B:B,match(D3006,'Query Tool'!C:C,0))</f>
        <v>1</v>
      </c>
      <c r="Y3006" s="161" t="str">
        <f t="shared" si="6"/>
        <v>bertada02,2018-19</v>
      </c>
      <c r="Z3006" s="168" t="str">
        <f t="array" ref="Z3006">iferror(index(I:I,match($A3006&amp;","&amp;index('Year Conversion'!$A:$A,match($C3006,'Year Conversion'!$B:$B,0)),$Y:$Y,0))-I3006,"")</f>
        <v/>
      </c>
      <c r="AA3006" s="168" t="str">
        <f t="array" ref="AA3006">iferror(index(J:J,match($A3006&amp;","&amp;index('Year Conversion'!$A:$A,match($C3006,'Year Conversion'!$B:$B,0)),$Y:$Y,0))-J3006,"")</f>
        <v/>
      </c>
      <c r="AB3006" s="168" t="str">
        <f t="array" ref="AB3006">iferror(index(K:K,match($A3006&amp;","&amp;index('Year Conversion'!$A:$A,match($C3006,'Year Conversion'!$B:$B,0)),$Y:$Y,0))-K3006,"")</f>
        <v/>
      </c>
      <c r="AC3006" s="168" t="str">
        <f t="shared" si="7"/>
        <v>NOP,2018-19</v>
      </c>
    </row>
    <row r="3007">
      <c r="A3007" s="161" t="str">
        <f>IFERROR(__xludf.DUMMYFUNCTION("""COMPUTED_VALUE"""),"cartevi01")</f>
        <v>cartevi01</v>
      </c>
      <c r="B3007" s="161" t="str">
        <f>IFERROR(__xludf.DUMMYFUNCTION("""COMPUTED_VALUE"""),"Vince Carter")</f>
        <v>Vince Carter</v>
      </c>
      <c r="C3007" s="162" t="str">
        <f>IFERROR(__xludf.DUMMYFUNCTION("""COMPUTED_VALUE"""),"2019-20")</f>
        <v>2019-20</v>
      </c>
      <c r="D3007" s="163" t="str">
        <f>IFERROR(__xludf.DUMMYFUNCTION("""COMPUTED_VALUE"""),"ATL")</f>
        <v>ATL</v>
      </c>
      <c r="E3007" s="164" t="str">
        <f>IFERROR(__xludf.DUMMYFUNCTION("""COMPUTED_VALUE"""),"Stationary Shooter")</f>
        <v>Stationary Shooter</v>
      </c>
      <c r="F3007" s="164">
        <f>IFERROR(__xludf.DUMMYFUNCTION("""COMPUTED_VALUE"""),875.566666666666)</f>
        <v>875.5666667</v>
      </c>
      <c r="G3007" s="163">
        <f>IFERROR(__xludf.DUMMYFUNCTION("""COMPUTED_VALUE"""),60.0)</f>
        <v>60</v>
      </c>
      <c r="H3007" s="163" t="str">
        <f>IFERROR(__xludf.DUMMYFUNCTION("""COMPUTED_VALUE"""),"PF")</f>
        <v>PF</v>
      </c>
      <c r="I3007" s="163">
        <f>IFERROR(__xludf.DUMMYFUNCTION("""COMPUTED_VALUE"""),43.0)</f>
        <v>43</v>
      </c>
      <c r="J3007" s="165">
        <f>IFERROR(__xludf.DUMMYFUNCTION("""COMPUTED_VALUE"""),-2.38133035746194)</f>
        <v>-2.381330357</v>
      </c>
      <c r="K3007" s="165">
        <f>IFERROR(__xludf.DUMMYFUNCTION("""COMPUTED_VALUE"""),-1.61317021160679)</f>
        <v>-1.613170212</v>
      </c>
      <c r="L3007" s="165">
        <f>IFERROR(__xludf.DUMMYFUNCTION("""COMPUTED_VALUE"""),-0.768160145855147)</f>
        <v>-0.7681601459</v>
      </c>
      <c r="M3007" s="166">
        <f t="shared" si="2"/>
        <v>-0.04489275367</v>
      </c>
      <c r="N3007" s="167">
        <f t="shared" si="3"/>
        <v>14.59277778</v>
      </c>
      <c r="O3007" s="163">
        <f t="shared" ref="O3007:Q3007" si="3011">rank(I3007,I:I)</f>
        <v>1</v>
      </c>
      <c r="P3007" s="163">
        <f t="shared" si="3011"/>
        <v>3703</v>
      </c>
      <c r="Q3007" s="163">
        <f t="shared" si="3011"/>
        <v>3455</v>
      </c>
      <c r="R3007" s="163">
        <f>IFERROR(__xludf.DUMMYFUNCTION("RANK(M3007,filter(M:M,C:C=C3007))"),490.0)</f>
        <v>490</v>
      </c>
      <c r="S3007" s="161" t="b">
        <f t="shared" si="5"/>
        <v>0</v>
      </c>
      <c r="T3007" s="161" t="b">
        <f t="array" ref="T3007">index('Query Tool'!B:B,match(H3007,'Query Tool'!C:C,0))</f>
        <v>1</v>
      </c>
      <c r="U3007" s="161" t="b">
        <f t="array" ref="U3007">index('Query Tool'!B:B,match(C3007,'Query Tool'!C:C,0))</f>
        <v>0</v>
      </c>
      <c r="V3007" s="161" t="b">
        <f>F3007&gt;='Query Tool'!C$32</f>
        <v>1</v>
      </c>
      <c r="W3007" s="161" t="b">
        <f t="array" ref="W3007">index(Dropdowns!B:B,match(I3007,Dropdowns!A:A,0))</f>
        <v>1</v>
      </c>
      <c r="X3007" s="161" t="b">
        <f t="array" ref="X3007">index('Query Tool'!B:B,match(D3007,'Query Tool'!C:C,0))</f>
        <v>1</v>
      </c>
      <c r="Y3007" s="161" t="str">
        <f t="shared" si="6"/>
        <v>cartevi01,2019-20</v>
      </c>
      <c r="Z3007" s="168" t="str">
        <f t="array" ref="Z3007">iferror(index(I:I,match($A3007&amp;","&amp;index('Year Conversion'!$A:$A,match($C3007,'Year Conversion'!$B:$B,0)),$Y:$Y,0))-I3007,"")</f>
        <v/>
      </c>
      <c r="AA3007" s="168" t="str">
        <f t="array" ref="AA3007">iferror(index(J:J,match($A3007&amp;","&amp;index('Year Conversion'!$A:$A,match($C3007,'Year Conversion'!$B:$B,0)),$Y:$Y,0))-J3007,"")</f>
        <v/>
      </c>
      <c r="AB3007" s="168" t="str">
        <f t="array" ref="AB3007">iferror(index(K:K,match($A3007&amp;","&amp;index('Year Conversion'!$A:$A,match($C3007,'Year Conversion'!$B:$B,0)),$Y:$Y,0))-K3007,"")</f>
        <v/>
      </c>
      <c r="AC3007" s="168" t="str">
        <f t="shared" si="7"/>
        <v>ATL,2019-20</v>
      </c>
    </row>
    <row r="3008">
      <c r="A3008" s="161" t="str">
        <f>IFERROR(__xludf.DUMMYFUNCTION("""COMPUTED_VALUE"""),"crawfja01")</f>
        <v>crawfja01</v>
      </c>
      <c r="B3008" s="161" t="str">
        <f>IFERROR(__xludf.DUMMYFUNCTION("""COMPUTED_VALUE"""),"Jamal Crawford")</f>
        <v>Jamal Crawford</v>
      </c>
      <c r="C3008" s="162" t="str">
        <f>IFERROR(__xludf.DUMMYFUNCTION("""COMPUTED_VALUE"""),"2019-20")</f>
        <v>2019-20</v>
      </c>
      <c r="D3008" s="163" t="str">
        <f>IFERROR(__xludf.DUMMYFUNCTION("""COMPUTED_VALUE"""),"BRK")</f>
        <v>BRK</v>
      </c>
      <c r="E3008" s="164" t="str">
        <f>IFERROR(__xludf.DUMMYFUNCTION("""COMPUTED_VALUE"""),"Off Screen Shooter")</f>
        <v>Off Screen Shooter</v>
      </c>
      <c r="F3008" s="164">
        <f>IFERROR(__xludf.DUMMYFUNCTION("""COMPUTED_VALUE"""),5.96666666666667)</f>
        <v>5.966666667</v>
      </c>
      <c r="G3008" s="163">
        <f>IFERROR(__xludf.DUMMYFUNCTION("""COMPUTED_VALUE"""),1.0)</f>
        <v>1</v>
      </c>
      <c r="H3008" s="163" t="str">
        <f>IFERROR(__xludf.DUMMYFUNCTION("""COMPUTED_VALUE"""),"SG")</f>
        <v>SG</v>
      </c>
      <c r="I3008" s="163">
        <f>IFERROR(__xludf.DUMMYFUNCTION("""COMPUTED_VALUE"""),39.0)</f>
        <v>39</v>
      </c>
      <c r="J3008" s="165">
        <f>IFERROR(__xludf.DUMMYFUNCTION("""COMPUTED_VALUE"""),-0.182416798893372)</f>
        <v>-0.1824167989</v>
      </c>
      <c r="K3008" s="165">
        <f>IFERROR(__xludf.DUMMYFUNCTION("""COMPUTED_VALUE"""),-0.123555805304056)</f>
        <v>-0.1235558053</v>
      </c>
      <c r="L3008" s="165">
        <f>IFERROR(__xludf.DUMMYFUNCTION("""COMPUTED_VALUE"""),-0.0588609935893157)</f>
        <v>-0.05886099359</v>
      </c>
      <c r="M3008" s="166">
        <f t="shared" si="2"/>
        <v>0.008464843194</v>
      </c>
      <c r="N3008" s="167">
        <f t="shared" si="3"/>
        <v>5.966666667</v>
      </c>
      <c r="O3008" s="163">
        <f t="shared" ref="O3008:Q3008" si="3012">rank(I3008,I:I)</f>
        <v>8</v>
      </c>
      <c r="P3008" s="163">
        <f t="shared" si="3012"/>
        <v>1484</v>
      </c>
      <c r="Q3008" s="163">
        <f t="shared" si="3012"/>
        <v>1418</v>
      </c>
      <c r="R3008" s="163">
        <f>IFERROR(__xludf.DUMMYFUNCTION("RANK(M3008,filter(M:M,C:C=C3008))"),475.0)</f>
        <v>475</v>
      </c>
      <c r="S3008" s="161" t="b">
        <f t="shared" si="5"/>
        <v>0</v>
      </c>
      <c r="T3008" s="161" t="b">
        <f t="array" ref="T3008">index('Query Tool'!B:B,match(H3008,'Query Tool'!C:C,0))</f>
        <v>1</v>
      </c>
      <c r="U3008" s="161" t="b">
        <f t="array" ref="U3008">index('Query Tool'!B:B,match(C3008,'Query Tool'!C:C,0))</f>
        <v>0</v>
      </c>
      <c r="V3008" s="161" t="b">
        <f>F3008&gt;='Query Tool'!C$32</f>
        <v>0</v>
      </c>
      <c r="W3008" s="161" t="b">
        <f t="array" ref="W3008">index(Dropdowns!B:B,match(I3008,Dropdowns!A:A,0))</f>
        <v>1</v>
      </c>
      <c r="X3008" s="161" t="b">
        <f t="array" ref="X3008">index('Query Tool'!B:B,match(D3008,'Query Tool'!C:C,0))</f>
        <v>1</v>
      </c>
      <c r="Y3008" s="161" t="str">
        <f t="shared" si="6"/>
        <v>crawfja01,2019-20</v>
      </c>
      <c r="Z3008" s="168" t="str">
        <f t="array" ref="Z3008">iferror(index(I:I,match($A3008&amp;","&amp;index('Year Conversion'!$A:$A,match($C3008,'Year Conversion'!$B:$B,0)),$Y:$Y,0))-I3008,"")</f>
        <v/>
      </c>
      <c r="AA3008" s="168" t="str">
        <f t="array" ref="AA3008">iferror(index(J:J,match($A3008&amp;","&amp;index('Year Conversion'!$A:$A,match($C3008,'Year Conversion'!$B:$B,0)),$Y:$Y,0))-J3008,"")</f>
        <v/>
      </c>
      <c r="AB3008" s="168" t="str">
        <f t="array" ref="AB3008">iferror(index(K:K,match($A3008&amp;","&amp;index('Year Conversion'!$A:$A,match($C3008,'Year Conversion'!$B:$B,0)),$Y:$Y,0))-K3008,"")</f>
        <v/>
      </c>
      <c r="AC3008" s="168" t="str">
        <f t="shared" si="7"/>
        <v>BRK,2019-20</v>
      </c>
    </row>
    <row r="3009">
      <c r="A3009" s="161" t="str">
        <f>IFERROR(__xludf.DUMMYFUNCTION("""COMPUTED_VALUE"""),"chandty01")</f>
        <v>chandty01</v>
      </c>
      <c r="B3009" s="161" t="str">
        <f>IFERROR(__xludf.DUMMYFUNCTION("""COMPUTED_VALUE"""),"Tyson Chandler")</f>
        <v>Tyson Chandler</v>
      </c>
      <c r="C3009" s="162" t="str">
        <f>IFERROR(__xludf.DUMMYFUNCTION("""COMPUTED_VALUE"""),"2019-20")</f>
        <v>2019-20</v>
      </c>
      <c r="D3009" s="163" t="str">
        <f>IFERROR(__xludf.DUMMYFUNCTION("""COMPUTED_VALUE"""),"HOU")</f>
        <v>HOU</v>
      </c>
      <c r="E3009" s="164" t="str">
        <f>IFERROR(__xludf.DUMMYFUNCTION("""COMPUTED_VALUE"""),"Roll + Cut Big")</f>
        <v>Roll + Cut Big</v>
      </c>
      <c r="F3009" s="164">
        <f>IFERROR(__xludf.DUMMYFUNCTION("""COMPUTED_VALUE"""),219.206666666667)</f>
        <v>219.2066667</v>
      </c>
      <c r="G3009" s="163">
        <f>IFERROR(__xludf.DUMMYFUNCTION("""COMPUTED_VALUE"""),26.0)</f>
        <v>26</v>
      </c>
      <c r="H3009" s="163" t="str">
        <f>IFERROR(__xludf.DUMMYFUNCTION("""COMPUTED_VALUE"""),"C")</f>
        <v>C</v>
      </c>
      <c r="I3009" s="163">
        <f>IFERROR(__xludf.DUMMYFUNCTION("""COMPUTED_VALUE"""),37.0)</f>
        <v>37</v>
      </c>
      <c r="J3009" s="165">
        <f>IFERROR(__xludf.DUMMYFUNCTION("""COMPUTED_VALUE"""),-1.11948707649698)</f>
        <v>-1.119487076</v>
      </c>
      <c r="K3009" s="165">
        <f>IFERROR(__xludf.DUMMYFUNCTION("""COMPUTED_VALUE"""),-1.54004909744093)</f>
        <v>-1.540049097</v>
      </c>
      <c r="L3009" s="165">
        <f>IFERROR(__xludf.DUMMYFUNCTION("""COMPUTED_VALUE"""),0.420562020943949)</f>
        <v>0.4205620209</v>
      </c>
      <c r="M3009" s="166">
        <f t="shared" si="2"/>
        <v>0.1727855241</v>
      </c>
      <c r="N3009" s="167">
        <f t="shared" si="3"/>
        <v>8.431025641</v>
      </c>
      <c r="O3009" s="163">
        <f t="shared" ref="O3009:Q3009" si="3013">rank(I3009,I:I)</f>
        <v>38</v>
      </c>
      <c r="P3009" s="163">
        <f t="shared" si="3013"/>
        <v>2646</v>
      </c>
      <c r="Q3009" s="163">
        <f t="shared" si="3013"/>
        <v>3396</v>
      </c>
      <c r="R3009" s="163">
        <f>IFERROR(__xludf.DUMMYFUNCTION("RANK(M3009,filter(M:M,C:C=C3009))"),347.0)</f>
        <v>347</v>
      </c>
      <c r="S3009" s="161" t="b">
        <f t="shared" si="5"/>
        <v>0</v>
      </c>
      <c r="T3009" s="161" t="b">
        <f t="array" ref="T3009">index('Query Tool'!B:B,match(H3009,'Query Tool'!C:C,0))</f>
        <v>1</v>
      </c>
      <c r="U3009" s="161" t="b">
        <f t="array" ref="U3009">index('Query Tool'!B:B,match(C3009,'Query Tool'!C:C,0))</f>
        <v>0</v>
      </c>
      <c r="V3009" s="161" t="b">
        <f>F3009&gt;='Query Tool'!C$32</f>
        <v>0</v>
      </c>
      <c r="W3009" s="161" t="b">
        <f t="array" ref="W3009">index(Dropdowns!B:B,match(I3009,Dropdowns!A:A,0))</f>
        <v>1</v>
      </c>
      <c r="X3009" s="161" t="b">
        <f t="array" ref="X3009">index('Query Tool'!B:B,match(D3009,'Query Tool'!C:C,0))</f>
        <v>1</v>
      </c>
      <c r="Y3009" s="161" t="str">
        <f t="shared" si="6"/>
        <v>chandty01,2019-20</v>
      </c>
      <c r="Z3009" s="168" t="str">
        <f t="array" ref="Z3009">iferror(index(I:I,match($A3009&amp;","&amp;index('Year Conversion'!$A:$A,match($C3009,'Year Conversion'!$B:$B,0)),$Y:$Y,0))-I3009,"")</f>
        <v/>
      </c>
      <c r="AA3009" s="168" t="str">
        <f t="array" ref="AA3009">iferror(index(J:J,match($A3009&amp;","&amp;index('Year Conversion'!$A:$A,match($C3009,'Year Conversion'!$B:$B,0)),$Y:$Y,0))-J3009,"")</f>
        <v/>
      </c>
      <c r="AB3009" s="168" t="str">
        <f t="array" ref="AB3009">iferror(index(K:K,match($A3009&amp;","&amp;index('Year Conversion'!$A:$A,match($C3009,'Year Conversion'!$B:$B,0)),$Y:$Y,0))-K3009,"")</f>
        <v/>
      </c>
      <c r="AC3009" s="168" t="str">
        <f t="shared" si="7"/>
        <v>HOU,2019-20</v>
      </c>
    </row>
    <row r="3010">
      <c r="A3010" s="161" t="str">
        <f>IFERROR(__xludf.DUMMYFUNCTION("""COMPUTED_VALUE"""),"jamesle01")</f>
        <v>jamesle01</v>
      </c>
      <c r="B3010" s="161" t="str">
        <f>IFERROR(__xludf.DUMMYFUNCTION("""COMPUTED_VALUE"""),"LeBron James")</f>
        <v>LeBron James</v>
      </c>
      <c r="C3010" s="162" t="str">
        <f>IFERROR(__xludf.DUMMYFUNCTION("""COMPUTED_VALUE"""),"2019-20")</f>
        <v>2019-20</v>
      </c>
      <c r="D3010" s="163" t="str">
        <f>IFERROR(__xludf.DUMMYFUNCTION("""COMPUTED_VALUE"""),"LAL")</f>
        <v>LAL</v>
      </c>
      <c r="E3010" s="164" t="str">
        <f>IFERROR(__xludf.DUMMYFUNCTION("""COMPUTED_VALUE"""),"Shot Creator")</f>
        <v>Shot Creator</v>
      </c>
      <c r="F3010" s="164">
        <f>IFERROR(__xludf.DUMMYFUNCTION("""COMPUTED_VALUE"""),2316.26666666667)</f>
        <v>2316.266667</v>
      </c>
      <c r="G3010" s="163">
        <f>IFERROR(__xludf.DUMMYFUNCTION("""COMPUTED_VALUE"""),67.0)</f>
        <v>67</v>
      </c>
      <c r="H3010" s="163" t="str">
        <f>IFERROR(__xludf.DUMMYFUNCTION("""COMPUTED_VALUE"""),"PG")</f>
        <v>PG</v>
      </c>
      <c r="I3010" s="163">
        <f>IFERROR(__xludf.DUMMYFUNCTION("""COMPUTED_VALUE"""),35.0)</f>
        <v>35</v>
      </c>
      <c r="J3010" s="165">
        <f>IFERROR(__xludf.DUMMYFUNCTION("""COMPUTED_VALUE"""),5.37830448982212)</f>
        <v>5.37830449</v>
      </c>
      <c r="K3010" s="165">
        <f>IFERROR(__xludf.DUMMYFUNCTION("""COMPUTED_VALUE"""),4.43904138951148)</f>
        <v>4.43904139</v>
      </c>
      <c r="L3010" s="165">
        <f>IFERROR(__xludf.DUMMYFUNCTION("""COMPUTED_VALUE"""),0.939263100310641)</f>
        <v>0.9392631003</v>
      </c>
      <c r="M3010" s="166">
        <f t="shared" si="2"/>
        <v>11.64767604</v>
      </c>
      <c r="N3010" s="167">
        <f t="shared" si="3"/>
        <v>34.57114428</v>
      </c>
      <c r="O3010" s="163">
        <f t="shared" ref="O3010:Q3010" si="3014">rank(I3010,I:I)</f>
        <v>104</v>
      </c>
      <c r="P3010" s="163">
        <f t="shared" si="3014"/>
        <v>35</v>
      </c>
      <c r="Q3010" s="163">
        <f t="shared" si="3014"/>
        <v>44</v>
      </c>
      <c r="R3010" s="163">
        <f>IFERROR(__xludf.DUMMYFUNCTION("RANK(M3010,filter(M:M,C:C=C3010))"),3.0)</f>
        <v>3</v>
      </c>
      <c r="S3010" s="161" t="b">
        <f t="shared" si="5"/>
        <v>0</v>
      </c>
      <c r="T3010" s="161" t="b">
        <f t="array" ref="T3010">index('Query Tool'!B:B,match(H3010,'Query Tool'!C:C,0))</f>
        <v>1</v>
      </c>
      <c r="U3010" s="161" t="b">
        <f t="array" ref="U3010">index('Query Tool'!B:B,match(C3010,'Query Tool'!C:C,0))</f>
        <v>0</v>
      </c>
      <c r="V3010" s="161" t="b">
        <f>F3010&gt;='Query Tool'!C$32</f>
        <v>1</v>
      </c>
      <c r="W3010" s="161" t="b">
        <f t="array" ref="W3010">index(Dropdowns!B:B,match(I3010,Dropdowns!A:A,0))</f>
        <v>1</v>
      </c>
      <c r="X3010" s="161" t="b">
        <f t="array" ref="X3010">index('Query Tool'!B:B,match(D3010,'Query Tool'!C:C,0))</f>
        <v>1</v>
      </c>
      <c r="Y3010" s="161" t="str">
        <f t="shared" si="6"/>
        <v>jamesle01,2019-20</v>
      </c>
      <c r="Z3010" s="168" t="str">
        <f t="array" ref="Z3010">iferror(index(I:I,match($A3010&amp;","&amp;index('Year Conversion'!$A:$A,match($C3010,'Year Conversion'!$B:$B,0)),$Y:$Y,0))-I3010,"")</f>
        <v/>
      </c>
      <c r="AA3010" s="168" t="str">
        <f t="array" ref="AA3010">iferror(index(J:J,match($A3010&amp;","&amp;index('Year Conversion'!$A:$A,match($C3010,'Year Conversion'!$B:$B,0)),$Y:$Y,0))-J3010,"")</f>
        <v/>
      </c>
      <c r="AB3010" s="168" t="str">
        <f t="array" ref="AB3010">iferror(index(K:K,match($A3010&amp;","&amp;index('Year Conversion'!$A:$A,match($C3010,'Year Conversion'!$B:$B,0)),$Y:$Y,0))-K3010,"")</f>
        <v/>
      </c>
      <c r="AC3010" s="168" t="str">
        <f t="shared" si="7"/>
        <v>LAL,2019-20</v>
      </c>
    </row>
    <row r="3011">
      <c r="A3011" s="161" t="str">
        <f>IFERROR(__xludf.DUMMYFUNCTION("""COMPUTED_VALUE"""),"anthoca01")</f>
        <v>anthoca01</v>
      </c>
      <c r="B3011" s="161" t="str">
        <f>IFERROR(__xludf.DUMMYFUNCTION("""COMPUTED_VALUE"""),"Carmelo Anthony")</f>
        <v>Carmelo Anthony</v>
      </c>
      <c r="C3011" s="162" t="str">
        <f>IFERROR(__xludf.DUMMYFUNCTION("""COMPUTED_VALUE"""),"2019-20")</f>
        <v>2019-20</v>
      </c>
      <c r="D3011" s="163" t="str">
        <f>IFERROR(__xludf.DUMMYFUNCTION("""COMPUTED_VALUE"""),"POR")</f>
        <v>POR</v>
      </c>
      <c r="E3011" s="164" t="str">
        <f>IFERROR(__xludf.DUMMYFUNCTION("""COMPUTED_VALUE"""),"Versatile Big")</f>
        <v>Versatile Big</v>
      </c>
      <c r="F3011" s="164">
        <f>IFERROR(__xludf.DUMMYFUNCTION("""COMPUTED_VALUE"""),1902.04666666667)</f>
        <v>1902.046667</v>
      </c>
      <c r="G3011" s="163">
        <f>IFERROR(__xludf.DUMMYFUNCTION("""COMPUTED_VALUE"""),58.0)</f>
        <v>58</v>
      </c>
      <c r="H3011" s="163" t="str">
        <f>IFERROR(__xludf.DUMMYFUNCTION("""COMPUTED_VALUE"""),"PF")</f>
        <v>PF</v>
      </c>
      <c r="I3011" s="163">
        <f>IFERROR(__xludf.DUMMYFUNCTION("""COMPUTED_VALUE"""),35.0)</f>
        <v>35</v>
      </c>
      <c r="J3011" s="165">
        <f>IFERROR(__xludf.DUMMYFUNCTION("""COMPUTED_VALUE"""),-0.452260648514424)</f>
        <v>-0.4522606485</v>
      </c>
      <c r="K3011" s="165">
        <f>IFERROR(__xludf.DUMMYFUNCTION("""COMPUTED_VALUE"""),-0.391769152103116)</f>
        <v>-0.3917691521</v>
      </c>
      <c r="L3011" s="165">
        <f>IFERROR(__xludf.DUMMYFUNCTION("""COMPUTED_VALUE"""),-0.060491496411308)</f>
        <v>-0.06049149641</v>
      </c>
      <c r="M3011" s="166">
        <f t="shared" si="2"/>
        <v>2.352534536</v>
      </c>
      <c r="N3011" s="167">
        <f t="shared" si="3"/>
        <v>32.79390805</v>
      </c>
      <c r="O3011" s="163">
        <f t="shared" ref="O3011:Q3011" si="3015">rank(I3011,I:I)</f>
        <v>104</v>
      </c>
      <c r="P3011" s="163">
        <f t="shared" si="3015"/>
        <v>1778</v>
      </c>
      <c r="Q3011" s="163">
        <f t="shared" si="3015"/>
        <v>1932</v>
      </c>
      <c r="R3011" s="163">
        <f>IFERROR(__xludf.DUMMYFUNCTION("RANK(M3011,filter(M:M,C:C=C3011))"),134.0)</f>
        <v>134</v>
      </c>
      <c r="S3011" s="161" t="b">
        <f t="shared" si="5"/>
        <v>0</v>
      </c>
      <c r="T3011" s="161" t="b">
        <f t="array" ref="T3011">index('Query Tool'!B:B,match(H3011,'Query Tool'!C:C,0))</f>
        <v>1</v>
      </c>
      <c r="U3011" s="161" t="b">
        <f t="array" ref="U3011">index('Query Tool'!B:B,match(C3011,'Query Tool'!C:C,0))</f>
        <v>0</v>
      </c>
      <c r="V3011" s="161" t="b">
        <f>F3011&gt;='Query Tool'!C$32</f>
        <v>1</v>
      </c>
      <c r="W3011" s="161" t="b">
        <f t="array" ref="W3011">index(Dropdowns!B:B,match(I3011,Dropdowns!A:A,0))</f>
        <v>1</v>
      </c>
      <c r="X3011" s="161" t="b">
        <f t="array" ref="X3011">index('Query Tool'!B:B,match(D3011,'Query Tool'!C:C,0))</f>
        <v>1</v>
      </c>
      <c r="Y3011" s="161" t="str">
        <f t="shared" si="6"/>
        <v>anthoca01,2019-20</v>
      </c>
      <c r="Z3011" s="168" t="str">
        <f t="array" ref="Z3011">iferror(index(I:I,match($A3011&amp;","&amp;index('Year Conversion'!$A:$A,match($C3011,'Year Conversion'!$B:$B,0)),$Y:$Y,0))-I3011,"")</f>
        <v/>
      </c>
      <c r="AA3011" s="168" t="str">
        <f t="array" ref="AA3011">iferror(index(J:J,match($A3011&amp;","&amp;index('Year Conversion'!$A:$A,match($C3011,'Year Conversion'!$B:$B,0)),$Y:$Y,0))-J3011,"")</f>
        <v/>
      </c>
      <c r="AB3011" s="168" t="str">
        <f t="array" ref="AB3011">iferror(index(K:K,match($A3011&amp;","&amp;index('Year Conversion'!$A:$A,match($C3011,'Year Conversion'!$B:$B,0)),$Y:$Y,0))-K3011,"")</f>
        <v/>
      </c>
      <c r="AC3011" s="168" t="str">
        <f t="shared" si="7"/>
        <v>POR,2019-20</v>
      </c>
    </row>
    <row r="3012">
      <c r="A3012" s="161" t="str">
        <f>IFERROR(__xludf.DUMMYFUNCTION("""COMPUTED_VALUE"""),"korveky01")</f>
        <v>korveky01</v>
      </c>
      <c r="B3012" s="161" t="str">
        <f>IFERROR(__xludf.DUMMYFUNCTION("""COMPUTED_VALUE"""),"Kyle Korver")</f>
        <v>Kyle Korver</v>
      </c>
      <c r="C3012" s="162" t="str">
        <f>IFERROR(__xludf.DUMMYFUNCTION("""COMPUTED_VALUE"""),"2019-20")</f>
        <v>2019-20</v>
      </c>
      <c r="D3012" s="163" t="str">
        <f>IFERROR(__xludf.DUMMYFUNCTION("""COMPUTED_VALUE"""),"MIL")</f>
        <v>MIL</v>
      </c>
      <c r="E3012" s="164" t="str">
        <f>IFERROR(__xludf.DUMMYFUNCTION("""COMPUTED_VALUE"""),"Off Screen Shooter")</f>
        <v>Off Screen Shooter</v>
      </c>
      <c r="F3012" s="164">
        <f>IFERROR(__xludf.DUMMYFUNCTION("""COMPUTED_VALUE"""),959.98)</f>
        <v>959.98</v>
      </c>
      <c r="G3012" s="163">
        <f>IFERROR(__xludf.DUMMYFUNCTION("""COMPUTED_VALUE"""),58.0)</f>
        <v>58</v>
      </c>
      <c r="H3012" s="163" t="str">
        <f>IFERROR(__xludf.DUMMYFUNCTION("""COMPUTED_VALUE"""),"SF")</f>
        <v>SF</v>
      </c>
      <c r="I3012" s="163">
        <f>IFERROR(__xludf.DUMMYFUNCTION("""COMPUTED_VALUE"""),38.0)</f>
        <v>38</v>
      </c>
      <c r="J3012" s="165">
        <f>IFERROR(__xludf.DUMMYFUNCTION("""COMPUTED_VALUE"""),0.0254470872746331)</f>
        <v>0.02544708727</v>
      </c>
      <c r="K3012" s="165">
        <f>IFERROR(__xludf.DUMMYFUNCTION("""COMPUTED_VALUE"""),0.341022566878857)</f>
        <v>0.3410225669</v>
      </c>
      <c r="L3012" s="165">
        <f>IFERROR(__xludf.DUMMYFUNCTION("""COMPUTED_VALUE"""),-0.315575479604224)</f>
        <v>-0.3155754796</v>
      </c>
      <c r="M3012" s="166">
        <f t="shared" si="2"/>
        <v>1.496438729</v>
      </c>
      <c r="N3012" s="167">
        <f t="shared" si="3"/>
        <v>16.55137931</v>
      </c>
      <c r="O3012" s="163">
        <f t="shared" ref="O3012:Q3012" si="3016">rank(I3012,I:I)</f>
        <v>20</v>
      </c>
      <c r="P3012" s="163">
        <f t="shared" si="3016"/>
        <v>1269</v>
      </c>
      <c r="Q3012" s="163">
        <f t="shared" si="3016"/>
        <v>875</v>
      </c>
      <c r="R3012" s="163">
        <f>IFERROR(__xludf.DUMMYFUNCTION("RANK(M3012,filter(M:M,C:C=C3012))"),185.0)</f>
        <v>185</v>
      </c>
      <c r="S3012" s="161" t="b">
        <f t="shared" si="5"/>
        <v>0</v>
      </c>
      <c r="T3012" s="161" t="b">
        <f t="array" ref="T3012">index('Query Tool'!B:B,match(H3012,'Query Tool'!C:C,0))</f>
        <v>1</v>
      </c>
      <c r="U3012" s="161" t="b">
        <f t="array" ref="U3012">index('Query Tool'!B:B,match(C3012,'Query Tool'!C:C,0))</f>
        <v>0</v>
      </c>
      <c r="V3012" s="161" t="b">
        <f>F3012&gt;='Query Tool'!C$32</f>
        <v>1</v>
      </c>
      <c r="W3012" s="161" t="b">
        <f t="array" ref="W3012">index(Dropdowns!B:B,match(I3012,Dropdowns!A:A,0))</f>
        <v>1</v>
      </c>
      <c r="X3012" s="161" t="b">
        <f t="array" ref="X3012">index('Query Tool'!B:B,match(D3012,'Query Tool'!C:C,0))</f>
        <v>1</v>
      </c>
      <c r="Y3012" s="161" t="str">
        <f t="shared" si="6"/>
        <v>korveky01,2019-20</v>
      </c>
      <c r="Z3012" s="168" t="str">
        <f t="array" ref="Z3012">iferror(index(I:I,match($A3012&amp;","&amp;index('Year Conversion'!$A:$A,match($C3012,'Year Conversion'!$B:$B,0)),$Y:$Y,0))-I3012,"")</f>
        <v/>
      </c>
      <c r="AA3012" s="168" t="str">
        <f t="array" ref="AA3012">iferror(index(J:J,match($A3012&amp;","&amp;index('Year Conversion'!$A:$A,match($C3012,'Year Conversion'!$B:$B,0)),$Y:$Y,0))-J3012,"")</f>
        <v/>
      </c>
      <c r="AB3012" s="168" t="str">
        <f t="array" ref="AB3012">iferror(index(K:K,match($A3012&amp;","&amp;index('Year Conversion'!$A:$A,match($C3012,'Year Conversion'!$B:$B,0)),$Y:$Y,0))-K3012,"")</f>
        <v/>
      </c>
      <c r="AC3012" s="168" t="str">
        <f t="shared" si="7"/>
        <v>MIL,2019-20</v>
      </c>
    </row>
    <row r="3013">
      <c r="A3013" s="161" t="str">
        <f>IFERROR(__xludf.DUMMYFUNCTION("""COMPUTED_VALUE"""),"hasleud01")</f>
        <v>hasleud01</v>
      </c>
      <c r="B3013" s="161" t="str">
        <f>IFERROR(__xludf.DUMMYFUNCTION("""COMPUTED_VALUE"""),"Udonis Haslem")</f>
        <v>Udonis Haslem</v>
      </c>
      <c r="C3013" s="162" t="str">
        <f>IFERROR(__xludf.DUMMYFUNCTION("""COMPUTED_VALUE"""),"2019-20")</f>
        <v>2019-20</v>
      </c>
      <c r="D3013" s="163" t="str">
        <f>IFERROR(__xludf.DUMMYFUNCTION("""COMPUTED_VALUE"""),"MIA")</f>
        <v>MIA</v>
      </c>
      <c r="E3013" s="164" t="str">
        <f>IFERROR(__xludf.DUMMYFUNCTION("""COMPUTED_VALUE"""),"Stretch Big")</f>
        <v>Stretch Big</v>
      </c>
      <c r="F3013" s="164">
        <f>IFERROR(__xludf.DUMMYFUNCTION("""COMPUTED_VALUE"""),44.13)</f>
        <v>44.13</v>
      </c>
      <c r="G3013" s="163">
        <f>IFERROR(__xludf.DUMMYFUNCTION("""COMPUTED_VALUE"""),4.0)</f>
        <v>4</v>
      </c>
      <c r="H3013" s="163" t="str">
        <f>IFERROR(__xludf.DUMMYFUNCTION("""COMPUTED_VALUE"""),"C")</f>
        <v>C</v>
      </c>
      <c r="I3013" s="163">
        <f>IFERROR(__xludf.DUMMYFUNCTION("""COMPUTED_VALUE"""),39.0)</f>
        <v>39</v>
      </c>
      <c r="J3013" s="165">
        <f>IFERROR(__xludf.DUMMYFUNCTION("""COMPUTED_VALUE"""),-1.05474010679544)</f>
        <v>-1.054740107</v>
      </c>
      <c r="K3013" s="165">
        <f>IFERROR(__xludf.DUMMYFUNCTION("""COMPUTED_VALUE"""),-0.856166325310346)</f>
        <v>-0.8561663253</v>
      </c>
      <c r="L3013" s="165">
        <f>IFERROR(__xludf.DUMMYFUNCTION("""COMPUTED_VALUE"""),-0.198573781485094)</f>
        <v>-0.1985737815</v>
      </c>
      <c r="M3013" s="166">
        <f t="shared" si="2"/>
        <v>0.03670153295</v>
      </c>
      <c r="N3013" s="167">
        <f t="shared" si="3"/>
        <v>11.0325</v>
      </c>
      <c r="O3013" s="163">
        <f t="shared" ref="O3013:Q3013" si="3017">rank(I3013,I:I)</f>
        <v>8</v>
      </c>
      <c r="P3013" s="163">
        <f t="shared" si="3017"/>
        <v>2557</v>
      </c>
      <c r="Q3013" s="163">
        <f t="shared" si="3017"/>
        <v>2630</v>
      </c>
      <c r="R3013" s="163">
        <f>IFERROR(__xludf.DUMMYFUNCTION("RANK(M3013,filter(M:M,C:C=C3013))"),445.0)</f>
        <v>445</v>
      </c>
      <c r="S3013" s="161" t="b">
        <f t="shared" si="5"/>
        <v>0</v>
      </c>
      <c r="T3013" s="161" t="b">
        <f t="array" ref="T3013">index('Query Tool'!B:B,match(H3013,'Query Tool'!C:C,0))</f>
        <v>1</v>
      </c>
      <c r="U3013" s="161" t="b">
        <f t="array" ref="U3013">index('Query Tool'!B:B,match(C3013,'Query Tool'!C:C,0))</f>
        <v>0</v>
      </c>
      <c r="V3013" s="161" t="b">
        <f>F3013&gt;='Query Tool'!C$32</f>
        <v>0</v>
      </c>
      <c r="W3013" s="161" t="b">
        <f t="array" ref="W3013">index(Dropdowns!B:B,match(I3013,Dropdowns!A:A,0))</f>
        <v>1</v>
      </c>
      <c r="X3013" s="161" t="b">
        <f t="array" ref="X3013">index('Query Tool'!B:B,match(D3013,'Query Tool'!C:C,0))</f>
        <v>1</v>
      </c>
      <c r="Y3013" s="161" t="str">
        <f t="shared" si="6"/>
        <v>hasleud01,2019-20</v>
      </c>
      <c r="Z3013" s="168" t="str">
        <f t="array" ref="Z3013">iferror(index(I:I,match($A3013&amp;","&amp;index('Year Conversion'!$A:$A,match($C3013,'Year Conversion'!$B:$B,0)),$Y:$Y,0))-I3013,"")</f>
        <v/>
      </c>
      <c r="AA3013" s="168" t="str">
        <f t="array" ref="AA3013">iferror(index(J:J,match($A3013&amp;","&amp;index('Year Conversion'!$A:$A,match($C3013,'Year Conversion'!$B:$B,0)),$Y:$Y,0))-J3013,"")</f>
        <v/>
      </c>
      <c r="AB3013" s="168" t="str">
        <f t="array" ref="AB3013">iferror(index(K:K,match($A3013&amp;","&amp;index('Year Conversion'!$A:$A,match($C3013,'Year Conversion'!$B:$B,0)),$Y:$Y,0))-K3013,"")</f>
        <v/>
      </c>
      <c r="AC3013" s="168" t="str">
        <f t="shared" si="7"/>
        <v>MIA,2019-20</v>
      </c>
    </row>
    <row r="3014">
      <c r="A3014" s="161" t="str">
        <f>IFERROR(__xludf.DUMMYFUNCTION("""COMPUTED_VALUE"""),"howardw01")</f>
        <v>howardw01</v>
      </c>
      <c r="B3014" s="161" t="str">
        <f>IFERROR(__xludf.DUMMYFUNCTION("""COMPUTED_VALUE"""),"Dwight Howard")</f>
        <v>Dwight Howard</v>
      </c>
      <c r="C3014" s="162" t="str">
        <f>IFERROR(__xludf.DUMMYFUNCTION("""COMPUTED_VALUE"""),"2019-20")</f>
        <v>2019-20</v>
      </c>
      <c r="D3014" s="163" t="str">
        <f>IFERROR(__xludf.DUMMYFUNCTION("""COMPUTED_VALUE"""),"LAL")</f>
        <v>LAL</v>
      </c>
      <c r="E3014" s="164" t="str">
        <f>IFERROR(__xludf.DUMMYFUNCTION("""COMPUTED_VALUE"""),"Roll + Cut Big")</f>
        <v>Roll + Cut Big</v>
      </c>
      <c r="F3014" s="164">
        <f>IFERROR(__xludf.DUMMYFUNCTION("""COMPUTED_VALUE"""),1305.71333333333)</f>
        <v>1305.713333</v>
      </c>
      <c r="G3014" s="163">
        <f>IFERROR(__xludf.DUMMYFUNCTION("""COMPUTED_VALUE"""),69.0)</f>
        <v>69</v>
      </c>
      <c r="H3014" s="163" t="str">
        <f>IFERROR(__xludf.DUMMYFUNCTION("""COMPUTED_VALUE"""),"C")</f>
        <v>C</v>
      </c>
      <c r="I3014" s="163">
        <f>IFERROR(__xludf.DUMMYFUNCTION("""COMPUTED_VALUE"""),34.0)</f>
        <v>34</v>
      </c>
      <c r="J3014" s="165">
        <f>IFERROR(__xludf.DUMMYFUNCTION("""COMPUTED_VALUE"""),0.616047965788216)</f>
        <v>0.6160479658</v>
      </c>
      <c r="K3014" s="165">
        <f>IFERROR(__xludf.DUMMYFUNCTION("""COMPUTED_VALUE"""),-0.903991162642475)</f>
        <v>-0.9039911626</v>
      </c>
      <c r="L3014" s="165">
        <f>IFERROR(__xludf.DUMMYFUNCTION("""COMPUTED_VALUE"""),1.52003912843069)</f>
        <v>1.520039128</v>
      </c>
      <c r="M3014" s="166">
        <f t="shared" si="2"/>
        <v>2.554995172</v>
      </c>
      <c r="N3014" s="167">
        <f t="shared" si="3"/>
        <v>18.92338164</v>
      </c>
      <c r="O3014" s="163">
        <f t="shared" ref="O3014:Q3014" si="3018">rank(I3014,I:I)</f>
        <v>164</v>
      </c>
      <c r="P3014" s="163">
        <f t="shared" si="3018"/>
        <v>836</v>
      </c>
      <c r="Q3014" s="163">
        <f t="shared" si="3018"/>
        <v>2696</v>
      </c>
      <c r="R3014" s="163">
        <f>IFERROR(__xludf.DUMMYFUNCTION("RANK(M3014,filter(M:M,C:C=C3014))"),120.0)</f>
        <v>120</v>
      </c>
      <c r="S3014" s="161" t="b">
        <f t="shared" si="5"/>
        <v>0</v>
      </c>
      <c r="T3014" s="161" t="b">
        <f t="array" ref="T3014">index('Query Tool'!B:B,match(H3014,'Query Tool'!C:C,0))</f>
        <v>1</v>
      </c>
      <c r="U3014" s="161" t="b">
        <f t="array" ref="U3014">index('Query Tool'!B:B,match(C3014,'Query Tool'!C:C,0))</f>
        <v>0</v>
      </c>
      <c r="V3014" s="161" t="b">
        <f>F3014&gt;='Query Tool'!C$32</f>
        <v>1</v>
      </c>
      <c r="W3014" s="161" t="b">
        <f t="array" ref="W3014">index(Dropdowns!B:B,match(I3014,Dropdowns!A:A,0))</f>
        <v>1</v>
      </c>
      <c r="X3014" s="161" t="b">
        <f t="array" ref="X3014">index('Query Tool'!B:B,match(D3014,'Query Tool'!C:C,0))</f>
        <v>1</v>
      </c>
      <c r="Y3014" s="161" t="str">
        <f t="shared" si="6"/>
        <v>howardw01,2019-20</v>
      </c>
      <c r="Z3014" s="168" t="str">
        <f t="array" ref="Z3014">iferror(index(I:I,match($A3014&amp;","&amp;index('Year Conversion'!$A:$A,match($C3014,'Year Conversion'!$B:$B,0)),$Y:$Y,0))-I3014,"")</f>
        <v/>
      </c>
      <c r="AA3014" s="168" t="str">
        <f t="array" ref="AA3014">iferror(index(J:J,match($A3014&amp;","&amp;index('Year Conversion'!$A:$A,match($C3014,'Year Conversion'!$B:$B,0)),$Y:$Y,0))-J3014,"")</f>
        <v/>
      </c>
      <c r="AB3014" s="168" t="str">
        <f t="array" ref="AB3014">iferror(index(K:K,match($A3014&amp;","&amp;index('Year Conversion'!$A:$A,match($C3014,'Year Conversion'!$B:$B,0)),$Y:$Y,0))-K3014,"")</f>
        <v/>
      </c>
      <c r="AC3014" s="168" t="str">
        <f t="shared" si="7"/>
        <v>LAL,2019-20</v>
      </c>
    </row>
    <row r="3015">
      <c r="A3015" s="161" t="str">
        <f>IFERROR(__xludf.DUMMYFUNCTION("""COMPUTED_VALUE"""),"iguodan01")</f>
        <v>iguodan01</v>
      </c>
      <c r="B3015" s="161" t="str">
        <f>IFERROR(__xludf.DUMMYFUNCTION("""COMPUTED_VALUE"""),"Andre Iguodala")</f>
        <v>Andre Iguodala</v>
      </c>
      <c r="C3015" s="162" t="str">
        <f>IFERROR(__xludf.DUMMYFUNCTION("""COMPUTED_VALUE"""),"2019-20")</f>
        <v>2019-20</v>
      </c>
      <c r="D3015" s="163" t="str">
        <f>IFERROR(__xludf.DUMMYFUNCTION("""COMPUTED_VALUE"""),"MIA")</f>
        <v>MIA</v>
      </c>
      <c r="E3015" s="164" t="str">
        <f>IFERROR(__xludf.DUMMYFUNCTION("""COMPUTED_VALUE"""),"Stationary Shooter")</f>
        <v>Stationary Shooter</v>
      </c>
      <c r="F3015" s="164">
        <f>IFERROR(__xludf.DUMMYFUNCTION("""COMPUTED_VALUE"""),418.166666666667)</f>
        <v>418.1666667</v>
      </c>
      <c r="G3015" s="163">
        <f>IFERROR(__xludf.DUMMYFUNCTION("""COMPUTED_VALUE"""),21.0)</f>
        <v>21</v>
      </c>
      <c r="H3015" s="163" t="str">
        <f>IFERROR(__xludf.DUMMYFUNCTION("""COMPUTED_VALUE"""),"SF")</f>
        <v>SF</v>
      </c>
      <c r="I3015" s="163">
        <f>IFERROR(__xludf.DUMMYFUNCTION("""COMPUTED_VALUE"""),36.0)</f>
        <v>36</v>
      </c>
      <c r="J3015" s="165">
        <f>IFERROR(__xludf.DUMMYFUNCTION("""COMPUTED_VALUE"""),-0.29540466325991)</f>
        <v>-0.2954046633</v>
      </c>
      <c r="K3015" s="165">
        <f>IFERROR(__xludf.DUMMYFUNCTION("""COMPUTED_VALUE"""),-1.90257508691925)</f>
        <v>-1.902575087</v>
      </c>
      <c r="L3015" s="165">
        <f>IFERROR(__xludf.DUMMYFUNCTION("""COMPUTED_VALUE"""),1.60717042365934)</f>
        <v>1.607170424</v>
      </c>
      <c r="M3015" s="166">
        <f t="shared" si="2"/>
        <v>0.5614021276</v>
      </c>
      <c r="N3015" s="167">
        <f t="shared" si="3"/>
        <v>19.91269841</v>
      </c>
      <c r="O3015" s="163">
        <f t="shared" ref="O3015:Q3015" si="3019">rank(I3015,I:I)</f>
        <v>65</v>
      </c>
      <c r="P3015" s="163">
        <f t="shared" si="3019"/>
        <v>1604</v>
      </c>
      <c r="Q3015" s="163">
        <f t="shared" si="3019"/>
        <v>3648</v>
      </c>
      <c r="R3015" s="163">
        <f>IFERROR(__xludf.DUMMYFUNCTION("RANK(M3015,filter(M:M,C:C=C3015))"),247.0)</f>
        <v>247</v>
      </c>
      <c r="S3015" s="161" t="b">
        <f t="shared" si="5"/>
        <v>0</v>
      </c>
      <c r="T3015" s="161" t="b">
        <f t="array" ref="T3015">index('Query Tool'!B:B,match(H3015,'Query Tool'!C:C,0))</f>
        <v>1</v>
      </c>
      <c r="U3015" s="161" t="b">
        <f t="array" ref="U3015">index('Query Tool'!B:B,match(C3015,'Query Tool'!C:C,0))</f>
        <v>0</v>
      </c>
      <c r="V3015" s="161" t="b">
        <f>F3015&gt;='Query Tool'!C$32</f>
        <v>0</v>
      </c>
      <c r="W3015" s="161" t="b">
        <f t="array" ref="W3015">index(Dropdowns!B:B,match(I3015,Dropdowns!A:A,0))</f>
        <v>1</v>
      </c>
      <c r="X3015" s="161" t="b">
        <f t="array" ref="X3015">index('Query Tool'!B:B,match(D3015,'Query Tool'!C:C,0))</f>
        <v>1</v>
      </c>
      <c r="Y3015" s="161" t="str">
        <f t="shared" si="6"/>
        <v>iguodan01,2019-20</v>
      </c>
      <c r="Z3015" s="168" t="str">
        <f t="array" ref="Z3015">iferror(index(I:I,match($A3015&amp;","&amp;index('Year Conversion'!$A:$A,match($C3015,'Year Conversion'!$B:$B,0)),$Y:$Y,0))-I3015,"")</f>
        <v/>
      </c>
      <c r="AA3015" s="168" t="str">
        <f t="array" ref="AA3015">iferror(index(J:J,match($A3015&amp;","&amp;index('Year Conversion'!$A:$A,match($C3015,'Year Conversion'!$B:$B,0)),$Y:$Y,0))-J3015,"")</f>
        <v/>
      </c>
      <c r="AB3015" s="168" t="str">
        <f t="array" ref="AB3015">iferror(index(K:K,match($A3015&amp;","&amp;index('Year Conversion'!$A:$A,match($C3015,'Year Conversion'!$B:$B,0)),$Y:$Y,0))-K3015,"")</f>
        <v/>
      </c>
      <c r="AC3015" s="168" t="str">
        <f t="shared" si="7"/>
        <v>MIA,2019-20</v>
      </c>
    </row>
    <row r="3016">
      <c r="A3016" s="161" t="str">
        <f>IFERROR(__xludf.DUMMYFUNCTION("""COMPUTED_VALUE"""),"smithjr01")</f>
        <v>smithjr01</v>
      </c>
      <c r="B3016" s="161" t="str">
        <f>IFERROR(__xludf.DUMMYFUNCTION("""COMPUTED_VALUE"""),"JR Smith")</f>
        <v>JR Smith</v>
      </c>
      <c r="C3016" s="162" t="str">
        <f>IFERROR(__xludf.DUMMYFUNCTION("""COMPUTED_VALUE"""),"2019-20")</f>
        <v>2019-20</v>
      </c>
      <c r="D3016" s="163" t="str">
        <f>IFERROR(__xludf.DUMMYFUNCTION("""COMPUTED_VALUE"""),"LAL")</f>
        <v>LAL</v>
      </c>
      <c r="E3016" s="164" t="str">
        <f>IFERROR(__xludf.DUMMYFUNCTION("""COMPUTED_VALUE"""),"Secondary Ball Handler")</f>
        <v>Secondary Ball Handler</v>
      </c>
      <c r="F3016" s="164">
        <f>IFERROR(__xludf.DUMMYFUNCTION("""COMPUTED_VALUE"""),78.9033333333333)</f>
        <v>78.90333333</v>
      </c>
      <c r="G3016" s="163">
        <f>IFERROR(__xludf.DUMMYFUNCTION("""COMPUTED_VALUE"""),6.0)</f>
        <v>6</v>
      </c>
      <c r="H3016" s="163" t="str">
        <f>IFERROR(__xludf.DUMMYFUNCTION("""COMPUTED_VALUE"""),"SG")</f>
        <v>SG</v>
      </c>
      <c r="I3016" s="163">
        <f>IFERROR(__xludf.DUMMYFUNCTION("""COMPUTED_VALUE"""),34.0)</f>
        <v>34</v>
      </c>
      <c r="J3016" s="165">
        <f>IFERROR(__xludf.DUMMYFUNCTION("""COMPUTED_VALUE"""),-1.52481221657983)</f>
        <v>-1.524812217</v>
      </c>
      <c r="K3016" s="165">
        <f>IFERROR(__xludf.DUMMYFUNCTION("""COMPUTED_VALUE"""),-0.7823116512985)</f>
        <v>-0.7823116513</v>
      </c>
      <c r="L3016" s="165">
        <f>IFERROR(__xludf.DUMMYFUNCTION("""COMPUTED_VALUE"""),-0.742500565281326)</f>
        <v>-0.7425005653</v>
      </c>
      <c r="M3016" s="166">
        <f t="shared" si="2"/>
        <v>0.04078997796</v>
      </c>
      <c r="N3016" s="167">
        <f t="shared" si="3"/>
        <v>13.15055556</v>
      </c>
      <c r="O3016" s="163">
        <f t="shared" ref="O3016:Q3016" si="3020">rank(I3016,I:I)</f>
        <v>164</v>
      </c>
      <c r="P3016" s="163">
        <f t="shared" si="3020"/>
        <v>3075</v>
      </c>
      <c r="Q3016" s="163">
        <f t="shared" si="3020"/>
        <v>2535</v>
      </c>
      <c r="R3016" s="163">
        <f>IFERROR(__xludf.DUMMYFUNCTION("RANK(M3016,filter(M:M,C:C=C3016))"),440.0)</f>
        <v>440</v>
      </c>
      <c r="S3016" s="161" t="b">
        <f t="shared" si="5"/>
        <v>0</v>
      </c>
      <c r="T3016" s="161" t="b">
        <f t="array" ref="T3016">index('Query Tool'!B:B,match(H3016,'Query Tool'!C:C,0))</f>
        <v>1</v>
      </c>
      <c r="U3016" s="161" t="b">
        <f t="array" ref="U3016">index('Query Tool'!B:B,match(C3016,'Query Tool'!C:C,0))</f>
        <v>0</v>
      </c>
      <c r="V3016" s="161" t="b">
        <f>F3016&gt;='Query Tool'!C$32</f>
        <v>0</v>
      </c>
      <c r="W3016" s="161" t="b">
        <f t="array" ref="W3016">index(Dropdowns!B:B,match(I3016,Dropdowns!A:A,0))</f>
        <v>1</v>
      </c>
      <c r="X3016" s="161" t="b">
        <f t="array" ref="X3016">index('Query Tool'!B:B,match(D3016,'Query Tool'!C:C,0))</f>
        <v>1</v>
      </c>
      <c r="Y3016" s="161" t="str">
        <f t="shared" si="6"/>
        <v>smithjr01,2019-20</v>
      </c>
      <c r="Z3016" s="168" t="str">
        <f t="array" ref="Z3016">iferror(index(I:I,match($A3016&amp;","&amp;index('Year Conversion'!$A:$A,match($C3016,'Year Conversion'!$B:$B,0)),$Y:$Y,0))-I3016,"")</f>
        <v/>
      </c>
      <c r="AA3016" s="168" t="str">
        <f t="array" ref="AA3016">iferror(index(J:J,match($A3016&amp;","&amp;index('Year Conversion'!$A:$A,match($C3016,'Year Conversion'!$B:$B,0)),$Y:$Y,0))-J3016,"")</f>
        <v/>
      </c>
      <c r="AB3016" s="168" t="str">
        <f t="array" ref="AB3016">iferror(index(K:K,match($A3016&amp;","&amp;index('Year Conversion'!$A:$A,match($C3016,'Year Conversion'!$B:$B,0)),$Y:$Y,0))-K3016,"")</f>
        <v/>
      </c>
      <c r="AC3016" s="168" t="str">
        <f t="shared" si="7"/>
        <v>LAL,2019-20</v>
      </c>
    </row>
    <row r="3017">
      <c r="A3017" s="161" t="str">
        <f>IFERROR(__xludf.DUMMYFUNCTION("""COMPUTED_VALUE"""),"arizatr01")</f>
        <v>arizatr01</v>
      </c>
      <c r="B3017" s="161" t="str">
        <f>IFERROR(__xludf.DUMMYFUNCTION("""COMPUTED_VALUE"""),"Trevor Ariza")</f>
        <v>Trevor Ariza</v>
      </c>
      <c r="C3017" s="162" t="str">
        <f>IFERROR(__xludf.DUMMYFUNCTION("""COMPUTED_VALUE"""),"2019-20")</f>
        <v>2019-20</v>
      </c>
      <c r="D3017" s="163" t="str">
        <f>IFERROR(__xludf.DUMMYFUNCTION("""COMPUTED_VALUE"""),"TOT")</f>
        <v>TOT</v>
      </c>
      <c r="E3017" s="164" t="str">
        <f>IFERROR(__xludf.DUMMYFUNCTION("""COMPUTED_VALUE"""),"Stationary Shooter")</f>
        <v>Stationary Shooter</v>
      </c>
      <c r="F3017" s="164">
        <f>IFERROR(__xludf.DUMMYFUNCTION("""COMPUTED_VALUE"""),1492.275)</f>
        <v>1492.275</v>
      </c>
      <c r="G3017" s="163">
        <f>IFERROR(__xludf.DUMMYFUNCTION("""COMPUTED_VALUE"""),53.0)</f>
        <v>53</v>
      </c>
      <c r="H3017" s="163" t="str">
        <f>IFERROR(__xludf.DUMMYFUNCTION("""COMPUTED_VALUE"""),"SF")</f>
        <v>SF</v>
      </c>
      <c r="I3017" s="163">
        <f>IFERROR(__xludf.DUMMYFUNCTION("""COMPUTED_VALUE"""),34.0)</f>
        <v>34</v>
      </c>
      <c r="J3017" s="165">
        <f>IFERROR(__xludf.DUMMYFUNCTION("""COMPUTED_VALUE"""),-0.325613250167882)</f>
        <v>-0.3256132502</v>
      </c>
      <c r="K3017" s="165">
        <f>IFERROR(__xludf.DUMMYFUNCTION("""COMPUTED_VALUE"""),-1.97925812043894)</f>
        <v>-1.97925812</v>
      </c>
      <c r="L3017" s="165">
        <f>IFERROR(__xludf.DUMMYFUNCTION("""COMPUTED_VALUE"""),1.65364487027106)</f>
        <v>1.65364487</v>
      </c>
      <c r="M3017" s="166">
        <f t="shared" si="2"/>
        <v>1.973046993</v>
      </c>
      <c r="N3017" s="167">
        <f t="shared" si="3"/>
        <v>28.15613208</v>
      </c>
      <c r="O3017" s="163">
        <f t="shared" ref="O3017:Q3017" si="3021">rank(I3017,I:I)</f>
        <v>164</v>
      </c>
      <c r="P3017" s="163">
        <f t="shared" si="3021"/>
        <v>1646</v>
      </c>
      <c r="Q3017" s="163">
        <f t="shared" si="3021"/>
        <v>3704</v>
      </c>
      <c r="R3017" s="163">
        <f>IFERROR(__xludf.DUMMYFUNCTION("RANK(M3017,filter(M:M,C:C=C3017))"),155.0)</f>
        <v>155</v>
      </c>
      <c r="S3017" s="161" t="b">
        <f t="shared" si="5"/>
        <v>0</v>
      </c>
      <c r="T3017" s="161" t="b">
        <f t="array" ref="T3017">index('Query Tool'!B:B,match(H3017,'Query Tool'!C:C,0))</f>
        <v>1</v>
      </c>
      <c r="U3017" s="161" t="b">
        <f t="array" ref="U3017">index('Query Tool'!B:B,match(C3017,'Query Tool'!C:C,0))</f>
        <v>0</v>
      </c>
      <c r="V3017" s="161" t="b">
        <f>F3017&gt;='Query Tool'!C$32</f>
        <v>1</v>
      </c>
      <c r="W3017" s="161" t="b">
        <f t="array" ref="W3017">index(Dropdowns!B:B,match(I3017,Dropdowns!A:A,0))</f>
        <v>1</v>
      </c>
      <c r="X3017" s="161" t="b">
        <f t="array" ref="X3017">index('Query Tool'!B:B,match(D3017,'Query Tool'!C:C,0))</f>
        <v>1</v>
      </c>
      <c r="Y3017" s="161" t="str">
        <f t="shared" si="6"/>
        <v>arizatr01,2019-20</v>
      </c>
      <c r="Z3017" s="168" t="str">
        <f t="array" ref="Z3017">iferror(index(I:I,match($A3017&amp;","&amp;index('Year Conversion'!$A:$A,match($C3017,'Year Conversion'!$B:$B,0)),$Y:$Y,0))-I3017,"")</f>
        <v/>
      </c>
      <c r="AA3017" s="168" t="str">
        <f t="array" ref="AA3017">iferror(index(J:J,match($A3017&amp;","&amp;index('Year Conversion'!$A:$A,match($C3017,'Year Conversion'!$B:$B,0)),$Y:$Y,0))-J3017,"")</f>
        <v/>
      </c>
      <c r="AB3017" s="168" t="str">
        <f t="array" ref="AB3017">iferror(index(K:K,match($A3017&amp;","&amp;index('Year Conversion'!$A:$A,match($C3017,'Year Conversion'!$B:$B,0)),$Y:$Y,0))-K3017,"")</f>
        <v/>
      </c>
      <c r="AC3017" s="168" t="str">
        <f t="shared" si="7"/>
        <v>TOT,2019-20</v>
      </c>
    </row>
    <row r="3018">
      <c r="A3018" s="161" t="str">
        <f>IFERROR(__xludf.DUMMYFUNCTION("""COMPUTED_VALUE"""),"willima02")</f>
        <v>willima02</v>
      </c>
      <c r="B3018" s="161" t="str">
        <f>IFERROR(__xludf.DUMMYFUNCTION("""COMPUTED_VALUE"""),"Marvin Williams")</f>
        <v>Marvin Williams</v>
      </c>
      <c r="C3018" s="162" t="str">
        <f>IFERROR(__xludf.DUMMYFUNCTION("""COMPUTED_VALUE"""),"2019-20")</f>
        <v>2019-20</v>
      </c>
      <c r="D3018" s="163" t="str">
        <f>IFERROR(__xludf.DUMMYFUNCTION("""COMPUTED_VALUE"""),"TOT")</f>
        <v>TOT</v>
      </c>
      <c r="E3018" s="164" t="str">
        <f>IFERROR(__xludf.DUMMYFUNCTION("""COMPUTED_VALUE"""),"Versatile Big")</f>
        <v>Versatile Big</v>
      </c>
      <c r="F3018" s="164">
        <f>IFERROR(__xludf.DUMMYFUNCTION("""COMPUTED_VALUE"""),1128.91666666667)</f>
        <v>1128.916667</v>
      </c>
      <c r="G3018" s="163">
        <f>IFERROR(__xludf.DUMMYFUNCTION("""COMPUTED_VALUE"""),58.0)</f>
        <v>58</v>
      </c>
      <c r="H3018" s="163" t="str">
        <f>IFERROR(__xludf.DUMMYFUNCTION("""COMPUTED_VALUE"""),"PF")</f>
        <v>PF</v>
      </c>
      <c r="I3018" s="163">
        <f>IFERROR(__xludf.DUMMYFUNCTION("""COMPUTED_VALUE"""),33.0)</f>
        <v>33</v>
      </c>
      <c r="J3018" s="165">
        <f>IFERROR(__xludf.DUMMYFUNCTION("""COMPUTED_VALUE"""),-0.585565719575356)</f>
        <v>-0.5855657196</v>
      </c>
      <c r="K3018" s="165">
        <f>IFERROR(__xludf.DUMMYFUNCTION("""COMPUTED_VALUE"""),-1.0485991150463)</f>
        <v>-1.048599115</v>
      </c>
      <c r="L3018" s="165">
        <f>IFERROR(__xludf.DUMMYFUNCTION("""COMPUTED_VALUE"""),0.463033395470946)</f>
        <v>0.4630333955</v>
      </c>
      <c r="M3018" s="166">
        <f t="shared" si="2"/>
        <v>1.294948882</v>
      </c>
      <c r="N3018" s="167">
        <f t="shared" si="3"/>
        <v>19.46408046</v>
      </c>
      <c r="O3018" s="163">
        <f t="shared" ref="O3018:Q3018" si="3022">rank(I3018,I:I)</f>
        <v>246</v>
      </c>
      <c r="P3018" s="163">
        <f t="shared" si="3022"/>
        <v>1971</v>
      </c>
      <c r="Q3018" s="163">
        <f t="shared" si="3022"/>
        <v>2870</v>
      </c>
      <c r="R3018" s="163">
        <f>IFERROR(__xludf.DUMMYFUNCTION("RANK(M3018,filter(M:M,C:C=C3018))"),201.0)</f>
        <v>201</v>
      </c>
      <c r="S3018" s="161" t="b">
        <f t="shared" si="5"/>
        <v>0</v>
      </c>
      <c r="T3018" s="161" t="b">
        <f t="array" ref="T3018">index('Query Tool'!B:B,match(H3018,'Query Tool'!C:C,0))</f>
        <v>1</v>
      </c>
      <c r="U3018" s="161" t="b">
        <f t="array" ref="U3018">index('Query Tool'!B:B,match(C3018,'Query Tool'!C:C,0))</f>
        <v>0</v>
      </c>
      <c r="V3018" s="161" t="b">
        <f>F3018&gt;='Query Tool'!C$32</f>
        <v>1</v>
      </c>
      <c r="W3018" s="161" t="b">
        <f t="array" ref="W3018">index(Dropdowns!B:B,match(I3018,Dropdowns!A:A,0))</f>
        <v>1</v>
      </c>
      <c r="X3018" s="161" t="b">
        <f t="array" ref="X3018">index('Query Tool'!B:B,match(D3018,'Query Tool'!C:C,0))</f>
        <v>1</v>
      </c>
      <c r="Y3018" s="161" t="str">
        <f t="shared" si="6"/>
        <v>willima02,2019-20</v>
      </c>
      <c r="Z3018" s="168" t="str">
        <f t="array" ref="Z3018">iferror(index(I:I,match($A3018&amp;","&amp;index('Year Conversion'!$A:$A,match($C3018,'Year Conversion'!$B:$B,0)),$Y:$Y,0))-I3018,"")</f>
        <v/>
      </c>
      <c r="AA3018" s="168" t="str">
        <f t="array" ref="AA3018">iferror(index(J:J,match($A3018&amp;","&amp;index('Year Conversion'!$A:$A,match($C3018,'Year Conversion'!$B:$B,0)),$Y:$Y,0))-J3018,"")</f>
        <v/>
      </c>
      <c r="AB3018" s="168" t="str">
        <f t="array" ref="AB3018">iferror(index(K:K,match($A3018&amp;","&amp;index('Year Conversion'!$A:$A,match($C3018,'Year Conversion'!$B:$B,0)),$Y:$Y,0))-K3018,"")</f>
        <v/>
      </c>
      <c r="AC3018" s="168" t="str">
        <f t="shared" si="7"/>
        <v>TOT,2019-20</v>
      </c>
    </row>
    <row r="3019">
      <c r="A3019" s="161" t="str">
        <f>IFERROR(__xludf.DUMMYFUNCTION("""COMPUTED_VALUE"""),"paulch01")</f>
        <v>paulch01</v>
      </c>
      <c r="B3019" s="161" t="str">
        <f>IFERROR(__xludf.DUMMYFUNCTION("""COMPUTED_VALUE"""),"Chris Paul")</f>
        <v>Chris Paul</v>
      </c>
      <c r="C3019" s="162" t="str">
        <f>IFERROR(__xludf.DUMMYFUNCTION("""COMPUTED_VALUE"""),"2019-20")</f>
        <v>2019-20</v>
      </c>
      <c r="D3019" s="163" t="str">
        <f>IFERROR(__xludf.DUMMYFUNCTION("""COMPUTED_VALUE"""),"OKC")</f>
        <v>OKC</v>
      </c>
      <c r="E3019" s="164" t="str">
        <f>IFERROR(__xludf.DUMMYFUNCTION("""COMPUTED_VALUE"""),"Shot Creator")</f>
        <v>Shot Creator</v>
      </c>
      <c r="F3019" s="164">
        <f>IFERROR(__xludf.DUMMYFUNCTION("""COMPUTED_VALUE"""),2207.85333333333)</f>
        <v>2207.853333</v>
      </c>
      <c r="G3019" s="163">
        <f>IFERROR(__xludf.DUMMYFUNCTION("""COMPUTED_VALUE"""),70.0)</f>
        <v>70</v>
      </c>
      <c r="H3019" s="163" t="str">
        <f>IFERROR(__xludf.DUMMYFUNCTION("""COMPUTED_VALUE"""),"PG")</f>
        <v>PG</v>
      </c>
      <c r="I3019" s="163">
        <f>IFERROR(__xludf.DUMMYFUNCTION("""COMPUTED_VALUE"""),34.0)</f>
        <v>34</v>
      </c>
      <c r="J3019" s="165">
        <f>IFERROR(__xludf.DUMMYFUNCTION("""COMPUTED_VALUE"""),5.07081078337272)</f>
        <v>5.070810783</v>
      </c>
      <c r="K3019" s="165">
        <f>IFERROR(__xludf.DUMMYFUNCTION("""COMPUTED_VALUE"""),3.85530787043277)</f>
        <v>3.85530787</v>
      </c>
      <c r="L3019" s="165">
        <f>IFERROR(__xludf.DUMMYFUNCTION("""COMPUTED_VALUE"""),1.21550291293995)</f>
        <v>1.215502913</v>
      </c>
      <c r="M3019" s="166">
        <f t="shared" si="2"/>
        <v>10.69317313</v>
      </c>
      <c r="N3019" s="167">
        <f t="shared" si="3"/>
        <v>31.5407619</v>
      </c>
      <c r="O3019" s="163">
        <f t="shared" ref="O3019:Q3019" si="3023">rank(I3019,I:I)</f>
        <v>164</v>
      </c>
      <c r="P3019" s="163">
        <f t="shared" si="3023"/>
        <v>46</v>
      </c>
      <c r="Q3019" s="163">
        <f t="shared" si="3023"/>
        <v>69</v>
      </c>
      <c r="R3019" s="163">
        <f>IFERROR(__xludf.DUMMYFUNCTION("RANK(M3019,filter(M:M,C:C=C3019))"),4.0)</f>
        <v>4</v>
      </c>
      <c r="S3019" s="161" t="b">
        <f t="shared" si="5"/>
        <v>0</v>
      </c>
      <c r="T3019" s="161" t="b">
        <f t="array" ref="T3019">index('Query Tool'!B:B,match(H3019,'Query Tool'!C:C,0))</f>
        <v>1</v>
      </c>
      <c r="U3019" s="161" t="b">
        <f t="array" ref="U3019">index('Query Tool'!B:B,match(C3019,'Query Tool'!C:C,0))</f>
        <v>0</v>
      </c>
      <c r="V3019" s="161" t="b">
        <f>F3019&gt;='Query Tool'!C$32</f>
        <v>1</v>
      </c>
      <c r="W3019" s="161" t="b">
        <f t="array" ref="W3019">index(Dropdowns!B:B,match(I3019,Dropdowns!A:A,0))</f>
        <v>1</v>
      </c>
      <c r="X3019" s="161" t="b">
        <f t="array" ref="X3019">index('Query Tool'!B:B,match(D3019,'Query Tool'!C:C,0))</f>
        <v>1</v>
      </c>
      <c r="Y3019" s="161" t="str">
        <f t="shared" si="6"/>
        <v>paulch01,2019-20</v>
      </c>
      <c r="Z3019" s="168" t="str">
        <f t="array" ref="Z3019">iferror(index(I:I,match($A3019&amp;","&amp;index('Year Conversion'!$A:$A,match($C3019,'Year Conversion'!$B:$B,0)),$Y:$Y,0))-I3019,"")</f>
        <v/>
      </c>
      <c r="AA3019" s="168" t="str">
        <f t="array" ref="AA3019">iferror(index(J:J,match($A3019&amp;","&amp;index('Year Conversion'!$A:$A,match($C3019,'Year Conversion'!$B:$B,0)),$Y:$Y,0))-J3019,"")</f>
        <v/>
      </c>
      <c r="AB3019" s="168" t="str">
        <f t="array" ref="AB3019">iferror(index(K:K,match($A3019&amp;","&amp;index('Year Conversion'!$A:$A,match($C3019,'Year Conversion'!$B:$B,0)),$Y:$Y,0))-K3019,"")</f>
        <v/>
      </c>
      <c r="AC3019" s="168" t="str">
        <f t="shared" si="7"/>
        <v>OKC,2019-20</v>
      </c>
    </row>
    <row r="3020">
      <c r="A3020" s="161" t="str">
        <f>IFERROR(__xludf.DUMMYFUNCTION("""COMPUTED_VALUE"""),"mahinia01")</f>
        <v>mahinia01</v>
      </c>
      <c r="B3020" s="161" t="str">
        <f>IFERROR(__xludf.DUMMYFUNCTION("""COMPUTED_VALUE"""),"Ian Mahinmi")</f>
        <v>Ian Mahinmi</v>
      </c>
      <c r="C3020" s="162" t="str">
        <f>IFERROR(__xludf.DUMMYFUNCTION("""COMPUTED_VALUE"""),"2019-20")</f>
        <v>2019-20</v>
      </c>
      <c r="D3020" s="163" t="str">
        <f>IFERROR(__xludf.DUMMYFUNCTION("""COMPUTED_VALUE"""),"WAS")</f>
        <v>WAS</v>
      </c>
      <c r="E3020" s="164" t="str">
        <f>IFERROR(__xludf.DUMMYFUNCTION("""COMPUTED_VALUE"""),"Roll + Cut Big")</f>
        <v>Roll + Cut Big</v>
      </c>
      <c r="F3020" s="164">
        <f>IFERROR(__xludf.DUMMYFUNCTION("""COMPUTED_VALUE"""),807.825)</f>
        <v>807.825</v>
      </c>
      <c r="G3020" s="163">
        <f>IFERROR(__xludf.DUMMYFUNCTION("""COMPUTED_VALUE"""),38.0)</f>
        <v>38</v>
      </c>
      <c r="H3020" s="163" t="str">
        <f>IFERROR(__xludf.DUMMYFUNCTION("""COMPUTED_VALUE"""),"C")</f>
        <v>C</v>
      </c>
      <c r="I3020" s="163">
        <f>IFERROR(__xludf.DUMMYFUNCTION("""COMPUTED_VALUE"""),33.0)</f>
        <v>33</v>
      </c>
      <c r="J3020" s="165">
        <f>IFERROR(__xludf.DUMMYFUNCTION("""COMPUTED_VALUE"""),0.103536447070616)</f>
        <v>0.1035364471</v>
      </c>
      <c r="K3020" s="165">
        <f>IFERROR(__xludf.DUMMYFUNCTION("""COMPUTED_VALUE"""),-1.18103641075201)</f>
        <v>-1.181036411</v>
      </c>
      <c r="L3020" s="165">
        <f>IFERROR(__xludf.DUMMYFUNCTION("""COMPUTED_VALUE"""),1.28457285782263)</f>
        <v>1.284572858</v>
      </c>
      <c r="M3020" s="166">
        <f t="shared" si="2"/>
        <v>1.30178482</v>
      </c>
      <c r="N3020" s="167">
        <f t="shared" si="3"/>
        <v>21.25855263</v>
      </c>
      <c r="O3020" s="163">
        <f t="shared" ref="O3020:Q3020" si="3024">rank(I3020,I:I)</f>
        <v>246</v>
      </c>
      <c r="P3020" s="163">
        <f t="shared" si="3024"/>
        <v>1187</v>
      </c>
      <c r="Q3020" s="163">
        <f t="shared" si="3024"/>
        <v>3019</v>
      </c>
      <c r="R3020" s="163">
        <f>IFERROR(__xludf.DUMMYFUNCTION("RANK(M3020,filter(M:M,C:C=C3020))"),200.0)</f>
        <v>200</v>
      </c>
      <c r="S3020" s="161" t="b">
        <f t="shared" si="5"/>
        <v>0</v>
      </c>
      <c r="T3020" s="161" t="b">
        <f t="array" ref="T3020">index('Query Tool'!B:B,match(H3020,'Query Tool'!C:C,0))</f>
        <v>1</v>
      </c>
      <c r="U3020" s="161" t="b">
        <f t="array" ref="U3020">index('Query Tool'!B:B,match(C3020,'Query Tool'!C:C,0))</f>
        <v>0</v>
      </c>
      <c r="V3020" s="161" t="b">
        <f>F3020&gt;='Query Tool'!C$32</f>
        <v>1</v>
      </c>
      <c r="W3020" s="161" t="b">
        <f t="array" ref="W3020">index(Dropdowns!B:B,match(I3020,Dropdowns!A:A,0))</f>
        <v>1</v>
      </c>
      <c r="X3020" s="161" t="b">
        <f t="array" ref="X3020">index('Query Tool'!B:B,match(D3020,'Query Tool'!C:C,0))</f>
        <v>1</v>
      </c>
      <c r="Y3020" s="161" t="str">
        <f t="shared" si="6"/>
        <v>mahinia01,2019-20</v>
      </c>
      <c r="Z3020" s="168" t="str">
        <f t="array" ref="Z3020">iferror(index(I:I,match($A3020&amp;","&amp;index('Year Conversion'!$A:$A,match($C3020,'Year Conversion'!$B:$B,0)),$Y:$Y,0))-I3020,"")</f>
        <v/>
      </c>
      <c r="AA3020" s="168" t="str">
        <f t="array" ref="AA3020">iferror(index(J:J,match($A3020&amp;","&amp;index('Year Conversion'!$A:$A,match($C3020,'Year Conversion'!$B:$B,0)),$Y:$Y,0))-J3020,"")</f>
        <v/>
      </c>
      <c r="AB3020" s="168" t="str">
        <f t="array" ref="AB3020">iferror(index(K:K,match($A3020&amp;","&amp;index('Year Conversion'!$A:$A,match($C3020,'Year Conversion'!$B:$B,0)),$Y:$Y,0))-K3020,"")</f>
        <v/>
      </c>
      <c r="AC3020" s="168" t="str">
        <f t="shared" si="7"/>
        <v>WAS,2019-20</v>
      </c>
    </row>
    <row r="3021">
      <c r="A3021" s="161" t="str">
        <f>IFERROR(__xludf.DUMMYFUNCTION("""COMPUTED_VALUE"""),"milescj01")</f>
        <v>milescj01</v>
      </c>
      <c r="B3021" s="161" t="str">
        <f>IFERROR(__xludf.DUMMYFUNCTION("""COMPUTED_VALUE"""),"CJ Miles")</f>
        <v>CJ Miles</v>
      </c>
      <c r="C3021" s="162" t="str">
        <f>IFERROR(__xludf.DUMMYFUNCTION("""COMPUTED_VALUE"""),"2019-20")</f>
        <v>2019-20</v>
      </c>
      <c r="D3021" s="163" t="str">
        <f>IFERROR(__xludf.DUMMYFUNCTION("""COMPUTED_VALUE"""),"WAS")</f>
        <v>WAS</v>
      </c>
      <c r="E3021" s="164" t="str">
        <f>IFERROR(__xludf.DUMMYFUNCTION("""COMPUTED_VALUE"""),"Movement Shooter")</f>
        <v>Movement Shooter</v>
      </c>
      <c r="F3021" s="164">
        <f>IFERROR(__xludf.DUMMYFUNCTION("""COMPUTED_VALUE"""),161.035)</f>
        <v>161.035</v>
      </c>
      <c r="G3021" s="163">
        <f>IFERROR(__xludf.DUMMYFUNCTION("""COMPUTED_VALUE"""),10.0)</f>
        <v>10</v>
      </c>
      <c r="H3021" s="163" t="str">
        <f>IFERROR(__xludf.DUMMYFUNCTION("""COMPUTED_VALUE"""),"SF")</f>
        <v>SF</v>
      </c>
      <c r="I3021" s="163">
        <f>IFERROR(__xludf.DUMMYFUNCTION("""COMPUTED_VALUE"""),32.0)</f>
        <v>32</v>
      </c>
      <c r="J3021" s="165">
        <f>IFERROR(__xludf.DUMMYFUNCTION("""COMPUTED_VALUE"""),-0.0225546912561524)</f>
        <v>-0.02255469126</v>
      </c>
      <c r="K3021" s="165">
        <f>IFERROR(__xludf.DUMMYFUNCTION("""COMPUTED_VALUE"""),0.319657842006711)</f>
        <v>0.319657842</v>
      </c>
      <c r="L3021" s="165">
        <f>IFERROR(__xludf.DUMMYFUNCTION("""COMPUTED_VALUE"""),-0.342212533262863)</f>
        <v>-0.3422125333</v>
      </c>
      <c r="M3021" s="166">
        <f t="shared" si="2"/>
        <v>0.2458135721</v>
      </c>
      <c r="N3021" s="167">
        <f t="shared" si="3"/>
        <v>16.1035</v>
      </c>
      <c r="O3021" s="163">
        <f t="shared" ref="O3021:Q3021" si="3025">rank(I3021,I:I)</f>
        <v>359</v>
      </c>
      <c r="P3021" s="163">
        <f t="shared" si="3025"/>
        <v>1305</v>
      </c>
      <c r="Q3021" s="163">
        <f t="shared" si="3025"/>
        <v>896</v>
      </c>
      <c r="R3021" s="163">
        <f>IFERROR(__xludf.DUMMYFUNCTION("RANK(M3021,filter(M:M,C:C=C3021))"),322.0)</f>
        <v>322</v>
      </c>
      <c r="S3021" s="161" t="b">
        <f t="shared" si="5"/>
        <v>0</v>
      </c>
      <c r="T3021" s="161" t="b">
        <f t="array" ref="T3021">index('Query Tool'!B:B,match(H3021,'Query Tool'!C:C,0))</f>
        <v>1</v>
      </c>
      <c r="U3021" s="161" t="b">
        <f t="array" ref="U3021">index('Query Tool'!B:B,match(C3021,'Query Tool'!C:C,0))</f>
        <v>0</v>
      </c>
      <c r="V3021" s="161" t="b">
        <f>F3021&gt;='Query Tool'!C$32</f>
        <v>0</v>
      </c>
      <c r="W3021" s="161" t="b">
        <f t="array" ref="W3021">index(Dropdowns!B:B,match(I3021,Dropdowns!A:A,0))</f>
        <v>1</v>
      </c>
      <c r="X3021" s="161" t="b">
        <f t="array" ref="X3021">index('Query Tool'!B:B,match(D3021,'Query Tool'!C:C,0))</f>
        <v>1</v>
      </c>
      <c r="Y3021" s="161" t="str">
        <f t="shared" si="6"/>
        <v>milescj01,2019-20</v>
      </c>
      <c r="Z3021" s="168" t="str">
        <f t="array" ref="Z3021">iferror(index(I:I,match($A3021&amp;","&amp;index('Year Conversion'!$A:$A,match($C3021,'Year Conversion'!$B:$B,0)),$Y:$Y,0))-I3021,"")</f>
        <v/>
      </c>
      <c r="AA3021" s="168" t="str">
        <f t="array" ref="AA3021">iferror(index(J:J,match($A3021&amp;","&amp;index('Year Conversion'!$A:$A,match($C3021,'Year Conversion'!$B:$B,0)),$Y:$Y,0))-J3021,"")</f>
        <v/>
      </c>
      <c r="AB3021" s="168" t="str">
        <f t="array" ref="AB3021">iferror(index(K:K,match($A3021&amp;","&amp;index('Year Conversion'!$A:$A,match($C3021,'Year Conversion'!$B:$B,0)),$Y:$Y,0))-K3021,"")</f>
        <v/>
      </c>
      <c r="AC3021" s="168" t="str">
        <f t="shared" si="7"/>
        <v>WAS,2019-20</v>
      </c>
    </row>
    <row r="3022">
      <c r="A3022" s="161" t="str">
        <f>IFERROR(__xludf.DUMMYFUNCTION("""COMPUTED_VALUE"""),"ilyaser01")</f>
        <v>ilyaser01</v>
      </c>
      <c r="B3022" s="161" t="str">
        <f>IFERROR(__xludf.DUMMYFUNCTION("""COMPUTED_VALUE"""),"Ersan Ilyasova")</f>
        <v>Ersan Ilyasova</v>
      </c>
      <c r="C3022" s="162" t="str">
        <f>IFERROR(__xludf.DUMMYFUNCTION("""COMPUTED_VALUE"""),"2019-20")</f>
        <v>2019-20</v>
      </c>
      <c r="D3022" s="163" t="str">
        <f>IFERROR(__xludf.DUMMYFUNCTION("""COMPUTED_VALUE"""),"MIL")</f>
        <v>MIL</v>
      </c>
      <c r="E3022" s="164" t="str">
        <f>IFERROR(__xludf.DUMMYFUNCTION("""COMPUTED_VALUE"""),"Stretch Big")</f>
        <v>Stretch Big</v>
      </c>
      <c r="F3022" s="164">
        <f>IFERROR(__xludf.DUMMYFUNCTION("""COMPUTED_VALUE"""),986.383333333333)</f>
        <v>986.3833333</v>
      </c>
      <c r="G3022" s="163">
        <f>IFERROR(__xludf.DUMMYFUNCTION("""COMPUTED_VALUE"""),63.0)</f>
        <v>63</v>
      </c>
      <c r="H3022" s="163" t="str">
        <f>IFERROR(__xludf.DUMMYFUNCTION("""COMPUTED_VALUE"""),"PF")</f>
        <v>PF</v>
      </c>
      <c r="I3022" s="163">
        <f>IFERROR(__xludf.DUMMYFUNCTION("""COMPUTED_VALUE"""),32.0)</f>
        <v>32</v>
      </c>
      <c r="J3022" s="165">
        <f>IFERROR(__xludf.DUMMYFUNCTION("""COMPUTED_VALUE"""),1.29233947616412)</f>
        <v>1.292339476</v>
      </c>
      <c r="K3022" s="165">
        <f>IFERROR(__xludf.DUMMYFUNCTION("""COMPUTED_VALUE"""),0.0960705904247743)</f>
        <v>0.09607059042</v>
      </c>
      <c r="L3022" s="165">
        <f>IFERROR(__xludf.DUMMYFUNCTION("""COMPUTED_VALUE"""),1.19626888573935)</f>
        <v>1.196268886</v>
      </c>
      <c r="M3022" s="166">
        <f t="shared" si="2"/>
        <v>2.378104026</v>
      </c>
      <c r="N3022" s="167">
        <f t="shared" si="3"/>
        <v>15.65687831</v>
      </c>
      <c r="O3022" s="163">
        <f t="shared" ref="O3022:Q3022" si="3026">rank(I3022,I:I)</f>
        <v>359</v>
      </c>
      <c r="P3022" s="163">
        <f t="shared" si="3026"/>
        <v>529</v>
      </c>
      <c r="Q3022" s="163">
        <f t="shared" si="3026"/>
        <v>1071</v>
      </c>
      <c r="R3022" s="163">
        <f>IFERROR(__xludf.DUMMYFUNCTION("RANK(M3022,filter(M:M,C:C=C3022))"),131.0)</f>
        <v>131</v>
      </c>
      <c r="S3022" s="161" t="b">
        <f t="shared" si="5"/>
        <v>0</v>
      </c>
      <c r="T3022" s="161" t="b">
        <f t="array" ref="T3022">index('Query Tool'!B:B,match(H3022,'Query Tool'!C:C,0))</f>
        <v>1</v>
      </c>
      <c r="U3022" s="161" t="b">
        <f t="array" ref="U3022">index('Query Tool'!B:B,match(C3022,'Query Tool'!C:C,0))</f>
        <v>0</v>
      </c>
      <c r="V3022" s="161" t="b">
        <f>F3022&gt;='Query Tool'!C$32</f>
        <v>1</v>
      </c>
      <c r="W3022" s="161" t="b">
        <f t="array" ref="W3022">index(Dropdowns!B:B,match(I3022,Dropdowns!A:A,0))</f>
        <v>1</v>
      </c>
      <c r="X3022" s="161" t="b">
        <f t="array" ref="X3022">index('Query Tool'!B:B,match(D3022,'Query Tool'!C:C,0))</f>
        <v>1</v>
      </c>
      <c r="Y3022" s="161" t="str">
        <f t="shared" si="6"/>
        <v>ilyaser01,2019-20</v>
      </c>
      <c r="Z3022" s="168" t="str">
        <f t="array" ref="Z3022">iferror(index(I:I,match($A3022&amp;","&amp;index('Year Conversion'!$A:$A,match($C3022,'Year Conversion'!$B:$B,0)),$Y:$Y,0))-I3022,"")</f>
        <v/>
      </c>
      <c r="AA3022" s="168" t="str">
        <f t="array" ref="AA3022">iferror(index(J:J,match($A3022&amp;","&amp;index('Year Conversion'!$A:$A,match($C3022,'Year Conversion'!$B:$B,0)),$Y:$Y,0))-J3022,"")</f>
        <v/>
      </c>
      <c r="AB3022" s="168" t="str">
        <f t="array" ref="AB3022">iferror(index(K:K,match($A3022&amp;","&amp;index('Year Conversion'!$A:$A,match($C3022,'Year Conversion'!$B:$B,0)),$Y:$Y,0))-K3022,"")</f>
        <v/>
      </c>
      <c r="AC3022" s="168" t="str">
        <f t="shared" si="7"/>
        <v>MIL,2019-20</v>
      </c>
    </row>
    <row r="3023">
      <c r="A3023" s="161" t="str">
        <f>IFERROR(__xludf.DUMMYFUNCTION("""COMPUTED_VALUE"""),"willilo02")</f>
        <v>willilo02</v>
      </c>
      <c r="B3023" s="161" t="str">
        <f>IFERROR(__xludf.DUMMYFUNCTION("""COMPUTED_VALUE"""),"Lou Williams")</f>
        <v>Lou Williams</v>
      </c>
      <c r="C3023" s="162" t="str">
        <f>IFERROR(__xludf.DUMMYFUNCTION("""COMPUTED_VALUE"""),"2019-20")</f>
        <v>2019-20</v>
      </c>
      <c r="D3023" s="163" t="str">
        <f>IFERROR(__xludf.DUMMYFUNCTION("""COMPUTED_VALUE"""),"LAC")</f>
        <v>LAC</v>
      </c>
      <c r="E3023" s="164" t="str">
        <f>IFERROR(__xludf.DUMMYFUNCTION("""COMPUTED_VALUE"""),"Primary Ball Handler")</f>
        <v>Primary Ball Handler</v>
      </c>
      <c r="F3023" s="164">
        <f>IFERROR(__xludf.DUMMYFUNCTION("""COMPUTED_VALUE"""),1863.70833333333)</f>
        <v>1863.708333</v>
      </c>
      <c r="G3023" s="163">
        <f>IFERROR(__xludf.DUMMYFUNCTION("""COMPUTED_VALUE"""),65.0)</f>
        <v>65</v>
      </c>
      <c r="H3023" s="163" t="str">
        <f>IFERROR(__xludf.DUMMYFUNCTION("""COMPUTED_VALUE"""),"PG")</f>
        <v>PG</v>
      </c>
      <c r="I3023" s="163">
        <f>IFERROR(__xludf.DUMMYFUNCTION("""COMPUTED_VALUE"""),33.0)</f>
        <v>33</v>
      </c>
      <c r="J3023" s="165">
        <f>IFERROR(__xludf.DUMMYFUNCTION("""COMPUTED_VALUE"""),0.0486860340777691)</f>
        <v>0.04868603408</v>
      </c>
      <c r="K3023" s="165">
        <f>IFERROR(__xludf.DUMMYFUNCTION("""COMPUTED_VALUE"""),1.92598824864527)</f>
        <v>1.925988249</v>
      </c>
      <c r="L3023" s="165">
        <f>IFERROR(__xludf.DUMMYFUNCTION("""COMPUTED_VALUE"""),-1.8773022145675)</f>
        <v>-1.877302215</v>
      </c>
      <c r="M3023" s="166">
        <f t="shared" si="2"/>
        <v>2.934390482</v>
      </c>
      <c r="N3023" s="167">
        <f t="shared" si="3"/>
        <v>28.6724359</v>
      </c>
      <c r="O3023" s="163">
        <f t="shared" ref="O3023:Q3023" si="3027">rank(I3023,I:I)</f>
        <v>246</v>
      </c>
      <c r="P3023" s="163">
        <f t="shared" si="3027"/>
        <v>1241</v>
      </c>
      <c r="Q3023" s="163">
        <f t="shared" si="3027"/>
        <v>238</v>
      </c>
      <c r="R3023" s="163">
        <f>IFERROR(__xludf.DUMMYFUNCTION("RANK(M3023,filter(M:M,C:C=C3023))"),105.0)</f>
        <v>105</v>
      </c>
      <c r="S3023" s="161" t="b">
        <f t="shared" si="5"/>
        <v>0</v>
      </c>
      <c r="T3023" s="161" t="b">
        <f t="array" ref="T3023">index('Query Tool'!B:B,match(H3023,'Query Tool'!C:C,0))</f>
        <v>1</v>
      </c>
      <c r="U3023" s="161" t="b">
        <f t="array" ref="U3023">index('Query Tool'!B:B,match(C3023,'Query Tool'!C:C,0))</f>
        <v>0</v>
      </c>
      <c r="V3023" s="161" t="b">
        <f>F3023&gt;='Query Tool'!C$32</f>
        <v>1</v>
      </c>
      <c r="W3023" s="161" t="b">
        <f t="array" ref="W3023">index(Dropdowns!B:B,match(I3023,Dropdowns!A:A,0))</f>
        <v>1</v>
      </c>
      <c r="X3023" s="161" t="b">
        <f t="array" ref="X3023">index('Query Tool'!B:B,match(D3023,'Query Tool'!C:C,0))</f>
        <v>1</v>
      </c>
      <c r="Y3023" s="161" t="str">
        <f t="shared" si="6"/>
        <v>willilo02,2019-20</v>
      </c>
      <c r="Z3023" s="168" t="str">
        <f t="array" ref="Z3023">iferror(index(I:I,match($A3023&amp;","&amp;index('Year Conversion'!$A:$A,match($C3023,'Year Conversion'!$B:$B,0)),$Y:$Y,0))-I3023,"")</f>
        <v/>
      </c>
      <c r="AA3023" s="168" t="str">
        <f t="array" ref="AA3023">iferror(index(J:J,match($A3023&amp;","&amp;index('Year Conversion'!$A:$A,match($C3023,'Year Conversion'!$B:$B,0)),$Y:$Y,0))-J3023,"")</f>
        <v/>
      </c>
      <c r="AB3023" s="168" t="str">
        <f t="array" ref="AB3023">iferror(index(K:K,match($A3023&amp;","&amp;index('Year Conversion'!$A:$A,match($C3023,'Year Conversion'!$B:$B,0)),$Y:$Y,0))-K3023,"")</f>
        <v/>
      </c>
      <c r="AC3023" s="168" t="str">
        <f t="shared" si="7"/>
        <v>LAC,2019-20</v>
      </c>
    </row>
    <row r="3024">
      <c r="A3024" s="161" t="str">
        <f>IFERROR(__xludf.DUMMYFUNCTION("""COMPUTED_VALUE"""),"aldrila01")</f>
        <v>aldrila01</v>
      </c>
      <c r="B3024" s="161" t="str">
        <f>IFERROR(__xludf.DUMMYFUNCTION("""COMPUTED_VALUE"""),"LaMarcus Aldridge")</f>
        <v>LaMarcus Aldridge</v>
      </c>
      <c r="C3024" s="162" t="str">
        <f>IFERROR(__xludf.DUMMYFUNCTION("""COMPUTED_VALUE"""),"2019-20")</f>
        <v>2019-20</v>
      </c>
      <c r="D3024" s="163" t="str">
        <f>IFERROR(__xludf.DUMMYFUNCTION("""COMPUTED_VALUE"""),"SAS")</f>
        <v>SAS</v>
      </c>
      <c r="E3024" s="164" t="str">
        <f>IFERROR(__xludf.DUMMYFUNCTION("""COMPUTED_VALUE"""),"Post Scorer")</f>
        <v>Post Scorer</v>
      </c>
      <c r="F3024" s="164">
        <f>IFERROR(__xludf.DUMMYFUNCTION("""COMPUTED_VALUE"""),1753.93833333333)</f>
        <v>1753.938333</v>
      </c>
      <c r="G3024" s="163">
        <f>IFERROR(__xludf.DUMMYFUNCTION("""COMPUTED_VALUE"""),53.0)</f>
        <v>53</v>
      </c>
      <c r="H3024" s="163" t="str">
        <f>IFERROR(__xludf.DUMMYFUNCTION("""COMPUTED_VALUE"""),"C")</f>
        <v>C</v>
      </c>
      <c r="I3024" s="163">
        <f>IFERROR(__xludf.DUMMYFUNCTION("""COMPUTED_VALUE"""),34.0)</f>
        <v>34</v>
      </c>
      <c r="J3024" s="165">
        <f>IFERROR(__xludf.DUMMYFUNCTION("""COMPUTED_VALUE"""),1.01322811433611)</f>
        <v>1.013228114</v>
      </c>
      <c r="K3024" s="165">
        <f>IFERROR(__xludf.DUMMYFUNCTION("""COMPUTED_VALUE"""),0.425487758222617)</f>
        <v>0.4254877582</v>
      </c>
      <c r="L3024" s="165">
        <f>IFERROR(__xludf.DUMMYFUNCTION("""COMPUTED_VALUE"""),0.587740356113491)</f>
        <v>0.5877403561</v>
      </c>
      <c r="M3024" s="166">
        <f t="shared" si="2"/>
        <v>3.900411874</v>
      </c>
      <c r="N3024" s="167">
        <f t="shared" si="3"/>
        <v>33.0931761</v>
      </c>
      <c r="O3024" s="163">
        <f t="shared" ref="O3024:Q3024" si="3028">rank(I3024,I:I)</f>
        <v>164</v>
      </c>
      <c r="P3024" s="163">
        <f t="shared" si="3028"/>
        <v>655</v>
      </c>
      <c r="Q3024" s="163">
        <f t="shared" si="3028"/>
        <v>812</v>
      </c>
      <c r="R3024" s="163">
        <f>IFERROR(__xludf.DUMMYFUNCTION("RANK(M3024,filter(M:M,C:C=C3024))"),68.0)</f>
        <v>68</v>
      </c>
      <c r="S3024" s="161" t="b">
        <f t="shared" si="5"/>
        <v>0</v>
      </c>
      <c r="T3024" s="161" t="b">
        <f t="array" ref="T3024">index('Query Tool'!B:B,match(H3024,'Query Tool'!C:C,0))</f>
        <v>1</v>
      </c>
      <c r="U3024" s="161" t="b">
        <f t="array" ref="U3024">index('Query Tool'!B:B,match(C3024,'Query Tool'!C:C,0))</f>
        <v>0</v>
      </c>
      <c r="V3024" s="161" t="b">
        <f>F3024&gt;='Query Tool'!C$32</f>
        <v>1</v>
      </c>
      <c r="W3024" s="161" t="b">
        <f t="array" ref="W3024">index(Dropdowns!B:B,match(I3024,Dropdowns!A:A,0))</f>
        <v>1</v>
      </c>
      <c r="X3024" s="161" t="b">
        <f t="array" ref="X3024">index('Query Tool'!B:B,match(D3024,'Query Tool'!C:C,0))</f>
        <v>1</v>
      </c>
      <c r="Y3024" s="161" t="str">
        <f t="shared" si="6"/>
        <v>aldrila01,2019-20</v>
      </c>
      <c r="Z3024" s="168" t="str">
        <f t="array" ref="Z3024">iferror(index(I:I,match($A3024&amp;","&amp;index('Year Conversion'!$A:$A,match($C3024,'Year Conversion'!$B:$B,0)),$Y:$Y,0))-I3024,"")</f>
        <v/>
      </c>
      <c r="AA3024" s="168" t="str">
        <f t="array" ref="AA3024">iferror(index(J:J,match($A3024&amp;","&amp;index('Year Conversion'!$A:$A,match($C3024,'Year Conversion'!$B:$B,0)),$Y:$Y,0))-J3024,"")</f>
        <v/>
      </c>
      <c r="AB3024" s="168" t="str">
        <f t="array" ref="AB3024">iferror(index(K:K,match($A3024&amp;","&amp;index('Year Conversion'!$A:$A,match($C3024,'Year Conversion'!$B:$B,0)),$Y:$Y,0))-K3024,"")</f>
        <v/>
      </c>
      <c r="AC3024" s="168" t="str">
        <f t="shared" si="7"/>
        <v>SAS,2019-20</v>
      </c>
    </row>
    <row r="3025">
      <c r="A3025" s="161" t="str">
        <f>IFERROR(__xludf.DUMMYFUNCTION("""COMPUTED_VALUE"""),"gayru01")</f>
        <v>gayru01</v>
      </c>
      <c r="B3025" s="161" t="str">
        <f>IFERROR(__xludf.DUMMYFUNCTION("""COMPUTED_VALUE"""),"Rudy Gay")</f>
        <v>Rudy Gay</v>
      </c>
      <c r="C3025" s="162" t="str">
        <f>IFERROR(__xludf.DUMMYFUNCTION("""COMPUTED_VALUE"""),"2019-20")</f>
        <v>2019-20</v>
      </c>
      <c r="D3025" s="163" t="str">
        <f>IFERROR(__xludf.DUMMYFUNCTION("""COMPUTED_VALUE"""),"SAS")</f>
        <v>SAS</v>
      </c>
      <c r="E3025" s="164" t="str">
        <f>IFERROR(__xludf.DUMMYFUNCTION("""COMPUTED_VALUE"""),"Shot Creator")</f>
        <v>Shot Creator</v>
      </c>
      <c r="F3025" s="164">
        <f>IFERROR(__xludf.DUMMYFUNCTION("""COMPUTED_VALUE"""),1460.58333333333)</f>
        <v>1460.583333</v>
      </c>
      <c r="G3025" s="163">
        <f>IFERROR(__xludf.DUMMYFUNCTION("""COMPUTED_VALUE"""),67.0)</f>
        <v>67</v>
      </c>
      <c r="H3025" s="163" t="str">
        <f>IFERROR(__xludf.DUMMYFUNCTION("""COMPUTED_VALUE"""),"PF")</f>
        <v>PF</v>
      </c>
      <c r="I3025" s="163">
        <f>IFERROR(__xludf.DUMMYFUNCTION("""COMPUTED_VALUE"""),33.0)</f>
        <v>33</v>
      </c>
      <c r="J3025" s="165">
        <f>IFERROR(__xludf.DUMMYFUNCTION("""COMPUTED_VALUE"""),0.122537596803658)</f>
        <v>0.1225375968</v>
      </c>
      <c r="K3025" s="165">
        <f>IFERROR(__xludf.DUMMYFUNCTION("""COMPUTED_VALUE"""),-0.456361053386706)</f>
        <v>-0.4563610534</v>
      </c>
      <c r="L3025" s="165">
        <f>IFERROR(__xludf.DUMMYFUNCTION("""COMPUTED_VALUE"""),0.578898650190363)</f>
        <v>0.5788986502</v>
      </c>
      <c r="M3025" s="166">
        <f t="shared" si="2"/>
        <v>2.372394169</v>
      </c>
      <c r="N3025" s="167">
        <f t="shared" si="3"/>
        <v>21.79975124</v>
      </c>
      <c r="O3025" s="163">
        <f t="shared" ref="O3025:Q3025" si="3029">rank(I3025,I:I)</f>
        <v>246</v>
      </c>
      <c r="P3025" s="163">
        <f t="shared" si="3029"/>
        <v>1161</v>
      </c>
      <c r="Q3025" s="163">
        <f t="shared" si="3029"/>
        <v>2047</v>
      </c>
      <c r="R3025" s="163">
        <f>IFERROR(__xludf.DUMMYFUNCTION("RANK(M3025,filter(M:M,C:C=C3025))"),132.0)</f>
        <v>132</v>
      </c>
      <c r="S3025" s="161" t="b">
        <f t="shared" si="5"/>
        <v>0</v>
      </c>
      <c r="T3025" s="161" t="b">
        <f t="array" ref="T3025">index('Query Tool'!B:B,match(H3025,'Query Tool'!C:C,0))</f>
        <v>1</v>
      </c>
      <c r="U3025" s="161" t="b">
        <f t="array" ref="U3025">index('Query Tool'!B:B,match(C3025,'Query Tool'!C:C,0))</f>
        <v>0</v>
      </c>
      <c r="V3025" s="161" t="b">
        <f>F3025&gt;='Query Tool'!C$32</f>
        <v>1</v>
      </c>
      <c r="W3025" s="161" t="b">
        <f t="array" ref="W3025">index(Dropdowns!B:B,match(I3025,Dropdowns!A:A,0))</f>
        <v>1</v>
      </c>
      <c r="X3025" s="161" t="b">
        <f t="array" ref="X3025">index('Query Tool'!B:B,match(D3025,'Query Tool'!C:C,0))</f>
        <v>1</v>
      </c>
      <c r="Y3025" s="161" t="str">
        <f t="shared" si="6"/>
        <v>gayru01,2019-20</v>
      </c>
      <c r="Z3025" s="168" t="str">
        <f t="array" ref="Z3025">iferror(index(I:I,match($A3025&amp;","&amp;index('Year Conversion'!$A:$A,match($C3025,'Year Conversion'!$B:$B,0)),$Y:$Y,0))-I3025,"")</f>
        <v/>
      </c>
      <c r="AA3025" s="168" t="str">
        <f t="array" ref="AA3025">iferror(index(J:J,match($A3025&amp;","&amp;index('Year Conversion'!$A:$A,match($C3025,'Year Conversion'!$B:$B,0)),$Y:$Y,0))-J3025,"")</f>
        <v/>
      </c>
      <c r="AB3025" s="168" t="str">
        <f t="array" ref="AB3025">iferror(index(K:K,match($A3025&amp;","&amp;index('Year Conversion'!$A:$A,match($C3025,'Year Conversion'!$B:$B,0)),$Y:$Y,0))-K3025,"")</f>
        <v/>
      </c>
      <c r="AC3025" s="168" t="str">
        <f t="shared" si="7"/>
        <v>SAS,2019-20</v>
      </c>
    </row>
    <row r="3026">
      <c r="A3026" s="161" t="str">
        <f>IFERROR(__xludf.DUMMYFUNCTION("""COMPUTED_VALUE"""),"redicjj01")</f>
        <v>redicjj01</v>
      </c>
      <c r="B3026" s="161" t="str">
        <f>IFERROR(__xludf.DUMMYFUNCTION("""COMPUTED_VALUE"""),"JJ Redick")</f>
        <v>JJ Redick</v>
      </c>
      <c r="C3026" s="162" t="str">
        <f>IFERROR(__xludf.DUMMYFUNCTION("""COMPUTED_VALUE"""),"2019-20")</f>
        <v>2019-20</v>
      </c>
      <c r="D3026" s="163" t="str">
        <f>IFERROR(__xludf.DUMMYFUNCTION("""COMPUTED_VALUE"""),"NOP")</f>
        <v>NOP</v>
      </c>
      <c r="E3026" s="164" t="str">
        <f>IFERROR(__xludf.DUMMYFUNCTION("""COMPUTED_VALUE"""),"Off Screen Shooter")</f>
        <v>Off Screen Shooter</v>
      </c>
      <c r="F3026" s="164">
        <f>IFERROR(__xludf.DUMMYFUNCTION("""COMPUTED_VALUE"""),1580.96666666667)</f>
        <v>1580.966667</v>
      </c>
      <c r="G3026" s="163">
        <f>IFERROR(__xludf.DUMMYFUNCTION("""COMPUTED_VALUE"""),60.0)</f>
        <v>60</v>
      </c>
      <c r="H3026" s="163" t="str">
        <f>IFERROR(__xludf.DUMMYFUNCTION("""COMPUTED_VALUE"""),"SG")</f>
        <v>SG</v>
      </c>
      <c r="I3026" s="163">
        <f>IFERROR(__xludf.DUMMYFUNCTION("""COMPUTED_VALUE"""),35.0)</f>
        <v>35</v>
      </c>
      <c r="J3026" s="165">
        <f>IFERROR(__xludf.DUMMYFUNCTION("""COMPUTED_VALUE"""),-1.23984745028205)</f>
        <v>-1.23984745</v>
      </c>
      <c r="K3026" s="165">
        <f>IFERROR(__xludf.DUMMYFUNCTION("""COMPUTED_VALUE"""),1.20764864037502)</f>
        <v>1.20764864</v>
      </c>
      <c r="L3026" s="165">
        <f>IFERROR(__xludf.DUMMYFUNCTION("""COMPUTED_VALUE"""),-2.44749609065706)</f>
        <v>-2.447496091</v>
      </c>
      <c r="M3026" s="166">
        <f t="shared" si="2"/>
        <v>1.118620269</v>
      </c>
      <c r="N3026" s="167">
        <f t="shared" si="3"/>
        <v>26.34944444</v>
      </c>
      <c r="O3026" s="163">
        <f t="shared" ref="O3026:Q3026" si="3030">rank(I3026,I:I)</f>
        <v>104</v>
      </c>
      <c r="P3026" s="163">
        <f t="shared" si="3030"/>
        <v>2802</v>
      </c>
      <c r="Q3026" s="163">
        <f t="shared" si="3030"/>
        <v>415</v>
      </c>
      <c r="R3026" s="163">
        <f>IFERROR(__xludf.DUMMYFUNCTION("RANK(M3026,filter(M:M,C:C=C3026))"),205.0)</f>
        <v>205</v>
      </c>
      <c r="S3026" s="161" t="b">
        <f t="shared" si="5"/>
        <v>0</v>
      </c>
      <c r="T3026" s="161" t="b">
        <f t="array" ref="T3026">index('Query Tool'!B:B,match(H3026,'Query Tool'!C:C,0))</f>
        <v>1</v>
      </c>
      <c r="U3026" s="161" t="b">
        <f t="array" ref="U3026">index('Query Tool'!B:B,match(C3026,'Query Tool'!C:C,0))</f>
        <v>0</v>
      </c>
      <c r="V3026" s="161" t="b">
        <f>F3026&gt;='Query Tool'!C$32</f>
        <v>1</v>
      </c>
      <c r="W3026" s="161" t="b">
        <f t="array" ref="W3026">index(Dropdowns!B:B,match(I3026,Dropdowns!A:A,0))</f>
        <v>1</v>
      </c>
      <c r="X3026" s="161" t="b">
        <f t="array" ref="X3026">index('Query Tool'!B:B,match(D3026,'Query Tool'!C:C,0))</f>
        <v>1</v>
      </c>
      <c r="Y3026" s="161" t="str">
        <f t="shared" si="6"/>
        <v>redicjj01,2019-20</v>
      </c>
      <c r="Z3026" s="168" t="str">
        <f t="array" ref="Z3026">iferror(index(I:I,match($A3026&amp;","&amp;index('Year Conversion'!$A:$A,match($C3026,'Year Conversion'!$B:$B,0)),$Y:$Y,0))-I3026,"")</f>
        <v/>
      </c>
      <c r="AA3026" s="168" t="str">
        <f t="array" ref="AA3026">iferror(index(J:J,match($A3026&amp;","&amp;index('Year Conversion'!$A:$A,match($C3026,'Year Conversion'!$B:$B,0)),$Y:$Y,0))-J3026,"")</f>
        <v/>
      </c>
      <c r="AB3026" s="168" t="str">
        <f t="array" ref="AB3026">iferror(index(K:K,match($A3026&amp;","&amp;index('Year Conversion'!$A:$A,match($C3026,'Year Conversion'!$B:$B,0)),$Y:$Y,0))-K3026,"")</f>
        <v/>
      </c>
      <c r="AC3026" s="168" t="str">
        <f t="shared" si="7"/>
        <v>NOP,2019-20</v>
      </c>
    </row>
    <row r="3027">
      <c r="A3027" s="161" t="str">
        <f>IFERROR(__xludf.DUMMYFUNCTION("""COMPUTED_VALUE"""),"sefolth01")</f>
        <v>sefolth01</v>
      </c>
      <c r="B3027" s="161" t="str">
        <f>IFERROR(__xludf.DUMMYFUNCTION("""COMPUTED_VALUE"""),"Thabo Sefolosha")</f>
        <v>Thabo Sefolosha</v>
      </c>
      <c r="C3027" s="162" t="str">
        <f>IFERROR(__xludf.DUMMYFUNCTION("""COMPUTED_VALUE"""),"2019-20")</f>
        <v>2019-20</v>
      </c>
      <c r="D3027" s="163" t="str">
        <f>IFERROR(__xludf.DUMMYFUNCTION("""COMPUTED_VALUE"""),"HOU")</f>
        <v>HOU</v>
      </c>
      <c r="E3027" s="164" t="str">
        <f>IFERROR(__xludf.DUMMYFUNCTION("""COMPUTED_VALUE"""),"Stationary Shooter")</f>
        <v>Stationary Shooter</v>
      </c>
      <c r="F3027" s="164">
        <f>IFERROR(__xludf.DUMMYFUNCTION("""COMPUTED_VALUE"""),435.843333333333)</f>
        <v>435.8433333</v>
      </c>
      <c r="G3027" s="163">
        <f>IFERROR(__xludf.DUMMYFUNCTION("""COMPUTED_VALUE"""),41.0)</f>
        <v>41</v>
      </c>
      <c r="H3027" s="163" t="str">
        <f>IFERROR(__xludf.DUMMYFUNCTION("""COMPUTED_VALUE"""),"PF")</f>
        <v>PF</v>
      </c>
      <c r="I3027" s="163">
        <f>IFERROR(__xludf.DUMMYFUNCTION("""COMPUTED_VALUE"""),35.0)</f>
        <v>35</v>
      </c>
      <c r="J3027" s="165">
        <f>IFERROR(__xludf.DUMMYFUNCTION("""COMPUTED_VALUE"""),-0.429115328041044)</f>
        <v>-0.429115328</v>
      </c>
      <c r="K3027" s="165">
        <f>IFERROR(__xludf.DUMMYFUNCTION("""COMPUTED_VALUE"""),-0.929244686654755)</f>
        <v>-0.9292446867</v>
      </c>
      <c r="L3027" s="165">
        <f>IFERROR(__xludf.DUMMYFUNCTION("""COMPUTED_VALUE"""),0.500129358613711)</f>
        <v>0.5001293586</v>
      </c>
      <c r="M3027" s="166">
        <f t="shared" si="2"/>
        <v>0.5458656481</v>
      </c>
      <c r="N3027" s="167">
        <f t="shared" si="3"/>
        <v>10.6303252</v>
      </c>
      <c r="O3027" s="163">
        <f t="shared" ref="O3027:Q3027" si="3031">rank(I3027,I:I)</f>
        <v>104</v>
      </c>
      <c r="P3027" s="163">
        <f t="shared" si="3031"/>
        <v>1756</v>
      </c>
      <c r="Q3027" s="163">
        <f t="shared" si="3031"/>
        <v>2724</v>
      </c>
      <c r="R3027" s="163">
        <f>IFERROR(__xludf.DUMMYFUNCTION("RANK(M3027,filter(M:M,C:C=C3027))"),253.0)</f>
        <v>253</v>
      </c>
      <c r="S3027" s="161" t="b">
        <f t="shared" si="5"/>
        <v>0</v>
      </c>
      <c r="T3027" s="161" t="b">
        <f t="array" ref="T3027">index('Query Tool'!B:B,match(H3027,'Query Tool'!C:C,0))</f>
        <v>1</v>
      </c>
      <c r="U3027" s="161" t="b">
        <f t="array" ref="U3027">index('Query Tool'!B:B,match(C3027,'Query Tool'!C:C,0))</f>
        <v>0</v>
      </c>
      <c r="V3027" s="161" t="b">
        <f>F3027&gt;='Query Tool'!C$32</f>
        <v>0</v>
      </c>
      <c r="W3027" s="161" t="b">
        <f t="array" ref="W3027">index(Dropdowns!B:B,match(I3027,Dropdowns!A:A,0))</f>
        <v>1</v>
      </c>
      <c r="X3027" s="161" t="b">
        <f t="array" ref="X3027">index('Query Tool'!B:B,match(D3027,'Query Tool'!C:C,0))</f>
        <v>1</v>
      </c>
      <c r="Y3027" s="161" t="str">
        <f t="shared" si="6"/>
        <v>sefolth01,2019-20</v>
      </c>
      <c r="Z3027" s="168" t="str">
        <f t="array" ref="Z3027">iferror(index(I:I,match($A3027&amp;","&amp;index('Year Conversion'!$A:$A,match($C3027,'Year Conversion'!$B:$B,0)),$Y:$Y,0))-I3027,"")</f>
        <v/>
      </c>
      <c r="AA3027" s="168" t="str">
        <f t="array" ref="AA3027">iferror(index(J:J,match($A3027&amp;","&amp;index('Year Conversion'!$A:$A,match($C3027,'Year Conversion'!$B:$B,0)),$Y:$Y,0))-J3027,"")</f>
        <v/>
      </c>
      <c r="AB3027" s="168" t="str">
        <f t="array" ref="AB3027">iferror(index(K:K,match($A3027&amp;","&amp;index('Year Conversion'!$A:$A,match($C3027,'Year Conversion'!$B:$B,0)),$Y:$Y,0))-K3027,"")</f>
        <v/>
      </c>
      <c r="AC3027" s="168" t="str">
        <f t="shared" si="7"/>
        <v>HOU,2019-20</v>
      </c>
    </row>
    <row r="3028">
      <c r="A3028" s="161" t="str">
        <f>IFERROR(__xludf.DUMMYFUNCTION("""COMPUTED_VALUE"""),"rondora01")</f>
        <v>rondora01</v>
      </c>
      <c r="B3028" s="161" t="str">
        <f>IFERROR(__xludf.DUMMYFUNCTION("""COMPUTED_VALUE"""),"Rajon Rondo")</f>
        <v>Rajon Rondo</v>
      </c>
      <c r="C3028" s="162" t="str">
        <f>IFERROR(__xludf.DUMMYFUNCTION("""COMPUTED_VALUE"""),"2019-20")</f>
        <v>2019-20</v>
      </c>
      <c r="D3028" s="163" t="str">
        <f>IFERROR(__xludf.DUMMYFUNCTION("""COMPUTED_VALUE"""),"LAL")</f>
        <v>LAL</v>
      </c>
      <c r="E3028" s="164" t="str">
        <f>IFERROR(__xludf.DUMMYFUNCTION("""COMPUTED_VALUE"""),"Primary Ball Handler")</f>
        <v>Primary Ball Handler</v>
      </c>
      <c r="F3028" s="164">
        <f>IFERROR(__xludf.DUMMYFUNCTION("""COMPUTED_VALUE"""),984.24)</f>
        <v>984.24</v>
      </c>
      <c r="G3028" s="163">
        <f>IFERROR(__xludf.DUMMYFUNCTION("""COMPUTED_VALUE"""),48.0)</f>
        <v>48</v>
      </c>
      <c r="H3028" s="163" t="str">
        <f>IFERROR(__xludf.DUMMYFUNCTION("""COMPUTED_VALUE"""),"PG")</f>
        <v>PG</v>
      </c>
      <c r="I3028" s="163">
        <f>IFERROR(__xludf.DUMMYFUNCTION("""COMPUTED_VALUE"""),33.0)</f>
        <v>33</v>
      </c>
      <c r="J3028" s="165">
        <f>IFERROR(__xludf.DUMMYFUNCTION("""COMPUTED_VALUE"""),-0.62683803640391)</f>
        <v>-0.6268380364</v>
      </c>
      <c r="K3028" s="165">
        <f>IFERROR(__xludf.DUMMYFUNCTION("""COMPUTED_VALUE"""),-0.0200720539665418)</f>
        <v>-0.02007205397</v>
      </c>
      <c r="L3028" s="165">
        <f>IFERROR(__xludf.DUMMYFUNCTION("""COMPUTED_VALUE"""),-0.606765982437368)</f>
        <v>-0.6067659824</v>
      </c>
      <c r="M3028" s="166">
        <f t="shared" si="2"/>
        <v>1.101649374</v>
      </c>
      <c r="N3028" s="167">
        <f t="shared" si="3"/>
        <v>20.505</v>
      </c>
      <c r="O3028" s="163">
        <f t="shared" ref="O3028:Q3028" si="3032">rank(I3028,I:I)</f>
        <v>246</v>
      </c>
      <c r="P3028" s="163">
        <f t="shared" si="3032"/>
        <v>2029</v>
      </c>
      <c r="Q3028" s="163">
        <f t="shared" si="3032"/>
        <v>1225</v>
      </c>
      <c r="R3028" s="163">
        <f>IFERROR(__xludf.DUMMYFUNCTION("RANK(M3028,filter(M:M,C:C=C3028))"),206.0)</f>
        <v>206</v>
      </c>
      <c r="S3028" s="161" t="b">
        <f t="shared" si="5"/>
        <v>0</v>
      </c>
      <c r="T3028" s="161" t="b">
        <f t="array" ref="T3028">index('Query Tool'!B:B,match(H3028,'Query Tool'!C:C,0))</f>
        <v>1</v>
      </c>
      <c r="U3028" s="161" t="b">
        <f t="array" ref="U3028">index('Query Tool'!B:B,match(C3028,'Query Tool'!C:C,0))</f>
        <v>0</v>
      </c>
      <c r="V3028" s="161" t="b">
        <f>F3028&gt;='Query Tool'!C$32</f>
        <v>1</v>
      </c>
      <c r="W3028" s="161" t="b">
        <f t="array" ref="W3028">index(Dropdowns!B:B,match(I3028,Dropdowns!A:A,0))</f>
        <v>1</v>
      </c>
      <c r="X3028" s="161" t="b">
        <f t="array" ref="X3028">index('Query Tool'!B:B,match(D3028,'Query Tool'!C:C,0))</f>
        <v>1</v>
      </c>
      <c r="Y3028" s="161" t="str">
        <f t="shared" si="6"/>
        <v>rondora01,2019-20</v>
      </c>
      <c r="Z3028" s="168" t="str">
        <f t="array" ref="Z3028">iferror(index(I:I,match($A3028&amp;","&amp;index('Year Conversion'!$A:$A,match($C3028,'Year Conversion'!$B:$B,0)),$Y:$Y,0))-I3028,"")</f>
        <v/>
      </c>
      <c r="AA3028" s="168" t="str">
        <f t="array" ref="AA3028">iferror(index(J:J,match($A3028&amp;","&amp;index('Year Conversion'!$A:$A,match($C3028,'Year Conversion'!$B:$B,0)),$Y:$Y,0))-J3028,"")</f>
        <v/>
      </c>
      <c r="AB3028" s="168" t="str">
        <f t="array" ref="AB3028">iferror(index(K:K,match($A3028&amp;","&amp;index('Year Conversion'!$A:$A,match($C3028,'Year Conversion'!$B:$B,0)),$Y:$Y,0))-K3028,"")</f>
        <v/>
      </c>
      <c r="AC3028" s="168" t="str">
        <f t="shared" si="7"/>
        <v>LAL,2019-20</v>
      </c>
    </row>
    <row r="3029">
      <c r="A3029" s="161" t="str">
        <f>IFERROR(__xludf.DUMMYFUNCTION("""COMPUTED_VALUE"""),"lowryky01")</f>
        <v>lowryky01</v>
      </c>
      <c r="B3029" s="161" t="str">
        <f>IFERROR(__xludf.DUMMYFUNCTION("""COMPUTED_VALUE"""),"Kyle Lowry")</f>
        <v>Kyle Lowry</v>
      </c>
      <c r="C3029" s="162" t="str">
        <f>IFERROR(__xludf.DUMMYFUNCTION("""COMPUTED_VALUE"""),"2019-20")</f>
        <v>2019-20</v>
      </c>
      <c r="D3029" s="163" t="str">
        <f>IFERROR(__xludf.DUMMYFUNCTION("""COMPUTED_VALUE"""),"TOR")</f>
        <v>TOR</v>
      </c>
      <c r="E3029" s="164" t="str">
        <f>IFERROR(__xludf.DUMMYFUNCTION("""COMPUTED_VALUE"""),"Primary Ball Handler")</f>
        <v>Primary Ball Handler</v>
      </c>
      <c r="F3029" s="164">
        <f>IFERROR(__xludf.DUMMYFUNCTION("""COMPUTED_VALUE"""),2098.32166666667)</f>
        <v>2098.321667</v>
      </c>
      <c r="G3029" s="163">
        <f>IFERROR(__xludf.DUMMYFUNCTION("""COMPUTED_VALUE"""),58.0)</f>
        <v>58</v>
      </c>
      <c r="H3029" s="163" t="str">
        <f>IFERROR(__xludf.DUMMYFUNCTION("""COMPUTED_VALUE"""),"PG")</f>
        <v>PG</v>
      </c>
      <c r="I3029" s="163">
        <f>IFERROR(__xludf.DUMMYFUNCTION("""COMPUTED_VALUE"""),33.0)</f>
        <v>33</v>
      </c>
      <c r="J3029" s="165">
        <f>IFERROR(__xludf.DUMMYFUNCTION("""COMPUTED_VALUE"""),3.08673851010655)</f>
        <v>3.08673851</v>
      </c>
      <c r="K3029" s="165">
        <f>IFERROR(__xludf.DUMMYFUNCTION("""COMPUTED_VALUE"""),2.19779481134113)</f>
        <v>2.197794811</v>
      </c>
      <c r="L3029" s="165">
        <f>IFERROR(__xludf.DUMMYFUNCTION("""COMPUTED_VALUE"""),0.888943698765417)</f>
        <v>0.8889436988</v>
      </c>
      <c r="M3029" s="166">
        <f t="shared" si="2"/>
        <v>7.544723362</v>
      </c>
      <c r="N3029" s="167">
        <f t="shared" si="3"/>
        <v>36.17795977</v>
      </c>
      <c r="O3029" s="163">
        <f t="shared" ref="O3029:Q3029" si="3033">rank(I3029,I:I)</f>
        <v>246</v>
      </c>
      <c r="P3029" s="163">
        <f t="shared" si="3033"/>
        <v>166</v>
      </c>
      <c r="Q3029" s="163">
        <f t="shared" si="3033"/>
        <v>201</v>
      </c>
      <c r="R3029" s="163">
        <f>IFERROR(__xludf.DUMMYFUNCTION("RANK(M3029,filter(M:M,C:C=C3029))"),16.0)</f>
        <v>16</v>
      </c>
      <c r="S3029" s="161" t="b">
        <f t="shared" si="5"/>
        <v>0</v>
      </c>
      <c r="T3029" s="161" t="b">
        <f t="array" ref="T3029">index('Query Tool'!B:B,match(H3029,'Query Tool'!C:C,0))</f>
        <v>1</v>
      </c>
      <c r="U3029" s="161" t="b">
        <f t="array" ref="U3029">index('Query Tool'!B:B,match(C3029,'Query Tool'!C:C,0))</f>
        <v>0</v>
      </c>
      <c r="V3029" s="161" t="b">
        <f>F3029&gt;='Query Tool'!C$32</f>
        <v>1</v>
      </c>
      <c r="W3029" s="161" t="b">
        <f t="array" ref="W3029">index(Dropdowns!B:B,match(I3029,Dropdowns!A:A,0))</f>
        <v>1</v>
      </c>
      <c r="X3029" s="161" t="b">
        <f t="array" ref="X3029">index('Query Tool'!B:B,match(D3029,'Query Tool'!C:C,0))</f>
        <v>1</v>
      </c>
      <c r="Y3029" s="161" t="str">
        <f t="shared" si="6"/>
        <v>lowryky01,2019-20</v>
      </c>
      <c r="Z3029" s="168" t="str">
        <f t="array" ref="Z3029">iferror(index(I:I,match($A3029&amp;","&amp;index('Year Conversion'!$A:$A,match($C3029,'Year Conversion'!$B:$B,0)),$Y:$Y,0))-I3029,"")</f>
        <v/>
      </c>
      <c r="AA3029" s="168" t="str">
        <f t="array" ref="AA3029">iferror(index(J:J,match($A3029&amp;","&amp;index('Year Conversion'!$A:$A,match($C3029,'Year Conversion'!$B:$B,0)),$Y:$Y,0))-J3029,"")</f>
        <v/>
      </c>
      <c r="AB3029" s="168" t="str">
        <f t="array" ref="AB3029">iferror(index(K:K,match($A3029&amp;","&amp;index('Year Conversion'!$A:$A,match($C3029,'Year Conversion'!$B:$B,0)),$Y:$Y,0))-K3029,"")</f>
        <v/>
      </c>
      <c r="AC3029" s="168" t="str">
        <f t="shared" si="7"/>
        <v>TOR,2019-20</v>
      </c>
    </row>
    <row r="3030">
      <c r="A3030" s="161" t="str">
        <f>IFERROR(__xludf.DUMMYFUNCTION("""COMPUTED_VALUE"""),"tuckepj01")</f>
        <v>tuckepj01</v>
      </c>
      <c r="B3030" s="161" t="str">
        <f>IFERROR(__xludf.DUMMYFUNCTION("""COMPUTED_VALUE"""),"P.J. Tucker")</f>
        <v>P.J. Tucker</v>
      </c>
      <c r="C3030" s="162" t="str">
        <f>IFERROR(__xludf.DUMMYFUNCTION("""COMPUTED_VALUE"""),"2019-20")</f>
        <v>2019-20</v>
      </c>
      <c r="D3030" s="163" t="str">
        <f>IFERROR(__xludf.DUMMYFUNCTION("""COMPUTED_VALUE"""),"HOU")</f>
        <v>HOU</v>
      </c>
      <c r="E3030" s="164" t="str">
        <f>IFERROR(__xludf.DUMMYFUNCTION("""COMPUTED_VALUE"""),"Stationary Shooter")</f>
        <v>Stationary Shooter</v>
      </c>
      <c r="F3030" s="164">
        <f>IFERROR(__xludf.DUMMYFUNCTION("""COMPUTED_VALUE"""),2467.23333333333)</f>
        <v>2467.233333</v>
      </c>
      <c r="G3030" s="163">
        <f>IFERROR(__xludf.DUMMYFUNCTION("""COMPUTED_VALUE"""),72.0)</f>
        <v>72</v>
      </c>
      <c r="H3030" s="163" t="str">
        <f>IFERROR(__xludf.DUMMYFUNCTION("""COMPUTED_VALUE"""),"PF")</f>
        <v>PF</v>
      </c>
      <c r="I3030" s="163">
        <f>IFERROR(__xludf.DUMMYFUNCTION("""COMPUTED_VALUE"""),34.0)</f>
        <v>34</v>
      </c>
      <c r="J3030" s="165">
        <f>IFERROR(__xludf.DUMMYFUNCTION("""COMPUTED_VALUE"""),-0.573459606052851)</f>
        <v>-0.5734596061</v>
      </c>
      <c r="K3030" s="165">
        <f>IFERROR(__xludf.DUMMYFUNCTION("""COMPUTED_VALUE"""),-1.54486386639767)</f>
        <v>-1.544863866</v>
      </c>
      <c r="L3030" s="165">
        <f>IFERROR(__xludf.DUMMYFUNCTION("""COMPUTED_VALUE"""),0.971404260344822)</f>
        <v>0.9714042603</v>
      </c>
      <c r="M3030" s="166">
        <f t="shared" si="2"/>
        <v>2.850203627</v>
      </c>
      <c r="N3030" s="167">
        <f t="shared" si="3"/>
        <v>34.26712963</v>
      </c>
      <c r="O3030" s="163">
        <f t="shared" ref="O3030:Q3030" si="3034">rank(I3030,I:I)</f>
        <v>164</v>
      </c>
      <c r="P3030" s="163">
        <f t="shared" si="3034"/>
        <v>1957</v>
      </c>
      <c r="Q3030" s="163">
        <f t="shared" si="3034"/>
        <v>3400</v>
      </c>
      <c r="R3030" s="163">
        <f>IFERROR(__xludf.DUMMYFUNCTION("RANK(M3030,filter(M:M,C:C=C3030))"),107.0)</f>
        <v>107</v>
      </c>
      <c r="S3030" s="161" t="b">
        <f t="shared" si="5"/>
        <v>0</v>
      </c>
      <c r="T3030" s="161" t="b">
        <f t="array" ref="T3030">index('Query Tool'!B:B,match(H3030,'Query Tool'!C:C,0))</f>
        <v>1</v>
      </c>
      <c r="U3030" s="161" t="b">
        <f t="array" ref="U3030">index('Query Tool'!B:B,match(C3030,'Query Tool'!C:C,0))</f>
        <v>0</v>
      </c>
      <c r="V3030" s="161" t="b">
        <f>F3030&gt;='Query Tool'!C$32</f>
        <v>1</v>
      </c>
      <c r="W3030" s="161" t="b">
        <f t="array" ref="W3030">index(Dropdowns!B:B,match(I3030,Dropdowns!A:A,0))</f>
        <v>1</v>
      </c>
      <c r="X3030" s="161" t="b">
        <f t="array" ref="X3030">index('Query Tool'!B:B,match(D3030,'Query Tool'!C:C,0))</f>
        <v>1</v>
      </c>
      <c r="Y3030" s="161" t="str">
        <f t="shared" si="6"/>
        <v>tuckepj01,2019-20</v>
      </c>
      <c r="Z3030" s="168" t="str">
        <f t="array" ref="Z3030">iferror(index(I:I,match($A3030&amp;","&amp;index('Year Conversion'!$A:$A,match($C3030,'Year Conversion'!$B:$B,0)),$Y:$Y,0))-I3030,"")</f>
        <v/>
      </c>
      <c r="AA3030" s="168" t="str">
        <f t="array" ref="AA3030">iferror(index(J:J,match($A3030&amp;","&amp;index('Year Conversion'!$A:$A,match($C3030,'Year Conversion'!$B:$B,0)),$Y:$Y,0))-J3030,"")</f>
        <v/>
      </c>
      <c r="AB3030" s="168" t="str">
        <f t="array" ref="AB3030">iferror(index(K:K,match($A3030&amp;","&amp;index('Year Conversion'!$A:$A,match($C3030,'Year Conversion'!$B:$B,0)),$Y:$Y,0))-K3030,"")</f>
        <v/>
      </c>
      <c r="AC3030" s="168" t="str">
        <f t="shared" si="7"/>
        <v>HOU,2019-20</v>
      </c>
    </row>
    <row r="3031">
      <c r="A3031" s="161" t="str">
        <f>IFERROR(__xludf.DUMMYFUNCTION("""COMPUTED_VALUE"""),"millspa01")</f>
        <v>millspa01</v>
      </c>
      <c r="B3031" s="161" t="str">
        <f>IFERROR(__xludf.DUMMYFUNCTION("""COMPUTED_VALUE"""),"Paul Millsap")</f>
        <v>Paul Millsap</v>
      </c>
      <c r="C3031" s="162" t="str">
        <f>IFERROR(__xludf.DUMMYFUNCTION("""COMPUTED_VALUE"""),"2019-20")</f>
        <v>2019-20</v>
      </c>
      <c r="D3031" s="163" t="str">
        <f>IFERROR(__xludf.DUMMYFUNCTION("""COMPUTED_VALUE"""),"DEN")</f>
        <v>DEN</v>
      </c>
      <c r="E3031" s="164" t="str">
        <f>IFERROR(__xludf.DUMMYFUNCTION("""COMPUTED_VALUE"""),"Versatile Big")</f>
        <v>Versatile Big</v>
      </c>
      <c r="F3031" s="164">
        <f>IFERROR(__xludf.DUMMYFUNCTION("""COMPUTED_VALUE"""),1239.95)</f>
        <v>1239.95</v>
      </c>
      <c r="G3031" s="163">
        <f>IFERROR(__xludf.DUMMYFUNCTION("""COMPUTED_VALUE"""),51.0)</f>
        <v>51</v>
      </c>
      <c r="H3031" s="163" t="str">
        <f>IFERROR(__xludf.DUMMYFUNCTION("""COMPUTED_VALUE"""),"PF")</f>
        <v>PF</v>
      </c>
      <c r="I3031" s="163">
        <f>IFERROR(__xludf.DUMMYFUNCTION("""COMPUTED_VALUE"""),34.0)</f>
        <v>34</v>
      </c>
      <c r="J3031" s="165">
        <f>IFERROR(__xludf.DUMMYFUNCTION("""COMPUTED_VALUE"""),1.52471638421536)</f>
        <v>1.524716384</v>
      </c>
      <c r="K3031" s="165">
        <f>IFERROR(__xludf.DUMMYFUNCTION("""COMPUTED_VALUE"""),0.420627369064756)</f>
        <v>0.4206273691</v>
      </c>
      <c r="L3031" s="165">
        <f>IFERROR(__xludf.DUMMYFUNCTION("""COMPUTED_VALUE"""),1.1040890151506)</f>
        <v>1.104089015</v>
      </c>
      <c r="M3031" s="166">
        <f t="shared" si="2"/>
        <v>3.182093533</v>
      </c>
      <c r="N3031" s="167">
        <f t="shared" si="3"/>
        <v>24.3127451</v>
      </c>
      <c r="O3031" s="163">
        <f t="shared" ref="O3031:Q3031" si="3035">rank(I3031,I:I)</f>
        <v>164</v>
      </c>
      <c r="P3031" s="163">
        <f t="shared" si="3035"/>
        <v>450</v>
      </c>
      <c r="Q3031" s="163">
        <f t="shared" si="3035"/>
        <v>815</v>
      </c>
      <c r="R3031" s="163">
        <f>IFERROR(__xludf.DUMMYFUNCTION("RANK(M3031,filter(M:M,C:C=C3031))"),93.0)</f>
        <v>93</v>
      </c>
      <c r="S3031" s="161" t="b">
        <f t="shared" si="5"/>
        <v>0</v>
      </c>
      <c r="T3031" s="161" t="b">
        <f t="array" ref="T3031">index('Query Tool'!B:B,match(H3031,'Query Tool'!C:C,0))</f>
        <v>1</v>
      </c>
      <c r="U3031" s="161" t="b">
        <f t="array" ref="U3031">index('Query Tool'!B:B,match(C3031,'Query Tool'!C:C,0))</f>
        <v>0</v>
      </c>
      <c r="V3031" s="161" t="b">
        <f>F3031&gt;='Query Tool'!C$32</f>
        <v>1</v>
      </c>
      <c r="W3031" s="161" t="b">
        <f t="array" ref="W3031">index(Dropdowns!B:B,match(I3031,Dropdowns!A:A,0))</f>
        <v>1</v>
      </c>
      <c r="X3031" s="161" t="b">
        <f t="array" ref="X3031">index('Query Tool'!B:B,match(D3031,'Query Tool'!C:C,0))</f>
        <v>1</v>
      </c>
      <c r="Y3031" s="161" t="str">
        <f t="shared" si="6"/>
        <v>millspa01,2019-20</v>
      </c>
      <c r="Z3031" s="168" t="str">
        <f t="array" ref="Z3031">iferror(index(I:I,match($A3031&amp;","&amp;index('Year Conversion'!$A:$A,match($C3031,'Year Conversion'!$B:$B,0)),$Y:$Y,0))-I3031,"")</f>
        <v/>
      </c>
      <c r="AA3031" s="168" t="str">
        <f t="array" ref="AA3031">iferror(index(J:J,match($A3031&amp;","&amp;index('Year Conversion'!$A:$A,match($C3031,'Year Conversion'!$B:$B,0)),$Y:$Y,0))-J3031,"")</f>
        <v/>
      </c>
      <c r="AB3031" s="168" t="str">
        <f t="array" ref="AB3031">iferror(index(K:K,match($A3031&amp;","&amp;index('Year Conversion'!$A:$A,match($C3031,'Year Conversion'!$B:$B,0)),$Y:$Y,0))-K3031,"")</f>
        <v/>
      </c>
      <c r="AC3031" s="168" t="str">
        <f t="shared" si="7"/>
        <v>DEN,2019-20</v>
      </c>
    </row>
    <row r="3032">
      <c r="A3032" s="161" t="str">
        <f>IFERROR(__xludf.DUMMYFUNCTION("""COMPUTED_VALUE"""),"bareajo01")</f>
        <v>bareajo01</v>
      </c>
      <c r="B3032" s="161" t="str">
        <f>IFERROR(__xludf.DUMMYFUNCTION("""COMPUTED_VALUE"""),"J.J. Barea")</f>
        <v>J.J. Barea</v>
      </c>
      <c r="C3032" s="162" t="str">
        <f>IFERROR(__xludf.DUMMYFUNCTION("""COMPUTED_VALUE"""),"2019-20")</f>
        <v>2019-20</v>
      </c>
      <c r="D3032" s="163" t="str">
        <f>IFERROR(__xludf.DUMMYFUNCTION("""COMPUTED_VALUE"""),"DAL")</f>
        <v>DAL</v>
      </c>
      <c r="E3032" s="164" t="str">
        <f>IFERROR(__xludf.DUMMYFUNCTION("""COMPUTED_VALUE"""),"Secondary Ball Handler")</f>
        <v>Secondary Ball Handler</v>
      </c>
      <c r="F3032" s="164">
        <f>IFERROR(__xludf.DUMMYFUNCTION("""COMPUTED_VALUE"""),449.681666666667)</f>
        <v>449.6816667</v>
      </c>
      <c r="G3032" s="163">
        <f>IFERROR(__xludf.DUMMYFUNCTION("""COMPUTED_VALUE"""),29.0)</f>
        <v>29</v>
      </c>
      <c r="H3032" s="163" t="str">
        <f>IFERROR(__xludf.DUMMYFUNCTION("""COMPUTED_VALUE"""),"PG")</f>
        <v>PG</v>
      </c>
      <c r="I3032" s="163">
        <f>IFERROR(__xludf.DUMMYFUNCTION("""COMPUTED_VALUE"""),35.0)</f>
        <v>35</v>
      </c>
      <c r="J3032" s="165">
        <f>IFERROR(__xludf.DUMMYFUNCTION("""COMPUTED_VALUE"""),-0.584933977414168)</f>
        <v>-0.5849339774</v>
      </c>
      <c r="K3032" s="165">
        <f>IFERROR(__xludf.DUMMYFUNCTION("""COMPUTED_VALUE"""),0.845301941226302)</f>
        <v>0.8453019412</v>
      </c>
      <c r="L3032" s="165">
        <f>IFERROR(__xludf.DUMMYFUNCTION("""COMPUTED_VALUE"""),-1.43023591864047)</f>
        <v>-1.430235919</v>
      </c>
      <c r="M3032" s="166">
        <f t="shared" si="2"/>
        <v>0.5160085745</v>
      </c>
      <c r="N3032" s="167">
        <f t="shared" si="3"/>
        <v>15.50626437</v>
      </c>
      <c r="O3032" s="163">
        <f t="shared" ref="O3032:Q3032" si="3036">rank(I3032,I:I)</f>
        <v>104</v>
      </c>
      <c r="P3032" s="163">
        <f t="shared" si="3036"/>
        <v>1969</v>
      </c>
      <c r="Q3032" s="163">
        <f t="shared" si="3036"/>
        <v>582</v>
      </c>
      <c r="R3032" s="163">
        <f>IFERROR(__xludf.DUMMYFUNCTION("RANK(M3032,filter(M:M,C:C=C3032))"),259.0)</f>
        <v>259</v>
      </c>
      <c r="S3032" s="161" t="b">
        <f t="shared" si="5"/>
        <v>0</v>
      </c>
      <c r="T3032" s="161" t="b">
        <f t="array" ref="T3032">index('Query Tool'!B:B,match(H3032,'Query Tool'!C:C,0))</f>
        <v>1</v>
      </c>
      <c r="U3032" s="161" t="b">
        <f t="array" ref="U3032">index('Query Tool'!B:B,match(C3032,'Query Tool'!C:C,0))</f>
        <v>0</v>
      </c>
      <c r="V3032" s="161" t="b">
        <f>F3032&gt;='Query Tool'!C$32</f>
        <v>0</v>
      </c>
      <c r="W3032" s="161" t="b">
        <f t="array" ref="W3032">index(Dropdowns!B:B,match(I3032,Dropdowns!A:A,0))</f>
        <v>1</v>
      </c>
      <c r="X3032" s="161" t="b">
        <f t="array" ref="X3032">index('Query Tool'!B:B,match(D3032,'Query Tool'!C:C,0))</f>
        <v>1</v>
      </c>
      <c r="Y3032" s="161" t="str">
        <f t="shared" si="6"/>
        <v>bareajo01,2019-20</v>
      </c>
      <c r="Z3032" s="168" t="str">
        <f t="array" ref="Z3032">iferror(index(I:I,match($A3032&amp;","&amp;index('Year Conversion'!$A:$A,match($C3032,'Year Conversion'!$B:$B,0)),$Y:$Y,0))-I3032,"")</f>
        <v/>
      </c>
      <c r="AA3032" s="168" t="str">
        <f t="array" ref="AA3032">iferror(index(J:J,match($A3032&amp;","&amp;index('Year Conversion'!$A:$A,match($C3032,'Year Conversion'!$B:$B,0)),$Y:$Y,0))-J3032,"")</f>
        <v/>
      </c>
      <c r="AB3032" s="168" t="str">
        <f t="array" ref="AB3032">iferror(index(K:K,match($A3032&amp;","&amp;index('Year Conversion'!$A:$A,match($C3032,'Year Conversion'!$B:$B,0)),$Y:$Y,0))-K3032,"")</f>
        <v/>
      </c>
      <c r="AC3032" s="168" t="str">
        <f t="shared" si="7"/>
        <v>DAL,2019-20</v>
      </c>
    </row>
    <row r="3033">
      <c r="A3033" s="161" t="str">
        <f>IFERROR(__xludf.DUMMYFUNCTION("""COMPUTED_VALUE"""),"horfoal01")</f>
        <v>horfoal01</v>
      </c>
      <c r="B3033" s="161" t="str">
        <f>IFERROR(__xludf.DUMMYFUNCTION("""COMPUTED_VALUE"""),"Al Horford")</f>
        <v>Al Horford</v>
      </c>
      <c r="C3033" s="162" t="str">
        <f>IFERROR(__xludf.DUMMYFUNCTION("""COMPUTED_VALUE"""),"2019-20")</f>
        <v>2019-20</v>
      </c>
      <c r="D3033" s="163" t="str">
        <f>IFERROR(__xludf.DUMMYFUNCTION("""COMPUTED_VALUE"""),"PHI")</f>
        <v>PHI</v>
      </c>
      <c r="E3033" s="164" t="str">
        <f>IFERROR(__xludf.DUMMYFUNCTION("""COMPUTED_VALUE"""),"Versatile Big")</f>
        <v>Versatile Big</v>
      </c>
      <c r="F3033" s="164">
        <f>IFERROR(__xludf.DUMMYFUNCTION("""COMPUTED_VALUE"""),2025.54333333333)</f>
        <v>2025.543333</v>
      </c>
      <c r="G3033" s="163">
        <f>IFERROR(__xludf.DUMMYFUNCTION("""COMPUTED_VALUE"""),67.0)</f>
        <v>67</v>
      </c>
      <c r="H3033" s="163" t="str">
        <f>IFERROR(__xludf.DUMMYFUNCTION("""COMPUTED_VALUE"""),"C")</f>
        <v>C</v>
      </c>
      <c r="I3033" s="163">
        <f>IFERROR(__xludf.DUMMYFUNCTION("""COMPUTED_VALUE"""),33.0)</f>
        <v>33</v>
      </c>
      <c r="J3033" s="165">
        <f>IFERROR(__xludf.DUMMYFUNCTION("""COMPUTED_VALUE"""),1.31991036002135)</f>
        <v>1.31991036</v>
      </c>
      <c r="K3033" s="165">
        <f>IFERROR(__xludf.DUMMYFUNCTION("""COMPUTED_VALUE"""),0.421959973223118)</f>
        <v>0.4219599732</v>
      </c>
      <c r="L3033" s="165">
        <f>IFERROR(__xludf.DUMMYFUNCTION("""COMPUTED_VALUE"""),0.897950386798228)</f>
        <v>0.8979503868</v>
      </c>
      <c r="M3033" s="166">
        <f t="shared" si="2"/>
        <v>4.920833437</v>
      </c>
      <c r="N3033" s="167">
        <f t="shared" si="3"/>
        <v>30.23199005</v>
      </c>
      <c r="O3033" s="163">
        <f t="shared" ref="O3033:Q3033" si="3037">rank(I3033,I:I)</f>
        <v>246</v>
      </c>
      <c r="P3033" s="163">
        <f t="shared" si="3037"/>
        <v>516</v>
      </c>
      <c r="Q3033" s="163">
        <f t="shared" si="3037"/>
        <v>814</v>
      </c>
      <c r="R3033" s="163">
        <f>IFERROR(__xludf.DUMMYFUNCTION("RANK(M3033,filter(M:M,C:C=C3033))"),41.0)</f>
        <v>41</v>
      </c>
      <c r="S3033" s="161" t="b">
        <f t="shared" si="5"/>
        <v>0</v>
      </c>
      <c r="T3033" s="161" t="b">
        <f t="array" ref="T3033">index('Query Tool'!B:B,match(H3033,'Query Tool'!C:C,0))</f>
        <v>1</v>
      </c>
      <c r="U3033" s="161" t="b">
        <f t="array" ref="U3033">index('Query Tool'!B:B,match(C3033,'Query Tool'!C:C,0))</f>
        <v>0</v>
      </c>
      <c r="V3033" s="161" t="b">
        <f>F3033&gt;='Query Tool'!C$32</f>
        <v>1</v>
      </c>
      <c r="W3033" s="161" t="b">
        <f t="array" ref="W3033">index(Dropdowns!B:B,match(I3033,Dropdowns!A:A,0))</f>
        <v>1</v>
      </c>
      <c r="X3033" s="161" t="b">
        <f t="array" ref="X3033">index('Query Tool'!B:B,match(D3033,'Query Tool'!C:C,0))</f>
        <v>1</v>
      </c>
      <c r="Y3033" s="161" t="str">
        <f t="shared" si="6"/>
        <v>horfoal01,2019-20</v>
      </c>
      <c r="Z3033" s="168" t="str">
        <f t="array" ref="Z3033">iferror(index(I:I,match($A3033&amp;","&amp;index('Year Conversion'!$A:$A,match($C3033,'Year Conversion'!$B:$B,0)),$Y:$Y,0))-I3033,"")</f>
        <v/>
      </c>
      <c r="AA3033" s="168" t="str">
        <f t="array" ref="AA3033">iferror(index(J:J,match($A3033&amp;","&amp;index('Year Conversion'!$A:$A,match($C3033,'Year Conversion'!$B:$B,0)),$Y:$Y,0))-J3033,"")</f>
        <v/>
      </c>
      <c r="AB3033" s="168" t="str">
        <f t="array" ref="AB3033">iferror(index(K:K,match($A3033&amp;","&amp;index('Year Conversion'!$A:$A,match($C3033,'Year Conversion'!$B:$B,0)),$Y:$Y,0))-K3033,"")</f>
        <v/>
      </c>
      <c r="AC3033" s="168" t="str">
        <f t="shared" si="7"/>
        <v>PHI,2019-20</v>
      </c>
    </row>
    <row r="3034">
      <c r="A3034" s="161" t="str">
        <f>IFERROR(__xludf.DUMMYFUNCTION("""COMPUTED_VALUE"""),"conlemi01")</f>
        <v>conlemi01</v>
      </c>
      <c r="B3034" s="161" t="str">
        <f>IFERROR(__xludf.DUMMYFUNCTION("""COMPUTED_VALUE"""),"Mike Conley")</f>
        <v>Mike Conley</v>
      </c>
      <c r="C3034" s="162" t="str">
        <f>IFERROR(__xludf.DUMMYFUNCTION("""COMPUTED_VALUE"""),"2019-20")</f>
        <v>2019-20</v>
      </c>
      <c r="D3034" s="163" t="str">
        <f>IFERROR(__xludf.DUMMYFUNCTION("""COMPUTED_VALUE"""),"UTA")</f>
        <v>UTA</v>
      </c>
      <c r="E3034" s="164" t="str">
        <f>IFERROR(__xludf.DUMMYFUNCTION("""COMPUTED_VALUE"""),"Primary Ball Handler")</f>
        <v>Primary Ball Handler</v>
      </c>
      <c r="F3034" s="164">
        <f>IFERROR(__xludf.DUMMYFUNCTION("""COMPUTED_VALUE"""),1363.27333333333)</f>
        <v>1363.273333</v>
      </c>
      <c r="G3034" s="163">
        <f>IFERROR(__xludf.DUMMYFUNCTION("""COMPUTED_VALUE"""),47.0)</f>
        <v>47</v>
      </c>
      <c r="H3034" s="163" t="str">
        <f>IFERROR(__xludf.DUMMYFUNCTION("""COMPUTED_VALUE"""),"PG")</f>
        <v>PG</v>
      </c>
      <c r="I3034" s="163">
        <f>IFERROR(__xludf.DUMMYFUNCTION("""COMPUTED_VALUE"""),32.0)</f>
        <v>32</v>
      </c>
      <c r="J3034" s="165">
        <f>IFERROR(__xludf.DUMMYFUNCTION("""COMPUTED_VALUE"""),-0.263760518197407)</f>
        <v>-0.2637605182</v>
      </c>
      <c r="K3034" s="165">
        <f>IFERROR(__xludf.DUMMYFUNCTION("""COMPUTED_VALUE"""),0.244350888227937)</f>
        <v>0.2443508882</v>
      </c>
      <c r="L3034" s="165">
        <f>IFERROR(__xludf.DUMMYFUNCTION("""COMPUTED_VALUE"""),-0.508111406425344)</f>
        <v>-0.5081114064</v>
      </c>
      <c r="M3034" s="166">
        <f t="shared" si="2"/>
        <v>1.859312872</v>
      </c>
      <c r="N3034" s="167">
        <f t="shared" si="3"/>
        <v>29.0058156</v>
      </c>
      <c r="O3034" s="163">
        <f t="shared" ref="O3034:Q3034" si="3038">rank(I3034,I:I)</f>
        <v>359</v>
      </c>
      <c r="P3034" s="163">
        <f t="shared" si="3038"/>
        <v>1574</v>
      </c>
      <c r="Q3034" s="163">
        <f t="shared" si="3038"/>
        <v>951</v>
      </c>
      <c r="R3034" s="163">
        <f>IFERROR(__xludf.DUMMYFUNCTION("RANK(M3034,filter(M:M,C:C=C3034))"),163.0)</f>
        <v>163</v>
      </c>
      <c r="S3034" s="161" t="b">
        <f t="shared" si="5"/>
        <v>0</v>
      </c>
      <c r="T3034" s="161" t="b">
        <f t="array" ref="T3034">index('Query Tool'!B:B,match(H3034,'Query Tool'!C:C,0))</f>
        <v>1</v>
      </c>
      <c r="U3034" s="161" t="b">
        <f t="array" ref="U3034">index('Query Tool'!B:B,match(C3034,'Query Tool'!C:C,0))</f>
        <v>0</v>
      </c>
      <c r="V3034" s="161" t="b">
        <f>F3034&gt;='Query Tool'!C$32</f>
        <v>1</v>
      </c>
      <c r="W3034" s="161" t="b">
        <f t="array" ref="W3034">index(Dropdowns!B:B,match(I3034,Dropdowns!A:A,0))</f>
        <v>1</v>
      </c>
      <c r="X3034" s="161" t="b">
        <f t="array" ref="X3034">index('Query Tool'!B:B,match(D3034,'Query Tool'!C:C,0))</f>
        <v>1</v>
      </c>
      <c r="Y3034" s="161" t="str">
        <f t="shared" si="6"/>
        <v>conlemi01,2019-20</v>
      </c>
      <c r="Z3034" s="168" t="str">
        <f t="array" ref="Z3034">iferror(index(I:I,match($A3034&amp;","&amp;index('Year Conversion'!$A:$A,match($C3034,'Year Conversion'!$B:$B,0)),$Y:$Y,0))-I3034,"")</f>
        <v/>
      </c>
      <c r="AA3034" s="168" t="str">
        <f t="array" ref="AA3034">iferror(index(J:J,match($A3034&amp;","&amp;index('Year Conversion'!$A:$A,match($C3034,'Year Conversion'!$B:$B,0)),$Y:$Y,0))-J3034,"")</f>
        <v/>
      </c>
      <c r="AB3034" s="168" t="str">
        <f t="array" ref="AB3034">iferror(index(K:K,match($A3034&amp;","&amp;index('Year Conversion'!$A:$A,match($C3034,'Year Conversion'!$B:$B,0)),$Y:$Y,0))-K3034,"")</f>
        <v/>
      </c>
      <c r="AC3034" s="168" t="str">
        <f t="shared" si="7"/>
        <v>UTA,2019-20</v>
      </c>
    </row>
    <row r="3035">
      <c r="A3035" s="161" t="str">
        <f>IFERROR(__xludf.DUMMYFUNCTION("""COMPUTED_VALUE"""),"greenje02")</f>
        <v>greenje02</v>
      </c>
      <c r="B3035" s="161" t="str">
        <f>IFERROR(__xludf.DUMMYFUNCTION("""COMPUTED_VALUE"""),"Jeff Green")</f>
        <v>Jeff Green</v>
      </c>
      <c r="C3035" s="162" t="str">
        <f>IFERROR(__xludf.DUMMYFUNCTION("""COMPUTED_VALUE"""),"2019-20")</f>
        <v>2019-20</v>
      </c>
      <c r="D3035" s="163" t="str">
        <f>IFERROR(__xludf.DUMMYFUNCTION("""COMPUTED_VALUE"""),"TOT")</f>
        <v>TOT</v>
      </c>
      <c r="E3035" s="164" t="str">
        <f>IFERROR(__xludf.DUMMYFUNCTION("""COMPUTED_VALUE"""),"Stationary Shooter")</f>
        <v>Stationary Shooter</v>
      </c>
      <c r="F3035" s="164">
        <f>IFERROR(__xludf.DUMMYFUNCTION("""COMPUTED_VALUE"""),960.101666666667)</f>
        <v>960.1016667</v>
      </c>
      <c r="G3035" s="163">
        <f>IFERROR(__xludf.DUMMYFUNCTION("""COMPUTED_VALUE"""),48.0)</f>
        <v>48</v>
      </c>
      <c r="H3035" s="163" t="str">
        <f>IFERROR(__xludf.DUMMYFUNCTION("""COMPUTED_VALUE"""),"PF-C")</f>
        <v>PF-C</v>
      </c>
      <c r="I3035" s="163">
        <f>IFERROR(__xludf.DUMMYFUNCTION("""COMPUTED_VALUE"""),33.0)</f>
        <v>33</v>
      </c>
      <c r="J3035" s="165">
        <f>IFERROR(__xludf.DUMMYFUNCTION("""COMPUTED_VALUE"""),-1.84240543922772)</f>
        <v>-1.842405439</v>
      </c>
      <c r="K3035" s="165">
        <f>IFERROR(__xludf.DUMMYFUNCTION("""COMPUTED_VALUE"""),-1.32138230483434)</f>
        <v>-1.321382305</v>
      </c>
      <c r="L3035" s="165">
        <f>IFERROR(__xludf.DUMMYFUNCTION("""COMPUTED_VALUE"""),-0.52102313439338)</f>
        <v>-0.5210231344</v>
      </c>
      <c r="M3035" s="166">
        <f t="shared" si="2"/>
        <v>0.2931767293</v>
      </c>
      <c r="N3035" s="167">
        <f t="shared" si="3"/>
        <v>20.00211806</v>
      </c>
      <c r="O3035" s="163">
        <f t="shared" ref="O3035:Q3035" si="3039">rank(I3035,I:I)</f>
        <v>246</v>
      </c>
      <c r="P3035" s="163">
        <f t="shared" si="3039"/>
        <v>3373</v>
      </c>
      <c r="Q3035" s="163">
        <f t="shared" si="3039"/>
        <v>3173</v>
      </c>
      <c r="R3035" s="163">
        <f>IFERROR(__xludf.DUMMYFUNCTION("RANK(M3035,filter(M:M,C:C=C3035))"),305.0)</f>
        <v>305</v>
      </c>
      <c r="S3035" s="161" t="b">
        <f t="shared" si="5"/>
        <v>0</v>
      </c>
      <c r="T3035" s="161" t="str">
        <f t="array" ref="T3035">index('Query Tool'!B:B,match(H3035,'Query Tool'!C:C,0))</f>
        <v>#N/A</v>
      </c>
      <c r="U3035" s="161" t="b">
        <f t="array" ref="U3035">index('Query Tool'!B:B,match(C3035,'Query Tool'!C:C,0))</f>
        <v>0</v>
      </c>
      <c r="V3035" s="161" t="b">
        <f>F3035&gt;='Query Tool'!C$32</f>
        <v>1</v>
      </c>
      <c r="W3035" s="161" t="b">
        <f t="array" ref="W3035">index(Dropdowns!B:B,match(I3035,Dropdowns!A:A,0))</f>
        <v>1</v>
      </c>
      <c r="X3035" s="161" t="b">
        <f t="array" ref="X3035">index('Query Tool'!B:B,match(D3035,'Query Tool'!C:C,0))</f>
        <v>1</v>
      </c>
      <c r="Y3035" s="161" t="str">
        <f t="shared" si="6"/>
        <v>greenje02,2019-20</v>
      </c>
      <c r="Z3035" s="168" t="str">
        <f t="array" ref="Z3035">iferror(index(I:I,match($A3035&amp;","&amp;index('Year Conversion'!$A:$A,match($C3035,'Year Conversion'!$B:$B,0)),$Y:$Y,0))-I3035,"")</f>
        <v/>
      </c>
      <c r="AA3035" s="168" t="str">
        <f t="array" ref="AA3035">iferror(index(J:J,match($A3035&amp;","&amp;index('Year Conversion'!$A:$A,match($C3035,'Year Conversion'!$B:$B,0)),$Y:$Y,0))-J3035,"")</f>
        <v/>
      </c>
      <c r="AB3035" s="168" t="str">
        <f t="array" ref="AB3035">iferror(index(K:K,match($A3035&amp;","&amp;index('Year Conversion'!$A:$A,match($C3035,'Year Conversion'!$B:$B,0)),$Y:$Y,0))-K3035,"")</f>
        <v/>
      </c>
      <c r="AC3035" s="168" t="str">
        <f t="shared" si="7"/>
        <v>TOT,2019-20</v>
      </c>
    </row>
    <row r="3036">
      <c r="A3036" s="161" t="str">
        <f>IFERROR(__xludf.DUMMYFUNCTION("""COMPUTED_VALUE"""),"breweco01")</f>
        <v>breweco01</v>
      </c>
      <c r="B3036" s="161" t="str">
        <f>IFERROR(__xludf.DUMMYFUNCTION("""COMPUTED_VALUE"""),"Corey Brewer")</f>
        <v>Corey Brewer</v>
      </c>
      <c r="C3036" s="162" t="str">
        <f>IFERROR(__xludf.DUMMYFUNCTION("""COMPUTED_VALUE"""),"2019-20")</f>
        <v>2019-20</v>
      </c>
      <c r="D3036" s="163" t="str">
        <f>IFERROR(__xludf.DUMMYFUNCTION("""COMPUTED_VALUE"""),"SAC")</f>
        <v>SAC</v>
      </c>
      <c r="E3036" s="164" t="str">
        <f>IFERROR(__xludf.DUMMYFUNCTION("""COMPUTED_VALUE"""),"Stretch Big")</f>
        <v>Stretch Big</v>
      </c>
      <c r="F3036" s="164">
        <f>IFERROR(__xludf.DUMMYFUNCTION("""COMPUTED_VALUE"""),32.5483333333333)</f>
        <v>32.54833333</v>
      </c>
      <c r="G3036" s="163">
        <f>IFERROR(__xludf.DUMMYFUNCTION("""COMPUTED_VALUE"""),5.0)</f>
        <v>5</v>
      </c>
      <c r="H3036" s="163" t="str">
        <f>IFERROR(__xludf.DUMMYFUNCTION("""COMPUTED_VALUE"""),"PF")</f>
        <v>PF</v>
      </c>
      <c r="I3036" s="163">
        <f>IFERROR(__xludf.DUMMYFUNCTION("""COMPUTED_VALUE"""),33.0)</f>
        <v>33</v>
      </c>
      <c r="J3036" s="165">
        <f>IFERROR(__xludf.DUMMYFUNCTION("""COMPUTED_VALUE"""),0.209195091830492)</f>
        <v>0.2091950918</v>
      </c>
      <c r="K3036" s="165">
        <f>IFERROR(__xludf.DUMMYFUNCTION("""COMPUTED_VALUE"""),-0.0896536423837283)</f>
        <v>-0.08965364238</v>
      </c>
      <c r="L3036" s="165">
        <f>IFERROR(__xludf.DUMMYFUNCTION("""COMPUTED_VALUE"""),0.29884873421422)</f>
        <v>0.2988487342</v>
      </c>
      <c r="M3036" s="166">
        <f t="shared" si="2"/>
        <v>0.0547689273</v>
      </c>
      <c r="N3036" s="167">
        <f t="shared" si="3"/>
        <v>6.509666667</v>
      </c>
      <c r="O3036" s="163">
        <f t="shared" ref="O3036:Q3036" si="3040">rank(I3036,I:I)</f>
        <v>246</v>
      </c>
      <c r="P3036" s="163">
        <f t="shared" si="3040"/>
        <v>1080</v>
      </c>
      <c r="Q3036" s="163">
        <f t="shared" si="3040"/>
        <v>1343</v>
      </c>
      <c r="R3036" s="163">
        <f>IFERROR(__xludf.DUMMYFUNCTION("RANK(M3036,filter(M:M,C:C=C3036))"),424.0)</f>
        <v>424</v>
      </c>
      <c r="S3036" s="161" t="b">
        <f t="shared" si="5"/>
        <v>0</v>
      </c>
      <c r="T3036" s="161" t="b">
        <f t="array" ref="T3036">index('Query Tool'!B:B,match(H3036,'Query Tool'!C:C,0))</f>
        <v>1</v>
      </c>
      <c r="U3036" s="161" t="b">
        <f t="array" ref="U3036">index('Query Tool'!B:B,match(C3036,'Query Tool'!C:C,0))</f>
        <v>0</v>
      </c>
      <c r="V3036" s="161" t="b">
        <f>F3036&gt;='Query Tool'!C$32</f>
        <v>0</v>
      </c>
      <c r="W3036" s="161" t="b">
        <f t="array" ref="W3036">index(Dropdowns!B:B,match(I3036,Dropdowns!A:A,0))</f>
        <v>1</v>
      </c>
      <c r="X3036" s="161" t="b">
        <f t="array" ref="X3036">index('Query Tool'!B:B,match(D3036,'Query Tool'!C:C,0))</f>
        <v>1</v>
      </c>
      <c r="Y3036" s="161" t="str">
        <f t="shared" si="6"/>
        <v>breweco01,2019-20</v>
      </c>
      <c r="Z3036" s="168" t="str">
        <f t="array" ref="Z3036">iferror(index(I:I,match($A3036&amp;","&amp;index('Year Conversion'!$A:$A,match($C3036,'Year Conversion'!$B:$B,0)),$Y:$Y,0))-I3036,"")</f>
        <v/>
      </c>
      <c r="AA3036" s="168" t="str">
        <f t="array" ref="AA3036">iferror(index(J:J,match($A3036&amp;","&amp;index('Year Conversion'!$A:$A,match($C3036,'Year Conversion'!$B:$B,0)),$Y:$Y,0))-J3036,"")</f>
        <v/>
      </c>
      <c r="AB3036" s="168" t="str">
        <f t="array" ref="AB3036">iferror(index(K:K,match($A3036&amp;","&amp;index('Year Conversion'!$A:$A,match($C3036,'Year Conversion'!$B:$B,0)),$Y:$Y,0))-K3036,"")</f>
        <v/>
      </c>
      <c r="AC3036" s="168" t="str">
        <f t="shared" si="7"/>
        <v>SAC,2019-20</v>
      </c>
    </row>
    <row r="3037">
      <c r="A3037" s="161" t="str">
        <f>IFERROR(__xludf.DUMMYFUNCTION("""COMPUTED_VALUE"""),"noahjo01")</f>
        <v>noahjo01</v>
      </c>
      <c r="B3037" s="161" t="str">
        <f>IFERROR(__xludf.DUMMYFUNCTION("""COMPUTED_VALUE"""),"Joakim Noah")</f>
        <v>Joakim Noah</v>
      </c>
      <c r="C3037" s="162" t="str">
        <f>IFERROR(__xludf.DUMMYFUNCTION("""COMPUTED_VALUE"""),"2019-20")</f>
        <v>2019-20</v>
      </c>
      <c r="D3037" s="163" t="str">
        <f>IFERROR(__xludf.DUMMYFUNCTION("""COMPUTED_VALUE"""),"LAC")</f>
        <v>LAC</v>
      </c>
      <c r="E3037" s="164" t="str">
        <f>IFERROR(__xludf.DUMMYFUNCTION("""COMPUTED_VALUE"""),"Roll + Cut Big")</f>
        <v>Roll + Cut Big</v>
      </c>
      <c r="F3037" s="164">
        <f>IFERROR(__xludf.DUMMYFUNCTION("""COMPUTED_VALUE"""),50.1666666666666)</f>
        <v>50.16666667</v>
      </c>
      <c r="G3037" s="163">
        <f>IFERROR(__xludf.DUMMYFUNCTION("""COMPUTED_VALUE"""),5.0)</f>
        <v>5</v>
      </c>
      <c r="H3037" s="163" t="str">
        <f>IFERROR(__xludf.DUMMYFUNCTION("""COMPUTED_VALUE"""),"C")</f>
        <v>C</v>
      </c>
      <c r="I3037" s="163">
        <f>IFERROR(__xludf.DUMMYFUNCTION("""COMPUTED_VALUE"""),34.0)</f>
        <v>34</v>
      </c>
      <c r="J3037" s="165">
        <f>IFERROR(__xludf.DUMMYFUNCTION("""COMPUTED_VALUE"""),-0.796361613701493)</f>
        <v>-0.7963616137</v>
      </c>
      <c r="K3037" s="165">
        <f>IFERROR(__xludf.DUMMYFUNCTION("""COMPUTED_VALUE"""),-0.428963853703357)</f>
        <v>-0.4289638537</v>
      </c>
      <c r="L3037" s="165">
        <f>IFERROR(__xludf.DUMMYFUNCTION("""COMPUTED_VALUE"""),-0.367397759998136)</f>
        <v>-0.36739776</v>
      </c>
      <c r="M3037" s="166">
        <f t="shared" si="2"/>
        <v>0.05042955456</v>
      </c>
      <c r="N3037" s="167">
        <f t="shared" si="3"/>
        <v>10.03333333</v>
      </c>
      <c r="O3037" s="163">
        <f t="shared" ref="O3037:Q3037" si="3041">rank(I3037,I:I)</f>
        <v>164</v>
      </c>
      <c r="P3037" s="163">
        <f t="shared" si="3041"/>
        <v>2270</v>
      </c>
      <c r="Q3037" s="163">
        <f t="shared" si="3041"/>
        <v>2001</v>
      </c>
      <c r="R3037" s="163">
        <f>IFERROR(__xludf.DUMMYFUNCTION("RANK(M3037,filter(M:M,C:C=C3037))"),435.0)</f>
        <v>435</v>
      </c>
      <c r="S3037" s="161" t="b">
        <f t="shared" si="5"/>
        <v>0</v>
      </c>
      <c r="T3037" s="161" t="b">
        <f t="array" ref="T3037">index('Query Tool'!B:B,match(H3037,'Query Tool'!C:C,0))</f>
        <v>1</v>
      </c>
      <c r="U3037" s="161" t="b">
        <f t="array" ref="U3037">index('Query Tool'!B:B,match(C3037,'Query Tool'!C:C,0))</f>
        <v>0</v>
      </c>
      <c r="V3037" s="161" t="b">
        <f>F3037&gt;='Query Tool'!C$32</f>
        <v>0</v>
      </c>
      <c r="W3037" s="161" t="b">
        <f t="array" ref="W3037">index(Dropdowns!B:B,match(I3037,Dropdowns!A:A,0))</f>
        <v>1</v>
      </c>
      <c r="X3037" s="161" t="b">
        <f t="array" ref="X3037">index('Query Tool'!B:B,match(D3037,'Query Tool'!C:C,0))</f>
        <v>1</v>
      </c>
      <c r="Y3037" s="161" t="str">
        <f t="shared" si="6"/>
        <v>noahjo01,2019-20</v>
      </c>
      <c r="Z3037" s="168" t="str">
        <f t="array" ref="Z3037">iferror(index(I:I,match($A3037&amp;","&amp;index('Year Conversion'!$A:$A,match($C3037,'Year Conversion'!$B:$B,0)),$Y:$Y,0))-I3037,"")</f>
        <v/>
      </c>
      <c r="AA3037" s="168" t="str">
        <f t="array" ref="AA3037">iferror(index(J:J,match($A3037&amp;","&amp;index('Year Conversion'!$A:$A,match($C3037,'Year Conversion'!$B:$B,0)),$Y:$Y,0))-J3037,"")</f>
        <v/>
      </c>
      <c r="AB3037" s="168" t="str">
        <f t="array" ref="AB3037">iferror(index(K:K,match($A3037&amp;","&amp;index('Year Conversion'!$A:$A,match($C3037,'Year Conversion'!$B:$B,0)),$Y:$Y,0))-K3037,"")</f>
        <v/>
      </c>
      <c r="AC3037" s="168" t="str">
        <f t="shared" si="7"/>
        <v>LAC,2019-20</v>
      </c>
    </row>
    <row r="3038">
      <c r="A3038" s="161" t="str">
        <f>IFERROR(__xludf.DUMMYFUNCTION("""COMPUTED_VALUE"""),"youngth01")</f>
        <v>youngth01</v>
      </c>
      <c r="B3038" s="161" t="str">
        <f>IFERROR(__xludf.DUMMYFUNCTION("""COMPUTED_VALUE"""),"Thaddeus Young")</f>
        <v>Thaddeus Young</v>
      </c>
      <c r="C3038" s="162" t="str">
        <f>IFERROR(__xludf.DUMMYFUNCTION("""COMPUTED_VALUE"""),"2019-20")</f>
        <v>2019-20</v>
      </c>
      <c r="D3038" s="163" t="str">
        <f>IFERROR(__xludf.DUMMYFUNCTION("""COMPUTED_VALUE"""),"CHI")</f>
        <v>CHI</v>
      </c>
      <c r="E3038" s="164" t="str">
        <f>IFERROR(__xludf.DUMMYFUNCTION("""COMPUTED_VALUE"""),"Stretch Big")</f>
        <v>Stretch Big</v>
      </c>
      <c r="F3038" s="164">
        <f>IFERROR(__xludf.DUMMYFUNCTION("""COMPUTED_VALUE"""),1590.66166666667)</f>
        <v>1590.661667</v>
      </c>
      <c r="G3038" s="163">
        <f>IFERROR(__xludf.DUMMYFUNCTION("""COMPUTED_VALUE"""),64.0)</f>
        <v>64</v>
      </c>
      <c r="H3038" s="163" t="str">
        <f>IFERROR(__xludf.DUMMYFUNCTION("""COMPUTED_VALUE"""),"PF")</f>
        <v>PF</v>
      </c>
      <c r="I3038" s="163">
        <f>IFERROR(__xludf.DUMMYFUNCTION("""COMPUTED_VALUE"""),31.0)</f>
        <v>31</v>
      </c>
      <c r="J3038" s="165">
        <f>IFERROR(__xludf.DUMMYFUNCTION("""COMPUTED_VALUE"""),-1.7035503724664)</f>
        <v>-1.703550372</v>
      </c>
      <c r="K3038" s="165">
        <f>IFERROR(__xludf.DUMMYFUNCTION("""COMPUTED_VALUE"""),-1.82081466175432)</f>
        <v>-1.820814662</v>
      </c>
      <c r="L3038" s="165">
        <f>IFERROR(__xludf.DUMMYFUNCTION("""COMPUTED_VALUE"""),0.117264289287919)</f>
        <v>0.1172642893</v>
      </c>
      <c r="M3038" s="166">
        <f t="shared" si="2"/>
        <v>0.6326990028</v>
      </c>
      <c r="N3038" s="167">
        <f t="shared" si="3"/>
        <v>24.85408854</v>
      </c>
      <c r="O3038" s="163">
        <f t="shared" ref="O3038:Q3038" si="3042">rank(I3038,I:I)</f>
        <v>490</v>
      </c>
      <c r="P3038" s="163">
        <f t="shared" si="3042"/>
        <v>3245</v>
      </c>
      <c r="Q3038" s="163">
        <f t="shared" si="3042"/>
        <v>3585</v>
      </c>
      <c r="R3038" s="163">
        <f>IFERROR(__xludf.DUMMYFUNCTION("RANK(M3038,filter(M:M,C:C=C3038))"),239.0)</f>
        <v>239</v>
      </c>
      <c r="S3038" s="161" t="b">
        <f t="shared" si="5"/>
        <v>0</v>
      </c>
      <c r="T3038" s="161" t="b">
        <f t="array" ref="T3038">index('Query Tool'!B:B,match(H3038,'Query Tool'!C:C,0))</f>
        <v>1</v>
      </c>
      <c r="U3038" s="161" t="b">
        <f t="array" ref="U3038">index('Query Tool'!B:B,match(C3038,'Query Tool'!C:C,0))</f>
        <v>0</v>
      </c>
      <c r="V3038" s="161" t="b">
        <f>F3038&gt;='Query Tool'!C$32</f>
        <v>1</v>
      </c>
      <c r="W3038" s="161" t="b">
        <f t="array" ref="W3038">index(Dropdowns!B:B,match(I3038,Dropdowns!A:A,0))</f>
        <v>1</v>
      </c>
      <c r="X3038" s="161" t="b">
        <f t="array" ref="X3038">index('Query Tool'!B:B,match(D3038,'Query Tool'!C:C,0))</f>
        <v>1</v>
      </c>
      <c r="Y3038" s="161" t="str">
        <f t="shared" si="6"/>
        <v>youngth01,2019-20</v>
      </c>
      <c r="Z3038" s="168" t="str">
        <f t="array" ref="Z3038">iferror(index(I:I,match($A3038&amp;","&amp;index('Year Conversion'!$A:$A,match($C3038,'Year Conversion'!$B:$B,0)),$Y:$Y,0))-I3038,"")</f>
        <v/>
      </c>
      <c r="AA3038" s="168" t="str">
        <f t="array" ref="AA3038">iferror(index(J:J,match($A3038&amp;","&amp;index('Year Conversion'!$A:$A,match($C3038,'Year Conversion'!$B:$B,0)),$Y:$Y,0))-J3038,"")</f>
        <v/>
      </c>
      <c r="AB3038" s="168" t="str">
        <f t="array" ref="AB3038">iferror(index(K:K,match($A3038&amp;","&amp;index('Year Conversion'!$A:$A,match($C3038,'Year Conversion'!$B:$B,0)),$Y:$Y,0))-K3038,"")</f>
        <v/>
      </c>
      <c r="AC3038" s="168" t="str">
        <f t="shared" si="7"/>
        <v>CHI,2019-20</v>
      </c>
    </row>
    <row r="3039">
      <c r="A3039" s="161" t="str">
        <f>IFERROR(__xludf.DUMMYFUNCTION("""COMPUTED_VALUE"""),"belinma01")</f>
        <v>belinma01</v>
      </c>
      <c r="B3039" s="161" t="str">
        <f>IFERROR(__xludf.DUMMYFUNCTION("""COMPUTED_VALUE"""),"Marco Belinelli")</f>
        <v>Marco Belinelli</v>
      </c>
      <c r="C3039" s="162" t="str">
        <f>IFERROR(__xludf.DUMMYFUNCTION("""COMPUTED_VALUE"""),"2019-20")</f>
        <v>2019-20</v>
      </c>
      <c r="D3039" s="163" t="str">
        <f>IFERROR(__xludf.DUMMYFUNCTION("""COMPUTED_VALUE"""),"SAS")</f>
        <v>SAS</v>
      </c>
      <c r="E3039" s="164" t="str">
        <f>IFERROR(__xludf.DUMMYFUNCTION("""COMPUTED_VALUE"""),"Movement Shooter")</f>
        <v>Movement Shooter</v>
      </c>
      <c r="F3039" s="164">
        <f>IFERROR(__xludf.DUMMYFUNCTION("""COMPUTED_VALUE"""),883.401666666667)</f>
        <v>883.4016667</v>
      </c>
      <c r="G3039" s="163">
        <f>IFERROR(__xludf.DUMMYFUNCTION("""COMPUTED_VALUE"""),57.0)</f>
        <v>57</v>
      </c>
      <c r="H3039" s="163" t="str">
        <f>IFERROR(__xludf.DUMMYFUNCTION("""COMPUTED_VALUE"""),"SG")</f>
        <v>SG</v>
      </c>
      <c r="I3039" s="163">
        <f>IFERROR(__xludf.DUMMYFUNCTION("""COMPUTED_VALUE"""),33.0)</f>
        <v>33</v>
      </c>
      <c r="J3039" s="165">
        <f>IFERROR(__xludf.DUMMYFUNCTION("""COMPUTED_VALUE"""),-1.50563947763913)</f>
        <v>-1.505639478</v>
      </c>
      <c r="K3039" s="165">
        <f>IFERROR(__xludf.DUMMYFUNCTION("""COMPUTED_VALUE"""),0.152006503628407)</f>
        <v>0.1520065036</v>
      </c>
      <c r="L3039" s="165">
        <f>IFERROR(__xludf.DUMMYFUNCTION("""COMPUTED_VALUE"""),-1.65764598126753)</f>
        <v>-1.657645981</v>
      </c>
      <c r="M3039" s="166">
        <f t="shared" si="2"/>
        <v>0.4679949041</v>
      </c>
      <c r="N3039" s="167">
        <f t="shared" si="3"/>
        <v>15.49827485</v>
      </c>
      <c r="O3039" s="163">
        <f t="shared" ref="O3039:Q3039" si="3043">rank(I3039,I:I)</f>
        <v>246</v>
      </c>
      <c r="P3039" s="163">
        <f t="shared" si="3043"/>
        <v>3062</v>
      </c>
      <c r="Q3039" s="163">
        <f t="shared" si="3043"/>
        <v>1025</v>
      </c>
      <c r="R3039" s="163">
        <f>IFERROR(__xludf.DUMMYFUNCTION("RANK(M3039,filter(M:M,C:C=C3039))"),264.0)</f>
        <v>264</v>
      </c>
      <c r="S3039" s="161" t="b">
        <f t="shared" si="5"/>
        <v>0</v>
      </c>
      <c r="T3039" s="161" t="b">
        <f t="array" ref="T3039">index('Query Tool'!B:B,match(H3039,'Query Tool'!C:C,0))</f>
        <v>1</v>
      </c>
      <c r="U3039" s="161" t="b">
        <f t="array" ref="U3039">index('Query Tool'!B:B,match(C3039,'Query Tool'!C:C,0))</f>
        <v>0</v>
      </c>
      <c r="V3039" s="161" t="b">
        <f>F3039&gt;='Query Tool'!C$32</f>
        <v>1</v>
      </c>
      <c r="W3039" s="161" t="b">
        <f t="array" ref="W3039">index(Dropdowns!B:B,match(I3039,Dropdowns!A:A,0))</f>
        <v>1</v>
      </c>
      <c r="X3039" s="161" t="b">
        <f t="array" ref="X3039">index('Query Tool'!B:B,match(D3039,'Query Tool'!C:C,0))</f>
        <v>1</v>
      </c>
      <c r="Y3039" s="161" t="str">
        <f t="shared" si="6"/>
        <v>belinma01,2019-20</v>
      </c>
      <c r="Z3039" s="168" t="str">
        <f t="array" ref="Z3039">iferror(index(I:I,match($A3039&amp;","&amp;index('Year Conversion'!$A:$A,match($C3039,'Year Conversion'!$B:$B,0)),$Y:$Y,0))-I3039,"")</f>
        <v/>
      </c>
      <c r="AA3039" s="168" t="str">
        <f t="array" ref="AA3039">iferror(index(J:J,match($A3039&amp;","&amp;index('Year Conversion'!$A:$A,match($C3039,'Year Conversion'!$B:$B,0)),$Y:$Y,0))-J3039,"")</f>
        <v/>
      </c>
      <c r="AB3039" s="168" t="str">
        <f t="array" ref="AB3039">iferror(index(K:K,match($A3039&amp;","&amp;index('Year Conversion'!$A:$A,match($C3039,'Year Conversion'!$B:$B,0)),$Y:$Y,0))-K3039,"")</f>
        <v/>
      </c>
      <c r="AC3039" s="168" t="str">
        <f t="shared" si="7"/>
        <v>SAS,2019-20</v>
      </c>
    </row>
    <row r="3040">
      <c r="A3040" s="161" t="str">
        <f>IFERROR(__xludf.DUMMYFUNCTION("""COMPUTED_VALUE"""),"dudleja01")</f>
        <v>dudleja01</v>
      </c>
      <c r="B3040" s="161" t="str">
        <f>IFERROR(__xludf.DUMMYFUNCTION("""COMPUTED_VALUE"""),"Jared Dudley")</f>
        <v>Jared Dudley</v>
      </c>
      <c r="C3040" s="162" t="str">
        <f>IFERROR(__xludf.DUMMYFUNCTION("""COMPUTED_VALUE"""),"2019-20")</f>
        <v>2019-20</v>
      </c>
      <c r="D3040" s="163" t="str">
        <f>IFERROR(__xludf.DUMMYFUNCTION("""COMPUTED_VALUE"""),"LAL")</f>
        <v>LAL</v>
      </c>
      <c r="E3040" s="164" t="str">
        <f>IFERROR(__xludf.DUMMYFUNCTION("""COMPUTED_VALUE"""),"Stationary Shooter")</f>
        <v>Stationary Shooter</v>
      </c>
      <c r="F3040" s="164">
        <f>IFERROR(__xludf.DUMMYFUNCTION("""COMPUTED_VALUE"""),363.566666666667)</f>
        <v>363.5666667</v>
      </c>
      <c r="G3040" s="163">
        <f>IFERROR(__xludf.DUMMYFUNCTION("""COMPUTED_VALUE"""),45.0)</f>
        <v>45</v>
      </c>
      <c r="H3040" s="163" t="str">
        <f>IFERROR(__xludf.DUMMYFUNCTION("""COMPUTED_VALUE"""),"PF")</f>
        <v>PF</v>
      </c>
      <c r="I3040" s="163">
        <f>IFERROR(__xludf.DUMMYFUNCTION("""COMPUTED_VALUE"""),34.0)</f>
        <v>34</v>
      </c>
      <c r="J3040" s="165">
        <f>IFERROR(__xludf.DUMMYFUNCTION("""COMPUTED_VALUE"""),-1.88260650217799)</f>
        <v>-1.882606502</v>
      </c>
      <c r="K3040" s="165">
        <f>IFERROR(__xludf.DUMMYFUNCTION("""COMPUTED_VALUE"""),-2.40238194940354)</f>
        <v>-2.402381949</v>
      </c>
      <c r="L3040" s="165">
        <f>IFERROR(__xludf.DUMMYFUNCTION("""COMPUTED_VALUE"""),0.519775447225557)</f>
        <v>0.5197754472</v>
      </c>
      <c r="M3040" s="166">
        <f t="shared" si="2"/>
        <v>0.1013060504</v>
      </c>
      <c r="N3040" s="167">
        <f t="shared" si="3"/>
        <v>8.079259259</v>
      </c>
      <c r="O3040" s="163">
        <f t="shared" ref="O3040:Q3040" si="3044">rank(I3040,I:I)</f>
        <v>164</v>
      </c>
      <c r="P3040" s="163">
        <f t="shared" si="3044"/>
        <v>3406</v>
      </c>
      <c r="Q3040" s="163">
        <f t="shared" si="3044"/>
        <v>3866</v>
      </c>
      <c r="R3040" s="163">
        <f>IFERROR(__xludf.DUMMYFUNCTION("RANK(M3040,filter(M:M,C:C=C3040))"),386.0)</f>
        <v>386</v>
      </c>
      <c r="S3040" s="161" t="b">
        <f t="shared" si="5"/>
        <v>0</v>
      </c>
      <c r="T3040" s="161" t="b">
        <f t="array" ref="T3040">index('Query Tool'!B:B,match(H3040,'Query Tool'!C:C,0))</f>
        <v>1</v>
      </c>
      <c r="U3040" s="161" t="b">
        <f t="array" ref="U3040">index('Query Tool'!B:B,match(C3040,'Query Tool'!C:C,0))</f>
        <v>0</v>
      </c>
      <c r="V3040" s="161" t="b">
        <f>F3040&gt;='Query Tool'!C$32</f>
        <v>0</v>
      </c>
      <c r="W3040" s="161" t="b">
        <f t="array" ref="W3040">index(Dropdowns!B:B,match(I3040,Dropdowns!A:A,0))</f>
        <v>1</v>
      </c>
      <c r="X3040" s="161" t="b">
        <f t="array" ref="X3040">index('Query Tool'!B:B,match(D3040,'Query Tool'!C:C,0))</f>
        <v>1</v>
      </c>
      <c r="Y3040" s="161" t="str">
        <f t="shared" si="6"/>
        <v>dudleja01,2019-20</v>
      </c>
      <c r="Z3040" s="168" t="str">
        <f t="array" ref="Z3040">iferror(index(I:I,match($A3040&amp;","&amp;index('Year Conversion'!$A:$A,match($C3040,'Year Conversion'!$B:$B,0)),$Y:$Y,0))-I3040,"")</f>
        <v/>
      </c>
      <c r="AA3040" s="168" t="str">
        <f t="array" ref="AA3040">iferror(index(J:J,match($A3040&amp;","&amp;index('Year Conversion'!$A:$A,match($C3040,'Year Conversion'!$B:$B,0)),$Y:$Y,0))-J3040,"")</f>
        <v/>
      </c>
      <c r="AB3040" s="168" t="str">
        <f t="array" ref="AB3040">iferror(index(K:K,match($A3040&amp;","&amp;index('Year Conversion'!$A:$A,match($C3040,'Year Conversion'!$B:$B,0)),$Y:$Y,0))-K3040,"")</f>
        <v/>
      </c>
      <c r="AC3040" s="168" t="str">
        <f t="shared" si="7"/>
        <v>LAL,2019-20</v>
      </c>
    </row>
    <row r="3041">
      <c r="A3041" s="161" t="str">
        <f>IFERROR(__xludf.DUMMYFUNCTION("""COMPUTED_VALUE"""),"chandwi01")</f>
        <v>chandwi01</v>
      </c>
      <c r="B3041" s="161" t="str">
        <f>IFERROR(__xludf.DUMMYFUNCTION("""COMPUTED_VALUE"""),"Wilson Chandler")</f>
        <v>Wilson Chandler</v>
      </c>
      <c r="C3041" s="162" t="str">
        <f>IFERROR(__xludf.DUMMYFUNCTION("""COMPUTED_VALUE"""),"2019-20")</f>
        <v>2019-20</v>
      </c>
      <c r="D3041" s="163" t="str">
        <f>IFERROR(__xludf.DUMMYFUNCTION("""COMPUTED_VALUE"""),"BRK")</f>
        <v>BRK</v>
      </c>
      <c r="E3041" s="164" t="str">
        <f>IFERROR(__xludf.DUMMYFUNCTION("""COMPUTED_VALUE"""),"Stationary Shooter")</f>
        <v>Stationary Shooter</v>
      </c>
      <c r="F3041" s="164">
        <f>IFERROR(__xludf.DUMMYFUNCTION("""COMPUTED_VALUE"""),734.11)</f>
        <v>734.11</v>
      </c>
      <c r="G3041" s="163">
        <f>IFERROR(__xludf.DUMMYFUNCTION("""COMPUTED_VALUE"""),35.0)</f>
        <v>35</v>
      </c>
      <c r="H3041" s="163" t="str">
        <f>IFERROR(__xludf.DUMMYFUNCTION("""COMPUTED_VALUE"""),"PF")</f>
        <v>PF</v>
      </c>
      <c r="I3041" s="163">
        <f>IFERROR(__xludf.DUMMYFUNCTION("""COMPUTED_VALUE"""),32.0)</f>
        <v>32</v>
      </c>
      <c r="J3041" s="165">
        <f>IFERROR(__xludf.DUMMYFUNCTION("""COMPUTED_VALUE"""),-2.23221367953458)</f>
        <v>-2.23221368</v>
      </c>
      <c r="K3041" s="165">
        <f>IFERROR(__xludf.DUMMYFUNCTION("""COMPUTED_VALUE"""),-3.03454542190914)</f>
        <v>-3.034545422</v>
      </c>
      <c r="L3041" s="165">
        <f>IFERROR(__xludf.DUMMYFUNCTION("""COMPUTED_VALUE"""),0.802331742374563)</f>
        <v>0.8023317424</v>
      </c>
      <c r="M3041" s="166">
        <f t="shared" si="2"/>
        <v>0.0345490228</v>
      </c>
      <c r="N3041" s="167">
        <f t="shared" si="3"/>
        <v>20.97457143</v>
      </c>
      <c r="O3041" s="163">
        <f t="shared" ref="O3041:Q3041" si="3045">rank(I3041,I:I)</f>
        <v>359</v>
      </c>
      <c r="P3041" s="163">
        <f t="shared" si="3045"/>
        <v>3621</v>
      </c>
      <c r="Q3041" s="163">
        <f t="shared" si="3045"/>
        <v>3983</v>
      </c>
      <c r="R3041" s="163">
        <f>IFERROR(__xludf.DUMMYFUNCTION("RANK(M3041,filter(M:M,C:C=C3041))"),447.0)</f>
        <v>447</v>
      </c>
      <c r="S3041" s="161" t="b">
        <f t="shared" si="5"/>
        <v>0</v>
      </c>
      <c r="T3041" s="161" t="b">
        <f t="array" ref="T3041">index('Query Tool'!B:B,match(H3041,'Query Tool'!C:C,0))</f>
        <v>1</v>
      </c>
      <c r="U3041" s="161" t="b">
        <f t="array" ref="U3041">index('Query Tool'!B:B,match(C3041,'Query Tool'!C:C,0))</f>
        <v>0</v>
      </c>
      <c r="V3041" s="161" t="b">
        <f>F3041&gt;='Query Tool'!C$32</f>
        <v>1</v>
      </c>
      <c r="W3041" s="161" t="b">
        <f t="array" ref="W3041">index(Dropdowns!B:B,match(I3041,Dropdowns!A:A,0))</f>
        <v>1</v>
      </c>
      <c r="X3041" s="161" t="b">
        <f t="array" ref="X3041">index('Query Tool'!B:B,match(D3041,'Query Tool'!C:C,0))</f>
        <v>1</v>
      </c>
      <c r="Y3041" s="161" t="str">
        <f t="shared" si="6"/>
        <v>chandwi01,2019-20</v>
      </c>
      <c r="Z3041" s="168" t="str">
        <f t="array" ref="Z3041">iferror(index(I:I,match($A3041&amp;","&amp;index('Year Conversion'!$A:$A,match($C3041,'Year Conversion'!$B:$B,0)),$Y:$Y,0))-I3041,"")</f>
        <v/>
      </c>
      <c r="AA3041" s="168" t="str">
        <f t="array" ref="AA3041">iferror(index(J:J,match($A3041&amp;","&amp;index('Year Conversion'!$A:$A,match($C3041,'Year Conversion'!$B:$B,0)),$Y:$Y,0))-J3041,"")</f>
        <v/>
      </c>
      <c r="AB3041" s="168" t="str">
        <f t="array" ref="AB3041">iferror(index(K:K,match($A3041&amp;","&amp;index('Year Conversion'!$A:$A,match($C3041,'Year Conversion'!$B:$B,0)),$Y:$Y,0))-K3041,"")</f>
        <v/>
      </c>
      <c r="AC3041" s="168" t="str">
        <f t="shared" si="7"/>
        <v>BRK,2019-20</v>
      </c>
    </row>
    <row r="3042">
      <c r="A3042" s="161" t="str">
        <f>IFERROR(__xludf.DUMMYFUNCTION("""COMPUTED_VALUE"""),"gasolma01")</f>
        <v>gasolma01</v>
      </c>
      <c r="B3042" s="161" t="str">
        <f>IFERROR(__xludf.DUMMYFUNCTION("""COMPUTED_VALUE"""),"Marc Gasol")</f>
        <v>Marc Gasol</v>
      </c>
      <c r="C3042" s="162" t="str">
        <f>IFERROR(__xludf.DUMMYFUNCTION("""COMPUTED_VALUE"""),"2019-20")</f>
        <v>2019-20</v>
      </c>
      <c r="D3042" s="163" t="str">
        <f>IFERROR(__xludf.DUMMYFUNCTION("""COMPUTED_VALUE"""),"TOR")</f>
        <v>TOR</v>
      </c>
      <c r="E3042" s="164" t="str">
        <f>IFERROR(__xludf.DUMMYFUNCTION("""COMPUTED_VALUE"""),"Stretch Big")</f>
        <v>Stretch Big</v>
      </c>
      <c r="F3042" s="164">
        <f>IFERROR(__xludf.DUMMYFUNCTION("""COMPUTED_VALUE"""),1161.15666666667)</f>
        <v>1161.156667</v>
      </c>
      <c r="G3042" s="163">
        <f>IFERROR(__xludf.DUMMYFUNCTION("""COMPUTED_VALUE"""),44.0)</f>
        <v>44</v>
      </c>
      <c r="H3042" s="163" t="str">
        <f>IFERROR(__xludf.DUMMYFUNCTION("""COMPUTED_VALUE"""),"C")</f>
        <v>C</v>
      </c>
      <c r="I3042" s="163">
        <f>IFERROR(__xludf.DUMMYFUNCTION("""COMPUTED_VALUE"""),35.0)</f>
        <v>35</v>
      </c>
      <c r="J3042" s="165">
        <f>IFERROR(__xludf.DUMMYFUNCTION("""COMPUTED_VALUE"""),1.32060591449607)</f>
        <v>1.320605914</v>
      </c>
      <c r="K3042" s="165">
        <f>IFERROR(__xludf.DUMMYFUNCTION("""COMPUTED_VALUE"""),-1.90079882630664)</f>
        <v>-1.900798826</v>
      </c>
      <c r="L3042" s="165">
        <f>IFERROR(__xludf.DUMMYFUNCTION("""COMPUTED_VALUE"""),3.22140474080272)</f>
        <v>3.221404741</v>
      </c>
      <c r="M3042" s="166">
        <f t="shared" si="2"/>
        <v>2.821442231</v>
      </c>
      <c r="N3042" s="167">
        <f t="shared" si="3"/>
        <v>26.38992424</v>
      </c>
      <c r="O3042" s="163">
        <f t="shared" ref="O3042:Q3042" si="3046">rank(I3042,I:I)</f>
        <v>104</v>
      </c>
      <c r="P3042" s="163">
        <f t="shared" si="3046"/>
        <v>515</v>
      </c>
      <c r="Q3042" s="163">
        <f t="shared" si="3046"/>
        <v>3646</v>
      </c>
      <c r="R3042" s="163">
        <f>IFERROR(__xludf.DUMMYFUNCTION("RANK(M3042,filter(M:M,C:C=C3042))"),109.0)</f>
        <v>109</v>
      </c>
      <c r="S3042" s="161" t="b">
        <f t="shared" si="5"/>
        <v>0</v>
      </c>
      <c r="T3042" s="161" t="b">
        <f t="array" ref="T3042">index('Query Tool'!B:B,match(H3042,'Query Tool'!C:C,0))</f>
        <v>1</v>
      </c>
      <c r="U3042" s="161" t="b">
        <f t="array" ref="U3042">index('Query Tool'!B:B,match(C3042,'Query Tool'!C:C,0))</f>
        <v>0</v>
      </c>
      <c r="V3042" s="161" t="b">
        <f>F3042&gt;='Query Tool'!C$32</f>
        <v>1</v>
      </c>
      <c r="W3042" s="161" t="b">
        <f t="array" ref="W3042">index(Dropdowns!B:B,match(I3042,Dropdowns!A:A,0))</f>
        <v>1</v>
      </c>
      <c r="X3042" s="161" t="b">
        <f t="array" ref="X3042">index('Query Tool'!B:B,match(D3042,'Query Tool'!C:C,0))</f>
        <v>1</v>
      </c>
      <c r="Y3042" s="161" t="str">
        <f t="shared" si="6"/>
        <v>gasolma01,2019-20</v>
      </c>
      <c r="Z3042" s="168" t="str">
        <f t="array" ref="Z3042">iferror(index(I:I,match($A3042&amp;","&amp;index('Year Conversion'!$A:$A,match($C3042,'Year Conversion'!$B:$B,0)),$Y:$Y,0))-I3042,"")</f>
        <v/>
      </c>
      <c r="AA3042" s="168" t="str">
        <f t="array" ref="AA3042">iferror(index(J:J,match($A3042&amp;","&amp;index('Year Conversion'!$A:$A,match($C3042,'Year Conversion'!$B:$B,0)),$Y:$Y,0))-J3042,"")</f>
        <v/>
      </c>
      <c r="AB3042" s="168" t="str">
        <f t="array" ref="AB3042">iferror(index(K:K,match($A3042&amp;","&amp;index('Year Conversion'!$A:$A,match($C3042,'Year Conversion'!$B:$B,0)),$Y:$Y,0))-K3042,"")</f>
        <v/>
      </c>
      <c r="AC3042" s="168" t="str">
        <f t="shared" si="7"/>
        <v>TOR,2019-20</v>
      </c>
    </row>
    <row r="3043">
      <c r="A3043" s="161" t="str">
        <f>IFERROR(__xludf.DUMMYFUNCTION("""COMPUTED_VALUE"""),"tollian01")</f>
        <v>tollian01</v>
      </c>
      <c r="B3043" s="161" t="str">
        <f>IFERROR(__xludf.DUMMYFUNCTION("""COMPUTED_VALUE"""),"Anthony Tolliver")</f>
        <v>Anthony Tolliver</v>
      </c>
      <c r="C3043" s="162" t="str">
        <f>IFERROR(__xludf.DUMMYFUNCTION("""COMPUTED_VALUE"""),"2019-20")</f>
        <v>2019-20</v>
      </c>
      <c r="D3043" s="163" t="str">
        <f>IFERROR(__xludf.DUMMYFUNCTION("""COMPUTED_VALUE"""),"TOT")</f>
        <v>TOT</v>
      </c>
      <c r="E3043" s="164" t="str">
        <f>IFERROR(__xludf.DUMMYFUNCTION("""COMPUTED_VALUE"""),"Stationary Shooter")</f>
        <v>Stationary Shooter</v>
      </c>
      <c r="F3043" s="164">
        <f>IFERROR(__xludf.DUMMYFUNCTION("""COMPUTED_VALUE"""),871.923333333334)</f>
        <v>871.9233333</v>
      </c>
      <c r="G3043" s="163">
        <f>IFERROR(__xludf.DUMMYFUNCTION("""COMPUTED_VALUE"""),55.0)</f>
        <v>55</v>
      </c>
      <c r="H3043" s="163" t="str">
        <f>IFERROR(__xludf.DUMMYFUNCTION("""COMPUTED_VALUE"""),"PF")</f>
        <v>PF</v>
      </c>
      <c r="I3043" s="163">
        <f>IFERROR(__xludf.DUMMYFUNCTION("""COMPUTED_VALUE"""),34.0)</f>
        <v>34</v>
      </c>
      <c r="J3043" s="165">
        <f>IFERROR(__xludf.DUMMYFUNCTION("""COMPUTED_VALUE"""),-1.35452766299151)</f>
        <v>-1.354527663</v>
      </c>
      <c r="K3043" s="165">
        <f>IFERROR(__xludf.DUMMYFUNCTION("""COMPUTED_VALUE"""),-1.30353228162921)</f>
        <v>-1.303532282</v>
      </c>
      <c r="L3043" s="165">
        <f>IFERROR(__xludf.DUMMYFUNCTION("""COMPUTED_VALUE"""),-0.0509953813622961)</f>
        <v>-0.05099538136</v>
      </c>
      <c r="M3043" s="166">
        <f t="shared" si="2"/>
        <v>0.5499904121</v>
      </c>
      <c r="N3043" s="167">
        <f t="shared" si="3"/>
        <v>15.85315152</v>
      </c>
      <c r="O3043" s="163">
        <f t="shared" ref="O3043:Q3043" si="3047">rank(I3043,I:I)</f>
        <v>164</v>
      </c>
      <c r="P3043" s="163">
        <f t="shared" si="3047"/>
        <v>2910</v>
      </c>
      <c r="Q3043" s="163">
        <f t="shared" si="3047"/>
        <v>3153</v>
      </c>
      <c r="R3043" s="163">
        <f>IFERROR(__xludf.DUMMYFUNCTION("RANK(M3043,filter(M:M,C:C=C3043))"),252.0)</f>
        <v>252</v>
      </c>
      <c r="S3043" s="161" t="b">
        <f t="shared" si="5"/>
        <v>0</v>
      </c>
      <c r="T3043" s="161" t="b">
        <f t="array" ref="T3043">index('Query Tool'!B:B,match(H3043,'Query Tool'!C:C,0))</f>
        <v>1</v>
      </c>
      <c r="U3043" s="161" t="b">
        <f t="array" ref="U3043">index('Query Tool'!B:B,match(C3043,'Query Tool'!C:C,0))</f>
        <v>0</v>
      </c>
      <c r="V3043" s="161" t="b">
        <f>F3043&gt;='Query Tool'!C$32</f>
        <v>1</v>
      </c>
      <c r="W3043" s="161" t="b">
        <f t="array" ref="W3043">index(Dropdowns!B:B,match(I3043,Dropdowns!A:A,0))</f>
        <v>1</v>
      </c>
      <c r="X3043" s="161" t="b">
        <f t="array" ref="X3043">index('Query Tool'!B:B,match(D3043,'Query Tool'!C:C,0))</f>
        <v>1</v>
      </c>
      <c r="Y3043" s="161" t="str">
        <f t="shared" si="6"/>
        <v>tollian01,2019-20</v>
      </c>
      <c r="Z3043" s="168" t="str">
        <f t="array" ref="Z3043">iferror(index(I:I,match($A3043&amp;","&amp;index('Year Conversion'!$A:$A,match($C3043,'Year Conversion'!$B:$B,0)),$Y:$Y,0))-I3043,"")</f>
        <v/>
      </c>
      <c r="AA3043" s="168" t="str">
        <f t="array" ref="AA3043">iferror(index(J:J,match($A3043&amp;","&amp;index('Year Conversion'!$A:$A,match($C3043,'Year Conversion'!$B:$B,0)),$Y:$Y,0))-J3043,"")</f>
        <v/>
      </c>
      <c r="AB3043" s="168" t="str">
        <f t="array" ref="AB3043">iferror(index(K:K,match($A3043&amp;","&amp;index('Year Conversion'!$A:$A,match($C3043,'Year Conversion'!$B:$B,0)),$Y:$Y,0))-K3043,"")</f>
        <v/>
      </c>
      <c r="AC3043" s="168" t="str">
        <f t="shared" si="7"/>
        <v>TOT,2019-20</v>
      </c>
    </row>
    <row r="3044">
      <c r="A3044" s="161" t="str">
        <f>IFERROR(__xludf.DUMMYFUNCTION("""COMPUTED_VALUE"""),"rosede01")</f>
        <v>rosede01</v>
      </c>
      <c r="B3044" s="161" t="str">
        <f>IFERROR(__xludf.DUMMYFUNCTION("""COMPUTED_VALUE"""),"Derrick Rose")</f>
        <v>Derrick Rose</v>
      </c>
      <c r="C3044" s="162" t="str">
        <f>IFERROR(__xludf.DUMMYFUNCTION("""COMPUTED_VALUE"""),"2019-20")</f>
        <v>2019-20</v>
      </c>
      <c r="D3044" s="163" t="str">
        <f>IFERROR(__xludf.DUMMYFUNCTION("""COMPUTED_VALUE"""),"DET")</f>
        <v>DET</v>
      </c>
      <c r="E3044" s="164" t="str">
        <f>IFERROR(__xludf.DUMMYFUNCTION("""COMPUTED_VALUE"""),"Slasher")</f>
        <v>Slasher</v>
      </c>
      <c r="F3044" s="164">
        <f>IFERROR(__xludf.DUMMYFUNCTION("""COMPUTED_VALUE"""),1297.66)</f>
        <v>1297.66</v>
      </c>
      <c r="G3044" s="163">
        <f>IFERROR(__xludf.DUMMYFUNCTION("""COMPUTED_VALUE"""),50.0)</f>
        <v>50</v>
      </c>
      <c r="H3044" s="163" t="str">
        <f>IFERROR(__xludf.DUMMYFUNCTION("""COMPUTED_VALUE"""),"PG")</f>
        <v>PG</v>
      </c>
      <c r="I3044" s="163">
        <f>IFERROR(__xludf.DUMMYFUNCTION("""COMPUTED_VALUE"""),31.0)</f>
        <v>31</v>
      </c>
      <c r="J3044" s="165">
        <f>IFERROR(__xludf.DUMMYFUNCTION("""COMPUTED_VALUE"""),-0.190312547530043)</f>
        <v>-0.1903125475</v>
      </c>
      <c r="K3044" s="165">
        <f>IFERROR(__xludf.DUMMYFUNCTION("""COMPUTED_VALUE"""),1.68734464059822)</f>
        <v>1.687344641</v>
      </c>
      <c r="L3044" s="165">
        <f>IFERROR(__xludf.DUMMYFUNCTION("""COMPUTED_VALUE"""),-1.87765718812826)</f>
        <v>-1.877657188</v>
      </c>
      <c r="M3044" s="166">
        <f t="shared" si="2"/>
        <v>1.834068966</v>
      </c>
      <c r="N3044" s="167">
        <f t="shared" si="3"/>
        <v>25.9532</v>
      </c>
      <c r="O3044" s="163">
        <f t="shared" ref="O3044:Q3044" si="3048">rank(I3044,I:I)</f>
        <v>490</v>
      </c>
      <c r="P3044" s="163">
        <f t="shared" si="3048"/>
        <v>1497</v>
      </c>
      <c r="Q3044" s="163">
        <f t="shared" si="3048"/>
        <v>273</v>
      </c>
      <c r="R3044" s="163">
        <f>IFERROR(__xludf.DUMMYFUNCTION("RANK(M3044,filter(M:M,C:C=C3044))"),166.0)</f>
        <v>166</v>
      </c>
      <c r="S3044" s="161" t="b">
        <f t="shared" si="5"/>
        <v>0</v>
      </c>
      <c r="T3044" s="161" t="b">
        <f t="array" ref="T3044">index('Query Tool'!B:B,match(H3044,'Query Tool'!C:C,0))</f>
        <v>1</v>
      </c>
      <c r="U3044" s="161" t="b">
        <f t="array" ref="U3044">index('Query Tool'!B:B,match(C3044,'Query Tool'!C:C,0))</f>
        <v>0</v>
      </c>
      <c r="V3044" s="161" t="b">
        <f>F3044&gt;='Query Tool'!C$32</f>
        <v>1</v>
      </c>
      <c r="W3044" s="161" t="b">
        <f t="array" ref="W3044">index(Dropdowns!B:B,match(I3044,Dropdowns!A:A,0))</f>
        <v>1</v>
      </c>
      <c r="X3044" s="161" t="b">
        <f t="array" ref="X3044">index('Query Tool'!B:B,match(D3044,'Query Tool'!C:C,0))</f>
        <v>1</v>
      </c>
      <c r="Y3044" s="161" t="str">
        <f t="shared" si="6"/>
        <v>rosede01,2019-20</v>
      </c>
      <c r="Z3044" s="168" t="str">
        <f t="array" ref="Z3044">iferror(index(I:I,match($A3044&amp;","&amp;index('Year Conversion'!$A:$A,match($C3044,'Year Conversion'!$B:$B,0)),$Y:$Y,0))-I3044,"")</f>
        <v/>
      </c>
      <c r="AA3044" s="168" t="str">
        <f t="array" ref="AA3044">iferror(index(J:J,match($A3044&amp;","&amp;index('Year Conversion'!$A:$A,match($C3044,'Year Conversion'!$B:$B,0)),$Y:$Y,0))-J3044,"")</f>
        <v/>
      </c>
      <c r="AB3044" s="168" t="str">
        <f t="array" ref="AB3044">iferror(index(K:K,match($A3044&amp;","&amp;index('Year Conversion'!$A:$A,match($C3044,'Year Conversion'!$B:$B,0)),$Y:$Y,0))-K3044,"")</f>
        <v/>
      </c>
      <c r="AC3044" s="168" t="str">
        <f t="shared" si="7"/>
        <v>DET,2019-20</v>
      </c>
    </row>
    <row r="3045">
      <c r="A3045" s="161" t="str">
        <f>IFERROR(__xludf.DUMMYFUNCTION("""COMPUTED_VALUE"""),"westbru01")</f>
        <v>westbru01</v>
      </c>
      <c r="B3045" s="161" t="str">
        <f>IFERROR(__xludf.DUMMYFUNCTION("""COMPUTED_VALUE"""),"Russell Westbrook")</f>
        <v>Russell Westbrook</v>
      </c>
      <c r="C3045" s="162" t="str">
        <f>IFERROR(__xludf.DUMMYFUNCTION("""COMPUTED_VALUE"""),"2019-20")</f>
        <v>2019-20</v>
      </c>
      <c r="D3045" s="163" t="str">
        <f>IFERROR(__xludf.DUMMYFUNCTION("""COMPUTED_VALUE"""),"HOU")</f>
        <v>HOU</v>
      </c>
      <c r="E3045" s="164" t="str">
        <f>IFERROR(__xludf.DUMMYFUNCTION("""COMPUTED_VALUE"""),"Shot Creator")</f>
        <v>Shot Creator</v>
      </c>
      <c r="F3045" s="164">
        <f>IFERROR(__xludf.DUMMYFUNCTION("""COMPUTED_VALUE"""),2049.16833333333)</f>
        <v>2049.168333</v>
      </c>
      <c r="G3045" s="163">
        <f>IFERROR(__xludf.DUMMYFUNCTION("""COMPUTED_VALUE"""),57.0)</f>
        <v>57</v>
      </c>
      <c r="H3045" s="163" t="str">
        <f>IFERROR(__xludf.DUMMYFUNCTION("""COMPUTED_VALUE"""),"PG")</f>
        <v>PG</v>
      </c>
      <c r="I3045" s="163">
        <f>IFERROR(__xludf.DUMMYFUNCTION("""COMPUTED_VALUE"""),31.0)</f>
        <v>31</v>
      </c>
      <c r="J3045" s="165">
        <f>IFERROR(__xludf.DUMMYFUNCTION("""COMPUTED_VALUE"""),1.04053382744888)</f>
        <v>1.040533827</v>
      </c>
      <c r="K3045" s="165">
        <f>IFERROR(__xludf.DUMMYFUNCTION("""COMPUTED_VALUE"""),1.30872145709903)</f>
        <v>1.308721457</v>
      </c>
      <c r="L3045" s="165">
        <f>IFERROR(__xludf.DUMMYFUNCTION("""COMPUTED_VALUE"""),-0.268187629650153)</f>
        <v>-0.2681876297</v>
      </c>
      <c r="M3045" s="166">
        <f t="shared" si="2"/>
        <v>4.594503301</v>
      </c>
      <c r="N3045" s="167">
        <f t="shared" si="3"/>
        <v>35.95032164</v>
      </c>
      <c r="O3045" s="163">
        <f t="shared" ref="O3045:Q3045" si="3049">rank(I3045,I:I)</f>
        <v>490</v>
      </c>
      <c r="P3045" s="163">
        <f t="shared" si="3049"/>
        <v>643</v>
      </c>
      <c r="Q3045" s="163">
        <f t="shared" si="3049"/>
        <v>382</v>
      </c>
      <c r="R3045" s="163">
        <f>IFERROR(__xludf.DUMMYFUNCTION("RANK(M3045,filter(M:M,C:C=C3045))"),49.0)</f>
        <v>49</v>
      </c>
      <c r="S3045" s="161" t="b">
        <f t="shared" si="5"/>
        <v>0</v>
      </c>
      <c r="T3045" s="161" t="b">
        <f t="array" ref="T3045">index('Query Tool'!B:B,match(H3045,'Query Tool'!C:C,0))</f>
        <v>1</v>
      </c>
      <c r="U3045" s="161" t="b">
        <f t="array" ref="U3045">index('Query Tool'!B:B,match(C3045,'Query Tool'!C:C,0))</f>
        <v>0</v>
      </c>
      <c r="V3045" s="161" t="b">
        <f>F3045&gt;='Query Tool'!C$32</f>
        <v>1</v>
      </c>
      <c r="W3045" s="161" t="b">
        <f t="array" ref="W3045">index(Dropdowns!B:B,match(I3045,Dropdowns!A:A,0))</f>
        <v>1</v>
      </c>
      <c r="X3045" s="161" t="b">
        <f t="array" ref="X3045">index('Query Tool'!B:B,match(D3045,'Query Tool'!C:C,0))</f>
        <v>1</v>
      </c>
      <c r="Y3045" s="161" t="str">
        <f t="shared" si="6"/>
        <v>westbru01,2019-20</v>
      </c>
      <c r="Z3045" s="168" t="str">
        <f t="array" ref="Z3045">iferror(index(I:I,match($A3045&amp;","&amp;index('Year Conversion'!$A:$A,match($C3045,'Year Conversion'!$B:$B,0)),$Y:$Y,0))-I3045,"")</f>
        <v/>
      </c>
      <c r="AA3045" s="168" t="str">
        <f t="array" ref="AA3045">iferror(index(J:J,match($A3045&amp;","&amp;index('Year Conversion'!$A:$A,match($C3045,'Year Conversion'!$B:$B,0)),$Y:$Y,0))-J3045,"")</f>
        <v/>
      </c>
      <c r="AB3045" s="168" t="str">
        <f t="array" ref="AB3045">iferror(index(K:K,match($A3045&amp;","&amp;index('Year Conversion'!$A:$A,match($C3045,'Year Conversion'!$B:$B,0)),$Y:$Y,0))-K3045,"")</f>
        <v/>
      </c>
      <c r="AC3045" s="168" t="str">
        <f t="shared" si="7"/>
        <v>HOU,2019-20</v>
      </c>
    </row>
    <row r="3046">
      <c r="A3046" s="161" t="str">
        <f>IFERROR(__xludf.DUMMYFUNCTION("""COMPUTED_VALUE"""),"loveke01")</f>
        <v>loveke01</v>
      </c>
      <c r="B3046" s="161" t="str">
        <f>IFERROR(__xludf.DUMMYFUNCTION("""COMPUTED_VALUE"""),"Kevin Love")</f>
        <v>Kevin Love</v>
      </c>
      <c r="C3046" s="162" t="str">
        <f>IFERROR(__xludf.DUMMYFUNCTION("""COMPUTED_VALUE"""),"2019-20")</f>
        <v>2019-20</v>
      </c>
      <c r="D3046" s="163" t="str">
        <f>IFERROR(__xludf.DUMMYFUNCTION("""COMPUTED_VALUE"""),"CLE")</f>
        <v>CLE</v>
      </c>
      <c r="E3046" s="164" t="str">
        <f>IFERROR(__xludf.DUMMYFUNCTION("""COMPUTED_VALUE"""),"Versatile Big")</f>
        <v>Versatile Big</v>
      </c>
      <c r="F3046" s="164">
        <f>IFERROR(__xludf.DUMMYFUNCTION("""COMPUTED_VALUE"""),1779.87)</f>
        <v>1779.87</v>
      </c>
      <c r="G3046" s="163">
        <f>IFERROR(__xludf.DUMMYFUNCTION("""COMPUTED_VALUE"""),56.0)</f>
        <v>56</v>
      </c>
      <c r="H3046" s="163" t="str">
        <f>IFERROR(__xludf.DUMMYFUNCTION("""COMPUTED_VALUE"""),"PF")</f>
        <v>PF</v>
      </c>
      <c r="I3046" s="163">
        <f>IFERROR(__xludf.DUMMYFUNCTION("""COMPUTED_VALUE"""),31.0)</f>
        <v>31</v>
      </c>
      <c r="J3046" s="165">
        <f>IFERROR(__xludf.DUMMYFUNCTION("""COMPUTED_VALUE"""),0.67194995828732)</f>
        <v>0.6719499583</v>
      </c>
      <c r="K3046" s="165">
        <f>IFERROR(__xludf.DUMMYFUNCTION("""COMPUTED_VALUE"""),1.01418475444679)</f>
        <v>1.014184754</v>
      </c>
      <c r="L3046" s="165">
        <f>IFERROR(__xludf.DUMMYFUNCTION("""COMPUTED_VALUE"""),-0.342234796159469)</f>
        <v>-0.3422347962</v>
      </c>
      <c r="M3046" s="166">
        <f t="shared" si="2"/>
        <v>3.549780819</v>
      </c>
      <c r="N3046" s="167">
        <f t="shared" si="3"/>
        <v>31.78339286</v>
      </c>
      <c r="O3046" s="163">
        <f t="shared" ref="O3046:Q3046" si="3050">rank(I3046,I:I)</f>
        <v>490</v>
      </c>
      <c r="P3046" s="163">
        <f t="shared" si="3050"/>
        <v>812</v>
      </c>
      <c r="Q3046" s="163">
        <f t="shared" si="3050"/>
        <v>498</v>
      </c>
      <c r="R3046" s="163">
        <f>IFERROR(__xludf.DUMMYFUNCTION("RANK(M3046,filter(M:M,C:C=C3046))"),83.0)</f>
        <v>83</v>
      </c>
      <c r="S3046" s="161" t="b">
        <f t="shared" si="5"/>
        <v>0</v>
      </c>
      <c r="T3046" s="161" t="b">
        <f t="array" ref="T3046">index('Query Tool'!B:B,match(H3046,'Query Tool'!C:C,0))</f>
        <v>1</v>
      </c>
      <c r="U3046" s="161" t="b">
        <f t="array" ref="U3046">index('Query Tool'!B:B,match(C3046,'Query Tool'!C:C,0))</f>
        <v>0</v>
      </c>
      <c r="V3046" s="161" t="b">
        <f>F3046&gt;='Query Tool'!C$32</f>
        <v>1</v>
      </c>
      <c r="W3046" s="161" t="b">
        <f t="array" ref="W3046">index(Dropdowns!B:B,match(I3046,Dropdowns!A:A,0))</f>
        <v>1</v>
      </c>
      <c r="X3046" s="161" t="b">
        <f t="array" ref="X3046">index('Query Tool'!B:B,match(D3046,'Query Tool'!C:C,0))</f>
        <v>1</v>
      </c>
      <c r="Y3046" s="161" t="str">
        <f t="shared" si="6"/>
        <v>loveke01,2019-20</v>
      </c>
      <c r="Z3046" s="168" t="str">
        <f t="array" ref="Z3046">iferror(index(I:I,match($A3046&amp;","&amp;index('Year Conversion'!$A:$A,match($C3046,'Year Conversion'!$B:$B,0)),$Y:$Y,0))-I3046,"")</f>
        <v/>
      </c>
      <c r="AA3046" s="168" t="str">
        <f t="array" ref="AA3046">iferror(index(J:J,match($A3046&amp;","&amp;index('Year Conversion'!$A:$A,match($C3046,'Year Conversion'!$B:$B,0)),$Y:$Y,0))-J3046,"")</f>
        <v/>
      </c>
      <c r="AB3046" s="168" t="str">
        <f t="array" ref="AB3046">iferror(index(K:K,match($A3046&amp;","&amp;index('Year Conversion'!$A:$A,match($C3046,'Year Conversion'!$B:$B,0)),$Y:$Y,0))-K3046,"")</f>
        <v/>
      </c>
      <c r="AC3046" s="168" t="str">
        <f t="shared" si="7"/>
        <v>CLE,2019-20</v>
      </c>
    </row>
    <row r="3047">
      <c r="A3047" s="161" t="str">
        <f>IFERROR(__xludf.DUMMYFUNCTION("""COMPUTED_VALUE"""),"gallida01")</f>
        <v>gallida01</v>
      </c>
      <c r="B3047" s="161" t="str">
        <f>IFERROR(__xludf.DUMMYFUNCTION("""COMPUTED_VALUE"""),"Danilo Gallinari")</f>
        <v>Danilo Gallinari</v>
      </c>
      <c r="C3047" s="162" t="str">
        <f>IFERROR(__xludf.DUMMYFUNCTION("""COMPUTED_VALUE"""),"2019-20")</f>
        <v>2019-20</v>
      </c>
      <c r="D3047" s="163" t="str">
        <f>IFERROR(__xludf.DUMMYFUNCTION("""COMPUTED_VALUE"""),"OKC")</f>
        <v>OKC</v>
      </c>
      <c r="E3047" s="164" t="str">
        <f>IFERROR(__xludf.DUMMYFUNCTION("""COMPUTED_VALUE"""),"Shot Creator")</f>
        <v>Shot Creator</v>
      </c>
      <c r="F3047" s="164">
        <f>IFERROR(__xludf.DUMMYFUNCTION("""COMPUTED_VALUE"""),1833.92833333333)</f>
        <v>1833.928333</v>
      </c>
      <c r="G3047" s="163">
        <f>IFERROR(__xludf.DUMMYFUNCTION("""COMPUTED_VALUE"""),62.0)</f>
        <v>62</v>
      </c>
      <c r="H3047" s="163" t="str">
        <f>IFERROR(__xludf.DUMMYFUNCTION("""COMPUTED_VALUE"""),"PF")</f>
        <v>PF</v>
      </c>
      <c r="I3047" s="163">
        <f>IFERROR(__xludf.DUMMYFUNCTION("""COMPUTED_VALUE"""),31.0)</f>
        <v>31</v>
      </c>
      <c r="J3047" s="165">
        <f>IFERROR(__xludf.DUMMYFUNCTION("""COMPUTED_VALUE"""),1.30786875541969)</f>
        <v>1.307868755</v>
      </c>
      <c r="K3047" s="165">
        <f>IFERROR(__xludf.DUMMYFUNCTION("""COMPUTED_VALUE"""),2.71803654374527)</f>
        <v>2.718036544</v>
      </c>
      <c r="L3047" s="165">
        <f>IFERROR(__xludf.DUMMYFUNCTION("""COMPUTED_VALUE"""),-1.41016778832557)</f>
        <v>-1.410167788</v>
      </c>
      <c r="M3047" s="166">
        <f t="shared" si="2"/>
        <v>4.440544168</v>
      </c>
      <c r="N3047" s="167">
        <f t="shared" si="3"/>
        <v>29.57948925</v>
      </c>
      <c r="O3047" s="163">
        <f t="shared" ref="O3047:Q3047" si="3051">rank(I3047,I:I)</f>
        <v>490</v>
      </c>
      <c r="P3047" s="163">
        <f t="shared" si="3051"/>
        <v>520</v>
      </c>
      <c r="Q3047" s="163">
        <f t="shared" si="3051"/>
        <v>140</v>
      </c>
      <c r="R3047" s="163">
        <f>IFERROR(__xludf.DUMMYFUNCTION("RANK(M3047,filter(M:M,C:C=C3047))"),51.0)</f>
        <v>51</v>
      </c>
      <c r="S3047" s="161" t="b">
        <f t="shared" si="5"/>
        <v>0</v>
      </c>
      <c r="T3047" s="161" t="b">
        <f t="array" ref="T3047">index('Query Tool'!B:B,match(H3047,'Query Tool'!C:C,0))</f>
        <v>1</v>
      </c>
      <c r="U3047" s="161" t="b">
        <f t="array" ref="U3047">index('Query Tool'!B:B,match(C3047,'Query Tool'!C:C,0))</f>
        <v>0</v>
      </c>
      <c r="V3047" s="161" t="b">
        <f>F3047&gt;='Query Tool'!C$32</f>
        <v>1</v>
      </c>
      <c r="W3047" s="161" t="b">
        <f t="array" ref="W3047">index(Dropdowns!B:B,match(I3047,Dropdowns!A:A,0))</f>
        <v>1</v>
      </c>
      <c r="X3047" s="161" t="b">
        <f t="array" ref="X3047">index('Query Tool'!B:B,match(D3047,'Query Tool'!C:C,0))</f>
        <v>1</v>
      </c>
      <c r="Y3047" s="161" t="str">
        <f t="shared" si="6"/>
        <v>gallida01,2019-20</v>
      </c>
      <c r="Z3047" s="168" t="str">
        <f t="array" ref="Z3047">iferror(index(I:I,match($A3047&amp;","&amp;index('Year Conversion'!$A:$A,match($C3047,'Year Conversion'!$B:$B,0)),$Y:$Y,0))-I3047,"")</f>
        <v/>
      </c>
      <c r="AA3047" s="168" t="str">
        <f t="array" ref="AA3047">iferror(index(J:J,match($A3047&amp;","&amp;index('Year Conversion'!$A:$A,match($C3047,'Year Conversion'!$B:$B,0)),$Y:$Y,0))-J3047,"")</f>
        <v/>
      </c>
      <c r="AB3047" s="168" t="str">
        <f t="array" ref="AB3047">iferror(index(K:K,match($A3047&amp;","&amp;index('Year Conversion'!$A:$A,match($C3047,'Year Conversion'!$B:$B,0)),$Y:$Y,0))-K3047,"")</f>
        <v/>
      </c>
      <c r="AC3047" s="168" t="str">
        <f t="shared" si="7"/>
        <v>OKC,2019-20</v>
      </c>
    </row>
    <row r="3048">
      <c r="A3048" s="161" t="str">
        <f>IFERROR(__xludf.DUMMYFUNCTION("""COMPUTED_VALUE"""),"gordoer01")</f>
        <v>gordoer01</v>
      </c>
      <c r="B3048" s="161" t="str">
        <f>IFERROR(__xludf.DUMMYFUNCTION("""COMPUTED_VALUE"""),"Eric Gordon")</f>
        <v>Eric Gordon</v>
      </c>
      <c r="C3048" s="162" t="str">
        <f>IFERROR(__xludf.DUMMYFUNCTION("""COMPUTED_VALUE"""),"2019-20")</f>
        <v>2019-20</v>
      </c>
      <c r="D3048" s="163" t="str">
        <f>IFERROR(__xludf.DUMMYFUNCTION("""COMPUTED_VALUE"""),"HOU")</f>
        <v>HOU</v>
      </c>
      <c r="E3048" s="164" t="str">
        <f>IFERROR(__xludf.DUMMYFUNCTION("""COMPUTED_VALUE"""),"Stationary Shooter")</f>
        <v>Stationary Shooter</v>
      </c>
      <c r="F3048" s="164">
        <f>IFERROR(__xludf.DUMMYFUNCTION("""COMPUTED_VALUE"""),1016.205)</f>
        <v>1016.205</v>
      </c>
      <c r="G3048" s="163">
        <f>IFERROR(__xludf.DUMMYFUNCTION("""COMPUTED_VALUE"""),36.0)</f>
        <v>36</v>
      </c>
      <c r="H3048" s="163" t="str">
        <f>IFERROR(__xludf.DUMMYFUNCTION("""COMPUTED_VALUE"""),"SF")</f>
        <v>SF</v>
      </c>
      <c r="I3048" s="163">
        <f>IFERROR(__xludf.DUMMYFUNCTION("""COMPUTED_VALUE"""),31.0)</f>
        <v>31</v>
      </c>
      <c r="J3048" s="165">
        <f>IFERROR(__xludf.DUMMYFUNCTION("""COMPUTED_VALUE"""),-1.02261399513382)</f>
        <v>-1.022613995</v>
      </c>
      <c r="K3048" s="165">
        <f>IFERROR(__xludf.DUMMYFUNCTION("""COMPUTED_VALUE"""),1.19786343312844)</f>
        <v>1.197863433</v>
      </c>
      <c r="L3048" s="165">
        <f>IFERROR(__xludf.DUMMYFUNCTION("""COMPUTED_VALUE"""),-2.22047742826227)</f>
        <v>-2.220477428</v>
      </c>
      <c r="M3048" s="166">
        <f t="shared" si="2"/>
        <v>0.867057145</v>
      </c>
      <c r="N3048" s="167">
        <f t="shared" si="3"/>
        <v>28.22791667</v>
      </c>
      <c r="O3048" s="163">
        <f t="shared" ref="O3048:Q3048" si="3052">rank(I3048,I:I)</f>
        <v>490</v>
      </c>
      <c r="P3048" s="163">
        <f t="shared" si="3052"/>
        <v>2527</v>
      </c>
      <c r="Q3048" s="163">
        <f t="shared" si="3052"/>
        <v>418</v>
      </c>
      <c r="R3048" s="163">
        <f>IFERROR(__xludf.DUMMYFUNCTION("RANK(M3048,filter(M:M,C:C=C3048))"),218.0)</f>
        <v>218</v>
      </c>
      <c r="S3048" s="161" t="b">
        <f t="shared" si="5"/>
        <v>0</v>
      </c>
      <c r="T3048" s="161" t="b">
        <f t="array" ref="T3048">index('Query Tool'!B:B,match(H3048,'Query Tool'!C:C,0))</f>
        <v>1</v>
      </c>
      <c r="U3048" s="161" t="b">
        <f t="array" ref="U3048">index('Query Tool'!B:B,match(C3048,'Query Tool'!C:C,0))</f>
        <v>0</v>
      </c>
      <c r="V3048" s="161" t="b">
        <f>F3048&gt;='Query Tool'!C$32</f>
        <v>1</v>
      </c>
      <c r="W3048" s="161" t="b">
        <f t="array" ref="W3048">index(Dropdowns!B:B,match(I3048,Dropdowns!A:A,0))</f>
        <v>1</v>
      </c>
      <c r="X3048" s="161" t="b">
        <f t="array" ref="X3048">index('Query Tool'!B:B,match(D3048,'Query Tool'!C:C,0))</f>
        <v>1</v>
      </c>
      <c r="Y3048" s="161" t="str">
        <f t="shared" si="6"/>
        <v>gordoer01,2019-20</v>
      </c>
      <c r="Z3048" s="168" t="str">
        <f t="array" ref="Z3048">iferror(index(I:I,match($A3048&amp;","&amp;index('Year Conversion'!$A:$A,match($C3048,'Year Conversion'!$B:$B,0)),$Y:$Y,0))-I3048,"")</f>
        <v/>
      </c>
      <c r="AA3048" s="168" t="str">
        <f t="array" ref="AA3048">iferror(index(J:J,match($A3048&amp;","&amp;index('Year Conversion'!$A:$A,match($C3048,'Year Conversion'!$B:$B,0)),$Y:$Y,0))-J3048,"")</f>
        <v/>
      </c>
      <c r="AB3048" s="168" t="str">
        <f t="array" ref="AB3048">iferror(index(K:K,match($A3048&amp;","&amp;index('Year Conversion'!$A:$A,match($C3048,'Year Conversion'!$B:$B,0)),$Y:$Y,0))-K3048,"")</f>
        <v/>
      </c>
      <c r="AC3048" s="168" t="str">
        <f t="shared" si="7"/>
        <v>HOU,2019-20</v>
      </c>
    </row>
    <row r="3049">
      <c r="A3049" s="161" t="str">
        <f>IFERROR(__xludf.DUMMYFUNCTION("""COMPUTED_VALUE"""),"augusdj01")</f>
        <v>augusdj01</v>
      </c>
      <c r="B3049" s="161" t="str">
        <f>IFERROR(__xludf.DUMMYFUNCTION("""COMPUTED_VALUE"""),"D.J. Augustin")</f>
        <v>D.J. Augustin</v>
      </c>
      <c r="C3049" s="162" t="str">
        <f>IFERROR(__xludf.DUMMYFUNCTION("""COMPUTED_VALUE"""),"2019-20")</f>
        <v>2019-20</v>
      </c>
      <c r="D3049" s="163" t="str">
        <f>IFERROR(__xludf.DUMMYFUNCTION("""COMPUTED_VALUE"""),"ORL")</f>
        <v>ORL</v>
      </c>
      <c r="E3049" s="164" t="str">
        <f>IFERROR(__xludf.DUMMYFUNCTION("""COMPUTED_VALUE"""),"Primary Ball Handler")</f>
        <v>Primary Ball Handler</v>
      </c>
      <c r="F3049" s="164">
        <f>IFERROR(__xludf.DUMMYFUNCTION("""COMPUTED_VALUE"""),1420.415)</f>
        <v>1420.415</v>
      </c>
      <c r="G3049" s="163">
        <f>IFERROR(__xludf.DUMMYFUNCTION("""COMPUTED_VALUE"""),57.0)</f>
        <v>57</v>
      </c>
      <c r="H3049" s="163" t="str">
        <f>IFERROR(__xludf.DUMMYFUNCTION("""COMPUTED_VALUE"""),"PG")</f>
        <v>PG</v>
      </c>
      <c r="I3049" s="163">
        <f>IFERROR(__xludf.DUMMYFUNCTION("""COMPUTED_VALUE"""),32.0)</f>
        <v>32</v>
      </c>
      <c r="J3049" s="165">
        <f>IFERROR(__xludf.DUMMYFUNCTION("""COMPUTED_VALUE"""),-1.54867423699642)</f>
        <v>-1.548674237</v>
      </c>
      <c r="K3049" s="165">
        <f>IFERROR(__xludf.DUMMYFUNCTION("""COMPUTED_VALUE"""),-0.111809595904066)</f>
        <v>-0.1118095959</v>
      </c>
      <c r="L3049" s="165">
        <f>IFERROR(__xludf.DUMMYFUNCTION("""COMPUTED_VALUE"""),-1.43686464109236)</f>
        <v>-1.436864641</v>
      </c>
      <c r="M3049" s="166">
        <f t="shared" si="2"/>
        <v>0.7116722009</v>
      </c>
      <c r="N3049" s="167">
        <f t="shared" si="3"/>
        <v>24.9195614</v>
      </c>
      <c r="O3049" s="163">
        <f t="shared" ref="O3049:Q3049" si="3053">rank(I3049,I:I)</f>
        <v>359</v>
      </c>
      <c r="P3049" s="163">
        <f t="shared" si="3053"/>
        <v>3098</v>
      </c>
      <c r="Q3049" s="163">
        <f t="shared" si="3053"/>
        <v>1393</v>
      </c>
      <c r="R3049" s="163">
        <f>IFERROR(__xludf.DUMMYFUNCTION("RANK(M3049,filter(M:M,C:C=C3049))"),235.0)</f>
        <v>235</v>
      </c>
      <c r="S3049" s="161" t="b">
        <f t="shared" si="5"/>
        <v>0</v>
      </c>
      <c r="T3049" s="161" t="b">
        <f t="array" ref="T3049">index('Query Tool'!B:B,match(H3049,'Query Tool'!C:C,0))</f>
        <v>1</v>
      </c>
      <c r="U3049" s="161" t="b">
        <f t="array" ref="U3049">index('Query Tool'!B:B,match(C3049,'Query Tool'!C:C,0))</f>
        <v>0</v>
      </c>
      <c r="V3049" s="161" t="b">
        <f>F3049&gt;='Query Tool'!C$32</f>
        <v>1</v>
      </c>
      <c r="W3049" s="161" t="b">
        <f t="array" ref="W3049">index(Dropdowns!B:B,match(I3049,Dropdowns!A:A,0))</f>
        <v>1</v>
      </c>
      <c r="X3049" s="161" t="b">
        <f t="array" ref="X3049">index('Query Tool'!B:B,match(D3049,'Query Tool'!C:C,0))</f>
        <v>1</v>
      </c>
      <c r="Y3049" s="161" t="str">
        <f t="shared" si="6"/>
        <v>augusdj01,2019-20</v>
      </c>
      <c r="Z3049" s="168" t="str">
        <f t="array" ref="Z3049">iferror(index(I:I,match($A3049&amp;","&amp;index('Year Conversion'!$A:$A,match($C3049,'Year Conversion'!$B:$B,0)),$Y:$Y,0))-I3049,"")</f>
        <v/>
      </c>
      <c r="AA3049" s="168" t="str">
        <f t="array" ref="AA3049">iferror(index(J:J,match($A3049&amp;","&amp;index('Year Conversion'!$A:$A,match($C3049,'Year Conversion'!$B:$B,0)),$Y:$Y,0))-J3049,"")</f>
        <v/>
      </c>
      <c r="AB3049" s="168" t="str">
        <f t="array" ref="AB3049">iferror(index(K:K,match($A3049&amp;","&amp;index('Year Conversion'!$A:$A,match($C3049,'Year Conversion'!$B:$B,0)),$Y:$Y,0))-K3049,"")</f>
        <v/>
      </c>
      <c r="AC3049" s="168" t="str">
        <f t="shared" si="7"/>
        <v>ORL,2019-20</v>
      </c>
    </row>
    <row r="3050">
      <c r="A3050" s="161" t="str">
        <f>IFERROR(__xludf.DUMMYFUNCTION("""COMPUTED_VALUE"""),"lopezbr01")</f>
        <v>lopezbr01</v>
      </c>
      <c r="B3050" s="161" t="str">
        <f>IFERROR(__xludf.DUMMYFUNCTION("""COMPUTED_VALUE"""),"Brook Lopez")</f>
        <v>Brook Lopez</v>
      </c>
      <c r="C3050" s="162" t="str">
        <f>IFERROR(__xludf.DUMMYFUNCTION("""COMPUTED_VALUE"""),"2019-20")</f>
        <v>2019-20</v>
      </c>
      <c r="D3050" s="163" t="str">
        <f>IFERROR(__xludf.DUMMYFUNCTION("""COMPUTED_VALUE"""),"MIL")</f>
        <v>MIL</v>
      </c>
      <c r="E3050" s="164" t="str">
        <f>IFERROR(__xludf.DUMMYFUNCTION("""COMPUTED_VALUE"""),"Versatile Big")</f>
        <v>Versatile Big</v>
      </c>
      <c r="F3050" s="164">
        <f>IFERROR(__xludf.DUMMYFUNCTION("""COMPUTED_VALUE"""),1816.93666666667)</f>
        <v>1816.936667</v>
      </c>
      <c r="G3050" s="163">
        <f>IFERROR(__xludf.DUMMYFUNCTION("""COMPUTED_VALUE"""),68.0)</f>
        <v>68</v>
      </c>
      <c r="H3050" s="163" t="str">
        <f>IFERROR(__xludf.DUMMYFUNCTION("""COMPUTED_VALUE"""),"C")</f>
        <v>C</v>
      </c>
      <c r="I3050" s="163">
        <f>IFERROR(__xludf.DUMMYFUNCTION("""COMPUTED_VALUE"""),31.0)</f>
        <v>31</v>
      </c>
      <c r="J3050" s="165">
        <f>IFERROR(__xludf.DUMMYFUNCTION("""COMPUTED_VALUE"""),3.28452340457088)</f>
        <v>3.284523405</v>
      </c>
      <c r="K3050" s="165">
        <f>IFERROR(__xludf.DUMMYFUNCTION("""COMPUTED_VALUE"""),-0.354311653361807)</f>
        <v>-0.3543116534</v>
      </c>
      <c r="L3050" s="165">
        <f>IFERROR(__xludf.DUMMYFUNCTION("""COMPUTED_VALUE"""),3.63883505793269)</f>
        <v>3.638835058</v>
      </c>
      <c r="M3050" s="166">
        <f t="shared" si="2"/>
        <v>6.76528629</v>
      </c>
      <c r="N3050" s="167">
        <f t="shared" si="3"/>
        <v>26.71965686</v>
      </c>
      <c r="O3050" s="163">
        <f t="shared" ref="O3050:Q3050" si="3054">rank(I3050,I:I)</f>
        <v>490</v>
      </c>
      <c r="P3050" s="163">
        <f t="shared" si="3054"/>
        <v>147</v>
      </c>
      <c r="Q3050" s="163">
        <f t="shared" si="3054"/>
        <v>1864</v>
      </c>
      <c r="R3050" s="163">
        <f>IFERROR(__xludf.DUMMYFUNCTION("RANK(M3050,filter(M:M,C:C=C3050))"),20.0)</f>
        <v>20</v>
      </c>
      <c r="S3050" s="161" t="b">
        <f t="shared" si="5"/>
        <v>0</v>
      </c>
      <c r="T3050" s="161" t="b">
        <f t="array" ref="T3050">index('Query Tool'!B:B,match(H3050,'Query Tool'!C:C,0))</f>
        <v>1</v>
      </c>
      <c r="U3050" s="161" t="b">
        <f t="array" ref="U3050">index('Query Tool'!B:B,match(C3050,'Query Tool'!C:C,0))</f>
        <v>0</v>
      </c>
      <c r="V3050" s="161" t="b">
        <f>F3050&gt;='Query Tool'!C$32</f>
        <v>1</v>
      </c>
      <c r="W3050" s="161" t="b">
        <f t="array" ref="W3050">index(Dropdowns!B:B,match(I3050,Dropdowns!A:A,0))</f>
        <v>1</v>
      </c>
      <c r="X3050" s="161" t="b">
        <f t="array" ref="X3050">index('Query Tool'!B:B,match(D3050,'Query Tool'!C:C,0))</f>
        <v>1</v>
      </c>
      <c r="Y3050" s="161" t="str">
        <f t="shared" si="6"/>
        <v>lopezbr01,2019-20</v>
      </c>
      <c r="Z3050" s="168" t="str">
        <f t="array" ref="Z3050">iferror(index(I:I,match($A3050&amp;","&amp;index('Year Conversion'!$A:$A,match($C3050,'Year Conversion'!$B:$B,0)),$Y:$Y,0))-I3050,"")</f>
        <v/>
      </c>
      <c r="AA3050" s="168" t="str">
        <f t="array" ref="AA3050">iferror(index(J:J,match($A3050&amp;","&amp;index('Year Conversion'!$A:$A,match($C3050,'Year Conversion'!$B:$B,0)),$Y:$Y,0))-J3050,"")</f>
        <v/>
      </c>
      <c r="AB3050" s="168" t="str">
        <f t="array" ref="AB3050">iferror(index(K:K,match($A3050&amp;","&amp;index('Year Conversion'!$A:$A,match($C3050,'Year Conversion'!$B:$B,0)),$Y:$Y,0))-K3050,"")</f>
        <v/>
      </c>
      <c r="AC3050" s="168" t="str">
        <f t="shared" si="7"/>
        <v>MIL,2019-20</v>
      </c>
    </row>
    <row r="3051">
      <c r="A3051" s="161" t="str">
        <f>IFERROR(__xludf.DUMMYFUNCTION("""COMPUTED_VALUE"""),"lopezro01")</f>
        <v>lopezro01</v>
      </c>
      <c r="B3051" s="161" t="str">
        <f>IFERROR(__xludf.DUMMYFUNCTION("""COMPUTED_VALUE"""),"Robin Lopez")</f>
        <v>Robin Lopez</v>
      </c>
      <c r="C3051" s="162" t="str">
        <f>IFERROR(__xludf.DUMMYFUNCTION("""COMPUTED_VALUE"""),"2019-20")</f>
        <v>2019-20</v>
      </c>
      <c r="D3051" s="163" t="str">
        <f>IFERROR(__xludf.DUMMYFUNCTION("""COMPUTED_VALUE"""),"MIL")</f>
        <v>MIL</v>
      </c>
      <c r="E3051" s="164" t="str">
        <f>IFERROR(__xludf.DUMMYFUNCTION("""COMPUTED_VALUE"""),"Versatile Big")</f>
        <v>Versatile Big</v>
      </c>
      <c r="F3051" s="164">
        <f>IFERROR(__xludf.DUMMYFUNCTION("""COMPUTED_VALUE"""),958.108333333333)</f>
        <v>958.1083333</v>
      </c>
      <c r="G3051" s="163">
        <f>IFERROR(__xludf.DUMMYFUNCTION("""COMPUTED_VALUE"""),66.0)</f>
        <v>66</v>
      </c>
      <c r="H3051" s="163" t="str">
        <f>IFERROR(__xludf.DUMMYFUNCTION("""COMPUTED_VALUE"""),"C")</f>
        <v>C</v>
      </c>
      <c r="I3051" s="163">
        <f>IFERROR(__xludf.DUMMYFUNCTION("""COMPUTED_VALUE"""),31.0)</f>
        <v>31</v>
      </c>
      <c r="J3051" s="165">
        <f>IFERROR(__xludf.DUMMYFUNCTION("""COMPUTED_VALUE"""),-1.90470111081621)</f>
        <v>-1.904701111</v>
      </c>
      <c r="K3051" s="165">
        <f>IFERROR(__xludf.DUMMYFUNCTION("""COMPUTED_VALUE"""),-2.41836466995303)</f>
        <v>-2.41836467</v>
      </c>
      <c r="L3051" s="165">
        <f>IFERROR(__xludf.DUMMYFUNCTION("""COMPUTED_VALUE"""),0.51366355913682)</f>
        <v>0.5136635591</v>
      </c>
      <c r="M3051" s="166">
        <f t="shared" si="2"/>
        <v>0.2529113837</v>
      </c>
      <c r="N3051" s="167">
        <f t="shared" si="3"/>
        <v>14.51679293</v>
      </c>
      <c r="O3051" s="163">
        <f t="shared" ref="O3051:Q3051" si="3055">rank(I3051,I:I)</f>
        <v>490</v>
      </c>
      <c r="P3051" s="163">
        <f t="shared" si="3055"/>
        <v>3419</v>
      </c>
      <c r="Q3051" s="163">
        <f t="shared" si="3055"/>
        <v>3871</v>
      </c>
      <c r="R3051" s="163">
        <f>IFERROR(__xludf.DUMMYFUNCTION("RANK(M3051,filter(M:M,C:C=C3051))"),320.0)</f>
        <v>320</v>
      </c>
      <c r="S3051" s="161" t="b">
        <f t="shared" si="5"/>
        <v>0</v>
      </c>
      <c r="T3051" s="161" t="b">
        <f t="array" ref="T3051">index('Query Tool'!B:B,match(H3051,'Query Tool'!C:C,0))</f>
        <v>1</v>
      </c>
      <c r="U3051" s="161" t="b">
        <f t="array" ref="U3051">index('Query Tool'!B:B,match(C3051,'Query Tool'!C:C,0))</f>
        <v>0</v>
      </c>
      <c r="V3051" s="161" t="b">
        <f>F3051&gt;='Query Tool'!C$32</f>
        <v>1</v>
      </c>
      <c r="W3051" s="161" t="b">
        <f t="array" ref="W3051">index(Dropdowns!B:B,match(I3051,Dropdowns!A:A,0))</f>
        <v>1</v>
      </c>
      <c r="X3051" s="161" t="b">
        <f t="array" ref="X3051">index('Query Tool'!B:B,match(D3051,'Query Tool'!C:C,0))</f>
        <v>1</v>
      </c>
      <c r="Y3051" s="161" t="str">
        <f t="shared" si="6"/>
        <v>lopezro01,2019-20</v>
      </c>
      <c r="Z3051" s="168" t="str">
        <f t="array" ref="Z3051">iferror(index(I:I,match($A3051&amp;","&amp;index('Year Conversion'!$A:$A,match($C3051,'Year Conversion'!$B:$B,0)),$Y:$Y,0))-I3051,"")</f>
        <v/>
      </c>
      <c r="AA3051" s="168" t="str">
        <f t="array" ref="AA3051">iferror(index(J:J,match($A3051&amp;","&amp;index('Year Conversion'!$A:$A,match($C3051,'Year Conversion'!$B:$B,0)),$Y:$Y,0))-J3051,"")</f>
        <v/>
      </c>
      <c r="AB3051" s="168" t="str">
        <f t="array" ref="AB3051">iferror(index(K:K,match($A3051&amp;","&amp;index('Year Conversion'!$A:$A,match($C3051,'Year Conversion'!$B:$B,0)),$Y:$Y,0))-K3051,"")</f>
        <v/>
      </c>
      <c r="AC3051" s="168" t="str">
        <f t="shared" si="7"/>
        <v>MIL,2019-20</v>
      </c>
    </row>
    <row r="3052">
      <c r="A3052" s="161" t="str">
        <f>IFERROR(__xludf.DUMMYFUNCTION("""COMPUTED_VALUE"""),"mcgeeja01")</f>
        <v>mcgeeja01</v>
      </c>
      <c r="B3052" s="161" t="str">
        <f>IFERROR(__xludf.DUMMYFUNCTION("""COMPUTED_VALUE"""),"JaVale McGee")</f>
        <v>JaVale McGee</v>
      </c>
      <c r="C3052" s="162" t="str">
        <f>IFERROR(__xludf.DUMMYFUNCTION("""COMPUTED_VALUE"""),"2019-20")</f>
        <v>2019-20</v>
      </c>
      <c r="D3052" s="163" t="str">
        <f>IFERROR(__xludf.DUMMYFUNCTION("""COMPUTED_VALUE"""),"LAL")</f>
        <v>LAL</v>
      </c>
      <c r="E3052" s="164" t="str">
        <f>IFERROR(__xludf.DUMMYFUNCTION("""COMPUTED_VALUE"""),"Roll + Cut Big")</f>
        <v>Roll + Cut Big</v>
      </c>
      <c r="F3052" s="164">
        <f>IFERROR(__xludf.DUMMYFUNCTION("""COMPUTED_VALUE"""),1130.09166666667)</f>
        <v>1130.091667</v>
      </c>
      <c r="G3052" s="163">
        <f>IFERROR(__xludf.DUMMYFUNCTION("""COMPUTED_VALUE"""),68.0)</f>
        <v>68</v>
      </c>
      <c r="H3052" s="163" t="str">
        <f>IFERROR(__xludf.DUMMYFUNCTION("""COMPUTED_VALUE"""),"C")</f>
        <v>C</v>
      </c>
      <c r="I3052" s="163">
        <f>IFERROR(__xludf.DUMMYFUNCTION("""COMPUTED_VALUE"""),32.0)</f>
        <v>32</v>
      </c>
      <c r="J3052" s="165">
        <f>IFERROR(__xludf.DUMMYFUNCTION("""COMPUTED_VALUE"""),1.84339032073178)</f>
        <v>1.843390321</v>
      </c>
      <c r="K3052" s="165">
        <f>IFERROR(__xludf.DUMMYFUNCTION("""COMPUTED_VALUE"""),-1.24289964455109)</f>
        <v>-1.242899645</v>
      </c>
      <c r="L3052" s="165">
        <f>IFERROR(__xludf.DUMMYFUNCTION("""COMPUTED_VALUE"""),3.08628996528287)</f>
        <v>3.086289965</v>
      </c>
      <c r="M3052" s="166">
        <f t="shared" si="2"/>
        <v>3.140104271</v>
      </c>
      <c r="N3052" s="167">
        <f t="shared" si="3"/>
        <v>16.6189951</v>
      </c>
      <c r="O3052" s="163">
        <f t="shared" ref="O3052:Q3052" si="3056">rank(I3052,I:I)</f>
        <v>359</v>
      </c>
      <c r="P3052" s="163">
        <f t="shared" si="3056"/>
        <v>362</v>
      </c>
      <c r="Q3052" s="163">
        <f t="shared" si="3056"/>
        <v>3078</v>
      </c>
      <c r="R3052" s="163">
        <f>IFERROR(__xludf.DUMMYFUNCTION("RANK(M3052,filter(M:M,C:C=C3052))"),100.0)</f>
        <v>100</v>
      </c>
      <c r="S3052" s="161" t="b">
        <f t="shared" si="5"/>
        <v>0</v>
      </c>
      <c r="T3052" s="161" t="b">
        <f t="array" ref="T3052">index('Query Tool'!B:B,match(H3052,'Query Tool'!C:C,0))</f>
        <v>1</v>
      </c>
      <c r="U3052" s="161" t="b">
        <f t="array" ref="U3052">index('Query Tool'!B:B,match(C3052,'Query Tool'!C:C,0))</f>
        <v>0</v>
      </c>
      <c r="V3052" s="161" t="b">
        <f>F3052&gt;='Query Tool'!C$32</f>
        <v>1</v>
      </c>
      <c r="W3052" s="161" t="b">
        <f t="array" ref="W3052">index(Dropdowns!B:B,match(I3052,Dropdowns!A:A,0))</f>
        <v>1</v>
      </c>
      <c r="X3052" s="161" t="b">
        <f t="array" ref="X3052">index('Query Tool'!B:B,match(D3052,'Query Tool'!C:C,0))</f>
        <v>1</v>
      </c>
      <c r="Y3052" s="161" t="str">
        <f t="shared" si="6"/>
        <v>mcgeeja01,2019-20</v>
      </c>
      <c r="Z3052" s="168" t="str">
        <f t="array" ref="Z3052">iferror(index(I:I,match($A3052&amp;","&amp;index('Year Conversion'!$A:$A,match($C3052,'Year Conversion'!$B:$B,0)),$Y:$Y,0))-I3052,"")</f>
        <v/>
      </c>
      <c r="AA3052" s="168" t="str">
        <f t="array" ref="AA3052">iferror(index(J:J,match($A3052&amp;","&amp;index('Year Conversion'!$A:$A,match($C3052,'Year Conversion'!$B:$B,0)),$Y:$Y,0))-J3052,"")</f>
        <v/>
      </c>
      <c r="AB3052" s="168" t="str">
        <f t="array" ref="AB3052">iferror(index(K:K,match($A3052&amp;","&amp;index('Year Conversion'!$A:$A,match($C3052,'Year Conversion'!$B:$B,0)),$Y:$Y,0))-K3052,"")</f>
        <v/>
      </c>
      <c r="AC3052" s="168" t="str">
        <f t="shared" si="7"/>
        <v>LAL,2019-20</v>
      </c>
    </row>
    <row r="3053">
      <c r="A3053" s="161" t="str">
        <f>IFERROR(__xludf.DUMMYFUNCTION("""COMPUTED_VALUE"""),"anderry01")</f>
        <v>anderry01</v>
      </c>
      <c r="B3053" s="161" t="str">
        <f>IFERROR(__xludf.DUMMYFUNCTION("""COMPUTED_VALUE"""),"Ryan Anderson")</f>
        <v>Ryan Anderson</v>
      </c>
      <c r="C3053" s="162" t="str">
        <f>IFERROR(__xludf.DUMMYFUNCTION("""COMPUTED_VALUE"""),"2019-20")</f>
        <v>2019-20</v>
      </c>
      <c r="D3053" s="163" t="str">
        <f>IFERROR(__xludf.DUMMYFUNCTION("""COMPUTED_VALUE"""),"HOU")</f>
        <v>HOU</v>
      </c>
      <c r="E3053" s="164" t="str">
        <f>IFERROR(__xludf.DUMMYFUNCTION("""COMPUTED_VALUE"""),"Stationary Shooter")</f>
        <v>Stationary Shooter</v>
      </c>
      <c r="F3053" s="164">
        <f>IFERROR(__xludf.DUMMYFUNCTION("""COMPUTED_VALUE"""),13.9666666666667)</f>
        <v>13.96666667</v>
      </c>
      <c r="G3053" s="163">
        <f>IFERROR(__xludf.DUMMYFUNCTION("""COMPUTED_VALUE"""),2.0)</f>
        <v>2</v>
      </c>
      <c r="H3053" s="163" t="str">
        <f>IFERROR(__xludf.DUMMYFUNCTION("""COMPUTED_VALUE"""),"C")</f>
        <v>C</v>
      </c>
      <c r="I3053" s="163">
        <f>IFERROR(__xludf.DUMMYFUNCTION("""COMPUTED_VALUE"""),31.0)</f>
        <v>31</v>
      </c>
      <c r="J3053" s="165">
        <f>IFERROR(__xludf.DUMMYFUNCTION("""COMPUTED_VALUE"""),-0.609001606178654)</f>
        <v>-0.6090016062</v>
      </c>
      <c r="K3053" s="165">
        <f>IFERROR(__xludf.DUMMYFUNCTION("""COMPUTED_VALUE"""),-0.0797474535248639)</f>
        <v>-0.07974745352</v>
      </c>
      <c r="L3053" s="165">
        <f>IFERROR(__xludf.DUMMYFUNCTION("""COMPUTED_VALUE"""),-0.52925415265379)</f>
        <v>-0.5292541527</v>
      </c>
      <c r="M3053" s="166">
        <f t="shared" si="2"/>
        <v>0.01580042572</v>
      </c>
      <c r="N3053" s="167">
        <f t="shared" si="3"/>
        <v>6.983333333</v>
      </c>
      <c r="O3053" s="163">
        <f t="shared" ref="O3053:Q3053" si="3057">rank(I3053,I:I)</f>
        <v>490</v>
      </c>
      <c r="P3053" s="163">
        <f t="shared" si="3057"/>
        <v>2010</v>
      </c>
      <c r="Q3053" s="163">
        <f t="shared" si="3057"/>
        <v>1323</v>
      </c>
      <c r="R3053" s="163">
        <f>IFERROR(__xludf.DUMMYFUNCTION("RANK(M3053,filter(M:M,C:C=C3053))"),466.0)</f>
        <v>466</v>
      </c>
      <c r="S3053" s="161" t="b">
        <f t="shared" si="5"/>
        <v>0</v>
      </c>
      <c r="T3053" s="161" t="b">
        <f t="array" ref="T3053">index('Query Tool'!B:B,match(H3053,'Query Tool'!C:C,0))</f>
        <v>1</v>
      </c>
      <c r="U3053" s="161" t="b">
        <f t="array" ref="U3053">index('Query Tool'!B:B,match(C3053,'Query Tool'!C:C,0))</f>
        <v>0</v>
      </c>
      <c r="V3053" s="161" t="b">
        <f>F3053&gt;='Query Tool'!C$32</f>
        <v>0</v>
      </c>
      <c r="W3053" s="161" t="b">
        <f t="array" ref="W3053">index(Dropdowns!B:B,match(I3053,Dropdowns!A:A,0))</f>
        <v>1</v>
      </c>
      <c r="X3053" s="161" t="b">
        <f t="array" ref="X3053">index('Query Tool'!B:B,match(D3053,'Query Tool'!C:C,0))</f>
        <v>1</v>
      </c>
      <c r="Y3053" s="161" t="str">
        <f t="shared" si="6"/>
        <v>anderry01,2019-20</v>
      </c>
      <c r="Z3053" s="168" t="str">
        <f t="array" ref="Z3053">iferror(index(I:I,match($A3053&amp;","&amp;index('Year Conversion'!$A:$A,match($C3053,'Year Conversion'!$B:$B,0)),$Y:$Y,0))-I3053,"")</f>
        <v/>
      </c>
      <c r="AA3053" s="168" t="str">
        <f t="array" ref="AA3053">iferror(index(J:J,match($A3053&amp;","&amp;index('Year Conversion'!$A:$A,match($C3053,'Year Conversion'!$B:$B,0)),$Y:$Y,0))-J3053,"")</f>
        <v/>
      </c>
      <c r="AB3053" s="168" t="str">
        <f t="array" ref="AB3053">iferror(index(K:K,match($A3053&amp;","&amp;index('Year Conversion'!$A:$A,match($C3053,'Year Conversion'!$B:$B,0)),$Y:$Y,0))-K3053,"")</f>
        <v/>
      </c>
      <c r="AC3053" s="168" t="str">
        <f t="shared" si="7"/>
        <v>HOU,2019-20</v>
      </c>
    </row>
    <row r="3054">
      <c r="A3054" s="161" t="str">
        <f>IFERROR(__xludf.DUMMYFUNCTION("""COMPUTED_VALUE"""),"leeco01")</f>
        <v>leeco01</v>
      </c>
      <c r="B3054" s="161" t="str">
        <f>IFERROR(__xludf.DUMMYFUNCTION("""COMPUTED_VALUE"""),"Courtney Lee")</f>
        <v>Courtney Lee</v>
      </c>
      <c r="C3054" s="162" t="str">
        <f>IFERROR(__xludf.DUMMYFUNCTION("""COMPUTED_VALUE"""),"2019-20")</f>
        <v>2019-20</v>
      </c>
      <c r="D3054" s="163" t="str">
        <f>IFERROR(__xludf.DUMMYFUNCTION("""COMPUTED_VALUE"""),"DAL")</f>
        <v>DAL</v>
      </c>
      <c r="E3054" s="164" t="str">
        <f>IFERROR(__xludf.DUMMYFUNCTION("""COMPUTED_VALUE"""),"Movement Shooter")</f>
        <v>Movement Shooter</v>
      </c>
      <c r="F3054" s="164">
        <f>IFERROR(__xludf.DUMMYFUNCTION("""COMPUTED_VALUE"""),345.488333333333)</f>
        <v>345.4883333</v>
      </c>
      <c r="G3054" s="163">
        <f>IFERROR(__xludf.DUMMYFUNCTION("""COMPUTED_VALUE"""),24.0)</f>
        <v>24</v>
      </c>
      <c r="H3054" s="163" t="str">
        <f>IFERROR(__xludf.DUMMYFUNCTION("""COMPUTED_VALUE"""),"SG")</f>
        <v>SG</v>
      </c>
      <c r="I3054" s="163">
        <f>IFERROR(__xludf.DUMMYFUNCTION("""COMPUTED_VALUE"""),34.0)</f>
        <v>34</v>
      </c>
      <c r="J3054" s="165">
        <f>IFERROR(__xludf.DUMMYFUNCTION("""COMPUTED_VALUE"""),-2.00188625495658)</f>
        <v>-2.001886255</v>
      </c>
      <c r="K3054" s="165">
        <f>IFERROR(__xludf.DUMMYFUNCTION("""COMPUTED_VALUE"""),-1.636943124553)</f>
        <v>-1.636943125</v>
      </c>
      <c r="L3054" s="165">
        <f>IFERROR(__xludf.DUMMYFUNCTION("""COMPUTED_VALUE"""),-0.364943130403584)</f>
        <v>-0.3649431304</v>
      </c>
      <c r="M3054" s="166">
        <f t="shared" si="2"/>
        <v>0.06891780012</v>
      </c>
      <c r="N3054" s="167">
        <f t="shared" si="3"/>
        <v>14.39534722</v>
      </c>
      <c r="O3054" s="163">
        <f t="shared" ref="O3054:Q3054" si="3058">rank(I3054,I:I)</f>
        <v>164</v>
      </c>
      <c r="P3054" s="163">
        <f t="shared" si="3058"/>
        <v>3480</v>
      </c>
      <c r="Q3054" s="163">
        <f t="shared" si="3058"/>
        <v>3474</v>
      </c>
      <c r="R3054" s="163">
        <f>IFERROR(__xludf.DUMMYFUNCTION("RANK(M3054,filter(M:M,C:C=C3054))"),412.0)</f>
        <v>412</v>
      </c>
      <c r="S3054" s="161" t="b">
        <f t="shared" si="5"/>
        <v>0</v>
      </c>
      <c r="T3054" s="161" t="b">
        <f t="array" ref="T3054">index('Query Tool'!B:B,match(H3054,'Query Tool'!C:C,0))</f>
        <v>1</v>
      </c>
      <c r="U3054" s="161" t="b">
        <f t="array" ref="U3054">index('Query Tool'!B:B,match(C3054,'Query Tool'!C:C,0))</f>
        <v>0</v>
      </c>
      <c r="V3054" s="161" t="b">
        <f>F3054&gt;='Query Tool'!C$32</f>
        <v>0</v>
      </c>
      <c r="W3054" s="161" t="b">
        <f t="array" ref="W3054">index(Dropdowns!B:B,match(I3054,Dropdowns!A:A,0))</f>
        <v>1</v>
      </c>
      <c r="X3054" s="161" t="b">
        <f t="array" ref="X3054">index('Query Tool'!B:B,match(D3054,'Query Tool'!C:C,0))</f>
        <v>1</v>
      </c>
      <c r="Y3054" s="161" t="str">
        <f t="shared" si="6"/>
        <v>leeco01,2019-20</v>
      </c>
      <c r="Z3054" s="168" t="str">
        <f t="array" ref="Z3054">iferror(index(I:I,match($A3054&amp;","&amp;index('Year Conversion'!$A:$A,match($C3054,'Year Conversion'!$B:$B,0)),$Y:$Y,0))-I3054,"")</f>
        <v/>
      </c>
      <c r="AA3054" s="168" t="str">
        <f t="array" ref="AA3054">iferror(index(J:J,match($A3054&amp;","&amp;index('Year Conversion'!$A:$A,match($C3054,'Year Conversion'!$B:$B,0)),$Y:$Y,0))-J3054,"")</f>
        <v/>
      </c>
      <c r="AB3054" s="168" t="str">
        <f t="array" ref="AB3054">iferror(index(K:K,match($A3054&amp;","&amp;index('Year Conversion'!$A:$A,match($C3054,'Year Conversion'!$B:$B,0)),$Y:$Y,0))-K3054,"")</f>
        <v/>
      </c>
      <c r="AC3054" s="168" t="str">
        <f t="shared" si="7"/>
        <v>DAL,2019-20</v>
      </c>
    </row>
    <row r="3055">
      <c r="A3055" s="161" t="str">
        <f>IFERROR(__xludf.DUMMYFUNCTION("""COMPUTED_VALUE"""),"ibakase01")</f>
        <v>ibakase01</v>
      </c>
      <c r="B3055" s="161" t="str">
        <f>IFERROR(__xludf.DUMMYFUNCTION("""COMPUTED_VALUE"""),"Serge Ibaka")</f>
        <v>Serge Ibaka</v>
      </c>
      <c r="C3055" s="162" t="str">
        <f>IFERROR(__xludf.DUMMYFUNCTION("""COMPUTED_VALUE"""),"2019-20")</f>
        <v>2019-20</v>
      </c>
      <c r="D3055" s="163" t="str">
        <f>IFERROR(__xludf.DUMMYFUNCTION("""COMPUTED_VALUE"""),"TOR")</f>
        <v>TOR</v>
      </c>
      <c r="E3055" s="164" t="str">
        <f>IFERROR(__xludf.DUMMYFUNCTION("""COMPUTED_VALUE"""),"Stretch Big")</f>
        <v>Stretch Big</v>
      </c>
      <c r="F3055" s="164">
        <f>IFERROR(__xludf.DUMMYFUNCTION("""COMPUTED_VALUE"""),1484.62666666667)</f>
        <v>1484.626667</v>
      </c>
      <c r="G3055" s="163">
        <f>IFERROR(__xludf.DUMMYFUNCTION("""COMPUTED_VALUE"""),55.0)</f>
        <v>55</v>
      </c>
      <c r="H3055" s="163" t="str">
        <f>IFERROR(__xludf.DUMMYFUNCTION("""COMPUTED_VALUE"""),"C")</f>
        <v>C</v>
      </c>
      <c r="I3055" s="163">
        <f>IFERROR(__xludf.DUMMYFUNCTION("""COMPUTED_VALUE"""),30.0)</f>
        <v>30</v>
      </c>
      <c r="J3055" s="165">
        <f>IFERROR(__xludf.DUMMYFUNCTION("""COMPUTED_VALUE"""),-0.114130291746493)</f>
        <v>-0.1141302917</v>
      </c>
      <c r="K3055" s="165">
        <f>IFERROR(__xludf.DUMMYFUNCTION("""COMPUTED_VALUE"""),-0.237959004794014)</f>
        <v>-0.2379590048</v>
      </c>
      <c r="L3055" s="165">
        <f>IFERROR(__xludf.DUMMYFUNCTION("""COMPUTED_VALUE"""),0.123828713047521)</f>
        <v>0.123828713</v>
      </c>
      <c r="M3055" s="166">
        <f t="shared" si="2"/>
        <v>2.1745662</v>
      </c>
      <c r="N3055" s="167">
        <f t="shared" si="3"/>
        <v>26.99321212</v>
      </c>
      <c r="O3055" s="163">
        <f t="shared" ref="O3055:Q3055" si="3059">rank(I3055,I:I)</f>
        <v>655</v>
      </c>
      <c r="P3055" s="163">
        <f t="shared" si="3059"/>
        <v>1398</v>
      </c>
      <c r="Q3055" s="163">
        <f t="shared" si="3059"/>
        <v>1640</v>
      </c>
      <c r="R3055" s="163">
        <f>IFERROR(__xludf.DUMMYFUNCTION("RANK(M3055,filter(M:M,C:C=C3055))"),144.0)</f>
        <v>144</v>
      </c>
      <c r="S3055" s="161" t="b">
        <f t="shared" si="5"/>
        <v>0</v>
      </c>
      <c r="T3055" s="161" t="b">
        <f t="array" ref="T3055">index('Query Tool'!B:B,match(H3055,'Query Tool'!C:C,0))</f>
        <v>1</v>
      </c>
      <c r="U3055" s="161" t="b">
        <f t="array" ref="U3055">index('Query Tool'!B:B,match(C3055,'Query Tool'!C:C,0))</f>
        <v>0</v>
      </c>
      <c r="V3055" s="161" t="b">
        <f>F3055&gt;='Query Tool'!C$32</f>
        <v>1</v>
      </c>
      <c r="W3055" s="161" t="b">
        <f t="array" ref="W3055">index(Dropdowns!B:B,match(I3055,Dropdowns!A:A,0))</f>
        <v>1</v>
      </c>
      <c r="X3055" s="161" t="b">
        <f t="array" ref="X3055">index('Query Tool'!B:B,match(D3055,'Query Tool'!C:C,0))</f>
        <v>1</v>
      </c>
      <c r="Y3055" s="161" t="str">
        <f t="shared" si="6"/>
        <v>ibakase01,2019-20</v>
      </c>
      <c r="Z3055" s="168" t="str">
        <f t="array" ref="Z3055">iferror(index(I:I,match($A3055&amp;","&amp;index('Year Conversion'!$A:$A,match($C3055,'Year Conversion'!$B:$B,0)),$Y:$Y,0))-I3055,"")</f>
        <v/>
      </c>
      <c r="AA3055" s="168" t="str">
        <f t="array" ref="AA3055">iferror(index(J:J,match($A3055&amp;","&amp;index('Year Conversion'!$A:$A,match($C3055,'Year Conversion'!$B:$B,0)),$Y:$Y,0))-J3055,"")</f>
        <v/>
      </c>
      <c r="AB3055" s="168" t="str">
        <f t="array" ref="AB3055">iferror(index(K:K,match($A3055&amp;","&amp;index('Year Conversion'!$A:$A,match($C3055,'Year Conversion'!$B:$B,0)),$Y:$Y,0))-K3055,"")</f>
        <v/>
      </c>
      <c r="AC3055" s="168" t="str">
        <f t="shared" si="7"/>
        <v>TOR,2019-20</v>
      </c>
    </row>
    <row r="3056">
      <c r="A3056" s="161" t="str">
        <f>IFERROR(__xludf.DUMMYFUNCTION("""COMPUTED_VALUE"""),"batumni01")</f>
        <v>batumni01</v>
      </c>
      <c r="B3056" s="161" t="str">
        <f>IFERROR(__xludf.DUMMYFUNCTION("""COMPUTED_VALUE"""),"Nicolas Batum")</f>
        <v>Nicolas Batum</v>
      </c>
      <c r="C3056" s="162" t="str">
        <f>IFERROR(__xludf.DUMMYFUNCTION("""COMPUTED_VALUE"""),"2019-20")</f>
        <v>2019-20</v>
      </c>
      <c r="D3056" s="163" t="str">
        <f>IFERROR(__xludf.DUMMYFUNCTION("""COMPUTED_VALUE"""),"CHO")</f>
        <v>CHO</v>
      </c>
      <c r="E3056" s="164" t="str">
        <f>IFERROR(__xludf.DUMMYFUNCTION("""COMPUTED_VALUE"""),"Movement Shooter")</f>
        <v>Movement Shooter</v>
      </c>
      <c r="F3056" s="164">
        <f>IFERROR(__xludf.DUMMYFUNCTION("""COMPUTED_VALUE"""),504.981666666667)</f>
        <v>504.9816667</v>
      </c>
      <c r="G3056" s="163">
        <f>IFERROR(__xludf.DUMMYFUNCTION("""COMPUTED_VALUE"""),22.0)</f>
        <v>22</v>
      </c>
      <c r="H3056" s="163" t="str">
        <f>IFERROR(__xludf.DUMMYFUNCTION("""COMPUTED_VALUE"""),"SF")</f>
        <v>SF</v>
      </c>
      <c r="I3056" s="163">
        <f>IFERROR(__xludf.DUMMYFUNCTION("""COMPUTED_VALUE"""),31.0)</f>
        <v>31</v>
      </c>
      <c r="J3056" s="165">
        <f>IFERROR(__xludf.DUMMYFUNCTION("""COMPUTED_VALUE"""),-0.55324359905875)</f>
        <v>-0.5532435991</v>
      </c>
      <c r="K3056" s="165">
        <f>IFERROR(__xludf.DUMMYFUNCTION("""COMPUTED_VALUE"""),-1.31364777109929)</f>
        <v>-1.313647771</v>
      </c>
      <c r="L3056" s="165">
        <f>IFERROR(__xludf.DUMMYFUNCTION("""COMPUTED_VALUE"""),0.760404172040542)</f>
        <v>0.760404172</v>
      </c>
      <c r="M3056" s="166">
        <f t="shared" si="2"/>
        <v>0.5902397319</v>
      </c>
      <c r="N3056" s="167">
        <f t="shared" si="3"/>
        <v>22.95371212</v>
      </c>
      <c r="O3056" s="163">
        <f t="shared" ref="O3056:Q3056" si="3060">rank(I3056,I:I)</f>
        <v>490</v>
      </c>
      <c r="P3056" s="163">
        <f t="shared" si="3060"/>
        <v>1921</v>
      </c>
      <c r="Q3056" s="163">
        <f t="shared" si="3060"/>
        <v>3166</v>
      </c>
      <c r="R3056" s="163">
        <f>IFERROR(__xludf.DUMMYFUNCTION("RANK(M3056,filter(M:M,C:C=C3056))"),243.0)</f>
        <v>243</v>
      </c>
      <c r="S3056" s="161" t="b">
        <f t="shared" si="5"/>
        <v>0</v>
      </c>
      <c r="T3056" s="161" t="b">
        <f t="array" ref="T3056">index('Query Tool'!B:B,match(H3056,'Query Tool'!C:C,0))</f>
        <v>1</v>
      </c>
      <c r="U3056" s="161" t="b">
        <f t="array" ref="U3056">index('Query Tool'!B:B,match(C3056,'Query Tool'!C:C,0))</f>
        <v>0</v>
      </c>
      <c r="V3056" s="161" t="b">
        <f>F3056&gt;='Query Tool'!C$32</f>
        <v>1</v>
      </c>
      <c r="W3056" s="161" t="b">
        <f t="array" ref="W3056">index(Dropdowns!B:B,match(I3056,Dropdowns!A:A,0))</f>
        <v>1</v>
      </c>
      <c r="X3056" s="161" t="b">
        <f t="array" ref="X3056">index('Query Tool'!B:B,match(D3056,'Query Tool'!C:C,0))</f>
        <v>1</v>
      </c>
      <c r="Y3056" s="161" t="str">
        <f t="shared" si="6"/>
        <v>batumni01,2019-20</v>
      </c>
      <c r="Z3056" s="168" t="str">
        <f t="array" ref="Z3056">iferror(index(I:I,match($A3056&amp;","&amp;index('Year Conversion'!$A:$A,match($C3056,'Year Conversion'!$B:$B,0)),$Y:$Y,0))-I3056,"")</f>
        <v/>
      </c>
      <c r="AA3056" s="168" t="str">
        <f t="array" ref="AA3056">iferror(index(J:J,match($A3056&amp;","&amp;index('Year Conversion'!$A:$A,match($C3056,'Year Conversion'!$B:$B,0)),$Y:$Y,0))-J3056,"")</f>
        <v/>
      </c>
      <c r="AB3056" s="168" t="str">
        <f t="array" ref="AB3056">iferror(index(K:K,match($A3056&amp;","&amp;index('Year Conversion'!$A:$A,match($C3056,'Year Conversion'!$B:$B,0)),$Y:$Y,0))-K3056,"")</f>
        <v/>
      </c>
      <c r="AC3056" s="168" t="str">
        <f t="shared" si="7"/>
        <v>CHO,2019-20</v>
      </c>
    </row>
    <row r="3057">
      <c r="A3057" s="161" t="str">
        <f>IFERROR(__xludf.DUMMYFUNCTION("""COMPUTED_VALUE"""),"hillge01")</f>
        <v>hillge01</v>
      </c>
      <c r="B3057" s="161" t="str">
        <f>IFERROR(__xludf.DUMMYFUNCTION("""COMPUTED_VALUE"""),"George Hill")</f>
        <v>George Hill</v>
      </c>
      <c r="C3057" s="162" t="str">
        <f>IFERROR(__xludf.DUMMYFUNCTION("""COMPUTED_VALUE"""),"2019-20")</f>
        <v>2019-20</v>
      </c>
      <c r="D3057" s="163" t="str">
        <f>IFERROR(__xludf.DUMMYFUNCTION("""COMPUTED_VALUE"""),"MIL")</f>
        <v>MIL</v>
      </c>
      <c r="E3057" s="164" t="str">
        <f>IFERROR(__xludf.DUMMYFUNCTION("""COMPUTED_VALUE"""),"Primary Ball Handler")</f>
        <v>Primary Ball Handler</v>
      </c>
      <c r="F3057" s="164">
        <f>IFERROR(__xludf.DUMMYFUNCTION("""COMPUTED_VALUE"""),1271.20166666667)</f>
        <v>1271.201667</v>
      </c>
      <c r="G3057" s="163">
        <f>IFERROR(__xludf.DUMMYFUNCTION("""COMPUTED_VALUE"""),59.0)</f>
        <v>59</v>
      </c>
      <c r="H3057" s="163" t="str">
        <f>IFERROR(__xludf.DUMMYFUNCTION("""COMPUTED_VALUE"""),"PG")</f>
        <v>PG</v>
      </c>
      <c r="I3057" s="163">
        <f>IFERROR(__xludf.DUMMYFUNCTION("""COMPUTED_VALUE"""),33.0)</f>
        <v>33</v>
      </c>
      <c r="J3057" s="165">
        <f>IFERROR(__xludf.DUMMYFUNCTION("""COMPUTED_VALUE"""),2.45295458090626)</f>
        <v>2.452954581</v>
      </c>
      <c r="K3057" s="165">
        <f>IFERROR(__xludf.DUMMYFUNCTION("""COMPUTED_VALUE"""),1.53069026340477)</f>
        <v>1.530690263</v>
      </c>
      <c r="L3057" s="165">
        <f>IFERROR(__xludf.DUMMYFUNCTION("""COMPUTED_VALUE"""),0.922264317501488)</f>
        <v>0.9222643175</v>
      </c>
      <c r="M3057" s="166">
        <f t="shared" si="2"/>
        <v>4.044629855</v>
      </c>
      <c r="N3057" s="167">
        <f t="shared" si="3"/>
        <v>21.54579096</v>
      </c>
      <c r="O3057" s="163">
        <f t="shared" ref="O3057:Q3057" si="3061">rank(I3057,I:I)</f>
        <v>246</v>
      </c>
      <c r="P3057" s="163">
        <f t="shared" si="3061"/>
        <v>227</v>
      </c>
      <c r="Q3057" s="163">
        <f t="shared" si="3061"/>
        <v>312</v>
      </c>
      <c r="R3057" s="163">
        <f>IFERROR(__xludf.DUMMYFUNCTION("RANK(M3057,filter(M:M,C:C=C3057))"),66.0)</f>
        <v>66</v>
      </c>
      <c r="S3057" s="161" t="b">
        <f t="shared" si="5"/>
        <v>0</v>
      </c>
      <c r="T3057" s="161" t="b">
        <f t="array" ref="T3057">index('Query Tool'!B:B,match(H3057,'Query Tool'!C:C,0))</f>
        <v>1</v>
      </c>
      <c r="U3057" s="161" t="b">
        <f t="array" ref="U3057">index('Query Tool'!B:B,match(C3057,'Query Tool'!C:C,0))</f>
        <v>0</v>
      </c>
      <c r="V3057" s="161" t="b">
        <f>F3057&gt;='Query Tool'!C$32</f>
        <v>1</v>
      </c>
      <c r="W3057" s="161" t="b">
        <f t="array" ref="W3057">index(Dropdowns!B:B,match(I3057,Dropdowns!A:A,0))</f>
        <v>1</v>
      </c>
      <c r="X3057" s="161" t="b">
        <f t="array" ref="X3057">index('Query Tool'!B:B,match(D3057,'Query Tool'!C:C,0))</f>
        <v>1</v>
      </c>
      <c r="Y3057" s="161" t="str">
        <f t="shared" si="6"/>
        <v>hillge01,2019-20</v>
      </c>
      <c r="Z3057" s="168" t="str">
        <f t="array" ref="Z3057">iferror(index(I:I,match($A3057&amp;","&amp;index('Year Conversion'!$A:$A,match($C3057,'Year Conversion'!$B:$B,0)),$Y:$Y,0))-I3057,"")</f>
        <v/>
      </c>
      <c r="AA3057" s="168" t="str">
        <f t="array" ref="AA3057">iferror(index(J:J,match($A3057&amp;","&amp;index('Year Conversion'!$A:$A,match($C3057,'Year Conversion'!$B:$B,0)),$Y:$Y,0))-J3057,"")</f>
        <v/>
      </c>
      <c r="AB3057" s="168" t="str">
        <f t="array" ref="AB3057">iferror(index(K:K,match($A3057&amp;","&amp;index('Year Conversion'!$A:$A,match($C3057,'Year Conversion'!$B:$B,0)),$Y:$Y,0))-K3057,"")</f>
        <v/>
      </c>
      <c r="AC3057" s="168" t="str">
        <f t="shared" si="7"/>
        <v>MIL,2019-20</v>
      </c>
    </row>
    <row r="3058">
      <c r="A3058" s="161" t="str">
        <f>IFERROR(__xludf.DUMMYFUNCTION("""COMPUTED_VALUE"""),"jordade01")</f>
        <v>jordade01</v>
      </c>
      <c r="B3058" s="161" t="str">
        <f>IFERROR(__xludf.DUMMYFUNCTION("""COMPUTED_VALUE"""),"DeAndre Jordan")</f>
        <v>DeAndre Jordan</v>
      </c>
      <c r="C3058" s="162" t="str">
        <f>IFERROR(__xludf.DUMMYFUNCTION("""COMPUTED_VALUE"""),"2019-20")</f>
        <v>2019-20</v>
      </c>
      <c r="D3058" s="163" t="str">
        <f>IFERROR(__xludf.DUMMYFUNCTION("""COMPUTED_VALUE"""),"BRK")</f>
        <v>BRK</v>
      </c>
      <c r="E3058" s="164" t="str">
        <f>IFERROR(__xludf.DUMMYFUNCTION("""COMPUTED_VALUE"""),"Roll + Cut Big")</f>
        <v>Roll + Cut Big</v>
      </c>
      <c r="F3058" s="164">
        <f>IFERROR(__xludf.DUMMYFUNCTION("""COMPUTED_VALUE"""),1234.16666666667)</f>
        <v>1234.166667</v>
      </c>
      <c r="G3058" s="163">
        <f>IFERROR(__xludf.DUMMYFUNCTION("""COMPUTED_VALUE"""),56.0)</f>
        <v>56</v>
      </c>
      <c r="H3058" s="163" t="str">
        <f>IFERROR(__xludf.DUMMYFUNCTION("""COMPUTED_VALUE"""),"C")</f>
        <v>C</v>
      </c>
      <c r="I3058" s="163">
        <f>IFERROR(__xludf.DUMMYFUNCTION("""COMPUTED_VALUE"""),31.0)</f>
        <v>31</v>
      </c>
      <c r="J3058" s="165">
        <f>IFERROR(__xludf.DUMMYFUNCTION("""COMPUTED_VALUE"""),0.386010409608197)</f>
        <v>0.3860104096</v>
      </c>
      <c r="K3058" s="165">
        <f>IFERROR(__xludf.DUMMYFUNCTION("""COMPUTED_VALUE"""),-1.41130709215137)</f>
        <v>-1.411307092</v>
      </c>
      <c r="L3058" s="165">
        <f>IFERROR(__xludf.DUMMYFUNCTION("""COMPUTED_VALUE"""),1.79731750175957)</f>
        <v>1.797317502</v>
      </c>
      <c r="M3058" s="166">
        <f t="shared" si="2"/>
        <v>2.223791968</v>
      </c>
      <c r="N3058" s="167">
        <f t="shared" si="3"/>
        <v>22.03869048</v>
      </c>
      <c r="O3058" s="163">
        <f t="shared" ref="O3058:Q3058" si="3062">rank(I3058,I:I)</f>
        <v>490</v>
      </c>
      <c r="P3058" s="163">
        <f t="shared" si="3062"/>
        <v>958</v>
      </c>
      <c r="Q3058" s="163">
        <f t="shared" si="3062"/>
        <v>3260</v>
      </c>
      <c r="R3058" s="163">
        <f>IFERROR(__xludf.DUMMYFUNCTION("RANK(M3058,filter(M:M,C:C=C3058))"),141.0)</f>
        <v>141</v>
      </c>
      <c r="S3058" s="161" t="b">
        <f t="shared" si="5"/>
        <v>0</v>
      </c>
      <c r="T3058" s="161" t="b">
        <f t="array" ref="T3058">index('Query Tool'!B:B,match(H3058,'Query Tool'!C:C,0))</f>
        <v>1</v>
      </c>
      <c r="U3058" s="161" t="b">
        <f t="array" ref="U3058">index('Query Tool'!B:B,match(C3058,'Query Tool'!C:C,0))</f>
        <v>0</v>
      </c>
      <c r="V3058" s="161" t="b">
        <f>F3058&gt;='Query Tool'!C$32</f>
        <v>1</v>
      </c>
      <c r="W3058" s="161" t="b">
        <f t="array" ref="W3058">index(Dropdowns!B:B,match(I3058,Dropdowns!A:A,0))</f>
        <v>1</v>
      </c>
      <c r="X3058" s="161" t="b">
        <f t="array" ref="X3058">index('Query Tool'!B:B,match(D3058,'Query Tool'!C:C,0))</f>
        <v>1</v>
      </c>
      <c r="Y3058" s="161" t="str">
        <f t="shared" si="6"/>
        <v>jordade01,2019-20</v>
      </c>
      <c r="Z3058" s="168" t="str">
        <f t="array" ref="Z3058">iferror(index(I:I,match($A3058&amp;","&amp;index('Year Conversion'!$A:$A,match($C3058,'Year Conversion'!$B:$B,0)),$Y:$Y,0))-I3058,"")</f>
        <v/>
      </c>
      <c r="AA3058" s="168" t="str">
        <f t="array" ref="AA3058">iferror(index(J:J,match($A3058&amp;","&amp;index('Year Conversion'!$A:$A,match($C3058,'Year Conversion'!$B:$B,0)),$Y:$Y,0))-J3058,"")</f>
        <v/>
      </c>
      <c r="AB3058" s="168" t="str">
        <f t="array" ref="AB3058">iferror(index(K:K,match($A3058&amp;","&amp;index('Year Conversion'!$A:$A,match($C3058,'Year Conversion'!$B:$B,0)),$Y:$Y,0))-K3058,"")</f>
        <v/>
      </c>
      <c r="AC3058" s="168" t="str">
        <f t="shared" si="7"/>
        <v>BRK,2019-20</v>
      </c>
    </row>
    <row r="3059">
      <c r="A3059" s="161" t="str">
        <f>IFERROR(__xludf.DUMMYFUNCTION("""COMPUTED_VALUE"""),"mbahalu01")</f>
        <v>mbahalu01</v>
      </c>
      <c r="B3059" s="161" t="str">
        <f>IFERROR(__xludf.DUMMYFUNCTION("""COMPUTED_VALUE"""),"Luc Mbah a Moute")</f>
        <v>Luc Mbah a Moute</v>
      </c>
      <c r="C3059" s="162" t="str">
        <f>IFERROR(__xludf.DUMMYFUNCTION("""COMPUTED_VALUE"""),"2019-20")</f>
        <v>2019-20</v>
      </c>
      <c r="D3059" s="163" t="str">
        <f>IFERROR(__xludf.DUMMYFUNCTION("""COMPUTED_VALUE"""),"HOU")</f>
        <v>HOU</v>
      </c>
      <c r="E3059" s="164" t="str">
        <f>IFERROR(__xludf.DUMMYFUNCTION("""COMPUTED_VALUE"""),"Athletic Finisher")</f>
        <v>Athletic Finisher</v>
      </c>
      <c r="F3059" s="164">
        <f>IFERROR(__xludf.DUMMYFUNCTION("""COMPUTED_VALUE"""),24.6)</f>
        <v>24.6</v>
      </c>
      <c r="G3059" s="163">
        <f>IFERROR(__xludf.DUMMYFUNCTION("""COMPUTED_VALUE"""),3.0)</f>
        <v>3</v>
      </c>
      <c r="H3059" s="163" t="str">
        <f>IFERROR(__xludf.DUMMYFUNCTION("""COMPUTED_VALUE"""),"PF")</f>
        <v>PF</v>
      </c>
      <c r="I3059" s="163">
        <f>IFERROR(__xludf.DUMMYFUNCTION("""COMPUTED_VALUE"""),33.0)</f>
        <v>33</v>
      </c>
      <c r="J3059" s="165">
        <f>IFERROR(__xludf.DUMMYFUNCTION("""COMPUTED_VALUE"""),-0.766433668292391)</f>
        <v>-0.7664336683</v>
      </c>
      <c r="K3059" s="165">
        <f>IFERROR(__xludf.DUMMYFUNCTION("""COMPUTED_VALUE"""),-0.254482491582122)</f>
        <v>-0.2544824916</v>
      </c>
      <c r="L3059" s="165">
        <f>IFERROR(__xludf.DUMMYFUNCTION("""COMPUTED_VALUE"""),-0.511951176710269)</f>
        <v>-0.5119511767</v>
      </c>
      <c r="M3059" s="166">
        <f t="shared" si="2"/>
        <v>0.02522400713</v>
      </c>
      <c r="N3059" s="167">
        <f t="shared" si="3"/>
        <v>8.2</v>
      </c>
      <c r="O3059" s="163">
        <f t="shared" ref="O3059:Q3059" si="3063">rank(I3059,I:I)</f>
        <v>246</v>
      </c>
      <c r="P3059" s="163">
        <f t="shared" si="3063"/>
        <v>2233</v>
      </c>
      <c r="Q3059" s="163">
        <f t="shared" si="3063"/>
        <v>1677</v>
      </c>
      <c r="R3059" s="163">
        <f>IFERROR(__xludf.DUMMYFUNCTION("RANK(M3059,filter(M:M,C:C=C3059))"),456.0)</f>
        <v>456</v>
      </c>
      <c r="S3059" s="161" t="b">
        <f t="shared" si="5"/>
        <v>0</v>
      </c>
      <c r="T3059" s="161" t="b">
        <f t="array" ref="T3059">index('Query Tool'!B:B,match(H3059,'Query Tool'!C:C,0))</f>
        <v>1</v>
      </c>
      <c r="U3059" s="161" t="b">
        <f t="array" ref="U3059">index('Query Tool'!B:B,match(C3059,'Query Tool'!C:C,0))</f>
        <v>0</v>
      </c>
      <c r="V3059" s="161" t="b">
        <f>F3059&gt;='Query Tool'!C$32</f>
        <v>0</v>
      </c>
      <c r="W3059" s="161" t="b">
        <f t="array" ref="W3059">index(Dropdowns!B:B,match(I3059,Dropdowns!A:A,0))</f>
        <v>1</v>
      </c>
      <c r="X3059" s="161" t="b">
        <f t="array" ref="X3059">index('Query Tool'!B:B,match(D3059,'Query Tool'!C:C,0))</f>
        <v>1</v>
      </c>
      <c r="Y3059" s="161" t="str">
        <f t="shared" si="6"/>
        <v>mbahalu01,2019-20</v>
      </c>
      <c r="Z3059" s="168" t="str">
        <f t="array" ref="Z3059">iferror(index(I:I,match($A3059&amp;","&amp;index('Year Conversion'!$A:$A,match($C3059,'Year Conversion'!$B:$B,0)),$Y:$Y,0))-I3059,"")</f>
        <v/>
      </c>
      <c r="AA3059" s="168" t="str">
        <f t="array" ref="AA3059">iferror(index(J:J,match($A3059&amp;","&amp;index('Year Conversion'!$A:$A,match($C3059,'Year Conversion'!$B:$B,0)),$Y:$Y,0))-J3059,"")</f>
        <v/>
      </c>
      <c r="AB3059" s="168" t="str">
        <f t="array" ref="AB3059">iferror(index(K:K,match($A3059&amp;","&amp;index('Year Conversion'!$A:$A,match($C3059,'Year Conversion'!$B:$B,0)),$Y:$Y,0))-K3059,"")</f>
        <v/>
      </c>
      <c r="AC3059" s="168" t="str">
        <f t="shared" si="7"/>
        <v>HOU,2019-20</v>
      </c>
    </row>
    <row r="3060">
      <c r="A3060" s="161" t="str">
        <f>IFERROR(__xludf.DUMMYFUNCTION("""COMPUTED_VALUE"""),"dragigo01")</f>
        <v>dragigo01</v>
      </c>
      <c r="B3060" s="161" t="str">
        <f>IFERROR(__xludf.DUMMYFUNCTION("""COMPUTED_VALUE"""),"Goran Dragic")</f>
        <v>Goran Dragic</v>
      </c>
      <c r="C3060" s="162" t="str">
        <f>IFERROR(__xludf.DUMMYFUNCTION("""COMPUTED_VALUE"""),"2019-20")</f>
        <v>2019-20</v>
      </c>
      <c r="D3060" s="163" t="str">
        <f>IFERROR(__xludf.DUMMYFUNCTION("""COMPUTED_VALUE"""),"MIA")</f>
        <v>MIA</v>
      </c>
      <c r="E3060" s="164" t="str">
        <f>IFERROR(__xludf.DUMMYFUNCTION("""COMPUTED_VALUE"""),"Primary Ball Handler")</f>
        <v>Primary Ball Handler</v>
      </c>
      <c r="F3060" s="164">
        <f>IFERROR(__xludf.DUMMYFUNCTION("""COMPUTED_VALUE"""),1662.86666666667)</f>
        <v>1662.866667</v>
      </c>
      <c r="G3060" s="163">
        <f>IFERROR(__xludf.DUMMYFUNCTION("""COMPUTED_VALUE"""),59.0)</f>
        <v>59</v>
      </c>
      <c r="H3060" s="163" t="str">
        <f>IFERROR(__xludf.DUMMYFUNCTION("""COMPUTED_VALUE"""),"PG")</f>
        <v>PG</v>
      </c>
      <c r="I3060" s="163">
        <f>IFERROR(__xludf.DUMMYFUNCTION("""COMPUTED_VALUE"""),33.0)</f>
        <v>33</v>
      </c>
      <c r="J3060" s="165">
        <f>IFERROR(__xludf.DUMMYFUNCTION("""COMPUTED_VALUE"""),-0.633529906342684)</f>
        <v>-0.6335299063</v>
      </c>
      <c r="K3060" s="165">
        <f>IFERROR(__xludf.DUMMYFUNCTION("""COMPUTED_VALUE"""),0.915998353024563)</f>
        <v>0.915998353</v>
      </c>
      <c r="L3060" s="165">
        <f>IFERROR(__xludf.DUMMYFUNCTION("""COMPUTED_VALUE"""),-1.54952825936725)</f>
        <v>-1.549528259</v>
      </c>
      <c r="M3060" s="166">
        <f t="shared" si="2"/>
        <v>1.85373922</v>
      </c>
      <c r="N3060" s="167">
        <f t="shared" si="3"/>
        <v>28.18418079</v>
      </c>
      <c r="O3060" s="163">
        <f t="shared" ref="O3060:Q3060" si="3064">rank(I3060,I:I)</f>
        <v>246</v>
      </c>
      <c r="P3060" s="163">
        <f t="shared" si="3064"/>
        <v>2038</v>
      </c>
      <c r="Q3060" s="163">
        <f t="shared" si="3064"/>
        <v>546</v>
      </c>
      <c r="R3060" s="163">
        <f>IFERROR(__xludf.DUMMYFUNCTION("RANK(M3060,filter(M:M,C:C=C3060))"),164.0)</f>
        <v>164</v>
      </c>
      <c r="S3060" s="161" t="b">
        <f t="shared" si="5"/>
        <v>0</v>
      </c>
      <c r="T3060" s="161" t="b">
        <f t="array" ref="T3060">index('Query Tool'!B:B,match(H3060,'Query Tool'!C:C,0))</f>
        <v>1</v>
      </c>
      <c r="U3060" s="161" t="b">
        <f t="array" ref="U3060">index('Query Tool'!B:B,match(C3060,'Query Tool'!C:C,0))</f>
        <v>0</v>
      </c>
      <c r="V3060" s="161" t="b">
        <f>F3060&gt;='Query Tool'!C$32</f>
        <v>1</v>
      </c>
      <c r="W3060" s="161" t="b">
        <f t="array" ref="W3060">index(Dropdowns!B:B,match(I3060,Dropdowns!A:A,0))</f>
        <v>1</v>
      </c>
      <c r="X3060" s="161" t="b">
        <f t="array" ref="X3060">index('Query Tool'!B:B,match(D3060,'Query Tool'!C:C,0))</f>
        <v>1</v>
      </c>
      <c r="Y3060" s="161" t="str">
        <f t="shared" si="6"/>
        <v>dragigo01,2019-20</v>
      </c>
      <c r="Z3060" s="168" t="str">
        <f t="array" ref="Z3060">iferror(index(I:I,match($A3060&amp;","&amp;index('Year Conversion'!$A:$A,match($C3060,'Year Conversion'!$B:$B,0)),$Y:$Y,0))-I3060,"")</f>
        <v/>
      </c>
      <c r="AA3060" s="168" t="str">
        <f t="array" ref="AA3060">iferror(index(J:J,match($A3060&amp;","&amp;index('Year Conversion'!$A:$A,match($C3060,'Year Conversion'!$B:$B,0)),$Y:$Y,0))-J3060,"")</f>
        <v/>
      </c>
      <c r="AB3060" s="168" t="str">
        <f t="array" ref="AB3060">iferror(index(K:K,match($A3060&amp;","&amp;index('Year Conversion'!$A:$A,match($C3060,'Year Conversion'!$B:$B,0)),$Y:$Y,0))-K3060,"")</f>
        <v/>
      </c>
      <c r="AC3060" s="168" t="str">
        <f t="shared" si="7"/>
        <v>MIA,2019-20</v>
      </c>
    </row>
    <row r="3061">
      <c r="A3061" s="161" t="str">
        <f>IFERROR(__xludf.DUMMYFUNCTION("""COMPUTED_VALUE"""),"griffbl01")</f>
        <v>griffbl01</v>
      </c>
      <c r="B3061" s="161" t="str">
        <f>IFERROR(__xludf.DUMMYFUNCTION("""COMPUTED_VALUE"""),"Blake Griffin")</f>
        <v>Blake Griffin</v>
      </c>
      <c r="C3061" s="162" t="str">
        <f>IFERROR(__xludf.DUMMYFUNCTION("""COMPUTED_VALUE"""),"2019-20")</f>
        <v>2019-20</v>
      </c>
      <c r="D3061" s="163" t="str">
        <f>IFERROR(__xludf.DUMMYFUNCTION("""COMPUTED_VALUE"""),"DET")</f>
        <v>DET</v>
      </c>
      <c r="E3061" s="164" t="str">
        <f>IFERROR(__xludf.DUMMYFUNCTION("""COMPUTED_VALUE"""),"Shot Creator")</f>
        <v>Shot Creator</v>
      </c>
      <c r="F3061" s="164">
        <f>IFERROR(__xludf.DUMMYFUNCTION("""COMPUTED_VALUE"""),512.28)</f>
        <v>512.28</v>
      </c>
      <c r="G3061" s="163">
        <f>IFERROR(__xludf.DUMMYFUNCTION("""COMPUTED_VALUE"""),18.0)</f>
        <v>18</v>
      </c>
      <c r="H3061" s="163" t="str">
        <f>IFERROR(__xludf.DUMMYFUNCTION("""COMPUTED_VALUE"""),"PF")</f>
        <v>PF</v>
      </c>
      <c r="I3061" s="163">
        <f>IFERROR(__xludf.DUMMYFUNCTION("""COMPUTED_VALUE"""),30.0)</f>
        <v>30</v>
      </c>
      <c r="J3061" s="165">
        <f>IFERROR(__xludf.DUMMYFUNCTION("""COMPUTED_VALUE"""),0.719537327902675)</f>
        <v>0.7195373279</v>
      </c>
      <c r="K3061" s="165">
        <f>IFERROR(__xludf.DUMMYFUNCTION("""COMPUTED_VALUE"""),1.50682302642925)</f>
        <v>1.506823026</v>
      </c>
      <c r="L3061" s="165">
        <f>IFERROR(__xludf.DUMMYFUNCTION("""COMPUTED_VALUE"""),-0.787285698526575)</f>
        <v>-0.7872856985</v>
      </c>
      <c r="M3061" s="166">
        <f t="shared" si="2"/>
        <v>1.038095875</v>
      </c>
      <c r="N3061" s="167">
        <f t="shared" si="3"/>
        <v>28.46</v>
      </c>
      <c r="O3061" s="163">
        <f t="shared" ref="O3061:Q3061" si="3065">rank(I3061,I:I)</f>
        <v>655</v>
      </c>
      <c r="P3061" s="163">
        <f t="shared" si="3065"/>
        <v>782</v>
      </c>
      <c r="Q3061" s="163">
        <f t="shared" si="3065"/>
        <v>321</v>
      </c>
      <c r="R3061" s="163">
        <f>IFERROR(__xludf.DUMMYFUNCTION("RANK(M3061,filter(M:M,C:C=C3061))"),209.0)</f>
        <v>209</v>
      </c>
      <c r="S3061" s="161" t="b">
        <f t="shared" si="5"/>
        <v>0</v>
      </c>
      <c r="T3061" s="161" t="b">
        <f t="array" ref="T3061">index('Query Tool'!B:B,match(H3061,'Query Tool'!C:C,0))</f>
        <v>1</v>
      </c>
      <c r="U3061" s="161" t="b">
        <f t="array" ref="U3061">index('Query Tool'!B:B,match(C3061,'Query Tool'!C:C,0))</f>
        <v>0</v>
      </c>
      <c r="V3061" s="161" t="b">
        <f>F3061&gt;='Query Tool'!C$32</f>
        <v>1</v>
      </c>
      <c r="W3061" s="161" t="b">
        <f t="array" ref="W3061">index(Dropdowns!B:B,match(I3061,Dropdowns!A:A,0))</f>
        <v>1</v>
      </c>
      <c r="X3061" s="161" t="b">
        <f t="array" ref="X3061">index('Query Tool'!B:B,match(D3061,'Query Tool'!C:C,0))</f>
        <v>1</v>
      </c>
      <c r="Y3061" s="161" t="str">
        <f t="shared" si="6"/>
        <v>griffbl01,2019-20</v>
      </c>
      <c r="Z3061" s="168" t="str">
        <f t="array" ref="Z3061">iferror(index(I:I,match($A3061&amp;","&amp;index('Year Conversion'!$A:$A,match($C3061,'Year Conversion'!$B:$B,0)),$Y:$Y,0))-I3061,"")</f>
        <v/>
      </c>
      <c r="AA3061" s="168" t="str">
        <f t="array" ref="AA3061">iferror(index(J:J,match($A3061&amp;","&amp;index('Year Conversion'!$A:$A,match($C3061,'Year Conversion'!$B:$B,0)),$Y:$Y,0))-J3061,"")</f>
        <v/>
      </c>
      <c r="AB3061" s="168" t="str">
        <f t="array" ref="AB3061">iferror(index(K:K,match($A3061&amp;","&amp;index('Year Conversion'!$A:$A,match($C3061,'Year Conversion'!$B:$B,0)),$Y:$Y,0))-K3061,"")</f>
        <v/>
      </c>
      <c r="AC3061" s="168" t="str">
        <f t="shared" si="7"/>
        <v>DET,2019-20</v>
      </c>
    </row>
    <row r="3062">
      <c r="A3062" s="161" t="str">
        <f>IFERROR(__xludf.DUMMYFUNCTION("""COMPUTED_VALUE"""),"hardeja01")</f>
        <v>hardeja01</v>
      </c>
      <c r="B3062" s="161" t="str">
        <f>IFERROR(__xludf.DUMMYFUNCTION("""COMPUTED_VALUE"""),"James Harden")</f>
        <v>James Harden</v>
      </c>
      <c r="C3062" s="162" t="str">
        <f>IFERROR(__xludf.DUMMYFUNCTION("""COMPUTED_VALUE"""),"2019-20")</f>
        <v>2019-20</v>
      </c>
      <c r="D3062" s="163" t="str">
        <f>IFERROR(__xludf.DUMMYFUNCTION("""COMPUTED_VALUE"""),"HOU")</f>
        <v>HOU</v>
      </c>
      <c r="E3062" s="164" t="str">
        <f>IFERROR(__xludf.DUMMYFUNCTION("""COMPUTED_VALUE"""),"Shot Creator")</f>
        <v>Shot Creator</v>
      </c>
      <c r="F3062" s="164">
        <f>IFERROR(__xludf.DUMMYFUNCTION("""COMPUTED_VALUE"""),2482.55)</f>
        <v>2482.55</v>
      </c>
      <c r="G3062" s="163">
        <f>IFERROR(__xludf.DUMMYFUNCTION("""COMPUTED_VALUE"""),68.0)</f>
        <v>68</v>
      </c>
      <c r="H3062" s="163" t="str">
        <f>IFERROR(__xludf.DUMMYFUNCTION("""COMPUTED_VALUE"""),"SG")</f>
        <v>SG</v>
      </c>
      <c r="I3062" s="163">
        <f>IFERROR(__xludf.DUMMYFUNCTION("""COMPUTED_VALUE"""),30.0)</f>
        <v>30</v>
      </c>
      <c r="J3062" s="165">
        <f>IFERROR(__xludf.DUMMYFUNCTION("""COMPUTED_VALUE"""),6.82690151564004)</f>
        <v>6.826901516</v>
      </c>
      <c r="K3062" s="165">
        <f>IFERROR(__xludf.DUMMYFUNCTION("""COMPUTED_VALUE"""),6.39841393466289)</f>
        <v>6.398413935</v>
      </c>
      <c r="L3062" s="165">
        <f>IFERROR(__xludf.DUMMYFUNCTION("""COMPUTED_VALUE"""),0.428487580977151)</f>
        <v>0.428487581</v>
      </c>
      <c r="M3062" s="166">
        <f t="shared" si="2"/>
        <v>14.56689002</v>
      </c>
      <c r="N3062" s="167">
        <f t="shared" si="3"/>
        <v>36.50808824</v>
      </c>
      <c r="O3062" s="163">
        <f t="shared" ref="O3062:Q3062" si="3066">rank(I3062,I:I)</f>
        <v>655</v>
      </c>
      <c r="P3062" s="163">
        <f t="shared" si="3066"/>
        <v>4</v>
      </c>
      <c r="Q3062" s="163">
        <f t="shared" si="3066"/>
        <v>4</v>
      </c>
      <c r="R3062" s="163">
        <f>IFERROR(__xludf.DUMMYFUNCTION("RANK(M3062,filter(M:M,C:C=C3062))"),1.0)</f>
        <v>1</v>
      </c>
      <c r="S3062" s="161" t="b">
        <f t="shared" si="5"/>
        <v>0</v>
      </c>
      <c r="T3062" s="161" t="b">
        <f t="array" ref="T3062">index('Query Tool'!B:B,match(H3062,'Query Tool'!C:C,0))</f>
        <v>1</v>
      </c>
      <c r="U3062" s="161" t="b">
        <f t="array" ref="U3062">index('Query Tool'!B:B,match(C3062,'Query Tool'!C:C,0))</f>
        <v>0</v>
      </c>
      <c r="V3062" s="161" t="b">
        <f>F3062&gt;='Query Tool'!C$32</f>
        <v>1</v>
      </c>
      <c r="W3062" s="161" t="b">
        <f t="array" ref="W3062">index(Dropdowns!B:B,match(I3062,Dropdowns!A:A,0))</f>
        <v>1</v>
      </c>
      <c r="X3062" s="161" t="b">
        <f t="array" ref="X3062">index('Query Tool'!B:B,match(D3062,'Query Tool'!C:C,0))</f>
        <v>1</v>
      </c>
      <c r="Y3062" s="161" t="str">
        <f t="shared" si="6"/>
        <v>hardeja01,2019-20</v>
      </c>
      <c r="Z3062" s="168" t="str">
        <f t="array" ref="Z3062">iferror(index(I:I,match($A3062&amp;","&amp;index('Year Conversion'!$A:$A,match($C3062,'Year Conversion'!$B:$B,0)),$Y:$Y,0))-I3062,"")</f>
        <v/>
      </c>
      <c r="AA3062" s="168" t="str">
        <f t="array" ref="AA3062">iferror(index(J:J,match($A3062&amp;","&amp;index('Year Conversion'!$A:$A,match($C3062,'Year Conversion'!$B:$B,0)),$Y:$Y,0))-J3062,"")</f>
        <v/>
      </c>
      <c r="AB3062" s="168" t="str">
        <f t="array" ref="AB3062">iferror(index(K:K,match($A3062&amp;","&amp;index('Year Conversion'!$A:$A,match($C3062,'Year Conversion'!$B:$B,0)),$Y:$Y,0))-K3062,"")</f>
        <v/>
      </c>
      <c r="AC3062" s="168" t="str">
        <f t="shared" si="7"/>
        <v>HOU,2019-20</v>
      </c>
    </row>
    <row r="3063">
      <c r="A3063" s="161" t="str">
        <f>IFERROR(__xludf.DUMMYFUNCTION("""COMPUTED_VALUE"""),"rubiori01")</f>
        <v>rubiori01</v>
      </c>
      <c r="B3063" s="161" t="str">
        <f>IFERROR(__xludf.DUMMYFUNCTION("""COMPUTED_VALUE"""),"Ricky Rubio")</f>
        <v>Ricky Rubio</v>
      </c>
      <c r="C3063" s="162" t="str">
        <f>IFERROR(__xludf.DUMMYFUNCTION("""COMPUTED_VALUE"""),"2019-20")</f>
        <v>2019-20</v>
      </c>
      <c r="D3063" s="163" t="str">
        <f>IFERROR(__xludf.DUMMYFUNCTION("""COMPUTED_VALUE"""),"PHO")</f>
        <v>PHO</v>
      </c>
      <c r="E3063" s="164" t="str">
        <f>IFERROR(__xludf.DUMMYFUNCTION("""COMPUTED_VALUE"""),"Primary Ball Handler")</f>
        <v>Primary Ball Handler</v>
      </c>
      <c r="F3063" s="164">
        <f>IFERROR(__xludf.DUMMYFUNCTION("""COMPUTED_VALUE"""),2016.36166666667)</f>
        <v>2016.361667</v>
      </c>
      <c r="G3063" s="163">
        <f>IFERROR(__xludf.DUMMYFUNCTION("""COMPUTED_VALUE"""),65.0)</f>
        <v>65</v>
      </c>
      <c r="H3063" s="163" t="str">
        <f>IFERROR(__xludf.DUMMYFUNCTION("""COMPUTED_VALUE"""),"PG")</f>
        <v>PG</v>
      </c>
      <c r="I3063" s="163">
        <f>IFERROR(__xludf.DUMMYFUNCTION("""COMPUTED_VALUE"""),29.0)</f>
        <v>29</v>
      </c>
      <c r="J3063" s="165">
        <f>IFERROR(__xludf.DUMMYFUNCTION("""COMPUTED_VALUE"""),2.29084826650618)</f>
        <v>2.290848267</v>
      </c>
      <c r="K3063" s="165">
        <f>IFERROR(__xludf.DUMMYFUNCTION("""COMPUTED_VALUE"""),1.45942695994396)</f>
        <v>1.45942696</v>
      </c>
      <c r="L3063" s="165">
        <f>IFERROR(__xludf.DUMMYFUNCTION("""COMPUTED_VALUE"""),0.831421306562218)</f>
        <v>0.8314213066</v>
      </c>
      <c r="M3063" s="166">
        <f t="shared" si="2"/>
        <v>6.200253396</v>
      </c>
      <c r="N3063" s="167">
        <f t="shared" si="3"/>
        <v>31.02094872</v>
      </c>
      <c r="O3063" s="163">
        <f t="shared" ref="O3063:Q3063" si="3067">rank(I3063,I:I)</f>
        <v>855</v>
      </c>
      <c r="P3063" s="163">
        <f t="shared" si="3067"/>
        <v>261</v>
      </c>
      <c r="Q3063" s="163">
        <f t="shared" si="3067"/>
        <v>331</v>
      </c>
      <c r="R3063" s="163">
        <f>IFERROR(__xludf.DUMMYFUNCTION("RANK(M3063,filter(M:M,C:C=C3063))"),24.0)</f>
        <v>24</v>
      </c>
      <c r="S3063" s="161" t="b">
        <f t="shared" si="5"/>
        <v>0</v>
      </c>
      <c r="T3063" s="161" t="b">
        <f t="array" ref="T3063">index('Query Tool'!B:B,match(H3063,'Query Tool'!C:C,0))</f>
        <v>1</v>
      </c>
      <c r="U3063" s="161" t="b">
        <f t="array" ref="U3063">index('Query Tool'!B:B,match(C3063,'Query Tool'!C:C,0))</f>
        <v>0</v>
      </c>
      <c r="V3063" s="161" t="b">
        <f>F3063&gt;='Query Tool'!C$32</f>
        <v>1</v>
      </c>
      <c r="W3063" s="161" t="b">
        <f t="array" ref="W3063">index(Dropdowns!B:B,match(I3063,Dropdowns!A:A,0))</f>
        <v>1</v>
      </c>
      <c r="X3063" s="161" t="b">
        <f t="array" ref="X3063">index('Query Tool'!B:B,match(D3063,'Query Tool'!C:C,0))</f>
        <v>1</v>
      </c>
      <c r="Y3063" s="161" t="str">
        <f t="shared" si="6"/>
        <v>rubiori01,2019-20</v>
      </c>
      <c r="Z3063" s="168" t="str">
        <f t="array" ref="Z3063">iferror(index(I:I,match($A3063&amp;","&amp;index('Year Conversion'!$A:$A,match($C3063,'Year Conversion'!$B:$B,0)),$Y:$Y,0))-I3063,"")</f>
        <v/>
      </c>
      <c r="AA3063" s="168" t="str">
        <f t="array" ref="AA3063">iferror(index(J:J,match($A3063&amp;","&amp;index('Year Conversion'!$A:$A,match($C3063,'Year Conversion'!$B:$B,0)),$Y:$Y,0))-J3063,"")</f>
        <v/>
      </c>
      <c r="AB3063" s="168" t="str">
        <f t="array" ref="AB3063">iferror(index(K:K,match($A3063&amp;","&amp;index('Year Conversion'!$A:$A,match($C3063,'Year Conversion'!$B:$B,0)),$Y:$Y,0))-K3063,"")</f>
        <v/>
      </c>
      <c r="AC3063" s="168" t="str">
        <f t="shared" si="7"/>
        <v>PHO,2019-20</v>
      </c>
    </row>
    <row r="3064">
      <c r="A3064" s="161" t="str">
        <f>IFERROR(__xludf.DUMMYFUNCTION("""COMPUTED_VALUE"""),"curryst01")</f>
        <v>curryst01</v>
      </c>
      <c r="B3064" s="161" t="str">
        <f>IFERROR(__xludf.DUMMYFUNCTION("""COMPUTED_VALUE"""),"Stephen Curry")</f>
        <v>Stephen Curry</v>
      </c>
      <c r="C3064" s="162" t="str">
        <f>IFERROR(__xludf.DUMMYFUNCTION("""COMPUTED_VALUE"""),"2019-20")</f>
        <v>2019-20</v>
      </c>
      <c r="D3064" s="163" t="str">
        <f>IFERROR(__xludf.DUMMYFUNCTION("""COMPUTED_VALUE"""),"GSW")</f>
        <v>GSW</v>
      </c>
      <c r="E3064" s="164" t="str">
        <f>IFERROR(__xludf.DUMMYFUNCTION("""COMPUTED_VALUE"""),"Secondary Ball Handler")</f>
        <v>Secondary Ball Handler</v>
      </c>
      <c r="F3064" s="164">
        <f>IFERROR(__xludf.DUMMYFUNCTION("""COMPUTED_VALUE"""),139.316666666667)</f>
        <v>139.3166667</v>
      </c>
      <c r="G3064" s="163">
        <f>IFERROR(__xludf.DUMMYFUNCTION("""COMPUTED_VALUE"""),5.0)</f>
        <v>5</v>
      </c>
      <c r="H3064" s="163" t="str">
        <f>IFERROR(__xludf.DUMMYFUNCTION("""COMPUTED_VALUE"""),"PG")</f>
        <v>PG</v>
      </c>
      <c r="I3064" s="163">
        <f>IFERROR(__xludf.DUMMYFUNCTION("""COMPUTED_VALUE"""),31.0)</f>
        <v>31</v>
      </c>
      <c r="J3064" s="165">
        <f>IFERROR(__xludf.DUMMYFUNCTION("""COMPUTED_VALUE"""),1.47458475666806)</f>
        <v>1.474584757</v>
      </c>
      <c r="K3064" s="165">
        <f>IFERROR(__xludf.DUMMYFUNCTION("""COMPUTED_VALUE"""),1.81020079858563)</f>
        <v>1.810200799</v>
      </c>
      <c r="L3064" s="165">
        <f>IFERROR(__xludf.DUMMYFUNCTION("""COMPUTED_VALUE"""),-0.335616041917575)</f>
        <v>-0.3356160419</v>
      </c>
      <c r="M3064" s="166">
        <f t="shared" si="2"/>
        <v>0.3528646737</v>
      </c>
      <c r="N3064" s="167">
        <f t="shared" si="3"/>
        <v>27.86333333</v>
      </c>
      <c r="O3064" s="163">
        <f t="shared" ref="O3064:Q3064" si="3068">rank(I3064,I:I)</f>
        <v>490</v>
      </c>
      <c r="P3064" s="163">
        <f t="shared" si="3068"/>
        <v>464</v>
      </c>
      <c r="Q3064" s="163">
        <f t="shared" si="3068"/>
        <v>259</v>
      </c>
      <c r="R3064" s="163">
        <f>IFERROR(__xludf.DUMMYFUNCTION("RANK(M3064,filter(M:M,C:C=C3064))"),286.0)</f>
        <v>286</v>
      </c>
      <c r="S3064" s="161" t="b">
        <f t="shared" si="5"/>
        <v>0</v>
      </c>
      <c r="T3064" s="161" t="b">
        <f t="array" ref="T3064">index('Query Tool'!B:B,match(H3064,'Query Tool'!C:C,0))</f>
        <v>1</v>
      </c>
      <c r="U3064" s="161" t="b">
        <f t="array" ref="U3064">index('Query Tool'!B:B,match(C3064,'Query Tool'!C:C,0))</f>
        <v>0</v>
      </c>
      <c r="V3064" s="161" t="b">
        <f>F3064&gt;='Query Tool'!C$32</f>
        <v>0</v>
      </c>
      <c r="W3064" s="161" t="b">
        <f t="array" ref="W3064">index(Dropdowns!B:B,match(I3064,Dropdowns!A:A,0))</f>
        <v>1</v>
      </c>
      <c r="X3064" s="161" t="b">
        <f t="array" ref="X3064">index('Query Tool'!B:B,match(D3064,'Query Tool'!C:C,0))</f>
        <v>1</v>
      </c>
      <c r="Y3064" s="161" t="str">
        <f t="shared" si="6"/>
        <v>curryst01,2019-20</v>
      </c>
      <c r="Z3064" s="168" t="str">
        <f t="array" ref="Z3064">iferror(index(I:I,match($A3064&amp;","&amp;index('Year Conversion'!$A:$A,match($C3064,'Year Conversion'!$B:$B,0)),$Y:$Y,0))-I3064,"")</f>
        <v/>
      </c>
      <c r="AA3064" s="168" t="str">
        <f t="array" ref="AA3064">iferror(index(J:J,match($A3064&amp;","&amp;index('Year Conversion'!$A:$A,match($C3064,'Year Conversion'!$B:$B,0)),$Y:$Y,0))-J3064,"")</f>
        <v/>
      </c>
      <c r="AB3064" s="168" t="str">
        <f t="array" ref="AB3064">iferror(index(K:K,match($A3064&amp;","&amp;index('Year Conversion'!$A:$A,match($C3064,'Year Conversion'!$B:$B,0)),$Y:$Y,0))-K3064,"")</f>
        <v/>
      </c>
      <c r="AC3064" s="168" t="str">
        <f t="shared" si="7"/>
        <v>GSW,2019-20</v>
      </c>
    </row>
    <row r="3065">
      <c r="A3065" s="161" t="str">
        <f>IFERROR(__xludf.DUMMYFUNCTION("""COMPUTED_VALUE"""),"derozde01")</f>
        <v>derozde01</v>
      </c>
      <c r="B3065" s="161" t="str">
        <f>IFERROR(__xludf.DUMMYFUNCTION("""COMPUTED_VALUE"""),"DeMar DeRozan")</f>
        <v>DeMar DeRozan</v>
      </c>
      <c r="C3065" s="162" t="str">
        <f>IFERROR(__xludf.DUMMYFUNCTION("""COMPUTED_VALUE"""),"2019-20")</f>
        <v>2019-20</v>
      </c>
      <c r="D3065" s="163" t="str">
        <f>IFERROR(__xludf.DUMMYFUNCTION("""COMPUTED_VALUE"""),"SAS")</f>
        <v>SAS</v>
      </c>
      <c r="E3065" s="164" t="str">
        <f>IFERROR(__xludf.DUMMYFUNCTION("""COMPUTED_VALUE"""),"Shot Creator")</f>
        <v>Shot Creator</v>
      </c>
      <c r="F3065" s="164">
        <f>IFERROR(__xludf.DUMMYFUNCTION("""COMPUTED_VALUE"""),2316.28333333333)</f>
        <v>2316.283333</v>
      </c>
      <c r="G3065" s="163">
        <f>IFERROR(__xludf.DUMMYFUNCTION("""COMPUTED_VALUE"""),68.0)</f>
        <v>68</v>
      </c>
      <c r="H3065" s="163" t="str">
        <f>IFERROR(__xludf.DUMMYFUNCTION("""COMPUTED_VALUE"""),"SF")</f>
        <v>SF</v>
      </c>
      <c r="I3065" s="163">
        <f>IFERROR(__xludf.DUMMYFUNCTION("""COMPUTED_VALUE"""),30.0)</f>
        <v>30</v>
      </c>
      <c r="J3065" s="165">
        <f>IFERROR(__xludf.DUMMYFUNCTION("""COMPUTED_VALUE"""),0.78040022625002)</f>
        <v>0.7804002263</v>
      </c>
      <c r="K3065" s="165">
        <f>IFERROR(__xludf.DUMMYFUNCTION("""COMPUTED_VALUE"""),1.86614820073438)</f>
        <v>1.866148201</v>
      </c>
      <c r="L3065" s="165">
        <f>IFERROR(__xludf.DUMMYFUNCTION("""COMPUTED_VALUE"""),-1.08574797448436)</f>
        <v>-1.085747974</v>
      </c>
      <c r="M3065" s="166">
        <f t="shared" si="2"/>
        <v>4.788591201</v>
      </c>
      <c r="N3065" s="167">
        <f t="shared" si="3"/>
        <v>34.0629902</v>
      </c>
      <c r="O3065" s="163">
        <f t="shared" ref="O3065:Q3065" si="3069">rank(I3065,I:I)</f>
        <v>655</v>
      </c>
      <c r="P3065" s="163">
        <f t="shared" si="3069"/>
        <v>757</v>
      </c>
      <c r="Q3065" s="163">
        <f t="shared" si="3069"/>
        <v>249</v>
      </c>
      <c r="R3065" s="163">
        <f>IFERROR(__xludf.DUMMYFUNCTION("RANK(M3065,filter(M:M,C:C=C3065))"),46.0)</f>
        <v>46</v>
      </c>
      <c r="S3065" s="161" t="b">
        <f t="shared" si="5"/>
        <v>0</v>
      </c>
      <c r="T3065" s="161" t="b">
        <f t="array" ref="T3065">index('Query Tool'!B:B,match(H3065,'Query Tool'!C:C,0))</f>
        <v>1</v>
      </c>
      <c r="U3065" s="161" t="b">
        <f t="array" ref="U3065">index('Query Tool'!B:B,match(C3065,'Query Tool'!C:C,0))</f>
        <v>0</v>
      </c>
      <c r="V3065" s="161" t="b">
        <f>F3065&gt;='Query Tool'!C$32</f>
        <v>1</v>
      </c>
      <c r="W3065" s="161" t="b">
        <f t="array" ref="W3065">index(Dropdowns!B:B,match(I3065,Dropdowns!A:A,0))</f>
        <v>1</v>
      </c>
      <c r="X3065" s="161" t="b">
        <f t="array" ref="X3065">index('Query Tool'!B:B,match(D3065,'Query Tool'!C:C,0))</f>
        <v>1</v>
      </c>
      <c r="Y3065" s="161" t="str">
        <f t="shared" si="6"/>
        <v>derozde01,2019-20</v>
      </c>
      <c r="Z3065" s="168" t="str">
        <f t="array" ref="Z3065">iferror(index(I:I,match($A3065&amp;","&amp;index('Year Conversion'!$A:$A,match($C3065,'Year Conversion'!$B:$B,0)),$Y:$Y,0))-I3065,"")</f>
        <v/>
      </c>
      <c r="AA3065" s="168" t="str">
        <f t="array" ref="AA3065">iferror(index(J:J,match($A3065&amp;","&amp;index('Year Conversion'!$A:$A,match($C3065,'Year Conversion'!$B:$B,0)),$Y:$Y,0))-J3065,"")</f>
        <v/>
      </c>
      <c r="AB3065" s="168" t="str">
        <f t="array" ref="AB3065">iferror(index(K:K,match($A3065&amp;","&amp;index('Year Conversion'!$A:$A,match($C3065,'Year Conversion'!$B:$B,0)),$Y:$Y,0))-K3065,"")</f>
        <v/>
      </c>
      <c r="AC3065" s="168" t="str">
        <f t="shared" si="7"/>
        <v>SAS,2019-20</v>
      </c>
    </row>
    <row r="3066">
      <c r="A3066" s="161" t="str">
        <f>IFERROR(__xludf.DUMMYFUNCTION("""COMPUTED_VALUE"""),"johnsja01")</f>
        <v>johnsja01</v>
      </c>
      <c r="B3066" s="161" t="str">
        <f>IFERROR(__xludf.DUMMYFUNCTION("""COMPUTED_VALUE"""),"James Johnson")</f>
        <v>James Johnson</v>
      </c>
      <c r="C3066" s="162" t="str">
        <f>IFERROR(__xludf.DUMMYFUNCTION("""COMPUTED_VALUE"""),"2019-20")</f>
        <v>2019-20</v>
      </c>
      <c r="D3066" s="163" t="str">
        <f>IFERROR(__xludf.DUMMYFUNCTION("""COMPUTED_VALUE"""),"TOT")</f>
        <v>TOT</v>
      </c>
      <c r="E3066" s="164" t="str">
        <f>IFERROR(__xludf.DUMMYFUNCTION("""COMPUTED_VALUE"""),"Stationary Shooter")</f>
        <v>Stationary Shooter</v>
      </c>
      <c r="F3066" s="164">
        <f>IFERROR(__xludf.DUMMYFUNCTION("""COMPUTED_VALUE"""),619.571666666667)</f>
        <v>619.5716667</v>
      </c>
      <c r="G3066" s="163">
        <f>IFERROR(__xludf.DUMMYFUNCTION("""COMPUTED_VALUE"""),32.0)</f>
        <v>32</v>
      </c>
      <c r="H3066" s="163" t="str">
        <f>IFERROR(__xludf.DUMMYFUNCTION("""COMPUTED_VALUE"""),"PF-C")</f>
        <v>PF-C</v>
      </c>
      <c r="I3066" s="163">
        <f>IFERROR(__xludf.DUMMYFUNCTION("""COMPUTED_VALUE"""),32.0)</f>
        <v>32</v>
      </c>
      <c r="J3066" s="165">
        <f>IFERROR(__xludf.DUMMYFUNCTION("""COMPUTED_VALUE"""),-1.32272409522347)</f>
        <v>-1.322724095</v>
      </c>
      <c r="K3066" s="165">
        <f>IFERROR(__xludf.DUMMYFUNCTION("""COMPUTED_VALUE"""),-0.887918789695352)</f>
        <v>-0.8879187897</v>
      </c>
      <c r="L3066" s="165">
        <f>IFERROR(__xludf.DUMMYFUNCTION("""COMPUTED_VALUE"""),-0.434805305528122)</f>
        <v>-0.4348053055</v>
      </c>
      <c r="M3066" s="166">
        <f t="shared" si="2"/>
        <v>0.403998341</v>
      </c>
      <c r="N3066" s="167">
        <f t="shared" si="3"/>
        <v>19.36161458</v>
      </c>
      <c r="O3066" s="163">
        <f t="shared" ref="O3066:Q3066" si="3070">rank(I3066,I:I)</f>
        <v>359</v>
      </c>
      <c r="P3066" s="163">
        <f t="shared" si="3070"/>
        <v>2887</v>
      </c>
      <c r="Q3066" s="163">
        <f t="shared" si="3070"/>
        <v>2680</v>
      </c>
      <c r="R3066" s="163">
        <f>IFERROR(__xludf.DUMMYFUNCTION("RANK(M3066,filter(M:M,C:C=C3066))"),272.0)</f>
        <v>272</v>
      </c>
      <c r="S3066" s="161" t="b">
        <f t="shared" si="5"/>
        <v>0</v>
      </c>
      <c r="T3066" s="161" t="str">
        <f t="array" ref="T3066">index('Query Tool'!B:B,match(H3066,'Query Tool'!C:C,0))</f>
        <v>#N/A</v>
      </c>
      <c r="U3066" s="161" t="b">
        <f t="array" ref="U3066">index('Query Tool'!B:B,match(C3066,'Query Tool'!C:C,0))</f>
        <v>0</v>
      </c>
      <c r="V3066" s="161" t="b">
        <f>F3066&gt;='Query Tool'!C$32</f>
        <v>1</v>
      </c>
      <c r="W3066" s="161" t="b">
        <f t="array" ref="W3066">index(Dropdowns!B:B,match(I3066,Dropdowns!A:A,0))</f>
        <v>1</v>
      </c>
      <c r="X3066" s="161" t="b">
        <f t="array" ref="X3066">index('Query Tool'!B:B,match(D3066,'Query Tool'!C:C,0))</f>
        <v>1</v>
      </c>
      <c r="Y3066" s="161" t="str">
        <f t="shared" si="6"/>
        <v>johnsja01,2019-20</v>
      </c>
      <c r="Z3066" s="168" t="str">
        <f t="array" ref="Z3066">iferror(index(I:I,match($A3066&amp;","&amp;index('Year Conversion'!$A:$A,match($C3066,'Year Conversion'!$B:$B,0)),$Y:$Y,0))-I3066,"")</f>
        <v/>
      </c>
      <c r="AA3066" s="168" t="str">
        <f t="array" ref="AA3066">iferror(index(J:J,match($A3066&amp;","&amp;index('Year Conversion'!$A:$A,match($C3066,'Year Conversion'!$B:$B,0)),$Y:$Y,0))-J3066,"")</f>
        <v/>
      </c>
      <c r="AB3066" s="168" t="str">
        <f t="array" ref="AB3066">iferror(index(K:K,match($A3066&amp;","&amp;index('Year Conversion'!$A:$A,match($C3066,'Year Conversion'!$B:$B,0)),$Y:$Y,0))-K3066,"")</f>
        <v/>
      </c>
      <c r="AC3066" s="168" t="str">
        <f t="shared" si="7"/>
        <v>TOT,2019-20</v>
      </c>
    </row>
    <row r="3067">
      <c r="A3067" s="161" t="str">
        <f>IFERROR(__xludf.DUMMYFUNCTION("""COMPUTED_VALUE"""),"holidjr01")</f>
        <v>holidjr01</v>
      </c>
      <c r="B3067" s="161" t="str">
        <f>IFERROR(__xludf.DUMMYFUNCTION("""COMPUTED_VALUE"""),"Jrue Holiday")</f>
        <v>Jrue Holiday</v>
      </c>
      <c r="C3067" s="162" t="str">
        <f>IFERROR(__xludf.DUMMYFUNCTION("""COMPUTED_VALUE"""),"2019-20")</f>
        <v>2019-20</v>
      </c>
      <c r="D3067" s="163" t="str">
        <f>IFERROR(__xludf.DUMMYFUNCTION("""COMPUTED_VALUE"""),"NOP")</f>
        <v>NOP</v>
      </c>
      <c r="E3067" s="164" t="str">
        <f>IFERROR(__xludf.DUMMYFUNCTION("""COMPUTED_VALUE"""),"Primary Ball Handler")</f>
        <v>Primary Ball Handler</v>
      </c>
      <c r="F3067" s="164">
        <f>IFERROR(__xludf.DUMMYFUNCTION("""COMPUTED_VALUE"""),2116.81666666667)</f>
        <v>2116.816667</v>
      </c>
      <c r="G3067" s="163">
        <f>IFERROR(__xludf.DUMMYFUNCTION("""COMPUTED_VALUE"""),61.0)</f>
        <v>61</v>
      </c>
      <c r="H3067" s="163" t="str">
        <f>IFERROR(__xludf.DUMMYFUNCTION("""COMPUTED_VALUE"""),"SG")</f>
        <v>SG</v>
      </c>
      <c r="I3067" s="163">
        <f>IFERROR(__xludf.DUMMYFUNCTION("""COMPUTED_VALUE"""),29.0)</f>
        <v>29</v>
      </c>
      <c r="J3067" s="165">
        <f>IFERROR(__xludf.DUMMYFUNCTION("""COMPUTED_VALUE"""),1.76340393966796)</f>
        <v>1.76340394</v>
      </c>
      <c r="K3067" s="165">
        <f>IFERROR(__xludf.DUMMYFUNCTION("""COMPUTED_VALUE"""),1.12583502468104)</f>
        <v>1.125835025</v>
      </c>
      <c r="L3067" s="165">
        <f>IFERROR(__xludf.DUMMYFUNCTION("""COMPUTED_VALUE"""),0.637568914986922)</f>
        <v>0.637568915</v>
      </c>
      <c r="M3067" s="166">
        <f t="shared" si="2"/>
        <v>5.769228045</v>
      </c>
      <c r="N3067" s="167">
        <f t="shared" si="3"/>
        <v>34.70191257</v>
      </c>
      <c r="O3067" s="163">
        <f t="shared" ref="O3067:Q3067" si="3071">rank(I3067,I:I)</f>
        <v>855</v>
      </c>
      <c r="P3067" s="163">
        <f t="shared" si="3071"/>
        <v>382</v>
      </c>
      <c r="Q3067" s="163">
        <f t="shared" si="3071"/>
        <v>444</v>
      </c>
      <c r="R3067" s="163">
        <f>IFERROR(__xludf.DUMMYFUNCTION("RANK(M3067,filter(M:M,C:C=C3067))"),28.0)</f>
        <v>28</v>
      </c>
      <c r="S3067" s="161" t="b">
        <f t="shared" si="5"/>
        <v>0</v>
      </c>
      <c r="T3067" s="161" t="b">
        <f t="array" ref="T3067">index('Query Tool'!B:B,match(H3067,'Query Tool'!C:C,0))</f>
        <v>1</v>
      </c>
      <c r="U3067" s="161" t="b">
        <f t="array" ref="U3067">index('Query Tool'!B:B,match(C3067,'Query Tool'!C:C,0))</f>
        <v>0</v>
      </c>
      <c r="V3067" s="161" t="b">
        <f>F3067&gt;='Query Tool'!C$32</f>
        <v>1</v>
      </c>
      <c r="W3067" s="161" t="b">
        <f t="array" ref="W3067">index(Dropdowns!B:B,match(I3067,Dropdowns!A:A,0))</f>
        <v>1</v>
      </c>
      <c r="X3067" s="161" t="b">
        <f t="array" ref="X3067">index('Query Tool'!B:B,match(D3067,'Query Tool'!C:C,0))</f>
        <v>1</v>
      </c>
      <c r="Y3067" s="161" t="str">
        <f t="shared" si="6"/>
        <v>holidjr01,2019-20</v>
      </c>
      <c r="Z3067" s="168" t="str">
        <f t="array" ref="Z3067">iferror(index(I:I,match($A3067&amp;","&amp;index('Year Conversion'!$A:$A,match($C3067,'Year Conversion'!$B:$B,0)),$Y:$Y,0))-I3067,"")</f>
        <v/>
      </c>
      <c r="AA3067" s="168" t="str">
        <f t="array" ref="AA3067">iferror(index(J:J,match($A3067&amp;","&amp;index('Year Conversion'!$A:$A,match($C3067,'Year Conversion'!$B:$B,0)),$Y:$Y,0))-J3067,"")</f>
        <v/>
      </c>
      <c r="AB3067" s="168" t="str">
        <f t="array" ref="AB3067">iferror(index(K:K,match($A3067&amp;","&amp;index('Year Conversion'!$A:$A,match($C3067,'Year Conversion'!$B:$B,0)),$Y:$Y,0))-K3067,"")</f>
        <v/>
      </c>
      <c r="AC3067" s="168" t="str">
        <f t="shared" si="7"/>
        <v>NOP,2019-20</v>
      </c>
    </row>
    <row r="3068">
      <c r="A3068" s="161" t="str">
        <f>IFERROR(__xludf.DUMMYFUNCTION("""COMPUTED_VALUE"""),"teaguje01")</f>
        <v>teaguje01</v>
      </c>
      <c r="B3068" s="161" t="str">
        <f>IFERROR(__xludf.DUMMYFUNCTION("""COMPUTED_VALUE"""),"Jeff Teague")</f>
        <v>Jeff Teague</v>
      </c>
      <c r="C3068" s="162" t="str">
        <f>IFERROR(__xludf.DUMMYFUNCTION("""COMPUTED_VALUE"""),"2019-20")</f>
        <v>2019-20</v>
      </c>
      <c r="D3068" s="163" t="str">
        <f>IFERROR(__xludf.DUMMYFUNCTION("""COMPUTED_VALUE"""),"TOT")</f>
        <v>TOT</v>
      </c>
      <c r="E3068" s="164" t="str">
        <f>IFERROR(__xludf.DUMMYFUNCTION("""COMPUTED_VALUE"""),"Shot Creator")</f>
        <v>Shot Creator</v>
      </c>
      <c r="F3068" s="164">
        <f>IFERROR(__xludf.DUMMYFUNCTION("""COMPUTED_VALUE"""),1464.27666666667)</f>
        <v>1464.276667</v>
      </c>
      <c r="G3068" s="163">
        <f>IFERROR(__xludf.DUMMYFUNCTION("""COMPUTED_VALUE"""),59.0)</f>
        <v>59</v>
      </c>
      <c r="H3068" s="163" t="str">
        <f>IFERROR(__xludf.DUMMYFUNCTION("""COMPUTED_VALUE"""),"PG")</f>
        <v>PG</v>
      </c>
      <c r="I3068" s="163">
        <f>IFERROR(__xludf.DUMMYFUNCTION("""COMPUTED_VALUE"""),31.0)</f>
        <v>31</v>
      </c>
      <c r="J3068" s="165">
        <f>IFERROR(__xludf.DUMMYFUNCTION("""COMPUTED_VALUE"""),-1.94683100561225)</f>
        <v>-1.946831006</v>
      </c>
      <c r="K3068" s="165">
        <f>IFERROR(__xludf.DUMMYFUNCTION("""COMPUTED_VALUE"""),0.110751712304346)</f>
        <v>0.1107517123</v>
      </c>
      <c r="L3068" s="165">
        <f>IFERROR(__xludf.DUMMYFUNCTION("""COMPUTED_VALUE"""),-2.0575827179166)</f>
        <v>-2.057582718</v>
      </c>
      <c r="M3068" s="166">
        <f t="shared" si="2"/>
        <v>0.3455700229</v>
      </c>
      <c r="N3068" s="167">
        <f t="shared" si="3"/>
        <v>24.81824859</v>
      </c>
      <c r="O3068" s="163">
        <f t="shared" ref="O3068:Q3068" si="3072">rank(I3068,I:I)</f>
        <v>490</v>
      </c>
      <c r="P3068" s="163">
        <f t="shared" si="3072"/>
        <v>3447</v>
      </c>
      <c r="Q3068" s="163">
        <f t="shared" si="3072"/>
        <v>1057</v>
      </c>
      <c r="R3068" s="163">
        <f>IFERROR(__xludf.DUMMYFUNCTION("RANK(M3068,filter(M:M,C:C=C3068))"),288.0)</f>
        <v>288</v>
      </c>
      <c r="S3068" s="161" t="b">
        <f t="shared" si="5"/>
        <v>0</v>
      </c>
      <c r="T3068" s="161" t="b">
        <f t="array" ref="T3068">index('Query Tool'!B:B,match(H3068,'Query Tool'!C:C,0))</f>
        <v>1</v>
      </c>
      <c r="U3068" s="161" t="b">
        <f t="array" ref="U3068">index('Query Tool'!B:B,match(C3068,'Query Tool'!C:C,0))</f>
        <v>0</v>
      </c>
      <c r="V3068" s="161" t="b">
        <f>F3068&gt;='Query Tool'!C$32</f>
        <v>1</v>
      </c>
      <c r="W3068" s="161" t="b">
        <f t="array" ref="W3068">index(Dropdowns!B:B,match(I3068,Dropdowns!A:A,0))</f>
        <v>1</v>
      </c>
      <c r="X3068" s="161" t="b">
        <f t="array" ref="X3068">index('Query Tool'!B:B,match(D3068,'Query Tool'!C:C,0))</f>
        <v>1</v>
      </c>
      <c r="Y3068" s="161" t="str">
        <f t="shared" si="6"/>
        <v>teaguje01,2019-20</v>
      </c>
      <c r="Z3068" s="168" t="str">
        <f t="array" ref="Z3068">iferror(index(I:I,match($A3068&amp;","&amp;index('Year Conversion'!$A:$A,match($C3068,'Year Conversion'!$B:$B,0)),$Y:$Y,0))-I3068,"")</f>
        <v/>
      </c>
      <c r="AA3068" s="168" t="str">
        <f t="array" ref="AA3068">iferror(index(J:J,match($A3068&amp;","&amp;index('Year Conversion'!$A:$A,match($C3068,'Year Conversion'!$B:$B,0)),$Y:$Y,0))-J3068,"")</f>
        <v/>
      </c>
      <c r="AB3068" s="168" t="str">
        <f t="array" ref="AB3068">iferror(index(K:K,match($A3068&amp;","&amp;index('Year Conversion'!$A:$A,match($C3068,'Year Conversion'!$B:$B,0)),$Y:$Y,0))-K3068,"")</f>
        <v/>
      </c>
      <c r="AC3068" s="168" t="str">
        <f t="shared" si="7"/>
        <v>TOT,2019-20</v>
      </c>
    </row>
    <row r="3069">
      <c r="A3069" s="161" t="str">
        <f>IFERROR(__xludf.DUMMYFUNCTION("""COMPUTED_VALUE"""),"gibsota01")</f>
        <v>gibsota01</v>
      </c>
      <c r="B3069" s="161" t="str">
        <f>IFERROR(__xludf.DUMMYFUNCTION("""COMPUTED_VALUE"""),"Taj Gibson")</f>
        <v>Taj Gibson</v>
      </c>
      <c r="C3069" s="162" t="str">
        <f>IFERROR(__xludf.DUMMYFUNCTION("""COMPUTED_VALUE"""),"2019-20")</f>
        <v>2019-20</v>
      </c>
      <c r="D3069" s="163" t="str">
        <f>IFERROR(__xludf.DUMMYFUNCTION("""COMPUTED_VALUE"""),"NYK")</f>
        <v>NYK</v>
      </c>
      <c r="E3069" s="164" t="str">
        <f>IFERROR(__xludf.DUMMYFUNCTION("""COMPUTED_VALUE"""),"Roll + Cut Big")</f>
        <v>Roll + Cut Big</v>
      </c>
      <c r="F3069" s="164">
        <f>IFERROR(__xludf.DUMMYFUNCTION("""COMPUTED_VALUE"""),1025.16666666667)</f>
        <v>1025.166667</v>
      </c>
      <c r="G3069" s="163">
        <f>IFERROR(__xludf.DUMMYFUNCTION("""COMPUTED_VALUE"""),62.0)</f>
        <v>62</v>
      </c>
      <c r="H3069" s="163" t="str">
        <f>IFERROR(__xludf.DUMMYFUNCTION("""COMPUTED_VALUE"""),"C")</f>
        <v>C</v>
      </c>
      <c r="I3069" s="163">
        <f>IFERROR(__xludf.DUMMYFUNCTION("""COMPUTED_VALUE"""),34.0)</f>
        <v>34</v>
      </c>
      <c r="J3069" s="165">
        <f>IFERROR(__xludf.DUMMYFUNCTION("""COMPUTED_VALUE"""),-1.93809567040441)</f>
        <v>-1.93809567</v>
      </c>
      <c r="K3069" s="165">
        <f>IFERROR(__xludf.DUMMYFUNCTION("""COMPUTED_VALUE"""),-2.03177055708578)</f>
        <v>-2.031770557</v>
      </c>
      <c r="L3069" s="165">
        <f>IFERROR(__xludf.DUMMYFUNCTION("""COMPUTED_VALUE"""),0.093674886681368)</f>
        <v>0.09367488668</v>
      </c>
      <c r="M3069" s="166">
        <f t="shared" si="2"/>
        <v>0.2478833772</v>
      </c>
      <c r="N3069" s="167">
        <f t="shared" si="3"/>
        <v>16.53494624</v>
      </c>
      <c r="O3069" s="163">
        <f t="shared" ref="O3069:Q3069" si="3073">rank(I3069,I:I)</f>
        <v>164</v>
      </c>
      <c r="P3069" s="163">
        <f t="shared" si="3073"/>
        <v>3438</v>
      </c>
      <c r="Q3069" s="163">
        <f t="shared" si="3073"/>
        <v>3723</v>
      </c>
      <c r="R3069" s="163">
        <f>IFERROR(__xludf.DUMMYFUNCTION("RANK(M3069,filter(M:M,C:C=C3069))"),321.0)</f>
        <v>321</v>
      </c>
      <c r="S3069" s="161" t="b">
        <f t="shared" si="5"/>
        <v>0</v>
      </c>
      <c r="T3069" s="161" t="b">
        <f t="array" ref="T3069">index('Query Tool'!B:B,match(H3069,'Query Tool'!C:C,0))</f>
        <v>1</v>
      </c>
      <c r="U3069" s="161" t="b">
        <f t="array" ref="U3069">index('Query Tool'!B:B,match(C3069,'Query Tool'!C:C,0))</f>
        <v>0</v>
      </c>
      <c r="V3069" s="161" t="b">
        <f>F3069&gt;='Query Tool'!C$32</f>
        <v>1</v>
      </c>
      <c r="W3069" s="161" t="b">
        <f t="array" ref="W3069">index(Dropdowns!B:B,match(I3069,Dropdowns!A:A,0))</f>
        <v>1</v>
      </c>
      <c r="X3069" s="161" t="b">
        <f t="array" ref="X3069">index('Query Tool'!B:B,match(D3069,'Query Tool'!C:C,0))</f>
        <v>1</v>
      </c>
      <c r="Y3069" s="161" t="str">
        <f t="shared" si="6"/>
        <v>gibsota01,2019-20</v>
      </c>
      <c r="Z3069" s="168" t="str">
        <f t="array" ref="Z3069">iferror(index(I:I,match($A3069&amp;","&amp;index('Year Conversion'!$A:$A,match($C3069,'Year Conversion'!$B:$B,0)),$Y:$Y,0))-I3069,"")</f>
        <v/>
      </c>
      <c r="AA3069" s="168" t="str">
        <f t="array" ref="AA3069">iferror(index(J:J,match($A3069&amp;","&amp;index('Year Conversion'!$A:$A,match($C3069,'Year Conversion'!$B:$B,0)),$Y:$Y,0))-J3069,"")</f>
        <v/>
      </c>
      <c r="AB3069" s="168" t="str">
        <f t="array" ref="AB3069">iferror(index(K:K,match($A3069&amp;","&amp;index('Year Conversion'!$A:$A,match($C3069,'Year Conversion'!$B:$B,0)),$Y:$Y,0))-K3069,"")</f>
        <v/>
      </c>
      <c r="AC3069" s="168" t="str">
        <f t="shared" si="7"/>
        <v>NYK,2019-20</v>
      </c>
    </row>
    <row r="3070">
      <c r="A3070" s="161" t="str">
        <f>IFERROR(__xludf.DUMMYFUNCTION("""COMPUTED_VALUE"""),"carrode01")</f>
        <v>carrode01</v>
      </c>
      <c r="B3070" s="161" t="str">
        <f>IFERROR(__xludf.DUMMYFUNCTION("""COMPUTED_VALUE"""),"DeMarre Carroll")</f>
        <v>DeMarre Carroll</v>
      </c>
      <c r="C3070" s="162" t="str">
        <f>IFERROR(__xludf.DUMMYFUNCTION("""COMPUTED_VALUE"""),"2019-20")</f>
        <v>2019-20</v>
      </c>
      <c r="D3070" s="163" t="str">
        <f>IFERROR(__xludf.DUMMYFUNCTION("""COMPUTED_VALUE"""),"TOT")</f>
        <v>TOT</v>
      </c>
      <c r="E3070" s="164" t="str">
        <f>IFERROR(__xludf.DUMMYFUNCTION("""COMPUTED_VALUE"""),"Stationary Shooter")</f>
        <v>Stationary Shooter</v>
      </c>
      <c r="F3070" s="164">
        <f>IFERROR(__xludf.DUMMYFUNCTION("""COMPUTED_VALUE"""),289.866666666667)</f>
        <v>289.8666667</v>
      </c>
      <c r="G3070" s="163">
        <f>IFERROR(__xludf.DUMMYFUNCTION("""COMPUTED_VALUE"""),24.0)</f>
        <v>24</v>
      </c>
      <c r="H3070" s="163" t="str">
        <f>IFERROR(__xludf.DUMMYFUNCTION("""COMPUTED_VALUE"""),"SF-C")</f>
        <v>SF-C</v>
      </c>
      <c r="I3070" s="163">
        <f>IFERROR(__xludf.DUMMYFUNCTION("""COMPUTED_VALUE"""),33.0)</f>
        <v>33</v>
      </c>
      <c r="J3070" s="165">
        <f>IFERROR(__xludf.DUMMYFUNCTION("""COMPUTED_VALUE"""),-0.8525284550667)</f>
        <v>-0.8525284551</v>
      </c>
      <c r="K3070" s="165">
        <f>IFERROR(__xludf.DUMMYFUNCTION("""COMPUTED_VALUE"""),-1.04361740236065)</f>
        <v>-1.043617402</v>
      </c>
      <c r="L3070" s="165">
        <f>IFERROR(__xludf.DUMMYFUNCTION("""COMPUTED_VALUE"""),0.191088947293952)</f>
        <v>0.1910889473</v>
      </c>
      <c r="M3070" s="166">
        <f t="shared" si="2"/>
        <v>0.2804402849</v>
      </c>
      <c r="N3070" s="167">
        <f t="shared" si="3"/>
        <v>12.07777778</v>
      </c>
      <c r="O3070" s="163">
        <f t="shared" ref="O3070:Q3070" si="3074">rank(I3070,I:I)</f>
        <v>246</v>
      </c>
      <c r="P3070" s="163">
        <f t="shared" si="3074"/>
        <v>2347</v>
      </c>
      <c r="Q3070" s="163">
        <f t="shared" si="3074"/>
        <v>2861</v>
      </c>
      <c r="R3070" s="163">
        <f>IFERROR(__xludf.DUMMYFUNCTION("RANK(M3070,filter(M:M,C:C=C3070))"),311.0)</f>
        <v>311</v>
      </c>
      <c r="S3070" s="161" t="b">
        <f t="shared" si="5"/>
        <v>0</v>
      </c>
      <c r="T3070" s="161" t="str">
        <f t="array" ref="T3070">index('Query Tool'!B:B,match(H3070,'Query Tool'!C:C,0))</f>
        <v>#N/A</v>
      </c>
      <c r="U3070" s="161" t="b">
        <f t="array" ref="U3070">index('Query Tool'!B:B,match(C3070,'Query Tool'!C:C,0))</f>
        <v>0</v>
      </c>
      <c r="V3070" s="161" t="b">
        <f>F3070&gt;='Query Tool'!C$32</f>
        <v>0</v>
      </c>
      <c r="W3070" s="161" t="b">
        <f t="array" ref="W3070">index(Dropdowns!B:B,match(I3070,Dropdowns!A:A,0))</f>
        <v>1</v>
      </c>
      <c r="X3070" s="161" t="b">
        <f t="array" ref="X3070">index('Query Tool'!B:B,match(D3070,'Query Tool'!C:C,0))</f>
        <v>1</v>
      </c>
      <c r="Y3070" s="161" t="str">
        <f t="shared" si="6"/>
        <v>carrode01,2019-20</v>
      </c>
      <c r="Z3070" s="168" t="str">
        <f t="array" ref="Z3070">iferror(index(I:I,match($A3070&amp;","&amp;index('Year Conversion'!$A:$A,match($C3070,'Year Conversion'!$B:$B,0)),$Y:$Y,0))-I3070,"")</f>
        <v/>
      </c>
      <c r="AA3070" s="168" t="str">
        <f t="array" ref="AA3070">iferror(index(J:J,match($A3070&amp;","&amp;index('Year Conversion'!$A:$A,match($C3070,'Year Conversion'!$B:$B,0)),$Y:$Y,0))-J3070,"")</f>
        <v/>
      </c>
      <c r="AB3070" s="168" t="str">
        <f t="array" ref="AB3070">iferror(index(K:K,match($A3070&amp;","&amp;index('Year Conversion'!$A:$A,match($C3070,'Year Conversion'!$B:$B,0)),$Y:$Y,0))-K3070,"")</f>
        <v/>
      </c>
      <c r="AC3070" s="168" t="str">
        <f t="shared" si="7"/>
        <v>TOT,2019-20</v>
      </c>
    </row>
    <row r="3071">
      <c r="A3071" s="161" t="str">
        <f>IFERROR(__xludf.DUMMYFUNCTION("""COMPUTED_VALUE"""),"ellinwa01")</f>
        <v>ellinwa01</v>
      </c>
      <c r="B3071" s="161" t="str">
        <f>IFERROR(__xludf.DUMMYFUNCTION("""COMPUTED_VALUE"""),"Wayne Ellington")</f>
        <v>Wayne Ellington</v>
      </c>
      <c r="C3071" s="162" t="str">
        <f>IFERROR(__xludf.DUMMYFUNCTION("""COMPUTED_VALUE"""),"2019-20")</f>
        <v>2019-20</v>
      </c>
      <c r="D3071" s="163" t="str">
        <f>IFERROR(__xludf.DUMMYFUNCTION("""COMPUTED_VALUE"""),"NYK")</f>
        <v>NYK</v>
      </c>
      <c r="E3071" s="164" t="str">
        <f>IFERROR(__xludf.DUMMYFUNCTION("""COMPUTED_VALUE"""),"Off Screen Shooter")</f>
        <v>Off Screen Shooter</v>
      </c>
      <c r="F3071" s="164">
        <f>IFERROR(__xludf.DUMMYFUNCTION("""COMPUTED_VALUE"""),558.385)</f>
        <v>558.385</v>
      </c>
      <c r="G3071" s="163">
        <f>IFERROR(__xludf.DUMMYFUNCTION("""COMPUTED_VALUE"""),36.0)</f>
        <v>36</v>
      </c>
      <c r="H3071" s="163" t="str">
        <f>IFERROR(__xludf.DUMMYFUNCTION("""COMPUTED_VALUE"""),"SG")</f>
        <v>SG</v>
      </c>
      <c r="I3071" s="163">
        <f>IFERROR(__xludf.DUMMYFUNCTION("""COMPUTED_VALUE"""),32.0)</f>
        <v>32</v>
      </c>
      <c r="J3071" s="165">
        <f>IFERROR(__xludf.DUMMYFUNCTION("""COMPUTED_VALUE"""),-0.804149631755902)</f>
        <v>-0.8041496318</v>
      </c>
      <c r="K3071" s="165">
        <f>IFERROR(__xludf.DUMMYFUNCTION("""COMPUTED_VALUE"""),-0.0772600574475849)</f>
        <v>-0.07726005745</v>
      </c>
      <c r="L3071" s="165">
        <f>IFERROR(__xludf.DUMMYFUNCTION("""COMPUTED_VALUE"""),-0.726889574308318)</f>
        <v>-0.7268895743</v>
      </c>
      <c r="M3071" s="166">
        <f t="shared" si="2"/>
        <v>0.5583870529</v>
      </c>
      <c r="N3071" s="167">
        <f t="shared" si="3"/>
        <v>15.51069444</v>
      </c>
      <c r="O3071" s="163">
        <f t="shared" ref="O3071:Q3071" si="3075">rank(I3071,I:I)</f>
        <v>359</v>
      </c>
      <c r="P3071" s="163">
        <f t="shared" si="3075"/>
        <v>2283</v>
      </c>
      <c r="Q3071" s="163">
        <f t="shared" si="3075"/>
        <v>1319</v>
      </c>
      <c r="R3071" s="163">
        <f>IFERROR(__xludf.DUMMYFUNCTION("RANK(M3071,filter(M:M,C:C=C3071))"),249.0)</f>
        <v>249</v>
      </c>
      <c r="S3071" s="161" t="b">
        <f t="shared" si="5"/>
        <v>0</v>
      </c>
      <c r="T3071" s="161" t="b">
        <f t="array" ref="T3071">index('Query Tool'!B:B,match(H3071,'Query Tool'!C:C,0))</f>
        <v>1</v>
      </c>
      <c r="U3071" s="161" t="b">
        <f t="array" ref="U3071">index('Query Tool'!B:B,match(C3071,'Query Tool'!C:C,0))</f>
        <v>0</v>
      </c>
      <c r="V3071" s="161" t="b">
        <f>F3071&gt;='Query Tool'!C$32</f>
        <v>1</v>
      </c>
      <c r="W3071" s="161" t="b">
        <f t="array" ref="W3071">index(Dropdowns!B:B,match(I3071,Dropdowns!A:A,0))</f>
        <v>1</v>
      </c>
      <c r="X3071" s="161" t="b">
        <f t="array" ref="X3071">index('Query Tool'!B:B,match(D3071,'Query Tool'!C:C,0))</f>
        <v>1</v>
      </c>
      <c r="Y3071" s="161" t="str">
        <f t="shared" si="6"/>
        <v>ellinwa01,2019-20</v>
      </c>
      <c r="Z3071" s="168" t="str">
        <f t="array" ref="Z3071">iferror(index(I:I,match($A3071&amp;","&amp;index('Year Conversion'!$A:$A,match($C3071,'Year Conversion'!$B:$B,0)),$Y:$Y,0))-I3071,"")</f>
        <v/>
      </c>
      <c r="AA3071" s="168" t="str">
        <f t="array" ref="AA3071">iferror(index(J:J,match($A3071&amp;","&amp;index('Year Conversion'!$A:$A,match($C3071,'Year Conversion'!$B:$B,0)),$Y:$Y,0))-J3071,"")</f>
        <v/>
      </c>
      <c r="AB3071" s="168" t="str">
        <f t="array" ref="AB3071">iferror(index(K:K,match($A3071&amp;","&amp;index('Year Conversion'!$A:$A,match($C3071,'Year Conversion'!$B:$B,0)),$Y:$Y,0))-K3071,"")</f>
        <v/>
      </c>
      <c r="AC3071" s="168" t="str">
        <f t="shared" si="7"/>
        <v>NYK,2019-20</v>
      </c>
    </row>
    <row r="3072">
      <c r="A3072" s="161" t="str">
        <f>IFERROR(__xludf.DUMMYFUNCTION("""COMPUTED_VALUE"""),"beverpa01")</f>
        <v>beverpa01</v>
      </c>
      <c r="B3072" s="161" t="str">
        <f>IFERROR(__xludf.DUMMYFUNCTION("""COMPUTED_VALUE"""),"Patrick Beverley")</f>
        <v>Patrick Beverley</v>
      </c>
      <c r="C3072" s="162" t="str">
        <f>IFERROR(__xludf.DUMMYFUNCTION("""COMPUTED_VALUE"""),"2019-20")</f>
        <v>2019-20</v>
      </c>
      <c r="D3072" s="163" t="str">
        <f>IFERROR(__xludf.DUMMYFUNCTION("""COMPUTED_VALUE"""),"LAC")</f>
        <v>LAC</v>
      </c>
      <c r="E3072" s="164" t="str">
        <f>IFERROR(__xludf.DUMMYFUNCTION("""COMPUTED_VALUE"""),"Primary Ball Handler")</f>
        <v>Primary Ball Handler</v>
      </c>
      <c r="F3072" s="164">
        <f>IFERROR(__xludf.DUMMYFUNCTION("""COMPUTED_VALUE"""),1341.70166666667)</f>
        <v>1341.701667</v>
      </c>
      <c r="G3072" s="163">
        <f>IFERROR(__xludf.DUMMYFUNCTION("""COMPUTED_VALUE"""),51.0)</f>
        <v>51</v>
      </c>
      <c r="H3072" s="163" t="str">
        <f>IFERROR(__xludf.DUMMYFUNCTION("""COMPUTED_VALUE"""),"PG")</f>
        <v>PG</v>
      </c>
      <c r="I3072" s="163">
        <f>IFERROR(__xludf.DUMMYFUNCTION("""COMPUTED_VALUE"""),31.0)</f>
        <v>31</v>
      </c>
      <c r="J3072" s="165">
        <f>IFERROR(__xludf.DUMMYFUNCTION("""COMPUTED_VALUE"""),2.01246856038522)</f>
        <v>2.01246856</v>
      </c>
      <c r="K3072" s="165">
        <f>IFERROR(__xludf.DUMMYFUNCTION("""COMPUTED_VALUE"""),-0.314407975788242)</f>
        <v>-0.3144079758</v>
      </c>
      <c r="L3072" s="165">
        <f>IFERROR(__xludf.DUMMYFUNCTION("""COMPUTED_VALUE"""),2.32687653617346)</f>
        <v>2.326876536</v>
      </c>
      <c r="M3072" s="166">
        <f t="shared" si="2"/>
        <v>3.878685054</v>
      </c>
      <c r="N3072" s="167">
        <f t="shared" si="3"/>
        <v>26.30787582</v>
      </c>
      <c r="O3072" s="163">
        <f t="shared" ref="O3072:Q3072" si="3076">rank(I3072,I:I)</f>
        <v>490</v>
      </c>
      <c r="P3072" s="163">
        <f t="shared" si="3076"/>
        <v>322</v>
      </c>
      <c r="Q3072" s="163">
        <f t="shared" si="3076"/>
        <v>1784</v>
      </c>
      <c r="R3072" s="163">
        <f>IFERROR(__xludf.DUMMYFUNCTION("RANK(M3072,filter(M:M,C:C=C3072))"),70.0)</f>
        <v>70</v>
      </c>
      <c r="S3072" s="161" t="b">
        <f t="shared" si="5"/>
        <v>0</v>
      </c>
      <c r="T3072" s="161" t="b">
        <f t="array" ref="T3072">index('Query Tool'!B:B,match(H3072,'Query Tool'!C:C,0))</f>
        <v>1</v>
      </c>
      <c r="U3072" s="161" t="b">
        <f t="array" ref="U3072">index('Query Tool'!B:B,match(C3072,'Query Tool'!C:C,0))</f>
        <v>0</v>
      </c>
      <c r="V3072" s="161" t="b">
        <f>F3072&gt;='Query Tool'!C$32</f>
        <v>1</v>
      </c>
      <c r="W3072" s="161" t="b">
        <f t="array" ref="W3072">index(Dropdowns!B:B,match(I3072,Dropdowns!A:A,0))</f>
        <v>1</v>
      </c>
      <c r="X3072" s="161" t="b">
        <f t="array" ref="X3072">index('Query Tool'!B:B,match(D3072,'Query Tool'!C:C,0))</f>
        <v>1</v>
      </c>
      <c r="Y3072" s="161" t="str">
        <f t="shared" si="6"/>
        <v>beverpa01,2019-20</v>
      </c>
      <c r="Z3072" s="168" t="str">
        <f t="array" ref="Z3072">iferror(index(I:I,match($A3072&amp;","&amp;index('Year Conversion'!$A:$A,match($C3072,'Year Conversion'!$B:$B,0)),$Y:$Y,0))-I3072,"")</f>
        <v/>
      </c>
      <c r="AA3072" s="168" t="str">
        <f t="array" ref="AA3072">iferror(index(J:J,match($A3072&amp;","&amp;index('Year Conversion'!$A:$A,match($C3072,'Year Conversion'!$B:$B,0)),$Y:$Y,0))-J3072,"")</f>
        <v/>
      </c>
      <c r="AB3072" s="168" t="str">
        <f t="array" ref="AB3072">iferror(index(K:K,match($A3072&amp;","&amp;index('Year Conversion'!$A:$A,match($C3072,'Year Conversion'!$B:$B,0)),$Y:$Y,0))-K3072,"")</f>
        <v/>
      </c>
      <c r="AC3072" s="168" t="str">
        <f t="shared" si="7"/>
        <v>LAC,2019-20</v>
      </c>
    </row>
    <row r="3073">
      <c r="A3073" s="161" t="str">
        <f>IFERROR(__xludf.DUMMYFUNCTION("""COMPUTED_VALUE"""),"greenda02")</f>
        <v>greenda02</v>
      </c>
      <c r="B3073" s="161" t="str">
        <f>IFERROR(__xludf.DUMMYFUNCTION("""COMPUTED_VALUE"""),"Danny Green")</f>
        <v>Danny Green</v>
      </c>
      <c r="C3073" s="162" t="str">
        <f>IFERROR(__xludf.DUMMYFUNCTION("""COMPUTED_VALUE"""),"2019-20")</f>
        <v>2019-20</v>
      </c>
      <c r="D3073" s="163" t="str">
        <f>IFERROR(__xludf.DUMMYFUNCTION("""COMPUTED_VALUE"""),"LAL")</f>
        <v>LAL</v>
      </c>
      <c r="E3073" s="164" t="str">
        <f>IFERROR(__xludf.DUMMYFUNCTION("""COMPUTED_VALUE"""),"Movement Shooter")</f>
        <v>Movement Shooter</v>
      </c>
      <c r="F3073" s="164">
        <f>IFERROR(__xludf.DUMMYFUNCTION("""COMPUTED_VALUE"""),1686.72)</f>
        <v>1686.72</v>
      </c>
      <c r="G3073" s="163">
        <f>IFERROR(__xludf.DUMMYFUNCTION("""COMPUTED_VALUE"""),68.0)</f>
        <v>68</v>
      </c>
      <c r="H3073" s="163" t="str">
        <f>IFERROR(__xludf.DUMMYFUNCTION("""COMPUTED_VALUE"""),"SG")</f>
        <v>SG</v>
      </c>
      <c r="I3073" s="163">
        <f>IFERROR(__xludf.DUMMYFUNCTION("""COMPUTED_VALUE"""),32.0)</f>
        <v>32</v>
      </c>
      <c r="J3073" s="165">
        <f>IFERROR(__xludf.DUMMYFUNCTION("""COMPUTED_VALUE"""),1.12207500522862)</f>
        <v>1.122075005</v>
      </c>
      <c r="K3073" s="165">
        <f>IFERROR(__xludf.DUMMYFUNCTION("""COMPUTED_VALUE"""),0.0241861182503362)</f>
        <v>0.02418611825</v>
      </c>
      <c r="L3073" s="165">
        <f>IFERROR(__xludf.DUMMYFUNCTION("""COMPUTED_VALUE"""),1.09788888697828)</f>
        <v>1.097888887</v>
      </c>
      <c r="M3073" s="166">
        <f t="shared" si="2"/>
        <v>3.874122307</v>
      </c>
      <c r="N3073" s="167">
        <f t="shared" si="3"/>
        <v>24.80470588</v>
      </c>
      <c r="O3073" s="163">
        <f t="shared" ref="O3073:Q3073" si="3077">rank(I3073,I:I)</f>
        <v>359</v>
      </c>
      <c r="P3073" s="163">
        <f t="shared" si="3077"/>
        <v>606</v>
      </c>
      <c r="Q3073" s="163">
        <f t="shared" si="3077"/>
        <v>1167</v>
      </c>
      <c r="R3073" s="163">
        <f>IFERROR(__xludf.DUMMYFUNCTION("RANK(M3073,filter(M:M,C:C=C3073))"),71.0)</f>
        <v>71</v>
      </c>
      <c r="S3073" s="161" t="b">
        <f t="shared" si="5"/>
        <v>0</v>
      </c>
      <c r="T3073" s="161" t="b">
        <f t="array" ref="T3073">index('Query Tool'!B:B,match(H3073,'Query Tool'!C:C,0))</f>
        <v>1</v>
      </c>
      <c r="U3073" s="161" t="b">
        <f t="array" ref="U3073">index('Query Tool'!B:B,match(C3073,'Query Tool'!C:C,0))</f>
        <v>0</v>
      </c>
      <c r="V3073" s="161" t="b">
        <f>F3073&gt;='Query Tool'!C$32</f>
        <v>1</v>
      </c>
      <c r="W3073" s="161" t="b">
        <f t="array" ref="W3073">index(Dropdowns!B:B,match(I3073,Dropdowns!A:A,0))</f>
        <v>1</v>
      </c>
      <c r="X3073" s="161" t="b">
        <f t="array" ref="X3073">index('Query Tool'!B:B,match(D3073,'Query Tool'!C:C,0))</f>
        <v>1</v>
      </c>
      <c r="Y3073" s="161" t="str">
        <f t="shared" si="6"/>
        <v>greenda02,2019-20</v>
      </c>
      <c r="Z3073" s="168" t="str">
        <f t="array" ref="Z3073">iferror(index(I:I,match($A3073&amp;","&amp;index('Year Conversion'!$A:$A,match($C3073,'Year Conversion'!$B:$B,0)),$Y:$Y,0))-I3073,"")</f>
        <v/>
      </c>
      <c r="AA3073" s="168" t="str">
        <f t="array" ref="AA3073">iferror(index(J:J,match($A3073&amp;","&amp;index('Year Conversion'!$A:$A,match($C3073,'Year Conversion'!$B:$B,0)),$Y:$Y,0))-J3073,"")</f>
        <v/>
      </c>
      <c r="AB3073" s="168" t="str">
        <f t="array" ref="AB3073">iferror(index(K:K,match($A3073&amp;","&amp;index('Year Conversion'!$A:$A,match($C3073,'Year Conversion'!$B:$B,0)),$Y:$Y,0))-K3073,"")</f>
        <v/>
      </c>
      <c r="AC3073" s="168" t="str">
        <f t="shared" si="7"/>
        <v>LAL,2019-20</v>
      </c>
    </row>
    <row r="3074">
      <c r="A3074" s="161" t="str">
        <f>IFERROR(__xludf.DUMMYFUNCTION("""COMPUTED_VALUE"""),"millspa02")</f>
        <v>millspa02</v>
      </c>
      <c r="B3074" s="161" t="str">
        <f>IFERROR(__xludf.DUMMYFUNCTION("""COMPUTED_VALUE"""),"Patty Mills")</f>
        <v>Patty Mills</v>
      </c>
      <c r="C3074" s="162" t="str">
        <f>IFERROR(__xludf.DUMMYFUNCTION("""COMPUTED_VALUE"""),"2019-20")</f>
        <v>2019-20</v>
      </c>
      <c r="D3074" s="163" t="str">
        <f>IFERROR(__xludf.DUMMYFUNCTION("""COMPUTED_VALUE"""),"SAS")</f>
        <v>SAS</v>
      </c>
      <c r="E3074" s="164" t="str">
        <f>IFERROR(__xludf.DUMMYFUNCTION("""COMPUTED_VALUE"""),"Secondary Ball Handler")</f>
        <v>Secondary Ball Handler</v>
      </c>
      <c r="F3074" s="164">
        <f>IFERROR(__xludf.DUMMYFUNCTION("""COMPUTED_VALUE"""),1484.74833333333)</f>
        <v>1484.748333</v>
      </c>
      <c r="G3074" s="163">
        <f>IFERROR(__xludf.DUMMYFUNCTION("""COMPUTED_VALUE"""),66.0)</f>
        <v>66</v>
      </c>
      <c r="H3074" s="163" t="str">
        <f>IFERROR(__xludf.DUMMYFUNCTION("""COMPUTED_VALUE"""),"PG")</f>
        <v>PG</v>
      </c>
      <c r="I3074" s="163">
        <f>IFERROR(__xludf.DUMMYFUNCTION("""COMPUTED_VALUE"""),31.0)</f>
        <v>31</v>
      </c>
      <c r="J3074" s="165">
        <f>IFERROR(__xludf.DUMMYFUNCTION("""COMPUTED_VALUE"""),0.877979066985799)</f>
        <v>0.877979067</v>
      </c>
      <c r="K3074" s="165">
        <f>IFERROR(__xludf.DUMMYFUNCTION("""COMPUTED_VALUE"""),1.99766010345486)</f>
        <v>1.997660103</v>
      </c>
      <c r="L3074" s="165">
        <f>IFERROR(__xludf.DUMMYFUNCTION("""COMPUTED_VALUE"""),-1.11968103646906)</f>
        <v>-1.119681036</v>
      </c>
      <c r="M3074" s="166">
        <f t="shared" si="2"/>
        <v>3.166906079</v>
      </c>
      <c r="N3074" s="167">
        <f t="shared" si="3"/>
        <v>22.49618687</v>
      </c>
      <c r="O3074" s="163">
        <f t="shared" ref="O3074:Q3074" si="3078">rank(I3074,I:I)</f>
        <v>490</v>
      </c>
      <c r="P3074" s="163">
        <f t="shared" si="3078"/>
        <v>705</v>
      </c>
      <c r="Q3074" s="163">
        <f t="shared" si="3078"/>
        <v>226</v>
      </c>
      <c r="R3074" s="163">
        <f>IFERROR(__xludf.DUMMYFUNCTION("RANK(M3074,filter(M:M,C:C=C3074))"),95.0)</f>
        <v>95</v>
      </c>
      <c r="S3074" s="161" t="b">
        <f t="shared" si="5"/>
        <v>0</v>
      </c>
      <c r="T3074" s="161" t="b">
        <f t="array" ref="T3074">index('Query Tool'!B:B,match(H3074,'Query Tool'!C:C,0))</f>
        <v>1</v>
      </c>
      <c r="U3074" s="161" t="b">
        <f t="array" ref="U3074">index('Query Tool'!B:B,match(C3074,'Query Tool'!C:C,0))</f>
        <v>0</v>
      </c>
      <c r="V3074" s="161" t="b">
        <f>F3074&gt;='Query Tool'!C$32</f>
        <v>1</v>
      </c>
      <c r="W3074" s="161" t="b">
        <f t="array" ref="W3074">index(Dropdowns!B:B,match(I3074,Dropdowns!A:A,0))</f>
        <v>1</v>
      </c>
      <c r="X3074" s="161" t="b">
        <f t="array" ref="X3074">index('Query Tool'!B:B,match(D3074,'Query Tool'!C:C,0))</f>
        <v>1</v>
      </c>
      <c r="Y3074" s="161" t="str">
        <f t="shared" si="6"/>
        <v>millspa02,2019-20</v>
      </c>
      <c r="Z3074" s="168" t="str">
        <f t="array" ref="Z3074">iferror(index(I:I,match($A3074&amp;","&amp;index('Year Conversion'!$A:$A,match($C3074,'Year Conversion'!$B:$B,0)),$Y:$Y,0))-I3074,"")</f>
        <v/>
      </c>
      <c r="AA3074" s="168" t="str">
        <f t="array" ref="AA3074">iferror(index(J:J,match($A3074&amp;","&amp;index('Year Conversion'!$A:$A,match($C3074,'Year Conversion'!$B:$B,0)),$Y:$Y,0))-J3074,"")</f>
        <v/>
      </c>
      <c r="AB3074" s="168" t="str">
        <f t="array" ref="AB3074">iferror(index(K:K,match($A3074&amp;","&amp;index('Year Conversion'!$A:$A,match($C3074,'Year Conversion'!$B:$B,0)),$Y:$Y,0))-K3074,"")</f>
        <v/>
      </c>
      <c r="AC3074" s="168" t="str">
        <f t="shared" si="7"/>
        <v>SAS,2019-20</v>
      </c>
    </row>
    <row r="3075">
      <c r="A3075" s="161" t="str">
        <f>IFERROR(__xludf.DUMMYFUNCTION("""COMPUTED_VALUE"""),"templga01")</f>
        <v>templga01</v>
      </c>
      <c r="B3075" s="161" t="str">
        <f>IFERROR(__xludf.DUMMYFUNCTION("""COMPUTED_VALUE"""),"Garrett Temple")</f>
        <v>Garrett Temple</v>
      </c>
      <c r="C3075" s="162" t="str">
        <f>IFERROR(__xludf.DUMMYFUNCTION("""COMPUTED_VALUE"""),"2019-20")</f>
        <v>2019-20</v>
      </c>
      <c r="D3075" s="163" t="str">
        <f>IFERROR(__xludf.DUMMYFUNCTION("""COMPUTED_VALUE"""),"BRK")</f>
        <v>BRK</v>
      </c>
      <c r="E3075" s="164" t="str">
        <f>IFERROR(__xludf.DUMMYFUNCTION("""COMPUTED_VALUE"""),"Movement Shooter")</f>
        <v>Movement Shooter</v>
      </c>
      <c r="F3075" s="164">
        <f>IFERROR(__xludf.DUMMYFUNCTION("""COMPUTED_VALUE"""),1729.77166666667)</f>
        <v>1729.771667</v>
      </c>
      <c r="G3075" s="163">
        <f>IFERROR(__xludf.DUMMYFUNCTION("""COMPUTED_VALUE"""),62.0)</f>
        <v>62</v>
      </c>
      <c r="H3075" s="163" t="str">
        <f>IFERROR(__xludf.DUMMYFUNCTION("""COMPUTED_VALUE"""),"SG")</f>
        <v>SG</v>
      </c>
      <c r="I3075" s="163">
        <f>IFERROR(__xludf.DUMMYFUNCTION("""COMPUTED_VALUE"""),33.0)</f>
        <v>33</v>
      </c>
      <c r="J3075" s="165">
        <f>IFERROR(__xludf.DUMMYFUNCTION("""COMPUTED_VALUE"""),-1.42779606903253)</f>
        <v>-1.427796069</v>
      </c>
      <c r="K3075" s="165">
        <f>IFERROR(__xludf.DUMMYFUNCTION("""COMPUTED_VALUE"""),-1.00828977376427)</f>
        <v>-1.008289774</v>
      </c>
      <c r="L3075" s="165">
        <f>IFERROR(__xludf.DUMMYFUNCTION("""COMPUTED_VALUE"""),-0.419506295268257)</f>
        <v>-0.4195062953</v>
      </c>
      <c r="M3075" s="166">
        <f t="shared" si="2"/>
        <v>1.006343048</v>
      </c>
      <c r="N3075" s="167">
        <f t="shared" si="3"/>
        <v>27.89954301</v>
      </c>
      <c r="O3075" s="163">
        <f t="shared" ref="O3075:Q3075" si="3079">rank(I3075,I:I)</f>
        <v>246</v>
      </c>
      <c r="P3075" s="163">
        <f t="shared" si="3079"/>
        <v>2988</v>
      </c>
      <c r="Q3075" s="163">
        <f t="shared" si="3079"/>
        <v>2815</v>
      </c>
      <c r="R3075" s="163">
        <f>IFERROR(__xludf.DUMMYFUNCTION("RANK(M3075,filter(M:M,C:C=C3075))"),211.0)</f>
        <v>211</v>
      </c>
      <c r="S3075" s="161" t="b">
        <f t="shared" si="5"/>
        <v>0</v>
      </c>
      <c r="T3075" s="161" t="b">
        <f t="array" ref="T3075">index('Query Tool'!B:B,match(H3075,'Query Tool'!C:C,0))</f>
        <v>1</v>
      </c>
      <c r="U3075" s="161" t="b">
        <f t="array" ref="U3075">index('Query Tool'!B:B,match(C3075,'Query Tool'!C:C,0))</f>
        <v>0</v>
      </c>
      <c r="V3075" s="161" t="b">
        <f>F3075&gt;='Query Tool'!C$32</f>
        <v>1</v>
      </c>
      <c r="W3075" s="161" t="b">
        <f t="array" ref="W3075">index(Dropdowns!B:B,match(I3075,Dropdowns!A:A,0))</f>
        <v>1</v>
      </c>
      <c r="X3075" s="161" t="b">
        <f t="array" ref="X3075">index('Query Tool'!B:B,match(D3075,'Query Tool'!C:C,0))</f>
        <v>1</v>
      </c>
      <c r="Y3075" s="161" t="str">
        <f t="shared" si="6"/>
        <v>templga01,2019-20</v>
      </c>
      <c r="Z3075" s="168" t="str">
        <f t="array" ref="Z3075">iferror(index(I:I,match($A3075&amp;","&amp;index('Year Conversion'!$A:$A,match($C3075,'Year Conversion'!$B:$B,0)),$Y:$Y,0))-I3075,"")</f>
        <v/>
      </c>
      <c r="AA3075" s="168" t="str">
        <f t="array" ref="AA3075">iferror(index(J:J,match($A3075&amp;","&amp;index('Year Conversion'!$A:$A,match($C3075,'Year Conversion'!$B:$B,0)),$Y:$Y,0))-J3075,"")</f>
        <v/>
      </c>
      <c r="AB3075" s="168" t="str">
        <f t="array" ref="AB3075">iferror(index(K:K,match($A3075&amp;","&amp;index('Year Conversion'!$A:$A,match($C3075,'Year Conversion'!$B:$B,0)),$Y:$Y,0))-K3075,"")</f>
        <v/>
      </c>
      <c r="AC3075" s="168" t="str">
        <f t="shared" si="7"/>
        <v>BRK,2019-20</v>
      </c>
    </row>
    <row r="3076">
      <c r="A3076" s="161" t="str">
        <f>IFERROR(__xludf.DUMMYFUNCTION("""COMPUTED_VALUE"""),"matthwe02")</f>
        <v>matthwe02</v>
      </c>
      <c r="B3076" s="161" t="str">
        <f>IFERROR(__xludf.DUMMYFUNCTION("""COMPUTED_VALUE"""),"Wesley Matthews")</f>
        <v>Wesley Matthews</v>
      </c>
      <c r="C3076" s="162" t="str">
        <f>IFERROR(__xludf.DUMMYFUNCTION("""COMPUTED_VALUE"""),"2019-20")</f>
        <v>2019-20</v>
      </c>
      <c r="D3076" s="163" t="str">
        <f>IFERROR(__xludf.DUMMYFUNCTION("""COMPUTED_VALUE"""),"MIL")</f>
        <v>MIL</v>
      </c>
      <c r="E3076" s="164" t="str">
        <f>IFERROR(__xludf.DUMMYFUNCTION("""COMPUTED_VALUE"""),"Movement Shooter")</f>
        <v>Movement Shooter</v>
      </c>
      <c r="F3076" s="164">
        <f>IFERROR(__xludf.DUMMYFUNCTION("""COMPUTED_VALUE"""),1634.865)</f>
        <v>1634.865</v>
      </c>
      <c r="G3076" s="163">
        <f>IFERROR(__xludf.DUMMYFUNCTION("""COMPUTED_VALUE"""),67.0)</f>
        <v>67</v>
      </c>
      <c r="H3076" s="163" t="str">
        <f>IFERROR(__xludf.DUMMYFUNCTION("""COMPUTED_VALUE"""),"SG")</f>
        <v>SG</v>
      </c>
      <c r="I3076" s="163">
        <f>IFERROR(__xludf.DUMMYFUNCTION("""COMPUTED_VALUE"""),33.0)</f>
        <v>33</v>
      </c>
      <c r="J3076" s="165">
        <f>IFERROR(__xludf.DUMMYFUNCTION("""COMPUTED_VALUE"""),0.29080607215313)</f>
        <v>0.2908060722</v>
      </c>
      <c r="K3076" s="165">
        <f>IFERROR(__xludf.DUMMYFUNCTION("""COMPUTED_VALUE"""),-1.70826615829504)</f>
        <v>-1.708266158</v>
      </c>
      <c r="L3076" s="165">
        <f>IFERROR(__xludf.DUMMYFUNCTION("""COMPUTED_VALUE"""),1.99907223044816)</f>
        <v>1.99907223</v>
      </c>
      <c r="M3076" s="166">
        <f t="shared" si="2"/>
        <v>2.840908391</v>
      </c>
      <c r="N3076" s="167">
        <f t="shared" si="3"/>
        <v>24.40097015</v>
      </c>
      <c r="O3076" s="163">
        <f t="shared" ref="O3076:Q3076" si="3080">rank(I3076,I:I)</f>
        <v>246</v>
      </c>
      <c r="P3076" s="163">
        <f t="shared" si="3080"/>
        <v>1026</v>
      </c>
      <c r="Q3076" s="163">
        <f t="shared" si="3080"/>
        <v>3523</v>
      </c>
      <c r="R3076" s="163">
        <f>IFERROR(__xludf.DUMMYFUNCTION("RANK(M3076,filter(M:M,C:C=C3076))"),108.0)</f>
        <v>108</v>
      </c>
      <c r="S3076" s="161" t="b">
        <f t="shared" si="5"/>
        <v>0</v>
      </c>
      <c r="T3076" s="161" t="b">
        <f t="array" ref="T3076">index('Query Tool'!B:B,match(H3076,'Query Tool'!C:C,0))</f>
        <v>1</v>
      </c>
      <c r="U3076" s="161" t="b">
        <f t="array" ref="U3076">index('Query Tool'!B:B,match(C3076,'Query Tool'!C:C,0))</f>
        <v>0</v>
      </c>
      <c r="V3076" s="161" t="b">
        <f>F3076&gt;='Query Tool'!C$32</f>
        <v>1</v>
      </c>
      <c r="W3076" s="161" t="b">
        <f t="array" ref="W3076">index(Dropdowns!B:B,match(I3076,Dropdowns!A:A,0))</f>
        <v>1</v>
      </c>
      <c r="X3076" s="161" t="b">
        <f t="array" ref="X3076">index('Query Tool'!B:B,match(D3076,'Query Tool'!C:C,0))</f>
        <v>1</v>
      </c>
      <c r="Y3076" s="161" t="str">
        <f t="shared" si="6"/>
        <v>matthwe02,2019-20</v>
      </c>
      <c r="Z3076" s="168" t="str">
        <f t="array" ref="Z3076">iferror(index(I:I,match($A3076&amp;","&amp;index('Year Conversion'!$A:$A,match($C3076,'Year Conversion'!$B:$B,0)),$Y:$Y,0))-I3076,"")</f>
        <v/>
      </c>
      <c r="AA3076" s="168" t="str">
        <f t="array" ref="AA3076">iferror(index(J:J,match($A3076&amp;","&amp;index('Year Conversion'!$A:$A,match($C3076,'Year Conversion'!$B:$B,0)),$Y:$Y,0))-J3076,"")</f>
        <v/>
      </c>
      <c r="AB3076" s="168" t="str">
        <f t="array" ref="AB3076">iferror(index(K:K,match($A3076&amp;","&amp;index('Year Conversion'!$A:$A,match($C3076,'Year Conversion'!$B:$B,0)),$Y:$Y,0))-K3076,"")</f>
        <v/>
      </c>
      <c r="AC3076" s="168" t="str">
        <f t="shared" si="7"/>
        <v>MIL,2019-20</v>
      </c>
    </row>
    <row r="3077">
      <c r="A3077" s="161" t="str">
        <f>IFERROR(__xludf.DUMMYFUNCTION("""COMPUTED_VALUE"""),"turneev01")</f>
        <v>turneev01</v>
      </c>
      <c r="B3077" s="161" t="str">
        <f>IFERROR(__xludf.DUMMYFUNCTION("""COMPUTED_VALUE"""),"Evan Turner")</f>
        <v>Evan Turner</v>
      </c>
      <c r="C3077" s="162" t="str">
        <f>IFERROR(__xludf.DUMMYFUNCTION("""COMPUTED_VALUE"""),"2019-20")</f>
        <v>2019-20</v>
      </c>
      <c r="D3077" s="163" t="str">
        <f>IFERROR(__xludf.DUMMYFUNCTION("""COMPUTED_VALUE"""),"ATL")</f>
        <v>ATL</v>
      </c>
      <c r="E3077" s="164" t="str">
        <f>IFERROR(__xludf.DUMMYFUNCTION("""COMPUTED_VALUE"""),"Secondary Ball Handler")</f>
        <v>Secondary Ball Handler</v>
      </c>
      <c r="F3077" s="164">
        <f>IFERROR(__xludf.DUMMYFUNCTION("""COMPUTED_VALUE"""),251.46)</f>
        <v>251.46</v>
      </c>
      <c r="G3077" s="163">
        <f>IFERROR(__xludf.DUMMYFUNCTION("""COMPUTED_VALUE"""),19.0)</f>
        <v>19</v>
      </c>
      <c r="H3077" s="163" t="str">
        <f>IFERROR(__xludf.DUMMYFUNCTION("""COMPUTED_VALUE"""),"SG")</f>
        <v>SG</v>
      </c>
      <c r="I3077" s="163">
        <f>IFERROR(__xludf.DUMMYFUNCTION("""COMPUTED_VALUE"""),31.0)</f>
        <v>31</v>
      </c>
      <c r="J3077" s="165">
        <f>IFERROR(__xludf.DUMMYFUNCTION("""COMPUTED_VALUE"""),-1.99476863087391)</f>
        <v>-1.994768631</v>
      </c>
      <c r="K3077" s="165">
        <f>IFERROR(__xludf.DUMMYFUNCTION("""COMPUTED_VALUE"""),-2.21496420527537)</f>
        <v>-2.214964205</v>
      </c>
      <c r="L3077" s="165">
        <f>IFERROR(__xludf.DUMMYFUNCTION("""COMPUTED_VALUE"""),0.220195574401461)</f>
        <v>0.2201955744</v>
      </c>
      <c r="M3077" s="166">
        <f t="shared" si="2"/>
        <v>0.051347888</v>
      </c>
      <c r="N3077" s="167">
        <f t="shared" si="3"/>
        <v>13.23473684</v>
      </c>
      <c r="O3077" s="163">
        <f t="shared" ref="O3077:Q3077" si="3081">rank(I3077,I:I)</f>
        <v>490</v>
      </c>
      <c r="P3077" s="163">
        <f t="shared" si="3081"/>
        <v>3477</v>
      </c>
      <c r="Q3077" s="163">
        <f t="shared" si="3081"/>
        <v>3806</v>
      </c>
      <c r="R3077" s="163">
        <f>IFERROR(__xludf.DUMMYFUNCTION("RANK(M3077,filter(M:M,C:C=C3077))"),434.0)</f>
        <v>434</v>
      </c>
      <c r="S3077" s="161" t="b">
        <f t="shared" si="5"/>
        <v>0</v>
      </c>
      <c r="T3077" s="161" t="b">
        <f t="array" ref="T3077">index('Query Tool'!B:B,match(H3077,'Query Tool'!C:C,0))</f>
        <v>1</v>
      </c>
      <c r="U3077" s="161" t="b">
        <f t="array" ref="U3077">index('Query Tool'!B:B,match(C3077,'Query Tool'!C:C,0))</f>
        <v>0</v>
      </c>
      <c r="V3077" s="161" t="b">
        <f>F3077&gt;='Query Tool'!C$32</f>
        <v>0</v>
      </c>
      <c r="W3077" s="161" t="b">
        <f t="array" ref="W3077">index(Dropdowns!B:B,match(I3077,Dropdowns!A:A,0))</f>
        <v>1</v>
      </c>
      <c r="X3077" s="161" t="b">
        <f t="array" ref="X3077">index('Query Tool'!B:B,match(D3077,'Query Tool'!C:C,0))</f>
        <v>1</v>
      </c>
      <c r="Y3077" s="161" t="str">
        <f t="shared" si="6"/>
        <v>turneev01,2019-20</v>
      </c>
      <c r="Z3077" s="168" t="str">
        <f t="array" ref="Z3077">iferror(index(I:I,match($A3077&amp;","&amp;index('Year Conversion'!$A:$A,match($C3077,'Year Conversion'!$B:$B,0)),$Y:$Y,0))-I3077,"")</f>
        <v/>
      </c>
      <c r="AA3077" s="168" t="str">
        <f t="array" ref="AA3077">iferror(index(J:J,match($A3077&amp;","&amp;index('Year Conversion'!$A:$A,match($C3077,'Year Conversion'!$B:$B,0)),$Y:$Y,0))-J3077,"")</f>
        <v/>
      </c>
      <c r="AB3077" s="168" t="str">
        <f t="array" ref="AB3077">iferror(index(K:K,match($A3077&amp;","&amp;index('Year Conversion'!$A:$A,match($C3077,'Year Conversion'!$B:$B,0)),$Y:$Y,0))-K3077,"")</f>
        <v/>
      </c>
      <c r="AC3077" s="168" t="str">
        <f t="shared" si="7"/>
        <v>ATL,2019-20</v>
      </c>
    </row>
    <row r="3078">
      <c r="A3078" s="161" t="str">
        <f>IFERROR(__xludf.DUMMYFUNCTION("""COMPUTED_VALUE"""),"favorde01")</f>
        <v>favorde01</v>
      </c>
      <c r="B3078" s="161" t="str">
        <f>IFERROR(__xludf.DUMMYFUNCTION("""COMPUTED_VALUE"""),"Derrick Favors")</f>
        <v>Derrick Favors</v>
      </c>
      <c r="C3078" s="162" t="str">
        <f>IFERROR(__xludf.DUMMYFUNCTION("""COMPUTED_VALUE"""),"2019-20")</f>
        <v>2019-20</v>
      </c>
      <c r="D3078" s="163" t="str">
        <f>IFERROR(__xludf.DUMMYFUNCTION("""COMPUTED_VALUE"""),"NOP")</f>
        <v>NOP</v>
      </c>
      <c r="E3078" s="164" t="str">
        <f>IFERROR(__xludf.DUMMYFUNCTION("""COMPUTED_VALUE"""),"Roll + Cut Big")</f>
        <v>Roll + Cut Big</v>
      </c>
      <c r="F3078" s="164">
        <f>IFERROR(__xludf.DUMMYFUNCTION("""COMPUTED_VALUE"""),1242.455)</f>
        <v>1242.455</v>
      </c>
      <c r="G3078" s="163">
        <f>IFERROR(__xludf.DUMMYFUNCTION("""COMPUTED_VALUE"""),51.0)</f>
        <v>51</v>
      </c>
      <c r="H3078" s="163" t="str">
        <f>IFERROR(__xludf.DUMMYFUNCTION("""COMPUTED_VALUE"""),"C")</f>
        <v>C</v>
      </c>
      <c r="I3078" s="163">
        <f>IFERROR(__xludf.DUMMYFUNCTION("""COMPUTED_VALUE"""),28.0)</f>
        <v>28</v>
      </c>
      <c r="J3078" s="165">
        <f>IFERROR(__xludf.DUMMYFUNCTION("""COMPUTED_VALUE"""),1.87393692113349)</f>
        <v>1.873936921</v>
      </c>
      <c r="K3078" s="165">
        <f>IFERROR(__xludf.DUMMYFUNCTION("""COMPUTED_VALUE"""),0.034051323234971)</f>
        <v>0.03405132323</v>
      </c>
      <c r="L3078" s="165">
        <f>IFERROR(__xludf.DUMMYFUNCTION("""COMPUTED_VALUE"""),1.83988559789852)</f>
        <v>1.839885598</v>
      </c>
      <c r="M3078" s="166">
        <f t="shared" si="2"/>
        <v>3.477542644</v>
      </c>
      <c r="N3078" s="167">
        <f t="shared" si="3"/>
        <v>24.36186275</v>
      </c>
      <c r="O3078" s="163">
        <f t="shared" ref="O3078:Q3078" si="3082">rank(I3078,I:I)</f>
        <v>1090</v>
      </c>
      <c r="P3078" s="163">
        <f t="shared" si="3082"/>
        <v>352</v>
      </c>
      <c r="Q3078" s="163">
        <f t="shared" si="3082"/>
        <v>1151</v>
      </c>
      <c r="R3078" s="163">
        <f>IFERROR(__xludf.DUMMYFUNCTION("RANK(M3078,filter(M:M,C:C=C3078))"),85.0)</f>
        <v>85</v>
      </c>
      <c r="S3078" s="161" t="b">
        <f t="shared" si="5"/>
        <v>0</v>
      </c>
      <c r="T3078" s="161" t="b">
        <f t="array" ref="T3078">index('Query Tool'!B:B,match(H3078,'Query Tool'!C:C,0))</f>
        <v>1</v>
      </c>
      <c r="U3078" s="161" t="b">
        <f t="array" ref="U3078">index('Query Tool'!B:B,match(C3078,'Query Tool'!C:C,0))</f>
        <v>0</v>
      </c>
      <c r="V3078" s="161" t="b">
        <f>F3078&gt;='Query Tool'!C$32</f>
        <v>1</v>
      </c>
      <c r="W3078" s="161" t="b">
        <f t="array" ref="W3078">index(Dropdowns!B:B,match(I3078,Dropdowns!A:A,0))</f>
        <v>1</v>
      </c>
      <c r="X3078" s="161" t="b">
        <f t="array" ref="X3078">index('Query Tool'!B:B,match(D3078,'Query Tool'!C:C,0))</f>
        <v>1</v>
      </c>
      <c r="Y3078" s="161" t="str">
        <f t="shared" si="6"/>
        <v>favorde01,2019-20</v>
      </c>
      <c r="Z3078" s="168" t="str">
        <f t="array" ref="Z3078">iferror(index(I:I,match($A3078&amp;","&amp;index('Year Conversion'!$A:$A,match($C3078,'Year Conversion'!$B:$B,0)),$Y:$Y,0))-I3078,"")</f>
        <v/>
      </c>
      <c r="AA3078" s="168" t="str">
        <f t="array" ref="AA3078">iferror(index(J:J,match($A3078&amp;","&amp;index('Year Conversion'!$A:$A,match($C3078,'Year Conversion'!$B:$B,0)),$Y:$Y,0))-J3078,"")</f>
        <v/>
      </c>
      <c r="AB3078" s="168" t="str">
        <f t="array" ref="AB3078">iferror(index(K:K,match($A3078&amp;","&amp;index('Year Conversion'!$A:$A,match($C3078,'Year Conversion'!$B:$B,0)),$Y:$Y,0))-K3078,"")</f>
        <v/>
      </c>
      <c r="AC3078" s="168" t="str">
        <f t="shared" si="7"/>
        <v>NOP,2019-20</v>
      </c>
    </row>
    <row r="3079">
      <c r="A3079" s="161" t="str">
        <f>IFERROR(__xludf.DUMMYFUNCTION("""COMPUTED_VALUE"""),"aminual01")</f>
        <v>aminual01</v>
      </c>
      <c r="B3079" s="161" t="str">
        <f>IFERROR(__xludf.DUMMYFUNCTION("""COMPUTED_VALUE"""),"Al-Farouq Aminu")</f>
        <v>Al-Farouq Aminu</v>
      </c>
      <c r="C3079" s="162" t="str">
        <f>IFERROR(__xludf.DUMMYFUNCTION("""COMPUTED_VALUE"""),"2019-20")</f>
        <v>2019-20</v>
      </c>
      <c r="D3079" s="163" t="str">
        <f>IFERROR(__xludf.DUMMYFUNCTION("""COMPUTED_VALUE"""),"ORL")</f>
        <v>ORL</v>
      </c>
      <c r="E3079" s="164" t="str">
        <f>IFERROR(__xludf.DUMMYFUNCTION("""COMPUTED_VALUE"""),"Stretch Big")</f>
        <v>Stretch Big</v>
      </c>
      <c r="F3079" s="164">
        <f>IFERROR(__xludf.DUMMYFUNCTION("""COMPUTED_VALUE"""),380.078333333333)</f>
        <v>380.0783333</v>
      </c>
      <c r="G3079" s="163">
        <f>IFERROR(__xludf.DUMMYFUNCTION("""COMPUTED_VALUE"""),18.0)</f>
        <v>18</v>
      </c>
      <c r="H3079" s="163" t="str">
        <f>IFERROR(__xludf.DUMMYFUNCTION("""COMPUTED_VALUE"""),"PF")</f>
        <v>PF</v>
      </c>
      <c r="I3079" s="163">
        <f>IFERROR(__xludf.DUMMYFUNCTION("""COMPUTED_VALUE"""),29.0)</f>
        <v>29</v>
      </c>
      <c r="J3079" s="165">
        <f>IFERROR(__xludf.DUMMYFUNCTION("""COMPUTED_VALUE"""),-1.80263582159568)</f>
        <v>-1.802635822</v>
      </c>
      <c r="K3079" s="165">
        <f>IFERROR(__xludf.DUMMYFUNCTION("""COMPUTED_VALUE"""),-2.5797742887361)</f>
        <v>-2.579774289</v>
      </c>
      <c r="L3079" s="165">
        <f>IFERROR(__xludf.DUMMYFUNCTION("""COMPUTED_VALUE"""),0.777138467140421)</f>
        <v>0.7771384671</v>
      </c>
      <c r="M3079" s="166">
        <f t="shared" si="2"/>
        <v>0.126111731</v>
      </c>
      <c r="N3079" s="167">
        <f t="shared" si="3"/>
        <v>21.11546296</v>
      </c>
      <c r="O3079" s="163">
        <f t="shared" ref="O3079:Q3079" si="3083">rank(I3079,I:I)</f>
        <v>855</v>
      </c>
      <c r="P3079" s="163">
        <f t="shared" si="3083"/>
        <v>3332</v>
      </c>
      <c r="Q3079" s="163">
        <f t="shared" si="3083"/>
        <v>3910</v>
      </c>
      <c r="R3079" s="163">
        <f>IFERROR(__xludf.DUMMYFUNCTION("RANK(M3079,filter(M:M,C:C=C3079))"),373.0)</f>
        <v>373</v>
      </c>
      <c r="S3079" s="161" t="b">
        <f t="shared" si="5"/>
        <v>0</v>
      </c>
      <c r="T3079" s="161" t="b">
        <f t="array" ref="T3079">index('Query Tool'!B:B,match(H3079,'Query Tool'!C:C,0))</f>
        <v>1</v>
      </c>
      <c r="U3079" s="161" t="b">
        <f t="array" ref="U3079">index('Query Tool'!B:B,match(C3079,'Query Tool'!C:C,0))</f>
        <v>0</v>
      </c>
      <c r="V3079" s="161" t="b">
        <f>F3079&gt;='Query Tool'!C$32</f>
        <v>0</v>
      </c>
      <c r="W3079" s="161" t="b">
        <f t="array" ref="W3079">index(Dropdowns!B:B,match(I3079,Dropdowns!A:A,0))</f>
        <v>1</v>
      </c>
      <c r="X3079" s="161" t="b">
        <f t="array" ref="X3079">index('Query Tool'!B:B,match(D3079,'Query Tool'!C:C,0))</f>
        <v>1</v>
      </c>
      <c r="Y3079" s="161" t="str">
        <f t="shared" si="6"/>
        <v>aminual01,2019-20</v>
      </c>
      <c r="Z3079" s="168" t="str">
        <f t="array" ref="Z3079">iferror(index(I:I,match($A3079&amp;","&amp;index('Year Conversion'!$A:$A,match($C3079,'Year Conversion'!$B:$B,0)),$Y:$Y,0))-I3079,"")</f>
        <v/>
      </c>
      <c r="AA3079" s="168" t="str">
        <f t="array" ref="AA3079">iferror(index(J:J,match($A3079&amp;","&amp;index('Year Conversion'!$A:$A,match($C3079,'Year Conversion'!$B:$B,0)),$Y:$Y,0))-J3079,"")</f>
        <v/>
      </c>
      <c r="AB3079" s="168" t="str">
        <f t="array" ref="AB3079">iferror(index(K:K,match($A3079&amp;","&amp;index('Year Conversion'!$A:$A,match($C3079,'Year Conversion'!$B:$B,0)),$Y:$Y,0))-K3079,"")</f>
        <v/>
      </c>
      <c r="AC3079" s="168" t="str">
        <f t="shared" si="7"/>
        <v>ORL,2019-20</v>
      </c>
    </row>
    <row r="3080">
      <c r="A3080" s="161" t="str">
        <f>IFERROR(__xludf.DUMMYFUNCTION("""COMPUTED_VALUE"""),"haywago01")</f>
        <v>haywago01</v>
      </c>
      <c r="B3080" s="161" t="str">
        <f>IFERROR(__xludf.DUMMYFUNCTION("""COMPUTED_VALUE"""),"Gordon Hayward")</f>
        <v>Gordon Hayward</v>
      </c>
      <c r="C3080" s="162" t="str">
        <f>IFERROR(__xludf.DUMMYFUNCTION("""COMPUTED_VALUE"""),"2019-20")</f>
        <v>2019-20</v>
      </c>
      <c r="D3080" s="163" t="str">
        <f>IFERROR(__xludf.DUMMYFUNCTION("""COMPUTED_VALUE"""),"BOS")</f>
        <v>BOS</v>
      </c>
      <c r="E3080" s="164" t="str">
        <f>IFERROR(__xludf.DUMMYFUNCTION("""COMPUTED_VALUE"""),"Secondary Ball Handler")</f>
        <v>Secondary Ball Handler</v>
      </c>
      <c r="F3080" s="164">
        <f>IFERROR(__xludf.DUMMYFUNCTION("""COMPUTED_VALUE"""),1739.98833333333)</f>
        <v>1739.988333</v>
      </c>
      <c r="G3080" s="163">
        <f>IFERROR(__xludf.DUMMYFUNCTION("""COMPUTED_VALUE"""),52.0)</f>
        <v>52</v>
      </c>
      <c r="H3080" s="163" t="str">
        <f>IFERROR(__xludf.DUMMYFUNCTION("""COMPUTED_VALUE"""),"SF")</f>
        <v>SF</v>
      </c>
      <c r="I3080" s="163">
        <f>IFERROR(__xludf.DUMMYFUNCTION("""COMPUTED_VALUE"""),29.0)</f>
        <v>29</v>
      </c>
      <c r="J3080" s="165">
        <f>IFERROR(__xludf.DUMMYFUNCTION("""COMPUTED_VALUE"""),1.8145060554694)</f>
        <v>1.814506055</v>
      </c>
      <c r="K3080" s="165">
        <f>IFERROR(__xludf.DUMMYFUNCTION("""COMPUTED_VALUE"""),0.862645964131657)</f>
        <v>0.8626459641</v>
      </c>
      <c r="L3080" s="165">
        <f>IFERROR(__xludf.DUMMYFUNCTION("""COMPUTED_VALUE"""),0.951860091337739)</f>
        <v>0.9518600913</v>
      </c>
      <c r="M3080" s="166">
        <f t="shared" si="2"/>
        <v>4.801364584</v>
      </c>
      <c r="N3080" s="167">
        <f t="shared" si="3"/>
        <v>33.4613141</v>
      </c>
      <c r="O3080" s="163">
        <f t="shared" ref="O3080:Q3080" si="3084">rank(I3080,I:I)</f>
        <v>855</v>
      </c>
      <c r="P3080" s="163">
        <f t="shared" si="3084"/>
        <v>368</v>
      </c>
      <c r="Q3080" s="163">
        <f t="shared" si="3084"/>
        <v>569</v>
      </c>
      <c r="R3080" s="163">
        <f>IFERROR(__xludf.DUMMYFUNCTION("RANK(M3080,filter(M:M,C:C=C3080))"),44.0)</f>
        <v>44</v>
      </c>
      <c r="S3080" s="161" t="b">
        <f t="shared" si="5"/>
        <v>0</v>
      </c>
      <c r="T3080" s="161" t="b">
        <f t="array" ref="T3080">index('Query Tool'!B:B,match(H3080,'Query Tool'!C:C,0))</f>
        <v>1</v>
      </c>
      <c r="U3080" s="161" t="b">
        <f t="array" ref="U3080">index('Query Tool'!B:B,match(C3080,'Query Tool'!C:C,0))</f>
        <v>0</v>
      </c>
      <c r="V3080" s="161" t="b">
        <f>F3080&gt;='Query Tool'!C$32</f>
        <v>1</v>
      </c>
      <c r="W3080" s="161" t="b">
        <f t="array" ref="W3080">index(Dropdowns!B:B,match(I3080,Dropdowns!A:A,0))</f>
        <v>1</v>
      </c>
      <c r="X3080" s="161" t="b">
        <f t="array" ref="X3080">index('Query Tool'!B:B,match(D3080,'Query Tool'!C:C,0))</f>
        <v>1</v>
      </c>
      <c r="Y3080" s="161" t="str">
        <f t="shared" si="6"/>
        <v>haywago01,2019-20</v>
      </c>
      <c r="Z3080" s="168" t="str">
        <f t="array" ref="Z3080">iferror(index(I:I,match($A3080&amp;","&amp;index('Year Conversion'!$A:$A,match($C3080,'Year Conversion'!$B:$B,0)),$Y:$Y,0))-I3080,"")</f>
        <v/>
      </c>
      <c r="AA3080" s="168" t="str">
        <f t="array" ref="AA3080">iferror(index(J:J,match($A3080&amp;","&amp;index('Year Conversion'!$A:$A,match($C3080,'Year Conversion'!$B:$B,0)),$Y:$Y,0))-J3080,"")</f>
        <v/>
      </c>
      <c r="AB3080" s="168" t="str">
        <f t="array" ref="AB3080">iferror(index(K:K,match($A3080&amp;","&amp;index('Year Conversion'!$A:$A,match($C3080,'Year Conversion'!$B:$B,0)),$Y:$Y,0))-K3080,"")</f>
        <v/>
      </c>
      <c r="AC3080" s="168" t="str">
        <f t="shared" si="7"/>
        <v>BOS,2019-20</v>
      </c>
    </row>
    <row r="3081">
      <c r="A3081" s="161" t="str">
        <f>IFERROR(__xludf.DUMMYFUNCTION("""COMPUTED_VALUE"""),"georgpa01")</f>
        <v>georgpa01</v>
      </c>
      <c r="B3081" s="161" t="str">
        <f>IFERROR(__xludf.DUMMYFUNCTION("""COMPUTED_VALUE"""),"Paul George")</f>
        <v>Paul George</v>
      </c>
      <c r="C3081" s="162" t="str">
        <f>IFERROR(__xludf.DUMMYFUNCTION("""COMPUTED_VALUE"""),"2019-20")</f>
        <v>2019-20</v>
      </c>
      <c r="D3081" s="163" t="str">
        <f>IFERROR(__xludf.DUMMYFUNCTION("""COMPUTED_VALUE"""),"LAC")</f>
        <v>LAC</v>
      </c>
      <c r="E3081" s="164" t="str">
        <f>IFERROR(__xludf.DUMMYFUNCTION("""COMPUTED_VALUE"""),"Shot Creator")</f>
        <v>Shot Creator</v>
      </c>
      <c r="F3081" s="164">
        <f>IFERROR(__xludf.DUMMYFUNCTION("""COMPUTED_VALUE"""),1418.87833333333)</f>
        <v>1418.878333</v>
      </c>
      <c r="G3081" s="163">
        <f>IFERROR(__xludf.DUMMYFUNCTION("""COMPUTED_VALUE"""),48.0)</f>
        <v>48</v>
      </c>
      <c r="H3081" s="163" t="str">
        <f>IFERROR(__xludf.DUMMYFUNCTION("""COMPUTED_VALUE"""),"SF")</f>
        <v>SF</v>
      </c>
      <c r="I3081" s="163">
        <f>IFERROR(__xludf.DUMMYFUNCTION("""COMPUTED_VALUE"""),29.0)</f>
        <v>29</v>
      </c>
      <c r="J3081" s="165">
        <f>IFERROR(__xludf.DUMMYFUNCTION("""COMPUTED_VALUE"""),3.10956160664108)</f>
        <v>3.109561607</v>
      </c>
      <c r="K3081" s="165">
        <f>IFERROR(__xludf.DUMMYFUNCTION("""COMPUTED_VALUE"""),2.14887342654974)</f>
        <v>2.148873427</v>
      </c>
      <c r="L3081" s="165">
        <f>IFERROR(__xludf.DUMMYFUNCTION("""COMPUTED_VALUE"""),0.960688180091344)</f>
        <v>0.9606881801</v>
      </c>
      <c r="M3081" s="166">
        <f t="shared" si="2"/>
        <v>5.122699357</v>
      </c>
      <c r="N3081" s="167">
        <f t="shared" si="3"/>
        <v>29.55996528</v>
      </c>
      <c r="O3081" s="163">
        <f t="shared" ref="O3081:Q3081" si="3085">rank(I3081,I:I)</f>
        <v>855</v>
      </c>
      <c r="P3081" s="163">
        <f t="shared" si="3085"/>
        <v>165</v>
      </c>
      <c r="Q3081" s="163">
        <f t="shared" si="3085"/>
        <v>208</v>
      </c>
      <c r="R3081" s="163">
        <f>IFERROR(__xludf.DUMMYFUNCTION("RANK(M3081,filter(M:M,C:C=C3081))"),34.0)</f>
        <v>34</v>
      </c>
      <c r="S3081" s="161" t="b">
        <f t="shared" si="5"/>
        <v>0</v>
      </c>
      <c r="T3081" s="161" t="b">
        <f t="array" ref="T3081">index('Query Tool'!B:B,match(H3081,'Query Tool'!C:C,0))</f>
        <v>1</v>
      </c>
      <c r="U3081" s="161" t="b">
        <f t="array" ref="U3081">index('Query Tool'!B:B,match(C3081,'Query Tool'!C:C,0))</f>
        <v>0</v>
      </c>
      <c r="V3081" s="161" t="b">
        <f>F3081&gt;='Query Tool'!C$32</f>
        <v>1</v>
      </c>
      <c r="W3081" s="161" t="b">
        <f t="array" ref="W3081">index(Dropdowns!B:B,match(I3081,Dropdowns!A:A,0))</f>
        <v>1</v>
      </c>
      <c r="X3081" s="161" t="b">
        <f t="array" ref="X3081">index('Query Tool'!B:B,match(D3081,'Query Tool'!C:C,0))</f>
        <v>1</v>
      </c>
      <c r="Y3081" s="161" t="str">
        <f t="shared" si="6"/>
        <v>georgpa01,2019-20</v>
      </c>
      <c r="Z3081" s="168" t="str">
        <f t="array" ref="Z3081">iferror(index(I:I,match($A3081&amp;","&amp;index('Year Conversion'!$A:$A,match($C3081,'Year Conversion'!$B:$B,0)),$Y:$Y,0))-I3081,"")</f>
        <v/>
      </c>
      <c r="AA3081" s="168" t="str">
        <f t="array" ref="AA3081">iferror(index(J:J,match($A3081&amp;","&amp;index('Year Conversion'!$A:$A,match($C3081,'Year Conversion'!$B:$B,0)),$Y:$Y,0))-J3081,"")</f>
        <v/>
      </c>
      <c r="AB3081" s="168" t="str">
        <f t="array" ref="AB3081">iferror(index(K:K,match($A3081&amp;","&amp;index('Year Conversion'!$A:$A,match($C3081,'Year Conversion'!$B:$B,0)),$Y:$Y,0))-K3081,"")</f>
        <v/>
      </c>
      <c r="AC3081" s="168" t="str">
        <f t="shared" si="7"/>
        <v>LAC,2019-20</v>
      </c>
    </row>
    <row r="3082">
      <c r="A3082" s="161" t="str">
        <f>IFERROR(__xludf.DUMMYFUNCTION("""COMPUTED_VALUE"""),"davised01")</f>
        <v>davised01</v>
      </c>
      <c r="B3082" s="161" t="str">
        <f>IFERROR(__xludf.DUMMYFUNCTION("""COMPUTED_VALUE"""),"Ed Davis")</f>
        <v>Ed Davis</v>
      </c>
      <c r="C3082" s="162" t="str">
        <f>IFERROR(__xludf.DUMMYFUNCTION("""COMPUTED_VALUE"""),"2019-20")</f>
        <v>2019-20</v>
      </c>
      <c r="D3082" s="163" t="str">
        <f>IFERROR(__xludf.DUMMYFUNCTION("""COMPUTED_VALUE"""),"UTA")</f>
        <v>UTA</v>
      </c>
      <c r="E3082" s="164" t="str">
        <f>IFERROR(__xludf.DUMMYFUNCTION("""COMPUTED_VALUE"""),"Roll + Cut Big")</f>
        <v>Roll + Cut Big</v>
      </c>
      <c r="F3082" s="164">
        <f>IFERROR(__xludf.DUMMYFUNCTION("""COMPUTED_VALUE"""),303.471666666666)</f>
        <v>303.4716667</v>
      </c>
      <c r="G3082" s="163">
        <f>IFERROR(__xludf.DUMMYFUNCTION("""COMPUTED_VALUE"""),28.0)</f>
        <v>28</v>
      </c>
      <c r="H3082" s="163" t="str">
        <f>IFERROR(__xludf.DUMMYFUNCTION("""COMPUTED_VALUE"""),"C")</f>
        <v>C</v>
      </c>
      <c r="I3082" s="163">
        <f>IFERROR(__xludf.DUMMYFUNCTION("""COMPUTED_VALUE"""),30.0)</f>
        <v>30</v>
      </c>
      <c r="J3082" s="165">
        <f>IFERROR(__xludf.DUMMYFUNCTION("""COMPUTED_VALUE"""),-1.72311974184351)</f>
        <v>-1.723119742</v>
      </c>
      <c r="K3082" s="165">
        <f>IFERROR(__xludf.DUMMYFUNCTION("""COMPUTED_VALUE"""),-3.17672645380552)</f>
        <v>-3.176726454</v>
      </c>
      <c r="L3082" s="165">
        <f>IFERROR(__xludf.DUMMYFUNCTION("""COMPUTED_VALUE"""),1.45360671196202)</f>
        <v>1.453606712</v>
      </c>
      <c r="M3082" s="166">
        <f t="shared" si="2"/>
        <v>0.1167531407</v>
      </c>
      <c r="N3082" s="167">
        <f t="shared" si="3"/>
        <v>10.83827381</v>
      </c>
      <c r="O3082" s="163">
        <f t="shared" ref="O3082:Q3082" si="3086">rank(I3082,I:I)</f>
        <v>655</v>
      </c>
      <c r="P3082" s="163">
        <f t="shared" si="3086"/>
        <v>3264</v>
      </c>
      <c r="Q3082" s="163">
        <f t="shared" si="3086"/>
        <v>3989</v>
      </c>
      <c r="R3082" s="163">
        <f>IFERROR(__xludf.DUMMYFUNCTION("RANK(M3082,filter(M:M,C:C=C3082))"),379.0)</f>
        <v>379</v>
      </c>
      <c r="S3082" s="161" t="b">
        <f t="shared" si="5"/>
        <v>0</v>
      </c>
      <c r="T3082" s="161" t="b">
        <f t="array" ref="T3082">index('Query Tool'!B:B,match(H3082,'Query Tool'!C:C,0))</f>
        <v>1</v>
      </c>
      <c r="U3082" s="161" t="b">
        <f t="array" ref="U3082">index('Query Tool'!B:B,match(C3082,'Query Tool'!C:C,0))</f>
        <v>0</v>
      </c>
      <c r="V3082" s="161" t="b">
        <f>F3082&gt;='Query Tool'!C$32</f>
        <v>0</v>
      </c>
      <c r="W3082" s="161" t="b">
        <f t="array" ref="W3082">index(Dropdowns!B:B,match(I3082,Dropdowns!A:A,0))</f>
        <v>1</v>
      </c>
      <c r="X3082" s="161" t="b">
        <f t="array" ref="X3082">index('Query Tool'!B:B,match(D3082,'Query Tool'!C:C,0))</f>
        <v>1</v>
      </c>
      <c r="Y3082" s="161" t="str">
        <f t="shared" si="6"/>
        <v>davised01,2019-20</v>
      </c>
      <c r="Z3082" s="168" t="str">
        <f t="array" ref="Z3082">iferror(index(I:I,match($A3082&amp;","&amp;index('Year Conversion'!$A:$A,match($C3082,'Year Conversion'!$B:$B,0)),$Y:$Y,0))-I3082,"")</f>
        <v/>
      </c>
      <c r="AA3082" s="168" t="str">
        <f t="array" ref="AA3082">iferror(index(J:J,match($A3082&amp;","&amp;index('Year Conversion'!$A:$A,match($C3082,'Year Conversion'!$B:$B,0)),$Y:$Y,0))-J3082,"")</f>
        <v/>
      </c>
      <c r="AB3082" s="168" t="str">
        <f t="array" ref="AB3082">iferror(index(K:K,match($A3082&amp;","&amp;index('Year Conversion'!$A:$A,match($C3082,'Year Conversion'!$B:$B,0)),$Y:$Y,0))-K3082,"")</f>
        <v/>
      </c>
      <c r="AC3082" s="168" t="str">
        <f t="shared" si="7"/>
        <v>UTA,2019-20</v>
      </c>
    </row>
    <row r="3083">
      <c r="A3083" s="161" t="str">
        <f>IFERROR(__xludf.DUMMYFUNCTION("""COMPUTED_VALUE"""),"pattepa01")</f>
        <v>pattepa01</v>
      </c>
      <c r="B3083" s="161" t="str">
        <f>IFERROR(__xludf.DUMMYFUNCTION("""COMPUTED_VALUE"""),"Patrick Patterson")</f>
        <v>Patrick Patterson</v>
      </c>
      <c r="C3083" s="162" t="str">
        <f>IFERROR(__xludf.DUMMYFUNCTION("""COMPUTED_VALUE"""),"2019-20")</f>
        <v>2019-20</v>
      </c>
      <c r="D3083" s="163" t="str">
        <f>IFERROR(__xludf.DUMMYFUNCTION("""COMPUTED_VALUE"""),"LAC")</f>
        <v>LAC</v>
      </c>
      <c r="E3083" s="164" t="str">
        <f>IFERROR(__xludf.DUMMYFUNCTION("""COMPUTED_VALUE"""),"Stationary Shooter")</f>
        <v>Stationary Shooter</v>
      </c>
      <c r="F3083" s="164">
        <f>IFERROR(__xludf.DUMMYFUNCTION("""COMPUTED_VALUE"""),776.186666666667)</f>
        <v>776.1866667</v>
      </c>
      <c r="G3083" s="163">
        <f>IFERROR(__xludf.DUMMYFUNCTION("""COMPUTED_VALUE"""),59.0)</f>
        <v>59</v>
      </c>
      <c r="H3083" s="163" t="str">
        <f>IFERROR(__xludf.DUMMYFUNCTION("""COMPUTED_VALUE"""),"PF")</f>
        <v>PF</v>
      </c>
      <c r="I3083" s="163">
        <f>IFERROR(__xludf.DUMMYFUNCTION("""COMPUTED_VALUE"""),30.0)</f>
        <v>30</v>
      </c>
      <c r="J3083" s="165">
        <f>IFERROR(__xludf.DUMMYFUNCTION("""COMPUTED_VALUE"""),-1.25486366189465)</f>
        <v>-1.254863662</v>
      </c>
      <c r="K3083" s="165">
        <f>IFERROR(__xludf.DUMMYFUNCTION("""COMPUTED_VALUE"""),-1.01320889579099)</f>
        <v>-1.013208896</v>
      </c>
      <c r="L3083" s="165">
        <f>IFERROR(__xludf.DUMMYFUNCTION("""COMPUTED_VALUE"""),-0.241654766103655)</f>
        <v>-0.2416547661</v>
      </c>
      <c r="M3083" s="166">
        <f t="shared" si="2"/>
        <v>0.5413872556</v>
      </c>
      <c r="N3083" s="167">
        <f t="shared" si="3"/>
        <v>13.15570621</v>
      </c>
      <c r="O3083" s="163">
        <f t="shared" ref="O3083:Q3083" si="3087">rank(I3083,I:I)</f>
        <v>655</v>
      </c>
      <c r="P3083" s="163">
        <f t="shared" si="3087"/>
        <v>2820</v>
      </c>
      <c r="Q3083" s="163">
        <f t="shared" si="3087"/>
        <v>2822</v>
      </c>
      <c r="R3083" s="163">
        <f>IFERROR(__xludf.DUMMYFUNCTION("RANK(M3083,filter(M:M,C:C=C3083))"),254.0)</f>
        <v>254</v>
      </c>
      <c r="S3083" s="161" t="b">
        <f t="shared" si="5"/>
        <v>0</v>
      </c>
      <c r="T3083" s="161" t="b">
        <f t="array" ref="T3083">index('Query Tool'!B:B,match(H3083,'Query Tool'!C:C,0))</f>
        <v>1</v>
      </c>
      <c r="U3083" s="161" t="b">
        <f t="array" ref="U3083">index('Query Tool'!B:B,match(C3083,'Query Tool'!C:C,0))</f>
        <v>0</v>
      </c>
      <c r="V3083" s="161" t="b">
        <f>F3083&gt;='Query Tool'!C$32</f>
        <v>1</v>
      </c>
      <c r="W3083" s="161" t="b">
        <f t="array" ref="W3083">index(Dropdowns!B:B,match(I3083,Dropdowns!A:A,0))</f>
        <v>1</v>
      </c>
      <c r="X3083" s="161" t="b">
        <f t="array" ref="X3083">index('Query Tool'!B:B,match(D3083,'Query Tool'!C:C,0))</f>
        <v>1</v>
      </c>
      <c r="Y3083" s="161" t="str">
        <f t="shared" si="6"/>
        <v>pattepa01,2019-20</v>
      </c>
      <c r="Z3083" s="168" t="str">
        <f t="array" ref="Z3083">iferror(index(I:I,match($A3083&amp;","&amp;index('Year Conversion'!$A:$A,match($C3083,'Year Conversion'!$B:$B,0)),$Y:$Y,0))-I3083,"")</f>
        <v/>
      </c>
      <c r="AA3083" s="168" t="str">
        <f t="array" ref="AA3083">iferror(index(J:J,match($A3083&amp;","&amp;index('Year Conversion'!$A:$A,match($C3083,'Year Conversion'!$B:$B,0)),$Y:$Y,0))-J3083,"")</f>
        <v/>
      </c>
      <c r="AB3083" s="168" t="str">
        <f t="array" ref="AB3083">iferror(index(K:K,match($A3083&amp;","&amp;index('Year Conversion'!$A:$A,match($C3083,'Year Conversion'!$B:$B,0)),$Y:$Y,0))-K3083,"")</f>
        <v/>
      </c>
      <c r="AC3083" s="168" t="str">
        <f t="shared" si="7"/>
        <v>LAC,2019-20</v>
      </c>
    </row>
    <row r="3084">
      <c r="A3084" s="161" t="str">
        <f>IFERROR(__xludf.DUMMYFUNCTION("""COMPUTED_VALUE"""),"bledser01")</f>
        <v>bledser01</v>
      </c>
      <c r="B3084" s="161" t="str">
        <f>IFERROR(__xludf.DUMMYFUNCTION("""COMPUTED_VALUE"""),"Eric Bledsoe")</f>
        <v>Eric Bledsoe</v>
      </c>
      <c r="C3084" s="162" t="str">
        <f>IFERROR(__xludf.DUMMYFUNCTION("""COMPUTED_VALUE"""),"2019-20")</f>
        <v>2019-20</v>
      </c>
      <c r="D3084" s="163" t="str">
        <f>IFERROR(__xludf.DUMMYFUNCTION("""COMPUTED_VALUE"""),"MIL")</f>
        <v>MIL</v>
      </c>
      <c r="E3084" s="164" t="str">
        <f>IFERROR(__xludf.DUMMYFUNCTION("""COMPUTED_VALUE"""),"Primary Ball Handler")</f>
        <v>Primary Ball Handler</v>
      </c>
      <c r="F3084" s="164">
        <f>IFERROR(__xludf.DUMMYFUNCTION("""COMPUTED_VALUE"""),1646.28333333333)</f>
        <v>1646.283333</v>
      </c>
      <c r="G3084" s="163">
        <f>IFERROR(__xludf.DUMMYFUNCTION("""COMPUTED_VALUE"""),61.0)</f>
        <v>61</v>
      </c>
      <c r="H3084" s="163" t="str">
        <f>IFERROR(__xludf.DUMMYFUNCTION("""COMPUTED_VALUE"""),"PG")</f>
        <v>PG</v>
      </c>
      <c r="I3084" s="163">
        <f>IFERROR(__xludf.DUMMYFUNCTION("""COMPUTED_VALUE"""),30.0)</f>
        <v>30</v>
      </c>
      <c r="J3084" s="165">
        <f>IFERROR(__xludf.DUMMYFUNCTION("""COMPUTED_VALUE"""),1.3942673398198)</f>
        <v>1.39426734</v>
      </c>
      <c r="K3084" s="165">
        <f>IFERROR(__xludf.DUMMYFUNCTION("""COMPUTED_VALUE"""),0.600469876405023)</f>
        <v>0.6004698764</v>
      </c>
      <c r="L3084" s="165">
        <f>IFERROR(__xludf.DUMMYFUNCTION("""COMPUTED_VALUE"""),0.793797463414776)</f>
        <v>0.7937974634</v>
      </c>
      <c r="M3084" s="166">
        <f t="shared" si="2"/>
        <v>4.081362219</v>
      </c>
      <c r="N3084" s="167">
        <f t="shared" si="3"/>
        <v>26.98825137</v>
      </c>
      <c r="O3084" s="163">
        <f t="shared" ref="O3084:Q3084" si="3088">rank(I3084,I:I)</f>
        <v>655</v>
      </c>
      <c r="P3084" s="163">
        <f t="shared" si="3088"/>
        <v>494</v>
      </c>
      <c r="Q3084" s="163">
        <f t="shared" si="3088"/>
        <v>708</v>
      </c>
      <c r="R3084" s="163">
        <f>IFERROR(__xludf.DUMMYFUNCTION("RANK(M3084,filter(M:M,C:C=C3084))"),64.0)</f>
        <v>64</v>
      </c>
      <c r="S3084" s="161" t="b">
        <f t="shared" si="5"/>
        <v>0</v>
      </c>
      <c r="T3084" s="161" t="b">
        <f t="array" ref="T3084">index('Query Tool'!B:B,match(H3084,'Query Tool'!C:C,0))</f>
        <v>1</v>
      </c>
      <c r="U3084" s="161" t="b">
        <f t="array" ref="U3084">index('Query Tool'!B:B,match(C3084,'Query Tool'!C:C,0))</f>
        <v>0</v>
      </c>
      <c r="V3084" s="161" t="b">
        <f>F3084&gt;='Query Tool'!C$32</f>
        <v>1</v>
      </c>
      <c r="W3084" s="161" t="b">
        <f t="array" ref="W3084">index(Dropdowns!B:B,match(I3084,Dropdowns!A:A,0))</f>
        <v>1</v>
      </c>
      <c r="X3084" s="161" t="b">
        <f t="array" ref="X3084">index('Query Tool'!B:B,match(D3084,'Query Tool'!C:C,0))</f>
        <v>1</v>
      </c>
      <c r="Y3084" s="161" t="str">
        <f t="shared" si="6"/>
        <v>bledser01,2019-20</v>
      </c>
      <c r="Z3084" s="168" t="str">
        <f t="array" ref="Z3084">iferror(index(I:I,match($A3084&amp;","&amp;index('Year Conversion'!$A:$A,match($C3084,'Year Conversion'!$B:$B,0)),$Y:$Y,0))-I3084,"")</f>
        <v/>
      </c>
      <c r="AA3084" s="168" t="str">
        <f t="array" ref="AA3084">iferror(index(J:J,match($A3084&amp;","&amp;index('Year Conversion'!$A:$A,match($C3084,'Year Conversion'!$B:$B,0)),$Y:$Y,0))-J3084,"")</f>
        <v/>
      </c>
      <c r="AB3084" s="168" t="str">
        <f t="array" ref="AB3084">iferror(index(K:K,match($A3084&amp;","&amp;index('Year Conversion'!$A:$A,match($C3084,'Year Conversion'!$B:$B,0)),$Y:$Y,0))-K3084,"")</f>
        <v/>
      </c>
      <c r="AC3084" s="168" t="str">
        <f t="shared" si="7"/>
        <v>MIL,2019-20</v>
      </c>
    </row>
    <row r="3085">
      <c r="A3085" s="161" t="str">
        <f>IFERROR(__xludf.DUMMYFUNCTION("""COMPUTED_VALUE"""),"bradlav01")</f>
        <v>bradlav01</v>
      </c>
      <c r="B3085" s="161" t="str">
        <f>IFERROR(__xludf.DUMMYFUNCTION("""COMPUTED_VALUE"""),"Avery Bradley")</f>
        <v>Avery Bradley</v>
      </c>
      <c r="C3085" s="162" t="str">
        <f>IFERROR(__xludf.DUMMYFUNCTION("""COMPUTED_VALUE"""),"2019-20")</f>
        <v>2019-20</v>
      </c>
      <c r="D3085" s="163" t="str">
        <f>IFERROR(__xludf.DUMMYFUNCTION("""COMPUTED_VALUE"""),"LAL")</f>
        <v>LAL</v>
      </c>
      <c r="E3085" s="164" t="str">
        <f>IFERROR(__xludf.DUMMYFUNCTION("""COMPUTED_VALUE"""),"Movement Shooter")</f>
        <v>Movement Shooter</v>
      </c>
      <c r="F3085" s="164">
        <f>IFERROR(__xludf.DUMMYFUNCTION("""COMPUTED_VALUE"""),1186.465)</f>
        <v>1186.465</v>
      </c>
      <c r="G3085" s="163">
        <f>IFERROR(__xludf.DUMMYFUNCTION("""COMPUTED_VALUE"""),49.0)</f>
        <v>49</v>
      </c>
      <c r="H3085" s="163" t="str">
        <f>IFERROR(__xludf.DUMMYFUNCTION("""COMPUTED_VALUE"""),"SG")</f>
        <v>SG</v>
      </c>
      <c r="I3085" s="163">
        <f>IFERROR(__xludf.DUMMYFUNCTION("""COMPUTED_VALUE"""),29.0)</f>
        <v>29</v>
      </c>
      <c r="J3085" s="165">
        <f>IFERROR(__xludf.DUMMYFUNCTION("""COMPUTED_VALUE"""),-1.66555961199347)</f>
        <v>-1.665559612</v>
      </c>
      <c r="K3085" s="165">
        <f>IFERROR(__xludf.DUMMYFUNCTION("""COMPUTED_VALUE"""),-1.17292282225517)</f>
        <v>-1.172922822</v>
      </c>
      <c r="L3085" s="165">
        <f>IFERROR(__xludf.DUMMYFUNCTION("""COMPUTED_VALUE"""),-0.492636789738299)</f>
        <v>-0.4926367897</v>
      </c>
      <c r="M3085" s="166">
        <f t="shared" si="2"/>
        <v>0.5019587057</v>
      </c>
      <c r="N3085" s="167">
        <f t="shared" si="3"/>
        <v>24.21357143</v>
      </c>
      <c r="O3085" s="163">
        <f t="shared" ref="O3085:Q3085" si="3089">rank(I3085,I:I)</f>
        <v>855</v>
      </c>
      <c r="P3085" s="163">
        <f t="shared" si="3089"/>
        <v>3207</v>
      </c>
      <c r="Q3085" s="163">
        <f t="shared" si="3089"/>
        <v>3007</v>
      </c>
      <c r="R3085" s="163">
        <f>IFERROR(__xludf.DUMMYFUNCTION("RANK(M3085,filter(M:M,C:C=C3085))"),261.0)</f>
        <v>261</v>
      </c>
      <c r="S3085" s="161" t="b">
        <f t="shared" si="5"/>
        <v>0</v>
      </c>
      <c r="T3085" s="161" t="b">
        <f t="array" ref="T3085">index('Query Tool'!B:B,match(H3085,'Query Tool'!C:C,0))</f>
        <v>1</v>
      </c>
      <c r="U3085" s="161" t="b">
        <f t="array" ref="U3085">index('Query Tool'!B:B,match(C3085,'Query Tool'!C:C,0))</f>
        <v>0</v>
      </c>
      <c r="V3085" s="161" t="b">
        <f>F3085&gt;='Query Tool'!C$32</f>
        <v>1</v>
      </c>
      <c r="W3085" s="161" t="b">
        <f t="array" ref="W3085">index(Dropdowns!B:B,match(I3085,Dropdowns!A:A,0))</f>
        <v>1</v>
      </c>
      <c r="X3085" s="161" t="b">
        <f t="array" ref="X3085">index('Query Tool'!B:B,match(D3085,'Query Tool'!C:C,0))</f>
        <v>1</v>
      </c>
      <c r="Y3085" s="161" t="str">
        <f t="shared" si="6"/>
        <v>bradlav01,2019-20</v>
      </c>
      <c r="Z3085" s="168" t="str">
        <f t="array" ref="Z3085">iferror(index(I:I,match($A3085&amp;","&amp;index('Year Conversion'!$A:$A,match($C3085,'Year Conversion'!$B:$B,0)),$Y:$Y,0))-I3085,"")</f>
        <v/>
      </c>
      <c r="AA3085" s="168" t="str">
        <f t="array" ref="AA3085">iferror(index(J:J,match($A3085&amp;","&amp;index('Year Conversion'!$A:$A,match($C3085,'Year Conversion'!$B:$B,0)),$Y:$Y,0))-J3085,"")</f>
        <v/>
      </c>
      <c r="AB3085" s="168" t="str">
        <f t="array" ref="AB3085">iferror(index(K:K,match($A3085&amp;","&amp;index('Year Conversion'!$A:$A,match($C3085,'Year Conversion'!$B:$B,0)),$Y:$Y,0))-K3085,"")</f>
        <v/>
      </c>
      <c r="AC3085" s="168" t="str">
        <f t="shared" si="7"/>
        <v>LAL,2019-20</v>
      </c>
    </row>
    <row r="3086">
      <c r="A3086" s="161" t="str">
        <f>IFERROR(__xludf.DUMMYFUNCTION("""COMPUTED_VALUE"""),"whiteha01")</f>
        <v>whiteha01</v>
      </c>
      <c r="B3086" s="161" t="str">
        <f>IFERROR(__xludf.DUMMYFUNCTION("""COMPUTED_VALUE"""),"Hassan Whiteside")</f>
        <v>Hassan Whiteside</v>
      </c>
      <c r="C3086" s="162" t="str">
        <f>IFERROR(__xludf.DUMMYFUNCTION("""COMPUTED_VALUE"""),"2019-20")</f>
        <v>2019-20</v>
      </c>
      <c r="D3086" s="163" t="str">
        <f>IFERROR(__xludf.DUMMYFUNCTION("""COMPUTED_VALUE"""),"POR")</f>
        <v>POR</v>
      </c>
      <c r="E3086" s="164" t="str">
        <f>IFERROR(__xludf.DUMMYFUNCTION("""COMPUTED_VALUE"""),"Roll + Cut Big")</f>
        <v>Roll + Cut Big</v>
      </c>
      <c r="F3086" s="164">
        <f>IFERROR(__xludf.DUMMYFUNCTION("""COMPUTED_VALUE"""),2008.08333333333)</f>
        <v>2008.083333</v>
      </c>
      <c r="G3086" s="163">
        <f>IFERROR(__xludf.DUMMYFUNCTION("""COMPUTED_VALUE"""),67.0)</f>
        <v>67</v>
      </c>
      <c r="H3086" s="163" t="str">
        <f>IFERROR(__xludf.DUMMYFUNCTION("""COMPUTED_VALUE"""),"C")</f>
        <v>C</v>
      </c>
      <c r="I3086" s="163">
        <f>IFERROR(__xludf.DUMMYFUNCTION("""COMPUTED_VALUE"""),30.0)</f>
        <v>30</v>
      </c>
      <c r="J3086" s="165">
        <f>IFERROR(__xludf.DUMMYFUNCTION("""COMPUTED_VALUE"""),3.92728058668806)</f>
        <v>3.927280587</v>
      </c>
      <c r="K3086" s="165">
        <f>IFERROR(__xludf.DUMMYFUNCTION("""COMPUTED_VALUE"""),0.59040490259394)</f>
        <v>0.5904049026</v>
      </c>
      <c r="L3086" s="165">
        <f>IFERROR(__xludf.DUMMYFUNCTION("""COMPUTED_VALUE"""),3.33687568409412)</f>
        <v>3.336875684</v>
      </c>
      <c r="M3086" s="166">
        <f t="shared" si="2"/>
        <v>8.301591071</v>
      </c>
      <c r="N3086" s="167">
        <f t="shared" si="3"/>
        <v>29.97139303</v>
      </c>
      <c r="O3086" s="163">
        <f t="shared" ref="O3086:Q3086" si="3090">rank(I3086,I:I)</f>
        <v>655</v>
      </c>
      <c r="P3086" s="163">
        <f t="shared" si="3090"/>
        <v>96</v>
      </c>
      <c r="Q3086" s="163">
        <f t="shared" si="3090"/>
        <v>713</v>
      </c>
      <c r="R3086" s="163">
        <f>IFERROR(__xludf.DUMMYFUNCTION("RANK(M3086,filter(M:M,C:C=C3086))"),15.0)</f>
        <v>15</v>
      </c>
      <c r="S3086" s="161" t="b">
        <f t="shared" si="5"/>
        <v>0</v>
      </c>
      <c r="T3086" s="161" t="b">
        <f t="array" ref="T3086">index('Query Tool'!B:B,match(H3086,'Query Tool'!C:C,0))</f>
        <v>1</v>
      </c>
      <c r="U3086" s="161" t="b">
        <f t="array" ref="U3086">index('Query Tool'!B:B,match(C3086,'Query Tool'!C:C,0))</f>
        <v>0</v>
      </c>
      <c r="V3086" s="161" t="b">
        <f>F3086&gt;='Query Tool'!C$32</f>
        <v>1</v>
      </c>
      <c r="W3086" s="161" t="b">
        <f t="array" ref="W3086">index(Dropdowns!B:B,match(I3086,Dropdowns!A:A,0))</f>
        <v>1</v>
      </c>
      <c r="X3086" s="161" t="b">
        <f t="array" ref="X3086">index('Query Tool'!B:B,match(D3086,'Query Tool'!C:C,0))</f>
        <v>1</v>
      </c>
      <c r="Y3086" s="161" t="str">
        <f t="shared" si="6"/>
        <v>whiteha01,2019-20</v>
      </c>
      <c r="Z3086" s="168" t="str">
        <f t="array" ref="Z3086">iferror(index(I:I,match($A3086&amp;","&amp;index('Year Conversion'!$A:$A,match($C3086,'Year Conversion'!$B:$B,0)),$Y:$Y,0))-I3086,"")</f>
        <v/>
      </c>
      <c r="AA3086" s="168" t="str">
        <f t="array" ref="AA3086">iferror(index(J:J,match($A3086&amp;","&amp;index('Year Conversion'!$A:$A,match($C3086,'Year Conversion'!$B:$B,0)),$Y:$Y,0))-J3086,"")</f>
        <v/>
      </c>
      <c r="AB3086" s="168" t="str">
        <f t="array" ref="AB3086">iferror(index(K:K,match($A3086&amp;","&amp;index('Year Conversion'!$A:$A,match($C3086,'Year Conversion'!$B:$B,0)),$Y:$Y,0))-K3086,"")</f>
        <v/>
      </c>
      <c r="AC3086" s="168" t="str">
        <f t="shared" si="7"/>
        <v>POR,2019-20</v>
      </c>
    </row>
    <row r="3087">
      <c r="A3087" s="161" t="str">
        <f>IFERROR(__xludf.DUMMYFUNCTION("""COMPUTED_VALUE"""),"bjeline01")</f>
        <v>bjeline01</v>
      </c>
      <c r="B3087" s="161" t="str">
        <f>IFERROR(__xludf.DUMMYFUNCTION("""COMPUTED_VALUE"""),"Nemanja Bjelica")</f>
        <v>Nemanja Bjelica</v>
      </c>
      <c r="C3087" s="162" t="str">
        <f>IFERROR(__xludf.DUMMYFUNCTION("""COMPUTED_VALUE"""),"2019-20")</f>
        <v>2019-20</v>
      </c>
      <c r="D3087" s="163" t="str">
        <f>IFERROR(__xludf.DUMMYFUNCTION("""COMPUTED_VALUE"""),"SAC")</f>
        <v>SAC</v>
      </c>
      <c r="E3087" s="164" t="str">
        <f>IFERROR(__xludf.DUMMYFUNCTION("""COMPUTED_VALUE"""),"Stretch Big")</f>
        <v>Stretch Big</v>
      </c>
      <c r="F3087" s="164">
        <f>IFERROR(__xludf.DUMMYFUNCTION("""COMPUTED_VALUE"""),2011.18833333333)</f>
        <v>2011.188333</v>
      </c>
      <c r="G3087" s="163">
        <f>IFERROR(__xludf.DUMMYFUNCTION("""COMPUTED_VALUE"""),72.0)</f>
        <v>72</v>
      </c>
      <c r="H3087" s="163" t="str">
        <f>IFERROR(__xludf.DUMMYFUNCTION("""COMPUTED_VALUE"""),"PF")</f>
        <v>PF</v>
      </c>
      <c r="I3087" s="163">
        <f>IFERROR(__xludf.DUMMYFUNCTION("""COMPUTED_VALUE"""),31.0)</f>
        <v>31</v>
      </c>
      <c r="J3087" s="165">
        <f>IFERROR(__xludf.DUMMYFUNCTION("""COMPUTED_VALUE"""),0.58510880132457)</f>
        <v>0.5851088013</v>
      </c>
      <c r="K3087" s="165">
        <f>IFERROR(__xludf.DUMMYFUNCTION("""COMPUTED_VALUE"""),0.523560414968703)</f>
        <v>0.523560415</v>
      </c>
      <c r="L3087" s="165">
        <f>IFERROR(__xludf.DUMMYFUNCTION("""COMPUTED_VALUE"""),0.0615483863558663)</f>
        <v>0.06154838636</v>
      </c>
      <c r="M3087" s="166">
        <f t="shared" si="2"/>
        <v>3.893567215</v>
      </c>
      <c r="N3087" s="167">
        <f t="shared" si="3"/>
        <v>27.9331713</v>
      </c>
      <c r="O3087" s="163">
        <f t="shared" ref="O3087:Q3087" si="3091">rank(I3087,I:I)</f>
        <v>490</v>
      </c>
      <c r="P3087" s="163">
        <f t="shared" si="3091"/>
        <v>854</v>
      </c>
      <c r="Q3087" s="163">
        <f t="shared" si="3091"/>
        <v>758</v>
      </c>
      <c r="R3087" s="163">
        <f>IFERROR(__xludf.DUMMYFUNCTION("RANK(M3087,filter(M:M,C:C=C3087))"),69.0)</f>
        <v>69</v>
      </c>
      <c r="S3087" s="161" t="b">
        <f t="shared" si="5"/>
        <v>0</v>
      </c>
      <c r="T3087" s="161" t="b">
        <f t="array" ref="T3087">index('Query Tool'!B:B,match(H3087,'Query Tool'!C:C,0))</f>
        <v>1</v>
      </c>
      <c r="U3087" s="161" t="b">
        <f t="array" ref="U3087">index('Query Tool'!B:B,match(C3087,'Query Tool'!C:C,0))</f>
        <v>0</v>
      </c>
      <c r="V3087" s="161" t="b">
        <f>F3087&gt;='Query Tool'!C$32</f>
        <v>1</v>
      </c>
      <c r="W3087" s="161" t="b">
        <f t="array" ref="W3087">index(Dropdowns!B:B,match(I3087,Dropdowns!A:A,0))</f>
        <v>1</v>
      </c>
      <c r="X3087" s="161" t="b">
        <f t="array" ref="X3087">index('Query Tool'!B:B,match(D3087,'Query Tool'!C:C,0))</f>
        <v>1</v>
      </c>
      <c r="Y3087" s="161" t="str">
        <f t="shared" si="6"/>
        <v>bjeline01,2019-20</v>
      </c>
      <c r="Z3087" s="168" t="str">
        <f t="array" ref="Z3087">iferror(index(I:I,match($A3087&amp;","&amp;index('Year Conversion'!$A:$A,match($C3087,'Year Conversion'!$B:$B,0)),$Y:$Y,0))-I3087,"")</f>
        <v/>
      </c>
      <c r="AA3087" s="168" t="str">
        <f t="array" ref="AA3087">iferror(index(J:J,match($A3087&amp;","&amp;index('Year Conversion'!$A:$A,match($C3087,'Year Conversion'!$B:$B,0)),$Y:$Y,0))-J3087,"")</f>
        <v/>
      </c>
      <c r="AB3087" s="168" t="str">
        <f t="array" ref="AB3087">iferror(index(K:K,match($A3087&amp;","&amp;index('Year Conversion'!$A:$A,match($C3087,'Year Conversion'!$B:$B,0)),$Y:$Y,0))-K3087,"")</f>
        <v/>
      </c>
      <c r="AC3087" s="168" t="str">
        <f t="shared" si="7"/>
        <v>SAC,2019-20</v>
      </c>
    </row>
    <row r="3088">
      <c r="A3088" s="161" t="str">
        <f>IFERROR(__xludf.DUMMYFUNCTION("""COMPUTED_VALUE"""),"smithis01")</f>
        <v>smithis01</v>
      </c>
      <c r="B3088" s="161" t="str">
        <f>IFERROR(__xludf.DUMMYFUNCTION("""COMPUTED_VALUE"""),"Ish Smith")</f>
        <v>Ish Smith</v>
      </c>
      <c r="C3088" s="162" t="str">
        <f>IFERROR(__xludf.DUMMYFUNCTION("""COMPUTED_VALUE"""),"2019-20")</f>
        <v>2019-20</v>
      </c>
      <c r="D3088" s="163" t="str">
        <f>IFERROR(__xludf.DUMMYFUNCTION("""COMPUTED_VALUE"""),"WAS")</f>
        <v>WAS</v>
      </c>
      <c r="E3088" s="164" t="str">
        <f>IFERROR(__xludf.DUMMYFUNCTION("""COMPUTED_VALUE"""),"Slasher")</f>
        <v>Slasher</v>
      </c>
      <c r="F3088" s="164">
        <f>IFERROR(__xludf.DUMMYFUNCTION("""COMPUTED_VALUE"""),1786.92)</f>
        <v>1786.92</v>
      </c>
      <c r="G3088" s="163">
        <f>IFERROR(__xludf.DUMMYFUNCTION("""COMPUTED_VALUE"""),68.0)</f>
        <v>68</v>
      </c>
      <c r="H3088" s="163" t="str">
        <f>IFERROR(__xludf.DUMMYFUNCTION("""COMPUTED_VALUE"""),"PG")</f>
        <v>PG</v>
      </c>
      <c r="I3088" s="163">
        <f>IFERROR(__xludf.DUMMYFUNCTION("""COMPUTED_VALUE"""),31.0)</f>
        <v>31</v>
      </c>
      <c r="J3088" s="165">
        <f>IFERROR(__xludf.DUMMYFUNCTION("""COMPUTED_VALUE"""),-1.19970583835427)</f>
        <v>-1.199705838</v>
      </c>
      <c r="K3088" s="165">
        <f>IFERROR(__xludf.DUMMYFUNCTION("""COMPUTED_VALUE"""),0.159446993411144)</f>
        <v>0.1594469934</v>
      </c>
      <c r="L3088" s="165">
        <f>IFERROR(__xludf.DUMMYFUNCTION("""COMPUTED_VALUE"""),-1.35915283176541)</f>
        <v>-1.359152832</v>
      </c>
      <c r="M3088" s="166">
        <f t="shared" si="2"/>
        <v>1.312404378</v>
      </c>
      <c r="N3088" s="167">
        <f t="shared" si="3"/>
        <v>26.27823529</v>
      </c>
      <c r="O3088" s="163">
        <f t="shared" ref="O3088:Q3088" si="3092">rank(I3088,I:I)</f>
        <v>490</v>
      </c>
      <c r="P3088" s="163">
        <f t="shared" si="3092"/>
        <v>2745</v>
      </c>
      <c r="Q3088" s="163">
        <f t="shared" si="3092"/>
        <v>1019</v>
      </c>
      <c r="R3088" s="163">
        <f>IFERROR(__xludf.DUMMYFUNCTION("RANK(M3088,filter(M:M,C:C=C3088))"),198.0)</f>
        <v>198</v>
      </c>
      <c r="S3088" s="161" t="b">
        <f t="shared" si="5"/>
        <v>0</v>
      </c>
      <c r="T3088" s="161" t="b">
        <f t="array" ref="T3088">index('Query Tool'!B:B,match(H3088,'Query Tool'!C:C,0))</f>
        <v>1</v>
      </c>
      <c r="U3088" s="161" t="b">
        <f t="array" ref="U3088">index('Query Tool'!B:B,match(C3088,'Query Tool'!C:C,0))</f>
        <v>0</v>
      </c>
      <c r="V3088" s="161" t="b">
        <f>F3088&gt;='Query Tool'!C$32</f>
        <v>1</v>
      </c>
      <c r="W3088" s="161" t="b">
        <f t="array" ref="W3088">index(Dropdowns!B:B,match(I3088,Dropdowns!A:A,0))</f>
        <v>1</v>
      </c>
      <c r="X3088" s="161" t="b">
        <f t="array" ref="X3088">index('Query Tool'!B:B,match(D3088,'Query Tool'!C:C,0))</f>
        <v>1</v>
      </c>
      <c r="Y3088" s="161" t="str">
        <f t="shared" si="6"/>
        <v>smithis01,2019-20</v>
      </c>
      <c r="Z3088" s="168" t="str">
        <f t="array" ref="Z3088">iferror(index(I:I,match($A3088&amp;","&amp;index('Year Conversion'!$A:$A,match($C3088,'Year Conversion'!$B:$B,0)),$Y:$Y,0))-I3088,"")</f>
        <v/>
      </c>
      <c r="AA3088" s="168" t="str">
        <f t="array" ref="AA3088">iferror(index(J:J,match($A3088&amp;","&amp;index('Year Conversion'!$A:$A,match($C3088,'Year Conversion'!$B:$B,0)),$Y:$Y,0))-J3088,"")</f>
        <v/>
      </c>
      <c r="AB3088" s="168" t="str">
        <f t="array" ref="AB3088">iferror(index(K:K,match($A3088&amp;","&amp;index('Year Conversion'!$A:$A,match($C3088,'Year Conversion'!$B:$B,0)),$Y:$Y,0))-K3088,"")</f>
        <v/>
      </c>
      <c r="AC3088" s="168" t="str">
        <f t="shared" si="7"/>
        <v>WAS,2019-20</v>
      </c>
    </row>
    <row r="3089">
      <c r="A3089" s="161" t="str">
        <f>IFERROR(__xludf.DUMMYFUNCTION("""COMPUTED_VALUE"""),"thomala01")</f>
        <v>thomala01</v>
      </c>
      <c r="B3089" s="161" t="str">
        <f>IFERROR(__xludf.DUMMYFUNCTION("""COMPUTED_VALUE"""),"Lance Thomas")</f>
        <v>Lance Thomas</v>
      </c>
      <c r="C3089" s="162" t="str">
        <f>IFERROR(__xludf.DUMMYFUNCTION("""COMPUTED_VALUE"""),"2019-20")</f>
        <v>2019-20</v>
      </c>
      <c r="D3089" s="163" t="str">
        <f>IFERROR(__xludf.DUMMYFUNCTION("""COMPUTED_VALUE"""),"BRK")</f>
        <v>BRK</v>
      </c>
      <c r="E3089" s="164" t="str">
        <f>IFERROR(__xludf.DUMMYFUNCTION("""COMPUTED_VALUE"""),"Stationary Shooter")</f>
        <v>Stationary Shooter</v>
      </c>
      <c r="F3089" s="164">
        <f>IFERROR(__xludf.DUMMYFUNCTION("""COMPUTED_VALUE"""),97.7583333333333)</f>
        <v>97.75833333</v>
      </c>
      <c r="G3089" s="163">
        <f>IFERROR(__xludf.DUMMYFUNCTION("""COMPUTED_VALUE"""),7.0)</f>
        <v>7</v>
      </c>
      <c r="H3089" s="163" t="str">
        <f>IFERROR(__xludf.DUMMYFUNCTION("""COMPUTED_VALUE"""),"PF")</f>
        <v>PF</v>
      </c>
      <c r="I3089" s="163">
        <f>IFERROR(__xludf.DUMMYFUNCTION("""COMPUTED_VALUE"""),31.0)</f>
        <v>31</v>
      </c>
      <c r="J3089" s="165">
        <f>IFERROR(__xludf.DUMMYFUNCTION("""COMPUTED_VALUE"""),-1.02590311412223)</f>
        <v>-1.025903114</v>
      </c>
      <c r="K3089" s="165">
        <f>IFERROR(__xludf.DUMMYFUNCTION("""COMPUTED_VALUE"""),-0.53373892181576)</f>
        <v>-0.5337389218</v>
      </c>
      <c r="L3089" s="165">
        <f>IFERROR(__xludf.DUMMYFUNCTION("""COMPUTED_VALUE"""),-0.492164192306474)</f>
        <v>-0.4921641923</v>
      </c>
      <c r="M3089" s="166">
        <f t="shared" si="2"/>
        <v>0.0831945628</v>
      </c>
      <c r="N3089" s="167">
        <f t="shared" si="3"/>
        <v>13.96547619</v>
      </c>
      <c r="O3089" s="163">
        <f t="shared" ref="O3089:Q3089" si="3093">rank(I3089,I:I)</f>
        <v>490</v>
      </c>
      <c r="P3089" s="163">
        <f t="shared" si="3093"/>
        <v>2532</v>
      </c>
      <c r="Q3089" s="163">
        <f t="shared" si="3093"/>
        <v>2161</v>
      </c>
      <c r="R3089" s="163">
        <f>IFERROR(__xludf.DUMMYFUNCTION("RANK(M3089,filter(M:M,C:C=C3089))"),399.0)</f>
        <v>399</v>
      </c>
      <c r="S3089" s="161" t="b">
        <f t="shared" si="5"/>
        <v>0</v>
      </c>
      <c r="T3089" s="161" t="b">
        <f t="array" ref="T3089">index('Query Tool'!B:B,match(H3089,'Query Tool'!C:C,0))</f>
        <v>1</v>
      </c>
      <c r="U3089" s="161" t="b">
        <f t="array" ref="U3089">index('Query Tool'!B:B,match(C3089,'Query Tool'!C:C,0))</f>
        <v>0</v>
      </c>
      <c r="V3089" s="161" t="b">
        <f>F3089&gt;='Query Tool'!C$32</f>
        <v>0</v>
      </c>
      <c r="W3089" s="161" t="b">
        <f t="array" ref="W3089">index(Dropdowns!B:B,match(I3089,Dropdowns!A:A,0))</f>
        <v>1</v>
      </c>
      <c r="X3089" s="161" t="b">
        <f t="array" ref="X3089">index('Query Tool'!B:B,match(D3089,'Query Tool'!C:C,0))</f>
        <v>1</v>
      </c>
      <c r="Y3089" s="161" t="str">
        <f t="shared" si="6"/>
        <v>thomala01,2019-20</v>
      </c>
      <c r="Z3089" s="168" t="str">
        <f t="array" ref="Z3089">iferror(index(I:I,match($A3089&amp;","&amp;index('Year Conversion'!$A:$A,match($C3089,'Year Conversion'!$B:$B,0)),$Y:$Y,0))-I3089,"")</f>
        <v/>
      </c>
      <c r="AA3089" s="168" t="str">
        <f t="array" ref="AA3089">iferror(index(J:J,match($A3089&amp;","&amp;index('Year Conversion'!$A:$A,match($C3089,'Year Conversion'!$B:$B,0)),$Y:$Y,0))-J3089,"")</f>
        <v/>
      </c>
      <c r="AB3089" s="168" t="str">
        <f t="array" ref="AB3089">iferror(index(K:K,match($A3089&amp;","&amp;index('Year Conversion'!$A:$A,match($C3089,'Year Conversion'!$B:$B,0)),$Y:$Y,0))-K3089,"")</f>
        <v/>
      </c>
      <c r="AC3089" s="168" t="str">
        <f t="shared" si="7"/>
        <v>BRK,2019-20</v>
      </c>
    </row>
    <row r="3090">
      <c r="A3090" s="161" t="str">
        <f>IFERROR(__xludf.DUMMYFUNCTION("""COMPUTED_VALUE"""),"irvinky01")</f>
        <v>irvinky01</v>
      </c>
      <c r="B3090" s="161" t="str">
        <f>IFERROR(__xludf.DUMMYFUNCTION("""COMPUTED_VALUE"""),"Kyrie Irving")</f>
        <v>Kyrie Irving</v>
      </c>
      <c r="C3090" s="162" t="str">
        <f>IFERROR(__xludf.DUMMYFUNCTION("""COMPUTED_VALUE"""),"2019-20")</f>
        <v>2019-20</v>
      </c>
      <c r="D3090" s="163" t="str">
        <f>IFERROR(__xludf.DUMMYFUNCTION("""COMPUTED_VALUE"""),"BRK")</f>
        <v>BRK</v>
      </c>
      <c r="E3090" s="164" t="str">
        <f>IFERROR(__xludf.DUMMYFUNCTION("""COMPUTED_VALUE"""),"Secondary Ball Handler")</f>
        <v>Secondary Ball Handler</v>
      </c>
      <c r="F3090" s="164">
        <f>IFERROR(__xludf.DUMMYFUNCTION("""COMPUTED_VALUE"""),657.966666666667)</f>
        <v>657.9666667</v>
      </c>
      <c r="G3090" s="163">
        <f>IFERROR(__xludf.DUMMYFUNCTION("""COMPUTED_VALUE"""),20.0)</f>
        <v>20</v>
      </c>
      <c r="H3090" s="163" t="str">
        <f>IFERROR(__xludf.DUMMYFUNCTION("""COMPUTED_VALUE"""),"PG")</f>
        <v>PG</v>
      </c>
      <c r="I3090" s="163">
        <f>IFERROR(__xludf.DUMMYFUNCTION("""COMPUTED_VALUE"""),27.0)</f>
        <v>27</v>
      </c>
      <c r="J3090" s="165">
        <f>IFERROR(__xludf.DUMMYFUNCTION("""COMPUTED_VALUE"""),2.04248788529762)</f>
        <v>2.042487885</v>
      </c>
      <c r="K3090" s="165">
        <f>IFERROR(__xludf.DUMMYFUNCTION("""COMPUTED_VALUE"""),3.11300453433927)</f>
        <v>3.113004534</v>
      </c>
      <c r="L3090" s="165">
        <f>IFERROR(__xludf.DUMMYFUNCTION("""COMPUTED_VALUE"""),-1.07051664904165)</f>
        <v>-1.070516649</v>
      </c>
      <c r="M3090" s="166">
        <f t="shared" si="2"/>
        <v>1.915186924</v>
      </c>
      <c r="N3090" s="167">
        <f t="shared" si="3"/>
        <v>32.89833333</v>
      </c>
      <c r="O3090" s="163">
        <f t="shared" ref="O3090:Q3090" si="3094">rank(I3090,I:I)</f>
        <v>1366</v>
      </c>
      <c r="P3090" s="163">
        <f t="shared" si="3094"/>
        <v>311</v>
      </c>
      <c r="Q3090" s="163">
        <f t="shared" si="3094"/>
        <v>112</v>
      </c>
      <c r="R3090" s="163">
        <f>IFERROR(__xludf.DUMMYFUNCTION("RANK(M3090,filter(M:M,C:C=C3090))"),158.0)</f>
        <v>158</v>
      </c>
      <c r="S3090" s="161" t="b">
        <f t="shared" si="5"/>
        <v>0</v>
      </c>
      <c r="T3090" s="161" t="b">
        <f t="array" ref="T3090">index('Query Tool'!B:B,match(H3090,'Query Tool'!C:C,0))</f>
        <v>1</v>
      </c>
      <c r="U3090" s="161" t="b">
        <f t="array" ref="U3090">index('Query Tool'!B:B,match(C3090,'Query Tool'!C:C,0))</f>
        <v>0</v>
      </c>
      <c r="V3090" s="161" t="b">
        <f>F3090&gt;='Query Tool'!C$32</f>
        <v>1</v>
      </c>
      <c r="W3090" s="161" t="b">
        <f t="array" ref="W3090">index(Dropdowns!B:B,match(I3090,Dropdowns!A:A,0))</f>
        <v>1</v>
      </c>
      <c r="X3090" s="161" t="b">
        <f t="array" ref="X3090">index('Query Tool'!B:B,match(D3090,'Query Tool'!C:C,0))</f>
        <v>1</v>
      </c>
      <c r="Y3090" s="161" t="str">
        <f t="shared" si="6"/>
        <v>irvinky01,2019-20</v>
      </c>
      <c r="Z3090" s="168" t="str">
        <f t="array" ref="Z3090">iferror(index(I:I,match($A3090&amp;","&amp;index('Year Conversion'!$A:$A,match($C3090,'Year Conversion'!$B:$B,0)),$Y:$Y,0))-I3090,"")</f>
        <v/>
      </c>
      <c r="AA3090" s="168" t="str">
        <f t="array" ref="AA3090">iferror(index(J:J,match($A3090&amp;","&amp;index('Year Conversion'!$A:$A,match($C3090,'Year Conversion'!$B:$B,0)),$Y:$Y,0))-J3090,"")</f>
        <v/>
      </c>
      <c r="AB3090" s="168" t="str">
        <f t="array" ref="AB3090">iferror(index(K:K,match($A3090&amp;","&amp;index('Year Conversion'!$A:$A,match($C3090,'Year Conversion'!$B:$B,0)),$Y:$Y,0))-K3090,"")</f>
        <v/>
      </c>
      <c r="AC3090" s="168" t="str">
        <f t="shared" si="7"/>
        <v>BRK,2019-20</v>
      </c>
    </row>
    <row r="3091">
      <c r="A3091" s="161" t="str">
        <f>IFERROR(__xludf.DUMMYFUNCTION("""COMPUTED_VALUE"""),"kanteen01")</f>
        <v>kanteen01</v>
      </c>
      <c r="B3091" s="161" t="str">
        <f>IFERROR(__xludf.DUMMYFUNCTION("""COMPUTED_VALUE"""),"Enes Kanter")</f>
        <v>Enes Kanter</v>
      </c>
      <c r="C3091" s="162" t="str">
        <f>IFERROR(__xludf.DUMMYFUNCTION("""COMPUTED_VALUE"""),"2019-20")</f>
        <v>2019-20</v>
      </c>
      <c r="D3091" s="163" t="str">
        <f>IFERROR(__xludf.DUMMYFUNCTION("""COMPUTED_VALUE"""),"BOS")</f>
        <v>BOS</v>
      </c>
      <c r="E3091" s="164" t="str">
        <f>IFERROR(__xludf.DUMMYFUNCTION("""COMPUTED_VALUE"""),"Post Scorer")</f>
        <v>Post Scorer</v>
      </c>
      <c r="F3091" s="164">
        <f>IFERROR(__xludf.DUMMYFUNCTION("""COMPUTED_VALUE"""),983.338333333333)</f>
        <v>983.3383333</v>
      </c>
      <c r="G3091" s="163">
        <f>IFERROR(__xludf.DUMMYFUNCTION("""COMPUTED_VALUE"""),58.0)</f>
        <v>58</v>
      </c>
      <c r="H3091" s="163" t="str">
        <f>IFERROR(__xludf.DUMMYFUNCTION("""COMPUTED_VALUE"""),"C")</f>
        <v>C</v>
      </c>
      <c r="I3091" s="163">
        <f>IFERROR(__xludf.DUMMYFUNCTION("""COMPUTED_VALUE"""),27.0)</f>
        <v>27</v>
      </c>
      <c r="J3091" s="165">
        <f>IFERROR(__xludf.DUMMYFUNCTION("""COMPUTED_VALUE"""),-0.0926092589888622)</f>
        <v>-0.09260925899</v>
      </c>
      <c r="K3091" s="165">
        <f>IFERROR(__xludf.DUMMYFUNCTION("""COMPUTED_VALUE"""),0.261139271228793)</f>
        <v>0.2611392712</v>
      </c>
      <c r="L3091" s="165">
        <f>IFERROR(__xludf.DUMMYFUNCTION("""COMPUTED_VALUE"""),-0.353748530217655)</f>
        <v>-0.3537485302</v>
      </c>
      <c r="M3091" s="166">
        <f t="shared" si="2"/>
        <v>1.454584734</v>
      </c>
      <c r="N3091" s="167">
        <f t="shared" si="3"/>
        <v>16.9541092</v>
      </c>
      <c r="O3091" s="163">
        <f t="shared" ref="O3091:Q3091" si="3095">rank(I3091,I:I)</f>
        <v>1366</v>
      </c>
      <c r="P3091" s="163">
        <f t="shared" si="3095"/>
        <v>1378</v>
      </c>
      <c r="Q3091" s="163">
        <f t="shared" si="3095"/>
        <v>941</v>
      </c>
      <c r="R3091" s="163">
        <f>IFERROR(__xludf.DUMMYFUNCTION("RANK(M3091,filter(M:M,C:C=C3091))"),187.0)</f>
        <v>187</v>
      </c>
      <c r="S3091" s="161" t="b">
        <f t="shared" si="5"/>
        <v>0</v>
      </c>
      <c r="T3091" s="161" t="b">
        <f t="array" ref="T3091">index('Query Tool'!B:B,match(H3091,'Query Tool'!C:C,0))</f>
        <v>1</v>
      </c>
      <c r="U3091" s="161" t="b">
        <f t="array" ref="U3091">index('Query Tool'!B:B,match(C3091,'Query Tool'!C:C,0))</f>
        <v>0</v>
      </c>
      <c r="V3091" s="161" t="b">
        <f>F3091&gt;='Query Tool'!C$32</f>
        <v>1</v>
      </c>
      <c r="W3091" s="161" t="b">
        <f t="array" ref="W3091">index(Dropdowns!B:B,match(I3091,Dropdowns!A:A,0))</f>
        <v>1</v>
      </c>
      <c r="X3091" s="161" t="b">
        <f t="array" ref="X3091">index('Query Tool'!B:B,match(D3091,'Query Tool'!C:C,0))</f>
        <v>1</v>
      </c>
      <c r="Y3091" s="161" t="str">
        <f t="shared" si="6"/>
        <v>kanteen01,2019-20</v>
      </c>
      <c r="Z3091" s="168" t="str">
        <f t="array" ref="Z3091">iferror(index(I:I,match($A3091&amp;","&amp;index('Year Conversion'!$A:$A,match($C3091,'Year Conversion'!$B:$B,0)),$Y:$Y,0))-I3091,"")</f>
        <v/>
      </c>
      <c r="AA3091" s="168" t="str">
        <f t="array" ref="AA3091">iferror(index(J:J,match($A3091&amp;","&amp;index('Year Conversion'!$A:$A,match($C3091,'Year Conversion'!$B:$B,0)),$Y:$Y,0))-J3091,"")</f>
        <v/>
      </c>
      <c r="AB3091" s="168" t="str">
        <f t="array" ref="AB3091">iferror(index(K:K,match($A3091&amp;","&amp;index('Year Conversion'!$A:$A,match($C3091,'Year Conversion'!$B:$B,0)),$Y:$Y,0))-K3091,"")</f>
        <v/>
      </c>
      <c r="AC3091" s="168" t="str">
        <f t="shared" si="7"/>
        <v>BOS,2019-20</v>
      </c>
    </row>
    <row r="3092">
      <c r="A3092" s="161" t="str">
        <f>IFERROR(__xludf.DUMMYFUNCTION("""COMPUTED_VALUE"""),"thomptr01")</f>
        <v>thomptr01</v>
      </c>
      <c r="B3092" s="161" t="str">
        <f>IFERROR(__xludf.DUMMYFUNCTION("""COMPUTED_VALUE"""),"Tristan Thompson")</f>
        <v>Tristan Thompson</v>
      </c>
      <c r="C3092" s="162" t="str">
        <f>IFERROR(__xludf.DUMMYFUNCTION("""COMPUTED_VALUE"""),"2019-20")</f>
        <v>2019-20</v>
      </c>
      <c r="D3092" s="163" t="str">
        <f>IFERROR(__xludf.DUMMYFUNCTION("""COMPUTED_VALUE"""),"CLE")</f>
        <v>CLE</v>
      </c>
      <c r="E3092" s="164" t="str">
        <f>IFERROR(__xludf.DUMMYFUNCTION("""COMPUTED_VALUE"""),"Roll + Cut Big")</f>
        <v>Roll + Cut Big</v>
      </c>
      <c r="F3092" s="164">
        <f>IFERROR(__xludf.DUMMYFUNCTION("""COMPUTED_VALUE"""),1721.525)</f>
        <v>1721.525</v>
      </c>
      <c r="G3092" s="163">
        <f>IFERROR(__xludf.DUMMYFUNCTION("""COMPUTED_VALUE"""),57.0)</f>
        <v>57</v>
      </c>
      <c r="H3092" s="163" t="str">
        <f>IFERROR(__xludf.DUMMYFUNCTION("""COMPUTED_VALUE"""),"PF")</f>
        <v>PF</v>
      </c>
      <c r="I3092" s="163">
        <f>IFERROR(__xludf.DUMMYFUNCTION("""COMPUTED_VALUE"""),28.0)</f>
        <v>28</v>
      </c>
      <c r="J3092" s="165">
        <f>IFERROR(__xludf.DUMMYFUNCTION("""COMPUTED_VALUE"""),-0.814582422503016)</f>
        <v>-0.8145824225</v>
      </c>
      <c r="K3092" s="165">
        <f>IFERROR(__xludf.DUMMYFUNCTION("""COMPUTED_VALUE"""),-0.735076511700305)</f>
        <v>-0.7350765117</v>
      </c>
      <c r="L3092" s="165">
        <f>IFERROR(__xludf.DUMMYFUNCTION("""COMPUTED_VALUE"""),-0.0795059108027102)</f>
        <v>-0.0795059108</v>
      </c>
      <c r="M3092" s="166">
        <f t="shared" si="2"/>
        <v>1.709455669</v>
      </c>
      <c r="N3092" s="167">
        <f t="shared" si="3"/>
        <v>30.20219298</v>
      </c>
      <c r="O3092" s="163">
        <f t="shared" ref="O3092:Q3092" si="3096">rank(I3092,I:I)</f>
        <v>1090</v>
      </c>
      <c r="P3092" s="163">
        <f t="shared" si="3096"/>
        <v>2305</v>
      </c>
      <c r="Q3092" s="163">
        <f t="shared" si="3096"/>
        <v>2460</v>
      </c>
      <c r="R3092" s="163">
        <f>IFERROR(__xludf.DUMMYFUNCTION("RANK(M3092,filter(M:M,C:C=C3092))"),173.0)</f>
        <v>173</v>
      </c>
      <c r="S3092" s="161" t="b">
        <f t="shared" si="5"/>
        <v>0</v>
      </c>
      <c r="T3092" s="161" t="b">
        <f t="array" ref="T3092">index('Query Tool'!B:B,match(H3092,'Query Tool'!C:C,0))</f>
        <v>1</v>
      </c>
      <c r="U3092" s="161" t="b">
        <f t="array" ref="U3092">index('Query Tool'!B:B,match(C3092,'Query Tool'!C:C,0))</f>
        <v>0</v>
      </c>
      <c r="V3092" s="161" t="b">
        <f>F3092&gt;='Query Tool'!C$32</f>
        <v>1</v>
      </c>
      <c r="W3092" s="161" t="b">
        <f t="array" ref="W3092">index(Dropdowns!B:B,match(I3092,Dropdowns!A:A,0))</f>
        <v>1</v>
      </c>
      <c r="X3092" s="161" t="b">
        <f t="array" ref="X3092">index('Query Tool'!B:B,match(D3092,'Query Tool'!C:C,0))</f>
        <v>1</v>
      </c>
      <c r="Y3092" s="161" t="str">
        <f t="shared" si="6"/>
        <v>thomptr01,2019-20</v>
      </c>
      <c r="Z3092" s="168" t="str">
        <f t="array" ref="Z3092">iferror(index(I:I,match($A3092&amp;","&amp;index('Year Conversion'!$A:$A,match($C3092,'Year Conversion'!$B:$B,0)),$Y:$Y,0))-I3092,"")</f>
        <v/>
      </c>
      <c r="AA3092" s="168" t="str">
        <f t="array" ref="AA3092">iferror(index(J:J,match($A3092&amp;","&amp;index('Year Conversion'!$A:$A,match($C3092,'Year Conversion'!$B:$B,0)),$Y:$Y,0))-J3092,"")</f>
        <v/>
      </c>
      <c r="AB3092" s="168" t="str">
        <f t="array" ref="AB3092">iferror(index(K:K,match($A3092&amp;","&amp;index('Year Conversion'!$A:$A,match($C3092,'Year Conversion'!$B:$B,0)),$Y:$Y,0))-K3092,"")</f>
        <v/>
      </c>
      <c r="AC3092" s="168" t="str">
        <f t="shared" si="7"/>
        <v>CLE,2019-20</v>
      </c>
    </row>
    <row r="3093">
      <c r="A3093" s="161" t="str">
        <f>IFERROR(__xludf.DUMMYFUNCTION("""COMPUTED_VALUE"""),"valanjo01")</f>
        <v>valanjo01</v>
      </c>
      <c r="B3093" s="161" t="str">
        <f>IFERROR(__xludf.DUMMYFUNCTION("""COMPUTED_VALUE"""),"Jonas Valanciunas")</f>
        <v>Jonas Valanciunas</v>
      </c>
      <c r="C3093" s="162" t="str">
        <f>IFERROR(__xludf.DUMMYFUNCTION("""COMPUTED_VALUE"""),"2019-20")</f>
        <v>2019-20</v>
      </c>
      <c r="D3093" s="163" t="str">
        <f>IFERROR(__xludf.DUMMYFUNCTION("""COMPUTED_VALUE"""),"MEM")</f>
        <v>MEM</v>
      </c>
      <c r="E3093" s="164" t="str">
        <f>IFERROR(__xludf.DUMMYFUNCTION("""COMPUTED_VALUE"""),"Post Scorer")</f>
        <v>Post Scorer</v>
      </c>
      <c r="F3093" s="164">
        <f>IFERROR(__xludf.DUMMYFUNCTION("""COMPUTED_VALUE"""),1845.10333333333)</f>
        <v>1845.103333</v>
      </c>
      <c r="G3093" s="163">
        <f>IFERROR(__xludf.DUMMYFUNCTION("""COMPUTED_VALUE"""),70.0)</f>
        <v>70</v>
      </c>
      <c r="H3093" s="163" t="str">
        <f>IFERROR(__xludf.DUMMYFUNCTION("""COMPUTED_VALUE"""),"C")</f>
        <v>C</v>
      </c>
      <c r="I3093" s="163">
        <f>IFERROR(__xludf.DUMMYFUNCTION("""COMPUTED_VALUE"""),27.0)</f>
        <v>27</v>
      </c>
      <c r="J3093" s="165">
        <f>IFERROR(__xludf.DUMMYFUNCTION("""COMPUTED_VALUE"""),1.67849338361752)</f>
        <v>1.678493384</v>
      </c>
      <c r="K3093" s="165">
        <f>IFERROR(__xludf.DUMMYFUNCTION("""COMPUTED_VALUE"""),-0.206005099394513)</f>
        <v>-0.2060050994</v>
      </c>
      <c r="L3093" s="165">
        <f>IFERROR(__xludf.DUMMYFUNCTION("""COMPUTED_VALUE"""),1.88449848301203)</f>
        <v>1.884498483</v>
      </c>
      <c r="M3093" s="166">
        <f t="shared" si="2"/>
        <v>4.924362206</v>
      </c>
      <c r="N3093" s="167">
        <f t="shared" si="3"/>
        <v>26.35861905</v>
      </c>
      <c r="O3093" s="163">
        <f t="shared" ref="O3093:Q3093" si="3097">rank(I3093,I:I)</f>
        <v>1366</v>
      </c>
      <c r="P3093" s="163">
        <f t="shared" si="3097"/>
        <v>405</v>
      </c>
      <c r="Q3093" s="163">
        <f t="shared" si="3097"/>
        <v>1572</v>
      </c>
      <c r="R3093" s="163">
        <f>IFERROR(__xludf.DUMMYFUNCTION("RANK(M3093,filter(M:M,C:C=C3093))"),40.0)</f>
        <v>40</v>
      </c>
      <c r="S3093" s="161" t="b">
        <f t="shared" si="5"/>
        <v>0</v>
      </c>
      <c r="T3093" s="161" t="b">
        <f t="array" ref="T3093">index('Query Tool'!B:B,match(H3093,'Query Tool'!C:C,0))</f>
        <v>1</v>
      </c>
      <c r="U3093" s="161" t="b">
        <f t="array" ref="U3093">index('Query Tool'!B:B,match(C3093,'Query Tool'!C:C,0))</f>
        <v>0</v>
      </c>
      <c r="V3093" s="161" t="b">
        <f>F3093&gt;='Query Tool'!C$32</f>
        <v>1</v>
      </c>
      <c r="W3093" s="161" t="b">
        <f t="array" ref="W3093">index(Dropdowns!B:B,match(I3093,Dropdowns!A:A,0))</f>
        <v>1</v>
      </c>
      <c r="X3093" s="161" t="b">
        <f t="array" ref="X3093">index('Query Tool'!B:B,match(D3093,'Query Tool'!C:C,0))</f>
        <v>1</v>
      </c>
      <c r="Y3093" s="161" t="str">
        <f t="shared" si="6"/>
        <v>valanjo01,2019-20</v>
      </c>
      <c r="Z3093" s="168" t="str">
        <f t="array" ref="Z3093">iferror(index(I:I,match($A3093&amp;","&amp;index('Year Conversion'!$A:$A,match($C3093,'Year Conversion'!$B:$B,0)),$Y:$Y,0))-I3093,"")</f>
        <v/>
      </c>
      <c r="AA3093" s="168" t="str">
        <f t="array" ref="AA3093">iferror(index(J:J,match($A3093&amp;","&amp;index('Year Conversion'!$A:$A,match($C3093,'Year Conversion'!$B:$B,0)),$Y:$Y,0))-J3093,"")</f>
        <v/>
      </c>
      <c r="AB3093" s="168" t="str">
        <f t="array" ref="AB3093">iferror(index(K:K,match($A3093&amp;","&amp;index('Year Conversion'!$A:$A,match($C3093,'Year Conversion'!$B:$B,0)),$Y:$Y,0))-K3093,"")</f>
        <v/>
      </c>
      <c r="AC3093" s="168" t="str">
        <f t="shared" si="7"/>
        <v>MEM,2019-20</v>
      </c>
    </row>
    <row r="3094">
      <c r="A3094" s="161" t="str">
        <f>IFERROR(__xludf.DUMMYFUNCTION("""COMPUTED_VALUE"""),"biyombi01")</f>
        <v>biyombi01</v>
      </c>
      <c r="B3094" s="161" t="str">
        <f>IFERROR(__xludf.DUMMYFUNCTION("""COMPUTED_VALUE"""),"Bismack Biyombo")</f>
        <v>Bismack Biyombo</v>
      </c>
      <c r="C3094" s="162" t="str">
        <f>IFERROR(__xludf.DUMMYFUNCTION("""COMPUTED_VALUE"""),"2019-20")</f>
        <v>2019-20</v>
      </c>
      <c r="D3094" s="163" t="str">
        <f>IFERROR(__xludf.DUMMYFUNCTION("""COMPUTED_VALUE"""),"CHO")</f>
        <v>CHO</v>
      </c>
      <c r="E3094" s="164" t="str">
        <f>IFERROR(__xludf.DUMMYFUNCTION("""COMPUTED_VALUE"""),"Roll + Cut Big")</f>
        <v>Roll + Cut Big</v>
      </c>
      <c r="F3094" s="164">
        <f>IFERROR(__xludf.DUMMYFUNCTION("""COMPUTED_VALUE"""),1029.04166666667)</f>
        <v>1029.041667</v>
      </c>
      <c r="G3094" s="163">
        <f>IFERROR(__xludf.DUMMYFUNCTION("""COMPUTED_VALUE"""),53.0)</f>
        <v>53</v>
      </c>
      <c r="H3094" s="163" t="str">
        <f>IFERROR(__xludf.DUMMYFUNCTION("""COMPUTED_VALUE"""),"C")</f>
        <v>C</v>
      </c>
      <c r="I3094" s="163">
        <f>IFERROR(__xludf.DUMMYFUNCTION("""COMPUTED_VALUE"""),27.0)</f>
        <v>27</v>
      </c>
      <c r="J3094" s="165">
        <f>IFERROR(__xludf.DUMMYFUNCTION("""COMPUTED_VALUE"""),-0.905206677586656)</f>
        <v>-0.9052066776</v>
      </c>
      <c r="K3094" s="165">
        <f>IFERROR(__xludf.DUMMYFUNCTION("""COMPUTED_VALUE"""),-1.35049106437942)</f>
        <v>-1.350491064</v>
      </c>
      <c r="L3094" s="165">
        <f>IFERROR(__xludf.DUMMYFUNCTION("""COMPUTED_VALUE"""),0.445284386792768)</f>
        <v>0.4452843868</v>
      </c>
      <c r="M3094" s="166">
        <f t="shared" si="2"/>
        <v>0.9591484123</v>
      </c>
      <c r="N3094" s="167">
        <f t="shared" si="3"/>
        <v>19.4158805</v>
      </c>
      <c r="O3094" s="163">
        <f t="shared" ref="O3094:Q3094" si="3098">rank(I3094,I:I)</f>
        <v>1366</v>
      </c>
      <c r="P3094" s="163">
        <f t="shared" si="3098"/>
        <v>2399</v>
      </c>
      <c r="Q3094" s="163">
        <f t="shared" si="3098"/>
        <v>3204</v>
      </c>
      <c r="R3094" s="163">
        <f>IFERROR(__xludf.DUMMYFUNCTION("RANK(M3094,filter(M:M,C:C=C3094))"),214.0)</f>
        <v>214</v>
      </c>
      <c r="S3094" s="161" t="b">
        <f t="shared" si="5"/>
        <v>0</v>
      </c>
      <c r="T3094" s="161" t="b">
        <f t="array" ref="T3094">index('Query Tool'!B:B,match(H3094,'Query Tool'!C:C,0))</f>
        <v>1</v>
      </c>
      <c r="U3094" s="161" t="b">
        <f t="array" ref="U3094">index('Query Tool'!B:B,match(C3094,'Query Tool'!C:C,0))</f>
        <v>0</v>
      </c>
      <c r="V3094" s="161" t="b">
        <f>F3094&gt;='Query Tool'!C$32</f>
        <v>1</v>
      </c>
      <c r="W3094" s="161" t="b">
        <f t="array" ref="W3094">index(Dropdowns!B:B,match(I3094,Dropdowns!A:A,0))</f>
        <v>1</v>
      </c>
      <c r="X3094" s="161" t="b">
        <f t="array" ref="X3094">index('Query Tool'!B:B,match(D3094,'Query Tool'!C:C,0))</f>
        <v>1</v>
      </c>
      <c r="Y3094" s="161" t="str">
        <f t="shared" si="6"/>
        <v>biyombi01,2019-20</v>
      </c>
      <c r="Z3094" s="168" t="str">
        <f t="array" ref="Z3094">iferror(index(I:I,match($A3094&amp;","&amp;index('Year Conversion'!$A:$A,match($C3094,'Year Conversion'!$B:$B,0)),$Y:$Y,0))-I3094,"")</f>
        <v/>
      </c>
      <c r="AA3094" s="168" t="str">
        <f t="array" ref="AA3094">iferror(index(J:J,match($A3094&amp;","&amp;index('Year Conversion'!$A:$A,match($C3094,'Year Conversion'!$B:$B,0)),$Y:$Y,0))-J3094,"")</f>
        <v/>
      </c>
      <c r="AB3094" s="168" t="str">
        <f t="array" ref="AB3094">iferror(index(K:K,match($A3094&amp;","&amp;index('Year Conversion'!$A:$A,match($C3094,'Year Conversion'!$B:$B,0)),$Y:$Y,0))-K3094,"")</f>
        <v/>
      </c>
      <c r="AC3094" s="168" t="str">
        <f t="shared" si="7"/>
        <v>CHO,2019-20</v>
      </c>
    </row>
    <row r="3095">
      <c r="A3095" s="161" t="str">
        <f>IFERROR(__xludf.DUMMYFUNCTION("""COMPUTED_VALUE"""),"knighbr03")</f>
        <v>knighbr03</v>
      </c>
      <c r="B3095" s="161" t="str">
        <f>IFERROR(__xludf.DUMMYFUNCTION("""COMPUTED_VALUE"""),"Brandon Knight")</f>
        <v>Brandon Knight</v>
      </c>
      <c r="C3095" s="162" t="str">
        <f>IFERROR(__xludf.DUMMYFUNCTION("""COMPUTED_VALUE"""),"2019-20")</f>
        <v>2019-20</v>
      </c>
      <c r="D3095" s="163" t="str">
        <f>IFERROR(__xludf.DUMMYFUNCTION("""COMPUTED_VALUE"""),"TOT")</f>
        <v>TOT</v>
      </c>
      <c r="E3095" s="164" t="str">
        <f>IFERROR(__xludf.DUMMYFUNCTION("""COMPUTED_VALUE"""),"Secondary Ball Handler")</f>
        <v>Secondary Ball Handler</v>
      </c>
      <c r="F3095" s="164">
        <f>IFERROR(__xludf.DUMMYFUNCTION("""COMPUTED_VALUE"""),462.498333333333)</f>
        <v>462.4983333</v>
      </c>
      <c r="G3095" s="163">
        <f>IFERROR(__xludf.DUMMYFUNCTION("""COMPUTED_VALUE"""),25.0)</f>
        <v>25</v>
      </c>
      <c r="H3095" s="163" t="str">
        <f>IFERROR(__xludf.DUMMYFUNCTION("""COMPUTED_VALUE"""),"SG-PG")</f>
        <v>SG-PG</v>
      </c>
      <c r="I3095" s="163">
        <f>IFERROR(__xludf.DUMMYFUNCTION("""COMPUTED_VALUE"""),28.0)</f>
        <v>28</v>
      </c>
      <c r="J3095" s="165">
        <f>IFERROR(__xludf.DUMMYFUNCTION("""COMPUTED_VALUE"""),-1.20914240113584)</f>
        <v>-1.209142401</v>
      </c>
      <c r="K3095" s="165">
        <f>IFERROR(__xludf.DUMMYFUNCTION("""COMPUTED_VALUE"""),0.0649024635561707)</f>
        <v>0.06490246356</v>
      </c>
      <c r="L3095" s="165">
        <f>IFERROR(__xludf.DUMMYFUNCTION("""COMPUTED_VALUE"""),-1.27404486469202)</f>
        <v>-1.274044865</v>
      </c>
      <c r="M3095" s="166">
        <f t="shared" si="2"/>
        <v>0.3367574428</v>
      </c>
      <c r="N3095" s="167">
        <f t="shared" si="3"/>
        <v>18.49993333</v>
      </c>
      <c r="O3095" s="163">
        <f t="shared" ref="O3095:Q3095" si="3099">rank(I3095,I:I)</f>
        <v>1090</v>
      </c>
      <c r="P3095" s="163">
        <f t="shared" si="3099"/>
        <v>2757</v>
      </c>
      <c r="Q3095" s="163">
        <f t="shared" si="3099"/>
        <v>1112</v>
      </c>
      <c r="R3095" s="163">
        <f>IFERROR(__xludf.DUMMYFUNCTION("RANK(M3095,filter(M:M,C:C=C3095))"),290.0)</f>
        <v>290</v>
      </c>
      <c r="S3095" s="161" t="b">
        <f t="shared" si="5"/>
        <v>0</v>
      </c>
      <c r="T3095" s="161" t="str">
        <f t="array" ref="T3095">index('Query Tool'!B:B,match(H3095,'Query Tool'!C:C,0))</f>
        <v>#N/A</v>
      </c>
      <c r="U3095" s="161" t="b">
        <f t="array" ref="U3095">index('Query Tool'!B:B,match(C3095,'Query Tool'!C:C,0))</f>
        <v>0</v>
      </c>
      <c r="V3095" s="161" t="b">
        <f>F3095&gt;='Query Tool'!C$32</f>
        <v>0</v>
      </c>
      <c r="W3095" s="161" t="b">
        <f t="array" ref="W3095">index(Dropdowns!B:B,match(I3095,Dropdowns!A:A,0))</f>
        <v>1</v>
      </c>
      <c r="X3095" s="161" t="b">
        <f t="array" ref="X3095">index('Query Tool'!B:B,match(D3095,'Query Tool'!C:C,0))</f>
        <v>1</v>
      </c>
      <c r="Y3095" s="161" t="str">
        <f t="shared" si="6"/>
        <v>knighbr03,2019-20</v>
      </c>
      <c r="Z3095" s="168" t="str">
        <f t="array" ref="Z3095">iferror(index(I:I,match($A3095&amp;","&amp;index('Year Conversion'!$A:$A,match($C3095,'Year Conversion'!$B:$B,0)),$Y:$Y,0))-I3095,"")</f>
        <v/>
      </c>
      <c r="AA3095" s="168" t="str">
        <f t="array" ref="AA3095">iferror(index(J:J,match($A3095&amp;","&amp;index('Year Conversion'!$A:$A,match($C3095,'Year Conversion'!$B:$B,0)),$Y:$Y,0))-J3095,"")</f>
        <v/>
      </c>
      <c r="AB3095" s="168" t="str">
        <f t="array" ref="AB3095">iferror(index(K:K,match($A3095&amp;","&amp;index('Year Conversion'!$A:$A,match($C3095,'Year Conversion'!$B:$B,0)),$Y:$Y,0))-K3095,"")</f>
        <v/>
      </c>
      <c r="AC3095" s="168" t="str">
        <f t="shared" si="7"/>
        <v>TOT,2019-20</v>
      </c>
    </row>
    <row r="3096">
      <c r="A3096" s="161" t="str">
        <f>IFERROR(__xludf.DUMMYFUNCTION("""COMPUTED_VALUE"""),"walkeke02")</f>
        <v>walkeke02</v>
      </c>
      <c r="B3096" s="161" t="str">
        <f>IFERROR(__xludf.DUMMYFUNCTION("""COMPUTED_VALUE"""),"Kemba Walker")</f>
        <v>Kemba Walker</v>
      </c>
      <c r="C3096" s="162" t="str">
        <f>IFERROR(__xludf.DUMMYFUNCTION("""COMPUTED_VALUE"""),"2019-20")</f>
        <v>2019-20</v>
      </c>
      <c r="D3096" s="163" t="str">
        <f>IFERROR(__xludf.DUMMYFUNCTION("""COMPUTED_VALUE"""),"BOS")</f>
        <v>BOS</v>
      </c>
      <c r="E3096" s="164" t="str">
        <f>IFERROR(__xludf.DUMMYFUNCTION("""COMPUTED_VALUE"""),"Primary Ball Handler")</f>
        <v>Primary Ball Handler</v>
      </c>
      <c r="F3096" s="164">
        <f>IFERROR(__xludf.DUMMYFUNCTION("""COMPUTED_VALUE"""),1742.405)</f>
        <v>1742.405</v>
      </c>
      <c r="G3096" s="163">
        <f>IFERROR(__xludf.DUMMYFUNCTION("""COMPUTED_VALUE"""),56.0)</f>
        <v>56</v>
      </c>
      <c r="H3096" s="163" t="str">
        <f>IFERROR(__xludf.DUMMYFUNCTION("""COMPUTED_VALUE"""),"PG")</f>
        <v>PG</v>
      </c>
      <c r="I3096" s="163">
        <f>IFERROR(__xludf.DUMMYFUNCTION("""COMPUTED_VALUE"""),29.0)</f>
        <v>29</v>
      </c>
      <c r="J3096" s="165">
        <f>IFERROR(__xludf.DUMMYFUNCTION("""COMPUTED_VALUE"""),2.58661506520062)</f>
        <v>2.586615065</v>
      </c>
      <c r="K3096" s="165">
        <f>IFERROR(__xludf.DUMMYFUNCTION("""COMPUTED_VALUE"""),2.84287591351451)</f>
        <v>2.842875914</v>
      </c>
      <c r="L3096" s="165">
        <f>IFERROR(__xludf.DUMMYFUNCTION("""COMPUTED_VALUE"""),-0.256260848313887)</f>
        <v>-0.2562608483</v>
      </c>
      <c r="M3096" s="166">
        <f t="shared" si="2"/>
        <v>5.696804093</v>
      </c>
      <c r="N3096" s="167">
        <f t="shared" si="3"/>
        <v>31.114375</v>
      </c>
      <c r="O3096" s="163">
        <f t="shared" ref="O3096:Q3096" si="3100">rank(I3096,I:I)</f>
        <v>855</v>
      </c>
      <c r="P3096" s="163">
        <f t="shared" si="3100"/>
        <v>211</v>
      </c>
      <c r="Q3096" s="163">
        <f t="shared" si="3100"/>
        <v>134</v>
      </c>
      <c r="R3096" s="163">
        <f>IFERROR(__xludf.DUMMYFUNCTION("RANK(M3096,filter(M:M,C:C=C3096))"),30.0)</f>
        <v>30</v>
      </c>
      <c r="S3096" s="161" t="b">
        <f t="shared" si="5"/>
        <v>0</v>
      </c>
      <c r="T3096" s="161" t="b">
        <f t="array" ref="T3096">index('Query Tool'!B:B,match(H3096,'Query Tool'!C:C,0))</f>
        <v>1</v>
      </c>
      <c r="U3096" s="161" t="b">
        <f t="array" ref="U3096">index('Query Tool'!B:B,match(C3096,'Query Tool'!C:C,0))</f>
        <v>0</v>
      </c>
      <c r="V3096" s="161" t="b">
        <f>F3096&gt;='Query Tool'!C$32</f>
        <v>1</v>
      </c>
      <c r="W3096" s="161" t="b">
        <f t="array" ref="W3096">index(Dropdowns!B:B,match(I3096,Dropdowns!A:A,0))</f>
        <v>1</v>
      </c>
      <c r="X3096" s="161" t="b">
        <f t="array" ref="X3096">index('Query Tool'!B:B,match(D3096,'Query Tool'!C:C,0))</f>
        <v>1</v>
      </c>
      <c r="Y3096" s="161" t="str">
        <f t="shared" si="6"/>
        <v>walkeke02,2019-20</v>
      </c>
      <c r="Z3096" s="168" t="str">
        <f t="array" ref="Z3096">iferror(index(I:I,match($A3096&amp;","&amp;index('Year Conversion'!$A:$A,match($C3096,'Year Conversion'!$B:$B,0)),$Y:$Y,0))-I3096,"")</f>
        <v/>
      </c>
      <c r="AA3096" s="168" t="str">
        <f t="array" ref="AA3096">iferror(index(J:J,match($A3096&amp;","&amp;index('Year Conversion'!$A:$A,match($C3096,'Year Conversion'!$B:$B,0)),$Y:$Y,0))-J3096,"")</f>
        <v/>
      </c>
      <c r="AB3096" s="168" t="str">
        <f t="array" ref="AB3096">iferror(index(K:K,match($A3096&amp;","&amp;index('Year Conversion'!$A:$A,match($C3096,'Year Conversion'!$B:$B,0)),$Y:$Y,0))-K3096,"")</f>
        <v/>
      </c>
      <c r="AC3096" s="168" t="str">
        <f t="shared" si="7"/>
        <v>BOS,2019-20</v>
      </c>
    </row>
    <row r="3097">
      <c r="A3097" s="161" t="str">
        <f>IFERROR(__xludf.DUMMYFUNCTION("""COMPUTED_VALUE"""),"burksal01")</f>
        <v>burksal01</v>
      </c>
      <c r="B3097" s="161" t="str">
        <f>IFERROR(__xludf.DUMMYFUNCTION("""COMPUTED_VALUE"""),"Alec Burks")</f>
        <v>Alec Burks</v>
      </c>
      <c r="C3097" s="162" t="str">
        <f>IFERROR(__xludf.DUMMYFUNCTION("""COMPUTED_VALUE"""),"2019-20")</f>
        <v>2019-20</v>
      </c>
      <c r="D3097" s="163" t="str">
        <f>IFERROR(__xludf.DUMMYFUNCTION("""COMPUTED_VALUE"""),"TOT")</f>
        <v>TOT</v>
      </c>
      <c r="E3097" s="164" t="str">
        <f>IFERROR(__xludf.DUMMYFUNCTION("""COMPUTED_VALUE"""),"Secondary Ball Handler")</f>
        <v>Secondary Ball Handler</v>
      </c>
      <c r="F3097" s="164">
        <f>IFERROR(__xludf.DUMMYFUNCTION("""COMPUTED_VALUE"""),1754.25166666667)</f>
        <v>1754.251667</v>
      </c>
      <c r="G3097" s="163">
        <f>IFERROR(__xludf.DUMMYFUNCTION("""COMPUTED_VALUE"""),66.0)</f>
        <v>66</v>
      </c>
      <c r="H3097" s="163" t="str">
        <f>IFERROR(__xludf.DUMMYFUNCTION("""COMPUTED_VALUE"""),"SF-SG")</f>
        <v>SF-SG</v>
      </c>
      <c r="I3097" s="163">
        <f>IFERROR(__xludf.DUMMYFUNCTION("""COMPUTED_VALUE"""),28.0)</f>
        <v>28</v>
      </c>
      <c r="J3097" s="165">
        <f>IFERROR(__xludf.DUMMYFUNCTION("""COMPUTED_VALUE"""),-1.41465520929547)</f>
        <v>-1.414655209</v>
      </c>
      <c r="K3097" s="165">
        <f>IFERROR(__xludf.DUMMYFUNCTION("""COMPUTED_VALUE"""),-0.773659513661242)</f>
        <v>-0.7736595137</v>
      </c>
      <c r="L3097" s="165">
        <f>IFERROR(__xludf.DUMMYFUNCTION("""COMPUTED_VALUE"""),-0.640995695634224)</f>
        <v>-0.6409956956</v>
      </c>
      <c r="M3097" s="166">
        <f t="shared" si="2"/>
        <v>1.035996549</v>
      </c>
      <c r="N3097" s="167">
        <f t="shared" si="3"/>
        <v>26.57957071</v>
      </c>
      <c r="O3097" s="163">
        <f t="shared" ref="O3097:Q3097" si="3101">rank(I3097,I:I)</f>
        <v>1090</v>
      </c>
      <c r="P3097" s="163">
        <f t="shared" si="3101"/>
        <v>2966</v>
      </c>
      <c r="Q3097" s="163">
        <f t="shared" si="3101"/>
        <v>2519</v>
      </c>
      <c r="R3097" s="163">
        <f>IFERROR(__xludf.DUMMYFUNCTION("RANK(M3097,filter(M:M,C:C=C3097))"),210.0)</f>
        <v>210</v>
      </c>
      <c r="S3097" s="161" t="b">
        <f t="shared" si="5"/>
        <v>0</v>
      </c>
      <c r="T3097" s="161" t="str">
        <f t="array" ref="T3097">index('Query Tool'!B:B,match(H3097,'Query Tool'!C:C,0))</f>
        <v>#N/A</v>
      </c>
      <c r="U3097" s="161" t="b">
        <f t="array" ref="U3097">index('Query Tool'!B:B,match(C3097,'Query Tool'!C:C,0))</f>
        <v>0</v>
      </c>
      <c r="V3097" s="161" t="b">
        <f>F3097&gt;='Query Tool'!C$32</f>
        <v>1</v>
      </c>
      <c r="W3097" s="161" t="b">
        <f t="array" ref="W3097">index(Dropdowns!B:B,match(I3097,Dropdowns!A:A,0))</f>
        <v>1</v>
      </c>
      <c r="X3097" s="161" t="b">
        <f t="array" ref="X3097">index('Query Tool'!B:B,match(D3097,'Query Tool'!C:C,0))</f>
        <v>1</v>
      </c>
      <c r="Y3097" s="161" t="str">
        <f t="shared" si="6"/>
        <v>burksal01,2019-20</v>
      </c>
      <c r="Z3097" s="168" t="str">
        <f t="array" ref="Z3097">iferror(index(I:I,match($A3097&amp;","&amp;index('Year Conversion'!$A:$A,match($C3097,'Year Conversion'!$B:$B,0)),$Y:$Y,0))-I3097,"")</f>
        <v/>
      </c>
      <c r="AA3097" s="168" t="str">
        <f t="array" ref="AA3097">iferror(index(J:J,match($A3097&amp;","&amp;index('Year Conversion'!$A:$A,match($C3097,'Year Conversion'!$B:$B,0)),$Y:$Y,0))-J3097,"")</f>
        <v/>
      </c>
      <c r="AB3097" s="168" t="str">
        <f t="array" ref="AB3097">iferror(index(K:K,match($A3097&amp;","&amp;index('Year Conversion'!$A:$A,match($C3097,'Year Conversion'!$B:$B,0)),$Y:$Y,0))-K3097,"")</f>
        <v/>
      </c>
      <c r="AC3097" s="168" t="str">
        <f t="shared" si="7"/>
        <v>TOT,2019-20</v>
      </c>
    </row>
    <row r="3098">
      <c r="A3098" s="161" t="str">
        <f>IFERROR(__xludf.DUMMYFUNCTION("""COMPUTED_VALUE"""),"morrima02")</f>
        <v>morrima02</v>
      </c>
      <c r="B3098" s="161" t="str">
        <f>IFERROR(__xludf.DUMMYFUNCTION("""COMPUTED_VALUE"""),"Markieff Morris")</f>
        <v>Markieff Morris</v>
      </c>
      <c r="C3098" s="162" t="str">
        <f>IFERROR(__xludf.DUMMYFUNCTION("""COMPUTED_VALUE"""),"2019-20")</f>
        <v>2019-20</v>
      </c>
      <c r="D3098" s="163" t="str">
        <f>IFERROR(__xludf.DUMMYFUNCTION("""COMPUTED_VALUE"""),"TOT")</f>
        <v>TOT</v>
      </c>
      <c r="E3098" s="164" t="str">
        <f>IFERROR(__xludf.DUMMYFUNCTION("""COMPUTED_VALUE"""),"Versatile Big")</f>
        <v>Versatile Big</v>
      </c>
      <c r="F3098" s="164">
        <f>IFERROR(__xludf.DUMMYFUNCTION("""COMPUTED_VALUE"""),1187.53333333333)</f>
        <v>1187.533333</v>
      </c>
      <c r="G3098" s="163">
        <f>IFERROR(__xludf.DUMMYFUNCTION("""COMPUTED_VALUE"""),58.0)</f>
        <v>58</v>
      </c>
      <c r="H3098" s="163" t="str">
        <f>IFERROR(__xludf.DUMMYFUNCTION("""COMPUTED_VALUE"""),"PF")</f>
        <v>PF</v>
      </c>
      <c r="I3098" s="163">
        <f>IFERROR(__xludf.DUMMYFUNCTION("""COMPUTED_VALUE"""),30.0)</f>
        <v>30</v>
      </c>
      <c r="J3098" s="165">
        <f>IFERROR(__xludf.DUMMYFUNCTION("""COMPUTED_VALUE"""),-2.65084282844755)</f>
        <v>-2.650842828</v>
      </c>
      <c r="K3098" s="165">
        <f>IFERROR(__xludf.DUMMYFUNCTION("""COMPUTED_VALUE"""),-1.799137507937)</f>
        <v>-1.799137508</v>
      </c>
      <c r="L3098" s="165">
        <f>IFERROR(__xludf.DUMMYFUNCTION("""COMPUTED_VALUE"""),-0.85170532051055)</f>
        <v>-0.8517053205</v>
      </c>
      <c r="M3098" s="166">
        <f t="shared" si="2"/>
        <v>-0.2710665783</v>
      </c>
      <c r="N3098" s="167">
        <f t="shared" si="3"/>
        <v>20.47471264</v>
      </c>
      <c r="O3098" s="163">
        <f t="shared" ref="O3098:Q3098" si="3102">rank(I3098,I:I)</f>
        <v>655</v>
      </c>
      <c r="P3098" s="163">
        <f t="shared" si="3102"/>
        <v>3800</v>
      </c>
      <c r="Q3098" s="163">
        <f t="shared" si="3102"/>
        <v>3575</v>
      </c>
      <c r="R3098" s="163">
        <f>IFERROR(__xludf.DUMMYFUNCTION("RANK(M3098,filter(M:M,C:C=C3098))"),503.0)</f>
        <v>503</v>
      </c>
      <c r="S3098" s="161" t="b">
        <f t="shared" si="5"/>
        <v>0</v>
      </c>
      <c r="T3098" s="161" t="b">
        <f t="array" ref="T3098">index('Query Tool'!B:B,match(H3098,'Query Tool'!C:C,0))</f>
        <v>1</v>
      </c>
      <c r="U3098" s="161" t="b">
        <f t="array" ref="U3098">index('Query Tool'!B:B,match(C3098,'Query Tool'!C:C,0))</f>
        <v>0</v>
      </c>
      <c r="V3098" s="161" t="b">
        <f>F3098&gt;='Query Tool'!C$32</f>
        <v>1</v>
      </c>
      <c r="W3098" s="161" t="b">
        <f t="array" ref="W3098">index(Dropdowns!B:B,match(I3098,Dropdowns!A:A,0))</f>
        <v>1</v>
      </c>
      <c r="X3098" s="161" t="b">
        <f t="array" ref="X3098">index('Query Tool'!B:B,match(D3098,'Query Tool'!C:C,0))</f>
        <v>1</v>
      </c>
      <c r="Y3098" s="161" t="str">
        <f t="shared" si="6"/>
        <v>morrima02,2019-20</v>
      </c>
      <c r="Z3098" s="168" t="str">
        <f t="array" ref="Z3098">iferror(index(I:I,match($A3098&amp;","&amp;index('Year Conversion'!$A:$A,match($C3098,'Year Conversion'!$B:$B,0)),$Y:$Y,0))-I3098,"")</f>
        <v/>
      </c>
      <c r="AA3098" s="168" t="str">
        <f t="array" ref="AA3098">iferror(index(J:J,match($A3098&amp;","&amp;index('Year Conversion'!$A:$A,match($C3098,'Year Conversion'!$B:$B,0)),$Y:$Y,0))-J3098,"")</f>
        <v/>
      </c>
      <c r="AB3098" s="168" t="str">
        <f t="array" ref="AB3098">iferror(index(K:K,match($A3098&amp;","&amp;index('Year Conversion'!$A:$A,match($C3098,'Year Conversion'!$B:$B,0)),$Y:$Y,0))-K3098,"")</f>
        <v/>
      </c>
      <c r="AC3098" s="168" t="str">
        <f t="shared" si="7"/>
        <v>TOT,2019-20</v>
      </c>
    </row>
    <row r="3099">
      <c r="A3099" s="161" t="str">
        <f>IFERROR(__xludf.DUMMYFUNCTION("""COMPUTED_VALUE"""),"morrima03")</f>
        <v>morrima03</v>
      </c>
      <c r="B3099" s="161" t="str">
        <f>IFERROR(__xludf.DUMMYFUNCTION("""COMPUTED_VALUE"""),"Marcus Morris Sr.")</f>
        <v>Marcus Morris Sr.</v>
      </c>
      <c r="C3099" s="162" t="str">
        <f>IFERROR(__xludf.DUMMYFUNCTION("""COMPUTED_VALUE"""),"2019-20")</f>
        <v>2019-20</v>
      </c>
      <c r="D3099" s="163" t="str">
        <f>IFERROR(__xludf.DUMMYFUNCTION("""COMPUTED_VALUE"""),"TOT")</f>
        <v>TOT</v>
      </c>
      <c r="E3099" s="164" t="str">
        <f>IFERROR(__xludf.DUMMYFUNCTION("""COMPUTED_VALUE"""),"Secondary Ball Handler")</f>
        <v>Secondary Ball Handler</v>
      </c>
      <c r="F3099" s="164">
        <f>IFERROR(__xludf.DUMMYFUNCTION("""COMPUTED_VALUE"""),1936.27333333333)</f>
        <v>1936.273333</v>
      </c>
      <c r="G3099" s="163">
        <f>IFERROR(__xludf.DUMMYFUNCTION("""COMPUTED_VALUE"""),62.0)</f>
        <v>62</v>
      </c>
      <c r="H3099" s="163" t="str">
        <f>IFERROR(__xludf.DUMMYFUNCTION("""COMPUTED_VALUE"""),"SF-PF")</f>
        <v>SF-PF</v>
      </c>
      <c r="I3099" s="163">
        <f>IFERROR(__xludf.DUMMYFUNCTION("""COMPUTED_VALUE"""),30.0)</f>
        <v>30</v>
      </c>
      <c r="J3099" s="165">
        <f>IFERROR(__xludf.DUMMYFUNCTION("""COMPUTED_VALUE"""),1.17126769628275)</f>
        <v>1.171267696</v>
      </c>
      <c r="K3099" s="165">
        <f>IFERROR(__xludf.DUMMYFUNCTION("""COMPUTED_VALUE"""),0.594048601318738)</f>
        <v>0.5940486013</v>
      </c>
      <c r="L3099" s="165">
        <f>IFERROR(__xludf.DUMMYFUNCTION("""COMPUTED_VALUE"""),0.577219094964017)</f>
        <v>0.577219095</v>
      </c>
      <c r="M3099" s="166">
        <f t="shared" si="2"/>
        <v>4.511172094</v>
      </c>
      <c r="N3099" s="167">
        <f t="shared" si="3"/>
        <v>31.23021505</v>
      </c>
      <c r="O3099" s="163">
        <f t="shared" ref="O3099:Q3099" si="3103">rank(I3099,I:I)</f>
        <v>655</v>
      </c>
      <c r="P3099" s="163">
        <f t="shared" si="3103"/>
        <v>581</v>
      </c>
      <c r="Q3099" s="163">
        <f t="shared" si="3103"/>
        <v>711</v>
      </c>
      <c r="R3099" s="163">
        <f>IFERROR(__xludf.DUMMYFUNCTION("RANK(M3099,filter(M:M,C:C=C3099))"),50.0)</f>
        <v>50</v>
      </c>
      <c r="S3099" s="161" t="b">
        <f t="shared" si="5"/>
        <v>0</v>
      </c>
      <c r="T3099" s="161" t="str">
        <f t="array" ref="T3099">index('Query Tool'!B:B,match(H3099,'Query Tool'!C:C,0))</f>
        <v>#N/A</v>
      </c>
      <c r="U3099" s="161" t="b">
        <f t="array" ref="U3099">index('Query Tool'!B:B,match(C3099,'Query Tool'!C:C,0))</f>
        <v>0</v>
      </c>
      <c r="V3099" s="161" t="b">
        <f>F3099&gt;='Query Tool'!C$32</f>
        <v>1</v>
      </c>
      <c r="W3099" s="161" t="b">
        <f t="array" ref="W3099">index(Dropdowns!B:B,match(I3099,Dropdowns!A:A,0))</f>
        <v>1</v>
      </c>
      <c r="X3099" s="161" t="b">
        <f t="array" ref="X3099">index('Query Tool'!B:B,match(D3099,'Query Tool'!C:C,0))</f>
        <v>1</v>
      </c>
      <c r="Y3099" s="161" t="str">
        <f t="shared" si="6"/>
        <v>morrima03,2019-20</v>
      </c>
      <c r="Z3099" s="168" t="str">
        <f t="array" ref="Z3099">iferror(index(I:I,match($A3099&amp;","&amp;index('Year Conversion'!$A:$A,match($C3099,'Year Conversion'!$B:$B,0)),$Y:$Y,0))-I3099,"")</f>
        <v/>
      </c>
      <c r="AA3099" s="168" t="str">
        <f t="array" ref="AA3099">iferror(index(J:J,match($A3099&amp;","&amp;index('Year Conversion'!$A:$A,match($C3099,'Year Conversion'!$B:$B,0)),$Y:$Y,0))-J3099,"")</f>
        <v/>
      </c>
      <c r="AB3099" s="168" t="str">
        <f t="array" ref="AB3099">iferror(index(K:K,match($A3099&amp;","&amp;index('Year Conversion'!$A:$A,match($C3099,'Year Conversion'!$B:$B,0)),$Y:$Y,0))-K3099,"")</f>
        <v/>
      </c>
      <c r="AC3099" s="168" t="str">
        <f t="shared" si="7"/>
        <v>TOT,2019-20</v>
      </c>
    </row>
    <row r="3100">
      <c r="A3100" s="161" t="str">
        <f>IFERROR(__xludf.DUMMYFUNCTION("""COMPUTED_VALUE"""),"leonaka01")</f>
        <v>leonaka01</v>
      </c>
      <c r="B3100" s="161" t="str">
        <f>IFERROR(__xludf.DUMMYFUNCTION("""COMPUTED_VALUE"""),"Kawhi Leonard")</f>
        <v>Kawhi Leonard</v>
      </c>
      <c r="C3100" s="162" t="str">
        <f>IFERROR(__xludf.DUMMYFUNCTION("""COMPUTED_VALUE"""),"2019-20")</f>
        <v>2019-20</v>
      </c>
      <c r="D3100" s="163" t="str">
        <f>IFERROR(__xludf.DUMMYFUNCTION("""COMPUTED_VALUE"""),"LAC")</f>
        <v>LAC</v>
      </c>
      <c r="E3100" s="164" t="str">
        <f>IFERROR(__xludf.DUMMYFUNCTION("""COMPUTED_VALUE"""),"Shot Creator")</f>
        <v>Shot Creator</v>
      </c>
      <c r="F3100" s="164">
        <f>IFERROR(__xludf.DUMMYFUNCTION("""COMPUTED_VALUE"""),1848.10833333333)</f>
        <v>1848.108333</v>
      </c>
      <c r="G3100" s="163">
        <f>IFERROR(__xludf.DUMMYFUNCTION("""COMPUTED_VALUE"""),57.0)</f>
        <v>57</v>
      </c>
      <c r="H3100" s="163" t="str">
        <f>IFERROR(__xludf.DUMMYFUNCTION("""COMPUTED_VALUE"""),"SF")</f>
        <v>SF</v>
      </c>
      <c r="I3100" s="163">
        <f>IFERROR(__xludf.DUMMYFUNCTION("""COMPUTED_VALUE"""),28.0)</f>
        <v>28</v>
      </c>
      <c r="J3100" s="165">
        <f>IFERROR(__xludf.DUMMYFUNCTION("""COMPUTED_VALUE"""),6.6678722702369)</f>
        <v>6.66787227</v>
      </c>
      <c r="K3100" s="165">
        <f>IFERROR(__xludf.DUMMYFUNCTION("""COMPUTED_VALUE"""),5.11648456123662)</f>
        <v>5.116484561</v>
      </c>
      <c r="L3100" s="165">
        <f>IFERROR(__xludf.DUMMYFUNCTION("""COMPUTED_VALUE"""),1.55138770900028)</f>
        <v>1.551387709</v>
      </c>
      <c r="M3100" s="166">
        <f t="shared" si="2"/>
        <v>10.67933766</v>
      </c>
      <c r="N3100" s="167">
        <f t="shared" si="3"/>
        <v>32.42295322</v>
      </c>
      <c r="O3100" s="163">
        <f t="shared" ref="O3100:Q3100" si="3104">rank(I3100,I:I)</f>
        <v>1090</v>
      </c>
      <c r="P3100" s="163">
        <f t="shared" si="3104"/>
        <v>10</v>
      </c>
      <c r="Q3100" s="163">
        <f t="shared" si="3104"/>
        <v>27</v>
      </c>
      <c r="R3100" s="163">
        <f>IFERROR(__xludf.DUMMYFUNCTION("RANK(M3100,filter(M:M,C:C=C3100))"),5.0)</f>
        <v>5</v>
      </c>
      <c r="S3100" s="161" t="b">
        <f t="shared" si="5"/>
        <v>0</v>
      </c>
      <c r="T3100" s="161" t="b">
        <f t="array" ref="T3100">index('Query Tool'!B:B,match(H3100,'Query Tool'!C:C,0))</f>
        <v>1</v>
      </c>
      <c r="U3100" s="161" t="b">
        <f t="array" ref="U3100">index('Query Tool'!B:B,match(C3100,'Query Tool'!C:C,0))</f>
        <v>0</v>
      </c>
      <c r="V3100" s="161" t="b">
        <f>F3100&gt;='Query Tool'!C$32</f>
        <v>1</v>
      </c>
      <c r="W3100" s="161" t="b">
        <f t="array" ref="W3100">index(Dropdowns!B:B,match(I3100,Dropdowns!A:A,0))</f>
        <v>1</v>
      </c>
      <c r="X3100" s="161" t="b">
        <f t="array" ref="X3100">index('Query Tool'!B:B,match(D3100,'Query Tool'!C:C,0))</f>
        <v>1</v>
      </c>
      <c r="Y3100" s="161" t="str">
        <f t="shared" si="6"/>
        <v>leonaka01,2019-20</v>
      </c>
      <c r="Z3100" s="168" t="str">
        <f t="array" ref="Z3100">iferror(index(I:I,match($A3100&amp;","&amp;index('Year Conversion'!$A:$A,match($C3100,'Year Conversion'!$B:$B,0)),$Y:$Y,0))-I3100,"")</f>
        <v/>
      </c>
      <c r="AA3100" s="168" t="str">
        <f t="array" ref="AA3100">iferror(index(J:J,match($A3100&amp;","&amp;index('Year Conversion'!$A:$A,match($C3100,'Year Conversion'!$B:$B,0)),$Y:$Y,0))-J3100,"")</f>
        <v/>
      </c>
      <c r="AB3100" s="168" t="str">
        <f t="array" ref="AB3100">iferror(index(K:K,match($A3100&amp;","&amp;index('Year Conversion'!$A:$A,match($C3100,'Year Conversion'!$B:$B,0)),$Y:$Y,0))-K3100,"")</f>
        <v/>
      </c>
      <c r="AC3100" s="168" t="str">
        <f t="shared" si="7"/>
        <v>LAC,2019-20</v>
      </c>
    </row>
    <row r="3101">
      <c r="A3101" s="161" t="str">
        <f>IFERROR(__xludf.DUMMYFUNCTION("""COMPUTED_VALUE"""),"vucevni01")</f>
        <v>vucevni01</v>
      </c>
      <c r="B3101" s="161" t="str">
        <f>IFERROR(__xludf.DUMMYFUNCTION("""COMPUTED_VALUE"""),"Nikola Vucevic")</f>
        <v>Nikola Vucevic</v>
      </c>
      <c r="C3101" s="162" t="str">
        <f>IFERROR(__xludf.DUMMYFUNCTION("""COMPUTED_VALUE"""),"2019-20")</f>
        <v>2019-20</v>
      </c>
      <c r="D3101" s="163" t="str">
        <f>IFERROR(__xludf.DUMMYFUNCTION("""COMPUTED_VALUE"""),"ORL")</f>
        <v>ORL</v>
      </c>
      <c r="E3101" s="164" t="str">
        <f>IFERROR(__xludf.DUMMYFUNCTION("""COMPUTED_VALUE"""),"Versatile Big")</f>
        <v>Versatile Big</v>
      </c>
      <c r="F3101" s="164">
        <f>IFERROR(__xludf.DUMMYFUNCTION("""COMPUTED_VALUE"""),1998.17833333333)</f>
        <v>1998.178333</v>
      </c>
      <c r="G3101" s="163">
        <f>IFERROR(__xludf.DUMMYFUNCTION("""COMPUTED_VALUE"""),62.0)</f>
        <v>62</v>
      </c>
      <c r="H3101" s="163" t="str">
        <f>IFERROR(__xludf.DUMMYFUNCTION("""COMPUTED_VALUE"""),"C")</f>
        <v>C</v>
      </c>
      <c r="I3101" s="163">
        <f>IFERROR(__xludf.DUMMYFUNCTION("""COMPUTED_VALUE"""),29.0)</f>
        <v>29</v>
      </c>
      <c r="J3101" s="165">
        <f>IFERROR(__xludf.DUMMYFUNCTION("""COMPUTED_VALUE"""),3.0690193753034)</f>
        <v>3.069019375</v>
      </c>
      <c r="K3101" s="165">
        <f>IFERROR(__xludf.DUMMYFUNCTION("""COMPUTED_VALUE"""),1.78919386015179)</f>
        <v>1.78919386</v>
      </c>
      <c r="L3101" s="165">
        <f>IFERROR(__xludf.DUMMYFUNCTION("""COMPUTED_VALUE"""),1.2798255151516)</f>
        <v>1.279825515</v>
      </c>
      <c r="M3101" s="166">
        <f t="shared" si="2"/>
        <v>7.161695945</v>
      </c>
      <c r="N3101" s="167">
        <f t="shared" si="3"/>
        <v>32.2286828</v>
      </c>
      <c r="O3101" s="163">
        <f t="shared" ref="O3101:Q3101" si="3105">rank(I3101,I:I)</f>
        <v>855</v>
      </c>
      <c r="P3101" s="163">
        <f t="shared" si="3105"/>
        <v>168</v>
      </c>
      <c r="Q3101" s="163">
        <f t="shared" si="3105"/>
        <v>262</v>
      </c>
      <c r="R3101" s="163">
        <f>IFERROR(__xludf.DUMMYFUNCTION("RANK(M3101,filter(M:M,C:C=C3101))"),18.0)</f>
        <v>18</v>
      </c>
      <c r="S3101" s="161" t="b">
        <f t="shared" si="5"/>
        <v>0</v>
      </c>
      <c r="T3101" s="161" t="b">
        <f t="array" ref="T3101">index('Query Tool'!B:B,match(H3101,'Query Tool'!C:C,0))</f>
        <v>1</v>
      </c>
      <c r="U3101" s="161" t="b">
        <f t="array" ref="U3101">index('Query Tool'!B:B,match(C3101,'Query Tool'!C:C,0))</f>
        <v>0</v>
      </c>
      <c r="V3101" s="161" t="b">
        <f>F3101&gt;='Query Tool'!C$32</f>
        <v>1</v>
      </c>
      <c r="W3101" s="161" t="b">
        <f t="array" ref="W3101">index(Dropdowns!B:B,match(I3101,Dropdowns!A:A,0))</f>
        <v>1</v>
      </c>
      <c r="X3101" s="161" t="b">
        <f t="array" ref="X3101">index('Query Tool'!B:B,match(D3101,'Query Tool'!C:C,0))</f>
        <v>1</v>
      </c>
      <c r="Y3101" s="161" t="str">
        <f t="shared" si="6"/>
        <v>vucevni01,2019-20</v>
      </c>
      <c r="Z3101" s="168" t="str">
        <f t="array" ref="Z3101">iferror(index(I:I,match($A3101&amp;","&amp;index('Year Conversion'!$A:$A,match($C3101,'Year Conversion'!$B:$B,0)),$Y:$Y,0))-I3101,"")</f>
        <v/>
      </c>
      <c r="AA3101" s="168" t="str">
        <f t="array" ref="AA3101">iferror(index(J:J,match($A3101&amp;","&amp;index('Year Conversion'!$A:$A,match($C3101,'Year Conversion'!$B:$B,0)),$Y:$Y,0))-J3101,"")</f>
        <v/>
      </c>
      <c r="AB3101" s="168" t="str">
        <f t="array" ref="AB3101">iferror(index(K:K,match($A3101&amp;","&amp;index('Year Conversion'!$A:$A,match($C3101,'Year Conversion'!$B:$B,0)),$Y:$Y,0))-K3101,"")</f>
        <v/>
      </c>
      <c r="AC3101" s="168" t="str">
        <f t="shared" si="7"/>
        <v>ORL,2019-20</v>
      </c>
    </row>
    <row r="3102">
      <c r="A3102" s="161" t="str">
        <f>IFERROR(__xludf.DUMMYFUNCTION("""COMPUTED_VALUE"""),"shumpim01")</f>
        <v>shumpim01</v>
      </c>
      <c r="B3102" s="161" t="str">
        <f>IFERROR(__xludf.DUMMYFUNCTION("""COMPUTED_VALUE"""),"Iman Shumpert")</f>
        <v>Iman Shumpert</v>
      </c>
      <c r="C3102" s="162" t="str">
        <f>IFERROR(__xludf.DUMMYFUNCTION("""COMPUTED_VALUE"""),"2019-20")</f>
        <v>2019-20</v>
      </c>
      <c r="D3102" s="163" t="str">
        <f>IFERROR(__xludf.DUMMYFUNCTION("""COMPUTED_VALUE"""),"BRK")</f>
        <v>BRK</v>
      </c>
      <c r="E3102" s="164" t="str">
        <f>IFERROR(__xludf.DUMMYFUNCTION("""COMPUTED_VALUE"""),"Secondary Ball Handler")</f>
        <v>Secondary Ball Handler</v>
      </c>
      <c r="F3102" s="164">
        <f>IFERROR(__xludf.DUMMYFUNCTION("""COMPUTED_VALUE"""),240.643333333333)</f>
        <v>240.6433333</v>
      </c>
      <c r="G3102" s="163">
        <f>IFERROR(__xludf.DUMMYFUNCTION("""COMPUTED_VALUE"""),13.0)</f>
        <v>13</v>
      </c>
      <c r="H3102" s="163" t="str">
        <f>IFERROR(__xludf.DUMMYFUNCTION("""COMPUTED_VALUE"""),"SF")</f>
        <v>SF</v>
      </c>
      <c r="I3102" s="163">
        <f>IFERROR(__xludf.DUMMYFUNCTION("""COMPUTED_VALUE"""),29.0)</f>
        <v>29</v>
      </c>
      <c r="J3102" s="165">
        <f>IFERROR(__xludf.DUMMYFUNCTION("""COMPUTED_VALUE"""),-2.35930600312608)</f>
        <v>-2.359306003</v>
      </c>
      <c r="K3102" s="165">
        <f>IFERROR(__xludf.DUMMYFUNCTION("""COMPUTED_VALUE"""),-2.26267528210904)</f>
        <v>-2.262675282</v>
      </c>
      <c r="L3102" s="165">
        <f>IFERROR(__xludf.DUMMYFUNCTION("""COMPUTED_VALUE"""),-0.0966307210170374)</f>
        <v>-0.09663072102</v>
      </c>
      <c r="M3102" s="166">
        <f t="shared" si="2"/>
        <v>-0.008847623146</v>
      </c>
      <c r="N3102" s="167">
        <f t="shared" si="3"/>
        <v>18.51102564</v>
      </c>
      <c r="O3102" s="163">
        <f t="shared" ref="O3102:Q3102" si="3106">rank(I3102,I:I)</f>
        <v>855</v>
      </c>
      <c r="P3102" s="163">
        <f t="shared" si="3106"/>
        <v>3690</v>
      </c>
      <c r="Q3102" s="163">
        <f t="shared" si="3106"/>
        <v>3823</v>
      </c>
      <c r="R3102" s="163">
        <f>IFERROR(__xludf.DUMMYFUNCTION("RANK(M3102,filter(M:M,C:C=C3102))"),484.0)</f>
        <v>484</v>
      </c>
      <c r="S3102" s="161" t="b">
        <f t="shared" si="5"/>
        <v>0</v>
      </c>
      <c r="T3102" s="161" t="b">
        <f t="array" ref="T3102">index('Query Tool'!B:B,match(H3102,'Query Tool'!C:C,0))</f>
        <v>1</v>
      </c>
      <c r="U3102" s="161" t="b">
        <f t="array" ref="U3102">index('Query Tool'!B:B,match(C3102,'Query Tool'!C:C,0))</f>
        <v>0</v>
      </c>
      <c r="V3102" s="161" t="b">
        <f>F3102&gt;='Query Tool'!C$32</f>
        <v>0</v>
      </c>
      <c r="W3102" s="161" t="b">
        <f t="array" ref="W3102">index(Dropdowns!B:B,match(I3102,Dropdowns!A:A,0))</f>
        <v>1</v>
      </c>
      <c r="X3102" s="161" t="b">
        <f t="array" ref="X3102">index('Query Tool'!B:B,match(D3102,'Query Tool'!C:C,0))</f>
        <v>1</v>
      </c>
      <c r="Y3102" s="161" t="str">
        <f t="shared" si="6"/>
        <v>shumpim01,2019-20</v>
      </c>
      <c r="Z3102" s="168" t="str">
        <f t="array" ref="Z3102">iferror(index(I:I,match($A3102&amp;","&amp;index('Year Conversion'!$A:$A,match($C3102,'Year Conversion'!$B:$B,0)),$Y:$Y,0))-I3102,"")</f>
        <v/>
      </c>
      <c r="AA3102" s="168" t="str">
        <f t="array" ref="AA3102">iferror(index(J:J,match($A3102&amp;","&amp;index('Year Conversion'!$A:$A,match($C3102,'Year Conversion'!$B:$B,0)),$Y:$Y,0))-J3102,"")</f>
        <v/>
      </c>
      <c r="AB3102" s="168" t="str">
        <f t="array" ref="AB3102">iferror(index(K:K,match($A3102&amp;","&amp;index('Year Conversion'!$A:$A,match($C3102,'Year Conversion'!$B:$B,0)),$Y:$Y,0))-K3102,"")</f>
        <v/>
      </c>
      <c r="AC3102" s="168" t="str">
        <f t="shared" si="7"/>
        <v>BRK,2019-20</v>
      </c>
    </row>
    <row r="3103">
      <c r="A3103" s="161" t="str">
        <f>IFERROR(__xludf.DUMMYFUNCTION("""COMPUTED_VALUE"""),"harrito02")</f>
        <v>harrito02</v>
      </c>
      <c r="B3103" s="161" t="str">
        <f>IFERROR(__xludf.DUMMYFUNCTION("""COMPUTED_VALUE"""),"Tobias Harris")</f>
        <v>Tobias Harris</v>
      </c>
      <c r="C3103" s="162" t="str">
        <f>IFERROR(__xludf.DUMMYFUNCTION("""COMPUTED_VALUE"""),"2019-20")</f>
        <v>2019-20</v>
      </c>
      <c r="D3103" s="163" t="str">
        <f>IFERROR(__xludf.DUMMYFUNCTION("""COMPUTED_VALUE"""),"PHI")</f>
        <v>PHI</v>
      </c>
      <c r="E3103" s="164" t="str">
        <f>IFERROR(__xludf.DUMMYFUNCTION("""COMPUTED_VALUE"""),"Shot Creator")</f>
        <v>Shot Creator</v>
      </c>
      <c r="F3103" s="164">
        <f>IFERROR(__xludf.DUMMYFUNCTION("""COMPUTED_VALUE"""),2469.17833333333)</f>
        <v>2469.178333</v>
      </c>
      <c r="G3103" s="163">
        <f>IFERROR(__xludf.DUMMYFUNCTION("""COMPUTED_VALUE"""),72.0)</f>
        <v>72</v>
      </c>
      <c r="H3103" s="163" t="str">
        <f>IFERROR(__xludf.DUMMYFUNCTION("""COMPUTED_VALUE"""),"PF")</f>
        <v>PF</v>
      </c>
      <c r="I3103" s="163">
        <f>IFERROR(__xludf.DUMMYFUNCTION("""COMPUTED_VALUE"""),27.0)</f>
        <v>27</v>
      </c>
      <c r="J3103" s="165">
        <f>IFERROR(__xludf.DUMMYFUNCTION("""COMPUTED_VALUE"""),1.86751042391252)</f>
        <v>1.867510424</v>
      </c>
      <c r="K3103" s="165">
        <f>IFERROR(__xludf.DUMMYFUNCTION("""COMPUTED_VALUE"""),1.43340300950248)</f>
        <v>1.43340301</v>
      </c>
      <c r="L3103" s="165">
        <f>IFERROR(__xludf.DUMMYFUNCTION("""COMPUTED_VALUE"""),0.434107414410047)</f>
        <v>0.4341074144</v>
      </c>
      <c r="M3103" s="166">
        <f t="shared" si="2"/>
        <v>6.900509851</v>
      </c>
      <c r="N3103" s="167">
        <f t="shared" si="3"/>
        <v>34.29414352</v>
      </c>
      <c r="O3103" s="163">
        <f t="shared" ref="O3103:Q3103" si="3107">rank(I3103,I:I)</f>
        <v>1366</v>
      </c>
      <c r="P3103" s="163">
        <f t="shared" si="3107"/>
        <v>355</v>
      </c>
      <c r="Q3103" s="163">
        <f t="shared" si="3107"/>
        <v>341</v>
      </c>
      <c r="R3103" s="163">
        <f>IFERROR(__xludf.DUMMYFUNCTION("RANK(M3103,filter(M:M,C:C=C3103))"),19.0)</f>
        <v>19</v>
      </c>
      <c r="S3103" s="161" t="b">
        <f t="shared" si="5"/>
        <v>0</v>
      </c>
      <c r="T3103" s="161" t="b">
        <f t="array" ref="T3103">index('Query Tool'!B:B,match(H3103,'Query Tool'!C:C,0))</f>
        <v>1</v>
      </c>
      <c r="U3103" s="161" t="b">
        <f t="array" ref="U3103">index('Query Tool'!B:B,match(C3103,'Query Tool'!C:C,0))</f>
        <v>0</v>
      </c>
      <c r="V3103" s="161" t="b">
        <f>F3103&gt;='Query Tool'!C$32</f>
        <v>1</v>
      </c>
      <c r="W3103" s="161" t="b">
        <f t="array" ref="W3103">index(Dropdowns!B:B,match(I3103,Dropdowns!A:A,0))</f>
        <v>1</v>
      </c>
      <c r="X3103" s="161" t="b">
        <f t="array" ref="X3103">index('Query Tool'!B:B,match(D3103,'Query Tool'!C:C,0))</f>
        <v>1</v>
      </c>
      <c r="Y3103" s="161" t="str">
        <f t="shared" si="6"/>
        <v>harrito02,2019-20</v>
      </c>
      <c r="Z3103" s="168" t="str">
        <f t="array" ref="Z3103">iferror(index(I:I,match($A3103&amp;","&amp;index('Year Conversion'!$A:$A,match($C3103,'Year Conversion'!$B:$B,0)),$Y:$Y,0))-I3103,"")</f>
        <v/>
      </c>
      <c r="AA3103" s="168" t="str">
        <f t="array" ref="AA3103">iferror(index(J:J,match($A3103&amp;","&amp;index('Year Conversion'!$A:$A,match($C3103,'Year Conversion'!$B:$B,0)),$Y:$Y,0))-J3103,"")</f>
        <v/>
      </c>
      <c r="AB3103" s="168" t="str">
        <f t="array" ref="AB3103">iferror(index(K:K,match($A3103&amp;","&amp;index('Year Conversion'!$A:$A,match($C3103,'Year Conversion'!$B:$B,0)),$Y:$Y,0))-K3103,"")</f>
        <v/>
      </c>
      <c r="AC3103" s="168" t="str">
        <f t="shared" si="7"/>
        <v>PHI,2019-20</v>
      </c>
    </row>
    <row r="3104">
      <c r="A3104" s="161" t="str">
        <f>IFERROR(__xludf.DUMMYFUNCTION("""COMPUTED_VALUE"""),"jacksre01")</f>
        <v>jacksre01</v>
      </c>
      <c r="B3104" s="161" t="str">
        <f>IFERROR(__xludf.DUMMYFUNCTION("""COMPUTED_VALUE"""),"Reggie Jackson")</f>
        <v>Reggie Jackson</v>
      </c>
      <c r="C3104" s="162" t="str">
        <f>IFERROR(__xludf.DUMMYFUNCTION("""COMPUTED_VALUE"""),"2019-20")</f>
        <v>2019-20</v>
      </c>
      <c r="D3104" s="163" t="str">
        <f>IFERROR(__xludf.DUMMYFUNCTION("""COMPUTED_VALUE"""),"TOT")</f>
        <v>TOT</v>
      </c>
      <c r="E3104" s="164" t="str">
        <f>IFERROR(__xludf.DUMMYFUNCTION("""COMPUTED_VALUE"""),"Secondary Ball Handler")</f>
        <v>Secondary Ball Handler</v>
      </c>
      <c r="F3104" s="164">
        <f>IFERROR(__xludf.DUMMYFUNCTION("""COMPUTED_VALUE"""),742.66)</f>
        <v>742.66</v>
      </c>
      <c r="G3104" s="163">
        <f>IFERROR(__xludf.DUMMYFUNCTION("""COMPUTED_VALUE"""),31.0)</f>
        <v>31</v>
      </c>
      <c r="H3104" s="163" t="str">
        <f>IFERROR(__xludf.DUMMYFUNCTION("""COMPUTED_VALUE"""),"SG-PG")</f>
        <v>SG-PG</v>
      </c>
      <c r="I3104" s="163">
        <f>IFERROR(__xludf.DUMMYFUNCTION("""COMPUTED_VALUE"""),29.0)</f>
        <v>29</v>
      </c>
      <c r="J3104" s="165">
        <f>IFERROR(__xludf.DUMMYFUNCTION("""COMPUTED_VALUE"""),-0.408456520590222)</f>
        <v>-0.4084565206</v>
      </c>
      <c r="K3104" s="165">
        <f>IFERROR(__xludf.DUMMYFUNCTION("""COMPUTED_VALUE"""),0.719037230321889)</f>
        <v>0.7190372303</v>
      </c>
      <c r="L3104" s="165">
        <f>IFERROR(__xludf.DUMMYFUNCTION("""COMPUTED_VALUE"""),-1.12749375091211)</f>
        <v>-1.127493751</v>
      </c>
      <c r="M3104" s="166">
        <f t="shared" si="2"/>
        <v>0.9404699017</v>
      </c>
      <c r="N3104" s="167">
        <f t="shared" si="3"/>
        <v>23.95677419</v>
      </c>
      <c r="O3104" s="163">
        <f t="shared" ref="O3104:Q3104" si="3108">rank(I3104,I:I)</f>
        <v>855</v>
      </c>
      <c r="P3104" s="163">
        <f t="shared" si="3108"/>
        <v>1738</v>
      </c>
      <c r="Q3104" s="163">
        <f t="shared" si="3108"/>
        <v>640</v>
      </c>
      <c r="R3104" s="163">
        <f>IFERROR(__xludf.DUMMYFUNCTION("RANK(M3104,filter(M:M,C:C=C3104))"),215.0)</f>
        <v>215</v>
      </c>
      <c r="S3104" s="161" t="b">
        <f t="shared" si="5"/>
        <v>0</v>
      </c>
      <c r="T3104" s="161" t="str">
        <f t="array" ref="T3104">index('Query Tool'!B:B,match(H3104,'Query Tool'!C:C,0))</f>
        <v>#N/A</v>
      </c>
      <c r="U3104" s="161" t="b">
        <f t="array" ref="U3104">index('Query Tool'!B:B,match(C3104,'Query Tool'!C:C,0))</f>
        <v>0</v>
      </c>
      <c r="V3104" s="161" t="b">
        <f>F3104&gt;='Query Tool'!C$32</f>
        <v>1</v>
      </c>
      <c r="W3104" s="161" t="b">
        <f t="array" ref="W3104">index(Dropdowns!B:B,match(I3104,Dropdowns!A:A,0))</f>
        <v>1</v>
      </c>
      <c r="X3104" s="161" t="b">
        <f t="array" ref="X3104">index('Query Tool'!B:B,match(D3104,'Query Tool'!C:C,0))</f>
        <v>1</v>
      </c>
      <c r="Y3104" s="161" t="str">
        <f t="shared" si="6"/>
        <v>jacksre01,2019-20</v>
      </c>
      <c r="Z3104" s="168" t="str">
        <f t="array" ref="Z3104">iferror(index(I:I,match($A3104&amp;","&amp;index('Year Conversion'!$A:$A,match($C3104,'Year Conversion'!$B:$B,0)),$Y:$Y,0))-I3104,"")</f>
        <v/>
      </c>
      <c r="AA3104" s="168" t="str">
        <f t="array" ref="AA3104">iferror(index(J:J,match($A3104&amp;","&amp;index('Year Conversion'!$A:$A,match($C3104,'Year Conversion'!$B:$B,0)),$Y:$Y,0))-J3104,"")</f>
        <v/>
      </c>
      <c r="AB3104" s="168" t="str">
        <f t="array" ref="AB3104">iferror(index(K:K,match($A3104&amp;","&amp;index('Year Conversion'!$A:$A,match($C3104,'Year Conversion'!$B:$B,0)),$Y:$Y,0))-K3104,"")</f>
        <v/>
      </c>
      <c r="AC3104" s="168" t="str">
        <f t="shared" si="7"/>
        <v>TOT,2019-20</v>
      </c>
    </row>
    <row r="3105">
      <c r="A3105" s="161" t="str">
        <f>IFERROR(__xludf.DUMMYFUNCTION("""COMPUTED_VALUE"""),"josepco01")</f>
        <v>josepco01</v>
      </c>
      <c r="B3105" s="161" t="str">
        <f>IFERROR(__xludf.DUMMYFUNCTION("""COMPUTED_VALUE"""),"Cory Joseph")</f>
        <v>Cory Joseph</v>
      </c>
      <c r="C3105" s="162" t="str">
        <f>IFERROR(__xludf.DUMMYFUNCTION("""COMPUTED_VALUE"""),"2019-20")</f>
        <v>2019-20</v>
      </c>
      <c r="D3105" s="163" t="str">
        <f>IFERROR(__xludf.DUMMYFUNCTION("""COMPUTED_VALUE"""),"SAC")</f>
        <v>SAC</v>
      </c>
      <c r="E3105" s="164" t="str">
        <f>IFERROR(__xludf.DUMMYFUNCTION("""COMPUTED_VALUE"""),"Primary Ball Handler")</f>
        <v>Primary Ball Handler</v>
      </c>
      <c r="F3105" s="164">
        <f>IFERROR(__xludf.DUMMYFUNCTION("""COMPUTED_VALUE"""),1759.39666666667)</f>
        <v>1759.396667</v>
      </c>
      <c r="G3105" s="163">
        <f>IFERROR(__xludf.DUMMYFUNCTION("""COMPUTED_VALUE"""),72.0)</f>
        <v>72</v>
      </c>
      <c r="H3105" s="163" t="str">
        <f>IFERROR(__xludf.DUMMYFUNCTION("""COMPUTED_VALUE"""),"PG")</f>
        <v>PG</v>
      </c>
      <c r="I3105" s="163">
        <f>IFERROR(__xludf.DUMMYFUNCTION("""COMPUTED_VALUE"""),28.0)</f>
        <v>28</v>
      </c>
      <c r="J3105" s="165">
        <f>IFERROR(__xludf.DUMMYFUNCTION("""COMPUTED_VALUE"""),-1.12724057713324)</f>
        <v>-1.127240577</v>
      </c>
      <c r="K3105" s="165">
        <f>IFERROR(__xludf.DUMMYFUNCTION("""COMPUTED_VALUE"""),-1.02723978528863)</f>
        <v>-1.027239785</v>
      </c>
      <c r="L3105" s="165">
        <f>IFERROR(__xludf.DUMMYFUNCTION("""COMPUTED_VALUE"""),-0.100000791844613)</f>
        <v>-0.1000007918</v>
      </c>
      <c r="M3105" s="166">
        <f t="shared" si="2"/>
        <v>1.377662518</v>
      </c>
      <c r="N3105" s="167">
        <f t="shared" si="3"/>
        <v>24.43606481</v>
      </c>
      <c r="O3105" s="163">
        <f t="shared" ref="O3105:Q3105" si="3109">rank(I3105,I:I)</f>
        <v>1090</v>
      </c>
      <c r="P3105" s="163">
        <f t="shared" si="3109"/>
        <v>2654</v>
      </c>
      <c r="Q3105" s="163">
        <f t="shared" si="3109"/>
        <v>2837</v>
      </c>
      <c r="R3105" s="163">
        <f>IFERROR(__xludf.DUMMYFUNCTION("RANK(M3105,filter(M:M,C:C=C3105))"),193.0)</f>
        <v>193</v>
      </c>
      <c r="S3105" s="161" t="b">
        <f t="shared" si="5"/>
        <v>0</v>
      </c>
      <c r="T3105" s="161" t="b">
        <f t="array" ref="T3105">index('Query Tool'!B:B,match(H3105,'Query Tool'!C:C,0))</f>
        <v>1</v>
      </c>
      <c r="U3105" s="161" t="b">
        <f t="array" ref="U3105">index('Query Tool'!B:B,match(C3105,'Query Tool'!C:C,0))</f>
        <v>0</v>
      </c>
      <c r="V3105" s="161" t="b">
        <f>F3105&gt;='Query Tool'!C$32</f>
        <v>1</v>
      </c>
      <c r="W3105" s="161" t="b">
        <f t="array" ref="W3105">index(Dropdowns!B:B,match(I3105,Dropdowns!A:A,0))</f>
        <v>1</v>
      </c>
      <c r="X3105" s="161" t="b">
        <f t="array" ref="X3105">index('Query Tool'!B:B,match(D3105,'Query Tool'!C:C,0))</f>
        <v>1</v>
      </c>
      <c r="Y3105" s="161" t="str">
        <f t="shared" si="6"/>
        <v>josepco01,2019-20</v>
      </c>
      <c r="Z3105" s="168" t="str">
        <f t="array" ref="Z3105">iferror(index(I:I,match($A3105&amp;","&amp;index('Year Conversion'!$A:$A,match($C3105,'Year Conversion'!$B:$B,0)),$Y:$Y,0))-I3105,"")</f>
        <v/>
      </c>
      <c r="AA3105" s="168" t="str">
        <f t="array" ref="AA3105">iferror(index(J:J,match($A3105&amp;","&amp;index('Year Conversion'!$A:$A,match($C3105,'Year Conversion'!$B:$B,0)),$Y:$Y,0))-J3105,"")</f>
        <v/>
      </c>
      <c r="AB3105" s="168" t="str">
        <f t="array" ref="AB3105">iferror(index(K:K,match($A3105&amp;","&amp;index('Year Conversion'!$A:$A,match($C3105,'Year Conversion'!$B:$B,0)),$Y:$Y,0))-K3105,"")</f>
        <v/>
      </c>
      <c r="AC3105" s="168" t="str">
        <f t="shared" si="7"/>
        <v>SAC,2019-20</v>
      </c>
    </row>
    <row r="3106">
      <c r="A3106" s="161" t="str">
        <f>IFERROR(__xludf.DUMMYFUNCTION("""COMPUTED_VALUE"""),"butleji01")</f>
        <v>butleji01</v>
      </c>
      <c r="B3106" s="161" t="str">
        <f>IFERROR(__xludf.DUMMYFUNCTION("""COMPUTED_VALUE"""),"Jimmy Butler")</f>
        <v>Jimmy Butler</v>
      </c>
      <c r="C3106" s="162" t="str">
        <f>IFERROR(__xludf.DUMMYFUNCTION("""COMPUTED_VALUE"""),"2019-20")</f>
        <v>2019-20</v>
      </c>
      <c r="D3106" s="163" t="str">
        <f>IFERROR(__xludf.DUMMYFUNCTION("""COMPUTED_VALUE"""),"MIA")</f>
        <v>MIA</v>
      </c>
      <c r="E3106" s="164" t="str">
        <f>IFERROR(__xludf.DUMMYFUNCTION("""COMPUTED_VALUE"""),"Shot Creator")</f>
        <v>Shot Creator</v>
      </c>
      <c r="F3106" s="164">
        <f>IFERROR(__xludf.DUMMYFUNCTION("""COMPUTED_VALUE"""),1959.10333333333)</f>
        <v>1959.103333</v>
      </c>
      <c r="G3106" s="163">
        <f>IFERROR(__xludf.DUMMYFUNCTION("""COMPUTED_VALUE"""),58.0)</f>
        <v>58</v>
      </c>
      <c r="H3106" s="163" t="str">
        <f>IFERROR(__xludf.DUMMYFUNCTION("""COMPUTED_VALUE"""),"SF")</f>
        <v>SF</v>
      </c>
      <c r="I3106" s="163">
        <f>IFERROR(__xludf.DUMMYFUNCTION("""COMPUTED_VALUE"""),30.0)</f>
        <v>30</v>
      </c>
      <c r="J3106" s="165">
        <f>IFERROR(__xludf.DUMMYFUNCTION("""COMPUTED_VALUE"""),5.0543637453955)</f>
        <v>5.054363745</v>
      </c>
      <c r="K3106" s="165">
        <f>IFERROR(__xludf.DUMMYFUNCTION("""COMPUTED_VALUE"""),4.08361576506683)</f>
        <v>4.083615765</v>
      </c>
      <c r="L3106" s="165">
        <f>IFERROR(__xludf.DUMMYFUNCTION("""COMPUTED_VALUE"""),0.970747980328673)</f>
        <v>0.9707479803</v>
      </c>
      <c r="M3106" s="166">
        <f t="shared" si="2"/>
        <v>9.468857684</v>
      </c>
      <c r="N3106" s="167">
        <f t="shared" si="3"/>
        <v>33.77764368</v>
      </c>
      <c r="O3106" s="163">
        <f t="shared" ref="O3106:Q3106" si="3110">rank(I3106,I:I)</f>
        <v>655</v>
      </c>
      <c r="P3106" s="163">
        <f t="shared" si="3110"/>
        <v>47</v>
      </c>
      <c r="Q3106" s="163">
        <f t="shared" si="3110"/>
        <v>58</v>
      </c>
      <c r="R3106" s="163">
        <f>IFERROR(__xludf.DUMMYFUNCTION("RANK(M3106,filter(M:M,C:C=C3106))"),12.0)</f>
        <v>12</v>
      </c>
      <c r="S3106" s="161" t="b">
        <f t="shared" si="5"/>
        <v>0</v>
      </c>
      <c r="T3106" s="161" t="b">
        <f t="array" ref="T3106">index('Query Tool'!B:B,match(H3106,'Query Tool'!C:C,0))</f>
        <v>1</v>
      </c>
      <c r="U3106" s="161" t="b">
        <f t="array" ref="U3106">index('Query Tool'!B:B,match(C3106,'Query Tool'!C:C,0))</f>
        <v>0</v>
      </c>
      <c r="V3106" s="161" t="b">
        <f>F3106&gt;='Query Tool'!C$32</f>
        <v>1</v>
      </c>
      <c r="W3106" s="161" t="b">
        <f t="array" ref="W3106">index(Dropdowns!B:B,match(I3106,Dropdowns!A:A,0))</f>
        <v>1</v>
      </c>
      <c r="X3106" s="161" t="b">
        <f t="array" ref="X3106">index('Query Tool'!B:B,match(D3106,'Query Tool'!C:C,0))</f>
        <v>1</v>
      </c>
      <c r="Y3106" s="161" t="str">
        <f t="shared" si="6"/>
        <v>butleji01,2019-20</v>
      </c>
      <c r="Z3106" s="168" t="str">
        <f t="array" ref="Z3106">iferror(index(I:I,match($A3106&amp;","&amp;index('Year Conversion'!$A:$A,match($C3106,'Year Conversion'!$B:$B,0)),$Y:$Y,0))-I3106,"")</f>
        <v/>
      </c>
      <c r="AA3106" s="168" t="str">
        <f t="array" ref="AA3106">iferror(index(J:J,match($A3106&amp;","&amp;index('Year Conversion'!$A:$A,match($C3106,'Year Conversion'!$B:$B,0)),$Y:$Y,0))-J3106,"")</f>
        <v/>
      </c>
      <c r="AB3106" s="168" t="str">
        <f t="array" ref="AB3106">iferror(index(K:K,match($A3106&amp;","&amp;index('Year Conversion'!$A:$A,match($C3106,'Year Conversion'!$B:$B,0)),$Y:$Y,0))-K3106,"")</f>
        <v/>
      </c>
      <c r="AC3106" s="168" t="str">
        <f t="shared" si="7"/>
        <v>MIA,2019-20</v>
      </c>
    </row>
    <row r="3107">
      <c r="A3107" s="161" t="str">
        <f>IFERROR(__xludf.DUMMYFUNCTION("""COMPUTED_VALUE"""),"bogdabo02")</f>
        <v>bogdabo02</v>
      </c>
      <c r="B3107" s="161" t="str">
        <f>IFERROR(__xludf.DUMMYFUNCTION("""COMPUTED_VALUE"""),"Bojan Bogdanovic")</f>
        <v>Bojan Bogdanovic</v>
      </c>
      <c r="C3107" s="162" t="str">
        <f>IFERROR(__xludf.DUMMYFUNCTION("""COMPUTED_VALUE"""),"2019-20")</f>
        <v>2019-20</v>
      </c>
      <c r="D3107" s="163" t="str">
        <f>IFERROR(__xludf.DUMMYFUNCTION("""COMPUTED_VALUE"""),"UTA")</f>
        <v>UTA</v>
      </c>
      <c r="E3107" s="164" t="str">
        <f>IFERROR(__xludf.DUMMYFUNCTION("""COMPUTED_VALUE"""),"Movement Shooter")</f>
        <v>Movement Shooter</v>
      </c>
      <c r="F3107" s="164">
        <f>IFERROR(__xludf.DUMMYFUNCTION("""COMPUTED_VALUE"""),2082.81)</f>
        <v>2082.81</v>
      </c>
      <c r="G3107" s="163">
        <f>IFERROR(__xludf.DUMMYFUNCTION("""COMPUTED_VALUE"""),63.0)</f>
        <v>63</v>
      </c>
      <c r="H3107" s="163" t="str">
        <f>IFERROR(__xludf.DUMMYFUNCTION("""COMPUTED_VALUE"""),"SF")</f>
        <v>SF</v>
      </c>
      <c r="I3107" s="163">
        <f>IFERROR(__xludf.DUMMYFUNCTION("""COMPUTED_VALUE"""),30.0)</f>
        <v>30</v>
      </c>
      <c r="J3107" s="165">
        <f>IFERROR(__xludf.DUMMYFUNCTION("""COMPUTED_VALUE"""),0.087732687255619)</f>
        <v>0.08773268726</v>
      </c>
      <c r="K3107" s="165">
        <f>IFERROR(__xludf.DUMMYFUNCTION("""COMPUTED_VALUE"""),1.31172694783767)</f>
        <v>1.311726948</v>
      </c>
      <c r="L3107" s="165">
        <f>IFERROR(__xludf.DUMMYFUNCTION("""COMPUTED_VALUE"""),-1.22399426058205)</f>
        <v>-1.223994261</v>
      </c>
      <c r="M3107" s="166">
        <f t="shared" si="2"/>
        <v>3.334192487</v>
      </c>
      <c r="N3107" s="167">
        <f t="shared" si="3"/>
        <v>33.06047619</v>
      </c>
      <c r="O3107" s="163">
        <f t="shared" ref="O3107:Q3107" si="3111">rank(I3107,I:I)</f>
        <v>655</v>
      </c>
      <c r="P3107" s="163">
        <f t="shared" si="3111"/>
        <v>1205</v>
      </c>
      <c r="Q3107" s="163">
        <f t="shared" si="3111"/>
        <v>380</v>
      </c>
      <c r="R3107" s="163">
        <f>IFERROR(__xludf.DUMMYFUNCTION("RANK(M3107,filter(M:M,C:C=C3107))"),90.0)</f>
        <v>90</v>
      </c>
      <c r="S3107" s="161" t="b">
        <f t="shared" si="5"/>
        <v>0</v>
      </c>
      <c r="T3107" s="161" t="b">
        <f t="array" ref="T3107">index('Query Tool'!B:B,match(H3107,'Query Tool'!C:C,0))</f>
        <v>1</v>
      </c>
      <c r="U3107" s="161" t="b">
        <f t="array" ref="U3107">index('Query Tool'!B:B,match(C3107,'Query Tool'!C:C,0))</f>
        <v>0</v>
      </c>
      <c r="V3107" s="161" t="b">
        <f>F3107&gt;='Query Tool'!C$32</f>
        <v>1</v>
      </c>
      <c r="W3107" s="161" t="b">
        <f t="array" ref="W3107">index(Dropdowns!B:B,match(I3107,Dropdowns!A:A,0))</f>
        <v>1</v>
      </c>
      <c r="X3107" s="161" t="b">
        <f t="array" ref="X3107">index('Query Tool'!B:B,match(D3107,'Query Tool'!C:C,0))</f>
        <v>1</v>
      </c>
      <c r="Y3107" s="161" t="str">
        <f t="shared" si="6"/>
        <v>bogdabo02,2019-20</v>
      </c>
      <c r="Z3107" s="168" t="str">
        <f t="array" ref="Z3107">iferror(index(I:I,match($A3107&amp;","&amp;index('Year Conversion'!$A:$A,match($C3107,'Year Conversion'!$B:$B,0)),$Y:$Y,0))-I3107,"")</f>
        <v/>
      </c>
      <c r="AA3107" s="168" t="str">
        <f t="array" ref="AA3107">iferror(index(J:J,match($A3107&amp;","&amp;index('Year Conversion'!$A:$A,match($C3107,'Year Conversion'!$B:$B,0)),$Y:$Y,0))-J3107,"")</f>
        <v/>
      </c>
      <c r="AB3107" s="168" t="str">
        <f t="array" ref="AB3107">iferror(index(K:K,match($A3107&amp;","&amp;index('Year Conversion'!$A:$A,match($C3107,'Year Conversion'!$B:$B,0)),$Y:$Y,0))-K3107,"")</f>
        <v/>
      </c>
      <c r="AC3107" s="168" t="str">
        <f t="shared" si="7"/>
        <v>UTA,2019-20</v>
      </c>
    </row>
    <row r="3108">
      <c r="A3108" s="161" t="str">
        <f>IFERROR(__xludf.DUMMYFUNCTION("""COMPUTED_VALUE"""),"parsoch01")</f>
        <v>parsoch01</v>
      </c>
      <c r="B3108" s="161" t="str">
        <f>IFERROR(__xludf.DUMMYFUNCTION("""COMPUTED_VALUE"""),"Chandler Parsons")</f>
        <v>Chandler Parsons</v>
      </c>
      <c r="C3108" s="162" t="str">
        <f>IFERROR(__xludf.DUMMYFUNCTION("""COMPUTED_VALUE"""),"2019-20")</f>
        <v>2019-20</v>
      </c>
      <c r="D3108" s="163" t="str">
        <f>IFERROR(__xludf.DUMMYFUNCTION("""COMPUTED_VALUE"""),"ATL")</f>
        <v>ATL</v>
      </c>
      <c r="E3108" s="164" t="str">
        <f>IFERROR(__xludf.DUMMYFUNCTION("""COMPUTED_VALUE"""),"Movement Shooter")</f>
        <v>Movement Shooter</v>
      </c>
      <c r="F3108" s="164">
        <f>IFERROR(__xludf.DUMMYFUNCTION("""COMPUTED_VALUE"""),54.22)</f>
        <v>54.22</v>
      </c>
      <c r="G3108" s="163">
        <f>IFERROR(__xludf.DUMMYFUNCTION("""COMPUTED_VALUE"""),5.0)</f>
        <v>5</v>
      </c>
      <c r="H3108" s="163" t="str">
        <f>IFERROR(__xludf.DUMMYFUNCTION("""COMPUTED_VALUE"""),"PF")</f>
        <v>PF</v>
      </c>
      <c r="I3108" s="163">
        <f>IFERROR(__xludf.DUMMYFUNCTION("""COMPUTED_VALUE"""),31.0)</f>
        <v>31</v>
      </c>
      <c r="J3108" s="165">
        <f>IFERROR(__xludf.DUMMYFUNCTION("""COMPUTED_VALUE"""),-0.669580949682288)</f>
        <v>-0.6695809497</v>
      </c>
      <c r="K3108" s="165">
        <f>IFERROR(__xludf.DUMMYFUNCTION("""COMPUTED_VALUE"""),-0.428591961825646)</f>
        <v>-0.4285919618</v>
      </c>
      <c r="L3108" s="165">
        <f>IFERROR(__xludf.DUMMYFUNCTION("""COMPUTED_VALUE"""),-0.240988987856642)</f>
        <v>-0.2409889879</v>
      </c>
      <c r="M3108" s="166">
        <f t="shared" si="2"/>
        <v>0.05912815478</v>
      </c>
      <c r="N3108" s="167">
        <f t="shared" si="3"/>
        <v>10.844</v>
      </c>
      <c r="O3108" s="163">
        <f t="shared" ref="O3108:Q3108" si="3112">rank(I3108,I:I)</f>
        <v>490</v>
      </c>
      <c r="P3108" s="163">
        <f t="shared" si="3112"/>
        <v>2095</v>
      </c>
      <c r="Q3108" s="163">
        <f t="shared" si="3112"/>
        <v>1999</v>
      </c>
      <c r="R3108" s="163">
        <f>IFERROR(__xludf.DUMMYFUNCTION("RANK(M3108,filter(M:M,C:C=C3108))"),422.0)</f>
        <v>422</v>
      </c>
      <c r="S3108" s="161" t="b">
        <f t="shared" si="5"/>
        <v>0</v>
      </c>
      <c r="T3108" s="161" t="b">
        <f t="array" ref="T3108">index('Query Tool'!B:B,match(H3108,'Query Tool'!C:C,0))</f>
        <v>1</v>
      </c>
      <c r="U3108" s="161" t="b">
        <f t="array" ref="U3108">index('Query Tool'!B:B,match(C3108,'Query Tool'!C:C,0))</f>
        <v>0</v>
      </c>
      <c r="V3108" s="161" t="b">
        <f>F3108&gt;='Query Tool'!C$32</f>
        <v>0</v>
      </c>
      <c r="W3108" s="161" t="b">
        <f t="array" ref="W3108">index(Dropdowns!B:B,match(I3108,Dropdowns!A:A,0))</f>
        <v>1</v>
      </c>
      <c r="X3108" s="161" t="b">
        <f t="array" ref="X3108">index('Query Tool'!B:B,match(D3108,'Query Tool'!C:C,0))</f>
        <v>1</v>
      </c>
      <c r="Y3108" s="161" t="str">
        <f t="shared" si="6"/>
        <v>parsoch01,2019-20</v>
      </c>
      <c r="Z3108" s="168" t="str">
        <f t="array" ref="Z3108">iferror(index(I:I,match($A3108&amp;","&amp;index('Year Conversion'!$A:$A,match($C3108,'Year Conversion'!$B:$B,0)),$Y:$Y,0))-I3108,"")</f>
        <v/>
      </c>
      <c r="AA3108" s="168" t="str">
        <f t="array" ref="AA3108">iferror(index(J:J,match($A3108&amp;","&amp;index('Year Conversion'!$A:$A,match($C3108,'Year Conversion'!$B:$B,0)),$Y:$Y,0))-J3108,"")</f>
        <v/>
      </c>
      <c r="AB3108" s="168" t="str">
        <f t="array" ref="AB3108">iferror(index(K:K,match($A3108&amp;","&amp;index('Year Conversion'!$A:$A,match($C3108,'Year Conversion'!$B:$B,0)),$Y:$Y,0))-K3108,"")</f>
        <v/>
      </c>
      <c r="AC3108" s="168" t="str">
        <f t="shared" si="7"/>
        <v>ATL,2019-20</v>
      </c>
    </row>
    <row r="3109">
      <c r="A3109" s="161" t="str">
        <f>IFERROR(__xludf.DUMMYFUNCTION("""COMPUTED_VALUE"""),"bertada01")</f>
        <v>bertada01</v>
      </c>
      <c r="B3109" s="161" t="str">
        <f>IFERROR(__xludf.DUMMYFUNCTION("""COMPUTED_VALUE"""),"Davis Bertans")</f>
        <v>Davis Bertans</v>
      </c>
      <c r="C3109" s="162" t="str">
        <f>IFERROR(__xludf.DUMMYFUNCTION("""COMPUTED_VALUE"""),"2019-20")</f>
        <v>2019-20</v>
      </c>
      <c r="D3109" s="163" t="str">
        <f>IFERROR(__xludf.DUMMYFUNCTION("""COMPUTED_VALUE"""),"WAS")</f>
        <v>WAS</v>
      </c>
      <c r="E3109" s="164" t="str">
        <f>IFERROR(__xludf.DUMMYFUNCTION("""COMPUTED_VALUE"""),"Movement Shooter")</f>
        <v>Movement Shooter</v>
      </c>
      <c r="F3109" s="164">
        <f>IFERROR(__xludf.DUMMYFUNCTION("""COMPUTED_VALUE"""),1583.01166666667)</f>
        <v>1583.011667</v>
      </c>
      <c r="G3109" s="163">
        <f>IFERROR(__xludf.DUMMYFUNCTION("""COMPUTED_VALUE"""),54.0)</f>
        <v>54</v>
      </c>
      <c r="H3109" s="163" t="str">
        <f>IFERROR(__xludf.DUMMYFUNCTION("""COMPUTED_VALUE"""),"PF")</f>
        <v>PF</v>
      </c>
      <c r="I3109" s="163">
        <f>IFERROR(__xludf.DUMMYFUNCTION("""COMPUTED_VALUE"""),27.0)</f>
        <v>27</v>
      </c>
      <c r="J3109" s="165">
        <f>IFERROR(__xludf.DUMMYFUNCTION("""COMPUTED_VALUE"""),-0.0802371141650919)</f>
        <v>-0.08023711417</v>
      </c>
      <c r="K3109" s="165">
        <f>IFERROR(__xludf.DUMMYFUNCTION("""COMPUTED_VALUE"""),0.978409473309688)</f>
        <v>0.9784094733</v>
      </c>
      <c r="L3109" s="165">
        <f>IFERROR(__xludf.DUMMYFUNCTION("""COMPUTED_VALUE"""),-1.05864658747478)</f>
        <v>-1.058646587</v>
      </c>
      <c r="M3109" s="166">
        <f t="shared" si="2"/>
        <v>2.354843998</v>
      </c>
      <c r="N3109" s="167">
        <f t="shared" si="3"/>
        <v>29.31503086</v>
      </c>
      <c r="O3109" s="163">
        <f t="shared" ref="O3109:Q3109" si="3113">rank(I3109,I:I)</f>
        <v>1366</v>
      </c>
      <c r="P3109" s="163">
        <f t="shared" si="3113"/>
        <v>1366</v>
      </c>
      <c r="Q3109" s="163">
        <f t="shared" si="3113"/>
        <v>512</v>
      </c>
      <c r="R3109" s="163">
        <f>IFERROR(__xludf.DUMMYFUNCTION("RANK(M3109,filter(M:M,C:C=C3109))"),133.0)</f>
        <v>133</v>
      </c>
      <c r="S3109" s="161" t="b">
        <f t="shared" si="5"/>
        <v>0</v>
      </c>
      <c r="T3109" s="161" t="b">
        <f t="array" ref="T3109">index('Query Tool'!B:B,match(H3109,'Query Tool'!C:C,0))</f>
        <v>1</v>
      </c>
      <c r="U3109" s="161" t="b">
        <f t="array" ref="U3109">index('Query Tool'!B:B,match(C3109,'Query Tool'!C:C,0))</f>
        <v>0</v>
      </c>
      <c r="V3109" s="161" t="b">
        <f>F3109&gt;='Query Tool'!C$32</f>
        <v>1</v>
      </c>
      <c r="W3109" s="161" t="b">
        <f t="array" ref="W3109">index(Dropdowns!B:B,match(I3109,Dropdowns!A:A,0))</f>
        <v>1</v>
      </c>
      <c r="X3109" s="161" t="b">
        <f t="array" ref="X3109">index('Query Tool'!B:B,match(D3109,'Query Tool'!C:C,0))</f>
        <v>1</v>
      </c>
      <c r="Y3109" s="161" t="str">
        <f t="shared" si="6"/>
        <v>bertada01,2019-20</v>
      </c>
      <c r="Z3109" s="168" t="str">
        <f t="array" ref="Z3109">iferror(index(I:I,match($A3109&amp;","&amp;index('Year Conversion'!$A:$A,match($C3109,'Year Conversion'!$B:$B,0)),$Y:$Y,0))-I3109,"")</f>
        <v/>
      </c>
      <c r="AA3109" s="168" t="str">
        <f t="array" ref="AA3109">iferror(index(J:J,match($A3109&amp;","&amp;index('Year Conversion'!$A:$A,match($C3109,'Year Conversion'!$B:$B,0)),$Y:$Y,0))-J3109,"")</f>
        <v/>
      </c>
      <c r="AB3109" s="168" t="str">
        <f t="array" ref="AB3109">iferror(index(K:K,match($A3109&amp;","&amp;index('Year Conversion'!$A:$A,match($C3109,'Year Conversion'!$B:$B,0)),$Y:$Y,0))-K3109,"")</f>
        <v/>
      </c>
      <c r="AC3109" s="168" t="str">
        <f t="shared" si="7"/>
        <v>WAS,2019-20</v>
      </c>
    </row>
    <row r="3110">
      <c r="A3110" s="161" t="str">
        <f>IFERROR(__xludf.DUMMYFUNCTION("""COMPUTED_VALUE"""),"mooreet01")</f>
        <v>mooreet01</v>
      </c>
      <c r="B3110" s="161" t="str">
        <f>IFERROR(__xludf.DUMMYFUNCTION("""COMPUTED_VALUE"""),"E'Twaun Moore")</f>
        <v>E'Twaun Moore</v>
      </c>
      <c r="C3110" s="162" t="str">
        <f>IFERROR(__xludf.DUMMYFUNCTION("""COMPUTED_VALUE"""),"2019-20")</f>
        <v>2019-20</v>
      </c>
      <c r="D3110" s="163" t="str">
        <f>IFERROR(__xludf.DUMMYFUNCTION("""COMPUTED_VALUE"""),"NOP")</f>
        <v>NOP</v>
      </c>
      <c r="E3110" s="164" t="str">
        <f>IFERROR(__xludf.DUMMYFUNCTION("""COMPUTED_VALUE"""),"Stationary Shooter")</f>
        <v>Stationary Shooter</v>
      </c>
      <c r="F3110" s="164">
        <f>IFERROR(__xludf.DUMMYFUNCTION("""COMPUTED_VALUE"""),1019.88666666667)</f>
        <v>1019.886667</v>
      </c>
      <c r="G3110" s="163">
        <f>IFERROR(__xludf.DUMMYFUNCTION("""COMPUTED_VALUE"""),56.0)</f>
        <v>56</v>
      </c>
      <c r="H3110" s="163" t="str">
        <f>IFERROR(__xludf.DUMMYFUNCTION("""COMPUTED_VALUE"""),"SG")</f>
        <v>SG</v>
      </c>
      <c r="I3110" s="163">
        <f>IFERROR(__xludf.DUMMYFUNCTION("""COMPUTED_VALUE"""),30.0)</f>
        <v>30</v>
      </c>
      <c r="J3110" s="165">
        <f>IFERROR(__xludf.DUMMYFUNCTION("""COMPUTED_VALUE"""),-2.40611319167337)</f>
        <v>-2.406113192</v>
      </c>
      <c r="K3110" s="165">
        <f>IFERROR(__xludf.DUMMYFUNCTION("""COMPUTED_VALUE"""),-0.933957771110581)</f>
        <v>-0.9339577711</v>
      </c>
      <c r="L3110" s="165">
        <f>IFERROR(__xludf.DUMMYFUNCTION("""COMPUTED_VALUE"""),-1.47215542056279)</f>
        <v>-1.472155421</v>
      </c>
      <c r="M3110" s="166">
        <f t="shared" si="2"/>
        <v>-0.06893250131</v>
      </c>
      <c r="N3110" s="167">
        <f t="shared" si="3"/>
        <v>18.2122619</v>
      </c>
      <c r="O3110" s="163">
        <f t="shared" ref="O3110:Q3110" si="3114">rank(I3110,I:I)</f>
        <v>655</v>
      </c>
      <c r="P3110" s="163">
        <f t="shared" si="3114"/>
        <v>3720</v>
      </c>
      <c r="Q3110" s="163">
        <f t="shared" si="3114"/>
        <v>2731</v>
      </c>
      <c r="R3110" s="163">
        <f>IFERROR(__xludf.DUMMYFUNCTION("RANK(M3110,filter(M:M,C:C=C3110))"),493.0)</f>
        <v>493</v>
      </c>
      <c r="S3110" s="161" t="b">
        <f t="shared" si="5"/>
        <v>0</v>
      </c>
      <c r="T3110" s="161" t="b">
        <f t="array" ref="T3110">index('Query Tool'!B:B,match(H3110,'Query Tool'!C:C,0))</f>
        <v>1</v>
      </c>
      <c r="U3110" s="161" t="b">
        <f t="array" ref="U3110">index('Query Tool'!B:B,match(C3110,'Query Tool'!C:C,0))</f>
        <v>0</v>
      </c>
      <c r="V3110" s="161" t="b">
        <f>F3110&gt;='Query Tool'!C$32</f>
        <v>1</v>
      </c>
      <c r="W3110" s="161" t="b">
        <f t="array" ref="W3110">index(Dropdowns!B:B,match(I3110,Dropdowns!A:A,0))</f>
        <v>1</v>
      </c>
      <c r="X3110" s="161" t="b">
        <f t="array" ref="X3110">index('Query Tool'!B:B,match(D3110,'Query Tool'!C:C,0))</f>
        <v>1</v>
      </c>
      <c r="Y3110" s="161" t="str">
        <f t="shared" si="6"/>
        <v>mooreet01,2019-20</v>
      </c>
      <c r="Z3110" s="168" t="str">
        <f t="array" ref="Z3110">iferror(index(I:I,match($A3110&amp;","&amp;index('Year Conversion'!$A:$A,match($C3110,'Year Conversion'!$B:$B,0)),$Y:$Y,0))-I3110,"")</f>
        <v/>
      </c>
      <c r="AA3110" s="168" t="str">
        <f t="array" ref="AA3110">iferror(index(J:J,match($A3110&amp;","&amp;index('Year Conversion'!$A:$A,match($C3110,'Year Conversion'!$B:$B,0)),$Y:$Y,0))-J3110,"")</f>
        <v/>
      </c>
      <c r="AB3110" s="168" t="str">
        <f t="array" ref="AB3110">iferror(index(K:K,match($A3110&amp;","&amp;index('Year Conversion'!$A:$A,match($C3110,'Year Conversion'!$B:$B,0)),$Y:$Y,0))-K3110,"")</f>
        <v/>
      </c>
      <c r="AC3110" s="168" t="str">
        <f t="shared" si="7"/>
        <v>NOP,2019-20</v>
      </c>
    </row>
    <row r="3111">
      <c r="A3111" s="161" t="str">
        <f>IFERROR(__xludf.DUMMYFUNCTION("""COMPUTED_VALUE"""),"thomais02")</f>
        <v>thomais02</v>
      </c>
      <c r="B3111" s="161" t="str">
        <f>IFERROR(__xludf.DUMMYFUNCTION("""COMPUTED_VALUE"""),"Isaiah Thomas")</f>
        <v>Isaiah Thomas</v>
      </c>
      <c r="C3111" s="162" t="str">
        <f>IFERROR(__xludf.DUMMYFUNCTION("""COMPUTED_VALUE"""),"2019-20")</f>
        <v>2019-20</v>
      </c>
      <c r="D3111" s="163" t="str">
        <f>IFERROR(__xludf.DUMMYFUNCTION("""COMPUTED_VALUE"""),"WAS")</f>
        <v>WAS</v>
      </c>
      <c r="E3111" s="164" t="str">
        <f>IFERROR(__xludf.DUMMYFUNCTION("""COMPUTED_VALUE"""),"Secondary Ball Handler")</f>
        <v>Secondary Ball Handler</v>
      </c>
      <c r="F3111" s="164">
        <f>IFERROR(__xludf.DUMMYFUNCTION("""COMPUTED_VALUE"""),924.676666666667)</f>
        <v>924.6766667</v>
      </c>
      <c r="G3111" s="163">
        <f>IFERROR(__xludf.DUMMYFUNCTION("""COMPUTED_VALUE"""),40.0)</f>
        <v>40</v>
      </c>
      <c r="H3111" s="163" t="str">
        <f>IFERROR(__xludf.DUMMYFUNCTION("""COMPUTED_VALUE"""),"PG")</f>
        <v>PG</v>
      </c>
      <c r="I3111" s="163">
        <f>IFERROR(__xludf.DUMMYFUNCTION("""COMPUTED_VALUE"""),30.0)</f>
        <v>30</v>
      </c>
      <c r="J3111" s="165">
        <f>IFERROR(__xludf.DUMMYFUNCTION("""COMPUTED_VALUE"""),-2.78801910334378)</f>
        <v>-2.788019103</v>
      </c>
      <c r="K3111" s="165">
        <f>IFERROR(__xludf.DUMMYFUNCTION("""COMPUTED_VALUE"""),-0.535572795985212)</f>
        <v>-0.535572796</v>
      </c>
      <c r="L3111" s="165">
        <f>IFERROR(__xludf.DUMMYFUNCTION("""COMPUTED_VALUE"""),-2.25244630735856)</f>
        <v>-2.252446307</v>
      </c>
      <c r="M3111" s="166">
        <f t="shared" si="2"/>
        <v>-0.2940005536</v>
      </c>
      <c r="N3111" s="167">
        <f t="shared" si="3"/>
        <v>23.11691667</v>
      </c>
      <c r="O3111" s="163">
        <f t="shared" ref="O3111:Q3111" si="3115">rank(I3111,I:I)</f>
        <v>655</v>
      </c>
      <c r="P3111" s="163">
        <f t="shared" si="3115"/>
        <v>3842</v>
      </c>
      <c r="Q3111" s="163">
        <f t="shared" si="3115"/>
        <v>2167</v>
      </c>
      <c r="R3111" s="163">
        <f>IFERROR(__xludf.DUMMYFUNCTION("RANK(M3111,filter(M:M,C:C=C3111))"),505.0)</f>
        <v>505</v>
      </c>
      <c r="S3111" s="161" t="b">
        <f t="shared" si="5"/>
        <v>0</v>
      </c>
      <c r="T3111" s="161" t="b">
        <f t="array" ref="T3111">index('Query Tool'!B:B,match(H3111,'Query Tool'!C:C,0))</f>
        <v>1</v>
      </c>
      <c r="U3111" s="161" t="b">
        <f t="array" ref="U3111">index('Query Tool'!B:B,match(C3111,'Query Tool'!C:C,0))</f>
        <v>0</v>
      </c>
      <c r="V3111" s="161" t="b">
        <f>F3111&gt;='Query Tool'!C$32</f>
        <v>1</v>
      </c>
      <c r="W3111" s="161" t="b">
        <f t="array" ref="W3111">index(Dropdowns!B:B,match(I3111,Dropdowns!A:A,0))</f>
        <v>1</v>
      </c>
      <c r="X3111" s="161" t="b">
        <f t="array" ref="X3111">index('Query Tool'!B:B,match(D3111,'Query Tool'!C:C,0))</f>
        <v>1</v>
      </c>
      <c r="Y3111" s="161" t="str">
        <f t="shared" si="6"/>
        <v>thomais02,2019-20</v>
      </c>
      <c r="Z3111" s="168" t="str">
        <f t="array" ref="Z3111">iferror(index(I:I,match($A3111&amp;","&amp;index('Year Conversion'!$A:$A,match($C3111,'Year Conversion'!$B:$B,0)),$Y:$Y,0))-I3111,"")</f>
        <v/>
      </c>
      <c r="AA3111" s="168" t="str">
        <f t="array" ref="AA3111">iferror(index(J:J,match($A3111&amp;","&amp;index('Year Conversion'!$A:$A,match($C3111,'Year Conversion'!$B:$B,0)),$Y:$Y,0))-J3111,"")</f>
        <v/>
      </c>
      <c r="AB3111" s="168" t="str">
        <f t="array" ref="AB3111">iferror(index(K:K,match($A3111&amp;","&amp;index('Year Conversion'!$A:$A,match($C3111,'Year Conversion'!$B:$B,0)),$Y:$Y,0))-K3111,"")</f>
        <v/>
      </c>
      <c r="AC3111" s="168" t="str">
        <f t="shared" si="7"/>
        <v>WAS,2019-20</v>
      </c>
    </row>
    <row r="3112">
      <c r="A3112" s="161" t="str">
        <f>IFERROR(__xludf.DUMMYFUNCTION("""COMPUTED_VALUE"""),"pargoje01")</f>
        <v>pargoje01</v>
      </c>
      <c r="B3112" s="161" t="str">
        <f>IFERROR(__xludf.DUMMYFUNCTION("""COMPUTED_VALUE"""),"Jeremy Pargo")</f>
        <v>Jeremy Pargo</v>
      </c>
      <c r="C3112" s="162" t="str">
        <f>IFERROR(__xludf.DUMMYFUNCTION("""COMPUTED_VALUE"""),"2019-20")</f>
        <v>2019-20</v>
      </c>
      <c r="D3112" s="163" t="str">
        <f>IFERROR(__xludf.DUMMYFUNCTION("""COMPUTED_VALUE"""),"GSW")</f>
        <v>GSW</v>
      </c>
      <c r="E3112" s="164" t="str">
        <f>IFERROR(__xludf.DUMMYFUNCTION("""COMPUTED_VALUE"""),"Stationary Shooter")</f>
        <v>Stationary Shooter</v>
      </c>
      <c r="F3112" s="164">
        <f>IFERROR(__xludf.DUMMYFUNCTION("""COMPUTED_VALUE"""),44.31)</f>
        <v>44.31</v>
      </c>
      <c r="G3112" s="163">
        <f>IFERROR(__xludf.DUMMYFUNCTION("""COMPUTED_VALUE"""),3.0)</f>
        <v>3</v>
      </c>
      <c r="H3112" s="163" t="str">
        <f>IFERROR(__xludf.DUMMYFUNCTION("""COMPUTED_VALUE"""),"PG")</f>
        <v>PG</v>
      </c>
      <c r="I3112" s="163">
        <f>IFERROR(__xludf.DUMMYFUNCTION("""COMPUTED_VALUE"""),33.0)</f>
        <v>33</v>
      </c>
      <c r="J3112" s="165">
        <f>IFERROR(__xludf.DUMMYFUNCTION("""COMPUTED_VALUE"""),-0.549031147073053)</f>
        <v>-0.5490311471</v>
      </c>
      <c r="K3112" s="165">
        <f>IFERROR(__xludf.DUMMYFUNCTION("""COMPUTED_VALUE"""),-0.454888100252398)</f>
        <v>-0.4548881003</v>
      </c>
      <c r="L3112" s="165">
        <f>IFERROR(__xludf.DUMMYFUNCTION("""COMPUTED_VALUE"""),-0.094143046820655)</f>
        <v>-0.09414304682</v>
      </c>
      <c r="M3112" s="166">
        <f t="shared" si="2"/>
        <v>0.0519167146</v>
      </c>
      <c r="N3112" s="167">
        <f t="shared" si="3"/>
        <v>14.77</v>
      </c>
      <c r="O3112" s="163">
        <f t="shared" ref="O3112:Q3112" si="3116">rank(I3112,I:I)</f>
        <v>246</v>
      </c>
      <c r="P3112" s="163">
        <f t="shared" si="3116"/>
        <v>1912</v>
      </c>
      <c r="Q3112" s="163">
        <f t="shared" si="3116"/>
        <v>2044</v>
      </c>
      <c r="R3112" s="163">
        <f>IFERROR(__xludf.DUMMYFUNCTION("RANK(M3112,filter(M:M,C:C=C3112))"),430.0)</f>
        <v>430</v>
      </c>
      <c r="S3112" s="161" t="b">
        <f t="shared" si="5"/>
        <v>0</v>
      </c>
      <c r="T3112" s="161" t="b">
        <f t="array" ref="T3112">index('Query Tool'!B:B,match(H3112,'Query Tool'!C:C,0))</f>
        <v>1</v>
      </c>
      <c r="U3112" s="161" t="b">
        <f t="array" ref="U3112">index('Query Tool'!B:B,match(C3112,'Query Tool'!C:C,0))</f>
        <v>0</v>
      </c>
      <c r="V3112" s="161" t="b">
        <f>F3112&gt;='Query Tool'!C$32</f>
        <v>0</v>
      </c>
      <c r="W3112" s="161" t="b">
        <f t="array" ref="W3112">index(Dropdowns!B:B,match(I3112,Dropdowns!A:A,0))</f>
        <v>1</v>
      </c>
      <c r="X3112" s="161" t="b">
        <f t="array" ref="X3112">index('Query Tool'!B:B,match(D3112,'Query Tool'!C:C,0))</f>
        <v>1</v>
      </c>
      <c r="Y3112" s="161" t="str">
        <f t="shared" si="6"/>
        <v>pargoje01,2019-20</v>
      </c>
      <c r="Z3112" s="168" t="str">
        <f t="array" ref="Z3112">iferror(index(I:I,match($A3112&amp;","&amp;index('Year Conversion'!$A:$A,match($C3112,'Year Conversion'!$B:$B,0)),$Y:$Y,0))-I3112,"")</f>
        <v/>
      </c>
      <c r="AA3112" s="168" t="str">
        <f t="array" ref="AA3112">iferror(index(J:J,match($A3112&amp;","&amp;index('Year Conversion'!$A:$A,match($C3112,'Year Conversion'!$B:$B,0)),$Y:$Y,0))-J3112,"")</f>
        <v/>
      </c>
      <c r="AB3112" s="168" t="str">
        <f t="array" ref="AB3112">iferror(index(K:K,match($A3112&amp;","&amp;index('Year Conversion'!$A:$A,match($C3112,'Year Conversion'!$B:$B,0)),$Y:$Y,0))-K3112,"")</f>
        <v/>
      </c>
      <c r="AC3112" s="168" t="str">
        <f t="shared" si="7"/>
        <v>GSW,2019-20</v>
      </c>
    </row>
    <row r="3113">
      <c r="A3113" s="161" t="str">
        <f>IFERROR(__xludf.DUMMYFUNCTION("""COMPUTED_VALUE"""),"wanambr01")</f>
        <v>wanambr01</v>
      </c>
      <c r="B3113" s="161" t="str">
        <f>IFERROR(__xludf.DUMMYFUNCTION("""COMPUTED_VALUE"""),"Brad Wanamaker")</f>
        <v>Brad Wanamaker</v>
      </c>
      <c r="C3113" s="162" t="str">
        <f>IFERROR(__xludf.DUMMYFUNCTION("""COMPUTED_VALUE"""),"2019-20")</f>
        <v>2019-20</v>
      </c>
      <c r="D3113" s="163" t="str">
        <f>IFERROR(__xludf.DUMMYFUNCTION("""COMPUTED_VALUE"""),"BOS")</f>
        <v>BOS</v>
      </c>
      <c r="E3113" s="164" t="str">
        <f>IFERROR(__xludf.DUMMYFUNCTION("""COMPUTED_VALUE"""),"Primary Ball Handler")</f>
        <v>Primary Ball Handler</v>
      </c>
      <c r="F3113" s="164">
        <f>IFERROR(__xludf.DUMMYFUNCTION("""COMPUTED_VALUE"""),1369.11666666667)</f>
        <v>1369.116667</v>
      </c>
      <c r="G3113" s="163">
        <f>IFERROR(__xludf.DUMMYFUNCTION("""COMPUTED_VALUE"""),71.0)</f>
        <v>71</v>
      </c>
      <c r="H3113" s="163" t="str">
        <f>IFERROR(__xludf.DUMMYFUNCTION("""COMPUTED_VALUE"""),"PG")</f>
        <v>PG</v>
      </c>
      <c r="I3113" s="163">
        <f>IFERROR(__xludf.DUMMYFUNCTION("""COMPUTED_VALUE"""),30.0)</f>
        <v>30</v>
      </c>
      <c r="J3113" s="165">
        <f>IFERROR(__xludf.DUMMYFUNCTION("""COMPUTED_VALUE"""),-0.886617082846616)</f>
        <v>-0.8866170828</v>
      </c>
      <c r="K3113" s="165">
        <f>IFERROR(__xludf.DUMMYFUNCTION("""COMPUTED_VALUE"""),-0.122294608491899)</f>
        <v>-0.1222946085</v>
      </c>
      <c r="L3113" s="165">
        <f>IFERROR(__xludf.DUMMYFUNCTION("""COMPUTED_VALUE"""),-0.764322474354717)</f>
        <v>-0.7643224744</v>
      </c>
      <c r="M3113" s="166">
        <f t="shared" si="2"/>
        <v>1.293227022</v>
      </c>
      <c r="N3113" s="167">
        <f t="shared" si="3"/>
        <v>19.28333333</v>
      </c>
      <c r="O3113" s="163">
        <f t="shared" ref="O3113:Q3113" si="3117">rank(I3113,I:I)</f>
        <v>655</v>
      </c>
      <c r="P3113" s="163">
        <f t="shared" si="3117"/>
        <v>2376</v>
      </c>
      <c r="Q3113" s="163">
        <f t="shared" si="3117"/>
        <v>1411</v>
      </c>
      <c r="R3113" s="163">
        <f>IFERROR(__xludf.DUMMYFUNCTION("RANK(M3113,filter(M:M,C:C=C3113))"),202.0)</f>
        <v>202</v>
      </c>
      <c r="S3113" s="161" t="b">
        <f t="shared" si="5"/>
        <v>0</v>
      </c>
      <c r="T3113" s="161" t="b">
        <f t="array" ref="T3113">index('Query Tool'!B:B,match(H3113,'Query Tool'!C:C,0))</f>
        <v>1</v>
      </c>
      <c r="U3113" s="161" t="b">
        <f t="array" ref="U3113">index('Query Tool'!B:B,match(C3113,'Query Tool'!C:C,0))</f>
        <v>0</v>
      </c>
      <c r="V3113" s="161" t="b">
        <f>F3113&gt;='Query Tool'!C$32</f>
        <v>1</v>
      </c>
      <c r="W3113" s="161" t="b">
        <f t="array" ref="W3113">index(Dropdowns!B:B,match(I3113,Dropdowns!A:A,0))</f>
        <v>1</v>
      </c>
      <c r="X3113" s="161" t="b">
        <f t="array" ref="X3113">index('Query Tool'!B:B,match(D3113,'Query Tool'!C:C,0))</f>
        <v>1</v>
      </c>
      <c r="Y3113" s="161" t="str">
        <f t="shared" si="6"/>
        <v>wanambr01,2019-20</v>
      </c>
      <c r="Z3113" s="168" t="str">
        <f t="array" ref="Z3113">iferror(index(I:I,match($A3113&amp;","&amp;index('Year Conversion'!$A:$A,match($C3113,'Year Conversion'!$B:$B,0)),$Y:$Y,0))-I3113,"")</f>
        <v/>
      </c>
      <c r="AA3113" s="168" t="str">
        <f t="array" ref="AA3113">iferror(index(J:J,match($A3113&amp;","&amp;index('Year Conversion'!$A:$A,match($C3113,'Year Conversion'!$B:$B,0)),$Y:$Y,0))-J3113,"")</f>
        <v/>
      </c>
      <c r="AB3113" s="168" t="str">
        <f t="array" ref="AB3113">iferror(index(K:K,match($A3113&amp;","&amp;index('Year Conversion'!$A:$A,match($C3113,'Year Conversion'!$B:$B,0)),$Y:$Y,0))-K3113,"")</f>
        <v/>
      </c>
      <c r="AC3113" s="168" t="str">
        <f t="shared" si="7"/>
        <v>BOS,2019-20</v>
      </c>
    </row>
    <row r="3114">
      <c r="A3114" s="161" t="str">
        <f>IFERROR(__xludf.DUMMYFUNCTION("""COMPUTED_VALUE"""),"davisan02")</f>
        <v>davisan02</v>
      </c>
      <c r="B3114" s="161" t="str">
        <f>IFERROR(__xludf.DUMMYFUNCTION("""COMPUTED_VALUE"""),"Anthony Davis")</f>
        <v>Anthony Davis</v>
      </c>
      <c r="C3114" s="162" t="str">
        <f>IFERROR(__xludf.DUMMYFUNCTION("""COMPUTED_VALUE"""),"2019-20")</f>
        <v>2019-20</v>
      </c>
      <c r="D3114" s="163" t="str">
        <f>IFERROR(__xludf.DUMMYFUNCTION("""COMPUTED_VALUE"""),"LAL")</f>
        <v>LAL</v>
      </c>
      <c r="E3114" s="164" t="str">
        <f>IFERROR(__xludf.DUMMYFUNCTION("""COMPUTED_VALUE"""),"Post Scorer")</f>
        <v>Post Scorer</v>
      </c>
      <c r="F3114" s="164">
        <f>IFERROR(__xludf.DUMMYFUNCTION("""COMPUTED_VALUE"""),2131.19333333333)</f>
        <v>2131.193333</v>
      </c>
      <c r="G3114" s="163">
        <f>IFERROR(__xludf.DUMMYFUNCTION("""COMPUTED_VALUE"""),62.0)</f>
        <v>62</v>
      </c>
      <c r="H3114" s="163" t="str">
        <f>IFERROR(__xludf.DUMMYFUNCTION("""COMPUTED_VALUE"""),"PF")</f>
        <v>PF</v>
      </c>
      <c r="I3114" s="163">
        <f>IFERROR(__xludf.DUMMYFUNCTION("""COMPUTED_VALUE"""),26.0)</f>
        <v>26</v>
      </c>
      <c r="J3114" s="165">
        <f>IFERROR(__xludf.DUMMYFUNCTION("""COMPUTED_VALUE"""),4.72030467118101)</f>
        <v>4.720304671</v>
      </c>
      <c r="K3114" s="165">
        <f>IFERROR(__xludf.DUMMYFUNCTION("""COMPUTED_VALUE"""),2.50547864083231)</f>
        <v>2.505478641</v>
      </c>
      <c r="L3114" s="165">
        <f>IFERROR(__xludf.DUMMYFUNCTION("""COMPUTED_VALUE"""),2.2148260303487)</f>
        <v>2.21482603</v>
      </c>
      <c r="M3114" s="166">
        <f t="shared" si="2"/>
        <v>9.86542692</v>
      </c>
      <c r="N3114" s="167">
        <f t="shared" si="3"/>
        <v>34.37408602</v>
      </c>
      <c r="O3114" s="163">
        <f t="shared" ref="O3114:Q3114" si="3118">rank(I3114,I:I)</f>
        <v>1665</v>
      </c>
      <c r="P3114" s="163">
        <f t="shared" si="3118"/>
        <v>59</v>
      </c>
      <c r="Q3114" s="163">
        <f t="shared" si="3118"/>
        <v>155</v>
      </c>
      <c r="R3114" s="163">
        <f>IFERROR(__xludf.DUMMYFUNCTION("RANK(M3114,filter(M:M,C:C=C3114))"),9.0)</f>
        <v>9</v>
      </c>
      <c r="S3114" s="161" t="b">
        <f t="shared" si="5"/>
        <v>0</v>
      </c>
      <c r="T3114" s="161" t="b">
        <f t="array" ref="T3114">index('Query Tool'!B:B,match(H3114,'Query Tool'!C:C,0))</f>
        <v>1</v>
      </c>
      <c r="U3114" s="161" t="b">
        <f t="array" ref="U3114">index('Query Tool'!B:B,match(C3114,'Query Tool'!C:C,0))</f>
        <v>0</v>
      </c>
      <c r="V3114" s="161" t="b">
        <f>F3114&gt;='Query Tool'!C$32</f>
        <v>1</v>
      </c>
      <c r="W3114" s="161" t="b">
        <f t="array" ref="W3114">index(Dropdowns!B:B,match(I3114,Dropdowns!A:A,0))</f>
        <v>1</v>
      </c>
      <c r="X3114" s="161" t="b">
        <f t="array" ref="X3114">index('Query Tool'!B:B,match(D3114,'Query Tool'!C:C,0))</f>
        <v>1</v>
      </c>
      <c r="Y3114" s="161" t="str">
        <f t="shared" si="6"/>
        <v>davisan02,2019-20</v>
      </c>
      <c r="Z3114" s="168" t="str">
        <f t="array" ref="Z3114">iferror(index(I:I,match($A3114&amp;","&amp;index('Year Conversion'!$A:$A,match($C3114,'Year Conversion'!$B:$B,0)),$Y:$Y,0))-I3114,"")</f>
        <v/>
      </c>
      <c r="AA3114" s="168" t="str">
        <f t="array" ref="AA3114">iferror(index(J:J,match($A3114&amp;","&amp;index('Year Conversion'!$A:$A,match($C3114,'Year Conversion'!$B:$B,0)),$Y:$Y,0))-J3114,"")</f>
        <v/>
      </c>
      <c r="AB3114" s="168" t="str">
        <f t="array" ref="AB3114">iferror(index(K:K,match($A3114&amp;","&amp;index('Year Conversion'!$A:$A,match($C3114,'Year Conversion'!$B:$B,0)),$Y:$Y,0))-K3114,"")</f>
        <v/>
      </c>
      <c r="AC3114" s="168" t="str">
        <f t="shared" si="7"/>
        <v>LAL,2019-20</v>
      </c>
    </row>
    <row r="3115">
      <c r="A3115" s="161" t="str">
        <f>IFERROR(__xludf.DUMMYFUNCTION("""COMPUTED_VALUE"""),"kiddgmi01")</f>
        <v>kiddgmi01</v>
      </c>
      <c r="B3115" s="161" t="str">
        <f>IFERROR(__xludf.DUMMYFUNCTION("""COMPUTED_VALUE"""),"Michael Kidd-Gilchrist")</f>
        <v>Michael Kidd-Gilchrist</v>
      </c>
      <c r="C3115" s="162" t="str">
        <f>IFERROR(__xludf.DUMMYFUNCTION("""COMPUTED_VALUE"""),"2019-20")</f>
        <v>2019-20</v>
      </c>
      <c r="D3115" s="163" t="str">
        <f>IFERROR(__xludf.DUMMYFUNCTION("""COMPUTED_VALUE"""),"TOT")</f>
        <v>TOT</v>
      </c>
      <c r="E3115" s="164" t="str">
        <f>IFERROR(__xludf.DUMMYFUNCTION("""COMPUTED_VALUE"""),"Athletic Finisher")</f>
        <v>Athletic Finisher</v>
      </c>
      <c r="F3115" s="164">
        <f>IFERROR(__xludf.DUMMYFUNCTION("""COMPUTED_VALUE"""),280.693333333333)</f>
        <v>280.6933333</v>
      </c>
      <c r="G3115" s="163">
        <f>IFERROR(__xludf.DUMMYFUNCTION("""COMPUTED_VALUE"""),25.0)</f>
        <v>25</v>
      </c>
      <c r="H3115" s="163" t="str">
        <f>IFERROR(__xludf.DUMMYFUNCTION("""COMPUTED_VALUE"""),"PF")</f>
        <v>PF</v>
      </c>
      <c r="I3115" s="163">
        <f>IFERROR(__xludf.DUMMYFUNCTION("""COMPUTED_VALUE"""),26.0)</f>
        <v>26</v>
      </c>
      <c r="J3115" s="165">
        <f>IFERROR(__xludf.DUMMYFUNCTION("""COMPUTED_VALUE"""),-0.799572856541462)</f>
        <v>-0.7995728565</v>
      </c>
      <c r="K3115" s="165">
        <f>IFERROR(__xludf.DUMMYFUNCTION("""COMPUTED_VALUE"""),-1.32143482113741)</f>
        <v>-1.321434821</v>
      </c>
      <c r="L3115" s="165">
        <f>IFERROR(__xludf.DUMMYFUNCTION("""COMPUTED_VALUE"""),0.52186196459595)</f>
        <v>0.5218619646</v>
      </c>
      <c r="M3115" s="166">
        <f t="shared" si="2"/>
        <v>0.2815581602</v>
      </c>
      <c r="N3115" s="167">
        <f t="shared" si="3"/>
        <v>11.22773333</v>
      </c>
      <c r="O3115" s="163">
        <f t="shared" ref="O3115:Q3115" si="3119">rank(I3115,I:I)</f>
        <v>1665</v>
      </c>
      <c r="P3115" s="163">
        <f t="shared" si="3119"/>
        <v>2276</v>
      </c>
      <c r="Q3115" s="163">
        <f t="shared" si="3119"/>
        <v>3174</v>
      </c>
      <c r="R3115" s="163">
        <f>IFERROR(__xludf.DUMMYFUNCTION("RANK(M3115,filter(M:M,C:C=C3115))"),310.0)</f>
        <v>310</v>
      </c>
      <c r="S3115" s="161" t="b">
        <f t="shared" si="5"/>
        <v>0</v>
      </c>
      <c r="T3115" s="161" t="b">
        <f t="array" ref="T3115">index('Query Tool'!B:B,match(H3115,'Query Tool'!C:C,0))</f>
        <v>1</v>
      </c>
      <c r="U3115" s="161" t="b">
        <f t="array" ref="U3115">index('Query Tool'!B:B,match(C3115,'Query Tool'!C:C,0))</f>
        <v>0</v>
      </c>
      <c r="V3115" s="161" t="b">
        <f>F3115&gt;='Query Tool'!C$32</f>
        <v>0</v>
      </c>
      <c r="W3115" s="161" t="b">
        <f t="array" ref="W3115">index(Dropdowns!B:B,match(I3115,Dropdowns!A:A,0))</f>
        <v>1</v>
      </c>
      <c r="X3115" s="161" t="b">
        <f t="array" ref="X3115">index('Query Tool'!B:B,match(D3115,'Query Tool'!C:C,0))</f>
        <v>1</v>
      </c>
      <c r="Y3115" s="161" t="str">
        <f t="shared" si="6"/>
        <v>kiddgmi01,2019-20</v>
      </c>
      <c r="Z3115" s="168" t="str">
        <f t="array" ref="Z3115">iferror(index(I:I,match($A3115&amp;","&amp;index('Year Conversion'!$A:$A,match($C3115,'Year Conversion'!$B:$B,0)),$Y:$Y,0))-I3115,"")</f>
        <v/>
      </c>
      <c r="AA3115" s="168" t="str">
        <f t="array" ref="AA3115">iferror(index(J:J,match($A3115&amp;","&amp;index('Year Conversion'!$A:$A,match($C3115,'Year Conversion'!$B:$B,0)),$Y:$Y,0))-J3115,"")</f>
        <v/>
      </c>
      <c r="AB3115" s="168" t="str">
        <f t="array" ref="AB3115">iferror(index(K:K,match($A3115&amp;","&amp;index('Year Conversion'!$A:$A,match($C3115,'Year Conversion'!$B:$B,0)),$Y:$Y,0))-K3115,"")</f>
        <v/>
      </c>
      <c r="AC3115" s="168" t="str">
        <f t="shared" si="7"/>
        <v>TOT,2019-20</v>
      </c>
    </row>
    <row r="3116">
      <c r="A3116" s="161" t="str">
        <f>IFERROR(__xludf.DUMMYFUNCTION("""COMPUTED_VALUE"""),"bealbr01")</f>
        <v>bealbr01</v>
      </c>
      <c r="B3116" s="161" t="str">
        <f>IFERROR(__xludf.DUMMYFUNCTION("""COMPUTED_VALUE"""),"Bradley Beal")</f>
        <v>Bradley Beal</v>
      </c>
      <c r="C3116" s="162" t="str">
        <f>IFERROR(__xludf.DUMMYFUNCTION("""COMPUTED_VALUE"""),"2019-20")</f>
        <v>2019-20</v>
      </c>
      <c r="D3116" s="163" t="str">
        <f>IFERROR(__xludf.DUMMYFUNCTION("""COMPUTED_VALUE"""),"WAS")</f>
        <v>WAS</v>
      </c>
      <c r="E3116" s="164" t="str">
        <f>IFERROR(__xludf.DUMMYFUNCTION("""COMPUTED_VALUE"""),"Secondary Ball Handler")</f>
        <v>Secondary Ball Handler</v>
      </c>
      <c r="F3116" s="164">
        <f>IFERROR(__xludf.DUMMYFUNCTION("""COMPUTED_VALUE"""),2053.09666666667)</f>
        <v>2053.096667</v>
      </c>
      <c r="G3116" s="163">
        <f>IFERROR(__xludf.DUMMYFUNCTION("""COMPUTED_VALUE"""),57.0)</f>
        <v>57</v>
      </c>
      <c r="H3116" s="163" t="str">
        <f>IFERROR(__xludf.DUMMYFUNCTION("""COMPUTED_VALUE"""),"SG")</f>
        <v>SG</v>
      </c>
      <c r="I3116" s="163">
        <f>IFERROR(__xludf.DUMMYFUNCTION("""COMPUTED_VALUE"""),26.0)</f>
        <v>26</v>
      </c>
      <c r="J3116" s="165">
        <f>IFERROR(__xludf.DUMMYFUNCTION("""COMPUTED_VALUE"""),1.88866546519859)</f>
        <v>1.888665465</v>
      </c>
      <c r="K3116" s="165">
        <f>IFERROR(__xludf.DUMMYFUNCTION("""COMPUTED_VALUE"""),4.0904211982041)</f>
        <v>4.090421198</v>
      </c>
      <c r="L3116" s="165">
        <f>IFERROR(__xludf.DUMMYFUNCTION("""COMPUTED_VALUE"""),-2.20175573300551)</f>
        <v>-2.201755733</v>
      </c>
      <c r="M3116" s="166">
        <f t="shared" si="2"/>
        <v>5.76655979</v>
      </c>
      <c r="N3116" s="167">
        <f t="shared" si="3"/>
        <v>36.01923977</v>
      </c>
      <c r="O3116" s="163">
        <f t="shared" ref="O3116:Q3116" si="3120">rank(I3116,I:I)</f>
        <v>1665</v>
      </c>
      <c r="P3116" s="163">
        <f t="shared" si="3120"/>
        <v>349</v>
      </c>
      <c r="Q3116" s="163">
        <f t="shared" si="3120"/>
        <v>56</v>
      </c>
      <c r="R3116" s="163">
        <f>IFERROR(__xludf.DUMMYFUNCTION("RANK(M3116,filter(M:M,C:C=C3116))"),29.0)</f>
        <v>29</v>
      </c>
      <c r="S3116" s="161" t="b">
        <f t="shared" si="5"/>
        <v>0</v>
      </c>
      <c r="T3116" s="161" t="b">
        <f t="array" ref="T3116">index('Query Tool'!B:B,match(H3116,'Query Tool'!C:C,0))</f>
        <v>1</v>
      </c>
      <c r="U3116" s="161" t="b">
        <f t="array" ref="U3116">index('Query Tool'!B:B,match(C3116,'Query Tool'!C:C,0))</f>
        <v>0</v>
      </c>
      <c r="V3116" s="161" t="b">
        <f>F3116&gt;='Query Tool'!C$32</f>
        <v>1</v>
      </c>
      <c r="W3116" s="161" t="b">
        <f t="array" ref="W3116">index(Dropdowns!B:B,match(I3116,Dropdowns!A:A,0))</f>
        <v>1</v>
      </c>
      <c r="X3116" s="161" t="b">
        <f t="array" ref="X3116">index('Query Tool'!B:B,match(D3116,'Query Tool'!C:C,0))</f>
        <v>1</v>
      </c>
      <c r="Y3116" s="161" t="str">
        <f t="shared" si="6"/>
        <v>bealbr01,2019-20</v>
      </c>
      <c r="Z3116" s="168" t="str">
        <f t="array" ref="Z3116">iferror(index(I:I,match($A3116&amp;","&amp;index('Year Conversion'!$A:$A,match($C3116,'Year Conversion'!$B:$B,0)),$Y:$Y,0))-I3116,"")</f>
        <v/>
      </c>
      <c r="AA3116" s="168" t="str">
        <f t="array" ref="AA3116">iferror(index(J:J,match($A3116&amp;","&amp;index('Year Conversion'!$A:$A,match($C3116,'Year Conversion'!$B:$B,0)),$Y:$Y,0))-J3116,"")</f>
        <v/>
      </c>
      <c r="AB3116" s="168" t="str">
        <f t="array" ref="AB3116">iferror(index(K:K,match($A3116&amp;","&amp;index('Year Conversion'!$A:$A,match($C3116,'Year Conversion'!$B:$B,0)),$Y:$Y,0))-K3116,"")</f>
        <v/>
      </c>
      <c r="AC3116" s="168" t="str">
        <f t="shared" si="7"/>
        <v>WAS,2019-20</v>
      </c>
    </row>
    <row r="3117">
      <c r="A3117" s="161" t="str">
        <f>IFERROR(__xludf.DUMMYFUNCTION("""COMPUTED_VALUE"""),"waitedi01")</f>
        <v>waitedi01</v>
      </c>
      <c r="B3117" s="161" t="str">
        <f>IFERROR(__xludf.DUMMYFUNCTION("""COMPUTED_VALUE"""),"Dion Waiters")</f>
        <v>Dion Waiters</v>
      </c>
      <c r="C3117" s="162" t="str">
        <f>IFERROR(__xludf.DUMMYFUNCTION("""COMPUTED_VALUE"""),"2019-20")</f>
        <v>2019-20</v>
      </c>
      <c r="D3117" s="163" t="str">
        <f>IFERROR(__xludf.DUMMYFUNCTION("""COMPUTED_VALUE"""),"TOT")</f>
        <v>TOT</v>
      </c>
      <c r="E3117" s="164" t="str">
        <f>IFERROR(__xludf.DUMMYFUNCTION("""COMPUTED_VALUE"""),"Secondary Ball Handler")</f>
        <v>Secondary Ball Handler</v>
      </c>
      <c r="F3117" s="164">
        <f>IFERROR(__xludf.DUMMYFUNCTION("""COMPUTED_VALUE"""),207.45)</f>
        <v>207.45</v>
      </c>
      <c r="G3117" s="163">
        <f>IFERROR(__xludf.DUMMYFUNCTION("""COMPUTED_VALUE"""),10.0)</f>
        <v>10</v>
      </c>
      <c r="H3117" s="163" t="str">
        <f>IFERROR(__xludf.DUMMYFUNCTION("""COMPUTED_VALUE"""),"SG")</f>
        <v>SG</v>
      </c>
      <c r="I3117" s="163">
        <f>IFERROR(__xludf.DUMMYFUNCTION("""COMPUTED_VALUE"""),28.0)</f>
        <v>28</v>
      </c>
      <c r="J3117" s="165">
        <f>IFERROR(__xludf.DUMMYFUNCTION("""COMPUTED_VALUE"""),-0.710796281204653)</f>
        <v>-0.7107962812</v>
      </c>
      <c r="K3117" s="165">
        <f>IFERROR(__xludf.DUMMYFUNCTION("""COMPUTED_VALUE"""),-0.133627389145384)</f>
        <v>-0.1336273891</v>
      </c>
      <c r="L3117" s="165">
        <f>IFERROR(__xludf.DUMMYFUNCTION("""COMPUTED_VALUE"""),-0.577168892059269)</f>
        <v>-0.5771688921</v>
      </c>
      <c r="M3117" s="166">
        <f t="shared" si="2"/>
        <v>0.2204760155</v>
      </c>
      <c r="N3117" s="167">
        <f t="shared" si="3"/>
        <v>20.745</v>
      </c>
      <c r="O3117" s="163">
        <f t="shared" ref="O3117:Q3117" si="3121">rank(I3117,I:I)</f>
        <v>1090</v>
      </c>
      <c r="P3117" s="163">
        <f t="shared" si="3121"/>
        <v>2162</v>
      </c>
      <c r="Q3117" s="163">
        <f t="shared" si="3121"/>
        <v>1449</v>
      </c>
      <c r="R3117" s="163">
        <f>IFERROR(__xludf.DUMMYFUNCTION("RANK(M3117,filter(M:M,C:C=C3117))"),330.0)</f>
        <v>330</v>
      </c>
      <c r="S3117" s="161" t="b">
        <f t="shared" si="5"/>
        <v>0</v>
      </c>
      <c r="T3117" s="161" t="b">
        <f t="array" ref="T3117">index('Query Tool'!B:B,match(H3117,'Query Tool'!C:C,0))</f>
        <v>1</v>
      </c>
      <c r="U3117" s="161" t="b">
        <f t="array" ref="U3117">index('Query Tool'!B:B,match(C3117,'Query Tool'!C:C,0))</f>
        <v>0</v>
      </c>
      <c r="V3117" s="161" t="b">
        <f>F3117&gt;='Query Tool'!C$32</f>
        <v>0</v>
      </c>
      <c r="W3117" s="161" t="b">
        <f t="array" ref="W3117">index(Dropdowns!B:B,match(I3117,Dropdowns!A:A,0))</f>
        <v>1</v>
      </c>
      <c r="X3117" s="161" t="b">
        <f t="array" ref="X3117">index('Query Tool'!B:B,match(D3117,'Query Tool'!C:C,0))</f>
        <v>1</v>
      </c>
      <c r="Y3117" s="161" t="str">
        <f t="shared" si="6"/>
        <v>waitedi01,2019-20</v>
      </c>
      <c r="Z3117" s="168" t="str">
        <f t="array" ref="Z3117">iferror(index(I:I,match($A3117&amp;","&amp;index('Year Conversion'!$A:$A,match($C3117,'Year Conversion'!$B:$B,0)),$Y:$Y,0))-I3117,"")</f>
        <v/>
      </c>
      <c r="AA3117" s="168" t="str">
        <f t="array" ref="AA3117">iferror(index(J:J,match($A3117&amp;","&amp;index('Year Conversion'!$A:$A,match($C3117,'Year Conversion'!$B:$B,0)),$Y:$Y,0))-J3117,"")</f>
        <v/>
      </c>
      <c r="AB3117" s="168" t="str">
        <f t="array" ref="AB3117">iferror(index(K:K,match($A3117&amp;","&amp;index('Year Conversion'!$A:$A,match($C3117,'Year Conversion'!$B:$B,0)),$Y:$Y,0))-K3117,"")</f>
        <v/>
      </c>
      <c r="AC3117" s="168" t="str">
        <f t="shared" si="7"/>
        <v>TOT,2019-20</v>
      </c>
    </row>
    <row r="3118">
      <c r="A3118" s="161" t="str">
        <f>IFERROR(__xludf.DUMMYFUNCTION("""COMPUTED_VALUE"""),"lillada01")</f>
        <v>lillada01</v>
      </c>
      <c r="B3118" s="161" t="str">
        <f>IFERROR(__xludf.DUMMYFUNCTION("""COMPUTED_VALUE"""),"Damian Lillard")</f>
        <v>Damian Lillard</v>
      </c>
      <c r="C3118" s="162" t="str">
        <f>IFERROR(__xludf.DUMMYFUNCTION("""COMPUTED_VALUE"""),"2019-20")</f>
        <v>2019-20</v>
      </c>
      <c r="D3118" s="163" t="str">
        <f>IFERROR(__xludf.DUMMYFUNCTION("""COMPUTED_VALUE"""),"POR")</f>
        <v>POR</v>
      </c>
      <c r="E3118" s="164" t="str">
        <f>IFERROR(__xludf.DUMMYFUNCTION("""COMPUTED_VALUE"""),"Shot Creator")</f>
        <v>Shot Creator</v>
      </c>
      <c r="F3118" s="164">
        <f>IFERROR(__xludf.DUMMYFUNCTION("""COMPUTED_VALUE"""),2473.655)</f>
        <v>2473.655</v>
      </c>
      <c r="G3118" s="163">
        <f>IFERROR(__xludf.DUMMYFUNCTION("""COMPUTED_VALUE"""),66.0)</f>
        <v>66</v>
      </c>
      <c r="H3118" s="163" t="str">
        <f>IFERROR(__xludf.DUMMYFUNCTION("""COMPUTED_VALUE"""),"PG")</f>
        <v>PG</v>
      </c>
      <c r="I3118" s="163">
        <f>IFERROR(__xludf.DUMMYFUNCTION("""COMPUTED_VALUE"""),29.0)</f>
        <v>29</v>
      </c>
      <c r="J3118" s="165">
        <f>IFERROR(__xludf.DUMMYFUNCTION("""COMPUTED_VALUE"""),3.87178946840287)</f>
        <v>3.871789468</v>
      </c>
      <c r="K3118" s="165">
        <f>IFERROR(__xludf.DUMMYFUNCTION("""COMPUTED_VALUE"""),5.83134300164974)</f>
        <v>5.831343002</v>
      </c>
      <c r="L3118" s="165">
        <f>IFERROR(__xludf.DUMMYFUNCTION("""COMPUTED_VALUE"""),-1.95955353324688)</f>
        <v>-1.959553533</v>
      </c>
      <c r="M3118" s="166">
        <f t="shared" si="2"/>
        <v>10.1393878</v>
      </c>
      <c r="N3118" s="167">
        <f t="shared" si="3"/>
        <v>37.47962121</v>
      </c>
      <c r="O3118" s="163">
        <f t="shared" ref="O3118:Q3118" si="3122">rank(I3118,I:I)</f>
        <v>855</v>
      </c>
      <c r="P3118" s="163">
        <f t="shared" si="3122"/>
        <v>102</v>
      </c>
      <c r="Q3118" s="163">
        <f t="shared" si="3122"/>
        <v>12</v>
      </c>
      <c r="R3118" s="163">
        <f>IFERROR(__xludf.DUMMYFUNCTION("RANK(M3118,filter(M:M,C:C=C3118))"),6.0)</f>
        <v>6</v>
      </c>
      <c r="S3118" s="161" t="b">
        <f t="shared" si="5"/>
        <v>0</v>
      </c>
      <c r="T3118" s="161" t="b">
        <f t="array" ref="T3118">index('Query Tool'!B:B,match(H3118,'Query Tool'!C:C,0))</f>
        <v>1</v>
      </c>
      <c r="U3118" s="161" t="b">
        <f t="array" ref="U3118">index('Query Tool'!B:B,match(C3118,'Query Tool'!C:C,0))</f>
        <v>0</v>
      </c>
      <c r="V3118" s="161" t="b">
        <f>F3118&gt;='Query Tool'!C$32</f>
        <v>1</v>
      </c>
      <c r="W3118" s="161" t="b">
        <f t="array" ref="W3118">index(Dropdowns!B:B,match(I3118,Dropdowns!A:A,0))</f>
        <v>1</v>
      </c>
      <c r="X3118" s="161" t="b">
        <f t="array" ref="X3118">index('Query Tool'!B:B,match(D3118,'Query Tool'!C:C,0))</f>
        <v>1</v>
      </c>
      <c r="Y3118" s="161" t="str">
        <f t="shared" si="6"/>
        <v>lillada01,2019-20</v>
      </c>
      <c r="Z3118" s="168" t="str">
        <f t="array" ref="Z3118">iferror(index(I:I,match($A3118&amp;","&amp;index('Year Conversion'!$A:$A,match($C3118,'Year Conversion'!$B:$B,0)),$Y:$Y,0))-I3118,"")</f>
        <v/>
      </c>
      <c r="AA3118" s="168" t="str">
        <f t="array" ref="AA3118">iferror(index(J:J,match($A3118&amp;","&amp;index('Year Conversion'!$A:$A,match($C3118,'Year Conversion'!$B:$B,0)),$Y:$Y,0))-J3118,"")</f>
        <v/>
      </c>
      <c r="AB3118" s="168" t="str">
        <f t="array" ref="AB3118">iferror(index(K:K,match($A3118&amp;","&amp;index('Year Conversion'!$A:$A,match($C3118,'Year Conversion'!$B:$B,0)),$Y:$Y,0))-K3118,"")</f>
        <v/>
      </c>
      <c r="AC3118" s="168" t="str">
        <f t="shared" si="7"/>
        <v>POR,2019-20</v>
      </c>
    </row>
    <row r="3119">
      <c r="A3119" s="161" t="str">
        <f>IFERROR(__xludf.DUMMYFUNCTION("""COMPUTED_VALUE"""),"rosste01")</f>
        <v>rosste01</v>
      </c>
      <c r="B3119" s="161" t="str">
        <f>IFERROR(__xludf.DUMMYFUNCTION("""COMPUTED_VALUE"""),"Terrence Ross")</f>
        <v>Terrence Ross</v>
      </c>
      <c r="C3119" s="162" t="str">
        <f>IFERROR(__xludf.DUMMYFUNCTION("""COMPUTED_VALUE"""),"2019-20")</f>
        <v>2019-20</v>
      </c>
      <c r="D3119" s="163" t="str">
        <f>IFERROR(__xludf.DUMMYFUNCTION("""COMPUTED_VALUE"""),"ORL")</f>
        <v>ORL</v>
      </c>
      <c r="E3119" s="164" t="str">
        <f>IFERROR(__xludf.DUMMYFUNCTION("""COMPUTED_VALUE"""),"Off Screen Shooter")</f>
        <v>Off Screen Shooter</v>
      </c>
      <c r="F3119" s="164">
        <f>IFERROR(__xludf.DUMMYFUNCTION("""COMPUTED_VALUE"""),1889.08333333333)</f>
        <v>1889.083333</v>
      </c>
      <c r="G3119" s="163">
        <f>IFERROR(__xludf.DUMMYFUNCTION("""COMPUTED_VALUE"""),69.0)</f>
        <v>69</v>
      </c>
      <c r="H3119" s="163" t="str">
        <f>IFERROR(__xludf.DUMMYFUNCTION("""COMPUTED_VALUE"""),"SG")</f>
        <v>SG</v>
      </c>
      <c r="I3119" s="163">
        <f>IFERROR(__xludf.DUMMYFUNCTION("""COMPUTED_VALUE"""),28.0)</f>
        <v>28</v>
      </c>
      <c r="J3119" s="165">
        <f>IFERROR(__xludf.DUMMYFUNCTION("""COMPUTED_VALUE"""),-1.00316461527855)</f>
        <v>-1.003164615</v>
      </c>
      <c r="K3119" s="165">
        <f>IFERROR(__xludf.DUMMYFUNCTION("""COMPUTED_VALUE"""),0.279196456981029)</f>
        <v>0.279196457</v>
      </c>
      <c r="L3119" s="165">
        <f>IFERROR(__xludf.DUMMYFUNCTION("""COMPUTED_VALUE"""),-1.28236107225958)</f>
        <v>-1.282361072</v>
      </c>
      <c r="M3119" s="166">
        <f t="shared" si="2"/>
        <v>1.636488731</v>
      </c>
      <c r="N3119" s="167">
        <f t="shared" si="3"/>
        <v>27.37801932</v>
      </c>
      <c r="O3119" s="163">
        <f t="shared" ref="O3119:Q3119" si="3123">rank(I3119,I:I)</f>
        <v>1090</v>
      </c>
      <c r="P3119" s="163">
        <f t="shared" si="3123"/>
        <v>2506</v>
      </c>
      <c r="Q3119" s="163">
        <f t="shared" si="3123"/>
        <v>930</v>
      </c>
      <c r="R3119" s="163">
        <f>IFERROR(__xludf.DUMMYFUNCTION("RANK(M3119,filter(M:M,C:C=C3119))"),176.0)</f>
        <v>176</v>
      </c>
      <c r="S3119" s="161" t="b">
        <f t="shared" si="5"/>
        <v>0</v>
      </c>
      <c r="T3119" s="161" t="b">
        <f t="array" ref="T3119">index('Query Tool'!B:B,match(H3119,'Query Tool'!C:C,0))</f>
        <v>1</v>
      </c>
      <c r="U3119" s="161" t="b">
        <f t="array" ref="U3119">index('Query Tool'!B:B,match(C3119,'Query Tool'!C:C,0))</f>
        <v>0</v>
      </c>
      <c r="V3119" s="161" t="b">
        <f>F3119&gt;='Query Tool'!C$32</f>
        <v>1</v>
      </c>
      <c r="W3119" s="161" t="b">
        <f t="array" ref="W3119">index(Dropdowns!B:B,match(I3119,Dropdowns!A:A,0))</f>
        <v>1</v>
      </c>
      <c r="X3119" s="161" t="b">
        <f t="array" ref="X3119">index('Query Tool'!B:B,match(D3119,'Query Tool'!C:C,0))</f>
        <v>1</v>
      </c>
      <c r="Y3119" s="161" t="str">
        <f t="shared" si="6"/>
        <v>rosste01,2019-20</v>
      </c>
      <c r="Z3119" s="168" t="str">
        <f t="array" ref="Z3119">iferror(index(I:I,match($A3119&amp;","&amp;index('Year Conversion'!$A:$A,match($C3119,'Year Conversion'!$B:$B,0)),$Y:$Y,0))-I3119,"")</f>
        <v/>
      </c>
      <c r="AA3119" s="168" t="str">
        <f t="array" ref="AA3119">iferror(index(J:J,match($A3119&amp;","&amp;index('Year Conversion'!$A:$A,match($C3119,'Year Conversion'!$B:$B,0)),$Y:$Y,0))-J3119,"")</f>
        <v/>
      </c>
      <c r="AB3119" s="168" t="str">
        <f t="array" ref="AB3119">iferror(index(K:K,match($A3119&amp;","&amp;index('Year Conversion'!$A:$A,match($C3119,'Year Conversion'!$B:$B,0)),$Y:$Y,0))-K3119,"")</f>
        <v/>
      </c>
      <c r="AC3119" s="168" t="str">
        <f t="shared" si="7"/>
        <v>ORL,2019-20</v>
      </c>
    </row>
    <row r="3120">
      <c r="A3120" s="161" t="str">
        <f>IFERROR(__xludf.DUMMYFUNCTION("""COMPUTED_VALUE"""),"drumman01")</f>
        <v>drumman01</v>
      </c>
      <c r="B3120" s="161" t="str">
        <f>IFERROR(__xludf.DUMMYFUNCTION("""COMPUTED_VALUE"""),"Andre Drummond")</f>
        <v>Andre Drummond</v>
      </c>
      <c r="C3120" s="162" t="str">
        <f>IFERROR(__xludf.DUMMYFUNCTION("""COMPUTED_VALUE"""),"2019-20")</f>
        <v>2019-20</v>
      </c>
      <c r="D3120" s="163" t="str">
        <f>IFERROR(__xludf.DUMMYFUNCTION("""COMPUTED_VALUE"""),"TOT")</f>
        <v>TOT</v>
      </c>
      <c r="E3120" s="164" t="str">
        <f>IFERROR(__xludf.DUMMYFUNCTION("""COMPUTED_VALUE"""),"Post Scorer")</f>
        <v>Post Scorer</v>
      </c>
      <c r="F3120" s="164">
        <f>IFERROR(__xludf.DUMMYFUNCTION("""COMPUTED_VALUE"""),1878.20166666667)</f>
        <v>1878.201667</v>
      </c>
      <c r="G3120" s="163">
        <f>IFERROR(__xludf.DUMMYFUNCTION("""COMPUTED_VALUE"""),57.0)</f>
        <v>57</v>
      </c>
      <c r="H3120" s="163" t="str">
        <f>IFERROR(__xludf.DUMMYFUNCTION("""COMPUTED_VALUE"""),"C")</f>
        <v>C</v>
      </c>
      <c r="I3120" s="163">
        <f>IFERROR(__xludf.DUMMYFUNCTION("""COMPUTED_VALUE"""),26.0)</f>
        <v>26</v>
      </c>
      <c r="J3120" s="165">
        <f>IFERROR(__xludf.DUMMYFUNCTION("""COMPUTED_VALUE"""),0.990476562784766)</f>
        <v>0.9904765628</v>
      </c>
      <c r="K3120" s="165">
        <f>IFERROR(__xludf.DUMMYFUNCTION("""COMPUTED_VALUE"""),-1.00389150885812)</f>
        <v>-1.003891509</v>
      </c>
      <c r="L3120" s="165">
        <f>IFERROR(__xludf.DUMMYFUNCTION("""COMPUTED_VALUE"""),1.99436807164288)</f>
        <v>1.994368072</v>
      </c>
      <c r="M3120" s="166">
        <f t="shared" si="2"/>
        <v>4.148059644</v>
      </c>
      <c r="N3120" s="167">
        <f t="shared" si="3"/>
        <v>32.95090643</v>
      </c>
      <c r="O3120" s="163">
        <f t="shared" ref="O3120:Q3120" si="3124">rank(I3120,I:I)</f>
        <v>1665</v>
      </c>
      <c r="P3120" s="163">
        <f t="shared" si="3124"/>
        <v>662</v>
      </c>
      <c r="Q3120" s="163">
        <f t="shared" si="3124"/>
        <v>2808</v>
      </c>
      <c r="R3120" s="163">
        <f>IFERROR(__xludf.DUMMYFUNCTION("RANK(M3120,filter(M:M,C:C=C3120))"),63.0)</f>
        <v>63</v>
      </c>
      <c r="S3120" s="161" t="b">
        <f t="shared" si="5"/>
        <v>0</v>
      </c>
      <c r="T3120" s="161" t="b">
        <f t="array" ref="T3120">index('Query Tool'!B:B,match(H3120,'Query Tool'!C:C,0))</f>
        <v>1</v>
      </c>
      <c r="U3120" s="161" t="b">
        <f t="array" ref="U3120">index('Query Tool'!B:B,match(C3120,'Query Tool'!C:C,0))</f>
        <v>0</v>
      </c>
      <c r="V3120" s="161" t="b">
        <f>F3120&gt;='Query Tool'!C$32</f>
        <v>1</v>
      </c>
      <c r="W3120" s="161" t="b">
        <f t="array" ref="W3120">index(Dropdowns!B:B,match(I3120,Dropdowns!A:A,0))</f>
        <v>1</v>
      </c>
      <c r="X3120" s="161" t="b">
        <f t="array" ref="X3120">index('Query Tool'!B:B,match(D3120,'Query Tool'!C:C,0))</f>
        <v>1</v>
      </c>
      <c r="Y3120" s="161" t="str">
        <f t="shared" si="6"/>
        <v>drumman01,2019-20</v>
      </c>
      <c r="Z3120" s="168" t="str">
        <f t="array" ref="Z3120">iferror(index(I:I,match($A3120&amp;","&amp;index('Year Conversion'!$A:$A,match($C3120,'Year Conversion'!$B:$B,0)),$Y:$Y,0))-I3120,"")</f>
        <v/>
      </c>
      <c r="AA3120" s="168" t="str">
        <f t="array" ref="AA3120">iferror(index(J:J,match($A3120&amp;","&amp;index('Year Conversion'!$A:$A,match($C3120,'Year Conversion'!$B:$B,0)),$Y:$Y,0))-J3120,"")</f>
        <v/>
      </c>
      <c r="AB3120" s="168" t="str">
        <f t="array" ref="AB3120">iferror(index(K:K,match($A3120&amp;","&amp;index('Year Conversion'!$A:$A,match($C3120,'Year Conversion'!$B:$B,0)),$Y:$Y,0))-K3120,"")</f>
        <v/>
      </c>
      <c r="AC3120" s="168" t="str">
        <f t="shared" si="7"/>
        <v>TOT,2019-20</v>
      </c>
    </row>
    <row r="3121">
      <c r="A3121" s="161" t="str">
        <f>IFERROR(__xludf.DUMMYFUNCTION("""COMPUTED_VALUE"""),"barneha02")</f>
        <v>barneha02</v>
      </c>
      <c r="B3121" s="161" t="str">
        <f>IFERROR(__xludf.DUMMYFUNCTION("""COMPUTED_VALUE"""),"Harrison Barnes")</f>
        <v>Harrison Barnes</v>
      </c>
      <c r="C3121" s="162" t="str">
        <f>IFERROR(__xludf.DUMMYFUNCTION("""COMPUTED_VALUE"""),"2019-20")</f>
        <v>2019-20</v>
      </c>
      <c r="D3121" s="163" t="str">
        <f>IFERROR(__xludf.DUMMYFUNCTION("""COMPUTED_VALUE"""),"SAC")</f>
        <v>SAC</v>
      </c>
      <c r="E3121" s="164" t="str">
        <f>IFERROR(__xludf.DUMMYFUNCTION("""COMPUTED_VALUE"""),"Shot Creator")</f>
        <v>Shot Creator</v>
      </c>
      <c r="F3121" s="164">
        <f>IFERROR(__xludf.DUMMYFUNCTION("""COMPUTED_VALUE"""),2481.615)</f>
        <v>2481.615</v>
      </c>
      <c r="G3121" s="163">
        <f>IFERROR(__xludf.DUMMYFUNCTION("""COMPUTED_VALUE"""),72.0)</f>
        <v>72</v>
      </c>
      <c r="H3121" s="163" t="str">
        <f>IFERROR(__xludf.DUMMYFUNCTION("""COMPUTED_VALUE"""),"PF")</f>
        <v>PF</v>
      </c>
      <c r="I3121" s="163">
        <f>IFERROR(__xludf.DUMMYFUNCTION("""COMPUTED_VALUE"""),27.0)</f>
        <v>27</v>
      </c>
      <c r="J3121" s="165">
        <f>IFERROR(__xludf.DUMMYFUNCTION("""COMPUTED_VALUE"""),-0.452142004323067)</f>
        <v>-0.4521420043</v>
      </c>
      <c r="K3121" s="165">
        <f>IFERROR(__xludf.DUMMYFUNCTION("""COMPUTED_VALUE"""),-0.0991276342812684)</f>
        <v>-0.09912763428</v>
      </c>
      <c r="L3121" s="165">
        <f>IFERROR(__xludf.DUMMYFUNCTION("""COMPUTED_VALUE"""),-0.353014370041799)</f>
        <v>-0.35301437</v>
      </c>
      <c r="M3121" s="166">
        <f t="shared" si="2"/>
        <v>3.06956834</v>
      </c>
      <c r="N3121" s="167">
        <f t="shared" si="3"/>
        <v>34.466875</v>
      </c>
      <c r="O3121" s="163">
        <f t="shared" ref="O3121:Q3121" si="3125">rank(I3121,I:I)</f>
        <v>1366</v>
      </c>
      <c r="P3121" s="163">
        <f t="shared" si="3125"/>
        <v>1777</v>
      </c>
      <c r="Q3121" s="163">
        <f t="shared" si="3125"/>
        <v>1366</v>
      </c>
      <c r="R3121" s="163">
        <f>IFERROR(__xludf.DUMMYFUNCTION("RANK(M3121,filter(M:M,C:C=C3121))"),102.0)</f>
        <v>102</v>
      </c>
      <c r="S3121" s="161" t="b">
        <f t="shared" si="5"/>
        <v>0</v>
      </c>
      <c r="T3121" s="161" t="b">
        <f t="array" ref="T3121">index('Query Tool'!B:B,match(H3121,'Query Tool'!C:C,0))</f>
        <v>1</v>
      </c>
      <c r="U3121" s="161" t="b">
        <f t="array" ref="U3121">index('Query Tool'!B:B,match(C3121,'Query Tool'!C:C,0))</f>
        <v>0</v>
      </c>
      <c r="V3121" s="161" t="b">
        <f>F3121&gt;='Query Tool'!C$32</f>
        <v>1</v>
      </c>
      <c r="W3121" s="161" t="b">
        <f t="array" ref="W3121">index(Dropdowns!B:B,match(I3121,Dropdowns!A:A,0))</f>
        <v>1</v>
      </c>
      <c r="X3121" s="161" t="b">
        <f t="array" ref="X3121">index('Query Tool'!B:B,match(D3121,'Query Tool'!C:C,0))</f>
        <v>1</v>
      </c>
      <c r="Y3121" s="161" t="str">
        <f t="shared" si="6"/>
        <v>barneha02,2019-20</v>
      </c>
      <c r="Z3121" s="168" t="str">
        <f t="array" ref="Z3121">iferror(index(I:I,match($A3121&amp;","&amp;index('Year Conversion'!$A:$A,match($C3121,'Year Conversion'!$B:$B,0)),$Y:$Y,0))-I3121,"")</f>
        <v/>
      </c>
      <c r="AA3121" s="168" t="str">
        <f t="array" ref="AA3121">iferror(index(J:J,match($A3121&amp;","&amp;index('Year Conversion'!$A:$A,match($C3121,'Year Conversion'!$B:$B,0)),$Y:$Y,0))-J3121,"")</f>
        <v/>
      </c>
      <c r="AB3121" s="168" t="str">
        <f t="array" ref="AB3121">iferror(index(K:K,match($A3121&amp;","&amp;index('Year Conversion'!$A:$A,match($C3121,'Year Conversion'!$B:$B,0)),$Y:$Y,0))-K3121,"")</f>
        <v/>
      </c>
      <c r="AC3121" s="168" t="str">
        <f t="shared" si="7"/>
        <v>SAC,2019-20</v>
      </c>
    </row>
    <row r="3122">
      <c r="A3122" s="161" t="str">
        <f>IFERROR(__xludf.DUMMYFUNCTION("""COMPUTED_VALUE"""),"riverau01")</f>
        <v>riverau01</v>
      </c>
      <c r="B3122" s="161" t="str">
        <f>IFERROR(__xludf.DUMMYFUNCTION("""COMPUTED_VALUE"""),"Austin Rivers")</f>
        <v>Austin Rivers</v>
      </c>
      <c r="C3122" s="162" t="str">
        <f>IFERROR(__xludf.DUMMYFUNCTION("""COMPUTED_VALUE"""),"2019-20")</f>
        <v>2019-20</v>
      </c>
      <c r="D3122" s="163" t="str">
        <f>IFERROR(__xludf.DUMMYFUNCTION("""COMPUTED_VALUE"""),"HOU")</f>
        <v>HOU</v>
      </c>
      <c r="E3122" s="164" t="str">
        <f>IFERROR(__xludf.DUMMYFUNCTION("""COMPUTED_VALUE"""),"Shot Creator")</f>
        <v>Shot Creator</v>
      </c>
      <c r="F3122" s="164">
        <f>IFERROR(__xludf.DUMMYFUNCTION("""COMPUTED_VALUE"""),1593.94)</f>
        <v>1593.94</v>
      </c>
      <c r="G3122" s="163">
        <f>IFERROR(__xludf.DUMMYFUNCTION("""COMPUTED_VALUE"""),68.0)</f>
        <v>68</v>
      </c>
      <c r="H3122" s="163" t="str">
        <f>IFERROR(__xludf.DUMMYFUNCTION("""COMPUTED_VALUE"""),"SG")</f>
        <v>SG</v>
      </c>
      <c r="I3122" s="163">
        <f>IFERROR(__xludf.DUMMYFUNCTION("""COMPUTED_VALUE"""),27.0)</f>
        <v>27</v>
      </c>
      <c r="J3122" s="165">
        <f>IFERROR(__xludf.DUMMYFUNCTION("""COMPUTED_VALUE"""),-1.80662900051127)</f>
        <v>-1.806629001</v>
      </c>
      <c r="K3122" s="165">
        <f>IFERROR(__xludf.DUMMYFUNCTION("""COMPUTED_VALUE"""),-0.0730053592217449)</f>
        <v>-0.07300535922</v>
      </c>
      <c r="L3122" s="165">
        <f>IFERROR(__xludf.DUMMYFUNCTION("""COMPUTED_VALUE"""),-1.73362364128952)</f>
        <v>-1.733623641</v>
      </c>
      <c r="M3122" s="166">
        <f t="shared" si="2"/>
        <v>0.5246431663</v>
      </c>
      <c r="N3122" s="167">
        <f t="shared" si="3"/>
        <v>23.44029412</v>
      </c>
      <c r="O3122" s="163">
        <f t="shared" ref="O3122:Q3122" si="3126">rank(I3122,I:I)</f>
        <v>1366</v>
      </c>
      <c r="P3122" s="163">
        <f t="shared" si="3126"/>
        <v>3335</v>
      </c>
      <c r="Q3122" s="163">
        <f t="shared" si="3126"/>
        <v>1311</v>
      </c>
      <c r="R3122" s="163">
        <f>IFERROR(__xludf.DUMMYFUNCTION("RANK(M3122,filter(M:M,C:C=C3122))"),258.0)</f>
        <v>258</v>
      </c>
      <c r="S3122" s="161" t="b">
        <f t="shared" si="5"/>
        <v>0</v>
      </c>
      <c r="T3122" s="161" t="b">
        <f t="array" ref="T3122">index('Query Tool'!B:B,match(H3122,'Query Tool'!C:C,0))</f>
        <v>1</v>
      </c>
      <c r="U3122" s="161" t="b">
        <f t="array" ref="U3122">index('Query Tool'!B:B,match(C3122,'Query Tool'!C:C,0))</f>
        <v>0</v>
      </c>
      <c r="V3122" s="161" t="b">
        <f>F3122&gt;='Query Tool'!C$32</f>
        <v>1</v>
      </c>
      <c r="W3122" s="161" t="b">
        <f t="array" ref="W3122">index(Dropdowns!B:B,match(I3122,Dropdowns!A:A,0))</f>
        <v>1</v>
      </c>
      <c r="X3122" s="161" t="b">
        <f t="array" ref="X3122">index('Query Tool'!B:B,match(D3122,'Query Tool'!C:C,0))</f>
        <v>1</v>
      </c>
      <c r="Y3122" s="161" t="str">
        <f t="shared" si="6"/>
        <v>riverau01,2019-20</v>
      </c>
      <c r="Z3122" s="168" t="str">
        <f t="array" ref="Z3122">iferror(index(I:I,match($A3122&amp;","&amp;index('Year Conversion'!$A:$A,match($C3122,'Year Conversion'!$B:$B,0)),$Y:$Y,0))-I3122,"")</f>
        <v/>
      </c>
      <c r="AA3122" s="168" t="str">
        <f t="array" ref="AA3122">iferror(index(J:J,match($A3122&amp;","&amp;index('Year Conversion'!$A:$A,match($C3122,'Year Conversion'!$B:$B,0)),$Y:$Y,0))-J3122,"")</f>
        <v/>
      </c>
      <c r="AB3122" s="168" t="str">
        <f t="array" ref="AB3122">iferror(index(K:K,match($A3122&amp;","&amp;index('Year Conversion'!$A:$A,match($C3122,'Year Conversion'!$B:$B,0)),$Y:$Y,0))-K3122,"")</f>
        <v/>
      </c>
      <c r="AC3122" s="168" t="str">
        <f t="shared" si="7"/>
        <v>HOU,2019-20</v>
      </c>
    </row>
    <row r="3123">
      <c r="A3123" s="161" t="str">
        <f>IFERROR(__xludf.DUMMYFUNCTION("""COMPUTED_VALUE"""),"leoname01")</f>
        <v>leoname01</v>
      </c>
      <c r="B3123" s="161" t="str">
        <f>IFERROR(__xludf.DUMMYFUNCTION("""COMPUTED_VALUE"""),"Meyers Leonard")</f>
        <v>Meyers Leonard</v>
      </c>
      <c r="C3123" s="162" t="str">
        <f>IFERROR(__xludf.DUMMYFUNCTION("""COMPUTED_VALUE"""),"2019-20")</f>
        <v>2019-20</v>
      </c>
      <c r="D3123" s="163" t="str">
        <f>IFERROR(__xludf.DUMMYFUNCTION("""COMPUTED_VALUE"""),"MIA")</f>
        <v>MIA</v>
      </c>
      <c r="E3123" s="164" t="str">
        <f>IFERROR(__xludf.DUMMYFUNCTION("""COMPUTED_VALUE"""),"Stretch Big")</f>
        <v>Stretch Big</v>
      </c>
      <c r="F3123" s="164">
        <f>IFERROR(__xludf.DUMMYFUNCTION("""COMPUTED_VALUE"""),1033.93166666667)</f>
        <v>1033.931667</v>
      </c>
      <c r="G3123" s="163">
        <f>IFERROR(__xludf.DUMMYFUNCTION("""COMPUTED_VALUE"""),51.0)</f>
        <v>51</v>
      </c>
      <c r="H3123" s="163" t="str">
        <f>IFERROR(__xludf.DUMMYFUNCTION("""COMPUTED_VALUE"""),"C")</f>
        <v>C</v>
      </c>
      <c r="I3123" s="163">
        <f>IFERROR(__xludf.DUMMYFUNCTION("""COMPUTED_VALUE"""),27.0)</f>
        <v>27</v>
      </c>
      <c r="J3123" s="165">
        <f>IFERROR(__xludf.DUMMYFUNCTION("""COMPUTED_VALUE"""),-0.734483143672078)</f>
        <v>-0.7344831437</v>
      </c>
      <c r="K3123" s="165">
        <f>IFERROR(__xludf.DUMMYFUNCTION("""COMPUTED_VALUE"""),-1.77548572137761)</f>
        <v>-1.775485721</v>
      </c>
      <c r="L3123" s="165">
        <f>IFERROR(__xludf.DUMMYFUNCTION("""COMPUTED_VALUE"""),1.04100257770553)</f>
        <v>1.041002578</v>
      </c>
      <c r="M3123" s="166">
        <f t="shared" si="2"/>
        <v>1.082377956</v>
      </c>
      <c r="N3123" s="167">
        <f t="shared" si="3"/>
        <v>20.27316993</v>
      </c>
      <c r="O3123" s="163">
        <f t="shared" ref="O3123:Q3123" si="3127">rank(I3123,I:I)</f>
        <v>1366</v>
      </c>
      <c r="P3123" s="163">
        <f t="shared" si="3127"/>
        <v>2190</v>
      </c>
      <c r="Q3123" s="163">
        <f t="shared" si="3127"/>
        <v>3563</v>
      </c>
      <c r="R3123" s="163">
        <f>IFERROR(__xludf.DUMMYFUNCTION("RANK(M3123,filter(M:M,C:C=C3123))"),208.0)</f>
        <v>208</v>
      </c>
      <c r="S3123" s="161" t="b">
        <f t="shared" si="5"/>
        <v>0</v>
      </c>
      <c r="T3123" s="161" t="b">
        <f t="array" ref="T3123">index('Query Tool'!B:B,match(H3123,'Query Tool'!C:C,0))</f>
        <v>1</v>
      </c>
      <c r="U3123" s="161" t="b">
        <f t="array" ref="U3123">index('Query Tool'!B:B,match(C3123,'Query Tool'!C:C,0))</f>
        <v>0</v>
      </c>
      <c r="V3123" s="161" t="b">
        <f>F3123&gt;='Query Tool'!C$32</f>
        <v>1</v>
      </c>
      <c r="W3123" s="161" t="b">
        <f t="array" ref="W3123">index(Dropdowns!B:B,match(I3123,Dropdowns!A:A,0))</f>
        <v>1</v>
      </c>
      <c r="X3123" s="161" t="b">
        <f t="array" ref="X3123">index('Query Tool'!B:B,match(D3123,'Query Tool'!C:C,0))</f>
        <v>1</v>
      </c>
      <c r="Y3123" s="161" t="str">
        <f t="shared" si="6"/>
        <v>leoname01,2019-20</v>
      </c>
      <c r="Z3123" s="168" t="str">
        <f t="array" ref="Z3123">iferror(index(I:I,match($A3123&amp;","&amp;index('Year Conversion'!$A:$A,match($C3123,'Year Conversion'!$B:$B,0)),$Y:$Y,0))-I3123,"")</f>
        <v/>
      </c>
      <c r="AA3123" s="168" t="str">
        <f t="array" ref="AA3123">iferror(index(J:J,match($A3123&amp;","&amp;index('Year Conversion'!$A:$A,match($C3123,'Year Conversion'!$B:$B,0)),$Y:$Y,0))-J3123,"")</f>
        <v/>
      </c>
      <c r="AB3123" s="168" t="str">
        <f t="array" ref="AB3123">iferror(index(K:K,match($A3123&amp;","&amp;index('Year Conversion'!$A:$A,match($C3123,'Year Conversion'!$B:$B,0)),$Y:$Y,0))-K3123,"")</f>
        <v/>
      </c>
      <c r="AC3123" s="168" t="str">
        <f t="shared" si="7"/>
        <v>MIA,2019-20</v>
      </c>
    </row>
    <row r="3124">
      <c r="A3124" s="161" t="str">
        <f>IFERROR(__xludf.DUMMYFUNCTION("""COMPUTED_VALUE"""),"lambje01")</f>
        <v>lambje01</v>
      </c>
      <c r="B3124" s="161" t="str">
        <f>IFERROR(__xludf.DUMMYFUNCTION("""COMPUTED_VALUE"""),"Jeremy Lamb")</f>
        <v>Jeremy Lamb</v>
      </c>
      <c r="C3124" s="162" t="str">
        <f>IFERROR(__xludf.DUMMYFUNCTION("""COMPUTED_VALUE"""),"2019-20")</f>
        <v>2019-20</v>
      </c>
      <c r="D3124" s="163" t="str">
        <f>IFERROR(__xludf.DUMMYFUNCTION("""COMPUTED_VALUE"""),"IND")</f>
        <v>IND</v>
      </c>
      <c r="E3124" s="164" t="str">
        <f>IFERROR(__xludf.DUMMYFUNCTION("""COMPUTED_VALUE"""),"Secondary Ball Handler")</f>
        <v>Secondary Ball Handler</v>
      </c>
      <c r="F3124" s="164">
        <f>IFERROR(__xludf.DUMMYFUNCTION("""COMPUTED_VALUE"""),1291.15333333333)</f>
        <v>1291.153333</v>
      </c>
      <c r="G3124" s="163">
        <f>IFERROR(__xludf.DUMMYFUNCTION("""COMPUTED_VALUE"""),46.0)</f>
        <v>46</v>
      </c>
      <c r="H3124" s="163" t="str">
        <f>IFERROR(__xludf.DUMMYFUNCTION("""COMPUTED_VALUE"""),"SG")</f>
        <v>SG</v>
      </c>
      <c r="I3124" s="163">
        <f>IFERROR(__xludf.DUMMYFUNCTION("""COMPUTED_VALUE"""),27.0)</f>
        <v>27</v>
      </c>
      <c r="J3124" s="165">
        <f>IFERROR(__xludf.DUMMYFUNCTION("""COMPUTED_VALUE"""),0.146124218260751)</f>
        <v>0.1461242183</v>
      </c>
      <c r="K3124" s="165">
        <f>IFERROR(__xludf.DUMMYFUNCTION("""COMPUTED_VALUE"""),0.0544998995075022)</f>
        <v>0.05449989951</v>
      </c>
      <c r="L3124" s="165">
        <f>IFERROR(__xludf.DUMMYFUNCTION("""COMPUTED_VALUE"""),0.0916243187532493)</f>
        <v>0.09162431875</v>
      </c>
      <c r="M3124" s="166">
        <f t="shared" si="2"/>
        <v>2.117722847</v>
      </c>
      <c r="N3124" s="167">
        <f t="shared" si="3"/>
        <v>28.06855072</v>
      </c>
      <c r="O3124" s="163">
        <f t="shared" ref="O3124:Q3124" si="3128">rank(I3124,I:I)</f>
        <v>1366</v>
      </c>
      <c r="P3124" s="163">
        <f t="shared" si="3128"/>
        <v>1141</v>
      </c>
      <c r="Q3124" s="163">
        <f t="shared" si="3128"/>
        <v>1126</v>
      </c>
      <c r="R3124" s="163">
        <f>IFERROR(__xludf.DUMMYFUNCTION("RANK(M3124,filter(M:M,C:C=C3124))"),146.0)</f>
        <v>146</v>
      </c>
      <c r="S3124" s="161" t="b">
        <f t="shared" si="5"/>
        <v>0</v>
      </c>
      <c r="T3124" s="161" t="b">
        <f t="array" ref="T3124">index('Query Tool'!B:B,match(H3124,'Query Tool'!C:C,0))</f>
        <v>1</v>
      </c>
      <c r="U3124" s="161" t="b">
        <f t="array" ref="U3124">index('Query Tool'!B:B,match(C3124,'Query Tool'!C:C,0))</f>
        <v>0</v>
      </c>
      <c r="V3124" s="161" t="b">
        <f>F3124&gt;='Query Tool'!C$32</f>
        <v>1</v>
      </c>
      <c r="W3124" s="161" t="b">
        <f t="array" ref="W3124">index(Dropdowns!B:B,match(I3124,Dropdowns!A:A,0))</f>
        <v>1</v>
      </c>
      <c r="X3124" s="161" t="b">
        <f t="array" ref="X3124">index('Query Tool'!B:B,match(D3124,'Query Tool'!C:C,0))</f>
        <v>1</v>
      </c>
      <c r="Y3124" s="161" t="str">
        <f t="shared" si="6"/>
        <v>lambje01,2019-20</v>
      </c>
      <c r="Z3124" s="168" t="str">
        <f t="array" ref="Z3124">iferror(index(I:I,match($A3124&amp;","&amp;index('Year Conversion'!$A:$A,match($C3124,'Year Conversion'!$B:$B,0)),$Y:$Y,0))-I3124,"")</f>
        <v/>
      </c>
      <c r="AA3124" s="168" t="str">
        <f t="array" ref="AA3124">iferror(index(J:J,match($A3124&amp;","&amp;index('Year Conversion'!$A:$A,match($C3124,'Year Conversion'!$B:$B,0)),$Y:$Y,0))-J3124,"")</f>
        <v/>
      </c>
      <c r="AB3124" s="168" t="str">
        <f t="array" ref="AB3124">iferror(index(K:K,match($A3124&amp;","&amp;index('Year Conversion'!$A:$A,match($C3124,'Year Conversion'!$B:$B,0)),$Y:$Y,0))-K3124,"")</f>
        <v/>
      </c>
      <c r="AC3124" s="168" t="str">
        <f t="shared" si="7"/>
        <v>IND,2019-20</v>
      </c>
    </row>
    <row r="3125">
      <c r="A3125" s="161" t="str">
        <f>IFERROR(__xludf.DUMMYFUNCTION("""COMPUTED_VALUE"""),"hensojo01")</f>
        <v>hensojo01</v>
      </c>
      <c r="B3125" s="161" t="str">
        <f>IFERROR(__xludf.DUMMYFUNCTION("""COMPUTED_VALUE"""),"John Henson")</f>
        <v>John Henson</v>
      </c>
      <c r="C3125" s="162" t="str">
        <f>IFERROR(__xludf.DUMMYFUNCTION("""COMPUTED_VALUE"""),"2019-20")</f>
        <v>2019-20</v>
      </c>
      <c r="D3125" s="163" t="str">
        <f>IFERROR(__xludf.DUMMYFUNCTION("""COMPUTED_VALUE"""),"TOT")</f>
        <v>TOT</v>
      </c>
      <c r="E3125" s="164" t="str">
        <f>IFERROR(__xludf.DUMMYFUNCTION("""COMPUTED_VALUE"""),"Roll + Cut Big")</f>
        <v>Roll + Cut Big</v>
      </c>
      <c r="F3125" s="164">
        <f>IFERROR(__xludf.DUMMYFUNCTION("""COMPUTED_VALUE"""),600.206666666667)</f>
        <v>600.2066667</v>
      </c>
      <c r="G3125" s="163">
        <f>IFERROR(__xludf.DUMMYFUNCTION("""COMPUTED_VALUE"""),40.0)</f>
        <v>40</v>
      </c>
      <c r="H3125" s="163" t="str">
        <f>IFERROR(__xludf.DUMMYFUNCTION("""COMPUTED_VALUE"""),"C")</f>
        <v>C</v>
      </c>
      <c r="I3125" s="163">
        <f>IFERROR(__xludf.DUMMYFUNCTION("""COMPUTED_VALUE"""),29.0)</f>
        <v>29</v>
      </c>
      <c r="J3125" s="165">
        <f>IFERROR(__xludf.DUMMYFUNCTION("""COMPUTED_VALUE"""),1.29373169193227)</f>
        <v>1.293731692</v>
      </c>
      <c r="K3125" s="165">
        <f>IFERROR(__xludf.DUMMYFUNCTION("""COMPUTED_VALUE"""),-1.01422640947348)</f>
        <v>-1.014226409</v>
      </c>
      <c r="L3125" s="165">
        <f>IFERROR(__xludf.DUMMYFUNCTION("""COMPUTED_VALUE"""),2.30795810140575)</f>
        <v>2.307958101</v>
      </c>
      <c r="M3125" s="166">
        <f t="shared" si="2"/>
        <v>1.447617454</v>
      </c>
      <c r="N3125" s="167">
        <f t="shared" si="3"/>
        <v>15.00516667</v>
      </c>
      <c r="O3125" s="163">
        <f t="shared" ref="O3125:Q3125" si="3129">rank(I3125,I:I)</f>
        <v>855</v>
      </c>
      <c r="P3125" s="163">
        <f t="shared" si="3129"/>
        <v>528</v>
      </c>
      <c r="Q3125" s="163">
        <f t="shared" si="3129"/>
        <v>2825</v>
      </c>
      <c r="R3125" s="163">
        <f>IFERROR(__xludf.DUMMYFUNCTION("RANK(M3125,filter(M:M,C:C=C3125))"),188.0)</f>
        <v>188</v>
      </c>
      <c r="S3125" s="161" t="b">
        <f t="shared" si="5"/>
        <v>0</v>
      </c>
      <c r="T3125" s="161" t="b">
        <f t="array" ref="T3125">index('Query Tool'!B:B,match(H3125,'Query Tool'!C:C,0))</f>
        <v>1</v>
      </c>
      <c r="U3125" s="161" t="b">
        <f t="array" ref="U3125">index('Query Tool'!B:B,match(C3125,'Query Tool'!C:C,0))</f>
        <v>0</v>
      </c>
      <c r="V3125" s="161" t="b">
        <f>F3125&gt;='Query Tool'!C$32</f>
        <v>1</v>
      </c>
      <c r="W3125" s="161" t="b">
        <f t="array" ref="W3125">index(Dropdowns!B:B,match(I3125,Dropdowns!A:A,0))</f>
        <v>1</v>
      </c>
      <c r="X3125" s="161" t="b">
        <f t="array" ref="X3125">index('Query Tool'!B:B,match(D3125,'Query Tool'!C:C,0))</f>
        <v>1</v>
      </c>
      <c r="Y3125" s="161" t="str">
        <f t="shared" si="6"/>
        <v>hensojo01,2019-20</v>
      </c>
      <c r="Z3125" s="168" t="str">
        <f t="array" ref="Z3125">iferror(index(I:I,match($A3125&amp;","&amp;index('Year Conversion'!$A:$A,match($C3125,'Year Conversion'!$B:$B,0)),$Y:$Y,0))-I3125,"")</f>
        <v/>
      </c>
      <c r="AA3125" s="168" t="str">
        <f t="array" ref="AA3125">iferror(index(J:J,match($A3125&amp;","&amp;index('Year Conversion'!$A:$A,match($C3125,'Year Conversion'!$B:$B,0)),$Y:$Y,0))-J3125,"")</f>
        <v/>
      </c>
      <c r="AB3125" s="168" t="str">
        <f t="array" ref="AB3125">iferror(index(K:K,match($A3125&amp;","&amp;index('Year Conversion'!$A:$A,match($C3125,'Year Conversion'!$B:$B,0)),$Y:$Y,0))-K3125,"")</f>
        <v/>
      </c>
      <c r="AC3125" s="168" t="str">
        <f t="shared" si="7"/>
        <v>TOT,2019-20</v>
      </c>
    </row>
    <row r="3126">
      <c r="A3126" s="161" t="str">
        <f>IFERROR(__xludf.DUMMYFUNCTION("""COMPUTED_VALUE"""),"harklma01")</f>
        <v>harklma01</v>
      </c>
      <c r="B3126" s="161" t="str">
        <f>IFERROR(__xludf.DUMMYFUNCTION("""COMPUTED_VALUE"""),"Maurice Harkless")</f>
        <v>Maurice Harkless</v>
      </c>
      <c r="C3126" s="162" t="str">
        <f>IFERROR(__xludf.DUMMYFUNCTION("""COMPUTED_VALUE"""),"2019-20")</f>
        <v>2019-20</v>
      </c>
      <c r="D3126" s="163" t="str">
        <f>IFERROR(__xludf.DUMMYFUNCTION("""COMPUTED_VALUE"""),"TOT")</f>
        <v>TOT</v>
      </c>
      <c r="E3126" s="164" t="str">
        <f>IFERROR(__xludf.DUMMYFUNCTION("""COMPUTED_VALUE"""),"Athletic Finisher")</f>
        <v>Athletic Finisher</v>
      </c>
      <c r="F3126" s="164">
        <f>IFERROR(__xludf.DUMMYFUNCTION("""COMPUTED_VALUE"""),1426.775)</f>
        <v>1426.775</v>
      </c>
      <c r="G3126" s="163">
        <f>IFERROR(__xludf.DUMMYFUNCTION("""COMPUTED_VALUE"""),62.0)</f>
        <v>62</v>
      </c>
      <c r="H3126" s="163" t="str">
        <f>IFERROR(__xludf.DUMMYFUNCTION("""COMPUTED_VALUE"""),"PF-SF")</f>
        <v>PF-SF</v>
      </c>
      <c r="I3126" s="163">
        <f>IFERROR(__xludf.DUMMYFUNCTION("""COMPUTED_VALUE"""),26.0)</f>
        <v>26</v>
      </c>
      <c r="J3126" s="165">
        <f>IFERROR(__xludf.DUMMYFUNCTION("""COMPUTED_VALUE"""),-2.05924391275251)</f>
        <v>-2.059243913</v>
      </c>
      <c r="K3126" s="165">
        <f>IFERROR(__xludf.DUMMYFUNCTION("""COMPUTED_VALUE"""),-2.17334061351751)</f>
        <v>-2.173340614</v>
      </c>
      <c r="L3126" s="165">
        <f>IFERROR(__xludf.DUMMYFUNCTION("""COMPUTED_VALUE"""),0.114096700764999)</f>
        <v>0.1140967008</v>
      </c>
      <c r="M3126" s="166">
        <f t="shared" si="2"/>
        <v>0.2303762864</v>
      </c>
      <c r="N3126" s="167">
        <f t="shared" si="3"/>
        <v>23.0125</v>
      </c>
      <c r="O3126" s="163">
        <f t="shared" ref="O3126:Q3126" si="3130">rank(I3126,I:I)</f>
        <v>1665</v>
      </c>
      <c r="P3126" s="163">
        <f t="shared" si="3130"/>
        <v>3524</v>
      </c>
      <c r="Q3126" s="163">
        <f t="shared" si="3130"/>
        <v>3789</v>
      </c>
      <c r="R3126" s="163">
        <f>IFERROR(__xludf.DUMMYFUNCTION("RANK(M3126,filter(M:M,C:C=C3126))"),326.0)</f>
        <v>326</v>
      </c>
      <c r="S3126" s="161" t="b">
        <f t="shared" si="5"/>
        <v>0</v>
      </c>
      <c r="T3126" s="161" t="str">
        <f t="array" ref="T3126">index('Query Tool'!B:B,match(H3126,'Query Tool'!C:C,0))</f>
        <v>#N/A</v>
      </c>
      <c r="U3126" s="161" t="b">
        <f t="array" ref="U3126">index('Query Tool'!B:B,match(C3126,'Query Tool'!C:C,0))</f>
        <v>0</v>
      </c>
      <c r="V3126" s="161" t="b">
        <f>F3126&gt;='Query Tool'!C$32</f>
        <v>1</v>
      </c>
      <c r="W3126" s="161" t="b">
        <f t="array" ref="W3126">index(Dropdowns!B:B,match(I3126,Dropdowns!A:A,0))</f>
        <v>1</v>
      </c>
      <c r="X3126" s="161" t="b">
        <f t="array" ref="X3126">index('Query Tool'!B:B,match(D3126,'Query Tool'!C:C,0))</f>
        <v>1</v>
      </c>
      <c r="Y3126" s="161" t="str">
        <f t="shared" si="6"/>
        <v>harklma01,2019-20</v>
      </c>
      <c r="Z3126" s="168" t="str">
        <f t="array" ref="Z3126">iferror(index(I:I,match($A3126&amp;","&amp;index('Year Conversion'!$A:$A,match($C3126,'Year Conversion'!$B:$B,0)),$Y:$Y,0))-I3126,"")</f>
        <v/>
      </c>
      <c r="AA3126" s="168" t="str">
        <f t="array" ref="AA3126">iferror(index(J:J,match($A3126&amp;","&amp;index('Year Conversion'!$A:$A,match($C3126,'Year Conversion'!$B:$B,0)),$Y:$Y,0))-J3126,"")</f>
        <v/>
      </c>
      <c r="AB3126" s="168" t="str">
        <f t="array" ref="AB3126">iferror(index(K:K,match($A3126&amp;","&amp;index('Year Conversion'!$A:$A,match($C3126,'Year Conversion'!$B:$B,0)),$Y:$Y,0))-K3126,"")</f>
        <v/>
      </c>
      <c r="AC3126" s="168" t="str">
        <f t="shared" si="7"/>
        <v>TOT,2019-20</v>
      </c>
    </row>
    <row r="3127">
      <c r="A3127" s="161" t="str">
        <f>IFERROR(__xludf.DUMMYFUNCTION("""COMPUTED_VALUE"""),"zellety01")</f>
        <v>zellety01</v>
      </c>
      <c r="B3127" s="161" t="str">
        <f>IFERROR(__xludf.DUMMYFUNCTION("""COMPUTED_VALUE"""),"Tyler Zeller")</f>
        <v>Tyler Zeller</v>
      </c>
      <c r="C3127" s="162" t="str">
        <f>IFERROR(__xludf.DUMMYFUNCTION("""COMPUTED_VALUE"""),"2019-20")</f>
        <v>2019-20</v>
      </c>
      <c r="D3127" s="163" t="str">
        <f>IFERROR(__xludf.DUMMYFUNCTION("""COMPUTED_VALUE"""),"SAS")</f>
        <v>SAS</v>
      </c>
      <c r="E3127" s="164" t="str">
        <f>IFERROR(__xludf.DUMMYFUNCTION("""COMPUTED_VALUE"""),"Roll + Cut Big")</f>
        <v>Roll + Cut Big</v>
      </c>
      <c r="F3127" s="164">
        <f>IFERROR(__xludf.DUMMYFUNCTION("""COMPUTED_VALUE"""),3.875)</f>
        <v>3.875</v>
      </c>
      <c r="G3127" s="163">
        <f>IFERROR(__xludf.DUMMYFUNCTION("""COMPUTED_VALUE"""),2.0)</f>
        <v>2</v>
      </c>
      <c r="H3127" s="163" t="str">
        <f>IFERROR(__xludf.DUMMYFUNCTION("""COMPUTED_VALUE"""),"C")</f>
        <v>C</v>
      </c>
      <c r="I3127" s="163">
        <f>IFERROR(__xludf.DUMMYFUNCTION("""COMPUTED_VALUE"""),30.0)</f>
        <v>30</v>
      </c>
      <c r="J3127" s="165">
        <f>IFERROR(__xludf.DUMMYFUNCTION("""COMPUTED_VALUE"""),-0.300126437093095)</f>
        <v>-0.3001264371</v>
      </c>
      <c r="K3127" s="165">
        <f>IFERROR(__xludf.DUMMYFUNCTION("""COMPUTED_VALUE"""),-0.158194791474917)</f>
        <v>-0.1581947915</v>
      </c>
      <c r="L3127" s="165">
        <f>IFERROR(__xludf.DUMMYFUNCTION("""COMPUTED_VALUE"""),-0.141931645618178)</f>
        <v>-0.1419316456</v>
      </c>
      <c r="M3127" s="166">
        <f t="shared" si="2"/>
        <v>0.005189980456</v>
      </c>
      <c r="N3127" s="167">
        <f t="shared" si="3"/>
        <v>1.9375</v>
      </c>
      <c r="O3127" s="163">
        <f t="shared" ref="O3127:Q3127" si="3131">rank(I3127,I:I)</f>
        <v>655</v>
      </c>
      <c r="P3127" s="163">
        <f t="shared" si="3131"/>
        <v>1611</v>
      </c>
      <c r="Q3127" s="163">
        <f t="shared" si="3131"/>
        <v>1493</v>
      </c>
      <c r="R3127" s="163">
        <f>IFERROR(__xludf.DUMMYFUNCTION("RANK(M3127,filter(M:M,C:C=C3127))"),479.0)</f>
        <v>479</v>
      </c>
      <c r="S3127" s="161" t="b">
        <f t="shared" si="5"/>
        <v>0</v>
      </c>
      <c r="T3127" s="161" t="b">
        <f t="array" ref="T3127">index('Query Tool'!B:B,match(H3127,'Query Tool'!C:C,0))</f>
        <v>1</v>
      </c>
      <c r="U3127" s="161" t="b">
        <f t="array" ref="U3127">index('Query Tool'!B:B,match(C3127,'Query Tool'!C:C,0))</f>
        <v>0</v>
      </c>
      <c r="V3127" s="161" t="b">
        <f>F3127&gt;='Query Tool'!C$32</f>
        <v>0</v>
      </c>
      <c r="W3127" s="161" t="b">
        <f t="array" ref="W3127">index(Dropdowns!B:B,match(I3127,Dropdowns!A:A,0))</f>
        <v>1</v>
      </c>
      <c r="X3127" s="161" t="b">
        <f t="array" ref="X3127">index('Query Tool'!B:B,match(D3127,'Query Tool'!C:C,0))</f>
        <v>1</v>
      </c>
      <c r="Y3127" s="161" t="str">
        <f t="shared" si="6"/>
        <v>zellety01,2019-20</v>
      </c>
      <c r="Z3127" s="168" t="str">
        <f t="array" ref="Z3127">iferror(index(I:I,match($A3127&amp;","&amp;index('Year Conversion'!$A:$A,match($C3127,'Year Conversion'!$B:$B,0)),$Y:$Y,0))-I3127,"")</f>
        <v/>
      </c>
      <c r="AA3127" s="168" t="str">
        <f t="array" ref="AA3127">iferror(index(J:J,match($A3127&amp;","&amp;index('Year Conversion'!$A:$A,match($C3127,'Year Conversion'!$B:$B,0)),$Y:$Y,0))-J3127,"")</f>
        <v/>
      </c>
      <c r="AB3127" s="168" t="str">
        <f t="array" ref="AB3127">iferror(index(K:K,match($A3127&amp;","&amp;index('Year Conversion'!$A:$A,match($C3127,'Year Conversion'!$B:$B,0)),$Y:$Y,0))-K3127,"")</f>
        <v/>
      </c>
      <c r="AC3127" s="168" t="str">
        <f t="shared" si="7"/>
        <v>SAS,2019-20</v>
      </c>
    </row>
    <row r="3128">
      <c r="A3128" s="161" t="str">
        <f>IFERROR(__xludf.DUMMYFUNCTION("""COMPUTED_VALUE"""),"fournev01")</f>
        <v>fournev01</v>
      </c>
      <c r="B3128" s="161" t="str">
        <f>IFERROR(__xludf.DUMMYFUNCTION("""COMPUTED_VALUE"""),"Evan Fournier")</f>
        <v>Evan Fournier</v>
      </c>
      <c r="C3128" s="162" t="str">
        <f>IFERROR(__xludf.DUMMYFUNCTION("""COMPUTED_VALUE"""),"2019-20")</f>
        <v>2019-20</v>
      </c>
      <c r="D3128" s="163" t="str">
        <f>IFERROR(__xludf.DUMMYFUNCTION("""COMPUTED_VALUE"""),"ORL")</f>
        <v>ORL</v>
      </c>
      <c r="E3128" s="164" t="str">
        <f>IFERROR(__xludf.DUMMYFUNCTION("""COMPUTED_VALUE"""),"Secondary Ball Handler")</f>
        <v>Secondary Ball Handler</v>
      </c>
      <c r="F3128" s="164">
        <f>IFERROR(__xludf.DUMMYFUNCTION("""COMPUTED_VALUE"""),2075.64)</f>
        <v>2075.64</v>
      </c>
      <c r="G3128" s="163">
        <f>IFERROR(__xludf.DUMMYFUNCTION("""COMPUTED_VALUE"""),66.0)</f>
        <v>66</v>
      </c>
      <c r="H3128" s="163" t="str">
        <f>IFERROR(__xludf.DUMMYFUNCTION("""COMPUTED_VALUE"""),"SF")</f>
        <v>SF</v>
      </c>
      <c r="I3128" s="163">
        <f>IFERROR(__xludf.DUMMYFUNCTION("""COMPUTED_VALUE"""),27.0)</f>
        <v>27</v>
      </c>
      <c r="J3128" s="165">
        <f>IFERROR(__xludf.DUMMYFUNCTION("""COMPUTED_VALUE"""),0.80014551613422)</f>
        <v>0.8001455161</v>
      </c>
      <c r="K3128" s="165">
        <f>IFERROR(__xludf.DUMMYFUNCTION("""COMPUTED_VALUE"""),0.708261337276748)</f>
        <v>0.7082613373</v>
      </c>
      <c r="L3128" s="165">
        <f>IFERROR(__xludf.DUMMYFUNCTION("""COMPUTED_VALUE"""),0.0918841788574726)</f>
        <v>0.09188417886</v>
      </c>
      <c r="M3128" s="166">
        <f t="shared" si="2"/>
        <v>4.318654107</v>
      </c>
      <c r="N3128" s="167">
        <f t="shared" si="3"/>
        <v>31.44909091</v>
      </c>
      <c r="O3128" s="163">
        <f t="shared" ref="O3128:Q3128" si="3132">rank(I3128,I:I)</f>
        <v>1366</v>
      </c>
      <c r="P3128" s="163">
        <f t="shared" si="3132"/>
        <v>744</v>
      </c>
      <c r="Q3128" s="163">
        <f t="shared" si="3132"/>
        <v>645</v>
      </c>
      <c r="R3128" s="163">
        <f>IFERROR(__xludf.DUMMYFUNCTION("RANK(M3128,filter(M:M,C:C=C3128))"),56.0)</f>
        <v>56</v>
      </c>
      <c r="S3128" s="161" t="b">
        <f t="shared" si="5"/>
        <v>0</v>
      </c>
      <c r="T3128" s="161" t="b">
        <f t="array" ref="T3128">index('Query Tool'!B:B,match(H3128,'Query Tool'!C:C,0))</f>
        <v>1</v>
      </c>
      <c r="U3128" s="161" t="b">
        <f t="array" ref="U3128">index('Query Tool'!B:B,match(C3128,'Query Tool'!C:C,0))</f>
        <v>0</v>
      </c>
      <c r="V3128" s="161" t="b">
        <f>F3128&gt;='Query Tool'!C$32</f>
        <v>1</v>
      </c>
      <c r="W3128" s="161" t="b">
        <f t="array" ref="W3128">index(Dropdowns!B:B,match(I3128,Dropdowns!A:A,0))</f>
        <v>1</v>
      </c>
      <c r="X3128" s="161" t="b">
        <f t="array" ref="X3128">index('Query Tool'!B:B,match(D3128,'Query Tool'!C:C,0))</f>
        <v>1</v>
      </c>
      <c r="Y3128" s="161" t="str">
        <f t="shared" si="6"/>
        <v>fournev01,2019-20</v>
      </c>
      <c r="Z3128" s="168" t="str">
        <f t="array" ref="Z3128">iferror(index(I:I,match($A3128&amp;","&amp;index('Year Conversion'!$A:$A,match($C3128,'Year Conversion'!$B:$B,0)),$Y:$Y,0))-I3128,"")</f>
        <v/>
      </c>
      <c r="AA3128" s="168" t="str">
        <f t="array" ref="AA3128">iferror(index(J:J,match($A3128&amp;","&amp;index('Year Conversion'!$A:$A,match($C3128,'Year Conversion'!$B:$B,0)),$Y:$Y,0))-J3128,"")</f>
        <v/>
      </c>
      <c r="AB3128" s="168" t="str">
        <f t="array" ref="AB3128">iferror(index(K:K,match($A3128&amp;","&amp;index('Year Conversion'!$A:$A,match($C3128,'Year Conversion'!$B:$B,0)),$Y:$Y,0))-K3128,"")</f>
        <v/>
      </c>
      <c r="AC3128" s="168" t="str">
        <f t="shared" si="7"/>
        <v>ORL,2019-20</v>
      </c>
    </row>
    <row r="3129">
      <c r="A3129" s="161" t="str">
        <f>IFERROR(__xludf.DUMMYFUNCTION("""COMPUTED_VALUE"""),"satorto01")</f>
        <v>satorto01</v>
      </c>
      <c r="B3129" s="161" t="str">
        <f>IFERROR(__xludf.DUMMYFUNCTION("""COMPUTED_VALUE"""),"Tomas Satoransky")</f>
        <v>Tomas Satoransky</v>
      </c>
      <c r="C3129" s="162" t="str">
        <f>IFERROR(__xludf.DUMMYFUNCTION("""COMPUTED_VALUE"""),"2019-20")</f>
        <v>2019-20</v>
      </c>
      <c r="D3129" s="163" t="str">
        <f>IFERROR(__xludf.DUMMYFUNCTION("""COMPUTED_VALUE"""),"CHI")</f>
        <v>CHI</v>
      </c>
      <c r="E3129" s="164" t="str">
        <f>IFERROR(__xludf.DUMMYFUNCTION("""COMPUTED_VALUE"""),"Primary Ball Handler")</f>
        <v>Primary Ball Handler</v>
      </c>
      <c r="F3129" s="164">
        <f>IFERROR(__xludf.DUMMYFUNCTION("""COMPUTED_VALUE"""),1877.93833333333)</f>
        <v>1877.938333</v>
      </c>
      <c r="G3129" s="163">
        <f>IFERROR(__xludf.DUMMYFUNCTION("""COMPUTED_VALUE"""),65.0)</f>
        <v>65</v>
      </c>
      <c r="H3129" s="163" t="str">
        <f>IFERROR(__xludf.DUMMYFUNCTION("""COMPUTED_VALUE"""),"SG")</f>
        <v>SG</v>
      </c>
      <c r="I3129" s="163">
        <f>IFERROR(__xludf.DUMMYFUNCTION("""COMPUTED_VALUE"""),28.0)</f>
        <v>28</v>
      </c>
      <c r="J3129" s="165">
        <f>IFERROR(__xludf.DUMMYFUNCTION("""COMPUTED_VALUE"""),-0.928528410423787)</f>
        <v>-0.9285284104</v>
      </c>
      <c r="K3129" s="165">
        <f>IFERROR(__xludf.DUMMYFUNCTION("""COMPUTED_VALUE"""),-0.439987634666813)</f>
        <v>-0.4399876347</v>
      </c>
      <c r="L3129" s="165">
        <f>IFERROR(__xludf.DUMMYFUNCTION("""COMPUTED_VALUE"""),-0.488540775756974)</f>
        <v>-0.4885407758</v>
      </c>
      <c r="M3129" s="166">
        <f t="shared" si="2"/>
        <v>1.720963275</v>
      </c>
      <c r="N3129" s="167">
        <f t="shared" si="3"/>
        <v>28.89135897</v>
      </c>
      <c r="O3129" s="163">
        <f t="shared" ref="O3129:Q3129" si="3133">rank(I3129,I:I)</f>
        <v>1090</v>
      </c>
      <c r="P3129" s="163">
        <f t="shared" si="3133"/>
        <v>2429</v>
      </c>
      <c r="Q3129" s="163">
        <f t="shared" si="3133"/>
        <v>2015</v>
      </c>
      <c r="R3129" s="163">
        <f>IFERROR(__xludf.DUMMYFUNCTION("RANK(M3129,filter(M:M,C:C=C3129))"),171.0)</f>
        <v>171</v>
      </c>
      <c r="S3129" s="161" t="b">
        <f t="shared" si="5"/>
        <v>0</v>
      </c>
      <c r="T3129" s="161" t="b">
        <f t="array" ref="T3129">index('Query Tool'!B:B,match(H3129,'Query Tool'!C:C,0))</f>
        <v>1</v>
      </c>
      <c r="U3129" s="161" t="b">
        <f t="array" ref="U3129">index('Query Tool'!B:B,match(C3129,'Query Tool'!C:C,0))</f>
        <v>0</v>
      </c>
      <c r="V3129" s="161" t="b">
        <f>F3129&gt;='Query Tool'!C$32</f>
        <v>1</v>
      </c>
      <c r="W3129" s="161" t="b">
        <f t="array" ref="W3129">index(Dropdowns!B:B,match(I3129,Dropdowns!A:A,0))</f>
        <v>1</v>
      </c>
      <c r="X3129" s="161" t="b">
        <f t="array" ref="X3129">index('Query Tool'!B:B,match(D3129,'Query Tool'!C:C,0))</f>
        <v>1</v>
      </c>
      <c r="Y3129" s="161" t="str">
        <f t="shared" si="6"/>
        <v>satorto01,2019-20</v>
      </c>
      <c r="Z3129" s="168" t="str">
        <f t="array" ref="Z3129">iferror(index(I:I,match($A3129&amp;","&amp;index('Year Conversion'!$A:$A,match($C3129,'Year Conversion'!$B:$B,0)),$Y:$Y,0))-I3129,"")</f>
        <v/>
      </c>
      <c r="AA3129" s="168" t="str">
        <f t="array" ref="AA3129">iferror(index(J:J,match($A3129&amp;","&amp;index('Year Conversion'!$A:$A,match($C3129,'Year Conversion'!$B:$B,0)),$Y:$Y,0))-J3129,"")</f>
        <v/>
      </c>
      <c r="AB3129" s="168" t="str">
        <f t="array" ref="AB3129">iferror(index(K:K,match($A3129&amp;","&amp;index('Year Conversion'!$A:$A,match($C3129,'Year Conversion'!$B:$B,0)),$Y:$Y,0))-K3129,"")</f>
        <v/>
      </c>
      <c r="AC3129" s="168" t="str">
        <f t="shared" si="7"/>
        <v>CHI,2019-20</v>
      </c>
    </row>
    <row r="3130">
      <c r="A3130" s="161" t="str">
        <f>IFERROR(__xludf.DUMMYFUNCTION("""COMPUTED_VALUE"""),"crowdja01")</f>
        <v>crowdja01</v>
      </c>
      <c r="B3130" s="161" t="str">
        <f>IFERROR(__xludf.DUMMYFUNCTION("""COMPUTED_VALUE"""),"Jae Crowder")</f>
        <v>Jae Crowder</v>
      </c>
      <c r="C3130" s="162" t="str">
        <f>IFERROR(__xludf.DUMMYFUNCTION("""COMPUTED_VALUE"""),"2019-20")</f>
        <v>2019-20</v>
      </c>
      <c r="D3130" s="163" t="str">
        <f>IFERROR(__xludf.DUMMYFUNCTION("""COMPUTED_VALUE"""),"TOT")</f>
        <v>TOT</v>
      </c>
      <c r="E3130" s="164" t="str">
        <f>IFERROR(__xludf.DUMMYFUNCTION("""COMPUTED_VALUE"""),"Movement Shooter")</f>
        <v>Movement Shooter</v>
      </c>
      <c r="F3130" s="164">
        <f>IFERROR(__xludf.DUMMYFUNCTION("""COMPUTED_VALUE"""),1874.73166666667)</f>
        <v>1874.731667</v>
      </c>
      <c r="G3130" s="163">
        <f>IFERROR(__xludf.DUMMYFUNCTION("""COMPUTED_VALUE"""),65.0)</f>
        <v>65</v>
      </c>
      <c r="H3130" s="163" t="str">
        <f>IFERROR(__xludf.DUMMYFUNCTION("""COMPUTED_VALUE"""),"SF-PF")</f>
        <v>SF-PF</v>
      </c>
      <c r="I3130" s="163">
        <f>IFERROR(__xludf.DUMMYFUNCTION("""COMPUTED_VALUE"""),29.0)</f>
        <v>29</v>
      </c>
      <c r="J3130" s="165">
        <f>IFERROR(__xludf.DUMMYFUNCTION("""COMPUTED_VALUE"""),-0.256369320076604)</f>
        <v>-0.2563693201</v>
      </c>
      <c r="K3130" s="165">
        <f>IFERROR(__xludf.DUMMYFUNCTION("""COMPUTED_VALUE"""),-0.327945949910783)</f>
        <v>-0.3279459499</v>
      </c>
      <c r="L3130" s="165">
        <f>IFERROR(__xludf.DUMMYFUNCTION("""COMPUTED_VALUE"""),0.0715766298341789)</f>
        <v>0.07157662983</v>
      </c>
      <c r="M3130" s="166">
        <f t="shared" si="2"/>
        <v>2.56620931</v>
      </c>
      <c r="N3130" s="167">
        <f t="shared" si="3"/>
        <v>28.84202564</v>
      </c>
      <c r="O3130" s="163">
        <f t="shared" ref="O3130:Q3130" si="3134">rank(I3130,I:I)</f>
        <v>855</v>
      </c>
      <c r="P3130" s="163">
        <f t="shared" si="3134"/>
        <v>1567</v>
      </c>
      <c r="Q3130" s="163">
        <f t="shared" si="3134"/>
        <v>1808</v>
      </c>
      <c r="R3130" s="163">
        <f>IFERROR(__xludf.DUMMYFUNCTION("RANK(M3130,filter(M:M,C:C=C3130))"),119.0)</f>
        <v>119</v>
      </c>
      <c r="S3130" s="161" t="b">
        <f t="shared" si="5"/>
        <v>0</v>
      </c>
      <c r="T3130" s="161" t="str">
        <f t="array" ref="T3130">index('Query Tool'!B:B,match(H3130,'Query Tool'!C:C,0))</f>
        <v>#N/A</v>
      </c>
      <c r="U3130" s="161" t="b">
        <f t="array" ref="U3130">index('Query Tool'!B:B,match(C3130,'Query Tool'!C:C,0))</f>
        <v>0</v>
      </c>
      <c r="V3130" s="161" t="b">
        <f>F3130&gt;='Query Tool'!C$32</f>
        <v>1</v>
      </c>
      <c r="W3130" s="161" t="b">
        <f t="array" ref="W3130">index(Dropdowns!B:B,match(I3130,Dropdowns!A:A,0))</f>
        <v>1</v>
      </c>
      <c r="X3130" s="161" t="b">
        <f t="array" ref="X3130">index('Query Tool'!B:B,match(D3130,'Query Tool'!C:C,0))</f>
        <v>1</v>
      </c>
      <c r="Y3130" s="161" t="str">
        <f t="shared" si="6"/>
        <v>crowdja01,2019-20</v>
      </c>
      <c r="Z3130" s="168" t="str">
        <f t="array" ref="Z3130">iferror(index(I:I,match($A3130&amp;","&amp;index('Year Conversion'!$A:$A,match($C3130,'Year Conversion'!$B:$B,0)),$Y:$Y,0))-I3130,"")</f>
        <v/>
      </c>
      <c r="AA3130" s="168" t="str">
        <f t="array" ref="AA3130">iferror(index(J:J,match($A3130&amp;","&amp;index('Year Conversion'!$A:$A,match($C3130,'Year Conversion'!$B:$B,0)),$Y:$Y,0))-J3130,"")</f>
        <v/>
      </c>
      <c r="AB3130" s="168" t="str">
        <f t="array" ref="AB3130">iferror(index(K:K,match($A3130&amp;","&amp;index('Year Conversion'!$A:$A,match($C3130,'Year Conversion'!$B:$B,0)),$Y:$Y,0))-K3130,"")</f>
        <v/>
      </c>
      <c r="AC3130" s="168" t="str">
        <f t="shared" si="7"/>
        <v>TOT,2019-20</v>
      </c>
    </row>
    <row r="3131">
      <c r="A3131" s="161" t="str">
        <f>IFERROR(__xludf.DUMMYFUNCTION("""COMPUTED_VALUE"""),"greendr01")</f>
        <v>greendr01</v>
      </c>
      <c r="B3131" s="161" t="str">
        <f>IFERROR(__xludf.DUMMYFUNCTION("""COMPUTED_VALUE"""),"Draymond Green")</f>
        <v>Draymond Green</v>
      </c>
      <c r="C3131" s="162" t="str">
        <f>IFERROR(__xludf.DUMMYFUNCTION("""COMPUTED_VALUE"""),"2019-20")</f>
        <v>2019-20</v>
      </c>
      <c r="D3131" s="163" t="str">
        <f>IFERROR(__xludf.DUMMYFUNCTION("""COMPUTED_VALUE"""),"GSW")</f>
        <v>GSW</v>
      </c>
      <c r="E3131" s="164" t="str">
        <f>IFERROR(__xludf.DUMMYFUNCTION("""COMPUTED_VALUE"""),"Stationary Shooter")</f>
        <v>Stationary Shooter</v>
      </c>
      <c r="F3131" s="164">
        <f>IFERROR(__xludf.DUMMYFUNCTION("""COMPUTED_VALUE"""),1221.65666666667)</f>
        <v>1221.656667</v>
      </c>
      <c r="G3131" s="163">
        <f>IFERROR(__xludf.DUMMYFUNCTION("""COMPUTED_VALUE"""),43.0)</f>
        <v>43</v>
      </c>
      <c r="H3131" s="163" t="str">
        <f>IFERROR(__xludf.DUMMYFUNCTION("""COMPUTED_VALUE"""),"PF")</f>
        <v>PF</v>
      </c>
      <c r="I3131" s="163">
        <f>IFERROR(__xludf.DUMMYFUNCTION("""COMPUTED_VALUE"""),29.0)</f>
        <v>29</v>
      </c>
      <c r="J3131" s="165">
        <f>IFERROR(__xludf.DUMMYFUNCTION("""COMPUTED_VALUE"""),0.402322727742449)</f>
        <v>0.4023227277</v>
      </c>
      <c r="K3131" s="165">
        <f>IFERROR(__xludf.DUMMYFUNCTION("""COMPUTED_VALUE"""),-2.2067539872607)</f>
        <v>-2.206753987</v>
      </c>
      <c r="L3131" s="165">
        <f>IFERROR(__xludf.DUMMYFUNCTION("""COMPUTED_VALUE"""),2.60907671500315)</f>
        <v>2.609076715</v>
      </c>
      <c r="M3131" s="166">
        <f t="shared" si="2"/>
        <v>2.214677329</v>
      </c>
      <c r="N3131" s="167">
        <f t="shared" si="3"/>
        <v>28.41062016</v>
      </c>
      <c r="O3131" s="163">
        <f t="shared" ref="O3131:Q3131" si="3135">rank(I3131,I:I)</f>
        <v>855</v>
      </c>
      <c r="P3131" s="163">
        <f t="shared" si="3135"/>
        <v>945</v>
      </c>
      <c r="Q3131" s="163">
        <f t="shared" si="3135"/>
        <v>3803</v>
      </c>
      <c r="R3131" s="163">
        <f>IFERROR(__xludf.DUMMYFUNCTION("RANK(M3131,filter(M:M,C:C=C3131))"),143.0)</f>
        <v>143</v>
      </c>
      <c r="S3131" s="161" t="b">
        <f t="shared" si="5"/>
        <v>0</v>
      </c>
      <c r="T3131" s="161" t="b">
        <f t="array" ref="T3131">index('Query Tool'!B:B,match(H3131,'Query Tool'!C:C,0))</f>
        <v>1</v>
      </c>
      <c r="U3131" s="161" t="b">
        <f t="array" ref="U3131">index('Query Tool'!B:B,match(C3131,'Query Tool'!C:C,0))</f>
        <v>0</v>
      </c>
      <c r="V3131" s="161" t="b">
        <f>F3131&gt;='Query Tool'!C$32</f>
        <v>1</v>
      </c>
      <c r="W3131" s="161" t="b">
        <f t="array" ref="W3131">index(Dropdowns!B:B,match(I3131,Dropdowns!A:A,0))</f>
        <v>1</v>
      </c>
      <c r="X3131" s="161" t="b">
        <f t="array" ref="X3131">index('Query Tool'!B:B,match(D3131,'Query Tool'!C:C,0))</f>
        <v>1</v>
      </c>
      <c r="Y3131" s="161" t="str">
        <f t="shared" si="6"/>
        <v>greendr01,2019-20</v>
      </c>
      <c r="Z3131" s="168" t="str">
        <f t="array" ref="Z3131">iferror(index(I:I,match($A3131&amp;","&amp;index('Year Conversion'!$A:$A,match($C3131,'Year Conversion'!$B:$B,0)),$Y:$Y,0))-I3131,"")</f>
        <v/>
      </c>
      <c r="AA3131" s="168" t="str">
        <f t="array" ref="AA3131">iferror(index(J:J,match($A3131&amp;","&amp;index('Year Conversion'!$A:$A,match($C3131,'Year Conversion'!$B:$B,0)),$Y:$Y,0))-J3131,"")</f>
        <v/>
      </c>
      <c r="AB3131" s="168" t="str">
        <f t="array" ref="AB3131">iferror(index(K:K,match($A3131&amp;","&amp;index('Year Conversion'!$A:$A,match($C3131,'Year Conversion'!$B:$B,0)),$Y:$Y,0))-K3131,"")</f>
        <v/>
      </c>
      <c r="AC3131" s="168" t="str">
        <f t="shared" si="7"/>
        <v>GSW,2019-20</v>
      </c>
    </row>
    <row r="3132">
      <c r="A3132" s="161" t="str">
        <f>IFERROR(__xludf.DUMMYFUNCTION("""COMPUTED_VALUE"""),"middlkh01")</f>
        <v>middlkh01</v>
      </c>
      <c r="B3132" s="161" t="str">
        <f>IFERROR(__xludf.DUMMYFUNCTION("""COMPUTED_VALUE"""),"Khris Middleton")</f>
        <v>Khris Middleton</v>
      </c>
      <c r="C3132" s="162" t="str">
        <f>IFERROR(__xludf.DUMMYFUNCTION("""COMPUTED_VALUE"""),"2019-20")</f>
        <v>2019-20</v>
      </c>
      <c r="D3132" s="163" t="str">
        <f>IFERROR(__xludf.DUMMYFUNCTION("""COMPUTED_VALUE"""),"MIL")</f>
        <v>MIL</v>
      </c>
      <c r="E3132" s="164" t="str">
        <f>IFERROR(__xludf.DUMMYFUNCTION("""COMPUTED_VALUE"""),"Shot Creator")</f>
        <v>Shot Creator</v>
      </c>
      <c r="F3132" s="164">
        <f>IFERROR(__xludf.DUMMYFUNCTION("""COMPUTED_VALUE"""),1852.67166666667)</f>
        <v>1852.671667</v>
      </c>
      <c r="G3132" s="163">
        <f>IFERROR(__xludf.DUMMYFUNCTION("""COMPUTED_VALUE"""),62.0)</f>
        <v>62</v>
      </c>
      <c r="H3132" s="163" t="str">
        <f>IFERROR(__xludf.DUMMYFUNCTION("""COMPUTED_VALUE"""),"SF")</f>
        <v>SF</v>
      </c>
      <c r="I3132" s="163">
        <f>IFERROR(__xludf.DUMMYFUNCTION("""COMPUTED_VALUE"""),28.0)</f>
        <v>28</v>
      </c>
      <c r="J3132" s="165">
        <f>IFERROR(__xludf.DUMMYFUNCTION("""COMPUTED_VALUE"""),4.68409763421435)</f>
        <v>4.684097634</v>
      </c>
      <c r="K3132" s="165">
        <f>IFERROR(__xludf.DUMMYFUNCTION("""COMPUTED_VALUE"""),2.84752853921559)</f>
        <v>2.847528539</v>
      </c>
      <c r="L3132" s="165">
        <f>IFERROR(__xludf.DUMMYFUNCTION("""COMPUTED_VALUE"""),1.83656909499876)</f>
        <v>1.836569095</v>
      </c>
      <c r="M3132" s="166">
        <f t="shared" si="2"/>
        <v>8.534832915</v>
      </c>
      <c r="N3132" s="167">
        <f t="shared" si="3"/>
        <v>29.88180108</v>
      </c>
      <c r="O3132" s="163">
        <f t="shared" ref="O3132:Q3132" si="3136">rank(I3132,I:I)</f>
        <v>1090</v>
      </c>
      <c r="P3132" s="163">
        <f t="shared" si="3136"/>
        <v>61</v>
      </c>
      <c r="Q3132" s="163">
        <f t="shared" si="3136"/>
        <v>133</v>
      </c>
      <c r="R3132" s="163">
        <f>IFERROR(__xludf.DUMMYFUNCTION("RANK(M3132,filter(M:M,C:C=C3132))"),13.0)</f>
        <v>13</v>
      </c>
      <c r="S3132" s="161" t="b">
        <f t="shared" si="5"/>
        <v>0</v>
      </c>
      <c r="T3132" s="161" t="b">
        <f t="array" ref="T3132">index('Query Tool'!B:B,match(H3132,'Query Tool'!C:C,0))</f>
        <v>1</v>
      </c>
      <c r="U3132" s="161" t="b">
        <f t="array" ref="U3132">index('Query Tool'!B:B,match(C3132,'Query Tool'!C:C,0))</f>
        <v>0</v>
      </c>
      <c r="V3132" s="161" t="b">
        <f>F3132&gt;='Query Tool'!C$32</f>
        <v>1</v>
      </c>
      <c r="W3132" s="161" t="b">
        <f t="array" ref="W3132">index(Dropdowns!B:B,match(I3132,Dropdowns!A:A,0))</f>
        <v>1</v>
      </c>
      <c r="X3132" s="161" t="b">
        <f t="array" ref="X3132">index('Query Tool'!B:B,match(D3132,'Query Tool'!C:C,0))</f>
        <v>1</v>
      </c>
      <c r="Y3132" s="161" t="str">
        <f t="shared" si="6"/>
        <v>middlkh01,2019-20</v>
      </c>
      <c r="Z3132" s="168" t="str">
        <f t="array" ref="Z3132">iferror(index(I:I,match($A3132&amp;","&amp;index('Year Conversion'!$A:$A,match($C3132,'Year Conversion'!$B:$B,0)),$Y:$Y,0))-I3132,"")</f>
        <v/>
      </c>
      <c r="AA3132" s="168" t="str">
        <f t="array" ref="AA3132">iferror(index(J:J,match($A3132&amp;","&amp;index('Year Conversion'!$A:$A,match($C3132,'Year Conversion'!$B:$B,0)),$Y:$Y,0))-J3132,"")</f>
        <v/>
      </c>
      <c r="AB3132" s="168" t="str">
        <f t="array" ref="AB3132">iferror(index(K:K,match($A3132&amp;","&amp;index('Year Conversion'!$A:$A,match($C3132,'Year Conversion'!$B:$B,0)),$Y:$Y,0))-K3132,"")</f>
        <v/>
      </c>
      <c r="AC3132" s="168" t="str">
        <f t="shared" si="7"/>
        <v>MIL,2019-20</v>
      </c>
    </row>
    <row r="3133">
      <c r="A3133" s="161" t="str">
        <f>IFERROR(__xludf.DUMMYFUNCTION("""COMPUTED_VALUE"""),"bartowi01")</f>
        <v>bartowi01</v>
      </c>
      <c r="B3133" s="161" t="str">
        <f>IFERROR(__xludf.DUMMYFUNCTION("""COMPUTED_VALUE"""),"Will Barton")</f>
        <v>Will Barton</v>
      </c>
      <c r="C3133" s="162" t="str">
        <f>IFERROR(__xludf.DUMMYFUNCTION("""COMPUTED_VALUE"""),"2019-20")</f>
        <v>2019-20</v>
      </c>
      <c r="D3133" s="163" t="str">
        <f>IFERROR(__xludf.DUMMYFUNCTION("""COMPUTED_VALUE"""),"DEN")</f>
        <v>DEN</v>
      </c>
      <c r="E3133" s="164" t="str">
        <f>IFERROR(__xludf.DUMMYFUNCTION("""COMPUTED_VALUE"""),"Secondary Ball Handler")</f>
        <v>Secondary Ball Handler</v>
      </c>
      <c r="F3133" s="164">
        <f>IFERROR(__xludf.DUMMYFUNCTION("""COMPUTED_VALUE"""),1915.83833333333)</f>
        <v>1915.838333</v>
      </c>
      <c r="G3133" s="163">
        <f>IFERROR(__xludf.DUMMYFUNCTION("""COMPUTED_VALUE"""),58.0)</f>
        <v>58</v>
      </c>
      <c r="H3133" s="163" t="str">
        <f>IFERROR(__xludf.DUMMYFUNCTION("""COMPUTED_VALUE"""),"SF")</f>
        <v>SF</v>
      </c>
      <c r="I3133" s="163">
        <f>IFERROR(__xludf.DUMMYFUNCTION("""COMPUTED_VALUE"""),29.0)</f>
        <v>29</v>
      </c>
      <c r="J3133" s="165">
        <f>IFERROR(__xludf.DUMMYFUNCTION("""COMPUTED_VALUE"""),0.519805015294952)</f>
        <v>0.5198050153</v>
      </c>
      <c r="K3133" s="165">
        <f>IFERROR(__xludf.DUMMYFUNCTION("""COMPUTED_VALUE"""),0.353568401101111)</f>
        <v>0.3535684011</v>
      </c>
      <c r="L3133" s="165">
        <f>IFERROR(__xludf.DUMMYFUNCTION("""COMPUTED_VALUE"""),0.166236614193842)</f>
        <v>0.1662366142</v>
      </c>
      <c r="M3133" s="166">
        <f t="shared" si="2"/>
        <v>3.624732469</v>
      </c>
      <c r="N3133" s="167">
        <f t="shared" si="3"/>
        <v>33.0316954</v>
      </c>
      <c r="O3133" s="163">
        <f t="shared" ref="O3133:Q3133" si="3137">rank(I3133,I:I)</f>
        <v>855</v>
      </c>
      <c r="P3133" s="163">
        <f t="shared" si="3137"/>
        <v>894</v>
      </c>
      <c r="Q3133" s="163">
        <f t="shared" si="3137"/>
        <v>865</v>
      </c>
      <c r="R3133" s="163">
        <f>IFERROR(__xludf.DUMMYFUNCTION("RANK(M3133,filter(M:M,C:C=C3133))"),81.0)</f>
        <v>81</v>
      </c>
      <c r="S3133" s="161" t="b">
        <f t="shared" si="5"/>
        <v>0</v>
      </c>
      <c r="T3133" s="161" t="b">
        <f t="array" ref="T3133">index('Query Tool'!B:B,match(H3133,'Query Tool'!C:C,0))</f>
        <v>1</v>
      </c>
      <c r="U3133" s="161" t="b">
        <f t="array" ref="U3133">index('Query Tool'!B:B,match(C3133,'Query Tool'!C:C,0))</f>
        <v>0</v>
      </c>
      <c r="V3133" s="161" t="b">
        <f>F3133&gt;='Query Tool'!C$32</f>
        <v>1</v>
      </c>
      <c r="W3133" s="161" t="b">
        <f t="array" ref="W3133">index(Dropdowns!B:B,match(I3133,Dropdowns!A:A,0))</f>
        <v>1</v>
      </c>
      <c r="X3133" s="161" t="b">
        <f t="array" ref="X3133">index('Query Tool'!B:B,match(D3133,'Query Tool'!C:C,0))</f>
        <v>1</v>
      </c>
      <c r="Y3133" s="161" t="str">
        <f t="shared" si="6"/>
        <v>bartowi01,2019-20</v>
      </c>
      <c r="Z3133" s="168" t="str">
        <f t="array" ref="Z3133">iferror(index(I:I,match($A3133&amp;","&amp;index('Year Conversion'!$A:$A,match($C3133,'Year Conversion'!$B:$B,0)),$Y:$Y,0))-I3133,"")</f>
        <v/>
      </c>
      <c r="AA3133" s="168" t="str">
        <f t="array" ref="AA3133">iferror(index(J:J,match($A3133&amp;","&amp;index('Year Conversion'!$A:$A,match($C3133,'Year Conversion'!$B:$B,0)),$Y:$Y,0))-J3133,"")</f>
        <v/>
      </c>
      <c r="AB3133" s="168" t="str">
        <f t="array" ref="AB3133">iferror(index(K:K,match($A3133&amp;","&amp;index('Year Conversion'!$A:$A,match($C3133,'Year Conversion'!$B:$B,0)),$Y:$Y,0))-K3133,"")</f>
        <v/>
      </c>
      <c r="AC3133" s="168" t="str">
        <f t="shared" si="7"/>
        <v>DEN,2019-20</v>
      </c>
    </row>
    <row r="3134">
      <c r="A3134" s="161" t="str">
        <f>IFERROR(__xludf.DUMMYFUNCTION("""COMPUTED_VALUE"""),"scottmi01")</f>
        <v>scottmi01</v>
      </c>
      <c r="B3134" s="161" t="str">
        <f>IFERROR(__xludf.DUMMYFUNCTION("""COMPUTED_VALUE"""),"Mike Scott")</f>
        <v>Mike Scott</v>
      </c>
      <c r="C3134" s="162" t="str">
        <f>IFERROR(__xludf.DUMMYFUNCTION("""COMPUTED_VALUE"""),"2019-20")</f>
        <v>2019-20</v>
      </c>
      <c r="D3134" s="163" t="str">
        <f>IFERROR(__xludf.DUMMYFUNCTION("""COMPUTED_VALUE"""),"PHI")</f>
        <v>PHI</v>
      </c>
      <c r="E3134" s="164" t="str">
        <f>IFERROR(__xludf.DUMMYFUNCTION("""COMPUTED_VALUE"""),"Athletic Finisher")</f>
        <v>Athletic Finisher</v>
      </c>
      <c r="F3134" s="164">
        <f>IFERROR(__xludf.DUMMYFUNCTION("""COMPUTED_VALUE"""),1207.01166666667)</f>
        <v>1207.011667</v>
      </c>
      <c r="G3134" s="163">
        <f>IFERROR(__xludf.DUMMYFUNCTION("""COMPUTED_VALUE"""),68.0)</f>
        <v>68</v>
      </c>
      <c r="H3134" s="163" t="str">
        <f>IFERROR(__xludf.DUMMYFUNCTION("""COMPUTED_VALUE"""),"PF")</f>
        <v>PF</v>
      </c>
      <c r="I3134" s="163">
        <f>IFERROR(__xludf.DUMMYFUNCTION("""COMPUTED_VALUE"""),31.0)</f>
        <v>31</v>
      </c>
      <c r="J3134" s="165">
        <f>IFERROR(__xludf.DUMMYFUNCTION("""COMPUTED_VALUE"""),-0.602942779115922)</f>
        <v>-0.6029427791</v>
      </c>
      <c r="K3134" s="165">
        <f>IFERROR(__xludf.DUMMYFUNCTION("""COMPUTED_VALUE"""),-0.0835445306550979)</f>
        <v>-0.08354453066</v>
      </c>
      <c r="L3134" s="165">
        <f>IFERROR(__xludf.DUMMYFUNCTION("""COMPUTED_VALUE"""),-0.519398248460824)</f>
        <v>-0.5193982485</v>
      </c>
      <c r="M3134" s="166">
        <f t="shared" si="2"/>
        <v>1.370409606</v>
      </c>
      <c r="N3134" s="167">
        <f t="shared" si="3"/>
        <v>17.75017157</v>
      </c>
      <c r="O3134" s="163">
        <f t="shared" ref="O3134:Q3134" si="3138">rank(I3134,I:I)</f>
        <v>490</v>
      </c>
      <c r="P3134" s="163">
        <f t="shared" si="3138"/>
        <v>2003</v>
      </c>
      <c r="Q3134" s="163">
        <f t="shared" si="3138"/>
        <v>1333</v>
      </c>
      <c r="R3134" s="163">
        <f>IFERROR(__xludf.DUMMYFUNCTION("RANK(M3134,filter(M:M,C:C=C3134))"),194.0)</f>
        <v>194</v>
      </c>
      <c r="S3134" s="161" t="b">
        <f t="shared" si="5"/>
        <v>0</v>
      </c>
      <c r="T3134" s="161" t="b">
        <f t="array" ref="T3134">index('Query Tool'!B:B,match(H3134,'Query Tool'!C:C,0))</f>
        <v>1</v>
      </c>
      <c r="U3134" s="161" t="b">
        <f t="array" ref="U3134">index('Query Tool'!B:B,match(C3134,'Query Tool'!C:C,0))</f>
        <v>0</v>
      </c>
      <c r="V3134" s="161" t="b">
        <f>F3134&gt;='Query Tool'!C$32</f>
        <v>1</v>
      </c>
      <c r="W3134" s="161" t="b">
        <f t="array" ref="W3134">index(Dropdowns!B:B,match(I3134,Dropdowns!A:A,0))</f>
        <v>1</v>
      </c>
      <c r="X3134" s="161" t="b">
        <f t="array" ref="X3134">index('Query Tool'!B:B,match(D3134,'Query Tool'!C:C,0))</f>
        <v>1</v>
      </c>
      <c r="Y3134" s="161" t="str">
        <f t="shared" si="6"/>
        <v>scottmi01,2019-20</v>
      </c>
      <c r="Z3134" s="168" t="str">
        <f t="array" ref="Z3134">iferror(index(I:I,match($A3134&amp;","&amp;index('Year Conversion'!$A:$A,match($C3134,'Year Conversion'!$B:$B,0)),$Y:$Y,0))-I3134,"")</f>
        <v/>
      </c>
      <c r="AA3134" s="168" t="str">
        <f t="array" ref="AA3134">iferror(index(J:J,match($A3134&amp;","&amp;index('Year Conversion'!$A:$A,match($C3134,'Year Conversion'!$B:$B,0)),$Y:$Y,0))-J3134,"")</f>
        <v/>
      </c>
      <c r="AB3134" s="168" t="str">
        <f t="array" ref="AB3134">iferror(index(K:K,match($A3134&amp;","&amp;index('Year Conversion'!$A:$A,match($C3134,'Year Conversion'!$B:$B,0)),$Y:$Y,0))-K3134,"")</f>
        <v/>
      </c>
      <c r="AC3134" s="168" t="str">
        <f t="shared" si="7"/>
        <v>PHI,2019-20</v>
      </c>
    </row>
    <row r="3135">
      <c r="A3135" s="161" t="str">
        <f>IFERROR(__xludf.DUMMYFUNCTION("""COMPUTED_VALUE"""),"oquinky01")</f>
        <v>oquinky01</v>
      </c>
      <c r="B3135" s="161" t="str">
        <f>IFERROR(__xludf.DUMMYFUNCTION("""COMPUTED_VALUE"""),"Kyle O'Quinn")</f>
        <v>Kyle O'Quinn</v>
      </c>
      <c r="C3135" s="162" t="str">
        <f>IFERROR(__xludf.DUMMYFUNCTION("""COMPUTED_VALUE"""),"2019-20")</f>
        <v>2019-20</v>
      </c>
      <c r="D3135" s="163" t="str">
        <f>IFERROR(__xludf.DUMMYFUNCTION("""COMPUTED_VALUE"""),"PHI")</f>
        <v>PHI</v>
      </c>
      <c r="E3135" s="164" t="str">
        <f>IFERROR(__xludf.DUMMYFUNCTION("""COMPUTED_VALUE"""),"Stretch Big")</f>
        <v>Stretch Big</v>
      </c>
      <c r="F3135" s="164">
        <f>IFERROR(__xludf.DUMMYFUNCTION("""COMPUTED_VALUE"""),312.633333333333)</f>
        <v>312.6333333</v>
      </c>
      <c r="G3135" s="163">
        <f>IFERROR(__xludf.DUMMYFUNCTION("""COMPUTED_VALUE"""),29.0)</f>
        <v>29</v>
      </c>
      <c r="H3135" s="163" t="str">
        <f>IFERROR(__xludf.DUMMYFUNCTION("""COMPUTED_VALUE"""),"C")</f>
        <v>C</v>
      </c>
      <c r="I3135" s="163">
        <f>IFERROR(__xludf.DUMMYFUNCTION("""COMPUTED_VALUE"""),29.0)</f>
        <v>29</v>
      </c>
      <c r="J3135" s="165">
        <f>IFERROR(__xludf.DUMMYFUNCTION("""COMPUTED_VALUE"""),1.1340831168427)</f>
        <v>1.134083117</v>
      </c>
      <c r="K3135" s="165">
        <f>IFERROR(__xludf.DUMMYFUNCTION("""COMPUTED_VALUE"""),0.192944151325223)</f>
        <v>0.1929441513</v>
      </c>
      <c r="L3135" s="165">
        <f>IFERROR(__xludf.DUMMYFUNCTION("""COMPUTED_VALUE"""),0.941138965517475)</f>
        <v>0.9411389655</v>
      </c>
      <c r="M3135" s="166">
        <f t="shared" si="2"/>
        <v>0.7205856916</v>
      </c>
      <c r="N3135" s="167">
        <f t="shared" si="3"/>
        <v>10.78045977</v>
      </c>
      <c r="O3135" s="163">
        <f t="shared" ref="O3135:Q3135" si="3139">rank(I3135,I:I)</f>
        <v>855</v>
      </c>
      <c r="P3135" s="163">
        <f t="shared" si="3139"/>
        <v>603</v>
      </c>
      <c r="Q3135" s="163">
        <f t="shared" si="3139"/>
        <v>987</v>
      </c>
      <c r="R3135" s="163">
        <f>IFERROR(__xludf.DUMMYFUNCTION("RANK(M3135,filter(M:M,C:C=C3135))"),234.0)</f>
        <v>234</v>
      </c>
      <c r="S3135" s="161" t="b">
        <f t="shared" si="5"/>
        <v>0</v>
      </c>
      <c r="T3135" s="161" t="b">
        <f t="array" ref="T3135">index('Query Tool'!B:B,match(H3135,'Query Tool'!C:C,0))</f>
        <v>1</v>
      </c>
      <c r="U3135" s="161" t="b">
        <f t="array" ref="U3135">index('Query Tool'!B:B,match(C3135,'Query Tool'!C:C,0))</f>
        <v>0</v>
      </c>
      <c r="V3135" s="161" t="b">
        <f>F3135&gt;='Query Tool'!C$32</f>
        <v>0</v>
      </c>
      <c r="W3135" s="161" t="b">
        <f t="array" ref="W3135">index(Dropdowns!B:B,match(I3135,Dropdowns!A:A,0))</f>
        <v>1</v>
      </c>
      <c r="X3135" s="161" t="b">
        <f t="array" ref="X3135">index('Query Tool'!B:B,match(D3135,'Query Tool'!C:C,0))</f>
        <v>1</v>
      </c>
      <c r="Y3135" s="161" t="str">
        <f t="shared" si="6"/>
        <v>oquinky01,2019-20</v>
      </c>
      <c r="Z3135" s="168" t="str">
        <f t="array" ref="Z3135">iferror(index(I:I,match($A3135&amp;","&amp;index('Year Conversion'!$A:$A,match($C3135,'Year Conversion'!$B:$B,0)),$Y:$Y,0))-I3135,"")</f>
        <v/>
      </c>
      <c r="AA3135" s="168" t="str">
        <f t="array" ref="AA3135">iferror(index(J:J,match($A3135&amp;","&amp;index('Year Conversion'!$A:$A,match($C3135,'Year Conversion'!$B:$B,0)),$Y:$Y,0))-J3135,"")</f>
        <v/>
      </c>
      <c r="AB3135" s="168" t="str">
        <f t="array" ref="AB3135">iferror(index(K:K,match($A3135&amp;","&amp;index('Year Conversion'!$A:$A,match($C3135,'Year Conversion'!$B:$B,0)),$Y:$Y,0))-K3135,"")</f>
        <v/>
      </c>
      <c r="AC3135" s="168" t="str">
        <f t="shared" si="7"/>
        <v>PHI,2019-20</v>
      </c>
    </row>
    <row r="3136">
      <c r="A3136" s="161" t="str">
        <f>IFERROR(__xludf.DUMMYFUNCTION("""COMPUTED_VALUE"""),"bazemke01")</f>
        <v>bazemke01</v>
      </c>
      <c r="B3136" s="161" t="str">
        <f>IFERROR(__xludf.DUMMYFUNCTION("""COMPUTED_VALUE"""),"Kent Bazemore")</f>
        <v>Kent Bazemore</v>
      </c>
      <c r="C3136" s="162" t="str">
        <f>IFERROR(__xludf.DUMMYFUNCTION("""COMPUTED_VALUE"""),"2019-20")</f>
        <v>2019-20</v>
      </c>
      <c r="D3136" s="163" t="str">
        <f>IFERROR(__xludf.DUMMYFUNCTION("""COMPUTED_VALUE"""),"TOT")</f>
        <v>TOT</v>
      </c>
      <c r="E3136" s="164" t="str">
        <f>IFERROR(__xludf.DUMMYFUNCTION("""COMPUTED_VALUE"""),"Stationary Shooter")</f>
        <v>Stationary Shooter</v>
      </c>
      <c r="F3136" s="164">
        <f>IFERROR(__xludf.DUMMYFUNCTION("""COMPUTED_VALUE"""),1687.71666666667)</f>
        <v>1687.716667</v>
      </c>
      <c r="G3136" s="163">
        <f>IFERROR(__xludf.DUMMYFUNCTION("""COMPUTED_VALUE"""),68.0)</f>
        <v>68</v>
      </c>
      <c r="H3136" s="163" t="str">
        <f>IFERROR(__xludf.DUMMYFUNCTION("""COMPUTED_VALUE"""),"SF")</f>
        <v>SF</v>
      </c>
      <c r="I3136" s="163">
        <f>IFERROR(__xludf.DUMMYFUNCTION("""COMPUTED_VALUE"""),30.0)</f>
        <v>30</v>
      </c>
      <c r="J3136" s="165">
        <f>IFERROR(__xludf.DUMMYFUNCTION("""COMPUTED_VALUE"""),-0.561056688722354)</f>
        <v>-0.5610566887</v>
      </c>
      <c r="K3136" s="165">
        <f>IFERROR(__xludf.DUMMYFUNCTION("""COMPUTED_VALUE"""),-1.92120610769233)</f>
        <v>-1.921206108</v>
      </c>
      <c r="L3136" s="165">
        <f>IFERROR(__xludf.DUMMYFUNCTION("""COMPUTED_VALUE"""),1.36014941896998)</f>
        <v>1.360149419</v>
      </c>
      <c r="M3136" s="166">
        <f t="shared" si="2"/>
        <v>1.963782025</v>
      </c>
      <c r="N3136" s="167">
        <f t="shared" si="3"/>
        <v>24.81936275</v>
      </c>
      <c r="O3136" s="163">
        <f t="shared" ref="O3136:Q3136" si="3140">rank(I3136,I:I)</f>
        <v>655</v>
      </c>
      <c r="P3136" s="163">
        <f t="shared" si="3140"/>
        <v>1936</v>
      </c>
      <c r="Q3136" s="163">
        <f t="shared" si="3140"/>
        <v>3664</v>
      </c>
      <c r="R3136" s="163">
        <f>IFERROR(__xludf.DUMMYFUNCTION("RANK(M3136,filter(M:M,C:C=C3136))"),157.0)</f>
        <v>157</v>
      </c>
      <c r="S3136" s="161" t="b">
        <f t="shared" si="5"/>
        <v>0</v>
      </c>
      <c r="T3136" s="161" t="b">
        <f t="array" ref="T3136">index('Query Tool'!B:B,match(H3136,'Query Tool'!C:C,0))</f>
        <v>1</v>
      </c>
      <c r="U3136" s="161" t="b">
        <f t="array" ref="U3136">index('Query Tool'!B:B,match(C3136,'Query Tool'!C:C,0))</f>
        <v>0</v>
      </c>
      <c r="V3136" s="161" t="b">
        <f>F3136&gt;='Query Tool'!C$32</f>
        <v>1</v>
      </c>
      <c r="W3136" s="161" t="b">
        <f t="array" ref="W3136">index(Dropdowns!B:B,match(I3136,Dropdowns!A:A,0))</f>
        <v>1</v>
      </c>
      <c r="X3136" s="161" t="b">
        <f t="array" ref="X3136">index('Query Tool'!B:B,match(D3136,'Query Tool'!C:C,0))</f>
        <v>1</v>
      </c>
      <c r="Y3136" s="161" t="str">
        <f t="shared" si="6"/>
        <v>bazemke01,2019-20</v>
      </c>
      <c r="Z3136" s="168" t="str">
        <f t="array" ref="Z3136">iferror(index(I:I,match($A3136&amp;","&amp;index('Year Conversion'!$A:$A,match($C3136,'Year Conversion'!$B:$B,0)),$Y:$Y,0))-I3136,"")</f>
        <v/>
      </c>
      <c r="AA3136" s="168" t="str">
        <f t="array" ref="AA3136">iferror(index(J:J,match($A3136&amp;","&amp;index('Year Conversion'!$A:$A,match($C3136,'Year Conversion'!$B:$B,0)),$Y:$Y,0))-J3136,"")</f>
        <v/>
      </c>
      <c r="AB3136" s="168" t="str">
        <f t="array" ref="AB3136">iferror(index(K:K,match($A3136&amp;","&amp;index('Year Conversion'!$A:$A,match($C3136,'Year Conversion'!$B:$B,0)),$Y:$Y,0))-K3136,"")</f>
        <v/>
      </c>
      <c r="AC3136" s="168" t="str">
        <f t="shared" si="7"/>
        <v>TOT,2019-20</v>
      </c>
    </row>
    <row r="3137">
      <c r="A3137" s="161" t="str">
        <f>IFERROR(__xludf.DUMMYFUNCTION("""COMPUTED_VALUE"""),"holidju01")</f>
        <v>holidju01</v>
      </c>
      <c r="B3137" s="161" t="str">
        <f>IFERROR(__xludf.DUMMYFUNCTION("""COMPUTED_VALUE"""),"Justin Holiday")</f>
        <v>Justin Holiday</v>
      </c>
      <c r="C3137" s="162" t="str">
        <f>IFERROR(__xludf.DUMMYFUNCTION("""COMPUTED_VALUE"""),"2019-20")</f>
        <v>2019-20</v>
      </c>
      <c r="D3137" s="163" t="str">
        <f>IFERROR(__xludf.DUMMYFUNCTION("""COMPUTED_VALUE"""),"IND")</f>
        <v>IND</v>
      </c>
      <c r="E3137" s="164" t="str">
        <f>IFERROR(__xludf.DUMMYFUNCTION("""COMPUTED_VALUE"""),"Movement Shooter")</f>
        <v>Movement Shooter</v>
      </c>
      <c r="F3137" s="164">
        <f>IFERROR(__xludf.DUMMYFUNCTION("""COMPUTED_VALUE"""),1825.70166666667)</f>
        <v>1825.701667</v>
      </c>
      <c r="G3137" s="163">
        <f>IFERROR(__xludf.DUMMYFUNCTION("""COMPUTED_VALUE"""),73.0)</f>
        <v>73</v>
      </c>
      <c r="H3137" s="163" t="str">
        <f>IFERROR(__xludf.DUMMYFUNCTION("""COMPUTED_VALUE"""),"SF")</f>
        <v>SF</v>
      </c>
      <c r="I3137" s="163">
        <f>IFERROR(__xludf.DUMMYFUNCTION("""COMPUTED_VALUE"""),30.0)</f>
        <v>30</v>
      </c>
      <c r="J3137" s="165">
        <f>IFERROR(__xludf.DUMMYFUNCTION("""COMPUTED_VALUE"""),-0.191314870970758)</f>
        <v>-0.191314871</v>
      </c>
      <c r="K3137" s="165">
        <f>IFERROR(__xludf.DUMMYFUNCTION("""COMPUTED_VALUE"""),-0.25364208680252)</f>
        <v>-0.2536420868</v>
      </c>
      <c r="L3137" s="165">
        <f>IFERROR(__xludf.DUMMYFUNCTION("""COMPUTED_VALUE"""),0.0623272158317613)</f>
        <v>0.06232721583</v>
      </c>
      <c r="M3137" s="166">
        <f t="shared" si="2"/>
        <v>2.579151742</v>
      </c>
      <c r="N3137" s="167">
        <f t="shared" si="3"/>
        <v>25.00961187</v>
      </c>
      <c r="O3137" s="163">
        <f t="shared" ref="O3137:Q3137" si="3141">rank(I3137,I:I)</f>
        <v>655</v>
      </c>
      <c r="P3137" s="163">
        <f t="shared" si="3141"/>
        <v>1500</v>
      </c>
      <c r="Q3137" s="163">
        <f t="shared" si="3141"/>
        <v>1675</v>
      </c>
      <c r="R3137" s="163">
        <f>IFERROR(__xludf.DUMMYFUNCTION("RANK(M3137,filter(M:M,C:C=C3137))"),117.0)</f>
        <v>117</v>
      </c>
      <c r="S3137" s="161" t="b">
        <f t="shared" si="5"/>
        <v>0</v>
      </c>
      <c r="T3137" s="161" t="b">
        <f t="array" ref="T3137">index('Query Tool'!B:B,match(H3137,'Query Tool'!C:C,0))</f>
        <v>1</v>
      </c>
      <c r="U3137" s="161" t="b">
        <f t="array" ref="U3137">index('Query Tool'!B:B,match(C3137,'Query Tool'!C:C,0))</f>
        <v>0</v>
      </c>
      <c r="V3137" s="161" t="b">
        <f>F3137&gt;='Query Tool'!C$32</f>
        <v>1</v>
      </c>
      <c r="W3137" s="161" t="b">
        <f t="array" ref="W3137">index(Dropdowns!B:B,match(I3137,Dropdowns!A:A,0))</f>
        <v>1</v>
      </c>
      <c r="X3137" s="161" t="b">
        <f t="array" ref="X3137">index('Query Tool'!B:B,match(D3137,'Query Tool'!C:C,0))</f>
        <v>1</v>
      </c>
      <c r="Y3137" s="161" t="str">
        <f t="shared" si="6"/>
        <v>holidju01,2019-20</v>
      </c>
      <c r="Z3137" s="168" t="str">
        <f t="array" ref="Z3137">iferror(index(I:I,match($A3137&amp;","&amp;index('Year Conversion'!$A:$A,match($C3137,'Year Conversion'!$B:$B,0)),$Y:$Y,0))-I3137,"")</f>
        <v/>
      </c>
      <c r="AA3137" s="168" t="str">
        <f t="array" ref="AA3137">iferror(index(J:J,match($A3137&amp;","&amp;index('Year Conversion'!$A:$A,match($C3137,'Year Conversion'!$B:$B,0)),$Y:$Y,0))-J3137,"")</f>
        <v/>
      </c>
      <c r="AB3137" s="168" t="str">
        <f t="array" ref="AB3137">iferror(index(K:K,match($A3137&amp;","&amp;index('Year Conversion'!$A:$A,match($C3137,'Year Conversion'!$B:$B,0)),$Y:$Y,0))-K3137,"")</f>
        <v/>
      </c>
      <c r="AC3137" s="168" t="str">
        <f t="shared" si="7"/>
        <v>IND,2019-20</v>
      </c>
    </row>
    <row r="3138">
      <c r="A3138" s="161" t="str">
        <f>IFERROR(__xludf.DUMMYFUNCTION("""COMPUTED_VALUE"""),"greenja01")</f>
        <v>greenja01</v>
      </c>
      <c r="B3138" s="161" t="str">
        <f>IFERROR(__xludf.DUMMYFUNCTION("""COMPUTED_VALUE"""),"JaMychal Green")</f>
        <v>JaMychal Green</v>
      </c>
      <c r="C3138" s="162" t="str">
        <f>IFERROR(__xludf.DUMMYFUNCTION("""COMPUTED_VALUE"""),"2019-20")</f>
        <v>2019-20</v>
      </c>
      <c r="D3138" s="163" t="str">
        <f>IFERROR(__xludf.DUMMYFUNCTION("""COMPUTED_VALUE"""),"LAC")</f>
        <v>LAC</v>
      </c>
      <c r="E3138" s="164" t="str">
        <f>IFERROR(__xludf.DUMMYFUNCTION("""COMPUTED_VALUE"""),"Stretch Big")</f>
        <v>Stretch Big</v>
      </c>
      <c r="F3138" s="164">
        <f>IFERROR(__xludf.DUMMYFUNCTION("""COMPUTED_VALUE"""),1307.04166666667)</f>
        <v>1307.041667</v>
      </c>
      <c r="G3138" s="163">
        <f>IFERROR(__xludf.DUMMYFUNCTION("""COMPUTED_VALUE"""),63.0)</f>
        <v>63</v>
      </c>
      <c r="H3138" s="163" t="str">
        <f>IFERROR(__xludf.DUMMYFUNCTION("""COMPUTED_VALUE"""),"PF")</f>
        <v>PF</v>
      </c>
      <c r="I3138" s="163">
        <f>IFERROR(__xludf.DUMMYFUNCTION("""COMPUTED_VALUE"""),29.0)</f>
        <v>29</v>
      </c>
      <c r="J3138" s="165">
        <f>IFERROR(__xludf.DUMMYFUNCTION("""COMPUTED_VALUE"""),0.0720605733320165)</f>
        <v>0.07206057333</v>
      </c>
      <c r="K3138" s="165">
        <f>IFERROR(__xludf.DUMMYFUNCTION("""COMPUTED_VALUE"""),-0.735730975164973)</f>
        <v>-0.7357309752</v>
      </c>
      <c r="L3138" s="165">
        <f>IFERROR(__xludf.DUMMYFUNCTION("""COMPUTED_VALUE"""),0.807791548496989)</f>
        <v>0.8077915485</v>
      </c>
      <c r="M3138" s="166">
        <f t="shared" si="2"/>
        <v>2.078521469</v>
      </c>
      <c r="N3138" s="167">
        <f t="shared" si="3"/>
        <v>20.74669312</v>
      </c>
      <c r="O3138" s="163">
        <f t="shared" ref="O3138:Q3138" si="3142">rank(I3138,I:I)</f>
        <v>855</v>
      </c>
      <c r="P3138" s="163">
        <f t="shared" si="3142"/>
        <v>1224</v>
      </c>
      <c r="Q3138" s="163">
        <f t="shared" si="3142"/>
        <v>2462</v>
      </c>
      <c r="R3138" s="163">
        <f>IFERROR(__xludf.DUMMYFUNCTION("RANK(M3138,filter(M:M,C:C=C3138))"),149.0)</f>
        <v>149</v>
      </c>
      <c r="S3138" s="161" t="b">
        <f t="shared" si="5"/>
        <v>0</v>
      </c>
      <c r="T3138" s="161" t="b">
        <f t="array" ref="T3138">index('Query Tool'!B:B,match(H3138,'Query Tool'!C:C,0))</f>
        <v>1</v>
      </c>
      <c r="U3138" s="161" t="b">
        <f t="array" ref="U3138">index('Query Tool'!B:B,match(C3138,'Query Tool'!C:C,0))</f>
        <v>0</v>
      </c>
      <c r="V3138" s="161" t="b">
        <f>F3138&gt;='Query Tool'!C$32</f>
        <v>1</v>
      </c>
      <c r="W3138" s="161" t="b">
        <f t="array" ref="W3138">index(Dropdowns!B:B,match(I3138,Dropdowns!A:A,0))</f>
        <v>1</v>
      </c>
      <c r="X3138" s="161" t="b">
        <f t="array" ref="X3138">index('Query Tool'!B:B,match(D3138,'Query Tool'!C:C,0))</f>
        <v>1</v>
      </c>
      <c r="Y3138" s="161" t="str">
        <f t="shared" si="6"/>
        <v>greenja01,2019-20</v>
      </c>
      <c r="Z3138" s="168" t="str">
        <f t="array" ref="Z3138">iferror(index(I:I,match($A3138&amp;","&amp;index('Year Conversion'!$A:$A,match($C3138,'Year Conversion'!$B:$B,0)),$Y:$Y,0))-I3138,"")</f>
        <v/>
      </c>
      <c r="AA3138" s="168" t="str">
        <f t="array" ref="AA3138">iferror(index(J:J,match($A3138&amp;","&amp;index('Year Conversion'!$A:$A,match($C3138,'Year Conversion'!$B:$B,0)),$Y:$Y,0))-J3138,"")</f>
        <v/>
      </c>
      <c r="AB3138" s="168" t="str">
        <f t="array" ref="AB3138">iferror(index(K:K,match($A3138&amp;","&amp;index('Year Conversion'!$A:$A,match($C3138,'Year Conversion'!$B:$B,0)),$Y:$Y,0))-K3138,"")</f>
        <v/>
      </c>
      <c r="AC3138" s="168" t="str">
        <f t="shared" si="7"/>
        <v>LAC,2019-20</v>
      </c>
    </row>
    <row r="3139">
      <c r="A3139" s="161" t="str">
        <f>IFERROR(__xludf.DUMMYFUNCTION("""COMPUTED_VALUE"""),"baynear01")</f>
        <v>baynear01</v>
      </c>
      <c r="B3139" s="161" t="str">
        <f>IFERROR(__xludf.DUMMYFUNCTION("""COMPUTED_VALUE"""),"Aron Baynes")</f>
        <v>Aron Baynes</v>
      </c>
      <c r="C3139" s="162" t="str">
        <f>IFERROR(__xludf.DUMMYFUNCTION("""COMPUTED_VALUE"""),"2019-20")</f>
        <v>2019-20</v>
      </c>
      <c r="D3139" s="163" t="str">
        <f>IFERROR(__xludf.DUMMYFUNCTION("""COMPUTED_VALUE"""),"PHO")</f>
        <v>PHO</v>
      </c>
      <c r="E3139" s="164" t="str">
        <f>IFERROR(__xludf.DUMMYFUNCTION("""COMPUTED_VALUE"""),"Stretch Big")</f>
        <v>Stretch Big</v>
      </c>
      <c r="F3139" s="164">
        <f>IFERROR(__xludf.DUMMYFUNCTION("""COMPUTED_VALUE"""),934.436666666667)</f>
        <v>934.4366667</v>
      </c>
      <c r="G3139" s="163">
        <f>IFERROR(__xludf.DUMMYFUNCTION("""COMPUTED_VALUE"""),42.0)</f>
        <v>42</v>
      </c>
      <c r="H3139" s="163" t="str">
        <f>IFERROR(__xludf.DUMMYFUNCTION("""COMPUTED_VALUE"""),"C")</f>
        <v>C</v>
      </c>
      <c r="I3139" s="163">
        <f>IFERROR(__xludf.DUMMYFUNCTION("""COMPUTED_VALUE"""),33.0)</f>
        <v>33</v>
      </c>
      <c r="J3139" s="165">
        <f>IFERROR(__xludf.DUMMYFUNCTION("""COMPUTED_VALUE"""),0.433529142681523)</f>
        <v>0.4335291427</v>
      </c>
      <c r="K3139" s="165">
        <f>IFERROR(__xludf.DUMMYFUNCTION("""COMPUTED_VALUE"""),0.217680764963455)</f>
        <v>0.217680765</v>
      </c>
      <c r="L3139" s="165">
        <f>IFERROR(__xludf.DUMMYFUNCTION("""COMPUTED_VALUE"""),0.215848377718068)</f>
        <v>0.2158483777</v>
      </c>
      <c r="M3139" s="166">
        <f t="shared" si="2"/>
        <v>1.713636595</v>
      </c>
      <c r="N3139" s="167">
        <f t="shared" si="3"/>
        <v>22.24849206</v>
      </c>
      <c r="O3139" s="163">
        <f t="shared" ref="O3139:Q3139" si="3143">rank(I3139,I:I)</f>
        <v>246</v>
      </c>
      <c r="P3139" s="163">
        <f t="shared" si="3143"/>
        <v>934</v>
      </c>
      <c r="Q3139" s="163">
        <f t="shared" si="3143"/>
        <v>973</v>
      </c>
      <c r="R3139" s="163">
        <f>IFERROR(__xludf.DUMMYFUNCTION("RANK(M3139,filter(M:M,C:C=C3139))"),172.0)</f>
        <v>172</v>
      </c>
      <c r="S3139" s="161" t="b">
        <f t="shared" si="5"/>
        <v>0</v>
      </c>
      <c r="T3139" s="161" t="b">
        <f t="array" ref="T3139">index('Query Tool'!B:B,match(H3139,'Query Tool'!C:C,0))</f>
        <v>1</v>
      </c>
      <c r="U3139" s="161" t="b">
        <f t="array" ref="U3139">index('Query Tool'!B:B,match(C3139,'Query Tool'!C:C,0))</f>
        <v>0</v>
      </c>
      <c r="V3139" s="161" t="b">
        <f>F3139&gt;='Query Tool'!C$32</f>
        <v>1</v>
      </c>
      <c r="W3139" s="161" t="b">
        <f t="array" ref="W3139">index(Dropdowns!B:B,match(I3139,Dropdowns!A:A,0))</f>
        <v>1</v>
      </c>
      <c r="X3139" s="161" t="b">
        <f t="array" ref="X3139">index('Query Tool'!B:B,match(D3139,'Query Tool'!C:C,0))</f>
        <v>1</v>
      </c>
      <c r="Y3139" s="161" t="str">
        <f t="shared" si="6"/>
        <v>baynear01,2019-20</v>
      </c>
      <c r="Z3139" s="168" t="str">
        <f t="array" ref="Z3139">iferror(index(I:I,match($A3139&amp;","&amp;index('Year Conversion'!$A:$A,match($C3139,'Year Conversion'!$B:$B,0)),$Y:$Y,0))-I3139,"")</f>
        <v/>
      </c>
      <c r="AA3139" s="168" t="str">
        <f t="array" ref="AA3139">iferror(index(J:J,match($A3139&amp;","&amp;index('Year Conversion'!$A:$A,match($C3139,'Year Conversion'!$B:$B,0)),$Y:$Y,0))-J3139,"")</f>
        <v/>
      </c>
      <c r="AB3139" s="168" t="str">
        <f t="array" ref="AB3139">iferror(index(K:K,match($A3139&amp;","&amp;index('Year Conversion'!$A:$A,match($C3139,'Year Conversion'!$B:$B,0)),$Y:$Y,0))-K3139,"")</f>
        <v/>
      </c>
      <c r="AC3139" s="168" t="str">
        <f t="shared" si="7"/>
        <v>PHO,2019-20</v>
      </c>
    </row>
    <row r="3140">
      <c r="A3140" s="161" t="str">
        <f>IFERROR(__xludf.DUMMYFUNCTION("""COMPUTED_VALUE"""),"noelne01")</f>
        <v>noelne01</v>
      </c>
      <c r="B3140" s="161" t="str">
        <f>IFERROR(__xludf.DUMMYFUNCTION("""COMPUTED_VALUE"""),"Nerlens Noel")</f>
        <v>Nerlens Noel</v>
      </c>
      <c r="C3140" s="162" t="str">
        <f>IFERROR(__xludf.DUMMYFUNCTION("""COMPUTED_VALUE"""),"2019-20")</f>
        <v>2019-20</v>
      </c>
      <c r="D3140" s="163" t="str">
        <f>IFERROR(__xludf.DUMMYFUNCTION("""COMPUTED_VALUE"""),"OKC")</f>
        <v>OKC</v>
      </c>
      <c r="E3140" s="164" t="str">
        <f>IFERROR(__xludf.DUMMYFUNCTION("""COMPUTED_VALUE"""),"Roll + Cut Big")</f>
        <v>Roll + Cut Big</v>
      </c>
      <c r="F3140" s="164">
        <f>IFERROR(__xludf.DUMMYFUNCTION("""COMPUTED_VALUE"""),1126.93333333333)</f>
        <v>1126.933333</v>
      </c>
      <c r="G3140" s="163">
        <f>IFERROR(__xludf.DUMMYFUNCTION("""COMPUTED_VALUE"""),61.0)</f>
        <v>61</v>
      </c>
      <c r="H3140" s="163" t="str">
        <f>IFERROR(__xludf.DUMMYFUNCTION("""COMPUTED_VALUE"""),"C")</f>
        <v>C</v>
      </c>
      <c r="I3140" s="163">
        <f>IFERROR(__xludf.DUMMYFUNCTION("""COMPUTED_VALUE"""),25.0)</f>
        <v>25</v>
      </c>
      <c r="J3140" s="165">
        <f>IFERROR(__xludf.DUMMYFUNCTION("""COMPUTED_VALUE"""),0.975214967809568)</f>
        <v>0.9752149678</v>
      </c>
      <c r="K3140" s="165">
        <f>IFERROR(__xludf.DUMMYFUNCTION("""COMPUTED_VALUE"""),-1.49612157817806)</f>
        <v>-1.496121578</v>
      </c>
      <c r="L3140" s="165">
        <f>IFERROR(__xludf.DUMMYFUNCTION("""COMPUTED_VALUE"""),2.47133654598763)</f>
        <v>2.471336546</v>
      </c>
      <c r="M3140" s="166">
        <f t="shared" si="2"/>
        <v>2.477314325</v>
      </c>
      <c r="N3140" s="167">
        <f t="shared" si="3"/>
        <v>18.47431694</v>
      </c>
      <c r="O3140" s="163">
        <f t="shared" ref="O3140:Q3140" si="3144">rank(I3140,I:I)</f>
        <v>1995</v>
      </c>
      <c r="P3140" s="163">
        <f t="shared" si="3144"/>
        <v>666</v>
      </c>
      <c r="Q3140" s="163">
        <f t="shared" si="3144"/>
        <v>3348</v>
      </c>
      <c r="R3140" s="163">
        <f>IFERROR(__xludf.DUMMYFUNCTION("RANK(M3140,filter(M:M,C:C=C3140))"),125.0)</f>
        <v>125</v>
      </c>
      <c r="S3140" s="161" t="b">
        <f t="shared" si="5"/>
        <v>0</v>
      </c>
      <c r="T3140" s="161" t="b">
        <f t="array" ref="T3140">index('Query Tool'!B:B,match(H3140,'Query Tool'!C:C,0))</f>
        <v>1</v>
      </c>
      <c r="U3140" s="161" t="b">
        <f t="array" ref="U3140">index('Query Tool'!B:B,match(C3140,'Query Tool'!C:C,0))</f>
        <v>0</v>
      </c>
      <c r="V3140" s="161" t="b">
        <f>F3140&gt;='Query Tool'!C$32</f>
        <v>1</v>
      </c>
      <c r="W3140" s="161" t="b">
        <f t="array" ref="W3140">index(Dropdowns!B:B,match(I3140,Dropdowns!A:A,0))</f>
        <v>1</v>
      </c>
      <c r="X3140" s="161" t="b">
        <f t="array" ref="X3140">index('Query Tool'!B:B,match(D3140,'Query Tool'!C:C,0))</f>
        <v>1</v>
      </c>
      <c r="Y3140" s="161" t="str">
        <f t="shared" si="6"/>
        <v>noelne01,2019-20</v>
      </c>
      <c r="Z3140" s="168" t="str">
        <f t="array" ref="Z3140">iferror(index(I:I,match($A3140&amp;","&amp;index('Year Conversion'!$A:$A,match($C3140,'Year Conversion'!$B:$B,0)),$Y:$Y,0))-I3140,"")</f>
        <v/>
      </c>
      <c r="AA3140" s="168" t="str">
        <f t="array" ref="AA3140">iferror(index(J:J,match($A3140&amp;","&amp;index('Year Conversion'!$A:$A,match($C3140,'Year Conversion'!$B:$B,0)),$Y:$Y,0))-J3140,"")</f>
        <v/>
      </c>
      <c r="AB3140" s="168" t="str">
        <f t="array" ref="AB3140">iferror(index(K:K,match($A3140&amp;","&amp;index('Year Conversion'!$A:$A,match($C3140,'Year Conversion'!$B:$B,0)),$Y:$Y,0))-K3140,"")</f>
        <v/>
      </c>
      <c r="AC3140" s="168" t="str">
        <f t="shared" si="7"/>
        <v>OKC,2019-20</v>
      </c>
    </row>
    <row r="3141">
      <c r="A3141" s="161" t="str">
        <f>IFERROR(__xludf.DUMMYFUNCTION("""COMPUTED_VALUE"""),"lenal01")</f>
        <v>lenal01</v>
      </c>
      <c r="B3141" s="161" t="str">
        <f>IFERROR(__xludf.DUMMYFUNCTION("""COMPUTED_VALUE"""),"Alex Len")</f>
        <v>Alex Len</v>
      </c>
      <c r="C3141" s="162" t="str">
        <f>IFERROR(__xludf.DUMMYFUNCTION("""COMPUTED_VALUE"""),"2019-20")</f>
        <v>2019-20</v>
      </c>
      <c r="D3141" s="163" t="str">
        <f>IFERROR(__xludf.DUMMYFUNCTION("""COMPUTED_VALUE"""),"TOT")</f>
        <v>TOT</v>
      </c>
      <c r="E3141" s="164" t="str">
        <f>IFERROR(__xludf.DUMMYFUNCTION("""COMPUTED_VALUE"""),"Roll + Cut Big")</f>
        <v>Roll + Cut Big</v>
      </c>
      <c r="F3141" s="164">
        <f>IFERROR(__xludf.DUMMYFUNCTION("""COMPUTED_VALUE"""),970.523333333334)</f>
        <v>970.5233333</v>
      </c>
      <c r="G3141" s="163">
        <f>IFERROR(__xludf.DUMMYFUNCTION("""COMPUTED_VALUE"""),55.0)</f>
        <v>55</v>
      </c>
      <c r="H3141" s="163" t="str">
        <f>IFERROR(__xludf.DUMMYFUNCTION("""COMPUTED_VALUE"""),"C")</f>
        <v>C</v>
      </c>
      <c r="I3141" s="163">
        <f>IFERROR(__xludf.DUMMYFUNCTION("""COMPUTED_VALUE"""),26.0)</f>
        <v>26</v>
      </c>
      <c r="J3141" s="165">
        <f>IFERROR(__xludf.DUMMYFUNCTION("""COMPUTED_VALUE"""),0.816174323931388)</f>
        <v>0.8161743239</v>
      </c>
      <c r="K3141" s="165">
        <f>IFERROR(__xludf.DUMMYFUNCTION("""COMPUTED_VALUE"""),-0.827687143272182)</f>
        <v>-0.8276871433</v>
      </c>
      <c r="L3141" s="165">
        <f>IFERROR(__xludf.DUMMYFUNCTION("""COMPUTED_VALUE"""),1.64386146720357)</f>
        <v>1.643861467</v>
      </c>
      <c r="M3141" s="166">
        <f t="shared" si="2"/>
        <v>2.029766519</v>
      </c>
      <c r="N3141" s="167">
        <f t="shared" si="3"/>
        <v>17.64587879</v>
      </c>
      <c r="O3141" s="163">
        <f t="shared" ref="O3141:Q3141" si="3145">rank(I3141,I:I)</f>
        <v>1665</v>
      </c>
      <c r="P3141" s="163">
        <f t="shared" si="3145"/>
        <v>729</v>
      </c>
      <c r="Q3141" s="163">
        <f t="shared" si="3145"/>
        <v>2590</v>
      </c>
      <c r="R3141" s="163">
        <f>IFERROR(__xludf.DUMMYFUNCTION("RANK(M3141,filter(M:M,C:C=C3141))"),151.0)</f>
        <v>151</v>
      </c>
      <c r="S3141" s="161" t="b">
        <f t="shared" si="5"/>
        <v>0</v>
      </c>
      <c r="T3141" s="161" t="b">
        <f t="array" ref="T3141">index('Query Tool'!B:B,match(H3141,'Query Tool'!C:C,0))</f>
        <v>1</v>
      </c>
      <c r="U3141" s="161" t="b">
        <f t="array" ref="U3141">index('Query Tool'!B:B,match(C3141,'Query Tool'!C:C,0))</f>
        <v>0</v>
      </c>
      <c r="V3141" s="161" t="b">
        <f>F3141&gt;='Query Tool'!C$32</f>
        <v>1</v>
      </c>
      <c r="W3141" s="161" t="b">
        <f t="array" ref="W3141">index(Dropdowns!B:B,match(I3141,Dropdowns!A:A,0))</f>
        <v>1</v>
      </c>
      <c r="X3141" s="161" t="b">
        <f t="array" ref="X3141">index('Query Tool'!B:B,match(D3141,'Query Tool'!C:C,0))</f>
        <v>1</v>
      </c>
      <c r="Y3141" s="161" t="str">
        <f t="shared" si="6"/>
        <v>lenal01,2019-20</v>
      </c>
      <c r="Z3141" s="168" t="str">
        <f t="array" ref="Z3141">iferror(index(I:I,match($A3141&amp;","&amp;index('Year Conversion'!$A:$A,match($C3141,'Year Conversion'!$B:$B,0)),$Y:$Y,0))-I3141,"")</f>
        <v/>
      </c>
      <c r="AA3141" s="168" t="str">
        <f t="array" ref="AA3141">iferror(index(J:J,match($A3141&amp;","&amp;index('Year Conversion'!$A:$A,match($C3141,'Year Conversion'!$B:$B,0)),$Y:$Y,0))-J3141,"")</f>
        <v/>
      </c>
      <c r="AB3141" s="168" t="str">
        <f t="array" ref="AB3141">iferror(index(K:K,match($A3141&amp;","&amp;index('Year Conversion'!$A:$A,match($C3141,'Year Conversion'!$B:$B,0)),$Y:$Y,0))-K3141,"")</f>
        <v/>
      </c>
      <c r="AC3141" s="168" t="str">
        <f t="shared" si="7"/>
        <v>TOT,2019-20</v>
      </c>
    </row>
    <row r="3142">
      <c r="A3142" s="161" t="str">
        <f>IFERROR(__xludf.DUMMYFUNCTION("""COMPUTED_VALUE"""),"crabbal01")</f>
        <v>crabbal01</v>
      </c>
      <c r="B3142" s="161" t="str">
        <f>IFERROR(__xludf.DUMMYFUNCTION("""COMPUTED_VALUE"""),"Allen Crabbe")</f>
        <v>Allen Crabbe</v>
      </c>
      <c r="C3142" s="162" t="str">
        <f>IFERROR(__xludf.DUMMYFUNCTION("""COMPUTED_VALUE"""),"2019-20")</f>
        <v>2019-20</v>
      </c>
      <c r="D3142" s="163" t="str">
        <f>IFERROR(__xludf.DUMMYFUNCTION("""COMPUTED_VALUE"""),"TOT")</f>
        <v>TOT</v>
      </c>
      <c r="E3142" s="164" t="str">
        <f>IFERROR(__xludf.DUMMYFUNCTION("""COMPUTED_VALUE"""),"Movement Shooter")</f>
        <v>Movement Shooter</v>
      </c>
      <c r="F3142" s="164">
        <f>IFERROR(__xludf.DUMMYFUNCTION("""COMPUTED_VALUE"""),653.01)</f>
        <v>653.01</v>
      </c>
      <c r="G3142" s="163">
        <f>IFERROR(__xludf.DUMMYFUNCTION("""COMPUTED_VALUE"""),37.0)</f>
        <v>37</v>
      </c>
      <c r="H3142" s="163" t="str">
        <f>IFERROR(__xludf.DUMMYFUNCTION("""COMPUTED_VALUE"""),"SG-SF")</f>
        <v>SG-SF</v>
      </c>
      <c r="I3142" s="163">
        <f>IFERROR(__xludf.DUMMYFUNCTION("""COMPUTED_VALUE"""),27.0)</f>
        <v>27</v>
      </c>
      <c r="J3142" s="165">
        <f>IFERROR(__xludf.DUMMYFUNCTION("""COMPUTED_VALUE"""),-3.12932783300136)</f>
        <v>-3.129327833</v>
      </c>
      <c r="K3142" s="165">
        <f>IFERROR(__xludf.DUMMYFUNCTION("""COMPUTED_VALUE"""),-1.90413461203764)</f>
        <v>-1.904134612</v>
      </c>
      <c r="L3142" s="165">
        <f>IFERROR(__xludf.DUMMYFUNCTION("""COMPUTED_VALUE"""),-1.22519322096372)</f>
        <v>-1.225193221</v>
      </c>
      <c r="M3142" s="166">
        <f t="shared" si="2"/>
        <v>-0.3525296002</v>
      </c>
      <c r="N3142" s="167">
        <f t="shared" si="3"/>
        <v>17.64891892</v>
      </c>
      <c r="O3142" s="163">
        <f t="shared" ref="O3142:Q3142" si="3146">rank(I3142,I:I)</f>
        <v>1366</v>
      </c>
      <c r="P3142" s="163">
        <f t="shared" si="3146"/>
        <v>3911</v>
      </c>
      <c r="Q3142" s="163">
        <f t="shared" si="3146"/>
        <v>3650</v>
      </c>
      <c r="R3142" s="163">
        <f>IFERROR(__xludf.DUMMYFUNCTION("RANK(M3142,filter(M:M,C:C=C3142))"),510.0)</f>
        <v>510</v>
      </c>
      <c r="S3142" s="161" t="b">
        <f t="shared" si="5"/>
        <v>0</v>
      </c>
      <c r="T3142" s="161" t="str">
        <f t="array" ref="T3142">index('Query Tool'!B:B,match(H3142,'Query Tool'!C:C,0))</f>
        <v>#N/A</v>
      </c>
      <c r="U3142" s="161" t="b">
        <f t="array" ref="U3142">index('Query Tool'!B:B,match(C3142,'Query Tool'!C:C,0))</f>
        <v>0</v>
      </c>
      <c r="V3142" s="161" t="b">
        <f>F3142&gt;='Query Tool'!C$32</f>
        <v>1</v>
      </c>
      <c r="W3142" s="161" t="b">
        <f t="array" ref="W3142">index(Dropdowns!B:B,match(I3142,Dropdowns!A:A,0))</f>
        <v>1</v>
      </c>
      <c r="X3142" s="161" t="b">
        <f t="array" ref="X3142">index('Query Tool'!B:B,match(D3142,'Query Tool'!C:C,0))</f>
        <v>1</v>
      </c>
      <c r="Y3142" s="161" t="str">
        <f t="shared" si="6"/>
        <v>crabbal01,2019-20</v>
      </c>
      <c r="Z3142" s="168" t="str">
        <f t="array" ref="Z3142">iferror(index(I:I,match($A3142&amp;","&amp;index('Year Conversion'!$A:$A,match($C3142,'Year Conversion'!$B:$B,0)),$Y:$Y,0))-I3142,"")</f>
        <v/>
      </c>
      <c r="AA3142" s="168" t="str">
        <f t="array" ref="AA3142">iferror(index(J:J,match($A3142&amp;","&amp;index('Year Conversion'!$A:$A,match($C3142,'Year Conversion'!$B:$B,0)),$Y:$Y,0))-J3142,"")</f>
        <v/>
      </c>
      <c r="AB3142" s="168" t="str">
        <f t="array" ref="AB3142">iferror(index(K:K,match($A3142&amp;","&amp;index('Year Conversion'!$A:$A,match($C3142,'Year Conversion'!$B:$B,0)),$Y:$Y,0))-K3142,"")</f>
        <v/>
      </c>
      <c r="AC3142" s="168" t="str">
        <f t="shared" si="7"/>
        <v>TOT,2019-20</v>
      </c>
    </row>
    <row r="3143">
      <c r="A3143" s="161" t="str">
        <f>IFERROR(__xludf.DUMMYFUNCTION("""COMPUTED_VALUE"""),"roberan03")</f>
        <v>roberan03</v>
      </c>
      <c r="B3143" s="161" t="str">
        <f>IFERROR(__xludf.DUMMYFUNCTION("""COMPUTED_VALUE"""),"Andre Roberson")</f>
        <v>Andre Roberson</v>
      </c>
      <c r="C3143" s="162" t="str">
        <f>IFERROR(__xludf.DUMMYFUNCTION("""COMPUTED_VALUE"""),"2019-20")</f>
        <v>2019-20</v>
      </c>
      <c r="D3143" s="163" t="str">
        <f>IFERROR(__xludf.DUMMYFUNCTION("""COMPUTED_VALUE"""),"OKC")</f>
        <v>OKC</v>
      </c>
      <c r="E3143" s="164" t="str">
        <f>IFERROR(__xludf.DUMMYFUNCTION("""COMPUTED_VALUE"""),"Stretch Big")</f>
        <v>Stretch Big</v>
      </c>
      <c r="F3143" s="164">
        <f>IFERROR(__xludf.DUMMYFUNCTION("""COMPUTED_VALUE"""),86.9649999999999)</f>
        <v>86.965</v>
      </c>
      <c r="G3143" s="163">
        <f>IFERROR(__xludf.DUMMYFUNCTION("""COMPUTED_VALUE"""),7.0)</f>
        <v>7</v>
      </c>
      <c r="H3143" s="163" t="str">
        <f>IFERROR(__xludf.DUMMYFUNCTION("""COMPUTED_VALUE"""),"SF")</f>
        <v>SF</v>
      </c>
      <c r="I3143" s="163">
        <f>IFERROR(__xludf.DUMMYFUNCTION("""COMPUTED_VALUE"""),28.0)</f>
        <v>28</v>
      </c>
      <c r="J3143" s="165">
        <f>IFERROR(__xludf.DUMMYFUNCTION("""COMPUTED_VALUE"""),-0.737668689035038)</f>
        <v>-0.737668689</v>
      </c>
      <c r="K3143" s="165">
        <f>IFERROR(__xludf.DUMMYFUNCTION("""COMPUTED_VALUE"""),-0.786216118707968)</f>
        <v>-0.7862161187</v>
      </c>
      <c r="L3143" s="165">
        <f>IFERROR(__xludf.DUMMYFUNCTION("""COMPUTED_VALUE"""),0.0485474296729298)</f>
        <v>0.04854742967</v>
      </c>
      <c r="M3143" s="166">
        <f t="shared" si="2"/>
        <v>0.09085351428</v>
      </c>
      <c r="N3143" s="167">
        <f t="shared" si="3"/>
        <v>12.42357143</v>
      </c>
      <c r="O3143" s="163">
        <f t="shared" ref="O3143:Q3143" si="3147">rank(I3143,I:I)</f>
        <v>1090</v>
      </c>
      <c r="P3143" s="163">
        <f t="shared" si="3147"/>
        <v>2196</v>
      </c>
      <c r="Q3143" s="163">
        <f t="shared" si="3147"/>
        <v>2541</v>
      </c>
      <c r="R3143" s="163">
        <f>IFERROR(__xludf.DUMMYFUNCTION("RANK(M3143,filter(M:M,C:C=C3143))"),393.0)</f>
        <v>393</v>
      </c>
      <c r="S3143" s="161" t="b">
        <f t="shared" si="5"/>
        <v>0</v>
      </c>
      <c r="T3143" s="161" t="b">
        <f t="array" ref="T3143">index('Query Tool'!B:B,match(H3143,'Query Tool'!C:C,0))</f>
        <v>1</v>
      </c>
      <c r="U3143" s="161" t="b">
        <f t="array" ref="U3143">index('Query Tool'!B:B,match(C3143,'Query Tool'!C:C,0))</f>
        <v>0</v>
      </c>
      <c r="V3143" s="161" t="b">
        <f>F3143&gt;='Query Tool'!C$32</f>
        <v>0</v>
      </c>
      <c r="W3143" s="161" t="b">
        <f t="array" ref="W3143">index(Dropdowns!B:B,match(I3143,Dropdowns!A:A,0))</f>
        <v>1</v>
      </c>
      <c r="X3143" s="161" t="b">
        <f t="array" ref="X3143">index('Query Tool'!B:B,match(D3143,'Query Tool'!C:C,0))</f>
        <v>1</v>
      </c>
      <c r="Y3143" s="161" t="str">
        <f t="shared" si="6"/>
        <v>roberan03,2019-20</v>
      </c>
      <c r="Z3143" s="168" t="str">
        <f t="array" ref="Z3143">iferror(index(I:I,match($A3143&amp;","&amp;index('Year Conversion'!$A:$A,match($C3143,'Year Conversion'!$B:$B,0)),$Y:$Y,0))-I3143,"")</f>
        <v/>
      </c>
      <c r="AA3143" s="168" t="str">
        <f t="array" ref="AA3143">iferror(index(J:J,match($A3143&amp;","&amp;index('Year Conversion'!$A:$A,match($C3143,'Year Conversion'!$B:$B,0)),$Y:$Y,0))-J3143,"")</f>
        <v/>
      </c>
      <c r="AB3143" s="168" t="str">
        <f t="array" ref="AB3143">iferror(index(K:K,match($A3143&amp;","&amp;index('Year Conversion'!$A:$A,match($C3143,'Year Conversion'!$B:$B,0)),$Y:$Y,0))-K3143,"")</f>
        <v/>
      </c>
      <c r="AC3143" s="168" t="str">
        <f t="shared" si="7"/>
        <v>OKC,2019-20</v>
      </c>
    </row>
    <row r="3144">
      <c r="A3144" s="161" t="str">
        <f>IFERROR(__xludf.DUMMYFUNCTION("""COMPUTED_VALUE"""),"mclembe01")</f>
        <v>mclembe01</v>
      </c>
      <c r="B3144" s="161" t="str">
        <f>IFERROR(__xludf.DUMMYFUNCTION("""COMPUTED_VALUE"""),"Ben McLemore")</f>
        <v>Ben McLemore</v>
      </c>
      <c r="C3144" s="162" t="str">
        <f>IFERROR(__xludf.DUMMYFUNCTION("""COMPUTED_VALUE"""),"2019-20")</f>
        <v>2019-20</v>
      </c>
      <c r="D3144" s="163" t="str">
        <f>IFERROR(__xludf.DUMMYFUNCTION("""COMPUTED_VALUE"""),"HOU")</f>
        <v>HOU</v>
      </c>
      <c r="E3144" s="164" t="str">
        <f>IFERROR(__xludf.DUMMYFUNCTION("""COMPUTED_VALUE"""),"Movement Shooter")</f>
        <v>Movement Shooter</v>
      </c>
      <c r="F3144" s="164">
        <f>IFERROR(__xludf.DUMMYFUNCTION("""COMPUTED_VALUE"""),1619.485)</f>
        <v>1619.485</v>
      </c>
      <c r="G3144" s="163">
        <f>IFERROR(__xludf.DUMMYFUNCTION("""COMPUTED_VALUE"""),71.0)</f>
        <v>71</v>
      </c>
      <c r="H3144" s="163" t="str">
        <f>IFERROR(__xludf.DUMMYFUNCTION("""COMPUTED_VALUE"""),"SF")</f>
        <v>SF</v>
      </c>
      <c r="I3144" s="163">
        <f>IFERROR(__xludf.DUMMYFUNCTION("""COMPUTED_VALUE"""),26.0)</f>
        <v>26</v>
      </c>
      <c r="J3144" s="165">
        <f>IFERROR(__xludf.DUMMYFUNCTION("""COMPUTED_VALUE"""),-1.01048018958138)</f>
        <v>-1.01048019</v>
      </c>
      <c r="K3144" s="165">
        <f>IFERROR(__xludf.DUMMYFUNCTION("""COMPUTED_VALUE"""),0.84291321627034)</f>
        <v>0.8429132163</v>
      </c>
      <c r="L3144" s="165">
        <f>IFERROR(__xludf.DUMMYFUNCTION("""COMPUTED_VALUE"""),-1.85339340585172)</f>
        <v>-1.853393406</v>
      </c>
      <c r="M3144" s="166">
        <f t="shared" si="2"/>
        <v>1.394985353</v>
      </c>
      <c r="N3144" s="167">
        <f t="shared" si="3"/>
        <v>22.80964789</v>
      </c>
      <c r="O3144" s="163">
        <f t="shared" ref="O3144:Q3144" si="3148">rank(I3144,I:I)</f>
        <v>1665</v>
      </c>
      <c r="P3144" s="163">
        <f t="shared" si="3148"/>
        <v>2513</v>
      </c>
      <c r="Q3144" s="163">
        <f t="shared" si="3148"/>
        <v>585</v>
      </c>
      <c r="R3144" s="163">
        <f>IFERROR(__xludf.DUMMYFUNCTION("RANK(M3144,filter(M:M,C:C=C3144))"),192.0)</f>
        <v>192</v>
      </c>
      <c r="S3144" s="161" t="b">
        <f t="shared" si="5"/>
        <v>0</v>
      </c>
      <c r="T3144" s="161" t="b">
        <f t="array" ref="T3144">index('Query Tool'!B:B,match(H3144,'Query Tool'!C:C,0))</f>
        <v>1</v>
      </c>
      <c r="U3144" s="161" t="b">
        <f t="array" ref="U3144">index('Query Tool'!B:B,match(C3144,'Query Tool'!C:C,0))</f>
        <v>0</v>
      </c>
      <c r="V3144" s="161" t="b">
        <f>F3144&gt;='Query Tool'!C$32</f>
        <v>1</v>
      </c>
      <c r="W3144" s="161" t="b">
        <f t="array" ref="W3144">index(Dropdowns!B:B,match(I3144,Dropdowns!A:A,0))</f>
        <v>1</v>
      </c>
      <c r="X3144" s="161" t="b">
        <f t="array" ref="X3144">index('Query Tool'!B:B,match(D3144,'Query Tool'!C:C,0))</f>
        <v>1</v>
      </c>
      <c r="Y3144" s="161" t="str">
        <f t="shared" si="6"/>
        <v>mclembe01,2019-20</v>
      </c>
      <c r="Z3144" s="168" t="str">
        <f t="array" ref="Z3144">iferror(index(I:I,match($A3144&amp;","&amp;index('Year Conversion'!$A:$A,match($C3144,'Year Conversion'!$B:$B,0)),$Y:$Y,0))-I3144,"")</f>
        <v/>
      </c>
      <c r="AA3144" s="168" t="str">
        <f t="array" ref="AA3144">iferror(index(J:J,match($A3144&amp;","&amp;index('Year Conversion'!$A:$A,match($C3144,'Year Conversion'!$B:$B,0)),$Y:$Y,0))-J3144,"")</f>
        <v/>
      </c>
      <c r="AB3144" s="168" t="str">
        <f t="array" ref="AB3144">iferror(index(K:K,match($A3144&amp;","&amp;index('Year Conversion'!$A:$A,match($C3144,'Year Conversion'!$B:$B,0)),$Y:$Y,0))-K3144,"")</f>
        <v/>
      </c>
      <c r="AC3144" s="168" t="str">
        <f t="shared" si="7"/>
        <v>HOU,2019-20</v>
      </c>
    </row>
    <row r="3145">
      <c r="A3145" s="161" t="str">
        <f>IFERROR(__xludf.DUMMYFUNCTION("""COMPUTED_VALUE"""),"mccolcj01")</f>
        <v>mccolcj01</v>
      </c>
      <c r="B3145" s="161" t="str">
        <f>IFERROR(__xludf.DUMMYFUNCTION("""COMPUTED_VALUE"""),"CJ McCollum")</f>
        <v>CJ McCollum</v>
      </c>
      <c r="C3145" s="162" t="str">
        <f>IFERROR(__xludf.DUMMYFUNCTION("""COMPUTED_VALUE"""),"2019-20")</f>
        <v>2019-20</v>
      </c>
      <c r="D3145" s="163" t="str">
        <f>IFERROR(__xludf.DUMMYFUNCTION("""COMPUTED_VALUE"""),"POR")</f>
        <v>POR</v>
      </c>
      <c r="E3145" s="164" t="str">
        <f>IFERROR(__xludf.DUMMYFUNCTION("""COMPUTED_VALUE"""),"Primary Ball Handler")</f>
        <v>Primary Ball Handler</v>
      </c>
      <c r="F3145" s="164">
        <f>IFERROR(__xludf.DUMMYFUNCTION("""COMPUTED_VALUE"""),2556.59166666667)</f>
        <v>2556.591667</v>
      </c>
      <c r="G3145" s="163">
        <f>IFERROR(__xludf.DUMMYFUNCTION("""COMPUTED_VALUE"""),70.0)</f>
        <v>70</v>
      </c>
      <c r="H3145" s="163" t="str">
        <f>IFERROR(__xludf.DUMMYFUNCTION("""COMPUTED_VALUE"""),"SG")</f>
        <v>SG</v>
      </c>
      <c r="I3145" s="163">
        <f>IFERROR(__xludf.DUMMYFUNCTION("""COMPUTED_VALUE"""),28.0)</f>
        <v>28</v>
      </c>
      <c r="J3145" s="165">
        <f>IFERROR(__xludf.DUMMYFUNCTION("""COMPUTED_VALUE"""),0.497229020992373)</f>
        <v>0.497229021</v>
      </c>
      <c r="K3145" s="165">
        <f>IFERROR(__xludf.DUMMYFUNCTION("""COMPUTED_VALUE"""),2.07055982882552)</f>
        <v>2.070559829</v>
      </c>
      <c r="L3145" s="165">
        <f>IFERROR(__xludf.DUMMYFUNCTION("""COMPUTED_VALUE"""),-1.57333080783314)</f>
        <v>-1.573330808</v>
      </c>
      <c r="M3145" s="166">
        <f t="shared" si="2"/>
        <v>4.798155813</v>
      </c>
      <c r="N3145" s="167">
        <f t="shared" si="3"/>
        <v>36.5227381</v>
      </c>
      <c r="O3145" s="163">
        <f t="shared" ref="O3145:Q3145" si="3149">rank(I3145,I:I)</f>
        <v>1090</v>
      </c>
      <c r="P3145" s="163">
        <f t="shared" si="3149"/>
        <v>900</v>
      </c>
      <c r="Q3145" s="163">
        <f t="shared" si="3149"/>
        <v>219</v>
      </c>
      <c r="R3145" s="163">
        <f>IFERROR(__xludf.DUMMYFUNCTION("RANK(M3145,filter(M:M,C:C=C3145))"),45.0)</f>
        <v>45</v>
      </c>
      <c r="S3145" s="161" t="b">
        <f t="shared" si="5"/>
        <v>0</v>
      </c>
      <c r="T3145" s="161" t="b">
        <f t="array" ref="T3145">index('Query Tool'!B:B,match(H3145,'Query Tool'!C:C,0))</f>
        <v>1</v>
      </c>
      <c r="U3145" s="161" t="b">
        <f t="array" ref="U3145">index('Query Tool'!B:B,match(C3145,'Query Tool'!C:C,0))</f>
        <v>0</v>
      </c>
      <c r="V3145" s="161" t="b">
        <f>F3145&gt;='Query Tool'!C$32</f>
        <v>1</v>
      </c>
      <c r="W3145" s="161" t="b">
        <f t="array" ref="W3145">index(Dropdowns!B:B,match(I3145,Dropdowns!A:A,0))</f>
        <v>1</v>
      </c>
      <c r="X3145" s="161" t="b">
        <f t="array" ref="X3145">index('Query Tool'!B:B,match(D3145,'Query Tool'!C:C,0))</f>
        <v>1</v>
      </c>
      <c r="Y3145" s="161" t="str">
        <f t="shared" si="6"/>
        <v>mccolcj01,2019-20</v>
      </c>
      <c r="Z3145" s="168" t="str">
        <f t="array" ref="Z3145">iferror(index(I:I,match($A3145&amp;","&amp;index('Year Conversion'!$A:$A,match($C3145,'Year Conversion'!$B:$B,0)),$Y:$Y,0))-I3145,"")</f>
        <v/>
      </c>
      <c r="AA3145" s="168" t="str">
        <f t="array" ref="AA3145">iferror(index(J:J,match($A3145&amp;","&amp;index('Year Conversion'!$A:$A,match($C3145,'Year Conversion'!$B:$B,0)),$Y:$Y,0))-J3145,"")</f>
        <v/>
      </c>
      <c r="AB3145" s="168" t="str">
        <f t="array" ref="AB3145">iferror(index(K:K,match($A3145&amp;","&amp;index('Year Conversion'!$A:$A,match($C3145,'Year Conversion'!$B:$B,0)),$Y:$Y,0))-K3145,"")</f>
        <v/>
      </c>
      <c r="AC3145" s="168" t="str">
        <f t="shared" si="7"/>
        <v>POR,2019-20</v>
      </c>
    </row>
    <row r="3146">
      <c r="A3146" s="161" t="str">
        <f>IFERROR(__xludf.DUMMYFUNCTION("""COMPUTED_VALUE"""),"zelleco01")</f>
        <v>zelleco01</v>
      </c>
      <c r="B3146" s="161" t="str">
        <f>IFERROR(__xludf.DUMMYFUNCTION("""COMPUTED_VALUE"""),"Cody Zeller")</f>
        <v>Cody Zeller</v>
      </c>
      <c r="C3146" s="162" t="str">
        <f>IFERROR(__xludf.DUMMYFUNCTION("""COMPUTED_VALUE"""),"2019-20")</f>
        <v>2019-20</v>
      </c>
      <c r="D3146" s="163" t="str">
        <f>IFERROR(__xludf.DUMMYFUNCTION("""COMPUTED_VALUE"""),"CHO")</f>
        <v>CHO</v>
      </c>
      <c r="E3146" s="164" t="str">
        <f>IFERROR(__xludf.DUMMYFUNCTION("""COMPUTED_VALUE"""),"Roll + Cut Big")</f>
        <v>Roll + Cut Big</v>
      </c>
      <c r="F3146" s="164">
        <f>IFERROR(__xludf.DUMMYFUNCTION("""COMPUTED_VALUE"""),1340.60833333333)</f>
        <v>1340.608333</v>
      </c>
      <c r="G3146" s="163">
        <f>IFERROR(__xludf.DUMMYFUNCTION("""COMPUTED_VALUE"""),58.0)</f>
        <v>58</v>
      </c>
      <c r="H3146" s="163" t="str">
        <f>IFERROR(__xludf.DUMMYFUNCTION("""COMPUTED_VALUE"""),"C")</f>
        <v>C</v>
      </c>
      <c r="I3146" s="163">
        <f>IFERROR(__xludf.DUMMYFUNCTION("""COMPUTED_VALUE"""),27.0)</f>
        <v>27</v>
      </c>
      <c r="J3146" s="165">
        <f>IFERROR(__xludf.DUMMYFUNCTION("""COMPUTED_VALUE"""),-1.87610399347355)</f>
        <v>-1.876103993</v>
      </c>
      <c r="K3146" s="165">
        <f>IFERROR(__xludf.DUMMYFUNCTION("""COMPUTED_VALUE"""),-1.06227156349433)</f>
        <v>-1.062271563</v>
      </c>
      <c r="L3146" s="165">
        <f>IFERROR(__xludf.DUMMYFUNCTION("""COMPUTED_VALUE"""),-0.813832429979215)</f>
        <v>-0.81383243</v>
      </c>
      <c r="M3146" s="166">
        <f t="shared" si="2"/>
        <v>0.3793453273</v>
      </c>
      <c r="N3146" s="167">
        <f t="shared" si="3"/>
        <v>23.11393678</v>
      </c>
      <c r="O3146" s="163">
        <f t="shared" ref="O3146:Q3146" si="3150">rank(I3146,I:I)</f>
        <v>1366</v>
      </c>
      <c r="P3146" s="163">
        <f t="shared" si="3150"/>
        <v>3400</v>
      </c>
      <c r="Q3146" s="163">
        <f t="shared" si="3150"/>
        <v>2886</v>
      </c>
      <c r="R3146" s="163">
        <f>IFERROR(__xludf.DUMMYFUNCTION("RANK(M3146,filter(M:M,C:C=C3146))"),282.0)</f>
        <v>282</v>
      </c>
      <c r="S3146" s="161" t="b">
        <f t="shared" si="5"/>
        <v>0</v>
      </c>
      <c r="T3146" s="161" t="b">
        <f t="array" ref="T3146">index('Query Tool'!B:B,match(H3146,'Query Tool'!C:C,0))</f>
        <v>1</v>
      </c>
      <c r="U3146" s="161" t="b">
        <f t="array" ref="U3146">index('Query Tool'!B:B,match(C3146,'Query Tool'!C:C,0))</f>
        <v>0</v>
      </c>
      <c r="V3146" s="161" t="b">
        <f>F3146&gt;='Query Tool'!C$32</f>
        <v>1</v>
      </c>
      <c r="W3146" s="161" t="b">
        <f t="array" ref="W3146">index(Dropdowns!B:B,match(I3146,Dropdowns!A:A,0))</f>
        <v>1</v>
      </c>
      <c r="X3146" s="161" t="b">
        <f t="array" ref="X3146">index('Query Tool'!B:B,match(D3146,'Query Tool'!C:C,0))</f>
        <v>1</v>
      </c>
      <c r="Y3146" s="161" t="str">
        <f t="shared" si="6"/>
        <v>zelleco01,2019-20</v>
      </c>
      <c r="Z3146" s="168" t="str">
        <f t="array" ref="Z3146">iferror(index(I:I,match($A3146&amp;","&amp;index('Year Conversion'!$A:$A,match($C3146,'Year Conversion'!$B:$B,0)),$Y:$Y,0))-I3146,"")</f>
        <v/>
      </c>
      <c r="AA3146" s="168" t="str">
        <f t="array" ref="AA3146">iferror(index(J:J,match($A3146&amp;","&amp;index('Year Conversion'!$A:$A,match($C3146,'Year Conversion'!$B:$B,0)),$Y:$Y,0))-J3146,"")</f>
        <v/>
      </c>
      <c r="AB3146" s="168" t="str">
        <f t="array" ref="AB3146">iferror(index(K:K,match($A3146&amp;","&amp;index('Year Conversion'!$A:$A,match($C3146,'Year Conversion'!$B:$B,0)),$Y:$Y,0))-K3146,"")</f>
        <v/>
      </c>
      <c r="AC3146" s="168" t="str">
        <f t="shared" si="7"/>
        <v>CHO,2019-20</v>
      </c>
    </row>
    <row r="3147">
      <c r="A3147" s="161" t="str">
        <f>IFERROR(__xludf.DUMMYFUNCTION("""COMPUTED_VALUE"""),"schrode01")</f>
        <v>schrode01</v>
      </c>
      <c r="B3147" s="161" t="str">
        <f>IFERROR(__xludf.DUMMYFUNCTION("""COMPUTED_VALUE"""),"Dennis Schroder")</f>
        <v>Dennis Schroder</v>
      </c>
      <c r="C3147" s="162" t="str">
        <f>IFERROR(__xludf.DUMMYFUNCTION("""COMPUTED_VALUE"""),"2019-20")</f>
        <v>2019-20</v>
      </c>
      <c r="D3147" s="163" t="str">
        <f>IFERROR(__xludf.DUMMYFUNCTION("""COMPUTED_VALUE"""),"OKC")</f>
        <v>OKC</v>
      </c>
      <c r="E3147" s="164" t="str">
        <f>IFERROR(__xludf.DUMMYFUNCTION("""COMPUTED_VALUE"""),"Primary Ball Handler")</f>
        <v>Primary Ball Handler</v>
      </c>
      <c r="F3147" s="164">
        <f>IFERROR(__xludf.DUMMYFUNCTION("""COMPUTED_VALUE"""),1998.89666666667)</f>
        <v>1998.896667</v>
      </c>
      <c r="G3147" s="163">
        <f>IFERROR(__xludf.DUMMYFUNCTION("""COMPUTED_VALUE"""),65.0)</f>
        <v>65</v>
      </c>
      <c r="H3147" s="163" t="str">
        <f>IFERROR(__xludf.DUMMYFUNCTION("""COMPUTED_VALUE"""),"PG")</f>
        <v>PG</v>
      </c>
      <c r="I3147" s="163">
        <f>IFERROR(__xludf.DUMMYFUNCTION("""COMPUTED_VALUE"""),26.0)</f>
        <v>26</v>
      </c>
      <c r="J3147" s="165">
        <f>IFERROR(__xludf.DUMMYFUNCTION("""COMPUTED_VALUE"""),0.0623986179334747)</f>
        <v>0.06239861793</v>
      </c>
      <c r="K3147" s="165">
        <f>IFERROR(__xludf.DUMMYFUNCTION("""COMPUTED_VALUE"""),0.151447751221626)</f>
        <v>0.1514477512</v>
      </c>
      <c r="L3147" s="165">
        <f>IFERROR(__xludf.DUMMYFUNCTION("""COMPUTED_VALUE"""),-0.0890491332881511)</f>
        <v>-0.08904913329</v>
      </c>
      <c r="M3147" s="166">
        <f t="shared" si="2"/>
        <v>3.165722516</v>
      </c>
      <c r="N3147" s="167">
        <f t="shared" si="3"/>
        <v>30.75225641</v>
      </c>
      <c r="O3147" s="163">
        <f t="shared" ref="O3147:Q3147" si="3151">rank(I3147,I:I)</f>
        <v>1665</v>
      </c>
      <c r="P3147" s="163">
        <f t="shared" si="3151"/>
        <v>1230</v>
      </c>
      <c r="Q3147" s="163">
        <f t="shared" si="3151"/>
        <v>1027</v>
      </c>
      <c r="R3147" s="163">
        <f>IFERROR(__xludf.DUMMYFUNCTION("RANK(M3147,filter(M:M,C:C=C3147))"),96.0)</f>
        <v>96</v>
      </c>
      <c r="S3147" s="161" t="b">
        <f t="shared" si="5"/>
        <v>0</v>
      </c>
      <c r="T3147" s="161" t="b">
        <f t="array" ref="T3147">index('Query Tool'!B:B,match(H3147,'Query Tool'!C:C,0))</f>
        <v>1</v>
      </c>
      <c r="U3147" s="161" t="b">
        <f t="array" ref="U3147">index('Query Tool'!B:B,match(C3147,'Query Tool'!C:C,0))</f>
        <v>0</v>
      </c>
      <c r="V3147" s="161" t="b">
        <f>F3147&gt;='Query Tool'!C$32</f>
        <v>1</v>
      </c>
      <c r="W3147" s="161" t="b">
        <f t="array" ref="W3147">index(Dropdowns!B:B,match(I3147,Dropdowns!A:A,0))</f>
        <v>1</v>
      </c>
      <c r="X3147" s="161" t="b">
        <f t="array" ref="X3147">index('Query Tool'!B:B,match(D3147,'Query Tool'!C:C,0))</f>
        <v>1</v>
      </c>
      <c r="Y3147" s="161" t="str">
        <f t="shared" si="6"/>
        <v>schrode01,2019-20</v>
      </c>
      <c r="Z3147" s="168" t="str">
        <f t="array" ref="Z3147">iferror(index(I:I,match($A3147&amp;","&amp;index('Year Conversion'!$A:$A,match($C3147,'Year Conversion'!$B:$B,0)),$Y:$Y,0))-I3147,"")</f>
        <v/>
      </c>
      <c r="AA3147" s="168" t="str">
        <f t="array" ref="AA3147">iferror(index(J:J,match($A3147&amp;","&amp;index('Year Conversion'!$A:$A,match($C3147,'Year Conversion'!$B:$B,0)),$Y:$Y,0))-J3147,"")</f>
        <v/>
      </c>
      <c r="AB3147" s="168" t="str">
        <f t="array" ref="AB3147">iferror(index(K:K,match($A3147&amp;","&amp;index('Year Conversion'!$A:$A,match($C3147,'Year Conversion'!$B:$B,0)),$Y:$Y,0))-K3147,"")</f>
        <v/>
      </c>
      <c r="AC3147" s="168" t="str">
        <f t="shared" si="7"/>
        <v>OKC,2019-20</v>
      </c>
    </row>
    <row r="3148">
      <c r="A3148" s="161" t="str">
        <f>IFERROR(__xludf.DUMMYFUNCTION("""COMPUTED_VALUE"""),"dedmode01")</f>
        <v>dedmode01</v>
      </c>
      <c r="B3148" s="161" t="str">
        <f>IFERROR(__xludf.DUMMYFUNCTION("""COMPUTED_VALUE"""),"Dewayne Dedmon")</f>
        <v>Dewayne Dedmon</v>
      </c>
      <c r="C3148" s="162" t="str">
        <f>IFERROR(__xludf.DUMMYFUNCTION("""COMPUTED_VALUE"""),"2019-20")</f>
        <v>2019-20</v>
      </c>
      <c r="D3148" s="163" t="str">
        <f>IFERROR(__xludf.DUMMYFUNCTION("""COMPUTED_VALUE"""),"TOT")</f>
        <v>TOT</v>
      </c>
      <c r="E3148" s="164" t="str">
        <f>IFERROR(__xludf.DUMMYFUNCTION("""COMPUTED_VALUE"""),"Stretch Big")</f>
        <v>Stretch Big</v>
      </c>
      <c r="F3148" s="164">
        <f>IFERROR(__xludf.DUMMYFUNCTION("""COMPUTED_VALUE"""),773.655)</f>
        <v>773.655</v>
      </c>
      <c r="G3148" s="163">
        <f>IFERROR(__xludf.DUMMYFUNCTION("""COMPUTED_VALUE"""),44.0)</f>
        <v>44</v>
      </c>
      <c r="H3148" s="163" t="str">
        <f>IFERROR(__xludf.DUMMYFUNCTION("""COMPUTED_VALUE"""),"C")</f>
        <v>C</v>
      </c>
      <c r="I3148" s="163">
        <f>IFERROR(__xludf.DUMMYFUNCTION("""COMPUTED_VALUE"""),30.0)</f>
        <v>30</v>
      </c>
      <c r="J3148" s="165">
        <f>IFERROR(__xludf.DUMMYFUNCTION("""COMPUTED_VALUE"""),0.280627703742925)</f>
        <v>0.2806277037</v>
      </c>
      <c r="K3148" s="165">
        <f>IFERROR(__xludf.DUMMYFUNCTION("""COMPUTED_VALUE"""),-1.65906854231959)</f>
        <v>-1.659068542</v>
      </c>
      <c r="L3148" s="165">
        <f>IFERROR(__xludf.DUMMYFUNCTION("""COMPUTED_VALUE"""),1.93969624606251)</f>
        <v>1.939696246</v>
      </c>
      <c r="M3148" s="166">
        <f t="shared" si="2"/>
        <v>1.339074808</v>
      </c>
      <c r="N3148" s="167">
        <f t="shared" si="3"/>
        <v>17.58306818</v>
      </c>
      <c r="O3148" s="163">
        <f t="shared" ref="O3148:Q3148" si="3152">rank(I3148,I:I)</f>
        <v>655</v>
      </c>
      <c r="P3148" s="163">
        <f t="shared" si="3152"/>
        <v>1032</v>
      </c>
      <c r="Q3148" s="163">
        <f t="shared" si="3152"/>
        <v>3489</v>
      </c>
      <c r="R3148" s="163">
        <f>IFERROR(__xludf.DUMMYFUNCTION("RANK(M3148,filter(M:M,C:C=C3148))"),197.0)</f>
        <v>197</v>
      </c>
      <c r="S3148" s="161" t="b">
        <f t="shared" si="5"/>
        <v>0</v>
      </c>
      <c r="T3148" s="161" t="b">
        <f t="array" ref="T3148">index('Query Tool'!B:B,match(H3148,'Query Tool'!C:C,0))</f>
        <v>1</v>
      </c>
      <c r="U3148" s="161" t="b">
        <f t="array" ref="U3148">index('Query Tool'!B:B,match(C3148,'Query Tool'!C:C,0))</f>
        <v>0</v>
      </c>
      <c r="V3148" s="161" t="b">
        <f>F3148&gt;='Query Tool'!C$32</f>
        <v>1</v>
      </c>
      <c r="W3148" s="161" t="b">
        <f t="array" ref="W3148">index(Dropdowns!B:B,match(I3148,Dropdowns!A:A,0))</f>
        <v>1</v>
      </c>
      <c r="X3148" s="161" t="b">
        <f t="array" ref="X3148">index('Query Tool'!B:B,match(D3148,'Query Tool'!C:C,0))</f>
        <v>1</v>
      </c>
      <c r="Y3148" s="161" t="str">
        <f t="shared" si="6"/>
        <v>dedmode01,2019-20</v>
      </c>
      <c r="Z3148" s="168" t="str">
        <f t="array" ref="Z3148">iferror(index(I:I,match($A3148&amp;","&amp;index('Year Conversion'!$A:$A,match($C3148,'Year Conversion'!$B:$B,0)),$Y:$Y,0))-I3148,"")</f>
        <v/>
      </c>
      <c r="AA3148" s="168" t="str">
        <f t="array" ref="AA3148">iferror(index(J:J,match($A3148&amp;","&amp;index('Year Conversion'!$A:$A,match($C3148,'Year Conversion'!$B:$B,0)),$Y:$Y,0))-J3148,"")</f>
        <v/>
      </c>
      <c r="AB3148" s="168" t="str">
        <f t="array" ref="AB3148">iferror(index(K:K,match($A3148&amp;","&amp;index('Year Conversion'!$A:$A,match($C3148,'Year Conversion'!$B:$B,0)),$Y:$Y,0))-K3148,"")</f>
        <v/>
      </c>
      <c r="AC3148" s="168" t="str">
        <f t="shared" si="7"/>
        <v>TOT,2019-20</v>
      </c>
    </row>
    <row r="3149">
      <c r="A3149" s="161" t="str">
        <f>IFERROR(__xludf.DUMMYFUNCTION("""COMPUTED_VALUE"""),"dienggo01")</f>
        <v>dienggo01</v>
      </c>
      <c r="B3149" s="161" t="str">
        <f>IFERROR(__xludf.DUMMYFUNCTION("""COMPUTED_VALUE"""),"Gorgui Dieng")</f>
        <v>Gorgui Dieng</v>
      </c>
      <c r="C3149" s="162" t="str">
        <f>IFERROR(__xludf.DUMMYFUNCTION("""COMPUTED_VALUE"""),"2019-20")</f>
        <v>2019-20</v>
      </c>
      <c r="D3149" s="163" t="str">
        <f>IFERROR(__xludf.DUMMYFUNCTION("""COMPUTED_VALUE"""),"TOT")</f>
        <v>TOT</v>
      </c>
      <c r="E3149" s="164" t="str">
        <f>IFERROR(__xludf.DUMMYFUNCTION("""COMPUTED_VALUE"""),"Stretch Big")</f>
        <v>Stretch Big</v>
      </c>
      <c r="F3149" s="164">
        <f>IFERROR(__xludf.DUMMYFUNCTION("""COMPUTED_VALUE"""),1096.49666666667)</f>
        <v>1096.496667</v>
      </c>
      <c r="G3149" s="163">
        <f>IFERROR(__xludf.DUMMYFUNCTION("""COMPUTED_VALUE"""),63.0)</f>
        <v>63</v>
      </c>
      <c r="H3149" s="163" t="str">
        <f>IFERROR(__xludf.DUMMYFUNCTION("""COMPUTED_VALUE"""),"C")</f>
        <v>C</v>
      </c>
      <c r="I3149" s="163">
        <f>IFERROR(__xludf.DUMMYFUNCTION("""COMPUTED_VALUE"""),30.0)</f>
        <v>30</v>
      </c>
      <c r="J3149" s="165">
        <f>IFERROR(__xludf.DUMMYFUNCTION("""COMPUTED_VALUE"""),0.041777329323998)</f>
        <v>0.04177732932</v>
      </c>
      <c r="K3149" s="165">
        <f>IFERROR(__xludf.DUMMYFUNCTION("""COMPUTED_VALUE"""),-1.78563434327352)</f>
        <v>-1.785634343</v>
      </c>
      <c r="L3149" s="165">
        <f>IFERROR(__xludf.DUMMYFUNCTION("""COMPUTED_VALUE"""),1.82741167259751)</f>
        <v>1.827411673</v>
      </c>
      <c r="M3149" s="166">
        <f t="shared" si="2"/>
        <v>1.721316047</v>
      </c>
      <c r="N3149" s="167">
        <f t="shared" si="3"/>
        <v>17.40470899</v>
      </c>
      <c r="O3149" s="163">
        <f t="shared" ref="O3149:Q3149" si="3153">rank(I3149,I:I)</f>
        <v>655</v>
      </c>
      <c r="P3149" s="163">
        <f t="shared" si="3153"/>
        <v>1253</v>
      </c>
      <c r="Q3149" s="163">
        <f t="shared" si="3153"/>
        <v>3569</v>
      </c>
      <c r="R3149" s="163">
        <f>IFERROR(__xludf.DUMMYFUNCTION("RANK(M3149,filter(M:M,C:C=C3149))"),170.0)</f>
        <v>170</v>
      </c>
      <c r="S3149" s="161" t="b">
        <f t="shared" si="5"/>
        <v>0</v>
      </c>
      <c r="T3149" s="161" t="b">
        <f t="array" ref="T3149">index('Query Tool'!B:B,match(H3149,'Query Tool'!C:C,0))</f>
        <v>1</v>
      </c>
      <c r="U3149" s="161" t="b">
        <f t="array" ref="U3149">index('Query Tool'!B:B,match(C3149,'Query Tool'!C:C,0))</f>
        <v>0</v>
      </c>
      <c r="V3149" s="161" t="b">
        <f>F3149&gt;='Query Tool'!C$32</f>
        <v>1</v>
      </c>
      <c r="W3149" s="161" t="b">
        <f t="array" ref="W3149">index(Dropdowns!B:B,match(I3149,Dropdowns!A:A,0))</f>
        <v>1</v>
      </c>
      <c r="X3149" s="161" t="b">
        <f t="array" ref="X3149">index('Query Tool'!B:B,match(D3149,'Query Tool'!C:C,0))</f>
        <v>1</v>
      </c>
      <c r="Y3149" s="161" t="str">
        <f t="shared" si="6"/>
        <v>dienggo01,2019-20</v>
      </c>
      <c r="Z3149" s="168" t="str">
        <f t="array" ref="Z3149">iferror(index(I:I,match($A3149&amp;","&amp;index('Year Conversion'!$A:$A,match($C3149,'Year Conversion'!$B:$B,0)),$Y:$Y,0))-I3149,"")</f>
        <v/>
      </c>
      <c r="AA3149" s="168" t="str">
        <f t="array" ref="AA3149">iferror(index(J:J,match($A3149&amp;","&amp;index('Year Conversion'!$A:$A,match($C3149,'Year Conversion'!$B:$B,0)),$Y:$Y,0))-J3149,"")</f>
        <v/>
      </c>
      <c r="AB3149" s="168" t="str">
        <f t="array" ref="AB3149">iferror(index(K:K,match($A3149&amp;","&amp;index('Year Conversion'!$A:$A,match($C3149,'Year Conversion'!$B:$B,0)),$Y:$Y,0))-K3149,"")</f>
        <v/>
      </c>
      <c r="AC3149" s="168" t="str">
        <f t="shared" si="7"/>
        <v>TOT,2019-20</v>
      </c>
    </row>
    <row r="3150">
      <c r="A3150" s="161" t="str">
        <f>IFERROR(__xludf.DUMMYFUNCTION("""COMPUTED_VALUE"""),"olynyke01")</f>
        <v>olynyke01</v>
      </c>
      <c r="B3150" s="161" t="str">
        <f>IFERROR(__xludf.DUMMYFUNCTION("""COMPUTED_VALUE"""),"Kelly Olynyk")</f>
        <v>Kelly Olynyk</v>
      </c>
      <c r="C3150" s="162" t="str">
        <f>IFERROR(__xludf.DUMMYFUNCTION("""COMPUTED_VALUE"""),"2019-20")</f>
        <v>2019-20</v>
      </c>
      <c r="D3150" s="163" t="str">
        <f>IFERROR(__xludf.DUMMYFUNCTION("""COMPUTED_VALUE"""),"MIA")</f>
        <v>MIA</v>
      </c>
      <c r="E3150" s="164" t="str">
        <f>IFERROR(__xludf.DUMMYFUNCTION("""COMPUTED_VALUE"""),"Stretch Big")</f>
        <v>Stretch Big</v>
      </c>
      <c r="F3150" s="164">
        <f>IFERROR(__xludf.DUMMYFUNCTION("""COMPUTED_VALUE"""),1300.305)</f>
        <v>1300.305</v>
      </c>
      <c r="G3150" s="163">
        <f>IFERROR(__xludf.DUMMYFUNCTION("""COMPUTED_VALUE"""),67.0)</f>
        <v>67</v>
      </c>
      <c r="H3150" s="163" t="str">
        <f>IFERROR(__xludf.DUMMYFUNCTION("""COMPUTED_VALUE"""),"C")</f>
        <v>C</v>
      </c>
      <c r="I3150" s="163">
        <f>IFERROR(__xludf.DUMMYFUNCTION("""COMPUTED_VALUE"""),28.0)</f>
        <v>28</v>
      </c>
      <c r="J3150" s="165">
        <f>IFERROR(__xludf.DUMMYFUNCTION("""COMPUTED_VALUE"""),-0.029181883487817)</f>
        <v>-0.02918188349</v>
      </c>
      <c r="K3150" s="165">
        <f>IFERROR(__xludf.DUMMYFUNCTION("""COMPUTED_VALUE"""),-0.49180081358158)</f>
        <v>-0.4918008136</v>
      </c>
      <c r="L3150" s="165">
        <f>IFERROR(__xludf.DUMMYFUNCTION("""COMPUTED_VALUE"""),0.462618930093763)</f>
        <v>0.4626189301</v>
      </c>
      <c r="M3150" s="166">
        <f t="shared" si="2"/>
        <v>1.979054537</v>
      </c>
      <c r="N3150" s="167">
        <f t="shared" si="3"/>
        <v>19.40753731</v>
      </c>
      <c r="O3150" s="163">
        <f t="shared" ref="O3150:Q3150" si="3154">rank(I3150,I:I)</f>
        <v>1090</v>
      </c>
      <c r="P3150" s="163">
        <f t="shared" si="3154"/>
        <v>1314</v>
      </c>
      <c r="Q3150" s="163">
        <f t="shared" si="3154"/>
        <v>2094</v>
      </c>
      <c r="R3150" s="163">
        <f>IFERROR(__xludf.DUMMYFUNCTION("RANK(M3150,filter(M:M,C:C=C3150))"),154.0)</f>
        <v>154</v>
      </c>
      <c r="S3150" s="161" t="b">
        <f t="shared" si="5"/>
        <v>0</v>
      </c>
      <c r="T3150" s="161" t="b">
        <f t="array" ref="T3150">index('Query Tool'!B:B,match(H3150,'Query Tool'!C:C,0))</f>
        <v>1</v>
      </c>
      <c r="U3150" s="161" t="b">
        <f t="array" ref="U3150">index('Query Tool'!B:B,match(C3150,'Query Tool'!C:C,0))</f>
        <v>0</v>
      </c>
      <c r="V3150" s="161" t="b">
        <f>F3150&gt;='Query Tool'!C$32</f>
        <v>1</v>
      </c>
      <c r="W3150" s="161" t="b">
        <f t="array" ref="W3150">index(Dropdowns!B:B,match(I3150,Dropdowns!A:A,0))</f>
        <v>1</v>
      </c>
      <c r="X3150" s="161" t="b">
        <f t="array" ref="X3150">index('Query Tool'!B:B,match(D3150,'Query Tool'!C:C,0))</f>
        <v>1</v>
      </c>
      <c r="Y3150" s="161" t="str">
        <f t="shared" si="6"/>
        <v>olynyke01,2019-20</v>
      </c>
      <c r="Z3150" s="168" t="str">
        <f t="array" ref="Z3150">iferror(index(I:I,match($A3150&amp;","&amp;index('Year Conversion'!$A:$A,match($C3150,'Year Conversion'!$B:$B,0)),$Y:$Y,0))-I3150,"")</f>
        <v/>
      </c>
      <c r="AA3150" s="168" t="str">
        <f t="array" ref="AA3150">iferror(index(J:J,match($A3150&amp;","&amp;index('Year Conversion'!$A:$A,match($C3150,'Year Conversion'!$B:$B,0)),$Y:$Y,0))-J3150,"")</f>
        <v/>
      </c>
      <c r="AB3150" s="168" t="str">
        <f t="array" ref="AB3150">iferror(index(K:K,match($A3150&amp;","&amp;index('Year Conversion'!$A:$A,match($C3150,'Year Conversion'!$B:$B,0)),$Y:$Y,0))-K3150,"")</f>
        <v/>
      </c>
      <c r="AC3150" s="168" t="str">
        <f t="shared" si="7"/>
        <v>MIA,2019-20</v>
      </c>
    </row>
    <row r="3151">
      <c r="A3151" s="161" t="str">
        <f>IFERROR(__xludf.DUMMYFUNCTION("""COMPUTED_VALUE"""),"caldwke01")</f>
        <v>caldwke01</v>
      </c>
      <c r="B3151" s="161" t="str">
        <f>IFERROR(__xludf.DUMMYFUNCTION("""COMPUTED_VALUE"""),"Kentavious Caldwell-Pope")</f>
        <v>Kentavious Caldwell-Pope</v>
      </c>
      <c r="C3151" s="162" t="str">
        <f>IFERROR(__xludf.DUMMYFUNCTION("""COMPUTED_VALUE"""),"2019-20")</f>
        <v>2019-20</v>
      </c>
      <c r="D3151" s="163" t="str">
        <f>IFERROR(__xludf.DUMMYFUNCTION("""COMPUTED_VALUE"""),"LAL")</f>
        <v>LAL</v>
      </c>
      <c r="E3151" s="164" t="str">
        <f>IFERROR(__xludf.DUMMYFUNCTION("""COMPUTED_VALUE"""),"Movement Shooter")</f>
        <v>Movement Shooter</v>
      </c>
      <c r="F3151" s="164">
        <f>IFERROR(__xludf.DUMMYFUNCTION("""COMPUTED_VALUE"""),1761.96166666667)</f>
        <v>1761.961667</v>
      </c>
      <c r="G3151" s="163">
        <f>IFERROR(__xludf.DUMMYFUNCTION("""COMPUTED_VALUE"""),69.0)</f>
        <v>69</v>
      </c>
      <c r="H3151" s="163" t="str">
        <f>IFERROR(__xludf.DUMMYFUNCTION("""COMPUTED_VALUE"""),"SG")</f>
        <v>SG</v>
      </c>
      <c r="I3151" s="163">
        <f>IFERROR(__xludf.DUMMYFUNCTION("""COMPUTED_VALUE"""),26.0)</f>
        <v>26</v>
      </c>
      <c r="J3151" s="165">
        <f>IFERROR(__xludf.DUMMYFUNCTION("""COMPUTED_VALUE"""),-0.682085563191806)</f>
        <v>-0.6820855632</v>
      </c>
      <c r="K3151" s="165">
        <f>IFERROR(__xludf.DUMMYFUNCTION("""COMPUTED_VALUE"""),-0.313109900226997)</f>
        <v>-0.3131099002</v>
      </c>
      <c r="L3151" s="165">
        <f>IFERROR(__xludf.DUMMYFUNCTION("""COMPUTED_VALUE"""),-0.368975662964809)</f>
        <v>-0.368975663</v>
      </c>
      <c r="M3151" s="166">
        <f t="shared" si="2"/>
        <v>1.906633701</v>
      </c>
      <c r="N3151" s="167">
        <f t="shared" si="3"/>
        <v>25.53567633</v>
      </c>
      <c r="O3151" s="163">
        <f t="shared" ref="O3151:Q3151" si="3155">rank(I3151,I:I)</f>
        <v>1665</v>
      </c>
      <c r="P3151" s="163">
        <f t="shared" si="3155"/>
        <v>2114</v>
      </c>
      <c r="Q3151" s="163">
        <f t="shared" si="3155"/>
        <v>1780</v>
      </c>
      <c r="R3151" s="163">
        <f>IFERROR(__xludf.DUMMYFUNCTION("RANK(M3151,filter(M:M,C:C=C3151))"),159.0)</f>
        <v>159</v>
      </c>
      <c r="S3151" s="161" t="b">
        <f t="shared" si="5"/>
        <v>0</v>
      </c>
      <c r="T3151" s="161" t="b">
        <f t="array" ref="T3151">index('Query Tool'!B:B,match(H3151,'Query Tool'!C:C,0))</f>
        <v>1</v>
      </c>
      <c r="U3151" s="161" t="b">
        <f t="array" ref="U3151">index('Query Tool'!B:B,match(C3151,'Query Tool'!C:C,0))</f>
        <v>0</v>
      </c>
      <c r="V3151" s="161" t="b">
        <f>F3151&gt;='Query Tool'!C$32</f>
        <v>1</v>
      </c>
      <c r="W3151" s="161" t="b">
        <f t="array" ref="W3151">index(Dropdowns!B:B,match(I3151,Dropdowns!A:A,0))</f>
        <v>1</v>
      </c>
      <c r="X3151" s="161" t="b">
        <f t="array" ref="X3151">index('Query Tool'!B:B,match(D3151,'Query Tool'!C:C,0))</f>
        <v>1</v>
      </c>
      <c r="Y3151" s="161" t="str">
        <f t="shared" si="6"/>
        <v>caldwke01,2019-20</v>
      </c>
      <c r="Z3151" s="168" t="str">
        <f t="array" ref="Z3151">iferror(index(I:I,match($A3151&amp;","&amp;index('Year Conversion'!$A:$A,match($C3151,'Year Conversion'!$B:$B,0)),$Y:$Y,0))-I3151,"")</f>
        <v/>
      </c>
      <c r="AA3151" s="168" t="str">
        <f t="array" ref="AA3151">iferror(index(J:J,match($A3151&amp;","&amp;index('Year Conversion'!$A:$A,match($C3151,'Year Conversion'!$B:$B,0)),$Y:$Y,0))-J3151,"")</f>
        <v/>
      </c>
      <c r="AB3151" s="168" t="str">
        <f t="array" ref="AB3151">iferror(index(K:K,match($A3151&amp;","&amp;index('Year Conversion'!$A:$A,match($C3151,'Year Conversion'!$B:$B,0)),$Y:$Y,0))-K3151,"")</f>
        <v/>
      </c>
      <c r="AC3151" s="168" t="str">
        <f t="shared" si="7"/>
        <v>LAL,2019-20</v>
      </c>
    </row>
    <row r="3152">
      <c r="A3152" s="161" t="str">
        <f>IFERROR(__xludf.DUMMYFUNCTION("""COMPUTED_VALUE"""),"plumlma01")</f>
        <v>plumlma01</v>
      </c>
      <c r="B3152" s="161" t="str">
        <f>IFERROR(__xludf.DUMMYFUNCTION("""COMPUTED_VALUE"""),"Mason Plumlee")</f>
        <v>Mason Plumlee</v>
      </c>
      <c r="C3152" s="162" t="str">
        <f>IFERROR(__xludf.DUMMYFUNCTION("""COMPUTED_VALUE"""),"2019-20")</f>
        <v>2019-20</v>
      </c>
      <c r="D3152" s="163" t="str">
        <f>IFERROR(__xludf.DUMMYFUNCTION("""COMPUTED_VALUE"""),"DEN")</f>
        <v>DEN</v>
      </c>
      <c r="E3152" s="164" t="str">
        <f>IFERROR(__xludf.DUMMYFUNCTION("""COMPUTED_VALUE"""),"Post Scorer")</f>
        <v>Post Scorer</v>
      </c>
      <c r="F3152" s="164">
        <f>IFERROR(__xludf.DUMMYFUNCTION("""COMPUTED_VALUE"""),1057.29833333333)</f>
        <v>1057.298333</v>
      </c>
      <c r="G3152" s="163">
        <f>IFERROR(__xludf.DUMMYFUNCTION("""COMPUTED_VALUE"""),61.0)</f>
        <v>61</v>
      </c>
      <c r="H3152" s="163" t="str">
        <f>IFERROR(__xludf.DUMMYFUNCTION("""COMPUTED_VALUE"""),"C")</f>
        <v>C</v>
      </c>
      <c r="I3152" s="163">
        <f>IFERROR(__xludf.DUMMYFUNCTION("""COMPUTED_VALUE"""),29.0)</f>
        <v>29</v>
      </c>
      <c r="J3152" s="165">
        <f>IFERROR(__xludf.DUMMYFUNCTION("""COMPUTED_VALUE"""),1.101405490338)</f>
        <v>1.10140549</v>
      </c>
      <c r="K3152" s="165">
        <f>IFERROR(__xludf.DUMMYFUNCTION("""COMPUTED_VALUE"""),0.22021568251702)</f>
        <v>0.2202156825</v>
      </c>
      <c r="L3152" s="165">
        <f>IFERROR(__xludf.DUMMYFUNCTION("""COMPUTED_VALUE"""),0.881189807820982)</f>
        <v>0.8811898078</v>
      </c>
      <c r="M3152" s="166">
        <f t="shared" si="2"/>
        <v>2.413784807</v>
      </c>
      <c r="N3152" s="167">
        <f t="shared" si="3"/>
        <v>17.33275956</v>
      </c>
      <c r="O3152" s="163">
        <f t="shared" ref="O3152:Q3152" si="3156">rank(I3152,I:I)</f>
        <v>855</v>
      </c>
      <c r="P3152" s="163">
        <f t="shared" si="3156"/>
        <v>618</v>
      </c>
      <c r="Q3152" s="163">
        <f t="shared" si="3156"/>
        <v>970</v>
      </c>
      <c r="R3152" s="163">
        <f>IFERROR(__xludf.DUMMYFUNCTION("RANK(M3152,filter(M:M,C:C=C3152))"),130.0)</f>
        <v>130</v>
      </c>
      <c r="S3152" s="161" t="b">
        <f t="shared" si="5"/>
        <v>0</v>
      </c>
      <c r="T3152" s="161" t="b">
        <f t="array" ref="T3152">index('Query Tool'!B:B,match(H3152,'Query Tool'!C:C,0))</f>
        <v>1</v>
      </c>
      <c r="U3152" s="161" t="b">
        <f t="array" ref="U3152">index('Query Tool'!B:B,match(C3152,'Query Tool'!C:C,0))</f>
        <v>0</v>
      </c>
      <c r="V3152" s="161" t="b">
        <f>F3152&gt;='Query Tool'!C$32</f>
        <v>1</v>
      </c>
      <c r="W3152" s="161" t="b">
        <f t="array" ref="W3152">index(Dropdowns!B:B,match(I3152,Dropdowns!A:A,0))</f>
        <v>1</v>
      </c>
      <c r="X3152" s="161" t="b">
        <f t="array" ref="X3152">index('Query Tool'!B:B,match(D3152,'Query Tool'!C:C,0))</f>
        <v>1</v>
      </c>
      <c r="Y3152" s="161" t="str">
        <f t="shared" si="6"/>
        <v>plumlma01,2019-20</v>
      </c>
      <c r="Z3152" s="168" t="str">
        <f t="array" ref="Z3152">iferror(index(I:I,match($A3152&amp;","&amp;index('Year Conversion'!$A:$A,match($C3152,'Year Conversion'!$B:$B,0)),$Y:$Y,0))-I3152,"")</f>
        <v/>
      </c>
      <c r="AA3152" s="168" t="str">
        <f t="array" ref="AA3152">iferror(index(J:J,match($A3152&amp;","&amp;index('Year Conversion'!$A:$A,match($C3152,'Year Conversion'!$B:$B,0)),$Y:$Y,0))-J3152,"")</f>
        <v/>
      </c>
      <c r="AB3152" s="168" t="str">
        <f t="array" ref="AB3152">iferror(index(K:K,match($A3152&amp;","&amp;index('Year Conversion'!$A:$A,match($C3152,'Year Conversion'!$B:$B,0)),$Y:$Y,0))-K3152,"")</f>
        <v/>
      </c>
      <c r="AC3152" s="168" t="str">
        <f t="shared" si="7"/>
        <v>DEN,2019-20</v>
      </c>
    </row>
    <row r="3153">
      <c r="A3153" s="161" t="str">
        <f>IFERROR(__xludf.DUMMYFUNCTION("""COMPUTED_VALUE"""),"cartemi01")</f>
        <v>cartemi01</v>
      </c>
      <c r="B3153" s="161" t="str">
        <f>IFERROR(__xludf.DUMMYFUNCTION("""COMPUTED_VALUE"""),"Michael Carter-Williams")</f>
        <v>Michael Carter-Williams</v>
      </c>
      <c r="C3153" s="162" t="str">
        <f>IFERROR(__xludf.DUMMYFUNCTION("""COMPUTED_VALUE"""),"2019-20")</f>
        <v>2019-20</v>
      </c>
      <c r="D3153" s="163" t="str">
        <f>IFERROR(__xludf.DUMMYFUNCTION("""COMPUTED_VALUE"""),"ORL")</f>
        <v>ORL</v>
      </c>
      <c r="E3153" s="164" t="str">
        <f>IFERROR(__xludf.DUMMYFUNCTION("""COMPUTED_VALUE"""),"Stationary Shooter")</f>
        <v>Stationary Shooter</v>
      </c>
      <c r="F3153" s="164">
        <f>IFERROR(__xludf.DUMMYFUNCTION("""COMPUTED_VALUE"""),833.143333333333)</f>
        <v>833.1433333</v>
      </c>
      <c r="G3153" s="163">
        <f>IFERROR(__xludf.DUMMYFUNCTION("""COMPUTED_VALUE"""),45.0)</f>
        <v>45</v>
      </c>
      <c r="H3153" s="163" t="str">
        <f>IFERROR(__xludf.DUMMYFUNCTION("""COMPUTED_VALUE"""),"SG")</f>
        <v>SG</v>
      </c>
      <c r="I3153" s="163">
        <f>IFERROR(__xludf.DUMMYFUNCTION("""COMPUTED_VALUE"""),28.0)</f>
        <v>28</v>
      </c>
      <c r="J3153" s="165">
        <f>IFERROR(__xludf.DUMMYFUNCTION("""COMPUTED_VALUE"""),0.0350225950372427)</f>
        <v>0.03502259504</v>
      </c>
      <c r="K3153" s="165">
        <f>IFERROR(__xludf.DUMMYFUNCTION("""COMPUTED_VALUE"""),-0.137860409983152)</f>
        <v>-0.13786041</v>
      </c>
      <c r="L3153" s="165">
        <f>IFERROR(__xludf.DUMMYFUNCTION("""COMPUTED_VALUE"""),0.172883005020395)</f>
        <v>0.172883005</v>
      </c>
      <c r="M3153" s="166">
        <f t="shared" si="2"/>
        <v>1.30410135</v>
      </c>
      <c r="N3153" s="167">
        <f t="shared" si="3"/>
        <v>18.5142963</v>
      </c>
      <c r="O3153" s="163">
        <f t="shared" ref="O3153:Q3153" si="3157">rank(I3153,I:I)</f>
        <v>1090</v>
      </c>
      <c r="P3153" s="163">
        <f t="shared" si="3157"/>
        <v>1260</v>
      </c>
      <c r="Q3153" s="163">
        <f t="shared" si="3157"/>
        <v>1458</v>
      </c>
      <c r="R3153" s="163">
        <f>IFERROR(__xludf.DUMMYFUNCTION("RANK(M3153,filter(M:M,C:C=C3153))"),199.0)</f>
        <v>199</v>
      </c>
      <c r="S3153" s="161" t="b">
        <f t="shared" si="5"/>
        <v>0</v>
      </c>
      <c r="T3153" s="161" t="b">
        <f t="array" ref="T3153">index('Query Tool'!B:B,match(H3153,'Query Tool'!C:C,0))</f>
        <v>1</v>
      </c>
      <c r="U3153" s="161" t="b">
        <f t="array" ref="U3153">index('Query Tool'!B:B,match(C3153,'Query Tool'!C:C,0))</f>
        <v>0</v>
      </c>
      <c r="V3153" s="161" t="b">
        <f>F3153&gt;='Query Tool'!C$32</f>
        <v>1</v>
      </c>
      <c r="W3153" s="161" t="b">
        <f t="array" ref="W3153">index(Dropdowns!B:B,match(I3153,Dropdowns!A:A,0))</f>
        <v>1</v>
      </c>
      <c r="X3153" s="161" t="b">
        <f t="array" ref="X3153">index('Query Tool'!B:B,match(D3153,'Query Tool'!C:C,0))</f>
        <v>1</v>
      </c>
      <c r="Y3153" s="161" t="str">
        <f t="shared" si="6"/>
        <v>cartemi01,2019-20</v>
      </c>
      <c r="Z3153" s="168" t="str">
        <f t="array" ref="Z3153">iferror(index(I:I,match($A3153&amp;","&amp;index('Year Conversion'!$A:$A,match($C3153,'Year Conversion'!$B:$B,0)),$Y:$Y,0))-I3153,"")</f>
        <v/>
      </c>
      <c r="AA3153" s="168" t="str">
        <f t="array" ref="AA3153">iferror(index(J:J,match($A3153&amp;","&amp;index('Year Conversion'!$A:$A,match($C3153,'Year Conversion'!$B:$B,0)),$Y:$Y,0))-J3153,"")</f>
        <v/>
      </c>
      <c r="AB3153" s="168" t="str">
        <f t="array" ref="AB3153">iferror(index(K:K,match($A3153&amp;","&amp;index('Year Conversion'!$A:$A,match($C3153,'Year Conversion'!$B:$B,0)),$Y:$Y,0))-K3153,"")</f>
        <v/>
      </c>
      <c r="AC3153" s="168" t="str">
        <f t="shared" si="7"/>
        <v>ORL,2019-20</v>
      </c>
    </row>
    <row r="3154">
      <c r="A3154" s="161" t="str">
        <f>IFERROR(__xludf.DUMMYFUNCTION("""COMPUTED_VALUE"""),"muscami01")</f>
        <v>muscami01</v>
      </c>
      <c r="B3154" s="161" t="str">
        <f>IFERROR(__xludf.DUMMYFUNCTION("""COMPUTED_VALUE"""),"Mike Muscala")</f>
        <v>Mike Muscala</v>
      </c>
      <c r="C3154" s="162" t="str">
        <f>IFERROR(__xludf.DUMMYFUNCTION("""COMPUTED_VALUE"""),"2019-20")</f>
        <v>2019-20</v>
      </c>
      <c r="D3154" s="163" t="str">
        <f>IFERROR(__xludf.DUMMYFUNCTION("""COMPUTED_VALUE"""),"OKC")</f>
        <v>OKC</v>
      </c>
      <c r="E3154" s="164" t="str">
        <f>IFERROR(__xludf.DUMMYFUNCTION("""COMPUTED_VALUE"""),"Stretch Big")</f>
        <v>Stretch Big</v>
      </c>
      <c r="F3154" s="164">
        <f>IFERROR(__xludf.DUMMYFUNCTION("""COMPUTED_VALUE"""),571.766666666667)</f>
        <v>571.7666667</v>
      </c>
      <c r="G3154" s="163">
        <f>IFERROR(__xludf.DUMMYFUNCTION("""COMPUTED_VALUE"""),47.0)</f>
        <v>47</v>
      </c>
      <c r="H3154" s="163" t="str">
        <f>IFERROR(__xludf.DUMMYFUNCTION("""COMPUTED_VALUE"""),"C")</f>
        <v>C</v>
      </c>
      <c r="I3154" s="163">
        <f>IFERROR(__xludf.DUMMYFUNCTION("""COMPUTED_VALUE"""),28.0)</f>
        <v>28</v>
      </c>
      <c r="J3154" s="165">
        <f>IFERROR(__xludf.DUMMYFUNCTION("""COMPUTED_VALUE"""),-0.247736628782073)</f>
        <v>-0.2477366288</v>
      </c>
      <c r="K3154" s="165">
        <f>IFERROR(__xludf.DUMMYFUNCTION("""COMPUTED_VALUE"""),-0.713620294701837)</f>
        <v>-0.7136202947</v>
      </c>
      <c r="L3154" s="165">
        <f>IFERROR(__xludf.DUMMYFUNCTION("""COMPUTED_VALUE"""),0.465883665919764)</f>
        <v>0.4658836659</v>
      </c>
      <c r="M3154" s="166">
        <f t="shared" si="2"/>
        <v>0.7859844191</v>
      </c>
      <c r="N3154" s="167">
        <f t="shared" si="3"/>
        <v>12.16524823</v>
      </c>
      <c r="O3154" s="163">
        <f t="shared" ref="O3154:Q3154" si="3158">rank(I3154,I:I)</f>
        <v>1090</v>
      </c>
      <c r="P3154" s="163">
        <f t="shared" si="3158"/>
        <v>1555</v>
      </c>
      <c r="Q3154" s="163">
        <f t="shared" si="3158"/>
        <v>2431</v>
      </c>
      <c r="R3154" s="163">
        <f>IFERROR(__xludf.DUMMYFUNCTION("RANK(M3154,filter(M:M,C:C=C3154))"),225.0)</f>
        <v>225</v>
      </c>
      <c r="S3154" s="161" t="b">
        <f t="shared" si="5"/>
        <v>0</v>
      </c>
      <c r="T3154" s="161" t="b">
        <f t="array" ref="T3154">index('Query Tool'!B:B,match(H3154,'Query Tool'!C:C,0))</f>
        <v>1</v>
      </c>
      <c r="U3154" s="161" t="b">
        <f t="array" ref="U3154">index('Query Tool'!B:B,match(C3154,'Query Tool'!C:C,0))</f>
        <v>0</v>
      </c>
      <c r="V3154" s="161" t="b">
        <f>F3154&gt;='Query Tool'!C$32</f>
        <v>1</v>
      </c>
      <c r="W3154" s="161" t="b">
        <f t="array" ref="W3154">index(Dropdowns!B:B,match(I3154,Dropdowns!A:A,0))</f>
        <v>1</v>
      </c>
      <c r="X3154" s="161" t="b">
        <f t="array" ref="X3154">index('Query Tool'!B:B,match(D3154,'Query Tool'!C:C,0))</f>
        <v>1</v>
      </c>
      <c r="Y3154" s="161" t="str">
        <f t="shared" si="6"/>
        <v>muscami01,2019-20</v>
      </c>
      <c r="Z3154" s="168" t="str">
        <f t="array" ref="Z3154">iferror(index(I:I,match($A3154&amp;","&amp;index('Year Conversion'!$A:$A,match($C3154,'Year Conversion'!$B:$B,0)),$Y:$Y,0))-I3154,"")</f>
        <v/>
      </c>
      <c r="AA3154" s="168" t="str">
        <f t="array" ref="AA3154">iferror(index(J:J,match($A3154&amp;","&amp;index('Year Conversion'!$A:$A,match($C3154,'Year Conversion'!$B:$B,0)),$Y:$Y,0))-J3154,"")</f>
        <v/>
      </c>
      <c r="AB3154" s="168" t="str">
        <f t="array" ref="AB3154">iferror(index(K:K,match($A3154&amp;","&amp;index('Year Conversion'!$A:$A,match($C3154,'Year Conversion'!$B:$B,0)),$Y:$Y,0))-K3154,"")</f>
        <v/>
      </c>
      <c r="AC3154" s="168" t="str">
        <f t="shared" si="7"/>
        <v>OKC,2019-20</v>
      </c>
    </row>
    <row r="3155">
      <c r="A3155" s="161" t="str">
        <f>IFERROR(__xludf.DUMMYFUNCTION("""COMPUTED_VALUE"""),"porteot01")</f>
        <v>porteot01</v>
      </c>
      <c r="B3155" s="161" t="str">
        <f>IFERROR(__xludf.DUMMYFUNCTION("""COMPUTED_VALUE"""),"Otto Porter Jr.")</f>
        <v>Otto Porter Jr.</v>
      </c>
      <c r="C3155" s="162" t="str">
        <f>IFERROR(__xludf.DUMMYFUNCTION("""COMPUTED_VALUE"""),"2019-20")</f>
        <v>2019-20</v>
      </c>
      <c r="D3155" s="163" t="str">
        <f>IFERROR(__xludf.DUMMYFUNCTION("""COMPUTED_VALUE"""),"CHI")</f>
        <v>CHI</v>
      </c>
      <c r="E3155" s="164" t="str">
        <f>IFERROR(__xludf.DUMMYFUNCTION("""COMPUTED_VALUE"""),"Secondary Ball Handler")</f>
        <v>Secondary Ball Handler</v>
      </c>
      <c r="F3155" s="164">
        <f>IFERROR(__xludf.DUMMYFUNCTION("""COMPUTED_VALUE"""),330.78)</f>
        <v>330.78</v>
      </c>
      <c r="G3155" s="163">
        <f>IFERROR(__xludf.DUMMYFUNCTION("""COMPUTED_VALUE"""),14.0)</f>
        <v>14</v>
      </c>
      <c r="H3155" s="163" t="str">
        <f>IFERROR(__xludf.DUMMYFUNCTION("""COMPUTED_VALUE"""),"SF")</f>
        <v>SF</v>
      </c>
      <c r="I3155" s="163">
        <f>IFERROR(__xludf.DUMMYFUNCTION("""COMPUTED_VALUE"""),26.0)</f>
        <v>26</v>
      </c>
      <c r="J3155" s="165">
        <f>IFERROR(__xludf.DUMMYFUNCTION("""COMPUTED_VALUE"""),0.461408764893249)</f>
        <v>0.4614087649</v>
      </c>
      <c r="K3155" s="165">
        <f>IFERROR(__xludf.DUMMYFUNCTION("""COMPUTED_VALUE"""),0.756758288941698)</f>
        <v>0.7567582889</v>
      </c>
      <c r="L3155" s="165">
        <f>IFERROR(__xludf.DUMMYFUNCTION("""COMPUTED_VALUE"""),-0.29534952404845)</f>
        <v>-0.295349524</v>
      </c>
      <c r="M3155" s="166">
        <f t="shared" si="2"/>
        <v>0.6128201581</v>
      </c>
      <c r="N3155" s="167">
        <f t="shared" si="3"/>
        <v>23.62714286</v>
      </c>
      <c r="O3155" s="163">
        <f t="shared" ref="O3155:Q3155" si="3159">rank(I3155,I:I)</f>
        <v>1665</v>
      </c>
      <c r="P3155" s="163">
        <f t="shared" si="3159"/>
        <v>918</v>
      </c>
      <c r="Q3155" s="163">
        <f t="shared" si="3159"/>
        <v>622</v>
      </c>
      <c r="R3155" s="163">
        <f>IFERROR(__xludf.DUMMYFUNCTION("RANK(M3155,filter(M:M,C:C=C3155))"),240.0)</f>
        <v>240</v>
      </c>
      <c r="S3155" s="161" t="b">
        <f t="shared" si="5"/>
        <v>0</v>
      </c>
      <c r="T3155" s="161" t="b">
        <f t="array" ref="T3155">index('Query Tool'!B:B,match(H3155,'Query Tool'!C:C,0))</f>
        <v>1</v>
      </c>
      <c r="U3155" s="161" t="b">
        <f t="array" ref="U3155">index('Query Tool'!B:B,match(C3155,'Query Tool'!C:C,0))</f>
        <v>0</v>
      </c>
      <c r="V3155" s="161" t="b">
        <f>F3155&gt;='Query Tool'!C$32</f>
        <v>0</v>
      </c>
      <c r="W3155" s="161" t="b">
        <f t="array" ref="W3155">index(Dropdowns!B:B,match(I3155,Dropdowns!A:A,0))</f>
        <v>1</v>
      </c>
      <c r="X3155" s="161" t="b">
        <f t="array" ref="X3155">index('Query Tool'!B:B,match(D3155,'Query Tool'!C:C,0))</f>
        <v>1</v>
      </c>
      <c r="Y3155" s="161" t="str">
        <f t="shared" si="6"/>
        <v>porteot01,2019-20</v>
      </c>
      <c r="Z3155" s="168" t="str">
        <f t="array" ref="Z3155">iferror(index(I:I,match($A3155&amp;","&amp;index('Year Conversion'!$A:$A,match($C3155,'Year Conversion'!$B:$B,0)),$Y:$Y,0))-I3155,"")</f>
        <v/>
      </c>
      <c r="AA3155" s="168" t="str">
        <f t="array" ref="AA3155">iferror(index(J:J,match($A3155&amp;","&amp;index('Year Conversion'!$A:$A,match($C3155,'Year Conversion'!$B:$B,0)),$Y:$Y,0))-J3155,"")</f>
        <v/>
      </c>
      <c r="AB3155" s="168" t="str">
        <f t="array" ref="AB3155">iferror(index(K:K,match($A3155&amp;","&amp;index('Year Conversion'!$A:$A,match($C3155,'Year Conversion'!$B:$B,0)),$Y:$Y,0))-K3155,"")</f>
        <v/>
      </c>
      <c r="AC3155" s="168" t="str">
        <f t="shared" si="7"/>
        <v>CHI,2019-20</v>
      </c>
    </row>
    <row r="3156">
      <c r="A3156" s="161" t="str">
        <f>IFERROR(__xludf.DUMMYFUNCTION("""COMPUTED_VALUE"""),"bullore01")</f>
        <v>bullore01</v>
      </c>
      <c r="B3156" s="161" t="str">
        <f>IFERROR(__xludf.DUMMYFUNCTION("""COMPUTED_VALUE"""),"Reggie Bullock")</f>
        <v>Reggie Bullock</v>
      </c>
      <c r="C3156" s="162" t="str">
        <f>IFERROR(__xludf.DUMMYFUNCTION("""COMPUTED_VALUE"""),"2019-20")</f>
        <v>2019-20</v>
      </c>
      <c r="D3156" s="163" t="str">
        <f>IFERROR(__xludf.DUMMYFUNCTION("""COMPUTED_VALUE"""),"NYK")</f>
        <v>NYK</v>
      </c>
      <c r="E3156" s="164" t="str">
        <f>IFERROR(__xludf.DUMMYFUNCTION("""COMPUTED_VALUE"""),"Movement Shooter")</f>
        <v>Movement Shooter</v>
      </c>
      <c r="F3156" s="164">
        <f>IFERROR(__xludf.DUMMYFUNCTION("""COMPUTED_VALUE"""),684.325)</f>
        <v>684.325</v>
      </c>
      <c r="G3156" s="163">
        <f>IFERROR(__xludf.DUMMYFUNCTION("""COMPUTED_VALUE"""),29.0)</f>
        <v>29</v>
      </c>
      <c r="H3156" s="163" t="str">
        <f>IFERROR(__xludf.DUMMYFUNCTION("""COMPUTED_VALUE"""),"SG")</f>
        <v>SG</v>
      </c>
      <c r="I3156" s="163">
        <f>IFERROR(__xludf.DUMMYFUNCTION("""COMPUTED_VALUE"""),28.0)</f>
        <v>28</v>
      </c>
      <c r="J3156" s="165">
        <f>IFERROR(__xludf.DUMMYFUNCTION("""COMPUTED_VALUE"""),-1.43694388897577)</f>
        <v>-1.436943889</v>
      </c>
      <c r="K3156" s="165">
        <f>IFERROR(__xludf.DUMMYFUNCTION("""COMPUTED_VALUE"""),-0.99307474131388)</f>
        <v>-0.9930747413</v>
      </c>
      <c r="L3156" s="165">
        <f>IFERROR(__xludf.DUMMYFUNCTION("""COMPUTED_VALUE"""),-0.44386914766189)</f>
        <v>-0.4438691477</v>
      </c>
      <c r="M3156" s="166">
        <f t="shared" si="2"/>
        <v>0.3939406087</v>
      </c>
      <c r="N3156" s="167">
        <f t="shared" si="3"/>
        <v>23.59741379</v>
      </c>
      <c r="O3156" s="163">
        <f t="shared" ref="O3156:Q3156" si="3160">rank(I3156,I:I)</f>
        <v>1090</v>
      </c>
      <c r="P3156" s="163">
        <f t="shared" si="3160"/>
        <v>2999</v>
      </c>
      <c r="Q3156" s="163">
        <f t="shared" si="3160"/>
        <v>2793</v>
      </c>
      <c r="R3156" s="163">
        <f>IFERROR(__xludf.DUMMYFUNCTION("RANK(M3156,filter(M:M,C:C=C3156))"),274.0)</f>
        <v>274</v>
      </c>
      <c r="S3156" s="161" t="b">
        <f t="shared" si="5"/>
        <v>0</v>
      </c>
      <c r="T3156" s="161" t="b">
        <f t="array" ref="T3156">index('Query Tool'!B:B,match(H3156,'Query Tool'!C:C,0))</f>
        <v>1</v>
      </c>
      <c r="U3156" s="161" t="b">
        <f t="array" ref="U3156">index('Query Tool'!B:B,match(C3156,'Query Tool'!C:C,0))</f>
        <v>0</v>
      </c>
      <c r="V3156" s="161" t="b">
        <f>F3156&gt;='Query Tool'!C$32</f>
        <v>1</v>
      </c>
      <c r="W3156" s="161" t="b">
        <f t="array" ref="W3156">index(Dropdowns!B:B,match(I3156,Dropdowns!A:A,0))</f>
        <v>1</v>
      </c>
      <c r="X3156" s="161" t="b">
        <f t="array" ref="X3156">index('Query Tool'!B:B,match(D3156,'Query Tool'!C:C,0))</f>
        <v>1</v>
      </c>
      <c r="Y3156" s="161" t="str">
        <f t="shared" si="6"/>
        <v>bullore01,2019-20</v>
      </c>
      <c r="Z3156" s="168" t="str">
        <f t="array" ref="Z3156">iferror(index(I:I,match($A3156&amp;","&amp;index('Year Conversion'!$A:$A,match($C3156,'Year Conversion'!$B:$B,0)),$Y:$Y,0))-I3156,"")</f>
        <v/>
      </c>
      <c r="AA3156" s="168" t="str">
        <f t="array" ref="AA3156">iferror(index(J:J,match($A3156&amp;","&amp;index('Year Conversion'!$A:$A,match($C3156,'Year Conversion'!$B:$B,0)),$Y:$Y,0))-J3156,"")</f>
        <v/>
      </c>
      <c r="AB3156" s="168" t="str">
        <f t="array" ref="AB3156">iferror(index(K:K,match($A3156&amp;","&amp;index('Year Conversion'!$A:$A,match($C3156,'Year Conversion'!$B:$B,0)),$Y:$Y,0))-K3156,"")</f>
        <v/>
      </c>
      <c r="AC3156" s="168" t="str">
        <f t="shared" si="7"/>
        <v>NYK,2019-20</v>
      </c>
    </row>
    <row r="3157">
      <c r="A3157" s="161" t="str">
        <f>IFERROR(__xludf.DUMMYFUNCTION("""COMPUTED_VALUE"""),"covinro01")</f>
        <v>covinro01</v>
      </c>
      <c r="B3157" s="161" t="str">
        <f>IFERROR(__xludf.DUMMYFUNCTION("""COMPUTED_VALUE"""),"Robert Covington")</f>
        <v>Robert Covington</v>
      </c>
      <c r="C3157" s="162" t="str">
        <f>IFERROR(__xludf.DUMMYFUNCTION("""COMPUTED_VALUE"""),"2019-20")</f>
        <v>2019-20</v>
      </c>
      <c r="D3157" s="163" t="str">
        <f>IFERROR(__xludf.DUMMYFUNCTION("""COMPUTED_VALUE"""),"TOT")</f>
        <v>TOT</v>
      </c>
      <c r="E3157" s="164" t="str">
        <f>IFERROR(__xludf.DUMMYFUNCTION("""COMPUTED_VALUE"""),"Movement Shooter")</f>
        <v>Movement Shooter</v>
      </c>
      <c r="F3157" s="164">
        <f>IFERROR(__xludf.DUMMYFUNCTION("""COMPUTED_VALUE"""),2136.80833333333)</f>
        <v>2136.808333</v>
      </c>
      <c r="G3157" s="163">
        <f>IFERROR(__xludf.DUMMYFUNCTION("""COMPUTED_VALUE"""),70.0)</f>
        <v>70</v>
      </c>
      <c r="H3157" s="163" t="str">
        <f>IFERROR(__xludf.DUMMYFUNCTION("""COMPUTED_VALUE"""),"PF-C")</f>
        <v>PF-C</v>
      </c>
      <c r="I3157" s="163">
        <f>IFERROR(__xludf.DUMMYFUNCTION("""COMPUTED_VALUE"""),29.0)</f>
        <v>29</v>
      </c>
      <c r="J3157" s="165">
        <f>IFERROR(__xludf.DUMMYFUNCTION("""COMPUTED_VALUE"""),2.25162168562672)</f>
        <v>2.251621686</v>
      </c>
      <c r="K3157" s="165">
        <f>IFERROR(__xludf.DUMMYFUNCTION("""COMPUTED_VALUE"""),0.344573175606657)</f>
        <v>0.3445731756</v>
      </c>
      <c r="L3157" s="165">
        <f>IFERROR(__xludf.DUMMYFUNCTION("""COMPUTED_VALUE"""),1.90704851002007)</f>
        <v>1.90704851</v>
      </c>
      <c r="M3157" s="166">
        <f t="shared" si="2"/>
        <v>6.515310754</v>
      </c>
      <c r="N3157" s="167">
        <f t="shared" si="3"/>
        <v>30.52583333</v>
      </c>
      <c r="O3157" s="163">
        <f t="shared" ref="O3157:Q3157" si="3161">rank(I3157,I:I)</f>
        <v>855</v>
      </c>
      <c r="P3157" s="163">
        <f t="shared" si="3161"/>
        <v>264</v>
      </c>
      <c r="Q3157" s="163">
        <f t="shared" si="3161"/>
        <v>870</v>
      </c>
      <c r="R3157" s="163">
        <f>IFERROR(__xludf.DUMMYFUNCTION("RANK(M3157,filter(M:M,C:C=C3157))"),23.0)</f>
        <v>23</v>
      </c>
      <c r="S3157" s="161" t="b">
        <f t="shared" si="5"/>
        <v>0</v>
      </c>
      <c r="T3157" s="161" t="str">
        <f t="array" ref="T3157">index('Query Tool'!B:B,match(H3157,'Query Tool'!C:C,0))</f>
        <v>#N/A</v>
      </c>
      <c r="U3157" s="161" t="b">
        <f t="array" ref="U3157">index('Query Tool'!B:B,match(C3157,'Query Tool'!C:C,0))</f>
        <v>0</v>
      </c>
      <c r="V3157" s="161" t="b">
        <f>F3157&gt;='Query Tool'!C$32</f>
        <v>1</v>
      </c>
      <c r="W3157" s="161" t="b">
        <f t="array" ref="W3157">index(Dropdowns!B:B,match(I3157,Dropdowns!A:A,0))</f>
        <v>1</v>
      </c>
      <c r="X3157" s="161" t="b">
        <f t="array" ref="X3157">index('Query Tool'!B:B,match(D3157,'Query Tool'!C:C,0))</f>
        <v>1</v>
      </c>
      <c r="Y3157" s="161" t="str">
        <f t="shared" si="6"/>
        <v>covinro01,2019-20</v>
      </c>
      <c r="Z3157" s="168" t="str">
        <f t="array" ref="Z3157">iferror(index(I:I,match($A3157&amp;","&amp;index('Year Conversion'!$A:$A,match($C3157,'Year Conversion'!$B:$B,0)),$Y:$Y,0))-I3157,"")</f>
        <v/>
      </c>
      <c r="AA3157" s="168" t="str">
        <f t="array" ref="AA3157">iferror(index(J:J,match($A3157&amp;","&amp;index('Year Conversion'!$A:$A,match($C3157,'Year Conversion'!$B:$B,0)),$Y:$Y,0))-J3157,"")</f>
        <v/>
      </c>
      <c r="AB3157" s="168" t="str">
        <f t="array" ref="AB3157">iferror(index(K:K,match($A3157&amp;","&amp;index('Year Conversion'!$A:$A,match($C3157,'Year Conversion'!$B:$B,0)),$Y:$Y,0))-K3157,"")</f>
        <v/>
      </c>
      <c r="AC3157" s="168" t="str">
        <f t="shared" si="7"/>
        <v>TOT,2019-20</v>
      </c>
    </row>
    <row r="3158">
      <c r="A3158" s="161" t="str">
        <f>IFERROR(__xludf.DUMMYFUNCTION("""COMPUTED_VALUE"""),"goberru01")</f>
        <v>goberru01</v>
      </c>
      <c r="B3158" s="161" t="str">
        <f>IFERROR(__xludf.DUMMYFUNCTION("""COMPUTED_VALUE"""),"Rudy Gobert")</f>
        <v>Rudy Gobert</v>
      </c>
      <c r="C3158" s="162" t="str">
        <f>IFERROR(__xludf.DUMMYFUNCTION("""COMPUTED_VALUE"""),"2019-20")</f>
        <v>2019-20</v>
      </c>
      <c r="D3158" s="163" t="str">
        <f>IFERROR(__xludf.DUMMYFUNCTION("""COMPUTED_VALUE"""),"UTA")</f>
        <v>UTA</v>
      </c>
      <c r="E3158" s="164" t="str">
        <f>IFERROR(__xludf.DUMMYFUNCTION("""COMPUTED_VALUE"""),"Roll + Cut Big")</f>
        <v>Roll + Cut Big</v>
      </c>
      <c r="F3158" s="164">
        <f>IFERROR(__xludf.DUMMYFUNCTION("""COMPUTED_VALUE"""),2332.70666666667)</f>
        <v>2332.706667</v>
      </c>
      <c r="G3158" s="163">
        <f>IFERROR(__xludf.DUMMYFUNCTION("""COMPUTED_VALUE"""),68.0)</f>
        <v>68</v>
      </c>
      <c r="H3158" s="163" t="str">
        <f>IFERROR(__xludf.DUMMYFUNCTION("""COMPUTED_VALUE"""),"C")</f>
        <v>C</v>
      </c>
      <c r="I3158" s="163">
        <f>IFERROR(__xludf.DUMMYFUNCTION("""COMPUTED_VALUE"""),27.0)</f>
        <v>27</v>
      </c>
      <c r="J3158" s="165">
        <f>IFERROR(__xludf.DUMMYFUNCTION("""COMPUTED_VALUE"""),3.9571417515903)</f>
        <v>3.957141752</v>
      </c>
      <c r="K3158" s="165">
        <f>IFERROR(__xludf.DUMMYFUNCTION("""COMPUTED_VALUE"""),0.383279274110433)</f>
        <v>0.3832792741</v>
      </c>
      <c r="L3158" s="165">
        <f>IFERROR(__xludf.DUMMYFUNCTION("""COMPUTED_VALUE"""),3.57386247747986)</f>
        <v>3.573862477</v>
      </c>
      <c r="M3158" s="166">
        <f t="shared" si="2"/>
        <v>9.687659128</v>
      </c>
      <c r="N3158" s="167">
        <f t="shared" si="3"/>
        <v>34.3045098</v>
      </c>
      <c r="O3158" s="163">
        <f t="shared" ref="O3158:Q3158" si="3162">rank(I3158,I:I)</f>
        <v>1366</v>
      </c>
      <c r="P3158" s="163">
        <f t="shared" si="3162"/>
        <v>95</v>
      </c>
      <c r="Q3158" s="163">
        <f t="shared" si="3162"/>
        <v>845</v>
      </c>
      <c r="R3158" s="163">
        <f>IFERROR(__xludf.DUMMYFUNCTION("RANK(M3158,filter(M:M,C:C=C3158))"),10.0)</f>
        <v>10</v>
      </c>
      <c r="S3158" s="161" t="b">
        <f t="shared" si="5"/>
        <v>0</v>
      </c>
      <c r="T3158" s="161" t="b">
        <f t="array" ref="T3158">index('Query Tool'!B:B,match(H3158,'Query Tool'!C:C,0))</f>
        <v>1</v>
      </c>
      <c r="U3158" s="161" t="b">
        <f t="array" ref="U3158">index('Query Tool'!B:B,match(C3158,'Query Tool'!C:C,0))</f>
        <v>0</v>
      </c>
      <c r="V3158" s="161" t="b">
        <f>F3158&gt;='Query Tool'!C$32</f>
        <v>1</v>
      </c>
      <c r="W3158" s="161" t="b">
        <f t="array" ref="W3158">index(Dropdowns!B:B,match(I3158,Dropdowns!A:A,0))</f>
        <v>1</v>
      </c>
      <c r="X3158" s="161" t="b">
        <f t="array" ref="X3158">index('Query Tool'!B:B,match(D3158,'Query Tool'!C:C,0))</f>
        <v>1</v>
      </c>
      <c r="Y3158" s="161" t="str">
        <f t="shared" si="6"/>
        <v>goberru01,2019-20</v>
      </c>
      <c r="Z3158" s="168" t="str">
        <f t="array" ref="Z3158">iferror(index(I:I,match($A3158&amp;","&amp;index('Year Conversion'!$A:$A,match($C3158,'Year Conversion'!$B:$B,0)),$Y:$Y,0))-I3158,"")</f>
        <v/>
      </c>
      <c r="AA3158" s="168" t="str">
        <f t="array" ref="AA3158">iferror(index(J:J,match($A3158&amp;","&amp;index('Year Conversion'!$A:$A,match($C3158,'Year Conversion'!$B:$B,0)),$Y:$Y,0))-J3158,"")</f>
        <v/>
      </c>
      <c r="AB3158" s="168" t="str">
        <f t="array" ref="AB3158">iferror(index(K:K,match($A3158&amp;","&amp;index('Year Conversion'!$A:$A,match($C3158,'Year Conversion'!$B:$B,0)),$Y:$Y,0))-K3158,"")</f>
        <v/>
      </c>
      <c r="AC3158" s="168" t="str">
        <f t="shared" si="7"/>
        <v>UTA,2019-20</v>
      </c>
    </row>
    <row r="3159">
      <c r="A3159" s="161" t="str">
        <f>IFERROR(__xludf.DUMMYFUNCTION("""COMPUTED_VALUE"""),"adamsst01")</f>
        <v>adamsst01</v>
      </c>
      <c r="B3159" s="161" t="str">
        <f>IFERROR(__xludf.DUMMYFUNCTION("""COMPUTED_VALUE"""),"Steven Adams")</f>
        <v>Steven Adams</v>
      </c>
      <c r="C3159" s="162" t="str">
        <f>IFERROR(__xludf.DUMMYFUNCTION("""COMPUTED_VALUE"""),"2019-20")</f>
        <v>2019-20</v>
      </c>
      <c r="D3159" s="163" t="str">
        <f>IFERROR(__xludf.DUMMYFUNCTION("""COMPUTED_VALUE"""),"OKC")</f>
        <v>OKC</v>
      </c>
      <c r="E3159" s="164" t="str">
        <f>IFERROR(__xludf.DUMMYFUNCTION("""COMPUTED_VALUE"""),"Post Scorer")</f>
        <v>Post Scorer</v>
      </c>
      <c r="F3159" s="164">
        <f>IFERROR(__xludf.DUMMYFUNCTION("""COMPUTED_VALUE"""),1680.51)</f>
        <v>1680.51</v>
      </c>
      <c r="G3159" s="163">
        <f>IFERROR(__xludf.DUMMYFUNCTION("""COMPUTED_VALUE"""),63.0)</f>
        <v>63</v>
      </c>
      <c r="H3159" s="163" t="str">
        <f>IFERROR(__xludf.DUMMYFUNCTION("""COMPUTED_VALUE"""),"C")</f>
        <v>C</v>
      </c>
      <c r="I3159" s="163">
        <f>IFERROR(__xludf.DUMMYFUNCTION("""COMPUTED_VALUE"""),26.0)</f>
        <v>26</v>
      </c>
      <c r="J3159" s="165">
        <f>IFERROR(__xludf.DUMMYFUNCTION("""COMPUTED_VALUE"""),1.49134350046523)</f>
        <v>1.4913435</v>
      </c>
      <c r="K3159" s="165">
        <f>IFERROR(__xludf.DUMMYFUNCTION("""COMPUTED_VALUE"""),0.633247463393409)</f>
        <v>0.6332474634</v>
      </c>
      <c r="L3159" s="165">
        <f>IFERROR(__xludf.DUMMYFUNCTION("""COMPUTED_VALUE"""),0.858096037071825)</f>
        <v>0.8580960371</v>
      </c>
      <c r="M3159" s="166">
        <f t="shared" si="2"/>
        <v>4.275251384</v>
      </c>
      <c r="N3159" s="167">
        <f t="shared" si="3"/>
        <v>26.6747619</v>
      </c>
      <c r="O3159" s="163">
        <f t="shared" ref="O3159:Q3159" si="3163">rank(I3159,I:I)</f>
        <v>1665</v>
      </c>
      <c r="P3159" s="163">
        <f t="shared" si="3163"/>
        <v>457</v>
      </c>
      <c r="Q3159" s="163">
        <f t="shared" si="3163"/>
        <v>690</v>
      </c>
      <c r="R3159" s="163">
        <f>IFERROR(__xludf.DUMMYFUNCTION("RANK(M3159,filter(M:M,C:C=C3159))"),58.0)</f>
        <v>58</v>
      </c>
      <c r="S3159" s="161" t="b">
        <f t="shared" si="5"/>
        <v>0</v>
      </c>
      <c r="T3159" s="161" t="b">
        <f t="array" ref="T3159">index('Query Tool'!B:B,match(H3159,'Query Tool'!C:C,0))</f>
        <v>1</v>
      </c>
      <c r="U3159" s="161" t="b">
        <f t="array" ref="U3159">index('Query Tool'!B:B,match(C3159,'Query Tool'!C:C,0))</f>
        <v>0</v>
      </c>
      <c r="V3159" s="161" t="b">
        <f>F3159&gt;='Query Tool'!C$32</f>
        <v>1</v>
      </c>
      <c r="W3159" s="161" t="b">
        <f t="array" ref="W3159">index(Dropdowns!B:B,match(I3159,Dropdowns!A:A,0))</f>
        <v>1</v>
      </c>
      <c r="X3159" s="161" t="b">
        <f t="array" ref="X3159">index('Query Tool'!B:B,match(D3159,'Query Tool'!C:C,0))</f>
        <v>1</v>
      </c>
      <c r="Y3159" s="161" t="str">
        <f t="shared" si="6"/>
        <v>adamsst01,2019-20</v>
      </c>
      <c r="Z3159" s="168" t="str">
        <f t="array" ref="Z3159">iferror(index(I:I,match($A3159&amp;","&amp;index('Year Conversion'!$A:$A,match($C3159,'Year Conversion'!$B:$B,0)),$Y:$Y,0))-I3159,"")</f>
        <v/>
      </c>
      <c r="AA3159" s="168" t="str">
        <f t="array" ref="AA3159">iferror(index(J:J,match($A3159&amp;","&amp;index('Year Conversion'!$A:$A,match($C3159,'Year Conversion'!$B:$B,0)),$Y:$Y,0))-J3159,"")</f>
        <v/>
      </c>
      <c r="AB3159" s="168" t="str">
        <f t="array" ref="AB3159">iferror(index(K:K,match($A3159&amp;","&amp;index('Year Conversion'!$A:$A,match($C3159,'Year Conversion'!$B:$B,0)),$Y:$Y,0))-K3159,"")</f>
        <v/>
      </c>
      <c r="AC3159" s="168" t="str">
        <f t="shared" si="7"/>
        <v>OKC,2019-20</v>
      </c>
    </row>
    <row r="3160">
      <c r="A3160" s="161" t="str">
        <f>IFERROR(__xludf.DUMMYFUNCTION("""COMPUTED_VALUE"""),"hardati02")</f>
        <v>hardati02</v>
      </c>
      <c r="B3160" s="161" t="str">
        <f>IFERROR(__xludf.DUMMYFUNCTION("""COMPUTED_VALUE"""),"Tim Hardaway Jr.")</f>
        <v>Tim Hardaway Jr.</v>
      </c>
      <c r="C3160" s="162" t="str">
        <f>IFERROR(__xludf.DUMMYFUNCTION("""COMPUTED_VALUE"""),"2019-20")</f>
        <v>2019-20</v>
      </c>
      <c r="D3160" s="163" t="str">
        <f>IFERROR(__xludf.DUMMYFUNCTION("""COMPUTED_VALUE"""),"DAL")</f>
        <v>DAL</v>
      </c>
      <c r="E3160" s="164" t="str">
        <f>IFERROR(__xludf.DUMMYFUNCTION("""COMPUTED_VALUE"""),"Stationary Shooter")</f>
        <v>Stationary Shooter</v>
      </c>
      <c r="F3160" s="164">
        <f>IFERROR(__xludf.DUMMYFUNCTION("""COMPUTED_VALUE"""),2091.35333333333)</f>
        <v>2091.353333</v>
      </c>
      <c r="G3160" s="163">
        <f>IFERROR(__xludf.DUMMYFUNCTION("""COMPUTED_VALUE"""),71.0)</f>
        <v>71</v>
      </c>
      <c r="H3160" s="163" t="str">
        <f>IFERROR(__xludf.DUMMYFUNCTION("""COMPUTED_VALUE"""),"SG")</f>
        <v>SG</v>
      </c>
      <c r="I3160" s="163">
        <f>IFERROR(__xludf.DUMMYFUNCTION("""COMPUTED_VALUE"""),27.0)</f>
        <v>27</v>
      </c>
      <c r="J3160" s="165">
        <f>IFERROR(__xludf.DUMMYFUNCTION("""COMPUTED_VALUE"""),0.165015288886729)</f>
        <v>0.1650152889</v>
      </c>
      <c r="K3160" s="165">
        <f>IFERROR(__xludf.DUMMYFUNCTION("""COMPUTED_VALUE"""),1.19318702175517)</f>
        <v>1.193187022</v>
      </c>
      <c r="L3160" s="165">
        <f>IFERROR(__xludf.DUMMYFUNCTION("""COMPUTED_VALUE"""),-1.02817173286844)</f>
        <v>-1.028171733</v>
      </c>
      <c r="M3160" s="166">
        <f t="shared" si="2"/>
        <v>3.456827383</v>
      </c>
      <c r="N3160" s="167">
        <f t="shared" si="3"/>
        <v>29.45568075</v>
      </c>
      <c r="O3160" s="163">
        <f t="shared" ref="O3160:Q3160" si="3164">rank(I3160,I:I)</f>
        <v>1366</v>
      </c>
      <c r="P3160" s="163">
        <f t="shared" si="3164"/>
        <v>1117</v>
      </c>
      <c r="Q3160" s="163">
        <f t="shared" si="3164"/>
        <v>422</v>
      </c>
      <c r="R3160" s="163">
        <f>IFERROR(__xludf.DUMMYFUNCTION("RANK(M3160,filter(M:M,C:C=C3160))"),87.0)</f>
        <v>87</v>
      </c>
      <c r="S3160" s="161" t="b">
        <f t="shared" si="5"/>
        <v>0</v>
      </c>
      <c r="T3160" s="161" t="b">
        <f t="array" ref="T3160">index('Query Tool'!B:B,match(H3160,'Query Tool'!C:C,0))</f>
        <v>1</v>
      </c>
      <c r="U3160" s="161" t="b">
        <f t="array" ref="U3160">index('Query Tool'!B:B,match(C3160,'Query Tool'!C:C,0))</f>
        <v>0</v>
      </c>
      <c r="V3160" s="161" t="b">
        <f>F3160&gt;='Query Tool'!C$32</f>
        <v>1</v>
      </c>
      <c r="W3160" s="161" t="b">
        <f t="array" ref="W3160">index(Dropdowns!B:B,match(I3160,Dropdowns!A:A,0))</f>
        <v>1</v>
      </c>
      <c r="X3160" s="161" t="b">
        <f t="array" ref="X3160">index('Query Tool'!B:B,match(D3160,'Query Tool'!C:C,0))</f>
        <v>1</v>
      </c>
      <c r="Y3160" s="161" t="str">
        <f t="shared" si="6"/>
        <v>hardati02,2019-20</v>
      </c>
      <c r="Z3160" s="168" t="str">
        <f t="array" ref="Z3160">iferror(index(I:I,match($A3160&amp;","&amp;index('Year Conversion'!$A:$A,match($C3160,'Year Conversion'!$B:$B,0)),$Y:$Y,0))-I3160,"")</f>
        <v/>
      </c>
      <c r="AA3160" s="168" t="str">
        <f t="array" ref="AA3160">iferror(index(J:J,match($A3160&amp;","&amp;index('Year Conversion'!$A:$A,match($C3160,'Year Conversion'!$B:$B,0)),$Y:$Y,0))-J3160,"")</f>
        <v/>
      </c>
      <c r="AB3160" s="168" t="str">
        <f t="array" ref="AB3160">iferror(index(K:K,match($A3160&amp;","&amp;index('Year Conversion'!$A:$A,match($C3160,'Year Conversion'!$B:$B,0)),$Y:$Y,0))-K3160,"")</f>
        <v/>
      </c>
      <c r="AC3160" s="168" t="str">
        <f t="shared" si="7"/>
        <v>DAL,2019-20</v>
      </c>
    </row>
    <row r="3161">
      <c r="A3161" s="161" t="str">
        <f>IFERROR(__xludf.DUMMYFUNCTION("""COMPUTED_VALUE"""),"snellto01")</f>
        <v>snellto01</v>
      </c>
      <c r="B3161" s="161" t="str">
        <f>IFERROR(__xludf.DUMMYFUNCTION("""COMPUTED_VALUE"""),"Tony Snell")</f>
        <v>Tony Snell</v>
      </c>
      <c r="C3161" s="162" t="str">
        <f>IFERROR(__xludf.DUMMYFUNCTION("""COMPUTED_VALUE"""),"2019-20")</f>
        <v>2019-20</v>
      </c>
      <c r="D3161" s="163" t="str">
        <f>IFERROR(__xludf.DUMMYFUNCTION("""COMPUTED_VALUE"""),"DET")</f>
        <v>DET</v>
      </c>
      <c r="E3161" s="164" t="str">
        <f>IFERROR(__xludf.DUMMYFUNCTION("""COMPUTED_VALUE"""),"Stationary Shooter")</f>
        <v>Stationary Shooter</v>
      </c>
      <c r="F3161" s="164">
        <f>IFERROR(__xludf.DUMMYFUNCTION("""COMPUTED_VALUE"""),1641.07666666667)</f>
        <v>1641.076667</v>
      </c>
      <c r="G3161" s="163">
        <f>IFERROR(__xludf.DUMMYFUNCTION("""COMPUTED_VALUE"""),59.0)</f>
        <v>59</v>
      </c>
      <c r="H3161" s="163" t="str">
        <f>IFERROR(__xludf.DUMMYFUNCTION("""COMPUTED_VALUE"""),"SF")</f>
        <v>SF</v>
      </c>
      <c r="I3161" s="163">
        <f>IFERROR(__xludf.DUMMYFUNCTION("""COMPUTED_VALUE"""),28.0)</f>
        <v>28</v>
      </c>
      <c r="J3161" s="165">
        <f>IFERROR(__xludf.DUMMYFUNCTION("""COMPUTED_VALUE"""),-2.77345407903992)</f>
        <v>-2.773454079</v>
      </c>
      <c r="K3161" s="165">
        <f>IFERROR(__xludf.DUMMYFUNCTION("""COMPUTED_VALUE"""),-1.34065514723858)</f>
        <v>-1.340655147</v>
      </c>
      <c r="L3161" s="165">
        <f>IFERROR(__xludf.DUMMYFUNCTION("""COMPUTED_VALUE"""),-1.43279893180135)</f>
        <v>-1.432798932</v>
      </c>
      <c r="M3161" s="166">
        <f t="shared" si="2"/>
        <v>-0.5061733034</v>
      </c>
      <c r="N3161" s="167">
        <f t="shared" si="3"/>
        <v>27.81485876</v>
      </c>
      <c r="O3161" s="163">
        <f t="shared" ref="O3161:Q3161" si="3165">rank(I3161,I:I)</f>
        <v>1090</v>
      </c>
      <c r="P3161" s="163">
        <f t="shared" si="3165"/>
        <v>3837</v>
      </c>
      <c r="Q3161" s="163">
        <f t="shared" si="3165"/>
        <v>3195</v>
      </c>
      <c r="R3161" s="163">
        <f>IFERROR(__xludf.DUMMYFUNCTION("RANK(M3161,filter(M:M,C:C=C3161))"),515.0)</f>
        <v>515</v>
      </c>
      <c r="S3161" s="161" t="b">
        <f t="shared" si="5"/>
        <v>0</v>
      </c>
      <c r="T3161" s="161" t="b">
        <f t="array" ref="T3161">index('Query Tool'!B:B,match(H3161,'Query Tool'!C:C,0))</f>
        <v>1</v>
      </c>
      <c r="U3161" s="161" t="b">
        <f t="array" ref="U3161">index('Query Tool'!B:B,match(C3161,'Query Tool'!C:C,0))</f>
        <v>0</v>
      </c>
      <c r="V3161" s="161" t="b">
        <f>F3161&gt;='Query Tool'!C$32</f>
        <v>1</v>
      </c>
      <c r="W3161" s="161" t="b">
        <f t="array" ref="W3161">index(Dropdowns!B:B,match(I3161,Dropdowns!A:A,0))</f>
        <v>1</v>
      </c>
      <c r="X3161" s="161" t="b">
        <f t="array" ref="X3161">index('Query Tool'!B:B,match(D3161,'Query Tool'!C:C,0))</f>
        <v>1</v>
      </c>
      <c r="Y3161" s="161" t="str">
        <f t="shared" si="6"/>
        <v>snellto01,2019-20</v>
      </c>
      <c r="Z3161" s="168" t="str">
        <f t="array" ref="Z3161">iferror(index(I:I,match($A3161&amp;","&amp;index('Year Conversion'!$A:$A,match($C3161,'Year Conversion'!$B:$B,0)),$Y:$Y,0))-I3161,"")</f>
        <v/>
      </c>
      <c r="AA3161" s="168" t="str">
        <f t="array" ref="AA3161">iferror(index(J:J,match($A3161&amp;","&amp;index('Year Conversion'!$A:$A,match($C3161,'Year Conversion'!$B:$B,0)),$Y:$Y,0))-J3161,"")</f>
        <v/>
      </c>
      <c r="AB3161" s="168" t="str">
        <f t="array" ref="AB3161">iferror(index(K:K,match($A3161&amp;","&amp;index('Year Conversion'!$A:$A,match($C3161,'Year Conversion'!$B:$B,0)),$Y:$Y,0))-K3161,"")</f>
        <v/>
      </c>
      <c r="AC3161" s="168" t="str">
        <f t="shared" si="7"/>
        <v>DET,2019-20</v>
      </c>
    </row>
    <row r="3162">
      <c r="A3162" s="161" t="str">
        <f>IFERROR(__xludf.DUMMYFUNCTION("""COMPUTED_VALUE"""),"burketr01")</f>
        <v>burketr01</v>
      </c>
      <c r="B3162" s="161" t="str">
        <f>IFERROR(__xludf.DUMMYFUNCTION("""COMPUTED_VALUE"""),"Trey Burke")</f>
        <v>Trey Burke</v>
      </c>
      <c r="C3162" s="162" t="str">
        <f>IFERROR(__xludf.DUMMYFUNCTION("""COMPUTED_VALUE"""),"2019-20")</f>
        <v>2019-20</v>
      </c>
      <c r="D3162" s="163" t="str">
        <f>IFERROR(__xludf.DUMMYFUNCTION("""COMPUTED_VALUE"""),"TOT")</f>
        <v>TOT</v>
      </c>
      <c r="E3162" s="164" t="str">
        <f>IFERROR(__xludf.DUMMYFUNCTION("""COMPUTED_VALUE"""),"Secondary Ball Handler")</f>
        <v>Secondary Ball Handler</v>
      </c>
      <c r="F3162" s="164">
        <f>IFERROR(__xludf.DUMMYFUNCTION("""COMPUTED_VALUE"""),520.033333333333)</f>
        <v>520.0333333</v>
      </c>
      <c r="G3162" s="163">
        <f>IFERROR(__xludf.DUMMYFUNCTION("""COMPUTED_VALUE"""),33.0)</f>
        <v>33</v>
      </c>
      <c r="H3162" s="163" t="str">
        <f>IFERROR(__xludf.DUMMYFUNCTION("""COMPUTED_VALUE"""),"PG")</f>
        <v>PG</v>
      </c>
      <c r="I3162" s="163">
        <f>IFERROR(__xludf.DUMMYFUNCTION("""COMPUTED_VALUE"""),27.0)</f>
        <v>27</v>
      </c>
      <c r="J3162" s="165">
        <f>IFERROR(__xludf.DUMMYFUNCTION("""COMPUTED_VALUE"""),-0.395748114410279)</f>
        <v>-0.3957481144</v>
      </c>
      <c r="K3162" s="165">
        <f>IFERROR(__xludf.DUMMYFUNCTION("""COMPUTED_VALUE"""),0.618361994439719)</f>
        <v>0.6183619944</v>
      </c>
      <c r="L3162" s="165">
        <f>IFERROR(__xludf.DUMMYFUNCTION("""COMPUTED_VALUE"""),-1.01411010885)</f>
        <v>-1.014110109</v>
      </c>
      <c r="M3162" s="166">
        <f t="shared" si="2"/>
        <v>0.6629984806</v>
      </c>
      <c r="N3162" s="167">
        <f t="shared" si="3"/>
        <v>15.75858586</v>
      </c>
      <c r="O3162" s="163">
        <f t="shared" ref="O3162:Q3162" si="3166">rank(I3162,I:I)</f>
        <v>1366</v>
      </c>
      <c r="P3162" s="163">
        <f t="shared" si="3166"/>
        <v>1726</v>
      </c>
      <c r="Q3162" s="163">
        <f t="shared" si="3166"/>
        <v>695</v>
      </c>
      <c r="R3162" s="163">
        <f>IFERROR(__xludf.DUMMYFUNCTION("RANK(M3162,filter(M:M,C:C=C3162))"),237.0)</f>
        <v>237</v>
      </c>
      <c r="S3162" s="161" t="b">
        <f t="shared" si="5"/>
        <v>0</v>
      </c>
      <c r="T3162" s="161" t="b">
        <f t="array" ref="T3162">index('Query Tool'!B:B,match(H3162,'Query Tool'!C:C,0))</f>
        <v>1</v>
      </c>
      <c r="U3162" s="161" t="b">
        <f t="array" ref="U3162">index('Query Tool'!B:B,match(C3162,'Query Tool'!C:C,0))</f>
        <v>0</v>
      </c>
      <c r="V3162" s="161" t="b">
        <f>F3162&gt;='Query Tool'!C$32</f>
        <v>1</v>
      </c>
      <c r="W3162" s="161" t="b">
        <f t="array" ref="W3162">index(Dropdowns!B:B,match(I3162,Dropdowns!A:A,0))</f>
        <v>1</v>
      </c>
      <c r="X3162" s="161" t="b">
        <f t="array" ref="X3162">index('Query Tool'!B:B,match(D3162,'Query Tool'!C:C,0))</f>
        <v>1</v>
      </c>
      <c r="Y3162" s="161" t="str">
        <f t="shared" si="6"/>
        <v>burketr01,2019-20</v>
      </c>
      <c r="Z3162" s="168" t="str">
        <f t="array" ref="Z3162">iferror(index(I:I,match($A3162&amp;","&amp;index('Year Conversion'!$A:$A,match($C3162,'Year Conversion'!$B:$B,0)),$Y:$Y,0))-I3162,"")</f>
        <v/>
      </c>
      <c r="AA3162" s="168" t="str">
        <f t="array" ref="AA3162">iferror(index(J:J,match($A3162&amp;","&amp;index('Year Conversion'!$A:$A,match($C3162,'Year Conversion'!$B:$B,0)),$Y:$Y,0))-J3162,"")</f>
        <v/>
      </c>
      <c r="AB3162" s="168" t="str">
        <f t="array" ref="AB3162">iferror(index(K:K,match($A3162&amp;","&amp;index('Year Conversion'!$A:$A,match($C3162,'Year Conversion'!$B:$B,0)),$Y:$Y,0))-K3162,"")</f>
        <v/>
      </c>
      <c r="AC3162" s="168" t="str">
        <f t="shared" si="7"/>
        <v>TOT,2019-20</v>
      </c>
    </row>
    <row r="3163">
      <c r="A3163" s="161" t="str">
        <f>IFERROR(__xludf.DUMMYFUNCTION("""COMPUTED_VALUE"""),"oladivi01")</f>
        <v>oladivi01</v>
      </c>
      <c r="B3163" s="161" t="str">
        <f>IFERROR(__xludf.DUMMYFUNCTION("""COMPUTED_VALUE"""),"Victor Oladipo")</f>
        <v>Victor Oladipo</v>
      </c>
      <c r="C3163" s="162" t="str">
        <f>IFERROR(__xludf.DUMMYFUNCTION("""COMPUTED_VALUE"""),"2019-20")</f>
        <v>2019-20</v>
      </c>
      <c r="D3163" s="163" t="str">
        <f>IFERROR(__xludf.DUMMYFUNCTION("""COMPUTED_VALUE"""),"IND")</f>
        <v>IND</v>
      </c>
      <c r="E3163" s="164" t="str">
        <f>IFERROR(__xludf.DUMMYFUNCTION("""COMPUTED_VALUE"""),"Secondary Ball Handler")</f>
        <v>Secondary Ball Handler</v>
      </c>
      <c r="F3163" s="164">
        <f>IFERROR(__xludf.DUMMYFUNCTION("""COMPUTED_VALUE"""),528.14)</f>
        <v>528.14</v>
      </c>
      <c r="G3163" s="163">
        <f>IFERROR(__xludf.DUMMYFUNCTION("""COMPUTED_VALUE"""),19.0)</f>
        <v>19</v>
      </c>
      <c r="H3163" s="163" t="str">
        <f>IFERROR(__xludf.DUMMYFUNCTION("""COMPUTED_VALUE"""),"SG")</f>
        <v>SG</v>
      </c>
      <c r="I3163" s="163">
        <f>IFERROR(__xludf.DUMMYFUNCTION("""COMPUTED_VALUE"""),27.0)</f>
        <v>27</v>
      </c>
      <c r="J3163" s="165">
        <f>IFERROR(__xludf.DUMMYFUNCTION("""COMPUTED_VALUE"""),-0.61259473930706)</f>
        <v>-0.6125947393</v>
      </c>
      <c r="K3163" s="165">
        <f>IFERROR(__xludf.DUMMYFUNCTION("""COMPUTED_VALUE"""),0.00229554622345107)</f>
        <v>0.002295546223</v>
      </c>
      <c r="L3163" s="165">
        <f>IFERROR(__xludf.DUMMYFUNCTION("""COMPUTED_VALUE"""),-0.614890285530512)</f>
        <v>-0.6148902855</v>
      </c>
      <c r="M3163" s="166">
        <f t="shared" si="2"/>
        <v>0.5962049437</v>
      </c>
      <c r="N3163" s="167">
        <f t="shared" si="3"/>
        <v>27.79684211</v>
      </c>
      <c r="O3163" s="163">
        <f t="shared" ref="O3163:Q3163" si="3167">rank(I3163,I:I)</f>
        <v>1366</v>
      </c>
      <c r="P3163" s="163">
        <f t="shared" si="3167"/>
        <v>2015</v>
      </c>
      <c r="Q3163" s="163">
        <f t="shared" si="3167"/>
        <v>1198</v>
      </c>
      <c r="R3163" s="163">
        <f>IFERROR(__xludf.DUMMYFUNCTION("RANK(M3163,filter(M:M,C:C=C3163))"),242.0)</f>
        <v>242</v>
      </c>
      <c r="S3163" s="161" t="b">
        <f t="shared" si="5"/>
        <v>0</v>
      </c>
      <c r="T3163" s="161" t="b">
        <f t="array" ref="T3163">index('Query Tool'!B:B,match(H3163,'Query Tool'!C:C,0))</f>
        <v>1</v>
      </c>
      <c r="U3163" s="161" t="b">
        <f t="array" ref="U3163">index('Query Tool'!B:B,match(C3163,'Query Tool'!C:C,0))</f>
        <v>0</v>
      </c>
      <c r="V3163" s="161" t="b">
        <f>F3163&gt;='Query Tool'!C$32</f>
        <v>1</v>
      </c>
      <c r="W3163" s="161" t="b">
        <f t="array" ref="W3163">index(Dropdowns!B:B,match(I3163,Dropdowns!A:A,0))</f>
        <v>1</v>
      </c>
      <c r="X3163" s="161" t="b">
        <f t="array" ref="X3163">index('Query Tool'!B:B,match(D3163,'Query Tool'!C:C,0))</f>
        <v>1</v>
      </c>
      <c r="Y3163" s="161" t="str">
        <f t="shared" si="6"/>
        <v>oladivi01,2019-20</v>
      </c>
      <c r="Z3163" s="168" t="str">
        <f t="array" ref="Z3163">iferror(index(I:I,match($A3163&amp;","&amp;index('Year Conversion'!$A:$A,match($C3163,'Year Conversion'!$B:$B,0)),$Y:$Y,0))-I3163,"")</f>
        <v/>
      </c>
      <c r="AA3163" s="168" t="str">
        <f t="array" ref="AA3163">iferror(index(J:J,match($A3163&amp;","&amp;index('Year Conversion'!$A:$A,match($C3163,'Year Conversion'!$B:$B,0)),$Y:$Y,0))-J3163,"")</f>
        <v/>
      </c>
      <c r="AB3163" s="168" t="str">
        <f t="array" ref="AB3163">iferror(index(K:K,match($A3163&amp;","&amp;index('Year Conversion'!$A:$A,match($C3163,'Year Conversion'!$B:$B,0)),$Y:$Y,0))-K3163,"")</f>
        <v/>
      </c>
      <c r="AC3163" s="168" t="str">
        <f t="shared" si="7"/>
        <v>IND,2019-20</v>
      </c>
    </row>
    <row r="3164">
      <c r="A3164" s="161" t="str">
        <f>IFERROR(__xludf.DUMMYFUNCTION("""COMPUTED_VALUE"""),"antetgi01")</f>
        <v>antetgi01</v>
      </c>
      <c r="B3164" s="161" t="str">
        <f>IFERROR(__xludf.DUMMYFUNCTION("""COMPUTED_VALUE"""),"Giannis Antetokounmpo")</f>
        <v>Giannis Antetokounmpo</v>
      </c>
      <c r="C3164" s="162" t="str">
        <f>IFERROR(__xludf.DUMMYFUNCTION("""COMPUTED_VALUE"""),"2019-20")</f>
        <v>2019-20</v>
      </c>
      <c r="D3164" s="163" t="str">
        <f>IFERROR(__xludf.DUMMYFUNCTION("""COMPUTED_VALUE"""),"MIL")</f>
        <v>MIL</v>
      </c>
      <c r="E3164" s="164" t="str">
        <f>IFERROR(__xludf.DUMMYFUNCTION("""COMPUTED_VALUE"""),"Shot Creator")</f>
        <v>Shot Creator</v>
      </c>
      <c r="F3164" s="164">
        <f>IFERROR(__xludf.DUMMYFUNCTION("""COMPUTED_VALUE"""),1916.88)</f>
        <v>1916.88</v>
      </c>
      <c r="G3164" s="163">
        <f>IFERROR(__xludf.DUMMYFUNCTION("""COMPUTED_VALUE"""),63.0)</f>
        <v>63</v>
      </c>
      <c r="H3164" s="163" t="str">
        <f>IFERROR(__xludf.DUMMYFUNCTION("""COMPUTED_VALUE"""),"PF")</f>
        <v>PF</v>
      </c>
      <c r="I3164" s="163">
        <f>IFERROR(__xludf.DUMMYFUNCTION("""COMPUTED_VALUE"""),25.0)</f>
        <v>25</v>
      </c>
      <c r="J3164" s="165">
        <f>IFERROR(__xludf.DUMMYFUNCTION("""COMPUTED_VALUE"""),9.11912230068447)</f>
        <v>9.119122301</v>
      </c>
      <c r="K3164" s="165">
        <f>IFERROR(__xludf.DUMMYFUNCTION("""COMPUTED_VALUE"""),4.86966172685994)</f>
        <v>4.869661727</v>
      </c>
      <c r="L3164" s="165">
        <f>IFERROR(__xludf.DUMMYFUNCTION("""COMPUTED_VALUE"""),4.24946057382453)</f>
        <v>4.249460574</v>
      </c>
      <c r="M3164" s="166">
        <f t="shared" si="2"/>
        <v>13.54393305</v>
      </c>
      <c r="N3164" s="167">
        <f t="shared" si="3"/>
        <v>30.42666667</v>
      </c>
      <c r="O3164" s="163">
        <f t="shared" ref="O3164:Q3164" si="3168">rank(I3164,I:I)</f>
        <v>1995</v>
      </c>
      <c r="P3164" s="163">
        <f t="shared" si="3168"/>
        <v>1</v>
      </c>
      <c r="Q3164" s="163">
        <f t="shared" si="3168"/>
        <v>31</v>
      </c>
      <c r="R3164" s="163">
        <f>IFERROR(__xludf.DUMMYFUNCTION("RANK(M3164,filter(M:M,C:C=C3164))"),2.0)</f>
        <v>2</v>
      </c>
      <c r="S3164" s="161" t="b">
        <f t="shared" si="5"/>
        <v>0</v>
      </c>
      <c r="T3164" s="161" t="b">
        <f t="array" ref="T3164">index('Query Tool'!B:B,match(H3164,'Query Tool'!C:C,0))</f>
        <v>1</v>
      </c>
      <c r="U3164" s="161" t="b">
        <f t="array" ref="U3164">index('Query Tool'!B:B,match(C3164,'Query Tool'!C:C,0))</f>
        <v>0</v>
      </c>
      <c r="V3164" s="161" t="b">
        <f>F3164&gt;='Query Tool'!C$32</f>
        <v>1</v>
      </c>
      <c r="W3164" s="161" t="b">
        <f t="array" ref="W3164">index(Dropdowns!B:B,match(I3164,Dropdowns!A:A,0))</f>
        <v>1</v>
      </c>
      <c r="X3164" s="161" t="b">
        <f t="array" ref="X3164">index('Query Tool'!B:B,match(D3164,'Query Tool'!C:C,0))</f>
        <v>1</v>
      </c>
      <c r="Y3164" s="161" t="str">
        <f t="shared" si="6"/>
        <v>antetgi01,2019-20</v>
      </c>
      <c r="Z3164" s="168" t="str">
        <f t="array" ref="Z3164">iferror(index(I:I,match($A3164&amp;","&amp;index('Year Conversion'!$A:$A,match($C3164,'Year Conversion'!$B:$B,0)),$Y:$Y,0))-I3164,"")</f>
        <v/>
      </c>
      <c r="AA3164" s="168" t="str">
        <f t="array" ref="AA3164">iferror(index(J:J,match($A3164&amp;","&amp;index('Year Conversion'!$A:$A,match($C3164,'Year Conversion'!$B:$B,0)),$Y:$Y,0))-J3164,"")</f>
        <v/>
      </c>
      <c r="AB3164" s="168" t="str">
        <f t="array" ref="AB3164">iferror(index(K:K,match($A3164&amp;","&amp;index('Year Conversion'!$A:$A,match($C3164,'Year Conversion'!$B:$B,0)),$Y:$Y,0))-K3164,"")</f>
        <v/>
      </c>
      <c r="AC3164" s="168" t="str">
        <f t="shared" si="7"/>
        <v>MIL,2019-20</v>
      </c>
    </row>
    <row r="3165">
      <c r="A3165" s="161" t="str">
        <f>IFERROR(__xludf.DUMMYFUNCTION("""COMPUTED_VALUE"""),"ennisja01")</f>
        <v>ennisja01</v>
      </c>
      <c r="B3165" s="161" t="str">
        <f>IFERROR(__xludf.DUMMYFUNCTION("""COMPUTED_VALUE"""),"James Ennis III")</f>
        <v>James Ennis III</v>
      </c>
      <c r="C3165" s="162" t="str">
        <f>IFERROR(__xludf.DUMMYFUNCTION("""COMPUTED_VALUE"""),"2019-20")</f>
        <v>2019-20</v>
      </c>
      <c r="D3165" s="163" t="str">
        <f>IFERROR(__xludf.DUMMYFUNCTION("""COMPUTED_VALUE"""),"TOT")</f>
        <v>TOT</v>
      </c>
      <c r="E3165" s="164" t="str">
        <f>IFERROR(__xludf.DUMMYFUNCTION("""COMPUTED_VALUE"""),"Athletic Finisher")</f>
        <v>Athletic Finisher</v>
      </c>
      <c r="F3165" s="164">
        <f>IFERROR(__xludf.DUMMYFUNCTION("""COMPUTED_VALUE"""),1265.905)</f>
        <v>1265.905</v>
      </c>
      <c r="G3165" s="163">
        <f>IFERROR(__xludf.DUMMYFUNCTION("""COMPUTED_VALUE"""),69.0)</f>
        <v>69</v>
      </c>
      <c r="H3165" s="163" t="str">
        <f>IFERROR(__xludf.DUMMYFUNCTION("""COMPUTED_VALUE"""),"SF-SG")</f>
        <v>SF-SG</v>
      </c>
      <c r="I3165" s="163">
        <f>IFERROR(__xludf.DUMMYFUNCTION("""COMPUTED_VALUE"""),29.0)</f>
        <v>29</v>
      </c>
      <c r="J3165" s="165">
        <f>IFERROR(__xludf.DUMMYFUNCTION("""COMPUTED_VALUE"""),-1.41998231372254)</f>
        <v>-1.419982314</v>
      </c>
      <c r="K3165" s="165">
        <f>IFERROR(__xludf.DUMMYFUNCTION("""COMPUTED_VALUE"""),-0.450552363694046)</f>
        <v>-0.4505523637</v>
      </c>
      <c r="L3165" s="165">
        <f>IFERROR(__xludf.DUMMYFUNCTION("""COMPUTED_VALUE"""),-0.969429950028497)</f>
        <v>-0.96942995</v>
      </c>
      <c r="M3165" s="166">
        <f t="shared" si="2"/>
        <v>0.7430883378</v>
      </c>
      <c r="N3165" s="167">
        <f t="shared" si="3"/>
        <v>18.34644928</v>
      </c>
      <c r="O3165" s="163">
        <f t="shared" ref="O3165:Q3165" si="3169">rank(I3165,I:I)</f>
        <v>855</v>
      </c>
      <c r="P3165" s="163">
        <f t="shared" si="3169"/>
        <v>2974</v>
      </c>
      <c r="Q3165" s="163">
        <f t="shared" si="3169"/>
        <v>2033</v>
      </c>
      <c r="R3165" s="163">
        <f>IFERROR(__xludf.DUMMYFUNCTION("RANK(M3165,filter(M:M,C:C=C3165))"),231.0)</f>
        <v>231</v>
      </c>
      <c r="S3165" s="161" t="b">
        <f t="shared" si="5"/>
        <v>0</v>
      </c>
      <c r="T3165" s="161" t="str">
        <f t="array" ref="T3165">index('Query Tool'!B:B,match(H3165,'Query Tool'!C:C,0))</f>
        <v>#N/A</v>
      </c>
      <c r="U3165" s="161" t="b">
        <f t="array" ref="U3165">index('Query Tool'!B:B,match(C3165,'Query Tool'!C:C,0))</f>
        <v>0</v>
      </c>
      <c r="V3165" s="161" t="b">
        <f>F3165&gt;='Query Tool'!C$32</f>
        <v>1</v>
      </c>
      <c r="W3165" s="161" t="b">
        <f t="array" ref="W3165">index(Dropdowns!B:B,match(I3165,Dropdowns!A:A,0))</f>
        <v>1</v>
      </c>
      <c r="X3165" s="161" t="b">
        <f t="array" ref="X3165">index('Query Tool'!B:B,match(D3165,'Query Tool'!C:C,0))</f>
        <v>1</v>
      </c>
      <c r="Y3165" s="161" t="str">
        <f t="shared" si="6"/>
        <v>ennisja01,2019-20</v>
      </c>
      <c r="Z3165" s="168" t="str">
        <f t="array" ref="Z3165">iferror(index(I:I,match($A3165&amp;","&amp;index('Year Conversion'!$A:$A,match($C3165,'Year Conversion'!$B:$B,0)),$Y:$Y,0))-I3165,"")</f>
        <v/>
      </c>
      <c r="AA3165" s="168" t="str">
        <f t="array" ref="AA3165">iferror(index(J:J,match($A3165&amp;","&amp;index('Year Conversion'!$A:$A,match($C3165,'Year Conversion'!$B:$B,0)),$Y:$Y,0))-J3165,"")</f>
        <v/>
      </c>
      <c r="AB3165" s="168" t="str">
        <f t="array" ref="AB3165">iferror(index(K:K,match($A3165&amp;","&amp;index('Year Conversion'!$A:$A,match($C3165,'Year Conversion'!$B:$B,0)),$Y:$Y,0))-K3165,"")</f>
        <v/>
      </c>
      <c r="AC3165" s="168" t="str">
        <f t="shared" si="7"/>
        <v>TOT,2019-20</v>
      </c>
    </row>
    <row r="3166">
      <c r="A3166" s="161" t="str">
        <f>IFERROR(__xludf.DUMMYFUNCTION("""COMPUTED_VALUE"""),"dellama01")</f>
        <v>dellama01</v>
      </c>
      <c r="B3166" s="161" t="str">
        <f>IFERROR(__xludf.DUMMYFUNCTION("""COMPUTED_VALUE"""),"Matthew Dellavedova")</f>
        <v>Matthew Dellavedova</v>
      </c>
      <c r="C3166" s="162" t="str">
        <f>IFERROR(__xludf.DUMMYFUNCTION("""COMPUTED_VALUE"""),"2019-20")</f>
        <v>2019-20</v>
      </c>
      <c r="D3166" s="163" t="str">
        <f>IFERROR(__xludf.DUMMYFUNCTION("""COMPUTED_VALUE"""),"CLE")</f>
        <v>CLE</v>
      </c>
      <c r="E3166" s="164" t="str">
        <f>IFERROR(__xludf.DUMMYFUNCTION("""COMPUTED_VALUE"""),"Primary Ball Handler")</f>
        <v>Primary Ball Handler</v>
      </c>
      <c r="F3166" s="164">
        <f>IFERROR(__xludf.DUMMYFUNCTION("""COMPUTED_VALUE"""),820.773333333334)</f>
        <v>820.7733333</v>
      </c>
      <c r="G3166" s="163">
        <f>IFERROR(__xludf.DUMMYFUNCTION("""COMPUTED_VALUE"""),57.0)</f>
        <v>57</v>
      </c>
      <c r="H3166" s="163" t="str">
        <f>IFERROR(__xludf.DUMMYFUNCTION("""COMPUTED_VALUE"""),"PG")</f>
        <v>PG</v>
      </c>
      <c r="I3166" s="163">
        <f>IFERROR(__xludf.DUMMYFUNCTION("""COMPUTED_VALUE"""),29.0)</f>
        <v>29</v>
      </c>
      <c r="J3166" s="165">
        <f>IFERROR(__xludf.DUMMYFUNCTION("""COMPUTED_VALUE"""),-0.893237851716286)</f>
        <v>-0.8932378517</v>
      </c>
      <c r="K3166" s="165">
        <f>IFERROR(__xludf.DUMMYFUNCTION("""COMPUTED_VALUE"""),-1.19327866307815)</f>
        <v>-1.193278663</v>
      </c>
      <c r="L3166" s="165">
        <f>IFERROR(__xludf.DUMMYFUNCTION("""COMPUTED_VALUE"""),0.300040811361867)</f>
        <v>0.3000408114</v>
      </c>
      <c r="M3166" s="166">
        <f t="shared" si="2"/>
        <v>0.7716265795</v>
      </c>
      <c r="N3166" s="167">
        <f t="shared" si="3"/>
        <v>14.39953216</v>
      </c>
      <c r="O3166" s="163">
        <f t="shared" ref="O3166:Q3166" si="3170">rank(I3166,I:I)</f>
        <v>855</v>
      </c>
      <c r="P3166" s="163">
        <f t="shared" si="3170"/>
        <v>2383</v>
      </c>
      <c r="Q3166" s="163">
        <f t="shared" si="3170"/>
        <v>3032</v>
      </c>
      <c r="R3166" s="163">
        <f>IFERROR(__xludf.DUMMYFUNCTION("RANK(M3166,filter(M:M,C:C=C3166))"),227.0)</f>
        <v>227</v>
      </c>
      <c r="S3166" s="161" t="b">
        <f t="shared" si="5"/>
        <v>0</v>
      </c>
      <c r="T3166" s="161" t="b">
        <f t="array" ref="T3166">index('Query Tool'!B:B,match(H3166,'Query Tool'!C:C,0))</f>
        <v>1</v>
      </c>
      <c r="U3166" s="161" t="b">
        <f t="array" ref="U3166">index('Query Tool'!B:B,match(C3166,'Query Tool'!C:C,0))</f>
        <v>0</v>
      </c>
      <c r="V3166" s="161" t="b">
        <f>F3166&gt;='Query Tool'!C$32</f>
        <v>1</v>
      </c>
      <c r="W3166" s="161" t="b">
        <f t="array" ref="W3166">index(Dropdowns!B:B,match(I3166,Dropdowns!A:A,0))</f>
        <v>1</v>
      </c>
      <c r="X3166" s="161" t="b">
        <f t="array" ref="X3166">index('Query Tool'!B:B,match(D3166,'Query Tool'!C:C,0))</f>
        <v>1</v>
      </c>
      <c r="Y3166" s="161" t="str">
        <f t="shared" si="6"/>
        <v>dellama01,2019-20</v>
      </c>
      <c r="Z3166" s="168" t="str">
        <f t="array" ref="Z3166">iferror(index(I:I,match($A3166&amp;","&amp;index('Year Conversion'!$A:$A,match($C3166,'Year Conversion'!$B:$B,0)),$Y:$Y,0))-I3166,"")</f>
        <v/>
      </c>
      <c r="AA3166" s="168" t="str">
        <f t="array" ref="AA3166">iferror(index(J:J,match($A3166&amp;","&amp;index('Year Conversion'!$A:$A,match($C3166,'Year Conversion'!$B:$B,0)),$Y:$Y,0))-J3166,"")</f>
        <v/>
      </c>
      <c r="AB3166" s="168" t="str">
        <f t="array" ref="AB3166">iferror(index(K:K,match($A3166&amp;","&amp;index('Year Conversion'!$A:$A,match($C3166,'Year Conversion'!$B:$B,0)),$Y:$Y,0))-K3166,"")</f>
        <v/>
      </c>
      <c r="AC3166" s="168" t="str">
        <f t="shared" si="7"/>
        <v>CLE,2019-20</v>
      </c>
    </row>
    <row r="3167">
      <c r="A3167" s="161" t="str">
        <f>IFERROR(__xludf.DUMMYFUNCTION("""COMPUTED_VALUE"""),"hillso01")</f>
        <v>hillso01</v>
      </c>
      <c r="B3167" s="161" t="str">
        <f>IFERROR(__xludf.DUMMYFUNCTION("""COMPUTED_VALUE"""),"Solomon Hill")</f>
        <v>Solomon Hill</v>
      </c>
      <c r="C3167" s="162" t="str">
        <f>IFERROR(__xludf.DUMMYFUNCTION("""COMPUTED_VALUE"""),"2019-20")</f>
        <v>2019-20</v>
      </c>
      <c r="D3167" s="163" t="str">
        <f>IFERROR(__xludf.DUMMYFUNCTION("""COMPUTED_VALUE"""),"TOT")</f>
        <v>TOT</v>
      </c>
      <c r="E3167" s="164" t="str">
        <f>IFERROR(__xludf.DUMMYFUNCTION("""COMPUTED_VALUE"""),"Stationary Shooter")</f>
        <v>Stationary Shooter</v>
      </c>
      <c r="F3167" s="164">
        <f>IFERROR(__xludf.DUMMYFUNCTION("""COMPUTED_VALUE"""),1088.33833333333)</f>
        <v>1088.338333</v>
      </c>
      <c r="G3167" s="163">
        <f>IFERROR(__xludf.DUMMYFUNCTION("""COMPUTED_VALUE"""),59.0)</f>
        <v>59</v>
      </c>
      <c r="H3167" s="163" t="str">
        <f>IFERROR(__xludf.DUMMYFUNCTION("""COMPUTED_VALUE"""),"PF")</f>
        <v>PF</v>
      </c>
      <c r="I3167" s="163">
        <f>IFERROR(__xludf.DUMMYFUNCTION("""COMPUTED_VALUE"""),28.0)</f>
        <v>28</v>
      </c>
      <c r="J3167" s="165">
        <f>IFERROR(__xludf.DUMMYFUNCTION("""COMPUTED_VALUE"""),-1.86502683456862)</f>
        <v>-1.865026835</v>
      </c>
      <c r="K3167" s="165">
        <f>IFERROR(__xludf.DUMMYFUNCTION("""COMPUTED_VALUE"""),-1.09318991150455)</f>
        <v>-1.093189912</v>
      </c>
      <c r="L3167" s="165">
        <f>IFERROR(__xludf.DUMMYFUNCTION("""COMPUTED_VALUE"""),-0.771836923064067)</f>
        <v>-0.7718369231</v>
      </c>
      <c r="M3167" s="166">
        <f t="shared" si="2"/>
        <v>0.3159721751</v>
      </c>
      <c r="N3167" s="167">
        <f t="shared" si="3"/>
        <v>18.44641243</v>
      </c>
      <c r="O3167" s="163">
        <f t="shared" ref="O3167:Q3167" si="3171">rank(I3167,I:I)</f>
        <v>1090</v>
      </c>
      <c r="P3167" s="163">
        <f t="shared" si="3171"/>
        <v>3390</v>
      </c>
      <c r="Q3167" s="163">
        <f t="shared" si="3171"/>
        <v>2921</v>
      </c>
      <c r="R3167" s="163">
        <f>IFERROR(__xludf.DUMMYFUNCTION("RANK(M3167,filter(M:M,C:C=C3167))"),298.0)</f>
        <v>298</v>
      </c>
      <c r="S3167" s="161" t="b">
        <f t="shared" si="5"/>
        <v>0</v>
      </c>
      <c r="T3167" s="161" t="b">
        <f t="array" ref="T3167">index('Query Tool'!B:B,match(H3167,'Query Tool'!C:C,0))</f>
        <v>1</v>
      </c>
      <c r="U3167" s="161" t="b">
        <f t="array" ref="U3167">index('Query Tool'!B:B,match(C3167,'Query Tool'!C:C,0))</f>
        <v>0</v>
      </c>
      <c r="V3167" s="161" t="b">
        <f>F3167&gt;='Query Tool'!C$32</f>
        <v>1</v>
      </c>
      <c r="W3167" s="161" t="b">
        <f t="array" ref="W3167">index(Dropdowns!B:B,match(I3167,Dropdowns!A:A,0))</f>
        <v>1</v>
      </c>
      <c r="X3167" s="161" t="b">
        <f t="array" ref="X3167">index('Query Tool'!B:B,match(D3167,'Query Tool'!C:C,0))</f>
        <v>1</v>
      </c>
      <c r="Y3167" s="161" t="str">
        <f t="shared" si="6"/>
        <v>hillso01,2019-20</v>
      </c>
      <c r="Z3167" s="168" t="str">
        <f t="array" ref="Z3167">iferror(index(I:I,match($A3167&amp;","&amp;index('Year Conversion'!$A:$A,match($C3167,'Year Conversion'!$B:$B,0)),$Y:$Y,0))-I3167,"")</f>
        <v/>
      </c>
      <c r="AA3167" s="168" t="str">
        <f t="array" ref="AA3167">iferror(index(J:J,match($A3167&amp;","&amp;index('Year Conversion'!$A:$A,match($C3167,'Year Conversion'!$B:$B,0)),$Y:$Y,0))-J3167,"")</f>
        <v/>
      </c>
      <c r="AB3167" s="168" t="str">
        <f t="array" ref="AB3167">iferror(index(K:K,match($A3167&amp;","&amp;index('Year Conversion'!$A:$A,match($C3167,'Year Conversion'!$B:$B,0)),$Y:$Y,0))-K3167,"")</f>
        <v/>
      </c>
      <c r="AC3167" s="168" t="str">
        <f t="shared" si="7"/>
        <v>TOT,2019-20</v>
      </c>
    </row>
    <row r="3168">
      <c r="A3168" s="161" t="str">
        <f>IFERROR(__xludf.DUMMYFUNCTION("""COMPUTED_VALUE"""),"netora01")</f>
        <v>netora01</v>
      </c>
      <c r="B3168" s="161" t="str">
        <f>IFERROR(__xludf.DUMMYFUNCTION("""COMPUTED_VALUE"""),"Raul Neto")</f>
        <v>Raul Neto</v>
      </c>
      <c r="C3168" s="162" t="str">
        <f>IFERROR(__xludf.DUMMYFUNCTION("""COMPUTED_VALUE"""),"2019-20")</f>
        <v>2019-20</v>
      </c>
      <c r="D3168" s="163" t="str">
        <f>IFERROR(__xludf.DUMMYFUNCTION("""COMPUTED_VALUE"""),"PHI")</f>
        <v>PHI</v>
      </c>
      <c r="E3168" s="164" t="str">
        <f>IFERROR(__xludf.DUMMYFUNCTION("""COMPUTED_VALUE"""),"Secondary Ball Handler")</f>
        <v>Secondary Ball Handler</v>
      </c>
      <c r="F3168" s="164">
        <f>IFERROR(__xludf.DUMMYFUNCTION("""COMPUTED_VALUE"""),667.6)</f>
        <v>667.6</v>
      </c>
      <c r="G3168" s="163">
        <f>IFERROR(__xludf.DUMMYFUNCTION("""COMPUTED_VALUE"""),54.0)</f>
        <v>54</v>
      </c>
      <c r="H3168" s="163" t="str">
        <f>IFERROR(__xludf.DUMMYFUNCTION("""COMPUTED_VALUE"""),"PG")</f>
        <v>PG</v>
      </c>
      <c r="I3168" s="163">
        <f>IFERROR(__xludf.DUMMYFUNCTION("""COMPUTED_VALUE"""),27.0)</f>
        <v>27</v>
      </c>
      <c r="J3168" s="165">
        <f>IFERROR(__xludf.DUMMYFUNCTION("""COMPUTED_VALUE"""),-1.55929299059098)</f>
        <v>-1.559292991</v>
      </c>
      <c r="K3168" s="165">
        <f>IFERROR(__xludf.DUMMYFUNCTION("""COMPUTED_VALUE"""),-1.0115656319804)</f>
        <v>-1.011565632</v>
      </c>
      <c r="L3168" s="165">
        <f>IFERROR(__xludf.DUMMYFUNCTION("""COMPUTED_VALUE"""),-0.547727358610582)</f>
        <v>-0.5477273586</v>
      </c>
      <c r="M3168" s="166">
        <f t="shared" si="2"/>
        <v>0.329756809</v>
      </c>
      <c r="N3168" s="167">
        <f t="shared" si="3"/>
        <v>12.36296296</v>
      </c>
      <c r="O3168" s="163">
        <f t="shared" ref="O3168:Q3168" si="3172">rank(I3168,I:I)</f>
        <v>1366</v>
      </c>
      <c r="P3168" s="163">
        <f t="shared" si="3172"/>
        <v>3108</v>
      </c>
      <c r="Q3168" s="163">
        <f t="shared" si="3172"/>
        <v>2817</v>
      </c>
      <c r="R3168" s="163">
        <f>IFERROR(__xludf.DUMMYFUNCTION("RANK(M3168,filter(M:M,C:C=C3168))"),291.0)</f>
        <v>291</v>
      </c>
      <c r="S3168" s="161" t="b">
        <f t="shared" si="5"/>
        <v>0</v>
      </c>
      <c r="T3168" s="161" t="b">
        <f t="array" ref="T3168">index('Query Tool'!B:B,match(H3168,'Query Tool'!C:C,0))</f>
        <v>1</v>
      </c>
      <c r="U3168" s="161" t="b">
        <f t="array" ref="U3168">index('Query Tool'!B:B,match(C3168,'Query Tool'!C:C,0))</f>
        <v>0</v>
      </c>
      <c r="V3168" s="161" t="b">
        <f>F3168&gt;='Query Tool'!C$32</f>
        <v>1</v>
      </c>
      <c r="W3168" s="161" t="b">
        <f t="array" ref="W3168">index(Dropdowns!B:B,match(I3168,Dropdowns!A:A,0))</f>
        <v>1</v>
      </c>
      <c r="X3168" s="161" t="b">
        <f t="array" ref="X3168">index('Query Tool'!B:B,match(D3168,'Query Tool'!C:C,0))</f>
        <v>1</v>
      </c>
      <c r="Y3168" s="161" t="str">
        <f t="shared" si="6"/>
        <v>netora01,2019-20</v>
      </c>
      <c r="Z3168" s="168" t="str">
        <f t="array" ref="Z3168">iferror(index(I:I,match($A3168&amp;","&amp;index('Year Conversion'!$A:$A,match($C3168,'Year Conversion'!$B:$B,0)),$Y:$Y,0))-I3168,"")</f>
        <v/>
      </c>
      <c r="AA3168" s="168" t="str">
        <f t="array" ref="AA3168">iferror(index(J:J,match($A3168&amp;","&amp;index('Year Conversion'!$A:$A,match($C3168,'Year Conversion'!$B:$B,0)),$Y:$Y,0))-J3168,"")</f>
        <v/>
      </c>
      <c r="AB3168" s="168" t="str">
        <f t="array" ref="AB3168">iferror(index(K:K,match($A3168&amp;","&amp;index('Year Conversion'!$A:$A,match($C3168,'Year Conversion'!$B:$B,0)),$Y:$Y,0))-K3168,"")</f>
        <v/>
      </c>
      <c r="AC3168" s="168" t="str">
        <f t="shared" si="7"/>
        <v>PHI,2019-20</v>
      </c>
    </row>
    <row r="3169">
      <c r="A3169" s="161" t="str">
        <f>IFERROR(__xludf.DUMMYFUNCTION("""COMPUTED_VALUE"""),"curryse01")</f>
        <v>curryse01</v>
      </c>
      <c r="B3169" s="161" t="str">
        <f>IFERROR(__xludf.DUMMYFUNCTION("""COMPUTED_VALUE"""),"Seth Curry")</f>
        <v>Seth Curry</v>
      </c>
      <c r="C3169" s="162" t="str">
        <f>IFERROR(__xludf.DUMMYFUNCTION("""COMPUTED_VALUE"""),"2019-20")</f>
        <v>2019-20</v>
      </c>
      <c r="D3169" s="163" t="str">
        <f>IFERROR(__xludf.DUMMYFUNCTION("""COMPUTED_VALUE"""),"DAL")</f>
        <v>DAL</v>
      </c>
      <c r="E3169" s="164" t="str">
        <f>IFERROR(__xludf.DUMMYFUNCTION("""COMPUTED_VALUE"""),"Secondary Ball Handler")</f>
        <v>Secondary Ball Handler</v>
      </c>
      <c r="F3169" s="164">
        <f>IFERROR(__xludf.DUMMYFUNCTION("""COMPUTED_VALUE"""),1575.71333333333)</f>
        <v>1575.713333</v>
      </c>
      <c r="G3169" s="163">
        <f>IFERROR(__xludf.DUMMYFUNCTION("""COMPUTED_VALUE"""),64.0)</f>
        <v>64</v>
      </c>
      <c r="H3169" s="163" t="str">
        <f>IFERROR(__xludf.DUMMYFUNCTION("""COMPUTED_VALUE"""),"SG")</f>
        <v>SG</v>
      </c>
      <c r="I3169" s="163">
        <f>IFERROR(__xludf.DUMMYFUNCTION("""COMPUTED_VALUE"""),29.0)</f>
        <v>29</v>
      </c>
      <c r="J3169" s="165">
        <f>IFERROR(__xludf.DUMMYFUNCTION("""COMPUTED_VALUE"""),0.0744807122338964)</f>
        <v>0.07448071223</v>
      </c>
      <c r="K3169" s="165">
        <f>IFERROR(__xludf.DUMMYFUNCTION("""COMPUTED_VALUE"""),1.65112876920575)</f>
        <v>1.651128769</v>
      </c>
      <c r="L3169" s="165">
        <f>IFERROR(__xludf.DUMMYFUNCTION("""COMPUTED_VALUE"""),-1.57664805697185)</f>
        <v>-1.576648057</v>
      </c>
      <c r="M3169" s="166">
        <f t="shared" si="2"/>
        <v>2.508347199</v>
      </c>
      <c r="N3169" s="167">
        <f t="shared" si="3"/>
        <v>24.62052083</v>
      </c>
      <c r="O3169" s="163">
        <f t="shared" ref="O3169:Q3169" si="3173">rank(I3169,I:I)</f>
        <v>855</v>
      </c>
      <c r="P3169" s="163">
        <f t="shared" si="3173"/>
        <v>1221</v>
      </c>
      <c r="Q3169" s="163">
        <f t="shared" si="3173"/>
        <v>280</v>
      </c>
      <c r="R3169" s="163">
        <f>IFERROR(__xludf.DUMMYFUNCTION("RANK(M3169,filter(M:M,C:C=C3169))"),123.0)</f>
        <v>123</v>
      </c>
      <c r="S3169" s="161" t="b">
        <f t="shared" si="5"/>
        <v>0</v>
      </c>
      <c r="T3169" s="161" t="b">
        <f t="array" ref="T3169">index('Query Tool'!B:B,match(H3169,'Query Tool'!C:C,0))</f>
        <v>1</v>
      </c>
      <c r="U3169" s="161" t="b">
        <f t="array" ref="U3169">index('Query Tool'!B:B,match(C3169,'Query Tool'!C:C,0))</f>
        <v>0</v>
      </c>
      <c r="V3169" s="161" t="b">
        <f>F3169&gt;='Query Tool'!C$32</f>
        <v>1</v>
      </c>
      <c r="W3169" s="161" t="b">
        <f t="array" ref="W3169">index(Dropdowns!B:B,match(I3169,Dropdowns!A:A,0))</f>
        <v>1</v>
      </c>
      <c r="X3169" s="161" t="b">
        <f t="array" ref="X3169">index('Query Tool'!B:B,match(D3169,'Query Tool'!C:C,0))</f>
        <v>1</v>
      </c>
      <c r="Y3169" s="161" t="str">
        <f t="shared" si="6"/>
        <v>curryse01,2019-20</v>
      </c>
      <c r="Z3169" s="168" t="str">
        <f t="array" ref="Z3169">iferror(index(I:I,match($A3169&amp;","&amp;index('Year Conversion'!$A:$A,match($C3169,'Year Conversion'!$B:$B,0)),$Y:$Y,0))-I3169,"")</f>
        <v/>
      </c>
      <c r="AA3169" s="168" t="str">
        <f t="array" ref="AA3169">iferror(index(J:J,match($A3169&amp;","&amp;index('Year Conversion'!$A:$A,match($C3169,'Year Conversion'!$B:$B,0)),$Y:$Y,0))-J3169,"")</f>
        <v/>
      </c>
      <c r="AB3169" s="168" t="str">
        <f t="array" ref="AB3169">iferror(index(K:K,match($A3169&amp;","&amp;index('Year Conversion'!$A:$A,match($C3169,'Year Conversion'!$B:$B,0)),$Y:$Y,0))-K3169,"")</f>
        <v/>
      </c>
      <c r="AC3169" s="168" t="str">
        <f t="shared" si="7"/>
        <v>DAL,2019-20</v>
      </c>
    </row>
    <row r="3170">
      <c r="A3170" s="161" t="str">
        <f>IFERROR(__xludf.DUMMYFUNCTION("""COMPUTED_VALUE"""),"danietr01")</f>
        <v>danietr01</v>
      </c>
      <c r="B3170" s="161" t="str">
        <f>IFERROR(__xludf.DUMMYFUNCTION("""COMPUTED_VALUE"""),"Troy Daniels")</f>
        <v>Troy Daniels</v>
      </c>
      <c r="C3170" s="162" t="str">
        <f>IFERROR(__xludf.DUMMYFUNCTION("""COMPUTED_VALUE"""),"2019-20")</f>
        <v>2019-20</v>
      </c>
      <c r="D3170" s="163" t="str">
        <f>IFERROR(__xludf.DUMMYFUNCTION("""COMPUTED_VALUE"""),"TOT")</f>
        <v>TOT</v>
      </c>
      <c r="E3170" s="164" t="str">
        <f>IFERROR(__xludf.DUMMYFUNCTION("""COMPUTED_VALUE"""),"Movement Shooter")</f>
        <v>Movement Shooter</v>
      </c>
      <c r="F3170" s="164">
        <f>IFERROR(__xludf.DUMMYFUNCTION("""COMPUTED_VALUE"""),531.971666666667)</f>
        <v>531.9716667</v>
      </c>
      <c r="G3170" s="163">
        <f>IFERROR(__xludf.DUMMYFUNCTION("""COMPUTED_VALUE"""),47.0)</f>
        <v>47</v>
      </c>
      <c r="H3170" s="163" t="str">
        <f>IFERROR(__xludf.DUMMYFUNCTION("""COMPUTED_VALUE"""),"SG")</f>
        <v>SG</v>
      </c>
      <c r="I3170" s="163">
        <f>IFERROR(__xludf.DUMMYFUNCTION("""COMPUTED_VALUE"""),28.0)</f>
        <v>28</v>
      </c>
      <c r="J3170" s="165">
        <f>IFERROR(__xludf.DUMMYFUNCTION("""COMPUTED_VALUE"""),-2.02540843876352)</f>
        <v>-2.025408439</v>
      </c>
      <c r="K3170" s="165">
        <f>IFERROR(__xludf.DUMMYFUNCTION("""COMPUTED_VALUE"""),-0.519251660519327)</f>
        <v>-0.5192516605</v>
      </c>
      <c r="L3170" s="165">
        <f>IFERROR(__xludf.DUMMYFUNCTION("""COMPUTED_VALUE"""),-1.50615677824419)</f>
        <v>-1.506156778</v>
      </c>
      <c r="M3170" s="166">
        <f t="shared" si="2"/>
        <v>0.09782212594</v>
      </c>
      <c r="N3170" s="167">
        <f t="shared" si="3"/>
        <v>11.3185461</v>
      </c>
      <c r="O3170" s="163">
        <f t="shared" ref="O3170:Q3170" si="3174">rank(I3170,I:I)</f>
        <v>1090</v>
      </c>
      <c r="P3170" s="163">
        <f t="shared" si="3174"/>
        <v>3499</v>
      </c>
      <c r="Q3170" s="163">
        <f t="shared" si="3174"/>
        <v>2141</v>
      </c>
      <c r="R3170" s="163">
        <f>IFERROR(__xludf.DUMMYFUNCTION("RANK(M3170,filter(M:M,C:C=C3170))"),388.0)</f>
        <v>388</v>
      </c>
      <c r="S3170" s="161" t="b">
        <f t="shared" si="5"/>
        <v>0</v>
      </c>
      <c r="T3170" s="161" t="b">
        <f t="array" ref="T3170">index('Query Tool'!B:B,match(H3170,'Query Tool'!C:C,0))</f>
        <v>1</v>
      </c>
      <c r="U3170" s="161" t="b">
        <f t="array" ref="U3170">index('Query Tool'!B:B,match(C3170,'Query Tool'!C:C,0))</f>
        <v>0</v>
      </c>
      <c r="V3170" s="161" t="b">
        <f>F3170&gt;='Query Tool'!C$32</f>
        <v>1</v>
      </c>
      <c r="W3170" s="161" t="b">
        <f t="array" ref="W3170">index(Dropdowns!B:B,match(I3170,Dropdowns!A:A,0))</f>
        <v>1</v>
      </c>
      <c r="X3170" s="161" t="b">
        <f t="array" ref="X3170">index('Query Tool'!B:B,match(D3170,'Query Tool'!C:C,0))</f>
        <v>1</v>
      </c>
      <c r="Y3170" s="161" t="str">
        <f t="shared" si="6"/>
        <v>danietr01,2019-20</v>
      </c>
      <c r="Z3170" s="168" t="str">
        <f t="array" ref="Z3170">iferror(index(I:I,match($A3170&amp;","&amp;index('Year Conversion'!$A:$A,match($C3170,'Year Conversion'!$B:$B,0)),$Y:$Y,0))-I3170,"")</f>
        <v/>
      </c>
      <c r="AA3170" s="168" t="str">
        <f t="array" ref="AA3170">iferror(index(J:J,match($A3170&amp;","&amp;index('Year Conversion'!$A:$A,match($C3170,'Year Conversion'!$B:$B,0)),$Y:$Y,0))-J3170,"")</f>
        <v/>
      </c>
      <c r="AB3170" s="168" t="str">
        <f t="array" ref="AB3170">iferror(index(K:K,match($A3170&amp;","&amp;index('Year Conversion'!$A:$A,match($C3170,'Year Conversion'!$B:$B,0)),$Y:$Y,0))-K3170,"")</f>
        <v/>
      </c>
      <c r="AC3170" s="168" t="str">
        <f t="shared" si="7"/>
        <v>TOT,2019-20</v>
      </c>
    </row>
    <row r="3171">
      <c r="A3171" s="161" t="str">
        <f>IFERROR(__xludf.DUMMYFUNCTION("""COMPUTED_VALUE"""),"mcgruro01")</f>
        <v>mcgruro01</v>
      </c>
      <c r="B3171" s="161" t="str">
        <f>IFERROR(__xludf.DUMMYFUNCTION("""COMPUTED_VALUE"""),"Rodney McGruder")</f>
        <v>Rodney McGruder</v>
      </c>
      <c r="C3171" s="162" t="str">
        <f>IFERROR(__xludf.DUMMYFUNCTION("""COMPUTED_VALUE"""),"2019-20")</f>
        <v>2019-20</v>
      </c>
      <c r="D3171" s="163" t="str">
        <f>IFERROR(__xludf.DUMMYFUNCTION("""COMPUTED_VALUE"""),"LAC")</f>
        <v>LAC</v>
      </c>
      <c r="E3171" s="164" t="str">
        <f>IFERROR(__xludf.DUMMYFUNCTION("""COMPUTED_VALUE"""),"Athletic Finisher")</f>
        <v>Athletic Finisher</v>
      </c>
      <c r="F3171" s="164">
        <f>IFERROR(__xludf.DUMMYFUNCTION("""COMPUTED_VALUE"""),871.013333333333)</f>
        <v>871.0133333</v>
      </c>
      <c r="G3171" s="163">
        <f>IFERROR(__xludf.DUMMYFUNCTION("""COMPUTED_VALUE"""),56.0)</f>
        <v>56</v>
      </c>
      <c r="H3171" s="163" t="str">
        <f>IFERROR(__xludf.DUMMYFUNCTION("""COMPUTED_VALUE"""),"SG")</f>
        <v>SG</v>
      </c>
      <c r="I3171" s="163">
        <f>IFERROR(__xludf.DUMMYFUNCTION("""COMPUTED_VALUE"""),28.0)</f>
        <v>28</v>
      </c>
      <c r="J3171" s="165">
        <f>IFERROR(__xludf.DUMMYFUNCTION("""COMPUTED_VALUE"""),-1.8205708540299)</f>
        <v>-1.820570854</v>
      </c>
      <c r="K3171" s="165">
        <f>IFERROR(__xludf.DUMMYFUNCTION("""COMPUTED_VALUE"""),-1.59941291285501)</f>
        <v>-1.599412913</v>
      </c>
      <c r="L3171" s="165">
        <f>IFERROR(__xludf.DUMMYFUNCTION("""COMPUTED_VALUE"""),-0.22115794117489)</f>
        <v>-0.2211579412</v>
      </c>
      <c r="M3171" s="166">
        <f t="shared" si="2"/>
        <v>0.2786170041</v>
      </c>
      <c r="N3171" s="167">
        <f t="shared" si="3"/>
        <v>15.55380952</v>
      </c>
      <c r="O3171" s="163">
        <f t="shared" ref="O3171:Q3171" si="3175">rank(I3171,I:I)</f>
        <v>1090</v>
      </c>
      <c r="P3171" s="163">
        <f t="shared" si="3175"/>
        <v>3355</v>
      </c>
      <c r="Q3171" s="163">
        <f t="shared" si="3175"/>
        <v>3446</v>
      </c>
      <c r="R3171" s="163">
        <f>IFERROR(__xludf.DUMMYFUNCTION("RANK(M3171,filter(M:M,C:C=C3171))"),313.0)</f>
        <v>313</v>
      </c>
      <c r="S3171" s="161" t="b">
        <f t="shared" si="5"/>
        <v>0</v>
      </c>
      <c r="T3171" s="161" t="b">
        <f t="array" ref="T3171">index('Query Tool'!B:B,match(H3171,'Query Tool'!C:C,0))</f>
        <v>1</v>
      </c>
      <c r="U3171" s="161" t="b">
        <f t="array" ref="U3171">index('Query Tool'!B:B,match(C3171,'Query Tool'!C:C,0))</f>
        <v>0</v>
      </c>
      <c r="V3171" s="161" t="b">
        <f>F3171&gt;='Query Tool'!C$32</f>
        <v>1</v>
      </c>
      <c r="W3171" s="161" t="b">
        <f t="array" ref="W3171">index(Dropdowns!B:B,match(I3171,Dropdowns!A:A,0))</f>
        <v>1</v>
      </c>
      <c r="X3171" s="161" t="b">
        <f t="array" ref="X3171">index('Query Tool'!B:B,match(D3171,'Query Tool'!C:C,0))</f>
        <v>1</v>
      </c>
      <c r="Y3171" s="161" t="str">
        <f t="shared" si="6"/>
        <v>mcgruro01,2019-20</v>
      </c>
      <c r="Z3171" s="168" t="str">
        <f t="array" ref="Z3171">iferror(index(I:I,match($A3171&amp;","&amp;index('Year Conversion'!$A:$A,match($C3171,'Year Conversion'!$B:$B,0)),$Y:$Y,0))-I3171,"")</f>
        <v/>
      </c>
      <c r="AA3171" s="168" t="str">
        <f t="array" ref="AA3171">iferror(index(J:J,match($A3171&amp;","&amp;index('Year Conversion'!$A:$A,match($C3171,'Year Conversion'!$B:$B,0)),$Y:$Y,0))-J3171,"")</f>
        <v/>
      </c>
      <c r="AB3171" s="168" t="str">
        <f t="array" ref="AB3171">iferror(index(K:K,match($A3171&amp;","&amp;index('Year Conversion'!$A:$A,match($C3171,'Year Conversion'!$B:$B,0)),$Y:$Y,0))-K3171,"")</f>
        <v/>
      </c>
      <c r="AC3171" s="168" t="str">
        <f t="shared" si="7"/>
        <v>LAC,2019-20</v>
      </c>
    </row>
    <row r="3172">
      <c r="A3172" s="161" t="str">
        <f>IFERROR(__xludf.DUMMYFUNCTION("""COMPUTED_VALUE"""),"antetth01")</f>
        <v>antetth01</v>
      </c>
      <c r="B3172" s="161" t="str">
        <f>IFERROR(__xludf.DUMMYFUNCTION("""COMPUTED_VALUE"""),"Thanasis Antetokounmpo")</f>
        <v>Thanasis Antetokounmpo</v>
      </c>
      <c r="C3172" s="162" t="str">
        <f>IFERROR(__xludf.DUMMYFUNCTION("""COMPUTED_VALUE"""),"2019-20")</f>
        <v>2019-20</v>
      </c>
      <c r="D3172" s="163" t="str">
        <f>IFERROR(__xludf.DUMMYFUNCTION("""COMPUTED_VALUE"""),"MIL")</f>
        <v>MIL</v>
      </c>
      <c r="E3172" s="164" t="str">
        <f>IFERROR(__xludf.DUMMYFUNCTION("""COMPUTED_VALUE"""),"Athletic Finisher")</f>
        <v>Athletic Finisher</v>
      </c>
      <c r="F3172" s="164">
        <f>IFERROR(__xludf.DUMMYFUNCTION("""COMPUTED_VALUE"""),128.63)</f>
        <v>128.63</v>
      </c>
      <c r="G3172" s="163">
        <f>IFERROR(__xludf.DUMMYFUNCTION("""COMPUTED_VALUE"""),20.0)</f>
        <v>20</v>
      </c>
      <c r="H3172" s="163" t="str">
        <f>IFERROR(__xludf.DUMMYFUNCTION("""COMPUTED_VALUE"""),"SF")</f>
        <v>SF</v>
      </c>
      <c r="I3172" s="163">
        <f>IFERROR(__xludf.DUMMYFUNCTION("""COMPUTED_VALUE"""),27.0)</f>
        <v>27</v>
      </c>
      <c r="J3172" s="165">
        <f>IFERROR(__xludf.DUMMYFUNCTION("""COMPUTED_VALUE"""),-0.496366638268413)</f>
        <v>-0.4963666383</v>
      </c>
      <c r="K3172" s="165">
        <f>IFERROR(__xludf.DUMMYFUNCTION("""COMPUTED_VALUE"""),-0.36650585528252)</f>
        <v>-0.3665058553</v>
      </c>
      <c r="L3172" s="165">
        <f>IFERROR(__xludf.DUMMYFUNCTION("""COMPUTED_VALUE"""),-0.129860782985893)</f>
        <v>-0.129860783</v>
      </c>
      <c r="M3172" s="166">
        <f t="shared" si="2"/>
        <v>0.1552738812</v>
      </c>
      <c r="N3172" s="167">
        <f t="shared" si="3"/>
        <v>6.4315</v>
      </c>
      <c r="O3172" s="163">
        <f t="shared" ref="O3172:Q3172" si="3176">rank(I3172,I:I)</f>
        <v>1366</v>
      </c>
      <c r="P3172" s="163">
        <f t="shared" si="3176"/>
        <v>1850</v>
      </c>
      <c r="Q3172" s="163">
        <f t="shared" si="3176"/>
        <v>1885</v>
      </c>
      <c r="R3172" s="163">
        <f>IFERROR(__xludf.DUMMYFUNCTION("RANK(M3172,filter(M:M,C:C=C3172))"),357.0)</f>
        <v>357</v>
      </c>
      <c r="S3172" s="161" t="b">
        <f t="shared" si="5"/>
        <v>0</v>
      </c>
      <c r="T3172" s="161" t="b">
        <f t="array" ref="T3172">index('Query Tool'!B:B,match(H3172,'Query Tool'!C:C,0))</f>
        <v>1</v>
      </c>
      <c r="U3172" s="161" t="b">
        <f t="array" ref="U3172">index('Query Tool'!B:B,match(C3172,'Query Tool'!C:C,0))</f>
        <v>0</v>
      </c>
      <c r="V3172" s="161" t="b">
        <f>F3172&gt;='Query Tool'!C$32</f>
        <v>0</v>
      </c>
      <c r="W3172" s="161" t="b">
        <f t="array" ref="W3172">index(Dropdowns!B:B,match(I3172,Dropdowns!A:A,0))</f>
        <v>1</v>
      </c>
      <c r="X3172" s="161" t="b">
        <f t="array" ref="X3172">index('Query Tool'!B:B,match(D3172,'Query Tool'!C:C,0))</f>
        <v>1</v>
      </c>
      <c r="Y3172" s="161" t="str">
        <f t="shared" si="6"/>
        <v>antetth01,2019-20</v>
      </c>
      <c r="Z3172" s="168" t="str">
        <f t="array" ref="Z3172">iferror(index(I:I,match($A3172&amp;","&amp;index('Year Conversion'!$A:$A,match($C3172,'Year Conversion'!$B:$B,0)),$Y:$Y,0))-I3172,"")</f>
        <v/>
      </c>
      <c r="AA3172" s="168" t="str">
        <f t="array" ref="AA3172">iferror(index(J:J,match($A3172&amp;","&amp;index('Year Conversion'!$A:$A,match($C3172,'Year Conversion'!$B:$B,0)),$Y:$Y,0))-J3172,"")</f>
        <v/>
      </c>
      <c r="AB3172" s="168" t="str">
        <f t="array" ref="AB3172">iferror(index(K:K,match($A3172&amp;","&amp;index('Year Conversion'!$A:$A,match($C3172,'Year Conversion'!$B:$B,0)),$Y:$Y,0))-K3172,"")</f>
        <v/>
      </c>
      <c r="AC3172" s="168" t="str">
        <f t="shared" si="7"/>
        <v>MIL,2019-20</v>
      </c>
    </row>
    <row r="3173">
      <c r="A3173" s="161" t="str">
        <f>IFERROR(__xludf.DUMMYFUNCTION("""COMPUTED_VALUE"""),"pelleno01")</f>
        <v>pelleno01</v>
      </c>
      <c r="B3173" s="161" t="str">
        <f>IFERROR(__xludf.DUMMYFUNCTION("""COMPUTED_VALUE"""),"Norvel Pelle")</f>
        <v>Norvel Pelle</v>
      </c>
      <c r="C3173" s="162" t="str">
        <f>IFERROR(__xludf.DUMMYFUNCTION("""COMPUTED_VALUE"""),"2019-20")</f>
        <v>2019-20</v>
      </c>
      <c r="D3173" s="163" t="str">
        <f>IFERROR(__xludf.DUMMYFUNCTION("""COMPUTED_VALUE"""),"PHI")</f>
        <v>PHI</v>
      </c>
      <c r="E3173" s="164" t="str">
        <f>IFERROR(__xludf.DUMMYFUNCTION("""COMPUTED_VALUE"""),"Roll + Cut Big")</f>
        <v>Roll + Cut Big</v>
      </c>
      <c r="F3173" s="164">
        <f>IFERROR(__xludf.DUMMYFUNCTION("""COMPUTED_VALUE"""),231.738333333333)</f>
        <v>231.7383333</v>
      </c>
      <c r="G3173" s="163">
        <f>IFERROR(__xludf.DUMMYFUNCTION("""COMPUTED_VALUE"""),24.0)</f>
        <v>24</v>
      </c>
      <c r="H3173" s="163" t="str">
        <f>IFERROR(__xludf.DUMMYFUNCTION("""COMPUTED_VALUE"""),"C")</f>
        <v>C</v>
      </c>
      <c r="I3173" s="163">
        <f>IFERROR(__xludf.DUMMYFUNCTION("""COMPUTED_VALUE"""),26.0)</f>
        <v>26</v>
      </c>
      <c r="J3173" s="165">
        <f>IFERROR(__xludf.DUMMYFUNCTION("""COMPUTED_VALUE"""),-0.771639297760406)</f>
        <v>-0.7716392978</v>
      </c>
      <c r="K3173" s="165">
        <f>IFERROR(__xludf.DUMMYFUNCTION("""COMPUTED_VALUE"""),-2.59028952329508)</f>
        <v>-2.590289523</v>
      </c>
      <c r="L3173" s="165">
        <f>IFERROR(__xludf.DUMMYFUNCTION("""COMPUTED_VALUE"""),1.81865022553468)</f>
        <v>1.818650226</v>
      </c>
      <c r="M3173" s="166">
        <f t="shared" si="2"/>
        <v>0.2368053377</v>
      </c>
      <c r="N3173" s="167">
        <f t="shared" si="3"/>
        <v>9.655763889</v>
      </c>
      <c r="O3173" s="163">
        <f t="shared" ref="O3173:Q3173" si="3177">rank(I3173,I:I)</f>
        <v>1665</v>
      </c>
      <c r="P3173" s="163">
        <f t="shared" si="3177"/>
        <v>2239</v>
      </c>
      <c r="Q3173" s="163">
        <f t="shared" si="3177"/>
        <v>3912</v>
      </c>
      <c r="R3173" s="163">
        <f>IFERROR(__xludf.DUMMYFUNCTION("RANK(M3173,filter(M:M,C:C=C3173))"),325.0)</f>
        <v>325</v>
      </c>
      <c r="S3173" s="161" t="b">
        <f t="shared" si="5"/>
        <v>0</v>
      </c>
      <c r="T3173" s="161" t="b">
        <f t="array" ref="T3173">index('Query Tool'!B:B,match(H3173,'Query Tool'!C:C,0))</f>
        <v>1</v>
      </c>
      <c r="U3173" s="161" t="b">
        <f t="array" ref="U3173">index('Query Tool'!B:B,match(C3173,'Query Tool'!C:C,0))</f>
        <v>0</v>
      </c>
      <c r="V3173" s="161" t="b">
        <f>F3173&gt;='Query Tool'!C$32</f>
        <v>0</v>
      </c>
      <c r="W3173" s="161" t="b">
        <f t="array" ref="W3173">index(Dropdowns!B:B,match(I3173,Dropdowns!A:A,0))</f>
        <v>1</v>
      </c>
      <c r="X3173" s="161" t="b">
        <f t="array" ref="X3173">index('Query Tool'!B:B,match(D3173,'Query Tool'!C:C,0))</f>
        <v>1</v>
      </c>
      <c r="Y3173" s="161" t="str">
        <f t="shared" si="6"/>
        <v>pelleno01,2019-20</v>
      </c>
      <c r="Z3173" s="168" t="str">
        <f t="array" ref="Z3173">iferror(index(I:I,match($A3173&amp;","&amp;index('Year Conversion'!$A:$A,match($C3173,'Year Conversion'!$B:$B,0)),$Y:$Y,0))-I3173,"")</f>
        <v/>
      </c>
      <c r="AA3173" s="168" t="str">
        <f t="array" ref="AA3173">iferror(index(J:J,match($A3173&amp;","&amp;index('Year Conversion'!$A:$A,match($C3173,'Year Conversion'!$B:$B,0)),$Y:$Y,0))-J3173,"")</f>
        <v/>
      </c>
      <c r="AB3173" s="168" t="str">
        <f t="array" ref="AB3173">iferror(index(K:K,match($A3173&amp;","&amp;index('Year Conversion'!$A:$A,match($C3173,'Year Conversion'!$B:$B,0)),$Y:$Y,0))-K3173,"")</f>
        <v/>
      </c>
      <c r="AC3173" s="168" t="str">
        <f t="shared" si="7"/>
        <v>PHI,2019-20</v>
      </c>
    </row>
    <row r="3174">
      <c r="A3174" s="161" t="str">
        <f>IFERROR(__xludf.DUMMYFUNCTION("""COMPUTED_VALUE"""),"magetjo01")</f>
        <v>magetjo01</v>
      </c>
      <c r="B3174" s="161" t="str">
        <f>IFERROR(__xludf.DUMMYFUNCTION("""COMPUTED_VALUE"""),"Josh Magette")</f>
        <v>Josh Magette</v>
      </c>
      <c r="C3174" s="162" t="str">
        <f>IFERROR(__xludf.DUMMYFUNCTION("""COMPUTED_VALUE"""),"2019-20")</f>
        <v>2019-20</v>
      </c>
      <c r="D3174" s="163" t="str">
        <f>IFERROR(__xludf.DUMMYFUNCTION("""COMPUTED_VALUE"""),"ORL")</f>
        <v>ORL</v>
      </c>
      <c r="E3174" s="164" t="str">
        <f>IFERROR(__xludf.DUMMYFUNCTION("""COMPUTED_VALUE"""),"Slasher")</f>
        <v>Slasher</v>
      </c>
      <c r="F3174" s="164">
        <f>IFERROR(__xludf.DUMMYFUNCTION("""COMPUTED_VALUE"""),37.8933333333333)</f>
        <v>37.89333333</v>
      </c>
      <c r="G3174" s="163">
        <f>IFERROR(__xludf.DUMMYFUNCTION("""COMPUTED_VALUE"""),8.0)</f>
        <v>8</v>
      </c>
      <c r="H3174" s="163" t="str">
        <f>IFERROR(__xludf.DUMMYFUNCTION("""COMPUTED_VALUE"""),"PG")</f>
        <v>PG</v>
      </c>
      <c r="I3174" s="163">
        <f>IFERROR(__xludf.DUMMYFUNCTION("""COMPUTED_VALUE"""),30.0)</f>
        <v>30</v>
      </c>
      <c r="J3174" s="165">
        <f>IFERROR(__xludf.DUMMYFUNCTION("""COMPUTED_VALUE"""),-0.571295440977002)</f>
        <v>-0.571295441</v>
      </c>
      <c r="K3174" s="165">
        <f>IFERROR(__xludf.DUMMYFUNCTION("""COMPUTED_VALUE"""),-0.548530355611262)</f>
        <v>-0.5485303556</v>
      </c>
      <c r="L3174" s="165">
        <f>IFERROR(__xludf.DUMMYFUNCTION("""COMPUTED_VALUE"""),-0.02276508536574)</f>
        <v>-0.02276508537</v>
      </c>
      <c r="M3174" s="166">
        <f t="shared" si="2"/>
        <v>0.043830447</v>
      </c>
      <c r="N3174" s="167">
        <f t="shared" si="3"/>
        <v>4.736666667</v>
      </c>
      <c r="O3174" s="163">
        <f t="shared" ref="O3174:Q3174" si="3178">rank(I3174,I:I)</f>
        <v>655</v>
      </c>
      <c r="P3174" s="163">
        <f t="shared" si="3178"/>
        <v>1955</v>
      </c>
      <c r="Q3174" s="163">
        <f t="shared" si="3178"/>
        <v>2187</v>
      </c>
      <c r="R3174" s="163">
        <f>IFERROR(__xludf.DUMMYFUNCTION("RANK(M3174,filter(M:M,C:C=C3174))"),438.0)</f>
        <v>438</v>
      </c>
      <c r="S3174" s="161" t="b">
        <f t="shared" si="5"/>
        <v>0</v>
      </c>
      <c r="T3174" s="161" t="b">
        <f t="array" ref="T3174">index('Query Tool'!B:B,match(H3174,'Query Tool'!C:C,0))</f>
        <v>1</v>
      </c>
      <c r="U3174" s="161" t="b">
        <f t="array" ref="U3174">index('Query Tool'!B:B,match(C3174,'Query Tool'!C:C,0))</f>
        <v>0</v>
      </c>
      <c r="V3174" s="161" t="b">
        <f>F3174&gt;='Query Tool'!C$32</f>
        <v>0</v>
      </c>
      <c r="W3174" s="161" t="b">
        <f t="array" ref="W3174">index(Dropdowns!B:B,match(I3174,Dropdowns!A:A,0))</f>
        <v>1</v>
      </c>
      <c r="X3174" s="161" t="b">
        <f t="array" ref="X3174">index('Query Tool'!B:B,match(D3174,'Query Tool'!C:C,0))</f>
        <v>1</v>
      </c>
      <c r="Y3174" s="161" t="str">
        <f t="shared" si="6"/>
        <v>magetjo01,2019-20</v>
      </c>
      <c r="Z3174" s="168" t="str">
        <f t="array" ref="Z3174">iferror(index(I:I,match($A3174&amp;","&amp;index('Year Conversion'!$A:$A,match($C3174,'Year Conversion'!$B:$B,0)),$Y:$Y,0))-I3174,"")</f>
        <v/>
      </c>
      <c r="AA3174" s="168" t="str">
        <f t="array" ref="AA3174">iferror(index(J:J,match($A3174&amp;","&amp;index('Year Conversion'!$A:$A,match($C3174,'Year Conversion'!$B:$B,0)),$Y:$Y,0))-J3174,"")</f>
        <v/>
      </c>
      <c r="AB3174" s="168" t="str">
        <f t="array" ref="AB3174">iferror(index(K:K,match($A3174&amp;","&amp;index('Year Conversion'!$A:$A,match($C3174,'Year Conversion'!$B:$B,0)),$Y:$Y,0))-K3174,"")</f>
        <v/>
      </c>
      <c r="AC3174" s="168" t="str">
        <f t="shared" si="7"/>
        <v>ORL,2019-20</v>
      </c>
    </row>
    <row r="3175">
      <c r="A3175" s="161" t="str">
        <f>IFERROR(__xludf.DUMMYFUNCTION("""COMPUTED_VALUE"""),"napiesh01")</f>
        <v>napiesh01</v>
      </c>
      <c r="B3175" s="161" t="str">
        <f>IFERROR(__xludf.DUMMYFUNCTION("""COMPUTED_VALUE"""),"Shabazz Napier")</f>
        <v>Shabazz Napier</v>
      </c>
      <c r="C3175" s="162" t="str">
        <f>IFERROR(__xludf.DUMMYFUNCTION("""COMPUTED_VALUE"""),"2019-20")</f>
        <v>2019-20</v>
      </c>
      <c r="D3175" s="163" t="str">
        <f>IFERROR(__xludf.DUMMYFUNCTION("""COMPUTED_VALUE"""),"TOT")</f>
        <v>TOT</v>
      </c>
      <c r="E3175" s="164" t="str">
        <f>IFERROR(__xludf.DUMMYFUNCTION("""COMPUTED_VALUE"""),"Primary Ball Handler")</f>
        <v>Primary Ball Handler</v>
      </c>
      <c r="F3175" s="164">
        <f>IFERROR(__xludf.DUMMYFUNCTION("""COMPUTED_VALUE"""),1344.49333333333)</f>
        <v>1344.493333</v>
      </c>
      <c r="G3175" s="163">
        <f>IFERROR(__xludf.DUMMYFUNCTION("""COMPUTED_VALUE"""),56.0)</f>
        <v>56</v>
      </c>
      <c r="H3175" s="163" t="str">
        <f>IFERROR(__xludf.DUMMYFUNCTION("""COMPUTED_VALUE"""),"PG")</f>
        <v>PG</v>
      </c>
      <c r="I3175" s="163">
        <f>IFERROR(__xludf.DUMMYFUNCTION("""COMPUTED_VALUE"""),28.0)</f>
        <v>28</v>
      </c>
      <c r="J3175" s="165">
        <f>IFERROR(__xludf.DUMMYFUNCTION("""COMPUTED_VALUE"""),-0.258684451426093)</f>
        <v>-0.2586844514</v>
      </c>
      <c r="K3175" s="165">
        <f>IFERROR(__xludf.DUMMYFUNCTION("""COMPUTED_VALUE"""),-0.668656826533157)</f>
        <v>-0.6686568265</v>
      </c>
      <c r="L3175" s="165">
        <f>IFERROR(__xludf.DUMMYFUNCTION("""COMPUTED_VALUE"""),0.409972375107064)</f>
        <v>0.4099723751</v>
      </c>
      <c r="M3175" s="166">
        <f t="shared" si="2"/>
        <v>1.838299457</v>
      </c>
      <c r="N3175" s="167">
        <f t="shared" si="3"/>
        <v>24.00880952</v>
      </c>
      <c r="O3175" s="163">
        <f t="shared" ref="O3175:Q3175" si="3179">rank(I3175,I:I)</f>
        <v>1090</v>
      </c>
      <c r="P3175" s="163">
        <f t="shared" si="3179"/>
        <v>1571</v>
      </c>
      <c r="Q3175" s="163">
        <f t="shared" si="3179"/>
        <v>2370</v>
      </c>
      <c r="R3175" s="163">
        <f>IFERROR(__xludf.DUMMYFUNCTION("RANK(M3175,filter(M:M,C:C=C3175))"),165.0)</f>
        <v>165</v>
      </c>
      <c r="S3175" s="161" t="b">
        <f t="shared" si="5"/>
        <v>0</v>
      </c>
      <c r="T3175" s="161" t="b">
        <f t="array" ref="T3175">index('Query Tool'!B:B,match(H3175,'Query Tool'!C:C,0))</f>
        <v>1</v>
      </c>
      <c r="U3175" s="161" t="b">
        <f t="array" ref="U3175">index('Query Tool'!B:B,match(C3175,'Query Tool'!C:C,0))</f>
        <v>0</v>
      </c>
      <c r="V3175" s="161" t="b">
        <f>F3175&gt;='Query Tool'!C$32</f>
        <v>1</v>
      </c>
      <c r="W3175" s="161" t="b">
        <f t="array" ref="W3175">index(Dropdowns!B:B,match(I3175,Dropdowns!A:A,0))</f>
        <v>1</v>
      </c>
      <c r="X3175" s="161" t="b">
        <f t="array" ref="X3175">index('Query Tool'!B:B,match(D3175,'Query Tool'!C:C,0))</f>
        <v>1</v>
      </c>
      <c r="Y3175" s="161" t="str">
        <f t="shared" si="6"/>
        <v>napiesh01,2019-20</v>
      </c>
      <c r="Z3175" s="168" t="str">
        <f t="array" ref="Z3175">iferror(index(I:I,match($A3175&amp;","&amp;index('Year Conversion'!$A:$A,match($C3175,'Year Conversion'!$B:$B,0)),$Y:$Y,0))-I3175,"")</f>
        <v/>
      </c>
      <c r="AA3175" s="168" t="str">
        <f t="array" ref="AA3175">iferror(index(J:J,match($A3175&amp;","&amp;index('Year Conversion'!$A:$A,match($C3175,'Year Conversion'!$B:$B,0)),$Y:$Y,0))-J3175,"")</f>
        <v/>
      </c>
      <c r="AB3175" s="168" t="str">
        <f t="array" ref="AB3175">iferror(index(K:K,match($A3175&amp;","&amp;index('Year Conversion'!$A:$A,match($C3175,'Year Conversion'!$B:$B,0)),$Y:$Y,0))-K3175,"")</f>
        <v/>
      </c>
      <c r="AC3175" s="168" t="str">
        <f t="shared" si="7"/>
        <v>TOT,2019-20</v>
      </c>
    </row>
    <row r="3176">
      <c r="A3176" s="161" t="str">
        <f>IFERROR(__xludf.DUMMYFUNCTION("""COMPUTED_VALUE"""),"mcraejo01")</f>
        <v>mcraejo01</v>
      </c>
      <c r="B3176" s="161" t="str">
        <f>IFERROR(__xludf.DUMMYFUNCTION("""COMPUTED_VALUE"""),"Jordan McRae")</f>
        <v>Jordan McRae</v>
      </c>
      <c r="C3176" s="162" t="str">
        <f>IFERROR(__xludf.DUMMYFUNCTION("""COMPUTED_VALUE"""),"2019-20")</f>
        <v>2019-20</v>
      </c>
      <c r="D3176" s="163" t="str">
        <f>IFERROR(__xludf.DUMMYFUNCTION("""COMPUTED_VALUE"""),"TOT")</f>
        <v>TOT</v>
      </c>
      <c r="E3176" s="164" t="str">
        <f>IFERROR(__xludf.DUMMYFUNCTION("""COMPUTED_VALUE"""),"Secondary Ball Handler")</f>
        <v>Secondary Ball Handler</v>
      </c>
      <c r="F3176" s="164">
        <f>IFERROR(__xludf.DUMMYFUNCTION("""COMPUTED_VALUE"""),784.538333333333)</f>
        <v>784.5383333</v>
      </c>
      <c r="G3176" s="163">
        <f>IFERROR(__xludf.DUMMYFUNCTION("""COMPUTED_VALUE"""),37.0)</f>
        <v>37</v>
      </c>
      <c r="H3176" s="163" t="str">
        <f>IFERROR(__xludf.DUMMYFUNCTION("""COMPUTED_VALUE"""),"SG")</f>
        <v>SG</v>
      </c>
      <c r="I3176" s="163">
        <f>IFERROR(__xludf.DUMMYFUNCTION("""COMPUTED_VALUE"""),28.0)</f>
        <v>28</v>
      </c>
      <c r="J3176" s="165">
        <f>IFERROR(__xludf.DUMMYFUNCTION("""COMPUTED_VALUE"""),-0.841731259253965)</f>
        <v>-0.8417312593</v>
      </c>
      <c r="K3176" s="165">
        <f>IFERROR(__xludf.DUMMYFUNCTION("""COMPUTED_VALUE"""),0.260547491026016)</f>
        <v>0.260547491</v>
      </c>
      <c r="L3176" s="165">
        <f>IFERROR(__xludf.DUMMYFUNCTION("""COMPUTED_VALUE"""),-1.10227875027998)</f>
        <v>-1.10227875</v>
      </c>
      <c r="M3176" s="166">
        <f t="shared" si="2"/>
        <v>0.7647192596</v>
      </c>
      <c r="N3176" s="167">
        <f t="shared" si="3"/>
        <v>21.20373874</v>
      </c>
      <c r="O3176" s="163">
        <f t="shared" ref="O3176:Q3176" si="3180">rank(I3176,I:I)</f>
        <v>1090</v>
      </c>
      <c r="P3176" s="163">
        <f t="shared" si="3180"/>
        <v>2338</v>
      </c>
      <c r="Q3176" s="163">
        <f t="shared" si="3180"/>
        <v>942</v>
      </c>
      <c r="R3176" s="163">
        <f>IFERROR(__xludf.DUMMYFUNCTION("RANK(M3176,filter(M:M,C:C=C3176))"),228.0)</f>
        <v>228</v>
      </c>
      <c r="S3176" s="161" t="b">
        <f t="shared" si="5"/>
        <v>0</v>
      </c>
      <c r="T3176" s="161" t="b">
        <f t="array" ref="T3176">index('Query Tool'!B:B,match(H3176,'Query Tool'!C:C,0))</f>
        <v>1</v>
      </c>
      <c r="U3176" s="161" t="b">
        <f t="array" ref="U3176">index('Query Tool'!B:B,match(C3176,'Query Tool'!C:C,0))</f>
        <v>0</v>
      </c>
      <c r="V3176" s="161" t="b">
        <f>F3176&gt;='Query Tool'!C$32</f>
        <v>1</v>
      </c>
      <c r="W3176" s="161" t="b">
        <f t="array" ref="W3176">index(Dropdowns!B:B,match(I3176,Dropdowns!A:A,0))</f>
        <v>1</v>
      </c>
      <c r="X3176" s="161" t="b">
        <f t="array" ref="X3176">index('Query Tool'!B:B,match(D3176,'Query Tool'!C:C,0))</f>
        <v>1</v>
      </c>
      <c r="Y3176" s="161" t="str">
        <f t="shared" si="6"/>
        <v>mcraejo01,2019-20</v>
      </c>
      <c r="Z3176" s="168" t="str">
        <f t="array" ref="Z3176">iferror(index(I:I,match($A3176&amp;","&amp;index('Year Conversion'!$A:$A,match($C3176,'Year Conversion'!$B:$B,0)),$Y:$Y,0))-I3176,"")</f>
        <v/>
      </c>
      <c r="AA3176" s="168" t="str">
        <f t="array" ref="AA3176">iferror(index(J:J,match($A3176&amp;","&amp;index('Year Conversion'!$A:$A,match($C3176,'Year Conversion'!$B:$B,0)),$Y:$Y,0))-J3176,"")</f>
        <v/>
      </c>
      <c r="AB3176" s="168" t="str">
        <f t="array" ref="AB3176">iferror(index(K:K,match($A3176&amp;","&amp;index('Year Conversion'!$A:$A,match($C3176,'Year Conversion'!$B:$B,0)),$Y:$Y,0))-K3176,"")</f>
        <v/>
      </c>
      <c r="AC3176" s="168" t="str">
        <f t="shared" si="7"/>
        <v>TOT,2019-20</v>
      </c>
    </row>
    <row r="3177">
      <c r="A3177" s="161" t="str">
        <f>IFERROR(__xludf.DUMMYFUNCTION("""COMPUTED_VALUE"""),"lavinza01")</f>
        <v>lavinza01</v>
      </c>
      <c r="B3177" s="161" t="str">
        <f>IFERROR(__xludf.DUMMYFUNCTION("""COMPUTED_VALUE"""),"Zach LaVine")</f>
        <v>Zach LaVine</v>
      </c>
      <c r="C3177" s="162" t="str">
        <f>IFERROR(__xludf.DUMMYFUNCTION("""COMPUTED_VALUE"""),"2019-20")</f>
        <v>2019-20</v>
      </c>
      <c r="D3177" s="163" t="str">
        <f>IFERROR(__xludf.DUMMYFUNCTION("""COMPUTED_VALUE"""),"CHI")</f>
        <v>CHI</v>
      </c>
      <c r="E3177" s="164" t="str">
        <f>IFERROR(__xludf.DUMMYFUNCTION("""COMPUTED_VALUE"""),"Primary Ball Handler")</f>
        <v>Primary Ball Handler</v>
      </c>
      <c r="F3177" s="164">
        <f>IFERROR(__xludf.DUMMYFUNCTION("""COMPUTED_VALUE"""),2085.41)</f>
        <v>2085.41</v>
      </c>
      <c r="G3177" s="163">
        <f>IFERROR(__xludf.DUMMYFUNCTION("""COMPUTED_VALUE"""),60.0)</f>
        <v>60</v>
      </c>
      <c r="H3177" s="163" t="str">
        <f>IFERROR(__xludf.DUMMYFUNCTION("""COMPUTED_VALUE"""),"SG")</f>
        <v>SG</v>
      </c>
      <c r="I3177" s="163">
        <f>IFERROR(__xludf.DUMMYFUNCTION("""COMPUTED_VALUE"""),24.0)</f>
        <v>24</v>
      </c>
      <c r="J3177" s="165">
        <f>IFERROR(__xludf.DUMMYFUNCTION("""COMPUTED_VALUE"""),0.365089695546065)</f>
        <v>0.3650896955</v>
      </c>
      <c r="K3177" s="165">
        <f>IFERROR(__xludf.DUMMYFUNCTION("""COMPUTED_VALUE"""),1.81659641267338)</f>
        <v>1.816596413</v>
      </c>
      <c r="L3177" s="165">
        <f>IFERROR(__xludf.DUMMYFUNCTION("""COMPUTED_VALUE"""),-1.45150671712732)</f>
        <v>-1.451506717</v>
      </c>
      <c r="M3177" s="166">
        <f t="shared" si="2"/>
        <v>3.728214364</v>
      </c>
      <c r="N3177" s="167">
        <f t="shared" si="3"/>
        <v>34.75683333</v>
      </c>
      <c r="O3177" s="163">
        <f t="shared" ref="O3177:Q3177" si="3181">rank(I3177,I:I)</f>
        <v>2361</v>
      </c>
      <c r="P3177" s="163">
        <f t="shared" si="3181"/>
        <v>974</v>
      </c>
      <c r="Q3177" s="163">
        <f t="shared" si="3181"/>
        <v>258</v>
      </c>
      <c r="R3177" s="163">
        <f>IFERROR(__xludf.DUMMYFUNCTION("RANK(M3177,filter(M:M,C:C=C3177))"),78.0)</f>
        <v>78</v>
      </c>
      <c r="S3177" s="161" t="b">
        <f t="shared" si="5"/>
        <v>0</v>
      </c>
      <c r="T3177" s="161" t="b">
        <f t="array" ref="T3177">index('Query Tool'!B:B,match(H3177,'Query Tool'!C:C,0))</f>
        <v>1</v>
      </c>
      <c r="U3177" s="161" t="b">
        <f t="array" ref="U3177">index('Query Tool'!B:B,match(C3177,'Query Tool'!C:C,0))</f>
        <v>0</v>
      </c>
      <c r="V3177" s="161" t="b">
        <f>F3177&gt;='Query Tool'!C$32</f>
        <v>1</v>
      </c>
      <c r="W3177" s="161" t="b">
        <f t="array" ref="W3177">index(Dropdowns!B:B,match(I3177,Dropdowns!A:A,0))</f>
        <v>1</v>
      </c>
      <c r="X3177" s="161" t="b">
        <f t="array" ref="X3177">index('Query Tool'!B:B,match(D3177,'Query Tool'!C:C,0))</f>
        <v>1</v>
      </c>
      <c r="Y3177" s="161" t="str">
        <f t="shared" si="6"/>
        <v>lavinza01,2019-20</v>
      </c>
      <c r="Z3177" s="168" t="str">
        <f t="array" ref="Z3177">iferror(index(I:I,match($A3177&amp;","&amp;index('Year Conversion'!$A:$A,match($C3177,'Year Conversion'!$B:$B,0)),$Y:$Y,0))-I3177,"")</f>
        <v/>
      </c>
      <c r="AA3177" s="168" t="str">
        <f t="array" ref="AA3177">iferror(index(J:J,match($A3177&amp;","&amp;index('Year Conversion'!$A:$A,match($C3177,'Year Conversion'!$B:$B,0)),$Y:$Y,0))-J3177,"")</f>
        <v/>
      </c>
      <c r="AB3177" s="168" t="str">
        <f t="array" ref="AB3177">iferror(index(K:K,match($A3177&amp;","&amp;index('Year Conversion'!$A:$A,match($C3177,'Year Conversion'!$B:$B,0)),$Y:$Y,0))-K3177,"")</f>
        <v/>
      </c>
      <c r="AC3177" s="168" t="str">
        <f t="shared" si="7"/>
        <v>CHI,2019-20</v>
      </c>
    </row>
    <row r="3178">
      <c r="A3178" s="161" t="str">
        <f>IFERROR(__xludf.DUMMYFUNCTION("""COMPUTED_VALUE"""),"paytoel01")</f>
        <v>paytoel01</v>
      </c>
      <c r="B3178" s="161" t="str">
        <f>IFERROR(__xludf.DUMMYFUNCTION("""COMPUTED_VALUE"""),"Elfrid Payton")</f>
        <v>Elfrid Payton</v>
      </c>
      <c r="C3178" s="162" t="str">
        <f>IFERROR(__xludf.DUMMYFUNCTION("""COMPUTED_VALUE"""),"2019-20")</f>
        <v>2019-20</v>
      </c>
      <c r="D3178" s="163" t="str">
        <f>IFERROR(__xludf.DUMMYFUNCTION("""COMPUTED_VALUE"""),"NYK")</f>
        <v>NYK</v>
      </c>
      <c r="E3178" s="164" t="str">
        <f>IFERROR(__xludf.DUMMYFUNCTION("""COMPUTED_VALUE"""),"Slasher")</f>
        <v>Slasher</v>
      </c>
      <c r="F3178" s="164">
        <f>IFERROR(__xludf.DUMMYFUNCTION("""COMPUTED_VALUE"""),1245.88333333333)</f>
        <v>1245.883333</v>
      </c>
      <c r="G3178" s="163">
        <f>IFERROR(__xludf.DUMMYFUNCTION("""COMPUTED_VALUE"""),45.0)</f>
        <v>45</v>
      </c>
      <c r="H3178" s="163" t="str">
        <f>IFERROR(__xludf.DUMMYFUNCTION("""COMPUTED_VALUE"""),"PG")</f>
        <v>PG</v>
      </c>
      <c r="I3178" s="163">
        <f>IFERROR(__xludf.DUMMYFUNCTION("""COMPUTED_VALUE"""),25.0)</f>
        <v>25</v>
      </c>
      <c r="J3178" s="165">
        <f>IFERROR(__xludf.DUMMYFUNCTION("""COMPUTED_VALUE"""),2.04112886736897)</f>
        <v>2.041128867</v>
      </c>
      <c r="K3178" s="165">
        <f>IFERROR(__xludf.DUMMYFUNCTION("""COMPUTED_VALUE"""),1.51836995230089)</f>
        <v>1.518369952</v>
      </c>
      <c r="L3178" s="165">
        <f>IFERROR(__xludf.DUMMYFUNCTION("""COMPUTED_VALUE"""),0.522758915068079)</f>
        <v>0.5227589151</v>
      </c>
      <c r="M3178" s="166">
        <f t="shared" si="2"/>
        <v>3.625352781</v>
      </c>
      <c r="N3178" s="167">
        <f t="shared" si="3"/>
        <v>27.6862963</v>
      </c>
      <c r="O3178" s="163">
        <f t="shared" ref="O3178:Q3178" si="3182">rank(I3178,I:I)</f>
        <v>1995</v>
      </c>
      <c r="P3178" s="163">
        <f t="shared" si="3182"/>
        <v>312</v>
      </c>
      <c r="Q3178" s="163">
        <f t="shared" si="3182"/>
        <v>316</v>
      </c>
      <c r="R3178" s="163">
        <f>IFERROR(__xludf.DUMMYFUNCTION("RANK(M3178,filter(M:M,C:C=C3178))"),80.0)</f>
        <v>80</v>
      </c>
      <c r="S3178" s="161" t="b">
        <f t="shared" si="5"/>
        <v>0</v>
      </c>
      <c r="T3178" s="161" t="b">
        <f t="array" ref="T3178">index('Query Tool'!B:B,match(H3178,'Query Tool'!C:C,0))</f>
        <v>1</v>
      </c>
      <c r="U3178" s="161" t="b">
        <f t="array" ref="U3178">index('Query Tool'!B:B,match(C3178,'Query Tool'!C:C,0))</f>
        <v>0</v>
      </c>
      <c r="V3178" s="161" t="b">
        <f>F3178&gt;='Query Tool'!C$32</f>
        <v>1</v>
      </c>
      <c r="W3178" s="161" t="b">
        <f t="array" ref="W3178">index(Dropdowns!B:B,match(I3178,Dropdowns!A:A,0))</f>
        <v>1</v>
      </c>
      <c r="X3178" s="161" t="b">
        <f t="array" ref="X3178">index('Query Tool'!B:B,match(D3178,'Query Tool'!C:C,0))</f>
        <v>1</v>
      </c>
      <c r="Y3178" s="161" t="str">
        <f t="shared" si="6"/>
        <v>paytoel01,2019-20</v>
      </c>
      <c r="Z3178" s="168" t="str">
        <f t="array" ref="Z3178">iferror(index(I:I,match($A3178&amp;","&amp;index('Year Conversion'!$A:$A,match($C3178,'Year Conversion'!$B:$B,0)),$Y:$Y,0))-I3178,"")</f>
        <v/>
      </c>
      <c r="AA3178" s="168" t="str">
        <f t="array" ref="AA3178">iferror(index(J:J,match($A3178&amp;","&amp;index('Year Conversion'!$A:$A,match($C3178,'Year Conversion'!$B:$B,0)),$Y:$Y,0))-J3178,"")</f>
        <v/>
      </c>
      <c r="AB3178" s="168" t="str">
        <f t="array" ref="AB3178">iferror(index(K:K,match($A3178&amp;","&amp;index('Year Conversion'!$A:$A,match($C3178,'Year Conversion'!$B:$B,0)),$Y:$Y,0))-K3178,"")</f>
        <v/>
      </c>
      <c r="AC3178" s="168" t="str">
        <f t="shared" si="7"/>
        <v>NYK,2019-20</v>
      </c>
    </row>
    <row r="3179">
      <c r="A3179" s="161" t="str">
        <f>IFERROR(__xludf.DUMMYFUNCTION("""COMPUTED_VALUE"""),"clarkjo01")</f>
        <v>clarkjo01</v>
      </c>
      <c r="B3179" s="161" t="str">
        <f>IFERROR(__xludf.DUMMYFUNCTION("""COMPUTED_VALUE"""),"Jordan Clarkson")</f>
        <v>Jordan Clarkson</v>
      </c>
      <c r="C3179" s="162" t="str">
        <f>IFERROR(__xludf.DUMMYFUNCTION("""COMPUTED_VALUE"""),"2019-20")</f>
        <v>2019-20</v>
      </c>
      <c r="D3179" s="163" t="str">
        <f>IFERROR(__xludf.DUMMYFUNCTION("""COMPUTED_VALUE"""),"TOT")</f>
        <v>TOT</v>
      </c>
      <c r="E3179" s="164" t="str">
        <f>IFERROR(__xludf.DUMMYFUNCTION("""COMPUTED_VALUE"""),"Secondary Ball Handler")</f>
        <v>Secondary Ball Handler</v>
      </c>
      <c r="F3179" s="164">
        <f>IFERROR(__xludf.DUMMYFUNCTION("""COMPUTED_VALUE"""),1704.72833333333)</f>
        <v>1704.728333</v>
      </c>
      <c r="G3179" s="163">
        <f>IFERROR(__xludf.DUMMYFUNCTION("""COMPUTED_VALUE"""),71.0)</f>
        <v>71</v>
      </c>
      <c r="H3179" s="163" t="str">
        <f>IFERROR(__xludf.DUMMYFUNCTION("""COMPUTED_VALUE"""),"SG")</f>
        <v>SG</v>
      </c>
      <c r="I3179" s="163">
        <f>IFERROR(__xludf.DUMMYFUNCTION("""COMPUTED_VALUE"""),27.0)</f>
        <v>27</v>
      </c>
      <c r="J3179" s="165">
        <f>IFERROR(__xludf.DUMMYFUNCTION("""COMPUTED_VALUE"""),0.486675837813943)</f>
        <v>0.4866758378</v>
      </c>
      <c r="K3179" s="165">
        <f>IFERROR(__xludf.DUMMYFUNCTION("""COMPUTED_VALUE"""),2.16468705007925)</f>
        <v>2.16468705</v>
      </c>
      <c r="L3179" s="165">
        <f>IFERROR(__xludf.DUMMYFUNCTION("""COMPUTED_VALUE"""),-1.67801121226531)</f>
        <v>-1.678011212</v>
      </c>
      <c r="M3179" s="166">
        <f t="shared" si="2"/>
        <v>3.187280519</v>
      </c>
      <c r="N3179" s="167">
        <f t="shared" si="3"/>
        <v>24.01025822</v>
      </c>
      <c r="O3179" s="163">
        <f t="shared" ref="O3179:Q3179" si="3183">rank(I3179,I:I)</f>
        <v>1366</v>
      </c>
      <c r="P3179" s="163">
        <f t="shared" si="3183"/>
        <v>906</v>
      </c>
      <c r="Q3179" s="163">
        <f t="shared" si="3183"/>
        <v>205</v>
      </c>
      <c r="R3179" s="163">
        <f>IFERROR(__xludf.DUMMYFUNCTION("RANK(M3179,filter(M:M,C:C=C3179))"),92.0)</f>
        <v>92</v>
      </c>
      <c r="S3179" s="161" t="b">
        <f t="shared" si="5"/>
        <v>0</v>
      </c>
      <c r="T3179" s="161" t="b">
        <f t="array" ref="T3179">index('Query Tool'!B:B,match(H3179,'Query Tool'!C:C,0))</f>
        <v>1</v>
      </c>
      <c r="U3179" s="161" t="b">
        <f t="array" ref="U3179">index('Query Tool'!B:B,match(C3179,'Query Tool'!C:C,0))</f>
        <v>0</v>
      </c>
      <c r="V3179" s="161" t="b">
        <f>F3179&gt;='Query Tool'!C$32</f>
        <v>1</v>
      </c>
      <c r="W3179" s="161" t="b">
        <f t="array" ref="W3179">index(Dropdowns!B:B,match(I3179,Dropdowns!A:A,0))</f>
        <v>1</v>
      </c>
      <c r="X3179" s="161" t="b">
        <f t="array" ref="X3179">index('Query Tool'!B:B,match(D3179,'Query Tool'!C:C,0))</f>
        <v>1</v>
      </c>
      <c r="Y3179" s="161" t="str">
        <f t="shared" si="6"/>
        <v>clarkjo01,2019-20</v>
      </c>
      <c r="Z3179" s="168" t="str">
        <f t="array" ref="Z3179">iferror(index(I:I,match($A3179&amp;","&amp;index('Year Conversion'!$A:$A,match($C3179,'Year Conversion'!$B:$B,0)),$Y:$Y,0))-I3179,"")</f>
        <v/>
      </c>
      <c r="AA3179" s="168" t="str">
        <f t="array" ref="AA3179">iferror(index(J:J,match($A3179&amp;","&amp;index('Year Conversion'!$A:$A,match($C3179,'Year Conversion'!$B:$B,0)),$Y:$Y,0))-J3179,"")</f>
        <v/>
      </c>
      <c r="AB3179" s="168" t="str">
        <f t="array" ref="AB3179">iferror(index(K:K,match($A3179&amp;","&amp;index('Year Conversion'!$A:$A,match($C3179,'Year Conversion'!$B:$B,0)),$Y:$Y,0))-K3179,"")</f>
        <v/>
      </c>
      <c r="AC3179" s="168" t="str">
        <f t="shared" si="7"/>
        <v>TOT,2019-20</v>
      </c>
    </row>
    <row r="3180">
      <c r="A3180" s="161" t="str">
        <f>IFERROR(__xludf.DUMMYFUNCTION("""COMPUTED_VALUE"""),"harriga01")</f>
        <v>harriga01</v>
      </c>
      <c r="B3180" s="161" t="str">
        <f>IFERROR(__xludf.DUMMYFUNCTION("""COMPUTED_VALUE"""),"Gary Harris")</f>
        <v>Gary Harris</v>
      </c>
      <c r="C3180" s="162" t="str">
        <f>IFERROR(__xludf.DUMMYFUNCTION("""COMPUTED_VALUE"""),"2019-20")</f>
        <v>2019-20</v>
      </c>
      <c r="D3180" s="163" t="str">
        <f>IFERROR(__xludf.DUMMYFUNCTION("""COMPUTED_VALUE"""),"DEN")</f>
        <v>DEN</v>
      </c>
      <c r="E3180" s="164" t="str">
        <f>IFERROR(__xludf.DUMMYFUNCTION("""COMPUTED_VALUE"""),"Stationary Shooter")</f>
        <v>Stationary Shooter</v>
      </c>
      <c r="F3180" s="164">
        <f>IFERROR(__xludf.DUMMYFUNCTION("""COMPUTED_VALUE"""),1780.2)</f>
        <v>1780.2</v>
      </c>
      <c r="G3180" s="163">
        <f>IFERROR(__xludf.DUMMYFUNCTION("""COMPUTED_VALUE"""),56.0)</f>
        <v>56</v>
      </c>
      <c r="H3180" s="163" t="str">
        <f>IFERROR(__xludf.DUMMYFUNCTION("""COMPUTED_VALUE"""),"SG")</f>
        <v>SG</v>
      </c>
      <c r="I3180" s="163">
        <f>IFERROR(__xludf.DUMMYFUNCTION("""COMPUTED_VALUE"""),25.0)</f>
        <v>25</v>
      </c>
      <c r="J3180" s="165">
        <f>IFERROR(__xludf.DUMMYFUNCTION("""COMPUTED_VALUE"""),-0.565572953542617)</f>
        <v>-0.5655729535</v>
      </c>
      <c r="K3180" s="165">
        <f>IFERROR(__xludf.DUMMYFUNCTION("""COMPUTED_VALUE"""),-0.623161188331817)</f>
        <v>-0.6231611883</v>
      </c>
      <c r="L3180" s="165">
        <f>IFERROR(__xludf.DUMMYFUNCTION("""COMPUTED_VALUE"""),0.0575882347892003)</f>
        <v>0.05758823479</v>
      </c>
      <c r="M3180" s="166">
        <f t="shared" si="2"/>
        <v>2.065979935</v>
      </c>
      <c r="N3180" s="167">
        <f t="shared" si="3"/>
        <v>31.78928571</v>
      </c>
      <c r="O3180" s="163">
        <f t="shared" ref="O3180:Q3180" si="3184">rank(I3180,I:I)</f>
        <v>1995</v>
      </c>
      <c r="P3180" s="163">
        <f t="shared" si="3184"/>
        <v>1943</v>
      </c>
      <c r="Q3180" s="163">
        <f t="shared" si="3184"/>
        <v>2298</v>
      </c>
      <c r="R3180" s="163">
        <f>IFERROR(__xludf.DUMMYFUNCTION("RANK(M3180,filter(M:M,C:C=C3180))"),150.0)</f>
        <v>150</v>
      </c>
      <c r="S3180" s="161" t="b">
        <f t="shared" si="5"/>
        <v>0</v>
      </c>
      <c r="T3180" s="161" t="b">
        <f t="array" ref="T3180">index('Query Tool'!B:B,match(H3180,'Query Tool'!C:C,0))</f>
        <v>1</v>
      </c>
      <c r="U3180" s="161" t="b">
        <f t="array" ref="U3180">index('Query Tool'!B:B,match(C3180,'Query Tool'!C:C,0))</f>
        <v>0</v>
      </c>
      <c r="V3180" s="161" t="b">
        <f>F3180&gt;='Query Tool'!C$32</f>
        <v>1</v>
      </c>
      <c r="W3180" s="161" t="b">
        <f t="array" ref="W3180">index(Dropdowns!B:B,match(I3180,Dropdowns!A:A,0))</f>
        <v>1</v>
      </c>
      <c r="X3180" s="161" t="b">
        <f t="array" ref="X3180">index('Query Tool'!B:B,match(D3180,'Query Tool'!C:C,0))</f>
        <v>1</v>
      </c>
      <c r="Y3180" s="161" t="str">
        <f t="shared" si="6"/>
        <v>harriga01,2019-20</v>
      </c>
      <c r="Z3180" s="168" t="str">
        <f t="array" ref="Z3180">iferror(index(I:I,match($A3180&amp;","&amp;index('Year Conversion'!$A:$A,match($C3180,'Year Conversion'!$B:$B,0)),$Y:$Y,0))-I3180,"")</f>
        <v/>
      </c>
      <c r="AA3180" s="168" t="str">
        <f t="array" ref="AA3180">iferror(index(J:J,match($A3180&amp;","&amp;index('Year Conversion'!$A:$A,match($C3180,'Year Conversion'!$B:$B,0)),$Y:$Y,0))-J3180,"")</f>
        <v/>
      </c>
      <c r="AB3180" s="168" t="str">
        <f t="array" ref="AB3180">iferror(index(K:K,match($A3180&amp;","&amp;index('Year Conversion'!$A:$A,match($C3180,'Year Conversion'!$B:$B,0)),$Y:$Y,0))-K3180,"")</f>
        <v/>
      </c>
      <c r="AC3180" s="168" t="str">
        <f t="shared" si="7"/>
        <v>DEN,2019-20</v>
      </c>
    </row>
    <row r="3181">
      <c r="A3181" s="161" t="str">
        <f>IFERROR(__xludf.DUMMYFUNCTION("""COMPUTED_VALUE"""),"dinwisp01")</f>
        <v>dinwisp01</v>
      </c>
      <c r="B3181" s="161" t="str">
        <f>IFERROR(__xludf.DUMMYFUNCTION("""COMPUTED_VALUE"""),"Spencer Dinwiddie")</f>
        <v>Spencer Dinwiddie</v>
      </c>
      <c r="C3181" s="162" t="str">
        <f>IFERROR(__xludf.DUMMYFUNCTION("""COMPUTED_VALUE"""),"2019-20")</f>
        <v>2019-20</v>
      </c>
      <c r="D3181" s="163" t="str">
        <f>IFERROR(__xludf.DUMMYFUNCTION("""COMPUTED_VALUE"""),"BRK")</f>
        <v>BRK</v>
      </c>
      <c r="E3181" s="164" t="str">
        <f>IFERROR(__xludf.DUMMYFUNCTION("""COMPUTED_VALUE"""),"Shot Creator")</f>
        <v>Shot Creator</v>
      </c>
      <c r="F3181" s="164">
        <f>IFERROR(__xludf.DUMMYFUNCTION("""COMPUTED_VALUE"""),1994.15)</f>
        <v>1994.15</v>
      </c>
      <c r="G3181" s="163">
        <f>IFERROR(__xludf.DUMMYFUNCTION("""COMPUTED_VALUE"""),64.0)</f>
        <v>64</v>
      </c>
      <c r="H3181" s="163" t="str">
        <f>IFERROR(__xludf.DUMMYFUNCTION("""COMPUTED_VALUE"""),"PG")</f>
        <v>PG</v>
      </c>
      <c r="I3181" s="163">
        <f>IFERROR(__xludf.DUMMYFUNCTION("""COMPUTED_VALUE"""),26.0)</f>
        <v>26</v>
      </c>
      <c r="J3181" s="165">
        <f>IFERROR(__xludf.DUMMYFUNCTION("""COMPUTED_VALUE"""),1.41806355042077)</f>
        <v>1.41806355</v>
      </c>
      <c r="K3181" s="165">
        <f>IFERROR(__xludf.DUMMYFUNCTION("""COMPUTED_VALUE"""),2.57189442018368)</f>
        <v>2.57189442</v>
      </c>
      <c r="L3181" s="165">
        <f>IFERROR(__xludf.DUMMYFUNCTION("""COMPUTED_VALUE"""),-1.15383086976291)</f>
        <v>-1.15383087</v>
      </c>
      <c r="M3181" s="166">
        <f t="shared" si="2"/>
        <v>4.975501678</v>
      </c>
      <c r="N3181" s="167">
        <f t="shared" si="3"/>
        <v>31.15859375</v>
      </c>
      <c r="O3181" s="163">
        <f t="shared" ref="O3181:Q3181" si="3185">rank(I3181,I:I)</f>
        <v>1665</v>
      </c>
      <c r="P3181" s="163">
        <f t="shared" si="3185"/>
        <v>486</v>
      </c>
      <c r="Q3181" s="163">
        <f t="shared" si="3185"/>
        <v>149</v>
      </c>
      <c r="R3181" s="163">
        <f>IFERROR(__xludf.DUMMYFUNCTION("RANK(M3181,filter(M:M,C:C=C3181))"),37.0)</f>
        <v>37</v>
      </c>
      <c r="S3181" s="161" t="b">
        <f t="shared" si="5"/>
        <v>0</v>
      </c>
      <c r="T3181" s="161" t="b">
        <f t="array" ref="T3181">index('Query Tool'!B:B,match(H3181,'Query Tool'!C:C,0))</f>
        <v>1</v>
      </c>
      <c r="U3181" s="161" t="b">
        <f t="array" ref="U3181">index('Query Tool'!B:B,match(C3181,'Query Tool'!C:C,0))</f>
        <v>0</v>
      </c>
      <c r="V3181" s="161" t="b">
        <f>F3181&gt;='Query Tool'!C$32</f>
        <v>1</v>
      </c>
      <c r="W3181" s="161" t="b">
        <f t="array" ref="W3181">index(Dropdowns!B:B,match(I3181,Dropdowns!A:A,0))</f>
        <v>1</v>
      </c>
      <c r="X3181" s="161" t="b">
        <f t="array" ref="X3181">index('Query Tool'!B:B,match(D3181,'Query Tool'!C:C,0))</f>
        <v>1</v>
      </c>
      <c r="Y3181" s="161" t="str">
        <f t="shared" si="6"/>
        <v>dinwisp01,2019-20</v>
      </c>
      <c r="Z3181" s="168" t="str">
        <f t="array" ref="Z3181">iferror(index(I:I,match($A3181&amp;","&amp;index('Year Conversion'!$A:$A,match($C3181,'Year Conversion'!$B:$B,0)),$Y:$Y,0))-I3181,"")</f>
        <v/>
      </c>
      <c r="AA3181" s="168" t="str">
        <f t="array" ref="AA3181">iferror(index(J:J,match($A3181&amp;","&amp;index('Year Conversion'!$A:$A,match($C3181,'Year Conversion'!$B:$B,0)),$Y:$Y,0))-J3181,"")</f>
        <v/>
      </c>
      <c r="AB3181" s="168" t="str">
        <f t="array" ref="AB3181">iferror(index(K:K,match($A3181&amp;","&amp;index('Year Conversion'!$A:$A,match($C3181,'Year Conversion'!$B:$B,0)),$Y:$Y,0))-K3181,"")</f>
        <v/>
      </c>
      <c r="AC3181" s="168" t="str">
        <f t="shared" si="7"/>
        <v>BRK,2019-20</v>
      </c>
    </row>
    <row r="3182">
      <c r="A3182" s="161" t="str">
        <f>IFERROR(__xludf.DUMMYFUNCTION("""COMPUTED_VALUE"""),"hoodro01")</f>
        <v>hoodro01</v>
      </c>
      <c r="B3182" s="161" t="str">
        <f>IFERROR(__xludf.DUMMYFUNCTION("""COMPUTED_VALUE"""),"Rodney Hood")</f>
        <v>Rodney Hood</v>
      </c>
      <c r="C3182" s="162" t="str">
        <f>IFERROR(__xludf.DUMMYFUNCTION("""COMPUTED_VALUE"""),"2019-20")</f>
        <v>2019-20</v>
      </c>
      <c r="D3182" s="163" t="str">
        <f>IFERROR(__xludf.DUMMYFUNCTION("""COMPUTED_VALUE"""),"POR")</f>
        <v>POR</v>
      </c>
      <c r="E3182" s="164" t="str">
        <f>IFERROR(__xludf.DUMMYFUNCTION("""COMPUTED_VALUE"""),"Stationary Shooter")</f>
        <v>Stationary Shooter</v>
      </c>
      <c r="F3182" s="164">
        <f>IFERROR(__xludf.DUMMYFUNCTION("""COMPUTED_VALUE"""),618.671666666667)</f>
        <v>618.6716667</v>
      </c>
      <c r="G3182" s="163">
        <f>IFERROR(__xludf.DUMMYFUNCTION("""COMPUTED_VALUE"""),21.0)</f>
        <v>21</v>
      </c>
      <c r="H3182" s="163" t="str">
        <f>IFERROR(__xludf.DUMMYFUNCTION("""COMPUTED_VALUE"""),"SF")</f>
        <v>SF</v>
      </c>
      <c r="I3182" s="163">
        <f>IFERROR(__xludf.DUMMYFUNCTION("""COMPUTED_VALUE"""),27.0)</f>
        <v>27</v>
      </c>
      <c r="J3182" s="165">
        <f>IFERROR(__xludf.DUMMYFUNCTION("""COMPUTED_VALUE"""),-1.65933773309137)</f>
        <v>-1.659337733</v>
      </c>
      <c r="K3182" s="165">
        <f>IFERROR(__xludf.DUMMYFUNCTION("""COMPUTED_VALUE"""),-1.68032307040897)</f>
        <v>-1.68032307</v>
      </c>
      <c r="L3182" s="165">
        <f>IFERROR(__xludf.DUMMYFUNCTION("""COMPUTED_VALUE"""),0.020985337317605)</f>
        <v>0.02098533732</v>
      </c>
      <c r="M3182" s="166">
        <f t="shared" si="2"/>
        <v>0.2643074171</v>
      </c>
      <c r="N3182" s="167">
        <f t="shared" si="3"/>
        <v>29.46055556</v>
      </c>
      <c r="O3182" s="163">
        <f t="shared" ref="O3182:Q3182" si="3186">rank(I3182,I:I)</f>
        <v>1366</v>
      </c>
      <c r="P3182" s="163">
        <f t="shared" si="3186"/>
        <v>3202</v>
      </c>
      <c r="Q3182" s="163">
        <f t="shared" si="3186"/>
        <v>3505</v>
      </c>
      <c r="R3182" s="163">
        <f>IFERROR(__xludf.DUMMYFUNCTION("RANK(M3182,filter(M:M,C:C=C3182))"),315.0)</f>
        <v>315</v>
      </c>
      <c r="S3182" s="161" t="b">
        <f t="shared" si="5"/>
        <v>0</v>
      </c>
      <c r="T3182" s="161" t="b">
        <f t="array" ref="T3182">index('Query Tool'!B:B,match(H3182,'Query Tool'!C:C,0))</f>
        <v>1</v>
      </c>
      <c r="U3182" s="161" t="b">
        <f t="array" ref="U3182">index('Query Tool'!B:B,match(C3182,'Query Tool'!C:C,0))</f>
        <v>0</v>
      </c>
      <c r="V3182" s="161" t="b">
        <f>F3182&gt;='Query Tool'!C$32</f>
        <v>1</v>
      </c>
      <c r="W3182" s="161" t="b">
        <f t="array" ref="W3182">index(Dropdowns!B:B,match(I3182,Dropdowns!A:A,0))</f>
        <v>1</v>
      </c>
      <c r="X3182" s="161" t="b">
        <f t="array" ref="X3182">index('Query Tool'!B:B,match(D3182,'Query Tool'!C:C,0))</f>
        <v>1</v>
      </c>
      <c r="Y3182" s="161" t="str">
        <f t="shared" si="6"/>
        <v>hoodro01,2019-20</v>
      </c>
      <c r="Z3182" s="168" t="str">
        <f t="array" ref="Z3182">iferror(index(I:I,match($A3182&amp;","&amp;index('Year Conversion'!$A:$A,match($C3182,'Year Conversion'!$B:$B,0)),$Y:$Y,0))-I3182,"")</f>
        <v/>
      </c>
      <c r="AA3182" s="168" t="str">
        <f t="array" ref="AA3182">iferror(index(J:J,match($A3182&amp;","&amp;index('Year Conversion'!$A:$A,match($C3182,'Year Conversion'!$B:$B,0)),$Y:$Y,0))-J3182,"")</f>
        <v/>
      </c>
      <c r="AB3182" s="168" t="str">
        <f t="array" ref="AB3182">iferror(index(K:K,match($A3182&amp;","&amp;index('Year Conversion'!$A:$A,match($C3182,'Year Conversion'!$B:$B,0)),$Y:$Y,0))-K3182,"")</f>
        <v/>
      </c>
      <c r="AC3182" s="168" t="str">
        <f t="shared" si="7"/>
        <v>POR,2019-20</v>
      </c>
    </row>
    <row r="3183">
      <c r="A3183" s="161" t="str">
        <f>IFERROR(__xludf.DUMMYFUNCTION("""COMPUTED_VALUE"""),"birchkh01")</f>
        <v>birchkh01</v>
      </c>
      <c r="B3183" s="161" t="str">
        <f>IFERROR(__xludf.DUMMYFUNCTION("""COMPUTED_VALUE"""),"Khem Birch")</f>
        <v>Khem Birch</v>
      </c>
      <c r="C3183" s="162" t="str">
        <f>IFERROR(__xludf.DUMMYFUNCTION("""COMPUTED_VALUE"""),"2019-20")</f>
        <v>2019-20</v>
      </c>
      <c r="D3183" s="163" t="str">
        <f>IFERROR(__xludf.DUMMYFUNCTION("""COMPUTED_VALUE"""),"ORL")</f>
        <v>ORL</v>
      </c>
      <c r="E3183" s="164" t="str">
        <f>IFERROR(__xludf.DUMMYFUNCTION("""COMPUTED_VALUE"""),"Roll + Cut Big")</f>
        <v>Roll + Cut Big</v>
      </c>
      <c r="F3183" s="164">
        <f>IFERROR(__xludf.DUMMYFUNCTION("""COMPUTED_VALUE"""),922.018333333333)</f>
        <v>922.0183333</v>
      </c>
      <c r="G3183" s="163">
        <f>IFERROR(__xludf.DUMMYFUNCTION("""COMPUTED_VALUE"""),48.0)</f>
        <v>48</v>
      </c>
      <c r="H3183" s="163" t="str">
        <f>IFERROR(__xludf.DUMMYFUNCTION("""COMPUTED_VALUE"""),"C")</f>
        <v>C</v>
      </c>
      <c r="I3183" s="163">
        <f>IFERROR(__xludf.DUMMYFUNCTION("""COMPUTED_VALUE"""),27.0)</f>
        <v>27</v>
      </c>
      <c r="J3183" s="165">
        <f>IFERROR(__xludf.DUMMYFUNCTION("""COMPUTED_VALUE"""),-2.14334461866634)</f>
        <v>-2.143344619</v>
      </c>
      <c r="K3183" s="165">
        <f>IFERROR(__xludf.DUMMYFUNCTION("""COMPUTED_VALUE"""),-2.69393771880681)</f>
        <v>-2.693937719</v>
      </c>
      <c r="L3183" s="165">
        <f>IFERROR(__xludf.DUMMYFUNCTION("""COMPUTED_VALUE"""),0.550593100140461)</f>
        <v>0.5505931001</v>
      </c>
      <c r="M3183" s="166">
        <f t="shared" si="2"/>
        <v>0.09754719792</v>
      </c>
      <c r="N3183" s="167">
        <f t="shared" si="3"/>
        <v>19.20871528</v>
      </c>
      <c r="O3183" s="163">
        <f t="shared" ref="O3183:Q3183" si="3187">rank(I3183,I:I)</f>
        <v>1366</v>
      </c>
      <c r="P3183" s="163">
        <f t="shared" si="3187"/>
        <v>3584</v>
      </c>
      <c r="Q3183" s="163">
        <f t="shared" si="3187"/>
        <v>3929</v>
      </c>
      <c r="R3183" s="163">
        <f>IFERROR(__xludf.DUMMYFUNCTION("RANK(M3183,filter(M:M,C:C=C3183))"),389.0)</f>
        <v>389</v>
      </c>
      <c r="S3183" s="161" t="b">
        <f t="shared" si="5"/>
        <v>0</v>
      </c>
      <c r="T3183" s="161" t="b">
        <f t="array" ref="T3183">index('Query Tool'!B:B,match(H3183,'Query Tool'!C:C,0))</f>
        <v>1</v>
      </c>
      <c r="U3183" s="161" t="b">
        <f t="array" ref="U3183">index('Query Tool'!B:B,match(C3183,'Query Tool'!C:C,0))</f>
        <v>0</v>
      </c>
      <c r="V3183" s="161" t="b">
        <f>F3183&gt;='Query Tool'!C$32</f>
        <v>1</v>
      </c>
      <c r="W3183" s="161" t="b">
        <f t="array" ref="W3183">index(Dropdowns!B:B,match(I3183,Dropdowns!A:A,0))</f>
        <v>1</v>
      </c>
      <c r="X3183" s="161" t="b">
        <f t="array" ref="X3183">index('Query Tool'!B:B,match(D3183,'Query Tool'!C:C,0))</f>
        <v>1</v>
      </c>
      <c r="Y3183" s="161" t="str">
        <f t="shared" si="6"/>
        <v>birchkh01,2019-20</v>
      </c>
      <c r="Z3183" s="168" t="str">
        <f t="array" ref="Z3183">iferror(index(I:I,match($A3183&amp;","&amp;index('Year Conversion'!$A:$A,match($C3183,'Year Conversion'!$B:$B,0)),$Y:$Y,0))-I3183,"")</f>
        <v/>
      </c>
      <c r="AA3183" s="168" t="str">
        <f t="array" ref="AA3183">iferror(index(J:J,match($A3183&amp;","&amp;index('Year Conversion'!$A:$A,match($C3183,'Year Conversion'!$B:$B,0)),$Y:$Y,0))-J3183,"")</f>
        <v/>
      </c>
      <c r="AB3183" s="168" t="str">
        <f t="array" ref="AB3183">iferror(index(K:K,match($A3183&amp;","&amp;index('Year Conversion'!$A:$A,match($C3183,'Year Conversion'!$B:$B,0)),$Y:$Y,0))-K3183,"")</f>
        <v/>
      </c>
      <c r="AC3183" s="168" t="str">
        <f t="shared" si="7"/>
        <v>ORL,2019-20</v>
      </c>
    </row>
    <row r="3184">
      <c r="A3184" s="161" t="str">
        <f>IFERROR(__xludf.DUMMYFUNCTION("""COMPUTED_VALUE"""),"robingl02")</f>
        <v>robingl02</v>
      </c>
      <c r="B3184" s="161" t="str">
        <f>IFERROR(__xludf.DUMMYFUNCTION("""COMPUTED_VALUE"""),"Glenn Robinson III")</f>
        <v>Glenn Robinson III</v>
      </c>
      <c r="C3184" s="162" t="str">
        <f>IFERROR(__xludf.DUMMYFUNCTION("""COMPUTED_VALUE"""),"2019-20")</f>
        <v>2019-20</v>
      </c>
      <c r="D3184" s="163" t="str">
        <f>IFERROR(__xludf.DUMMYFUNCTION("""COMPUTED_VALUE"""),"TOT")</f>
        <v>TOT</v>
      </c>
      <c r="E3184" s="164" t="str">
        <f>IFERROR(__xludf.DUMMYFUNCTION("""COMPUTED_VALUE"""),"Movement Shooter")</f>
        <v>Movement Shooter</v>
      </c>
      <c r="F3184" s="164">
        <f>IFERROR(__xludf.DUMMYFUNCTION("""COMPUTED_VALUE"""),1786.43166666667)</f>
        <v>1786.431667</v>
      </c>
      <c r="G3184" s="163">
        <f>IFERROR(__xludf.DUMMYFUNCTION("""COMPUTED_VALUE"""),62.0)</f>
        <v>62</v>
      </c>
      <c r="H3184" s="163" t="str">
        <f>IFERROR(__xludf.DUMMYFUNCTION("""COMPUTED_VALUE"""),"SF")</f>
        <v>SF</v>
      </c>
      <c r="I3184" s="163">
        <f>IFERROR(__xludf.DUMMYFUNCTION("""COMPUTED_VALUE"""),26.0)</f>
        <v>26</v>
      </c>
      <c r="J3184" s="165">
        <f>IFERROR(__xludf.DUMMYFUNCTION("""COMPUTED_VALUE"""),-2.67698697987495)</f>
        <v>-2.67698698</v>
      </c>
      <c r="K3184" s="165">
        <f>IFERROR(__xludf.DUMMYFUNCTION("""COMPUTED_VALUE"""),-1.17948401219074)</f>
        <v>-1.179484012</v>
      </c>
      <c r="L3184" s="165">
        <f>IFERROR(__xludf.DUMMYFUNCTION("""COMPUTED_VALUE"""),-1.49750296768421)</f>
        <v>-1.497502968</v>
      </c>
      <c r="M3184" s="166">
        <f t="shared" si="2"/>
        <v>-0.4383458457</v>
      </c>
      <c r="N3184" s="167">
        <f t="shared" si="3"/>
        <v>28.81341398</v>
      </c>
      <c r="O3184" s="163">
        <f t="shared" ref="O3184:Q3184" si="3188">rank(I3184,I:I)</f>
        <v>1665</v>
      </c>
      <c r="P3184" s="163">
        <f t="shared" si="3188"/>
        <v>3804</v>
      </c>
      <c r="Q3184" s="163">
        <f t="shared" si="3188"/>
        <v>3018</v>
      </c>
      <c r="R3184" s="163">
        <f>IFERROR(__xludf.DUMMYFUNCTION("RANK(M3184,filter(M:M,C:C=C3184))"),514.0)</f>
        <v>514</v>
      </c>
      <c r="S3184" s="161" t="b">
        <f t="shared" si="5"/>
        <v>0</v>
      </c>
      <c r="T3184" s="161" t="b">
        <f t="array" ref="T3184">index('Query Tool'!B:B,match(H3184,'Query Tool'!C:C,0))</f>
        <v>1</v>
      </c>
      <c r="U3184" s="161" t="b">
        <f t="array" ref="U3184">index('Query Tool'!B:B,match(C3184,'Query Tool'!C:C,0))</f>
        <v>0</v>
      </c>
      <c r="V3184" s="161" t="b">
        <f>F3184&gt;='Query Tool'!C$32</f>
        <v>1</v>
      </c>
      <c r="W3184" s="161" t="b">
        <f t="array" ref="W3184">index(Dropdowns!B:B,match(I3184,Dropdowns!A:A,0))</f>
        <v>1</v>
      </c>
      <c r="X3184" s="161" t="b">
        <f t="array" ref="X3184">index('Query Tool'!B:B,match(D3184,'Query Tool'!C:C,0))</f>
        <v>1</v>
      </c>
      <c r="Y3184" s="161" t="str">
        <f t="shared" si="6"/>
        <v>robingl02,2019-20</v>
      </c>
      <c r="Z3184" s="168" t="str">
        <f t="array" ref="Z3184">iferror(index(I:I,match($A3184&amp;","&amp;index('Year Conversion'!$A:$A,match($C3184,'Year Conversion'!$B:$B,0)),$Y:$Y,0))-I3184,"")</f>
        <v/>
      </c>
      <c r="AA3184" s="168" t="str">
        <f t="array" ref="AA3184">iferror(index(J:J,match($A3184&amp;","&amp;index('Year Conversion'!$A:$A,match($C3184,'Year Conversion'!$B:$B,0)),$Y:$Y,0))-J3184,"")</f>
        <v/>
      </c>
      <c r="AB3184" s="168" t="str">
        <f t="array" ref="AB3184">iferror(index(K:K,match($A3184&amp;","&amp;index('Year Conversion'!$A:$A,match($C3184,'Year Conversion'!$B:$B,0)),$Y:$Y,0))-K3184,"")</f>
        <v/>
      </c>
      <c r="AC3184" s="168" t="str">
        <f t="shared" si="7"/>
        <v>TOT,2019-20</v>
      </c>
    </row>
    <row r="3185">
      <c r="A3185" s="161" t="str">
        <f>IFERROR(__xludf.DUMMYFUNCTION("""COMPUTED_VALUE"""),"grantje01")</f>
        <v>grantje01</v>
      </c>
      <c r="B3185" s="161" t="str">
        <f>IFERROR(__xludf.DUMMYFUNCTION("""COMPUTED_VALUE"""),"Jerami Grant")</f>
        <v>Jerami Grant</v>
      </c>
      <c r="C3185" s="162" t="str">
        <f>IFERROR(__xludf.DUMMYFUNCTION("""COMPUTED_VALUE"""),"2019-20")</f>
        <v>2019-20</v>
      </c>
      <c r="D3185" s="163" t="str">
        <f>IFERROR(__xludf.DUMMYFUNCTION("""COMPUTED_VALUE"""),"DEN")</f>
        <v>DEN</v>
      </c>
      <c r="E3185" s="164" t="str">
        <f>IFERROR(__xludf.DUMMYFUNCTION("""COMPUTED_VALUE"""),"Stretch Big")</f>
        <v>Stretch Big</v>
      </c>
      <c r="F3185" s="164">
        <f>IFERROR(__xludf.DUMMYFUNCTION("""COMPUTED_VALUE"""),1891.945)</f>
        <v>1891.945</v>
      </c>
      <c r="G3185" s="163">
        <f>IFERROR(__xludf.DUMMYFUNCTION("""COMPUTED_VALUE"""),71.0)</f>
        <v>71</v>
      </c>
      <c r="H3185" s="163" t="str">
        <f>IFERROR(__xludf.DUMMYFUNCTION("""COMPUTED_VALUE"""),"PF")</f>
        <v>PF</v>
      </c>
      <c r="I3185" s="163">
        <f>IFERROR(__xludf.DUMMYFUNCTION("""COMPUTED_VALUE"""),25.0)</f>
        <v>25</v>
      </c>
      <c r="J3185" s="165">
        <f>IFERROR(__xludf.DUMMYFUNCTION("""COMPUTED_VALUE"""),-1.84766568116933)</f>
        <v>-1.847665681</v>
      </c>
      <c r="K3185" s="165">
        <f>IFERROR(__xludf.DUMMYFUNCTION("""COMPUTED_VALUE"""),-0.705464566706759)</f>
        <v>-0.7054645667</v>
      </c>
      <c r="L3185" s="165">
        <f>IFERROR(__xludf.DUMMYFUNCTION("""COMPUTED_VALUE"""),-1.14220111446257)</f>
        <v>-1.142201114</v>
      </c>
      <c r="M3185" s="166">
        <f t="shared" si="2"/>
        <v>0.5711091926</v>
      </c>
      <c r="N3185" s="167">
        <f t="shared" si="3"/>
        <v>26.64711268</v>
      </c>
      <c r="O3185" s="163">
        <f t="shared" ref="O3185:Q3185" si="3189">rank(I3185,I:I)</f>
        <v>1995</v>
      </c>
      <c r="P3185" s="163">
        <f t="shared" si="3189"/>
        <v>3376</v>
      </c>
      <c r="Q3185" s="163">
        <f t="shared" si="3189"/>
        <v>2425</v>
      </c>
      <c r="R3185" s="163">
        <f>IFERROR(__xludf.DUMMYFUNCTION("RANK(M3185,filter(M:M,C:C=C3185))"),246.0)</f>
        <v>246</v>
      </c>
      <c r="S3185" s="161" t="b">
        <f t="shared" si="5"/>
        <v>0</v>
      </c>
      <c r="T3185" s="161" t="b">
        <f t="array" ref="T3185">index('Query Tool'!B:B,match(H3185,'Query Tool'!C:C,0))</f>
        <v>1</v>
      </c>
      <c r="U3185" s="161" t="b">
        <f t="array" ref="U3185">index('Query Tool'!B:B,match(C3185,'Query Tool'!C:C,0))</f>
        <v>0</v>
      </c>
      <c r="V3185" s="161" t="b">
        <f>F3185&gt;='Query Tool'!C$32</f>
        <v>1</v>
      </c>
      <c r="W3185" s="161" t="b">
        <f t="array" ref="W3185">index(Dropdowns!B:B,match(I3185,Dropdowns!A:A,0))</f>
        <v>1</v>
      </c>
      <c r="X3185" s="161" t="b">
        <f t="array" ref="X3185">index('Query Tool'!B:B,match(D3185,'Query Tool'!C:C,0))</f>
        <v>1</v>
      </c>
      <c r="Y3185" s="161" t="str">
        <f t="shared" si="6"/>
        <v>grantje01,2019-20</v>
      </c>
      <c r="Z3185" s="168" t="str">
        <f t="array" ref="Z3185">iferror(index(I:I,match($A3185&amp;","&amp;index('Year Conversion'!$A:$A,match($C3185,'Year Conversion'!$B:$B,0)),$Y:$Y,0))-I3185,"")</f>
        <v/>
      </c>
      <c r="AA3185" s="168" t="str">
        <f t="array" ref="AA3185">iferror(index(J:J,match($A3185&amp;","&amp;index('Year Conversion'!$A:$A,match($C3185,'Year Conversion'!$B:$B,0)),$Y:$Y,0))-J3185,"")</f>
        <v/>
      </c>
      <c r="AB3185" s="168" t="str">
        <f t="array" ref="AB3185">iferror(index(K:K,match($A3185&amp;","&amp;index('Year Conversion'!$A:$A,match($C3185,'Year Conversion'!$B:$B,0)),$Y:$Y,0))-K3185,"")</f>
        <v/>
      </c>
      <c r="AC3185" s="168" t="str">
        <f t="shared" si="7"/>
        <v>DEN,2019-20</v>
      </c>
    </row>
    <row r="3186">
      <c r="A3186" s="161" t="str">
        <f>IFERROR(__xludf.DUMMYFUNCTION("""COMPUTED_VALUE"""),"harrijo01")</f>
        <v>harrijo01</v>
      </c>
      <c r="B3186" s="161" t="str">
        <f>IFERROR(__xludf.DUMMYFUNCTION("""COMPUTED_VALUE"""),"Joe Harris")</f>
        <v>Joe Harris</v>
      </c>
      <c r="C3186" s="162" t="str">
        <f>IFERROR(__xludf.DUMMYFUNCTION("""COMPUTED_VALUE"""),"2019-20")</f>
        <v>2019-20</v>
      </c>
      <c r="D3186" s="163" t="str">
        <f>IFERROR(__xludf.DUMMYFUNCTION("""COMPUTED_VALUE"""),"BRK")</f>
        <v>BRK</v>
      </c>
      <c r="E3186" s="164" t="str">
        <f>IFERROR(__xludf.DUMMYFUNCTION("""COMPUTED_VALUE"""),"Off Screen Shooter")</f>
        <v>Off Screen Shooter</v>
      </c>
      <c r="F3186" s="164">
        <f>IFERROR(__xludf.DUMMYFUNCTION("""COMPUTED_VALUE"""),2123.015)</f>
        <v>2123.015</v>
      </c>
      <c r="G3186" s="163">
        <f>IFERROR(__xludf.DUMMYFUNCTION("""COMPUTED_VALUE"""),69.0)</f>
        <v>69</v>
      </c>
      <c r="H3186" s="163" t="str">
        <f>IFERROR(__xludf.DUMMYFUNCTION("""COMPUTED_VALUE"""),"SF")</f>
        <v>SF</v>
      </c>
      <c r="I3186" s="163">
        <f>IFERROR(__xludf.DUMMYFUNCTION("""COMPUTED_VALUE"""),28.0)</f>
        <v>28</v>
      </c>
      <c r="J3186" s="165">
        <f>IFERROR(__xludf.DUMMYFUNCTION("""COMPUTED_VALUE"""),0.381485729483604)</f>
        <v>0.3814857295</v>
      </c>
      <c r="K3186" s="165">
        <f>IFERROR(__xludf.DUMMYFUNCTION("""COMPUTED_VALUE"""),1.00665918371212)</f>
        <v>1.006659184</v>
      </c>
      <c r="L3186" s="165">
        <f>IFERROR(__xludf.DUMMYFUNCTION("""COMPUTED_VALUE"""),-0.625173454228512)</f>
        <v>-0.6251734542</v>
      </c>
      <c r="M3186" s="166">
        <f t="shared" si="2"/>
        <v>3.818897377</v>
      </c>
      <c r="N3186" s="167">
        <f t="shared" si="3"/>
        <v>30.76833333</v>
      </c>
      <c r="O3186" s="163">
        <f t="shared" ref="O3186:Q3186" si="3190">rank(I3186,I:I)</f>
        <v>1090</v>
      </c>
      <c r="P3186" s="163">
        <f t="shared" si="3190"/>
        <v>961</v>
      </c>
      <c r="Q3186" s="163">
        <f t="shared" si="3190"/>
        <v>502</v>
      </c>
      <c r="R3186" s="163">
        <f>IFERROR(__xludf.DUMMYFUNCTION("RANK(M3186,filter(M:M,C:C=C3186))"),76.0)</f>
        <v>76</v>
      </c>
      <c r="S3186" s="161" t="b">
        <f t="shared" si="5"/>
        <v>0</v>
      </c>
      <c r="T3186" s="161" t="b">
        <f t="array" ref="T3186">index('Query Tool'!B:B,match(H3186,'Query Tool'!C:C,0))</f>
        <v>1</v>
      </c>
      <c r="U3186" s="161" t="b">
        <f t="array" ref="U3186">index('Query Tool'!B:B,match(C3186,'Query Tool'!C:C,0))</f>
        <v>0</v>
      </c>
      <c r="V3186" s="161" t="b">
        <f>F3186&gt;='Query Tool'!C$32</f>
        <v>1</v>
      </c>
      <c r="W3186" s="161" t="b">
        <f t="array" ref="W3186">index(Dropdowns!B:B,match(I3186,Dropdowns!A:A,0))</f>
        <v>1</v>
      </c>
      <c r="X3186" s="161" t="b">
        <f t="array" ref="X3186">index('Query Tool'!B:B,match(D3186,'Query Tool'!C:C,0))</f>
        <v>1</v>
      </c>
      <c r="Y3186" s="161" t="str">
        <f t="shared" si="6"/>
        <v>harrijo01,2019-20</v>
      </c>
      <c r="Z3186" s="168" t="str">
        <f t="array" ref="Z3186">iferror(index(I:I,match($A3186&amp;","&amp;index('Year Conversion'!$A:$A,match($C3186,'Year Conversion'!$B:$B,0)),$Y:$Y,0))-I3186,"")</f>
        <v/>
      </c>
      <c r="AA3186" s="168" t="str">
        <f t="array" ref="AA3186">iferror(index(J:J,match($A3186&amp;","&amp;index('Year Conversion'!$A:$A,match($C3186,'Year Conversion'!$B:$B,0)),$Y:$Y,0))-J3186,"")</f>
        <v/>
      </c>
      <c r="AB3186" s="168" t="str">
        <f t="array" ref="AB3186">iferror(index(K:K,match($A3186&amp;","&amp;index('Year Conversion'!$A:$A,match($C3186,'Year Conversion'!$B:$B,0)),$Y:$Y,0))-K3186,"")</f>
        <v/>
      </c>
      <c r="AC3186" s="168" t="str">
        <f t="shared" si="7"/>
        <v>BRK,2019-20</v>
      </c>
    </row>
    <row r="3187">
      <c r="A3187" s="161" t="str">
        <f>IFERROR(__xludf.DUMMYFUNCTION("""COMPUTED_VALUE"""),"mcderdo01")</f>
        <v>mcderdo01</v>
      </c>
      <c r="B3187" s="161" t="str">
        <f>IFERROR(__xludf.DUMMYFUNCTION("""COMPUTED_VALUE"""),"Doug McDermott")</f>
        <v>Doug McDermott</v>
      </c>
      <c r="C3187" s="162" t="str">
        <f>IFERROR(__xludf.DUMMYFUNCTION("""COMPUTED_VALUE"""),"2019-20")</f>
        <v>2019-20</v>
      </c>
      <c r="D3187" s="163" t="str">
        <f>IFERROR(__xludf.DUMMYFUNCTION("""COMPUTED_VALUE"""),"IND")</f>
        <v>IND</v>
      </c>
      <c r="E3187" s="164" t="str">
        <f>IFERROR(__xludf.DUMMYFUNCTION("""COMPUTED_VALUE"""),"Off Screen Shooter")</f>
        <v>Off Screen Shooter</v>
      </c>
      <c r="F3187" s="164">
        <f>IFERROR(__xludf.DUMMYFUNCTION("""COMPUTED_VALUE"""),1372.39166666667)</f>
        <v>1372.391667</v>
      </c>
      <c r="G3187" s="163">
        <f>IFERROR(__xludf.DUMMYFUNCTION("""COMPUTED_VALUE"""),69.0)</f>
        <v>69</v>
      </c>
      <c r="H3187" s="163" t="str">
        <f>IFERROR(__xludf.DUMMYFUNCTION("""COMPUTED_VALUE"""),"PF")</f>
        <v>PF</v>
      </c>
      <c r="I3187" s="163">
        <f>IFERROR(__xludf.DUMMYFUNCTION("""COMPUTED_VALUE"""),28.0)</f>
        <v>28</v>
      </c>
      <c r="J3187" s="165">
        <f>IFERROR(__xludf.DUMMYFUNCTION("""COMPUTED_VALUE"""),-0.918245038141499)</f>
        <v>-0.9182450381</v>
      </c>
      <c r="K3187" s="165">
        <f>IFERROR(__xludf.DUMMYFUNCTION("""COMPUTED_VALUE"""),0.341101028209297)</f>
        <v>0.3411010282</v>
      </c>
      <c r="L3187" s="165">
        <f>IFERROR(__xludf.DUMMYFUNCTION("""COMPUTED_VALUE"""),-1.2593460663508)</f>
        <v>-1.259346066</v>
      </c>
      <c r="M3187" s="166">
        <f t="shared" si="2"/>
        <v>1.267155753</v>
      </c>
      <c r="N3187" s="167">
        <f t="shared" si="3"/>
        <v>19.8897343</v>
      </c>
      <c r="O3187" s="163">
        <f t="shared" ref="O3187:Q3187" si="3191">rank(I3187,I:I)</f>
        <v>1090</v>
      </c>
      <c r="P3187" s="163">
        <f t="shared" si="3191"/>
        <v>2415</v>
      </c>
      <c r="Q3187" s="163">
        <f t="shared" si="3191"/>
        <v>874</v>
      </c>
      <c r="R3187" s="163">
        <f>IFERROR(__xludf.DUMMYFUNCTION("RANK(M3187,filter(M:M,C:C=C3187))"),203.0)</f>
        <v>203</v>
      </c>
      <c r="S3187" s="161" t="b">
        <f t="shared" si="5"/>
        <v>0</v>
      </c>
      <c r="T3187" s="161" t="b">
        <f t="array" ref="T3187">index('Query Tool'!B:B,match(H3187,'Query Tool'!C:C,0))</f>
        <v>1</v>
      </c>
      <c r="U3187" s="161" t="b">
        <f t="array" ref="U3187">index('Query Tool'!B:B,match(C3187,'Query Tool'!C:C,0))</f>
        <v>0</v>
      </c>
      <c r="V3187" s="161" t="b">
        <f>F3187&gt;='Query Tool'!C$32</f>
        <v>1</v>
      </c>
      <c r="W3187" s="161" t="b">
        <f t="array" ref="W3187">index(Dropdowns!B:B,match(I3187,Dropdowns!A:A,0))</f>
        <v>1</v>
      </c>
      <c r="X3187" s="161" t="b">
        <f t="array" ref="X3187">index('Query Tool'!B:B,match(D3187,'Query Tool'!C:C,0))</f>
        <v>1</v>
      </c>
      <c r="Y3187" s="161" t="str">
        <f t="shared" si="6"/>
        <v>mcderdo01,2019-20</v>
      </c>
      <c r="Z3187" s="168" t="str">
        <f t="array" ref="Z3187">iferror(index(I:I,match($A3187&amp;","&amp;index('Year Conversion'!$A:$A,match($C3187,'Year Conversion'!$B:$B,0)),$Y:$Y,0))-I3187,"")</f>
        <v/>
      </c>
      <c r="AA3187" s="168" t="str">
        <f t="array" ref="AA3187">iferror(index(J:J,match($A3187&amp;","&amp;index('Year Conversion'!$A:$A,match($C3187,'Year Conversion'!$B:$B,0)),$Y:$Y,0))-J3187,"")</f>
        <v/>
      </c>
      <c r="AB3187" s="168" t="str">
        <f t="array" ref="AB3187">iferror(index(K:K,match($A3187&amp;","&amp;index('Year Conversion'!$A:$A,match($C3187,'Year Conversion'!$B:$B,0)),$Y:$Y,0))-K3187,"")</f>
        <v/>
      </c>
      <c r="AC3187" s="168" t="str">
        <f t="shared" si="7"/>
        <v>IND,2019-20</v>
      </c>
    </row>
    <row r="3188">
      <c r="A3188" s="161" t="str">
        <f>IFERROR(__xludf.DUMMYFUNCTION("""COMPUTED_VALUE"""),"gordoaa01")</f>
        <v>gordoaa01</v>
      </c>
      <c r="B3188" s="161" t="str">
        <f>IFERROR(__xludf.DUMMYFUNCTION("""COMPUTED_VALUE"""),"Aaron Gordon")</f>
        <v>Aaron Gordon</v>
      </c>
      <c r="C3188" s="162" t="str">
        <f>IFERROR(__xludf.DUMMYFUNCTION("""COMPUTED_VALUE"""),"2019-20")</f>
        <v>2019-20</v>
      </c>
      <c r="D3188" s="163" t="str">
        <f>IFERROR(__xludf.DUMMYFUNCTION("""COMPUTED_VALUE"""),"ORL")</f>
        <v>ORL</v>
      </c>
      <c r="E3188" s="164" t="str">
        <f>IFERROR(__xludf.DUMMYFUNCTION("""COMPUTED_VALUE"""),"Stretch Big")</f>
        <v>Stretch Big</v>
      </c>
      <c r="F3188" s="164">
        <f>IFERROR(__xludf.DUMMYFUNCTION("""COMPUTED_VALUE"""),2017.14333333333)</f>
        <v>2017.143333</v>
      </c>
      <c r="G3188" s="163">
        <f>IFERROR(__xludf.DUMMYFUNCTION("""COMPUTED_VALUE"""),62.0)</f>
        <v>62</v>
      </c>
      <c r="H3188" s="163" t="str">
        <f>IFERROR(__xludf.DUMMYFUNCTION("""COMPUTED_VALUE"""),"PF")</f>
        <v>PF</v>
      </c>
      <c r="I3188" s="163">
        <f>IFERROR(__xludf.DUMMYFUNCTION("""COMPUTED_VALUE"""),24.0)</f>
        <v>24</v>
      </c>
      <c r="J3188" s="165">
        <f>IFERROR(__xludf.DUMMYFUNCTION("""COMPUTED_VALUE"""),0.781661336255942)</f>
        <v>0.7816613363</v>
      </c>
      <c r="K3188" s="165">
        <f>IFERROR(__xludf.DUMMYFUNCTION("""COMPUTED_VALUE"""),0.25057030673855)</f>
        <v>0.2505703067</v>
      </c>
      <c r="L3188" s="165">
        <f>IFERROR(__xludf.DUMMYFUNCTION("""COMPUTED_VALUE"""),0.531091029517392)</f>
        <v>0.5310910295</v>
      </c>
      <c r="M3188" s="166">
        <f t="shared" si="2"/>
        <v>4.171871849</v>
      </c>
      <c r="N3188" s="167">
        <f t="shared" si="3"/>
        <v>32.53456989</v>
      </c>
      <c r="O3188" s="163">
        <f t="shared" ref="O3188:Q3188" si="3192">rank(I3188,I:I)</f>
        <v>2361</v>
      </c>
      <c r="P3188" s="163">
        <f t="shared" si="3192"/>
        <v>754</v>
      </c>
      <c r="Q3188" s="163">
        <f t="shared" si="3192"/>
        <v>946</v>
      </c>
      <c r="R3188" s="163">
        <f>IFERROR(__xludf.DUMMYFUNCTION("RANK(M3188,filter(M:M,C:C=C3188))"),62.0)</f>
        <v>62</v>
      </c>
      <c r="S3188" s="161" t="b">
        <f t="shared" si="5"/>
        <v>0</v>
      </c>
      <c r="T3188" s="161" t="b">
        <f t="array" ref="T3188">index('Query Tool'!B:B,match(H3188,'Query Tool'!C:C,0))</f>
        <v>1</v>
      </c>
      <c r="U3188" s="161" t="b">
        <f t="array" ref="U3188">index('Query Tool'!B:B,match(C3188,'Query Tool'!C:C,0))</f>
        <v>0</v>
      </c>
      <c r="V3188" s="161" t="b">
        <f>F3188&gt;='Query Tool'!C$32</f>
        <v>1</v>
      </c>
      <c r="W3188" s="161" t="b">
        <f t="array" ref="W3188">index(Dropdowns!B:B,match(I3188,Dropdowns!A:A,0))</f>
        <v>1</v>
      </c>
      <c r="X3188" s="161" t="b">
        <f t="array" ref="X3188">index('Query Tool'!B:B,match(D3188,'Query Tool'!C:C,0))</f>
        <v>1</v>
      </c>
      <c r="Y3188" s="161" t="str">
        <f t="shared" si="6"/>
        <v>gordoaa01,2019-20</v>
      </c>
      <c r="Z3188" s="168" t="str">
        <f t="array" ref="Z3188">iferror(index(I:I,match($A3188&amp;","&amp;index('Year Conversion'!$A:$A,match($C3188,'Year Conversion'!$B:$B,0)),$Y:$Y,0))-I3188,"")</f>
        <v/>
      </c>
      <c r="AA3188" s="168" t="str">
        <f t="array" ref="AA3188">iferror(index(J:J,match($A3188&amp;","&amp;index('Year Conversion'!$A:$A,match($C3188,'Year Conversion'!$B:$B,0)),$Y:$Y,0))-J3188,"")</f>
        <v/>
      </c>
      <c r="AB3188" s="168" t="str">
        <f t="array" ref="AB3188">iferror(index(K:K,match($A3188&amp;","&amp;index('Year Conversion'!$A:$A,match($C3188,'Year Conversion'!$B:$B,0)),$Y:$Y,0))-K3188,"")</f>
        <v/>
      </c>
      <c r="AC3188" s="168" t="str">
        <f t="shared" si="7"/>
        <v>ORL,2019-20</v>
      </c>
    </row>
    <row r="3189">
      <c r="A3189" s="161" t="str">
        <f>IFERROR(__xludf.DUMMYFUNCTION("""COMPUTED_VALUE"""),"warretj01")</f>
        <v>warretj01</v>
      </c>
      <c r="B3189" s="161" t="str">
        <f>IFERROR(__xludf.DUMMYFUNCTION("""COMPUTED_VALUE"""),"T.J. Warren")</f>
        <v>T.J. Warren</v>
      </c>
      <c r="C3189" s="162" t="str">
        <f>IFERROR(__xludf.DUMMYFUNCTION("""COMPUTED_VALUE"""),"2019-20")</f>
        <v>2019-20</v>
      </c>
      <c r="D3189" s="163" t="str">
        <f>IFERROR(__xludf.DUMMYFUNCTION("""COMPUTED_VALUE"""),"IND")</f>
        <v>IND</v>
      </c>
      <c r="E3189" s="164" t="str">
        <f>IFERROR(__xludf.DUMMYFUNCTION("""COMPUTED_VALUE"""),"Slasher")</f>
        <v>Slasher</v>
      </c>
      <c r="F3189" s="164">
        <f>IFERROR(__xludf.DUMMYFUNCTION("""COMPUTED_VALUE"""),2202.35166666667)</f>
        <v>2202.351667</v>
      </c>
      <c r="G3189" s="163">
        <f>IFERROR(__xludf.DUMMYFUNCTION("""COMPUTED_VALUE"""),67.0)</f>
        <v>67</v>
      </c>
      <c r="H3189" s="163" t="str">
        <f>IFERROR(__xludf.DUMMYFUNCTION("""COMPUTED_VALUE"""),"SF")</f>
        <v>SF</v>
      </c>
      <c r="I3189" s="163">
        <f>IFERROR(__xludf.DUMMYFUNCTION("""COMPUTED_VALUE"""),26.0)</f>
        <v>26</v>
      </c>
      <c r="J3189" s="165">
        <f>IFERROR(__xludf.DUMMYFUNCTION("""COMPUTED_VALUE"""),0.683217557472451)</f>
        <v>0.6832175575</v>
      </c>
      <c r="K3189" s="165">
        <f>IFERROR(__xludf.DUMMYFUNCTION("""COMPUTED_VALUE"""),0.571888263528201)</f>
        <v>0.5718882635</v>
      </c>
      <c r="L3189" s="165">
        <f>IFERROR(__xludf.DUMMYFUNCTION("""COMPUTED_VALUE"""),0.11132929394425)</f>
        <v>0.1113292939</v>
      </c>
      <c r="M3189" s="166">
        <f t="shared" si="2"/>
        <v>4.40907837</v>
      </c>
      <c r="N3189" s="167">
        <f t="shared" si="3"/>
        <v>32.8709204</v>
      </c>
      <c r="O3189" s="163">
        <f t="shared" ref="O3189:Q3189" si="3193">rank(I3189,I:I)</f>
        <v>1665</v>
      </c>
      <c r="P3189" s="163">
        <f t="shared" si="3193"/>
        <v>805</v>
      </c>
      <c r="Q3189" s="163">
        <f t="shared" si="3193"/>
        <v>730</v>
      </c>
      <c r="R3189" s="163">
        <f>IFERROR(__xludf.DUMMYFUNCTION("RANK(M3189,filter(M:M,C:C=C3189))"),53.0)</f>
        <v>53</v>
      </c>
      <c r="S3189" s="161" t="b">
        <f t="shared" si="5"/>
        <v>0</v>
      </c>
      <c r="T3189" s="161" t="b">
        <f t="array" ref="T3189">index('Query Tool'!B:B,match(H3189,'Query Tool'!C:C,0))</f>
        <v>1</v>
      </c>
      <c r="U3189" s="161" t="b">
        <f t="array" ref="U3189">index('Query Tool'!B:B,match(C3189,'Query Tool'!C:C,0))</f>
        <v>0</v>
      </c>
      <c r="V3189" s="161" t="b">
        <f>F3189&gt;='Query Tool'!C$32</f>
        <v>1</v>
      </c>
      <c r="W3189" s="161" t="b">
        <f t="array" ref="W3189">index(Dropdowns!B:B,match(I3189,Dropdowns!A:A,0))</f>
        <v>1</v>
      </c>
      <c r="X3189" s="161" t="b">
        <f t="array" ref="X3189">index('Query Tool'!B:B,match(D3189,'Query Tool'!C:C,0))</f>
        <v>1</v>
      </c>
      <c r="Y3189" s="161" t="str">
        <f t="shared" si="6"/>
        <v>warretj01,2019-20</v>
      </c>
      <c r="Z3189" s="168" t="str">
        <f t="array" ref="Z3189">iferror(index(I:I,match($A3189&amp;","&amp;index('Year Conversion'!$A:$A,match($C3189,'Year Conversion'!$B:$B,0)),$Y:$Y,0))-I3189,"")</f>
        <v/>
      </c>
      <c r="AA3189" s="168" t="str">
        <f t="array" ref="AA3189">iferror(index(J:J,match($A3189&amp;","&amp;index('Year Conversion'!$A:$A,match($C3189,'Year Conversion'!$B:$B,0)),$Y:$Y,0))-J3189,"")</f>
        <v/>
      </c>
      <c r="AB3189" s="168" t="str">
        <f t="array" ref="AB3189">iferror(index(K:K,match($A3189&amp;","&amp;index('Year Conversion'!$A:$A,match($C3189,'Year Conversion'!$B:$B,0)),$Y:$Y,0))-K3189,"")</f>
        <v/>
      </c>
      <c r="AC3189" s="168" t="str">
        <f t="shared" si="7"/>
        <v>IND,2019-20</v>
      </c>
    </row>
    <row r="3190">
      <c r="A3190" s="161" t="str">
        <f>IFERROR(__xludf.DUMMYFUNCTION("""COMPUTED_VALUE"""),"smartma01")</f>
        <v>smartma01</v>
      </c>
      <c r="B3190" s="161" t="str">
        <f>IFERROR(__xludf.DUMMYFUNCTION("""COMPUTED_VALUE"""),"Marcus Smart")</f>
        <v>Marcus Smart</v>
      </c>
      <c r="C3190" s="162" t="str">
        <f>IFERROR(__xludf.DUMMYFUNCTION("""COMPUTED_VALUE"""),"2019-20")</f>
        <v>2019-20</v>
      </c>
      <c r="D3190" s="163" t="str">
        <f>IFERROR(__xludf.DUMMYFUNCTION("""COMPUTED_VALUE"""),"BOS")</f>
        <v>BOS</v>
      </c>
      <c r="E3190" s="164" t="str">
        <f>IFERROR(__xludf.DUMMYFUNCTION("""COMPUTED_VALUE"""),"Primary Ball Handler")</f>
        <v>Primary Ball Handler</v>
      </c>
      <c r="F3190" s="164">
        <f>IFERROR(__xludf.DUMMYFUNCTION("""COMPUTED_VALUE"""),1919.27)</f>
        <v>1919.27</v>
      </c>
      <c r="G3190" s="163">
        <f>IFERROR(__xludf.DUMMYFUNCTION("""COMPUTED_VALUE"""),60.0)</f>
        <v>60</v>
      </c>
      <c r="H3190" s="163" t="str">
        <f>IFERROR(__xludf.DUMMYFUNCTION("""COMPUTED_VALUE"""),"SG")</f>
        <v>SG</v>
      </c>
      <c r="I3190" s="163">
        <f>IFERROR(__xludf.DUMMYFUNCTION("""COMPUTED_VALUE"""),25.0)</f>
        <v>25</v>
      </c>
      <c r="J3190" s="165">
        <f>IFERROR(__xludf.DUMMYFUNCTION("""COMPUTED_VALUE"""),1.10463110727167)</f>
        <v>1.104631107</v>
      </c>
      <c r="K3190" s="165">
        <f>IFERROR(__xludf.DUMMYFUNCTION("""COMPUTED_VALUE"""),0.373840343491373)</f>
        <v>0.3738403435</v>
      </c>
      <c r="L3190" s="165">
        <f>IFERROR(__xludf.DUMMYFUNCTION("""COMPUTED_VALUE"""),0.730790763780301)</f>
        <v>0.7307907638</v>
      </c>
      <c r="M3190" s="166">
        <f t="shared" si="2"/>
        <v>4.385796578</v>
      </c>
      <c r="N3190" s="167">
        <f t="shared" si="3"/>
        <v>31.98783333</v>
      </c>
      <c r="O3190" s="163">
        <f t="shared" ref="O3190:Q3190" si="3194">rank(I3190,I:I)</f>
        <v>1995</v>
      </c>
      <c r="P3190" s="163">
        <f t="shared" si="3194"/>
        <v>617</v>
      </c>
      <c r="Q3190" s="163">
        <f t="shared" si="3194"/>
        <v>850</v>
      </c>
      <c r="R3190" s="163">
        <f>IFERROR(__xludf.DUMMYFUNCTION("RANK(M3190,filter(M:M,C:C=C3190))"),54.0)</f>
        <v>54</v>
      </c>
      <c r="S3190" s="161" t="b">
        <f t="shared" si="5"/>
        <v>0</v>
      </c>
      <c r="T3190" s="161" t="b">
        <f t="array" ref="T3190">index('Query Tool'!B:B,match(H3190,'Query Tool'!C:C,0))</f>
        <v>1</v>
      </c>
      <c r="U3190" s="161" t="b">
        <f t="array" ref="U3190">index('Query Tool'!B:B,match(C3190,'Query Tool'!C:C,0))</f>
        <v>0</v>
      </c>
      <c r="V3190" s="161" t="b">
        <f>F3190&gt;='Query Tool'!C$32</f>
        <v>1</v>
      </c>
      <c r="W3190" s="161" t="b">
        <f t="array" ref="W3190">index(Dropdowns!B:B,match(I3190,Dropdowns!A:A,0))</f>
        <v>1</v>
      </c>
      <c r="X3190" s="161" t="b">
        <f t="array" ref="X3190">index('Query Tool'!B:B,match(D3190,'Query Tool'!C:C,0))</f>
        <v>1</v>
      </c>
      <c r="Y3190" s="161" t="str">
        <f t="shared" si="6"/>
        <v>smartma01,2019-20</v>
      </c>
      <c r="Z3190" s="168" t="str">
        <f t="array" ref="Z3190">iferror(index(I:I,match($A3190&amp;","&amp;index('Year Conversion'!$A:$A,match($C3190,'Year Conversion'!$B:$B,0)),$Y:$Y,0))-I3190,"")</f>
        <v/>
      </c>
      <c r="AA3190" s="168" t="str">
        <f t="array" ref="AA3190">iferror(index(J:J,match($A3190&amp;","&amp;index('Year Conversion'!$A:$A,match($C3190,'Year Conversion'!$B:$B,0)),$Y:$Y,0))-J3190,"")</f>
        <v/>
      </c>
      <c r="AB3190" s="168" t="str">
        <f t="array" ref="AB3190">iferror(index(K:K,match($A3190&amp;","&amp;index('Year Conversion'!$A:$A,match($C3190,'Year Conversion'!$B:$B,0)),$Y:$Y,0))-K3190,"")</f>
        <v/>
      </c>
      <c r="AC3190" s="168" t="str">
        <f t="shared" si="7"/>
        <v>BOS,2019-20</v>
      </c>
    </row>
    <row r="3191">
      <c r="A3191" s="161" t="str">
        <f>IFERROR(__xludf.DUMMYFUNCTION("""COMPUTED_VALUE"""),"anderky01")</f>
        <v>anderky01</v>
      </c>
      <c r="B3191" s="161" t="str">
        <f>IFERROR(__xludf.DUMMYFUNCTION("""COMPUTED_VALUE"""),"Kyle Anderson")</f>
        <v>Kyle Anderson</v>
      </c>
      <c r="C3191" s="162" t="str">
        <f>IFERROR(__xludf.DUMMYFUNCTION("""COMPUTED_VALUE"""),"2019-20")</f>
        <v>2019-20</v>
      </c>
      <c r="D3191" s="163" t="str">
        <f>IFERROR(__xludf.DUMMYFUNCTION("""COMPUTED_VALUE"""),"MEM")</f>
        <v>MEM</v>
      </c>
      <c r="E3191" s="164" t="str">
        <f>IFERROR(__xludf.DUMMYFUNCTION("""COMPUTED_VALUE"""),"Athletic Finisher")</f>
        <v>Athletic Finisher</v>
      </c>
      <c r="F3191" s="164">
        <f>IFERROR(__xludf.DUMMYFUNCTION("""COMPUTED_VALUE"""),1329.88666666667)</f>
        <v>1329.886667</v>
      </c>
      <c r="G3191" s="163">
        <f>IFERROR(__xludf.DUMMYFUNCTION("""COMPUTED_VALUE"""),67.0)</f>
        <v>67</v>
      </c>
      <c r="H3191" s="163" t="str">
        <f>IFERROR(__xludf.DUMMYFUNCTION("""COMPUTED_VALUE"""),"SF")</f>
        <v>SF</v>
      </c>
      <c r="I3191" s="163">
        <f>IFERROR(__xludf.DUMMYFUNCTION("""COMPUTED_VALUE"""),26.0)</f>
        <v>26</v>
      </c>
      <c r="J3191" s="165">
        <f>IFERROR(__xludf.DUMMYFUNCTION("""COMPUTED_VALUE"""),-0.390891716646232)</f>
        <v>-0.3908917166</v>
      </c>
      <c r="K3191" s="165">
        <f>IFERROR(__xludf.DUMMYFUNCTION("""COMPUTED_VALUE"""),-1.67016419045909)</f>
        <v>-1.67016419</v>
      </c>
      <c r="L3191" s="165">
        <f>IFERROR(__xludf.DUMMYFUNCTION("""COMPUTED_VALUE"""),1.27927247381286)</f>
        <v>1.279272474</v>
      </c>
      <c r="M3191" s="166">
        <f t="shared" si="2"/>
        <v>1.69984435</v>
      </c>
      <c r="N3191" s="167">
        <f t="shared" si="3"/>
        <v>19.84905473</v>
      </c>
      <c r="O3191" s="163">
        <f t="shared" ref="O3191:Q3191" si="3195">rank(I3191,I:I)</f>
        <v>1665</v>
      </c>
      <c r="P3191" s="163">
        <f t="shared" si="3195"/>
        <v>1717</v>
      </c>
      <c r="Q3191" s="163">
        <f t="shared" si="3195"/>
        <v>3499</v>
      </c>
      <c r="R3191" s="163">
        <f>IFERROR(__xludf.DUMMYFUNCTION("RANK(M3191,filter(M:M,C:C=C3191))"),174.0)</f>
        <v>174</v>
      </c>
      <c r="S3191" s="161" t="b">
        <f t="shared" si="5"/>
        <v>0</v>
      </c>
      <c r="T3191" s="161" t="b">
        <f t="array" ref="T3191">index('Query Tool'!B:B,match(H3191,'Query Tool'!C:C,0))</f>
        <v>1</v>
      </c>
      <c r="U3191" s="161" t="b">
        <f t="array" ref="U3191">index('Query Tool'!B:B,match(C3191,'Query Tool'!C:C,0))</f>
        <v>0</v>
      </c>
      <c r="V3191" s="161" t="b">
        <f>F3191&gt;='Query Tool'!C$32</f>
        <v>1</v>
      </c>
      <c r="W3191" s="161" t="b">
        <f t="array" ref="W3191">index(Dropdowns!B:B,match(I3191,Dropdowns!A:A,0))</f>
        <v>1</v>
      </c>
      <c r="X3191" s="161" t="b">
        <f t="array" ref="X3191">index('Query Tool'!B:B,match(D3191,'Query Tool'!C:C,0))</f>
        <v>1</v>
      </c>
      <c r="Y3191" s="161" t="str">
        <f t="shared" si="6"/>
        <v>anderky01,2019-20</v>
      </c>
      <c r="Z3191" s="168" t="str">
        <f t="array" ref="Z3191">iferror(index(I:I,match($A3191&amp;","&amp;index('Year Conversion'!$A:$A,match($C3191,'Year Conversion'!$B:$B,0)),$Y:$Y,0))-I3191,"")</f>
        <v/>
      </c>
      <c r="AA3191" s="168" t="str">
        <f t="array" ref="AA3191">iferror(index(J:J,match($A3191&amp;","&amp;index('Year Conversion'!$A:$A,match($C3191,'Year Conversion'!$B:$B,0)),$Y:$Y,0))-J3191,"")</f>
        <v/>
      </c>
      <c r="AB3191" s="168" t="str">
        <f t="array" ref="AB3191">iferror(index(K:K,match($A3191&amp;","&amp;index('Year Conversion'!$A:$A,match($C3191,'Year Conversion'!$B:$B,0)),$Y:$Y,0))-K3191,"")</f>
        <v/>
      </c>
      <c r="AC3191" s="168" t="str">
        <f t="shared" si="7"/>
        <v>MEM,2019-20</v>
      </c>
    </row>
    <row r="3192">
      <c r="A3192" s="161" t="str">
        <f>IFERROR(__xludf.DUMMYFUNCTION("""COMPUTED_VALUE"""),"poweldw01")</f>
        <v>poweldw01</v>
      </c>
      <c r="B3192" s="161" t="str">
        <f>IFERROR(__xludf.DUMMYFUNCTION("""COMPUTED_VALUE"""),"Dwight Powell")</f>
        <v>Dwight Powell</v>
      </c>
      <c r="C3192" s="162" t="str">
        <f>IFERROR(__xludf.DUMMYFUNCTION("""COMPUTED_VALUE"""),"2019-20")</f>
        <v>2019-20</v>
      </c>
      <c r="D3192" s="163" t="str">
        <f>IFERROR(__xludf.DUMMYFUNCTION("""COMPUTED_VALUE"""),"DAL")</f>
        <v>DAL</v>
      </c>
      <c r="E3192" s="164" t="str">
        <f>IFERROR(__xludf.DUMMYFUNCTION("""COMPUTED_VALUE"""),"Roll + Cut Big")</f>
        <v>Roll + Cut Big</v>
      </c>
      <c r="F3192" s="164">
        <f>IFERROR(__xludf.DUMMYFUNCTION("""COMPUTED_VALUE"""),1060.53833333333)</f>
        <v>1060.538333</v>
      </c>
      <c r="G3192" s="163">
        <f>IFERROR(__xludf.DUMMYFUNCTION("""COMPUTED_VALUE"""),40.0)</f>
        <v>40</v>
      </c>
      <c r="H3192" s="163" t="str">
        <f>IFERROR(__xludf.DUMMYFUNCTION("""COMPUTED_VALUE"""),"C")</f>
        <v>C</v>
      </c>
      <c r="I3192" s="163">
        <f>IFERROR(__xludf.DUMMYFUNCTION("""COMPUTED_VALUE"""),28.0)</f>
        <v>28</v>
      </c>
      <c r="J3192" s="165">
        <f>IFERROR(__xludf.DUMMYFUNCTION("""COMPUTED_VALUE"""),0.0147887030592089)</f>
        <v>0.01478870306</v>
      </c>
      <c r="K3192" s="165">
        <f>IFERROR(__xludf.DUMMYFUNCTION("""COMPUTED_VALUE"""),-0.645479375019872)</f>
        <v>-0.645479375</v>
      </c>
      <c r="L3192" s="165">
        <f>IFERROR(__xludf.DUMMYFUNCTION("""COMPUTED_VALUE"""),0.660268078079081)</f>
        <v>0.6602680781</v>
      </c>
      <c r="M3192" s="166">
        <f t="shared" si="2"/>
        <v>1.645570578</v>
      </c>
      <c r="N3192" s="167">
        <f t="shared" si="3"/>
        <v>26.51345833</v>
      </c>
      <c r="O3192" s="163">
        <f t="shared" ref="O3192:Q3192" si="3196">rank(I3192,I:I)</f>
        <v>1090</v>
      </c>
      <c r="P3192" s="163">
        <f t="shared" si="3196"/>
        <v>1273</v>
      </c>
      <c r="Q3192" s="163">
        <f t="shared" si="3196"/>
        <v>2329</v>
      </c>
      <c r="R3192" s="163">
        <f>IFERROR(__xludf.DUMMYFUNCTION("RANK(M3192,filter(M:M,C:C=C3192))"),175.0)</f>
        <v>175</v>
      </c>
      <c r="S3192" s="161" t="b">
        <f t="shared" si="5"/>
        <v>0</v>
      </c>
      <c r="T3192" s="161" t="b">
        <f t="array" ref="T3192">index('Query Tool'!B:B,match(H3192,'Query Tool'!C:C,0))</f>
        <v>1</v>
      </c>
      <c r="U3192" s="161" t="b">
        <f t="array" ref="U3192">index('Query Tool'!B:B,match(C3192,'Query Tool'!C:C,0))</f>
        <v>0</v>
      </c>
      <c r="V3192" s="161" t="b">
        <f>F3192&gt;='Query Tool'!C$32</f>
        <v>1</v>
      </c>
      <c r="W3192" s="161" t="b">
        <f t="array" ref="W3192">index(Dropdowns!B:B,match(I3192,Dropdowns!A:A,0))</f>
        <v>1</v>
      </c>
      <c r="X3192" s="161" t="b">
        <f t="array" ref="X3192">index('Query Tool'!B:B,match(D3192,'Query Tool'!C:C,0))</f>
        <v>1</v>
      </c>
      <c r="Y3192" s="161" t="str">
        <f t="shared" si="6"/>
        <v>poweldw01,2019-20</v>
      </c>
      <c r="Z3192" s="168" t="str">
        <f t="array" ref="Z3192">iferror(index(I:I,match($A3192&amp;","&amp;index('Year Conversion'!$A:$A,match($C3192,'Year Conversion'!$B:$B,0)),$Y:$Y,0))-I3192,"")</f>
        <v/>
      </c>
      <c r="AA3192" s="168" t="str">
        <f t="array" ref="AA3192">iferror(index(J:J,match($A3192&amp;","&amp;index('Year Conversion'!$A:$A,match($C3192,'Year Conversion'!$B:$B,0)),$Y:$Y,0))-J3192,"")</f>
        <v/>
      </c>
      <c r="AB3192" s="168" t="str">
        <f t="array" ref="AB3192">iferror(index(K:K,match($A3192&amp;","&amp;index('Year Conversion'!$A:$A,match($C3192,'Year Conversion'!$B:$B,0)),$Y:$Y,0))-K3192,"")</f>
        <v/>
      </c>
      <c r="AC3192" s="168" t="str">
        <f t="shared" si="7"/>
        <v>DAL,2019-20</v>
      </c>
    </row>
    <row r="3193">
      <c r="A3193" s="161" t="str">
        <f>IFERROR(__xludf.DUMMYFUNCTION("""COMPUTED_VALUE"""),"vonleno01")</f>
        <v>vonleno01</v>
      </c>
      <c r="B3193" s="161" t="str">
        <f>IFERROR(__xludf.DUMMYFUNCTION("""COMPUTED_VALUE"""),"Noah Vonleh")</f>
        <v>Noah Vonleh</v>
      </c>
      <c r="C3193" s="162" t="str">
        <f>IFERROR(__xludf.DUMMYFUNCTION("""COMPUTED_VALUE"""),"2019-20")</f>
        <v>2019-20</v>
      </c>
      <c r="D3193" s="163" t="str">
        <f>IFERROR(__xludf.DUMMYFUNCTION("""COMPUTED_VALUE"""),"TOT")</f>
        <v>TOT</v>
      </c>
      <c r="E3193" s="164" t="str">
        <f>IFERROR(__xludf.DUMMYFUNCTION("""COMPUTED_VALUE"""),"Roll + Cut Big")</f>
        <v>Roll + Cut Big</v>
      </c>
      <c r="F3193" s="164">
        <f>IFERROR(__xludf.DUMMYFUNCTION("""COMPUTED_VALUE"""),377.738333333333)</f>
        <v>377.7383333</v>
      </c>
      <c r="G3193" s="163">
        <f>IFERROR(__xludf.DUMMYFUNCTION("""COMPUTED_VALUE"""),36.0)</f>
        <v>36</v>
      </c>
      <c r="H3193" s="163" t="str">
        <f>IFERROR(__xludf.DUMMYFUNCTION("""COMPUTED_VALUE"""),"C")</f>
        <v>C</v>
      </c>
      <c r="I3193" s="163">
        <f>IFERROR(__xludf.DUMMYFUNCTION("""COMPUTED_VALUE"""),24.0)</f>
        <v>24</v>
      </c>
      <c r="J3193" s="165">
        <f>IFERROR(__xludf.DUMMYFUNCTION("""COMPUTED_VALUE"""),-1.12801783098655)</f>
        <v>-1.128017831</v>
      </c>
      <c r="K3193" s="165">
        <f>IFERROR(__xludf.DUMMYFUNCTION("""COMPUTED_VALUE"""),-1.6089961020059)</f>
        <v>-1.608996102</v>
      </c>
      <c r="L3193" s="165">
        <f>IFERROR(__xludf.DUMMYFUNCTION("""COMPUTED_VALUE"""),0.480978271019352)</f>
        <v>0.480978271</v>
      </c>
      <c r="M3193" s="166">
        <f t="shared" si="2"/>
        <v>0.295584012</v>
      </c>
      <c r="N3193" s="167">
        <f t="shared" si="3"/>
        <v>10.49273148</v>
      </c>
      <c r="O3193" s="163">
        <f t="shared" ref="O3193:Q3193" si="3197">rank(I3193,I:I)</f>
        <v>2361</v>
      </c>
      <c r="P3193" s="163">
        <f t="shared" si="3197"/>
        <v>2655</v>
      </c>
      <c r="Q3193" s="163">
        <f t="shared" si="3197"/>
        <v>3452</v>
      </c>
      <c r="R3193" s="163">
        <f>IFERROR(__xludf.DUMMYFUNCTION("RANK(M3193,filter(M:M,C:C=C3193))"),304.0)</f>
        <v>304</v>
      </c>
      <c r="S3193" s="161" t="b">
        <f t="shared" si="5"/>
        <v>0</v>
      </c>
      <c r="T3193" s="161" t="b">
        <f t="array" ref="T3193">index('Query Tool'!B:B,match(H3193,'Query Tool'!C:C,0))</f>
        <v>1</v>
      </c>
      <c r="U3193" s="161" t="b">
        <f t="array" ref="U3193">index('Query Tool'!B:B,match(C3193,'Query Tool'!C:C,0))</f>
        <v>0</v>
      </c>
      <c r="V3193" s="161" t="b">
        <f>F3193&gt;='Query Tool'!C$32</f>
        <v>0</v>
      </c>
      <c r="W3193" s="161" t="b">
        <f t="array" ref="W3193">index(Dropdowns!B:B,match(I3193,Dropdowns!A:A,0))</f>
        <v>1</v>
      </c>
      <c r="X3193" s="161" t="b">
        <f t="array" ref="X3193">index('Query Tool'!B:B,match(D3193,'Query Tool'!C:C,0))</f>
        <v>1</v>
      </c>
      <c r="Y3193" s="161" t="str">
        <f t="shared" si="6"/>
        <v>vonleno01,2019-20</v>
      </c>
      <c r="Z3193" s="168" t="str">
        <f t="array" ref="Z3193">iferror(index(I:I,match($A3193&amp;","&amp;index('Year Conversion'!$A:$A,match($C3193,'Year Conversion'!$B:$B,0)),$Y:$Y,0))-I3193,"")</f>
        <v/>
      </c>
      <c r="AA3193" s="168" t="str">
        <f t="array" ref="AA3193">iferror(index(J:J,match($A3193&amp;","&amp;index('Year Conversion'!$A:$A,match($C3193,'Year Conversion'!$B:$B,0)),$Y:$Y,0))-J3193,"")</f>
        <v/>
      </c>
      <c r="AB3193" s="168" t="str">
        <f t="array" ref="AB3193">iferror(index(K:K,match($A3193&amp;","&amp;index('Year Conversion'!$A:$A,match($C3193,'Year Conversion'!$B:$B,0)),$Y:$Y,0))-K3193,"")</f>
        <v/>
      </c>
      <c r="AC3193" s="168" t="str">
        <f t="shared" si="7"/>
        <v>TOT,2019-20</v>
      </c>
    </row>
    <row r="3194">
      <c r="A3194" s="161" t="str">
        <f>IFERROR(__xludf.DUMMYFUNCTION("""COMPUTED_VALUE"""),"randlju01")</f>
        <v>randlju01</v>
      </c>
      <c r="B3194" s="161" t="str">
        <f>IFERROR(__xludf.DUMMYFUNCTION("""COMPUTED_VALUE"""),"Julius Randle")</f>
        <v>Julius Randle</v>
      </c>
      <c r="C3194" s="162" t="str">
        <f>IFERROR(__xludf.DUMMYFUNCTION("""COMPUTED_VALUE"""),"2019-20")</f>
        <v>2019-20</v>
      </c>
      <c r="D3194" s="163" t="str">
        <f>IFERROR(__xludf.DUMMYFUNCTION("""COMPUTED_VALUE"""),"NYK")</f>
        <v>NYK</v>
      </c>
      <c r="E3194" s="164" t="str">
        <f>IFERROR(__xludf.DUMMYFUNCTION("""COMPUTED_VALUE"""),"Post Scorer")</f>
        <v>Post Scorer</v>
      </c>
      <c r="F3194" s="164">
        <f>IFERROR(__xludf.DUMMYFUNCTION("""COMPUTED_VALUE"""),2080.4)</f>
        <v>2080.4</v>
      </c>
      <c r="G3194" s="163">
        <f>IFERROR(__xludf.DUMMYFUNCTION("""COMPUTED_VALUE"""),64.0)</f>
        <v>64</v>
      </c>
      <c r="H3194" s="163" t="str">
        <f>IFERROR(__xludf.DUMMYFUNCTION("""COMPUTED_VALUE"""),"PF")</f>
        <v>PF</v>
      </c>
      <c r="I3194" s="163">
        <f>IFERROR(__xludf.DUMMYFUNCTION("""COMPUTED_VALUE"""),25.0)</f>
        <v>25</v>
      </c>
      <c r="J3194" s="165">
        <f>IFERROR(__xludf.DUMMYFUNCTION("""COMPUTED_VALUE"""),0.284046290817761)</f>
        <v>0.2840462908</v>
      </c>
      <c r="K3194" s="165">
        <f>IFERROR(__xludf.DUMMYFUNCTION("""COMPUTED_VALUE"""),-0.033024207614899)</f>
        <v>-0.03302420761</v>
      </c>
      <c r="L3194" s="165">
        <f>IFERROR(__xludf.DUMMYFUNCTION("""COMPUTED_VALUE"""),0.31707049843266)</f>
        <v>0.3170704984</v>
      </c>
      <c r="M3194" s="166">
        <f t="shared" si="2"/>
        <v>3.605637608</v>
      </c>
      <c r="N3194" s="167">
        <f t="shared" si="3"/>
        <v>32.50625</v>
      </c>
      <c r="O3194" s="163">
        <f t="shared" ref="O3194:Q3194" si="3198">rank(I3194,I:I)</f>
        <v>1995</v>
      </c>
      <c r="P3194" s="163">
        <f t="shared" si="3198"/>
        <v>1029</v>
      </c>
      <c r="Q3194" s="163">
        <f t="shared" si="3198"/>
        <v>1244</v>
      </c>
      <c r="R3194" s="163">
        <f>IFERROR(__xludf.DUMMYFUNCTION("RANK(M3194,filter(M:M,C:C=C3194))"),82.0)</f>
        <v>82</v>
      </c>
      <c r="S3194" s="161" t="b">
        <f t="shared" si="5"/>
        <v>0</v>
      </c>
      <c r="T3194" s="161" t="b">
        <f t="array" ref="T3194">index('Query Tool'!B:B,match(H3194,'Query Tool'!C:C,0))</f>
        <v>1</v>
      </c>
      <c r="U3194" s="161" t="b">
        <f t="array" ref="U3194">index('Query Tool'!B:B,match(C3194,'Query Tool'!C:C,0))</f>
        <v>0</v>
      </c>
      <c r="V3194" s="161" t="b">
        <f>F3194&gt;='Query Tool'!C$32</f>
        <v>1</v>
      </c>
      <c r="W3194" s="161" t="b">
        <f t="array" ref="W3194">index(Dropdowns!B:B,match(I3194,Dropdowns!A:A,0))</f>
        <v>1</v>
      </c>
      <c r="X3194" s="161" t="b">
        <f t="array" ref="X3194">index('Query Tool'!B:B,match(D3194,'Query Tool'!C:C,0))</f>
        <v>1</v>
      </c>
      <c r="Y3194" s="161" t="str">
        <f t="shared" si="6"/>
        <v>randlju01,2019-20</v>
      </c>
      <c r="Z3194" s="168" t="str">
        <f t="array" ref="Z3194">iferror(index(I:I,match($A3194&amp;","&amp;index('Year Conversion'!$A:$A,match($C3194,'Year Conversion'!$B:$B,0)),$Y:$Y,0))-I3194,"")</f>
        <v/>
      </c>
      <c r="AA3194" s="168" t="str">
        <f t="array" ref="AA3194">iferror(index(J:J,match($A3194&amp;","&amp;index('Year Conversion'!$A:$A,match($C3194,'Year Conversion'!$B:$B,0)),$Y:$Y,0))-J3194,"")</f>
        <v/>
      </c>
      <c r="AB3194" s="168" t="str">
        <f t="array" ref="AB3194">iferror(index(K:K,match($A3194&amp;","&amp;index('Year Conversion'!$A:$A,match($C3194,'Year Conversion'!$B:$B,0)),$Y:$Y,0))-K3194,"")</f>
        <v/>
      </c>
      <c r="AC3194" s="168" t="str">
        <f t="shared" si="7"/>
        <v>NYK,2019-20</v>
      </c>
    </row>
    <row r="3195">
      <c r="A3195" s="161" t="str">
        <f>IFERROR(__xludf.DUMMYFUNCTION("""COMPUTED_VALUE"""),"wiggian01")</f>
        <v>wiggian01</v>
      </c>
      <c r="B3195" s="161" t="str">
        <f>IFERROR(__xludf.DUMMYFUNCTION("""COMPUTED_VALUE"""),"Andrew Wiggins")</f>
        <v>Andrew Wiggins</v>
      </c>
      <c r="C3195" s="162" t="str">
        <f>IFERROR(__xludf.DUMMYFUNCTION("""COMPUTED_VALUE"""),"2019-20")</f>
        <v>2019-20</v>
      </c>
      <c r="D3195" s="163" t="str">
        <f>IFERROR(__xludf.DUMMYFUNCTION("""COMPUTED_VALUE"""),"TOT")</f>
        <v>TOT</v>
      </c>
      <c r="E3195" s="164" t="str">
        <f>IFERROR(__xludf.DUMMYFUNCTION("""COMPUTED_VALUE"""),"Movement Shooter")</f>
        <v>Movement Shooter</v>
      </c>
      <c r="F3195" s="164">
        <f>IFERROR(__xludf.DUMMYFUNCTION("""COMPUTED_VALUE"""),1858.88166666667)</f>
        <v>1858.881667</v>
      </c>
      <c r="G3195" s="163">
        <f>IFERROR(__xludf.DUMMYFUNCTION("""COMPUTED_VALUE"""),54.0)</f>
        <v>54</v>
      </c>
      <c r="H3195" s="163" t="str">
        <f>IFERROR(__xludf.DUMMYFUNCTION("""COMPUTED_VALUE"""),"SF")</f>
        <v>SF</v>
      </c>
      <c r="I3195" s="163">
        <f>IFERROR(__xludf.DUMMYFUNCTION("""COMPUTED_VALUE"""),24.0)</f>
        <v>24</v>
      </c>
      <c r="J3195" s="165">
        <f>IFERROR(__xludf.DUMMYFUNCTION("""COMPUTED_VALUE"""),0.0349117749904373)</f>
        <v>0.03491177499</v>
      </c>
      <c r="K3195" s="165">
        <f>IFERROR(__xludf.DUMMYFUNCTION("""COMPUTED_VALUE"""),1.04011840410069)</f>
        <v>1.040118404</v>
      </c>
      <c r="L3195" s="165">
        <f>IFERROR(__xludf.DUMMYFUNCTION("""COMPUTED_VALUE"""),-1.00520662911026)</f>
        <v>-1.005206629</v>
      </c>
      <c r="M3195" s="166">
        <f t="shared" si="2"/>
        <v>2.90952863</v>
      </c>
      <c r="N3195" s="167">
        <f t="shared" si="3"/>
        <v>34.42373457</v>
      </c>
      <c r="O3195" s="163">
        <f t="shared" ref="O3195:Q3195" si="3199">rank(I3195,I:I)</f>
        <v>2361</v>
      </c>
      <c r="P3195" s="163">
        <f t="shared" si="3199"/>
        <v>1261</v>
      </c>
      <c r="Q3195" s="163">
        <f t="shared" si="3199"/>
        <v>484</v>
      </c>
      <c r="R3195" s="163">
        <f>IFERROR(__xludf.DUMMYFUNCTION("RANK(M3195,filter(M:M,C:C=C3195))"),106.0)</f>
        <v>106</v>
      </c>
      <c r="S3195" s="161" t="b">
        <f t="shared" si="5"/>
        <v>0</v>
      </c>
      <c r="T3195" s="161" t="b">
        <f t="array" ref="T3195">index('Query Tool'!B:B,match(H3195,'Query Tool'!C:C,0))</f>
        <v>1</v>
      </c>
      <c r="U3195" s="161" t="b">
        <f t="array" ref="U3195">index('Query Tool'!B:B,match(C3195,'Query Tool'!C:C,0))</f>
        <v>0</v>
      </c>
      <c r="V3195" s="161" t="b">
        <f>F3195&gt;='Query Tool'!C$32</f>
        <v>1</v>
      </c>
      <c r="W3195" s="161" t="b">
        <f t="array" ref="W3195">index(Dropdowns!B:B,match(I3195,Dropdowns!A:A,0))</f>
        <v>1</v>
      </c>
      <c r="X3195" s="161" t="b">
        <f t="array" ref="X3195">index('Query Tool'!B:B,match(D3195,'Query Tool'!C:C,0))</f>
        <v>1</v>
      </c>
      <c r="Y3195" s="161" t="str">
        <f t="shared" si="6"/>
        <v>wiggian01,2019-20</v>
      </c>
      <c r="Z3195" s="168" t="str">
        <f t="array" ref="Z3195">iferror(index(I:I,match($A3195&amp;","&amp;index('Year Conversion'!$A:$A,match($C3195,'Year Conversion'!$B:$B,0)),$Y:$Y,0))-I3195,"")</f>
        <v/>
      </c>
      <c r="AA3195" s="168" t="str">
        <f t="array" ref="AA3195">iferror(index(J:J,match($A3195&amp;","&amp;index('Year Conversion'!$A:$A,match($C3195,'Year Conversion'!$B:$B,0)),$Y:$Y,0))-J3195,"")</f>
        <v/>
      </c>
      <c r="AB3195" s="168" t="str">
        <f t="array" ref="AB3195">iferror(index(K:K,match($A3195&amp;","&amp;index('Year Conversion'!$A:$A,match($C3195,'Year Conversion'!$B:$B,0)),$Y:$Y,0))-K3195,"")</f>
        <v/>
      </c>
      <c r="AC3195" s="168" t="str">
        <f t="shared" si="7"/>
        <v>TOT,2019-20</v>
      </c>
    </row>
    <row r="3196">
      <c r="A3196" s="161" t="str">
        <f>IFERROR(__xludf.DUMMYFUNCTION("""COMPUTED_VALUE"""),"parkeja01")</f>
        <v>parkeja01</v>
      </c>
      <c r="B3196" s="161" t="str">
        <f>IFERROR(__xludf.DUMMYFUNCTION("""COMPUTED_VALUE"""),"Jabari Parker")</f>
        <v>Jabari Parker</v>
      </c>
      <c r="C3196" s="162" t="str">
        <f>IFERROR(__xludf.DUMMYFUNCTION("""COMPUTED_VALUE"""),"2019-20")</f>
        <v>2019-20</v>
      </c>
      <c r="D3196" s="163" t="str">
        <f>IFERROR(__xludf.DUMMYFUNCTION("""COMPUTED_VALUE"""),"TOT")</f>
        <v>TOT</v>
      </c>
      <c r="E3196" s="164" t="str">
        <f>IFERROR(__xludf.DUMMYFUNCTION("""COMPUTED_VALUE"""),"Stretch Big")</f>
        <v>Stretch Big</v>
      </c>
      <c r="F3196" s="164">
        <f>IFERROR(__xludf.DUMMYFUNCTION("""COMPUTED_VALUE"""),917.811666666667)</f>
        <v>917.8116667</v>
      </c>
      <c r="G3196" s="163">
        <f>IFERROR(__xludf.DUMMYFUNCTION("""COMPUTED_VALUE"""),38.0)</f>
        <v>38</v>
      </c>
      <c r="H3196" s="163" t="str">
        <f>IFERROR(__xludf.DUMMYFUNCTION("""COMPUTED_VALUE"""),"PF")</f>
        <v>PF</v>
      </c>
      <c r="I3196" s="163">
        <f>IFERROR(__xludf.DUMMYFUNCTION("""COMPUTED_VALUE"""),24.0)</f>
        <v>24</v>
      </c>
      <c r="J3196" s="165">
        <f>IFERROR(__xludf.DUMMYFUNCTION("""COMPUTED_VALUE"""),0.673362204859918)</f>
        <v>0.6733622049</v>
      </c>
      <c r="K3196" s="165">
        <f>IFERROR(__xludf.DUMMYFUNCTION("""COMPUTED_VALUE"""),1.08509454499778)</f>
        <v>1.085094545</v>
      </c>
      <c r="L3196" s="165">
        <f>IFERROR(__xludf.DUMMYFUNCTION("""COMPUTED_VALUE"""),-0.411732340137864)</f>
        <v>-0.4117323401</v>
      </c>
      <c r="M3196" s="166">
        <f t="shared" si="2"/>
        <v>1.831359983</v>
      </c>
      <c r="N3196" s="167">
        <f t="shared" si="3"/>
        <v>24.1529386</v>
      </c>
      <c r="O3196" s="163">
        <f t="shared" ref="O3196:Q3196" si="3200">rank(I3196,I:I)</f>
        <v>2361</v>
      </c>
      <c r="P3196" s="163">
        <f t="shared" si="3200"/>
        <v>809</v>
      </c>
      <c r="Q3196" s="163">
        <f t="shared" si="3200"/>
        <v>458</v>
      </c>
      <c r="R3196" s="163">
        <f>IFERROR(__xludf.DUMMYFUNCTION("RANK(M3196,filter(M:M,C:C=C3196))"),167.0)</f>
        <v>167</v>
      </c>
      <c r="S3196" s="161" t="b">
        <f t="shared" si="5"/>
        <v>0</v>
      </c>
      <c r="T3196" s="161" t="b">
        <f t="array" ref="T3196">index('Query Tool'!B:B,match(H3196,'Query Tool'!C:C,0))</f>
        <v>1</v>
      </c>
      <c r="U3196" s="161" t="b">
        <f t="array" ref="U3196">index('Query Tool'!B:B,match(C3196,'Query Tool'!C:C,0))</f>
        <v>0</v>
      </c>
      <c r="V3196" s="161" t="b">
        <f>F3196&gt;='Query Tool'!C$32</f>
        <v>1</v>
      </c>
      <c r="W3196" s="161" t="b">
        <f t="array" ref="W3196">index(Dropdowns!B:B,match(I3196,Dropdowns!A:A,0))</f>
        <v>1</v>
      </c>
      <c r="X3196" s="161" t="b">
        <f t="array" ref="X3196">index('Query Tool'!B:B,match(D3196,'Query Tool'!C:C,0))</f>
        <v>1</v>
      </c>
      <c r="Y3196" s="161" t="str">
        <f t="shared" si="6"/>
        <v>parkeja01,2019-20</v>
      </c>
      <c r="Z3196" s="168" t="str">
        <f t="array" ref="Z3196">iferror(index(I:I,match($A3196&amp;","&amp;index('Year Conversion'!$A:$A,match($C3196,'Year Conversion'!$B:$B,0)),$Y:$Y,0))-I3196,"")</f>
        <v/>
      </c>
      <c r="AA3196" s="168" t="str">
        <f t="array" ref="AA3196">iferror(index(J:J,match($A3196&amp;","&amp;index('Year Conversion'!$A:$A,match($C3196,'Year Conversion'!$B:$B,0)),$Y:$Y,0))-J3196,"")</f>
        <v/>
      </c>
      <c r="AB3196" s="168" t="str">
        <f t="array" ref="AB3196">iferror(index(K:K,match($A3196&amp;","&amp;index('Year Conversion'!$A:$A,match($C3196,'Year Conversion'!$B:$B,0)),$Y:$Y,0))-K3196,"")</f>
        <v/>
      </c>
      <c r="AC3196" s="168" t="str">
        <f t="shared" si="7"/>
        <v>TOT,2019-20</v>
      </c>
    </row>
    <row r="3197">
      <c r="A3197" s="161" t="str">
        <f>IFERROR(__xludf.DUMMYFUNCTION("""COMPUTED_VALUE"""),"embiijo01")</f>
        <v>embiijo01</v>
      </c>
      <c r="B3197" s="161" t="str">
        <f>IFERROR(__xludf.DUMMYFUNCTION("""COMPUTED_VALUE"""),"Joel Embiid")</f>
        <v>Joel Embiid</v>
      </c>
      <c r="C3197" s="162" t="str">
        <f>IFERROR(__xludf.DUMMYFUNCTION("""COMPUTED_VALUE"""),"2019-20")</f>
        <v>2019-20</v>
      </c>
      <c r="D3197" s="163" t="str">
        <f>IFERROR(__xludf.DUMMYFUNCTION("""COMPUTED_VALUE"""),"PHI")</f>
        <v>PHI</v>
      </c>
      <c r="E3197" s="164" t="str">
        <f>IFERROR(__xludf.DUMMYFUNCTION("""COMPUTED_VALUE"""),"Post Scorer")</f>
        <v>Post Scorer</v>
      </c>
      <c r="F3197" s="164">
        <f>IFERROR(__xludf.DUMMYFUNCTION("""COMPUTED_VALUE"""),1505.815)</f>
        <v>1505.815</v>
      </c>
      <c r="G3197" s="163">
        <f>IFERROR(__xludf.DUMMYFUNCTION("""COMPUTED_VALUE"""),51.0)</f>
        <v>51</v>
      </c>
      <c r="H3197" s="163" t="str">
        <f>IFERROR(__xludf.DUMMYFUNCTION("""COMPUTED_VALUE"""),"C")</f>
        <v>C</v>
      </c>
      <c r="I3197" s="163">
        <f>IFERROR(__xludf.DUMMYFUNCTION("""COMPUTED_VALUE"""),25.0)</f>
        <v>25</v>
      </c>
      <c r="J3197" s="165">
        <f>IFERROR(__xludf.DUMMYFUNCTION("""COMPUTED_VALUE"""),3.73168277963308)</f>
        <v>3.73168278</v>
      </c>
      <c r="K3197" s="165">
        <f>IFERROR(__xludf.DUMMYFUNCTION("""COMPUTED_VALUE"""),1.53397061428627)</f>
        <v>1.533970614</v>
      </c>
      <c r="L3197" s="165">
        <f>IFERROR(__xludf.DUMMYFUNCTION("""COMPUTED_VALUE"""),2.19771216534681)</f>
        <v>2.197712165</v>
      </c>
      <c r="M3197" s="166">
        <f t="shared" si="2"/>
        <v>6.038259598</v>
      </c>
      <c r="N3197" s="167">
        <f t="shared" si="3"/>
        <v>29.52578431</v>
      </c>
      <c r="O3197" s="163">
        <f t="shared" ref="O3197:Q3197" si="3201">rank(I3197,I:I)</f>
        <v>1995</v>
      </c>
      <c r="P3197" s="163">
        <f t="shared" si="3201"/>
        <v>116</v>
      </c>
      <c r="Q3197" s="163">
        <f t="shared" si="3201"/>
        <v>310</v>
      </c>
      <c r="R3197" s="163">
        <f>IFERROR(__xludf.DUMMYFUNCTION("RANK(M3197,filter(M:M,C:C=C3197))"),26.0)</f>
        <v>26</v>
      </c>
      <c r="S3197" s="161" t="b">
        <f t="shared" si="5"/>
        <v>0</v>
      </c>
      <c r="T3197" s="161" t="b">
        <f t="array" ref="T3197">index('Query Tool'!B:B,match(H3197,'Query Tool'!C:C,0))</f>
        <v>1</v>
      </c>
      <c r="U3197" s="161" t="b">
        <f t="array" ref="U3197">index('Query Tool'!B:B,match(C3197,'Query Tool'!C:C,0))</f>
        <v>0</v>
      </c>
      <c r="V3197" s="161" t="b">
        <f>F3197&gt;='Query Tool'!C$32</f>
        <v>1</v>
      </c>
      <c r="W3197" s="161" t="b">
        <f t="array" ref="W3197">index(Dropdowns!B:B,match(I3197,Dropdowns!A:A,0))</f>
        <v>1</v>
      </c>
      <c r="X3197" s="161" t="b">
        <f t="array" ref="X3197">index('Query Tool'!B:B,match(D3197,'Query Tool'!C:C,0))</f>
        <v>1</v>
      </c>
      <c r="Y3197" s="161" t="str">
        <f t="shared" si="6"/>
        <v>embiijo01,2019-20</v>
      </c>
      <c r="Z3197" s="168" t="str">
        <f t="array" ref="Z3197">iferror(index(I:I,match($A3197&amp;","&amp;index('Year Conversion'!$A:$A,match($C3197,'Year Conversion'!$B:$B,0)),$Y:$Y,0))-I3197,"")</f>
        <v/>
      </c>
      <c r="AA3197" s="168" t="str">
        <f t="array" ref="AA3197">iferror(index(J:J,match($A3197&amp;","&amp;index('Year Conversion'!$A:$A,match($C3197,'Year Conversion'!$B:$B,0)),$Y:$Y,0))-J3197,"")</f>
        <v/>
      </c>
      <c r="AB3197" s="168" t="str">
        <f t="array" ref="AB3197">iferror(index(K:K,match($A3197&amp;","&amp;index('Year Conversion'!$A:$A,match($C3197,'Year Conversion'!$B:$B,0)),$Y:$Y,0))-K3197,"")</f>
        <v/>
      </c>
      <c r="AC3197" s="168" t="str">
        <f t="shared" si="7"/>
        <v>PHI,2019-20</v>
      </c>
    </row>
    <row r="3198">
      <c r="A3198" s="161" t="str">
        <f>IFERROR(__xludf.DUMMYFUNCTION("""COMPUTED_VALUE"""),"exumda01")</f>
        <v>exumda01</v>
      </c>
      <c r="B3198" s="161" t="str">
        <f>IFERROR(__xludf.DUMMYFUNCTION("""COMPUTED_VALUE"""),"Dante Exum")</f>
        <v>Dante Exum</v>
      </c>
      <c r="C3198" s="162" t="str">
        <f>IFERROR(__xludf.DUMMYFUNCTION("""COMPUTED_VALUE"""),"2019-20")</f>
        <v>2019-20</v>
      </c>
      <c r="D3198" s="163" t="str">
        <f>IFERROR(__xludf.DUMMYFUNCTION("""COMPUTED_VALUE"""),"TOT")</f>
        <v>TOT</v>
      </c>
      <c r="E3198" s="164" t="str">
        <f>IFERROR(__xludf.DUMMYFUNCTION("""COMPUTED_VALUE"""),"Secondary Ball Handler")</f>
        <v>Secondary Ball Handler</v>
      </c>
      <c r="F3198" s="164">
        <f>IFERROR(__xludf.DUMMYFUNCTION("""COMPUTED_VALUE"""),485.62)</f>
        <v>485.62</v>
      </c>
      <c r="G3198" s="163">
        <f>IFERROR(__xludf.DUMMYFUNCTION("""COMPUTED_VALUE"""),35.0)</f>
        <v>35</v>
      </c>
      <c r="H3198" s="163" t="str">
        <f>IFERROR(__xludf.DUMMYFUNCTION("""COMPUTED_VALUE"""),"SG")</f>
        <v>SG</v>
      </c>
      <c r="I3198" s="163">
        <f>IFERROR(__xludf.DUMMYFUNCTION("""COMPUTED_VALUE"""),24.0)</f>
        <v>24</v>
      </c>
      <c r="J3198" s="165">
        <f>IFERROR(__xludf.DUMMYFUNCTION("""COMPUTED_VALUE"""),-1.35182672582032)</f>
        <v>-1.351826726</v>
      </c>
      <c r="K3198" s="165">
        <f>IFERROR(__xludf.DUMMYFUNCTION("""COMPUTED_VALUE"""),-1.66968446202344)</f>
        <v>-1.669684462</v>
      </c>
      <c r="L3198" s="165">
        <f>IFERROR(__xludf.DUMMYFUNCTION("""COMPUTED_VALUE"""),0.317857736203114)</f>
        <v>0.3178577362</v>
      </c>
      <c r="M3198" s="166">
        <f t="shared" si="2"/>
        <v>0.3071961834</v>
      </c>
      <c r="N3198" s="167">
        <f t="shared" si="3"/>
        <v>13.87485714</v>
      </c>
      <c r="O3198" s="163">
        <f t="shared" ref="O3198:Q3198" si="3202">rank(I3198,I:I)</f>
        <v>2361</v>
      </c>
      <c r="P3198" s="163">
        <f t="shared" si="3202"/>
        <v>2909</v>
      </c>
      <c r="Q3198" s="163">
        <f t="shared" si="3202"/>
        <v>3498</v>
      </c>
      <c r="R3198" s="163">
        <f>IFERROR(__xludf.DUMMYFUNCTION("RANK(M3198,filter(M:M,C:C=C3198))"),300.0)</f>
        <v>300</v>
      </c>
      <c r="S3198" s="161" t="b">
        <f t="shared" si="5"/>
        <v>0</v>
      </c>
      <c r="T3198" s="161" t="b">
        <f t="array" ref="T3198">index('Query Tool'!B:B,match(H3198,'Query Tool'!C:C,0))</f>
        <v>1</v>
      </c>
      <c r="U3198" s="161" t="b">
        <f t="array" ref="U3198">index('Query Tool'!B:B,match(C3198,'Query Tool'!C:C,0))</f>
        <v>0</v>
      </c>
      <c r="V3198" s="161" t="b">
        <f>F3198&gt;='Query Tool'!C$32</f>
        <v>0</v>
      </c>
      <c r="W3198" s="161" t="b">
        <f t="array" ref="W3198">index(Dropdowns!B:B,match(I3198,Dropdowns!A:A,0))</f>
        <v>1</v>
      </c>
      <c r="X3198" s="161" t="b">
        <f t="array" ref="X3198">index('Query Tool'!B:B,match(D3198,'Query Tool'!C:C,0))</f>
        <v>1</v>
      </c>
      <c r="Y3198" s="161" t="str">
        <f t="shared" si="6"/>
        <v>exumda01,2019-20</v>
      </c>
      <c r="Z3198" s="168" t="str">
        <f t="array" ref="Z3198">iferror(index(I:I,match($A3198&amp;","&amp;index('Year Conversion'!$A:$A,match($C3198,'Year Conversion'!$B:$B,0)),$Y:$Y,0))-I3198,"")</f>
        <v/>
      </c>
      <c r="AA3198" s="168" t="str">
        <f t="array" ref="AA3198">iferror(index(J:J,match($A3198&amp;","&amp;index('Year Conversion'!$A:$A,match($C3198,'Year Conversion'!$B:$B,0)),$Y:$Y,0))-J3198,"")</f>
        <v/>
      </c>
      <c r="AB3198" s="168" t="str">
        <f t="array" ref="AB3198">iferror(index(K:K,match($A3198&amp;","&amp;index('Year Conversion'!$A:$A,match($C3198,'Year Conversion'!$B:$B,0)),$Y:$Y,0))-K3198,"")</f>
        <v/>
      </c>
      <c r="AC3198" s="168" t="str">
        <f t="shared" si="7"/>
        <v>TOT,2019-20</v>
      </c>
    </row>
    <row r="3199">
      <c r="A3199" s="161" t="str">
        <f>IFERROR(__xludf.DUMMYFUNCTION("""COMPUTED_VALUE"""),"sampsja02")</f>
        <v>sampsja02</v>
      </c>
      <c r="B3199" s="161" t="str">
        <f>IFERROR(__xludf.DUMMYFUNCTION("""COMPUTED_VALUE"""),"JaKarr Sampson")</f>
        <v>JaKarr Sampson</v>
      </c>
      <c r="C3199" s="162" t="str">
        <f>IFERROR(__xludf.DUMMYFUNCTION("""COMPUTED_VALUE"""),"2019-20")</f>
        <v>2019-20</v>
      </c>
      <c r="D3199" s="163" t="str">
        <f>IFERROR(__xludf.DUMMYFUNCTION("""COMPUTED_VALUE"""),"IND")</f>
        <v>IND</v>
      </c>
      <c r="E3199" s="164" t="str">
        <f>IFERROR(__xludf.DUMMYFUNCTION("""COMPUTED_VALUE"""),"Roll + Cut Big")</f>
        <v>Roll + Cut Big</v>
      </c>
      <c r="F3199" s="164">
        <f>IFERROR(__xludf.DUMMYFUNCTION("""COMPUTED_VALUE"""),470.645)</f>
        <v>470.645</v>
      </c>
      <c r="G3199" s="163">
        <f>IFERROR(__xludf.DUMMYFUNCTION("""COMPUTED_VALUE"""),34.0)</f>
        <v>34</v>
      </c>
      <c r="H3199" s="163" t="str">
        <f>IFERROR(__xludf.DUMMYFUNCTION("""COMPUTED_VALUE"""),"PF")</f>
        <v>PF</v>
      </c>
      <c r="I3199" s="163">
        <f>IFERROR(__xludf.DUMMYFUNCTION("""COMPUTED_VALUE"""),26.0)</f>
        <v>26</v>
      </c>
      <c r="J3199" s="165">
        <f>IFERROR(__xludf.DUMMYFUNCTION("""COMPUTED_VALUE"""),-0.785634754970852)</f>
        <v>-0.785634755</v>
      </c>
      <c r="K3199" s="165">
        <f>IFERROR(__xludf.DUMMYFUNCTION("""COMPUTED_VALUE"""),-1.67987817691448)</f>
        <v>-1.679878177</v>
      </c>
      <c r="L3199" s="165">
        <f>IFERROR(__xludf.DUMMYFUNCTION("""COMPUTED_VALUE"""),0.894243421943623)</f>
        <v>0.8942434219</v>
      </c>
      <c r="M3199" s="166">
        <f t="shared" si="2"/>
        <v>0.4765061323</v>
      </c>
      <c r="N3199" s="167">
        <f t="shared" si="3"/>
        <v>13.8425</v>
      </c>
      <c r="O3199" s="163">
        <f t="shared" ref="O3199:Q3199" si="3203">rank(I3199,I:I)</f>
        <v>1665</v>
      </c>
      <c r="P3199" s="163">
        <f t="shared" si="3203"/>
        <v>2256</v>
      </c>
      <c r="Q3199" s="163">
        <f t="shared" si="3203"/>
        <v>3504</v>
      </c>
      <c r="R3199" s="163">
        <f>IFERROR(__xludf.DUMMYFUNCTION("RANK(M3199,filter(M:M,C:C=C3199))"),263.0)</f>
        <v>263</v>
      </c>
      <c r="S3199" s="161" t="b">
        <f t="shared" si="5"/>
        <v>0</v>
      </c>
      <c r="T3199" s="161" t="b">
        <f t="array" ref="T3199">index('Query Tool'!B:B,match(H3199,'Query Tool'!C:C,0))</f>
        <v>1</v>
      </c>
      <c r="U3199" s="161" t="b">
        <f t="array" ref="U3199">index('Query Tool'!B:B,match(C3199,'Query Tool'!C:C,0))</f>
        <v>0</v>
      </c>
      <c r="V3199" s="161" t="b">
        <f>F3199&gt;='Query Tool'!C$32</f>
        <v>0</v>
      </c>
      <c r="W3199" s="161" t="b">
        <f t="array" ref="W3199">index(Dropdowns!B:B,match(I3199,Dropdowns!A:A,0))</f>
        <v>1</v>
      </c>
      <c r="X3199" s="161" t="b">
        <f t="array" ref="X3199">index('Query Tool'!B:B,match(D3199,'Query Tool'!C:C,0))</f>
        <v>1</v>
      </c>
      <c r="Y3199" s="161" t="str">
        <f t="shared" si="6"/>
        <v>sampsja02,2019-20</v>
      </c>
      <c r="Z3199" s="168" t="str">
        <f t="array" ref="Z3199">iferror(index(I:I,match($A3199&amp;","&amp;index('Year Conversion'!$A:$A,match($C3199,'Year Conversion'!$B:$B,0)),$Y:$Y,0))-I3199,"")</f>
        <v/>
      </c>
      <c r="AA3199" s="168" t="str">
        <f t="array" ref="AA3199">iferror(index(J:J,match($A3199&amp;","&amp;index('Year Conversion'!$A:$A,match($C3199,'Year Conversion'!$B:$B,0)),$Y:$Y,0))-J3199,"")</f>
        <v/>
      </c>
      <c r="AB3199" s="168" t="str">
        <f t="array" ref="AB3199">iferror(index(K:K,match($A3199&amp;","&amp;index('Year Conversion'!$A:$A,match($C3199,'Year Conversion'!$B:$B,0)),$Y:$Y,0))-K3199,"")</f>
        <v/>
      </c>
      <c r="AC3199" s="168" t="str">
        <f t="shared" si="7"/>
        <v>IND,2019-20</v>
      </c>
    </row>
    <row r="3200">
      <c r="A3200" s="161" t="str">
        <f>IFERROR(__xludf.DUMMYFUNCTION("""COMPUTED_VALUE"""),"saricda01")</f>
        <v>saricda01</v>
      </c>
      <c r="B3200" s="161" t="str">
        <f>IFERROR(__xludf.DUMMYFUNCTION("""COMPUTED_VALUE"""),"Dario Saric")</f>
        <v>Dario Saric</v>
      </c>
      <c r="C3200" s="162" t="str">
        <f>IFERROR(__xludf.DUMMYFUNCTION("""COMPUTED_VALUE"""),"2019-20")</f>
        <v>2019-20</v>
      </c>
      <c r="D3200" s="163" t="str">
        <f>IFERROR(__xludf.DUMMYFUNCTION("""COMPUTED_VALUE"""),"PHO")</f>
        <v>PHO</v>
      </c>
      <c r="E3200" s="164" t="str">
        <f>IFERROR(__xludf.DUMMYFUNCTION("""COMPUTED_VALUE"""),"Stretch Big")</f>
        <v>Stretch Big</v>
      </c>
      <c r="F3200" s="164">
        <f>IFERROR(__xludf.DUMMYFUNCTION("""COMPUTED_VALUE"""),1631.78166666667)</f>
        <v>1631.781667</v>
      </c>
      <c r="G3200" s="163">
        <f>IFERROR(__xludf.DUMMYFUNCTION("""COMPUTED_VALUE"""),66.0)</f>
        <v>66</v>
      </c>
      <c r="H3200" s="163" t="str">
        <f>IFERROR(__xludf.DUMMYFUNCTION("""COMPUTED_VALUE"""),"PF")</f>
        <v>PF</v>
      </c>
      <c r="I3200" s="163">
        <f>IFERROR(__xludf.DUMMYFUNCTION("""COMPUTED_VALUE"""),25.0)</f>
        <v>25</v>
      </c>
      <c r="J3200" s="165">
        <f>IFERROR(__xludf.DUMMYFUNCTION("""COMPUTED_VALUE"""),-0.661919273037416)</f>
        <v>-0.661919273</v>
      </c>
      <c r="K3200" s="165">
        <f>IFERROR(__xludf.DUMMYFUNCTION("""COMPUTED_VALUE"""),-0.60682799971755)</f>
        <v>-0.6068279997</v>
      </c>
      <c r="L3200" s="165">
        <f>IFERROR(__xludf.DUMMYFUNCTION("""COMPUTED_VALUE"""),-0.0550912733198663)</f>
        <v>-0.05509127332</v>
      </c>
      <c r="M3200" s="166">
        <f t="shared" si="2"/>
        <v>1.787908664</v>
      </c>
      <c r="N3200" s="167">
        <f t="shared" si="3"/>
        <v>24.72396465</v>
      </c>
      <c r="O3200" s="163">
        <f t="shared" ref="O3200:Q3200" si="3204">rank(I3200,I:I)</f>
        <v>1995</v>
      </c>
      <c r="P3200" s="163">
        <f t="shared" si="3204"/>
        <v>2081</v>
      </c>
      <c r="Q3200" s="163">
        <f t="shared" si="3204"/>
        <v>2271</v>
      </c>
      <c r="R3200" s="163">
        <f>IFERROR(__xludf.DUMMYFUNCTION("RANK(M3200,filter(M:M,C:C=C3200))"),169.0)</f>
        <v>169</v>
      </c>
      <c r="S3200" s="161" t="b">
        <f t="shared" si="5"/>
        <v>0</v>
      </c>
      <c r="T3200" s="161" t="b">
        <f t="array" ref="T3200">index('Query Tool'!B:B,match(H3200,'Query Tool'!C:C,0))</f>
        <v>1</v>
      </c>
      <c r="U3200" s="161" t="b">
        <f t="array" ref="U3200">index('Query Tool'!B:B,match(C3200,'Query Tool'!C:C,0))</f>
        <v>0</v>
      </c>
      <c r="V3200" s="161" t="b">
        <f>F3200&gt;='Query Tool'!C$32</f>
        <v>1</v>
      </c>
      <c r="W3200" s="161" t="b">
        <f t="array" ref="W3200">index(Dropdowns!B:B,match(I3200,Dropdowns!A:A,0))</f>
        <v>1</v>
      </c>
      <c r="X3200" s="161" t="b">
        <f t="array" ref="X3200">index('Query Tool'!B:B,match(D3200,'Query Tool'!C:C,0))</f>
        <v>1</v>
      </c>
      <c r="Y3200" s="161" t="str">
        <f t="shared" si="6"/>
        <v>saricda01,2019-20</v>
      </c>
      <c r="Z3200" s="168" t="str">
        <f t="array" ref="Z3200">iferror(index(I:I,match($A3200&amp;","&amp;index('Year Conversion'!$A:$A,match($C3200,'Year Conversion'!$B:$B,0)),$Y:$Y,0))-I3200,"")</f>
        <v/>
      </c>
      <c r="AA3200" s="168" t="str">
        <f t="array" ref="AA3200">iferror(index(J:J,match($A3200&amp;","&amp;index('Year Conversion'!$A:$A,match($C3200,'Year Conversion'!$B:$B,0)),$Y:$Y,0))-J3200,"")</f>
        <v/>
      </c>
      <c r="AB3200" s="168" t="str">
        <f t="array" ref="AB3200">iferror(index(K:K,match($A3200&amp;","&amp;index('Year Conversion'!$A:$A,match($C3200,'Year Conversion'!$B:$B,0)),$Y:$Y,0))-K3200,"")</f>
        <v/>
      </c>
      <c r="AC3200" s="168" t="str">
        <f t="shared" si="7"/>
        <v>PHO,2019-20</v>
      </c>
    </row>
    <row r="3201">
      <c r="A3201" s="161" t="str">
        <f>IFERROR(__xludf.DUMMYFUNCTION("""COMPUTED_VALUE"""),"capelca01")</f>
        <v>capelca01</v>
      </c>
      <c r="B3201" s="161" t="str">
        <f>IFERROR(__xludf.DUMMYFUNCTION("""COMPUTED_VALUE"""),"Clint Capela")</f>
        <v>Clint Capela</v>
      </c>
      <c r="C3201" s="162" t="str">
        <f>IFERROR(__xludf.DUMMYFUNCTION("""COMPUTED_VALUE"""),"2019-20")</f>
        <v>2019-20</v>
      </c>
      <c r="D3201" s="163" t="str">
        <f>IFERROR(__xludf.DUMMYFUNCTION("""COMPUTED_VALUE"""),"HOU")</f>
        <v>HOU</v>
      </c>
      <c r="E3201" s="164" t="str">
        <f>IFERROR(__xludf.DUMMYFUNCTION("""COMPUTED_VALUE"""),"Roll + Cut Big")</f>
        <v>Roll + Cut Big</v>
      </c>
      <c r="F3201" s="164">
        <f>IFERROR(__xludf.DUMMYFUNCTION("""COMPUTED_VALUE"""),1279.30333333333)</f>
        <v>1279.303333</v>
      </c>
      <c r="G3201" s="163">
        <f>IFERROR(__xludf.DUMMYFUNCTION("""COMPUTED_VALUE"""),39.0)</f>
        <v>39</v>
      </c>
      <c r="H3201" s="163" t="str">
        <f>IFERROR(__xludf.DUMMYFUNCTION("""COMPUTED_VALUE"""),"C")</f>
        <v>C</v>
      </c>
      <c r="I3201" s="163">
        <f>IFERROR(__xludf.DUMMYFUNCTION("""COMPUTED_VALUE"""),25.0)</f>
        <v>25</v>
      </c>
      <c r="J3201" s="165">
        <f>IFERROR(__xludf.DUMMYFUNCTION("""COMPUTED_VALUE"""),0.823415704793167)</f>
        <v>0.8234157048</v>
      </c>
      <c r="K3201" s="165">
        <f>IFERROR(__xludf.DUMMYFUNCTION("""COMPUTED_VALUE"""),-0.954940539994274)</f>
        <v>-0.95494054</v>
      </c>
      <c r="L3201" s="165">
        <f>IFERROR(__xludf.DUMMYFUNCTION("""COMPUTED_VALUE"""),1.77835624478744)</f>
        <v>1.778356245</v>
      </c>
      <c r="M3201" s="166">
        <f t="shared" si="2"/>
        <v>2.681781654</v>
      </c>
      <c r="N3201" s="167">
        <f t="shared" si="3"/>
        <v>32.80264957</v>
      </c>
      <c r="O3201" s="163">
        <f t="shared" ref="O3201:Q3201" si="3205">rank(I3201,I:I)</f>
        <v>1995</v>
      </c>
      <c r="P3201" s="163">
        <f t="shared" si="3205"/>
        <v>723</v>
      </c>
      <c r="Q3201" s="163">
        <f t="shared" si="3205"/>
        <v>2752</v>
      </c>
      <c r="R3201" s="163">
        <f>IFERROR(__xludf.DUMMYFUNCTION("RANK(M3201,filter(M:M,C:C=C3201))"),113.0)</f>
        <v>113</v>
      </c>
      <c r="S3201" s="161" t="b">
        <f t="shared" si="5"/>
        <v>0</v>
      </c>
      <c r="T3201" s="161" t="b">
        <f t="array" ref="T3201">index('Query Tool'!B:B,match(H3201,'Query Tool'!C:C,0))</f>
        <v>1</v>
      </c>
      <c r="U3201" s="161" t="b">
        <f t="array" ref="U3201">index('Query Tool'!B:B,match(C3201,'Query Tool'!C:C,0))</f>
        <v>0</v>
      </c>
      <c r="V3201" s="161" t="b">
        <f>F3201&gt;='Query Tool'!C$32</f>
        <v>1</v>
      </c>
      <c r="W3201" s="161" t="b">
        <f t="array" ref="W3201">index(Dropdowns!B:B,match(I3201,Dropdowns!A:A,0))</f>
        <v>1</v>
      </c>
      <c r="X3201" s="161" t="b">
        <f t="array" ref="X3201">index('Query Tool'!B:B,match(D3201,'Query Tool'!C:C,0))</f>
        <v>1</v>
      </c>
      <c r="Y3201" s="161" t="str">
        <f t="shared" si="6"/>
        <v>capelca01,2019-20</v>
      </c>
      <c r="Z3201" s="168" t="str">
        <f t="array" ref="Z3201">iferror(index(I:I,match($A3201&amp;","&amp;index('Year Conversion'!$A:$A,match($C3201,'Year Conversion'!$B:$B,0)),$Y:$Y,0))-I3201,"")</f>
        <v/>
      </c>
      <c r="AA3201" s="168" t="str">
        <f t="array" ref="AA3201">iferror(index(J:J,match($A3201&amp;","&amp;index('Year Conversion'!$A:$A,match($C3201,'Year Conversion'!$B:$B,0)),$Y:$Y,0))-J3201,"")</f>
        <v/>
      </c>
      <c r="AB3201" s="168" t="str">
        <f t="array" ref="AB3201">iferror(index(K:K,match($A3201&amp;","&amp;index('Year Conversion'!$A:$A,match($C3201,'Year Conversion'!$B:$B,0)),$Y:$Y,0))-K3201,"")</f>
        <v/>
      </c>
      <c r="AC3201" s="168" t="str">
        <f t="shared" si="7"/>
        <v>HOU,2019-20</v>
      </c>
    </row>
    <row r="3202">
      <c r="A3202" s="161" t="str">
        <f>IFERROR(__xludf.DUMMYFUNCTION("""COMPUTED_VALUE"""),"bogdabo01")</f>
        <v>bogdabo01</v>
      </c>
      <c r="B3202" s="161" t="str">
        <f>IFERROR(__xludf.DUMMYFUNCTION("""COMPUTED_VALUE"""),"Bogdan Bogdanovic")</f>
        <v>Bogdan Bogdanovic</v>
      </c>
      <c r="C3202" s="162" t="str">
        <f>IFERROR(__xludf.DUMMYFUNCTION("""COMPUTED_VALUE"""),"2019-20")</f>
        <v>2019-20</v>
      </c>
      <c r="D3202" s="163" t="str">
        <f>IFERROR(__xludf.DUMMYFUNCTION("""COMPUTED_VALUE"""),"SAC")</f>
        <v>SAC</v>
      </c>
      <c r="E3202" s="164" t="str">
        <f>IFERROR(__xludf.DUMMYFUNCTION("""COMPUTED_VALUE"""),"Secondary Ball Handler")</f>
        <v>Secondary Ball Handler</v>
      </c>
      <c r="F3202" s="164">
        <f>IFERROR(__xludf.DUMMYFUNCTION("""COMPUTED_VALUE"""),1765.82666666667)</f>
        <v>1765.826667</v>
      </c>
      <c r="G3202" s="163">
        <f>IFERROR(__xludf.DUMMYFUNCTION("""COMPUTED_VALUE"""),61.0)</f>
        <v>61</v>
      </c>
      <c r="H3202" s="163" t="str">
        <f>IFERROR(__xludf.DUMMYFUNCTION("""COMPUTED_VALUE"""),"SG")</f>
        <v>SG</v>
      </c>
      <c r="I3202" s="163">
        <f>IFERROR(__xludf.DUMMYFUNCTION("""COMPUTED_VALUE"""),27.0)</f>
        <v>27</v>
      </c>
      <c r="J3202" s="165">
        <f>IFERROR(__xludf.DUMMYFUNCTION("""COMPUTED_VALUE"""),-0.53115307710186)</f>
        <v>-0.5311530771</v>
      </c>
      <c r="K3202" s="165">
        <f>IFERROR(__xludf.DUMMYFUNCTION("""COMPUTED_VALUE"""),0.783838325399384)</f>
        <v>0.7838383254</v>
      </c>
      <c r="L3202" s="165">
        <f>IFERROR(__xludf.DUMMYFUNCTION("""COMPUTED_VALUE"""),-1.31499140250124)</f>
        <v>-1.314991403</v>
      </c>
      <c r="M3202" s="166">
        <f t="shared" si="2"/>
        <v>2.090224833</v>
      </c>
      <c r="N3202" s="167">
        <f t="shared" si="3"/>
        <v>28.94797814</v>
      </c>
      <c r="O3202" s="163">
        <f t="shared" ref="O3202:Q3202" si="3206">rank(I3202,I:I)</f>
        <v>1366</v>
      </c>
      <c r="P3202" s="163">
        <f t="shared" si="3206"/>
        <v>1895</v>
      </c>
      <c r="Q3202" s="163">
        <f t="shared" si="3206"/>
        <v>607</v>
      </c>
      <c r="R3202" s="163">
        <f>IFERROR(__xludf.DUMMYFUNCTION("RANK(M3202,filter(M:M,C:C=C3202))"),148.0)</f>
        <v>148</v>
      </c>
      <c r="S3202" s="161" t="b">
        <f t="shared" si="5"/>
        <v>0</v>
      </c>
      <c r="T3202" s="161" t="b">
        <f t="array" ref="T3202">index('Query Tool'!B:B,match(H3202,'Query Tool'!C:C,0))</f>
        <v>1</v>
      </c>
      <c r="U3202" s="161" t="b">
        <f t="array" ref="U3202">index('Query Tool'!B:B,match(C3202,'Query Tool'!C:C,0))</f>
        <v>0</v>
      </c>
      <c r="V3202" s="161" t="b">
        <f>F3202&gt;='Query Tool'!C$32</f>
        <v>1</v>
      </c>
      <c r="W3202" s="161" t="b">
        <f t="array" ref="W3202">index(Dropdowns!B:B,match(I3202,Dropdowns!A:A,0))</f>
        <v>1</v>
      </c>
      <c r="X3202" s="161" t="b">
        <f t="array" ref="X3202">index('Query Tool'!B:B,match(D3202,'Query Tool'!C:C,0))</f>
        <v>1</v>
      </c>
      <c r="Y3202" s="161" t="str">
        <f t="shared" si="6"/>
        <v>bogdabo01,2019-20</v>
      </c>
      <c r="Z3202" s="168" t="str">
        <f t="array" ref="Z3202">iferror(index(I:I,match($A3202&amp;","&amp;index('Year Conversion'!$A:$A,match($C3202,'Year Conversion'!$B:$B,0)),$Y:$Y,0))-I3202,"")</f>
        <v/>
      </c>
      <c r="AA3202" s="168" t="str">
        <f t="array" ref="AA3202">iferror(index(J:J,match($A3202&amp;","&amp;index('Year Conversion'!$A:$A,match($C3202,'Year Conversion'!$B:$B,0)),$Y:$Y,0))-J3202,"")</f>
        <v/>
      </c>
      <c r="AB3202" s="168" t="str">
        <f t="array" ref="AB3202">iferror(index(K:K,match($A3202&amp;","&amp;index('Year Conversion'!$A:$A,match($C3202,'Year Conversion'!$B:$B,0)),$Y:$Y,0))-K3202,"")</f>
        <v/>
      </c>
      <c r="AC3202" s="168" t="str">
        <f t="shared" si="7"/>
        <v>SAC,2019-20</v>
      </c>
    </row>
    <row r="3203">
      <c r="A3203" s="161" t="str">
        <f>IFERROR(__xludf.DUMMYFUNCTION("""COMPUTED_VALUE"""),"nurkiju01")</f>
        <v>nurkiju01</v>
      </c>
      <c r="B3203" s="161" t="str">
        <f>IFERROR(__xludf.DUMMYFUNCTION("""COMPUTED_VALUE"""),"Jusuf Nurkic")</f>
        <v>Jusuf Nurkic</v>
      </c>
      <c r="C3203" s="162" t="str">
        <f>IFERROR(__xludf.DUMMYFUNCTION("""COMPUTED_VALUE"""),"2019-20")</f>
        <v>2019-20</v>
      </c>
      <c r="D3203" s="163" t="str">
        <f>IFERROR(__xludf.DUMMYFUNCTION("""COMPUTED_VALUE"""),"POR")</f>
        <v>POR</v>
      </c>
      <c r="E3203" s="164" t="str">
        <f>IFERROR(__xludf.DUMMYFUNCTION("""COMPUTED_VALUE"""),"Post Scorer")</f>
        <v>Post Scorer</v>
      </c>
      <c r="F3203" s="164">
        <f>IFERROR(__xludf.DUMMYFUNCTION("""COMPUTED_VALUE"""),253.138333333333)</f>
        <v>253.1383333</v>
      </c>
      <c r="G3203" s="163">
        <f>IFERROR(__xludf.DUMMYFUNCTION("""COMPUTED_VALUE"""),8.0)</f>
        <v>8</v>
      </c>
      <c r="H3203" s="163" t="str">
        <f>IFERROR(__xludf.DUMMYFUNCTION("""COMPUTED_VALUE"""),"C")</f>
        <v>C</v>
      </c>
      <c r="I3203" s="163">
        <f>IFERROR(__xludf.DUMMYFUNCTION("""COMPUTED_VALUE"""),25.0)</f>
        <v>25</v>
      </c>
      <c r="J3203" s="165">
        <f>IFERROR(__xludf.DUMMYFUNCTION("""COMPUTED_VALUE"""),2.12788165363765)</f>
        <v>2.127881654</v>
      </c>
      <c r="K3203" s="165">
        <f>IFERROR(__xludf.DUMMYFUNCTION("""COMPUTED_VALUE"""),0.817627057190028)</f>
        <v>0.8176270572</v>
      </c>
      <c r="L3203" s="165">
        <f>IFERROR(__xludf.DUMMYFUNCTION("""COMPUTED_VALUE"""),1.31025459644762)</f>
        <v>1.310254596</v>
      </c>
      <c r="M3203" s="166">
        <f t="shared" si="2"/>
        <v>0.7511390409</v>
      </c>
      <c r="N3203" s="167">
        <f t="shared" si="3"/>
        <v>31.64229167</v>
      </c>
      <c r="O3203" s="163">
        <f t="shared" ref="O3203:Q3203" si="3207">rank(I3203,I:I)</f>
        <v>1995</v>
      </c>
      <c r="P3203" s="163">
        <f t="shared" si="3207"/>
        <v>287</v>
      </c>
      <c r="Q3203" s="163">
        <f t="shared" si="3207"/>
        <v>595</v>
      </c>
      <c r="R3203" s="163">
        <f>IFERROR(__xludf.DUMMYFUNCTION("RANK(M3203,filter(M:M,C:C=C3203))"),230.0)</f>
        <v>230</v>
      </c>
      <c r="S3203" s="161" t="b">
        <f t="shared" si="5"/>
        <v>0</v>
      </c>
      <c r="T3203" s="161" t="b">
        <f t="array" ref="T3203">index('Query Tool'!B:B,match(H3203,'Query Tool'!C:C,0))</f>
        <v>1</v>
      </c>
      <c r="U3203" s="161" t="b">
        <f t="array" ref="U3203">index('Query Tool'!B:B,match(C3203,'Query Tool'!C:C,0))</f>
        <v>0</v>
      </c>
      <c r="V3203" s="161" t="b">
        <f>F3203&gt;='Query Tool'!C$32</f>
        <v>0</v>
      </c>
      <c r="W3203" s="161" t="b">
        <f t="array" ref="W3203">index(Dropdowns!B:B,match(I3203,Dropdowns!A:A,0))</f>
        <v>1</v>
      </c>
      <c r="X3203" s="161" t="b">
        <f t="array" ref="X3203">index('Query Tool'!B:B,match(D3203,'Query Tool'!C:C,0))</f>
        <v>1</v>
      </c>
      <c r="Y3203" s="161" t="str">
        <f t="shared" si="6"/>
        <v>nurkiju01,2019-20</v>
      </c>
      <c r="Z3203" s="168" t="str">
        <f t="array" ref="Z3203">iferror(index(I:I,match($A3203&amp;","&amp;index('Year Conversion'!$A:$A,match($C3203,'Year Conversion'!$B:$B,0)),$Y:$Y,0))-I3203,"")</f>
        <v/>
      </c>
      <c r="AA3203" s="168" t="str">
        <f t="array" ref="AA3203">iferror(index(J:J,match($A3203&amp;","&amp;index('Year Conversion'!$A:$A,match($C3203,'Year Conversion'!$B:$B,0)),$Y:$Y,0))-J3203,"")</f>
        <v/>
      </c>
      <c r="AB3203" s="168" t="str">
        <f t="array" ref="AB3203">iferror(index(K:K,match($A3203&amp;","&amp;index('Year Conversion'!$A:$A,match($C3203,'Year Conversion'!$B:$B,0)),$Y:$Y,0))-K3203,"")</f>
        <v/>
      </c>
      <c r="AC3203" s="168" t="str">
        <f t="shared" si="7"/>
        <v>POR,2019-20</v>
      </c>
    </row>
    <row r="3204">
      <c r="A3204" s="161" t="str">
        <f>IFERROR(__xludf.DUMMYFUNCTION("""COMPUTED_VALUE"""),"cabocbr01")</f>
        <v>cabocbr01</v>
      </c>
      <c r="B3204" s="161" t="str">
        <f>IFERROR(__xludf.DUMMYFUNCTION("""COMPUTED_VALUE"""),"Bruno Caboclo")</f>
        <v>Bruno Caboclo</v>
      </c>
      <c r="C3204" s="162" t="str">
        <f>IFERROR(__xludf.DUMMYFUNCTION("""COMPUTED_VALUE"""),"2019-20")</f>
        <v>2019-20</v>
      </c>
      <c r="D3204" s="163" t="str">
        <f>IFERROR(__xludf.DUMMYFUNCTION("""COMPUTED_VALUE"""),"TOT")</f>
        <v>TOT</v>
      </c>
      <c r="E3204" s="164" t="str">
        <f>IFERROR(__xludf.DUMMYFUNCTION("""COMPUTED_VALUE"""),"Stretch Big")</f>
        <v>Stretch Big</v>
      </c>
      <c r="F3204" s="164">
        <f>IFERROR(__xludf.DUMMYFUNCTION("""COMPUTED_VALUE"""),244.22)</f>
        <v>244.22</v>
      </c>
      <c r="G3204" s="163">
        <f>IFERROR(__xludf.DUMMYFUNCTION("""COMPUTED_VALUE"""),30.0)</f>
        <v>30</v>
      </c>
      <c r="H3204" s="163" t="str">
        <f>IFERROR(__xludf.DUMMYFUNCTION("""COMPUTED_VALUE"""),"C")</f>
        <v>C</v>
      </c>
      <c r="I3204" s="163">
        <f>IFERROR(__xludf.DUMMYFUNCTION("""COMPUTED_VALUE"""),24.0)</f>
        <v>24</v>
      </c>
      <c r="J3204" s="165">
        <f>IFERROR(__xludf.DUMMYFUNCTION("""COMPUTED_VALUE"""),0.0279177278754353)</f>
        <v>0.02791772788</v>
      </c>
      <c r="K3204" s="165">
        <f>IFERROR(__xludf.DUMMYFUNCTION("""COMPUTED_VALUE"""),-0.770899034820133)</f>
        <v>-0.7708990348</v>
      </c>
      <c r="L3204" s="165">
        <f>IFERROR(__xludf.DUMMYFUNCTION("""COMPUTED_VALUE"""),0.798816762695568)</f>
        <v>0.7988167627</v>
      </c>
      <c r="M3204" s="166">
        <f t="shared" si="2"/>
        <v>0.3811025</v>
      </c>
      <c r="N3204" s="167">
        <f t="shared" si="3"/>
        <v>8.140666667</v>
      </c>
      <c r="O3204" s="163">
        <f t="shared" ref="O3204:Q3204" si="3208">rank(I3204,I:I)</f>
        <v>2361</v>
      </c>
      <c r="P3204" s="163">
        <f t="shared" si="3208"/>
        <v>1267</v>
      </c>
      <c r="Q3204" s="163">
        <f t="shared" si="3208"/>
        <v>2514</v>
      </c>
      <c r="R3204" s="163">
        <f>IFERROR(__xludf.DUMMYFUNCTION("RANK(M3204,filter(M:M,C:C=C3204))"),279.0)</f>
        <v>279</v>
      </c>
      <c r="S3204" s="161" t="b">
        <f t="shared" si="5"/>
        <v>0</v>
      </c>
      <c r="T3204" s="161" t="b">
        <f t="array" ref="T3204">index('Query Tool'!B:B,match(H3204,'Query Tool'!C:C,0))</f>
        <v>1</v>
      </c>
      <c r="U3204" s="161" t="b">
        <f t="array" ref="U3204">index('Query Tool'!B:B,match(C3204,'Query Tool'!C:C,0))</f>
        <v>0</v>
      </c>
      <c r="V3204" s="161" t="b">
        <f>F3204&gt;='Query Tool'!C$32</f>
        <v>0</v>
      </c>
      <c r="W3204" s="161" t="b">
        <f t="array" ref="W3204">index(Dropdowns!B:B,match(I3204,Dropdowns!A:A,0))</f>
        <v>1</v>
      </c>
      <c r="X3204" s="161" t="b">
        <f t="array" ref="X3204">index('Query Tool'!B:B,match(D3204,'Query Tool'!C:C,0))</f>
        <v>1</v>
      </c>
      <c r="Y3204" s="161" t="str">
        <f t="shared" si="6"/>
        <v>cabocbr01,2019-20</v>
      </c>
      <c r="Z3204" s="168" t="str">
        <f t="array" ref="Z3204">iferror(index(I:I,match($A3204&amp;","&amp;index('Year Conversion'!$A:$A,match($C3204,'Year Conversion'!$B:$B,0)),$Y:$Y,0))-I3204,"")</f>
        <v/>
      </c>
      <c r="AA3204" s="168" t="str">
        <f t="array" ref="AA3204">iferror(index(J:J,match($A3204&amp;","&amp;index('Year Conversion'!$A:$A,match($C3204,'Year Conversion'!$B:$B,0)),$Y:$Y,0))-J3204,"")</f>
        <v/>
      </c>
      <c r="AB3204" s="168" t="str">
        <f t="array" ref="AB3204">iferror(index(K:K,match($A3204&amp;","&amp;index('Year Conversion'!$A:$A,match($C3204,'Year Conversion'!$B:$B,0)),$Y:$Y,0))-K3204,"")</f>
        <v/>
      </c>
      <c r="AC3204" s="168" t="str">
        <f t="shared" si="7"/>
        <v>TOT,2019-20</v>
      </c>
    </row>
    <row r="3205">
      <c r="A3205" s="161" t="str">
        <f>IFERROR(__xludf.DUMMYFUNCTION("""COMPUTED_VALUE"""),"jokicni01")</f>
        <v>jokicni01</v>
      </c>
      <c r="B3205" s="161" t="str">
        <f>IFERROR(__xludf.DUMMYFUNCTION("""COMPUTED_VALUE"""),"Nikola Jokic")</f>
        <v>Nikola Jokic</v>
      </c>
      <c r="C3205" s="162" t="str">
        <f>IFERROR(__xludf.DUMMYFUNCTION("""COMPUTED_VALUE"""),"2019-20")</f>
        <v>2019-20</v>
      </c>
      <c r="D3205" s="163" t="str">
        <f>IFERROR(__xludf.DUMMYFUNCTION("""COMPUTED_VALUE"""),"DEN")</f>
        <v>DEN</v>
      </c>
      <c r="E3205" s="164" t="str">
        <f>IFERROR(__xludf.DUMMYFUNCTION("""COMPUTED_VALUE"""),"Post Scorer")</f>
        <v>Post Scorer</v>
      </c>
      <c r="F3205" s="164">
        <f>IFERROR(__xludf.DUMMYFUNCTION("""COMPUTED_VALUE"""),2335.405)</f>
        <v>2335.405</v>
      </c>
      <c r="G3205" s="163">
        <f>IFERROR(__xludf.DUMMYFUNCTION("""COMPUTED_VALUE"""),73.0)</f>
        <v>73</v>
      </c>
      <c r="H3205" s="163" t="str">
        <f>IFERROR(__xludf.DUMMYFUNCTION("""COMPUTED_VALUE"""),"C")</f>
        <v>C</v>
      </c>
      <c r="I3205" s="163">
        <f>IFERROR(__xludf.DUMMYFUNCTION("""COMPUTED_VALUE"""),24.0)</f>
        <v>24</v>
      </c>
      <c r="J3205" s="165">
        <f>IFERROR(__xludf.DUMMYFUNCTION("""COMPUTED_VALUE"""),4.11749382042497)</f>
        <v>4.11749382</v>
      </c>
      <c r="K3205" s="165">
        <f>IFERROR(__xludf.DUMMYFUNCTION("""COMPUTED_VALUE"""),3.15481139376422)</f>
        <v>3.154811394</v>
      </c>
      <c r="L3205" s="165">
        <f>IFERROR(__xludf.DUMMYFUNCTION("""COMPUTED_VALUE"""),0.962682426660743)</f>
        <v>0.9626824267</v>
      </c>
      <c r="M3205" s="166">
        <f t="shared" si="2"/>
        <v>9.934934081</v>
      </c>
      <c r="N3205" s="167">
        <f t="shared" si="3"/>
        <v>31.99184932</v>
      </c>
      <c r="O3205" s="163">
        <f t="shared" ref="O3205:Q3205" si="3209">rank(I3205,I:I)</f>
        <v>2361</v>
      </c>
      <c r="P3205" s="163">
        <f t="shared" si="3209"/>
        <v>90</v>
      </c>
      <c r="Q3205" s="163">
        <f t="shared" si="3209"/>
        <v>109</v>
      </c>
      <c r="R3205" s="163">
        <f>IFERROR(__xludf.DUMMYFUNCTION("RANK(M3205,filter(M:M,C:C=C3205))"),8.0)</f>
        <v>8</v>
      </c>
      <c r="S3205" s="161" t="b">
        <f t="shared" si="5"/>
        <v>0</v>
      </c>
      <c r="T3205" s="161" t="b">
        <f t="array" ref="T3205">index('Query Tool'!B:B,match(H3205,'Query Tool'!C:C,0))</f>
        <v>1</v>
      </c>
      <c r="U3205" s="161" t="b">
        <f t="array" ref="U3205">index('Query Tool'!B:B,match(C3205,'Query Tool'!C:C,0))</f>
        <v>0</v>
      </c>
      <c r="V3205" s="161" t="b">
        <f>F3205&gt;='Query Tool'!C$32</f>
        <v>1</v>
      </c>
      <c r="W3205" s="161" t="b">
        <f t="array" ref="W3205">index(Dropdowns!B:B,match(I3205,Dropdowns!A:A,0))</f>
        <v>1</v>
      </c>
      <c r="X3205" s="161" t="b">
        <f t="array" ref="X3205">index('Query Tool'!B:B,match(D3205,'Query Tool'!C:C,0))</f>
        <v>1</v>
      </c>
      <c r="Y3205" s="161" t="str">
        <f t="shared" si="6"/>
        <v>jokicni01,2019-20</v>
      </c>
      <c r="Z3205" s="168" t="str">
        <f t="array" ref="Z3205">iferror(index(I:I,match($A3205&amp;","&amp;index('Year Conversion'!$A:$A,match($C3205,'Year Conversion'!$B:$B,0)),$Y:$Y,0))-I3205,"")</f>
        <v/>
      </c>
      <c r="AA3205" s="168" t="str">
        <f t="array" ref="AA3205">iferror(index(J:J,match($A3205&amp;","&amp;index('Year Conversion'!$A:$A,match($C3205,'Year Conversion'!$B:$B,0)),$Y:$Y,0))-J3205,"")</f>
        <v/>
      </c>
      <c r="AB3205" s="168" t="str">
        <f t="array" ref="AB3205">iferror(index(K:K,match($A3205&amp;","&amp;index('Year Conversion'!$A:$A,match($C3205,'Year Conversion'!$B:$B,0)),$Y:$Y,0))-K3205,"")</f>
        <v/>
      </c>
      <c r="AC3205" s="168" t="str">
        <f t="shared" si="7"/>
        <v>DEN,2019-20</v>
      </c>
    </row>
    <row r="3206">
      <c r="A3206" s="161" t="str">
        <f>IFERROR(__xludf.DUMMYFUNCTION("""COMPUTED_VALUE"""),"porzikr01")</f>
        <v>porzikr01</v>
      </c>
      <c r="B3206" s="161" t="str">
        <f>IFERROR(__xludf.DUMMYFUNCTION("""COMPUTED_VALUE"""),"Kristaps Porzingis")</f>
        <v>Kristaps Porzingis</v>
      </c>
      <c r="C3206" s="162" t="str">
        <f>IFERROR(__xludf.DUMMYFUNCTION("""COMPUTED_VALUE"""),"2019-20")</f>
        <v>2019-20</v>
      </c>
      <c r="D3206" s="163" t="str">
        <f>IFERROR(__xludf.DUMMYFUNCTION("""COMPUTED_VALUE"""),"DAL")</f>
        <v>DAL</v>
      </c>
      <c r="E3206" s="164" t="str">
        <f>IFERROR(__xludf.DUMMYFUNCTION("""COMPUTED_VALUE"""),"Versatile Big")</f>
        <v>Versatile Big</v>
      </c>
      <c r="F3206" s="164">
        <f>IFERROR(__xludf.DUMMYFUNCTION("""COMPUTED_VALUE"""),1813.77666666667)</f>
        <v>1813.776667</v>
      </c>
      <c r="G3206" s="163">
        <f>IFERROR(__xludf.DUMMYFUNCTION("""COMPUTED_VALUE"""),57.0)</f>
        <v>57</v>
      </c>
      <c r="H3206" s="163" t="str">
        <f>IFERROR(__xludf.DUMMYFUNCTION("""COMPUTED_VALUE"""),"C")</f>
        <v>C</v>
      </c>
      <c r="I3206" s="163">
        <f>IFERROR(__xludf.DUMMYFUNCTION("""COMPUTED_VALUE"""),24.0)</f>
        <v>24</v>
      </c>
      <c r="J3206" s="165">
        <f>IFERROR(__xludf.DUMMYFUNCTION("""COMPUTED_VALUE"""),3.89968420102217)</f>
        <v>3.899684201</v>
      </c>
      <c r="K3206" s="165">
        <f>IFERROR(__xludf.DUMMYFUNCTION("""COMPUTED_VALUE"""),1.39147996170951)</f>
        <v>1.391479962</v>
      </c>
      <c r="L3206" s="165">
        <f>IFERROR(__xludf.DUMMYFUNCTION("""COMPUTED_VALUE"""),2.50820423931266)</f>
        <v>2.508204239</v>
      </c>
      <c r="M3206" s="166">
        <f t="shared" si="2"/>
        <v>7.466630411</v>
      </c>
      <c r="N3206" s="167">
        <f t="shared" si="3"/>
        <v>31.82064327</v>
      </c>
      <c r="O3206" s="163">
        <f t="shared" ref="O3206:Q3206" si="3210">rank(I3206,I:I)</f>
        <v>2361</v>
      </c>
      <c r="P3206" s="163">
        <f t="shared" si="3210"/>
        <v>98</v>
      </c>
      <c r="Q3206" s="163">
        <f t="shared" si="3210"/>
        <v>356</v>
      </c>
      <c r="R3206" s="163">
        <f>IFERROR(__xludf.DUMMYFUNCTION("RANK(M3206,filter(M:M,C:C=C3206))"),17.0)</f>
        <v>17</v>
      </c>
      <c r="S3206" s="161" t="b">
        <f t="shared" si="5"/>
        <v>0</v>
      </c>
      <c r="T3206" s="161" t="b">
        <f t="array" ref="T3206">index('Query Tool'!B:B,match(H3206,'Query Tool'!C:C,0))</f>
        <v>1</v>
      </c>
      <c r="U3206" s="161" t="b">
        <f t="array" ref="U3206">index('Query Tool'!B:B,match(C3206,'Query Tool'!C:C,0))</f>
        <v>0</v>
      </c>
      <c r="V3206" s="161" t="b">
        <f>F3206&gt;='Query Tool'!C$32</f>
        <v>1</v>
      </c>
      <c r="W3206" s="161" t="b">
        <f t="array" ref="W3206">index(Dropdowns!B:B,match(I3206,Dropdowns!A:A,0))</f>
        <v>1</v>
      </c>
      <c r="X3206" s="161" t="b">
        <f t="array" ref="X3206">index('Query Tool'!B:B,match(D3206,'Query Tool'!C:C,0))</f>
        <v>1</v>
      </c>
      <c r="Y3206" s="161" t="str">
        <f t="shared" si="6"/>
        <v>porzikr01,2019-20</v>
      </c>
      <c r="Z3206" s="168" t="str">
        <f t="array" ref="Z3206">iferror(index(I:I,match($A3206&amp;","&amp;index('Year Conversion'!$A:$A,match($C3206,'Year Conversion'!$B:$B,0)),$Y:$Y,0))-I3206,"")</f>
        <v/>
      </c>
      <c r="AA3206" s="168" t="str">
        <f t="array" ref="AA3206">iferror(index(J:J,match($A3206&amp;","&amp;index('Year Conversion'!$A:$A,match($C3206,'Year Conversion'!$B:$B,0)),$Y:$Y,0))-J3206,"")</f>
        <v/>
      </c>
      <c r="AB3206" s="168" t="str">
        <f t="array" ref="AB3206">iferror(index(K:K,match($A3206&amp;","&amp;index('Year Conversion'!$A:$A,match($C3206,'Year Conversion'!$B:$B,0)),$Y:$Y,0))-K3206,"")</f>
        <v/>
      </c>
      <c r="AC3206" s="168" t="str">
        <f t="shared" si="7"/>
        <v>DAL,2019-20</v>
      </c>
    </row>
    <row r="3207">
      <c r="A3207" s="161" t="str">
        <f>IFERROR(__xludf.DUMMYFUNCTION("""COMPUTED_VALUE"""),"johnsty01")</f>
        <v>johnsty01</v>
      </c>
      <c r="B3207" s="161" t="str">
        <f>IFERROR(__xludf.DUMMYFUNCTION("""COMPUTED_VALUE"""),"Tyler Johnson")</f>
        <v>Tyler Johnson</v>
      </c>
      <c r="C3207" s="162" t="str">
        <f>IFERROR(__xludf.DUMMYFUNCTION("""COMPUTED_VALUE"""),"2019-20")</f>
        <v>2019-20</v>
      </c>
      <c r="D3207" s="163" t="str">
        <f>IFERROR(__xludf.DUMMYFUNCTION("""COMPUTED_VALUE"""),"TOT")</f>
        <v>TOT</v>
      </c>
      <c r="E3207" s="164" t="str">
        <f>IFERROR(__xludf.DUMMYFUNCTION("""COMPUTED_VALUE"""),"Stationary Shooter")</f>
        <v>Stationary Shooter</v>
      </c>
      <c r="F3207" s="164">
        <f>IFERROR(__xludf.DUMMYFUNCTION("""COMPUTED_VALUE"""),709.301666666667)</f>
        <v>709.3016667</v>
      </c>
      <c r="G3207" s="163">
        <f>IFERROR(__xludf.DUMMYFUNCTION("""COMPUTED_VALUE"""),39.0)</f>
        <v>39</v>
      </c>
      <c r="H3207" s="163" t="str">
        <f>IFERROR(__xludf.DUMMYFUNCTION("""COMPUTED_VALUE"""),"PG-SG")</f>
        <v>PG-SG</v>
      </c>
      <c r="I3207" s="163">
        <f>IFERROR(__xludf.DUMMYFUNCTION("""COMPUTED_VALUE"""),27.0)</f>
        <v>27</v>
      </c>
      <c r="J3207" s="165">
        <f>IFERROR(__xludf.DUMMYFUNCTION("""COMPUTED_VALUE"""),-1.81665606806199)</f>
        <v>-1.816656068</v>
      </c>
      <c r="K3207" s="165">
        <f>IFERROR(__xludf.DUMMYFUNCTION("""COMPUTED_VALUE"""),-1.13186348152461)</f>
        <v>-1.131863482</v>
      </c>
      <c r="L3207" s="165">
        <f>IFERROR(__xludf.DUMMYFUNCTION("""COMPUTED_VALUE"""),-0.684792586537383)</f>
        <v>-0.6847925865</v>
      </c>
      <c r="M3207" s="166">
        <f t="shared" si="2"/>
        <v>0.2287356822</v>
      </c>
      <c r="N3207" s="167">
        <f t="shared" si="3"/>
        <v>18.18722222</v>
      </c>
      <c r="O3207" s="163">
        <f t="shared" ref="O3207:Q3207" si="3211">rank(I3207,I:I)</f>
        <v>1366</v>
      </c>
      <c r="P3207" s="163">
        <f t="shared" si="3211"/>
        <v>3349</v>
      </c>
      <c r="Q3207" s="163">
        <f t="shared" si="3211"/>
        <v>2964</v>
      </c>
      <c r="R3207" s="163">
        <f>IFERROR(__xludf.DUMMYFUNCTION("RANK(M3207,filter(M:M,C:C=C3207))"),327.0)</f>
        <v>327</v>
      </c>
      <c r="S3207" s="161" t="b">
        <f t="shared" si="5"/>
        <v>0</v>
      </c>
      <c r="T3207" s="161" t="str">
        <f t="array" ref="T3207">index('Query Tool'!B:B,match(H3207,'Query Tool'!C:C,0))</f>
        <v>#N/A</v>
      </c>
      <c r="U3207" s="161" t="b">
        <f t="array" ref="U3207">index('Query Tool'!B:B,match(C3207,'Query Tool'!C:C,0))</f>
        <v>0</v>
      </c>
      <c r="V3207" s="161" t="b">
        <f>F3207&gt;='Query Tool'!C$32</f>
        <v>1</v>
      </c>
      <c r="W3207" s="161" t="b">
        <f t="array" ref="W3207">index(Dropdowns!B:B,match(I3207,Dropdowns!A:A,0))</f>
        <v>1</v>
      </c>
      <c r="X3207" s="161" t="b">
        <f t="array" ref="X3207">index('Query Tool'!B:B,match(D3207,'Query Tool'!C:C,0))</f>
        <v>1</v>
      </c>
      <c r="Y3207" s="161" t="str">
        <f t="shared" si="6"/>
        <v>johnsty01,2019-20</v>
      </c>
      <c r="Z3207" s="168" t="str">
        <f t="array" ref="Z3207">iferror(index(I:I,match($A3207&amp;","&amp;index('Year Conversion'!$A:$A,match($C3207,'Year Conversion'!$B:$B,0)),$Y:$Y,0))-I3207,"")</f>
        <v/>
      </c>
      <c r="AA3207" s="168" t="str">
        <f t="array" ref="AA3207">iferror(index(J:J,match($A3207&amp;","&amp;index('Year Conversion'!$A:$A,match($C3207,'Year Conversion'!$B:$B,0)),$Y:$Y,0))-J3207,"")</f>
        <v/>
      </c>
      <c r="AB3207" s="168" t="str">
        <f t="array" ref="AB3207">iferror(index(K:K,match($A3207&amp;","&amp;index('Year Conversion'!$A:$A,match($C3207,'Year Conversion'!$B:$B,0)),$Y:$Y,0))-K3207,"")</f>
        <v/>
      </c>
      <c r="AC3207" s="168" t="str">
        <f t="shared" si="7"/>
        <v>TOT,2019-20</v>
      </c>
    </row>
    <row r="3208">
      <c r="A3208" s="161" t="str">
        <f>IFERROR(__xludf.DUMMYFUNCTION("""COMPUTED_VALUE"""),"fraziti01")</f>
        <v>fraziti01</v>
      </c>
      <c r="B3208" s="161" t="str">
        <f>IFERROR(__xludf.DUMMYFUNCTION("""COMPUTED_VALUE"""),"Tim Frazier")</f>
        <v>Tim Frazier</v>
      </c>
      <c r="C3208" s="162" t="str">
        <f>IFERROR(__xludf.DUMMYFUNCTION("""COMPUTED_VALUE"""),"2019-20")</f>
        <v>2019-20</v>
      </c>
      <c r="D3208" s="163" t="str">
        <f>IFERROR(__xludf.DUMMYFUNCTION("""COMPUTED_VALUE"""),"DET")</f>
        <v>DET</v>
      </c>
      <c r="E3208" s="164" t="str">
        <f>IFERROR(__xludf.DUMMYFUNCTION("""COMPUTED_VALUE"""),"Secondary Ball Handler")</f>
        <v>Secondary Ball Handler</v>
      </c>
      <c r="F3208" s="164">
        <f>IFERROR(__xludf.DUMMYFUNCTION("""COMPUTED_VALUE"""),354.826666666667)</f>
        <v>354.8266667</v>
      </c>
      <c r="G3208" s="163">
        <f>IFERROR(__xludf.DUMMYFUNCTION("""COMPUTED_VALUE"""),27.0)</f>
        <v>27</v>
      </c>
      <c r="H3208" s="163" t="str">
        <f>IFERROR(__xludf.DUMMYFUNCTION("""COMPUTED_VALUE"""),"PG")</f>
        <v>PG</v>
      </c>
      <c r="I3208" s="163">
        <f>IFERROR(__xludf.DUMMYFUNCTION("""COMPUTED_VALUE"""),29.0)</f>
        <v>29</v>
      </c>
      <c r="J3208" s="165">
        <f>IFERROR(__xludf.DUMMYFUNCTION("""COMPUTED_VALUE"""),-1.50767549022124)</f>
        <v>-1.50767549</v>
      </c>
      <c r="K3208" s="165">
        <f>IFERROR(__xludf.DUMMYFUNCTION("""COMPUTED_VALUE"""),-1.33547852716205)</f>
        <v>-1.335478527</v>
      </c>
      <c r="L3208" s="165">
        <f>IFERROR(__xludf.DUMMYFUNCTION("""COMPUTED_VALUE"""),-0.172196963059191)</f>
        <v>-0.1721969631</v>
      </c>
      <c r="M3208" s="166">
        <f t="shared" si="2"/>
        <v>0.1874921194</v>
      </c>
      <c r="N3208" s="167">
        <f t="shared" si="3"/>
        <v>13.1417284</v>
      </c>
      <c r="O3208" s="163">
        <f t="shared" ref="O3208:Q3208" si="3212">rank(I3208,I:I)</f>
        <v>855</v>
      </c>
      <c r="P3208" s="163">
        <f t="shared" si="3212"/>
        <v>3065</v>
      </c>
      <c r="Q3208" s="163">
        <f t="shared" si="3212"/>
        <v>3189</v>
      </c>
      <c r="R3208" s="163">
        <f>IFERROR(__xludf.DUMMYFUNCTION("RANK(M3208,filter(M:M,C:C=C3208))"),344.0)</f>
        <v>344</v>
      </c>
      <c r="S3208" s="161" t="b">
        <f t="shared" si="5"/>
        <v>0</v>
      </c>
      <c r="T3208" s="161" t="b">
        <f t="array" ref="T3208">index('Query Tool'!B:B,match(H3208,'Query Tool'!C:C,0))</f>
        <v>1</v>
      </c>
      <c r="U3208" s="161" t="b">
        <f t="array" ref="U3208">index('Query Tool'!B:B,match(C3208,'Query Tool'!C:C,0))</f>
        <v>0</v>
      </c>
      <c r="V3208" s="161" t="b">
        <f>F3208&gt;='Query Tool'!C$32</f>
        <v>0</v>
      </c>
      <c r="W3208" s="161" t="b">
        <f t="array" ref="W3208">index(Dropdowns!B:B,match(I3208,Dropdowns!A:A,0))</f>
        <v>1</v>
      </c>
      <c r="X3208" s="161" t="b">
        <f t="array" ref="X3208">index('Query Tool'!B:B,match(D3208,'Query Tool'!C:C,0))</f>
        <v>1</v>
      </c>
      <c r="Y3208" s="161" t="str">
        <f t="shared" si="6"/>
        <v>fraziti01,2019-20</v>
      </c>
      <c r="Z3208" s="168" t="str">
        <f t="array" ref="Z3208">iferror(index(I:I,match($A3208&amp;","&amp;index('Year Conversion'!$A:$A,match($C3208,'Year Conversion'!$B:$B,0)),$Y:$Y,0))-I3208,"")</f>
        <v/>
      </c>
      <c r="AA3208" s="168" t="str">
        <f t="array" ref="AA3208">iferror(index(J:J,match($A3208&amp;","&amp;index('Year Conversion'!$A:$A,match($C3208,'Year Conversion'!$B:$B,0)),$Y:$Y,0))-J3208,"")</f>
        <v/>
      </c>
      <c r="AB3208" s="168" t="str">
        <f t="array" ref="AB3208">iferror(index(K:K,match($A3208&amp;","&amp;index('Year Conversion'!$A:$A,match($C3208,'Year Conversion'!$B:$B,0)),$Y:$Y,0))-K3208,"")</f>
        <v/>
      </c>
      <c r="AC3208" s="168" t="str">
        <f t="shared" si="7"/>
        <v>DET,2019-20</v>
      </c>
    </row>
    <row r="3209">
      <c r="A3209" s="161" t="str">
        <f>IFERROR(__xludf.DUMMYFUNCTION("""COMPUTED_VALUE"""),"gallola01")</f>
        <v>gallola01</v>
      </c>
      <c r="B3209" s="161" t="str">
        <f>IFERROR(__xludf.DUMMYFUNCTION("""COMPUTED_VALUE"""),"Langston Galloway")</f>
        <v>Langston Galloway</v>
      </c>
      <c r="C3209" s="162" t="str">
        <f>IFERROR(__xludf.DUMMYFUNCTION("""COMPUTED_VALUE"""),"2019-20")</f>
        <v>2019-20</v>
      </c>
      <c r="D3209" s="163" t="str">
        <f>IFERROR(__xludf.DUMMYFUNCTION("""COMPUTED_VALUE"""),"DET")</f>
        <v>DET</v>
      </c>
      <c r="E3209" s="164" t="str">
        <f>IFERROR(__xludf.DUMMYFUNCTION("""COMPUTED_VALUE"""),"Movement Shooter")</f>
        <v>Movement Shooter</v>
      </c>
      <c r="F3209" s="164">
        <f>IFERROR(__xludf.DUMMYFUNCTION("""COMPUTED_VALUE"""),1702.225)</f>
        <v>1702.225</v>
      </c>
      <c r="G3209" s="163">
        <f>IFERROR(__xludf.DUMMYFUNCTION("""COMPUTED_VALUE"""),66.0)</f>
        <v>66</v>
      </c>
      <c r="H3209" s="163" t="str">
        <f>IFERROR(__xludf.DUMMYFUNCTION("""COMPUTED_VALUE"""),"SG")</f>
        <v>SG</v>
      </c>
      <c r="I3209" s="163">
        <f>IFERROR(__xludf.DUMMYFUNCTION("""COMPUTED_VALUE"""),28.0)</f>
        <v>28</v>
      </c>
      <c r="J3209" s="165">
        <f>IFERROR(__xludf.DUMMYFUNCTION("""COMPUTED_VALUE"""),-2.02070473338863)</f>
        <v>-2.020704733</v>
      </c>
      <c r="K3209" s="165">
        <f>IFERROR(__xludf.DUMMYFUNCTION("""COMPUTED_VALUE"""),-0.280908492330104)</f>
        <v>-0.2809084923</v>
      </c>
      <c r="L3209" s="165">
        <f>IFERROR(__xludf.DUMMYFUNCTION("""COMPUTED_VALUE"""),-1.73979624105852)</f>
        <v>-1.739796241</v>
      </c>
      <c r="M3209" s="166">
        <f t="shared" si="2"/>
        <v>0.3183223355</v>
      </c>
      <c r="N3209" s="167">
        <f t="shared" si="3"/>
        <v>25.79128788</v>
      </c>
      <c r="O3209" s="163">
        <f t="shared" ref="O3209:Q3209" si="3213">rank(I3209,I:I)</f>
        <v>1090</v>
      </c>
      <c r="P3209" s="163">
        <f t="shared" si="3213"/>
        <v>3493</v>
      </c>
      <c r="Q3209" s="163">
        <f t="shared" si="3213"/>
        <v>1727</v>
      </c>
      <c r="R3209" s="163">
        <f>IFERROR(__xludf.DUMMYFUNCTION("RANK(M3209,filter(M:M,C:C=C3209))"),296.0)</f>
        <v>296</v>
      </c>
      <c r="S3209" s="161" t="b">
        <f t="shared" si="5"/>
        <v>0</v>
      </c>
      <c r="T3209" s="161" t="b">
        <f t="array" ref="T3209">index('Query Tool'!B:B,match(H3209,'Query Tool'!C:C,0))</f>
        <v>1</v>
      </c>
      <c r="U3209" s="161" t="b">
        <f t="array" ref="U3209">index('Query Tool'!B:B,match(C3209,'Query Tool'!C:C,0))</f>
        <v>0</v>
      </c>
      <c r="V3209" s="161" t="b">
        <f>F3209&gt;='Query Tool'!C$32</f>
        <v>1</v>
      </c>
      <c r="W3209" s="161" t="b">
        <f t="array" ref="W3209">index(Dropdowns!B:B,match(I3209,Dropdowns!A:A,0))</f>
        <v>1</v>
      </c>
      <c r="X3209" s="161" t="b">
        <f t="array" ref="X3209">index('Query Tool'!B:B,match(D3209,'Query Tool'!C:C,0))</f>
        <v>1</v>
      </c>
      <c r="Y3209" s="161" t="str">
        <f t="shared" si="6"/>
        <v>gallola01,2019-20</v>
      </c>
      <c r="Z3209" s="168" t="str">
        <f t="array" ref="Z3209">iferror(index(I:I,match($A3209&amp;","&amp;index('Year Conversion'!$A:$A,match($C3209,'Year Conversion'!$B:$B,0)),$Y:$Y,0))-I3209,"")</f>
        <v/>
      </c>
      <c r="AA3209" s="168" t="str">
        <f t="array" ref="AA3209">iferror(index(J:J,match($A3209&amp;","&amp;index('Year Conversion'!$A:$A,match($C3209,'Year Conversion'!$B:$B,0)),$Y:$Y,0))-J3209,"")</f>
        <v/>
      </c>
      <c r="AB3209" s="168" t="str">
        <f t="array" ref="AB3209">iferror(index(K:K,match($A3209&amp;","&amp;index('Year Conversion'!$A:$A,match($C3209,'Year Conversion'!$B:$B,0)),$Y:$Y,0))-K3209,"")</f>
        <v/>
      </c>
      <c r="AC3209" s="168" t="str">
        <f t="shared" si="7"/>
        <v>DET,2019-20</v>
      </c>
    </row>
    <row r="3210">
      <c r="A3210" s="161" t="str">
        <f>IFERROR(__xludf.DUMMYFUNCTION("""COMPUTED_VALUE"""),"inglejo01")</f>
        <v>inglejo01</v>
      </c>
      <c r="B3210" s="161" t="str">
        <f>IFERROR(__xludf.DUMMYFUNCTION("""COMPUTED_VALUE"""),"Joe Ingles")</f>
        <v>Joe Ingles</v>
      </c>
      <c r="C3210" s="162" t="str">
        <f>IFERROR(__xludf.DUMMYFUNCTION("""COMPUTED_VALUE"""),"2019-20")</f>
        <v>2019-20</v>
      </c>
      <c r="D3210" s="163" t="str">
        <f>IFERROR(__xludf.DUMMYFUNCTION("""COMPUTED_VALUE"""),"UTA")</f>
        <v>UTA</v>
      </c>
      <c r="E3210" s="164" t="str">
        <f>IFERROR(__xludf.DUMMYFUNCTION("""COMPUTED_VALUE"""),"Movement Shooter")</f>
        <v>Movement Shooter</v>
      </c>
      <c r="F3210" s="164">
        <f>IFERROR(__xludf.DUMMYFUNCTION("""COMPUTED_VALUE"""),2136.57666666667)</f>
        <v>2136.576667</v>
      </c>
      <c r="G3210" s="163">
        <f>IFERROR(__xludf.DUMMYFUNCTION("""COMPUTED_VALUE"""),72.0)</f>
        <v>72</v>
      </c>
      <c r="H3210" s="163" t="str">
        <f>IFERROR(__xludf.DUMMYFUNCTION("""COMPUTED_VALUE"""),"PF")</f>
        <v>PF</v>
      </c>
      <c r="I3210" s="163">
        <f>IFERROR(__xludf.DUMMYFUNCTION("""COMPUTED_VALUE"""),32.0)</f>
        <v>32</v>
      </c>
      <c r="J3210" s="165">
        <f>IFERROR(__xludf.DUMMYFUNCTION("""COMPUTED_VALUE"""),1.13588373999789)</f>
        <v>1.13588374</v>
      </c>
      <c r="K3210" s="165">
        <f>IFERROR(__xludf.DUMMYFUNCTION("""COMPUTED_VALUE"""),0.409944869250355)</f>
        <v>0.4099448693</v>
      </c>
      <c r="L3210" s="165">
        <f>IFERROR(__xludf.DUMMYFUNCTION("""COMPUTED_VALUE"""),0.725938870747537)</f>
        <v>0.7259388707</v>
      </c>
      <c r="M3210" s="166">
        <f t="shared" si="2"/>
        <v>4.927155735</v>
      </c>
      <c r="N3210" s="167">
        <f t="shared" si="3"/>
        <v>29.67467593</v>
      </c>
      <c r="O3210" s="163">
        <f t="shared" ref="O3210:Q3210" si="3214">rank(I3210,I:I)</f>
        <v>359</v>
      </c>
      <c r="P3210" s="163">
        <f t="shared" si="3214"/>
        <v>600</v>
      </c>
      <c r="Q3210" s="163">
        <f t="shared" si="3214"/>
        <v>826</v>
      </c>
      <c r="R3210" s="163">
        <f>IFERROR(__xludf.DUMMYFUNCTION("RANK(M3210,filter(M:M,C:C=C3210))"),39.0)</f>
        <v>39</v>
      </c>
      <c r="S3210" s="161" t="b">
        <f t="shared" si="5"/>
        <v>0</v>
      </c>
      <c r="T3210" s="161" t="b">
        <f t="array" ref="T3210">index('Query Tool'!B:B,match(H3210,'Query Tool'!C:C,0))</f>
        <v>1</v>
      </c>
      <c r="U3210" s="161" t="b">
        <f t="array" ref="U3210">index('Query Tool'!B:B,match(C3210,'Query Tool'!C:C,0))</f>
        <v>0</v>
      </c>
      <c r="V3210" s="161" t="b">
        <f>F3210&gt;='Query Tool'!C$32</f>
        <v>1</v>
      </c>
      <c r="W3210" s="161" t="b">
        <f t="array" ref="W3210">index(Dropdowns!B:B,match(I3210,Dropdowns!A:A,0))</f>
        <v>1</v>
      </c>
      <c r="X3210" s="161" t="b">
        <f t="array" ref="X3210">index('Query Tool'!B:B,match(D3210,'Query Tool'!C:C,0))</f>
        <v>1</v>
      </c>
      <c r="Y3210" s="161" t="str">
        <f t="shared" si="6"/>
        <v>inglejo01,2019-20</v>
      </c>
      <c r="Z3210" s="168" t="str">
        <f t="array" ref="Z3210">iferror(index(I:I,match($A3210&amp;","&amp;index('Year Conversion'!$A:$A,match($C3210,'Year Conversion'!$B:$B,0)),$Y:$Y,0))-I3210,"")</f>
        <v/>
      </c>
      <c r="AA3210" s="168" t="str">
        <f t="array" ref="AA3210">iferror(index(J:J,match($A3210&amp;","&amp;index('Year Conversion'!$A:$A,match($C3210,'Year Conversion'!$B:$B,0)),$Y:$Y,0))-J3210,"")</f>
        <v/>
      </c>
      <c r="AB3210" s="168" t="str">
        <f t="array" ref="AB3210">iferror(index(K:K,match($A3210&amp;","&amp;index('Year Conversion'!$A:$A,match($C3210,'Year Conversion'!$B:$B,0)),$Y:$Y,0))-K3210,"")</f>
        <v/>
      </c>
      <c r="AC3210" s="168" t="str">
        <f t="shared" si="7"/>
        <v>UTA,2019-20</v>
      </c>
    </row>
    <row r="3211">
      <c r="A3211" s="161" t="str">
        <f>IFERROR(__xludf.DUMMYFUNCTION("""COMPUTED_VALUE"""),"mccontj01")</f>
        <v>mccontj01</v>
      </c>
      <c r="B3211" s="161" t="str">
        <f>IFERROR(__xludf.DUMMYFUNCTION("""COMPUTED_VALUE"""),"T.J. McConnell")</f>
        <v>T.J. McConnell</v>
      </c>
      <c r="C3211" s="162" t="str">
        <f>IFERROR(__xludf.DUMMYFUNCTION("""COMPUTED_VALUE"""),"2019-20")</f>
        <v>2019-20</v>
      </c>
      <c r="D3211" s="163" t="str">
        <f>IFERROR(__xludf.DUMMYFUNCTION("""COMPUTED_VALUE"""),"IND")</f>
        <v>IND</v>
      </c>
      <c r="E3211" s="164" t="str">
        <f>IFERROR(__xludf.DUMMYFUNCTION("""COMPUTED_VALUE"""),"Slasher")</f>
        <v>Slasher</v>
      </c>
      <c r="F3211" s="164">
        <f>IFERROR(__xludf.DUMMYFUNCTION("""COMPUTED_VALUE"""),1326.045)</f>
        <v>1326.045</v>
      </c>
      <c r="G3211" s="163">
        <f>IFERROR(__xludf.DUMMYFUNCTION("""COMPUTED_VALUE"""),71.0)</f>
        <v>71</v>
      </c>
      <c r="H3211" s="163" t="str">
        <f>IFERROR(__xludf.DUMMYFUNCTION("""COMPUTED_VALUE"""),"PG")</f>
        <v>PG</v>
      </c>
      <c r="I3211" s="163">
        <f>IFERROR(__xludf.DUMMYFUNCTION("""COMPUTED_VALUE"""),27.0)</f>
        <v>27</v>
      </c>
      <c r="J3211" s="165">
        <f>IFERROR(__xludf.DUMMYFUNCTION("""COMPUTED_VALUE"""),-0.525144505982071)</f>
        <v>-0.525144506</v>
      </c>
      <c r="K3211" s="165">
        <f>IFERROR(__xludf.DUMMYFUNCTION("""COMPUTED_VALUE"""),-0.202574753248437)</f>
        <v>-0.2025747532</v>
      </c>
      <c r="L3211" s="165">
        <f>IFERROR(__xludf.DUMMYFUNCTION("""COMPUTED_VALUE"""),-0.322569752733634)</f>
        <v>-0.3225697527</v>
      </c>
      <c r="M3211" s="166">
        <f t="shared" si="2"/>
        <v>1.575016796</v>
      </c>
      <c r="N3211" s="167">
        <f t="shared" si="3"/>
        <v>18.67669014</v>
      </c>
      <c r="O3211" s="163">
        <f t="shared" ref="O3211:Q3211" si="3215">rank(I3211,I:I)</f>
        <v>1366</v>
      </c>
      <c r="P3211" s="163">
        <f t="shared" si="3215"/>
        <v>1890</v>
      </c>
      <c r="Q3211" s="163">
        <f t="shared" si="3215"/>
        <v>1565</v>
      </c>
      <c r="R3211" s="163">
        <f>IFERROR(__xludf.DUMMYFUNCTION("RANK(M3211,filter(M:M,C:C=C3211))"),180.0)</f>
        <v>180</v>
      </c>
      <c r="S3211" s="161" t="b">
        <f t="shared" si="5"/>
        <v>0</v>
      </c>
      <c r="T3211" s="161" t="b">
        <f t="array" ref="T3211">index('Query Tool'!B:B,match(H3211,'Query Tool'!C:C,0))</f>
        <v>1</v>
      </c>
      <c r="U3211" s="161" t="b">
        <f t="array" ref="U3211">index('Query Tool'!B:B,match(C3211,'Query Tool'!C:C,0))</f>
        <v>0</v>
      </c>
      <c r="V3211" s="161" t="b">
        <f>F3211&gt;='Query Tool'!C$32</f>
        <v>1</v>
      </c>
      <c r="W3211" s="161" t="b">
        <f t="array" ref="W3211">index(Dropdowns!B:B,match(I3211,Dropdowns!A:A,0))</f>
        <v>1</v>
      </c>
      <c r="X3211" s="161" t="b">
        <f t="array" ref="X3211">index('Query Tool'!B:B,match(D3211,'Query Tool'!C:C,0))</f>
        <v>1</v>
      </c>
      <c r="Y3211" s="161" t="str">
        <f t="shared" si="6"/>
        <v>mccontj01,2019-20</v>
      </c>
      <c r="Z3211" s="168" t="str">
        <f t="array" ref="Z3211">iferror(index(I:I,match($A3211&amp;","&amp;index('Year Conversion'!$A:$A,match($C3211,'Year Conversion'!$B:$B,0)),$Y:$Y,0))-I3211,"")</f>
        <v/>
      </c>
      <c r="AA3211" s="168" t="str">
        <f t="array" ref="AA3211">iferror(index(J:J,match($A3211&amp;","&amp;index('Year Conversion'!$A:$A,match($C3211,'Year Conversion'!$B:$B,0)),$Y:$Y,0))-J3211,"")</f>
        <v/>
      </c>
      <c r="AB3211" s="168" t="str">
        <f t="array" ref="AB3211">iferror(index(K:K,match($A3211&amp;","&amp;index('Year Conversion'!$A:$A,match($C3211,'Year Conversion'!$B:$B,0)),$Y:$Y,0))-K3211,"")</f>
        <v/>
      </c>
      <c r="AC3211" s="168" t="str">
        <f t="shared" si="7"/>
        <v>IND,2019-20</v>
      </c>
    </row>
    <row r="3212">
      <c r="A3212" s="161" t="str">
        <f>IFERROR(__xludf.DUMMYFUNCTION("""COMPUTED_VALUE"""),"okafoja01")</f>
        <v>okafoja01</v>
      </c>
      <c r="B3212" s="161" t="str">
        <f>IFERROR(__xludf.DUMMYFUNCTION("""COMPUTED_VALUE"""),"Jahlil Okafor")</f>
        <v>Jahlil Okafor</v>
      </c>
      <c r="C3212" s="162" t="str">
        <f>IFERROR(__xludf.DUMMYFUNCTION("""COMPUTED_VALUE"""),"2019-20")</f>
        <v>2019-20</v>
      </c>
      <c r="D3212" s="163" t="str">
        <f>IFERROR(__xludf.DUMMYFUNCTION("""COMPUTED_VALUE"""),"NOP")</f>
        <v>NOP</v>
      </c>
      <c r="E3212" s="164" t="str">
        <f>IFERROR(__xludf.DUMMYFUNCTION("""COMPUTED_VALUE"""),"Post Scorer")</f>
        <v>Post Scorer</v>
      </c>
      <c r="F3212" s="164">
        <f>IFERROR(__xludf.DUMMYFUNCTION("""COMPUTED_VALUE"""),466.941666666666)</f>
        <v>466.9416667</v>
      </c>
      <c r="G3212" s="163">
        <f>IFERROR(__xludf.DUMMYFUNCTION("""COMPUTED_VALUE"""),30.0)</f>
        <v>30</v>
      </c>
      <c r="H3212" s="163" t="str">
        <f>IFERROR(__xludf.DUMMYFUNCTION("""COMPUTED_VALUE"""),"C")</f>
        <v>C</v>
      </c>
      <c r="I3212" s="163">
        <f>IFERROR(__xludf.DUMMYFUNCTION("""COMPUTED_VALUE"""),24.0)</f>
        <v>24</v>
      </c>
      <c r="J3212" s="165">
        <f>IFERROR(__xludf.DUMMYFUNCTION("""COMPUTED_VALUE"""),-0.610910959966894)</f>
        <v>-0.61091096</v>
      </c>
      <c r="K3212" s="165">
        <f>IFERROR(__xludf.DUMMYFUNCTION("""COMPUTED_VALUE"""),-0.535303922018849)</f>
        <v>-0.535303922</v>
      </c>
      <c r="L3212" s="165">
        <f>IFERROR(__xludf.DUMMYFUNCTION("""COMPUTED_VALUE"""),-0.0756070379480452)</f>
        <v>-0.07560703795</v>
      </c>
      <c r="M3212" s="166">
        <f t="shared" si="2"/>
        <v>0.5276488109</v>
      </c>
      <c r="N3212" s="167">
        <f t="shared" si="3"/>
        <v>15.56472222</v>
      </c>
      <c r="O3212" s="163">
        <f t="shared" ref="O3212:Q3212" si="3216">rank(I3212,I:I)</f>
        <v>2361</v>
      </c>
      <c r="P3212" s="163">
        <f t="shared" si="3216"/>
        <v>2011</v>
      </c>
      <c r="Q3212" s="163">
        <f t="shared" si="3216"/>
        <v>2166</v>
      </c>
      <c r="R3212" s="163">
        <f>IFERROR(__xludf.DUMMYFUNCTION("RANK(M3212,filter(M:M,C:C=C3212))"),257.0)</f>
        <v>257</v>
      </c>
      <c r="S3212" s="161" t="b">
        <f t="shared" si="5"/>
        <v>0</v>
      </c>
      <c r="T3212" s="161" t="b">
        <f t="array" ref="T3212">index('Query Tool'!B:B,match(H3212,'Query Tool'!C:C,0))</f>
        <v>1</v>
      </c>
      <c r="U3212" s="161" t="b">
        <f t="array" ref="U3212">index('Query Tool'!B:B,match(C3212,'Query Tool'!C:C,0))</f>
        <v>0</v>
      </c>
      <c r="V3212" s="161" t="b">
        <f>F3212&gt;='Query Tool'!C$32</f>
        <v>0</v>
      </c>
      <c r="W3212" s="161" t="b">
        <f t="array" ref="W3212">index(Dropdowns!B:B,match(I3212,Dropdowns!A:A,0))</f>
        <v>1</v>
      </c>
      <c r="X3212" s="161" t="b">
        <f t="array" ref="X3212">index('Query Tool'!B:B,match(D3212,'Query Tool'!C:C,0))</f>
        <v>1</v>
      </c>
      <c r="Y3212" s="161" t="str">
        <f t="shared" si="6"/>
        <v>okafoja01,2019-20</v>
      </c>
      <c r="Z3212" s="168" t="str">
        <f t="array" ref="Z3212">iferror(index(I:I,match($A3212&amp;","&amp;index('Year Conversion'!$A:$A,match($C3212,'Year Conversion'!$B:$B,0)),$Y:$Y,0))-I3212,"")</f>
        <v/>
      </c>
      <c r="AA3212" s="168" t="str">
        <f t="array" ref="AA3212">iferror(index(J:J,match($A3212&amp;","&amp;index('Year Conversion'!$A:$A,match($C3212,'Year Conversion'!$B:$B,0)),$Y:$Y,0))-J3212,"")</f>
        <v/>
      </c>
      <c r="AB3212" s="168" t="str">
        <f t="array" ref="AB3212">iferror(index(K:K,match($A3212&amp;","&amp;index('Year Conversion'!$A:$A,match($C3212,'Year Conversion'!$B:$B,0)),$Y:$Y,0))-K3212,"")</f>
        <v/>
      </c>
      <c r="AC3212" s="168" t="str">
        <f t="shared" si="7"/>
        <v>NOP,2019-20</v>
      </c>
    </row>
    <row r="3213">
      <c r="A3213" s="161" t="str">
        <f>IFERROR(__xludf.DUMMYFUNCTION("""COMPUTED_VALUE"""),"mudiaem01")</f>
        <v>mudiaem01</v>
      </c>
      <c r="B3213" s="161" t="str">
        <f>IFERROR(__xludf.DUMMYFUNCTION("""COMPUTED_VALUE"""),"Emmanuel Mudiay")</f>
        <v>Emmanuel Mudiay</v>
      </c>
      <c r="C3213" s="162" t="str">
        <f>IFERROR(__xludf.DUMMYFUNCTION("""COMPUTED_VALUE"""),"2019-20")</f>
        <v>2019-20</v>
      </c>
      <c r="D3213" s="163" t="str">
        <f>IFERROR(__xludf.DUMMYFUNCTION("""COMPUTED_VALUE"""),"UTA")</f>
        <v>UTA</v>
      </c>
      <c r="E3213" s="164" t="str">
        <f>IFERROR(__xludf.DUMMYFUNCTION("""COMPUTED_VALUE"""),"Slasher")</f>
        <v>Slasher</v>
      </c>
      <c r="F3213" s="164">
        <f>IFERROR(__xludf.DUMMYFUNCTION("""COMPUTED_VALUE"""),849.596666666667)</f>
        <v>849.5966667</v>
      </c>
      <c r="G3213" s="163">
        <f>IFERROR(__xludf.DUMMYFUNCTION("""COMPUTED_VALUE"""),54.0)</f>
        <v>54</v>
      </c>
      <c r="H3213" s="163" t="str">
        <f>IFERROR(__xludf.DUMMYFUNCTION("""COMPUTED_VALUE"""),"PG")</f>
        <v>PG</v>
      </c>
      <c r="I3213" s="163">
        <f>IFERROR(__xludf.DUMMYFUNCTION("""COMPUTED_VALUE"""),23.0)</f>
        <v>23</v>
      </c>
      <c r="J3213" s="165">
        <f>IFERROR(__xludf.DUMMYFUNCTION("""COMPUTED_VALUE"""),-2.04689421748476)</f>
        <v>-2.046894217</v>
      </c>
      <c r="K3213" s="165">
        <f>IFERROR(__xludf.DUMMYFUNCTION("""COMPUTED_VALUE"""),-1.29749877728149)</f>
        <v>-1.297498777</v>
      </c>
      <c r="L3213" s="165">
        <f>IFERROR(__xludf.DUMMYFUNCTION("""COMPUTED_VALUE"""),-0.749395440203265)</f>
        <v>-0.7493954402</v>
      </c>
      <c r="M3213" s="166">
        <f t="shared" si="2"/>
        <v>0.144132303</v>
      </c>
      <c r="N3213" s="167">
        <f t="shared" si="3"/>
        <v>15.7332716</v>
      </c>
      <c r="O3213" s="163">
        <f t="shared" ref="O3213:Q3213" si="3217">rank(I3213,I:I)</f>
        <v>2765</v>
      </c>
      <c r="P3213" s="163">
        <f t="shared" si="3217"/>
        <v>3514</v>
      </c>
      <c r="Q3213" s="163">
        <f t="shared" si="3217"/>
        <v>3140</v>
      </c>
      <c r="R3213" s="163">
        <f>IFERROR(__xludf.DUMMYFUNCTION("RANK(M3213,filter(M:M,C:C=C3213))"),362.0)</f>
        <v>362</v>
      </c>
      <c r="S3213" s="161" t="b">
        <f t="shared" si="5"/>
        <v>0</v>
      </c>
      <c r="T3213" s="161" t="b">
        <f t="array" ref="T3213">index('Query Tool'!B:B,match(H3213,'Query Tool'!C:C,0))</f>
        <v>1</v>
      </c>
      <c r="U3213" s="161" t="b">
        <f t="array" ref="U3213">index('Query Tool'!B:B,match(C3213,'Query Tool'!C:C,0))</f>
        <v>0</v>
      </c>
      <c r="V3213" s="161" t="b">
        <f>F3213&gt;='Query Tool'!C$32</f>
        <v>1</v>
      </c>
      <c r="W3213" s="161" t="b">
        <f t="array" ref="W3213">index(Dropdowns!B:B,match(I3213,Dropdowns!A:A,0))</f>
        <v>1</v>
      </c>
      <c r="X3213" s="161" t="b">
        <f t="array" ref="X3213">index('Query Tool'!B:B,match(D3213,'Query Tool'!C:C,0))</f>
        <v>1</v>
      </c>
      <c r="Y3213" s="161" t="str">
        <f t="shared" si="6"/>
        <v>mudiaem01,2019-20</v>
      </c>
      <c r="Z3213" s="168" t="str">
        <f t="array" ref="Z3213">iferror(index(I:I,match($A3213&amp;","&amp;index('Year Conversion'!$A:$A,match($C3213,'Year Conversion'!$B:$B,0)),$Y:$Y,0))-I3213,"")</f>
        <v/>
      </c>
      <c r="AA3213" s="168" t="str">
        <f t="array" ref="AA3213">iferror(index(J:J,match($A3213&amp;","&amp;index('Year Conversion'!$A:$A,match($C3213,'Year Conversion'!$B:$B,0)),$Y:$Y,0))-J3213,"")</f>
        <v/>
      </c>
      <c r="AB3213" s="168" t="str">
        <f t="array" ref="AB3213">iferror(index(K:K,match($A3213&amp;","&amp;index('Year Conversion'!$A:$A,match($C3213,'Year Conversion'!$B:$B,0)),$Y:$Y,0))-K3213,"")</f>
        <v/>
      </c>
      <c r="AC3213" s="168" t="str">
        <f t="shared" si="7"/>
        <v>UTA,2019-20</v>
      </c>
    </row>
    <row r="3214">
      <c r="A3214" s="161" t="str">
        <f>IFERROR(__xludf.DUMMYFUNCTION("""COMPUTED_VALUE"""),"jonesty01")</f>
        <v>jonesty01</v>
      </c>
      <c r="B3214" s="161" t="str">
        <f>IFERROR(__xludf.DUMMYFUNCTION("""COMPUTED_VALUE"""),"Tyus Jones")</f>
        <v>Tyus Jones</v>
      </c>
      <c r="C3214" s="162" t="str">
        <f>IFERROR(__xludf.DUMMYFUNCTION("""COMPUTED_VALUE"""),"2019-20")</f>
        <v>2019-20</v>
      </c>
      <c r="D3214" s="163" t="str">
        <f>IFERROR(__xludf.DUMMYFUNCTION("""COMPUTED_VALUE"""),"MEM")</f>
        <v>MEM</v>
      </c>
      <c r="E3214" s="164" t="str">
        <f>IFERROR(__xludf.DUMMYFUNCTION("""COMPUTED_VALUE"""),"Primary Ball Handler")</f>
        <v>Primary Ball Handler</v>
      </c>
      <c r="F3214" s="164">
        <f>IFERROR(__xludf.DUMMYFUNCTION("""COMPUTED_VALUE"""),1231.97666666667)</f>
        <v>1231.976667</v>
      </c>
      <c r="G3214" s="163">
        <f>IFERROR(__xludf.DUMMYFUNCTION("""COMPUTED_VALUE"""),65.0)</f>
        <v>65</v>
      </c>
      <c r="H3214" s="163" t="str">
        <f>IFERROR(__xludf.DUMMYFUNCTION("""COMPUTED_VALUE"""),"PG")</f>
        <v>PG</v>
      </c>
      <c r="I3214" s="163">
        <f>IFERROR(__xludf.DUMMYFUNCTION("""COMPUTED_VALUE"""),23.0)</f>
        <v>23</v>
      </c>
      <c r="J3214" s="165">
        <f>IFERROR(__xludf.DUMMYFUNCTION("""COMPUTED_VALUE"""),0.530259364812103)</f>
        <v>0.5302593648</v>
      </c>
      <c r="K3214" s="165">
        <f>IFERROR(__xludf.DUMMYFUNCTION("""COMPUTED_VALUE"""),0.838723593295131)</f>
        <v>0.8387235933</v>
      </c>
      <c r="L3214" s="165">
        <f>IFERROR(__xludf.DUMMYFUNCTION("""COMPUTED_VALUE"""),-0.308464228483028)</f>
        <v>-0.3084642285</v>
      </c>
      <c r="M3214" s="166">
        <f t="shared" si="2"/>
        <v>2.339551479</v>
      </c>
      <c r="N3214" s="167">
        <f t="shared" si="3"/>
        <v>18.95348718</v>
      </c>
      <c r="O3214" s="163">
        <f t="shared" ref="O3214:Q3214" si="3218">rank(I3214,I:I)</f>
        <v>2765</v>
      </c>
      <c r="P3214" s="163">
        <f t="shared" si="3218"/>
        <v>881</v>
      </c>
      <c r="Q3214" s="163">
        <f t="shared" si="3218"/>
        <v>587</v>
      </c>
      <c r="R3214" s="163">
        <f>IFERROR(__xludf.DUMMYFUNCTION("RANK(M3214,filter(M:M,C:C=C3214))"),135.0)</f>
        <v>135</v>
      </c>
      <c r="S3214" s="161" t="b">
        <f t="shared" si="5"/>
        <v>0</v>
      </c>
      <c r="T3214" s="161" t="b">
        <f t="array" ref="T3214">index('Query Tool'!B:B,match(H3214,'Query Tool'!C:C,0))</f>
        <v>1</v>
      </c>
      <c r="U3214" s="161" t="b">
        <f t="array" ref="U3214">index('Query Tool'!B:B,match(C3214,'Query Tool'!C:C,0))</f>
        <v>0</v>
      </c>
      <c r="V3214" s="161" t="b">
        <f>F3214&gt;='Query Tool'!C$32</f>
        <v>1</v>
      </c>
      <c r="W3214" s="161" t="b">
        <f t="array" ref="W3214">index(Dropdowns!B:B,match(I3214,Dropdowns!A:A,0))</f>
        <v>1</v>
      </c>
      <c r="X3214" s="161" t="b">
        <f t="array" ref="X3214">index('Query Tool'!B:B,match(D3214,'Query Tool'!C:C,0))</f>
        <v>1</v>
      </c>
      <c r="Y3214" s="161" t="str">
        <f t="shared" si="6"/>
        <v>jonesty01,2019-20</v>
      </c>
      <c r="Z3214" s="168" t="str">
        <f t="array" ref="Z3214">iferror(index(I:I,match($A3214&amp;","&amp;index('Year Conversion'!$A:$A,match($C3214,'Year Conversion'!$B:$B,0)),$Y:$Y,0))-I3214,"")</f>
        <v/>
      </c>
      <c r="AA3214" s="168" t="str">
        <f t="array" ref="AA3214">iferror(index(J:J,match($A3214&amp;","&amp;index('Year Conversion'!$A:$A,match($C3214,'Year Conversion'!$B:$B,0)),$Y:$Y,0))-J3214,"")</f>
        <v/>
      </c>
      <c r="AB3214" s="168" t="str">
        <f t="array" ref="AB3214">iferror(index(K:K,match($A3214&amp;","&amp;index('Year Conversion'!$A:$A,match($C3214,'Year Conversion'!$B:$B,0)),$Y:$Y,0))-K3214,"")</f>
        <v/>
      </c>
      <c r="AC3214" s="168" t="str">
        <f t="shared" si="7"/>
        <v>MEM,2019-20</v>
      </c>
    </row>
    <row r="3215">
      <c r="A3215" s="161" t="str">
        <f>IFERROR(__xludf.DUMMYFUNCTION("""COMPUTED_VALUE"""),"anderju01")</f>
        <v>anderju01</v>
      </c>
      <c r="B3215" s="161" t="str">
        <f>IFERROR(__xludf.DUMMYFUNCTION("""COMPUTED_VALUE"""),"Justin Anderson")</f>
        <v>Justin Anderson</v>
      </c>
      <c r="C3215" s="162" t="str">
        <f>IFERROR(__xludf.DUMMYFUNCTION("""COMPUTED_VALUE"""),"2019-20")</f>
        <v>2019-20</v>
      </c>
      <c r="D3215" s="163" t="str">
        <f>IFERROR(__xludf.DUMMYFUNCTION("""COMPUTED_VALUE"""),"BRK")</f>
        <v>BRK</v>
      </c>
      <c r="E3215" s="164" t="str">
        <f>IFERROR(__xludf.DUMMYFUNCTION("""COMPUTED_VALUE"""),"Movement Shooter")</f>
        <v>Movement Shooter</v>
      </c>
      <c r="F3215" s="164">
        <f>IFERROR(__xludf.DUMMYFUNCTION("""COMPUTED_VALUE"""),107.333333333333)</f>
        <v>107.3333333</v>
      </c>
      <c r="G3215" s="163">
        <f>IFERROR(__xludf.DUMMYFUNCTION("""COMPUTED_VALUE"""),10.0)</f>
        <v>10</v>
      </c>
      <c r="H3215" s="163" t="str">
        <f>IFERROR(__xludf.DUMMYFUNCTION("""COMPUTED_VALUE"""),"SG")</f>
        <v>SG</v>
      </c>
      <c r="I3215" s="163">
        <f>IFERROR(__xludf.DUMMYFUNCTION("""COMPUTED_VALUE"""),26.0)</f>
        <v>26</v>
      </c>
      <c r="J3215" s="165">
        <f>IFERROR(__xludf.DUMMYFUNCTION("""COMPUTED_VALUE"""),-0.298522846992184)</f>
        <v>-0.298522847</v>
      </c>
      <c r="K3215" s="165">
        <f>IFERROR(__xludf.DUMMYFUNCTION("""COMPUTED_VALUE"""),-0.417300300077832)</f>
        <v>-0.4173003001</v>
      </c>
      <c r="L3215" s="165">
        <f>IFERROR(__xludf.DUMMYFUNCTION("""COMPUTED_VALUE"""),0.118777453085648)</f>
        <v>0.1187774531</v>
      </c>
      <c r="M3215" s="166">
        <f t="shared" si="2"/>
        <v>0.1438728754</v>
      </c>
      <c r="N3215" s="167">
        <f t="shared" si="3"/>
        <v>10.73333333</v>
      </c>
      <c r="O3215" s="163">
        <f t="shared" ref="O3215:Q3215" si="3219">rank(I3215,I:I)</f>
        <v>1665</v>
      </c>
      <c r="P3215" s="163">
        <f t="shared" si="3219"/>
        <v>1609</v>
      </c>
      <c r="Q3215" s="163">
        <f t="shared" si="3219"/>
        <v>1977</v>
      </c>
      <c r="R3215" s="163">
        <f>IFERROR(__xludf.DUMMYFUNCTION("RANK(M3215,filter(M:M,C:C=C3215))"),363.0)</f>
        <v>363</v>
      </c>
      <c r="S3215" s="161" t="b">
        <f t="shared" si="5"/>
        <v>0</v>
      </c>
      <c r="T3215" s="161" t="b">
        <f t="array" ref="T3215">index('Query Tool'!B:B,match(H3215,'Query Tool'!C:C,0))</f>
        <v>1</v>
      </c>
      <c r="U3215" s="161" t="b">
        <f t="array" ref="U3215">index('Query Tool'!B:B,match(C3215,'Query Tool'!C:C,0))</f>
        <v>0</v>
      </c>
      <c r="V3215" s="161" t="b">
        <f>F3215&gt;='Query Tool'!C$32</f>
        <v>0</v>
      </c>
      <c r="W3215" s="161" t="b">
        <f t="array" ref="W3215">index(Dropdowns!B:B,match(I3215,Dropdowns!A:A,0))</f>
        <v>1</v>
      </c>
      <c r="X3215" s="161" t="b">
        <f t="array" ref="X3215">index('Query Tool'!B:B,match(D3215,'Query Tool'!C:C,0))</f>
        <v>1</v>
      </c>
      <c r="Y3215" s="161" t="str">
        <f t="shared" si="6"/>
        <v>anderju01,2019-20</v>
      </c>
      <c r="Z3215" s="168" t="str">
        <f t="array" ref="Z3215">iferror(index(I:I,match($A3215&amp;","&amp;index('Year Conversion'!$A:$A,match($C3215,'Year Conversion'!$B:$B,0)),$Y:$Y,0))-I3215,"")</f>
        <v/>
      </c>
      <c r="AA3215" s="168" t="str">
        <f t="array" ref="AA3215">iferror(index(J:J,match($A3215&amp;","&amp;index('Year Conversion'!$A:$A,match($C3215,'Year Conversion'!$B:$B,0)),$Y:$Y,0))-J3215,"")</f>
        <v/>
      </c>
      <c r="AB3215" s="168" t="str">
        <f t="array" ref="AB3215">iferror(index(K:K,match($A3215&amp;","&amp;index('Year Conversion'!$A:$A,match($C3215,'Year Conversion'!$B:$B,0)),$Y:$Y,0))-K3215,"")</f>
        <v/>
      </c>
      <c r="AC3215" s="168" t="str">
        <f t="shared" si="7"/>
        <v>BRK,2019-20</v>
      </c>
    </row>
    <row r="3216">
      <c r="A3216" s="161" t="str">
        <f>IFERROR(__xludf.DUMMYFUNCTION("""COMPUTED_VALUE"""),"harremo01")</f>
        <v>harremo01</v>
      </c>
      <c r="B3216" s="161" t="str">
        <f>IFERROR(__xludf.DUMMYFUNCTION("""COMPUTED_VALUE"""),"Montrezl Harrell")</f>
        <v>Montrezl Harrell</v>
      </c>
      <c r="C3216" s="162" t="str">
        <f>IFERROR(__xludf.DUMMYFUNCTION("""COMPUTED_VALUE"""),"2019-20")</f>
        <v>2019-20</v>
      </c>
      <c r="D3216" s="163" t="str">
        <f>IFERROR(__xludf.DUMMYFUNCTION("""COMPUTED_VALUE"""),"LAC")</f>
        <v>LAC</v>
      </c>
      <c r="E3216" s="164" t="str">
        <f>IFERROR(__xludf.DUMMYFUNCTION("""COMPUTED_VALUE"""),"Post Scorer")</f>
        <v>Post Scorer</v>
      </c>
      <c r="F3216" s="164">
        <f>IFERROR(__xludf.DUMMYFUNCTION("""COMPUTED_VALUE"""),1749.12666666667)</f>
        <v>1749.126667</v>
      </c>
      <c r="G3216" s="163">
        <f>IFERROR(__xludf.DUMMYFUNCTION("""COMPUTED_VALUE"""),63.0)</f>
        <v>63</v>
      </c>
      <c r="H3216" s="163" t="str">
        <f>IFERROR(__xludf.DUMMYFUNCTION("""COMPUTED_VALUE"""),"C")</f>
        <v>C</v>
      </c>
      <c r="I3216" s="163">
        <f>IFERROR(__xludf.DUMMYFUNCTION("""COMPUTED_VALUE"""),26.0)</f>
        <v>26</v>
      </c>
      <c r="J3216" s="165">
        <f>IFERROR(__xludf.DUMMYFUNCTION("""COMPUTED_VALUE"""),1.69664805133125)</f>
        <v>1.696648051</v>
      </c>
      <c r="K3216" s="165">
        <f>IFERROR(__xludf.DUMMYFUNCTION("""COMPUTED_VALUE"""),1.41715786006004)</f>
        <v>1.41715786</v>
      </c>
      <c r="L3216" s="165">
        <f>IFERROR(__xludf.DUMMYFUNCTION("""COMPUTED_VALUE"""),0.279490191271218)</f>
        <v>0.2794901913</v>
      </c>
      <c r="M3216" s="166">
        <f t="shared" si="2"/>
        <v>4.68936852</v>
      </c>
      <c r="N3216" s="167">
        <f t="shared" si="3"/>
        <v>27.76391534</v>
      </c>
      <c r="O3216" s="163">
        <f t="shared" ref="O3216:Q3216" si="3220">rank(I3216,I:I)</f>
        <v>1665</v>
      </c>
      <c r="P3216" s="163">
        <f t="shared" si="3220"/>
        <v>399</v>
      </c>
      <c r="Q3216" s="163">
        <f t="shared" si="3220"/>
        <v>345</v>
      </c>
      <c r="R3216" s="163">
        <f>IFERROR(__xludf.DUMMYFUNCTION("RANK(M3216,filter(M:M,C:C=C3216))"),47.0)</f>
        <v>47</v>
      </c>
      <c r="S3216" s="161" t="b">
        <f t="shared" si="5"/>
        <v>0</v>
      </c>
      <c r="T3216" s="161" t="b">
        <f t="array" ref="T3216">index('Query Tool'!B:B,match(H3216,'Query Tool'!C:C,0))</f>
        <v>1</v>
      </c>
      <c r="U3216" s="161" t="b">
        <f t="array" ref="U3216">index('Query Tool'!B:B,match(C3216,'Query Tool'!C:C,0))</f>
        <v>0</v>
      </c>
      <c r="V3216" s="161" t="b">
        <f>F3216&gt;='Query Tool'!C$32</f>
        <v>1</v>
      </c>
      <c r="W3216" s="161" t="b">
        <f t="array" ref="W3216">index(Dropdowns!B:B,match(I3216,Dropdowns!A:A,0))</f>
        <v>1</v>
      </c>
      <c r="X3216" s="161" t="b">
        <f t="array" ref="X3216">index('Query Tool'!B:B,match(D3216,'Query Tool'!C:C,0))</f>
        <v>1</v>
      </c>
      <c r="Y3216" s="161" t="str">
        <f t="shared" si="6"/>
        <v>harremo01,2019-20</v>
      </c>
      <c r="Z3216" s="168" t="str">
        <f t="array" ref="Z3216">iferror(index(I:I,match($A3216&amp;","&amp;index('Year Conversion'!$A:$A,match($C3216,'Year Conversion'!$B:$B,0)),$Y:$Y,0))-I3216,"")</f>
        <v/>
      </c>
      <c r="AA3216" s="168" t="str">
        <f t="array" ref="AA3216">iferror(index(J:J,match($A3216&amp;","&amp;index('Year Conversion'!$A:$A,match($C3216,'Year Conversion'!$B:$B,0)),$Y:$Y,0))-J3216,"")</f>
        <v/>
      </c>
      <c r="AB3216" s="168" t="str">
        <f t="array" ref="AB3216">iferror(index(K:K,match($A3216&amp;","&amp;index('Year Conversion'!$A:$A,match($C3216,'Year Conversion'!$B:$B,0)),$Y:$Y,0))-K3216,"")</f>
        <v/>
      </c>
      <c r="AC3216" s="168" t="str">
        <f t="shared" si="7"/>
        <v>LAC,2019-20</v>
      </c>
    </row>
    <row r="3217">
      <c r="A3217" s="161" t="str">
        <f>IFERROR(__xludf.DUMMYFUNCTION("""COMPUTED_VALUE"""),"wrighde01")</f>
        <v>wrighde01</v>
      </c>
      <c r="B3217" s="161" t="str">
        <f>IFERROR(__xludf.DUMMYFUNCTION("""COMPUTED_VALUE"""),"Delon Wright")</f>
        <v>Delon Wright</v>
      </c>
      <c r="C3217" s="162" t="str">
        <f>IFERROR(__xludf.DUMMYFUNCTION("""COMPUTED_VALUE"""),"2019-20")</f>
        <v>2019-20</v>
      </c>
      <c r="D3217" s="163" t="str">
        <f>IFERROR(__xludf.DUMMYFUNCTION("""COMPUTED_VALUE"""),"DAL")</f>
        <v>DAL</v>
      </c>
      <c r="E3217" s="164" t="str">
        <f>IFERROR(__xludf.DUMMYFUNCTION("""COMPUTED_VALUE"""),"Primary Ball Handler")</f>
        <v>Primary Ball Handler</v>
      </c>
      <c r="F3217" s="164">
        <f>IFERROR(__xludf.DUMMYFUNCTION("""COMPUTED_VALUE"""),1569.71666666667)</f>
        <v>1569.716667</v>
      </c>
      <c r="G3217" s="163">
        <f>IFERROR(__xludf.DUMMYFUNCTION("""COMPUTED_VALUE"""),73.0)</f>
        <v>73</v>
      </c>
      <c r="H3217" s="163" t="str">
        <f>IFERROR(__xludf.DUMMYFUNCTION("""COMPUTED_VALUE"""),"PG")</f>
        <v>PG</v>
      </c>
      <c r="I3217" s="163">
        <f>IFERROR(__xludf.DUMMYFUNCTION("""COMPUTED_VALUE"""),27.0)</f>
        <v>27</v>
      </c>
      <c r="J3217" s="165">
        <f>IFERROR(__xludf.DUMMYFUNCTION("""COMPUTED_VALUE"""),0.166660876537406)</f>
        <v>0.1666608765</v>
      </c>
      <c r="K3217" s="165">
        <f>IFERROR(__xludf.DUMMYFUNCTION("""COMPUTED_VALUE"""),0.233520708902274)</f>
        <v>0.2335207089</v>
      </c>
      <c r="L3217" s="165">
        <f>IFERROR(__xludf.DUMMYFUNCTION("""COMPUTED_VALUE"""),-0.0668598323648683)</f>
        <v>-0.06685983236</v>
      </c>
      <c r="M3217" s="166">
        <f t="shared" si="2"/>
        <v>2.596348093</v>
      </c>
      <c r="N3217" s="167">
        <f t="shared" si="3"/>
        <v>21.50296804</v>
      </c>
      <c r="O3217" s="163">
        <f t="shared" ref="O3217:Q3217" si="3221">rank(I3217,I:I)</f>
        <v>1366</v>
      </c>
      <c r="P3217" s="163">
        <f t="shared" si="3221"/>
        <v>1114</v>
      </c>
      <c r="Q3217" s="163">
        <f t="shared" si="3221"/>
        <v>958</v>
      </c>
      <c r="R3217" s="163">
        <f>IFERROR(__xludf.DUMMYFUNCTION("RANK(M3217,filter(M:M,C:C=C3217))"),115.0)</f>
        <v>115</v>
      </c>
      <c r="S3217" s="161" t="b">
        <f t="shared" si="5"/>
        <v>0</v>
      </c>
      <c r="T3217" s="161" t="b">
        <f t="array" ref="T3217">index('Query Tool'!B:B,match(H3217,'Query Tool'!C:C,0))</f>
        <v>1</v>
      </c>
      <c r="U3217" s="161" t="b">
        <f t="array" ref="U3217">index('Query Tool'!B:B,match(C3217,'Query Tool'!C:C,0))</f>
        <v>0</v>
      </c>
      <c r="V3217" s="161" t="b">
        <f>F3217&gt;='Query Tool'!C$32</f>
        <v>1</v>
      </c>
      <c r="W3217" s="161" t="b">
        <f t="array" ref="W3217">index(Dropdowns!B:B,match(I3217,Dropdowns!A:A,0))</f>
        <v>1</v>
      </c>
      <c r="X3217" s="161" t="b">
        <f t="array" ref="X3217">index('Query Tool'!B:B,match(D3217,'Query Tool'!C:C,0))</f>
        <v>1</v>
      </c>
      <c r="Y3217" s="161" t="str">
        <f t="shared" si="6"/>
        <v>wrighde01,2019-20</v>
      </c>
      <c r="Z3217" s="168" t="str">
        <f t="array" ref="Z3217">iferror(index(I:I,match($A3217&amp;","&amp;index('Year Conversion'!$A:$A,match($C3217,'Year Conversion'!$B:$B,0)),$Y:$Y,0))-I3217,"")</f>
        <v/>
      </c>
      <c r="AA3217" s="168" t="str">
        <f t="array" ref="AA3217">iferror(index(J:J,match($A3217&amp;","&amp;index('Year Conversion'!$A:$A,match($C3217,'Year Conversion'!$B:$B,0)),$Y:$Y,0))-J3217,"")</f>
        <v/>
      </c>
      <c r="AB3217" s="168" t="str">
        <f t="array" ref="AB3217">iferror(index(K:K,match($A3217&amp;","&amp;index('Year Conversion'!$A:$A,match($C3217,'Year Conversion'!$B:$B,0)),$Y:$Y,0))-K3217,"")</f>
        <v/>
      </c>
      <c r="AC3217" s="168" t="str">
        <f t="shared" si="7"/>
        <v>DAL,2019-20</v>
      </c>
    </row>
    <row r="3218">
      <c r="A3218" s="161" t="str">
        <f>IFERROR(__xludf.DUMMYFUNCTION("""COMPUTED_VALUE"""),"russeda01")</f>
        <v>russeda01</v>
      </c>
      <c r="B3218" s="161" t="str">
        <f>IFERROR(__xludf.DUMMYFUNCTION("""COMPUTED_VALUE"""),"D'Angelo Russell")</f>
        <v>D'Angelo Russell</v>
      </c>
      <c r="C3218" s="162" t="str">
        <f>IFERROR(__xludf.DUMMYFUNCTION("""COMPUTED_VALUE"""),"2019-20")</f>
        <v>2019-20</v>
      </c>
      <c r="D3218" s="163" t="str">
        <f>IFERROR(__xludf.DUMMYFUNCTION("""COMPUTED_VALUE"""),"TOT")</f>
        <v>TOT</v>
      </c>
      <c r="E3218" s="164" t="str">
        <f>IFERROR(__xludf.DUMMYFUNCTION("""COMPUTED_VALUE"""),"Secondary Ball Handler")</f>
        <v>Secondary Ball Handler</v>
      </c>
      <c r="F3218" s="164">
        <f>IFERROR(__xludf.DUMMYFUNCTION("""COMPUTED_VALUE"""),1452.12833333333)</f>
        <v>1452.128333</v>
      </c>
      <c r="G3218" s="163">
        <f>IFERROR(__xludf.DUMMYFUNCTION("""COMPUTED_VALUE"""),45.0)</f>
        <v>45</v>
      </c>
      <c r="H3218" s="163" t="str">
        <f>IFERROR(__xludf.DUMMYFUNCTION("""COMPUTED_VALUE"""),"PG")</f>
        <v>PG</v>
      </c>
      <c r="I3218" s="163">
        <f>IFERROR(__xludf.DUMMYFUNCTION("""COMPUTED_VALUE"""),23.0)</f>
        <v>23</v>
      </c>
      <c r="J3218" s="165">
        <f>IFERROR(__xludf.DUMMYFUNCTION("""COMPUTED_VALUE"""),0.195274792606438)</f>
        <v>0.1952747926</v>
      </c>
      <c r="K3218" s="165">
        <f>IFERROR(__xludf.DUMMYFUNCTION("""COMPUTED_VALUE"""),2.11441687481208)</f>
        <v>2.114416875</v>
      </c>
      <c r="L3218" s="165">
        <f>IFERROR(__xludf.DUMMYFUNCTION("""COMPUTED_VALUE"""),-1.91914208220565)</f>
        <v>-1.919142082</v>
      </c>
      <c r="M3218" s="166">
        <f t="shared" si="2"/>
        <v>2.429863721</v>
      </c>
      <c r="N3218" s="167">
        <f t="shared" si="3"/>
        <v>32.26951852</v>
      </c>
      <c r="O3218" s="163">
        <f t="shared" ref="O3218:Q3218" si="3222">rank(I3218,I:I)</f>
        <v>2765</v>
      </c>
      <c r="P3218" s="163">
        <f t="shared" si="3222"/>
        <v>1096</v>
      </c>
      <c r="Q3218" s="163">
        <f t="shared" si="3222"/>
        <v>212</v>
      </c>
      <c r="R3218" s="163">
        <f>IFERROR(__xludf.DUMMYFUNCTION("RANK(M3218,filter(M:M,C:C=C3218))"),129.0)</f>
        <v>129</v>
      </c>
      <c r="S3218" s="161" t="b">
        <f t="shared" si="5"/>
        <v>0</v>
      </c>
      <c r="T3218" s="161" t="b">
        <f t="array" ref="T3218">index('Query Tool'!B:B,match(H3218,'Query Tool'!C:C,0))</f>
        <v>1</v>
      </c>
      <c r="U3218" s="161" t="b">
        <f t="array" ref="U3218">index('Query Tool'!B:B,match(C3218,'Query Tool'!C:C,0))</f>
        <v>0</v>
      </c>
      <c r="V3218" s="161" t="b">
        <f>F3218&gt;='Query Tool'!C$32</f>
        <v>1</v>
      </c>
      <c r="W3218" s="161" t="b">
        <f t="array" ref="W3218">index(Dropdowns!B:B,match(I3218,Dropdowns!A:A,0))</f>
        <v>1</v>
      </c>
      <c r="X3218" s="161" t="b">
        <f t="array" ref="X3218">index('Query Tool'!B:B,match(D3218,'Query Tool'!C:C,0))</f>
        <v>1</v>
      </c>
      <c r="Y3218" s="161" t="str">
        <f t="shared" si="6"/>
        <v>russeda01,2019-20</v>
      </c>
      <c r="Z3218" s="168" t="str">
        <f t="array" ref="Z3218">iferror(index(I:I,match($A3218&amp;","&amp;index('Year Conversion'!$A:$A,match($C3218,'Year Conversion'!$B:$B,0)),$Y:$Y,0))-I3218,"")</f>
        <v/>
      </c>
      <c r="AA3218" s="168" t="str">
        <f t="array" ref="AA3218">iferror(index(J:J,match($A3218&amp;","&amp;index('Year Conversion'!$A:$A,match($C3218,'Year Conversion'!$B:$B,0)),$Y:$Y,0))-J3218,"")</f>
        <v/>
      </c>
      <c r="AB3218" s="168" t="str">
        <f t="array" ref="AB3218">iferror(index(K:K,match($A3218&amp;","&amp;index('Year Conversion'!$A:$A,match($C3218,'Year Conversion'!$B:$B,0)),$Y:$Y,0))-K3218,"")</f>
        <v/>
      </c>
      <c r="AC3218" s="168" t="str">
        <f t="shared" si="7"/>
        <v>TOT,2019-20</v>
      </c>
    </row>
    <row r="3219">
      <c r="A3219" s="161" t="str">
        <f>IFERROR(__xludf.DUMMYFUNCTION("""COMPUTED_VALUE"""),"townska01")</f>
        <v>townska01</v>
      </c>
      <c r="B3219" s="161" t="str">
        <f>IFERROR(__xludf.DUMMYFUNCTION("""COMPUTED_VALUE"""),"Karl-Anthony Towns")</f>
        <v>Karl-Anthony Towns</v>
      </c>
      <c r="C3219" s="162" t="str">
        <f>IFERROR(__xludf.DUMMYFUNCTION("""COMPUTED_VALUE"""),"2019-20")</f>
        <v>2019-20</v>
      </c>
      <c r="D3219" s="163" t="str">
        <f>IFERROR(__xludf.DUMMYFUNCTION("""COMPUTED_VALUE"""),"MIN")</f>
        <v>MIN</v>
      </c>
      <c r="E3219" s="164" t="str">
        <f>IFERROR(__xludf.DUMMYFUNCTION("""COMPUTED_VALUE"""),"Versatile Big")</f>
        <v>Versatile Big</v>
      </c>
      <c r="F3219" s="164">
        <f>IFERROR(__xludf.DUMMYFUNCTION("""COMPUTED_VALUE"""),1187.03)</f>
        <v>1187.03</v>
      </c>
      <c r="G3219" s="163">
        <f>IFERROR(__xludf.DUMMYFUNCTION("""COMPUTED_VALUE"""),35.0)</f>
        <v>35</v>
      </c>
      <c r="H3219" s="163" t="str">
        <f>IFERROR(__xludf.DUMMYFUNCTION("""COMPUTED_VALUE"""),"C")</f>
        <v>C</v>
      </c>
      <c r="I3219" s="163">
        <f>IFERROR(__xludf.DUMMYFUNCTION("""COMPUTED_VALUE"""),24.0)</f>
        <v>24</v>
      </c>
      <c r="J3219" s="165">
        <f>IFERROR(__xludf.DUMMYFUNCTION("""COMPUTED_VALUE"""),4.2789694411386)</f>
        <v>4.278969441</v>
      </c>
      <c r="K3219" s="165">
        <f>IFERROR(__xludf.DUMMYFUNCTION("""COMPUTED_VALUE"""),4.16778190181712)</f>
        <v>4.167781902</v>
      </c>
      <c r="L3219" s="165">
        <f>IFERROR(__xludf.DUMMYFUNCTION("""COMPUTED_VALUE"""),0.111187539321478)</f>
        <v>0.1111875393</v>
      </c>
      <c r="M3219" s="166">
        <f t="shared" si="2"/>
        <v>5.169865636</v>
      </c>
      <c r="N3219" s="167">
        <f t="shared" si="3"/>
        <v>33.91514286</v>
      </c>
      <c r="O3219" s="163">
        <f t="shared" ref="O3219:Q3219" si="3223">rank(I3219,I:I)</f>
        <v>2361</v>
      </c>
      <c r="P3219" s="163">
        <f t="shared" si="3223"/>
        <v>84</v>
      </c>
      <c r="Q3219" s="163">
        <f t="shared" si="3223"/>
        <v>53</v>
      </c>
      <c r="R3219" s="163">
        <f>IFERROR(__xludf.DUMMYFUNCTION("RANK(M3219,filter(M:M,C:C=C3219))"),33.0)</f>
        <v>33</v>
      </c>
      <c r="S3219" s="161" t="b">
        <f t="shared" si="5"/>
        <v>0</v>
      </c>
      <c r="T3219" s="161" t="b">
        <f t="array" ref="T3219">index('Query Tool'!B:B,match(H3219,'Query Tool'!C:C,0))</f>
        <v>1</v>
      </c>
      <c r="U3219" s="161" t="b">
        <f t="array" ref="U3219">index('Query Tool'!B:B,match(C3219,'Query Tool'!C:C,0))</f>
        <v>0</v>
      </c>
      <c r="V3219" s="161" t="b">
        <f>F3219&gt;='Query Tool'!C$32</f>
        <v>1</v>
      </c>
      <c r="W3219" s="161" t="b">
        <f t="array" ref="W3219">index(Dropdowns!B:B,match(I3219,Dropdowns!A:A,0))</f>
        <v>1</v>
      </c>
      <c r="X3219" s="161" t="b">
        <f t="array" ref="X3219">index('Query Tool'!B:B,match(D3219,'Query Tool'!C:C,0))</f>
        <v>1</v>
      </c>
      <c r="Y3219" s="161" t="str">
        <f t="shared" si="6"/>
        <v>townska01,2019-20</v>
      </c>
      <c r="Z3219" s="168" t="str">
        <f t="array" ref="Z3219">iferror(index(I:I,match($A3219&amp;","&amp;index('Year Conversion'!$A:$A,match($C3219,'Year Conversion'!$B:$B,0)),$Y:$Y,0))-I3219,"")</f>
        <v/>
      </c>
      <c r="AA3219" s="168" t="str">
        <f t="array" ref="AA3219">iferror(index(J:J,match($A3219&amp;","&amp;index('Year Conversion'!$A:$A,match($C3219,'Year Conversion'!$B:$B,0)),$Y:$Y,0))-J3219,"")</f>
        <v/>
      </c>
      <c r="AB3219" s="168" t="str">
        <f t="array" ref="AB3219">iferror(index(K:K,match($A3219&amp;","&amp;index('Year Conversion'!$A:$A,match($C3219,'Year Conversion'!$B:$B,0)),$Y:$Y,0))-K3219,"")</f>
        <v/>
      </c>
      <c r="AC3219" s="168" t="str">
        <f t="shared" si="7"/>
        <v>MIN,2019-20</v>
      </c>
    </row>
    <row r="3220">
      <c r="A3220" s="161" t="str">
        <f>IFERROR(__xludf.DUMMYFUNCTION("""COMPUTED_VALUE"""),"holmeri01")</f>
        <v>holmeri01</v>
      </c>
      <c r="B3220" s="161" t="str">
        <f>IFERROR(__xludf.DUMMYFUNCTION("""COMPUTED_VALUE"""),"Richaun Holmes")</f>
        <v>Richaun Holmes</v>
      </c>
      <c r="C3220" s="162" t="str">
        <f>IFERROR(__xludf.DUMMYFUNCTION("""COMPUTED_VALUE"""),"2019-20")</f>
        <v>2019-20</v>
      </c>
      <c r="D3220" s="163" t="str">
        <f>IFERROR(__xludf.DUMMYFUNCTION("""COMPUTED_VALUE"""),"SAC")</f>
        <v>SAC</v>
      </c>
      <c r="E3220" s="164" t="str">
        <f>IFERROR(__xludf.DUMMYFUNCTION("""COMPUTED_VALUE"""),"Roll + Cut Big")</f>
        <v>Roll + Cut Big</v>
      </c>
      <c r="F3220" s="164">
        <f>IFERROR(__xludf.DUMMYFUNCTION("""COMPUTED_VALUE"""),1241.615)</f>
        <v>1241.615</v>
      </c>
      <c r="G3220" s="163">
        <f>IFERROR(__xludf.DUMMYFUNCTION("""COMPUTED_VALUE"""),44.0)</f>
        <v>44</v>
      </c>
      <c r="H3220" s="163" t="str">
        <f>IFERROR(__xludf.DUMMYFUNCTION("""COMPUTED_VALUE"""),"C")</f>
        <v>C</v>
      </c>
      <c r="I3220" s="163">
        <f>IFERROR(__xludf.DUMMYFUNCTION("""COMPUTED_VALUE"""),26.0)</f>
        <v>26</v>
      </c>
      <c r="J3220" s="165">
        <f>IFERROR(__xludf.DUMMYFUNCTION("""COMPUTED_VALUE"""),2.55413631642608)</f>
        <v>2.554136316</v>
      </c>
      <c r="K3220" s="165">
        <f>IFERROR(__xludf.DUMMYFUNCTION("""COMPUTED_VALUE"""),0.489307832127166)</f>
        <v>0.4893078321</v>
      </c>
      <c r="L3220" s="165">
        <f>IFERROR(__xludf.DUMMYFUNCTION("""COMPUTED_VALUE"""),2.06482848429892)</f>
        <v>2.064828484</v>
      </c>
      <c r="M3220" s="166">
        <f t="shared" si="2"/>
        <v>4.033015692</v>
      </c>
      <c r="N3220" s="167">
        <f t="shared" si="3"/>
        <v>28.21852273</v>
      </c>
      <c r="O3220" s="163">
        <f t="shared" ref="O3220:Q3220" si="3224">rank(I3220,I:I)</f>
        <v>1665</v>
      </c>
      <c r="P3220" s="163">
        <f t="shared" si="3224"/>
        <v>215</v>
      </c>
      <c r="Q3220" s="163">
        <f t="shared" si="3224"/>
        <v>770</v>
      </c>
      <c r="R3220" s="163">
        <f>IFERROR(__xludf.DUMMYFUNCTION("RANK(M3220,filter(M:M,C:C=C3220))"),67.0)</f>
        <v>67</v>
      </c>
      <c r="S3220" s="161" t="b">
        <f t="shared" si="5"/>
        <v>0</v>
      </c>
      <c r="T3220" s="161" t="b">
        <f t="array" ref="T3220">index('Query Tool'!B:B,match(H3220,'Query Tool'!C:C,0))</f>
        <v>1</v>
      </c>
      <c r="U3220" s="161" t="b">
        <f t="array" ref="U3220">index('Query Tool'!B:B,match(C3220,'Query Tool'!C:C,0))</f>
        <v>0</v>
      </c>
      <c r="V3220" s="161" t="b">
        <f>F3220&gt;='Query Tool'!C$32</f>
        <v>1</v>
      </c>
      <c r="W3220" s="161" t="b">
        <f t="array" ref="W3220">index(Dropdowns!B:B,match(I3220,Dropdowns!A:A,0))</f>
        <v>1</v>
      </c>
      <c r="X3220" s="161" t="b">
        <f t="array" ref="X3220">index('Query Tool'!B:B,match(D3220,'Query Tool'!C:C,0))</f>
        <v>1</v>
      </c>
      <c r="Y3220" s="161" t="str">
        <f t="shared" si="6"/>
        <v>holmeri01,2019-20</v>
      </c>
      <c r="Z3220" s="168" t="str">
        <f t="array" ref="Z3220">iferror(index(I:I,match($A3220&amp;","&amp;index('Year Conversion'!$A:$A,match($C3220,'Year Conversion'!$B:$B,0)),$Y:$Y,0))-I3220,"")</f>
        <v/>
      </c>
      <c r="AA3220" s="168" t="str">
        <f t="array" ref="AA3220">iferror(index(J:J,match($A3220&amp;","&amp;index('Year Conversion'!$A:$A,match($C3220,'Year Conversion'!$B:$B,0)),$Y:$Y,0))-J3220,"")</f>
        <v/>
      </c>
      <c r="AB3220" s="168" t="str">
        <f t="array" ref="AB3220">iferror(index(K:K,match($A3220&amp;","&amp;index('Year Conversion'!$A:$A,match($C3220,'Year Conversion'!$B:$B,0)),$Y:$Y,0))-K3220,"")</f>
        <v/>
      </c>
      <c r="AC3220" s="168" t="str">
        <f t="shared" si="7"/>
        <v>SAC,2019-20</v>
      </c>
    </row>
    <row r="3221">
      <c r="A3221" s="161" t="str">
        <f>IFERROR(__xludf.DUMMYFUNCTION("""COMPUTED_VALUE"""),"winslju01")</f>
        <v>winslju01</v>
      </c>
      <c r="B3221" s="161" t="str">
        <f>IFERROR(__xludf.DUMMYFUNCTION("""COMPUTED_VALUE"""),"Justise Winslow")</f>
        <v>Justise Winslow</v>
      </c>
      <c r="C3221" s="162" t="str">
        <f>IFERROR(__xludf.DUMMYFUNCTION("""COMPUTED_VALUE"""),"2019-20")</f>
        <v>2019-20</v>
      </c>
      <c r="D3221" s="163" t="str">
        <f>IFERROR(__xludf.DUMMYFUNCTION("""COMPUTED_VALUE"""),"MIA")</f>
        <v>MIA</v>
      </c>
      <c r="E3221" s="164" t="str">
        <f>IFERROR(__xludf.DUMMYFUNCTION("""COMPUTED_VALUE"""),"Secondary Ball Handler")</f>
        <v>Secondary Ball Handler</v>
      </c>
      <c r="F3221" s="164">
        <f>IFERROR(__xludf.DUMMYFUNCTION("""COMPUTED_VALUE"""),352.25)</f>
        <v>352.25</v>
      </c>
      <c r="G3221" s="163">
        <f>IFERROR(__xludf.DUMMYFUNCTION("""COMPUTED_VALUE"""),11.0)</f>
        <v>11</v>
      </c>
      <c r="H3221" s="163" t="str">
        <f>IFERROR(__xludf.DUMMYFUNCTION("""COMPUTED_VALUE"""),"SG")</f>
        <v>SG</v>
      </c>
      <c r="I3221" s="163">
        <f>IFERROR(__xludf.DUMMYFUNCTION("""COMPUTED_VALUE"""),23.0)</f>
        <v>23</v>
      </c>
      <c r="J3221" s="165">
        <f>IFERROR(__xludf.DUMMYFUNCTION("""COMPUTED_VALUE"""),-1.37028439962027)</f>
        <v>-1.3702844</v>
      </c>
      <c r="K3221" s="165">
        <f>IFERROR(__xludf.DUMMYFUNCTION("""COMPUTED_VALUE"""),-1.51934044219869)</f>
        <v>-1.519340442</v>
      </c>
      <c r="L3221" s="165">
        <f>IFERROR(__xludf.DUMMYFUNCTION("""COMPUTED_VALUE"""),0.149056042578419)</f>
        <v>0.1490560426</v>
      </c>
      <c r="M3221" s="166">
        <f t="shared" si="2"/>
        <v>0.2184785297</v>
      </c>
      <c r="N3221" s="167">
        <f t="shared" si="3"/>
        <v>32.02272727</v>
      </c>
      <c r="O3221" s="163">
        <f t="shared" ref="O3221:Q3221" si="3225">rank(I3221,I:I)</f>
        <v>2765</v>
      </c>
      <c r="P3221" s="163">
        <f t="shared" si="3225"/>
        <v>2925</v>
      </c>
      <c r="Q3221" s="163">
        <f t="shared" si="3225"/>
        <v>3378</v>
      </c>
      <c r="R3221" s="163">
        <f>IFERROR(__xludf.DUMMYFUNCTION("RANK(M3221,filter(M:M,C:C=C3221))"),332.0)</f>
        <v>332</v>
      </c>
      <c r="S3221" s="161" t="b">
        <f t="shared" si="5"/>
        <v>0</v>
      </c>
      <c r="T3221" s="161" t="b">
        <f t="array" ref="T3221">index('Query Tool'!B:B,match(H3221,'Query Tool'!C:C,0))</f>
        <v>1</v>
      </c>
      <c r="U3221" s="161" t="b">
        <f t="array" ref="U3221">index('Query Tool'!B:B,match(C3221,'Query Tool'!C:C,0))</f>
        <v>0</v>
      </c>
      <c r="V3221" s="161" t="b">
        <f>F3221&gt;='Query Tool'!C$32</f>
        <v>0</v>
      </c>
      <c r="W3221" s="161" t="b">
        <f t="array" ref="W3221">index(Dropdowns!B:B,match(I3221,Dropdowns!A:A,0))</f>
        <v>1</v>
      </c>
      <c r="X3221" s="161" t="b">
        <f t="array" ref="X3221">index('Query Tool'!B:B,match(D3221,'Query Tool'!C:C,0))</f>
        <v>1</v>
      </c>
      <c r="Y3221" s="161" t="str">
        <f t="shared" si="6"/>
        <v>winslju01,2019-20</v>
      </c>
      <c r="Z3221" s="168" t="str">
        <f t="array" ref="Z3221">iferror(index(I:I,match($A3221&amp;","&amp;index('Year Conversion'!$A:$A,match($C3221,'Year Conversion'!$B:$B,0)),$Y:$Y,0))-I3221,"")</f>
        <v/>
      </c>
      <c r="AA3221" s="168" t="str">
        <f t="array" ref="AA3221">iferror(index(J:J,match($A3221&amp;","&amp;index('Year Conversion'!$A:$A,match($C3221,'Year Conversion'!$B:$B,0)),$Y:$Y,0))-J3221,"")</f>
        <v/>
      </c>
      <c r="AB3221" s="168" t="str">
        <f t="array" ref="AB3221">iferror(index(K:K,match($A3221&amp;","&amp;index('Year Conversion'!$A:$A,match($C3221,'Year Conversion'!$B:$B,0)),$Y:$Y,0))-K3221,"")</f>
        <v/>
      </c>
      <c r="AC3221" s="168" t="str">
        <f t="shared" si="7"/>
        <v>MIA,2019-20</v>
      </c>
    </row>
    <row r="3222">
      <c r="A3222" s="161" t="str">
        <f>IFERROR(__xludf.DUMMYFUNCTION("""COMPUTED_VALUE"""),"caulewi01")</f>
        <v>caulewi01</v>
      </c>
      <c r="B3222" s="161" t="str">
        <f>IFERROR(__xludf.DUMMYFUNCTION("""COMPUTED_VALUE"""),"Willie Cauley-Stein")</f>
        <v>Willie Cauley-Stein</v>
      </c>
      <c r="C3222" s="162" t="str">
        <f>IFERROR(__xludf.DUMMYFUNCTION("""COMPUTED_VALUE"""),"2019-20")</f>
        <v>2019-20</v>
      </c>
      <c r="D3222" s="163" t="str">
        <f>IFERROR(__xludf.DUMMYFUNCTION("""COMPUTED_VALUE"""),"TOT")</f>
        <v>TOT</v>
      </c>
      <c r="E3222" s="164" t="str">
        <f>IFERROR(__xludf.DUMMYFUNCTION("""COMPUTED_VALUE"""),"Roll + Cut Big")</f>
        <v>Roll + Cut Big</v>
      </c>
      <c r="F3222" s="164">
        <f>IFERROR(__xludf.DUMMYFUNCTION("""COMPUTED_VALUE"""),1097.44666666667)</f>
        <v>1097.446667</v>
      </c>
      <c r="G3222" s="163">
        <f>IFERROR(__xludf.DUMMYFUNCTION("""COMPUTED_VALUE"""),54.0)</f>
        <v>54</v>
      </c>
      <c r="H3222" s="163" t="str">
        <f>IFERROR(__xludf.DUMMYFUNCTION("""COMPUTED_VALUE"""),"C")</f>
        <v>C</v>
      </c>
      <c r="I3222" s="163">
        <f>IFERROR(__xludf.DUMMYFUNCTION("""COMPUTED_VALUE"""),26.0)</f>
        <v>26</v>
      </c>
      <c r="J3222" s="165">
        <f>IFERROR(__xludf.DUMMYFUNCTION("""COMPUTED_VALUE"""),0.716257519034967)</f>
        <v>0.716257519</v>
      </c>
      <c r="K3222" s="165">
        <f>IFERROR(__xludf.DUMMYFUNCTION("""COMPUTED_VALUE"""),-2.33726648416791)</f>
        <v>-2.337266484</v>
      </c>
      <c r="L3222" s="165">
        <f>IFERROR(__xludf.DUMMYFUNCTION("""COMPUTED_VALUE"""),3.05352400320288)</f>
        <v>3.053524003</v>
      </c>
      <c r="M3222" s="166">
        <f t="shared" si="2"/>
        <v>2.221469469</v>
      </c>
      <c r="N3222" s="167">
        <f t="shared" si="3"/>
        <v>20.32308642</v>
      </c>
      <c r="O3222" s="163">
        <f t="shared" ref="O3222:Q3222" si="3226">rank(I3222,I:I)</f>
        <v>1665</v>
      </c>
      <c r="P3222" s="163">
        <f t="shared" si="3226"/>
        <v>786</v>
      </c>
      <c r="Q3222" s="163">
        <f t="shared" si="3226"/>
        <v>3847</v>
      </c>
      <c r="R3222" s="163">
        <f>IFERROR(__xludf.DUMMYFUNCTION("RANK(M3222,filter(M:M,C:C=C3222))"),142.0)</f>
        <v>142</v>
      </c>
      <c r="S3222" s="161" t="b">
        <f t="shared" si="5"/>
        <v>0</v>
      </c>
      <c r="T3222" s="161" t="b">
        <f t="array" ref="T3222">index('Query Tool'!B:B,match(H3222,'Query Tool'!C:C,0))</f>
        <v>1</v>
      </c>
      <c r="U3222" s="161" t="b">
        <f t="array" ref="U3222">index('Query Tool'!B:B,match(C3222,'Query Tool'!C:C,0))</f>
        <v>0</v>
      </c>
      <c r="V3222" s="161" t="b">
        <f>F3222&gt;='Query Tool'!C$32</f>
        <v>1</v>
      </c>
      <c r="W3222" s="161" t="b">
        <f t="array" ref="W3222">index(Dropdowns!B:B,match(I3222,Dropdowns!A:A,0))</f>
        <v>1</v>
      </c>
      <c r="X3222" s="161" t="b">
        <f t="array" ref="X3222">index('Query Tool'!B:B,match(D3222,'Query Tool'!C:C,0))</f>
        <v>1</v>
      </c>
      <c r="Y3222" s="161" t="str">
        <f t="shared" si="6"/>
        <v>caulewi01,2019-20</v>
      </c>
      <c r="Z3222" s="168" t="str">
        <f t="array" ref="Z3222">iferror(index(I:I,match($A3222&amp;","&amp;index('Year Conversion'!$A:$A,match($C3222,'Year Conversion'!$B:$B,0)),$Y:$Y,0))-I3222,"")</f>
        <v/>
      </c>
      <c r="AA3222" s="168" t="str">
        <f t="array" ref="AA3222">iferror(index(J:J,match($A3222&amp;","&amp;index('Year Conversion'!$A:$A,match($C3222,'Year Conversion'!$B:$B,0)),$Y:$Y,0))-J3222,"")</f>
        <v/>
      </c>
      <c r="AB3222" s="168" t="str">
        <f t="array" ref="AB3222">iferror(index(K:K,match($A3222&amp;","&amp;index('Year Conversion'!$A:$A,match($C3222,'Year Conversion'!$B:$B,0)),$Y:$Y,0))-K3222,"")</f>
        <v/>
      </c>
      <c r="AC3222" s="168" t="str">
        <f t="shared" si="7"/>
        <v>TOT,2019-20</v>
      </c>
    </row>
    <row r="3223">
      <c r="A3223" s="161" t="str">
        <f>IFERROR(__xludf.DUMMYFUNCTION("""COMPUTED_VALUE"""),"oubreke01")</f>
        <v>oubreke01</v>
      </c>
      <c r="B3223" s="161" t="str">
        <f>IFERROR(__xludf.DUMMYFUNCTION("""COMPUTED_VALUE"""),"Kelly Oubre Jr.")</f>
        <v>Kelly Oubre Jr.</v>
      </c>
      <c r="C3223" s="162" t="str">
        <f>IFERROR(__xludf.DUMMYFUNCTION("""COMPUTED_VALUE"""),"2019-20")</f>
        <v>2019-20</v>
      </c>
      <c r="D3223" s="163" t="str">
        <f>IFERROR(__xludf.DUMMYFUNCTION("""COMPUTED_VALUE"""),"PHO")</f>
        <v>PHO</v>
      </c>
      <c r="E3223" s="164" t="str">
        <f>IFERROR(__xludf.DUMMYFUNCTION("""COMPUTED_VALUE"""),"Stationary Shooter")</f>
        <v>Stationary Shooter</v>
      </c>
      <c r="F3223" s="164">
        <f>IFERROR(__xludf.DUMMYFUNCTION("""COMPUTED_VALUE"""),1933.37166666667)</f>
        <v>1933.371667</v>
      </c>
      <c r="G3223" s="163">
        <f>IFERROR(__xludf.DUMMYFUNCTION("""COMPUTED_VALUE"""),56.0)</f>
        <v>56</v>
      </c>
      <c r="H3223" s="163" t="str">
        <f>IFERROR(__xludf.DUMMYFUNCTION("""COMPUTED_VALUE"""),"SF")</f>
        <v>SF</v>
      </c>
      <c r="I3223" s="163">
        <f>IFERROR(__xludf.DUMMYFUNCTION("""COMPUTED_VALUE"""),24.0)</f>
        <v>24</v>
      </c>
      <c r="J3223" s="165">
        <f>IFERROR(__xludf.DUMMYFUNCTION("""COMPUTED_VALUE"""),0.049775590187478)</f>
        <v>0.04977559019</v>
      </c>
      <c r="K3223" s="165">
        <f>IFERROR(__xludf.DUMMYFUNCTION("""COMPUTED_VALUE"""),-0.170326548519544)</f>
        <v>-0.1703265485</v>
      </c>
      <c r="L3223" s="165">
        <f>IFERROR(__xludf.DUMMYFUNCTION("""COMPUTED_VALUE"""),0.220102138707022)</f>
        <v>0.2201021387</v>
      </c>
      <c r="M3223" s="166">
        <f t="shared" si="2"/>
        <v>3.045494895</v>
      </c>
      <c r="N3223" s="167">
        <f t="shared" si="3"/>
        <v>34.52449405</v>
      </c>
      <c r="O3223" s="163">
        <f t="shared" ref="O3223:Q3223" si="3227">rank(I3223,I:I)</f>
        <v>2361</v>
      </c>
      <c r="P3223" s="163">
        <f t="shared" si="3227"/>
        <v>1240</v>
      </c>
      <c r="Q3223" s="163">
        <f t="shared" si="3227"/>
        <v>1514</v>
      </c>
      <c r="R3223" s="163">
        <f>IFERROR(__xludf.DUMMYFUNCTION("RANK(M3223,filter(M:M,C:C=C3223))"),103.0)</f>
        <v>103</v>
      </c>
      <c r="S3223" s="161" t="b">
        <f t="shared" si="5"/>
        <v>0</v>
      </c>
      <c r="T3223" s="161" t="b">
        <f t="array" ref="T3223">index('Query Tool'!B:B,match(H3223,'Query Tool'!C:C,0))</f>
        <v>1</v>
      </c>
      <c r="U3223" s="161" t="b">
        <f t="array" ref="U3223">index('Query Tool'!B:B,match(C3223,'Query Tool'!C:C,0))</f>
        <v>0</v>
      </c>
      <c r="V3223" s="161" t="b">
        <f>F3223&gt;='Query Tool'!C$32</f>
        <v>1</v>
      </c>
      <c r="W3223" s="161" t="b">
        <f t="array" ref="W3223">index(Dropdowns!B:B,match(I3223,Dropdowns!A:A,0))</f>
        <v>1</v>
      </c>
      <c r="X3223" s="161" t="b">
        <f t="array" ref="X3223">index('Query Tool'!B:B,match(D3223,'Query Tool'!C:C,0))</f>
        <v>1</v>
      </c>
      <c r="Y3223" s="161" t="str">
        <f t="shared" si="6"/>
        <v>oubreke01,2019-20</v>
      </c>
      <c r="Z3223" s="168" t="str">
        <f t="array" ref="Z3223">iferror(index(I:I,match($A3223&amp;","&amp;index('Year Conversion'!$A:$A,match($C3223,'Year Conversion'!$B:$B,0)),$Y:$Y,0))-I3223,"")</f>
        <v/>
      </c>
      <c r="AA3223" s="168" t="str">
        <f t="array" ref="AA3223">iferror(index(J:J,match($A3223&amp;","&amp;index('Year Conversion'!$A:$A,match($C3223,'Year Conversion'!$B:$B,0)),$Y:$Y,0))-J3223,"")</f>
        <v/>
      </c>
      <c r="AB3223" s="168" t="str">
        <f t="array" ref="AB3223">iferror(index(K:K,match($A3223&amp;","&amp;index('Year Conversion'!$A:$A,match($C3223,'Year Conversion'!$B:$B,0)),$Y:$Y,0))-K3223,"")</f>
        <v/>
      </c>
      <c r="AC3223" s="168" t="str">
        <f t="shared" si="7"/>
        <v>PHO,2019-20</v>
      </c>
    </row>
    <row r="3224">
      <c r="A3224" s="161" t="str">
        <f>IFERROR(__xludf.DUMMYFUNCTION("""COMPUTED_VALUE"""),"kaminfr01")</f>
        <v>kaminfr01</v>
      </c>
      <c r="B3224" s="161" t="str">
        <f>IFERROR(__xludf.DUMMYFUNCTION("""COMPUTED_VALUE"""),"Frank Kaminsky")</f>
        <v>Frank Kaminsky</v>
      </c>
      <c r="C3224" s="162" t="str">
        <f>IFERROR(__xludf.DUMMYFUNCTION("""COMPUTED_VALUE"""),"2019-20")</f>
        <v>2019-20</v>
      </c>
      <c r="D3224" s="163" t="str">
        <f>IFERROR(__xludf.DUMMYFUNCTION("""COMPUTED_VALUE"""),"PHO")</f>
        <v>PHO</v>
      </c>
      <c r="E3224" s="164" t="str">
        <f>IFERROR(__xludf.DUMMYFUNCTION("""COMPUTED_VALUE"""),"Stretch Big")</f>
        <v>Stretch Big</v>
      </c>
      <c r="F3224" s="164">
        <f>IFERROR(__xludf.DUMMYFUNCTION("""COMPUTED_VALUE"""),777.423333333333)</f>
        <v>777.4233333</v>
      </c>
      <c r="G3224" s="163">
        <f>IFERROR(__xludf.DUMMYFUNCTION("""COMPUTED_VALUE"""),39.0)</f>
        <v>39</v>
      </c>
      <c r="H3224" s="163" t="str">
        <f>IFERROR(__xludf.DUMMYFUNCTION("""COMPUTED_VALUE"""),"C")</f>
        <v>C</v>
      </c>
      <c r="I3224" s="163">
        <f>IFERROR(__xludf.DUMMYFUNCTION("""COMPUTED_VALUE"""),26.0)</f>
        <v>26</v>
      </c>
      <c r="J3224" s="165">
        <f>IFERROR(__xludf.DUMMYFUNCTION("""COMPUTED_VALUE"""),-1.22197723329979)</f>
        <v>-1.221977233</v>
      </c>
      <c r="K3224" s="165">
        <f>IFERROR(__xludf.DUMMYFUNCTION("""COMPUTED_VALUE"""),-0.703897593859038)</f>
        <v>-0.7038975939</v>
      </c>
      <c r="L3224" s="165">
        <f>IFERROR(__xludf.DUMMYFUNCTION("""COMPUTED_VALUE"""),-0.518079639440747)</f>
        <v>-0.5180796394</v>
      </c>
      <c r="M3224" s="166">
        <f t="shared" si="2"/>
        <v>0.5593769072</v>
      </c>
      <c r="N3224" s="167">
        <f t="shared" si="3"/>
        <v>19.93393162</v>
      </c>
      <c r="O3224" s="163">
        <f t="shared" ref="O3224:Q3224" si="3228">rank(I3224,I:I)</f>
        <v>1665</v>
      </c>
      <c r="P3224" s="163">
        <f t="shared" si="3228"/>
        <v>2775</v>
      </c>
      <c r="Q3224" s="163">
        <f t="shared" si="3228"/>
        <v>2423</v>
      </c>
      <c r="R3224" s="163">
        <f>IFERROR(__xludf.DUMMYFUNCTION("RANK(M3224,filter(M:M,C:C=C3224))"),248.0)</f>
        <v>248</v>
      </c>
      <c r="S3224" s="161" t="b">
        <f t="shared" si="5"/>
        <v>0</v>
      </c>
      <c r="T3224" s="161" t="b">
        <f t="array" ref="T3224">index('Query Tool'!B:B,match(H3224,'Query Tool'!C:C,0))</f>
        <v>1</v>
      </c>
      <c r="U3224" s="161" t="b">
        <f t="array" ref="U3224">index('Query Tool'!B:B,match(C3224,'Query Tool'!C:C,0))</f>
        <v>0</v>
      </c>
      <c r="V3224" s="161" t="b">
        <f>F3224&gt;='Query Tool'!C$32</f>
        <v>1</v>
      </c>
      <c r="W3224" s="161" t="b">
        <f t="array" ref="W3224">index(Dropdowns!B:B,match(I3224,Dropdowns!A:A,0))</f>
        <v>1</v>
      </c>
      <c r="X3224" s="161" t="b">
        <f t="array" ref="X3224">index('Query Tool'!B:B,match(D3224,'Query Tool'!C:C,0))</f>
        <v>1</v>
      </c>
      <c r="Y3224" s="161" t="str">
        <f t="shared" si="6"/>
        <v>kaminfr01,2019-20</v>
      </c>
      <c r="Z3224" s="168" t="str">
        <f t="array" ref="Z3224">iferror(index(I:I,match($A3224&amp;","&amp;index('Year Conversion'!$A:$A,match($C3224,'Year Conversion'!$B:$B,0)),$Y:$Y,0))-I3224,"")</f>
        <v/>
      </c>
      <c r="AA3224" s="168" t="str">
        <f t="array" ref="AA3224">iferror(index(J:J,match($A3224&amp;","&amp;index('Year Conversion'!$A:$A,match($C3224,'Year Conversion'!$B:$B,0)),$Y:$Y,0))-J3224,"")</f>
        <v/>
      </c>
      <c r="AB3224" s="168" t="str">
        <f t="array" ref="AB3224">iferror(index(K:K,match($A3224&amp;","&amp;index('Year Conversion'!$A:$A,match($C3224,'Year Conversion'!$B:$B,0)),$Y:$Y,0))-K3224,"")</f>
        <v/>
      </c>
      <c r="AC3224" s="168" t="str">
        <f t="shared" si="7"/>
        <v>PHO,2019-20</v>
      </c>
    </row>
    <row r="3225">
      <c r="A3225" s="161" t="str">
        <f>IFERROR(__xludf.DUMMYFUNCTION("""COMPUTED_VALUE"""),"bookede01")</f>
        <v>bookede01</v>
      </c>
      <c r="B3225" s="161" t="str">
        <f>IFERROR(__xludf.DUMMYFUNCTION("""COMPUTED_VALUE"""),"Devin Booker")</f>
        <v>Devin Booker</v>
      </c>
      <c r="C3225" s="162" t="str">
        <f>IFERROR(__xludf.DUMMYFUNCTION("""COMPUTED_VALUE"""),"2019-20")</f>
        <v>2019-20</v>
      </c>
      <c r="D3225" s="163" t="str">
        <f>IFERROR(__xludf.DUMMYFUNCTION("""COMPUTED_VALUE"""),"PHO")</f>
        <v>PHO</v>
      </c>
      <c r="E3225" s="164" t="str">
        <f>IFERROR(__xludf.DUMMYFUNCTION("""COMPUTED_VALUE"""),"Shot Creator")</f>
        <v>Shot Creator</v>
      </c>
      <c r="F3225" s="164">
        <f>IFERROR(__xludf.DUMMYFUNCTION("""COMPUTED_VALUE"""),2511.66)</f>
        <v>2511.66</v>
      </c>
      <c r="G3225" s="163">
        <f>IFERROR(__xludf.DUMMYFUNCTION("""COMPUTED_VALUE"""),70.0)</f>
        <v>70</v>
      </c>
      <c r="H3225" s="163" t="str">
        <f>IFERROR(__xludf.DUMMYFUNCTION("""COMPUTED_VALUE"""),"SG")</f>
        <v>SG</v>
      </c>
      <c r="I3225" s="163">
        <f>IFERROR(__xludf.DUMMYFUNCTION("""COMPUTED_VALUE"""),23.0)</f>
        <v>23</v>
      </c>
      <c r="J3225" s="165">
        <f>IFERROR(__xludf.DUMMYFUNCTION("""COMPUTED_VALUE"""),1.60833818036328)</f>
        <v>1.60833818</v>
      </c>
      <c r="K3225" s="165">
        <f>IFERROR(__xludf.DUMMYFUNCTION("""COMPUTED_VALUE"""),3.29290450204703)</f>
        <v>3.292904502</v>
      </c>
      <c r="L3225" s="165">
        <f>IFERROR(__xludf.DUMMYFUNCTION("""COMPUTED_VALUE"""),-1.68456632168375)</f>
        <v>-1.684566322</v>
      </c>
      <c r="M3225" s="166">
        <f t="shared" si="2"/>
        <v>6.585854069</v>
      </c>
      <c r="N3225" s="167">
        <f t="shared" si="3"/>
        <v>35.88085714</v>
      </c>
      <c r="O3225" s="163">
        <f t="shared" ref="O3225:Q3225" si="3229">rank(I3225,I:I)</f>
        <v>2765</v>
      </c>
      <c r="P3225" s="163">
        <f t="shared" si="3229"/>
        <v>429</v>
      </c>
      <c r="Q3225" s="163">
        <f t="shared" si="3229"/>
        <v>100</v>
      </c>
      <c r="R3225" s="163">
        <f>IFERROR(__xludf.DUMMYFUNCTION("RANK(M3225,filter(M:M,C:C=C3225))"),22.0)</f>
        <v>22</v>
      </c>
      <c r="S3225" s="161" t="b">
        <f t="shared" si="5"/>
        <v>0</v>
      </c>
      <c r="T3225" s="161" t="b">
        <f t="array" ref="T3225">index('Query Tool'!B:B,match(H3225,'Query Tool'!C:C,0))</f>
        <v>1</v>
      </c>
      <c r="U3225" s="161" t="b">
        <f t="array" ref="U3225">index('Query Tool'!B:B,match(C3225,'Query Tool'!C:C,0))</f>
        <v>0</v>
      </c>
      <c r="V3225" s="161" t="b">
        <f>F3225&gt;='Query Tool'!C$32</f>
        <v>1</v>
      </c>
      <c r="W3225" s="161" t="b">
        <f t="array" ref="W3225">index(Dropdowns!B:B,match(I3225,Dropdowns!A:A,0))</f>
        <v>1</v>
      </c>
      <c r="X3225" s="161" t="b">
        <f t="array" ref="X3225">index('Query Tool'!B:B,match(D3225,'Query Tool'!C:C,0))</f>
        <v>1</v>
      </c>
      <c r="Y3225" s="161" t="str">
        <f t="shared" si="6"/>
        <v>bookede01,2019-20</v>
      </c>
      <c r="Z3225" s="168" t="str">
        <f t="array" ref="Z3225">iferror(index(I:I,match($A3225&amp;","&amp;index('Year Conversion'!$A:$A,match($C3225,'Year Conversion'!$B:$B,0)),$Y:$Y,0))-I3225,"")</f>
        <v/>
      </c>
      <c r="AA3225" s="168" t="str">
        <f t="array" ref="AA3225">iferror(index(J:J,match($A3225&amp;","&amp;index('Year Conversion'!$A:$A,match($C3225,'Year Conversion'!$B:$B,0)),$Y:$Y,0))-J3225,"")</f>
        <v/>
      </c>
      <c r="AB3225" s="168" t="str">
        <f t="array" ref="AB3225">iferror(index(K:K,match($A3225&amp;","&amp;index('Year Conversion'!$A:$A,match($C3225,'Year Conversion'!$B:$B,0)),$Y:$Y,0))-K3225,"")</f>
        <v/>
      </c>
      <c r="AC3225" s="168" t="str">
        <f t="shared" si="7"/>
        <v>PHO,2019-20</v>
      </c>
    </row>
    <row r="3226">
      <c r="A3226" s="161" t="str">
        <f>IFERROR(__xludf.DUMMYFUNCTION("""COMPUTED_VALUE"""),"payneca01")</f>
        <v>payneca01</v>
      </c>
      <c r="B3226" s="161" t="str">
        <f>IFERROR(__xludf.DUMMYFUNCTION("""COMPUTED_VALUE"""),"Cameron Payne")</f>
        <v>Cameron Payne</v>
      </c>
      <c r="C3226" s="162" t="str">
        <f>IFERROR(__xludf.DUMMYFUNCTION("""COMPUTED_VALUE"""),"2019-20")</f>
        <v>2019-20</v>
      </c>
      <c r="D3226" s="163" t="str">
        <f>IFERROR(__xludf.DUMMYFUNCTION("""COMPUTED_VALUE"""),"PHO")</f>
        <v>PHO</v>
      </c>
      <c r="E3226" s="164" t="str">
        <f>IFERROR(__xludf.DUMMYFUNCTION("""COMPUTED_VALUE"""),"Secondary Ball Handler")</f>
        <v>Secondary Ball Handler</v>
      </c>
      <c r="F3226" s="164">
        <f>IFERROR(__xludf.DUMMYFUNCTION("""COMPUTED_VALUE"""),183.158333333334)</f>
        <v>183.1583333</v>
      </c>
      <c r="G3226" s="163">
        <f>IFERROR(__xludf.DUMMYFUNCTION("""COMPUTED_VALUE"""),8.0)</f>
        <v>8</v>
      </c>
      <c r="H3226" s="163" t="str">
        <f>IFERROR(__xludf.DUMMYFUNCTION("""COMPUTED_VALUE"""),"SG")</f>
        <v>SG</v>
      </c>
      <c r="I3226" s="163">
        <f>IFERROR(__xludf.DUMMYFUNCTION("""COMPUTED_VALUE"""),25.0)</f>
        <v>25</v>
      </c>
      <c r="J3226" s="165">
        <f>IFERROR(__xludf.DUMMYFUNCTION("""COMPUTED_VALUE"""),0.298495803232942)</f>
        <v>0.2984958032</v>
      </c>
      <c r="K3226" s="165">
        <f>IFERROR(__xludf.DUMMYFUNCTION("""COMPUTED_VALUE"""),-0.382531537534288)</f>
        <v>-0.3825315375</v>
      </c>
      <c r="L3226" s="165">
        <f>IFERROR(__xludf.DUMMYFUNCTION("""COMPUTED_VALUE"""),0.681027340767231)</f>
        <v>0.6810273408</v>
      </c>
      <c r="M3226" s="166">
        <f t="shared" si="2"/>
        <v>0.319223837</v>
      </c>
      <c r="N3226" s="167">
        <f t="shared" si="3"/>
        <v>22.89479167</v>
      </c>
      <c r="O3226" s="163">
        <f t="shared" ref="O3226:Q3226" si="3230">rank(I3226,I:I)</f>
        <v>1995</v>
      </c>
      <c r="P3226" s="163">
        <f t="shared" si="3230"/>
        <v>1022</v>
      </c>
      <c r="Q3226" s="163">
        <f t="shared" si="3230"/>
        <v>1919</v>
      </c>
      <c r="R3226" s="163">
        <f>IFERROR(__xludf.DUMMYFUNCTION("RANK(M3226,filter(M:M,C:C=C3226))"),295.0)</f>
        <v>295</v>
      </c>
      <c r="S3226" s="161" t="b">
        <f t="shared" si="5"/>
        <v>0</v>
      </c>
      <c r="T3226" s="161" t="b">
        <f t="array" ref="T3226">index('Query Tool'!B:B,match(H3226,'Query Tool'!C:C,0))</f>
        <v>1</v>
      </c>
      <c r="U3226" s="161" t="b">
        <f t="array" ref="U3226">index('Query Tool'!B:B,match(C3226,'Query Tool'!C:C,0))</f>
        <v>0</v>
      </c>
      <c r="V3226" s="161" t="b">
        <f>F3226&gt;='Query Tool'!C$32</f>
        <v>0</v>
      </c>
      <c r="W3226" s="161" t="b">
        <f t="array" ref="W3226">index(Dropdowns!B:B,match(I3226,Dropdowns!A:A,0))</f>
        <v>1</v>
      </c>
      <c r="X3226" s="161" t="b">
        <f t="array" ref="X3226">index('Query Tool'!B:B,match(D3226,'Query Tool'!C:C,0))</f>
        <v>1</v>
      </c>
      <c r="Y3226" s="161" t="str">
        <f t="shared" si="6"/>
        <v>payneca01,2019-20</v>
      </c>
      <c r="Z3226" s="168" t="str">
        <f t="array" ref="Z3226">iferror(index(I:I,match($A3226&amp;","&amp;index('Year Conversion'!$A:$A,match($C3226,'Year Conversion'!$B:$B,0)),$Y:$Y,0))-I3226,"")</f>
        <v/>
      </c>
      <c r="AA3226" s="168" t="str">
        <f t="array" ref="AA3226">iferror(index(J:J,match($A3226&amp;","&amp;index('Year Conversion'!$A:$A,match($C3226,'Year Conversion'!$B:$B,0)),$Y:$Y,0))-J3226,"")</f>
        <v/>
      </c>
      <c r="AB3226" s="168" t="str">
        <f t="array" ref="AB3226">iferror(index(K:K,match($A3226&amp;","&amp;index('Year Conversion'!$A:$A,match($C3226,'Year Conversion'!$B:$B,0)),$Y:$Y,0))-K3226,"")</f>
        <v/>
      </c>
      <c r="AC3226" s="168" t="str">
        <f t="shared" si="7"/>
        <v>PHO,2019-20</v>
      </c>
    </row>
    <row r="3227">
      <c r="A3227" s="161" t="str">
        <f>IFERROR(__xludf.DUMMYFUNCTION("""COMPUTED_VALUE"""),"turnemy01")</f>
        <v>turnemy01</v>
      </c>
      <c r="B3227" s="161" t="str">
        <f>IFERROR(__xludf.DUMMYFUNCTION("""COMPUTED_VALUE"""),"Myles Turner")</f>
        <v>Myles Turner</v>
      </c>
      <c r="C3227" s="162" t="str">
        <f>IFERROR(__xludf.DUMMYFUNCTION("""COMPUTED_VALUE"""),"2019-20")</f>
        <v>2019-20</v>
      </c>
      <c r="D3227" s="163" t="str">
        <f>IFERROR(__xludf.DUMMYFUNCTION("""COMPUTED_VALUE"""),"IND")</f>
        <v>IND</v>
      </c>
      <c r="E3227" s="164" t="str">
        <f>IFERROR(__xludf.DUMMYFUNCTION("""COMPUTED_VALUE"""),"Versatile Big")</f>
        <v>Versatile Big</v>
      </c>
      <c r="F3227" s="164">
        <f>IFERROR(__xludf.DUMMYFUNCTION("""COMPUTED_VALUE"""),1825.80166666667)</f>
        <v>1825.801667</v>
      </c>
      <c r="G3227" s="163">
        <f>IFERROR(__xludf.DUMMYFUNCTION("""COMPUTED_VALUE"""),62.0)</f>
        <v>62</v>
      </c>
      <c r="H3227" s="163" t="str">
        <f>IFERROR(__xludf.DUMMYFUNCTION("""COMPUTED_VALUE"""),"C")</f>
        <v>C</v>
      </c>
      <c r="I3227" s="163">
        <f>IFERROR(__xludf.DUMMYFUNCTION("""COMPUTED_VALUE"""),23.0)</f>
        <v>23</v>
      </c>
      <c r="J3227" s="165">
        <f>IFERROR(__xludf.DUMMYFUNCTION("""COMPUTED_VALUE"""),1.20901834379142)</f>
        <v>1.209018344</v>
      </c>
      <c r="K3227" s="165">
        <f>IFERROR(__xludf.DUMMYFUNCTION("""COMPUTED_VALUE"""),-1.36264494267842)</f>
        <v>-1.362644943</v>
      </c>
      <c r="L3227" s="165">
        <f>IFERROR(__xludf.DUMMYFUNCTION("""COMPUTED_VALUE"""),2.57166328646984)</f>
        <v>2.571663286</v>
      </c>
      <c r="M3227" s="166">
        <f t="shared" si="2"/>
        <v>4.299988189</v>
      </c>
      <c r="N3227" s="167">
        <f t="shared" si="3"/>
        <v>29.44841398</v>
      </c>
      <c r="O3227" s="163">
        <f t="shared" ref="O3227:Q3227" si="3231">rank(I3227,I:I)</f>
        <v>2765</v>
      </c>
      <c r="P3227" s="163">
        <f t="shared" si="3231"/>
        <v>570</v>
      </c>
      <c r="Q3227" s="163">
        <f t="shared" si="3231"/>
        <v>3217</v>
      </c>
      <c r="R3227" s="163">
        <f>IFERROR(__xludf.DUMMYFUNCTION("RANK(M3227,filter(M:M,C:C=C3227))"),57.0)</f>
        <v>57</v>
      </c>
      <c r="S3227" s="161" t="b">
        <f t="shared" si="5"/>
        <v>0</v>
      </c>
      <c r="T3227" s="161" t="b">
        <f t="array" ref="T3227">index('Query Tool'!B:B,match(H3227,'Query Tool'!C:C,0))</f>
        <v>1</v>
      </c>
      <c r="U3227" s="161" t="b">
        <f t="array" ref="U3227">index('Query Tool'!B:B,match(C3227,'Query Tool'!C:C,0))</f>
        <v>0</v>
      </c>
      <c r="V3227" s="161" t="b">
        <f>F3227&gt;='Query Tool'!C$32</f>
        <v>1</v>
      </c>
      <c r="W3227" s="161" t="b">
        <f t="array" ref="W3227">index(Dropdowns!B:B,match(I3227,Dropdowns!A:A,0))</f>
        <v>1</v>
      </c>
      <c r="X3227" s="161" t="b">
        <f t="array" ref="X3227">index('Query Tool'!B:B,match(D3227,'Query Tool'!C:C,0))</f>
        <v>1</v>
      </c>
      <c r="Y3227" s="161" t="str">
        <f t="shared" si="6"/>
        <v>turnemy01,2019-20</v>
      </c>
      <c r="Z3227" s="168" t="str">
        <f t="array" ref="Z3227">iferror(index(I:I,match($A3227&amp;","&amp;index('Year Conversion'!$A:$A,match($C3227,'Year Conversion'!$B:$B,0)),$Y:$Y,0))-I3227,"")</f>
        <v/>
      </c>
      <c r="AA3227" s="168" t="str">
        <f t="array" ref="AA3227">iferror(index(J:J,match($A3227&amp;","&amp;index('Year Conversion'!$A:$A,match($C3227,'Year Conversion'!$B:$B,0)),$Y:$Y,0))-J3227,"")</f>
        <v/>
      </c>
      <c r="AB3227" s="168" t="str">
        <f t="array" ref="AB3227">iferror(index(K:K,match($A3227&amp;","&amp;index('Year Conversion'!$A:$A,match($C3227,'Year Conversion'!$B:$B,0)),$Y:$Y,0))-K3227,"")</f>
        <v/>
      </c>
      <c r="AC3227" s="168" t="str">
        <f t="shared" si="7"/>
        <v>IND,2019-20</v>
      </c>
    </row>
    <row r="3228">
      <c r="A3228" s="161" t="str">
        <f>IFERROR(__xludf.DUMMYFUNCTION("""COMPUTED_VALUE"""),"lylestr01")</f>
        <v>lylestr01</v>
      </c>
      <c r="B3228" s="161" t="str">
        <f>IFERROR(__xludf.DUMMYFUNCTION("""COMPUTED_VALUE"""),"Trey Lyles")</f>
        <v>Trey Lyles</v>
      </c>
      <c r="C3228" s="162" t="str">
        <f>IFERROR(__xludf.DUMMYFUNCTION("""COMPUTED_VALUE"""),"2019-20")</f>
        <v>2019-20</v>
      </c>
      <c r="D3228" s="163" t="str">
        <f>IFERROR(__xludf.DUMMYFUNCTION("""COMPUTED_VALUE"""),"SAS")</f>
        <v>SAS</v>
      </c>
      <c r="E3228" s="164" t="str">
        <f>IFERROR(__xludf.DUMMYFUNCTION("""COMPUTED_VALUE"""),"Athletic Finisher")</f>
        <v>Athletic Finisher</v>
      </c>
      <c r="F3228" s="164">
        <f>IFERROR(__xludf.DUMMYFUNCTION("""COMPUTED_VALUE"""),1270.82333333333)</f>
        <v>1270.823333</v>
      </c>
      <c r="G3228" s="163">
        <f>IFERROR(__xludf.DUMMYFUNCTION("""COMPUTED_VALUE"""),63.0)</f>
        <v>63</v>
      </c>
      <c r="H3228" s="163" t="str">
        <f>IFERROR(__xludf.DUMMYFUNCTION("""COMPUTED_VALUE"""),"PF")</f>
        <v>PF</v>
      </c>
      <c r="I3228" s="163">
        <f>IFERROR(__xludf.DUMMYFUNCTION("""COMPUTED_VALUE"""),24.0)</f>
        <v>24</v>
      </c>
      <c r="J3228" s="165">
        <f>IFERROR(__xludf.DUMMYFUNCTION("""COMPUTED_VALUE"""),0.744880307463542)</f>
        <v>0.7448803075</v>
      </c>
      <c r="K3228" s="165">
        <f>IFERROR(__xludf.DUMMYFUNCTION("""COMPUTED_VALUE"""),-0.316123514489294)</f>
        <v>-0.3161235145</v>
      </c>
      <c r="L3228" s="165">
        <f>IFERROR(__xludf.DUMMYFUNCTION("""COMPUTED_VALUE"""),1.06100382195284)</f>
        <v>1.061003822</v>
      </c>
      <c r="M3228" s="166">
        <f t="shared" si="2"/>
        <v>2.596890197</v>
      </c>
      <c r="N3228" s="167">
        <f t="shared" si="3"/>
        <v>20.17179894</v>
      </c>
      <c r="O3228" s="163">
        <f t="shared" ref="O3228:Q3228" si="3232">rank(I3228,I:I)</f>
        <v>2361</v>
      </c>
      <c r="P3228" s="163">
        <f t="shared" si="3232"/>
        <v>771</v>
      </c>
      <c r="Q3228" s="163">
        <f t="shared" si="3232"/>
        <v>1787</v>
      </c>
      <c r="R3228" s="163">
        <f>IFERROR(__xludf.DUMMYFUNCTION("RANK(M3228,filter(M:M,C:C=C3228))"),114.0)</f>
        <v>114</v>
      </c>
      <c r="S3228" s="161" t="b">
        <f t="shared" si="5"/>
        <v>0</v>
      </c>
      <c r="T3228" s="161" t="b">
        <f t="array" ref="T3228">index('Query Tool'!B:B,match(H3228,'Query Tool'!C:C,0))</f>
        <v>1</v>
      </c>
      <c r="U3228" s="161" t="b">
        <f t="array" ref="U3228">index('Query Tool'!B:B,match(C3228,'Query Tool'!C:C,0))</f>
        <v>0</v>
      </c>
      <c r="V3228" s="161" t="b">
        <f>F3228&gt;='Query Tool'!C$32</f>
        <v>1</v>
      </c>
      <c r="W3228" s="161" t="b">
        <f t="array" ref="W3228">index(Dropdowns!B:B,match(I3228,Dropdowns!A:A,0))</f>
        <v>1</v>
      </c>
      <c r="X3228" s="161" t="b">
        <f t="array" ref="X3228">index('Query Tool'!B:B,match(D3228,'Query Tool'!C:C,0))</f>
        <v>1</v>
      </c>
      <c r="Y3228" s="161" t="str">
        <f t="shared" si="6"/>
        <v>lylestr01,2019-20</v>
      </c>
      <c r="Z3228" s="168" t="str">
        <f t="array" ref="Z3228">iferror(index(I:I,match($A3228&amp;","&amp;index('Year Conversion'!$A:$A,match($C3228,'Year Conversion'!$B:$B,0)),$Y:$Y,0))-I3228,"")</f>
        <v/>
      </c>
      <c r="AA3228" s="168" t="str">
        <f t="array" ref="AA3228">iferror(index(J:J,match($A3228&amp;","&amp;index('Year Conversion'!$A:$A,match($C3228,'Year Conversion'!$B:$B,0)),$Y:$Y,0))-J3228,"")</f>
        <v/>
      </c>
      <c r="AB3228" s="168" t="str">
        <f t="array" ref="AB3228">iferror(index(K:K,match($A3228&amp;","&amp;index('Year Conversion'!$A:$A,match($C3228,'Year Conversion'!$B:$B,0)),$Y:$Y,0))-K3228,"")</f>
        <v/>
      </c>
      <c r="AC3228" s="168" t="str">
        <f t="shared" si="7"/>
        <v>SAS,2019-20</v>
      </c>
    </row>
    <row r="3229">
      <c r="A3229" s="161" t="str">
        <f>IFERROR(__xludf.DUMMYFUNCTION("""COMPUTED_VALUE"""),"johnsst04")</f>
        <v>johnsst04</v>
      </c>
      <c r="B3229" s="161" t="str">
        <f>IFERROR(__xludf.DUMMYFUNCTION("""COMPUTED_VALUE"""),"Stanley Johnson")</f>
        <v>Stanley Johnson</v>
      </c>
      <c r="C3229" s="162" t="str">
        <f>IFERROR(__xludf.DUMMYFUNCTION("""COMPUTED_VALUE"""),"2019-20")</f>
        <v>2019-20</v>
      </c>
      <c r="D3229" s="163" t="str">
        <f>IFERROR(__xludf.DUMMYFUNCTION("""COMPUTED_VALUE"""),"TOR")</f>
        <v>TOR</v>
      </c>
      <c r="E3229" s="164" t="str">
        <f>IFERROR(__xludf.DUMMYFUNCTION("""COMPUTED_VALUE"""),"Stationary Shooter")</f>
        <v>Stationary Shooter</v>
      </c>
      <c r="F3229" s="164">
        <f>IFERROR(__xludf.DUMMYFUNCTION("""COMPUTED_VALUE"""),149.726666666667)</f>
        <v>149.7266667</v>
      </c>
      <c r="G3229" s="163">
        <f>IFERROR(__xludf.DUMMYFUNCTION("""COMPUTED_VALUE"""),25.0)</f>
        <v>25</v>
      </c>
      <c r="H3229" s="163" t="str">
        <f>IFERROR(__xludf.DUMMYFUNCTION("""COMPUTED_VALUE"""),"PF")</f>
        <v>PF</v>
      </c>
      <c r="I3229" s="163">
        <f>IFERROR(__xludf.DUMMYFUNCTION("""COMPUTED_VALUE"""),23.0)</f>
        <v>23</v>
      </c>
      <c r="J3229" s="165">
        <f>IFERROR(__xludf.DUMMYFUNCTION("""COMPUTED_VALUE"""),-0.940307011137115)</f>
        <v>-0.9403070111</v>
      </c>
      <c r="K3229" s="165">
        <f>IFERROR(__xludf.DUMMYFUNCTION("""COMPUTED_VALUE"""),-0.761503315311049)</f>
        <v>-0.7615033153</v>
      </c>
      <c r="L3229" s="165">
        <f>IFERROR(__xludf.DUMMYFUNCTION("""COMPUTED_VALUE"""),-0.178803695826066)</f>
        <v>-0.1788036958</v>
      </c>
      <c r="M3229" s="166">
        <f t="shared" si="2"/>
        <v>0.1360264934</v>
      </c>
      <c r="N3229" s="167">
        <f t="shared" si="3"/>
        <v>5.989066667</v>
      </c>
      <c r="O3229" s="163">
        <f t="shared" ref="O3229:Q3229" si="3233">rank(I3229,I:I)</f>
        <v>2765</v>
      </c>
      <c r="P3229" s="163">
        <f t="shared" si="3233"/>
        <v>2437</v>
      </c>
      <c r="Q3229" s="163">
        <f t="shared" si="3233"/>
        <v>2498</v>
      </c>
      <c r="R3229" s="163">
        <f>IFERROR(__xludf.DUMMYFUNCTION("RANK(M3229,filter(M:M,C:C=C3229))"),367.0)</f>
        <v>367</v>
      </c>
      <c r="S3229" s="161" t="b">
        <f t="shared" si="5"/>
        <v>0</v>
      </c>
      <c r="T3229" s="161" t="b">
        <f t="array" ref="T3229">index('Query Tool'!B:B,match(H3229,'Query Tool'!C:C,0))</f>
        <v>1</v>
      </c>
      <c r="U3229" s="161" t="b">
        <f t="array" ref="U3229">index('Query Tool'!B:B,match(C3229,'Query Tool'!C:C,0))</f>
        <v>0</v>
      </c>
      <c r="V3229" s="161" t="b">
        <f>F3229&gt;='Query Tool'!C$32</f>
        <v>0</v>
      </c>
      <c r="W3229" s="161" t="b">
        <f t="array" ref="W3229">index(Dropdowns!B:B,match(I3229,Dropdowns!A:A,0))</f>
        <v>1</v>
      </c>
      <c r="X3229" s="161" t="b">
        <f t="array" ref="X3229">index('Query Tool'!B:B,match(D3229,'Query Tool'!C:C,0))</f>
        <v>1</v>
      </c>
      <c r="Y3229" s="161" t="str">
        <f t="shared" si="6"/>
        <v>johnsst04,2019-20</v>
      </c>
      <c r="Z3229" s="168" t="str">
        <f t="array" ref="Z3229">iferror(index(I:I,match($A3229&amp;","&amp;index('Year Conversion'!$A:$A,match($C3229,'Year Conversion'!$B:$B,0)),$Y:$Y,0))-I3229,"")</f>
        <v/>
      </c>
      <c r="AA3229" s="168" t="str">
        <f t="array" ref="AA3229">iferror(index(J:J,match($A3229&amp;","&amp;index('Year Conversion'!$A:$A,match($C3229,'Year Conversion'!$B:$B,0)),$Y:$Y,0))-J3229,"")</f>
        <v/>
      </c>
      <c r="AB3229" s="168" t="str">
        <f t="array" ref="AB3229">iferror(index(K:K,match($A3229&amp;","&amp;index('Year Conversion'!$A:$A,match($C3229,'Year Conversion'!$B:$B,0)),$Y:$Y,0))-K3229,"")</f>
        <v/>
      </c>
      <c r="AC3229" s="168" t="str">
        <f t="shared" si="7"/>
        <v>TOR,2019-20</v>
      </c>
    </row>
    <row r="3230">
      <c r="A3230" s="161" t="str">
        <f>IFERROR(__xludf.DUMMYFUNCTION("""COMPUTED_VALUE"""),"grantje02")</f>
        <v>grantje02</v>
      </c>
      <c r="B3230" s="161" t="str">
        <f>IFERROR(__xludf.DUMMYFUNCTION("""COMPUTED_VALUE"""),"Jerian Grant")</f>
        <v>Jerian Grant</v>
      </c>
      <c r="C3230" s="162" t="str">
        <f>IFERROR(__xludf.DUMMYFUNCTION("""COMPUTED_VALUE"""),"2019-20")</f>
        <v>2019-20</v>
      </c>
      <c r="D3230" s="163" t="str">
        <f>IFERROR(__xludf.DUMMYFUNCTION("""COMPUTED_VALUE"""),"WAS")</f>
        <v>WAS</v>
      </c>
      <c r="E3230" s="164" t="str">
        <f>IFERROR(__xludf.DUMMYFUNCTION("""COMPUTED_VALUE"""),"Movement Shooter")</f>
        <v>Movement Shooter</v>
      </c>
      <c r="F3230" s="164">
        <f>IFERROR(__xludf.DUMMYFUNCTION("""COMPUTED_VALUE"""),80.3516666666666)</f>
        <v>80.35166667</v>
      </c>
      <c r="G3230" s="163">
        <f>IFERROR(__xludf.DUMMYFUNCTION("""COMPUTED_VALUE"""),6.0)</f>
        <v>6</v>
      </c>
      <c r="H3230" s="163" t="str">
        <f>IFERROR(__xludf.DUMMYFUNCTION("""COMPUTED_VALUE"""),"SG")</f>
        <v>SG</v>
      </c>
      <c r="I3230" s="163">
        <f>IFERROR(__xludf.DUMMYFUNCTION("""COMPUTED_VALUE"""),27.0)</f>
        <v>27</v>
      </c>
      <c r="J3230" s="165">
        <f>IFERROR(__xludf.DUMMYFUNCTION("""COMPUTED_VALUE"""),-0.81416796045349)</f>
        <v>-0.8141679605</v>
      </c>
      <c r="K3230" s="165">
        <f>IFERROR(__xludf.DUMMYFUNCTION("""COMPUTED_VALUE"""),-0.470394378962262)</f>
        <v>-0.470394379</v>
      </c>
      <c r="L3230" s="165">
        <f>IFERROR(__xludf.DUMMYFUNCTION("""COMPUTED_VALUE"""),-0.343773581491228)</f>
        <v>-0.3437735815</v>
      </c>
      <c r="M3230" s="166">
        <f t="shared" si="2"/>
        <v>0.07981072463</v>
      </c>
      <c r="N3230" s="167">
        <f t="shared" si="3"/>
        <v>13.39194444</v>
      </c>
      <c r="O3230" s="163">
        <f t="shared" ref="O3230:Q3230" si="3234">rank(I3230,I:I)</f>
        <v>1366</v>
      </c>
      <c r="P3230" s="163">
        <f t="shared" si="3234"/>
        <v>2303</v>
      </c>
      <c r="Q3230" s="163">
        <f t="shared" si="3234"/>
        <v>2065</v>
      </c>
      <c r="R3230" s="163">
        <f>IFERROR(__xludf.DUMMYFUNCTION("RANK(M3230,filter(M:M,C:C=C3230))"),403.0)</f>
        <v>403</v>
      </c>
      <c r="S3230" s="161" t="b">
        <f t="shared" si="5"/>
        <v>0</v>
      </c>
      <c r="T3230" s="161" t="b">
        <f t="array" ref="T3230">index('Query Tool'!B:B,match(H3230,'Query Tool'!C:C,0))</f>
        <v>1</v>
      </c>
      <c r="U3230" s="161" t="b">
        <f t="array" ref="U3230">index('Query Tool'!B:B,match(C3230,'Query Tool'!C:C,0))</f>
        <v>0</v>
      </c>
      <c r="V3230" s="161" t="b">
        <f>F3230&gt;='Query Tool'!C$32</f>
        <v>0</v>
      </c>
      <c r="W3230" s="161" t="b">
        <f t="array" ref="W3230">index(Dropdowns!B:B,match(I3230,Dropdowns!A:A,0))</f>
        <v>1</v>
      </c>
      <c r="X3230" s="161" t="b">
        <f t="array" ref="X3230">index('Query Tool'!B:B,match(D3230,'Query Tool'!C:C,0))</f>
        <v>1</v>
      </c>
      <c r="Y3230" s="161" t="str">
        <f t="shared" si="6"/>
        <v>grantje02,2019-20</v>
      </c>
      <c r="Z3230" s="168" t="str">
        <f t="array" ref="Z3230">iferror(index(I:I,match($A3230&amp;","&amp;index('Year Conversion'!$A:$A,match($C3230,'Year Conversion'!$B:$B,0)),$Y:$Y,0))-I3230,"")</f>
        <v/>
      </c>
      <c r="AA3230" s="168" t="str">
        <f t="array" ref="AA3230">iferror(index(J:J,match($A3230&amp;","&amp;index('Year Conversion'!$A:$A,match($C3230,'Year Conversion'!$B:$B,0)),$Y:$Y,0))-J3230,"")</f>
        <v/>
      </c>
      <c r="AB3230" s="168" t="str">
        <f t="array" ref="AB3230">iferror(index(K:K,match($A3230&amp;","&amp;index('Year Conversion'!$A:$A,match($C3230,'Year Conversion'!$B:$B,0)),$Y:$Y,0))-K3230,"")</f>
        <v/>
      </c>
      <c r="AC3230" s="168" t="str">
        <f t="shared" si="7"/>
        <v>WAS,2019-20</v>
      </c>
    </row>
    <row r="3231">
      <c r="A3231" s="161" t="str">
        <f>IFERROR(__xludf.DUMMYFUNCTION("""COMPUTED_VALUE"""),"portibo01")</f>
        <v>portibo01</v>
      </c>
      <c r="B3231" s="161" t="str">
        <f>IFERROR(__xludf.DUMMYFUNCTION("""COMPUTED_VALUE"""),"Bobby Portis")</f>
        <v>Bobby Portis</v>
      </c>
      <c r="C3231" s="162" t="str">
        <f>IFERROR(__xludf.DUMMYFUNCTION("""COMPUTED_VALUE"""),"2019-20")</f>
        <v>2019-20</v>
      </c>
      <c r="D3231" s="163" t="str">
        <f>IFERROR(__xludf.DUMMYFUNCTION("""COMPUTED_VALUE"""),"NYK")</f>
        <v>NYK</v>
      </c>
      <c r="E3231" s="164" t="str">
        <f>IFERROR(__xludf.DUMMYFUNCTION("""COMPUTED_VALUE"""),"Versatile Big")</f>
        <v>Versatile Big</v>
      </c>
      <c r="F3231" s="164">
        <f>IFERROR(__xludf.DUMMYFUNCTION("""COMPUTED_VALUE"""),1393.50666666667)</f>
        <v>1393.506667</v>
      </c>
      <c r="G3231" s="163">
        <f>IFERROR(__xludf.DUMMYFUNCTION("""COMPUTED_VALUE"""),66.0)</f>
        <v>66</v>
      </c>
      <c r="H3231" s="163" t="str">
        <f>IFERROR(__xludf.DUMMYFUNCTION("""COMPUTED_VALUE"""),"PF")</f>
        <v>PF</v>
      </c>
      <c r="I3231" s="163">
        <f>IFERROR(__xludf.DUMMYFUNCTION("""COMPUTED_VALUE"""),24.0)</f>
        <v>24</v>
      </c>
      <c r="J3231" s="165">
        <f>IFERROR(__xludf.DUMMYFUNCTION("""COMPUTED_VALUE"""),-1.6463178440694)</f>
        <v>-1.646317844</v>
      </c>
      <c r="K3231" s="165">
        <f>IFERROR(__xludf.DUMMYFUNCTION("""COMPUTED_VALUE"""),-0.562943377274815)</f>
        <v>-0.5629433773</v>
      </c>
      <c r="L3231" s="165">
        <f>IFERROR(__xludf.DUMMYFUNCTION("""COMPUTED_VALUE"""),-1.08337446679458)</f>
        <v>-1.083374467</v>
      </c>
      <c r="M3231" s="166">
        <f t="shared" si="2"/>
        <v>0.6074243711</v>
      </c>
      <c r="N3231" s="167">
        <f t="shared" si="3"/>
        <v>21.11373737</v>
      </c>
      <c r="O3231" s="163">
        <f t="shared" ref="O3231:Q3231" si="3235">rank(I3231,I:I)</f>
        <v>2361</v>
      </c>
      <c r="P3231" s="163">
        <f t="shared" si="3235"/>
        <v>3192</v>
      </c>
      <c r="Q3231" s="163">
        <f t="shared" si="3235"/>
        <v>2208</v>
      </c>
      <c r="R3231" s="163">
        <f>IFERROR(__xludf.DUMMYFUNCTION("RANK(M3231,filter(M:M,C:C=C3231))"),241.0)</f>
        <v>241</v>
      </c>
      <c r="S3231" s="161" t="b">
        <f t="shared" si="5"/>
        <v>0</v>
      </c>
      <c r="T3231" s="161" t="b">
        <f t="array" ref="T3231">index('Query Tool'!B:B,match(H3231,'Query Tool'!C:C,0))</f>
        <v>1</v>
      </c>
      <c r="U3231" s="161" t="b">
        <f t="array" ref="U3231">index('Query Tool'!B:B,match(C3231,'Query Tool'!C:C,0))</f>
        <v>0</v>
      </c>
      <c r="V3231" s="161" t="b">
        <f>F3231&gt;='Query Tool'!C$32</f>
        <v>1</v>
      </c>
      <c r="W3231" s="161" t="b">
        <f t="array" ref="W3231">index(Dropdowns!B:B,match(I3231,Dropdowns!A:A,0))</f>
        <v>1</v>
      </c>
      <c r="X3231" s="161" t="b">
        <f t="array" ref="X3231">index('Query Tool'!B:B,match(D3231,'Query Tool'!C:C,0))</f>
        <v>1</v>
      </c>
      <c r="Y3231" s="161" t="str">
        <f t="shared" si="6"/>
        <v>portibo01,2019-20</v>
      </c>
      <c r="Z3231" s="168" t="str">
        <f t="array" ref="Z3231">iferror(index(I:I,match($A3231&amp;","&amp;index('Year Conversion'!$A:$A,match($C3231,'Year Conversion'!$B:$B,0)),$Y:$Y,0))-I3231,"")</f>
        <v/>
      </c>
      <c r="AA3231" s="168" t="str">
        <f t="array" ref="AA3231">iferror(index(J:J,match($A3231&amp;","&amp;index('Year Conversion'!$A:$A,match($C3231,'Year Conversion'!$B:$B,0)),$Y:$Y,0))-J3231,"")</f>
        <v/>
      </c>
      <c r="AB3231" s="168" t="str">
        <f t="array" ref="AB3231">iferror(index(K:K,match($A3231&amp;","&amp;index('Year Conversion'!$A:$A,match($C3231,'Year Conversion'!$B:$B,0)),$Y:$Y,0))-K3231,"")</f>
        <v/>
      </c>
      <c r="AC3231" s="168" t="str">
        <f t="shared" si="7"/>
        <v>NYK,2019-20</v>
      </c>
    </row>
    <row r="3232">
      <c r="A3232" s="161" t="str">
        <f>IFERROR(__xludf.DUMMYFUNCTION("""COMPUTED_VALUE"""),"looneke01")</f>
        <v>looneke01</v>
      </c>
      <c r="B3232" s="161" t="str">
        <f>IFERROR(__xludf.DUMMYFUNCTION("""COMPUTED_VALUE"""),"Kevon Looney")</f>
        <v>Kevon Looney</v>
      </c>
      <c r="C3232" s="162" t="str">
        <f>IFERROR(__xludf.DUMMYFUNCTION("""COMPUTED_VALUE"""),"2019-20")</f>
        <v>2019-20</v>
      </c>
      <c r="D3232" s="163" t="str">
        <f>IFERROR(__xludf.DUMMYFUNCTION("""COMPUTED_VALUE"""),"GSW")</f>
        <v>GSW</v>
      </c>
      <c r="E3232" s="164" t="str">
        <f>IFERROR(__xludf.DUMMYFUNCTION("""COMPUTED_VALUE"""),"Roll + Cut Big")</f>
        <v>Roll + Cut Big</v>
      </c>
      <c r="F3232" s="164">
        <f>IFERROR(__xludf.DUMMYFUNCTION("""COMPUTED_VALUE"""),261.601666666667)</f>
        <v>261.6016667</v>
      </c>
      <c r="G3232" s="163">
        <f>IFERROR(__xludf.DUMMYFUNCTION("""COMPUTED_VALUE"""),20.0)</f>
        <v>20</v>
      </c>
      <c r="H3232" s="163" t="str">
        <f>IFERROR(__xludf.DUMMYFUNCTION("""COMPUTED_VALUE"""),"C")</f>
        <v>C</v>
      </c>
      <c r="I3232" s="163">
        <f>IFERROR(__xludf.DUMMYFUNCTION("""COMPUTED_VALUE"""),23.0)</f>
        <v>23</v>
      </c>
      <c r="J3232" s="165">
        <f>IFERROR(__xludf.DUMMYFUNCTION("""COMPUTED_VALUE"""),-1.46634714820995)</f>
        <v>-1.466347148</v>
      </c>
      <c r="K3232" s="165">
        <f>IFERROR(__xludf.DUMMYFUNCTION("""COMPUTED_VALUE"""),-1.82894946092003)</f>
        <v>-1.828949461</v>
      </c>
      <c r="L3232" s="165">
        <f>IFERROR(__xludf.DUMMYFUNCTION("""COMPUTED_VALUE"""),0.36260231271008)</f>
        <v>0.3626023127</v>
      </c>
      <c r="M3232" s="166">
        <f t="shared" si="2"/>
        <v>0.1454538611</v>
      </c>
      <c r="N3232" s="167">
        <f t="shared" si="3"/>
        <v>13.08008333</v>
      </c>
      <c r="O3232" s="163">
        <f t="shared" ref="O3232:Q3232" si="3236">rank(I3232,I:I)</f>
        <v>2765</v>
      </c>
      <c r="P3232" s="163">
        <f t="shared" si="3236"/>
        <v>3024</v>
      </c>
      <c r="Q3232" s="163">
        <f t="shared" si="3236"/>
        <v>3591</v>
      </c>
      <c r="R3232" s="163">
        <f>IFERROR(__xludf.DUMMYFUNCTION("RANK(M3232,filter(M:M,C:C=C3232))"),360.0)</f>
        <v>360</v>
      </c>
      <c r="S3232" s="161" t="b">
        <f t="shared" si="5"/>
        <v>0</v>
      </c>
      <c r="T3232" s="161" t="b">
        <f t="array" ref="T3232">index('Query Tool'!B:B,match(H3232,'Query Tool'!C:C,0))</f>
        <v>1</v>
      </c>
      <c r="U3232" s="161" t="b">
        <f t="array" ref="U3232">index('Query Tool'!B:B,match(C3232,'Query Tool'!C:C,0))</f>
        <v>0</v>
      </c>
      <c r="V3232" s="161" t="b">
        <f>F3232&gt;='Query Tool'!C$32</f>
        <v>0</v>
      </c>
      <c r="W3232" s="161" t="b">
        <f t="array" ref="W3232">index(Dropdowns!B:B,match(I3232,Dropdowns!A:A,0))</f>
        <v>1</v>
      </c>
      <c r="X3232" s="161" t="b">
        <f t="array" ref="X3232">index('Query Tool'!B:B,match(D3232,'Query Tool'!C:C,0))</f>
        <v>1</v>
      </c>
      <c r="Y3232" s="161" t="str">
        <f t="shared" si="6"/>
        <v>looneke01,2019-20</v>
      </c>
      <c r="Z3232" s="168" t="str">
        <f t="array" ref="Z3232">iferror(index(I:I,match($A3232&amp;","&amp;index('Year Conversion'!$A:$A,match($C3232,'Year Conversion'!$B:$B,0)),$Y:$Y,0))-I3232,"")</f>
        <v/>
      </c>
      <c r="AA3232" s="168" t="str">
        <f t="array" ref="AA3232">iferror(index(J:J,match($A3232&amp;","&amp;index('Year Conversion'!$A:$A,match($C3232,'Year Conversion'!$B:$B,0)),$Y:$Y,0))-J3232,"")</f>
        <v/>
      </c>
      <c r="AB3232" s="168" t="str">
        <f t="array" ref="AB3232">iferror(index(K:K,match($A3232&amp;","&amp;index('Year Conversion'!$A:$A,match($C3232,'Year Conversion'!$B:$B,0)),$Y:$Y,0))-K3232,"")</f>
        <v/>
      </c>
      <c r="AC3232" s="168" t="str">
        <f t="shared" si="7"/>
        <v>GSW,2019-20</v>
      </c>
    </row>
    <row r="3233">
      <c r="A3233" s="161" t="str">
        <f>IFERROR(__xludf.DUMMYFUNCTION("""COMPUTED_VALUE"""),"woodch01")</f>
        <v>woodch01</v>
      </c>
      <c r="B3233" s="161" t="str">
        <f>IFERROR(__xludf.DUMMYFUNCTION("""COMPUTED_VALUE"""),"Christian Wood")</f>
        <v>Christian Wood</v>
      </c>
      <c r="C3233" s="162" t="str">
        <f>IFERROR(__xludf.DUMMYFUNCTION("""COMPUTED_VALUE"""),"2019-20")</f>
        <v>2019-20</v>
      </c>
      <c r="D3233" s="163" t="str">
        <f>IFERROR(__xludf.DUMMYFUNCTION("""COMPUTED_VALUE"""),"DET")</f>
        <v>DET</v>
      </c>
      <c r="E3233" s="164" t="str">
        <f>IFERROR(__xludf.DUMMYFUNCTION("""COMPUTED_VALUE"""),"Stretch Big")</f>
        <v>Stretch Big</v>
      </c>
      <c r="F3233" s="164">
        <f>IFERROR(__xludf.DUMMYFUNCTION("""COMPUTED_VALUE"""),1324.64333333333)</f>
        <v>1324.643333</v>
      </c>
      <c r="G3233" s="163">
        <f>IFERROR(__xludf.DUMMYFUNCTION("""COMPUTED_VALUE"""),62.0)</f>
        <v>62</v>
      </c>
      <c r="H3233" s="163" t="str">
        <f>IFERROR(__xludf.DUMMYFUNCTION("""COMPUTED_VALUE"""),"PF")</f>
        <v>PF</v>
      </c>
      <c r="I3233" s="163">
        <f>IFERROR(__xludf.DUMMYFUNCTION("""COMPUTED_VALUE"""),24.0)</f>
        <v>24</v>
      </c>
      <c r="J3233" s="165">
        <f>IFERROR(__xludf.DUMMYFUNCTION("""COMPUTED_VALUE"""),2.4641717012183)</f>
        <v>2.464171701</v>
      </c>
      <c r="K3233" s="165">
        <f>IFERROR(__xludf.DUMMYFUNCTION("""COMPUTED_VALUE"""),2.01491252733976)</f>
        <v>2.014912527</v>
      </c>
      <c r="L3233" s="165">
        <f>IFERROR(__xludf.DUMMYFUNCTION("""COMPUTED_VALUE"""),0.449259173878542)</f>
        <v>0.4492591739</v>
      </c>
      <c r="M3233" s="166">
        <f t="shared" si="2"/>
        <v>4.224436593</v>
      </c>
      <c r="N3233" s="167">
        <f t="shared" si="3"/>
        <v>21.36521505</v>
      </c>
      <c r="O3233" s="163">
        <f t="shared" ref="O3233:Q3233" si="3237">rank(I3233,I:I)</f>
        <v>2361</v>
      </c>
      <c r="P3233" s="163">
        <f t="shared" si="3237"/>
        <v>225</v>
      </c>
      <c r="Q3233" s="163">
        <f t="shared" si="3237"/>
        <v>225</v>
      </c>
      <c r="R3233" s="163">
        <f>IFERROR(__xludf.DUMMYFUNCTION("RANK(M3233,filter(M:M,C:C=C3233))"),61.0)</f>
        <v>61</v>
      </c>
      <c r="S3233" s="161" t="b">
        <f t="shared" si="5"/>
        <v>0</v>
      </c>
      <c r="T3233" s="161" t="b">
        <f t="array" ref="T3233">index('Query Tool'!B:B,match(H3233,'Query Tool'!C:C,0))</f>
        <v>1</v>
      </c>
      <c r="U3233" s="161" t="b">
        <f t="array" ref="U3233">index('Query Tool'!B:B,match(C3233,'Query Tool'!C:C,0))</f>
        <v>0</v>
      </c>
      <c r="V3233" s="161" t="b">
        <f>F3233&gt;='Query Tool'!C$32</f>
        <v>1</v>
      </c>
      <c r="W3233" s="161" t="b">
        <f t="array" ref="W3233">index(Dropdowns!B:B,match(I3233,Dropdowns!A:A,0))</f>
        <v>1</v>
      </c>
      <c r="X3233" s="161" t="b">
        <f t="array" ref="X3233">index('Query Tool'!B:B,match(D3233,'Query Tool'!C:C,0))</f>
        <v>1</v>
      </c>
      <c r="Y3233" s="161" t="str">
        <f t="shared" si="6"/>
        <v>woodch01,2019-20</v>
      </c>
      <c r="Z3233" s="168" t="str">
        <f t="array" ref="Z3233">iferror(index(I:I,match($A3233&amp;","&amp;index('Year Conversion'!$A:$A,match($C3233,'Year Conversion'!$B:$B,0)),$Y:$Y,0))-I3233,"")</f>
        <v/>
      </c>
      <c r="AA3233" s="168" t="str">
        <f t="array" ref="AA3233">iferror(index(J:J,match($A3233&amp;","&amp;index('Year Conversion'!$A:$A,match($C3233,'Year Conversion'!$B:$B,0)),$Y:$Y,0))-J3233,"")</f>
        <v/>
      </c>
      <c r="AB3233" s="168" t="str">
        <f t="array" ref="AB3233">iferror(index(K:K,match($A3233&amp;","&amp;index('Year Conversion'!$A:$A,match($C3233,'Year Conversion'!$B:$B,0)),$Y:$Y,0))-K3233,"")</f>
        <v/>
      </c>
      <c r="AC3233" s="168" t="str">
        <f t="shared" si="7"/>
        <v>DET,2019-20</v>
      </c>
    </row>
    <row r="3234">
      <c r="A3234" s="161" t="str">
        <f>IFERROR(__xludf.DUMMYFUNCTION("""COMPUTED_VALUE"""),"holliro01")</f>
        <v>holliro01</v>
      </c>
      <c r="B3234" s="161" t="str">
        <f>IFERROR(__xludf.DUMMYFUNCTION("""COMPUTED_VALUE"""),"Rondae Hollis-Jefferson")</f>
        <v>Rondae Hollis-Jefferson</v>
      </c>
      <c r="C3234" s="162" t="str">
        <f>IFERROR(__xludf.DUMMYFUNCTION("""COMPUTED_VALUE"""),"2019-20")</f>
        <v>2019-20</v>
      </c>
      <c r="D3234" s="163" t="str">
        <f>IFERROR(__xludf.DUMMYFUNCTION("""COMPUTED_VALUE"""),"TOR")</f>
        <v>TOR</v>
      </c>
      <c r="E3234" s="164" t="str">
        <f>IFERROR(__xludf.DUMMYFUNCTION("""COMPUTED_VALUE"""),"Roll + Cut Big")</f>
        <v>Roll + Cut Big</v>
      </c>
      <c r="F3234" s="164">
        <f>IFERROR(__xludf.DUMMYFUNCTION("""COMPUTED_VALUE"""),1121.895)</f>
        <v>1121.895</v>
      </c>
      <c r="G3234" s="163">
        <f>IFERROR(__xludf.DUMMYFUNCTION("""COMPUTED_VALUE"""),60.0)</f>
        <v>60</v>
      </c>
      <c r="H3234" s="163" t="str">
        <f>IFERROR(__xludf.DUMMYFUNCTION("""COMPUTED_VALUE"""),"PF")</f>
        <v>PF</v>
      </c>
      <c r="I3234" s="163">
        <f>IFERROR(__xludf.DUMMYFUNCTION("""COMPUTED_VALUE"""),25.0)</f>
        <v>25</v>
      </c>
      <c r="J3234" s="165">
        <f>IFERROR(__xludf.DUMMYFUNCTION("""COMPUTED_VALUE"""),1.11812507392799)</f>
        <v>1.118125074</v>
      </c>
      <c r="K3234" s="165">
        <f>IFERROR(__xludf.DUMMYFUNCTION("""COMPUTED_VALUE"""),0.327356094150944)</f>
        <v>0.3273560942</v>
      </c>
      <c r="L3234" s="165">
        <f>IFERROR(__xludf.DUMMYFUNCTION("""COMPUTED_VALUE"""),0.790768979777045)</f>
        <v>0.7907689798</v>
      </c>
      <c r="M3234" s="166">
        <f t="shared" si="2"/>
        <v>2.573838836</v>
      </c>
      <c r="N3234" s="167">
        <f t="shared" si="3"/>
        <v>18.69825</v>
      </c>
      <c r="O3234" s="163">
        <f t="shared" ref="O3234:Q3234" si="3238">rank(I3234,I:I)</f>
        <v>1995</v>
      </c>
      <c r="P3234" s="163">
        <f t="shared" si="3238"/>
        <v>608</v>
      </c>
      <c r="Q3234" s="163">
        <f t="shared" si="3238"/>
        <v>885</v>
      </c>
      <c r="R3234" s="163">
        <f>IFERROR(__xludf.DUMMYFUNCTION("RANK(M3234,filter(M:M,C:C=C3234))"),118.0)</f>
        <v>118</v>
      </c>
      <c r="S3234" s="161" t="b">
        <f t="shared" si="5"/>
        <v>0</v>
      </c>
      <c r="T3234" s="161" t="b">
        <f t="array" ref="T3234">index('Query Tool'!B:B,match(H3234,'Query Tool'!C:C,0))</f>
        <v>1</v>
      </c>
      <c r="U3234" s="161" t="b">
        <f t="array" ref="U3234">index('Query Tool'!B:B,match(C3234,'Query Tool'!C:C,0))</f>
        <v>0</v>
      </c>
      <c r="V3234" s="161" t="b">
        <f>F3234&gt;='Query Tool'!C$32</f>
        <v>1</v>
      </c>
      <c r="W3234" s="161" t="b">
        <f t="array" ref="W3234">index(Dropdowns!B:B,match(I3234,Dropdowns!A:A,0))</f>
        <v>1</v>
      </c>
      <c r="X3234" s="161" t="b">
        <f t="array" ref="X3234">index('Query Tool'!B:B,match(D3234,'Query Tool'!C:C,0))</f>
        <v>1</v>
      </c>
      <c r="Y3234" s="161" t="str">
        <f t="shared" si="6"/>
        <v>holliro01,2019-20</v>
      </c>
      <c r="Z3234" s="168" t="str">
        <f t="array" ref="Z3234">iferror(index(I:I,match($A3234&amp;","&amp;index('Year Conversion'!$A:$A,match($C3234,'Year Conversion'!$B:$B,0)),$Y:$Y,0))-I3234,"")</f>
        <v/>
      </c>
      <c r="AA3234" s="168" t="str">
        <f t="array" ref="AA3234">iferror(index(J:J,match($A3234&amp;","&amp;index('Year Conversion'!$A:$A,match($C3234,'Year Conversion'!$B:$B,0)),$Y:$Y,0))-J3234,"")</f>
        <v/>
      </c>
      <c r="AB3234" s="168" t="str">
        <f t="array" ref="AB3234">iferror(index(K:K,match($A3234&amp;","&amp;index('Year Conversion'!$A:$A,match($C3234,'Year Conversion'!$B:$B,0)),$Y:$Y,0))-K3234,"")</f>
        <v/>
      </c>
      <c r="AC3234" s="168" t="str">
        <f t="shared" si="7"/>
        <v>TOR,2019-20</v>
      </c>
    </row>
    <row r="3235">
      <c r="A3235" s="161" t="str">
        <f>IFERROR(__xludf.DUMMYFUNCTION("""COMPUTED_VALUE"""),"roziete01")</f>
        <v>roziete01</v>
      </c>
      <c r="B3235" s="161" t="str">
        <f>IFERROR(__xludf.DUMMYFUNCTION("""COMPUTED_VALUE"""),"Terry Rozier")</f>
        <v>Terry Rozier</v>
      </c>
      <c r="C3235" s="162" t="str">
        <f>IFERROR(__xludf.DUMMYFUNCTION("""COMPUTED_VALUE"""),"2019-20")</f>
        <v>2019-20</v>
      </c>
      <c r="D3235" s="163" t="str">
        <f>IFERROR(__xludf.DUMMYFUNCTION("""COMPUTED_VALUE"""),"CHO")</f>
        <v>CHO</v>
      </c>
      <c r="E3235" s="164" t="str">
        <f>IFERROR(__xludf.DUMMYFUNCTION("""COMPUTED_VALUE"""),"Primary Ball Handler")</f>
        <v>Primary Ball Handler</v>
      </c>
      <c r="F3235" s="164">
        <f>IFERROR(__xludf.DUMMYFUNCTION("""COMPUTED_VALUE"""),2164.46)</f>
        <v>2164.46</v>
      </c>
      <c r="G3235" s="163">
        <f>IFERROR(__xludf.DUMMYFUNCTION("""COMPUTED_VALUE"""),63.0)</f>
        <v>63</v>
      </c>
      <c r="H3235" s="163" t="str">
        <f>IFERROR(__xludf.DUMMYFUNCTION("""COMPUTED_VALUE"""),"PG")</f>
        <v>PG</v>
      </c>
      <c r="I3235" s="163">
        <f>IFERROR(__xludf.DUMMYFUNCTION("""COMPUTED_VALUE"""),25.0)</f>
        <v>25</v>
      </c>
      <c r="J3235" s="165">
        <f>IFERROR(__xludf.DUMMYFUNCTION("""COMPUTED_VALUE"""),-2.78342522357101)</f>
        <v>-2.783425224</v>
      </c>
      <c r="K3235" s="165">
        <f>IFERROR(__xludf.DUMMYFUNCTION("""COMPUTED_VALUE"""),-0.999004014616712)</f>
        <v>-0.9990040146</v>
      </c>
      <c r="L3235" s="165">
        <f>IFERROR(__xludf.DUMMYFUNCTION("""COMPUTED_VALUE"""),-1.78442120895429)</f>
        <v>-1.784421209</v>
      </c>
      <c r="M3235" s="166">
        <f t="shared" si="2"/>
        <v>-0.6816977122</v>
      </c>
      <c r="N3235" s="167">
        <f t="shared" si="3"/>
        <v>34.35650794</v>
      </c>
      <c r="O3235" s="163">
        <f t="shared" ref="O3235:Q3235" si="3239">rank(I3235,I:I)</f>
        <v>1995</v>
      </c>
      <c r="P3235" s="163">
        <f t="shared" si="3239"/>
        <v>3841</v>
      </c>
      <c r="Q3235" s="163">
        <f t="shared" si="3239"/>
        <v>2801</v>
      </c>
      <c r="R3235" s="163">
        <f>IFERROR(__xludf.DUMMYFUNCTION("RANK(M3235,filter(M:M,C:C=C3235))"),520.0)</f>
        <v>520</v>
      </c>
      <c r="S3235" s="161" t="b">
        <f t="shared" si="5"/>
        <v>0</v>
      </c>
      <c r="T3235" s="161" t="b">
        <f t="array" ref="T3235">index('Query Tool'!B:B,match(H3235,'Query Tool'!C:C,0))</f>
        <v>1</v>
      </c>
      <c r="U3235" s="161" t="b">
        <f t="array" ref="U3235">index('Query Tool'!B:B,match(C3235,'Query Tool'!C:C,0))</f>
        <v>0</v>
      </c>
      <c r="V3235" s="161" t="b">
        <f>F3235&gt;='Query Tool'!C$32</f>
        <v>1</v>
      </c>
      <c r="W3235" s="161" t="b">
        <f t="array" ref="W3235">index(Dropdowns!B:B,match(I3235,Dropdowns!A:A,0))</f>
        <v>1</v>
      </c>
      <c r="X3235" s="161" t="b">
        <f t="array" ref="X3235">index('Query Tool'!B:B,match(D3235,'Query Tool'!C:C,0))</f>
        <v>1</v>
      </c>
      <c r="Y3235" s="161" t="str">
        <f t="shared" si="6"/>
        <v>roziete01,2019-20</v>
      </c>
      <c r="Z3235" s="168" t="str">
        <f t="array" ref="Z3235">iferror(index(I:I,match($A3235&amp;","&amp;index('Year Conversion'!$A:$A,match($C3235,'Year Conversion'!$B:$B,0)),$Y:$Y,0))-I3235,"")</f>
        <v/>
      </c>
      <c r="AA3235" s="168" t="str">
        <f t="array" ref="AA3235">iferror(index(J:J,match($A3235&amp;","&amp;index('Year Conversion'!$A:$A,match($C3235,'Year Conversion'!$B:$B,0)),$Y:$Y,0))-J3235,"")</f>
        <v/>
      </c>
      <c r="AB3235" s="168" t="str">
        <f t="array" ref="AB3235">iferror(index(K:K,match($A3235&amp;","&amp;index('Year Conversion'!$A:$A,match($C3235,'Year Conversion'!$B:$B,0)),$Y:$Y,0))-K3235,"")</f>
        <v/>
      </c>
      <c r="AC3235" s="168" t="str">
        <f t="shared" si="7"/>
        <v>CHO,2019-20</v>
      </c>
    </row>
    <row r="3236">
      <c r="A3236" s="161" t="str">
        <f>IFERROR(__xludf.DUMMYFUNCTION("""COMPUTED_VALUE"""),"powelno01")</f>
        <v>powelno01</v>
      </c>
      <c r="B3236" s="161" t="str">
        <f>IFERROR(__xludf.DUMMYFUNCTION("""COMPUTED_VALUE"""),"Norman Powell")</f>
        <v>Norman Powell</v>
      </c>
      <c r="C3236" s="162" t="str">
        <f>IFERROR(__xludf.DUMMYFUNCTION("""COMPUTED_VALUE"""),"2019-20")</f>
        <v>2019-20</v>
      </c>
      <c r="D3236" s="163" t="str">
        <f>IFERROR(__xludf.DUMMYFUNCTION("""COMPUTED_VALUE"""),"TOR")</f>
        <v>TOR</v>
      </c>
      <c r="E3236" s="164" t="str">
        <f>IFERROR(__xludf.DUMMYFUNCTION("""COMPUTED_VALUE"""),"Movement Shooter")</f>
        <v>Movement Shooter</v>
      </c>
      <c r="F3236" s="164">
        <f>IFERROR(__xludf.DUMMYFUNCTION("""COMPUTED_VALUE"""),1478.825)</f>
        <v>1478.825</v>
      </c>
      <c r="G3236" s="163">
        <f>IFERROR(__xludf.DUMMYFUNCTION("""COMPUTED_VALUE"""),52.0)</f>
        <v>52</v>
      </c>
      <c r="H3236" s="163" t="str">
        <f>IFERROR(__xludf.DUMMYFUNCTION("""COMPUTED_VALUE"""),"SG")</f>
        <v>SG</v>
      </c>
      <c r="I3236" s="163">
        <f>IFERROR(__xludf.DUMMYFUNCTION("""COMPUTED_VALUE"""),26.0)</f>
        <v>26</v>
      </c>
      <c r="J3236" s="165">
        <f>IFERROR(__xludf.DUMMYFUNCTION("""COMPUTED_VALUE"""),-0.408666449654645)</f>
        <v>-0.4086664497</v>
      </c>
      <c r="K3236" s="165">
        <f>IFERROR(__xludf.DUMMYFUNCTION("""COMPUTED_VALUE"""),-0.0743409944442165)</f>
        <v>-0.07434099444</v>
      </c>
      <c r="L3236" s="165">
        <f>IFERROR(__xludf.DUMMYFUNCTION("""COMPUTED_VALUE"""),-0.334325455210428)</f>
        <v>-0.3343254552</v>
      </c>
      <c r="M3236" s="166">
        <f t="shared" si="2"/>
        <v>1.872505683</v>
      </c>
      <c r="N3236" s="167">
        <f t="shared" si="3"/>
        <v>28.43894231</v>
      </c>
      <c r="O3236" s="163">
        <f t="shared" ref="O3236:Q3236" si="3240">rank(I3236,I:I)</f>
        <v>1665</v>
      </c>
      <c r="P3236" s="163">
        <f t="shared" si="3240"/>
        <v>1741</v>
      </c>
      <c r="Q3236" s="163">
        <f t="shared" si="3240"/>
        <v>1314</v>
      </c>
      <c r="R3236" s="163">
        <f>IFERROR(__xludf.DUMMYFUNCTION("RANK(M3236,filter(M:M,C:C=C3236))"),162.0)</f>
        <v>162</v>
      </c>
      <c r="S3236" s="161" t="b">
        <f t="shared" si="5"/>
        <v>0</v>
      </c>
      <c r="T3236" s="161" t="b">
        <f t="array" ref="T3236">index('Query Tool'!B:B,match(H3236,'Query Tool'!C:C,0))</f>
        <v>1</v>
      </c>
      <c r="U3236" s="161" t="b">
        <f t="array" ref="U3236">index('Query Tool'!B:B,match(C3236,'Query Tool'!C:C,0))</f>
        <v>0</v>
      </c>
      <c r="V3236" s="161" t="b">
        <f>F3236&gt;='Query Tool'!C$32</f>
        <v>1</v>
      </c>
      <c r="W3236" s="161" t="b">
        <f t="array" ref="W3236">index(Dropdowns!B:B,match(I3236,Dropdowns!A:A,0))</f>
        <v>1</v>
      </c>
      <c r="X3236" s="161" t="b">
        <f t="array" ref="X3236">index('Query Tool'!B:B,match(D3236,'Query Tool'!C:C,0))</f>
        <v>1</v>
      </c>
      <c r="Y3236" s="161" t="str">
        <f t="shared" si="6"/>
        <v>powelno01,2019-20</v>
      </c>
      <c r="Z3236" s="168" t="str">
        <f t="array" ref="Z3236">iferror(index(I:I,match($A3236&amp;","&amp;index('Year Conversion'!$A:$A,match($C3236,'Year Conversion'!$B:$B,0)),$Y:$Y,0))-I3236,"")</f>
        <v/>
      </c>
      <c r="AA3236" s="168" t="str">
        <f t="array" ref="AA3236">iferror(index(J:J,match($A3236&amp;","&amp;index('Year Conversion'!$A:$A,match($C3236,'Year Conversion'!$B:$B,0)),$Y:$Y,0))-J3236,"")</f>
        <v/>
      </c>
      <c r="AB3236" s="168" t="str">
        <f t="array" ref="AB3236">iferror(index(K:K,match($A3236&amp;","&amp;index('Year Conversion'!$A:$A,match($C3236,'Year Conversion'!$B:$B,0)),$Y:$Y,0))-K3236,"")</f>
        <v/>
      </c>
      <c r="AC3236" s="168" t="str">
        <f t="shared" si="7"/>
        <v>TOR,2019-20</v>
      </c>
    </row>
    <row r="3237">
      <c r="A3237" s="161" t="str">
        <f>IFERROR(__xludf.DUMMYFUNCTION("""COMPUTED_VALUE"""),"randlch01")</f>
        <v>randlch01</v>
      </c>
      <c r="B3237" s="161" t="str">
        <f>IFERROR(__xludf.DUMMYFUNCTION("""COMPUTED_VALUE"""),"Chasson Randle")</f>
        <v>Chasson Randle</v>
      </c>
      <c r="C3237" s="162" t="str">
        <f>IFERROR(__xludf.DUMMYFUNCTION("""COMPUTED_VALUE"""),"2019-20")</f>
        <v>2019-20</v>
      </c>
      <c r="D3237" s="163" t="str">
        <f>IFERROR(__xludf.DUMMYFUNCTION("""COMPUTED_VALUE"""),"GSW")</f>
        <v>GSW</v>
      </c>
      <c r="E3237" s="164" t="str">
        <f>IFERROR(__xludf.DUMMYFUNCTION("""COMPUTED_VALUE"""),"Stationary Shooter")</f>
        <v>Stationary Shooter</v>
      </c>
      <c r="F3237" s="164">
        <f>IFERROR(__xludf.DUMMYFUNCTION("""COMPUTED_VALUE"""),40.4066666666667)</f>
        <v>40.40666667</v>
      </c>
      <c r="G3237" s="163">
        <f>IFERROR(__xludf.DUMMYFUNCTION("""COMPUTED_VALUE"""),3.0)</f>
        <v>3</v>
      </c>
      <c r="H3237" s="163" t="str">
        <f>IFERROR(__xludf.DUMMYFUNCTION("""COMPUTED_VALUE"""),"PG")</f>
        <v>PG</v>
      </c>
      <c r="I3237" s="163">
        <f>IFERROR(__xludf.DUMMYFUNCTION("""COMPUTED_VALUE"""),26.0)</f>
        <v>26</v>
      </c>
      <c r="J3237" s="165">
        <f>IFERROR(__xludf.DUMMYFUNCTION("""COMPUTED_VALUE"""),-0.34096314155305)</f>
        <v>-0.3409631416</v>
      </c>
      <c r="K3237" s="165">
        <f>IFERROR(__xludf.DUMMYFUNCTION("""COMPUTED_VALUE"""),-0.576132296615097)</f>
        <v>-0.5761322966</v>
      </c>
      <c r="L3237" s="165">
        <f>IFERROR(__xludf.DUMMYFUNCTION("""COMPUTED_VALUE"""),0.235169155062047)</f>
        <v>0.2351691551</v>
      </c>
      <c r="M3237" s="166">
        <f t="shared" si="2"/>
        <v>0.05300667377</v>
      </c>
      <c r="N3237" s="167">
        <f t="shared" si="3"/>
        <v>13.46888889</v>
      </c>
      <c r="O3237" s="163">
        <f t="shared" ref="O3237:Q3237" si="3241">rank(I3237,I:I)</f>
        <v>1665</v>
      </c>
      <c r="P3237" s="163">
        <f t="shared" si="3241"/>
        <v>1661</v>
      </c>
      <c r="Q3237" s="163">
        <f t="shared" si="3241"/>
        <v>2226</v>
      </c>
      <c r="R3237" s="163">
        <f>IFERROR(__xludf.DUMMYFUNCTION("RANK(M3237,filter(M:M,C:C=C3237))"),426.0)</f>
        <v>426</v>
      </c>
      <c r="S3237" s="161" t="b">
        <f t="shared" si="5"/>
        <v>0</v>
      </c>
      <c r="T3237" s="161" t="b">
        <f t="array" ref="T3237">index('Query Tool'!B:B,match(H3237,'Query Tool'!C:C,0))</f>
        <v>1</v>
      </c>
      <c r="U3237" s="161" t="b">
        <f t="array" ref="U3237">index('Query Tool'!B:B,match(C3237,'Query Tool'!C:C,0))</f>
        <v>0</v>
      </c>
      <c r="V3237" s="161" t="b">
        <f>F3237&gt;='Query Tool'!C$32</f>
        <v>0</v>
      </c>
      <c r="W3237" s="161" t="b">
        <f t="array" ref="W3237">index(Dropdowns!B:B,match(I3237,Dropdowns!A:A,0))</f>
        <v>1</v>
      </c>
      <c r="X3237" s="161" t="b">
        <f t="array" ref="X3237">index('Query Tool'!B:B,match(D3237,'Query Tool'!C:C,0))</f>
        <v>1</v>
      </c>
      <c r="Y3237" s="161" t="str">
        <f t="shared" si="6"/>
        <v>randlch01,2019-20</v>
      </c>
      <c r="Z3237" s="168" t="str">
        <f t="array" ref="Z3237">iferror(index(I:I,match($A3237&amp;","&amp;index('Year Conversion'!$A:$A,match($C3237,'Year Conversion'!$B:$B,0)),$Y:$Y,0))-I3237,"")</f>
        <v/>
      </c>
      <c r="AA3237" s="168" t="str">
        <f t="array" ref="AA3237">iferror(index(J:J,match($A3237&amp;","&amp;index('Year Conversion'!$A:$A,match($C3237,'Year Conversion'!$B:$B,0)),$Y:$Y,0))-J3237,"")</f>
        <v/>
      </c>
      <c r="AB3237" s="168" t="str">
        <f t="array" ref="AB3237">iferror(index(K:K,match($A3237&amp;","&amp;index('Year Conversion'!$A:$A,match($C3237,'Year Conversion'!$B:$B,0)),$Y:$Y,0))-K3237,"")</f>
        <v/>
      </c>
      <c r="AC3237" s="168" t="str">
        <f t="shared" si="7"/>
        <v>GSW,2019-20</v>
      </c>
    </row>
    <row r="3238">
      <c r="A3238" s="161" t="str">
        <f>IFERROR(__xludf.DUMMYFUNCTION("""COMPUTED_VALUE"""),"frazimi01")</f>
        <v>frazimi01</v>
      </c>
      <c r="B3238" s="161" t="str">
        <f>IFERROR(__xludf.DUMMYFUNCTION("""COMPUTED_VALUE"""),"Michael Frazier II")</f>
        <v>Michael Frazier II</v>
      </c>
      <c r="C3238" s="162" t="str">
        <f>IFERROR(__xludf.DUMMYFUNCTION("""COMPUTED_VALUE"""),"2019-20")</f>
        <v>2019-20</v>
      </c>
      <c r="D3238" s="163" t="str">
        <f>IFERROR(__xludf.DUMMYFUNCTION("""COMPUTED_VALUE"""),"HOU")</f>
        <v>HOU</v>
      </c>
      <c r="E3238" s="164" t="str">
        <f>IFERROR(__xludf.DUMMYFUNCTION("""COMPUTED_VALUE"""),"Off Screen Shooter")</f>
        <v>Off Screen Shooter</v>
      </c>
      <c r="F3238" s="164">
        <f>IFERROR(__xludf.DUMMYFUNCTION("""COMPUTED_VALUE"""),144.57)</f>
        <v>144.57</v>
      </c>
      <c r="G3238" s="163">
        <f>IFERROR(__xludf.DUMMYFUNCTION("""COMPUTED_VALUE"""),13.0)</f>
        <v>13</v>
      </c>
      <c r="H3238" s="163" t="str">
        <f>IFERROR(__xludf.DUMMYFUNCTION("""COMPUTED_VALUE"""),"SG")</f>
        <v>SG</v>
      </c>
      <c r="I3238" s="163">
        <f>IFERROR(__xludf.DUMMYFUNCTION("""COMPUTED_VALUE"""),25.0)</f>
        <v>25</v>
      </c>
      <c r="J3238" s="165">
        <f>IFERROR(__xludf.DUMMYFUNCTION("""COMPUTED_VALUE"""),-2.31146452423847)</f>
        <v>-2.311464524</v>
      </c>
      <c r="K3238" s="165">
        <f>IFERROR(__xludf.DUMMYFUNCTION("""COMPUTED_VALUE"""),-1.39062324711624)</f>
        <v>-1.390623247</v>
      </c>
      <c r="L3238" s="165">
        <f>IFERROR(__xludf.DUMMYFUNCTION("""COMPUTED_VALUE"""),-0.920841277122231)</f>
        <v>-0.9208412771</v>
      </c>
      <c r="M3238" s="166">
        <f t="shared" si="2"/>
        <v>-0.0007567545974</v>
      </c>
      <c r="N3238" s="167">
        <f t="shared" si="3"/>
        <v>11.12076923</v>
      </c>
      <c r="O3238" s="163">
        <f t="shared" ref="O3238:Q3238" si="3242">rank(I3238,I:I)</f>
        <v>1995</v>
      </c>
      <c r="P3238" s="163">
        <f t="shared" si="3242"/>
        <v>3663</v>
      </c>
      <c r="Q3238" s="163">
        <f t="shared" si="3242"/>
        <v>3244</v>
      </c>
      <c r="R3238" s="163">
        <f>IFERROR(__xludf.DUMMYFUNCTION("RANK(M3238,filter(M:M,C:C=C3238))"),483.0)</f>
        <v>483</v>
      </c>
      <c r="S3238" s="161" t="b">
        <f t="shared" si="5"/>
        <v>0</v>
      </c>
      <c r="T3238" s="161" t="b">
        <f t="array" ref="T3238">index('Query Tool'!B:B,match(H3238,'Query Tool'!C:C,0))</f>
        <v>1</v>
      </c>
      <c r="U3238" s="161" t="b">
        <f t="array" ref="U3238">index('Query Tool'!B:B,match(C3238,'Query Tool'!C:C,0))</f>
        <v>0</v>
      </c>
      <c r="V3238" s="161" t="b">
        <f>F3238&gt;='Query Tool'!C$32</f>
        <v>0</v>
      </c>
      <c r="W3238" s="161" t="b">
        <f t="array" ref="W3238">index(Dropdowns!B:B,match(I3238,Dropdowns!A:A,0))</f>
        <v>1</v>
      </c>
      <c r="X3238" s="161" t="b">
        <f t="array" ref="X3238">index('Query Tool'!B:B,match(D3238,'Query Tool'!C:C,0))</f>
        <v>1</v>
      </c>
      <c r="Y3238" s="161" t="str">
        <f t="shared" si="6"/>
        <v>frazimi01,2019-20</v>
      </c>
      <c r="Z3238" s="168" t="str">
        <f t="array" ref="Z3238">iferror(index(I:I,match($A3238&amp;","&amp;index('Year Conversion'!$A:$A,match($C3238,'Year Conversion'!$B:$B,0)),$Y:$Y,0))-I3238,"")</f>
        <v/>
      </c>
      <c r="AA3238" s="168" t="str">
        <f t="array" ref="AA3238">iferror(index(J:J,match($A3238&amp;","&amp;index('Year Conversion'!$A:$A,match($C3238,'Year Conversion'!$B:$B,0)),$Y:$Y,0))-J3238,"")</f>
        <v/>
      </c>
      <c r="AB3238" s="168" t="str">
        <f t="array" ref="AB3238">iferror(index(K:K,match($A3238&amp;","&amp;index('Year Conversion'!$A:$A,match($C3238,'Year Conversion'!$B:$B,0)),$Y:$Y,0))-K3238,"")</f>
        <v/>
      </c>
      <c r="AC3238" s="168" t="str">
        <f t="shared" si="7"/>
        <v>HOU,2019-20</v>
      </c>
    </row>
    <row r="3239">
      <c r="A3239" s="161" t="str">
        <f>IFERROR(__xludf.DUMMYFUNCTION("""COMPUTED_VALUE"""),"cookqu01")</f>
        <v>cookqu01</v>
      </c>
      <c r="B3239" s="161" t="str">
        <f>IFERROR(__xludf.DUMMYFUNCTION("""COMPUTED_VALUE"""),"Quinn Cook")</f>
        <v>Quinn Cook</v>
      </c>
      <c r="C3239" s="162" t="str">
        <f>IFERROR(__xludf.DUMMYFUNCTION("""COMPUTED_VALUE"""),"2019-20")</f>
        <v>2019-20</v>
      </c>
      <c r="D3239" s="163" t="str">
        <f>IFERROR(__xludf.DUMMYFUNCTION("""COMPUTED_VALUE"""),"LAL")</f>
        <v>LAL</v>
      </c>
      <c r="E3239" s="164" t="str">
        <f>IFERROR(__xludf.DUMMYFUNCTION("""COMPUTED_VALUE"""),"Secondary Ball Handler")</f>
        <v>Secondary Ball Handler</v>
      </c>
      <c r="F3239" s="164">
        <f>IFERROR(__xludf.DUMMYFUNCTION("""COMPUTED_VALUE"""),507.951666666667)</f>
        <v>507.9516667</v>
      </c>
      <c r="G3239" s="163">
        <f>IFERROR(__xludf.DUMMYFUNCTION("""COMPUTED_VALUE"""),44.0)</f>
        <v>44</v>
      </c>
      <c r="H3239" s="163" t="str">
        <f>IFERROR(__xludf.DUMMYFUNCTION("""COMPUTED_VALUE"""),"PG")</f>
        <v>PG</v>
      </c>
      <c r="I3239" s="163">
        <f>IFERROR(__xludf.DUMMYFUNCTION("""COMPUTED_VALUE"""),26.0)</f>
        <v>26</v>
      </c>
      <c r="J3239" s="165">
        <f>IFERROR(__xludf.DUMMYFUNCTION("""COMPUTED_VALUE"""),-1.9381534627032)</f>
        <v>-1.938153463</v>
      </c>
      <c r="K3239" s="165">
        <f>IFERROR(__xludf.DUMMYFUNCTION("""COMPUTED_VALUE"""),-0.634872750450617)</f>
        <v>-0.6348727505</v>
      </c>
      <c r="L3239" s="165">
        <f>IFERROR(__xludf.DUMMYFUNCTION("""COMPUTED_VALUE"""),-1.30328071225258)</f>
        <v>-1.303280712</v>
      </c>
      <c r="M3239" s="166">
        <f t="shared" si="2"/>
        <v>0.1228022756</v>
      </c>
      <c r="N3239" s="167">
        <f t="shared" si="3"/>
        <v>11.54435606</v>
      </c>
      <c r="O3239" s="163">
        <f t="shared" ref="O3239:Q3239" si="3243">rank(I3239,I:I)</f>
        <v>1665</v>
      </c>
      <c r="P3239" s="163">
        <f t="shared" si="3243"/>
        <v>3439</v>
      </c>
      <c r="Q3239" s="163">
        <f t="shared" si="3243"/>
        <v>2312</v>
      </c>
      <c r="R3239" s="163">
        <f>IFERROR(__xludf.DUMMYFUNCTION("RANK(M3239,filter(M:M,C:C=C3239))"),376.0)</f>
        <v>376</v>
      </c>
      <c r="S3239" s="161" t="b">
        <f t="shared" si="5"/>
        <v>0</v>
      </c>
      <c r="T3239" s="161" t="b">
        <f t="array" ref="T3239">index('Query Tool'!B:B,match(H3239,'Query Tool'!C:C,0))</f>
        <v>1</v>
      </c>
      <c r="U3239" s="161" t="b">
        <f t="array" ref="U3239">index('Query Tool'!B:B,match(C3239,'Query Tool'!C:C,0))</f>
        <v>0</v>
      </c>
      <c r="V3239" s="161" t="b">
        <f>F3239&gt;='Query Tool'!C$32</f>
        <v>1</v>
      </c>
      <c r="W3239" s="161" t="b">
        <f t="array" ref="W3239">index(Dropdowns!B:B,match(I3239,Dropdowns!A:A,0))</f>
        <v>1</v>
      </c>
      <c r="X3239" s="161" t="b">
        <f t="array" ref="X3239">index('Query Tool'!B:B,match(D3239,'Query Tool'!C:C,0))</f>
        <v>1</v>
      </c>
      <c r="Y3239" s="161" t="str">
        <f t="shared" si="6"/>
        <v>cookqu01,2019-20</v>
      </c>
      <c r="Z3239" s="168" t="str">
        <f t="array" ref="Z3239">iferror(index(I:I,match($A3239&amp;","&amp;index('Year Conversion'!$A:$A,match($C3239,'Year Conversion'!$B:$B,0)),$Y:$Y,0))-I3239,"")</f>
        <v/>
      </c>
      <c r="AA3239" s="168" t="str">
        <f t="array" ref="AA3239">iferror(index(J:J,match($A3239&amp;","&amp;index('Year Conversion'!$A:$A,match($C3239,'Year Conversion'!$B:$B,0)),$Y:$Y,0))-J3239,"")</f>
        <v/>
      </c>
      <c r="AB3239" s="168" t="str">
        <f t="array" ref="AB3239">iferror(index(K:K,match($A3239&amp;","&amp;index('Year Conversion'!$A:$A,match($C3239,'Year Conversion'!$B:$B,0)),$Y:$Y,0))-K3239,"")</f>
        <v/>
      </c>
      <c r="AC3239" s="168" t="str">
        <f t="shared" si="7"/>
        <v>LAL,2019-20</v>
      </c>
    </row>
    <row r="3240">
      <c r="A3240" s="161" t="str">
        <f>IFERROR(__xludf.DUMMYFUNCTION("""COMPUTED_VALUE"""),"connapa01")</f>
        <v>connapa01</v>
      </c>
      <c r="B3240" s="161" t="str">
        <f>IFERROR(__xludf.DUMMYFUNCTION("""COMPUTED_VALUE"""),"Pat Connaughton")</f>
        <v>Pat Connaughton</v>
      </c>
      <c r="C3240" s="162" t="str">
        <f>IFERROR(__xludf.DUMMYFUNCTION("""COMPUTED_VALUE"""),"2019-20")</f>
        <v>2019-20</v>
      </c>
      <c r="D3240" s="163" t="str">
        <f>IFERROR(__xludf.DUMMYFUNCTION("""COMPUTED_VALUE"""),"MIL")</f>
        <v>MIL</v>
      </c>
      <c r="E3240" s="164" t="str">
        <f>IFERROR(__xludf.DUMMYFUNCTION("""COMPUTED_VALUE"""),"Athletic Finisher")</f>
        <v>Athletic Finisher</v>
      </c>
      <c r="F3240" s="164">
        <f>IFERROR(__xludf.DUMMYFUNCTION("""COMPUTED_VALUE"""),1243.13333333333)</f>
        <v>1243.133333</v>
      </c>
      <c r="G3240" s="163">
        <f>IFERROR(__xludf.DUMMYFUNCTION("""COMPUTED_VALUE"""),67.0)</f>
        <v>67</v>
      </c>
      <c r="H3240" s="163" t="str">
        <f>IFERROR(__xludf.DUMMYFUNCTION("""COMPUTED_VALUE"""),"SG")</f>
        <v>SG</v>
      </c>
      <c r="I3240" s="163">
        <f>IFERROR(__xludf.DUMMYFUNCTION("""COMPUTED_VALUE"""),27.0)</f>
        <v>27</v>
      </c>
      <c r="J3240" s="165">
        <f>IFERROR(__xludf.DUMMYFUNCTION("""COMPUTED_VALUE"""),0.0845003677009135)</f>
        <v>0.0845003677</v>
      </c>
      <c r="K3240" s="165">
        <f>IFERROR(__xludf.DUMMYFUNCTION("""COMPUTED_VALUE"""),-0.219433658413091)</f>
        <v>-0.2194336584</v>
      </c>
      <c r="L3240" s="165">
        <f>IFERROR(__xludf.DUMMYFUNCTION("""COMPUTED_VALUE"""),0.303934026114004)</f>
        <v>0.3039340261</v>
      </c>
      <c r="M3240" s="166">
        <f t="shared" si="2"/>
        <v>1.98731694</v>
      </c>
      <c r="N3240" s="167">
        <f t="shared" si="3"/>
        <v>18.55422886</v>
      </c>
      <c r="O3240" s="163">
        <f t="shared" ref="O3240:Q3240" si="3244">rank(I3240,I:I)</f>
        <v>1366</v>
      </c>
      <c r="P3240" s="163">
        <f t="shared" si="3244"/>
        <v>1208</v>
      </c>
      <c r="Q3240" s="163">
        <f t="shared" si="3244"/>
        <v>1599</v>
      </c>
      <c r="R3240" s="163">
        <f>IFERROR(__xludf.DUMMYFUNCTION("RANK(M3240,filter(M:M,C:C=C3240))"),153.0)</f>
        <v>153</v>
      </c>
      <c r="S3240" s="161" t="b">
        <f t="shared" si="5"/>
        <v>0</v>
      </c>
      <c r="T3240" s="161" t="b">
        <f t="array" ref="T3240">index('Query Tool'!B:B,match(H3240,'Query Tool'!C:C,0))</f>
        <v>1</v>
      </c>
      <c r="U3240" s="161" t="b">
        <f t="array" ref="U3240">index('Query Tool'!B:B,match(C3240,'Query Tool'!C:C,0))</f>
        <v>0</v>
      </c>
      <c r="V3240" s="161" t="b">
        <f>F3240&gt;='Query Tool'!C$32</f>
        <v>1</v>
      </c>
      <c r="W3240" s="161" t="b">
        <f t="array" ref="W3240">index(Dropdowns!B:B,match(I3240,Dropdowns!A:A,0))</f>
        <v>1</v>
      </c>
      <c r="X3240" s="161" t="b">
        <f t="array" ref="X3240">index('Query Tool'!B:B,match(D3240,'Query Tool'!C:C,0))</f>
        <v>1</v>
      </c>
      <c r="Y3240" s="161" t="str">
        <f t="shared" si="6"/>
        <v>connapa01,2019-20</v>
      </c>
      <c r="Z3240" s="168" t="str">
        <f t="array" ref="Z3240">iferror(index(I:I,match($A3240&amp;","&amp;index('Year Conversion'!$A:$A,match($C3240,'Year Conversion'!$B:$B,0)),$Y:$Y,0))-I3240,"")</f>
        <v/>
      </c>
      <c r="AA3240" s="168" t="str">
        <f t="array" ref="AA3240">iferror(index(J:J,match($A3240&amp;","&amp;index('Year Conversion'!$A:$A,match($C3240,'Year Conversion'!$B:$B,0)),$Y:$Y,0))-J3240,"")</f>
        <v/>
      </c>
      <c r="AB3240" s="168" t="str">
        <f t="array" ref="AB3240">iferror(index(K:K,match($A3240&amp;","&amp;index('Year Conversion'!$A:$A,match($C3240,'Year Conversion'!$B:$B,0)),$Y:$Y,0))-K3240,"")</f>
        <v/>
      </c>
      <c r="AC3240" s="168" t="str">
        <f t="shared" si="7"/>
        <v>MIL,2019-20</v>
      </c>
    </row>
    <row r="3241">
      <c r="A3241" s="161" t="str">
        <f>IFERROR(__xludf.DUMMYFUNCTION("""COMPUTED_VALUE"""),"hernawi01")</f>
        <v>hernawi01</v>
      </c>
      <c r="B3241" s="161" t="str">
        <f>IFERROR(__xludf.DUMMYFUNCTION("""COMPUTED_VALUE"""),"Willy Hernangomez")</f>
        <v>Willy Hernangomez</v>
      </c>
      <c r="C3241" s="162" t="str">
        <f>IFERROR(__xludf.DUMMYFUNCTION("""COMPUTED_VALUE"""),"2019-20")</f>
        <v>2019-20</v>
      </c>
      <c r="D3241" s="163" t="str">
        <f>IFERROR(__xludf.DUMMYFUNCTION("""COMPUTED_VALUE"""),"CHO")</f>
        <v>CHO</v>
      </c>
      <c r="E3241" s="164" t="str">
        <f>IFERROR(__xludf.DUMMYFUNCTION("""COMPUTED_VALUE"""),"Post Scorer")</f>
        <v>Post Scorer</v>
      </c>
      <c r="F3241" s="164">
        <f>IFERROR(__xludf.DUMMYFUNCTION("""COMPUTED_VALUE"""),375.218333333333)</f>
        <v>375.2183333</v>
      </c>
      <c r="G3241" s="163">
        <f>IFERROR(__xludf.DUMMYFUNCTION("""COMPUTED_VALUE"""),31.0)</f>
        <v>31</v>
      </c>
      <c r="H3241" s="163" t="str">
        <f>IFERROR(__xludf.DUMMYFUNCTION("""COMPUTED_VALUE"""),"C")</f>
        <v>C</v>
      </c>
      <c r="I3241" s="163">
        <f>IFERROR(__xludf.DUMMYFUNCTION("""COMPUTED_VALUE"""),25.0)</f>
        <v>25</v>
      </c>
      <c r="J3241" s="165">
        <f>IFERROR(__xludf.DUMMYFUNCTION("""COMPUTED_VALUE"""),-0.0883575821344758)</f>
        <v>-0.08835758213</v>
      </c>
      <c r="K3241" s="165">
        <f>IFERROR(__xludf.DUMMYFUNCTION("""COMPUTED_VALUE"""),0.0882170617716417)</f>
        <v>0.08821706177</v>
      </c>
      <c r="L3241" s="165">
        <f>IFERROR(__xludf.DUMMYFUNCTION("""COMPUTED_VALUE"""),-0.176574643906118)</f>
        <v>-0.1765746439</v>
      </c>
      <c r="M3241" s="166">
        <f t="shared" si="2"/>
        <v>0.5561101653</v>
      </c>
      <c r="N3241" s="167">
        <f t="shared" si="3"/>
        <v>12.1038172</v>
      </c>
      <c r="O3241" s="163">
        <f t="shared" ref="O3241:Q3241" si="3245">rank(I3241,I:I)</f>
        <v>1995</v>
      </c>
      <c r="P3241" s="163">
        <f t="shared" si="3245"/>
        <v>1374</v>
      </c>
      <c r="Q3241" s="163">
        <f t="shared" si="3245"/>
        <v>1084</v>
      </c>
      <c r="R3241" s="163">
        <f>IFERROR(__xludf.DUMMYFUNCTION("RANK(M3241,filter(M:M,C:C=C3241))"),251.0)</f>
        <v>251</v>
      </c>
      <c r="S3241" s="161" t="b">
        <f t="shared" si="5"/>
        <v>0</v>
      </c>
      <c r="T3241" s="161" t="b">
        <f t="array" ref="T3241">index('Query Tool'!B:B,match(H3241,'Query Tool'!C:C,0))</f>
        <v>1</v>
      </c>
      <c r="U3241" s="161" t="b">
        <f t="array" ref="U3241">index('Query Tool'!B:B,match(C3241,'Query Tool'!C:C,0))</f>
        <v>0</v>
      </c>
      <c r="V3241" s="161" t="b">
        <f>F3241&gt;='Query Tool'!C$32</f>
        <v>0</v>
      </c>
      <c r="W3241" s="161" t="b">
        <f t="array" ref="W3241">index(Dropdowns!B:B,match(I3241,Dropdowns!A:A,0))</f>
        <v>1</v>
      </c>
      <c r="X3241" s="161" t="b">
        <f t="array" ref="X3241">index('Query Tool'!B:B,match(D3241,'Query Tool'!C:C,0))</f>
        <v>1</v>
      </c>
      <c r="Y3241" s="161" t="str">
        <f t="shared" si="6"/>
        <v>hernawi01,2019-20</v>
      </c>
      <c r="Z3241" s="168" t="str">
        <f t="array" ref="Z3241">iferror(index(I:I,match($A3241&amp;","&amp;index('Year Conversion'!$A:$A,match($C3241,'Year Conversion'!$B:$B,0)),$Y:$Y,0))-I3241,"")</f>
        <v/>
      </c>
      <c r="AA3241" s="168" t="str">
        <f t="array" ref="AA3241">iferror(index(J:J,match($A3241&amp;","&amp;index('Year Conversion'!$A:$A,match($C3241,'Year Conversion'!$B:$B,0)),$Y:$Y,0))-J3241,"")</f>
        <v/>
      </c>
      <c r="AB3241" s="168" t="str">
        <f t="array" ref="AB3241">iferror(index(K:K,match($A3241&amp;","&amp;index('Year Conversion'!$A:$A,match($C3241,'Year Conversion'!$B:$B,0)),$Y:$Y,0))-K3241,"")</f>
        <v/>
      </c>
      <c r="AC3241" s="168" t="str">
        <f t="shared" si="7"/>
        <v>CHO,2019-20</v>
      </c>
    </row>
    <row r="3242">
      <c r="A3242" s="161" t="str">
        <f>IFERROR(__xludf.DUMMYFUNCTION("""COMPUTED_VALUE"""),"richajo01")</f>
        <v>richajo01</v>
      </c>
      <c r="B3242" s="161" t="str">
        <f>IFERROR(__xludf.DUMMYFUNCTION("""COMPUTED_VALUE"""),"Josh Richardson")</f>
        <v>Josh Richardson</v>
      </c>
      <c r="C3242" s="162" t="str">
        <f>IFERROR(__xludf.DUMMYFUNCTION("""COMPUTED_VALUE"""),"2019-20")</f>
        <v>2019-20</v>
      </c>
      <c r="D3242" s="163" t="str">
        <f>IFERROR(__xludf.DUMMYFUNCTION("""COMPUTED_VALUE"""),"PHI")</f>
        <v>PHI</v>
      </c>
      <c r="E3242" s="164" t="str">
        <f>IFERROR(__xludf.DUMMYFUNCTION("""COMPUTED_VALUE"""),"Secondary Ball Handler")</f>
        <v>Secondary Ball Handler</v>
      </c>
      <c r="F3242" s="164">
        <f>IFERROR(__xludf.DUMMYFUNCTION("""COMPUTED_VALUE"""),1693.185)</f>
        <v>1693.185</v>
      </c>
      <c r="G3242" s="163">
        <f>IFERROR(__xludf.DUMMYFUNCTION("""COMPUTED_VALUE"""),55.0)</f>
        <v>55</v>
      </c>
      <c r="H3242" s="163" t="str">
        <f>IFERROR(__xludf.DUMMYFUNCTION("""COMPUTED_VALUE"""),"SG")</f>
        <v>SG</v>
      </c>
      <c r="I3242" s="163">
        <f>IFERROR(__xludf.DUMMYFUNCTION("""COMPUTED_VALUE"""),26.0)</f>
        <v>26</v>
      </c>
      <c r="J3242" s="165">
        <f>IFERROR(__xludf.DUMMYFUNCTION("""COMPUTED_VALUE"""),-0.644281435985048)</f>
        <v>-0.644281436</v>
      </c>
      <c r="K3242" s="165">
        <f>IFERROR(__xludf.DUMMYFUNCTION("""COMPUTED_VALUE"""),-0.573302779643033)</f>
        <v>-0.5733027796</v>
      </c>
      <c r="L3242" s="165">
        <f>IFERROR(__xludf.DUMMYFUNCTION("""COMPUTED_VALUE"""),-0.0709786563420153)</f>
        <v>-0.07097865634</v>
      </c>
      <c r="M3242" s="166">
        <f t="shared" si="2"/>
        <v>1.875285334</v>
      </c>
      <c r="N3242" s="167">
        <f t="shared" si="3"/>
        <v>30.78518182</v>
      </c>
      <c r="O3242" s="163">
        <f t="shared" ref="O3242:Q3242" si="3246">rank(I3242,I:I)</f>
        <v>1665</v>
      </c>
      <c r="P3242" s="163">
        <f t="shared" si="3246"/>
        <v>2054</v>
      </c>
      <c r="Q3242" s="163">
        <f t="shared" si="3246"/>
        <v>2219</v>
      </c>
      <c r="R3242" s="163">
        <f>IFERROR(__xludf.DUMMYFUNCTION("RANK(M3242,filter(M:M,C:C=C3242))"),161.0)</f>
        <v>161</v>
      </c>
      <c r="S3242" s="161" t="b">
        <f t="shared" si="5"/>
        <v>0</v>
      </c>
      <c r="T3242" s="161" t="b">
        <f t="array" ref="T3242">index('Query Tool'!B:B,match(H3242,'Query Tool'!C:C,0))</f>
        <v>1</v>
      </c>
      <c r="U3242" s="161" t="b">
        <f t="array" ref="U3242">index('Query Tool'!B:B,match(C3242,'Query Tool'!C:C,0))</f>
        <v>0</v>
      </c>
      <c r="V3242" s="161" t="b">
        <f>F3242&gt;='Query Tool'!C$32</f>
        <v>1</v>
      </c>
      <c r="W3242" s="161" t="b">
        <f t="array" ref="W3242">index(Dropdowns!B:B,match(I3242,Dropdowns!A:A,0))</f>
        <v>1</v>
      </c>
      <c r="X3242" s="161" t="b">
        <f t="array" ref="X3242">index('Query Tool'!B:B,match(D3242,'Query Tool'!C:C,0))</f>
        <v>1</v>
      </c>
      <c r="Y3242" s="161" t="str">
        <f t="shared" si="6"/>
        <v>richajo01,2019-20</v>
      </c>
      <c r="Z3242" s="168" t="str">
        <f t="array" ref="Z3242">iferror(index(I:I,match($A3242&amp;","&amp;index('Year Conversion'!$A:$A,match($C3242,'Year Conversion'!$B:$B,0)),$Y:$Y,0))-I3242,"")</f>
        <v/>
      </c>
      <c r="AA3242" s="168" t="str">
        <f t="array" ref="AA3242">iferror(index(J:J,match($A3242&amp;","&amp;index('Year Conversion'!$A:$A,match($C3242,'Year Conversion'!$B:$B,0)),$Y:$Y,0))-J3242,"")</f>
        <v/>
      </c>
      <c r="AB3242" s="168" t="str">
        <f t="array" ref="AB3242">iferror(index(K:K,match($A3242&amp;","&amp;index('Year Conversion'!$A:$A,match($C3242,'Year Conversion'!$B:$B,0)),$Y:$Y,0))-K3242,"")</f>
        <v/>
      </c>
      <c r="AC3242" s="168" t="str">
        <f t="shared" si="7"/>
        <v>PHI,2019-20</v>
      </c>
    </row>
    <row r="3243">
      <c r="A3243" s="161" t="str">
        <f>IFERROR(__xludf.DUMMYFUNCTION("""COMPUTED_VALUE"""),"grahatr01")</f>
        <v>grahatr01</v>
      </c>
      <c r="B3243" s="161" t="str">
        <f>IFERROR(__xludf.DUMMYFUNCTION("""COMPUTED_VALUE"""),"Treveon Graham")</f>
        <v>Treveon Graham</v>
      </c>
      <c r="C3243" s="162" t="str">
        <f>IFERROR(__xludf.DUMMYFUNCTION("""COMPUTED_VALUE"""),"2019-20")</f>
        <v>2019-20</v>
      </c>
      <c r="D3243" s="163" t="str">
        <f>IFERROR(__xludf.DUMMYFUNCTION("""COMPUTED_VALUE"""),"TOT")</f>
        <v>TOT</v>
      </c>
      <c r="E3243" s="164" t="str">
        <f>IFERROR(__xludf.DUMMYFUNCTION("""COMPUTED_VALUE"""),"Athletic Finisher")</f>
        <v>Athletic Finisher</v>
      </c>
      <c r="F3243" s="164">
        <f>IFERROR(__xludf.DUMMYFUNCTION("""COMPUTED_VALUE"""),929.331666666667)</f>
        <v>929.3316667</v>
      </c>
      <c r="G3243" s="163">
        <f>IFERROR(__xludf.DUMMYFUNCTION("""COMPUTED_VALUE"""),55.0)</f>
        <v>55</v>
      </c>
      <c r="H3243" s="163" t="str">
        <f>IFERROR(__xludf.DUMMYFUNCTION("""COMPUTED_VALUE"""),"SF")</f>
        <v>SF</v>
      </c>
      <c r="I3243" s="163">
        <f>IFERROR(__xludf.DUMMYFUNCTION("""COMPUTED_VALUE"""),26.0)</f>
        <v>26</v>
      </c>
      <c r="J3243" s="165">
        <f>IFERROR(__xludf.DUMMYFUNCTION("""COMPUTED_VALUE"""),-1.95652500173202)</f>
        <v>-1.956525002</v>
      </c>
      <c r="K3243" s="165">
        <f>IFERROR(__xludf.DUMMYFUNCTION("""COMPUTED_VALUE"""),-1.65128154363767)</f>
        <v>-1.651281544</v>
      </c>
      <c r="L3243" s="165">
        <f>IFERROR(__xludf.DUMMYFUNCTION("""COMPUTED_VALUE"""),-0.305243458094355)</f>
        <v>-0.3052434581</v>
      </c>
      <c r="M3243" s="166">
        <f t="shared" si="2"/>
        <v>0.2133444103</v>
      </c>
      <c r="N3243" s="167">
        <f t="shared" si="3"/>
        <v>16.89693939</v>
      </c>
      <c r="O3243" s="163">
        <f t="shared" ref="O3243:Q3243" si="3247">rank(I3243,I:I)</f>
        <v>1665</v>
      </c>
      <c r="P3243" s="163">
        <f t="shared" si="3247"/>
        <v>3450</v>
      </c>
      <c r="Q3243" s="163">
        <f t="shared" si="3247"/>
        <v>3485</v>
      </c>
      <c r="R3243" s="163">
        <f>IFERROR(__xludf.DUMMYFUNCTION("RANK(M3243,filter(M:M,C:C=C3243))"),334.0)</f>
        <v>334</v>
      </c>
      <c r="S3243" s="161" t="b">
        <f t="shared" si="5"/>
        <v>0</v>
      </c>
      <c r="T3243" s="161" t="b">
        <f t="array" ref="T3243">index('Query Tool'!B:B,match(H3243,'Query Tool'!C:C,0))</f>
        <v>1</v>
      </c>
      <c r="U3243" s="161" t="b">
        <f t="array" ref="U3243">index('Query Tool'!B:B,match(C3243,'Query Tool'!C:C,0))</f>
        <v>0</v>
      </c>
      <c r="V3243" s="161" t="b">
        <f>F3243&gt;='Query Tool'!C$32</f>
        <v>1</v>
      </c>
      <c r="W3243" s="161" t="b">
        <f t="array" ref="W3243">index(Dropdowns!B:B,match(I3243,Dropdowns!A:A,0))</f>
        <v>1</v>
      </c>
      <c r="X3243" s="161" t="b">
        <f t="array" ref="X3243">index('Query Tool'!B:B,match(D3243,'Query Tool'!C:C,0))</f>
        <v>1</v>
      </c>
      <c r="Y3243" s="161" t="str">
        <f t="shared" si="6"/>
        <v>grahatr01,2019-20</v>
      </c>
      <c r="Z3243" s="168" t="str">
        <f t="array" ref="Z3243">iferror(index(I:I,match($A3243&amp;","&amp;index('Year Conversion'!$A:$A,match($C3243,'Year Conversion'!$B:$B,0)),$Y:$Y,0))-I3243,"")</f>
        <v/>
      </c>
      <c r="AA3243" s="168" t="str">
        <f t="array" ref="AA3243">iferror(index(J:J,match($A3243&amp;","&amp;index('Year Conversion'!$A:$A,match($C3243,'Year Conversion'!$B:$B,0)),$Y:$Y,0))-J3243,"")</f>
        <v/>
      </c>
      <c r="AB3243" s="168" t="str">
        <f t="array" ref="AB3243">iferror(index(K:K,match($A3243&amp;","&amp;index('Year Conversion'!$A:$A,match($C3243,'Year Conversion'!$B:$B,0)),$Y:$Y,0))-K3243,"")</f>
        <v/>
      </c>
      <c r="AC3243" s="168" t="str">
        <f t="shared" si="7"/>
        <v>TOT,2019-20</v>
      </c>
    </row>
    <row r="3244">
      <c r="A3244" s="161" t="str">
        <f>IFERROR(__xludf.DUMMYFUNCTION("""COMPUTED_VALUE"""),"nancela02")</f>
        <v>nancela02</v>
      </c>
      <c r="B3244" s="161" t="str">
        <f>IFERROR(__xludf.DUMMYFUNCTION("""COMPUTED_VALUE"""),"Larry Nance Jr.")</f>
        <v>Larry Nance Jr.</v>
      </c>
      <c r="C3244" s="162" t="str">
        <f>IFERROR(__xludf.DUMMYFUNCTION("""COMPUTED_VALUE"""),"2019-20")</f>
        <v>2019-20</v>
      </c>
      <c r="D3244" s="163" t="str">
        <f>IFERROR(__xludf.DUMMYFUNCTION("""COMPUTED_VALUE"""),"CLE")</f>
        <v>CLE</v>
      </c>
      <c r="E3244" s="164" t="str">
        <f>IFERROR(__xludf.DUMMYFUNCTION("""COMPUTED_VALUE"""),"Roll + Cut Big")</f>
        <v>Roll + Cut Big</v>
      </c>
      <c r="F3244" s="164">
        <f>IFERROR(__xludf.DUMMYFUNCTION("""COMPUTED_VALUE"""),1472.11333333333)</f>
        <v>1472.113333</v>
      </c>
      <c r="G3244" s="163">
        <f>IFERROR(__xludf.DUMMYFUNCTION("""COMPUTED_VALUE"""),56.0)</f>
        <v>56</v>
      </c>
      <c r="H3244" s="163" t="str">
        <f>IFERROR(__xludf.DUMMYFUNCTION("""COMPUTED_VALUE"""),"PF")</f>
        <v>PF</v>
      </c>
      <c r="I3244" s="163">
        <f>IFERROR(__xludf.DUMMYFUNCTION("""COMPUTED_VALUE"""),27.0)</f>
        <v>27</v>
      </c>
      <c r="J3244" s="165">
        <f>IFERROR(__xludf.DUMMYFUNCTION("""COMPUTED_VALUE"""),0.203683433536786)</f>
        <v>0.2036834335</v>
      </c>
      <c r="K3244" s="165">
        <f>IFERROR(__xludf.DUMMYFUNCTION("""COMPUTED_VALUE"""),-0.0825238516391502)</f>
        <v>-0.08252385164</v>
      </c>
      <c r="L3244" s="165">
        <f>IFERROR(__xludf.DUMMYFUNCTION("""COMPUTED_VALUE"""),0.286207285175937)</f>
        <v>0.2862072852</v>
      </c>
      <c r="M3244" s="166">
        <f t="shared" si="2"/>
        <v>2.471648917</v>
      </c>
      <c r="N3244" s="167">
        <f t="shared" si="3"/>
        <v>26.2877381</v>
      </c>
      <c r="O3244" s="163">
        <f t="shared" ref="O3244:Q3244" si="3248">rank(I3244,I:I)</f>
        <v>1366</v>
      </c>
      <c r="P3244" s="163">
        <f t="shared" si="3248"/>
        <v>1088</v>
      </c>
      <c r="Q3244" s="163">
        <f t="shared" si="3248"/>
        <v>1329</v>
      </c>
      <c r="R3244" s="163">
        <f>IFERROR(__xludf.DUMMYFUNCTION("RANK(M3244,filter(M:M,C:C=C3244))"),126.0)</f>
        <v>126</v>
      </c>
      <c r="S3244" s="161" t="b">
        <f t="shared" si="5"/>
        <v>0</v>
      </c>
      <c r="T3244" s="161" t="b">
        <f t="array" ref="T3244">index('Query Tool'!B:B,match(H3244,'Query Tool'!C:C,0))</f>
        <v>1</v>
      </c>
      <c r="U3244" s="161" t="b">
        <f t="array" ref="U3244">index('Query Tool'!B:B,match(C3244,'Query Tool'!C:C,0))</f>
        <v>0</v>
      </c>
      <c r="V3244" s="161" t="b">
        <f>F3244&gt;='Query Tool'!C$32</f>
        <v>1</v>
      </c>
      <c r="W3244" s="161" t="b">
        <f t="array" ref="W3244">index(Dropdowns!B:B,match(I3244,Dropdowns!A:A,0))</f>
        <v>1</v>
      </c>
      <c r="X3244" s="161" t="b">
        <f t="array" ref="X3244">index('Query Tool'!B:B,match(D3244,'Query Tool'!C:C,0))</f>
        <v>1</v>
      </c>
      <c r="Y3244" s="161" t="str">
        <f t="shared" si="6"/>
        <v>nancela02,2019-20</v>
      </c>
      <c r="Z3244" s="168" t="str">
        <f t="array" ref="Z3244">iferror(index(I:I,match($A3244&amp;","&amp;index('Year Conversion'!$A:$A,match($C3244,'Year Conversion'!$B:$B,0)),$Y:$Y,0))-I3244,"")</f>
        <v/>
      </c>
      <c r="AA3244" s="168" t="str">
        <f t="array" ref="AA3244">iferror(index(J:J,match($A3244&amp;","&amp;index('Year Conversion'!$A:$A,match($C3244,'Year Conversion'!$B:$B,0)),$Y:$Y,0))-J3244,"")</f>
        <v/>
      </c>
      <c r="AB3244" s="168" t="str">
        <f t="array" ref="AB3244">iferror(index(K:K,match($A3244&amp;","&amp;index('Year Conversion'!$A:$A,match($C3244,'Year Conversion'!$B:$B,0)),$Y:$Y,0))-K3244,"")</f>
        <v/>
      </c>
      <c r="AC3244" s="168" t="str">
        <f t="shared" si="7"/>
        <v>CLE,2019-20</v>
      </c>
    </row>
    <row r="3245">
      <c r="A3245" s="161" t="str">
        <f>IFERROR(__xludf.DUMMYFUNCTION("""COMPUTED_VALUE"""),"hezonma01")</f>
        <v>hezonma01</v>
      </c>
      <c r="B3245" s="161" t="str">
        <f>IFERROR(__xludf.DUMMYFUNCTION("""COMPUTED_VALUE"""),"Mario Hezonja")</f>
        <v>Mario Hezonja</v>
      </c>
      <c r="C3245" s="162" t="str">
        <f>IFERROR(__xludf.DUMMYFUNCTION("""COMPUTED_VALUE"""),"2019-20")</f>
        <v>2019-20</v>
      </c>
      <c r="D3245" s="163" t="str">
        <f>IFERROR(__xludf.DUMMYFUNCTION("""COMPUTED_VALUE"""),"POR")</f>
        <v>POR</v>
      </c>
      <c r="E3245" s="164" t="str">
        <f>IFERROR(__xludf.DUMMYFUNCTION("""COMPUTED_VALUE"""),"Stationary Shooter")</f>
        <v>Stationary Shooter</v>
      </c>
      <c r="F3245" s="164">
        <f>IFERROR(__xludf.DUMMYFUNCTION("""COMPUTED_VALUE"""),871.405)</f>
        <v>871.405</v>
      </c>
      <c r="G3245" s="163">
        <f>IFERROR(__xludf.DUMMYFUNCTION("""COMPUTED_VALUE"""),53.0)</f>
        <v>53</v>
      </c>
      <c r="H3245" s="163" t="str">
        <f>IFERROR(__xludf.DUMMYFUNCTION("""COMPUTED_VALUE"""),"PF")</f>
        <v>PF</v>
      </c>
      <c r="I3245" s="163">
        <f>IFERROR(__xludf.DUMMYFUNCTION("""COMPUTED_VALUE"""),24.0)</f>
        <v>24</v>
      </c>
      <c r="J3245" s="165">
        <f>IFERROR(__xludf.DUMMYFUNCTION("""COMPUTED_VALUE"""),-2.41014631872542)</f>
        <v>-2.410146319</v>
      </c>
      <c r="K3245" s="165">
        <f>IFERROR(__xludf.DUMMYFUNCTION("""COMPUTED_VALUE"""),-2.31221984578352)</f>
        <v>-2.312219846</v>
      </c>
      <c r="L3245" s="165">
        <f>IFERROR(__xludf.DUMMYFUNCTION("""COMPUTED_VALUE"""),-0.0979264729419041)</f>
        <v>-0.09792647294</v>
      </c>
      <c r="M3245" s="166">
        <f t="shared" si="2"/>
        <v>-0.06120993907</v>
      </c>
      <c r="N3245" s="167">
        <f t="shared" si="3"/>
        <v>16.44160377</v>
      </c>
      <c r="O3245" s="163">
        <f t="shared" ref="O3245:Q3245" si="3249">rank(I3245,I:I)</f>
        <v>2361</v>
      </c>
      <c r="P3245" s="163">
        <f t="shared" si="3249"/>
        <v>3722</v>
      </c>
      <c r="Q3245" s="163">
        <f t="shared" si="3249"/>
        <v>3838</v>
      </c>
      <c r="R3245" s="163">
        <f>IFERROR(__xludf.DUMMYFUNCTION("RANK(M3245,filter(M:M,C:C=C3245))"),492.0)</f>
        <v>492</v>
      </c>
      <c r="S3245" s="161" t="b">
        <f t="shared" si="5"/>
        <v>0</v>
      </c>
      <c r="T3245" s="161" t="b">
        <f t="array" ref="T3245">index('Query Tool'!B:B,match(H3245,'Query Tool'!C:C,0))</f>
        <v>1</v>
      </c>
      <c r="U3245" s="161" t="b">
        <f t="array" ref="U3245">index('Query Tool'!B:B,match(C3245,'Query Tool'!C:C,0))</f>
        <v>0</v>
      </c>
      <c r="V3245" s="161" t="b">
        <f>F3245&gt;='Query Tool'!C$32</f>
        <v>1</v>
      </c>
      <c r="W3245" s="161" t="b">
        <f t="array" ref="W3245">index(Dropdowns!B:B,match(I3245,Dropdowns!A:A,0))</f>
        <v>1</v>
      </c>
      <c r="X3245" s="161" t="b">
        <f t="array" ref="X3245">index('Query Tool'!B:B,match(D3245,'Query Tool'!C:C,0))</f>
        <v>1</v>
      </c>
      <c r="Y3245" s="161" t="str">
        <f t="shared" si="6"/>
        <v>hezonma01,2019-20</v>
      </c>
      <c r="Z3245" s="168" t="str">
        <f t="array" ref="Z3245">iferror(index(I:I,match($A3245&amp;","&amp;index('Year Conversion'!$A:$A,match($C3245,'Year Conversion'!$B:$B,0)),$Y:$Y,0))-I3245,"")</f>
        <v/>
      </c>
      <c r="AA3245" s="168" t="str">
        <f t="array" ref="AA3245">iferror(index(J:J,match($A3245&amp;","&amp;index('Year Conversion'!$A:$A,match($C3245,'Year Conversion'!$B:$B,0)),$Y:$Y,0))-J3245,"")</f>
        <v/>
      </c>
      <c r="AB3245" s="168" t="str">
        <f t="array" ref="AB3245">iferror(index(K:K,match($A3245&amp;","&amp;index('Year Conversion'!$A:$A,match($C3245,'Year Conversion'!$B:$B,0)),$Y:$Y,0))-K3245,"")</f>
        <v/>
      </c>
      <c r="AC3245" s="168" t="str">
        <f t="shared" si="7"/>
        <v>POR,2019-20</v>
      </c>
    </row>
    <row r="3246">
      <c r="A3246" s="161" t="str">
        <f>IFERROR(__xludf.DUMMYFUNCTION("""COMPUTED_VALUE"""),"onealro01")</f>
        <v>onealro01</v>
      </c>
      <c r="B3246" s="161" t="str">
        <f>IFERROR(__xludf.DUMMYFUNCTION("""COMPUTED_VALUE"""),"Royce O'Neale")</f>
        <v>Royce O'Neale</v>
      </c>
      <c r="C3246" s="162" t="str">
        <f>IFERROR(__xludf.DUMMYFUNCTION("""COMPUTED_VALUE"""),"2019-20")</f>
        <v>2019-20</v>
      </c>
      <c r="D3246" s="163" t="str">
        <f>IFERROR(__xludf.DUMMYFUNCTION("""COMPUTED_VALUE"""),"UTA")</f>
        <v>UTA</v>
      </c>
      <c r="E3246" s="164" t="str">
        <f>IFERROR(__xludf.DUMMYFUNCTION("""COMPUTED_VALUE"""),"Stationary Shooter")</f>
        <v>Stationary Shooter</v>
      </c>
      <c r="F3246" s="164">
        <f>IFERROR(__xludf.DUMMYFUNCTION("""COMPUTED_VALUE"""),2049.46833333333)</f>
        <v>2049.468333</v>
      </c>
      <c r="G3246" s="163">
        <f>IFERROR(__xludf.DUMMYFUNCTION("""COMPUTED_VALUE"""),71.0)</f>
        <v>71</v>
      </c>
      <c r="H3246" s="163" t="str">
        <f>IFERROR(__xludf.DUMMYFUNCTION("""COMPUTED_VALUE"""),"SF")</f>
        <v>SF</v>
      </c>
      <c r="I3246" s="163">
        <f>IFERROR(__xludf.DUMMYFUNCTION("""COMPUTED_VALUE"""),26.0)</f>
        <v>26</v>
      </c>
      <c r="J3246" s="165">
        <f>IFERROR(__xludf.DUMMYFUNCTION("""COMPUTED_VALUE"""),1.26112318720755)</f>
        <v>1.261123187</v>
      </c>
      <c r="K3246" s="165">
        <f>IFERROR(__xludf.DUMMYFUNCTION("""COMPUTED_VALUE"""),-0.71627274578239)</f>
        <v>-0.7162727458</v>
      </c>
      <c r="L3246" s="165">
        <f>IFERROR(__xludf.DUMMYFUNCTION("""COMPUTED_VALUE"""),1.97739593298994)</f>
        <v>1.977395933</v>
      </c>
      <c r="M3246" s="166">
        <f t="shared" si="2"/>
        <v>4.898289824</v>
      </c>
      <c r="N3246" s="167">
        <f t="shared" si="3"/>
        <v>28.86575117</v>
      </c>
      <c r="O3246" s="163">
        <f t="shared" ref="O3246:Q3246" si="3250">rank(I3246,I:I)</f>
        <v>1665</v>
      </c>
      <c r="P3246" s="163">
        <f t="shared" si="3250"/>
        <v>541</v>
      </c>
      <c r="Q3246" s="163">
        <f t="shared" si="3250"/>
        <v>2438</v>
      </c>
      <c r="R3246" s="163">
        <f>IFERROR(__xludf.DUMMYFUNCTION("RANK(M3246,filter(M:M,C:C=C3246))"),42.0)</f>
        <v>42</v>
      </c>
      <c r="S3246" s="161" t="b">
        <f t="shared" si="5"/>
        <v>0</v>
      </c>
      <c r="T3246" s="161" t="b">
        <f t="array" ref="T3246">index('Query Tool'!B:B,match(H3246,'Query Tool'!C:C,0))</f>
        <v>1</v>
      </c>
      <c r="U3246" s="161" t="b">
        <f t="array" ref="U3246">index('Query Tool'!B:B,match(C3246,'Query Tool'!C:C,0))</f>
        <v>0</v>
      </c>
      <c r="V3246" s="161" t="b">
        <f>F3246&gt;='Query Tool'!C$32</f>
        <v>1</v>
      </c>
      <c r="W3246" s="161" t="b">
        <f t="array" ref="W3246">index(Dropdowns!B:B,match(I3246,Dropdowns!A:A,0))</f>
        <v>1</v>
      </c>
      <c r="X3246" s="161" t="b">
        <f t="array" ref="X3246">index('Query Tool'!B:B,match(D3246,'Query Tool'!C:C,0))</f>
        <v>1</v>
      </c>
      <c r="Y3246" s="161" t="str">
        <f t="shared" si="6"/>
        <v>onealro01,2019-20</v>
      </c>
      <c r="Z3246" s="168" t="str">
        <f t="array" ref="Z3246">iferror(index(I:I,match($A3246&amp;","&amp;index('Year Conversion'!$A:$A,match($C3246,'Year Conversion'!$B:$B,0)),$Y:$Y,0))-I3246,"")</f>
        <v/>
      </c>
      <c r="AA3246" s="168" t="str">
        <f t="array" ref="AA3246">iferror(index(J:J,match($A3246&amp;","&amp;index('Year Conversion'!$A:$A,match($C3246,'Year Conversion'!$B:$B,0)),$Y:$Y,0))-J3246,"")</f>
        <v/>
      </c>
      <c r="AB3246" s="168" t="str">
        <f t="array" ref="AB3246">iferror(index(K:K,match($A3246&amp;","&amp;index('Year Conversion'!$A:$A,match($C3246,'Year Conversion'!$B:$B,0)),$Y:$Y,0))-K3246,"")</f>
        <v/>
      </c>
      <c r="AC3246" s="168" t="str">
        <f t="shared" si="7"/>
        <v>UTA,2019-20</v>
      </c>
    </row>
    <row r="3247">
      <c r="A3247" s="161" t="str">
        <f>IFERROR(__xludf.DUMMYFUNCTION("""COMPUTED_VALUE"""),"osmande01")</f>
        <v>osmande01</v>
      </c>
      <c r="B3247" s="161" t="str">
        <f>IFERROR(__xludf.DUMMYFUNCTION("""COMPUTED_VALUE"""),"Cedi Osman")</f>
        <v>Cedi Osman</v>
      </c>
      <c r="C3247" s="162" t="str">
        <f>IFERROR(__xludf.DUMMYFUNCTION("""COMPUTED_VALUE"""),"2019-20")</f>
        <v>2019-20</v>
      </c>
      <c r="D3247" s="163" t="str">
        <f>IFERROR(__xludf.DUMMYFUNCTION("""COMPUTED_VALUE"""),"CLE")</f>
        <v>CLE</v>
      </c>
      <c r="E3247" s="164" t="str">
        <f>IFERROR(__xludf.DUMMYFUNCTION("""COMPUTED_VALUE"""),"Stationary Shooter")</f>
        <v>Stationary Shooter</v>
      </c>
      <c r="F3247" s="164">
        <f>IFERROR(__xludf.DUMMYFUNCTION("""COMPUTED_VALUE"""),1910.36833333333)</f>
        <v>1910.368333</v>
      </c>
      <c r="G3247" s="163">
        <f>IFERROR(__xludf.DUMMYFUNCTION("""COMPUTED_VALUE"""),65.0)</f>
        <v>65</v>
      </c>
      <c r="H3247" s="163" t="str">
        <f>IFERROR(__xludf.DUMMYFUNCTION("""COMPUTED_VALUE"""),"SF")</f>
        <v>SF</v>
      </c>
      <c r="I3247" s="163">
        <f>IFERROR(__xludf.DUMMYFUNCTION("""COMPUTED_VALUE"""),24.0)</f>
        <v>24</v>
      </c>
      <c r="J3247" s="165">
        <f>IFERROR(__xludf.DUMMYFUNCTION("""COMPUTED_VALUE"""),-1.7250255984481)</f>
        <v>-1.725025598</v>
      </c>
      <c r="K3247" s="165">
        <f>IFERROR(__xludf.DUMMYFUNCTION("""COMPUTED_VALUE"""),-1.03605772368794)</f>
        <v>-1.036057724</v>
      </c>
      <c r="L3247" s="165">
        <f>IFERROR(__xludf.DUMMYFUNCTION("""COMPUTED_VALUE"""),-0.688967874760159)</f>
        <v>-0.6889678748</v>
      </c>
      <c r="M3247" s="166">
        <f t="shared" si="2"/>
        <v>0.7325419894</v>
      </c>
      <c r="N3247" s="167">
        <f t="shared" si="3"/>
        <v>29.39028205</v>
      </c>
      <c r="O3247" s="163">
        <f t="shared" ref="O3247:Q3247" si="3251">rank(I3247,I:I)</f>
        <v>2361</v>
      </c>
      <c r="P3247" s="163">
        <f t="shared" si="3251"/>
        <v>3266</v>
      </c>
      <c r="Q3247" s="163">
        <f t="shared" si="3251"/>
        <v>2851</v>
      </c>
      <c r="R3247" s="163">
        <f>IFERROR(__xludf.DUMMYFUNCTION("RANK(M3247,filter(M:M,C:C=C3247))"),233.0)</f>
        <v>233</v>
      </c>
      <c r="S3247" s="161" t="b">
        <f t="shared" si="5"/>
        <v>0</v>
      </c>
      <c r="T3247" s="161" t="b">
        <f t="array" ref="T3247">index('Query Tool'!B:B,match(H3247,'Query Tool'!C:C,0))</f>
        <v>1</v>
      </c>
      <c r="U3247" s="161" t="b">
        <f t="array" ref="U3247">index('Query Tool'!B:B,match(C3247,'Query Tool'!C:C,0))</f>
        <v>0</v>
      </c>
      <c r="V3247" s="161" t="b">
        <f>F3247&gt;='Query Tool'!C$32</f>
        <v>1</v>
      </c>
      <c r="W3247" s="161" t="b">
        <f t="array" ref="W3247">index(Dropdowns!B:B,match(I3247,Dropdowns!A:A,0))</f>
        <v>1</v>
      </c>
      <c r="X3247" s="161" t="b">
        <f t="array" ref="X3247">index('Query Tool'!B:B,match(D3247,'Query Tool'!C:C,0))</f>
        <v>1</v>
      </c>
      <c r="Y3247" s="161" t="str">
        <f t="shared" si="6"/>
        <v>osmande01,2019-20</v>
      </c>
      <c r="Z3247" s="168" t="str">
        <f t="array" ref="Z3247">iferror(index(I:I,match($A3247&amp;","&amp;index('Year Conversion'!$A:$A,match($C3247,'Year Conversion'!$B:$B,0)),$Y:$Y,0))-I3247,"")</f>
        <v/>
      </c>
      <c r="AA3247" s="168" t="str">
        <f t="array" ref="AA3247">iferror(index(J:J,match($A3247&amp;","&amp;index('Year Conversion'!$A:$A,match($C3247,'Year Conversion'!$B:$B,0)),$Y:$Y,0))-J3247,"")</f>
        <v/>
      </c>
      <c r="AB3247" s="168" t="str">
        <f t="array" ref="AB3247">iferror(index(K:K,match($A3247&amp;","&amp;index('Year Conversion'!$A:$A,match($C3247,'Year Conversion'!$B:$B,0)),$Y:$Y,0))-K3247,"")</f>
        <v/>
      </c>
      <c r="AC3247" s="168" t="str">
        <f t="shared" si="7"/>
        <v>CLE,2019-20</v>
      </c>
    </row>
    <row r="3248">
      <c r="A3248" s="161" t="str">
        <f>IFERROR(__xludf.DUMMYFUNCTION("""COMPUTED_VALUE"""),"feliccr01")</f>
        <v>feliccr01</v>
      </c>
      <c r="B3248" s="161" t="str">
        <f>IFERROR(__xludf.DUMMYFUNCTION("""COMPUTED_VALUE"""),"Cristiano Felicio")</f>
        <v>Cristiano Felicio</v>
      </c>
      <c r="C3248" s="162" t="str">
        <f>IFERROR(__xludf.DUMMYFUNCTION("""COMPUTED_VALUE"""),"2019-20")</f>
        <v>2019-20</v>
      </c>
      <c r="D3248" s="163" t="str">
        <f>IFERROR(__xludf.DUMMYFUNCTION("""COMPUTED_VALUE"""),"CHI")</f>
        <v>CHI</v>
      </c>
      <c r="E3248" s="164" t="str">
        <f>IFERROR(__xludf.DUMMYFUNCTION("""COMPUTED_VALUE"""),"Roll + Cut Big")</f>
        <v>Roll + Cut Big</v>
      </c>
      <c r="F3248" s="164">
        <f>IFERROR(__xludf.DUMMYFUNCTION("""COMPUTED_VALUE"""),385.716666666667)</f>
        <v>385.7166667</v>
      </c>
      <c r="G3248" s="163">
        <f>IFERROR(__xludf.DUMMYFUNCTION("""COMPUTED_VALUE"""),22.0)</f>
        <v>22</v>
      </c>
      <c r="H3248" s="163" t="str">
        <f>IFERROR(__xludf.DUMMYFUNCTION("""COMPUTED_VALUE"""),"C")</f>
        <v>C</v>
      </c>
      <c r="I3248" s="163">
        <f>IFERROR(__xludf.DUMMYFUNCTION("""COMPUTED_VALUE"""),27.0)</f>
        <v>27</v>
      </c>
      <c r="J3248" s="165">
        <f>IFERROR(__xludf.DUMMYFUNCTION("""COMPUTED_VALUE"""),-2.68724038893175)</f>
        <v>-2.687240389</v>
      </c>
      <c r="K3248" s="165">
        <f>IFERROR(__xludf.DUMMYFUNCTION("""COMPUTED_VALUE"""),-1.34045243112504)</f>
        <v>-1.340452431</v>
      </c>
      <c r="L3248" s="165">
        <f>IFERROR(__xludf.DUMMYFUNCTION("""COMPUTED_VALUE"""),-1.34678795780671)</f>
        <v>-1.346787958</v>
      </c>
      <c r="M3248" s="166">
        <f t="shared" si="2"/>
        <v>-0.09723325466</v>
      </c>
      <c r="N3248" s="167">
        <f t="shared" si="3"/>
        <v>17.53257576</v>
      </c>
      <c r="O3248" s="163">
        <f t="shared" ref="O3248:Q3248" si="3252">rank(I3248,I:I)</f>
        <v>1366</v>
      </c>
      <c r="P3248" s="163">
        <f t="shared" si="3252"/>
        <v>3811</v>
      </c>
      <c r="Q3248" s="163">
        <f t="shared" si="3252"/>
        <v>3194</v>
      </c>
      <c r="R3248" s="163">
        <f>IFERROR(__xludf.DUMMYFUNCTION("RANK(M3248,filter(M:M,C:C=C3248))"),495.0)</f>
        <v>495</v>
      </c>
      <c r="S3248" s="161" t="b">
        <f t="shared" si="5"/>
        <v>0</v>
      </c>
      <c r="T3248" s="161" t="b">
        <f t="array" ref="T3248">index('Query Tool'!B:B,match(H3248,'Query Tool'!C:C,0))</f>
        <v>1</v>
      </c>
      <c r="U3248" s="161" t="b">
        <f t="array" ref="U3248">index('Query Tool'!B:B,match(C3248,'Query Tool'!C:C,0))</f>
        <v>0</v>
      </c>
      <c r="V3248" s="161" t="b">
        <f>F3248&gt;='Query Tool'!C$32</f>
        <v>0</v>
      </c>
      <c r="W3248" s="161" t="b">
        <f t="array" ref="W3248">index(Dropdowns!B:B,match(I3248,Dropdowns!A:A,0))</f>
        <v>1</v>
      </c>
      <c r="X3248" s="161" t="b">
        <f t="array" ref="X3248">index('Query Tool'!B:B,match(D3248,'Query Tool'!C:C,0))</f>
        <v>1</v>
      </c>
      <c r="Y3248" s="161" t="str">
        <f t="shared" si="6"/>
        <v>feliccr01,2019-20</v>
      </c>
      <c r="Z3248" s="168" t="str">
        <f t="array" ref="Z3248">iferror(index(I:I,match($A3248&amp;","&amp;index('Year Conversion'!$A:$A,match($C3248,'Year Conversion'!$B:$B,0)),$Y:$Y,0))-I3248,"")</f>
        <v/>
      </c>
      <c r="AA3248" s="168" t="str">
        <f t="array" ref="AA3248">iferror(index(J:J,match($A3248&amp;","&amp;index('Year Conversion'!$A:$A,match($C3248,'Year Conversion'!$B:$B,0)),$Y:$Y,0))-J3248,"")</f>
        <v/>
      </c>
      <c r="AB3248" s="168" t="str">
        <f t="array" ref="AB3248">iferror(index(K:K,match($A3248&amp;","&amp;index('Year Conversion'!$A:$A,match($C3248,'Year Conversion'!$B:$B,0)),$Y:$Y,0))-K3248,"")</f>
        <v/>
      </c>
      <c r="AC3248" s="168" t="str">
        <f t="shared" si="7"/>
        <v>CHI,2019-20</v>
      </c>
    </row>
    <row r="3249">
      <c r="A3249" s="161" t="str">
        <f>IFERROR(__xludf.DUMMYFUNCTION("""COMPUTED_VALUE"""),"marjabo01")</f>
        <v>marjabo01</v>
      </c>
      <c r="B3249" s="161" t="str">
        <f>IFERROR(__xludf.DUMMYFUNCTION("""COMPUTED_VALUE"""),"Boban Marjanovic")</f>
        <v>Boban Marjanovic</v>
      </c>
      <c r="C3249" s="162" t="str">
        <f>IFERROR(__xludf.DUMMYFUNCTION("""COMPUTED_VALUE"""),"2019-20")</f>
        <v>2019-20</v>
      </c>
      <c r="D3249" s="163" t="str">
        <f>IFERROR(__xludf.DUMMYFUNCTION("""COMPUTED_VALUE"""),"DAL")</f>
        <v>DAL</v>
      </c>
      <c r="E3249" s="164" t="str">
        <f>IFERROR(__xludf.DUMMYFUNCTION("""COMPUTED_VALUE"""),"Post Scorer")</f>
        <v>Post Scorer</v>
      </c>
      <c r="F3249" s="164">
        <f>IFERROR(__xludf.DUMMYFUNCTION("""COMPUTED_VALUE"""),421.891666666667)</f>
        <v>421.8916667</v>
      </c>
      <c r="G3249" s="163">
        <f>IFERROR(__xludf.DUMMYFUNCTION("""COMPUTED_VALUE"""),44.0)</f>
        <v>44</v>
      </c>
      <c r="H3249" s="163" t="str">
        <f>IFERROR(__xludf.DUMMYFUNCTION("""COMPUTED_VALUE"""),"C")</f>
        <v>C</v>
      </c>
      <c r="I3249" s="163">
        <f>IFERROR(__xludf.DUMMYFUNCTION("""COMPUTED_VALUE"""),31.0)</f>
        <v>31</v>
      </c>
      <c r="J3249" s="165">
        <f>IFERROR(__xludf.DUMMYFUNCTION("""COMPUTED_VALUE"""),0.937492882114719)</f>
        <v>0.9374928821</v>
      </c>
      <c r="K3249" s="165">
        <f>IFERROR(__xludf.DUMMYFUNCTION("""COMPUTED_VALUE"""),1.66904777894931)</f>
        <v>1.669047779</v>
      </c>
      <c r="L3249" s="165">
        <f>IFERROR(__xludf.DUMMYFUNCTION("""COMPUTED_VALUE"""),-0.731554896834595)</f>
        <v>-0.7315548968</v>
      </c>
      <c r="M3249" s="166">
        <f t="shared" si="2"/>
        <v>0.9167470727</v>
      </c>
      <c r="N3249" s="167">
        <f t="shared" si="3"/>
        <v>9.58844697</v>
      </c>
      <c r="O3249" s="163">
        <f t="shared" ref="O3249:Q3249" si="3253">rank(I3249,I:I)</f>
        <v>490</v>
      </c>
      <c r="P3249" s="163">
        <f t="shared" si="3253"/>
        <v>683</v>
      </c>
      <c r="Q3249" s="163">
        <f t="shared" si="3253"/>
        <v>279</v>
      </c>
      <c r="R3249" s="163">
        <f>IFERROR(__xludf.DUMMYFUNCTION("RANK(M3249,filter(M:M,C:C=C3249))"),216.0)</f>
        <v>216</v>
      </c>
      <c r="S3249" s="161" t="b">
        <f t="shared" si="5"/>
        <v>0</v>
      </c>
      <c r="T3249" s="161" t="b">
        <f t="array" ref="T3249">index('Query Tool'!B:B,match(H3249,'Query Tool'!C:C,0))</f>
        <v>1</v>
      </c>
      <c r="U3249" s="161" t="b">
        <f t="array" ref="U3249">index('Query Tool'!B:B,match(C3249,'Query Tool'!C:C,0))</f>
        <v>0</v>
      </c>
      <c r="V3249" s="161" t="b">
        <f>F3249&gt;='Query Tool'!C$32</f>
        <v>0</v>
      </c>
      <c r="W3249" s="161" t="b">
        <f t="array" ref="W3249">index(Dropdowns!B:B,match(I3249,Dropdowns!A:A,0))</f>
        <v>1</v>
      </c>
      <c r="X3249" s="161" t="b">
        <f t="array" ref="X3249">index('Query Tool'!B:B,match(D3249,'Query Tool'!C:C,0))</f>
        <v>1</v>
      </c>
      <c r="Y3249" s="161" t="str">
        <f t="shared" si="6"/>
        <v>marjabo01,2019-20</v>
      </c>
      <c r="Z3249" s="168" t="str">
        <f t="array" ref="Z3249">iferror(index(I:I,match($A3249&amp;","&amp;index('Year Conversion'!$A:$A,match($C3249,'Year Conversion'!$B:$B,0)),$Y:$Y,0))-I3249,"")</f>
        <v/>
      </c>
      <c r="AA3249" s="168" t="str">
        <f t="array" ref="AA3249">iferror(index(J:J,match($A3249&amp;","&amp;index('Year Conversion'!$A:$A,match($C3249,'Year Conversion'!$B:$B,0)),$Y:$Y,0))-J3249,"")</f>
        <v/>
      </c>
      <c r="AB3249" s="168" t="str">
        <f t="array" ref="AB3249">iferror(index(K:K,match($A3249&amp;","&amp;index('Year Conversion'!$A:$A,match($C3249,'Year Conversion'!$B:$B,0)),$Y:$Y,0))-K3249,"")</f>
        <v/>
      </c>
      <c r="AC3249" s="168" t="str">
        <f t="shared" si="7"/>
        <v>DAL,2019-20</v>
      </c>
    </row>
    <row r="3250">
      <c r="A3250" s="161" t="str">
        <f>IFERROR(__xludf.DUMMYFUNCTION("""COMPUTED_VALUE"""),"millema01")</f>
        <v>millema01</v>
      </c>
      <c r="B3250" s="161" t="str">
        <f>IFERROR(__xludf.DUMMYFUNCTION("""COMPUTED_VALUE"""),"Malcolm Miller")</f>
        <v>Malcolm Miller</v>
      </c>
      <c r="C3250" s="162" t="str">
        <f>IFERROR(__xludf.DUMMYFUNCTION("""COMPUTED_VALUE"""),"2019-20")</f>
        <v>2019-20</v>
      </c>
      <c r="D3250" s="163" t="str">
        <f>IFERROR(__xludf.DUMMYFUNCTION("""COMPUTED_VALUE"""),"TOR")</f>
        <v>TOR</v>
      </c>
      <c r="E3250" s="164" t="str">
        <f>IFERROR(__xludf.DUMMYFUNCTION("""COMPUTED_VALUE"""),"Stationary Shooter")</f>
        <v>Stationary Shooter</v>
      </c>
      <c r="F3250" s="164">
        <f>IFERROR(__xludf.DUMMYFUNCTION("""COMPUTED_VALUE"""),161.918333333333)</f>
        <v>161.9183333</v>
      </c>
      <c r="G3250" s="163">
        <f>IFERROR(__xludf.DUMMYFUNCTION("""COMPUTED_VALUE"""),28.0)</f>
        <v>28</v>
      </c>
      <c r="H3250" s="163" t="str">
        <f>IFERROR(__xludf.DUMMYFUNCTION("""COMPUTED_VALUE"""),"SF")</f>
        <v>SF</v>
      </c>
      <c r="I3250" s="163">
        <f>IFERROR(__xludf.DUMMYFUNCTION("""COMPUTED_VALUE"""),26.0)</f>
        <v>26</v>
      </c>
      <c r="J3250" s="165">
        <f>IFERROR(__xludf.DUMMYFUNCTION("""COMPUTED_VALUE"""),-1.75021504388813)</f>
        <v>-1.750215044</v>
      </c>
      <c r="K3250" s="165">
        <f>IFERROR(__xludf.DUMMYFUNCTION("""COMPUTED_VALUE"""),-1.06733469366032)</f>
        <v>-1.067334694</v>
      </c>
      <c r="L3250" s="165">
        <f>IFERROR(__xludf.DUMMYFUNCTION("""COMPUTED_VALUE"""),-0.682880350227812)</f>
        <v>-0.6828803502</v>
      </c>
      <c r="M3250" s="166">
        <f t="shared" si="2"/>
        <v>0.05937307963</v>
      </c>
      <c r="N3250" s="167">
        <f t="shared" si="3"/>
        <v>5.782797619</v>
      </c>
      <c r="O3250" s="163">
        <f t="shared" ref="O3250:Q3250" si="3254">rank(I3250,I:I)</f>
        <v>1665</v>
      </c>
      <c r="P3250" s="163">
        <f t="shared" si="3254"/>
        <v>3294</v>
      </c>
      <c r="Q3250" s="163">
        <f t="shared" si="3254"/>
        <v>2894</v>
      </c>
      <c r="R3250" s="163">
        <f>IFERROR(__xludf.DUMMYFUNCTION("RANK(M3250,filter(M:M,C:C=C3250))"),420.0)</f>
        <v>420</v>
      </c>
      <c r="S3250" s="161" t="b">
        <f t="shared" si="5"/>
        <v>0</v>
      </c>
      <c r="T3250" s="161" t="b">
        <f t="array" ref="T3250">index('Query Tool'!B:B,match(H3250,'Query Tool'!C:C,0))</f>
        <v>1</v>
      </c>
      <c r="U3250" s="161" t="b">
        <f t="array" ref="U3250">index('Query Tool'!B:B,match(C3250,'Query Tool'!C:C,0))</f>
        <v>0</v>
      </c>
      <c r="V3250" s="161" t="b">
        <f>F3250&gt;='Query Tool'!C$32</f>
        <v>0</v>
      </c>
      <c r="W3250" s="161" t="b">
        <f t="array" ref="W3250">index(Dropdowns!B:B,match(I3250,Dropdowns!A:A,0))</f>
        <v>1</v>
      </c>
      <c r="X3250" s="161" t="b">
        <f t="array" ref="X3250">index('Query Tool'!B:B,match(D3250,'Query Tool'!C:C,0))</f>
        <v>1</v>
      </c>
      <c r="Y3250" s="161" t="str">
        <f t="shared" si="6"/>
        <v>millema01,2019-20</v>
      </c>
      <c r="Z3250" s="168" t="str">
        <f t="array" ref="Z3250">iferror(index(I:I,match($A3250&amp;","&amp;index('Year Conversion'!$A:$A,match($C3250,'Year Conversion'!$B:$B,0)),$Y:$Y,0))-I3250,"")</f>
        <v/>
      </c>
      <c r="AA3250" s="168" t="str">
        <f t="array" ref="AA3250">iferror(index(J:J,match($A3250&amp;","&amp;index('Year Conversion'!$A:$A,match($C3250,'Year Conversion'!$B:$B,0)),$Y:$Y,0))-J3250,"")</f>
        <v/>
      </c>
      <c r="AB3250" s="168" t="str">
        <f t="array" ref="AB3250">iferror(index(K:K,match($A3250&amp;","&amp;index('Year Conversion'!$A:$A,match($C3250,'Year Conversion'!$B:$B,0)),$Y:$Y,0))-K3250,"")</f>
        <v/>
      </c>
      <c r="AC3250" s="168" t="str">
        <f t="shared" si="7"/>
        <v>TOR,2019-20</v>
      </c>
    </row>
    <row r="3251">
      <c r="A3251" s="161" t="str">
        <f>IFERROR(__xludf.DUMMYFUNCTION("""COMPUTED_VALUE"""),"simmobe01")</f>
        <v>simmobe01</v>
      </c>
      <c r="B3251" s="161" t="str">
        <f>IFERROR(__xludf.DUMMYFUNCTION("""COMPUTED_VALUE"""),"Ben Simmons")</f>
        <v>Ben Simmons</v>
      </c>
      <c r="C3251" s="162" t="str">
        <f>IFERROR(__xludf.DUMMYFUNCTION("""COMPUTED_VALUE"""),"2019-20")</f>
        <v>2019-20</v>
      </c>
      <c r="D3251" s="163" t="str">
        <f>IFERROR(__xludf.DUMMYFUNCTION("""COMPUTED_VALUE"""),"PHI")</f>
        <v>PHI</v>
      </c>
      <c r="E3251" s="164" t="str">
        <f>IFERROR(__xludf.DUMMYFUNCTION("""COMPUTED_VALUE"""),"Roll + Cut Big")</f>
        <v>Roll + Cut Big</v>
      </c>
      <c r="F3251" s="164">
        <f>IFERROR(__xludf.DUMMYFUNCTION("""COMPUTED_VALUE"""),2016.86333333333)</f>
        <v>2016.863333</v>
      </c>
      <c r="G3251" s="163">
        <f>IFERROR(__xludf.DUMMYFUNCTION("""COMPUTED_VALUE"""),57.0)</f>
        <v>57</v>
      </c>
      <c r="H3251" s="163" t="str">
        <f>IFERROR(__xludf.DUMMYFUNCTION("""COMPUTED_VALUE"""),"PG")</f>
        <v>PG</v>
      </c>
      <c r="I3251" s="163">
        <f>IFERROR(__xludf.DUMMYFUNCTION("""COMPUTED_VALUE"""),23.0)</f>
        <v>23</v>
      </c>
      <c r="J3251" s="165">
        <f>IFERROR(__xludf.DUMMYFUNCTION("""COMPUTED_VALUE"""),2.16936912108692)</f>
        <v>2.169369121</v>
      </c>
      <c r="K3251" s="165">
        <f>IFERROR(__xludf.DUMMYFUNCTION("""COMPUTED_VALUE"""),0.517933535415148)</f>
        <v>0.5179335354</v>
      </c>
      <c r="L3251" s="165">
        <f>IFERROR(__xludf.DUMMYFUNCTION("""COMPUTED_VALUE"""),1.65143558567177)</f>
        <v>1.651435586</v>
      </c>
      <c r="M3251" s="166">
        <f t="shared" si="2"/>
        <v>6.0399927</v>
      </c>
      <c r="N3251" s="167">
        <f t="shared" si="3"/>
        <v>35.38356725</v>
      </c>
      <c r="O3251" s="163">
        <f t="shared" ref="O3251:Q3251" si="3255">rank(I3251,I:I)</f>
        <v>2765</v>
      </c>
      <c r="P3251" s="163">
        <f t="shared" si="3255"/>
        <v>278</v>
      </c>
      <c r="Q3251" s="163">
        <f t="shared" si="3255"/>
        <v>761</v>
      </c>
      <c r="R3251" s="163">
        <f>IFERROR(__xludf.DUMMYFUNCTION("RANK(M3251,filter(M:M,C:C=C3251))"),25.0)</f>
        <v>25</v>
      </c>
      <c r="S3251" s="161" t="b">
        <f t="shared" si="5"/>
        <v>0</v>
      </c>
      <c r="T3251" s="161" t="b">
        <f t="array" ref="T3251">index('Query Tool'!B:B,match(H3251,'Query Tool'!C:C,0))</f>
        <v>1</v>
      </c>
      <c r="U3251" s="161" t="b">
        <f t="array" ref="U3251">index('Query Tool'!B:B,match(C3251,'Query Tool'!C:C,0))</f>
        <v>0</v>
      </c>
      <c r="V3251" s="161" t="b">
        <f>F3251&gt;='Query Tool'!C$32</f>
        <v>1</v>
      </c>
      <c r="W3251" s="161" t="b">
        <f t="array" ref="W3251">index(Dropdowns!B:B,match(I3251,Dropdowns!A:A,0))</f>
        <v>1</v>
      </c>
      <c r="X3251" s="161" t="b">
        <f t="array" ref="X3251">index('Query Tool'!B:B,match(D3251,'Query Tool'!C:C,0))</f>
        <v>1</v>
      </c>
      <c r="Y3251" s="161" t="str">
        <f t="shared" si="6"/>
        <v>simmobe01,2019-20</v>
      </c>
      <c r="Z3251" s="168" t="str">
        <f t="array" ref="Z3251">iferror(index(I:I,match($A3251&amp;","&amp;index('Year Conversion'!$A:$A,match($C3251,'Year Conversion'!$B:$B,0)),$Y:$Y,0))-I3251,"")</f>
        <v/>
      </c>
      <c r="AA3251" s="168" t="str">
        <f t="array" ref="AA3251">iferror(index(J:J,match($A3251&amp;","&amp;index('Year Conversion'!$A:$A,match($C3251,'Year Conversion'!$B:$B,0)),$Y:$Y,0))-J3251,"")</f>
        <v/>
      </c>
      <c r="AB3251" s="168" t="str">
        <f t="array" ref="AB3251">iferror(index(K:K,match($A3251&amp;","&amp;index('Year Conversion'!$A:$A,match($C3251,'Year Conversion'!$B:$B,0)),$Y:$Y,0))-K3251,"")</f>
        <v/>
      </c>
      <c r="AC3251" s="168" t="str">
        <f t="shared" si="7"/>
        <v>PHI,2019-20</v>
      </c>
    </row>
    <row r="3252">
      <c r="A3252" s="161" t="str">
        <f>IFERROR(__xludf.DUMMYFUNCTION("""COMPUTED_VALUE"""),"bendedr01")</f>
        <v>bendedr01</v>
      </c>
      <c r="B3252" s="161" t="str">
        <f>IFERROR(__xludf.DUMMYFUNCTION("""COMPUTED_VALUE"""),"Dragan Bender")</f>
        <v>Dragan Bender</v>
      </c>
      <c r="C3252" s="162" t="str">
        <f>IFERROR(__xludf.DUMMYFUNCTION("""COMPUTED_VALUE"""),"2019-20")</f>
        <v>2019-20</v>
      </c>
      <c r="D3252" s="163" t="str">
        <f>IFERROR(__xludf.DUMMYFUNCTION("""COMPUTED_VALUE"""),"TOT")</f>
        <v>TOT</v>
      </c>
      <c r="E3252" s="164" t="str">
        <f>IFERROR(__xludf.DUMMYFUNCTION("""COMPUTED_VALUE"""),"Stretch Big")</f>
        <v>Stretch Big</v>
      </c>
      <c r="F3252" s="164">
        <f>IFERROR(__xludf.DUMMYFUNCTION("""COMPUTED_VALUE"""),285.55)</f>
        <v>285.55</v>
      </c>
      <c r="G3252" s="163">
        <f>IFERROR(__xludf.DUMMYFUNCTION("""COMPUTED_VALUE"""),16.0)</f>
        <v>16</v>
      </c>
      <c r="H3252" s="163" t="str">
        <f>IFERROR(__xludf.DUMMYFUNCTION("""COMPUTED_VALUE"""),"PF-C")</f>
        <v>PF-C</v>
      </c>
      <c r="I3252" s="163">
        <f>IFERROR(__xludf.DUMMYFUNCTION("""COMPUTED_VALUE"""),22.0)</f>
        <v>22</v>
      </c>
      <c r="J3252" s="165">
        <f>IFERROR(__xludf.DUMMYFUNCTION("""COMPUTED_VALUE"""),-0.169335696548826)</f>
        <v>-0.1693356965</v>
      </c>
      <c r="K3252" s="165">
        <f>IFERROR(__xludf.DUMMYFUNCTION("""COMPUTED_VALUE"""),-0.923338358882813)</f>
        <v>-0.9233383589</v>
      </c>
      <c r="L3252" s="165">
        <f>IFERROR(__xludf.DUMMYFUNCTION("""COMPUTED_VALUE"""),0.754002662333987)</f>
        <v>0.7540026623</v>
      </c>
      <c r="M3252" s="166">
        <f t="shared" si="2"/>
        <v>0.4076245702</v>
      </c>
      <c r="N3252" s="167">
        <f t="shared" si="3"/>
        <v>17.846875</v>
      </c>
      <c r="O3252" s="163">
        <f t="shared" ref="O3252:Q3252" si="3256">rank(I3252,I:I)</f>
        <v>3178</v>
      </c>
      <c r="P3252" s="163">
        <f t="shared" si="3256"/>
        <v>1469</v>
      </c>
      <c r="Q3252" s="163">
        <f t="shared" si="3256"/>
        <v>2718</v>
      </c>
      <c r="R3252" s="163">
        <f>IFERROR(__xludf.DUMMYFUNCTION("RANK(M3252,filter(M:M,C:C=C3252))"),271.0)</f>
        <v>271</v>
      </c>
      <c r="S3252" s="161" t="b">
        <f t="shared" si="5"/>
        <v>0</v>
      </c>
      <c r="T3252" s="161" t="str">
        <f t="array" ref="T3252">index('Query Tool'!B:B,match(H3252,'Query Tool'!C:C,0))</f>
        <v>#N/A</v>
      </c>
      <c r="U3252" s="161" t="b">
        <f t="array" ref="U3252">index('Query Tool'!B:B,match(C3252,'Query Tool'!C:C,0))</f>
        <v>0</v>
      </c>
      <c r="V3252" s="161" t="b">
        <f>F3252&gt;='Query Tool'!C$32</f>
        <v>0</v>
      </c>
      <c r="W3252" s="161" t="b">
        <f t="array" ref="W3252">index(Dropdowns!B:B,match(I3252,Dropdowns!A:A,0))</f>
        <v>1</v>
      </c>
      <c r="X3252" s="161" t="b">
        <f t="array" ref="X3252">index('Query Tool'!B:B,match(D3252,'Query Tool'!C:C,0))</f>
        <v>1</v>
      </c>
      <c r="Y3252" s="161" t="str">
        <f t="shared" si="6"/>
        <v>bendedr01,2019-20</v>
      </c>
      <c r="Z3252" s="168" t="str">
        <f t="array" ref="Z3252">iferror(index(I:I,match($A3252&amp;","&amp;index('Year Conversion'!$A:$A,match($C3252,'Year Conversion'!$B:$B,0)),$Y:$Y,0))-I3252,"")</f>
        <v/>
      </c>
      <c r="AA3252" s="168" t="str">
        <f t="array" ref="AA3252">iferror(index(J:J,match($A3252&amp;","&amp;index('Year Conversion'!$A:$A,match($C3252,'Year Conversion'!$B:$B,0)),$Y:$Y,0))-J3252,"")</f>
        <v/>
      </c>
      <c r="AB3252" s="168" t="str">
        <f t="array" ref="AB3252">iferror(index(K:K,match($A3252&amp;","&amp;index('Year Conversion'!$A:$A,match($C3252,'Year Conversion'!$B:$B,0)),$Y:$Y,0))-K3252,"")</f>
        <v/>
      </c>
      <c r="AC3252" s="168" t="str">
        <f t="shared" si="7"/>
        <v>TOT,2019-20</v>
      </c>
    </row>
    <row r="3253">
      <c r="A3253" s="161" t="str">
        <f>IFERROR(__xludf.DUMMYFUNCTION("""COMPUTED_VALUE"""),"sabondo01")</f>
        <v>sabondo01</v>
      </c>
      <c r="B3253" s="161" t="str">
        <f>IFERROR(__xludf.DUMMYFUNCTION("""COMPUTED_VALUE"""),"Domantas Sabonis")</f>
        <v>Domantas Sabonis</v>
      </c>
      <c r="C3253" s="162" t="str">
        <f>IFERROR(__xludf.DUMMYFUNCTION("""COMPUTED_VALUE"""),"2019-20")</f>
        <v>2019-20</v>
      </c>
      <c r="D3253" s="163" t="str">
        <f>IFERROR(__xludf.DUMMYFUNCTION("""COMPUTED_VALUE"""),"IND")</f>
        <v>IND</v>
      </c>
      <c r="E3253" s="164" t="str">
        <f>IFERROR(__xludf.DUMMYFUNCTION("""COMPUTED_VALUE"""),"Post Scorer")</f>
        <v>Post Scorer</v>
      </c>
      <c r="F3253" s="164">
        <f>IFERROR(__xludf.DUMMYFUNCTION("""COMPUTED_VALUE"""),2158.65)</f>
        <v>2158.65</v>
      </c>
      <c r="G3253" s="163">
        <f>IFERROR(__xludf.DUMMYFUNCTION("""COMPUTED_VALUE"""),62.0)</f>
        <v>62</v>
      </c>
      <c r="H3253" s="163" t="str">
        <f>IFERROR(__xludf.DUMMYFUNCTION("""COMPUTED_VALUE"""),"PF")</f>
        <v>PF</v>
      </c>
      <c r="I3253" s="163">
        <f>IFERROR(__xludf.DUMMYFUNCTION("""COMPUTED_VALUE"""),23.0)</f>
        <v>23</v>
      </c>
      <c r="J3253" s="165">
        <f>IFERROR(__xludf.DUMMYFUNCTION("""COMPUTED_VALUE"""),2.32468411854601)</f>
        <v>2.324684119</v>
      </c>
      <c r="K3253" s="165">
        <f>IFERROR(__xludf.DUMMYFUNCTION("""COMPUTED_VALUE"""),1.00434471470594)</f>
        <v>1.004344715</v>
      </c>
      <c r="L3253" s="165">
        <f>IFERROR(__xludf.DUMMYFUNCTION("""COMPUTED_VALUE"""),1.32033940384007)</f>
        <v>1.320339404</v>
      </c>
      <c r="M3253" s="166">
        <f t="shared" si="2"/>
        <v>6.685951494</v>
      </c>
      <c r="N3253" s="167">
        <f t="shared" si="3"/>
        <v>34.81693548</v>
      </c>
      <c r="O3253" s="163">
        <f t="shared" ref="O3253:Q3253" si="3257">rank(I3253,I:I)</f>
        <v>2765</v>
      </c>
      <c r="P3253" s="163">
        <f t="shared" si="3257"/>
        <v>254</v>
      </c>
      <c r="Q3253" s="163">
        <f t="shared" si="3257"/>
        <v>504</v>
      </c>
      <c r="R3253" s="163">
        <f>IFERROR(__xludf.DUMMYFUNCTION("RANK(M3253,filter(M:M,C:C=C3253))"),21.0)</f>
        <v>21</v>
      </c>
      <c r="S3253" s="161" t="b">
        <f t="shared" si="5"/>
        <v>0</v>
      </c>
      <c r="T3253" s="161" t="b">
        <f t="array" ref="T3253">index('Query Tool'!B:B,match(H3253,'Query Tool'!C:C,0))</f>
        <v>1</v>
      </c>
      <c r="U3253" s="161" t="b">
        <f t="array" ref="U3253">index('Query Tool'!B:B,match(C3253,'Query Tool'!C:C,0))</f>
        <v>0</v>
      </c>
      <c r="V3253" s="161" t="b">
        <f>F3253&gt;='Query Tool'!C$32</f>
        <v>1</v>
      </c>
      <c r="W3253" s="161" t="b">
        <f t="array" ref="W3253">index(Dropdowns!B:B,match(I3253,Dropdowns!A:A,0))</f>
        <v>1</v>
      </c>
      <c r="X3253" s="161" t="b">
        <f t="array" ref="X3253">index('Query Tool'!B:B,match(D3253,'Query Tool'!C:C,0))</f>
        <v>1</v>
      </c>
      <c r="Y3253" s="161" t="str">
        <f t="shared" si="6"/>
        <v>sabondo01,2019-20</v>
      </c>
      <c r="Z3253" s="168" t="str">
        <f t="array" ref="Z3253">iferror(index(I:I,match($A3253&amp;","&amp;index('Year Conversion'!$A:$A,match($C3253,'Year Conversion'!$B:$B,0)),$Y:$Y,0))-I3253,"")</f>
        <v/>
      </c>
      <c r="AA3253" s="168" t="str">
        <f t="array" ref="AA3253">iferror(index(J:J,match($A3253&amp;","&amp;index('Year Conversion'!$A:$A,match($C3253,'Year Conversion'!$B:$B,0)),$Y:$Y,0))-J3253,"")</f>
        <v/>
      </c>
      <c r="AB3253" s="168" t="str">
        <f t="array" ref="AB3253">iferror(index(K:K,match($A3253&amp;","&amp;index('Year Conversion'!$A:$A,match($C3253,'Year Conversion'!$B:$B,0)),$Y:$Y,0))-K3253,"")</f>
        <v/>
      </c>
      <c r="AC3253" s="168" t="str">
        <f t="shared" si="7"/>
        <v>IND,2019-20</v>
      </c>
    </row>
    <row r="3254">
      <c r="A3254" s="161" t="str">
        <f>IFERROR(__xludf.DUMMYFUNCTION("""COMPUTED_VALUE"""),"beaslma01")</f>
        <v>beaslma01</v>
      </c>
      <c r="B3254" s="161" t="str">
        <f>IFERROR(__xludf.DUMMYFUNCTION("""COMPUTED_VALUE"""),"Malik Beasley")</f>
        <v>Malik Beasley</v>
      </c>
      <c r="C3254" s="162" t="str">
        <f>IFERROR(__xludf.DUMMYFUNCTION("""COMPUTED_VALUE"""),"2019-20")</f>
        <v>2019-20</v>
      </c>
      <c r="D3254" s="163" t="str">
        <f>IFERROR(__xludf.DUMMYFUNCTION("""COMPUTED_VALUE"""),"TOT")</f>
        <v>TOT</v>
      </c>
      <c r="E3254" s="164" t="str">
        <f>IFERROR(__xludf.DUMMYFUNCTION("""COMPUTED_VALUE"""),"Movement Shooter")</f>
        <v>Movement Shooter</v>
      </c>
      <c r="F3254" s="164">
        <f>IFERROR(__xludf.DUMMYFUNCTION("""COMPUTED_VALUE"""),1208.71166666667)</f>
        <v>1208.711667</v>
      </c>
      <c r="G3254" s="163">
        <f>IFERROR(__xludf.DUMMYFUNCTION("""COMPUTED_VALUE"""),55.0)</f>
        <v>55</v>
      </c>
      <c r="H3254" s="163" t="str">
        <f>IFERROR(__xludf.DUMMYFUNCTION("""COMPUTED_VALUE"""),"SG")</f>
        <v>SG</v>
      </c>
      <c r="I3254" s="163">
        <f>IFERROR(__xludf.DUMMYFUNCTION("""COMPUTED_VALUE"""),23.0)</f>
        <v>23</v>
      </c>
      <c r="J3254" s="165">
        <f>IFERROR(__xludf.DUMMYFUNCTION("""COMPUTED_VALUE"""),-1.73543634192435)</f>
        <v>-1.735436342</v>
      </c>
      <c r="K3254" s="165">
        <f>IFERROR(__xludf.DUMMYFUNCTION("""COMPUTED_VALUE"""),-0.40442936274703)</f>
        <v>-0.4044293627</v>
      </c>
      <c r="L3254" s="165">
        <f>IFERROR(__xludf.DUMMYFUNCTION("""COMPUTED_VALUE"""),-1.33100697917732)</f>
        <v>-1.331006979</v>
      </c>
      <c r="M3254" s="166">
        <f t="shared" si="2"/>
        <v>0.4551088557</v>
      </c>
      <c r="N3254" s="167">
        <f t="shared" si="3"/>
        <v>21.97657576</v>
      </c>
      <c r="O3254" s="163">
        <f t="shared" ref="O3254:Q3254" si="3258">rank(I3254,I:I)</f>
        <v>2765</v>
      </c>
      <c r="P3254" s="163">
        <f t="shared" si="3258"/>
        <v>3278</v>
      </c>
      <c r="Q3254" s="163">
        <f t="shared" si="3258"/>
        <v>1951</v>
      </c>
      <c r="R3254" s="163">
        <f>IFERROR(__xludf.DUMMYFUNCTION("RANK(M3254,filter(M:M,C:C=C3254))"),265.0)</f>
        <v>265</v>
      </c>
      <c r="S3254" s="161" t="b">
        <f t="shared" si="5"/>
        <v>0</v>
      </c>
      <c r="T3254" s="161" t="b">
        <f t="array" ref="T3254">index('Query Tool'!B:B,match(H3254,'Query Tool'!C:C,0))</f>
        <v>1</v>
      </c>
      <c r="U3254" s="161" t="b">
        <f t="array" ref="U3254">index('Query Tool'!B:B,match(C3254,'Query Tool'!C:C,0))</f>
        <v>0</v>
      </c>
      <c r="V3254" s="161" t="b">
        <f>F3254&gt;='Query Tool'!C$32</f>
        <v>1</v>
      </c>
      <c r="W3254" s="161" t="b">
        <f t="array" ref="W3254">index(Dropdowns!B:B,match(I3254,Dropdowns!A:A,0))</f>
        <v>1</v>
      </c>
      <c r="X3254" s="161" t="b">
        <f t="array" ref="X3254">index('Query Tool'!B:B,match(D3254,'Query Tool'!C:C,0))</f>
        <v>1</v>
      </c>
      <c r="Y3254" s="161" t="str">
        <f t="shared" si="6"/>
        <v>beaslma01,2019-20</v>
      </c>
      <c r="Z3254" s="168" t="str">
        <f t="array" ref="Z3254">iferror(index(I:I,match($A3254&amp;","&amp;index('Year Conversion'!$A:$A,match($C3254,'Year Conversion'!$B:$B,0)),$Y:$Y,0))-I3254,"")</f>
        <v/>
      </c>
      <c r="AA3254" s="168" t="str">
        <f t="array" ref="AA3254">iferror(index(J:J,match($A3254&amp;","&amp;index('Year Conversion'!$A:$A,match($C3254,'Year Conversion'!$B:$B,0)),$Y:$Y,0))-J3254,"")</f>
        <v/>
      </c>
      <c r="AB3254" s="168" t="str">
        <f t="array" ref="AB3254">iferror(index(K:K,match($A3254&amp;","&amp;index('Year Conversion'!$A:$A,match($C3254,'Year Conversion'!$B:$B,0)),$Y:$Y,0))-K3254,"")</f>
        <v/>
      </c>
      <c r="AC3254" s="168" t="str">
        <f t="shared" si="7"/>
        <v>TOT,2019-20</v>
      </c>
    </row>
    <row r="3255">
      <c r="A3255" s="161" t="str">
        <f>IFERROR(__xludf.DUMMYFUNCTION("""COMPUTED_VALUE"""),"chrisma01")</f>
        <v>chrisma01</v>
      </c>
      <c r="B3255" s="161" t="str">
        <f>IFERROR(__xludf.DUMMYFUNCTION("""COMPUTED_VALUE"""),"Marquese Chriss")</f>
        <v>Marquese Chriss</v>
      </c>
      <c r="C3255" s="162" t="str">
        <f>IFERROR(__xludf.DUMMYFUNCTION("""COMPUTED_VALUE"""),"2019-20")</f>
        <v>2019-20</v>
      </c>
      <c r="D3255" s="163" t="str">
        <f>IFERROR(__xludf.DUMMYFUNCTION("""COMPUTED_VALUE"""),"GSW")</f>
        <v>GSW</v>
      </c>
      <c r="E3255" s="164" t="str">
        <f>IFERROR(__xludf.DUMMYFUNCTION("""COMPUTED_VALUE"""),"Roll + Cut Big")</f>
        <v>Roll + Cut Big</v>
      </c>
      <c r="F3255" s="164">
        <f>IFERROR(__xludf.DUMMYFUNCTION("""COMPUTED_VALUE"""),1196.12833333333)</f>
        <v>1196.128333</v>
      </c>
      <c r="G3255" s="163">
        <f>IFERROR(__xludf.DUMMYFUNCTION("""COMPUTED_VALUE"""),59.0)</f>
        <v>59</v>
      </c>
      <c r="H3255" s="163" t="str">
        <f>IFERROR(__xludf.DUMMYFUNCTION("""COMPUTED_VALUE"""),"PF")</f>
        <v>PF</v>
      </c>
      <c r="I3255" s="163">
        <f>IFERROR(__xludf.DUMMYFUNCTION("""COMPUTED_VALUE"""),22.0)</f>
        <v>22</v>
      </c>
      <c r="J3255" s="165">
        <f>IFERROR(__xludf.DUMMYFUNCTION("""COMPUTED_VALUE"""),0.521064287953827)</f>
        <v>0.521064288</v>
      </c>
      <c r="K3255" s="165">
        <f>IFERROR(__xludf.DUMMYFUNCTION("""COMPUTED_VALUE"""),-0.576569781572376)</f>
        <v>-0.5765697816</v>
      </c>
      <c r="L3255" s="165">
        <f>IFERROR(__xludf.DUMMYFUNCTION("""COMPUTED_VALUE"""),1.0976340695262)</f>
        <v>1.09763407</v>
      </c>
      <c r="M3255" s="166">
        <f t="shared" si="2"/>
        <v>2.264068147</v>
      </c>
      <c r="N3255" s="167">
        <f t="shared" si="3"/>
        <v>20.27336158</v>
      </c>
      <c r="O3255" s="163">
        <f t="shared" ref="O3255:Q3255" si="3259">rank(I3255,I:I)</f>
        <v>3178</v>
      </c>
      <c r="P3255" s="163">
        <f t="shared" si="3259"/>
        <v>891</v>
      </c>
      <c r="Q3255" s="163">
        <f t="shared" si="3259"/>
        <v>2227</v>
      </c>
      <c r="R3255" s="163">
        <f>IFERROR(__xludf.DUMMYFUNCTION("RANK(M3255,filter(M:M,C:C=C3255))"),139.0)</f>
        <v>139</v>
      </c>
      <c r="S3255" s="161" t="b">
        <f t="shared" si="5"/>
        <v>0</v>
      </c>
      <c r="T3255" s="161" t="b">
        <f t="array" ref="T3255">index('Query Tool'!B:B,match(H3255,'Query Tool'!C:C,0))</f>
        <v>1</v>
      </c>
      <c r="U3255" s="161" t="b">
        <f t="array" ref="U3255">index('Query Tool'!B:B,match(C3255,'Query Tool'!C:C,0))</f>
        <v>0</v>
      </c>
      <c r="V3255" s="161" t="b">
        <f>F3255&gt;='Query Tool'!C$32</f>
        <v>1</v>
      </c>
      <c r="W3255" s="161" t="b">
        <f t="array" ref="W3255">index(Dropdowns!B:B,match(I3255,Dropdowns!A:A,0))</f>
        <v>1</v>
      </c>
      <c r="X3255" s="161" t="b">
        <f t="array" ref="X3255">index('Query Tool'!B:B,match(D3255,'Query Tool'!C:C,0))</f>
        <v>1</v>
      </c>
      <c r="Y3255" s="161" t="str">
        <f t="shared" si="6"/>
        <v>chrisma01,2019-20</v>
      </c>
      <c r="Z3255" s="168" t="str">
        <f t="array" ref="Z3255">iferror(index(I:I,match($A3255&amp;","&amp;index('Year Conversion'!$A:$A,match($C3255,'Year Conversion'!$B:$B,0)),$Y:$Y,0))-I3255,"")</f>
        <v/>
      </c>
      <c r="AA3255" s="168" t="str">
        <f t="array" ref="AA3255">iferror(index(J:J,match($A3255&amp;","&amp;index('Year Conversion'!$A:$A,match($C3255,'Year Conversion'!$B:$B,0)),$Y:$Y,0))-J3255,"")</f>
        <v/>
      </c>
      <c r="AB3255" s="168" t="str">
        <f t="array" ref="AB3255">iferror(index(K:K,match($A3255&amp;","&amp;index('Year Conversion'!$A:$A,match($C3255,'Year Conversion'!$B:$B,0)),$Y:$Y,0))-K3255,"")</f>
        <v/>
      </c>
      <c r="AC3255" s="168" t="str">
        <f t="shared" si="7"/>
        <v>GSW,2019-20</v>
      </c>
    </row>
    <row r="3256">
      <c r="A3256" s="161" t="str">
        <f>IFERROR(__xludf.DUMMYFUNCTION("""COMPUTED_VALUE"""),"dunnkr01")</f>
        <v>dunnkr01</v>
      </c>
      <c r="B3256" s="161" t="str">
        <f>IFERROR(__xludf.DUMMYFUNCTION("""COMPUTED_VALUE"""),"Kris Dunn")</f>
        <v>Kris Dunn</v>
      </c>
      <c r="C3256" s="162" t="str">
        <f>IFERROR(__xludf.DUMMYFUNCTION("""COMPUTED_VALUE"""),"2019-20")</f>
        <v>2019-20</v>
      </c>
      <c r="D3256" s="163" t="str">
        <f>IFERROR(__xludf.DUMMYFUNCTION("""COMPUTED_VALUE"""),"CHI")</f>
        <v>CHI</v>
      </c>
      <c r="E3256" s="164" t="str">
        <f>IFERROR(__xludf.DUMMYFUNCTION("""COMPUTED_VALUE"""),"Secondary Ball Handler")</f>
        <v>Secondary Ball Handler</v>
      </c>
      <c r="F3256" s="164">
        <f>IFERROR(__xludf.DUMMYFUNCTION("""COMPUTED_VALUE"""),1268.62)</f>
        <v>1268.62</v>
      </c>
      <c r="G3256" s="163">
        <f>IFERROR(__xludf.DUMMYFUNCTION("""COMPUTED_VALUE"""),51.0)</f>
        <v>51</v>
      </c>
      <c r="H3256" s="163" t="str">
        <f>IFERROR(__xludf.DUMMYFUNCTION("""COMPUTED_VALUE"""),"PG")</f>
        <v>PG</v>
      </c>
      <c r="I3256" s="163">
        <f>IFERROR(__xludf.DUMMYFUNCTION("""COMPUTED_VALUE"""),25.0)</f>
        <v>25</v>
      </c>
      <c r="J3256" s="165">
        <f>IFERROR(__xludf.DUMMYFUNCTION("""COMPUTED_VALUE"""),1.42582400239263)</f>
        <v>1.425824002</v>
      </c>
      <c r="K3256" s="165">
        <f>IFERROR(__xludf.DUMMYFUNCTION("""COMPUTED_VALUE"""),-1.22839707169106)</f>
        <v>-1.228397072</v>
      </c>
      <c r="L3256" s="165">
        <f>IFERROR(__xludf.DUMMYFUNCTION("""COMPUTED_VALUE"""),2.65422107408369)</f>
        <v>2.654221074</v>
      </c>
      <c r="M3256" s="166">
        <f t="shared" si="2"/>
        <v>3.171850705</v>
      </c>
      <c r="N3256" s="167">
        <f t="shared" si="3"/>
        <v>24.87490196</v>
      </c>
      <c r="O3256" s="163">
        <f t="shared" ref="O3256:Q3256" si="3260">rank(I3256,I:I)</f>
        <v>1995</v>
      </c>
      <c r="P3256" s="163">
        <f t="shared" si="3260"/>
        <v>482</v>
      </c>
      <c r="Q3256" s="163">
        <f t="shared" si="3260"/>
        <v>3064</v>
      </c>
      <c r="R3256" s="163">
        <f>IFERROR(__xludf.DUMMYFUNCTION("RANK(M3256,filter(M:M,C:C=C3256))"),94.0)</f>
        <v>94</v>
      </c>
      <c r="S3256" s="161" t="b">
        <f t="shared" si="5"/>
        <v>0</v>
      </c>
      <c r="T3256" s="161" t="b">
        <f t="array" ref="T3256">index('Query Tool'!B:B,match(H3256,'Query Tool'!C:C,0))</f>
        <v>1</v>
      </c>
      <c r="U3256" s="161" t="b">
        <f t="array" ref="U3256">index('Query Tool'!B:B,match(C3256,'Query Tool'!C:C,0))</f>
        <v>0</v>
      </c>
      <c r="V3256" s="161" t="b">
        <f>F3256&gt;='Query Tool'!C$32</f>
        <v>1</v>
      </c>
      <c r="W3256" s="161" t="b">
        <f t="array" ref="W3256">index(Dropdowns!B:B,match(I3256,Dropdowns!A:A,0))</f>
        <v>1</v>
      </c>
      <c r="X3256" s="161" t="b">
        <f t="array" ref="X3256">index('Query Tool'!B:B,match(D3256,'Query Tool'!C:C,0))</f>
        <v>1</v>
      </c>
      <c r="Y3256" s="161" t="str">
        <f t="shared" si="6"/>
        <v>dunnkr01,2019-20</v>
      </c>
      <c r="Z3256" s="168" t="str">
        <f t="array" ref="Z3256">iferror(index(I:I,match($A3256&amp;","&amp;index('Year Conversion'!$A:$A,match($C3256,'Year Conversion'!$B:$B,0)),$Y:$Y,0))-I3256,"")</f>
        <v/>
      </c>
      <c r="AA3256" s="168" t="str">
        <f t="array" ref="AA3256">iferror(index(J:J,match($A3256&amp;","&amp;index('Year Conversion'!$A:$A,match($C3256,'Year Conversion'!$B:$B,0)),$Y:$Y,0))-J3256,"")</f>
        <v/>
      </c>
      <c r="AB3256" s="168" t="str">
        <f t="array" ref="AB3256">iferror(index(K:K,match($A3256&amp;","&amp;index('Year Conversion'!$A:$A,match($C3256,'Year Conversion'!$B:$B,0)),$Y:$Y,0))-K3256,"")</f>
        <v/>
      </c>
      <c r="AC3256" s="168" t="str">
        <f t="shared" si="7"/>
        <v>CHI,2019-20</v>
      </c>
    </row>
    <row r="3257">
      <c r="A3257" s="161" t="str">
        <f>IFERROR(__xludf.DUMMYFUNCTION("""COMPUTED_VALUE"""),"ellenhe01")</f>
        <v>ellenhe01</v>
      </c>
      <c r="B3257" s="161" t="str">
        <f>IFERROR(__xludf.DUMMYFUNCTION("""COMPUTED_VALUE"""),"Henry Ellenson")</f>
        <v>Henry Ellenson</v>
      </c>
      <c r="C3257" s="162" t="str">
        <f>IFERROR(__xludf.DUMMYFUNCTION("""COMPUTED_VALUE"""),"2019-20")</f>
        <v>2019-20</v>
      </c>
      <c r="D3257" s="163" t="str">
        <f>IFERROR(__xludf.DUMMYFUNCTION("""COMPUTED_VALUE"""),"BRK")</f>
        <v>BRK</v>
      </c>
      <c r="E3257" s="164" t="str">
        <f>IFERROR(__xludf.DUMMYFUNCTION("""COMPUTED_VALUE"""),"Stretch Big")</f>
        <v>Stretch Big</v>
      </c>
      <c r="F3257" s="164">
        <f>IFERROR(__xludf.DUMMYFUNCTION("""COMPUTED_VALUE"""),15.1166666666667)</f>
        <v>15.11666667</v>
      </c>
      <c r="G3257" s="163">
        <f>IFERROR(__xludf.DUMMYFUNCTION("""COMPUTED_VALUE"""),5.0)</f>
        <v>5</v>
      </c>
      <c r="H3257" s="163" t="str">
        <f>IFERROR(__xludf.DUMMYFUNCTION("""COMPUTED_VALUE"""),"C")</f>
        <v>C</v>
      </c>
      <c r="I3257" s="163">
        <f>IFERROR(__xludf.DUMMYFUNCTION("""COMPUTED_VALUE"""),23.0)</f>
        <v>23</v>
      </c>
      <c r="J3257" s="165">
        <f>IFERROR(__xludf.DUMMYFUNCTION("""COMPUTED_VALUE"""),-0.10555838971802)</f>
        <v>-0.1055583897</v>
      </c>
      <c r="K3257" s="165">
        <f>IFERROR(__xludf.DUMMYFUNCTION("""COMPUTED_VALUE"""),-0.202157068681343)</f>
        <v>-0.2021570687</v>
      </c>
      <c r="L3257" s="165">
        <f>IFERROR(__xludf.DUMMYFUNCTION("""COMPUTED_VALUE"""),0.0965986789633227)</f>
        <v>0.09659867896</v>
      </c>
      <c r="M3257" s="166">
        <f t="shared" si="2"/>
        <v>0.02222907915</v>
      </c>
      <c r="N3257" s="167">
        <f t="shared" si="3"/>
        <v>3.023333333</v>
      </c>
      <c r="O3257" s="163">
        <f t="shared" ref="O3257:Q3257" si="3261">rank(I3257,I:I)</f>
        <v>2765</v>
      </c>
      <c r="P3257" s="163">
        <f t="shared" si="3261"/>
        <v>1389</v>
      </c>
      <c r="Q3257" s="163">
        <f t="shared" si="3261"/>
        <v>1564</v>
      </c>
      <c r="R3257" s="163">
        <f>IFERROR(__xludf.DUMMYFUNCTION("RANK(M3257,filter(M:M,C:C=C3257))"),460.0)</f>
        <v>460</v>
      </c>
      <c r="S3257" s="161" t="b">
        <f t="shared" si="5"/>
        <v>0</v>
      </c>
      <c r="T3257" s="161" t="b">
        <f t="array" ref="T3257">index('Query Tool'!B:B,match(H3257,'Query Tool'!C:C,0))</f>
        <v>1</v>
      </c>
      <c r="U3257" s="161" t="b">
        <f t="array" ref="U3257">index('Query Tool'!B:B,match(C3257,'Query Tool'!C:C,0))</f>
        <v>0</v>
      </c>
      <c r="V3257" s="161" t="b">
        <f>F3257&gt;='Query Tool'!C$32</f>
        <v>0</v>
      </c>
      <c r="W3257" s="161" t="b">
        <f t="array" ref="W3257">index(Dropdowns!B:B,match(I3257,Dropdowns!A:A,0))</f>
        <v>1</v>
      </c>
      <c r="X3257" s="161" t="b">
        <f t="array" ref="X3257">index('Query Tool'!B:B,match(D3257,'Query Tool'!C:C,0))</f>
        <v>1</v>
      </c>
      <c r="Y3257" s="161" t="str">
        <f t="shared" si="6"/>
        <v>ellenhe01,2019-20</v>
      </c>
      <c r="Z3257" s="168" t="str">
        <f t="array" ref="Z3257">iferror(index(I:I,match($A3257&amp;","&amp;index('Year Conversion'!$A:$A,match($C3257,'Year Conversion'!$B:$B,0)),$Y:$Y,0))-I3257,"")</f>
        <v/>
      </c>
      <c r="AA3257" s="168" t="str">
        <f t="array" ref="AA3257">iferror(index(J:J,match($A3257&amp;","&amp;index('Year Conversion'!$A:$A,match($C3257,'Year Conversion'!$B:$B,0)),$Y:$Y,0))-J3257,"")</f>
        <v/>
      </c>
      <c r="AB3257" s="168" t="str">
        <f t="array" ref="AB3257">iferror(index(K:K,match($A3257&amp;","&amp;index('Year Conversion'!$A:$A,match($C3257,'Year Conversion'!$B:$B,0)),$Y:$Y,0))-K3257,"")</f>
        <v/>
      </c>
      <c r="AC3257" s="168" t="str">
        <f t="shared" si="7"/>
        <v>BRK,2019-20</v>
      </c>
    </row>
    <row r="3258">
      <c r="A3258" s="161" t="str">
        <f>IFERROR(__xludf.DUMMYFUNCTION("""COMPUTED_VALUE"""),"hieldbu01")</f>
        <v>hieldbu01</v>
      </c>
      <c r="B3258" s="161" t="str">
        <f>IFERROR(__xludf.DUMMYFUNCTION("""COMPUTED_VALUE"""),"Buddy Hield")</f>
        <v>Buddy Hield</v>
      </c>
      <c r="C3258" s="162" t="str">
        <f>IFERROR(__xludf.DUMMYFUNCTION("""COMPUTED_VALUE"""),"2019-20")</f>
        <v>2019-20</v>
      </c>
      <c r="D3258" s="163" t="str">
        <f>IFERROR(__xludf.DUMMYFUNCTION("""COMPUTED_VALUE"""),"SAC")</f>
        <v>SAC</v>
      </c>
      <c r="E3258" s="164" t="str">
        <f>IFERROR(__xludf.DUMMYFUNCTION("""COMPUTED_VALUE"""),"Secondary Ball Handler")</f>
        <v>Secondary Ball Handler</v>
      </c>
      <c r="F3258" s="164">
        <f>IFERROR(__xludf.DUMMYFUNCTION("""COMPUTED_VALUE"""),2216.06166666667)</f>
        <v>2216.061667</v>
      </c>
      <c r="G3258" s="163">
        <f>IFERROR(__xludf.DUMMYFUNCTION("""COMPUTED_VALUE"""),72.0)</f>
        <v>72</v>
      </c>
      <c r="H3258" s="163" t="str">
        <f>IFERROR(__xludf.DUMMYFUNCTION("""COMPUTED_VALUE"""),"SG")</f>
        <v>SG</v>
      </c>
      <c r="I3258" s="163">
        <f>IFERROR(__xludf.DUMMYFUNCTION("""COMPUTED_VALUE"""),27.0)</f>
        <v>27</v>
      </c>
      <c r="J3258" s="165">
        <f>IFERROR(__xludf.DUMMYFUNCTION("""COMPUTED_VALUE"""),-0.581434875294656)</f>
        <v>-0.5814348753</v>
      </c>
      <c r="K3258" s="165">
        <f>IFERROR(__xludf.DUMMYFUNCTION("""COMPUTED_VALUE"""),1.32837201886281)</f>
        <v>1.328372019</v>
      </c>
      <c r="L3258" s="165">
        <f>IFERROR(__xludf.DUMMYFUNCTION("""COMPUTED_VALUE"""),-1.90980689415747)</f>
        <v>-1.909806894</v>
      </c>
      <c r="M3258" s="166">
        <f t="shared" si="2"/>
        <v>2.548145572</v>
      </c>
      <c r="N3258" s="167">
        <f t="shared" si="3"/>
        <v>30.77863426</v>
      </c>
      <c r="O3258" s="163">
        <f t="shared" ref="O3258:Q3258" si="3262">rank(I3258,I:I)</f>
        <v>1366</v>
      </c>
      <c r="P3258" s="163">
        <f t="shared" si="3262"/>
        <v>1965</v>
      </c>
      <c r="Q3258" s="163">
        <f t="shared" si="3262"/>
        <v>375</v>
      </c>
      <c r="R3258" s="163">
        <f>IFERROR(__xludf.DUMMYFUNCTION("RANK(M3258,filter(M:M,C:C=C3258))"),121.0)</f>
        <v>121</v>
      </c>
      <c r="S3258" s="161" t="b">
        <f t="shared" si="5"/>
        <v>0</v>
      </c>
      <c r="T3258" s="161" t="b">
        <f t="array" ref="T3258">index('Query Tool'!B:B,match(H3258,'Query Tool'!C:C,0))</f>
        <v>1</v>
      </c>
      <c r="U3258" s="161" t="b">
        <f t="array" ref="U3258">index('Query Tool'!B:B,match(C3258,'Query Tool'!C:C,0))</f>
        <v>0</v>
      </c>
      <c r="V3258" s="161" t="b">
        <f>F3258&gt;='Query Tool'!C$32</f>
        <v>1</v>
      </c>
      <c r="W3258" s="161" t="b">
        <f t="array" ref="W3258">index(Dropdowns!B:B,match(I3258,Dropdowns!A:A,0))</f>
        <v>1</v>
      </c>
      <c r="X3258" s="161" t="b">
        <f t="array" ref="X3258">index('Query Tool'!B:B,match(D3258,'Query Tool'!C:C,0))</f>
        <v>1</v>
      </c>
      <c r="Y3258" s="161" t="str">
        <f t="shared" si="6"/>
        <v>hieldbu01,2019-20</v>
      </c>
      <c r="Z3258" s="168" t="str">
        <f t="array" ref="Z3258">iferror(index(I:I,match($A3258&amp;","&amp;index('Year Conversion'!$A:$A,match($C3258,'Year Conversion'!$B:$B,0)),$Y:$Y,0))-I3258,"")</f>
        <v/>
      </c>
      <c r="AA3258" s="168" t="str">
        <f t="array" ref="AA3258">iferror(index(J:J,match($A3258&amp;","&amp;index('Year Conversion'!$A:$A,match($C3258,'Year Conversion'!$B:$B,0)),$Y:$Y,0))-J3258,"")</f>
        <v/>
      </c>
      <c r="AB3258" s="168" t="str">
        <f t="array" ref="AB3258">iferror(index(K:K,match($A3258&amp;","&amp;index('Year Conversion'!$A:$A,match($C3258,'Year Conversion'!$B:$B,0)),$Y:$Y,0))-K3258,"")</f>
        <v/>
      </c>
      <c r="AC3258" s="168" t="str">
        <f t="shared" si="7"/>
        <v>SAC,2019-20</v>
      </c>
    </row>
    <row r="3259">
      <c r="A3259" s="161" t="str">
        <f>IFERROR(__xludf.DUMMYFUNCTION("""COMPUTED_VALUE"""),"ingrabr01")</f>
        <v>ingrabr01</v>
      </c>
      <c r="B3259" s="161" t="str">
        <f>IFERROR(__xludf.DUMMYFUNCTION("""COMPUTED_VALUE"""),"Brandon Ingram")</f>
        <v>Brandon Ingram</v>
      </c>
      <c r="C3259" s="162" t="str">
        <f>IFERROR(__xludf.DUMMYFUNCTION("""COMPUTED_VALUE"""),"2019-20")</f>
        <v>2019-20</v>
      </c>
      <c r="D3259" s="163" t="str">
        <f>IFERROR(__xludf.DUMMYFUNCTION("""COMPUTED_VALUE"""),"NOP")</f>
        <v>NOP</v>
      </c>
      <c r="E3259" s="164" t="str">
        <f>IFERROR(__xludf.DUMMYFUNCTION("""COMPUTED_VALUE"""),"Shot Creator")</f>
        <v>Shot Creator</v>
      </c>
      <c r="F3259" s="164">
        <f>IFERROR(__xludf.DUMMYFUNCTION("""COMPUTED_VALUE"""),2103.44)</f>
        <v>2103.44</v>
      </c>
      <c r="G3259" s="163">
        <f>IFERROR(__xludf.DUMMYFUNCTION("""COMPUTED_VALUE"""),62.0)</f>
        <v>62</v>
      </c>
      <c r="H3259" s="163" t="str">
        <f>IFERROR(__xludf.DUMMYFUNCTION("""COMPUTED_VALUE"""),"PF")</f>
        <v>PF</v>
      </c>
      <c r="I3259" s="163">
        <f>IFERROR(__xludf.DUMMYFUNCTION("""COMPUTED_VALUE"""),22.0)</f>
        <v>22</v>
      </c>
      <c r="J3259" s="165">
        <f>IFERROR(__xludf.DUMMYFUNCTION("""COMPUTED_VALUE"""),0.301009925028014)</f>
        <v>0.301009925</v>
      </c>
      <c r="K3259" s="165">
        <f>IFERROR(__xludf.DUMMYFUNCTION("""COMPUTED_VALUE"""),1.13428271085422)</f>
        <v>1.134282711</v>
      </c>
      <c r="L3259" s="165">
        <f>IFERROR(__xludf.DUMMYFUNCTION("""COMPUTED_VALUE"""),-0.833272785826208)</f>
        <v>-0.8332727858</v>
      </c>
      <c r="M3259" s="166">
        <f t="shared" si="2"/>
        <v>3.669617152</v>
      </c>
      <c r="N3259" s="167">
        <f t="shared" si="3"/>
        <v>33.92645161</v>
      </c>
      <c r="O3259" s="163">
        <f t="shared" ref="O3259:Q3259" si="3263">rank(I3259,I:I)</f>
        <v>3178</v>
      </c>
      <c r="P3259" s="163">
        <f t="shared" si="3263"/>
        <v>1021</v>
      </c>
      <c r="Q3259" s="163">
        <f t="shared" si="3263"/>
        <v>441</v>
      </c>
      <c r="R3259" s="163">
        <f>IFERROR(__xludf.DUMMYFUNCTION("RANK(M3259,filter(M:M,C:C=C3259))"),79.0)</f>
        <v>79</v>
      </c>
      <c r="S3259" s="161" t="b">
        <f t="shared" si="5"/>
        <v>0</v>
      </c>
      <c r="T3259" s="161" t="b">
        <f t="array" ref="T3259">index('Query Tool'!B:B,match(H3259,'Query Tool'!C:C,0))</f>
        <v>1</v>
      </c>
      <c r="U3259" s="161" t="b">
        <f t="array" ref="U3259">index('Query Tool'!B:B,match(C3259,'Query Tool'!C:C,0))</f>
        <v>0</v>
      </c>
      <c r="V3259" s="161" t="b">
        <f>F3259&gt;='Query Tool'!C$32</f>
        <v>1</v>
      </c>
      <c r="W3259" s="161" t="b">
        <f t="array" ref="W3259">index(Dropdowns!B:B,match(I3259,Dropdowns!A:A,0))</f>
        <v>1</v>
      </c>
      <c r="X3259" s="161" t="b">
        <f t="array" ref="X3259">index('Query Tool'!B:B,match(D3259,'Query Tool'!C:C,0))</f>
        <v>1</v>
      </c>
      <c r="Y3259" s="161" t="str">
        <f t="shared" si="6"/>
        <v>ingrabr01,2019-20</v>
      </c>
      <c r="Z3259" s="168" t="str">
        <f t="array" ref="Z3259">iferror(index(I:I,match($A3259&amp;","&amp;index('Year Conversion'!$A:$A,match($C3259,'Year Conversion'!$B:$B,0)),$Y:$Y,0))-I3259,"")</f>
        <v/>
      </c>
      <c r="AA3259" s="168" t="str">
        <f t="array" ref="AA3259">iferror(index(J:J,match($A3259&amp;","&amp;index('Year Conversion'!$A:$A,match($C3259,'Year Conversion'!$B:$B,0)),$Y:$Y,0))-J3259,"")</f>
        <v/>
      </c>
      <c r="AB3259" s="168" t="str">
        <f t="array" ref="AB3259">iferror(index(K:K,match($A3259&amp;","&amp;index('Year Conversion'!$A:$A,match($C3259,'Year Conversion'!$B:$B,0)),$Y:$Y,0))-K3259,"")</f>
        <v/>
      </c>
      <c r="AC3259" s="168" t="str">
        <f t="shared" si="7"/>
        <v>NOP,2019-20</v>
      </c>
    </row>
    <row r="3260">
      <c r="A3260" s="161" t="str">
        <f>IFERROR(__xludf.DUMMYFUNCTION("""COMPUTED_VALUE"""),"jonesda03")</f>
        <v>jonesda03</v>
      </c>
      <c r="B3260" s="161" t="str">
        <f>IFERROR(__xludf.DUMMYFUNCTION("""COMPUTED_VALUE"""),"Damian Jones")</f>
        <v>Damian Jones</v>
      </c>
      <c r="C3260" s="162" t="str">
        <f>IFERROR(__xludf.DUMMYFUNCTION("""COMPUTED_VALUE"""),"2019-20")</f>
        <v>2019-20</v>
      </c>
      <c r="D3260" s="163" t="str">
        <f>IFERROR(__xludf.DUMMYFUNCTION("""COMPUTED_VALUE"""),"ATL")</f>
        <v>ATL</v>
      </c>
      <c r="E3260" s="164" t="str">
        <f>IFERROR(__xludf.DUMMYFUNCTION("""COMPUTED_VALUE"""),"Roll + Cut Big")</f>
        <v>Roll + Cut Big</v>
      </c>
      <c r="F3260" s="164">
        <f>IFERROR(__xludf.DUMMYFUNCTION("""COMPUTED_VALUE"""),886.941666666667)</f>
        <v>886.9416667</v>
      </c>
      <c r="G3260" s="163">
        <f>IFERROR(__xludf.DUMMYFUNCTION("""COMPUTED_VALUE"""),55.0)</f>
        <v>55</v>
      </c>
      <c r="H3260" s="163" t="str">
        <f>IFERROR(__xludf.DUMMYFUNCTION("""COMPUTED_VALUE"""),"C")</f>
        <v>C</v>
      </c>
      <c r="I3260" s="163">
        <f>IFERROR(__xludf.DUMMYFUNCTION("""COMPUTED_VALUE"""),24.0)</f>
        <v>24</v>
      </c>
      <c r="J3260" s="165">
        <f>IFERROR(__xludf.DUMMYFUNCTION("""COMPUTED_VALUE"""),-1.6295676618301)</f>
        <v>-1.629567662</v>
      </c>
      <c r="K3260" s="165">
        <f>IFERROR(__xludf.DUMMYFUNCTION("""COMPUTED_VALUE"""),-1.60877457347116)</f>
        <v>-1.608774573</v>
      </c>
      <c r="L3260" s="165">
        <f>IFERROR(__xludf.DUMMYFUNCTION("""COMPUTED_VALUE"""),-0.0207930883589466)</f>
        <v>-0.02079308836</v>
      </c>
      <c r="M3260" s="166">
        <f t="shared" si="2"/>
        <v>0.3965194673</v>
      </c>
      <c r="N3260" s="167">
        <f t="shared" si="3"/>
        <v>16.12621212</v>
      </c>
      <c r="O3260" s="163">
        <f t="shared" ref="O3260:Q3260" si="3264">rank(I3260,I:I)</f>
        <v>2361</v>
      </c>
      <c r="P3260" s="163">
        <f t="shared" si="3264"/>
        <v>3174</v>
      </c>
      <c r="Q3260" s="163">
        <f t="shared" si="3264"/>
        <v>3451</v>
      </c>
      <c r="R3260" s="163">
        <f>IFERROR(__xludf.DUMMYFUNCTION("RANK(M3260,filter(M:M,C:C=C3260))"),273.0)</f>
        <v>273</v>
      </c>
      <c r="S3260" s="161" t="b">
        <f t="shared" si="5"/>
        <v>0</v>
      </c>
      <c r="T3260" s="161" t="b">
        <f t="array" ref="T3260">index('Query Tool'!B:B,match(H3260,'Query Tool'!C:C,0))</f>
        <v>1</v>
      </c>
      <c r="U3260" s="161" t="b">
        <f t="array" ref="U3260">index('Query Tool'!B:B,match(C3260,'Query Tool'!C:C,0))</f>
        <v>0</v>
      </c>
      <c r="V3260" s="161" t="b">
        <f>F3260&gt;='Query Tool'!C$32</f>
        <v>1</v>
      </c>
      <c r="W3260" s="161" t="b">
        <f t="array" ref="W3260">index(Dropdowns!B:B,match(I3260,Dropdowns!A:A,0))</f>
        <v>1</v>
      </c>
      <c r="X3260" s="161" t="b">
        <f t="array" ref="X3260">index('Query Tool'!B:B,match(D3260,'Query Tool'!C:C,0))</f>
        <v>1</v>
      </c>
      <c r="Y3260" s="161" t="str">
        <f t="shared" si="6"/>
        <v>jonesda03,2019-20</v>
      </c>
      <c r="Z3260" s="168" t="str">
        <f t="array" ref="Z3260">iferror(index(I:I,match($A3260&amp;","&amp;index('Year Conversion'!$A:$A,match($C3260,'Year Conversion'!$B:$B,0)),$Y:$Y,0))-I3260,"")</f>
        <v/>
      </c>
      <c r="AA3260" s="168" t="str">
        <f t="array" ref="AA3260">iferror(index(J:J,match($A3260&amp;","&amp;index('Year Conversion'!$A:$A,match($C3260,'Year Conversion'!$B:$B,0)),$Y:$Y,0))-J3260,"")</f>
        <v/>
      </c>
      <c r="AB3260" s="168" t="str">
        <f t="array" ref="AB3260">iferror(index(K:K,match($A3260&amp;","&amp;index('Year Conversion'!$A:$A,match($C3260,'Year Conversion'!$B:$B,0)),$Y:$Y,0))-K3260,"")</f>
        <v/>
      </c>
      <c r="AC3260" s="168" t="str">
        <f t="shared" si="7"/>
        <v>ATL,2019-20</v>
      </c>
    </row>
    <row r="3261">
      <c r="A3261" s="161" t="str">
        <f>IFERROR(__xludf.DUMMYFUNCTION("""COMPUTED_VALUE"""),"labissk01")</f>
        <v>labissk01</v>
      </c>
      <c r="B3261" s="161" t="str">
        <f>IFERROR(__xludf.DUMMYFUNCTION("""COMPUTED_VALUE"""),"Skal Labissiere")</f>
        <v>Skal Labissiere</v>
      </c>
      <c r="C3261" s="162" t="str">
        <f>IFERROR(__xludf.DUMMYFUNCTION("""COMPUTED_VALUE"""),"2019-20")</f>
        <v>2019-20</v>
      </c>
      <c r="D3261" s="163" t="str">
        <f>IFERROR(__xludf.DUMMYFUNCTION("""COMPUTED_VALUE"""),"POR")</f>
        <v>POR</v>
      </c>
      <c r="E3261" s="164" t="str">
        <f>IFERROR(__xludf.DUMMYFUNCTION("""COMPUTED_VALUE"""),"Roll + Cut Big")</f>
        <v>Roll + Cut Big</v>
      </c>
      <c r="F3261" s="164">
        <f>IFERROR(__xludf.DUMMYFUNCTION("""COMPUTED_VALUE"""),566.79)</f>
        <v>566.79</v>
      </c>
      <c r="G3261" s="163">
        <f>IFERROR(__xludf.DUMMYFUNCTION("""COMPUTED_VALUE"""),33.0)</f>
        <v>33</v>
      </c>
      <c r="H3261" s="163" t="str">
        <f>IFERROR(__xludf.DUMMYFUNCTION("""COMPUTED_VALUE"""),"C")</f>
        <v>C</v>
      </c>
      <c r="I3261" s="163">
        <f>IFERROR(__xludf.DUMMYFUNCTION("""COMPUTED_VALUE"""),23.0)</f>
        <v>23</v>
      </c>
      <c r="J3261" s="165">
        <f>IFERROR(__xludf.DUMMYFUNCTION("""COMPUTED_VALUE"""),-0.766361782984175)</f>
        <v>-0.766361783</v>
      </c>
      <c r="K3261" s="165">
        <f>IFERROR(__xludf.DUMMYFUNCTION("""COMPUTED_VALUE"""),-1.04489301434401)</f>
        <v>-1.044893014</v>
      </c>
      <c r="L3261" s="165">
        <f>IFERROR(__xludf.DUMMYFUNCTION("""COMPUTED_VALUE"""),0.278531231359837)</f>
        <v>0.2785312314</v>
      </c>
      <c r="M3261" s="166">
        <f t="shared" si="2"/>
        <v>0.5811946785</v>
      </c>
      <c r="N3261" s="167">
        <f t="shared" si="3"/>
        <v>17.17545455</v>
      </c>
      <c r="O3261" s="163">
        <f t="shared" ref="O3261:Q3261" si="3265">rank(I3261,I:I)</f>
        <v>2765</v>
      </c>
      <c r="P3261" s="163">
        <f t="shared" si="3265"/>
        <v>2232</v>
      </c>
      <c r="Q3261" s="163">
        <f t="shared" si="3265"/>
        <v>2864</v>
      </c>
      <c r="R3261" s="163">
        <f>IFERROR(__xludf.DUMMYFUNCTION("RANK(M3261,filter(M:M,C:C=C3261))"),244.0)</f>
        <v>244</v>
      </c>
      <c r="S3261" s="161" t="b">
        <f t="shared" si="5"/>
        <v>0</v>
      </c>
      <c r="T3261" s="161" t="b">
        <f t="array" ref="T3261">index('Query Tool'!B:B,match(H3261,'Query Tool'!C:C,0))</f>
        <v>1</v>
      </c>
      <c r="U3261" s="161" t="b">
        <f t="array" ref="U3261">index('Query Tool'!B:B,match(C3261,'Query Tool'!C:C,0))</f>
        <v>0</v>
      </c>
      <c r="V3261" s="161" t="b">
        <f>F3261&gt;='Query Tool'!C$32</f>
        <v>1</v>
      </c>
      <c r="W3261" s="161" t="b">
        <f t="array" ref="W3261">index(Dropdowns!B:B,match(I3261,Dropdowns!A:A,0))</f>
        <v>1</v>
      </c>
      <c r="X3261" s="161" t="b">
        <f t="array" ref="X3261">index('Query Tool'!B:B,match(D3261,'Query Tool'!C:C,0))</f>
        <v>1</v>
      </c>
      <c r="Y3261" s="161" t="str">
        <f t="shared" si="6"/>
        <v>labissk01,2019-20</v>
      </c>
      <c r="Z3261" s="168" t="str">
        <f t="array" ref="Z3261">iferror(index(I:I,match($A3261&amp;","&amp;index('Year Conversion'!$A:$A,match($C3261,'Year Conversion'!$B:$B,0)),$Y:$Y,0))-I3261,"")</f>
        <v/>
      </c>
      <c r="AA3261" s="168" t="str">
        <f t="array" ref="AA3261">iferror(index(J:J,match($A3261&amp;","&amp;index('Year Conversion'!$A:$A,match($C3261,'Year Conversion'!$B:$B,0)),$Y:$Y,0))-J3261,"")</f>
        <v/>
      </c>
      <c r="AB3261" s="168" t="str">
        <f t="array" ref="AB3261">iferror(index(K:K,match($A3261&amp;","&amp;index('Year Conversion'!$A:$A,match($C3261,'Year Conversion'!$B:$B,0)),$Y:$Y,0))-K3261,"")</f>
        <v/>
      </c>
      <c r="AC3261" s="168" t="str">
        <f t="shared" si="7"/>
        <v>POR,2019-20</v>
      </c>
    </row>
    <row r="3262">
      <c r="A3262" s="161" t="str">
        <f>IFERROR(__xludf.DUMMYFUNCTION("""COMPUTED_VALUE"""),"leverca01")</f>
        <v>leverca01</v>
      </c>
      <c r="B3262" s="161" t="str">
        <f>IFERROR(__xludf.DUMMYFUNCTION("""COMPUTED_VALUE"""),"Caris LeVert")</f>
        <v>Caris LeVert</v>
      </c>
      <c r="C3262" s="162" t="str">
        <f>IFERROR(__xludf.DUMMYFUNCTION("""COMPUTED_VALUE"""),"2019-20")</f>
        <v>2019-20</v>
      </c>
      <c r="D3262" s="163" t="str">
        <f>IFERROR(__xludf.DUMMYFUNCTION("""COMPUTED_VALUE"""),"BRK")</f>
        <v>BRK</v>
      </c>
      <c r="E3262" s="164" t="str">
        <f>IFERROR(__xludf.DUMMYFUNCTION("""COMPUTED_VALUE"""),"Shot Creator")</f>
        <v>Shot Creator</v>
      </c>
      <c r="F3262" s="164">
        <f>IFERROR(__xludf.DUMMYFUNCTION("""COMPUTED_VALUE"""),1329.84)</f>
        <v>1329.84</v>
      </c>
      <c r="G3262" s="163">
        <f>IFERROR(__xludf.DUMMYFUNCTION("""COMPUTED_VALUE"""),45.0)</f>
        <v>45</v>
      </c>
      <c r="H3262" s="163" t="str">
        <f>IFERROR(__xludf.DUMMYFUNCTION("""COMPUTED_VALUE"""),"SG")</f>
        <v>SG</v>
      </c>
      <c r="I3262" s="163">
        <f>IFERROR(__xludf.DUMMYFUNCTION("""COMPUTED_VALUE"""),25.0)</f>
        <v>25</v>
      </c>
      <c r="J3262" s="165">
        <f>IFERROR(__xludf.DUMMYFUNCTION("""COMPUTED_VALUE"""),0.238741591655053)</f>
        <v>0.2387415917</v>
      </c>
      <c r="K3262" s="165">
        <f>IFERROR(__xludf.DUMMYFUNCTION("""COMPUTED_VALUE"""),1.38952418609576)</f>
        <v>1.389524186</v>
      </c>
      <c r="L3262" s="165">
        <f>IFERROR(__xludf.DUMMYFUNCTION("""COMPUTED_VALUE"""),-1.15078259444071)</f>
        <v>-1.150782594</v>
      </c>
      <c r="M3262" s="166">
        <f t="shared" si="2"/>
        <v>2.264200309</v>
      </c>
      <c r="N3262" s="167">
        <f t="shared" si="3"/>
        <v>29.552</v>
      </c>
      <c r="O3262" s="163">
        <f t="shared" ref="O3262:Q3262" si="3266">rank(I3262,I:I)</f>
        <v>1995</v>
      </c>
      <c r="P3262" s="163">
        <f t="shared" si="3266"/>
        <v>1060</v>
      </c>
      <c r="Q3262" s="163">
        <f t="shared" si="3266"/>
        <v>358</v>
      </c>
      <c r="R3262" s="163">
        <f>IFERROR(__xludf.DUMMYFUNCTION("RANK(M3262,filter(M:M,C:C=C3262))"),138.0)</f>
        <v>138</v>
      </c>
      <c r="S3262" s="161" t="b">
        <f t="shared" si="5"/>
        <v>0</v>
      </c>
      <c r="T3262" s="161" t="b">
        <f t="array" ref="T3262">index('Query Tool'!B:B,match(H3262,'Query Tool'!C:C,0))</f>
        <v>1</v>
      </c>
      <c r="U3262" s="161" t="b">
        <f t="array" ref="U3262">index('Query Tool'!B:B,match(C3262,'Query Tool'!C:C,0))</f>
        <v>0</v>
      </c>
      <c r="V3262" s="161" t="b">
        <f>F3262&gt;='Query Tool'!C$32</f>
        <v>1</v>
      </c>
      <c r="W3262" s="161" t="b">
        <f t="array" ref="W3262">index(Dropdowns!B:B,match(I3262,Dropdowns!A:A,0))</f>
        <v>1</v>
      </c>
      <c r="X3262" s="161" t="b">
        <f t="array" ref="X3262">index('Query Tool'!B:B,match(D3262,'Query Tool'!C:C,0))</f>
        <v>1</v>
      </c>
      <c r="Y3262" s="161" t="str">
        <f t="shared" si="6"/>
        <v>leverca01,2019-20</v>
      </c>
      <c r="Z3262" s="168" t="str">
        <f t="array" ref="Z3262">iferror(index(I:I,match($A3262&amp;","&amp;index('Year Conversion'!$A:$A,match($C3262,'Year Conversion'!$B:$B,0)),$Y:$Y,0))-I3262,"")</f>
        <v/>
      </c>
      <c r="AA3262" s="168" t="str">
        <f t="array" ref="AA3262">iferror(index(J:J,match($A3262&amp;","&amp;index('Year Conversion'!$A:$A,match($C3262,'Year Conversion'!$B:$B,0)),$Y:$Y,0))-J3262,"")</f>
        <v/>
      </c>
      <c r="AB3262" s="168" t="str">
        <f t="array" ref="AB3262">iferror(index(K:K,match($A3262&amp;","&amp;index('Year Conversion'!$A:$A,match($C3262,'Year Conversion'!$B:$B,0)),$Y:$Y,0))-K3262,"")</f>
        <v/>
      </c>
      <c r="AC3262" s="168" t="str">
        <f t="shared" si="7"/>
        <v>BRK,2019-20</v>
      </c>
    </row>
    <row r="3263">
      <c r="A3263" s="161" t="str">
        <f>IFERROR(__xludf.DUMMYFUNCTION("""COMPUTED_VALUE"""),"makerth01")</f>
        <v>makerth01</v>
      </c>
      <c r="B3263" s="161" t="str">
        <f>IFERROR(__xludf.DUMMYFUNCTION("""COMPUTED_VALUE"""),"Thon Maker")</f>
        <v>Thon Maker</v>
      </c>
      <c r="C3263" s="162" t="str">
        <f>IFERROR(__xludf.DUMMYFUNCTION("""COMPUTED_VALUE"""),"2019-20")</f>
        <v>2019-20</v>
      </c>
      <c r="D3263" s="163" t="str">
        <f>IFERROR(__xludf.DUMMYFUNCTION("""COMPUTED_VALUE"""),"DET")</f>
        <v>DET</v>
      </c>
      <c r="E3263" s="164" t="str">
        <f>IFERROR(__xludf.DUMMYFUNCTION("""COMPUTED_VALUE"""),"Stretch Big")</f>
        <v>Stretch Big</v>
      </c>
      <c r="F3263" s="164">
        <f>IFERROR(__xludf.DUMMYFUNCTION("""COMPUTED_VALUE"""),776.095)</f>
        <v>776.095</v>
      </c>
      <c r="G3263" s="163">
        <f>IFERROR(__xludf.DUMMYFUNCTION("""COMPUTED_VALUE"""),60.0)</f>
        <v>60</v>
      </c>
      <c r="H3263" s="163" t="str">
        <f>IFERROR(__xludf.DUMMYFUNCTION("""COMPUTED_VALUE"""),"C")</f>
        <v>C</v>
      </c>
      <c r="I3263" s="163">
        <f>IFERROR(__xludf.DUMMYFUNCTION("""COMPUTED_VALUE"""),22.0)</f>
        <v>22</v>
      </c>
      <c r="J3263" s="165">
        <f>IFERROR(__xludf.DUMMYFUNCTION("""COMPUTED_VALUE"""),-1.26553316700163)</f>
        <v>-1.265533167</v>
      </c>
      <c r="K3263" s="165">
        <f>IFERROR(__xludf.DUMMYFUNCTION("""COMPUTED_VALUE"""),-1.44753514483275)</f>
        <v>-1.447535145</v>
      </c>
      <c r="L3263" s="165">
        <f>IFERROR(__xludf.DUMMYFUNCTION("""COMPUTED_VALUE"""),0.182001977831121)</f>
        <v>0.1820019778</v>
      </c>
      <c r="M3263" s="166">
        <f t="shared" si="2"/>
        <v>0.5357774431</v>
      </c>
      <c r="N3263" s="167">
        <f t="shared" si="3"/>
        <v>12.93491667</v>
      </c>
      <c r="O3263" s="163">
        <f t="shared" ref="O3263:Q3263" si="3267">rank(I3263,I:I)</f>
        <v>3178</v>
      </c>
      <c r="P3263" s="163">
        <f t="shared" si="3267"/>
        <v>2830</v>
      </c>
      <c r="Q3263" s="163">
        <f t="shared" si="3267"/>
        <v>3295</v>
      </c>
      <c r="R3263" s="163">
        <f>IFERROR(__xludf.DUMMYFUNCTION("RANK(M3263,filter(M:M,C:C=C3263))"),255.0)</f>
        <v>255</v>
      </c>
      <c r="S3263" s="161" t="b">
        <f t="shared" si="5"/>
        <v>0</v>
      </c>
      <c r="T3263" s="161" t="b">
        <f t="array" ref="T3263">index('Query Tool'!B:B,match(H3263,'Query Tool'!C:C,0))</f>
        <v>1</v>
      </c>
      <c r="U3263" s="161" t="b">
        <f t="array" ref="U3263">index('Query Tool'!B:B,match(C3263,'Query Tool'!C:C,0))</f>
        <v>0</v>
      </c>
      <c r="V3263" s="161" t="b">
        <f>F3263&gt;='Query Tool'!C$32</f>
        <v>1</v>
      </c>
      <c r="W3263" s="161" t="b">
        <f t="array" ref="W3263">index(Dropdowns!B:B,match(I3263,Dropdowns!A:A,0))</f>
        <v>1</v>
      </c>
      <c r="X3263" s="161" t="b">
        <f t="array" ref="X3263">index('Query Tool'!B:B,match(D3263,'Query Tool'!C:C,0))</f>
        <v>1</v>
      </c>
      <c r="Y3263" s="161" t="str">
        <f t="shared" si="6"/>
        <v>makerth01,2019-20</v>
      </c>
      <c r="Z3263" s="168" t="str">
        <f t="array" ref="Z3263">iferror(index(I:I,match($A3263&amp;","&amp;index('Year Conversion'!$A:$A,match($C3263,'Year Conversion'!$B:$B,0)),$Y:$Y,0))-I3263,"")</f>
        <v/>
      </c>
      <c r="AA3263" s="168" t="str">
        <f t="array" ref="AA3263">iferror(index(J:J,match($A3263&amp;","&amp;index('Year Conversion'!$A:$A,match($C3263,'Year Conversion'!$B:$B,0)),$Y:$Y,0))-J3263,"")</f>
        <v/>
      </c>
      <c r="AB3263" s="168" t="str">
        <f t="array" ref="AB3263">iferror(index(K:K,match($A3263&amp;","&amp;index('Year Conversion'!$A:$A,match($C3263,'Year Conversion'!$B:$B,0)),$Y:$Y,0))-K3263,"")</f>
        <v/>
      </c>
      <c r="AC3263" s="168" t="str">
        <f t="shared" si="7"/>
        <v>DET,2019-20</v>
      </c>
    </row>
    <row r="3264">
      <c r="A3264" s="161" t="str">
        <f>IFERROR(__xludf.DUMMYFUNCTION("""COMPUTED_VALUE"""),"murrade01")</f>
        <v>murrade01</v>
      </c>
      <c r="B3264" s="161" t="str">
        <f>IFERROR(__xludf.DUMMYFUNCTION("""COMPUTED_VALUE"""),"Dejounte Murray")</f>
        <v>Dejounte Murray</v>
      </c>
      <c r="C3264" s="162" t="str">
        <f>IFERROR(__xludf.DUMMYFUNCTION("""COMPUTED_VALUE"""),"2019-20")</f>
        <v>2019-20</v>
      </c>
      <c r="D3264" s="163" t="str">
        <f>IFERROR(__xludf.DUMMYFUNCTION("""COMPUTED_VALUE"""),"SAS")</f>
        <v>SAS</v>
      </c>
      <c r="E3264" s="164" t="str">
        <f>IFERROR(__xludf.DUMMYFUNCTION("""COMPUTED_VALUE"""),"Slasher")</f>
        <v>Slasher</v>
      </c>
      <c r="F3264" s="164">
        <f>IFERROR(__xludf.DUMMYFUNCTION("""COMPUTED_VALUE"""),1686.76333333333)</f>
        <v>1686.763333</v>
      </c>
      <c r="G3264" s="163">
        <f>IFERROR(__xludf.DUMMYFUNCTION("""COMPUTED_VALUE"""),66.0)</f>
        <v>66</v>
      </c>
      <c r="H3264" s="163" t="str">
        <f>IFERROR(__xludf.DUMMYFUNCTION("""COMPUTED_VALUE"""),"PG")</f>
        <v>PG</v>
      </c>
      <c r="I3264" s="163">
        <f>IFERROR(__xludf.DUMMYFUNCTION("""COMPUTED_VALUE"""),23.0)</f>
        <v>23</v>
      </c>
      <c r="J3264" s="165">
        <f>IFERROR(__xludf.DUMMYFUNCTION("""COMPUTED_VALUE"""),0.0940695058898395)</f>
        <v>0.09406950589</v>
      </c>
      <c r="K3264" s="165">
        <f>IFERROR(__xludf.DUMMYFUNCTION("""COMPUTED_VALUE"""),-0.454501587773083)</f>
        <v>-0.4545015878</v>
      </c>
      <c r="L3264" s="165">
        <f>IFERROR(__xludf.DUMMYFUNCTION("""COMPUTED_VALUE"""),0.548571093662923)</f>
        <v>0.5485710937</v>
      </c>
      <c r="M3264" s="166">
        <f t="shared" si="2"/>
        <v>2.707401207</v>
      </c>
      <c r="N3264" s="167">
        <f t="shared" si="3"/>
        <v>25.5570202</v>
      </c>
      <c r="O3264" s="163">
        <f t="shared" ref="O3264:Q3264" si="3268">rank(I3264,I:I)</f>
        <v>2765</v>
      </c>
      <c r="P3264" s="163">
        <f t="shared" si="3268"/>
        <v>1193</v>
      </c>
      <c r="Q3264" s="163">
        <f t="shared" si="3268"/>
        <v>2042</v>
      </c>
      <c r="R3264" s="163">
        <f>IFERROR(__xludf.DUMMYFUNCTION("RANK(M3264,filter(M:M,C:C=C3264))"),111.0)</f>
        <v>111</v>
      </c>
      <c r="S3264" s="161" t="b">
        <f t="shared" si="5"/>
        <v>0</v>
      </c>
      <c r="T3264" s="161" t="b">
        <f t="array" ref="T3264">index('Query Tool'!B:B,match(H3264,'Query Tool'!C:C,0))</f>
        <v>1</v>
      </c>
      <c r="U3264" s="161" t="b">
        <f t="array" ref="U3264">index('Query Tool'!B:B,match(C3264,'Query Tool'!C:C,0))</f>
        <v>0</v>
      </c>
      <c r="V3264" s="161" t="b">
        <f>F3264&gt;='Query Tool'!C$32</f>
        <v>1</v>
      </c>
      <c r="W3264" s="161" t="b">
        <f t="array" ref="W3264">index(Dropdowns!B:B,match(I3264,Dropdowns!A:A,0))</f>
        <v>1</v>
      </c>
      <c r="X3264" s="161" t="b">
        <f t="array" ref="X3264">index('Query Tool'!B:B,match(D3264,'Query Tool'!C:C,0))</f>
        <v>1</v>
      </c>
      <c r="Y3264" s="161" t="str">
        <f t="shared" si="6"/>
        <v>murrade01,2019-20</v>
      </c>
      <c r="Z3264" s="168" t="str">
        <f t="array" ref="Z3264">iferror(index(I:I,match($A3264&amp;","&amp;index('Year Conversion'!$A:$A,match($C3264,'Year Conversion'!$B:$B,0)),$Y:$Y,0))-I3264,"")</f>
        <v/>
      </c>
      <c r="AA3264" s="168" t="str">
        <f t="array" ref="AA3264">iferror(index(J:J,match($A3264&amp;","&amp;index('Year Conversion'!$A:$A,match($C3264,'Year Conversion'!$B:$B,0)),$Y:$Y,0))-J3264,"")</f>
        <v/>
      </c>
      <c r="AB3264" s="168" t="str">
        <f t="array" ref="AB3264">iferror(index(K:K,match($A3264&amp;","&amp;index('Year Conversion'!$A:$A,match($C3264,'Year Conversion'!$B:$B,0)),$Y:$Y,0))-K3264,"")</f>
        <v/>
      </c>
      <c r="AC3264" s="168" t="str">
        <f t="shared" si="7"/>
        <v>SAS,2019-20</v>
      </c>
    </row>
    <row r="3265">
      <c r="A3265" s="161" t="str">
        <f>IFERROR(__xludf.DUMMYFUNCTION("""COMPUTED_VALUE"""),"murraja01")</f>
        <v>murraja01</v>
      </c>
      <c r="B3265" s="161" t="str">
        <f>IFERROR(__xludf.DUMMYFUNCTION("""COMPUTED_VALUE"""),"Jamal Murray")</f>
        <v>Jamal Murray</v>
      </c>
      <c r="C3265" s="162" t="str">
        <f>IFERROR(__xludf.DUMMYFUNCTION("""COMPUTED_VALUE"""),"2019-20")</f>
        <v>2019-20</v>
      </c>
      <c r="D3265" s="163" t="str">
        <f>IFERROR(__xludf.DUMMYFUNCTION("""COMPUTED_VALUE"""),"DEN")</f>
        <v>DEN</v>
      </c>
      <c r="E3265" s="164" t="str">
        <f>IFERROR(__xludf.DUMMYFUNCTION("""COMPUTED_VALUE"""),"Primary Ball Handler")</f>
        <v>Primary Ball Handler</v>
      </c>
      <c r="F3265" s="164">
        <f>IFERROR(__xludf.DUMMYFUNCTION("""COMPUTED_VALUE"""),1903.48166666667)</f>
        <v>1903.481667</v>
      </c>
      <c r="G3265" s="163">
        <f>IFERROR(__xludf.DUMMYFUNCTION("""COMPUTED_VALUE"""),59.0)</f>
        <v>59</v>
      </c>
      <c r="H3265" s="163" t="str">
        <f>IFERROR(__xludf.DUMMYFUNCTION("""COMPUTED_VALUE"""),"PG")</f>
        <v>PG</v>
      </c>
      <c r="I3265" s="163">
        <f>IFERROR(__xludf.DUMMYFUNCTION("""COMPUTED_VALUE"""),22.0)</f>
        <v>22</v>
      </c>
      <c r="J3265" s="165">
        <f>IFERROR(__xludf.DUMMYFUNCTION("""COMPUTED_VALUE"""),1.11207403858692)</f>
        <v>1.112074039</v>
      </c>
      <c r="K3265" s="165">
        <f>IFERROR(__xludf.DUMMYFUNCTION("""COMPUTED_VALUE"""),1.88246217679758)</f>
        <v>1.882462177</v>
      </c>
      <c r="L3265" s="165">
        <f>IFERROR(__xludf.DUMMYFUNCTION("""COMPUTED_VALUE"""),-0.770388138210662)</f>
        <v>-0.7703881382</v>
      </c>
      <c r="M3265" s="166">
        <f t="shared" si="2"/>
        <v>4.359220898</v>
      </c>
      <c r="N3265" s="167">
        <f t="shared" si="3"/>
        <v>32.26240113</v>
      </c>
      <c r="O3265" s="163">
        <f t="shared" ref="O3265:Q3265" si="3269">rank(I3265,I:I)</f>
        <v>3178</v>
      </c>
      <c r="P3265" s="163">
        <f t="shared" si="3269"/>
        <v>611</v>
      </c>
      <c r="Q3265" s="163">
        <f t="shared" si="3269"/>
        <v>246</v>
      </c>
      <c r="R3265" s="163">
        <f>IFERROR(__xludf.DUMMYFUNCTION("RANK(M3265,filter(M:M,C:C=C3265))"),55.0)</f>
        <v>55</v>
      </c>
      <c r="S3265" s="161" t="b">
        <f t="shared" si="5"/>
        <v>0</v>
      </c>
      <c r="T3265" s="161" t="b">
        <f t="array" ref="T3265">index('Query Tool'!B:B,match(H3265,'Query Tool'!C:C,0))</f>
        <v>1</v>
      </c>
      <c r="U3265" s="161" t="b">
        <f t="array" ref="U3265">index('Query Tool'!B:B,match(C3265,'Query Tool'!C:C,0))</f>
        <v>0</v>
      </c>
      <c r="V3265" s="161" t="b">
        <f>F3265&gt;='Query Tool'!C$32</f>
        <v>1</v>
      </c>
      <c r="W3265" s="161" t="b">
        <f t="array" ref="W3265">index(Dropdowns!B:B,match(I3265,Dropdowns!A:A,0))</f>
        <v>1</v>
      </c>
      <c r="X3265" s="161" t="b">
        <f t="array" ref="X3265">index('Query Tool'!B:B,match(D3265,'Query Tool'!C:C,0))</f>
        <v>1</v>
      </c>
      <c r="Y3265" s="161" t="str">
        <f t="shared" si="6"/>
        <v>murraja01,2019-20</v>
      </c>
      <c r="Z3265" s="168" t="str">
        <f t="array" ref="Z3265">iferror(index(I:I,match($A3265&amp;","&amp;index('Year Conversion'!$A:$A,match($C3265,'Year Conversion'!$B:$B,0)),$Y:$Y,0))-I3265,"")</f>
        <v/>
      </c>
      <c r="AA3265" s="168" t="str">
        <f t="array" ref="AA3265">iferror(index(J:J,match($A3265&amp;","&amp;index('Year Conversion'!$A:$A,match($C3265,'Year Conversion'!$B:$B,0)),$Y:$Y,0))-J3265,"")</f>
        <v/>
      </c>
      <c r="AB3265" s="168" t="str">
        <f t="array" ref="AB3265">iferror(index(K:K,match($A3265&amp;","&amp;index('Year Conversion'!$A:$A,match($C3265,'Year Conversion'!$B:$B,0)),$Y:$Y,0))-K3265,"")</f>
        <v/>
      </c>
      <c r="AC3265" s="168" t="str">
        <f t="shared" si="7"/>
        <v>DEN,2019-20</v>
      </c>
    </row>
    <row r="3266">
      <c r="A3266" s="161" t="str">
        <f>IFERROR(__xludf.DUMMYFUNCTION("""COMPUTED_VALUE"""),"poeltja01")</f>
        <v>poeltja01</v>
      </c>
      <c r="B3266" s="161" t="str">
        <f>IFERROR(__xludf.DUMMYFUNCTION("""COMPUTED_VALUE"""),"Jakob Poeltl")</f>
        <v>Jakob Poeltl</v>
      </c>
      <c r="C3266" s="162" t="str">
        <f>IFERROR(__xludf.DUMMYFUNCTION("""COMPUTED_VALUE"""),"2019-20")</f>
        <v>2019-20</v>
      </c>
      <c r="D3266" s="163" t="str">
        <f>IFERROR(__xludf.DUMMYFUNCTION("""COMPUTED_VALUE"""),"SAS")</f>
        <v>SAS</v>
      </c>
      <c r="E3266" s="164" t="str">
        <f>IFERROR(__xludf.DUMMYFUNCTION("""COMPUTED_VALUE"""),"Roll + Cut Big")</f>
        <v>Roll + Cut Big</v>
      </c>
      <c r="F3266" s="164">
        <f>IFERROR(__xludf.DUMMYFUNCTION("""COMPUTED_VALUE"""),1171.11666666667)</f>
        <v>1171.116667</v>
      </c>
      <c r="G3266" s="163">
        <f>IFERROR(__xludf.DUMMYFUNCTION("""COMPUTED_VALUE"""),66.0)</f>
        <v>66</v>
      </c>
      <c r="H3266" s="163" t="str">
        <f>IFERROR(__xludf.DUMMYFUNCTION("""COMPUTED_VALUE"""),"C")</f>
        <v>C</v>
      </c>
      <c r="I3266" s="163">
        <f>IFERROR(__xludf.DUMMYFUNCTION("""COMPUTED_VALUE"""),24.0)</f>
        <v>24</v>
      </c>
      <c r="J3266" s="165">
        <f>IFERROR(__xludf.DUMMYFUNCTION("""COMPUTED_VALUE"""),2.63358834824078)</f>
        <v>2.633588348</v>
      </c>
      <c r="K3266" s="165">
        <f>IFERROR(__xludf.DUMMYFUNCTION("""COMPUTED_VALUE"""),0.255976100064296)</f>
        <v>0.2559761001</v>
      </c>
      <c r="L3266" s="165">
        <f>IFERROR(__xludf.DUMMYFUNCTION("""COMPUTED_VALUE"""),2.37761224817648)</f>
        <v>2.377612248</v>
      </c>
      <c r="M3266" s="166">
        <f t="shared" si="2"/>
        <v>3.865027829</v>
      </c>
      <c r="N3266" s="167">
        <f t="shared" si="3"/>
        <v>17.74419192</v>
      </c>
      <c r="O3266" s="163">
        <f t="shared" ref="O3266:Q3266" si="3270">rank(I3266,I:I)</f>
        <v>2361</v>
      </c>
      <c r="P3266" s="163">
        <f t="shared" si="3270"/>
        <v>204</v>
      </c>
      <c r="Q3266" s="163">
        <f t="shared" si="3270"/>
        <v>943</v>
      </c>
      <c r="R3266" s="163">
        <f>IFERROR(__xludf.DUMMYFUNCTION("RANK(M3266,filter(M:M,C:C=C3266))"),72.0)</f>
        <v>72</v>
      </c>
      <c r="S3266" s="161" t="b">
        <f t="shared" si="5"/>
        <v>0</v>
      </c>
      <c r="T3266" s="161" t="b">
        <f t="array" ref="T3266">index('Query Tool'!B:B,match(H3266,'Query Tool'!C:C,0))</f>
        <v>1</v>
      </c>
      <c r="U3266" s="161" t="b">
        <f t="array" ref="U3266">index('Query Tool'!B:B,match(C3266,'Query Tool'!C:C,0))</f>
        <v>0</v>
      </c>
      <c r="V3266" s="161" t="b">
        <f>F3266&gt;='Query Tool'!C$32</f>
        <v>1</v>
      </c>
      <c r="W3266" s="161" t="b">
        <f t="array" ref="W3266">index(Dropdowns!B:B,match(I3266,Dropdowns!A:A,0))</f>
        <v>1</v>
      </c>
      <c r="X3266" s="161" t="b">
        <f t="array" ref="X3266">index('Query Tool'!B:B,match(D3266,'Query Tool'!C:C,0))</f>
        <v>1</v>
      </c>
      <c r="Y3266" s="161" t="str">
        <f t="shared" si="6"/>
        <v>poeltja01,2019-20</v>
      </c>
      <c r="Z3266" s="168" t="str">
        <f t="array" ref="Z3266">iferror(index(I:I,match($A3266&amp;","&amp;index('Year Conversion'!$A:$A,match($C3266,'Year Conversion'!$B:$B,0)),$Y:$Y,0))-I3266,"")</f>
        <v/>
      </c>
      <c r="AA3266" s="168" t="str">
        <f t="array" ref="AA3266">iferror(index(J:J,match($A3266&amp;","&amp;index('Year Conversion'!$A:$A,match($C3266,'Year Conversion'!$B:$B,0)),$Y:$Y,0))-J3266,"")</f>
        <v/>
      </c>
      <c r="AB3266" s="168" t="str">
        <f t="array" ref="AB3266">iferror(index(K:K,match($A3266&amp;","&amp;index('Year Conversion'!$A:$A,match($C3266,'Year Conversion'!$B:$B,0)),$Y:$Y,0))-K3266,"")</f>
        <v/>
      </c>
      <c r="AC3266" s="168" t="str">
        <f t="shared" si="7"/>
        <v>SAS,2019-20</v>
      </c>
    </row>
    <row r="3267">
      <c r="A3267" s="161" t="str">
        <f>IFERROR(__xludf.DUMMYFUNCTION("""COMPUTED_VALUE"""),"princta02")</f>
        <v>princta02</v>
      </c>
      <c r="B3267" s="161" t="str">
        <f>IFERROR(__xludf.DUMMYFUNCTION("""COMPUTED_VALUE"""),"Taurean Prince")</f>
        <v>Taurean Prince</v>
      </c>
      <c r="C3267" s="162" t="str">
        <f>IFERROR(__xludf.DUMMYFUNCTION("""COMPUTED_VALUE"""),"2019-20")</f>
        <v>2019-20</v>
      </c>
      <c r="D3267" s="163" t="str">
        <f>IFERROR(__xludf.DUMMYFUNCTION("""COMPUTED_VALUE"""),"BRK")</f>
        <v>BRK</v>
      </c>
      <c r="E3267" s="164" t="str">
        <f>IFERROR(__xludf.DUMMYFUNCTION("""COMPUTED_VALUE"""),"Stationary Shooter")</f>
        <v>Stationary Shooter</v>
      </c>
      <c r="F3267" s="164">
        <f>IFERROR(__xludf.DUMMYFUNCTION("""COMPUTED_VALUE"""),1857.435)</f>
        <v>1857.435</v>
      </c>
      <c r="G3267" s="163">
        <f>IFERROR(__xludf.DUMMYFUNCTION("""COMPUTED_VALUE"""),64.0)</f>
        <v>64</v>
      </c>
      <c r="H3267" s="163" t="str">
        <f>IFERROR(__xludf.DUMMYFUNCTION("""COMPUTED_VALUE"""),"PF")</f>
        <v>PF</v>
      </c>
      <c r="I3267" s="163">
        <f>IFERROR(__xludf.DUMMYFUNCTION("""COMPUTED_VALUE"""),25.0)</f>
        <v>25</v>
      </c>
      <c r="J3267" s="165">
        <f>IFERROR(__xludf.DUMMYFUNCTION("""COMPUTED_VALUE"""),-0.0581139576371525)</f>
        <v>-0.05811395764</v>
      </c>
      <c r="K3267" s="165">
        <f>IFERROR(__xludf.DUMMYFUNCTION("""COMPUTED_VALUE"""),-0.691656008824035)</f>
        <v>-0.6916560088</v>
      </c>
      <c r="L3267" s="165">
        <f>IFERROR(__xludf.DUMMYFUNCTION("""COMPUTED_VALUE"""),0.633542051186882)</f>
        <v>0.6335420512</v>
      </c>
      <c r="M3267" s="166">
        <f t="shared" si="2"/>
        <v>2.790771963</v>
      </c>
      <c r="N3267" s="167">
        <f t="shared" si="3"/>
        <v>29.02242188</v>
      </c>
      <c r="O3267" s="163">
        <f t="shared" ref="O3267:Q3267" si="3271">rank(I3267,I:I)</f>
        <v>1995</v>
      </c>
      <c r="P3267" s="163">
        <f t="shared" si="3271"/>
        <v>1344</v>
      </c>
      <c r="Q3267" s="163">
        <f t="shared" si="3271"/>
        <v>2404</v>
      </c>
      <c r="R3267" s="163">
        <f>IFERROR(__xludf.DUMMYFUNCTION("RANK(M3267,filter(M:M,C:C=C3267))"),110.0)</f>
        <v>110</v>
      </c>
      <c r="S3267" s="161" t="b">
        <f t="shared" si="5"/>
        <v>0</v>
      </c>
      <c r="T3267" s="161" t="b">
        <f t="array" ref="T3267">index('Query Tool'!B:B,match(H3267,'Query Tool'!C:C,0))</f>
        <v>1</v>
      </c>
      <c r="U3267" s="161" t="b">
        <f t="array" ref="U3267">index('Query Tool'!B:B,match(C3267,'Query Tool'!C:C,0))</f>
        <v>0</v>
      </c>
      <c r="V3267" s="161" t="b">
        <f>F3267&gt;='Query Tool'!C$32</f>
        <v>1</v>
      </c>
      <c r="W3267" s="161" t="b">
        <f t="array" ref="W3267">index(Dropdowns!B:B,match(I3267,Dropdowns!A:A,0))</f>
        <v>1</v>
      </c>
      <c r="X3267" s="161" t="b">
        <f t="array" ref="X3267">index('Query Tool'!B:B,match(D3267,'Query Tool'!C:C,0))</f>
        <v>1</v>
      </c>
      <c r="Y3267" s="161" t="str">
        <f t="shared" si="6"/>
        <v>princta02,2019-20</v>
      </c>
      <c r="Z3267" s="168" t="str">
        <f t="array" ref="Z3267">iferror(index(I:I,match($A3267&amp;","&amp;index('Year Conversion'!$A:$A,match($C3267,'Year Conversion'!$B:$B,0)),$Y:$Y,0))-I3267,"")</f>
        <v/>
      </c>
      <c r="AA3267" s="168" t="str">
        <f t="array" ref="AA3267">iferror(index(J:J,match($A3267&amp;","&amp;index('Year Conversion'!$A:$A,match($C3267,'Year Conversion'!$B:$B,0)),$Y:$Y,0))-J3267,"")</f>
        <v/>
      </c>
      <c r="AB3267" s="168" t="str">
        <f t="array" ref="AB3267">iferror(index(K:K,match($A3267&amp;","&amp;index('Year Conversion'!$A:$A,match($C3267,'Year Conversion'!$B:$B,0)),$Y:$Y,0))-K3267,"")</f>
        <v/>
      </c>
      <c r="AC3267" s="168" t="str">
        <f t="shared" si="7"/>
        <v>BRK,2019-20</v>
      </c>
    </row>
    <row r="3268">
      <c r="A3268" s="161" t="str">
        <f>IFERROR(__xludf.DUMMYFUNCTION("""COMPUTED_VALUE"""),"valende01")</f>
        <v>valende01</v>
      </c>
      <c r="B3268" s="161" t="str">
        <f>IFERROR(__xludf.DUMMYFUNCTION("""COMPUTED_VALUE"""),"Denzel Valentine")</f>
        <v>Denzel Valentine</v>
      </c>
      <c r="C3268" s="162" t="str">
        <f>IFERROR(__xludf.DUMMYFUNCTION("""COMPUTED_VALUE"""),"2019-20")</f>
        <v>2019-20</v>
      </c>
      <c r="D3268" s="163" t="str">
        <f>IFERROR(__xludf.DUMMYFUNCTION("""COMPUTED_VALUE"""),"CHI")</f>
        <v>CHI</v>
      </c>
      <c r="E3268" s="164" t="str">
        <f>IFERROR(__xludf.DUMMYFUNCTION("""COMPUTED_VALUE"""),"Secondary Ball Handler")</f>
        <v>Secondary Ball Handler</v>
      </c>
      <c r="F3268" s="164">
        <f>IFERROR(__xludf.DUMMYFUNCTION("""COMPUTED_VALUE"""),487.895)</f>
        <v>487.895</v>
      </c>
      <c r="G3268" s="163">
        <f>IFERROR(__xludf.DUMMYFUNCTION("""COMPUTED_VALUE"""),36.0)</f>
        <v>36</v>
      </c>
      <c r="H3268" s="163" t="str">
        <f>IFERROR(__xludf.DUMMYFUNCTION("""COMPUTED_VALUE"""),"SF")</f>
        <v>SF</v>
      </c>
      <c r="I3268" s="163">
        <f>IFERROR(__xludf.DUMMYFUNCTION("""COMPUTED_VALUE"""),26.0)</f>
        <v>26</v>
      </c>
      <c r="J3268" s="165">
        <f>IFERROR(__xludf.DUMMYFUNCTION("""COMPUTED_VALUE"""),-1.01610287853784)</f>
        <v>-1.016102879</v>
      </c>
      <c r="K3268" s="165">
        <f>IFERROR(__xludf.DUMMYFUNCTION("""COMPUTED_VALUE"""),-0.61257847768268)</f>
        <v>-0.6125784777</v>
      </c>
      <c r="L3268" s="165">
        <f>IFERROR(__xludf.DUMMYFUNCTION("""COMPUTED_VALUE"""),-0.403524400855162)</f>
        <v>-0.4035244009</v>
      </c>
      <c r="M3268" s="166">
        <f t="shared" si="2"/>
        <v>0.4184193948</v>
      </c>
      <c r="N3268" s="167">
        <f t="shared" si="3"/>
        <v>13.55263889</v>
      </c>
      <c r="O3268" s="163">
        <f t="shared" ref="O3268:Q3268" si="3272">rank(I3268,I:I)</f>
        <v>1665</v>
      </c>
      <c r="P3268" s="163">
        <f t="shared" si="3272"/>
        <v>2520</v>
      </c>
      <c r="Q3268" s="163">
        <f t="shared" si="3272"/>
        <v>2278</v>
      </c>
      <c r="R3268" s="163">
        <f>IFERROR(__xludf.DUMMYFUNCTION("RANK(M3268,filter(M:M,C:C=C3268))"),268.0)</f>
        <v>268</v>
      </c>
      <c r="S3268" s="161" t="b">
        <f t="shared" si="5"/>
        <v>0</v>
      </c>
      <c r="T3268" s="161" t="b">
        <f t="array" ref="T3268">index('Query Tool'!B:B,match(H3268,'Query Tool'!C:C,0))</f>
        <v>1</v>
      </c>
      <c r="U3268" s="161" t="b">
        <f t="array" ref="U3268">index('Query Tool'!B:B,match(C3268,'Query Tool'!C:C,0))</f>
        <v>0</v>
      </c>
      <c r="V3268" s="161" t="b">
        <f>F3268&gt;='Query Tool'!C$32</f>
        <v>0</v>
      </c>
      <c r="W3268" s="161" t="b">
        <f t="array" ref="W3268">index(Dropdowns!B:B,match(I3268,Dropdowns!A:A,0))</f>
        <v>1</v>
      </c>
      <c r="X3268" s="161" t="b">
        <f t="array" ref="X3268">index('Query Tool'!B:B,match(D3268,'Query Tool'!C:C,0))</f>
        <v>1</v>
      </c>
      <c r="Y3268" s="161" t="str">
        <f t="shared" si="6"/>
        <v>valende01,2019-20</v>
      </c>
      <c r="Z3268" s="168" t="str">
        <f t="array" ref="Z3268">iferror(index(I:I,match($A3268&amp;","&amp;index('Year Conversion'!$A:$A,match($C3268,'Year Conversion'!$B:$B,0)),$Y:$Y,0))-I3268,"")</f>
        <v/>
      </c>
      <c r="AA3268" s="168" t="str">
        <f t="array" ref="AA3268">iferror(index(J:J,match($A3268&amp;","&amp;index('Year Conversion'!$A:$A,match($C3268,'Year Conversion'!$B:$B,0)),$Y:$Y,0))-J3268,"")</f>
        <v/>
      </c>
      <c r="AB3268" s="168" t="str">
        <f t="array" ref="AB3268">iferror(index(K:K,match($A3268&amp;","&amp;index('Year Conversion'!$A:$A,match($C3268,'Year Conversion'!$B:$B,0)),$Y:$Y,0))-K3268,"")</f>
        <v/>
      </c>
      <c r="AC3268" s="168" t="str">
        <f t="shared" si="7"/>
        <v>CHI,2019-20</v>
      </c>
    </row>
    <row r="3269">
      <c r="A3269" s="161" t="str">
        <f>IFERROR(__xludf.DUMMYFUNCTION("""COMPUTED_VALUE"""),"brownja02")</f>
        <v>brownja02</v>
      </c>
      <c r="B3269" s="161" t="str">
        <f>IFERROR(__xludf.DUMMYFUNCTION("""COMPUTED_VALUE"""),"Jaylen Brown")</f>
        <v>Jaylen Brown</v>
      </c>
      <c r="C3269" s="162" t="str">
        <f>IFERROR(__xludf.DUMMYFUNCTION("""COMPUTED_VALUE"""),"2019-20")</f>
        <v>2019-20</v>
      </c>
      <c r="D3269" s="163" t="str">
        <f>IFERROR(__xludf.DUMMYFUNCTION("""COMPUTED_VALUE"""),"BOS")</f>
        <v>BOS</v>
      </c>
      <c r="E3269" s="164" t="str">
        <f>IFERROR(__xludf.DUMMYFUNCTION("""COMPUTED_VALUE"""),"Stationary Shooter")</f>
        <v>Stationary Shooter</v>
      </c>
      <c r="F3269" s="164">
        <f>IFERROR(__xludf.DUMMYFUNCTION("""COMPUTED_VALUE"""),1933.665)</f>
        <v>1933.665</v>
      </c>
      <c r="G3269" s="163">
        <f>IFERROR(__xludf.DUMMYFUNCTION("""COMPUTED_VALUE"""),57.0)</f>
        <v>57</v>
      </c>
      <c r="H3269" s="163" t="str">
        <f>IFERROR(__xludf.DUMMYFUNCTION("""COMPUTED_VALUE"""),"SG")</f>
        <v>SG</v>
      </c>
      <c r="I3269" s="163">
        <f>IFERROR(__xludf.DUMMYFUNCTION("""COMPUTED_VALUE"""),23.0)</f>
        <v>23</v>
      </c>
      <c r="J3269" s="165">
        <f>IFERROR(__xludf.DUMMYFUNCTION("""COMPUTED_VALUE"""),0.371829392923721)</f>
        <v>0.3718293929</v>
      </c>
      <c r="K3269" s="165">
        <f>IFERROR(__xludf.DUMMYFUNCTION("""COMPUTED_VALUE"""),0.855617824561657)</f>
        <v>0.8556178246</v>
      </c>
      <c r="L3269" s="165">
        <f>IFERROR(__xludf.DUMMYFUNCTION("""COMPUTED_VALUE"""),-0.483788431637937)</f>
        <v>-0.4837884316</v>
      </c>
      <c r="M3269" s="166">
        <f t="shared" si="2"/>
        <v>3.465711879</v>
      </c>
      <c r="N3269" s="167">
        <f t="shared" si="3"/>
        <v>33.92394737</v>
      </c>
      <c r="O3269" s="163">
        <f t="shared" ref="O3269:Q3269" si="3273">rank(I3269,I:I)</f>
        <v>2765</v>
      </c>
      <c r="P3269" s="163">
        <f t="shared" si="3273"/>
        <v>969</v>
      </c>
      <c r="Q3269" s="163">
        <f t="shared" si="3273"/>
        <v>576</v>
      </c>
      <c r="R3269" s="163">
        <f>IFERROR(__xludf.DUMMYFUNCTION("RANK(M3269,filter(M:M,C:C=C3269))"),86.0)</f>
        <v>86</v>
      </c>
      <c r="S3269" s="161" t="b">
        <f t="shared" si="5"/>
        <v>0</v>
      </c>
      <c r="T3269" s="161" t="b">
        <f t="array" ref="T3269">index('Query Tool'!B:B,match(H3269,'Query Tool'!C:C,0))</f>
        <v>1</v>
      </c>
      <c r="U3269" s="161" t="b">
        <f t="array" ref="U3269">index('Query Tool'!B:B,match(C3269,'Query Tool'!C:C,0))</f>
        <v>0</v>
      </c>
      <c r="V3269" s="161" t="b">
        <f>F3269&gt;='Query Tool'!C$32</f>
        <v>1</v>
      </c>
      <c r="W3269" s="161" t="b">
        <f t="array" ref="W3269">index(Dropdowns!B:B,match(I3269,Dropdowns!A:A,0))</f>
        <v>1</v>
      </c>
      <c r="X3269" s="161" t="b">
        <f t="array" ref="X3269">index('Query Tool'!B:B,match(D3269,'Query Tool'!C:C,0))</f>
        <v>1</v>
      </c>
      <c r="Y3269" s="161" t="str">
        <f t="shared" si="6"/>
        <v>brownja02,2019-20</v>
      </c>
      <c r="Z3269" s="168" t="str">
        <f t="array" ref="Z3269">iferror(index(I:I,match($A3269&amp;","&amp;index('Year Conversion'!$A:$A,match($C3269,'Year Conversion'!$B:$B,0)),$Y:$Y,0))-I3269,"")</f>
        <v/>
      </c>
      <c r="AA3269" s="168" t="str">
        <f t="array" ref="AA3269">iferror(index(J:J,match($A3269&amp;","&amp;index('Year Conversion'!$A:$A,match($C3269,'Year Conversion'!$B:$B,0)),$Y:$Y,0))-J3269,"")</f>
        <v/>
      </c>
      <c r="AB3269" s="168" t="str">
        <f t="array" ref="AB3269">iferror(index(K:K,match($A3269&amp;","&amp;index('Year Conversion'!$A:$A,match($C3269,'Year Conversion'!$B:$B,0)),$Y:$Y,0))-K3269,"")</f>
        <v/>
      </c>
      <c r="AC3269" s="168" t="str">
        <f t="shared" si="7"/>
        <v>BOS,2019-20</v>
      </c>
    </row>
    <row r="3270">
      <c r="A3270" s="161" t="str">
        <f>IFERROR(__xludf.DUMMYFUNCTION("""COMPUTED_VALUE"""),"bembrde01")</f>
        <v>bembrde01</v>
      </c>
      <c r="B3270" s="161" t="str">
        <f>IFERROR(__xludf.DUMMYFUNCTION("""COMPUTED_VALUE"""),"DeAndre' Bembry")</f>
        <v>DeAndre' Bembry</v>
      </c>
      <c r="C3270" s="162" t="str">
        <f>IFERROR(__xludf.DUMMYFUNCTION("""COMPUTED_VALUE"""),"2019-20")</f>
        <v>2019-20</v>
      </c>
      <c r="D3270" s="163" t="str">
        <f>IFERROR(__xludf.DUMMYFUNCTION("""COMPUTED_VALUE"""),"ATL")</f>
        <v>ATL</v>
      </c>
      <c r="E3270" s="164" t="str">
        <f>IFERROR(__xludf.DUMMYFUNCTION("""COMPUTED_VALUE"""),"Athletic Finisher")</f>
        <v>Athletic Finisher</v>
      </c>
      <c r="F3270" s="164">
        <f>IFERROR(__xludf.DUMMYFUNCTION("""COMPUTED_VALUE"""),915.36)</f>
        <v>915.36</v>
      </c>
      <c r="G3270" s="163">
        <f>IFERROR(__xludf.DUMMYFUNCTION("""COMPUTED_VALUE"""),43.0)</f>
        <v>43</v>
      </c>
      <c r="H3270" s="163" t="str">
        <f>IFERROR(__xludf.DUMMYFUNCTION("""COMPUTED_VALUE"""),"SG")</f>
        <v>SG</v>
      </c>
      <c r="I3270" s="163">
        <f>IFERROR(__xludf.DUMMYFUNCTION("""COMPUTED_VALUE"""),25.0)</f>
        <v>25</v>
      </c>
      <c r="J3270" s="165">
        <f>IFERROR(__xludf.DUMMYFUNCTION("""COMPUTED_VALUE"""),-2.09991292809211)</f>
        <v>-2.099912928</v>
      </c>
      <c r="K3270" s="165">
        <f>IFERROR(__xludf.DUMMYFUNCTION("""COMPUTED_VALUE"""),-2.9045179151219)</f>
        <v>-2.904517915</v>
      </c>
      <c r="L3270" s="165">
        <f>IFERROR(__xludf.DUMMYFUNCTION("""COMPUTED_VALUE"""),0.804604987029785)</f>
        <v>0.804604987</v>
      </c>
      <c r="M3270" s="166">
        <f t="shared" si="2"/>
        <v>0.1231489915</v>
      </c>
      <c r="N3270" s="167">
        <f t="shared" si="3"/>
        <v>21.28744186</v>
      </c>
      <c r="O3270" s="163">
        <f t="shared" ref="O3270:Q3270" si="3274">rank(I3270,I:I)</f>
        <v>1995</v>
      </c>
      <c r="P3270" s="163">
        <f t="shared" si="3274"/>
        <v>3551</v>
      </c>
      <c r="Q3270" s="163">
        <f t="shared" si="3274"/>
        <v>3967</v>
      </c>
      <c r="R3270" s="163">
        <f>IFERROR(__xludf.DUMMYFUNCTION("RANK(M3270,filter(M:M,C:C=C3270))"),374.0)</f>
        <v>374</v>
      </c>
      <c r="S3270" s="161" t="b">
        <f t="shared" si="5"/>
        <v>0</v>
      </c>
      <c r="T3270" s="161" t="b">
        <f t="array" ref="T3270">index('Query Tool'!B:B,match(H3270,'Query Tool'!C:C,0))</f>
        <v>1</v>
      </c>
      <c r="U3270" s="161" t="b">
        <f t="array" ref="U3270">index('Query Tool'!B:B,match(C3270,'Query Tool'!C:C,0))</f>
        <v>0</v>
      </c>
      <c r="V3270" s="161" t="b">
        <f>F3270&gt;='Query Tool'!C$32</f>
        <v>1</v>
      </c>
      <c r="W3270" s="161" t="b">
        <f t="array" ref="W3270">index(Dropdowns!B:B,match(I3270,Dropdowns!A:A,0))</f>
        <v>1</v>
      </c>
      <c r="X3270" s="161" t="b">
        <f t="array" ref="X3270">index('Query Tool'!B:B,match(D3270,'Query Tool'!C:C,0))</f>
        <v>1</v>
      </c>
      <c r="Y3270" s="161" t="str">
        <f t="shared" si="6"/>
        <v>bembrde01,2019-20</v>
      </c>
      <c r="Z3270" s="168" t="str">
        <f t="array" ref="Z3270">iferror(index(I:I,match($A3270&amp;","&amp;index('Year Conversion'!$A:$A,match($C3270,'Year Conversion'!$B:$B,0)),$Y:$Y,0))-I3270,"")</f>
        <v/>
      </c>
      <c r="AA3270" s="168" t="str">
        <f t="array" ref="AA3270">iferror(index(J:J,match($A3270&amp;","&amp;index('Year Conversion'!$A:$A,match($C3270,'Year Conversion'!$B:$B,0)),$Y:$Y,0))-J3270,"")</f>
        <v/>
      </c>
      <c r="AB3270" s="168" t="str">
        <f t="array" ref="AB3270">iferror(index(K:K,match($A3270&amp;","&amp;index('Year Conversion'!$A:$A,match($C3270,'Year Conversion'!$B:$B,0)),$Y:$Y,0))-K3270,"")</f>
        <v/>
      </c>
      <c r="AC3270" s="168" t="str">
        <f t="shared" si="7"/>
        <v>ATL,2019-20</v>
      </c>
    </row>
    <row r="3271">
      <c r="A3271" s="161" t="str">
        <f>IFERROR(__xludf.DUMMYFUNCTION("""COMPUTED_VALUE"""),"brogdma01")</f>
        <v>brogdma01</v>
      </c>
      <c r="B3271" s="161" t="str">
        <f>IFERROR(__xludf.DUMMYFUNCTION("""COMPUTED_VALUE"""),"Malcolm Brogdon")</f>
        <v>Malcolm Brogdon</v>
      </c>
      <c r="C3271" s="162" t="str">
        <f>IFERROR(__xludf.DUMMYFUNCTION("""COMPUTED_VALUE"""),"2019-20")</f>
        <v>2019-20</v>
      </c>
      <c r="D3271" s="163" t="str">
        <f>IFERROR(__xludf.DUMMYFUNCTION("""COMPUTED_VALUE"""),"IND")</f>
        <v>IND</v>
      </c>
      <c r="E3271" s="164" t="str">
        <f>IFERROR(__xludf.DUMMYFUNCTION("""COMPUTED_VALUE"""),"Shot Creator")</f>
        <v>Shot Creator</v>
      </c>
      <c r="F3271" s="164">
        <f>IFERROR(__xludf.DUMMYFUNCTION("""COMPUTED_VALUE"""),1666.26833333333)</f>
        <v>1666.268333</v>
      </c>
      <c r="G3271" s="163">
        <f>IFERROR(__xludf.DUMMYFUNCTION("""COMPUTED_VALUE"""),54.0)</f>
        <v>54</v>
      </c>
      <c r="H3271" s="163" t="str">
        <f>IFERROR(__xludf.DUMMYFUNCTION("""COMPUTED_VALUE"""),"PG")</f>
        <v>PG</v>
      </c>
      <c r="I3271" s="163">
        <f>IFERROR(__xludf.DUMMYFUNCTION("""COMPUTED_VALUE"""),27.0)</f>
        <v>27</v>
      </c>
      <c r="J3271" s="165">
        <f>IFERROR(__xludf.DUMMYFUNCTION("""COMPUTED_VALUE"""),1.64888069318901)</f>
        <v>1.648880693</v>
      </c>
      <c r="K3271" s="165">
        <f>IFERROR(__xludf.DUMMYFUNCTION("""COMPUTED_VALUE"""),1.48804291219433)</f>
        <v>1.488042912</v>
      </c>
      <c r="L3271" s="165">
        <f>IFERROR(__xludf.DUMMYFUNCTION("""COMPUTED_VALUE"""),0.160837780994685)</f>
        <v>0.160837781</v>
      </c>
      <c r="M3271" s="166">
        <f t="shared" si="2"/>
        <v>4.414187256</v>
      </c>
      <c r="N3271" s="167">
        <f t="shared" si="3"/>
        <v>30.85682099</v>
      </c>
      <c r="O3271" s="163">
        <f t="shared" ref="O3271:Q3271" si="3275">rank(I3271,I:I)</f>
        <v>1366</v>
      </c>
      <c r="P3271" s="163">
        <f t="shared" si="3275"/>
        <v>414</v>
      </c>
      <c r="Q3271" s="163">
        <f t="shared" si="3275"/>
        <v>327</v>
      </c>
      <c r="R3271" s="163">
        <f>IFERROR(__xludf.DUMMYFUNCTION("RANK(M3271,filter(M:M,C:C=C3271))"),52.0)</f>
        <v>52</v>
      </c>
      <c r="S3271" s="161" t="b">
        <f t="shared" si="5"/>
        <v>0</v>
      </c>
      <c r="T3271" s="161" t="b">
        <f t="array" ref="T3271">index('Query Tool'!B:B,match(H3271,'Query Tool'!C:C,0))</f>
        <v>1</v>
      </c>
      <c r="U3271" s="161" t="b">
        <f t="array" ref="U3271">index('Query Tool'!B:B,match(C3271,'Query Tool'!C:C,0))</f>
        <v>0</v>
      </c>
      <c r="V3271" s="161" t="b">
        <f>F3271&gt;='Query Tool'!C$32</f>
        <v>1</v>
      </c>
      <c r="W3271" s="161" t="b">
        <f t="array" ref="W3271">index(Dropdowns!B:B,match(I3271,Dropdowns!A:A,0))</f>
        <v>1</v>
      </c>
      <c r="X3271" s="161" t="b">
        <f t="array" ref="X3271">index('Query Tool'!B:B,match(D3271,'Query Tool'!C:C,0))</f>
        <v>1</v>
      </c>
      <c r="Y3271" s="161" t="str">
        <f t="shared" si="6"/>
        <v>brogdma01,2019-20</v>
      </c>
      <c r="Z3271" s="168" t="str">
        <f t="array" ref="Z3271">iferror(index(I:I,match($A3271&amp;","&amp;index('Year Conversion'!$A:$A,match($C3271,'Year Conversion'!$B:$B,0)),$Y:$Y,0))-I3271,"")</f>
        <v/>
      </c>
      <c r="AA3271" s="168" t="str">
        <f t="array" ref="AA3271">iferror(index(J:J,match($A3271&amp;","&amp;index('Year Conversion'!$A:$A,match($C3271,'Year Conversion'!$B:$B,0)),$Y:$Y,0))-J3271,"")</f>
        <v/>
      </c>
      <c r="AB3271" s="168" t="str">
        <f t="array" ref="AB3271">iferror(index(K:K,match($A3271&amp;","&amp;index('Year Conversion'!$A:$A,match($C3271,'Year Conversion'!$B:$B,0)),$Y:$Y,0))-K3271,"")</f>
        <v/>
      </c>
      <c r="AC3271" s="168" t="str">
        <f t="shared" si="7"/>
        <v>IND,2019-20</v>
      </c>
    </row>
    <row r="3272">
      <c r="A3272" s="161" t="str">
        <f>IFERROR(__xludf.DUMMYFUNCTION("""COMPUTED_VALUE"""),"diallch01")</f>
        <v>diallch01</v>
      </c>
      <c r="B3272" s="161" t="str">
        <f>IFERROR(__xludf.DUMMYFUNCTION("""COMPUTED_VALUE"""),"Cheick Diallo")</f>
        <v>Cheick Diallo</v>
      </c>
      <c r="C3272" s="162" t="str">
        <f>IFERROR(__xludf.DUMMYFUNCTION("""COMPUTED_VALUE"""),"2019-20")</f>
        <v>2019-20</v>
      </c>
      <c r="D3272" s="163" t="str">
        <f>IFERROR(__xludf.DUMMYFUNCTION("""COMPUTED_VALUE"""),"PHO")</f>
        <v>PHO</v>
      </c>
      <c r="E3272" s="164" t="str">
        <f>IFERROR(__xludf.DUMMYFUNCTION("""COMPUTED_VALUE"""),"Roll + Cut Big")</f>
        <v>Roll + Cut Big</v>
      </c>
      <c r="F3272" s="164">
        <f>IFERROR(__xludf.DUMMYFUNCTION("""COMPUTED_VALUE"""),478.54)</f>
        <v>478.54</v>
      </c>
      <c r="G3272" s="163">
        <f>IFERROR(__xludf.DUMMYFUNCTION("""COMPUTED_VALUE"""),47.0)</f>
        <v>47</v>
      </c>
      <c r="H3272" s="163" t="str">
        <f>IFERROR(__xludf.DUMMYFUNCTION("""COMPUTED_VALUE"""),"C")</f>
        <v>C</v>
      </c>
      <c r="I3272" s="163">
        <f>IFERROR(__xludf.DUMMYFUNCTION("""COMPUTED_VALUE"""),23.0)</f>
        <v>23</v>
      </c>
      <c r="J3272" s="165">
        <f>IFERROR(__xludf.DUMMYFUNCTION("""COMPUTED_VALUE"""),-1.42491924857749)</f>
        <v>-1.424919249</v>
      </c>
      <c r="K3272" s="165">
        <f>IFERROR(__xludf.DUMMYFUNCTION("""COMPUTED_VALUE"""),-1.90516530307173)</f>
        <v>-1.905165303</v>
      </c>
      <c r="L3272" s="165">
        <f>IFERROR(__xludf.DUMMYFUNCTION("""COMPUTED_VALUE"""),0.480246054494233)</f>
        <v>0.4802460545</v>
      </c>
      <c r="M3272" s="166">
        <f t="shared" si="2"/>
        <v>0.2793243436</v>
      </c>
      <c r="N3272" s="167">
        <f t="shared" si="3"/>
        <v>10.18170213</v>
      </c>
      <c r="O3272" s="163">
        <f t="shared" ref="O3272:Q3272" si="3276">rank(I3272,I:I)</f>
        <v>2765</v>
      </c>
      <c r="P3272" s="163">
        <f t="shared" si="3276"/>
        <v>2980</v>
      </c>
      <c r="Q3272" s="163">
        <f t="shared" si="3276"/>
        <v>3651</v>
      </c>
      <c r="R3272" s="163">
        <f>IFERROR(__xludf.DUMMYFUNCTION("RANK(M3272,filter(M:M,C:C=C3272))"),312.0)</f>
        <v>312</v>
      </c>
      <c r="S3272" s="161" t="b">
        <f t="shared" si="5"/>
        <v>0</v>
      </c>
      <c r="T3272" s="161" t="b">
        <f t="array" ref="T3272">index('Query Tool'!B:B,match(H3272,'Query Tool'!C:C,0))</f>
        <v>1</v>
      </c>
      <c r="U3272" s="161" t="b">
        <f t="array" ref="U3272">index('Query Tool'!B:B,match(C3272,'Query Tool'!C:C,0))</f>
        <v>0</v>
      </c>
      <c r="V3272" s="161" t="b">
        <f>F3272&gt;='Query Tool'!C$32</f>
        <v>0</v>
      </c>
      <c r="W3272" s="161" t="b">
        <f t="array" ref="W3272">index(Dropdowns!B:B,match(I3272,Dropdowns!A:A,0))</f>
        <v>1</v>
      </c>
      <c r="X3272" s="161" t="b">
        <f t="array" ref="X3272">index('Query Tool'!B:B,match(D3272,'Query Tool'!C:C,0))</f>
        <v>1</v>
      </c>
      <c r="Y3272" s="161" t="str">
        <f t="shared" si="6"/>
        <v>diallch01,2019-20</v>
      </c>
      <c r="Z3272" s="168" t="str">
        <f t="array" ref="Z3272">iferror(index(I:I,match($A3272&amp;","&amp;index('Year Conversion'!$A:$A,match($C3272,'Year Conversion'!$B:$B,0)),$Y:$Y,0))-I3272,"")</f>
        <v/>
      </c>
      <c r="AA3272" s="168" t="str">
        <f t="array" ref="AA3272">iferror(index(J:J,match($A3272&amp;","&amp;index('Year Conversion'!$A:$A,match($C3272,'Year Conversion'!$B:$B,0)),$Y:$Y,0))-J3272,"")</f>
        <v/>
      </c>
      <c r="AB3272" s="168" t="str">
        <f t="array" ref="AB3272">iferror(index(K:K,match($A3272&amp;","&amp;index('Year Conversion'!$A:$A,match($C3272,'Year Conversion'!$B:$B,0)),$Y:$Y,0))-K3272,"")</f>
        <v/>
      </c>
      <c r="AC3272" s="168" t="str">
        <f t="shared" si="7"/>
        <v>PHO,2019-20</v>
      </c>
    </row>
    <row r="3273">
      <c r="A3273" s="161" t="str">
        <f>IFERROR(__xludf.DUMMYFUNCTION("""COMPUTED_VALUE"""),"laymaja01")</f>
        <v>laymaja01</v>
      </c>
      <c r="B3273" s="161" t="str">
        <f>IFERROR(__xludf.DUMMYFUNCTION("""COMPUTED_VALUE"""),"Jake Layman")</f>
        <v>Jake Layman</v>
      </c>
      <c r="C3273" s="162" t="str">
        <f>IFERROR(__xludf.DUMMYFUNCTION("""COMPUTED_VALUE"""),"2019-20")</f>
        <v>2019-20</v>
      </c>
      <c r="D3273" s="163" t="str">
        <f>IFERROR(__xludf.DUMMYFUNCTION("""COMPUTED_VALUE"""),"MIN")</f>
        <v>MIN</v>
      </c>
      <c r="E3273" s="164" t="str">
        <f>IFERROR(__xludf.DUMMYFUNCTION("""COMPUTED_VALUE"""),"Movement Shooter")</f>
        <v>Movement Shooter</v>
      </c>
      <c r="F3273" s="164">
        <f>IFERROR(__xludf.DUMMYFUNCTION("""COMPUTED_VALUE"""),505.176666666667)</f>
        <v>505.1766667</v>
      </c>
      <c r="G3273" s="163">
        <f>IFERROR(__xludf.DUMMYFUNCTION("""COMPUTED_VALUE"""),23.0)</f>
        <v>23</v>
      </c>
      <c r="H3273" s="163" t="str">
        <f>IFERROR(__xludf.DUMMYFUNCTION("""COMPUTED_VALUE"""),"SF")</f>
        <v>SF</v>
      </c>
      <c r="I3273" s="163">
        <f>IFERROR(__xludf.DUMMYFUNCTION("""COMPUTED_VALUE"""),25.0)</f>
        <v>25</v>
      </c>
      <c r="J3273" s="165">
        <f>IFERROR(__xludf.DUMMYFUNCTION("""COMPUTED_VALUE"""),-1.20209633690093)</f>
        <v>-1.202096337</v>
      </c>
      <c r="K3273" s="165">
        <f>IFERROR(__xludf.DUMMYFUNCTION("""COMPUTED_VALUE"""),-1.46745223798239)</f>
        <v>-1.467452238</v>
      </c>
      <c r="L3273" s="165">
        <f>IFERROR(__xludf.DUMMYFUNCTION("""COMPUTED_VALUE"""),0.265355901081453)</f>
        <v>0.2653559011</v>
      </c>
      <c r="M3273" s="166">
        <f t="shared" si="2"/>
        <v>0.3702179871</v>
      </c>
      <c r="N3273" s="167">
        <f t="shared" si="3"/>
        <v>21.9642029</v>
      </c>
      <c r="O3273" s="163">
        <f t="shared" ref="O3273:Q3273" si="3277">rank(I3273,I:I)</f>
        <v>1995</v>
      </c>
      <c r="P3273" s="163">
        <f t="shared" si="3277"/>
        <v>2748</v>
      </c>
      <c r="Q3273" s="163">
        <f t="shared" si="3277"/>
        <v>3322</v>
      </c>
      <c r="R3273" s="163">
        <f>IFERROR(__xludf.DUMMYFUNCTION("RANK(M3273,filter(M:M,C:C=C3273))"),283.0)</f>
        <v>283</v>
      </c>
      <c r="S3273" s="161" t="b">
        <f t="shared" si="5"/>
        <v>0</v>
      </c>
      <c r="T3273" s="161" t="b">
        <f t="array" ref="T3273">index('Query Tool'!B:B,match(H3273,'Query Tool'!C:C,0))</f>
        <v>1</v>
      </c>
      <c r="U3273" s="161" t="b">
        <f t="array" ref="U3273">index('Query Tool'!B:B,match(C3273,'Query Tool'!C:C,0))</f>
        <v>0</v>
      </c>
      <c r="V3273" s="161" t="b">
        <f>F3273&gt;='Query Tool'!C$32</f>
        <v>1</v>
      </c>
      <c r="W3273" s="161" t="b">
        <f t="array" ref="W3273">index(Dropdowns!B:B,match(I3273,Dropdowns!A:A,0))</f>
        <v>1</v>
      </c>
      <c r="X3273" s="161" t="b">
        <f t="array" ref="X3273">index('Query Tool'!B:B,match(D3273,'Query Tool'!C:C,0))</f>
        <v>1</v>
      </c>
      <c r="Y3273" s="161" t="str">
        <f t="shared" si="6"/>
        <v>laymaja01,2019-20</v>
      </c>
      <c r="Z3273" s="168" t="str">
        <f t="array" ref="Z3273">iferror(index(I:I,match($A3273&amp;","&amp;index('Year Conversion'!$A:$A,match($C3273,'Year Conversion'!$B:$B,0)),$Y:$Y,0))-I3273,"")</f>
        <v/>
      </c>
      <c r="AA3273" s="168" t="str">
        <f t="array" ref="AA3273">iferror(index(J:J,match($A3273&amp;","&amp;index('Year Conversion'!$A:$A,match($C3273,'Year Conversion'!$B:$B,0)),$Y:$Y,0))-J3273,"")</f>
        <v/>
      </c>
      <c r="AB3273" s="168" t="str">
        <f t="array" ref="AB3273">iferror(index(K:K,match($A3273&amp;","&amp;index('Year Conversion'!$A:$A,match($C3273,'Year Conversion'!$B:$B,0)),$Y:$Y,0))-K3273,"")</f>
        <v/>
      </c>
      <c r="AC3273" s="168" t="str">
        <f t="shared" si="7"/>
        <v>MIN,2019-20</v>
      </c>
    </row>
    <row r="3274">
      <c r="A3274" s="161" t="str">
        <f>IFERROR(__xludf.DUMMYFUNCTION("""COMPUTED_VALUE"""),"mccawpa01")</f>
        <v>mccawpa01</v>
      </c>
      <c r="B3274" s="161" t="str">
        <f>IFERROR(__xludf.DUMMYFUNCTION("""COMPUTED_VALUE"""),"Patrick McCaw")</f>
        <v>Patrick McCaw</v>
      </c>
      <c r="C3274" s="162" t="str">
        <f>IFERROR(__xludf.DUMMYFUNCTION("""COMPUTED_VALUE"""),"2019-20")</f>
        <v>2019-20</v>
      </c>
      <c r="D3274" s="163" t="str">
        <f>IFERROR(__xludf.DUMMYFUNCTION("""COMPUTED_VALUE"""),"TOR")</f>
        <v>TOR</v>
      </c>
      <c r="E3274" s="164" t="str">
        <f>IFERROR(__xludf.DUMMYFUNCTION("""COMPUTED_VALUE"""),"Stationary Shooter")</f>
        <v>Stationary Shooter</v>
      </c>
      <c r="F3274" s="164">
        <f>IFERROR(__xludf.DUMMYFUNCTION("""COMPUTED_VALUE"""),908.141666666667)</f>
        <v>908.1416667</v>
      </c>
      <c r="G3274" s="163">
        <f>IFERROR(__xludf.DUMMYFUNCTION("""COMPUTED_VALUE"""),37.0)</f>
        <v>37</v>
      </c>
      <c r="H3274" s="163" t="str">
        <f>IFERROR(__xludf.DUMMYFUNCTION("""COMPUTED_VALUE"""),"SF")</f>
        <v>SF</v>
      </c>
      <c r="I3274" s="163">
        <f>IFERROR(__xludf.DUMMYFUNCTION("""COMPUTED_VALUE"""),24.0)</f>
        <v>24</v>
      </c>
      <c r="J3274" s="165">
        <f>IFERROR(__xludf.DUMMYFUNCTION("""COMPUTED_VALUE"""),-2.81265796426489)</f>
        <v>-2.812657964</v>
      </c>
      <c r="K3274" s="165">
        <f>IFERROR(__xludf.DUMMYFUNCTION("""COMPUTED_VALUE"""),-2.81616178660407)</f>
        <v>-2.816161787</v>
      </c>
      <c r="L3274" s="165">
        <f>IFERROR(__xludf.DUMMYFUNCTION("""COMPUTED_VALUE"""),0.00350382233917919)</f>
        <v>0.003503822339</v>
      </c>
      <c r="M3274" s="166">
        <f t="shared" si="2"/>
        <v>-0.3033461487</v>
      </c>
      <c r="N3274" s="167">
        <f t="shared" si="3"/>
        <v>24.54436937</v>
      </c>
      <c r="O3274" s="163">
        <f t="shared" ref="O3274:Q3274" si="3278">rank(I3274,I:I)</f>
        <v>2361</v>
      </c>
      <c r="P3274" s="163">
        <f t="shared" si="3278"/>
        <v>3848</v>
      </c>
      <c r="Q3274" s="163">
        <f t="shared" si="3278"/>
        <v>3955</v>
      </c>
      <c r="R3274" s="163">
        <f>IFERROR(__xludf.DUMMYFUNCTION("RANK(M3274,filter(M:M,C:C=C3274))"),506.0)</f>
        <v>506</v>
      </c>
      <c r="S3274" s="161" t="b">
        <f t="shared" si="5"/>
        <v>0</v>
      </c>
      <c r="T3274" s="161" t="b">
        <f t="array" ref="T3274">index('Query Tool'!B:B,match(H3274,'Query Tool'!C:C,0))</f>
        <v>1</v>
      </c>
      <c r="U3274" s="161" t="b">
        <f t="array" ref="U3274">index('Query Tool'!B:B,match(C3274,'Query Tool'!C:C,0))</f>
        <v>0</v>
      </c>
      <c r="V3274" s="161" t="b">
        <f>F3274&gt;='Query Tool'!C$32</f>
        <v>1</v>
      </c>
      <c r="W3274" s="161" t="b">
        <f t="array" ref="W3274">index(Dropdowns!B:B,match(I3274,Dropdowns!A:A,0))</f>
        <v>1</v>
      </c>
      <c r="X3274" s="161" t="b">
        <f t="array" ref="X3274">index('Query Tool'!B:B,match(D3274,'Query Tool'!C:C,0))</f>
        <v>1</v>
      </c>
      <c r="Y3274" s="161" t="str">
        <f t="shared" si="6"/>
        <v>mccawpa01,2019-20</v>
      </c>
      <c r="Z3274" s="168" t="str">
        <f t="array" ref="Z3274">iferror(index(I:I,match($A3274&amp;","&amp;index('Year Conversion'!$A:$A,match($C3274,'Year Conversion'!$B:$B,0)),$Y:$Y,0))-I3274,"")</f>
        <v/>
      </c>
      <c r="AA3274" s="168" t="str">
        <f t="array" ref="AA3274">iferror(index(J:J,match($A3274&amp;","&amp;index('Year Conversion'!$A:$A,match($C3274,'Year Conversion'!$B:$B,0)),$Y:$Y,0))-J3274,"")</f>
        <v/>
      </c>
      <c r="AB3274" s="168" t="str">
        <f t="array" ref="AB3274">iferror(index(K:K,match($A3274&amp;","&amp;index('Year Conversion'!$A:$A,match($C3274,'Year Conversion'!$B:$B,0)),$Y:$Y,0))-K3274,"")</f>
        <v/>
      </c>
      <c r="AC3274" s="168" t="str">
        <f t="shared" si="7"/>
        <v>TOR,2019-20</v>
      </c>
    </row>
    <row r="3275">
      <c r="A3275" s="161" t="str">
        <f>IFERROR(__xludf.DUMMYFUNCTION("""COMPUTED_VALUE"""),"niangge01")</f>
        <v>niangge01</v>
      </c>
      <c r="B3275" s="161" t="str">
        <f>IFERROR(__xludf.DUMMYFUNCTION("""COMPUTED_VALUE"""),"Georges Niang")</f>
        <v>Georges Niang</v>
      </c>
      <c r="C3275" s="162" t="str">
        <f>IFERROR(__xludf.DUMMYFUNCTION("""COMPUTED_VALUE"""),"2019-20")</f>
        <v>2019-20</v>
      </c>
      <c r="D3275" s="163" t="str">
        <f>IFERROR(__xludf.DUMMYFUNCTION("""COMPUTED_VALUE"""),"UTA")</f>
        <v>UTA</v>
      </c>
      <c r="E3275" s="164" t="str">
        <f>IFERROR(__xludf.DUMMYFUNCTION("""COMPUTED_VALUE"""),"Stationary Shooter")</f>
        <v>Stationary Shooter</v>
      </c>
      <c r="F3275" s="164">
        <f>IFERROR(__xludf.DUMMYFUNCTION("""COMPUTED_VALUE"""),923.191666666667)</f>
        <v>923.1916667</v>
      </c>
      <c r="G3275" s="163">
        <f>IFERROR(__xludf.DUMMYFUNCTION("""COMPUTED_VALUE"""),66.0)</f>
        <v>66</v>
      </c>
      <c r="H3275" s="163" t="str">
        <f>IFERROR(__xludf.DUMMYFUNCTION("""COMPUTED_VALUE"""),"PF")</f>
        <v>PF</v>
      </c>
      <c r="I3275" s="163">
        <f>IFERROR(__xludf.DUMMYFUNCTION("""COMPUTED_VALUE"""),26.0)</f>
        <v>26</v>
      </c>
      <c r="J3275" s="165">
        <f>IFERROR(__xludf.DUMMYFUNCTION("""COMPUTED_VALUE"""),-1.39360747275644)</f>
        <v>-1.393607473</v>
      </c>
      <c r="K3275" s="165">
        <f>IFERROR(__xludf.DUMMYFUNCTION("""COMPUTED_VALUE"""),-0.107730954480318)</f>
        <v>-0.1077309545</v>
      </c>
      <c r="L3275" s="165">
        <f>IFERROR(__xludf.DUMMYFUNCTION("""COMPUTED_VALUE"""),-1.28587651827612)</f>
        <v>-1.285876518</v>
      </c>
      <c r="M3275" s="166">
        <f t="shared" si="2"/>
        <v>0.5581962519</v>
      </c>
      <c r="N3275" s="167">
        <f t="shared" si="3"/>
        <v>13.98775253</v>
      </c>
      <c r="O3275" s="163">
        <f t="shared" ref="O3275:Q3275" si="3279">rank(I3275,I:I)</f>
        <v>1665</v>
      </c>
      <c r="P3275" s="163">
        <f t="shared" si="3279"/>
        <v>2942</v>
      </c>
      <c r="Q3275" s="163">
        <f t="shared" si="3279"/>
        <v>1382</v>
      </c>
      <c r="R3275" s="163">
        <f>IFERROR(__xludf.DUMMYFUNCTION("RANK(M3275,filter(M:M,C:C=C3275))"),250.0)</f>
        <v>250</v>
      </c>
      <c r="S3275" s="161" t="b">
        <f t="shared" si="5"/>
        <v>0</v>
      </c>
      <c r="T3275" s="161" t="b">
        <f t="array" ref="T3275">index('Query Tool'!B:B,match(H3275,'Query Tool'!C:C,0))</f>
        <v>1</v>
      </c>
      <c r="U3275" s="161" t="b">
        <f t="array" ref="U3275">index('Query Tool'!B:B,match(C3275,'Query Tool'!C:C,0))</f>
        <v>0</v>
      </c>
      <c r="V3275" s="161" t="b">
        <f>F3275&gt;='Query Tool'!C$32</f>
        <v>1</v>
      </c>
      <c r="W3275" s="161" t="b">
        <f t="array" ref="W3275">index(Dropdowns!B:B,match(I3275,Dropdowns!A:A,0))</f>
        <v>1</v>
      </c>
      <c r="X3275" s="161" t="b">
        <f t="array" ref="X3275">index('Query Tool'!B:B,match(D3275,'Query Tool'!C:C,0))</f>
        <v>1</v>
      </c>
      <c r="Y3275" s="161" t="str">
        <f t="shared" si="6"/>
        <v>niangge01,2019-20</v>
      </c>
      <c r="Z3275" s="168" t="str">
        <f t="array" ref="Z3275">iferror(index(I:I,match($A3275&amp;","&amp;index('Year Conversion'!$A:$A,match($C3275,'Year Conversion'!$B:$B,0)),$Y:$Y,0))-I3275,"")</f>
        <v/>
      </c>
      <c r="AA3275" s="168" t="str">
        <f t="array" ref="AA3275">iferror(index(J:J,match($A3275&amp;","&amp;index('Year Conversion'!$A:$A,match($C3275,'Year Conversion'!$B:$B,0)),$Y:$Y,0))-J3275,"")</f>
        <v/>
      </c>
      <c r="AB3275" s="168" t="str">
        <f t="array" ref="AB3275">iferror(index(K:K,match($A3275&amp;","&amp;index('Year Conversion'!$A:$A,match($C3275,'Year Conversion'!$B:$B,0)),$Y:$Y,0))-K3275,"")</f>
        <v/>
      </c>
      <c r="AC3275" s="168" t="str">
        <f t="shared" si="7"/>
        <v>UTA,2019-20</v>
      </c>
    </row>
    <row r="3276">
      <c r="A3276" s="161" t="str">
        <f>IFERROR(__xludf.DUMMYFUNCTION("""COMPUTED_VALUE"""),"paytoga02")</f>
        <v>paytoga02</v>
      </c>
      <c r="B3276" s="161" t="str">
        <f>IFERROR(__xludf.DUMMYFUNCTION("""COMPUTED_VALUE"""),"Gary Payton II")</f>
        <v>Gary Payton II</v>
      </c>
      <c r="C3276" s="162" t="str">
        <f>IFERROR(__xludf.DUMMYFUNCTION("""COMPUTED_VALUE"""),"2019-20")</f>
        <v>2019-20</v>
      </c>
      <c r="D3276" s="163" t="str">
        <f>IFERROR(__xludf.DUMMYFUNCTION("""COMPUTED_VALUE"""),"WAS")</f>
        <v>WAS</v>
      </c>
      <c r="E3276" s="164" t="str">
        <f>IFERROR(__xludf.DUMMYFUNCTION("""COMPUTED_VALUE"""),"Athletic Finisher")</f>
        <v>Athletic Finisher</v>
      </c>
      <c r="F3276" s="164">
        <f>IFERROR(__xludf.DUMMYFUNCTION("""COMPUTED_VALUE"""),431.78)</f>
        <v>431.78</v>
      </c>
      <c r="G3276" s="163">
        <f>IFERROR(__xludf.DUMMYFUNCTION("""COMPUTED_VALUE"""),29.0)</f>
        <v>29</v>
      </c>
      <c r="H3276" s="163" t="str">
        <f>IFERROR(__xludf.DUMMYFUNCTION("""COMPUTED_VALUE"""),"SF")</f>
        <v>SF</v>
      </c>
      <c r="I3276" s="163">
        <f>IFERROR(__xludf.DUMMYFUNCTION("""COMPUTED_VALUE"""),27.0)</f>
        <v>27</v>
      </c>
      <c r="J3276" s="165">
        <f>IFERROR(__xludf.DUMMYFUNCTION("""COMPUTED_VALUE"""),-1.46441164791172)</f>
        <v>-1.464411648</v>
      </c>
      <c r="K3276" s="165">
        <f>IFERROR(__xludf.DUMMYFUNCTION("""COMPUTED_VALUE"""),-1.8164858265109)</f>
        <v>-1.816485827</v>
      </c>
      <c r="L3276" s="165">
        <f>IFERROR(__xludf.DUMMYFUNCTION("""COMPUTED_VALUE"""),0.352074178599187)</f>
        <v>0.3520741786</v>
      </c>
      <c r="M3276" s="166">
        <f t="shared" si="2"/>
        <v>0.2406335986</v>
      </c>
      <c r="N3276" s="167">
        <f t="shared" si="3"/>
        <v>14.88896552</v>
      </c>
      <c r="O3276" s="163">
        <f t="shared" ref="O3276:Q3276" si="3280">rank(I3276,I:I)</f>
        <v>1366</v>
      </c>
      <c r="P3276" s="163">
        <f t="shared" si="3280"/>
        <v>3023</v>
      </c>
      <c r="Q3276" s="163">
        <f t="shared" si="3280"/>
        <v>3582</v>
      </c>
      <c r="R3276" s="163">
        <f>IFERROR(__xludf.DUMMYFUNCTION("RANK(M3276,filter(M:M,C:C=C3276))"),324.0)</f>
        <v>324</v>
      </c>
      <c r="S3276" s="161" t="b">
        <f t="shared" si="5"/>
        <v>0</v>
      </c>
      <c r="T3276" s="161" t="b">
        <f t="array" ref="T3276">index('Query Tool'!B:B,match(H3276,'Query Tool'!C:C,0))</f>
        <v>1</v>
      </c>
      <c r="U3276" s="161" t="b">
        <f t="array" ref="U3276">index('Query Tool'!B:B,match(C3276,'Query Tool'!C:C,0))</f>
        <v>0</v>
      </c>
      <c r="V3276" s="161" t="b">
        <f>F3276&gt;='Query Tool'!C$32</f>
        <v>0</v>
      </c>
      <c r="W3276" s="161" t="b">
        <f t="array" ref="W3276">index(Dropdowns!B:B,match(I3276,Dropdowns!A:A,0))</f>
        <v>1</v>
      </c>
      <c r="X3276" s="161" t="b">
        <f t="array" ref="X3276">index('Query Tool'!B:B,match(D3276,'Query Tool'!C:C,0))</f>
        <v>1</v>
      </c>
      <c r="Y3276" s="161" t="str">
        <f t="shared" si="6"/>
        <v>paytoga02,2019-20</v>
      </c>
      <c r="Z3276" s="168" t="str">
        <f t="array" ref="Z3276">iferror(index(I:I,match($A3276&amp;","&amp;index('Year Conversion'!$A:$A,match($C3276,'Year Conversion'!$B:$B,0)),$Y:$Y,0))-I3276,"")</f>
        <v/>
      </c>
      <c r="AA3276" s="168" t="str">
        <f t="array" ref="AA3276">iferror(index(J:J,match($A3276&amp;","&amp;index('Year Conversion'!$A:$A,match($C3276,'Year Conversion'!$B:$B,0)),$Y:$Y,0))-J3276,"")</f>
        <v/>
      </c>
      <c r="AB3276" s="168" t="str">
        <f t="array" ref="AB3276">iferror(index(K:K,match($A3276&amp;","&amp;index('Year Conversion'!$A:$A,match($C3276,'Year Conversion'!$B:$B,0)),$Y:$Y,0))-K3276,"")</f>
        <v/>
      </c>
      <c r="AC3276" s="168" t="str">
        <f t="shared" si="7"/>
        <v>WAS,2019-20</v>
      </c>
    </row>
    <row r="3277">
      <c r="A3277" s="161" t="str">
        <f>IFERROR(__xludf.DUMMYFUNCTION("""COMPUTED_VALUE"""),"siakapa01")</f>
        <v>siakapa01</v>
      </c>
      <c r="B3277" s="161" t="str">
        <f>IFERROR(__xludf.DUMMYFUNCTION("""COMPUTED_VALUE"""),"Pascal Siakam")</f>
        <v>Pascal Siakam</v>
      </c>
      <c r="C3277" s="162" t="str">
        <f>IFERROR(__xludf.DUMMYFUNCTION("""COMPUTED_VALUE"""),"2019-20")</f>
        <v>2019-20</v>
      </c>
      <c r="D3277" s="163" t="str">
        <f>IFERROR(__xludf.DUMMYFUNCTION("""COMPUTED_VALUE"""),"TOR")</f>
        <v>TOR</v>
      </c>
      <c r="E3277" s="164" t="str">
        <f>IFERROR(__xludf.DUMMYFUNCTION("""COMPUTED_VALUE"""),"Shot Creator")</f>
        <v>Shot Creator</v>
      </c>
      <c r="F3277" s="164">
        <f>IFERROR(__xludf.DUMMYFUNCTION("""COMPUTED_VALUE"""),2110.16166666667)</f>
        <v>2110.161667</v>
      </c>
      <c r="G3277" s="163">
        <f>IFERROR(__xludf.DUMMYFUNCTION("""COMPUTED_VALUE"""),60.0)</f>
        <v>60</v>
      </c>
      <c r="H3277" s="163" t="str">
        <f>IFERROR(__xludf.DUMMYFUNCTION("""COMPUTED_VALUE"""),"PF")</f>
        <v>PF</v>
      </c>
      <c r="I3277" s="163">
        <f>IFERROR(__xludf.DUMMYFUNCTION("""COMPUTED_VALUE"""),25.0)</f>
        <v>25</v>
      </c>
      <c r="J3277" s="165">
        <f>IFERROR(__xludf.DUMMYFUNCTION("""COMPUTED_VALUE"""),1.21234272885556)</f>
        <v>1.212342729</v>
      </c>
      <c r="K3277" s="165">
        <f>IFERROR(__xludf.DUMMYFUNCTION("""COMPUTED_VALUE"""),0.347671912405973)</f>
        <v>0.3476719124</v>
      </c>
      <c r="L3277" s="165">
        <f>IFERROR(__xludf.DUMMYFUNCTION("""COMPUTED_VALUE"""),0.864670816449587)</f>
        <v>0.8646708164</v>
      </c>
      <c r="M3277" s="166">
        <f t="shared" si="2"/>
        <v>4.974391734</v>
      </c>
      <c r="N3277" s="167">
        <f t="shared" si="3"/>
        <v>35.16936111</v>
      </c>
      <c r="O3277" s="163">
        <f t="shared" ref="O3277:Q3277" si="3281">rank(I3277,I:I)</f>
        <v>1995</v>
      </c>
      <c r="P3277" s="163">
        <f t="shared" si="3281"/>
        <v>568</v>
      </c>
      <c r="Q3277" s="163">
        <f t="shared" si="3281"/>
        <v>868</v>
      </c>
      <c r="R3277" s="163">
        <f>IFERROR(__xludf.DUMMYFUNCTION("RANK(M3277,filter(M:M,C:C=C3277))"),38.0)</f>
        <v>38</v>
      </c>
      <c r="S3277" s="161" t="b">
        <f t="shared" si="5"/>
        <v>0</v>
      </c>
      <c r="T3277" s="161" t="b">
        <f t="array" ref="T3277">index('Query Tool'!B:B,match(H3277,'Query Tool'!C:C,0))</f>
        <v>1</v>
      </c>
      <c r="U3277" s="161" t="b">
        <f t="array" ref="U3277">index('Query Tool'!B:B,match(C3277,'Query Tool'!C:C,0))</f>
        <v>0</v>
      </c>
      <c r="V3277" s="161" t="b">
        <f>F3277&gt;='Query Tool'!C$32</f>
        <v>1</v>
      </c>
      <c r="W3277" s="161" t="b">
        <f t="array" ref="W3277">index(Dropdowns!B:B,match(I3277,Dropdowns!A:A,0))</f>
        <v>1</v>
      </c>
      <c r="X3277" s="161" t="b">
        <f t="array" ref="X3277">index('Query Tool'!B:B,match(D3277,'Query Tool'!C:C,0))</f>
        <v>1</v>
      </c>
      <c r="Y3277" s="161" t="str">
        <f t="shared" si="6"/>
        <v>siakapa01,2019-20</v>
      </c>
      <c r="Z3277" s="168" t="str">
        <f t="array" ref="Z3277">iferror(index(I:I,match($A3277&amp;","&amp;index('Year Conversion'!$A:$A,match($C3277,'Year Conversion'!$B:$B,0)),$Y:$Y,0))-I3277,"")</f>
        <v/>
      </c>
      <c r="AA3277" s="168" t="str">
        <f t="array" ref="AA3277">iferror(index(J:J,match($A3277&amp;","&amp;index('Year Conversion'!$A:$A,match($C3277,'Year Conversion'!$B:$B,0)),$Y:$Y,0))-J3277,"")</f>
        <v/>
      </c>
      <c r="AB3277" s="168" t="str">
        <f t="array" ref="AB3277">iferror(index(K:K,match($A3277&amp;","&amp;index('Year Conversion'!$A:$A,match($C3277,'Year Conversion'!$B:$B,0)),$Y:$Y,0))-K3277,"")</f>
        <v/>
      </c>
      <c r="AC3277" s="168" t="str">
        <f t="shared" si="7"/>
        <v>TOR,2019-20</v>
      </c>
    </row>
    <row r="3278">
      <c r="A3278" s="161" t="str">
        <f>IFERROR(__xludf.DUMMYFUNCTION("""COMPUTED_VALUE"""),"uthofja01")</f>
        <v>uthofja01</v>
      </c>
      <c r="B3278" s="161" t="str">
        <f>IFERROR(__xludf.DUMMYFUNCTION("""COMPUTED_VALUE"""),"Jarrod Uthoff")</f>
        <v>Jarrod Uthoff</v>
      </c>
      <c r="C3278" s="162" t="str">
        <f>IFERROR(__xludf.DUMMYFUNCTION("""COMPUTED_VALUE"""),"2019-20")</f>
        <v>2019-20</v>
      </c>
      <c r="D3278" s="163" t="str">
        <f>IFERROR(__xludf.DUMMYFUNCTION("""COMPUTED_VALUE"""),"TOT")</f>
        <v>TOT</v>
      </c>
      <c r="E3278" s="164" t="str">
        <f>IFERROR(__xludf.DUMMYFUNCTION("""COMPUTED_VALUE"""),"Stretch Big")</f>
        <v>Stretch Big</v>
      </c>
      <c r="F3278" s="164">
        <f>IFERROR(__xludf.DUMMYFUNCTION("""COMPUTED_VALUE"""),53.15)</f>
        <v>53.15</v>
      </c>
      <c r="G3278" s="163">
        <f>IFERROR(__xludf.DUMMYFUNCTION("""COMPUTED_VALUE"""),7.0)</f>
        <v>7</v>
      </c>
      <c r="H3278" s="163" t="str">
        <f>IFERROR(__xludf.DUMMYFUNCTION("""COMPUTED_VALUE"""),"PF")</f>
        <v>PF</v>
      </c>
      <c r="I3278" s="163">
        <f>IFERROR(__xludf.DUMMYFUNCTION("""COMPUTED_VALUE"""),26.0)</f>
        <v>26</v>
      </c>
      <c r="J3278" s="165">
        <f>IFERROR(__xludf.DUMMYFUNCTION("""COMPUTED_VALUE"""),-0.415107565851938)</f>
        <v>-0.4151075659</v>
      </c>
      <c r="K3278" s="165">
        <f>IFERROR(__xludf.DUMMYFUNCTION("""COMPUTED_VALUE"""),-0.311242467907964)</f>
        <v>-0.3112424679</v>
      </c>
      <c r="L3278" s="165">
        <f>IFERROR(__xludf.DUMMYFUNCTION("""COMPUTED_VALUE"""),-0.103865097943974)</f>
        <v>-0.1038650979</v>
      </c>
      <c r="M3278" s="166">
        <f t="shared" si="2"/>
        <v>0.06706851521</v>
      </c>
      <c r="N3278" s="167">
        <f t="shared" si="3"/>
        <v>7.592857143</v>
      </c>
      <c r="O3278" s="163">
        <f t="shared" ref="O3278:Q3278" si="3282">rank(I3278,I:I)</f>
        <v>1665</v>
      </c>
      <c r="P3278" s="163">
        <f t="shared" si="3282"/>
        <v>1747</v>
      </c>
      <c r="Q3278" s="163">
        <f t="shared" si="3282"/>
        <v>1777</v>
      </c>
      <c r="R3278" s="163">
        <f>IFERROR(__xludf.DUMMYFUNCTION("RANK(M3278,filter(M:M,C:C=C3278))"),413.0)</f>
        <v>413</v>
      </c>
      <c r="S3278" s="161" t="b">
        <f t="shared" si="5"/>
        <v>0</v>
      </c>
      <c r="T3278" s="161" t="b">
        <f t="array" ref="T3278">index('Query Tool'!B:B,match(H3278,'Query Tool'!C:C,0))</f>
        <v>1</v>
      </c>
      <c r="U3278" s="161" t="b">
        <f t="array" ref="U3278">index('Query Tool'!B:B,match(C3278,'Query Tool'!C:C,0))</f>
        <v>0</v>
      </c>
      <c r="V3278" s="161" t="b">
        <f>F3278&gt;='Query Tool'!C$32</f>
        <v>0</v>
      </c>
      <c r="W3278" s="161" t="b">
        <f t="array" ref="W3278">index(Dropdowns!B:B,match(I3278,Dropdowns!A:A,0))</f>
        <v>1</v>
      </c>
      <c r="X3278" s="161" t="b">
        <f t="array" ref="X3278">index('Query Tool'!B:B,match(D3278,'Query Tool'!C:C,0))</f>
        <v>1</v>
      </c>
      <c r="Y3278" s="161" t="str">
        <f t="shared" si="6"/>
        <v>uthofja01,2019-20</v>
      </c>
      <c r="Z3278" s="168" t="str">
        <f t="array" ref="Z3278">iferror(index(I:I,match($A3278&amp;","&amp;index('Year Conversion'!$A:$A,match($C3278,'Year Conversion'!$B:$B,0)),$Y:$Y,0))-I3278,"")</f>
        <v/>
      </c>
      <c r="AA3278" s="168" t="str">
        <f t="array" ref="AA3278">iferror(index(J:J,match($A3278&amp;","&amp;index('Year Conversion'!$A:$A,match($C3278,'Year Conversion'!$B:$B,0)),$Y:$Y,0))-J3278,"")</f>
        <v/>
      </c>
      <c r="AB3278" s="168" t="str">
        <f t="array" ref="AB3278">iferror(index(K:K,match($A3278&amp;","&amp;index('Year Conversion'!$A:$A,match($C3278,'Year Conversion'!$B:$B,0)),$Y:$Y,0))-K3278,"")</f>
        <v/>
      </c>
      <c r="AC3278" s="168" t="str">
        <f t="shared" si="7"/>
        <v>TOT,2019-20</v>
      </c>
    </row>
    <row r="3279">
      <c r="A3279" s="161" t="str">
        <f>IFERROR(__xludf.DUMMYFUNCTION("""COMPUTED_VALUE"""),"korkmfu01")</f>
        <v>korkmfu01</v>
      </c>
      <c r="B3279" s="161" t="str">
        <f>IFERROR(__xludf.DUMMYFUNCTION("""COMPUTED_VALUE"""),"Furkan Korkmaz")</f>
        <v>Furkan Korkmaz</v>
      </c>
      <c r="C3279" s="162" t="str">
        <f>IFERROR(__xludf.DUMMYFUNCTION("""COMPUTED_VALUE"""),"2019-20")</f>
        <v>2019-20</v>
      </c>
      <c r="D3279" s="163" t="str">
        <f>IFERROR(__xludf.DUMMYFUNCTION("""COMPUTED_VALUE"""),"PHI")</f>
        <v>PHI</v>
      </c>
      <c r="E3279" s="164" t="str">
        <f>IFERROR(__xludf.DUMMYFUNCTION("""COMPUTED_VALUE"""),"Movement Shooter")</f>
        <v>Movement Shooter</v>
      </c>
      <c r="F3279" s="164">
        <f>IFERROR(__xludf.DUMMYFUNCTION("""COMPUTED_VALUE"""),1558.91333333333)</f>
        <v>1558.913333</v>
      </c>
      <c r="G3279" s="163">
        <f>IFERROR(__xludf.DUMMYFUNCTION("""COMPUTED_VALUE"""),72.0)</f>
        <v>72</v>
      </c>
      <c r="H3279" s="163" t="str">
        <f>IFERROR(__xludf.DUMMYFUNCTION("""COMPUTED_VALUE"""),"SG")</f>
        <v>SG</v>
      </c>
      <c r="I3279" s="163">
        <f>IFERROR(__xludf.DUMMYFUNCTION("""COMPUTED_VALUE"""),22.0)</f>
        <v>22</v>
      </c>
      <c r="J3279" s="165">
        <f>IFERROR(__xludf.DUMMYFUNCTION("""COMPUTED_VALUE"""),-1.6215074588791)</f>
        <v>-1.621507459</v>
      </c>
      <c r="K3279" s="165">
        <f>IFERROR(__xludf.DUMMYFUNCTION("""COMPUTED_VALUE"""),-0.577442561100683)</f>
        <v>-0.5774425611</v>
      </c>
      <c r="L3279" s="165">
        <f>IFERROR(__xludf.DUMMYFUNCTION("""COMPUTED_VALUE"""),-1.04406489777841)</f>
        <v>-1.044064898</v>
      </c>
      <c r="M3279" s="166">
        <f t="shared" si="2"/>
        <v>0.7053123329</v>
      </c>
      <c r="N3279" s="167">
        <f t="shared" si="3"/>
        <v>21.65157407</v>
      </c>
      <c r="O3279" s="163">
        <f t="shared" ref="O3279:Q3279" si="3283">rank(I3279,I:I)</f>
        <v>3178</v>
      </c>
      <c r="P3279" s="163">
        <f t="shared" si="3283"/>
        <v>3169</v>
      </c>
      <c r="Q3279" s="163">
        <f t="shared" si="3283"/>
        <v>2229</v>
      </c>
      <c r="R3279" s="163">
        <f>IFERROR(__xludf.DUMMYFUNCTION("RANK(M3279,filter(M:M,C:C=C3279))"),236.0)</f>
        <v>236</v>
      </c>
      <c r="S3279" s="161" t="b">
        <f t="shared" si="5"/>
        <v>0</v>
      </c>
      <c r="T3279" s="161" t="b">
        <f t="array" ref="T3279">index('Query Tool'!B:B,match(H3279,'Query Tool'!C:C,0))</f>
        <v>1</v>
      </c>
      <c r="U3279" s="161" t="b">
        <f t="array" ref="U3279">index('Query Tool'!B:B,match(C3279,'Query Tool'!C:C,0))</f>
        <v>0</v>
      </c>
      <c r="V3279" s="161" t="b">
        <f>F3279&gt;='Query Tool'!C$32</f>
        <v>1</v>
      </c>
      <c r="W3279" s="161" t="b">
        <f t="array" ref="W3279">index(Dropdowns!B:B,match(I3279,Dropdowns!A:A,0))</f>
        <v>1</v>
      </c>
      <c r="X3279" s="161" t="b">
        <f t="array" ref="X3279">index('Query Tool'!B:B,match(D3279,'Query Tool'!C:C,0))</f>
        <v>1</v>
      </c>
      <c r="Y3279" s="161" t="str">
        <f t="shared" si="6"/>
        <v>korkmfu01,2019-20</v>
      </c>
      <c r="Z3279" s="168" t="str">
        <f t="array" ref="Z3279">iferror(index(I:I,match($A3279&amp;","&amp;index('Year Conversion'!$A:$A,match($C3279,'Year Conversion'!$B:$B,0)),$Y:$Y,0))-I3279,"")</f>
        <v/>
      </c>
      <c r="AA3279" s="168" t="str">
        <f t="array" ref="AA3279">iferror(index(J:J,match($A3279&amp;","&amp;index('Year Conversion'!$A:$A,match($C3279,'Year Conversion'!$B:$B,0)),$Y:$Y,0))-J3279,"")</f>
        <v/>
      </c>
      <c r="AB3279" s="168" t="str">
        <f t="array" ref="AB3279">iferror(index(K:K,match($A3279&amp;","&amp;index('Year Conversion'!$A:$A,match($C3279,'Year Conversion'!$B:$B,0)),$Y:$Y,0))-K3279,"")</f>
        <v/>
      </c>
      <c r="AC3279" s="168" t="str">
        <f t="shared" si="7"/>
        <v>PHI,2019-20</v>
      </c>
    </row>
    <row r="3280">
      <c r="A3280" s="161" t="str">
        <f>IFERROR(__xludf.DUMMYFUNCTION("""COMPUTED_VALUE"""),"luwawti01")</f>
        <v>luwawti01</v>
      </c>
      <c r="B3280" s="161" t="str">
        <f>IFERROR(__xludf.DUMMYFUNCTION("""COMPUTED_VALUE"""),"Timothe Luwawu-Cabarrot")</f>
        <v>Timothe Luwawu-Cabarrot</v>
      </c>
      <c r="C3280" s="162" t="str">
        <f>IFERROR(__xludf.DUMMYFUNCTION("""COMPUTED_VALUE"""),"2019-20")</f>
        <v>2019-20</v>
      </c>
      <c r="D3280" s="163" t="str">
        <f>IFERROR(__xludf.DUMMYFUNCTION("""COMPUTED_VALUE"""),"BRK")</f>
        <v>BRK</v>
      </c>
      <c r="E3280" s="164" t="str">
        <f>IFERROR(__xludf.DUMMYFUNCTION("""COMPUTED_VALUE"""),"Stationary Shooter")</f>
        <v>Stationary Shooter</v>
      </c>
      <c r="F3280" s="164">
        <f>IFERROR(__xludf.DUMMYFUNCTION("""COMPUTED_VALUE"""),852.666666666667)</f>
        <v>852.6666667</v>
      </c>
      <c r="G3280" s="163">
        <f>IFERROR(__xludf.DUMMYFUNCTION("""COMPUTED_VALUE"""),47.0)</f>
        <v>47</v>
      </c>
      <c r="H3280" s="163" t="str">
        <f>IFERROR(__xludf.DUMMYFUNCTION("""COMPUTED_VALUE"""),"SF")</f>
        <v>SF</v>
      </c>
      <c r="I3280" s="163">
        <f>IFERROR(__xludf.DUMMYFUNCTION("""COMPUTED_VALUE"""),24.0)</f>
        <v>24</v>
      </c>
      <c r="J3280" s="165">
        <f>IFERROR(__xludf.DUMMYFUNCTION("""COMPUTED_VALUE"""),-1.82064337515942)</f>
        <v>-1.820643375</v>
      </c>
      <c r="K3280" s="165">
        <f>IFERROR(__xludf.DUMMYFUNCTION("""COMPUTED_VALUE"""),-1.50513920639089)</f>
        <v>-1.505139206</v>
      </c>
      <c r="L3280" s="165">
        <f>IFERROR(__xludf.DUMMYFUNCTION("""COMPUTED_VALUE"""),-0.315504168768526)</f>
        <v>-0.3155041688</v>
      </c>
      <c r="M3280" s="166">
        <f t="shared" si="2"/>
        <v>0.2727072113</v>
      </c>
      <c r="N3280" s="167">
        <f t="shared" si="3"/>
        <v>18.14184397</v>
      </c>
      <c r="O3280" s="163">
        <f t="shared" ref="O3280:Q3280" si="3284">rank(I3280,I:I)</f>
        <v>2361</v>
      </c>
      <c r="P3280" s="163">
        <f t="shared" si="3284"/>
        <v>3356</v>
      </c>
      <c r="Q3280" s="163">
        <f t="shared" si="3284"/>
        <v>3361</v>
      </c>
      <c r="R3280" s="163">
        <f>IFERROR(__xludf.DUMMYFUNCTION("RANK(M3280,filter(M:M,C:C=C3280))"),314.0)</f>
        <v>314</v>
      </c>
      <c r="S3280" s="161" t="b">
        <f t="shared" si="5"/>
        <v>0</v>
      </c>
      <c r="T3280" s="161" t="b">
        <f t="array" ref="T3280">index('Query Tool'!B:B,match(H3280,'Query Tool'!C:C,0))</f>
        <v>1</v>
      </c>
      <c r="U3280" s="161" t="b">
        <f t="array" ref="U3280">index('Query Tool'!B:B,match(C3280,'Query Tool'!C:C,0))</f>
        <v>0</v>
      </c>
      <c r="V3280" s="161" t="b">
        <f>F3280&gt;='Query Tool'!C$32</f>
        <v>1</v>
      </c>
      <c r="W3280" s="161" t="b">
        <f t="array" ref="W3280">index(Dropdowns!B:B,match(I3280,Dropdowns!A:A,0))</f>
        <v>1</v>
      </c>
      <c r="X3280" s="161" t="b">
        <f t="array" ref="X3280">index('Query Tool'!B:B,match(D3280,'Query Tool'!C:C,0))</f>
        <v>1</v>
      </c>
      <c r="Y3280" s="161" t="str">
        <f t="shared" si="6"/>
        <v>luwawti01,2019-20</v>
      </c>
      <c r="Z3280" s="168" t="str">
        <f t="array" ref="Z3280">iferror(index(I:I,match($A3280&amp;","&amp;index('Year Conversion'!$A:$A,match($C3280,'Year Conversion'!$B:$B,0)),$Y:$Y,0))-I3280,"")</f>
        <v/>
      </c>
      <c r="AA3280" s="168" t="str">
        <f t="array" ref="AA3280">iferror(index(J:J,match($A3280&amp;","&amp;index('Year Conversion'!$A:$A,match($C3280,'Year Conversion'!$B:$B,0)),$Y:$Y,0))-J3280,"")</f>
        <v/>
      </c>
      <c r="AB3280" s="168" t="str">
        <f t="array" ref="AB3280">iferror(index(K:K,match($A3280&amp;","&amp;index('Year Conversion'!$A:$A,match($C3280,'Year Conversion'!$B:$B,0)),$Y:$Y,0))-K3280,"")</f>
        <v/>
      </c>
      <c r="AC3280" s="168" t="str">
        <f t="shared" si="7"/>
        <v>BRK,2019-20</v>
      </c>
    </row>
    <row r="3281">
      <c r="A3281" s="161" t="str">
        <f>IFERROR(__xludf.DUMMYFUNCTION("""COMPUTED_VALUE"""),"zizican01")</f>
        <v>zizican01</v>
      </c>
      <c r="B3281" s="161" t="str">
        <f>IFERROR(__xludf.DUMMYFUNCTION("""COMPUTED_VALUE"""),"Ante Zizic")</f>
        <v>Ante Zizic</v>
      </c>
      <c r="C3281" s="162" t="str">
        <f>IFERROR(__xludf.DUMMYFUNCTION("""COMPUTED_VALUE"""),"2019-20")</f>
        <v>2019-20</v>
      </c>
      <c r="D3281" s="163" t="str">
        <f>IFERROR(__xludf.DUMMYFUNCTION("""COMPUTED_VALUE"""),"CLE")</f>
        <v>CLE</v>
      </c>
      <c r="E3281" s="164" t="str">
        <f>IFERROR(__xludf.DUMMYFUNCTION("""COMPUTED_VALUE"""),"Post Scorer")</f>
        <v>Post Scorer</v>
      </c>
      <c r="F3281" s="164">
        <f>IFERROR(__xludf.DUMMYFUNCTION("""COMPUTED_VALUE"""),220.621666666667)</f>
        <v>220.6216667</v>
      </c>
      <c r="G3281" s="163">
        <f>IFERROR(__xludf.DUMMYFUNCTION("""COMPUTED_VALUE"""),22.0)</f>
        <v>22</v>
      </c>
      <c r="H3281" s="163" t="str">
        <f>IFERROR(__xludf.DUMMYFUNCTION("""COMPUTED_VALUE"""),"C")</f>
        <v>C</v>
      </c>
      <c r="I3281" s="163">
        <f>IFERROR(__xludf.DUMMYFUNCTION("""COMPUTED_VALUE"""),23.0)</f>
        <v>23</v>
      </c>
      <c r="J3281" s="165">
        <f>IFERROR(__xludf.DUMMYFUNCTION("""COMPUTED_VALUE"""),0.301762561252624)</f>
        <v>0.3017625613</v>
      </c>
      <c r="K3281" s="165">
        <f>IFERROR(__xludf.DUMMYFUNCTION("""COMPUTED_VALUE"""),-0.132307398931216)</f>
        <v>-0.1323073989</v>
      </c>
      <c r="L3281" s="165">
        <f>IFERROR(__xludf.DUMMYFUNCTION("""COMPUTED_VALUE"""),0.43406996018384)</f>
        <v>0.4340699602</v>
      </c>
      <c r="M3281" s="166">
        <f t="shared" si="2"/>
        <v>0.3850038215</v>
      </c>
      <c r="N3281" s="167">
        <f t="shared" si="3"/>
        <v>10.02825758</v>
      </c>
      <c r="O3281" s="163">
        <f t="shared" ref="O3281:Q3281" si="3285">rank(I3281,I:I)</f>
        <v>2765</v>
      </c>
      <c r="P3281" s="163">
        <f t="shared" si="3285"/>
        <v>1020</v>
      </c>
      <c r="Q3281" s="163">
        <f t="shared" si="3285"/>
        <v>1443</v>
      </c>
      <c r="R3281" s="163">
        <f>IFERROR(__xludf.DUMMYFUNCTION("RANK(M3281,filter(M:M,C:C=C3281))"),278.0)</f>
        <v>278</v>
      </c>
      <c r="S3281" s="161" t="b">
        <f t="shared" si="5"/>
        <v>0</v>
      </c>
      <c r="T3281" s="161" t="b">
        <f t="array" ref="T3281">index('Query Tool'!B:B,match(H3281,'Query Tool'!C:C,0))</f>
        <v>1</v>
      </c>
      <c r="U3281" s="161" t="b">
        <f t="array" ref="U3281">index('Query Tool'!B:B,match(C3281,'Query Tool'!C:C,0))</f>
        <v>0</v>
      </c>
      <c r="V3281" s="161" t="b">
        <f>F3281&gt;='Query Tool'!C$32</f>
        <v>0</v>
      </c>
      <c r="W3281" s="161" t="b">
        <f t="array" ref="W3281">index(Dropdowns!B:B,match(I3281,Dropdowns!A:A,0))</f>
        <v>1</v>
      </c>
      <c r="X3281" s="161" t="b">
        <f t="array" ref="X3281">index('Query Tool'!B:B,match(D3281,'Query Tool'!C:C,0))</f>
        <v>1</v>
      </c>
      <c r="Y3281" s="161" t="str">
        <f t="shared" si="6"/>
        <v>zizican01,2019-20</v>
      </c>
      <c r="Z3281" s="168" t="str">
        <f t="array" ref="Z3281">iferror(index(I:I,match($A3281&amp;","&amp;index('Year Conversion'!$A:$A,match($C3281,'Year Conversion'!$B:$B,0)),$Y:$Y,0))-I3281,"")</f>
        <v/>
      </c>
      <c r="AA3281" s="168" t="str">
        <f t="array" ref="AA3281">iferror(index(J:J,match($A3281&amp;","&amp;index('Year Conversion'!$A:$A,match($C3281,'Year Conversion'!$B:$B,0)),$Y:$Y,0))-J3281,"")</f>
        <v/>
      </c>
      <c r="AB3281" s="168" t="str">
        <f t="array" ref="AB3281">iferror(index(K:K,match($A3281&amp;","&amp;index('Year Conversion'!$A:$A,match($C3281,'Year Conversion'!$B:$B,0)),$Y:$Y,0))-K3281,"")</f>
        <v/>
      </c>
      <c r="AC3281" s="168" t="str">
        <f t="shared" si="7"/>
        <v>CLE,2019-20</v>
      </c>
    </row>
    <row r="3282">
      <c r="A3282" s="161" t="str">
        <f>IFERROR(__xludf.DUMMYFUNCTION("""COMPUTED_VALUE"""),"ferreyo01")</f>
        <v>ferreyo01</v>
      </c>
      <c r="B3282" s="161" t="str">
        <f>IFERROR(__xludf.DUMMYFUNCTION("""COMPUTED_VALUE"""),"Yogi Ferrell")</f>
        <v>Yogi Ferrell</v>
      </c>
      <c r="C3282" s="162" t="str">
        <f>IFERROR(__xludf.DUMMYFUNCTION("""COMPUTED_VALUE"""),"2019-20")</f>
        <v>2019-20</v>
      </c>
      <c r="D3282" s="163" t="str">
        <f>IFERROR(__xludf.DUMMYFUNCTION("""COMPUTED_VALUE"""),"SAC")</f>
        <v>SAC</v>
      </c>
      <c r="E3282" s="164" t="str">
        <f>IFERROR(__xludf.DUMMYFUNCTION("""COMPUTED_VALUE"""),"Secondary Ball Handler")</f>
        <v>Secondary Ball Handler</v>
      </c>
      <c r="F3282" s="164">
        <f>IFERROR(__xludf.DUMMYFUNCTION("""COMPUTED_VALUE"""),529.76)</f>
        <v>529.76</v>
      </c>
      <c r="G3282" s="163">
        <f>IFERROR(__xludf.DUMMYFUNCTION("""COMPUTED_VALUE"""),50.0)</f>
        <v>50</v>
      </c>
      <c r="H3282" s="163" t="str">
        <f>IFERROR(__xludf.DUMMYFUNCTION("""COMPUTED_VALUE"""),"PG")</f>
        <v>PG</v>
      </c>
      <c r="I3282" s="163">
        <f>IFERROR(__xludf.DUMMYFUNCTION("""COMPUTED_VALUE"""),26.0)</f>
        <v>26</v>
      </c>
      <c r="J3282" s="165">
        <f>IFERROR(__xludf.DUMMYFUNCTION("""COMPUTED_VALUE"""),-0.232387052248354)</f>
        <v>-0.2323870522</v>
      </c>
      <c r="K3282" s="165">
        <f>IFERROR(__xludf.DUMMYFUNCTION("""COMPUTED_VALUE"""),-0.0690365833689192)</f>
        <v>-0.06903658337</v>
      </c>
      <c r="L3282" s="165">
        <f>IFERROR(__xludf.DUMMYFUNCTION("""COMPUTED_VALUE"""),-0.163350468879435)</f>
        <v>-0.1633504689</v>
      </c>
      <c r="M3282" s="166">
        <f t="shared" si="2"/>
        <v>0.7337204796</v>
      </c>
      <c r="N3282" s="167">
        <f t="shared" si="3"/>
        <v>10.5952</v>
      </c>
      <c r="O3282" s="163">
        <f t="shared" ref="O3282:Q3282" si="3286">rank(I3282,I:I)</f>
        <v>1665</v>
      </c>
      <c r="P3282" s="163">
        <f t="shared" si="3286"/>
        <v>1538</v>
      </c>
      <c r="Q3282" s="163">
        <f t="shared" si="3286"/>
        <v>1305</v>
      </c>
      <c r="R3282" s="163">
        <f>IFERROR(__xludf.DUMMYFUNCTION("RANK(M3282,filter(M:M,C:C=C3282))"),232.0)</f>
        <v>232</v>
      </c>
      <c r="S3282" s="161" t="b">
        <f t="shared" si="5"/>
        <v>0</v>
      </c>
      <c r="T3282" s="161" t="b">
        <f t="array" ref="T3282">index('Query Tool'!B:B,match(H3282,'Query Tool'!C:C,0))</f>
        <v>1</v>
      </c>
      <c r="U3282" s="161" t="b">
        <f t="array" ref="U3282">index('Query Tool'!B:B,match(C3282,'Query Tool'!C:C,0))</f>
        <v>0</v>
      </c>
      <c r="V3282" s="161" t="b">
        <f>F3282&gt;='Query Tool'!C$32</f>
        <v>1</v>
      </c>
      <c r="W3282" s="161" t="b">
        <f t="array" ref="W3282">index(Dropdowns!B:B,match(I3282,Dropdowns!A:A,0))</f>
        <v>1</v>
      </c>
      <c r="X3282" s="161" t="b">
        <f t="array" ref="X3282">index('Query Tool'!B:B,match(D3282,'Query Tool'!C:C,0))</f>
        <v>1</v>
      </c>
      <c r="Y3282" s="161" t="str">
        <f t="shared" si="6"/>
        <v>ferreyo01,2019-20</v>
      </c>
      <c r="Z3282" s="168" t="str">
        <f t="array" ref="Z3282">iferror(index(I:I,match($A3282&amp;","&amp;index('Year Conversion'!$A:$A,match($C3282,'Year Conversion'!$B:$B,0)),$Y:$Y,0))-I3282,"")</f>
        <v/>
      </c>
      <c r="AA3282" s="168" t="str">
        <f t="array" ref="AA3282">iferror(index(J:J,match($A3282&amp;","&amp;index('Year Conversion'!$A:$A,match($C3282,'Year Conversion'!$B:$B,0)),$Y:$Y,0))-J3282,"")</f>
        <v/>
      </c>
      <c r="AB3282" s="168" t="str">
        <f t="array" ref="AB3282">iferror(index(K:K,match($A3282&amp;","&amp;index('Year Conversion'!$A:$A,match($C3282,'Year Conversion'!$B:$B,0)),$Y:$Y,0))-K3282,"")</f>
        <v/>
      </c>
      <c r="AC3282" s="168" t="str">
        <f t="shared" si="7"/>
        <v>SAC,2019-20</v>
      </c>
    </row>
    <row r="3283">
      <c r="A3283" s="161" t="str">
        <f>IFERROR(__xludf.DUMMYFUNCTION("""COMPUTED_VALUE"""),"leeda03")</f>
        <v>leeda03</v>
      </c>
      <c r="B3283" s="161" t="str">
        <f>IFERROR(__xludf.DUMMYFUNCTION("""COMPUTED_VALUE"""),"Damion Lee")</f>
        <v>Damion Lee</v>
      </c>
      <c r="C3283" s="162" t="str">
        <f>IFERROR(__xludf.DUMMYFUNCTION("""COMPUTED_VALUE"""),"2019-20")</f>
        <v>2019-20</v>
      </c>
      <c r="D3283" s="163" t="str">
        <f>IFERROR(__xludf.DUMMYFUNCTION("""COMPUTED_VALUE"""),"GSW")</f>
        <v>GSW</v>
      </c>
      <c r="E3283" s="164" t="str">
        <f>IFERROR(__xludf.DUMMYFUNCTION("""COMPUTED_VALUE"""),"Off Screen Shooter")</f>
        <v>Off Screen Shooter</v>
      </c>
      <c r="F3283" s="164">
        <f>IFERROR(__xludf.DUMMYFUNCTION("""COMPUTED_VALUE"""),1422.59333333333)</f>
        <v>1422.593333</v>
      </c>
      <c r="G3283" s="163">
        <f>IFERROR(__xludf.DUMMYFUNCTION("""COMPUTED_VALUE"""),49.0)</f>
        <v>49</v>
      </c>
      <c r="H3283" s="163" t="str">
        <f>IFERROR(__xludf.DUMMYFUNCTION("""COMPUTED_VALUE"""),"SG")</f>
        <v>SG</v>
      </c>
      <c r="I3283" s="163">
        <f>IFERROR(__xludf.DUMMYFUNCTION("""COMPUTED_VALUE"""),27.0)</f>
        <v>27</v>
      </c>
      <c r="J3283" s="165">
        <f>IFERROR(__xludf.DUMMYFUNCTION("""COMPUTED_VALUE"""),0.334215137930873)</f>
        <v>0.3342151379</v>
      </c>
      <c r="K3283" s="165">
        <f>IFERROR(__xludf.DUMMYFUNCTION("""COMPUTED_VALUE"""),-0.384501738876365)</f>
        <v>-0.3845017389</v>
      </c>
      <c r="L3283" s="165">
        <f>IFERROR(__xludf.DUMMYFUNCTION("""COMPUTED_VALUE"""),0.718716876807238)</f>
        <v>0.7187168768</v>
      </c>
      <c r="M3283" s="166">
        <f t="shared" si="2"/>
        <v>2.513660041</v>
      </c>
      <c r="N3283" s="167">
        <f t="shared" si="3"/>
        <v>29.03251701</v>
      </c>
      <c r="O3283" s="163">
        <f t="shared" ref="O3283:Q3283" si="3287">rank(I3283,I:I)</f>
        <v>1366</v>
      </c>
      <c r="P3283" s="163">
        <f t="shared" si="3287"/>
        <v>996</v>
      </c>
      <c r="Q3283" s="163">
        <f t="shared" si="3287"/>
        <v>1923</v>
      </c>
      <c r="R3283" s="163">
        <f>IFERROR(__xludf.DUMMYFUNCTION("RANK(M3283,filter(M:M,C:C=C3283))"),122.0)</f>
        <v>122</v>
      </c>
      <c r="S3283" s="161" t="b">
        <f t="shared" si="5"/>
        <v>0</v>
      </c>
      <c r="T3283" s="161" t="b">
        <f t="array" ref="T3283">index('Query Tool'!B:B,match(H3283,'Query Tool'!C:C,0))</f>
        <v>1</v>
      </c>
      <c r="U3283" s="161" t="b">
        <f t="array" ref="U3283">index('Query Tool'!B:B,match(C3283,'Query Tool'!C:C,0))</f>
        <v>0</v>
      </c>
      <c r="V3283" s="161" t="b">
        <f>F3283&gt;='Query Tool'!C$32</f>
        <v>1</v>
      </c>
      <c r="W3283" s="161" t="b">
        <f t="array" ref="W3283">index(Dropdowns!B:B,match(I3283,Dropdowns!A:A,0))</f>
        <v>1</v>
      </c>
      <c r="X3283" s="161" t="b">
        <f t="array" ref="X3283">index('Query Tool'!B:B,match(D3283,'Query Tool'!C:C,0))</f>
        <v>1</v>
      </c>
      <c r="Y3283" s="161" t="str">
        <f t="shared" si="6"/>
        <v>leeda03,2019-20</v>
      </c>
      <c r="Z3283" s="168" t="str">
        <f t="array" ref="Z3283">iferror(index(I:I,match($A3283&amp;","&amp;index('Year Conversion'!$A:$A,match($C3283,'Year Conversion'!$B:$B,0)),$Y:$Y,0))-I3283,"")</f>
        <v/>
      </c>
      <c r="AA3283" s="168" t="str">
        <f t="array" ref="AA3283">iferror(index(J:J,match($A3283&amp;","&amp;index('Year Conversion'!$A:$A,match($C3283,'Year Conversion'!$B:$B,0)),$Y:$Y,0))-J3283,"")</f>
        <v/>
      </c>
      <c r="AB3283" s="168" t="str">
        <f t="array" ref="AB3283">iferror(index(K:K,match($A3283&amp;","&amp;index('Year Conversion'!$A:$A,match($C3283,'Year Conversion'!$B:$B,0)),$Y:$Y,0))-K3283,"")</f>
        <v/>
      </c>
      <c r="AC3283" s="168" t="str">
        <f t="shared" si="7"/>
        <v>GSW,2019-20</v>
      </c>
    </row>
    <row r="3284">
      <c r="A3284" s="161" t="str">
        <f>IFERROR(__xludf.DUMMYFUNCTION("""COMPUTED_VALUE"""),"wallaty01")</f>
        <v>wallaty01</v>
      </c>
      <c r="B3284" s="161" t="str">
        <f>IFERROR(__xludf.DUMMYFUNCTION("""COMPUTED_VALUE"""),"Tyrone Wallace")</f>
        <v>Tyrone Wallace</v>
      </c>
      <c r="C3284" s="162" t="str">
        <f>IFERROR(__xludf.DUMMYFUNCTION("""COMPUTED_VALUE"""),"2019-20")</f>
        <v>2019-20</v>
      </c>
      <c r="D3284" s="163" t="str">
        <f>IFERROR(__xludf.DUMMYFUNCTION("""COMPUTED_VALUE"""),"ATL")</f>
        <v>ATL</v>
      </c>
      <c r="E3284" s="164" t="str">
        <f>IFERROR(__xludf.DUMMYFUNCTION("""COMPUTED_VALUE"""),"Secondary Ball Handler")</f>
        <v>Secondary Ball Handler</v>
      </c>
      <c r="F3284" s="164">
        <f>IFERROR(__xludf.DUMMYFUNCTION("""COMPUTED_VALUE"""),160.378333333333)</f>
        <v>160.3783333</v>
      </c>
      <c r="G3284" s="163">
        <f>IFERROR(__xludf.DUMMYFUNCTION("""COMPUTED_VALUE"""),14.0)</f>
        <v>14</v>
      </c>
      <c r="H3284" s="163" t="str">
        <f>IFERROR(__xludf.DUMMYFUNCTION("""COMPUTED_VALUE"""),"SG")</f>
        <v>SG</v>
      </c>
      <c r="I3284" s="163">
        <f>IFERROR(__xludf.DUMMYFUNCTION("""COMPUTED_VALUE"""),25.0)</f>
        <v>25</v>
      </c>
      <c r="J3284" s="165">
        <f>IFERROR(__xludf.DUMMYFUNCTION("""COMPUTED_VALUE"""),-0.653354248045697)</f>
        <v>-0.653354248</v>
      </c>
      <c r="K3284" s="165">
        <f>IFERROR(__xludf.DUMMYFUNCTION("""COMPUTED_VALUE"""),-0.873167201656467)</f>
        <v>-0.8731672017</v>
      </c>
      <c r="L3284" s="165">
        <f>IFERROR(__xludf.DUMMYFUNCTION("""COMPUTED_VALUE"""),0.219812953610771)</f>
        <v>0.2198129536</v>
      </c>
      <c r="M3284" s="166">
        <f t="shared" si="2"/>
        <v>0.1766475781</v>
      </c>
      <c r="N3284" s="167">
        <f t="shared" si="3"/>
        <v>11.45559524</v>
      </c>
      <c r="O3284" s="163">
        <f t="shared" ref="O3284:Q3284" si="3288">rank(I3284,I:I)</f>
        <v>1995</v>
      </c>
      <c r="P3284" s="163">
        <f t="shared" si="3288"/>
        <v>2068</v>
      </c>
      <c r="Q3284" s="163">
        <f t="shared" si="3288"/>
        <v>2650</v>
      </c>
      <c r="R3284" s="163">
        <f>IFERROR(__xludf.DUMMYFUNCTION("RANK(M3284,filter(M:M,C:C=C3284))"),345.0)</f>
        <v>345</v>
      </c>
      <c r="S3284" s="161" t="b">
        <f t="shared" si="5"/>
        <v>0</v>
      </c>
      <c r="T3284" s="161" t="b">
        <f t="array" ref="T3284">index('Query Tool'!B:B,match(H3284,'Query Tool'!C:C,0))</f>
        <v>1</v>
      </c>
      <c r="U3284" s="161" t="b">
        <f t="array" ref="U3284">index('Query Tool'!B:B,match(C3284,'Query Tool'!C:C,0))</f>
        <v>0</v>
      </c>
      <c r="V3284" s="161" t="b">
        <f>F3284&gt;='Query Tool'!C$32</f>
        <v>0</v>
      </c>
      <c r="W3284" s="161" t="b">
        <f t="array" ref="W3284">index(Dropdowns!B:B,match(I3284,Dropdowns!A:A,0))</f>
        <v>1</v>
      </c>
      <c r="X3284" s="161" t="b">
        <f t="array" ref="X3284">index('Query Tool'!B:B,match(D3284,'Query Tool'!C:C,0))</f>
        <v>1</v>
      </c>
      <c r="Y3284" s="161" t="str">
        <f t="shared" si="6"/>
        <v>wallaty01,2019-20</v>
      </c>
      <c r="Z3284" s="168" t="str">
        <f t="array" ref="Z3284">iferror(index(I:I,match($A3284&amp;","&amp;index('Year Conversion'!$A:$A,match($C3284,'Year Conversion'!$B:$B,0)),$Y:$Y,0))-I3284,"")</f>
        <v/>
      </c>
      <c r="AA3284" s="168" t="str">
        <f t="array" ref="AA3284">iferror(index(J:J,match($A3284&amp;","&amp;index('Year Conversion'!$A:$A,match($C3284,'Year Conversion'!$B:$B,0)),$Y:$Y,0))-J3284,"")</f>
        <v/>
      </c>
      <c r="AB3284" s="168" t="str">
        <f t="array" ref="AB3284">iferror(index(K:K,match($A3284&amp;","&amp;index('Year Conversion'!$A:$A,match($C3284,'Year Conversion'!$B:$B,0)),$Y:$Y,0))-K3284,"")</f>
        <v/>
      </c>
      <c r="AC3284" s="168" t="str">
        <f t="shared" si="7"/>
        <v>ATL,2019-20</v>
      </c>
    </row>
    <row r="3285">
      <c r="A3285" s="161" t="str">
        <f>IFERROR(__xludf.DUMMYFUNCTION("""COMPUTED_VALUE"""),"hernaju01")</f>
        <v>hernaju01</v>
      </c>
      <c r="B3285" s="161" t="str">
        <f>IFERROR(__xludf.DUMMYFUNCTION("""COMPUTED_VALUE"""),"Juancho Hernangomez")</f>
        <v>Juancho Hernangomez</v>
      </c>
      <c r="C3285" s="162" t="str">
        <f>IFERROR(__xludf.DUMMYFUNCTION("""COMPUTED_VALUE"""),"2019-20")</f>
        <v>2019-20</v>
      </c>
      <c r="D3285" s="163" t="str">
        <f>IFERROR(__xludf.DUMMYFUNCTION("""COMPUTED_VALUE"""),"TOT")</f>
        <v>TOT</v>
      </c>
      <c r="E3285" s="164" t="str">
        <f>IFERROR(__xludf.DUMMYFUNCTION("""COMPUTED_VALUE"""),"Athletic Finisher")</f>
        <v>Athletic Finisher</v>
      </c>
      <c r="F3285" s="164">
        <f>IFERROR(__xludf.DUMMYFUNCTION("""COMPUTED_VALUE"""),833.511666666667)</f>
        <v>833.5116667</v>
      </c>
      <c r="G3285" s="163">
        <f>IFERROR(__xludf.DUMMYFUNCTION("""COMPUTED_VALUE"""),48.0)</f>
        <v>48</v>
      </c>
      <c r="H3285" s="163" t="str">
        <f>IFERROR(__xludf.DUMMYFUNCTION("""COMPUTED_VALUE"""),"PF")</f>
        <v>PF</v>
      </c>
      <c r="I3285" s="163">
        <f>IFERROR(__xludf.DUMMYFUNCTION("""COMPUTED_VALUE"""),24.0)</f>
        <v>24</v>
      </c>
      <c r="J3285" s="165">
        <f>IFERROR(__xludf.DUMMYFUNCTION("""COMPUTED_VALUE"""),-2.02090582455088)</f>
        <v>-2.020905825</v>
      </c>
      <c r="K3285" s="165">
        <f>IFERROR(__xludf.DUMMYFUNCTION("""COMPUTED_VALUE"""),-1.24995827746199)</f>
        <v>-1.249958277</v>
      </c>
      <c r="L3285" s="165">
        <f>IFERROR(__xludf.DUMMYFUNCTION("""COMPUTED_VALUE"""),-0.770947547088897)</f>
        <v>-0.7709475471</v>
      </c>
      <c r="M3285" s="166">
        <f t="shared" si="2"/>
        <v>0.1557586466</v>
      </c>
      <c r="N3285" s="167">
        <f t="shared" si="3"/>
        <v>17.36482639</v>
      </c>
      <c r="O3285" s="163">
        <f t="shared" ref="O3285:Q3285" si="3289">rank(I3285,I:I)</f>
        <v>2361</v>
      </c>
      <c r="P3285" s="163">
        <f t="shared" si="3289"/>
        <v>3495</v>
      </c>
      <c r="Q3285" s="163">
        <f t="shared" si="3289"/>
        <v>3083</v>
      </c>
      <c r="R3285" s="163">
        <f>IFERROR(__xludf.DUMMYFUNCTION("RANK(M3285,filter(M:M,C:C=C3285))"),356.0)</f>
        <v>356</v>
      </c>
      <c r="S3285" s="161" t="b">
        <f t="shared" si="5"/>
        <v>0</v>
      </c>
      <c r="T3285" s="161" t="b">
        <f t="array" ref="T3285">index('Query Tool'!B:B,match(H3285,'Query Tool'!C:C,0))</f>
        <v>1</v>
      </c>
      <c r="U3285" s="161" t="b">
        <f t="array" ref="U3285">index('Query Tool'!B:B,match(C3285,'Query Tool'!C:C,0))</f>
        <v>0</v>
      </c>
      <c r="V3285" s="161" t="b">
        <f>F3285&gt;='Query Tool'!C$32</f>
        <v>1</v>
      </c>
      <c r="W3285" s="161" t="b">
        <f t="array" ref="W3285">index(Dropdowns!B:B,match(I3285,Dropdowns!A:A,0))</f>
        <v>1</v>
      </c>
      <c r="X3285" s="161" t="b">
        <f t="array" ref="X3285">index('Query Tool'!B:B,match(D3285,'Query Tool'!C:C,0))</f>
        <v>1</v>
      </c>
      <c r="Y3285" s="161" t="str">
        <f t="shared" si="6"/>
        <v>hernaju01,2019-20</v>
      </c>
      <c r="Z3285" s="168" t="str">
        <f t="array" ref="Z3285">iferror(index(I:I,match($A3285&amp;","&amp;index('Year Conversion'!$A:$A,match($C3285,'Year Conversion'!$B:$B,0)),$Y:$Y,0))-I3285,"")</f>
        <v/>
      </c>
      <c r="AA3285" s="168" t="str">
        <f t="array" ref="AA3285">iferror(index(J:J,match($A3285&amp;","&amp;index('Year Conversion'!$A:$A,match($C3285,'Year Conversion'!$B:$B,0)),$Y:$Y,0))-J3285,"")</f>
        <v/>
      </c>
      <c r="AB3285" s="168" t="str">
        <f t="array" ref="AB3285">iferror(index(K:K,match($A3285&amp;","&amp;index('Year Conversion'!$A:$A,match($C3285,'Year Conversion'!$B:$B,0)),$Y:$Y,0))-K3285,"")</f>
        <v/>
      </c>
      <c r="AC3285" s="168" t="str">
        <f t="shared" si="7"/>
        <v>TOT,2019-20</v>
      </c>
    </row>
    <row r="3286">
      <c r="A3286" s="161" t="str">
        <f>IFERROR(__xludf.DUMMYFUNCTION("""COMPUTED_VALUE"""),"zubaciv01")</f>
        <v>zubaciv01</v>
      </c>
      <c r="B3286" s="161" t="str">
        <f>IFERROR(__xludf.DUMMYFUNCTION("""COMPUTED_VALUE"""),"Ivica Zubac")</f>
        <v>Ivica Zubac</v>
      </c>
      <c r="C3286" s="162" t="str">
        <f>IFERROR(__xludf.DUMMYFUNCTION("""COMPUTED_VALUE"""),"2019-20")</f>
        <v>2019-20</v>
      </c>
      <c r="D3286" s="163" t="str">
        <f>IFERROR(__xludf.DUMMYFUNCTION("""COMPUTED_VALUE"""),"LAC")</f>
        <v>LAC</v>
      </c>
      <c r="E3286" s="164" t="str">
        <f>IFERROR(__xludf.DUMMYFUNCTION("""COMPUTED_VALUE"""),"Roll + Cut Big")</f>
        <v>Roll + Cut Big</v>
      </c>
      <c r="F3286" s="164">
        <f>IFERROR(__xludf.DUMMYFUNCTION("""COMPUTED_VALUE"""),1326.0)</f>
        <v>1326</v>
      </c>
      <c r="G3286" s="163">
        <f>IFERROR(__xludf.DUMMYFUNCTION("""COMPUTED_VALUE"""),72.0)</f>
        <v>72</v>
      </c>
      <c r="H3286" s="163" t="str">
        <f>IFERROR(__xludf.DUMMYFUNCTION("""COMPUTED_VALUE"""),"C")</f>
        <v>C</v>
      </c>
      <c r="I3286" s="163">
        <f>IFERROR(__xludf.DUMMYFUNCTION("""COMPUTED_VALUE"""),22.0)</f>
        <v>22</v>
      </c>
      <c r="J3286" s="165">
        <f>IFERROR(__xludf.DUMMYFUNCTION("""COMPUTED_VALUE"""),3.37646591869832)</f>
        <v>3.376465919</v>
      </c>
      <c r="K3286" s="165">
        <f>IFERROR(__xludf.DUMMYFUNCTION("""COMPUTED_VALUE"""),0.583070548300068)</f>
        <v>0.5830705483</v>
      </c>
      <c r="L3286" s="165">
        <f>IFERROR(__xludf.DUMMYFUNCTION("""COMPUTED_VALUE"""),2.79339537039825)</f>
        <v>2.79339537</v>
      </c>
      <c r="M3286" s="166">
        <f t="shared" si="2"/>
        <v>5.015812906</v>
      </c>
      <c r="N3286" s="167">
        <f t="shared" si="3"/>
        <v>18.41666667</v>
      </c>
      <c r="O3286" s="163">
        <f t="shared" ref="O3286:Q3286" si="3290">rank(I3286,I:I)</f>
        <v>3178</v>
      </c>
      <c r="P3286" s="163">
        <f t="shared" si="3290"/>
        <v>141</v>
      </c>
      <c r="Q3286" s="163">
        <f t="shared" si="3290"/>
        <v>722</v>
      </c>
      <c r="R3286" s="163">
        <f>IFERROR(__xludf.DUMMYFUNCTION("RANK(M3286,filter(M:M,C:C=C3286))"),36.0)</f>
        <v>36</v>
      </c>
      <c r="S3286" s="161" t="b">
        <f t="shared" si="5"/>
        <v>0</v>
      </c>
      <c r="T3286" s="161" t="b">
        <f t="array" ref="T3286">index('Query Tool'!B:B,match(H3286,'Query Tool'!C:C,0))</f>
        <v>1</v>
      </c>
      <c r="U3286" s="161" t="b">
        <f t="array" ref="U3286">index('Query Tool'!B:B,match(C3286,'Query Tool'!C:C,0))</f>
        <v>0</v>
      </c>
      <c r="V3286" s="161" t="b">
        <f>F3286&gt;='Query Tool'!C$32</f>
        <v>1</v>
      </c>
      <c r="W3286" s="161" t="b">
        <f t="array" ref="W3286">index(Dropdowns!B:B,match(I3286,Dropdowns!A:A,0))</f>
        <v>1</v>
      </c>
      <c r="X3286" s="161" t="b">
        <f t="array" ref="X3286">index('Query Tool'!B:B,match(D3286,'Query Tool'!C:C,0))</f>
        <v>1</v>
      </c>
      <c r="Y3286" s="161" t="str">
        <f t="shared" si="6"/>
        <v>zubaciv01,2019-20</v>
      </c>
      <c r="Z3286" s="168" t="str">
        <f t="array" ref="Z3286">iferror(index(I:I,match($A3286&amp;","&amp;index('Year Conversion'!$A:$A,match($C3286,'Year Conversion'!$B:$B,0)),$Y:$Y,0))-I3286,"")</f>
        <v/>
      </c>
      <c r="AA3286" s="168" t="str">
        <f t="array" ref="AA3286">iferror(index(J:J,match($A3286&amp;","&amp;index('Year Conversion'!$A:$A,match($C3286,'Year Conversion'!$B:$B,0)),$Y:$Y,0))-J3286,"")</f>
        <v/>
      </c>
      <c r="AB3286" s="168" t="str">
        <f t="array" ref="AB3286">iferror(index(K:K,match($A3286&amp;","&amp;index('Year Conversion'!$A:$A,match($C3286,'Year Conversion'!$B:$B,0)),$Y:$Y,0))-K3286,"")</f>
        <v/>
      </c>
      <c r="AC3286" s="168" t="str">
        <f t="shared" si="7"/>
        <v>LAC,2019-20</v>
      </c>
    </row>
    <row r="3287">
      <c r="A3287" s="161" t="str">
        <f>IFERROR(__xludf.DUMMYFUNCTION("""COMPUTED_VALUE"""),"finnedo01")</f>
        <v>finnedo01</v>
      </c>
      <c r="B3287" s="161" t="str">
        <f>IFERROR(__xludf.DUMMYFUNCTION("""COMPUTED_VALUE"""),"Dorian Finney-Smith")</f>
        <v>Dorian Finney-Smith</v>
      </c>
      <c r="C3287" s="162" t="str">
        <f>IFERROR(__xludf.DUMMYFUNCTION("""COMPUTED_VALUE"""),"2019-20")</f>
        <v>2019-20</v>
      </c>
      <c r="D3287" s="163" t="str">
        <f>IFERROR(__xludf.DUMMYFUNCTION("""COMPUTED_VALUE"""),"DAL")</f>
        <v>DAL</v>
      </c>
      <c r="E3287" s="164" t="str">
        <f>IFERROR(__xludf.DUMMYFUNCTION("""COMPUTED_VALUE"""),"Athletic Finisher")</f>
        <v>Athletic Finisher</v>
      </c>
      <c r="F3287" s="164">
        <f>IFERROR(__xludf.DUMMYFUNCTION("""COMPUTED_VALUE"""),2119.53833333333)</f>
        <v>2119.538333</v>
      </c>
      <c r="G3287" s="163">
        <f>IFERROR(__xludf.DUMMYFUNCTION("""COMPUTED_VALUE"""),71.0)</f>
        <v>71</v>
      </c>
      <c r="H3287" s="163" t="str">
        <f>IFERROR(__xludf.DUMMYFUNCTION("""COMPUTED_VALUE"""),"PF")</f>
        <v>PF</v>
      </c>
      <c r="I3287" s="163">
        <f>IFERROR(__xludf.DUMMYFUNCTION("""COMPUTED_VALUE"""),26.0)</f>
        <v>26</v>
      </c>
      <c r="J3287" s="165">
        <f>IFERROR(__xludf.DUMMYFUNCTION("""COMPUTED_VALUE"""),0.0984075315439255)</f>
        <v>0.09840753154</v>
      </c>
      <c r="K3287" s="165">
        <f>IFERROR(__xludf.DUMMYFUNCTION("""COMPUTED_VALUE"""),0.0827249652211919)</f>
        <v>0.08272496522</v>
      </c>
      <c r="L3287" s="165">
        <f>IFERROR(__xludf.DUMMYFUNCTION("""COMPUTED_VALUE"""),0.0156825663227336)</f>
        <v>0.01568256632</v>
      </c>
      <c r="M3287" s="166">
        <f t="shared" si="2"/>
        <v>3.40824123</v>
      </c>
      <c r="N3287" s="167">
        <f t="shared" si="3"/>
        <v>29.85265258</v>
      </c>
      <c r="O3287" s="163">
        <f t="shared" ref="O3287:Q3287" si="3291">rank(I3287,I:I)</f>
        <v>1665</v>
      </c>
      <c r="P3287" s="163">
        <f t="shared" si="3291"/>
        <v>1190</v>
      </c>
      <c r="Q3287" s="163">
        <f t="shared" si="3291"/>
        <v>1090</v>
      </c>
      <c r="R3287" s="163">
        <f>IFERROR(__xludf.DUMMYFUNCTION("RANK(M3287,filter(M:M,C:C=C3287))"),88.0)</f>
        <v>88</v>
      </c>
      <c r="S3287" s="161" t="b">
        <f t="shared" si="5"/>
        <v>0</v>
      </c>
      <c r="T3287" s="161" t="b">
        <f t="array" ref="T3287">index('Query Tool'!B:B,match(H3287,'Query Tool'!C:C,0))</f>
        <v>1</v>
      </c>
      <c r="U3287" s="161" t="b">
        <f t="array" ref="U3287">index('Query Tool'!B:B,match(C3287,'Query Tool'!C:C,0))</f>
        <v>0</v>
      </c>
      <c r="V3287" s="161" t="b">
        <f>F3287&gt;='Query Tool'!C$32</f>
        <v>1</v>
      </c>
      <c r="W3287" s="161" t="b">
        <f t="array" ref="W3287">index(Dropdowns!B:B,match(I3287,Dropdowns!A:A,0))</f>
        <v>1</v>
      </c>
      <c r="X3287" s="161" t="b">
        <f t="array" ref="X3287">index('Query Tool'!B:B,match(D3287,'Query Tool'!C:C,0))</f>
        <v>1</v>
      </c>
      <c r="Y3287" s="161" t="str">
        <f t="shared" si="6"/>
        <v>finnedo01,2019-20</v>
      </c>
      <c r="Z3287" s="168" t="str">
        <f t="array" ref="Z3287">iferror(index(I:I,match($A3287&amp;","&amp;index('Year Conversion'!$A:$A,match($C3287,'Year Conversion'!$B:$B,0)),$Y:$Y,0))-I3287,"")</f>
        <v/>
      </c>
      <c r="AA3287" s="168" t="str">
        <f t="array" ref="AA3287">iferror(index(J:J,match($A3287&amp;","&amp;index('Year Conversion'!$A:$A,match($C3287,'Year Conversion'!$B:$B,0)),$Y:$Y,0))-J3287,"")</f>
        <v/>
      </c>
      <c r="AB3287" s="168" t="str">
        <f t="array" ref="AB3287">iferror(index(K:K,match($A3287&amp;","&amp;index('Year Conversion'!$A:$A,match($C3287,'Year Conversion'!$B:$B,0)),$Y:$Y,0))-K3287,"")</f>
        <v/>
      </c>
      <c r="AC3287" s="168" t="str">
        <f t="shared" si="7"/>
        <v>DAL,2019-20</v>
      </c>
    </row>
    <row r="3288">
      <c r="A3288" s="161" t="str">
        <f>IFERROR(__xludf.DUMMYFUNCTION("""COMPUTED_VALUE"""),"vanvlfr01")</f>
        <v>vanvlfr01</v>
      </c>
      <c r="B3288" s="161" t="str">
        <f>IFERROR(__xludf.DUMMYFUNCTION("""COMPUTED_VALUE"""),"Fred VanVleet")</f>
        <v>Fred VanVleet</v>
      </c>
      <c r="C3288" s="162" t="str">
        <f>IFERROR(__xludf.DUMMYFUNCTION("""COMPUTED_VALUE"""),"2019-20")</f>
        <v>2019-20</v>
      </c>
      <c r="D3288" s="163" t="str">
        <f>IFERROR(__xludf.DUMMYFUNCTION("""COMPUTED_VALUE"""),"TOR")</f>
        <v>TOR</v>
      </c>
      <c r="E3288" s="164" t="str">
        <f>IFERROR(__xludf.DUMMYFUNCTION("""COMPUTED_VALUE"""),"Primary Ball Handler")</f>
        <v>Primary Ball Handler</v>
      </c>
      <c r="F3288" s="164">
        <f>IFERROR(__xludf.DUMMYFUNCTION("""COMPUTED_VALUE"""),1928.15333333333)</f>
        <v>1928.153333</v>
      </c>
      <c r="G3288" s="163">
        <f>IFERROR(__xludf.DUMMYFUNCTION("""COMPUTED_VALUE"""),54.0)</f>
        <v>54</v>
      </c>
      <c r="H3288" s="163" t="str">
        <f>IFERROR(__xludf.DUMMYFUNCTION("""COMPUTED_VALUE"""),"SG")</f>
        <v>SG</v>
      </c>
      <c r="I3288" s="163">
        <f>IFERROR(__xludf.DUMMYFUNCTION("""COMPUTED_VALUE"""),25.0)</f>
        <v>25</v>
      </c>
      <c r="J3288" s="165">
        <f>IFERROR(__xludf.DUMMYFUNCTION("""COMPUTED_VALUE"""),1.72242590649298)</f>
        <v>1.722425906</v>
      </c>
      <c r="K3288" s="165">
        <f>IFERROR(__xludf.DUMMYFUNCTION("""COMPUTED_VALUE"""),0.55517331005539)</f>
        <v>0.5551733101</v>
      </c>
      <c r="L3288" s="165">
        <f>IFERROR(__xludf.DUMMYFUNCTION("""COMPUTED_VALUE"""),1.16725259643759)</f>
        <v>1.167252596</v>
      </c>
      <c r="M3288" s="166">
        <f t="shared" si="2"/>
        <v>5.20243975</v>
      </c>
      <c r="N3288" s="167">
        <f t="shared" si="3"/>
        <v>35.70654321</v>
      </c>
      <c r="O3288" s="163">
        <f t="shared" ref="O3288:Q3288" si="3292">rank(I3288,I:I)</f>
        <v>1995</v>
      </c>
      <c r="P3288" s="163">
        <f t="shared" si="3292"/>
        <v>390</v>
      </c>
      <c r="Q3288" s="163">
        <f t="shared" si="3292"/>
        <v>739</v>
      </c>
      <c r="R3288" s="163">
        <f>IFERROR(__xludf.DUMMYFUNCTION("RANK(M3288,filter(M:M,C:C=C3288))"),32.0)</f>
        <v>32</v>
      </c>
      <c r="S3288" s="161" t="b">
        <f t="shared" si="5"/>
        <v>0</v>
      </c>
      <c r="T3288" s="161" t="b">
        <f t="array" ref="T3288">index('Query Tool'!B:B,match(H3288,'Query Tool'!C:C,0))</f>
        <v>1</v>
      </c>
      <c r="U3288" s="161" t="b">
        <f t="array" ref="U3288">index('Query Tool'!B:B,match(C3288,'Query Tool'!C:C,0))</f>
        <v>0</v>
      </c>
      <c r="V3288" s="161" t="b">
        <f>F3288&gt;='Query Tool'!C$32</f>
        <v>1</v>
      </c>
      <c r="W3288" s="161" t="b">
        <f t="array" ref="W3288">index(Dropdowns!B:B,match(I3288,Dropdowns!A:A,0))</f>
        <v>1</v>
      </c>
      <c r="X3288" s="161" t="b">
        <f t="array" ref="X3288">index('Query Tool'!B:B,match(D3288,'Query Tool'!C:C,0))</f>
        <v>1</v>
      </c>
      <c r="Y3288" s="161" t="str">
        <f t="shared" si="6"/>
        <v>vanvlfr01,2019-20</v>
      </c>
      <c r="Z3288" s="168" t="str">
        <f t="array" ref="Z3288">iferror(index(I:I,match($A3288&amp;","&amp;index('Year Conversion'!$A:$A,match($C3288,'Year Conversion'!$B:$B,0)),$Y:$Y,0))-I3288,"")</f>
        <v/>
      </c>
      <c r="AA3288" s="168" t="str">
        <f t="array" ref="AA3288">iferror(index(J:J,match($A3288&amp;","&amp;index('Year Conversion'!$A:$A,match($C3288,'Year Conversion'!$B:$B,0)),$Y:$Y,0))-J3288,"")</f>
        <v/>
      </c>
      <c r="AB3288" s="168" t="str">
        <f t="array" ref="AB3288">iferror(index(K:K,match($A3288&amp;","&amp;index('Year Conversion'!$A:$A,match($C3288,'Year Conversion'!$B:$B,0)),$Y:$Y,0))-K3288,"")</f>
        <v/>
      </c>
      <c r="AC3288" s="168" t="str">
        <f t="shared" si="7"/>
        <v>TOR,2019-20</v>
      </c>
    </row>
    <row r="3289">
      <c r="A3289" s="161" t="str">
        <f>IFERROR(__xludf.DUMMYFUNCTION("""COMPUTED_VALUE"""),"naderab01")</f>
        <v>naderab01</v>
      </c>
      <c r="B3289" s="161" t="str">
        <f>IFERROR(__xludf.DUMMYFUNCTION("""COMPUTED_VALUE"""),"Abdel Nader")</f>
        <v>Abdel Nader</v>
      </c>
      <c r="C3289" s="162" t="str">
        <f>IFERROR(__xludf.DUMMYFUNCTION("""COMPUTED_VALUE"""),"2019-20")</f>
        <v>2019-20</v>
      </c>
      <c r="D3289" s="163" t="str">
        <f>IFERROR(__xludf.DUMMYFUNCTION("""COMPUTED_VALUE"""),"OKC")</f>
        <v>OKC</v>
      </c>
      <c r="E3289" s="164" t="str">
        <f>IFERROR(__xludf.DUMMYFUNCTION("""COMPUTED_VALUE"""),"Stationary Shooter")</f>
        <v>Stationary Shooter</v>
      </c>
      <c r="F3289" s="164">
        <f>IFERROR(__xludf.DUMMYFUNCTION("""COMPUTED_VALUE"""),866.951666666667)</f>
        <v>866.9516667</v>
      </c>
      <c r="G3289" s="163">
        <f>IFERROR(__xludf.DUMMYFUNCTION("""COMPUTED_VALUE"""),55.0)</f>
        <v>55</v>
      </c>
      <c r="H3289" s="163" t="str">
        <f>IFERROR(__xludf.DUMMYFUNCTION("""COMPUTED_VALUE"""),"SF")</f>
        <v>SF</v>
      </c>
      <c r="I3289" s="163">
        <f>IFERROR(__xludf.DUMMYFUNCTION("""COMPUTED_VALUE"""),26.0)</f>
        <v>26</v>
      </c>
      <c r="J3289" s="165">
        <f>IFERROR(__xludf.DUMMYFUNCTION("""COMPUTED_VALUE"""),-3.71748106298544)</f>
        <v>-3.717481063</v>
      </c>
      <c r="K3289" s="165">
        <f>IFERROR(__xludf.DUMMYFUNCTION("""COMPUTED_VALUE"""),-2.61761730976544)</f>
        <v>-2.61761731</v>
      </c>
      <c r="L3289" s="165">
        <f>IFERROR(__xludf.DUMMYFUNCTION("""COMPUTED_VALUE"""),-1.09986375322)</f>
        <v>-1.099863753</v>
      </c>
      <c r="M3289" s="166">
        <f t="shared" si="2"/>
        <v>-0.7955027772</v>
      </c>
      <c r="N3289" s="167">
        <f t="shared" si="3"/>
        <v>15.76275758</v>
      </c>
      <c r="O3289" s="163">
        <f t="shared" ref="O3289:Q3289" si="3293">rank(I3289,I:I)</f>
        <v>1665</v>
      </c>
      <c r="P3289" s="163">
        <f t="shared" si="3293"/>
        <v>3986</v>
      </c>
      <c r="Q3289" s="163">
        <f t="shared" si="3293"/>
        <v>3917</v>
      </c>
      <c r="R3289" s="163">
        <f>IFERROR(__xludf.DUMMYFUNCTION("RANK(M3289,filter(M:M,C:C=C3289))"),522.0)</f>
        <v>522</v>
      </c>
      <c r="S3289" s="161" t="b">
        <f t="shared" si="5"/>
        <v>0</v>
      </c>
      <c r="T3289" s="161" t="b">
        <f t="array" ref="T3289">index('Query Tool'!B:B,match(H3289,'Query Tool'!C:C,0))</f>
        <v>1</v>
      </c>
      <c r="U3289" s="161" t="b">
        <f t="array" ref="U3289">index('Query Tool'!B:B,match(C3289,'Query Tool'!C:C,0))</f>
        <v>0</v>
      </c>
      <c r="V3289" s="161" t="b">
        <f>F3289&gt;='Query Tool'!C$32</f>
        <v>1</v>
      </c>
      <c r="W3289" s="161" t="b">
        <f t="array" ref="W3289">index(Dropdowns!B:B,match(I3289,Dropdowns!A:A,0))</f>
        <v>1</v>
      </c>
      <c r="X3289" s="161" t="b">
        <f t="array" ref="X3289">index('Query Tool'!B:B,match(D3289,'Query Tool'!C:C,0))</f>
        <v>1</v>
      </c>
      <c r="Y3289" s="161" t="str">
        <f t="shared" si="6"/>
        <v>naderab01,2019-20</v>
      </c>
      <c r="Z3289" s="168" t="str">
        <f t="array" ref="Z3289">iferror(index(I:I,match($A3289&amp;","&amp;index('Year Conversion'!$A:$A,match($C3289,'Year Conversion'!$B:$B,0)),$Y:$Y,0))-I3289,"")</f>
        <v/>
      </c>
      <c r="AA3289" s="168" t="str">
        <f t="array" ref="AA3289">iferror(index(J:J,match($A3289&amp;","&amp;index('Year Conversion'!$A:$A,match($C3289,'Year Conversion'!$B:$B,0)),$Y:$Y,0))-J3289,"")</f>
        <v/>
      </c>
      <c r="AB3289" s="168" t="str">
        <f t="array" ref="AB3289">iferror(index(K:K,match($A3289&amp;","&amp;index('Year Conversion'!$A:$A,match($C3289,'Year Conversion'!$B:$B,0)),$Y:$Y,0))-K3289,"")</f>
        <v/>
      </c>
      <c r="AC3289" s="168" t="str">
        <f t="shared" si="7"/>
        <v>OKC,2019-20</v>
      </c>
    </row>
    <row r="3290">
      <c r="A3290" s="161" t="str">
        <f>IFERROR(__xludf.DUMMYFUNCTION("""COMPUTED_VALUE"""),"arcidry01")</f>
        <v>arcidry01</v>
      </c>
      <c r="B3290" s="161" t="str">
        <f>IFERROR(__xludf.DUMMYFUNCTION("""COMPUTED_VALUE"""),"Ryan Arcidiacono")</f>
        <v>Ryan Arcidiacono</v>
      </c>
      <c r="C3290" s="162" t="str">
        <f>IFERROR(__xludf.DUMMYFUNCTION("""COMPUTED_VALUE"""),"2019-20")</f>
        <v>2019-20</v>
      </c>
      <c r="D3290" s="163" t="str">
        <f>IFERROR(__xludf.DUMMYFUNCTION("""COMPUTED_VALUE"""),"CHI")</f>
        <v>CHI</v>
      </c>
      <c r="E3290" s="164" t="str">
        <f>IFERROR(__xludf.DUMMYFUNCTION("""COMPUTED_VALUE"""),"Movement Shooter")</f>
        <v>Movement Shooter</v>
      </c>
      <c r="F3290" s="164">
        <f>IFERROR(__xludf.DUMMYFUNCTION("""COMPUTED_VALUE"""),929.973333333333)</f>
        <v>929.9733333</v>
      </c>
      <c r="G3290" s="163">
        <f>IFERROR(__xludf.DUMMYFUNCTION("""COMPUTED_VALUE"""),58.0)</f>
        <v>58</v>
      </c>
      <c r="H3290" s="163" t="str">
        <f>IFERROR(__xludf.DUMMYFUNCTION("""COMPUTED_VALUE"""),"PG")</f>
        <v>PG</v>
      </c>
      <c r="I3290" s="163">
        <f>IFERROR(__xludf.DUMMYFUNCTION("""COMPUTED_VALUE"""),25.0)</f>
        <v>25</v>
      </c>
      <c r="J3290" s="165">
        <f>IFERROR(__xludf.DUMMYFUNCTION("""COMPUTED_VALUE"""),-2.48696406333849)</f>
        <v>-2.486964063</v>
      </c>
      <c r="K3290" s="165">
        <f>IFERROR(__xludf.DUMMYFUNCTION("""COMPUTED_VALUE"""),-1.91783902182534)</f>
        <v>-1.917839022</v>
      </c>
      <c r="L3290" s="165">
        <f>IFERROR(__xludf.DUMMYFUNCTION("""COMPUTED_VALUE"""),-0.569125041513148)</f>
        <v>-0.5691250415</v>
      </c>
      <c r="M3290" s="166">
        <f t="shared" si="2"/>
        <v>-0.1123032396</v>
      </c>
      <c r="N3290" s="167">
        <f t="shared" si="3"/>
        <v>16.03402299</v>
      </c>
      <c r="O3290" s="163">
        <f t="shared" ref="O3290:Q3290" si="3294">rank(I3290,I:I)</f>
        <v>1995</v>
      </c>
      <c r="P3290" s="163">
        <f t="shared" si="3294"/>
        <v>3750</v>
      </c>
      <c r="Q3290" s="163">
        <f t="shared" si="3294"/>
        <v>3662</v>
      </c>
      <c r="R3290" s="163">
        <f>IFERROR(__xludf.DUMMYFUNCTION("RANK(M3290,filter(M:M,C:C=C3290))"),496.0)</f>
        <v>496</v>
      </c>
      <c r="S3290" s="161" t="b">
        <f t="shared" si="5"/>
        <v>0</v>
      </c>
      <c r="T3290" s="161" t="b">
        <f t="array" ref="T3290">index('Query Tool'!B:B,match(H3290,'Query Tool'!C:C,0))</f>
        <v>1</v>
      </c>
      <c r="U3290" s="161" t="b">
        <f t="array" ref="U3290">index('Query Tool'!B:B,match(C3290,'Query Tool'!C:C,0))</f>
        <v>0</v>
      </c>
      <c r="V3290" s="161" t="b">
        <f>F3290&gt;='Query Tool'!C$32</f>
        <v>1</v>
      </c>
      <c r="W3290" s="161" t="b">
        <f t="array" ref="W3290">index(Dropdowns!B:B,match(I3290,Dropdowns!A:A,0))</f>
        <v>1</v>
      </c>
      <c r="X3290" s="161" t="b">
        <f t="array" ref="X3290">index('Query Tool'!B:B,match(D3290,'Query Tool'!C:C,0))</f>
        <v>1</v>
      </c>
      <c r="Y3290" s="161" t="str">
        <f t="shared" si="6"/>
        <v>arcidry01,2019-20</v>
      </c>
      <c r="Z3290" s="168" t="str">
        <f t="array" ref="Z3290">iferror(index(I:I,match($A3290&amp;","&amp;index('Year Conversion'!$A:$A,match($C3290,'Year Conversion'!$B:$B,0)),$Y:$Y,0))-I3290,"")</f>
        <v/>
      </c>
      <c r="AA3290" s="168" t="str">
        <f t="array" ref="AA3290">iferror(index(J:J,match($A3290&amp;","&amp;index('Year Conversion'!$A:$A,match($C3290,'Year Conversion'!$B:$B,0)),$Y:$Y,0))-J3290,"")</f>
        <v/>
      </c>
      <c r="AB3290" s="168" t="str">
        <f t="array" ref="AB3290">iferror(index(K:K,match($A3290&amp;","&amp;index('Year Conversion'!$A:$A,match($C3290,'Year Conversion'!$B:$B,0)),$Y:$Y,0))-K3290,"")</f>
        <v/>
      </c>
      <c r="AC3290" s="168" t="str">
        <f t="shared" si="7"/>
        <v>CHI,2019-20</v>
      </c>
    </row>
    <row r="3291">
      <c r="A3291" s="161" t="str">
        <f>IFERROR(__xludf.DUMMYFUNCTION("""COMPUTED_VALUE"""),"forbebr01")</f>
        <v>forbebr01</v>
      </c>
      <c r="B3291" s="161" t="str">
        <f>IFERROR(__xludf.DUMMYFUNCTION("""COMPUTED_VALUE"""),"Bryn Forbes")</f>
        <v>Bryn Forbes</v>
      </c>
      <c r="C3291" s="162" t="str">
        <f>IFERROR(__xludf.DUMMYFUNCTION("""COMPUTED_VALUE"""),"2019-20")</f>
        <v>2019-20</v>
      </c>
      <c r="D3291" s="163" t="str">
        <f>IFERROR(__xludf.DUMMYFUNCTION("""COMPUTED_VALUE"""),"SAS")</f>
        <v>SAS</v>
      </c>
      <c r="E3291" s="164" t="str">
        <f>IFERROR(__xludf.DUMMYFUNCTION("""COMPUTED_VALUE"""),"Movement Shooter")</f>
        <v>Movement Shooter</v>
      </c>
      <c r="F3291" s="164">
        <f>IFERROR(__xludf.DUMMYFUNCTION("""COMPUTED_VALUE"""),1579.215)</f>
        <v>1579.215</v>
      </c>
      <c r="G3291" s="163">
        <f>IFERROR(__xludf.DUMMYFUNCTION("""COMPUTED_VALUE"""),63.0)</f>
        <v>63</v>
      </c>
      <c r="H3291" s="163" t="str">
        <f>IFERROR(__xludf.DUMMYFUNCTION("""COMPUTED_VALUE"""),"SG")</f>
        <v>SG</v>
      </c>
      <c r="I3291" s="163">
        <f>IFERROR(__xludf.DUMMYFUNCTION("""COMPUTED_VALUE"""),26.0)</f>
        <v>26</v>
      </c>
      <c r="J3291" s="165">
        <f>IFERROR(__xludf.DUMMYFUNCTION("""COMPUTED_VALUE"""),-2.91470096514394)</f>
        <v>-2.914700965</v>
      </c>
      <c r="K3291" s="165">
        <f>IFERROR(__xludf.DUMMYFUNCTION("""COMPUTED_VALUE"""),-0.946350389211082)</f>
        <v>-0.9463503892</v>
      </c>
      <c r="L3291" s="165">
        <f>IFERROR(__xludf.DUMMYFUNCTION("""COMPUTED_VALUE"""),-1.96835057593285)</f>
        <v>-1.968350576</v>
      </c>
      <c r="M3291" s="166">
        <f t="shared" si="2"/>
        <v>-0.6325180591</v>
      </c>
      <c r="N3291" s="167">
        <f t="shared" si="3"/>
        <v>25.06690476</v>
      </c>
      <c r="O3291" s="163">
        <f t="shared" ref="O3291:Q3291" si="3295">rank(I3291,I:I)</f>
        <v>1665</v>
      </c>
      <c r="P3291" s="163">
        <f t="shared" si="3295"/>
        <v>3871</v>
      </c>
      <c r="Q3291" s="163">
        <f t="shared" si="3295"/>
        <v>2742</v>
      </c>
      <c r="R3291" s="163">
        <f>IFERROR(__xludf.DUMMYFUNCTION("RANK(M3291,filter(M:M,C:C=C3291))"),518.0)</f>
        <v>518</v>
      </c>
      <c r="S3291" s="161" t="b">
        <f t="shared" si="5"/>
        <v>0</v>
      </c>
      <c r="T3291" s="161" t="b">
        <f t="array" ref="T3291">index('Query Tool'!B:B,match(H3291,'Query Tool'!C:C,0))</f>
        <v>1</v>
      </c>
      <c r="U3291" s="161" t="b">
        <f t="array" ref="U3291">index('Query Tool'!B:B,match(C3291,'Query Tool'!C:C,0))</f>
        <v>0</v>
      </c>
      <c r="V3291" s="161" t="b">
        <f>F3291&gt;='Query Tool'!C$32</f>
        <v>1</v>
      </c>
      <c r="W3291" s="161" t="b">
        <f t="array" ref="W3291">index(Dropdowns!B:B,match(I3291,Dropdowns!A:A,0))</f>
        <v>1</v>
      </c>
      <c r="X3291" s="161" t="b">
        <f t="array" ref="X3291">index('Query Tool'!B:B,match(D3291,'Query Tool'!C:C,0))</f>
        <v>1</v>
      </c>
      <c r="Y3291" s="161" t="str">
        <f t="shared" si="6"/>
        <v>forbebr01,2019-20</v>
      </c>
      <c r="Z3291" s="168" t="str">
        <f t="array" ref="Z3291">iferror(index(I:I,match($A3291&amp;","&amp;index('Year Conversion'!$A:$A,match($C3291,'Year Conversion'!$B:$B,0)),$Y:$Y,0))-I3291,"")</f>
        <v/>
      </c>
      <c r="AA3291" s="168" t="str">
        <f t="array" ref="AA3291">iferror(index(J:J,match($A3291&amp;","&amp;index('Year Conversion'!$A:$A,match($C3291,'Year Conversion'!$B:$B,0)),$Y:$Y,0))-J3291,"")</f>
        <v/>
      </c>
      <c r="AB3291" s="168" t="str">
        <f t="array" ref="AB3291">iferror(index(K:K,match($A3291&amp;","&amp;index('Year Conversion'!$A:$A,match($C3291,'Year Conversion'!$B:$B,0)),$Y:$Y,0))-K3291,"")</f>
        <v/>
      </c>
      <c r="AC3291" s="168" t="str">
        <f t="shared" si="7"/>
        <v>SAS,2019-20</v>
      </c>
    </row>
    <row r="3292">
      <c r="A3292" s="161" t="str">
        <f>IFERROR(__xludf.DUMMYFUNCTION("""COMPUTED_VALUE"""),"houseda01")</f>
        <v>houseda01</v>
      </c>
      <c r="B3292" s="161" t="str">
        <f>IFERROR(__xludf.DUMMYFUNCTION("""COMPUTED_VALUE"""),"Danuel House Jr.")</f>
        <v>Danuel House Jr.</v>
      </c>
      <c r="C3292" s="162" t="str">
        <f>IFERROR(__xludf.DUMMYFUNCTION("""COMPUTED_VALUE"""),"2019-20")</f>
        <v>2019-20</v>
      </c>
      <c r="D3292" s="163" t="str">
        <f>IFERROR(__xludf.DUMMYFUNCTION("""COMPUTED_VALUE"""),"HOU")</f>
        <v>HOU</v>
      </c>
      <c r="E3292" s="164" t="str">
        <f>IFERROR(__xludf.DUMMYFUNCTION("""COMPUTED_VALUE"""),"Stationary Shooter")</f>
        <v>Stationary Shooter</v>
      </c>
      <c r="F3292" s="164">
        <f>IFERROR(__xludf.DUMMYFUNCTION("""COMPUTED_VALUE"""),1912.65166666667)</f>
        <v>1912.651667</v>
      </c>
      <c r="G3292" s="163">
        <f>IFERROR(__xludf.DUMMYFUNCTION("""COMPUTED_VALUE"""),63.0)</f>
        <v>63</v>
      </c>
      <c r="H3292" s="163" t="str">
        <f>IFERROR(__xludf.DUMMYFUNCTION("""COMPUTED_VALUE"""),"SF")</f>
        <v>SF</v>
      </c>
      <c r="I3292" s="163">
        <f>IFERROR(__xludf.DUMMYFUNCTION("""COMPUTED_VALUE"""),26.0)</f>
        <v>26</v>
      </c>
      <c r="J3292" s="165">
        <f>IFERROR(__xludf.DUMMYFUNCTION("""COMPUTED_VALUE"""),0.710440621580218)</f>
        <v>0.7104406216</v>
      </c>
      <c r="K3292" s="165">
        <f>IFERROR(__xludf.DUMMYFUNCTION("""COMPUTED_VALUE"""),0.326140049561014)</f>
        <v>0.3261400496</v>
      </c>
      <c r="L3292" s="165">
        <f>IFERROR(__xludf.DUMMYFUNCTION("""COMPUTED_VALUE"""),0.384300572019203)</f>
        <v>0.384300572</v>
      </c>
      <c r="M3292" s="166">
        <f t="shared" si="2"/>
        <v>3.864135798</v>
      </c>
      <c r="N3292" s="167">
        <f t="shared" si="3"/>
        <v>30.35955026</v>
      </c>
      <c r="O3292" s="163">
        <f t="shared" ref="O3292:Q3292" si="3296">rank(I3292,I:I)</f>
        <v>1665</v>
      </c>
      <c r="P3292" s="163">
        <f t="shared" si="3296"/>
        <v>789</v>
      </c>
      <c r="Q3292" s="163">
        <f t="shared" si="3296"/>
        <v>887</v>
      </c>
      <c r="R3292" s="163">
        <f>IFERROR(__xludf.DUMMYFUNCTION("RANK(M3292,filter(M:M,C:C=C3292))"),73.0)</f>
        <v>73</v>
      </c>
      <c r="S3292" s="161" t="b">
        <f t="shared" si="5"/>
        <v>0</v>
      </c>
      <c r="T3292" s="161" t="b">
        <f t="array" ref="T3292">index('Query Tool'!B:B,match(H3292,'Query Tool'!C:C,0))</f>
        <v>1</v>
      </c>
      <c r="U3292" s="161" t="b">
        <f t="array" ref="U3292">index('Query Tool'!B:B,match(C3292,'Query Tool'!C:C,0))</f>
        <v>0</v>
      </c>
      <c r="V3292" s="161" t="b">
        <f>F3292&gt;='Query Tool'!C$32</f>
        <v>1</v>
      </c>
      <c r="W3292" s="161" t="b">
        <f t="array" ref="W3292">index(Dropdowns!B:B,match(I3292,Dropdowns!A:A,0))</f>
        <v>1</v>
      </c>
      <c r="X3292" s="161" t="b">
        <f t="array" ref="X3292">index('Query Tool'!B:B,match(D3292,'Query Tool'!C:C,0))</f>
        <v>1</v>
      </c>
      <c r="Y3292" s="161" t="str">
        <f t="shared" si="6"/>
        <v>houseda01,2019-20</v>
      </c>
      <c r="Z3292" s="168" t="str">
        <f t="array" ref="Z3292">iferror(index(I:I,match($A3292&amp;","&amp;index('Year Conversion'!$A:$A,match($C3292,'Year Conversion'!$B:$B,0)),$Y:$Y,0))-I3292,"")</f>
        <v/>
      </c>
      <c r="AA3292" s="168" t="str">
        <f t="array" ref="AA3292">iferror(index(J:J,match($A3292&amp;","&amp;index('Year Conversion'!$A:$A,match($C3292,'Year Conversion'!$B:$B,0)),$Y:$Y,0))-J3292,"")</f>
        <v/>
      </c>
      <c r="AB3292" s="168" t="str">
        <f t="array" ref="AB3292">iferror(index(K:K,match($A3292&amp;","&amp;index('Year Conversion'!$A:$A,match($C3292,'Year Conversion'!$B:$B,0)),$Y:$Y,0))-K3292,"")</f>
        <v/>
      </c>
      <c r="AC3292" s="168" t="str">
        <f t="shared" si="7"/>
        <v>HOU,2019-20</v>
      </c>
    </row>
    <row r="3293">
      <c r="A3293" s="161" t="str">
        <f>IFERROR(__xludf.DUMMYFUNCTION("""COMPUTED_VALUE"""),"jonesde02")</f>
        <v>jonesde02</v>
      </c>
      <c r="B3293" s="161" t="str">
        <f>IFERROR(__xludf.DUMMYFUNCTION("""COMPUTED_VALUE"""),"Derrick Jones Jr.")</f>
        <v>Derrick Jones Jr.</v>
      </c>
      <c r="C3293" s="162" t="str">
        <f>IFERROR(__xludf.DUMMYFUNCTION("""COMPUTED_VALUE"""),"2019-20")</f>
        <v>2019-20</v>
      </c>
      <c r="D3293" s="163" t="str">
        <f>IFERROR(__xludf.DUMMYFUNCTION("""COMPUTED_VALUE"""),"MIA")</f>
        <v>MIA</v>
      </c>
      <c r="E3293" s="164" t="str">
        <f>IFERROR(__xludf.DUMMYFUNCTION("""COMPUTED_VALUE"""),"Stretch Big")</f>
        <v>Stretch Big</v>
      </c>
      <c r="F3293" s="164">
        <f>IFERROR(__xludf.DUMMYFUNCTION("""COMPUTED_VALUE"""),1375.08333333333)</f>
        <v>1375.083333</v>
      </c>
      <c r="G3293" s="163">
        <f>IFERROR(__xludf.DUMMYFUNCTION("""COMPUTED_VALUE"""),59.0)</f>
        <v>59</v>
      </c>
      <c r="H3293" s="163" t="str">
        <f>IFERROR(__xludf.DUMMYFUNCTION("""COMPUTED_VALUE"""),"SF")</f>
        <v>SF</v>
      </c>
      <c r="I3293" s="163">
        <f>IFERROR(__xludf.DUMMYFUNCTION("""COMPUTED_VALUE"""),22.0)</f>
        <v>22</v>
      </c>
      <c r="J3293" s="165">
        <f>IFERROR(__xludf.DUMMYFUNCTION("""COMPUTED_VALUE"""),-0.549817132800715)</f>
        <v>-0.5498171328</v>
      </c>
      <c r="K3293" s="165">
        <f>IFERROR(__xludf.DUMMYFUNCTION("""COMPUTED_VALUE"""),0.0368514973162938)</f>
        <v>0.03685149732</v>
      </c>
      <c r="L3293" s="165">
        <f>IFERROR(__xludf.DUMMYFUNCTION("""COMPUTED_VALUE"""),-0.586668630117009)</f>
        <v>-0.5866686301</v>
      </c>
      <c r="M3293" s="166">
        <f t="shared" si="2"/>
        <v>1.610416668</v>
      </c>
      <c r="N3293" s="167">
        <f t="shared" si="3"/>
        <v>23.30649718</v>
      </c>
      <c r="O3293" s="163">
        <f t="shared" ref="O3293:Q3293" si="3297">rank(I3293,I:I)</f>
        <v>3178</v>
      </c>
      <c r="P3293" s="163">
        <f t="shared" si="3297"/>
        <v>1914</v>
      </c>
      <c r="Q3293" s="163">
        <f t="shared" si="3297"/>
        <v>1143</v>
      </c>
      <c r="R3293" s="163">
        <f>IFERROR(__xludf.DUMMYFUNCTION("RANK(M3293,filter(M:M,C:C=C3293))"),178.0)</f>
        <v>178</v>
      </c>
      <c r="S3293" s="161" t="b">
        <f t="shared" si="5"/>
        <v>0</v>
      </c>
      <c r="T3293" s="161" t="b">
        <f t="array" ref="T3293">index('Query Tool'!B:B,match(H3293,'Query Tool'!C:C,0))</f>
        <v>1</v>
      </c>
      <c r="U3293" s="161" t="b">
        <f t="array" ref="U3293">index('Query Tool'!B:B,match(C3293,'Query Tool'!C:C,0))</f>
        <v>0</v>
      </c>
      <c r="V3293" s="161" t="b">
        <f>F3293&gt;='Query Tool'!C$32</f>
        <v>1</v>
      </c>
      <c r="W3293" s="161" t="b">
        <f t="array" ref="W3293">index(Dropdowns!B:B,match(I3293,Dropdowns!A:A,0))</f>
        <v>1</v>
      </c>
      <c r="X3293" s="161" t="b">
        <f t="array" ref="X3293">index('Query Tool'!B:B,match(D3293,'Query Tool'!C:C,0))</f>
        <v>1</v>
      </c>
      <c r="Y3293" s="161" t="str">
        <f t="shared" si="6"/>
        <v>jonesde02,2019-20</v>
      </c>
      <c r="Z3293" s="168" t="str">
        <f t="array" ref="Z3293">iferror(index(I:I,match($A3293&amp;","&amp;index('Year Conversion'!$A:$A,match($C3293,'Year Conversion'!$B:$B,0)),$Y:$Y,0))-I3293,"")</f>
        <v/>
      </c>
      <c r="AA3293" s="168" t="str">
        <f t="array" ref="AA3293">iferror(index(J:J,match($A3293&amp;","&amp;index('Year Conversion'!$A:$A,match($C3293,'Year Conversion'!$B:$B,0)),$Y:$Y,0))-J3293,"")</f>
        <v/>
      </c>
      <c r="AB3293" s="168" t="str">
        <f t="array" ref="AB3293">iferror(index(K:K,match($A3293&amp;","&amp;index('Year Conversion'!$A:$A,match($C3293,'Year Conversion'!$B:$B,0)),$Y:$Y,0))-K3293,"")</f>
        <v/>
      </c>
      <c r="AC3293" s="168" t="str">
        <f t="shared" si="7"/>
        <v>MIA,2019-20</v>
      </c>
    </row>
    <row r="3294">
      <c r="A3294" s="161" t="str">
        <f>IFERROR(__xludf.DUMMYFUNCTION("""COMPUTED_VALUE"""),"harrish01")</f>
        <v>harrish01</v>
      </c>
      <c r="B3294" s="161" t="str">
        <f>IFERROR(__xludf.DUMMYFUNCTION("""COMPUTED_VALUE"""),"Shaquille Harrison")</f>
        <v>Shaquille Harrison</v>
      </c>
      <c r="C3294" s="162" t="str">
        <f>IFERROR(__xludf.DUMMYFUNCTION("""COMPUTED_VALUE"""),"2019-20")</f>
        <v>2019-20</v>
      </c>
      <c r="D3294" s="163" t="str">
        <f>IFERROR(__xludf.DUMMYFUNCTION("""COMPUTED_VALUE"""),"CHI")</f>
        <v>CHI</v>
      </c>
      <c r="E3294" s="164" t="str">
        <f>IFERROR(__xludf.DUMMYFUNCTION("""COMPUTED_VALUE"""),"Secondary Ball Handler")</f>
        <v>Secondary Ball Handler</v>
      </c>
      <c r="F3294" s="164">
        <f>IFERROR(__xludf.DUMMYFUNCTION("""COMPUTED_VALUE"""),484.351666666667)</f>
        <v>484.3516667</v>
      </c>
      <c r="G3294" s="163">
        <f>IFERROR(__xludf.DUMMYFUNCTION("""COMPUTED_VALUE"""),43.0)</f>
        <v>43</v>
      </c>
      <c r="H3294" s="163" t="str">
        <f>IFERROR(__xludf.DUMMYFUNCTION("""COMPUTED_VALUE"""),"SG")</f>
        <v>SG</v>
      </c>
      <c r="I3294" s="163">
        <f>IFERROR(__xludf.DUMMYFUNCTION("""COMPUTED_VALUE"""),26.0)</f>
        <v>26</v>
      </c>
      <c r="J3294" s="165">
        <f>IFERROR(__xludf.DUMMYFUNCTION("""COMPUTED_VALUE"""),1.36965320291122)</f>
        <v>1.369653203</v>
      </c>
      <c r="K3294" s="165">
        <f>IFERROR(__xludf.DUMMYFUNCTION("""COMPUTED_VALUE"""),-0.272802137675309)</f>
        <v>-0.2728021377</v>
      </c>
      <c r="L3294" s="165">
        <f>IFERROR(__xludf.DUMMYFUNCTION("""COMPUTED_VALUE"""),1.64245534058653)</f>
        <v>1.642455341</v>
      </c>
      <c r="M3294" s="166">
        <f t="shared" si="2"/>
        <v>1.19280024</v>
      </c>
      <c r="N3294" s="167">
        <f t="shared" si="3"/>
        <v>11.26399225</v>
      </c>
      <c r="O3294" s="163">
        <f t="shared" ref="O3294:Q3294" si="3298">rank(I3294,I:I)</f>
        <v>1665</v>
      </c>
      <c r="P3294" s="163">
        <f t="shared" si="3298"/>
        <v>502</v>
      </c>
      <c r="Q3294" s="163">
        <f t="shared" si="3298"/>
        <v>1709</v>
      </c>
      <c r="R3294" s="163">
        <f>IFERROR(__xludf.DUMMYFUNCTION("RANK(M3294,filter(M:M,C:C=C3294))"),204.0)</f>
        <v>204</v>
      </c>
      <c r="S3294" s="161" t="b">
        <f t="shared" si="5"/>
        <v>0</v>
      </c>
      <c r="T3294" s="161" t="b">
        <f t="array" ref="T3294">index('Query Tool'!B:B,match(H3294,'Query Tool'!C:C,0))</f>
        <v>1</v>
      </c>
      <c r="U3294" s="161" t="b">
        <f t="array" ref="U3294">index('Query Tool'!B:B,match(C3294,'Query Tool'!C:C,0))</f>
        <v>0</v>
      </c>
      <c r="V3294" s="161" t="b">
        <f>F3294&gt;='Query Tool'!C$32</f>
        <v>0</v>
      </c>
      <c r="W3294" s="161" t="b">
        <f t="array" ref="W3294">index(Dropdowns!B:B,match(I3294,Dropdowns!A:A,0))</f>
        <v>1</v>
      </c>
      <c r="X3294" s="161" t="b">
        <f t="array" ref="X3294">index('Query Tool'!B:B,match(D3294,'Query Tool'!C:C,0))</f>
        <v>1</v>
      </c>
      <c r="Y3294" s="161" t="str">
        <f t="shared" si="6"/>
        <v>harrish01,2019-20</v>
      </c>
      <c r="Z3294" s="168" t="str">
        <f t="array" ref="Z3294">iferror(index(I:I,match($A3294&amp;","&amp;index('Year Conversion'!$A:$A,match($C3294,'Year Conversion'!$B:$B,0)),$Y:$Y,0))-I3294,"")</f>
        <v/>
      </c>
      <c r="AA3294" s="168" t="str">
        <f t="array" ref="AA3294">iferror(index(J:J,match($A3294&amp;","&amp;index('Year Conversion'!$A:$A,match($C3294,'Year Conversion'!$B:$B,0)),$Y:$Y,0))-J3294,"")</f>
        <v/>
      </c>
      <c r="AB3294" s="168" t="str">
        <f t="array" ref="AB3294">iferror(index(K:K,match($A3294&amp;","&amp;index('Year Conversion'!$A:$A,match($C3294,'Year Conversion'!$B:$B,0)),$Y:$Y,0))-K3294,"")</f>
        <v/>
      </c>
      <c r="AC3294" s="168" t="str">
        <f t="shared" si="7"/>
        <v>CHI,2019-20</v>
      </c>
    </row>
    <row r="3295">
      <c r="A3295" s="161" t="str">
        <f>IFERROR(__xludf.DUMMYFUNCTION("""COMPUTED_VALUE"""),"carusal01")</f>
        <v>carusal01</v>
      </c>
      <c r="B3295" s="161" t="str">
        <f>IFERROR(__xludf.DUMMYFUNCTION("""COMPUTED_VALUE"""),"Alex Caruso")</f>
        <v>Alex Caruso</v>
      </c>
      <c r="C3295" s="162" t="str">
        <f>IFERROR(__xludf.DUMMYFUNCTION("""COMPUTED_VALUE"""),"2019-20")</f>
        <v>2019-20</v>
      </c>
      <c r="D3295" s="163" t="str">
        <f>IFERROR(__xludf.DUMMYFUNCTION("""COMPUTED_VALUE"""),"LAL")</f>
        <v>LAL</v>
      </c>
      <c r="E3295" s="164" t="str">
        <f>IFERROR(__xludf.DUMMYFUNCTION("""COMPUTED_VALUE"""),"Secondary Ball Handler")</f>
        <v>Secondary Ball Handler</v>
      </c>
      <c r="F3295" s="164">
        <f>IFERROR(__xludf.DUMMYFUNCTION("""COMPUTED_VALUE"""),1175.275)</f>
        <v>1175.275</v>
      </c>
      <c r="G3295" s="163">
        <f>IFERROR(__xludf.DUMMYFUNCTION("""COMPUTED_VALUE"""),64.0)</f>
        <v>64</v>
      </c>
      <c r="H3295" s="163" t="str">
        <f>IFERROR(__xludf.DUMMYFUNCTION("""COMPUTED_VALUE"""),"PG")</f>
        <v>PG</v>
      </c>
      <c r="I3295" s="163">
        <f>IFERROR(__xludf.DUMMYFUNCTION("""COMPUTED_VALUE"""),25.0)</f>
        <v>25</v>
      </c>
      <c r="J3295" s="165">
        <f>IFERROR(__xludf.DUMMYFUNCTION("""COMPUTED_VALUE"""),0.800873347934413)</f>
        <v>0.8008733479</v>
      </c>
      <c r="K3295" s="165">
        <f>IFERROR(__xludf.DUMMYFUNCTION("""COMPUTED_VALUE"""),-0.698626346492524)</f>
        <v>-0.6986263465</v>
      </c>
      <c r="L3295" s="165">
        <f>IFERROR(__xludf.DUMMYFUNCTION("""COMPUTED_VALUE"""),1.49949969442694)</f>
        <v>1.499499694</v>
      </c>
      <c r="M3295" s="166">
        <f t="shared" si="2"/>
        <v>2.445896227</v>
      </c>
      <c r="N3295" s="167">
        <f t="shared" si="3"/>
        <v>18.36367188</v>
      </c>
      <c r="O3295" s="163">
        <f t="shared" ref="O3295:Q3295" si="3299">rank(I3295,I:I)</f>
        <v>1995</v>
      </c>
      <c r="P3295" s="163">
        <f t="shared" si="3299"/>
        <v>742</v>
      </c>
      <c r="Q3295" s="163">
        <f t="shared" si="3299"/>
        <v>2413</v>
      </c>
      <c r="R3295" s="163">
        <f>IFERROR(__xludf.DUMMYFUNCTION("RANK(M3295,filter(M:M,C:C=C3295))"),127.0)</f>
        <v>127</v>
      </c>
      <c r="S3295" s="161" t="b">
        <f t="shared" si="5"/>
        <v>0</v>
      </c>
      <c r="T3295" s="161" t="b">
        <f t="array" ref="T3295">index('Query Tool'!B:B,match(H3295,'Query Tool'!C:C,0))</f>
        <v>1</v>
      </c>
      <c r="U3295" s="161" t="b">
        <f t="array" ref="U3295">index('Query Tool'!B:B,match(C3295,'Query Tool'!C:C,0))</f>
        <v>0</v>
      </c>
      <c r="V3295" s="161" t="b">
        <f>F3295&gt;='Query Tool'!C$32</f>
        <v>1</v>
      </c>
      <c r="W3295" s="161" t="b">
        <f t="array" ref="W3295">index(Dropdowns!B:B,match(I3295,Dropdowns!A:A,0))</f>
        <v>1</v>
      </c>
      <c r="X3295" s="161" t="b">
        <f t="array" ref="X3295">index('Query Tool'!B:B,match(D3295,'Query Tool'!C:C,0))</f>
        <v>1</v>
      </c>
      <c r="Y3295" s="161" t="str">
        <f t="shared" si="6"/>
        <v>carusal01,2019-20</v>
      </c>
      <c r="Z3295" s="168" t="str">
        <f t="array" ref="Z3295">iferror(index(I:I,match($A3295&amp;","&amp;index('Year Conversion'!$A:$A,match($C3295,'Year Conversion'!$B:$B,0)),$Y:$Y,0))-I3295,"")</f>
        <v/>
      </c>
      <c r="AA3295" s="168" t="str">
        <f t="array" ref="AA3295">iferror(index(J:J,match($A3295&amp;","&amp;index('Year Conversion'!$A:$A,match($C3295,'Year Conversion'!$B:$B,0)),$Y:$Y,0))-J3295,"")</f>
        <v/>
      </c>
      <c r="AB3295" s="168" t="str">
        <f t="array" ref="AB3295">iferror(index(K:K,match($A3295&amp;","&amp;index('Year Conversion'!$A:$A,match($C3295,'Year Conversion'!$B:$B,0)),$Y:$Y,0))-K3295,"")</f>
        <v/>
      </c>
      <c r="AC3295" s="168" t="str">
        <f t="shared" si="7"/>
        <v>LAL,2019-20</v>
      </c>
    </row>
    <row r="3296">
      <c r="A3296" s="161" t="str">
        <f>IFERROR(__xludf.DUMMYFUNCTION("""COMPUTED_VALUE"""),"grayjo01")</f>
        <v>grayjo01</v>
      </c>
      <c r="B3296" s="161" t="str">
        <f>IFERROR(__xludf.DUMMYFUNCTION("""COMPUTED_VALUE"""),"Josh Gray")</f>
        <v>Josh Gray</v>
      </c>
      <c r="C3296" s="162" t="str">
        <f>IFERROR(__xludf.DUMMYFUNCTION("""COMPUTED_VALUE"""),"2019-20")</f>
        <v>2019-20</v>
      </c>
      <c r="D3296" s="163" t="str">
        <f>IFERROR(__xludf.DUMMYFUNCTION("""COMPUTED_VALUE"""),"NOP")</f>
        <v>NOP</v>
      </c>
      <c r="E3296" s="164" t="str">
        <f>IFERROR(__xludf.DUMMYFUNCTION("""COMPUTED_VALUE"""),"Slasher")</f>
        <v>Slasher</v>
      </c>
      <c r="F3296" s="164">
        <f>IFERROR(__xludf.DUMMYFUNCTION("""COMPUTED_VALUE"""),22.7166666666667)</f>
        <v>22.71666667</v>
      </c>
      <c r="G3296" s="163">
        <f>IFERROR(__xludf.DUMMYFUNCTION("""COMPUTED_VALUE"""),2.0)</f>
        <v>2</v>
      </c>
      <c r="H3296" s="163" t="str">
        <f>IFERROR(__xludf.DUMMYFUNCTION("""COMPUTED_VALUE"""),"PG")</f>
        <v>PG</v>
      </c>
      <c r="I3296" s="163">
        <f>IFERROR(__xludf.DUMMYFUNCTION("""COMPUTED_VALUE"""),26.0)</f>
        <v>26</v>
      </c>
      <c r="J3296" s="165">
        <f>IFERROR(__xludf.DUMMYFUNCTION("""COMPUTED_VALUE"""),-0.685424830363612)</f>
        <v>-0.6854248304</v>
      </c>
      <c r="K3296" s="165">
        <f>IFERROR(__xludf.DUMMYFUNCTION("""COMPUTED_VALUE"""),-0.664465666385342)</f>
        <v>-0.6644656664</v>
      </c>
      <c r="L3296" s="165">
        <f>IFERROR(__xludf.DUMMYFUNCTION("""COMPUTED_VALUE"""),-0.0209591639782701)</f>
        <v>-0.02095916398</v>
      </c>
      <c r="M3296" s="166">
        <f t="shared" si="2"/>
        <v>0.02453085564</v>
      </c>
      <c r="N3296" s="167">
        <f t="shared" si="3"/>
        <v>11.35833333</v>
      </c>
      <c r="O3296" s="163">
        <f t="shared" ref="O3296:Q3296" si="3300">rank(I3296,I:I)</f>
        <v>1665</v>
      </c>
      <c r="P3296" s="163">
        <f t="shared" si="3300"/>
        <v>2120</v>
      </c>
      <c r="Q3296" s="163">
        <f t="shared" si="3300"/>
        <v>2362</v>
      </c>
      <c r="R3296" s="163">
        <f>IFERROR(__xludf.DUMMYFUNCTION("RANK(M3296,filter(M:M,C:C=C3296))"),458.0)</f>
        <v>458</v>
      </c>
      <c r="S3296" s="161" t="b">
        <f t="shared" si="5"/>
        <v>0</v>
      </c>
      <c r="T3296" s="161" t="b">
        <f t="array" ref="T3296">index('Query Tool'!B:B,match(H3296,'Query Tool'!C:C,0))</f>
        <v>1</v>
      </c>
      <c r="U3296" s="161" t="b">
        <f t="array" ref="U3296">index('Query Tool'!B:B,match(C3296,'Query Tool'!C:C,0))</f>
        <v>0</v>
      </c>
      <c r="V3296" s="161" t="b">
        <f>F3296&gt;='Query Tool'!C$32</f>
        <v>0</v>
      </c>
      <c r="W3296" s="161" t="b">
        <f t="array" ref="W3296">index(Dropdowns!B:B,match(I3296,Dropdowns!A:A,0))</f>
        <v>1</v>
      </c>
      <c r="X3296" s="161" t="b">
        <f t="array" ref="X3296">index('Query Tool'!B:B,match(D3296,'Query Tool'!C:C,0))</f>
        <v>1</v>
      </c>
      <c r="Y3296" s="161" t="str">
        <f t="shared" si="6"/>
        <v>grayjo01,2019-20</v>
      </c>
      <c r="Z3296" s="168" t="str">
        <f t="array" ref="Z3296">iferror(index(I:I,match($A3296&amp;","&amp;index('Year Conversion'!$A:$A,match($C3296,'Year Conversion'!$B:$B,0)),$Y:$Y,0))-I3296,"")</f>
        <v/>
      </c>
      <c r="AA3296" s="168" t="str">
        <f t="array" ref="AA3296">iferror(index(J:J,match($A3296&amp;","&amp;index('Year Conversion'!$A:$A,match($C3296,'Year Conversion'!$B:$B,0)),$Y:$Y,0))-J3296,"")</f>
        <v/>
      </c>
      <c r="AB3296" s="168" t="str">
        <f t="array" ref="AB3296">iferror(index(K:K,match($A3296&amp;","&amp;index('Year Conversion'!$A:$A,match($C3296,'Year Conversion'!$B:$B,0)),$Y:$Y,0))-K3296,"")</f>
        <v/>
      </c>
      <c r="AC3296" s="168" t="str">
        <f t="shared" si="7"/>
        <v>NOP,2019-20</v>
      </c>
    </row>
    <row r="3297">
      <c r="A3297" s="161" t="str">
        <f>IFERROR(__xludf.DUMMYFUNCTION("""COMPUTED_VALUE"""),"nwabada01")</f>
        <v>nwabada01</v>
      </c>
      <c r="B3297" s="161" t="str">
        <f>IFERROR(__xludf.DUMMYFUNCTION("""COMPUTED_VALUE"""),"David Nwaba")</f>
        <v>David Nwaba</v>
      </c>
      <c r="C3297" s="162" t="str">
        <f>IFERROR(__xludf.DUMMYFUNCTION("""COMPUTED_VALUE"""),"2019-20")</f>
        <v>2019-20</v>
      </c>
      <c r="D3297" s="163" t="str">
        <f>IFERROR(__xludf.DUMMYFUNCTION("""COMPUTED_VALUE"""),"BRK")</f>
        <v>BRK</v>
      </c>
      <c r="E3297" s="164" t="str">
        <f>IFERROR(__xludf.DUMMYFUNCTION("""COMPUTED_VALUE"""),"Stationary Shooter")</f>
        <v>Stationary Shooter</v>
      </c>
      <c r="F3297" s="164">
        <f>IFERROR(__xludf.DUMMYFUNCTION("""COMPUTED_VALUE"""),268.46)</f>
        <v>268.46</v>
      </c>
      <c r="G3297" s="163">
        <f>IFERROR(__xludf.DUMMYFUNCTION("""COMPUTED_VALUE"""),20.0)</f>
        <v>20</v>
      </c>
      <c r="H3297" s="163" t="str">
        <f>IFERROR(__xludf.DUMMYFUNCTION("""COMPUTED_VALUE"""),"SF")</f>
        <v>SF</v>
      </c>
      <c r="I3297" s="163">
        <f>IFERROR(__xludf.DUMMYFUNCTION("""COMPUTED_VALUE"""),27.0)</f>
        <v>27</v>
      </c>
      <c r="J3297" s="165">
        <f>IFERROR(__xludf.DUMMYFUNCTION("""COMPUTED_VALUE"""),-0.393971408166532)</f>
        <v>-0.3939714082</v>
      </c>
      <c r="K3297" s="165">
        <f>IFERROR(__xludf.DUMMYFUNCTION("""COMPUTED_VALUE"""),-1.85112426070409)</f>
        <v>-1.851124261</v>
      </c>
      <c r="L3297" s="165">
        <f>IFERROR(__xludf.DUMMYFUNCTION("""COMPUTED_VALUE"""),1.45715285253756)</f>
        <v>1.457152853</v>
      </c>
      <c r="M3297" s="166">
        <f t="shared" si="2"/>
        <v>0.3425851381</v>
      </c>
      <c r="N3297" s="167">
        <f t="shared" si="3"/>
        <v>13.423</v>
      </c>
      <c r="O3297" s="163">
        <f t="shared" ref="O3297:Q3297" si="3301">rank(I3297,I:I)</f>
        <v>1366</v>
      </c>
      <c r="P3297" s="163">
        <f t="shared" si="3301"/>
        <v>1721</v>
      </c>
      <c r="Q3297" s="163">
        <f t="shared" si="3301"/>
        <v>3608</v>
      </c>
      <c r="R3297" s="163">
        <f>IFERROR(__xludf.DUMMYFUNCTION("RANK(M3297,filter(M:M,C:C=C3297))"),289.0)</f>
        <v>289</v>
      </c>
      <c r="S3297" s="161" t="b">
        <f t="shared" si="5"/>
        <v>0</v>
      </c>
      <c r="T3297" s="161" t="b">
        <f t="array" ref="T3297">index('Query Tool'!B:B,match(H3297,'Query Tool'!C:C,0))</f>
        <v>1</v>
      </c>
      <c r="U3297" s="161" t="b">
        <f t="array" ref="U3297">index('Query Tool'!B:B,match(C3297,'Query Tool'!C:C,0))</f>
        <v>0</v>
      </c>
      <c r="V3297" s="161" t="b">
        <f>F3297&gt;='Query Tool'!C$32</f>
        <v>0</v>
      </c>
      <c r="W3297" s="161" t="b">
        <f t="array" ref="W3297">index(Dropdowns!B:B,match(I3297,Dropdowns!A:A,0))</f>
        <v>1</v>
      </c>
      <c r="X3297" s="161" t="b">
        <f t="array" ref="X3297">index('Query Tool'!B:B,match(D3297,'Query Tool'!C:C,0))</f>
        <v>1</v>
      </c>
      <c r="Y3297" s="161" t="str">
        <f t="shared" si="6"/>
        <v>nwabada01,2019-20</v>
      </c>
      <c r="Z3297" s="168" t="str">
        <f t="array" ref="Z3297">iferror(index(I:I,match($A3297&amp;","&amp;index('Year Conversion'!$A:$A,match($C3297,'Year Conversion'!$B:$B,0)),$Y:$Y,0))-I3297,"")</f>
        <v/>
      </c>
      <c r="AA3297" s="168" t="str">
        <f t="array" ref="AA3297">iferror(index(J:J,match($A3297&amp;","&amp;index('Year Conversion'!$A:$A,match($C3297,'Year Conversion'!$B:$B,0)),$Y:$Y,0))-J3297,"")</f>
        <v/>
      </c>
      <c r="AB3297" s="168" t="str">
        <f t="array" ref="AB3297">iferror(index(K:K,match($A3297&amp;","&amp;index('Year Conversion'!$A:$A,match($C3297,'Year Conversion'!$B:$B,0)),$Y:$Y,0))-K3297,"")</f>
        <v/>
      </c>
      <c r="AC3297" s="168" t="str">
        <f t="shared" si="7"/>
        <v>BRK,2019-20</v>
      </c>
    </row>
    <row r="3298">
      <c r="A3298" s="161" t="str">
        <f>IFERROR(__xludf.DUMMYFUNCTION("""COMPUTED_VALUE"""),"mckinal01")</f>
        <v>mckinal01</v>
      </c>
      <c r="B3298" s="161" t="str">
        <f>IFERROR(__xludf.DUMMYFUNCTION("""COMPUTED_VALUE"""),"Alfonzo McKinnie")</f>
        <v>Alfonzo McKinnie</v>
      </c>
      <c r="C3298" s="162" t="str">
        <f>IFERROR(__xludf.DUMMYFUNCTION("""COMPUTED_VALUE"""),"2019-20")</f>
        <v>2019-20</v>
      </c>
      <c r="D3298" s="163" t="str">
        <f>IFERROR(__xludf.DUMMYFUNCTION("""COMPUTED_VALUE"""),"CLE")</f>
        <v>CLE</v>
      </c>
      <c r="E3298" s="164" t="str">
        <f>IFERROR(__xludf.DUMMYFUNCTION("""COMPUTED_VALUE"""),"Athletic Finisher")</f>
        <v>Athletic Finisher</v>
      </c>
      <c r="F3298" s="164">
        <f>IFERROR(__xludf.DUMMYFUNCTION("""COMPUTED_VALUE"""),593.458333333333)</f>
        <v>593.4583333</v>
      </c>
      <c r="G3298" s="163">
        <f>IFERROR(__xludf.DUMMYFUNCTION("""COMPUTED_VALUE"""),40.0)</f>
        <v>40</v>
      </c>
      <c r="H3298" s="163" t="str">
        <f>IFERROR(__xludf.DUMMYFUNCTION("""COMPUTED_VALUE"""),"SF")</f>
        <v>SF</v>
      </c>
      <c r="I3298" s="163">
        <f>IFERROR(__xludf.DUMMYFUNCTION("""COMPUTED_VALUE"""),27.0)</f>
        <v>27</v>
      </c>
      <c r="J3298" s="165">
        <f>IFERROR(__xludf.DUMMYFUNCTION("""COMPUTED_VALUE"""),-2.61993724435483)</f>
        <v>-2.619937244</v>
      </c>
      <c r="K3298" s="165">
        <f>IFERROR(__xludf.DUMMYFUNCTION("""COMPUTED_VALUE"""),-1.88873197379673)</f>
        <v>-1.888731974</v>
      </c>
      <c r="L3298" s="165">
        <f>IFERROR(__xludf.DUMMYFUNCTION("""COMPUTED_VALUE"""),-0.731205270558106)</f>
        <v>-0.7312052706</v>
      </c>
      <c r="M3298" s="166">
        <f t="shared" si="2"/>
        <v>-0.1234486141</v>
      </c>
      <c r="N3298" s="167">
        <f t="shared" si="3"/>
        <v>14.83645833</v>
      </c>
      <c r="O3298" s="163">
        <f t="shared" ref="O3298:Q3298" si="3302">rank(I3298,I:I)</f>
        <v>1366</v>
      </c>
      <c r="P3298" s="163">
        <f t="shared" si="3302"/>
        <v>3792</v>
      </c>
      <c r="Q3298" s="163">
        <f t="shared" si="3302"/>
        <v>3637</v>
      </c>
      <c r="R3298" s="163">
        <f>IFERROR(__xludf.DUMMYFUNCTION("RANK(M3298,filter(M:M,C:C=C3298))"),497.0)</f>
        <v>497</v>
      </c>
      <c r="S3298" s="161" t="b">
        <f t="shared" si="5"/>
        <v>0</v>
      </c>
      <c r="T3298" s="161" t="b">
        <f t="array" ref="T3298">index('Query Tool'!B:B,match(H3298,'Query Tool'!C:C,0))</f>
        <v>1</v>
      </c>
      <c r="U3298" s="161" t="b">
        <f t="array" ref="U3298">index('Query Tool'!B:B,match(C3298,'Query Tool'!C:C,0))</f>
        <v>0</v>
      </c>
      <c r="V3298" s="161" t="b">
        <f>F3298&gt;='Query Tool'!C$32</f>
        <v>1</v>
      </c>
      <c r="W3298" s="161" t="b">
        <f t="array" ref="W3298">index(Dropdowns!B:B,match(I3298,Dropdowns!A:A,0))</f>
        <v>1</v>
      </c>
      <c r="X3298" s="161" t="b">
        <f t="array" ref="X3298">index('Query Tool'!B:B,match(D3298,'Query Tool'!C:C,0))</f>
        <v>1</v>
      </c>
      <c r="Y3298" s="161" t="str">
        <f t="shared" si="6"/>
        <v>mckinal01,2019-20</v>
      </c>
      <c r="Z3298" s="168" t="str">
        <f t="array" ref="Z3298">iferror(index(I:I,match($A3298&amp;","&amp;index('Year Conversion'!$A:$A,match($C3298,'Year Conversion'!$B:$B,0)),$Y:$Y,0))-I3298,"")</f>
        <v/>
      </c>
      <c r="AA3298" s="168" t="str">
        <f t="array" ref="AA3298">iferror(index(J:J,match($A3298&amp;","&amp;index('Year Conversion'!$A:$A,match($C3298,'Year Conversion'!$B:$B,0)),$Y:$Y,0))-J3298,"")</f>
        <v/>
      </c>
      <c r="AB3298" s="168" t="str">
        <f t="array" ref="AB3298">iferror(index(K:K,match($A3298&amp;","&amp;index('Year Conversion'!$A:$A,match($C3298,'Year Conversion'!$B:$B,0)),$Y:$Y,0))-K3298,"")</f>
        <v/>
      </c>
      <c r="AC3298" s="168" t="str">
        <f t="shared" si="7"/>
        <v>CLE,2019-20</v>
      </c>
    </row>
    <row r="3299">
      <c r="A3299" s="161" t="str">
        <f>IFERROR(__xludf.DUMMYFUNCTION("""COMPUTED_VALUE"""),"fultzma01")</f>
        <v>fultzma01</v>
      </c>
      <c r="B3299" s="161" t="str">
        <f>IFERROR(__xludf.DUMMYFUNCTION("""COMPUTED_VALUE"""),"Markelle Fultz")</f>
        <v>Markelle Fultz</v>
      </c>
      <c r="C3299" s="162" t="str">
        <f>IFERROR(__xludf.DUMMYFUNCTION("""COMPUTED_VALUE"""),"2019-20")</f>
        <v>2019-20</v>
      </c>
      <c r="D3299" s="163" t="str">
        <f>IFERROR(__xludf.DUMMYFUNCTION("""COMPUTED_VALUE"""),"ORL")</f>
        <v>ORL</v>
      </c>
      <c r="E3299" s="164" t="str">
        <f>IFERROR(__xludf.DUMMYFUNCTION("""COMPUTED_VALUE"""),"Slasher")</f>
        <v>Slasher</v>
      </c>
      <c r="F3299" s="164">
        <f>IFERROR(__xludf.DUMMYFUNCTION("""COMPUTED_VALUE"""),1995.945)</f>
        <v>1995.945</v>
      </c>
      <c r="G3299" s="163">
        <f>IFERROR(__xludf.DUMMYFUNCTION("""COMPUTED_VALUE"""),72.0)</f>
        <v>72</v>
      </c>
      <c r="H3299" s="163" t="str">
        <f>IFERROR(__xludf.DUMMYFUNCTION("""COMPUTED_VALUE"""),"PG")</f>
        <v>PG</v>
      </c>
      <c r="I3299" s="163">
        <f>IFERROR(__xludf.DUMMYFUNCTION("""COMPUTED_VALUE"""),21.0)</f>
        <v>21</v>
      </c>
      <c r="J3299" s="165">
        <f>IFERROR(__xludf.DUMMYFUNCTION("""COMPUTED_VALUE"""),-0.471205082532039)</f>
        <v>-0.4712050825</v>
      </c>
      <c r="K3299" s="165">
        <f>IFERROR(__xludf.DUMMYFUNCTION("""COMPUTED_VALUE"""),-0.574145473715575)</f>
        <v>-0.5741454737</v>
      </c>
      <c r="L3299" s="165">
        <f>IFERROR(__xludf.DUMMYFUNCTION("""COMPUTED_VALUE"""),0.102940391183536)</f>
        <v>0.1029403912</v>
      </c>
      <c r="M3299" s="166">
        <f t="shared" si="2"/>
        <v>2.443202245</v>
      </c>
      <c r="N3299" s="167">
        <f t="shared" si="3"/>
        <v>27.72145833</v>
      </c>
      <c r="O3299" s="163">
        <f t="shared" ref="O3299:Q3299" si="3303">rank(I3299,I:I)</f>
        <v>3528</v>
      </c>
      <c r="P3299" s="163">
        <f t="shared" si="3303"/>
        <v>1809</v>
      </c>
      <c r="Q3299" s="163">
        <f t="shared" si="3303"/>
        <v>2223</v>
      </c>
      <c r="R3299" s="163">
        <f>IFERROR(__xludf.DUMMYFUNCTION("RANK(M3299,filter(M:M,C:C=C3299))"),128.0)</f>
        <v>128</v>
      </c>
      <c r="S3299" s="161" t="b">
        <f t="shared" si="5"/>
        <v>0</v>
      </c>
      <c r="T3299" s="161" t="b">
        <f t="array" ref="T3299">index('Query Tool'!B:B,match(H3299,'Query Tool'!C:C,0))</f>
        <v>1</v>
      </c>
      <c r="U3299" s="161" t="b">
        <f t="array" ref="U3299">index('Query Tool'!B:B,match(C3299,'Query Tool'!C:C,0))</f>
        <v>0</v>
      </c>
      <c r="V3299" s="161" t="b">
        <f>F3299&gt;='Query Tool'!C$32</f>
        <v>1</v>
      </c>
      <c r="W3299" s="161" t="b">
        <f t="array" ref="W3299">index(Dropdowns!B:B,match(I3299,Dropdowns!A:A,0))</f>
        <v>1</v>
      </c>
      <c r="X3299" s="161" t="b">
        <f t="array" ref="X3299">index('Query Tool'!B:B,match(D3299,'Query Tool'!C:C,0))</f>
        <v>1</v>
      </c>
      <c r="Y3299" s="161" t="str">
        <f t="shared" si="6"/>
        <v>fultzma01,2019-20</v>
      </c>
      <c r="Z3299" s="168" t="str">
        <f t="array" ref="Z3299">iferror(index(I:I,match($A3299&amp;","&amp;index('Year Conversion'!$A:$A,match($C3299,'Year Conversion'!$B:$B,0)),$Y:$Y,0))-I3299,"")</f>
        <v/>
      </c>
      <c r="AA3299" s="168" t="str">
        <f t="array" ref="AA3299">iferror(index(J:J,match($A3299&amp;","&amp;index('Year Conversion'!$A:$A,match($C3299,'Year Conversion'!$B:$B,0)),$Y:$Y,0))-J3299,"")</f>
        <v/>
      </c>
      <c r="AB3299" s="168" t="str">
        <f t="array" ref="AB3299">iferror(index(K:K,match($A3299&amp;","&amp;index('Year Conversion'!$A:$A,match($C3299,'Year Conversion'!$B:$B,0)),$Y:$Y,0))-K3299,"")</f>
        <v/>
      </c>
      <c r="AC3299" s="168" t="str">
        <f t="shared" si="7"/>
        <v>ORL,2019-20</v>
      </c>
    </row>
    <row r="3300">
      <c r="A3300" s="161" t="str">
        <f>IFERROR(__xludf.DUMMYFUNCTION("""COMPUTED_VALUE"""),"balllo01")</f>
        <v>balllo01</v>
      </c>
      <c r="B3300" s="161" t="str">
        <f>IFERROR(__xludf.DUMMYFUNCTION("""COMPUTED_VALUE"""),"Lonzo Ball")</f>
        <v>Lonzo Ball</v>
      </c>
      <c r="C3300" s="162" t="str">
        <f>IFERROR(__xludf.DUMMYFUNCTION("""COMPUTED_VALUE"""),"2019-20")</f>
        <v>2019-20</v>
      </c>
      <c r="D3300" s="163" t="str">
        <f>IFERROR(__xludf.DUMMYFUNCTION("""COMPUTED_VALUE"""),"NOP")</f>
        <v>NOP</v>
      </c>
      <c r="E3300" s="164" t="str">
        <f>IFERROR(__xludf.DUMMYFUNCTION("""COMPUTED_VALUE"""),"Primary Ball Handler")</f>
        <v>Primary Ball Handler</v>
      </c>
      <c r="F3300" s="164">
        <f>IFERROR(__xludf.DUMMYFUNCTION("""COMPUTED_VALUE"""),2025.215)</f>
        <v>2025.215</v>
      </c>
      <c r="G3300" s="163">
        <f>IFERROR(__xludf.DUMMYFUNCTION("""COMPUTED_VALUE"""),63.0)</f>
        <v>63</v>
      </c>
      <c r="H3300" s="163" t="str">
        <f>IFERROR(__xludf.DUMMYFUNCTION("""COMPUTED_VALUE"""),"PG")</f>
        <v>PG</v>
      </c>
      <c r="I3300" s="163">
        <f>IFERROR(__xludf.DUMMYFUNCTION("""COMPUTED_VALUE"""),22.0)</f>
        <v>22</v>
      </c>
      <c r="J3300" s="165">
        <f>IFERROR(__xludf.DUMMYFUNCTION("""COMPUTED_VALUE"""),-0.699465623621426)</f>
        <v>-0.6994656236</v>
      </c>
      <c r="K3300" s="165">
        <f>IFERROR(__xludf.DUMMYFUNCTION("""COMPUTED_VALUE"""),-1.12416331558498)</f>
        <v>-1.124163316</v>
      </c>
      <c r="L3300" s="165">
        <f>IFERROR(__xludf.DUMMYFUNCTION("""COMPUTED_VALUE"""),0.424697691963553)</f>
        <v>0.424697692</v>
      </c>
      <c r="M3300" s="166">
        <f t="shared" si="2"/>
        <v>2.167819127</v>
      </c>
      <c r="N3300" s="167">
        <f t="shared" si="3"/>
        <v>32.14626984</v>
      </c>
      <c r="O3300" s="163">
        <f t="shared" ref="O3300:Q3300" si="3304">rank(I3300,I:I)</f>
        <v>3178</v>
      </c>
      <c r="P3300" s="163">
        <f t="shared" si="3304"/>
        <v>2138</v>
      </c>
      <c r="Q3300" s="163">
        <f t="shared" si="3304"/>
        <v>2951</v>
      </c>
      <c r="R3300" s="163">
        <f>IFERROR(__xludf.DUMMYFUNCTION("RANK(M3300,filter(M:M,C:C=C3300))"),145.0)</f>
        <v>145</v>
      </c>
      <c r="S3300" s="161" t="b">
        <f t="shared" si="5"/>
        <v>0</v>
      </c>
      <c r="T3300" s="161" t="b">
        <f t="array" ref="T3300">index('Query Tool'!B:B,match(H3300,'Query Tool'!C:C,0))</f>
        <v>1</v>
      </c>
      <c r="U3300" s="161" t="b">
        <f t="array" ref="U3300">index('Query Tool'!B:B,match(C3300,'Query Tool'!C:C,0))</f>
        <v>0</v>
      </c>
      <c r="V3300" s="161" t="b">
        <f>F3300&gt;='Query Tool'!C$32</f>
        <v>1</v>
      </c>
      <c r="W3300" s="161" t="b">
        <f t="array" ref="W3300">index(Dropdowns!B:B,match(I3300,Dropdowns!A:A,0))</f>
        <v>1</v>
      </c>
      <c r="X3300" s="161" t="b">
        <f t="array" ref="X3300">index('Query Tool'!B:B,match(D3300,'Query Tool'!C:C,0))</f>
        <v>1</v>
      </c>
      <c r="Y3300" s="161" t="str">
        <f t="shared" si="6"/>
        <v>balllo01,2019-20</v>
      </c>
      <c r="Z3300" s="168" t="str">
        <f t="array" ref="Z3300">iferror(index(I:I,match($A3300&amp;","&amp;index('Year Conversion'!$A:$A,match($C3300,'Year Conversion'!$B:$B,0)),$Y:$Y,0))-I3300,"")</f>
        <v/>
      </c>
      <c r="AA3300" s="168" t="str">
        <f t="array" ref="AA3300">iferror(index(J:J,match($A3300&amp;","&amp;index('Year Conversion'!$A:$A,match($C3300,'Year Conversion'!$B:$B,0)),$Y:$Y,0))-J3300,"")</f>
        <v/>
      </c>
      <c r="AB3300" s="168" t="str">
        <f t="array" ref="AB3300">iferror(index(K:K,match($A3300&amp;","&amp;index('Year Conversion'!$A:$A,match($C3300,'Year Conversion'!$B:$B,0)),$Y:$Y,0))-K3300,"")</f>
        <v/>
      </c>
      <c r="AC3300" s="168" t="str">
        <f t="shared" si="7"/>
        <v>NOP,2019-20</v>
      </c>
    </row>
    <row r="3301">
      <c r="A3301" s="161" t="str">
        <f>IFERROR(__xludf.DUMMYFUNCTION("""COMPUTED_VALUE"""),"jacksjo02")</f>
        <v>jacksjo02</v>
      </c>
      <c r="B3301" s="161" t="str">
        <f>IFERROR(__xludf.DUMMYFUNCTION("""COMPUTED_VALUE"""),"Josh Jackson")</f>
        <v>Josh Jackson</v>
      </c>
      <c r="C3301" s="162" t="str">
        <f>IFERROR(__xludf.DUMMYFUNCTION("""COMPUTED_VALUE"""),"2019-20")</f>
        <v>2019-20</v>
      </c>
      <c r="D3301" s="163" t="str">
        <f>IFERROR(__xludf.DUMMYFUNCTION("""COMPUTED_VALUE"""),"MEM")</f>
        <v>MEM</v>
      </c>
      <c r="E3301" s="164" t="str">
        <f>IFERROR(__xludf.DUMMYFUNCTION("""COMPUTED_VALUE"""),"Stationary Shooter")</f>
        <v>Stationary Shooter</v>
      </c>
      <c r="F3301" s="164">
        <f>IFERROR(__xludf.DUMMYFUNCTION("""COMPUTED_VALUE"""),381.455)</f>
        <v>381.455</v>
      </c>
      <c r="G3301" s="163">
        <f>IFERROR(__xludf.DUMMYFUNCTION("""COMPUTED_VALUE"""),22.0)</f>
        <v>22</v>
      </c>
      <c r="H3301" s="163" t="str">
        <f>IFERROR(__xludf.DUMMYFUNCTION("""COMPUTED_VALUE"""),"SF")</f>
        <v>SF</v>
      </c>
      <c r="I3301" s="163">
        <f>IFERROR(__xludf.DUMMYFUNCTION("""COMPUTED_VALUE"""),22.0)</f>
        <v>22</v>
      </c>
      <c r="J3301" s="165">
        <f>IFERROR(__xludf.DUMMYFUNCTION("""COMPUTED_VALUE"""),1.05807562633821)</f>
        <v>1.058075626</v>
      </c>
      <c r="K3301" s="165">
        <f>IFERROR(__xludf.DUMMYFUNCTION("""COMPUTED_VALUE"""),0.600936261530062)</f>
        <v>0.6009362615</v>
      </c>
      <c r="L3301" s="165">
        <f>IFERROR(__xludf.DUMMYFUNCTION("""COMPUTED_VALUE"""),0.45713936480815)</f>
        <v>0.4571393648</v>
      </c>
      <c r="M3301" s="166">
        <f t="shared" si="2"/>
        <v>0.8597626198</v>
      </c>
      <c r="N3301" s="167">
        <f t="shared" si="3"/>
        <v>17.33886364</v>
      </c>
      <c r="O3301" s="163">
        <f t="shared" ref="O3301:Q3301" si="3305">rank(I3301,I:I)</f>
        <v>3178</v>
      </c>
      <c r="P3301" s="163">
        <f t="shared" si="3305"/>
        <v>639</v>
      </c>
      <c r="Q3301" s="163">
        <f t="shared" si="3305"/>
        <v>707</v>
      </c>
      <c r="R3301" s="163">
        <f>IFERROR(__xludf.DUMMYFUNCTION("RANK(M3301,filter(M:M,C:C=C3301))"),221.0)</f>
        <v>221</v>
      </c>
      <c r="S3301" s="161" t="b">
        <f t="shared" si="5"/>
        <v>0</v>
      </c>
      <c r="T3301" s="161" t="b">
        <f t="array" ref="T3301">index('Query Tool'!B:B,match(H3301,'Query Tool'!C:C,0))</f>
        <v>1</v>
      </c>
      <c r="U3301" s="161" t="b">
        <f t="array" ref="U3301">index('Query Tool'!B:B,match(C3301,'Query Tool'!C:C,0))</f>
        <v>0</v>
      </c>
      <c r="V3301" s="161" t="b">
        <f>F3301&gt;='Query Tool'!C$32</f>
        <v>0</v>
      </c>
      <c r="W3301" s="161" t="b">
        <f t="array" ref="W3301">index(Dropdowns!B:B,match(I3301,Dropdowns!A:A,0))</f>
        <v>1</v>
      </c>
      <c r="X3301" s="161" t="b">
        <f t="array" ref="X3301">index('Query Tool'!B:B,match(D3301,'Query Tool'!C:C,0))</f>
        <v>1</v>
      </c>
      <c r="Y3301" s="161" t="str">
        <f t="shared" si="6"/>
        <v>jacksjo02,2019-20</v>
      </c>
      <c r="Z3301" s="168" t="str">
        <f t="array" ref="Z3301">iferror(index(I:I,match($A3301&amp;","&amp;index('Year Conversion'!$A:$A,match($C3301,'Year Conversion'!$B:$B,0)),$Y:$Y,0))-I3301,"")</f>
        <v/>
      </c>
      <c r="AA3301" s="168" t="str">
        <f t="array" ref="AA3301">iferror(index(J:J,match($A3301&amp;","&amp;index('Year Conversion'!$A:$A,match($C3301,'Year Conversion'!$B:$B,0)),$Y:$Y,0))-J3301,"")</f>
        <v/>
      </c>
      <c r="AB3301" s="168" t="str">
        <f t="array" ref="AB3301">iferror(index(K:K,match($A3301&amp;","&amp;index('Year Conversion'!$A:$A,match($C3301,'Year Conversion'!$B:$B,0)),$Y:$Y,0))-K3301,"")</f>
        <v/>
      </c>
      <c r="AC3301" s="168" t="str">
        <f t="shared" si="7"/>
        <v>MEM,2019-20</v>
      </c>
    </row>
    <row r="3302">
      <c r="A3302" s="161" t="str">
        <f>IFERROR(__xludf.DUMMYFUNCTION("""COMPUTED_VALUE"""),"foxde01")</f>
        <v>foxde01</v>
      </c>
      <c r="B3302" s="161" t="str">
        <f>IFERROR(__xludf.DUMMYFUNCTION("""COMPUTED_VALUE"""),"De'Aaron Fox")</f>
        <v>De'Aaron Fox</v>
      </c>
      <c r="C3302" s="162" t="str">
        <f>IFERROR(__xludf.DUMMYFUNCTION("""COMPUTED_VALUE"""),"2019-20")</f>
        <v>2019-20</v>
      </c>
      <c r="D3302" s="163" t="str">
        <f>IFERROR(__xludf.DUMMYFUNCTION("""COMPUTED_VALUE"""),"SAC")</f>
        <v>SAC</v>
      </c>
      <c r="E3302" s="164" t="str">
        <f>IFERROR(__xludf.DUMMYFUNCTION("""COMPUTED_VALUE"""),"Slasher")</f>
        <v>Slasher</v>
      </c>
      <c r="F3302" s="164">
        <f>IFERROR(__xludf.DUMMYFUNCTION("""COMPUTED_VALUE"""),1634.39666666667)</f>
        <v>1634.396667</v>
      </c>
      <c r="G3302" s="163">
        <f>IFERROR(__xludf.DUMMYFUNCTION("""COMPUTED_VALUE"""),51.0)</f>
        <v>51</v>
      </c>
      <c r="H3302" s="163" t="str">
        <f>IFERROR(__xludf.DUMMYFUNCTION("""COMPUTED_VALUE"""),"PG")</f>
        <v>PG</v>
      </c>
      <c r="I3302" s="163">
        <f>IFERROR(__xludf.DUMMYFUNCTION("""COMPUTED_VALUE"""),22.0)</f>
        <v>22</v>
      </c>
      <c r="J3302" s="165">
        <f>IFERROR(__xludf.DUMMYFUNCTION("""COMPUTED_VALUE"""),1.17675352641337)</f>
        <v>1.176753526</v>
      </c>
      <c r="K3302" s="165">
        <f>IFERROR(__xludf.DUMMYFUNCTION("""COMPUTED_VALUE"""),2.31259551881075)</f>
        <v>2.312595519</v>
      </c>
      <c r="L3302" s="165">
        <f>IFERROR(__xludf.DUMMYFUNCTION("""COMPUTED_VALUE"""),-1.13584199239738)</f>
        <v>-1.135841992</v>
      </c>
      <c r="M3302" s="166">
        <f t="shared" si="2"/>
        <v>3.813863424</v>
      </c>
      <c r="N3302" s="167">
        <f t="shared" si="3"/>
        <v>32.04699346</v>
      </c>
      <c r="O3302" s="163">
        <f t="shared" ref="O3302:Q3302" si="3306">rank(I3302,I:I)</f>
        <v>3178</v>
      </c>
      <c r="P3302" s="163">
        <f t="shared" si="3306"/>
        <v>579</v>
      </c>
      <c r="Q3302" s="163">
        <f t="shared" si="3306"/>
        <v>177</v>
      </c>
      <c r="R3302" s="163">
        <f>IFERROR(__xludf.DUMMYFUNCTION("RANK(M3302,filter(M:M,C:C=C3302))"),77.0)</f>
        <v>77</v>
      </c>
      <c r="S3302" s="161" t="b">
        <f t="shared" si="5"/>
        <v>0</v>
      </c>
      <c r="T3302" s="161" t="b">
        <f t="array" ref="T3302">index('Query Tool'!B:B,match(H3302,'Query Tool'!C:C,0))</f>
        <v>1</v>
      </c>
      <c r="U3302" s="161" t="b">
        <f t="array" ref="U3302">index('Query Tool'!B:B,match(C3302,'Query Tool'!C:C,0))</f>
        <v>0</v>
      </c>
      <c r="V3302" s="161" t="b">
        <f>F3302&gt;='Query Tool'!C$32</f>
        <v>1</v>
      </c>
      <c r="W3302" s="161" t="b">
        <f t="array" ref="W3302">index(Dropdowns!B:B,match(I3302,Dropdowns!A:A,0))</f>
        <v>1</v>
      </c>
      <c r="X3302" s="161" t="b">
        <f t="array" ref="X3302">index('Query Tool'!B:B,match(D3302,'Query Tool'!C:C,0))</f>
        <v>1</v>
      </c>
      <c r="Y3302" s="161" t="str">
        <f t="shared" si="6"/>
        <v>foxde01,2019-20</v>
      </c>
      <c r="Z3302" s="168" t="str">
        <f t="array" ref="Z3302">iferror(index(I:I,match($A3302&amp;","&amp;index('Year Conversion'!$A:$A,match($C3302,'Year Conversion'!$B:$B,0)),$Y:$Y,0))-I3302,"")</f>
        <v/>
      </c>
      <c r="AA3302" s="168" t="str">
        <f t="array" ref="AA3302">iferror(index(J:J,match($A3302&amp;","&amp;index('Year Conversion'!$A:$A,match($C3302,'Year Conversion'!$B:$B,0)),$Y:$Y,0))-J3302,"")</f>
        <v/>
      </c>
      <c r="AB3302" s="168" t="str">
        <f t="array" ref="AB3302">iferror(index(K:K,match($A3302&amp;","&amp;index('Year Conversion'!$A:$A,match($C3302,'Year Conversion'!$B:$B,0)),$Y:$Y,0))-K3302,"")</f>
        <v/>
      </c>
      <c r="AC3302" s="168" t="str">
        <f t="shared" si="7"/>
        <v>SAC,2019-20</v>
      </c>
    </row>
    <row r="3303">
      <c r="A3303" s="161" t="str">
        <f>IFERROR(__xludf.DUMMYFUNCTION("""COMPUTED_VALUE"""),"tatumja01")</f>
        <v>tatumja01</v>
      </c>
      <c r="B3303" s="161" t="str">
        <f>IFERROR(__xludf.DUMMYFUNCTION("""COMPUTED_VALUE"""),"Jayson Tatum")</f>
        <v>Jayson Tatum</v>
      </c>
      <c r="C3303" s="162" t="str">
        <f>IFERROR(__xludf.DUMMYFUNCTION("""COMPUTED_VALUE"""),"2019-20")</f>
        <v>2019-20</v>
      </c>
      <c r="D3303" s="163" t="str">
        <f>IFERROR(__xludf.DUMMYFUNCTION("""COMPUTED_VALUE"""),"BOS")</f>
        <v>BOS</v>
      </c>
      <c r="E3303" s="164" t="str">
        <f>IFERROR(__xludf.DUMMYFUNCTION("""COMPUTED_VALUE"""),"Shot Creator")</f>
        <v>Shot Creator</v>
      </c>
      <c r="F3303" s="164">
        <f>IFERROR(__xludf.DUMMYFUNCTION("""COMPUTED_VALUE"""),2265.085)</f>
        <v>2265.085</v>
      </c>
      <c r="G3303" s="163">
        <f>IFERROR(__xludf.DUMMYFUNCTION("""COMPUTED_VALUE"""),66.0)</f>
        <v>66</v>
      </c>
      <c r="H3303" s="163" t="str">
        <f>IFERROR(__xludf.DUMMYFUNCTION("""COMPUTED_VALUE"""),"PF")</f>
        <v>PF</v>
      </c>
      <c r="I3303" s="163">
        <f>IFERROR(__xludf.DUMMYFUNCTION("""COMPUTED_VALUE"""),21.0)</f>
        <v>21</v>
      </c>
      <c r="J3303" s="165">
        <f>IFERROR(__xludf.DUMMYFUNCTION("""COMPUTED_VALUE"""),4.34346041137827)</f>
        <v>4.343460411</v>
      </c>
      <c r="K3303" s="165">
        <f>IFERROR(__xludf.DUMMYFUNCTION("""COMPUTED_VALUE"""),2.80549511582758)</f>
        <v>2.805495116</v>
      </c>
      <c r="L3303" s="165">
        <f>IFERROR(__xludf.DUMMYFUNCTION("""COMPUTED_VALUE"""),1.53796529555068)</f>
        <v>1.537965296</v>
      </c>
      <c r="M3303" s="166">
        <f t="shared" si="2"/>
        <v>9.956344713</v>
      </c>
      <c r="N3303" s="167">
        <f t="shared" si="3"/>
        <v>34.3194697</v>
      </c>
      <c r="O3303" s="163">
        <f t="shared" ref="O3303:Q3303" si="3307">rank(I3303,I:I)</f>
        <v>3528</v>
      </c>
      <c r="P3303" s="163">
        <f t="shared" si="3307"/>
        <v>78</v>
      </c>
      <c r="Q3303" s="163">
        <f t="shared" si="3307"/>
        <v>137</v>
      </c>
      <c r="R3303" s="163">
        <f>IFERROR(__xludf.DUMMYFUNCTION("RANK(M3303,filter(M:M,C:C=C3303))"),7.0)</f>
        <v>7</v>
      </c>
      <c r="S3303" s="161" t="b">
        <f t="shared" si="5"/>
        <v>0</v>
      </c>
      <c r="T3303" s="161" t="b">
        <f t="array" ref="T3303">index('Query Tool'!B:B,match(H3303,'Query Tool'!C:C,0))</f>
        <v>1</v>
      </c>
      <c r="U3303" s="161" t="b">
        <f t="array" ref="U3303">index('Query Tool'!B:B,match(C3303,'Query Tool'!C:C,0))</f>
        <v>0</v>
      </c>
      <c r="V3303" s="161" t="b">
        <f>F3303&gt;='Query Tool'!C$32</f>
        <v>1</v>
      </c>
      <c r="W3303" s="161" t="b">
        <f t="array" ref="W3303">index(Dropdowns!B:B,match(I3303,Dropdowns!A:A,0))</f>
        <v>1</v>
      </c>
      <c r="X3303" s="161" t="b">
        <f t="array" ref="X3303">index('Query Tool'!B:B,match(D3303,'Query Tool'!C:C,0))</f>
        <v>1</v>
      </c>
      <c r="Y3303" s="161" t="str">
        <f t="shared" si="6"/>
        <v>tatumja01,2019-20</v>
      </c>
      <c r="Z3303" s="168" t="str">
        <f t="array" ref="Z3303">iferror(index(I:I,match($A3303&amp;","&amp;index('Year Conversion'!$A:$A,match($C3303,'Year Conversion'!$B:$B,0)),$Y:$Y,0))-I3303,"")</f>
        <v/>
      </c>
      <c r="AA3303" s="168" t="str">
        <f t="array" ref="AA3303">iferror(index(J:J,match($A3303&amp;","&amp;index('Year Conversion'!$A:$A,match($C3303,'Year Conversion'!$B:$B,0)),$Y:$Y,0))-J3303,"")</f>
        <v/>
      </c>
      <c r="AB3303" s="168" t="str">
        <f t="array" ref="AB3303">iferror(index(K:K,match($A3303&amp;","&amp;index('Year Conversion'!$A:$A,match($C3303,'Year Conversion'!$B:$B,0)),$Y:$Y,0))-K3303,"")</f>
        <v/>
      </c>
      <c r="AC3303" s="168" t="str">
        <f t="shared" si="7"/>
        <v>BOS,2019-20</v>
      </c>
    </row>
    <row r="3304">
      <c r="A3304" s="161" t="str">
        <f>IFERROR(__xludf.DUMMYFUNCTION("""COMPUTED_VALUE"""),"monkma01")</f>
        <v>monkma01</v>
      </c>
      <c r="B3304" s="161" t="str">
        <f>IFERROR(__xludf.DUMMYFUNCTION("""COMPUTED_VALUE"""),"Malik Monk")</f>
        <v>Malik Monk</v>
      </c>
      <c r="C3304" s="162" t="str">
        <f>IFERROR(__xludf.DUMMYFUNCTION("""COMPUTED_VALUE"""),"2019-20")</f>
        <v>2019-20</v>
      </c>
      <c r="D3304" s="163" t="str">
        <f>IFERROR(__xludf.DUMMYFUNCTION("""COMPUTED_VALUE"""),"CHO")</f>
        <v>CHO</v>
      </c>
      <c r="E3304" s="164" t="str">
        <f>IFERROR(__xludf.DUMMYFUNCTION("""COMPUTED_VALUE"""),"Movement Shooter")</f>
        <v>Movement Shooter</v>
      </c>
      <c r="F3304" s="164">
        <f>IFERROR(__xludf.DUMMYFUNCTION("""COMPUTED_VALUE"""),1169.10333333333)</f>
        <v>1169.103333</v>
      </c>
      <c r="G3304" s="163">
        <f>IFERROR(__xludf.DUMMYFUNCTION("""COMPUTED_VALUE"""),55.0)</f>
        <v>55</v>
      </c>
      <c r="H3304" s="163" t="str">
        <f>IFERROR(__xludf.DUMMYFUNCTION("""COMPUTED_VALUE"""),"SG")</f>
        <v>SG</v>
      </c>
      <c r="I3304" s="163">
        <f>IFERROR(__xludf.DUMMYFUNCTION("""COMPUTED_VALUE"""),21.0)</f>
        <v>21</v>
      </c>
      <c r="J3304" s="165">
        <f>IFERROR(__xludf.DUMMYFUNCTION("""COMPUTED_VALUE"""),-3.25834026431234)</f>
        <v>-3.258340264</v>
      </c>
      <c r="K3304" s="165">
        <f>IFERROR(__xludf.DUMMYFUNCTION("""COMPUTED_VALUE"""),-1.07195980277706)</f>
        <v>-1.071959803</v>
      </c>
      <c r="L3304" s="165">
        <f>IFERROR(__xludf.DUMMYFUNCTION("""COMPUTED_VALUE"""),-2.18638046153528)</f>
        <v>-2.186380462</v>
      </c>
      <c r="M3304" s="166">
        <f t="shared" si="2"/>
        <v>-0.7286275518</v>
      </c>
      <c r="N3304" s="167">
        <f t="shared" si="3"/>
        <v>21.25642424</v>
      </c>
      <c r="O3304" s="163">
        <f t="shared" ref="O3304:Q3304" si="3308">rank(I3304,I:I)</f>
        <v>3528</v>
      </c>
      <c r="P3304" s="163">
        <f t="shared" si="3308"/>
        <v>3937</v>
      </c>
      <c r="Q3304" s="163">
        <f t="shared" si="3308"/>
        <v>2900</v>
      </c>
      <c r="R3304" s="163">
        <f>IFERROR(__xludf.DUMMYFUNCTION("RANK(M3304,filter(M:M,C:C=C3304))"),521.0)</f>
        <v>521</v>
      </c>
      <c r="S3304" s="161" t="b">
        <f t="shared" si="5"/>
        <v>0</v>
      </c>
      <c r="T3304" s="161" t="b">
        <f t="array" ref="T3304">index('Query Tool'!B:B,match(H3304,'Query Tool'!C:C,0))</f>
        <v>1</v>
      </c>
      <c r="U3304" s="161" t="b">
        <f t="array" ref="U3304">index('Query Tool'!B:B,match(C3304,'Query Tool'!C:C,0))</f>
        <v>0</v>
      </c>
      <c r="V3304" s="161" t="b">
        <f>F3304&gt;='Query Tool'!C$32</f>
        <v>1</v>
      </c>
      <c r="W3304" s="161" t="b">
        <f t="array" ref="W3304">index(Dropdowns!B:B,match(I3304,Dropdowns!A:A,0))</f>
        <v>1</v>
      </c>
      <c r="X3304" s="161" t="b">
        <f t="array" ref="X3304">index('Query Tool'!B:B,match(D3304,'Query Tool'!C:C,0))</f>
        <v>1</v>
      </c>
      <c r="Y3304" s="161" t="str">
        <f t="shared" si="6"/>
        <v>monkma01,2019-20</v>
      </c>
      <c r="Z3304" s="168" t="str">
        <f t="array" ref="Z3304">iferror(index(I:I,match($A3304&amp;","&amp;index('Year Conversion'!$A:$A,match($C3304,'Year Conversion'!$B:$B,0)),$Y:$Y,0))-I3304,"")</f>
        <v/>
      </c>
      <c r="AA3304" s="168" t="str">
        <f t="array" ref="AA3304">iferror(index(J:J,match($A3304&amp;","&amp;index('Year Conversion'!$A:$A,match($C3304,'Year Conversion'!$B:$B,0)),$Y:$Y,0))-J3304,"")</f>
        <v/>
      </c>
      <c r="AB3304" s="168" t="str">
        <f t="array" ref="AB3304">iferror(index(K:K,match($A3304&amp;","&amp;index('Year Conversion'!$A:$A,match($C3304,'Year Conversion'!$B:$B,0)),$Y:$Y,0))-K3304,"")</f>
        <v/>
      </c>
      <c r="AC3304" s="168" t="str">
        <f t="shared" si="7"/>
        <v>CHO,2019-20</v>
      </c>
    </row>
    <row r="3305">
      <c r="A3305" s="161" t="str">
        <f>IFERROR(__xludf.DUMMYFUNCTION("""COMPUTED_VALUE"""),"isaacjo01")</f>
        <v>isaacjo01</v>
      </c>
      <c r="B3305" s="161" t="str">
        <f>IFERROR(__xludf.DUMMYFUNCTION("""COMPUTED_VALUE"""),"Jonathan Isaac")</f>
        <v>Jonathan Isaac</v>
      </c>
      <c r="C3305" s="162" t="str">
        <f>IFERROR(__xludf.DUMMYFUNCTION("""COMPUTED_VALUE"""),"2019-20")</f>
        <v>2019-20</v>
      </c>
      <c r="D3305" s="163" t="str">
        <f>IFERROR(__xludf.DUMMYFUNCTION("""COMPUTED_VALUE"""),"ORL")</f>
        <v>ORL</v>
      </c>
      <c r="E3305" s="164" t="str">
        <f>IFERROR(__xludf.DUMMYFUNCTION("""COMPUTED_VALUE"""),"Athletic Finisher")</f>
        <v>Athletic Finisher</v>
      </c>
      <c r="F3305" s="164">
        <f>IFERROR(__xludf.DUMMYFUNCTION("""COMPUTED_VALUE"""),979.895)</f>
        <v>979.895</v>
      </c>
      <c r="G3305" s="163">
        <f>IFERROR(__xludf.DUMMYFUNCTION("""COMPUTED_VALUE"""),34.0)</f>
        <v>34</v>
      </c>
      <c r="H3305" s="163" t="str">
        <f>IFERROR(__xludf.DUMMYFUNCTION("""COMPUTED_VALUE"""),"PF")</f>
        <v>PF</v>
      </c>
      <c r="I3305" s="163">
        <f>IFERROR(__xludf.DUMMYFUNCTION("""COMPUTED_VALUE"""),22.0)</f>
        <v>22</v>
      </c>
      <c r="J3305" s="165">
        <f>IFERROR(__xludf.DUMMYFUNCTION("""COMPUTED_VALUE"""),2.30960954148161)</f>
        <v>2.309609541</v>
      </c>
      <c r="K3305" s="165">
        <f>IFERROR(__xludf.DUMMYFUNCTION("""COMPUTED_VALUE"""),-1.17851462086293)</f>
        <v>-1.178514621</v>
      </c>
      <c r="L3305" s="165">
        <f>IFERROR(__xludf.DUMMYFUNCTION("""COMPUTED_VALUE"""),3.48812416234454)</f>
        <v>3.488124162</v>
      </c>
      <c r="M3305" s="166">
        <f t="shared" si="2"/>
        <v>3.025273597</v>
      </c>
      <c r="N3305" s="167">
        <f t="shared" si="3"/>
        <v>28.82044118</v>
      </c>
      <c r="O3305" s="163">
        <f t="shared" ref="O3305:Q3305" si="3309">rank(I3305,I:I)</f>
        <v>3178</v>
      </c>
      <c r="P3305" s="163">
        <f t="shared" si="3309"/>
        <v>257</v>
      </c>
      <c r="Q3305" s="163">
        <f t="shared" si="3309"/>
        <v>3015</v>
      </c>
      <c r="R3305" s="163">
        <f>IFERROR(__xludf.DUMMYFUNCTION("RANK(M3305,filter(M:M,C:C=C3305))"),104.0)</f>
        <v>104</v>
      </c>
      <c r="S3305" s="161" t="b">
        <f t="shared" si="5"/>
        <v>0</v>
      </c>
      <c r="T3305" s="161" t="b">
        <f t="array" ref="T3305">index('Query Tool'!B:B,match(H3305,'Query Tool'!C:C,0))</f>
        <v>1</v>
      </c>
      <c r="U3305" s="161" t="b">
        <f t="array" ref="U3305">index('Query Tool'!B:B,match(C3305,'Query Tool'!C:C,0))</f>
        <v>0</v>
      </c>
      <c r="V3305" s="161" t="b">
        <f>F3305&gt;='Query Tool'!C$32</f>
        <v>1</v>
      </c>
      <c r="W3305" s="161" t="b">
        <f t="array" ref="W3305">index(Dropdowns!B:B,match(I3305,Dropdowns!A:A,0))</f>
        <v>1</v>
      </c>
      <c r="X3305" s="161" t="b">
        <f t="array" ref="X3305">index('Query Tool'!B:B,match(D3305,'Query Tool'!C:C,0))</f>
        <v>1</v>
      </c>
      <c r="Y3305" s="161" t="str">
        <f t="shared" si="6"/>
        <v>isaacjo01,2019-20</v>
      </c>
      <c r="Z3305" s="168" t="str">
        <f t="array" ref="Z3305">iferror(index(I:I,match($A3305&amp;","&amp;index('Year Conversion'!$A:$A,match($C3305,'Year Conversion'!$B:$B,0)),$Y:$Y,0))-I3305,"")</f>
        <v/>
      </c>
      <c r="AA3305" s="168" t="str">
        <f t="array" ref="AA3305">iferror(index(J:J,match($A3305&amp;","&amp;index('Year Conversion'!$A:$A,match($C3305,'Year Conversion'!$B:$B,0)),$Y:$Y,0))-J3305,"")</f>
        <v/>
      </c>
      <c r="AB3305" s="168" t="str">
        <f t="array" ref="AB3305">iferror(index(K:K,match($A3305&amp;","&amp;index('Year Conversion'!$A:$A,match($C3305,'Year Conversion'!$B:$B,0)),$Y:$Y,0))-K3305,"")</f>
        <v/>
      </c>
      <c r="AC3305" s="168" t="str">
        <f t="shared" si="7"/>
        <v>ORL,2019-20</v>
      </c>
    </row>
    <row r="3306">
      <c r="A3306" s="161" t="str">
        <f>IFERROR(__xludf.DUMMYFUNCTION("""COMPUTED_VALUE"""),"smithde03")</f>
        <v>smithde03</v>
      </c>
      <c r="B3306" s="161" t="str">
        <f>IFERROR(__xludf.DUMMYFUNCTION("""COMPUTED_VALUE"""),"Dennis Smith Jr.")</f>
        <v>Dennis Smith Jr.</v>
      </c>
      <c r="C3306" s="162" t="str">
        <f>IFERROR(__xludf.DUMMYFUNCTION("""COMPUTED_VALUE"""),"2019-20")</f>
        <v>2019-20</v>
      </c>
      <c r="D3306" s="163" t="str">
        <f>IFERROR(__xludf.DUMMYFUNCTION("""COMPUTED_VALUE"""),"NYK")</f>
        <v>NYK</v>
      </c>
      <c r="E3306" s="164" t="str">
        <f>IFERROR(__xludf.DUMMYFUNCTION("""COMPUTED_VALUE"""),"Slasher")</f>
        <v>Slasher</v>
      </c>
      <c r="F3306" s="164">
        <f>IFERROR(__xludf.DUMMYFUNCTION("""COMPUTED_VALUE"""),537.4)</f>
        <v>537.4</v>
      </c>
      <c r="G3306" s="163">
        <f>IFERROR(__xludf.DUMMYFUNCTION("""COMPUTED_VALUE"""),34.0)</f>
        <v>34</v>
      </c>
      <c r="H3306" s="163" t="str">
        <f>IFERROR(__xludf.DUMMYFUNCTION("""COMPUTED_VALUE"""),"PG")</f>
        <v>PG</v>
      </c>
      <c r="I3306" s="163">
        <f>IFERROR(__xludf.DUMMYFUNCTION("""COMPUTED_VALUE"""),22.0)</f>
        <v>22</v>
      </c>
      <c r="J3306" s="165">
        <f>IFERROR(__xludf.DUMMYFUNCTION("""COMPUTED_VALUE"""),-3.26100512223922)</f>
        <v>-3.261005122</v>
      </c>
      <c r="K3306" s="165">
        <f>IFERROR(__xludf.DUMMYFUNCTION("""COMPUTED_VALUE"""),-2.33285562021638)</f>
        <v>-2.33285562</v>
      </c>
      <c r="L3306" s="165">
        <f>IFERROR(__xludf.DUMMYFUNCTION("""COMPUTED_VALUE"""),-0.92814950202284)</f>
        <v>-0.928149502</v>
      </c>
      <c r="M3306" s="166">
        <f t="shared" si="2"/>
        <v>-0.3358511264</v>
      </c>
      <c r="N3306" s="167">
        <f t="shared" si="3"/>
        <v>15.80588235</v>
      </c>
      <c r="O3306" s="163">
        <f t="shared" ref="O3306:Q3306" si="3310">rank(I3306,I:I)</f>
        <v>3178</v>
      </c>
      <c r="P3306" s="163">
        <f t="shared" si="3310"/>
        <v>3938</v>
      </c>
      <c r="Q3306" s="163">
        <f t="shared" si="3310"/>
        <v>3845</v>
      </c>
      <c r="R3306" s="163">
        <f>IFERROR(__xludf.DUMMYFUNCTION("RANK(M3306,filter(M:M,C:C=C3306))"),508.0)</f>
        <v>508</v>
      </c>
      <c r="S3306" s="161" t="b">
        <f t="shared" si="5"/>
        <v>0</v>
      </c>
      <c r="T3306" s="161" t="b">
        <f t="array" ref="T3306">index('Query Tool'!B:B,match(H3306,'Query Tool'!C:C,0))</f>
        <v>1</v>
      </c>
      <c r="U3306" s="161" t="b">
        <f t="array" ref="U3306">index('Query Tool'!B:B,match(C3306,'Query Tool'!C:C,0))</f>
        <v>0</v>
      </c>
      <c r="V3306" s="161" t="b">
        <f>F3306&gt;='Query Tool'!C$32</f>
        <v>1</v>
      </c>
      <c r="W3306" s="161" t="b">
        <f t="array" ref="W3306">index(Dropdowns!B:B,match(I3306,Dropdowns!A:A,0))</f>
        <v>1</v>
      </c>
      <c r="X3306" s="161" t="b">
        <f t="array" ref="X3306">index('Query Tool'!B:B,match(D3306,'Query Tool'!C:C,0))</f>
        <v>1</v>
      </c>
      <c r="Y3306" s="161" t="str">
        <f t="shared" si="6"/>
        <v>smithde03,2019-20</v>
      </c>
      <c r="Z3306" s="168" t="str">
        <f t="array" ref="Z3306">iferror(index(I:I,match($A3306&amp;","&amp;index('Year Conversion'!$A:$A,match($C3306,'Year Conversion'!$B:$B,0)),$Y:$Y,0))-I3306,"")</f>
        <v/>
      </c>
      <c r="AA3306" s="168" t="str">
        <f t="array" ref="AA3306">iferror(index(J:J,match($A3306&amp;","&amp;index('Year Conversion'!$A:$A,match($C3306,'Year Conversion'!$B:$B,0)),$Y:$Y,0))-J3306,"")</f>
        <v/>
      </c>
      <c r="AB3306" s="168" t="str">
        <f t="array" ref="AB3306">iferror(index(K:K,match($A3306&amp;","&amp;index('Year Conversion'!$A:$A,match($C3306,'Year Conversion'!$B:$B,0)),$Y:$Y,0))-K3306,"")</f>
        <v/>
      </c>
      <c r="AC3306" s="168" t="str">
        <f t="shared" si="7"/>
        <v>NYK,2019-20</v>
      </c>
    </row>
    <row r="3307">
      <c r="A3307" s="161" t="str">
        <f>IFERROR(__xludf.DUMMYFUNCTION("""COMPUTED_VALUE"""),"ntilila01")</f>
        <v>ntilila01</v>
      </c>
      <c r="B3307" s="161" t="str">
        <f>IFERROR(__xludf.DUMMYFUNCTION("""COMPUTED_VALUE"""),"Frank Ntilikina")</f>
        <v>Frank Ntilikina</v>
      </c>
      <c r="C3307" s="162" t="str">
        <f>IFERROR(__xludf.DUMMYFUNCTION("""COMPUTED_VALUE"""),"2019-20")</f>
        <v>2019-20</v>
      </c>
      <c r="D3307" s="163" t="str">
        <f>IFERROR(__xludf.DUMMYFUNCTION("""COMPUTED_VALUE"""),"NYK")</f>
        <v>NYK</v>
      </c>
      <c r="E3307" s="164" t="str">
        <f>IFERROR(__xludf.DUMMYFUNCTION("""COMPUTED_VALUE"""),"Primary Ball Handler")</f>
        <v>Primary Ball Handler</v>
      </c>
      <c r="F3307" s="164">
        <f>IFERROR(__xludf.DUMMYFUNCTION("""COMPUTED_VALUE"""),1186.67333333333)</f>
        <v>1186.673333</v>
      </c>
      <c r="G3307" s="163">
        <f>IFERROR(__xludf.DUMMYFUNCTION("""COMPUTED_VALUE"""),57.0)</f>
        <v>57</v>
      </c>
      <c r="H3307" s="163" t="str">
        <f>IFERROR(__xludf.DUMMYFUNCTION("""COMPUTED_VALUE"""),"PG")</f>
        <v>PG</v>
      </c>
      <c r="I3307" s="163">
        <f>IFERROR(__xludf.DUMMYFUNCTION("""COMPUTED_VALUE"""),21.0)</f>
        <v>21</v>
      </c>
      <c r="J3307" s="165">
        <f>IFERROR(__xludf.DUMMYFUNCTION("""COMPUTED_VALUE"""),-1.47978791752871)</f>
        <v>-1.479787918</v>
      </c>
      <c r="K3307" s="165">
        <f>IFERROR(__xludf.DUMMYFUNCTION("""COMPUTED_VALUE"""),-2.08784804432312)</f>
        <v>-2.087848044</v>
      </c>
      <c r="L3307" s="165">
        <f>IFERROR(__xludf.DUMMYFUNCTION("""COMPUTED_VALUE"""),0.60806012679441)</f>
        <v>0.6080601268</v>
      </c>
      <c r="M3307" s="166">
        <f t="shared" si="2"/>
        <v>0.649148967</v>
      </c>
      <c r="N3307" s="167">
        <f t="shared" si="3"/>
        <v>20.81883041</v>
      </c>
      <c r="O3307" s="163">
        <f t="shared" ref="O3307:Q3307" si="3311">rank(I3307,I:I)</f>
        <v>3528</v>
      </c>
      <c r="P3307" s="163">
        <f t="shared" si="3311"/>
        <v>3034</v>
      </c>
      <c r="Q3307" s="163">
        <f t="shared" si="3311"/>
        <v>3758</v>
      </c>
      <c r="R3307" s="163">
        <f>IFERROR(__xludf.DUMMYFUNCTION("RANK(M3307,filter(M:M,C:C=C3307))"),238.0)</f>
        <v>238</v>
      </c>
      <c r="S3307" s="161" t="b">
        <f t="shared" si="5"/>
        <v>0</v>
      </c>
      <c r="T3307" s="161" t="b">
        <f t="array" ref="T3307">index('Query Tool'!B:B,match(H3307,'Query Tool'!C:C,0))</f>
        <v>1</v>
      </c>
      <c r="U3307" s="161" t="b">
        <f t="array" ref="U3307">index('Query Tool'!B:B,match(C3307,'Query Tool'!C:C,0))</f>
        <v>0</v>
      </c>
      <c r="V3307" s="161" t="b">
        <f>F3307&gt;='Query Tool'!C$32</f>
        <v>1</v>
      </c>
      <c r="W3307" s="161" t="b">
        <f t="array" ref="W3307">index(Dropdowns!B:B,match(I3307,Dropdowns!A:A,0))</f>
        <v>1</v>
      </c>
      <c r="X3307" s="161" t="b">
        <f t="array" ref="X3307">index('Query Tool'!B:B,match(D3307,'Query Tool'!C:C,0))</f>
        <v>1</v>
      </c>
      <c r="Y3307" s="161" t="str">
        <f t="shared" si="6"/>
        <v>ntilila01,2019-20</v>
      </c>
      <c r="Z3307" s="168" t="str">
        <f t="array" ref="Z3307">iferror(index(I:I,match($A3307&amp;","&amp;index('Year Conversion'!$A:$A,match($C3307,'Year Conversion'!$B:$B,0)),$Y:$Y,0))-I3307,"")</f>
        <v/>
      </c>
      <c r="AA3307" s="168" t="str">
        <f t="array" ref="AA3307">iferror(index(J:J,match($A3307&amp;","&amp;index('Year Conversion'!$A:$A,match($C3307,'Year Conversion'!$B:$B,0)),$Y:$Y,0))-J3307,"")</f>
        <v/>
      </c>
      <c r="AB3307" s="168" t="str">
        <f t="array" ref="AB3307">iferror(index(K:K,match($A3307&amp;","&amp;index('Year Conversion'!$A:$A,match($C3307,'Year Conversion'!$B:$B,0)),$Y:$Y,0))-K3307,"")</f>
        <v/>
      </c>
      <c r="AC3307" s="168" t="str">
        <f t="shared" si="7"/>
        <v>NYK,2019-20</v>
      </c>
    </row>
    <row r="3308">
      <c r="A3308" s="161" t="str">
        <f>IFERROR(__xludf.DUMMYFUNCTION("""COMPUTED_VALUE"""),"markkla01")</f>
        <v>markkla01</v>
      </c>
      <c r="B3308" s="161" t="str">
        <f>IFERROR(__xludf.DUMMYFUNCTION("""COMPUTED_VALUE"""),"Lauri Markkanen")</f>
        <v>Lauri Markkanen</v>
      </c>
      <c r="C3308" s="162" t="str">
        <f>IFERROR(__xludf.DUMMYFUNCTION("""COMPUTED_VALUE"""),"2019-20")</f>
        <v>2019-20</v>
      </c>
      <c r="D3308" s="163" t="str">
        <f>IFERROR(__xludf.DUMMYFUNCTION("""COMPUTED_VALUE"""),"CHI")</f>
        <v>CHI</v>
      </c>
      <c r="E3308" s="164" t="str">
        <f>IFERROR(__xludf.DUMMYFUNCTION("""COMPUTED_VALUE"""),"Movement Shooter")</f>
        <v>Movement Shooter</v>
      </c>
      <c r="F3308" s="164">
        <f>IFERROR(__xludf.DUMMYFUNCTION("""COMPUTED_VALUE"""),1491.57833333333)</f>
        <v>1491.578333</v>
      </c>
      <c r="G3308" s="163">
        <f>IFERROR(__xludf.DUMMYFUNCTION("""COMPUTED_VALUE"""),50.0)</f>
        <v>50</v>
      </c>
      <c r="H3308" s="163" t="str">
        <f>IFERROR(__xludf.DUMMYFUNCTION("""COMPUTED_VALUE"""),"PF")</f>
        <v>PF</v>
      </c>
      <c r="I3308" s="163">
        <f>IFERROR(__xludf.DUMMYFUNCTION("""COMPUTED_VALUE"""),22.0)</f>
        <v>22</v>
      </c>
      <c r="J3308" s="165">
        <f>IFERROR(__xludf.DUMMYFUNCTION("""COMPUTED_VALUE"""),0.0284835914181263)</f>
        <v>0.02848359142</v>
      </c>
      <c r="K3308" s="165">
        <f>IFERROR(__xludf.DUMMYFUNCTION("""COMPUTED_VALUE"""),0.025428645472769)</f>
        <v>0.02542864547</v>
      </c>
      <c r="L3308" s="165">
        <f>IFERROR(__xludf.DUMMYFUNCTION("""COMPUTED_VALUE"""),0.00305494594535727)</f>
        <v>0.003054945945</v>
      </c>
      <c r="M3308" s="166">
        <f t="shared" si="2"/>
        <v>2.328159862</v>
      </c>
      <c r="N3308" s="167">
        <f t="shared" si="3"/>
        <v>29.83156667</v>
      </c>
      <c r="O3308" s="163">
        <f t="shared" ref="O3308:Q3308" si="3312">rank(I3308,I:I)</f>
        <v>3178</v>
      </c>
      <c r="P3308" s="163">
        <f t="shared" si="3312"/>
        <v>1265</v>
      </c>
      <c r="Q3308" s="163">
        <f t="shared" si="3312"/>
        <v>1162</v>
      </c>
      <c r="R3308" s="163">
        <f>IFERROR(__xludf.DUMMYFUNCTION("RANK(M3308,filter(M:M,C:C=C3308))"),136.0)</f>
        <v>136</v>
      </c>
      <c r="S3308" s="161" t="b">
        <f t="shared" si="5"/>
        <v>0</v>
      </c>
      <c r="T3308" s="161" t="b">
        <f t="array" ref="T3308">index('Query Tool'!B:B,match(H3308,'Query Tool'!C:C,0))</f>
        <v>1</v>
      </c>
      <c r="U3308" s="161" t="b">
        <f t="array" ref="U3308">index('Query Tool'!B:B,match(C3308,'Query Tool'!C:C,0))</f>
        <v>0</v>
      </c>
      <c r="V3308" s="161" t="b">
        <f>F3308&gt;='Query Tool'!C$32</f>
        <v>1</v>
      </c>
      <c r="W3308" s="161" t="b">
        <f t="array" ref="W3308">index(Dropdowns!B:B,match(I3308,Dropdowns!A:A,0))</f>
        <v>1</v>
      </c>
      <c r="X3308" s="161" t="b">
        <f t="array" ref="X3308">index('Query Tool'!B:B,match(D3308,'Query Tool'!C:C,0))</f>
        <v>1</v>
      </c>
      <c r="Y3308" s="161" t="str">
        <f t="shared" si="6"/>
        <v>markkla01,2019-20</v>
      </c>
      <c r="Z3308" s="168" t="str">
        <f t="array" ref="Z3308">iferror(index(I:I,match($A3308&amp;","&amp;index('Year Conversion'!$A:$A,match($C3308,'Year Conversion'!$B:$B,0)),$Y:$Y,0))-I3308,"")</f>
        <v/>
      </c>
      <c r="AA3308" s="168" t="str">
        <f t="array" ref="AA3308">iferror(index(J:J,match($A3308&amp;","&amp;index('Year Conversion'!$A:$A,match($C3308,'Year Conversion'!$B:$B,0)),$Y:$Y,0))-J3308,"")</f>
        <v/>
      </c>
      <c r="AB3308" s="168" t="str">
        <f t="array" ref="AB3308">iferror(index(K:K,match($A3308&amp;","&amp;index('Year Conversion'!$A:$A,match($C3308,'Year Conversion'!$B:$B,0)),$Y:$Y,0))-K3308,"")</f>
        <v/>
      </c>
      <c r="AC3308" s="168" t="str">
        <f t="shared" si="7"/>
        <v>CHI,2019-20</v>
      </c>
    </row>
    <row r="3309">
      <c r="A3309" s="161" t="str">
        <f>IFERROR(__xludf.DUMMYFUNCTION("""COMPUTED_VALUE"""),"mitchdo01")</f>
        <v>mitchdo01</v>
      </c>
      <c r="B3309" s="161" t="str">
        <f>IFERROR(__xludf.DUMMYFUNCTION("""COMPUTED_VALUE"""),"Donovan Mitchell")</f>
        <v>Donovan Mitchell</v>
      </c>
      <c r="C3309" s="162" t="str">
        <f>IFERROR(__xludf.DUMMYFUNCTION("""COMPUTED_VALUE"""),"2019-20")</f>
        <v>2019-20</v>
      </c>
      <c r="D3309" s="163" t="str">
        <f>IFERROR(__xludf.DUMMYFUNCTION("""COMPUTED_VALUE"""),"UTA")</f>
        <v>UTA</v>
      </c>
      <c r="E3309" s="164" t="str">
        <f>IFERROR(__xludf.DUMMYFUNCTION("""COMPUTED_VALUE"""),"Primary Ball Handler")</f>
        <v>Primary Ball Handler</v>
      </c>
      <c r="F3309" s="164">
        <f>IFERROR(__xludf.DUMMYFUNCTION("""COMPUTED_VALUE"""),2363.96666666667)</f>
        <v>2363.966667</v>
      </c>
      <c r="G3309" s="163">
        <f>IFERROR(__xludf.DUMMYFUNCTION("""COMPUTED_VALUE"""),69.0)</f>
        <v>69</v>
      </c>
      <c r="H3309" s="163" t="str">
        <f>IFERROR(__xludf.DUMMYFUNCTION("""COMPUTED_VALUE"""),"SG")</f>
        <v>SG</v>
      </c>
      <c r="I3309" s="163">
        <f>IFERROR(__xludf.DUMMYFUNCTION("""COMPUTED_VALUE"""),23.0)</f>
        <v>23</v>
      </c>
      <c r="J3309" s="165">
        <f>IFERROR(__xludf.DUMMYFUNCTION("""COMPUTED_VALUE"""),-0.309674713715718)</f>
        <v>-0.3096747137</v>
      </c>
      <c r="K3309" s="165">
        <f>IFERROR(__xludf.DUMMYFUNCTION("""COMPUTED_VALUE"""),1.4892043775008)</f>
        <v>1.489204378</v>
      </c>
      <c r="L3309" s="165">
        <f>IFERROR(__xludf.DUMMYFUNCTION("""COMPUTED_VALUE"""),-1.79887909121652)</f>
        <v>-1.798879091</v>
      </c>
      <c r="M3309" s="166">
        <f t="shared" si="2"/>
        <v>3.150966483</v>
      </c>
      <c r="N3309" s="167">
        <f t="shared" si="3"/>
        <v>34.26038647</v>
      </c>
      <c r="O3309" s="163">
        <f t="shared" ref="O3309:Q3309" si="3313">rank(I3309,I:I)</f>
        <v>2765</v>
      </c>
      <c r="P3309" s="163">
        <f t="shared" si="3313"/>
        <v>1628</v>
      </c>
      <c r="Q3309" s="163">
        <f t="shared" si="3313"/>
        <v>326</v>
      </c>
      <c r="R3309" s="163">
        <f>IFERROR(__xludf.DUMMYFUNCTION("RANK(M3309,filter(M:M,C:C=C3309))"),97.0)</f>
        <v>97</v>
      </c>
      <c r="S3309" s="161" t="b">
        <f t="shared" si="5"/>
        <v>0</v>
      </c>
      <c r="T3309" s="161" t="b">
        <f t="array" ref="T3309">index('Query Tool'!B:B,match(H3309,'Query Tool'!C:C,0))</f>
        <v>1</v>
      </c>
      <c r="U3309" s="161" t="b">
        <f t="array" ref="U3309">index('Query Tool'!B:B,match(C3309,'Query Tool'!C:C,0))</f>
        <v>0</v>
      </c>
      <c r="V3309" s="161" t="b">
        <f>F3309&gt;='Query Tool'!C$32</f>
        <v>1</v>
      </c>
      <c r="W3309" s="161" t="b">
        <f t="array" ref="W3309">index(Dropdowns!B:B,match(I3309,Dropdowns!A:A,0))</f>
        <v>1</v>
      </c>
      <c r="X3309" s="161" t="b">
        <f t="array" ref="X3309">index('Query Tool'!B:B,match(D3309,'Query Tool'!C:C,0))</f>
        <v>1</v>
      </c>
      <c r="Y3309" s="161" t="str">
        <f t="shared" si="6"/>
        <v>mitchdo01,2019-20</v>
      </c>
      <c r="Z3309" s="168" t="str">
        <f t="array" ref="Z3309">iferror(index(I:I,match($A3309&amp;","&amp;index('Year Conversion'!$A:$A,match($C3309,'Year Conversion'!$B:$B,0)),$Y:$Y,0))-I3309,"")</f>
        <v/>
      </c>
      <c r="AA3309" s="168" t="str">
        <f t="array" ref="AA3309">iferror(index(J:J,match($A3309&amp;","&amp;index('Year Conversion'!$A:$A,match($C3309,'Year Conversion'!$B:$B,0)),$Y:$Y,0))-J3309,"")</f>
        <v/>
      </c>
      <c r="AB3309" s="168" t="str">
        <f t="array" ref="AB3309">iferror(index(K:K,match($A3309&amp;","&amp;index('Year Conversion'!$A:$A,match($C3309,'Year Conversion'!$B:$B,0)),$Y:$Y,0))-K3309,"")</f>
        <v/>
      </c>
      <c r="AC3309" s="168" t="str">
        <f t="shared" si="7"/>
        <v>UTA,2019-20</v>
      </c>
    </row>
    <row r="3310">
      <c r="A3310" s="161" t="str">
        <f>IFERROR(__xludf.DUMMYFUNCTION("""COMPUTED_VALUE"""),"kennalu01")</f>
        <v>kennalu01</v>
      </c>
      <c r="B3310" s="161" t="str">
        <f>IFERROR(__xludf.DUMMYFUNCTION("""COMPUTED_VALUE"""),"Luke Kennard")</f>
        <v>Luke Kennard</v>
      </c>
      <c r="C3310" s="162" t="str">
        <f>IFERROR(__xludf.DUMMYFUNCTION("""COMPUTED_VALUE"""),"2019-20")</f>
        <v>2019-20</v>
      </c>
      <c r="D3310" s="163" t="str">
        <f>IFERROR(__xludf.DUMMYFUNCTION("""COMPUTED_VALUE"""),"DET")</f>
        <v>DET</v>
      </c>
      <c r="E3310" s="164" t="str">
        <f>IFERROR(__xludf.DUMMYFUNCTION("""COMPUTED_VALUE"""),"Secondary Ball Handler")</f>
        <v>Secondary Ball Handler</v>
      </c>
      <c r="F3310" s="164">
        <f>IFERROR(__xludf.DUMMYFUNCTION("""COMPUTED_VALUE"""),921.923333333334)</f>
        <v>921.9233333</v>
      </c>
      <c r="G3310" s="163">
        <f>IFERROR(__xludf.DUMMYFUNCTION("""COMPUTED_VALUE"""),28.0)</f>
        <v>28</v>
      </c>
      <c r="H3310" s="163" t="str">
        <f>IFERROR(__xludf.DUMMYFUNCTION("""COMPUTED_VALUE"""),"SG")</f>
        <v>SG</v>
      </c>
      <c r="I3310" s="163">
        <f>IFERROR(__xludf.DUMMYFUNCTION("""COMPUTED_VALUE"""),23.0)</f>
        <v>23</v>
      </c>
      <c r="J3310" s="165">
        <f>IFERROR(__xludf.DUMMYFUNCTION("""COMPUTED_VALUE"""),-0.726714097847768)</f>
        <v>-0.7267140978</v>
      </c>
      <c r="K3310" s="165">
        <f>IFERROR(__xludf.DUMMYFUNCTION("""COMPUTED_VALUE"""),0.684853608087011)</f>
        <v>0.6848536081</v>
      </c>
      <c r="L3310" s="165">
        <f>IFERROR(__xludf.DUMMYFUNCTION("""COMPUTED_VALUE"""),-1.41156770593478)</f>
        <v>-1.411567706</v>
      </c>
      <c r="M3310" s="166">
        <f t="shared" si="2"/>
        <v>0.9699394531</v>
      </c>
      <c r="N3310" s="167">
        <f t="shared" si="3"/>
        <v>32.92583333</v>
      </c>
      <c r="O3310" s="163">
        <f t="shared" ref="O3310:Q3310" si="3314">rank(I3310,I:I)</f>
        <v>2765</v>
      </c>
      <c r="P3310" s="163">
        <f t="shared" si="3314"/>
        <v>2183</v>
      </c>
      <c r="Q3310" s="163">
        <f t="shared" si="3314"/>
        <v>659</v>
      </c>
      <c r="R3310" s="163">
        <f>IFERROR(__xludf.DUMMYFUNCTION("RANK(M3310,filter(M:M,C:C=C3310))"),213.0)</f>
        <v>213</v>
      </c>
      <c r="S3310" s="161" t="b">
        <f t="shared" si="5"/>
        <v>0</v>
      </c>
      <c r="T3310" s="161" t="b">
        <f t="array" ref="T3310">index('Query Tool'!B:B,match(H3310,'Query Tool'!C:C,0))</f>
        <v>1</v>
      </c>
      <c r="U3310" s="161" t="b">
        <f t="array" ref="U3310">index('Query Tool'!B:B,match(C3310,'Query Tool'!C:C,0))</f>
        <v>0</v>
      </c>
      <c r="V3310" s="161" t="b">
        <f>F3310&gt;='Query Tool'!C$32</f>
        <v>1</v>
      </c>
      <c r="W3310" s="161" t="b">
        <f t="array" ref="W3310">index(Dropdowns!B:B,match(I3310,Dropdowns!A:A,0))</f>
        <v>1</v>
      </c>
      <c r="X3310" s="161" t="b">
        <f t="array" ref="X3310">index('Query Tool'!B:B,match(D3310,'Query Tool'!C:C,0))</f>
        <v>1</v>
      </c>
      <c r="Y3310" s="161" t="str">
        <f t="shared" si="6"/>
        <v>kennalu01,2019-20</v>
      </c>
      <c r="Z3310" s="168" t="str">
        <f t="array" ref="Z3310">iferror(index(I:I,match($A3310&amp;","&amp;index('Year Conversion'!$A:$A,match($C3310,'Year Conversion'!$B:$B,0)),$Y:$Y,0))-I3310,"")</f>
        <v/>
      </c>
      <c r="AA3310" s="168" t="str">
        <f t="array" ref="AA3310">iferror(index(J:J,match($A3310&amp;","&amp;index('Year Conversion'!$A:$A,match($C3310,'Year Conversion'!$B:$B,0)),$Y:$Y,0))-J3310,"")</f>
        <v/>
      </c>
      <c r="AB3310" s="168" t="str">
        <f t="array" ref="AB3310">iferror(index(K:K,match($A3310&amp;","&amp;index('Year Conversion'!$A:$A,match($C3310,'Year Conversion'!$B:$B,0)),$Y:$Y,0))-K3310,"")</f>
        <v/>
      </c>
      <c r="AC3310" s="168" t="str">
        <f t="shared" si="7"/>
        <v>DET,2019-20</v>
      </c>
    </row>
    <row r="3311">
      <c r="A3311" s="161" t="str">
        <f>IFERROR(__xludf.DUMMYFUNCTION("""COMPUTED_VALUE"""),"colliza01")</f>
        <v>colliza01</v>
      </c>
      <c r="B3311" s="161" t="str">
        <f>IFERROR(__xludf.DUMMYFUNCTION("""COMPUTED_VALUE"""),"Zach Collins")</f>
        <v>Zach Collins</v>
      </c>
      <c r="C3311" s="162" t="str">
        <f>IFERROR(__xludf.DUMMYFUNCTION("""COMPUTED_VALUE"""),"2019-20")</f>
        <v>2019-20</v>
      </c>
      <c r="D3311" s="163" t="str">
        <f>IFERROR(__xludf.DUMMYFUNCTION("""COMPUTED_VALUE"""),"POR")</f>
        <v>POR</v>
      </c>
      <c r="E3311" s="164" t="str">
        <f>IFERROR(__xludf.DUMMYFUNCTION("""COMPUTED_VALUE"""),"Versatile Big")</f>
        <v>Versatile Big</v>
      </c>
      <c r="F3311" s="164">
        <f>IFERROR(__xludf.DUMMYFUNCTION("""COMPUTED_VALUE"""),289.906666666667)</f>
        <v>289.9066667</v>
      </c>
      <c r="G3311" s="163">
        <f>IFERROR(__xludf.DUMMYFUNCTION("""COMPUTED_VALUE"""),11.0)</f>
        <v>11</v>
      </c>
      <c r="H3311" s="163" t="str">
        <f>IFERROR(__xludf.DUMMYFUNCTION("""COMPUTED_VALUE"""),"PF")</f>
        <v>PF</v>
      </c>
      <c r="I3311" s="163">
        <f>IFERROR(__xludf.DUMMYFUNCTION("""COMPUTED_VALUE"""),22.0)</f>
        <v>22</v>
      </c>
      <c r="J3311" s="165">
        <f>IFERROR(__xludf.DUMMYFUNCTION("""COMPUTED_VALUE"""),-0.602428355945228)</f>
        <v>-0.6024283559</v>
      </c>
      <c r="K3311" s="165">
        <f>IFERROR(__xludf.DUMMYFUNCTION("""COMPUTED_VALUE"""),-1.31842504518305)</f>
        <v>-1.318425045</v>
      </c>
      <c r="L3311" s="165">
        <f>IFERROR(__xludf.DUMMYFUNCTION("""COMPUTED_VALUE"""),0.715996689237823)</f>
        <v>0.7159966892</v>
      </c>
      <c r="M3311" s="166">
        <f t="shared" si="2"/>
        <v>0.329252871</v>
      </c>
      <c r="N3311" s="167">
        <f t="shared" si="3"/>
        <v>26.35515152</v>
      </c>
      <c r="O3311" s="163">
        <f t="shared" ref="O3311:Q3311" si="3315">rank(I3311,I:I)</f>
        <v>3178</v>
      </c>
      <c r="P3311" s="163">
        <f t="shared" si="3315"/>
        <v>2000</v>
      </c>
      <c r="Q3311" s="163">
        <f t="shared" si="3315"/>
        <v>3169</v>
      </c>
      <c r="R3311" s="163">
        <f>IFERROR(__xludf.DUMMYFUNCTION("RANK(M3311,filter(M:M,C:C=C3311))"),293.0)</f>
        <v>293</v>
      </c>
      <c r="S3311" s="161" t="b">
        <f t="shared" si="5"/>
        <v>0</v>
      </c>
      <c r="T3311" s="161" t="b">
        <f t="array" ref="T3311">index('Query Tool'!B:B,match(H3311,'Query Tool'!C:C,0))</f>
        <v>1</v>
      </c>
      <c r="U3311" s="161" t="b">
        <f t="array" ref="U3311">index('Query Tool'!B:B,match(C3311,'Query Tool'!C:C,0))</f>
        <v>0</v>
      </c>
      <c r="V3311" s="161" t="b">
        <f>F3311&gt;='Query Tool'!C$32</f>
        <v>0</v>
      </c>
      <c r="W3311" s="161" t="b">
        <f t="array" ref="W3311">index(Dropdowns!B:B,match(I3311,Dropdowns!A:A,0))</f>
        <v>1</v>
      </c>
      <c r="X3311" s="161" t="b">
        <f t="array" ref="X3311">index('Query Tool'!B:B,match(D3311,'Query Tool'!C:C,0))</f>
        <v>1</v>
      </c>
      <c r="Y3311" s="161" t="str">
        <f t="shared" si="6"/>
        <v>colliza01,2019-20</v>
      </c>
      <c r="Z3311" s="168" t="str">
        <f t="array" ref="Z3311">iferror(index(I:I,match($A3311&amp;","&amp;index('Year Conversion'!$A:$A,match($C3311,'Year Conversion'!$B:$B,0)),$Y:$Y,0))-I3311,"")</f>
        <v/>
      </c>
      <c r="AA3311" s="168" t="str">
        <f t="array" ref="AA3311">iferror(index(J:J,match($A3311&amp;","&amp;index('Year Conversion'!$A:$A,match($C3311,'Year Conversion'!$B:$B,0)),$Y:$Y,0))-J3311,"")</f>
        <v/>
      </c>
      <c r="AB3311" s="168" t="str">
        <f t="array" ref="AB3311">iferror(index(K:K,match($A3311&amp;","&amp;index('Year Conversion'!$A:$A,match($C3311,'Year Conversion'!$B:$B,0)),$Y:$Y,0))-K3311,"")</f>
        <v/>
      </c>
      <c r="AC3311" s="168" t="str">
        <f t="shared" si="7"/>
        <v>POR,2019-20</v>
      </c>
    </row>
    <row r="3312">
      <c r="A3312" s="161" t="str">
        <f>IFERROR(__xludf.DUMMYFUNCTION("""COMPUTED_VALUE"""),"collijo01")</f>
        <v>collijo01</v>
      </c>
      <c r="B3312" s="161" t="str">
        <f>IFERROR(__xludf.DUMMYFUNCTION("""COMPUTED_VALUE"""),"John Collins")</f>
        <v>John Collins</v>
      </c>
      <c r="C3312" s="162" t="str">
        <f>IFERROR(__xludf.DUMMYFUNCTION("""COMPUTED_VALUE"""),"2019-20")</f>
        <v>2019-20</v>
      </c>
      <c r="D3312" s="163" t="str">
        <f>IFERROR(__xludf.DUMMYFUNCTION("""COMPUTED_VALUE"""),"ATL")</f>
        <v>ATL</v>
      </c>
      <c r="E3312" s="164" t="str">
        <f>IFERROR(__xludf.DUMMYFUNCTION("""COMPUTED_VALUE"""),"Roll + Cut Big")</f>
        <v>Roll + Cut Big</v>
      </c>
      <c r="F3312" s="164">
        <f>IFERROR(__xludf.DUMMYFUNCTION("""COMPUTED_VALUE"""),1363.16166666667)</f>
        <v>1363.161667</v>
      </c>
      <c r="G3312" s="163">
        <f>IFERROR(__xludf.DUMMYFUNCTION("""COMPUTED_VALUE"""),41.0)</f>
        <v>41</v>
      </c>
      <c r="H3312" s="163" t="str">
        <f>IFERROR(__xludf.DUMMYFUNCTION("""COMPUTED_VALUE"""),"PF")</f>
        <v>PF</v>
      </c>
      <c r="I3312" s="163">
        <f>IFERROR(__xludf.DUMMYFUNCTION("""COMPUTED_VALUE"""),22.0)</f>
        <v>22</v>
      </c>
      <c r="J3312" s="165">
        <f>IFERROR(__xludf.DUMMYFUNCTION("""COMPUTED_VALUE"""),1.32253426898621)</f>
        <v>1.322534269</v>
      </c>
      <c r="K3312" s="165">
        <f>IFERROR(__xludf.DUMMYFUNCTION("""COMPUTED_VALUE"""),0.837092161661822)</f>
        <v>0.8370921617</v>
      </c>
      <c r="L3312" s="165">
        <f>IFERROR(__xludf.DUMMYFUNCTION("""COMPUTED_VALUE"""),0.485442107324388)</f>
        <v>0.4854421073</v>
      </c>
      <c r="M3312" s="166">
        <f t="shared" si="2"/>
        <v>3.314044451</v>
      </c>
      <c r="N3312" s="167">
        <f t="shared" si="3"/>
        <v>33.24784553</v>
      </c>
      <c r="O3312" s="163">
        <f t="shared" ref="O3312:Q3312" si="3316">rank(I3312,I:I)</f>
        <v>3178</v>
      </c>
      <c r="P3312" s="163">
        <f t="shared" si="3316"/>
        <v>514</v>
      </c>
      <c r="Q3312" s="163">
        <f t="shared" si="3316"/>
        <v>588</v>
      </c>
      <c r="R3312" s="163">
        <f>IFERROR(__xludf.DUMMYFUNCTION("RANK(M3312,filter(M:M,C:C=C3312))"),91.0)</f>
        <v>91</v>
      </c>
      <c r="S3312" s="161" t="b">
        <f t="shared" si="5"/>
        <v>0</v>
      </c>
      <c r="T3312" s="161" t="b">
        <f t="array" ref="T3312">index('Query Tool'!B:B,match(H3312,'Query Tool'!C:C,0))</f>
        <v>1</v>
      </c>
      <c r="U3312" s="161" t="b">
        <f t="array" ref="U3312">index('Query Tool'!B:B,match(C3312,'Query Tool'!C:C,0))</f>
        <v>0</v>
      </c>
      <c r="V3312" s="161" t="b">
        <f>F3312&gt;='Query Tool'!C$32</f>
        <v>1</v>
      </c>
      <c r="W3312" s="161" t="b">
        <f t="array" ref="W3312">index(Dropdowns!B:B,match(I3312,Dropdowns!A:A,0))</f>
        <v>1</v>
      </c>
      <c r="X3312" s="161" t="b">
        <f t="array" ref="X3312">index('Query Tool'!B:B,match(D3312,'Query Tool'!C:C,0))</f>
        <v>1</v>
      </c>
      <c r="Y3312" s="161" t="str">
        <f t="shared" si="6"/>
        <v>collijo01,2019-20</v>
      </c>
      <c r="Z3312" s="168" t="str">
        <f t="array" ref="Z3312">iferror(index(I:I,match($A3312&amp;","&amp;index('Year Conversion'!$A:$A,match($C3312,'Year Conversion'!$B:$B,0)),$Y:$Y,0))-I3312,"")</f>
        <v/>
      </c>
      <c r="AA3312" s="168" t="str">
        <f t="array" ref="AA3312">iferror(index(J:J,match($A3312&amp;","&amp;index('Year Conversion'!$A:$A,match($C3312,'Year Conversion'!$B:$B,0)),$Y:$Y,0))-J3312,"")</f>
        <v/>
      </c>
      <c r="AB3312" s="168" t="str">
        <f t="array" ref="AB3312">iferror(index(K:K,match($A3312&amp;","&amp;index('Year Conversion'!$A:$A,match($C3312,'Year Conversion'!$B:$B,0)),$Y:$Y,0))-K3312,"")</f>
        <v/>
      </c>
      <c r="AC3312" s="168" t="str">
        <f t="shared" si="7"/>
        <v>ATL,2019-20</v>
      </c>
    </row>
    <row r="3313">
      <c r="A3313" s="161" t="str">
        <f>IFERROR(__xludf.DUMMYFUNCTION("""COMPUTED_VALUE"""),"jacksju01")</f>
        <v>jacksju01</v>
      </c>
      <c r="B3313" s="161" t="str">
        <f>IFERROR(__xludf.DUMMYFUNCTION("""COMPUTED_VALUE"""),"Justin Jackson")</f>
        <v>Justin Jackson</v>
      </c>
      <c r="C3313" s="162" t="str">
        <f>IFERROR(__xludf.DUMMYFUNCTION("""COMPUTED_VALUE"""),"2019-20")</f>
        <v>2019-20</v>
      </c>
      <c r="D3313" s="163" t="str">
        <f>IFERROR(__xludf.DUMMYFUNCTION("""COMPUTED_VALUE"""),"DAL")</f>
        <v>DAL</v>
      </c>
      <c r="E3313" s="164" t="str">
        <f>IFERROR(__xludf.DUMMYFUNCTION("""COMPUTED_VALUE"""),"Stationary Shooter")</f>
        <v>Stationary Shooter</v>
      </c>
      <c r="F3313" s="164">
        <f>IFERROR(__xludf.DUMMYFUNCTION("""COMPUTED_VALUE"""),1044.63166666667)</f>
        <v>1044.631667</v>
      </c>
      <c r="G3313" s="163">
        <f>IFERROR(__xludf.DUMMYFUNCTION("""COMPUTED_VALUE"""),65.0)</f>
        <v>65</v>
      </c>
      <c r="H3313" s="163" t="str">
        <f>IFERROR(__xludf.DUMMYFUNCTION("""COMPUTED_VALUE"""),"PF")</f>
        <v>PF</v>
      </c>
      <c r="I3313" s="163">
        <f>IFERROR(__xludf.DUMMYFUNCTION("""COMPUTED_VALUE"""),24.0)</f>
        <v>24</v>
      </c>
      <c r="J3313" s="165">
        <f>IFERROR(__xludf.DUMMYFUNCTION("""COMPUTED_VALUE"""),-2.0687502852372)</f>
        <v>-2.068750285</v>
      </c>
      <c r="K3313" s="165">
        <f>IFERROR(__xludf.DUMMYFUNCTION("""COMPUTED_VALUE"""),-0.509492015339736)</f>
        <v>-0.5094920153</v>
      </c>
      <c r="L3313" s="165">
        <f>IFERROR(__xludf.DUMMYFUNCTION("""COMPUTED_VALUE"""),-1.55925826989747)</f>
        <v>-1.55925827</v>
      </c>
      <c r="M3313" s="166">
        <f t="shared" si="2"/>
        <v>0.1620952895</v>
      </c>
      <c r="N3313" s="167">
        <f t="shared" si="3"/>
        <v>16.07125641</v>
      </c>
      <c r="O3313" s="163">
        <f t="shared" ref="O3313:Q3313" si="3317">rank(I3313,I:I)</f>
        <v>2361</v>
      </c>
      <c r="P3313" s="163">
        <f t="shared" si="3317"/>
        <v>3531</v>
      </c>
      <c r="Q3313" s="163">
        <f t="shared" si="3317"/>
        <v>2121</v>
      </c>
      <c r="R3313" s="163">
        <f>IFERROR(__xludf.DUMMYFUNCTION("RANK(M3313,filter(M:M,C:C=C3313))"),352.0)</f>
        <v>352</v>
      </c>
      <c r="S3313" s="161" t="b">
        <f t="shared" si="5"/>
        <v>0</v>
      </c>
      <c r="T3313" s="161" t="b">
        <f t="array" ref="T3313">index('Query Tool'!B:B,match(H3313,'Query Tool'!C:C,0))</f>
        <v>1</v>
      </c>
      <c r="U3313" s="161" t="b">
        <f t="array" ref="U3313">index('Query Tool'!B:B,match(C3313,'Query Tool'!C:C,0))</f>
        <v>0</v>
      </c>
      <c r="V3313" s="161" t="b">
        <f>F3313&gt;='Query Tool'!C$32</f>
        <v>1</v>
      </c>
      <c r="W3313" s="161" t="b">
        <f t="array" ref="W3313">index(Dropdowns!B:B,match(I3313,Dropdowns!A:A,0))</f>
        <v>1</v>
      </c>
      <c r="X3313" s="161" t="b">
        <f t="array" ref="X3313">index('Query Tool'!B:B,match(D3313,'Query Tool'!C:C,0))</f>
        <v>1</v>
      </c>
      <c r="Y3313" s="161" t="str">
        <f t="shared" si="6"/>
        <v>jacksju01,2019-20</v>
      </c>
      <c r="Z3313" s="168" t="str">
        <f t="array" ref="Z3313">iferror(index(I:I,match($A3313&amp;","&amp;index('Year Conversion'!$A:$A,match($C3313,'Year Conversion'!$B:$B,0)),$Y:$Y,0))-I3313,"")</f>
        <v/>
      </c>
      <c r="AA3313" s="168" t="str">
        <f t="array" ref="AA3313">iferror(index(J:J,match($A3313&amp;","&amp;index('Year Conversion'!$A:$A,match($C3313,'Year Conversion'!$B:$B,0)),$Y:$Y,0))-J3313,"")</f>
        <v/>
      </c>
      <c r="AB3313" s="168" t="str">
        <f t="array" ref="AB3313">iferror(index(K:K,match($A3313&amp;","&amp;index('Year Conversion'!$A:$A,match($C3313,'Year Conversion'!$B:$B,0)),$Y:$Y,0))-K3313,"")</f>
        <v/>
      </c>
      <c r="AC3313" s="168" t="str">
        <f t="shared" si="7"/>
        <v>DAL,2019-20</v>
      </c>
    </row>
    <row r="3314">
      <c r="A3314" s="161" t="str">
        <f>IFERROR(__xludf.DUMMYFUNCTION("""COMPUTED_VALUE"""),"pattoju01")</f>
        <v>pattoju01</v>
      </c>
      <c r="B3314" s="161" t="str">
        <f>IFERROR(__xludf.DUMMYFUNCTION("""COMPUTED_VALUE"""),"Justin Patton")</f>
        <v>Justin Patton</v>
      </c>
      <c r="C3314" s="162" t="str">
        <f>IFERROR(__xludf.DUMMYFUNCTION("""COMPUTED_VALUE"""),"2019-20")</f>
        <v>2019-20</v>
      </c>
      <c r="D3314" s="163" t="str">
        <f>IFERROR(__xludf.DUMMYFUNCTION("""COMPUTED_VALUE"""),"OKC")</f>
        <v>OKC</v>
      </c>
      <c r="E3314" s="164" t="str">
        <f>IFERROR(__xludf.DUMMYFUNCTION("""COMPUTED_VALUE"""),"Stretch Big")</f>
        <v>Stretch Big</v>
      </c>
      <c r="F3314" s="164">
        <f>IFERROR(__xludf.DUMMYFUNCTION("""COMPUTED_VALUE"""),24.2416666666667)</f>
        <v>24.24166667</v>
      </c>
      <c r="G3314" s="163">
        <f>IFERROR(__xludf.DUMMYFUNCTION("""COMPUTED_VALUE"""),5.0)</f>
        <v>5</v>
      </c>
      <c r="H3314" s="163" t="str">
        <f>IFERROR(__xludf.DUMMYFUNCTION("""COMPUTED_VALUE"""),"C")</f>
        <v>C</v>
      </c>
      <c r="I3314" s="163">
        <f>IFERROR(__xludf.DUMMYFUNCTION("""COMPUTED_VALUE"""),22.0)</f>
        <v>22</v>
      </c>
      <c r="J3314" s="165">
        <f>IFERROR(__xludf.DUMMYFUNCTION("""COMPUTED_VALUE"""),-0.921023404852704)</f>
        <v>-0.9210234049</v>
      </c>
      <c r="K3314" s="165">
        <f>IFERROR(__xludf.DUMMYFUNCTION("""COMPUTED_VALUE"""),-0.200380030477329)</f>
        <v>-0.2003800305</v>
      </c>
      <c r="L3314" s="165">
        <f>IFERROR(__xludf.DUMMYFUNCTION("""COMPUTED_VALUE"""),-0.720643374375376)</f>
        <v>-0.7206433744</v>
      </c>
      <c r="M3314" s="166">
        <f t="shared" si="2"/>
        <v>0.02233755088</v>
      </c>
      <c r="N3314" s="167">
        <f t="shared" si="3"/>
        <v>4.848333333</v>
      </c>
      <c r="O3314" s="163">
        <f t="shared" ref="O3314:Q3314" si="3318">rank(I3314,I:I)</f>
        <v>3178</v>
      </c>
      <c r="P3314" s="163">
        <f t="shared" si="3318"/>
        <v>2419</v>
      </c>
      <c r="Q3314" s="163">
        <f t="shared" si="3318"/>
        <v>1562</v>
      </c>
      <c r="R3314" s="163">
        <f>IFERROR(__xludf.DUMMYFUNCTION("RANK(M3314,filter(M:M,C:C=C3314))"),459.0)</f>
        <v>459</v>
      </c>
      <c r="S3314" s="161" t="b">
        <f t="shared" si="5"/>
        <v>0</v>
      </c>
      <c r="T3314" s="161" t="b">
        <f t="array" ref="T3314">index('Query Tool'!B:B,match(H3314,'Query Tool'!C:C,0))</f>
        <v>1</v>
      </c>
      <c r="U3314" s="161" t="b">
        <f t="array" ref="U3314">index('Query Tool'!B:B,match(C3314,'Query Tool'!C:C,0))</f>
        <v>0</v>
      </c>
      <c r="V3314" s="161" t="b">
        <f>F3314&gt;='Query Tool'!C$32</f>
        <v>0</v>
      </c>
      <c r="W3314" s="161" t="b">
        <f t="array" ref="W3314">index(Dropdowns!B:B,match(I3314,Dropdowns!A:A,0))</f>
        <v>1</v>
      </c>
      <c r="X3314" s="161" t="b">
        <f t="array" ref="X3314">index('Query Tool'!B:B,match(D3314,'Query Tool'!C:C,0))</f>
        <v>1</v>
      </c>
      <c r="Y3314" s="161" t="str">
        <f t="shared" si="6"/>
        <v>pattoju01,2019-20</v>
      </c>
      <c r="Z3314" s="168" t="str">
        <f t="array" ref="Z3314">iferror(index(I:I,match($A3314&amp;","&amp;index('Year Conversion'!$A:$A,match($C3314,'Year Conversion'!$B:$B,0)),$Y:$Y,0))-I3314,"")</f>
        <v/>
      </c>
      <c r="AA3314" s="168" t="str">
        <f t="array" ref="AA3314">iferror(index(J:J,match($A3314&amp;","&amp;index('Year Conversion'!$A:$A,match($C3314,'Year Conversion'!$B:$B,0)),$Y:$Y,0))-J3314,"")</f>
        <v/>
      </c>
      <c r="AB3314" s="168" t="str">
        <f t="array" ref="AB3314">iferror(index(K:K,match($A3314&amp;","&amp;index('Year Conversion'!$A:$A,match($C3314,'Year Conversion'!$B:$B,0)),$Y:$Y,0))-K3314,"")</f>
        <v/>
      </c>
      <c r="AC3314" s="168" t="str">
        <f t="shared" si="7"/>
        <v>OKC,2019-20</v>
      </c>
    </row>
    <row r="3315">
      <c r="A3315" s="161" t="str">
        <f>IFERROR(__xludf.DUMMYFUNCTION("""COMPUTED_VALUE"""),"anunoog01")</f>
        <v>anunoog01</v>
      </c>
      <c r="B3315" s="161" t="str">
        <f>IFERROR(__xludf.DUMMYFUNCTION("""COMPUTED_VALUE"""),"OG Anunoby")</f>
        <v>OG Anunoby</v>
      </c>
      <c r="C3315" s="162" t="str">
        <f>IFERROR(__xludf.DUMMYFUNCTION("""COMPUTED_VALUE"""),"2019-20")</f>
        <v>2019-20</v>
      </c>
      <c r="D3315" s="163" t="str">
        <f>IFERROR(__xludf.DUMMYFUNCTION("""COMPUTED_VALUE"""),"TOR")</f>
        <v>TOR</v>
      </c>
      <c r="E3315" s="164" t="str">
        <f>IFERROR(__xludf.DUMMYFUNCTION("""COMPUTED_VALUE"""),"Athletic Finisher")</f>
        <v>Athletic Finisher</v>
      </c>
      <c r="F3315" s="164">
        <f>IFERROR(__xludf.DUMMYFUNCTION("""COMPUTED_VALUE"""),2065.67666666667)</f>
        <v>2065.676667</v>
      </c>
      <c r="G3315" s="163">
        <f>IFERROR(__xludf.DUMMYFUNCTION("""COMPUTED_VALUE"""),69.0)</f>
        <v>69</v>
      </c>
      <c r="H3315" s="163" t="str">
        <f>IFERROR(__xludf.DUMMYFUNCTION("""COMPUTED_VALUE"""),"SF")</f>
        <v>SF</v>
      </c>
      <c r="I3315" s="163">
        <f>IFERROR(__xludf.DUMMYFUNCTION("""COMPUTED_VALUE"""),22.0)</f>
        <v>22</v>
      </c>
      <c r="J3315" s="165">
        <f>IFERROR(__xludf.DUMMYFUNCTION("""COMPUTED_VALUE"""),0.628614292078652)</f>
        <v>0.6286142921</v>
      </c>
      <c r="K3315" s="165">
        <f>IFERROR(__xludf.DUMMYFUNCTION("""COMPUTED_VALUE"""),-0.929928967250556)</f>
        <v>-0.9299289673</v>
      </c>
      <c r="L3315" s="165">
        <f>IFERROR(__xludf.DUMMYFUNCTION("""COMPUTED_VALUE"""),1.55854325932921)</f>
        <v>1.558543259</v>
      </c>
      <c r="M3315" s="166">
        <f t="shared" si="2"/>
        <v>4.059549438</v>
      </c>
      <c r="N3315" s="167">
        <f t="shared" si="3"/>
        <v>29.937343</v>
      </c>
      <c r="O3315" s="163">
        <f t="shared" ref="O3315:Q3315" si="3319">rank(I3315,I:I)</f>
        <v>3178</v>
      </c>
      <c r="P3315" s="163">
        <f t="shared" si="3319"/>
        <v>832</v>
      </c>
      <c r="Q3315" s="163">
        <f t="shared" si="3319"/>
        <v>2725</v>
      </c>
      <c r="R3315" s="163">
        <f>IFERROR(__xludf.DUMMYFUNCTION("RANK(M3315,filter(M:M,C:C=C3315))"),65.0)</f>
        <v>65</v>
      </c>
      <c r="S3315" s="161" t="b">
        <f t="shared" si="5"/>
        <v>0</v>
      </c>
      <c r="T3315" s="161" t="b">
        <f t="array" ref="T3315">index('Query Tool'!B:B,match(H3315,'Query Tool'!C:C,0))</f>
        <v>1</v>
      </c>
      <c r="U3315" s="161" t="b">
        <f t="array" ref="U3315">index('Query Tool'!B:B,match(C3315,'Query Tool'!C:C,0))</f>
        <v>0</v>
      </c>
      <c r="V3315" s="161" t="b">
        <f>F3315&gt;='Query Tool'!C$32</f>
        <v>1</v>
      </c>
      <c r="W3315" s="161" t="b">
        <f t="array" ref="W3315">index(Dropdowns!B:B,match(I3315,Dropdowns!A:A,0))</f>
        <v>1</v>
      </c>
      <c r="X3315" s="161" t="b">
        <f t="array" ref="X3315">index('Query Tool'!B:B,match(D3315,'Query Tool'!C:C,0))</f>
        <v>1</v>
      </c>
      <c r="Y3315" s="161" t="str">
        <f t="shared" si="6"/>
        <v>anunoog01,2019-20</v>
      </c>
      <c r="Z3315" s="168" t="str">
        <f t="array" ref="Z3315">iferror(index(I:I,match($A3315&amp;","&amp;index('Year Conversion'!$A:$A,match($C3315,'Year Conversion'!$B:$B,0)),$Y:$Y,0))-I3315,"")</f>
        <v/>
      </c>
      <c r="AA3315" s="168" t="str">
        <f t="array" ref="AA3315">iferror(index(J:J,match($A3315&amp;","&amp;index('Year Conversion'!$A:$A,match($C3315,'Year Conversion'!$B:$B,0)),$Y:$Y,0))-J3315,"")</f>
        <v/>
      </c>
      <c r="AB3315" s="168" t="str">
        <f t="array" ref="AB3315">iferror(index(K:K,match($A3315&amp;","&amp;index('Year Conversion'!$A:$A,match($C3315,'Year Conversion'!$B:$B,0)),$Y:$Y,0))-K3315,"")</f>
        <v/>
      </c>
      <c r="AC3315" s="168" t="str">
        <f t="shared" si="7"/>
        <v>TOR,2019-20</v>
      </c>
    </row>
    <row r="3316">
      <c r="A3316" s="161" t="str">
        <f>IFERROR(__xludf.DUMMYFUNCTION("""COMPUTED_VALUE"""),"gilesha01")</f>
        <v>gilesha01</v>
      </c>
      <c r="B3316" s="161" t="str">
        <f>IFERROR(__xludf.DUMMYFUNCTION("""COMPUTED_VALUE"""),"Harry Giles III")</f>
        <v>Harry Giles III</v>
      </c>
      <c r="C3316" s="162" t="str">
        <f>IFERROR(__xludf.DUMMYFUNCTION("""COMPUTED_VALUE"""),"2019-20")</f>
        <v>2019-20</v>
      </c>
      <c r="D3316" s="163" t="str">
        <f>IFERROR(__xludf.DUMMYFUNCTION("""COMPUTED_VALUE"""),"SAC")</f>
        <v>SAC</v>
      </c>
      <c r="E3316" s="164" t="str">
        <f>IFERROR(__xludf.DUMMYFUNCTION("""COMPUTED_VALUE"""),"Roll + Cut Big")</f>
        <v>Roll + Cut Big</v>
      </c>
      <c r="F3316" s="164">
        <f>IFERROR(__xludf.DUMMYFUNCTION("""COMPUTED_VALUE"""),667.003333333333)</f>
        <v>667.0033333</v>
      </c>
      <c r="G3316" s="163">
        <f>IFERROR(__xludf.DUMMYFUNCTION("""COMPUTED_VALUE"""),46.0)</f>
        <v>46</v>
      </c>
      <c r="H3316" s="163" t="str">
        <f>IFERROR(__xludf.DUMMYFUNCTION("""COMPUTED_VALUE"""),"C")</f>
        <v>C</v>
      </c>
      <c r="I3316" s="163">
        <f>IFERROR(__xludf.DUMMYFUNCTION("""COMPUTED_VALUE"""),21.0)</f>
        <v>21</v>
      </c>
      <c r="J3316" s="165">
        <f>IFERROR(__xludf.DUMMYFUNCTION("""COMPUTED_VALUE"""),-1.19153821195888)</f>
        <v>-1.191538212</v>
      </c>
      <c r="K3316" s="165">
        <f>IFERROR(__xludf.DUMMYFUNCTION("""COMPUTED_VALUE"""),-1.17738952260647)</f>
        <v>-1.177389523</v>
      </c>
      <c r="L3316" s="165">
        <f>IFERROR(__xludf.DUMMYFUNCTION("""COMPUTED_VALUE"""),-0.0141486893524077)</f>
        <v>-0.01414868935</v>
      </c>
      <c r="M3316" s="166">
        <f t="shared" si="2"/>
        <v>0.4935320448</v>
      </c>
      <c r="N3316" s="167">
        <f t="shared" si="3"/>
        <v>14.50007246</v>
      </c>
      <c r="O3316" s="163">
        <f t="shared" ref="O3316:Q3316" si="3320">rank(I3316,I:I)</f>
        <v>3528</v>
      </c>
      <c r="P3316" s="163">
        <f t="shared" si="3320"/>
        <v>2732</v>
      </c>
      <c r="Q3316" s="163">
        <f t="shared" si="3320"/>
        <v>3014</v>
      </c>
      <c r="R3316" s="163">
        <f>IFERROR(__xludf.DUMMYFUNCTION("RANK(M3316,filter(M:M,C:C=C3316))"),262.0)</f>
        <v>262</v>
      </c>
      <c r="S3316" s="161" t="b">
        <f t="shared" si="5"/>
        <v>0</v>
      </c>
      <c r="T3316" s="161" t="b">
        <f t="array" ref="T3316">index('Query Tool'!B:B,match(H3316,'Query Tool'!C:C,0))</f>
        <v>1</v>
      </c>
      <c r="U3316" s="161" t="b">
        <f t="array" ref="U3316">index('Query Tool'!B:B,match(C3316,'Query Tool'!C:C,0))</f>
        <v>0</v>
      </c>
      <c r="V3316" s="161" t="b">
        <f>F3316&gt;='Query Tool'!C$32</f>
        <v>1</v>
      </c>
      <c r="W3316" s="161" t="b">
        <f t="array" ref="W3316">index(Dropdowns!B:B,match(I3316,Dropdowns!A:A,0))</f>
        <v>1</v>
      </c>
      <c r="X3316" s="161" t="b">
        <f t="array" ref="X3316">index('Query Tool'!B:B,match(D3316,'Query Tool'!C:C,0))</f>
        <v>1</v>
      </c>
      <c r="Y3316" s="161" t="str">
        <f t="shared" si="6"/>
        <v>gilesha01,2019-20</v>
      </c>
      <c r="Z3316" s="168" t="str">
        <f t="array" ref="Z3316">iferror(index(I:I,match($A3316&amp;","&amp;index('Year Conversion'!$A:$A,match($C3316,'Year Conversion'!$B:$B,0)),$Y:$Y,0))-I3316,"")</f>
        <v/>
      </c>
      <c r="AA3316" s="168" t="str">
        <f t="array" ref="AA3316">iferror(index(J:J,match($A3316&amp;","&amp;index('Year Conversion'!$A:$A,match($C3316,'Year Conversion'!$B:$B,0)),$Y:$Y,0))-J3316,"")</f>
        <v/>
      </c>
      <c r="AB3316" s="168" t="str">
        <f t="array" ref="AB3316">iferror(index(K:K,match($A3316&amp;","&amp;index('Year Conversion'!$A:$A,match($C3316,'Year Conversion'!$B:$B,0)),$Y:$Y,0))-K3316,"")</f>
        <v/>
      </c>
      <c r="AC3316" s="168" t="str">
        <f t="shared" si="7"/>
        <v>SAC,2019-20</v>
      </c>
    </row>
    <row r="3317">
      <c r="A3317" s="161" t="str">
        <f>IFERROR(__xludf.DUMMYFUNCTION("""COMPUTED_VALUE"""),"allenja01")</f>
        <v>allenja01</v>
      </c>
      <c r="B3317" s="161" t="str">
        <f>IFERROR(__xludf.DUMMYFUNCTION("""COMPUTED_VALUE"""),"Jarrett Allen")</f>
        <v>Jarrett Allen</v>
      </c>
      <c r="C3317" s="162" t="str">
        <f>IFERROR(__xludf.DUMMYFUNCTION("""COMPUTED_VALUE"""),"2019-20")</f>
        <v>2019-20</v>
      </c>
      <c r="D3317" s="163" t="str">
        <f>IFERROR(__xludf.DUMMYFUNCTION("""COMPUTED_VALUE"""),"BRK")</f>
        <v>BRK</v>
      </c>
      <c r="E3317" s="164" t="str">
        <f>IFERROR(__xludf.DUMMYFUNCTION("""COMPUTED_VALUE"""),"Roll + Cut Big")</f>
        <v>Roll + Cut Big</v>
      </c>
      <c r="F3317" s="164">
        <f>IFERROR(__xludf.DUMMYFUNCTION("""COMPUTED_VALUE"""),1851.86333333333)</f>
        <v>1851.863333</v>
      </c>
      <c r="G3317" s="163">
        <f>IFERROR(__xludf.DUMMYFUNCTION("""COMPUTED_VALUE"""),70.0)</f>
        <v>70</v>
      </c>
      <c r="H3317" s="163" t="str">
        <f>IFERROR(__xludf.DUMMYFUNCTION("""COMPUTED_VALUE"""),"C")</f>
        <v>C</v>
      </c>
      <c r="I3317" s="163">
        <f>IFERROR(__xludf.DUMMYFUNCTION("""COMPUTED_VALUE"""),21.0)</f>
        <v>21</v>
      </c>
      <c r="J3317" s="165">
        <f>IFERROR(__xludf.DUMMYFUNCTION("""COMPUTED_VALUE"""),2.56747330147542)</f>
        <v>2.567473301</v>
      </c>
      <c r="K3317" s="165">
        <f>IFERROR(__xludf.DUMMYFUNCTION("""COMPUTED_VALUE"""),0.655032051046774)</f>
        <v>0.655032051</v>
      </c>
      <c r="L3317" s="165">
        <f>IFERROR(__xludf.DUMMYFUNCTION("""COMPUTED_VALUE"""),1.91244125042865)</f>
        <v>1.91244125</v>
      </c>
      <c r="M3317" s="166">
        <f t="shared" si="2"/>
        <v>6.031429633</v>
      </c>
      <c r="N3317" s="167">
        <f t="shared" si="3"/>
        <v>26.45519048</v>
      </c>
      <c r="O3317" s="163">
        <f t="shared" ref="O3317:Q3317" si="3321">rank(I3317,I:I)</f>
        <v>3528</v>
      </c>
      <c r="P3317" s="163">
        <f t="shared" si="3321"/>
        <v>213</v>
      </c>
      <c r="Q3317" s="163">
        <f t="shared" si="3321"/>
        <v>674</v>
      </c>
      <c r="R3317" s="163">
        <f>IFERROR(__xludf.DUMMYFUNCTION("RANK(M3317,filter(M:M,C:C=C3317))"),27.0)</f>
        <v>27</v>
      </c>
      <c r="S3317" s="161" t="b">
        <f t="shared" si="5"/>
        <v>0</v>
      </c>
      <c r="T3317" s="161" t="b">
        <f t="array" ref="T3317">index('Query Tool'!B:B,match(H3317,'Query Tool'!C:C,0))</f>
        <v>1</v>
      </c>
      <c r="U3317" s="161" t="b">
        <f t="array" ref="U3317">index('Query Tool'!B:B,match(C3317,'Query Tool'!C:C,0))</f>
        <v>0</v>
      </c>
      <c r="V3317" s="161" t="b">
        <f>F3317&gt;='Query Tool'!C$32</f>
        <v>1</v>
      </c>
      <c r="W3317" s="161" t="b">
        <f t="array" ref="W3317">index(Dropdowns!B:B,match(I3317,Dropdowns!A:A,0))</f>
        <v>1</v>
      </c>
      <c r="X3317" s="161" t="b">
        <f t="array" ref="X3317">index('Query Tool'!B:B,match(D3317,'Query Tool'!C:C,0))</f>
        <v>1</v>
      </c>
      <c r="Y3317" s="161" t="str">
        <f t="shared" si="6"/>
        <v>allenja01,2019-20</v>
      </c>
      <c r="Z3317" s="168" t="str">
        <f t="array" ref="Z3317">iferror(index(I:I,match($A3317&amp;","&amp;index('Year Conversion'!$A:$A,match($C3317,'Year Conversion'!$B:$B,0)),$Y:$Y,0))-I3317,"")</f>
        <v/>
      </c>
      <c r="AA3317" s="168" t="str">
        <f t="array" ref="AA3317">iferror(index(J:J,match($A3317&amp;","&amp;index('Year Conversion'!$A:$A,match($C3317,'Year Conversion'!$B:$B,0)),$Y:$Y,0))-J3317,"")</f>
        <v/>
      </c>
      <c r="AB3317" s="168" t="str">
        <f t="array" ref="AB3317">iferror(index(K:K,match($A3317&amp;","&amp;index('Year Conversion'!$A:$A,match($C3317,'Year Conversion'!$B:$B,0)),$Y:$Y,0))-K3317,"")</f>
        <v/>
      </c>
      <c r="AC3317" s="168" t="str">
        <f t="shared" si="7"/>
        <v>BRK,2019-20</v>
      </c>
    </row>
    <row r="3318">
      <c r="A3318" s="161" t="str">
        <f>IFERROR(__xludf.DUMMYFUNCTION("""COMPUTED_VALUE"""),"leaftj01")</f>
        <v>leaftj01</v>
      </c>
      <c r="B3318" s="161" t="str">
        <f>IFERROR(__xludf.DUMMYFUNCTION("""COMPUTED_VALUE"""),"T.J. Leaf")</f>
        <v>T.J. Leaf</v>
      </c>
      <c r="C3318" s="162" t="str">
        <f>IFERROR(__xludf.DUMMYFUNCTION("""COMPUTED_VALUE"""),"2019-20")</f>
        <v>2019-20</v>
      </c>
      <c r="D3318" s="163" t="str">
        <f>IFERROR(__xludf.DUMMYFUNCTION("""COMPUTED_VALUE"""),"IND")</f>
        <v>IND</v>
      </c>
      <c r="E3318" s="164" t="str">
        <f>IFERROR(__xludf.DUMMYFUNCTION("""COMPUTED_VALUE"""),"Roll + Cut Big")</f>
        <v>Roll + Cut Big</v>
      </c>
      <c r="F3318" s="164">
        <f>IFERROR(__xludf.DUMMYFUNCTION("""COMPUTED_VALUE"""),221.8)</f>
        <v>221.8</v>
      </c>
      <c r="G3318" s="163">
        <f>IFERROR(__xludf.DUMMYFUNCTION("""COMPUTED_VALUE"""),28.0)</f>
        <v>28</v>
      </c>
      <c r="H3318" s="163" t="str">
        <f>IFERROR(__xludf.DUMMYFUNCTION("""COMPUTED_VALUE"""),"PF")</f>
        <v>PF</v>
      </c>
      <c r="I3318" s="163">
        <f>IFERROR(__xludf.DUMMYFUNCTION("""COMPUTED_VALUE"""),22.0)</f>
        <v>22</v>
      </c>
      <c r="J3318" s="165">
        <f>IFERROR(__xludf.DUMMYFUNCTION("""COMPUTED_VALUE"""),-0.565461463219455)</f>
        <v>-0.5654614632</v>
      </c>
      <c r="K3318" s="165">
        <f>IFERROR(__xludf.DUMMYFUNCTION("""COMPUTED_VALUE"""),-0.716358990717765)</f>
        <v>-0.7163589907</v>
      </c>
      <c r="L3318" s="165">
        <f>IFERROR(__xludf.DUMMYFUNCTION("""COMPUTED_VALUE"""),0.15089752749831)</f>
        <v>0.1508975275</v>
      </c>
      <c r="M3318" s="166">
        <f t="shared" si="2"/>
        <v>0.2574227553</v>
      </c>
      <c r="N3318" s="167">
        <f t="shared" si="3"/>
        <v>7.921428571</v>
      </c>
      <c r="O3318" s="163">
        <f t="shared" ref="O3318:Q3318" si="3322">rank(I3318,I:I)</f>
        <v>3178</v>
      </c>
      <c r="P3318" s="163">
        <f t="shared" si="3322"/>
        <v>1941</v>
      </c>
      <c r="Q3318" s="163">
        <f t="shared" si="3322"/>
        <v>2439</v>
      </c>
      <c r="R3318" s="163">
        <f>IFERROR(__xludf.DUMMYFUNCTION("RANK(M3318,filter(M:M,C:C=C3318))"),318.0)</f>
        <v>318</v>
      </c>
      <c r="S3318" s="161" t="b">
        <f t="shared" si="5"/>
        <v>0</v>
      </c>
      <c r="T3318" s="161" t="b">
        <f t="array" ref="T3318">index('Query Tool'!B:B,match(H3318,'Query Tool'!C:C,0))</f>
        <v>1</v>
      </c>
      <c r="U3318" s="161" t="b">
        <f t="array" ref="U3318">index('Query Tool'!B:B,match(C3318,'Query Tool'!C:C,0))</f>
        <v>0</v>
      </c>
      <c r="V3318" s="161" t="b">
        <f>F3318&gt;='Query Tool'!C$32</f>
        <v>0</v>
      </c>
      <c r="W3318" s="161" t="b">
        <f t="array" ref="W3318">index(Dropdowns!B:B,match(I3318,Dropdowns!A:A,0))</f>
        <v>1</v>
      </c>
      <c r="X3318" s="161" t="b">
        <f t="array" ref="X3318">index('Query Tool'!B:B,match(D3318,'Query Tool'!C:C,0))</f>
        <v>1</v>
      </c>
      <c r="Y3318" s="161" t="str">
        <f t="shared" si="6"/>
        <v>leaftj01,2019-20</v>
      </c>
      <c r="Z3318" s="168" t="str">
        <f t="array" ref="Z3318">iferror(index(I:I,match($A3318&amp;","&amp;index('Year Conversion'!$A:$A,match($C3318,'Year Conversion'!$B:$B,0)),$Y:$Y,0))-I3318,"")</f>
        <v/>
      </c>
      <c r="AA3318" s="168" t="str">
        <f t="array" ref="AA3318">iferror(index(J:J,match($A3318&amp;","&amp;index('Year Conversion'!$A:$A,match($C3318,'Year Conversion'!$B:$B,0)),$Y:$Y,0))-J3318,"")</f>
        <v/>
      </c>
      <c r="AB3318" s="168" t="str">
        <f t="array" ref="AB3318">iferror(index(K:K,match($A3318&amp;","&amp;index('Year Conversion'!$A:$A,match($C3318,'Year Conversion'!$B:$B,0)),$Y:$Y,0))-K3318,"")</f>
        <v/>
      </c>
      <c r="AC3318" s="168" t="str">
        <f t="shared" si="7"/>
        <v>IND,2019-20</v>
      </c>
    </row>
    <row r="3319">
      <c r="A3319" s="161" t="str">
        <f>IFERROR(__xludf.DUMMYFUNCTION("""COMPUTED_VALUE"""),"adebaba01")</f>
        <v>adebaba01</v>
      </c>
      <c r="B3319" s="161" t="str">
        <f>IFERROR(__xludf.DUMMYFUNCTION("""COMPUTED_VALUE"""),"Bam Adebayo")</f>
        <v>Bam Adebayo</v>
      </c>
      <c r="C3319" s="162" t="str">
        <f>IFERROR(__xludf.DUMMYFUNCTION("""COMPUTED_VALUE"""),"2019-20")</f>
        <v>2019-20</v>
      </c>
      <c r="D3319" s="163" t="str">
        <f>IFERROR(__xludf.DUMMYFUNCTION("""COMPUTED_VALUE"""),"MIA")</f>
        <v>MIA</v>
      </c>
      <c r="E3319" s="164" t="str">
        <f>IFERROR(__xludf.DUMMYFUNCTION("""COMPUTED_VALUE"""),"Roll + Cut Big")</f>
        <v>Roll + Cut Big</v>
      </c>
      <c r="F3319" s="164">
        <f>IFERROR(__xludf.DUMMYFUNCTION("""COMPUTED_VALUE"""),2416.96166666667)</f>
        <v>2416.961667</v>
      </c>
      <c r="G3319" s="163">
        <f>IFERROR(__xludf.DUMMYFUNCTION("""COMPUTED_VALUE"""),72.0)</f>
        <v>72</v>
      </c>
      <c r="H3319" s="163" t="str">
        <f>IFERROR(__xludf.DUMMYFUNCTION("""COMPUTED_VALUE"""),"PF")</f>
        <v>PF</v>
      </c>
      <c r="I3319" s="163">
        <f>IFERROR(__xludf.DUMMYFUNCTION("""COMPUTED_VALUE"""),22.0)</f>
        <v>22</v>
      </c>
      <c r="J3319" s="165">
        <f>IFERROR(__xludf.DUMMYFUNCTION("""COMPUTED_VALUE"""),2.93486226851507)</f>
        <v>2.934862269</v>
      </c>
      <c r="K3319" s="165">
        <f>IFERROR(__xludf.DUMMYFUNCTION("""COMPUTED_VALUE"""),1.0158156597513)</f>
        <v>1.01581566</v>
      </c>
      <c r="L3319" s="165">
        <f>IFERROR(__xludf.DUMMYFUNCTION("""COMPUTED_VALUE"""),1.91904660876377)</f>
        <v>1.919046609</v>
      </c>
      <c r="M3319" s="166">
        <f t="shared" si="2"/>
        <v>8.45206525</v>
      </c>
      <c r="N3319" s="167">
        <f t="shared" si="3"/>
        <v>33.56891204</v>
      </c>
      <c r="O3319" s="163">
        <f t="shared" ref="O3319:Q3319" si="3323">rank(I3319,I:I)</f>
        <v>3178</v>
      </c>
      <c r="P3319" s="163">
        <f t="shared" si="3323"/>
        <v>174</v>
      </c>
      <c r="Q3319" s="163">
        <f t="shared" si="3323"/>
        <v>497</v>
      </c>
      <c r="R3319" s="163">
        <f>IFERROR(__xludf.DUMMYFUNCTION("RANK(M3319,filter(M:M,C:C=C3319))"),14.0)</f>
        <v>14</v>
      </c>
      <c r="S3319" s="161" t="b">
        <f t="shared" si="5"/>
        <v>0</v>
      </c>
      <c r="T3319" s="161" t="b">
        <f t="array" ref="T3319">index('Query Tool'!B:B,match(H3319,'Query Tool'!C:C,0))</f>
        <v>1</v>
      </c>
      <c r="U3319" s="161" t="b">
        <f t="array" ref="U3319">index('Query Tool'!B:B,match(C3319,'Query Tool'!C:C,0))</f>
        <v>0</v>
      </c>
      <c r="V3319" s="161" t="b">
        <f>F3319&gt;='Query Tool'!C$32</f>
        <v>1</v>
      </c>
      <c r="W3319" s="161" t="b">
        <f t="array" ref="W3319">index(Dropdowns!B:B,match(I3319,Dropdowns!A:A,0))</f>
        <v>1</v>
      </c>
      <c r="X3319" s="161" t="b">
        <f t="array" ref="X3319">index('Query Tool'!B:B,match(D3319,'Query Tool'!C:C,0))</f>
        <v>1</v>
      </c>
      <c r="Y3319" s="161" t="str">
        <f t="shared" si="6"/>
        <v>adebaba01,2019-20</v>
      </c>
      <c r="Z3319" s="168" t="str">
        <f t="array" ref="Z3319">iferror(index(I:I,match($A3319&amp;","&amp;index('Year Conversion'!$A:$A,match($C3319,'Year Conversion'!$B:$B,0)),$Y:$Y,0))-I3319,"")</f>
        <v/>
      </c>
      <c r="AA3319" s="168" t="str">
        <f t="array" ref="AA3319">iferror(index(J:J,match($A3319&amp;","&amp;index('Year Conversion'!$A:$A,match($C3319,'Year Conversion'!$B:$B,0)),$Y:$Y,0))-J3319,"")</f>
        <v/>
      </c>
      <c r="AB3319" s="168" t="str">
        <f t="array" ref="AB3319">iferror(index(K:K,match($A3319&amp;","&amp;index('Year Conversion'!$A:$A,match($C3319,'Year Conversion'!$B:$B,0)),$Y:$Y,0))-K3319,"")</f>
        <v/>
      </c>
      <c r="AC3319" s="168" t="str">
        <f t="shared" si="7"/>
        <v>MIA,2019-20</v>
      </c>
    </row>
    <row r="3320">
      <c r="A3320" s="161" t="str">
        <f>IFERROR(__xludf.DUMMYFUNCTION("""COMPUTED_VALUE"""),"fergute01")</f>
        <v>fergute01</v>
      </c>
      <c r="B3320" s="161" t="str">
        <f>IFERROR(__xludf.DUMMYFUNCTION("""COMPUTED_VALUE"""),"Terrance Ferguson")</f>
        <v>Terrance Ferguson</v>
      </c>
      <c r="C3320" s="162" t="str">
        <f>IFERROR(__xludf.DUMMYFUNCTION("""COMPUTED_VALUE"""),"2019-20")</f>
        <v>2019-20</v>
      </c>
      <c r="D3320" s="163" t="str">
        <f>IFERROR(__xludf.DUMMYFUNCTION("""COMPUTED_VALUE"""),"OKC")</f>
        <v>OKC</v>
      </c>
      <c r="E3320" s="164" t="str">
        <f>IFERROR(__xludf.DUMMYFUNCTION("""COMPUTED_VALUE"""),"Stationary Shooter")</f>
        <v>Stationary Shooter</v>
      </c>
      <c r="F3320" s="164">
        <f>IFERROR(__xludf.DUMMYFUNCTION("""COMPUTED_VALUE"""),1257.44833333333)</f>
        <v>1257.448333</v>
      </c>
      <c r="G3320" s="163">
        <f>IFERROR(__xludf.DUMMYFUNCTION("""COMPUTED_VALUE"""),56.0)</f>
        <v>56</v>
      </c>
      <c r="H3320" s="163" t="str">
        <f>IFERROR(__xludf.DUMMYFUNCTION("""COMPUTED_VALUE"""),"SF")</f>
        <v>SF</v>
      </c>
      <c r="I3320" s="163">
        <f>IFERROR(__xludf.DUMMYFUNCTION("""COMPUTED_VALUE"""),21.0)</f>
        <v>21</v>
      </c>
      <c r="J3320" s="165">
        <f>IFERROR(__xludf.DUMMYFUNCTION("""COMPUTED_VALUE"""),-3.02709347613732)</f>
        <v>-3.027093476</v>
      </c>
      <c r="K3320" s="165">
        <f>IFERROR(__xludf.DUMMYFUNCTION("""COMPUTED_VALUE"""),-2.83874689555824)</f>
        <v>-2.838746896</v>
      </c>
      <c r="L3320" s="165">
        <f>IFERROR(__xludf.DUMMYFUNCTION("""COMPUTED_VALUE"""),-0.188346580579084)</f>
        <v>-0.1883465806</v>
      </c>
      <c r="M3320" s="166">
        <f t="shared" si="2"/>
        <v>-0.5955024183</v>
      </c>
      <c r="N3320" s="167">
        <f t="shared" si="3"/>
        <v>22.45443452</v>
      </c>
      <c r="O3320" s="163">
        <f t="shared" ref="O3320:Q3320" si="3324">rank(I3320,I:I)</f>
        <v>3528</v>
      </c>
      <c r="P3320" s="163">
        <f t="shared" si="3324"/>
        <v>3890</v>
      </c>
      <c r="Q3320" s="163">
        <f t="shared" si="3324"/>
        <v>3960</v>
      </c>
      <c r="R3320" s="163">
        <f>IFERROR(__xludf.DUMMYFUNCTION("RANK(M3320,filter(M:M,C:C=C3320))"),517.0)</f>
        <v>517</v>
      </c>
      <c r="S3320" s="161" t="b">
        <f t="shared" si="5"/>
        <v>0</v>
      </c>
      <c r="T3320" s="161" t="b">
        <f t="array" ref="T3320">index('Query Tool'!B:B,match(H3320,'Query Tool'!C:C,0))</f>
        <v>1</v>
      </c>
      <c r="U3320" s="161" t="b">
        <f t="array" ref="U3320">index('Query Tool'!B:B,match(C3320,'Query Tool'!C:C,0))</f>
        <v>0</v>
      </c>
      <c r="V3320" s="161" t="b">
        <f>F3320&gt;='Query Tool'!C$32</f>
        <v>1</v>
      </c>
      <c r="W3320" s="161" t="b">
        <f t="array" ref="W3320">index(Dropdowns!B:B,match(I3320,Dropdowns!A:A,0))</f>
        <v>1</v>
      </c>
      <c r="X3320" s="161" t="b">
        <f t="array" ref="X3320">index('Query Tool'!B:B,match(D3320,'Query Tool'!C:C,0))</f>
        <v>1</v>
      </c>
      <c r="Y3320" s="161" t="str">
        <f t="shared" si="6"/>
        <v>fergute01,2019-20</v>
      </c>
      <c r="Z3320" s="168" t="str">
        <f t="array" ref="Z3320">iferror(index(I:I,match($A3320&amp;","&amp;index('Year Conversion'!$A:$A,match($C3320,'Year Conversion'!$B:$B,0)),$Y:$Y,0))-I3320,"")</f>
        <v/>
      </c>
      <c r="AA3320" s="168" t="str">
        <f t="array" ref="AA3320">iferror(index(J:J,match($A3320&amp;","&amp;index('Year Conversion'!$A:$A,match($C3320,'Year Conversion'!$B:$B,0)),$Y:$Y,0))-J3320,"")</f>
        <v/>
      </c>
      <c r="AB3320" s="168" t="str">
        <f t="array" ref="AB3320">iferror(index(K:K,match($A3320&amp;","&amp;index('Year Conversion'!$A:$A,match($C3320,'Year Conversion'!$B:$B,0)),$Y:$Y,0))-K3320,"")</f>
        <v/>
      </c>
      <c r="AC3320" s="168" t="str">
        <f t="shared" si="7"/>
        <v>OKC,2019-20</v>
      </c>
    </row>
    <row r="3321">
      <c r="A3321" s="161" t="str">
        <f>IFERROR(__xludf.DUMMYFUNCTION("""COMPUTED_VALUE"""),"wilsodj01")</f>
        <v>wilsodj01</v>
      </c>
      <c r="B3321" s="161" t="str">
        <f>IFERROR(__xludf.DUMMYFUNCTION("""COMPUTED_VALUE"""),"D.J. Wilson")</f>
        <v>D.J. Wilson</v>
      </c>
      <c r="C3321" s="162" t="str">
        <f>IFERROR(__xludf.DUMMYFUNCTION("""COMPUTED_VALUE"""),"2019-20")</f>
        <v>2019-20</v>
      </c>
      <c r="D3321" s="163" t="str">
        <f>IFERROR(__xludf.DUMMYFUNCTION("""COMPUTED_VALUE"""),"MIL")</f>
        <v>MIL</v>
      </c>
      <c r="E3321" s="164" t="str">
        <f>IFERROR(__xludf.DUMMYFUNCTION("""COMPUTED_VALUE"""),"Stretch Big")</f>
        <v>Stretch Big</v>
      </c>
      <c r="F3321" s="164">
        <f>IFERROR(__xludf.DUMMYFUNCTION("""COMPUTED_VALUE"""),362.94)</f>
        <v>362.94</v>
      </c>
      <c r="G3321" s="163">
        <f>IFERROR(__xludf.DUMMYFUNCTION("""COMPUTED_VALUE"""),37.0)</f>
        <v>37</v>
      </c>
      <c r="H3321" s="163" t="str">
        <f>IFERROR(__xludf.DUMMYFUNCTION("""COMPUTED_VALUE"""),"PF")</f>
        <v>PF</v>
      </c>
      <c r="I3321" s="163">
        <f>IFERROR(__xludf.DUMMYFUNCTION("""COMPUTED_VALUE"""),23.0)</f>
        <v>23</v>
      </c>
      <c r="J3321" s="165">
        <f>IFERROR(__xludf.DUMMYFUNCTION("""COMPUTED_VALUE"""),-1.63181281786366)</f>
        <v>-1.631812818</v>
      </c>
      <c r="K3321" s="165">
        <f>IFERROR(__xludf.DUMMYFUNCTION("""COMPUTED_VALUE"""),-1.51134333624516)</f>
        <v>-1.511343336</v>
      </c>
      <c r="L3321" s="165">
        <f>IFERROR(__xludf.DUMMYFUNCTION("""COMPUTED_VALUE"""),-0.120469481618499)</f>
        <v>-0.1204694816</v>
      </c>
      <c r="M3321" s="166">
        <f t="shared" si="2"/>
        <v>0.1617139926</v>
      </c>
      <c r="N3321" s="167">
        <f t="shared" si="3"/>
        <v>9.809189189</v>
      </c>
      <c r="O3321" s="163">
        <f t="shared" ref="O3321:Q3321" si="3325">rank(I3321,I:I)</f>
        <v>2765</v>
      </c>
      <c r="P3321" s="163">
        <f t="shared" si="3325"/>
        <v>3177</v>
      </c>
      <c r="Q3321" s="163">
        <f t="shared" si="3325"/>
        <v>3368</v>
      </c>
      <c r="R3321" s="163">
        <f>IFERROR(__xludf.DUMMYFUNCTION("RANK(M3321,filter(M:M,C:C=C3321))"),353.0)</f>
        <v>353</v>
      </c>
      <c r="S3321" s="161" t="b">
        <f t="shared" si="5"/>
        <v>0</v>
      </c>
      <c r="T3321" s="161" t="b">
        <f t="array" ref="T3321">index('Query Tool'!B:B,match(H3321,'Query Tool'!C:C,0))</f>
        <v>1</v>
      </c>
      <c r="U3321" s="161" t="b">
        <f t="array" ref="U3321">index('Query Tool'!B:B,match(C3321,'Query Tool'!C:C,0))</f>
        <v>0</v>
      </c>
      <c r="V3321" s="161" t="b">
        <f>F3321&gt;='Query Tool'!C$32</f>
        <v>0</v>
      </c>
      <c r="W3321" s="161" t="b">
        <f t="array" ref="W3321">index(Dropdowns!B:B,match(I3321,Dropdowns!A:A,0))</f>
        <v>1</v>
      </c>
      <c r="X3321" s="161" t="b">
        <f t="array" ref="X3321">index('Query Tool'!B:B,match(D3321,'Query Tool'!C:C,0))</f>
        <v>1</v>
      </c>
      <c r="Y3321" s="161" t="str">
        <f t="shared" si="6"/>
        <v>wilsodj01,2019-20</v>
      </c>
      <c r="Z3321" s="168" t="str">
        <f t="array" ref="Z3321">iferror(index(I:I,match($A3321&amp;","&amp;index('Year Conversion'!$A:$A,match($C3321,'Year Conversion'!$B:$B,0)),$Y:$Y,0))-I3321,"")</f>
        <v/>
      </c>
      <c r="AA3321" s="168" t="str">
        <f t="array" ref="AA3321">iferror(index(J:J,match($A3321&amp;","&amp;index('Year Conversion'!$A:$A,match($C3321,'Year Conversion'!$B:$B,0)),$Y:$Y,0))-J3321,"")</f>
        <v/>
      </c>
      <c r="AB3321" s="168" t="str">
        <f t="array" ref="AB3321">iferror(index(K:K,match($A3321&amp;","&amp;index('Year Conversion'!$A:$A,match($C3321,'Year Conversion'!$B:$B,0)),$Y:$Y,0))-K3321,"")</f>
        <v/>
      </c>
      <c r="AC3321" s="168" t="str">
        <f t="shared" si="7"/>
        <v>MIL,2019-20</v>
      </c>
    </row>
    <row r="3322">
      <c r="A3322" s="161" t="str">
        <f>IFERROR(__xludf.DUMMYFUNCTION("""COMPUTED_VALUE"""),"harteis01")</f>
        <v>harteis01</v>
      </c>
      <c r="B3322" s="161" t="str">
        <f>IFERROR(__xludf.DUMMYFUNCTION("""COMPUTED_VALUE"""),"Isaiah Hartenstein")</f>
        <v>Isaiah Hartenstein</v>
      </c>
      <c r="C3322" s="162" t="str">
        <f>IFERROR(__xludf.DUMMYFUNCTION("""COMPUTED_VALUE"""),"2019-20")</f>
        <v>2019-20</v>
      </c>
      <c r="D3322" s="163" t="str">
        <f>IFERROR(__xludf.DUMMYFUNCTION("""COMPUTED_VALUE"""),"HOU")</f>
        <v>HOU</v>
      </c>
      <c r="E3322" s="164" t="str">
        <f>IFERROR(__xludf.DUMMYFUNCTION("""COMPUTED_VALUE"""),"Roll + Cut Big")</f>
        <v>Roll + Cut Big</v>
      </c>
      <c r="F3322" s="164">
        <f>IFERROR(__xludf.DUMMYFUNCTION("""COMPUTED_VALUE"""),266.021666666667)</f>
        <v>266.0216667</v>
      </c>
      <c r="G3322" s="163">
        <f>IFERROR(__xludf.DUMMYFUNCTION("""COMPUTED_VALUE"""),23.0)</f>
        <v>23</v>
      </c>
      <c r="H3322" s="163" t="str">
        <f>IFERROR(__xludf.DUMMYFUNCTION("""COMPUTED_VALUE"""),"C")</f>
        <v>C</v>
      </c>
      <c r="I3322" s="163">
        <f>IFERROR(__xludf.DUMMYFUNCTION("""COMPUTED_VALUE"""),21.0)</f>
        <v>21</v>
      </c>
      <c r="J3322" s="165">
        <f>IFERROR(__xludf.DUMMYFUNCTION("""COMPUTED_VALUE"""),-0.327405997811639)</f>
        <v>-0.3274059978</v>
      </c>
      <c r="K3322" s="165">
        <f>IFERROR(__xludf.DUMMYFUNCTION("""COMPUTED_VALUE"""),-0.557082046416167)</f>
        <v>-0.5570820464</v>
      </c>
      <c r="L3322" s="165">
        <f>IFERROR(__xludf.DUMMYFUNCTION("""COMPUTED_VALUE"""),0.229676048604527)</f>
        <v>0.2296760486</v>
      </c>
      <c r="M3322" s="166">
        <f t="shared" si="2"/>
        <v>0.3514055082</v>
      </c>
      <c r="N3322" s="167">
        <f t="shared" si="3"/>
        <v>11.56615942</v>
      </c>
      <c r="O3322" s="163">
        <f t="shared" ref="O3322:Q3322" si="3326">rank(I3322,I:I)</f>
        <v>3528</v>
      </c>
      <c r="P3322" s="163">
        <f t="shared" si="3326"/>
        <v>1648</v>
      </c>
      <c r="Q3322" s="163">
        <f t="shared" si="3326"/>
        <v>2196</v>
      </c>
      <c r="R3322" s="163">
        <f>IFERROR(__xludf.DUMMYFUNCTION("RANK(M3322,filter(M:M,C:C=C3322))"),287.0)</f>
        <v>287</v>
      </c>
      <c r="S3322" s="161" t="b">
        <f t="shared" si="5"/>
        <v>0</v>
      </c>
      <c r="T3322" s="161" t="b">
        <f t="array" ref="T3322">index('Query Tool'!B:B,match(H3322,'Query Tool'!C:C,0))</f>
        <v>1</v>
      </c>
      <c r="U3322" s="161" t="b">
        <f t="array" ref="U3322">index('Query Tool'!B:B,match(C3322,'Query Tool'!C:C,0))</f>
        <v>0</v>
      </c>
      <c r="V3322" s="161" t="b">
        <f>F3322&gt;='Query Tool'!C$32</f>
        <v>0</v>
      </c>
      <c r="W3322" s="161" t="b">
        <f t="array" ref="W3322">index(Dropdowns!B:B,match(I3322,Dropdowns!A:A,0))</f>
        <v>1</v>
      </c>
      <c r="X3322" s="161" t="b">
        <f t="array" ref="X3322">index('Query Tool'!B:B,match(D3322,'Query Tool'!C:C,0))</f>
        <v>1</v>
      </c>
      <c r="Y3322" s="161" t="str">
        <f t="shared" si="6"/>
        <v>harteis01,2019-20</v>
      </c>
      <c r="Z3322" s="168" t="str">
        <f t="array" ref="Z3322">iferror(index(I:I,match($A3322&amp;","&amp;index('Year Conversion'!$A:$A,match($C3322,'Year Conversion'!$B:$B,0)),$Y:$Y,0))-I3322,"")</f>
        <v/>
      </c>
      <c r="AA3322" s="168" t="str">
        <f t="array" ref="AA3322">iferror(index(J:J,match($A3322&amp;","&amp;index('Year Conversion'!$A:$A,match($C3322,'Year Conversion'!$B:$B,0)),$Y:$Y,0))-J3322,"")</f>
        <v/>
      </c>
      <c r="AB3322" s="168" t="str">
        <f t="array" ref="AB3322">iferror(index(K:K,match($A3322&amp;","&amp;index('Year Conversion'!$A:$A,match($C3322,'Year Conversion'!$B:$B,0)),$Y:$Y,0))-K3322,"")</f>
        <v/>
      </c>
      <c r="AC3322" s="168" t="str">
        <f t="shared" si="7"/>
        <v>HOU,2019-20</v>
      </c>
    </row>
    <row r="3323">
      <c r="A3323" s="161" t="str">
        <f>IFERROR(__xludf.DUMMYFUNCTION("""COMPUTED_VALUE"""),"pasecan01")</f>
        <v>pasecan01</v>
      </c>
      <c r="B3323" s="161" t="str">
        <f>IFERROR(__xludf.DUMMYFUNCTION("""COMPUTED_VALUE"""),"Anzejs Pasecniks")</f>
        <v>Anzejs Pasecniks</v>
      </c>
      <c r="C3323" s="162" t="str">
        <f>IFERROR(__xludf.DUMMYFUNCTION("""COMPUTED_VALUE"""),"2019-20")</f>
        <v>2019-20</v>
      </c>
      <c r="D3323" s="163" t="str">
        <f>IFERROR(__xludf.DUMMYFUNCTION("""COMPUTED_VALUE"""),"WAS")</f>
        <v>WAS</v>
      </c>
      <c r="E3323" s="164" t="str">
        <f>IFERROR(__xludf.DUMMYFUNCTION("""COMPUTED_VALUE"""),"Roll + Cut Big")</f>
        <v>Roll + Cut Big</v>
      </c>
      <c r="F3323" s="164">
        <f>IFERROR(__xludf.DUMMYFUNCTION("""COMPUTED_VALUE"""),436.896666666667)</f>
        <v>436.8966667</v>
      </c>
      <c r="G3323" s="163">
        <f>IFERROR(__xludf.DUMMYFUNCTION("""COMPUTED_VALUE"""),27.0)</f>
        <v>27</v>
      </c>
      <c r="H3323" s="163" t="str">
        <f>IFERROR(__xludf.DUMMYFUNCTION("""COMPUTED_VALUE"""),"C")</f>
        <v>C</v>
      </c>
      <c r="I3323" s="163">
        <f>IFERROR(__xludf.DUMMYFUNCTION("""COMPUTED_VALUE"""),24.0)</f>
        <v>24</v>
      </c>
      <c r="J3323" s="165">
        <f>IFERROR(__xludf.DUMMYFUNCTION("""COMPUTED_VALUE"""),-1.55649070151902)</f>
        <v>-1.556490702</v>
      </c>
      <c r="K3323" s="165">
        <f>IFERROR(__xludf.DUMMYFUNCTION("""COMPUTED_VALUE"""),-1.5020542079763)</f>
        <v>-1.502054208</v>
      </c>
      <c r="L3323" s="165">
        <f>IFERROR(__xludf.DUMMYFUNCTION("""COMPUTED_VALUE"""),-0.0544364935427201)</f>
        <v>-0.05443649354</v>
      </c>
      <c r="M3323" s="166">
        <f t="shared" si="2"/>
        <v>0.2166194775</v>
      </c>
      <c r="N3323" s="167">
        <f t="shared" si="3"/>
        <v>16.18135802</v>
      </c>
      <c r="O3323" s="163">
        <f t="shared" ref="O3323:Q3323" si="3327">rank(I3323,I:I)</f>
        <v>2361</v>
      </c>
      <c r="P3323" s="163">
        <f t="shared" si="3327"/>
        <v>3103</v>
      </c>
      <c r="Q3323" s="163">
        <f t="shared" si="3327"/>
        <v>3357</v>
      </c>
      <c r="R3323" s="163">
        <f>IFERROR(__xludf.DUMMYFUNCTION("RANK(M3323,filter(M:M,C:C=C3323))"),333.0)</f>
        <v>333</v>
      </c>
      <c r="S3323" s="161" t="b">
        <f t="shared" si="5"/>
        <v>0</v>
      </c>
      <c r="T3323" s="161" t="b">
        <f t="array" ref="T3323">index('Query Tool'!B:B,match(H3323,'Query Tool'!C:C,0))</f>
        <v>1</v>
      </c>
      <c r="U3323" s="161" t="b">
        <f t="array" ref="U3323">index('Query Tool'!B:B,match(C3323,'Query Tool'!C:C,0))</f>
        <v>0</v>
      </c>
      <c r="V3323" s="161" t="b">
        <f>F3323&gt;='Query Tool'!C$32</f>
        <v>0</v>
      </c>
      <c r="W3323" s="161" t="b">
        <f t="array" ref="W3323">index(Dropdowns!B:B,match(I3323,Dropdowns!A:A,0))</f>
        <v>1</v>
      </c>
      <c r="X3323" s="161" t="b">
        <f t="array" ref="X3323">index('Query Tool'!B:B,match(D3323,'Query Tool'!C:C,0))</f>
        <v>1</v>
      </c>
      <c r="Y3323" s="161" t="str">
        <f t="shared" si="6"/>
        <v>pasecan01,2019-20</v>
      </c>
      <c r="Z3323" s="168" t="str">
        <f t="array" ref="Z3323">iferror(index(I:I,match($A3323&amp;","&amp;index('Year Conversion'!$A:$A,match($C3323,'Year Conversion'!$B:$B,0)),$Y:$Y,0))-I3323,"")</f>
        <v/>
      </c>
      <c r="AA3323" s="168" t="str">
        <f t="array" ref="AA3323">iferror(index(J:J,match($A3323&amp;","&amp;index('Year Conversion'!$A:$A,match($C3323,'Year Conversion'!$B:$B,0)),$Y:$Y,0))-J3323,"")</f>
        <v/>
      </c>
      <c r="AB3323" s="168" t="str">
        <f t="array" ref="AB3323">iferror(index(K:K,match($A3323&amp;","&amp;index('Year Conversion'!$A:$A,match($C3323,'Year Conversion'!$B:$B,0)),$Y:$Y,0))-K3323,"")</f>
        <v/>
      </c>
      <c r="AC3323" s="168" t="str">
        <f t="shared" si="7"/>
        <v>WAS,2019-20</v>
      </c>
    </row>
    <row r="3324">
      <c r="A3324" s="161" t="str">
        <f>IFERROR(__xludf.DUMMYFUNCTION("""COMPUTED_VALUE"""),"belljo01")</f>
        <v>belljo01</v>
      </c>
      <c r="B3324" s="161" t="str">
        <f>IFERROR(__xludf.DUMMYFUNCTION("""COMPUTED_VALUE"""),"Jordan Bell")</f>
        <v>Jordan Bell</v>
      </c>
      <c r="C3324" s="162" t="str">
        <f>IFERROR(__xludf.DUMMYFUNCTION("""COMPUTED_VALUE"""),"2019-20")</f>
        <v>2019-20</v>
      </c>
      <c r="D3324" s="163" t="str">
        <f>IFERROR(__xludf.DUMMYFUNCTION("""COMPUTED_VALUE"""),"TOT")</f>
        <v>TOT</v>
      </c>
      <c r="E3324" s="164" t="str">
        <f>IFERROR(__xludf.DUMMYFUNCTION("""COMPUTED_VALUE"""),"Roll + Cut Big")</f>
        <v>Roll + Cut Big</v>
      </c>
      <c r="F3324" s="164">
        <f>IFERROR(__xludf.DUMMYFUNCTION("""COMPUTED_VALUE"""),256.386666666666)</f>
        <v>256.3866667</v>
      </c>
      <c r="G3324" s="163">
        <f>IFERROR(__xludf.DUMMYFUNCTION("""COMPUTED_VALUE"""),29.0)</f>
        <v>29</v>
      </c>
      <c r="H3324" s="163" t="str">
        <f>IFERROR(__xludf.DUMMYFUNCTION("""COMPUTED_VALUE"""),"C")</f>
        <v>C</v>
      </c>
      <c r="I3324" s="163">
        <f>IFERROR(__xludf.DUMMYFUNCTION("""COMPUTED_VALUE"""),25.0)</f>
        <v>25</v>
      </c>
      <c r="J3324" s="165">
        <f>IFERROR(__xludf.DUMMYFUNCTION("""COMPUTED_VALUE"""),-0.37910926153532)</f>
        <v>-0.3791092615</v>
      </c>
      <c r="K3324" s="165">
        <f>IFERROR(__xludf.DUMMYFUNCTION("""COMPUTED_VALUE"""),-0.402843822014848)</f>
        <v>-0.402843822</v>
      </c>
      <c r="L3324" s="165">
        <f>IFERROR(__xludf.DUMMYFUNCTION("""COMPUTED_VALUE"""),0.0237345604795284)</f>
        <v>0.02373456048</v>
      </c>
      <c r="M3324" s="166">
        <f t="shared" si="2"/>
        <v>0.3297455792</v>
      </c>
      <c r="N3324" s="167">
        <f t="shared" si="3"/>
        <v>8.84091954</v>
      </c>
      <c r="O3324" s="163">
        <f t="shared" ref="O3324:Q3324" si="3328">rank(I3324,I:I)</f>
        <v>1995</v>
      </c>
      <c r="P3324" s="163">
        <f t="shared" si="3328"/>
        <v>1706</v>
      </c>
      <c r="Q3324" s="163">
        <f t="shared" si="3328"/>
        <v>1948</v>
      </c>
      <c r="R3324" s="163">
        <f>IFERROR(__xludf.DUMMYFUNCTION("RANK(M3324,filter(M:M,C:C=C3324))"),292.0)</f>
        <v>292</v>
      </c>
      <c r="S3324" s="161" t="b">
        <f t="shared" si="5"/>
        <v>0</v>
      </c>
      <c r="T3324" s="161" t="b">
        <f t="array" ref="T3324">index('Query Tool'!B:B,match(H3324,'Query Tool'!C:C,0))</f>
        <v>1</v>
      </c>
      <c r="U3324" s="161" t="b">
        <f t="array" ref="U3324">index('Query Tool'!B:B,match(C3324,'Query Tool'!C:C,0))</f>
        <v>0</v>
      </c>
      <c r="V3324" s="161" t="b">
        <f>F3324&gt;='Query Tool'!C$32</f>
        <v>0</v>
      </c>
      <c r="W3324" s="161" t="b">
        <f t="array" ref="W3324">index(Dropdowns!B:B,match(I3324,Dropdowns!A:A,0))</f>
        <v>1</v>
      </c>
      <c r="X3324" s="161" t="b">
        <f t="array" ref="X3324">index('Query Tool'!B:B,match(D3324,'Query Tool'!C:C,0))</f>
        <v>1</v>
      </c>
      <c r="Y3324" s="161" t="str">
        <f t="shared" si="6"/>
        <v>belljo01,2019-20</v>
      </c>
      <c r="Z3324" s="168" t="str">
        <f t="array" ref="Z3324">iferror(index(I:I,match($A3324&amp;","&amp;index('Year Conversion'!$A:$A,match($C3324,'Year Conversion'!$B:$B,0)),$Y:$Y,0))-I3324,"")</f>
        <v/>
      </c>
      <c r="AA3324" s="168" t="str">
        <f t="array" ref="AA3324">iferror(index(J:J,match($A3324&amp;","&amp;index('Year Conversion'!$A:$A,match($C3324,'Year Conversion'!$B:$B,0)),$Y:$Y,0))-J3324,"")</f>
        <v/>
      </c>
      <c r="AB3324" s="168" t="str">
        <f t="array" ref="AB3324">iferror(index(K:K,match($A3324&amp;","&amp;index('Year Conversion'!$A:$A,match($C3324,'Year Conversion'!$B:$B,0)),$Y:$Y,0))-K3324,"")</f>
        <v/>
      </c>
      <c r="AC3324" s="168" t="str">
        <f t="shared" si="7"/>
        <v>TOT,2019-20</v>
      </c>
    </row>
    <row r="3325">
      <c r="A3325" s="161" t="str">
        <f>IFERROR(__xludf.DUMMYFUNCTION("""COMPUTED_VALUE"""),"bradlto01")</f>
        <v>bradlto01</v>
      </c>
      <c r="B3325" s="161" t="str">
        <f>IFERROR(__xludf.DUMMYFUNCTION("""COMPUTED_VALUE"""),"Tony Bradley")</f>
        <v>Tony Bradley</v>
      </c>
      <c r="C3325" s="162" t="str">
        <f>IFERROR(__xludf.DUMMYFUNCTION("""COMPUTED_VALUE"""),"2019-20")</f>
        <v>2019-20</v>
      </c>
      <c r="D3325" s="163" t="str">
        <f>IFERROR(__xludf.DUMMYFUNCTION("""COMPUTED_VALUE"""),"UTA")</f>
        <v>UTA</v>
      </c>
      <c r="E3325" s="164" t="str">
        <f>IFERROR(__xludf.DUMMYFUNCTION("""COMPUTED_VALUE"""),"Roll + Cut Big")</f>
        <v>Roll + Cut Big</v>
      </c>
      <c r="F3325" s="164">
        <f>IFERROR(__xludf.DUMMYFUNCTION("""COMPUTED_VALUE"""),663.163333333333)</f>
        <v>663.1633333</v>
      </c>
      <c r="G3325" s="163">
        <f>IFERROR(__xludf.DUMMYFUNCTION("""COMPUTED_VALUE"""),58.0)</f>
        <v>58</v>
      </c>
      <c r="H3325" s="163" t="str">
        <f>IFERROR(__xludf.DUMMYFUNCTION("""COMPUTED_VALUE"""),"C")</f>
        <v>C</v>
      </c>
      <c r="I3325" s="163">
        <f>IFERROR(__xludf.DUMMYFUNCTION("""COMPUTED_VALUE"""),22.0)</f>
        <v>22</v>
      </c>
      <c r="J3325" s="165">
        <f>IFERROR(__xludf.DUMMYFUNCTION("""COMPUTED_VALUE"""),-0.361672511207656)</f>
        <v>-0.3616725112</v>
      </c>
      <c r="K3325" s="165">
        <f>IFERROR(__xludf.DUMMYFUNCTION("""COMPUTED_VALUE"""),0.183605323170193)</f>
        <v>0.1836053232</v>
      </c>
      <c r="L3325" s="165">
        <f>IFERROR(__xludf.DUMMYFUNCTION("""COMPUTED_VALUE"""),-0.54527783437785)</f>
        <v>-0.5452778344</v>
      </c>
      <c r="M3325" s="166">
        <f t="shared" si="2"/>
        <v>0.8607031392</v>
      </c>
      <c r="N3325" s="167">
        <f t="shared" si="3"/>
        <v>11.43385057</v>
      </c>
      <c r="O3325" s="163">
        <f t="shared" ref="O3325:Q3325" si="3329">rank(I3325,I:I)</f>
        <v>3178</v>
      </c>
      <c r="P3325" s="163">
        <f t="shared" si="3329"/>
        <v>1683</v>
      </c>
      <c r="Q3325" s="163">
        <f t="shared" si="3329"/>
        <v>995</v>
      </c>
      <c r="R3325" s="163">
        <f>IFERROR(__xludf.DUMMYFUNCTION("RANK(M3325,filter(M:M,C:C=C3325))"),220.0)</f>
        <v>220</v>
      </c>
      <c r="S3325" s="161" t="b">
        <f t="shared" si="5"/>
        <v>0</v>
      </c>
      <c r="T3325" s="161" t="b">
        <f t="array" ref="T3325">index('Query Tool'!B:B,match(H3325,'Query Tool'!C:C,0))</f>
        <v>1</v>
      </c>
      <c r="U3325" s="161" t="b">
        <f t="array" ref="U3325">index('Query Tool'!B:B,match(C3325,'Query Tool'!C:C,0))</f>
        <v>0</v>
      </c>
      <c r="V3325" s="161" t="b">
        <f>F3325&gt;='Query Tool'!C$32</f>
        <v>1</v>
      </c>
      <c r="W3325" s="161" t="b">
        <f t="array" ref="W3325">index(Dropdowns!B:B,match(I3325,Dropdowns!A:A,0))</f>
        <v>1</v>
      </c>
      <c r="X3325" s="161" t="b">
        <f t="array" ref="X3325">index('Query Tool'!B:B,match(D3325,'Query Tool'!C:C,0))</f>
        <v>1</v>
      </c>
      <c r="Y3325" s="161" t="str">
        <f t="shared" si="6"/>
        <v>bradlto01,2019-20</v>
      </c>
      <c r="Z3325" s="168" t="str">
        <f t="array" ref="Z3325">iferror(index(I:I,match($A3325&amp;","&amp;index('Year Conversion'!$A:$A,match($C3325,'Year Conversion'!$B:$B,0)),$Y:$Y,0))-I3325,"")</f>
        <v/>
      </c>
      <c r="AA3325" s="168" t="str">
        <f t="array" ref="AA3325">iferror(index(J:J,match($A3325&amp;","&amp;index('Year Conversion'!$A:$A,match($C3325,'Year Conversion'!$B:$B,0)),$Y:$Y,0))-J3325,"")</f>
        <v/>
      </c>
      <c r="AB3325" s="168" t="str">
        <f t="array" ref="AB3325">iferror(index(K:K,match($A3325&amp;","&amp;index('Year Conversion'!$A:$A,match($C3325,'Year Conversion'!$B:$B,0)),$Y:$Y,0))-K3325,"")</f>
        <v/>
      </c>
      <c r="AC3325" s="168" t="str">
        <f t="shared" si="7"/>
        <v>UTA,2019-20</v>
      </c>
    </row>
    <row r="3326">
      <c r="A3326" s="161" t="str">
        <f>IFERROR(__xludf.DUMMYFUNCTION("""COMPUTED_VALUE"""),"kuzmaky01")</f>
        <v>kuzmaky01</v>
      </c>
      <c r="B3326" s="161" t="str">
        <f>IFERROR(__xludf.DUMMYFUNCTION("""COMPUTED_VALUE"""),"Kyle Kuzma")</f>
        <v>Kyle Kuzma</v>
      </c>
      <c r="C3326" s="162" t="str">
        <f>IFERROR(__xludf.DUMMYFUNCTION("""COMPUTED_VALUE"""),"2019-20")</f>
        <v>2019-20</v>
      </c>
      <c r="D3326" s="163" t="str">
        <f>IFERROR(__xludf.DUMMYFUNCTION("""COMPUTED_VALUE"""),"LAL")</f>
        <v>LAL</v>
      </c>
      <c r="E3326" s="164" t="str">
        <f>IFERROR(__xludf.DUMMYFUNCTION("""COMPUTED_VALUE"""),"Movement Shooter")</f>
        <v>Movement Shooter</v>
      </c>
      <c r="F3326" s="164">
        <f>IFERROR(__xludf.DUMMYFUNCTION("""COMPUTED_VALUE"""),1526.185)</f>
        <v>1526.185</v>
      </c>
      <c r="G3326" s="163">
        <f>IFERROR(__xludf.DUMMYFUNCTION("""COMPUTED_VALUE"""),61.0)</f>
        <v>61</v>
      </c>
      <c r="H3326" s="163" t="str">
        <f>IFERROR(__xludf.DUMMYFUNCTION("""COMPUTED_VALUE"""),"PF")</f>
        <v>PF</v>
      </c>
      <c r="I3326" s="163">
        <f>IFERROR(__xludf.DUMMYFUNCTION("""COMPUTED_VALUE"""),24.0)</f>
        <v>24</v>
      </c>
      <c r="J3326" s="165">
        <f>IFERROR(__xludf.DUMMYFUNCTION("""COMPUTED_VALUE"""),0.23176686303323)</f>
        <v>0.231766863</v>
      </c>
      <c r="K3326" s="165">
        <f>IFERROR(__xludf.DUMMYFUNCTION("""COMPUTED_VALUE"""),0.0842961591373175)</f>
        <v>0.08429615914</v>
      </c>
      <c r="L3326" s="165">
        <f>IFERROR(__xludf.DUMMYFUNCTION("""COMPUTED_VALUE"""),0.147470703895913)</f>
        <v>0.1474707039</v>
      </c>
      <c r="M3326" s="166">
        <f t="shared" si="2"/>
        <v>2.591324569</v>
      </c>
      <c r="N3326" s="167">
        <f t="shared" si="3"/>
        <v>25.01942623</v>
      </c>
      <c r="O3326" s="163">
        <f t="shared" ref="O3326:Q3326" si="3330">rank(I3326,I:I)</f>
        <v>2361</v>
      </c>
      <c r="P3326" s="163">
        <f t="shared" si="3330"/>
        <v>1068</v>
      </c>
      <c r="Q3326" s="163">
        <f t="shared" si="3330"/>
        <v>1089</v>
      </c>
      <c r="R3326" s="163">
        <f>IFERROR(__xludf.DUMMYFUNCTION("RANK(M3326,filter(M:M,C:C=C3326))"),116.0)</f>
        <v>116</v>
      </c>
      <c r="S3326" s="161" t="b">
        <f t="shared" si="5"/>
        <v>0</v>
      </c>
      <c r="T3326" s="161" t="b">
        <f t="array" ref="T3326">index('Query Tool'!B:B,match(H3326,'Query Tool'!C:C,0))</f>
        <v>1</v>
      </c>
      <c r="U3326" s="161" t="b">
        <f t="array" ref="U3326">index('Query Tool'!B:B,match(C3326,'Query Tool'!C:C,0))</f>
        <v>0</v>
      </c>
      <c r="V3326" s="161" t="b">
        <f>F3326&gt;='Query Tool'!C$32</f>
        <v>1</v>
      </c>
      <c r="W3326" s="161" t="b">
        <f t="array" ref="W3326">index(Dropdowns!B:B,match(I3326,Dropdowns!A:A,0))</f>
        <v>1</v>
      </c>
      <c r="X3326" s="161" t="b">
        <f t="array" ref="X3326">index('Query Tool'!B:B,match(D3326,'Query Tool'!C:C,0))</f>
        <v>1</v>
      </c>
      <c r="Y3326" s="161" t="str">
        <f t="shared" si="6"/>
        <v>kuzmaky01,2019-20</v>
      </c>
      <c r="Z3326" s="168" t="str">
        <f t="array" ref="Z3326">iferror(index(I:I,match($A3326&amp;","&amp;index('Year Conversion'!$A:$A,match($C3326,'Year Conversion'!$B:$B,0)),$Y:$Y,0))-I3326,"")</f>
        <v/>
      </c>
      <c r="AA3326" s="168" t="str">
        <f t="array" ref="AA3326">iferror(index(J:J,match($A3326&amp;","&amp;index('Year Conversion'!$A:$A,match($C3326,'Year Conversion'!$B:$B,0)),$Y:$Y,0))-J3326,"")</f>
        <v/>
      </c>
      <c r="AB3326" s="168" t="str">
        <f t="array" ref="AB3326">iferror(index(K:K,match($A3326&amp;","&amp;index('Year Conversion'!$A:$A,match($C3326,'Year Conversion'!$B:$B,0)),$Y:$Y,0))-K3326,"")</f>
        <v/>
      </c>
      <c r="AC3326" s="168" t="str">
        <f t="shared" si="7"/>
        <v>LAL,2019-20</v>
      </c>
    </row>
    <row r="3327">
      <c r="A3327" s="161" t="str">
        <f>IFERROR(__xludf.DUMMYFUNCTION("""COMPUTED_VALUE"""),"ojelese01")</f>
        <v>ojelese01</v>
      </c>
      <c r="B3327" s="161" t="str">
        <f>IFERROR(__xludf.DUMMYFUNCTION("""COMPUTED_VALUE"""),"Semi Ojeleye")</f>
        <v>Semi Ojeleye</v>
      </c>
      <c r="C3327" s="162" t="str">
        <f>IFERROR(__xludf.DUMMYFUNCTION("""COMPUTED_VALUE"""),"2019-20")</f>
        <v>2019-20</v>
      </c>
      <c r="D3327" s="163" t="str">
        <f>IFERROR(__xludf.DUMMYFUNCTION("""COMPUTED_VALUE"""),"BOS")</f>
        <v>BOS</v>
      </c>
      <c r="E3327" s="164" t="str">
        <f>IFERROR(__xludf.DUMMYFUNCTION("""COMPUTED_VALUE"""),"Stationary Shooter")</f>
        <v>Stationary Shooter</v>
      </c>
      <c r="F3327" s="164">
        <f>IFERROR(__xludf.DUMMYFUNCTION("""COMPUTED_VALUE"""),1010.595)</f>
        <v>1010.595</v>
      </c>
      <c r="G3327" s="163">
        <f>IFERROR(__xludf.DUMMYFUNCTION("""COMPUTED_VALUE"""),69.0)</f>
        <v>69</v>
      </c>
      <c r="H3327" s="163" t="str">
        <f>IFERROR(__xludf.DUMMYFUNCTION("""COMPUTED_VALUE"""),"PF")</f>
        <v>PF</v>
      </c>
      <c r="I3327" s="163">
        <f>IFERROR(__xludf.DUMMYFUNCTION("""COMPUTED_VALUE"""),25.0)</f>
        <v>25</v>
      </c>
      <c r="J3327" s="165">
        <f>IFERROR(__xludf.DUMMYFUNCTION("""COMPUTED_VALUE"""),-3.54781133825631)</f>
        <v>-3.547811338</v>
      </c>
      <c r="K3327" s="165">
        <f>IFERROR(__xludf.DUMMYFUNCTION("""COMPUTED_VALUE"""),-2.97088569456999)</f>
        <v>-2.970885695</v>
      </c>
      <c r="L3327" s="165">
        <f>IFERROR(__xludf.DUMMYFUNCTION("""COMPUTED_VALUE"""),-0.576925643686321)</f>
        <v>-0.5769256437</v>
      </c>
      <c r="M3327" s="166">
        <f t="shared" si="2"/>
        <v>-0.8178393307</v>
      </c>
      <c r="N3327" s="167">
        <f t="shared" si="3"/>
        <v>14.64630435</v>
      </c>
      <c r="O3327" s="163">
        <f t="shared" ref="O3327:Q3327" si="3331">rank(I3327,I:I)</f>
        <v>1995</v>
      </c>
      <c r="P3327" s="163">
        <f t="shared" si="3331"/>
        <v>3971</v>
      </c>
      <c r="Q3327" s="163">
        <f t="shared" si="3331"/>
        <v>3979</v>
      </c>
      <c r="R3327" s="163">
        <f>IFERROR(__xludf.DUMMYFUNCTION("RANK(M3327,filter(M:M,C:C=C3327))"),523.0)</f>
        <v>523</v>
      </c>
      <c r="S3327" s="161" t="b">
        <f t="shared" si="5"/>
        <v>0</v>
      </c>
      <c r="T3327" s="161" t="b">
        <f t="array" ref="T3327">index('Query Tool'!B:B,match(H3327,'Query Tool'!C:C,0))</f>
        <v>1</v>
      </c>
      <c r="U3327" s="161" t="b">
        <f t="array" ref="U3327">index('Query Tool'!B:B,match(C3327,'Query Tool'!C:C,0))</f>
        <v>0</v>
      </c>
      <c r="V3327" s="161" t="b">
        <f>F3327&gt;='Query Tool'!C$32</f>
        <v>1</v>
      </c>
      <c r="W3327" s="161" t="b">
        <f t="array" ref="W3327">index(Dropdowns!B:B,match(I3327,Dropdowns!A:A,0))</f>
        <v>1</v>
      </c>
      <c r="X3327" s="161" t="b">
        <f t="array" ref="X3327">index('Query Tool'!B:B,match(D3327,'Query Tool'!C:C,0))</f>
        <v>1</v>
      </c>
      <c r="Y3327" s="161" t="str">
        <f t="shared" si="6"/>
        <v>ojelese01,2019-20</v>
      </c>
      <c r="Z3327" s="168" t="str">
        <f t="array" ref="Z3327">iferror(index(I:I,match($A3327&amp;","&amp;index('Year Conversion'!$A:$A,match($C3327,'Year Conversion'!$B:$B,0)),$Y:$Y,0))-I3327,"")</f>
        <v/>
      </c>
      <c r="AA3327" s="168" t="str">
        <f t="array" ref="AA3327">iferror(index(J:J,match($A3327&amp;","&amp;index('Year Conversion'!$A:$A,match($C3327,'Year Conversion'!$B:$B,0)),$Y:$Y,0))-J3327,"")</f>
        <v/>
      </c>
      <c r="AB3327" s="168" t="str">
        <f t="array" ref="AB3327">iferror(index(K:K,match($A3327&amp;","&amp;index('Year Conversion'!$A:$A,match($C3327,'Year Conversion'!$B:$B,0)),$Y:$Y,0))-K3327,"")</f>
        <v/>
      </c>
      <c r="AC3327" s="168" t="str">
        <f t="shared" si="7"/>
        <v>BOS,2019-20</v>
      </c>
    </row>
    <row r="3328">
      <c r="A3328" s="161" t="str">
        <f>IFERROR(__xludf.DUMMYFUNCTION("""COMPUTED_VALUE"""),"whitede01")</f>
        <v>whitede01</v>
      </c>
      <c r="B3328" s="161" t="str">
        <f>IFERROR(__xludf.DUMMYFUNCTION("""COMPUTED_VALUE"""),"Derrick White")</f>
        <v>Derrick White</v>
      </c>
      <c r="C3328" s="162" t="str">
        <f>IFERROR(__xludf.DUMMYFUNCTION("""COMPUTED_VALUE"""),"2019-20")</f>
        <v>2019-20</v>
      </c>
      <c r="D3328" s="163" t="str">
        <f>IFERROR(__xludf.DUMMYFUNCTION("""COMPUTED_VALUE"""),"SAS")</f>
        <v>SAS</v>
      </c>
      <c r="E3328" s="164" t="str">
        <f>IFERROR(__xludf.DUMMYFUNCTION("""COMPUTED_VALUE"""),"Primary Ball Handler")</f>
        <v>Primary Ball Handler</v>
      </c>
      <c r="F3328" s="164">
        <f>IFERROR(__xludf.DUMMYFUNCTION("""COMPUTED_VALUE"""),1676.735)</f>
        <v>1676.735</v>
      </c>
      <c r="G3328" s="163">
        <f>IFERROR(__xludf.DUMMYFUNCTION("""COMPUTED_VALUE"""),68.0)</f>
        <v>68</v>
      </c>
      <c r="H3328" s="163" t="str">
        <f>IFERROR(__xludf.DUMMYFUNCTION("""COMPUTED_VALUE"""),"SG")</f>
        <v>SG</v>
      </c>
      <c r="I3328" s="163">
        <f>IFERROR(__xludf.DUMMYFUNCTION("""COMPUTED_VALUE"""),25.0)</f>
        <v>25</v>
      </c>
      <c r="J3328" s="165">
        <f>IFERROR(__xludf.DUMMYFUNCTION("""COMPUTED_VALUE"""),2.0549667063761)</f>
        <v>2.054966706</v>
      </c>
      <c r="K3328" s="165">
        <f>IFERROR(__xludf.DUMMYFUNCTION("""COMPUTED_VALUE"""),1.44893893565979)</f>
        <v>1.448938936</v>
      </c>
      <c r="L3328" s="165">
        <f>IFERROR(__xludf.DUMMYFUNCTION("""COMPUTED_VALUE"""),0.606027770716314)</f>
        <v>0.6060277707</v>
      </c>
      <c r="M3328" s="166">
        <f t="shared" si="2"/>
        <v>4.894445643</v>
      </c>
      <c r="N3328" s="167">
        <f t="shared" si="3"/>
        <v>24.65786765</v>
      </c>
      <c r="O3328" s="163">
        <f t="shared" ref="O3328:Q3328" si="3332">rank(I3328,I:I)</f>
        <v>1995</v>
      </c>
      <c r="P3328" s="163">
        <f t="shared" si="3332"/>
        <v>303</v>
      </c>
      <c r="Q3328" s="163">
        <f t="shared" si="3332"/>
        <v>338</v>
      </c>
      <c r="R3328" s="163">
        <f>IFERROR(__xludf.DUMMYFUNCTION("RANK(M3328,filter(M:M,C:C=C3328))"),43.0)</f>
        <v>43</v>
      </c>
      <c r="S3328" s="161" t="b">
        <f t="shared" si="5"/>
        <v>0</v>
      </c>
      <c r="T3328" s="161" t="b">
        <f t="array" ref="T3328">index('Query Tool'!B:B,match(H3328,'Query Tool'!C:C,0))</f>
        <v>1</v>
      </c>
      <c r="U3328" s="161" t="b">
        <f t="array" ref="U3328">index('Query Tool'!B:B,match(C3328,'Query Tool'!C:C,0))</f>
        <v>0</v>
      </c>
      <c r="V3328" s="161" t="b">
        <f>F3328&gt;='Query Tool'!C$32</f>
        <v>1</v>
      </c>
      <c r="W3328" s="161" t="b">
        <f t="array" ref="W3328">index(Dropdowns!B:B,match(I3328,Dropdowns!A:A,0))</f>
        <v>1</v>
      </c>
      <c r="X3328" s="161" t="b">
        <f t="array" ref="X3328">index('Query Tool'!B:B,match(D3328,'Query Tool'!C:C,0))</f>
        <v>1</v>
      </c>
      <c r="Y3328" s="161" t="str">
        <f t="shared" si="6"/>
        <v>whitede01,2019-20</v>
      </c>
      <c r="Z3328" s="168" t="str">
        <f t="array" ref="Z3328">iferror(index(I:I,match($A3328&amp;","&amp;index('Year Conversion'!$A:$A,match($C3328,'Year Conversion'!$B:$B,0)),$Y:$Y,0))-I3328,"")</f>
        <v/>
      </c>
      <c r="AA3328" s="168" t="str">
        <f t="array" ref="AA3328">iferror(index(J:J,match($A3328&amp;","&amp;index('Year Conversion'!$A:$A,match($C3328,'Year Conversion'!$B:$B,0)),$Y:$Y,0))-J3328,"")</f>
        <v/>
      </c>
      <c r="AB3328" s="168" t="str">
        <f t="array" ref="AB3328">iferror(index(K:K,match($A3328&amp;","&amp;index('Year Conversion'!$A:$A,match($C3328,'Year Conversion'!$B:$B,0)),$Y:$Y,0))-K3328,"")</f>
        <v/>
      </c>
      <c r="AC3328" s="168" t="str">
        <f t="shared" si="7"/>
        <v>SAS,2019-20</v>
      </c>
    </row>
    <row r="3329">
      <c r="A3329" s="161" t="str">
        <f>IFERROR(__xludf.DUMMYFUNCTION("""COMPUTED_VALUE"""),"jacksfr01")</f>
        <v>jacksfr01</v>
      </c>
      <c r="B3329" s="161" t="str">
        <f>IFERROR(__xludf.DUMMYFUNCTION("""COMPUTED_VALUE"""),"Frank Jackson")</f>
        <v>Frank Jackson</v>
      </c>
      <c r="C3329" s="162" t="str">
        <f>IFERROR(__xludf.DUMMYFUNCTION("""COMPUTED_VALUE"""),"2019-20")</f>
        <v>2019-20</v>
      </c>
      <c r="D3329" s="163" t="str">
        <f>IFERROR(__xludf.DUMMYFUNCTION("""COMPUTED_VALUE"""),"NOP")</f>
        <v>NOP</v>
      </c>
      <c r="E3329" s="164" t="str">
        <f>IFERROR(__xludf.DUMMYFUNCTION("""COMPUTED_VALUE"""),"Secondary Ball Handler")</f>
        <v>Secondary Ball Handler</v>
      </c>
      <c r="F3329" s="164">
        <f>IFERROR(__xludf.DUMMYFUNCTION("""COMPUTED_VALUE"""),797.155)</f>
        <v>797.155</v>
      </c>
      <c r="G3329" s="163">
        <f>IFERROR(__xludf.DUMMYFUNCTION("""COMPUTED_VALUE"""),59.0)</f>
        <v>59</v>
      </c>
      <c r="H3329" s="163" t="str">
        <f>IFERROR(__xludf.DUMMYFUNCTION("""COMPUTED_VALUE"""),"PG")</f>
        <v>PG</v>
      </c>
      <c r="I3329" s="163">
        <f>IFERROR(__xludf.DUMMYFUNCTION("""COMPUTED_VALUE"""),21.0)</f>
        <v>21</v>
      </c>
      <c r="J3329" s="165">
        <f>IFERROR(__xludf.DUMMYFUNCTION("""COMPUTED_VALUE"""),-2.62619087177157)</f>
        <v>-2.626190872</v>
      </c>
      <c r="K3329" s="165">
        <f>IFERROR(__xludf.DUMMYFUNCTION("""COMPUTED_VALUE"""),-0.51428016996403)</f>
        <v>-0.51428017</v>
      </c>
      <c r="L3329" s="165">
        <f>IFERROR(__xludf.DUMMYFUNCTION("""COMPUTED_VALUE"""),-2.11191070180754)</f>
        <v>-2.111910702</v>
      </c>
      <c r="M3329" s="166">
        <f t="shared" si="2"/>
        <v>-0.1690870524</v>
      </c>
      <c r="N3329" s="167">
        <f t="shared" si="3"/>
        <v>13.51110169</v>
      </c>
      <c r="O3329" s="163">
        <f t="shared" ref="O3329:Q3329" si="3333">rank(I3329,I:I)</f>
        <v>3528</v>
      </c>
      <c r="P3329" s="163">
        <f t="shared" si="3333"/>
        <v>3795</v>
      </c>
      <c r="Q3329" s="163">
        <f t="shared" si="3333"/>
        <v>2130</v>
      </c>
      <c r="R3329" s="163">
        <f>IFERROR(__xludf.DUMMYFUNCTION("RANK(M3329,filter(M:M,C:C=C3329))"),499.0)</f>
        <v>499</v>
      </c>
      <c r="S3329" s="161" t="b">
        <f t="shared" si="5"/>
        <v>0</v>
      </c>
      <c r="T3329" s="161" t="b">
        <f t="array" ref="T3329">index('Query Tool'!B:B,match(H3329,'Query Tool'!C:C,0))</f>
        <v>1</v>
      </c>
      <c r="U3329" s="161" t="b">
        <f t="array" ref="U3329">index('Query Tool'!B:B,match(C3329,'Query Tool'!C:C,0))</f>
        <v>0</v>
      </c>
      <c r="V3329" s="161" t="b">
        <f>F3329&gt;='Query Tool'!C$32</f>
        <v>1</v>
      </c>
      <c r="W3329" s="161" t="b">
        <f t="array" ref="W3329">index(Dropdowns!B:B,match(I3329,Dropdowns!A:A,0))</f>
        <v>1</v>
      </c>
      <c r="X3329" s="161" t="b">
        <f t="array" ref="X3329">index('Query Tool'!B:B,match(D3329,'Query Tool'!C:C,0))</f>
        <v>1</v>
      </c>
      <c r="Y3329" s="161" t="str">
        <f t="shared" si="6"/>
        <v>jacksfr01,2019-20</v>
      </c>
      <c r="Z3329" s="168" t="str">
        <f t="array" ref="Z3329">iferror(index(I:I,match($A3329&amp;","&amp;index('Year Conversion'!$A:$A,match($C3329,'Year Conversion'!$B:$B,0)),$Y:$Y,0))-I3329,"")</f>
        <v/>
      </c>
      <c r="AA3329" s="168" t="str">
        <f t="array" ref="AA3329">iferror(index(J:J,match($A3329&amp;","&amp;index('Year Conversion'!$A:$A,match($C3329,'Year Conversion'!$B:$B,0)),$Y:$Y,0))-J3329,"")</f>
        <v/>
      </c>
      <c r="AB3329" s="168" t="str">
        <f t="array" ref="AB3329">iferror(index(K:K,match($A3329&amp;","&amp;index('Year Conversion'!$A:$A,match($C3329,'Year Conversion'!$B:$B,0)),$Y:$Y,0))-K3329,"")</f>
        <v/>
      </c>
      <c r="AC3329" s="168" t="str">
        <f t="shared" si="7"/>
        <v>NOP,2019-20</v>
      </c>
    </row>
    <row r="3330">
      <c r="A3330" s="161" t="str">
        <f>IFERROR(__xludf.DUMMYFUNCTION("""COMPUTED_VALUE"""),"swanica01")</f>
        <v>swanica01</v>
      </c>
      <c r="B3330" s="161" t="str">
        <f>IFERROR(__xludf.DUMMYFUNCTION("""COMPUTED_VALUE"""),"Caleb Swanigan")</f>
        <v>Caleb Swanigan</v>
      </c>
      <c r="C3330" s="162" t="str">
        <f>IFERROR(__xludf.DUMMYFUNCTION("""COMPUTED_VALUE"""),"2019-20")</f>
        <v>2019-20</v>
      </c>
      <c r="D3330" s="163" t="str">
        <f>IFERROR(__xludf.DUMMYFUNCTION("""COMPUTED_VALUE"""),"TOT")</f>
        <v>TOT</v>
      </c>
      <c r="E3330" s="164" t="str">
        <f>IFERROR(__xludf.DUMMYFUNCTION("""COMPUTED_VALUE"""),"Roll + Cut Big")</f>
        <v>Roll + Cut Big</v>
      </c>
      <c r="F3330" s="164">
        <f>IFERROR(__xludf.DUMMYFUNCTION("""COMPUTED_VALUE"""),288.056666666667)</f>
        <v>288.0566667</v>
      </c>
      <c r="G3330" s="163">
        <f>IFERROR(__xludf.DUMMYFUNCTION("""COMPUTED_VALUE"""),27.0)</f>
        <v>27</v>
      </c>
      <c r="H3330" s="163" t="str">
        <f>IFERROR(__xludf.DUMMYFUNCTION("""COMPUTED_VALUE"""),"PF-C")</f>
        <v>PF-C</v>
      </c>
      <c r="I3330" s="163">
        <f>IFERROR(__xludf.DUMMYFUNCTION("""COMPUTED_VALUE"""),22.0)</f>
        <v>22</v>
      </c>
      <c r="J3330" s="165">
        <f>IFERROR(__xludf.DUMMYFUNCTION("""COMPUTED_VALUE"""),-1.87528076419821)</f>
        <v>-1.875280764</v>
      </c>
      <c r="K3330" s="165">
        <f>IFERROR(__xludf.DUMMYFUNCTION("""COMPUTED_VALUE"""),-1.93545533073451)</f>
        <v>-1.935455331</v>
      </c>
      <c r="L3330" s="165">
        <f>IFERROR(__xludf.DUMMYFUNCTION("""COMPUTED_VALUE"""),0.0601745665362942)</f>
        <v>0.06017456654</v>
      </c>
      <c r="M3330" s="166">
        <f t="shared" si="2"/>
        <v>0.08166752775</v>
      </c>
      <c r="N3330" s="167">
        <f t="shared" si="3"/>
        <v>10.66876543</v>
      </c>
      <c r="O3330" s="163">
        <f t="shared" ref="O3330:Q3330" si="3334">rank(I3330,I:I)</f>
        <v>3178</v>
      </c>
      <c r="P3330" s="163">
        <f t="shared" si="3334"/>
        <v>3398</v>
      </c>
      <c r="Q3330" s="163">
        <f t="shared" si="3334"/>
        <v>3675</v>
      </c>
      <c r="R3330" s="163">
        <f>IFERROR(__xludf.DUMMYFUNCTION("RANK(M3330,filter(M:M,C:C=C3330))"),401.0)</f>
        <v>401</v>
      </c>
      <c r="S3330" s="161" t="b">
        <f t="shared" si="5"/>
        <v>0</v>
      </c>
      <c r="T3330" s="161" t="str">
        <f t="array" ref="T3330">index('Query Tool'!B:B,match(H3330,'Query Tool'!C:C,0))</f>
        <v>#N/A</v>
      </c>
      <c r="U3330" s="161" t="b">
        <f t="array" ref="U3330">index('Query Tool'!B:B,match(C3330,'Query Tool'!C:C,0))</f>
        <v>0</v>
      </c>
      <c r="V3330" s="161" t="b">
        <f>F3330&gt;='Query Tool'!C$32</f>
        <v>0</v>
      </c>
      <c r="W3330" s="161" t="b">
        <f t="array" ref="W3330">index(Dropdowns!B:B,match(I3330,Dropdowns!A:A,0))</f>
        <v>1</v>
      </c>
      <c r="X3330" s="161" t="b">
        <f t="array" ref="X3330">index('Query Tool'!B:B,match(D3330,'Query Tool'!C:C,0))</f>
        <v>1</v>
      </c>
      <c r="Y3330" s="161" t="str">
        <f t="shared" si="6"/>
        <v>swanica01,2019-20</v>
      </c>
      <c r="Z3330" s="168" t="str">
        <f t="array" ref="Z3330">iferror(index(I:I,match($A3330&amp;","&amp;index('Year Conversion'!$A:$A,match($C3330,'Year Conversion'!$B:$B,0)),$Y:$Y,0))-I3330,"")</f>
        <v/>
      </c>
      <c r="AA3330" s="168" t="str">
        <f t="array" ref="AA3330">iferror(index(J:J,match($A3330&amp;","&amp;index('Year Conversion'!$A:$A,match($C3330,'Year Conversion'!$B:$B,0)),$Y:$Y,0))-J3330,"")</f>
        <v/>
      </c>
      <c r="AB3330" s="168" t="str">
        <f t="array" ref="AB3330">iferror(index(K:K,match($A3330&amp;","&amp;index('Year Conversion'!$A:$A,match($C3330,'Year Conversion'!$B:$B,0)),$Y:$Y,0))-K3330,"")</f>
        <v/>
      </c>
      <c r="AC3330" s="168" t="str">
        <f t="shared" si="7"/>
        <v>TOT,2019-20</v>
      </c>
    </row>
    <row r="3331">
      <c r="A3331" s="161" t="str">
        <f>IFERROR(__xludf.DUMMYFUNCTION("""COMPUTED_VALUE"""),"hartjo01")</f>
        <v>hartjo01</v>
      </c>
      <c r="B3331" s="161" t="str">
        <f>IFERROR(__xludf.DUMMYFUNCTION("""COMPUTED_VALUE"""),"Josh Hart")</f>
        <v>Josh Hart</v>
      </c>
      <c r="C3331" s="162" t="str">
        <f>IFERROR(__xludf.DUMMYFUNCTION("""COMPUTED_VALUE"""),"2019-20")</f>
        <v>2019-20</v>
      </c>
      <c r="D3331" s="163" t="str">
        <f>IFERROR(__xludf.DUMMYFUNCTION("""COMPUTED_VALUE"""),"NOP")</f>
        <v>NOP</v>
      </c>
      <c r="E3331" s="164" t="str">
        <f>IFERROR(__xludf.DUMMYFUNCTION("""COMPUTED_VALUE"""),"Movement Shooter")</f>
        <v>Movement Shooter</v>
      </c>
      <c r="F3331" s="164">
        <f>IFERROR(__xludf.DUMMYFUNCTION("""COMPUTED_VALUE"""),1755.215)</f>
        <v>1755.215</v>
      </c>
      <c r="G3331" s="163">
        <f>IFERROR(__xludf.DUMMYFUNCTION("""COMPUTED_VALUE"""),65.0)</f>
        <v>65</v>
      </c>
      <c r="H3331" s="163" t="str">
        <f>IFERROR(__xludf.DUMMYFUNCTION("""COMPUTED_VALUE"""),"SF")</f>
        <v>SF</v>
      </c>
      <c r="I3331" s="163">
        <f>IFERROR(__xludf.DUMMYFUNCTION("""COMPUTED_VALUE"""),24.0)</f>
        <v>24</v>
      </c>
      <c r="J3331" s="165">
        <f>IFERROR(__xludf.DUMMYFUNCTION("""COMPUTED_VALUE"""),-0.622573594272473)</f>
        <v>-0.6225735943</v>
      </c>
      <c r="K3331" s="165">
        <f>IFERROR(__xludf.DUMMYFUNCTION("""COMPUTED_VALUE"""),-0.659046012853174)</f>
        <v>-0.6590460129</v>
      </c>
      <c r="L3331" s="165">
        <f>IFERROR(__xludf.DUMMYFUNCTION("""COMPUTED_VALUE"""),0.0364724185807003)</f>
        <v>0.03647241858</v>
      </c>
      <c r="M3331" s="166">
        <f t="shared" si="2"/>
        <v>1.96963162</v>
      </c>
      <c r="N3331" s="167">
        <f t="shared" si="3"/>
        <v>27.00330769</v>
      </c>
      <c r="O3331" s="163">
        <f t="shared" ref="O3331:Q3331" si="3335">rank(I3331,I:I)</f>
        <v>2361</v>
      </c>
      <c r="P3331" s="163">
        <f t="shared" si="3335"/>
        <v>2026</v>
      </c>
      <c r="Q3331" s="163">
        <f t="shared" si="3335"/>
        <v>2344</v>
      </c>
      <c r="R3331" s="163">
        <f>IFERROR(__xludf.DUMMYFUNCTION("RANK(M3331,filter(M:M,C:C=C3331))"),156.0)</f>
        <v>156</v>
      </c>
      <c r="S3331" s="161" t="b">
        <f t="shared" si="5"/>
        <v>0</v>
      </c>
      <c r="T3331" s="161" t="b">
        <f t="array" ref="T3331">index('Query Tool'!B:B,match(H3331,'Query Tool'!C:C,0))</f>
        <v>1</v>
      </c>
      <c r="U3331" s="161" t="b">
        <f t="array" ref="U3331">index('Query Tool'!B:B,match(C3331,'Query Tool'!C:C,0))</f>
        <v>0</v>
      </c>
      <c r="V3331" s="161" t="b">
        <f>F3331&gt;='Query Tool'!C$32</f>
        <v>1</v>
      </c>
      <c r="W3331" s="161" t="b">
        <f t="array" ref="W3331">index(Dropdowns!B:B,match(I3331,Dropdowns!A:A,0))</f>
        <v>1</v>
      </c>
      <c r="X3331" s="161" t="b">
        <f t="array" ref="X3331">index('Query Tool'!B:B,match(D3331,'Query Tool'!C:C,0))</f>
        <v>1</v>
      </c>
      <c r="Y3331" s="161" t="str">
        <f t="shared" si="6"/>
        <v>hartjo01,2019-20</v>
      </c>
      <c r="Z3331" s="168" t="str">
        <f t="array" ref="Z3331">iferror(index(I:I,match($A3331&amp;","&amp;index('Year Conversion'!$A:$A,match($C3331,'Year Conversion'!$B:$B,0)),$Y:$Y,0))-I3331,"")</f>
        <v/>
      </c>
      <c r="AA3331" s="168" t="str">
        <f t="array" ref="AA3331">iferror(index(J:J,match($A3331&amp;","&amp;index('Year Conversion'!$A:$A,match($C3331,'Year Conversion'!$B:$B,0)),$Y:$Y,0))-J3331,"")</f>
        <v/>
      </c>
      <c r="AB3331" s="168" t="str">
        <f t="array" ref="AB3331">iferror(index(K:K,match($A3331&amp;","&amp;index('Year Conversion'!$A:$A,match($C3331,'Year Conversion'!$B:$B,0)),$Y:$Y,0))-K3331,"")</f>
        <v/>
      </c>
      <c r="AC3331" s="168" t="str">
        <f t="shared" si="7"/>
        <v>NOP,2019-20</v>
      </c>
    </row>
    <row r="3332">
      <c r="A3332" s="161" t="str">
        <f>IFERROR(__xludf.DUMMYFUNCTION("""COMPUTED_VALUE"""),"motlejo01")</f>
        <v>motlejo01</v>
      </c>
      <c r="B3332" s="161" t="str">
        <f>IFERROR(__xludf.DUMMYFUNCTION("""COMPUTED_VALUE"""),"Johnathan Motley")</f>
        <v>Johnathan Motley</v>
      </c>
      <c r="C3332" s="162" t="str">
        <f>IFERROR(__xludf.DUMMYFUNCTION("""COMPUTED_VALUE"""),"2019-20")</f>
        <v>2019-20</v>
      </c>
      <c r="D3332" s="163" t="str">
        <f>IFERROR(__xludf.DUMMYFUNCTION("""COMPUTED_VALUE"""),"LAC")</f>
        <v>LAC</v>
      </c>
      <c r="E3332" s="164" t="str">
        <f>IFERROR(__xludf.DUMMYFUNCTION("""COMPUTED_VALUE"""),"Post Scorer")</f>
        <v>Post Scorer</v>
      </c>
      <c r="F3332" s="164">
        <f>IFERROR(__xludf.DUMMYFUNCTION("""COMPUTED_VALUE"""),41.1466666666667)</f>
        <v>41.14666667</v>
      </c>
      <c r="G3332" s="163">
        <f>IFERROR(__xludf.DUMMYFUNCTION("""COMPUTED_VALUE"""),13.0)</f>
        <v>13</v>
      </c>
      <c r="H3332" s="163" t="str">
        <f>IFERROR(__xludf.DUMMYFUNCTION("""COMPUTED_VALUE"""),"PF")</f>
        <v>PF</v>
      </c>
      <c r="I3332" s="163">
        <f>IFERROR(__xludf.DUMMYFUNCTION("""COMPUTED_VALUE"""),24.0)</f>
        <v>24</v>
      </c>
      <c r="J3332" s="165">
        <f>IFERROR(__xludf.DUMMYFUNCTION("""COMPUTED_VALUE"""),-0.385637803147972)</f>
        <v>-0.3856378031</v>
      </c>
      <c r="K3332" s="165">
        <f>IFERROR(__xludf.DUMMYFUNCTION("""COMPUTED_VALUE"""),0.0479917012318918)</f>
        <v>0.04799170123</v>
      </c>
      <c r="L3332" s="165">
        <f>IFERROR(__xludf.DUMMYFUNCTION("""COMPUTED_VALUE"""),-0.433629504379863)</f>
        <v>-0.4336295044</v>
      </c>
      <c r="M3332" s="166">
        <f t="shared" si="2"/>
        <v>0.05273880544</v>
      </c>
      <c r="N3332" s="167">
        <f t="shared" si="3"/>
        <v>3.165128205</v>
      </c>
      <c r="O3332" s="163">
        <f t="shared" ref="O3332:Q3332" si="3336">rank(I3332,I:I)</f>
        <v>2361</v>
      </c>
      <c r="P3332" s="163">
        <f t="shared" si="3336"/>
        <v>1712</v>
      </c>
      <c r="Q3332" s="163">
        <f t="shared" si="3336"/>
        <v>1134</v>
      </c>
      <c r="R3332" s="163">
        <f>IFERROR(__xludf.DUMMYFUNCTION("RANK(M3332,filter(M:M,C:C=C3332))"),428.0)</f>
        <v>428</v>
      </c>
      <c r="S3332" s="161" t="b">
        <f t="shared" si="5"/>
        <v>0</v>
      </c>
      <c r="T3332" s="161" t="b">
        <f t="array" ref="T3332">index('Query Tool'!B:B,match(H3332,'Query Tool'!C:C,0))</f>
        <v>1</v>
      </c>
      <c r="U3332" s="161" t="b">
        <f t="array" ref="U3332">index('Query Tool'!B:B,match(C3332,'Query Tool'!C:C,0))</f>
        <v>0</v>
      </c>
      <c r="V3332" s="161" t="b">
        <f>F3332&gt;='Query Tool'!C$32</f>
        <v>0</v>
      </c>
      <c r="W3332" s="161" t="b">
        <f t="array" ref="W3332">index(Dropdowns!B:B,match(I3332,Dropdowns!A:A,0))</f>
        <v>1</v>
      </c>
      <c r="X3332" s="161" t="b">
        <f t="array" ref="X3332">index('Query Tool'!B:B,match(D3332,'Query Tool'!C:C,0))</f>
        <v>1</v>
      </c>
      <c r="Y3332" s="161" t="str">
        <f t="shared" si="6"/>
        <v>motlejo01,2019-20</v>
      </c>
      <c r="Z3332" s="168" t="str">
        <f t="array" ref="Z3332">iferror(index(I:I,match($A3332&amp;","&amp;index('Year Conversion'!$A:$A,match($C3332,'Year Conversion'!$B:$B,0)),$Y:$Y,0))-I3332,"")</f>
        <v/>
      </c>
      <c r="AA3332" s="168" t="str">
        <f t="array" ref="AA3332">iferror(index(J:J,match($A3332&amp;","&amp;index('Year Conversion'!$A:$A,match($C3332,'Year Conversion'!$B:$B,0)),$Y:$Y,0))-J3332,"")</f>
        <v/>
      </c>
      <c r="AB3332" s="168" t="str">
        <f t="array" ref="AB3332">iferror(index(K:K,match($A3332&amp;","&amp;index('Year Conversion'!$A:$A,match($C3332,'Year Conversion'!$B:$B,0)),$Y:$Y,0))-K3332,"")</f>
        <v/>
      </c>
      <c r="AC3332" s="168" t="str">
        <f t="shared" si="7"/>
        <v>LAC,2019-20</v>
      </c>
    </row>
    <row r="3333">
      <c r="A3333" s="161" t="str">
        <f>IFERROR(__xludf.DUMMYFUNCTION("""COMPUTED_VALUE"""),"bacondw01")</f>
        <v>bacondw01</v>
      </c>
      <c r="B3333" s="161" t="str">
        <f>IFERROR(__xludf.DUMMYFUNCTION("""COMPUTED_VALUE"""),"Dwayne Bacon")</f>
        <v>Dwayne Bacon</v>
      </c>
      <c r="C3333" s="162" t="str">
        <f>IFERROR(__xludf.DUMMYFUNCTION("""COMPUTED_VALUE"""),"2019-20")</f>
        <v>2019-20</v>
      </c>
      <c r="D3333" s="163" t="str">
        <f>IFERROR(__xludf.DUMMYFUNCTION("""COMPUTED_VALUE"""),"CHO")</f>
        <v>CHO</v>
      </c>
      <c r="E3333" s="164" t="str">
        <f>IFERROR(__xludf.DUMMYFUNCTION("""COMPUTED_VALUE"""),"Stationary Shooter")</f>
        <v>Stationary Shooter</v>
      </c>
      <c r="F3333" s="164">
        <f>IFERROR(__xludf.DUMMYFUNCTION("""COMPUTED_VALUE"""),687.303333333333)</f>
        <v>687.3033333</v>
      </c>
      <c r="G3333" s="163">
        <f>IFERROR(__xludf.DUMMYFUNCTION("""COMPUTED_VALUE"""),39.0)</f>
        <v>39</v>
      </c>
      <c r="H3333" s="163" t="str">
        <f>IFERROR(__xludf.DUMMYFUNCTION("""COMPUTED_VALUE"""),"SG")</f>
        <v>SG</v>
      </c>
      <c r="I3333" s="163">
        <f>IFERROR(__xludf.DUMMYFUNCTION("""COMPUTED_VALUE"""),24.0)</f>
        <v>24</v>
      </c>
      <c r="J3333" s="165">
        <f>IFERROR(__xludf.DUMMYFUNCTION("""COMPUTED_VALUE"""),-3.13834758817331)</f>
        <v>-3.138347588</v>
      </c>
      <c r="K3333" s="165">
        <f>IFERROR(__xludf.DUMMYFUNCTION("""COMPUTED_VALUE"""),-2.53102678998321)</f>
        <v>-2.53102679</v>
      </c>
      <c r="L3333" s="165">
        <f>IFERROR(__xludf.DUMMYFUNCTION("""COMPUTED_VALUE"""),-0.607320798190098)</f>
        <v>-0.6073207982</v>
      </c>
      <c r="M3333" s="166">
        <f t="shared" si="2"/>
        <v>-0.375055966</v>
      </c>
      <c r="N3333" s="167">
        <f t="shared" si="3"/>
        <v>17.62316239</v>
      </c>
      <c r="O3333" s="163">
        <f t="shared" ref="O3333:Q3333" si="3337">rank(I3333,I:I)</f>
        <v>2361</v>
      </c>
      <c r="P3333" s="163">
        <f t="shared" si="3337"/>
        <v>3916</v>
      </c>
      <c r="Q3333" s="163">
        <f t="shared" si="3337"/>
        <v>3894</v>
      </c>
      <c r="R3333" s="163">
        <f>IFERROR(__xludf.DUMMYFUNCTION("RANK(M3333,filter(M:M,C:C=C3333))"),512.0)</f>
        <v>512</v>
      </c>
      <c r="S3333" s="161" t="b">
        <f t="shared" si="5"/>
        <v>0</v>
      </c>
      <c r="T3333" s="161" t="b">
        <f t="array" ref="T3333">index('Query Tool'!B:B,match(H3333,'Query Tool'!C:C,0))</f>
        <v>1</v>
      </c>
      <c r="U3333" s="161" t="b">
        <f t="array" ref="U3333">index('Query Tool'!B:B,match(C3333,'Query Tool'!C:C,0))</f>
        <v>0</v>
      </c>
      <c r="V3333" s="161" t="b">
        <f>F3333&gt;='Query Tool'!C$32</f>
        <v>1</v>
      </c>
      <c r="W3333" s="161" t="b">
        <f t="array" ref="W3333">index(Dropdowns!B:B,match(I3333,Dropdowns!A:A,0))</f>
        <v>1</v>
      </c>
      <c r="X3333" s="161" t="b">
        <f t="array" ref="X3333">index('Query Tool'!B:B,match(D3333,'Query Tool'!C:C,0))</f>
        <v>1</v>
      </c>
      <c r="Y3333" s="161" t="str">
        <f t="shared" si="6"/>
        <v>bacondw01,2019-20</v>
      </c>
      <c r="Z3333" s="168" t="str">
        <f t="array" ref="Z3333">iferror(index(I:I,match($A3333&amp;","&amp;index('Year Conversion'!$A:$A,match($C3333,'Year Conversion'!$B:$B,0)),$Y:$Y,0))-I3333,"")</f>
        <v/>
      </c>
      <c r="AA3333" s="168" t="str">
        <f t="array" ref="AA3333">iferror(index(J:J,match($A3333&amp;","&amp;index('Year Conversion'!$A:$A,match($C3333,'Year Conversion'!$B:$B,0)),$Y:$Y,0))-J3333,"")</f>
        <v/>
      </c>
      <c r="AB3333" s="168" t="str">
        <f t="array" ref="AB3333">iferror(index(K:K,match($A3333&amp;","&amp;index('Year Conversion'!$A:$A,match($C3333,'Year Conversion'!$B:$B,0)),$Y:$Y,0))-K3333,"")</f>
        <v/>
      </c>
      <c r="AC3333" s="168" t="str">
        <f t="shared" si="7"/>
        <v>CHO,2019-20</v>
      </c>
    </row>
    <row r="3334">
      <c r="A3334" s="161" t="str">
        <f>IFERROR(__xludf.DUMMYFUNCTION("""COMPUTED_VALUE"""),"doziepj01")</f>
        <v>doziepj01</v>
      </c>
      <c r="B3334" s="161" t="str">
        <f>IFERROR(__xludf.DUMMYFUNCTION("""COMPUTED_VALUE"""),"PJ Dozier")</f>
        <v>PJ Dozier</v>
      </c>
      <c r="C3334" s="162" t="str">
        <f>IFERROR(__xludf.DUMMYFUNCTION("""COMPUTED_VALUE"""),"2019-20")</f>
        <v>2019-20</v>
      </c>
      <c r="D3334" s="163" t="str">
        <f>IFERROR(__xludf.DUMMYFUNCTION("""COMPUTED_VALUE"""),"DEN")</f>
        <v>DEN</v>
      </c>
      <c r="E3334" s="164" t="str">
        <f>IFERROR(__xludf.DUMMYFUNCTION("""COMPUTED_VALUE"""),"Secondary Ball Handler")</f>
        <v>Secondary Ball Handler</v>
      </c>
      <c r="F3334" s="164">
        <f>IFERROR(__xludf.DUMMYFUNCTION("""COMPUTED_VALUE"""),411.561666666667)</f>
        <v>411.5616667</v>
      </c>
      <c r="G3334" s="163">
        <f>IFERROR(__xludf.DUMMYFUNCTION("""COMPUTED_VALUE"""),29.0)</f>
        <v>29</v>
      </c>
      <c r="H3334" s="163" t="str">
        <f>IFERROR(__xludf.DUMMYFUNCTION("""COMPUTED_VALUE"""),"SG")</f>
        <v>SG</v>
      </c>
      <c r="I3334" s="163">
        <f>IFERROR(__xludf.DUMMYFUNCTION("""COMPUTED_VALUE"""),23.0)</f>
        <v>23</v>
      </c>
      <c r="J3334" s="165">
        <f>IFERROR(__xludf.DUMMYFUNCTION("""COMPUTED_VALUE"""),-0.919877361966505)</f>
        <v>-0.919877362</v>
      </c>
      <c r="K3334" s="165">
        <f>IFERROR(__xludf.DUMMYFUNCTION("""COMPUTED_VALUE"""),-0.578897453393624)</f>
        <v>-0.5788974534</v>
      </c>
      <c r="L3334" s="165">
        <f>IFERROR(__xludf.DUMMYFUNCTION("""COMPUTED_VALUE"""),-0.340979908572882)</f>
        <v>-0.3409799086</v>
      </c>
      <c r="M3334" s="166">
        <f t="shared" si="2"/>
        <v>0.3795515106</v>
      </c>
      <c r="N3334" s="167">
        <f t="shared" si="3"/>
        <v>14.19178161</v>
      </c>
      <c r="O3334" s="163">
        <f t="shared" ref="O3334:Q3334" si="3338">rank(I3334,I:I)</f>
        <v>2765</v>
      </c>
      <c r="P3334" s="163">
        <f t="shared" si="3338"/>
        <v>2418</v>
      </c>
      <c r="Q3334" s="163">
        <f t="shared" si="3338"/>
        <v>2230</v>
      </c>
      <c r="R3334" s="163">
        <f>IFERROR(__xludf.DUMMYFUNCTION("RANK(M3334,filter(M:M,C:C=C3334))"),281.0)</f>
        <v>281</v>
      </c>
      <c r="S3334" s="161" t="b">
        <f t="shared" si="5"/>
        <v>0</v>
      </c>
      <c r="T3334" s="161" t="b">
        <f t="array" ref="T3334">index('Query Tool'!B:B,match(H3334,'Query Tool'!C:C,0))</f>
        <v>1</v>
      </c>
      <c r="U3334" s="161" t="b">
        <f t="array" ref="U3334">index('Query Tool'!B:B,match(C3334,'Query Tool'!C:C,0))</f>
        <v>0</v>
      </c>
      <c r="V3334" s="161" t="b">
        <f>F3334&gt;='Query Tool'!C$32</f>
        <v>0</v>
      </c>
      <c r="W3334" s="161" t="b">
        <f t="array" ref="W3334">index(Dropdowns!B:B,match(I3334,Dropdowns!A:A,0))</f>
        <v>1</v>
      </c>
      <c r="X3334" s="161" t="b">
        <f t="array" ref="X3334">index('Query Tool'!B:B,match(D3334,'Query Tool'!C:C,0))</f>
        <v>1</v>
      </c>
      <c r="Y3334" s="161" t="str">
        <f t="shared" si="6"/>
        <v>doziepj01,2019-20</v>
      </c>
      <c r="Z3334" s="168" t="str">
        <f t="array" ref="Z3334">iferror(index(I:I,match($A3334&amp;","&amp;index('Year Conversion'!$A:$A,match($C3334,'Year Conversion'!$B:$B,0)),$Y:$Y,0))-I3334,"")</f>
        <v/>
      </c>
      <c r="AA3334" s="168" t="str">
        <f t="array" ref="AA3334">iferror(index(J:J,match($A3334&amp;","&amp;index('Year Conversion'!$A:$A,match($C3334,'Year Conversion'!$B:$B,0)),$Y:$Y,0))-J3334,"")</f>
        <v/>
      </c>
      <c r="AB3334" s="168" t="str">
        <f t="array" ref="AB3334">iferror(index(K:K,match($A3334&amp;","&amp;index('Year Conversion'!$A:$A,match($C3334,'Year Conversion'!$B:$B,0)),$Y:$Y,0))-K3334,"")</f>
        <v/>
      </c>
      <c r="AC3334" s="168" t="str">
        <f t="shared" si="7"/>
        <v>DEN,2019-20</v>
      </c>
    </row>
    <row r="3335">
      <c r="A3335" s="161" t="str">
        <f>IFERROR(__xludf.DUMMYFUNCTION("""COMPUTED_VALUE"""),"sumneed01")</f>
        <v>sumneed01</v>
      </c>
      <c r="B3335" s="161" t="str">
        <f>IFERROR(__xludf.DUMMYFUNCTION("""COMPUTED_VALUE"""),"Edmond Sumner")</f>
        <v>Edmond Sumner</v>
      </c>
      <c r="C3335" s="162" t="str">
        <f>IFERROR(__xludf.DUMMYFUNCTION("""COMPUTED_VALUE"""),"2019-20")</f>
        <v>2019-20</v>
      </c>
      <c r="D3335" s="163" t="str">
        <f>IFERROR(__xludf.DUMMYFUNCTION("""COMPUTED_VALUE"""),"IND")</f>
        <v>IND</v>
      </c>
      <c r="E3335" s="164" t="str">
        <f>IFERROR(__xludf.DUMMYFUNCTION("""COMPUTED_VALUE"""),"Secondary Ball Handler")</f>
        <v>Secondary Ball Handler</v>
      </c>
      <c r="F3335" s="164">
        <f>IFERROR(__xludf.DUMMYFUNCTION("""COMPUTED_VALUE"""),446.785)</f>
        <v>446.785</v>
      </c>
      <c r="G3335" s="163">
        <f>IFERROR(__xludf.DUMMYFUNCTION("""COMPUTED_VALUE"""),31.0)</f>
        <v>31</v>
      </c>
      <c r="H3335" s="163" t="str">
        <f>IFERROR(__xludf.DUMMYFUNCTION("""COMPUTED_VALUE"""),"SG")</f>
        <v>SG</v>
      </c>
      <c r="I3335" s="163">
        <f>IFERROR(__xludf.DUMMYFUNCTION("""COMPUTED_VALUE"""),24.0)</f>
        <v>24</v>
      </c>
      <c r="J3335" s="165">
        <f>IFERROR(__xludf.DUMMYFUNCTION("""COMPUTED_VALUE"""),-2.38228722315082)</f>
        <v>-2.382287223</v>
      </c>
      <c r="K3335" s="165">
        <f>IFERROR(__xludf.DUMMYFUNCTION("""COMPUTED_VALUE"""),-1.72508845828833)</f>
        <v>-1.725088458</v>
      </c>
      <c r="L3335" s="165">
        <f>IFERROR(__xludf.DUMMYFUNCTION("""COMPUTED_VALUE"""),-0.657198764862482)</f>
        <v>-0.6571987649</v>
      </c>
      <c r="M3335" s="166">
        <f t="shared" si="2"/>
        <v>-0.02318943392</v>
      </c>
      <c r="N3335" s="167">
        <f t="shared" si="3"/>
        <v>14.41241935</v>
      </c>
      <c r="O3335" s="163">
        <f t="shared" ref="O3335:Q3335" si="3339">rank(I3335,I:I)</f>
        <v>2361</v>
      </c>
      <c r="P3335" s="163">
        <f t="shared" si="3339"/>
        <v>3705</v>
      </c>
      <c r="Q3335" s="163">
        <f t="shared" si="3339"/>
        <v>3533</v>
      </c>
      <c r="R3335" s="163">
        <f>IFERROR(__xludf.DUMMYFUNCTION("RANK(M3335,filter(M:M,C:C=C3335))"),487.0)</f>
        <v>487</v>
      </c>
      <c r="S3335" s="161" t="b">
        <f t="shared" si="5"/>
        <v>0</v>
      </c>
      <c r="T3335" s="161" t="b">
        <f t="array" ref="T3335">index('Query Tool'!B:B,match(H3335,'Query Tool'!C:C,0))</f>
        <v>1</v>
      </c>
      <c r="U3335" s="161" t="b">
        <f t="array" ref="U3335">index('Query Tool'!B:B,match(C3335,'Query Tool'!C:C,0))</f>
        <v>0</v>
      </c>
      <c r="V3335" s="161" t="b">
        <f>F3335&gt;='Query Tool'!C$32</f>
        <v>0</v>
      </c>
      <c r="W3335" s="161" t="b">
        <f t="array" ref="W3335">index(Dropdowns!B:B,match(I3335,Dropdowns!A:A,0))</f>
        <v>1</v>
      </c>
      <c r="X3335" s="161" t="b">
        <f t="array" ref="X3335">index('Query Tool'!B:B,match(D3335,'Query Tool'!C:C,0))</f>
        <v>1</v>
      </c>
      <c r="Y3335" s="161" t="str">
        <f t="shared" si="6"/>
        <v>sumneed01,2019-20</v>
      </c>
      <c r="Z3335" s="168" t="str">
        <f t="array" ref="Z3335">iferror(index(I:I,match($A3335&amp;","&amp;index('Year Conversion'!$A:$A,match($C3335,'Year Conversion'!$B:$B,0)),$Y:$Y,0))-I3335,"")</f>
        <v/>
      </c>
      <c r="AA3335" s="168" t="str">
        <f t="array" ref="AA3335">iferror(index(J:J,match($A3335&amp;","&amp;index('Year Conversion'!$A:$A,match($C3335,'Year Conversion'!$B:$B,0)),$Y:$Y,0))-J3335,"")</f>
        <v/>
      </c>
      <c r="AB3335" s="168" t="str">
        <f t="array" ref="AB3335">iferror(index(K:K,match($A3335&amp;","&amp;index('Year Conversion'!$A:$A,match($C3335,'Year Conversion'!$B:$B,0)),$Y:$Y,0))-K3335,"")</f>
        <v/>
      </c>
      <c r="AC3335" s="168" t="str">
        <f t="shared" si="7"/>
        <v>IND,2019-20</v>
      </c>
    </row>
    <row r="3336">
      <c r="A3336" s="161" t="str">
        <f>IFERROR(__xludf.DUMMYFUNCTION("""COMPUTED_VALUE"""),"iwundwe01")</f>
        <v>iwundwe01</v>
      </c>
      <c r="B3336" s="161" t="str">
        <f>IFERROR(__xludf.DUMMYFUNCTION("""COMPUTED_VALUE"""),"Wes Iwundu")</f>
        <v>Wes Iwundu</v>
      </c>
      <c r="C3336" s="162" t="str">
        <f>IFERROR(__xludf.DUMMYFUNCTION("""COMPUTED_VALUE"""),"2019-20")</f>
        <v>2019-20</v>
      </c>
      <c r="D3336" s="163" t="str">
        <f>IFERROR(__xludf.DUMMYFUNCTION("""COMPUTED_VALUE"""),"ORL")</f>
        <v>ORL</v>
      </c>
      <c r="E3336" s="164" t="str">
        <f>IFERROR(__xludf.DUMMYFUNCTION("""COMPUTED_VALUE"""),"Stationary Shooter")</f>
        <v>Stationary Shooter</v>
      </c>
      <c r="F3336" s="164">
        <f>IFERROR(__xludf.DUMMYFUNCTION("""COMPUTED_VALUE"""),953.293333333333)</f>
        <v>953.2933333</v>
      </c>
      <c r="G3336" s="163">
        <f>IFERROR(__xludf.DUMMYFUNCTION("""COMPUTED_VALUE"""),52.0)</f>
        <v>52</v>
      </c>
      <c r="H3336" s="163" t="str">
        <f>IFERROR(__xludf.DUMMYFUNCTION("""COMPUTED_VALUE"""),"SF")</f>
        <v>SF</v>
      </c>
      <c r="I3336" s="163">
        <f>IFERROR(__xludf.DUMMYFUNCTION("""COMPUTED_VALUE"""),25.0)</f>
        <v>25</v>
      </c>
      <c r="J3336" s="165">
        <f>IFERROR(__xludf.DUMMYFUNCTION("""COMPUTED_VALUE"""),-1.73489804315939)</f>
        <v>-1.734898043</v>
      </c>
      <c r="K3336" s="165">
        <f>IFERROR(__xludf.DUMMYFUNCTION("""COMPUTED_VALUE"""),-1.71516745121702)</f>
        <v>-1.715167451</v>
      </c>
      <c r="L3336" s="165">
        <f>IFERROR(__xludf.DUMMYFUNCTION("""COMPUTED_VALUE"""),-0.0197305919423666)</f>
        <v>-0.01973059194</v>
      </c>
      <c r="M3336" s="166">
        <f t="shared" si="2"/>
        <v>0.3592794033</v>
      </c>
      <c r="N3336" s="167">
        <f t="shared" si="3"/>
        <v>18.3325641</v>
      </c>
      <c r="O3336" s="163">
        <f t="shared" ref="O3336:Q3336" si="3340">rank(I3336,I:I)</f>
        <v>1995</v>
      </c>
      <c r="P3336" s="163">
        <f t="shared" si="3340"/>
        <v>3277</v>
      </c>
      <c r="Q3336" s="163">
        <f t="shared" si="3340"/>
        <v>3529</v>
      </c>
      <c r="R3336" s="163">
        <f>IFERROR(__xludf.DUMMYFUNCTION("RANK(M3336,filter(M:M,C:C=C3336))"),285.0)</f>
        <v>285</v>
      </c>
      <c r="S3336" s="161" t="b">
        <f t="shared" si="5"/>
        <v>0</v>
      </c>
      <c r="T3336" s="161" t="b">
        <f t="array" ref="T3336">index('Query Tool'!B:B,match(H3336,'Query Tool'!C:C,0))</f>
        <v>1</v>
      </c>
      <c r="U3336" s="161" t="b">
        <f t="array" ref="U3336">index('Query Tool'!B:B,match(C3336,'Query Tool'!C:C,0))</f>
        <v>0</v>
      </c>
      <c r="V3336" s="161" t="b">
        <f>F3336&gt;='Query Tool'!C$32</f>
        <v>1</v>
      </c>
      <c r="W3336" s="161" t="b">
        <f t="array" ref="W3336">index(Dropdowns!B:B,match(I3336,Dropdowns!A:A,0))</f>
        <v>1</v>
      </c>
      <c r="X3336" s="161" t="b">
        <f t="array" ref="X3336">index('Query Tool'!B:B,match(D3336,'Query Tool'!C:C,0))</f>
        <v>1</v>
      </c>
      <c r="Y3336" s="161" t="str">
        <f t="shared" si="6"/>
        <v>iwundwe01,2019-20</v>
      </c>
      <c r="Z3336" s="168" t="str">
        <f t="array" ref="Z3336">iferror(index(I:I,match($A3336&amp;","&amp;index('Year Conversion'!$A:$A,match($C3336,'Year Conversion'!$B:$B,0)),$Y:$Y,0))-I3336,"")</f>
        <v/>
      </c>
      <c r="AA3336" s="168" t="str">
        <f t="array" ref="AA3336">iferror(index(J:J,match($A3336&amp;","&amp;index('Year Conversion'!$A:$A,match($C3336,'Year Conversion'!$B:$B,0)),$Y:$Y,0))-J3336,"")</f>
        <v/>
      </c>
      <c r="AB3336" s="168" t="str">
        <f t="array" ref="AB3336">iferror(index(K:K,match($A3336&amp;","&amp;index('Year Conversion'!$A:$A,match($C3336,'Year Conversion'!$B:$B,0)),$Y:$Y,0))-K3336,"")</f>
        <v/>
      </c>
      <c r="AC3336" s="168" t="str">
        <f t="shared" si="7"/>
        <v>ORL,2019-20</v>
      </c>
    </row>
    <row r="3337">
      <c r="A3337" s="161" t="str">
        <f>IFERROR(__xludf.DUMMYFUNCTION("""COMPUTED_VALUE"""),"masonfr01")</f>
        <v>masonfr01</v>
      </c>
      <c r="B3337" s="161" t="str">
        <f>IFERROR(__xludf.DUMMYFUNCTION("""COMPUTED_VALUE"""),"Frank Mason")</f>
        <v>Frank Mason</v>
      </c>
      <c r="C3337" s="162" t="str">
        <f>IFERROR(__xludf.DUMMYFUNCTION("""COMPUTED_VALUE"""),"2019-20")</f>
        <v>2019-20</v>
      </c>
      <c r="D3337" s="163" t="str">
        <f>IFERROR(__xludf.DUMMYFUNCTION("""COMPUTED_VALUE"""),"MIL")</f>
        <v>MIL</v>
      </c>
      <c r="E3337" s="164" t="str">
        <f>IFERROR(__xludf.DUMMYFUNCTION("""COMPUTED_VALUE"""),"Secondary Ball Handler")</f>
        <v>Secondary Ball Handler</v>
      </c>
      <c r="F3337" s="164">
        <f>IFERROR(__xludf.DUMMYFUNCTION("""COMPUTED_VALUE"""),117.925)</f>
        <v>117.925</v>
      </c>
      <c r="G3337" s="163">
        <f>IFERROR(__xludf.DUMMYFUNCTION("""COMPUTED_VALUE"""),9.0)</f>
        <v>9</v>
      </c>
      <c r="H3337" s="163" t="str">
        <f>IFERROR(__xludf.DUMMYFUNCTION("""COMPUTED_VALUE"""),"PG")</f>
        <v>PG</v>
      </c>
      <c r="I3337" s="163">
        <f>IFERROR(__xludf.DUMMYFUNCTION("""COMPUTED_VALUE"""),25.0)</f>
        <v>25</v>
      </c>
      <c r="J3337" s="165">
        <f>IFERROR(__xludf.DUMMYFUNCTION("""COMPUTED_VALUE"""),0.106122682291908)</f>
        <v>0.1061226823</v>
      </c>
      <c r="K3337" s="165">
        <f>IFERROR(__xludf.DUMMYFUNCTION("""COMPUTED_VALUE"""),0.29146531592762)</f>
        <v>0.2914653159</v>
      </c>
      <c r="L3337" s="165">
        <f>IFERROR(__xludf.DUMMYFUNCTION("""COMPUTED_VALUE"""),-0.185342633635712)</f>
        <v>-0.1853426336</v>
      </c>
      <c r="M3337" s="166">
        <f t="shared" si="2"/>
        <v>0.1902380698</v>
      </c>
      <c r="N3337" s="167">
        <f t="shared" si="3"/>
        <v>13.10277778</v>
      </c>
      <c r="O3337" s="163">
        <f t="shared" ref="O3337:Q3337" si="3341">rank(I3337,I:I)</f>
        <v>1995</v>
      </c>
      <c r="P3337" s="163">
        <f t="shared" si="3341"/>
        <v>1182</v>
      </c>
      <c r="Q3337" s="163">
        <f t="shared" si="3341"/>
        <v>917</v>
      </c>
      <c r="R3337" s="163">
        <f>IFERROR(__xludf.DUMMYFUNCTION("RANK(M3337,filter(M:M,C:C=C3337))"),343.0)</f>
        <v>343</v>
      </c>
      <c r="S3337" s="161" t="b">
        <f t="shared" si="5"/>
        <v>0</v>
      </c>
      <c r="T3337" s="161" t="b">
        <f t="array" ref="T3337">index('Query Tool'!B:B,match(H3337,'Query Tool'!C:C,0))</f>
        <v>1</v>
      </c>
      <c r="U3337" s="161" t="b">
        <f t="array" ref="U3337">index('Query Tool'!B:B,match(C3337,'Query Tool'!C:C,0))</f>
        <v>0</v>
      </c>
      <c r="V3337" s="161" t="b">
        <f>F3337&gt;='Query Tool'!C$32</f>
        <v>0</v>
      </c>
      <c r="W3337" s="161" t="b">
        <f t="array" ref="W3337">index(Dropdowns!B:B,match(I3337,Dropdowns!A:A,0))</f>
        <v>1</v>
      </c>
      <c r="X3337" s="161" t="b">
        <f t="array" ref="X3337">index('Query Tool'!B:B,match(D3337,'Query Tool'!C:C,0))</f>
        <v>1</v>
      </c>
      <c r="Y3337" s="161" t="str">
        <f t="shared" si="6"/>
        <v>masonfr01,2019-20</v>
      </c>
      <c r="Z3337" s="168" t="str">
        <f t="array" ref="Z3337">iferror(index(I:I,match($A3337&amp;","&amp;index('Year Conversion'!$A:$A,match($C3337,'Year Conversion'!$B:$B,0)),$Y:$Y,0))-I3337,"")</f>
        <v/>
      </c>
      <c r="AA3337" s="168" t="str">
        <f t="array" ref="AA3337">iferror(index(J:J,match($A3337&amp;","&amp;index('Year Conversion'!$A:$A,match($C3337,'Year Conversion'!$B:$B,0)),$Y:$Y,0))-J3337,"")</f>
        <v/>
      </c>
      <c r="AB3337" s="168" t="str">
        <f t="array" ref="AB3337">iferror(index(K:K,match($A3337&amp;","&amp;index('Year Conversion'!$A:$A,match($C3337,'Year Conversion'!$B:$B,0)),$Y:$Y,0))-K3337,"")</f>
        <v/>
      </c>
      <c r="AC3337" s="168" t="str">
        <f t="shared" si="7"/>
        <v>MIL,2019-20</v>
      </c>
    </row>
    <row r="3338">
      <c r="A3338" s="161" t="str">
        <f>IFERROR(__xludf.DUMMYFUNCTION("""COMPUTED_VALUE"""),"boldejo01")</f>
        <v>boldejo01</v>
      </c>
      <c r="B3338" s="161" t="str">
        <f>IFERROR(__xludf.DUMMYFUNCTION("""COMPUTED_VALUE"""),"Jonah Bolden")</f>
        <v>Jonah Bolden</v>
      </c>
      <c r="C3338" s="162" t="str">
        <f>IFERROR(__xludf.DUMMYFUNCTION("""COMPUTED_VALUE"""),"2019-20")</f>
        <v>2019-20</v>
      </c>
      <c r="D3338" s="163" t="str">
        <f>IFERROR(__xludf.DUMMYFUNCTION("""COMPUTED_VALUE"""),"TOT")</f>
        <v>TOT</v>
      </c>
      <c r="E3338" s="164" t="str">
        <f>IFERROR(__xludf.DUMMYFUNCTION("""COMPUTED_VALUE"""),"Stretch Big")</f>
        <v>Stretch Big</v>
      </c>
      <c r="F3338" s="164">
        <f>IFERROR(__xludf.DUMMYFUNCTION("""COMPUTED_VALUE"""),47.0533333333334)</f>
        <v>47.05333333</v>
      </c>
      <c r="G3338" s="163">
        <f>IFERROR(__xludf.DUMMYFUNCTION("""COMPUTED_VALUE"""),7.0)</f>
        <v>7</v>
      </c>
      <c r="H3338" s="163" t="str">
        <f>IFERROR(__xludf.DUMMYFUNCTION("""COMPUTED_VALUE"""),"C")</f>
        <v>C</v>
      </c>
      <c r="I3338" s="163">
        <f>IFERROR(__xludf.DUMMYFUNCTION("""COMPUTED_VALUE"""),24.0)</f>
        <v>24</v>
      </c>
      <c r="J3338" s="165">
        <f>IFERROR(__xludf.DUMMYFUNCTION("""COMPUTED_VALUE"""),-0.558690046987901)</f>
        <v>-0.558690047</v>
      </c>
      <c r="K3338" s="165">
        <f>IFERROR(__xludf.DUMMYFUNCTION("""COMPUTED_VALUE"""),-0.614053963879645)</f>
        <v>-0.6140539639</v>
      </c>
      <c r="L3338" s="165">
        <f>IFERROR(__xludf.DUMMYFUNCTION("""COMPUTED_VALUE"""),0.0553639168917435)</f>
        <v>0.05536391689</v>
      </c>
      <c r="M3338" s="166">
        <f t="shared" si="2"/>
        <v>0.05482498031</v>
      </c>
      <c r="N3338" s="167">
        <f t="shared" si="3"/>
        <v>6.721904762</v>
      </c>
      <c r="O3338" s="163">
        <f t="shared" ref="O3338:Q3338" si="3342">rank(I3338,I:I)</f>
        <v>2361</v>
      </c>
      <c r="P3338" s="163">
        <f t="shared" si="3342"/>
        <v>1930</v>
      </c>
      <c r="Q3338" s="163">
        <f t="shared" si="3342"/>
        <v>2280</v>
      </c>
      <c r="R3338" s="163">
        <f>IFERROR(__xludf.DUMMYFUNCTION("RANK(M3338,filter(M:M,C:C=C3338))"),423.0)</f>
        <v>423</v>
      </c>
      <c r="S3338" s="161" t="b">
        <f t="shared" si="5"/>
        <v>0</v>
      </c>
      <c r="T3338" s="161" t="b">
        <f t="array" ref="T3338">index('Query Tool'!B:B,match(H3338,'Query Tool'!C:C,0))</f>
        <v>1</v>
      </c>
      <c r="U3338" s="161" t="b">
        <f t="array" ref="U3338">index('Query Tool'!B:B,match(C3338,'Query Tool'!C:C,0))</f>
        <v>0</v>
      </c>
      <c r="V3338" s="161" t="b">
        <f>F3338&gt;='Query Tool'!C$32</f>
        <v>0</v>
      </c>
      <c r="W3338" s="161" t="b">
        <f t="array" ref="W3338">index(Dropdowns!B:B,match(I3338,Dropdowns!A:A,0))</f>
        <v>1</v>
      </c>
      <c r="X3338" s="161" t="b">
        <f t="array" ref="X3338">index('Query Tool'!B:B,match(D3338,'Query Tool'!C:C,0))</f>
        <v>1</v>
      </c>
      <c r="Y3338" s="161" t="str">
        <f t="shared" si="6"/>
        <v>boldejo01,2019-20</v>
      </c>
      <c r="Z3338" s="168" t="str">
        <f t="array" ref="Z3338">iferror(index(I:I,match($A3338&amp;","&amp;index('Year Conversion'!$A:$A,match($C3338,'Year Conversion'!$B:$B,0)),$Y:$Y,0))-I3338,"")</f>
        <v/>
      </c>
      <c r="AA3338" s="168" t="str">
        <f t="array" ref="AA3338">iferror(index(J:J,match($A3338&amp;","&amp;index('Year Conversion'!$A:$A,match($C3338,'Year Conversion'!$B:$B,0)),$Y:$Y,0))-J3338,"")</f>
        <v/>
      </c>
      <c r="AB3338" s="168" t="str">
        <f t="array" ref="AB3338">iferror(index(K:K,match($A3338&amp;","&amp;index('Year Conversion'!$A:$A,match($C3338,'Year Conversion'!$B:$B,0)),$Y:$Y,0))-K3338,"")</f>
        <v/>
      </c>
      <c r="AC3338" s="168" t="str">
        <f t="shared" si="7"/>
        <v>TOT,2019-20</v>
      </c>
    </row>
    <row r="3339">
      <c r="A3339" s="161" t="str">
        <f>IFERROR(__xludf.DUMMYFUNCTION("""COMPUTED_VALUE"""),"thornsi01")</f>
        <v>thornsi01</v>
      </c>
      <c r="B3339" s="161" t="str">
        <f>IFERROR(__xludf.DUMMYFUNCTION("""COMPUTED_VALUE"""),"Sindarius Thornwell")</f>
        <v>Sindarius Thornwell</v>
      </c>
      <c r="C3339" s="162" t="str">
        <f>IFERROR(__xludf.DUMMYFUNCTION("""COMPUTED_VALUE"""),"2019-20")</f>
        <v>2019-20</v>
      </c>
      <c r="D3339" s="163" t="str">
        <f>IFERROR(__xludf.DUMMYFUNCTION("""COMPUTED_VALUE"""),"NOP")</f>
        <v>NOP</v>
      </c>
      <c r="E3339" s="164" t="str">
        <f>IFERROR(__xludf.DUMMYFUNCTION("""COMPUTED_VALUE"""),"Athletic Finisher")</f>
        <v>Athletic Finisher</v>
      </c>
      <c r="F3339" s="164">
        <f>IFERROR(__xludf.DUMMYFUNCTION("""COMPUTED_VALUE"""),35.4833333333333)</f>
        <v>35.48333333</v>
      </c>
      <c r="G3339" s="163">
        <f>IFERROR(__xludf.DUMMYFUNCTION("""COMPUTED_VALUE"""),2.0)</f>
        <v>2</v>
      </c>
      <c r="H3339" s="163" t="str">
        <f>IFERROR(__xludf.DUMMYFUNCTION("""COMPUTED_VALUE"""),"SF")</f>
        <v>SF</v>
      </c>
      <c r="I3339" s="163">
        <f>IFERROR(__xludf.DUMMYFUNCTION("""COMPUTED_VALUE"""),25.0)</f>
        <v>25</v>
      </c>
      <c r="J3339" s="165">
        <f>IFERROR(__xludf.DUMMYFUNCTION("""COMPUTED_VALUE"""),-0.0169391358523314)</f>
        <v>-0.01693913585</v>
      </c>
      <c r="K3339" s="165">
        <f>IFERROR(__xludf.DUMMYFUNCTION("""COMPUTED_VALUE"""),-0.00644786522208551)</f>
        <v>-0.006447865222</v>
      </c>
      <c r="L3339" s="165">
        <f>IFERROR(__xludf.DUMMYFUNCTION("""COMPUTED_VALUE"""),-0.0104912706302459)</f>
        <v>-0.01049127063</v>
      </c>
      <c r="M3339" s="166">
        <f t="shared" si="2"/>
        <v>0.05429824587</v>
      </c>
      <c r="N3339" s="167">
        <f t="shared" si="3"/>
        <v>17.74166667</v>
      </c>
      <c r="O3339" s="163">
        <f t="shared" ref="O3339:Q3339" si="3343">rank(I3339,I:I)</f>
        <v>1995</v>
      </c>
      <c r="P3339" s="163">
        <f t="shared" si="3343"/>
        <v>1302</v>
      </c>
      <c r="Q3339" s="163">
        <f t="shared" si="3343"/>
        <v>1210</v>
      </c>
      <c r="R3339" s="163">
        <f>IFERROR(__xludf.DUMMYFUNCTION("RANK(M3339,filter(M:M,C:C=C3339))"),425.0)</f>
        <v>425</v>
      </c>
      <c r="S3339" s="161" t="b">
        <f t="shared" si="5"/>
        <v>0</v>
      </c>
      <c r="T3339" s="161" t="b">
        <f t="array" ref="T3339">index('Query Tool'!B:B,match(H3339,'Query Tool'!C:C,0))</f>
        <v>1</v>
      </c>
      <c r="U3339" s="161" t="b">
        <f t="array" ref="U3339">index('Query Tool'!B:B,match(C3339,'Query Tool'!C:C,0))</f>
        <v>0</v>
      </c>
      <c r="V3339" s="161" t="b">
        <f>F3339&gt;='Query Tool'!C$32</f>
        <v>0</v>
      </c>
      <c r="W3339" s="161" t="b">
        <f t="array" ref="W3339">index(Dropdowns!B:B,match(I3339,Dropdowns!A:A,0))</f>
        <v>1</v>
      </c>
      <c r="X3339" s="161" t="b">
        <f t="array" ref="X3339">index('Query Tool'!B:B,match(D3339,'Query Tool'!C:C,0))</f>
        <v>1</v>
      </c>
      <c r="Y3339" s="161" t="str">
        <f t="shared" si="6"/>
        <v>thornsi01,2019-20</v>
      </c>
      <c r="Z3339" s="168" t="str">
        <f t="array" ref="Z3339">iferror(index(I:I,match($A3339&amp;","&amp;index('Year Conversion'!$A:$A,match($C3339,'Year Conversion'!$B:$B,0)),$Y:$Y,0))-I3339,"")</f>
        <v/>
      </c>
      <c r="AA3339" s="168" t="str">
        <f t="array" ref="AA3339">iferror(index(J:J,match($A3339&amp;","&amp;index('Year Conversion'!$A:$A,match($C3339,'Year Conversion'!$B:$B,0)),$Y:$Y,0))-J3339,"")</f>
        <v/>
      </c>
      <c r="AB3339" s="168" t="str">
        <f t="array" ref="AB3339">iferror(index(K:K,match($A3339&amp;","&amp;index('Year Conversion'!$A:$A,match($C3339,'Year Conversion'!$B:$B,0)),$Y:$Y,0))-K3339,"")</f>
        <v/>
      </c>
      <c r="AC3339" s="168" t="str">
        <f t="shared" si="7"/>
        <v>NOP,2019-20</v>
      </c>
    </row>
    <row r="3340">
      <c r="A3340" s="161" t="str">
        <f>IFERROR(__xludf.DUMMYFUNCTION("""COMPUTED_VALUE"""),"brookdi01")</f>
        <v>brookdi01</v>
      </c>
      <c r="B3340" s="161" t="str">
        <f>IFERROR(__xludf.DUMMYFUNCTION("""COMPUTED_VALUE"""),"Dillon Brooks")</f>
        <v>Dillon Brooks</v>
      </c>
      <c r="C3340" s="162" t="str">
        <f>IFERROR(__xludf.DUMMYFUNCTION("""COMPUTED_VALUE"""),"2019-20")</f>
        <v>2019-20</v>
      </c>
      <c r="D3340" s="163" t="str">
        <f>IFERROR(__xludf.DUMMYFUNCTION("""COMPUTED_VALUE"""),"MEM")</f>
        <v>MEM</v>
      </c>
      <c r="E3340" s="164" t="str">
        <f>IFERROR(__xludf.DUMMYFUNCTION("""COMPUTED_VALUE"""),"Secondary Ball Handler")</f>
        <v>Secondary Ball Handler</v>
      </c>
      <c r="F3340" s="164">
        <f>IFERROR(__xludf.DUMMYFUNCTION("""COMPUTED_VALUE"""),2111.98833333333)</f>
        <v>2111.988333</v>
      </c>
      <c r="G3340" s="163">
        <f>IFERROR(__xludf.DUMMYFUNCTION("""COMPUTED_VALUE"""),73.0)</f>
        <v>73</v>
      </c>
      <c r="H3340" s="163" t="str">
        <f>IFERROR(__xludf.DUMMYFUNCTION("""COMPUTED_VALUE"""),"SG")</f>
        <v>SG</v>
      </c>
      <c r="I3340" s="163">
        <f>IFERROR(__xludf.DUMMYFUNCTION("""COMPUTED_VALUE"""),24.0)</f>
        <v>24</v>
      </c>
      <c r="J3340" s="165">
        <f>IFERROR(__xludf.DUMMYFUNCTION("""COMPUTED_VALUE"""),-1.22312643985099)</f>
        <v>-1.22312644</v>
      </c>
      <c r="K3340" s="165">
        <f>IFERROR(__xludf.DUMMYFUNCTION("""COMPUTED_VALUE"""),-0.380971211864742)</f>
        <v>-0.3809712119</v>
      </c>
      <c r="L3340" s="165">
        <f>IFERROR(__xludf.DUMMYFUNCTION("""COMPUTED_VALUE"""),-0.842155227986252)</f>
        <v>-0.842155228</v>
      </c>
      <c r="M3340" s="166">
        <f t="shared" si="2"/>
        <v>1.518005981</v>
      </c>
      <c r="N3340" s="167">
        <f t="shared" si="3"/>
        <v>28.93134703</v>
      </c>
      <c r="O3340" s="163">
        <f t="shared" ref="O3340:Q3340" si="3344">rank(I3340,I:I)</f>
        <v>2361</v>
      </c>
      <c r="P3340" s="163">
        <f t="shared" si="3344"/>
        <v>2776</v>
      </c>
      <c r="Q3340" s="163">
        <f t="shared" si="3344"/>
        <v>1917</v>
      </c>
      <c r="R3340" s="163">
        <f>IFERROR(__xludf.DUMMYFUNCTION("RANK(M3340,filter(M:M,C:C=C3340))"),183.0)</f>
        <v>183</v>
      </c>
      <c r="S3340" s="161" t="b">
        <f t="shared" si="5"/>
        <v>0</v>
      </c>
      <c r="T3340" s="161" t="b">
        <f t="array" ref="T3340">index('Query Tool'!B:B,match(H3340,'Query Tool'!C:C,0))</f>
        <v>1</v>
      </c>
      <c r="U3340" s="161" t="b">
        <f t="array" ref="U3340">index('Query Tool'!B:B,match(C3340,'Query Tool'!C:C,0))</f>
        <v>0</v>
      </c>
      <c r="V3340" s="161" t="b">
        <f>F3340&gt;='Query Tool'!C$32</f>
        <v>1</v>
      </c>
      <c r="W3340" s="161" t="b">
        <f t="array" ref="W3340">index(Dropdowns!B:B,match(I3340,Dropdowns!A:A,0))</f>
        <v>1</v>
      </c>
      <c r="X3340" s="161" t="b">
        <f t="array" ref="X3340">index('Query Tool'!B:B,match(D3340,'Query Tool'!C:C,0))</f>
        <v>1</v>
      </c>
      <c r="Y3340" s="161" t="str">
        <f t="shared" si="6"/>
        <v>brookdi01,2019-20</v>
      </c>
      <c r="Z3340" s="168" t="str">
        <f t="array" ref="Z3340">iferror(index(I:I,match($A3340&amp;","&amp;index('Year Conversion'!$A:$A,match($C3340,'Year Conversion'!$B:$B,0)),$Y:$Y,0))-I3340,"")</f>
        <v/>
      </c>
      <c r="AA3340" s="168" t="str">
        <f t="array" ref="AA3340">iferror(index(J:J,match($A3340&amp;","&amp;index('Year Conversion'!$A:$A,match($C3340,'Year Conversion'!$B:$B,0)),$Y:$Y,0))-J3340,"")</f>
        <v/>
      </c>
      <c r="AB3340" s="168" t="str">
        <f t="array" ref="AB3340">iferror(index(K:K,match($A3340&amp;","&amp;index('Year Conversion'!$A:$A,match($C3340,'Year Conversion'!$B:$B,0)),$Y:$Y,0))-K3340,"")</f>
        <v/>
      </c>
      <c r="AC3340" s="168" t="str">
        <f t="shared" si="7"/>
        <v>MEM,2019-20</v>
      </c>
    </row>
    <row r="3341">
      <c r="A3341" s="161" t="str">
        <f>IFERROR(__xludf.DUMMYFUNCTION("""COMPUTED_VALUE"""),"bryanth01")</f>
        <v>bryanth01</v>
      </c>
      <c r="B3341" s="161" t="str">
        <f>IFERROR(__xludf.DUMMYFUNCTION("""COMPUTED_VALUE"""),"Thomas Bryant")</f>
        <v>Thomas Bryant</v>
      </c>
      <c r="C3341" s="162" t="str">
        <f>IFERROR(__xludf.DUMMYFUNCTION("""COMPUTED_VALUE"""),"2019-20")</f>
        <v>2019-20</v>
      </c>
      <c r="D3341" s="163" t="str">
        <f>IFERROR(__xludf.DUMMYFUNCTION("""COMPUTED_VALUE"""),"WAS")</f>
        <v>WAS</v>
      </c>
      <c r="E3341" s="164" t="str">
        <f>IFERROR(__xludf.DUMMYFUNCTION("""COMPUTED_VALUE"""),"Roll + Cut Big")</f>
        <v>Roll + Cut Big</v>
      </c>
      <c r="F3341" s="164">
        <f>IFERROR(__xludf.DUMMYFUNCTION("""COMPUTED_VALUE"""),1146.79166666667)</f>
        <v>1146.791667</v>
      </c>
      <c r="G3341" s="163">
        <f>IFERROR(__xludf.DUMMYFUNCTION("""COMPUTED_VALUE"""),46.0)</f>
        <v>46</v>
      </c>
      <c r="H3341" s="163" t="str">
        <f>IFERROR(__xludf.DUMMYFUNCTION("""COMPUTED_VALUE"""),"C")</f>
        <v>C</v>
      </c>
      <c r="I3341" s="163">
        <f>IFERROR(__xludf.DUMMYFUNCTION("""COMPUTED_VALUE"""),22.0)</f>
        <v>22</v>
      </c>
      <c r="J3341" s="165">
        <f>IFERROR(__xludf.DUMMYFUNCTION("""COMPUTED_VALUE"""),-0.446556688372413)</f>
        <v>-0.4465566884</v>
      </c>
      <c r="K3341" s="165">
        <f>IFERROR(__xludf.DUMMYFUNCTION("""COMPUTED_VALUE"""),-0.451554287463919)</f>
        <v>-0.4515542875</v>
      </c>
      <c r="L3341" s="165">
        <f>IFERROR(__xludf.DUMMYFUNCTION("""COMPUTED_VALUE"""),0.00499759909150593)</f>
        <v>0.004997599092</v>
      </c>
      <c r="M3341" s="166">
        <f t="shared" si="2"/>
        <v>1.422808445</v>
      </c>
      <c r="N3341" s="167">
        <f t="shared" si="3"/>
        <v>24.93025362</v>
      </c>
      <c r="O3341" s="163">
        <f t="shared" ref="O3341:Q3341" si="3345">rank(I3341,I:I)</f>
        <v>3178</v>
      </c>
      <c r="P3341" s="163">
        <f t="shared" si="3345"/>
        <v>1770</v>
      </c>
      <c r="Q3341" s="163">
        <f t="shared" si="3345"/>
        <v>2036</v>
      </c>
      <c r="R3341" s="163">
        <f>IFERROR(__xludf.DUMMYFUNCTION("RANK(M3341,filter(M:M,C:C=C3341))"),190.0)</f>
        <v>190</v>
      </c>
      <c r="S3341" s="161" t="b">
        <f t="shared" si="5"/>
        <v>0</v>
      </c>
      <c r="T3341" s="161" t="b">
        <f t="array" ref="T3341">index('Query Tool'!B:B,match(H3341,'Query Tool'!C:C,0))</f>
        <v>1</v>
      </c>
      <c r="U3341" s="161" t="b">
        <f t="array" ref="U3341">index('Query Tool'!B:B,match(C3341,'Query Tool'!C:C,0))</f>
        <v>0</v>
      </c>
      <c r="V3341" s="161" t="b">
        <f>F3341&gt;='Query Tool'!C$32</f>
        <v>1</v>
      </c>
      <c r="W3341" s="161" t="b">
        <f t="array" ref="W3341">index(Dropdowns!B:B,match(I3341,Dropdowns!A:A,0))</f>
        <v>1</v>
      </c>
      <c r="X3341" s="161" t="b">
        <f t="array" ref="X3341">index('Query Tool'!B:B,match(D3341,'Query Tool'!C:C,0))</f>
        <v>1</v>
      </c>
      <c r="Y3341" s="161" t="str">
        <f t="shared" si="6"/>
        <v>bryanth01,2019-20</v>
      </c>
      <c r="Z3341" s="168" t="str">
        <f t="array" ref="Z3341">iferror(index(I:I,match($A3341&amp;","&amp;index('Year Conversion'!$A:$A,match($C3341,'Year Conversion'!$B:$B,0)),$Y:$Y,0))-I3341,"")</f>
        <v/>
      </c>
      <c r="AA3341" s="168" t="str">
        <f t="array" ref="AA3341">iferror(index(J:J,match($A3341&amp;","&amp;index('Year Conversion'!$A:$A,match($C3341,'Year Conversion'!$B:$B,0)),$Y:$Y,0))-J3341,"")</f>
        <v/>
      </c>
      <c r="AB3341" s="168" t="str">
        <f t="array" ref="AB3341">iferror(index(K:K,match($A3341&amp;","&amp;index('Year Conversion'!$A:$A,match($C3341,'Year Conversion'!$B:$B,0)),$Y:$Y,0))-K3341,"")</f>
        <v/>
      </c>
      <c r="AC3341" s="168" t="str">
        <f t="shared" si="7"/>
        <v>WAS,2019-20</v>
      </c>
    </row>
    <row r="3342">
      <c r="A3342" s="161" t="str">
        <f>IFERROR(__xludf.DUMMYFUNCTION("""COMPUTED_VALUE"""),"morrimo01")</f>
        <v>morrimo01</v>
      </c>
      <c r="B3342" s="161" t="str">
        <f>IFERROR(__xludf.DUMMYFUNCTION("""COMPUTED_VALUE"""),"Monte Morris")</f>
        <v>Monte Morris</v>
      </c>
      <c r="C3342" s="162" t="str">
        <f>IFERROR(__xludf.DUMMYFUNCTION("""COMPUTED_VALUE"""),"2019-20")</f>
        <v>2019-20</v>
      </c>
      <c r="D3342" s="163" t="str">
        <f>IFERROR(__xludf.DUMMYFUNCTION("""COMPUTED_VALUE"""),"DEN")</f>
        <v>DEN</v>
      </c>
      <c r="E3342" s="164" t="str">
        <f>IFERROR(__xludf.DUMMYFUNCTION("""COMPUTED_VALUE"""),"Primary Ball Handler")</f>
        <v>Primary Ball Handler</v>
      </c>
      <c r="F3342" s="164">
        <f>IFERROR(__xludf.DUMMYFUNCTION("""COMPUTED_VALUE"""),1636.55166666667)</f>
        <v>1636.551667</v>
      </c>
      <c r="G3342" s="163">
        <f>IFERROR(__xludf.DUMMYFUNCTION("""COMPUTED_VALUE"""),73.0)</f>
        <v>73</v>
      </c>
      <c r="H3342" s="163" t="str">
        <f>IFERROR(__xludf.DUMMYFUNCTION("""COMPUTED_VALUE"""),"PG")</f>
        <v>PG</v>
      </c>
      <c r="I3342" s="163">
        <f>IFERROR(__xludf.DUMMYFUNCTION("""COMPUTED_VALUE"""),24.0)</f>
        <v>24</v>
      </c>
      <c r="J3342" s="165">
        <f>IFERROR(__xludf.DUMMYFUNCTION("""COMPUTED_VALUE"""),0.568981670283287)</f>
        <v>0.5689816703</v>
      </c>
      <c r="K3342" s="165">
        <f>IFERROR(__xludf.DUMMYFUNCTION("""COMPUTED_VALUE"""),0.866766578630474)</f>
        <v>0.8667665786</v>
      </c>
      <c r="L3342" s="165">
        <f>IFERROR(__xludf.DUMMYFUNCTION("""COMPUTED_VALUE"""),-0.297784908347187)</f>
        <v>-0.2977849083</v>
      </c>
      <c r="M3342" s="166">
        <f t="shared" si="2"/>
        <v>3.150518884</v>
      </c>
      <c r="N3342" s="167">
        <f t="shared" si="3"/>
        <v>22.41851598</v>
      </c>
      <c r="O3342" s="163">
        <f t="shared" ref="O3342:Q3342" si="3346">rank(I3342,I:I)</f>
        <v>2361</v>
      </c>
      <c r="P3342" s="163">
        <f t="shared" si="3346"/>
        <v>860</v>
      </c>
      <c r="Q3342" s="163">
        <f t="shared" si="3346"/>
        <v>567</v>
      </c>
      <c r="R3342" s="163">
        <f>IFERROR(__xludf.DUMMYFUNCTION("RANK(M3342,filter(M:M,C:C=C3342))"),98.0)</f>
        <v>98</v>
      </c>
      <c r="S3342" s="161" t="b">
        <f t="shared" si="5"/>
        <v>0</v>
      </c>
      <c r="T3342" s="161" t="b">
        <f t="array" ref="T3342">index('Query Tool'!B:B,match(H3342,'Query Tool'!C:C,0))</f>
        <v>1</v>
      </c>
      <c r="U3342" s="161" t="b">
        <f t="array" ref="U3342">index('Query Tool'!B:B,match(C3342,'Query Tool'!C:C,0))</f>
        <v>0</v>
      </c>
      <c r="V3342" s="161" t="b">
        <f>F3342&gt;='Query Tool'!C$32</f>
        <v>1</v>
      </c>
      <c r="W3342" s="161" t="b">
        <f t="array" ref="W3342">index(Dropdowns!B:B,match(I3342,Dropdowns!A:A,0))</f>
        <v>1</v>
      </c>
      <c r="X3342" s="161" t="b">
        <f t="array" ref="X3342">index('Query Tool'!B:B,match(D3342,'Query Tool'!C:C,0))</f>
        <v>1</v>
      </c>
      <c r="Y3342" s="161" t="str">
        <f t="shared" si="6"/>
        <v>morrimo01,2019-20</v>
      </c>
      <c r="Z3342" s="168" t="str">
        <f t="array" ref="Z3342">iferror(index(I:I,match($A3342&amp;","&amp;index('Year Conversion'!$A:$A,match($C3342,'Year Conversion'!$B:$B,0)),$Y:$Y,0))-I3342,"")</f>
        <v/>
      </c>
      <c r="AA3342" s="168" t="str">
        <f t="array" ref="AA3342">iferror(index(J:J,match($A3342&amp;","&amp;index('Year Conversion'!$A:$A,match($C3342,'Year Conversion'!$B:$B,0)),$Y:$Y,0))-J3342,"")</f>
        <v/>
      </c>
      <c r="AB3342" s="168" t="str">
        <f t="array" ref="AB3342">iferror(index(K:K,match($A3342&amp;","&amp;index('Year Conversion'!$A:$A,match($C3342,'Year Conversion'!$B:$B,0)),$Y:$Y,0))-K3342,"")</f>
        <v/>
      </c>
      <c r="AC3342" s="168" t="str">
        <f t="shared" si="7"/>
        <v>DEN,2019-20</v>
      </c>
    </row>
    <row r="3343">
      <c r="A3343" s="161" t="str">
        <f>IFERROR(__xludf.DUMMYFUNCTION("""COMPUTED_VALUE"""),"dotsoda01")</f>
        <v>dotsoda01</v>
      </c>
      <c r="B3343" s="161" t="str">
        <f>IFERROR(__xludf.DUMMYFUNCTION("""COMPUTED_VALUE"""),"Damyean Dotson")</f>
        <v>Damyean Dotson</v>
      </c>
      <c r="C3343" s="162" t="str">
        <f>IFERROR(__xludf.DUMMYFUNCTION("""COMPUTED_VALUE"""),"2019-20")</f>
        <v>2019-20</v>
      </c>
      <c r="D3343" s="163" t="str">
        <f>IFERROR(__xludf.DUMMYFUNCTION("""COMPUTED_VALUE"""),"NYK")</f>
        <v>NYK</v>
      </c>
      <c r="E3343" s="164" t="str">
        <f>IFERROR(__xludf.DUMMYFUNCTION("""COMPUTED_VALUE"""),"Movement Shooter")</f>
        <v>Movement Shooter</v>
      </c>
      <c r="F3343" s="164">
        <f>IFERROR(__xludf.DUMMYFUNCTION("""COMPUTED_VALUE"""),836.061666666667)</f>
        <v>836.0616667</v>
      </c>
      <c r="G3343" s="163">
        <f>IFERROR(__xludf.DUMMYFUNCTION("""COMPUTED_VALUE"""),48.0)</f>
        <v>48</v>
      </c>
      <c r="H3343" s="163" t="str">
        <f>IFERROR(__xludf.DUMMYFUNCTION("""COMPUTED_VALUE"""),"SG")</f>
        <v>SG</v>
      </c>
      <c r="I3343" s="163">
        <f>IFERROR(__xludf.DUMMYFUNCTION("""COMPUTED_VALUE"""),25.0)</f>
        <v>25</v>
      </c>
      <c r="J3343" s="165">
        <f>IFERROR(__xludf.DUMMYFUNCTION("""COMPUTED_VALUE"""),-2.10869616756891)</f>
        <v>-2.108696168</v>
      </c>
      <c r="K3343" s="165">
        <f>IFERROR(__xludf.DUMMYFUNCTION("""COMPUTED_VALUE"""),-0.982775526957307)</f>
        <v>-0.982775527</v>
      </c>
      <c r="L3343" s="165">
        <f>IFERROR(__xludf.DUMMYFUNCTION("""COMPUTED_VALUE"""),-1.1259206406116)</f>
        <v>-1.125920641</v>
      </c>
      <c r="M3343" s="166">
        <f t="shared" si="2"/>
        <v>0.1076199563</v>
      </c>
      <c r="N3343" s="167">
        <f t="shared" si="3"/>
        <v>17.41795139</v>
      </c>
      <c r="O3343" s="163">
        <f t="shared" ref="O3343:Q3343" si="3347">rank(I3343,I:I)</f>
        <v>1995</v>
      </c>
      <c r="P3343" s="163">
        <f t="shared" si="3347"/>
        <v>3558</v>
      </c>
      <c r="Q3343" s="163">
        <f t="shared" si="3347"/>
        <v>2778</v>
      </c>
      <c r="R3343" s="163">
        <f>IFERROR(__xludf.DUMMYFUNCTION("RANK(M3343,filter(M:M,C:C=C3343))"),381.0)</f>
        <v>381</v>
      </c>
      <c r="S3343" s="161" t="b">
        <f t="shared" si="5"/>
        <v>0</v>
      </c>
      <c r="T3343" s="161" t="b">
        <f t="array" ref="T3343">index('Query Tool'!B:B,match(H3343,'Query Tool'!C:C,0))</f>
        <v>1</v>
      </c>
      <c r="U3343" s="161" t="b">
        <f t="array" ref="U3343">index('Query Tool'!B:B,match(C3343,'Query Tool'!C:C,0))</f>
        <v>0</v>
      </c>
      <c r="V3343" s="161" t="b">
        <f>F3343&gt;='Query Tool'!C$32</f>
        <v>1</v>
      </c>
      <c r="W3343" s="161" t="b">
        <f t="array" ref="W3343">index(Dropdowns!B:B,match(I3343,Dropdowns!A:A,0))</f>
        <v>1</v>
      </c>
      <c r="X3343" s="161" t="b">
        <f t="array" ref="X3343">index('Query Tool'!B:B,match(D3343,'Query Tool'!C:C,0))</f>
        <v>1</v>
      </c>
      <c r="Y3343" s="161" t="str">
        <f t="shared" si="6"/>
        <v>dotsoda01,2019-20</v>
      </c>
      <c r="Z3343" s="168" t="str">
        <f t="array" ref="Z3343">iferror(index(I:I,match($A3343&amp;","&amp;index('Year Conversion'!$A:$A,match($C3343,'Year Conversion'!$B:$B,0)),$Y:$Y,0))-I3343,"")</f>
        <v/>
      </c>
      <c r="AA3343" s="168" t="str">
        <f t="array" ref="AA3343">iferror(index(J:J,match($A3343&amp;","&amp;index('Year Conversion'!$A:$A,match($C3343,'Year Conversion'!$B:$B,0)),$Y:$Y,0))-J3343,"")</f>
        <v/>
      </c>
      <c r="AB3343" s="168" t="str">
        <f t="array" ref="AB3343">iferror(index(K:K,match($A3343&amp;","&amp;index('Year Conversion'!$A:$A,match($C3343,'Year Conversion'!$B:$B,0)),$Y:$Y,0))-K3343,"")</f>
        <v/>
      </c>
      <c r="AC3343" s="168" t="str">
        <f t="shared" si="7"/>
        <v>NYK,2019-20</v>
      </c>
    </row>
    <row r="3344">
      <c r="A3344" s="161" t="str">
        <f>IFERROR(__xludf.DUMMYFUNCTION("""COMPUTED_VALUE"""),"brownst02")</f>
        <v>brownst02</v>
      </c>
      <c r="B3344" s="161" t="str">
        <f>IFERROR(__xludf.DUMMYFUNCTION("""COMPUTED_VALUE"""),"Sterling Brown")</f>
        <v>Sterling Brown</v>
      </c>
      <c r="C3344" s="162" t="str">
        <f>IFERROR(__xludf.DUMMYFUNCTION("""COMPUTED_VALUE"""),"2019-20")</f>
        <v>2019-20</v>
      </c>
      <c r="D3344" s="163" t="str">
        <f>IFERROR(__xludf.DUMMYFUNCTION("""COMPUTED_VALUE"""),"MIL")</f>
        <v>MIL</v>
      </c>
      <c r="E3344" s="164" t="str">
        <f>IFERROR(__xludf.DUMMYFUNCTION("""COMPUTED_VALUE"""),"Stationary Shooter")</f>
        <v>Stationary Shooter</v>
      </c>
      <c r="F3344" s="164">
        <f>IFERROR(__xludf.DUMMYFUNCTION("""COMPUTED_VALUE"""),766.68)</f>
        <v>766.68</v>
      </c>
      <c r="G3344" s="163">
        <f>IFERROR(__xludf.DUMMYFUNCTION("""COMPUTED_VALUE"""),52.0)</f>
        <v>52</v>
      </c>
      <c r="H3344" s="163" t="str">
        <f>IFERROR(__xludf.DUMMYFUNCTION("""COMPUTED_VALUE"""),"SF")</f>
        <v>SF</v>
      </c>
      <c r="I3344" s="163">
        <f>IFERROR(__xludf.DUMMYFUNCTION("""COMPUTED_VALUE"""),24.0)</f>
        <v>24</v>
      </c>
      <c r="J3344" s="165">
        <f>IFERROR(__xludf.DUMMYFUNCTION("""COMPUTED_VALUE"""),-1.43164280786207)</f>
        <v>-1.431642808</v>
      </c>
      <c r="K3344" s="165">
        <f>IFERROR(__xludf.DUMMYFUNCTION("""COMPUTED_VALUE"""),-1.98879482159299)</f>
        <v>-1.988794822</v>
      </c>
      <c r="L3344" s="165">
        <f>IFERROR(__xludf.DUMMYFUNCTION("""COMPUTED_VALUE"""),0.55715201373092)</f>
        <v>0.5571520137</v>
      </c>
      <c r="M3344" s="166">
        <f t="shared" si="2"/>
        <v>0.4440660441</v>
      </c>
      <c r="N3344" s="167">
        <f t="shared" si="3"/>
        <v>14.74384615</v>
      </c>
      <c r="O3344" s="163">
        <f t="shared" ref="O3344:Q3344" si="3348">rank(I3344,I:I)</f>
        <v>2361</v>
      </c>
      <c r="P3344" s="163">
        <f t="shared" si="3348"/>
        <v>2992</v>
      </c>
      <c r="Q3344" s="163">
        <f t="shared" si="3348"/>
        <v>3706</v>
      </c>
      <c r="R3344" s="163">
        <f>IFERROR(__xludf.DUMMYFUNCTION("RANK(M3344,filter(M:M,C:C=C3344))"),266.0)</f>
        <v>266</v>
      </c>
      <c r="S3344" s="161" t="b">
        <f t="shared" si="5"/>
        <v>0</v>
      </c>
      <c r="T3344" s="161" t="b">
        <f t="array" ref="T3344">index('Query Tool'!B:B,match(H3344,'Query Tool'!C:C,0))</f>
        <v>1</v>
      </c>
      <c r="U3344" s="161" t="b">
        <f t="array" ref="U3344">index('Query Tool'!B:B,match(C3344,'Query Tool'!C:C,0))</f>
        <v>0</v>
      </c>
      <c r="V3344" s="161" t="b">
        <f>F3344&gt;='Query Tool'!C$32</f>
        <v>1</v>
      </c>
      <c r="W3344" s="161" t="b">
        <f t="array" ref="W3344">index(Dropdowns!B:B,match(I3344,Dropdowns!A:A,0))</f>
        <v>1</v>
      </c>
      <c r="X3344" s="161" t="b">
        <f t="array" ref="X3344">index('Query Tool'!B:B,match(D3344,'Query Tool'!C:C,0))</f>
        <v>1</v>
      </c>
      <c r="Y3344" s="161" t="str">
        <f t="shared" si="6"/>
        <v>brownst02,2019-20</v>
      </c>
      <c r="Z3344" s="168" t="str">
        <f t="array" ref="Z3344">iferror(index(I:I,match($A3344&amp;","&amp;index('Year Conversion'!$A:$A,match($C3344,'Year Conversion'!$B:$B,0)),$Y:$Y,0))-I3344,"")</f>
        <v/>
      </c>
      <c r="AA3344" s="168" t="str">
        <f t="array" ref="AA3344">iferror(index(J:J,match($A3344&amp;","&amp;index('Year Conversion'!$A:$A,match($C3344,'Year Conversion'!$B:$B,0)),$Y:$Y,0))-J3344,"")</f>
        <v/>
      </c>
      <c r="AB3344" s="168" t="str">
        <f t="array" ref="AB3344">iferror(index(K:K,match($A3344&amp;","&amp;index('Year Conversion'!$A:$A,match($C3344,'Year Conversion'!$B:$B,0)),$Y:$Y,0))-K3344,"")</f>
        <v/>
      </c>
      <c r="AC3344" s="168" t="str">
        <f t="shared" si="7"/>
        <v>MIL,2019-20</v>
      </c>
    </row>
    <row r="3345">
      <c r="A3345" s="161" t="str">
        <f>IFERROR(__xludf.DUMMYFUNCTION("""COMPUTED_VALUE"""),"cancavl01")</f>
        <v>cancavl01</v>
      </c>
      <c r="B3345" s="161" t="str">
        <f>IFERROR(__xludf.DUMMYFUNCTION("""COMPUTED_VALUE"""),"Vlatko Cancar")</f>
        <v>Vlatko Cancar</v>
      </c>
      <c r="C3345" s="162" t="str">
        <f>IFERROR(__xludf.DUMMYFUNCTION("""COMPUTED_VALUE"""),"2019-20")</f>
        <v>2019-20</v>
      </c>
      <c r="D3345" s="163" t="str">
        <f>IFERROR(__xludf.DUMMYFUNCTION("""COMPUTED_VALUE"""),"DEN")</f>
        <v>DEN</v>
      </c>
      <c r="E3345" s="164" t="str">
        <f>IFERROR(__xludf.DUMMYFUNCTION("""COMPUTED_VALUE"""),"Stretch Big")</f>
        <v>Stretch Big</v>
      </c>
      <c r="F3345" s="164">
        <f>IFERROR(__xludf.DUMMYFUNCTION("""COMPUTED_VALUE"""),45.42)</f>
        <v>45.42</v>
      </c>
      <c r="G3345" s="163">
        <f>IFERROR(__xludf.DUMMYFUNCTION("""COMPUTED_VALUE"""),14.0)</f>
        <v>14</v>
      </c>
      <c r="H3345" s="163" t="str">
        <f>IFERROR(__xludf.DUMMYFUNCTION("""COMPUTED_VALUE"""),"PF")</f>
        <v>PF</v>
      </c>
      <c r="I3345" s="163">
        <f>IFERROR(__xludf.DUMMYFUNCTION("""COMPUTED_VALUE"""),22.0)</f>
        <v>22</v>
      </c>
      <c r="J3345" s="165">
        <f>IFERROR(__xludf.DUMMYFUNCTION("""COMPUTED_VALUE"""),-0.582477313827414)</f>
        <v>-0.5824773138</v>
      </c>
      <c r="K3345" s="165">
        <f>IFERROR(__xludf.DUMMYFUNCTION("""COMPUTED_VALUE"""),-0.0837266240924346)</f>
        <v>-0.08372662409</v>
      </c>
      <c r="L3345" s="165">
        <f>IFERROR(__xludf.DUMMYFUNCTION("""COMPUTED_VALUE"""),-0.49875068973498)</f>
        <v>-0.4987506897</v>
      </c>
      <c r="M3345" s="166">
        <f t="shared" si="2"/>
        <v>0.05219445556</v>
      </c>
      <c r="N3345" s="167">
        <f t="shared" si="3"/>
        <v>3.244285714</v>
      </c>
      <c r="O3345" s="163">
        <f t="shared" ref="O3345:Q3345" si="3349">rank(I3345,I:I)</f>
        <v>3178</v>
      </c>
      <c r="P3345" s="163">
        <f t="shared" si="3349"/>
        <v>1967</v>
      </c>
      <c r="Q3345" s="163">
        <f t="shared" si="3349"/>
        <v>1334</v>
      </c>
      <c r="R3345" s="163">
        <f>IFERROR(__xludf.DUMMYFUNCTION("RANK(M3345,filter(M:M,C:C=C3345))"),429.0)</f>
        <v>429</v>
      </c>
      <c r="S3345" s="161" t="b">
        <f t="shared" si="5"/>
        <v>0</v>
      </c>
      <c r="T3345" s="161" t="b">
        <f t="array" ref="T3345">index('Query Tool'!B:B,match(H3345,'Query Tool'!C:C,0))</f>
        <v>1</v>
      </c>
      <c r="U3345" s="161" t="b">
        <f t="array" ref="U3345">index('Query Tool'!B:B,match(C3345,'Query Tool'!C:C,0))</f>
        <v>0</v>
      </c>
      <c r="V3345" s="161" t="b">
        <f>F3345&gt;='Query Tool'!C$32</f>
        <v>0</v>
      </c>
      <c r="W3345" s="161" t="b">
        <f t="array" ref="W3345">index(Dropdowns!B:B,match(I3345,Dropdowns!A:A,0))</f>
        <v>1</v>
      </c>
      <c r="X3345" s="161" t="b">
        <f t="array" ref="X3345">index('Query Tool'!B:B,match(D3345,'Query Tool'!C:C,0))</f>
        <v>1</v>
      </c>
      <c r="Y3345" s="161" t="str">
        <f t="shared" si="6"/>
        <v>cancavl01,2019-20</v>
      </c>
      <c r="Z3345" s="168" t="str">
        <f t="array" ref="Z3345">iferror(index(I:I,match($A3345&amp;","&amp;index('Year Conversion'!$A:$A,match($C3345,'Year Conversion'!$B:$B,0)),$Y:$Y,0))-I3345,"")</f>
        <v/>
      </c>
      <c r="AA3345" s="168" t="str">
        <f t="array" ref="AA3345">iferror(index(J:J,match($A3345&amp;","&amp;index('Year Conversion'!$A:$A,match($C3345,'Year Conversion'!$B:$B,0)),$Y:$Y,0))-J3345,"")</f>
        <v/>
      </c>
      <c r="AB3345" s="168" t="str">
        <f t="array" ref="AB3345">iferror(index(K:K,match($A3345&amp;","&amp;index('Year Conversion'!$A:$A,match($C3345,'Year Conversion'!$B:$B,0)),$Y:$Y,0))-K3345,"")</f>
        <v/>
      </c>
      <c r="AC3345" s="168" t="str">
        <f t="shared" si="7"/>
        <v>DEN,2019-20</v>
      </c>
    </row>
    <row r="3346">
      <c r="A3346" s="161" t="str">
        <f>IFERROR(__xludf.DUMMYFUNCTION("""COMPUTED_VALUE"""),"willini01")</f>
        <v>willini01</v>
      </c>
      <c r="B3346" s="161" t="str">
        <f>IFERROR(__xludf.DUMMYFUNCTION("""COMPUTED_VALUE"""),"Nigel Williams-Goss")</f>
        <v>Nigel Williams-Goss</v>
      </c>
      <c r="C3346" s="162" t="str">
        <f>IFERROR(__xludf.DUMMYFUNCTION("""COMPUTED_VALUE"""),"2019-20")</f>
        <v>2019-20</v>
      </c>
      <c r="D3346" s="163" t="str">
        <f>IFERROR(__xludf.DUMMYFUNCTION("""COMPUTED_VALUE"""),"UTA")</f>
        <v>UTA</v>
      </c>
      <c r="E3346" s="164" t="str">
        <f>IFERROR(__xludf.DUMMYFUNCTION("""COMPUTED_VALUE"""),"Stationary Shooter")</f>
        <v>Stationary Shooter</v>
      </c>
      <c r="F3346" s="164">
        <f>IFERROR(__xludf.DUMMYFUNCTION("""COMPUTED_VALUE"""),49.805)</f>
        <v>49.805</v>
      </c>
      <c r="G3346" s="163">
        <f>IFERROR(__xludf.DUMMYFUNCTION("""COMPUTED_VALUE"""),10.0)</f>
        <v>10</v>
      </c>
      <c r="H3346" s="163" t="str">
        <f>IFERROR(__xludf.DUMMYFUNCTION("""COMPUTED_VALUE"""),"PG")</f>
        <v>PG</v>
      </c>
      <c r="I3346" s="163">
        <f>IFERROR(__xludf.DUMMYFUNCTION("""COMPUTED_VALUE"""),25.0)</f>
        <v>25</v>
      </c>
      <c r="J3346" s="165">
        <f>IFERROR(__xludf.DUMMYFUNCTION("""COMPUTED_VALUE"""),-0.349285267143149)</f>
        <v>-0.3492852671</v>
      </c>
      <c r="K3346" s="165">
        <f>IFERROR(__xludf.DUMMYFUNCTION("""COMPUTED_VALUE"""),-0.167105787902535)</f>
        <v>-0.1671057879</v>
      </c>
      <c r="L3346" s="165">
        <f>IFERROR(__xludf.DUMMYFUNCTION("""COMPUTED_VALUE"""),-0.182179479240613)</f>
        <v>-0.1821794792</v>
      </c>
      <c r="M3346" s="166">
        <f t="shared" si="2"/>
        <v>0.06505638666</v>
      </c>
      <c r="N3346" s="167">
        <f t="shared" si="3"/>
        <v>4.9805</v>
      </c>
      <c r="O3346" s="163">
        <f t="shared" ref="O3346:Q3346" si="3350">rank(I3346,I:I)</f>
        <v>1995</v>
      </c>
      <c r="P3346" s="163">
        <f t="shared" si="3350"/>
        <v>1672</v>
      </c>
      <c r="Q3346" s="163">
        <f t="shared" si="3350"/>
        <v>1507</v>
      </c>
      <c r="R3346" s="163">
        <f>IFERROR(__xludf.DUMMYFUNCTION("RANK(M3346,filter(M:M,C:C=C3346))"),415.0)</f>
        <v>415</v>
      </c>
      <c r="S3346" s="161" t="b">
        <f t="shared" si="5"/>
        <v>0</v>
      </c>
      <c r="T3346" s="161" t="b">
        <f t="array" ref="T3346">index('Query Tool'!B:B,match(H3346,'Query Tool'!C:C,0))</f>
        <v>1</v>
      </c>
      <c r="U3346" s="161" t="b">
        <f t="array" ref="U3346">index('Query Tool'!B:B,match(C3346,'Query Tool'!C:C,0))</f>
        <v>0</v>
      </c>
      <c r="V3346" s="161" t="b">
        <f>F3346&gt;='Query Tool'!C$32</f>
        <v>0</v>
      </c>
      <c r="W3346" s="161" t="b">
        <f t="array" ref="W3346">index(Dropdowns!B:B,match(I3346,Dropdowns!A:A,0))</f>
        <v>1</v>
      </c>
      <c r="X3346" s="161" t="b">
        <f t="array" ref="X3346">index('Query Tool'!B:B,match(D3346,'Query Tool'!C:C,0))</f>
        <v>1</v>
      </c>
      <c r="Y3346" s="161" t="str">
        <f t="shared" si="6"/>
        <v>willini01,2019-20</v>
      </c>
      <c r="Z3346" s="168" t="str">
        <f t="array" ref="Z3346">iferror(index(I:I,match($A3346&amp;","&amp;index('Year Conversion'!$A:$A,match($C3346,'Year Conversion'!$B:$B,0)),$Y:$Y,0))-I3346,"")</f>
        <v/>
      </c>
      <c r="AA3346" s="168" t="str">
        <f t="array" ref="AA3346">iferror(index(J:J,match($A3346&amp;","&amp;index('Year Conversion'!$A:$A,match($C3346,'Year Conversion'!$B:$B,0)),$Y:$Y,0))-J3346,"")</f>
        <v/>
      </c>
      <c r="AB3346" s="168" t="str">
        <f t="array" ref="AB3346">iferror(index(K:K,match($A3346&amp;","&amp;index('Year Conversion'!$A:$A,match($C3346,'Year Conversion'!$B:$B,0)),$Y:$Y,0))-K3346,"")</f>
        <v/>
      </c>
      <c r="AC3346" s="168" t="str">
        <f t="shared" si="7"/>
        <v>UTA,2019-20</v>
      </c>
    </row>
    <row r="3347">
      <c r="A3347" s="161" t="str">
        <f>IFERROR(__xludf.DUMMYFUNCTION("""COMPUTED_VALUE"""),"kornelu01")</f>
        <v>kornelu01</v>
      </c>
      <c r="B3347" s="161" t="str">
        <f>IFERROR(__xludf.DUMMYFUNCTION("""COMPUTED_VALUE"""),"Luke Kornet")</f>
        <v>Luke Kornet</v>
      </c>
      <c r="C3347" s="162" t="str">
        <f>IFERROR(__xludf.DUMMYFUNCTION("""COMPUTED_VALUE"""),"2019-20")</f>
        <v>2019-20</v>
      </c>
      <c r="D3347" s="163" t="str">
        <f>IFERROR(__xludf.DUMMYFUNCTION("""COMPUTED_VALUE"""),"CHI")</f>
        <v>CHI</v>
      </c>
      <c r="E3347" s="164" t="str">
        <f>IFERROR(__xludf.DUMMYFUNCTION("""COMPUTED_VALUE"""),"Stretch Big")</f>
        <v>Stretch Big</v>
      </c>
      <c r="F3347" s="164">
        <f>IFERROR(__xludf.DUMMYFUNCTION("""COMPUTED_VALUE"""),558.543333333334)</f>
        <v>558.5433333</v>
      </c>
      <c r="G3347" s="163">
        <f>IFERROR(__xludf.DUMMYFUNCTION("""COMPUTED_VALUE"""),36.0)</f>
        <v>36</v>
      </c>
      <c r="H3347" s="163" t="str">
        <f>IFERROR(__xludf.DUMMYFUNCTION("""COMPUTED_VALUE"""),"C")</f>
        <v>C</v>
      </c>
      <c r="I3347" s="163">
        <f>IFERROR(__xludf.DUMMYFUNCTION("""COMPUTED_VALUE"""),24.0)</f>
        <v>24</v>
      </c>
      <c r="J3347" s="165">
        <f>IFERROR(__xludf.DUMMYFUNCTION("""COMPUTED_VALUE"""),-0.185211413898279)</f>
        <v>-0.1852114139</v>
      </c>
      <c r="K3347" s="165">
        <f>IFERROR(__xludf.DUMMYFUNCTION("""COMPUTED_VALUE"""),-0.256915875824344)</f>
        <v>-0.2569158758</v>
      </c>
      <c r="L3347" s="165">
        <f>IFERROR(__xludf.DUMMYFUNCTION("""COMPUTED_VALUE"""),0.0717044619260645)</f>
        <v>0.07170446193</v>
      </c>
      <c r="M3347" s="166">
        <f t="shared" si="2"/>
        <v>0.7913469694</v>
      </c>
      <c r="N3347" s="167">
        <f t="shared" si="3"/>
        <v>15.51509259</v>
      </c>
      <c r="O3347" s="163">
        <f t="shared" ref="O3347:Q3347" si="3351">rank(I3347,I:I)</f>
        <v>2361</v>
      </c>
      <c r="P3347" s="163">
        <f t="shared" si="3351"/>
        <v>1487</v>
      </c>
      <c r="Q3347" s="163">
        <f t="shared" si="3351"/>
        <v>1685</v>
      </c>
      <c r="R3347" s="163">
        <f>IFERROR(__xludf.DUMMYFUNCTION("RANK(M3347,filter(M:M,C:C=C3347))"),224.0)</f>
        <v>224</v>
      </c>
      <c r="S3347" s="161" t="b">
        <f t="shared" si="5"/>
        <v>0</v>
      </c>
      <c r="T3347" s="161" t="b">
        <f t="array" ref="T3347">index('Query Tool'!B:B,match(H3347,'Query Tool'!C:C,0))</f>
        <v>1</v>
      </c>
      <c r="U3347" s="161" t="b">
        <f t="array" ref="U3347">index('Query Tool'!B:B,match(C3347,'Query Tool'!C:C,0))</f>
        <v>0</v>
      </c>
      <c r="V3347" s="161" t="b">
        <f>F3347&gt;='Query Tool'!C$32</f>
        <v>1</v>
      </c>
      <c r="W3347" s="161" t="b">
        <f t="array" ref="W3347">index(Dropdowns!B:B,match(I3347,Dropdowns!A:A,0))</f>
        <v>1</v>
      </c>
      <c r="X3347" s="161" t="b">
        <f t="array" ref="X3347">index('Query Tool'!B:B,match(D3347,'Query Tool'!C:C,0))</f>
        <v>1</v>
      </c>
      <c r="Y3347" s="161" t="str">
        <f t="shared" si="6"/>
        <v>kornelu01,2019-20</v>
      </c>
      <c r="Z3347" s="168" t="str">
        <f t="array" ref="Z3347">iferror(index(I:I,match($A3347&amp;","&amp;index('Year Conversion'!$A:$A,match($C3347,'Year Conversion'!$B:$B,0)),$Y:$Y,0))-I3347,"")</f>
        <v/>
      </c>
      <c r="AA3347" s="168" t="str">
        <f t="array" ref="AA3347">iferror(index(J:J,match($A3347&amp;","&amp;index('Year Conversion'!$A:$A,match($C3347,'Year Conversion'!$B:$B,0)),$Y:$Y,0))-J3347,"")</f>
        <v/>
      </c>
      <c r="AB3347" s="168" t="str">
        <f t="array" ref="AB3347">iferror(index(K:K,match($A3347&amp;","&amp;index('Year Conversion'!$A:$A,match($C3347,'Year Conversion'!$B:$B,0)),$Y:$Y,0))-K3347,"")</f>
        <v/>
      </c>
      <c r="AC3347" s="168" t="str">
        <f t="shared" si="7"/>
        <v>CHI,2019-20</v>
      </c>
    </row>
    <row r="3348">
      <c r="A3348" s="161" t="str">
        <f>IFERROR(__xludf.DUMMYFUNCTION("""COMPUTED_VALUE"""),"allenka01")</f>
        <v>allenka01</v>
      </c>
      <c r="B3348" s="161" t="str">
        <f>IFERROR(__xludf.DUMMYFUNCTION("""COMPUTED_VALUE"""),"Kadeem Allen")</f>
        <v>Kadeem Allen</v>
      </c>
      <c r="C3348" s="162" t="str">
        <f>IFERROR(__xludf.DUMMYFUNCTION("""COMPUTED_VALUE"""),"2019-20")</f>
        <v>2019-20</v>
      </c>
      <c r="D3348" s="163" t="str">
        <f>IFERROR(__xludf.DUMMYFUNCTION("""COMPUTED_VALUE"""),"NYK")</f>
        <v>NYK</v>
      </c>
      <c r="E3348" s="164" t="str">
        <f>IFERROR(__xludf.DUMMYFUNCTION("""COMPUTED_VALUE"""),"Secondary Ball Handler")</f>
        <v>Secondary Ball Handler</v>
      </c>
      <c r="F3348" s="164">
        <f>IFERROR(__xludf.DUMMYFUNCTION("""COMPUTED_VALUE"""),117.05)</f>
        <v>117.05</v>
      </c>
      <c r="G3348" s="163">
        <f>IFERROR(__xludf.DUMMYFUNCTION("""COMPUTED_VALUE"""),10.0)</f>
        <v>10</v>
      </c>
      <c r="H3348" s="163" t="str">
        <f>IFERROR(__xludf.DUMMYFUNCTION("""COMPUTED_VALUE"""),"PG")</f>
        <v>PG</v>
      </c>
      <c r="I3348" s="163">
        <f>IFERROR(__xludf.DUMMYFUNCTION("""COMPUTED_VALUE"""),27.0)</f>
        <v>27</v>
      </c>
      <c r="J3348" s="165">
        <f>IFERROR(__xludf.DUMMYFUNCTION("""COMPUTED_VALUE"""),0.222556138762384)</f>
        <v>0.2225561388</v>
      </c>
      <c r="K3348" s="165">
        <f>IFERROR(__xludf.DUMMYFUNCTION("""COMPUTED_VALUE"""),0.324764490899802)</f>
        <v>0.3247644909</v>
      </c>
      <c r="L3348" s="165">
        <f>IFERROR(__xludf.DUMMYFUNCTION("""COMPUTED_VALUE"""),-0.102208352137418)</f>
        <v>-0.1022083521</v>
      </c>
      <c r="M3348" s="166">
        <f t="shared" si="2"/>
        <v>0.1980136518</v>
      </c>
      <c r="N3348" s="167">
        <f t="shared" si="3"/>
        <v>11.705</v>
      </c>
      <c r="O3348" s="163">
        <f t="shared" ref="O3348:Q3348" si="3352">rank(I3348,I:I)</f>
        <v>1366</v>
      </c>
      <c r="P3348" s="163">
        <f t="shared" si="3352"/>
        <v>1071</v>
      </c>
      <c r="Q3348" s="163">
        <f t="shared" si="3352"/>
        <v>890</v>
      </c>
      <c r="R3348" s="163">
        <f>IFERROR(__xludf.DUMMYFUNCTION("RANK(M3348,filter(M:M,C:C=C3348))"),338.0)</f>
        <v>338</v>
      </c>
      <c r="S3348" s="161" t="b">
        <f t="shared" si="5"/>
        <v>0</v>
      </c>
      <c r="T3348" s="161" t="b">
        <f t="array" ref="T3348">index('Query Tool'!B:B,match(H3348,'Query Tool'!C:C,0))</f>
        <v>1</v>
      </c>
      <c r="U3348" s="161" t="b">
        <f t="array" ref="U3348">index('Query Tool'!B:B,match(C3348,'Query Tool'!C:C,0))</f>
        <v>0</v>
      </c>
      <c r="V3348" s="161" t="b">
        <f>F3348&gt;='Query Tool'!C$32</f>
        <v>0</v>
      </c>
      <c r="W3348" s="161" t="b">
        <f t="array" ref="W3348">index(Dropdowns!B:B,match(I3348,Dropdowns!A:A,0))</f>
        <v>1</v>
      </c>
      <c r="X3348" s="161" t="b">
        <f t="array" ref="X3348">index('Query Tool'!B:B,match(D3348,'Query Tool'!C:C,0))</f>
        <v>1</v>
      </c>
      <c r="Y3348" s="161" t="str">
        <f t="shared" si="6"/>
        <v>allenka01,2019-20</v>
      </c>
      <c r="Z3348" s="168" t="str">
        <f t="array" ref="Z3348">iferror(index(I:I,match($A3348&amp;","&amp;index('Year Conversion'!$A:$A,match($C3348,'Year Conversion'!$B:$B,0)),$Y:$Y,0))-I3348,"")</f>
        <v/>
      </c>
      <c r="AA3348" s="168" t="str">
        <f t="array" ref="AA3348">iferror(index(J:J,match($A3348&amp;","&amp;index('Year Conversion'!$A:$A,match($C3348,'Year Conversion'!$B:$B,0)),$Y:$Y,0))-J3348,"")</f>
        <v/>
      </c>
      <c r="AB3348" s="168" t="str">
        <f t="array" ref="AB3348">iferror(index(K:K,match($A3348&amp;","&amp;index('Year Conversion'!$A:$A,match($C3348,'Year Conversion'!$B:$B,0)),$Y:$Y,0))-K3348,"")</f>
        <v/>
      </c>
      <c r="AC3348" s="168" t="str">
        <f t="shared" si="7"/>
        <v>NYK,2019-20</v>
      </c>
    </row>
    <row r="3349">
      <c r="A3349" s="161" t="str">
        <f>IFERROR(__xludf.DUMMYFUNCTION("""COMPUTED_VALUE"""),"bouchch01")</f>
        <v>bouchch01</v>
      </c>
      <c r="B3349" s="161" t="str">
        <f>IFERROR(__xludf.DUMMYFUNCTION("""COMPUTED_VALUE"""),"Chris Boucher")</f>
        <v>Chris Boucher</v>
      </c>
      <c r="C3349" s="162" t="str">
        <f>IFERROR(__xludf.DUMMYFUNCTION("""COMPUTED_VALUE"""),"2019-20")</f>
        <v>2019-20</v>
      </c>
      <c r="D3349" s="163" t="str">
        <f>IFERROR(__xludf.DUMMYFUNCTION("""COMPUTED_VALUE"""),"TOR")</f>
        <v>TOR</v>
      </c>
      <c r="E3349" s="164" t="str">
        <f>IFERROR(__xludf.DUMMYFUNCTION("""COMPUTED_VALUE"""),"Stretch Big")</f>
        <v>Stretch Big</v>
      </c>
      <c r="F3349" s="164">
        <f>IFERROR(__xludf.DUMMYFUNCTION("""COMPUTED_VALUE"""),818.605)</f>
        <v>818.605</v>
      </c>
      <c r="G3349" s="163">
        <f>IFERROR(__xludf.DUMMYFUNCTION("""COMPUTED_VALUE"""),62.0)</f>
        <v>62</v>
      </c>
      <c r="H3349" s="163" t="str">
        <f>IFERROR(__xludf.DUMMYFUNCTION("""COMPUTED_VALUE"""),"C")</f>
        <v>C</v>
      </c>
      <c r="I3349" s="163">
        <f>IFERROR(__xludf.DUMMYFUNCTION("""COMPUTED_VALUE"""),27.0)</f>
        <v>27</v>
      </c>
      <c r="J3349" s="165">
        <f>IFERROR(__xludf.DUMMYFUNCTION("""COMPUTED_VALUE"""),1.7972653864751)</f>
        <v>1.797265386</v>
      </c>
      <c r="K3349" s="165">
        <f>IFERROR(__xludf.DUMMYFUNCTION("""COMPUTED_VALUE"""),1.30269443082051)</f>
        <v>1.302694431</v>
      </c>
      <c r="L3349" s="165">
        <f>IFERROR(__xludf.DUMMYFUNCTION("""COMPUTED_VALUE"""),0.494570955654591)</f>
        <v>0.4945709557</v>
      </c>
      <c r="M3349" s="166">
        <f t="shared" si="2"/>
        <v>2.249490942</v>
      </c>
      <c r="N3349" s="167">
        <f t="shared" si="3"/>
        <v>13.20330645</v>
      </c>
      <c r="O3349" s="163">
        <f t="shared" ref="O3349:Q3349" si="3353">rank(I3349,I:I)</f>
        <v>1366</v>
      </c>
      <c r="P3349" s="163">
        <f t="shared" si="3353"/>
        <v>374</v>
      </c>
      <c r="Q3349" s="163">
        <f t="shared" si="3353"/>
        <v>383</v>
      </c>
      <c r="R3349" s="163">
        <f>IFERROR(__xludf.DUMMYFUNCTION("RANK(M3349,filter(M:M,C:C=C3349))"),140.0)</f>
        <v>140</v>
      </c>
      <c r="S3349" s="161" t="b">
        <f t="shared" si="5"/>
        <v>0</v>
      </c>
      <c r="T3349" s="161" t="b">
        <f t="array" ref="T3349">index('Query Tool'!B:B,match(H3349,'Query Tool'!C:C,0))</f>
        <v>1</v>
      </c>
      <c r="U3349" s="161" t="b">
        <f t="array" ref="U3349">index('Query Tool'!B:B,match(C3349,'Query Tool'!C:C,0))</f>
        <v>0</v>
      </c>
      <c r="V3349" s="161" t="b">
        <f>F3349&gt;='Query Tool'!C$32</f>
        <v>1</v>
      </c>
      <c r="W3349" s="161" t="b">
        <f t="array" ref="W3349">index(Dropdowns!B:B,match(I3349,Dropdowns!A:A,0))</f>
        <v>1</v>
      </c>
      <c r="X3349" s="161" t="b">
        <f t="array" ref="X3349">index('Query Tool'!B:B,match(D3349,'Query Tool'!C:C,0))</f>
        <v>1</v>
      </c>
      <c r="Y3349" s="161" t="str">
        <f t="shared" si="6"/>
        <v>bouchch01,2019-20</v>
      </c>
      <c r="Z3349" s="168" t="str">
        <f t="array" ref="Z3349">iferror(index(I:I,match($A3349&amp;","&amp;index('Year Conversion'!$A:$A,match($C3349,'Year Conversion'!$B:$B,0)),$Y:$Y,0))-I3349,"")</f>
        <v/>
      </c>
      <c r="AA3349" s="168" t="str">
        <f t="array" ref="AA3349">iferror(index(J:J,match($A3349&amp;","&amp;index('Year Conversion'!$A:$A,match($C3349,'Year Conversion'!$B:$B,0)),$Y:$Y,0))-J3349,"")</f>
        <v/>
      </c>
      <c r="AB3349" s="168" t="str">
        <f t="array" ref="AB3349">iferror(index(K:K,match($A3349&amp;","&amp;index('Year Conversion'!$A:$A,match($C3349,'Year Conversion'!$B:$B,0)),$Y:$Y,0))-K3349,"")</f>
        <v/>
      </c>
      <c r="AC3349" s="168" t="str">
        <f t="shared" si="7"/>
        <v>TOR,2019-20</v>
      </c>
    </row>
    <row r="3350">
      <c r="A3350" s="161" t="str">
        <f>IFERROR(__xludf.DUMMYFUNCTION("""COMPUTED_VALUE"""),"mikaer01")</f>
        <v>mikaer01</v>
      </c>
      <c r="B3350" s="161" t="str">
        <f>IFERROR(__xludf.DUMMYFUNCTION("""COMPUTED_VALUE"""),"Eric Mika")</f>
        <v>Eric Mika</v>
      </c>
      <c r="C3350" s="162" t="str">
        <f>IFERROR(__xludf.DUMMYFUNCTION("""COMPUTED_VALUE"""),"2019-20")</f>
        <v>2019-20</v>
      </c>
      <c r="D3350" s="163" t="str">
        <f>IFERROR(__xludf.DUMMYFUNCTION("""COMPUTED_VALUE"""),"SAC")</f>
        <v>SAC</v>
      </c>
      <c r="E3350" s="164" t="str">
        <f>IFERROR(__xludf.DUMMYFUNCTION("""COMPUTED_VALUE"""),"Roll + Cut Big")</f>
        <v>Roll + Cut Big</v>
      </c>
      <c r="F3350" s="164">
        <f>IFERROR(__xludf.DUMMYFUNCTION("""COMPUTED_VALUE"""),19.0416666666667)</f>
        <v>19.04166667</v>
      </c>
      <c r="G3350" s="163">
        <f>IFERROR(__xludf.DUMMYFUNCTION("""COMPUTED_VALUE"""),1.0)</f>
        <v>1</v>
      </c>
      <c r="H3350" s="163" t="str">
        <f>IFERROR(__xludf.DUMMYFUNCTION("""COMPUTED_VALUE"""),"C")</f>
        <v>C</v>
      </c>
      <c r="I3350" s="163">
        <f>IFERROR(__xludf.DUMMYFUNCTION("""COMPUTED_VALUE"""),25.0)</f>
        <v>25</v>
      </c>
      <c r="J3350" s="165">
        <f>IFERROR(__xludf.DUMMYFUNCTION("""COMPUTED_VALUE"""),0.262234845263654)</f>
        <v>0.2622348453</v>
      </c>
      <c r="K3350" s="165">
        <f>IFERROR(__xludf.DUMMYFUNCTION("""COMPUTED_VALUE"""),0.0680661870652614)</f>
        <v>0.06806618707</v>
      </c>
      <c r="L3350" s="165">
        <f>IFERROR(__xludf.DUMMYFUNCTION("""COMPUTED_VALUE"""),0.194168658198393)</f>
        <v>0.1941686582</v>
      </c>
      <c r="M3350" s="166">
        <f t="shared" si="2"/>
        <v>0.03272207289</v>
      </c>
      <c r="N3350" s="167">
        <f t="shared" si="3"/>
        <v>19.04166667</v>
      </c>
      <c r="O3350" s="163">
        <f t="shared" ref="O3350:Q3350" si="3354">rank(I3350,I:I)</f>
        <v>1995</v>
      </c>
      <c r="P3350" s="163">
        <f t="shared" si="3354"/>
        <v>1046</v>
      </c>
      <c r="Q3350" s="163">
        <f t="shared" si="3354"/>
        <v>1109</v>
      </c>
      <c r="R3350" s="163">
        <f>IFERROR(__xludf.DUMMYFUNCTION("RANK(M3350,filter(M:M,C:C=C3350))"),452.0)</f>
        <v>452</v>
      </c>
      <c r="S3350" s="161" t="b">
        <f t="shared" si="5"/>
        <v>0</v>
      </c>
      <c r="T3350" s="161" t="b">
        <f t="array" ref="T3350">index('Query Tool'!B:B,match(H3350,'Query Tool'!C:C,0))</f>
        <v>1</v>
      </c>
      <c r="U3350" s="161" t="b">
        <f t="array" ref="U3350">index('Query Tool'!B:B,match(C3350,'Query Tool'!C:C,0))</f>
        <v>0</v>
      </c>
      <c r="V3350" s="161" t="b">
        <f>F3350&gt;='Query Tool'!C$32</f>
        <v>0</v>
      </c>
      <c r="W3350" s="161" t="b">
        <f t="array" ref="W3350">index(Dropdowns!B:B,match(I3350,Dropdowns!A:A,0))</f>
        <v>1</v>
      </c>
      <c r="X3350" s="161" t="b">
        <f t="array" ref="X3350">index('Query Tool'!B:B,match(D3350,'Query Tool'!C:C,0))</f>
        <v>1</v>
      </c>
      <c r="Y3350" s="161" t="str">
        <f t="shared" si="6"/>
        <v>mikaer01,2019-20</v>
      </c>
      <c r="Z3350" s="168" t="str">
        <f t="array" ref="Z3350">iferror(index(I:I,match($A3350&amp;","&amp;index('Year Conversion'!$A:$A,match($C3350,'Year Conversion'!$B:$B,0)),$Y:$Y,0))-I3350,"")</f>
        <v/>
      </c>
      <c r="AA3350" s="168" t="str">
        <f t="array" ref="AA3350">iferror(index(J:J,match($A3350&amp;","&amp;index('Year Conversion'!$A:$A,match($C3350,'Year Conversion'!$B:$B,0)),$Y:$Y,0))-J3350,"")</f>
        <v/>
      </c>
      <c r="AB3350" s="168" t="str">
        <f t="array" ref="AB3350">iferror(index(K:K,match($A3350&amp;","&amp;index('Year Conversion'!$A:$A,match($C3350,'Year Conversion'!$B:$B,0)),$Y:$Y,0))-K3350,"")</f>
        <v/>
      </c>
      <c r="AC3350" s="168" t="str">
        <f t="shared" si="7"/>
        <v>SAC,2019-20</v>
      </c>
    </row>
    <row r="3351">
      <c r="A3351" s="161" t="str">
        <f>IFERROR(__xludf.DUMMYFUNCTION("""COMPUTED_VALUE"""),"theisda01")</f>
        <v>theisda01</v>
      </c>
      <c r="B3351" s="161" t="str">
        <f>IFERROR(__xludf.DUMMYFUNCTION("""COMPUTED_VALUE"""),"Daniel Theis")</f>
        <v>Daniel Theis</v>
      </c>
      <c r="C3351" s="162" t="str">
        <f>IFERROR(__xludf.DUMMYFUNCTION("""COMPUTED_VALUE"""),"2019-20")</f>
        <v>2019-20</v>
      </c>
      <c r="D3351" s="163" t="str">
        <f>IFERROR(__xludf.DUMMYFUNCTION("""COMPUTED_VALUE"""),"BOS")</f>
        <v>BOS</v>
      </c>
      <c r="E3351" s="164" t="str">
        <f>IFERROR(__xludf.DUMMYFUNCTION("""COMPUTED_VALUE"""),"Roll + Cut Big")</f>
        <v>Roll + Cut Big</v>
      </c>
      <c r="F3351" s="164">
        <f>IFERROR(__xludf.DUMMYFUNCTION("""COMPUTED_VALUE"""),1566.135)</f>
        <v>1566.135</v>
      </c>
      <c r="G3351" s="163">
        <f>IFERROR(__xludf.DUMMYFUNCTION("""COMPUTED_VALUE"""),65.0)</f>
        <v>65</v>
      </c>
      <c r="H3351" s="163" t="str">
        <f>IFERROR(__xludf.DUMMYFUNCTION("""COMPUTED_VALUE"""),"C")</f>
        <v>C</v>
      </c>
      <c r="I3351" s="163">
        <f>IFERROR(__xludf.DUMMYFUNCTION("""COMPUTED_VALUE"""),27.0)</f>
        <v>27</v>
      </c>
      <c r="J3351" s="165">
        <f>IFERROR(__xludf.DUMMYFUNCTION("""COMPUTED_VALUE"""),1.76549925175239)</f>
        <v>1.765499252</v>
      </c>
      <c r="K3351" s="165">
        <f>IFERROR(__xludf.DUMMYFUNCTION("""COMPUTED_VALUE"""),-0.5895235569359)</f>
        <v>-0.5895235569</v>
      </c>
      <c r="L3351" s="165">
        <f>IFERROR(__xludf.DUMMYFUNCTION("""COMPUTED_VALUE"""),2.35502280868829)</f>
        <v>2.355022809</v>
      </c>
      <c r="M3351" s="166">
        <f t="shared" si="2"/>
        <v>4.27056961</v>
      </c>
      <c r="N3351" s="167">
        <f t="shared" si="3"/>
        <v>24.09438462</v>
      </c>
      <c r="O3351" s="163">
        <f t="shared" ref="O3351:Q3351" si="3355">rank(I3351,I:I)</f>
        <v>1366</v>
      </c>
      <c r="P3351" s="163">
        <f t="shared" si="3355"/>
        <v>381</v>
      </c>
      <c r="Q3351" s="163">
        <f t="shared" si="3355"/>
        <v>2246</v>
      </c>
      <c r="R3351" s="163">
        <f>IFERROR(__xludf.DUMMYFUNCTION("RANK(M3351,filter(M:M,C:C=C3351))"),60.0)</f>
        <v>60</v>
      </c>
      <c r="S3351" s="161" t="b">
        <f t="shared" si="5"/>
        <v>0</v>
      </c>
      <c r="T3351" s="161" t="b">
        <f t="array" ref="T3351">index('Query Tool'!B:B,match(H3351,'Query Tool'!C:C,0))</f>
        <v>1</v>
      </c>
      <c r="U3351" s="161" t="b">
        <f t="array" ref="U3351">index('Query Tool'!B:B,match(C3351,'Query Tool'!C:C,0))</f>
        <v>0</v>
      </c>
      <c r="V3351" s="161" t="b">
        <f>F3351&gt;='Query Tool'!C$32</f>
        <v>1</v>
      </c>
      <c r="W3351" s="161" t="b">
        <f t="array" ref="W3351">index(Dropdowns!B:B,match(I3351,Dropdowns!A:A,0))</f>
        <v>1</v>
      </c>
      <c r="X3351" s="161" t="b">
        <f t="array" ref="X3351">index('Query Tool'!B:B,match(D3351,'Query Tool'!C:C,0))</f>
        <v>1</v>
      </c>
      <c r="Y3351" s="161" t="str">
        <f t="shared" si="6"/>
        <v>theisda01,2019-20</v>
      </c>
      <c r="Z3351" s="168" t="str">
        <f t="array" ref="Z3351">iferror(index(I:I,match($A3351&amp;","&amp;index('Year Conversion'!$A:$A,match($C3351,'Year Conversion'!$B:$B,0)),$Y:$Y,0))-I3351,"")</f>
        <v/>
      </c>
      <c r="AA3351" s="168" t="str">
        <f t="array" ref="AA3351">iferror(index(J:J,match($A3351&amp;","&amp;index('Year Conversion'!$A:$A,match($C3351,'Year Conversion'!$B:$B,0)),$Y:$Y,0))-J3351,"")</f>
        <v/>
      </c>
      <c r="AB3351" s="168" t="str">
        <f t="array" ref="AB3351">iferror(index(K:K,match($A3351&amp;","&amp;index('Year Conversion'!$A:$A,match($C3351,'Year Conversion'!$B:$B,0)),$Y:$Y,0))-K3351,"")</f>
        <v/>
      </c>
      <c r="AC3351" s="168" t="str">
        <f t="shared" si="7"/>
        <v>BOS,2019-20</v>
      </c>
    </row>
    <row r="3352">
      <c r="A3352" s="161" t="str">
        <f>IFERROR(__xludf.DUMMYFUNCTION("""COMPUTED_VALUE"""),"klebima01")</f>
        <v>klebima01</v>
      </c>
      <c r="B3352" s="161" t="str">
        <f>IFERROR(__xludf.DUMMYFUNCTION("""COMPUTED_VALUE"""),"Maxi Kleber")</f>
        <v>Maxi Kleber</v>
      </c>
      <c r="C3352" s="162" t="str">
        <f>IFERROR(__xludf.DUMMYFUNCTION("""COMPUTED_VALUE"""),"2019-20")</f>
        <v>2019-20</v>
      </c>
      <c r="D3352" s="163" t="str">
        <f>IFERROR(__xludf.DUMMYFUNCTION("""COMPUTED_VALUE"""),"DAL")</f>
        <v>DAL</v>
      </c>
      <c r="E3352" s="164" t="str">
        <f>IFERROR(__xludf.DUMMYFUNCTION("""COMPUTED_VALUE"""),"Stretch Big")</f>
        <v>Stretch Big</v>
      </c>
      <c r="F3352" s="164">
        <f>IFERROR(__xludf.DUMMYFUNCTION("""COMPUTED_VALUE"""),1889.70333333333)</f>
        <v>1889.703333</v>
      </c>
      <c r="G3352" s="163">
        <f>IFERROR(__xludf.DUMMYFUNCTION("""COMPUTED_VALUE"""),74.0)</f>
        <v>74</v>
      </c>
      <c r="H3352" s="163" t="str">
        <f>IFERROR(__xludf.DUMMYFUNCTION("""COMPUTED_VALUE"""),"PF")</f>
        <v>PF</v>
      </c>
      <c r="I3352" s="163">
        <f>IFERROR(__xludf.DUMMYFUNCTION("""COMPUTED_VALUE"""),28.0)</f>
        <v>28</v>
      </c>
      <c r="J3352" s="165">
        <f>IFERROR(__xludf.DUMMYFUNCTION("""COMPUTED_VALUE"""),-0.485390766747387)</f>
        <v>-0.4853907667</v>
      </c>
      <c r="K3352" s="165">
        <f>IFERROR(__xludf.DUMMYFUNCTION("""COMPUTED_VALUE"""),-0.201643047798183)</f>
        <v>-0.2016430478</v>
      </c>
      <c r="L3352" s="165">
        <f>IFERROR(__xludf.DUMMYFUNCTION("""COMPUTED_VALUE"""),-0.283747718949204)</f>
        <v>-0.2837477189</v>
      </c>
      <c r="M3352" s="166">
        <f t="shared" si="2"/>
        <v>2.295098025</v>
      </c>
      <c r="N3352" s="167">
        <f t="shared" si="3"/>
        <v>25.53653153</v>
      </c>
      <c r="O3352" s="163">
        <f t="shared" ref="O3352:Q3352" si="3356">rank(I3352,I:I)</f>
        <v>1090</v>
      </c>
      <c r="P3352" s="163">
        <f t="shared" si="3356"/>
        <v>1830</v>
      </c>
      <c r="Q3352" s="163">
        <f t="shared" si="3356"/>
        <v>1563</v>
      </c>
      <c r="R3352" s="163">
        <f>IFERROR(__xludf.DUMMYFUNCTION("RANK(M3352,filter(M:M,C:C=C3352))"),137.0)</f>
        <v>137</v>
      </c>
      <c r="S3352" s="161" t="b">
        <f t="shared" si="5"/>
        <v>0</v>
      </c>
      <c r="T3352" s="161" t="b">
        <f t="array" ref="T3352">index('Query Tool'!B:B,match(H3352,'Query Tool'!C:C,0))</f>
        <v>1</v>
      </c>
      <c r="U3352" s="161" t="b">
        <f t="array" ref="U3352">index('Query Tool'!B:B,match(C3352,'Query Tool'!C:C,0))</f>
        <v>0</v>
      </c>
      <c r="V3352" s="161" t="b">
        <f>F3352&gt;='Query Tool'!C$32</f>
        <v>1</v>
      </c>
      <c r="W3352" s="161" t="b">
        <f t="array" ref="W3352">index(Dropdowns!B:B,match(I3352,Dropdowns!A:A,0))</f>
        <v>1</v>
      </c>
      <c r="X3352" s="161" t="b">
        <f t="array" ref="X3352">index('Query Tool'!B:B,match(D3352,'Query Tool'!C:C,0))</f>
        <v>1</v>
      </c>
      <c r="Y3352" s="161" t="str">
        <f t="shared" si="6"/>
        <v>klebima01,2019-20</v>
      </c>
      <c r="Z3352" s="168" t="str">
        <f t="array" ref="Z3352">iferror(index(I:I,match($A3352&amp;","&amp;index('Year Conversion'!$A:$A,match($C3352,'Year Conversion'!$B:$B,0)),$Y:$Y,0))-I3352,"")</f>
        <v/>
      </c>
      <c r="AA3352" s="168" t="str">
        <f t="array" ref="AA3352">iferror(index(J:J,match($A3352&amp;","&amp;index('Year Conversion'!$A:$A,match($C3352,'Year Conversion'!$B:$B,0)),$Y:$Y,0))-J3352,"")</f>
        <v/>
      </c>
      <c r="AB3352" s="168" t="str">
        <f t="array" ref="AB3352">iferror(index(K:K,match($A3352&amp;","&amp;index('Year Conversion'!$A:$A,match($C3352,'Year Conversion'!$B:$B,0)),$Y:$Y,0))-K3352,"")</f>
        <v/>
      </c>
      <c r="AC3352" s="168" t="str">
        <f t="shared" si="7"/>
        <v>DAL,2019-20</v>
      </c>
    </row>
    <row r="3353">
      <c r="A3353" s="161" t="str">
        <f>IFERROR(__xludf.DUMMYFUNCTION("""COMPUTED_VALUE"""),"craigto01")</f>
        <v>craigto01</v>
      </c>
      <c r="B3353" s="161" t="str">
        <f>IFERROR(__xludf.DUMMYFUNCTION("""COMPUTED_VALUE"""),"Torrey Craig")</f>
        <v>Torrey Craig</v>
      </c>
      <c r="C3353" s="162" t="str">
        <f>IFERROR(__xludf.DUMMYFUNCTION("""COMPUTED_VALUE"""),"2019-20")</f>
        <v>2019-20</v>
      </c>
      <c r="D3353" s="163" t="str">
        <f>IFERROR(__xludf.DUMMYFUNCTION("""COMPUTED_VALUE"""),"DEN")</f>
        <v>DEN</v>
      </c>
      <c r="E3353" s="164" t="str">
        <f>IFERROR(__xludf.DUMMYFUNCTION("""COMPUTED_VALUE"""),"Athletic Finisher")</f>
        <v>Athletic Finisher</v>
      </c>
      <c r="F3353" s="164">
        <f>IFERROR(__xludf.DUMMYFUNCTION("""COMPUTED_VALUE"""),1071.93166666667)</f>
        <v>1071.931667</v>
      </c>
      <c r="G3353" s="163">
        <f>IFERROR(__xludf.DUMMYFUNCTION("""COMPUTED_VALUE"""),58.0)</f>
        <v>58</v>
      </c>
      <c r="H3353" s="163" t="str">
        <f>IFERROR(__xludf.DUMMYFUNCTION("""COMPUTED_VALUE"""),"SF")</f>
        <v>SF</v>
      </c>
      <c r="I3353" s="163">
        <f>IFERROR(__xludf.DUMMYFUNCTION("""COMPUTED_VALUE"""),29.0)</f>
        <v>29</v>
      </c>
      <c r="J3353" s="165">
        <f>IFERROR(__xludf.DUMMYFUNCTION("""COMPUTED_VALUE"""),-1.99158157353974)</f>
        <v>-1.991581574</v>
      </c>
      <c r="K3353" s="165">
        <f>IFERROR(__xludf.DUMMYFUNCTION("""COMPUTED_VALUE"""),-1.18802136405028)</f>
        <v>-1.188021364</v>
      </c>
      <c r="L3353" s="165">
        <f>IFERROR(__xludf.DUMMYFUNCTION("""COMPUTED_VALUE"""),-0.803560209489458)</f>
        <v>-0.8035602095</v>
      </c>
      <c r="M3353" s="166">
        <f t="shared" si="2"/>
        <v>0.2211529282</v>
      </c>
      <c r="N3353" s="167">
        <f t="shared" si="3"/>
        <v>18.48158046</v>
      </c>
      <c r="O3353" s="163">
        <f t="shared" ref="O3353:Q3353" si="3357">rank(I3353,I:I)</f>
        <v>855</v>
      </c>
      <c r="P3353" s="163">
        <f t="shared" si="3357"/>
        <v>3474</v>
      </c>
      <c r="Q3353" s="163">
        <f t="shared" si="3357"/>
        <v>3024</v>
      </c>
      <c r="R3353" s="163">
        <f>IFERROR(__xludf.DUMMYFUNCTION("RANK(M3353,filter(M:M,C:C=C3353))"),329.0)</f>
        <v>329</v>
      </c>
      <c r="S3353" s="161" t="b">
        <f t="shared" si="5"/>
        <v>0</v>
      </c>
      <c r="T3353" s="161" t="b">
        <f t="array" ref="T3353">index('Query Tool'!B:B,match(H3353,'Query Tool'!C:C,0))</f>
        <v>1</v>
      </c>
      <c r="U3353" s="161" t="b">
        <f t="array" ref="U3353">index('Query Tool'!B:B,match(C3353,'Query Tool'!C:C,0))</f>
        <v>0</v>
      </c>
      <c r="V3353" s="161" t="b">
        <f>F3353&gt;='Query Tool'!C$32</f>
        <v>1</v>
      </c>
      <c r="W3353" s="161" t="b">
        <f t="array" ref="W3353">index(Dropdowns!B:B,match(I3353,Dropdowns!A:A,0))</f>
        <v>1</v>
      </c>
      <c r="X3353" s="161" t="b">
        <f t="array" ref="X3353">index('Query Tool'!B:B,match(D3353,'Query Tool'!C:C,0))</f>
        <v>1</v>
      </c>
      <c r="Y3353" s="161" t="str">
        <f t="shared" si="6"/>
        <v>craigto01,2019-20</v>
      </c>
      <c r="Z3353" s="168" t="str">
        <f t="array" ref="Z3353">iferror(index(I:I,match($A3353&amp;","&amp;index('Year Conversion'!$A:$A,match($C3353,'Year Conversion'!$B:$B,0)),$Y:$Y,0))-I3353,"")</f>
        <v/>
      </c>
      <c r="AA3353" s="168" t="str">
        <f t="array" ref="AA3353">iferror(index(J:J,match($A3353&amp;","&amp;index('Year Conversion'!$A:$A,match($C3353,'Year Conversion'!$B:$B,0)),$Y:$Y,0))-J3353,"")</f>
        <v/>
      </c>
      <c r="AB3353" s="168" t="str">
        <f t="array" ref="AB3353">iferror(index(K:K,match($A3353&amp;","&amp;index('Year Conversion'!$A:$A,match($C3353,'Year Conversion'!$B:$B,0)),$Y:$Y,0))-K3353,"")</f>
        <v/>
      </c>
      <c r="AC3353" s="168" t="str">
        <f t="shared" si="7"/>
        <v>DEN,2019-20</v>
      </c>
    </row>
    <row r="3354">
      <c r="A3354" s="161" t="str">
        <f>IFERROR(__xludf.DUMMYFUNCTION("""COMPUTED_VALUE"""),"waltode01")</f>
        <v>waltode01</v>
      </c>
      <c r="B3354" s="161" t="str">
        <f>IFERROR(__xludf.DUMMYFUNCTION("""COMPUTED_VALUE"""),"Derrick Walton Jr.")</f>
        <v>Derrick Walton Jr.</v>
      </c>
      <c r="C3354" s="162" t="str">
        <f>IFERROR(__xludf.DUMMYFUNCTION("""COMPUTED_VALUE"""),"2019-20")</f>
        <v>2019-20</v>
      </c>
      <c r="D3354" s="163" t="str">
        <f>IFERROR(__xludf.DUMMYFUNCTION("""COMPUTED_VALUE"""),"TOT")</f>
        <v>TOT</v>
      </c>
      <c r="E3354" s="164" t="str">
        <f>IFERROR(__xludf.DUMMYFUNCTION("""COMPUTED_VALUE"""),"Stationary Shooter")</f>
        <v>Stationary Shooter</v>
      </c>
      <c r="F3354" s="164">
        <f>IFERROR(__xludf.DUMMYFUNCTION("""COMPUTED_VALUE"""),248.303333333333)</f>
        <v>248.3033333</v>
      </c>
      <c r="G3354" s="163">
        <f>IFERROR(__xludf.DUMMYFUNCTION("""COMPUTED_VALUE"""),26.0)</f>
        <v>26</v>
      </c>
      <c r="H3354" s="163" t="str">
        <f>IFERROR(__xludf.DUMMYFUNCTION("""COMPUTED_VALUE"""),"PG")</f>
        <v>PG</v>
      </c>
      <c r="I3354" s="163">
        <f>IFERROR(__xludf.DUMMYFUNCTION("""COMPUTED_VALUE"""),24.0)</f>
        <v>24</v>
      </c>
      <c r="J3354" s="165">
        <f>IFERROR(__xludf.DUMMYFUNCTION("""COMPUTED_VALUE"""),-2.39212194933354)</f>
        <v>-2.392121949</v>
      </c>
      <c r="K3354" s="165">
        <f>IFERROR(__xludf.DUMMYFUNCTION("""COMPUTED_VALUE"""),-1.42281757301208)</f>
        <v>-1.422817573</v>
      </c>
      <c r="L3354" s="165">
        <f>IFERROR(__xludf.DUMMYFUNCTION("""COMPUTED_VALUE"""),-0.969304376321465)</f>
        <v>-0.9693043763</v>
      </c>
      <c r="M3354" s="166">
        <f t="shared" si="2"/>
        <v>-0.01449553812</v>
      </c>
      <c r="N3354" s="167">
        <f t="shared" si="3"/>
        <v>9.550128205</v>
      </c>
      <c r="O3354" s="163">
        <f t="shared" ref="O3354:Q3354" si="3358">rank(I3354,I:I)</f>
        <v>2361</v>
      </c>
      <c r="P3354" s="163">
        <f t="shared" si="3358"/>
        <v>3709</v>
      </c>
      <c r="Q3354" s="163">
        <f t="shared" si="3358"/>
        <v>3272</v>
      </c>
      <c r="R3354" s="163">
        <f>IFERROR(__xludf.DUMMYFUNCTION("RANK(M3354,filter(M:M,C:C=C3354))"),485.0)</f>
        <v>485</v>
      </c>
      <c r="S3354" s="161" t="b">
        <f t="shared" si="5"/>
        <v>0</v>
      </c>
      <c r="T3354" s="161" t="b">
        <f t="array" ref="T3354">index('Query Tool'!B:B,match(H3354,'Query Tool'!C:C,0))</f>
        <v>1</v>
      </c>
      <c r="U3354" s="161" t="b">
        <f t="array" ref="U3354">index('Query Tool'!B:B,match(C3354,'Query Tool'!C:C,0))</f>
        <v>0</v>
      </c>
      <c r="V3354" s="161" t="b">
        <f>F3354&gt;='Query Tool'!C$32</f>
        <v>0</v>
      </c>
      <c r="W3354" s="161" t="b">
        <f t="array" ref="W3354">index(Dropdowns!B:B,match(I3354,Dropdowns!A:A,0))</f>
        <v>1</v>
      </c>
      <c r="X3354" s="161" t="b">
        <f t="array" ref="X3354">index('Query Tool'!B:B,match(D3354,'Query Tool'!C:C,0))</f>
        <v>1</v>
      </c>
      <c r="Y3354" s="161" t="str">
        <f t="shared" si="6"/>
        <v>waltode01,2019-20</v>
      </c>
      <c r="Z3354" s="168" t="str">
        <f t="array" ref="Z3354">iferror(index(I:I,match($A3354&amp;","&amp;index('Year Conversion'!$A:$A,match($C3354,'Year Conversion'!$B:$B,0)),$Y:$Y,0))-I3354,"")</f>
        <v/>
      </c>
      <c r="AA3354" s="168" t="str">
        <f t="array" ref="AA3354">iferror(index(J:J,match($A3354&amp;","&amp;index('Year Conversion'!$A:$A,match($C3354,'Year Conversion'!$B:$B,0)),$Y:$Y,0))-J3354,"")</f>
        <v/>
      </c>
      <c r="AB3354" s="168" t="str">
        <f t="array" ref="AB3354">iferror(index(K:K,match($A3354&amp;","&amp;index('Year Conversion'!$A:$A,match($C3354,'Year Conversion'!$B:$B,0)),$Y:$Y,0))-K3354,"")</f>
        <v/>
      </c>
      <c r="AC3354" s="168" t="str">
        <f t="shared" si="7"/>
        <v>TOT,2019-20</v>
      </c>
    </row>
    <row r="3355">
      <c r="A3355" s="161" t="str">
        <f>IFERROR(__xludf.DUMMYFUNCTION("""COMPUTED_VALUE"""),"clevean01")</f>
        <v>clevean01</v>
      </c>
      <c r="B3355" s="161" t="str">
        <f>IFERROR(__xludf.DUMMYFUNCTION("""COMPUTED_VALUE"""),"Antonius Cleveland")</f>
        <v>Antonius Cleveland</v>
      </c>
      <c r="C3355" s="162" t="str">
        <f>IFERROR(__xludf.DUMMYFUNCTION("""COMPUTED_VALUE"""),"2019-20")</f>
        <v>2019-20</v>
      </c>
      <c r="D3355" s="163" t="str">
        <f>IFERROR(__xludf.DUMMYFUNCTION("""COMPUTED_VALUE"""),"DAL")</f>
        <v>DAL</v>
      </c>
      <c r="E3355" s="164" t="str">
        <f>IFERROR(__xludf.DUMMYFUNCTION("""COMPUTED_VALUE"""),"Slasher")</f>
        <v>Slasher</v>
      </c>
      <c r="F3355" s="164">
        <f>IFERROR(__xludf.DUMMYFUNCTION("""COMPUTED_VALUE"""),45.7383333333333)</f>
        <v>45.73833333</v>
      </c>
      <c r="G3355" s="163">
        <f>IFERROR(__xludf.DUMMYFUNCTION("""COMPUTED_VALUE"""),11.0)</f>
        <v>11</v>
      </c>
      <c r="H3355" s="163" t="str">
        <f>IFERROR(__xludf.DUMMYFUNCTION("""COMPUTED_VALUE"""),"SG")</f>
        <v>SG</v>
      </c>
      <c r="I3355" s="163">
        <f>IFERROR(__xludf.DUMMYFUNCTION("""COMPUTED_VALUE"""),25.0)</f>
        <v>25</v>
      </c>
      <c r="J3355" s="165">
        <f>IFERROR(__xludf.DUMMYFUNCTION("""COMPUTED_VALUE"""),-1.19550347994238)</f>
        <v>-1.19550348</v>
      </c>
      <c r="K3355" s="165">
        <f>IFERROR(__xludf.DUMMYFUNCTION("""COMPUTED_VALUE"""),-0.729523000558115)</f>
        <v>-0.7295230006</v>
      </c>
      <c r="L3355" s="165">
        <f>IFERROR(__xludf.DUMMYFUNCTION("""COMPUTED_VALUE"""),-0.465980479384261)</f>
        <v>-0.4659804794</v>
      </c>
      <c r="M3355" s="166">
        <f t="shared" si="2"/>
        <v>0.03372135787</v>
      </c>
      <c r="N3355" s="167">
        <f t="shared" si="3"/>
        <v>4.158030303</v>
      </c>
      <c r="O3355" s="163">
        <f t="shared" ref="O3355:Q3355" si="3359">rank(I3355,I:I)</f>
        <v>1995</v>
      </c>
      <c r="P3355" s="163">
        <f t="shared" si="3359"/>
        <v>2741</v>
      </c>
      <c r="Q3355" s="163">
        <f t="shared" si="3359"/>
        <v>2453</v>
      </c>
      <c r="R3355" s="163">
        <f>IFERROR(__xludf.DUMMYFUNCTION("RANK(M3355,filter(M:M,C:C=C3355))"),449.0)</f>
        <v>449</v>
      </c>
      <c r="S3355" s="161" t="b">
        <f t="shared" si="5"/>
        <v>0</v>
      </c>
      <c r="T3355" s="161" t="b">
        <f t="array" ref="T3355">index('Query Tool'!B:B,match(H3355,'Query Tool'!C:C,0))</f>
        <v>1</v>
      </c>
      <c r="U3355" s="161" t="b">
        <f t="array" ref="U3355">index('Query Tool'!B:B,match(C3355,'Query Tool'!C:C,0))</f>
        <v>0</v>
      </c>
      <c r="V3355" s="161" t="b">
        <f>F3355&gt;='Query Tool'!C$32</f>
        <v>0</v>
      </c>
      <c r="W3355" s="161" t="b">
        <f t="array" ref="W3355">index(Dropdowns!B:B,match(I3355,Dropdowns!A:A,0))</f>
        <v>1</v>
      </c>
      <c r="X3355" s="161" t="b">
        <f t="array" ref="X3355">index('Query Tool'!B:B,match(D3355,'Query Tool'!C:C,0))</f>
        <v>1</v>
      </c>
      <c r="Y3355" s="161" t="str">
        <f t="shared" si="6"/>
        <v>clevean01,2019-20</v>
      </c>
      <c r="Z3355" s="168" t="str">
        <f t="array" ref="Z3355">iferror(index(I:I,match($A3355&amp;","&amp;index('Year Conversion'!$A:$A,match($C3355,'Year Conversion'!$B:$B,0)),$Y:$Y,0))-I3355,"")</f>
        <v/>
      </c>
      <c r="AA3355" s="168" t="str">
        <f t="array" ref="AA3355">iferror(index(J:J,match($A3355&amp;","&amp;index('Year Conversion'!$A:$A,match($C3355,'Year Conversion'!$B:$B,0)),$Y:$Y,0))-J3355,"")</f>
        <v/>
      </c>
      <c r="AB3355" s="168" t="str">
        <f t="array" ref="AB3355">iferror(index(K:K,match($A3355&amp;","&amp;index('Year Conversion'!$A:$A,match($C3355,'Year Conversion'!$B:$B,0)),$Y:$Y,0))-K3355,"")</f>
        <v/>
      </c>
      <c r="AC3355" s="168" t="str">
        <f t="shared" si="7"/>
        <v>DAL,2019-20</v>
      </c>
    </row>
    <row r="3356">
      <c r="A3356" s="161" t="str">
        <f>IFERROR(__xludf.DUMMYFUNCTION("""COMPUTED_VALUE"""),"mitrona01")</f>
        <v>mitrona01</v>
      </c>
      <c r="B3356" s="161" t="str">
        <f>IFERROR(__xludf.DUMMYFUNCTION("""COMPUTED_VALUE"""),"Naz Mitrou-Long")</f>
        <v>Naz Mitrou-Long</v>
      </c>
      <c r="C3356" s="162" t="str">
        <f>IFERROR(__xludf.DUMMYFUNCTION("""COMPUTED_VALUE"""),"2019-20")</f>
        <v>2019-20</v>
      </c>
      <c r="D3356" s="163" t="str">
        <f>IFERROR(__xludf.DUMMYFUNCTION("""COMPUTED_VALUE"""),"IND")</f>
        <v>IND</v>
      </c>
      <c r="E3356" s="164" t="str">
        <f>IFERROR(__xludf.DUMMYFUNCTION("""COMPUTED_VALUE"""),"Secondary Ball Handler")</f>
        <v>Secondary Ball Handler</v>
      </c>
      <c r="F3356" s="164">
        <f>IFERROR(__xludf.DUMMYFUNCTION("""COMPUTED_VALUE"""),46.85)</f>
        <v>46.85</v>
      </c>
      <c r="G3356" s="163">
        <f>IFERROR(__xludf.DUMMYFUNCTION("""COMPUTED_VALUE"""),5.0)</f>
        <v>5</v>
      </c>
      <c r="H3356" s="163" t="str">
        <f>IFERROR(__xludf.DUMMYFUNCTION("""COMPUTED_VALUE"""),"SG")</f>
        <v>SG</v>
      </c>
      <c r="I3356" s="163">
        <f>IFERROR(__xludf.DUMMYFUNCTION("""COMPUTED_VALUE"""),26.0)</f>
        <v>26</v>
      </c>
      <c r="J3356" s="165">
        <f>IFERROR(__xludf.DUMMYFUNCTION("""COMPUTED_VALUE"""),-0.398558995686574)</f>
        <v>-0.3985589957</v>
      </c>
      <c r="K3356" s="165">
        <f>IFERROR(__xludf.DUMMYFUNCTION("""COMPUTED_VALUE"""),-0.127510714080781)</f>
        <v>-0.1275107141</v>
      </c>
      <c r="L3356" s="165">
        <f>IFERROR(__xludf.DUMMYFUNCTION("""COMPUTED_VALUE"""),-0.271048281605793)</f>
        <v>-0.2710482816</v>
      </c>
      <c r="M3356" s="166">
        <f t="shared" si="2"/>
        <v>0.0596410587</v>
      </c>
      <c r="N3356" s="167">
        <f t="shared" si="3"/>
        <v>9.37</v>
      </c>
      <c r="O3356" s="163">
        <f t="shared" ref="O3356:Q3356" si="3360">rank(I3356,I:I)</f>
        <v>1665</v>
      </c>
      <c r="P3356" s="163">
        <f t="shared" si="3360"/>
        <v>1728</v>
      </c>
      <c r="Q3356" s="163">
        <f t="shared" si="3360"/>
        <v>1429</v>
      </c>
      <c r="R3356" s="163">
        <f>IFERROR(__xludf.DUMMYFUNCTION("RANK(M3356,filter(M:M,C:C=C3356))"),419.0)</f>
        <v>419</v>
      </c>
      <c r="S3356" s="161" t="b">
        <f t="shared" si="5"/>
        <v>0</v>
      </c>
      <c r="T3356" s="161" t="b">
        <f t="array" ref="T3356">index('Query Tool'!B:B,match(H3356,'Query Tool'!C:C,0))</f>
        <v>1</v>
      </c>
      <c r="U3356" s="161" t="b">
        <f t="array" ref="U3356">index('Query Tool'!B:B,match(C3356,'Query Tool'!C:C,0))</f>
        <v>0</v>
      </c>
      <c r="V3356" s="161" t="b">
        <f>F3356&gt;='Query Tool'!C$32</f>
        <v>0</v>
      </c>
      <c r="W3356" s="161" t="b">
        <f t="array" ref="W3356">index(Dropdowns!B:B,match(I3356,Dropdowns!A:A,0))</f>
        <v>1</v>
      </c>
      <c r="X3356" s="161" t="b">
        <f t="array" ref="X3356">index('Query Tool'!B:B,match(D3356,'Query Tool'!C:C,0))</f>
        <v>1</v>
      </c>
      <c r="Y3356" s="161" t="str">
        <f t="shared" si="6"/>
        <v>mitrona01,2019-20</v>
      </c>
      <c r="Z3356" s="168" t="str">
        <f t="array" ref="Z3356">iferror(index(I:I,match($A3356&amp;","&amp;index('Year Conversion'!$A:$A,match($C3356,'Year Conversion'!$B:$B,0)),$Y:$Y,0))-I3356,"")</f>
        <v/>
      </c>
      <c r="AA3356" s="168" t="str">
        <f t="array" ref="AA3356">iferror(index(J:J,match($A3356&amp;","&amp;index('Year Conversion'!$A:$A,match($C3356,'Year Conversion'!$B:$B,0)),$Y:$Y,0))-J3356,"")</f>
        <v/>
      </c>
      <c r="AB3356" s="168" t="str">
        <f t="array" ref="AB3356">iferror(index(K:K,match($A3356&amp;","&amp;index('Year Conversion'!$A:$A,match($C3356,'Year Conversion'!$B:$B,0)),$Y:$Y,0))-K3356,"")</f>
        <v/>
      </c>
      <c r="AC3356" s="168" t="str">
        <f t="shared" si="7"/>
        <v>IND,2019-20</v>
      </c>
    </row>
    <row r="3357">
      <c r="A3357" s="161" t="str">
        <f>IFERROR(__xludf.DUMMYFUNCTION("""COMPUTED_VALUE"""),"jeffeam01")</f>
        <v>jeffeam01</v>
      </c>
      <c r="B3357" s="161" t="str">
        <f>IFERROR(__xludf.DUMMYFUNCTION("""COMPUTED_VALUE"""),"Amile Jefferson")</f>
        <v>Amile Jefferson</v>
      </c>
      <c r="C3357" s="162" t="str">
        <f>IFERROR(__xludf.DUMMYFUNCTION("""COMPUTED_VALUE"""),"2019-20")</f>
        <v>2019-20</v>
      </c>
      <c r="D3357" s="163" t="str">
        <f>IFERROR(__xludf.DUMMYFUNCTION("""COMPUTED_VALUE"""),"ORL")</f>
        <v>ORL</v>
      </c>
      <c r="E3357" s="164" t="str">
        <f>IFERROR(__xludf.DUMMYFUNCTION("""COMPUTED_VALUE"""),"Roll + Cut Big")</f>
        <v>Roll + Cut Big</v>
      </c>
      <c r="F3357" s="164">
        <f>IFERROR(__xludf.DUMMYFUNCTION("""COMPUTED_VALUE"""),74.33)</f>
        <v>74.33</v>
      </c>
      <c r="G3357" s="163">
        <f>IFERROR(__xludf.DUMMYFUNCTION("""COMPUTED_VALUE"""),18.0)</f>
        <v>18</v>
      </c>
      <c r="H3357" s="163" t="str">
        <f>IFERROR(__xludf.DUMMYFUNCTION("""COMPUTED_VALUE"""),"PF")</f>
        <v>PF</v>
      </c>
      <c r="I3357" s="163">
        <f>IFERROR(__xludf.DUMMYFUNCTION("""COMPUTED_VALUE"""),26.0)</f>
        <v>26</v>
      </c>
      <c r="J3357" s="165">
        <f>IFERROR(__xludf.DUMMYFUNCTION("""COMPUTED_VALUE"""),-0.559945211079282)</f>
        <v>-0.5599452111</v>
      </c>
      <c r="K3357" s="165">
        <f>IFERROR(__xludf.DUMMYFUNCTION("""COMPUTED_VALUE"""),-0.795473524980064)</f>
        <v>-0.795473525</v>
      </c>
      <c r="L3357" s="165">
        <f>IFERROR(__xludf.DUMMYFUNCTION("""COMPUTED_VALUE"""),0.235528313900782)</f>
        <v>0.2355283139</v>
      </c>
      <c r="M3357" s="166">
        <f t="shared" si="2"/>
        <v>0.08654402833</v>
      </c>
      <c r="N3357" s="167">
        <f t="shared" si="3"/>
        <v>4.129444444</v>
      </c>
      <c r="O3357" s="163">
        <f t="shared" ref="O3357:Q3357" si="3361">rank(I3357,I:I)</f>
        <v>1665</v>
      </c>
      <c r="P3357" s="163">
        <f t="shared" si="3361"/>
        <v>1934</v>
      </c>
      <c r="Q3357" s="163">
        <f t="shared" si="3361"/>
        <v>2552</v>
      </c>
      <c r="R3357" s="163">
        <f>IFERROR(__xludf.DUMMYFUNCTION("RANK(M3357,filter(M:M,C:C=C3357))"),397.0)</f>
        <v>397</v>
      </c>
      <c r="S3357" s="161" t="b">
        <f t="shared" si="5"/>
        <v>0</v>
      </c>
      <c r="T3357" s="161" t="b">
        <f t="array" ref="T3357">index('Query Tool'!B:B,match(H3357,'Query Tool'!C:C,0))</f>
        <v>1</v>
      </c>
      <c r="U3357" s="161" t="b">
        <f t="array" ref="U3357">index('Query Tool'!B:B,match(C3357,'Query Tool'!C:C,0))</f>
        <v>0</v>
      </c>
      <c r="V3357" s="161" t="b">
        <f>F3357&gt;='Query Tool'!C$32</f>
        <v>0</v>
      </c>
      <c r="W3357" s="161" t="b">
        <f t="array" ref="W3357">index(Dropdowns!B:B,match(I3357,Dropdowns!A:A,0))</f>
        <v>1</v>
      </c>
      <c r="X3357" s="161" t="b">
        <f t="array" ref="X3357">index('Query Tool'!B:B,match(D3357,'Query Tool'!C:C,0))</f>
        <v>1</v>
      </c>
      <c r="Y3357" s="161" t="str">
        <f t="shared" si="6"/>
        <v>jeffeam01,2019-20</v>
      </c>
      <c r="Z3357" s="168" t="str">
        <f t="array" ref="Z3357">iferror(index(I:I,match($A3357&amp;","&amp;index('Year Conversion'!$A:$A,match($C3357,'Year Conversion'!$B:$B,0)),$Y:$Y,0))-I3357,"")</f>
        <v/>
      </c>
      <c r="AA3357" s="168" t="str">
        <f t="array" ref="AA3357">iferror(index(J:J,match($A3357&amp;","&amp;index('Year Conversion'!$A:$A,match($C3357,'Year Conversion'!$B:$B,0)),$Y:$Y,0))-J3357,"")</f>
        <v/>
      </c>
      <c r="AB3357" s="168" t="str">
        <f t="array" ref="AB3357">iferror(index(K:K,match($A3357&amp;","&amp;index('Year Conversion'!$A:$A,match($C3357,'Year Conversion'!$B:$B,0)),$Y:$Y,0))-K3357,"")</f>
        <v/>
      </c>
      <c r="AC3357" s="168" t="str">
        <f t="shared" si="7"/>
        <v>ORL,2019-20</v>
      </c>
    </row>
    <row r="3358">
      <c r="A3358" s="161" t="str">
        <f>IFERROR(__xludf.DUMMYFUNCTION("""COMPUTED_VALUE"""),"muldemy01")</f>
        <v>muldemy01</v>
      </c>
      <c r="B3358" s="161" t="str">
        <f>IFERROR(__xludf.DUMMYFUNCTION("""COMPUTED_VALUE"""),"Mychal Mulder")</f>
        <v>Mychal Mulder</v>
      </c>
      <c r="C3358" s="162" t="str">
        <f>IFERROR(__xludf.DUMMYFUNCTION("""COMPUTED_VALUE"""),"2019-20")</f>
        <v>2019-20</v>
      </c>
      <c r="D3358" s="163" t="str">
        <f>IFERROR(__xludf.DUMMYFUNCTION("""COMPUTED_VALUE"""),"GSW")</f>
        <v>GSW</v>
      </c>
      <c r="E3358" s="164" t="str">
        <f>IFERROR(__xludf.DUMMYFUNCTION("""COMPUTED_VALUE"""),"Off Screen Shooter")</f>
        <v>Off Screen Shooter</v>
      </c>
      <c r="F3358" s="164">
        <f>IFERROR(__xludf.DUMMYFUNCTION("""COMPUTED_VALUE"""),203.686666666667)</f>
        <v>203.6866667</v>
      </c>
      <c r="G3358" s="163">
        <f>IFERROR(__xludf.DUMMYFUNCTION("""COMPUTED_VALUE"""),7.0)</f>
        <v>7</v>
      </c>
      <c r="H3358" s="163" t="str">
        <f>IFERROR(__xludf.DUMMYFUNCTION("""COMPUTED_VALUE"""),"SF")</f>
        <v>SF</v>
      </c>
      <c r="I3358" s="163">
        <f>IFERROR(__xludf.DUMMYFUNCTION("""COMPUTED_VALUE"""),25.0)</f>
        <v>25</v>
      </c>
      <c r="J3358" s="165">
        <f>IFERROR(__xludf.DUMMYFUNCTION("""COMPUTED_VALUE"""),-0.110822407856121)</f>
        <v>-0.1108224079</v>
      </c>
      <c r="K3358" s="165">
        <f>IFERROR(__xludf.DUMMYFUNCTION("""COMPUTED_VALUE"""),0.289563306904025)</f>
        <v>0.2895633069</v>
      </c>
      <c r="L3358" s="165">
        <f>IFERROR(__xludf.DUMMYFUNCTION("""COMPUTED_VALUE"""),-0.400385714760147)</f>
        <v>-0.4003857148</v>
      </c>
      <c r="M3358" s="166">
        <f t="shared" si="2"/>
        <v>0.2987986858</v>
      </c>
      <c r="N3358" s="167">
        <f t="shared" si="3"/>
        <v>29.09809524</v>
      </c>
      <c r="O3358" s="163">
        <f t="shared" ref="O3358:Q3358" si="3362">rank(I3358,I:I)</f>
        <v>1995</v>
      </c>
      <c r="P3358" s="163">
        <f t="shared" si="3362"/>
        <v>1393</v>
      </c>
      <c r="Q3358" s="163">
        <f t="shared" si="3362"/>
        <v>919</v>
      </c>
      <c r="R3358" s="163">
        <f>IFERROR(__xludf.DUMMYFUNCTION("RANK(M3358,filter(M:M,C:C=C3358))"),302.0)</f>
        <v>302</v>
      </c>
      <c r="S3358" s="161" t="b">
        <f t="shared" si="5"/>
        <v>0</v>
      </c>
      <c r="T3358" s="161" t="b">
        <f t="array" ref="T3358">index('Query Tool'!B:B,match(H3358,'Query Tool'!C:C,0))</f>
        <v>1</v>
      </c>
      <c r="U3358" s="161" t="b">
        <f t="array" ref="U3358">index('Query Tool'!B:B,match(C3358,'Query Tool'!C:C,0))</f>
        <v>0</v>
      </c>
      <c r="V3358" s="161" t="b">
        <f>F3358&gt;='Query Tool'!C$32</f>
        <v>0</v>
      </c>
      <c r="W3358" s="161" t="b">
        <f t="array" ref="W3358">index(Dropdowns!B:B,match(I3358,Dropdowns!A:A,0))</f>
        <v>1</v>
      </c>
      <c r="X3358" s="161" t="b">
        <f t="array" ref="X3358">index('Query Tool'!B:B,match(D3358,'Query Tool'!C:C,0))</f>
        <v>1</v>
      </c>
      <c r="Y3358" s="161" t="str">
        <f t="shared" si="6"/>
        <v>muldemy01,2019-20</v>
      </c>
      <c r="Z3358" s="168" t="str">
        <f t="array" ref="Z3358">iferror(index(I:I,match($A3358&amp;","&amp;index('Year Conversion'!$A:$A,match($C3358,'Year Conversion'!$B:$B,0)),$Y:$Y,0))-I3358,"")</f>
        <v/>
      </c>
      <c r="AA3358" s="168" t="str">
        <f t="array" ref="AA3358">iferror(index(J:J,match($A3358&amp;","&amp;index('Year Conversion'!$A:$A,match($C3358,'Year Conversion'!$B:$B,0)),$Y:$Y,0))-J3358,"")</f>
        <v/>
      </c>
      <c r="AB3358" s="168" t="str">
        <f t="array" ref="AB3358">iferror(index(K:K,match($A3358&amp;","&amp;index('Year Conversion'!$A:$A,match($C3358,'Year Conversion'!$B:$B,0)),$Y:$Y,0))-K3358,"")</f>
        <v/>
      </c>
      <c r="AC3358" s="168" t="str">
        <f t="shared" si="7"/>
        <v>GSW,2019-20</v>
      </c>
    </row>
    <row r="3359">
      <c r="A3359" s="161" t="str">
        <f>IFERROR(__xludf.DUMMYFUNCTION("""COMPUTED_VALUE"""),"hannadu01")</f>
        <v>hannadu01</v>
      </c>
      <c r="B3359" s="161" t="str">
        <f>IFERROR(__xludf.DUMMYFUNCTION("""COMPUTED_VALUE"""),"Dusty Hannahs")</f>
        <v>Dusty Hannahs</v>
      </c>
      <c r="C3359" s="162" t="str">
        <f>IFERROR(__xludf.DUMMYFUNCTION("""COMPUTED_VALUE"""),"2019-20")</f>
        <v>2019-20</v>
      </c>
      <c r="D3359" s="163" t="str">
        <f>IFERROR(__xludf.DUMMYFUNCTION("""COMPUTED_VALUE"""),"MEM")</f>
        <v>MEM</v>
      </c>
      <c r="E3359" s="164" t="str">
        <f>IFERROR(__xludf.DUMMYFUNCTION("""COMPUTED_VALUE"""),"Secondary Ball Handler")</f>
        <v>Secondary Ball Handler</v>
      </c>
      <c r="F3359" s="164">
        <f>IFERROR(__xludf.DUMMYFUNCTION("""COMPUTED_VALUE"""),13.4333333333333)</f>
        <v>13.43333333</v>
      </c>
      <c r="G3359" s="163">
        <f>IFERROR(__xludf.DUMMYFUNCTION("""COMPUTED_VALUE"""),2.0)</f>
        <v>2</v>
      </c>
      <c r="H3359" s="163" t="str">
        <f>IFERROR(__xludf.DUMMYFUNCTION("""COMPUTED_VALUE"""),"SG")</f>
        <v>SG</v>
      </c>
      <c r="I3359" s="163">
        <f>IFERROR(__xludf.DUMMYFUNCTION("""COMPUTED_VALUE"""),26.0)</f>
        <v>26</v>
      </c>
      <c r="J3359" s="165">
        <f>IFERROR(__xludf.DUMMYFUNCTION("""COMPUTED_VALUE"""),-0.278145277540449)</f>
        <v>-0.2781452775</v>
      </c>
      <c r="K3359" s="165">
        <f>IFERROR(__xludf.DUMMYFUNCTION("""COMPUTED_VALUE"""),-0.0225088832905784)</f>
        <v>-0.02250888329</v>
      </c>
      <c r="L3359" s="165">
        <f>IFERROR(__xludf.DUMMYFUNCTION("""COMPUTED_VALUE"""),-0.255636394249871)</f>
        <v>-0.2556363942</v>
      </c>
      <c r="M3359" s="166">
        <f t="shared" si="2"/>
        <v>0.01819093781</v>
      </c>
      <c r="N3359" s="167">
        <f t="shared" si="3"/>
        <v>6.716666667</v>
      </c>
      <c r="O3359" s="163">
        <f t="shared" ref="O3359:Q3359" si="3363">rank(I3359,I:I)</f>
        <v>1665</v>
      </c>
      <c r="P3359" s="163">
        <f t="shared" si="3363"/>
        <v>1589</v>
      </c>
      <c r="Q3359" s="163">
        <f t="shared" si="3363"/>
        <v>1227</v>
      </c>
      <c r="R3359" s="163">
        <f>IFERROR(__xludf.DUMMYFUNCTION("RANK(M3359,filter(M:M,C:C=C3359))"),465.0)</f>
        <v>465</v>
      </c>
      <c r="S3359" s="161" t="b">
        <f t="shared" si="5"/>
        <v>0</v>
      </c>
      <c r="T3359" s="161" t="b">
        <f t="array" ref="T3359">index('Query Tool'!B:B,match(H3359,'Query Tool'!C:C,0))</f>
        <v>1</v>
      </c>
      <c r="U3359" s="161" t="b">
        <f t="array" ref="U3359">index('Query Tool'!B:B,match(C3359,'Query Tool'!C:C,0))</f>
        <v>0</v>
      </c>
      <c r="V3359" s="161" t="b">
        <f>F3359&gt;='Query Tool'!C$32</f>
        <v>0</v>
      </c>
      <c r="W3359" s="161" t="b">
        <f t="array" ref="W3359">index(Dropdowns!B:B,match(I3359,Dropdowns!A:A,0))</f>
        <v>1</v>
      </c>
      <c r="X3359" s="161" t="b">
        <f t="array" ref="X3359">index('Query Tool'!B:B,match(D3359,'Query Tool'!C:C,0))</f>
        <v>1</v>
      </c>
      <c r="Y3359" s="161" t="str">
        <f t="shared" si="6"/>
        <v>hannadu01,2019-20</v>
      </c>
      <c r="Z3359" s="168" t="str">
        <f t="array" ref="Z3359">iferror(index(I:I,match($A3359&amp;","&amp;index('Year Conversion'!$A:$A,match($C3359,'Year Conversion'!$B:$B,0)),$Y:$Y,0))-I3359,"")</f>
        <v/>
      </c>
      <c r="AA3359" s="168" t="str">
        <f t="array" ref="AA3359">iferror(index(J:J,match($A3359&amp;","&amp;index('Year Conversion'!$A:$A,match($C3359,'Year Conversion'!$B:$B,0)),$Y:$Y,0))-J3359,"")</f>
        <v/>
      </c>
      <c r="AB3359" s="168" t="str">
        <f t="array" ref="AB3359">iferror(index(K:K,match($A3359&amp;","&amp;index('Year Conversion'!$A:$A,match($C3359,'Year Conversion'!$B:$B,0)),$Y:$Y,0))-K3359,"")</f>
        <v/>
      </c>
      <c r="AC3359" s="168" t="str">
        <f t="shared" si="7"/>
        <v>MEM,2019-20</v>
      </c>
    </row>
    <row r="3360">
      <c r="A3360" s="161" t="str">
        <f>IFERROR(__xludf.DUMMYFUNCTION("""COMPUTED_VALUE"""),"watsopa01")</f>
        <v>watsopa01</v>
      </c>
      <c r="B3360" s="161" t="str">
        <f>IFERROR(__xludf.DUMMYFUNCTION("""COMPUTED_VALUE"""),"Paul Watson")</f>
        <v>Paul Watson</v>
      </c>
      <c r="C3360" s="162" t="str">
        <f>IFERROR(__xludf.DUMMYFUNCTION("""COMPUTED_VALUE"""),"2019-20")</f>
        <v>2019-20</v>
      </c>
      <c r="D3360" s="163" t="str">
        <f>IFERROR(__xludf.DUMMYFUNCTION("""COMPUTED_VALUE"""),"TOT")</f>
        <v>TOT</v>
      </c>
      <c r="E3360" s="164" t="str">
        <f>IFERROR(__xludf.DUMMYFUNCTION("""COMPUTED_VALUE"""),"Off Screen Shooter")</f>
        <v>Off Screen Shooter</v>
      </c>
      <c r="F3360" s="164">
        <f>IFERROR(__xludf.DUMMYFUNCTION("""COMPUTED_VALUE"""),87.2116666666667)</f>
        <v>87.21166667</v>
      </c>
      <c r="G3360" s="163">
        <f>IFERROR(__xludf.DUMMYFUNCTION("""COMPUTED_VALUE"""),10.0)</f>
        <v>10</v>
      </c>
      <c r="H3360" s="163" t="str">
        <f>IFERROR(__xludf.DUMMYFUNCTION("""COMPUTED_VALUE"""),"SF")</f>
        <v>SF</v>
      </c>
      <c r="I3360" s="163">
        <f>IFERROR(__xludf.DUMMYFUNCTION("""COMPUTED_VALUE"""),25.0)</f>
        <v>25</v>
      </c>
      <c r="J3360" s="165">
        <f>IFERROR(__xludf.DUMMYFUNCTION("""COMPUTED_VALUE"""),-0.509966563884846)</f>
        <v>-0.5099665639</v>
      </c>
      <c r="K3360" s="165">
        <f>IFERROR(__xludf.DUMMYFUNCTION("""COMPUTED_VALUE"""),-0.137881164598332)</f>
        <v>-0.1378811646</v>
      </c>
      <c r="L3360" s="165">
        <f>IFERROR(__xludf.DUMMYFUNCTION("""COMPUTED_VALUE"""),-0.372085399286514)</f>
        <v>-0.3720853993</v>
      </c>
      <c r="M3360" s="166">
        <f t="shared" si="2"/>
        <v>0.1044775326</v>
      </c>
      <c r="N3360" s="167">
        <f t="shared" si="3"/>
        <v>8.721166667</v>
      </c>
      <c r="O3360" s="163">
        <f t="shared" ref="O3360:Q3360" si="3364">rank(I3360,I:I)</f>
        <v>1995</v>
      </c>
      <c r="P3360" s="163">
        <f t="shared" si="3364"/>
        <v>1869</v>
      </c>
      <c r="Q3360" s="163">
        <f t="shared" si="3364"/>
        <v>1459</v>
      </c>
      <c r="R3360" s="163">
        <f>IFERROR(__xludf.DUMMYFUNCTION("RANK(M3360,filter(M:M,C:C=C3360))"),383.0)</f>
        <v>383</v>
      </c>
      <c r="S3360" s="161" t="b">
        <f t="shared" si="5"/>
        <v>0</v>
      </c>
      <c r="T3360" s="161" t="b">
        <f t="array" ref="T3360">index('Query Tool'!B:B,match(H3360,'Query Tool'!C:C,0))</f>
        <v>1</v>
      </c>
      <c r="U3360" s="161" t="b">
        <f t="array" ref="U3360">index('Query Tool'!B:B,match(C3360,'Query Tool'!C:C,0))</f>
        <v>0</v>
      </c>
      <c r="V3360" s="161" t="b">
        <f>F3360&gt;='Query Tool'!C$32</f>
        <v>0</v>
      </c>
      <c r="W3360" s="161" t="b">
        <f t="array" ref="W3360">index(Dropdowns!B:B,match(I3360,Dropdowns!A:A,0))</f>
        <v>1</v>
      </c>
      <c r="X3360" s="161" t="b">
        <f t="array" ref="X3360">index('Query Tool'!B:B,match(D3360,'Query Tool'!C:C,0))</f>
        <v>1</v>
      </c>
      <c r="Y3360" s="161" t="str">
        <f t="shared" si="6"/>
        <v>watsopa01,2019-20</v>
      </c>
      <c r="Z3360" s="168" t="str">
        <f t="array" ref="Z3360">iferror(index(I:I,match($A3360&amp;","&amp;index('Year Conversion'!$A:$A,match($C3360,'Year Conversion'!$B:$B,0)),$Y:$Y,0))-I3360,"")</f>
        <v/>
      </c>
      <c r="AA3360" s="168" t="str">
        <f t="array" ref="AA3360">iferror(index(J:J,match($A3360&amp;","&amp;index('Year Conversion'!$A:$A,match($C3360,'Year Conversion'!$B:$B,0)),$Y:$Y,0))-J3360,"")</f>
        <v/>
      </c>
      <c r="AB3360" s="168" t="str">
        <f t="array" ref="AB3360">iferror(index(K:K,match($A3360&amp;","&amp;index('Year Conversion'!$A:$A,match($C3360,'Year Conversion'!$B:$B,0)),$Y:$Y,0))-K3360,"")</f>
        <v/>
      </c>
      <c r="AC3360" s="168" t="str">
        <f t="shared" si="7"/>
        <v>TOT,2019-20</v>
      </c>
    </row>
    <row r="3361">
      <c r="A3361" s="161" t="str">
        <f>IFERROR(__xludf.DUMMYFUNCTION("""COMPUTED_VALUE"""),"allengr01")</f>
        <v>allengr01</v>
      </c>
      <c r="B3361" s="161" t="str">
        <f>IFERROR(__xludf.DUMMYFUNCTION("""COMPUTED_VALUE"""),"Grayson Allen")</f>
        <v>Grayson Allen</v>
      </c>
      <c r="C3361" s="162" t="str">
        <f>IFERROR(__xludf.DUMMYFUNCTION("""COMPUTED_VALUE"""),"2019-20")</f>
        <v>2019-20</v>
      </c>
      <c r="D3361" s="163" t="str">
        <f>IFERROR(__xludf.DUMMYFUNCTION("""COMPUTED_VALUE"""),"MEM")</f>
        <v>MEM</v>
      </c>
      <c r="E3361" s="164" t="str">
        <f>IFERROR(__xludf.DUMMYFUNCTION("""COMPUTED_VALUE"""),"Movement Shooter")</f>
        <v>Movement Shooter</v>
      </c>
      <c r="F3361" s="164">
        <f>IFERROR(__xludf.DUMMYFUNCTION("""COMPUTED_VALUE"""),718.47)</f>
        <v>718.47</v>
      </c>
      <c r="G3361" s="163">
        <f>IFERROR(__xludf.DUMMYFUNCTION("""COMPUTED_VALUE"""),38.0)</f>
        <v>38</v>
      </c>
      <c r="H3361" s="163" t="str">
        <f>IFERROR(__xludf.DUMMYFUNCTION("""COMPUTED_VALUE"""),"SG")</f>
        <v>SG</v>
      </c>
      <c r="I3361" s="163">
        <f>IFERROR(__xludf.DUMMYFUNCTION("""COMPUTED_VALUE"""),24.0)</f>
        <v>24</v>
      </c>
      <c r="J3361" s="165">
        <f>IFERROR(__xludf.DUMMYFUNCTION("""COMPUTED_VALUE"""),-1.69397427705471)</f>
        <v>-1.693974277</v>
      </c>
      <c r="K3361" s="165">
        <f>IFERROR(__xludf.DUMMYFUNCTION("""COMPUTED_VALUE"""),-0.353444842806025)</f>
        <v>-0.3534448428</v>
      </c>
      <c r="L3361" s="165">
        <f>IFERROR(__xludf.DUMMYFUNCTION("""COMPUTED_VALUE"""),-1.34052943424868)</f>
        <v>-1.340529434</v>
      </c>
      <c r="M3361" s="166">
        <f t="shared" si="2"/>
        <v>0.2903606368</v>
      </c>
      <c r="N3361" s="167">
        <f t="shared" si="3"/>
        <v>18.90710526</v>
      </c>
      <c r="O3361" s="163">
        <f t="shared" ref="O3361:Q3361" si="3365">rank(I3361,I:I)</f>
        <v>2361</v>
      </c>
      <c r="P3361" s="163">
        <f t="shared" si="3365"/>
        <v>3235</v>
      </c>
      <c r="Q3361" s="163">
        <f t="shared" si="3365"/>
        <v>1862</v>
      </c>
      <c r="R3361" s="163">
        <f>IFERROR(__xludf.DUMMYFUNCTION("RANK(M3361,filter(M:M,C:C=C3361))"),307.0)</f>
        <v>307</v>
      </c>
      <c r="S3361" s="161" t="b">
        <f t="shared" si="5"/>
        <v>0</v>
      </c>
      <c r="T3361" s="161" t="b">
        <f t="array" ref="T3361">index('Query Tool'!B:B,match(H3361,'Query Tool'!C:C,0))</f>
        <v>1</v>
      </c>
      <c r="U3361" s="161" t="b">
        <f t="array" ref="U3361">index('Query Tool'!B:B,match(C3361,'Query Tool'!C:C,0))</f>
        <v>0</v>
      </c>
      <c r="V3361" s="161" t="b">
        <f>F3361&gt;='Query Tool'!C$32</f>
        <v>1</v>
      </c>
      <c r="W3361" s="161" t="b">
        <f t="array" ref="W3361">index(Dropdowns!B:B,match(I3361,Dropdowns!A:A,0))</f>
        <v>1</v>
      </c>
      <c r="X3361" s="161" t="b">
        <f t="array" ref="X3361">index('Query Tool'!B:B,match(D3361,'Query Tool'!C:C,0))</f>
        <v>1</v>
      </c>
      <c r="Y3361" s="161" t="str">
        <f t="shared" si="6"/>
        <v>allengr01,2019-20</v>
      </c>
      <c r="Z3361" s="168" t="str">
        <f t="array" ref="Z3361">iferror(index(I:I,match($A3361&amp;","&amp;index('Year Conversion'!$A:$A,match($C3361,'Year Conversion'!$B:$B,0)),$Y:$Y,0))-I3361,"")</f>
        <v/>
      </c>
      <c r="AA3361" s="168" t="str">
        <f t="array" ref="AA3361">iferror(index(J:J,match($A3361&amp;","&amp;index('Year Conversion'!$A:$A,match($C3361,'Year Conversion'!$B:$B,0)),$Y:$Y,0))-J3361,"")</f>
        <v/>
      </c>
      <c r="AB3361" s="168" t="str">
        <f t="array" ref="AB3361">iferror(index(K:K,match($A3361&amp;","&amp;index('Year Conversion'!$A:$A,match($C3361,'Year Conversion'!$B:$B,0)),$Y:$Y,0))-K3361,"")</f>
        <v/>
      </c>
      <c r="AC3361" s="168" t="str">
        <f t="shared" si="7"/>
        <v>MEM,2019-20</v>
      </c>
    </row>
    <row r="3362">
      <c r="A3362" s="161" t="str">
        <f>IFERROR(__xludf.DUMMYFUNCTION("""COMPUTED_VALUE"""),"antetko01")</f>
        <v>antetko01</v>
      </c>
      <c r="B3362" s="161" t="str">
        <f>IFERROR(__xludf.DUMMYFUNCTION("""COMPUTED_VALUE"""),"Kostas Antetokounmpo")</f>
        <v>Kostas Antetokounmpo</v>
      </c>
      <c r="C3362" s="162" t="str">
        <f>IFERROR(__xludf.DUMMYFUNCTION("""COMPUTED_VALUE"""),"2019-20")</f>
        <v>2019-20</v>
      </c>
      <c r="D3362" s="163" t="str">
        <f>IFERROR(__xludf.DUMMYFUNCTION("""COMPUTED_VALUE"""),"LAL")</f>
        <v>LAL</v>
      </c>
      <c r="E3362" s="164" t="str">
        <f>IFERROR(__xludf.DUMMYFUNCTION("""COMPUTED_VALUE"""),"Roll + Cut Big")</f>
        <v>Roll + Cut Big</v>
      </c>
      <c r="F3362" s="164">
        <f>IFERROR(__xludf.DUMMYFUNCTION("""COMPUTED_VALUE"""),20.105)</f>
        <v>20.105</v>
      </c>
      <c r="G3362" s="163">
        <f>IFERROR(__xludf.DUMMYFUNCTION("""COMPUTED_VALUE"""),5.0)</f>
        <v>5</v>
      </c>
      <c r="H3362" s="163" t="str">
        <f>IFERROR(__xludf.DUMMYFUNCTION("""COMPUTED_VALUE"""),"PF")</f>
        <v>PF</v>
      </c>
      <c r="I3362" s="163">
        <f>IFERROR(__xludf.DUMMYFUNCTION("""COMPUTED_VALUE"""),22.0)</f>
        <v>22</v>
      </c>
      <c r="J3362" s="165">
        <f>IFERROR(__xludf.DUMMYFUNCTION("""COMPUTED_VALUE"""),-0.68046012506285)</f>
        <v>-0.6804601251</v>
      </c>
      <c r="K3362" s="165">
        <f>IFERROR(__xludf.DUMMYFUNCTION("""COMPUTED_VALUE"""),-0.0733120490431405)</f>
        <v>-0.07331204904</v>
      </c>
      <c r="L3362" s="165">
        <f>IFERROR(__xludf.DUMMYFUNCTION("""COMPUTED_VALUE"""),-0.607148076019709)</f>
        <v>-0.607148076</v>
      </c>
      <c r="M3362" s="166">
        <f t="shared" si="2"/>
        <v>0.02177778103</v>
      </c>
      <c r="N3362" s="167">
        <f t="shared" si="3"/>
        <v>4.021</v>
      </c>
      <c r="O3362" s="163">
        <f t="shared" ref="O3362:Q3362" si="3366">rank(I3362,I:I)</f>
        <v>3178</v>
      </c>
      <c r="P3362" s="163">
        <f t="shared" si="3366"/>
        <v>2110</v>
      </c>
      <c r="Q3362" s="163">
        <f t="shared" si="3366"/>
        <v>1313</v>
      </c>
      <c r="R3362" s="163">
        <f>IFERROR(__xludf.DUMMYFUNCTION("RANK(M3362,filter(M:M,C:C=C3362))"),461.0)</f>
        <v>461</v>
      </c>
      <c r="S3362" s="161" t="b">
        <f t="shared" si="5"/>
        <v>0</v>
      </c>
      <c r="T3362" s="161" t="b">
        <f t="array" ref="T3362">index('Query Tool'!B:B,match(H3362,'Query Tool'!C:C,0))</f>
        <v>1</v>
      </c>
      <c r="U3362" s="161" t="b">
        <f t="array" ref="U3362">index('Query Tool'!B:B,match(C3362,'Query Tool'!C:C,0))</f>
        <v>0</v>
      </c>
      <c r="V3362" s="161" t="b">
        <f>F3362&gt;='Query Tool'!C$32</f>
        <v>0</v>
      </c>
      <c r="W3362" s="161" t="b">
        <f t="array" ref="W3362">index(Dropdowns!B:B,match(I3362,Dropdowns!A:A,0))</f>
        <v>1</v>
      </c>
      <c r="X3362" s="161" t="b">
        <f t="array" ref="X3362">index('Query Tool'!B:B,match(D3362,'Query Tool'!C:C,0))</f>
        <v>1</v>
      </c>
      <c r="Y3362" s="161" t="str">
        <f t="shared" si="6"/>
        <v>antetko01,2019-20</v>
      </c>
      <c r="Z3362" s="168" t="str">
        <f t="array" ref="Z3362">iferror(index(I:I,match($A3362&amp;","&amp;index('Year Conversion'!$A:$A,match($C3362,'Year Conversion'!$B:$B,0)),$Y:$Y,0))-I3362,"")</f>
        <v/>
      </c>
      <c r="AA3362" s="168" t="str">
        <f t="array" ref="AA3362">iferror(index(J:J,match($A3362&amp;","&amp;index('Year Conversion'!$A:$A,match($C3362,'Year Conversion'!$B:$B,0)),$Y:$Y,0))-J3362,"")</f>
        <v/>
      </c>
      <c r="AB3362" s="168" t="str">
        <f t="array" ref="AB3362">iferror(index(K:K,match($A3362&amp;","&amp;index('Year Conversion'!$A:$A,match($C3362,'Year Conversion'!$B:$B,0)),$Y:$Y,0))-K3362,"")</f>
        <v/>
      </c>
      <c r="AC3362" s="168" t="str">
        <f t="shared" si="7"/>
        <v>LAL,2019-20</v>
      </c>
    </row>
    <row r="3363">
      <c r="A3363" s="161" t="str">
        <f>IFERROR(__xludf.DUMMYFUNCTION("""COMPUTED_VALUE"""),"baglema01")</f>
        <v>baglema01</v>
      </c>
      <c r="B3363" s="161" t="str">
        <f>IFERROR(__xludf.DUMMYFUNCTION("""COMPUTED_VALUE"""),"Marvin Bagley III")</f>
        <v>Marvin Bagley III</v>
      </c>
      <c r="C3363" s="162" t="str">
        <f>IFERROR(__xludf.DUMMYFUNCTION("""COMPUTED_VALUE"""),"2019-20")</f>
        <v>2019-20</v>
      </c>
      <c r="D3363" s="163" t="str">
        <f>IFERROR(__xludf.DUMMYFUNCTION("""COMPUTED_VALUE"""),"SAC")</f>
        <v>SAC</v>
      </c>
      <c r="E3363" s="164" t="str">
        <f>IFERROR(__xludf.DUMMYFUNCTION("""COMPUTED_VALUE"""),"Roll + Cut Big")</f>
        <v>Roll + Cut Big</v>
      </c>
      <c r="F3363" s="164">
        <f>IFERROR(__xludf.DUMMYFUNCTION("""COMPUTED_VALUE"""),333.926666666667)</f>
        <v>333.9266667</v>
      </c>
      <c r="G3363" s="163">
        <f>IFERROR(__xludf.DUMMYFUNCTION("""COMPUTED_VALUE"""),13.0)</f>
        <v>13</v>
      </c>
      <c r="H3363" s="163" t="str">
        <f>IFERROR(__xludf.DUMMYFUNCTION("""COMPUTED_VALUE"""),"C")</f>
        <v>C</v>
      </c>
      <c r="I3363" s="163">
        <f>IFERROR(__xludf.DUMMYFUNCTION("""COMPUTED_VALUE"""),20.0)</f>
        <v>20</v>
      </c>
      <c r="J3363" s="165">
        <f>IFERROR(__xludf.DUMMYFUNCTION("""COMPUTED_VALUE"""),-0.896479328753839)</f>
        <v>-0.8964793288</v>
      </c>
      <c r="K3363" s="165">
        <f>IFERROR(__xludf.DUMMYFUNCTION("""COMPUTED_VALUE"""),-0.608460951100115)</f>
        <v>-0.6084609511</v>
      </c>
      <c r="L3363" s="165">
        <f>IFERROR(__xludf.DUMMYFUNCTION("""COMPUTED_VALUE"""),-0.288018377653724)</f>
        <v>-0.2880183777</v>
      </c>
      <c r="M3363" s="166">
        <f t="shared" si="2"/>
        <v>0.3132042835</v>
      </c>
      <c r="N3363" s="167">
        <f t="shared" si="3"/>
        <v>25.68666667</v>
      </c>
      <c r="O3363" s="163">
        <f t="shared" ref="O3363:Q3363" si="3367">rank(I3363,I:I)</f>
        <v>3770</v>
      </c>
      <c r="P3363" s="163">
        <f t="shared" si="3367"/>
        <v>2388</v>
      </c>
      <c r="Q3363" s="163">
        <f t="shared" si="3367"/>
        <v>2274</v>
      </c>
      <c r="R3363" s="163">
        <f>IFERROR(__xludf.DUMMYFUNCTION("RANK(M3363,filter(M:M,C:C=C3363))"),299.0)</f>
        <v>299</v>
      </c>
      <c r="S3363" s="161" t="b">
        <f t="shared" si="5"/>
        <v>0</v>
      </c>
      <c r="T3363" s="161" t="b">
        <f t="array" ref="T3363">index('Query Tool'!B:B,match(H3363,'Query Tool'!C:C,0))</f>
        <v>1</v>
      </c>
      <c r="U3363" s="161" t="b">
        <f t="array" ref="U3363">index('Query Tool'!B:B,match(C3363,'Query Tool'!C:C,0))</f>
        <v>0</v>
      </c>
      <c r="V3363" s="161" t="b">
        <f>F3363&gt;='Query Tool'!C$32</f>
        <v>0</v>
      </c>
      <c r="W3363" s="161" t="b">
        <f t="array" ref="W3363">index(Dropdowns!B:B,match(I3363,Dropdowns!A:A,0))</f>
        <v>1</v>
      </c>
      <c r="X3363" s="161" t="b">
        <f t="array" ref="X3363">index('Query Tool'!B:B,match(D3363,'Query Tool'!C:C,0))</f>
        <v>1</v>
      </c>
      <c r="Y3363" s="161" t="str">
        <f t="shared" si="6"/>
        <v>baglema01,2019-20</v>
      </c>
      <c r="Z3363" s="168" t="str">
        <f t="array" ref="Z3363">iferror(index(I:I,match($A3363&amp;","&amp;index('Year Conversion'!$A:$A,match($C3363,'Year Conversion'!$B:$B,0)),$Y:$Y,0))-I3363,"")</f>
        <v/>
      </c>
      <c r="AA3363" s="168" t="str">
        <f t="array" ref="AA3363">iferror(index(J:J,match($A3363&amp;","&amp;index('Year Conversion'!$A:$A,match($C3363,'Year Conversion'!$B:$B,0)),$Y:$Y,0))-J3363,"")</f>
        <v/>
      </c>
      <c r="AB3363" s="168" t="str">
        <f t="array" ref="AB3363">iferror(index(K:K,match($A3363&amp;","&amp;index('Year Conversion'!$A:$A,match($C3363,'Year Conversion'!$B:$B,0)),$Y:$Y,0))-K3363,"")</f>
        <v/>
      </c>
      <c r="AC3363" s="168" t="str">
        <f t="shared" si="7"/>
        <v>SAC,2019-20</v>
      </c>
    </row>
    <row r="3364">
      <c r="A3364" s="161" t="str">
        <f>IFERROR(__xludf.DUMMYFUNCTION("""COMPUTED_VALUE"""),"bambamo01")</f>
        <v>bambamo01</v>
      </c>
      <c r="B3364" s="161" t="str">
        <f>IFERROR(__xludf.DUMMYFUNCTION("""COMPUTED_VALUE"""),"Mo Bamba")</f>
        <v>Mo Bamba</v>
      </c>
      <c r="C3364" s="162" t="str">
        <f>IFERROR(__xludf.DUMMYFUNCTION("""COMPUTED_VALUE"""),"2019-20")</f>
        <v>2019-20</v>
      </c>
      <c r="D3364" s="163" t="str">
        <f>IFERROR(__xludf.DUMMYFUNCTION("""COMPUTED_VALUE"""),"ORL")</f>
        <v>ORL</v>
      </c>
      <c r="E3364" s="164" t="str">
        <f>IFERROR(__xludf.DUMMYFUNCTION("""COMPUTED_VALUE"""),"Stretch Big")</f>
        <v>Stretch Big</v>
      </c>
      <c r="F3364" s="164">
        <f>IFERROR(__xludf.DUMMYFUNCTION("""COMPUTED_VALUE"""),878.368333333333)</f>
        <v>878.3683333</v>
      </c>
      <c r="G3364" s="163">
        <f>IFERROR(__xludf.DUMMYFUNCTION("""COMPUTED_VALUE"""),62.0)</f>
        <v>62</v>
      </c>
      <c r="H3364" s="163" t="str">
        <f>IFERROR(__xludf.DUMMYFUNCTION("""COMPUTED_VALUE"""),"C")</f>
        <v>C</v>
      </c>
      <c r="I3364" s="163">
        <f>IFERROR(__xludf.DUMMYFUNCTION("""COMPUTED_VALUE"""),21.0)</f>
        <v>21</v>
      </c>
      <c r="J3364" s="165">
        <f>IFERROR(__xludf.DUMMYFUNCTION("""COMPUTED_VALUE"""),0.896955198036218)</f>
        <v>0.896955198</v>
      </c>
      <c r="K3364" s="165">
        <f>IFERROR(__xludf.DUMMYFUNCTION("""COMPUTED_VALUE"""),-1.10705185451113)</f>
        <v>-1.107051855</v>
      </c>
      <c r="L3364" s="165">
        <f>IFERROR(__xludf.DUMMYFUNCTION("""COMPUTED_VALUE"""),2.00400705254734)</f>
        <v>2.004007053</v>
      </c>
      <c r="M3364" s="166">
        <f t="shared" si="2"/>
        <v>1.884723519</v>
      </c>
      <c r="N3364" s="167">
        <f t="shared" si="3"/>
        <v>14.16723118</v>
      </c>
      <c r="O3364" s="163">
        <f t="shared" ref="O3364:Q3364" si="3368">rank(I3364,I:I)</f>
        <v>3528</v>
      </c>
      <c r="P3364" s="163">
        <f t="shared" si="3368"/>
        <v>695</v>
      </c>
      <c r="Q3364" s="163">
        <f t="shared" si="3368"/>
        <v>2938</v>
      </c>
      <c r="R3364" s="163">
        <f>IFERROR(__xludf.DUMMYFUNCTION("RANK(M3364,filter(M:M,C:C=C3364))"),160.0)</f>
        <v>160</v>
      </c>
      <c r="S3364" s="161" t="b">
        <f t="shared" si="5"/>
        <v>0</v>
      </c>
      <c r="T3364" s="161" t="b">
        <f t="array" ref="T3364">index('Query Tool'!B:B,match(H3364,'Query Tool'!C:C,0))</f>
        <v>1</v>
      </c>
      <c r="U3364" s="161" t="b">
        <f t="array" ref="U3364">index('Query Tool'!B:B,match(C3364,'Query Tool'!C:C,0))</f>
        <v>0</v>
      </c>
      <c r="V3364" s="161" t="b">
        <f>F3364&gt;='Query Tool'!C$32</f>
        <v>1</v>
      </c>
      <c r="W3364" s="161" t="b">
        <f t="array" ref="W3364">index(Dropdowns!B:B,match(I3364,Dropdowns!A:A,0))</f>
        <v>1</v>
      </c>
      <c r="X3364" s="161" t="b">
        <f t="array" ref="X3364">index('Query Tool'!B:B,match(D3364,'Query Tool'!C:C,0))</f>
        <v>1</v>
      </c>
      <c r="Y3364" s="161" t="str">
        <f t="shared" si="6"/>
        <v>bambamo01,2019-20</v>
      </c>
      <c r="Z3364" s="168" t="str">
        <f t="array" ref="Z3364">iferror(index(I:I,match($A3364&amp;","&amp;index('Year Conversion'!$A:$A,match($C3364,'Year Conversion'!$B:$B,0)),$Y:$Y,0))-I3364,"")</f>
        <v/>
      </c>
      <c r="AA3364" s="168" t="str">
        <f t="array" ref="AA3364">iferror(index(J:J,match($A3364&amp;","&amp;index('Year Conversion'!$A:$A,match($C3364,'Year Conversion'!$B:$B,0)),$Y:$Y,0))-J3364,"")</f>
        <v/>
      </c>
      <c r="AB3364" s="168" t="str">
        <f t="array" ref="AB3364">iferror(index(K:K,match($A3364&amp;","&amp;index('Year Conversion'!$A:$A,match($C3364,'Year Conversion'!$B:$B,0)),$Y:$Y,0))-K3364,"")</f>
        <v/>
      </c>
      <c r="AC3364" s="168" t="str">
        <f t="shared" si="7"/>
        <v>ORL,2019-20</v>
      </c>
    </row>
    <row r="3365">
      <c r="A3365" s="161" t="str">
        <f>IFERROR(__xludf.DUMMYFUNCTION("""COMPUTED_VALUE"""),"bateske01")</f>
        <v>bateske01</v>
      </c>
      <c r="B3365" s="161" t="str">
        <f>IFERROR(__xludf.DUMMYFUNCTION("""COMPUTED_VALUE"""),"Keita Bates-Diop")</f>
        <v>Keita Bates-Diop</v>
      </c>
      <c r="C3365" s="162" t="str">
        <f>IFERROR(__xludf.DUMMYFUNCTION("""COMPUTED_VALUE"""),"2019-20")</f>
        <v>2019-20</v>
      </c>
      <c r="D3365" s="163" t="str">
        <f>IFERROR(__xludf.DUMMYFUNCTION("""COMPUTED_VALUE"""),"TOT")</f>
        <v>TOT</v>
      </c>
      <c r="E3365" s="164" t="str">
        <f>IFERROR(__xludf.DUMMYFUNCTION("""COMPUTED_VALUE"""),"Athletic Finisher")</f>
        <v>Athletic Finisher</v>
      </c>
      <c r="F3365" s="164">
        <f>IFERROR(__xludf.DUMMYFUNCTION("""COMPUTED_VALUE"""),744.323333333333)</f>
        <v>744.3233333</v>
      </c>
      <c r="G3365" s="163">
        <f>IFERROR(__xludf.DUMMYFUNCTION("""COMPUTED_VALUE"""),44.0)</f>
        <v>44</v>
      </c>
      <c r="H3365" s="163" t="str">
        <f>IFERROR(__xludf.DUMMYFUNCTION("""COMPUTED_VALUE"""),"PF-SF")</f>
        <v>PF-SF</v>
      </c>
      <c r="I3365" s="163">
        <f>IFERROR(__xludf.DUMMYFUNCTION("""COMPUTED_VALUE"""),24.0)</f>
        <v>24</v>
      </c>
      <c r="J3365" s="165">
        <f>IFERROR(__xludf.DUMMYFUNCTION("""COMPUTED_VALUE"""),-2.94871561746906)</f>
        <v>-2.948715617</v>
      </c>
      <c r="K3365" s="165">
        <f>IFERROR(__xludf.DUMMYFUNCTION("""COMPUTED_VALUE"""),-2.08188789544226)</f>
        <v>-2.081887895</v>
      </c>
      <c r="L3365" s="165">
        <f>IFERROR(__xludf.DUMMYFUNCTION("""COMPUTED_VALUE"""),-0.866827722026807)</f>
        <v>-0.866827722</v>
      </c>
      <c r="M3365" s="166">
        <f t="shared" si="2"/>
        <v>-0.314593434</v>
      </c>
      <c r="N3365" s="167">
        <f t="shared" si="3"/>
        <v>16.91643939</v>
      </c>
      <c r="O3365" s="163">
        <f t="shared" ref="O3365:Q3365" si="3369">rank(I3365,I:I)</f>
        <v>2361</v>
      </c>
      <c r="P3365" s="163">
        <f t="shared" si="3369"/>
        <v>3876</v>
      </c>
      <c r="Q3365" s="163">
        <f t="shared" si="3369"/>
        <v>3753</v>
      </c>
      <c r="R3365" s="163">
        <f>IFERROR(__xludf.DUMMYFUNCTION("RANK(M3365,filter(M:M,C:C=C3365))"),507.0)</f>
        <v>507</v>
      </c>
      <c r="S3365" s="161" t="b">
        <f t="shared" si="5"/>
        <v>0</v>
      </c>
      <c r="T3365" s="161" t="str">
        <f t="array" ref="T3365">index('Query Tool'!B:B,match(H3365,'Query Tool'!C:C,0))</f>
        <v>#N/A</v>
      </c>
      <c r="U3365" s="161" t="b">
        <f t="array" ref="U3365">index('Query Tool'!B:B,match(C3365,'Query Tool'!C:C,0))</f>
        <v>0</v>
      </c>
      <c r="V3365" s="161" t="b">
        <f>F3365&gt;='Query Tool'!C$32</f>
        <v>1</v>
      </c>
      <c r="W3365" s="161" t="b">
        <f t="array" ref="W3365">index(Dropdowns!B:B,match(I3365,Dropdowns!A:A,0))</f>
        <v>1</v>
      </c>
      <c r="X3365" s="161" t="b">
        <f t="array" ref="X3365">index('Query Tool'!B:B,match(D3365,'Query Tool'!C:C,0))</f>
        <v>1</v>
      </c>
      <c r="Y3365" s="161" t="str">
        <f t="shared" si="6"/>
        <v>bateske01,2019-20</v>
      </c>
      <c r="Z3365" s="168" t="str">
        <f t="array" ref="Z3365">iferror(index(I:I,match($A3365&amp;","&amp;index('Year Conversion'!$A:$A,match($C3365,'Year Conversion'!$B:$B,0)),$Y:$Y,0))-I3365,"")</f>
        <v/>
      </c>
      <c r="AA3365" s="168" t="str">
        <f t="array" ref="AA3365">iferror(index(J:J,match($A3365&amp;","&amp;index('Year Conversion'!$A:$A,match($C3365,'Year Conversion'!$B:$B,0)),$Y:$Y,0))-J3365,"")</f>
        <v/>
      </c>
      <c r="AB3365" s="168" t="str">
        <f t="array" ref="AB3365">iferror(index(K:K,match($A3365&amp;","&amp;index('Year Conversion'!$A:$A,match($C3365,'Year Conversion'!$B:$B,0)),$Y:$Y,0))-K3365,"")</f>
        <v/>
      </c>
      <c r="AC3365" s="168" t="str">
        <f t="shared" si="7"/>
        <v>TOT,2019-20</v>
      </c>
    </row>
    <row r="3366">
      <c r="A3366" s="161" t="str">
        <f>IFERROR(__xludf.DUMMYFUNCTION("""COMPUTED_VALUE"""),"bowenbr02")</f>
        <v>bowenbr02</v>
      </c>
      <c r="B3366" s="161" t="str">
        <f>IFERROR(__xludf.DUMMYFUNCTION("""COMPUTED_VALUE"""),"Brian Bowen II")</f>
        <v>Brian Bowen II</v>
      </c>
      <c r="C3366" s="162" t="str">
        <f>IFERROR(__xludf.DUMMYFUNCTION("""COMPUTED_VALUE"""),"2019-20")</f>
        <v>2019-20</v>
      </c>
      <c r="D3366" s="163" t="str">
        <f>IFERROR(__xludf.DUMMYFUNCTION("""COMPUTED_VALUE"""),"IND")</f>
        <v>IND</v>
      </c>
      <c r="E3366" s="164" t="str">
        <f>IFERROR(__xludf.DUMMYFUNCTION("""COMPUTED_VALUE"""),"Off Screen Shooter")</f>
        <v>Off Screen Shooter</v>
      </c>
      <c r="F3366" s="164">
        <f>IFERROR(__xludf.DUMMYFUNCTION("""COMPUTED_VALUE"""),31.0666666666666)</f>
        <v>31.06666667</v>
      </c>
      <c r="G3366" s="163">
        <f>IFERROR(__xludf.DUMMYFUNCTION("""COMPUTED_VALUE"""),6.0)</f>
        <v>6</v>
      </c>
      <c r="H3366" s="163" t="str">
        <f>IFERROR(__xludf.DUMMYFUNCTION("""COMPUTED_VALUE"""),"SF")</f>
        <v>SF</v>
      </c>
      <c r="I3366" s="163">
        <f>IFERROR(__xludf.DUMMYFUNCTION("""COMPUTED_VALUE"""),21.0)</f>
        <v>21</v>
      </c>
      <c r="J3366" s="165">
        <f>IFERROR(__xludf.DUMMYFUNCTION("""COMPUTED_VALUE"""),-0.709143068163362)</f>
        <v>-0.7091430682</v>
      </c>
      <c r="K3366" s="165">
        <f>IFERROR(__xludf.DUMMYFUNCTION("""COMPUTED_VALUE"""),-0.311689729287838)</f>
        <v>-0.3116897293</v>
      </c>
      <c r="L3366" s="165">
        <f>IFERROR(__xludf.DUMMYFUNCTION("""COMPUTED_VALUE"""),-0.397453338875524)</f>
        <v>-0.3974533389</v>
      </c>
      <c r="M3366" s="166">
        <f t="shared" si="2"/>
        <v>0.03305193074</v>
      </c>
      <c r="N3366" s="167">
        <f t="shared" si="3"/>
        <v>5.177777778</v>
      </c>
      <c r="O3366" s="163">
        <f t="shared" ref="O3366:Q3366" si="3370">rank(I3366,I:I)</f>
        <v>3528</v>
      </c>
      <c r="P3366" s="163">
        <f t="shared" si="3370"/>
        <v>2158</v>
      </c>
      <c r="Q3366" s="163">
        <f t="shared" si="3370"/>
        <v>1778</v>
      </c>
      <c r="R3366" s="163">
        <f>IFERROR(__xludf.DUMMYFUNCTION("RANK(M3366,filter(M:M,C:C=C3366))"),451.0)</f>
        <v>451</v>
      </c>
      <c r="S3366" s="161" t="b">
        <f t="shared" si="5"/>
        <v>0</v>
      </c>
      <c r="T3366" s="161" t="b">
        <f t="array" ref="T3366">index('Query Tool'!B:B,match(H3366,'Query Tool'!C:C,0))</f>
        <v>1</v>
      </c>
      <c r="U3366" s="161" t="b">
        <f t="array" ref="U3366">index('Query Tool'!B:B,match(C3366,'Query Tool'!C:C,0))</f>
        <v>0</v>
      </c>
      <c r="V3366" s="161" t="b">
        <f>F3366&gt;='Query Tool'!C$32</f>
        <v>0</v>
      </c>
      <c r="W3366" s="161" t="b">
        <f t="array" ref="W3366">index(Dropdowns!B:B,match(I3366,Dropdowns!A:A,0))</f>
        <v>1</v>
      </c>
      <c r="X3366" s="161" t="b">
        <f t="array" ref="X3366">index('Query Tool'!B:B,match(D3366,'Query Tool'!C:C,0))</f>
        <v>1</v>
      </c>
      <c r="Y3366" s="161" t="str">
        <f t="shared" si="6"/>
        <v>bowenbr02,2019-20</v>
      </c>
      <c r="Z3366" s="168" t="str">
        <f t="array" ref="Z3366">iferror(index(I:I,match($A3366&amp;","&amp;index('Year Conversion'!$A:$A,match($C3366,'Year Conversion'!$B:$B,0)),$Y:$Y,0))-I3366,"")</f>
        <v/>
      </c>
      <c r="AA3366" s="168" t="str">
        <f t="array" ref="AA3366">iferror(index(J:J,match($A3366&amp;","&amp;index('Year Conversion'!$A:$A,match($C3366,'Year Conversion'!$B:$B,0)),$Y:$Y,0))-J3366,"")</f>
        <v/>
      </c>
      <c r="AB3366" s="168" t="str">
        <f t="array" ref="AB3366">iferror(index(K:K,match($A3366&amp;","&amp;index('Year Conversion'!$A:$A,match($C3366,'Year Conversion'!$B:$B,0)),$Y:$Y,0))-K3366,"")</f>
        <v/>
      </c>
      <c r="AC3366" s="168" t="str">
        <f t="shared" si="7"/>
        <v>IND,2019-20</v>
      </c>
    </row>
    <row r="3367">
      <c r="A3367" s="161" t="str">
        <f>IFERROR(__xludf.DUMMYFUNCTION("""COMPUTED_VALUE"""),"bridgmi01")</f>
        <v>bridgmi01</v>
      </c>
      <c r="B3367" s="161" t="str">
        <f>IFERROR(__xludf.DUMMYFUNCTION("""COMPUTED_VALUE"""),"Mikal Bridges")</f>
        <v>Mikal Bridges</v>
      </c>
      <c r="C3367" s="162" t="str">
        <f>IFERROR(__xludf.DUMMYFUNCTION("""COMPUTED_VALUE"""),"2019-20")</f>
        <v>2019-20</v>
      </c>
      <c r="D3367" s="163" t="str">
        <f>IFERROR(__xludf.DUMMYFUNCTION("""COMPUTED_VALUE"""),"PHO")</f>
        <v>PHO</v>
      </c>
      <c r="E3367" s="164" t="str">
        <f>IFERROR(__xludf.DUMMYFUNCTION("""COMPUTED_VALUE"""),"Athletic Finisher")</f>
        <v>Athletic Finisher</v>
      </c>
      <c r="F3367" s="164">
        <f>IFERROR(__xludf.DUMMYFUNCTION("""COMPUTED_VALUE"""),2042.12833333333)</f>
        <v>2042.128333</v>
      </c>
      <c r="G3367" s="163">
        <f>IFERROR(__xludf.DUMMYFUNCTION("""COMPUTED_VALUE"""),73.0)</f>
        <v>73</v>
      </c>
      <c r="H3367" s="163" t="str">
        <f>IFERROR(__xludf.DUMMYFUNCTION("""COMPUTED_VALUE"""),"SF")</f>
        <v>SF</v>
      </c>
      <c r="I3367" s="163">
        <f>IFERROR(__xludf.DUMMYFUNCTION("""COMPUTED_VALUE"""),23.0)</f>
        <v>23</v>
      </c>
      <c r="J3367" s="165">
        <f>IFERROR(__xludf.DUMMYFUNCTION("""COMPUTED_VALUE"""),0.495380699724432)</f>
        <v>0.4953806997</v>
      </c>
      <c r="K3367" s="165">
        <f>IFERROR(__xludf.DUMMYFUNCTION("""COMPUTED_VALUE"""),-0.814020392225077)</f>
        <v>-0.8140203922</v>
      </c>
      <c r="L3367" s="165">
        <f>IFERROR(__xludf.DUMMYFUNCTION("""COMPUTED_VALUE"""),1.30940109194951)</f>
        <v>1.309401092</v>
      </c>
      <c r="M3367" s="166">
        <f t="shared" si="2"/>
        <v>3.830080058</v>
      </c>
      <c r="N3367" s="167">
        <f t="shared" si="3"/>
        <v>27.97436073</v>
      </c>
      <c r="O3367" s="163">
        <f t="shared" ref="O3367:Q3367" si="3371">rank(I3367,I:I)</f>
        <v>2765</v>
      </c>
      <c r="P3367" s="163">
        <f t="shared" si="3371"/>
        <v>901</v>
      </c>
      <c r="Q3367" s="163">
        <f t="shared" si="3371"/>
        <v>2574</v>
      </c>
      <c r="R3367" s="163">
        <f>IFERROR(__xludf.DUMMYFUNCTION("RANK(M3367,filter(M:M,C:C=C3367))"),75.0)</f>
        <v>75</v>
      </c>
      <c r="S3367" s="161" t="b">
        <f t="shared" si="5"/>
        <v>0</v>
      </c>
      <c r="T3367" s="161" t="b">
        <f t="array" ref="T3367">index('Query Tool'!B:B,match(H3367,'Query Tool'!C:C,0))</f>
        <v>1</v>
      </c>
      <c r="U3367" s="161" t="b">
        <f t="array" ref="U3367">index('Query Tool'!B:B,match(C3367,'Query Tool'!C:C,0))</f>
        <v>0</v>
      </c>
      <c r="V3367" s="161" t="b">
        <f>F3367&gt;='Query Tool'!C$32</f>
        <v>1</v>
      </c>
      <c r="W3367" s="161" t="b">
        <f t="array" ref="W3367">index(Dropdowns!B:B,match(I3367,Dropdowns!A:A,0))</f>
        <v>1</v>
      </c>
      <c r="X3367" s="161" t="b">
        <f t="array" ref="X3367">index('Query Tool'!B:B,match(D3367,'Query Tool'!C:C,0))</f>
        <v>1</v>
      </c>
      <c r="Y3367" s="161" t="str">
        <f t="shared" si="6"/>
        <v>bridgmi01,2019-20</v>
      </c>
      <c r="Z3367" s="168" t="str">
        <f t="array" ref="Z3367">iferror(index(I:I,match($A3367&amp;","&amp;index('Year Conversion'!$A:$A,match($C3367,'Year Conversion'!$B:$B,0)),$Y:$Y,0))-I3367,"")</f>
        <v/>
      </c>
      <c r="AA3367" s="168" t="str">
        <f t="array" ref="AA3367">iferror(index(J:J,match($A3367&amp;","&amp;index('Year Conversion'!$A:$A,match($C3367,'Year Conversion'!$B:$B,0)),$Y:$Y,0))-J3367,"")</f>
        <v/>
      </c>
      <c r="AB3367" s="168" t="str">
        <f t="array" ref="AB3367">iferror(index(K:K,match($A3367&amp;","&amp;index('Year Conversion'!$A:$A,match($C3367,'Year Conversion'!$B:$B,0)),$Y:$Y,0))-K3367,"")</f>
        <v/>
      </c>
      <c r="AC3367" s="168" t="str">
        <f t="shared" si="7"/>
        <v>PHO,2019-20</v>
      </c>
    </row>
    <row r="3368">
      <c r="A3368" s="161" t="str">
        <f>IFERROR(__xludf.DUMMYFUNCTION("""COMPUTED_VALUE"""),"bridgmi02")</f>
        <v>bridgmi02</v>
      </c>
      <c r="B3368" s="161" t="str">
        <f>IFERROR(__xludf.DUMMYFUNCTION("""COMPUTED_VALUE"""),"Miles Bridges")</f>
        <v>Miles Bridges</v>
      </c>
      <c r="C3368" s="162" t="str">
        <f>IFERROR(__xludf.DUMMYFUNCTION("""COMPUTED_VALUE"""),"2019-20")</f>
        <v>2019-20</v>
      </c>
      <c r="D3368" s="163" t="str">
        <f>IFERROR(__xludf.DUMMYFUNCTION("""COMPUTED_VALUE"""),"CHO")</f>
        <v>CHO</v>
      </c>
      <c r="E3368" s="164" t="str">
        <f>IFERROR(__xludf.DUMMYFUNCTION("""COMPUTED_VALUE"""),"Stationary Shooter")</f>
        <v>Stationary Shooter</v>
      </c>
      <c r="F3368" s="164">
        <f>IFERROR(__xludf.DUMMYFUNCTION("""COMPUTED_VALUE"""),1995.57666666667)</f>
        <v>1995.576667</v>
      </c>
      <c r="G3368" s="163">
        <f>IFERROR(__xludf.DUMMYFUNCTION("""COMPUTED_VALUE"""),65.0)</f>
        <v>65</v>
      </c>
      <c r="H3368" s="163" t="str">
        <f>IFERROR(__xludf.DUMMYFUNCTION("""COMPUTED_VALUE"""),"SF")</f>
        <v>SF</v>
      </c>
      <c r="I3368" s="163">
        <f>IFERROR(__xludf.DUMMYFUNCTION("""COMPUTED_VALUE"""),21.0)</f>
        <v>21</v>
      </c>
      <c r="J3368" s="165">
        <f>IFERROR(__xludf.DUMMYFUNCTION("""COMPUTED_VALUE"""),-2.98972840234383)</f>
        <v>-2.989728402</v>
      </c>
      <c r="K3368" s="165">
        <f>IFERROR(__xludf.DUMMYFUNCTION("""COMPUTED_VALUE"""),-1.03668113773003)</f>
        <v>-1.036681138</v>
      </c>
      <c r="L3368" s="165">
        <f>IFERROR(__xludf.DUMMYFUNCTION("""COMPUTED_VALUE"""),-1.9530472646138)</f>
        <v>-1.953047265</v>
      </c>
      <c r="M3368" s="166">
        <f t="shared" si="2"/>
        <v>-0.8966439754</v>
      </c>
      <c r="N3368" s="167">
        <f t="shared" si="3"/>
        <v>30.70117949</v>
      </c>
      <c r="O3368" s="163">
        <f t="shared" ref="O3368:Q3368" si="3372">rank(I3368,I:I)</f>
        <v>3528</v>
      </c>
      <c r="P3368" s="163">
        <f t="shared" si="3372"/>
        <v>3885</v>
      </c>
      <c r="Q3368" s="163">
        <f t="shared" si="3372"/>
        <v>2853</v>
      </c>
      <c r="R3368" s="163">
        <f>IFERROR(__xludf.DUMMYFUNCTION("RANK(M3368,filter(M:M,C:C=C3368))"),524.0)</f>
        <v>524</v>
      </c>
      <c r="S3368" s="161" t="b">
        <f t="shared" si="5"/>
        <v>0</v>
      </c>
      <c r="T3368" s="161" t="b">
        <f t="array" ref="T3368">index('Query Tool'!B:B,match(H3368,'Query Tool'!C:C,0))</f>
        <v>1</v>
      </c>
      <c r="U3368" s="161" t="b">
        <f t="array" ref="U3368">index('Query Tool'!B:B,match(C3368,'Query Tool'!C:C,0))</f>
        <v>0</v>
      </c>
      <c r="V3368" s="161" t="b">
        <f>F3368&gt;='Query Tool'!C$32</f>
        <v>1</v>
      </c>
      <c r="W3368" s="161" t="b">
        <f t="array" ref="W3368">index(Dropdowns!B:B,match(I3368,Dropdowns!A:A,0))</f>
        <v>1</v>
      </c>
      <c r="X3368" s="161" t="b">
        <f t="array" ref="X3368">index('Query Tool'!B:B,match(D3368,'Query Tool'!C:C,0))</f>
        <v>1</v>
      </c>
      <c r="Y3368" s="161" t="str">
        <f t="shared" si="6"/>
        <v>bridgmi02,2019-20</v>
      </c>
      <c r="Z3368" s="168" t="str">
        <f t="array" ref="Z3368">iferror(index(I:I,match($A3368&amp;","&amp;index('Year Conversion'!$A:$A,match($C3368,'Year Conversion'!$B:$B,0)),$Y:$Y,0))-I3368,"")</f>
        <v/>
      </c>
      <c r="AA3368" s="168" t="str">
        <f t="array" ref="AA3368">iferror(index(J:J,match($A3368&amp;","&amp;index('Year Conversion'!$A:$A,match($C3368,'Year Conversion'!$B:$B,0)),$Y:$Y,0))-J3368,"")</f>
        <v/>
      </c>
      <c r="AB3368" s="168" t="str">
        <f t="array" ref="AB3368">iferror(index(K:K,match($A3368&amp;","&amp;index('Year Conversion'!$A:$A,match($C3368,'Year Conversion'!$B:$B,0)),$Y:$Y,0))-K3368,"")</f>
        <v/>
      </c>
      <c r="AC3368" s="168" t="str">
        <f t="shared" si="7"/>
        <v>CHO,2019-20</v>
      </c>
    </row>
    <row r="3369">
      <c r="A3369" s="161" t="str">
        <f>IFERROR(__xludf.DUMMYFUNCTION("""COMPUTED_VALUE"""),"brownbr01")</f>
        <v>brownbr01</v>
      </c>
      <c r="B3369" s="161" t="str">
        <f>IFERROR(__xludf.DUMMYFUNCTION("""COMPUTED_VALUE"""),"Bruce Brown")</f>
        <v>Bruce Brown</v>
      </c>
      <c r="C3369" s="162" t="str">
        <f>IFERROR(__xludf.DUMMYFUNCTION("""COMPUTED_VALUE"""),"2019-20")</f>
        <v>2019-20</v>
      </c>
      <c r="D3369" s="163" t="str">
        <f>IFERROR(__xludf.DUMMYFUNCTION("""COMPUTED_VALUE"""),"DET")</f>
        <v>DET</v>
      </c>
      <c r="E3369" s="164" t="str">
        <f>IFERROR(__xludf.DUMMYFUNCTION("""COMPUTED_VALUE"""),"Athletic Finisher")</f>
        <v>Athletic Finisher</v>
      </c>
      <c r="F3369" s="164">
        <f>IFERROR(__xludf.DUMMYFUNCTION("""COMPUTED_VALUE"""),1634.04166666667)</f>
        <v>1634.041667</v>
      </c>
      <c r="G3369" s="163">
        <f>IFERROR(__xludf.DUMMYFUNCTION("""COMPUTED_VALUE"""),58.0)</f>
        <v>58</v>
      </c>
      <c r="H3369" s="163" t="str">
        <f>IFERROR(__xludf.DUMMYFUNCTION("""COMPUTED_VALUE"""),"PG")</f>
        <v>PG</v>
      </c>
      <c r="I3369" s="163">
        <f>IFERROR(__xludf.DUMMYFUNCTION("""COMPUTED_VALUE"""),23.0)</f>
        <v>23</v>
      </c>
      <c r="J3369" s="165">
        <f>IFERROR(__xludf.DUMMYFUNCTION("""COMPUTED_VALUE"""),-1.94357655487502)</f>
        <v>-1.943576555</v>
      </c>
      <c r="K3369" s="165">
        <f>IFERROR(__xludf.DUMMYFUNCTION("""COMPUTED_VALUE"""),-2.05979142533106)</f>
        <v>-2.059791425</v>
      </c>
      <c r="L3369" s="165">
        <f>IFERROR(__xludf.DUMMYFUNCTION("""COMPUTED_VALUE"""),0.116214870456039)</f>
        <v>0.1162148705</v>
      </c>
      <c r="M3369" s="166">
        <f t="shared" si="2"/>
        <v>0.3891639776</v>
      </c>
      <c r="N3369" s="167">
        <f t="shared" si="3"/>
        <v>28.17313218</v>
      </c>
      <c r="O3369" s="163">
        <f t="shared" ref="O3369:Q3369" si="3373">rank(I3369,I:I)</f>
        <v>2765</v>
      </c>
      <c r="P3369" s="163">
        <f t="shared" si="3373"/>
        <v>3444</v>
      </c>
      <c r="Q3369" s="163">
        <f t="shared" si="3373"/>
        <v>3738</v>
      </c>
      <c r="R3369" s="163">
        <f>IFERROR(__xludf.DUMMYFUNCTION("RANK(M3369,filter(M:M,C:C=C3369))"),276.0)</f>
        <v>276</v>
      </c>
      <c r="S3369" s="161" t="b">
        <f t="shared" si="5"/>
        <v>0</v>
      </c>
      <c r="T3369" s="161" t="b">
        <f t="array" ref="T3369">index('Query Tool'!B:B,match(H3369,'Query Tool'!C:C,0))</f>
        <v>1</v>
      </c>
      <c r="U3369" s="161" t="b">
        <f t="array" ref="U3369">index('Query Tool'!B:B,match(C3369,'Query Tool'!C:C,0))</f>
        <v>0</v>
      </c>
      <c r="V3369" s="161" t="b">
        <f>F3369&gt;='Query Tool'!C$32</f>
        <v>1</v>
      </c>
      <c r="W3369" s="161" t="b">
        <f t="array" ref="W3369">index(Dropdowns!B:B,match(I3369,Dropdowns!A:A,0))</f>
        <v>1</v>
      </c>
      <c r="X3369" s="161" t="b">
        <f t="array" ref="X3369">index('Query Tool'!B:B,match(D3369,'Query Tool'!C:C,0))</f>
        <v>1</v>
      </c>
      <c r="Y3369" s="161" t="str">
        <f t="shared" si="6"/>
        <v>brownbr01,2019-20</v>
      </c>
      <c r="Z3369" s="168" t="str">
        <f t="array" ref="Z3369">iferror(index(I:I,match($A3369&amp;","&amp;index('Year Conversion'!$A:$A,match($C3369,'Year Conversion'!$B:$B,0)),$Y:$Y,0))-I3369,"")</f>
        <v/>
      </c>
      <c r="AA3369" s="168" t="str">
        <f t="array" ref="AA3369">iferror(index(J:J,match($A3369&amp;","&amp;index('Year Conversion'!$A:$A,match($C3369,'Year Conversion'!$B:$B,0)),$Y:$Y,0))-J3369,"")</f>
        <v/>
      </c>
      <c r="AB3369" s="168" t="str">
        <f t="array" ref="AB3369">iferror(index(K:K,match($A3369&amp;","&amp;index('Year Conversion'!$A:$A,match($C3369,'Year Conversion'!$B:$B,0)),$Y:$Y,0))-K3369,"")</f>
        <v/>
      </c>
      <c r="AC3369" s="168" t="str">
        <f t="shared" si="7"/>
        <v>DET,2019-20</v>
      </c>
    </row>
    <row r="3370">
      <c r="A3370" s="161" t="str">
        <f>IFERROR(__xludf.DUMMYFUNCTION("""COMPUTED_VALUE"""),"browntr01")</f>
        <v>browntr01</v>
      </c>
      <c r="B3370" s="161" t="str">
        <f>IFERROR(__xludf.DUMMYFUNCTION("""COMPUTED_VALUE"""),"Troy Brown Jr.")</f>
        <v>Troy Brown Jr.</v>
      </c>
      <c r="C3370" s="162" t="str">
        <f>IFERROR(__xludf.DUMMYFUNCTION("""COMPUTED_VALUE"""),"2019-20")</f>
        <v>2019-20</v>
      </c>
      <c r="D3370" s="163" t="str">
        <f>IFERROR(__xludf.DUMMYFUNCTION("""COMPUTED_VALUE"""),"WAS")</f>
        <v>WAS</v>
      </c>
      <c r="E3370" s="164" t="str">
        <f>IFERROR(__xludf.DUMMYFUNCTION("""COMPUTED_VALUE"""),"Secondary Ball Handler")</f>
        <v>Secondary Ball Handler</v>
      </c>
      <c r="F3370" s="164">
        <f>IFERROR(__xludf.DUMMYFUNCTION("""COMPUTED_VALUE"""),1782.01833333333)</f>
        <v>1782.018333</v>
      </c>
      <c r="G3370" s="163">
        <f>IFERROR(__xludf.DUMMYFUNCTION("""COMPUTED_VALUE"""),69.0)</f>
        <v>69</v>
      </c>
      <c r="H3370" s="163" t="str">
        <f>IFERROR(__xludf.DUMMYFUNCTION("""COMPUTED_VALUE"""),"SF")</f>
        <v>SF</v>
      </c>
      <c r="I3370" s="163">
        <f>IFERROR(__xludf.DUMMYFUNCTION("""COMPUTED_VALUE"""),20.0)</f>
        <v>20</v>
      </c>
      <c r="J3370" s="165">
        <f>IFERROR(__xludf.DUMMYFUNCTION("""COMPUTED_VALUE"""),-1.57338339691743)</f>
        <v>-1.573383397</v>
      </c>
      <c r="K3370" s="165">
        <f>IFERROR(__xludf.DUMMYFUNCTION("""COMPUTED_VALUE"""),-0.248814656882142)</f>
        <v>-0.2488146569</v>
      </c>
      <c r="L3370" s="165">
        <f>IFERROR(__xludf.DUMMYFUNCTION("""COMPUTED_VALUE"""),-1.32456874003528)</f>
        <v>-1.32456874</v>
      </c>
      <c r="M3370" s="166">
        <f t="shared" si="2"/>
        <v>0.8634601585</v>
      </c>
      <c r="N3370" s="167">
        <f t="shared" si="3"/>
        <v>25.82635266</v>
      </c>
      <c r="O3370" s="163">
        <f t="shared" ref="O3370:Q3370" si="3374">rank(I3370,I:I)</f>
        <v>3770</v>
      </c>
      <c r="P3370" s="163">
        <f t="shared" si="3374"/>
        <v>3121</v>
      </c>
      <c r="Q3370" s="163">
        <f t="shared" si="3374"/>
        <v>1664</v>
      </c>
      <c r="R3370" s="163">
        <f>IFERROR(__xludf.DUMMYFUNCTION("RANK(M3370,filter(M:M,C:C=C3370))"),219.0)</f>
        <v>219</v>
      </c>
      <c r="S3370" s="161" t="b">
        <f t="shared" si="5"/>
        <v>0</v>
      </c>
      <c r="T3370" s="161" t="b">
        <f t="array" ref="T3370">index('Query Tool'!B:B,match(H3370,'Query Tool'!C:C,0))</f>
        <v>1</v>
      </c>
      <c r="U3370" s="161" t="b">
        <f t="array" ref="U3370">index('Query Tool'!B:B,match(C3370,'Query Tool'!C:C,0))</f>
        <v>0</v>
      </c>
      <c r="V3370" s="161" t="b">
        <f>F3370&gt;='Query Tool'!C$32</f>
        <v>1</v>
      </c>
      <c r="W3370" s="161" t="b">
        <f t="array" ref="W3370">index(Dropdowns!B:B,match(I3370,Dropdowns!A:A,0))</f>
        <v>1</v>
      </c>
      <c r="X3370" s="161" t="b">
        <f t="array" ref="X3370">index('Query Tool'!B:B,match(D3370,'Query Tool'!C:C,0))</f>
        <v>1</v>
      </c>
      <c r="Y3370" s="161" t="str">
        <f t="shared" si="6"/>
        <v>browntr01,2019-20</v>
      </c>
      <c r="Z3370" s="168" t="str">
        <f t="array" ref="Z3370">iferror(index(I:I,match($A3370&amp;","&amp;index('Year Conversion'!$A:$A,match($C3370,'Year Conversion'!$B:$B,0)),$Y:$Y,0))-I3370,"")</f>
        <v/>
      </c>
      <c r="AA3370" s="168" t="str">
        <f t="array" ref="AA3370">iferror(index(J:J,match($A3370&amp;","&amp;index('Year Conversion'!$A:$A,match($C3370,'Year Conversion'!$B:$B,0)),$Y:$Y,0))-J3370,"")</f>
        <v/>
      </c>
      <c r="AB3370" s="168" t="str">
        <f t="array" ref="AB3370">iferror(index(K:K,match($A3370&amp;","&amp;index('Year Conversion'!$A:$A,match($C3370,'Year Conversion'!$B:$B,0)),$Y:$Y,0))-K3370,"")</f>
        <v/>
      </c>
      <c r="AC3370" s="168" t="str">
        <f t="shared" si="7"/>
        <v>WAS,2019-20</v>
      </c>
    </row>
    <row r="3371">
      <c r="A3371" s="161" t="str">
        <f>IFERROR(__xludf.DUMMYFUNCTION("""COMPUTED_VALUE"""),"brunsja01")</f>
        <v>brunsja01</v>
      </c>
      <c r="B3371" s="161" t="str">
        <f>IFERROR(__xludf.DUMMYFUNCTION("""COMPUTED_VALUE"""),"Jalen Brunson")</f>
        <v>Jalen Brunson</v>
      </c>
      <c r="C3371" s="162" t="str">
        <f>IFERROR(__xludf.DUMMYFUNCTION("""COMPUTED_VALUE"""),"2019-20")</f>
        <v>2019-20</v>
      </c>
      <c r="D3371" s="163" t="str">
        <f>IFERROR(__xludf.DUMMYFUNCTION("""COMPUTED_VALUE"""),"DAL")</f>
        <v>DAL</v>
      </c>
      <c r="E3371" s="164" t="str">
        <f>IFERROR(__xludf.DUMMYFUNCTION("""COMPUTED_VALUE"""),"Secondary Ball Handler")</f>
        <v>Secondary Ball Handler</v>
      </c>
      <c r="F3371" s="164">
        <f>IFERROR(__xludf.DUMMYFUNCTION("""COMPUTED_VALUE"""),1022.07333333333)</f>
        <v>1022.073333</v>
      </c>
      <c r="G3371" s="163">
        <f>IFERROR(__xludf.DUMMYFUNCTION("""COMPUTED_VALUE"""),57.0)</f>
        <v>57</v>
      </c>
      <c r="H3371" s="163" t="str">
        <f>IFERROR(__xludf.DUMMYFUNCTION("""COMPUTED_VALUE"""),"PG")</f>
        <v>PG</v>
      </c>
      <c r="I3371" s="163">
        <f>IFERROR(__xludf.DUMMYFUNCTION("""COMPUTED_VALUE"""),23.0)</f>
        <v>23</v>
      </c>
      <c r="J3371" s="165">
        <f>IFERROR(__xludf.DUMMYFUNCTION("""COMPUTED_VALUE"""),-0.10275969084297)</f>
        <v>-0.1027596908</v>
      </c>
      <c r="K3371" s="165">
        <f>IFERROR(__xludf.DUMMYFUNCTION("""COMPUTED_VALUE"""),0.715924692436996)</f>
        <v>0.7159246924</v>
      </c>
      <c r="L3371" s="165">
        <f>IFERROR(__xludf.DUMMYFUNCTION("""COMPUTED_VALUE"""),-0.818684383279966)</f>
        <v>-0.8186843833</v>
      </c>
      <c r="M3371" s="166">
        <f t="shared" si="2"/>
        <v>1.50488866</v>
      </c>
      <c r="N3371" s="167">
        <f t="shared" si="3"/>
        <v>17.93111111</v>
      </c>
      <c r="O3371" s="163">
        <f t="shared" ref="O3371:Q3371" si="3375">rank(I3371,I:I)</f>
        <v>2765</v>
      </c>
      <c r="P3371" s="163">
        <f t="shared" si="3375"/>
        <v>1386</v>
      </c>
      <c r="Q3371" s="163">
        <f t="shared" si="3375"/>
        <v>642</v>
      </c>
      <c r="R3371" s="163">
        <f>IFERROR(__xludf.DUMMYFUNCTION("RANK(M3371,filter(M:M,C:C=C3371))"),184.0)</f>
        <v>184</v>
      </c>
      <c r="S3371" s="161" t="b">
        <f t="shared" si="5"/>
        <v>0</v>
      </c>
      <c r="T3371" s="161" t="b">
        <f t="array" ref="T3371">index('Query Tool'!B:B,match(H3371,'Query Tool'!C:C,0))</f>
        <v>1</v>
      </c>
      <c r="U3371" s="161" t="b">
        <f t="array" ref="U3371">index('Query Tool'!B:B,match(C3371,'Query Tool'!C:C,0))</f>
        <v>0</v>
      </c>
      <c r="V3371" s="161" t="b">
        <f>F3371&gt;='Query Tool'!C$32</f>
        <v>1</v>
      </c>
      <c r="W3371" s="161" t="b">
        <f t="array" ref="W3371">index(Dropdowns!B:B,match(I3371,Dropdowns!A:A,0))</f>
        <v>1</v>
      </c>
      <c r="X3371" s="161" t="b">
        <f t="array" ref="X3371">index('Query Tool'!B:B,match(D3371,'Query Tool'!C:C,0))</f>
        <v>1</v>
      </c>
      <c r="Y3371" s="161" t="str">
        <f t="shared" si="6"/>
        <v>brunsja01,2019-20</v>
      </c>
      <c r="Z3371" s="168" t="str">
        <f t="array" ref="Z3371">iferror(index(I:I,match($A3371&amp;","&amp;index('Year Conversion'!$A:$A,match($C3371,'Year Conversion'!$B:$B,0)),$Y:$Y,0))-I3371,"")</f>
        <v/>
      </c>
      <c r="AA3371" s="168" t="str">
        <f t="array" ref="AA3371">iferror(index(J:J,match($A3371&amp;","&amp;index('Year Conversion'!$A:$A,match($C3371,'Year Conversion'!$B:$B,0)),$Y:$Y,0))-J3371,"")</f>
        <v/>
      </c>
      <c r="AB3371" s="168" t="str">
        <f t="array" ref="AB3371">iferror(index(K:K,match($A3371&amp;","&amp;index('Year Conversion'!$A:$A,match($C3371,'Year Conversion'!$B:$B,0)),$Y:$Y,0))-K3371,"")</f>
        <v/>
      </c>
      <c r="AC3371" s="168" t="str">
        <f t="shared" si="7"/>
        <v>DAL,2019-20</v>
      </c>
    </row>
    <row r="3372">
      <c r="A3372" s="161" t="str">
        <f>IFERROR(__xludf.DUMMYFUNCTION("""COMPUTED_VALUE"""),"carteje01")</f>
        <v>carteje01</v>
      </c>
      <c r="B3372" s="161" t="str">
        <f>IFERROR(__xludf.DUMMYFUNCTION("""COMPUTED_VALUE"""),"Jevon Carter")</f>
        <v>Jevon Carter</v>
      </c>
      <c r="C3372" s="162" t="str">
        <f>IFERROR(__xludf.DUMMYFUNCTION("""COMPUTED_VALUE"""),"2019-20")</f>
        <v>2019-20</v>
      </c>
      <c r="D3372" s="163" t="str">
        <f>IFERROR(__xludf.DUMMYFUNCTION("""COMPUTED_VALUE"""),"PHO")</f>
        <v>PHO</v>
      </c>
      <c r="E3372" s="164" t="str">
        <f>IFERROR(__xludf.DUMMYFUNCTION("""COMPUTED_VALUE"""),"Secondary Ball Handler")</f>
        <v>Secondary Ball Handler</v>
      </c>
      <c r="F3372" s="164">
        <f>IFERROR(__xludf.DUMMYFUNCTION("""COMPUTED_VALUE"""),945.148333333333)</f>
        <v>945.1483333</v>
      </c>
      <c r="G3372" s="163">
        <f>IFERROR(__xludf.DUMMYFUNCTION("""COMPUTED_VALUE"""),58.0)</f>
        <v>58</v>
      </c>
      <c r="H3372" s="163" t="str">
        <f>IFERROR(__xludf.DUMMYFUNCTION("""COMPUTED_VALUE"""),"PG")</f>
        <v>PG</v>
      </c>
      <c r="I3372" s="163">
        <f>IFERROR(__xludf.DUMMYFUNCTION("""COMPUTED_VALUE"""),24.0)</f>
        <v>24</v>
      </c>
      <c r="J3372" s="165">
        <f>IFERROR(__xludf.DUMMYFUNCTION("""COMPUTED_VALUE"""),-0.873608639716022)</f>
        <v>-0.8736086397</v>
      </c>
      <c r="K3372" s="165">
        <f>IFERROR(__xludf.DUMMYFUNCTION("""COMPUTED_VALUE"""),-1.54086414592592)</f>
        <v>-1.540864146</v>
      </c>
      <c r="L3372" s="165">
        <f>IFERROR(__xludf.DUMMYFUNCTION("""COMPUTED_VALUE"""),0.667255506209902)</f>
        <v>0.6672555062</v>
      </c>
      <c r="M3372" s="166">
        <f t="shared" si="2"/>
        <v>0.9010215015</v>
      </c>
      <c r="N3372" s="167">
        <f t="shared" si="3"/>
        <v>16.29566092</v>
      </c>
      <c r="O3372" s="163">
        <f t="shared" ref="O3372:Q3372" si="3376">rank(I3372,I:I)</f>
        <v>2361</v>
      </c>
      <c r="P3372" s="163">
        <f t="shared" si="3376"/>
        <v>2367</v>
      </c>
      <c r="Q3372" s="163">
        <f t="shared" si="3376"/>
        <v>3397</v>
      </c>
      <c r="R3372" s="163">
        <f>IFERROR(__xludf.DUMMYFUNCTION("RANK(M3372,filter(M:M,C:C=C3372))"),217.0)</f>
        <v>217</v>
      </c>
      <c r="S3372" s="161" t="b">
        <f t="shared" si="5"/>
        <v>0</v>
      </c>
      <c r="T3372" s="161" t="b">
        <f t="array" ref="T3372">index('Query Tool'!B:B,match(H3372,'Query Tool'!C:C,0))</f>
        <v>1</v>
      </c>
      <c r="U3372" s="161" t="b">
        <f t="array" ref="U3372">index('Query Tool'!B:B,match(C3372,'Query Tool'!C:C,0))</f>
        <v>0</v>
      </c>
      <c r="V3372" s="161" t="b">
        <f>F3372&gt;='Query Tool'!C$32</f>
        <v>1</v>
      </c>
      <c r="W3372" s="161" t="b">
        <f t="array" ref="W3372">index(Dropdowns!B:B,match(I3372,Dropdowns!A:A,0))</f>
        <v>1</v>
      </c>
      <c r="X3372" s="161" t="b">
        <f t="array" ref="X3372">index('Query Tool'!B:B,match(D3372,'Query Tool'!C:C,0))</f>
        <v>1</v>
      </c>
      <c r="Y3372" s="161" t="str">
        <f t="shared" si="6"/>
        <v>carteje01,2019-20</v>
      </c>
      <c r="Z3372" s="168" t="str">
        <f t="array" ref="Z3372">iferror(index(I:I,match($A3372&amp;","&amp;index('Year Conversion'!$A:$A,match($C3372,'Year Conversion'!$B:$B,0)),$Y:$Y,0))-I3372,"")</f>
        <v/>
      </c>
      <c r="AA3372" s="168" t="str">
        <f t="array" ref="AA3372">iferror(index(J:J,match($A3372&amp;","&amp;index('Year Conversion'!$A:$A,match($C3372,'Year Conversion'!$B:$B,0)),$Y:$Y,0))-J3372,"")</f>
        <v/>
      </c>
      <c r="AB3372" s="168" t="str">
        <f t="array" ref="AB3372">iferror(index(K:K,match($A3372&amp;","&amp;index('Year Conversion'!$A:$A,match($C3372,'Year Conversion'!$B:$B,0)),$Y:$Y,0))-K3372,"")</f>
        <v/>
      </c>
      <c r="AC3372" s="168" t="str">
        <f t="shared" si="7"/>
        <v>PHO,2019-20</v>
      </c>
    </row>
    <row r="3373">
      <c r="A3373" s="161" t="str">
        <f>IFERROR(__xludf.DUMMYFUNCTION("""COMPUTED_VALUE"""),"cartewe01")</f>
        <v>cartewe01</v>
      </c>
      <c r="B3373" s="161" t="str">
        <f>IFERROR(__xludf.DUMMYFUNCTION("""COMPUTED_VALUE"""),"Wendell Carter Jr.")</f>
        <v>Wendell Carter Jr.</v>
      </c>
      <c r="C3373" s="162" t="str">
        <f>IFERROR(__xludf.DUMMYFUNCTION("""COMPUTED_VALUE"""),"2019-20")</f>
        <v>2019-20</v>
      </c>
      <c r="D3373" s="163" t="str">
        <f>IFERROR(__xludf.DUMMYFUNCTION("""COMPUTED_VALUE"""),"CHI")</f>
        <v>CHI</v>
      </c>
      <c r="E3373" s="164" t="str">
        <f>IFERROR(__xludf.DUMMYFUNCTION("""COMPUTED_VALUE"""),"Roll + Cut Big")</f>
        <v>Roll + Cut Big</v>
      </c>
      <c r="F3373" s="164">
        <f>IFERROR(__xludf.DUMMYFUNCTION("""COMPUTED_VALUE"""),1255.78666666667)</f>
        <v>1255.786667</v>
      </c>
      <c r="G3373" s="163">
        <f>IFERROR(__xludf.DUMMYFUNCTION("""COMPUTED_VALUE"""),43.0)</f>
        <v>43</v>
      </c>
      <c r="H3373" s="163" t="str">
        <f>IFERROR(__xludf.DUMMYFUNCTION("""COMPUTED_VALUE"""),"C")</f>
        <v>C</v>
      </c>
      <c r="I3373" s="163">
        <f>IFERROR(__xludf.DUMMYFUNCTION("""COMPUTED_VALUE"""),20.0)</f>
        <v>20</v>
      </c>
      <c r="J3373" s="165">
        <f>IFERROR(__xludf.DUMMYFUNCTION("""COMPUTED_VALUE"""),-0.144174028549431)</f>
        <v>-0.1441740285</v>
      </c>
      <c r="K3373" s="165">
        <f>IFERROR(__xludf.DUMMYFUNCTION("""COMPUTED_VALUE"""),-1.86358916173909)</f>
        <v>-1.863589162</v>
      </c>
      <c r="L3373" s="165">
        <f>IFERROR(__xludf.DUMMYFUNCTION("""COMPUTED_VALUE"""),1.71941513318966)</f>
        <v>1.719415133</v>
      </c>
      <c r="M3373" s="166">
        <f t="shared" si="2"/>
        <v>1.813944674</v>
      </c>
      <c r="N3373" s="167">
        <f t="shared" si="3"/>
        <v>29.20434109</v>
      </c>
      <c r="O3373" s="163">
        <f t="shared" ref="O3373:Q3373" si="3377">rank(I3373,I:I)</f>
        <v>3770</v>
      </c>
      <c r="P3373" s="163">
        <f t="shared" si="3377"/>
        <v>1431</v>
      </c>
      <c r="Q3373" s="163">
        <f t="shared" si="3377"/>
        <v>3617</v>
      </c>
      <c r="R3373" s="163">
        <f>IFERROR(__xludf.DUMMYFUNCTION("RANK(M3373,filter(M:M,C:C=C3373))"),168.0)</f>
        <v>168</v>
      </c>
      <c r="S3373" s="161" t="b">
        <f t="shared" si="5"/>
        <v>0</v>
      </c>
      <c r="T3373" s="161" t="b">
        <f t="array" ref="T3373">index('Query Tool'!B:B,match(H3373,'Query Tool'!C:C,0))</f>
        <v>1</v>
      </c>
      <c r="U3373" s="161" t="b">
        <f t="array" ref="U3373">index('Query Tool'!B:B,match(C3373,'Query Tool'!C:C,0))</f>
        <v>0</v>
      </c>
      <c r="V3373" s="161" t="b">
        <f>F3373&gt;='Query Tool'!C$32</f>
        <v>1</v>
      </c>
      <c r="W3373" s="161" t="b">
        <f t="array" ref="W3373">index(Dropdowns!B:B,match(I3373,Dropdowns!A:A,0))</f>
        <v>1</v>
      </c>
      <c r="X3373" s="161" t="b">
        <f t="array" ref="X3373">index('Query Tool'!B:B,match(D3373,'Query Tool'!C:C,0))</f>
        <v>1</v>
      </c>
      <c r="Y3373" s="161" t="str">
        <f t="shared" si="6"/>
        <v>cartewe01,2019-20</v>
      </c>
      <c r="Z3373" s="168" t="str">
        <f t="array" ref="Z3373">iferror(index(I:I,match($A3373&amp;","&amp;index('Year Conversion'!$A:$A,match($C3373,'Year Conversion'!$B:$B,0)),$Y:$Y,0))-I3373,"")</f>
        <v/>
      </c>
      <c r="AA3373" s="168" t="str">
        <f t="array" ref="AA3373">iferror(index(J:J,match($A3373&amp;","&amp;index('Year Conversion'!$A:$A,match($C3373,'Year Conversion'!$B:$B,0)),$Y:$Y,0))-J3373,"")</f>
        <v/>
      </c>
      <c r="AB3373" s="168" t="str">
        <f t="array" ref="AB3373">iferror(index(K:K,match($A3373&amp;","&amp;index('Year Conversion'!$A:$A,match($C3373,'Year Conversion'!$B:$B,0)),$Y:$Y,0))-K3373,"")</f>
        <v/>
      </c>
      <c r="AC3373" s="168" t="str">
        <f t="shared" si="7"/>
        <v>CHI,2019-20</v>
      </c>
    </row>
    <row r="3374">
      <c r="A3374" s="161" t="str">
        <f>IFERROR(__xludf.DUMMYFUNCTION("""COMPUTED_VALUE"""),"diallha01")</f>
        <v>diallha01</v>
      </c>
      <c r="B3374" s="161" t="str">
        <f>IFERROR(__xludf.DUMMYFUNCTION("""COMPUTED_VALUE"""),"Hamidou Diallo")</f>
        <v>Hamidou Diallo</v>
      </c>
      <c r="C3374" s="162" t="str">
        <f>IFERROR(__xludf.DUMMYFUNCTION("""COMPUTED_VALUE"""),"2019-20")</f>
        <v>2019-20</v>
      </c>
      <c r="D3374" s="163" t="str">
        <f>IFERROR(__xludf.DUMMYFUNCTION("""COMPUTED_VALUE"""),"OKC")</f>
        <v>OKC</v>
      </c>
      <c r="E3374" s="164" t="str">
        <f>IFERROR(__xludf.DUMMYFUNCTION("""COMPUTED_VALUE"""),"Athletic Finisher")</f>
        <v>Athletic Finisher</v>
      </c>
      <c r="F3374" s="164">
        <f>IFERROR(__xludf.DUMMYFUNCTION("""COMPUTED_VALUE"""),895.586666666667)</f>
        <v>895.5866667</v>
      </c>
      <c r="G3374" s="163">
        <f>IFERROR(__xludf.DUMMYFUNCTION("""COMPUTED_VALUE"""),46.0)</f>
        <v>46</v>
      </c>
      <c r="H3374" s="163" t="str">
        <f>IFERROR(__xludf.DUMMYFUNCTION("""COMPUTED_VALUE"""),"SF")</f>
        <v>SF</v>
      </c>
      <c r="I3374" s="163">
        <f>IFERROR(__xludf.DUMMYFUNCTION("""COMPUTED_VALUE"""),21.0)</f>
        <v>21</v>
      </c>
      <c r="J3374" s="165">
        <f>IFERROR(__xludf.DUMMYFUNCTION("""COMPUTED_VALUE"""),-3.39822456067183)</f>
        <v>-3.398224561</v>
      </c>
      <c r="K3374" s="165">
        <f>IFERROR(__xludf.DUMMYFUNCTION("""COMPUTED_VALUE"""),-3.20955529998489)</f>
        <v>-3.2095553</v>
      </c>
      <c r="L3374" s="165">
        <f>IFERROR(__xludf.DUMMYFUNCTION("""COMPUTED_VALUE"""),-0.18866926068694)</f>
        <v>-0.1886692607</v>
      </c>
      <c r="M3374" s="166">
        <f t="shared" si="2"/>
        <v>-0.6388405039</v>
      </c>
      <c r="N3374" s="167">
        <f t="shared" si="3"/>
        <v>19.46927536</v>
      </c>
      <c r="O3374" s="163">
        <f t="shared" ref="O3374:Q3374" si="3378">rank(I3374,I:I)</f>
        <v>3528</v>
      </c>
      <c r="P3374" s="163">
        <f t="shared" si="3378"/>
        <v>3952</v>
      </c>
      <c r="Q3374" s="163">
        <f t="shared" si="3378"/>
        <v>3993</v>
      </c>
      <c r="R3374" s="163">
        <f>IFERROR(__xludf.DUMMYFUNCTION("RANK(M3374,filter(M:M,C:C=C3374))"),519.0)</f>
        <v>519</v>
      </c>
      <c r="S3374" s="161" t="b">
        <f t="shared" si="5"/>
        <v>0</v>
      </c>
      <c r="T3374" s="161" t="b">
        <f t="array" ref="T3374">index('Query Tool'!B:B,match(H3374,'Query Tool'!C:C,0))</f>
        <v>1</v>
      </c>
      <c r="U3374" s="161" t="b">
        <f t="array" ref="U3374">index('Query Tool'!B:B,match(C3374,'Query Tool'!C:C,0))</f>
        <v>0</v>
      </c>
      <c r="V3374" s="161" t="b">
        <f>F3374&gt;='Query Tool'!C$32</f>
        <v>1</v>
      </c>
      <c r="W3374" s="161" t="b">
        <f t="array" ref="W3374">index(Dropdowns!B:B,match(I3374,Dropdowns!A:A,0))</f>
        <v>1</v>
      </c>
      <c r="X3374" s="161" t="b">
        <f t="array" ref="X3374">index('Query Tool'!B:B,match(D3374,'Query Tool'!C:C,0))</f>
        <v>1</v>
      </c>
      <c r="Y3374" s="161" t="str">
        <f t="shared" si="6"/>
        <v>diallha01,2019-20</v>
      </c>
      <c r="Z3374" s="168" t="str">
        <f t="array" ref="Z3374">iferror(index(I:I,match($A3374&amp;","&amp;index('Year Conversion'!$A:$A,match($C3374,'Year Conversion'!$B:$B,0)),$Y:$Y,0))-I3374,"")</f>
        <v/>
      </c>
      <c r="AA3374" s="168" t="str">
        <f t="array" ref="AA3374">iferror(index(J:J,match($A3374&amp;","&amp;index('Year Conversion'!$A:$A,match($C3374,'Year Conversion'!$B:$B,0)),$Y:$Y,0))-J3374,"")</f>
        <v/>
      </c>
      <c r="AB3374" s="168" t="str">
        <f t="array" ref="AB3374">iferror(index(K:K,match($A3374&amp;","&amp;index('Year Conversion'!$A:$A,match($C3374,'Year Conversion'!$B:$B,0)),$Y:$Y,0))-K3374,"")</f>
        <v/>
      </c>
      <c r="AC3374" s="168" t="str">
        <f t="shared" si="7"/>
        <v>OKC,2019-20</v>
      </c>
    </row>
    <row r="3375">
      <c r="A3375" s="161" t="str">
        <f>IFERROR(__xludf.DUMMYFUNCTION("""COMPUTED_VALUE"""),"divindo01")</f>
        <v>divindo01</v>
      </c>
      <c r="B3375" s="161" t="str">
        <f>IFERROR(__xludf.DUMMYFUNCTION("""COMPUTED_VALUE"""),"Donte DiVincenzo")</f>
        <v>Donte DiVincenzo</v>
      </c>
      <c r="C3375" s="162" t="str">
        <f>IFERROR(__xludf.DUMMYFUNCTION("""COMPUTED_VALUE"""),"2019-20")</f>
        <v>2019-20</v>
      </c>
      <c r="D3375" s="163" t="str">
        <f>IFERROR(__xludf.DUMMYFUNCTION("""COMPUTED_VALUE"""),"MIL")</f>
        <v>MIL</v>
      </c>
      <c r="E3375" s="164" t="str">
        <f>IFERROR(__xludf.DUMMYFUNCTION("""COMPUTED_VALUE"""),"Secondary Ball Handler")</f>
        <v>Secondary Ball Handler</v>
      </c>
      <c r="F3375" s="164">
        <f>IFERROR(__xludf.DUMMYFUNCTION("""COMPUTED_VALUE"""),1520.40666666667)</f>
        <v>1520.406667</v>
      </c>
      <c r="G3375" s="163">
        <f>IFERROR(__xludf.DUMMYFUNCTION("""COMPUTED_VALUE"""),66.0)</f>
        <v>66</v>
      </c>
      <c r="H3375" s="163" t="str">
        <f>IFERROR(__xludf.DUMMYFUNCTION("""COMPUTED_VALUE"""),"SG")</f>
        <v>SG</v>
      </c>
      <c r="I3375" s="163">
        <f>IFERROR(__xludf.DUMMYFUNCTION("""COMPUTED_VALUE"""),23.0)</f>
        <v>23</v>
      </c>
      <c r="J3375" s="165">
        <f>IFERROR(__xludf.DUMMYFUNCTION("""COMPUTED_VALUE"""),1.46252152168172)</f>
        <v>1.462521522</v>
      </c>
      <c r="K3375" s="165">
        <f>IFERROR(__xludf.DUMMYFUNCTION("""COMPUTED_VALUE"""),-0.122682891867712)</f>
        <v>-0.1226828919</v>
      </c>
      <c r="L3375" s="165">
        <f>IFERROR(__xludf.DUMMYFUNCTION("""COMPUTED_VALUE"""),1.58520441354943)</f>
        <v>1.585204414</v>
      </c>
      <c r="M3375" s="166">
        <f t="shared" si="2"/>
        <v>3.83866848</v>
      </c>
      <c r="N3375" s="167">
        <f t="shared" si="3"/>
        <v>23.03646465</v>
      </c>
      <c r="O3375" s="163">
        <f t="shared" ref="O3375:Q3375" si="3379">rank(I3375,I:I)</f>
        <v>2765</v>
      </c>
      <c r="P3375" s="163">
        <f t="shared" si="3379"/>
        <v>467</v>
      </c>
      <c r="Q3375" s="163">
        <f t="shared" si="3379"/>
        <v>1414</v>
      </c>
      <c r="R3375" s="163">
        <f>IFERROR(__xludf.DUMMYFUNCTION("RANK(M3375,filter(M:M,C:C=C3375))"),74.0)</f>
        <v>74</v>
      </c>
      <c r="S3375" s="161" t="b">
        <f t="shared" si="5"/>
        <v>0</v>
      </c>
      <c r="T3375" s="161" t="b">
        <f t="array" ref="T3375">index('Query Tool'!B:B,match(H3375,'Query Tool'!C:C,0))</f>
        <v>1</v>
      </c>
      <c r="U3375" s="161" t="b">
        <f t="array" ref="U3375">index('Query Tool'!B:B,match(C3375,'Query Tool'!C:C,0))</f>
        <v>0</v>
      </c>
      <c r="V3375" s="161" t="b">
        <f>F3375&gt;='Query Tool'!C$32</f>
        <v>1</v>
      </c>
      <c r="W3375" s="161" t="b">
        <f t="array" ref="W3375">index(Dropdowns!B:B,match(I3375,Dropdowns!A:A,0))</f>
        <v>1</v>
      </c>
      <c r="X3375" s="161" t="b">
        <f t="array" ref="X3375">index('Query Tool'!B:B,match(D3375,'Query Tool'!C:C,0))</f>
        <v>1</v>
      </c>
      <c r="Y3375" s="161" t="str">
        <f t="shared" si="6"/>
        <v>divindo01,2019-20</v>
      </c>
      <c r="Z3375" s="168" t="str">
        <f t="array" ref="Z3375">iferror(index(I:I,match($A3375&amp;","&amp;index('Year Conversion'!$A:$A,match($C3375,'Year Conversion'!$B:$B,0)),$Y:$Y,0))-I3375,"")</f>
        <v/>
      </c>
      <c r="AA3375" s="168" t="str">
        <f t="array" ref="AA3375">iferror(index(J:J,match($A3375&amp;","&amp;index('Year Conversion'!$A:$A,match($C3375,'Year Conversion'!$B:$B,0)),$Y:$Y,0))-J3375,"")</f>
        <v/>
      </c>
      <c r="AB3375" s="168" t="str">
        <f t="array" ref="AB3375">iferror(index(K:K,match($A3375&amp;","&amp;index('Year Conversion'!$A:$A,match($C3375,'Year Conversion'!$B:$B,0)),$Y:$Y,0))-K3375,"")</f>
        <v/>
      </c>
      <c r="AC3375" s="168" t="str">
        <f t="shared" si="7"/>
        <v>MIL,2019-20</v>
      </c>
    </row>
    <row r="3376">
      <c r="A3376" s="161" t="str">
        <f>IFERROR(__xludf.DUMMYFUNCTION("""COMPUTED_VALUE"""),"evansja02")</f>
        <v>evansja02</v>
      </c>
      <c r="B3376" s="161" t="str">
        <f>IFERROR(__xludf.DUMMYFUNCTION("""COMPUTED_VALUE"""),"Jacob Evans")</f>
        <v>Jacob Evans</v>
      </c>
      <c r="C3376" s="162" t="str">
        <f>IFERROR(__xludf.DUMMYFUNCTION("""COMPUTED_VALUE"""),"2019-20")</f>
        <v>2019-20</v>
      </c>
      <c r="D3376" s="163" t="str">
        <f>IFERROR(__xludf.DUMMYFUNCTION("""COMPUTED_VALUE"""),"TOT")</f>
        <v>TOT</v>
      </c>
      <c r="E3376" s="164" t="str">
        <f>IFERROR(__xludf.DUMMYFUNCTION("""COMPUTED_VALUE"""),"Secondary Ball Handler")</f>
        <v>Secondary Ball Handler</v>
      </c>
      <c r="F3376" s="164">
        <f>IFERROR(__xludf.DUMMYFUNCTION("""COMPUTED_VALUE"""),418.12)</f>
        <v>418.12</v>
      </c>
      <c r="G3376" s="163">
        <f>IFERROR(__xludf.DUMMYFUNCTION("""COMPUTED_VALUE"""),29.0)</f>
        <v>29</v>
      </c>
      <c r="H3376" s="163" t="str">
        <f>IFERROR(__xludf.DUMMYFUNCTION("""COMPUTED_VALUE"""),"SG")</f>
        <v>SG</v>
      </c>
      <c r="I3376" s="163">
        <f>IFERROR(__xludf.DUMMYFUNCTION("""COMPUTED_VALUE"""),22.0)</f>
        <v>22</v>
      </c>
      <c r="J3376" s="165">
        <f>IFERROR(__xludf.DUMMYFUNCTION("""COMPUTED_VALUE"""),-3.25031040125333)</f>
        <v>-3.250310401</v>
      </c>
      <c r="K3376" s="165">
        <f>IFERROR(__xludf.DUMMYFUNCTION("""COMPUTED_VALUE"""),-3.32408287174256)</f>
        <v>-3.324082872</v>
      </c>
      <c r="L3376" s="165">
        <f>IFERROR(__xludf.DUMMYFUNCTION("""COMPUTED_VALUE"""),0.0737724704892306)</f>
        <v>0.07377247049</v>
      </c>
      <c r="M3376" s="166">
        <f t="shared" si="2"/>
        <v>-0.2584210211</v>
      </c>
      <c r="N3376" s="167">
        <f t="shared" si="3"/>
        <v>14.41793103</v>
      </c>
      <c r="O3376" s="163">
        <f t="shared" ref="O3376:Q3376" si="3380">rank(I3376,I:I)</f>
        <v>3178</v>
      </c>
      <c r="P3376" s="163">
        <f t="shared" si="3380"/>
        <v>3936</v>
      </c>
      <c r="Q3376" s="163">
        <f t="shared" si="3380"/>
        <v>3999</v>
      </c>
      <c r="R3376" s="163">
        <f>IFERROR(__xludf.DUMMYFUNCTION("RANK(M3376,filter(M:M,C:C=C3376))"),502.0)</f>
        <v>502</v>
      </c>
      <c r="S3376" s="161" t="b">
        <f t="shared" si="5"/>
        <v>0</v>
      </c>
      <c r="T3376" s="161" t="b">
        <f t="array" ref="T3376">index('Query Tool'!B:B,match(H3376,'Query Tool'!C:C,0))</f>
        <v>1</v>
      </c>
      <c r="U3376" s="161" t="b">
        <f t="array" ref="U3376">index('Query Tool'!B:B,match(C3376,'Query Tool'!C:C,0))</f>
        <v>0</v>
      </c>
      <c r="V3376" s="161" t="b">
        <f>F3376&gt;='Query Tool'!C$32</f>
        <v>0</v>
      </c>
      <c r="W3376" s="161" t="b">
        <f t="array" ref="W3376">index(Dropdowns!B:B,match(I3376,Dropdowns!A:A,0))</f>
        <v>1</v>
      </c>
      <c r="X3376" s="161" t="b">
        <f t="array" ref="X3376">index('Query Tool'!B:B,match(D3376,'Query Tool'!C:C,0))</f>
        <v>1</v>
      </c>
      <c r="Y3376" s="161" t="str">
        <f t="shared" si="6"/>
        <v>evansja02,2019-20</v>
      </c>
      <c r="Z3376" s="168" t="str">
        <f t="array" ref="Z3376">iferror(index(I:I,match($A3376&amp;","&amp;index('Year Conversion'!$A:$A,match($C3376,'Year Conversion'!$B:$B,0)),$Y:$Y,0))-I3376,"")</f>
        <v/>
      </c>
      <c r="AA3376" s="168" t="str">
        <f t="array" ref="AA3376">iferror(index(J:J,match($A3376&amp;","&amp;index('Year Conversion'!$A:$A,match($C3376,'Year Conversion'!$B:$B,0)),$Y:$Y,0))-J3376,"")</f>
        <v/>
      </c>
      <c r="AB3376" s="168" t="str">
        <f t="array" ref="AB3376">iferror(index(K:K,match($A3376&amp;","&amp;index('Year Conversion'!$A:$A,match($C3376,'Year Conversion'!$B:$B,0)),$Y:$Y,0))-K3376,"")</f>
        <v/>
      </c>
      <c r="AC3376" s="168" t="str">
        <f t="shared" si="7"/>
        <v>TOT,2019-20</v>
      </c>
    </row>
    <row r="3377">
      <c r="A3377" s="161" t="str">
        <f>IFERROR(__xludf.DUMMYFUNCTION("""COMPUTED_VALUE"""),"fernabr01")</f>
        <v>fernabr01</v>
      </c>
      <c r="B3377" s="161" t="str">
        <f>IFERROR(__xludf.DUMMYFUNCTION("""COMPUTED_VALUE"""),"Bruno Fernando")</f>
        <v>Bruno Fernando</v>
      </c>
      <c r="C3377" s="162" t="str">
        <f>IFERROR(__xludf.DUMMYFUNCTION("""COMPUTED_VALUE"""),"2019-20")</f>
        <v>2019-20</v>
      </c>
      <c r="D3377" s="163" t="str">
        <f>IFERROR(__xludf.DUMMYFUNCTION("""COMPUTED_VALUE"""),"ATL")</f>
        <v>ATL</v>
      </c>
      <c r="E3377" s="164" t="str">
        <f>IFERROR(__xludf.DUMMYFUNCTION("""COMPUTED_VALUE"""),"Roll + Cut Big")</f>
        <v>Roll + Cut Big</v>
      </c>
      <c r="F3377" s="164">
        <f>IFERROR(__xludf.DUMMYFUNCTION("""COMPUTED_VALUE"""),712.528333333334)</f>
        <v>712.5283333</v>
      </c>
      <c r="G3377" s="163">
        <f>IFERROR(__xludf.DUMMYFUNCTION("""COMPUTED_VALUE"""),56.0)</f>
        <v>56</v>
      </c>
      <c r="H3377" s="163" t="str">
        <f>IFERROR(__xludf.DUMMYFUNCTION("""COMPUTED_VALUE"""),"C")</f>
        <v>C</v>
      </c>
      <c r="I3377" s="163">
        <f>IFERROR(__xludf.DUMMYFUNCTION("""COMPUTED_VALUE"""),21.0)</f>
        <v>21</v>
      </c>
      <c r="J3377" s="165">
        <f>IFERROR(__xludf.DUMMYFUNCTION("""COMPUTED_VALUE"""),-2.14257450669496)</f>
        <v>-2.142574507</v>
      </c>
      <c r="K3377" s="165">
        <f>IFERROR(__xludf.DUMMYFUNCTION("""COMPUTED_VALUE"""),-1.96506466642916)</f>
        <v>-1.965064666</v>
      </c>
      <c r="L3377" s="165">
        <f>IFERROR(__xludf.DUMMYFUNCTION("""COMPUTED_VALUE"""),-0.1775098402658)</f>
        <v>-0.1775098403</v>
      </c>
      <c r="M3377" s="166">
        <f t="shared" si="2"/>
        <v>0.07574664281</v>
      </c>
      <c r="N3377" s="167">
        <f t="shared" si="3"/>
        <v>12.72372024</v>
      </c>
      <c r="O3377" s="163">
        <f t="shared" ref="O3377:Q3377" si="3381">rank(I3377,I:I)</f>
        <v>3528</v>
      </c>
      <c r="P3377" s="163">
        <f t="shared" si="3381"/>
        <v>3582</v>
      </c>
      <c r="Q3377" s="163">
        <f t="shared" si="3381"/>
        <v>3698</v>
      </c>
      <c r="R3377" s="163">
        <f>IFERROR(__xludf.DUMMYFUNCTION("RANK(M3377,filter(M:M,C:C=C3377))"),407.0)</f>
        <v>407</v>
      </c>
      <c r="S3377" s="161" t="b">
        <f t="shared" si="5"/>
        <v>0</v>
      </c>
      <c r="T3377" s="161" t="b">
        <f t="array" ref="T3377">index('Query Tool'!B:B,match(H3377,'Query Tool'!C:C,0))</f>
        <v>1</v>
      </c>
      <c r="U3377" s="161" t="b">
        <f t="array" ref="U3377">index('Query Tool'!B:B,match(C3377,'Query Tool'!C:C,0))</f>
        <v>0</v>
      </c>
      <c r="V3377" s="161" t="b">
        <f>F3377&gt;='Query Tool'!C$32</f>
        <v>1</v>
      </c>
      <c r="W3377" s="161" t="b">
        <f t="array" ref="W3377">index(Dropdowns!B:B,match(I3377,Dropdowns!A:A,0))</f>
        <v>1</v>
      </c>
      <c r="X3377" s="161" t="b">
        <f t="array" ref="X3377">index('Query Tool'!B:B,match(D3377,'Query Tool'!C:C,0))</f>
        <v>1</v>
      </c>
      <c r="Y3377" s="161" t="str">
        <f t="shared" si="6"/>
        <v>fernabr01,2019-20</v>
      </c>
      <c r="Z3377" s="168" t="str">
        <f t="array" ref="Z3377">iferror(index(I:I,match($A3377&amp;","&amp;index('Year Conversion'!$A:$A,match($C3377,'Year Conversion'!$B:$B,0)),$Y:$Y,0))-I3377,"")</f>
        <v/>
      </c>
      <c r="AA3377" s="168" t="str">
        <f t="array" ref="AA3377">iferror(index(J:J,match($A3377&amp;","&amp;index('Year Conversion'!$A:$A,match($C3377,'Year Conversion'!$B:$B,0)),$Y:$Y,0))-J3377,"")</f>
        <v/>
      </c>
      <c r="AB3377" s="168" t="str">
        <f t="array" ref="AB3377">iferror(index(K:K,match($A3377&amp;","&amp;index('Year Conversion'!$A:$A,match($C3377,'Year Conversion'!$B:$B,0)),$Y:$Y,0))-K3377,"")</f>
        <v/>
      </c>
      <c r="AC3377" s="168" t="str">
        <f t="shared" si="7"/>
        <v>ATL,2019-20</v>
      </c>
    </row>
    <row r="3378">
      <c r="A3378" s="161" t="str">
        <f>IFERROR(__xludf.DUMMYFUNCTION("""COMPUTED_VALUE"""),"frazime01")</f>
        <v>frazime01</v>
      </c>
      <c r="B3378" s="161" t="str">
        <f>IFERROR(__xludf.DUMMYFUNCTION("""COMPUTED_VALUE"""),"Melvin Frazier Jr.")</f>
        <v>Melvin Frazier Jr.</v>
      </c>
      <c r="C3378" s="162" t="str">
        <f>IFERROR(__xludf.DUMMYFUNCTION("""COMPUTED_VALUE"""),"2019-20")</f>
        <v>2019-20</v>
      </c>
      <c r="D3378" s="163" t="str">
        <f>IFERROR(__xludf.DUMMYFUNCTION("""COMPUTED_VALUE"""),"ORL")</f>
        <v>ORL</v>
      </c>
      <c r="E3378" s="164" t="str">
        <f>IFERROR(__xludf.DUMMYFUNCTION("""COMPUTED_VALUE"""),"Stationary Shooter")</f>
        <v>Stationary Shooter</v>
      </c>
      <c r="F3378" s="164">
        <f>IFERROR(__xludf.DUMMYFUNCTION("""COMPUTED_VALUE"""),125.93)</f>
        <v>125.93</v>
      </c>
      <c r="G3378" s="163">
        <f>IFERROR(__xludf.DUMMYFUNCTION("""COMPUTED_VALUE"""),19.0)</f>
        <v>19</v>
      </c>
      <c r="H3378" s="163" t="str">
        <f>IFERROR(__xludf.DUMMYFUNCTION("""COMPUTED_VALUE"""),"SG")</f>
        <v>SG</v>
      </c>
      <c r="I3378" s="163">
        <f>IFERROR(__xludf.DUMMYFUNCTION("""COMPUTED_VALUE"""),23.0)</f>
        <v>23</v>
      </c>
      <c r="J3378" s="165">
        <f>IFERROR(__xludf.DUMMYFUNCTION("""COMPUTED_VALUE"""),-1.68803219238909)</f>
        <v>-1.688032192</v>
      </c>
      <c r="K3378" s="165">
        <f>IFERROR(__xludf.DUMMYFUNCTION("""COMPUTED_VALUE"""),-1.26890122956332)</f>
        <v>-1.26890123</v>
      </c>
      <c r="L3378" s="165">
        <f>IFERROR(__xludf.DUMMYFUNCTION("""COMPUTED_VALUE"""),-0.419130962825774)</f>
        <v>-0.4191309628</v>
      </c>
      <c r="M3378" s="166">
        <f t="shared" si="2"/>
        <v>0.05139155223</v>
      </c>
      <c r="N3378" s="167">
        <f t="shared" si="3"/>
        <v>6.627894737</v>
      </c>
      <c r="O3378" s="163">
        <f t="shared" ref="O3378:Q3378" si="3382">rank(I3378,I:I)</f>
        <v>2765</v>
      </c>
      <c r="P3378" s="163">
        <f t="shared" si="3382"/>
        <v>3232</v>
      </c>
      <c r="Q3378" s="163">
        <f t="shared" si="3382"/>
        <v>3107</v>
      </c>
      <c r="R3378" s="163">
        <f>IFERROR(__xludf.DUMMYFUNCTION("RANK(M3378,filter(M:M,C:C=C3378))"),433.0)</f>
        <v>433</v>
      </c>
      <c r="S3378" s="161" t="b">
        <f t="shared" si="5"/>
        <v>0</v>
      </c>
      <c r="T3378" s="161" t="b">
        <f t="array" ref="T3378">index('Query Tool'!B:B,match(H3378,'Query Tool'!C:C,0))</f>
        <v>1</v>
      </c>
      <c r="U3378" s="161" t="b">
        <f t="array" ref="U3378">index('Query Tool'!B:B,match(C3378,'Query Tool'!C:C,0))</f>
        <v>0</v>
      </c>
      <c r="V3378" s="161" t="b">
        <f>F3378&gt;='Query Tool'!C$32</f>
        <v>0</v>
      </c>
      <c r="W3378" s="161" t="b">
        <f t="array" ref="W3378">index(Dropdowns!B:B,match(I3378,Dropdowns!A:A,0))</f>
        <v>1</v>
      </c>
      <c r="X3378" s="161" t="b">
        <f t="array" ref="X3378">index('Query Tool'!B:B,match(D3378,'Query Tool'!C:C,0))</f>
        <v>1</v>
      </c>
      <c r="Y3378" s="161" t="str">
        <f t="shared" si="6"/>
        <v>frazime01,2019-20</v>
      </c>
      <c r="Z3378" s="168" t="str">
        <f t="array" ref="Z3378">iferror(index(I:I,match($A3378&amp;","&amp;index('Year Conversion'!$A:$A,match($C3378,'Year Conversion'!$B:$B,0)),$Y:$Y,0))-I3378,"")</f>
        <v/>
      </c>
      <c r="AA3378" s="168" t="str">
        <f t="array" ref="AA3378">iferror(index(J:J,match($A3378&amp;","&amp;index('Year Conversion'!$A:$A,match($C3378,'Year Conversion'!$B:$B,0)),$Y:$Y,0))-J3378,"")</f>
        <v/>
      </c>
      <c r="AB3378" s="168" t="str">
        <f t="array" ref="AB3378">iferror(index(K:K,match($A3378&amp;","&amp;index('Year Conversion'!$A:$A,match($C3378,'Year Conversion'!$B:$B,0)),$Y:$Y,0))-K3378,"")</f>
        <v/>
      </c>
      <c r="AC3378" s="168" t="str">
        <f t="shared" si="7"/>
        <v>ORL,2019-20</v>
      </c>
    </row>
    <row r="3379">
      <c r="A3379" s="161" t="str">
        <f>IFERROR(__xludf.DUMMYFUNCTION("""COMPUTED_VALUE"""),"gilgesh01")</f>
        <v>gilgesh01</v>
      </c>
      <c r="B3379" s="161" t="str">
        <f>IFERROR(__xludf.DUMMYFUNCTION("""COMPUTED_VALUE"""),"Shai Gilgeous-Alexander")</f>
        <v>Shai Gilgeous-Alexander</v>
      </c>
      <c r="C3379" s="162" t="str">
        <f>IFERROR(__xludf.DUMMYFUNCTION("""COMPUTED_VALUE"""),"2019-20")</f>
        <v>2019-20</v>
      </c>
      <c r="D3379" s="163" t="str">
        <f>IFERROR(__xludf.DUMMYFUNCTION("""COMPUTED_VALUE"""),"OKC")</f>
        <v>OKC</v>
      </c>
      <c r="E3379" s="164" t="str">
        <f>IFERROR(__xludf.DUMMYFUNCTION("""COMPUTED_VALUE"""),"Slasher")</f>
        <v>Slasher</v>
      </c>
      <c r="F3379" s="164">
        <f>IFERROR(__xludf.DUMMYFUNCTION("""COMPUTED_VALUE"""),2428.335)</f>
        <v>2428.335</v>
      </c>
      <c r="G3379" s="163">
        <f>IFERROR(__xludf.DUMMYFUNCTION("""COMPUTED_VALUE"""),70.0)</f>
        <v>70</v>
      </c>
      <c r="H3379" s="163" t="str">
        <f>IFERROR(__xludf.DUMMYFUNCTION("""COMPUTED_VALUE"""),"SG")</f>
        <v>SG</v>
      </c>
      <c r="I3379" s="163">
        <f>IFERROR(__xludf.DUMMYFUNCTION("""COMPUTED_VALUE"""),21.0)</f>
        <v>21</v>
      </c>
      <c r="J3379" s="165">
        <f>IFERROR(__xludf.DUMMYFUNCTION("""COMPUTED_VALUE"""),0.520691136027808)</f>
        <v>0.520691136</v>
      </c>
      <c r="K3379" s="165">
        <f>IFERROR(__xludf.DUMMYFUNCTION("""COMPUTED_VALUE"""),1.07280434749364)</f>
        <v>1.072804347</v>
      </c>
      <c r="L3379" s="165">
        <f>IFERROR(__xludf.DUMMYFUNCTION("""COMPUTED_VALUE"""),-0.552113211465834)</f>
        <v>-0.5521132115</v>
      </c>
      <c r="M3379" s="166">
        <f t="shared" si="2"/>
        <v>4.595816243</v>
      </c>
      <c r="N3379" s="167">
        <f t="shared" si="3"/>
        <v>34.6905</v>
      </c>
      <c r="O3379" s="163">
        <f t="shared" ref="O3379:Q3379" si="3383">rank(I3379,I:I)</f>
        <v>3528</v>
      </c>
      <c r="P3379" s="163">
        <f t="shared" si="3383"/>
        <v>892</v>
      </c>
      <c r="Q3379" s="163">
        <f t="shared" si="3383"/>
        <v>467</v>
      </c>
      <c r="R3379" s="163">
        <f>IFERROR(__xludf.DUMMYFUNCTION("RANK(M3379,filter(M:M,C:C=C3379))"),48.0)</f>
        <v>48</v>
      </c>
      <c r="S3379" s="161" t="b">
        <f t="shared" si="5"/>
        <v>0</v>
      </c>
      <c r="T3379" s="161" t="b">
        <f t="array" ref="T3379">index('Query Tool'!B:B,match(H3379,'Query Tool'!C:C,0))</f>
        <v>1</v>
      </c>
      <c r="U3379" s="161" t="b">
        <f t="array" ref="U3379">index('Query Tool'!B:B,match(C3379,'Query Tool'!C:C,0))</f>
        <v>0</v>
      </c>
      <c r="V3379" s="161" t="b">
        <f>F3379&gt;='Query Tool'!C$32</f>
        <v>1</v>
      </c>
      <c r="W3379" s="161" t="b">
        <f t="array" ref="W3379">index(Dropdowns!B:B,match(I3379,Dropdowns!A:A,0))</f>
        <v>1</v>
      </c>
      <c r="X3379" s="161" t="b">
        <f t="array" ref="X3379">index('Query Tool'!B:B,match(D3379,'Query Tool'!C:C,0))</f>
        <v>1</v>
      </c>
      <c r="Y3379" s="161" t="str">
        <f t="shared" si="6"/>
        <v>gilgesh01,2019-20</v>
      </c>
      <c r="Z3379" s="168" t="str">
        <f t="array" ref="Z3379">iferror(index(I:I,match($A3379&amp;","&amp;index('Year Conversion'!$A:$A,match($C3379,'Year Conversion'!$B:$B,0)),$Y:$Y,0))-I3379,"")</f>
        <v/>
      </c>
      <c r="AA3379" s="168" t="str">
        <f t="array" ref="AA3379">iferror(index(J:J,match($A3379&amp;","&amp;index('Year Conversion'!$A:$A,match($C3379,'Year Conversion'!$B:$B,0)),$Y:$Y,0))-J3379,"")</f>
        <v/>
      </c>
      <c r="AB3379" s="168" t="str">
        <f t="array" ref="AB3379">iferror(index(K:K,match($A3379&amp;","&amp;index('Year Conversion'!$A:$A,match($C3379,'Year Conversion'!$B:$B,0)),$Y:$Y,0))-K3379,"")</f>
        <v/>
      </c>
      <c r="AC3379" s="168" t="str">
        <f t="shared" si="7"/>
        <v>OKC,2019-20</v>
      </c>
    </row>
    <row r="3380">
      <c r="A3380" s="161" t="str">
        <f>IFERROR(__xludf.DUMMYFUNCTION("""COMPUTED_VALUE"""),"grahade01")</f>
        <v>grahade01</v>
      </c>
      <c r="B3380" s="161" t="str">
        <f>IFERROR(__xludf.DUMMYFUNCTION("""COMPUTED_VALUE"""),"Devonte' Graham")</f>
        <v>Devonte' Graham</v>
      </c>
      <c r="C3380" s="162" t="str">
        <f>IFERROR(__xludf.DUMMYFUNCTION("""COMPUTED_VALUE"""),"2019-20")</f>
        <v>2019-20</v>
      </c>
      <c r="D3380" s="163" t="str">
        <f>IFERROR(__xludf.DUMMYFUNCTION("""COMPUTED_VALUE"""),"CHO")</f>
        <v>CHO</v>
      </c>
      <c r="E3380" s="164" t="str">
        <f>IFERROR(__xludf.DUMMYFUNCTION("""COMPUTED_VALUE"""),"Secondary Ball Handler")</f>
        <v>Secondary Ball Handler</v>
      </c>
      <c r="F3380" s="164">
        <f>IFERROR(__xludf.DUMMYFUNCTION("""COMPUTED_VALUE"""),2211.23166666667)</f>
        <v>2211.231667</v>
      </c>
      <c r="G3380" s="163">
        <f>IFERROR(__xludf.DUMMYFUNCTION("""COMPUTED_VALUE"""),63.0)</f>
        <v>63</v>
      </c>
      <c r="H3380" s="163" t="str">
        <f>IFERROR(__xludf.DUMMYFUNCTION("""COMPUTED_VALUE"""),"PG")</f>
        <v>PG</v>
      </c>
      <c r="I3380" s="163">
        <f>IFERROR(__xludf.DUMMYFUNCTION("""COMPUTED_VALUE"""),24.0)</f>
        <v>24</v>
      </c>
      <c r="J3380" s="165">
        <f>IFERROR(__xludf.DUMMYFUNCTION("""COMPUTED_VALUE"""),0.0773164584030031)</f>
        <v>0.0773164584</v>
      </c>
      <c r="K3380" s="165">
        <f>IFERROR(__xludf.DUMMYFUNCTION("""COMPUTED_VALUE"""),2.06528623427555)</f>
        <v>2.065286234</v>
      </c>
      <c r="L3380" s="165">
        <f>IFERROR(__xludf.DUMMYFUNCTION("""COMPUTED_VALUE"""),-1.98796977587255)</f>
        <v>-1.987969776</v>
      </c>
      <c r="M3380" s="166">
        <f t="shared" si="2"/>
        <v>3.524243788</v>
      </c>
      <c r="N3380" s="167">
        <f t="shared" si="3"/>
        <v>35.09891534</v>
      </c>
      <c r="O3380" s="163">
        <f t="shared" ref="O3380:Q3380" si="3384">rank(I3380,I:I)</f>
        <v>2361</v>
      </c>
      <c r="P3380" s="163">
        <f t="shared" si="3384"/>
        <v>1215</v>
      </c>
      <c r="Q3380" s="163">
        <f t="shared" si="3384"/>
        <v>221</v>
      </c>
      <c r="R3380" s="163">
        <f>IFERROR(__xludf.DUMMYFUNCTION("RANK(M3380,filter(M:M,C:C=C3380))"),84.0)</f>
        <v>84</v>
      </c>
      <c r="S3380" s="161" t="b">
        <f t="shared" si="5"/>
        <v>0</v>
      </c>
      <c r="T3380" s="161" t="b">
        <f t="array" ref="T3380">index('Query Tool'!B:B,match(H3380,'Query Tool'!C:C,0))</f>
        <v>1</v>
      </c>
      <c r="U3380" s="161" t="b">
        <f t="array" ref="U3380">index('Query Tool'!B:B,match(C3380,'Query Tool'!C:C,0))</f>
        <v>0</v>
      </c>
      <c r="V3380" s="161" t="b">
        <f>F3380&gt;='Query Tool'!C$32</f>
        <v>1</v>
      </c>
      <c r="W3380" s="161" t="b">
        <f t="array" ref="W3380">index(Dropdowns!B:B,match(I3380,Dropdowns!A:A,0))</f>
        <v>1</v>
      </c>
      <c r="X3380" s="161" t="b">
        <f t="array" ref="X3380">index('Query Tool'!B:B,match(D3380,'Query Tool'!C:C,0))</f>
        <v>1</v>
      </c>
      <c r="Y3380" s="161" t="str">
        <f t="shared" si="6"/>
        <v>grahade01,2019-20</v>
      </c>
      <c r="Z3380" s="168" t="str">
        <f t="array" ref="Z3380">iferror(index(I:I,match($A3380&amp;","&amp;index('Year Conversion'!$A:$A,match($C3380,'Year Conversion'!$B:$B,0)),$Y:$Y,0))-I3380,"")</f>
        <v/>
      </c>
      <c r="AA3380" s="168" t="str">
        <f t="array" ref="AA3380">iferror(index(J:J,match($A3380&amp;","&amp;index('Year Conversion'!$A:$A,match($C3380,'Year Conversion'!$B:$B,0)),$Y:$Y,0))-J3380,"")</f>
        <v/>
      </c>
      <c r="AB3380" s="168" t="str">
        <f t="array" ref="AB3380">iferror(index(K:K,match($A3380&amp;","&amp;index('Year Conversion'!$A:$A,match($C3380,'Year Conversion'!$B:$B,0)),$Y:$Y,0))-K3380,"")</f>
        <v/>
      </c>
      <c r="AC3380" s="168" t="str">
        <f t="shared" si="7"/>
        <v>CHO,2019-20</v>
      </c>
    </row>
    <row r="3381">
      <c r="A3381" s="161" t="str">
        <f>IFERROR(__xludf.DUMMYFUNCTION("""COMPUTED_VALUE"""),"hallde01")</f>
        <v>hallde01</v>
      </c>
      <c r="B3381" s="161" t="str">
        <f>IFERROR(__xludf.DUMMYFUNCTION("""COMPUTED_VALUE"""),"Devon Hall")</f>
        <v>Devon Hall</v>
      </c>
      <c r="C3381" s="162" t="str">
        <f>IFERROR(__xludf.DUMMYFUNCTION("""COMPUTED_VALUE"""),"2019-20")</f>
        <v>2019-20</v>
      </c>
      <c r="D3381" s="163" t="str">
        <f>IFERROR(__xludf.DUMMYFUNCTION("""COMPUTED_VALUE"""),"OKC")</f>
        <v>OKC</v>
      </c>
      <c r="E3381" s="164" t="str">
        <f>IFERROR(__xludf.DUMMYFUNCTION("""COMPUTED_VALUE"""),"Secondary Ball Handler")</f>
        <v>Secondary Ball Handler</v>
      </c>
      <c r="F3381" s="164">
        <f>IFERROR(__xludf.DUMMYFUNCTION("""COMPUTED_VALUE"""),80.7383333333334)</f>
        <v>80.73833333</v>
      </c>
      <c r="G3381" s="163">
        <f>IFERROR(__xludf.DUMMYFUNCTION("""COMPUTED_VALUE"""),11.0)</f>
        <v>11</v>
      </c>
      <c r="H3381" s="163" t="str">
        <f>IFERROR(__xludf.DUMMYFUNCTION("""COMPUTED_VALUE"""),"PG")</f>
        <v>PG</v>
      </c>
      <c r="I3381" s="163">
        <f>IFERROR(__xludf.DUMMYFUNCTION("""COMPUTED_VALUE"""),24.0)</f>
        <v>24</v>
      </c>
      <c r="J3381" s="165">
        <f>IFERROR(__xludf.DUMMYFUNCTION("""COMPUTED_VALUE"""),-0.725854188865455)</f>
        <v>-0.7258541889</v>
      </c>
      <c r="K3381" s="165">
        <f>IFERROR(__xludf.DUMMYFUNCTION("""COMPUTED_VALUE"""),-0.312879741565064)</f>
        <v>-0.3128797416</v>
      </c>
      <c r="L3381" s="165">
        <f>IFERROR(__xludf.DUMMYFUNCTION("""COMPUTED_VALUE"""),-0.412974447300392)</f>
        <v>-0.4129744473</v>
      </c>
      <c r="M3381" s="166">
        <f t="shared" si="2"/>
        <v>0.08499009641</v>
      </c>
      <c r="N3381" s="167">
        <f t="shared" si="3"/>
        <v>7.339848485</v>
      </c>
      <c r="O3381" s="163">
        <f t="shared" ref="O3381:Q3381" si="3385">rank(I3381,I:I)</f>
        <v>2361</v>
      </c>
      <c r="P3381" s="163">
        <f t="shared" si="3385"/>
        <v>2182</v>
      </c>
      <c r="Q3381" s="163">
        <f t="shared" si="3385"/>
        <v>1779</v>
      </c>
      <c r="R3381" s="163">
        <f>IFERROR(__xludf.DUMMYFUNCTION("RANK(M3381,filter(M:M,C:C=C3381))"),398.0)</f>
        <v>398</v>
      </c>
      <c r="S3381" s="161" t="b">
        <f t="shared" si="5"/>
        <v>0</v>
      </c>
      <c r="T3381" s="161" t="b">
        <f t="array" ref="T3381">index('Query Tool'!B:B,match(H3381,'Query Tool'!C:C,0))</f>
        <v>1</v>
      </c>
      <c r="U3381" s="161" t="b">
        <f t="array" ref="U3381">index('Query Tool'!B:B,match(C3381,'Query Tool'!C:C,0))</f>
        <v>0</v>
      </c>
      <c r="V3381" s="161" t="b">
        <f>F3381&gt;='Query Tool'!C$32</f>
        <v>0</v>
      </c>
      <c r="W3381" s="161" t="b">
        <f t="array" ref="W3381">index(Dropdowns!B:B,match(I3381,Dropdowns!A:A,0))</f>
        <v>1</v>
      </c>
      <c r="X3381" s="161" t="b">
        <f t="array" ref="X3381">index('Query Tool'!B:B,match(D3381,'Query Tool'!C:C,0))</f>
        <v>1</v>
      </c>
      <c r="Y3381" s="161" t="str">
        <f t="shared" si="6"/>
        <v>hallde01,2019-20</v>
      </c>
      <c r="Z3381" s="168" t="str">
        <f t="array" ref="Z3381">iferror(index(I:I,match($A3381&amp;","&amp;index('Year Conversion'!$A:$A,match($C3381,'Year Conversion'!$B:$B,0)),$Y:$Y,0))-I3381,"")</f>
        <v/>
      </c>
      <c r="AA3381" s="168" t="str">
        <f t="array" ref="AA3381">iferror(index(J:J,match($A3381&amp;","&amp;index('Year Conversion'!$A:$A,match($C3381,'Year Conversion'!$B:$B,0)),$Y:$Y,0))-J3381,"")</f>
        <v/>
      </c>
      <c r="AB3381" s="168" t="str">
        <f t="array" ref="AB3381">iferror(index(K:K,match($A3381&amp;","&amp;index('Year Conversion'!$A:$A,match($C3381,'Year Conversion'!$B:$B,0)),$Y:$Y,0))-K3381,"")</f>
        <v/>
      </c>
      <c r="AC3381" s="168" t="str">
        <f t="shared" si="7"/>
        <v>OKC,2019-20</v>
      </c>
    </row>
    <row r="3382">
      <c r="A3382" s="161" t="str">
        <f>IFERROR(__xludf.DUMMYFUNCTION("""COMPUTED_VALUE"""),"herveke01")</f>
        <v>herveke01</v>
      </c>
      <c r="B3382" s="161" t="str">
        <f>IFERROR(__xludf.DUMMYFUNCTION("""COMPUTED_VALUE"""),"Kevin Hervey")</f>
        <v>Kevin Hervey</v>
      </c>
      <c r="C3382" s="162" t="str">
        <f>IFERROR(__xludf.DUMMYFUNCTION("""COMPUTED_VALUE"""),"2019-20")</f>
        <v>2019-20</v>
      </c>
      <c r="D3382" s="163" t="str">
        <f>IFERROR(__xludf.DUMMYFUNCTION("""COMPUTED_VALUE"""),"OKC")</f>
        <v>OKC</v>
      </c>
      <c r="E3382" s="164" t="str">
        <f>IFERROR(__xludf.DUMMYFUNCTION("""COMPUTED_VALUE"""),"Stationary Shooter")</f>
        <v>Stationary Shooter</v>
      </c>
      <c r="F3382" s="164">
        <f>IFERROR(__xludf.DUMMYFUNCTION("""COMPUTED_VALUE"""),52.1283333333333)</f>
        <v>52.12833333</v>
      </c>
      <c r="G3382" s="163">
        <f>IFERROR(__xludf.DUMMYFUNCTION("""COMPUTED_VALUE"""),10.0)</f>
        <v>10</v>
      </c>
      <c r="H3382" s="163" t="str">
        <f>IFERROR(__xludf.DUMMYFUNCTION("""COMPUTED_VALUE"""),"PF")</f>
        <v>PF</v>
      </c>
      <c r="I3382" s="163">
        <f>IFERROR(__xludf.DUMMYFUNCTION("""COMPUTED_VALUE"""),23.0)</f>
        <v>23</v>
      </c>
      <c r="J3382" s="165">
        <f>IFERROR(__xludf.DUMMYFUNCTION("""COMPUTED_VALUE"""),-0.597920640863222)</f>
        <v>-0.5979206409</v>
      </c>
      <c r="K3382" s="165">
        <f>IFERROR(__xludf.DUMMYFUNCTION("""COMPUTED_VALUE"""),-0.292339610873314)</f>
        <v>-0.2923396109</v>
      </c>
      <c r="L3382" s="165">
        <f>IFERROR(__xludf.DUMMYFUNCTION("""COMPUTED_VALUE"""),-0.305581029989909)</f>
        <v>-0.30558103</v>
      </c>
      <c r="M3382" s="166">
        <f t="shared" si="2"/>
        <v>0.05936138691</v>
      </c>
      <c r="N3382" s="167">
        <f t="shared" si="3"/>
        <v>5.212833333</v>
      </c>
      <c r="O3382" s="163">
        <f t="shared" ref="O3382:Q3382" si="3386">rank(I3382,I:I)</f>
        <v>2765</v>
      </c>
      <c r="P3382" s="163">
        <f t="shared" si="3386"/>
        <v>1992</v>
      </c>
      <c r="Q3382" s="163">
        <f t="shared" si="3386"/>
        <v>1750</v>
      </c>
      <c r="R3382" s="163">
        <f>IFERROR(__xludf.DUMMYFUNCTION("RANK(M3382,filter(M:M,C:C=C3382))"),421.0)</f>
        <v>421</v>
      </c>
      <c r="S3382" s="161" t="b">
        <f t="shared" si="5"/>
        <v>0</v>
      </c>
      <c r="T3382" s="161" t="b">
        <f t="array" ref="T3382">index('Query Tool'!B:B,match(H3382,'Query Tool'!C:C,0))</f>
        <v>1</v>
      </c>
      <c r="U3382" s="161" t="b">
        <f t="array" ref="U3382">index('Query Tool'!B:B,match(C3382,'Query Tool'!C:C,0))</f>
        <v>0</v>
      </c>
      <c r="V3382" s="161" t="b">
        <f>F3382&gt;='Query Tool'!C$32</f>
        <v>0</v>
      </c>
      <c r="W3382" s="161" t="b">
        <f t="array" ref="W3382">index(Dropdowns!B:B,match(I3382,Dropdowns!A:A,0))</f>
        <v>1</v>
      </c>
      <c r="X3382" s="161" t="b">
        <f t="array" ref="X3382">index('Query Tool'!B:B,match(D3382,'Query Tool'!C:C,0))</f>
        <v>1</v>
      </c>
      <c r="Y3382" s="161" t="str">
        <f t="shared" si="6"/>
        <v>herveke01,2019-20</v>
      </c>
      <c r="Z3382" s="168" t="str">
        <f t="array" ref="Z3382">iferror(index(I:I,match($A3382&amp;","&amp;index('Year Conversion'!$A:$A,match($C3382,'Year Conversion'!$B:$B,0)),$Y:$Y,0))-I3382,"")</f>
        <v/>
      </c>
      <c r="AA3382" s="168" t="str">
        <f t="array" ref="AA3382">iferror(index(J:J,match($A3382&amp;","&amp;index('Year Conversion'!$A:$A,match($C3382,'Year Conversion'!$B:$B,0)),$Y:$Y,0))-J3382,"")</f>
        <v/>
      </c>
      <c r="AB3382" s="168" t="str">
        <f t="array" ref="AB3382">iferror(index(K:K,match($A3382&amp;","&amp;index('Year Conversion'!$A:$A,match($C3382,'Year Conversion'!$B:$B,0)),$Y:$Y,0))-K3382,"")</f>
        <v/>
      </c>
      <c r="AC3382" s="168" t="str">
        <f t="shared" si="7"/>
        <v>OKC,2019-20</v>
      </c>
    </row>
    <row r="3383">
      <c r="A3383" s="161" t="str">
        <f>IFERROR(__xludf.DUMMYFUNCTION("""COMPUTED_VALUE"""),"holidaa01")</f>
        <v>holidaa01</v>
      </c>
      <c r="B3383" s="161" t="str">
        <f>IFERROR(__xludf.DUMMYFUNCTION("""COMPUTED_VALUE"""),"Aaron Holiday")</f>
        <v>Aaron Holiday</v>
      </c>
      <c r="C3383" s="162" t="str">
        <f>IFERROR(__xludf.DUMMYFUNCTION("""COMPUTED_VALUE"""),"2019-20")</f>
        <v>2019-20</v>
      </c>
      <c r="D3383" s="163" t="str">
        <f>IFERROR(__xludf.DUMMYFUNCTION("""COMPUTED_VALUE"""),"IND")</f>
        <v>IND</v>
      </c>
      <c r="E3383" s="164" t="str">
        <f>IFERROR(__xludf.DUMMYFUNCTION("""COMPUTED_VALUE"""),"Primary Ball Handler")</f>
        <v>Primary Ball Handler</v>
      </c>
      <c r="F3383" s="164">
        <f>IFERROR(__xludf.DUMMYFUNCTION("""COMPUTED_VALUE"""),1617.33166666667)</f>
        <v>1617.331667</v>
      </c>
      <c r="G3383" s="163">
        <f>IFERROR(__xludf.DUMMYFUNCTION("""COMPUTED_VALUE"""),66.0)</f>
        <v>66</v>
      </c>
      <c r="H3383" s="163" t="str">
        <f>IFERROR(__xludf.DUMMYFUNCTION("""COMPUTED_VALUE"""),"PG")</f>
        <v>PG</v>
      </c>
      <c r="I3383" s="163">
        <f>IFERROR(__xludf.DUMMYFUNCTION("""COMPUTED_VALUE"""),23.0)</f>
        <v>23</v>
      </c>
      <c r="J3383" s="165">
        <f>IFERROR(__xludf.DUMMYFUNCTION("""COMPUTED_VALUE"""),-0.950184573663353)</f>
        <v>-0.9501845737</v>
      </c>
      <c r="K3383" s="165">
        <f>IFERROR(__xludf.DUMMYFUNCTION("""COMPUTED_VALUE"""),-0.428044014173167)</f>
        <v>-0.4280440142</v>
      </c>
      <c r="L3383" s="165">
        <f>IFERROR(__xludf.DUMMYFUNCTION("""COMPUTED_VALUE"""),-0.522140559490186)</f>
        <v>-0.5221405595</v>
      </c>
      <c r="M3383" s="166">
        <f t="shared" si="2"/>
        <v>1.458613465</v>
      </c>
      <c r="N3383" s="167">
        <f t="shared" si="3"/>
        <v>24.50502525</v>
      </c>
      <c r="O3383" s="163">
        <f t="shared" ref="O3383:Q3383" si="3387">rank(I3383,I:I)</f>
        <v>2765</v>
      </c>
      <c r="P3383" s="163">
        <f t="shared" si="3387"/>
        <v>2450</v>
      </c>
      <c r="Q3383" s="163">
        <f t="shared" si="3387"/>
        <v>1997</v>
      </c>
      <c r="R3383" s="163">
        <f>IFERROR(__xludf.DUMMYFUNCTION("RANK(M3383,filter(M:M,C:C=C3383))"),186.0)</f>
        <v>186</v>
      </c>
      <c r="S3383" s="161" t="b">
        <f t="shared" si="5"/>
        <v>0</v>
      </c>
      <c r="T3383" s="161" t="b">
        <f t="array" ref="T3383">index('Query Tool'!B:B,match(H3383,'Query Tool'!C:C,0))</f>
        <v>1</v>
      </c>
      <c r="U3383" s="161" t="b">
        <f t="array" ref="U3383">index('Query Tool'!B:B,match(C3383,'Query Tool'!C:C,0))</f>
        <v>0</v>
      </c>
      <c r="V3383" s="161" t="b">
        <f>F3383&gt;='Query Tool'!C$32</f>
        <v>1</v>
      </c>
      <c r="W3383" s="161" t="b">
        <f t="array" ref="W3383">index(Dropdowns!B:B,match(I3383,Dropdowns!A:A,0))</f>
        <v>1</v>
      </c>
      <c r="X3383" s="161" t="b">
        <f t="array" ref="X3383">index('Query Tool'!B:B,match(D3383,'Query Tool'!C:C,0))</f>
        <v>1</v>
      </c>
      <c r="Y3383" s="161" t="str">
        <f t="shared" si="6"/>
        <v>holidaa01,2019-20</v>
      </c>
      <c r="Z3383" s="168" t="str">
        <f t="array" ref="Z3383">iferror(index(I:I,match($A3383&amp;","&amp;index('Year Conversion'!$A:$A,match($C3383,'Year Conversion'!$B:$B,0)),$Y:$Y,0))-I3383,"")</f>
        <v/>
      </c>
      <c r="AA3383" s="168" t="str">
        <f t="array" ref="AA3383">iferror(index(J:J,match($A3383&amp;","&amp;index('Year Conversion'!$A:$A,match($C3383,'Year Conversion'!$B:$B,0)),$Y:$Y,0))-J3383,"")</f>
        <v/>
      </c>
      <c r="AB3383" s="168" t="str">
        <f t="array" ref="AB3383">iferror(index(K:K,match($A3383&amp;","&amp;index('Year Conversion'!$A:$A,match($C3383,'Year Conversion'!$B:$B,0)),$Y:$Y,0))-K3383,"")</f>
        <v/>
      </c>
      <c r="AC3383" s="168" t="str">
        <f t="shared" si="7"/>
        <v>IND,2019-20</v>
      </c>
    </row>
    <row r="3384">
      <c r="A3384" s="161" t="str">
        <f>IFERROR(__xludf.DUMMYFUNCTION("""COMPUTED_VALUE"""),"huertke01")</f>
        <v>huertke01</v>
      </c>
      <c r="B3384" s="161" t="str">
        <f>IFERROR(__xludf.DUMMYFUNCTION("""COMPUTED_VALUE"""),"Kevin Huerter")</f>
        <v>Kevin Huerter</v>
      </c>
      <c r="C3384" s="162" t="str">
        <f>IFERROR(__xludf.DUMMYFUNCTION("""COMPUTED_VALUE"""),"2019-20")</f>
        <v>2019-20</v>
      </c>
      <c r="D3384" s="163" t="str">
        <f>IFERROR(__xludf.DUMMYFUNCTION("""COMPUTED_VALUE"""),"ATL")</f>
        <v>ATL</v>
      </c>
      <c r="E3384" s="164" t="str">
        <f>IFERROR(__xludf.DUMMYFUNCTION("""COMPUTED_VALUE"""),"Secondary Ball Handler")</f>
        <v>Secondary Ball Handler</v>
      </c>
      <c r="F3384" s="164">
        <f>IFERROR(__xludf.DUMMYFUNCTION("""COMPUTED_VALUE"""),1760.375)</f>
        <v>1760.375</v>
      </c>
      <c r="G3384" s="163">
        <f>IFERROR(__xludf.DUMMYFUNCTION("""COMPUTED_VALUE"""),56.0)</f>
        <v>56</v>
      </c>
      <c r="H3384" s="163" t="str">
        <f>IFERROR(__xludf.DUMMYFUNCTION("""COMPUTED_VALUE"""),"SG")</f>
        <v>SG</v>
      </c>
      <c r="I3384" s="163">
        <f>IFERROR(__xludf.DUMMYFUNCTION("""COMPUTED_VALUE"""),21.0)</f>
        <v>21</v>
      </c>
      <c r="J3384" s="165">
        <f>IFERROR(__xludf.DUMMYFUNCTION("""COMPUTED_VALUE"""),-2.11052455914764)</f>
        <v>-2.110524559</v>
      </c>
      <c r="K3384" s="165">
        <f>IFERROR(__xludf.DUMMYFUNCTION("""COMPUTED_VALUE"""),-1.04774821304616)</f>
        <v>-1.047748213</v>
      </c>
      <c r="L3384" s="165">
        <f>IFERROR(__xludf.DUMMYFUNCTION("""COMPUTED_VALUE"""),-1.06277634610147)</f>
        <v>-1.062776346</v>
      </c>
      <c r="M3384" s="166">
        <f t="shared" si="2"/>
        <v>0.2244696607</v>
      </c>
      <c r="N3384" s="167">
        <f t="shared" si="3"/>
        <v>31.43526786</v>
      </c>
      <c r="O3384" s="163">
        <f t="shared" ref="O3384:Q3384" si="3388">rank(I3384,I:I)</f>
        <v>3528</v>
      </c>
      <c r="P3384" s="163">
        <f t="shared" si="3388"/>
        <v>3561</v>
      </c>
      <c r="Q3384" s="163">
        <f t="shared" si="3388"/>
        <v>2868</v>
      </c>
      <c r="R3384" s="163">
        <f>IFERROR(__xludf.DUMMYFUNCTION("RANK(M3384,filter(M:M,C:C=C3384))"),328.0)</f>
        <v>328</v>
      </c>
      <c r="S3384" s="161" t="b">
        <f t="shared" si="5"/>
        <v>0</v>
      </c>
      <c r="T3384" s="161" t="b">
        <f t="array" ref="T3384">index('Query Tool'!B:B,match(H3384,'Query Tool'!C:C,0))</f>
        <v>1</v>
      </c>
      <c r="U3384" s="161" t="b">
        <f t="array" ref="U3384">index('Query Tool'!B:B,match(C3384,'Query Tool'!C:C,0))</f>
        <v>0</v>
      </c>
      <c r="V3384" s="161" t="b">
        <f>F3384&gt;='Query Tool'!C$32</f>
        <v>1</v>
      </c>
      <c r="W3384" s="161" t="b">
        <f t="array" ref="W3384">index(Dropdowns!B:B,match(I3384,Dropdowns!A:A,0))</f>
        <v>1</v>
      </c>
      <c r="X3384" s="161" t="b">
        <f t="array" ref="X3384">index('Query Tool'!B:B,match(D3384,'Query Tool'!C:C,0))</f>
        <v>1</v>
      </c>
      <c r="Y3384" s="161" t="str">
        <f t="shared" si="6"/>
        <v>huertke01,2019-20</v>
      </c>
      <c r="Z3384" s="168" t="str">
        <f t="array" ref="Z3384">iferror(index(I:I,match($A3384&amp;","&amp;index('Year Conversion'!$A:$A,match($C3384,'Year Conversion'!$B:$B,0)),$Y:$Y,0))-I3384,"")</f>
        <v/>
      </c>
      <c r="AA3384" s="168" t="str">
        <f t="array" ref="AA3384">iferror(index(J:J,match($A3384&amp;","&amp;index('Year Conversion'!$A:$A,match($C3384,'Year Conversion'!$B:$B,0)),$Y:$Y,0))-J3384,"")</f>
        <v/>
      </c>
      <c r="AB3384" s="168" t="str">
        <f t="array" ref="AB3384">iferror(index(K:K,match($A3384&amp;","&amp;index('Year Conversion'!$A:$A,match($C3384,'Year Conversion'!$B:$B,0)),$Y:$Y,0))-K3384,"")</f>
        <v/>
      </c>
      <c r="AC3384" s="168" t="str">
        <f t="shared" si="7"/>
        <v>ATL,2019-20</v>
      </c>
    </row>
    <row r="3385">
      <c r="A3385" s="161" t="str">
        <f>IFERROR(__xludf.DUMMYFUNCTION("""COMPUTED_VALUE"""),"hutchch01")</f>
        <v>hutchch01</v>
      </c>
      <c r="B3385" s="161" t="str">
        <f>IFERROR(__xludf.DUMMYFUNCTION("""COMPUTED_VALUE"""),"Chandler Hutchison")</f>
        <v>Chandler Hutchison</v>
      </c>
      <c r="C3385" s="162" t="str">
        <f>IFERROR(__xludf.DUMMYFUNCTION("""COMPUTED_VALUE"""),"2019-20")</f>
        <v>2019-20</v>
      </c>
      <c r="D3385" s="163" t="str">
        <f>IFERROR(__xludf.DUMMYFUNCTION("""COMPUTED_VALUE"""),"CHI")</f>
        <v>CHI</v>
      </c>
      <c r="E3385" s="164" t="str">
        <f>IFERROR(__xludf.DUMMYFUNCTION("""COMPUTED_VALUE"""),"Athletic Finisher")</f>
        <v>Athletic Finisher</v>
      </c>
      <c r="F3385" s="164">
        <f>IFERROR(__xludf.DUMMYFUNCTION("""COMPUTED_VALUE"""),526.791666666667)</f>
        <v>526.7916667</v>
      </c>
      <c r="G3385" s="163">
        <f>IFERROR(__xludf.DUMMYFUNCTION("""COMPUTED_VALUE"""),28.0)</f>
        <v>28</v>
      </c>
      <c r="H3385" s="163" t="str">
        <f>IFERROR(__xludf.DUMMYFUNCTION("""COMPUTED_VALUE"""),"SF")</f>
        <v>SF</v>
      </c>
      <c r="I3385" s="163">
        <f>IFERROR(__xludf.DUMMYFUNCTION("""COMPUTED_VALUE"""),23.0)</f>
        <v>23</v>
      </c>
      <c r="J3385" s="165">
        <f>IFERROR(__xludf.DUMMYFUNCTION("""COMPUTED_VALUE"""),-1.67476559535664)</f>
        <v>-1.674765595</v>
      </c>
      <c r="K3385" s="165">
        <f>IFERROR(__xludf.DUMMYFUNCTION("""COMPUTED_VALUE"""),-1.53738221083019)</f>
        <v>-1.537382211</v>
      </c>
      <c r="L3385" s="165">
        <f>IFERROR(__xludf.DUMMYFUNCTION("""COMPUTED_VALUE"""),-0.137383384526454)</f>
        <v>-0.1373833845</v>
      </c>
      <c r="M3385" s="166">
        <f t="shared" si="2"/>
        <v>0.2196383184</v>
      </c>
      <c r="N3385" s="167">
        <f t="shared" si="3"/>
        <v>18.8139881</v>
      </c>
      <c r="O3385" s="163">
        <f t="shared" ref="O3385:Q3385" si="3389">rank(I3385,I:I)</f>
        <v>2765</v>
      </c>
      <c r="P3385" s="163">
        <f t="shared" si="3389"/>
        <v>3217</v>
      </c>
      <c r="Q3385" s="163">
        <f t="shared" si="3389"/>
        <v>3394</v>
      </c>
      <c r="R3385" s="163">
        <f>IFERROR(__xludf.DUMMYFUNCTION("RANK(M3385,filter(M:M,C:C=C3385))"),331.0)</f>
        <v>331</v>
      </c>
      <c r="S3385" s="161" t="b">
        <f t="shared" si="5"/>
        <v>0</v>
      </c>
      <c r="T3385" s="161" t="b">
        <f t="array" ref="T3385">index('Query Tool'!B:B,match(H3385,'Query Tool'!C:C,0))</f>
        <v>1</v>
      </c>
      <c r="U3385" s="161" t="b">
        <f t="array" ref="U3385">index('Query Tool'!B:B,match(C3385,'Query Tool'!C:C,0))</f>
        <v>0</v>
      </c>
      <c r="V3385" s="161" t="b">
        <f>F3385&gt;='Query Tool'!C$32</f>
        <v>1</v>
      </c>
      <c r="W3385" s="161" t="b">
        <f t="array" ref="W3385">index(Dropdowns!B:B,match(I3385,Dropdowns!A:A,0))</f>
        <v>1</v>
      </c>
      <c r="X3385" s="161" t="b">
        <f t="array" ref="X3385">index('Query Tool'!B:B,match(D3385,'Query Tool'!C:C,0))</f>
        <v>1</v>
      </c>
      <c r="Y3385" s="161" t="str">
        <f t="shared" si="6"/>
        <v>hutchch01,2019-20</v>
      </c>
      <c r="Z3385" s="168" t="str">
        <f t="array" ref="Z3385">iferror(index(I:I,match($A3385&amp;","&amp;index('Year Conversion'!$A:$A,match($C3385,'Year Conversion'!$B:$B,0)),$Y:$Y,0))-I3385,"")</f>
        <v/>
      </c>
      <c r="AA3385" s="168" t="str">
        <f t="array" ref="AA3385">iferror(index(J:J,match($A3385&amp;","&amp;index('Year Conversion'!$A:$A,match($C3385,'Year Conversion'!$B:$B,0)),$Y:$Y,0))-J3385,"")</f>
        <v/>
      </c>
      <c r="AB3385" s="168" t="str">
        <f t="array" ref="AB3385">iferror(index(K:K,match($A3385&amp;","&amp;index('Year Conversion'!$A:$A,match($C3385,'Year Conversion'!$B:$B,0)),$Y:$Y,0))-K3385,"")</f>
        <v/>
      </c>
      <c r="AC3385" s="168" t="str">
        <f t="shared" si="7"/>
        <v>CHI,2019-20</v>
      </c>
    </row>
    <row r="3386">
      <c r="A3386" s="161" t="str">
        <f>IFERROR(__xludf.DUMMYFUNCTION("""COMPUTED_VALUE"""),"jacksja02")</f>
        <v>jacksja02</v>
      </c>
      <c r="B3386" s="161" t="str">
        <f>IFERROR(__xludf.DUMMYFUNCTION("""COMPUTED_VALUE"""),"Jaren Jackson Jr.")</f>
        <v>Jaren Jackson Jr.</v>
      </c>
      <c r="C3386" s="162" t="str">
        <f>IFERROR(__xludf.DUMMYFUNCTION("""COMPUTED_VALUE"""),"2019-20")</f>
        <v>2019-20</v>
      </c>
      <c r="D3386" s="163" t="str">
        <f>IFERROR(__xludf.DUMMYFUNCTION("""COMPUTED_VALUE"""),"MEM")</f>
        <v>MEM</v>
      </c>
      <c r="E3386" s="164" t="str">
        <f>IFERROR(__xludf.DUMMYFUNCTION("""COMPUTED_VALUE"""),"Stretch Big")</f>
        <v>Stretch Big</v>
      </c>
      <c r="F3386" s="164">
        <f>IFERROR(__xludf.DUMMYFUNCTION("""COMPUTED_VALUE"""),1621.99333333333)</f>
        <v>1621.993333</v>
      </c>
      <c r="G3386" s="163">
        <f>IFERROR(__xludf.DUMMYFUNCTION("""COMPUTED_VALUE"""),57.0)</f>
        <v>57</v>
      </c>
      <c r="H3386" s="163" t="str">
        <f>IFERROR(__xludf.DUMMYFUNCTION("""COMPUTED_VALUE"""),"C")</f>
        <v>C</v>
      </c>
      <c r="I3386" s="163">
        <f>IFERROR(__xludf.DUMMYFUNCTION("""COMPUTED_VALUE"""),20.0)</f>
        <v>20</v>
      </c>
      <c r="J3386" s="165">
        <f>IFERROR(__xludf.DUMMYFUNCTION("""COMPUTED_VALUE"""),0.590702658161643)</f>
        <v>0.5907026582</v>
      </c>
      <c r="K3386" s="165">
        <f>IFERROR(__xludf.DUMMYFUNCTION("""COMPUTED_VALUE"""),-0.125686186184602)</f>
        <v>-0.1256861862</v>
      </c>
      <c r="L3386" s="165">
        <f>IFERROR(__xludf.DUMMYFUNCTION("""COMPUTED_VALUE"""),0.716388844346245)</f>
        <v>0.7163888443</v>
      </c>
      <c r="M3386" s="166">
        <f t="shared" si="2"/>
        <v>3.146212024</v>
      </c>
      <c r="N3386" s="167">
        <f t="shared" si="3"/>
        <v>28.45602339</v>
      </c>
      <c r="O3386" s="163">
        <f t="shared" ref="O3386:Q3386" si="3390">rank(I3386,I:I)</f>
        <v>3770</v>
      </c>
      <c r="P3386" s="163">
        <f t="shared" si="3390"/>
        <v>849</v>
      </c>
      <c r="Q3386" s="163">
        <f t="shared" si="3390"/>
        <v>1422</v>
      </c>
      <c r="R3386" s="163">
        <f>IFERROR(__xludf.DUMMYFUNCTION("RANK(M3386,filter(M:M,C:C=C3386))"),99.0)</f>
        <v>99</v>
      </c>
      <c r="S3386" s="161" t="b">
        <f t="shared" si="5"/>
        <v>0</v>
      </c>
      <c r="T3386" s="161" t="b">
        <f t="array" ref="T3386">index('Query Tool'!B:B,match(H3386,'Query Tool'!C:C,0))</f>
        <v>1</v>
      </c>
      <c r="U3386" s="161" t="b">
        <f t="array" ref="U3386">index('Query Tool'!B:B,match(C3386,'Query Tool'!C:C,0))</f>
        <v>0</v>
      </c>
      <c r="V3386" s="161" t="b">
        <f>F3386&gt;='Query Tool'!C$32</f>
        <v>1</v>
      </c>
      <c r="W3386" s="161" t="b">
        <f t="array" ref="W3386">index(Dropdowns!B:B,match(I3386,Dropdowns!A:A,0))</f>
        <v>1</v>
      </c>
      <c r="X3386" s="161" t="b">
        <f t="array" ref="X3386">index('Query Tool'!B:B,match(D3386,'Query Tool'!C:C,0))</f>
        <v>1</v>
      </c>
      <c r="Y3386" s="161" t="str">
        <f t="shared" si="6"/>
        <v>jacksja02,2019-20</v>
      </c>
      <c r="Z3386" s="168" t="str">
        <f t="array" ref="Z3386">iferror(index(I:I,match($A3386&amp;","&amp;index('Year Conversion'!$A:$A,match($C3386,'Year Conversion'!$B:$B,0)),$Y:$Y,0))-I3386,"")</f>
        <v/>
      </c>
      <c r="AA3386" s="168" t="str">
        <f t="array" ref="AA3386">iferror(index(J:J,match($A3386&amp;","&amp;index('Year Conversion'!$A:$A,match($C3386,'Year Conversion'!$B:$B,0)),$Y:$Y,0))-J3386,"")</f>
        <v/>
      </c>
      <c r="AB3386" s="168" t="str">
        <f t="array" ref="AB3386">iferror(index(K:K,match($A3386&amp;","&amp;index('Year Conversion'!$A:$A,match($C3386,'Year Conversion'!$B:$B,0)),$Y:$Y,0))-K3386,"")</f>
        <v/>
      </c>
      <c r="AC3386" s="168" t="str">
        <f t="shared" si="7"/>
        <v>MEM,2019-20</v>
      </c>
    </row>
    <row r="3387">
      <c r="A3387" s="161" t="str">
        <f>IFERROR(__xludf.DUMMYFUNCTION("""COMPUTED_VALUE"""),"johnsal02")</f>
        <v>johnsal02</v>
      </c>
      <c r="B3387" s="161" t="str">
        <f>IFERROR(__xludf.DUMMYFUNCTION("""COMPUTED_VALUE"""),"Alize Johnson")</f>
        <v>Alize Johnson</v>
      </c>
      <c r="C3387" s="162" t="str">
        <f>IFERROR(__xludf.DUMMYFUNCTION("""COMPUTED_VALUE"""),"2019-20")</f>
        <v>2019-20</v>
      </c>
      <c r="D3387" s="163" t="str">
        <f>IFERROR(__xludf.DUMMYFUNCTION("""COMPUTED_VALUE"""),"IND")</f>
        <v>IND</v>
      </c>
      <c r="E3387" s="164" t="str">
        <f>IFERROR(__xludf.DUMMYFUNCTION("""COMPUTED_VALUE"""),"Stretch Big")</f>
        <v>Stretch Big</v>
      </c>
      <c r="F3387" s="164">
        <f>IFERROR(__xludf.DUMMYFUNCTION("""COMPUTED_VALUE"""),117.726666666667)</f>
        <v>117.7266667</v>
      </c>
      <c r="G3387" s="163">
        <f>IFERROR(__xludf.DUMMYFUNCTION("""COMPUTED_VALUE"""),17.0)</f>
        <v>17</v>
      </c>
      <c r="H3387" s="163" t="str">
        <f>IFERROR(__xludf.DUMMYFUNCTION("""COMPUTED_VALUE"""),"PF")</f>
        <v>PF</v>
      </c>
      <c r="I3387" s="163">
        <f>IFERROR(__xludf.DUMMYFUNCTION("""COMPUTED_VALUE"""),23.0)</f>
        <v>23</v>
      </c>
      <c r="J3387" s="165">
        <f>IFERROR(__xludf.DUMMYFUNCTION("""COMPUTED_VALUE"""),-0.494433043160199)</f>
        <v>-0.4944330432</v>
      </c>
      <c r="K3387" s="165">
        <f>IFERROR(__xludf.DUMMYFUNCTION("""COMPUTED_VALUE"""),-0.470873378681606)</f>
        <v>-0.4708733787</v>
      </c>
      <c r="L3387" s="165">
        <f>IFERROR(__xludf.DUMMYFUNCTION("""COMPUTED_VALUE"""),-0.0235596644785932)</f>
        <v>-0.02355966448</v>
      </c>
      <c r="M3387" s="166">
        <f t="shared" si="2"/>
        <v>0.1422653897</v>
      </c>
      <c r="N3387" s="167">
        <f t="shared" si="3"/>
        <v>6.925098039</v>
      </c>
      <c r="O3387" s="163">
        <f t="shared" ref="O3387:Q3387" si="3391">rank(I3387,I:I)</f>
        <v>2765</v>
      </c>
      <c r="P3387" s="163">
        <f t="shared" si="3391"/>
        <v>1846</v>
      </c>
      <c r="Q3387" s="163">
        <f t="shared" si="3391"/>
        <v>2066</v>
      </c>
      <c r="R3387" s="163">
        <f>IFERROR(__xludf.DUMMYFUNCTION("RANK(M3387,filter(M:M,C:C=C3387))"),364.0)</f>
        <v>364</v>
      </c>
      <c r="S3387" s="161" t="b">
        <f t="shared" si="5"/>
        <v>0</v>
      </c>
      <c r="T3387" s="161" t="b">
        <f t="array" ref="T3387">index('Query Tool'!B:B,match(H3387,'Query Tool'!C:C,0))</f>
        <v>1</v>
      </c>
      <c r="U3387" s="161" t="b">
        <f t="array" ref="U3387">index('Query Tool'!B:B,match(C3387,'Query Tool'!C:C,0))</f>
        <v>0</v>
      </c>
      <c r="V3387" s="161" t="b">
        <f>F3387&gt;='Query Tool'!C$32</f>
        <v>0</v>
      </c>
      <c r="W3387" s="161" t="b">
        <f t="array" ref="W3387">index(Dropdowns!B:B,match(I3387,Dropdowns!A:A,0))</f>
        <v>1</v>
      </c>
      <c r="X3387" s="161" t="b">
        <f t="array" ref="X3387">index('Query Tool'!B:B,match(D3387,'Query Tool'!C:C,0))</f>
        <v>1</v>
      </c>
      <c r="Y3387" s="161" t="str">
        <f t="shared" si="6"/>
        <v>johnsal02,2019-20</v>
      </c>
      <c r="Z3387" s="168" t="str">
        <f t="array" ref="Z3387">iferror(index(I:I,match($A3387&amp;","&amp;index('Year Conversion'!$A:$A,match($C3387,'Year Conversion'!$B:$B,0)),$Y:$Y,0))-I3387,"")</f>
        <v/>
      </c>
      <c r="AA3387" s="168" t="str">
        <f t="array" ref="AA3387">iferror(index(J:J,match($A3387&amp;","&amp;index('Year Conversion'!$A:$A,match($C3387,'Year Conversion'!$B:$B,0)),$Y:$Y,0))-J3387,"")</f>
        <v/>
      </c>
      <c r="AB3387" s="168" t="str">
        <f t="array" ref="AB3387">iferror(index(K:K,match($A3387&amp;","&amp;index('Year Conversion'!$A:$A,match($C3387,'Year Conversion'!$B:$B,0)),$Y:$Y,0))-K3387,"")</f>
        <v/>
      </c>
      <c r="AC3387" s="168" t="str">
        <f t="shared" si="7"/>
        <v>IND,2019-20</v>
      </c>
    </row>
    <row r="3388">
      <c r="A3388" s="161" t="str">
        <f>IFERROR(__xludf.DUMMYFUNCTION("""COMPUTED_VALUE"""),"knoxke01")</f>
        <v>knoxke01</v>
      </c>
      <c r="B3388" s="161" t="str">
        <f>IFERROR(__xludf.DUMMYFUNCTION("""COMPUTED_VALUE"""),"Kevin Knox II")</f>
        <v>Kevin Knox II</v>
      </c>
      <c r="C3388" s="162" t="str">
        <f>IFERROR(__xludf.DUMMYFUNCTION("""COMPUTED_VALUE"""),"2019-20")</f>
        <v>2019-20</v>
      </c>
      <c r="D3388" s="163" t="str">
        <f>IFERROR(__xludf.DUMMYFUNCTION("""COMPUTED_VALUE"""),"NYK")</f>
        <v>NYK</v>
      </c>
      <c r="E3388" s="164" t="str">
        <f>IFERROR(__xludf.DUMMYFUNCTION("""COMPUTED_VALUE"""),"Stationary Shooter")</f>
        <v>Stationary Shooter</v>
      </c>
      <c r="F3388" s="164">
        <f>IFERROR(__xludf.DUMMYFUNCTION("""COMPUTED_VALUE"""),1166.13333333333)</f>
        <v>1166.133333</v>
      </c>
      <c r="G3388" s="163">
        <f>IFERROR(__xludf.DUMMYFUNCTION("""COMPUTED_VALUE"""),65.0)</f>
        <v>65</v>
      </c>
      <c r="H3388" s="163" t="str">
        <f>IFERROR(__xludf.DUMMYFUNCTION("""COMPUTED_VALUE"""),"SF")</f>
        <v>SF</v>
      </c>
      <c r="I3388" s="163">
        <f>IFERROR(__xludf.DUMMYFUNCTION("""COMPUTED_VALUE"""),20.0)</f>
        <v>20</v>
      </c>
      <c r="J3388" s="165">
        <f>IFERROR(__xludf.DUMMYFUNCTION("""COMPUTED_VALUE"""),-3.62717981761403)</f>
        <v>-3.627179818</v>
      </c>
      <c r="K3388" s="165">
        <f>IFERROR(__xludf.DUMMYFUNCTION("""COMPUTED_VALUE"""),-2.2716934555672)</f>
        <v>-2.271693456</v>
      </c>
      <c r="L3388" s="165">
        <f>IFERROR(__xludf.DUMMYFUNCTION("""COMPUTED_VALUE"""),-1.35548636204683)</f>
        <v>-1.355486362</v>
      </c>
      <c r="M3388" s="166">
        <f t="shared" si="2"/>
        <v>-1.002879066</v>
      </c>
      <c r="N3388" s="167">
        <f t="shared" si="3"/>
        <v>17.94051282</v>
      </c>
      <c r="O3388" s="163">
        <f t="shared" ref="O3388:Q3388" si="3392">rank(I3388,I:I)</f>
        <v>3770</v>
      </c>
      <c r="P3388" s="163">
        <f t="shared" si="3392"/>
        <v>3978</v>
      </c>
      <c r="Q3388" s="163">
        <f t="shared" si="3392"/>
        <v>3827</v>
      </c>
      <c r="R3388" s="163">
        <f>IFERROR(__xludf.DUMMYFUNCTION("RANK(M3388,filter(M:M,C:C=C3388))"),526.0)</f>
        <v>526</v>
      </c>
      <c r="S3388" s="161" t="b">
        <f t="shared" si="5"/>
        <v>0</v>
      </c>
      <c r="T3388" s="161" t="b">
        <f t="array" ref="T3388">index('Query Tool'!B:B,match(H3388,'Query Tool'!C:C,0))</f>
        <v>1</v>
      </c>
      <c r="U3388" s="161" t="b">
        <f t="array" ref="U3388">index('Query Tool'!B:B,match(C3388,'Query Tool'!C:C,0))</f>
        <v>0</v>
      </c>
      <c r="V3388" s="161" t="b">
        <f>F3388&gt;='Query Tool'!C$32</f>
        <v>1</v>
      </c>
      <c r="W3388" s="161" t="b">
        <f t="array" ref="W3388">index(Dropdowns!B:B,match(I3388,Dropdowns!A:A,0))</f>
        <v>1</v>
      </c>
      <c r="X3388" s="161" t="b">
        <f t="array" ref="X3388">index('Query Tool'!B:B,match(D3388,'Query Tool'!C:C,0))</f>
        <v>1</v>
      </c>
      <c r="Y3388" s="161" t="str">
        <f t="shared" si="6"/>
        <v>knoxke01,2019-20</v>
      </c>
      <c r="Z3388" s="168" t="str">
        <f t="array" ref="Z3388">iferror(index(I:I,match($A3388&amp;","&amp;index('Year Conversion'!$A:$A,match($C3388,'Year Conversion'!$B:$B,0)),$Y:$Y,0))-I3388,"")</f>
        <v/>
      </c>
      <c r="AA3388" s="168" t="str">
        <f t="array" ref="AA3388">iferror(index(J:J,match($A3388&amp;","&amp;index('Year Conversion'!$A:$A,match($C3388,'Year Conversion'!$B:$B,0)),$Y:$Y,0))-J3388,"")</f>
        <v/>
      </c>
      <c r="AB3388" s="168" t="str">
        <f t="array" ref="AB3388">iferror(index(K:K,match($A3388&amp;","&amp;index('Year Conversion'!$A:$A,match($C3388,'Year Conversion'!$B:$B,0)),$Y:$Y,0))-K3388,"")</f>
        <v/>
      </c>
      <c r="AC3388" s="168" t="str">
        <f t="shared" si="7"/>
        <v>NYK,2019-20</v>
      </c>
    </row>
    <row r="3389">
      <c r="A3389" s="161" t="str">
        <f>IFERROR(__xludf.DUMMYFUNCTION("""COMPUTED_VALUE"""),"martica02")</f>
        <v>martica02</v>
      </c>
      <c r="B3389" s="161" t="str">
        <f>IFERROR(__xludf.DUMMYFUNCTION("""COMPUTED_VALUE"""),"Caleb Martin")</f>
        <v>Caleb Martin</v>
      </c>
      <c r="C3389" s="162" t="str">
        <f>IFERROR(__xludf.DUMMYFUNCTION("""COMPUTED_VALUE"""),"2019-20")</f>
        <v>2019-20</v>
      </c>
      <c r="D3389" s="163" t="str">
        <f>IFERROR(__xludf.DUMMYFUNCTION("""COMPUTED_VALUE"""),"CHO")</f>
        <v>CHO</v>
      </c>
      <c r="E3389" s="164" t="str">
        <f>IFERROR(__xludf.DUMMYFUNCTION("""COMPUTED_VALUE"""),"Movement Shooter")</f>
        <v>Movement Shooter</v>
      </c>
      <c r="F3389" s="164">
        <f>IFERROR(__xludf.DUMMYFUNCTION("""COMPUTED_VALUE"""),316.753333333333)</f>
        <v>316.7533333</v>
      </c>
      <c r="G3389" s="163">
        <f>IFERROR(__xludf.DUMMYFUNCTION("""COMPUTED_VALUE"""),18.0)</f>
        <v>18</v>
      </c>
      <c r="H3389" s="163" t="str">
        <f>IFERROR(__xludf.DUMMYFUNCTION("""COMPUTED_VALUE"""),"SF")</f>
        <v>SF</v>
      </c>
      <c r="I3389" s="163">
        <f>IFERROR(__xludf.DUMMYFUNCTION("""COMPUTED_VALUE"""),24.0)</f>
        <v>24</v>
      </c>
      <c r="J3389" s="165">
        <f>IFERROR(__xludf.DUMMYFUNCTION("""COMPUTED_VALUE"""),-1.64586153976958)</f>
        <v>-1.64586154</v>
      </c>
      <c r="K3389" s="165">
        <f>IFERROR(__xludf.DUMMYFUNCTION("""COMPUTED_VALUE"""),-1.95080232122589)</f>
        <v>-1.950802321</v>
      </c>
      <c r="L3389" s="165">
        <f>IFERROR(__xludf.DUMMYFUNCTION("""COMPUTED_VALUE"""),0.304940781456318)</f>
        <v>0.3049407815</v>
      </c>
      <c r="M3389" s="166">
        <f t="shared" si="2"/>
        <v>0.1381679519</v>
      </c>
      <c r="N3389" s="167">
        <f t="shared" si="3"/>
        <v>17.59740741</v>
      </c>
      <c r="O3389" s="163">
        <f t="shared" ref="O3389:Q3389" si="3393">rank(I3389,I:I)</f>
        <v>2361</v>
      </c>
      <c r="P3389" s="163">
        <f t="shared" si="3393"/>
        <v>3191</v>
      </c>
      <c r="Q3389" s="163">
        <f t="shared" si="3393"/>
        <v>3686</v>
      </c>
      <c r="R3389" s="163">
        <f>IFERROR(__xludf.DUMMYFUNCTION("RANK(M3389,filter(M:M,C:C=C3389))"),366.0)</f>
        <v>366</v>
      </c>
      <c r="S3389" s="161" t="b">
        <f t="shared" si="5"/>
        <v>0</v>
      </c>
      <c r="T3389" s="161" t="b">
        <f t="array" ref="T3389">index('Query Tool'!B:B,match(H3389,'Query Tool'!C:C,0))</f>
        <v>1</v>
      </c>
      <c r="U3389" s="161" t="b">
        <f t="array" ref="U3389">index('Query Tool'!B:B,match(C3389,'Query Tool'!C:C,0))</f>
        <v>0</v>
      </c>
      <c r="V3389" s="161" t="b">
        <f>F3389&gt;='Query Tool'!C$32</f>
        <v>0</v>
      </c>
      <c r="W3389" s="161" t="b">
        <f t="array" ref="W3389">index(Dropdowns!B:B,match(I3389,Dropdowns!A:A,0))</f>
        <v>1</v>
      </c>
      <c r="X3389" s="161" t="b">
        <f t="array" ref="X3389">index('Query Tool'!B:B,match(D3389,'Query Tool'!C:C,0))</f>
        <v>1</v>
      </c>
      <c r="Y3389" s="161" t="str">
        <f t="shared" si="6"/>
        <v>martica02,2019-20</v>
      </c>
      <c r="Z3389" s="168" t="str">
        <f t="array" ref="Z3389">iferror(index(I:I,match($A3389&amp;","&amp;index('Year Conversion'!$A:$A,match($C3389,'Year Conversion'!$B:$B,0)),$Y:$Y,0))-I3389,"")</f>
        <v/>
      </c>
      <c r="AA3389" s="168" t="str">
        <f t="array" ref="AA3389">iferror(index(J:J,match($A3389&amp;","&amp;index('Year Conversion'!$A:$A,match($C3389,'Year Conversion'!$B:$B,0)),$Y:$Y,0))-J3389,"")</f>
        <v/>
      </c>
      <c r="AB3389" s="168" t="str">
        <f t="array" ref="AB3389">iferror(index(K:K,match($A3389&amp;","&amp;index('Year Conversion'!$A:$A,match($C3389,'Year Conversion'!$B:$B,0)),$Y:$Y,0))-K3389,"")</f>
        <v/>
      </c>
      <c r="AC3389" s="168" t="str">
        <f t="shared" si="7"/>
        <v>CHO,2019-20</v>
      </c>
    </row>
    <row r="3390">
      <c r="A3390" s="161" t="str">
        <f>IFERROR(__xludf.DUMMYFUNCTION("""COMPUTED_VALUE"""),"martico01")</f>
        <v>martico01</v>
      </c>
      <c r="B3390" s="161" t="str">
        <f>IFERROR(__xludf.DUMMYFUNCTION("""COMPUTED_VALUE"""),"Cody Martin")</f>
        <v>Cody Martin</v>
      </c>
      <c r="C3390" s="162" t="str">
        <f>IFERROR(__xludf.DUMMYFUNCTION("""COMPUTED_VALUE"""),"2019-20")</f>
        <v>2019-20</v>
      </c>
      <c r="D3390" s="163" t="str">
        <f>IFERROR(__xludf.DUMMYFUNCTION("""COMPUTED_VALUE"""),"CHO")</f>
        <v>CHO</v>
      </c>
      <c r="E3390" s="164" t="str">
        <f>IFERROR(__xludf.DUMMYFUNCTION("""COMPUTED_VALUE"""),"Movement Shooter")</f>
        <v>Movement Shooter</v>
      </c>
      <c r="F3390" s="164">
        <f>IFERROR(__xludf.DUMMYFUNCTION("""COMPUTED_VALUE"""),902.695)</f>
        <v>902.695</v>
      </c>
      <c r="G3390" s="163">
        <f>IFERROR(__xludf.DUMMYFUNCTION("""COMPUTED_VALUE"""),48.0)</f>
        <v>48</v>
      </c>
      <c r="H3390" s="163" t="str">
        <f>IFERROR(__xludf.DUMMYFUNCTION("""COMPUTED_VALUE"""),"SF")</f>
        <v>SF</v>
      </c>
      <c r="I3390" s="163">
        <f>IFERROR(__xludf.DUMMYFUNCTION("""COMPUTED_VALUE"""),24.0)</f>
        <v>24</v>
      </c>
      <c r="J3390" s="165">
        <f>IFERROR(__xludf.DUMMYFUNCTION("""COMPUTED_VALUE"""),0.275432274744569)</f>
        <v>0.2754322747</v>
      </c>
      <c r="K3390" s="165">
        <f>IFERROR(__xludf.DUMMYFUNCTION("""COMPUTED_VALUE"""),-0.364338938953246)</f>
        <v>-0.364338939</v>
      </c>
      <c r="L3390" s="165">
        <f>IFERROR(__xludf.DUMMYFUNCTION("""COMPUTED_VALUE"""),0.639771213697814)</f>
        <v>0.6397712137</v>
      </c>
      <c r="M3390" s="166">
        <f t="shared" si="2"/>
        <v>1.559261844</v>
      </c>
      <c r="N3390" s="167">
        <f t="shared" si="3"/>
        <v>18.80614583</v>
      </c>
      <c r="O3390" s="163">
        <f t="shared" ref="O3390:Q3390" si="3394">rank(I3390,I:I)</f>
        <v>2361</v>
      </c>
      <c r="P3390" s="163">
        <f t="shared" si="3394"/>
        <v>1037</v>
      </c>
      <c r="Q3390" s="163">
        <f t="shared" si="3394"/>
        <v>1879</v>
      </c>
      <c r="R3390" s="163">
        <f>IFERROR(__xludf.DUMMYFUNCTION("RANK(M3390,filter(M:M,C:C=C3390))"),182.0)</f>
        <v>182</v>
      </c>
      <c r="S3390" s="161" t="b">
        <f t="shared" si="5"/>
        <v>0</v>
      </c>
      <c r="T3390" s="161" t="b">
        <f t="array" ref="T3390">index('Query Tool'!B:B,match(H3390,'Query Tool'!C:C,0))</f>
        <v>1</v>
      </c>
      <c r="U3390" s="161" t="b">
        <f t="array" ref="U3390">index('Query Tool'!B:B,match(C3390,'Query Tool'!C:C,0))</f>
        <v>0</v>
      </c>
      <c r="V3390" s="161" t="b">
        <f>F3390&gt;='Query Tool'!C$32</f>
        <v>1</v>
      </c>
      <c r="W3390" s="161" t="b">
        <f t="array" ref="W3390">index(Dropdowns!B:B,match(I3390,Dropdowns!A:A,0))</f>
        <v>1</v>
      </c>
      <c r="X3390" s="161" t="b">
        <f t="array" ref="X3390">index('Query Tool'!B:B,match(D3390,'Query Tool'!C:C,0))</f>
        <v>1</v>
      </c>
      <c r="Y3390" s="161" t="str">
        <f t="shared" si="6"/>
        <v>martico01,2019-20</v>
      </c>
      <c r="Z3390" s="168" t="str">
        <f t="array" ref="Z3390">iferror(index(I:I,match($A3390&amp;","&amp;index('Year Conversion'!$A:$A,match($C3390,'Year Conversion'!$B:$B,0)),$Y:$Y,0))-I3390,"")</f>
        <v/>
      </c>
      <c r="AA3390" s="168" t="str">
        <f t="array" ref="AA3390">iferror(index(J:J,match($A3390&amp;","&amp;index('Year Conversion'!$A:$A,match($C3390,'Year Conversion'!$B:$B,0)),$Y:$Y,0))-J3390,"")</f>
        <v/>
      </c>
      <c r="AB3390" s="168" t="str">
        <f t="array" ref="AB3390">iferror(index(K:K,match($A3390&amp;","&amp;index('Year Conversion'!$A:$A,match($C3390,'Year Conversion'!$B:$B,0)),$Y:$Y,0))-K3390,"")</f>
        <v/>
      </c>
      <c r="AC3390" s="168" t="str">
        <f t="shared" si="7"/>
        <v>CHO,2019-20</v>
      </c>
    </row>
    <row r="3391">
      <c r="A3391" s="161" t="str">
        <f>IFERROR(__xludf.DUMMYFUNCTION("""COMPUTED_VALUE"""),"meltode01")</f>
        <v>meltode01</v>
      </c>
      <c r="B3391" s="161" t="str">
        <f>IFERROR(__xludf.DUMMYFUNCTION("""COMPUTED_VALUE"""),"De'Anthony Melton")</f>
        <v>De'Anthony Melton</v>
      </c>
      <c r="C3391" s="162" t="str">
        <f>IFERROR(__xludf.DUMMYFUNCTION("""COMPUTED_VALUE"""),"2019-20")</f>
        <v>2019-20</v>
      </c>
      <c r="D3391" s="163" t="str">
        <f>IFERROR(__xludf.DUMMYFUNCTION("""COMPUTED_VALUE"""),"MEM")</f>
        <v>MEM</v>
      </c>
      <c r="E3391" s="164" t="str">
        <f>IFERROR(__xludf.DUMMYFUNCTION("""COMPUTED_VALUE"""),"Secondary Ball Handler")</f>
        <v>Secondary Ball Handler</v>
      </c>
      <c r="F3391" s="164">
        <f>IFERROR(__xludf.DUMMYFUNCTION("""COMPUTED_VALUE"""),1167.34666666667)</f>
        <v>1167.346667</v>
      </c>
      <c r="G3391" s="163">
        <f>IFERROR(__xludf.DUMMYFUNCTION("""COMPUTED_VALUE"""),60.0)</f>
        <v>60</v>
      </c>
      <c r="H3391" s="163" t="str">
        <f>IFERROR(__xludf.DUMMYFUNCTION("""COMPUTED_VALUE"""),"PG")</f>
        <v>PG</v>
      </c>
      <c r="I3391" s="163">
        <f>IFERROR(__xludf.DUMMYFUNCTION("""COMPUTED_VALUE"""),21.0)</f>
        <v>21</v>
      </c>
      <c r="J3391" s="165">
        <f>IFERROR(__xludf.DUMMYFUNCTION("""COMPUTED_VALUE"""),1.99295731611494)</f>
        <v>1.992957316</v>
      </c>
      <c r="K3391" s="165">
        <f>IFERROR(__xludf.DUMMYFUNCTION("""COMPUTED_VALUE"""),0.234376129541697)</f>
        <v>0.2343761295</v>
      </c>
      <c r="L3391" s="165">
        <f>IFERROR(__xludf.DUMMYFUNCTION("""COMPUTED_VALUE"""),1.75858118657324)</f>
        <v>1.758581187</v>
      </c>
      <c r="M3391" s="166">
        <f t="shared" si="2"/>
        <v>3.359545664</v>
      </c>
      <c r="N3391" s="167">
        <f t="shared" si="3"/>
        <v>19.45577778</v>
      </c>
      <c r="O3391" s="163">
        <f t="shared" ref="O3391:Q3391" si="3395">rank(I3391,I:I)</f>
        <v>3528</v>
      </c>
      <c r="P3391" s="163">
        <f t="shared" si="3395"/>
        <v>328</v>
      </c>
      <c r="Q3391" s="163">
        <f t="shared" si="3395"/>
        <v>957</v>
      </c>
      <c r="R3391" s="163">
        <f>IFERROR(__xludf.DUMMYFUNCTION("RANK(M3391,filter(M:M,C:C=C3391))"),89.0)</f>
        <v>89</v>
      </c>
      <c r="S3391" s="161" t="b">
        <f t="shared" si="5"/>
        <v>0</v>
      </c>
      <c r="T3391" s="161" t="b">
        <f t="array" ref="T3391">index('Query Tool'!B:B,match(H3391,'Query Tool'!C:C,0))</f>
        <v>1</v>
      </c>
      <c r="U3391" s="161" t="b">
        <f t="array" ref="U3391">index('Query Tool'!B:B,match(C3391,'Query Tool'!C:C,0))</f>
        <v>0</v>
      </c>
      <c r="V3391" s="161" t="b">
        <f>F3391&gt;='Query Tool'!C$32</f>
        <v>1</v>
      </c>
      <c r="W3391" s="161" t="b">
        <f t="array" ref="W3391">index(Dropdowns!B:B,match(I3391,Dropdowns!A:A,0))</f>
        <v>1</v>
      </c>
      <c r="X3391" s="161" t="b">
        <f t="array" ref="X3391">index('Query Tool'!B:B,match(D3391,'Query Tool'!C:C,0))</f>
        <v>1</v>
      </c>
      <c r="Y3391" s="161" t="str">
        <f t="shared" si="6"/>
        <v>meltode01,2019-20</v>
      </c>
      <c r="Z3391" s="168" t="str">
        <f t="array" ref="Z3391">iferror(index(I:I,match($A3391&amp;","&amp;index('Year Conversion'!$A:$A,match($C3391,'Year Conversion'!$B:$B,0)),$Y:$Y,0))-I3391,"")</f>
        <v/>
      </c>
      <c r="AA3391" s="168" t="str">
        <f t="array" ref="AA3391">iferror(index(J:J,match($A3391&amp;","&amp;index('Year Conversion'!$A:$A,match($C3391,'Year Conversion'!$B:$B,0)),$Y:$Y,0))-J3391,"")</f>
        <v/>
      </c>
      <c r="AB3391" s="168" t="str">
        <f t="array" ref="AB3391">iferror(index(K:K,match($A3391&amp;","&amp;index('Year Conversion'!$A:$A,match($C3391,'Year Conversion'!$B:$B,0)),$Y:$Y,0))-K3391,"")</f>
        <v/>
      </c>
      <c r="AC3391" s="168" t="str">
        <f t="shared" si="7"/>
        <v>MEM,2019-20</v>
      </c>
    </row>
    <row r="3392">
      <c r="A3392" s="161" t="str">
        <f>IFERROR(__xludf.DUMMYFUNCTION("""COMPUTED_VALUE"""),"metuch01")</f>
        <v>metuch01</v>
      </c>
      <c r="B3392" s="161" t="str">
        <f>IFERROR(__xludf.DUMMYFUNCTION("""COMPUTED_VALUE"""),"Chimezie Metu")</f>
        <v>Chimezie Metu</v>
      </c>
      <c r="C3392" s="162" t="str">
        <f>IFERROR(__xludf.DUMMYFUNCTION("""COMPUTED_VALUE"""),"2019-20")</f>
        <v>2019-20</v>
      </c>
      <c r="D3392" s="163" t="str">
        <f>IFERROR(__xludf.DUMMYFUNCTION("""COMPUTED_VALUE"""),"SAS")</f>
        <v>SAS</v>
      </c>
      <c r="E3392" s="164" t="str">
        <f>IFERROR(__xludf.DUMMYFUNCTION("""COMPUTED_VALUE"""),"Roll + Cut Big")</f>
        <v>Roll + Cut Big</v>
      </c>
      <c r="F3392" s="164">
        <f>IFERROR(__xludf.DUMMYFUNCTION("""COMPUTED_VALUE"""),105.28)</f>
        <v>105.28</v>
      </c>
      <c r="G3392" s="163">
        <f>IFERROR(__xludf.DUMMYFUNCTION("""COMPUTED_VALUE"""),18.0)</f>
        <v>18</v>
      </c>
      <c r="H3392" s="163" t="str">
        <f>IFERROR(__xludf.DUMMYFUNCTION("""COMPUTED_VALUE"""),"C")</f>
        <v>C</v>
      </c>
      <c r="I3392" s="163">
        <f>IFERROR(__xludf.DUMMYFUNCTION("""COMPUTED_VALUE"""),22.0)</f>
        <v>22</v>
      </c>
      <c r="J3392" s="165">
        <f>IFERROR(__xludf.DUMMYFUNCTION("""COMPUTED_VALUE"""),-0.247845497901553)</f>
        <v>-0.2478454979</v>
      </c>
      <c r="K3392" s="165">
        <f>IFERROR(__xludf.DUMMYFUNCTION("""COMPUTED_VALUE"""),-0.105359727163545)</f>
        <v>-0.1053597272</v>
      </c>
      <c r="L3392" s="165">
        <f>IFERROR(__xludf.DUMMYFUNCTION("""COMPUTED_VALUE"""),-0.142485770738008)</f>
        <v>-0.1424857707</v>
      </c>
      <c r="M3392" s="166">
        <f t="shared" si="2"/>
        <v>0.1447164155</v>
      </c>
      <c r="N3392" s="167">
        <f t="shared" si="3"/>
        <v>5.848888889</v>
      </c>
      <c r="O3392" s="163">
        <f t="shared" ref="O3392:Q3392" si="3396">rank(I3392,I:I)</f>
        <v>3178</v>
      </c>
      <c r="P3392" s="163">
        <f t="shared" si="3396"/>
        <v>1556</v>
      </c>
      <c r="Q3392" s="163">
        <f t="shared" si="3396"/>
        <v>1378</v>
      </c>
      <c r="R3392" s="163">
        <f>IFERROR(__xludf.DUMMYFUNCTION("RANK(M3392,filter(M:M,C:C=C3392))"),361.0)</f>
        <v>361</v>
      </c>
      <c r="S3392" s="161" t="b">
        <f t="shared" si="5"/>
        <v>0</v>
      </c>
      <c r="T3392" s="161" t="b">
        <f t="array" ref="T3392">index('Query Tool'!B:B,match(H3392,'Query Tool'!C:C,0))</f>
        <v>1</v>
      </c>
      <c r="U3392" s="161" t="b">
        <f t="array" ref="U3392">index('Query Tool'!B:B,match(C3392,'Query Tool'!C:C,0))</f>
        <v>0</v>
      </c>
      <c r="V3392" s="161" t="b">
        <f>F3392&gt;='Query Tool'!C$32</f>
        <v>0</v>
      </c>
      <c r="W3392" s="161" t="b">
        <f t="array" ref="W3392">index(Dropdowns!B:B,match(I3392,Dropdowns!A:A,0))</f>
        <v>1</v>
      </c>
      <c r="X3392" s="161" t="b">
        <f t="array" ref="X3392">index('Query Tool'!B:B,match(D3392,'Query Tool'!C:C,0))</f>
        <v>1</v>
      </c>
      <c r="Y3392" s="161" t="str">
        <f t="shared" si="6"/>
        <v>metuch01,2019-20</v>
      </c>
      <c r="Z3392" s="168" t="str">
        <f t="array" ref="Z3392">iferror(index(I:I,match($A3392&amp;","&amp;index('Year Conversion'!$A:$A,match($C3392,'Year Conversion'!$B:$B,0)),$Y:$Y,0))-I3392,"")</f>
        <v/>
      </c>
      <c r="AA3392" s="168" t="str">
        <f t="array" ref="AA3392">iferror(index(J:J,match($A3392&amp;","&amp;index('Year Conversion'!$A:$A,match($C3392,'Year Conversion'!$B:$B,0)),$Y:$Y,0))-J3392,"")</f>
        <v/>
      </c>
      <c r="AB3392" s="168" t="str">
        <f t="array" ref="AB3392">iferror(index(K:K,match($A3392&amp;","&amp;index('Year Conversion'!$A:$A,match($C3392,'Year Conversion'!$B:$B,0)),$Y:$Y,0))-K3392,"")</f>
        <v/>
      </c>
      <c r="AC3392" s="168" t="str">
        <f t="shared" si="7"/>
        <v>SAS,2019-20</v>
      </c>
    </row>
    <row r="3393">
      <c r="A3393" s="161" t="str">
        <f>IFERROR(__xludf.DUMMYFUNCTION("""COMPUTED_VALUE"""),"miltosh01")</f>
        <v>miltosh01</v>
      </c>
      <c r="B3393" s="161" t="str">
        <f>IFERROR(__xludf.DUMMYFUNCTION("""COMPUTED_VALUE"""),"Shake Milton")</f>
        <v>Shake Milton</v>
      </c>
      <c r="C3393" s="162" t="str">
        <f>IFERROR(__xludf.DUMMYFUNCTION("""COMPUTED_VALUE"""),"2019-20")</f>
        <v>2019-20</v>
      </c>
      <c r="D3393" s="163" t="str">
        <f>IFERROR(__xludf.DUMMYFUNCTION("""COMPUTED_VALUE"""),"PHI")</f>
        <v>PHI</v>
      </c>
      <c r="E3393" s="164" t="str">
        <f>IFERROR(__xludf.DUMMYFUNCTION("""COMPUTED_VALUE"""),"Secondary Ball Handler")</f>
        <v>Secondary Ball Handler</v>
      </c>
      <c r="F3393" s="164">
        <f>IFERROR(__xludf.DUMMYFUNCTION("""COMPUTED_VALUE"""),805.365)</f>
        <v>805.365</v>
      </c>
      <c r="G3393" s="163">
        <f>IFERROR(__xludf.DUMMYFUNCTION("""COMPUTED_VALUE"""),40.0)</f>
        <v>40</v>
      </c>
      <c r="H3393" s="163" t="str">
        <f>IFERROR(__xludf.DUMMYFUNCTION("""COMPUTED_VALUE"""),"SG")</f>
        <v>SG</v>
      </c>
      <c r="I3393" s="163">
        <f>IFERROR(__xludf.DUMMYFUNCTION("""COMPUTED_VALUE"""),23.0)</f>
        <v>23</v>
      </c>
      <c r="J3393" s="165">
        <f>IFERROR(__xludf.DUMMYFUNCTION("""COMPUTED_VALUE"""),-0.709228738825223)</f>
        <v>-0.7092287388</v>
      </c>
      <c r="K3393" s="165">
        <f>IFERROR(__xludf.DUMMYFUNCTION("""COMPUTED_VALUE"""),1.03823672330881)</f>
        <v>1.038236723</v>
      </c>
      <c r="L3393" s="165">
        <f>IFERROR(__xludf.DUMMYFUNCTION("""COMPUTED_VALUE"""),-1.74746546213403)</f>
        <v>-1.747465462</v>
      </c>
      <c r="M3393" s="166">
        <f t="shared" si="2"/>
        <v>0.8567841024</v>
      </c>
      <c r="N3393" s="167">
        <f t="shared" si="3"/>
        <v>20.134125</v>
      </c>
      <c r="O3393" s="163">
        <f t="shared" ref="O3393:Q3393" si="3397">rank(I3393,I:I)</f>
        <v>2765</v>
      </c>
      <c r="P3393" s="163">
        <f t="shared" si="3397"/>
        <v>2159</v>
      </c>
      <c r="Q3393" s="163">
        <f t="shared" si="3397"/>
        <v>485</v>
      </c>
      <c r="R3393" s="163">
        <f>IFERROR(__xludf.DUMMYFUNCTION("RANK(M3393,filter(M:M,C:C=C3393))"),222.0)</f>
        <v>222</v>
      </c>
      <c r="S3393" s="161" t="b">
        <f t="shared" si="5"/>
        <v>0</v>
      </c>
      <c r="T3393" s="161" t="b">
        <f t="array" ref="T3393">index('Query Tool'!B:B,match(H3393,'Query Tool'!C:C,0))</f>
        <v>1</v>
      </c>
      <c r="U3393" s="161" t="b">
        <f t="array" ref="U3393">index('Query Tool'!B:B,match(C3393,'Query Tool'!C:C,0))</f>
        <v>0</v>
      </c>
      <c r="V3393" s="161" t="b">
        <f>F3393&gt;='Query Tool'!C$32</f>
        <v>1</v>
      </c>
      <c r="W3393" s="161" t="b">
        <f t="array" ref="W3393">index(Dropdowns!B:B,match(I3393,Dropdowns!A:A,0))</f>
        <v>1</v>
      </c>
      <c r="X3393" s="161" t="b">
        <f t="array" ref="X3393">index('Query Tool'!B:B,match(D3393,'Query Tool'!C:C,0))</f>
        <v>1</v>
      </c>
      <c r="Y3393" s="161" t="str">
        <f t="shared" si="6"/>
        <v>miltosh01,2019-20</v>
      </c>
      <c r="Z3393" s="168" t="str">
        <f t="array" ref="Z3393">iferror(index(I:I,match($A3393&amp;","&amp;index('Year Conversion'!$A:$A,match($C3393,'Year Conversion'!$B:$B,0)),$Y:$Y,0))-I3393,"")</f>
        <v/>
      </c>
      <c r="AA3393" s="168" t="str">
        <f t="array" ref="AA3393">iferror(index(J:J,match($A3393&amp;","&amp;index('Year Conversion'!$A:$A,match($C3393,'Year Conversion'!$B:$B,0)),$Y:$Y,0))-J3393,"")</f>
        <v/>
      </c>
      <c r="AB3393" s="168" t="str">
        <f t="array" ref="AB3393">iferror(index(K:K,match($A3393&amp;","&amp;index('Year Conversion'!$A:$A,match($C3393,'Year Conversion'!$B:$B,0)),$Y:$Y,0))-K3393,"")</f>
        <v/>
      </c>
      <c r="AC3393" s="168" t="str">
        <f t="shared" si="7"/>
        <v>PHI,2019-20</v>
      </c>
    </row>
    <row r="3394">
      <c r="A3394" s="161" t="str">
        <f>IFERROR(__xludf.DUMMYFUNCTION("""COMPUTED_VALUE"""),"mykhasv01")</f>
        <v>mykhasv01</v>
      </c>
      <c r="B3394" s="161" t="str">
        <f>IFERROR(__xludf.DUMMYFUNCTION("""COMPUTED_VALUE"""),"Svi Mykhailiuk")</f>
        <v>Svi Mykhailiuk</v>
      </c>
      <c r="C3394" s="162" t="str">
        <f>IFERROR(__xludf.DUMMYFUNCTION("""COMPUTED_VALUE"""),"2019-20")</f>
        <v>2019-20</v>
      </c>
      <c r="D3394" s="163" t="str">
        <f>IFERROR(__xludf.DUMMYFUNCTION("""COMPUTED_VALUE"""),"DET")</f>
        <v>DET</v>
      </c>
      <c r="E3394" s="164" t="str">
        <f>IFERROR(__xludf.DUMMYFUNCTION("""COMPUTED_VALUE"""),"Movement Shooter")</f>
        <v>Movement Shooter</v>
      </c>
      <c r="F3394" s="164">
        <f>IFERROR(__xludf.DUMMYFUNCTION("""COMPUTED_VALUE"""),1265.01333333333)</f>
        <v>1265.013333</v>
      </c>
      <c r="G3394" s="163">
        <f>IFERROR(__xludf.DUMMYFUNCTION("""COMPUTED_VALUE"""),56.0)</f>
        <v>56</v>
      </c>
      <c r="H3394" s="163" t="str">
        <f>IFERROR(__xludf.DUMMYFUNCTION("""COMPUTED_VALUE"""),"SF")</f>
        <v>SF</v>
      </c>
      <c r="I3394" s="163">
        <f>IFERROR(__xludf.DUMMYFUNCTION("""COMPUTED_VALUE"""),22.0)</f>
        <v>22</v>
      </c>
      <c r="J3394" s="165">
        <f>IFERROR(__xludf.DUMMYFUNCTION("""COMPUTED_VALUE"""),-0.629566973609476)</f>
        <v>-0.6295669736</v>
      </c>
      <c r="K3394" s="165">
        <f>IFERROR(__xludf.DUMMYFUNCTION("""COMPUTED_VALUE"""),0.0902366701831045)</f>
        <v>0.09023667018</v>
      </c>
      <c r="L3394" s="165">
        <f>IFERROR(__xludf.DUMMYFUNCTION("""COMPUTED_VALUE"""),-0.71980364379258)</f>
        <v>-0.7198036438</v>
      </c>
      <c r="M3394" s="166">
        <f t="shared" si="2"/>
        <v>1.413592407</v>
      </c>
      <c r="N3394" s="167">
        <f t="shared" si="3"/>
        <v>22.58952381</v>
      </c>
      <c r="O3394" s="163">
        <f t="shared" ref="O3394:Q3394" si="3398">rank(I3394,I:I)</f>
        <v>3178</v>
      </c>
      <c r="P3394" s="163">
        <f t="shared" si="3398"/>
        <v>2034</v>
      </c>
      <c r="Q3394" s="163">
        <f t="shared" si="3398"/>
        <v>1080</v>
      </c>
      <c r="R3394" s="163">
        <f>IFERROR(__xludf.DUMMYFUNCTION("RANK(M3394,filter(M:M,C:C=C3394))"),191.0)</f>
        <v>191</v>
      </c>
      <c r="S3394" s="161" t="b">
        <f t="shared" si="5"/>
        <v>0</v>
      </c>
      <c r="T3394" s="161" t="b">
        <f t="array" ref="T3394">index('Query Tool'!B:B,match(H3394,'Query Tool'!C:C,0))</f>
        <v>1</v>
      </c>
      <c r="U3394" s="161" t="b">
        <f t="array" ref="U3394">index('Query Tool'!B:B,match(C3394,'Query Tool'!C:C,0))</f>
        <v>0</v>
      </c>
      <c r="V3394" s="161" t="b">
        <f>F3394&gt;='Query Tool'!C$32</f>
        <v>1</v>
      </c>
      <c r="W3394" s="161" t="b">
        <f t="array" ref="W3394">index(Dropdowns!B:B,match(I3394,Dropdowns!A:A,0))</f>
        <v>1</v>
      </c>
      <c r="X3394" s="161" t="b">
        <f t="array" ref="X3394">index('Query Tool'!B:B,match(D3394,'Query Tool'!C:C,0))</f>
        <v>1</v>
      </c>
      <c r="Y3394" s="161" t="str">
        <f t="shared" si="6"/>
        <v>mykhasv01,2019-20</v>
      </c>
      <c r="Z3394" s="168" t="str">
        <f t="array" ref="Z3394">iferror(index(I:I,match($A3394&amp;","&amp;index('Year Conversion'!$A:$A,match($C3394,'Year Conversion'!$B:$B,0)),$Y:$Y,0))-I3394,"")</f>
        <v/>
      </c>
      <c r="AA3394" s="168" t="str">
        <f t="array" ref="AA3394">iferror(index(J:J,match($A3394&amp;","&amp;index('Year Conversion'!$A:$A,match($C3394,'Year Conversion'!$B:$B,0)),$Y:$Y,0))-J3394,"")</f>
        <v/>
      </c>
      <c r="AB3394" s="168" t="str">
        <f t="array" ref="AB3394">iferror(index(K:K,match($A3394&amp;","&amp;index('Year Conversion'!$A:$A,match($C3394,'Year Conversion'!$B:$B,0)),$Y:$Y,0))-K3394,"")</f>
        <v/>
      </c>
      <c r="AC3394" s="168" t="str">
        <f t="shared" si="7"/>
        <v>DET,2019-20</v>
      </c>
    </row>
    <row r="3395">
      <c r="A3395" s="161" t="str">
        <f>IFERROR(__xludf.DUMMYFUNCTION("""COMPUTED_VALUE"""),"newmama01")</f>
        <v>newmama01</v>
      </c>
      <c r="B3395" s="161" t="str">
        <f>IFERROR(__xludf.DUMMYFUNCTION("""COMPUTED_VALUE"""),"Malik Newman")</f>
        <v>Malik Newman</v>
      </c>
      <c r="C3395" s="162" t="str">
        <f>IFERROR(__xludf.DUMMYFUNCTION("""COMPUTED_VALUE"""),"2019-20")</f>
        <v>2019-20</v>
      </c>
      <c r="D3395" s="163" t="str">
        <f>IFERROR(__xludf.DUMMYFUNCTION("""COMPUTED_VALUE"""),"CLE")</f>
        <v>CLE</v>
      </c>
      <c r="E3395" s="164" t="str">
        <f>IFERROR(__xludf.DUMMYFUNCTION("""COMPUTED_VALUE"""),"Secondary Ball Handler")</f>
        <v>Secondary Ball Handler</v>
      </c>
      <c r="F3395" s="164">
        <f>IFERROR(__xludf.DUMMYFUNCTION("""COMPUTED_VALUE"""),3.68333333333333)</f>
        <v>3.683333333</v>
      </c>
      <c r="G3395" s="163">
        <f>IFERROR(__xludf.DUMMYFUNCTION("""COMPUTED_VALUE"""),1.0)</f>
        <v>1</v>
      </c>
      <c r="H3395" s="163" t="str">
        <f>IFERROR(__xludf.DUMMYFUNCTION("""COMPUTED_VALUE"""),"SG")</f>
        <v>SG</v>
      </c>
      <c r="I3395" s="163">
        <f>IFERROR(__xludf.DUMMYFUNCTION("""COMPUTED_VALUE"""),22.0)</f>
        <v>22</v>
      </c>
      <c r="J3395" s="165">
        <f>IFERROR(__xludf.DUMMYFUNCTION("""COMPUTED_VALUE"""),0.322028509957969)</f>
        <v>0.32202851</v>
      </c>
      <c r="K3395" s="165">
        <f>IFERROR(__xludf.DUMMYFUNCTION("""COMPUTED_VALUE"""),-0.0497751090831952)</f>
        <v>-0.04977510908</v>
      </c>
      <c r="L3395" s="165">
        <f>IFERROR(__xludf.DUMMYFUNCTION("""COMPUTED_VALUE"""),0.371803619041164)</f>
        <v>0.371803619</v>
      </c>
      <c r="M3395" s="166">
        <f t="shared" si="2"/>
        <v>0.00647803943</v>
      </c>
      <c r="N3395" s="167">
        <f t="shared" si="3"/>
        <v>3.683333333</v>
      </c>
      <c r="O3395" s="163">
        <f t="shared" ref="O3395:Q3395" si="3399">rank(I3395,I:I)</f>
        <v>3178</v>
      </c>
      <c r="P3395" s="163">
        <f t="shared" si="3399"/>
        <v>1004</v>
      </c>
      <c r="Q3395" s="163">
        <f t="shared" si="3399"/>
        <v>1276</v>
      </c>
      <c r="R3395" s="163">
        <f>IFERROR(__xludf.DUMMYFUNCTION("RANK(M3395,filter(M:M,C:C=C3395))"),477.0)</f>
        <v>477</v>
      </c>
      <c r="S3395" s="161" t="b">
        <f t="shared" si="5"/>
        <v>0</v>
      </c>
      <c r="T3395" s="161" t="b">
        <f t="array" ref="T3395">index('Query Tool'!B:B,match(H3395,'Query Tool'!C:C,0))</f>
        <v>1</v>
      </c>
      <c r="U3395" s="161" t="b">
        <f t="array" ref="U3395">index('Query Tool'!B:B,match(C3395,'Query Tool'!C:C,0))</f>
        <v>0</v>
      </c>
      <c r="V3395" s="161" t="b">
        <f>F3395&gt;='Query Tool'!C$32</f>
        <v>0</v>
      </c>
      <c r="W3395" s="161" t="b">
        <f t="array" ref="W3395">index(Dropdowns!B:B,match(I3395,Dropdowns!A:A,0))</f>
        <v>1</v>
      </c>
      <c r="X3395" s="161" t="b">
        <f t="array" ref="X3395">index('Query Tool'!B:B,match(D3395,'Query Tool'!C:C,0))</f>
        <v>1</v>
      </c>
      <c r="Y3395" s="161" t="str">
        <f t="shared" si="6"/>
        <v>newmama01,2019-20</v>
      </c>
      <c r="Z3395" s="168" t="str">
        <f t="array" ref="Z3395">iferror(index(I:I,match($A3395&amp;","&amp;index('Year Conversion'!$A:$A,match($C3395,'Year Conversion'!$B:$B,0)),$Y:$Y,0))-I3395,"")</f>
        <v/>
      </c>
      <c r="AA3395" s="168" t="str">
        <f t="array" ref="AA3395">iferror(index(J:J,match($A3395&amp;","&amp;index('Year Conversion'!$A:$A,match($C3395,'Year Conversion'!$B:$B,0)),$Y:$Y,0))-J3395,"")</f>
        <v/>
      </c>
      <c r="AB3395" s="168" t="str">
        <f t="array" ref="AB3395">iferror(index(K:K,match($A3395&amp;","&amp;index('Year Conversion'!$A:$A,match($C3395,'Year Conversion'!$B:$B,0)),$Y:$Y,0))-K3395,"")</f>
        <v/>
      </c>
      <c r="AC3395" s="168" t="str">
        <f t="shared" si="7"/>
        <v>CLE,2019-20</v>
      </c>
    </row>
    <row r="3396">
      <c r="A3396" s="161" t="str">
        <f>IFERROR(__xludf.DUMMYFUNCTION("""COMPUTED_VALUE"""),"okogijo01")</f>
        <v>okogijo01</v>
      </c>
      <c r="B3396" s="161" t="str">
        <f>IFERROR(__xludf.DUMMYFUNCTION("""COMPUTED_VALUE"""),"Josh Okogie")</f>
        <v>Josh Okogie</v>
      </c>
      <c r="C3396" s="162" t="str">
        <f>IFERROR(__xludf.DUMMYFUNCTION("""COMPUTED_VALUE"""),"2019-20")</f>
        <v>2019-20</v>
      </c>
      <c r="D3396" s="163" t="str">
        <f>IFERROR(__xludf.DUMMYFUNCTION("""COMPUTED_VALUE"""),"MIN")</f>
        <v>MIN</v>
      </c>
      <c r="E3396" s="164" t="str">
        <f>IFERROR(__xludf.DUMMYFUNCTION("""COMPUTED_VALUE"""),"Athletic Finisher")</f>
        <v>Athletic Finisher</v>
      </c>
      <c r="F3396" s="164">
        <f>IFERROR(__xludf.DUMMYFUNCTION("""COMPUTED_VALUE"""),1547.29333333333)</f>
        <v>1547.293333</v>
      </c>
      <c r="G3396" s="163">
        <f>IFERROR(__xludf.DUMMYFUNCTION("""COMPUTED_VALUE"""),62.0)</f>
        <v>62</v>
      </c>
      <c r="H3396" s="163" t="str">
        <f>IFERROR(__xludf.DUMMYFUNCTION("""COMPUTED_VALUE"""),"SG")</f>
        <v>SG</v>
      </c>
      <c r="I3396" s="163">
        <f>IFERROR(__xludf.DUMMYFUNCTION("""COMPUTED_VALUE"""),21.0)</f>
        <v>21</v>
      </c>
      <c r="J3396" s="165">
        <f>IFERROR(__xludf.DUMMYFUNCTION("""COMPUTED_VALUE"""),-2.13364503717724)</f>
        <v>-2.133645037</v>
      </c>
      <c r="K3396" s="165">
        <f>IFERROR(__xludf.DUMMYFUNCTION("""COMPUTED_VALUE"""),-1.66858191333489)</f>
        <v>-1.668581913</v>
      </c>
      <c r="L3396" s="165">
        <f>IFERROR(__xludf.DUMMYFUNCTION("""COMPUTED_VALUE"""),-0.465063123842357)</f>
        <v>-0.4650631238</v>
      </c>
      <c r="M3396" s="166">
        <f t="shared" si="2"/>
        <v>0.1736275864</v>
      </c>
      <c r="N3396" s="167">
        <f t="shared" si="3"/>
        <v>24.95634409</v>
      </c>
      <c r="O3396" s="163">
        <f t="shared" ref="O3396:Q3396" si="3400">rank(I3396,I:I)</f>
        <v>3528</v>
      </c>
      <c r="P3396" s="163">
        <f t="shared" si="3400"/>
        <v>3577</v>
      </c>
      <c r="Q3396" s="163">
        <f t="shared" si="3400"/>
        <v>3496</v>
      </c>
      <c r="R3396" s="163">
        <f>IFERROR(__xludf.DUMMYFUNCTION("RANK(M3396,filter(M:M,C:C=C3396))"),346.0)</f>
        <v>346</v>
      </c>
      <c r="S3396" s="161" t="b">
        <f t="shared" si="5"/>
        <v>0</v>
      </c>
      <c r="T3396" s="161" t="b">
        <f t="array" ref="T3396">index('Query Tool'!B:B,match(H3396,'Query Tool'!C:C,0))</f>
        <v>1</v>
      </c>
      <c r="U3396" s="161" t="b">
        <f t="array" ref="U3396">index('Query Tool'!B:B,match(C3396,'Query Tool'!C:C,0))</f>
        <v>0</v>
      </c>
      <c r="V3396" s="161" t="b">
        <f>F3396&gt;='Query Tool'!C$32</f>
        <v>1</v>
      </c>
      <c r="W3396" s="161" t="b">
        <f t="array" ref="W3396">index(Dropdowns!B:B,match(I3396,Dropdowns!A:A,0))</f>
        <v>1</v>
      </c>
      <c r="X3396" s="161" t="b">
        <f t="array" ref="X3396">index('Query Tool'!B:B,match(D3396,'Query Tool'!C:C,0))</f>
        <v>1</v>
      </c>
      <c r="Y3396" s="161" t="str">
        <f t="shared" si="6"/>
        <v>okogijo01,2019-20</v>
      </c>
      <c r="Z3396" s="168" t="str">
        <f t="array" ref="Z3396">iferror(index(I:I,match($A3396&amp;","&amp;index('Year Conversion'!$A:$A,match($C3396,'Year Conversion'!$B:$B,0)),$Y:$Y,0))-I3396,"")</f>
        <v/>
      </c>
      <c r="AA3396" s="168" t="str">
        <f t="array" ref="AA3396">iferror(index(J:J,match($A3396&amp;","&amp;index('Year Conversion'!$A:$A,match($C3396,'Year Conversion'!$B:$B,0)),$Y:$Y,0))-J3396,"")</f>
        <v/>
      </c>
      <c r="AB3396" s="168" t="str">
        <f t="array" ref="AB3396">iferror(index(K:K,match($A3396&amp;","&amp;index('Year Conversion'!$A:$A,match($C3396,'Year Conversion'!$B:$B,0)),$Y:$Y,0))-K3396,"")</f>
        <v/>
      </c>
      <c r="AC3396" s="168" t="str">
        <f t="shared" si="7"/>
        <v>MIN,2019-20</v>
      </c>
    </row>
    <row r="3397">
      <c r="A3397" s="161" t="str">
        <f>IFERROR(__xludf.DUMMYFUNCTION("""COMPUTED_VALUE"""),"portemi01")</f>
        <v>portemi01</v>
      </c>
      <c r="B3397" s="161" t="str">
        <f>IFERROR(__xludf.DUMMYFUNCTION("""COMPUTED_VALUE"""),"Michael Porter Jr.")</f>
        <v>Michael Porter Jr.</v>
      </c>
      <c r="C3397" s="162" t="str">
        <f>IFERROR(__xludf.DUMMYFUNCTION("""COMPUTED_VALUE"""),"2019-20")</f>
        <v>2019-20</v>
      </c>
      <c r="D3397" s="163" t="str">
        <f>IFERROR(__xludf.DUMMYFUNCTION("""COMPUTED_VALUE"""),"DEN")</f>
        <v>DEN</v>
      </c>
      <c r="E3397" s="164" t="str">
        <f>IFERROR(__xludf.DUMMYFUNCTION("""COMPUTED_VALUE"""),"Athletic Finisher")</f>
        <v>Athletic Finisher</v>
      </c>
      <c r="F3397" s="164">
        <f>IFERROR(__xludf.DUMMYFUNCTION("""COMPUTED_VALUE"""),903.286666666667)</f>
        <v>903.2866667</v>
      </c>
      <c r="G3397" s="163">
        <f>IFERROR(__xludf.DUMMYFUNCTION("""COMPUTED_VALUE"""),55.0)</f>
        <v>55</v>
      </c>
      <c r="H3397" s="163" t="str">
        <f>IFERROR(__xludf.DUMMYFUNCTION("""COMPUTED_VALUE"""),"SF")</f>
        <v>SF</v>
      </c>
      <c r="I3397" s="163">
        <f>IFERROR(__xludf.DUMMYFUNCTION("""COMPUTED_VALUE"""),21.0)</f>
        <v>21</v>
      </c>
      <c r="J3397" s="165">
        <f>IFERROR(__xludf.DUMMYFUNCTION("""COMPUTED_VALUE"""),1.1654544835473)</f>
        <v>1.165454484</v>
      </c>
      <c r="K3397" s="165">
        <f>IFERROR(__xludf.DUMMYFUNCTION("""COMPUTED_VALUE"""),1.05776861397139)</f>
        <v>1.057768614</v>
      </c>
      <c r="L3397" s="165">
        <f>IFERROR(__xludf.DUMMYFUNCTION("""COMPUTED_VALUE"""),0.10768586957591)</f>
        <v>0.1076858696</v>
      </c>
      <c r="M3397" s="166">
        <f t="shared" si="2"/>
        <v>2.100976989</v>
      </c>
      <c r="N3397" s="167">
        <f t="shared" si="3"/>
        <v>16.42339394</v>
      </c>
      <c r="O3397" s="163">
        <f t="shared" ref="O3397:Q3397" si="3401">rank(I3397,I:I)</f>
        <v>3528</v>
      </c>
      <c r="P3397" s="163">
        <f t="shared" si="3401"/>
        <v>585</v>
      </c>
      <c r="Q3397" s="163">
        <f t="shared" si="3401"/>
        <v>471</v>
      </c>
      <c r="R3397" s="163">
        <f>IFERROR(__xludf.DUMMYFUNCTION("RANK(M3397,filter(M:M,C:C=C3397))"),147.0)</f>
        <v>147</v>
      </c>
      <c r="S3397" s="161" t="b">
        <f t="shared" si="5"/>
        <v>0</v>
      </c>
      <c r="T3397" s="161" t="b">
        <f t="array" ref="T3397">index('Query Tool'!B:B,match(H3397,'Query Tool'!C:C,0))</f>
        <v>1</v>
      </c>
      <c r="U3397" s="161" t="b">
        <f t="array" ref="U3397">index('Query Tool'!B:B,match(C3397,'Query Tool'!C:C,0))</f>
        <v>0</v>
      </c>
      <c r="V3397" s="161" t="b">
        <f>F3397&gt;='Query Tool'!C$32</f>
        <v>1</v>
      </c>
      <c r="W3397" s="161" t="b">
        <f t="array" ref="W3397">index(Dropdowns!B:B,match(I3397,Dropdowns!A:A,0))</f>
        <v>1</v>
      </c>
      <c r="X3397" s="161" t="b">
        <f t="array" ref="X3397">index('Query Tool'!B:B,match(D3397,'Query Tool'!C:C,0))</f>
        <v>1</v>
      </c>
      <c r="Y3397" s="161" t="str">
        <f t="shared" si="6"/>
        <v>portemi01,2019-20</v>
      </c>
      <c r="Z3397" s="168" t="str">
        <f t="array" ref="Z3397">iferror(index(I:I,match($A3397&amp;","&amp;index('Year Conversion'!$A:$A,match($C3397,'Year Conversion'!$B:$B,0)),$Y:$Y,0))-I3397,"")</f>
        <v/>
      </c>
      <c r="AA3397" s="168" t="str">
        <f t="array" ref="AA3397">iferror(index(J:J,match($A3397&amp;","&amp;index('Year Conversion'!$A:$A,match($C3397,'Year Conversion'!$B:$B,0)),$Y:$Y,0))-J3397,"")</f>
        <v/>
      </c>
      <c r="AB3397" s="168" t="str">
        <f t="array" ref="AB3397">iferror(index(K:K,match($A3397&amp;","&amp;index('Year Conversion'!$A:$A,match($C3397,'Year Conversion'!$B:$B,0)),$Y:$Y,0))-K3397,"")</f>
        <v/>
      </c>
      <c r="AC3397" s="168" t="str">
        <f t="shared" si="7"/>
        <v>DEN,2019-20</v>
      </c>
    </row>
    <row r="3398">
      <c r="A3398" s="161" t="str">
        <f>IFERROR(__xludf.DUMMYFUNCTION("""COMPUTED_VALUE"""),"robinje01")</f>
        <v>robinje01</v>
      </c>
      <c r="B3398" s="161" t="str">
        <f>IFERROR(__xludf.DUMMYFUNCTION("""COMPUTED_VALUE"""),"Jerome Robinson")</f>
        <v>Jerome Robinson</v>
      </c>
      <c r="C3398" s="162" t="str">
        <f>IFERROR(__xludf.DUMMYFUNCTION("""COMPUTED_VALUE"""),"2019-20")</f>
        <v>2019-20</v>
      </c>
      <c r="D3398" s="163" t="str">
        <f>IFERROR(__xludf.DUMMYFUNCTION("""COMPUTED_VALUE"""),"TOT")</f>
        <v>TOT</v>
      </c>
      <c r="E3398" s="164" t="str">
        <f>IFERROR(__xludf.DUMMYFUNCTION("""COMPUTED_VALUE"""),"Secondary Ball Handler")</f>
        <v>Secondary Ball Handler</v>
      </c>
      <c r="F3398" s="164">
        <f>IFERROR(__xludf.DUMMYFUNCTION("""COMPUTED_VALUE"""),979.305)</f>
        <v>979.305</v>
      </c>
      <c r="G3398" s="163">
        <f>IFERROR(__xludf.DUMMYFUNCTION("""COMPUTED_VALUE"""),63.0)</f>
        <v>63</v>
      </c>
      <c r="H3398" s="163" t="str">
        <f>IFERROR(__xludf.DUMMYFUNCTION("""COMPUTED_VALUE"""),"SG")</f>
        <v>SG</v>
      </c>
      <c r="I3398" s="163">
        <f>IFERROR(__xludf.DUMMYFUNCTION("""COMPUTED_VALUE"""),22.0)</f>
        <v>22</v>
      </c>
      <c r="J3398" s="165">
        <f>IFERROR(__xludf.DUMMYFUNCTION("""COMPUTED_VALUE"""),-2.15943958897671)</f>
        <v>-2.159439589</v>
      </c>
      <c r="K3398" s="165">
        <f>IFERROR(__xludf.DUMMYFUNCTION("""COMPUTED_VALUE"""),-1.93231475856527)</f>
        <v>-1.932314759</v>
      </c>
      <c r="L3398" s="165">
        <f>IFERROR(__xludf.DUMMYFUNCTION("""COMPUTED_VALUE"""),-0.227124830411432)</f>
        <v>-0.2271248304</v>
      </c>
      <c r="M3398" s="166">
        <f t="shared" si="2"/>
        <v>0.09318385816</v>
      </c>
      <c r="N3398" s="167">
        <f t="shared" si="3"/>
        <v>15.54452381</v>
      </c>
      <c r="O3398" s="163">
        <f t="shared" ref="O3398:Q3398" si="3402">rank(I3398,I:I)</f>
        <v>3178</v>
      </c>
      <c r="P3398" s="163">
        <f t="shared" si="3402"/>
        <v>3588</v>
      </c>
      <c r="Q3398" s="163">
        <f t="shared" si="3402"/>
        <v>3674</v>
      </c>
      <c r="R3398" s="163">
        <f>IFERROR(__xludf.DUMMYFUNCTION("RANK(M3398,filter(M:M,C:C=C3398))"),391.0)</f>
        <v>391</v>
      </c>
      <c r="S3398" s="161" t="b">
        <f t="shared" si="5"/>
        <v>0</v>
      </c>
      <c r="T3398" s="161" t="b">
        <f t="array" ref="T3398">index('Query Tool'!B:B,match(H3398,'Query Tool'!C:C,0))</f>
        <v>1</v>
      </c>
      <c r="U3398" s="161" t="b">
        <f t="array" ref="U3398">index('Query Tool'!B:B,match(C3398,'Query Tool'!C:C,0))</f>
        <v>0</v>
      </c>
      <c r="V3398" s="161" t="b">
        <f>F3398&gt;='Query Tool'!C$32</f>
        <v>1</v>
      </c>
      <c r="W3398" s="161" t="b">
        <f t="array" ref="W3398">index(Dropdowns!B:B,match(I3398,Dropdowns!A:A,0))</f>
        <v>1</v>
      </c>
      <c r="X3398" s="161" t="b">
        <f t="array" ref="X3398">index('Query Tool'!B:B,match(D3398,'Query Tool'!C:C,0))</f>
        <v>1</v>
      </c>
      <c r="Y3398" s="161" t="str">
        <f t="shared" si="6"/>
        <v>robinje01,2019-20</v>
      </c>
      <c r="Z3398" s="168" t="str">
        <f t="array" ref="Z3398">iferror(index(I:I,match($A3398&amp;","&amp;index('Year Conversion'!$A:$A,match($C3398,'Year Conversion'!$B:$B,0)),$Y:$Y,0))-I3398,"")</f>
        <v/>
      </c>
      <c r="AA3398" s="168" t="str">
        <f t="array" ref="AA3398">iferror(index(J:J,match($A3398&amp;","&amp;index('Year Conversion'!$A:$A,match($C3398,'Year Conversion'!$B:$B,0)),$Y:$Y,0))-J3398,"")</f>
        <v/>
      </c>
      <c r="AB3398" s="168" t="str">
        <f t="array" ref="AB3398">iferror(index(K:K,match($A3398&amp;","&amp;index('Year Conversion'!$A:$A,match($C3398,'Year Conversion'!$B:$B,0)),$Y:$Y,0))-K3398,"")</f>
        <v/>
      </c>
      <c r="AC3398" s="168" t="str">
        <f t="shared" si="7"/>
        <v>TOT,2019-20</v>
      </c>
    </row>
    <row r="3399">
      <c r="A3399" s="161" t="str">
        <f>IFERROR(__xludf.DUMMYFUNCTION("""COMPUTED_VALUE"""),"robinmi01")</f>
        <v>robinmi01</v>
      </c>
      <c r="B3399" s="161" t="str">
        <f>IFERROR(__xludf.DUMMYFUNCTION("""COMPUTED_VALUE"""),"Mitchell Robinson")</f>
        <v>Mitchell Robinson</v>
      </c>
      <c r="C3399" s="162" t="str">
        <f>IFERROR(__xludf.DUMMYFUNCTION("""COMPUTED_VALUE"""),"2019-20")</f>
        <v>2019-20</v>
      </c>
      <c r="D3399" s="163" t="str">
        <f>IFERROR(__xludf.DUMMYFUNCTION("""COMPUTED_VALUE"""),"NYK")</f>
        <v>NYK</v>
      </c>
      <c r="E3399" s="164" t="str">
        <f>IFERROR(__xludf.DUMMYFUNCTION("""COMPUTED_VALUE"""),"Roll + Cut Big")</f>
        <v>Roll + Cut Big</v>
      </c>
      <c r="F3399" s="164">
        <f>IFERROR(__xludf.DUMMYFUNCTION("""COMPUTED_VALUE"""),1412.325)</f>
        <v>1412.325</v>
      </c>
      <c r="G3399" s="163">
        <f>IFERROR(__xludf.DUMMYFUNCTION("""COMPUTED_VALUE"""),61.0)</f>
        <v>61</v>
      </c>
      <c r="H3399" s="163" t="str">
        <f>IFERROR(__xludf.DUMMYFUNCTION("""COMPUTED_VALUE"""),"C")</f>
        <v>C</v>
      </c>
      <c r="I3399" s="163">
        <f>IFERROR(__xludf.DUMMYFUNCTION("""COMPUTED_VALUE"""),21.0)</f>
        <v>21</v>
      </c>
      <c r="J3399" s="165">
        <f>IFERROR(__xludf.DUMMYFUNCTION("""COMPUTED_VALUE"""),2.2156592838493)</f>
        <v>2.215659284</v>
      </c>
      <c r="K3399" s="165">
        <f>IFERROR(__xludf.DUMMYFUNCTION("""COMPUTED_VALUE"""),0.426074666950881)</f>
        <v>0.426074667</v>
      </c>
      <c r="L3399" s="165">
        <f>IFERROR(__xludf.DUMMYFUNCTION("""COMPUTED_VALUE"""),1.78958461689842)</f>
        <v>1.789584617</v>
      </c>
      <c r="M3399" s="166">
        <f t="shared" si="2"/>
        <v>4.272759079</v>
      </c>
      <c r="N3399" s="167">
        <f t="shared" si="3"/>
        <v>23.15286885</v>
      </c>
      <c r="O3399" s="163">
        <f t="shared" ref="O3399:Q3399" si="3403">rank(I3399,I:I)</f>
        <v>3528</v>
      </c>
      <c r="P3399" s="163">
        <f t="shared" si="3403"/>
        <v>267</v>
      </c>
      <c r="Q3399" s="163">
        <f t="shared" si="3403"/>
        <v>811</v>
      </c>
      <c r="R3399" s="163">
        <f>IFERROR(__xludf.DUMMYFUNCTION("RANK(M3399,filter(M:M,C:C=C3399))"),59.0)</f>
        <v>59</v>
      </c>
      <c r="S3399" s="161" t="b">
        <f t="shared" si="5"/>
        <v>0</v>
      </c>
      <c r="T3399" s="161" t="b">
        <f t="array" ref="T3399">index('Query Tool'!B:B,match(H3399,'Query Tool'!C:C,0))</f>
        <v>1</v>
      </c>
      <c r="U3399" s="161" t="b">
        <f t="array" ref="U3399">index('Query Tool'!B:B,match(C3399,'Query Tool'!C:C,0))</f>
        <v>0</v>
      </c>
      <c r="V3399" s="161" t="b">
        <f>F3399&gt;='Query Tool'!C$32</f>
        <v>1</v>
      </c>
      <c r="W3399" s="161" t="b">
        <f t="array" ref="W3399">index(Dropdowns!B:B,match(I3399,Dropdowns!A:A,0))</f>
        <v>1</v>
      </c>
      <c r="X3399" s="161" t="b">
        <f t="array" ref="X3399">index('Query Tool'!B:B,match(D3399,'Query Tool'!C:C,0))</f>
        <v>1</v>
      </c>
      <c r="Y3399" s="161" t="str">
        <f t="shared" si="6"/>
        <v>robinmi01,2019-20</v>
      </c>
      <c r="Z3399" s="168" t="str">
        <f t="array" ref="Z3399">iferror(index(I:I,match($A3399&amp;","&amp;index('Year Conversion'!$A:$A,match($C3399,'Year Conversion'!$B:$B,0)),$Y:$Y,0))-I3399,"")</f>
        <v/>
      </c>
      <c r="AA3399" s="168" t="str">
        <f t="array" ref="AA3399">iferror(index(J:J,match($A3399&amp;","&amp;index('Year Conversion'!$A:$A,match($C3399,'Year Conversion'!$B:$B,0)),$Y:$Y,0))-J3399,"")</f>
        <v/>
      </c>
      <c r="AB3399" s="168" t="str">
        <f t="array" ref="AB3399">iferror(index(K:K,match($A3399&amp;","&amp;index('Year Conversion'!$A:$A,match($C3399,'Year Conversion'!$B:$B,0)),$Y:$Y,0))-K3399,"")</f>
        <v/>
      </c>
      <c r="AC3399" s="168" t="str">
        <f t="shared" si="7"/>
        <v>NYK,2019-20</v>
      </c>
    </row>
    <row r="3400">
      <c r="A3400" s="161" t="str">
        <f>IFERROR(__xludf.DUMMYFUNCTION("""COMPUTED_VALUE"""),"sextoco01")</f>
        <v>sextoco01</v>
      </c>
      <c r="B3400" s="161" t="str">
        <f>IFERROR(__xludf.DUMMYFUNCTION("""COMPUTED_VALUE"""),"Collin Sexton")</f>
        <v>Collin Sexton</v>
      </c>
      <c r="C3400" s="162" t="str">
        <f>IFERROR(__xludf.DUMMYFUNCTION("""COMPUTED_VALUE"""),"2019-20")</f>
        <v>2019-20</v>
      </c>
      <c r="D3400" s="163" t="str">
        <f>IFERROR(__xludf.DUMMYFUNCTION("""COMPUTED_VALUE"""),"CLE")</f>
        <v>CLE</v>
      </c>
      <c r="E3400" s="164" t="str">
        <f>IFERROR(__xludf.DUMMYFUNCTION("""COMPUTED_VALUE"""),"Slasher")</f>
        <v>Slasher</v>
      </c>
      <c r="F3400" s="164">
        <f>IFERROR(__xludf.DUMMYFUNCTION("""COMPUTED_VALUE"""),2142.615)</f>
        <v>2142.615</v>
      </c>
      <c r="G3400" s="163">
        <f>IFERROR(__xludf.DUMMYFUNCTION("""COMPUTED_VALUE"""),65.0)</f>
        <v>65</v>
      </c>
      <c r="H3400" s="163" t="str">
        <f>IFERROR(__xludf.DUMMYFUNCTION("""COMPUTED_VALUE"""),"PG")</f>
        <v>PG</v>
      </c>
      <c r="I3400" s="163">
        <f>IFERROR(__xludf.DUMMYFUNCTION("""COMPUTED_VALUE"""),21.0)</f>
        <v>21</v>
      </c>
      <c r="J3400" s="165">
        <f>IFERROR(__xludf.DUMMYFUNCTION("""COMPUTED_VALUE"""),-2.08668277965166)</f>
        <v>-2.08668278</v>
      </c>
      <c r="K3400" s="165">
        <f>IFERROR(__xludf.DUMMYFUNCTION("""COMPUTED_VALUE"""),0.933344872651251)</f>
        <v>0.9333448727</v>
      </c>
      <c r="L3400" s="165">
        <f>IFERROR(__xludf.DUMMYFUNCTION("""COMPUTED_VALUE"""),-3.02002765230291)</f>
        <v>-3.020027652</v>
      </c>
      <c r="M3400" s="166">
        <f t="shared" si="2"/>
        <v>0.3070256533</v>
      </c>
      <c r="N3400" s="167">
        <f t="shared" si="3"/>
        <v>32.96330769</v>
      </c>
      <c r="O3400" s="163">
        <f t="shared" ref="O3400:Q3400" si="3404">rank(I3400,I:I)</f>
        <v>3528</v>
      </c>
      <c r="P3400" s="163">
        <f t="shared" si="3404"/>
        <v>3547</v>
      </c>
      <c r="Q3400" s="163">
        <f t="shared" si="3404"/>
        <v>537</v>
      </c>
      <c r="R3400" s="163">
        <f>IFERROR(__xludf.DUMMYFUNCTION("RANK(M3400,filter(M:M,C:C=C3400))"),301.0)</f>
        <v>301</v>
      </c>
      <c r="S3400" s="161" t="b">
        <f t="shared" si="5"/>
        <v>0</v>
      </c>
      <c r="T3400" s="161" t="b">
        <f t="array" ref="T3400">index('Query Tool'!B:B,match(H3400,'Query Tool'!C:C,0))</f>
        <v>1</v>
      </c>
      <c r="U3400" s="161" t="b">
        <f t="array" ref="U3400">index('Query Tool'!B:B,match(C3400,'Query Tool'!C:C,0))</f>
        <v>0</v>
      </c>
      <c r="V3400" s="161" t="b">
        <f>F3400&gt;='Query Tool'!C$32</f>
        <v>1</v>
      </c>
      <c r="W3400" s="161" t="b">
        <f t="array" ref="W3400">index(Dropdowns!B:B,match(I3400,Dropdowns!A:A,0))</f>
        <v>1</v>
      </c>
      <c r="X3400" s="161" t="b">
        <f t="array" ref="X3400">index('Query Tool'!B:B,match(D3400,'Query Tool'!C:C,0))</f>
        <v>1</v>
      </c>
      <c r="Y3400" s="161" t="str">
        <f t="shared" si="6"/>
        <v>sextoco01,2019-20</v>
      </c>
      <c r="Z3400" s="168" t="str">
        <f t="array" ref="Z3400">iferror(index(I:I,match($A3400&amp;","&amp;index('Year Conversion'!$A:$A,match($C3400,'Year Conversion'!$B:$B,0)),$Y:$Y,0))-I3400,"")</f>
        <v/>
      </c>
      <c r="AA3400" s="168" t="str">
        <f t="array" ref="AA3400">iferror(index(J:J,match($A3400&amp;","&amp;index('Year Conversion'!$A:$A,match($C3400,'Year Conversion'!$B:$B,0)),$Y:$Y,0))-J3400,"")</f>
        <v/>
      </c>
      <c r="AB3400" s="168" t="str">
        <f t="array" ref="AB3400">iferror(index(K:K,match($A3400&amp;","&amp;index('Year Conversion'!$A:$A,match($C3400,'Year Conversion'!$B:$B,0)),$Y:$Y,0))-K3400,"")</f>
        <v/>
      </c>
      <c r="AC3400" s="168" t="str">
        <f t="shared" si="7"/>
        <v>CLE,2019-20</v>
      </c>
    </row>
    <row r="3401">
      <c r="A3401" s="161" t="str">
        <f>IFERROR(__xludf.DUMMYFUNCTION("""COMPUTED_VALUE"""),"shamela01")</f>
        <v>shamela01</v>
      </c>
      <c r="B3401" s="161" t="str">
        <f>IFERROR(__xludf.DUMMYFUNCTION("""COMPUTED_VALUE"""),"Landry Shamet")</f>
        <v>Landry Shamet</v>
      </c>
      <c r="C3401" s="162" t="str">
        <f>IFERROR(__xludf.DUMMYFUNCTION("""COMPUTED_VALUE"""),"2019-20")</f>
        <v>2019-20</v>
      </c>
      <c r="D3401" s="163" t="str">
        <f>IFERROR(__xludf.DUMMYFUNCTION("""COMPUTED_VALUE"""),"LAC")</f>
        <v>LAC</v>
      </c>
      <c r="E3401" s="164" t="str">
        <f>IFERROR(__xludf.DUMMYFUNCTION("""COMPUTED_VALUE"""),"Off Screen Shooter")</f>
        <v>Off Screen Shooter</v>
      </c>
      <c r="F3401" s="164">
        <f>IFERROR(__xludf.DUMMYFUNCTION("""COMPUTED_VALUE"""),1451.93)</f>
        <v>1451.93</v>
      </c>
      <c r="G3401" s="163">
        <f>IFERROR(__xludf.DUMMYFUNCTION("""COMPUTED_VALUE"""),53.0)</f>
        <v>53</v>
      </c>
      <c r="H3401" s="163" t="str">
        <f>IFERROR(__xludf.DUMMYFUNCTION("""COMPUTED_VALUE"""),"SG")</f>
        <v>SG</v>
      </c>
      <c r="I3401" s="163">
        <f>IFERROR(__xludf.DUMMYFUNCTION("""COMPUTED_VALUE"""),22.0)</f>
        <v>22</v>
      </c>
      <c r="J3401" s="165">
        <f>IFERROR(__xludf.DUMMYFUNCTION("""COMPUTED_VALUE"""),-0.899435508753857)</f>
        <v>-0.8994355088</v>
      </c>
      <c r="K3401" s="165">
        <f>IFERROR(__xludf.DUMMYFUNCTION("""COMPUTED_VALUE"""),-0.296693748857251)</f>
        <v>-0.2966937489</v>
      </c>
      <c r="L3401" s="165">
        <f>IFERROR(__xludf.DUMMYFUNCTION("""COMPUTED_VALUE"""),-0.602741759896606)</f>
        <v>-0.6027417599</v>
      </c>
      <c r="M3401" s="166">
        <f t="shared" si="2"/>
        <v>1.358944</v>
      </c>
      <c r="N3401" s="167">
        <f t="shared" si="3"/>
        <v>27.39490566</v>
      </c>
      <c r="O3401" s="163">
        <f t="shared" ref="O3401:Q3401" si="3405">rank(I3401,I:I)</f>
        <v>3178</v>
      </c>
      <c r="P3401" s="163">
        <f t="shared" si="3405"/>
        <v>2392</v>
      </c>
      <c r="Q3401" s="163">
        <f t="shared" si="3405"/>
        <v>1758</v>
      </c>
      <c r="R3401" s="163">
        <f>IFERROR(__xludf.DUMMYFUNCTION("RANK(M3401,filter(M:M,C:C=C3401))"),196.0)</f>
        <v>196</v>
      </c>
      <c r="S3401" s="161" t="b">
        <f t="shared" si="5"/>
        <v>0</v>
      </c>
      <c r="T3401" s="161" t="b">
        <f t="array" ref="T3401">index('Query Tool'!B:B,match(H3401,'Query Tool'!C:C,0))</f>
        <v>1</v>
      </c>
      <c r="U3401" s="161" t="b">
        <f t="array" ref="U3401">index('Query Tool'!B:B,match(C3401,'Query Tool'!C:C,0))</f>
        <v>0</v>
      </c>
      <c r="V3401" s="161" t="b">
        <f>F3401&gt;='Query Tool'!C$32</f>
        <v>1</v>
      </c>
      <c r="W3401" s="161" t="b">
        <f t="array" ref="W3401">index(Dropdowns!B:B,match(I3401,Dropdowns!A:A,0))</f>
        <v>1</v>
      </c>
      <c r="X3401" s="161" t="b">
        <f t="array" ref="X3401">index('Query Tool'!B:B,match(D3401,'Query Tool'!C:C,0))</f>
        <v>1</v>
      </c>
      <c r="Y3401" s="161" t="str">
        <f t="shared" si="6"/>
        <v>shamela01,2019-20</v>
      </c>
      <c r="Z3401" s="168" t="str">
        <f t="array" ref="Z3401">iferror(index(I:I,match($A3401&amp;","&amp;index('Year Conversion'!$A:$A,match($C3401,'Year Conversion'!$B:$B,0)),$Y:$Y,0))-I3401,"")</f>
        <v/>
      </c>
      <c r="AA3401" s="168" t="str">
        <f t="array" ref="AA3401">iferror(index(J:J,match($A3401&amp;","&amp;index('Year Conversion'!$A:$A,match($C3401,'Year Conversion'!$B:$B,0)),$Y:$Y,0))-J3401,"")</f>
        <v/>
      </c>
      <c r="AB3401" s="168" t="str">
        <f t="array" ref="AB3401">iferror(index(K:K,match($A3401&amp;","&amp;index('Year Conversion'!$A:$A,match($C3401,'Year Conversion'!$B:$B,0)),$Y:$Y,0))-K3401,"")</f>
        <v/>
      </c>
      <c r="AC3401" s="168" t="str">
        <f t="shared" si="7"/>
        <v>LAC,2019-20</v>
      </c>
    </row>
    <row r="3402">
      <c r="A3402" s="161" t="str">
        <f>IFERROR(__xludf.DUMMYFUNCTION("""COMPUTED_VALUE"""),"simonan01")</f>
        <v>simonan01</v>
      </c>
      <c r="B3402" s="161" t="str">
        <f>IFERROR(__xludf.DUMMYFUNCTION("""COMPUTED_VALUE"""),"Anfernee Simons")</f>
        <v>Anfernee Simons</v>
      </c>
      <c r="C3402" s="162" t="str">
        <f>IFERROR(__xludf.DUMMYFUNCTION("""COMPUTED_VALUE"""),"2019-20")</f>
        <v>2019-20</v>
      </c>
      <c r="D3402" s="163" t="str">
        <f>IFERROR(__xludf.DUMMYFUNCTION("""COMPUTED_VALUE"""),"POR")</f>
        <v>POR</v>
      </c>
      <c r="E3402" s="164" t="str">
        <f>IFERROR(__xludf.DUMMYFUNCTION("""COMPUTED_VALUE"""),"Secondary Ball Handler")</f>
        <v>Secondary Ball Handler</v>
      </c>
      <c r="F3402" s="164">
        <f>IFERROR(__xludf.DUMMYFUNCTION("""COMPUTED_VALUE"""),1448.80666666667)</f>
        <v>1448.806667</v>
      </c>
      <c r="G3402" s="163">
        <f>IFERROR(__xludf.DUMMYFUNCTION("""COMPUTED_VALUE"""),70.0)</f>
        <v>70</v>
      </c>
      <c r="H3402" s="163" t="str">
        <f>IFERROR(__xludf.DUMMYFUNCTION("""COMPUTED_VALUE"""),"SG")</f>
        <v>SG</v>
      </c>
      <c r="I3402" s="163">
        <f>IFERROR(__xludf.DUMMYFUNCTION("""COMPUTED_VALUE"""),20.0)</f>
        <v>20</v>
      </c>
      <c r="J3402" s="165">
        <f>IFERROR(__xludf.DUMMYFUNCTION("""COMPUTED_VALUE"""),-4.60067431488527)</f>
        <v>-4.600674315</v>
      </c>
      <c r="K3402" s="165">
        <f>IFERROR(__xludf.DUMMYFUNCTION("""COMPUTED_VALUE"""),-1.70974404104277)</f>
        <v>-1.709744041</v>
      </c>
      <c r="L3402" s="165">
        <f>IFERROR(__xludf.DUMMYFUNCTION("""COMPUTED_VALUE"""),-2.8909302738425)</f>
        <v>-2.890930274</v>
      </c>
      <c r="M3402" s="166">
        <f t="shared" si="2"/>
        <v>-2.132583299</v>
      </c>
      <c r="N3402" s="167">
        <f t="shared" si="3"/>
        <v>20.6972381</v>
      </c>
      <c r="O3402" s="163">
        <f t="shared" ref="O3402:Q3402" si="3406">rank(I3402,I:I)</f>
        <v>3770</v>
      </c>
      <c r="P3402" s="163">
        <f t="shared" si="3406"/>
        <v>4010</v>
      </c>
      <c r="Q3402" s="163">
        <f t="shared" si="3406"/>
        <v>3525</v>
      </c>
      <c r="R3402" s="163">
        <f>IFERROR(__xludf.DUMMYFUNCTION("RANK(M3402,filter(M:M,C:C=C3402))"),529.0)</f>
        <v>529</v>
      </c>
      <c r="S3402" s="161" t="b">
        <f t="shared" si="5"/>
        <v>0</v>
      </c>
      <c r="T3402" s="161" t="b">
        <f t="array" ref="T3402">index('Query Tool'!B:B,match(H3402,'Query Tool'!C:C,0))</f>
        <v>1</v>
      </c>
      <c r="U3402" s="161" t="b">
        <f t="array" ref="U3402">index('Query Tool'!B:B,match(C3402,'Query Tool'!C:C,0))</f>
        <v>0</v>
      </c>
      <c r="V3402" s="161" t="b">
        <f>F3402&gt;='Query Tool'!C$32</f>
        <v>1</v>
      </c>
      <c r="W3402" s="161" t="b">
        <f t="array" ref="W3402">index(Dropdowns!B:B,match(I3402,Dropdowns!A:A,0))</f>
        <v>1</v>
      </c>
      <c r="X3402" s="161" t="b">
        <f t="array" ref="X3402">index('Query Tool'!B:B,match(D3402,'Query Tool'!C:C,0))</f>
        <v>1</v>
      </c>
      <c r="Y3402" s="161" t="str">
        <f t="shared" si="6"/>
        <v>simonan01,2019-20</v>
      </c>
      <c r="Z3402" s="168" t="str">
        <f t="array" ref="Z3402">iferror(index(I:I,match($A3402&amp;","&amp;index('Year Conversion'!$A:$A,match($C3402,'Year Conversion'!$B:$B,0)),$Y:$Y,0))-I3402,"")</f>
        <v/>
      </c>
      <c r="AA3402" s="168" t="str">
        <f t="array" ref="AA3402">iferror(index(J:J,match($A3402&amp;","&amp;index('Year Conversion'!$A:$A,match($C3402,'Year Conversion'!$B:$B,0)),$Y:$Y,0))-J3402,"")</f>
        <v/>
      </c>
      <c r="AB3402" s="168" t="str">
        <f t="array" ref="AB3402">iferror(index(K:K,match($A3402&amp;","&amp;index('Year Conversion'!$A:$A,match($C3402,'Year Conversion'!$B:$B,0)),$Y:$Y,0))-K3402,"")</f>
        <v/>
      </c>
      <c r="AC3402" s="168" t="str">
        <f t="shared" si="7"/>
        <v>POR,2019-20</v>
      </c>
    </row>
    <row r="3403">
      <c r="A3403" s="161" t="str">
        <f>IFERROR(__xludf.DUMMYFUNCTION("""COMPUTED_VALUE"""),"smithzh01")</f>
        <v>smithzh01</v>
      </c>
      <c r="B3403" s="161" t="str">
        <f>IFERROR(__xludf.DUMMYFUNCTION("""COMPUTED_VALUE"""),"Zhaire Smith")</f>
        <v>Zhaire Smith</v>
      </c>
      <c r="C3403" s="162" t="str">
        <f>IFERROR(__xludf.DUMMYFUNCTION("""COMPUTED_VALUE"""),"2019-20")</f>
        <v>2019-20</v>
      </c>
      <c r="D3403" s="163" t="str">
        <f>IFERROR(__xludf.DUMMYFUNCTION("""COMPUTED_VALUE"""),"PHI")</f>
        <v>PHI</v>
      </c>
      <c r="E3403" s="164" t="str">
        <f>IFERROR(__xludf.DUMMYFUNCTION("""COMPUTED_VALUE"""),"Athletic Finisher")</f>
        <v>Athletic Finisher</v>
      </c>
      <c r="F3403" s="164">
        <f>IFERROR(__xludf.DUMMYFUNCTION("""COMPUTED_VALUE"""),32.3316666666667)</f>
        <v>32.33166667</v>
      </c>
      <c r="G3403" s="163">
        <f>IFERROR(__xludf.DUMMYFUNCTION("""COMPUTED_VALUE"""),7.0)</f>
        <v>7</v>
      </c>
      <c r="H3403" s="163" t="str">
        <f>IFERROR(__xludf.DUMMYFUNCTION("""COMPUTED_VALUE"""),"SF")</f>
        <v>SF</v>
      </c>
      <c r="I3403" s="163">
        <f>IFERROR(__xludf.DUMMYFUNCTION("""COMPUTED_VALUE"""),20.0)</f>
        <v>20</v>
      </c>
      <c r="J3403" s="165">
        <f>IFERROR(__xludf.DUMMYFUNCTION("""COMPUTED_VALUE"""),-0.702745540128008)</f>
        <v>-0.7027455401</v>
      </c>
      <c r="K3403" s="165">
        <f>IFERROR(__xludf.DUMMYFUNCTION("""COMPUTED_VALUE"""),-0.318575413763754)</f>
        <v>-0.3185754138</v>
      </c>
      <c r="L3403" s="165">
        <f>IFERROR(__xludf.DUMMYFUNCTION("""COMPUTED_VALUE"""),-0.384170126364254)</f>
        <v>-0.3841701264</v>
      </c>
      <c r="M3403" s="166">
        <f t="shared" si="2"/>
        <v>0.03453693052</v>
      </c>
      <c r="N3403" s="167">
        <f t="shared" si="3"/>
        <v>4.618809524</v>
      </c>
      <c r="O3403" s="163">
        <f t="shared" ref="O3403:Q3403" si="3407">rank(I3403,I:I)</f>
        <v>3770</v>
      </c>
      <c r="P3403" s="163">
        <f t="shared" si="3407"/>
        <v>2145</v>
      </c>
      <c r="Q3403" s="163">
        <f t="shared" si="3407"/>
        <v>1792</v>
      </c>
      <c r="R3403" s="163">
        <f>IFERROR(__xludf.DUMMYFUNCTION("RANK(M3403,filter(M:M,C:C=C3403))"),448.0)</f>
        <v>448</v>
      </c>
      <c r="S3403" s="161" t="b">
        <f t="shared" si="5"/>
        <v>0</v>
      </c>
      <c r="T3403" s="161" t="b">
        <f t="array" ref="T3403">index('Query Tool'!B:B,match(H3403,'Query Tool'!C:C,0))</f>
        <v>1</v>
      </c>
      <c r="U3403" s="161" t="b">
        <f t="array" ref="U3403">index('Query Tool'!B:B,match(C3403,'Query Tool'!C:C,0))</f>
        <v>0</v>
      </c>
      <c r="V3403" s="161" t="b">
        <f>F3403&gt;='Query Tool'!C$32</f>
        <v>0</v>
      </c>
      <c r="W3403" s="161" t="b">
        <f t="array" ref="W3403">index(Dropdowns!B:B,match(I3403,Dropdowns!A:A,0))</f>
        <v>1</v>
      </c>
      <c r="X3403" s="161" t="b">
        <f t="array" ref="X3403">index('Query Tool'!B:B,match(D3403,'Query Tool'!C:C,0))</f>
        <v>1</v>
      </c>
      <c r="Y3403" s="161" t="str">
        <f t="shared" si="6"/>
        <v>smithzh01,2019-20</v>
      </c>
      <c r="Z3403" s="168" t="str">
        <f t="array" ref="Z3403">iferror(index(I:I,match($A3403&amp;","&amp;index('Year Conversion'!$A:$A,match($C3403,'Year Conversion'!$B:$B,0)),$Y:$Y,0))-I3403,"")</f>
        <v/>
      </c>
      <c r="AA3403" s="168" t="str">
        <f t="array" ref="AA3403">iferror(index(J:J,match($A3403&amp;","&amp;index('Year Conversion'!$A:$A,match($C3403,'Year Conversion'!$B:$B,0)),$Y:$Y,0))-J3403,"")</f>
        <v/>
      </c>
      <c r="AB3403" s="168" t="str">
        <f t="array" ref="AB3403">iferror(index(K:K,match($A3403&amp;","&amp;index('Year Conversion'!$A:$A,match($C3403,'Year Conversion'!$B:$B,0)),$Y:$Y,0))-K3403,"")</f>
        <v/>
      </c>
      <c r="AC3403" s="168" t="str">
        <f t="shared" si="7"/>
        <v>PHI,2019-20</v>
      </c>
    </row>
    <row r="3404">
      <c r="A3404" s="161" t="str">
        <f>IFERROR(__xludf.DUMMYFUNCTION("""COMPUTED_VALUE"""),"spellom01")</f>
        <v>spellom01</v>
      </c>
      <c r="B3404" s="161" t="str">
        <f>IFERROR(__xludf.DUMMYFUNCTION("""COMPUTED_VALUE"""),"Omari Spellman")</f>
        <v>Omari Spellman</v>
      </c>
      <c r="C3404" s="162" t="str">
        <f>IFERROR(__xludf.DUMMYFUNCTION("""COMPUTED_VALUE"""),"2019-20")</f>
        <v>2019-20</v>
      </c>
      <c r="D3404" s="163" t="str">
        <f>IFERROR(__xludf.DUMMYFUNCTION("""COMPUTED_VALUE"""),"GSW")</f>
        <v>GSW</v>
      </c>
      <c r="E3404" s="164" t="str">
        <f>IFERROR(__xludf.DUMMYFUNCTION("""COMPUTED_VALUE"""),"Stretch Big")</f>
        <v>Stretch Big</v>
      </c>
      <c r="F3404" s="164">
        <f>IFERROR(__xludf.DUMMYFUNCTION("""COMPUTED_VALUE"""),885.985)</f>
        <v>885.985</v>
      </c>
      <c r="G3404" s="163">
        <f>IFERROR(__xludf.DUMMYFUNCTION("""COMPUTED_VALUE"""),49.0)</f>
        <v>49</v>
      </c>
      <c r="H3404" s="163" t="str">
        <f>IFERROR(__xludf.DUMMYFUNCTION("""COMPUTED_VALUE"""),"C")</f>
        <v>C</v>
      </c>
      <c r="I3404" s="163">
        <f>IFERROR(__xludf.DUMMYFUNCTION("""COMPUTED_VALUE"""),22.0)</f>
        <v>22</v>
      </c>
      <c r="J3404" s="165">
        <f>IFERROR(__xludf.DUMMYFUNCTION("""COMPUTED_VALUE"""),-1.89024832352383)</f>
        <v>-1.890248324</v>
      </c>
      <c r="K3404" s="165">
        <f>IFERROR(__xludf.DUMMYFUNCTION("""COMPUTED_VALUE"""),-1.83292313994463)</f>
        <v>-1.83292314</v>
      </c>
      <c r="L3404" s="165">
        <f>IFERROR(__xludf.DUMMYFUNCTION("""COMPUTED_VALUE"""),-0.0573251835792082)</f>
        <v>-0.05732518358</v>
      </c>
      <c r="M3404" s="166">
        <f t="shared" si="2"/>
        <v>0.2423777365</v>
      </c>
      <c r="N3404" s="167">
        <f t="shared" si="3"/>
        <v>18.08132653</v>
      </c>
      <c r="O3404" s="163">
        <f t="shared" ref="O3404:Q3404" si="3408">rank(I3404,I:I)</f>
        <v>3178</v>
      </c>
      <c r="P3404" s="163">
        <f t="shared" si="3408"/>
        <v>3410</v>
      </c>
      <c r="Q3404" s="163">
        <f t="shared" si="3408"/>
        <v>3595</v>
      </c>
      <c r="R3404" s="163">
        <f>IFERROR(__xludf.DUMMYFUNCTION("RANK(M3404,filter(M:M,C:C=C3404))"),323.0)</f>
        <v>323</v>
      </c>
      <c r="S3404" s="161" t="b">
        <f t="shared" si="5"/>
        <v>0</v>
      </c>
      <c r="T3404" s="161" t="b">
        <f t="array" ref="T3404">index('Query Tool'!B:B,match(H3404,'Query Tool'!C:C,0))</f>
        <v>1</v>
      </c>
      <c r="U3404" s="161" t="b">
        <f t="array" ref="U3404">index('Query Tool'!B:B,match(C3404,'Query Tool'!C:C,0))</f>
        <v>0</v>
      </c>
      <c r="V3404" s="161" t="b">
        <f>F3404&gt;='Query Tool'!C$32</f>
        <v>1</v>
      </c>
      <c r="W3404" s="161" t="b">
        <f t="array" ref="W3404">index(Dropdowns!B:B,match(I3404,Dropdowns!A:A,0))</f>
        <v>1</v>
      </c>
      <c r="X3404" s="161" t="b">
        <f t="array" ref="X3404">index('Query Tool'!B:B,match(D3404,'Query Tool'!C:C,0))</f>
        <v>1</v>
      </c>
      <c r="Y3404" s="161" t="str">
        <f t="shared" si="6"/>
        <v>spellom01,2019-20</v>
      </c>
      <c r="Z3404" s="168" t="str">
        <f t="array" ref="Z3404">iferror(index(I:I,match($A3404&amp;","&amp;index('Year Conversion'!$A:$A,match($C3404,'Year Conversion'!$B:$B,0)),$Y:$Y,0))-I3404,"")</f>
        <v/>
      </c>
      <c r="AA3404" s="168" t="str">
        <f t="array" ref="AA3404">iferror(index(J:J,match($A3404&amp;","&amp;index('Year Conversion'!$A:$A,match($C3404,'Year Conversion'!$B:$B,0)),$Y:$Y,0))-J3404,"")</f>
        <v/>
      </c>
      <c r="AB3404" s="168" t="str">
        <f t="array" ref="AB3404">iferror(index(K:K,match($A3404&amp;","&amp;index('Year Conversion'!$A:$A,match($C3404,'Year Conversion'!$B:$B,0)),$Y:$Y,0))-K3404,"")</f>
        <v/>
      </c>
      <c r="AC3404" s="168" t="str">
        <f t="shared" si="7"/>
        <v>GSW,2019-20</v>
      </c>
    </row>
    <row r="3405">
      <c r="A3405" s="161" t="str">
        <f>IFERROR(__xludf.DUMMYFUNCTION("""COMPUTED_VALUE"""),"thomakh01")</f>
        <v>thomakh01</v>
      </c>
      <c r="B3405" s="161" t="str">
        <f>IFERROR(__xludf.DUMMYFUNCTION("""COMPUTED_VALUE"""),"Khyri Thomas")</f>
        <v>Khyri Thomas</v>
      </c>
      <c r="C3405" s="162" t="str">
        <f>IFERROR(__xludf.DUMMYFUNCTION("""COMPUTED_VALUE"""),"2019-20")</f>
        <v>2019-20</v>
      </c>
      <c r="D3405" s="163" t="str">
        <f>IFERROR(__xludf.DUMMYFUNCTION("""COMPUTED_VALUE"""),"DET")</f>
        <v>DET</v>
      </c>
      <c r="E3405" s="164" t="str">
        <f>IFERROR(__xludf.DUMMYFUNCTION("""COMPUTED_VALUE"""),"Movement Shooter")</f>
        <v>Movement Shooter</v>
      </c>
      <c r="F3405" s="164">
        <f>IFERROR(__xludf.DUMMYFUNCTION("""COMPUTED_VALUE"""),61.2066666666667)</f>
        <v>61.20666667</v>
      </c>
      <c r="G3405" s="163">
        <f>IFERROR(__xludf.DUMMYFUNCTION("""COMPUTED_VALUE"""),8.0)</f>
        <v>8</v>
      </c>
      <c r="H3405" s="163" t="str">
        <f>IFERROR(__xludf.DUMMYFUNCTION("""COMPUTED_VALUE"""),"SG")</f>
        <v>SG</v>
      </c>
      <c r="I3405" s="163">
        <f>IFERROR(__xludf.DUMMYFUNCTION("""COMPUTED_VALUE"""),23.0)</f>
        <v>23</v>
      </c>
      <c r="J3405" s="165">
        <f>IFERROR(__xludf.DUMMYFUNCTION("""COMPUTED_VALUE"""),-1.06696166307548)</f>
        <v>-1.066961663</v>
      </c>
      <c r="K3405" s="165">
        <f>IFERROR(__xludf.DUMMYFUNCTION("""COMPUTED_VALUE"""),-0.571195298167788)</f>
        <v>-0.5711952982</v>
      </c>
      <c r="L3405" s="165">
        <f>IFERROR(__xludf.DUMMYFUNCTION("""COMPUTED_VALUE"""),-0.495766364907692)</f>
        <v>-0.4957663649</v>
      </c>
      <c r="M3405" s="166">
        <f t="shared" si="2"/>
        <v>0.05040169607</v>
      </c>
      <c r="N3405" s="167">
        <f t="shared" si="3"/>
        <v>7.650833333</v>
      </c>
      <c r="O3405" s="163">
        <f t="shared" ref="O3405:Q3405" si="3409">rank(I3405,I:I)</f>
        <v>2765</v>
      </c>
      <c r="P3405" s="163">
        <f t="shared" si="3409"/>
        <v>2573</v>
      </c>
      <c r="Q3405" s="163">
        <f t="shared" si="3409"/>
        <v>2217</v>
      </c>
      <c r="R3405" s="163">
        <f>IFERROR(__xludf.DUMMYFUNCTION("RANK(M3405,filter(M:M,C:C=C3405))"),436.0)</f>
        <v>436</v>
      </c>
      <c r="S3405" s="161" t="b">
        <f t="shared" si="5"/>
        <v>0</v>
      </c>
      <c r="T3405" s="161" t="b">
        <f t="array" ref="T3405">index('Query Tool'!B:B,match(H3405,'Query Tool'!C:C,0))</f>
        <v>1</v>
      </c>
      <c r="U3405" s="161" t="b">
        <f t="array" ref="U3405">index('Query Tool'!B:B,match(C3405,'Query Tool'!C:C,0))</f>
        <v>0</v>
      </c>
      <c r="V3405" s="161" t="b">
        <f>F3405&gt;='Query Tool'!C$32</f>
        <v>0</v>
      </c>
      <c r="W3405" s="161" t="b">
        <f t="array" ref="W3405">index(Dropdowns!B:B,match(I3405,Dropdowns!A:A,0))</f>
        <v>1</v>
      </c>
      <c r="X3405" s="161" t="b">
        <f t="array" ref="X3405">index('Query Tool'!B:B,match(D3405,'Query Tool'!C:C,0))</f>
        <v>1</v>
      </c>
      <c r="Y3405" s="161" t="str">
        <f t="shared" si="6"/>
        <v>thomakh01,2019-20</v>
      </c>
      <c r="Z3405" s="168" t="str">
        <f t="array" ref="Z3405">iferror(index(I:I,match($A3405&amp;","&amp;index('Year Conversion'!$A:$A,match($C3405,'Year Conversion'!$B:$B,0)),$Y:$Y,0))-I3405,"")</f>
        <v/>
      </c>
      <c r="AA3405" s="168" t="str">
        <f t="array" ref="AA3405">iferror(index(J:J,match($A3405&amp;","&amp;index('Year Conversion'!$A:$A,match($C3405,'Year Conversion'!$B:$B,0)),$Y:$Y,0))-J3405,"")</f>
        <v/>
      </c>
      <c r="AB3405" s="168" t="str">
        <f t="array" ref="AB3405">iferror(index(K:K,match($A3405&amp;","&amp;index('Year Conversion'!$A:$A,match($C3405,'Year Conversion'!$B:$B,0)),$Y:$Y,0))-K3405,"")</f>
        <v/>
      </c>
      <c r="AC3405" s="168" t="str">
        <f t="shared" si="7"/>
        <v>DET,2019-20</v>
      </c>
    </row>
    <row r="3406">
      <c r="A3406" s="161" t="str">
        <f>IFERROR(__xludf.DUMMYFUNCTION("""COMPUTED_VALUE"""),"trentga02")</f>
        <v>trentga02</v>
      </c>
      <c r="B3406" s="161" t="str">
        <f>IFERROR(__xludf.DUMMYFUNCTION("""COMPUTED_VALUE"""),"Gary Trent Jr.")</f>
        <v>Gary Trent Jr.</v>
      </c>
      <c r="C3406" s="162" t="str">
        <f>IFERROR(__xludf.DUMMYFUNCTION("""COMPUTED_VALUE"""),"2019-20")</f>
        <v>2019-20</v>
      </c>
      <c r="D3406" s="163" t="str">
        <f>IFERROR(__xludf.DUMMYFUNCTION("""COMPUTED_VALUE"""),"POR")</f>
        <v>POR</v>
      </c>
      <c r="E3406" s="164" t="str">
        <f>IFERROR(__xludf.DUMMYFUNCTION("""COMPUTED_VALUE"""),"Stationary Shooter")</f>
        <v>Stationary Shooter</v>
      </c>
      <c r="F3406" s="164">
        <f>IFERROR(__xludf.DUMMYFUNCTION("""COMPUTED_VALUE"""),1331.99666666667)</f>
        <v>1331.996667</v>
      </c>
      <c r="G3406" s="163">
        <f>IFERROR(__xludf.DUMMYFUNCTION("""COMPUTED_VALUE"""),61.0)</f>
        <v>61</v>
      </c>
      <c r="H3406" s="163" t="str">
        <f>IFERROR(__xludf.DUMMYFUNCTION("""COMPUTED_VALUE"""),"SF")</f>
        <v>SF</v>
      </c>
      <c r="I3406" s="163">
        <f>IFERROR(__xludf.DUMMYFUNCTION("""COMPUTED_VALUE"""),21.0)</f>
        <v>21</v>
      </c>
      <c r="J3406" s="165">
        <f>IFERROR(__xludf.DUMMYFUNCTION("""COMPUTED_VALUE"""),-1.36761224189964)</f>
        <v>-1.367612242</v>
      </c>
      <c r="K3406" s="165">
        <f>IFERROR(__xludf.DUMMYFUNCTION("""COMPUTED_VALUE"""),0.091807137259303)</f>
        <v>0.09180713726</v>
      </c>
      <c r="L3406" s="165">
        <f>IFERROR(__xludf.DUMMYFUNCTION("""COMPUTED_VALUE"""),-1.45941937915894)</f>
        <v>-1.459419379</v>
      </c>
      <c r="M3406" s="166">
        <f t="shared" si="2"/>
        <v>0.828534795</v>
      </c>
      <c r="N3406" s="167">
        <f t="shared" si="3"/>
        <v>21.83601093</v>
      </c>
      <c r="O3406" s="163">
        <f t="shared" ref="O3406:Q3406" si="3410">rank(I3406,I:I)</f>
        <v>3528</v>
      </c>
      <c r="P3406" s="163">
        <f t="shared" si="3410"/>
        <v>2923</v>
      </c>
      <c r="Q3406" s="163">
        <f t="shared" si="3410"/>
        <v>1075</v>
      </c>
      <c r="R3406" s="163">
        <f>IFERROR(__xludf.DUMMYFUNCTION("RANK(M3406,filter(M:M,C:C=C3406))"),223.0)</f>
        <v>223</v>
      </c>
      <c r="S3406" s="161" t="b">
        <f t="shared" si="5"/>
        <v>0</v>
      </c>
      <c r="T3406" s="161" t="b">
        <f t="array" ref="T3406">index('Query Tool'!B:B,match(H3406,'Query Tool'!C:C,0))</f>
        <v>1</v>
      </c>
      <c r="U3406" s="161" t="b">
        <f t="array" ref="U3406">index('Query Tool'!B:B,match(C3406,'Query Tool'!C:C,0))</f>
        <v>0</v>
      </c>
      <c r="V3406" s="161" t="b">
        <f>F3406&gt;='Query Tool'!C$32</f>
        <v>1</v>
      </c>
      <c r="W3406" s="161" t="b">
        <f t="array" ref="W3406">index(Dropdowns!B:B,match(I3406,Dropdowns!A:A,0))</f>
        <v>1</v>
      </c>
      <c r="X3406" s="161" t="b">
        <f t="array" ref="X3406">index('Query Tool'!B:B,match(D3406,'Query Tool'!C:C,0))</f>
        <v>1</v>
      </c>
      <c r="Y3406" s="161" t="str">
        <f t="shared" si="6"/>
        <v>trentga02,2019-20</v>
      </c>
      <c r="Z3406" s="168" t="str">
        <f t="array" ref="Z3406">iferror(index(I:I,match($A3406&amp;","&amp;index('Year Conversion'!$A:$A,match($C3406,'Year Conversion'!$B:$B,0)),$Y:$Y,0))-I3406,"")</f>
        <v/>
      </c>
      <c r="AA3406" s="168" t="str">
        <f t="array" ref="AA3406">iferror(index(J:J,match($A3406&amp;","&amp;index('Year Conversion'!$A:$A,match($C3406,'Year Conversion'!$B:$B,0)),$Y:$Y,0))-J3406,"")</f>
        <v/>
      </c>
      <c r="AB3406" s="168" t="str">
        <f t="array" ref="AB3406">iferror(index(K:K,match($A3406&amp;","&amp;index('Year Conversion'!$A:$A,match($C3406,'Year Conversion'!$B:$B,0)),$Y:$Y,0))-K3406,"")</f>
        <v/>
      </c>
      <c r="AC3406" s="168" t="str">
        <f t="shared" si="7"/>
        <v>POR,2019-20</v>
      </c>
    </row>
    <row r="3407">
      <c r="A3407" s="161" t="str">
        <f>IFERROR(__xludf.DUMMYFUNCTION("""COMPUTED_VALUE"""),"trieral01")</f>
        <v>trieral01</v>
      </c>
      <c r="B3407" s="161" t="str">
        <f>IFERROR(__xludf.DUMMYFUNCTION("""COMPUTED_VALUE"""),"Allonzo Trier")</f>
        <v>Allonzo Trier</v>
      </c>
      <c r="C3407" s="162" t="str">
        <f>IFERROR(__xludf.DUMMYFUNCTION("""COMPUTED_VALUE"""),"2019-20")</f>
        <v>2019-20</v>
      </c>
      <c r="D3407" s="163" t="str">
        <f>IFERROR(__xludf.DUMMYFUNCTION("""COMPUTED_VALUE"""),"NYK")</f>
        <v>NYK</v>
      </c>
      <c r="E3407" s="164" t="str">
        <f>IFERROR(__xludf.DUMMYFUNCTION("""COMPUTED_VALUE"""),"Secondary Ball Handler")</f>
        <v>Secondary Ball Handler</v>
      </c>
      <c r="F3407" s="164">
        <f>IFERROR(__xludf.DUMMYFUNCTION("""COMPUTED_VALUE"""),290.738333333333)</f>
        <v>290.7383333</v>
      </c>
      <c r="G3407" s="163">
        <f>IFERROR(__xludf.DUMMYFUNCTION("""COMPUTED_VALUE"""),24.0)</f>
        <v>24</v>
      </c>
      <c r="H3407" s="163" t="str">
        <f>IFERROR(__xludf.DUMMYFUNCTION("""COMPUTED_VALUE"""),"SG")</f>
        <v>SG</v>
      </c>
      <c r="I3407" s="163">
        <f>IFERROR(__xludf.DUMMYFUNCTION("""COMPUTED_VALUE"""),24.0)</f>
        <v>24</v>
      </c>
      <c r="J3407" s="165">
        <f>IFERROR(__xludf.DUMMYFUNCTION("""COMPUTED_VALUE"""),-1.31238432154289)</f>
        <v>-1.312384322</v>
      </c>
      <c r="K3407" s="165">
        <f>IFERROR(__xludf.DUMMYFUNCTION("""COMPUTED_VALUE"""),-0.395085623419939)</f>
        <v>-0.3950856234</v>
      </c>
      <c r="L3407" s="165">
        <f>IFERROR(__xludf.DUMMYFUNCTION("""COMPUTED_VALUE"""),-0.917298698122953)</f>
        <v>-0.9172986981</v>
      </c>
      <c r="M3407" s="166">
        <f t="shared" si="2"/>
        <v>0.1915911799</v>
      </c>
      <c r="N3407" s="167">
        <f t="shared" si="3"/>
        <v>12.11409722</v>
      </c>
      <c r="O3407" s="163">
        <f t="shared" ref="O3407:Q3407" si="3411">rank(I3407,I:I)</f>
        <v>2361</v>
      </c>
      <c r="P3407" s="163">
        <f t="shared" si="3411"/>
        <v>2875</v>
      </c>
      <c r="Q3407" s="163">
        <f t="shared" si="3411"/>
        <v>1935</v>
      </c>
      <c r="R3407" s="163">
        <f>IFERROR(__xludf.DUMMYFUNCTION("RANK(M3407,filter(M:M,C:C=C3407))"),341.0)</f>
        <v>341</v>
      </c>
      <c r="S3407" s="161" t="b">
        <f t="shared" si="5"/>
        <v>0</v>
      </c>
      <c r="T3407" s="161" t="b">
        <f t="array" ref="T3407">index('Query Tool'!B:B,match(H3407,'Query Tool'!C:C,0))</f>
        <v>1</v>
      </c>
      <c r="U3407" s="161" t="b">
        <f t="array" ref="U3407">index('Query Tool'!B:B,match(C3407,'Query Tool'!C:C,0))</f>
        <v>0</v>
      </c>
      <c r="V3407" s="161" t="b">
        <f>F3407&gt;='Query Tool'!C$32</f>
        <v>0</v>
      </c>
      <c r="W3407" s="161" t="b">
        <f t="array" ref="W3407">index(Dropdowns!B:B,match(I3407,Dropdowns!A:A,0))</f>
        <v>1</v>
      </c>
      <c r="X3407" s="161" t="b">
        <f t="array" ref="X3407">index('Query Tool'!B:B,match(D3407,'Query Tool'!C:C,0))</f>
        <v>1</v>
      </c>
      <c r="Y3407" s="161" t="str">
        <f t="shared" si="6"/>
        <v>trieral01,2019-20</v>
      </c>
      <c r="Z3407" s="168" t="str">
        <f t="array" ref="Z3407">iferror(index(I:I,match($A3407&amp;","&amp;index('Year Conversion'!$A:$A,match($C3407,'Year Conversion'!$B:$B,0)),$Y:$Y,0))-I3407,"")</f>
        <v/>
      </c>
      <c r="AA3407" s="168" t="str">
        <f t="array" ref="AA3407">iferror(index(J:J,match($A3407&amp;","&amp;index('Year Conversion'!$A:$A,match($C3407,'Year Conversion'!$B:$B,0)),$Y:$Y,0))-J3407,"")</f>
        <v/>
      </c>
      <c r="AB3407" s="168" t="str">
        <f t="array" ref="AB3407">iferror(index(K:K,match($A3407&amp;","&amp;index('Year Conversion'!$A:$A,match($C3407,'Year Conversion'!$B:$B,0)),$Y:$Y,0))-K3407,"")</f>
        <v/>
      </c>
      <c r="AC3407" s="168" t="str">
        <f t="shared" si="7"/>
        <v>NYK,2019-20</v>
      </c>
    </row>
    <row r="3408">
      <c r="A3408" s="161" t="str">
        <f>IFERROR(__xludf.DUMMYFUNCTION("""COMPUTED_VALUE"""),"vandeja01")</f>
        <v>vandeja01</v>
      </c>
      <c r="B3408" s="161" t="str">
        <f>IFERROR(__xludf.DUMMYFUNCTION("""COMPUTED_VALUE"""),"Jarred Vanderbilt")</f>
        <v>Jarred Vanderbilt</v>
      </c>
      <c r="C3408" s="162" t="str">
        <f>IFERROR(__xludf.DUMMYFUNCTION("""COMPUTED_VALUE"""),"2019-20")</f>
        <v>2019-20</v>
      </c>
      <c r="D3408" s="163" t="str">
        <f>IFERROR(__xludf.DUMMYFUNCTION("""COMPUTED_VALUE"""),"TOT")</f>
        <v>TOT</v>
      </c>
      <c r="E3408" s="164" t="str">
        <f>IFERROR(__xludf.DUMMYFUNCTION("""COMPUTED_VALUE"""),"Roll + Cut Big")</f>
        <v>Roll + Cut Big</v>
      </c>
      <c r="F3408" s="164">
        <f>IFERROR(__xludf.DUMMYFUNCTION("""COMPUTED_VALUE"""),46.5366666666667)</f>
        <v>46.53666667</v>
      </c>
      <c r="G3408" s="163">
        <f>IFERROR(__xludf.DUMMYFUNCTION("""COMPUTED_VALUE"""),11.0)</f>
        <v>11</v>
      </c>
      <c r="H3408" s="163" t="str">
        <f>IFERROR(__xludf.DUMMYFUNCTION("""COMPUTED_VALUE"""),"PF")</f>
        <v>PF</v>
      </c>
      <c r="I3408" s="163">
        <f>IFERROR(__xludf.DUMMYFUNCTION("""COMPUTED_VALUE"""),20.0)</f>
        <v>20</v>
      </c>
      <c r="J3408" s="165">
        <f>IFERROR(__xludf.DUMMYFUNCTION("""COMPUTED_VALUE"""),-1.10848512025972)</f>
        <v>-1.10848512</v>
      </c>
      <c r="K3408" s="165">
        <f>IFERROR(__xludf.DUMMYFUNCTION("""COMPUTED_VALUE"""),-0.683919952275499)</f>
        <v>-0.6839199523</v>
      </c>
      <c r="L3408" s="165">
        <f>IFERROR(__xludf.DUMMYFUNCTION("""COMPUTED_VALUE"""),-0.424565167984226)</f>
        <v>-0.424565168</v>
      </c>
      <c r="M3408" s="166">
        <f t="shared" si="2"/>
        <v>0.03702505282</v>
      </c>
      <c r="N3408" s="167">
        <f t="shared" si="3"/>
        <v>4.230606061</v>
      </c>
      <c r="O3408" s="163">
        <f t="shared" ref="O3408:Q3408" si="3412">rank(I3408,I:I)</f>
        <v>3770</v>
      </c>
      <c r="P3408" s="163">
        <f t="shared" si="3412"/>
        <v>2624</v>
      </c>
      <c r="Q3408" s="163">
        <f t="shared" si="3412"/>
        <v>2393</v>
      </c>
      <c r="R3408" s="163">
        <f>IFERROR(__xludf.DUMMYFUNCTION("RANK(M3408,filter(M:M,C:C=C3408))"),444.0)</f>
        <v>444</v>
      </c>
      <c r="S3408" s="161" t="b">
        <f t="shared" si="5"/>
        <v>0</v>
      </c>
      <c r="T3408" s="161" t="b">
        <f t="array" ref="T3408">index('Query Tool'!B:B,match(H3408,'Query Tool'!C:C,0))</f>
        <v>1</v>
      </c>
      <c r="U3408" s="161" t="b">
        <f t="array" ref="U3408">index('Query Tool'!B:B,match(C3408,'Query Tool'!C:C,0))</f>
        <v>0</v>
      </c>
      <c r="V3408" s="161" t="b">
        <f>F3408&gt;='Query Tool'!C$32</f>
        <v>0</v>
      </c>
      <c r="W3408" s="161" t="b">
        <f t="array" ref="W3408">index(Dropdowns!B:B,match(I3408,Dropdowns!A:A,0))</f>
        <v>1</v>
      </c>
      <c r="X3408" s="161" t="b">
        <f t="array" ref="X3408">index('Query Tool'!B:B,match(D3408,'Query Tool'!C:C,0))</f>
        <v>1</v>
      </c>
      <c r="Y3408" s="161" t="str">
        <f t="shared" si="6"/>
        <v>vandeja01,2019-20</v>
      </c>
      <c r="Z3408" s="168" t="str">
        <f t="array" ref="Z3408">iferror(index(I:I,match($A3408&amp;","&amp;index('Year Conversion'!$A:$A,match($C3408,'Year Conversion'!$B:$B,0)),$Y:$Y,0))-I3408,"")</f>
        <v/>
      </c>
      <c r="AA3408" s="168" t="str">
        <f t="array" ref="AA3408">iferror(index(J:J,match($A3408&amp;","&amp;index('Year Conversion'!$A:$A,match($C3408,'Year Conversion'!$B:$B,0)),$Y:$Y,0))-J3408,"")</f>
        <v/>
      </c>
      <c r="AB3408" s="168" t="str">
        <f t="array" ref="AB3408">iferror(index(K:K,match($A3408&amp;","&amp;index('Year Conversion'!$A:$A,match($C3408,'Year Conversion'!$B:$B,0)),$Y:$Y,0))-K3408,"")</f>
        <v/>
      </c>
      <c r="AC3408" s="168" t="str">
        <f t="shared" si="7"/>
        <v>TOT,2019-20</v>
      </c>
    </row>
    <row r="3409">
      <c r="A3409" s="161" t="str">
        <f>IFERROR(__xludf.DUMMYFUNCTION("""COMPUTED_VALUE"""),"wagnemo01")</f>
        <v>wagnemo01</v>
      </c>
      <c r="B3409" s="161" t="str">
        <f>IFERROR(__xludf.DUMMYFUNCTION("""COMPUTED_VALUE"""),"Moritz Wagner")</f>
        <v>Moritz Wagner</v>
      </c>
      <c r="C3409" s="162" t="str">
        <f>IFERROR(__xludf.DUMMYFUNCTION("""COMPUTED_VALUE"""),"2019-20")</f>
        <v>2019-20</v>
      </c>
      <c r="D3409" s="163" t="str">
        <f>IFERROR(__xludf.DUMMYFUNCTION("""COMPUTED_VALUE"""),"WAS")</f>
        <v>WAS</v>
      </c>
      <c r="E3409" s="164" t="str">
        <f>IFERROR(__xludf.DUMMYFUNCTION("""COMPUTED_VALUE"""),"Stretch Big")</f>
        <v>Stretch Big</v>
      </c>
      <c r="F3409" s="164">
        <f>IFERROR(__xludf.DUMMYFUNCTION("""COMPUTED_VALUE"""),835.331666666667)</f>
        <v>835.3316667</v>
      </c>
      <c r="G3409" s="163">
        <f>IFERROR(__xludf.DUMMYFUNCTION("""COMPUTED_VALUE"""),45.0)</f>
        <v>45</v>
      </c>
      <c r="H3409" s="163" t="str">
        <f>IFERROR(__xludf.DUMMYFUNCTION("""COMPUTED_VALUE"""),"C")</f>
        <v>C</v>
      </c>
      <c r="I3409" s="163">
        <f>IFERROR(__xludf.DUMMYFUNCTION("""COMPUTED_VALUE"""),22.0)</f>
        <v>22</v>
      </c>
      <c r="J3409" s="165">
        <f>IFERROR(__xludf.DUMMYFUNCTION("""COMPUTED_VALUE"""),-1.64480374583445)</f>
        <v>-1.644803746</v>
      </c>
      <c r="K3409" s="165">
        <f>IFERROR(__xludf.DUMMYFUNCTION("""COMPUTED_VALUE"""),-1.92492580936147)</f>
        <v>-1.924925809</v>
      </c>
      <c r="L3409" s="165">
        <f>IFERROR(__xludf.DUMMYFUNCTION("""COMPUTED_VALUE"""),0.280122063527016)</f>
        <v>0.2801220635</v>
      </c>
      <c r="M3409" s="166">
        <f t="shared" si="2"/>
        <v>0.3649611122</v>
      </c>
      <c r="N3409" s="167">
        <f t="shared" si="3"/>
        <v>18.56292593</v>
      </c>
      <c r="O3409" s="163">
        <f t="shared" ref="O3409:Q3409" si="3413">rank(I3409,I:I)</f>
        <v>3178</v>
      </c>
      <c r="P3409" s="163">
        <f t="shared" si="3413"/>
        <v>3190</v>
      </c>
      <c r="Q3409" s="163">
        <f t="shared" si="3413"/>
        <v>3669</v>
      </c>
      <c r="R3409" s="163">
        <f>IFERROR(__xludf.DUMMYFUNCTION("RANK(M3409,filter(M:M,C:C=C3409))"),284.0)</f>
        <v>284</v>
      </c>
      <c r="S3409" s="161" t="b">
        <f t="shared" si="5"/>
        <v>0</v>
      </c>
      <c r="T3409" s="161" t="b">
        <f t="array" ref="T3409">index('Query Tool'!B:B,match(H3409,'Query Tool'!C:C,0))</f>
        <v>1</v>
      </c>
      <c r="U3409" s="161" t="b">
        <f t="array" ref="U3409">index('Query Tool'!B:B,match(C3409,'Query Tool'!C:C,0))</f>
        <v>0</v>
      </c>
      <c r="V3409" s="161" t="b">
        <f>F3409&gt;='Query Tool'!C$32</f>
        <v>1</v>
      </c>
      <c r="W3409" s="161" t="b">
        <f t="array" ref="W3409">index(Dropdowns!B:B,match(I3409,Dropdowns!A:A,0))</f>
        <v>1</v>
      </c>
      <c r="X3409" s="161" t="b">
        <f t="array" ref="X3409">index('Query Tool'!B:B,match(D3409,'Query Tool'!C:C,0))</f>
        <v>1</v>
      </c>
      <c r="Y3409" s="161" t="str">
        <f t="shared" si="6"/>
        <v>wagnemo01,2019-20</v>
      </c>
      <c r="Z3409" s="168" t="str">
        <f t="array" ref="Z3409">iferror(index(I:I,match($A3409&amp;","&amp;index('Year Conversion'!$A:$A,match($C3409,'Year Conversion'!$B:$B,0)),$Y:$Y,0))-I3409,"")</f>
        <v/>
      </c>
      <c r="AA3409" s="168" t="str">
        <f t="array" ref="AA3409">iferror(index(J:J,match($A3409&amp;","&amp;index('Year Conversion'!$A:$A,match($C3409,'Year Conversion'!$B:$B,0)),$Y:$Y,0))-J3409,"")</f>
        <v/>
      </c>
      <c r="AB3409" s="168" t="str">
        <f t="array" ref="AB3409">iferror(index(K:K,match($A3409&amp;","&amp;index('Year Conversion'!$A:$A,match($C3409,'Year Conversion'!$B:$B,0)),$Y:$Y,0))-K3409,"")</f>
        <v/>
      </c>
      <c r="AC3409" s="168" t="str">
        <f t="shared" si="7"/>
        <v>WAS,2019-20</v>
      </c>
    </row>
    <row r="3410">
      <c r="A3410" s="161" t="str">
        <f>IFERROR(__xludf.DUMMYFUNCTION("""COMPUTED_VALUE"""),"walkelo01")</f>
        <v>walkelo01</v>
      </c>
      <c r="B3410" s="161" t="str">
        <f>IFERROR(__xludf.DUMMYFUNCTION("""COMPUTED_VALUE"""),"Lonnie Walker IV")</f>
        <v>Lonnie Walker IV</v>
      </c>
      <c r="C3410" s="162" t="str">
        <f>IFERROR(__xludf.DUMMYFUNCTION("""COMPUTED_VALUE"""),"2019-20")</f>
        <v>2019-20</v>
      </c>
      <c r="D3410" s="163" t="str">
        <f>IFERROR(__xludf.DUMMYFUNCTION("""COMPUTED_VALUE"""),"SAS")</f>
        <v>SAS</v>
      </c>
      <c r="E3410" s="164" t="str">
        <f>IFERROR(__xludf.DUMMYFUNCTION("""COMPUTED_VALUE"""),"Stationary Shooter")</f>
        <v>Stationary Shooter</v>
      </c>
      <c r="F3410" s="164">
        <f>IFERROR(__xludf.DUMMYFUNCTION("""COMPUTED_VALUE"""),988.298333333333)</f>
        <v>988.2983333</v>
      </c>
      <c r="G3410" s="163">
        <f>IFERROR(__xludf.DUMMYFUNCTION("""COMPUTED_VALUE"""),61.0)</f>
        <v>61</v>
      </c>
      <c r="H3410" s="163" t="str">
        <f>IFERROR(__xludf.DUMMYFUNCTION("""COMPUTED_VALUE"""),"SG")</f>
        <v>SG</v>
      </c>
      <c r="I3410" s="163">
        <f>IFERROR(__xludf.DUMMYFUNCTION("""COMPUTED_VALUE"""),21.0)</f>
        <v>21</v>
      </c>
      <c r="J3410" s="165">
        <f>IFERROR(__xludf.DUMMYFUNCTION("""COMPUTED_VALUE"""),-2.11520213479289)</f>
        <v>-2.115202135</v>
      </c>
      <c r="K3410" s="165">
        <f>IFERROR(__xludf.DUMMYFUNCTION("""COMPUTED_VALUE"""),-1.30014882239955)</f>
        <v>-1.300148822</v>
      </c>
      <c r="L3410" s="165">
        <f>IFERROR(__xludf.DUMMYFUNCTION("""COMPUTED_VALUE"""),-0.815053312393337)</f>
        <v>-0.8150533124</v>
      </c>
      <c r="M3410" s="166">
        <f t="shared" si="2"/>
        <v>0.1229609064</v>
      </c>
      <c r="N3410" s="167">
        <f t="shared" si="3"/>
        <v>16.20161202</v>
      </c>
      <c r="O3410" s="163">
        <f t="shared" ref="O3410:Q3410" si="3414">rank(I3410,I:I)</f>
        <v>3528</v>
      </c>
      <c r="P3410" s="163">
        <f t="shared" si="3414"/>
        <v>3566</v>
      </c>
      <c r="Q3410" s="163">
        <f t="shared" si="3414"/>
        <v>3147</v>
      </c>
      <c r="R3410" s="163">
        <f>IFERROR(__xludf.DUMMYFUNCTION("RANK(M3410,filter(M:M,C:C=C3410))"),375.0)</f>
        <v>375</v>
      </c>
      <c r="S3410" s="161" t="b">
        <f t="shared" si="5"/>
        <v>0</v>
      </c>
      <c r="T3410" s="161" t="b">
        <f t="array" ref="T3410">index('Query Tool'!B:B,match(H3410,'Query Tool'!C:C,0))</f>
        <v>1</v>
      </c>
      <c r="U3410" s="161" t="b">
        <f t="array" ref="U3410">index('Query Tool'!B:B,match(C3410,'Query Tool'!C:C,0))</f>
        <v>0</v>
      </c>
      <c r="V3410" s="161" t="b">
        <f>F3410&gt;='Query Tool'!C$32</f>
        <v>1</v>
      </c>
      <c r="W3410" s="161" t="b">
        <f t="array" ref="W3410">index(Dropdowns!B:B,match(I3410,Dropdowns!A:A,0))</f>
        <v>1</v>
      </c>
      <c r="X3410" s="161" t="b">
        <f t="array" ref="X3410">index('Query Tool'!B:B,match(D3410,'Query Tool'!C:C,0))</f>
        <v>1</v>
      </c>
      <c r="Y3410" s="161" t="str">
        <f t="shared" si="6"/>
        <v>walkelo01,2019-20</v>
      </c>
      <c r="Z3410" s="168" t="str">
        <f t="array" ref="Z3410">iferror(index(I:I,match($A3410&amp;","&amp;index('Year Conversion'!$A:$A,match($C3410,'Year Conversion'!$B:$B,0)),$Y:$Y,0))-I3410,"")</f>
        <v/>
      </c>
      <c r="AA3410" s="168" t="str">
        <f t="array" ref="AA3410">iferror(index(J:J,match($A3410&amp;","&amp;index('Year Conversion'!$A:$A,match($C3410,'Year Conversion'!$B:$B,0)),$Y:$Y,0))-J3410,"")</f>
        <v/>
      </c>
      <c r="AB3410" s="168" t="str">
        <f t="array" ref="AB3410">iferror(index(K:K,match($A3410&amp;","&amp;index('Year Conversion'!$A:$A,match($C3410,'Year Conversion'!$B:$B,0)),$Y:$Y,0))-K3410,"")</f>
        <v/>
      </c>
      <c r="AC3410" s="168" t="str">
        <f t="shared" si="7"/>
        <v>SAS,2019-20</v>
      </c>
    </row>
    <row r="3411">
      <c r="A3411" s="161" t="str">
        <f>IFERROR(__xludf.DUMMYFUNCTION("""COMPUTED_VALUE"""),"washipj01")</f>
        <v>washipj01</v>
      </c>
      <c r="B3411" s="161" t="str">
        <f>IFERROR(__xludf.DUMMYFUNCTION("""COMPUTED_VALUE"""),"P.J. Washington")</f>
        <v>P.J. Washington</v>
      </c>
      <c r="C3411" s="162" t="str">
        <f>IFERROR(__xludf.DUMMYFUNCTION("""COMPUTED_VALUE"""),"2019-20")</f>
        <v>2019-20</v>
      </c>
      <c r="D3411" s="163" t="str">
        <f>IFERROR(__xludf.DUMMYFUNCTION("""COMPUTED_VALUE"""),"CHO")</f>
        <v>CHO</v>
      </c>
      <c r="E3411" s="164" t="str">
        <f>IFERROR(__xludf.DUMMYFUNCTION("""COMPUTED_VALUE"""),"Stretch Big")</f>
        <v>Stretch Big</v>
      </c>
      <c r="F3411" s="164">
        <f>IFERROR(__xludf.DUMMYFUNCTION("""COMPUTED_VALUE"""),1758.99166666667)</f>
        <v>1758.991667</v>
      </c>
      <c r="G3411" s="163">
        <f>IFERROR(__xludf.DUMMYFUNCTION("""COMPUTED_VALUE"""),58.0)</f>
        <v>58</v>
      </c>
      <c r="H3411" s="163" t="str">
        <f>IFERROR(__xludf.DUMMYFUNCTION("""COMPUTED_VALUE"""),"PF")</f>
        <v>PF</v>
      </c>
      <c r="I3411" s="163">
        <f>IFERROR(__xludf.DUMMYFUNCTION("""COMPUTED_VALUE"""),21.0)</f>
        <v>21</v>
      </c>
      <c r="J3411" s="165">
        <f>IFERROR(__xludf.DUMMYFUNCTION("""COMPUTED_VALUE"""),-2.02757176409668)</f>
        <v>-2.027571764</v>
      </c>
      <c r="K3411" s="165">
        <f>IFERROR(__xludf.DUMMYFUNCTION("""COMPUTED_VALUE"""),-2.52337122204406)</f>
        <v>-2.523371222</v>
      </c>
      <c r="L3411" s="165">
        <f>IFERROR(__xludf.DUMMYFUNCTION("""COMPUTED_VALUE"""),0.495799457947379)</f>
        <v>0.4957994579</v>
      </c>
      <c r="M3411" s="166">
        <f t="shared" si="2"/>
        <v>0.320931826</v>
      </c>
      <c r="N3411" s="167">
        <f t="shared" si="3"/>
        <v>30.32744253</v>
      </c>
      <c r="O3411" s="163">
        <f t="shared" ref="O3411:Q3411" si="3415">rank(I3411,I:I)</f>
        <v>3528</v>
      </c>
      <c r="P3411" s="163">
        <f t="shared" si="3415"/>
        <v>3501</v>
      </c>
      <c r="Q3411" s="163">
        <f t="shared" si="3415"/>
        <v>3893</v>
      </c>
      <c r="R3411" s="163">
        <f>IFERROR(__xludf.DUMMYFUNCTION("RANK(M3411,filter(M:M,C:C=C3411))"),294.0)</f>
        <v>294</v>
      </c>
      <c r="S3411" s="161" t="b">
        <f t="shared" si="5"/>
        <v>0</v>
      </c>
      <c r="T3411" s="161" t="b">
        <f t="array" ref="T3411">index('Query Tool'!B:B,match(H3411,'Query Tool'!C:C,0))</f>
        <v>1</v>
      </c>
      <c r="U3411" s="161" t="b">
        <f t="array" ref="U3411">index('Query Tool'!B:B,match(C3411,'Query Tool'!C:C,0))</f>
        <v>0</v>
      </c>
      <c r="V3411" s="161" t="b">
        <f>F3411&gt;='Query Tool'!C$32</f>
        <v>1</v>
      </c>
      <c r="W3411" s="161" t="b">
        <f t="array" ref="W3411">index(Dropdowns!B:B,match(I3411,Dropdowns!A:A,0))</f>
        <v>1</v>
      </c>
      <c r="X3411" s="161" t="b">
        <f t="array" ref="X3411">index('Query Tool'!B:B,match(D3411,'Query Tool'!C:C,0))</f>
        <v>1</v>
      </c>
      <c r="Y3411" s="161" t="str">
        <f t="shared" si="6"/>
        <v>washipj01,2019-20</v>
      </c>
      <c r="Z3411" s="168" t="str">
        <f t="array" ref="Z3411">iferror(index(I:I,match($A3411&amp;","&amp;index('Year Conversion'!$A:$A,match($C3411,'Year Conversion'!$B:$B,0)),$Y:$Y,0))-I3411,"")</f>
        <v/>
      </c>
      <c r="AA3411" s="168" t="str">
        <f t="array" ref="AA3411">iferror(index(J:J,match($A3411&amp;","&amp;index('Year Conversion'!$A:$A,match($C3411,'Year Conversion'!$B:$B,0)),$Y:$Y,0))-J3411,"")</f>
        <v/>
      </c>
      <c r="AB3411" s="168" t="str">
        <f t="array" ref="AB3411">iferror(index(K:K,match($A3411&amp;","&amp;index('Year Conversion'!$A:$A,match($C3411,'Year Conversion'!$B:$B,0)),$Y:$Y,0))-K3411,"")</f>
        <v/>
      </c>
      <c r="AC3411" s="168" t="str">
        <f t="shared" si="7"/>
        <v>CHO,2019-20</v>
      </c>
    </row>
    <row r="3412">
      <c r="A3412" s="161" t="str">
        <f>IFERROR(__xludf.DUMMYFUNCTION("""COMPUTED_VALUE"""),"willike04")</f>
        <v>willike04</v>
      </c>
      <c r="B3412" s="161" t="str">
        <f>IFERROR(__xludf.DUMMYFUNCTION("""COMPUTED_VALUE"""),"Kenrich Williams")</f>
        <v>Kenrich Williams</v>
      </c>
      <c r="C3412" s="162" t="str">
        <f>IFERROR(__xludf.DUMMYFUNCTION("""COMPUTED_VALUE"""),"2019-20")</f>
        <v>2019-20</v>
      </c>
      <c r="D3412" s="163" t="str">
        <f>IFERROR(__xludf.DUMMYFUNCTION("""COMPUTED_VALUE"""),"NOP")</f>
        <v>NOP</v>
      </c>
      <c r="E3412" s="164" t="str">
        <f>IFERROR(__xludf.DUMMYFUNCTION("""COMPUTED_VALUE"""),"Athletic Finisher")</f>
        <v>Athletic Finisher</v>
      </c>
      <c r="F3412" s="164">
        <f>IFERROR(__xludf.DUMMYFUNCTION("""COMPUTED_VALUE"""),831.881666666667)</f>
        <v>831.8816667</v>
      </c>
      <c r="G3412" s="163">
        <f>IFERROR(__xludf.DUMMYFUNCTION("""COMPUTED_VALUE"""),39.0)</f>
        <v>39</v>
      </c>
      <c r="H3412" s="163" t="str">
        <f>IFERROR(__xludf.DUMMYFUNCTION("""COMPUTED_VALUE"""),"PF")</f>
        <v>PF</v>
      </c>
      <c r="I3412" s="163">
        <f>IFERROR(__xludf.DUMMYFUNCTION("""COMPUTED_VALUE"""),25.0)</f>
        <v>25</v>
      </c>
      <c r="J3412" s="165">
        <f>IFERROR(__xludf.DUMMYFUNCTION("""COMPUTED_VALUE"""),-0.337626741967961)</f>
        <v>-0.337626742</v>
      </c>
      <c r="K3412" s="165">
        <f>IFERROR(__xludf.DUMMYFUNCTION("""COMPUTED_VALUE"""),-1.72678932248189)</f>
        <v>-1.726789322</v>
      </c>
      <c r="L3412" s="165">
        <f>IFERROR(__xludf.DUMMYFUNCTION("""COMPUTED_VALUE"""),1.38916258051393)</f>
        <v>1.389162581</v>
      </c>
      <c r="M3412" s="166">
        <f t="shared" si="2"/>
        <v>1.093157559</v>
      </c>
      <c r="N3412" s="167">
        <f t="shared" si="3"/>
        <v>21.33029915</v>
      </c>
      <c r="O3412" s="163">
        <f t="shared" ref="O3412:Q3412" si="3416">rank(I3412,I:I)</f>
        <v>1995</v>
      </c>
      <c r="P3412" s="163">
        <f t="shared" si="3416"/>
        <v>1657</v>
      </c>
      <c r="Q3412" s="163">
        <f t="shared" si="3416"/>
        <v>3536</v>
      </c>
      <c r="R3412" s="163">
        <f>IFERROR(__xludf.DUMMYFUNCTION("RANK(M3412,filter(M:M,C:C=C3412))"),207.0)</f>
        <v>207</v>
      </c>
      <c r="S3412" s="161" t="b">
        <f t="shared" si="5"/>
        <v>0</v>
      </c>
      <c r="T3412" s="161" t="b">
        <f t="array" ref="T3412">index('Query Tool'!B:B,match(H3412,'Query Tool'!C:C,0))</f>
        <v>1</v>
      </c>
      <c r="U3412" s="161" t="b">
        <f t="array" ref="U3412">index('Query Tool'!B:B,match(C3412,'Query Tool'!C:C,0))</f>
        <v>0</v>
      </c>
      <c r="V3412" s="161" t="b">
        <f>F3412&gt;='Query Tool'!C$32</f>
        <v>1</v>
      </c>
      <c r="W3412" s="161" t="b">
        <f t="array" ref="W3412">index(Dropdowns!B:B,match(I3412,Dropdowns!A:A,0))</f>
        <v>1</v>
      </c>
      <c r="X3412" s="161" t="b">
        <f t="array" ref="X3412">index('Query Tool'!B:B,match(D3412,'Query Tool'!C:C,0))</f>
        <v>1</v>
      </c>
      <c r="Y3412" s="161" t="str">
        <f t="shared" si="6"/>
        <v>willike04,2019-20</v>
      </c>
      <c r="Z3412" s="168" t="str">
        <f t="array" ref="Z3412">iferror(index(I:I,match($A3412&amp;","&amp;index('Year Conversion'!$A:$A,match($C3412,'Year Conversion'!$B:$B,0)),$Y:$Y,0))-I3412,"")</f>
        <v/>
      </c>
      <c r="AA3412" s="168" t="str">
        <f t="array" ref="AA3412">iferror(index(J:J,match($A3412&amp;","&amp;index('Year Conversion'!$A:$A,match($C3412,'Year Conversion'!$B:$B,0)),$Y:$Y,0))-J3412,"")</f>
        <v/>
      </c>
      <c r="AB3412" s="168" t="str">
        <f t="array" ref="AB3412">iferror(index(K:K,match($A3412&amp;","&amp;index('Year Conversion'!$A:$A,match($C3412,'Year Conversion'!$B:$B,0)),$Y:$Y,0))-K3412,"")</f>
        <v/>
      </c>
      <c r="AC3412" s="168" t="str">
        <f t="shared" si="7"/>
        <v>NOP,2019-20</v>
      </c>
    </row>
    <row r="3413">
      <c r="A3413" s="161" t="str">
        <f>IFERROR(__xludf.DUMMYFUNCTION("""COMPUTED_VALUE"""),"youngtr01")</f>
        <v>youngtr01</v>
      </c>
      <c r="B3413" s="161" t="str">
        <f>IFERROR(__xludf.DUMMYFUNCTION("""COMPUTED_VALUE"""),"Trae Young")</f>
        <v>Trae Young</v>
      </c>
      <c r="C3413" s="162" t="str">
        <f>IFERROR(__xludf.DUMMYFUNCTION("""COMPUTED_VALUE"""),"2019-20")</f>
        <v>2019-20</v>
      </c>
      <c r="D3413" s="163" t="str">
        <f>IFERROR(__xludf.DUMMYFUNCTION("""COMPUTED_VALUE"""),"ATL")</f>
        <v>ATL</v>
      </c>
      <c r="E3413" s="164" t="str">
        <f>IFERROR(__xludf.DUMMYFUNCTION("""COMPUTED_VALUE"""),"Primary Ball Handler")</f>
        <v>Primary Ball Handler</v>
      </c>
      <c r="F3413" s="164">
        <f>IFERROR(__xludf.DUMMYFUNCTION("""COMPUTED_VALUE"""),2120.20833333333)</f>
        <v>2120.208333</v>
      </c>
      <c r="G3413" s="163">
        <f>IFERROR(__xludf.DUMMYFUNCTION("""COMPUTED_VALUE"""),60.0)</f>
        <v>60</v>
      </c>
      <c r="H3413" s="163" t="str">
        <f>IFERROR(__xludf.DUMMYFUNCTION("""COMPUTED_VALUE"""),"PG")</f>
        <v>PG</v>
      </c>
      <c r="I3413" s="163">
        <f>IFERROR(__xludf.DUMMYFUNCTION("""COMPUTED_VALUE"""),21.0)</f>
        <v>21</v>
      </c>
      <c r="J3413" s="165">
        <f>IFERROR(__xludf.DUMMYFUNCTION("""COMPUTED_VALUE"""),1.25370229553588)</f>
        <v>1.253702296</v>
      </c>
      <c r="K3413" s="165">
        <f>IFERROR(__xludf.DUMMYFUNCTION("""COMPUTED_VALUE"""),4.82995293888336)</f>
        <v>4.829952939</v>
      </c>
      <c r="L3413" s="165">
        <f>IFERROR(__xludf.DUMMYFUNCTION("""COMPUTED_VALUE"""),-3.57625064334749)</f>
        <v>-3.576250643</v>
      </c>
      <c r="M3413" s="166">
        <f t="shared" si="2"/>
        <v>5.056822512</v>
      </c>
      <c r="N3413" s="167">
        <f t="shared" si="3"/>
        <v>35.33680556</v>
      </c>
      <c r="O3413" s="163">
        <f t="shared" ref="O3413:Q3413" si="3417">rank(I3413,I:I)</f>
        <v>3528</v>
      </c>
      <c r="P3413" s="163">
        <f t="shared" si="3417"/>
        <v>547</v>
      </c>
      <c r="Q3413" s="163">
        <f t="shared" si="3417"/>
        <v>32</v>
      </c>
      <c r="R3413" s="163">
        <f>IFERROR(__xludf.DUMMYFUNCTION("RANK(M3413,filter(M:M,C:C=C3413))"),35.0)</f>
        <v>35</v>
      </c>
      <c r="S3413" s="161" t="b">
        <f t="shared" si="5"/>
        <v>0</v>
      </c>
      <c r="T3413" s="161" t="b">
        <f t="array" ref="T3413">index('Query Tool'!B:B,match(H3413,'Query Tool'!C:C,0))</f>
        <v>1</v>
      </c>
      <c r="U3413" s="161" t="b">
        <f t="array" ref="U3413">index('Query Tool'!B:B,match(C3413,'Query Tool'!C:C,0))</f>
        <v>0</v>
      </c>
      <c r="V3413" s="161" t="b">
        <f>F3413&gt;='Query Tool'!C$32</f>
        <v>1</v>
      </c>
      <c r="W3413" s="161" t="b">
        <f t="array" ref="W3413">index(Dropdowns!B:B,match(I3413,Dropdowns!A:A,0))</f>
        <v>1</v>
      </c>
      <c r="X3413" s="161" t="b">
        <f t="array" ref="X3413">index('Query Tool'!B:B,match(D3413,'Query Tool'!C:C,0))</f>
        <v>1</v>
      </c>
      <c r="Y3413" s="161" t="str">
        <f t="shared" si="6"/>
        <v>youngtr01,2019-20</v>
      </c>
      <c r="Z3413" s="168" t="str">
        <f t="array" ref="Z3413">iferror(index(I:I,match($A3413&amp;","&amp;index('Year Conversion'!$A:$A,match($C3413,'Year Conversion'!$B:$B,0)),$Y:$Y,0))-I3413,"")</f>
        <v/>
      </c>
      <c r="AA3413" s="168" t="str">
        <f t="array" ref="AA3413">iferror(index(J:J,match($A3413&amp;","&amp;index('Year Conversion'!$A:$A,match($C3413,'Year Conversion'!$B:$B,0)),$Y:$Y,0))-J3413,"")</f>
        <v/>
      </c>
      <c r="AB3413" s="168" t="str">
        <f t="array" ref="AB3413">iferror(index(K:K,match($A3413&amp;","&amp;index('Year Conversion'!$A:$A,match($C3413,'Year Conversion'!$B:$B,0)),$Y:$Y,0))-K3413,"")</f>
        <v/>
      </c>
      <c r="AC3413" s="168" t="str">
        <f t="shared" si="7"/>
        <v>ATL,2019-20</v>
      </c>
    </row>
    <row r="3414">
      <c r="A3414" s="161" t="str">
        <f>IFERROR(__xludf.DUMMYFUNCTION("""COMPUTED_VALUE"""),"aytonde01")</f>
        <v>aytonde01</v>
      </c>
      <c r="B3414" s="161" t="str">
        <f>IFERROR(__xludf.DUMMYFUNCTION("""COMPUTED_VALUE"""),"Deandre Ayton")</f>
        <v>Deandre Ayton</v>
      </c>
      <c r="C3414" s="162" t="str">
        <f>IFERROR(__xludf.DUMMYFUNCTION("""COMPUTED_VALUE"""),"2019-20")</f>
        <v>2019-20</v>
      </c>
      <c r="D3414" s="163" t="str">
        <f>IFERROR(__xludf.DUMMYFUNCTION("""COMPUTED_VALUE"""),"PHO")</f>
        <v>PHO</v>
      </c>
      <c r="E3414" s="164" t="str">
        <f>IFERROR(__xludf.DUMMYFUNCTION("""COMPUTED_VALUE"""),"Post Scorer")</f>
        <v>Post Scorer</v>
      </c>
      <c r="F3414" s="164">
        <f>IFERROR(__xludf.DUMMYFUNCTION("""COMPUTED_VALUE"""),1236.335)</f>
        <v>1236.335</v>
      </c>
      <c r="G3414" s="163">
        <f>IFERROR(__xludf.DUMMYFUNCTION("""COMPUTED_VALUE"""),38.0)</f>
        <v>38</v>
      </c>
      <c r="H3414" s="163" t="str">
        <f>IFERROR(__xludf.DUMMYFUNCTION("""COMPUTED_VALUE"""),"C")</f>
        <v>C</v>
      </c>
      <c r="I3414" s="163">
        <f>IFERROR(__xludf.DUMMYFUNCTION("""COMPUTED_VALUE"""),21.0)</f>
        <v>21</v>
      </c>
      <c r="J3414" s="165">
        <f>IFERROR(__xludf.DUMMYFUNCTION("""COMPUTED_VALUE"""),0.70891907660357)</f>
        <v>0.7089190766</v>
      </c>
      <c r="K3414" s="165">
        <f>IFERROR(__xludf.DUMMYFUNCTION("""COMPUTED_VALUE"""),0.162652372119509)</f>
        <v>0.1626523721</v>
      </c>
      <c r="L3414" s="165">
        <f>IFERROR(__xludf.DUMMYFUNCTION("""COMPUTED_VALUE"""),0.54626670448406)</f>
        <v>0.5462667045</v>
      </c>
      <c r="M3414" s="166">
        <f t="shared" si="2"/>
        <v>2.496505657</v>
      </c>
      <c r="N3414" s="167">
        <f t="shared" si="3"/>
        <v>32.53513158</v>
      </c>
      <c r="O3414" s="163">
        <f t="shared" ref="O3414:Q3414" si="3418">rank(I3414,I:I)</f>
        <v>3528</v>
      </c>
      <c r="P3414" s="163">
        <f t="shared" si="3418"/>
        <v>791</v>
      </c>
      <c r="Q3414" s="163">
        <f t="shared" si="3418"/>
        <v>1015</v>
      </c>
      <c r="R3414" s="163">
        <f>IFERROR(__xludf.DUMMYFUNCTION("RANK(M3414,filter(M:M,C:C=C3414))"),124.0)</f>
        <v>124</v>
      </c>
      <c r="S3414" s="161" t="b">
        <f t="shared" si="5"/>
        <v>0</v>
      </c>
      <c r="T3414" s="161" t="b">
        <f t="array" ref="T3414">index('Query Tool'!B:B,match(H3414,'Query Tool'!C:C,0))</f>
        <v>1</v>
      </c>
      <c r="U3414" s="161" t="b">
        <f t="array" ref="U3414">index('Query Tool'!B:B,match(C3414,'Query Tool'!C:C,0))</f>
        <v>0</v>
      </c>
      <c r="V3414" s="161" t="b">
        <f>F3414&gt;='Query Tool'!C$32</f>
        <v>1</v>
      </c>
      <c r="W3414" s="161" t="b">
        <f t="array" ref="W3414">index(Dropdowns!B:B,match(I3414,Dropdowns!A:A,0))</f>
        <v>1</v>
      </c>
      <c r="X3414" s="161" t="b">
        <f t="array" ref="X3414">index('Query Tool'!B:B,match(D3414,'Query Tool'!C:C,0))</f>
        <v>1</v>
      </c>
      <c r="Y3414" s="161" t="str">
        <f t="shared" si="6"/>
        <v>aytonde01,2019-20</v>
      </c>
      <c r="Z3414" s="168" t="str">
        <f t="array" ref="Z3414">iferror(index(I:I,match($A3414&amp;","&amp;index('Year Conversion'!$A:$A,match($C3414,'Year Conversion'!$B:$B,0)),$Y:$Y,0))-I3414,"")</f>
        <v/>
      </c>
      <c r="AA3414" s="168" t="str">
        <f t="array" ref="AA3414">iferror(index(J:J,match($A3414&amp;","&amp;index('Year Conversion'!$A:$A,match($C3414,'Year Conversion'!$B:$B,0)),$Y:$Y,0))-J3414,"")</f>
        <v/>
      </c>
      <c r="AB3414" s="168" t="str">
        <f t="array" ref="AB3414">iferror(index(K:K,match($A3414&amp;","&amp;index('Year Conversion'!$A:$A,match($C3414,'Year Conversion'!$B:$B,0)),$Y:$Y,0))-K3414,"")</f>
        <v/>
      </c>
      <c r="AC3414" s="168" t="str">
        <f t="shared" si="7"/>
        <v>PHO,2019-20</v>
      </c>
    </row>
    <row r="3415">
      <c r="A3415" s="161" t="str">
        <f>IFERROR(__xludf.DUMMYFUNCTION("""COMPUTED_VALUE"""),"doncilu01")</f>
        <v>doncilu01</v>
      </c>
      <c r="B3415" s="161" t="str">
        <f>IFERROR(__xludf.DUMMYFUNCTION("""COMPUTED_VALUE"""),"Luka Doncic")</f>
        <v>Luka Doncic</v>
      </c>
      <c r="C3415" s="162" t="str">
        <f>IFERROR(__xludf.DUMMYFUNCTION("""COMPUTED_VALUE"""),"2019-20")</f>
        <v>2019-20</v>
      </c>
      <c r="D3415" s="163" t="str">
        <f>IFERROR(__xludf.DUMMYFUNCTION("""COMPUTED_VALUE"""),"DAL")</f>
        <v>DAL</v>
      </c>
      <c r="E3415" s="164" t="str">
        <f>IFERROR(__xludf.DUMMYFUNCTION("""COMPUTED_VALUE"""),"Shot Creator")</f>
        <v>Shot Creator</v>
      </c>
      <c r="F3415" s="164">
        <f>IFERROR(__xludf.DUMMYFUNCTION("""COMPUTED_VALUE"""),2047.245)</f>
        <v>2047.245</v>
      </c>
      <c r="G3415" s="163">
        <f>IFERROR(__xludf.DUMMYFUNCTION("""COMPUTED_VALUE"""),61.0)</f>
        <v>61</v>
      </c>
      <c r="H3415" s="163" t="str">
        <f>IFERROR(__xludf.DUMMYFUNCTION("""COMPUTED_VALUE"""),"PG")</f>
        <v>PG</v>
      </c>
      <c r="I3415" s="163">
        <f>IFERROR(__xludf.DUMMYFUNCTION("""COMPUTED_VALUE"""),20.0)</f>
        <v>20</v>
      </c>
      <c r="J3415" s="165">
        <f>IFERROR(__xludf.DUMMYFUNCTION("""COMPUTED_VALUE"""),4.81179486013589)</f>
        <v>4.81179486</v>
      </c>
      <c r="K3415" s="165">
        <f>IFERROR(__xludf.DUMMYFUNCTION("""COMPUTED_VALUE"""),5.7361666878776)</f>
        <v>5.736166688</v>
      </c>
      <c r="L3415" s="165">
        <f>IFERROR(__xludf.DUMMYFUNCTION("""COMPUTED_VALUE"""),-0.924371827741706)</f>
        <v>-0.9243718277</v>
      </c>
      <c r="M3415" s="166">
        <f t="shared" si="2"/>
        <v>9.591862158</v>
      </c>
      <c r="N3415" s="167">
        <f t="shared" si="3"/>
        <v>33.56139344</v>
      </c>
      <c r="O3415" s="163">
        <f t="shared" ref="O3415:Q3415" si="3419">rank(I3415,I:I)</f>
        <v>3770</v>
      </c>
      <c r="P3415" s="163">
        <f t="shared" si="3419"/>
        <v>56</v>
      </c>
      <c r="Q3415" s="163">
        <f t="shared" si="3419"/>
        <v>14</v>
      </c>
      <c r="R3415" s="163">
        <f>IFERROR(__xludf.DUMMYFUNCTION("RANK(M3415,filter(M:M,C:C=C3415))"),11.0)</f>
        <v>11</v>
      </c>
      <c r="S3415" s="161" t="b">
        <f t="shared" si="5"/>
        <v>0</v>
      </c>
      <c r="T3415" s="161" t="b">
        <f t="array" ref="T3415">index('Query Tool'!B:B,match(H3415,'Query Tool'!C:C,0))</f>
        <v>1</v>
      </c>
      <c r="U3415" s="161" t="b">
        <f t="array" ref="U3415">index('Query Tool'!B:B,match(C3415,'Query Tool'!C:C,0))</f>
        <v>0</v>
      </c>
      <c r="V3415" s="161" t="b">
        <f>F3415&gt;='Query Tool'!C$32</f>
        <v>1</v>
      </c>
      <c r="W3415" s="161" t="b">
        <f t="array" ref="W3415">index(Dropdowns!B:B,match(I3415,Dropdowns!A:A,0))</f>
        <v>1</v>
      </c>
      <c r="X3415" s="161" t="b">
        <f t="array" ref="X3415">index('Query Tool'!B:B,match(D3415,'Query Tool'!C:C,0))</f>
        <v>1</v>
      </c>
      <c r="Y3415" s="161" t="str">
        <f t="shared" si="6"/>
        <v>doncilu01,2019-20</v>
      </c>
      <c r="Z3415" s="168" t="str">
        <f t="array" ref="Z3415">iferror(index(I:I,match($A3415&amp;","&amp;index('Year Conversion'!$A:$A,match($C3415,'Year Conversion'!$B:$B,0)),$Y:$Y,0))-I3415,"")</f>
        <v/>
      </c>
      <c r="AA3415" s="168" t="str">
        <f t="array" ref="AA3415">iferror(index(J:J,match($A3415&amp;","&amp;index('Year Conversion'!$A:$A,match($C3415,'Year Conversion'!$B:$B,0)),$Y:$Y,0))-J3415,"")</f>
        <v/>
      </c>
      <c r="AB3415" s="168" t="str">
        <f t="array" ref="AB3415">iferror(index(K:K,match($A3415&amp;","&amp;index('Year Conversion'!$A:$A,match($C3415,'Year Conversion'!$B:$B,0)),$Y:$Y,0))-K3415,"")</f>
        <v/>
      </c>
      <c r="AC3415" s="168" t="str">
        <f t="shared" si="7"/>
        <v>DAL,2019-20</v>
      </c>
    </row>
    <row r="3416">
      <c r="A3416" s="161" t="str">
        <f>IFERROR(__xludf.DUMMYFUNCTION("""COMPUTED_VALUE"""),"pinsoth01")</f>
        <v>pinsoth01</v>
      </c>
      <c r="B3416" s="161" t="str">
        <f>IFERROR(__xludf.DUMMYFUNCTION("""COMPUTED_VALUE"""),"Theo Pinson")</f>
        <v>Theo Pinson</v>
      </c>
      <c r="C3416" s="162" t="str">
        <f>IFERROR(__xludf.DUMMYFUNCTION("""COMPUTED_VALUE"""),"2019-20")</f>
        <v>2019-20</v>
      </c>
      <c r="D3416" s="163" t="str">
        <f>IFERROR(__xludf.DUMMYFUNCTION("""COMPUTED_VALUE"""),"BRK")</f>
        <v>BRK</v>
      </c>
      <c r="E3416" s="164" t="str">
        <f>IFERROR(__xludf.DUMMYFUNCTION("""COMPUTED_VALUE"""),"Secondary Ball Handler")</f>
        <v>Secondary Ball Handler</v>
      </c>
      <c r="F3416" s="164">
        <f>IFERROR(__xludf.DUMMYFUNCTION("""COMPUTED_VALUE"""),365.411666666666)</f>
        <v>365.4116667</v>
      </c>
      <c r="G3416" s="163">
        <f>IFERROR(__xludf.DUMMYFUNCTION("""COMPUTED_VALUE"""),33.0)</f>
        <v>33</v>
      </c>
      <c r="H3416" s="163" t="str">
        <f>IFERROR(__xludf.DUMMYFUNCTION("""COMPUTED_VALUE"""),"SG")</f>
        <v>SG</v>
      </c>
      <c r="I3416" s="163">
        <f>IFERROR(__xludf.DUMMYFUNCTION("""COMPUTED_VALUE"""),24.0)</f>
        <v>24</v>
      </c>
      <c r="J3416" s="165">
        <f>IFERROR(__xludf.DUMMYFUNCTION("""COMPUTED_VALUE"""),-1.51504989986757)</f>
        <v>-1.5150499</v>
      </c>
      <c r="K3416" s="165">
        <f>IFERROR(__xludf.DUMMYFUNCTION("""COMPUTED_VALUE"""),-1.46409533127893)</f>
        <v>-1.464095331</v>
      </c>
      <c r="L3416" s="165">
        <f>IFERROR(__xludf.DUMMYFUNCTION("""COMPUTED_VALUE"""),-0.0509545685886351)</f>
        <v>-0.05095456859</v>
      </c>
      <c r="M3416" s="166">
        <f t="shared" si="2"/>
        <v>0.1912857339</v>
      </c>
      <c r="N3416" s="167">
        <f t="shared" si="3"/>
        <v>11.07308081</v>
      </c>
      <c r="O3416" s="163">
        <f t="shared" ref="O3416:Q3416" si="3420">rank(I3416,I:I)</f>
        <v>2361</v>
      </c>
      <c r="P3416" s="163">
        <f t="shared" si="3420"/>
        <v>3069</v>
      </c>
      <c r="Q3416" s="163">
        <f t="shared" si="3420"/>
        <v>3318</v>
      </c>
      <c r="R3416" s="163">
        <f>IFERROR(__xludf.DUMMYFUNCTION("RANK(M3416,filter(M:M,C:C=C3416))"),342.0)</f>
        <v>342</v>
      </c>
      <c r="S3416" s="161" t="b">
        <f t="shared" si="5"/>
        <v>0</v>
      </c>
      <c r="T3416" s="161" t="b">
        <f t="array" ref="T3416">index('Query Tool'!B:B,match(H3416,'Query Tool'!C:C,0))</f>
        <v>1</v>
      </c>
      <c r="U3416" s="161" t="b">
        <f t="array" ref="U3416">index('Query Tool'!B:B,match(C3416,'Query Tool'!C:C,0))</f>
        <v>0</v>
      </c>
      <c r="V3416" s="161" t="b">
        <f>F3416&gt;='Query Tool'!C$32</f>
        <v>0</v>
      </c>
      <c r="W3416" s="161" t="b">
        <f t="array" ref="W3416">index(Dropdowns!B:B,match(I3416,Dropdowns!A:A,0))</f>
        <v>1</v>
      </c>
      <c r="X3416" s="161" t="b">
        <f t="array" ref="X3416">index('Query Tool'!B:B,match(D3416,'Query Tool'!C:C,0))</f>
        <v>1</v>
      </c>
      <c r="Y3416" s="161" t="str">
        <f t="shared" si="6"/>
        <v>pinsoth01,2019-20</v>
      </c>
      <c r="Z3416" s="168" t="str">
        <f t="array" ref="Z3416">iferror(index(I:I,match($A3416&amp;","&amp;index('Year Conversion'!$A:$A,match($C3416,'Year Conversion'!$B:$B,0)),$Y:$Y,0))-I3416,"")</f>
        <v/>
      </c>
      <c r="AA3416" s="168" t="str">
        <f t="array" ref="AA3416">iferror(index(J:J,match($A3416&amp;","&amp;index('Year Conversion'!$A:$A,match($C3416,'Year Conversion'!$B:$B,0)),$Y:$Y,0))-J3416,"")</f>
        <v/>
      </c>
      <c r="AB3416" s="168" t="str">
        <f t="array" ref="AB3416">iferror(index(K:K,match($A3416&amp;","&amp;index('Year Conversion'!$A:$A,match($C3416,'Year Conversion'!$B:$B,0)),$Y:$Y,0))-K3416,"")</f>
        <v/>
      </c>
      <c r="AC3416" s="168" t="str">
        <f t="shared" si="7"/>
        <v>BRK,2019-20</v>
      </c>
    </row>
    <row r="3417">
      <c r="A3417" s="161" t="str">
        <f>IFERROR(__xludf.DUMMYFUNCTION("""COMPUTED_VALUE"""),"edwarca01")</f>
        <v>edwarca01</v>
      </c>
      <c r="B3417" s="161" t="str">
        <f>IFERROR(__xludf.DUMMYFUNCTION("""COMPUTED_VALUE"""),"Carsen Edwards")</f>
        <v>Carsen Edwards</v>
      </c>
      <c r="C3417" s="162" t="str">
        <f>IFERROR(__xludf.DUMMYFUNCTION("""COMPUTED_VALUE"""),"2019-20")</f>
        <v>2019-20</v>
      </c>
      <c r="D3417" s="163" t="str">
        <f>IFERROR(__xludf.DUMMYFUNCTION("""COMPUTED_VALUE"""),"BOS")</f>
        <v>BOS</v>
      </c>
      <c r="E3417" s="164" t="str">
        <f>IFERROR(__xludf.DUMMYFUNCTION("""COMPUTED_VALUE"""),"Off Screen Shooter")</f>
        <v>Off Screen Shooter</v>
      </c>
      <c r="F3417" s="164">
        <f>IFERROR(__xludf.DUMMYFUNCTION("""COMPUTED_VALUE"""),350.538333333333)</f>
        <v>350.5383333</v>
      </c>
      <c r="G3417" s="163">
        <f>IFERROR(__xludf.DUMMYFUNCTION("""COMPUTED_VALUE"""),37.0)</f>
        <v>37</v>
      </c>
      <c r="H3417" s="163" t="str">
        <f>IFERROR(__xludf.DUMMYFUNCTION("""COMPUTED_VALUE"""),"SG")</f>
        <v>SG</v>
      </c>
      <c r="I3417" s="163">
        <f>IFERROR(__xludf.DUMMYFUNCTION("""COMPUTED_VALUE"""),21.0)</f>
        <v>21</v>
      </c>
      <c r="J3417" s="165">
        <f>IFERROR(__xludf.DUMMYFUNCTION("""COMPUTED_VALUE"""),-2.44282587986272)</f>
        <v>-2.44282588</v>
      </c>
      <c r="K3417" s="165">
        <f>IFERROR(__xludf.DUMMYFUNCTION("""COMPUTED_VALUE"""),-1.23263664690341)</f>
        <v>-1.232636647</v>
      </c>
      <c r="L3417" s="165">
        <f>IFERROR(__xludf.DUMMYFUNCTION("""COMPUTED_VALUE"""),-1.21018923295932)</f>
        <v>-1.210189233</v>
      </c>
      <c r="M3417" s="166">
        <f t="shared" si="2"/>
        <v>-0.03215947783</v>
      </c>
      <c r="N3417" s="167">
        <f t="shared" si="3"/>
        <v>9.474009009</v>
      </c>
      <c r="O3417" s="163">
        <f t="shared" ref="O3417:Q3417" si="3421">rank(I3417,I:I)</f>
        <v>3528</v>
      </c>
      <c r="P3417" s="163">
        <f t="shared" si="3421"/>
        <v>3735</v>
      </c>
      <c r="Q3417" s="163">
        <f t="shared" si="3421"/>
        <v>3069</v>
      </c>
      <c r="R3417" s="163">
        <f>IFERROR(__xludf.DUMMYFUNCTION("RANK(M3417,filter(M:M,C:C=C3417))"),488.0)</f>
        <v>488</v>
      </c>
      <c r="S3417" s="161" t="b">
        <f t="shared" si="5"/>
        <v>0</v>
      </c>
      <c r="T3417" s="161" t="b">
        <f t="array" ref="T3417">index('Query Tool'!B:B,match(H3417,'Query Tool'!C:C,0))</f>
        <v>1</v>
      </c>
      <c r="U3417" s="161" t="b">
        <f t="array" ref="U3417">index('Query Tool'!B:B,match(C3417,'Query Tool'!C:C,0))</f>
        <v>0</v>
      </c>
      <c r="V3417" s="161" t="b">
        <f>F3417&gt;='Query Tool'!C$32</f>
        <v>0</v>
      </c>
      <c r="W3417" s="161" t="b">
        <f t="array" ref="W3417">index(Dropdowns!B:B,match(I3417,Dropdowns!A:A,0))</f>
        <v>1</v>
      </c>
      <c r="X3417" s="161" t="b">
        <f t="array" ref="X3417">index('Query Tool'!B:B,match(D3417,'Query Tool'!C:C,0))</f>
        <v>1</v>
      </c>
      <c r="Y3417" s="161" t="str">
        <f t="shared" si="6"/>
        <v>edwarca01,2019-20</v>
      </c>
      <c r="Z3417" s="168" t="str">
        <f t="array" ref="Z3417">iferror(index(I:I,match($A3417&amp;","&amp;index('Year Conversion'!$A:$A,match($C3417,'Year Conversion'!$B:$B,0)),$Y:$Y,0))-I3417,"")</f>
        <v/>
      </c>
      <c r="AA3417" s="168" t="str">
        <f t="array" ref="AA3417">iferror(index(J:J,match($A3417&amp;","&amp;index('Year Conversion'!$A:$A,match($C3417,'Year Conversion'!$B:$B,0)),$Y:$Y,0))-J3417,"")</f>
        <v/>
      </c>
      <c r="AB3417" s="168" t="str">
        <f t="array" ref="AB3417">iferror(index(K:K,match($A3417&amp;","&amp;index('Year Conversion'!$A:$A,match($C3417,'Year Conversion'!$B:$B,0)),$Y:$Y,0))-K3417,"")</f>
        <v/>
      </c>
      <c r="AC3417" s="168" t="str">
        <f t="shared" si="7"/>
        <v>BOS,2019-20</v>
      </c>
    </row>
    <row r="3418">
      <c r="A3418" s="161" t="str">
        <f>IFERROR(__xludf.DUMMYFUNCTION("""COMPUTED_VALUE"""),"pondssh01")</f>
        <v>pondssh01</v>
      </c>
      <c r="B3418" s="161" t="str">
        <f>IFERROR(__xludf.DUMMYFUNCTION("""COMPUTED_VALUE"""),"Shamorie Ponds")</f>
        <v>Shamorie Ponds</v>
      </c>
      <c r="C3418" s="162" t="str">
        <f>IFERROR(__xludf.DUMMYFUNCTION("""COMPUTED_VALUE"""),"2019-20")</f>
        <v>2019-20</v>
      </c>
      <c r="D3418" s="163" t="str">
        <f>IFERROR(__xludf.DUMMYFUNCTION("""COMPUTED_VALUE"""),"TOR")</f>
        <v>TOR</v>
      </c>
      <c r="E3418" s="164" t="str">
        <f>IFERROR(__xludf.DUMMYFUNCTION("""COMPUTED_VALUE"""),"Athletic Finisher")</f>
        <v>Athletic Finisher</v>
      </c>
      <c r="F3418" s="164">
        <f>IFERROR(__xludf.DUMMYFUNCTION("""COMPUTED_VALUE"""),10.5833333333333)</f>
        <v>10.58333333</v>
      </c>
      <c r="G3418" s="163">
        <f>IFERROR(__xludf.DUMMYFUNCTION("""COMPUTED_VALUE"""),4.0)</f>
        <v>4</v>
      </c>
      <c r="H3418" s="163" t="str">
        <f>IFERROR(__xludf.DUMMYFUNCTION("""COMPUTED_VALUE"""),"PG")</f>
        <v>PG</v>
      </c>
      <c r="I3418" s="163">
        <f>IFERROR(__xludf.DUMMYFUNCTION("""COMPUTED_VALUE"""),21.0)</f>
        <v>21</v>
      </c>
      <c r="J3418" s="165">
        <f>IFERROR(__xludf.DUMMYFUNCTION("""COMPUTED_VALUE"""),-0.876431422979658)</f>
        <v>-0.876431423</v>
      </c>
      <c r="K3418" s="165">
        <f>IFERROR(__xludf.DUMMYFUNCTION("""COMPUTED_VALUE"""),-0.253070082140298)</f>
        <v>-0.2530700821</v>
      </c>
      <c r="L3418" s="165">
        <f>IFERROR(__xludf.DUMMYFUNCTION("""COMPUTED_VALUE"""),-0.62336134083936)</f>
        <v>-0.6233613408</v>
      </c>
      <c r="M3418" s="166">
        <f t="shared" si="2"/>
        <v>0.01006914458</v>
      </c>
      <c r="N3418" s="167">
        <f t="shared" si="3"/>
        <v>2.645833333</v>
      </c>
      <c r="O3418" s="163">
        <f t="shared" ref="O3418:Q3418" si="3422">rank(I3418,I:I)</f>
        <v>3528</v>
      </c>
      <c r="P3418" s="163">
        <f t="shared" si="3422"/>
        <v>2372</v>
      </c>
      <c r="Q3418" s="163">
        <f t="shared" si="3422"/>
        <v>1672</v>
      </c>
      <c r="R3418" s="163">
        <f>IFERROR(__xludf.DUMMYFUNCTION("RANK(M3418,filter(M:M,C:C=C3418))"),473.0)</f>
        <v>473</v>
      </c>
      <c r="S3418" s="161" t="b">
        <f t="shared" si="5"/>
        <v>0</v>
      </c>
      <c r="T3418" s="161" t="b">
        <f t="array" ref="T3418">index('Query Tool'!B:B,match(H3418,'Query Tool'!C:C,0))</f>
        <v>1</v>
      </c>
      <c r="U3418" s="161" t="b">
        <f t="array" ref="U3418">index('Query Tool'!B:B,match(C3418,'Query Tool'!C:C,0))</f>
        <v>0</v>
      </c>
      <c r="V3418" s="161" t="b">
        <f>F3418&gt;='Query Tool'!C$32</f>
        <v>0</v>
      </c>
      <c r="W3418" s="161" t="b">
        <f t="array" ref="W3418">index(Dropdowns!B:B,match(I3418,Dropdowns!A:A,0))</f>
        <v>1</v>
      </c>
      <c r="X3418" s="161" t="b">
        <f t="array" ref="X3418">index('Query Tool'!B:B,match(D3418,'Query Tool'!C:C,0))</f>
        <v>1</v>
      </c>
      <c r="Y3418" s="161" t="str">
        <f t="shared" si="6"/>
        <v>pondssh01,2019-20</v>
      </c>
      <c r="Z3418" s="168" t="str">
        <f t="array" ref="Z3418">iferror(index(I:I,match($A3418&amp;","&amp;index('Year Conversion'!$A:$A,match($C3418,'Year Conversion'!$B:$B,0)),$Y:$Y,0))-I3418,"")</f>
        <v/>
      </c>
      <c r="AA3418" s="168" t="str">
        <f t="array" ref="AA3418">iferror(index(J:J,match($A3418&amp;","&amp;index('Year Conversion'!$A:$A,match($C3418,'Year Conversion'!$B:$B,0)),$Y:$Y,0))-J3418,"")</f>
        <v/>
      </c>
      <c r="AB3418" s="168" t="str">
        <f t="array" ref="AB3418">iferror(index(K:K,match($A3418&amp;","&amp;index('Year Conversion'!$A:$A,match($C3418,'Year Conversion'!$B:$B,0)),$Y:$Y,0))-K3418,"")</f>
        <v/>
      </c>
      <c r="AC3418" s="168" t="str">
        <f t="shared" si="7"/>
        <v>TOR,2019-20</v>
      </c>
    </row>
    <row r="3419">
      <c r="A3419" s="161" t="str">
        <f>IFERROR(__xludf.DUMMYFUNCTION("""COMPUTED_VALUE"""),"bitadgo01")</f>
        <v>bitadgo01</v>
      </c>
      <c r="B3419" s="161" t="str">
        <f>IFERROR(__xludf.DUMMYFUNCTION("""COMPUTED_VALUE"""),"Goga Bitadze")</f>
        <v>Goga Bitadze</v>
      </c>
      <c r="C3419" s="162" t="str">
        <f>IFERROR(__xludf.DUMMYFUNCTION("""COMPUTED_VALUE"""),"2019-20")</f>
        <v>2019-20</v>
      </c>
      <c r="D3419" s="163" t="str">
        <f>IFERROR(__xludf.DUMMYFUNCTION("""COMPUTED_VALUE"""),"IND")</f>
        <v>IND</v>
      </c>
      <c r="E3419" s="164" t="str">
        <f>IFERROR(__xludf.DUMMYFUNCTION("""COMPUTED_VALUE"""),"Stretch Big")</f>
        <v>Stretch Big</v>
      </c>
      <c r="F3419" s="164">
        <f>IFERROR(__xludf.DUMMYFUNCTION("""COMPUTED_VALUE"""),471.291666666667)</f>
        <v>471.2916667</v>
      </c>
      <c r="G3419" s="163">
        <f>IFERROR(__xludf.DUMMYFUNCTION("""COMPUTED_VALUE"""),54.0)</f>
        <v>54</v>
      </c>
      <c r="H3419" s="163" t="str">
        <f>IFERROR(__xludf.DUMMYFUNCTION("""COMPUTED_VALUE"""),"C")</f>
        <v>C</v>
      </c>
      <c r="I3419" s="163">
        <f>IFERROR(__xludf.DUMMYFUNCTION("""COMPUTED_VALUE"""),20.0)</f>
        <v>20</v>
      </c>
      <c r="J3419" s="165">
        <f>IFERROR(__xludf.DUMMYFUNCTION("""COMPUTED_VALUE"""),-1.47038448055508)</f>
        <v>-1.470384481</v>
      </c>
      <c r="K3419" s="165">
        <f>IFERROR(__xludf.DUMMYFUNCTION("""COMPUTED_VALUE"""),-2.31309537411282)</f>
        <v>-2.313095374</v>
      </c>
      <c r="L3419" s="165">
        <f>IFERROR(__xludf.DUMMYFUNCTION("""COMPUTED_VALUE"""),0.842710893557733)</f>
        <v>0.8427108936</v>
      </c>
      <c r="M3419" s="166">
        <f t="shared" si="2"/>
        <v>0.2607728101</v>
      </c>
      <c r="N3419" s="167">
        <f t="shared" si="3"/>
        <v>8.727623457</v>
      </c>
      <c r="O3419" s="163">
        <f t="shared" ref="O3419:Q3419" si="3423">rank(I3419,I:I)</f>
        <v>3770</v>
      </c>
      <c r="P3419" s="163">
        <f t="shared" si="3423"/>
        <v>3027</v>
      </c>
      <c r="Q3419" s="163">
        <f t="shared" si="3423"/>
        <v>3839</v>
      </c>
      <c r="R3419" s="163">
        <f>IFERROR(__xludf.DUMMYFUNCTION("RANK(M3419,filter(M:M,C:C=C3419))"),316.0)</f>
        <v>316</v>
      </c>
      <c r="S3419" s="161" t="b">
        <f t="shared" si="5"/>
        <v>0</v>
      </c>
      <c r="T3419" s="161" t="b">
        <f t="array" ref="T3419">index('Query Tool'!B:B,match(H3419,'Query Tool'!C:C,0))</f>
        <v>1</v>
      </c>
      <c r="U3419" s="161" t="b">
        <f t="array" ref="U3419">index('Query Tool'!B:B,match(C3419,'Query Tool'!C:C,0))</f>
        <v>0</v>
      </c>
      <c r="V3419" s="161" t="b">
        <f>F3419&gt;='Query Tool'!C$32</f>
        <v>0</v>
      </c>
      <c r="W3419" s="161" t="b">
        <f t="array" ref="W3419">index(Dropdowns!B:B,match(I3419,Dropdowns!A:A,0))</f>
        <v>1</v>
      </c>
      <c r="X3419" s="161" t="b">
        <f t="array" ref="X3419">index('Query Tool'!B:B,match(D3419,'Query Tool'!C:C,0))</f>
        <v>1</v>
      </c>
      <c r="Y3419" s="161" t="str">
        <f t="shared" si="6"/>
        <v>bitadgo01,2019-20</v>
      </c>
      <c r="Z3419" s="168" t="str">
        <f t="array" ref="Z3419">iferror(index(I:I,match($A3419&amp;","&amp;index('Year Conversion'!$A:$A,match($C3419,'Year Conversion'!$B:$B,0)),$Y:$Y,0))-I3419,"")</f>
        <v/>
      </c>
      <c r="AA3419" s="168" t="str">
        <f t="array" ref="AA3419">iferror(index(J:J,match($A3419&amp;","&amp;index('Year Conversion'!$A:$A,match($C3419,'Year Conversion'!$B:$B,0)),$Y:$Y,0))-J3419,"")</f>
        <v/>
      </c>
      <c r="AB3419" s="168" t="str">
        <f t="array" ref="AB3419">iferror(index(K:K,match($A3419&amp;","&amp;index('Year Conversion'!$A:$A,match($C3419,'Year Conversion'!$B:$B,0)),$Y:$Y,0))-K3419,"")</f>
        <v/>
      </c>
      <c r="AC3419" s="168" t="str">
        <f t="shared" si="7"/>
        <v>IND,2019-20</v>
      </c>
    </row>
    <row r="3420">
      <c r="A3420" s="161" t="str">
        <f>IFERROR(__xludf.DUMMYFUNCTION("""COMPUTED_VALUE"""),"brissos01")</f>
        <v>brissos01</v>
      </c>
      <c r="B3420" s="161" t="str">
        <f>IFERROR(__xludf.DUMMYFUNCTION("""COMPUTED_VALUE"""),"Oshae Brissett")</f>
        <v>Oshae Brissett</v>
      </c>
      <c r="C3420" s="162" t="str">
        <f>IFERROR(__xludf.DUMMYFUNCTION("""COMPUTED_VALUE"""),"2019-20")</f>
        <v>2019-20</v>
      </c>
      <c r="D3420" s="163" t="str">
        <f>IFERROR(__xludf.DUMMYFUNCTION("""COMPUTED_VALUE"""),"TOR")</f>
        <v>TOR</v>
      </c>
      <c r="E3420" s="164" t="str">
        <f>IFERROR(__xludf.DUMMYFUNCTION("""COMPUTED_VALUE"""),"Athletic Finisher")</f>
        <v>Athletic Finisher</v>
      </c>
      <c r="F3420" s="164">
        <f>IFERROR(__xludf.DUMMYFUNCTION("""COMPUTED_VALUE"""),135.073333333333)</f>
        <v>135.0733333</v>
      </c>
      <c r="G3420" s="163">
        <f>IFERROR(__xludf.DUMMYFUNCTION("""COMPUTED_VALUE"""),19.0)</f>
        <v>19</v>
      </c>
      <c r="H3420" s="163" t="str">
        <f>IFERROR(__xludf.DUMMYFUNCTION("""COMPUTED_VALUE"""),"SF")</f>
        <v>SF</v>
      </c>
      <c r="I3420" s="163">
        <f>IFERROR(__xludf.DUMMYFUNCTION("""COMPUTED_VALUE"""),21.0)</f>
        <v>21</v>
      </c>
      <c r="J3420" s="165">
        <f>IFERROR(__xludf.DUMMYFUNCTION("""COMPUTED_VALUE"""),-1.52726058207347)</f>
        <v>-1.527260582</v>
      </c>
      <c r="K3420" s="165">
        <f>IFERROR(__xludf.DUMMYFUNCTION("""COMPUTED_VALUE"""),-0.878635705326999)</f>
        <v>-0.8786357053</v>
      </c>
      <c r="L3420" s="165">
        <f>IFERROR(__xludf.DUMMYFUNCTION("""COMPUTED_VALUE"""),-0.648624876746471)</f>
        <v>-0.6486248767</v>
      </c>
      <c r="M3420" s="166">
        <f t="shared" si="2"/>
        <v>0.06960688946</v>
      </c>
      <c r="N3420" s="167">
        <f t="shared" si="3"/>
        <v>7.109122807</v>
      </c>
      <c r="O3420" s="163">
        <f t="shared" ref="O3420:Q3420" si="3424">rank(I3420,I:I)</f>
        <v>3528</v>
      </c>
      <c r="P3420" s="163">
        <f t="shared" si="3424"/>
        <v>3079</v>
      </c>
      <c r="Q3420" s="163">
        <f t="shared" si="3424"/>
        <v>2663</v>
      </c>
      <c r="R3420" s="163">
        <f>IFERROR(__xludf.DUMMYFUNCTION("RANK(M3420,filter(M:M,C:C=C3420))"),411.0)</f>
        <v>411</v>
      </c>
      <c r="S3420" s="161" t="b">
        <f t="shared" si="5"/>
        <v>0</v>
      </c>
      <c r="T3420" s="161" t="b">
        <f t="array" ref="T3420">index('Query Tool'!B:B,match(H3420,'Query Tool'!C:C,0))</f>
        <v>1</v>
      </c>
      <c r="U3420" s="161" t="b">
        <f t="array" ref="U3420">index('Query Tool'!B:B,match(C3420,'Query Tool'!C:C,0))</f>
        <v>0</v>
      </c>
      <c r="V3420" s="161" t="b">
        <f>F3420&gt;='Query Tool'!C$32</f>
        <v>0</v>
      </c>
      <c r="W3420" s="161" t="b">
        <f t="array" ref="W3420">index(Dropdowns!B:B,match(I3420,Dropdowns!A:A,0))</f>
        <v>1</v>
      </c>
      <c r="X3420" s="161" t="b">
        <f t="array" ref="X3420">index('Query Tool'!B:B,match(D3420,'Query Tool'!C:C,0))</f>
        <v>1</v>
      </c>
      <c r="Y3420" s="161" t="str">
        <f t="shared" si="6"/>
        <v>brissos01,2019-20</v>
      </c>
      <c r="Z3420" s="168" t="str">
        <f t="array" ref="Z3420">iferror(index(I:I,match($A3420&amp;","&amp;index('Year Conversion'!$A:$A,match($C3420,'Year Conversion'!$B:$B,0)),$Y:$Y,0))-I3420,"")</f>
        <v/>
      </c>
      <c r="AA3420" s="168" t="str">
        <f t="array" ref="AA3420">iferror(index(J:J,match($A3420&amp;","&amp;index('Year Conversion'!$A:$A,match($C3420,'Year Conversion'!$B:$B,0)),$Y:$Y,0))-J3420,"")</f>
        <v/>
      </c>
      <c r="AB3420" s="168" t="str">
        <f t="array" ref="AB3420">iferror(index(K:K,match($A3420&amp;","&amp;index('Year Conversion'!$A:$A,match($C3420,'Year Conversion'!$B:$B,0)),$Y:$Y,0))-K3420,"")</f>
        <v/>
      </c>
      <c r="AC3420" s="168" t="str">
        <f t="shared" si="7"/>
        <v>TOR,2019-20</v>
      </c>
    </row>
    <row r="3421">
      <c r="A3421" s="161" t="str">
        <f>IFERROR(__xludf.DUMMYFUNCTION("""COMPUTED_VALUE"""),"daviste02")</f>
        <v>daviste02</v>
      </c>
      <c r="B3421" s="161" t="str">
        <f>IFERROR(__xludf.DUMMYFUNCTION("""COMPUTED_VALUE"""),"Terence Davis")</f>
        <v>Terence Davis</v>
      </c>
      <c r="C3421" s="162" t="str">
        <f>IFERROR(__xludf.DUMMYFUNCTION("""COMPUTED_VALUE"""),"2019-20")</f>
        <v>2019-20</v>
      </c>
      <c r="D3421" s="163" t="str">
        <f>IFERROR(__xludf.DUMMYFUNCTION("""COMPUTED_VALUE"""),"TOR")</f>
        <v>TOR</v>
      </c>
      <c r="E3421" s="164" t="str">
        <f>IFERROR(__xludf.DUMMYFUNCTION("""COMPUTED_VALUE"""),"Movement Shooter")</f>
        <v>Movement Shooter</v>
      </c>
      <c r="F3421" s="164">
        <f>IFERROR(__xludf.DUMMYFUNCTION("""COMPUTED_VALUE"""),1209.16333333333)</f>
        <v>1209.163333</v>
      </c>
      <c r="G3421" s="163">
        <f>IFERROR(__xludf.DUMMYFUNCTION("""COMPUTED_VALUE"""),72.0)</f>
        <v>72</v>
      </c>
      <c r="H3421" s="163" t="str">
        <f>IFERROR(__xludf.DUMMYFUNCTION("""COMPUTED_VALUE"""),"SG")</f>
        <v>SG</v>
      </c>
      <c r="I3421" s="163">
        <f>IFERROR(__xludf.DUMMYFUNCTION("""COMPUTED_VALUE"""),22.0)</f>
        <v>22</v>
      </c>
      <c r="J3421" s="165">
        <f>IFERROR(__xludf.DUMMYFUNCTION("""COMPUTED_VALUE"""),-0.516975373114146)</f>
        <v>-0.5169753731</v>
      </c>
      <c r="K3421" s="165">
        <f>IFERROR(__xludf.DUMMYFUNCTION("""COMPUTED_VALUE"""),0.0591009133404409)</f>
        <v>0.05910091334</v>
      </c>
      <c r="L3421" s="165">
        <f>IFERROR(__xludf.DUMMYFUNCTION("""COMPUTED_VALUE"""),-0.576076286454587)</f>
        <v>-0.5760762865</v>
      </c>
      <c r="M3421" s="166">
        <f t="shared" si="2"/>
        <v>1.442841986</v>
      </c>
      <c r="N3421" s="167">
        <f t="shared" si="3"/>
        <v>16.79393519</v>
      </c>
      <c r="O3421" s="163">
        <f t="shared" ref="O3421:Q3421" si="3425">rank(I3421,I:I)</f>
        <v>3178</v>
      </c>
      <c r="P3421" s="163">
        <f t="shared" si="3425"/>
        <v>1879</v>
      </c>
      <c r="Q3421" s="163">
        <f t="shared" si="3425"/>
        <v>1122</v>
      </c>
      <c r="R3421" s="163">
        <f>IFERROR(__xludf.DUMMYFUNCTION("RANK(M3421,filter(M:M,C:C=C3421))"),189.0)</f>
        <v>189</v>
      </c>
      <c r="S3421" s="161" t="b">
        <f t="shared" si="5"/>
        <v>0</v>
      </c>
      <c r="T3421" s="161" t="b">
        <f t="array" ref="T3421">index('Query Tool'!B:B,match(H3421,'Query Tool'!C:C,0))</f>
        <v>1</v>
      </c>
      <c r="U3421" s="161" t="b">
        <f t="array" ref="U3421">index('Query Tool'!B:B,match(C3421,'Query Tool'!C:C,0))</f>
        <v>0</v>
      </c>
      <c r="V3421" s="161" t="b">
        <f>F3421&gt;='Query Tool'!C$32</f>
        <v>1</v>
      </c>
      <c r="W3421" s="161" t="b">
        <f t="array" ref="W3421">index(Dropdowns!B:B,match(I3421,Dropdowns!A:A,0))</f>
        <v>1</v>
      </c>
      <c r="X3421" s="161" t="b">
        <f t="array" ref="X3421">index('Query Tool'!B:B,match(D3421,'Query Tool'!C:C,0))</f>
        <v>1</v>
      </c>
      <c r="Y3421" s="161" t="str">
        <f t="shared" si="6"/>
        <v>daviste02,2019-20</v>
      </c>
      <c r="Z3421" s="168" t="str">
        <f t="array" ref="Z3421">iferror(index(I:I,match($A3421&amp;","&amp;index('Year Conversion'!$A:$A,match($C3421,'Year Conversion'!$B:$B,0)),$Y:$Y,0))-I3421,"")</f>
        <v/>
      </c>
      <c r="AA3421" s="168" t="str">
        <f t="array" ref="AA3421">iferror(index(J:J,match($A3421&amp;","&amp;index('Year Conversion'!$A:$A,match($C3421,'Year Conversion'!$B:$B,0)),$Y:$Y,0))-J3421,"")</f>
        <v/>
      </c>
      <c r="AB3421" s="168" t="str">
        <f t="array" ref="AB3421">iferror(index(K:K,match($A3421&amp;","&amp;index('Year Conversion'!$A:$A,match($C3421,'Year Conversion'!$B:$B,0)),$Y:$Y,0))-K3421,"")</f>
        <v/>
      </c>
      <c r="AC3421" s="168" t="str">
        <f t="shared" si="7"/>
        <v>TOR,2019-20</v>
      </c>
    </row>
    <row r="3422">
      <c r="A3422" s="161" t="str">
        <f>IFERROR(__xludf.DUMMYFUNCTION("""COMPUTED_VALUE"""),"williro04")</f>
        <v>williro04</v>
      </c>
      <c r="B3422" s="161" t="str">
        <f>IFERROR(__xludf.DUMMYFUNCTION("""COMPUTED_VALUE"""),"Robert Williams III")</f>
        <v>Robert Williams III</v>
      </c>
      <c r="C3422" s="162" t="str">
        <f>IFERROR(__xludf.DUMMYFUNCTION("""COMPUTED_VALUE"""),"2019-20")</f>
        <v>2019-20</v>
      </c>
      <c r="D3422" s="163" t="str">
        <f>IFERROR(__xludf.DUMMYFUNCTION("""COMPUTED_VALUE"""),"BOS")</f>
        <v>BOS</v>
      </c>
      <c r="E3422" s="164" t="str">
        <f>IFERROR(__xludf.DUMMYFUNCTION("""COMPUTED_VALUE"""),"Roll + Cut Big")</f>
        <v>Roll + Cut Big</v>
      </c>
      <c r="F3422" s="164">
        <f>IFERROR(__xludf.DUMMYFUNCTION("""COMPUTED_VALUE"""),387.773333333333)</f>
        <v>387.7733333</v>
      </c>
      <c r="G3422" s="163">
        <f>IFERROR(__xludf.DUMMYFUNCTION("""COMPUTED_VALUE"""),29.0)</f>
        <v>29</v>
      </c>
      <c r="H3422" s="163" t="str">
        <f>IFERROR(__xludf.DUMMYFUNCTION("""COMPUTED_VALUE"""),"C")</f>
        <v>C</v>
      </c>
      <c r="I3422" s="163">
        <f>IFERROR(__xludf.DUMMYFUNCTION("""COMPUTED_VALUE"""),22.0)</f>
        <v>22</v>
      </c>
      <c r="J3422" s="165">
        <f>IFERROR(__xludf.DUMMYFUNCTION("""COMPUTED_VALUE"""),1.55780077713977)</f>
        <v>1.557800777</v>
      </c>
      <c r="K3422" s="165">
        <f>IFERROR(__xludf.DUMMYFUNCTION("""COMPUTED_VALUE"""),-0.372298903131949)</f>
        <v>-0.3722989031</v>
      </c>
      <c r="L3422" s="165">
        <f>IFERROR(__xludf.DUMMYFUNCTION("""COMPUTED_VALUE"""),1.93009968027171)</f>
        <v>1.93009968</v>
      </c>
      <c r="M3422" s="166">
        <f t="shared" si="2"/>
        <v>1.003710062</v>
      </c>
      <c r="N3422" s="167">
        <f t="shared" si="3"/>
        <v>13.37149425</v>
      </c>
      <c r="O3422" s="163">
        <f t="shared" ref="O3422:Q3422" si="3426">rank(I3422,I:I)</f>
        <v>3178</v>
      </c>
      <c r="P3422" s="163">
        <f t="shared" si="3426"/>
        <v>440</v>
      </c>
      <c r="Q3422" s="163">
        <f t="shared" si="3426"/>
        <v>1899</v>
      </c>
      <c r="R3422" s="163">
        <f>IFERROR(__xludf.DUMMYFUNCTION("RANK(M3422,filter(M:M,C:C=C3422))"),212.0)</f>
        <v>212</v>
      </c>
      <c r="S3422" s="161" t="b">
        <f t="shared" si="5"/>
        <v>0</v>
      </c>
      <c r="T3422" s="161" t="b">
        <f t="array" ref="T3422">index('Query Tool'!B:B,match(H3422,'Query Tool'!C:C,0))</f>
        <v>1</v>
      </c>
      <c r="U3422" s="161" t="b">
        <f t="array" ref="U3422">index('Query Tool'!B:B,match(C3422,'Query Tool'!C:C,0))</f>
        <v>0</v>
      </c>
      <c r="V3422" s="161" t="b">
        <f>F3422&gt;='Query Tool'!C$32</f>
        <v>0</v>
      </c>
      <c r="W3422" s="161" t="b">
        <f t="array" ref="W3422">index(Dropdowns!B:B,match(I3422,Dropdowns!A:A,0))</f>
        <v>1</v>
      </c>
      <c r="X3422" s="161" t="b">
        <f t="array" ref="X3422">index('Query Tool'!B:B,match(D3422,'Query Tool'!C:C,0))</f>
        <v>1</v>
      </c>
      <c r="Y3422" s="161" t="str">
        <f t="shared" si="6"/>
        <v>williro04,2019-20</v>
      </c>
      <c r="Z3422" s="168" t="str">
        <f t="array" ref="Z3422">iferror(index(I:I,match($A3422&amp;","&amp;index('Year Conversion'!$A:$A,match($C3422,'Year Conversion'!$B:$B,0)),$Y:$Y,0))-I3422,"")</f>
        <v/>
      </c>
      <c r="AA3422" s="168" t="str">
        <f t="array" ref="AA3422">iferror(index(J:J,match($A3422&amp;","&amp;index('Year Conversion'!$A:$A,match($C3422,'Year Conversion'!$B:$B,0)),$Y:$Y,0))-J3422,"")</f>
        <v/>
      </c>
      <c r="AB3422" s="168" t="str">
        <f t="array" ref="AB3422">iferror(index(K:K,match($A3422&amp;","&amp;index('Year Conversion'!$A:$A,match($C3422,'Year Conversion'!$B:$B,0)),$Y:$Y,0))-K3422,"")</f>
        <v/>
      </c>
      <c r="AC3422" s="168" t="str">
        <f t="shared" si="7"/>
        <v>BOS,2019-20</v>
      </c>
    </row>
    <row r="3423">
      <c r="A3423" s="161" t="str">
        <f>IFERROR(__xludf.DUMMYFUNCTION("""COMPUTED_VALUE"""),"musadz01")</f>
        <v>musadz01</v>
      </c>
      <c r="B3423" s="161" t="str">
        <f>IFERROR(__xludf.DUMMYFUNCTION("""COMPUTED_VALUE"""),"Dzanan Musa")</f>
        <v>Dzanan Musa</v>
      </c>
      <c r="C3423" s="162" t="str">
        <f>IFERROR(__xludf.DUMMYFUNCTION("""COMPUTED_VALUE"""),"2019-20")</f>
        <v>2019-20</v>
      </c>
      <c r="D3423" s="163" t="str">
        <f>IFERROR(__xludf.DUMMYFUNCTION("""COMPUTED_VALUE"""),"BRK")</f>
        <v>BRK</v>
      </c>
      <c r="E3423" s="164" t="str">
        <f>IFERROR(__xludf.DUMMYFUNCTION("""COMPUTED_VALUE"""),"Secondary Ball Handler")</f>
        <v>Secondary Ball Handler</v>
      </c>
      <c r="F3423" s="164">
        <f>IFERROR(__xludf.DUMMYFUNCTION("""COMPUTED_VALUE"""),487.215)</f>
        <v>487.215</v>
      </c>
      <c r="G3423" s="163">
        <f>IFERROR(__xludf.DUMMYFUNCTION("""COMPUTED_VALUE"""),40.0)</f>
        <v>40</v>
      </c>
      <c r="H3423" s="163" t="str">
        <f>IFERROR(__xludf.DUMMYFUNCTION("""COMPUTED_VALUE"""),"SF")</f>
        <v>SF</v>
      </c>
      <c r="I3423" s="163">
        <f>IFERROR(__xludf.DUMMYFUNCTION("""COMPUTED_VALUE"""),20.0)</f>
        <v>20</v>
      </c>
      <c r="J3423" s="165">
        <f>IFERROR(__xludf.DUMMYFUNCTION("""COMPUTED_VALUE"""),-1.66729609832573)</f>
        <v>-1.667296098</v>
      </c>
      <c r="K3423" s="165">
        <f>IFERROR(__xludf.DUMMYFUNCTION("""COMPUTED_VALUE"""),-1.27381791322533)</f>
        <v>-1.273817913</v>
      </c>
      <c r="L3423" s="165">
        <f>IFERROR(__xludf.DUMMYFUNCTION("""COMPUTED_VALUE"""),-0.393478185100402)</f>
        <v>-0.3934781851</v>
      </c>
      <c r="M3423" s="166">
        <f t="shared" si="2"/>
        <v>0.2055626013</v>
      </c>
      <c r="N3423" s="167">
        <f t="shared" si="3"/>
        <v>12.180375</v>
      </c>
      <c r="O3423" s="163">
        <f t="shared" ref="O3423:Q3423" si="3427">rank(I3423,I:I)</f>
        <v>3770</v>
      </c>
      <c r="P3423" s="163">
        <f t="shared" si="3427"/>
        <v>3211</v>
      </c>
      <c r="Q3423" s="163">
        <f t="shared" si="3427"/>
        <v>3115</v>
      </c>
      <c r="R3423" s="163">
        <f>IFERROR(__xludf.DUMMYFUNCTION("RANK(M3423,filter(M:M,C:C=C3423))"),336.0)</f>
        <v>336</v>
      </c>
      <c r="S3423" s="161" t="b">
        <f t="shared" si="5"/>
        <v>0</v>
      </c>
      <c r="T3423" s="161" t="b">
        <f t="array" ref="T3423">index('Query Tool'!B:B,match(H3423,'Query Tool'!C:C,0))</f>
        <v>1</v>
      </c>
      <c r="U3423" s="161" t="b">
        <f t="array" ref="U3423">index('Query Tool'!B:B,match(C3423,'Query Tool'!C:C,0))</f>
        <v>0</v>
      </c>
      <c r="V3423" s="161" t="b">
        <f>F3423&gt;='Query Tool'!C$32</f>
        <v>0</v>
      </c>
      <c r="W3423" s="161" t="b">
        <f t="array" ref="W3423">index(Dropdowns!B:B,match(I3423,Dropdowns!A:A,0))</f>
        <v>1</v>
      </c>
      <c r="X3423" s="161" t="b">
        <f t="array" ref="X3423">index('Query Tool'!B:B,match(D3423,'Query Tool'!C:C,0))</f>
        <v>1</v>
      </c>
      <c r="Y3423" s="161" t="str">
        <f t="shared" si="6"/>
        <v>musadz01,2019-20</v>
      </c>
      <c r="Z3423" s="168" t="str">
        <f t="array" ref="Z3423">iferror(index(I:I,match($A3423&amp;","&amp;index('Year Conversion'!$A:$A,match($C3423,'Year Conversion'!$B:$B,0)),$Y:$Y,0))-I3423,"")</f>
        <v/>
      </c>
      <c r="AA3423" s="168" t="str">
        <f t="array" ref="AA3423">iferror(index(J:J,match($A3423&amp;","&amp;index('Year Conversion'!$A:$A,match($C3423,'Year Conversion'!$B:$B,0)),$Y:$Y,0))-J3423,"")</f>
        <v/>
      </c>
      <c r="AB3423" s="168" t="str">
        <f t="array" ref="AB3423">iferror(index(K:K,match($A3423&amp;","&amp;index('Year Conversion'!$A:$A,match($C3423,'Year Conversion'!$B:$B,0)),$Y:$Y,0))-K3423,"")</f>
        <v/>
      </c>
      <c r="AC3423" s="168" t="str">
        <f t="shared" si="7"/>
        <v>BRK,2019-20</v>
      </c>
    </row>
    <row r="3424">
      <c r="A3424" s="161" t="str">
        <f>IFERROR(__xludf.DUMMYFUNCTION("""COMPUTED_VALUE"""),"okoboel01")</f>
        <v>okoboel01</v>
      </c>
      <c r="B3424" s="161" t="str">
        <f>IFERROR(__xludf.DUMMYFUNCTION("""COMPUTED_VALUE"""),"Elie Okobo")</f>
        <v>Elie Okobo</v>
      </c>
      <c r="C3424" s="162" t="str">
        <f>IFERROR(__xludf.DUMMYFUNCTION("""COMPUTED_VALUE"""),"2019-20")</f>
        <v>2019-20</v>
      </c>
      <c r="D3424" s="163" t="str">
        <f>IFERROR(__xludf.DUMMYFUNCTION("""COMPUTED_VALUE"""),"PHO")</f>
        <v>PHO</v>
      </c>
      <c r="E3424" s="164" t="str">
        <f>IFERROR(__xludf.DUMMYFUNCTION("""COMPUTED_VALUE"""),"Secondary Ball Handler")</f>
        <v>Secondary Ball Handler</v>
      </c>
      <c r="F3424" s="164">
        <f>IFERROR(__xludf.DUMMYFUNCTION("""COMPUTED_VALUE"""),718.706666666667)</f>
        <v>718.7066667</v>
      </c>
      <c r="G3424" s="163">
        <f>IFERROR(__xludf.DUMMYFUNCTION("""COMPUTED_VALUE"""),55.0)</f>
        <v>55</v>
      </c>
      <c r="H3424" s="163" t="str">
        <f>IFERROR(__xludf.DUMMYFUNCTION("""COMPUTED_VALUE"""),"PG")</f>
        <v>PG</v>
      </c>
      <c r="I3424" s="163">
        <f>IFERROR(__xludf.DUMMYFUNCTION("""COMPUTED_VALUE"""),22.0)</f>
        <v>22</v>
      </c>
      <c r="J3424" s="165">
        <f>IFERROR(__xludf.DUMMYFUNCTION("""COMPUTED_VALUE"""),-1.19304996857403)</f>
        <v>-1.193049969</v>
      </c>
      <c r="K3424" s="165">
        <f>IFERROR(__xludf.DUMMYFUNCTION("""COMPUTED_VALUE"""),-0.886029119717357)</f>
        <v>-0.8860291197</v>
      </c>
      <c r="L3424" s="165">
        <f>IFERROR(__xludf.DUMMYFUNCTION("""COMPUTED_VALUE"""),-0.307020848856674)</f>
        <v>-0.3070208489</v>
      </c>
      <c r="M3424" s="166">
        <f t="shared" si="2"/>
        <v>0.5310604119</v>
      </c>
      <c r="N3424" s="167">
        <f t="shared" si="3"/>
        <v>13.06739394</v>
      </c>
      <c r="O3424" s="163">
        <f t="shared" ref="O3424:Q3424" si="3428">rank(I3424,I:I)</f>
        <v>3178</v>
      </c>
      <c r="P3424" s="163">
        <f t="shared" si="3428"/>
        <v>2736</v>
      </c>
      <c r="Q3424" s="163">
        <f t="shared" si="3428"/>
        <v>2674</v>
      </c>
      <c r="R3424" s="163">
        <f>IFERROR(__xludf.DUMMYFUNCTION("RANK(M3424,filter(M:M,C:C=C3424))"),256.0)</f>
        <v>256</v>
      </c>
      <c r="S3424" s="161" t="b">
        <f t="shared" si="5"/>
        <v>0</v>
      </c>
      <c r="T3424" s="161" t="b">
        <f t="array" ref="T3424">index('Query Tool'!B:B,match(H3424,'Query Tool'!C:C,0))</f>
        <v>1</v>
      </c>
      <c r="U3424" s="161" t="b">
        <f t="array" ref="U3424">index('Query Tool'!B:B,match(C3424,'Query Tool'!C:C,0))</f>
        <v>0</v>
      </c>
      <c r="V3424" s="161" t="b">
        <f>F3424&gt;='Query Tool'!C$32</f>
        <v>1</v>
      </c>
      <c r="W3424" s="161" t="b">
        <f t="array" ref="W3424">index(Dropdowns!B:B,match(I3424,Dropdowns!A:A,0))</f>
        <v>1</v>
      </c>
      <c r="X3424" s="161" t="b">
        <f t="array" ref="X3424">index('Query Tool'!B:B,match(D3424,'Query Tool'!C:C,0))</f>
        <v>1</v>
      </c>
      <c r="Y3424" s="161" t="str">
        <f t="shared" si="6"/>
        <v>okoboel01,2019-20</v>
      </c>
      <c r="Z3424" s="168" t="str">
        <f t="array" ref="Z3424">iferror(index(I:I,match($A3424&amp;","&amp;index('Year Conversion'!$A:$A,match($C3424,'Year Conversion'!$B:$B,0)),$Y:$Y,0))-I3424,"")</f>
        <v/>
      </c>
      <c r="AA3424" s="168" t="str">
        <f t="array" ref="AA3424">iferror(index(J:J,match($A3424&amp;","&amp;index('Year Conversion'!$A:$A,match($C3424,'Year Conversion'!$B:$B,0)),$Y:$Y,0))-J3424,"")</f>
        <v/>
      </c>
      <c r="AB3424" s="168" t="str">
        <f t="array" ref="AB3424">iferror(index(K:K,match($A3424&amp;","&amp;index('Year Conversion'!$A:$A,match($C3424,'Year Conversion'!$B:$B,0)),$Y:$Y,0))-K3424,"")</f>
        <v/>
      </c>
      <c r="AC3424" s="168" t="str">
        <f t="shared" si="7"/>
        <v>PHO,2019-20</v>
      </c>
    </row>
    <row r="3425">
      <c r="A3425" s="161" t="str">
        <f>IFERROR(__xludf.DUMMYFUNCTION("""COMPUTED_VALUE"""),"hachiru01")</f>
        <v>hachiru01</v>
      </c>
      <c r="B3425" s="161" t="str">
        <f>IFERROR(__xludf.DUMMYFUNCTION("""COMPUTED_VALUE"""),"Rui Hachimura")</f>
        <v>Rui Hachimura</v>
      </c>
      <c r="C3425" s="162" t="str">
        <f>IFERROR(__xludf.DUMMYFUNCTION("""COMPUTED_VALUE"""),"2019-20")</f>
        <v>2019-20</v>
      </c>
      <c r="D3425" s="163" t="str">
        <f>IFERROR(__xludf.DUMMYFUNCTION("""COMPUTED_VALUE"""),"WAS")</f>
        <v>WAS</v>
      </c>
      <c r="E3425" s="164" t="str">
        <f>IFERROR(__xludf.DUMMYFUNCTION("""COMPUTED_VALUE"""),"Roll + Cut Big")</f>
        <v>Roll + Cut Big</v>
      </c>
      <c r="F3425" s="164">
        <f>IFERROR(__xludf.DUMMYFUNCTION("""COMPUTED_VALUE"""),1444.03166666667)</f>
        <v>1444.031667</v>
      </c>
      <c r="G3425" s="163">
        <f>IFERROR(__xludf.DUMMYFUNCTION("""COMPUTED_VALUE"""),48.0)</f>
        <v>48</v>
      </c>
      <c r="H3425" s="163" t="str">
        <f>IFERROR(__xludf.DUMMYFUNCTION("""COMPUTED_VALUE"""),"PF")</f>
        <v>PF</v>
      </c>
      <c r="I3425" s="163">
        <f>IFERROR(__xludf.DUMMYFUNCTION("""COMPUTED_VALUE"""),21.0)</f>
        <v>21</v>
      </c>
      <c r="J3425" s="165">
        <f>IFERROR(__xludf.DUMMYFUNCTION("""COMPUTED_VALUE"""),-2.33947953984586)</f>
        <v>-2.33947954</v>
      </c>
      <c r="K3425" s="165">
        <f>IFERROR(__xludf.DUMMYFUNCTION("""COMPUTED_VALUE"""),-1.5344518564464)</f>
        <v>-1.534451856</v>
      </c>
      <c r="L3425" s="165">
        <f>IFERROR(__xludf.DUMMYFUNCTION("""COMPUTED_VALUE"""),-0.805027683399457)</f>
        <v>-0.8050276834</v>
      </c>
      <c r="M3425" s="166">
        <f t="shared" si="2"/>
        <v>-0.03422727821</v>
      </c>
      <c r="N3425" s="167">
        <f t="shared" si="3"/>
        <v>30.08399306</v>
      </c>
      <c r="O3425" s="163">
        <f t="shared" ref="O3425:Q3425" si="3429">rank(I3425,I:I)</f>
        <v>3528</v>
      </c>
      <c r="P3425" s="163">
        <f t="shared" si="3429"/>
        <v>3678</v>
      </c>
      <c r="Q3425" s="163">
        <f t="shared" si="3429"/>
        <v>3391</v>
      </c>
      <c r="R3425" s="163">
        <f>IFERROR(__xludf.DUMMYFUNCTION("RANK(M3425,filter(M:M,C:C=C3425))"),489.0)</f>
        <v>489</v>
      </c>
      <c r="S3425" s="161" t="b">
        <f t="shared" si="5"/>
        <v>0</v>
      </c>
      <c r="T3425" s="161" t="b">
        <f t="array" ref="T3425">index('Query Tool'!B:B,match(H3425,'Query Tool'!C:C,0))</f>
        <v>1</v>
      </c>
      <c r="U3425" s="161" t="b">
        <f t="array" ref="U3425">index('Query Tool'!B:B,match(C3425,'Query Tool'!C:C,0))</f>
        <v>0</v>
      </c>
      <c r="V3425" s="161" t="b">
        <f>F3425&gt;='Query Tool'!C$32</f>
        <v>1</v>
      </c>
      <c r="W3425" s="161" t="b">
        <f t="array" ref="W3425">index(Dropdowns!B:B,match(I3425,Dropdowns!A:A,0))</f>
        <v>1</v>
      </c>
      <c r="X3425" s="161" t="b">
        <f t="array" ref="X3425">index('Query Tool'!B:B,match(D3425,'Query Tool'!C:C,0))</f>
        <v>1</v>
      </c>
      <c r="Y3425" s="161" t="str">
        <f t="shared" si="6"/>
        <v>hachiru01,2019-20</v>
      </c>
      <c r="Z3425" s="168" t="str">
        <f t="array" ref="Z3425">iferror(index(I:I,match($A3425&amp;","&amp;index('Year Conversion'!$A:$A,match($C3425,'Year Conversion'!$B:$B,0)),$Y:$Y,0))-I3425,"")</f>
        <v/>
      </c>
      <c r="AA3425" s="168" t="str">
        <f t="array" ref="AA3425">iferror(index(J:J,match($A3425&amp;","&amp;index('Year Conversion'!$A:$A,match($C3425,'Year Conversion'!$B:$B,0)),$Y:$Y,0))-J3425,"")</f>
        <v/>
      </c>
      <c r="AB3425" s="168" t="str">
        <f t="array" ref="AB3425">iferror(index(K:K,match($A3425&amp;","&amp;index('Year Conversion'!$A:$A,match($C3425,'Year Conversion'!$B:$B,0)),$Y:$Y,0))-K3425,"")</f>
        <v/>
      </c>
      <c r="AC3425" s="168" t="str">
        <f t="shared" si="7"/>
        <v>WAS,2019-20</v>
      </c>
    </row>
    <row r="3426">
      <c r="A3426" s="161" t="str">
        <f>IFERROR(__xludf.DUMMYFUNCTION("""COMPUTED_VALUE"""),"bowmaky01")</f>
        <v>bowmaky01</v>
      </c>
      <c r="B3426" s="161" t="str">
        <f>IFERROR(__xludf.DUMMYFUNCTION("""COMPUTED_VALUE"""),"Ky Bowman")</f>
        <v>Ky Bowman</v>
      </c>
      <c r="C3426" s="162" t="str">
        <f>IFERROR(__xludf.DUMMYFUNCTION("""COMPUTED_VALUE"""),"2019-20")</f>
        <v>2019-20</v>
      </c>
      <c r="D3426" s="163" t="str">
        <f>IFERROR(__xludf.DUMMYFUNCTION("""COMPUTED_VALUE"""),"GSW")</f>
        <v>GSW</v>
      </c>
      <c r="E3426" s="164" t="str">
        <f>IFERROR(__xludf.DUMMYFUNCTION("""COMPUTED_VALUE"""),"Primary Ball Handler")</f>
        <v>Primary Ball Handler</v>
      </c>
      <c r="F3426" s="164">
        <f>IFERROR(__xludf.DUMMYFUNCTION("""COMPUTED_VALUE"""),1015.18666666667)</f>
        <v>1015.186667</v>
      </c>
      <c r="G3426" s="163">
        <f>IFERROR(__xludf.DUMMYFUNCTION("""COMPUTED_VALUE"""),45.0)</f>
        <v>45</v>
      </c>
      <c r="H3426" s="163" t="str">
        <f>IFERROR(__xludf.DUMMYFUNCTION("""COMPUTED_VALUE"""),"PG")</f>
        <v>PG</v>
      </c>
      <c r="I3426" s="163">
        <f>IFERROR(__xludf.DUMMYFUNCTION("""COMPUTED_VALUE"""),22.0)</f>
        <v>22</v>
      </c>
      <c r="J3426" s="165">
        <f>IFERROR(__xludf.DUMMYFUNCTION("""COMPUTED_VALUE"""),-2.73159925990632)</f>
        <v>-2.73159926</v>
      </c>
      <c r="K3426" s="165">
        <f>IFERROR(__xludf.DUMMYFUNCTION("""COMPUTED_VALUE"""),-2.8531481591689)</f>
        <v>-2.853148159</v>
      </c>
      <c r="L3426" s="165">
        <f>IFERROR(__xludf.DUMMYFUNCTION("""COMPUTED_VALUE"""),0.12154889926258)</f>
        <v>0.1215488993</v>
      </c>
      <c r="M3426" s="166">
        <f t="shared" si="2"/>
        <v>-0.2853631789</v>
      </c>
      <c r="N3426" s="167">
        <f t="shared" si="3"/>
        <v>22.5597037</v>
      </c>
      <c r="O3426" s="163">
        <f t="shared" ref="O3426:Q3426" si="3430">rank(I3426,I:I)</f>
        <v>3178</v>
      </c>
      <c r="P3426" s="163">
        <f t="shared" si="3430"/>
        <v>3824</v>
      </c>
      <c r="Q3426" s="163">
        <f t="shared" si="3430"/>
        <v>3961</v>
      </c>
      <c r="R3426" s="163">
        <f>IFERROR(__xludf.DUMMYFUNCTION("RANK(M3426,filter(M:M,C:C=C3426))"),504.0)</f>
        <v>504</v>
      </c>
      <c r="S3426" s="161" t="b">
        <f t="shared" si="5"/>
        <v>0</v>
      </c>
      <c r="T3426" s="161" t="b">
        <f t="array" ref="T3426">index('Query Tool'!B:B,match(H3426,'Query Tool'!C:C,0))</f>
        <v>1</v>
      </c>
      <c r="U3426" s="161" t="b">
        <f t="array" ref="U3426">index('Query Tool'!B:B,match(C3426,'Query Tool'!C:C,0))</f>
        <v>0</v>
      </c>
      <c r="V3426" s="161" t="b">
        <f>F3426&gt;='Query Tool'!C$32</f>
        <v>1</v>
      </c>
      <c r="W3426" s="161" t="b">
        <f t="array" ref="W3426">index(Dropdowns!B:B,match(I3426,Dropdowns!A:A,0))</f>
        <v>1</v>
      </c>
      <c r="X3426" s="161" t="b">
        <f t="array" ref="X3426">index('Query Tool'!B:B,match(D3426,'Query Tool'!C:C,0))</f>
        <v>1</v>
      </c>
      <c r="Y3426" s="161" t="str">
        <f t="shared" si="6"/>
        <v>bowmaky01,2019-20</v>
      </c>
      <c r="Z3426" s="168" t="str">
        <f t="array" ref="Z3426">iferror(index(I:I,match($A3426&amp;","&amp;index('Year Conversion'!$A:$A,match($C3426,'Year Conversion'!$B:$B,0)),$Y:$Y,0))-I3426,"")</f>
        <v/>
      </c>
      <c r="AA3426" s="168" t="str">
        <f t="array" ref="AA3426">iferror(index(J:J,match($A3426&amp;","&amp;index('Year Conversion'!$A:$A,match($C3426,'Year Conversion'!$B:$B,0)),$Y:$Y,0))-J3426,"")</f>
        <v/>
      </c>
      <c r="AB3426" s="168" t="str">
        <f t="array" ref="AB3426">iferror(index(K:K,match($A3426&amp;","&amp;index('Year Conversion'!$A:$A,match($C3426,'Year Conversion'!$B:$B,0)),$Y:$Y,0))-K3426,"")</f>
        <v/>
      </c>
      <c r="AC3426" s="168" t="str">
        <f t="shared" si="7"/>
        <v>GSW,2019-20</v>
      </c>
    </row>
    <row r="3427">
      <c r="A3427" s="161" t="str">
        <f>IFERROR(__xludf.DUMMYFUNCTION("""COMPUTED_VALUE"""),"kurucro01")</f>
        <v>kurucro01</v>
      </c>
      <c r="B3427" s="161" t="str">
        <f>IFERROR(__xludf.DUMMYFUNCTION("""COMPUTED_VALUE"""),"Rodions Kurucs")</f>
        <v>Rodions Kurucs</v>
      </c>
      <c r="C3427" s="162" t="str">
        <f>IFERROR(__xludf.DUMMYFUNCTION("""COMPUTED_VALUE"""),"2019-20")</f>
        <v>2019-20</v>
      </c>
      <c r="D3427" s="163" t="str">
        <f>IFERROR(__xludf.DUMMYFUNCTION("""COMPUTED_VALUE"""),"BRK")</f>
        <v>BRK</v>
      </c>
      <c r="E3427" s="164" t="str">
        <f>IFERROR(__xludf.DUMMYFUNCTION("""COMPUTED_VALUE"""),"Athletic Finisher")</f>
        <v>Athletic Finisher</v>
      </c>
      <c r="F3427" s="164">
        <f>IFERROR(__xludf.DUMMYFUNCTION("""COMPUTED_VALUE"""),683.525)</f>
        <v>683.525</v>
      </c>
      <c r="G3427" s="163">
        <f>IFERROR(__xludf.DUMMYFUNCTION("""COMPUTED_VALUE"""),47.0)</f>
        <v>47</v>
      </c>
      <c r="H3427" s="163" t="str">
        <f>IFERROR(__xludf.DUMMYFUNCTION("""COMPUTED_VALUE"""),"PF")</f>
        <v>PF</v>
      </c>
      <c r="I3427" s="163">
        <f>IFERROR(__xludf.DUMMYFUNCTION("""COMPUTED_VALUE"""),21.0)</f>
        <v>21</v>
      </c>
      <c r="J3427" s="165">
        <f>IFERROR(__xludf.DUMMYFUNCTION("""COMPUTED_VALUE"""),-2.29635463408827)</f>
        <v>-2.296354634</v>
      </c>
      <c r="K3427" s="165">
        <f>IFERROR(__xludf.DUMMYFUNCTION("""COMPUTED_VALUE"""),-2.55850425972137)</f>
        <v>-2.55850426</v>
      </c>
      <c r="L3427" s="165">
        <f>IFERROR(__xludf.DUMMYFUNCTION("""COMPUTED_VALUE"""),0.262149625633104)</f>
        <v>0.2621496256</v>
      </c>
      <c r="M3427" s="166">
        <f t="shared" si="2"/>
        <v>0.003233304982</v>
      </c>
      <c r="N3427" s="167">
        <f t="shared" si="3"/>
        <v>14.54308511</v>
      </c>
      <c r="O3427" s="163">
        <f t="shared" ref="O3427:Q3427" si="3431">rank(I3427,I:I)</f>
        <v>3528</v>
      </c>
      <c r="P3427" s="163">
        <f t="shared" si="3431"/>
        <v>3656</v>
      </c>
      <c r="Q3427" s="163">
        <f t="shared" si="3431"/>
        <v>3904</v>
      </c>
      <c r="R3427" s="163">
        <f>IFERROR(__xludf.DUMMYFUNCTION("RANK(M3427,filter(M:M,C:C=C3427))"),481.0)</f>
        <v>481</v>
      </c>
      <c r="S3427" s="161" t="b">
        <f t="shared" si="5"/>
        <v>0</v>
      </c>
      <c r="T3427" s="161" t="b">
        <f t="array" ref="T3427">index('Query Tool'!B:B,match(H3427,'Query Tool'!C:C,0))</f>
        <v>1</v>
      </c>
      <c r="U3427" s="161" t="b">
        <f t="array" ref="U3427">index('Query Tool'!B:B,match(C3427,'Query Tool'!C:C,0))</f>
        <v>0</v>
      </c>
      <c r="V3427" s="161" t="b">
        <f>F3427&gt;='Query Tool'!C$32</f>
        <v>1</v>
      </c>
      <c r="W3427" s="161" t="b">
        <f t="array" ref="W3427">index(Dropdowns!B:B,match(I3427,Dropdowns!A:A,0))</f>
        <v>1</v>
      </c>
      <c r="X3427" s="161" t="b">
        <f t="array" ref="X3427">index('Query Tool'!B:B,match(D3427,'Query Tool'!C:C,0))</f>
        <v>1</v>
      </c>
      <c r="Y3427" s="161" t="str">
        <f t="shared" si="6"/>
        <v>kurucro01,2019-20</v>
      </c>
      <c r="Z3427" s="168" t="str">
        <f t="array" ref="Z3427">iferror(index(I:I,match($A3427&amp;","&amp;index('Year Conversion'!$A:$A,match($C3427,'Year Conversion'!$B:$B,0)),$Y:$Y,0))-I3427,"")</f>
        <v/>
      </c>
      <c r="AA3427" s="168" t="str">
        <f t="array" ref="AA3427">iferror(index(J:J,match($A3427&amp;","&amp;index('Year Conversion'!$A:$A,match($C3427,'Year Conversion'!$B:$B,0)),$Y:$Y,0))-J3427,"")</f>
        <v/>
      </c>
      <c r="AB3427" s="168" t="str">
        <f t="array" ref="AB3427">iferror(index(K:K,match($A3427&amp;","&amp;index('Year Conversion'!$A:$A,match($C3427,'Year Conversion'!$B:$B,0)),$Y:$Y,0))-K3427,"")</f>
        <v/>
      </c>
      <c r="AC3427" s="168" t="str">
        <f t="shared" si="7"/>
        <v>BRK,2019-20</v>
      </c>
    </row>
    <row r="3428">
      <c r="A3428" s="161" t="str">
        <f>IFERROR(__xludf.DUMMYFUNCTION("""COMPUTED_VALUE"""),"bongais01")</f>
        <v>bongais01</v>
      </c>
      <c r="B3428" s="161" t="str">
        <f>IFERROR(__xludf.DUMMYFUNCTION("""COMPUTED_VALUE"""),"Isaac Bonga")</f>
        <v>Isaac Bonga</v>
      </c>
      <c r="C3428" s="162" t="str">
        <f>IFERROR(__xludf.DUMMYFUNCTION("""COMPUTED_VALUE"""),"2019-20")</f>
        <v>2019-20</v>
      </c>
      <c r="D3428" s="163" t="str">
        <f>IFERROR(__xludf.DUMMYFUNCTION("""COMPUTED_VALUE"""),"WAS")</f>
        <v>WAS</v>
      </c>
      <c r="E3428" s="164" t="str">
        <f>IFERROR(__xludf.DUMMYFUNCTION("""COMPUTED_VALUE"""),"Athletic Finisher")</f>
        <v>Athletic Finisher</v>
      </c>
      <c r="F3428" s="164">
        <f>IFERROR(__xludf.DUMMYFUNCTION("""COMPUTED_VALUE"""),1249.65166666667)</f>
        <v>1249.651667</v>
      </c>
      <c r="G3428" s="163">
        <f>IFERROR(__xludf.DUMMYFUNCTION("""COMPUTED_VALUE"""),66.0)</f>
        <v>66</v>
      </c>
      <c r="H3428" s="163" t="str">
        <f>IFERROR(__xludf.DUMMYFUNCTION("""COMPUTED_VALUE"""),"SF")</f>
        <v>SF</v>
      </c>
      <c r="I3428" s="163">
        <f>IFERROR(__xludf.DUMMYFUNCTION("""COMPUTED_VALUE"""),20.0)</f>
        <v>20</v>
      </c>
      <c r="J3428" s="165">
        <f>IFERROR(__xludf.DUMMYFUNCTION("""COMPUTED_VALUE"""),-0.43170889161215)</f>
        <v>-0.4317088916</v>
      </c>
      <c r="K3428" s="165">
        <f>IFERROR(__xludf.DUMMYFUNCTION("""COMPUTED_VALUE"""),-2.06522342249855)</f>
        <v>-2.065223422</v>
      </c>
      <c r="L3428" s="165">
        <f>IFERROR(__xludf.DUMMYFUNCTION("""COMPUTED_VALUE"""),1.6335145308864)</f>
        <v>1.633514531</v>
      </c>
      <c r="M3428" s="166">
        <f t="shared" si="2"/>
        <v>1.56292467</v>
      </c>
      <c r="N3428" s="167">
        <f t="shared" si="3"/>
        <v>18.93411616</v>
      </c>
      <c r="O3428" s="163">
        <f t="shared" ref="O3428:Q3428" si="3432">rank(I3428,I:I)</f>
        <v>3770</v>
      </c>
      <c r="P3428" s="163">
        <f t="shared" si="3432"/>
        <v>1760</v>
      </c>
      <c r="Q3428" s="163">
        <f t="shared" si="3432"/>
        <v>3743</v>
      </c>
      <c r="R3428" s="163">
        <f>IFERROR(__xludf.DUMMYFUNCTION("RANK(M3428,filter(M:M,C:C=C3428))"),181.0)</f>
        <v>181</v>
      </c>
      <c r="S3428" s="161" t="b">
        <f t="shared" si="5"/>
        <v>0</v>
      </c>
      <c r="T3428" s="161" t="b">
        <f t="array" ref="T3428">index('Query Tool'!B:B,match(H3428,'Query Tool'!C:C,0))</f>
        <v>1</v>
      </c>
      <c r="U3428" s="161" t="b">
        <f t="array" ref="U3428">index('Query Tool'!B:B,match(C3428,'Query Tool'!C:C,0))</f>
        <v>0</v>
      </c>
      <c r="V3428" s="161" t="b">
        <f>F3428&gt;='Query Tool'!C$32</f>
        <v>1</v>
      </c>
      <c r="W3428" s="161" t="b">
        <f t="array" ref="W3428">index(Dropdowns!B:B,match(I3428,Dropdowns!A:A,0))</f>
        <v>1</v>
      </c>
      <c r="X3428" s="161" t="b">
        <f t="array" ref="X3428">index('Query Tool'!B:B,match(D3428,'Query Tool'!C:C,0))</f>
        <v>1</v>
      </c>
      <c r="Y3428" s="161" t="str">
        <f t="shared" si="6"/>
        <v>bongais01,2019-20</v>
      </c>
      <c r="Z3428" s="168" t="str">
        <f t="array" ref="Z3428">iferror(index(I:I,match($A3428&amp;","&amp;index('Year Conversion'!$A:$A,match($C3428,'Year Conversion'!$B:$B,0)),$Y:$Y,0))-I3428,"")</f>
        <v/>
      </c>
      <c r="AA3428" s="168" t="str">
        <f t="array" ref="AA3428">iferror(index(J:J,match($A3428&amp;","&amp;index('Year Conversion'!$A:$A,match($C3428,'Year Conversion'!$B:$B,0)),$Y:$Y,0))-J3428,"")</f>
        <v/>
      </c>
      <c r="AB3428" s="168" t="str">
        <f t="array" ref="AB3428">iferror(index(K:K,match($A3428&amp;","&amp;index('Year Conversion'!$A:$A,match($C3428,'Year Conversion'!$B:$B,0)),$Y:$Y,0))-K3428,"")</f>
        <v/>
      </c>
      <c r="AC3428" s="168" t="str">
        <f t="shared" si="7"/>
        <v>WAS,2019-20</v>
      </c>
    </row>
    <row r="3429">
      <c r="A3429" s="161" t="str">
        <f>IFERROR(__xludf.DUMMYFUNCTION("""COMPUTED_VALUE"""),"cookty01")</f>
        <v>cookty01</v>
      </c>
      <c r="B3429" s="161" t="str">
        <f>IFERROR(__xludf.DUMMYFUNCTION("""COMPUTED_VALUE"""),"Tyler Cook")</f>
        <v>Tyler Cook</v>
      </c>
      <c r="C3429" s="162" t="str">
        <f>IFERROR(__xludf.DUMMYFUNCTION("""COMPUTED_VALUE"""),"2019-20")</f>
        <v>2019-20</v>
      </c>
      <c r="D3429" s="163" t="str">
        <f>IFERROR(__xludf.DUMMYFUNCTION("""COMPUTED_VALUE"""),"TOT")</f>
        <v>TOT</v>
      </c>
      <c r="E3429" s="164" t="str">
        <f>IFERROR(__xludf.DUMMYFUNCTION("""COMPUTED_VALUE"""),"Post Scorer")</f>
        <v>Post Scorer</v>
      </c>
      <c r="F3429" s="164">
        <f>IFERROR(__xludf.DUMMYFUNCTION("""COMPUTED_VALUE"""),54.0716666666666)</f>
        <v>54.07166667</v>
      </c>
      <c r="G3429" s="163">
        <f>IFERROR(__xludf.DUMMYFUNCTION("""COMPUTED_VALUE"""),13.0)</f>
        <v>13</v>
      </c>
      <c r="H3429" s="163" t="str">
        <f>IFERROR(__xludf.DUMMYFUNCTION("""COMPUTED_VALUE"""),"PF-SF")</f>
        <v>PF-SF</v>
      </c>
      <c r="I3429" s="163">
        <f>IFERROR(__xludf.DUMMYFUNCTION("""COMPUTED_VALUE"""),22.0)</f>
        <v>22</v>
      </c>
      <c r="J3429" s="165">
        <f>IFERROR(__xludf.DUMMYFUNCTION("""COMPUTED_VALUE"""),0.125131841852465)</f>
        <v>0.1251318419</v>
      </c>
      <c r="K3429" s="165">
        <f>IFERROR(__xludf.DUMMYFUNCTION("""COMPUTED_VALUE"""),-0.122192715942808)</f>
        <v>-0.1221927159</v>
      </c>
      <c r="L3429" s="165">
        <f>IFERROR(__xludf.DUMMYFUNCTION("""COMPUTED_VALUE"""),0.247324557795272)</f>
        <v>0.2473245578</v>
      </c>
      <c r="M3429" s="166">
        <f t="shared" si="2"/>
        <v>0.087922014</v>
      </c>
      <c r="N3429" s="167">
        <f t="shared" si="3"/>
        <v>4.159358974</v>
      </c>
      <c r="O3429" s="163">
        <f t="shared" ref="O3429:Q3429" si="3433">rank(I3429,I:I)</f>
        <v>3178</v>
      </c>
      <c r="P3429" s="163">
        <f t="shared" si="3433"/>
        <v>1158</v>
      </c>
      <c r="Q3429" s="163">
        <f t="shared" si="3433"/>
        <v>1410</v>
      </c>
      <c r="R3429" s="163">
        <f>IFERROR(__xludf.DUMMYFUNCTION("RANK(M3429,filter(M:M,C:C=C3429))"),396.0)</f>
        <v>396</v>
      </c>
      <c r="S3429" s="161" t="b">
        <f t="shared" si="5"/>
        <v>0</v>
      </c>
      <c r="T3429" s="161" t="str">
        <f t="array" ref="T3429">index('Query Tool'!B:B,match(H3429,'Query Tool'!C:C,0))</f>
        <v>#N/A</v>
      </c>
      <c r="U3429" s="161" t="b">
        <f t="array" ref="U3429">index('Query Tool'!B:B,match(C3429,'Query Tool'!C:C,0))</f>
        <v>0</v>
      </c>
      <c r="V3429" s="161" t="b">
        <f>F3429&gt;='Query Tool'!C$32</f>
        <v>0</v>
      </c>
      <c r="W3429" s="161" t="b">
        <f t="array" ref="W3429">index(Dropdowns!B:B,match(I3429,Dropdowns!A:A,0))</f>
        <v>1</v>
      </c>
      <c r="X3429" s="161" t="b">
        <f t="array" ref="X3429">index('Query Tool'!B:B,match(D3429,'Query Tool'!C:C,0))</f>
        <v>1</v>
      </c>
      <c r="Y3429" s="161" t="str">
        <f t="shared" si="6"/>
        <v>cookty01,2019-20</v>
      </c>
      <c r="Z3429" s="168" t="str">
        <f t="array" ref="Z3429">iferror(index(I:I,match($A3429&amp;","&amp;index('Year Conversion'!$A:$A,match($C3429,'Year Conversion'!$B:$B,0)),$Y:$Y,0))-I3429,"")</f>
        <v/>
      </c>
      <c r="AA3429" s="168" t="str">
        <f t="array" ref="AA3429">iferror(index(J:J,match($A3429&amp;","&amp;index('Year Conversion'!$A:$A,match($C3429,'Year Conversion'!$B:$B,0)),$Y:$Y,0))-J3429,"")</f>
        <v/>
      </c>
      <c r="AB3429" s="168" t="str">
        <f t="array" ref="AB3429">iferror(index(K:K,match($A3429&amp;","&amp;index('Year Conversion'!$A:$A,match($C3429,'Year Conversion'!$B:$B,0)),$Y:$Y,0))-K3429,"")</f>
        <v/>
      </c>
      <c r="AC3429" s="168" t="str">
        <f t="shared" si="7"/>
        <v>TOT,2019-20</v>
      </c>
    </row>
    <row r="3430">
      <c r="A3430" s="161" t="str">
        <f>IFERROR(__xludf.DUMMYFUNCTION("""COMPUTED_VALUE"""),"martike03")</f>
        <v>martike03</v>
      </c>
      <c r="B3430" s="161" t="str">
        <f>IFERROR(__xludf.DUMMYFUNCTION("""COMPUTED_VALUE"""),"Kelan Martin")</f>
        <v>Kelan Martin</v>
      </c>
      <c r="C3430" s="162" t="str">
        <f>IFERROR(__xludf.DUMMYFUNCTION("""COMPUTED_VALUE"""),"2019-20")</f>
        <v>2019-20</v>
      </c>
      <c r="D3430" s="163" t="str">
        <f>IFERROR(__xludf.DUMMYFUNCTION("""COMPUTED_VALUE"""),"MIN")</f>
        <v>MIN</v>
      </c>
      <c r="E3430" s="164" t="str">
        <f>IFERROR(__xludf.DUMMYFUNCTION("""COMPUTED_VALUE"""),"Stationary Shooter")</f>
        <v>Stationary Shooter</v>
      </c>
      <c r="F3430" s="164">
        <f>IFERROR(__xludf.DUMMYFUNCTION("""COMPUTED_VALUE"""),494.896666666667)</f>
        <v>494.8966667</v>
      </c>
      <c r="G3430" s="163">
        <f>IFERROR(__xludf.DUMMYFUNCTION("""COMPUTED_VALUE"""),31.0)</f>
        <v>31</v>
      </c>
      <c r="H3430" s="163" t="str">
        <f>IFERROR(__xludf.DUMMYFUNCTION("""COMPUTED_VALUE"""),"SF")</f>
        <v>SF</v>
      </c>
      <c r="I3430" s="163">
        <f>IFERROR(__xludf.DUMMYFUNCTION("""COMPUTED_VALUE"""),24.0)</f>
        <v>24</v>
      </c>
      <c r="J3430" s="165">
        <f>IFERROR(__xludf.DUMMYFUNCTION("""COMPUTED_VALUE"""),-1.81329448651363)</f>
        <v>-1.813294487</v>
      </c>
      <c r="K3430" s="165">
        <f>IFERROR(__xludf.DUMMYFUNCTION("""COMPUTED_VALUE"""),-1.68588891092259)</f>
        <v>-1.685888911</v>
      </c>
      <c r="L3430" s="165">
        <f>IFERROR(__xludf.DUMMYFUNCTION("""COMPUTED_VALUE"""),-0.127405575591044)</f>
        <v>-0.1274055756</v>
      </c>
      <c r="M3430" s="166">
        <f t="shared" si="2"/>
        <v>0.1607006811</v>
      </c>
      <c r="N3430" s="167">
        <f t="shared" si="3"/>
        <v>15.9644086</v>
      </c>
      <c r="O3430" s="163">
        <f t="shared" ref="O3430:Q3430" si="3434">rank(I3430,I:I)</f>
        <v>2361</v>
      </c>
      <c r="P3430" s="163">
        <f t="shared" si="3434"/>
        <v>3342</v>
      </c>
      <c r="Q3430" s="163">
        <f t="shared" si="3434"/>
        <v>3512</v>
      </c>
      <c r="R3430" s="163">
        <f>IFERROR(__xludf.DUMMYFUNCTION("RANK(M3430,filter(M:M,C:C=C3430))"),354.0)</f>
        <v>354</v>
      </c>
      <c r="S3430" s="161" t="b">
        <f t="shared" si="5"/>
        <v>0</v>
      </c>
      <c r="T3430" s="161" t="b">
        <f t="array" ref="T3430">index('Query Tool'!B:B,match(H3430,'Query Tool'!C:C,0))</f>
        <v>1</v>
      </c>
      <c r="U3430" s="161" t="b">
        <f t="array" ref="U3430">index('Query Tool'!B:B,match(C3430,'Query Tool'!C:C,0))</f>
        <v>0</v>
      </c>
      <c r="V3430" s="161" t="b">
        <f>F3430&gt;='Query Tool'!C$32</f>
        <v>0</v>
      </c>
      <c r="W3430" s="161" t="b">
        <f t="array" ref="W3430">index(Dropdowns!B:B,match(I3430,Dropdowns!A:A,0))</f>
        <v>1</v>
      </c>
      <c r="X3430" s="161" t="b">
        <f t="array" ref="X3430">index('Query Tool'!B:B,match(D3430,'Query Tool'!C:C,0))</f>
        <v>1</v>
      </c>
      <c r="Y3430" s="161" t="str">
        <f t="shared" si="6"/>
        <v>martike03,2019-20</v>
      </c>
      <c r="Z3430" s="168" t="str">
        <f t="array" ref="Z3430">iferror(index(I:I,match($A3430&amp;","&amp;index('Year Conversion'!$A:$A,match($C3430,'Year Conversion'!$B:$B,0)),$Y:$Y,0))-I3430,"")</f>
        <v/>
      </c>
      <c r="AA3430" s="168" t="str">
        <f t="array" ref="AA3430">iferror(index(J:J,match($A3430&amp;","&amp;index('Year Conversion'!$A:$A,match($C3430,'Year Conversion'!$B:$B,0)),$Y:$Y,0))-J3430,"")</f>
        <v/>
      </c>
      <c r="AB3430" s="168" t="str">
        <f t="array" ref="AB3430">iferror(index(K:K,match($A3430&amp;","&amp;index('Year Conversion'!$A:$A,match($C3430,'Year Conversion'!$B:$B,0)),$Y:$Y,0))-K3430,"")</f>
        <v/>
      </c>
      <c r="AC3430" s="168" t="str">
        <f t="shared" si="7"/>
        <v>MIN,2019-20</v>
      </c>
    </row>
    <row r="3431">
      <c r="A3431" s="161" t="str">
        <f>IFERROR(__xludf.DUMMYFUNCTION("""COMPUTED_VALUE"""),"clarkga01")</f>
        <v>clarkga01</v>
      </c>
      <c r="B3431" s="161" t="str">
        <f>IFERROR(__xludf.DUMMYFUNCTION("""COMPUTED_VALUE"""),"Gary Clark")</f>
        <v>Gary Clark</v>
      </c>
      <c r="C3431" s="162" t="str">
        <f>IFERROR(__xludf.DUMMYFUNCTION("""COMPUTED_VALUE"""),"2019-20")</f>
        <v>2019-20</v>
      </c>
      <c r="D3431" s="163" t="str">
        <f>IFERROR(__xludf.DUMMYFUNCTION("""COMPUTED_VALUE"""),"TOT")</f>
        <v>TOT</v>
      </c>
      <c r="E3431" s="164" t="str">
        <f>IFERROR(__xludf.DUMMYFUNCTION("""COMPUTED_VALUE"""),"Stationary Shooter")</f>
        <v>Stationary Shooter</v>
      </c>
      <c r="F3431" s="164">
        <f>IFERROR(__xludf.DUMMYFUNCTION("""COMPUTED_VALUE"""),566.366666666667)</f>
        <v>566.3666667</v>
      </c>
      <c r="G3431" s="163">
        <f>IFERROR(__xludf.DUMMYFUNCTION("""COMPUTED_VALUE"""),42.0)</f>
        <v>42</v>
      </c>
      <c r="H3431" s="163" t="str">
        <f>IFERROR(__xludf.DUMMYFUNCTION("""COMPUTED_VALUE"""),"SF-PF")</f>
        <v>SF-PF</v>
      </c>
      <c r="I3431" s="163">
        <f>IFERROR(__xludf.DUMMYFUNCTION("""COMPUTED_VALUE"""),25.0)</f>
        <v>25</v>
      </c>
      <c r="J3431" s="165">
        <f>IFERROR(__xludf.DUMMYFUNCTION("""COMPUTED_VALUE"""),-2.25197392776173)</f>
        <v>-2.251973928</v>
      </c>
      <c r="K3431" s="165">
        <f>IFERROR(__xludf.DUMMYFUNCTION("""COMPUTED_VALUE"""),-1.36400168149918)</f>
        <v>-1.364001681</v>
      </c>
      <c r="L3431" s="165">
        <f>IFERROR(__xludf.DUMMYFUNCTION("""COMPUTED_VALUE"""),-0.88797224626255)</f>
        <v>-0.8879722463</v>
      </c>
      <c r="M3431" s="166">
        <f t="shared" si="2"/>
        <v>0.01926528058</v>
      </c>
      <c r="N3431" s="167">
        <f t="shared" si="3"/>
        <v>13.48492063</v>
      </c>
      <c r="O3431" s="163">
        <f t="shared" ref="O3431:Q3431" si="3435">rank(I3431,I:I)</f>
        <v>1995</v>
      </c>
      <c r="P3431" s="163">
        <f t="shared" si="3435"/>
        <v>3633</v>
      </c>
      <c r="Q3431" s="163">
        <f t="shared" si="3435"/>
        <v>3218</v>
      </c>
      <c r="R3431" s="163">
        <f>IFERROR(__xludf.DUMMYFUNCTION("RANK(M3431,filter(M:M,C:C=C3431))"),463.0)</f>
        <v>463</v>
      </c>
      <c r="S3431" s="161" t="b">
        <f t="shared" si="5"/>
        <v>0</v>
      </c>
      <c r="T3431" s="161" t="str">
        <f t="array" ref="T3431">index('Query Tool'!B:B,match(H3431,'Query Tool'!C:C,0))</f>
        <v>#N/A</v>
      </c>
      <c r="U3431" s="161" t="b">
        <f t="array" ref="U3431">index('Query Tool'!B:B,match(C3431,'Query Tool'!C:C,0))</f>
        <v>0</v>
      </c>
      <c r="V3431" s="161" t="b">
        <f>F3431&gt;='Query Tool'!C$32</f>
        <v>1</v>
      </c>
      <c r="W3431" s="161" t="b">
        <f t="array" ref="W3431">index(Dropdowns!B:B,match(I3431,Dropdowns!A:A,0))</f>
        <v>1</v>
      </c>
      <c r="X3431" s="161" t="b">
        <f t="array" ref="X3431">index('Query Tool'!B:B,match(D3431,'Query Tool'!C:C,0))</f>
        <v>1</v>
      </c>
      <c r="Y3431" s="161" t="str">
        <f t="shared" si="6"/>
        <v>clarkga01,2019-20</v>
      </c>
      <c r="Z3431" s="168" t="str">
        <f t="array" ref="Z3431">iferror(index(I:I,match($A3431&amp;","&amp;index('Year Conversion'!$A:$A,match($C3431,'Year Conversion'!$B:$B,0)),$Y:$Y,0))-I3431,"")</f>
        <v/>
      </c>
      <c r="AA3431" s="168" t="str">
        <f t="array" ref="AA3431">iferror(index(J:J,match($A3431&amp;","&amp;index('Year Conversion'!$A:$A,match($C3431,'Year Conversion'!$B:$B,0)),$Y:$Y,0))-J3431,"")</f>
        <v/>
      </c>
      <c r="AB3431" s="168" t="str">
        <f t="array" ref="AB3431">iferror(index(K:K,match($A3431&amp;","&amp;index('Year Conversion'!$A:$A,match($C3431,'Year Conversion'!$B:$B,0)),$Y:$Y,0))-K3431,"")</f>
        <v/>
      </c>
      <c r="AC3431" s="168" t="str">
        <f t="shared" si="7"/>
        <v>TOT,2019-20</v>
      </c>
    </row>
    <row r="3432">
      <c r="A3432" s="161" t="str">
        <f>IFERROR(__xludf.DUMMYFUNCTION("""COMPUTED_VALUE"""),"gabriwe01")</f>
        <v>gabriwe01</v>
      </c>
      <c r="B3432" s="161" t="str">
        <f>IFERROR(__xludf.DUMMYFUNCTION("""COMPUTED_VALUE"""),"Wenyen Gabriel")</f>
        <v>Wenyen Gabriel</v>
      </c>
      <c r="C3432" s="162" t="str">
        <f>IFERROR(__xludf.DUMMYFUNCTION("""COMPUTED_VALUE"""),"2019-20")</f>
        <v>2019-20</v>
      </c>
      <c r="D3432" s="163" t="str">
        <f>IFERROR(__xludf.DUMMYFUNCTION("""COMPUTED_VALUE"""),"TOT")</f>
        <v>TOT</v>
      </c>
      <c r="E3432" s="164" t="str">
        <f>IFERROR(__xludf.DUMMYFUNCTION("""COMPUTED_VALUE"""),"Stretch Big")</f>
        <v>Stretch Big</v>
      </c>
      <c r="F3432" s="164">
        <f>IFERROR(__xludf.DUMMYFUNCTION("""COMPUTED_VALUE"""),234.918333333333)</f>
        <v>234.9183333</v>
      </c>
      <c r="G3432" s="163">
        <f>IFERROR(__xludf.DUMMYFUNCTION("""COMPUTED_VALUE"""),30.0)</f>
        <v>30</v>
      </c>
      <c r="H3432" s="163" t="str">
        <f>IFERROR(__xludf.DUMMYFUNCTION("""COMPUTED_VALUE"""),"PF")</f>
        <v>PF</v>
      </c>
      <c r="I3432" s="163">
        <f>IFERROR(__xludf.DUMMYFUNCTION("""COMPUTED_VALUE"""),22.0)</f>
        <v>22</v>
      </c>
      <c r="J3432" s="165">
        <f>IFERROR(__xludf.DUMMYFUNCTION("""COMPUTED_VALUE"""),-0.279463212847158)</f>
        <v>-0.2794632128</v>
      </c>
      <c r="K3432" s="165">
        <f>IFERROR(__xludf.DUMMYFUNCTION("""COMPUTED_VALUE"""),-0.471598502341451)</f>
        <v>-0.4715985023</v>
      </c>
      <c r="L3432" s="165">
        <f>IFERROR(__xludf.DUMMYFUNCTION("""COMPUTED_VALUE"""),0.192135289494293)</f>
        <v>0.1921352895</v>
      </c>
      <c r="M3432" s="166">
        <f t="shared" si="2"/>
        <v>0.3179093081</v>
      </c>
      <c r="N3432" s="167">
        <f t="shared" si="3"/>
        <v>7.830611111</v>
      </c>
      <c r="O3432" s="163">
        <f t="shared" ref="O3432:Q3432" si="3436">rank(I3432,I:I)</f>
        <v>3178</v>
      </c>
      <c r="P3432" s="163">
        <f t="shared" si="3436"/>
        <v>1591</v>
      </c>
      <c r="Q3432" s="163">
        <f t="shared" si="3436"/>
        <v>2069</v>
      </c>
      <c r="R3432" s="163">
        <f>IFERROR(__xludf.DUMMYFUNCTION("RANK(M3432,filter(M:M,C:C=C3432))"),297.0)</f>
        <v>297</v>
      </c>
      <c r="S3432" s="161" t="b">
        <f t="shared" si="5"/>
        <v>0</v>
      </c>
      <c r="T3432" s="161" t="b">
        <f t="array" ref="T3432">index('Query Tool'!B:B,match(H3432,'Query Tool'!C:C,0))</f>
        <v>1</v>
      </c>
      <c r="U3432" s="161" t="b">
        <f t="array" ref="U3432">index('Query Tool'!B:B,match(C3432,'Query Tool'!C:C,0))</f>
        <v>0</v>
      </c>
      <c r="V3432" s="161" t="b">
        <f>F3432&gt;='Query Tool'!C$32</f>
        <v>0</v>
      </c>
      <c r="W3432" s="161" t="b">
        <f t="array" ref="W3432">index(Dropdowns!B:B,match(I3432,Dropdowns!A:A,0))</f>
        <v>1</v>
      </c>
      <c r="X3432" s="161" t="b">
        <f t="array" ref="X3432">index('Query Tool'!B:B,match(D3432,'Query Tool'!C:C,0))</f>
        <v>1</v>
      </c>
      <c r="Y3432" s="161" t="str">
        <f t="shared" si="6"/>
        <v>gabriwe01,2019-20</v>
      </c>
      <c r="Z3432" s="168" t="str">
        <f t="array" ref="Z3432">iferror(index(I:I,match($A3432&amp;","&amp;index('Year Conversion'!$A:$A,match($C3432,'Year Conversion'!$B:$B,0)),$Y:$Y,0))-I3432,"")</f>
        <v/>
      </c>
      <c r="AA3432" s="168" t="str">
        <f t="array" ref="AA3432">iferror(index(J:J,match($A3432&amp;","&amp;index('Year Conversion'!$A:$A,match($C3432,'Year Conversion'!$B:$B,0)),$Y:$Y,0))-J3432,"")</f>
        <v/>
      </c>
      <c r="AB3432" s="168" t="str">
        <f t="array" ref="AB3432">iferror(index(K:K,match($A3432&amp;","&amp;index('Year Conversion'!$A:$A,match($C3432,'Year Conversion'!$B:$B,0)),$Y:$Y,0))-K3432,"")</f>
        <v/>
      </c>
      <c r="AC3432" s="168" t="str">
        <f t="shared" si="7"/>
        <v>TOT,2019-20</v>
      </c>
    </row>
    <row r="3433">
      <c r="A3433" s="161" t="str">
        <f>IFERROR(__xludf.DUMMYFUNCTION("""COMPUTED_VALUE"""),"macurjp01")</f>
        <v>macurjp01</v>
      </c>
      <c r="B3433" s="161" t="str">
        <f>IFERROR(__xludf.DUMMYFUNCTION("""COMPUTED_VALUE"""),"J.P. Macura")</f>
        <v>J.P. Macura</v>
      </c>
      <c r="C3433" s="162" t="str">
        <f>IFERROR(__xludf.DUMMYFUNCTION("""COMPUTED_VALUE"""),"2019-20")</f>
        <v>2019-20</v>
      </c>
      <c r="D3433" s="163" t="str">
        <f>IFERROR(__xludf.DUMMYFUNCTION("""COMPUTED_VALUE"""),"CLE")</f>
        <v>CLE</v>
      </c>
      <c r="E3433" s="164" t="str">
        <f>IFERROR(__xludf.DUMMYFUNCTION("""COMPUTED_VALUE"""),"Low Minutes")</f>
        <v>Low Minutes</v>
      </c>
      <c r="F3433" s="164">
        <f>IFERROR(__xludf.DUMMYFUNCTION("""COMPUTED_VALUE"""),0.623333333333333)</f>
        <v>0.6233333333</v>
      </c>
      <c r="G3433" s="163">
        <f>IFERROR(__xludf.DUMMYFUNCTION("""COMPUTED_VALUE"""),1.0)</f>
        <v>1</v>
      </c>
      <c r="H3433" s="163" t="str">
        <f>IFERROR(__xludf.DUMMYFUNCTION("""COMPUTED_VALUE"""),"SG")</f>
        <v>SG</v>
      </c>
      <c r="I3433" s="163">
        <f>IFERROR(__xludf.DUMMYFUNCTION("""COMPUTED_VALUE"""),24.0)</f>
        <v>24</v>
      </c>
      <c r="J3433" s="165">
        <f>IFERROR(__xludf.DUMMYFUNCTION("""COMPUTED_VALUE"""),0.3850219367891)</f>
        <v>0.3850219368</v>
      </c>
      <c r="K3433" s="165">
        <f>IFERROR(__xludf.DUMMYFUNCTION("""COMPUTED_VALUE"""),-0.00750057586001055)</f>
        <v>-0.00750057586</v>
      </c>
      <c r="L3433" s="165">
        <f>IFERROR(__xludf.DUMMYFUNCTION("""COMPUTED_VALUE"""),0.392522512649111)</f>
        <v>0.3925225126</v>
      </c>
      <c r="M3433" s="166">
        <f t="shared" si="2"/>
        <v>0.001122742447</v>
      </c>
      <c r="N3433" s="167">
        <f t="shared" si="3"/>
        <v>0.6233333333</v>
      </c>
      <c r="O3433" s="163">
        <f t="shared" ref="O3433:Q3433" si="3437">rank(I3433,I:I)</f>
        <v>2361</v>
      </c>
      <c r="P3433" s="163">
        <f t="shared" si="3437"/>
        <v>959</v>
      </c>
      <c r="Q3433" s="163">
        <f t="shared" si="3437"/>
        <v>1211</v>
      </c>
      <c r="R3433" s="163">
        <f>IFERROR(__xludf.DUMMYFUNCTION("RANK(M3433,filter(M:M,C:C=C3433))"),482.0)</f>
        <v>482</v>
      </c>
      <c r="S3433" s="161" t="b">
        <f t="shared" si="5"/>
        <v>0</v>
      </c>
      <c r="T3433" s="161" t="b">
        <f t="array" ref="T3433">index('Query Tool'!B:B,match(H3433,'Query Tool'!C:C,0))</f>
        <v>1</v>
      </c>
      <c r="U3433" s="161" t="b">
        <f t="array" ref="U3433">index('Query Tool'!B:B,match(C3433,'Query Tool'!C:C,0))</f>
        <v>0</v>
      </c>
      <c r="V3433" s="161" t="b">
        <f>F3433&gt;='Query Tool'!C$32</f>
        <v>0</v>
      </c>
      <c r="W3433" s="161" t="b">
        <f t="array" ref="W3433">index(Dropdowns!B:B,match(I3433,Dropdowns!A:A,0))</f>
        <v>1</v>
      </c>
      <c r="X3433" s="161" t="b">
        <f t="array" ref="X3433">index('Query Tool'!B:B,match(D3433,'Query Tool'!C:C,0))</f>
        <v>1</v>
      </c>
      <c r="Y3433" s="161" t="str">
        <f t="shared" si="6"/>
        <v>macurjp01,2019-20</v>
      </c>
      <c r="Z3433" s="168" t="str">
        <f t="array" ref="Z3433">iferror(index(I:I,match($A3433&amp;","&amp;index('Year Conversion'!$A:$A,match($C3433,'Year Conversion'!$B:$B,0)),$Y:$Y,0))-I3433,"")</f>
        <v/>
      </c>
      <c r="AA3433" s="168" t="str">
        <f t="array" ref="AA3433">iferror(index(J:J,match($A3433&amp;","&amp;index('Year Conversion'!$A:$A,match($C3433,'Year Conversion'!$B:$B,0)),$Y:$Y,0))-J3433,"")</f>
        <v/>
      </c>
      <c r="AB3433" s="168" t="str">
        <f t="array" ref="AB3433">iferror(index(K:K,match($A3433&amp;","&amp;index('Year Conversion'!$A:$A,match($C3433,'Year Conversion'!$B:$B,0)),$Y:$Y,0))-K3433,"")</f>
        <v/>
      </c>
      <c r="AC3433" s="168" t="str">
        <f t="shared" si="7"/>
        <v>CLE,2019-20</v>
      </c>
    </row>
    <row r="3434">
      <c r="A3434" s="161" t="str">
        <f>IFERROR(__xludf.DUMMYFUNCTION("""COMPUTED_VALUE"""),"burtode02")</f>
        <v>burtode02</v>
      </c>
      <c r="B3434" s="161" t="str">
        <f>IFERROR(__xludf.DUMMYFUNCTION("""COMPUTED_VALUE"""),"Deonte Burton")</f>
        <v>Deonte Burton</v>
      </c>
      <c r="C3434" s="162" t="str">
        <f>IFERROR(__xludf.DUMMYFUNCTION("""COMPUTED_VALUE"""),"2019-20")</f>
        <v>2019-20</v>
      </c>
      <c r="D3434" s="163" t="str">
        <f>IFERROR(__xludf.DUMMYFUNCTION("""COMPUTED_VALUE"""),"OKC")</f>
        <v>OKC</v>
      </c>
      <c r="E3434" s="164" t="str">
        <f>IFERROR(__xludf.DUMMYFUNCTION("""COMPUTED_VALUE"""),"Stationary Shooter")</f>
        <v>Stationary Shooter</v>
      </c>
      <c r="F3434" s="164">
        <f>IFERROR(__xludf.DUMMYFUNCTION("""COMPUTED_VALUE"""),356.526666666667)</f>
        <v>356.5266667</v>
      </c>
      <c r="G3434" s="163">
        <f>IFERROR(__xludf.DUMMYFUNCTION("""COMPUTED_VALUE"""),39.0)</f>
        <v>39</v>
      </c>
      <c r="H3434" s="163" t="str">
        <f>IFERROR(__xludf.DUMMYFUNCTION("""COMPUTED_VALUE"""),"SF")</f>
        <v>SF</v>
      </c>
      <c r="I3434" s="163">
        <f>IFERROR(__xludf.DUMMYFUNCTION("""COMPUTED_VALUE"""),26.0)</f>
        <v>26</v>
      </c>
      <c r="J3434" s="165">
        <f>IFERROR(__xludf.DUMMYFUNCTION("""COMPUTED_VALUE"""),-3.79512030338269)</f>
        <v>-3.795120303</v>
      </c>
      <c r="K3434" s="165">
        <f>IFERROR(__xludf.DUMMYFUNCTION("""COMPUTED_VALUE"""),-3.37687515933338)</f>
        <v>-3.376875159</v>
      </c>
      <c r="L3434" s="165">
        <f>IFERROR(__xludf.DUMMYFUNCTION("""COMPUTED_VALUE"""),-0.418245144049314)</f>
        <v>-0.418245144</v>
      </c>
      <c r="M3434" s="166">
        <f t="shared" si="2"/>
        <v>-0.3447499085</v>
      </c>
      <c r="N3434" s="167">
        <f t="shared" si="3"/>
        <v>9.141709402</v>
      </c>
      <c r="O3434" s="163">
        <f t="shared" ref="O3434:Q3434" si="3438">rank(I3434,I:I)</f>
        <v>1665</v>
      </c>
      <c r="P3434" s="163">
        <f t="shared" si="3438"/>
        <v>3989</v>
      </c>
      <c r="Q3434" s="163">
        <f t="shared" si="3438"/>
        <v>4001</v>
      </c>
      <c r="R3434" s="163">
        <f>IFERROR(__xludf.DUMMYFUNCTION("RANK(M3434,filter(M:M,C:C=C3434))"),509.0)</f>
        <v>509</v>
      </c>
      <c r="S3434" s="161" t="b">
        <f t="shared" si="5"/>
        <v>0</v>
      </c>
      <c r="T3434" s="161" t="b">
        <f t="array" ref="T3434">index('Query Tool'!B:B,match(H3434,'Query Tool'!C:C,0))</f>
        <v>1</v>
      </c>
      <c r="U3434" s="161" t="b">
        <f t="array" ref="U3434">index('Query Tool'!B:B,match(C3434,'Query Tool'!C:C,0))</f>
        <v>0</v>
      </c>
      <c r="V3434" s="161" t="b">
        <f>F3434&gt;='Query Tool'!C$32</f>
        <v>0</v>
      </c>
      <c r="W3434" s="161" t="b">
        <f t="array" ref="W3434">index(Dropdowns!B:B,match(I3434,Dropdowns!A:A,0))</f>
        <v>1</v>
      </c>
      <c r="X3434" s="161" t="b">
        <f t="array" ref="X3434">index('Query Tool'!B:B,match(D3434,'Query Tool'!C:C,0))</f>
        <v>1</v>
      </c>
      <c r="Y3434" s="161" t="str">
        <f t="shared" si="6"/>
        <v>burtode02,2019-20</v>
      </c>
      <c r="Z3434" s="168" t="str">
        <f t="array" ref="Z3434">iferror(index(I:I,match($A3434&amp;","&amp;index('Year Conversion'!$A:$A,match($C3434,'Year Conversion'!$B:$B,0)),$Y:$Y,0))-I3434,"")</f>
        <v/>
      </c>
      <c r="AA3434" s="168" t="str">
        <f t="array" ref="AA3434">iferror(index(J:J,match($A3434&amp;","&amp;index('Year Conversion'!$A:$A,match($C3434,'Year Conversion'!$B:$B,0)),$Y:$Y,0))-J3434,"")</f>
        <v/>
      </c>
      <c r="AB3434" s="168" t="str">
        <f t="array" ref="AB3434">iferror(index(K:K,match($A3434&amp;","&amp;index('Year Conversion'!$A:$A,match($C3434,'Year Conversion'!$B:$B,0)),$Y:$Y,0))-K3434,"")</f>
        <v/>
      </c>
      <c r="AC3434" s="168" t="str">
        <f t="shared" si="7"/>
        <v>OKC,2019-20</v>
      </c>
    </row>
    <row r="3435">
      <c r="A3435" s="161" t="str">
        <f>IFERROR(__xludf.DUMMYFUNCTION("""COMPUTED_VALUE"""),"robindu01")</f>
        <v>robindu01</v>
      </c>
      <c r="B3435" s="161" t="str">
        <f>IFERROR(__xludf.DUMMYFUNCTION("""COMPUTED_VALUE"""),"Duncan Robinson")</f>
        <v>Duncan Robinson</v>
      </c>
      <c r="C3435" s="162" t="str">
        <f>IFERROR(__xludf.DUMMYFUNCTION("""COMPUTED_VALUE"""),"2019-20")</f>
        <v>2019-20</v>
      </c>
      <c r="D3435" s="163" t="str">
        <f>IFERROR(__xludf.DUMMYFUNCTION("""COMPUTED_VALUE"""),"MIA")</f>
        <v>MIA</v>
      </c>
      <c r="E3435" s="164" t="str">
        <f>IFERROR(__xludf.DUMMYFUNCTION("""COMPUTED_VALUE"""),"Off Screen Shooter")</f>
        <v>Off Screen Shooter</v>
      </c>
      <c r="F3435" s="164">
        <f>IFERROR(__xludf.DUMMYFUNCTION("""COMPUTED_VALUE"""),2165.63)</f>
        <v>2165.63</v>
      </c>
      <c r="G3435" s="163">
        <f>IFERROR(__xludf.DUMMYFUNCTION("""COMPUTED_VALUE"""),73.0)</f>
        <v>73</v>
      </c>
      <c r="H3435" s="163" t="str">
        <f>IFERROR(__xludf.DUMMYFUNCTION("""COMPUTED_VALUE"""),"SG")</f>
        <v>SG</v>
      </c>
      <c r="I3435" s="163">
        <f>IFERROR(__xludf.DUMMYFUNCTION("""COMPUTED_VALUE"""),25.0)</f>
        <v>25</v>
      </c>
      <c r="J3435" s="165">
        <f>IFERROR(__xludf.DUMMYFUNCTION("""COMPUTED_VALUE"""),1.54770879250314)</f>
        <v>1.547708793</v>
      </c>
      <c r="K3435" s="165">
        <f>IFERROR(__xludf.DUMMYFUNCTION("""COMPUTED_VALUE"""),1.37266800424456)</f>
        <v>1.372668004</v>
      </c>
      <c r="L3435" s="165">
        <f>IFERROR(__xludf.DUMMYFUNCTION("""COMPUTED_VALUE"""),0.175040788258578)</f>
        <v>0.1750407883</v>
      </c>
      <c r="M3435" s="166">
        <f t="shared" si="2"/>
        <v>5.590915411</v>
      </c>
      <c r="N3435" s="167">
        <f t="shared" si="3"/>
        <v>29.66616438</v>
      </c>
      <c r="O3435" s="163">
        <f t="shared" ref="O3435:Q3435" si="3439">rank(I3435,I:I)</f>
        <v>1995</v>
      </c>
      <c r="P3435" s="163">
        <f t="shared" si="3439"/>
        <v>443</v>
      </c>
      <c r="Q3435" s="163">
        <f t="shared" si="3439"/>
        <v>363</v>
      </c>
      <c r="R3435" s="163">
        <f>IFERROR(__xludf.DUMMYFUNCTION("RANK(M3435,filter(M:M,C:C=C3435))"),31.0)</f>
        <v>31</v>
      </c>
      <c r="S3435" s="161" t="b">
        <f t="shared" si="5"/>
        <v>0</v>
      </c>
      <c r="T3435" s="161" t="b">
        <f t="array" ref="T3435">index('Query Tool'!B:B,match(H3435,'Query Tool'!C:C,0))</f>
        <v>1</v>
      </c>
      <c r="U3435" s="161" t="b">
        <f t="array" ref="U3435">index('Query Tool'!B:B,match(C3435,'Query Tool'!C:C,0))</f>
        <v>0</v>
      </c>
      <c r="V3435" s="161" t="b">
        <f>F3435&gt;='Query Tool'!C$32</f>
        <v>1</v>
      </c>
      <c r="W3435" s="161" t="b">
        <f t="array" ref="W3435">index(Dropdowns!B:B,match(I3435,Dropdowns!A:A,0))</f>
        <v>1</v>
      </c>
      <c r="X3435" s="161" t="b">
        <f t="array" ref="X3435">index('Query Tool'!B:B,match(D3435,'Query Tool'!C:C,0))</f>
        <v>1</v>
      </c>
      <c r="Y3435" s="161" t="str">
        <f t="shared" si="6"/>
        <v>robindu01,2019-20</v>
      </c>
      <c r="Z3435" s="168" t="str">
        <f t="array" ref="Z3435">iferror(index(I:I,match($A3435&amp;","&amp;index('Year Conversion'!$A:$A,match($C3435,'Year Conversion'!$B:$B,0)),$Y:$Y,0))-I3435,"")</f>
        <v/>
      </c>
      <c r="AA3435" s="168" t="str">
        <f t="array" ref="AA3435">iferror(index(J:J,match($A3435&amp;","&amp;index('Year Conversion'!$A:$A,match($C3435,'Year Conversion'!$B:$B,0)),$Y:$Y,0))-J3435,"")</f>
        <v/>
      </c>
      <c r="AB3435" s="168" t="str">
        <f t="array" ref="AB3435">iferror(index(K:K,match($A3435&amp;","&amp;index('Year Conversion'!$A:$A,match($C3435,'Year Conversion'!$B:$B,0)),$Y:$Y,0))-K3435,"")</f>
        <v/>
      </c>
      <c r="AC3435" s="168" t="str">
        <f t="shared" si="7"/>
        <v>MIA,2019-20</v>
      </c>
    </row>
    <row r="3436">
      <c r="A3436" s="161" t="str">
        <f>IFERROR(__xludf.DUMMYFUNCTION("""COMPUTED_VALUE"""),"maconda01")</f>
        <v>maconda01</v>
      </c>
      <c r="B3436" s="161" t="str">
        <f>IFERROR(__xludf.DUMMYFUNCTION("""COMPUTED_VALUE"""),"Daryl Macon")</f>
        <v>Daryl Macon</v>
      </c>
      <c r="C3436" s="162" t="str">
        <f>IFERROR(__xludf.DUMMYFUNCTION("""COMPUTED_VALUE"""),"2019-20")</f>
        <v>2019-20</v>
      </c>
      <c r="D3436" s="163" t="str">
        <f>IFERROR(__xludf.DUMMYFUNCTION("""COMPUTED_VALUE"""),"MIA")</f>
        <v>MIA</v>
      </c>
      <c r="E3436" s="164" t="str">
        <f>IFERROR(__xludf.DUMMYFUNCTION("""COMPUTED_VALUE"""),"Secondary Ball Handler")</f>
        <v>Secondary Ball Handler</v>
      </c>
      <c r="F3436" s="164">
        <f>IFERROR(__xludf.DUMMYFUNCTION("""COMPUTED_VALUE"""),14.1)</f>
        <v>14.1</v>
      </c>
      <c r="G3436" s="163">
        <f>IFERROR(__xludf.DUMMYFUNCTION("""COMPUTED_VALUE"""),4.0)</f>
        <v>4</v>
      </c>
      <c r="H3436" s="163" t="str">
        <f>IFERROR(__xludf.DUMMYFUNCTION("""COMPUTED_VALUE"""),"PG")</f>
        <v>PG</v>
      </c>
      <c r="I3436" s="163">
        <f>IFERROR(__xludf.DUMMYFUNCTION("""COMPUTED_VALUE"""),24.0)</f>
        <v>24</v>
      </c>
      <c r="J3436" s="165">
        <f>IFERROR(__xludf.DUMMYFUNCTION("""COMPUTED_VALUE"""),-0.847350865406909)</f>
        <v>-0.8473508654</v>
      </c>
      <c r="K3436" s="165">
        <f>IFERROR(__xludf.DUMMYFUNCTION("""COMPUTED_VALUE"""),-0.542943286300968)</f>
        <v>-0.5429432863</v>
      </c>
      <c r="L3436" s="165">
        <f>IFERROR(__xludf.DUMMYFUNCTION("""COMPUTED_VALUE"""),-0.304407579105941)</f>
        <v>-0.3044075791</v>
      </c>
      <c r="M3436" s="166">
        <f t="shared" si="2"/>
        <v>0.01369054268</v>
      </c>
      <c r="N3436" s="167">
        <f t="shared" si="3"/>
        <v>3.525</v>
      </c>
      <c r="O3436" s="163">
        <f t="shared" ref="O3436:Q3436" si="3440">rank(I3436,I:I)</f>
        <v>2361</v>
      </c>
      <c r="P3436" s="163">
        <f t="shared" si="3440"/>
        <v>2343</v>
      </c>
      <c r="Q3436" s="163">
        <f t="shared" si="3440"/>
        <v>2177</v>
      </c>
      <c r="R3436" s="163">
        <f>IFERROR(__xludf.DUMMYFUNCTION("RANK(M3436,filter(M:M,C:C=C3436))"),469.0)</f>
        <v>469</v>
      </c>
      <c r="S3436" s="161" t="b">
        <f t="shared" si="5"/>
        <v>0</v>
      </c>
      <c r="T3436" s="161" t="b">
        <f t="array" ref="T3436">index('Query Tool'!B:B,match(H3436,'Query Tool'!C:C,0))</f>
        <v>1</v>
      </c>
      <c r="U3436" s="161" t="b">
        <f t="array" ref="U3436">index('Query Tool'!B:B,match(C3436,'Query Tool'!C:C,0))</f>
        <v>0</v>
      </c>
      <c r="V3436" s="161" t="b">
        <f>F3436&gt;='Query Tool'!C$32</f>
        <v>0</v>
      </c>
      <c r="W3436" s="161" t="b">
        <f t="array" ref="W3436">index(Dropdowns!B:B,match(I3436,Dropdowns!A:A,0))</f>
        <v>1</v>
      </c>
      <c r="X3436" s="161" t="b">
        <f t="array" ref="X3436">index('Query Tool'!B:B,match(D3436,'Query Tool'!C:C,0))</f>
        <v>1</v>
      </c>
      <c r="Y3436" s="161" t="str">
        <f t="shared" si="6"/>
        <v>maconda01,2019-20</v>
      </c>
      <c r="Z3436" s="168" t="str">
        <f t="array" ref="Z3436">iferror(index(I:I,match($A3436&amp;","&amp;index('Year Conversion'!$A:$A,match($C3436,'Year Conversion'!$B:$B,0)),$Y:$Y,0))-I3436,"")</f>
        <v/>
      </c>
      <c r="AA3436" s="168" t="str">
        <f t="array" ref="AA3436">iferror(index(J:J,match($A3436&amp;","&amp;index('Year Conversion'!$A:$A,match($C3436,'Year Conversion'!$B:$B,0)),$Y:$Y,0))-J3436,"")</f>
        <v/>
      </c>
      <c r="AB3436" s="168" t="str">
        <f t="array" ref="AB3436">iferror(index(K:K,match($A3436&amp;","&amp;index('Year Conversion'!$A:$A,match($C3436,'Year Conversion'!$B:$B,0)),$Y:$Y,0))-K3436,"")</f>
        <v/>
      </c>
      <c r="AC3436" s="168" t="str">
        <f t="shared" si="7"/>
        <v>MIA,2019-20</v>
      </c>
    </row>
    <row r="3437">
      <c r="A3437" s="161" t="str">
        <f>IFERROR(__xludf.DUMMYFUNCTION("""COMPUTED_VALUE"""),"nunnke01")</f>
        <v>nunnke01</v>
      </c>
      <c r="B3437" s="161" t="str">
        <f>IFERROR(__xludf.DUMMYFUNCTION("""COMPUTED_VALUE"""),"Kendrick Nunn")</f>
        <v>Kendrick Nunn</v>
      </c>
      <c r="C3437" s="162" t="str">
        <f>IFERROR(__xludf.DUMMYFUNCTION("""COMPUTED_VALUE"""),"2019-20")</f>
        <v>2019-20</v>
      </c>
      <c r="D3437" s="163" t="str">
        <f>IFERROR(__xludf.DUMMYFUNCTION("""COMPUTED_VALUE"""),"MIA")</f>
        <v>MIA</v>
      </c>
      <c r="E3437" s="164" t="str">
        <f>IFERROR(__xludf.DUMMYFUNCTION("""COMPUTED_VALUE"""),"Primary Ball Handler")</f>
        <v>Primary Ball Handler</v>
      </c>
      <c r="F3437" s="164">
        <f>IFERROR(__xludf.DUMMYFUNCTION("""COMPUTED_VALUE"""),1962.46833333333)</f>
        <v>1962.468333</v>
      </c>
      <c r="G3437" s="163">
        <f>IFERROR(__xludf.DUMMYFUNCTION("""COMPUTED_VALUE"""),67.0)</f>
        <v>67</v>
      </c>
      <c r="H3437" s="163" t="str">
        <f>IFERROR(__xludf.DUMMYFUNCTION("""COMPUTED_VALUE"""),"PG")</f>
        <v>PG</v>
      </c>
      <c r="I3437" s="163">
        <f>IFERROR(__xludf.DUMMYFUNCTION("""COMPUTED_VALUE"""),24.0)</f>
        <v>24</v>
      </c>
      <c r="J3437" s="165">
        <f>IFERROR(__xludf.DUMMYFUNCTION("""COMPUTED_VALUE"""),-2.01087705617848)</f>
        <v>-2.010877056</v>
      </c>
      <c r="K3437" s="165">
        <f>IFERROR(__xludf.DUMMYFUNCTION("""COMPUTED_VALUE"""),-0.820951270404519)</f>
        <v>-0.8209512704</v>
      </c>
      <c r="L3437" s="165">
        <f>IFERROR(__xludf.DUMMYFUNCTION("""COMPUTED_VALUE"""),-1.18992578577397)</f>
        <v>-1.189925786</v>
      </c>
      <c r="M3437" s="166">
        <f t="shared" si="2"/>
        <v>0.3797738228</v>
      </c>
      <c r="N3437" s="167">
        <f t="shared" si="3"/>
        <v>29.29057214</v>
      </c>
      <c r="O3437" s="163">
        <f t="shared" ref="O3437:Q3437" si="3441">rank(I3437,I:I)</f>
        <v>2361</v>
      </c>
      <c r="P3437" s="163">
        <f t="shared" si="3441"/>
        <v>3486</v>
      </c>
      <c r="Q3437" s="163">
        <f t="shared" si="3441"/>
        <v>2580</v>
      </c>
      <c r="R3437" s="163">
        <f>IFERROR(__xludf.DUMMYFUNCTION("RANK(M3437,filter(M:M,C:C=C3437))"),280.0)</f>
        <v>280</v>
      </c>
      <c r="S3437" s="161" t="b">
        <f t="shared" si="5"/>
        <v>0</v>
      </c>
      <c r="T3437" s="161" t="b">
        <f t="array" ref="T3437">index('Query Tool'!B:B,match(H3437,'Query Tool'!C:C,0))</f>
        <v>1</v>
      </c>
      <c r="U3437" s="161" t="b">
        <f t="array" ref="U3437">index('Query Tool'!B:B,match(C3437,'Query Tool'!C:C,0))</f>
        <v>0</v>
      </c>
      <c r="V3437" s="161" t="b">
        <f>F3437&gt;='Query Tool'!C$32</f>
        <v>1</v>
      </c>
      <c r="W3437" s="161" t="b">
        <f t="array" ref="W3437">index(Dropdowns!B:B,match(I3437,Dropdowns!A:A,0))</f>
        <v>1</v>
      </c>
      <c r="X3437" s="161" t="b">
        <f t="array" ref="X3437">index('Query Tool'!B:B,match(D3437,'Query Tool'!C:C,0))</f>
        <v>1</v>
      </c>
      <c r="Y3437" s="161" t="str">
        <f t="shared" si="6"/>
        <v>nunnke01,2019-20</v>
      </c>
      <c r="Z3437" s="168" t="str">
        <f t="array" ref="Z3437">iferror(index(I:I,match($A3437&amp;","&amp;index('Year Conversion'!$A:$A,match($C3437,'Year Conversion'!$B:$B,0)),$Y:$Y,0))-I3437,"")</f>
        <v/>
      </c>
      <c r="AA3437" s="168" t="str">
        <f t="array" ref="AA3437">iferror(index(J:J,match($A3437&amp;","&amp;index('Year Conversion'!$A:$A,match($C3437,'Year Conversion'!$B:$B,0)),$Y:$Y,0))-J3437,"")</f>
        <v/>
      </c>
      <c r="AB3437" s="168" t="str">
        <f t="array" ref="AB3437">iferror(index(K:K,match($A3437&amp;","&amp;index('Year Conversion'!$A:$A,match($C3437,'Year Conversion'!$B:$B,0)),$Y:$Y,0))-K3437,"")</f>
        <v/>
      </c>
      <c r="AC3437" s="168" t="str">
        <f t="shared" si="7"/>
        <v>MIA,2019-20</v>
      </c>
    </row>
    <row r="3438">
      <c r="A3438" s="161" t="str">
        <f>IFERROR(__xludf.DUMMYFUNCTION("""COMPUTED_VALUE"""),"watanyu01")</f>
        <v>watanyu01</v>
      </c>
      <c r="B3438" s="161" t="str">
        <f>IFERROR(__xludf.DUMMYFUNCTION("""COMPUTED_VALUE"""),"Yuta Watanabe")</f>
        <v>Yuta Watanabe</v>
      </c>
      <c r="C3438" s="162" t="str">
        <f>IFERROR(__xludf.DUMMYFUNCTION("""COMPUTED_VALUE"""),"2019-20")</f>
        <v>2019-20</v>
      </c>
      <c r="D3438" s="163" t="str">
        <f>IFERROR(__xludf.DUMMYFUNCTION("""COMPUTED_VALUE"""),"MEM")</f>
        <v>MEM</v>
      </c>
      <c r="E3438" s="164" t="str">
        <f>IFERROR(__xludf.DUMMYFUNCTION("""COMPUTED_VALUE"""),"Athletic Finisher")</f>
        <v>Athletic Finisher</v>
      </c>
      <c r="F3438" s="164">
        <f>IFERROR(__xludf.DUMMYFUNCTION("""COMPUTED_VALUE"""),104.768333333333)</f>
        <v>104.7683333</v>
      </c>
      <c r="G3438" s="163">
        <f>IFERROR(__xludf.DUMMYFUNCTION("""COMPUTED_VALUE"""),18.0)</f>
        <v>18</v>
      </c>
      <c r="H3438" s="163" t="str">
        <f>IFERROR(__xludf.DUMMYFUNCTION("""COMPUTED_VALUE"""),"SF")</f>
        <v>SF</v>
      </c>
      <c r="I3438" s="163">
        <f>IFERROR(__xludf.DUMMYFUNCTION("""COMPUTED_VALUE"""),25.0)</f>
        <v>25</v>
      </c>
      <c r="J3438" s="165">
        <f>IFERROR(__xludf.DUMMYFUNCTION("""COMPUTED_VALUE"""),-0.296272186880098)</f>
        <v>-0.2962721869</v>
      </c>
      <c r="K3438" s="165">
        <f>IFERROR(__xludf.DUMMYFUNCTION("""COMPUTED_VALUE"""),-0.425655958460519)</f>
        <v>-0.4256559585</v>
      </c>
      <c r="L3438" s="165">
        <f>IFERROR(__xludf.DUMMYFUNCTION("""COMPUTED_VALUE"""),0.129383771580421)</f>
        <v>0.1293837716</v>
      </c>
      <c r="M3438" s="166">
        <f t="shared" si="2"/>
        <v>0.140593585</v>
      </c>
      <c r="N3438" s="167">
        <f t="shared" si="3"/>
        <v>5.820462963</v>
      </c>
      <c r="O3438" s="163">
        <f t="shared" ref="O3438:Q3438" si="3442">rank(I3438,I:I)</f>
        <v>1995</v>
      </c>
      <c r="P3438" s="163">
        <f t="shared" si="3442"/>
        <v>1606</v>
      </c>
      <c r="Q3438" s="163">
        <f t="shared" si="3442"/>
        <v>1993</v>
      </c>
      <c r="R3438" s="163">
        <f>IFERROR(__xludf.DUMMYFUNCTION("RANK(M3438,filter(M:M,C:C=C3438))"),365.0)</f>
        <v>365</v>
      </c>
      <c r="S3438" s="161" t="b">
        <f t="shared" si="5"/>
        <v>0</v>
      </c>
      <c r="T3438" s="161" t="b">
        <f t="array" ref="T3438">index('Query Tool'!B:B,match(H3438,'Query Tool'!C:C,0))</f>
        <v>1</v>
      </c>
      <c r="U3438" s="161" t="b">
        <f t="array" ref="U3438">index('Query Tool'!B:B,match(C3438,'Query Tool'!C:C,0))</f>
        <v>0</v>
      </c>
      <c r="V3438" s="161" t="b">
        <f>F3438&gt;='Query Tool'!C$32</f>
        <v>0</v>
      </c>
      <c r="W3438" s="161" t="b">
        <f t="array" ref="W3438">index(Dropdowns!B:B,match(I3438,Dropdowns!A:A,0))</f>
        <v>1</v>
      </c>
      <c r="X3438" s="161" t="b">
        <f t="array" ref="X3438">index('Query Tool'!B:B,match(D3438,'Query Tool'!C:C,0))</f>
        <v>1</v>
      </c>
      <c r="Y3438" s="161" t="str">
        <f t="shared" si="6"/>
        <v>watanyu01,2019-20</v>
      </c>
      <c r="Z3438" s="168" t="str">
        <f t="array" ref="Z3438">iferror(index(I:I,match($A3438&amp;","&amp;index('Year Conversion'!$A:$A,match($C3438,'Year Conversion'!$B:$B,0)),$Y:$Y,0))-I3438,"")</f>
        <v/>
      </c>
      <c r="AA3438" s="168" t="str">
        <f t="array" ref="AA3438">iferror(index(J:J,match($A3438&amp;","&amp;index('Year Conversion'!$A:$A,match($C3438,'Year Conversion'!$B:$B,0)),$Y:$Y,0))-J3438,"")</f>
        <v/>
      </c>
      <c r="AB3438" s="168" t="str">
        <f t="array" ref="AB3438">iferror(index(K:K,match($A3438&amp;","&amp;index('Year Conversion'!$A:$A,match($C3438,'Year Conversion'!$B:$B,0)),$Y:$Y,0))-K3438,"")</f>
        <v/>
      </c>
      <c r="AC3438" s="168" t="str">
        <f t="shared" si="7"/>
        <v>MEM,2019-20</v>
      </c>
    </row>
    <row r="3439">
      <c r="A3439" s="161" t="str">
        <f>IFERROR(__xludf.DUMMYFUNCTION("""COMPUTED_VALUE"""),"willijo04")</f>
        <v>willijo04</v>
      </c>
      <c r="B3439" s="161" t="str">
        <f>IFERROR(__xludf.DUMMYFUNCTION("""COMPUTED_VALUE"""),"Johnathan Williams")</f>
        <v>Johnathan Williams</v>
      </c>
      <c r="C3439" s="162" t="str">
        <f>IFERROR(__xludf.DUMMYFUNCTION("""COMPUTED_VALUE"""),"2019-20")</f>
        <v>2019-20</v>
      </c>
      <c r="D3439" s="163" t="str">
        <f>IFERROR(__xludf.DUMMYFUNCTION("""COMPUTED_VALUE"""),"WAS")</f>
        <v>WAS</v>
      </c>
      <c r="E3439" s="164" t="str">
        <f>IFERROR(__xludf.DUMMYFUNCTION("""COMPUTED_VALUE"""),"Roll + Cut Big")</f>
        <v>Roll + Cut Big</v>
      </c>
      <c r="F3439" s="164">
        <f>IFERROR(__xludf.DUMMYFUNCTION("""COMPUTED_VALUE"""),179.776666666667)</f>
        <v>179.7766667</v>
      </c>
      <c r="G3439" s="163">
        <f>IFERROR(__xludf.DUMMYFUNCTION("""COMPUTED_VALUE"""),15.0)</f>
        <v>15</v>
      </c>
      <c r="H3439" s="163" t="str">
        <f>IFERROR(__xludf.DUMMYFUNCTION("""COMPUTED_VALUE"""),"PF")</f>
        <v>PF</v>
      </c>
      <c r="I3439" s="163">
        <f>IFERROR(__xludf.DUMMYFUNCTION("""COMPUTED_VALUE"""),24.0)</f>
        <v>24</v>
      </c>
      <c r="J3439" s="165">
        <f>IFERROR(__xludf.DUMMYFUNCTION("""COMPUTED_VALUE"""),-1.22593172810093)</f>
        <v>-1.225931728</v>
      </c>
      <c r="K3439" s="165">
        <f>IFERROR(__xludf.DUMMYFUNCTION("""COMPUTED_VALUE"""),-1.32427491277764)</f>
        <v>-1.324274913</v>
      </c>
      <c r="L3439" s="165">
        <f>IFERROR(__xludf.DUMMYFUNCTION("""COMPUTED_VALUE"""),0.0983431846767067)</f>
        <v>0.09834318468</v>
      </c>
      <c r="M3439" s="166">
        <f t="shared" si="2"/>
        <v>0.128877807</v>
      </c>
      <c r="N3439" s="167">
        <f t="shared" si="3"/>
        <v>11.98511111</v>
      </c>
      <c r="O3439" s="163">
        <f t="shared" ref="O3439:Q3439" si="3443">rank(I3439,I:I)</f>
        <v>2361</v>
      </c>
      <c r="P3439" s="163">
        <f t="shared" si="3443"/>
        <v>2782</v>
      </c>
      <c r="Q3439" s="163">
        <f t="shared" si="3443"/>
        <v>3177</v>
      </c>
      <c r="R3439" s="163">
        <f>IFERROR(__xludf.DUMMYFUNCTION("RANK(M3439,filter(M:M,C:C=C3439))"),371.0)</f>
        <v>371</v>
      </c>
      <c r="S3439" s="161" t="b">
        <f t="shared" si="5"/>
        <v>0</v>
      </c>
      <c r="T3439" s="161" t="b">
        <f t="array" ref="T3439">index('Query Tool'!B:B,match(H3439,'Query Tool'!C:C,0))</f>
        <v>1</v>
      </c>
      <c r="U3439" s="161" t="b">
        <f t="array" ref="U3439">index('Query Tool'!B:B,match(C3439,'Query Tool'!C:C,0))</f>
        <v>0</v>
      </c>
      <c r="V3439" s="161" t="b">
        <f>F3439&gt;='Query Tool'!C$32</f>
        <v>0</v>
      </c>
      <c r="W3439" s="161" t="b">
        <f t="array" ref="W3439">index(Dropdowns!B:B,match(I3439,Dropdowns!A:A,0))</f>
        <v>1</v>
      </c>
      <c r="X3439" s="161" t="b">
        <f t="array" ref="X3439">index('Query Tool'!B:B,match(D3439,'Query Tool'!C:C,0))</f>
        <v>1</v>
      </c>
      <c r="Y3439" s="161" t="str">
        <f t="shared" si="6"/>
        <v>willijo04,2019-20</v>
      </c>
      <c r="Z3439" s="168" t="str">
        <f t="array" ref="Z3439">iferror(index(I:I,match($A3439&amp;","&amp;index('Year Conversion'!$A:$A,match($C3439,'Year Conversion'!$B:$B,0)),$Y:$Y,0))-I3439,"")</f>
        <v/>
      </c>
      <c r="AA3439" s="168" t="str">
        <f t="array" ref="AA3439">iferror(index(J:J,match($A3439&amp;","&amp;index('Year Conversion'!$A:$A,match($C3439,'Year Conversion'!$B:$B,0)),$Y:$Y,0))-J3439,"")</f>
        <v/>
      </c>
      <c r="AB3439" s="168" t="str">
        <f t="array" ref="AB3439">iferror(index(K:K,match($A3439&amp;","&amp;index('Year Conversion'!$A:$A,match($C3439,'Year Conversion'!$B:$B,0)),$Y:$Y,0))-K3439,"")</f>
        <v/>
      </c>
      <c r="AC3439" s="168" t="str">
        <f t="shared" si="7"/>
        <v>WAS,2019-20</v>
      </c>
    </row>
    <row r="3440">
      <c r="A3440" s="161" t="str">
        <f>IFERROR(__xludf.DUMMYFUNCTION("""COMPUTED_VALUE"""),"chealjo01")</f>
        <v>chealjo01</v>
      </c>
      <c r="B3440" s="161" t="str">
        <f>IFERROR(__xludf.DUMMYFUNCTION("""COMPUTED_VALUE"""),"Joe Chealey")</f>
        <v>Joe Chealey</v>
      </c>
      <c r="C3440" s="162" t="str">
        <f>IFERROR(__xludf.DUMMYFUNCTION("""COMPUTED_VALUE"""),"2019-20")</f>
        <v>2019-20</v>
      </c>
      <c r="D3440" s="163" t="str">
        <f>IFERROR(__xludf.DUMMYFUNCTION("""COMPUTED_VALUE"""),"CHO")</f>
        <v>CHO</v>
      </c>
      <c r="E3440" s="164" t="str">
        <f>IFERROR(__xludf.DUMMYFUNCTION("""COMPUTED_VALUE"""),"Secondary Ball Handler")</f>
        <v>Secondary Ball Handler</v>
      </c>
      <c r="F3440" s="164">
        <f>IFERROR(__xludf.DUMMYFUNCTION("""COMPUTED_VALUE"""),33.4483333333334)</f>
        <v>33.44833333</v>
      </c>
      <c r="G3440" s="163">
        <f>IFERROR(__xludf.DUMMYFUNCTION("""COMPUTED_VALUE"""),4.0)</f>
        <v>4</v>
      </c>
      <c r="H3440" s="163" t="str">
        <f>IFERROR(__xludf.DUMMYFUNCTION("""COMPUTED_VALUE"""),"PG")</f>
        <v>PG</v>
      </c>
      <c r="I3440" s="163">
        <f>IFERROR(__xludf.DUMMYFUNCTION("""COMPUTED_VALUE"""),24.0)</f>
        <v>24</v>
      </c>
      <c r="J3440" s="165">
        <f>IFERROR(__xludf.DUMMYFUNCTION("""COMPUTED_VALUE"""),-0.566446987419112)</f>
        <v>-0.5664469874</v>
      </c>
      <c r="K3440" s="165">
        <f>IFERROR(__xludf.DUMMYFUNCTION("""COMPUTED_VALUE"""),-0.819975110561888)</f>
        <v>-0.8199751106</v>
      </c>
      <c r="L3440" s="165">
        <f>IFERROR(__xludf.DUMMYFUNCTION("""COMPUTED_VALUE"""),0.253528123142776)</f>
        <v>0.2535281231</v>
      </c>
      <c r="M3440" s="166">
        <f t="shared" si="2"/>
        <v>0.03879819387</v>
      </c>
      <c r="N3440" s="167">
        <f t="shared" si="3"/>
        <v>8.362083333</v>
      </c>
      <c r="O3440" s="163">
        <f t="shared" ref="O3440:Q3440" si="3444">rank(I3440,I:I)</f>
        <v>2361</v>
      </c>
      <c r="P3440" s="163">
        <f t="shared" si="3444"/>
        <v>1947</v>
      </c>
      <c r="Q3440" s="163">
        <f t="shared" si="3444"/>
        <v>2579</v>
      </c>
      <c r="R3440" s="163">
        <f>IFERROR(__xludf.DUMMYFUNCTION("RANK(M3440,filter(M:M,C:C=C3440))"),442.0)</f>
        <v>442</v>
      </c>
      <c r="S3440" s="161" t="b">
        <f t="shared" si="5"/>
        <v>0</v>
      </c>
      <c r="T3440" s="161" t="b">
        <f t="array" ref="T3440">index('Query Tool'!B:B,match(H3440,'Query Tool'!C:C,0))</f>
        <v>1</v>
      </c>
      <c r="U3440" s="161" t="b">
        <f t="array" ref="U3440">index('Query Tool'!B:B,match(C3440,'Query Tool'!C:C,0))</f>
        <v>0</v>
      </c>
      <c r="V3440" s="161" t="b">
        <f>F3440&gt;='Query Tool'!C$32</f>
        <v>0</v>
      </c>
      <c r="W3440" s="161" t="b">
        <f t="array" ref="W3440">index(Dropdowns!B:B,match(I3440,Dropdowns!A:A,0))</f>
        <v>1</v>
      </c>
      <c r="X3440" s="161" t="b">
        <f t="array" ref="X3440">index('Query Tool'!B:B,match(D3440,'Query Tool'!C:C,0))</f>
        <v>1</v>
      </c>
      <c r="Y3440" s="161" t="str">
        <f t="shared" si="6"/>
        <v>chealjo01,2019-20</v>
      </c>
      <c r="Z3440" s="168" t="str">
        <f t="array" ref="Z3440">iferror(index(I:I,match($A3440&amp;","&amp;index('Year Conversion'!$A:$A,match($C3440,'Year Conversion'!$B:$B,0)),$Y:$Y,0))-I3440,"")</f>
        <v/>
      </c>
      <c r="AA3440" s="168" t="str">
        <f t="array" ref="AA3440">iferror(index(J:J,match($A3440&amp;","&amp;index('Year Conversion'!$A:$A,match($C3440,'Year Conversion'!$B:$B,0)),$Y:$Y,0))-J3440,"")</f>
        <v/>
      </c>
      <c r="AB3440" s="168" t="str">
        <f t="array" ref="AB3440">iferror(index(K:K,match($A3440&amp;","&amp;index('Year Conversion'!$A:$A,match($C3440,'Year Conversion'!$B:$B,0)),$Y:$Y,0))-K3440,"")</f>
        <v/>
      </c>
      <c r="AC3440" s="168" t="str">
        <f t="shared" si="7"/>
        <v>CHO,2019-20</v>
      </c>
    </row>
    <row r="3441">
      <c r="A3441" s="161" t="str">
        <f>IFERROR(__xludf.DUMMYFUNCTION("""COMPUTED_VALUE"""),"broekry01")</f>
        <v>broekry01</v>
      </c>
      <c r="B3441" s="161" t="str">
        <f>IFERROR(__xludf.DUMMYFUNCTION("""COMPUTED_VALUE"""),"Ryan Broekhoff")</f>
        <v>Ryan Broekhoff</v>
      </c>
      <c r="C3441" s="162" t="str">
        <f>IFERROR(__xludf.DUMMYFUNCTION("""COMPUTED_VALUE"""),"2019-20")</f>
        <v>2019-20</v>
      </c>
      <c r="D3441" s="163" t="str">
        <f>IFERROR(__xludf.DUMMYFUNCTION("""COMPUTED_VALUE"""),"DAL")</f>
        <v>DAL</v>
      </c>
      <c r="E3441" s="164" t="str">
        <f>IFERROR(__xludf.DUMMYFUNCTION("""COMPUTED_VALUE"""),"Movement Shooter")</f>
        <v>Movement Shooter</v>
      </c>
      <c r="F3441" s="164">
        <f>IFERROR(__xludf.DUMMYFUNCTION("""COMPUTED_VALUE"""),180.118333333333)</f>
        <v>180.1183333</v>
      </c>
      <c r="G3441" s="163">
        <f>IFERROR(__xludf.DUMMYFUNCTION("""COMPUTED_VALUE"""),17.0)</f>
        <v>17</v>
      </c>
      <c r="H3441" s="163" t="str">
        <f>IFERROR(__xludf.DUMMYFUNCTION("""COMPUTED_VALUE"""),"SF")</f>
        <v>SF</v>
      </c>
      <c r="I3441" s="163">
        <f>IFERROR(__xludf.DUMMYFUNCTION("""COMPUTED_VALUE"""),29.0)</f>
        <v>29</v>
      </c>
      <c r="J3441" s="165">
        <f>IFERROR(__xludf.DUMMYFUNCTION("""COMPUTED_VALUE"""),-1.08351150579953)</f>
        <v>-1.083511506</v>
      </c>
      <c r="K3441" s="165">
        <f>IFERROR(__xludf.DUMMYFUNCTION("""COMPUTED_VALUE"""),-0.465053580608938)</f>
        <v>-0.4650535806</v>
      </c>
      <c r="L3441" s="165">
        <f>IFERROR(__xludf.DUMMYFUNCTION("""COMPUTED_VALUE"""),-0.618457925190588)</f>
        <v>-0.6184579252</v>
      </c>
      <c r="M3441" s="166">
        <f t="shared" si="2"/>
        <v>0.1463215196</v>
      </c>
      <c r="N3441" s="167">
        <f t="shared" si="3"/>
        <v>10.59519608</v>
      </c>
      <c r="O3441" s="163">
        <f t="shared" ref="O3441:Q3441" si="3445">rank(I3441,I:I)</f>
        <v>855</v>
      </c>
      <c r="P3441" s="163">
        <f t="shared" si="3445"/>
        <v>2591</v>
      </c>
      <c r="Q3441" s="163">
        <f t="shared" si="3445"/>
        <v>2056</v>
      </c>
      <c r="R3441" s="163">
        <f>IFERROR(__xludf.DUMMYFUNCTION("RANK(M3441,filter(M:M,C:C=C3441))"),359.0)</f>
        <v>359</v>
      </c>
      <c r="S3441" s="161" t="b">
        <f t="shared" si="5"/>
        <v>0</v>
      </c>
      <c r="T3441" s="161" t="b">
        <f t="array" ref="T3441">index('Query Tool'!B:B,match(H3441,'Query Tool'!C:C,0))</f>
        <v>1</v>
      </c>
      <c r="U3441" s="161" t="b">
        <f t="array" ref="U3441">index('Query Tool'!B:B,match(C3441,'Query Tool'!C:C,0))</f>
        <v>0</v>
      </c>
      <c r="V3441" s="161" t="b">
        <f>F3441&gt;='Query Tool'!C$32</f>
        <v>0</v>
      </c>
      <c r="W3441" s="161" t="b">
        <f t="array" ref="W3441">index(Dropdowns!B:B,match(I3441,Dropdowns!A:A,0))</f>
        <v>1</v>
      </c>
      <c r="X3441" s="161" t="b">
        <f t="array" ref="X3441">index('Query Tool'!B:B,match(D3441,'Query Tool'!C:C,0))</f>
        <v>1</v>
      </c>
      <c r="Y3441" s="161" t="str">
        <f t="shared" si="6"/>
        <v>broekry01,2019-20</v>
      </c>
      <c r="Z3441" s="168" t="str">
        <f t="array" ref="Z3441">iferror(index(I:I,match($A3441&amp;","&amp;index('Year Conversion'!$A:$A,match($C3441,'Year Conversion'!$B:$B,0)),$Y:$Y,0))-I3441,"")</f>
        <v/>
      </c>
      <c r="AA3441" s="168" t="str">
        <f t="array" ref="AA3441">iferror(index(J:J,match($A3441&amp;","&amp;index('Year Conversion'!$A:$A,match($C3441,'Year Conversion'!$B:$B,0)),$Y:$Y,0))-J3441,"")</f>
        <v/>
      </c>
      <c r="AB3441" s="168" t="str">
        <f t="array" ref="AB3441">iferror(index(K:K,match($A3441&amp;","&amp;index('Year Conversion'!$A:$A,match($C3441,'Year Conversion'!$B:$B,0)),$Y:$Y,0))-K3441,"")</f>
        <v/>
      </c>
      <c r="AC3441" s="168" t="str">
        <f t="shared" si="7"/>
        <v>DAL,2019-20</v>
      </c>
    </row>
    <row r="3442">
      <c r="A3442" s="161" t="str">
        <f>IFERROR(__xludf.DUMMYFUNCTION("""COMPUTED_VALUE"""),"mclaujo01")</f>
        <v>mclaujo01</v>
      </c>
      <c r="B3442" s="161" t="str">
        <f>IFERROR(__xludf.DUMMYFUNCTION("""COMPUTED_VALUE"""),"Jordan McLaughlin")</f>
        <v>Jordan McLaughlin</v>
      </c>
      <c r="C3442" s="162" t="str">
        <f>IFERROR(__xludf.DUMMYFUNCTION("""COMPUTED_VALUE"""),"2019-20")</f>
        <v>2019-20</v>
      </c>
      <c r="D3442" s="163" t="str">
        <f>IFERROR(__xludf.DUMMYFUNCTION("""COMPUTED_VALUE"""),"MIN")</f>
        <v>MIN</v>
      </c>
      <c r="E3442" s="164" t="str">
        <f>IFERROR(__xludf.DUMMYFUNCTION("""COMPUTED_VALUE"""),"Primary Ball Handler")</f>
        <v>Primary Ball Handler</v>
      </c>
      <c r="F3442" s="164">
        <f>IFERROR(__xludf.DUMMYFUNCTION("""COMPUTED_VALUE"""),590.446666666666)</f>
        <v>590.4466667</v>
      </c>
      <c r="G3442" s="163">
        <f>IFERROR(__xludf.DUMMYFUNCTION("""COMPUTED_VALUE"""),30.0)</f>
        <v>30</v>
      </c>
      <c r="H3442" s="163" t="str">
        <f>IFERROR(__xludf.DUMMYFUNCTION("""COMPUTED_VALUE"""),"PG")</f>
        <v>PG</v>
      </c>
      <c r="I3442" s="163">
        <f>IFERROR(__xludf.DUMMYFUNCTION("""COMPUTED_VALUE"""),23.0)</f>
        <v>23</v>
      </c>
      <c r="J3442" s="165">
        <f>IFERROR(__xludf.DUMMYFUNCTION("""COMPUTED_VALUE"""),-0.847722524444832)</f>
        <v>-0.8477225244</v>
      </c>
      <c r="K3442" s="165">
        <f>IFERROR(__xludf.DUMMYFUNCTION("""COMPUTED_VALUE"""),0.071130930081909)</f>
        <v>0.07113093008</v>
      </c>
      <c r="L3442" s="165">
        <f>IFERROR(__xludf.DUMMYFUNCTION("""COMPUTED_VALUE"""),-0.918853454526741)</f>
        <v>-0.9188534545</v>
      </c>
      <c r="M3442" s="166">
        <f t="shared" si="2"/>
        <v>0.5731528698</v>
      </c>
      <c r="N3442" s="167">
        <f t="shared" si="3"/>
        <v>19.68155556</v>
      </c>
      <c r="O3442" s="163">
        <f t="shared" ref="O3442:Q3442" si="3446">rank(I3442,I:I)</f>
        <v>2765</v>
      </c>
      <c r="P3442" s="163">
        <f t="shared" si="3446"/>
        <v>2344</v>
      </c>
      <c r="Q3442" s="163">
        <f t="shared" si="3446"/>
        <v>1106</v>
      </c>
      <c r="R3442" s="163">
        <f>IFERROR(__xludf.DUMMYFUNCTION("RANK(M3442,filter(M:M,C:C=C3442))"),245.0)</f>
        <v>245</v>
      </c>
      <c r="S3442" s="161" t="b">
        <f t="shared" si="5"/>
        <v>0</v>
      </c>
      <c r="T3442" s="161" t="b">
        <f t="array" ref="T3442">index('Query Tool'!B:B,match(H3442,'Query Tool'!C:C,0))</f>
        <v>1</v>
      </c>
      <c r="U3442" s="161" t="b">
        <f t="array" ref="U3442">index('Query Tool'!B:B,match(C3442,'Query Tool'!C:C,0))</f>
        <v>0</v>
      </c>
      <c r="V3442" s="161" t="b">
        <f>F3442&gt;='Query Tool'!C$32</f>
        <v>1</v>
      </c>
      <c r="W3442" s="161" t="b">
        <f t="array" ref="W3442">index(Dropdowns!B:B,match(I3442,Dropdowns!A:A,0))</f>
        <v>1</v>
      </c>
      <c r="X3442" s="161" t="b">
        <f t="array" ref="X3442">index('Query Tool'!B:B,match(D3442,'Query Tool'!C:C,0))</f>
        <v>1</v>
      </c>
      <c r="Y3442" s="161" t="str">
        <f t="shared" si="6"/>
        <v>mclaujo01,2019-20</v>
      </c>
      <c r="Z3442" s="168" t="str">
        <f t="array" ref="Z3442">iferror(index(I:I,match($A3442&amp;","&amp;index('Year Conversion'!$A:$A,match($C3442,'Year Conversion'!$B:$B,0)),$Y:$Y,0))-I3442,"")</f>
        <v/>
      </c>
      <c r="AA3442" s="168" t="str">
        <f t="array" ref="AA3442">iferror(index(J:J,match($A3442&amp;","&amp;index('Year Conversion'!$A:$A,match($C3442,'Year Conversion'!$B:$B,0)),$Y:$Y,0))-J3442,"")</f>
        <v/>
      </c>
      <c r="AB3442" s="168" t="str">
        <f t="array" ref="AB3442">iferror(index(K:K,match($A3442&amp;","&amp;index('Year Conversion'!$A:$A,match($C3442,'Year Conversion'!$B:$B,0)),$Y:$Y,0))-K3442,"")</f>
        <v/>
      </c>
      <c r="AC3442" s="168" t="str">
        <f t="shared" si="7"/>
        <v>MIN,2019-20</v>
      </c>
    </row>
    <row r="3443">
      <c r="A3443" s="161" t="str">
        <f>IFERROR(__xludf.DUMMYFUNCTION("""COMPUTED_VALUE"""),"goodwbr01")</f>
        <v>goodwbr01</v>
      </c>
      <c r="B3443" s="161" t="str">
        <f>IFERROR(__xludf.DUMMYFUNCTION("""COMPUTED_VALUE"""),"Brandon Goodwin")</f>
        <v>Brandon Goodwin</v>
      </c>
      <c r="C3443" s="162" t="str">
        <f>IFERROR(__xludf.DUMMYFUNCTION("""COMPUTED_VALUE"""),"2019-20")</f>
        <v>2019-20</v>
      </c>
      <c r="D3443" s="163" t="str">
        <f>IFERROR(__xludf.DUMMYFUNCTION("""COMPUTED_VALUE"""),"ATL")</f>
        <v>ATL</v>
      </c>
      <c r="E3443" s="164" t="str">
        <f>IFERROR(__xludf.DUMMYFUNCTION("""COMPUTED_VALUE"""),"Secondary Ball Handler")</f>
        <v>Secondary Ball Handler</v>
      </c>
      <c r="F3443" s="164">
        <f>IFERROR(__xludf.DUMMYFUNCTION("""COMPUTED_VALUE"""),430.466666666667)</f>
        <v>430.4666667</v>
      </c>
      <c r="G3443" s="163">
        <f>IFERROR(__xludf.DUMMYFUNCTION("""COMPUTED_VALUE"""),34.0)</f>
        <v>34</v>
      </c>
      <c r="H3443" s="163" t="str">
        <f>IFERROR(__xludf.DUMMYFUNCTION("""COMPUTED_VALUE"""),"PG")</f>
        <v>PG</v>
      </c>
      <c r="I3443" s="163">
        <f>IFERROR(__xludf.DUMMYFUNCTION("""COMPUTED_VALUE"""),24.0)</f>
        <v>24</v>
      </c>
      <c r="J3443" s="165">
        <f>IFERROR(__xludf.DUMMYFUNCTION("""COMPUTED_VALUE"""),-1.26131757393578)</f>
        <v>-1.261317574</v>
      </c>
      <c r="K3443" s="165">
        <f>IFERROR(__xludf.DUMMYFUNCTION("""COMPUTED_VALUE"""),-0.624651763427495)</f>
        <v>-0.6246517634</v>
      </c>
      <c r="L3443" s="165">
        <f>IFERROR(__xludf.DUMMYFUNCTION("""COMPUTED_VALUE"""),-0.636665810508282)</f>
        <v>-0.6366658105</v>
      </c>
      <c r="M3443" s="166">
        <f t="shared" si="2"/>
        <v>0.2983881381</v>
      </c>
      <c r="N3443" s="167">
        <f t="shared" si="3"/>
        <v>12.66078431</v>
      </c>
      <c r="O3443" s="163">
        <f t="shared" ref="O3443:Q3443" si="3447">rank(I3443,I:I)</f>
        <v>2361</v>
      </c>
      <c r="P3443" s="163">
        <f t="shared" si="3447"/>
        <v>2827</v>
      </c>
      <c r="Q3443" s="163">
        <f t="shared" si="3447"/>
        <v>2300</v>
      </c>
      <c r="R3443" s="163">
        <f>IFERROR(__xludf.DUMMYFUNCTION("RANK(M3443,filter(M:M,C:C=C3443))"),303.0)</f>
        <v>303</v>
      </c>
      <c r="S3443" s="161" t="b">
        <f t="shared" si="5"/>
        <v>0</v>
      </c>
      <c r="T3443" s="161" t="b">
        <f t="array" ref="T3443">index('Query Tool'!B:B,match(H3443,'Query Tool'!C:C,0))</f>
        <v>1</v>
      </c>
      <c r="U3443" s="161" t="b">
        <f t="array" ref="U3443">index('Query Tool'!B:B,match(C3443,'Query Tool'!C:C,0))</f>
        <v>0</v>
      </c>
      <c r="V3443" s="161" t="b">
        <f>F3443&gt;='Query Tool'!C$32</f>
        <v>0</v>
      </c>
      <c r="W3443" s="161" t="b">
        <f t="array" ref="W3443">index(Dropdowns!B:B,match(I3443,Dropdowns!A:A,0))</f>
        <v>1</v>
      </c>
      <c r="X3443" s="161" t="b">
        <f t="array" ref="X3443">index('Query Tool'!B:B,match(D3443,'Query Tool'!C:C,0))</f>
        <v>1</v>
      </c>
      <c r="Y3443" s="161" t="str">
        <f t="shared" si="6"/>
        <v>goodwbr01,2019-20</v>
      </c>
      <c r="Z3443" s="168" t="str">
        <f t="array" ref="Z3443">iferror(index(I:I,match($A3443&amp;","&amp;index('Year Conversion'!$A:$A,match($C3443,'Year Conversion'!$B:$B,0)),$Y:$Y,0))-I3443,"")</f>
        <v/>
      </c>
      <c r="AA3443" s="168" t="str">
        <f t="array" ref="AA3443">iferror(index(J:J,match($A3443&amp;","&amp;index('Year Conversion'!$A:$A,match($C3443,'Year Conversion'!$B:$B,0)),$Y:$Y,0))-J3443,"")</f>
        <v/>
      </c>
      <c r="AB3443" s="168" t="str">
        <f t="array" ref="AB3443">iferror(index(K:K,match($A3443&amp;","&amp;index('Year Conversion'!$A:$A,match($C3443,'Year Conversion'!$B:$B,0)),$Y:$Y,0))-K3443,"")</f>
        <v/>
      </c>
      <c r="AC3443" s="168" t="str">
        <f t="shared" si="7"/>
        <v>ATL,2019-20</v>
      </c>
    </row>
    <row r="3444">
      <c r="A3444" s="161" t="str">
        <f>IFERROR(__xludf.DUMMYFUNCTION("""COMPUTED_VALUE"""),"johnsbj01")</f>
        <v>johnsbj01</v>
      </c>
      <c r="B3444" s="161" t="str">
        <f>IFERROR(__xludf.DUMMYFUNCTION("""COMPUTED_VALUE"""),"BJ Johnson")</f>
        <v>BJ Johnson</v>
      </c>
      <c r="C3444" s="162" t="str">
        <f>IFERROR(__xludf.DUMMYFUNCTION("""COMPUTED_VALUE"""),"2019-20")</f>
        <v>2019-20</v>
      </c>
      <c r="D3444" s="163" t="str">
        <f>IFERROR(__xludf.DUMMYFUNCTION("""COMPUTED_VALUE"""),"ORL")</f>
        <v>ORL</v>
      </c>
      <c r="E3444" s="164" t="str">
        <f>IFERROR(__xludf.DUMMYFUNCTION("""COMPUTED_VALUE"""),"Secondary Ball Handler")</f>
        <v>Secondary Ball Handler</v>
      </c>
      <c r="F3444" s="164">
        <f>IFERROR(__xludf.DUMMYFUNCTION("""COMPUTED_VALUE"""),82.5666666666667)</f>
        <v>82.56666667</v>
      </c>
      <c r="G3444" s="163">
        <f>IFERROR(__xludf.DUMMYFUNCTION("""COMPUTED_VALUE"""),10.0)</f>
        <v>10</v>
      </c>
      <c r="H3444" s="163" t="str">
        <f>IFERROR(__xludf.DUMMYFUNCTION("""COMPUTED_VALUE"""),"SF")</f>
        <v>SF</v>
      </c>
      <c r="I3444" s="163">
        <f>IFERROR(__xludf.DUMMYFUNCTION("""COMPUTED_VALUE"""),24.0)</f>
        <v>24</v>
      </c>
      <c r="J3444" s="165">
        <f>IFERROR(__xludf.DUMMYFUNCTION("""COMPUTED_VALUE"""),-0.834168637481774)</f>
        <v>-0.8341686375</v>
      </c>
      <c r="K3444" s="165">
        <f>IFERROR(__xludf.DUMMYFUNCTION("""COMPUTED_VALUE"""),-0.603452705730817)</f>
        <v>-0.6034527057</v>
      </c>
      <c r="L3444" s="165">
        <f>IFERROR(__xludf.DUMMYFUNCTION("""COMPUTED_VALUE"""),-0.230715931750957)</f>
        <v>-0.2307159318</v>
      </c>
      <c r="M3444" s="166">
        <f t="shared" si="2"/>
        <v>0.08090060896</v>
      </c>
      <c r="N3444" s="167">
        <f t="shared" si="3"/>
        <v>8.256666667</v>
      </c>
      <c r="O3444" s="163">
        <f t="shared" ref="O3444:Q3444" si="3448">rank(I3444,I:I)</f>
        <v>2361</v>
      </c>
      <c r="P3444" s="163">
        <f t="shared" si="3448"/>
        <v>2328</v>
      </c>
      <c r="Q3444" s="163">
        <f t="shared" si="3448"/>
        <v>2267</v>
      </c>
      <c r="R3444" s="163">
        <f>IFERROR(__xludf.DUMMYFUNCTION("RANK(M3444,filter(M:M,C:C=C3444))"),402.0)</f>
        <v>402</v>
      </c>
      <c r="S3444" s="161" t="b">
        <f t="shared" si="5"/>
        <v>0</v>
      </c>
      <c r="T3444" s="161" t="b">
        <f t="array" ref="T3444">index('Query Tool'!B:B,match(H3444,'Query Tool'!C:C,0))</f>
        <v>1</v>
      </c>
      <c r="U3444" s="161" t="b">
        <f t="array" ref="U3444">index('Query Tool'!B:B,match(C3444,'Query Tool'!C:C,0))</f>
        <v>0</v>
      </c>
      <c r="V3444" s="161" t="b">
        <f>F3444&gt;='Query Tool'!C$32</f>
        <v>0</v>
      </c>
      <c r="W3444" s="161" t="b">
        <f t="array" ref="W3444">index(Dropdowns!B:B,match(I3444,Dropdowns!A:A,0))</f>
        <v>1</v>
      </c>
      <c r="X3444" s="161" t="b">
        <f t="array" ref="X3444">index('Query Tool'!B:B,match(D3444,'Query Tool'!C:C,0))</f>
        <v>1</v>
      </c>
      <c r="Y3444" s="161" t="str">
        <f t="shared" si="6"/>
        <v>johnsbj01,2019-20</v>
      </c>
      <c r="Z3444" s="168" t="str">
        <f t="array" ref="Z3444">iferror(index(I:I,match($A3444&amp;","&amp;index('Year Conversion'!$A:$A,match($C3444,'Year Conversion'!$B:$B,0)),$Y:$Y,0))-I3444,"")</f>
        <v/>
      </c>
      <c r="AA3444" s="168" t="str">
        <f t="array" ref="AA3444">iferror(index(J:J,match($A3444&amp;","&amp;index('Year Conversion'!$A:$A,match($C3444,'Year Conversion'!$B:$B,0)),$Y:$Y,0))-J3444,"")</f>
        <v/>
      </c>
      <c r="AB3444" s="168" t="str">
        <f t="array" ref="AB3444">iferror(index(K:K,match($A3444&amp;","&amp;index('Year Conversion'!$A:$A,match($C3444,'Year Conversion'!$B:$B,0)),$Y:$Y,0))-K3444,"")</f>
        <v/>
      </c>
      <c r="AC3444" s="168" t="str">
        <f t="shared" si="7"/>
        <v>ORL,2019-20</v>
      </c>
    </row>
    <row r="3445">
      <c r="A3445" s="161" t="str">
        <f>IFERROR(__xludf.DUMMYFUNCTION("""COMPUTED_VALUE"""),"chiozch01")</f>
        <v>chiozch01</v>
      </c>
      <c r="B3445" s="161" t="str">
        <f>IFERROR(__xludf.DUMMYFUNCTION("""COMPUTED_VALUE"""),"Chris Chiozza")</f>
        <v>Chris Chiozza</v>
      </c>
      <c r="C3445" s="162" t="str">
        <f>IFERROR(__xludf.DUMMYFUNCTION("""COMPUTED_VALUE"""),"2019-20")</f>
        <v>2019-20</v>
      </c>
      <c r="D3445" s="163" t="str">
        <f>IFERROR(__xludf.DUMMYFUNCTION("""COMPUTED_VALUE"""),"TOT")</f>
        <v>TOT</v>
      </c>
      <c r="E3445" s="164" t="str">
        <f>IFERROR(__xludf.DUMMYFUNCTION("""COMPUTED_VALUE"""),"Secondary Ball Handler")</f>
        <v>Secondary Ball Handler</v>
      </c>
      <c r="F3445" s="164">
        <f>IFERROR(__xludf.DUMMYFUNCTION("""COMPUTED_VALUE"""),400.961666666667)</f>
        <v>400.9616667</v>
      </c>
      <c r="G3445" s="163">
        <f>IFERROR(__xludf.DUMMYFUNCTION("""COMPUTED_VALUE"""),28.0)</f>
        <v>28</v>
      </c>
      <c r="H3445" s="163" t="str">
        <f>IFERROR(__xludf.DUMMYFUNCTION("""COMPUTED_VALUE"""),"PG")</f>
        <v>PG</v>
      </c>
      <c r="I3445" s="163">
        <f>IFERROR(__xludf.DUMMYFUNCTION("""COMPUTED_VALUE"""),24.0)</f>
        <v>24</v>
      </c>
      <c r="J3445" s="165">
        <f>IFERROR(__xludf.DUMMYFUNCTION("""COMPUTED_VALUE"""),0.601726719731412)</f>
        <v>0.6017267197</v>
      </c>
      <c r="K3445" s="165">
        <f>IFERROR(__xludf.DUMMYFUNCTION("""COMPUTED_VALUE"""),0.302368075494719)</f>
        <v>0.3023680755</v>
      </c>
      <c r="L3445" s="165">
        <f>IFERROR(__xludf.DUMMYFUNCTION("""COMPUTED_VALUE"""),0.299358644236694)</f>
        <v>0.2993586442</v>
      </c>
      <c r="M3445" s="166">
        <f t="shared" si="2"/>
        <v>0.7807288062</v>
      </c>
      <c r="N3445" s="167">
        <f t="shared" si="3"/>
        <v>14.32005952</v>
      </c>
      <c r="O3445" s="163">
        <f t="shared" ref="O3445:Q3445" si="3449">rank(I3445,I:I)</f>
        <v>2361</v>
      </c>
      <c r="P3445" s="163">
        <f t="shared" si="3449"/>
        <v>844</v>
      </c>
      <c r="Q3445" s="163">
        <f t="shared" si="3449"/>
        <v>905</v>
      </c>
      <c r="R3445" s="163">
        <f>IFERROR(__xludf.DUMMYFUNCTION("RANK(M3445,filter(M:M,C:C=C3445))"),226.0)</f>
        <v>226</v>
      </c>
      <c r="S3445" s="161" t="b">
        <f t="shared" si="5"/>
        <v>0</v>
      </c>
      <c r="T3445" s="161" t="b">
        <f t="array" ref="T3445">index('Query Tool'!B:B,match(H3445,'Query Tool'!C:C,0))</f>
        <v>1</v>
      </c>
      <c r="U3445" s="161" t="b">
        <f t="array" ref="U3445">index('Query Tool'!B:B,match(C3445,'Query Tool'!C:C,0))</f>
        <v>0</v>
      </c>
      <c r="V3445" s="161" t="b">
        <f>F3445&gt;='Query Tool'!C$32</f>
        <v>0</v>
      </c>
      <c r="W3445" s="161" t="b">
        <f t="array" ref="W3445">index(Dropdowns!B:B,match(I3445,Dropdowns!A:A,0))</f>
        <v>1</v>
      </c>
      <c r="X3445" s="161" t="b">
        <f t="array" ref="X3445">index('Query Tool'!B:B,match(D3445,'Query Tool'!C:C,0))</f>
        <v>1</v>
      </c>
      <c r="Y3445" s="161" t="str">
        <f t="shared" si="6"/>
        <v>chiozch01,2019-20</v>
      </c>
      <c r="Z3445" s="168" t="str">
        <f t="array" ref="Z3445">iferror(index(I:I,match($A3445&amp;","&amp;index('Year Conversion'!$A:$A,match($C3445,'Year Conversion'!$B:$B,0)),$Y:$Y,0))-I3445,"")</f>
        <v/>
      </c>
      <c r="AA3445" s="168" t="str">
        <f t="array" ref="AA3445">iferror(index(J:J,match($A3445&amp;","&amp;index('Year Conversion'!$A:$A,match($C3445,'Year Conversion'!$B:$B,0)),$Y:$Y,0))-J3445,"")</f>
        <v/>
      </c>
      <c r="AB3445" s="168" t="str">
        <f t="array" ref="AB3445">iferror(index(K:K,match($A3445&amp;","&amp;index('Year Conversion'!$A:$A,match($C3445,'Year Conversion'!$B:$B,0)),$Y:$Y,0))-K3445,"")</f>
        <v/>
      </c>
      <c r="AC3445" s="168" t="str">
        <f t="shared" si="7"/>
        <v>TOT,2019-20</v>
      </c>
    </row>
    <row r="3446">
      <c r="A3446" s="161" t="str">
        <f>IFERROR(__xludf.DUMMYFUNCTION("""COMPUTED_VALUE"""),"vincega01")</f>
        <v>vincega01</v>
      </c>
      <c r="B3446" s="161" t="str">
        <f>IFERROR(__xludf.DUMMYFUNCTION("""COMPUTED_VALUE"""),"Gabe Vincent")</f>
        <v>Gabe Vincent</v>
      </c>
      <c r="C3446" s="162" t="str">
        <f>IFERROR(__xludf.DUMMYFUNCTION("""COMPUTED_VALUE"""),"2019-20")</f>
        <v>2019-20</v>
      </c>
      <c r="D3446" s="163" t="str">
        <f>IFERROR(__xludf.DUMMYFUNCTION("""COMPUTED_VALUE"""),"MIA")</f>
        <v>MIA</v>
      </c>
      <c r="E3446" s="164" t="str">
        <f>IFERROR(__xludf.DUMMYFUNCTION("""COMPUTED_VALUE"""),"Movement Shooter")</f>
        <v>Movement Shooter</v>
      </c>
      <c r="F3446" s="164">
        <f>IFERROR(__xludf.DUMMYFUNCTION("""COMPUTED_VALUE"""),82.8116666666667)</f>
        <v>82.81166667</v>
      </c>
      <c r="G3446" s="163">
        <f>IFERROR(__xludf.DUMMYFUNCTION("""COMPUTED_VALUE"""),9.0)</f>
        <v>9</v>
      </c>
      <c r="H3446" s="163" t="str">
        <f>IFERROR(__xludf.DUMMYFUNCTION("""COMPUTED_VALUE"""),"PG")</f>
        <v>PG</v>
      </c>
      <c r="I3446" s="163">
        <f>IFERROR(__xludf.DUMMYFUNCTION("""COMPUTED_VALUE"""),23.0)</f>
        <v>23</v>
      </c>
      <c r="J3446" s="165">
        <f>IFERROR(__xludf.DUMMYFUNCTION("""COMPUTED_VALUE"""),-0.64441952327607)</f>
        <v>-0.6444195233</v>
      </c>
      <c r="K3446" s="165">
        <f>IFERROR(__xludf.DUMMYFUNCTION("""COMPUTED_VALUE"""),-0.335158710961998)</f>
        <v>-0.335158711</v>
      </c>
      <c r="L3446" s="165">
        <f>IFERROR(__xludf.DUMMYFUNCTION("""COMPUTED_VALUE"""),-0.309260812314072)</f>
        <v>-0.3092608123</v>
      </c>
      <c r="M3446" s="166">
        <f t="shared" si="2"/>
        <v>0.09171028144</v>
      </c>
      <c r="N3446" s="167">
        <f t="shared" si="3"/>
        <v>9.201296296</v>
      </c>
      <c r="O3446" s="163">
        <f t="shared" ref="O3446:Q3446" si="3450">rank(I3446,I:I)</f>
        <v>2765</v>
      </c>
      <c r="P3446" s="163">
        <f t="shared" si="3450"/>
        <v>2055</v>
      </c>
      <c r="Q3446" s="163">
        <f t="shared" si="3450"/>
        <v>1824</v>
      </c>
      <c r="R3446" s="163">
        <f>IFERROR(__xludf.DUMMYFUNCTION("RANK(M3446,filter(M:M,C:C=C3446))"),392.0)</f>
        <v>392</v>
      </c>
      <c r="S3446" s="161" t="b">
        <f t="shared" si="5"/>
        <v>0</v>
      </c>
      <c r="T3446" s="161" t="b">
        <f t="array" ref="T3446">index('Query Tool'!B:B,match(H3446,'Query Tool'!C:C,0))</f>
        <v>1</v>
      </c>
      <c r="U3446" s="161" t="b">
        <f t="array" ref="U3446">index('Query Tool'!B:B,match(C3446,'Query Tool'!C:C,0))</f>
        <v>0</v>
      </c>
      <c r="V3446" s="161" t="b">
        <f>F3446&gt;='Query Tool'!C$32</f>
        <v>0</v>
      </c>
      <c r="W3446" s="161" t="b">
        <f t="array" ref="W3446">index(Dropdowns!B:B,match(I3446,Dropdowns!A:A,0))</f>
        <v>1</v>
      </c>
      <c r="X3446" s="161" t="b">
        <f t="array" ref="X3446">index('Query Tool'!B:B,match(D3446,'Query Tool'!C:C,0))</f>
        <v>1</v>
      </c>
      <c r="Y3446" s="161" t="str">
        <f t="shared" si="6"/>
        <v>vincega01,2019-20</v>
      </c>
      <c r="Z3446" s="168" t="str">
        <f t="array" ref="Z3446">iferror(index(I:I,match($A3446&amp;","&amp;index('Year Conversion'!$A:$A,match($C3446,'Year Conversion'!$B:$B,0)),$Y:$Y,0))-I3446,"")</f>
        <v/>
      </c>
      <c r="AA3446" s="168" t="str">
        <f t="array" ref="AA3446">iferror(index(J:J,match($A3446&amp;","&amp;index('Year Conversion'!$A:$A,match($C3446,'Year Conversion'!$B:$B,0)),$Y:$Y,0))-J3446,"")</f>
        <v/>
      </c>
      <c r="AB3446" s="168" t="str">
        <f t="array" ref="AB3446">iferror(index(K:K,match($A3446&amp;","&amp;index('Year Conversion'!$A:$A,match($C3446,'Year Conversion'!$B:$B,0)),$Y:$Y,0))-K3446,"")</f>
        <v/>
      </c>
      <c r="AC3446" s="168" t="str">
        <f t="shared" si="7"/>
        <v>MIA,2019-20</v>
      </c>
    </row>
    <row r="3447">
      <c r="A3447" s="161" t="str">
        <f>IFERROR(__xludf.DUMMYFUNCTION("""COMPUTED_VALUE"""),"eubandr01")</f>
        <v>eubandr01</v>
      </c>
      <c r="B3447" s="161" t="str">
        <f>IFERROR(__xludf.DUMMYFUNCTION("""COMPUTED_VALUE"""),"Drew Eubanks")</f>
        <v>Drew Eubanks</v>
      </c>
      <c r="C3447" s="162" t="str">
        <f>IFERROR(__xludf.DUMMYFUNCTION("""COMPUTED_VALUE"""),"2019-20")</f>
        <v>2019-20</v>
      </c>
      <c r="D3447" s="163" t="str">
        <f>IFERROR(__xludf.DUMMYFUNCTION("""COMPUTED_VALUE"""),"SAS")</f>
        <v>SAS</v>
      </c>
      <c r="E3447" s="164" t="str">
        <f>IFERROR(__xludf.DUMMYFUNCTION("""COMPUTED_VALUE"""),"Post Scorer")</f>
        <v>Post Scorer</v>
      </c>
      <c r="F3447" s="164">
        <f>IFERROR(__xludf.DUMMYFUNCTION("""COMPUTED_VALUE"""),272.22)</f>
        <v>272.22</v>
      </c>
      <c r="G3447" s="163">
        <f>IFERROR(__xludf.DUMMYFUNCTION("""COMPUTED_VALUE"""),22.0)</f>
        <v>22</v>
      </c>
      <c r="H3447" s="163" t="str">
        <f>IFERROR(__xludf.DUMMYFUNCTION("""COMPUTED_VALUE"""),"C")</f>
        <v>C</v>
      </c>
      <c r="I3447" s="163">
        <f>IFERROR(__xludf.DUMMYFUNCTION("""COMPUTED_VALUE"""),22.0)</f>
        <v>22</v>
      </c>
      <c r="J3447" s="165">
        <f>IFERROR(__xludf.DUMMYFUNCTION("""COMPUTED_VALUE"""),-1.21856107687488)</f>
        <v>-1.218561077</v>
      </c>
      <c r="K3447" s="165">
        <f>IFERROR(__xludf.DUMMYFUNCTION("""COMPUTED_VALUE"""),-1.97612416760786)</f>
        <v>-1.976124168</v>
      </c>
      <c r="L3447" s="165">
        <f>IFERROR(__xludf.DUMMYFUNCTION("""COMPUTED_VALUE"""),0.75756309073298)</f>
        <v>0.7575630907</v>
      </c>
      <c r="M3447" s="166">
        <f t="shared" si="2"/>
        <v>0.1964926653</v>
      </c>
      <c r="N3447" s="167">
        <f t="shared" si="3"/>
        <v>12.37363636</v>
      </c>
      <c r="O3447" s="163">
        <f t="shared" ref="O3447:Q3447" si="3451">rank(I3447,I:I)</f>
        <v>3178</v>
      </c>
      <c r="P3447" s="163">
        <f t="shared" si="3451"/>
        <v>2769</v>
      </c>
      <c r="Q3447" s="163">
        <f t="shared" si="3451"/>
        <v>3702</v>
      </c>
      <c r="R3447" s="163">
        <f>IFERROR(__xludf.DUMMYFUNCTION("RANK(M3447,filter(M:M,C:C=C3447))"),340.0)</f>
        <v>340</v>
      </c>
      <c r="S3447" s="161" t="b">
        <f t="shared" si="5"/>
        <v>0</v>
      </c>
      <c r="T3447" s="161" t="b">
        <f t="array" ref="T3447">index('Query Tool'!B:B,match(H3447,'Query Tool'!C:C,0))</f>
        <v>1</v>
      </c>
      <c r="U3447" s="161" t="b">
        <f t="array" ref="U3447">index('Query Tool'!B:B,match(C3447,'Query Tool'!C:C,0))</f>
        <v>0</v>
      </c>
      <c r="V3447" s="161" t="b">
        <f>F3447&gt;='Query Tool'!C$32</f>
        <v>0</v>
      </c>
      <c r="W3447" s="161" t="b">
        <f t="array" ref="W3447">index(Dropdowns!B:B,match(I3447,Dropdowns!A:A,0))</f>
        <v>1</v>
      </c>
      <c r="X3447" s="161" t="b">
        <f t="array" ref="X3447">index('Query Tool'!B:B,match(D3447,'Query Tool'!C:C,0))</f>
        <v>1</v>
      </c>
      <c r="Y3447" s="161" t="str">
        <f t="shared" si="6"/>
        <v>eubandr01,2019-20</v>
      </c>
      <c r="Z3447" s="168" t="str">
        <f t="array" ref="Z3447">iferror(index(I:I,match($A3447&amp;","&amp;index('Year Conversion'!$A:$A,match($C3447,'Year Conversion'!$B:$B,0)),$Y:$Y,0))-I3447,"")</f>
        <v/>
      </c>
      <c r="AA3447" s="168" t="str">
        <f t="array" ref="AA3447">iferror(index(J:J,match($A3447&amp;","&amp;index('Year Conversion'!$A:$A,match($C3447,'Year Conversion'!$B:$B,0)),$Y:$Y,0))-J3447,"")</f>
        <v/>
      </c>
      <c r="AB3447" s="168" t="str">
        <f t="array" ref="AB3447">iferror(index(K:K,match($A3447&amp;","&amp;index('Year Conversion'!$A:$A,match($C3447,'Year Conversion'!$B:$B,0)),$Y:$Y,0))-K3447,"")</f>
        <v/>
      </c>
      <c r="AC3447" s="168" t="str">
        <f t="shared" si="7"/>
        <v>SAS,2019-20</v>
      </c>
    </row>
    <row r="3448">
      <c r="A3448" s="161" t="str">
        <f>IFERROR(__xludf.DUMMYFUNCTION("""COMPUTED_VALUE"""),"toscaju01")</f>
        <v>toscaju01</v>
      </c>
      <c r="B3448" s="161" t="str">
        <f>IFERROR(__xludf.DUMMYFUNCTION("""COMPUTED_VALUE"""),"Juan Toscano-Anderson")</f>
        <v>Juan Toscano-Anderson</v>
      </c>
      <c r="C3448" s="162" t="str">
        <f>IFERROR(__xludf.DUMMYFUNCTION("""COMPUTED_VALUE"""),"2019-20")</f>
        <v>2019-20</v>
      </c>
      <c r="D3448" s="163" t="str">
        <f>IFERROR(__xludf.DUMMYFUNCTION("""COMPUTED_VALUE"""),"GSW")</f>
        <v>GSW</v>
      </c>
      <c r="E3448" s="164" t="str">
        <f>IFERROR(__xludf.DUMMYFUNCTION("""COMPUTED_VALUE"""),"Athletic Finisher")</f>
        <v>Athletic Finisher</v>
      </c>
      <c r="F3448" s="164">
        <f>IFERROR(__xludf.DUMMYFUNCTION("""COMPUTED_VALUE"""),272.103333333333)</f>
        <v>272.1033333</v>
      </c>
      <c r="G3448" s="163">
        <f>IFERROR(__xludf.DUMMYFUNCTION("""COMPUTED_VALUE"""),13.0)</f>
        <v>13</v>
      </c>
      <c r="H3448" s="163" t="str">
        <f>IFERROR(__xludf.DUMMYFUNCTION("""COMPUTED_VALUE"""),"SG")</f>
        <v>SG</v>
      </c>
      <c r="I3448" s="163">
        <f>IFERROR(__xludf.DUMMYFUNCTION("""COMPUTED_VALUE"""),26.0)</f>
        <v>26</v>
      </c>
      <c r="J3448" s="165">
        <f>IFERROR(__xludf.DUMMYFUNCTION("""COMPUTED_VALUE"""),-1.21068431049837)</f>
        <v>-1.21068431</v>
      </c>
      <c r="K3448" s="165">
        <f>IFERROR(__xludf.DUMMYFUNCTION("""COMPUTED_VALUE"""),-2.0424428935625)</f>
        <v>-2.042442894</v>
      </c>
      <c r="L3448" s="165">
        <f>IFERROR(__xludf.DUMMYFUNCTION("""COMPUTED_VALUE"""),0.83175858306413)</f>
        <v>0.8317585831</v>
      </c>
      <c r="M3448" s="166">
        <f t="shared" si="2"/>
        <v>0.1978445926</v>
      </c>
      <c r="N3448" s="167">
        <f t="shared" si="3"/>
        <v>20.93102564</v>
      </c>
      <c r="O3448" s="163">
        <f t="shared" ref="O3448:Q3448" si="3452">rank(I3448,I:I)</f>
        <v>1665</v>
      </c>
      <c r="P3448" s="163">
        <f t="shared" si="3452"/>
        <v>2758</v>
      </c>
      <c r="Q3448" s="163">
        <f t="shared" si="3452"/>
        <v>3730</v>
      </c>
      <c r="R3448" s="163">
        <f>IFERROR(__xludf.DUMMYFUNCTION("RANK(M3448,filter(M:M,C:C=C3448))"),339.0)</f>
        <v>339</v>
      </c>
      <c r="S3448" s="161" t="b">
        <f t="shared" si="5"/>
        <v>0</v>
      </c>
      <c r="T3448" s="161" t="b">
        <f t="array" ref="T3448">index('Query Tool'!B:B,match(H3448,'Query Tool'!C:C,0))</f>
        <v>1</v>
      </c>
      <c r="U3448" s="161" t="b">
        <f t="array" ref="U3448">index('Query Tool'!B:B,match(C3448,'Query Tool'!C:C,0))</f>
        <v>0</v>
      </c>
      <c r="V3448" s="161" t="b">
        <f>F3448&gt;='Query Tool'!C$32</f>
        <v>0</v>
      </c>
      <c r="W3448" s="161" t="b">
        <f t="array" ref="W3448">index(Dropdowns!B:B,match(I3448,Dropdowns!A:A,0))</f>
        <v>1</v>
      </c>
      <c r="X3448" s="161" t="b">
        <f t="array" ref="X3448">index('Query Tool'!B:B,match(D3448,'Query Tool'!C:C,0))</f>
        <v>1</v>
      </c>
      <c r="Y3448" s="161" t="str">
        <f t="shared" si="6"/>
        <v>toscaju01,2019-20</v>
      </c>
      <c r="Z3448" s="168" t="str">
        <f t="array" ref="Z3448">iferror(index(I:I,match($A3448&amp;","&amp;index('Year Conversion'!$A:$A,match($C3448,'Year Conversion'!$B:$B,0)),$Y:$Y,0))-I3448,"")</f>
        <v/>
      </c>
      <c r="AA3448" s="168" t="str">
        <f t="array" ref="AA3448">iferror(index(J:J,match($A3448&amp;","&amp;index('Year Conversion'!$A:$A,match($C3448,'Year Conversion'!$B:$B,0)),$Y:$Y,0))-J3448,"")</f>
        <v/>
      </c>
      <c r="AB3448" s="168" t="str">
        <f t="array" ref="AB3448">iferror(index(K:K,match($A3448&amp;","&amp;index('Year Conversion'!$A:$A,match($C3448,'Year Conversion'!$B:$B,0)),$Y:$Y,0))-K3448,"")</f>
        <v/>
      </c>
      <c r="AC3448" s="168" t="str">
        <f t="shared" si="7"/>
        <v>GSW,2019-20</v>
      </c>
    </row>
    <row r="3449">
      <c r="A3449" s="161" t="str">
        <f>IFERROR(__xludf.DUMMYFUNCTION("""COMPUTED_VALUE"""),"smailal01")</f>
        <v>smailal01</v>
      </c>
      <c r="B3449" s="161" t="str">
        <f>IFERROR(__xludf.DUMMYFUNCTION("""COMPUTED_VALUE"""),"Alen Smailagic")</f>
        <v>Alen Smailagic</v>
      </c>
      <c r="C3449" s="162" t="str">
        <f>IFERROR(__xludf.DUMMYFUNCTION("""COMPUTED_VALUE"""),"2019-20")</f>
        <v>2019-20</v>
      </c>
      <c r="D3449" s="163" t="str">
        <f>IFERROR(__xludf.DUMMYFUNCTION("""COMPUTED_VALUE"""),"GSW")</f>
        <v>GSW</v>
      </c>
      <c r="E3449" s="164" t="str">
        <f>IFERROR(__xludf.DUMMYFUNCTION("""COMPUTED_VALUE"""),"Versatile Big")</f>
        <v>Versatile Big</v>
      </c>
      <c r="F3449" s="164">
        <f>IFERROR(__xludf.DUMMYFUNCTION("""COMPUTED_VALUE"""),138.893333333333)</f>
        <v>138.8933333</v>
      </c>
      <c r="G3449" s="163">
        <f>IFERROR(__xludf.DUMMYFUNCTION("""COMPUTED_VALUE"""),14.0)</f>
        <v>14</v>
      </c>
      <c r="H3449" s="163" t="str">
        <f>IFERROR(__xludf.DUMMYFUNCTION("""COMPUTED_VALUE"""),"C")</f>
        <v>C</v>
      </c>
      <c r="I3449" s="163">
        <f>IFERROR(__xludf.DUMMYFUNCTION("""COMPUTED_VALUE"""),19.0)</f>
        <v>19</v>
      </c>
      <c r="J3449" s="165">
        <f>IFERROR(__xludf.DUMMYFUNCTION("""COMPUTED_VALUE"""),-0.123474517659264)</f>
        <v>-0.1234745177</v>
      </c>
      <c r="K3449" s="165">
        <f>IFERROR(__xludf.DUMMYFUNCTION("""COMPUTED_VALUE"""),-0.437430756445859)</f>
        <v>-0.4374307564</v>
      </c>
      <c r="L3449" s="165">
        <f>IFERROR(__xludf.DUMMYFUNCTION("""COMPUTED_VALUE"""),0.313956238786595)</f>
        <v>0.3139562388</v>
      </c>
      <c r="M3449" s="166">
        <f t="shared" si="2"/>
        <v>0.2025652551</v>
      </c>
      <c r="N3449" s="167">
        <f t="shared" si="3"/>
        <v>9.920952381</v>
      </c>
      <c r="O3449" s="163">
        <f t="shared" ref="O3449:Q3449" si="3453">rank(I3449,I:I)</f>
        <v>3945</v>
      </c>
      <c r="P3449" s="163">
        <f t="shared" si="3453"/>
        <v>1409</v>
      </c>
      <c r="Q3449" s="163">
        <f t="shared" si="3453"/>
        <v>2011</v>
      </c>
      <c r="R3449" s="163">
        <f>IFERROR(__xludf.DUMMYFUNCTION("RANK(M3449,filter(M:M,C:C=C3449))"),337.0)</f>
        <v>337</v>
      </c>
      <c r="S3449" s="161" t="b">
        <f t="shared" si="5"/>
        <v>0</v>
      </c>
      <c r="T3449" s="161" t="b">
        <f t="array" ref="T3449">index('Query Tool'!B:B,match(H3449,'Query Tool'!C:C,0))</f>
        <v>1</v>
      </c>
      <c r="U3449" s="161" t="b">
        <f t="array" ref="U3449">index('Query Tool'!B:B,match(C3449,'Query Tool'!C:C,0))</f>
        <v>0</v>
      </c>
      <c r="V3449" s="161" t="b">
        <f>F3449&gt;='Query Tool'!C$32</f>
        <v>0</v>
      </c>
      <c r="W3449" s="161" t="b">
        <f t="array" ref="W3449">index(Dropdowns!B:B,match(I3449,Dropdowns!A:A,0))</f>
        <v>1</v>
      </c>
      <c r="X3449" s="161" t="b">
        <f t="array" ref="X3449">index('Query Tool'!B:B,match(D3449,'Query Tool'!C:C,0))</f>
        <v>1</v>
      </c>
      <c r="Y3449" s="161" t="str">
        <f t="shared" si="6"/>
        <v>smailal01,2019-20</v>
      </c>
      <c r="Z3449" s="168" t="str">
        <f t="array" ref="Z3449">iferror(index(I:I,match($A3449&amp;","&amp;index('Year Conversion'!$A:$A,match($C3449,'Year Conversion'!$B:$B,0)),$Y:$Y,0))-I3449,"")</f>
        <v/>
      </c>
      <c r="AA3449" s="168" t="str">
        <f t="array" ref="AA3449">iferror(index(J:J,match($A3449&amp;","&amp;index('Year Conversion'!$A:$A,match($C3449,'Year Conversion'!$B:$B,0)),$Y:$Y,0))-J3449,"")</f>
        <v/>
      </c>
      <c r="AB3449" s="168" t="str">
        <f t="array" ref="AB3449">iferror(index(K:K,match($A3449&amp;","&amp;index('Year Conversion'!$A:$A,match($C3449,'Year Conversion'!$B:$B,0)),$Y:$Y,0))-K3449,"")</f>
        <v/>
      </c>
      <c r="AC3449" s="168" t="str">
        <f t="shared" si="7"/>
        <v>GSW,2019-20</v>
      </c>
    </row>
    <row r="3450">
      <c r="A3450" s="161" t="str">
        <f>IFERROR(__xludf.DUMMYFUNCTION("""COMPUTED_VALUE"""),"cheatzy01")</f>
        <v>cheatzy01</v>
      </c>
      <c r="B3450" s="161" t="str">
        <f>IFERROR(__xludf.DUMMYFUNCTION("""COMPUTED_VALUE"""),"Zylan Cheatham")</f>
        <v>Zylan Cheatham</v>
      </c>
      <c r="C3450" s="162" t="str">
        <f>IFERROR(__xludf.DUMMYFUNCTION("""COMPUTED_VALUE"""),"2019-20")</f>
        <v>2019-20</v>
      </c>
      <c r="D3450" s="163" t="str">
        <f>IFERROR(__xludf.DUMMYFUNCTION("""COMPUTED_VALUE"""),"NOP")</f>
        <v>NOP</v>
      </c>
      <c r="E3450" s="164" t="str">
        <f>IFERROR(__xludf.DUMMYFUNCTION("""COMPUTED_VALUE"""),"Roll + Cut Big")</f>
        <v>Roll + Cut Big</v>
      </c>
      <c r="F3450" s="164">
        <f>IFERROR(__xludf.DUMMYFUNCTION("""COMPUTED_VALUE"""),51.0433333333334)</f>
        <v>51.04333333</v>
      </c>
      <c r="G3450" s="163">
        <f>IFERROR(__xludf.DUMMYFUNCTION("""COMPUTED_VALUE"""),4.0)</f>
        <v>4</v>
      </c>
      <c r="H3450" s="163" t="str">
        <f>IFERROR(__xludf.DUMMYFUNCTION("""COMPUTED_VALUE"""),"PF")</f>
        <v>PF</v>
      </c>
      <c r="I3450" s="163">
        <f>IFERROR(__xludf.DUMMYFUNCTION("""COMPUTED_VALUE"""),24.0)</f>
        <v>24</v>
      </c>
      <c r="J3450" s="165">
        <f>IFERROR(__xludf.DUMMYFUNCTION("""COMPUTED_VALUE"""),-0.79110716106597)</f>
        <v>-0.7911071611</v>
      </c>
      <c r="K3450" s="165">
        <f>IFERROR(__xludf.DUMMYFUNCTION("""COMPUTED_VALUE"""),-0.635054697490116)</f>
        <v>-0.6350546975</v>
      </c>
      <c r="L3450" s="165">
        <f>IFERROR(__xludf.DUMMYFUNCTION("""COMPUTED_VALUE"""),-0.156052463575854)</f>
        <v>-0.1560524636</v>
      </c>
      <c r="M3450" s="166">
        <f t="shared" si="2"/>
        <v>0.0514911622</v>
      </c>
      <c r="N3450" s="167">
        <f t="shared" si="3"/>
        <v>12.76083333</v>
      </c>
      <c r="O3450" s="163">
        <f t="shared" ref="O3450:Q3450" si="3454">rank(I3450,I:I)</f>
        <v>2361</v>
      </c>
      <c r="P3450" s="163">
        <f t="shared" si="3454"/>
        <v>2262</v>
      </c>
      <c r="Q3450" s="163">
        <f t="shared" si="3454"/>
        <v>2313</v>
      </c>
      <c r="R3450" s="163">
        <f>IFERROR(__xludf.DUMMYFUNCTION("RANK(M3450,filter(M:M,C:C=C3450))"),432.0)</f>
        <v>432</v>
      </c>
      <c r="S3450" s="161" t="b">
        <f t="shared" si="5"/>
        <v>0</v>
      </c>
      <c r="T3450" s="161" t="b">
        <f t="array" ref="T3450">index('Query Tool'!B:B,match(H3450,'Query Tool'!C:C,0))</f>
        <v>1</v>
      </c>
      <c r="U3450" s="161" t="b">
        <f t="array" ref="U3450">index('Query Tool'!B:B,match(C3450,'Query Tool'!C:C,0))</f>
        <v>0</v>
      </c>
      <c r="V3450" s="161" t="b">
        <f>F3450&gt;='Query Tool'!C$32</f>
        <v>0</v>
      </c>
      <c r="W3450" s="161" t="b">
        <f t="array" ref="W3450">index(Dropdowns!B:B,match(I3450,Dropdowns!A:A,0))</f>
        <v>1</v>
      </c>
      <c r="X3450" s="161" t="b">
        <f t="array" ref="X3450">index('Query Tool'!B:B,match(D3450,'Query Tool'!C:C,0))</f>
        <v>1</v>
      </c>
      <c r="Y3450" s="161" t="str">
        <f t="shared" si="6"/>
        <v>cheatzy01,2019-20</v>
      </c>
      <c r="Z3450" s="168" t="str">
        <f t="array" ref="Z3450">iferror(index(I:I,match($A3450&amp;","&amp;index('Year Conversion'!$A:$A,match($C3450,'Year Conversion'!$B:$B,0)),$Y:$Y,0))-I3450,"")</f>
        <v/>
      </c>
      <c r="AA3450" s="168" t="str">
        <f t="array" ref="AA3450">iferror(index(J:J,match($A3450&amp;","&amp;index('Year Conversion'!$A:$A,match($C3450,'Year Conversion'!$B:$B,0)),$Y:$Y,0))-J3450,"")</f>
        <v/>
      </c>
      <c r="AB3450" s="168" t="str">
        <f t="array" ref="AB3450">iferror(index(K:K,match($A3450&amp;","&amp;index('Year Conversion'!$A:$A,match($C3450,'Year Conversion'!$B:$B,0)),$Y:$Y,0))-K3450,"")</f>
        <v/>
      </c>
      <c r="AC3450" s="168" t="str">
        <f t="shared" si="7"/>
        <v>NOP,2019-20</v>
      </c>
    </row>
    <row r="3451">
      <c r="A3451" s="161" t="str">
        <f>IFERROR(__xludf.DUMMYFUNCTION("""COMPUTED_VALUE"""),"clemoch01")</f>
        <v>clemoch01</v>
      </c>
      <c r="B3451" s="161" t="str">
        <f>IFERROR(__xludf.DUMMYFUNCTION("""COMPUTED_VALUE"""),"Chris Clemons")</f>
        <v>Chris Clemons</v>
      </c>
      <c r="C3451" s="162" t="str">
        <f>IFERROR(__xludf.DUMMYFUNCTION("""COMPUTED_VALUE"""),"2019-20")</f>
        <v>2019-20</v>
      </c>
      <c r="D3451" s="163" t="str">
        <f>IFERROR(__xludf.DUMMYFUNCTION("""COMPUTED_VALUE"""),"HOU")</f>
        <v>HOU</v>
      </c>
      <c r="E3451" s="164" t="str">
        <f>IFERROR(__xludf.DUMMYFUNCTION("""COMPUTED_VALUE"""),"Shot Creator")</f>
        <v>Shot Creator</v>
      </c>
      <c r="F3451" s="164">
        <f>IFERROR(__xludf.DUMMYFUNCTION("""COMPUTED_VALUE"""),290.521666666667)</f>
        <v>290.5216667</v>
      </c>
      <c r="G3451" s="163">
        <f>IFERROR(__xludf.DUMMYFUNCTION("""COMPUTED_VALUE"""),33.0)</f>
        <v>33</v>
      </c>
      <c r="H3451" s="163" t="str">
        <f>IFERROR(__xludf.DUMMYFUNCTION("""COMPUTED_VALUE"""),"SG")</f>
        <v>SG</v>
      </c>
      <c r="I3451" s="163">
        <f>IFERROR(__xludf.DUMMYFUNCTION("""COMPUTED_VALUE"""),22.0)</f>
        <v>22</v>
      </c>
      <c r="J3451" s="165">
        <f>IFERROR(__xludf.DUMMYFUNCTION("""COMPUTED_VALUE"""),-1.42690727315789)</f>
        <v>-1.426907273</v>
      </c>
      <c r="K3451" s="165">
        <f>IFERROR(__xludf.DUMMYFUNCTION("""COMPUTED_VALUE"""),0.407500912922864)</f>
        <v>0.4075009129</v>
      </c>
      <c r="L3451" s="165">
        <f>IFERROR(__xludf.DUMMYFUNCTION("""COMPUTED_VALUE"""),-1.83440818608076)</f>
        <v>-1.834408186</v>
      </c>
      <c r="M3451" s="166">
        <f t="shared" si="2"/>
        <v>0.1691917212</v>
      </c>
      <c r="N3451" s="167">
        <f t="shared" si="3"/>
        <v>8.803686869</v>
      </c>
      <c r="O3451" s="163">
        <f t="shared" ref="O3451:Q3451" si="3455">rank(I3451,I:I)</f>
        <v>3178</v>
      </c>
      <c r="P3451" s="163">
        <f t="shared" si="3455"/>
        <v>2985</v>
      </c>
      <c r="Q3451" s="163">
        <f t="shared" si="3455"/>
        <v>827</v>
      </c>
      <c r="R3451" s="163">
        <f>IFERROR(__xludf.DUMMYFUNCTION("RANK(M3451,filter(M:M,C:C=C3451))"),349.0)</f>
        <v>349</v>
      </c>
      <c r="S3451" s="161" t="b">
        <f t="shared" si="5"/>
        <v>0</v>
      </c>
      <c r="T3451" s="161" t="b">
        <f t="array" ref="T3451">index('Query Tool'!B:B,match(H3451,'Query Tool'!C:C,0))</f>
        <v>1</v>
      </c>
      <c r="U3451" s="161" t="b">
        <f t="array" ref="U3451">index('Query Tool'!B:B,match(C3451,'Query Tool'!C:C,0))</f>
        <v>0</v>
      </c>
      <c r="V3451" s="161" t="b">
        <f>F3451&gt;='Query Tool'!C$32</f>
        <v>0</v>
      </c>
      <c r="W3451" s="161" t="b">
        <f t="array" ref="W3451">index(Dropdowns!B:B,match(I3451,Dropdowns!A:A,0))</f>
        <v>1</v>
      </c>
      <c r="X3451" s="161" t="b">
        <f t="array" ref="X3451">index('Query Tool'!B:B,match(D3451,'Query Tool'!C:C,0))</f>
        <v>1</v>
      </c>
      <c r="Y3451" s="161" t="str">
        <f t="shared" si="6"/>
        <v>clemoch01,2019-20</v>
      </c>
      <c r="Z3451" s="168" t="str">
        <f t="array" ref="Z3451">iferror(index(I:I,match($A3451&amp;","&amp;index('Year Conversion'!$A:$A,match($C3451,'Year Conversion'!$B:$B,0)),$Y:$Y,0))-I3451,"")</f>
        <v/>
      </c>
      <c r="AA3451" s="168" t="str">
        <f t="array" ref="AA3451">iferror(index(J:J,match($A3451&amp;","&amp;index('Year Conversion'!$A:$A,match($C3451,'Year Conversion'!$B:$B,0)),$Y:$Y,0))-J3451,"")</f>
        <v/>
      </c>
      <c r="AB3451" s="168" t="str">
        <f t="array" ref="AB3451">iferror(index(K:K,match($A3451&amp;","&amp;index('Year Conversion'!$A:$A,match($C3451,'Year Conversion'!$B:$B,0)),$Y:$Y,0))-K3451,"")</f>
        <v/>
      </c>
      <c r="AC3451" s="168" t="str">
        <f t="shared" si="7"/>
        <v>HOU,2019-20</v>
      </c>
    </row>
    <row r="3452">
      <c r="A3452" s="161" t="str">
        <f>IFERROR(__xludf.DUMMYFUNCTION("""COMPUTED_VALUE"""),"coffeam01")</f>
        <v>coffeam01</v>
      </c>
      <c r="B3452" s="161" t="str">
        <f>IFERROR(__xludf.DUMMYFUNCTION("""COMPUTED_VALUE"""),"Amir Coffey")</f>
        <v>Amir Coffey</v>
      </c>
      <c r="C3452" s="162" t="str">
        <f>IFERROR(__xludf.DUMMYFUNCTION("""COMPUTED_VALUE"""),"2019-20")</f>
        <v>2019-20</v>
      </c>
      <c r="D3452" s="163" t="str">
        <f>IFERROR(__xludf.DUMMYFUNCTION("""COMPUTED_VALUE"""),"LAC")</f>
        <v>LAC</v>
      </c>
      <c r="E3452" s="164" t="str">
        <f>IFERROR(__xludf.DUMMYFUNCTION("""COMPUTED_VALUE"""),"Secondary Ball Handler")</f>
        <v>Secondary Ball Handler</v>
      </c>
      <c r="F3452" s="164">
        <f>IFERROR(__xludf.DUMMYFUNCTION("""COMPUTED_VALUE"""),158.99)</f>
        <v>158.99</v>
      </c>
      <c r="G3452" s="163">
        <f>IFERROR(__xludf.DUMMYFUNCTION("""COMPUTED_VALUE"""),18.0)</f>
        <v>18</v>
      </c>
      <c r="H3452" s="163" t="str">
        <f>IFERROR(__xludf.DUMMYFUNCTION("""COMPUTED_VALUE"""),"SG")</f>
        <v>SG</v>
      </c>
      <c r="I3452" s="163">
        <f>IFERROR(__xludf.DUMMYFUNCTION("""COMPUTED_VALUE"""),22.0)</f>
        <v>22</v>
      </c>
      <c r="J3452" s="165">
        <f>IFERROR(__xludf.DUMMYFUNCTION("""COMPUTED_VALUE"""),-1.3334823440557)</f>
        <v>-1.333482344</v>
      </c>
      <c r="K3452" s="165">
        <f>IFERROR(__xludf.DUMMYFUNCTION("""COMPUTED_VALUE"""),-1.02760266200872)</f>
        <v>-1.027602662</v>
      </c>
      <c r="L3452" s="165">
        <f>IFERROR(__xludf.DUMMYFUNCTION("""COMPUTED_VALUE"""),-0.30587968204698)</f>
        <v>-0.305879682</v>
      </c>
      <c r="M3452" s="166">
        <f t="shared" si="2"/>
        <v>0.1025263973</v>
      </c>
      <c r="N3452" s="167">
        <f t="shared" si="3"/>
        <v>8.832777778</v>
      </c>
      <c r="O3452" s="163">
        <f t="shared" ref="O3452:Q3452" si="3456">rank(I3452,I:I)</f>
        <v>3178</v>
      </c>
      <c r="P3452" s="163">
        <f t="shared" si="3456"/>
        <v>2897</v>
      </c>
      <c r="Q3452" s="163">
        <f t="shared" si="3456"/>
        <v>2838</v>
      </c>
      <c r="R3452" s="163">
        <f>IFERROR(__xludf.DUMMYFUNCTION("RANK(M3452,filter(M:M,C:C=C3452))"),385.0)</f>
        <v>385</v>
      </c>
      <c r="S3452" s="161" t="b">
        <f t="shared" si="5"/>
        <v>0</v>
      </c>
      <c r="T3452" s="161" t="b">
        <f t="array" ref="T3452">index('Query Tool'!B:B,match(H3452,'Query Tool'!C:C,0))</f>
        <v>1</v>
      </c>
      <c r="U3452" s="161" t="b">
        <f t="array" ref="U3452">index('Query Tool'!B:B,match(C3452,'Query Tool'!C:C,0))</f>
        <v>0</v>
      </c>
      <c r="V3452" s="161" t="b">
        <f>F3452&gt;='Query Tool'!C$32</f>
        <v>0</v>
      </c>
      <c r="W3452" s="161" t="b">
        <f t="array" ref="W3452">index(Dropdowns!B:B,match(I3452,Dropdowns!A:A,0))</f>
        <v>1</v>
      </c>
      <c r="X3452" s="161" t="b">
        <f t="array" ref="X3452">index('Query Tool'!B:B,match(D3452,'Query Tool'!C:C,0))</f>
        <v>1</v>
      </c>
      <c r="Y3452" s="161" t="str">
        <f t="shared" si="6"/>
        <v>coffeam01,2019-20</v>
      </c>
      <c r="Z3452" s="168" t="str">
        <f t="array" ref="Z3452">iferror(index(I:I,match($A3452&amp;","&amp;index('Year Conversion'!$A:$A,match($C3452,'Year Conversion'!$B:$B,0)),$Y:$Y,0))-I3452,"")</f>
        <v/>
      </c>
      <c r="AA3452" s="168" t="str">
        <f t="array" ref="AA3452">iferror(index(J:J,match($A3452&amp;","&amp;index('Year Conversion'!$A:$A,match($C3452,'Year Conversion'!$B:$B,0)),$Y:$Y,0))-J3452,"")</f>
        <v/>
      </c>
      <c r="AB3452" s="168" t="str">
        <f t="array" ref="AB3452">iferror(index(K:K,match($A3452&amp;","&amp;index('Year Conversion'!$A:$A,match($C3452,'Year Conversion'!$B:$B,0)),$Y:$Y,0))-K3452,"")</f>
        <v/>
      </c>
      <c r="AC3452" s="168" t="str">
        <f t="shared" si="7"/>
        <v>LAC,2019-20</v>
      </c>
    </row>
    <row r="3453">
      <c r="A3453" s="161" t="str">
        <f>IFERROR(__xludf.DUMMYFUNCTION("""COMPUTED_VALUE"""),"fallta01")</f>
        <v>fallta01</v>
      </c>
      <c r="B3453" s="161" t="str">
        <f>IFERROR(__xludf.DUMMYFUNCTION("""COMPUTED_VALUE"""),"Tacko Fall")</f>
        <v>Tacko Fall</v>
      </c>
      <c r="C3453" s="162" t="str">
        <f>IFERROR(__xludf.DUMMYFUNCTION("""COMPUTED_VALUE"""),"2019-20")</f>
        <v>2019-20</v>
      </c>
      <c r="D3453" s="163" t="str">
        <f>IFERROR(__xludf.DUMMYFUNCTION("""COMPUTED_VALUE"""),"BOS")</f>
        <v>BOS</v>
      </c>
      <c r="E3453" s="164" t="str">
        <f>IFERROR(__xludf.DUMMYFUNCTION("""COMPUTED_VALUE"""),"Post Scorer")</f>
        <v>Post Scorer</v>
      </c>
      <c r="F3453" s="164">
        <f>IFERROR(__xludf.DUMMYFUNCTION("""COMPUTED_VALUE"""),32.5366666666667)</f>
        <v>32.53666667</v>
      </c>
      <c r="G3453" s="163">
        <f>IFERROR(__xludf.DUMMYFUNCTION("""COMPUTED_VALUE"""),7.0)</f>
        <v>7</v>
      </c>
      <c r="H3453" s="163" t="str">
        <f>IFERROR(__xludf.DUMMYFUNCTION("""COMPUTED_VALUE"""),"C")</f>
        <v>C</v>
      </c>
      <c r="I3453" s="163">
        <f>IFERROR(__xludf.DUMMYFUNCTION("""COMPUTED_VALUE"""),24.0)</f>
        <v>24</v>
      </c>
      <c r="J3453" s="165">
        <f>IFERROR(__xludf.DUMMYFUNCTION("""COMPUTED_VALUE"""),-0.511298722868338)</f>
        <v>-0.5112987229</v>
      </c>
      <c r="K3453" s="165">
        <f>IFERROR(__xludf.DUMMYFUNCTION("""COMPUTED_VALUE"""),-0.227711191696732)</f>
        <v>-0.2277111917</v>
      </c>
      <c r="L3453" s="165">
        <f>IFERROR(__xludf.DUMMYFUNCTION("""COMPUTED_VALUE"""),-0.283587531171606)</f>
        <v>-0.2835875312</v>
      </c>
      <c r="M3453" s="166">
        <f t="shared" si="2"/>
        <v>0.03894897372</v>
      </c>
      <c r="N3453" s="167">
        <f t="shared" si="3"/>
        <v>4.648095238</v>
      </c>
      <c r="O3453" s="163">
        <f t="shared" ref="O3453:Q3453" si="3457">rank(I3453,I:I)</f>
        <v>2361</v>
      </c>
      <c r="P3453" s="163">
        <f t="shared" si="3457"/>
        <v>1871</v>
      </c>
      <c r="Q3453" s="163">
        <f t="shared" si="3457"/>
        <v>1618</v>
      </c>
      <c r="R3453" s="163">
        <f>IFERROR(__xludf.DUMMYFUNCTION("RANK(M3453,filter(M:M,C:C=C3453))"),441.0)</f>
        <v>441</v>
      </c>
      <c r="S3453" s="161" t="b">
        <f t="shared" si="5"/>
        <v>0</v>
      </c>
      <c r="T3453" s="161" t="b">
        <f t="array" ref="T3453">index('Query Tool'!B:B,match(H3453,'Query Tool'!C:C,0))</f>
        <v>1</v>
      </c>
      <c r="U3453" s="161" t="b">
        <f t="array" ref="U3453">index('Query Tool'!B:B,match(C3453,'Query Tool'!C:C,0))</f>
        <v>0</v>
      </c>
      <c r="V3453" s="161" t="b">
        <f>F3453&gt;='Query Tool'!C$32</f>
        <v>0</v>
      </c>
      <c r="W3453" s="161" t="b">
        <f t="array" ref="W3453">index(Dropdowns!B:B,match(I3453,Dropdowns!A:A,0))</f>
        <v>1</v>
      </c>
      <c r="X3453" s="161" t="b">
        <f t="array" ref="X3453">index('Query Tool'!B:B,match(D3453,'Query Tool'!C:C,0))</f>
        <v>1</v>
      </c>
      <c r="Y3453" s="161" t="str">
        <f t="shared" si="6"/>
        <v>fallta01,2019-20</v>
      </c>
      <c r="Z3453" s="168" t="str">
        <f t="array" ref="Z3453">iferror(index(I:I,match($A3453&amp;","&amp;index('Year Conversion'!$A:$A,match($C3453,'Year Conversion'!$B:$B,0)),$Y:$Y,0))-I3453,"")</f>
        <v/>
      </c>
      <c r="AA3453" s="168" t="str">
        <f t="array" ref="AA3453">iferror(index(J:J,match($A3453&amp;","&amp;index('Year Conversion'!$A:$A,match($C3453,'Year Conversion'!$B:$B,0)),$Y:$Y,0))-J3453,"")</f>
        <v/>
      </c>
      <c r="AB3453" s="168" t="str">
        <f t="array" ref="AB3453">iferror(index(K:K,match($A3453&amp;","&amp;index('Year Conversion'!$A:$A,match($C3453,'Year Conversion'!$B:$B,0)),$Y:$Y,0))-K3453,"")</f>
        <v/>
      </c>
      <c r="AC3453" s="168" t="str">
        <f t="shared" si="7"/>
        <v>BOS,2019-20</v>
      </c>
    </row>
    <row r="3454">
      <c r="A3454" s="161" t="str">
        <f>IFERROR(__xludf.DUMMYFUNCTION("""COMPUTED_VALUE"""),"harpeja01")</f>
        <v>harpeja01</v>
      </c>
      <c r="B3454" s="161" t="str">
        <f>IFERROR(__xludf.DUMMYFUNCTION("""COMPUTED_VALUE"""),"Jared Harper")</f>
        <v>Jared Harper</v>
      </c>
      <c r="C3454" s="162" t="str">
        <f>IFERROR(__xludf.DUMMYFUNCTION("""COMPUTED_VALUE"""),"2019-20")</f>
        <v>2019-20</v>
      </c>
      <c r="D3454" s="163" t="str">
        <f>IFERROR(__xludf.DUMMYFUNCTION("""COMPUTED_VALUE"""),"PHO")</f>
        <v>PHO</v>
      </c>
      <c r="E3454" s="164" t="str">
        <f>IFERROR(__xludf.DUMMYFUNCTION("""COMPUTED_VALUE"""),"Movement Shooter")</f>
        <v>Movement Shooter</v>
      </c>
      <c r="F3454" s="164">
        <f>IFERROR(__xludf.DUMMYFUNCTION("""COMPUTED_VALUE"""),7.88333333333333)</f>
        <v>7.883333333</v>
      </c>
      <c r="G3454" s="163">
        <f>IFERROR(__xludf.DUMMYFUNCTION("""COMPUTED_VALUE"""),3.0)</f>
        <v>3</v>
      </c>
      <c r="H3454" s="163" t="str">
        <f>IFERROR(__xludf.DUMMYFUNCTION("""COMPUTED_VALUE"""),"PG")</f>
        <v>PG</v>
      </c>
      <c r="I3454" s="163">
        <f>IFERROR(__xludf.DUMMYFUNCTION("""COMPUTED_VALUE"""),22.0)</f>
        <v>22</v>
      </c>
      <c r="J3454" s="165">
        <f>IFERROR(__xludf.DUMMYFUNCTION("""COMPUTED_VALUE"""),-0.301886041474575)</f>
        <v>-0.3018860415</v>
      </c>
      <c r="K3454" s="165">
        <f>IFERROR(__xludf.DUMMYFUNCTION("""COMPUTED_VALUE"""),-0.244822075144418)</f>
        <v>-0.2448220751</v>
      </c>
      <c r="L3454" s="165">
        <f>IFERROR(__xludf.DUMMYFUNCTION("""COMPUTED_VALUE"""),-0.0570639663301575)</f>
        <v>-0.05706396633</v>
      </c>
      <c r="M3454" s="166">
        <f t="shared" si="2"/>
        <v>0.01054919236</v>
      </c>
      <c r="N3454" s="167">
        <f t="shared" si="3"/>
        <v>2.627777778</v>
      </c>
      <c r="O3454" s="163">
        <f t="shared" ref="O3454:Q3454" si="3458">rank(I3454,I:I)</f>
        <v>3178</v>
      </c>
      <c r="P3454" s="163">
        <f t="shared" si="3458"/>
        <v>1616</v>
      </c>
      <c r="Q3454" s="163">
        <f t="shared" si="3458"/>
        <v>1658</v>
      </c>
      <c r="R3454" s="163">
        <f>IFERROR(__xludf.DUMMYFUNCTION("RANK(M3454,filter(M:M,C:C=C3454))"),472.0)</f>
        <v>472</v>
      </c>
      <c r="S3454" s="161" t="b">
        <f t="shared" si="5"/>
        <v>0</v>
      </c>
      <c r="T3454" s="161" t="b">
        <f t="array" ref="T3454">index('Query Tool'!B:B,match(H3454,'Query Tool'!C:C,0))</f>
        <v>1</v>
      </c>
      <c r="U3454" s="161" t="b">
        <f t="array" ref="U3454">index('Query Tool'!B:B,match(C3454,'Query Tool'!C:C,0))</f>
        <v>0</v>
      </c>
      <c r="V3454" s="161" t="b">
        <f>F3454&gt;='Query Tool'!C$32</f>
        <v>0</v>
      </c>
      <c r="W3454" s="161" t="b">
        <f t="array" ref="W3454">index(Dropdowns!B:B,match(I3454,Dropdowns!A:A,0))</f>
        <v>1</v>
      </c>
      <c r="X3454" s="161" t="b">
        <f t="array" ref="X3454">index('Query Tool'!B:B,match(D3454,'Query Tool'!C:C,0))</f>
        <v>1</v>
      </c>
      <c r="Y3454" s="161" t="str">
        <f t="shared" si="6"/>
        <v>harpeja01,2019-20</v>
      </c>
      <c r="Z3454" s="168" t="str">
        <f t="array" ref="Z3454">iferror(index(I:I,match($A3454&amp;","&amp;index('Year Conversion'!$A:$A,match($C3454,'Year Conversion'!$B:$B,0)),$Y:$Y,0))-I3454,"")</f>
        <v/>
      </c>
      <c r="AA3454" s="168" t="str">
        <f t="array" ref="AA3454">iferror(index(J:J,match($A3454&amp;","&amp;index('Year Conversion'!$A:$A,match($C3454,'Year Conversion'!$B:$B,0)),$Y:$Y,0))-J3454,"")</f>
        <v/>
      </c>
      <c r="AB3454" s="168" t="str">
        <f t="array" ref="AB3454">iferror(index(K:K,match($A3454&amp;","&amp;index('Year Conversion'!$A:$A,match($C3454,'Year Conversion'!$B:$B,0)),$Y:$Y,0))-K3454,"")</f>
        <v/>
      </c>
      <c r="AC3454" s="168" t="str">
        <f t="shared" si="7"/>
        <v>PHO,2019-20</v>
      </c>
    </row>
    <row r="3455">
      <c r="A3455" s="161" t="str">
        <f>IFERROR(__xludf.DUMMYFUNCTION("""COMPUTED_VALUE"""),"hernade01")</f>
        <v>hernade01</v>
      </c>
      <c r="B3455" s="161" t="str">
        <f>IFERROR(__xludf.DUMMYFUNCTION("""COMPUTED_VALUE"""),"Dewan Hernandez")</f>
        <v>Dewan Hernandez</v>
      </c>
      <c r="C3455" s="162" t="str">
        <f>IFERROR(__xludf.DUMMYFUNCTION("""COMPUTED_VALUE"""),"2019-20")</f>
        <v>2019-20</v>
      </c>
      <c r="D3455" s="163" t="str">
        <f>IFERROR(__xludf.DUMMYFUNCTION("""COMPUTED_VALUE"""),"TOR")</f>
        <v>TOR</v>
      </c>
      <c r="E3455" s="164" t="str">
        <f>IFERROR(__xludf.DUMMYFUNCTION("""COMPUTED_VALUE"""),"Roll + Cut Big")</f>
        <v>Roll + Cut Big</v>
      </c>
      <c r="F3455" s="164">
        <f>IFERROR(__xludf.DUMMYFUNCTION("""COMPUTED_VALUE"""),28.235)</f>
        <v>28.235</v>
      </c>
      <c r="G3455" s="163">
        <f>IFERROR(__xludf.DUMMYFUNCTION("""COMPUTED_VALUE"""),6.0)</f>
        <v>6</v>
      </c>
      <c r="H3455" s="163" t="str">
        <f>IFERROR(__xludf.DUMMYFUNCTION("""COMPUTED_VALUE"""),"C")</f>
        <v>C</v>
      </c>
      <c r="I3455" s="163">
        <f>IFERROR(__xludf.DUMMYFUNCTION("""COMPUTED_VALUE"""),23.0)</f>
        <v>23</v>
      </c>
      <c r="J3455" s="165">
        <f>IFERROR(__xludf.DUMMYFUNCTION("""COMPUTED_VALUE"""),-0.760238053418894)</f>
        <v>-0.7602380534</v>
      </c>
      <c r="K3455" s="165">
        <f>IFERROR(__xludf.DUMMYFUNCTION("""COMPUTED_VALUE"""),-0.294834011070563)</f>
        <v>-0.2948340111</v>
      </c>
      <c r="L3455" s="165">
        <f>IFERROR(__xludf.DUMMYFUNCTION("""COMPUTED_VALUE"""),-0.465404042348331)</f>
        <v>-0.4654040423</v>
      </c>
      <c r="M3455" s="166">
        <f t="shared" si="2"/>
        <v>0.0290688653</v>
      </c>
      <c r="N3455" s="167">
        <f t="shared" si="3"/>
        <v>4.705833333</v>
      </c>
      <c r="O3455" s="163">
        <f t="shared" ref="O3455:Q3455" si="3459">rank(I3455,I:I)</f>
        <v>2765</v>
      </c>
      <c r="P3455" s="163">
        <f t="shared" si="3459"/>
        <v>2225</v>
      </c>
      <c r="Q3455" s="163">
        <f t="shared" si="3459"/>
        <v>1756</v>
      </c>
      <c r="R3455" s="163">
        <f>IFERROR(__xludf.DUMMYFUNCTION("RANK(M3455,filter(M:M,C:C=C3455))"),454.0)</f>
        <v>454</v>
      </c>
      <c r="S3455" s="161" t="b">
        <f t="shared" si="5"/>
        <v>0</v>
      </c>
      <c r="T3455" s="161" t="b">
        <f t="array" ref="T3455">index('Query Tool'!B:B,match(H3455,'Query Tool'!C:C,0))</f>
        <v>1</v>
      </c>
      <c r="U3455" s="161" t="b">
        <f t="array" ref="U3455">index('Query Tool'!B:B,match(C3455,'Query Tool'!C:C,0))</f>
        <v>0</v>
      </c>
      <c r="V3455" s="161" t="b">
        <f>F3455&gt;='Query Tool'!C$32</f>
        <v>0</v>
      </c>
      <c r="W3455" s="161" t="b">
        <f t="array" ref="W3455">index(Dropdowns!B:B,match(I3455,Dropdowns!A:A,0))</f>
        <v>1</v>
      </c>
      <c r="X3455" s="161" t="b">
        <f t="array" ref="X3455">index('Query Tool'!B:B,match(D3455,'Query Tool'!C:C,0))</f>
        <v>1</v>
      </c>
      <c r="Y3455" s="161" t="str">
        <f t="shared" si="6"/>
        <v>hernade01,2019-20</v>
      </c>
      <c r="Z3455" s="168" t="str">
        <f t="array" ref="Z3455">iferror(index(I:I,match($A3455&amp;","&amp;index('Year Conversion'!$A:$A,match($C3455,'Year Conversion'!$B:$B,0)),$Y:$Y,0))-I3455,"")</f>
        <v/>
      </c>
      <c r="AA3455" s="168" t="str">
        <f t="array" ref="AA3455">iferror(index(J:J,match($A3455&amp;","&amp;index('Year Conversion'!$A:$A,match($C3455,'Year Conversion'!$B:$B,0)),$Y:$Y,0))-J3455,"")</f>
        <v/>
      </c>
      <c r="AB3455" s="168" t="str">
        <f t="array" ref="AB3455">iferror(index(K:K,match($A3455&amp;","&amp;index('Year Conversion'!$A:$A,match($C3455,'Year Conversion'!$B:$B,0)),$Y:$Y,0))-K3455,"")</f>
        <v/>
      </c>
      <c r="AC3455" s="168" t="str">
        <f t="shared" si="7"/>
        <v>TOR,2019-20</v>
      </c>
    </row>
    <row r="3456">
      <c r="A3456" s="161" t="str">
        <f>IFERROR(__xludf.DUMMYFUNCTION("""COMPUTED_VALUE"""),"jeffrda01")</f>
        <v>jeffrda01</v>
      </c>
      <c r="B3456" s="161" t="str">
        <f>IFERROR(__xludf.DUMMYFUNCTION("""COMPUTED_VALUE"""),"DaQuan Jeffries")</f>
        <v>DaQuan Jeffries</v>
      </c>
      <c r="C3456" s="162" t="str">
        <f>IFERROR(__xludf.DUMMYFUNCTION("""COMPUTED_VALUE"""),"2019-20")</f>
        <v>2019-20</v>
      </c>
      <c r="D3456" s="163" t="str">
        <f>IFERROR(__xludf.DUMMYFUNCTION("""COMPUTED_VALUE"""),"SAC")</f>
        <v>SAC</v>
      </c>
      <c r="E3456" s="164" t="str">
        <f>IFERROR(__xludf.DUMMYFUNCTION("""COMPUTED_VALUE"""),"Stretch Big")</f>
        <v>Stretch Big</v>
      </c>
      <c r="F3456" s="164">
        <f>IFERROR(__xludf.DUMMYFUNCTION("""COMPUTED_VALUE"""),141.113333333333)</f>
        <v>141.1133333</v>
      </c>
      <c r="G3456" s="163">
        <f>IFERROR(__xludf.DUMMYFUNCTION("""COMPUTED_VALUE"""),13.0)</f>
        <v>13</v>
      </c>
      <c r="H3456" s="163" t="str">
        <f>IFERROR(__xludf.DUMMYFUNCTION("""COMPUTED_VALUE"""),"SG")</f>
        <v>SG</v>
      </c>
      <c r="I3456" s="163">
        <f>IFERROR(__xludf.DUMMYFUNCTION("""COMPUTED_VALUE"""),22.0)</f>
        <v>22</v>
      </c>
      <c r="J3456" s="165">
        <f>IFERROR(__xludf.DUMMYFUNCTION("""COMPUTED_VALUE"""),-0.495591938717224)</f>
        <v>-0.4955919387</v>
      </c>
      <c r="K3456" s="165">
        <f>IFERROR(__xludf.DUMMYFUNCTION("""COMPUTED_VALUE"""),-0.482435357402843)</f>
        <v>-0.4824353574</v>
      </c>
      <c r="L3456" s="165">
        <f>IFERROR(__xludf.DUMMYFUNCTION("""COMPUTED_VALUE"""),-0.0131565813143813)</f>
        <v>-0.01315658131</v>
      </c>
      <c r="M3456" s="166">
        <f t="shared" si="2"/>
        <v>0.1704165873</v>
      </c>
      <c r="N3456" s="167">
        <f t="shared" si="3"/>
        <v>10.85487179</v>
      </c>
      <c r="O3456" s="163">
        <f t="shared" ref="O3456:Q3456" si="3460">rank(I3456,I:I)</f>
        <v>3178</v>
      </c>
      <c r="P3456" s="163">
        <f t="shared" si="3460"/>
        <v>1847</v>
      </c>
      <c r="Q3456" s="163">
        <f t="shared" si="3460"/>
        <v>2085</v>
      </c>
      <c r="R3456" s="163">
        <f>IFERROR(__xludf.DUMMYFUNCTION("RANK(M3456,filter(M:M,C:C=C3456))"),348.0)</f>
        <v>348</v>
      </c>
      <c r="S3456" s="161" t="b">
        <f t="shared" si="5"/>
        <v>0</v>
      </c>
      <c r="T3456" s="161" t="b">
        <f t="array" ref="T3456">index('Query Tool'!B:B,match(H3456,'Query Tool'!C:C,0))</f>
        <v>1</v>
      </c>
      <c r="U3456" s="161" t="b">
        <f t="array" ref="U3456">index('Query Tool'!B:B,match(C3456,'Query Tool'!C:C,0))</f>
        <v>0</v>
      </c>
      <c r="V3456" s="161" t="b">
        <f>F3456&gt;='Query Tool'!C$32</f>
        <v>0</v>
      </c>
      <c r="W3456" s="161" t="b">
        <f t="array" ref="W3456">index(Dropdowns!B:B,match(I3456,Dropdowns!A:A,0))</f>
        <v>1</v>
      </c>
      <c r="X3456" s="161" t="b">
        <f t="array" ref="X3456">index('Query Tool'!B:B,match(D3456,'Query Tool'!C:C,0))</f>
        <v>1</v>
      </c>
      <c r="Y3456" s="161" t="str">
        <f t="shared" si="6"/>
        <v>jeffrda01,2019-20</v>
      </c>
      <c r="Z3456" s="168" t="str">
        <f t="array" ref="Z3456">iferror(index(I:I,match($A3456&amp;","&amp;index('Year Conversion'!$A:$A,match($C3456,'Year Conversion'!$B:$B,0)),$Y:$Y,0))-I3456,"")</f>
        <v/>
      </c>
      <c r="AA3456" s="168" t="str">
        <f t="array" ref="AA3456">iferror(index(J:J,match($A3456&amp;","&amp;index('Year Conversion'!$A:$A,match($C3456,'Year Conversion'!$B:$B,0)),$Y:$Y,0))-J3456,"")</f>
        <v/>
      </c>
      <c r="AB3456" s="168" t="str">
        <f t="array" ref="AB3456">iferror(index(K:K,match($A3456&amp;","&amp;index('Year Conversion'!$A:$A,match($C3456,'Year Conversion'!$B:$B,0)),$Y:$Y,0))-K3456,"")</f>
        <v/>
      </c>
      <c r="AC3456" s="168" t="str">
        <f t="shared" si="7"/>
        <v>SAC,2019-20</v>
      </c>
    </row>
    <row r="3457">
      <c r="A3457" s="161" t="str">
        <f>IFERROR(__xludf.DUMMYFUNCTION("""COMPUTED_VALUE"""),"mannte01")</f>
        <v>mannte01</v>
      </c>
      <c r="B3457" s="161" t="str">
        <f>IFERROR(__xludf.DUMMYFUNCTION("""COMPUTED_VALUE"""),"Terance Mann")</f>
        <v>Terance Mann</v>
      </c>
      <c r="C3457" s="162" t="str">
        <f>IFERROR(__xludf.DUMMYFUNCTION("""COMPUTED_VALUE"""),"2019-20")</f>
        <v>2019-20</v>
      </c>
      <c r="D3457" s="163" t="str">
        <f>IFERROR(__xludf.DUMMYFUNCTION("""COMPUTED_VALUE"""),"LAC")</f>
        <v>LAC</v>
      </c>
      <c r="E3457" s="164" t="str">
        <f>IFERROR(__xludf.DUMMYFUNCTION("""COMPUTED_VALUE"""),"Secondary Ball Handler")</f>
        <v>Secondary Ball Handler</v>
      </c>
      <c r="F3457" s="164">
        <f>IFERROR(__xludf.DUMMYFUNCTION("""COMPUTED_VALUE"""),362.12)</f>
        <v>362.12</v>
      </c>
      <c r="G3457" s="163">
        <f>IFERROR(__xludf.DUMMYFUNCTION("""COMPUTED_VALUE"""),41.0)</f>
        <v>41</v>
      </c>
      <c r="H3457" s="163" t="str">
        <f>IFERROR(__xludf.DUMMYFUNCTION("""COMPUTED_VALUE"""),"SF")</f>
        <v>SF</v>
      </c>
      <c r="I3457" s="163">
        <f>IFERROR(__xludf.DUMMYFUNCTION("""COMPUTED_VALUE"""),23.0)</f>
        <v>23</v>
      </c>
      <c r="J3457" s="165">
        <f>IFERROR(__xludf.DUMMYFUNCTION("""COMPUTED_VALUE"""),-1.41965057805217)</f>
        <v>-1.419650578</v>
      </c>
      <c r="K3457" s="165">
        <f>IFERROR(__xludf.DUMMYFUNCTION("""COMPUTED_VALUE"""),-1.82865163917442)</f>
        <v>-1.828651639</v>
      </c>
      <c r="L3457" s="165">
        <f>IFERROR(__xludf.DUMMYFUNCTION("""COMPUTED_VALUE"""),0.40900106112225)</f>
        <v>0.4090010611</v>
      </c>
      <c r="M3457" s="166">
        <f t="shared" si="2"/>
        <v>0.2126453541</v>
      </c>
      <c r="N3457" s="167">
        <f t="shared" si="3"/>
        <v>8.832195122</v>
      </c>
      <c r="O3457" s="163">
        <f t="shared" ref="O3457:Q3457" si="3461">rank(I3457,I:I)</f>
        <v>2765</v>
      </c>
      <c r="P3457" s="163">
        <f t="shared" si="3461"/>
        <v>2972</v>
      </c>
      <c r="Q3457" s="163">
        <f t="shared" si="3461"/>
        <v>3590</v>
      </c>
      <c r="R3457" s="163">
        <f>IFERROR(__xludf.DUMMYFUNCTION("RANK(M3457,filter(M:M,C:C=C3457))"),335.0)</f>
        <v>335</v>
      </c>
      <c r="S3457" s="161" t="b">
        <f t="shared" si="5"/>
        <v>0</v>
      </c>
      <c r="T3457" s="161" t="b">
        <f t="array" ref="T3457">index('Query Tool'!B:B,match(H3457,'Query Tool'!C:C,0))</f>
        <v>1</v>
      </c>
      <c r="U3457" s="161" t="b">
        <f t="array" ref="U3457">index('Query Tool'!B:B,match(C3457,'Query Tool'!C:C,0))</f>
        <v>0</v>
      </c>
      <c r="V3457" s="161" t="b">
        <f>F3457&gt;='Query Tool'!C$32</f>
        <v>0</v>
      </c>
      <c r="W3457" s="161" t="b">
        <f t="array" ref="W3457">index(Dropdowns!B:B,match(I3457,Dropdowns!A:A,0))</f>
        <v>1</v>
      </c>
      <c r="X3457" s="161" t="b">
        <f t="array" ref="X3457">index('Query Tool'!B:B,match(D3457,'Query Tool'!C:C,0))</f>
        <v>1</v>
      </c>
      <c r="Y3457" s="161" t="str">
        <f t="shared" si="6"/>
        <v>mannte01,2019-20</v>
      </c>
      <c r="Z3457" s="168" t="str">
        <f t="array" ref="Z3457">iferror(index(I:I,match($A3457&amp;","&amp;index('Year Conversion'!$A:$A,match($C3457,'Year Conversion'!$B:$B,0)),$Y:$Y,0))-I3457,"")</f>
        <v/>
      </c>
      <c r="AA3457" s="168" t="str">
        <f t="array" ref="AA3457">iferror(index(J:J,match($A3457&amp;","&amp;index('Year Conversion'!$A:$A,match($C3457,'Year Conversion'!$B:$B,0)),$Y:$Y,0))-J3457,"")</f>
        <v/>
      </c>
      <c r="AB3457" s="168" t="str">
        <f t="array" ref="AB3457">iferror(index(K:K,match($A3457&amp;","&amp;index('Year Conversion'!$A:$A,match($C3457,'Year Conversion'!$B:$B,0)),$Y:$Y,0))-K3457,"")</f>
        <v/>
      </c>
      <c r="AC3457" s="168" t="str">
        <f t="shared" si="7"/>
        <v>LAC,2019-20</v>
      </c>
    </row>
    <row r="3458">
      <c r="A3458" s="161" t="str">
        <f>IFERROR(__xludf.DUMMYFUNCTION("""COMPUTED_VALUE"""),"robinju01")</f>
        <v>robinju01</v>
      </c>
      <c r="B3458" s="161" t="str">
        <f>IFERROR(__xludf.DUMMYFUNCTION("""COMPUTED_VALUE"""),"Justin Robinson")</f>
        <v>Justin Robinson</v>
      </c>
      <c r="C3458" s="162" t="str">
        <f>IFERROR(__xludf.DUMMYFUNCTION("""COMPUTED_VALUE"""),"2019-20")</f>
        <v>2019-20</v>
      </c>
      <c r="D3458" s="163" t="str">
        <f>IFERROR(__xludf.DUMMYFUNCTION("""COMPUTED_VALUE"""),"WAS")</f>
        <v>WAS</v>
      </c>
      <c r="E3458" s="164" t="str">
        <f>IFERROR(__xludf.DUMMYFUNCTION("""COMPUTED_VALUE"""),"Secondary Ball Handler")</f>
        <v>Secondary Ball Handler</v>
      </c>
      <c r="F3458" s="164">
        <f>IFERROR(__xludf.DUMMYFUNCTION("""COMPUTED_VALUE"""),48.6866666666667)</f>
        <v>48.68666667</v>
      </c>
      <c r="G3458" s="163">
        <f>IFERROR(__xludf.DUMMYFUNCTION("""COMPUTED_VALUE"""),9.0)</f>
        <v>9</v>
      </c>
      <c r="H3458" s="163" t="str">
        <f>IFERROR(__xludf.DUMMYFUNCTION("""COMPUTED_VALUE"""),"PG")</f>
        <v>PG</v>
      </c>
      <c r="I3458" s="163">
        <f>IFERROR(__xludf.DUMMYFUNCTION("""COMPUTED_VALUE"""),22.0)</f>
        <v>22</v>
      </c>
      <c r="J3458" s="165">
        <f>IFERROR(__xludf.DUMMYFUNCTION("""COMPUTED_VALUE"""),-0.161158503908624)</f>
        <v>-0.1611585039</v>
      </c>
      <c r="K3458" s="165">
        <f>IFERROR(__xludf.DUMMYFUNCTION("""COMPUTED_VALUE"""),-0.258659333590773)</f>
        <v>-0.2586593336</v>
      </c>
      <c r="L3458" s="165">
        <f>IFERROR(__xludf.DUMMYFUNCTION("""COMPUTED_VALUE"""),0.097500829682149)</f>
        <v>0.09750082968</v>
      </c>
      <c r="M3458" s="166">
        <f t="shared" si="2"/>
        <v>0.0697689264</v>
      </c>
      <c r="N3458" s="167">
        <f t="shared" si="3"/>
        <v>5.40962963</v>
      </c>
      <c r="O3458" s="163">
        <f t="shared" ref="O3458:Q3458" si="3462">rank(I3458,I:I)</f>
        <v>3178</v>
      </c>
      <c r="P3458" s="163">
        <f t="shared" si="3462"/>
        <v>1454</v>
      </c>
      <c r="Q3458" s="163">
        <f t="shared" si="3462"/>
        <v>1690</v>
      </c>
      <c r="R3458" s="163">
        <f>IFERROR(__xludf.DUMMYFUNCTION("RANK(M3458,filter(M:M,C:C=C3458))"),410.0)</f>
        <v>410</v>
      </c>
      <c r="S3458" s="161" t="b">
        <f t="shared" si="5"/>
        <v>0</v>
      </c>
      <c r="T3458" s="161" t="b">
        <f t="array" ref="T3458">index('Query Tool'!B:B,match(H3458,'Query Tool'!C:C,0))</f>
        <v>1</v>
      </c>
      <c r="U3458" s="161" t="b">
        <f t="array" ref="U3458">index('Query Tool'!B:B,match(C3458,'Query Tool'!C:C,0))</f>
        <v>0</v>
      </c>
      <c r="V3458" s="161" t="b">
        <f>F3458&gt;='Query Tool'!C$32</f>
        <v>0</v>
      </c>
      <c r="W3458" s="161" t="b">
        <f t="array" ref="W3458">index(Dropdowns!B:B,match(I3458,Dropdowns!A:A,0))</f>
        <v>1</v>
      </c>
      <c r="X3458" s="161" t="b">
        <f t="array" ref="X3458">index('Query Tool'!B:B,match(D3458,'Query Tool'!C:C,0))</f>
        <v>1</v>
      </c>
      <c r="Y3458" s="161" t="str">
        <f t="shared" si="6"/>
        <v>robinju01,2019-20</v>
      </c>
      <c r="Z3458" s="168" t="str">
        <f t="array" ref="Z3458">iferror(index(I:I,match($A3458&amp;","&amp;index('Year Conversion'!$A:$A,match($C3458,'Year Conversion'!$B:$B,0)),$Y:$Y,0))-I3458,"")</f>
        <v/>
      </c>
      <c r="AA3458" s="168" t="str">
        <f t="array" ref="AA3458">iferror(index(J:J,match($A3458&amp;","&amp;index('Year Conversion'!$A:$A,match($C3458,'Year Conversion'!$B:$B,0)),$Y:$Y,0))-J3458,"")</f>
        <v/>
      </c>
      <c r="AB3458" s="168" t="str">
        <f t="array" ref="AB3458">iferror(index(K:K,match($A3458&amp;","&amp;index('Year Conversion'!$A:$A,match($C3458,'Year Conversion'!$B:$B,0)),$Y:$Y,0))-K3458,"")</f>
        <v/>
      </c>
      <c r="AC3458" s="168" t="str">
        <f t="shared" si="7"/>
        <v>WAS,2019-20</v>
      </c>
    </row>
    <row r="3459">
      <c r="A3459" s="161" t="str">
        <f>IFERROR(__xludf.DUMMYFUNCTION("""COMPUTED_VALUE"""),"shayoma01")</f>
        <v>shayoma01</v>
      </c>
      <c r="B3459" s="161" t="str">
        <f>IFERROR(__xludf.DUMMYFUNCTION("""COMPUTED_VALUE"""),"Marial Shayok")</f>
        <v>Marial Shayok</v>
      </c>
      <c r="C3459" s="162" t="str">
        <f>IFERROR(__xludf.DUMMYFUNCTION("""COMPUTED_VALUE"""),"2019-20")</f>
        <v>2019-20</v>
      </c>
      <c r="D3459" s="163" t="str">
        <f>IFERROR(__xludf.DUMMYFUNCTION("""COMPUTED_VALUE"""),"PHI")</f>
        <v>PHI</v>
      </c>
      <c r="E3459" s="164" t="str">
        <f>IFERROR(__xludf.DUMMYFUNCTION("""COMPUTED_VALUE"""),"Movement Shooter")</f>
        <v>Movement Shooter</v>
      </c>
      <c r="F3459" s="164">
        <f>IFERROR(__xludf.DUMMYFUNCTION("""COMPUTED_VALUE"""),27.865)</f>
        <v>27.865</v>
      </c>
      <c r="G3459" s="163">
        <f>IFERROR(__xludf.DUMMYFUNCTION("""COMPUTED_VALUE"""),4.0)</f>
        <v>4</v>
      </c>
      <c r="H3459" s="163" t="str">
        <f>IFERROR(__xludf.DUMMYFUNCTION("""COMPUTED_VALUE"""),"SG")</f>
        <v>SG</v>
      </c>
      <c r="I3459" s="163">
        <f>IFERROR(__xludf.DUMMYFUNCTION("""COMPUTED_VALUE"""),24.0)</f>
        <v>24</v>
      </c>
      <c r="J3459" s="165">
        <f>IFERROR(__xludf.DUMMYFUNCTION("""COMPUTED_VALUE"""),-0.747042058665611)</f>
        <v>-0.7470420587</v>
      </c>
      <c r="K3459" s="165">
        <f>IFERROR(__xludf.DUMMYFUNCTION("""COMPUTED_VALUE"""),-0.291763612538067)</f>
        <v>-0.2917636125</v>
      </c>
      <c r="L3459" s="165">
        <f>IFERROR(__xludf.DUMMYFUNCTION("""COMPUTED_VALUE"""),-0.455278446127545)</f>
        <v>-0.4552784461</v>
      </c>
      <c r="M3459" s="166">
        <f t="shared" si="2"/>
        <v>0.02893525609</v>
      </c>
      <c r="N3459" s="167">
        <f t="shared" si="3"/>
        <v>6.96625</v>
      </c>
      <c r="O3459" s="163">
        <f t="shared" ref="O3459:Q3459" si="3463">rank(I3459,I:I)</f>
        <v>2361</v>
      </c>
      <c r="P3459" s="163">
        <f t="shared" si="3463"/>
        <v>2212</v>
      </c>
      <c r="Q3459" s="163">
        <f t="shared" si="3463"/>
        <v>1748</v>
      </c>
      <c r="R3459" s="163">
        <f>IFERROR(__xludf.DUMMYFUNCTION("RANK(M3459,filter(M:M,C:C=C3459))"),455.0)</f>
        <v>455</v>
      </c>
      <c r="S3459" s="161" t="b">
        <f t="shared" si="5"/>
        <v>0</v>
      </c>
      <c r="T3459" s="161" t="b">
        <f t="array" ref="T3459">index('Query Tool'!B:B,match(H3459,'Query Tool'!C:C,0))</f>
        <v>1</v>
      </c>
      <c r="U3459" s="161" t="b">
        <f t="array" ref="U3459">index('Query Tool'!B:B,match(C3459,'Query Tool'!C:C,0))</f>
        <v>0</v>
      </c>
      <c r="V3459" s="161" t="b">
        <f>F3459&gt;='Query Tool'!C$32</f>
        <v>0</v>
      </c>
      <c r="W3459" s="161" t="b">
        <f t="array" ref="W3459">index(Dropdowns!B:B,match(I3459,Dropdowns!A:A,0))</f>
        <v>1</v>
      </c>
      <c r="X3459" s="161" t="b">
        <f t="array" ref="X3459">index('Query Tool'!B:B,match(D3459,'Query Tool'!C:C,0))</f>
        <v>1</v>
      </c>
      <c r="Y3459" s="161" t="str">
        <f t="shared" si="6"/>
        <v>shayoma01,2019-20</v>
      </c>
      <c r="Z3459" s="168" t="str">
        <f t="array" ref="Z3459">iferror(index(I:I,match($A3459&amp;","&amp;index('Year Conversion'!$A:$A,match($C3459,'Year Conversion'!$B:$B,0)),$Y:$Y,0))-I3459,"")</f>
        <v/>
      </c>
      <c r="AA3459" s="168" t="str">
        <f t="array" ref="AA3459">iferror(index(J:J,match($A3459&amp;","&amp;index('Year Conversion'!$A:$A,match($C3459,'Year Conversion'!$B:$B,0)),$Y:$Y,0))-J3459,"")</f>
        <v/>
      </c>
      <c r="AB3459" s="168" t="str">
        <f t="array" ref="AB3459">iferror(index(K:K,match($A3459&amp;","&amp;index('Year Conversion'!$A:$A,match($C3459,'Year Conversion'!$B:$B,0)),$Y:$Y,0))-K3459,"")</f>
        <v/>
      </c>
      <c r="AC3459" s="168" t="str">
        <f t="shared" si="7"/>
        <v>PHI,2019-20</v>
      </c>
    </row>
    <row r="3460">
      <c r="A3460" s="161" t="str">
        <f>IFERROR(__xludf.DUMMYFUNCTION("""COMPUTED_VALUE"""),"strusma01")</f>
        <v>strusma01</v>
      </c>
      <c r="B3460" s="161" t="str">
        <f>IFERROR(__xludf.DUMMYFUNCTION("""COMPUTED_VALUE"""),"Max Strus")</f>
        <v>Max Strus</v>
      </c>
      <c r="C3460" s="162" t="str">
        <f>IFERROR(__xludf.DUMMYFUNCTION("""COMPUTED_VALUE"""),"2019-20")</f>
        <v>2019-20</v>
      </c>
      <c r="D3460" s="163" t="str">
        <f>IFERROR(__xludf.DUMMYFUNCTION("""COMPUTED_VALUE"""),"CHI")</f>
        <v>CHI</v>
      </c>
      <c r="E3460" s="164" t="str">
        <f>IFERROR(__xludf.DUMMYFUNCTION("""COMPUTED_VALUE"""),"Stretch Big")</f>
        <v>Stretch Big</v>
      </c>
      <c r="F3460" s="164">
        <f>IFERROR(__xludf.DUMMYFUNCTION("""COMPUTED_VALUE"""),6.23333333333334)</f>
        <v>6.233333333</v>
      </c>
      <c r="G3460" s="163">
        <f>IFERROR(__xludf.DUMMYFUNCTION("""COMPUTED_VALUE"""),2.0)</f>
        <v>2</v>
      </c>
      <c r="H3460" s="163" t="str">
        <f>IFERROR(__xludf.DUMMYFUNCTION("""COMPUTED_VALUE"""),"SF")</f>
        <v>SF</v>
      </c>
      <c r="I3460" s="163">
        <f>IFERROR(__xludf.DUMMYFUNCTION("""COMPUTED_VALUE"""),23.0)</f>
        <v>23</v>
      </c>
      <c r="J3460" s="165">
        <f>IFERROR(__xludf.DUMMYFUNCTION("""COMPUTED_VALUE"""),-0.286804622344116)</f>
        <v>-0.2868046223</v>
      </c>
      <c r="K3460" s="165">
        <f>IFERROR(__xludf.DUMMYFUNCTION("""COMPUTED_VALUE"""),0.104210520858056)</f>
        <v>0.1042105209</v>
      </c>
      <c r="L3460" s="165">
        <f>IFERROR(__xludf.DUMMYFUNCTION("""COMPUTED_VALUE"""),-0.391015143202172)</f>
        <v>-0.3910151432</v>
      </c>
      <c r="M3460" s="166">
        <f t="shared" si="2"/>
        <v>0.008404577889</v>
      </c>
      <c r="N3460" s="167">
        <f t="shared" si="3"/>
        <v>3.116666667</v>
      </c>
      <c r="O3460" s="163">
        <f t="shared" ref="O3460:Q3460" si="3464">rank(I3460,I:I)</f>
        <v>2765</v>
      </c>
      <c r="P3460" s="163">
        <f t="shared" si="3464"/>
        <v>1595</v>
      </c>
      <c r="Q3460" s="163">
        <f t="shared" si="3464"/>
        <v>1065</v>
      </c>
      <c r="R3460" s="163">
        <f>IFERROR(__xludf.DUMMYFUNCTION("RANK(M3460,filter(M:M,C:C=C3460))"),476.0)</f>
        <v>476</v>
      </c>
      <c r="S3460" s="161" t="b">
        <f t="shared" si="5"/>
        <v>0</v>
      </c>
      <c r="T3460" s="161" t="b">
        <f t="array" ref="T3460">index('Query Tool'!B:B,match(H3460,'Query Tool'!C:C,0))</f>
        <v>1</v>
      </c>
      <c r="U3460" s="161" t="b">
        <f t="array" ref="U3460">index('Query Tool'!B:B,match(C3460,'Query Tool'!C:C,0))</f>
        <v>0</v>
      </c>
      <c r="V3460" s="161" t="b">
        <f>F3460&gt;='Query Tool'!C$32</f>
        <v>0</v>
      </c>
      <c r="W3460" s="161" t="b">
        <f t="array" ref="W3460">index(Dropdowns!B:B,match(I3460,Dropdowns!A:A,0))</f>
        <v>1</v>
      </c>
      <c r="X3460" s="161" t="b">
        <f t="array" ref="X3460">index('Query Tool'!B:B,match(D3460,'Query Tool'!C:C,0))</f>
        <v>1</v>
      </c>
      <c r="Y3460" s="161" t="str">
        <f t="shared" si="6"/>
        <v>strusma01,2019-20</v>
      </c>
      <c r="Z3460" s="168" t="str">
        <f t="array" ref="Z3460">iferror(index(I:I,match($A3460&amp;","&amp;index('Year Conversion'!$A:$A,match($C3460,'Year Conversion'!$B:$B,0)),$Y:$Y,0))-I3460,"")</f>
        <v/>
      </c>
      <c r="AA3460" s="168" t="str">
        <f t="array" ref="AA3460">iferror(index(J:J,match($A3460&amp;","&amp;index('Year Conversion'!$A:$A,match($C3460,'Year Conversion'!$B:$B,0)),$Y:$Y,0))-J3460,"")</f>
        <v/>
      </c>
      <c r="AB3460" s="168" t="str">
        <f t="array" ref="AB3460">iferror(index(K:K,match($A3460&amp;","&amp;index('Year Conversion'!$A:$A,match($C3460,'Year Conversion'!$B:$B,0)),$Y:$Y,0))-K3460,"")</f>
        <v/>
      </c>
      <c r="AC3460" s="168" t="str">
        <f t="shared" si="7"/>
        <v>CHI,2019-20</v>
      </c>
    </row>
    <row r="3461">
      <c r="A3461" s="161" t="str">
        <f>IFERROR(__xludf.DUMMYFUNCTION("""COMPUTED_VALUE"""),"wrighju02")</f>
        <v>wrighju02</v>
      </c>
      <c r="B3461" s="161" t="str">
        <f>IFERROR(__xludf.DUMMYFUNCTION("""COMPUTED_VALUE"""),"Justin Wright-Foreman")</f>
        <v>Justin Wright-Foreman</v>
      </c>
      <c r="C3461" s="162" t="str">
        <f>IFERROR(__xludf.DUMMYFUNCTION("""COMPUTED_VALUE"""),"2019-20")</f>
        <v>2019-20</v>
      </c>
      <c r="D3461" s="163" t="str">
        <f>IFERROR(__xludf.DUMMYFUNCTION("""COMPUTED_VALUE"""),"UTA")</f>
        <v>UTA</v>
      </c>
      <c r="E3461" s="164" t="str">
        <f>IFERROR(__xludf.DUMMYFUNCTION("""COMPUTED_VALUE"""),"Stationary Shooter")</f>
        <v>Stationary Shooter</v>
      </c>
      <c r="F3461" s="164">
        <f>IFERROR(__xludf.DUMMYFUNCTION("""COMPUTED_VALUE"""),45.15)</f>
        <v>45.15</v>
      </c>
      <c r="G3461" s="163">
        <f>IFERROR(__xludf.DUMMYFUNCTION("""COMPUTED_VALUE"""),4.0)</f>
        <v>4</v>
      </c>
      <c r="H3461" s="163" t="str">
        <f>IFERROR(__xludf.DUMMYFUNCTION("""COMPUTED_VALUE"""),"PG")</f>
        <v>PG</v>
      </c>
      <c r="I3461" s="163">
        <f>IFERROR(__xludf.DUMMYFUNCTION("""COMPUTED_VALUE"""),22.0)</f>
        <v>22</v>
      </c>
      <c r="J3461" s="165">
        <f>IFERROR(__xludf.DUMMYFUNCTION("""COMPUTED_VALUE"""),-0.590650870896885)</f>
        <v>-0.5906508709</v>
      </c>
      <c r="K3461" s="165">
        <f>IFERROR(__xludf.DUMMYFUNCTION("""COMPUTED_VALUE"""),-0.222280169338398)</f>
        <v>-0.2222801693</v>
      </c>
      <c r="L3461" s="165">
        <f>IFERROR(__xludf.DUMMYFUNCTION("""COMPUTED_VALUE"""),-0.368370701558487)</f>
        <v>-0.3683707016</v>
      </c>
      <c r="M3461" s="166">
        <f t="shared" si="2"/>
        <v>0.05163574072</v>
      </c>
      <c r="N3461" s="167">
        <f t="shared" si="3"/>
        <v>11.2875</v>
      </c>
      <c r="O3461" s="163">
        <f t="shared" ref="O3461:Q3461" si="3465">rank(I3461,I:I)</f>
        <v>3178</v>
      </c>
      <c r="P3461" s="163">
        <f t="shared" si="3465"/>
        <v>1979</v>
      </c>
      <c r="Q3461" s="163">
        <f t="shared" si="3465"/>
        <v>1603</v>
      </c>
      <c r="R3461" s="163">
        <f>IFERROR(__xludf.DUMMYFUNCTION("RANK(M3461,filter(M:M,C:C=C3461))"),431.0)</f>
        <v>431</v>
      </c>
      <c r="S3461" s="161" t="b">
        <f t="shared" si="5"/>
        <v>0</v>
      </c>
      <c r="T3461" s="161" t="b">
        <f t="array" ref="T3461">index('Query Tool'!B:B,match(H3461,'Query Tool'!C:C,0))</f>
        <v>1</v>
      </c>
      <c r="U3461" s="161" t="b">
        <f t="array" ref="U3461">index('Query Tool'!B:B,match(C3461,'Query Tool'!C:C,0))</f>
        <v>0</v>
      </c>
      <c r="V3461" s="161" t="b">
        <f>F3461&gt;='Query Tool'!C$32</f>
        <v>0</v>
      </c>
      <c r="W3461" s="161" t="b">
        <f t="array" ref="W3461">index(Dropdowns!B:B,match(I3461,Dropdowns!A:A,0))</f>
        <v>1</v>
      </c>
      <c r="X3461" s="161" t="b">
        <f t="array" ref="X3461">index('Query Tool'!B:B,match(D3461,'Query Tool'!C:C,0))</f>
        <v>1</v>
      </c>
      <c r="Y3461" s="161" t="str">
        <f t="shared" si="6"/>
        <v>wrighju02,2019-20</v>
      </c>
      <c r="Z3461" s="168" t="str">
        <f t="array" ref="Z3461">iferror(index(I:I,match($A3461&amp;","&amp;index('Year Conversion'!$A:$A,match($C3461,'Year Conversion'!$B:$B,0)),$Y:$Y,0))-I3461,"")</f>
        <v/>
      </c>
      <c r="AA3461" s="168" t="str">
        <f t="array" ref="AA3461">iferror(index(J:J,match($A3461&amp;","&amp;index('Year Conversion'!$A:$A,match($C3461,'Year Conversion'!$B:$B,0)),$Y:$Y,0))-J3461,"")</f>
        <v/>
      </c>
      <c r="AB3461" s="168" t="str">
        <f t="array" ref="AB3461">iferror(index(K:K,match($A3461&amp;","&amp;index('Year Conversion'!$A:$A,match($C3461,'Year Conversion'!$B:$B,0)),$Y:$Y,0))-K3461,"")</f>
        <v/>
      </c>
      <c r="AC3461" s="168" t="str">
        <f t="shared" si="7"/>
        <v>UTA,2019-20</v>
      </c>
    </row>
    <row r="3462">
      <c r="A3462" s="161" t="str">
        <f>IFERROR(__xludf.DUMMYFUNCTION("""COMPUTED_VALUE"""),"bolbo01")</f>
        <v>bolbo01</v>
      </c>
      <c r="B3462" s="161" t="str">
        <f>IFERROR(__xludf.DUMMYFUNCTION("""COMPUTED_VALUE"""),"Bol Bol")</f>
        <v>Bol Bol</v>
      </c>
      <c r="C3462" s="162" t="str">
        <f>IFERROR(__xludf.DUMMYFUNCTION("""COMPUTED_VALUE"""),"2019-20")</f>
        <v>2019-20</v>
      </c>
      <c r="D3462" s="163" t="str">
        <f>IFERROR(__xludf.DUMMYFUNCTION("""COMPUTED_VALUE"""),"DEN")</f>
        <v>DEN</v>
      </c>
      <c r="E3462" s="164" t="str">
        <f>IFERROR(__xludf.DUMMYFUNCTION("""COMPUTED_VALUE"""),"Stretch Big")</f>
        <v>Stretch Big</v>
      </c>
      <c r="F3462" s="164">
        <f>IFERROR(__xludf.DUMMYFUNCTION("""COMPUTED_VALUE"""),86.9383333333333)</f>
        <v>86.93833333</v>
      </c>
      <c r="G3462" s="163">
        <f>IFERROR(__xludf.DUMMYFUNCTION("""COMPUTED_VALUE"""),7.0)</f>
        <v>7</v>
      </c>
      <c r="H3462" s="163" t="str">
        <f>IFERROR(__xludf.DUMMYFUNCTION("""COMPUTED_VALUE"""),"PF")</f>
        <v>PF</v>
      </c>
      <c r="I3462" s="163">
        <f>IFERROR(__xludf.DUMMYFUNCTION("""COMPUTED_VALUE"""),20.0)</f>
        <v>20</v>
      </c>
      <c r="J3462" s="165">
        <f>IFERROR(__xludf.DUMMYFUNCTION("""COMPUTED_VALUE"""),-0.892252288536672)</f>
        <v>-0.8922522885</v>
      </c>
      <c r="K3462" s="165">
        <f>IFERROR(__xludf.DUMMYFUNCTION("""COMPUTED_VALUE"""),-0.529352128165989)</f>
        <v>-0.5293521282</v>
      </c>
      <c r="L3462" s="165">
        <f>IFERROR(__xludf.DUMMYFUNCTION("""COMPUTED_VALUE"""),-0.362900160370684)</f>
        <v>-0.3629001604</v>
      </c>
      <c r="M3462" s="166">
        <f t="shared" si="2"/>
        <v>0.0817901634</v>
      </c>
      <c r="N3462" s="167">
        <f t="shared" si="3"/>
        <v>12.4197619</v>
      </c>
      <c r="O3462" s="163">
        <f t="shared" ref="O3462:Q3462" si="3466">rank(I3462,I:I)</f>
        <v>3770</v>
      </c>
      <c r="P3462" s="163">
        <f t="shared" si="3466"/>
        <v>2382</v>
      </c>
      <c r="Q3462" s="163">
        <f t="shared" si="3466"/>
        <v>2153</v>
      </c>
      <c r="R3462" s="163">
        <f>IFERROR(__xludf.DUMMYFUNCTION("RANK(M3462,filter(M:M,C:C=C3462))"),400.0)</f>
        <v>400</v>
      </c>
      <c r="S3462" s="161" t="b">
        <f t="shared" si="5"/>
        <v>0</v>
      </c>
      <c r="T3462" s="161" t="b">
        <f t="array" ref="T3462">index('Query Tool'!B:B,match(H3462,'Query Tool'!C:C,0))</f>
        <v>1</v>
      </c>
      <c r="U3462" s="161" t="b">
        <f t="array" ref="U3462">index('Query Tool'!B:B,match(C3462,'Query Tool'!C:C,0))</f>
        <v>0</v>
      </c>
      <c r="V3462" s="161" t="b">
        <f>F3462&gt;='Query Tool'!C$32</f>
        <v>0</v>
      </c>
      <c r="W3462" s="161" t="b">
        <f t="array" ref="W3462">index(Dropdowns!B:B,match(I3462,Dropdowns!A:A,0))</f>
        <v>1</v>
      </c>
      <c r="X3462" s="161" t="b">
        <f t="array" ref="X3462">index('Query Tool'!B:B,match(D3462,'Query Tool'!C:C,0))</f>
        <v>1</v>
      </c>
      <c r="Y3462" s="161" t="str">
        <f t="shared" si="6"/>
        <v>bolbo01,2019-20</v>
      </c>
      <c r="Z3462" s="168" t="str">
        <f t="array" ref="Z3462">iferror(index(I:I,match($A3462&amp;","&amp;index('Year Conversion'!$A:$A,match($C3462,'Year Conversion'!$B:$B,0)),$Y:$Y,0))-I3462,"")</f>
        <v/>
      </c>
      <c r="AA3462" s="168" t="str">
        <f t="array" ref="AA3462">iferror(index(J:J,match($A3462&amp;","&amp;index('Year Conversion'!$A:$A,match($C3462,'Year Conversion'!$B:$B,0)),$Y:$Y,0))-J3462,"")</f>
        <v/>
      </c>
      <c r="AB3462" s="168" t="str">
        <f t="array" ref="AB3462">iferror(index(K:K,match($A3462&amp;","&amp;index('Year Conversion'!$A:$A,match($C3462,'Year Conversion'!$B:$B,0)),$Y:$Y,0))-K3462,"")</f>
        <v/>
      </c>
      <c r="AC3462" s="168" t="str">
        <f t="shared" si="7"/>
        <v>DEN,2019-20</v>
      </c>
    </row>
    <row r="3463">
      <c r="A3463" s="161" t="str">
        <f>IFERROR(__xludf.DUMMYFUNCTION("""COMPUTED_VALUE"""),"willizi01")</f>
        <v>willizi01</v>
      </c>
      <c r="B3463" s="161" t="str">
        <f>IFERROR(__xludf.DUMMYFUNCTION("""COMPUTED_VALUE"""),"Zion Williamson")</f>
        <v>Zion Williamson</v>
      </c>
      <c r="C3463" s="162" t="str">
        <f>IFERROR(__xludf.DUMMYFUNCTION("""COMPUTED_VALUE"""),"2019-20")</f>
        <v>2019-20</v>
      </c>
      <c r="D3463" s="163" t="str">
        <f>IFERROR(__xludf.DUMMYFUNCTION("""COMPUTED_VALUE"""),"NOP")</f>
        <v>NOP</v>
      </c>
      <c r="E3463" s="164" t="str">
        <f>IFERROR(__xludf.DUMMYFUNCTION("""COMPUTED_VALUE"""),"Post Scorer")</f>
        <v>Post Scorer</v>
      </c>
      <c r="F3463" s="164">
        <f>IFERROR(__xludf.DUMMYFUNCTION("""COMPUTED_VALUE"""),668.141666666667)</f>
        <v>668.1416667</v>
      </c>
      <c r="G3463" s="163">
        <f>IFERROR(__xludf.DUMMYFUNCTION("""COMPUTED_VALUE"""),24.0)</f>
        <v>24</v>
      </c>
      <c r="H3463" s="163" t="str">
        <f>IFERROR(__xludf.DUMMYFUNCTION("""COMPUTED_VALUE"""),"PF")</f>
        <v>PF</v>
      </c>
      <c r="I3463" s="163">
        <f>IFERROR(__xludf.DUMMYFUNCTION("""COMPUTED_VALUE"""),19.0)</f>
        <v>19</v>
      </c>
      <c r="J3463" s="165">
        <f>IFERROR(__xludf.DUMMYFUNCTION("""COMPUTED_VALUE"""),1.25599218645094)</f>
        <v>1.255992186</v>
      </c>
      <c r="K3463" s="165">
        <f>IFERROR(__xludf.DUMMYFUNCTION("""COMPUTED_VALUE"""),2.24326134703173)</f>
        <v>2.243261347</v>
      </c>
      <c r="L3463" s="165">
        <f>IFERROR(__xludf.DUMMYFUNCTION("""COMPUTED_VALUE"""),-0.987269160580789)</f>
        <v>-0.9872691606</v>
      </c>
      <c r="M3463" s="166">
        <f t="shared" si="2"/>
        <v>1.594582218</v>
      </c>
      <c r="N3463" s="167">
        <f t="shared" si="3"/>
        <v>27.83923611</v>
      </c>
      <c r="O3463" s="163">
        <f t="shared" ref="O3463:Q3463" si="3467">rank(I3463,I:I)</f>
        <v>3945</v>
      </c>
      <c r="P3463" s="163">
        <f t="shared" si="3467"/>
        <v>544</v>
      </c>
      <c r="Q3463" s="163">
        <f t="shared" si="3467"/>
        <v>189</v>
      </c>
      <c r="R3463" s="163">
        <f>IFERROR(__xludf.DUMMYFUNCTION("RANK(M3463,filter(M:M,C:C=C3463))"),179.0)</f>
        <v>179</v>
      </c>
      <c r="S3463" s="161" t="b">
        <f t="shared" si="5"/>
        <v>0</v>
      </c>
      <c r="T3463" s="161" t="b">
        <f t="array" ref="T3463">index('Query Tool'!B:B,match(H3463,'Query Tool'!C:C,0))</f>
        <v>1</v>
      </c>
      <c r="U3463" s="161" t="b">
        <f t="array" ref="U3463">index('Query Tool'!B:B,match(C3463,'Query Tool'!C:C,0))</f>
        <v>0</v>
      </c>
      <c r="V3463" s="161" t="b">
        <f>F3463&gt;='Query Tool'!C$32</f>
        <v>1</v>
      </c>
      <c r="W3463" s="161" t="b">
        <f t="array" ref="W3463">index(Dropdowns!B:B,match(I3463,Dropdowns!A:A,0))</f>
        <v>1</v>
      </c>
      <c r="X3463" s="161" t="b">
        <f t="array" ref="X3463">index('Query Tool'!B:B,match(D3463,'Query Tool'!C:C,0))</f>
        <v>1</v>
      </c>
      <c r="Y3463" s="161" t="str">
        <f t="shared" si="6"/>
        <v>willizi01,2019-20</v>
      </c>
      <c r="Z3463" s="168" t="str">
        <f t="array" ref="Z3463">iferror(index(I:I,match($A3463&amp;","&amp;index('Year Conversion'!$A:$A,match($C3463,'Year Conversion'!$B:$B,0)),$Y:$Y,0))-I3463,"")</f>
        <v/>
      </c>
      <c r="AA3463" s="168" t="str">
        <f t="array" ref="AA3463">iferror(index(J:J,match($A3463&amp;","&amp;index('Year Conversion'!$A:$A,match($C3463,'Year Conversion'!$B:$B,0)),$Y:$Y,0))-J3463,"")</f>
        <v/>
      </c>
      <c r="AB3463" s="168" t="str">
        <f t="array" ref="AB3463">iferror(index(K:K,match($A3463&amp;","&amp;index('Year Conversion'!$A:$A,match($C3463,'Year Conversion'!$B:$B,0)),$Y:$Y,0))-K3463,"")</f>
        <v/>
      </c>
      <c r="AC3463" s="168" t="str">
        <f t="shared" si="7"/>
        <v>NOP,2019-20</v>
      </c>
    </row>
    <row r="3464">
      <c r="A3464" s="161" t="str">
        <f>IFERROR(__xludf.DUMMYFUNCTION("""COMPUTED_VALUE"""),"barrerj01")</f>
        <v>barrerj01</v>
      </c>
      <c r="B3464" s="161" t="str">
        <f>IFERROR(__xludf.DUMMYFUNCTION("""COMPUTED_VALUE"""),"RJ Barrett")</f>
        <v>RJ Barrett</v>
      </c>
      <c r="C3464" s="162" t="str">
        <f>IFERROR(__xludf.DUMMYFUNCTION("""COMPUTED_VALUE"""),"2019-20")</f>
        <v>2019-20</v>
      </c>
      <c r="D3464" s="163" t="str">
        <f>IFERROR(__xludf.DUMMYFUNCTION("""COMPUTED_VALUE"""),"NYK")</f>
        <v>NYK</v>
      </c>
      <c r="E3464" s="164" t="str">
        <f>IFERROR(__xludf.DUMMYFUNCTION("""COMPUTED_VALUE"""),"Slasher")</f>
        <v>Slasher</v>
      </c>
      <c r="F3464" s="164">
        <f>IFERROR(__xludf.DUMMYFUNCTION("""COMPUTED_VALUE"""),1704.42166666667)</f>
        <v>1704.421667</v>
      </c>
      <c r="G3464" s="163">
        <f>IFERROR(__xludf.DUMMYFUNCTION("""COMPUTED_VALUE"""),56.0)</f>
        <v>56</v>
      </c>
      <c r="H3464" s="163" t="str">
        <f>IFERROR(__xludf.DUMMYFUNCTION("""COMPUTED_VALUE"""),"SG")</f>
        <v>SG</v>
      </c>
      <c r="I3464" s="163">
        <f>IFERROR(__xludf.DUMMYFUNCTION("""COMPUTED_VALUE"""),19.0)</f>
        <v>19</v>
      </c>
      <c r="J3464" s="165">
        <f>IFERROR(__xludf.DUMMYFUNCTION("""COMPUTED_VALUE"""),-2.26947440970472)</f>
        <v>-2.26947441</v>
      </c>
      <c r="K3464" s="165">
        <f>IFERROR(__xludf.DUMMYFUNCTION("""COMPUTED_VALUE"""),-1.27267304211948)</f>
        <v>-1.272673042</v>
      </c>
      <c r="L3464" s="165">
        <f>IFERROR(__xludf.DUMMYFUNCTION("""COMPUTED_VALUE"""),-0.996801367585244)</f>
        <v>-0.9968013676</v>
      </c>
      <c r="M3464" s="166">
        <f t="shared" si="2"/>
        <v>0.03828933454</v>
      </c>
      <c r="N3464" s="167">
        <f t="shared" si="3"/>
        <v>30.43610119</v>
      </c>
      <c r="O3464" s="163">
        <f t="shared" ref="O3464:Q3464" si="3468">rank(I3464,I:I)</f>
        <v>3945</v>
      </c>
      <c r="P3464" s="163">
        <f t="shared" si="3468"/>
        <v>3639</v>
      </c>
      <c r="Q3464" s="163">
        <f t="shared" si="3468"/>
        <v>3114</v>
      </c>
      <c r="R3464" s="163">
        <f>IFERROR(__xludf.DUMMYFUNCTION("RANK(M3464,filter(M:M,C:C=C3464))"),443.0)</f>
        <v>443</v>
      </c>
      <c r="S3464" s="161" t="b">
        <f t="shared" si="5"/>
        <v>0</v>
      </c>
      <c r="T3464" s="161" t="b">
        <f t="array" ref="T3464">index('Query Tool'!B:B,match(H3464,'Query Tool'!C:C,0))</f>
        <v>1</v>
      </c>
      <c r="U3464" s="161" t="b">
        <f t="array" ref="U3464">index('Query Tool'!B:B,match(C3464,'Query Tool'!C:C,0))</f>
        <v>0</v>
      </c>
      <c r="V3464" s="161" t="b">
        <f>F3464&gt;='Query Tool'!C$32</f>
        <v>1</v>
      </c>
      <c r="W3464" s="161" t="b">
        <f t="array" ref="W3464">index(Dropdowns!B:B,match(I3464,Dropdowns!A:A,0))</f>
        <v>1</v>
      </c>
      <c r="X3464" s="161" t="b">
        <f t="array" ref="X3464">index('Query Tool'!B:B,match(D3464,'Query Tool'!C:C,0))</f>
        <v>1</v>
      </c>
      <c r="Y3464" s="161" t="str">
        <f t="shared" si="6"/>
        <v>barrerj01,2019-20</v>
      </c>
      <c r="Z3464" s="168" t="str">
        <f t="array" ref="Z3464">iferror(index(I:I,match($A3464&amp;","&amp;index('Year Conversion'!$A:$A,match($C3464,'Year Conversion'!$B:$B,0)),$Y:$Y,0))-I3464,"")</f>
        <v/>
      </c>
      <c r="AA3464" s="168" t="str">
        <f t="array" ref="AA3464">iferror(index(J:J,match($A3464&amp;","&amp;index('Year Conversion'!$A:$A,match($C3464,'Year Conversion'!$B:$B,0)),$Y:$Y,0))-J3464,"")</f>
        <v/>
      </c>
      <c r="AB3464" s="168" t="str">
        <f t="array" ref="AB3464">iferror(index(K:K,match($A3464&amp;","&amp;index('Year Conversion'!$A:$A,match($C3464,'Year Conversion'!$B:$B,0)),$Y:$Y,0))-K3464,"")</f>
        <v/>
      </c>
      <c r="AC3464" s="168" t="str">
        <f t="shared" si="7"/>
        <v>NYK,2019-20</v>
      </c>
    </row>
    <row r="3465">
      <c r="A3465" s="161" t="str">
        <f>IFERROR(__xludf.DUMMYFUNCTION("""COMPUTED_VALUE"""),"reddica01")</f>
        <v>reddica01</v>
      </c>
      <c r="B3465" s="161" t="str">
        <f>IFERROR(__xludf.DUMMYFUNCTION("""COMPUTED_VALUE"""),"Cam Reddish")</f>
        <v>Cam Reddish</v>
      </c>
      <c r="C3465" s="162" t="str">
        <f>IFERROR(__xludf.DUMMYFUNCTION("""COMPUTED_VALUE"""),"2019-20")</f>
        <v>2019-20</v>
      </c>
      <c r="D3465" s="163" t="str">
        <f>IFERROR(__xludf.DUMMYFUNCTION("""COMPUTED_VALUE"""),"ATL")</f>
        <v>ATL</v>
      </c>
      <c r="E3465" s="164" t="str">
        <f>IFERROR(__xludf.DUMMYFUNCTION("""COMPUTED_VALUE"""),"Movement Shooter")</f>
        <v>Movement Shooter</v>
      </c>
      <c r="F3465" s="164">
        <f>IFERROR(__xludf.DUMMYFUNCTION("""COMPUTED_VALUE"""),1550.745)</f>
        <v>1550.745</v>
      </c>
      <c r="G3465" s="163">
        <f>IFERROR(__xludf.DUMMYFUNCTION("""COMPUTED_VALUE"""),58.0)</f>
        <v>58</v>
      </c>
      <c r="H3465" s="163" t="str">
        <f>IFERROR(__xludf.DUMMYFUNCTION("""COMPUTED_VALUE"""),"SF")</f>
        <v>SF</v>
      </c>
      <c r="I3465" s="163">
        <f>IFERROR(__xludf.DUMMYFUNCTION("""COMPUTED_VALUE"""),20.0)</f>
        <v>20</v>
      </c>
      <c r="J3465" s="165">
        <f>IFERROR(__xludf.DUMMYFUNCTION("""COMPUTED_VALUE"""),-2.70240776507194)</f>
        <v>-2.702407765</v>
      </c>
      <c r="K3465" s="165">
        <f>IFERROR(__xludf.DUMMYFUNCTION("""COMPUTED_VALUE"""),-1.47730428463622)</f>
        <v>-1.477304285</v>
      </c>
      <c r="L3465" s="165">
        <f>IFERROR(__xludf.DUMMYFUNCTION("""COMPUTED_VALUE"""),-1.22510348043572)</f>
        <v>-1.22510348</v>
      </c>
      <c r="M3465" s="166">
        <f t="shared" si="2"/>
        <v>-0.4063060343</v>
      </c>
      <c r="N3465" s="167">
        <f t="shared" si="3"/>
        <v>26.73698276</v>
      </c>
      <c r="O3465" s="163">
        <f t="shared" ref="O3465:Q3465" si="3469">rank(I3465,I:I)</f>
        <v>3770</v>
      </c>
      <c r="P3465" s="163">
        <f t="shared" si="3469"/>
        <v>3812</v>
      </c>
      <c r="Q3465" s="163">
        <f t="shared" si="3469"/>
        <v>3332</v>
      </c>
      <c r="R3465" s="163">
        <f>IFERROR(__xludf.DUMMYFUNCTION("RANK(M3465,filter(M:M,C:C=C3465))"),513.0)</f>
        <v>513</v>
      </c>
      <c r="S3465" s="161" t="b">
        <f t="shared" si="5"/>
        <v>0</v>
      </c>
      <c r="T3465" s="161" t="b">
        <f t="array" ref="T3465">index('Query Tool'!B:B,match(H3465,'Query Tool'!C:C,0))</f>
        <v>1</v>
      </c>
      <c r="U3465" s="161" t="b">
        <f t="array" ref="U3465">index('Query Tool'!B:B,match(C3465,'Query Tool'!C:C,0))</f>
        <v>0</v>
      </c>
      <c r="V3465" s="161" t="b">
        <f>F3465&gt;='Query Tool'!C$32</f>
        <v>1</v>
      </c>
      <c r="W3465" s="161" t="b">
        <f t="array" ref="W3465">index(Dropdowns!B:B,match(I3465,Dropdowns!A:A,0))</f>
        <v>1</v>
      </c>
      <c r="X3465" s="161" t="b">
        <f t="array" ref="X3465">index('Query Tool'!B:B,match(D3465,'Query Tool'!C:C,0))</f>
        <v>1</v>
      </c>
      <c r="Y3465" s="161" t="str">
        <f t="shared" si="6"/>
        <v>reddica01,2019-20</v>
      </c>
      <c r="Z3465" s="168" t="str">
        <f t="array" ref="Z3465">iferror(index(I:I,match($A3465&amp;","&amp;index('Year Conversion'!$A:$A,match($C3465,'Year Conversion'!$B:$B,0)),$Y:$Y,0))-I3465,"")</f>
        <v/>
      </c>
      <c r="AA3465" s="168" t="str">
        <f t="array" ref="AA3465">iferror(index(J:J,match($A3465&amp;","&amp;index('Year Conversion'!$A:$A,match($C3465,'Year Conversion'!$B:$B,0)),$Y:$Y,0))-J3465,"")</f>
        <v/>
      </c>
      <c r="AB3465" s="168" t="str">
        <f t="array" ref="AB3465">iferror(index(K:K,match($A3465&amp;","&amp;index('Year Conversion'!$A:$A,match($C3465,'Year Conversion'!$B:$B,0)),$Y:$Y,0))-K3465,"")</f>
        <v/>
      </c>
      <c r="AC3465" s="168" t="str">
        <f t="shared" si="7"/>
        <v>ATL,2019-20</v>
      </c>
    </row>
    <row r="3466">
      <c r="A3466" s="161" t="str">
        <f>IFERROR(__xludf.DUMMYFUNCTION("""COMPUTED_VALUE"""),"moranja01")</f>
        <v>moranja01</v>
      </c>
      <c r="B3466" s="161" t="str">
        <f>IFERROR(__xludf.DUMMYFUNCTION("""COMPUTED_VALUE"""),"Ja Morant")</f>
        <v>Ja Morant</v>
      </c>
      <c r="C3466" s="162" t="str">
        <f>IFERROR(__xludf.DUMMYFUNCTION("""COMPUTED_VALUE"""),"2019-20")</f>
        <v>2019-20</v>
      </c>
      <c r="D3466" s="163" t="str">
        <f>IFERROR(__xludf.DUMMYFUNCTION("""COMPUTED_VALUE"""),"MEM")</f>
        <v>MEM</v>
      </c>
      <c r="E3466" s="164" t="str">
        <f>IFERROR(__xludf.DUMMYFUNCTION("""COMPUTED_VALUE"""),"Slasher")</f>
        <v>Slasher</v>
      </c>
      <c r="F3466" s="164">
        <f>IFERROR(__xludf.DUMMYFUNCTION("""COMPUTED_VALUE"""),2074.32333333333)</f>
        <v>2074.323333</v>
      </c>
      <c r="G3466" s="163">
        <f>IFERROR(__xludf.DUMMYFUNCTION("""COMPUTED_VALUE"""),67.0)</f>
        <v>67</v>
      </c>
      <c r="H3466" s="163" t="str">
        <f>IFERROR(__xludf.DUMMYFUNCTION("""COMPUTED_VALUE"""),"PG")</f>
        <v>PG</v>
      </c>
      <c r="I3466" s="163">
        <f>IFERROR(__xludf.DUMMYFUNCTION("""COMPUTED_VALUE"""),20.0)</f>
        <v>20</v>
      </c>
      <c r="J3466" s="165">
        <f>IFERROR(__xludf.DUMMYFUNCTION("""COMPUTED_VALUE"""),-0.0842258397765201)</f>
        <v>-0.08422583978</v>
      </c>
      <c r="K3466" s="165">
        <f>IFERROR(__xludf.DUMMYFUNCTION("""COMPUTED_VALUE"""),0.580075141332039)</f>
        <v>0.5800751413</v>
      </c>
      <c r="L3466" s="165">
        <f>IFERROR(__xludf.DUMMYFUNCTION("""COMPUTED_VALUE"""),-0.664300981108559)</f>
        <v>-0.6643009811</v>
      </c>
      <c r="M3466" s="166">
        <f t="shared" si="2"/>
        <v>3.080127502</v>
      </c>
      <c r="N3466" s="167">
        <f t="shared" si="3"/>
        <v>30.96004975</v>
      </c>
      <c r="O3466" s="163">
        <f t="shared" ref="O3466:Q3466" si="3470">rank(I3466,I:I)</f>
        <v>3770</v>
      </c>
      <c r="P3466" s="163">
        <f t="shared" si="3470"/>
        <v>1371</v>
      </c>
      <c r="Q3466" s="163">
        <f t="shared" si="3470"/>
        <v>726</v>
      </c>
      <c r="R3466" s="163">
        <f>IFERROR(__xludf.DUMMYFUNCTION("RANK(M3466,filter(M:M,C:C=C3466))"),101.0)</f>
        <v>101</v>
      </c>
      <c r="S3466" s="161" t="b">
        <f t="shared" si="5"/>
        <v>0</v>
      </c>
      <c r="T3466" s="161" t="b">
        <f t="array" ref="T3466">index('Query Tool'!B:B,match(H3466,'Query Tool'!C:C,0))</f>
        <v>1</v>
      </c>
      <c r="U3466" s="161" t="b">
        <f t="array" ref="U3466">index('Query Tool'!B:B,match(C3466,'Query Tool'!C:C,0))</f>
        <v>0</v>
      </c>
      <c r="V3466" s="161" t="b">
        <f>F3466&gt;='Query Tool'!C$32</f>
        <v>1</v>
      </c>
      <c r="W3466" s="161" t="b">
        <f t="array" ref="W3466">index(Dropdowns!B:B,match(I3466,Dropdowns!A:A,0))</f>
        <v>1</v>
      </c>
      <c r="X3466" s="161" t="b">
        <f t="array" ref="X3466">index('Query Tool'!B:B,match(D3466,'Query Tool'!C:C,0))</f>
        <v>1</v>
      </c>
      <c r="Y3466" s="161" t="str">
        <f t="shared" si="6"/>
        <v>moranja01,2019-20</v>
      </c>
      <c r="Z3466" s="168" t="str">
        <f t="array" ref="Z3466">iferror(index(I:I,match($A3466&amp;","&amp;index('Year Conversion'!$A:$A,match($C3466,'Year Conversion'!$B:$B,0)),$Y:$Y,0))-I3466,"")</f>
        <v/>
      </c>
      <c r="AA3466" s="168" t="str">
        <f t="array" ref="AA3466">iferror(index(J:J,match($A3466&amp;","&amp;index('Year Conversion'!$A:$A,match($C3466,'Year Conversion'!$B:$B,0)),$Y:$Y,0))-J3466,"")</f>
        <v/>
      </c>
      <c r="AB3466" s="168" t="str">
        <f t="array" ref="AB3466">iferror(index(K:K,match($A3466&amp;","&amp;index('Year Conversion'!$A:$A,match($C3466,'Year Conversion'!$B:$B,0)),$Y:$Y,0))-K3466,"")</f>
        <v/>
      </c>
      <c r="AC3466" s="168" t="str">
        <f t="shared" si="7"/>
        <v>MEM,2019-20</v>
      </c>
    </row>
    <row r="3467">
      <c r="A3467" s="161" t="str">
        <f>IFERROR(__xludf.DUMMYFUNCTION("""COMPUTED_VALUE"""),"huntede01")</f>
        <v>huntede01</v>
      </c>
      <c r="B3467" s="161" t="str">
        <f>IFERROR(__xludf.DUMMYFUNCTION("""COMPUTED_VALUE"""),"De'Andre Hunter")</f>
        <v>De'Andre Hunter</v>
      </c>
      <c r="C3467" s="162" t="str">
        <f>IFERROR(__xludf.DUMMYFUNCTION("""COMPUTED_VALUE"""),"2019-20")</f>
        <v>2019-20</v>
      </c>
      <c r="D3467" s="163" t="str">
        <f>IFERROR(__xludf.DUMMYFUNCTION("""COMPUTED_VALUE"""),"ATL")</f>
        <v>ATL</v>
      </c>
      <c r="E3467" s="164" t="str">
        <f>IFERROR(__xludf.DUMMYFUNCTION("""COMPUTED_VALUE"""),"Stationary Shooter")</f>
        <v>Stationary Shooter</v>
      </c>
      <c r="F3467" s="164">
        <f>IFERROR(__xludf.DUMMYFUNCTION("""COMPUTED_VALUE"""),2017.935)</f>
        <v>2017.935</v>
      </c>
      <c r="G3467" s="163">
        <f>IFERROR(__xludf.DUMMYFUNCTION("""COMPUTED_VALUE"""),63.0)</f>
        <v>63</v>
      </c>
      <c r="H3467" s="163" t="str">
        <f>IFERROR(__xludf.DUMMYFUNCTION("""COMPUTED_VALUE"""),"SF")</f>
        <v>SF</v>
      </c>
      <c r="I3467" s="163">
        <f>IFERROR(__xludf.DUMMYFUNCTION("""COMPUTED_VALUE"""),22.0)</f>
        <v>22</v>
      </c>
      <c r="J3467" s="165">
        <f>IFERROR(__xludf.DUMMYFUNCTION("""COMPUTED_VALUE"""),-2.43903191748401)</f>
        <v>-2.439031917</v>
      </c>
      <c r="K3467" s="165">
        <f>IFERROR(__xludf.DUMMYFUNCTION("""COMPUTED_VALUE"""),-1.33650318358197)</f>
        <v>-1.336503184</v>
      </c>
      <c r="L3467" s="165">
        <f>IFERROR(__xludf.DUMMYFUNCTION("""COMPUTED_VALUE"""),-1.10252873390204)</f>
        <v>-1.102528734</v>
      </c>
      <c r="M3467" s="166">
        <f t="shared" si="2"/>
        <v>-0.1800961403</v>
      </c>
      <c r="N3467" s="167">
        <f t="shared" si="3"/>
        <v>32.03071429</v>
      </c>
      <c r="O3467" s="163">
        <f t="shared" ref="O3467:Q3467" si="3471">rank(I3467,I:I)</f>
        <v>3178</v>
      </c>
      <c r="P3467" s="163">
        <f t="shared" si="3471"/>
        <v>3732</v>
      </c>
      <c r="Q3467" s="163">
        <f t="shared" si="3471"/>
        <v>3190</v>
      </c>
      <c r="R3467" s="163">
        <f>IFERROR(__xludf.DUMMYFUNCTION("RANK(M3467,filter(M:M,C:C=C3467))"),500.0)</f>
        <v>500</v>
      </c>
      <c r="S3467" s="161" t="b">
        <f t="shared" si="5"/>
        <v>0</v>
      </c>
      <c r="T3467" s="161" t="b">
        <f t="array" ref="T3467">index('Query Tool'!B:B,match(H3467,'Query Tool'!C:C,0))</f>
        <v>1</v>
      </c>
      <c r="U3467" s="161" t="b">
        <f t="array" ref="U3467">index('Query Tool'!B:B,match(C3467,'Query Tool'!C:C,0))</f>
        <v>0</v>
      </c>
      <c r="V3467" s="161" t="b">
        <f>F3467&gt;='Query Tool'!C$32</f>
        <v>1</v>
      </c>
      <c r="W3467" s="161" t="b">
        <f t="array" ref="W3467">index(Dropdowns!B:B,match(I3467,Dropdowns!A:A,0))</f>
        <v>1</v>
      </c>
      <c r="X3467" s="161" t="b">
        <f t="array" ref="X3467">index('Query Tool'!B:B,match(D3467,'Query Tool'!C:C,0))</f>
        <v>1</v>
      </c>
      <c r="Y3467" s="161" t="str">
        <f t="shared" si="6"/>
        <v>huntede01,2019-20</v>
      </c>
      <c r="Z3467" s="168" t="str">
        <f t="array" ref="Z3467">iferror(index(I:I,match($A3467&amp;","&amp;index('Year Conversion'!$A:$A,match($C3467,'Year Conversion'!$B:$B,0)),$Y:$Y,0))-I3467,"")</f>
        <v/>
      </c>
      <c r="AA3467" s="168" t="str">
        <f t="array" ref="AA3467">iferror(index(J:J,match($A3467&amp;","&amp;index('Year Conversion'!$A:$A,match($C3467,'Year Conversion'!$B:$B,0)),$Y:$Y,0))-J3467,"")</f>
        <v/>
      </c>
      <c r="AB3467" s="168" t="str">
        <f t="array" ref="AB3467">iferror(index(K:K,match($A3467&amp;","&amp;index('Year Conversion'!$A:$A,match($C3467,'Year Conversion'!$B:$B,0)),$Y:$Y,0))-K3467,"")</f>
        <v/>
      </c>
      <c r="AC3467" s="168" t="str">
        <f t="shared" si="7"/>
        <v>ATL,2019-20</v>
      </c>
    </row>
    <row r="3468">
      <c r="A3468" s="161" t="str">
        <f>IFERROR(__xludf.DUMMYFUNCTION("""COMPUTED_VALUE"""),"whiteco01")</f>
        <v>whiteco01</v>
      </c>
      <c r="B3468" s="161" t="str">
        <f>IFERROR(__xludf.DUMMYFUNCTION("""COMPUTED_VALUE"""),"Coby White")</f>
        <v>Coby White</v>
      </c>
      <c r="C3468" s="162" t="str">
        <f>IFERROR(__xludf.DUMMYFUNCTION("""COMPUTED_VALUE"""),"2019-20")</f>
        <v>2019-20</v>
      </c>
      <c r="D3468" s="163" t="str">
        <f>IFERROR(__xludf.DUMMYFUNCTION("""COMPUTED_VALUE"""),"CHI")</f>
        <v>CHI</v>
      </c>
      <c r="E3468" s="164" t="str">
        <f>IFERROR(__xludf.DUMMYFUNCTION("""COMPUTED_VALUE"""),"Primary Ball Handler")</f>
        <v>Primary Ball Handler</v>
      </c>
      <c r="F3468" s="164">
        <f>IFERROR(__xludf.DUMMYFUNCTION("""COMPUTED_VALUE"""),1674.0)</f>
        <v>1674</v>
      </c>
      <c r="G3468" s="163">
        <f>IFERROR(__xludf.DUMMYFUNCTION("""COMPUTED_VALUE"""),65.0)</f>
        <v>65</v>
      </c>
      <c r="H3468" s="163" t="str">
        <f>IFERROR(__xludf.DUMMYFUNCTION("""COMPUTED_VALUE"""),"PG")</f>
        <v>PG</v>
      </c>
      <c r="I3468" s="163">
        <f>IFERROR(__xludf.DUMMYFUNCTION("""COMPUTED_VALUE"""),19.0)</f>
        <v>19</v>
      </c>
      <c r="J3468" s="165">
        <f>IFERROR(__xludf.DUMMYFUNCTION("""COMPUTED_VALUE"""),-2.42243194898623)</f>
        <v>-2.422431949</v>
      </c>
      <c r="K3468" s="165">
        <f>IFERROR(__xludf.DUMMYFUNCTION("""COMPUTED_VALUE"""),-0.37676491166659)</f>
        <v>-0.3767649117</v>
      </c>
      <c r="L3468" s="165">
        <f>IFERROR(__xludf.DUMMYFUNCTION("""COMPUTED_VALUE"""),-2.04566703731964)</f>
        <v>-2.045667037</v>
      </c>
      <c r="M3468" s="166">
        <f t="shared" si="2"/>
        <v>-0.1311199653</v>
      </c>
      <c r="N3468" s="167">
        <f t="shared" si="3"/>
        <v>25.75384615</v>
      </c>
      <c r="O3468" s="163">
        <f t="shared" ref="O3468:Q3468" si="3472">rank(I3468,I:I)</f>
        <v>3945</v>
      </c>
      <c r="P3468" s="163">
        <f t="shared" si="3472"/>
        <v>3728</v>
      </c>
      <c r="Q3468" s="163">
        <f t="shared" si="3472"/>
        <v>1908</v>
      </c>
      <c r="R3468" s="163">
        <f>IFERROR(__xludf.DUMMYFUNCTION("RANK(M3468,filter(M:M,C:C=C3468))"),498.0)</f>
        <v>498</v>
      </c>
      <c r="S3468" s="161" t="b">
        <f t="shared" si="5"/>
        <v>0</v>
      </c>
      <c r="T3468" s="161" t="b">
        <f t="array" ref="T3468">index('Query Tool'!B:B,match(H3468,'Query Tool'!C:C,0))</f>
        <v>1</v>
      </c>
      <c r="U3468" s="161" t="b">
        <f t="array" ref="U3468">index('Query Tool'!B:B,match(C3468,'Query Tool'!C:C,0))</f>
        <v>0</v>
      </c>
      <c r="V3468" s="161" t="b">
        <f>F3468&gt;='Query Tool'!C$32</f>
        <v>1</v>
      </c>
      <c r="W3468" s="161" t="b">
        <f t="array" ref="W3468">index(Dropdowns!B:B,match(I3468,Dropdowns!A:A,0))</f>
        <v>1</v>
      </c>
      <c r="X3468" s="161" t="b">
        <f t="array" ref="X3468">index('Query Tool'!B:B,match(D3468,'Query Tool'!C:C,0))</f>
        <v>1</v>
      </c>
      <c r="Y3468" s="161" t="str">
        <f t="shared" si="6"/>
        <v>whiteco01,2019-20</v>
      </c>
      <c r="Z3468" s="168" t="str">
        <f t="array" ref="Z3468">iferror(index(I:I,match($A3468&amp;","&amp;index('Year Conversion'!$A:$A,match($C3468,'Year Conversion'!$B:$B,0)),$Y:$Y,0))-I3468,"")</f>
        <v/>
      </c>
      <c r="AA3468" s="168" t="str">
        <f t="array" ref="AA3468">iferror(index(J:J,match($A3468&amp;","&amp;index('Year Conversion'!$A:$A,match($C3468,'Year Conversion'!$B:$B,0)),$Y:$Y,0))-J3468,"")</f>
        <v/>
      </c>
      <c r="AB3468" s="168" t="str">
        <f t="array" ref="AB3468">iferror(index(K:K,match($A3468&amp;","&amp;index('Year Conversion'!$A:$A,match($C3468,'Year Conversion'!$B:$B,0)),$Y:$Y,0))-K3468,"")</f>
        <v/>
      </c>
      <c r="AC3468" s="168" t="str">
        <f t="shared" si="7"/>
        <v>CHI,2019-20</v>
      </c>
    </row>
    <row r="3469">
      <c r="A3469" s="161" t="str">
        <f>IFERROR(__xludf.DUMMYFUNCTION("""COMPUTED_VALUE"""),"culveja01")</f>
        <v>culveja01</v>
      </c>
      <c r="B3469" s="161" t="str">
        <f>IFERROR(__xludf.DUMMYFUNCTION("""COMPUTED_VALUE"""),"Jarrett Culver")</f>
        <v>Jarrett Culver</v>
      </c>
      <c r="C3469" s="162" t="str">
        <f>IFERROR(__xludf.DUMMYFUNCTION("""COMPUTED_VALUE"""),"2019-20")</f>
        <v>2019-20</v>
      </c>
      <c r="D3469" s="163" t="str">
        <f>IFERROR(__xludf.DUMMYFUNCTION("""COMPUTED_VALUE"""),"MIN")</f>
        <v>MIN</v>
      </c>
      <c r="E3469" s="164" t="str">
        <f>IFERROR(__xludf.DUMMYFUNCTION("""COMPUTED_VALUE"""),"Primary Ball Handler")</f>
        <v>Primary Ball Handler</v>
      </c>
      <c r="F3469" s="164">
        <f>IFERROR(__xludf.DUMMYFUNCTION("""COMPUTED_VALUE"""),1505.60666666667)</f>
        <v>1505.606667</v>
      </c>
      <c r="G3469" s="163">
        <f>IFERROR(__xludf.DUMMYFUNCTION("""COMPUTED_VALUE"""),63.0)</f>
        <v>63</v>
      </c>
      <c r="H3469" s="163" t="str">
        <f>IFERROR(__xludf.DUMMYFUNCTION("""COMPUTED_VALUE"""),"SG")</f>
        <v>SG</v>
      </c>
      <c r="I3469" s="163">
        <f>IFERROR(__xludf.DUMMYFUNCTION("""COMPUTED_VALUE"""),20.0)</f>
        <v>20</v>
      </c>
      <c r="J3469" s="165">
        <f>IFERROR(__xludf.DUMMYFUNCTION("""COMPUTED_VALUE"""),-2.51976380826874)</f>
        <v>-2.519763808</v>
      </c>
      <c r="K3469" s="165">
        <f>IFERROR(__xludf.DUMMYFUNCTION("""COMPUTED_VALUE"""),-1.86666880055896)</f>
        <v>-1.866668801</v>
      </c>
      <c r="L3469" s="165">
        <f>IFERROR(__xludf.DUMMYFUNCTION("""COMPUTED_VALUE"""),-0.653095007709776)</f>
        <v>-0.6530950077</v>
      </c>
      <c r="M3469" s="166">
        <f t="shared" si="2"/>
        <v>-0.2142556999</v>
      </c>
      <c r="N3469" s="167">
        <f t="shared" si="3"/>
        <v>23.89851852</v>
      </c>
      <c r="O3469" s="163">
        <f t="shared" ref="O3469:Q3469" si="3473">rank(I3469,I:I)</f>
        <v>3770</v>
      </c>
      <c r="P3469" s="163">
        <f t="shared" si="3473"/>
        <v>3761</v>
      </c>
      <c r="Q3469" s="163">
        <f t="shared" si="3473"/>
        <v>3620</v>
      </c>
      <c r="R3469" s="163">
        <f>IFERROR(__xludf.DUMMYFUNCTION("RANK(M3469,filter(M:M,C:C=C3469))"),501.0)</f>
        <v>501</v>
      </c>
      <c r="S3469" s="161" t="b">
        <f t="shared" si="5"/>
        <v>0</v>
      </c>
      <c r="T3469" s="161" t="b">
        <f t="array" ref="T3469">index('Query Tool'!B:B,match(H3469,'Query Tool'!C:C,0))</f>
        <v>1</v>
      </c>
      <c r="U3469" s="161" t="b">
        <f t="array" ref="U3469">index('Query Tool'!B:B,match(C3469,'Query Tool'!C:C,0))</f>
        <v>0</v>
      </c>
      <c r="V3469" s="161" t="b">
        <f>F3469&gt;='Query Tool'!C$32</f>
        <v>1</v>
      </c>
      <c r="W3469" s="161" t="b">
        <f t="array" ref="W3469">index(Dropdowns!B:B,match(I3469,Dropdowns!A:A,0))</f>
        <v>1</v>
      </c>
      <c r="X3469" s="161" t="b">
        <f t="array" ref="X3469">index('Query Tool'!B:B,match(D3469,'Query Tool'!C:C,0))</f>
        <v>1</v>
      </c>
      <c r="Y3469" s="161" t="str">
        <f t="shared" si="6"/>
        <v>culveja01,2019-20</v>
      </c>
      <c r="Z3469" s="168" t="str">
        <f t="array" ref="Z3469">iferror(index(I:I,match($A3469&amp;","&amp;index('Year Conversion'!$A:$A,match($C3469,'Year Conversion'!$B:$B,0)),$Y:$Y,0))-I3469,"")</f>
        <v/>
      </c>
      <c r="AA3469" s="168" t="str">
        <f t="array" ref="AA3469">iferror(index(J:J,match($A3469&amp;","&amp;index('Year Conversion'!$A:$A,match($C3469,'Year Conversion'!$B:$B,0)),$Y:$Y,0))-J3469,"")</f>
        <v/>
      </c>
      <c r="AB3469" s="168" t="str">
        <f t="array" ref="AB3469">iferror(index(K:K,match($A3469&amp;","&amp;index('Year Conversion'!$A:$A,match($C3469,'Year Conversion'!$B:$B,0)),$Y:$Y,0))-K3469,"")</f>
        <v/>
      </c>
      <c r="AC3469" s="168" t="str">
        <f t="shared" si="7"/>
        <v>MIN,2019-20</v>
      </c>
    </row>
    <row r="3470">
      <c r="A3470" s="161" t="str">
        <f>IFERROR(__xludf.DUMMYFUNCTION("""COMPUTED_VALUE"""),"clarkbr01")</f>
        <v>clarkbr01</v>
      </c>
      <c r="B3470" s="161" t="str">
        <f>IFERROR(__xludf.DUMMYFUNCTION("""COMPUTED_VALUE"""),"Brandon Clarke")</f>
        <v>Brandon Clarke</v>
      </c>
      <c r="C3470" s="162" t="str">
        <f>IFERROR(__xludf.DUMMYFUNCTION("""COMPUTED_VALUE"""),"2019-20")</f>
        <v>2019-20</v>
      </c>
      <c r="D3470" s="163" t="str">
        <f>IFERROR(__xludf.DUMMYFUNCTION("""COMPUTED_VALUE"""),"MEM")</f>
        <v>MEM</v>
      </c>
      <c r="E3470" s="164" t="str">
        <f>IFERROR(__xludf.DUMMYFUNCTION("""COMPUTED_VALUE"""),"Roll + Cut Big")</f>
        <v>Roll + Cut Big</v>
      </c>
      <c r="F3470" s="164">
        <f>IFERROR(__xludf.DUMMYFUNCTION("""COMPUTED_VALUE"""),1300.02)</f>
        <v>1300.02</v>
      </c>
      <c r="G3470" s="163">
        <f>IFERROR(__xludf.DUMMYFUNCTION("""COMPUTED_VALUE"""),58.0)</f>
        <v>58</v>
      </c>
      <c r="H3470" s="163" t="str">
        <f>IFERROR(__xludf.DUMMYFUNCTION("""COMPUTED_VALUE"""),"PF")</f>
        <v>PF</v>
      </c>
      <c r="I3470" s="163">
        <f>IFERROR(__xludf.DUMMYFUNCTION("""COMPUTED_VALUE"""),23.0)</f>
        <v>23</v>
      </c>
      <c r="J3470" s="165">
        <f>IFERROR(__xludf.DUMMYFUNCTION("""COMPUTED_VALUE"""),0.799917198327304)</f>
        <v>0.7999171983</v>
      </c>
      <c r="K3470" s="165">
        <f>IFERROR(__xludf.DUMMYFUNCTION("""COMPUTED_VALUE"""),0.589090789324092)</f>
        <v>0.5890907893</v>
      </c>
      <c r="L3470" s="165">
        <f>IFERROR(__xludf.DUMMYFUNCTION("""COMPUTED_VALUE"""),0.210826409003212)</f>
        <v>0.210826409</v>
      </c>
      <c r="M3470" s="166">
        <f t="shared" si="2"/>
        <v>2.704670588</v>
      </c>
      <c r="N3470" s="167">
        <f t="shared" si="3"/>
        <v>22.41413793</v>
      </c>
      <c r="O3470" s="163">
        <f t="shared" ref="O3470:Q3470" si="3474">rank(I3470,I:I)</f>
        <v>2765</v>
      </c>
      <c r="P3470" s="163">
        <f t="shared" si="3474"/>
        <v>745</v>
      </c>
      <c r="Q3470" s="163">
        <f t="shared" si="3474"/>
        <v>715</v>
      </c>
      <c r="R3470" s="163">
        <f>IFERROR(__xludf.DUMMYFUNCTION("RANK(M3470,filter(M:M,C:C=C3470))"),112.0)</f>
        <v>112</v>
      </c>
      <c r="S3470" s="161" t="b">
        <f t="shared" si="5"/>
        <v>0</v>
      </c>
      <c r="T3470" s="161" t="b">
        <f t="array" ref="T3470">index('Query Tool'!B:B,match(H3470,'Query Tool'!C:C,0))</f>
        <v>1</v>
      </c>
      <c r="U3470" s="161" t="b">
        <f t="array" ref="U3470">index('Query Tool'!B:B,match(C3470,'Query Tool'!C:C,0))</f>
        <v>0</v>
      </c>
      <c r="V3470" s="161" t="b">
        <f>F3470&gt;='Query Tool'!C$32</f>
        <v>1</v>
      </c>
      <c r="W3470" s="161" t="b">
        <f t="array" ref="W3470">index(Dropdowns!B:B,match(I3470,Dropdowns!A:A,0))</f>
        <v>1</v>
      </c>
      <c r="X3470" s="161" t="b">
        <f t="array" ref="X3470">index('Query Tool'!B:B,match(D3470,'Query Tool'!C:C,0))</f>
        <v>1</v>
      </c>
      <c r="Y3470" s="161" t="str">
        <f t="shared" si="6"/>
        <v>clarkbr01,2019-20</v>
      </c>
      <c r="Z3470" s="168" t="str">
        <f t="array" ref="Z3470">iferror(index(I:I,match($A3470&amp;","&amp;index('Year Conversion'!$A:$A,match($C3470,'Year Conversion'!$B:$B,0)),$Y:$Y,0))-I3470,"")</f>
        <v/>
      </c>
      <c r="AA3470" s="168" t="str">
        <f t="array" ref="AA3470">iferror(index(J:J,match($A3470&amp;","&amp;index('Year Conversion'!$A:$A,match($C3470,'Year Conversion'!$B:$B,0)),$Y:$Y,0))-J3470,"")</f>
        <v/>
      </c>
      <c r="AB3470" s="168" t="str">
        <f t="array" ref="AB3470">iferror(index(K:K,match($A3470&amp;","&amp;index('Year Conversion'!$A:$A,match($C3470,'Year Conversion'!$B:$B,0)),$Y:$Y,0))-K3470,"")</f>
        <v/>
      </c>
      <c r="AC3470" s="168" t="str">
        <f t="shared" si="7"/>
        <v>MEM,2019-20</v>
      </c>
    </row>
    <row r="3471">
      <c r="A3471" s="161" t="str">
        <f>IFERROR(__xludf.DUMMYFUNCTION("""COMPUTED_VALUE"""),"doumbse01")</f>
        <v>doumbse01</v>
      </c>
      <c r="B3471" s="161" t="str">
        <f>IFERROR(__xludf.DUMMYFUNCTION("""COMPUTED_VALUE"""),"Sekou Doumbouya")</f>
        <v>Sekou Doumbouya</v>
      </c>
      <c r="C3471" s="162" t="str">
        <f>IFERROR(__xludf.DUMMYFUNCTION("""COMPUTED_VALUE"""),"2019-20")</f>
        <v>2019-20</v>
      </c>
      <c r="D3471" s="163" t="str">
        <f>IFERROR(__xludf.DUMMYFUNCTION("""COMPUTED_VALUE"""),"DET")</f>
        <v>DET</v>
      </c>
      <c r="E3471" s="164" t="str">
        <f>IFERROR(__xludf.DUMMYFUNCTION("""COMPUTED_VALUE"""),"Athletic Finisher")</f>
        <v>Athletic Finisher</v>
      </c>
      <c r="F3471" s="164">
        <f>IFERROR(__xludf.DUMMYFUNCTION("""COMPUTED_VALUE"""),753.726666666667)</f>
        <v>753.7266667</v>
      </c>
      <c r="G3471" s="163">
        <f>IFERROR(__xludf.DUMMYFUNCTION("""COMPUTED_VALUE"""),38.0)</f>
        <v>38</v>
      </c>
      <c r="H3471" s="163" t="str">
        <f>IFERROR(__xludf.DUMMYFUNCTION("""COMPUTED_VALUE"""),"PF")</f>
        <v>PF</v>
      </c>
      <c r="I3471" s="163">
        <f>IFERROR(__xludf.DUMMYFUNCTION("""COMPUTED_VALUE"""),19.0)</f>
        <v>19</v>
      </c>
      <c r="J3471" s="165">
        <f>IFERROR(__xludf.DUMMYFUNCTION("""COMPUTED_VALUE"""),-4.29373293357263)</f>
        <v>-4.293732934</v>
      </c>
      <c r="K3471" s="165">
        <f>IFERROR(__xludf.DUMMYFUNCTION("""COMPUTED_VALUE"""),-2.71705117205915)</f>
        <v>-2.717051172</v>
      </c>
      <c r="L3471" s="165">
        <f>IFERROR(__xludf.DUMMYFUNCTION("""COMPUTED_VALUE"""),-1.57668176151348)</f>
        <v>-1.576681762</v>
      </c>
      <c r="M3471" s="166">
        <f t="shared" si="2"/>
        <v>-0.9656670449</v>
      </c>
      <c r="N3471" s="167">
        <f t="shared" si="3"/>
        <v>19.83491228</v>
      </c>
      <c r="O3471" s="163">
        <f t="shared" ref="O3471:Q3471" si="3475">rank(I3471,I:I)</f>
        <v>3945</v>
      </c>
      <c r="P3471" s="163">
        <f t="shared" si="3475"/>
        <v>4007</v>
      </c>
      <c r="Q3471" s="163">
        <f t="shared" si="3475"/>
        <v>3938</v>
      </c>
      <c r="R3471" s="163">
        <f>IFERROR(__xludf.DUMMYFUNCTION("RANK(M3471,filter(M:M,C:C=C3471))"),525.0)</f>
        <v>525</v>
      </c>
      <c r="S3471" s="161" t="b">
        <f t="shared" si="5"/>
        <v>0</v>
      </c>
      <c r="T3471" s="161" t="b">
        <f t="array" ref="T3471">index('Query Tool'!B:B,match(H3471,'Query Tool'!C:C,0))</f>
        <v>1</v>
      </c>
      <c r="U3471" s="161" t="b">
        <f t="array" ref="U3471">index('Query Tool'!B:B,match(C3471,'Query Tool'!C:C,0))</f>
        <v>0</v>
      </c>
      <c r="V3471" s="161" t="b">
        <f>F3471&gt;='Query Tool'!C$32</f>
        <v>1</v>
      </c>
      <c r="W3471" s="161" t="b">
        <f t="array" ref="W3471">index(Dropdowns!B:B,match(I3471,Dropdowns!A:A,0))</f>
        <v>1</v>
      </c>
      <c r="X3471" s="161" t="b">
        <f t="array" ref="X3471">index('Query Tool'!B:B,match(D3471,'Query Tool'!C:C,0))</f>
        <v>1</v>
      </c>
      <c r="Y3471" s="161" t="str">
        <f t="shared" si="6"/>
        <v>doumbse01,2019-20</v>
      </c>
      <c r="Z3471" s="168" t="str">
        <f t="array" ref="Z3471">iferror(index(I:I,match($A3471&amp;","&amp;index('Year Conversion'!$A:$A,match($C3471,'Year Conversion'!$B:$B,0)),$Y:$Y,0))-I3471,"")</f>
        <v/>
      </c>
      <c r="AA3471" s="168" t="str">
        <f t="array" ref="AA3471">iferror(index(J:J,match($A3471&amp;","&amp;index('Year Conversion'!$A:$A,match($C3471,'Year Conversion'!$B:$B,0)),$Y:$Y,0))-J3471,"")</f>
        <v/>
      </c>
      <c r="AB3471" s="168" t="str">
        <f t="array" ref="AB3471">iferror(index(K:K,match($A3471&amp;","&amp;index('Year Conversion'!$A:$A,match($C3471,'Year Conversion'!$B:$B,0)),$Y:$Y,0))-K3471,"")</f>
        <v/>
      </c>
      <c r="AC3471" s="168" t="str">
        <f t="shared" si="7"/>
        <v>DET,2019-20</v>
      </c>
    </row>
    <row r="3472">
      <c r="A3472" s="161" t="str">
        <f>IFERROR(__xludf.DUMMYFUNCTION("""COMPUTED_VALUE"""),"garlada01")</f>
        <v>garlada01</v>
      </c>
      <c r="B3472" s="161" t="str">
        <f>IFERROR(__xludf.DUMMYFUNCTION("""COMPUTED_VALUE"""),"Darius Garland")</f>
        <v>Darius Garland</v>
      </c>
      <c r="C3472" s="162" t="str">
        <f>IFERROR(__xludf.DUMMYFUNCTION("""COMPUTED_VALUE"""),"2019-20")</f>
        <v>2019-20</v>
      </c>
      <c r="D3472" s="163" t="str">
        <f>IFERROR(__xludf.DUMMYFUNCTION("""COMPUTED_VALUE"""),"CLE")</f>
        <v>CLE</v>
      </c>
      <c r="E3472" s="164" t="str">
        <f>IFERROR(__xludf.DUMMYFUNCTION("""COMPUTED_VALUE"""),"Primary Ball Handler")</f>
        <v>Primary Ball Handler</v>
      </c>
      <c r="F3472" s="164">
        <f>IFERROR(__xludf.DUMMYFUNCTION("""COMPUTED_VALUE"""),1823.96833333333)</f>
        <v>1823.968333</v>
      </c>
      <c r="G3472" s="163">
        <f>IFERROR(__xludf.DUMMYFUNCTION("""COMPUTED_VALUE"""),59.0)</f>
        <v>59</v>
      </c>
      <c r="H3472" s="163" t="str">
        <f>IFERROR(__xludf.DUMMYFUNCTION("""COMPUTED_VALUE"""),"SG")</f>
        <v>SG</v>
      </c>
      <c r="I3472" s="163">
        <f>IFERROR(__xludf.DUMMYFUNCTION("""COMPUTED_VALUE"""),20.0)</f>
        <v>20</v>
      </c>
      <c r="J3472" s="165">
        <f>IFERROR(__xludf.DUMMYFUNCTION("""COMPUTED_VALUE"""),-3.80512582609236)</f>
        <v>-3.805125826</v>
      </c>
      <c r="K3472" s="165">
        <f>IFERROR(__xludf.DUMMYFUNCTION("""COMPUTED_VALUE"""),-1.87570833861953)</f>
        <v>-1.875708339</v>
      </c>
      <c r="L3472" s="165">
        <f>IFERROR(__xludf.DUMMYFUNCTION("""COMPUTED_VALUE"""),-1.92941748747283)</f>
        <v>-1.929417487</v>
      </c>
      <c r="M3472" s="166">
        <f t="shared" si="2"/>
        <v>-1.775311144</v>
      </c>
      <c r="N3472" s="167">
        <f t="shared" si="3"/>
        <v>30.91471751</v>
      </c>
      <c r="O3472" s="163">
        <f t="shared" ref="O3472:Q3472" si="3476">rank(I3472,I:I)</f>
        <v>3770</v>
      </c>
      <c r="P3472" s="163">
        <f t="shared" si="3476"/>
        <v>3991</v>
      </c>
      <c r="Q3472" s="163">
        <f t="shared" si="3476"/>
        <v>3627</v>
      </c>
      <c r="R3472" s="163">
        <f>IFERROR(__xludf.DUMMYFUNCTION("RANK(M3472,filter(M:M,C:C=C3472))"),528.0)</f>
        <v>528</v>
      </c>
      <c r="S3472" s="161" t="b">
        <f t="shared" si="5"/>
        <v>0</v>
      </c>
      <c r="T3472" s="161" t="b">
        <f t="array" ref="T3472">index('Query Tool'!B:B,match(H3472,'Query Tool'!C:C,0))</f>
        <v>1</v>
      </c>
      <c r="U3472" s="161" t="b">
        <f t="array" ref="U3472">index('Query Tool'!B:B,match(C3472,'Query Tool'!C:C,0))</f>
        <v>0</v>
      </c>
      <c r="V3472" s="161" t="b">
        <f>F3472&gt;='Query Tool'!C$32</f>
        <v>1</v>
      </c>
      <c r="W3472" s="161" t="b">
        <f t="array" ref="W3472">index(Dropdowns!B:B,match(I3472,Dropdowns!A:A,0))</f>
        <v>1</v>
      </c>
      <c r="X3472" s="161" t="b">
        <f t="array" ref="X3472">index('Query Tool'!B:B,match(D3472,'Query Tool'!C:C,0))</f>
        <v>1</v>
      </c>
      <c r="Y3472" s="161" t="str">
        <f t="shared" si="6"/>
        <v>garlada01,2019-20</v>
      </c>
      <c r="Z3472" s="168" t="str">
        <f t="array" ref="Z3472">iferror(index(I:I,match($A3472&amp;","&amp;index('Year Conversion'!$A:$A,match($C3472,'Year Conversion'!$B:$B,0)),$Y:$Y,0))-I3472,"")</f>
        <v/>
      </c>
      <c r="AA3472" s="168" t="str">
        <f t="array" ref="AA3472">iferror(index(J:J,match($A3472&amp;","&amp;index('Year Conversion'!$A:$A,match($C3472,'Year Conversion'!$B:$B,0)),$Y:$Y,0))-J3472,"")</f>
        <v/>
      </c>
      <c r="AB3472" s="168" t="str">
        <f t="array" ref="AB3472">iferror(index(K:K,match($A3472&amp;","&amp;index('Year Conversion'!$A:$A,match($C3472,'Year Conversion'!$B:$B,0)),$Y:$Y,0))-K3472,"")</f>
        <v/>
      </c>
      <c r="AC3472" s="168" t="str">
        <f t="shared" si="7"/>
        <v>CLE,2019-20</v>
      </c>
    </row>
    <row r="3473">
      <c r="A3473" s="161" t="str">
        <f>IFERROR(__xludf.DUMMYFUNCTION("""COMPUTED_VALUE"""),"hayesja02")</f>
        <v>hayesja02</v>
      </c>
      <c r="B3473" s="161" t="str">
        <f>IFERROR(__xludf.DUMMYFUNCTION("""COMPUTED_VALUE"""),"Jaxson Hayes")</f>
        <v>Jaxson Hayes</v>
      </c>
      <c r="C3473" s="162" t="str">
        <f>IFERROR(__xludf.DUMMYFUNCTION("""COMPUTED_VALUE"""),"2019-20")</f>
        <v>2019-20</v>
      </c>
      <c r="D3473" s="163" t="str">
        <f>IFERROR(__xludf.DUMMYFUNCTION("""COMPUTED_VALUE"""),"NOP")</f>
        <v>NOP</v>
      </c>
      <c r="E3473" s="164" t="str">
        <f>IFERROR(__xludf.DUMMYFUNCTION("""COMPUTED_VALUE"""),"Roll + Cut Big")</f>
        <v>Roll + Cut Big</v>
      </c>
      <c r="F3473" s="164">
        <f>IFERROR(__xludf.DUMMYFUNCTION("""COMPUTED_VALUE"""),1079.715)</f>
        <v>1079.715</v>
      </c>
      <c r="G3473" s="163">
        <f>IFERROR(__xludf.DUMMYFUNCTION("""COMPUTED_VALUE"""),64.0)</f>
        <v>64</v>
      </c>
      <c r="H3473" s="163" t="str">
        <f>IFERROR(__xludf.DUMMYFUNCTION("""COMPUTED_VALUE"""),"C")</f>
        <v>C</v>
      </c>
      <c r="I3473" s="163">
        <f>IFERROR(__xludf.DUMMYFUNCTION("""COMPUTED_VALUE"""),19.0)</f>
        <v>19</v>
      </c>
      <c r="J3473" s="165">
        <f>IFERROR(__xludf.DUMMYFUNCTION("""COMPUTED_VALUE"""),-0.0461549662864523)</f>
        <v>-0.04615496629</v>
      </c>
      <c r="K3473" s="165">
        <f>IFERROR(__xludf.DUMMYFUNCTION("""COMPUTED_VALUE"""),-1.01307337320556)</f>
        <v>-1.013073373</v>
      </c>
      <c r="L3473" s="165">
        <f>IFERROR(__xludf.DUMMYFUNCTION("""COMPUTED_VALUE"""),0.966918406919107)</f>
        <v>0.9669184069</v>
      </c>
      <c r="M3473" s="166">
        <f t="shared" si="2"/>
        <v>1.630963008</v>
      </c>
      <c r="N3473" s="167">
        <f t="shared" si="3"/>
        <v>16.87054688</v>
      </c>
      <c r="O3473" s="163">
        <f t="shared" ref="O3473:Q3473" si="3477">rank(I3473,I:I)</f>
        <v>3945</v>
      </c>
      <c r="P3473" s="163">
        <f t="shared" si="3477"/>
        <v>1327</v>
      </c>
      <c r="Q3473" s="163">
        <f t="shared" si="3477"/>
        <v>2820</v>
      </c>
      <c r="R3473" s="163">
        <f>IFERROR(__xludf.DUMMYFUNCTION("RANK(M3473,filter(M:M,C:C=C3473))"),177.0)</f>
        <v>177</v>
      </c>
      <c r="S3473" s="161" t="b">
        <f t="shared" si="5"/>
        <v>0</v>
      </c>
      <c r="T3473" s="161" t="b">
        <f t="array" ref="T3473">index('Query Tool'!B:B,match(H3473,'Query Tool'!C:C,0))</f>
        <v>1</v>
      </c>
      <c r="U3473" s="161" t="b">
        <f t="array" ref="U3473">index('Query Tool'!B:B,match(C3473,'Query Tool'!C:C,0))</f>
        <v>0</v>
      </c>
      <c r="V3473" s="161" t="b">
        <f>F3473&gt;='Query Tool'!C$32</f>
        <v>1</v>
      </c>
      <c r="W3473" s="161" t="b">
        <f t="array" ref="W3473">index(Dropdowns!B:B,match(I3473,Dropdowns!A:A,0))</f>
        <v>1</v>
      </c>
      <c r="X3473" s="161" t="b">
        <f t="array" ref="X3473">index('Query Tool'!B:B,match(D3473,'Query Tool'!C:C,0))</f>
        <v>1</v>
      </c>
      <c r="Y3473" s="161" t="str">
        <f t="shared" si="6"/>
        <v>hayesja02,2019-20</v>
      </c>
      <c r="Z3473" s="168" t="str">
        <f t="array" ref="Z3473">iferror(index(I:I,match($A3473&amp;","&amp;index('Year Conversion'!$A:$A,match($C3473,'Year Conversion'!$B:$B,0)),$Y:$Y,0))-I3473,"")</f>
        <v/>
      </c>
      <c r="AA3473" s="168" t="str">
        <f t="array" ref="AA3473">iferror(index(J:J,match($A3473&amp;","&amp;index('Year Conversion'!$A:$A,match($C3473,'Year Conversion'!$B:$B,0)),$Y:$Y,0))-J3473,"")</f>
        <v/>
      </c>
      <c r="AB3473" s="168" t="str">
        <f t="array" ref="AB3473">iferror(index(K:K,match($A3473&amp;","&amp;index('Year Conversion'!$A:$A,match($C3473,'Year Conversion'!$B:$B,0)),$Y:$Y,0))-K3473,"")</f>
        <v/>
      </c>
      <c r="AC3473" s="168" t="str">
        <f t="shared" si="7"/>
        <v>NOP,2019-20</v>
      </c>
    </row>
    <row r="3474">
      <c r="A3474" s="161" t="str">
        <f>IFERROR(__xludf.DUMMYFUNCTION("""COMPUTED_VALUE"""),"alexani01")</f>
        <v>alexani01</v>
      </c>
      <c r="B3474" s="161" t="str">
        <f>IFERROR(__xludf.DUMMYFUNCTION("""COMPUTED_VALUE"""),"Nickeil Alexander-Walker")</f>
        <v>Nickeil Alexander-Walker</v>
      </c>
      <c r="C3474" s="162" t="str">
        <f>IFERROR(__xludf.DUMMYFUNCTION("""COMPUTED_VALUE"""),"2019-20")</f>
        <v>2019-20</v>
      </c>
      <c r="D3474" s="163" t="str">
        <f>IFERROR(__xludf.DUMMYFUNCTION("""COMPUTED_VALUE"""),"NOP")</f>
        <v>NOP</v>
      </c>
      <c r="E3474" s="164" t="str">
        <f>IFERROR(__xludf.DUMMYFUNCTION("""COMPUTED_VALUE"""),"Secondary Ball Handler")</f>
        <v>Secondary Ball Handler</v>
      </c>
      <c r="F3474" s="164">
        <f>IFERROR(__xludf.DUMMYFUNCTION("""COMPUTED_VALUE"""),590.803333333334)</f>
        <v>590.8033333</v>
      </c>
      <c r="G3474" s="163">
        <f>IFERROR(__xludf.DUMMYFUNCTION("""COMPUTED_VALUE"""),47.0)</f>
        <v>47</v>
      </c>
      <c r="H3474" s="163" t="str">
        <f>IFERROR(__xludf.DUMMYFUNCTION("""COMPUTED_VALUE"""),"SG")</f>
        <v>SG</v>
      </c>
      <c r="I3474" s="163">
        <f>IFERROR(__xludf.DUMMYFUNCTION("""COMPUTED_VALUE"""),21.0)</f>
        <v>21</v>
      </c>
      <c r="J3474" s="165">
        <f>IFERROR(__xludf.DUMMYFUNCTION("""COMPUTED_VALUE"""),-1.55946623507872)</f>
        <v>-1.559466235</v>
      </c>
      <c r="K3474" s="165">
        <f>IFERROR(__xludf.DUMMYFUNCTION("""COMPUTED_VALUE"""),-0.0429430001755589)</f>
        <v>-0.04294300018</v>
      </c>
      <c r="L3474" s="165">
        <f>IFERROR(__xludf.DUMMYFUNCTION("""COMPUTED_VALUE"""),-1.51652323490316)</f>
        <v>-1.516523235</v>
      </c>
      <c r="M3474" s="166">
        <f t="shared" si="2"/>
        <v>0.2917552689</v>
      </c>
      <c r="N3474" s="167">
        <f t="shared" si="3"/>
        <v>12.57028369</v>
      </c>
      <c r="O3474" s="163">
        <f t="shared" ref="O3474:Q3474" si="3478">rank(I3474,I:I)</f>
        <v>3528</v>
      </c>
      <c r="P3474" s="163">
        <f t="shared" si="3478"/>
        <v>3109</v>
      </c>
      <c r="Q3474" s="163">
        <f t="shared" si="3478"/>
        <v>1260</v>
      </c>
      <c r="R3474" s="163">
        <f>IFERROR(__xludf.DUMMYFUNCTION("RANK(M3474,filter(M:M,C:C=C3474))"),306.0)</f>
        <v>306</v>
      </c>
      <c r="S3474" s="161" t="b">
        <f t="shared" si="5"/>
        <v>0</v>
      </c>
      <c r="T3474" s="161" t="b">
        <f t="array" ref="T3474">index('Query Tool'!B:B,match(H3474,'Query Tool'!C:C,0))</f>
        <v>1</v>
      </c>
      <c r="U3474" s="161" t="b">
        <f t="array" ref="U3474">index('Query Tool'!B:B,match(C3474,'Query Tool'!C:C,0))</f>
        <v>0</v>
      </c>
      <c r="V3474" s="161" t="b">
        <f>F3474&gt;='Query Tool'!C$32</f>
        <v>1</v>
      </c>
      <c r="W3474" s="161" t="b">
        <f t="array" ref="W3474">index(Dropdowns!B:B,match(I3474,Dropdowns!A:A,0))</f>
        <v>1</v>
      </c>
      <c r="X3474" s="161" t="b">
        <f t="array" ref="X3474">index('Query Tool'!B:B,match(D3474,'Query Tool'!C:C,0))</f>
        <v>1</v>
      </c>
      <c r="Y3474" s="161" t="str">
        <f t="shared" si="6"/>
        <v>alexani01,2019-20</v>
      </c>
      <c r="Z3474" s="168" t="str">
        <f t="array" ref="Z3474">iferror(index(I:I,match($A3474&amp;","&amp;index('Year Conversion'!$A:$A,match($C3474,'Year Conversion'!$B:$B,0)),$Y:$Y,0))-I3474,"")</f>
        <v/>
      </c>
      <c r="AA3474" s="168" t="str">
        <f t="array" ref="AA3474">iferror(index(J:J,match($A3474&amp;","&amp;index('Year Conversion'!$A:$A,match($C3474,'Year Conversion'!$B:$B,0)),$Y:$Y,0))-J3474,"")</f>
        <v/>
      </c>
      <c r="AB3474" s="168" t="str">
        <f t="array" ref="AB3474">iferror(index(K:K,match($A3474&amp;","&amp;index('Year Conversion'!$A:$A,match($C3474,'Year Conversion'!$B:$B,0)),$Y:$Y,0))-K3474,"")</f>
        <v/>
      </c>
      <c r="AC3474" s="168" t="str">
        <f t="shared" si="7"/>
        <v>NOP,2019-20</v>
      </c>
    </row>
    <row r="3475">
      <c r="A3475" s="161" t="str">
        <f>IFERROR(__xludf.DUMMYFUNCTION("""COMPUTED_VALUE"""),"herroty01")</f>
        <v>herroty01</v>
      </c>
      <c r="B3475" s="161" t="str">
        <f>IFERROR(__xludf.DUMMYFUNCTION("""COMPUTED_VALUE"""),"Tyler Herro")</f>
        <v>Tyler Herro</v>
      </c>
      <c r="C3475" s="162" t="str">
        <f>IFERROR(__xludf.DUMMYFUNCTION("""COMPUTED_VALUE"""),"2019-20")</f>
        <v>2019-20</v>
      </c>
      <c r="D3475" s="163" t="str">
        <f>IFERROR(__xludf.DUMMYFUNCTION("""COMPUTED_VALUE"""),"MIA")</f>
        <v>MIA</v>
      </c>
      <c r="E3475" s="164" t="str">
        <f>IFERROR(__xludf.DUMMYFUNCTION("""COMPUTED_VALUE"""),"Secondary Ball Handler")</f>
        <v>Secondary Ball Handler</v>
      </c>
      <c r="F3475" s="164">
        <f>IFERROR(__xludf.DUMMYFUNCTION("""COMPUTED_VALUE"""),1508.08)</f>
        <v>1508.08</v>
      </c>
      <c r="G3475" s="163">
        <f>IFERROR(__xludf.DUMMYFUNCTION("""COMPUTED_VALUE"""),55.0)</f>
        <v>55</v>
      </c>
      <c r="H3475" s="163" t="str">
        <f>IFERROR(__xludf.DUMMYFUNCTION("""COMPUTED_VALUE"""),"SG")</f>
        <v>SG</v>
      </c>
      <c r="I3475" s="163">
        <f>IFERROR(__xludf.DUMMYFUNCTION("""COMPUTED_VALUE"""),20.0)</f>
        <v>20</v>
      </c>
      <c r="J3475" s="165">
        <f>IFERROR(__xludf.DUMMYFUNCTION("""COMPUTED_VALUE"""),-2.68015466100065)</f>
        <v>-2.680154661</v>
      </c>
      <c r="K3475" s="165">
        <f>IFERROR(__xludf.DUMMYFUNCTION("""COMPUTED_VALUE"""),-0.266571213544639)</f>
        <v>-0.2665712135</v>
      </c>
      <c r="L3475" s="165">
        <f>IFERROR(__xludf.DUMMYFUNCTION("""COMPUTED_VALUE"""),-2.41358344745601)</f>
        <v>-2.413583447</v>
      </c>
      <c r="M3475" s="166">
        <f t="shared" si="2"/>
        <v>-0.3731715428</v>
      </c>
      <c r="N3475" s="167">
        <f t="shared" si="3"/>
        <v>27.41963636</v>
      </c>
      <c r="O3475" s="163">
        <f t="shared" ref="O3475:Q3475" si="3479">rank(I3475,I:I)</f>
        <v>3770</v>
      </c>
      <c r="P3475" s="163">
        <f t="shared" si="3479"/>
        <v>3805</v>
      </c>
      <c r="Q3475" s="163">
        <f t="shared" si="3479"/>
        <v>1695</v>
      </c>
      <c r="R3475" s="163">
        <f>IFERROR(__xludf.DUMMYFUNCTION("RANK(M3475,filter(M:M,C:C=C3475))"),511.0)</f>
        <v>511</v>
      </c>
      <c r="S3475" s="161" t="b">
        <f t="shared" si="5"/>
        <v>0</v>
      </c>
      <c r="T3475" s="161" t="b">
        <f t="array" ref="T3475">index('Query Tool'!B:B,match(H3475,'Query Tool'!C:C,0))</f>
        <v>1</v>
      </c>
      <c r="U3475" s="161" t="b">
        <f t="array" ref="U3475">index('Query Tool'!B:B,match(C3475,'Query Tool'!C:C,0))</f>
        <v>0</v>
      </c>
      <c r="V3475" s="161" t="b">
        <f>F3475&gt;='Query Tool'!C$32</f>
        <v>1</v>
      </c>
      <c r="W3475" s="161" t="b">
        <f t="array" ref="W3475">index(Dropdowns!B:B,match(I3475,Dropdowns!A:A,0))</f>
        <v>1</v>
      </c>
      <c r="X3475" s="161" t="b">
        <f t="array" ref="X3475">index('Query Tool'!B:B,match(D3475,'Query Tool'!C:C,0))</f>
        <v>1</v>
      </c>
      <c r="Y3475" s="161" t="str">
        <f t="shared" si="6"/>
        <v>herroty01,2019-20</v>
      </c>
      <c r="Z3475" s="168" t="str">
        <f t="array" ref="Z3475">iferror(index(I:I,match($A3475&amp;","&amp;index('Year Conversion'!$A:$A,match($C3475,'Year Conversion'!$B:$B,0)),$Y:$Y,0))-I3475,"")</f>
        <v/>
      </c>
      <c r="AA3475" s="168" t="str">
        <f t="array" ref="AA3475">iferror(index(J:J,match($A3475&amp;","&amp;index('Year Conversion'!$A:$A,match($C3475,'Year Conversion'!$B:$B,0)),$Y:$Y,0))-J3475,"")</f>
        <v/>
      </c>
      <c r="AB3475" s="168" t="str">
        <f t="array" ref="AB3475">iferror(index(K:K,match($A3475&amp;","&amp;index('Year Conversion'!$A:$A,match($C3475,'Year Conversion'!$B:$B,0)),$Y:$Y,0))-K3475,"")</f>
        <v/>
      </c>
      <c r="AC3475" s="168" t="str">
        <f t="shared" si="7"/>
        <v>MIA,2019-20</v>
      </c>
    </row>
    <row r="3476">
      <c r="A3476" s="161" t="str">
        <f>IFERROR(__xludf.DUMMYFUNCTION("""COMPUTED_VALUE"""),"johnske04")</f>
        <v>johnske04</v>
      </c>
      <c r="B3476" s="161" t="str">
        <f>IFERROR(__xludf.DUMMYFUNCTION("""COMPUTED_VALUE"""),"Keldon Johnson")</f>
        <v>Keldon Johnson</v>
      </c>
      <c r="C3476" s="162" t="str">
        <f>IFERROR(__xludf.DUMMYFUNCTION("""COMPUTED_VALUE"""),"2019-20")</f>
        <v>2019-20</v>
      </c>
      <c r="D3476" s="163" t="str">
        <f>IFERROR(__xludf.DUMMYFUNCTION("""COMPUTED_VALUE"""),"SAS")</f>
        <v>SAS</v>
      </c>
      <c r="E3476" s="164" t="str">
        <f>IFERROR(__xludf.DUMMYFUNCTION("""COMPUTED_VALUE"""),"Athletic Finisher")</f>
        <v>Athletic Finisher</v>
      </c>
      <c r="F3476" s="164">
        <f>IFERROR(__xludf.DUMMYFUNCTION("""COMPUTED_VALUE"""),300.596666666667)</f>
        <v>300.5966667</v>
      </c>
      <c r="G3476" s="163">
        <f>IFERROR(__xludf.DUMMYFUNCTION("""COMPUTED_VALUE"""),17.0)</f>
        <v>17</v>
      </c>
      <c r="H3476" s="163" t="str">
        <f>IFERROR(__xludf.DUMMYFUNCTION("""COMPUTED_VALUE"""),"SF")</f>
        <v>SF</v>
      </c>
      <c r="I3476" s="163">
        <f>IFERROR(__xludf.DUMMYFUNCTION("""COMPUTED_VALUE"""),20.0)</f>
        <v>20</v>
      </c>
      <c r="J3476" s="165">
        <f>IFERROR(__xludf.DUMMYFUNCTION("""COMPUTED_VALUE"""),-0.236547161619768)</f>
        <v>-0.2365471616</v>
      </c>
      <c r="K3476" s="165">
        <f>IFERROR(__xludf.DUMMYFUNCTION("""COMPUTED_VALUE"""),-0.519151196166198)</f>
        <v>-0.5191511962</v>
      </c>
      <c r="L3476" s="165">
        <f>IFERROR(__xludf.DUMMYFUNCTION("""COMPUTED_VALUE"""),0.28260403454643)</f>
        <v>0.2826040345</v>
      </c>
      <c r="M3476" s="166">
        <f t="shared" si="2"/>
        <v>0.4154851259</v>
      </c>
      <c r="N3476" s="167">
        <f t="shared" si="3"/>
        <v>17.68215686</v>
      </c>
      <c r="O3476" s="163">
        <f t="shared" ref="O3476:Q3476" si="3480">rank(I3476,I:I)</f>
        <v>3770</v>
      </c>
      <c r="P3476" s="163">
        <f t="shared" si="3480"/>
        <v>1541</v>
      </c>
      <c r="Q3476" s="163">
        <f t="shared" si="3480"/>
        <v>2140</v>
      </c>
      <c r="R3476" s="163">
        <f>IFERROR(__xludf.DUMMYFUNCTION("RANK(M3476,filter(M:M,C:C=C3476))"),269.0)</f>
        <v>269</v>
      </c>
      <c r="S3476" s="161" t="b">
        <f t="shared" si="5"/>
        <v>0</v>
      </c>
      <c r="T3476" s="161" t="b">
        <f t="array" ref="T3476">index('Query Tool'!B:B,match(H3476,'Query Tool'!C:C,0))</f>
        <v>1</v>
      </c>
      <c r="U3476" s="161" t="b">
        <f t="array" ref="U3476">index('Query Tool'!B:B,match(C3476,'Query Tool'!C:C,0))</f>
        <v>0</v>
      </c>
      <c r="V3476" s="161" t="b">
        <f>F3476&gt;='Query Tool'!C$32</f>
        <v>0</v>
      </c>
      <c r="W3476" s="161" t="b">
        <f t="array" ref="W3476">index(Dropdowns!B:B,match(I3476,Dropdowns!A:A,0))</f>
        <v>1</v>
      </c>
      <c r="X3476" s="161" t="b">
        <f t="array" ref="X3476">index('Query Tool'!B:B,match(D3476,'Query Tool'!C:C,0))</f>
        <v>1</v>
      </c>
      <c r="Y3476" s="161" t="str">
        <f t="shared" si="6"/>
        <v>johnske04,2019-20</v>
      </c>
      <c r="Z3476" s="168" t="str">
        <f t="array" ref="Z3476">iferror(index(I:I,match($A3476&amp;","&amp;index('Year Conversion'!$A:$A,match($C3476,'Year Conversion'!$B:$B,0)),$Y:$Y,0))-I3476,"")</f>
        <v/>
      </c>
      <c r="AA3476" s="168" t="str">
        <f t="array" ref="AA3476">iferror(index(J:J,match($A3476&amp;","&amp;index('Year Conversion'!$A:$A,match($C3476,'Year Conversion'!$B:$B,0)),$Y:$Y,0))-J3476,"")</f>
        <v/>
      </c>
      <c r="AB3476" s="168" t="str">
        <f t="array" ref="AB3476">iferror(index(K:K,match($A3476&amp;","&amp;index('Year Conversion'!$A:$A,match($C3476,'Year Conversion'!$B:$B,0)),$Y:$Y,0))-K3476,"")</f>
        <v/>
      </c>
      <c r="AC3476" s="168" t="str">
        <f t="shared" si="7"/>
        <v>SAS,2019-20</v>
      </c>
    </row>
    <row r="3477">
      <c r="A3477" s="161" t="str">
        <f>IFERROR(__xludf.DUMMYFUNCTION("""COMPUTED_VALUE"""),"langfro01")</f>
        <v>langfro01</v>
      </c>
      <c r="B3477" s="161" t="str">
        <f>IFERROR(__xludf.DUMMYFUNCTION("""COMPUTED_VALUE"""),"Romeo Langford")</f>
        <v>Romeo Langford</v>
      </c>
      <c r="C3477" s="162" t="str">
        <f>IFERROR(__xludf.DUMMYFUNCTION("""COMPUTED_VALUE"""),"2019-20")</f>
        <v>2019-20</v>
      </c>
      <c r="D3477" s="163" t="str">
        <f>IFERROR(__xludf.DUMMYFUNCTION("""COMPUTED_VALUE"""),"BOS")</f>
        <v>BOS</v>
      </c>
      <c r="E3477" s="164" t="str">
        <f>IFERROR(__xludf.DUMMYFUNCTION("""COMPUTED_VALUE"""),"Athletic Finisher")</f>
        <v>Athletic Finisher</v>
      </c>
      <c r="F3477" s="164">
        <f>IFERROR(__xludf.DUMMYFUNCTION("""COMPUTED_VALUE"""),369.848333333333)</f>
        <v>369.8483333</v>
      </c>
      <c r="G3477" s="163">
        <f>IFERROR(__xludf.DUMMYFUNCTION("""COMPUTED_VALUE"""),32.0)</f>
        <v>32</v>
      </c>
      <c r="H3477" s="163" t="str">
        <f>IFERROR(__xludf.DUMMYFUNCTION("""COMPUTED_VALUE"""),"SG")</f>
        <v>SG</v>
      </c>
      <c r="I3477" s="163">
        <f>IFERROR(__xludf.DUMMYFUNCTION("""COMPUTED_VALUE"""),20.0)</f>
        <v>20</v>
      </c>
      <c r="J3477" s="165">
        <f>IFERROR(__xludf.DUMMYFUNCTION("""COMPUTED_VALUE"""),-2.39400616298088)</f>
        <v>-2.394006163</v>
      </c>
      <c r="K3477" s="165">
        <f>IFERROR(__xludf.DUMMYFUNCTION("""COMPUTED_VALUE"""),-2.07327419814827)</f>
        <v>-2.073274198</v>
      </c>
      <c r="L3477" s="165">
        <f>IFERROR(__xludf.DUMMYFUNCTION("""COMPUTED_VALUE"""),-0.320731964832608)</f>
        <v>-0.3207319648</v>
      </c>
      <c r="M3477" s="166">
        <f t="shared" si="2"/>
        <v>-0.02204992168</v>
      </c>
      <c r="N3477" s="167">
        <f t="shared" si="3"/>
        <v>11.55776042</v>
      </c>
      <c r="O3477" s="163">
        <f t="shared" ref="O3477:Q3477" si="3481">rank(I3477,I:I)</f>
        <v>3770</v>
      </c>
      <c r="P3477" s="163">
        <f t="shared" si="3481"/>
        <v>3711</v>
      </c>
      <c r="Q3477" s="163">
        <f t="shared" si="3481"/>
        <v>3745</v>
      </c>
      <c r="R3477" s="163">
        <f>IFERROR(__xludf.DUMMYFUNCTION("RANK(M3477,filter(M:M,C:C=C3477))"),486.0)</f>
        <v>486</v>
      </c>
      <c r="S3477" s="161" t="b">
        <f t="shared" si="5"/>
        <v>0</v>
      </c>
      <c r="T3477" s="161" t="b">
        <f t="array" ref="T3477">index('Query Tool'!B:B,match(H3477,'Query Tool'!C:C,0))</f>
        <v>1</v>
      </c>
      <c r="U3477" s="161" t="b">
        <f t="array" ref="U3477">index('Query Tool'!B:B,match(C3477,'Query Tool'!C:C,0))</f>
        <v>0</v>
      </c>
      <c r="V3477" s="161" t="b">
        <f>F3477&gt;='Query Tool'!C$32</f>
        <v>0</v>
      </c>
      <c r="W3477" s="161" t="b">
        <f t="array" ref="W3477">index(Dropdowns!B:B,match(I3477,Dropdowns!A:A,0))</f>
        <v>1</v>
      </c>
      <c r="X3477" s="161" t="b">
        <f t="array" ref="X3477">index('Query Tool'!B:B,match(D3477,'Query Tool'!C:C,0))</f>
        <v>1</v>
      </c>
      <c r="Y3477" s="161" t="str">
        <f t="shared" si="6"/>
        <v>langfro01,2019-20</v>
      </c>
      <c r="Z3477" s="168" t="str">
        <f t="array" ref="Z3477">iferror(index(I:I,match($A3477&amp;","&amp;index('Year Conversion'!$A:$A,match($C3477,'Year Conversion'!$B:$B,0)),$Y:$Y,0))-I3477,"")</f>
        <v/>
      </c>
      <c r="AA3477" s="168" t="str">
        <f t="array" ref="AA3477">iferror(index(J:J,match($A3477&amp;","&amp;index('Year Conversion'!$A:$A,match($C3477,'Year Conversion'!$B:$B,0)),$Y:$Y,0))-J3477,"")</f>
        <v/>
      </c>
      <c r="AB3477" s="168" t="str">
        <f t="array" ref="AB3477">iferror(index(K:K,match($A3477&amp;","&amp;index('Year Conversion'!$A:$A,match($C3477,'Year Conversion'!$B:$B,0)),$Y:$Y,0))-K3477,"")</f>
        <v/>
      </c>
      <c r="AC3477" s="168" t="str">
        <f t="shared" si="7"/>
        <v>BOS,2019-20</v>
      </c>
    </row>
    <row r="3478">
      <c r="A3478" s="161" t="str">
        <f>IFERROR(__xludf.DUMMYFUNCTION("""COMPUTED_VALUE"""),"littlna01")</f>
        <v>littlna01</v>
      </c>
      <c r="B3478" s="161" t="str">
        <f>IFERROR(__xludf.DUMMYFUNCTION("""COMPUTED_VALUE"""),"Nassir Little")</f>
        <v>Nassir Little</v>
      </c>
      <c r="C3478" s="162" t="str">
        <f>IFERROR(__xludf.DUMMYFUNCTION("""COMPUTED_VALUE"""),"2019-20")</f>
        <v>2019-20</v>
      </c>
      <c r="D3478" s="163" t="str">
        <f>IFERROR(__xludf.DUMMYFUNCTION("""COMPUTED_VALUE"""),"POR")</f>
        <v>POR</v>
      </c>
      <c r="E3478" s="164" t="str">
        <f>IFERROR(__xludf.DUMMYFUNCTION("""COMPUTED_VALUE"""),"Athletic Finisher")</f>
        <v>Athletic Finisher</v>
      </c>
      <c r="F3478" s="164">
        <f>IFERROR(__xludf.DUMMYFUNCTION("""COMPUTED_VALUE"""),572.485)</f>
        <v>572.485</v>
      </c>
      <c r="G3478" s="163">
        <f>IFERROR(__xludf.DUMMYFUNCTION("""COMPUTED_VALUE"""),48.0)</f>
        <v>48</v>
      </c>
      <c r="H3478" s="163" t="str">
        <f>IFERROR(__xludf.DUMMYFUNCTION("""COMPUTED_VALUE"""),"PF")</f>
        <v>PF</v>
      </c>
      <c r="I3478" s="163">
        <f>IFERROR(__xludf.DUMMYFUNCTION("""COMPUTED_VALUE"""),19.0)</f>
        <v>19</v>
      </c>
      <c r="J3478" s="165">
        <f>IFERROR(__xludf.DUMMYFUNCTION("""COMPUTED_VALUE"""),-1.22194820558003)</f>
        <v>-1.221948206</v>
      </c>
      <c r="K3478" s="165">
        <f>IFERROR(__xludf.DUMMYFUNCTION("""COMPUTED_VALUE"""),-1.15416354375951)</f>
        <v>-1.154163544</v>
      </c>
      <c r="L3478" s="165">
        <f>IFERROR(__xludf.DUMMYFUNCTION("""COMPUTED_VALUE"""),-0.0677846618205266)</f>
        <v>-0.06778466182</v>
      </c>
      <c r="M3478" s="166">
        <f t="shared" si="2"/>
        <v>0.4119294225</v>
      </c>
      <c r="N3478" s="167">
        <f t="shared" si="3"/>
        <v>11.92677083</v>
      </c>
      <c r="O3478" s="163">
        <f t="shared" ref="O3478:Q3478" si="3482">rank(I3478,I:I)</f>
        <v>3945</v>
      </c>
      <c r="P3478" s="163">
        <f t="shared" si="3482"/>
        <v>2774</v>
      </c>
      <c r="Q3478" s="163">
        <f t="shared" si="3482"/>
        <v>2988</v>
      </c>
      <c r="R3478" s="163">
        <f>IFERROR(__xludf.DUMMYFUNCTION("RANK(M3478,filter(M:M,C:C=C3478))"),270.0)</f>
        <v>270</v>
      </c>
      <c r="S3478" s="161" t="b">
        <f t="shared" si="5"/>
        <v>0</v>
      </c>
      <c r="T3478" s="161" t="b">
        <f t="array" ref="T3478">index('Query Tool'!B:B,match(H3478,'Query Tool'!C:C,0))</f>
        <v>1</v>
      </c>
      <c r="U3478" s="161" t="b">
        <f t="array" ref="U3478">index('Query Tool'!B:B,match(C3478,'Query Tool'!C:C,0))</f>
        <v>0</v>
      </c>
      <c r="V3478" s="161" t="b">
        <f>F3478&gt;='Query Tool'!C$32</f>
        <v>1</v>
      </c>
      <c r="W3478" s="161" t="b">
        <f t="array" ref="W3478">index(Dropdowns!B:B,match(I3478,Dropdowns!A:A,0))</f>
        <v>1</v>
      </c>
      <c r="X3478" s="161" t="b">
        <f t="array" ref="X3478">index('Query Tool'!B:B,match(D3478,'Query Tool'!C:C,0))</f>
        <v>1</v>
      </c>
      <c r="Y3478" s="161" t="str">
        <f t="shared" si="6"/>
        <v>littlna01,2019-20</v>
      </c>
      <c r="Z3478" s="168" t="str">
        <f t="array" ref="Z3478">iferror(index(I:I,match($A3478&amp;","&amp;index('Year Conversion'!$A:$A,match($C3478,'Year Conversion'!$B:$B,0)),$Y:$Y,0))-I3478,"")</f>
        <v/>
      </c>
      <c r="AA3478" s="168" t="str">
        <f t="array" ref="AA3478">iferror(index(J:J,match($A3478&amp;","&amp;index('Year Conversion'!$A:$A,match($C3478,'Year Conversion'!$B:$B,0)),$Y:$Y,0))-J3478,"")</f>
        <v/>
      </c>
      <c r="AB3478" s="168" t="str">
        <f t="array" ref="AB3478">iferror(index(K:K,match($A3478&amp;","&amp;index('Year Conversion'!$A:$A,match($C3478,'Year Conversion'!$B:$B,0)),$Y:$Y,0))-K3478,"")</f>
        <v/>
      </c>
      <c r="AC3478" s="168" t="str">
        <f t="shared" si="7"/>
        <v>POR,2019-20</v>
      </c>
    </row>
    <row r="3479">
      <c r="A3479" s="161" t="str">
        <f>IFERROR(__xludf.DUMMYFUNCTION("""COMPUTED_VALUE"""),"okpalkz01")</f>
        <v>okpalkz01</v>
      </c>
      <c r="B3479" s="161" t="str">
        <f>IFERROR(__xludf.DUMMYFUNCTION("""COMPUTED_VALUE"""),"KZ Okpala")</f>
        <v>KZ Okpala</v>
      </c>
      <c r="C3479" s="162" t="str">
        <f>IFERROR(__xludf.DUMMYFUNCTION("""COMPUTED_VALUE"""),"2019-20")</f>
        <v>2019-20</v>
      </c>
      <c r="D3479" s="163" t="str">
        <f>IFERROR(__xludf.DUMMYFUNCTION("""COMPUTED_VALUE"""),"MIA")</f>
        <v>MIA</v>
      </c>
      <c r="E3479" s="164" t="str">
        <f>IFERROR(__xludf.DUMMYFUNCTION("""COMPUTED_VALUE"""),"Roll + Cut Big")</f>
        <v>Roll + Cut Big</v>
      </c>
      <c r="F3479" s="164">
        <f>IFERROR(__xludf.DUMMYFUNCTION("""COMPUTED_VALUE"""),25.975)</f>
        <v>25.975</v>
      </c>
      <c r="G3479" s="163">
        <f>IFERROR(__xludf.DUMMYFUNCTION("""COMPUTED_VALUE"""),5.0)</f>
        <v>5</v>
      </c>
      <c r="H3479" s="163" t="str">
        <f>IFERROR(__xludf.DUMMYFUNCTION("""COMPUTED_VALUE"""),"PF")</f>
        <v>PF</v>
      </c>
      <c r="I3479" s="163">
        <f>IFERROR(__xludf.DUMMYFUNCTION("""COMPUTED_VALUE"""),20.0)</f>
        <v>20</v>
      </c>
      <c r="J3479" s="165">
        <f>IFERROR(__xludf.DUMMYFUNCTION("""COMPUTED_VALUE"""),-0.85619826740724)</f>
        <v>-0.8561982674</v>
      </c>
      <c r="K3479" s="165">
        <f>IFERROR(__xludf.DUMMYFUNCTION("""COMPUTED_VALUE"""),-0.557268693870209)</f>
        <v>-0.5572686939</v>
      </c>
      <c r="L3479" s="165">
        <f>IFERROR(__xludf.DUMMYFUNCTION("""COMPUTED_VALUE"""),-0.298929573537032)</f>
        <v>-0.2989295735</v>
      </c>
      <c r="M3479" s="166">
        <f t="shared" si="2"/>
        <v>0.02506622943</v>
      </c>
      <c r="N3479" s="167">
        <f t="shared" si="3"/>
        <v>5.195</v>
      </c>
      <c r="O3479" s="163">
        <f t="shared" ref="O3479:Q3479" si="3483">rank(I3479,I:I)</f>
        <v>3770</v>
      </c>
      <c r="P3479" s="163">
        <f t="shared" si="3483"/>
        <v>2350</v>
      </c>
      <c r="Q3479" s="163">
        <f t="shared" si="3483"/>
        <v>2197</v>
      </c>
      <c r="R3479" s="163">
        <f>IFERROR(__xludf.DUMMYFUNCTION("RANK(M3479,filter(M:M,C:C=C3479))"),457.0)</f>
        <v>457</v>
      </c>
      <c r="S3479" s="161" t="b">
        <f t="shared" si="5"/>
        <v>0</v>
      </c>
      <c r="T3479" s="161" t="b">
        <f t="array" ref="T3479">index('Query Tool'!B:B,match(H3479,'Query Tool'!C:C,0))</f>
        <v>1</v>
      </c>
      <c r="U3479" s="161" t="b">
        <f t="array" ref="U3479">index('Query Tool'!B:B,match(C3479,'Query Tool'!C:C,0))</f>
        <v>0</v>
      </c>
      <c r="V3479" s="161" t="b">
        <f>F3479&gt;='Query Tool'!C$32</f>
        <v>0</v>
      </c>
      <c r="W3479" s="161" t="b">
        <f t="array" ref="W3479">index(Dropdowns!B:B,match(I3479,Dropdowns!A:A,0))</f>
        <v>1</v>
      </c>
      <c r="X3479" s="161" t="b">
        <f t="array" ref="X3479">index('Query Tool'!B:B,match(D3479,'Query Tool'!C:C,0))</f>
        <v>1</v>
      </c>
      <c r="Y3479" s="161" t="str">
        <f t="shared" si="6"/>
        <v>okpalkz01,2019-20</v>
      </c>
      <c r="Z3479" s="168" t="str">
        <f t="array" ref="Z3479">iferror(index(I:I,match($A3479&amp;","&amp;index('Year Conversion'!$A:$A,match($C3479,'Year Conversion'!$B:$B,0)),$Y:$Y,0))-I3479,"")</f>
        <v/>
      </c>
      <c r="AA3479" s="168" t="str">
        <f t="array" ref="AA3479">iferror(index(J:J,match($A3479&amp;","&amp;index('Year Conversion'!$A:$A,match($C3479,'Year Conversion'!$B:$B,0)),$Y:$Y,0))-J3479,"")</f>
        <v/>
      </c>
      <c r="AB3479" s="168" t="str">
        <f t="array" ref="AB3479">iferror(index(K:K,match($A3479&amp;","&amp;index('Year Conversion'!$A:$A,match($C3479,'Year Conversion'!$B:$B,0)),$Y:$Y,0))-K3479,"")</f>
        <v/>
      </c>
      <c r="AC3479" s="168" t="str">
        <f t="shared" si="7"/>
        <v>MIA,2019-20</v>
      </c>
    </row>
    <row r="3480">
      <c r="A3480" s="161" t="str">
        <f>IFERROR(__xludf.DUMMYFUNCTION("""COMPUTED_VALUE"""),"porteke02")</f>
        <v>porteke02</v>
      </c>
      <c r="B3480" s="161" t="str">
        <f>IFERROR(__xludf.DUMMYFUNCTION("""COMPUTED_VALUE"""),"Kevin Porter Jr.")</f>
        <v>Kevin Porter Jr.</v>
      </c>
      <c r="C3480" s="162" t="str">
        <f>IFERROR(__xludf.DUMMYFUNCTION("""COMPUTED_VALUE"""),"2019-20")</f>
        <v>2019-20</v>
      </c>
      <c r="D3480" s="163" t="str">
        <f>IFERROR(__xludf.DUMMYFUNCTION("""COMPUTED_VALUE"""),"CLE")</f>
        <v>CLE</v>
      </c>
      <c r="E3480" s="164" t="str">
        <f>IFERROR(__xludf.DUMMYFUNCTION("""COMPUTED_VALUE"""),"Secondary Ball Handler")</f>
        <v>Secondary Ball Handler</v>
      </c>
      <c r="F3480" s="164">
        <f>IFERROR(__xludf.DUMMYFUNCTION("""COMPUTED_VALUE"""),1161.72)</f>
        <v>1161.72</v>
      </c>
      <c r="G3480" s="163">
        <f>IFERROR(__xludf.DUMMYFUNCTION("""COMPUTED_VALUE"""),50.0)</f>
        <v>50</v>
      </c>
      <c r="H3480" s="163" t="str">
        <f>IFERROR(__xludf.DUMMYFUNCTION("""COMPUTED_VALUE"""),"SF")</f>
        <v>SF</v>
      </c>
      <c r="I3480" s="163">
        <f>IFERROR(__xludf.DUMMYFUNCTION("""COMPUTED_VALUE"""),19.0)</f>
        <v>19</v>
      </c>
      <c r="J3480" s="165">
        <f>IFERROR(__xludf.DUMMYFUNCTION("""COMPUTED_VALUE"""),-3.07803162853314)</f>
        <v>-3.078031629</v>
      </c>
      <c r="K3480" s="165">
        <f>IFERROR(__xludf.DUMMYFUNCTION("""COMPUTED_VALUE"""),-2.18671899655299)</f>
        <v>-2.186718997</v>
      </c>
      <c r="L3480" s="165">
        <f>IFERROR(__xludf.DUMMYFUNCTION("""COMPUTED_VALUE"""),-0.891312631980144)</f>
        <v>-0.891312632</v>
      </c>
      <c r="M3480" s="166">
        <f t="shared" si="2"/>
        <v>-0.5885529783</v>
      </c>
      <c r="N3480" s="167">
        <f t="shared" si="3"/>
        <v>23.2344</v>
      </c>
      <c r="O3480" s="163">
        <f t="shared" ref="O3480:Q3480" si="3484">rank(I3480,I:I)</f>
        <v>3945</v>
      </c>
      <c r="P3480" s="163">
        <f t="shared" si="3484"/>
        <v>3905</v>
      </c>
      <c r="Q3480" s="163">
        <f t="shared" si="3484"/>
        <v>3798</v>
      </c>
      <c r="R3480" s="163">
        <f>IFERROR(__xludf.DUMMYFUNCTION("RANK(M3480,filter(M:M,C:C=C3480))"),516.0)</f>
        <v>516</v>
      </c>
      <c r="S3480" s="161" t="b">
        <f t="shared" si="5"/>
        <v>0</v>
      </c>
      <c r="T3480" s="161" t="b">
        <f t="array" ref="T3480">index('Query Tool'!B:B,match(H3480,'Query Tool'!C:C,0))</f>
        <v>1</v>
      </c>
      <c r="U3480" s="161" t="b">
        <f t="array" ref="U3480">index('Query Tool'!B:B,match(C3480,'Query Tool'!C:C,0))</f>
        <v>0</v>
      </c>
      <c r="V3480" s="161" t="b">
        <f>F3480&gt;='Query Tool'!C$32</f>
        <v>1</v>
      </c>
      <c r="W3480" s="161" t="b">
        <f t="array" ref="W3480">index(Dropdowns!B:B,match(I3480,Dropdowns!A:A,0))</f>
        <v>1</v>
      </c>
      <c r="X3480" s="161" t="b">
        <f t="array" ref="X3480">index('Query Tool'!B:B,match(D3480,'Query Tool'!C:C,0))</f>
        <v>1</v>
      </c>
      <c r="Y3480" s="161" t="str">
        <f t="shared" si="6"/>
        <v>porteke02,2019-20</v>
      </c>
      <c r="Z3480" s="168" t="str">
        <f t="array" ref="Z3480">iferror(index(I:I,match($A3480&amp;","&amp;index('Year Conversion'!$A:$A,match($C3480,'Year Conversion'!$B:$B,0)),$Y:$Y,0))-I3480,"")</f>
        <v/>
      </c>
      <c r="AA3480" s="168" t="str">
        <f t="array" ref="AA3480">iferror(index(J:J,match($A3480&amp;","&amp;index('Year Conversion'!$A:$A,match($C3480,'Year Conversion'!$B:$B,0)),$Y:$Y,0))-J3480,"")</f>
        <v/>
      </c>
      <c r="AB3480" s="168" t="str">
        <f t="array" ref="AB3480">iferror(index(K:K,match($A3480&amp;","&amp;index('Year Conversion'!$A:$A,match($C3480,'Year Conversion'!$B:$B,0)),$Y:$Y,0))-K3480,"")</f>
        <v/>
      </c>
      <c r="AC3480" s="168" t="str">
        <f t="shared" si="7"/>
        <v>CLE,2019-20</v>
      </c>
    </row>
    <row r="3481">
      <c r="A3481" s="161" t="str">
        <f>IFERROR(__xludf.DUMMYFUNCTION("""COMPUTED_VALUE"""),"bazleda01")</f>
        <v>bazleda01</v>
      </c>
      <c r="B3481" s="161" t="str">
        <f>IFERROR(__xludf.DUMMYFUNCTION("""COMPUTED_VALUE"""),"Darius Bazley")</f>
        <v>Darius Bazley</v>
      </c>
      <c r="C3481" s="162" t="str">
        <f>IFERROR(__xludf.DUMMYFUNCTION("""COMPUTED_VALUE"""),"2019-20")</f>
        <v>2019-20</v>
      </c>
      <c r="D3481" s="163" t="str">
        <f>IFERROR(__xludf.DUMMYFUNCTION("""COMPUTED_VALUE"""),"OKC")</f>
        <v>OKC</v>
      </c>
      <c r="E3481" s="164" t="str">
        <f>IFERROR(__xludf.DUMMYFUNCTION("""COMPUTED_VALUE"""),"Stationary Shooter")</f>
        <v>Stationary Shooter</v>
      </c>
      <c r="F3481" s="164">
        <f>IFERROR(__xludf.DUMMYFUNCTION("""COMPUTED_VALUE"""),1129.46)</f>
        <v>1129.46</v>
      </c>
      <c r="G3481" s="163">
        <f>IFERROR(__xludf.DUMMYFUNCTION("""COMPUTED_VALUE"""),61.0)</f>
        <v>61</v>
      </c>
      <c r="H3481" s="163" t="str">
        <f>IFERROR(__xludf.DUMMYFUNCTION("""COMPUTED_VALUE"""),"PF")</f>
        <v>PF</v>
      </c>
      <c r="I3481" s="163">
        <f>IFERROR(__xludf.DUMMYFUNCTION("""COMPUTED_VALUE"""),19.0)</f>
        <v>19</v>
      </c>
      <c r="J3481" s="165">
        <f>IFERROR(__xludf.DUMMYFUNCTION("""COMPUTED_VALUE"""),-2.20309996840747)</f>
        <v>-2.203099968</v>
      </c>
      <c r="K3481" s="165">
        <f>IFERROR(__xludf.DUMMYFUNCTION("""COMPUTED_VALUE"""),-2.8166293826607)</f>
        <v>-2.816629383</v>
      </c>
      <c r="L3481" s="165">
        <f>IFERROR(__xludf.DUMMYFUNCTION("""COMPUTED_VALUE"""),0.613529414253233)</f>
        <v>0.6135294143</v>
      </c>
      <c r="M3481" s="166">
        <f t="shared" si="2"/>
        <v>0.07487613324</v>
      </c>
      <c r="N3481" s="167">
        <f t="shared" si="3"/>
        <v>18.5157377</v>
      </c>
      <c r="O3481" s="163">
        <f t="shared" ref="O3481:Q3481" si="3485">rank(I3481,I:I)</f>
        <v>3945</v>
      </c>
      <c r="P3481" s="163">
        <f t="shared" si="3485"/>
        <v>3610</v>
      </c>
      <c r="Q3481" s="163">
        <f t="shared" si="3485"/>
        <v>3956</v>
      </c>
      <c r="R3481" s="163">
        <f>IFERROR(__xludf.DUMMYFUNCTION("RANK(M3481,filter(M:M,C:C=C3481))"),408.0)</f>
        <v>408</v>
      </c>
      <c r="S3481" s="161" t="b">
        <f t="shared" si="5"/>
        <v>0</v>
      </c>
      <c r="T3481" s="161" t="b">
        <f t="array" ref="T3481">index('Query Tool'!B:B,match(H3481,'Query Tool'!C:C,0))</f>
        <v>1</v>
      </c>
      <c r="U3481" s="161" t="b">
        <f t="array" ref="U3481">index('Query Tool'!B:B,match(C3481,'Query Tool'!C:C,0))</f>
        <v>0</v>
      </c>
      <c r="V3481" s="161" t="b">
        <f>F3481&gt;='Query Tool'!C$32</f>
        <v>1</v>
      </c>
      <c r="W3481" s="161" t="b">
        <f t="array" ref="W3481">index(Dropdowns!B:B,match(I3481,Dropdowns!A:A,0))</f>
        <v>1</v>
      </c>
      <c r="X3481" s="161" t="b">
        <f t="array" ref="X3481">index('Query Tool'!B:B,match(D3481,'Query Tool'!C:C,0))</f>
        <v>1</v>
      </c>
      <c r="Y3481" s="161" t="str">
        <f t="shared" si="6"/>
        <v>bazleda01,2019-20</v>
      </c>
      <c r="Z3481" s="168" t="str">
        <f t="array" ref="Z3481">iferror(index(I:I,match($A3481&amp;","&amp;index('Year Conversion'!$A:$A,match($C3481,'Year Conversion'!$B:$B,0)),$Y:$Y,0))-I3481,"")</f>
        <v/>
      </c>
      <c r="AA3481" s="168" t="str">
        <f t="array" ref="AA3481">iferror(index(J:J,match($A3481&amp;","&amp;index('Year Conversion'!$A:$A,match($C3481,'Year Conversion'!$B:$B,0)),$Y:$Y,0))-J3481,"")</f>
        <v/>
      </c>
      <c r="AB3481" s="168" t="str">
        <f t="array" ref="AB3481">iferror(index(K:K,match($A3481&amp;","&amp;index('Year Conversion'!$A:$A,match($C3481,'Year Conversion'!$B:$B,0)),$Y:$Y,0))-K3481,"")</f>
        <v/>
      </c>
      <c r="AC3481" s="168" t="str">
        <f t="shared" si="7"/>
        <v>OKC,2019-20</v>
      </c>
    </row>
    <row r="3482">
      <c r="A3482" s="161" t="str">
        <f>IFERROR(__xludf.DUMMYFUNCTION("""COMPUTED_VALUE"""),"bonejo01")</f>
        <v>bonejo01</v>
      </c>
      <c r="B3482" s="161" t="str">
        <f>IFERROR(__xludf.DUMMYFUNCTION("""COMPUTED_VALUE"""),"Jordan Bone")</f>
        <v>Jordan Bone</v>
      </c>
      <c r="C3482" s="162" t="str">
        <f>IFERROR(__xludf.DUMMYFUNCTION("""COMPUTED_VALUE"""),"2019-20")</f>
        <v>2019-20</v>
      </c>
      <c r="D3482" s="163" t="str">
        <f>IFERROR(__xludf.DUMMYFUNCTION("""COMPUTED_VALUE"""),"DET")</f>
        <v>DET</v>
      </c>
      <c r="E3482" s="164" t="str">
        <f>IFERROR(__xludf.DUMMYFUNCTION("""COMPUTED_VALUE"""),"Secondary Ball Handler")</f>
        <v>Secondary Ball Handler</v>
      </c>
      <c r="F3482" s="164">
        <f>IFERROR(__xludf.DUMMYFUNCTION("""COMPUTED_VALUE"""),53.03)</f>
        <v>53.03</v>
      </c>
      <c r="G3482" s="163">
        <f>IFERROR(__xludf.DUMMYFUNCTION("""COMPUTED_VALUE"""),10.0)</f>
        <v>10</v>
      </c>
      <c r="H3482" s="163" t="str">
        <f>IFERROR(__xludf.DUMMYFUNCTION("""COMPUTED_VALUE"""),"PG")</f>
        <v>PG</v>
      </c>
      <c r="I3482" s="163">
        <f>IFERROR(__xludf.DUMMYFUNCTION("""COMPUTED_VALUE"""),22.0)</f>
        <v>22</v>
      </c>
      <c r="J3482" s="165">
        <f>IFERROR(__xludf.DUMMYFUNCTION("""COMPUTED_VALUE"""),-0.554298476238245)</f>
        <v>-0.5542984762</v>
      </c>
      <c r="K3482" s="165">
        <f>IFERROR(__xludf.DUMMYFUNCTION("""COMPUTED_VALUE"""),-0.370020125277702)</f>
        <v>-0.3700201253</v>
      </c>
      <c r="L3482" s="165">
        <f>IFERROR(__xludf.DUMMYFUNCTION("""COMPUTED_VALUE"""),-0.184278350960543)</f>
        <v>-0.184278351</v>
      </c>
      <c r="M3482" s="166">
        <f t="shared" si="2"/>
        <v>0.06194559991</v>
      </c>
      <c r="N3482" s="167">
        <f t="shared" si="3"/>
        <v>5.303</v>
      </c>
      <c r="O3482" s="163">
        <f t="shared" ref="O3482:Q3482" si="3486">rank(I3482,I:I)</f>
        <v>3178</v>
      </c>
      <c r="P3482" s="163">
        <f t="shared" si="3486"/>
        <v>1923</v>
      </c>
      <c r="Q3482" s="163">
        <f t="shared" si="3486"/>
        <v>1892</v>
      </c>
      <c r="R3482" s="163">
        <f>IFERROR(__xludf.DUMMYFUNCTION("RANK(M3482,filter(M:M,C:C=C3482))"),418.0)</f>
        <v>418</v>
      </c>
      <c r="S3482" s="161" t="b">
        <f t="shared" si="5"/>
        <v>0</v>
      </c>
      <c r="T3482" s="161" t="b">
        <f t="array" ref="T3482">index('Query Tool'!B:B,match(H3482,'Query Tool'!C:C,0))</f>
        <v>1</v>
      </c>
      <c r="U3482" s="161" t="b">
        <f t="array" ref="U3482">index('Query Tool'!B:B,match(C3482,'Query Tool'!C:C,0))</f>
        <v>0</v>
      </c>
      <c r="V3482" s="161" t="b">
        <f>F3482&gt;='Query Tool'!C$32</f>
        <v>0</v>
      </c>
      <c r="W3482" s="161" t="b">
        <f t="array" ref="W3482">index(Dropdowns!B:B,match(I3482,Dropdowns!A:A,0))</f>
        <v>1</v>
      </c>
      <c r="X3482" s="161" t="b">
        <f t="array" ref="X3482">index('Query Tool'!B:B,match(D3482,'Query Tool'!C:C,0))</f>
        <v>1</v>
      </c>
      <c r="Y3482" s="161" t="str">
        <f t="shared" si="6"/>
        <v>bonejo01,2019-20</v>
      </c>
      <c r="Z3482" s="168" t="str">
        <f t="array" ref="Z3482">iferror(index(I:I,match($A3482&amp;","&amp;index('Year Conversion'!$A:$A,match($C3482,'Year Conversion'!$B:$B,0)),$Y:$Y,0))-I3482,"")</f>
        <v/>
      </c>
      <c r="AA3482" s="168" t="str">
        <f t="array" ref="AA3482">iferror(index(J:J,match($A3482&amp;","&amp;index('Year Conversion'!$A:$A,match($C3482,'Year Conversion'!$B:$B,0)),$Y:$Y,0))-J3482,"")</f>
        <v/>
      </c>
      <c r="AB3482" s="168" t="str">
        <f t="array" ref="AB3482">iferror(index(K:K,match($A3482&amp;","&amp;index('Year Conversion'!$A:$A,match($C3482,'Year Conversion'!$B:$B,0)),$Y:$Y,0))-K3482,"")</f>
        <v/>
      </c>
      <c r="AC3482" s="168" t="str">
        <f t="shared" si="7"/>
        <v>DET,2019-20</v>
      </c>
    </row>
    <row r="3483">
      <c r="A3483" s="161" t="str">
        <f>IFERROR(__xludf.DUMMYFUNCTION("""COMPUTED_VALUE"""),"brazdig01")</f>
        <v>brazdig01</v>
      </c>
      <c r="B3483" s="161" t="str">
        <f>IFERROR(__xludf.DUMMYFUNCTION("""COMPUTED_VALUE"""),"Ignas Brazdeikis")</f>
        <v>Ignas Brazdeikis</v>
      </c>
      <c r="C3483" s="162" t="str">
        <f>IFERROR(__xludf.DUMMYFUNCTION("""COMPUTED_VALUE"""),"2019-20")</f>
        <v>2019-20</v>
      </c>
      <c r="D3483" s="163" t="str">
        <f>IFERROR(__xludf.DUMMYFUNCTION("""COMPUTED_VALUE"""),"NYK")</f>
        <v>NYK</v>
      </c>
      <c r="E3483" s="164" t="str">
        <f>IFERROR(__xludf.DUMMYFUNCTION("""COMPUTED_VALUE"""),"Movement Shooter")</f>
        <v>Movement Shooter</v>
      </c>
      <c r="F3483" s="164">
        <f>IFERROR(__xludf.DUMMYFUNCTION("""COMPUTED_VALUE"""),53.25)</f>
        <v>53.25</v>
      </c>
      <c r="G3483" s="163">
        <f>IFERROR(__xludf.DUMMYFUNCTION("""COMPUTED_VALUE"""),9.0)</f>
        <v>9</v>
      </c>
      <c r="H3483" s="163" t="str">
        <f>IFERROR(__xludf.DUMMYFUNCTION("""COMPUTED_VALUE"""),"SF")</f>
        <v>SF</v>
      </c>
      <c r="I3483" s="163">
        <f>IFERROR(__xludf.DUMMYFUNCTION("""COMPUTED_VALUE"""),21.0)</f>
        <v>21</v>
      </c>
      <c r="J3483" s="165">
        <f>IFERROR(__xludf.DUMMYFUNCTION("""COMPUTED_VALUE"""),-0.155347110866188)</f>
        <v>-0.1553471109</v>
      </c>
      <c r="K3483" s="165">
        <f>IFERROR(__xludf.DUMMYFUNCTION("""COMPUTED_VALUE"""),0.0893879075596806)</f>
        <v>0.08938790756</v>
      </c>
      <c r="L3483" s="165">
        <f>IFERROR(__xludf.DUMMYFUNCTION("""COMPUTED_VALUE"""),-0.244735018425869)</f>
        <v>-0.2447350184</v>
      </c>
      <c r="M3483" s="166">
        <f t="shared" si="2"/>
        <v>0.07651688129</v>
      </c>
      <c r="N3483" s="167">
        <f t="shared" si="3"/>
        <v>5.916666667</v>
      </c>
      <c r="O3483" s="163">
        <f t="shared" ref="O3483:Q3483" si="3487">rank(I3483,I:I)</f>
        <v>3528</v>
      </c>
      <c r="P3483" s="163">
        <f t="shared" si="3487"/>
        <v>1447</v>
      </c>
      <c r="Q3483" s="163">
        <f t="shared" si="3487"/>
        <v>1082</v>
      </c>
      <c r="R3483" s="163">
        <f>IFERROR(__xludf.DUMMYFUNCTION("RANK(M3483,filter(M:M,C:C=C3483))"),406.0)</f>
        <v>406</v>
      </c>
      <c r="S3483" s="161" t="b">
        <f t="shared" si="5"/>
        <v>0</v>
      </c>
      <c r="T3483" s="161" t="b">
        <f t="array" ref="T3483">index('Query Tool'!B:B,match(H3483,'Query Tool'!C:C,0))</f>
        <v>1</v>
      </c>
      <c r="U3483" s="161" t="b">
        <f t="array" ref="U3483">index('Query Tool'!B:B,match(C3483,'Query Tool'!C:C,0))</f>
        <v>0</v>
      </c>
      <c r="V3483" s="161" t="b">
        <f>F3483&gt;='Query Tool'!C$32</f>
        <v>0</v>
      </c>
      <c r="W3483" s="161" t="b">
        <f t="array" ref="W3483">index(Dropdowns!B:B,match(I3483,Dropdowns!A:A,0))</f>
        <v>1</v>
      </c>
      <c r="X3483" s="161" t="b">
        <f t="array" ref="X3483">index('Query Tool'!B:B,match(D3483,'Query Tool'!C:C,0))</f>
        <v>1</v>
      </c>
      <c r="Y3483" s="161" t="str">
        <f t="shared" si="6"/>
        <v>brazdig01,2019-20</v>
      </c>
      <c r="Z3483" s="168" t="str">
        <f t="array" ref="Z3483">iferror(index(I:I,match($A3483&amp;","&amp;index('Year Conversion'!$A:$A,match($C3483,'Year Conversion'!$B:$B,0)),$Y:$Y,0))-I3483,"")</f>
        <v/>
      </c>
      <c r="AA3483" s="168" t="str">
        <f t="array" ref="AA3483">iferror(index(J:J,match($A3483&amp;","&amp;index('Year Conversion'!$A:$A,match($C3483,'Year Conversion'!$B:$B,0)),$Y:$Y,0))-J3483,"")</f>
        <v/>
      </c>
      <c r="AB3483" s="168" t="str">
        <f t="array" ref="AB3483">iferror(index(K:K,match($A3483&amp;","&amp;index('Year Conversion'!$A:$A,match($C3483,'Year Conversion'!$B:$B,0)),$Y:$Y,0))-K3483,"")</f>
        <v/>
      </c>
      <c r="AC3483" s="168" t="str">
        <f t="shared" si="7"/>
        <v>NYK,2019-20</v>
      </c>
    </row>
    <row r="3484">
      <c r="A3484" s="161" t="str">
        <f>IFERROR(__xludf.DUMMYFUNCTION("""COMPUTED_VALUE"""),"brownmo01")</f>
        <v>brownmo01</v>
      </c>
      <c r="B3484" s="161" t="str">
        <f>IFERROR(__xludf.DUMMYFUNCTION("""COMPUTED_VALUE"""),"Moses Brown")</f>
        <v>Moses Brown</v>
      </c>
      <c r="C3484" s="162" t="str">
        <f>IFERROR(__xludf.DUMMYFUNCTION("""COMPUTED_VALUE"""),"2019-20")</f>
        <v>2019-20</v>
      </c>
      <c r="D3484" s="163" t="str">
        <f>IFERROR(__xludf.DUMMYFUNCTION("""COMPUTED_VALUE"""),"POR")</f>
        <v>POR</v>
      </c>
      <c r="E3484" s="164" t="str">
        <f>IFERROR(__xludf.DUMMYFUNCTION("""COMPUTED_VALUE"""),"Roll + Cut Big")</f>
        <v>Roll + Cut Big</v>
      </c>
      <c r="F3484" s="164">
        <f>IFERROR(__xludf.DUMMYFUNCTION("""COMPUTED_VALUE"""),32.8433333333333)</f>
        <v>32.84333333</v>
      </c>
      <c r="G3484" s="163">
        <f>IFERROR(__xludf.DUMMYFUNCTION("""COMPUTED_VALUE"""),9.0)</f>
        <v>9</v>
      </c>
      <c r="H3484" s="163" t="str">
        <f>IFERROR(__xludf.DUMMYFUNCTION("""COMPUTED_VALUE"""),"C")</f>
        <v>C</v>
      </c>
      <c r="I3484" s="163">
        <f>IFERROR(__xludf.DUMMYFUNCTION("""COMPUTED_VALUE"""),20.0)</f>
        <v>20</v>
      </c>
      <c r="J3484" s="165">
        <f>IFERROR(__xludf.DUMMYFUNCTION("""COMPUTED_VALUE"""),-0.353078959753367)</f>
        <v>-0.3530789598</v>
      </c>
      <c r="K3484" s="165">
        <f>IFERROR(__xludf.DUMMYFUNCTION("""COMPUTED_VALUE"""),-0.175789210522874)</f>
        <v>-0.1757892105</v>
      </c>
      <c r="L3484" s="165">
        <f>IFERROR(__xludf.DUMMYFUNCTION("""COMPUTED_VALUE"""),-0.177289749230493)</f>
        <v>-0.1772897492</v>
      </c>
      <c r="M3484" s="166">
        <f t="shared" si="2"/>
        <v>0.04281672531</v>
      </c>
      <c r="N3484" s="167">
        <f t="shared" si="3"/>
        <v>3.649259259</v>
      </c>
      <c r="O3484" s="163">
        <f t="shared" ref="O3484:Q3484" si="3488">rank(I3484,I:I)</f>
        <v>3770</v>
      </c>
      <c r="P3484" s="163">
        <f t="shared" si="3488"/>
        <v>1675</v>
      </c>
      <c r="Q3484" s="163">
        <f t="shared" si="3488"/>
        <v>1523</v>
      </c>
      <c r="R3484" s="163">
        <f>IFERROR(__xludf.DUMMYFUNCTION("RANK(M3484,filter(M:M,C:C=C3484))"),439.0)</f>
        <v>439</v>
      </c>
      <c r="S3484" s="161" t="b">
        <f t="shared" si="5"/>
        <v>0</v>
      </c>
      <c r="T3484" s="161" t="b">
        <f t="array" ref="T3484">index('Query Tool'!B:B,match(H3484,'Query Tool'!C:C,0))</f>
        <v>1</v>
      </c>
      <c r="U3484" s="161" t="b">
        <f t="array" ref="U3484">index('Query Tool'!B:B,match(C3484,'Query Tool'!C:C,0))</f>
        <v>0</v>
      </c>
      <c r="V3484" s="161" t="b">
        <f>F3484&gt;='Query Tool'!C$32</f>
        <v>0</v>
      </c>
      <c r="W3484" s="161" t="b">
        <f t="array" ref="W3484">index(Dropdowns!B:B,match(I3484,Dropdowns!A:A,0))</f>
        <v>1</v>
      </c>
      <c r="X3484" s="161" t="b">
        <f t="array" ref="X3484">index('Query Tool'!B:B,match(D3484,'Query Tool'!C:C,0))</f>
        <v>1</v>
      </c>
      <c r="Y3484" s="161" t="str">
        <f t="shared" si="6"/>
        <v>brownmo01,2019-20</v>
      </c>
      <c r="Z3484" s="168" t="str">
        <f t="array" ref="Z3484">iferror(index(I:I,match($A3484&amp;","&amp;index('Year Conversion'!$A:$A,match($C3484,'Year Conversion'!$B:$B,0)),$Y:$Y,0))-I3484,"")</f>
        <v/>
      </c>
      <c r="AA3484" s="168" t="str">
        <f t="array" ref="AA3484">iferror(index(J:J,match($A3484&amp;","&amp;index('Year Conversion'!$A:$A,match($C3484,'Year Conversion'!$B:$B,0)),$Y:$Y,0))-J3484,"")</f>
        <v/>
      </c>
      <c r="AB3484" s="168" t="str">
        <f t="array" ref="AB3484">iferror(index(K:K,match($A3484&amp;","&amp;index('Year Conversion'!$A:$A,match($C3484,'Year Conversion'!$B:$B,0)),$Y:$Y,0))-K3484,"")</f>
        <v/>
      </c>
      <c r="AC3484" s="168" t="str">
        <f t="shared" si="7"/>
        <v>POR,2019-20</v>
      </c>
    </row>
    <row r="3485">
      <c r="A3485" s="161" t="str">
        <f>IFERROR(__xludf.DUMMYFUNCTION("""COMPUTED_VALUE"""),"claxtni01")</f>
        <v>claxtni01</v>
      </c>
      <c r="B3485" s="161" t="str">
        <f>IFERROR(__xludf.DUMMYFUNCTION("""COMPUTED_VALUE"""),"Nicolas Claxton")</f>
        <v>Nicolas Claxton</v>
      </c>
      <c r="C3485" s="162" t="str">
        <f>IFERROR(__xludf.DUMMYFUNCTION("""COMPUTED_VALUE"""),"2019-20")</f>
        <v>2019-20</v>
      </c>
      <c r="D3485" s="163" t="str">
        <f>IFERROR(__xludf.DUMMYFUNCTION("""COMPUTED_VALUE"""),"BRK")</f>
        <v>BRK</v>
      </c>
      <c r="E3485" s="164" t="str">
        <f>IFERROR(__xludf.DUMMYFUNCTION("""COMPUTED_VALUE"""),"Roll + Cut Big")</f>
        <v>Roll + Cut Big</v>
      </c>
      <c r="F3485" s="164">
        <f>IFERROR(__xludf.DUMMYFUNCTION("""COMPUTED_VALUE"""),186.85)</f>
        <v>186.85</v>
      </c>
      <c r="G3485" s="163">
        <f>IFERROR(__xludf.DUMMYFUNCTION("""COMPUTED_VALUE"""),15.0)</f>
        <v>15</v>
      </c>
      <c r="H3485" s="163" t="str">
        <f>IFERROR(__xludf.DUMMYFUNCTION("""COMPUTED_VALUE"""),"C")</f>
        <v>C</v>
      </c>
      <c r="I3485" s="163">
        <f>IFERROR(__xludf.DUMMYFUNCTION("""COMPUTED_VALUE"""),20.0)</f>
        <v>20</v>
      </c>
      <c r="J3485" s="165">
        <f>IFERROR(__xludf.DUMMYFUNCTION("""COMPUTED_VALUE"""),-1.23288169156256)</f>
        <v>-1.232881692</v>
      </c>
      <c r="K3485" s="165">
        <f>IFERROR(__xludf.DUMMYFUNCTION("""COMPUTED_VALUE"""),-1.07806537547516)</f>
        <v>-1.078065375</v>
      </c>
      <c r="L3485" s="165">
        <f>IFERROR(__xludf.DUMMYFUNCTION("""COMPUTED_VALUE"""),-0.154816316087395)</f>
        <v>-0.1548163161</v>
      </c>
      <c r="M3485" s="166">
        <f t="shared" si="2"/>
        <v>0.1330785073</v>
      </c>
      <c r="N3485" s="167">
        <f t="shared" si="3"/>
        <v>12.45666667</v>
      </c>
      <c r="O3485" s="163">
        <f t="shared" ref="O3485:Q3485" si="3489">rank(I3485,I:I)</f>
        <v>3770</v>
      </c>
      <c r="P3485" s="163">
        <f t="shared" si="3489"/>
        <v>2792</v>
      </c>
      <c r="Q3485" s="163">
        <f t="shared" si="3489"/>
        <v>2908</v>
      </c>
      <c r="R3485" s="163">
        <f>IFERROR(__xludf.DUMMYFUNCTION("RANK(M3485,filter(M:M,C:C=C3485))"),370.0)</f>
        <v>370</v>
      </c>
      <c r="S3485" s="161" t="b">
        <f t="shared" si="5"/>
        <v>0</v>
      </c>
      <c r="T3485" s="161" t="b">
        <f t="array" ref="T3485">index('Query Tool'!B:B,match(H3485,'Query Tool'!C:C,0))</f>
        <v>1</v>
      </c>
      <c r="U3485" s="161" t="b">
        <f t="array" ref="U3485">index('Query Tool'!B:B,match(C3485,'Query Tool'!C:C,0))</f>
        <v>0</v>
      </c>
      <c r="V3485" s="161" t="b">
        <f>F3485&gt;='Query Tool'!C$32</f>
        <v>0</v>
      </c>
      <c r="W3485" s="161" t="b">
        <f t="array" ref="W3485">index(Dropdowns!B:B,match(I3485,Dropdowns!A:A,0))</f>
        <v>1</v>
      </c>
      <c r="X3485" s="161" t="b">
        <f t="array" ref="X3485">index('Query Tool'!B:B,match(D3485,'Query Tool'!C:C,0))</f>
        <v>1</v>
      </c>
      <c r="Y3485" s="161" t="str">
        <f t="shared" si="6"/>
        <v>claxtni01,2019-20</v>
      </c>
      <c r="Z3485" s="168" t="str">
        <f t="array" ref="Z3485">iferror(index(I:I,match($A3485&amp;","&amp;index('Year Conversion'!$A:$A,match($C3485,'Year Conversion'!$B:$B,0)),$Y:$Y,0))-I3485,"")</f>
        <v/>
      </c>
      <c r="AA3485" s="168" t="str">
        <f t="array" ref="AA3485">iferror(index(J:J,match($A3485&amp;","&amp;index('Year Conversion'!$A:$A,match($C3485,'Year Conversion'!$B:$B,0)),$Y:$Y,0))-J3485,"")</f>
        <v/>
      </c>
      <c r="AB3485" s="168" t="str">
        <f t="array" ref="AB3485">iferror(index(K:K,match($A3485&amp;","&amp;index('Year Conversion'!$A:$A,match($C3485,'Year Conversion'!$B:$B,0)),$Y:$Y,0))-K3485,"")</f>
        <v/>
      </c>
      <c r="AC3485" s="168" t="str">
        <f t="shared" si="7"/>
        <v>BRK,2019-20</v>
      </c>
    </row>
    <row r="3486">
      <c r="A3486" s="161" t="str">
        <f>IFERROR(__xludf.DUMMYFUNCTION("""COMPUTED_VALUE"""),"dortlu01")</f>
        <v>dortlu01</v>
      </c>
      <c r="B3486" s="161" t="str">
        <f>IFERROR(__xludf.DUMMYFUNCTION("""COMPUTED_VALUE"""),"Luguentz Dort")</f>
        <v>Luguentz Dort</v>
      </c>
      <c r="C3486" s="162" t="str">
        <f>IFERROR(__xludf.DUMMYFUNCTION("""COMPUTED_VALUE"""),"2019-20")</f>
        <v>2019-20</v>
      </c>
      <c r="D3486" s="163" t="str">
        <f>IFERROR(__xludf.DUMMYFUNCTION("""COMPUTED_VALUE"""),"OKC")</f>
        <v>OKC</v>
      </c>
      <c r="E3486" s="164" t="str">
        <f>IFERROR(__xludf.DUMMYFUNCTION("""COMPUTED_VALUE"""),"Athletic Finisher")</f>
        <v>Athletic Finisher</v>
      </c>
      <c r="F3486" s="164">
        <f>IFERROR(__xludf.DUMMYFUNCTION("""COMPUTED_VALUE"""),820.33)</f>
        <v>820.33</v>
      </c>
      <c r="G3486" s="163">
        <f>IFERROR(__xludf.DUMMYFUNCTION("""COMPUTED_VALUE"""),36.0)</f>
        <v>36</v>
      </c>
      <c r="H3486" s="163" t="str">
        <f>IFERROR(__xludf.DUMMYFUNCTION("""COMPUTED_VALUE"""),"SF")</f>
        <v>SF</v>
      </c>
      <c r="I3486" s="163">
        <f>IFERROR(__xludf.DUMMYFUNCTION("""COMPUTED_VALUE"""),20.0)</f>
        <v>20</v>
      </c>
      <c r="J3486" s="165">
        <f>IFERROR(__xludf.DUMMYFUNCTION("""COMPUTED_VALUE"""),-2.41596324329412)</f>
        <v>-2.415963243</v>
      </c>
      <c r="K3486" s="165">
        <f>IFERROR(__xludf.DUMMYFUNCTION("""COMPUTED_VALUE"""),-1.86207675683484)</f>
        <v>-1.862076757</v>
      </c>
      <c r="L3486" s="165">
        <f>IFERROR(__xludf.DUMMYFUNCTION("""COMPUTED_VALUE"""),-0.553886486459282)</f>
        <v>-0.5538864865</v>
      </c>
      <c r="M3486" s="166">
        <f t="shared" si="2"/>
        <v>-0.06076255863</v>
      </c>
      <c r="N3486" s="167">
        <f t="shared" si="3"/>
        <v>22.78694444</v>
      </c>
      <c r="O3486" s="163">
        <f t="shared" ref="O3486:Q3486" si="3490">rank(I3486,I:I)</f>
        <v>3770</v>
      </c>
      <c r="P3486" s="163">
        <f t="shared" si="3490"/>
        <v>3725</v>
      </c>
      <c r="Q3486" s="163">
        <f t="shared" si="3490"/>
        <v>3616</v>
      </c>
      <c r="R3486" s="163">
        <f>IFERROR(__xludf.DUMMYFUNCTION("RANK(M3486,filter(M:M,C:C=C3486))"),491.0)</f>
        <v>491</v>
      </c>
      <c r="S3486" s="161" t="b">
        <f t="shared" si="5"/>
        <v>0</v>
      </c>
      <c r="T3486" s="161" t="b">
        <f t="array" ref="T3486">index('Query Tool'!B:B,match(H3486,'Query Tool'!C:C,0))</f>
        <v>1</v>
      </c>
      <c r="U3486" s="161" t="b">
        <f t="array" ref="U3486">index('Query Tool'!B:B,match(C3486,'Query Tool'!C:C,0))</f>
        <v>0</v>
      </c>
      <c r="V3486" s="161" t="b">
        <f>F3486&gt;='Query Tool'!C$32</f>
        <v>1</v>
      </c>
      <c r="W3486" s="161" t="b">
        <f t="array" ref="W3486">index(Dropdowns!B:B,match(I3486,Dropdowns!A:A,0))</f>
        <v>1</v>
      </c>
      <c r="X3486" s="161" t="b">
        <f t="array" ref="X3486">index('Query Tool'!B:B,match(D3486,'Query Tool'!C:C,0))</f>
        <v>1</v>
      </c>
      <c r="Y3486" s="161" t="str">
        <f t="shared" si="6"/>
        <v>dortlu01,2019-20</v>
      </c>
      <c r="Z3486" s="168" t="str">
        <f t="array" ref="Z3486">iferror(index(I:I,match($A3486&amp;","&amp;index('Year Conversion'!$A:$A,match($C3486,'Year Conversion'!$B:$B,0)),$Y:$Y,0))-I3486,"")</f>
        <v/>
      </c>
      <c r="AA3486" s="168" t="str">
        <f t="array" ref="AA3486">iferror(index(J:J,match($A3486&amp;","&amp;index('Year Conversion'!$A:$A,match($C3486,'Year Conversion'!$B:$B,0)),$Y:$Y,0))-J3486,"")</f>
        <v/>
      </c>
      <c r="AB3486" s="168" t="str">
        <f t="array" ref="AB3486">iferror(index(K:K,match($A3486&amp;","&amp;index('Year Conversion'!$A:$A,match($C3486,'Year Conversion'!$B:$B,0)),$Y:$Y,0))-K3486,"")</f>
        <v/>
      </c>
      <c r="AC3486" s="168" t="str">
        <f t="shared" si="7"/>
        <v>OKC,2019-20</v>
      </c>
    </row>
    <row r="3487">
      <c r="A3487" s="161" t="str">
        <f>IFERROR(__xludf.DUMMYFUNCTION("""COMPUTED_VALUE"""),"gaffoda01")</f>
        <v>gaffoda01</v>
      </c>
      <c r="B3487" s="161" t="str">
        <f>IFERROR(__xludf.DUMMYFUNCTION("""COMPUTED_VALUE"""),"Daniel Gafford")</f>
        <v>Daniel Gafford</v>
      </c>
      <c r="C3487" s="162" t="str">
        <f>IFERROR(__xludf.DUMMYFUNCTION("""COMPUTED_VALUE"""),"2019-20")</f>
        <v>2019-20</v>
      </c>
      <c r="D3487" s="163" t="str">
        <f>IFERROR(__xludf.DUMMYFUNCTION("""COMPUTED_VALUE"""),"CHI")</f>
        <v>CHI</v>
      </c>
      <c r="E3487" s="164" t="str">
        <f>IFERROR(__xludf.DUMMYFUNCTION("""COMPUTED_VALUE"""),"Roll + Cut Big")</f>
        <v>Roll + Cut Big</v>
      </c>
      <c r="F3487" s="164">
        <f>IFERROR(__xludf.DUMMYFUNCTION("""COMPUTED_VALUE"""),609.053333333334)</f>
        <v>609.0533333</v>
      </c>
      <c r="G3487" s="163">
        <f>IFERROR(__xludf.DUMMYFUNCTION("""COMPUTED_VALUE"""),43.0)</f>
        <v>43</v>
      </c>
      <c r="H3487" s="163" t="str">
        <f>IFERROR(__xludf.DUMMYFUNCTION("""COMPUTED_VALUE"""),"C")</f>
        <v>C</v>
      </c>
      <c r="I3487" s="163">
        <f>IFERROR(__xludf.DUMMYFUNCTION("""COMPUTED_VALUE"""),21.0)</f>
        <v>21</v>
      </c>
      <c r="J3487" s="165">
        <f>IFERROR(__xludf.DUMMYFUNCTION("""COMPUTED_VALUE"""),-1.22324631161072)</f>
        <v>-1.223246312</v>
      </c>
      <c r="K3487" s="165">
        <f>IFERROR(__xludf.DUMMYFUNCTION("""COMPUTED_VALUE"""),-2.36681053187682)</f>
        <v>-2.366810532</v>
      </c>
      <c r="L3487" s="165">
        <f>IFERROR(__xludf.DUMMYFUNCTION("""COMPUTED_VALUE"""),1.1435642202661)</f>
        <v>1.14356422</v>
      </c>
      <c r="M3487" s="166">
        <f t="shared" si="2"/>
        <v>0.4377123104</v>
      </c>
      <c r="N3487" s="167">
        <f t="shared" si="3"/>
        <v>14.16403101</v>
      </c>
      <c r="O3487" s="163">
        <f t="shared" ref="O3487:Q3487" si="3491">rank(I3487,I:I)</f>
        <v>3528</v>
      </c>
      <c r="P3487" s="163">
        <f t="shared" si="3491"/>
        <v>2777</v>
      </c>
      <c r="Q3487" s="163">
        <f t="shared" si="3491"/>
        <v>3856</v>
      </c>
      <c r="R3487" s="163">
        <f>IFERROR(__xludf.DUMMYFUNCTION("RANK(M3487,filter(M:M,C:C=C3487))"),267.0)</f>
        <v>267</v>
      </c>
      <c r="S3487" s="161" t="b">
        <f t="shared" si="5"/>
        <v>0</v>
      </c>
      <c r="T3487" s="161" t="b">
        <f t="array" ref="T3487">index('Query Tool'!B:B,match(H3487,'Query Tool'!C:C,0))</f>
        <v>1</v>
      </c>
      <c r="U3487" s="161" t="b">
        <f t="array" ref="U3487">index('Query Tool'!B:B,match(C3487,'Query Tool'!C:C,0))</f>
        <v>0</v>
      </c>
      <c r="V3487" s="161" t="b">
        <f>F3487&gt;='Query Tool'!C$32</f>
        <v>1</v>
      </c>
      <c r="W3487" s="161" t="b">
        <f t="array" ref="W3487">index(Dropdowns!B:B,match(I3487,Dropdowns!A:A,0))</f>
        <v>1</v>
      </c>
      <c r="X3487" s="161" t="b">
        <f t="array" ref="X3487">index('Query Tool'!B:B,match(D3487,'Query Tool'!C:C,0))</f>
        <v>1</v>
      </c>
      <c r="Y3487" s="161" t="str">
        <f t="shared" si="6"/>
        <v>gaffoda01,2019-20</v>
      </c>
      <c r="Z3487" s="168" t="str">
        <f t="array" ref="Z3487">iferror(index(I:I,match($A3487&amp;","&amp;index('Year Conversion'!$A:$A,match($C3487,'Year Conversion'!$B:$B,0)),$Y:$Y,0))-I3487,"")</f>
        <v/>
      </c>
      <c r="AA3487" s="168" t="str">
        <f t="array" ref="AA3487">iferror(index(J:J,match($A3487&amp;","&amp;index('Year Conversion'!$A:$A,match($C3487,'Year Conversion'!$B:$B,0)),$Y:$Y,0))-J3487,"")</f>
        <v/>
      </c>
      <c r="AB3487" s="168" t="str">
        <f t="array" ref="AB3487">iferror(index(K:K,match($A3487&amp;","&amp;index('Year Conversion'!$A:$A,match($C3487,'Year Conversion'!$B:$B,0)),$Y:$Y,0))-K3487,"")</f>
        <v/>
      </c>
      <c r="AC3487" s="168" t="str">
        <f t="shared" si="7"/>
        <v>CHI,2019-20</v>
      </c>
    </row>
    <row r="3488">
      <c r="A3488" s="161" t="str">
        <f>IFERROR(__xludf.DUMMYFUNCTION("""COMPUTED_VALUE"""),"guyky01")</f>
        <v>guyky01</v>
      </c>
      <c r="B3488" s="161" t="str">
        <f>IFERROR(__xludf.DUMMYFUNCTION("""COMPUTED_VALUE"""),"Kyle Guy")</f>
        <v>Kyle Guy</v>
      </c>
      <c r="C3488" s="162" t="str">
        <f>IFERROR(__xludf.DUMMYFUNCTION("""COMPUTED_VALUE"""),"2019-20")</f>
        <v>2019-20</v>
      </c>
      <c r="D3488" s="163" t="str">
        <f>IFERROR(__xludf.DUMMYFUNCTION("""COMPUTED_VALUE"""),"SAC")</f>
        <v>SAC</v>
      </c>
      <c r="E3488" s="164" t="str">
        <f>IFERROR(__xludf.DUMMYFUNCTION("""COMPUTED_VALUE"""),"Off Screen Shooter")</f>
        <v>Off Screen Shooter</v>
      </c>
      <c r="F3488" s="164">
        <f>IFERROR(__xludf.DUMMYFUNCTION("""COMPUTED_VALUE"""),9.58333333333334)</f>
        <v>9.583333333</v>
      </c>
      <c r="G3488" s="163">
        <f>IFERROR(__xludf.DUMMYFUNCTION("""COMPUTED_VALUE"""),3.0)</f>
        <v>3</v>
      </c>
      <c r="H3488" s="163" t="str">
        <f>IFERROR(__xludf.DUMMYFUNCTION("""COMPUTED_VALUE"""),"SG")</f>
        <v>SG</v>
      </c>
      <c r="I3488" s="163">
        <f>IFERROR(__xludf.DUMMYFUNCTION("""COMPUTED_VALUE"""),22.0)</f>
        <v>22</v>
      </c>
      <c r="J3488" s="165">
        <f>IFERROR(__xludf.DUMMYFUNCTION("""COMPUTED_VALUE"""),-0.0526414240938508)</f>
        <v>-0.05264142409</v>
      </c>
      <c r="K3488" s="165">
        <f>IFERROR(__xludf.DUMMYFUNCTION("""COMPUTED_VALUE"""),-0.00567791237221392)</f>
        <v>-0.005677912372</v>
      </c>
      <c r="L3488" s="165">
        <f>IFERROR(__xludf.DUMMYFUNCTION("""COMPUTED_VALUE"""),-0.0469635117216369)</f>
        <v>-0.04696351172</v>
      </c>
      <c r="M3488" s="166">
        <f t="shared" si="2"/>
        <v>0.01443419138</v>
      </c>
      <c r="N3488" s="167">
        <f t="shared" si="3"/>
        <v>3.194444444</v>
      </c>
      <c r="O3488" s="163">
        <f t="shared" ref="O3488:Q3488" si="3492">rank(I3488,I:I)</f>
        <v>3178</v>
      </c>
      <c r="P3488" s="163">
        <f t="shared" si="3492"/>
        <v>1332</v>
      </c>
      <c r="Q3488" s="163">
        <f t="shared" si="3492"/>
        <v>1209</v>
      </c>
      <c r="R3488" s="163">
        <f>IFERROR(__xludf.DUMMYFUNCTION("RANK(M3488,filter(M:M,C:C=C3488))"),468.0)</f>
        <v>468</v>
      </c>
      <c r="S3488" s="161" t="b">
        <f t="shared" si="5"/>
        <v>0</v>
      </c>
      <c r="T3488" s="161" t="b">
        <f t="array" ref="T3488">index('Query Tool'!B:B,match(H3488,'Query Tool'!C:C,0))</f>
        <v>1</v>
      </c>
      <c r="U3488" s="161" t="b">
        <f t="array" ref="U3488">index('Query Tool'!B:B,match(C3488,'Query Tool'!C:C,0))</f>
        <v>0</v>
      </c>
      <c r="V3488" s="161" t="b">
        <f>F3488&gt;='Query Tool'!C$32</f>
        <v>0</v>
      </c>
      <c r="W3488" s="161" t="b">
        <f t="array" ref="W3488">index(Dropdowns!B:B,match(I3488,Dropdowns!A:A,0))</f>
        <v>1</v>
      </c>
      <c r="X3488" s="161" t="b">
        <f t="array" ref="X3488">index('Query Tool'!B:B,match(D3488,'Query Tool'!C:C,0))</f>
        <v>1</v>
      </c>
      <c r="Y3488" s="161" t="str">
        <f t="shared" si="6"/>
        <v>guyky01,2019-20</v>
      </c>
      <c r="Z3488" s="168" t="str">
        <f t="array" ref="Z3488">iferror(index(I:I,match($A3488&amp;","&amp;index('Year Conversion'!$A:$A,match($C3488,'Year Conversion'!$B:$B,0)),$Y:$Y,0))-I3488,"")</f>
        <v/>
      </c>
      <c r="AA3488" s="168" t="str">
        <f t="array" ref="AA3488">iferror(index(J:J,match($A3488&amp;","&amp;index('Year Conversion'!$A:$A,match($C3488,'Year Conversion'!$B:$B,0)),$Y:$Y,0))-J3488,"")</f>
        <v/>
      </c>
      <c r="AB3488" s="168" t="str">
        <f t="array" ref="AB3488">iferror(index(K:K,match($A3488&amp;","&amp;index('Year Conversion'!$A:$A,match($C3488,'Year Conversion'!$B:$B,0)),$Y:$Y,0))-K3488,"")</f>
        <v/>
      </c>
      <c r="AC3488" s="168" t="str">
        <f t="shared" si="7"/>
        <v>SAC,2019-20</v>
      </c>
    </row>
    <row r="3489">
      <c r="A3489" s="161" t="str">
        <f>IFERROR(__xludf.DUMMYFUNCTION("""COMPUTED_VALUE"""),"hoardja01")</f>
        <v>hoardja01</v>
      </c>
      <c r="B3489" s="161" t="str">
        <f>IFERROR(__xludf.DUMMYFUNCTION("""COMPUTED_VALUE"""),"Jaylen Hoard")</f>
        <v>Jaylen Hoard</v>
      </c>
      <c r="C3489" s="162" t="str">
        <f>IFERROR(__xludf.DUMMYFUNCTION("""COMPUTED_VALUE"""),"2019-20")</f>
        <v>2019-20</v>
      </c>
      <c r="D3489" s="163" t="str">
        <f>IFERROR(__xludf.DUMMYFUNCTION("""COMPUTED_VALUE"""),"POR")</f>
        <v>POR</v>
      </c>
      <c r="E3489" s="164" t="str">
        <f>IFERROR(__xludf.DUMMYFUNCTION("""COMPUTED_VALUE"""),"Roll + Cut Big")</f>
        <v>Roll + Cut Big</v>
      </c>
      <c r="F3489" s="164">
        <f>IFERROR(__xludf.DUMMYFUNCTION("""COMPUTED_VALUE"""),102.998333333333)</f>
        <v>102.9983333</v>
      </c>
      <c r="G3489" s="163">
        <f>IFERROR(__xludf.DUMMYFUNCTION("""COMPUTED_VALUE"""),13.0)</f>
        <v>13</v>
      </c>
      <c r="H3489" s="163" t="str">
        <f>IFERROR(__xludf.DUMMYFUNCTION("""COMPUTED_VALUE"""),"PF")</f>
        <v>PF</v>
      </c>
      <c r="I3489" s="163">
        <f>IFERROR(__xludf.DUMMYFUNCTION("""COMPUTED_VALUE"""),20.0)</f>
        <v>20</v>
      </c>
      <c r="J3489" s="165">
        <f>IFERROR(__xludf.DUMMYFUNCTION("""COMPUTED_VALUE"""),-0.135022527412278)</f>
        <v>-0.1350225274</v>
      </c>
      <c r="K3489" s="165">
        <f>IFERROR(__xludf.DUMMYFUNCTION("""COMPUTED_VALUE"""),0.188032558659057)</f>
        <v>0.1880325587</v>
      </c>
      <c r="L3489" s="165">
        <f>IFERROR(__xludf.DUMMYFUNCTION("""COMPUTED_VALUE"""),-0.323055086071336)</f>
        <v>-0.3230550861</v>
      </c>
      <c r="M3489" s="166">
        <f t="shared" si="2"/>
        <v>0.1494133127</v>
      </c>
      <c r="N3489" s="167">
        <f t="shared" si="3"/>
        <v>7.922948718</v>
      </c>
      <c r="O3489" s="163">
        <f t="shared" ref="O3489:Q3489" si="3493">rank(I3489,I:I)</f>
        <v>3770</v>
      </c>
      <c r="P3489" s="163">
        <f t="shared" si="3493"/>
        <v>1418</v>
      </c>
      <c r="Q3489" s="163">
        <f t="shared" si="3493"/>
        <v>993</v>
      </c>
      <c r="R3489" s="163">
        <f>IFERROR(__xludf.DUMMYFUNCTION("RANK(M3489,filter(M:M,C:C=C3489))"),358.0)</f>
        <v>358</v>
      </c>
      <c r="S3489" s="161" t="b">
        <f t="shared" si="5"/>
        <v>0</v>
      </c>
      <c r="T3489" s="161" t="b">
        <f t="array" ref="T3489">index('Query Tool'!B:B,match(H3489,'Query Tool'!C:C,0))</f>
        <v>1</v>
      </c>
      <c r="U3489" s="161" t="b">
        <f t="array" ref="U3489">index('Query Tool'!B:B,match(C3489,'Query Tool'!C:C,0))</f>
        <v>0</v>
      </c>
      <c r="V3489" s="161" t="b">
        <f>F3489&gt;='Query Tool'!C$32</f>
        <v>0</v>
      </c>
      <c r="W3489" s="161" t="b">
        <f t="array" ref="W3489">index(Dropdowns!B:B,match(I3489,Dropdowns!A:A,0))</f>
        <v>1</v>
      </c>
      <c r="X3489" s="161" t="b">
        <f t="array" ref="X3489">index('Query Tool'!B:B,match(D3489,'Query Tool'!C:C,0))</f>
        <v>1</v>
      </c>
      <c r="Y3489" s="161" t="str">
        <f t="shared" si="6"/>
        <v>hoardja01,2019-20</v>
      </c>
      <c r="Z3489" s="168" t="str">
        <f t="array" ref="Z3489">iferror(index(I:I,match($A3489&amp;","&amp;index('Year Conversion'!$A:$A,match($C3489,'Year Conversion'!$B:$B,0)),$Y:$Y,0))-I3489,"")</f>
        <v/>
      </c>
      <c r="AA3489" s="168" t="str">
        <f t="array" ref="AA3489">iferror(index(J:J,match($A3489&amp;","&amp;index('Year Conversion'!$A:$A,match($C3489,'Year Conversion'!$B:$B,0)),$Y:$Y,0))-J3489,"")</f>
        <v/>
      </c>
      <c r="AB3489" s="168" t="str">
        <f t="array" ref="AB3489">iferror(index(K:K,match($A3489&amp;","&amp;index('Year Conversion'!$A:$A,match($C3489,'Year Conversion'!$B:$B,0)),$Y:$Y,0))-K3489,"")</f>
        <v/>
      </c>
      <c r="AC3489" s="168" t="str">
        <f t="shared" si="7"/>
        <v>POR,2019-20</v>
      </c>
    </row>
    <row r="3490">
      <c r="A3490" s="161" t="str">
        <f>IFERROR(__xludf.DUMMYFUNCTION("""COMPUTED_VALUE"""),"hortota01")</f>
        <v>hortota01</v>
      </c>
      <c r="B3490" s="161" t="str">
        <f>IFERROR(__xludf.DUMMYFUNCTION("""COMPUTED_VALUE"""),"Talen Horton-Tucker")</f>
        <v>Talen Horton-Tucker</v>
      </c>
      <c r="C3490" s="162" t="str">
        <f>IFERROR(__xludf.DUMMYFUNCTION("""COMPUTED_VALUE"""),"2019-20")</f>
        <v>2019-20</v>
      </c>
      <c r="D3490" s="163" t="str">
        <f>IFERROR(__xludf.DUMMYFUNCTION("""COMPUTED_VALUE"""),"LAL")</f>
        <v>LAL</v>
      </c>
      <c r="E3490" s="164" t="str">
        <f>IFERROR(__xludf.DUMMYFUNCTION("""COMPUTED_VALUE"""),"Secondary Ball Handler")</f>
        <v>Secondary Ball Handler</v>
      </c>
      <c r="F3490" s="164">
        <f>IFERROR(__xludf.DUMMYFUNCTION("""COMPUTED_VALUE"""),81.15)</f>
        <v>81.15</v>
      </c>
      <c r="G3490" s="163">
        <f>IFERROR(__xludf.DUMMYFUNCTION("""COMPUTED_VALUE"""),6.0)</f>
        <v>6</v>
      </c>
      <c r="H3490" s="163" t="str">
        <f>IFERROR(__xludf.DUMMYFUNCTION("""COMPUTED_VALUE"""),"SG")</f>
        <v>SG</v>
      </c>
      <c r="I3490" s="163">
        <f>IFERROR(__xludf.DUMMYFUNCTION("""COMPUTED_VALUE"""),19.0)</f>
        <v>19</v>
      </c>
      <c r="J3490" s="165">
        <f>IFERROR(__xludf.DUMMYFUNCTION("""COMPUTED_VALUE"""),-0.996860271336459)</f>
        <v>-0.9968602713</v>
      </c>
      <c r="K3490" s="165">
        <f>IFERROR(__xludf.DUMMYFUNCTION("""COMPUTED_VALUE"""),-0.473598720486792)</f>
        <v>-0.4735987205</v>
      </c>
      <c r="L3490" s="165">
        <f>IFERROR(__xludf.DUMMYFUNCTION("""COMPUTED_VALUE"""),-0.523261550849667)</f>
        <v>-0.5232615508</v>
      </c>
      <c r="M3490" s="166">
        <f t="shared" si="2"/>
        <v>0.07064268744</v>
      </c>
      <c r="N3490" s="167">
        <f t="shared" si="3"/>
        <v>13.525</v>
      </c>
      <c r="O3490" s="163">
        <f t="shared" ref="O3490:Q3490" si="3494">rank(I3490,I:I)</f>
        <v>3945</v>
      </c>
      <c r="P3490" s="163">
        <f t="shared" si="3494"/>
        <v>2499</v>
      </c>
      <c r="Q3490" s="163">
        <f t="shared" si="3494"/>
        <v>2076</v>
      </c>
      <c r="R3490" s="163">
        <f>IFERROR(__xludf.DUMMYFUNCTION("RANK(M3490,filter(M:M,C:C=C3490))"),409.0)</f>
        <v>409</v>
      </c>
      <c r="S3490" s="161" t="b">
        <f t="shared" si="5"/>
        <v>0</v>
      </c>
      <c r="T3490" s="161" t="b">
        <f t="array" ref="T3490">index('Query Tool'!B:B,match(H3490,'Query Tool'!C:C,0))</f>
        <v>1</v>
      </c>
      <c r="U3490" s="161" t="b">
        <f t="array" ref="U3490">index('Query Tool'!B:B,match(C3490,'Query Tool'!C:C,0))</f>
        <v>0</v>
      </c>
      <c r="V3490" s="161" t="b">
        <f>F3490&gt;='Query Tool'!C$32</f>
        <v>0</v>
      </c>
      <c r="W3490" s="161" t="b">
        <f t="array" ref="W3490">index(Dropdowns!B:B,match(I3490,Dropdowns!A:A,0))</f>
        <v>1</v>
      </c>
      <c r="X3490" s="161" t="b">
        <f t="array" ref="X3490">index('Query Tool'!B:B,match(D3490,'Query Tool'!C:C,0))</f>
        <v>1</v>
      </c>
      <c r="Y3490" s="161" t="str">
        <f t="shared" si="6"/>
        <v>hortota01,2019-20</v>
      </c>
      <c r="Z3490" s="168" t="str">
        <f t="array" ref="Z3490">iferror(index(I:I,match($A3490&amp;","&amp;index('Year Conversion'!$A:$A,match($C3490,'Year Conversion'!$B:$B,0)),$Y:$Y,0))-I3490,"")</f>
        <v/>
      </c>
      <c r="AA3490" s="168" t="str">
        <f t="array" ref="AA3490">iferror(index(J:J,match($A3490&amp;","&amp;index('Year Conversion'!$A:$A,match($C3490,'Year Conversion'!$B:$B,0)),$Y:$Y,0))-J3490,"")</f>
        <v/>
      </c>
      <c r="AB3490" s="168" t="str">
        <f t="array" ref="AB3490">iferror(index(K:K,match($A3490&amp;","&amp;index('Year Conversion'!$A:$A,match($C3490,'Year Conversion'!$B:$B,0)),$Y:$Y,0))-K3490,"")</f>
        <v/>
      </c>
      <c r="AC3490" s="168" t="str">
        <f t="shared" si="7"/>
        <v>LAL,2019-20</v>
      </c>
    </row>
    <row r="3491">
      <c r="A3491" s="161" t="str">
        <f>IFERROR(__xludf.DUMMYFUNCTION("""COMPUTED_VALUE"""),"jeromty01")</f>
        <v>jeromty01</v>
      </c>
      <c r="B3491" s="161" t="str">
        <f>IFERROR(__xludf.DUMMYFUNCTION("""COMPUTED_VALUE"""),"Ty Jerome")</f>
        <v>Ty Jerome</v>
      </c>
      <c r="C3491" s="162" t="str">
        <f>IFERROR(__xludf.DUMMYFUNCTION("""COMPUTED_VALUE"""),"2019-20")</f>
        <v>2019-20</v>
      </c>
      <c r="D3491" s="163" t="str">
        <f>IFERROR(__xludf.DUMMYFUNCTION("""COMPUTED_VALUE"""),"PHO")</f>
        <v>PHO</v>
      </c>
      <c r="E3491" s="164" t="str">
        <f>IFERROR(__xludf.DUMMYFUNCTION("""COMPUTED_VALUE"""),"Secondary Ball Handler")</f>
        <v>Secondary Ball Handler</v>
      </c>
      <c r="F3491" s="164">
        <f>IFERROR(__xludf.DUMMYFUNCTION("""COMPUTED_VALUE"""),327.59)</f>
        <v>327.59</v>
      </c>
      <c r="G3491" s="163">
        <f>IFERROR(__xludf.DUMMYFUNCTION("""COMPUTED_VALUE"""),31.0)</f>
        <v>31</v>
      </c>
      <c r="H3491" s="163" t="str">
        <f>IFERROR(__xludf.DUMMYFUNCTION("""COMPUTED_VALUE"""),"SG")</f>
        <v>SG</v>
      </c>
      <c r="I3491" s="163">
        <f>IFERROR(__xludf.DUMMYFUNCTION("""COMPUTED_VALUE"""),22.0)</f>
        <v>22</v>
      </c>
      <c r="J3491" s="165">
        <f>IFERROR(__xludf.DUMMYFUNCTION("""COMPUTED_VALUE"""),-1.79574740840825)</f>
        <v>-1.795747408</v>
      </c>
      <c r="K3491" s="165">
        <f>IFERROR(__xludf.DUMMYFUNCTION("""COMPUTED_VALUE"""),-1.57493495231184)</f>
        <v>-1.574934952</v>
      </c>
      <c r="L3491" s="165">
        <f>IFERROR(__xludf.DUMMYFUNCTION("""COMPUTED_VALUE"""),-0.220812456096408)</f>
        <v>-0.2208124561</v>
      </c>
      <c r="M3491" s="166">
        <f t="shared" si="2"/>
        <v>0.1101968803</v>
      </c>
      <c r="N3491" s="167">
        <f t="shared" si="3"/>
        <v>10.56741935</v>
      </c>
      <c r="O3491" s="163">
        <f t="shared" ref="O3491:Q3491" si="3495">rank(I3491,I:I)</f>
        <v>3178</v>
      </c>
      <c r="P3491" s="163">
        <f t="shared" si="3495"/>
        <v>3323</v>
      </c>
      <c r="Q3491" s="163">
        <f t="shared" si="3495"/>
        <v>3428</v>
      </c>
      <c r="R3491" s="163">
        <f>IFERROR(__xludf.DUMMYFUNCTION("RANK(M3491,filter(M:M,C:C=C3491))"),380.0)</f>
        <v>380</v>
      </c>
      <c r="S3491" s="161" t="b">
        <f t="shared" si="5"/>
        <v>0</v>
      </c>
      <c r="T3491" s="161" t="b">
        <f t="array" ref="T3491">index('Query Tool'!B:B,match(H3491,'Query Tool'!C:C,0))</f>
        <v>1</v>
      </c>
      <c r="U3491" s="161" t="b">
        <f t="array" ref="U3491">index('Query Tool'!B:B,match(C3491,'Query Tool'!C:C,0))</f>
        <v>0</v>
      </c>
      <c r="V3491" s="161" t="b">
        <f>F3491&gt;='Query Tool'!C$32</f>
        <v>0</v>
      </c>
      <c r="W3491" s="161" t="b">
        <f t="array" ref="W3491">index(Dropdowns!B:B,match(I3491,Dropdowns!A:A,0))</f>
        <v>1</v>
      </c>
      <c r="X3491" s="161" t="b">
        <f t="array" ref="X3491">index('Query Tool'!B:B,match(D3491,'Query Tool'!C:C,0))</f>
        <v>1</v>
      </c>
      <c r="Y3491" s="161" t="str">
        <f t="shared" si="6"/>
        <v>jeromty01,2019-20</v>
      </c>
      <c r="Z3491" s="168" t="str">
        <f t="array" ref="Z3491">iferror(index(I:I,match($A3491&amp;","&amp;index('Year Conversion'!$A:$A,match($C3491,'Year Conversion'!$B:$B,0)),$Y:$Y,0))-I3491,"")</f>
        <v/>
      </c>
      <c r="AA3491" s="168" t="str">
        <f t="array" ref="AA3491">iferror(index(J:J,match($A3491&amp;","&amp;index('Year Conversion'!$A:$A,match($C3491,'Year Conversion'!$B:$B,0)),$Y:$Y,0))-J3491,"")</f>
        <v/>
      </c>
      <c r="AB3491" s="168" t="str">
        <f t="array" ref="AB3491">iferror(index(K:K,match($A3491&amp;","&amp;index('Year Conversion'!$A:$A,match($C3491,'Year Conversion'!$B:$B,0)),$Y:$Y,0))-K3491,"")</f>
        <v/>
      </c>
      <c r="AC3491" s="168" t="str">
        <f t="shared" si="7"/>
        <v>PHO,2019-20</v>
      </c>
    </row>
    <row r="3492">
      <c r="A3492" s="161" t="str">
        <f>IFERROR(__xludf.DUMMYFUNCTION("""COMPUTED_VALUE"""),"johnsca02")</f>
        <v>johnsca02</v>
      </c>
      <c r="B3492" s="161" t="str">
        <f>IFERROR(__xludf.DUMMYFUNCTION("""COMPUTED_VALUE"""),"Cameron Johnson")</f>
        <v>Cameron Johnson</v>
      </c>
      <c r="C3492" s="162" t="str">
        <f>IFERROR(__xludf.DUMMYFUNCTION("""COMPUTED_VALUE"""),"2019-20")</f>
        <v>2019-20</v>
      </c>
      <c r="D3492" s="163" t="str">
        <f>IFERROR(__xludf.DUMMYFUNCTION("""COMPUTED_VALUE"""),"PHO")</f>
        <v>PHO</v>
      </c>
      <c r="E3492" s="164" t="str">
        <f>IFERROR(__xludf.DUMMYFUNCTION("""COMPUTED_VALUE"""),"Movement Shooter")</f>
        <v>Movement Shooter</v>
      </c>
      <c r="F3492" s="164">
        <f>IFERROR(__xludf.DUMMYFUNCTION("""COMPUTED_VALUE"""),1255.405)</f>
        <v>1255.405</v>
      </c>
      <c r="G3492" s="163">
        <f>IFERROR(__xludf.DUMMYFUNCTION("""COMPUTED_VALUE"""),57.0)</f>
        <v>57</v>
      </c>
      <c r="H3492" s="163" t="str">
        <f>IFERROR(__xludf.DUMMYFUNCTION("""COMPUTED_VALUE"""),"PF")</f>
        <v>PF</v>
      </c>
      <c r="I3492" s="163">
        <f>IFERROR(__xludf.DUMMYFUNCTION("""COMPUTED_VALUE"""),23.0)</f>
        <v>23</v>
      </c>
      <c r="J3492" s="165">
        <f>IFERROR(__xludf.DUMMYFUNCTION("""COMPUTED_VALUE"""),0.109675264473235)</f>
        <v>0.1096752645</v>
      </c>
      <c r="K3492" s="165">
        <f>IFERROR(__xludf.DUMMYFUNCTION("""COMPUTED_VALUE"""),0.301881323860898)</f>
        <v>0.3018813239</v>
      </c>
      <c r="L3492" s="165">
        <f>IFERROR(__xludf.DUMMYFUNCTION("""COMPUTED_VALUE"""),-0.192206059387663)</f>
        <v>-0.1922060594</v>
      </c>
      <c r="M3492" s="166">
        <f t="shared" si="2"/>
        <v>2.02824158</v>
      </c>
      <c r="N3492" s="167">
        <f t="shared" si="3"/>
        <v>22.02464912</v>
      </c>
      <c r="O3492" s="163">
        <f t="shared" ref="O3492:Q3492" si="3496">rank(I3492,I:I)</f>
        <v>2765</v>
      </c>
      <c r="P3492" s="163">
        <f t="shared" si="3496"/>
        <v>1177</v>
      </c>
      <c r="Q3492" s="163">
        <f t="shared" si="3496"/>
        <v>907</v>
      </c>
      <c r="R3492" s="163">
        <f>IFERROR(__xludf.DUMMYFUNCTION("RANK(M3492,filter(M:M,C:C=C3492))"),152.0)</f>
        <v>152</v>
      </c>
      <c r="S3492" s="161" t="b">
        <f t="shared" si="5"/>
        <v>0</v>
      </c>
      <c r="T3492" s="161" t="b">
        <f t="array" ref="T3492">index('Query Tool'!B:B,match(H3492,'Query Tool'!C:C,0))</f>
        <v>1</v>
      </c>
      <c r="U3492" s="161" t="b">
        <f t="array" ref="U3492">index('Query Tool'!B:B,match(C3492,'Query Tool'!C:C,0))</f>
        <v>0</v>
      </c>
      <c r="V3492" s="161" t="b">
        <f>F3492&gt;='Query Tool'!C$32</f>
        <v>1</v>
      </c>
      <c r="W3492" s="161" t="b">
        <f t="array" ref="W3492">index(Dropdowns!B:B,match(I3492,Dropdowns!A:A,0))</f>
        <v>1</v>
      </c>
      <c r="X3492" s="161" t="b">
        <f t="array" ref="X3492">index('Query Tool'!B:B,match(D3492,'Query Tool'!C:C,0))</f>
        <v>1</v>
      </c>
      <c r="Y3492" s="161" t="str">
        <f t="shared" si="6"/>
        <v>johnsca02,2019-20</v>
      </c>
      <c r="Z3492" s="168" t="str">
        <f t="array" ref="Z3492">iferror(index(I:I,match($A3492&amp;","&amp;index('Year Conversion'!$A:$A,match($C3492,'Year Conversion'!$B:$B,0)),$Y:$Y,0))-I3492,"")</f>
        <v/>
      </c>
      <c r="AA3492" s="168" t="str">
        <f t="array" ref="AA3492">iferror(index(J:J,match($A3492&amp;","&amp;index('Year Conversion'!$A:$A,match($C3492,'Year Conversion'!$B:$B,0)),$Y:$Y,0))-J3492,"")</f>
        <v/>
      </c>
      <c r="AB3492" s="168" t="str">
        <f t="array" ref="AB3492">iferror(index(K:K,match($A3492&amp;","&amp;index('Year Conversion'!$A:$A,match($C3492,'Year Conversion'!$B:$B,0)),$Y:$Y,0))-K3492,"")</f>
        <v/>
      </c>
      <c r="AC3492" s="168" t="str">
        <f t="shared" si="7"/>
        <v>PHO,2019-20</v>
      </c>
    </row>
    <row r="3493">
      <c r="A3493" s="161" t="str">
        <f>IFERROR(__xludf.DUMMYFUNCTION("""COMPUTED_VALUE"""),"kabenmf01")</f>
        <v>kabenmf01</v>
      </c>
      <c r="B3493" s="161" t="str">
        <f>IFERROR(__xludf.DUMMYFUNCTION("""COMPUTED_VALUE"""),"Mfiondu Kabengele")</f>
        <v>Mfiondu Kabengele</v>
      </c>
      <c r="C3493" s="162" t="str">
        <f>IFERROR(__xludf.DUMMYFUNCTION("""COMPUTED_VALUE"""),"2019-20")</f>
        <v>2019-20</v>
      </c>
      <c r="D3493" s="163" t="str">
        <f>IFERROR(__xludf.DUMMYFUNCTION("""COMPUTED_VALUE"""),"LAC")</f>
        <v>LAC</v>
      </c>
      <c r="E3493" s="164" t="str">
        <f>IFERROR(__xludf.DUMMYFUNCTION("""COMPUTED_VALUE"""),"Stretch Big")</f>
        <v>Stretch Big</v>
      </c>
      <c r="F3493" s="164">
        <f>IFERROR(__xludf.DUMMYFUNCTION("""COMPUTED_VALUE"""),64.4166666666667)</f>
        <v>64.41666667</v>
      </c>
      <c r="G3493" s="163">
        <f>IFERROR(__xludf.DUMMYFUNCTION("""COMPUTED_VALUE"""),12.0)</f>
        <v>12</v>
      </c>
      <c r="H3493" s="163" t="str">
        <f>IFERROR(__xludf.DUMMYFUNCTION("""COMPUTED_VALUE"""),"C")</f>
        <v>C</v>
      </c>
      <c r="I3493" s="163">
        <f>IFERROR(__xludf.DUMMYFUNCTION("""COMPUTED_VALUE"""),22.0)</f>
        <v>22</v>
      </c>
      <c r="J3493" s="165">
        <f>IFERROR(__xludf.DUMMYFUNCTION("""COMPUTED_VALUE"""),-0.458014856498892)</f>
        <v>-0.4580148565</v>
      </c>
      <c r="K3493" s="165">
        <f>IFERROR(__xludf.DUMMYFUNCTION("""COMPUTED_VALUE"""),0.0810580892241995)</f>
        <v>0.08105808922</v>
      </c>
      <c r="L3493" s="165">
        <f>IFERROR(__xludf.DUMMYFUNCTION("""COMPUTED_VALUE"""),-0.539072945723092)</f>
        <v>-0.5390729457</v>
      </c>
      <c r="M3493" s="166">
        <f t="shared" si="2"/>
        <v>0.07942366746</v>
      </c>
      <c r="N3493" s="167">
        <f t="shared" si="3"/>
        <v>5.368055556</v>
      </c>
      <c r="O3493" s="163">
        <f t="shared" ref="O3493:Q3493" si="3497">rank(I3493,I:I)</f>
        <v>3178</v>
      </c>
      <c r="P3493" s="163">
        <f t="shared" si="3497"/>
        <v>1789</v>
      </c>
      <c r="Q3493" s="163">
        <f t="shared" si="3497"/>
        <v>1094</v>
      </c>
      <c r="R3493" s="163">
        <f>IFERROR(__xludf.DUMMYFUNCTION("RANK(M3493,filter(M:M,C:C=C3493))"),404.0)</f>
        <v>404</v>
      </c>
      <c r="S3493" s="161" t="b">
        <f t="shared" si="5"/>
        <v>0</v>
      </c>
      <c r="T3493" s="161" t="b">
        <f t="array" ref="T3493">index('Query Tool'!B:B,match(H3493,'Query Tool'!C:C,0))</f>
        <v>1</v>
      </c>
      <c r="U3493" s="161" t="b">
        <f t="array" ref="U3493">index('Query Tool'!B:B,match(C3493,'Query Tool'!C:C,0))</f>
        <v>0</v>
      </c>
      <c r="V3493" s="161" t="b">
        <f>F3493&gt;='Query Tool'!C$32</f>
        <v>0</v>
      </c>
      <c r="W3493" s="161" t="b">
        <f t="array" ref="W3493">index(Dropdowns!B:B,match(I3493,Dropdowns!A:A,0))</f>
        <v>1</v>
      </c>
      <c r="X3493" s="161" t="b">
        <f t="array" ref="X3493">index('Query Tool'!B:B,match(D3493,'Query Tool'!C:C,0))</f>
        <v>1</v>
      </c>
      <c r="Y3493" s="161" t="str">
        <f t="shared" si="6"/>
        <v>kabenmf01,2019-20</v>
      </c>
      <c r="Z3493" s="168" t="str">
        <f t="array" ref="Z3493">iferror(index(I:I,match($A3493&amp;","&amp;index('Year Conversion'!$A:$A,match($C3493,'Year Conversion'!$B:$B,0)),$Y:$Y,0))-I3493,"")</f>
        <v/>
      </c>
      <c r="AA3493" s="168" t="str">
        <f t="array" ref="AA3493">iferror(index(J:J,match($A3493&amp;","&amp;index('Year Conversion'!$A:$A,match($C3493,'Year Conversion'!$B:$B,0)),$Y:$Y,0))-J3493,"")</f>
        <v/>
      </c>
      <c r="AB3493" s="168" t="str">
        <f t="array" ref="AB3493">iferror(index(K:K,match($A3493&amp;","&amp;index('Year Conversion'!$A:$A,match($C3493,'Year Conversion'!$B:$B,0)),$Y:$Y,0))-K3493,"")</f>
        <v/>
      </c>
      <c r="AC3493" s="168" t="str">
        <f t="shared" si="7"/>
        <v>LAC,2019-20</v>
      </c>
    </row>
    <row r="3494">
      <c r="A3494" s="161" t="str">
        <f>IFERROR(__xludf.DUMMYFUNCTION("""COMPUTED_VALUE"""),"kinglo02")</f>
        <v>kinglo02</v>
      </c>
      <c r="B3494" s="161" t="str">
        <f>IFERROR(__xludf.DUMMYFUNCTION("""COMPUTED_VALUE"""),"Louis King")</f>
        <v>Louis King</v>
      </c>
      <c r="C3494" s="162" t="str">
        <f>IFERROR(__xludf.DUMMYFUNCTION("""COMPUTED_VALUE"""),"2019-20")</f>
        <v>2019-20</v>
      </c>
      <c r="D3494" s="163" t="str">
        <f>IFERROR(__xludf.DUMMYFUNCTION("""COMPUTED_VALUE"""),"DET")</f>
        <v>DET</v>
      </c>
      <c r="E3494" s="164" t="str">
        <f>IFERROR(__xludf.DUMMYFUNCTION("""COMPUTED_VALUE"""),"Stationary Shooter")</f>
        <v>Stationary Shooter</v>
      </c>
      <c r="F3494" s="164">
        <f>IFERROR(__xludf.DUMMYFUNCTION("""COMPUTED_VALUE"""),62.1999999999999)</f>
        <v>62.2</v>
      </c>
      <c r="G3494" s="163">
        <f>IFERROR(__xludf.DUMMYFUNCTION("""COMPUTED_VALUE"""),10.0)</f>
        <v>10</v>
      </c>
      <c r="H3494" s="163" t="str">
        <f>IFERROR(__xludf.DUMMYFUNCTION("""COMPUTED_VALUE"""),"SF")</f>
        <v>SF</v>
      </c>
      <c r="I3494" s="163">
        <f>IFERROR(__xludf.DUMMYFUNCTION("""COMPUTED_VALUE"""),20.0)</f>
        <v>20</v>
      </c>
      <c r="J3494" s="165">
        <f>IFERROR(__xludf.DUMMYFUNCTION("""COMPUTED_VALUE"""),-0.140451309208968)</f>
        <v>-0.1404513092</v>
      </c>
      <c r="K3494" s="165">
        <f>IFERROR(__xludf.DUMMYFUNCTION("""COMPUTED_VALUE"""),-0.258012443969821)</f>
        <v>-0.258012444</v>
      </c>
      <c r="L3494" s="165">
        <f>IFERROR(__xludf.DUMMYFUNCTION("""COMPUTED_VALUE"""),0.117561134760853)</f>
        <v>0.1175611348</v>
      </c>
      <c r="M3494" s="166">
        <f t="shared" si="2"/>
        <v>0.09000205768</v>
      </c>
      <c r="N3494" s="167">
        <f t="shared" si="3"/>
        <v>6.22</v>
      </c>
      <c r="O3494" s="163">
        <f t="shared" ref="O3494:Q3494" si="3498">rank(I3494,I:I)</f>
        <v>3770</v>
      </c>
      <c r="P3494" s="163">
        <f t="shared" si="3498"/>
        <v>1424</v>
      </c>
      <c r="Q3494" s="163">
        <f t="shared" si="3498"/>
        <v>1688</v>
      </c>
      <c r="R3494" s="163">
        <f>IFERROR(__xludf.DUMMYFUNCTION("RANK(M3494,filter(M:M,C:C=C3494))"),394.0)</f>
        <v>394</v>
      </c>
      <c r="S3494" s="161" t="b">
        <f t="shared" si="5"/>
        <v>0</v>
      </c>
      <c r="T3494" s="161" t="b">
        <f t="array" ref="T3494">index('Query Tool'!B:B,match(H3494,'Query Tool'!C:C,0))</f>
        <v>1</v>
      </c>
      <c r="U3494" s="161" t="b">
        <f t="array" ref="U3494">index('Query Tool'!B:B,match(C3494,'Query Tool'!C:C,0))</f>
        <v>0</v>
      </c>
      <c r="V3494" s="161" t="b">
        <f>F3494&gt;='Query Tool'!C$32</f>
        <v>0</v>
      </c>
      <c r="W3494" s="161" t="b">
        <f t="array" ref="W3494">index(Dropdowns!B:B,match(I3494,Dropdowns!A:A,0))</f>
        <v>1</v>
      </c>
      <c r="X3494" s="161" t="b">
        <f t="array" ref="X3494">index('Query Tool'!B:B,match(D3494,'Query Tool'!C:C,0))</f>
        <v>1</v>
      </c>
      <c r="Y3494" s="161" t="str">
        <f t="shared" si="6"/>
        <v>kinglo02,2019-20</v>
      </c>
      <c r="Z3494" s="168" t="str">
        <f t="array" ref="Z3494">iferror(index(I:I,match($A3494&amp;","&amp;index('Year Conversion'!$A:$A,match($C3494,'Year Conversion'!$B:$B,0)),$Y:$Y,0))-I3494,"")</f>
        <v/>
      </c>
      <c r="AA3494" s="168" t="str">
        <f t="array" ref="AA3494">iferror(index(J:J,match($A3494&amp;","&amp;index('Year Conversion'!$A:$A,match($C3494,'Year Conversion'!$B:$B,0)),$Y:$Y,0))-J3494,"")</f>
        <v/>
      </c>
      <c r="AB3494" s="168" t="str">
        <f t="array" ref="AB3494">iferror(index(K:K,match($A3494&amp;","&amp;index('Year Conversion'!$A:$A,match($C3494,'Year Conversion'!$B:$B,0)),$Y:$Y,0))-K3494,"")</f>
        <v/>
      </c>
      <c r="AC3494" s="168" t="str">
        <f t="shared" si="7"/>
        <v>DET,2019-20</v>
      </c>
    </row>
    <row r="3495">
      <c r="A3495" s="161" t="str">
        <f>IFERROR(__xludf.DUMMYFUNCTION("""COMPUTED_VALUE"""),"lecquja01")</f>
        <v>lecquja01</v>
      </c>
      <c r="B3495" s="161" t="str">
        <f>IFERROR(__xludf.DUMMYFUNCTION("""COMPUTED_VALUE"""),"Jalen Lecque")</f>
        <v>Jalen Lecque</v>
      </c>
      <c r="C3495" s="162" t="str">
        <f>IFERROR(__xludf.DUMMYFUNCTION("""COMPUTED_VALUE"""),"2019-20")</f>
        <v>2019-20</v>
      </c>
      <c r="D3495" s="163" t="str">
        <f>IFERROR(__xludf.DUMMYFUNCTION("""COMPUTED_VALUE"""),"PHO")</f>
        <v>PHO</v>
      </c>
      <c r="E3495" s="164" t="str">
        <f>IFERROR(__xludf.DUMMYFUNCTION("""COMPUTED_VALUE"""),"Stationary Shooter")</f>
        <v>Stationary Shooter</v>
      </c>
      <c r="F3495" s="164">
        <f>IFERROR(__xludf.DUMMYFUNCTION("""COMPUTED_VALUE"""),31.6033333333333)</f>
        <v>31.60333333</v>
      </c>
      <c r="G3495" s="163">
        <f>IFERROR(__xludf.DUMMYFUNCTION("""COMPUTED_VALUE"""),5.0)</f>
        <v>5</v>
      </c>
      <c r="H3495" s="163" t="str">
        <f>IFERROR(__xludf.DUMMYFUNCTION("""COMPUTED_VALUE"""),"SG")</f>
        <v>SG</v>
      </c>
      <c r="I3495" s="163">
        <f>IFERROR(__xludf.DUMMYFUNCTION("""COMPUTED_VALUE"""),19.0)</f>
        <v>19</v>
      </c>
      <c r="J3495" s="165">
        <f>IFERROR(__xludf.DUMMYFUNCTION("""COMPUTED_VALUE"""),-0.729928096560272)</f>
        <v>-0.7299280966</v>
      </c>
      <c r="K3495" s="165">
        <f>IFERROR(__xludf.DUMMYFUNCTION("""COMPUTED_VALUE"""),-0.663130707830716)</f>
        <v>-0.6631307078</v>
      </c>
      <c r="L3495" s="165">
        <f>IFERROR(__xludf.DUMMYFUNCTION("""COMPUTED_VALUE"""),-0.0667973887295563)</f>
        <v>-0.06679738873</v>
      </c>
      <c r="M3495" s="166">
        <f t="shared" si="2"/>
        <v>0.03318098721</v>
      </c>
      <c r="N3495" s="167">
        <f t="shared" si="3"/>
        <v>6.320666667</v>
      </c>
      <c r="O3495" s="163">
        <f t="shared" ref="O3495:Q3495" si="3499">rank(I3495,I:I)</f>
        <v>3945</v>
      </c>
      <c r="P3495" s="163">
        <f t="shared" si="3499"/>
        <v>2187</v>
      </c>
      <c r="Q3495" s="163">
        <f t="shared" si="3499"/>
        <v>2356</v>
      </c>
      <c r="R3495" s="163">
        <f>IFERROR(__xludf.DUMMYFUNCTION("RANK(M3495,filter(M:M,C:C=C3495))"),450.0)</f>
        <v>450</v>
      </c>
      <c r="S3495" s="161" t="b">
        <f t="shared" si="5"/>
        <v>0</v>
      </c>
      <c r="T3495" s="161" t="b">
        <f t="array" ref="T3495">index('Query Tool'!B:B,match(H3495,'Query Tool'!C:C,0))</f>
        <v>1</v>
      </c>
      <c r="U3495" s="161" t="b">
        <f t="array" ref="U3495">index('Query Tool'!B:B,match(C3495,'Query Tool'!C:C,0))</f>
        <v>0</v>
      </c>
      <c r="V3495" s="161" t="b">
        <f>F3495&gt;='Query Tool'!C$32</f>
        <v>0</v>
      </c>
      <c r="W3495" s="161" t="b">
        <f t="array" ref="W3495">index(Dropdowns!B:B,match(I3495,Dropdowns!A:A,0))</f>
        <v>1</v>
      </c>
      <c r="X3495" s="161" t="b">
        <f t="array" ref="X3495">index('Query Tool'!B:B,match(D3495,'Query Tool'!C:C,0))</f>
        <v>1</v>
      </c>
      <c r="Y3495" s="161" t="str">
        <f t="shared" si="6"/>
        <v>lecquja01,2019-20</v>
      </c>
      <c r="Z3495" s="168" t="str">
        <f t="array" ref="Z3495">iferror(index(I:I,match($A3495&amp;","&amp;index('Year Conversion'!$A:$A,match($C3495,'Year Conversion'!$B:$B,0)),$Y:$Y,0))-I3495,"")</f>
        <v/>
      </c>
      <c r="AA3495" s="168" t="str">
        <f t="array" ref="AA3495">iferror(index(J:J,match($A3495&amp;","&amp;index('Year Conversion'!$A:$A,match($C3495,'Year Conversion'!$B:$B,0)),$Y:$Y,0))-J3495,"")</f>
        <v/>
      </c>
      <c r="AB3495" s="168" t="str">
        <f t="array" ref="AB3495">iferror(index(K:K,match($A3495&amp;","&amp;index('Year Conversion'!$A:$A,match($C3495,'Year Conversion'!$B:$B,0)),$Y:$Y,0))-K3495,"")</f>
        <v/>
      </c>
      <c r="AC3495" s="168" t="str">
        <f t="shared" si="7"/>
        <v>PHO,2019-20</v>
      </c>
    </row>
    <row r="3496">
      <c r="A3496" s="161" t="str">
        <f>IFERROR(__xludf.DUMMYFUNCTION("""COMPUTED_VALUE"""),"mcdanja01")</f>
        <v>mcdanja01</v>
      </c>
      <c r="B3496" s="161" t="str">
        <f>IFERROR(__xludf.DUMMYFUNCTION("""COMPUTED_VALUE"""),"Jalen McDaniels")</f>
        <v>Jalen McDaniels</v>
      </c>
      <c r="C3496" s="162" t="str">
        <f>IFERROR(__xludf.DUMMYFUNCTION("""COMPUTED_VALUE"""),"2019-20")</f>
        <v>2019-20</v>
      </c>
      <c r="D3496" s="163" t="str">
        <f>IFERROR(__xludf.DUMMYFUNCTION("""COMPUTED_VALUE"""),"CHO")</f>
        <v>CHO</v>
      </c>
      <c r="E3496" s="164" t="str">
        <f>IFERROR(__xludf.DUMMYFUNCTION("""COMPUTED_VALUE"""),"Athletic Finisher")</f>
        <v>Athletic Finisher</v>
      </c>
      <c r="F3496" s="164">
        <f>IFERROR(__xludf.DUMMYFUNCTION("""COMPUTED_VALUE"""),293.321666666667)</f>
        <v>293.3216667</v>
      </c>
      <c r="G3496" s="163">
        <f>IFERROR(__xludf.DUMMYFUNCTION("""COMPUTED_VALUE"""),16.0)</f>
        <v>16</v>
      </c>
      <c r="H3496" s="163" t="str">
        <f>IFERROR(__xludf.DUMMYFUNCTION("""COMPUTED_VALUE"""),"SF")</f>
        <v>SF</v>
      </c>
      <c r="I3496" s="163">
        <f>IFERROR(__xludf.DUMMYFUNCTION("""COMPUTED_VALUE"""),22.0)</f>
        <v>22</v>
      </c>
      <c r="J3496" s="165">
        <f>IFERROR(__xludf.DUMMYFUNCTION("""COMPUTED_VALUE"""),-1.79707596053664)</f>
        <v>-1.797075961</v>
      </c>
      <c r="K3496" s="165">
        <f>IFERROR(__xludf.DUMMYFUNCTION("""COMPUTED_VALUE"""),-1.8657327735065)</f>
        <v>-1.865732774</v>
      </c>
      <c r="L3496" s="165">
        <f>IFERROR(__xludf.DUMMYFUNCTION("""COMPUTED_VALUE"""),0.0686568129698613)</f>
        <v>0.06865681297</v>
      </c>
      <c r="M3496" s="166">
        <f t="shared" si="2"/>
        <v>0.09841024774</v>
      </c>
      <c r="N3496" s="167">
        <f t="shared" si="3"/>
        <v>18.33260417</v>
      </c>
      <c r="O3496" s="163">
        <f t="shared" ref="O3496:Q3496" si="3500">rank(I3496,I:I)</f>
        <v>3178</v>
      </c>
      <c r="P3496" s="163">
        <f t="shared" si="3500"/>
        <v>3327</v>
      </c>
      <c r="Q3496" s="163">
        <f t="shared" si="3500"/>
        <v>3619</v>
      </c>
      <c r="R3496" s="163">
        <f>IFERROR(__xludf.DUMMYFUNCTION("RANK(M3496,filter(M:M,C:C=C3496))"),387.0)</f>
        <v>387</v>
      </c>
      <c r="S3496" s="161" t="b">
        <f t="shared" si="5"/>
        <v>0</v>
      </c>
      <c r="T3496" s="161" t="b">
        <f t="array" ref="T3496">index('Query Tool'!B:B,match(H3496,'Query Tool'!C:C,0))</f>
        <v>1</v>
      </c>
      <c r="U3496" s="161" t="b">
        <f t="array" ref="U3496">index('Query Tool'!B:B,match(C3496,'Query Tool'!C:C,0))</f>
        <v>0</v>
      </c>
      <c r="V3496" s="161" t="b">
        <f>F3496&gt;='Query Tool'!C$32</f>
        <v>0</v>
      </c>
      <c r="W3496" s="161" t="b">
        <f t="array" ref="W3496">index(Dropdowns!B:B,match(I3496,Dropdowns!A:A,0))</f>
        <v>1</v>
      </c>
      <c r="X3496" s="161" t="b">
        <f t="array" ref="X3496">index('Query Tool'!B:B,match(D3496,'Query Tool'!C:C,0))</f>
        <v>1</v>
      </c>
      <c r="Y3496" s="161" t="str">
        <f t="shared" si="6"/>
        <v>mcdanja01,2019-20</v>
      </c>
      <c r="Z3496" s="168" t="str">
        <f t="array" ref="Z3496">iferror(index(I:I,match($A3496&amp;","&amp;index('Year Conversion'!$A:$A,match($C3496,'Year Conversion'!$B:$B,0)),$Y:$Y,0))-I3496,"")</f>
        <v/>
      </c>
      <c r="AA3496" s="168" t="str">
        <f t="array" ref="AA3496">iferror(index(J:J,match($A3496&amp;","&amp;index('Year Conversion'!$A:$A,match($C3496,'Year Conversion'!$B:$B,0)),$Y:$Y,0))-J3496,"")</f>
        <v/>
      </c>
      <c r="AB3496" s="168" t="str">
        <f t="array" ref="AB3496">iferror(index(K:K,match($A3496&amp;","&amp;index('Year Conversion'!$A:$A,match($C3496,'Year Conversion'!$B:$B,0)),$Y:$Y,0))-K3496,"")</f>
        <v/>
      </c>
      <c r="AC3496" s="168" t="str">
        <f t="shared" si="7"/>
        <v>CHO,2019-20</v>
      </c>
    </row>
    <row r="3497">
      <c r="A3497" s="161" t="str">
        <f>IFERROR(__xludf.DUMMYFUNCTION("""COMPUTED_VALUE"""),"norveza01")</f>
        <v>norveza01</v>
      </c>
      <c r="B3497" s="161" t="str">
        <f>IFERROR(__xludf.DUMMYFUNCTION("""COMPUTED_VALUE"""),"Zach Norvell Jr.")</f>
        <v>Zach Norvell Jr.</v>
      </c>
      <c r="C3497" s="162" t="str">
        <f>IFERROR(__xludf.DUMMYFUNCTION("""COMPUTED_VALUE"""),"2019-20")</f>
        <v>2019-20</v>
      </c>
      <c r="D3497" s="163" t="str">
        <f>IFERROR(__xludf.DUMMYFUNCTION("""COMPUTED_VALUE"""),"TOT")</f>
        <v>TOT</v>
      </c>
      <c r="E3497" s="164" t="str">
        <f>IFERROR(__xludf.DUMMYFUNCTION("""COMPUTED_VALUE"""),"Off Screen Shooter")</f>
        <v>Off Screen Shooter</v>
      </c>
      <c r="F3497" s="164">
        <f>IFERROR(__xludf.DUMMYFUNCTION("""COMPUTED_VALUE"""),40.8016666666667)</f>
        <v>40.80166667</v>
      </c>
      <c r="G3497" s="163">
        <f>IFERROR(__xludf.DUMMYFUNCTION("""COMPUTED_VALUE"""),5.0)</f>
        <v>5</v>
      </c>
      <c r="H3497" s="163" t="str">
        <f>IFERROR(__xludf.DUMMYFUNCTION("""COMPUTED_VALUE"""),"SG")</f>
        <v>SG</v>
      </c>
      <c r="I3497" s="163">
        <f>IFERROR(__xludf.DUMMYFUNCTION("""COMPUTED_VALUE"""),22.0)</f>
        <v>22</v>
      </c>
      <c r="J3497" s="165">
        <f>IFERROR(__xludf.DUMMYFUNCTION("""COMPUTED_VALUE"""),-0.643350474058996)</f>
        <v>-0.6433504741</v>
      </c>
      <c r="K3497" s="165">
        <f>IFERROR(__xludf.DUMMYFUNCTION("""COMPUTED_VALUE"""),-0.43492137740726)</f>
        <v>-0.4349213774</v>
      </c>
      <c r="L3497" s="165">
        <f>IFERROR(__xludf.DUMMYFUNCTION("""COMPUTED_VALUE"""),-0.208429096651736)</f>
        <v>-0.2084290967</v>
      </c>
      <c r="M3497" s="166">
        <f t="shared" si="2"/>
        <v>0.04521540941</v>
      </c>
      <c r="N3497" s="167">
        <f t="shared" si="3"/>
        <v>8.160333333</v>
      </c>
      <c r="O3497" s="163">
        <f t="shared" ref="O3497:Q3497" si="3501">rank(I3497,I:I)</f>
        <v>3178</v>
      </c>
      <c r="P3497" s="163">
        <f t="shared" si="3501"/>
        <v>2049</v>
      </c>
      <c r="Q3497" s="163">
        <f t="shared" si="3501"/>
        <v>2009</v>
      </c>
      <c r="R3497" s="163">
        <f>IFERROR(__xludf.DUMMYFUNCTION("RANK(M3497,filter(M:M,C:C=C3497))"),437.0)</f>
        <v>437</v>
      </c>
      <c r="S3497" s="161" t="b">
        <f t="shared" si="5"/>
        <v>0</v>
      </c>
      <c r="T3497" s="161" t="b">
        <f t="array" ref="T3497">index('Query Tool'!B:B,match(H3497,'Query Tool'!C:C,0))</f>
        <v>1</v>
      </c>
      <c r="U3497" s="161" t="b">
        <f t="array" ref="U3497">index('Query Tool'!B:B,match(C3497,'Query Tool'!C:C,0))</f>
        <v>0</v>
      </c>
      <c r="V3497" s="161" t="b">
        <f>F3497&gt;='Query Tool'!C$32</f>
        <v>0</v>
      </c>
      <c r="W3497" s="161" t="b">
        <f t="array" ref="W3497">index(Dropdowns!B:B,match(I3497,Dropdowns!A:A,0))</f>
        <v>1</v>
      </c>
      <c r="X3497" s="161" t="b">
        <f t="array" ref="X3497">index('Query Tool'!B:B,match(D3497,'Query Tool'!C:C,0))</f>
        <v>1</v>
      </c>
      <c r="Y3497" s="161" t="str">
        <f t="shared" si="6"/>
        <v>norveza01,2019-20</v>
      </c>
      <c r="Z3497" s="168" t="str">
        <f t="array" ref="Z3497">iferror(index(I:I,match($A3497&amp;","&amp;index('Year Conversion'!$A:$A,match($C3497,'Year Conversion'!$B:$B,0)),$Y:$Y,0))-I3497,"")</f>
        <v/>
      </c>
      <c r="AA3497" s="168" t="str">
        <f t="array" ref="AA3497">iferror(index(J:J,match($A3497&amp;","&amp;index('Year Conversion'!$A:$A,match($C3497,'Year Conversion'!$B:$B,0)),$Y:$Y,0))-J3497,"")</f>
        <v/>
      </c>
      <c r="AB3497" s="168" t="str">
        <f t="array" ref="AB3497">iferror(index(K:K,match($A3497&amp;","&amp;index('Year Conversion'!$A:$A,match($C3497,'Year Conversion'!$B:$B,0)),$Y:$Y,0))-K3497,"")</f>
        <v/>
      </c>
      <c r="AC3497" s="168" t="str">
        <f t="shared" si="7"/>
        <v>TOT,2019-20</v>
      </c>
    </row>
    <row r="3498">
      <c r="A3498" s="161" t="str">
        <f>IFERROR(__xludf.DUMMYFUNCTION("""COMPUTED_VALUE"""),"nowelja01")</f>
        <v>nowelja01</v>
      </c>
      <c r="B3498" s="161" t="str">
        <f>IFERROR(__xludf.DUMMYFUNCTION("""COMPUTED_VALUE"""),"Jaylen Nowell")</f>
        <v>Jaylen Nowell</v>
      </c>
      <c r="C3498" s="162" t="str">
        <f>IFERROR(__xludf.DUMMYFUNCTION("""COMPUTED_VALUE"""),"2019-20")</f>
        <v>2019-20</v>
      </c>
      <c r="D3498" s="163" t="str">
        <f>IFERROR(__xludf.DUMMYFUNCTION("""COMPUTED_VALUE"""),"MIN")</f>
        <v>MIN</v>
      </c>
      <c r="E3498" s="164" t="str">
        <f>IFERROR(__xludf.DUMMYFUNCTION("""COMPUTED_VALUE"""),"Stationary Shooter")</f>
        <v>Stationary Shooter</v>
      </c>
      <c r="F3498" s="164">
        <f>IFERROR(__xludf.DUMMYFUNCTION("""COMPUTED_VALUE"""),151.201666666667)</f>
        <v>151.2016667</v>
      </c>
      <c r="G3498" s="163">
        <f>IFERROR(__xludf.DUMMYFUNCTION("""COMPUTED_VALUE"""),15.0)</f>
        <v>15</v>
      </c>
      <c r="H3498" s="163" t="str">
        <f>IFERROR(__xludf.DUMMYFUNCTION("""COMPUTED_VALUE"""),"SG")</f>
        <v>SG</v>
      </c>
      <c r="I3498" s="163">
        <f>IFERROR(__xludf.DUMMYFUNCTION("""COMPUTED_VALUE"""),20.0)</f>
        <v>20</v>
      </c>
      <c r="J3498" s="165">
        <f>IFERROR(__xludf.DUMMYFUNCTION("""COMPUTED_VALUE"""),-0.658033671630639)</f>
        <v>-0.6580336716</v>
      </c>
      <c r="K3498" s="165">
        <f>IFERROR(__xludf.DUMMYFUNCTION("""COMPUTED_VALUE"""),-0.1932219089866)</f>
        <v>-0.193221909</v>
      </c>
      <c r="L3498" s="165">
        <f>IFERROR(__xludf.DUMMYFUNCTION("""COMPUTED_VALUE"""),-0.464811762644039)</f>
        <v>-0.4648117626</v>
      </c>
      <c r="M3498" s="166">
        <f t="shared" si="2"/>
        <v>0.1660638434</v>
      </c>
      <c r="N3498" s="167">
        <f t="shared" si="3"/>
        <v>10.08011111</v>
      </c>
      <c r="O3498" s="163">
        <f t="shared" ref="O3498:Q3498" si="3502">rank(I3498,I:I)</f>
        <v>3770</v>
      </c>
      <c r="P3498" s="163">
        <f t="shared" si="3502"/>
        <v>2074</v>
      </c>
      <c r="Q3498" s="163">
        <f t="shared" si="3502"/>
        <v>1553</v>
      </c>
      <c r="R3498" s="163">
        <f>IFERROR(__xludf.DUMMYFUNCTION("RANK(M3498,filter(M:M,C:C=C3498))"),350.0)</f>
        <v>350</v>
      </c>
      <c r="S3498" s="161" t="b">
        <f t="shared" si="5"/>
        <v>0</v>
      </c>
      <c r="T3498" s="161" t="b">
        <f t="array" ref="T3498">index('Query Tool'!B:B,match(H3498,'Query Tool'!C:C,0))</f>
        <v>1</v>
      </c>
      <c r="U3498" s="161" t="b">
        <f t="array" ref="U3498">index('Query Tool'!B:B,match(C3498,'Query Tool'!C:C,0))</f>
        <v>0</v>
      </c>
      <c r="V3498" s="161" t="b">
        <f>F3498&gt;='Query Tool'!C$32</f>
        <v>0</v>
      </c>
      <c r="W3498" s="161" t="b">
        <f t="array" ref="W3498">index(Dropdowns!B:B,match(I3498,Dropdowns!A:A,0))</f>
        <v>1</v>
      </c>
      <c r="X3498" s="161" t="b">
        <f t="array" ref="X3498">index('Query Tool'!B:B,match(D3498,'Query Tool'!C:C,0))</f>
        <v>1</v>
      </c>
      <c r="Y3498" s="161" t="str">
        <f t="shared" si="6"/>
        <v>nowelja01,2019-20</v>
      </c>
      <c r="Z3498" s="168" t="str">
        <f t="array" ref="Z3498">iferror(index(I:I,match($A3498&amp;","&amp;index('Year Conversion'!$A:$A,match($C3498,'Year Conversion'!$B:$B,0)),$Y:$Y,0))-I3498,"")</f>
        <v/>
      </c>
      <c r="AA3498" s="168" t="str">
        <f t="array" ref="AA3498">iferror(index(J:J,match($A3498&amp;","&amp;index('Year Conversion'!$A:$A,match($C3498,'Year Conversion'!$B:$B,0)),$Y:$Y,0))-J3498,"")</f>
        <v/>
      </c>
      <c r="AB3498" s="168" t="str">
        <f t="array" ref="AB3498">iferror(index(K:K,match($A3498&amp;","&amp;index('Year Conversion'!$A:$A,match($C3498,'Year Conversion'!$B:$B,0)),$Y:$Y,0))-K3498,"")</f>
        <v/>
      </c>
      <c r="AC3498" s="168" t="str">
        <f t="shared" si="7"/>
        <v>MIN,2019-20</v>
      </c>
    </row>
    <row r="3499">
      <c r="A3499" s="161" t="str">
        <f>IFERROR(__xludf.DUMMYFUNCTION("""COMPUTED_VALUE"""),"onimi01")</f>
        <v>onimi01</v>
      </c>
      <c r="B3499" s="161" t="str">
        <f>IFERROR(__xludf.DUMMYFUNCTION("""COMPUTED_VALUE"""),"Miye Oni")</f>
        <v>Miye Oni</v>
      </c>
      <c r="C3499" s="162" t="str">
        <f>IFERROR(__xludf.DUMMYFUNCTION("""COMPUTED_VALUE"""),"2019-20")</f>
        <v>2019-20</v>
      </c>
      <c r="D3499" s="163" t="str">
        <f>IFERROR(__xludf.DUMMYFUNCTION("""COMPUTED_VALUE"""),"UTA")</f>
        <v>UTA</v>
      </c>
      <c r="E3499" s="164" t="str">
        <f>IFERROR(__xludf.DUMMYFUNCTION("""COMPUTED_VALUE"""),"Stationary Shooter")</f>
        <v>Stationary Shooter</v>
      </c>
      <c r="F3499" s="164">
        <f>IFERROR(__xludf.DUMMYFUNCTION("""COMPUTED_VALUE"""),109.075)</f>
        <v>109.075</v>
      </c>
      <c r="G3499" s="163">
        <f>IFERROR(__xludf.DUMMYFUNCTION("""COMPUTED_VALUE"""),10.0)</f>
        <v>10</v>
      </c>
      <c r="H3499" s="163" t="str">
        <f>IFERROR(__xludf.DUMMYFUNCTION("""COMPUTED_VALUE"""),"SF")</f>
        <v>SF</v>
      </c>
      <c r="I3499" s="163">
        <f>IFERROR(__xludf.DUMMYFUNCTION("""COMPUTED_VALUE"""),22.0)</f>
        <v>22</v>
      </c>
      <c r="J3499" s="165">
        <f>IFERROR(__xludf.DUMMYFUNCTION("""COMPUTED_VALUE"""),-0.982660677350884)</f>
        <v>-0.9826606774</v>
      </c>
      <c r="K3499" s="165">
        <f>IFERROR(__xludf.DUMMYFUNCTION("""COMPUTED_VALUE"""),-0.4532285388823)</f>
        <v>-0.4532285389</v>
      </c>
      <c r="L3499" s="165">
        <f>IFERROR(__xludf.DUMMYFUNCTION("""COMPUTED_VALUE"""),-0.529432138468585)</f>
        <v>-0.5294321385</v>
      </c>
      <c r="M3499" s="166">
        <f t="shared" si="2"/>
        <v>0.09599190235</v>
      </c>
      <c r="N3499" s="167">
        <f t="shared" si="3"/>
        <v>10.9075</v>
      </c>
      <c r="O3499" s="163">
        <f t="shared" ref="O3499:Q3499" si="3503">rank(I3499,I:I)</f>
        <v>3178</v>
      </c>
      <c r="P3499" s="163">
        <f t="shared" si="3503"/>
        <v>2486</v>
      </c>
      <c r="Q3499" s="163">
        <f t="shared" si="3503"/>
        <v>2039</v>
      </c>
      <c r="R3499" s="163">
        <f>IFERROR(__xludf.DUMMYFUNCTION("RANK(M3499,filter(M:M,C:C=C3499))"),390.0)</f>
        <v>390</v>
      </c>
      <c r="S3499" s="161" t="b">
        <f t="shared" si="5"/>
        <v>0</v>
      </c>
      <c r="T3499" s="161" t="b">
        <f t="array" ref="T3499">index('Query Tool'!B:B,match(H3499,'Query Tool'!C:C,0))</f>
        <v>1</v>
      </c>
      <c r="U3499" s="161" t="b">
        <f t="array" ref="U3499">index('Query Tool'!B:B,match(C3499,'Query Tool'!C:C,0))</f>
        <v>0</v>
      </c>
      <c r="V3499" s="161" t="b">
        <f>F3499&gt;='Query Tool'!C$32</f>
        <v>0</v>
      </c>
      <c r="W3499" s="161" t="b">
        <f t="array" ref="W3499">index(Dropdowns!B:B,match(I3499,Dropdowns!A:A,0))</f>
        <v>1</v>
      </c>
      <c r="X3499" s="161" t="b">
        <f t="array" ref="X3499">index('Query Tool'!B:B,match(D3499,'Query Tool'!C:C,0))</f>
        <v>1</v>
      </c>
      <c r="Y3499" s="161" t="str">
        <f t="shared" si="6"/>
        <v>onimi01,2019-20</v>
      </c>
      <c r="Z3499" s="168" t="str">
        <f t="array" ref="Z3499">iferror(index(I:I,match($A3499&amp;","&amp;index('Year Conversion'!$A:$A,match($C3499,'Year Conversion'!$B:$B,0)),$Y:$Y,0))-I3499,"")</f>
        <v/>
      </c>
      <c r="AA3499" s="168" t="str">
        <f t="array" ref="AA3499">iferror(index(J:J,match($A3499&amp;","&amp;index('Year Conversion'!$A:$A,match($C3499,'Year Conversion'!$B:$B,0)),$Y:$Y,0))-J3499,"")</f>
        <v/>
      </c>
      <c r="AB3499" s="168" t="str">
        <f t="array" ref="AB3499">iferror(index(K:K,match($A3499&amp;","&amp;index('Year Conversion'!$A:$A,match($C3499,'Year Conversion'!$B:$B,0)),$Y:$Y,0))-K3499,"")</f>
        <v/>
      </c>
      <c r="AC3499" s="168" t="str">
        <f t="shared" si="7"/>
        <v>UTA,2019-20</v>
      </c>
    </row>
    <row r="3500">
      <c r="A3500" s="161" t="str">
        <f>IFERROR(__xludf.DUMMYFUNCTION("""COMPUTED_VALUE"""),"pascher01")</f>
        <v>pascher01</v>
      </c>
      <c r="B3500" s="161" t="str">
        <f>IFERROR(__xludf.DUMMYFUNCTION("""COMPUTED_VALUE"""),"Eric Paschall")</f>
        <v>Eric Paschall</v>
      </c>
      <c r="C3500" s="162" t="str">
        <f>IFERROR(__xludf.DUMMYFUNCTION("""COMPUTED_VALUE"""),"2019-20")</f>
        <v>2019-20</v>
      </c>
      <c r="D3500" s="163" t="str">
        <f>IFERROR(__xludf.DUMMYFUNCTION("""COMPUTED_VALUE"""),"GSW")</f>
        <v>GSW</v>
      </c>
      <c r="E3500" s="164" t="str">
        <f>IFERROR(__xludf.DUMMYFUNCTION("""COMPUTED_VALUE"""),"Shot Creator")</f>
        <v>Shot Creator</v>
      </c>
      <c r="F3500" s="164">
        <f>IFERROR(__xludf.DUMMYFUNCTION("""COMPUTED_VALUE"""),1653.795)</f>
        <v>1653.795</v>
      </c>
      <c r="G3500" s="163">
        <f>IFERROR(__xludf.DUMMYFUNCTION("""COMPUTED_VALUE"""),60.0)</f>
        <v>60</v>
      </c>
      <c r="H3500" s="163" t="str">
        <f>IFERROR(__xludf.DUMMYFUNCTION("""COMPUTED_VALUE"""),"PF")</f>
        <v>PF</v>
      </c>
      <c r="I3500" s="163">
        <f>IFERROR(__xludf.DUMMYFUNCTION("""COMPUTED_VALUE"""),23.0)</f>
        <v>23</v>
      </c>
      <c r="J3500" s="165">
        <f>IFERROR(__xludf.DUMMYFUNCTION("""COMPUTED_VALUE"""),-2.36881218669577)</f>
        <v>-2.368812187</v>
      </c>
      <c r="K3500" s="165">
        <f>IFERROR(__xludf.DUMMYFUNCTION("""COMPUTED_VALUE"""),-0.966170077134573)</f>
        <v>-0.9661700771</v>
      </c>
      <c r="L3500" s="165">
        <f>IFERROR(__xludf.DUMMYFUNCTION("""COMPUTED_VALUE"""),-1.4026421095612)</f>
        <v>-1.40264211</v>
      </c>
      <c r="M3500" s="166">
        <f t="shared" si="2"/>
        <v>-0.07116035378</v>
      </c>
      <c r="N3500" s="167">
        <f t="shared" si="3"/>
        <v>27.56325</v>
      </c>
      <c r="O3500" s="163">
        <f t="shared" ref="O3500:Q3500" si="3504">rank(I3500,I:I)</f>
        <v>2765</v>
      </c>
      <c r="P3500" s="163">
        <f t="shared" si="3504"/>
        <v>3692</v>
      </c>
      <c r="Q3500" s="163">
        <f t="shared" si="3504"/>
        <v>2764</v>
      </c>
      <c r="R3500" s="163">
        <f>IFERROR(__xludf.DUMMYFUNCTION("RANK(M3500,filter(M:M,C:C=C3500))"),494.0)</f>
        <v>494</v>
      </c>
      <c r="S3500" s="161" t="b">
        <f t="shared" si="5"/>
        <v>0</v>
      </c>
      <c r="T3500" s="161" t="b">
        <f t="array" ref="T3500">index('Query Tool'!B:B,match(H3500,'Query Tool'!C:C,0))</f>
        <v>1</v>
      </c>
      <c r="U3500" s="161" t="b">
        <f t="array" ref="U3500">index('Query Tool'!B:B,match(C3500,'Query Tool'!C:C,0))</f>
        <v>0</v>
      </c>
      <c r="V3500" s="161" t="b">
        <f>F3500&gt;='Query Tool'!C$32</f>
        <v>1</v>
      </c>
      <c r="W3500" s="161" t="b">
        <f t="array" ref="W3500">index(Dropdowns!B:B,match(I3500,Dropdowns!A:A,0))</f>
        <v>1</v>
      </c>
      <c r="X3500" s="161" t="b">
        <f t="array" ref="X3500">index('Query Tool'!B:B,match(D3500,'Query Tool'!C:C,0))</f>
        <v>1</v>
      </c>
      <c r="Y3500" s="161" t="str">
        <f t="shared" si="6"/>
        <v>pascher01,2019-20</v>
      </c>
      <c r="Z3500" s="168" t="str">
        <f t="array" ref="Z3500">iferror(index(I:I,match($A3500&amp;","&amp;index('Year Conversion'!$A:$A,match($C3500,'Year Conversion'!$B:$B,0)),$Y:$Y,0))-I3500,"")</f>
        <v/>
      </c>
      <c r="AA3500" s="168" t="str">
        <f t="array" ref="AA3500">iferror(index(J:J,match($A3500&amp;","&amp;index('Year Conversion'!$A:$A,match($C3500,'Year Conversion'!$B:$B,0)),$Y:$Y,0))-J3500,"")</f>
        <v/>
      </c>
      <c r="AB3500" s="168" t="str">
        <f t="array" ref="AB3500">iferror(index(K:K,match($A3500&amp;","&amp;index('Year Conversion'!$A:$A,match($C3500,'Year Conversion'!$B:$B,0)),$Y:$Y,0))-K3500,"")</f>
        <v/>
      </c>
      <c r="AC3500" s="168" t="str">
        <f t="shared" si="7"/>
        <v>GSW,2019-20</v>
      </c>
    </row>
    <row r="3501">
      <c r="A3501" s="161" t="str">
        <f>IFERROR(__xludf.DUMMYFUNCTION("""COMPUTED_VALUE"""),"poolejo01")</f>
        <v>poolejo01</v>
      </c>
      <c r="B3501" s="161" t="str">
        <f>IFERROR(__xludf.DUMMYFUNCTION("""COMPUTED_VALUE"""),"Jordan Poole")</f>
        <v>Jordan Poole</v>
      </c>
      <c r="C3501" s="162" t="str">
        <f>IFERROR(__xludf.DUMMYFUNCTION("""COMPUTED_VALUE"""),"2019-20")</f>
        <v>2019-20</v>
      </c>
      <c r="D3501" s="163" t="str">
        <f>IFERROR(__xludf.DUMMYFUNCTION("""COMPUTED_VALUE"""),"GSW")</f>
        <v>GSW</v>
      </c>
      <c r="E3501" s="164" t="str">
        <f>IFERROR(__xludf.DUMMYFUNCTION("""COMPUTED_VALUE"""),"Secondary Ball Handler")</f>
        <v>Secondary Ball Handler</v>
      </c>
      <c r="F3501" s="164">
        <f>IFERROR(__xludf.DUMMYFUNCTION("""COMPUTED_VALUE"""),1273.89)</f>
        <v>1273.89</v>
      </c>
      <c r="G3501" s="163">
        <f>IFERROR(__xludf.DUMMYFUNCTION("""COMPUTED_VALUE"""),57.0)</f>
        <v>57</v>
      </c>
      <c r="H3501" s="163" t="str">
        <f>IFERROR(__xludf.DUMMYFUNCTION("""COMPUTED_VALUE"""),"SG")</f>
        <v>SG</v>
      </c>
      <c r="I3501" s="163">
        <f>IFERROR(__xludf.DUMMYFUNCTION("""COMPUTED_VALUE"""),20.0)</f>
        <v>20</v>
      </c>
      <c r="J3501" s="165">
        <f>IFERROR(__xludf.DUMMYFUNCTION("""COMPUTED_VALUE"""),-3.74928817659729)</f>
        <v>-3.749288177</v>
      </c>
      <c r="K3501" s="165">
        <f>IFERROR(__xludf.DUMMYFUNCTION("""COMPUTED_VALUE"""),-2.70894443534481)</f>
        <v>-2.708944435</v>
      </c>
      <c r="L3501" s="165">
        <f>IFERROR(__xludf.DUMMYFUNCTION("""COMPUTED_VALUE"""),-1.04034374125247)</f>
        <v>-1.040343741</v>
      </c>
      <c r="M3501" s="166">
        <f t="shared" si="2"/>
        <v>-1.194693592</v>
      </c>
      <c r="N3501" s="167">
        <f t="shared" si="3"/>
        <v>22.34894737</v>
      </c>
      <c r="O3501" s="163">
        <f t="shared" ref="O3501:Q3501" si="3505">rank(I3501,I:I)</f>
        <v>3770</v>
      </c>
      <c r="P3501" s="163">
        <f t="shared" si="3505"/>
        <v>3988</v>
      </c>
      <c r="Q3501" s="163">
        <f t="shared" si="3505"/>
        <v>3935</v>
      </c>
      <c r="R3501" s="163">
        <f>IFERROR(__xludf.DUMMYFUNCTION("RANK(M3501,filter(M:M,C:C=C3501))"),527.0)</f>
        <v>527</v>
      </c>
      <c r="S3501" s="161" t="b">
        <f t="shared" si="5"/>
        <v>0</v>
      </c>
      <c r="T3501" s="161" t="b">
        <f t="array" ref="T3501">index('Query Tool'!B:B,match(H3501,'Query Tool'!C:C,0))</f>
        <v>1</v>
      </c>
      <c r="U3501" s="161" t="b">
        <f t="array" ref="U3501">index('Query Tool'!B:B,match(C3501,'Query Tool'!C:C,0))</f>
        <v>0</v>
      </c>
      <c r="V3501" s="161" t="b">
        <f>F3501&gt;='Query Tool'!C$32</f>
        <v>1</v>
      </c>
      <c r="W3501" s="161" t="b">
        <f t="array" ref="W3501">index(Dropdowns!B:B,match(I3501,Dropdowns!A:A,0))</f>
        <v>1</v>
      </c>
      <c r="X3501" s="161" t="b">
        <f t="array" ref="X3501">index('Query Tool'!B:B,match(D3501,'Query Tool'!C:C,0))</f>
        <v>1</v>
      </c>
      <c r="Y3501" s="161" t="str">
        <f t="shared" si="6"/>
        <v>poolejo01,2019-20</v>
      </c>
      <c r="Z3501" s="168" t="str">
        <f t="array" ref="Z3501">iferror(index(I:I,match($A3501&amp;","&amp;index('Year Conversion'!$A:$A,match($C3501,'Year Conversion'!$B:$B,0)),$Y:$Y,0))-I3501,"")</f>
        <v/>
      </c>
      <c r="AA3501" s="168" t="str">
        <f t="array" ref="AA3501">iferror(index(J:J,match($A3501&amp;","&amp;index('Year Conversion'!$A:$A,match($C3501,'Year Conversion'!$B:$B,0)),$Y:$Y,0))-J3501,"")</f>
        <v/>
      </c>
      <c r="AB3501" s="168" t="str">
        <f t="array" ref="AB3501">iferror(index(K:K,match($A3501&amp;","&amp;index('Year Conversion'!$A:$A,match($C3501,'Year Conversion'!$B:$B,0)),$Y:$Y,0))-K3501,"")</f>
        <v/>
      </c>
      <c r="AC3501" s="168" t="str">
        <f t="shared" si="7"/>
        <v>GSW,2019-20</v>
      </c>
    </row>
    <row r="3502">
      <c r="A3502" s="161" t="str">
        <f>IFERROR(__xludf.DUMMYFUNCTION("""COMPUTED_VALUE"""),"reidna01")</f>
        <v>reidna01</v>
      </c>
      <c r="B3502" s="161" t="str">
        <f>IFERROR(__xludf.DUMMYFUNCTION("""COMPUTED_VALUE"""),"Naz Reid")</f>
        <v>Naz Reid</v>
      </c>
      <c r="C3502" s="162" t="str">
        <f>IFERROR(__xludf.DUMMYFUNCTION("""COMPUTED_VALUE"""),"2019-20")</f>
        <v>2019-20</v>
      </c>
      <c r="D3502" s="163" t="str">
        <f>IFERROR(__xludf.DUMMYFUNCTION("""COMPUTED_VALUE"""),"MIN")</f>
        <v>MIN</v>
      </c>
      <c r="E3502" s="164" t="str">
        <f>IFERROR(__xludf.DUMMYFUNCTION("""COMPUTED_VALUE"""),"Stretch Big")</f>
        <v>Stretch Big</v>
      </c>
      <c r="F3502" s="164">
        <f>IFERROR(__xludf.DUMMYFUNCTION("""COMPUTED_VALUE"""),495.463333333333)</f>
        <v>495.4633333</v>
      </c>
      <c r="G3502" s="163">
        <f>IFERROR(__xludf.DUMMYFUNCTION("""COMPUTED_VALUE"""),30.0)</f>
        <v>30</v>
      </c>
      <c r="H3502" s="163" t="str">
        <f>IFERROR(__xludf.DUMMYFUNCTION("""COMPUTED_VALUE"""),"C")</f>
        <v>C</v>
      </c>
      <c r="I3502" s="163">
        <f>IFERROR(__xludf.DUMMYFUNCTION("""COMPUTED_VALUE"""),20.0)</f>
        <v>20</v>
      </c>
      <c r="J3502" s="165">
        <f>IFERROR(__xludf.DUMMYFUNCTION("""COMPUTED_VALUE"""),-0.0268602225969111)</f>
        <v>-0.0268602226</v>
      </c>
      <c r="K3502" s="165">
        <f>IFERROR(__xludf.DUMMYFUNCTION("""COMPUTED_VALUE"""),-0.13767928511515)</f>
        <v>-0.1376792851</v>
      </c>
      <c r="L3502" s="165">
        <f>IFERROR(__xludf.DUMMYFUNCTION("""COMPUTED_VALUE"""),0.110819062518239)</f>
        <v>0.1108190625</v>
      </c>
      <c r="M3502" s="166">
        <f t="shared" si="2"/>
        <v>0.7548670243</v>
      </c>
      <c r="N3502" s="167">
        <f t="shared" si="3"/>
        <v>16.51544444</v>
      </c>
      <c r="O3502" s="163">
        <f t="shared" ref="O3502:Q3502" si="3506">rank(I3502,I:I)</f>
        <v>3770</v>
      </c>
      <c r="P3502" s="163">
        <f t="shared" si="3506"/>
        <v>1311</v>
      </c>
      <c r="Q3502" s="163">
        <f t="shared" si="3506"/>
        <v>1457</v>
      </c>
      <c r="R3502" s="163">
        <f>IFERROR(__xludf.DUMMYFUNCTION("RANK(M3502,filter(M:M,C:C=C3502))"),229.0)</f>
        <v>229</v>
      </c>
      <c r="S3502" s="161" t="b">
        <f t="shared" si="5"/>
        <v>0</v>
      </c>
      <c r="T3502" s="161" t="b">
        <f t="array" ref="T3502">index('Query Tool'!B:B,match(H3502,'Query Tool'!C:C,0))</f>
        <v>1</v>
      </c>
      <c r="U3502" s="161" t="b">
        <f t="array" ref="U3502">index('Query Tool'!B:B,match(C3502,'Query Tool'!C:C,0))</f>
        <v>0</v>
      </c>
      <c r="V3502" s="161" t="b">
        <f>F3502&gt;='Query Tool'!C$32</f>
        <v>0</v>
      </c>
      <c r="W3502" s="161" t="b">
        <f t="array" ref="W3502">index(Dropdowns!B:B,match(I3502,Dropdowns!A:A,0))</f>
        <v>1</v>
      </c>
      <c r="X3502" s="161" t="b">
        <f t="array" ref="X3502">index('Query Tool'!B:B,match(D3502,'Query Tool'!C:C,0))</f>
        <v>1</v>
      </c>
      <c r="Y3502" s="161" t="str">
        <f t="shared" si="6"/>
        <v>reidna01,2019-20</v>
      </c>
      <c r="Z3502" s="168" t="str">
        <f t="array" ref="Z3502">iferror(index(I:I,match($A3502&amp;","&amp;index('Year Conversion'!$A:$A,match($C3502,'Year Conversion'!$B:$B,0)),$Y:$Y,0))-I3502,"")</f>
        <v/>
      </c>
      <c r="AA3502" s="168" t="str">
        <f t="array" ref="AA3502">iferror(index(J:J,match($A3502&amp;","&amp;index('Year Conversion'!$A:$A,match($C3502,'Year Conversion'!$B:$B,0)),$Y:$Y,0))-J3502,"")</f>
        <v/>
      </c>
      <c r="AB3502" s="168" t="str">
        <f t="array" ref="AB3502">iferror(index(K:K,match($A3502&amp;","&amp;index('Year Conversion'!$A:$A,match($C3502,'Year Conversion'!$B:$B,0)),$Y:$Y,0))-K3502,"")</f>
        <v/>
      </c>
      <c r="AC3502" s="168" t="str">
        <f t="shared" si="7"/>
        <v>MIN,2019-20</v>
      </c>
    </row>
    <row r="3503">
      <c r="A3503" s="161" t="str">
        <f>IFERROR(__xludf.DUMMYFUNCTION("""COMPUTED_VALUE"""),"robyis01")</f>
        <v>robyis01</v>
      </c>
      <c r="B3503" s="161" t="str">
        <f>IFERROR(__xludf.DUMMYFUNCTION("""COMPUTED_VALUE"""),"Isaiah Roby")</f>
        <v>Isaiah Roby</v>
      </c>
      <c r="C3503" s="162" t="str">
        <f>IFERROR(__xludf.DUMMYFUNCTION("""COMPUTED_VALUE"""),"2019-20")</f>
        <v>2019-20</v>
      </c>
      <c r="D3503" s="163" t="str">
        <f>IFERROR(__xludf.DUMMYFUNCTION("""COMPUTED_VALUE"""),"OKC")</f>
        <v>OKC</v>
      </c>
      <c r="E3503" s="164" t="str">
        <f>IFERROR(__xludf.DUMMYFUNCTION("""COMPUTED_VALUE"""),"Athletic Finisher")</f>
        <v>Athletic Finisher</v>
      </c>
      <c r="F3503" s="164">
        <f>IFERROR(__xludf.DUMMYFUNCTION("""COMPUTED_VALUE"""),11.4)</f>
        <v>11.4</v>
      </c>
      <c r="G3503" s="163">
        <f>IFERROR(__xludf.DUMMYFUNCTION("""COMPUTED_VALUE"""),3.0)</f>
        <v>3</v>
      </c>
      <c r="H3503" s="163" t="str">
        <f>IFERROR(__xludf.DUMMYFUNCTION("""COMPUTED_VALUE"""),"PF")</f>
        <v>PF</v>
      </c>
      <c r="I3503" s="163">
        <f>IFERROR(__xludf.DUMMYFUNCTION("""COMPUTED_VALUE"""),21.0)</f>
        <v>21</v>
      </c>
      <c r="J3503" s="165">
        <f>IFERROR(__xludf.DUMMYFUNCTION("""COMPUTED_VALUE"""),-0.666908784757695)</f>
        <v>-0.6669087848</v>
      </c>
      <c r="K3503" s="165">
        <f>IFERROR(__xludf.DUMMYFUNCTION("""COMPUTED_VALUE"""),-0.271997134127196)</f>
        <v>-0.2719971341</v>
      </c>
      <c r="L3503" s="165">
        <f>IFERROR(__xludf.DUMMYFUNCTION("""COMPUTED_VALUE"""),-0.394911650630499)</f>
        <v>-0.3949116506</v>
      </c>
      <c r="M3503" s="166">
        <f t="shared" si="2"/>
        <v>0.01245246118</v>
      </c>
      <c r="N3503" s="167">
        <f t="shared" si="3"/>
        <v>3.8</v>
      </c>
      <c r="O3503" s="163">
        <f t="shared" ref="O3503:Q3503" si="3507">rank(I3503,I:I)</f>
        <v>3528</v>
      </c>
      <c r="P3503" s="163">
        <f t="shared" si="3507"/>
        <v>2089</v>
      </c>
      <c r="Q3503" s="163">
        <f t="shared" si="3507"/>
        <v>1707</v>
      </c>
      <c r="R3503" s="163">
        <f>IFERROR(__xludf.DUMMYFUNCTION("RANK(M3503,filter(M:M,C:C=C3503))"),471.0)</f>
        <v>471</v>
      </c>
      <c r="S3503" s="161" t="b">
        <f t="shared" si="5"/>
        <v>0</v>
      </c>
      <c r="T3503" s="161" t="b">
        <f t="array" ref="T3503">index('Query Tool'!B:B,match(H3503,'Query Tool'!C:C,0))</f>
        <v>1</v>
      </c>
      <c r="U3503" s="161" t="b">
        <f t="array" ref="U3503">index('Query Tool'!B:B,match(C3503,'Query Tool'!C:C,0))</f>
        <v>0</v>
      </c>
      <c r="V3503" s="161" t="b">
        <f>F3503&gt;='Query Tool'!C$32</f>
        <v>0</v>
      </c>
      <c r="W3503" s="161" t="b">
        <f t="array" ref="W3503">index(Dropdowns!B:B,match(I3503,Dropdowns!A:A,0))</f>
        <v>1</v>
      </c>
      <c r="X3503" s="161" t="b">
        <f t="array" ref="X3503">index('Query Tool'!B:B,match(D3503,'Query Tool'!C:C,0))</f>
        <v>1</v>
      </c>
      <c r="Y3503" s="161" t="str">
        <f t="shared" si="6"/>
        <v>robyis01,2019-20</v>
      </c>
      <c r="Z3503" s="168" t="str">
        <f t="array" ref="Z3503">iferror(index(I:I,match($A3503&amp;","&amp;index('Year Conversion'!$A:$A,match($C3503,'Year Conversion'!$B:$B,0)),$Y:$Y,0))-I3503,"")</f>
        <v/>
      </c>
      <c r="AA3503" s="168" t="str">
        <f t="array" ref="AA3503">iferror(index(J:J,match($A3503&amp;","&amp;index('Year Conversion'!$A:$A,match($C3503,'Year Conversion'!$B:$B,0)),$Y:$Y,0))-J3503,"")</f>
        <v/>
      </c>
      <c r="AB3503" s="168" t="str">
        <f t="array" ref="AB3503">iferror(index(K:K,match($A3503&amp;","&amp;index('Year Conversion'!$A:$A,match($C3503,'Year Conversion'!$B:$B,0)),$Y:$Y,0))-K3503,"")</f>
        <v/>
      </c>
      <c r="AC3503" s="168" t="str">
        <f t="shared" si="7"/>
        <v>OKC,2019-20</v>
      </c>
    </row>
    <row r="3504">
      <c r="A3504" s="161" t="str">
        <f>IFERROR(__xludf.DUMMYFUNCTION("""COMPUTED_VALUE"""),"samanlu01")</f>
        <v>samanlu01</v>
      </c>
      <c r="B3504" s="161" t="str">
        <f>IFERROR(__xludf.DUMMYFUNCTION("""COMPUTED_VALUE"""),"Luka Samanic")</f>
        <v>Luka Samanic</v>
      </c>
      <c r="C3504" s="162" t="str">
        <f>IFERROR(__xludf.DUMMYFUNCTION("""COMPUTED_VALUE"""),"2019-20")</f>
        <v>2019-20</v>
      </c>
      <c r="D3504" s="163" t="str">
        <f>IFERROR(__xludf.DUMMYFUNCTION("""COMPUTED_VALUE"""),"SAS")</f>
        <v>SAS</v>
      </c>
      <c r="E3504" s="164" t="str">
        <f>IFERROR(__xludf.DUMMYFUNCTION("""COMPUTED_VALUE"""),"Movement Shooter")</f>
        <v>Movement Shooter</v>
      </c>
      <c r="F3504" s="164">
        <f>IFERROR(__xludf.DUMMYFUNCTION("""COMPUTED_VALUE"""),48.4166666666667)</f>
        <v>48.41666667</v>
      </c>
      <c r="G3504" s="163">
        <f>IFERROR(__xludf.DUMMYFUNCTION("""COMPUTED_VALUE"""),3.0)</f>
        <v>3</v>
      </c>
      <c r="H3504" s="163" t="str">
        <f>IFERROR(__xludf.DUMMYFUNCTION("""COMPUTED_VALUE"""),"PF")</f>
        <v>PF</v>
      </c>
      <c r="I3504" s="163">
        <f>IFERROR(__xludf.DUMMYFUNCTION("""COMPUTED_VALUE"""),20.0)</f>
        <v>20</v>
      </c>
      <c r="J3504" s="165">
        <f>IFERROR(__xludf.DUMMYFUNCTION("""COMPUTED_VALUE"""),-0.277778142696353)</f>
        <v>-0.2777781427</v>
      </c>
      <c r="K3504" s="165">
        <f>IFERROR(__xludf.DUMMYFUNCTION("""COMPUTED_VALUE"""),-0.223685333786334)</f>
        <v>-0.2236853338</v>
      </c>
      <c r="L3504" s="165">
        <f>IFERROR(__xludf.DUMMYFUNCTION("""COMPUTED_VALUE"""),-0.0540928089100199)</f>
        <v>-0.05409280891</v>
      </c>
      <c r="M3504" s="166">
        <f t="shared" si="2"/>
        <v>0.06557609223</v>
      </c>
      <c r="N3504" s="167">
        <f t="shared" si="3"/>
        <v>16.13888889</v>
      </c>
      <c r="O3504" s="163">
        <f t="shared" ref="O3504:Q3504" si="3508">rank(I3504,I:I)</f>
        <v>3770</v>
      </c>
      <c r="P3504" s="163">
        <f t="shared" si="3508"/>
        <v>1587</v>
      </c>
      <c r="Q3504" s="163">
        <f t="shared" si="3508"/>
        <v>1604</v>
      </c>
      <c r="R3504" s="163">
        <f>IFERROR(__xludf.DUMMYFUNCTION("RANK(M3504,filter(M:M,C:C=C3504))"),414.0)</f>
        <v>414</v>
      </c>
      <c r="S3504" s="161" t="b">
        <f t="shared" si="5"/>
        <v>0</v>
      </c>
      <c r="T3504" s="161" t="b">
        <f t="array" ref="T3504">index('Query Tool'!B:B,match(H3504,'Query Tool'!C:C,0))</f>
        <v>1</v>
      </c>
      <c r="U3504" s="161" t="b">
        <f t="array" ref="U3504">index('Query Tool'!B:B,match(C3504,'Query Tool'!C:C,0))</f>
        <v>0</v>
      </c>
      <c r="V3504" s="161" t="b">
        <f>F3504&gt;='Query Tool'!C$32</f>
        <v>0</v>
      </c>
      <c r="W3504" s="161" t="b">
        <f t="array" ref="W3504">index(Dropdowns!B:B,match(I3504,Dropdowns!A:A,0))</f>
        <v>1</v>
      </c>
      <c r="X3504" s="161" t="b">
        <f t="array" ref="X3504">index('Query Tool'!B:B,match(D3504,'Query Tool'!C:C,0))</f>
        <v>1</v>
      </c>
      <c r="Y3504" s="161" t="str">
        <f t="shared" si="6"/>
        <v>samanlu01,2019-20</v>
      </c>
      <c r="Z3504" s="168" t="str">
        <f t="array" ref="Z3504">iferror(index(I:I,match($A3504&amp;","&amp;index('Year Conversion'!$A:$A,match($C3504,'Year Conversion'!$B:$B,0)),$Y:$Y,0))-I3504,"")</f>
        <v/>
      </c>
      <c r="AA3504" s="168" t="str">
        <f t="array" ref="AA3504">iferror(index(J:J,match($A3504&amp;","&amp;index('Year Conversion'!$A:$A,match($C3504,'Year Conversion'!$B:$B,0)),$Y:$Y,0))-J3504,"")</f>
        <v/>
      </c>
      <c r="AB3504" s="168" t="str">
        <f t="array" ref="AB3504">iferror(index(K:K,match($A3504&amp;","&amp;index('Year Conversion'!$A:$A,match($C3504,'Year Conversion'!$B:$B,0)),$Y:$Y,0))-K3504,"")</f>
        <v/>
      </c>
      <c r="AC3504" s="168" t="str">
        <f t="shared" si="7"/>
        <v>SAS,2019-20</v>
      </c>
    </row>
    <row r="3505">
      <c r="A3505" s="161" t="str">
        <f>IFERROR(__xludf.DUMMYFUNCTION("""COMPUTED_VALUE"""),"schofad01")</f>
        <v>schofad01</v>
      </c>
      <c r="B3505" s="161" t="str">
        <f>IFERROR(__xludf.DUMMYFUNCTION("""COMPUTED_VALUE"""),"Admiral Schofield")</f>
        <v>Admiral Schofield</v>
      </c>
      <c r="C3505" s="162" t="str">
        <f>IFERROR(__xludf.DUMMYFUNCTION("""COMPUTED_VALUE"""),"2019-20")</f>
        <v>2019-20</v>
      </c>
      <c r="D3505" s="163" t="str">
        <f>IFERROR(__xludf.DUMMYFUNCTION("""COMPUTED_VALUE"""),"WAS")</f>
        <v>WAS</v>
      </c>
      <c r="E3505" s="164" t="str">
        <f>IFERROR(__xludf.DUMMYFUNCTION("""COMPUTED_VALUE"""),"Stationary Shooter")</f>
        <v>Stationary Shooter</v>
      </c>
      <c r="F3505" s="164">
        <f>IFERROR(__xludf.DUMMYFUNCTION("""COMPUTED_VALUE"""),368.381666666667)</f>
        <v>368.3816667</v>
      </c>
      <c r="G3505" s="163">
        <f>IFERROR(__xludf.DUMMYFUNCTION("""COMPUTED_VALUE"""),33.0)</f>
        <v>33</v>
      </c>
      <c r="H3505" s="163" t="str">
        <f>IFERROR(__xludf.DUMMYFUNCTION("""COMPUTED_VALUE"""),"PF")</f>
        <v>PF</v>
      </c>
      <c r="I3505" s="163">
        <f>IFERROR(__xludf.DUMMYFUNCTION("""COMPUTED_VALUE"""),22.0)</f>
        <v>22</v>
      </c>
      <c r="J3505" s="165">
        <f>IFERROR(__xludf.DUMMYFUNCTION("""COMPUTED_VALUE"""),-2.28137917431684)</f>
        <v>-2.281379174</v>
      </c>
      <c r="K3505" s="165">
        <f>IFERROR(__xludf.DUMMYFUNCTION("""COMPUTED_VALUE"""),-1.9115144160767)</f>
        <v>-1.911514416</v>
      </c>
      <c r="L3505" s="165">
        <f>IFERROR(__xludf.DUMMYFUNCTION("""COMPUTED_VALUE"""),-0.369864758240141)</f>
        <v>-0.3698647582</v>
      </c>
      <c r="M3505" s="166">
        <f t="shared" si="2"/>
        <v>0.005381822629</v>
      </c>
      <c r="N3505" s="167">
        <f t="shared" si="3"/>
        <v>11.16308081</v>
      </c>
      <c r="O3505" s="163">
        <f t="shared" ref="O3505:Q3505" si="3509">rank(I3505,I:I)</f>
        <v>3178</v>
      </c>
      <c r="P3505" s="163">
        <f t="shared" si="3509"/>
        <v>3645</v>
      </c>
      <c r="Q3505" s="163">
        <f t="shared" si="3509"/>
        <v>3657</v>
      </c>
      <c r="R3505" s="163">
        <f>IFERROR(__xludf.DUMMYFUNCTION("RANK(M3505,filter(M:M,C:C=C3505))"),478.0)</f>
        <v>478</v>
      </c>
      <c r="S3505" s="161" t="b">
        <f t="shared" si="5"/>
        <v>0</v>
      </c>
      <c r="T3505" s="161" t="b">
        <f t="array" ref="T3505">index('Query Tool'!B:B,match(H3505,'Query Tool'!C:C,0))</f>
        <v>1</v>
      </c>
      <c r="U3505" s="161" t="b">
        <f t="array" ref="U3505">index('Query Tool'!B:B,match(C3505,'Query Tool'!C:C,0))</f>
        <v>0</v>
      </c>
      <c r="V3505" s="161" t="b">
        <f>F3505&gt;='Query Tool'!C$32</f>
        <v>0</v>
      </c>
      <c r="W3505" s="161" t="b">
        <f t="array" ref="W3505">index(Dropdowns!B:B,match(I3505,Dropdowns!A:A,0))</f>
        <v>1</v>
      </c>
      <c r="X3505" s="161" t="b">
        <f t="array" ref="X3505">index('Query Tool'!B:B,match(D3505,'Query Tool'!C:C,0))</f>
        <v>1</v>
      </c>
      <c r="Y3505" s="161" t="str">
        <f t="shared" si="6"/>
        <v>schofad01,2019-20</v>
      </c>
      <c r="Z3505" s="168" t="str">
        <f t="array" ref="Z3505">iferror(index(I:I,match($A3505&amp;","&amp;index('Year Conversion'!$A:$A,match($C3505,'Year Conversion'!$B:$B,0)),$Y:$Y,0))-I3505,"")</f>
        <v/>
      </c>
      <c r="AA3505" s="168" t="str">
        <f t="array" ref="AA3505">iferror(index(J:J,match($A3505&amp;","&amp;index('Year Conversion'!$A:$A,match($C3505,'Year Conversion'!$B:$B,0)),$Y:$Y,0))-J3505,"")</f>
        <v/>
      </c>
      <c r="AB3505" s="168" t="str">
        <f t="array" ref="AB3505">iferror(index(K:K,match($A3505&amp;","&amp;index('Year Conversion'!$A:$A,match($C3505,'Year Conversion'!$B:$B,0)),$Y:$Y,0))-K3505,"")</f>
        <v/>
      </c>
      <c r="AC3505" s="168" t="str">
        <f t="shared" si="7"/>
        <v>WAS,2019-20</v>
      </c>
    </row>
    <row r="3506">
      <c r="A3506" s="161" t="str">
        <f>IFERROR(__xludf.DUMMYFUNCTION("""COMPUTED_VALUE"""),"thybuma01")</f>
        <v>thybuma01</v>
      </c>
      <c r="B3506" s="161" t="str">
        <f>IFERROR(__xludf.DUMMYFUNCTION("""COMPUTED_VALUE"""),"Matisse Thybulle")</f>
        <v>Matisse Thybulle</v>
      </c>
      <c r="C3506" s="162" t="str">
        <f>IFERROR(__xludf.DUMMYFUNCTION("""COMPUTED_VALUE"""),"2019-20")</f>
        <v>2019-20</v>
      </c>
      <c r="D3506" s="163" t="str">
        <f>IFERROR(__xludf.DUMMYFUNCTION("""COMPUTED_VALUE"""),"PHI")</f>
        <v>PHI</v>
      </c>
      <c r="E3506" s="164" t="str">
        <f>IFERROR(__xludf.DUMMYFUNCTION("""COMPUTED_VALUE"""),"Stationary Shooter")</f>
        <v>Stationary Shooter</v>
      </c>
      <c r="F3506" s="164">
        <f>IFERROR(__xludf.DUMMYFUNCTION("""COMPUTED_VALUE"""),1287.43166666667)</f>
        <v>1287.431667</v>
      </c>
      <c r="G3506" s="163">
        <f>IFERROR(__xludf.DUMMYFUNCTION("""COMPUTED_VALUE"""),65.0)</f>
        <v>65</v>
      </c>
      <c r="H3506" s="163" t="str">
        <f>IFERROR(__xludf.DUMMYFUNCTION("""COMPUTED_VALUE"""),"SG")</f>
        <v>SG</v>
      </c>
      <c r="I3506" s="163">
        <f>IFERROR(__xludf.DUMMYFUNCTION("""COMPUTED_VALUE"""),22.0)</f>
        <v>22</v>
      </c>
      <c r="J3506" s="165">
        <f>IFERROR(__xludf.DUMMYFUNCTION("""COMPUTED_VALUE"""),-0.711055478640267)</f>
        <v>-0.7110554786</v>
      </c>
      <c r="K3506" s="165">
        <f>IFERROR(__xludf.DUMMYFUNCTION("""COMPUTED_VALUE"""),-1.59055061139112)</f>
        <v>-1.590550611</v>
      </c>
      <c r="L3506" s="165">
        <f>IFERROR(__xludf.DUMMYFUNCTION("""COMPUTED_VALUE"""),0.879495132750857)</f>
        <v>0.8794951328</v>
      </c>
      <c r="M3506" s="166">
        <f t="shared" si="2"/>
        <v>1.368046425</v>
      </c>
      <c r="N3506" s="167">
        <f t="shared" si="3"/>
        <v>19.80664103</v>
      </c>
      <c r="O3506" s="163">
        <f t="shared" ref="O3506:Q3506" si="3510">rank(I3506,I:I)</f>
        <v>3178</v>
      </c>
      <c r="P3506" s="163">
        <f t="shared" si="3510"/>
        <v>2163</v>
      </c>
      <c r="Q3506" s="163">
        <f t="shared" si="3510"/>
        <v>3439</v>
      </c>
      <c r="R3506" s="163">
        <f>IFERROR(__xludf.DUMMYFUNCTION("RANK(M3506,filter(M:M,C:C=C3506))"),195.0)</f>
        <v>195</v>
      </c>
      <c r="S3506" s="161" t="b">
        <f t="shared" si="5"/>
        <v>0</v>
      </c>
      <c r="T3506" s="161" t="b">
        <f t="array" ref="T3506">index('Query Tool'!B:B,match(H3506,'Query Tool'!C:C,0))</f>
        <v>1</v>
      </c>
      <c r="U3506" s="161" t="b">
        <f t="array" ref="U3506">index('Query Tool'!B:B,match(C3506,'Query Tool'!C:C,0))</f>
        <v>0</v>
      </c>
      <c r="V3506" s="161" t="b">
        <f>F3506&gt;='Query Tool'!C$32</f>
        <v>1</v>
      </c>
      <c r="W3506" s="161" t="b">
        <f t="array" ref="W3506">index(Dropdowns!B:B,match(I3506,Dropdowns!A:A,0))</f>
        <v>1</v>
      </c>
      <c r="X3506" s="161" t="b">
        <f t="array" ref="X3506">index('Query Tool'!B:B,match(D3506,'Query Tool'!C:C,0))</f>
        <v>1</v>
      </c>
      <c r="Y3506" s="161" t="str">
        <f t="shared" si="6"/>
        <v>thybuma01,2019-20</v>
      </c>
      <c r="Z3506" s="168" t="str">
        <f t="array" ref="Z3506">iferror(index(I:I,match($A3506&amp;","&amp;index('Year Conversion'!$A:$A,match($C3506,'Year Conversion'!$B:$B,0)),$Y:$Y,0))-I3506,"")</f>
        <v/>
      </c>
      <c r="AA3506" s="168" t="str">
        <f t="array" ref="AA3506">iferror(index(J:J,match($A3506&amp;","&amp;index('Year Conversion'!$A:$A,match($C3506,'Year Conversion'!$B:$B,0)),$Y:$Y,0))-J3506,"")</f>
        <v/>
      </c>
      <c r="AB3506" s="168" t="str">
        <f t="array" ref="AB3506">iferror(index(K:K,match($A3506&amp;","&amp;index('Year Conversion'!$A:$A,match($C3506,'Year Conversion'!$B:$B,0)),$Y:$Y,0))-K3506,"")</f>
        <v/>
      </c>
      <c r="AC3506" s="168" t="str">
        <f t="shared" si="7"/>
        <v>PHI,2019-20</v>
      </c>
    </row>
    <row r="3507">
      <c r="A3507" s="161" t="str">
        <f>IFERROR(__xludf.DUMMYFUNCTION("""COMPUTED_VALUE"""),"watertr01")</f>
        <v>watertr01</v>
      </c>
      <c r="B3507" s="161" t="str">
        <f>IFERROR(__xludf.DUMMYFUNCTION("""COMPUTED_VALUE"""),"Tremont Waters")</f>
        <v>Tremont Waters</v>
      </c>
      <c r="C3507" s="162" t="str">
        <f>IFERROR(__xludf.DUMMYFUNCTION("""COMPUTED_VALUE"""),"2019-20")</f>
        <v>2019-20</v>
      </c>
      <c r="D3507" s="163" t="str">
        <f>IFERROR(__xludf.DUMMYFUNCTION("""COMPUTED_VALUE"""),"BOS")</f>
        <v>BOS</v>
      </c>
      <c r="E3507" s="164" t="str">
        <f>IFERROR(__xludf.DUMMYFUNCTION("""COMPUTED_VALUE"""),"Secondary Ball Handler")</f>
        <v>Secondary Ball Handler</v>
      </c>
      <c r="F3507" s="164">
        <f>IFERROR(__xludf.DUMMYFUNCTION("""COMPUTED_VALUE"""),118.641666666667)</f>
        <v>118.6416667</v>
      </c>
      <c r="G3507" s="163">
        <f>IFERROR(__xludf.DUMMYFUNCTION("""COMPUTED_VALUE"""),11.0)</f>
        <v>11</v>
      </c>
      <c r="H3507" s="163" t="str">
        <f>IFERROR(__xludf.DUMMYFUNCTION("""COMPUTED_VALUE"""),"PG")</f>
        <v>PG</v>
      </c>
      <c r="I3507" s="163">
        <f>IFERROR(__xludf.DUMMYFUNCTION("""COMPUTED_VALUE"""),22.0)</f>
        <v>22</v>
      </c>
      <c r="J3507" s="165">
        <f>IFERROR(__xludf.DUMMYFUNCTION("""COMPUTED_VALUE"""),-1.32571572743436)</f>
        <v>-1.325715727</v>
      </c>
      <c r="K3507" s="165">
        <f>IFERROR(__xludf.DUMMYFUNCTION("""COMPUTED_VALUE"""),-0.592167824094408)</f>
        <v>-0.5921678241</v>
      </c>
      <c r="L3507" s="165">
        <f>IFERROR(__xludf.DUMMYFUNCTION("""COMPUTED_VALUE"""),-0.733547903339951)</f>
        <v>-0.7335479033</v>
      </c>
      <c r="M3507" s="166">
        <f t="shared" si="2"/>
        <v>0.07712401802</v>
      </c>
      <c r="N3507" s="167">
        <f t="shared" si="3"/>
        <v>10.78560606</v>
      </c>
      <c r="O3507" s="163">
        <f t="shared" ref="O3507:Q3507" si="3511">rank(I3507,I:I)</f>
        <v>3178</v>
      </c>
      <c r="P3507" s="163">
        <f t="shared" si="3511"/>
        <v>2891</v>
      </c>
      <c r="Q3507" s="163">
        <f t="shared" si="3511"/>
        <v>2255</v>
      </c>
      <c r="R3507" s="163">
        <f>IFERROR(__xludf.DUMMYFUNCTION("RANK(M3507,filter(M:M,C:C=C3507))"),405.0)</f>
        <v>405</v>
      </c>
      <c r="S3507" s="161" t="b">
        <f t="shared" si="5"/>
        <v>0</v>
      </c>
      <c r="T3507" s="161" t="b">
        <f t="array" ref="T3507">index('Query Tool'!B:B,match(H3507,'Query Tool'!C:C,0))</f>
        <v>1</v>
      </c>
      <c r="U3507" s="161" t="b">
        <f t="array" ref="U3507">index('Query Tool'!B:B,match(C3507,'Query Tool'!C:C,0))</f>
        <v>0</v>
      </c>
      <c r="V3507" s="161" t="b">
        <f>F3507&gt;='Query Tool'!C$32</f>
        <v>0</v>
      </c>
      <c r="W3507" s="161" t="b">
        <f t="array" ref="W3507">index(Dropdowns!B:B,match(I3507,Dropdowns!A:A,0))</f>
        <v>1</v>
      </c>
      <c r="X3507" s="161" t="b">
        <f t="array" ref="X3507">index('Query Tool'!B:B,match(D3507,'Query Tool'!C:C,0))</f>
        <v>1</v>
      </c>
      <c r="Y3507" s="161" t="str">
        <f t="shared" si="6"/>
        <v>watertr01,2019-20</v>
      </c>
      <c r="Z3507" s="168" t="str">
        <f t="array" ref="Z3507">iferror(index(I:I,match($A3507&amp;","&amp;index('Year Conversion'!$A:$A,match($C3507,'Year Conversion'!$B:$B,0)),$Y:$Y,0))-I3507,"")</f>
        <v/>
      </c>
      <c r="AA3507" s="168" t="str">
        <f t="array" ref="AA3507">iferror(index(J:J,match($A3507&amp;","&amp;index('Year Conversion'!$A:$A,match($C3507,'Year Conversion'!$B:$B,0)),$Y:$Y,0))-J3507,"")</f>
        <v/>
      </c>
      <c r="AB3507" s="168" t="str">
        <f t="array" ref="AB3507">iferror(index(K:K,match($A3507&amp;","&amp;index('Year Conversion'!$A:$A,match($C3507,'Year Conversion'!$B:$B,0)),$Y:$Y,0))-K3507,"")</f>
        <v/>
      </c>
      <c r="AC3507" s="168" t="str">
        <f t="shared" si="7"/>
        <v>BOS,2019-20</v>
      </c>
    </row>
    <row r="3508">
      <c r="A3508" s="161" t="str">
        <f>IFERROR(__xludf.DUMMYFUNCTION("""COMPUTED_VALUE"""),"weathqu01")</f>
        <v>weathqu01</v>
      </c>
      <c r="B3508" s="161" t="str">
        <f>IFERROR(__xludf.DUMMYFUNCTION("""COMPUTED_VALUE"""),"Quinndary Weatherspoon")</f>
        <v>Quinndary Weatherspoon</v>
      </c>
      <c r="C3508" s="162" t="str">
        <f>IFERROR(__xludf.DUMMYFUNCTION("""COMPUTED_VALUE"""),"2019-20")</f>
        <v>2019-20</v>
      </c>
      <c r="D3508" s="163" t="str">
        <f>IFERROR(__xludf.DUMMYFUNCTION("""COMPUTED_VALUE"""),"SAS")</f>
        <v>SAS</v>
      </c>
      <c r="E3508" s="164" t="str">
        <f>IFERROR(__xludf.DUMMYFUNCTION("""COMPUTED_VALUE"""),"Secondary Ball Handler")</f>
        <v>Secondary Ball Handler</v>
      </c>
      <c r="F3508" s="164">
        <f>IFERROR(__xludf.DUMMYFUNCTION("""COMPUTED_VALUE"""),77.7383333333333)</f>
        <v>77.73833333</v>
      </c>
      <c r="G3508" s="163">
        <f>IFERROR(__xludf.DUMMYFUNCTION("""COMPUTED_VALUE"""),11.0)</f>
        <v>11</v>
      </c>
      <c r="H3508" s="163" t="str">
        <f>IFERROR(__xludf.DUMMYFUNCTION("""COMPUTED_VALUE"""),"SG")</f>
        <v>SG</v>
      </c>
      <c r="I3508" s="163">
        <f>IFERROR(__xludf.DUMMYFUNCTION("""COMPUTED_VALUE"""),23.0)</f>
        <v>23</v>
      </c>
      <c r="J3508" s="165">
        <f>IFERROR(__xludf.DUMMYFUNCTION("""COMPUTED_VALUE"""),-1.10021626067338)</f>
        <v>-1.100216261</v>
      </c>
      <c r="K3508" s="165">
        <f>IFERROR(__xludf.DUMMYFUNCTION("""COMPUTED_VALUE"""),-0.88374637214806)</f>
        <v>-0.8837463721</v>
      </c>
      <c r="L3508" s="165">
        <f>IFERROR(__xludf.DUMMYFUNCTION("""COMPUTED_VALUE"""),-0.216469888525323)</f>
        <v>-0.2164698885</v>
      </c>
      <c r="M3508" s="166">
        <f t="shared" si="2"/>
        <v>0.06228060008</v>
      </c>
      <c r="N3508" s="167">
        <f t="shared" si="3"/>
        <v>7.067121212</v>
      </c>
      <c r="O3508" s="163">
        <f t="shared" ref="O3508:Q3508" si="3512">rank(I3508,I:I)</f>
        <v>2765</v>
      </c>
      <c r="P3508" s="163">
        <f t="shared" si="3512"/>
        <v>2611</v>
      </c>
      <c r="Q3508" s="163">
        <f t="shared" si="3512"/>
        <v>2672</v>
      </c>
      <c r="R3508" s="163">
        <f>IFERROR(__xludf.DUMMYFUNCTION("RANK(M3508,filter(M:M,C:C=C3508))"),417.0)</f>
        <v>417</v>
      </c>
      <c r="S3508" s="161" t="b">
        <f t="shared" si="5"/>
        <v>0</v>
      </c>
      <c r="T3508" s="161" t="b">
        <f t="array" ref="T3508">index('Query Tool'!B:B,match(H3508,'Query Tool'!C:C,0))</f>
        <v>1</v>
      </c>
      <c r="U3508" s="161" t="b">
        <f t="array" ref="U3508">index('Query Tool'!B:B,match(C3508,'Query Tool'!C:C,0))</f>
        <v>0</v>
      </c>
      <c r="V3508" s="161" t="b">
        <f>F3508&gt;='Query Tool'!C$32</f>
        <v>0</v>
      </c>
      <c r="W3508" s="161" t="b">
        <f t="array" ref="W3508">index(Dropdowns!B:B,match(I3508,Dropdowns!A:A,0))</f>
        <v>1</v>
      </c>
      <c r="X3508" s="161" t="b">
        <f t="array" ref="X3508">index('Query Tool'!B:B,match(D3508,'Query Tool'!C:C,0))</f>
        <v>1</v>
      </c>
      <c r="Y3508" s="161" t="str">
        <f t="shared" si="6"/>
        <v>weathqu01,2019-20</v>
      </c>
      <c r="Z3508" s="168" t="str">
        <f t="array" ref="Z3508">iferror(index(I:I,match($A3508&amp;","&amp;index('Year Conversion'!$A:$A,match($C3508,'Year Conversion'!$B:$B,0)),$Y:$Y,0))-I3508,"")</f>
        <v/>
      </c>
      <c r="AA3508" s="168" t="str">
        <f t="array" ref="AA3508">iferror(index(J:J,match($A3508&amp;","&amp;index('Year Conversion'!$A:$A,match($C3508,'Year Conversion'!$B:$B,0)),$Y:$Y,0))-J3508,"")</f>
        <v/>
      </c>
      <c r="AB3508" s="168" t="str">
        <f t="array" ref="AB3508">iferror(index(K:K,match($A3508&amp;","&amp;index('Year Conversion'!$A:$A,match($C3508,'Year Conversion'!$B:$B,0)),$Y:$Y,0))-K3508,"")</f>
        <v/>
      </c>
      <c r="AC3508" s="168" t="str">
        <f t="shared" si="7"/>
        <v>SAS,2019-20</v>
      </c>
    </row>
    <row r="3509">
      <c r="A3509" s="161" t="str">
        <f>IFERROR(__xludf.DUMMYFUNCTION("""COMPUTED_VALUE"""),"willigr01")</f>
        <v>willigr01</v>
      </c>
      <c r="B3509" s="161" t="str">
        <f>IFERROR(__xludf.DUMMYFUNCTION("""COMPUTED_VALUE"""),"Grant Williams")</f>
        <v>Grant Williams</v>
      </c>
      <c r="C3509" s="162" t="str">
        <f>IFERROR(__xludf.DUMMYFUNCTION("""COMPUTED_VALUE"""),"2019-20")</f>
        <v>2019-20</v>
      </c>
      <c r="D3509" s="163" t="str">
        <f>IFERROR(__xludf.DUMMYFUNCTION("""COMPUTED_VALUE"""),"BOS")</f>
        <v>BOS</v>
      </c>
      <c r="E3509" s="164" t="str">
        <f>IFERROR(__xludf.DUMMYFUNCTION("""COMPUTED_VALUE"""),"Stretch Big")</f>
        <v>Stretch Big</v>
      </c>
      <c r="F3509" s="164">
        <f>IFERROR(__xludf.DUMMYFUNCTION("""COMPUTED_VALUE"""),1043.22333333333)</f>
        <v>1043.223333</v>
      </c>
      <c r="G3509" s="163">
        <f>IFERROR(__xludf.DUMMYFUNCTION("""COMPUTED_VALUE"""),69.0)</f>
        <v>69</v>
      </c>
      <c r="H3509" s="163" t="str">
        <f>IFERROR(__xludf.DUMMYFUNCTION("""COMPUTED_VALUE"""),"PF")</f>
        <v>PF</v>
      </c>
      <c r="I3509" s="163">
        <f>IFERROR(__xludf.DUMMYFUNCTION("""COMPUTED_VALUE"""),21.0)</f>
        <v>21</v>
      </c>
      <c r="J3509" s="165">
        <f>IFERROR(__xludf.DUMMYFUNCTION("""COMPUTED_VALUE"""),-1.57256232576369)</f>
        <v>-1.572562326</v>
      </c>
      <c r="K3509" s="165">
        <f>IFERROR(__xludf.DUMMYFUNCTION("""COMPUTED_VALUE"""),-2.08547282996909)</f>
        <v>-2.08547283</v>
      </c>
      <c r="L3509" s="165">
        <f>IFERROR(__xludf.DUMMYFUNCTION("""COMPUTED_VALUE"""),0.512910504205395)</f>
        <v>0.5129105042</v>
      </c>
      <c r="M3509" s="166">
        <f t="shared" si="2"/>
        <v>0.5060555869</v>
      </c>
      <c r="N3509" s="167">
        <f t="shared" si="3"/>
        <v>15.11917874</v>
      </c>
      <c r="O3509" s="163">
        <f t="shared" ref="O3509:Q3509" si="3513">rank(I3509,I:I)</f>
        <v>3528</v>
      </c>
      <c r="P3509" s="163">
        <f t="shared" si="3513"/>
        <v>3120</v>
      </c>
      <c r="Q3509" s="163">
        <f t="shared" si="3513"/>
        <v>3755</v>
      </c>
      <c r="R3509" s="163">
        <f>IFERROR(__xludf.DUMMYFUNCTION("RANK(M3509,filter(M:M,C:C=C3509))"),260.0)</f>
        <v>260</v>
      </c>
      <c r="S3509" s="161" t="b">
        <f t="shared" si="5"/>
        <v>0</v>
      </c>
      <c r="T3509" s="161" t="b">
        <f t="array" ref="T3509">index('Query Tool'!B:B,match(H3509,'Query Tool'!C:C,0))</f>
        <v>1</v>
      </c>
      <c r="U3509" s="161" t="b">
        <f t="array" ref="U3509">index('Query Tool'!B:B,match(C3509,'Query Tool'!C:C,0))</f>
        <v>0</v>
      </c>
      <c r="V3509" s="161" t="b">
        <f>F3509&gt;='Query Tool'!C$32</f>
        <v>1</v>
      </c>
      <c r="W3509" s="161" t="b">
        <f t="array" ref="W3509">index(Dropdowns!B:B,match(I3509,Dropdowns!A:A,0))</f>
        <v>1</v>
      </c>
      <c r="X3509" s="161" t="b">
        <f t="array" ref="X3509">index('Query Tool'!B:B,match(D3509,'Query Tool'!C:C,0))</f>
        <v>1</v>
      </c>
      <c r="Y3509" s="161" t="str">
        <f t="shared" si="6"/>
        <v>willigr01,2019-20</v>
      </c>
      <c r="Z3509" s="168" t="str">
        <f t="array" ref="Z3509">iferror(index(I:I,match($A3509&amp;","&amp;index('Year Conversion'!$A:$A,match($C3509,'Year Conversion'!$B:$B,0)),$Y:$Y,0))-I3509,"")</f>
        <v/>
      </c>
      <c r="AA3509" s="168" t="str">
        <f t="array" ref="AA3509">iferror(index(J:J,match($A3509&amp;","&amp;index('Year Conversion'!$A:$A,match($C3509,'Year Conversion'!$B:$B,0)),$Y:$Y,0))-J3509,"")</f>
        <v/>
      </c>
      <c r="AB3509" s="168" t="str">
        <f t="array" ref="AB3509">iferror(index(K:K,match($A3509&amp;","&amp;index('Year Conversion'!$A:$A,match($C3509,'Year Conversion'!$B:$B,0)),$Y:$Y,0))-K3509,"")</f>
        <v/>
      </c>
      <c r="AC3509" s="168" t="str">
        <f t="shared" si="7"/>
        <v>BOS,2019-20</v>
      </c>
    </row>
    <row r="3510">
      <c r="A3510" s="161" t="str">
        <f>IFERROR(__xludf.DUMMYFUNCTION("""COMPUTED_VALUE"""),"mokokad01")</f>
        <v>mokokad01</v>
      </c>
      <c r="B3510" s="161" t="str">
        <f>IFERROR(__xludf.DUMMYFUNCTION("""COMPUTED_VALUE"""),"Adam Mokoka")</f>
        <v>Adam Mokoka</v>
      </c>
      <c r="C3510" s="162" t="str">
        <f>IFERROR(__xludf.DUMMYFUNCTION("""COMPUTED_VALUE"""),"2019-20")</f>
        <v>2019-20</v>
      </c>
      <c r="D3510" s="163" t="str">
        <f>IFERROR(__xludf.DUMMYFUNCTION("""COMPUTED_VALUE"""),"CHI")</f>
        <v>CHI</v>
      </c>
      <c r="E3510" s="164" t="str">
        <f>IFERROR(__xludf.DUMMYFUNCTION("""COMPUTED_VALUE"""),"Athletic Finisher")</f>
        <v>Athletic Finisher</v>
      </c>
      <c r="F3510" s="164">
        <f>IFERROR(__xludf.DUMMYFUNCTION("""COMPUTED_VALUE"""),111.666666666667)</f>
        <v>111.6666667</v>
      </c>
      <c r="G3510" s="163">
        <f>IFERROR(__xludf.DUMMYFUNCTION("""COMPUTED_VALUE"""),11.0)</f>
        <v>11</v>
      </c>
      <c r="H3510" s="163" t="str">
        <f>IFERROR(__xludf.DUMMYFUNCTION("""COMPUTED_VALUE"""),"SF")</f>
        <v>SF</v>
      </c>
      <c r="I3510" s="163">
        <f>IFERROR(__xludf.DUMMYFUNCTION("""COMPUTED_VALUE"""),21.0)</f>
        <v>21</v>
      </c>
      <c r="J3510" s="165">
        <f>IFERROR(__xludf.DUMMYFUNCTION("""COMPUTED_VALUE"""),-0.605590142306618)</f>
        <v>-0.6055901423</v>
      </c>
      <c r="K3510" s="165">
        <f>IFERROR(__xludf.DUMMYFUNCTION("""COMPUTED_VALUE"""),-0.221293408073374)</f>
        <v>-0.2212934081</v>
      </c>
      <c r="L3510" s="165">
        <f>IFERROR(__xludf.DUMMYFUNCTION("""COMPUTED_VALUE"""),-0.384296734233243)</f>
        <v>-0.3842967342</v>
      </c>
      <c r="M3510" s="166">
        <f t="shared" si="2"/>
        <v>0.1265844222</v>
      </c>
      <c r="N3510" s="167">
        <f t="shared" si="3"/>
        <v>10.15151515</v>
      </c>
      <c r="O3510" s="163">
        <f t="shared" ref="O3510:Q3510" si="3514">rank(I3510,I:I)</f>
        <v>3528</v>
      </c>
      <c r="P3510" s="163">
        <f t="shared" si="3514"/>
        <v>2008</v>
      </c>
      <c r="Q3510" s="163">
        <f t="shared" si="3514"/>
        <v>1602</v>
      </c>
      <c r="R3510" s="163">
        <f>IFERROR(__xludf.DUMMYFUNCTION("RANK(M3510,filter(M:M,C:C=C3510))"),372.0)</f>
        <v>372</v>
      </c>
      <c r="S3510" s="161" t="b">
        <f t="shared" si="5"/>
        <v>0</v>
      </c>
      <c r="T3510" s="161" t="b">
        <f t="array" ref="T3510">index('Query Tool'!B:B,match(H3510,'Query Tool'!C:C,0))</f>
        <v>1</v>
      </c>
      <c r="U3510" s="161" t="b">
        <f t="array" ref="U3510">index('Query Tool'!B:B,match(C3510,'Query Tool'!C:C,0))</f>
        <v>0</v>
      </c>
      <c r="V3510" s="161" t="b">
        <f>F3510&gt;='Query Tool'!C$32</f>
        <v>0</v>
      </c>
      <c r="W3510" s="161" t="b">
        <f t="array" ref="W3510">index(Dropdowns!B:B,match(I3510,Dropdowns!A:A,0))</f>
        <v>1</v>
      </c>
      <c r="X3510" s="161" t="b">
        <f t="array" ref="X3510">index('Query Tool'!B:B,match(D3510,'Query Tool'!C:C,0))</f>
        <v>1</v>
      </c>
      <c r="Y3510" s="161" t="str">
        <f t="shared" si="6"/>
        <v>mokokad01,2019-20</v>
      </c>
      <c r="Z3510" s="168" t="str">
        <f t="array" ref="Z3510">iferror(index(I:I,match($A3510&amp;","&amp;index('Year Conversion'!$A:$A,match($C3510,'Year Conversion'!$B:$B,0)),$Y:$Y,0))-I3510,"")</f>
        <v/>
      </c>
      <c r="AA3510" s="168" t="str">
        <f t="array" ref="AA3510">iferror(index(J:J,match($A3510&amp;","&amp;index('Year Conversion'!$A:$A,match($C3510,'Year Conversion'!$B:$B,0)),$Y:$Y,0))-J3510,"")</f>
        <v/>
      </c>
      <c r="AB3510" s="168" t="str">
        <f t="array" ref="AB3510">iferror(index(K:K,match($A3510&amp;","&amp;index('Year Conversion'!$A:$A,match($C3510,'Year Conversion'!$B:$B,0)),$Y:$Y,0))-K3510,"")</f>
        <v/>
      </c>
      <c r="AC3510" s="168" t="str">
        <f t="shared" si="7"/>
        <v>CHI,2019-20</v>
      </c>
    </row>
    <row r="3511">
      <c r="A3511" s="161" t="str">
        <f>IFERROR(__xludf.DUMMYFUNCTION("""COMPUTED_VALUE"""),"jamesju01")</f>
        <v>jamesju01</v>
      </c>
      <c r="B3511" s="161" t="str">
        <f>IFERROR(__xludf.DUMMYFUNCTION("""COMPUTED_VALUE"""),"Justin James")</f>
        <v>Justin James</v>
      </c>
      <c r="C3511" s="162" t="str">
        <f>IFERROR(__xludf.DUMMYFUNCTION("""COMPUTED_VALUE"""),"2019-20")</f>
        <v>2019-20</v>
      </c>
      <c r="D3511" s="163" t="str">
        <f>IFERROR(__xludf.DUMMYFUNCTION("""COMPUTED_VALUE"""),"SAC")</f>
        <v>SAC</v>
      </c>
      <c r="E3511" s="164" t="str">
        <f>IFERROR(__xludf.DUMMYFUNCTION("""COMPUTED_VALUE"""),"Stationary Shooter")</f>
        <v>Stationary Shooter</v>
      </c>
      <c r="F3511" s="164">
        <f>IFERROR(__xludf.DUMMYFUNCTION("""COMPUTED_VALUE"""),232.366666666667)</f>
        <v>232.3666667</v>
      </c>
      <c r="G3511" s="163">
        <f>IFERROR(__xludf.DUMMYFUNCTION("""COMPUTED_VALUE"""),36.0)</f>
        <v>36</v>
      </c>
      <c r="H3511" s="163" t="str">
        <f>IFERROR(__xludf.DUMMYFUNCTION("""COMPUTED_VALUE"""),"SF")</f>
        <v>SF</v>
      </c>
      <c r="I3511" s="163">
        <f>IFERROR(__xludf.DUMMYFUNCTION("""COMPUTED_VALUE"""),23.0)</f>
        <v>23</v>
      </c>
      <c r="J3511" s="165">
        <f>IFERROR(__xludf.DUMMYFUNCTION("""COMPUTED_VALUE"""),0.190526863977328)</f>
        <v>0.190526864</v>
      </c>
      <c r="K3511" s="165">
        <f>IFERROR(__xludf.DUMMYFUNCTION("""COMPUTED_VALUE"""),-0.419922383066868)</f>
        <v>-0.4199223831</v>
      </c>
      <c r="L3511" s="165">
        <f>IFERROR(__xludf.DUMMYFUNCTION("""COMPUTED_VALUE"""),0.610449247044196)</f>
        <v>0.610449247</v>
      </c>
      <c r="M3511" s="166">
        <f t="shared" si="2"/>
        <v>0.3880782331</v>
      </c>
      <c r="N3511" s="167">
        <f t="shared" si="3"/>
        <v>6.45462963</v>
      </c>
      <c r="O3511" s="163">
        <f t="shared" ref="O3511:Q3511" si="3515">rank(I3511,I:I)</f>
        <v>2765</v>
      </c>
      <c r="P3511" s="163">
        <f t="shared" si="3515"/>
        <v>1099</v>
      </c>
      <c r="Q3511" s="163">
        <f t="shared" si="3515"/>
        <v>1983</v>
      </c>
      <c r="R3511" s="163">
        <f>IFERROR(__xludf.DUMMYFUNCTION("RANK(M3511,filter(M:M,C:C=C3511))"),277.0)</f>
        <v>277</v>
      </c>
      <c r="S3511" s="161" t="b">
        <f t="shared" si="5"/>
        <v>0</v>
      </c>
      <c r="T3511" s="161" t="b">
        <f t="array" ref="T3511">index('Query Tool'!B:B,match(H3511,'Query Tool'!C:C,0))</f>
        <v>1</v>
      </c>
      <c r="U3511" s="161" t="b">
        <f t="array" ref="U3511">index('Query Tool'!B:B,match(C3511,'Query Tool'!C:C,0))</f>
        <v>0</v>
      </c>
      <c r="V3511" s="161" t="b">
        <f>F3511&gt;='Query Tool'!C$32</f>
        <v>0</v>
      </c>
      <c r="W3511" s="161" t="b">
        <f t="array" ref="W3511">index(Dropdowns!B:B,match(I3511,Dropdowns!A:A,0))</f>
        <v>1</v>
      </c>
      <c r="X3511" s="161" t="b">
        <f t="array" ref="X3511">index('Query Tool'!B:B,match(D3511,'Query Tool'!C:C,0))</f>
        <v>1</v>
      </c>
      <c r="Y3511" s="161" t="str">
        <f t="shared" si="6"/>
        <v>jamesju01,2019-20</v>
      </c>
      <c r="Z3511" s="168" t="str">
        <f t="array" ref="Z3511">iferror(index(I:I,match($A3511&amp;","&amp;index('Year Conversion'!$A:$A,match($C3511,'Year Conversion'!$B:$B,0)),$Y:$Y,0))-I3511,"")</f>
        <v/>
      </c>
      <c r="AA3511" s="168" t="str">
        <f t="array" ref="AA3511">iferror(index(J:J,match($A3511&amp;","&amp;index('Year Conversion'!$A:$A,match($C3511,'Year Conversion'!$B:$B,0)),$Y:$Y,0))-J3511,"")</f>
        <v/>
      </c>
      <c r="AB3511" s="168" t="str">
        <f t="array" ref="AB3511">iferror(index(K:K,match($A3511&amp;","&amp;index('Year Conversion'!$A:$A,match($C3511,'Year Conversion'!$B:$B,0)),$Y:$Y,0))-K3511,"")</f>
        <v/>
      </c>
      <c r="AC3511" s="168" t="str">
        <f t="shared" si="7"/>
        <v>SAC,2019-20</v>
      </c>
    </row>
    <row r="3512">
      <c r="A3512" s="161" t="str">
        <f>IFERROR(__xludf.DUMMYFUNCTION("""COMPUTED_VALUE"""),"brantja01")</f>
        <v>brantja01</v>
      </c>
      <c r="B3512" s="161" t="str">
        <f>IFERROR(__xludf.DUMMYFUNCTION("""COMPUTED_VALUE"""),"Jarrell Brantley")</f>
        <v>Jarrell Brantley</v>
      </c>
      <c r="C3512" s="162" t="str">
        <f>IFERROR(__xludf.DUMMYFUNCTION("""COMPUTED_VALUE"""),"2019-20")</f>
        <v>2019-20</v>
      </c>
      <c r="D3512" s="163" t="str">
        <f>IFERROR(__xludf.DUMMYFUNCTION("""COMPUTED_VALUE"""),"UTA")</f>
        <v>UTA</v>
      </c>
      <c r="E3512" s="164" t="str">
        <f>IFERROR(__xludf.DUMMYFUNCTION("""COMPUTED_VALUE"""),"Stationary Shooter")</f>
        <v>Stationary Shooter</v>
      </c>
      <c r="F3512" s="164">
        <f>IFERROR(__xludf.DUMMYFUNCTION("""COMPUTED_VALUE"""),96.03)</f>
        <v>96.03</v>
      </c>
      <c r="G3512" s="163">
        <f>IFERROR(__xludf.DUMMYFUNCTION("""COMPUTED_VALUE"""),9.0)</f>
        <v>9</v>
      </c>
      <c r="H3512" s="163" t="str">
        <f>IFERROR(__xludf.DUMMYFUNCTION("""COMPUTED_VALUE"""),"PF")</f>
        <v>PF</v>
      </c>
      <c r="I3512" s="163">
        <f>IFERROR(__xludf.DUMMYFUNCTION("""COMPUTED_VALUE"""),23.0)</f>
        <v>23</v>
      </c>
      <c r="J3512" s="165">
        <f>IFERROR(__xludf.DUMMYFUNCTION("""COMPUTED_VALUE"""),-0.648486054474212)</f>
        <v>-0.6484860545</v>
      </c>
      <c r="K3512" s="165">
        <f>IFERROR(__xludf.DUMMYFUNCTION("""COMPUTED_VALUE"""),-0.842353714304215)</f>
        <v>-0.8423537143</v>
      </c>
      <c r="L3512" s="165">
        <f>IFERROR(__xludf.DUMMYFUNCTION("""COMPUTED_VALUE"""),0.193867659830002)</f>
        <v>0.1938676598</v>
      </c>
      <c r="M3512" s="166">
        <f t="shared" si="2"/>
        <v>0.1060861855</v>
      </c>
      <c r="N3512" s="167">
        <f t="shared" si="3"/>
        <v>10.67</v>
      </c>
      <c r="O3512" s="163">
        <f t="shared" ref="O3512:Q3512" si="3516">rank(I3512,I:I)</f>
        <v>2765</v>
      </c>
      <c r="P3512" s="163">
        <f t="shared" si="3516"/>
        <v>2064</v>
      </c>
      <c r="Q3512" s="163">
        <f t="shared" si="3516"/>
        <v>2608</v>
      </c>
      <c r="R3512" s="163">
        <f>IFERROR(__xludf.DUMMYFUNCTION("RANK(M3512,filter(M:M,C:C=C3512))"),382.0)</f>
        <v>382</v>
      </c>
      <c r="S3512" s="161" t="b">
        <f t="shared" si="5"/>
        <v>0</v>
      </c>
      <c r="T3512" s="161" t="b">
        <f t="array" ref="T3512">index('Query Tool'!B:B,match(H3512,'Query Tool'!C:C,0))</f>
        <v>1</v>
      </c>
      <c r="U3512" s="161" t="b">
        <f t="array" ref="U3512">index('Query Tool'!B:B,match(C3512,'Query Tool'!C:C,0))</f>
        <v>0</v>
      </c>
      <c r="V3512" s="161" t="b">
        <f>F3512&gt;='Query Tool'!C$32</f>
        <v>0</v>
      </c>
      <c r="W3512" s="161" t="b">
        <f t="array" ref="W3512">index(Dropdowns!B:B,match(I3512,Dropdowns!A:A,0))</f>
        <v>1</v>
      </c>
      <c r="X3512" s="161" t="b">
        <f t="array" ref="X3512">index('Query Tool'!B:B,match(D3512,'Query Tool'!C:C,0))</f>
        <v>1</v>
      </c>
      <c r="Y3512" s="161" t="str">
        <f t="shared" si="6"/>
        <v>brantja01,2019-20</v>
      </c>
      <c r="Z3512" s="168" t="str">
        <f t="array" ref="Z3512">iferror(index(I:I,match($A3512&amp;","&amp;index('Year Conversion'!$A:$A,match($C3512,'Year Conversion'!$B:$B,0)),$Y:$Y,0))-I3512,"")</f>
        <v/>
      </c>
      <c r="AA3512" s="168" t="str">
        <f t="array" ref="AA3512">iferror(index(J:J,match($A3512&amp;","&amp;index('Year Conversion'!$A:$A,match($C3512,'Year Conversion'!$B:$B,0)),$Y:$Y,0))-J3512,"")</f>
        <v/>
      </c>
      <c r="AB3512" s="168" t="str">
        <f t="array" ref="AB3512">iferror(index(K:K,match($A3512&amp;","&amp;index('Year Conversion'!$A:$A,match($C3512,'Year Conversion'!$B:$B,0)),$Y:$Y,0))-K3512,"")</f>
        <v/>
      </c>
      <c r="AC3512" s="168" t="str">
        <f t="shared" si="7"/>
        <v>UTA,2019-20</v>
      </c>
    </row>
    <row r="3513">
      <c r="A3513" s="161" t="str">
        <f>IFERROR(__xludf.DUMMYFUNCTION("""COMPUTED_VALUE"""),"boldema01")</f>
        <v>boldema01</v>
      </c>
      <c r="B3513" s="161" t="str">
        <f>IFERROR(__xludf.DUMMYFUNCTION("""COMPUTED_VALUE"""),"Marques Bolden")</f>
        <v>Marques Bolden</v>
      </c>
      <c r="C3513" s="162" t="str">
        <f>IFERROR(__xludf.DUMMYFUNCTION("""COMPUTED_VALUE"""),"2019-20")</f>
        <v>2019-20</v>
      </c>
      <c r="D3513" s="163" t="str">
        <f>IFERROR(__xludf.DUMMYFUNCTION("""COMPUTED_VALUE"""),"CLE")</f>
        <v>CLE</v>
      </c>
      <c r="E3513" s="164" t="str">
        <f>IFERROR(__xludf.DUMMYFUNCTION("""COMPUTED_VALUE"""),"Low Minutes")</f>
        <v>Low Minutes</v>
      </c>
      <c r="F3513" s="164">
        <f>IFERROR(__xludf.DUMMYFUNCTION("""COMPUTED_VALUE"""),2.81666666666667)</f>
        <v>2.816666667</v>
      </c>
      <c r="G3513" s="163">
        <f>IFERROR(__xludf.DUMMYFUNCTION("""COMPUTED_VALUE"""),1.0)</f>
        <v>1</v>
      </c>
      <c r="H3513" s="163" t="str">
        <f>IFERROR(__xludf.DUMMYFUNCTION("""COMPUTED_VALUE"""),"C")</f>
        <v>C</v>
      </c>
      <c r="I3513" s="163">
        <f>IFERROR(__xludf.DUMMYFUNCTION("""COMPUTED_VALUE"""),21.0)</f>
        <v>21</v>
      </c>
      <c r="J3513" s="165">
        <f>IFERROR(__xludf.DUMMYFUNCTION("""COMPUTED_VALUE"""),0.429641319557124)</f>
        <v>0.4296413196</v>
      </c>
      <c r="K3513" s="165">
        <f>IFERROR(__xludf.DUMMYFUNCTION("""COMPUTED_VALUE"""),0.00794910142628807)</f>
        <v>0.007949101426</v>
      </c>
      <c r="L3513" s="165">
        <f>IFERROR(__xludf.DUMMYFUNCTION("""COMPUTED_VALUE"""),0.421692218130836)</f>
        <v>0.4216922181</v>
      </c>
      <c r="M3513" s="166">
        <f t="shared" si="2"/>
        <v>0.005158027068</v>
      </c>
      <c r="N3513" s="167">
        <f t="shared" si="3"/>
        <v>2.816666667</v>
      </c>
      <c r="O3513" s="163">
        <f t="shared" ref="O3513:Q3513" si="3517">rank(I3513,I:I)</f>
        <v>3528</v>
      </c>
      <c r="P3513" s="163">
        <f t="shared" si="3517"/>
        <v>937</v>
      </c>
      <c r="Q3513" s="163">
        <f t="shared" si="3517"/>
        <v>1191</v>
      </c>
      <c r="R3513" s="163">
        <f>IFERROR(__xludf.DUMMYFUNCTION("RANK(M3513,filter(M:M,C:C=C3513))"),480.0)</f>
        <v>480</v>
      </c>
      <c r="S3513" s="161" t="b">
        <f t="shared" si="5"/>
        <v>0</v>
      </c>
      <c r="T3513" s="161" t="b">
        <f t="array" ref="T3513">index('Query Tool'!B:B,match(H3513,'Query Tool'!C:C,0))</f>
        <v>1</v>
      </c>
      <c r="U3513" s="161" t="b">
        <f t="array" ref="U3513">index('Query Tool'!B:B,match(C3513,'Query Tool'!C:C,0))</f>
        <v>0</v>
      </c>
      <c r="V3513" s="161" t="b">
        <f>F3513&gt;='Query Tool'!C$32</f>
        <v>0</v>
      </c>
      <c r="W3513" s="161" t="b">
        <f t="array" ref="W3513">index(Dropdowns!B:B,match(I3513,Dropdowns!A:A,0))</f>
        <v>1</v>
      </c>
      <c r="X3513" s="161" t="b">
        <f t="array" ref="X3513">index('Query Tool'!B:B,match(D3513,'Query Tool'!C:C,0))</f>
        <v>1</v>
      </c>
      <c r="Y3513" s="161" t="str">
        <f t="shared" si="6"/>
        <v>boldema01,2019-20</v>
      </c>
      <c r="Z3513" s="168" t="str">
        <f t="array" ref="Z3513">iferror(index(I:I,match($A3513&amp;","&amp;index('Year Conversion'!$A:$A,match($C3513,'Year Conversion'!$B:$B,0)),$Y:$Y,0))-I3513,"")</f>
        <v/>
      </c>
      <c r="AA3513" s="168" t="str">
        <f t="array" ref="AA3513">iferror(index(J:J,match($A3513&amp;","&amp;index('Year Conversion'!$A:$A,match($C3513,'Year Conversion'!$B:$B,0)),$Y:$Y,0))-J3513,"")</f>
        <v/>
      </c>
      <c r="AB3513" s="168" t="str">
        <f t="array" ref="AB3513">iferror(index(K:K,match($A3513&amp;","&amp;index('Year Conversion'!$A:$A,match($C3513,'Year Conversion'!$B:$B,0)),$Y:$Y,0))-K3513,"")</f>
        <v/>
      </c>
      <c r="AC3513" s="168" t="str">
        <f t="shared" si="7"/>
        <v>CLE,2019-20</v>
      </c>
    </row>
    <row r="3514">
      <c r="A3514" s="161" t="str">
        <f>IFERROR(__xludf.DUMMYFUNCTION("""COMPUTED_VALUE"""),"brownch02")</f>
        <v>brownch02</v>
      </c>
      <c r="B3514" s="161" t="str">
        <f>IFERROR(__xludf.DUMMYFUNCTION("""COMPUTED_VALUE"""),"Charlie Brown Jr.")</f>
        <v>Charlie Brown Jr.</v>
      </c>
      <c r="C3514" s="162" t="str">
        <f>IFERROR(__xludf.DUMMYFUNCTION("""COMPUTED_VALUE"""),"2019-20")</f>
        <v>2019-20</v>
      </c>
      <c r="D3514" s="163" t="str">
        <f>IFERROR(__xludf.DUMMYFUNCTION("""COMPUTED_VALUE"""),"ATL")</f>
        <v>ATL</v>
      </c>
      <c r="E3514" s="164" t="str">
        <f>IFERROR(__xludf.DUMMYFUNCTION("""COMPUTED_VALUE"""),"Stationary Shooter")</f>
        <v>Stationary Shooter</v>
      </c>
      <c r="F3514" s="164">
        <f>IFERROR(__xludf.DUMMYFUNCTION("""COMPUTED_VALUE"""),40.4566666666667)</f>
        <v>40.45666667</v>
      </c>
      <c r="G3514" s="163">
        <f>IFERROR(__xludf.DUMMYFUNCTION("""COMPUTED_VALUE"""),10.0)</f>
        <v>10</v>
      </c>
      <c r="H3514" s="163" t="str">
        <f>IFERROR(__xludf.DUMMYFUNCTION("""COMPUTED_VALUE"""),"SG")</f>
        <v>SG</v>
      </c>
      <c r="I3514" s="163">
        <f>IFERROR(__xludf.DUMMYFUNCTION("""COMPUTED_VALUE"""),22.0)</f>
        <v>22</v>
      </c>
      <c r="J3514" s="165">
        <f>IFERROR(__xludf.DUMMYFUNCTION("""COMPUTED_VALUE"""),0.0947347335315072)</f>
        <v>0.09473473353</v>
      </c>
      <c r="K3514" s="165">
        <f>IFERROR(__xludf.DUMMYFUNCTION("""COMPUTED_VALUE"""),-0.00108616434802571)</f>
        <v>-0.001086164348</v>
      </c>
      <c r="L3514" s="165">
        <f>IFERROR(__xludf.DUMMYFUNCTION("""COMPUTED_VALUE"""),0.0958208978795329)</f>
        <v>0.09582089788</v>
      </c>
      <c r="M3514" s="166">
        <f t="shared" si="2"/>
        <v>0.06495459686</v>
      </c>
      <c r="N3514" s="167">
        <f t="shared" si="3"/>
        <v>4.045666667</v>
      </c>
      <c r="O3514" s="163">
        <f t="shared" ref="O3514:Q3514" si="3518">rank(I3514,I:I)</f>
        <v>3178</v>
      </c>
      <c r="P3514" s="163">
        <f t="shared" si="3518"/>
        <v>1192</v>
      </c>
      <c r="Q3514" s="163">
        <f t="shared" si="3518"/>
        <v>1200</v>
      </c>
      <c r="R3514" s="163">
        <f>IFERROR(__xludf.DUMMYFUNCTION("RANK(M3514,filter(M:M,C:C=C3514))"),416.0)</f>
        <v>416</v>
      </c>
      <c r="S3514" s="161" t="b">
        <f t="shared" si="5"/>
        <v>0</v>
      </c>
      <c r="T3514" s="161" t="b">
        <f t="array" ref="T3514">index('Query Tool'!B:B,match(H3514,'Query Tool'!C:C,0))</f>
        <v>1</v>
      </c>
      <c r="U3514" s="161" t="b">
        <f t="array" ref="U3514">index('Query Tool'!B:B,match(C3514,'Query Tool'!C:C,0))</f>
        <v>0</v>
      </c>
      <c r="V3514" s="161" t="b">
        <f>F3514&gt;='Query Tool'!C$32</f>
        <v>0</v>
      </c>
      <c r="W3514" s="161" t="b">
        <f t="array" ref="W3514">index(Dropdowns!B:B,match(I3514,Dropdowns!A:A,0))</f>
        <v>1</v>
      </c>
      <c r="X3514" s="161" t="b">
        <f t="array" ref="X3514">index('Query Tool'!B:B,match(D3514,'Query Tool'!C:C,0))</f>
        <v>1</v>
      </c>
      <c r="Y3514" s="161" t="str">
        <f t="shared" si="6"/>
        <v>brownch02,2019-20</v>
      </c>
      <c r="Z3514" s="168" t="str">
        <f t="array" ref="Z3514">iferror(index(I:I,match($A3514&amp;","&amp;index('Year Conversion'!$A:$A,match($C3514,'Year Conversion'!$B:$B,0)),$Y:$Y,0))-I3514,"")</f>
        <v/>
      </c>
      <c r="AA3514" s="168" t="str">
        <f t="array" ref="AA3514">iferror(index(J:J,match($A3514&amp;","&amp;index('Year Conversion'!$A:$A,match($C3514,'Year Conversion'!$B:$B,0)),$Y:$Y,0))-J3514,"")</f>
        <v/>
      </c>
      <c r="AB3514" s="168" t="str">
        <f t="array" ref="AB3514">iferror(index(K:K,match($A3514&amp;","&amp;index('Year Conversion'!$A:$A,match($C3514,'Year Conversion'!$B:$B,0)),$Y:$Y,0))-K3514,"")</f>
        <v/>
      </c>
      <c r="AC3514" s="168" t="str">
        <f t="shared" si="7"/>
        <v>ATL,2019-20</v>
      </c>
    </row>
    <row r="3515">
      <c r="A3515" s="161" t="str">
        <f>IFERROR(__xludf.DUMMYFUNCTION("""COMPUTED_VALUE"""),"cacokde01")</f>
        <v>cacokde01</v>
      </c>
      <c r="B3515" s="161" t="str">
        <f>IFERROR(__xludf.DUMMYFUNCTION("""COMPUTED_VALUE"""),"Devontae Cacok")</f>
        <v>Devontae Cacok</v>
      </c>
      <c r="C3515" s="162" t="str">
        <f>IFERROR(__xludf.DUMMYFUNCTION("""COMPUTED_VALUE"""),"2019-20")</f>
        <v>2019-20</v>
      </c>
      <c r="D3515" s="163" t="str">
        <f>IFERROR(__xludf.DUMMYFUNCTION("""COMPUTED_VALUE"""),"LAL")</f>
        <v>LAL</v>
      </c>
      <c r="E3515" s="164" t="str">
        <f>IFERROR(__xludf.DUMMYFUNCTION("""COMPUTED_VALUE"""),"Roll + Cut Big")</f>
        <v>Roll + Cut Big</v>
      </c>
      <c r="F3515" s="164">
        <f>IFERROR(__xludf.DUMMYFUNCTION("""COMPUTED_VALUE"""),8.86666666666667)</f>
        <v>8.866666667</v>
      </c>
      <c r="G3515" s="163">
        <f>IFERROR(__xludf.DUMMYFUNCTION("""COMPUTED_VALUE"""),1.0)</f>
        <v>1</v>
      </c>
      <c r="H3515" s="163" t="str">
        <f>IFERROR(__xludf.DUMMYFUNCTION("""COMPUTED_VALUE"""),"C")</f>
        <v>C</v>
      </c>
      <c r="I3515" s="163">
        <f>IFERROR(__xludf.DUMMYFUNCTION("""COMPUTED_VALUE"""),23.0)</f>
        <v>23</v>
      </c>
      <c r="J3515" s="165">
        <f>IFERROR(__xludf.DUMMYFUNCTION("""COMPUTED_VALUE"""),-0.679907374077947)</f>
        <v>-0.6799073741</v>
      </c>
      <c r="K3515" s="165">
        <f>IFERROR(__xludf.DUMMYFUNCTION("""COMPUTED_VALUE"""),-0.0979523355003944)</f>
        <v>-0.0979523355</v>
      </c>
      <c r="L3515" s="165">
        <f>IFERROR(__xludf.DUMMYFUNCTION("""COMPUTED_VALUE"""),-0.581955038577552)</f>
        <v>-0.5819550386</v>
      </c>
      <c r="M3515" s="166">
        <f t="shared" si="2"/>
        <v>0.009607691072</v>
      </c>
      <c r="N3515" s="167">
        <f t="shared" si="3"/>
        <v>8.866666667</v>
      </c>
      <c r="O3515" s="163">
        <f t="shared" ref="O3515:Q3515" si="3519">rank(I3515,I:I)</f>
        <v>2765</v>
      </c>
      <c r="P3515" s="163">
        <f t="shared" si="3519"/>
        <v>2107</v>
      </c>
      <c r="Q3515" s="163">
        <f t="shared" si="3519"/>
        <v>1363</v>
      </c>
      <c r="R3515" s="163">
        <f>IFERROR(__xludf.DUMMYFUNCTION("RANK(M3515,filter(M:M,C:C=C3515))"),474.0)</f>
        <v>474</v>
      </c>
      <c r="S3515" s="161" t="b">
        <f t="shared" si="5"/>
        <v>0</v>
      </c>
      <c r="T3515" s="161" t="b">
        <f t="array" ref="T3515">index('Query Tool'!B:B,match(H3515,'Query Tool'!C:C,0))</f>
        <v>1</v>
      </c>
      <c r="U3515" s="161" t="b">
        <f t="array" ref="U3515">index('Query Tool'!B:B,match(C3515,'Query Tool'!C:C,0))</f>
        <v>0</v>
      </c>
      <c r="V3515" s="161" t="b">
        <f>F3515&gt;='Query Tool'!C$32</f>
        <v>0</v>
      </c>
      <c r="W3515" s="161" t="b">
        <f t="array" ref="W3515">index(Dropdowns!B:B,match(I3515,Dropdowns!A:A,0))</f>
        <v>1</v>
      </c>
      <c r="X3515" s="161" t="b">
        <f t="array" ref="X3515">index('Query Tool'!B:B,match(D3515,'Query Tool'!C:C,0))</f>
        <v>1</v>
      </c>
      <c r="Y3515" s="161" t="str">
        <f t="shared" si="6"/>
        <v>cacokde01,2019-20</v>
      </c>
      <c r="Z3515" s="168" t="str">
        <f t="array" ref="Z3515">iferror(index(I:I,match($A3515&amp;","&amp;index('Year Conversion'!$A:$A,match($C3515,'Year Conversion'!$B:$B,0)),$Y:$Y,0))-I3515,"")</f>
        <v/>
      </c>
      <c r="AA3515" s="168" t="str">
        <f t="array" ref="AA3515">iferror(index(J:J,match($A3515&amp;","&amp;index('Year Conversion'!$A:$A,match($C3515,'Year Conversion'!$B:$B,0)),$Y:$Y,0))-J3515,"")</f>
        <v/>
      </c>
      <c r="AB3515" s="168" t="str">
        <f t="array" ref="AB3515">iferror(index(K:K,match($A3515&amp;","&amp;index('Year Conversion'!$A:$A,match($C3515,'Year Conversion'!$B:$B,0)),$Y:$Y,0))-K3515,"")</f>
        <v/>
      </c>
      <c r="AC3515" s="168" t="str">
        <f t="shared" si="7"/>
        <v>LAL,2019-20</v>
      </c>
    </row>
    <row r="3516">
      <c r="A3516" s="161" t="str">
        <f>IFERROR(__xludf.DUMMYFUNCTION("""COMPUTED_VALUE"""),"konchjo01")</f>
        <v>konchjo01</v>
      </c>
      <c r="B3516" s="161" t="str">
        <f>IFERROR(__xludf.DUMMYFUNCTION("""COMPUTED_VALUE"""),"John Konchar")</f>
        <v>John Konchar</v>
      </c>
      <c r="C3516" s="162" t="str">
        <f>IFERROR(__xludf.DUMMYFUNCTION("""COMPUTED_VALUE"""),"2019-20")</f>
        <v>2019-20</v>
      </c>
      <c r="D3516" s="163" t="str">
        <f>IFERROR(__xludf.DUMMYFUNCTION("""COMPUTED_VALUE"""),"MEM")</f>
        <v>MEM</v>
      </c>
      <c r="E3516" s="164" t="str">
        <f>IFERROR(__xludf.DUMMYFUNCTION("""COMPUTED_VALUE"""),"Stretch Big")</f>
        <v>Stretch Big</v>
      </c>
      <c r="F3516" s="164">
        <f>IFERROR(__xludf.DUMMYFUNCTION("""COMPUTED_VALUE"""),181.113333333333)</f>
        <v>181.1133333</v>
      </c>
      <c r="G3516" s="163">
        <f>IFERROR(__xludf.DUMMYFUNCTION("""COMPUTED_VALUE"""),19.0)</f>
        <v>19</v>
      </c>
      <c r="H3516" s="163" t="str">
        <f>IFERROR(__xludf.DUMMYFUNCTION("""COMPUTED_VALUE"""),"SG")</f>
        <v>SG</v>
      </c>
      <c r="I3516" s="163">
        <f>IFERROR(__xludf.DUMMYFUNCTION("""COMPUTED_VALUE"""),23.0)</f>
        <v>23</v>
      </c>
      <c r="J3516" s="165">
        <f>IFERROR(__xludf.DUMMYFUNCTION("""COMPUTED_VALUE"""),0.0905129413814025)</f>
        <v>0.09051294138</v>
      </c>
      <c r="K3516" s="165">
        <f>IFERROR(__xludf.DUMMYFUNCTION("""COMPUTED_VALUE"""),-0.116420276858642)</f>
        <v>-0.1164202769</v>
      </c>
      <c r="L3516" s="165">
        <f>IFERROR(__xludf.DUMMYFUNCTION("""COMPUTED_VALUE"""),0.206933218240044)</f>
        <v>0.2069332182</v>
      </c>
      <c r="M3516" s="166">
        <f t="shared" si="2"/>
        <v>0.2902683245</v>
      </c>
      <c r="N3516" s="167">
        <f t="shared" si="3"/>
        <v>9.532280702</v>
      </c>
      <c r="O3516" s="163">
        <f t="shared" ref="O3516:Q3516" si="3520">rank(I3516,I:I)</f>
        <v>2765</v>
      </c>
      <c r="P3516" s="163">
        <f t="shared" si="3520"/>
        <v>1199</v>
      </c>
      <c r="Q3516" s="163">
        <f t="shared" si="3520"/>
        <v>1401</v>
      </c>
      <c r="R3516" s="163">
        <f>IFERROR(__xludf.DUMMYFUNCTION("RANK(M3516,filter(M:M,C:C=C3516))"),308.0)</f>
        <v>308</v>
      </c>
      <c r="S3516" s="161" t="b">
        <f t="shared" si="5"/>
        <v>0</v>
      </c>
      <c r="T3516" s="161" t="b">
        <f t="array" ref="T3516">index('Query Tool'!B:B,match(H3516,'Query Tool'!C:C,0))</f>
        <v>1</v>
      </c>
      <c r="U3516" s="161" t="b">
        <f t="array" ref="U3516">index('Query Tool'!B:B,match(C3516,'Query Tool'!C:C,0))</f>
        <v>0</v>
      </c>
      <c r="V3516" s="161" t="b">
        <f>F3516&gt;='Query Tool'!C$32</f>
        <v>0</v>
      </c>
      <c r="W3516" s="161" t="b">
        <f t="array" ref="W3516">index(Dropdowns!B:B,match(I3516,Dropdowns!A:A,0))</f>
        <v>1</v>
      </c>
      <c r="X3516" s="161" t="b">
        <f t="array" ref="X3516">index('Query Tool'!B:B,match(D3516,'Query Tool'!C:C,0))</f>
        <v>1</v>
      </c>
      <c r="Y3516" s="161" t="str">
        <f t="shared" si="6"/>
        <v>konchjo01,2019-20</v>
      </c>
      <c r="Z3516" s="168" t="str">
        <f t="array" ref="Z3516">iferror(index(I:I,match($A3516&amp;","&amp;index('Year Conversion'!$A:$A,match($C3516,'Year Conversion'!$B:$B,0)),$Y:$Y,0))-I3516,"")</f>
        <v/>
      </c>
      <c r="AA3516" s="168" t="str">
        <f t="array" ref="AA3516">iferror(index(J:J,match($A3516&amp;","&amp;index('Year Conversion'!$A:$A,match($C3516,'Year Conversion'!$B:$B,0)),$Y:$Y,0))-J3516,"")</f>
        <v/>
      </c>
      <c r="AB3516" s="168" t="str">
        <f t="array" ref="AB3516">iferror(index(K:K,match($A3516&amp;","&amp;index('Year Conversion'!$A:$A,match($C3516,'Year Conversion'!$B:$B,0)),$Y:$Y,0))-K3516,"")</f>
        <v/>
      </c>
      <c r="AC3516" s="168" t="str">
        <f t="shared" si="7"/>
        <v>MEM,2019-20</v>
      </c>
    </row>
    <row r="3517">
      <c r="A3517" s="161" t="str">
        <f>IFERROR(__xludf.DUMMYFUNCTION("""COMPUTED_VALUE"""),"lawvi01")</f>
        <v>lawvi01</v>
      </c>
      <c r="B3517" s="161" t="str">
        <f>IFERROR(__xludf.DUMMYFUNCTION("""COMPUTED_VALUE"""),"Vic Law")</f>
        <v>Vic Law</v>
      </c>
      <c r="C3517" s="162" t="str">
        <f>IFERROR(__xludf.DUMMYFUNCTION("""COMPUTED_VALUE"""),"2019-20")</f>
        <v>2019-20</v>
      </c>
      <c r="D3517" s="163" t="str">
        <f>IFERROR(__xludf.DUMMYFUNCTION("""COMPUTED_VALUE"""),"ORL")</f>
        <v>ORL</v>
      </c>
      <c r="E3517" s="164" t="str">
        <f>IFERROR(__xludf.DUMMYFUNCTION("""COMPUTED_VALUE"""),"Athletic Finisher")</f>
        <v>Athletic Finisher</v>
      </c>
      <c r="F3517" s="164">
        <f>IFERROR(__xludf.DUMMYFUNCTION("""COMPUTED_VALUE"""),61.8883333333333)</f>
        <v>61.88833333</v>
      </c>
      <c r="G3517" s="163">
        <f>IFERROR(__xludf.DUMMYFUNCTION("""COMPUTED_VALUE"""),8.0)</f>
        <v>8</v>
      </c>
      <c r="H3517" s="163" t="str">
        <f>IFERROR(__xludf.DUMMYFUNCTION("""COMPUTED_VALUE"""),"PF")</f>
        <v>PF</v>
      </c>
      <c r="I3517" s="163">
        <f>IFERROR(__xludf.DUMMYFUNCTION("""COMPUTED_VALUE"""),24.0)</f>
        <v>24</v>
      </c>
      <c r="J3517" s="165">
        <f>IFERROR(__xludf.DUMMYFUNCTION("""COMPUTED_VALUE"""),-1.02104067309408)</f>
        <v>-1.021040673</v>
      </c>
      <c r="K3517" s="165">
        <f>IFERROR(__xludf.DUMMYFUNCTION("""COMPUTED_VALUE"""),-0.831168722737767)</f>
        <v>-0.8311687227</v>
      </c>
      <c r="L3517" s="165">
        <f>IFERROR(__xludf.DUMMYFUNCTION("""COMPUTED_VALUE"""),-0.189871950356308)</f>
        <v>-0.1898719504</v>
      </c>
      <c r="M3517" s="166">
        <f t="shared" si="2"/>
        <v>0.05287037754</v>
      </c>
      <c r="N3517" s="167">
        <f t="shared" si="3"/>
        <v>7.736041667</v>
      </c>
      <c r="O3517" s="163">
        <f t="shared" ref="O3517:Q3517" si="3521">rank(I3517,I:I)</f>
        <v>2361</v>
      </c>
      <c r="P3517" s="163">
        <f t="shared" si="3521"/>
        <v>2526</v>
      </c>
      <c r="Q3517" s="163">
        <f t="shared" si="3521"/>
        <v>2593</v>
      </c>
      <c r="R3517" s="163">
        <f>IFERROR(__xludf.DUMMYFUNCTION("RANK(M3517,filter(M:M,C:C=C3517))"),427.0)</f>
        <v>427</v>
      </c>
      <c r="S3517" s="161" t="b">
        <f t="shared" si="5"/>
        <v>0</v>
      </c>
      <c r="T3517" s="161" t="b">
        <f t="array" ref="T3517">index('Query Tool'!B:B,match(H3517,'Query Tool'!C:C,0))</f>
        <v>1</v>
      </c>
      <c r="U3517" s="161" t="b">
        <f t="array" ref="U3517">index('Query Tool'!B:B,match(C3517,'Query Tool'!C:C,0))</f>
        <v>0</v>
      </c>
      <c r="V3517" s="161" t="b">
        <f>F3517&gt;='Query Tool'!C$32</f>
        <v>0</v>
      </c>
      <c r="W3517" s="161" t="b">
        <f t="array" ref="W3517">index(Dropdowns!B:B,match(I3517,Dropdowns!A:A,0))</f>
        <v>1</v>
      </c>
      <c r="X3517" s="161" t="b">
        <f t="array" ref="X3517">index('Query Tool'!B:B,match(D3517,'Query Tool'!C:C,0))</f>
        <v>1</v>
      </c>
      <c r="Y3517" s="161" t="str">
        <f t="shared" si="6"/>
        <v>lawvi01,2019-20</v>
      </c>
      <c r="Z3517" s="168" t="str">
        <f t="array" ref="Z3517">iferror(index(I:I,match($A3517&amp;","&amp;index('Year Conversion'!$A:$A,match($C3517,'Year Conversion'!$B:$B,0)),$Y:$Y,0))-I3517,"")</f>
        <v/>
      </c>
      <c r="AA3517" s="168" t="str">
        <f t="array" ref="AA3517">iferror(index(J:J,match($A3517&amp;","&amp;index('Year Conversion'!$A:$A,match($C3517,'Year Conversion'!$B:$B,0)),$Y:$Y,0))-J3517,"")</f>
        <v/>
      </c>
      <c r="AB3517" s="168" t="str">
        <f t="array" ref="AB3517">iferror(index(K:K,match($A3517&amp;","&amp;index('Year Conversion'!$A:$A,match($C3517,'Year Conversion'!$B:$B,0)),$Y:$Y,0))-K3517,"")</f>
        <v/>
      </c>
      <c r="AC3517" s="168" t="str">
        <f t="shared" si="7"/>
        <v>ORL,2019-20</v>
      </c>
    </row>
    <row r="3518">
      <c r="A3518" s="161" t="str">
        <f>IFERROR(__xludf.DUMMYFUNCTION("""COMPUTED_VALUE"""),"martije02")</f>
        <v>martije02</v>
      </c>
      <c r="B3518" s="161" t="str">
        <f>IFERROR(__xludf.DUMMYFUNCTION("""COMPUTED_VALUE"""),"Jeremiah Martin")</f>
        <v>Jeremiah Martin</v>
      </c>
      <c r="C3518" s="162" t="str">
        <f>IFERROR(__xludf.DUMMYFUNCTION("""COMPUTED_VALUE"""),"2019-20")</f>
        <v>2019-20</v>
      </c>
      <c r="D3518" s="163" t="str">
        <f>IFERROR(__xludf.DUMMYFUNCTION("""COMPUTED_VALUE"""),"BRK")</f>
        <v>BRK</v>
      </c>
      <c r="E3518" s="164" t="str">
        <f>IFERROR(__xludf.DUMMYFUNCTION("""COMPUTED_VALUE"""),"Stationary Shooter")</f>
        <v>Stationary Shooter</v>
      </c>
      <c r="F3518" s="164">
        <f>IFERROR(__xludf.DUMMYFUNCTION("""COMPUTED_VALUE"""),99.1033333333333)</f>
        <v>99.10333333</v>
      </c>
      <c r="G3518" s="163">
        <f>IFERROR(__xludf.DUMMYFUNCTION("""COMPUTED_VALUE"""),9.0)</f>
        <v>9</v>
      </c>
      <c r="H3518" s="163" t="str">
        <f>IFERROR(__xludf.DUMMYFUNCTION("""COMPUTED_VALUE"""),"PG")</f>
        <v>PG</v>
      </c>
      <c r="I3518" s="163">
        <f>IFERROR(__xludf.DUMMYFUNCTION("""COMPUTED_VALUE"""),23.0)</f>
        <v>23</v>
      </c>
      <c r="J3518" s="165">
        <f>IFERROR(__xludf.DUMMYFUNCTION("""COMPUTED_VALUE"""),0.115725538056243)</f>
        <v>0.1157255381</v>
      </c>
      <c r="K3518" s="165">
        <f>IFERROR(__xludf.DUMMYFUNCTION("""COMPUTED_VALUE"""),0.423596047466837)</f>
        <v>0.4235960475</v>
      </c>
      <c r="L3518" s="165">
        <f>IFERROR(__xludf.DUMMYFUNCTION("""COMPUTED_VALUE"""),-0.307870509410594)</f>
        <v>-0.3078705094</v>
      </c>
      <c r="M3518" s="166">
        <f t="shared" si="2"/>
        <v>0.1605163008</v>
      </c>
      <c r="N3518" s="167">
        <f t="shared" si="3"/>
        <v>11.01148148</v>
      </c>
      <c r="O3518" s="163">
        <f t="shared" ref="O3518:Q3518" si="3522">rank(I3518,I:I)</f>
        <v>2765</v>
      </c>
      <c r="P3518" s="163">
        <f t="shared" si="3522"/>
        <v>1167</v>
      </c>
      <c r="Q3518" s="163">
        <f t="shared" si="3522"/>
        <v>813</v>
      </c>
      <c r="R3518" s="163">
        <f>IFERROR(__xludf.DUMMYFUNCTION("RANK(M3518,filter(M:M,C:C=C3518))"),355.0)</f>
        <v>355</v>
      </c>
      <c r="S3518" s="161" t="b">
        <f t="shared" si="5"/>
        <v>0</v>
      </c>
      <c r="T3518" s="161" t="b">
        <f t="array" ref="T3518">index('Query Tool'!B:B,match(H3518,'Query Tool'!C:C,0))</f>
        <v>1</v>
      </c>
      <c r="U3518" s="161" t="b">
        <f t="array" ref="U3518">index('Query Tool'!B:B,match(C3518,'Query Tool'!C:C,0))</f>
        <v>0</v>
      </c>
      <c r="V3518" s="161" t="b">
        <f>F3518&gt;='Query Tool'!C$32</f>
        <v>0</v>
      </c>
      <c r="W3518" s="161" t="b">
        <f t="array" ref="W3518">index(Dropdowns!B:B,match(I3518,Dropdowns!A:A,0))</f>
        <v>1</v>
      </c>
      <c r="X3518" s="161" t="b">
        <f t="array" ref="X3518">index('Query Tool'!B:B,match(D3518,'Query Tool'!C:C,0))</f>
        <v>1</v>
      </c>
      <c r="Y3518" s="161" t="str">
        <f t="shared" si="6"/>
        <v>martije02,2019-20</v>
      </c>
      <c r="Z3518" s="168" t="str">
        <f t="array" ref="Z3518">iferror(index(I:I,match($A3518&amp;","&amp;index('Year Conversion'!$A:$A,match($C3518,'Year Conversion'!$B:$B,0)),$Y:$Y,0))-I3518,"")</f>
        <v/>
      </c>
      <c r="AA3518" s="168" t="str">
        <f t="array" ref="AA3518">iferror(index(J:J,match($A3518&amp;","&amp;index('Year Conversion'!$A:$A,match($C3518,'Year Conversion'!$B:$B,0)),$Y:$Y,0))-J3518,"")</f>
        <v/>
      </c>
      <c r="AB3518" s="168" t="str">
        <f t="array" ref="AB3518">iferror(index(K:K,match($A3518&amp;","&amp;index('Year Conversion'!$A:$A,match($C3518,'Year Conversion'!$B:$B,0)),$Y:$Y,0))-K3518,"")</f>
        <v/>
      </c>
      <c r="AC3518" s="168" t="str">
        <f t="shared" si="7"/>
        <v>BRK,2019-20</v>
      </c>
    </row>
    <row r="3519">
      <c r="A3519" s="161" t="str">
        <f>IFERROR(__xludf.DUMMYFUNCTION("""COMPUTED_VALUE"""),"mathega01")</f>
        <v>mathega01</v>
      </c>
      <c r="B3519" s="161" t="str">
        <f>IFERROR(__xludf.DUMMYFUNCTION("""COMPUTED_VALUE"""),"Garrison Mathews")</f>
        <v>Garrison Mathews</v>
      </c>
      <c r="C3519" s="162" t="str">
        <f>IFERROR(__xludf.DUMMYFUNCTION("""COMPUTED_VALUE"""),"2019-20")</f>
        <v>2019-20</v>
      </c>
      <c r="D3519" s="163" t="str">
        <f>IFERROR(__xludf.DUMMYFUNCTION("""COMPUTED_VALUE"""),"WAS")</f>
        <v>WAS</v>
      </c>
      <c r="E3519" s="164" t="str">
        <f>IFERROR(__xludf.DUMMYFUNCTION("""COMPUTED_VALUE"""),"Movement Shooter")</f>
        <v>Movement Shooter</v>
      </c>
      <c r="F3519" s="164">
        <f>IFERROR(__xludf.DUMMYFUNCTION("""COMPUTED_VALUE"""),227.396666666667)</f>
        <v>227.3966667</v>
      </c>
      <c r="G3519" s="163">
        <f>IFERROR(__xludf.DUMMYFUNCTION("""COMPUTED_VALUE"""),18.0)</f>
        <v>18</v>
      </c>
      <c r="H3519" s="163" t="str">
        <f>IFERROR(__xludf.DUMMYFUNCTION("""COMPUTED_VALUE"""),"SG")</f>
        <v>SG</v>
      </c>
      <c r="I3519" s="163">
        <f>IFERROR(__xludf.DUMMYFUNCTION("""COMPUTED_VALUE"""),23.0)</f>
        <v>23</v>
      </c>
      <c r="J3519" s="165">
        <f>IFERROR(__xludf.DUMMYFUNCTION("""COMPUTED_VALUE"""),-0.624582254476066)</f>
        <v>-0.6245822545</v>
      </c>
      <c r="K3519" s="165">
        <f>IFERROR(__xludf.DUMMYFUNCTION("""COMPUTED_VALUE"""),-0.0405472356513776)</f>
        <v>-0.04054723565</v>
      </c>
      <c r="L3519" s="165">
        <f>IFERROR(__xludf.DUMMYFUNCTION("""COMPUTED_VALUE"""),-0.584035018824688)</f>
        <v>-0.5840350188</v>
      </c>
      <c r="M3519" s="166">
        <f t="shared" si="2"/>
        <v>0.2548679397</v>
      </c>
      <c r="N3519" s="167">
        <f t="shared" si="3"/>
        <v>12.63314815</v>
      </c>
      <c r="O3519" s="163">
        <f t="shared" ref="O3519:Q3519" si="3523">rank(I3519,I:I)</f>
        <v>2765</v>
      </c>
      <c r="P3519" s="163">
        <f t="shared" si="3523"/>
        <v>2028</v>
      </c>
      <c r="Q3519" s="163">
        <f t="shared" si="3523"/>
        <v>1255</v>
      </c>
      <c r="R3519" s="163">
        <f>IFERROR(__xludf.DUMMYFUNCTION("RANK(M3519,filter(M:M,C:C=C3519))"),319.0)</f>
        <v>319</v>
      </c>
      <c r="S3519" s="161" t="b">
        <f t="shared" si="5"/>
        <v>0</v>
      </c>
      <c r="T3519" s="161" t="b">
        <f t="array" ref="T3519">index('Query Tool'!B:B,match(H3519,'Query Tool'!C:C,0))</f>
        <v>1</v>
      </c>
      <c r="U3519" s="161" t="b">
        <f t="array" ref="U3519">index('Query Tool'!B:B,match(C3519,'Query Tool'!C:C,0))</f>
        <v>0</v>
      </c>
      <c r="V3519" s="161" t="b">
        <f>F3519&gt;='Query Tool'!C$32</f>
        <v>0</v>
      </c>
      <c r="W3519" s="161" t="b">
        <f t="array" ref="W3519">index(Dropdowns!B:B,match(I3519,Dropdowns!A:A,0))</f>
        <v>1</v>
      </c>
      <c r="X3519" s="161" t="b">
        <f t="array" ref="X3519">index('Query Tool'!B:B,match(D3519,'Query Tool'!C:C,0))</f>
        <v>1</v>
      </c>
      <c r="Y3519" s="161" t="str">
        <f t="shared" si="6"/>
        <v>mathega01,2019-20</v>
      </c>
      <c r="Z3519" s="168" t="str">
        <f t="array" ref="Z3519">iferror(index(I:I,match($A3519&amp;","&amp;index('Year Conversion'!$A:$A,match($C3519,'Year Conversion'!$B:$B,0)),$Y:$Y,0))-I3519,"")</f>
        <v/>
      </c>
      <c r="AA3519" s="168" t="str">
        <f t="array" ref="AA3519">iferror(index(J:J,match($A3519&amp;","&amp;index('Year Conversion'!$A:$A,match($C3519,'Year Conversion'!$B:$B,0)),$Y:$Y,0))-J3519,"")</f>
        <v/>
      </c>
      <c r="AB3519" s="168" t="str">
        <f t="array" ref="AB3519">iferror(index(K:K,match($A3519&amp;","&amp;index('Year Conversion'!$A:$A,match($C3519,'Year Conversion'!$B:$B,0)),$Y:$Y,0))-K3519,"")</f>
        <v/>
      </c>
      <c r="AC3519" s="168" t="str">
        <f t="shared" si="7"/>
        <v>WAS,2019-20</v>
      </c>
    </row>
    <row r="3520">
      <c r="A3520" s="161" t="str">
        <f>IFERROR(__xludf.DUMMYFUNCTION("""COMPUTED_VALUE"""),"reavejo02")</f>
        <v>reavejo02</v>
      </c>
      <c r="B3520" s="161" t="str">
        <f>IFERROR(__xludf.DUMMYFUNCTION("""COMPUTED_VALUE"""),"Josh Reaves")</f>
        <v>Josh Reaves</v>
      </c>
      <c r="C3520" s="162" t="str">
        <f>IFERROR(__xludf.DUMMYFUNCTION("""COMPUTED_VALUE"""),"2019-20")</f>
        <v>2019-20</v>
      </c>
      <c r="D3520" s="163" t="str">
        <f>IFERROR(__xludf.DUMMYFUNCTION("""COMPUTED_VALUE"""),"DAL")</f>
        <v>DAL</v>
      </c>
      <c r="E3520" s="164" t="str">
        <f>IFERROR(__xludf.DUMMYFUNCTION("""COMPUTED_VALUE"""),"Roll + Cut Big")</f>
        <v>Roll + Cut Big</v>
      </c>
      <c r="F3520" s="164">
        <f>IFERROR(__xludf.DUMMYFUNCTION("""COMPUTED_VALUE"""),28.3183333333333)</f>
        <v>28.31833333</v>
      </c>
      <c r="G3520" s="163">
        <f>IFERROR(__xludf.DUMMYFUNCTION("""COMPUTED_VALUE"""),4.0)</f>
        <v>4</v>
      </c>
      <c r="H3520" s="163" t="str">
        <f>IFERROR(__xludf.DUMMYFUNCTION("""COMPUTED_VALUE"""),"SF")</f>
        <v>SF</v>
      </c>
      <c r="I3520" s="163">
        <f>IFERROR(__xludf.DUMMYFUNCTION("""COMPUTED_VALUE"""),22.0)</f>
        <v>22</v>
      </c>
      <c r="J3520" s="165">
        <f>IFERROR(__xludf.DUMMYFUNCTION("""COMPUTED_VALUE"""),-0.629589873605454)</f>
        <v>-0.6295898736</v>
      </c>
      <c r="K3520" s="165">
        <f>IFERROR(__xludf.DUMMYFUNCTION("""COMPUTED_VALUE"""),-0.35936052404078)</f>
        <v>-0.359360524</v>
      </c>
      <c r="L3520" s="165">
        <f>IFERROR(__xludf.DUMMYFUNCTION("""COMPUTED_VALUE"""),-0.270229349564674)</f>
        <v>-0.2702293496</v>
      </c>
      <c r="M3520" s="166">
        <f t="shared" si="2"/>
        <v>0.03164395802</v>
      </c>
      <c r="N3520" s="167">
        <f t="shared" si="3"/>
        <v>7.079583333</v>
      </c>
      <c r="O3520" s="163">
        <f t="shared" ref="O3520:Q3520" si="3524">rank(I3520,I:I)</f>
        <v>3178</v>
      </c>
      <c r="P3520" s="163">
        <f t="shared" si="3524"/>
        <v>2035</v>
      </c>
      <c r="Q3520" s="163">
        <f t="shared" si="3524"/>
        <v>1876</v>
      </c>
      <c r="R3520" s="163">
        <f>IFERROR(__xludf.DUMMYFUNCTION("RANK(M3520,filter(M:M,C:C=C3520))"),453.0)</f>
        <v>453</v>
      </c>
      <c r="S3520" s="161" t="b">
        <f t="shared" si="5"/>
        <v>0</v>
      </c>
      <c r="T3520" s="161" t="b">
        <f t="array" ref="T3520">index('Query Tool'!B:B,match(H3520,'Query Tool'!C:C,0))</f>
        <v>1</v>
      </c>
      <c r="U3520" s="161" t="b">
        <f t="array" ref="U3520">index('Query Tool'!B:B,match(C3520,'Query Tool'!C:C,0))</f>
        <v>0</v>
      </c>
      <c r="V3520" s="161" t="b">
        <f>F3520&gt;='Query Tool'!C$32</f>
        <v>0</v>
      </c>
      <c r="W3520" s="161" t="b">
        <f t="array" ref="W3520">index(Dropdowns!B:B,match(I3520,Dropdowns!A:A,0))</f>
        <v>1</v>
      </c>
      <c r="X3520" s="161" t="b">
        <f t="array" ref="X3520">index('Query Tool'!B:B,match(D3520,'Query Tool'!C:C,0))</f>
        <v>1</v>
      </c>
      <c r="Y3520" s="161" t="str">
        <f t="shared" si="6"/>
        <v>reavejo02,2019-20</v>
      </c>
      <c r="Z3520" s="168" t="str">
        <f t="array" ref="Z3520">iferror(index(I:I,match($A3520&amp;","&amp;index('Year Conversion'!$A:$A,match($C3520,'Year Conversion'!$B:$B,0)),$Y:$Y,0))-I3520,"")</f>
        <v/>
      </c>
      <c r="AA3520" s="168" t="str">
        <f t="array" ref="AA3520">iferror(index(J:J,match($A3520&amp;","&amp;index('Year Conversion'!$A:$A,match($C3520,'Year Conversion'!$B:$B,0)),$Y:$Y,0))-J3520,"")</f>
        <v/>
      </c>
      <c r="AB3520" s="168" t="str">
        <f t="array" ref="AB3520">iferror(index(K:K,match($A3520&amp;","&amp;index('Year Conversion'!$A:$A,match($C3520,'Year Conversion'!$B:$B,0)),$Y:$Y,0))-K3520,"")</f>
        <v/>
      </c>
      <c r="AC3520" s="168" t="str">
        <f t="shared" si="7"/>
        <v>DAL,2019-20</v>
      </c>
    </row>
    <row r="3521">
      <c r="A3521" s="161" t="str">
        <f>IFERROR(__xludf.DUMMYFUNCTION("""COMPUTED_VALUE"""),"tuckera01")</f>
        <v>tuckera01</v>
      </c>
      <c r="B3521" s="161" t="str">
        <f>IFERROR(__xludf.DUMMYFUNCTION("""COMPUTED_VALUE"""),"Rayjon Tucker")</f>
        <v>Rayjon Tucker</v>
      </c>
      <c r="C3521" s="162" t="str">
        <f>IFERROR(__xludf.DUMMYFUNCTION("""COMPUTED_VALUE"""),"2019-20")</f>
        <v>2019-20</v>
      </c>
      <c r="D3521" s="163" t="str">
        <f>IFERROR(__xludf.DUMMYFUNCTION("""COMPUTED_VALUE"""),"UTA")</f>
        <v>UTA</v>
      </c>
      <c r="E3521" s="164" t="str">
        <f>IFERROR(__xludf.DUMMYFUNCTION("""COMPUTED_VALUE"""),"Movement Shooter")</f>
        <v>Movement Shooter</v>
      </c>
      <c r="F3521" s="164">
        <f>IFERROR(__xludf.DUMMYFUNCTION("""COMPUTED_VALUE"""),161.448333333333)</f>
        <v>161.4483333</v>
      </c>
      <c r="G3521" s="163">
        <f>IFERROR(__xludf.DUMMYFUNCTION("""COMPUTED_VALUE"""),20.0)</f>
        <v>20</v>
      </c>
      <c r="H3521" s="163" t="str">
        <f>IFERROR(__xludf.DUMMYFUNCTION("""COMPUTED_VALUE"""),"SG")</f>
        <v>SG</v>
      </c>
      <c r="I3521" s="163">
        <f>IFERROR(__xludf.DUMMYFUNCTION("""COMPUTED_VALUE"""),22.0)</f>
        <v>22</v>
      </c>
      <c r="J3521" s="165">
        <f>IFERROR(__xludf.DUMMYFUNCTION("""COMPUTED_VALUE"""),-1.3313656647468)</f>
        <v>-1.331365665</v>
      </c>
      <c r="K3521" s="165">
        <f>IFERROR(__xludf.DUMMYFUNCTION("""COMPUTED_VALUE"""),-0.618900159964647)</f>
        <v>-0.61890016</v>
      </c>
      <c r="L3521" s="165">
        <f>IFERROR(__xludf.DUMMYFUNCTION("""COMPUTED_VALUE"""),-0.712465504782158)</f>
        <v>-0.7124655048</v>
      </c>
      <c r="M3521" s="166">
        <f t="shared" si="2"/>
        <v>0.1043403773</v>
      </c>
      <c r="N3521" s="167">
        <f t="shared" si="3"/>
        <v>8.072416667</v>
      </c>
      <c r="O3521" s="163">
        <f t="shared" ref="O3521:Q3521" si="3525">rank(I3521,I:I)</f>
        <v>3178</v>
      </c>
      <c r="P3521" s="163">
        <f t="shared" si="3525"/>
        <v>2896</v>
      </c>
      <c r="Q3521" s="163">
        <f t="shared" si="3525"/>
        <v>2290</v>
      </c>
      <c r="R3521" s="163">
        <f>IFERROR(__xludf.DUMMYFUNCTION("RANK(M3521,filter(M:M,C:C=C3521))"),384.0)</f>
        <v>384</v>
      </c>
      <c r="S3521" s="161" t="b">
        <f t="shared" si="5"/>
        <v>0</v>
      </c>
      <c r="T3521" s="161" t="b">
        <f t="array" ref="T3521">index('Query Tool'!B:B,match(H3521,'Query Tool'!C:C,0))</f>
        <v>1</v>
      </c>
      <c r="U3521" s="161" t="b">
        <f t="array" ref="U3521">index('Query Tool'!B:B,match(C3521,'Query Tool'!C:C,0))</f>
        <v>0</v>
      </c>
      <c r="V3521" s="161" t="b">
        <f>F3521&gt;='Query Tool'!C$32</f>
        <v>0</v>
      </c>
      <c r="W3521" s="161" t="b">
        <f t="array" ref="W3521">index(Dropdowns!B:B,match(I3521,Dropdowns!A:A,0))</f>
        <v>1</v>
      </c>
      <c r="X3521" s="161" t="b">
        <f t="array" ref="X3521">index('Query Tool'!B:B,match(D3521,'Query Tool'!C:C,0))</f>
        <v>1</v>
      </c>
      <c r="Y3521" s="161" t="str">
        <f t="shared" si="6"/>
        <v>tuckera01,2019-20</v>
      </c>
      <c r="Z3521" s="168" t="str">
        <f t="array" ref="Z3521">iferror(index(I:I,match($A3521&amp;","&amp;index('Year Conversion'!$A:$A,match($C3521,'Year Conversion'!$B:$B,0)),$Y:$Y,0))-I3521,"")</f>
        <v/>
      </c>
      <c r="AA3521" s="168" t="str">
        <f t="array" ref="AA3521">iferror(index(J:J,match($A3521&amp;","&amp;index('Year Conversion'!$A:$A,match($C3521,'Year Conversion'!$B:$B,0)),$Y:$Y,0))-J3521,"")</f>
        <v/>
      </c>
      <c r="AB3521" s="168" t="str">
        <f t="array" ref="AB3521">iferror(index(K:K,match($A3521&amp;","&amp;index('Year Conversion'!$A:$A,match($C3521,'Year Conversion'!$B:$B,0)),$Y:$Y,0))-K3521,"")</f>
        <v/>
      </c>
      <c r="AC3521" s="168" t="str">
        <f t="shared" si="7"/>
        <v>UTA,2019-20</v>
      </c>
    </row>
    <row r="3522">
      <c r="A3522" s="161" t="str">
        <f>IFERROR(__xludf.DUMMYFUNCTION("""COMPUTED_VALUE"""),"wadede01")</f>
        <v>wadede01</v>
      </c>
      <c r="B3522" s="161" t="str">
        <f>IFERROR(__xludf.DUMMYFUNCTION("""COMPUTED_VALUE"""),"Dean Wade")</f>
        <v>Dean Wade</v>
      </c>
      <c r="C3522" s="162" t="str">
        <f>IFERROR(__xludf.DUMMYFUNCTION("""COMPUTED_VALUE"""),"2019-20")</f>
        <v>2019-20</v>
      </c>
      <c r="D3522" s="163" t="str">
        <f>IFERROR(__xludf.DUMMYFUNCTION("""COMPUTED_VALUE"""),"CLE")</f>
        <v>CLE</v>
      </c>
      <c r="E3522" s="164" t="str">
        <f>IFERROR(__xludf.DUMMYFUNCTION("""COMPUTED_VALUE"""),"Stretch Big")</f>
        <v>Stretch Big</v>
      </c>
      <c r="F3522" s="164">
        <f>IFERROR(__xludf.DUMMYFUNCTION("""COMPUTED_VALUE"""),71.4166666666667)</f>
        <v>71.41666667</v>
      </c>
      <c r="G3522" s="163">
        <f>IFERROR(__xludf.DUMMYFUNCTION("""COMPUTED_VALUE"""),12.0)</f>
        <v>12</v>
      </c>
      <c r="H3522" s="163" t="str">
        <f>IFERROR(__xludf.DUMMYFUNCTION("""COMPUTED_VALUE"""),"PF")</f>
        <v>PF</v>
      </c>
      <c r="I3522" s="163">
        <f>IFERROR(__xludf.DUMMYFUNCTION("""COMPUTED_VALUE"""),23.0)</f>
        <v>23</v>
      </c>
      <c r="J3522" s="165">
        <f>IFERROR(__xludf.DUMMYFUNCTION("""COMPUTED_VALUE"""),0.150024245419254)</f>
        <v>0.1500242454</v>
      </c>
      <c r="K3522" s="165">
        <f>IFERROR(__xludf.DUMMYFUNCTION("""COMPUTED_VALUE"""),-0.454853477661119)</f>
        <v>-0.4548534777</v>
      </c>
      <c r="L3522" s="165">
        <f>IFERROR(__xludf.DUMMYFUNCTION("""COMPUTED_VALUE"""),0.604877723080373)</f>
        <v>0.6048777231</v>
      </c>
      <c r="M3522" s="166">
        <f t="shared" si="2"/>
        <v>0.1173238944</v>
      </c>
      <c r="N3522" s="167">
        <f t="shared" si="3"/>
        <v>5.951388889</v>
      </c>
      <c r="O3522" s="163">
        <f t="shared" ref="O3522:Q3522" si="3526">rank(I3522,I:I)</f>
        <v>2765</v>
      </c>
      <c r="P3522" s="163">
        <f t="shared" si="3526"/>
        <v>1135</v>
      </c>
      <c r="Q3522" s="163">
        <f t="shared" si="3526"/>
        <v>2043</v>
      </c>
      <c r="R3522" s="163">
        <f>IFERROR(__xludf.DUMMYFUNCTION("RANK(M3522,filter(M:M,C:C=C3522))"),377.0)</f>
        <v>377</v>
      </c>
      <c r="S3522" s="161" t="b">
        <f t="shared" si="5"/>
        <v>0</v>
      </c>
      <c r="T3522" s="161" t="b">
        <f t="array" ref="T3522">index('Query Tool'!B:B,match(H3522,'Query Tool'!C:C,0))</f>
        <v>1</v>
      </c>
      <c r="U3522" s="161" t="b">
        <f t="array" ref="U3522">index('Query Tool'!B:B,match(C3522,'Query Tool'!C:C,0))</f>
        <v>0</v>
      </c>
      <c r="V3522" s="161" t="b">
        <f>F3522&gt;='Query Tool'!C$32</f>
        <v>0</v>
      </c>
      <c r="W3522" s="161" t="b">
        <f t="array" ref="W3522">index(Dropdowns!B:B,match(I3522,Dropdowns!A:A,0))</f>
        <v>1</v>
      </c>
      <c r="X3522" s="161" t="b">
        <f t="array" ref="X3522">index('Query Tool'!B:B,match(D3522,'Query Tool'!C:C,0))</f>
        <v>1</v>
      </c>
      <c r="Y3522" s="161" t="str">
        <f t="shared" si="6"/>
        <v>wadede01,2019-20</v>
      </c>
      <c r="Z3522" s="168" t="str">
        <f t="array" ref="Z3522">iferror(index(I:I,match($A3522&amp;","&amp;index('Year Conversion'!$A:$A,match($C3522,'Year Conversion'!$B:$B,0)),$Y:$Y,0))-I3522,"")</f>
        <v/>
      </c>
      <c r="AA3522" s="168" t="str">
        <f t="array" ref="AA3522">iferror(index(J:J,match($A3522&amp;","&amp;index('Year Conversion'!$A:$A,match($C3522,'Year Conversion'!$B:$B,0)),$Y:$Y,0))-J3522,"")</f>
        <v/>
      </c>
      <c r="AB3522" s="168" t="str">
        <f t="array" ref="AB3522">iferror(index(K:K,match($A3522&amp;","&amp;index('Year Conversion'!$A:$A,match($C3522,'Year Conversion'!$B:$B,0)),$Y:$Y,0))-K3522,"")</f>
        <v/>
      </c>
      <c r="AC3522" s="168" t="str">
        <f t="shared" si="7"/>
        <v>CLE,2019-20</v>
      </c>
    </row>
    <row r="3523">
      <c r="A3523" s="161" t="str">
        <f>IFERROR(__xludf.DUMMYFUNCTION("""COMPUTED_VALUE"""),"alexaky01")</f>
        <v>alexaky01</v>
      </c>
      <c r="B3523" s="161" t="str">
        <f>IFERROR(__xludf.DUMMYFUNCTION("""COMPUTED_VALUE"""),"Kyle Alexander")</f>
        <v>Kyle Alexander</v>
      </c>
      <c r="C3523" s="162" t="str">
        <f>IFERROR(__xludf.DUMMYFUNCTION("""COMPUTED_VALUE"""),"2019-20")</f>
        <v>2019-20</v>
      </c>
      <c r="D3523" s="163" t="str">
        <f>IFERROR(__xludf.DUMMYFUNCTION("""COMPUTED_VALUE"""),"MIA")</f>
        <v>MIA</v>
      </c>
      <c r="E3523" s="164" t="str">
        <f>IFERROR(__xludf.DUMMYFUNCTION("""COMPUTED_VALUE"""),"Roll + Cut Big")</f>
        <v>Roll + Cut Big</v>
      </c>
      <c r="F3523" s="164">
        <f>IFERROR(__xludf.DUMMYFUNCTION("""COMPUTED_VALUE"""),13.3666666666667)</f>
        <v>13.36666667</v>
      </c>
      <c r="G3523" s="163">
        <f>IFERROR(__xludf.DUMMYFUNCTION("""COMPUTED_VALUE"""),2.0)</f>
        <v>2</v>
      </c>
      <c r="H3523" s="163" t="str">
        <f>IFERROR(__xludf.DUMMYFUNCTION("""COMPUTED_VALUE"""),"C")</f>
        <v>C</v>
      </c>
      <c r="I3523" s="163">
        <f>IFERROR(__xludf.DUMMYFUNCTION("""COMPUTED_VALUE"""),23.0)</f>
        <v>23</v>
      </c>
      <c r="J3523" s="165">
        <f>IFERROR(__xludf.DUMMYFUNCTION("""COMPUTED_VALUE"""),-0.770535235614612)</f>
        <v>-0.7705352356</v>
      </c>
      <c r="K3523" s="165">
        <f>IFERROR(__xludf.DUMMYFUNCTION("""COMPUTED_VALUE"""),-0.495109157955969)</f>
        <v>-0.495109158</v>
      </c>
      <c r="L3523" s="165">
        <f>IFERROR(__xludf.DUMMYFUNCTION("""COMPUTED_VALUE"""),-0.275426077658643)</f>
        <v>-0.2754260777</v>
      </c>
      <c r="M3523" s="166">
        <f t="shared" si="2"/>
        <v>0.0136688563</v>
      </c>
      <c r="N3523" s="167">
        <f t="shared" si="3"/>
        <v>6.683333333</v>
      </c>
      <c r="O3523" s="163">
        <f t="shared" ref="O3523:Q3523" si="3527">rank(I3523,I:I)</f>
        <v>2765</v>
      </c>
      <c r="P3523" s="163">
        <f t="shared" si="3527"/>
        <v>2238</v>
      </c>
      <c r="Q3523" s="163">
        <f t="shared" si="3527"/>
        <v>2101</v>
      </c>
      <c r="R3523" s="163">
        <f>IFERROR(__xludf.DUMMYFUNCTION("RANK(M3523,filter(M:M,C:C=C3523))"),470.0)</f>
        <v>470</v>
      </c>
      <c r="S3523" s="161" t="b">
        <f t="shared" si="5"/>
        <v>0</v>
      </c>
      <c r="T3523" s="161" t="b">
        <f t="array" ref="T3523">index('Query Tool'!B:B,match(H3523,'Query Tool'!C:C,0))</f>
        <v>1</v>
      </c>
      <c r="U3523" s="161" t="b">
        <f t="array" ref="U3523">index('Query Tool'!B:B,match(C3523,'Query Tool'!C:C,0))</f>
        <v>0</v>
      </c>
      <c r="V3523" s="161" t="b">
        <f>F3523&gt;='Query Tool'!C$32</f>
        <v>0</v>
      </c>
      <c r="W3523" s="161" t="b">
        <f t="array" ref="W3523">index(Dropdowns!B:B,match(I3523,Dropdowns!A:A,0))</f>
        <v>1</v>
      </c>
      <c r="X3523" s="161" t="b">
        <f t="array" ref="X3523">index('Query Tool'!B:B,match(D3523,'Query Tool'!C:C,0))</f>
        <v>1</v>
      </c>
      <c r="Y3523" s="161" t="str">
        <f t="shared" si="6"/>
        <v>alexaky01,2019-20</v>
      </c>
      <c r="Z3523" s="168" t="str">
        <f t="array" ref="Z3523">iferror(index(I:I,match($A3523&amp;","&amp;index('Year Conversion'!$A:$A,match($C3523,'Year Conversion'!$B:$B,0)),$Y:$Y,0))-I3523,"")</f>
        <v/>
      </c>
      <c r="AA3523" s="168" t="str">
        <f t="array" ref="AA3523">iferror(index(J:J,match($A3523&amp;","&amp;index('Year Conversion'!$A:$A,match($C3523,'Year Conversion'!$B:$B,0)),$Y:$Y,0))-J3523,"")</f>
        <v/>
      </c>
      <c r="AB3523" s="168" t="str">
        <f t="array" ref="AB3523">iferror(index(K:K,match($A3523&amp;","&amp;index('Year Conversion'!$A:$A,match($C3523,'Year Conversion'!$B:$B,0)),$Y:$Y,0))-K3523,"")</f>
        <v/>
      </c>
      <c r="AC3523" s="168" t="str">
        <f t="shared" si="7"/>
        <v>MIA,2019-20</v>
      </c>
    </row>
    <row r="3524">
      <c r="A3524" s="161" t="str">
        <f>IFERROR(__xludf.DUMMYFUNCTION("""COMPUTED_VALUE"""),"silvach01")</f>
        <v>silvach01</v>
      </c>
      <c r="B3524" s="161" t="str">
        <f>IFERROR(__xludf.DUMMYFUNCTION("""COMPUTED_VALUE"""),"Chris Silva")</f>
        <v>Chris Silva</v>
      </c>
      <c r="C3524" s="162" t="str">
        <f>IFERROR(__xludf.DUMMYFUNCTION("""COMPUTED_VALUE"""),"2019-20")</f>
        <v>2019-20</v>
      </c>
      <c r="D3524" s="163" t="str">
        <f>IFERROR(__xludf.DUMMYFUNCTION("""COMPUTED_VALUE"""),"MIA")</f>
        <v>MIA</v>
      </c>
      <c r="E3524" s="164" t="str">
        <f>IFERROR(__xludf.DUMMYFUNCTION("""COMPUTED_VALUE"""),"Roll + Cut Big")</f>
        <v>Roll + Cut Big</v>
      </c>
      <c r="F3524" s="164">
        <f>IFERROR(__xludf.DUMMYFUNCTION("""COMPUTED_VALUE"""),346.271666666667)</f>
        <v>346.2716667</v>
      </c>
      <c r="G3524" s="163">
        <f>IFERROR(__xludf.DUMMYFUNCTION("""COMPUTED_VALUE"""),44.0)</f>
        <v>44</v>
      </c>
      <c r="H3524" s="163" t="str">
        <f>IFERROR(__xludf.DUMMYFUNCTION("""COMPUTED_VALUE"""),"PF")</f>
        <v>PF</v>
      </c>
      <c r="I3524" s="163">
        <f>IFERROR(__xludf.DUMMYFUNCTION("""COMPUTED_VALUE"""),23.0)</f>
        <v>23</v>
      </c>
      <c r="J3524" s="165">
        <f>IFERROR(__xludf.DUMMYFUNCTION("""COMPUTED_VALUE"""),-1.05365506555501)</f>
        <v>-1.053655066</v>
      </c>
      <c r="K3524" s="165">
        <f>IFERROR(__xludf.DUMMYFUNCTION("""COMPUTED_VALUE"""),-1.40877754096513)</f>
        <v>-1.408777541</v>
      </c>
      <c r="L3524" s="165">
        <f>IFERROR(__xludf.DUMMYFUNCTION("""COMPUTED_VALUE"""),0.355122475410112)</f>
        <v>0.3551224754</v>
      </c>
      <c r="M3524" s="166">
        <f t="shared" si="2"/>
        <v>0.28823539</v>
      </c>
      <c r="N3524" s="167">
        <f t="shared" si="3"/>
        <v>7.869810606</v>
      </c>
      <c r="O3524" s="163">
        <f t="shared" ref="O3524:Q3524" si="3528">rank(I3524,I:I)</f>
        <v>2765</v>
      </c>
      <c r="P3524" s="163">
        <f t="shared" si="3528"/>
        <v>2555</v>
      </c>
      <c r="Q3524" s="163">
        <f t="shared" si="3528"/>
        <v>3257</v>
      </c>
      <c r="R3524" s="163">
        <f>IFERROR(__xludf.DUMMYFUNCTION("RANK(M3524,filter(M:M,C:C=C3524))"),309.0)</f>
        <v>309</v>
      </c>
      <c r="S3524" s="161" t="b">
        <f t="shared" si="5"/>
        <v>0</v>
      </c>
      <c r="T3524" s="161" t="b">
        <f t="array" ref="T3524">index('Query Tool'!B:B,match(H3524,'Query Tool'!C:C,0))</f>
        <v>1</v>
      </c>
      <c r="U3524" s="161" t="b">
        <f t="array" ref="U3524">index('Query Tool'!B:B,match(C3524,'Query Tool'!C:C,0))</f>
        <v>0</v>
      </c>
      <c r="V3524" s="161" t="b">
        <f>F3524&gt;='Query Tool'!C$32</f>
        <v>0</v>
      </c>
      <c r="W3524" s="161" t="b">
        <f t="array" ref="W3524">index(Dropdowns!B:B,match(I3524,Dropdowns!A:A,0))</f>
        <v>1</v>
      </c>
      <c r="X3524" s="161" t="b">
        <f t="array" ref="X3524">index('Query Tool'!B:B,match(D3524,'Query Tool'!C:C,0))</f>
        <v>1</v>
      </c>
      <c r="Y3524" s="161" t="str">
        <f t="shared" si="6"/>
        <v>silvach01,2019-20</v>
      </c>
      <c r="Z3524" s="168" t="str">
        <f t="array" ref="Z3524">iferror(index(I:I,match($A3524&amp;","&amp;index('Year Conversion'!$A:$A,match($C3524,'Year Conversion'!$B:$B,0)),$Y:$Y,0))-I3524,"")</f>
        <v/>
      </c>
      <c r="AA3524" s="168" t="str">
        <f t="array" ref="AA3524">iferror(index(J:J,match($A3524&amp;","&amp;index('Year Conversion'!$A:$A,match($C3524,'Year Conversion'!$B:$B,0)),$Y:$Y,0))-J3524,"")</f>
        <v/>
      </c>
      <c r="AB3524" s="168" t="str">
        <f t="array" ref="AB3524">iferror(index(K:K,match($A3524&amp;","&amp;index('Year Conversion'!$A:$A,match($C3524,'Year Conversion'!$B:$B,0)),$Y:$Y,0))-K3524,"")</f>
        <v/>
      </c>
      <c r="AC3524" s="168" t="str">
        <f t="shared" si="7"/>
        <v>MIA,2019-20</v>
      </c>
    </row>
    <row r="3525">
      <c r="A3525" s="161" t="str">
        <f>IFERROR(__xludf.DUMMYFUNCTION("""COMPUTED_VALUE"""),"poirivi01")</f>
        <v>poirivi01</v>
      </c>
      <c r="B3525" s="161" t="str">
        <f>IFERROR(__xludf.DUMMYFUNCTION("""COMPUTED_VALUE"""),"Vincent Poirier")</f>
        <v>Vincent Poirier</v>
      </c>
      <c r="C3525" s="162" t="str">
        <f>IFERROR(__xludf.DUMMYFUNCTION("""COMPUTED_VALUE"""),"2019-20")</f>
        <v>2019-20</v>
      </c>
      <c r="D3525" s="163" t="str">
        <f>IFERROR(__xludf.DUMMYFUNCTION("""COMPUTED_VALUE"""),"BOS")</f>
        <v>BOS</v>
      </c>
      <c r="E3525" s="164" t="str">
        <f>IFERROR(__xludf.DUMMYFUNCTION("""COMPUTED_VALUE"""),"Roll + Cut Big")</f>
        <v>Roll + Cut Big</v>
      </c>
      <c r="F3525" s="164">
        <f>IFERROR(__xludf.DUMMYFUNCTION("""COMPUTED_VALUE"""),129.991666666667)</f>
        <v>129.9916667</v>
      </c>
      <c r="G3525" s="163">
        <f>IFERROR(__xludf.DUMMYFUNCTION("""COMPUTED_VALUE"""),22.0)</f>
        <v>22</v>
      </c>
      <c r="H3525" s="163" t="str">
        <f>IFERROR(__xludf.DUMMYFUNCTION("""COMPUTED_VALUE"""),"C")</f>
        <v>C</v>
      </c>
      <c r="I3525" s="163">
        <f>IFERROR(__xludf.DUMMYFUNCTION("""COMPUTED_VALUE"""),26.0)</f>
        <v>26</v>
      </c>
      <c r="J3525" s="165">
        <f>IFERROR(__xludf.DUMMYFUNCTION("""COMPUTED_VALUE"""),-1.26584678267565)</f>
        <v>-1.265846783</v>
      </c>
      <c r="K3525" s="165">
        <f>IFERROR(__xludf.DUMMYFUNCTION("""COMPUTED_VALUE"""),-1.05872011781707)</f>
        <v>-1.058720118</v>
      </c>
      <c r="L3525" s="165">
        <f>IFERROR(__xludf.DUMMYFUNCTION("""COMPUTED_VALUE"""),-0.207126664858584)</f>
        <v>-0.2071266649</v>
      </c>
      <c r="M3525" s="166">
        <f t="shared" si="2"/>
        <v>0.08971248831</v>
      </c>
      <c r="N3525" s="167">
        <f t="shared" si="3"/>
        <v>5.908712121</v>
      </c>
      <c r="O3525" s="163">
        <f t="shared" ref="O3525:Q3525" si="3529">rank(I3525,I:I)</f>
        <v>1665</v>
      </c>
      <c r="P3525" s="163">
        <f t="shared" si="3529"/>
        <v>2831</v>
      </c>
      <c r="Q3525" s="163">
        <f t="shared" si="3529"/>
        <v>2883</v>
      </c>
      <c r="R3525" s="163">
        <f>IFERROR(__xludf.DUMMYFUNCTION("RANK(M3525,filter(M:M,C:C=C3525))"),395.0)</f>
        <v>395</v>
      </c>
      <c r="S3525" s="161" t="b">
        <f t="shared" si="5"/>
        <v>0</v>
      </c>
      <c r="T3525" s="161" t="b">
        <f t="array" ref="T3525">index('Query Tool'!B:B,match(H3525,'Query Tool'!C:C,0))</f>
        <v>1</v>
      </c>
      <c r="U3525" s="161" t="b">
        <f t="array" ref="U3525">index('Query Tool'!B:B,match(C3525,'Query Tool'!C:C,0))</f>
        <v>0</v>
      </c>
      <c r="V3525" s="161" t="b">
        <f>F3525&gt;='Query Tool'!C$32</f>
        <v>0</v>
      </c>
      <c r="W3525" s="161" t="b">
        <f t="array" ref="W3525">index(Dropdowns!B:B,match(I3525,Dropdowns!A:A,0))</f>
        <v>1</v>
      </c>
      <c r="X3525" s="161" t="b">
        <f t="array" ref="X3525">index('Query Tool'!B:B,match(D3525,'Query Tool'!C:C,0))</f>
        <v>1</v>
      </c>
      <c r="Y3525" s="161" t="str">
        <f t="shared" si="6"/>
        <v>poirivi01,2019-20</v>
      </c>
      <c r="Z3525" s="168" t="str">
        <f t="array" ref="Z3525">iferror(index(I:I,match($A3525&amp;","&amp;index('Year Conversion'!$A:$A,match($C3525,'Year Conversion'!$B:$B,0)),$Y:$Y,0))-I3525,"")</f>
        <v/>
      </c>
      <c r="AA3525" s="168" t="str">
        <f t="array" ref="AA3525">iferror(index(J:J,match($A3525&amp;","&amp;index('Year Conversion'!$A:$A,match($C3525,'Year Conversion'!$B:$B,0)),$Y:$Y,0))-J3525,"")</f>
        <v/>
      </c>
      <c r="AB3525" s="168" t="str">
        <f t="array" ref="AB3525">iferror(index(K:K,match($A3525&amp;","&amp;index('Year Conversion'!$A:$A,match($C3525,'Year Conversion'!$B:$B,0)),$Y:$Y,0))-K3525,"")</f>
        <v/>
      </c>
      <c r="AC3525" s="168" t="str">
        <f t="shared" si="7"/>
        <v>BOS,2019-20</v>
      </c>
    </row>
    <row r="3526">
      <c r="A3526" s="161" t="str">
        <f>IFERROR(__xludf.DUMMYFUNCTION("""COMPUTED_VALUE"""),"howarwi01")</f>
        <v>howarwi01</v>
      </c>
      <c r="B3526" s="161" t="str">
        <f>IFERROR(__xludf.DUMMYFUNCTION("""COMPUTED_VALUE"""),"William Howard")</f>
        <v>William Howard</v>
      </c>
      <c r="C3526" s="162" t="str">
        <f>IFERROR(__xludf.DUMMYFUNCTION("""COMPUTED_VALUE"""),"2019-20")</f>
        <v>2019-20</v>
      </c>
      <c r="D3526" s="163" t="str">
        <f>IFERROR(__xludf.DUMMYFUNCTION("""COMPUTED_VALUE"""),"HOU")</f>
        <v>HOU</v>
      </c>
      <c r="E3526" s="164" t="str">
        <f>IFERROR(__xludf.DUMMYFUNCTION("""COMPUTED_VALUE"""),"Off Screen Shooter")</f>
        <v>Off Screen Shooter</v>
      </c>
      <c r="F3526" s="164">
        <f>IFERROR(__xludf.DUMMYFUNCTION("""COMPUTED_VALUE"""),13.2666666666667)</f>
        <v>13.26666667</v>
      </c>
      <c r="G3526" s="163">
        <f>IFERROR(__xludf.DUMMYFUNCTION("""COMPUTED_VALUE"""),2.0)</f>
        <v>2</v>
      </c>
      <c r="H3526" s="163" t="str">
        <f>IFERROR(__xludf.DUMMYFUNCTION("""COMPUTED_VALUE"""),"PF")</f>
        <v>PF</v>
      </c>
      <c r="I3526" s="163">
        <f>IFERROR(__xludf.DUMMYFUNCTION("""COMPUTED_VALUE"""),26.0)</f>
        <v>26</v>
      </c>
      <c r="J3526" s="165">
        <f>IFERROR(__xludf.DUMMYFUNCTION("""COMPUTED_VALUE"""),-0.585270152529376)</f>
        <v>-0.5852701525</v>
      </c>
      <c r="K3526" s="165">
        <f>IFERROR(__xludf.DUMMYFUNCTION("""COMPUTED_VALUE"""),-0.104014528711982)</f>
        <v>-0.1040145287</v>
      </c>
      <c r="L3526" s="165">
        <f>IFERROR(__xludf.DUMMYFUNCTION("""COMPUTED_VALUE"""),-0.481255623817394)</f>
        <v>-0.4812556238</v>
      </c>
      <c r="M3526" s="166">
        <f t="shared" si="2"/>
        <v>0.01522046388</v>
      </c>
      <c r="N3526" s="167">
        <f t="shared" si="3"/>
        <v>6.633333333</v>
      </c>
      <c r="O3526" s="163">
        <f t="shared" ref="O3526:Q3526" si="3530">rank(I3526,I:I)</f>
        <v>1665</v>
      </c>
      <c r="P3526" s="163">
        <f t="shared" si="3530"/>
        <v>1970</v>
      </c>
      <c r="Q3526" s="163">
        <f t="shared" si="3530"/>
        <v>1374</v>
      </c>
      <c r="R3526" s="163">
        <f>IFERROR(__xludf.DUMMYFUNCTION("RANK(M3526,filter(M:M,C:C=C3526))"),467.0)</f>
        <v>467</v>
      </c>
      <c r="S3526" s="161" t="b">
        <f t="shared" si="5"/>
        <v>0</v>
      </c>
      <c r="T3526" s="161" t="b">
        <f t="array" ref="T3526">index('Query Tool'!B:B,match(H3526,'Query Tool'!C:C,0))</f>
        <v>1</v>
      </c>
      <c r="U3526" s="161" t="b">
        <f t="array" ref="U3526">index('Query Tool'!B:B,match(C3526,'Query Tool'!C:C,0))</f>
        <v>0</v>
      </c>
      <c r="V3526" s="161" t="b">
        <f>F3526&gt;='Query Tool'!C$32</f>
        <v>0</v>
      </c>
      <c r="W3526" s="161" t="b">
        <f t="array" ref="W3526">index(Dropdowns!B:B,match(I3526,Dropdowns!A:A,0))</f>
        <v>1</v>
      </c>
      <c r="X3526" s="161" t="b">
        <f t="array" ref="X3526">index('Query Tool'!B:B,match(D3526,'Query Tool'!C:C,0))</f>
        <v>1</v>
      </c>
      <c r="Y3526" s="161" t="str">
        <f t="shared" si="6"/>
        <v>howarwi01,2019-20</v>
      </c>
      <c r="Z3526" s="168" t="str">
        <f t="array" ref="Z3526">iferror(index(I:I,match($A3526&amp;","&amp;index('Year Conversion'!$A:$A,match($C3526,'Year Conversion'!$B:$B,0)),$Y:$Y,0))-I3526,"")</f>
        <v/>
      </c>
      <c r="AA3526" s="168" t="str">
        <f t="array" ref="AA3526">iferror(index(J:J,match($A3526&amp;","&amp;index('Year Conversion'!$A:$A,match($C3526,'Year Conversion'!$B:$B,0)),$Y:$Y,0))-J3526,"")</f>
        <v/>
      </c>
      <c r="AB3526" s="168" t="str">
        <f t="array" ref="AB3526">iferror(index(K:K,match($A3526&amp;","&amp;index('Year Conversion'!$A:$A,match($C3526,'Year Conversion'!$B:$B,0)),$Y:$Y,0))-K3526,"")</f>
        <v/>
      </c>
      <c r="AC3526" s="168" t="str">
        <f t="shared" si="7"/>
        <v>HOU,2019-20</v>
      </c>
    </row>
    <row r="3527">
      <c r="A3527" s="161" t="str">
        <f>IFERROR(__xludf.DUMMYFUNCTION("""COMPUTED_VALUE"""),"mellini01")</f>
        <v>mellini01</v>
      </c>
      <c r="B3527" s="161" t="str">
        <f>IFERROR(__xludf.DUMMYFUNCTION("""COMPUTED_VALUE"""),"Nicolo Melli")</f>
        <v>Nicolo Melli</v>
      </c>
      <c r="C3527" s="162" t="str">
        <f>IFERROR(__xludf.DUMMYFUNCTION("""COMPUTED_VALUE"""),"2019-20")</f>
        <v>2019-20</v>
      </c>
      <c r="D3527" s="163" t="str">
        <f>IFERROR(__xludf.DUMMYFUNCTION("""COMPUTED_VALUE"""),"NOP")</f>
        <v>NOP</v>
      </c>
      <c r="E3527" s="164" t="str">
        <f>IFERROR(__xludf.DUMMYFUNCTION("""COMPUTED_VALUE"""),"Stretch Big")</f>
        <v>Stretch Big</v>
      </c>
      <c r="F3527" s="164">
        <f>IFERROR(__xludf.DUMMYFUNCTION("""COMPUTED_VALUE"""),1042.12333333333)</f>
        <v>1042.123333</v>
      </c>
      <c r="G3527" s="163">
        <f>IFERROR(__xludf.DUMMYFUNCTION("""COMPUTED_VALUE"""),60.0)</f>
        <v>60</v>
      </c>
      <c r="H3527" s="163" t="str">
        <f>IFERROR(__xludf.DUMMYFUNCTION("""COMPUTED_VALUE"""),"C")</f>
        <v>C</v>
      </c>
      <c r="I3527" s="163">
        <f>IFERROR(__xludf.DUMMYFUNCTION("""COMPUTED_VALUE"""),29.0)</f>
        <v>29</v>
      </c>
      <c r="J3527" s="165">
        <f>IFERROR(__xludf.DUMMYFUNCTION("""COMPUTED_VALUE"""),-1.73626001962118)</f>
        <v>-1.73626002</v>
      </c>
      <c r="K3527" s="165">
        <f>IFERROR(__xludf.DUMMYFUNCTION("""COMPUTED_VALUE"""),-1.85965821903865)</f>
        <v>-1.859658219</v>
      </c>
      <c r="L3527" s="165">
        <f>IFERROR(__xludf.DUMMYFUNCTION("""COMPUTED_VALUE"""),0.123398199417473)</f>
        <v>0.1233981994</v>
      </c>
      <c r="M3527" s="166">
        <f t="shared" si="2"/>
        <v>0.3918128633</v>
      </c>
      <c r="N3527" s="167">
        <f t="shared" si="3"/>
        <v>17.36872222</v>
      </c>
      <c r="O3527" s="163">
        <f t="shared" ref="O3527:Q3527" si="3531">rank(I3527,I:I)</f>
        <v>855</v>
      </c>
      <c r="P3527" s="163">
        <f t="shared" si="3531"/>
        <v>3280</v>
      </c>
      <c r="Q3527" s="163">
        <f t="shared" si="3531"/>
        <v>3614</v>
      </c>
      <c r="R3527" s="163">
        <f>IFERROR(__xludf.DUMMYFUNCTION("RANK(M3527,filter(M:M,C:C=C3527))"),275.0)</f>
        <v>275</v>
      </c>
      <c r="S3527" s="161" t="b">
        <f t="shared" si="5"/>
        <v>0</v>
      </c>
      <c r="T3527" s="161" t="b">
        <f t="array" ref="T3527">index('Query Tool'!B:B,match(H3527,'Query Tool'!C:C,0))</f>
        <v>1</v>
      </c>
      <c r="U3527" s="161" t="b">
        <f t="array" ref="U3527">index('Query Tool'!B:B,match(C3527,'Query Tool'!C:C,0))</f>
        <v>0</v>
      </c>
      <c r="V3527" s="161" t="b">
        <f>F3527&gt;='Query Tool'!C$32</f>
        <v>1</v>
      </c>
      <c r="W3527" s="161" t="b">
        <f t="array" ref="W3527">index(Dropdowns!B:B,match(I3527,Dropdowns!A:A,0))</f>
        <v>1</v>
      </c>
      <c r="X3527" s="161" t="b">
        <f t="array" ref="X3527">index('Query Tool'!B:B,match(D3527,'Query Tool'!C:C,0))</f>
        <v>1</v>
      </c>
      <c r="Y3527" s="161" t="str">
        <f t="shared" si="6"/>
        <v>mellini01,2019-20</v>
      </c>
      <c r="Z3527" s="168" t="str">
        <f t="array" ref="Z3527">iferror(index(I:I,match($A3527&amp;","&amp;index('Year Conversion'!$A:$A,match($C3527,'Year Conversion'!$B:$B,0)),$Y:$Y,0))-I3527,"")</f>
        <v/>
      </c>
      <c r="AA3527" s="168" t="str">
        <f t="array" ref="AA3527">iferror(index(J:J,match($A3527&amp;","&amp;index('Year Conversion'!$A:$A,match($C3527,'Year Conversion'!$B:$B,0)),$Y:$Y,0))-J3527,"")</f>
        <v/>
      </c>
      <c r="AB3527" s="168" t="str">
        <f t="array" ref="AB3527">iferror(index(K:K,match($A3527&amp;","&amp;index('Year Conversion'!$A:$A,match($C3527,'Year Conversion'!$B:$B,0)),$Y:$Y,0))-K3527,"")</f>
        <v/>
      </c>
      <c r="AC3527" s="168" t="str">
        <f t="shared" si="7"/>
        <v>NOP,2019-20</v>
      </c>
    </row>
    <row r="3528">
      <c r="A3528" s="161" t="str">
        <f>IFERROR(__xludf.DUMMYFUNCTION("""COMPUTED_VALUE"""),"gudurma01")</f>
        <v>gudurma01</v>
      </c>
      <c r="B3528" s="161" t="str">
        <f>IFERROR(__xludf.DUMMYFUNCTION("""COMPUTED_VALUE"""),"Marko Guduric")</f>
        <v>Marko Guduric</v>
      </c>
      <c r="C3528" s="162" t="str">
        <f>IFERROR(__xludf.DUMMYFUNCTION("""COMPUTED_VALUE"""),"2019-20")</f>
        <v>2019-20</v>
      </c>
      <c r="D3528" s="163" t="str">
        <f>IFERROR(__xludf.DUMMYFUNCTION("""COMPUTED_VALUE"""),"MEM")</f>
        <v>MEM</v>
      </c>
      <c r="E3528" s="164" t="str">
        <f>IFERROR(__xludf.DUMMYFUNCTION("""COMPUTED_VALUE"""),"Secondary Ball Handler")</f>
        <v>Secondary Ball Handler</v>
      </c>
      <c r="F3528" s="164">
        <f>IFERROR(__xludf.DUMMYFUNCTION("""COMPUTED_VALUE"""),483.615)</f>
        <v>483.615</v>
      </c>
      <c r="G3528" s="163">
        <f>IFERROR(__xludf.DUMMYFUNCTION("""COMPUTED_VALUE"""),44.0)</f>
        <v>44</v>
      </c>
      <c r="H3528" s="163" t="str">
        <f>IFERROR(__xludf.DUMMYFUNCTION("""COMPUTED_VALUE"""),"SG")</f>
        <v>SG</v>
      </c>
      <c r="I3528" s="163">
        <f>IFERROR(__xludf.DUMMYFUNCTION("""COMPUTED_VALUE"""),24.0)</f>
        <v>24</v>
      </c>
      <c r="J3528" s="165">
        <f>IFERROR(__xludf.DUMMYFUNCTION("""COMPUTED_VALUE"""),-1.49902635149331)</f>
        <v>-1.499026351</v>
      </c>
      <c r="K3528" s="165">
        <f>IFERROR(__xludf.DUMMYFUNCTION("""COMPUTED_VALUE"""),-1.46389894213604)</f>
        <v>-1.463898942</v>
      </c>
      <c r="L3528" s="165">
        <f>IFERROR(__xludf.DUMMYFUNCTION("""COMPUTED_VALUE"""),-0.0351274093572701)</f>
        <v>-0.03512740936</v>
      </c>
      <c r="M3528" s="166">
        <f t="shared" si="2"/>
        <v>0.2583381358</v>
      </c>
      <c r="N3528" s="167">
        <f t="shared" si="3"/>
        <v>10.99125</v>
      </c>
      <c r="O3528" s="163">
        <f t="shared" ref="O3528:Q3528" si="3532">rank(I3528,I:I)</f>
        <v>2361</v>
      </c>
      <c r="P3528" s="163">
        <f t="shared" si="3532"/>
        <v>3054</v>
      </c>
      <c r="Q3528" s="163">
        <f t="shared" si="3532"/>
        <v>3317</v>
      </c>
      <c r="R3528" s="163">
        <f>IFERROR(__xludf.DUMMYFUNCTION("RANK(M3528,filter(M:M,C:C=C3528))"),317.0)</f>
        <v>317</v>
      </c>
      <c r="S3528" s="161" t="b">
        <f t="shared" si="5"/>
        <v>0</v>
      </c>
      <c r="T3528" s="161" t="b">
        <f t="array" ref="T3528">index('Query Tool'!B:B,match(H3528,'Query Tool'!C:C,0))</f>
        <v>1</v>
      </c>
      <c r="U3528" s="161" t="b">
        <f t="array" ref="U3528">index('Query Tool'!B:B,match(C3528,'Query Tool'!C:C,0))</f>
        <v>0</v>
      </c>
      <c r="V3528" s="161" t="b">
        <f>F3528&gt;='Query Tool'!C$32</f>
        <v>0</v>
      </c>
      <c r="W3528" s="161" t="b">
        <f t="array" ref="W3528">index(Dropdowns!B:B,match(I3528,Dropdowns!A:A,0))</f>
        <v>1</v>
      </c>
      <c r="X3528" s="161" t="b">
        <f t="array" ref="X3528">index('Query Tool'!B:B,match(D3528,'Query Tool'!C:C,0))</f>
        <v>1</v>
      </c>
      <c r="Y3528" s="161" t="str">
        <f t="shared" si="6"/>
        <v>gudurma01,2019-20</v>
      </c>
      <c r="Z3528" s="168" t="str">
        <f t="array" ref="Z3528">iferror(index(I:I,match($A3528&amp;","&amp;index('Year Conversion'!$A:$A,match($C3528,'Year Conversion'!$B:$B,0)),$Y:$Y,0))-I3528,"")</f>
        <v/>
      </c>
      <c r="AA3528" s="168" t="str">
        <f t="array" ref="AA3528">iferror(index(J:J,match($A3528&amp;","&amp;index('Year Conversion'!$A:$A,match($C3528,'Year Conversion'!$B:$B,0)),$Y:$Y,0))-J3528,"")</f>
        <v/>
      </c>
      <c r="AB3528" s="168" t="str">
        <f t="array" ref="AB3528">iferror(index(K:K,match($A3528&amp;","&amp;index('Year Conversion'!$A:$A,match($C3528,'Year Conversion'!$B:$B,0)),$Y:$Y,0))-K3528,"")</f>
        <v/>
      </c>
      <c r="AC3528" s="168" t="str">
        <f t="shared" si="7"/>
        <v>MEM,2019-20</v>
      </c>
    </row>
    <row r="3529">
      <c r="A3529" s="161" t="str">
        <f>IFERROR(__xludf.DUMMYFUNCTION("""COMPUTED_VALUE"""),"kiddst01")</f>
        <v>kiddst01</v>
      </c>
      <c r="B3529" s="161" t="str">
        <f>IFERROR(__xludf.DUMMYFUNCTION("""COMPUTED_VALUE"""),"Stanton Kidd")</f>
        <v>Stanton Kidd</v>
      </c>
      <c r="C3529" s="162" t="str">
        <f>IFERROR(__xludf.DUMMYFUNCTION("""COMPUTED_VALUE"""),"2019-20")</f>
        <v>2019-20</v>
      </c>
      <c r="D3529" s="163" t="str">
        <f>IFERROR(__xludf.DUMMYFUNCTION("""COMPUTED_VALUE"""),"UTA")</f>
        <v>UTA</v>
      </c>
      <c r="E3529" s="164" t="str">
        <f>IFERROR(__xludf.DUMMYFUNCTION("""COMPUTED_VALUE"""),"Movement Shooter")</f>
        <v>Movement Shooter</v>
      </c>
      <c r="F3529" s="164">
        <f>IFERROR(__xludf.DUMMYFUNCTION("""COMPUTED_VALUE"""),15.2833333333333)</f>
        <v>15.28333333</v>
      </c>
      <c r="G3529" s="163">
        <f>IFERROR(__xludf.DUMMYFUNCTION("""COMPUTED_VALUE"""),4.0)</f>
        <v>4</v>
      </c>
      <c r="H3529" s="163" t="str">
        <f>IFERROR(__xludf.DUMMYFUNCTION("""COMPUTED_VALUE"""),"SG")</f>
        <v>SG</v>
      </c>
      <c r="I3529" s="163">
        <f>IFERROR(__xludf.DUMMYFUNCTION("""COMPUTED_VALUE"""),27.0)</f>
        <v>27</v>
      </c>
      <c r="J3529" s="165">
        <f>IFERROR(__xludf.DUMMYFUNCTION("""COMPUTED_VALUE"""),-0.335385487846464)</f>
        <v>-0.3353854878</v>
      </c>
      <c r="K3529" s="165">
        <f>IFERROR(__xludf.DUMMYFUNCTION("""COMPUTED_VALUE"""),-0.107835926894759)</f>
        <v>-0.1078359269</v>
      </c>
      <c r="L3529" s="165">
        <f>IFERROR(__xludf.DUMMYFUNCTION("""COMPUTED_VALUE"""),-0.227549560951705)</f>
        <v>-0.227549561</v>
      </c>
      <c r="M3529" s="166">
        <f t="shared" si="2"/>
        <v>0.02010657777</v>
      </c>
      <c r="N3529" s="167">
        <f t="shared" si="3"/>
        <v>3.820833333</v>
      </c>
      <c r="O3529" s="163">
        <f t="shared" ref="O3529:Q3529" si="3533">rank(I3529,I:I)</f>
        <v>1366</v>
      </c>
      <c r="P3529" s="163">
        <f t="shared" si="3533"/>
        <v>1652</v>
      </c>
      <c r="Q3529" s="163">
        <f t="shared" si="3533"/>
        <v>1384</v>
      </c>
      <c r="R3529" s="163">
        <f>IFERROR(__xludf.DUMMYFUNCTION("RANK(M3529,filter(M:M,C:C=C3529))"),462.0)</f>
        <v>462</v>
      </c>
      <c r="S3529" s="161" t="b">
        <f t="shared" si="5"/>
        <v>0</v>
      </c>
      <c r="T3529" s="161" t="b">
        <f t="array" ref="T3529">index('Query Tool'!B:B,match(H3529,'Query Tool'!C:C,0))</f>
        <v>1</v>
      </c>
      <c r="U3529" s="161" t="b">
        <f t="array" ref="U3529">index('Query Tool'!B:B,match(C3529,'Query Tool'!C:C,0))</f>
        <v>0</v>
      </c>
      <c r="V3529" s="161" t="b">
        <f>F3529&gt;='Query Tool'!C$32</f>
        <v>0</v>
      </c>
      <c r="W3529" s="161" t="b">
        <f t="array" ref="W3529">index(Dropdowns!B:B,match(I3529,Dropdowns!A:A,0))</f>
        <v>1</v>
      </c>
      <c r="X3529" s="161" t="b">
        <f t="array" ref="X3529">index('Query Tool'!B:B,match(D3529,'Query Tool'!C:C,0))</f>
        <v>1</v>
      </c>
      <c r="Y3529" s="161" t="str">
        <f t="shared" si="6"/>
        <v>kiddst01,2019-20</v>
      </c>
      <c r="Z3529" s="168" t="str">
        <f t="array" ref="Z3529">iferror(index(I:I,match($A3529&amp;","&amp;index('Year Conversion'!$A:$A,match($C3529,'Year Conversion'!$B:$B,0)),$Y:$Y,0))-I3529,"")</f>
        <v/>
      </c>
      <c r="AA3529" s="168" t="str">
        <f t="array" ref="AA3529">iferror(index(J:J,match($A3529&amp;","&amp;index('Year Conversion'!$A:$A,match($C3529,'Year Conversion'!$B:$B,0)),$Y:$Y,0))-J3529,"")</f>
        <v/>
      </c>
      <c r="AB3529" s="168" t="str">
        <f t="array" ref="AB3529">iferror(index(K:K,match($A3529&amp;","&amp;index('Year Conversion'!$A:$A,match($C3529,'Year Conversion'!$B:$B,0)),$Y:$Y,0))-K3529,"")</f>
        <v/>
      </c>
      <c r="AC3529" s="168" t="str">
        <f t="shared" si="7"/>
        <v>UTA,2019-20</v>
      </c>
    </row>
    <row r="3530">
      <c r="A3530" s="161" t="str">
        <f>IFERROR(__xludf.DUMMYFUNCTION("""COMPUTED_VALUE"""),"halldo01")</f>
        <v>halldo01</v>
      </c>
      <c r="B3530" s="161" t="str">
        <f>IFERROR(__xludf.DUMMYFUNCTION("""COMPUTED_VALUE"""),"Donta Hall")</f>
        <v>Donta Hall</v>
      </c>
      <c r="C3530" s="162" t="str">
        <f>IFERROR(__xludf.DUMMYFUNCTION("""COMPUTED_VALUE"""),"2019-20")</f>
        <v>2019-20</v>
      </c>
      <c r="D3530" s="163" t="str">
        <f>IFERROR(__xludf.DUMMYFUNCTION("""COMPUTED_VALUE"""),"TOT")</f>
        <v>TOT</v>
      </c>
      <c r="E3530" s="164" t="str">
        <f>IFERROR(__xludf.DUMMYFUNCTION("""COMPUTED_VALUE"""),"Roll + Cut Big")</f>
        <v>Roll + Cut Big</v>
      </c>
      <c r="F3530" s="164">
        <f>IFERROR(__xludf.DUMMYFUNCTION("""COMPUTED_VALUE"""),133.148333333333)</f>
        <v>133.1483333</v>
      </c>
      <c r="G3530" s="163">
        <f>IFERROR(__xludf.DUMMYFUNCTION("""COMPUTED_VALUE"""),9.0)</f>
        <v>9</v>
      </c>
      <c r="H3530" s="163" t="str">
        <f>IFERROR(__xludf.DUMMYFUNCTION("""COMPUTED_VALUE"""),"C-PF")</f>
        <v>C-PF</v>
      </c>
      <c r="I3530" s="163">
        <f>IFERROR(__xludf.DUMMYFUNCTION("""COMPUTED_VALUE"""),22.0)</f>
        <v>22</v>
      </c>
      <c r="J3530" s="165">
        <f>IFERROR(__xludf.DUMMYFUNCTION("""COMPUTED_VALUE"""),-0.465754437366703)</f>
        <v>-0.4657544374</v>
      </c>
      <c r="K3530" s="165">
        <f>IFERROR(__xludf.DUMMYFUNCTION("""COMPUTED_VALUE"""),-0.637522326798135)</f>
        <v>-0.6375223268</v>
      </c>
      <c r="L3530" s="165">
        <f>IFERROR(__xludf.DUMMYFUNCTION("""COMPUTED_VALUE"""),0.171767889431433)</f>
        <v>0.1717678894</v>
      </c>
      <c r="M3530" s="166">
        <f t="shared" si="2"/>
        <v>0.1634734469</v>
      </c>
      <c r="N3530" s="167">
        <f t="shared" si="3"/>
        <v>14.79425926</v>
      </c>
      <c r="O3530" s="163">
        <f t="shared" ref="O3530:Q3530" si="3534">rank(I3530,I:I)</f>
        <v>3178</v>
      </c>
      <c r="P3530" s="163">
        <f t="shared" si="3534"/>
        <v>1804</v>
      </c>
      <c r="Q3530" s="163">
        <f t="shared" si="3534"/>
        <v>2318</v>
      </c>
      <c r="R3530" s="163">
        <f>IFERROR(__xludf.DUMMYFUNCTION("RANK(M3530,filter(M:M,C:C=C3530))"),351.0)</f>
        <v>351</v>
      </c>
      <c r="S3530" s="161" t="b">
        <f t="shared" si="5"/>
        <v>0</v>
      </c>
      <c r="T3530" s="161" t="str">
        <f t="array" ref="T3530">index('Query Tool'!B:B,match(H3530,'Query Tool'!C:C,0))</f>
        <v>#N/A</v>
      </c>
      <c r="U3530" s="161" t="b">
        <f t="array" ref="U3530">index('Query Tool'!B:B,match(C3530,'Query Tool'!C:C,0))</f>
        <v>0</v>
      </c>
      <c r="V3530" s="161" t="b">
        <f>F3530&gt;='Query Tool'!C$32</f>
        <v>0</v>
      </c>
      <c r="W3530" s="161" t="b">
        <f t="array" ref="W3530">index(Dropdowns!B:B,match(I3530,Dropdowns!A:A,0))</f>
        <v>1</v>
      </c>
      <c r="X3530" s="161" t="b">
        <f t="array" ref="X3530">index('Query Tool'!B:B,match(D3530,'Query Tool'!C:C,0))</f>
        <v>1</v>
      </c>
      <c r="Y3530" s="161" t="str">
        <f t="shared" si="6"/>
        <v>halldo01,2019-20</v>
      </c>
      <c r="Z3530" s="168" t="str">
        <f t="array" ref="Z3530">iferror(index(I:I,match($A3530&amp;","&amp;index('Year Conversion'!$A:$A,match($C3530,'Year Conversion'!$B:$B,0)),$Y:$Y,0))-I3530,"")</f>
        <v/>
      </c>
      <c r="AA3530" s="168" t="str">
        <f t="array" ref="AA3530">iferror(index(J:J,match($A3530&amp;","&amp;index('Year Conversion'!$A:$A,match($C3530,'Year Conversion'!$B:$B,0)),$Y:$Y,0))-J3530,"")</f>
        <v/>
      </c>
      <c r="AB3530" s="168" t="str">
        <f t="array" ref="AB3530">iferror(index(K:K,match($A3530&amp;","&amp;index('Year Conversion'!$A:$A,match($C3530,'Year Conversion'!$B:$B,0)),$Y:$Y,0))-K3530,"")</f>
        <v/>
      </c>
      <c r="AC3530" s="168" t="str">
        <f t="shared" si="7"/>
        <v>TOT,2019-20</v>
      </c>
    </row>
    <row r="3531">
      <c r="A3531" s="161" t="str">
        <f>IFERROR(__xludf.DUMMYFUNCTION("""COMPUTED_VALUE"""),"thomama02")</f>
        <v>thomama02</v>
      </c>
      <c r="B3531" s="161" t="str">
        <f>IFERROR(__xludf.DUMMYFUNCTION("""COMPUTED_VALUE"""),"Matt Thomas")</f>
        <v>Matt Thomas</v>
      </c>
      <c r="C3531" s="162" t="str">
        <f>IFERROR(__xludf.DUMMYFUNCTION("""COMPUTED_VALUE"""),"2019-20")</f>
        <v>2019-20</v>
      </c>
      <c r="D3531" s="163" t="str">
        <f>IFERROR(__xludf.DUMMYFUNCTION("""COMPUTED_VALUE"""),"TOR")</f>
        <v>TOR</v>
      </c>
      <c r="E3531" s="164" t="str">
        <f>IFERROR(__xludf.DUMMYFUNCTION("""COMPUTED_VALUE"""),"Off Screen Shooter")</f>
        <v>Off Screen Shooter</v>
      </c>
      <c r="F3531" s="164">
        <f>IFERROR(__xludf.DUMMYFUNCTION("""COMPUTED_VALUE"""),440.02)</f>
        <v>440.02</v>
      </c>
      <c r="G3531" s="163">
        <f>IFERROR(__xludf.DUMMYFUNCTION("""COMPUTED_VALUE"""),41.0)</f>
        <v>41</v>
      </c>
      <c r="H3531" s="163" t="str">
        <f>IFERROR(__xludf.DUMMYFUNCTION("""COMPUTED_VALUE"""),"SG")</f>
        <v>SG</v>
      </c>
      <c r="I3531" s="163">
        <f>IFERROR(__xludf.DUMMYFUNCTION("""COMPUTED_VALUE"""),25.0)</f>
        <v>25</v>
      </c>
      <c r="J3531" s="165">
        <f>IFERROR(__xludf.DUMMYFUNCTION("""COMPUTED_VALUE"""),-1.83832997348418)</f>
        <v>-1.838329973</v>
      </c>
      <c r="K3531" s="165">
        <f>IFERROR(__xludf.DUMMYFUNCTION("""COMPUTED_VALUE"""),-0.545276523293339)</f>
        <v>-0.5452765233</v>
      </c>
      <c r="L3531" s="165">
        <f>IFERROR(__xludf.DUMMYFUNCTION("""COMPUTED_VALUE"""),-1.29305345019084)</f>
        <v>-1.29305345</v>
      </c>
      <c r="M3531" s="166">
        <f t="shared" si="2"/>
        <v>0.1355566547</v>
      </c>
      <c r="N3531" s="167">
        <f t="shared" si="3"/>
        <v>10.73219512</v>
      </c>
      <c r="O3531" s="163">
        <f t="shared" ref="O3531:Q3531" si="3535">rank(I3531,I:I)</f>
        <v>1995</v>
      </c>
      <c r="P3531" s="163">
        <f t="shared" si="3535"/>
        <v>3370</v>
      </c>
      <c r="Q3531" s="163">
        <f t="shared" si="3535"/>
        <v>2180</v>
      </c>
      <c r="R3531" s="163">
        <f>IFERROR(__xludf.DUMMYFUNCTION("RANK(M3531,filter(M:M,C:C=C3531))"),368.0)</f>
        <v>368</v>
      </c>
      <c r="S3531" s="161" t="b">
        <f t="shared" si="5"/>
        <v>0</v>
      </c>
      <c r="T3531" s="161" t="b">
        <f t="array" ref="T3531">index('Query Tool'!B:B,match(H3531,'Query Tool'!C:C,0))</f>
        <v>1</v>
      </c>
      <c r="U3531" s="161" t="b">
        <f t="array" ref="U3531">index('Query Tool'!B:B,match(C3531,'Query Tool'!C:C,0))</f>
        <v>0</v>
      </c>
      <c r="V3531" s="161" t="b">
        <f>F3531&gt;='Query Tool'!C$32</f>
        <v>0</v>
      </c>
      <c r="W3531" s="161" t="b">
        <f t="array" ref="W3531">index(Dropdowns!B:B,match(I3531,Dropdowns!A:A,0))</f>
        <v>1</v>
      </c>
      <c r="X3531" s="161" t="b">
        <f t="array" ref="X3531">index('Query Tool'!B:B,match(D3531,'Query Tool'!C:C,0))</f>
        <v>1</v>
      </c>
      <c r="Y3531" s="161" t="str">
        <f t="shared" si="6"/>
        <v>thomama02,2019-20</v>
      </c>
      <c r="Z3531" s="168" t="str">
        <f t="array" ref="Z3531">iferror(index(I:I,match($A3531&amp;","&amp;index('Year Conversion'!$A:$A,match($C3531,'Year Conversion'!$B:$B,0)),$Y:$Y,0))-I3531,"")</f>
        <v/>
      </c>
      <c r="AA3531" s="168" t="str">
        <f t="array" ref="AA3531">iferror(index(J:J,match($A3531&amp;","&amp;index('Year Conversion'!$A:$A,match($C3531,'Year Conversion'!$B:$B,0)),$Y:$Y,0))-J3531,"")</f>
        <v/>
      </c>
      <c r="AB3531" s="168" t="str">
        <f t="array" ref="AB3531">iferror(index(K:K,match($A3531&amp;","&amp;index('Year Conversion'!$A:$A,match($C3531,'Year Conversion'!$B:$B,0)),$Y:$Y,0))-K3531,"")</f>
        <v/>
      </c>
      <c r="AC3531" s="168" t="str">
        <f t="shared" si="7"/>
        <v>TOR,2019-20</v>
      </c>
    </row>
    <row r="3532">
      <c r="A3532" s="161" t="str">
        <f>IFERROR(__xludf.DUMMYFUNCTION("""COMPUTED_VALUE"""),"owensta01")</f>
        <v>owensta01</v>
      </c>
      <c r="B3532" s="161" t="str">
        <f>IFERROR(__xludf.DUMMYFUNCTION("""COMPUTED_VALUE"""),"Tariq Owens")</f>
        <v>Tariq Owens</v>
      </c>
      <c r="C3532" s="162" t="str">
        <f>IFERROR(__xludf.DUMMYFUNCTION("""COMPUTED_VALUE"""),"2019-20")</f>
        <v>2019-20</v>
      </c>
      <c r="D3532" s="163" t="str">
        <f>IFERROR(__xludf.DUMMYFUNCTION("""COMPUTED_VALUE"""),"PHO")</f>
        <v>PHO</v>
      </c>
      <c r="E3532" s="164" t="str">
        <f>IFERROR(__xludf.DUMMYFUNCTION("""COMPUTED_VALUE"""),"Stretch Big")</f>
        <v>Stretch Big</v>
      </c>
      <c r="F3532" s="164">
        <f>IFERROR(__xludf.DUMMYFUNCTION("""COMPUTED_VALUE"""),15.4)</f>
        <v>15.4</v>
      </c>
      <c r="G3532" s="163">
        <f>IFERROR(__xludf.DUMMYFUNCTION("""COMPUTED_VALUE"""),3.0)</f>
        <v>3</v>
      </c>
      <c r="H3532" s="163" t="str">
        <f>IFERROR(__xludf.DUMMYFUNCTION("""COMPUTED_VALUE"""),"PF")</f>
        <v>PF</v>
      </c>
      <c r="I3532" s="163">
        <f>IFERROR(__xludf.DUMMYFUNCTION("""COMPUTED_VALUE"""),24.0)</f>
        <v>24</v>
      </c>
      <c r="J3532" s="165">
        <f>IFERROR(__xludf.DUMMYFUNCTION("""COMPUTED_VALUE"""),-0.461919698383497)</f>
        <v>-0.4619196984</v>
      </c>
      <c r="K3532" s="165">
        <f>IFERROR(__xludf.DUMMYFUNCTION("""COMPUTED_VALUE"""),-0.276359410120869)</f>
        <v>-0.2763594101</v>
      </c>
      <c r="L3532" s="165">
        <f>IFERROR(__xludf.DUMMYFUNCTION("""COMPUTED_VALUE"""),-0.185560288262629)</f>
        <v>-0.1855602883</v>
      </c>
      <c r="M3532" s="166">
        <f t="shared" si="2"/>
        <v>0.01894719574</v>
      </c>
      <c r="N3532" s="167">
        <f t="shared" si="3"/>
        <v>5.133333333</v>
      </c>
      <c r="O3532" s="163">
        <f t="shared" ref="O3532:Q3532" si="3536">rank(I3532,I:I)</f>
        <v>2361</v>
      </c>
      <c r="P3532" s="163">
        <f t="shared" si="3536"/>
        <v>1794</v>
      </c>
      <c r="Q3532" s="163">
        <f t="shared" si="3536"/>
        <v>1717</v>
      </c>
      <c r="R3532" s="163">
        <f>IFERROR(__xludf.DUMMYFUNCTION("RANK(M3532,filter(M:M,C:C=C3532))"),464.0)</f>
        <v>464</v>
      </c>
      <c r="S3532" s="161" t="b">
        <f t="shared" si="5"/>
        <v>0</v>
      </c>
      <c r="T3532" s="161" t="b">
        <f t="array" ref="T3532">index('Query Tool'!B:B,match(H3532,'Query Tool'!C:C,0))</f>
        <v>1</v>
      </c>
      <c r="U3532" s="161" t="b">
        <f t="array" ref="U3532">index('Query Tool'!B:B,match(C3532,'Query Tool'!C:C,0))</f>
        <v>0</v>
      </c>
      <c r="V3532" s="161" t="b">
        <f>F3532&gt;='Query Tool'!C$32</f>
        <v>0</v>
      </c>
      <c r="W3532" s="161" t="b">
        <f t="array" ref="W3532">index(Dropdowns!B:B,match(I3532,Dropdowns!A:A,0))</f>
        <v>1</v>
      </c>
      <c r="X3532" s="161" t="b">
        <f t="array" ref="X3532">index('Query Tool'!B:B,match(D3532,'Query Tool'!C:C,0))</f>
        <v>1</v>
      </c>
      <c r="Y3532" s="161" t="str">
        <f t="shared" si="6"/>
        <v>owensta01,2019-20</v>
      </c>
      <c r="Z3532" s="168" t="str">
        <f t="array" ref="Z3532">iferror(index(I:I,match($A3532&amp;","&amp;index('Year Conversion'!$A:$A,match($C3532,'Year Conversion'!$B:$B,0)),$Y:$Y,0))-I3532,"")</f>
        <v/>
      </c>
      <c r="AA3532" s="168" t="str">
        <f t="array" ref="AA3532">iferror(index(J:J,match($A3532&amp;","&amp;index('Year Conversion'!$A:$A,match($C3532,'Year Conversion'!$B:$B,0)),$Y:$Y,0))-J3532,"")</f>
        <v/>
      </c>
      <c r="AB3532" s="168" t="str">
        <f t="array" ref="AB3532">iferror(index(K:K,match($A3532&amp;","&amp;index('Year Conversion'!$A:$A,match($C3532,'Year Conversion'!$B:$B,0)),$Y:$Y,0))-K3532,"")</f>
        <v/>
      </c>
      <c r="AC3532" s="168" t="str">
        <f t="shared" si="7"/>
        <v>PHO,2019-20</v>
      </c>
    </row>
    <row r="3533">
      <c r="A3533" s="161" t="str">
        <f>IFERROR(__xludf.DUMMYFUNCTION("""COMPUTED_VALUE"""),"greenja02")</f>
        <v>greenja02</v>
      </c>
      <c r="B3533" s="161" t="str">
        <f>IFERROR(__xludf.DUMMYFUNCTION("""COMPUTED_VALUE"""),"Javonte Green")</f>
        <v>Javonte Green</v>
      </c>
      <c r="C3533" s="162" t="str">
        <f>IFERROR(__xludf.DUMMYFUNCTION("""COMPUTED_VALUE"""),"2019-20")</f>
        <v>2019-20</v>
      </c>
      <c r="D3533" s="163" t="str">
        <f>IFERROR(__xludf.DUMMYFUNCTION("""COMPUTED_VALUE"""),"BOS")</f>
        <v>BOS</v>
      </c>
      <c r="E3533" s="164" t="str">
        <f>IFERROR(__xludf.DUMMYFUNCTION("""COMPUTED_VALUE"""),"Athletic Finisher")</f>
        <v>Athletic Finisher</v>
      </c>
      <c r="F3533" s="164">
        <f>IFERROR(__xludf.DUMMYFUNCTION("""COMPUTED_VALUE"""),467.848333333333)</f>
        <v>467.8483333</v>
      </c>
      <c r="G3533" s="163">
        <f>IFERROR(__xludf.DUMMYFUNCTION("""COMPUTED_VALUE"""),48.0)</f>
        <v>48</v>
      </c>
      <c r="H3533" s="163" t="str">
        <f>IFERROR(__xludf.DUMMYFUNCTION("""COMPUTED_VALUE"""),"SG")</f>
        <v>SG</v>
      </c>
      <c r="I3533" s="163">
        <f>IFERROR(__xludf.DUMMYFUNCTION("""COMPUTED_VALUE"""),26.0)</f>
        <v>26</v>
      </c>
      <c r="J3533" s="165">
        <f>IFERROR(__xludf.DUMMYFUNCTION("""COMPUTED_VALUE"""),-1.92549105761273)</f>
        <v>-1.925491058</v>
      </c>
      <c r="K3533" s="165">
        <f>IFERROR(__xludf.DUMMYFUNCTION("""COMPUTED_VALUE"""),-1.76449957759326)</f>
        <v>-1.764499578</v>
      </c>
      <c r="L3533" s="165">
        <f>IFERROR(__xludf.DUMMYFUNCTION("""COMPUTED_VALUE"""),-0.160991480019471)</f>
        <v>-0.16099148</v>
      </c>
      <c r="M3533" s="166">
        <f t="shared" si="2"/>
        <v>0.1170393797</v>
      </c>
      <c r="N3533" s="167">
        <f t="shared" si="3"/>
        <v>9.746840278</v>
      </c>
      <c r="O3533" s="163">
        <f t="shared" ref="O3533:Q3533" si="3537">rank(I3533,I:I)</f>
        <v>1665</v>
      </c>
      <c r="P3533" s="163">
        <f t="shared" si="3537"/>
        <v>3431</v>
      </c>
      <c r="Q3533" s="163">
        <f t="shared" si="3537"/>
        <v>3557</v>
      </c>
      <c r="R3533" s="163">
        <f>IFERROR(__xludf.DUMMYFUNCTION("RANK(M3533,filter(M:M,C:C=C3533))"),378.0)</f>
        <v>378</v>
      </c>
      <c r="S3533" s="161" t="b">
        <f t="shared" si="5"/>
        <v>0</v>
      </c>
      <c r="T3533" s="161" t="b">
        <f t="array" ref="T3533">index('Query Tool'!B:B,match(H3533,'Query Tool'!C:C,0))</f>
        <v>1</v>
      </c>
      <c r="U3533" s="161" t="b">
        <f t="array" ref="U3533">index('Query Tool'!B:B,match(C3533,'Query Tool'!C:C,0))</f>
        <v>0</v>
      </c>
      <c r="V3533" s="161" t="b">
        <f>F3533&gt;='Query Tool'!C$32</f>
        <v>0</v>
      </c>
      <c r="W3533" s="161" t="b">
        <f t="array" ref="W3533">index(Dropdowns!B:B,match(I3533,Dropdowns!A:A,0))</f>
        <v>1</v>
      </c>
      <c r="X3533" s="161" t="b">
        <f t="array" ref="X3533">index('Query Tool'!B:B,match(D3533,'Query Tool'!C:C,0))</f>
        <v>1</v>
      </c>
      <c r="Y3533" s="161" t="str">
        <f t="shared" si="6"/>
        <v>greenja02,2019-20</v>
      </c>
      <c r="Z3533" s="168" t="str">
        <f t="array" ref="Z3533">iferror(index(I:I,match($A3533&amp;","&amp;index('Year Conversion'!$A:$A,match($C3533,'Year Conversion'!$B:$B,0)),$Y:$Y,0))-I3533,"")</f>
        <v/>
      </c>
      <c r="AA3533" s="168" t="str">
        <f t="array" ref="AA3533">iferror(index(J:J,match($A3533&amp;","&amp;index('Year Conversion'!$A:$A,match($C3533,'Year Conversion'!$B:$B,0)),$Y:$Y,0))-J3533,"")</f>
        <v/>
      </c>
      <c r="AB3533" s="168" t="str">
        <f t="array" ref="AB3533">iferror(index(K:K,match($A3533&amp;","&amp;index('Year Conversion'!$A:$A,match($C3533,'Year Conversion'!$B:$B,0)),$Y:$Y,0))-K3533,"")</f>
        <v/>
      </c>
      <c r="AC3533" s="168" t="str">
        <f t="shared" si="7"/>
        <v>BOS,2019-20</v>
      </c>
    </row>
    <row r="3534">
      <c r="A3534" s="161" t="str">
        <f>IFERROR(__xludf.DUMMYFUNCTION("""COMPUTED_VALUE"""),"morgaju01")</f>
        <v>morgaju01</v>
      </c>
      <c r="B3534" s="161" t="str">
        <f>IFERROR(__xludf.DUMMYFUNCTION("""COMPUTED_VALUE"""),"Juwan Morgan")</f>
        <v>Juwan Morgan</v>
      </c>
      <c r="C3534" s="162" t="str">
        <f>IFERROR(__xludf.DUMMYFUNCTION("""COMPUTED_VALUE"""),"2019-20")</f>
        <v>2019-20</v>
      </c>
      <c r="D3534" s="163" t="str">
        <f>IFERROR(__xludf.DUMMYFUNCTION("""COMPUTED_VALUE"""),"UTA")</f>
        <v>UTA</v>
      </c>
      <c r="E3534" s="164" t="str">
        <f>IFERROR(__xludf.DUMMYFUNCTION("""COMPUTED_VALUE"""),"Stretch Big")</f>
        <v>Stretch Big</v>
      </c>
      <c r="F3534" s="164">
        <f>IFERROR(__xludf.DUMMYFUNCTION("""COMPUTED_VALUE"""),134.456666666667)</f>
        <v>134.4566667</v>
      </c>
      <c r="G3534" s="163">
        <f>IFERROR(__xludf.DUMMYFUNCTION("""COMPUTED_VALUE"""),21.0)</f>
        <v>21</v>
      </c>
      <c r="H3534" s="163" t="str">
        <f>IFERROR(__xludf.DUMMYFUNCTION("""COMPUTED_VALUE"""),"PF")</f>
        <v>PF</v>
      </c>
      <c r="I3534" s="163">
        <f>IFERROR(__xludf.DUMMYFUNCTION("""COMPUTED_VALUE"""),22.0)</f>
        <v>22</v>
      </c>
      <c r="J3534" s="165">
        <f>IFERROR(__xludf.DUMMYFUNCTION("""COMPUTED_VALUE"""),-0.815826858671353)</f>
        <v>-0.8158268587</v>
      </c>
      <c r="K3534" s="165">
        <f>IFERROR(__xludf.DUMMYFUNCTION("""COMPUTED_VALUE"""),-0.621565445773628)</f>
        <v>-0.6215654458</v>
      </c>
      <c r="L3534" s="165">
        <f>IFERROR(__xludf.DUMMYFUNCTION("""COMPUTED_VALUE"""),-0.194261412897725)</f>
        <v>-0.1942614129</v>
      </c>
      <c r="M3534" s="166">
        <f t="shared" si="2"/>
        <v>0.1334015174</v>
      </c>
      <c r="N3534" s="167">
        <f t="shared" si="3"/>
        <v>6.402698413</v>
      </c>
      <c r="O3534" s="163">
        <f t="shared" ref="O3534:Q3534" si="3538">rank(I3534,I:I)</f>
        <v>3178</v>
      </c>
      <c r="P3534" s="163">
        <f t="shared" si="3538"/>
        <v>2307</v>
      </c>
      <c r="Q3534" s="163">
        <f t="shared" si="3538"/>
        <v>2295</v>
      </c>
      <c r="R3534" s="163">
        <f>IFERROR(__xludf.DUMMYFUNCTION("RANK(M3534,filter(M:M,C:C=C3534))"),369.0)</f>
        <v>369</v>
      </c>
      <c r="S3534" s="161" t="b">
        <f t="shared" si="5"/>
        <v>0</v>
      </c>
      <c r="T3534" s="161" t="b">
        <f t="array" ref="T3534">index('Query Tool'!B:B,match(H3534,'Query Tool'!C:C,0))</f>
        <v>1</v>
      </c>
      <c r="U3534" s="161" t="b">
        <f t="array" ref="U3534">index('Query Tool'!B:B,match(C3534,'Query Tool'!C:C,0))</f>
        <v>0</v>
      </c>
      <c r="V3534" s="161" t="b">
        <f>F3534&gt;='Query Tool'!C$32</f>
        <v>0</v>
      </c>
      <c r="W3534" s="161" t="b">
        <f t="array" ref="W3534">index(Dropdowns!B:B,match(I3534,Dropdowns!A:A,0))</f>
        <v>1</v>
      </c>
      <c r="X3534" s="161" t="b">
        <f t="array" ref="X3534">index('Query Tool'!B:B,match(D3534,'Query Tool'!C:C,0))</f>
        <v>1</v>
      </c>
      <c r="Y3534" s="161" t="str">
        <f t="shared" si="6"/>
        <v>morgaju01,2019-20</v>
      </c>
      <c r="Z3534" s="168" t="str">
        <f t="array" ref="Z3534">iferror(index(I:I,match($A3534&amp;","&amp;index('Year Conversion'!$A:$A,match($C3534,'Year Conversion'!$B:$B,0)),$Y:$Y,0))-I3534,"")</f>
        <v/>
      </c>
      <c r="AA3534" s="168" t="str">
        <f t="array" ref="AA3534">iferror(index(J:J,match($A3534&amp;","&amp;index('Year Conversion'!$A:$A,match($C3534,'Year Conversion'!$B:$B,0)),$Y:$Y,0))-J3534,"")</f>
        <v/>
      </c>
      <c r="AB3534" s="168" t="str">
        <f t="array" ref="AB3534">iferror(index(K:K,match($A3534&amp;","&amp;index('Year Conversion'!$A:$A,match($C3534,'Year Conversion'!$B:$B,0)),$Y:$Y,0))-K3534,"")</f>
        <v/>
      </c>
      <c r="AC3534" s="168" t="str">
        <f t="shared" si="7"/>
        <v>UTA,2019-20</v>
      </c>
    </row>
    <row r="3535">
      <c r="A3535" s="161" t="str">
        <f>IFERROR(__xludf.DUMMYFUNCTION("""COMPUTED_VALUE"""),"moonema01")</f>
        <v>moonema01</v>
      </c>
      <c r="B3535" s="161" t="str">
        <f>IFERROR(__xludf.DUMMYFUNCTION("""COMPUTED_VALUE"""),"Matt Mooney")</f>
        <v>Matt Mooney</v>
      </c>
      <c r="C3535" s="162" t="str">
        <f>IFERROR(__xludf.DUMMYFUNCTION("""COMPUTED_VALUE"""),"2019-20")</f>
        <v>2019-20</v>
      </c>
      <c r="D3535" s="163" t="str">
        <f>IFERROR(__xludf.DUMMYFUNCTION("""COMPUTED_VALUE"""),"CLE")</f>
        <v>CLE</v>
      </c>
      <c r="E3535" s="164" t="str">
        <f>IFERROR(__xludf.DUMMYFUNCTION("""COMPUTED_VALUE"""),"Stationary Shooter")</f>
        <v>Stationary Shooter</v>
      </c>
      <c r="F3535" s="164">
        <f>IFERROR(__xludf.DUMMYFUNCTION("""COMPUTED_VALUE"""),18.75)</f>
        <v>18.75</v>
      </c>
      <c r="G3535" s="163">
        <f>IFERROR(__xludf.DUMMYFUNCTION("""COMPUTED_VALUE"""),4.0)</f>
        <v>4</v>
      </c>
      <c r="H3535" s="163" t="str">
        <f>IFERROR(__xludf.DUMMYFUNCTION("""COMPUTED_VALUE"""),"SG")</f>
        <v>SG</v>
      </c>
      <c r="I3535" s="163">
        <f>IFERROR(__xludf.DUMMYFUNCTION("""COMPUTED_VALUE"""),22.0)</f>
        <v>22</v>
      </c>
      <c r="J3535" s="165">
        <f>IFERROR(__xludf.DUMMYFUNCTION("""COMPUTED_VALUE"""),0.525678148400324)</f>
        <v>0.5256781484</v>
      </c>
      <c r="K3535" s="165">
        <f>IFERROR(__xludf.DUMMYFUNCTION("""COMPUTED_VALUE"""),0.00755101621307114)</f>
        <v>0.007551016213</v>
      </c>
      <c r="L3535" s="165">
        <f>IFERROR(__xludf.DUMMYFUNCTION("""COMPUTED_VALUE"""),0.518127132187253)</f>
        <v>0.5181271322</v>
      </c>
      <c r="M3535" s="166">
        <f t="shared" si="2"/>
        <v>0.03554882873</v>
      </c>
      <c r="N3535" s="167">
        <f t="shared" si="3"/>
        <v>4.6875</v>
      </c>
      <c r="O3535" s="163">
        <f t="shared" ref="O3535:Q3535" si="3539">rank(I3535,I:I)</f>
        <v>3178</v>
      </c>
      <c r="P3535" s="163">
        <f t="shared" si="3539"/>
        <v>887</v>
      </c>
      <c r="Q3535" s="163">
        <f t="shared" si="3539"/>
        <v>1192</v>
      </c>
      <c r="R3535" s="163">
        <f>IFERROR(__xludf.DUMMYFUNCTION("RANK(M3535,filter(M:M,C:C=C3535))"),446.0)</f>
        <v>446</v>
      </c>
      <c r="S3535" s="161" t="b">
        <f t="shared" si="5"/>
        <v>0</v>
      </c>
      <c r="T3535" s="161" t="b">
        <f t="array" ref="T3535">index('Query Tool'!B:B,match(H3535,'Query Tool'!C:C,0))</f>
        <v>1</v>
      </c>
      <c r="U3535" s="161" t="b">
        <f t="array" ref="U3535">index('Query Tool'!B:B,match(C3535,'Query Tool'!C:C,0))</f>
        <v>0</v>
      </c>
      <c r="V3535" s="161" t="b">
        <f>F3535&gt;='Query Tool'!C$32</f>
        <v>0</v>
      </c>
      <c r="W3535" s="161" t="b">
        <f t="array" ref="W3535">index(Dropdowns!B:B,match(I3535,Dropdowns!A:A,0))</f>
        <v>1</v>
      </c>
      <c r="X3535" s="161" t="b">
        <f t="array" ref="X3535">index('Query Tool'!B:B,match(D3535,'Query Tool'!C:C,0))</f>
        <v>1</v>
      </c>
      <c r="Y3535" s="161" t="str">
        <f t="shared" si="6"/>
        <v>moonema01,2019-20</v>
      </c>
      <c r="Z3535" s="168" t="str">
        <f t="array" ref="Z3535">iferror(index(I:I,match($A3535&amp;","&amp;index('Year Conversion'!$A:$A,match($C3535,'Year Conversion'!$B:$B,0)),$Y:$Y,0))-I3535,"")</f>
        <v/>
      </c>
      <c r="AA3535" s="168" t="str">
        <f t="array" ref="AA3535">iferror(index(J:J,match($A3535&amp;","&amp;index('Year Conversion'!$A:$A,match($C3535,'Year Conversion'!$B:$B,0)),$Y:$Y,0))-J3535,"")</f>
        <v/>
      </c>
      <c r="AB3535" s="168" t="str">
        <f t="array" ref="AB3535">iferror(index(K:K,match($A3535&amp;","&amp;index('Year Conversion'!$A:$A,match($C3535,'Year Conversion'!$B:$B,0)),$Y:$Y,0))-K3535,"")</f>
        <v/>
      </c>
      <c r="AC3535" s="168" t="str">
        <f t="shared" si="7"/>
        <v>CLE,2019-20</v>
      </c>
    </row>
    <row r="3536">
      <c r="A3536" s="161" t="str">
        <f>IFERROR(__xludf.DUMMYFUNCTION("""COMPUTED_VALUE"""),"jamesle01")</f>
        <v>jamesle01</v>
      </c>
      <c r="B3536" s="161" t="str">
        <f>IFERROR(__xludf.DUMMYFUNCTION("""COMPUTED_VALUE"""),"LeBron James")</f>
        <v>LeBron James</v>
      </c>
      <c r="C3536" s="162" t="str">
        <f>IFERROR(__xludf.DUMMYFUNCTION("""COMPUTED_VALUE"""),"2020-21")</f>
        <v>2020-21</v>
      </c>
      <c r="D3536" s="163" t="str">
        <f>IFERROR(__xludf.DUMMYFUNCTION("""COMPUTED_VALUE"""),"LAL")</f>
        <v>LAL</v>
      </c>
      <c r="E3536" s="164" t="str">
        <f>IFERROR(__xludf.DUMMYFUNCTION("""COMPUTED_VALUE"""),"Shot Creator")</f>
        <v>Shot Creator</v>
      </c>
      <c r="F3536" s="164">
        <f>IFERROR(__xludf.DUMMYFUNCTION("""COMPUTED_VALUE"""),1076.58)</f>
        <v>1076.58</v>
      </c>
      <c r="G3536" s="163">
        <f>IFERROR(__xludf.DUMMYFUNCTION("""COMPUTED_VALUE"""),31.0)</f>
        <v>31</v>
      </c>
      <c r="H3536" s="163" t="str">
        <f>IFERROR(__xludf.DUMMYFUNCTION("""COMPUTED_VALUE"""),"PG")</f>
        <v>PG</v>
      </c>
      <c r="I3536" s="163">
        <f>IFERROR(__xludf.DUMMYFUNCTION("""COMPUTED_VALUE"""),36.0)</f>
        <v>36</v>
      </c>
      <c r="J3536" s="165">
        <f>IFERROR(__xludf.DUMMYFUNCTION("""COMPUTED_VALUE"""),5.36797644549319)</f>
        <v>5.367976445</v>
      </c>
      <c r="K3536" s="165">
        <f>IFERROR(__xludf.DUMMYFUNCTION("""COMPUTED_VALUE"""),3.95781220473221)</f>
        <v>3.957812205</v>
      </c>
      <c r="L3536" s="165">
        <f>IFERROR(__xludf.DUMMYFUNCTION("""COMPUTED_VALUE"""),1.41016424076098)</f>
        <v>1.410164241</v>
      </c>
      <c r="M3536" s="166">
        <f t="shared" si="2"/>
        <v>5.407073605</v>
      </c>
      <c r="N3536" s="167">
        <f t="shared" si="3"/>
        <v>34.7283871</v>
      </c>
      <c r="O3536" s="163">
        <f t="shared" ref="O3536:Q3536" si="3540">rank(I3536,I:I)</f>
        <v>65</v>
      </c>
      <c r="P3536" s="163">
        <f t="shared" si="3540"/>
        <v>36</v>
      </c>
      <c r="Q3536" s="163">
        <f t="shared" si="3540"/>
        <v>65</v>
      </c>
      <c r="R3536" s="163">
        <f>IFERROR(__xludf.DUMMYFUNCTION("RANK(M3536,filter(M:M,C:C=C3536))"),2.0)</f>
        <v>2</v>
      </c>
      <c r="S3536" s="161" t="b">
        <f t="shared" si="5"/>
        <v>1</v>
      </c>
      <c r="T3536" s="161" t="b">
        <f t="array" ref="T3536">index('Query Tool'!B:B,match(H3536,'Query Tool'!C:C,0))</f>
        <v>1</v>
      </c>
      <c r="U3536" s="161" t="b">
        <f t="array" ref="U3536">index('Query Tool'!B:B,match(C3536,'Query Tool'!C:C,0))</f>
        <v>1</v>
      </c>
      <c r="V3536" s="161" t="b">
        <f>F3536&gt;='Query Tool'!C$32</f>
        <v>1</v>
      </c>
      <c r="W3536" s="161" t="b">
        <f t="array" ref="W3536">index(Dropdowns!B:B,match(I3536,Dropdowns!A:A,0))</f>
        <v>1</v>
      </c>
      <c r="X3536" s="161" t="b">
        <f t="array" ref="X3536">index('Query Tool'!B:B,match(D3536,'Query Tool'!C:C,0))</f>
        <v>1</v>
      </c>
      <c r="Y3536" s="161" t="str">
        <f t="shared" si="6"/>
        <v>jamesle01,2020-21</v>
      </c>
      <c r="Z3536" s="168" t="str">
        <f t="array" ref="Z3536">iferror(index(I:I,match($A3536&amp;","&amp;index('Year Conversion'!$A:$A,match($C3536,'Year Conversion'!$B:$B,0)),$Y:$Y,0))-I3536,"")</f>
        <v/>
      </c>
      <c r="AA3536" s="168" t="str">
        <f t="array" ref="AA3536">iferror(index(J:J,match($A3536&amp;","&amp;index('Year Conversion'!$A:$A,match($C3536,'Year Conversion'!$B:$B,0)),$Y:$Y,0))-J3536,"")</f>
        <v/>
      </c>
      <c r="AB3536" s="168" t="str">
        <f t="array" ref="AB3536">iferror(index(K:K,match($A3536&amp;","&amp;index('Year Conversion'!$A:$A,match($C3536,'Year Conversion'!$B:$B,0)),$Y:$Y,0))-K3536,"")</f>
        <v/>
      </c>
      <c r="AC3536" s="168" t="str">
        <f t="shared" si="7"/>
        <v>LAL,2020-21</v>
      </c>
    </row>
    <row r="3537">
      <c r="A3537" s="161" t="str">
        <f>IFERROR(__xludf.DUMMYFUNCTION("""COMPUTED_VALUE"""),"anthoca01")</f>
        <v>anthoca01</v>
      </c>
      <c r="B3537" s="161" t="str">
        <f>IFERROR(__xludf.DUMMYFUNCTION("""COMPUTED_VALUE"""),"Carmelo Anthony")</f>
        <v>Carmelo Anthony</v>
      </c>
      <c r="C3537" s="162" t="str">
        <f>IFERROR(__xludf.DUMMYFUNCTION("""COMPUTED_VALUE"""),"2020-21")</f>
        <v>2020-21</v>
      </c>
      <c r="D3537" s="163" t="str">
        <f>IFERROR(__xludf.DUMMYFUNCTION("""COMPUTED_VALUE"""),"POR")</f>
        <v>POR</v>
      </c>
      <c r="E3537" s="164" t="str">
        <f>IFERROR(__xludf.DUMMYFUNCTION("""COMPUTED_VALUE"""),"Versatile Big")</f>
        <v>Versatile Big</v>
      </c>
      <c r="F3537" s="164">
        <f>IFERROR(__xludf.DUMMYFUNCTION("""COMPUTED_VALUE"""),708.066666666666)</f>
        <v>708.0666667</v>
      </c>
      <c r="G3537" s="163">
        <f>IFERROR(__xludf.DUMMYFUNCTION("""COMPUTED_VALUE"""),28.0)</f>
        <v>28</v>
      </c>
      <c r="H3537" s="163" t="str">
        <f>IFERROR(__xludf.DUMMYFUNCTION("""COMPUTED_VALUE"""),"PF")</f>
        <v>PF</v>
      </c>
      <c r="I3537" s="163">
        <f>IFERROR(__xludf.DUMMYFUNCTION("""COMPUTED_VALUE"""),36.0)</f>
        <v>36</v>
      </c>
      <c r="J3537" s="165">
        <f>IFERROR(__xludf.DUMMYFUNCTION("""COMPUTED_VALUE"""),-1.87150495770606)</f>
        <v>-1.871504958</v>
      </c>
      <c r="K3537" s="165">
        <f>IFERROR(__xludf.DUMMYFUNCTION("""COMPUTED_VALUE"""),-0.753699395408478)</f>
        <v>-0.7536993954</v>
      </c>
      <c r="L3537" s="165">
        <f>IFERROR(__xludf.DUMMYFUNCTION("""COMPUTED_VALUE"""),-1.11780556229759)</f>
        <v>-1.117805562</v>
      </c>
      <c r="M3537" s="166">
        <f t="shared" si="2"/>
        <v>0.2025217643</v>
      </c>
      <c r="N3537" s="167">
        <f t="shared" si="3"/>
        <v>25.28809524</v>
      </c>
      <c r="O3537" s="163">
        <f t="shared" ref="O3537:Q3537" si="3541">rank(I3537,I:I)</f>
        <v>65</v>
      </c>
      <c r="P3537" s="163">
        <f t="shared" si="3541"/>
        <v>3396</v>
      </c>
      <c r="Q3537" s="163">
        <f t="shared" si="3541"/>
        <v>2483</v>
      </c>
      <c r="R3537" s="163">
        <f>IFERROR(__xludf.DUMMYFUNCTION("RANK(M3537,filter(M:M,C:C=C3537))"),276.0)</f>
        <v>276</v>
      </c>
      <c r="S3537" s="161" t="b">
        <f t="shared" si="5"/>
        <v>1</v>
      </c>
      <c r="T3537" s="161" t="b">
        <f t="array" ref="T3537">index('Query Tool'!B:B,match(H3537,'Query Tool'!C:C,0))</f>
        <v>1</v>
      </c>
      <c r="U3537" s="161" t="b">
        <f t="array" ref="U3537">index('Query Tool'!B:B,match(C3537,'Query Tool'!C:C,0))</f>
        <v>1</v>
      </c>
      <c r="V3537" s="161" t="b">
        <f>F3537&gt;='Query Tool'!C$32</f>
        <v>1</v>
      </c>
      <c r="W3537" s="161" t="b">
        <f t="array" ref="W3537">index(Dropdowns!B:B,match(I3537,Dropdowns!A:A,0))</f>
        <v>1</v>
      </c>
      <c r="X3537" s="161" t="b">
        <f t="array" ref="X3537">index('Query Tool'!B:B,match(D3537,'Query Tool'!C:C,0))</f>
        <v>1</v>
      </c>
      <c r="Y3537" s="161" t="str">
        <f t="shared" si="6"/>
        <v>anthoca01,2020-21</v>
      </c>
      <c r="Z3537" s="168" t="str">
        <f t="array" ref="Z3537">iferror(index(I:I,match($A3537&amp;","&amp;index('Year Conversion'!$A:$A,match($C3537,'Year Conversion'!$B:$B,0)),$Y:$Y,0))-I3537,"")</f>
        <v/>
      </c>
      <c r="AA3537" s="168" t="str">
        <f t="array" ref="AA3537">iferror(index(J:J,match($A3537&amp;","&amp;index('Year Conversion'!$A:$A,match($C3537,'Year Conversion'!$B:$B,0)),$Y:$Y,0))-J3537,"")</f>
        <v/>
      </c>
      <c r="AB3537" s="168" t="str">
        <f t="array" ref="AB3537">iferror(index(K:K,match($A3537&amp;","&amp;index('Year Conversion'!$A:$A,match($C3537,'Year Conversion'!$B:$B,0)),$Y:$Y,0))-K3537,"")</f>
        <v/>
      </c>
      <c r="AC3537" s="168" t="str">
        <f t="shared" si="7"/>
        <v>POR,2020-21</v>
      </c>
    </row>
    <row r="3538">
      <c r="A3538" s="161" t="str">
        <f>IFERROR(__xludf.DUMMYFUNCTION("""COMPUTED_VALUE"""),"howardw01")</f>
        <v>howardw01</v>
      </c>
      <c r="B3538" s="161" t="str">
        <f>IFERROR(__xludf.DUMMYFUNCTION("""COMPUTED_VALUE"""),"Dwight Howard")</f>
        <v>Dwight Howard</v>
      </c>
      <c r="C3538" s="162" t="str">
        <f>IFERROR(__xludf.DUMMYFUNCTION("""COMPUTED_VALUE"""),"2020-21")</f>
        <v>2020-21</v>
      </c>
      <c r="D3538" s="163" t="str">
        <f>IFERROR(__xludf.DUMMYFUNCTION("""COMPUTED_VALUE"""),"PHI")</f>
        <v>PHI</v>
      </c>
      <c r="E3538" s="164" t="str">
        <f>IFERROR(__xludf.DUMMYFUNCTION("""COMPUTED_VALUE"""),"Roll + Cut Big")</f>
        <v>Roll + Cut Big</v>
      </c>
      <c r="F3538" s="164">
        <f>IFERROR(__xludf.DUMMYFUNCTION("""COMPUTED_VALUE"""),505.5)</f>
        <v>505.5</v>
      </c>
      <c r="G3538" s="163">
        <f>IFERROR(__xludf.DUMMYFUNCTION("""COMPUTED_VALUE"""),31.0)</f>
        <v>31</v>
      </c>
      <c r="H3538" s="163" t="str">
        <f>IFERROR(__xludf.DUMMYFUNCTION("""COMPUTED_VALUE"""),"C")</f>
        <v>C</v>
      </c>
      <c r="I3538" s="163">
        <f>IFERROR(__xludf.DUMMYFUNCTION("""COMPUTED_VALUE"""),35.0)</f>
        <v>35</v>
      </c>
      <c r="J3538" s="165">
        <f>IFERROR(__xludf.DUMMYFUNCTION("""COMPUTED_VALUE"""),-0.300178454334709)</f>
        <v>-0.3001784543</v>
      </c>
      <c r="K3538" s="165">
        <f>IFERROR(__xludf.DUMMYFUNCTION("""COMPUTED_VALUE"""),-1.17308038519194)</f>
        <v>-1.173080385</v>
      </c>
      <c r="L3538" s="165">
        <f>IFERROR(__xludf.DUMMYFUNCTION("""COMPUTED_VALUE"""),0.872901930857232)</f>
        <v>0.8729019309</v>
      </c>
      <c r="M3538" s="166">
        <f t="shared" si="2"/>
        <v>0.6770236005</v>
      </c>
      <c r="N3538" s="167">
        <f t="shared" si="3"/>
        <v>16.30645161</v>
      </c>
      <c r="O3538" s="163">
        <f t="shared" ref="O3538:Q3538" si="3542">rank(I3538,I:I)</f>
        <v>104</v>
      </c>
      <c r="P3538" s="163">
        <f t="shared" si="3542"/>
        <v>1612</v>
      </c>
      <c r="Q3538" s="163">
        <f t="shared" si="3542"/>
        <v>3008</v>
      </c>
      <c r="R3538" s="163">
        <f>IFERROR(__xludf.DUMMYFUNCTION("RANK(M3538,filter(M:M,C:C=C3538))"),161.0)</f>
        <v>161</v>
      </c>
      <c r="S3538" s="161" t="b">
        <f t="shared" si="5"/>
        <v>1</v>
      </c>
      <c r="T3538" s="161" t="b">
        <f t="array" ref="T3538">index('Query Tool'!B:B,match(H3538,'Query Tool'!C:C,0))</f>
        <v>1</v>
      </c>
      <c r="U3538" s="161" t="b">
        <f t="array" ref="U3538">index('Query Tool'!B:B,match(C3538,'Query Tool'!C:C,0))</f>
        <v>1</v>
      </c>
      <c r="V3538" s="161" t="b">
        <f>F3538&gt;='Query Tool'!C$32</f>
        <v>1</v>
      </c>
      <c r="W3538" s="161" t="b">
        <f t="array" ref="W3538">index(Dropdowns!B:B,match(I3538,Dropdowns!A:A,0))</f>
        <v>1</v>
      </c>
      <c r="X3538" s="161" t="b">
        <f t="array" ref="X3538">index('Query Tool'!B:B,match(D3538,'Query Tool'!C:C,0))</f>
        <v>1</v>
      </c>
      <c r="Y3538" s="161" t="str">
        <f t="shared" si="6"/>
        <v>howardw01,2020-21</v>
      </c>
      <c r="Z3538" s="168" t="str">
        <f t="array" ref="Z3538">iferror(index(I:I,match($A3538&amp;","&amp;index('Year Conversion'!$A:$A,match($C3538,'Year Conversion'!$B:$B,0)),$Y:$Y,0))-I3538,"")</f>
        <v/>
      </c>
      <c r="AA3538" s="168" t="str">
        <f t="array" ref="AA3538">iferror(index(J:J,match($A3538&amp;","&amp;index('Year Conversion'!$A:$A,match($C3538,'Year Conversion'!$B:$B,0)),$Y:$Y,0))-J3538,"")</f>
        <v/>
      </c>
      <c r="AB3538" s="168" t="str">
        <f t="array" ref="AB3538">iferror(index(K:K,match($A3538&amp;","&amp;index('Year Conversion'!$A:$A,match($C3538,'Year Conversion'!$B:$B,0)),$Y:$Y,0))-K3538,"")</f>
        <v/>
      </c>
      <c r="AC3538" s="168" t="str">
        <f t="shared" si="7"/>
        <v>PHI,2020-21</v>
      </c>
    </row>
    <row r="3539">
      <c r="A3539" s="161" t="str">
        <f>IFERROR(__xludf.DUMMYFUNCTION("""COMPUTED_VALUE"""),"iguodan01")</f>
        <v>iguodan01</v>
      </c>
      <c r="B3539" s="161" t="str">
        <f>IFERROR(__xludf.DUMMYFUNCTION("""COMPUTED_VALUE"""),"Andre Iguodala")</f>
        <v>Andre Iguodala</v>
      </c>
      <c r="C3539" s="162" t="str">
        <f>IFERROR(__xludf.DUMMYFUNCTION("""COMPUTED_VALUE"""),"2020-21")</f>
        <v>2020-21</v>
      </c>
      <c r="D3539" s="163" t="str">
        <f>IFERROR(__xludf.DUMMYFUNCTION("""COMPUTED_VALUE"""),"MIA")</f>
        <v>MIA</v>
      </c>
      <c r="E3539" s="164" t="str">
        <f>IFERROR(__xludf.DUMMYFUNCTION("""COMPUTED_VALUE"""),"Stationary Shooter")</f>
        <v>Stationary Shooter</v>
      </c>
      <c r="F3539" s="164">
        <f>IFERROR(__xludf.DUMMYFUNCTION("""COMPUTED_VALUE"""),599.593333333333)</f>
        <v>599.5933333</v>
      </c>
      <c r="G3539" s="163">
        <f>IFERROR(__xludf.DUMMYFUNCTION("""COMPUTED_VALUE"""),28.0)</f>
        <v>28</v>
      </c>
      <c r="H3539" s="163" t="str">
        <f>IFERROR(__xludf.DUMMYFUNCTION("""COMPUTED_VALUE"""),"SF")</f>
        <v>SF</v>
      </c>
      <c r="I3539" s="163">
        <f>IFERROR(__xludf.DUMMYFUNCTION("""COMPUTED_VALUE"""),37.0)</f>
        <v>37</v>
      </c>
      <c r="J3539" s="165">
        <f>IFERROR(__xludf.DUMMYFUNCTION("""COMPUTED_VALUE"""),-2.01672810338791)</f>
        <v>-2.016728103</v>
      </c>
      <c r="K3539" s="165">
        <f>IFERROR(__xludf.DUMMYFUNCTION("""COMPUTED_VALUE"""),-2.71758633110536)</f>
        <v>-2.717586331</v>
      </c>
      <c r="L3539" s="165">
        <f>IFERROR(__xludf.DUMMYFUNCTION("""COMPUTED_VALUE"""),0.700858227717441)</f>
        <v>0.7008582277</v>
      </c>
      <c r="M3539" s="166">
        <f t="shared" si="2"/>
        <v>0.1137066744</v>
      </c>
      <c r="N3539" s="167">
        <f t="shared" si="3"/>
        <v>21.41404762</v>
      </c>
      <c r="O3539" s="163">
        <f t="shared" ref="O3539:Q3539" si="3543">rank(I3539,I:I)</f>
        <v>38</v>
      </c>
      <c r="P3539" s="163">
        <f t="shared" si="3543"/>
        <v>3490</v>
      </c>
      <c r="Q3539" s="163">
        <f t="shared" si="3543"/>
        <v>3939</v>
      </c>
      <c r="R3539" s="163">
        <f>IFERROR(__xludf.DUMMYFUNCTION("RANK(M3539,filter(M:M,C:C=C3539))"),323.0)</f>
        <v>323</v>
      </c>
      <c r="S3539" s="161" t="b">
        <f t="shared" si="5"/>
        <v>1</v>
      </c>
      <c r="T3539" s="161" t="b">
        <f t="array" ref="T3539">index('Query Tool'!B:B,match(H3539,'Query Tool'!C:C,0))</f>
        <v>1</v>
      </c>
      <c r="U3539" s="161" t="b">
        <f t="array" ref="U3539">index('Query Tool'!B:B,match(C3539,'Query Tool'!C:C,0))</f>
        <v>1</v>
      </c>
      <c r="V3539" s="161" t="b">
        <f>F3539&gt;='Query Tool'!C$32</f>
        <v>1</v>
      </c>
      <c r="W3539" s="161" t="b">
        <f t="array" ref="W3539">index(Dropdowns!B:B,match(I3539,Dropdowns!A:A,0))</f>
        <v>1</v>
      </c>
      <c r="X3539" s="161" t="b">
        <f t="array" ref="X3539">index('Query Tool'!B:B,match(D3539,'Query Tool'!C:C,0))</f>
        <v>1</v>
      </c>
      <c r="Y3539" s="161" t="str">
        <f t="shared" si="6"/>
        <v>iguodan01,2020-21</v>
      </c>
      <c r="Z3539" s="168" t="str">
        <f t="array" ref="Z3539">iferror(index(I:I,match($A3539&amp;","&amp;index('Year Conversion'!$A:$A,match($C3539,'Year Conversion'!$B:$B,0)),$Y:$Y,0))-I3539,"")</f>
        <v/>
      </c>
      <c r="AA3539" s="168" t="str">
        <f t="array" ref="AA3539">iferror(index(J:J,match($A3539&amp;","&amp;index('Year Conversion'!$A:$A,match($C3539,'Year Conversion'!$B:$B,0)),$Y:$Y,0))-J3539,"")</f>
        <v/>
      </c>
      <c r="AB3539" s="168" t="str">
        <f t="array" ref="AB3539">iferror(index(K:K,match($A3539&amp;","&amp;index('Year Conversion'!$A:$A,match($C3539,'Year Conversion'!$B:$B,0)),$Y:$Y,0))-K3539,"")</f>
        <v/>
      </c>
      <c r="AC3539" s="168" t="str">
        <f t="shared" si="7"/>
        <v>MIA,2020-21</v>
      </c>
    </row>
    <row r="3540">
      <c r="A3540" s="161" t="str">
        <f>IFERROR(__xludf.DUMMYFUNCTION("""COMPUTED_VALUE"""),"paulch01")</f>
        <v>paulch01</v>
      </c>
      <c r="B3540" s="161" t="str">
        <f>IFERROR(__xludf.DUMMYFUNCTION("""COMPUTED_VALUE"""),"Chris Paul")</f>
        <v>Chris Paul</v>
      </c>
      <c r="C3540" s="162" t="str">
        <f>IFERROR(__xludf.DUMMYFUNCTION("""COMPUTED_VALUE"""),"2020-21")</f>
        <v>2020-21</v>
      </c>
      <c r="D3540" s="163" t="str">
        <f>IFERROR(__xludf.DUMMYFUNCTION("""COMPUTED_VALUE"""),"PHO")</f>
        <v>PHO</v>
      </c>
      <c r="E3540" s="164" t="str">
        <f>IFERROR(__xludf.DUMMYFUNCTION("""COMPUTED_VALUE"""),"Shot Creator")</f>
        <v>Shot Creator</v>
      </c>
      <c r="F3540" s="164">
        <f>IFERROR(__xludf.DUMMYFUNCTION("""COMPUTED_VALUE"""),895.92)</f>
        <v>895.92</v>
      </c>
      <c r="G3540" s="163">
        <f>IFERROR(__xludf.DUMMYFUNCTION("""COMPUTED_VALUE"""),28.0)</f>
        <v>28</v>
      </c>
      <c r="H3540" s="163" t="str">
        <f>IFERROR(__xludf.DUMMYFUNCTION("""COMPUTED_VALUE"""),"PG")</f>
        <v>PG</v>
      </c>
      <c r="I3540" s="163">
        <f>IFERROR(__xludf.DUMMYFUNCTION("""COMPUTED_VALUE"""),35.0)</f>
        <v>35</v>
      </c>
      <c r="J3540" s="165">
        <f>IFERROR(__xludf.DUMMYFUNCTION("""COMPUTED_VALUE"""),2.83926643683082)</f>
        <v>2.839266437</v>
      </c>
      <c r="K3540" s="165">
        <f>IFERROR(__xludf.DUMMYFUNCTION("""COMPUTED_VALUE"""),2.199611178443)</f>
        <v>2.199611178</v>
      </c>
      <c r="L3540" s="165">
        <f>IFERROR(__xludf.DUMMYFUNCTION("""COMPUTED_VALUE"""),0.639655258387817)</f>
        <v>0.6396552584</v>
      </c>
      <c r="M3540" s="166">
        <f t="shared" si="2"/>
        <v>3.077232507</v>
      </c>
      <c r="N3540" s="167">
        <f t="shared" si="3"/>
        <v>31.99714286</v>
      </c>
      <c r="O3540" s="163">
        <f t="shared" ref="O3540:Q3540" si="3544">rank(I3540,I:I)</f>
        <v>104</v>
      </c>
      <c r="P3540" s="163">
        <f t="shared" si="3544"/>
        <v>185</v>
      </c>
      <c r="Q3540" s="163">
        <f t="shared" si="3544"/>
        <v>200</v>
      </c>
      <c r="R3540" s="163">
        <f>IFERROR(__xludf.DUMMYFUNCTION("RANK(M3540,filter(M:M,C:C=C3540))"),17.0)</f>
        <v>17</v>
      </c>
      <c r="S3540" s="161" t="b">
        <f t="shared" si="5"/>
        <v>1</v>
      </c>
      <c r="T3540" s="161" t="b">
        <f t="array" ref="T3540">index('Query Tool'!B:B,match(H3540,'Query Tool'!C:C,0))</f>
        <v>1</v>
      </c>
      <c r="U3540" s="161" t="b">
        <f t="array" ref="U3540">index('Query Tool'!B:B,match(C3540,'Query Tool'!C:C,0))</f>
        <v>1</v>
      </c>
      <c r="V3540" s="161" t="b">
        <f>F3540&gt;='Query Tool'!C$32</f>
        <v>1</v>
      </c>
      <c r="W3540" s="161" t="b">
        <f t="array" ref="W3540">index(Dropdowns!B:B,match(I3540,Dropdowns!A:A,0))</f>
        <v>1</v>
      </c>
      <c r="X3540" s="161" t="b">
        <f t="array" ref="X3540">index('Query Tool'!B:B,match(D3540,'Query Tool'!C:C,0))</f>
        <v>1</v>
      </c>
      <c r="Y3540" s="161" t="str">
        <f t="shared" si="6"/>
        <v>paulch01,2020-21</v>
      </c>
      <c r="Z3540" s="168" t="str">
        <f t="array" ref="Z3540">iferror(index(I:I,match($A3540&amp;","&amp;index('Year Conversion'!$A:$A,match($C3540,'Year Conversion'!$B:$B,0)),$Y:$Y,0))-I3540,"")</f>
        <v/>
      </c>
      <c r="AA3540" s="168" t="str">
        <f t="array" ref="AA3540">iferror(index(J:J,match($A3540&amp;","&amp;index('Year Conversion'!$A:$A,match($C3540,'Year Conversion'!$B:$B,0)),$Y:$Y,0))-J3540,"")</f>
        <v/>
      </c>
      <c r="AB3540" s="168" t="str">
        <f t="array" ref="AB3540">iferror(index(K:K,match($A3540&amp;","&amp;index('Year Conversion'!$A:$A,match($C3540,'Year Conversion'!$B:$B,0)),$Y:$Y,0))-K3540,"")</f>
        <v/>
      </c>
      <c r="AC3540" s="168" t="str">
        <f t="shared" si="7"/>
        <v>PHO,2020-21</v>
      </c>
    </row>
    <row r="3541">
      <c r="A3541" s="161" t="str">
        <f>IFERROR(__xludf.DUMMYFUNCTION("""COMPUTED_VALUE"""),"willilo02")</f>
        <v>willilo02</v>
      </c>
      <c r="B3541" s="161" t="str">
        <f>IFERROR(__xludf.DUMMYFUNCTION("""COMPUTED_VALUE"""),"Lou Williams")</f>
        <v>Lou Williams</v>
      </c>
      <c r="C3541" s="162" t="str">
        <f>IFERROR(__xludf.DUMMYFUNCTION("""COMPUTED_VALUE"""),"2020-21")</f>
        <v>2020-21</v>
      </c>
      <c r="D3541" s="163" t="str">
        <f>IFERROR(__xludf.DUMMYFUNCTION("""COMPUTED_VALUE"""),"LAC")</f>
        <v>LAC</v>
      </c>
      <c r="E3541" s="164" t="str">
        <f>IFERROR(__xludf.DUMMYFUNCTION("""COMPUTED_VALUE"""),"Slasher")</f>
        <v>Slasher</v>
      </c>
      <c r="F3541" s="164">
        <f>IFERROR(__xludf.DUMMYFUNCTION("""COMPUTED_VALUE"""),673.241666666667)</f>
        <v>673.2416667</v>
      </c>
      <c r="G3541" s="163">
        <f>IFERROR(__xludf.DUMMYFUNCTION("""COMPUTED_VALUE"""),30.0)</f>
        <v>30</v>
      </c>
      <c r="H3541" s="163" t="str">
        <f>IFERROR(__xludf.DUMMYFUNCTION("""COMPUTED_VALUE"""),"PG")</f>
        <v>PG</v>
      </c>
      <c r="I3541" s="163">
        <f>IFERROR(__xludf.DUMMYFUNCTION("""COMPUTED_VALUE"""),34.0)</f>
        <v>34</v>
      </c>
      <c r="J3541" s="165">
        <f>IFERROR(__xludf.DUMMYFUNCTION("""COMPUTED_VALUE"""),-0.197472080055089)</f>
        <v>-0.1974720801</v>
      </c>
      <c r="K3541" s="165">
        <f>IFERROR(__xludf.DUMMYFUNCTION("""COMPUTED_VALUE"""),0.985607785926228)</f>
        <v>0.9856077859</v>
      </c>
      <c r="L3541" s="165">
        <f>IFERROR(__xludf.DUMMYFUNCTION("""COMPUTED_VALUE"""),-1.18307986598132)</f>
        <v>-1.183079866</v>
      </c>
      <c r="M3541" s="166">
        <f t="shared" si="2"/>
        <v>0.9482879607</v>
      </c>
      <c r="N3541" s="167">
        <f t="shared" si="3"/>
        <v>22.44138889</v>
      </c>
      <c r="O3541" s="163">
        <f t="shared" ref="O3541:Q3541" si="3545">rank(I3541,I:I)</f>
        <v>164</v>
      </c>
      <c r="P3541" s="163">
        <f t="shared" si="3545"/>
        <v>1506</v>
      </c>
      <c r="Q3541" s="163">
        <f t="shared" si="3545"/>
        <v>510</v>
      </c>
      <c r="R3541" s="163">
        <f>IFERROR(__xludf.DUMMYFUNCTION("RANK(M3541,filter(M:M,C:C=C3541))"),128.0)</f>
        <v>128</v>
      </c>
      <c r="S3541" s="161" t="b">
        <f t="shared" si="5"/>
        <v>1</v>
      </c>
      <c r="T3541" s="161" t="b">
        <f t="array" ref="T3541">index('Query Tool'!B:B,match(H3541,'Query Tool'!C:C,0))</f>
        <v>1</v>
      </c>
      <c r="U3541" s="161" t="b">
        <f t="array" ref="U3541">index('Query Tool'!B:B,match(C3541,'Query Tool'!C:C,0))</f>
        <v>1</v>
      </c>
      <c r="V3541" s="161" t="b">
        <f>F3541&gt;='Query Tool'!C$32</f>
        <v>1</v>
      </c>
      <c r="W3541" s="161" t="b">
        <f t="array" ref="W3541">index(Dropdowns!B:B,match(I3541,Dropdowns!A:A,0))</f>
        <v>1</v>
      </c>
      <c r="X3541" s="161" t="b">
        <f t="array" ref="X3541">index('Query Tool'!B:B,match(D3541,'Query Tool'!C:C,0))</f>
        <v>1</v>
      </c>
      <c r="Y3541" s="161" t="str">
        <f t="shared" si="6"/>
        <v>willilo02,2020-21</v>
      </c>
      <c r="Z3541" s="168" t="str">
        <f t="array" ref="Z3541">iferror(index(I:I,match($A3541&amp;","&amp;index('Year Conversion'!$A:$A,match($C3541,'Year Conversion'!$B:$B,0)),$Y:$Y,0))-I3541,"")</f>
        <v/>
      </c>
      <c r="AA3541" s="168" t="str">
        <f t="array" ref="AA3541">iferror(index(J:J,match($A3541&amp;","&amp;index('Year Conversion'!$A:$A,match($C3541,'Year Conversion'!$B:$B,0)),$Y:$Y,0))-J3541,"")</f>
        <v/>
      </c>
      <c r="AB3541" s="168" t="str">
        <f t="array" ref="AB3541">iferror(index(K:K,match($A3541&amp;","&amp;index('Year Conversion'!$A:$A,match($C3541,'Year Conversion'!$B:$B,0)),$Y:$Y,0))-K3541,"")</f>
        <v/>
      </c>
      <c r="AC3541" s="168" t="str">
        <f t="shared" si="7"/>
        <v>LAC,2020-21</v>
      </c>
    </row>
    <row r="3542">
      <c r="A3542" s="161" t="str">
        <f>IFERROR(__xludf.DUMMYFUNCTION("""COMPUTED_VALUE"""),"aldrila01")</f>
        <v>aldrila01</v>
      </c>
      <c r="B3542" s="161" t="str">
        <f>IFERROR(__xludf.DUMMYFUNCTION("""COMPUTED_VALUE"""),"LaMarcus Aldridge")</f>
        <v>LaMarcus Aldridge</v>
      </c>
      <c r="C3542" s="162" t="str">
        <f>IFERROR(__xludf.DUMMYFUNCTION("""COMPUTED_VALUE"""),"2020-21")</f>
        <v>2020-21</v>
      </c>
      <c r="D3542" s="163" t="str">
        <f>IFERROR(__xludf.DUMMYFUNCTION("""COMPUTED_VALUE"""),"SAS")</f>
        <v>SAS</v>
      </c>
      <c r="E3542" s="164" t="str">
        <f>IFERROR(__xludf.DUMMYFUNCTION("""COMPUTED_VALUE"""),"Stretch Big")</f>
        <v>Stretch Big</v>
      </c>
      <c r="F3542" s="164">
        <f>IFERROR(__xludf.DUMMYFUNCTION("""COMPUTED_VALUE"""),480.083333333333)</f>
        <v>480.0833333</v>
      </c>
      <c r="G3542" s="163">
        <f>IFERROR(__xludf.DUMMYFUNCTION("""COMPUTED_VALUE"""),18.0)</f>
        <v>18</v>
      </c>
      <c r="H3542" s="163" t="str">
        <f>IFERROR(__xludf.DUMMYFUNCTION("""COMPUTED_VALUE"""),"C")</f>
        <v>C</v>
      </c>
      <c r="I3542" s="163">
        <f>IFERROR(__xludf.DUMMYFUNCTION("""COMPUTED_VALUE"""),35.0)</f>
        <v>35</v>
      </c>
      <c r="J3542" s="165">
        <f>IFERROR(__xludf.DUMMYFUNCTION("""COMPUTED_VALUE"""),-1.07208055362507)</f>
        <v>-1.072080554</v>
      </c>
      <c r="K3542" s="165">
        <f>IFERROR(__xludf.DUMMYFUNCTION("""COMPUTED_VALUE"""),0.116488619640866)</f>
        <v>0.1164886196</v>
      </c>
      <c r="L3542" s="165">
        <f>IFERROR(__xludf.DUMMYFUNCTION("""COMPUTED_VALUE"""),-1.18856917326593)</f>
        <v>-1.188569173</v>
      </c>
      <c r="M3542" s="166">
        <f t="shared" si="2"/>
        <v>0.3936840412</v>
      </c>
      <c r="N3542" s="167">
        <f t="shared" si="3"/>
        <v>26.6712963</v>
      </c>
      <c r="O3542" s="163">
        <f t="shared" ref="O3542:Q3542" si="3546">rank(I3542,I:I)</f>
        <v>104</v>
      </c>
      <c r="P3542" s="163">
        <f t="shared" si="3546"/>
        <v>2579</v>
      </c>
      <c r="Q3542" s="163">
        <f t="shared" si="3546"/>
        <v>1051</v>
      </c>
      <c r="R3542" s="163">
        <f>IFERROR(__xludf.DUMMYFUNCTION("RANK(M3542,filter(M:M,C:C=C3542))"),218.0)</f>
        <v>218</v>
      </c>
      <c r="S3542" s="161" t="b">
        <f t="shared" si="5"/>
        <v>0</v>
      </c>
      <c r="T3542" s="161" t="b">
        <f t="array" ref="T3542">index('Query Tool'!B:B,match(H3542,'Query Tool'!C:C,0))</f>
        <v>1</v>
      </c>
      <c r="U3542" s="161" t="b">
        <f t="array" ref="U3542">index('Query Tool'!B:B,match(C3542,'Query Tool'!C:C,0))</f>
        <v>1</v>
      </c>
      <c r="V3542" s="161" t="b">
        <f>F3542&gt;='Query Tool'!C$32</f>
        <v>0</v>
      </c>
      <c r="W3542" s="161" t="b">
        <f t="array" ref="W3542">index(Dropdowns!B:B,match(I3542,Dropdowns!A:A,0))</f>
        <v>1</v>
      </c>
      <c r="X3542" s="161" t="b">
        <f t="array" ref="X3542">index('Query Tool'!B:B,match(D3542,'Query Tool'!C:C,0))</f>
        <v>1</v>
      </c>
      <c r="Y3542" s="161" t="str">
        <f t="shared" si="6"/>
        <v>aldrila01,2020-21</v>
      </c>
      <c r="Z3542" s="168" t="str">
        <f t="array" ref="Z3542">iferror(index(I:I,match($A3542&amp;","&amp;index('Year Conversion'!$A:$A,match($C3542,'Year Conversion'!$B:$B,0)),$Y:$Y,0))-I3542,"")</f>
        <v/>
      </c>
      <c r="AA3542" s="168" t="str">
        <f t="array" ref="AA3542">iferror(index(J:J,match($A3542&amp;","&amp;index('Year Conversion'!$A:$A,match($C3542,'Year Conversion'!$B:$B,0)),$Y:$Y,0))-J3542,"")</f>
        <v/>
      </c>
      <c r="AB3542" s="168" t="str">
        <f t="array" ref="AB3542">iferror(index(K:K,match($A3542&amp;","&amp;index('Year Conversion'!$A:$A,match($C3542,'Year Conversion'!$B:$B,0)),$Y:$Y,0))-K3542,"")</f>
        <v/>
      </c>
      <c r="AC3542" s="168" t="str">
        <f t="shared" si="7"/>
        <v>SAS,2020-21</v>
      </c>
    </row>
    <row r="3543">
      <c r="A3543" s="161" t="str">
        <f>IFERROR(__xludf.DUMMYFUNCTION("""COMPUTED_VALUE"""),"gayru01")</f>
        <v>gayru01</v>
      </c>
      <c r="B3543" s="161" t="str">
        <f>IFERROR(__xludf.DUMMYFUNCTION("""COMPUTED_VALUE"""),"Rudy Gay")</f>
        <v>Rudy Gay</v>
      </c>
      <c r="C3543" s="162" t="str">
        <f>IFERROR(__xludf.DUMMYFUNCTION("""COMPUTED_VALUE"""),"2020-21")</f>
        <v>2020-21</v>
      </c>
      <c r="D3543" s="163" t="str">
        <f>IFERROR(__xludf.DUMMYFUNCTION("""COMPUTED_VALUE"""),"SAS")</f>
        <v>SAS</v>
      </c>
      <c r="E3543" s="164" t="str">
        <f>IFERROR(__xludf.DUMMYFUNCTION("""COMPUTED_VALUE"""),"Stationary Shooter")</f>
        <v>Stationary Shooter</v>
      </c>
      <c r="F3543" s="164">
        <f>IFERROR(__xludf.DUMMYFUNCTION("""COMPUTED_VALUE"""),571.516666666667)</f>
        <v>571.5166667</v>
      </c>
      <c r="G3543" s="163">
        <f>IFERROR(__xludf.DUMMYFUNCTION("""COMPUTED_VALUE"""),26.0)</f>
        <v>26</v>
      </c>
      <c r="H3543" s="163" t="str">
        <f>IFERROR(__xludf.DUMMYFUNCTION("""COMPUTED_VALUE"""),"PF")</f>
        <v>PF</v>
      </c>
      <c r="I3543" s="163">
        <f>IFERROR(__xludf.DUMMYFUNCTION("""COMPUTED_VALUE"""),34.0)</f>
        <v>34</v>
      </c>
      <c r="J3543" s="165">
        <f>IFERROR(__xludf.DUMMYFUNCTION("""COMPUTED_VALUE"""),0.20447377860893)</f>
        <v>0.2044737786</v>
      </c>
      <c r="K3543" s="165">
        <f>IFERROR(__xludf.DUMMYFUNCTION("""COMPUTED_VALUE"""),-0.421429991874157)</f>
        <v>-0.4214299919</v>
      </c>
      <c r="L3543" s="165">
        <f>IFERROR(__xludf.DUMMYFUNCTION("""COMPUTED_VALUE"""),0.625903770483087)</f>
        <v>0.6259037705</v>
      </c>
      <c r="M3543" s="166">
        <f t="shared" si="2"/>
        <v>0.9598695568</v>
      </c>
      <c r="N3543" s="167">
        <f t="shared" si="3"/>
        <v>21.98141026</v>
      </c>
      <c r="O3543" s="163">
        <f t="shared" ref="O3543:Q3543" si="3547">rank(I3543,I:I)</f>
        <v>164</v>
      </c>
      <c r="P3543" s="163">
        <f t="shared" si="3547"/>
        <v>1087</v>
      </c>
      <c r="Q3543" s="163">
        <f t="shared" si="3547"/>
        <v>1984</v>
      </c>
      <c r="R3543" s="163">
        <f>IFERROR(__xludf.DUMMYFUNCTION("RANK(M3543,filter(M:M,C:C=C3543))"),127.0)</f>
        <v>127</v>
      </c>
      <c r="S3543" s="161" t="b">
        <f t="shared" si="5"/>
        <v>1</v>
      </c>
      <c r="T3543" s="161" t="b">
        <f t="array" ref="T3543">index('Query Tool'!B:B,match(H3543,'Query Tool'!C:C,0))</f>
        <v>1</v>
      </c>
      <c r="U3543" s="161" t="b">
        <f t="array" ref="U3543">index('Query Tool'!B:B,match(C3543,'Query Tool'!C:C,0))</f>
        <v>1</v>
      </c>
      <c r="V3543" s="161" t="b">
        <f>F3543&gt;='Query Tool'!C$32</f>
        <v>1</v>
      </c>
      <c r="W3543" s="161" t="b">
        <f t="array" ref="W3543">index(Dropdowns!B:B,match(I3543,Dropdowns!A:A,0))</f>
        <v>1</v>
      </c>
      <c r="X3543" s="161" t="b">
        <f t="array" ref="X3543">index('Query Tool'!B:B,match(D3543,'Query Tool'!C:C,0))</f>
        <v>1</v>
      </c>
      <c r="Y3543" s="161" t="str">
        <f t="shared" si="6"/>
        <v>gayru01,2020-21</v>
      </c>
      <c r="Z3543" s="168" t="str">
        <f t="array" ref="Z3543">iferror(index(I:I,match($A3543&amp;","&amp;index('Year Conversion'!$A:$A,match($C3543,'Year Conversion'!$B:$B,0)),$Y:$Y,0))-I3543,"")</f>
        <v/>
      </c>
      <c r="AA3543" s="168" t="str">
        <f t="array" ref="AA3543">iferror(index(J:J,match($A3543&amp;","&amp;index('Year Conversion'!$A:$A,match($C3543,'Year Conversion'!$B:$B,0)),$Y:$Y,0))-J3543,"")</f>
        <v/>
      </c>
      <c r="AB3543" s="168" t="str">
        <f t="array" ref="AB3543">iferror(index(K:K,match($A3543&amp;","&amp;index('Year Conversion'!$A:$A,match($C3543,'Year Conversion'!$B:$B,0)),$Y:$Y,0))-K3543,"")</f>
        <v/>
      </c>
      <c r="AC3543" s="168" t="str">
        <f t="shared" si="7"/>
        <v>SAS,2020-21</v>
      </c>
    </row>
    <row r="3544">
      <c r="A3544" s="161" t="str">
        <f>IFERROR(__xludf.DUMMYFUNCTION("""COMPUTED_VALUE"""),"redicjj01")</f>
        <v>redicjj01</v>
      </c>
      <c r="B3544" s="161" t="str">
        <f>IFERROR(__xludf.DUMMYFUNCTION("""COMPUTED_VALUE"""),"JJ Redick")</f>
        <v>JJ Redick</v>
      </c>
      <c r="C3544" s="162" t="str">
        <f>IFERROR(__xludf.DUMMYFUNCTION("""COMPUTED_VALUE"""),"2020-21")</f>
        <v>2020-21</v>
      </c>
      <c r="D3544" s="163" t="str">
        <f>IFERROR(__xludf.DUMMYFUNCTION("""COMPUTED_VALUE"""),"NOP")</f>
        <v>NOP</v>
      </c>
      <c r="E3544" s="164" t="str">
        <f>IFERROR(__xludf.DUMMYFUNCTION("""COMPUTED_VALUE"""),"Movement Shooter")</f>
        <v>Movement Shooter</v>
      </c>
      <c r="F3544" s="164">
        <f>IFERROR(__xludf.DUMMYFUNCTION("""COMPUTED_VALUE"""),486.855)</f>
        <v>486.855</v>
      </c>
      <c r="G3544" s="163">
        <f>IFERROR(__xludf.DUMMYFUNCTION("""COMPUTED_VALUE"""),27.0)</f>
        <v>27</v>
      </c>
      <c r="H3544" s="163" t="str">
        <f>IFERROR(__xludf.DUMMYFUNCTION("""COMPUTED_VALUE"""),"SG")</f>
        <v>SG</v>
      </c>
      <c r="I3544" s="163">
        <f>IFERROR(__xludf.DUMMYFUNCTION("""COMPUTED_VALUE"""),36.0)</f>
        <v>36</v>
      </c>
      <c r="J3544" s="165">
        <f>IFERROR(__xludf.DUMMYFUNCTION("""COMPUTED_VALUE"""),-1.22632915427912)</f>
        <v>-1.226329154</v>
      </c>
      <c r="K3544" s="165">
        <f>IFERROR(__xludf.DUMMYFUNCTION("""COMPUTED_VALUE"""),0.795567162759452)</f>
        <v>0.7955671628</v>
      </c>
      <c r="L3544" s="165">
        <f>IFERROR(__xludf.DUMMYFUNCTION("""COMPUTED_VALUE"""),-2.02189631703857)</f>
        <v>-2.021896317</v>
      </c>
      <c r="M3544" s="166">
        <f t="shared" si="2"/>
        <v>0.3488856515</v>
      </c>
      <c r="N3544" s="167">
        <f t="shared" si="3"/>
        <v>18.03166667</v>
      </c>
      <c r="O3544" s="163">
        <f t="shared" ref="O3544:Q3544" si="3548">rank(I3544,I:I)</f>
        <v>65</v>
      </c>
      <c r="P3544" s="163">
        <f t="shared" si="3548"/>
        <v>2783</v>
      </c>
      <c r="Q3544" s="163">
        <f t="shared" si="3548"/>
        <v>602</v>
      </c>
      <c r="R3544" s="163">
        <f>IFERROR(__xludf.DUMMYFUNCTION("RANK(M3544,filter(M:M,C:C=C3544))"),231.0)</f>
        <v>231</v>
      </c>
      <c r="S3544" s="161" t="b">
        <f t="shared" si="5"/>
        <v>0</v>
      </c>
      <c r="T3544" s="161" t="b">
        <f t="array" ref="T3544">index('Query Tool'!B:B,match(H3544,'Query Tool'!C:C,0))</f>
        <v>1</v>
      </c>
      <c r="U3544" s="161" t="b">
        <f t="array" ref="U3544">index('Query Tool'!B:B,match(C3544,'Query Tool'!C:C,0))</f>
        <v>1</v>
      </c>
      <c r="V3544" s="161" t="b">
        <f>F3544&gt;='Query Tool'!C$32</f>
        <v>0</v>
      </c>
      <c r="W3544" s="161" t="b">
        <f t="array" ref="W3544">index(Dropdowns!B:B,match(I3544,Dropdowns!A:A,0))</f>
        <v>1</v>
      </c>
      <c r="X3544" s="161" t="b">
        <f t="array" ref="X3544">index('Query Tool'!B:B,match(D3544,'Query Tool'!C:C,0))</f>
        <v>1</v>
      </c>
      <c r="Y3544" s="161" t="str">
        <f t="shared" si="6"/>
        <v>redicjj01,2020-21</v>
      </c>
      <c r="Z3544" s="168" t="str">
        <f t="array" ref="Z3544">iferror(index(I:I,match($A3544&amp;","&amp;index('Year Conversion'!$A:$A,match($C3544,'Year Conversion'!$B:$B,0)),$Y:$Y,0))-I3544,"")</f>
        <v/>
      </c>
      <c r="AA3544" s="168" t="str">
        <f t="array" ref="AA3544">iferror(index(J:J,match($A3544&amp;","&amp;index('Year Conversion'!$A:$A,match($C3544,'Year Conversion'!$B:$B,0)),$Y:$Y,0))-J3544,"")</f>
        <v/>
      </c>
      <c r="AB3544" s="168" t="str">
        <f t="array" ref="AB3544">iferror(index(K:K,match($A3544&amp;","&amp;index('Year Conversion'!$A:$A,match($C3544,'Year Conversion'!$B:$B,0)),$Y:$Y,0))-K3544,"")</f>
        <v/>
      </c>
      <c r="AC3544" s="168" t="str">
        <f t="shared" si="7"/>
        <v>NOP,2020-21</v>
      </c>
    </row>
    <row r="3545">
      <c r="A3545" s="161" t="str">
        <f>IFERROR(__xludf.DUMMYFUNCTION("""COMPUTED_VALUE"""),"rondora01")</f>
        <v>rondora01</v>
      </c>
      <c r="B3545" s="161" t="str">
        <f>IFERROR(__xludf.DUMMYFUNCTION("""COMPUTED_VALUE"""),"Rajon Rondo")</f>
        <v>Rajon Rondo</v>
      </c>
      <c r="C3545" s="162" t="str">
        <f>IFERROR(__xludf.DUMMYFUNCTION("""COMPUTED_VALUE"""),"2020-21")</f>
        <v>2020-21</v>
      </c>
      <c r="D3545" s="163" t="str">
        <f>IFERROR(__xludf.DUMMYFUNCTION("""COMPUTED_VALUE"""),"ATL")</f>
        <v>ATL</v>
      </c>
      <c r="E3545" s="164" t="str">
        <f>IFERROR(__xludf.DUMMYFUNCTION("""COMPUTED_VALUE"""),"Primary Ball Handler")</f>
        <v>Primary Ball Handler</v>
      </c>
      <c r="F3545" s="164">
        <f>IFERROR(__xludf.DUMMYFUNCTION("""COMPUTED_VALUE"""),214.266666666666)</f>
        <v>214.2666667</v>
      </c>
      <c r="G3545" s="163">
        <f>IFERROR(__xludf.DUMMYFUNCTION("""COMPUTED_VALUE"""),14.0)</f>
        <v>14</v>
      </c>
      <c r="H3545" s="163" t="str">
        <f>IFERROR(__xludf.DUMMYFUNCTION("""COMPUTED_VALUE"""),"PG")</f>
        <v>PG</v>
      </c>
      <c r="I3545" s="163">
        <f>IFERROR(__xludf.DUMMYFUNCTION("""COMPUTED_VALUE"""),34.0)</f>
        <v>34</v>
      </c>
      <c r="J3545" s="165">
        <f>IFERROR(__xludf.DUMMYFUNCTION("""COMPUTED_VALUE"""),-1.41902482787488)</f>
        <v>-1.419024828</v>
      </c>
      <c r="K3545" s="165">
        <f>IFERROR(__xludf.DUMMYFUNCTION("""COMPUTED_VALUE"""),-0.783500837609406)</f>
        <v>-0.7835008376</v>
      </c>
      <c r="L3545" s="165">
        <f>IFERROR(__xludf.DUMMYFUNCTION("""COMPUTED_VALUE"""),-0.635523990265477)</f>
        <v>-0.6355239903</v>
      </c>
      <c r="M3545" s="166">
        <f t="shared" si="2"/>
        <v>0.1259120492</v>
      </c>
      <c r="N3545" s="167">
        <f t="shared" si="3"/>
        <v>15.3047619</v>
      </c>
      <c r="O3545" s="163">
        <f t="shared" ref="O3545:Q3545" si="3549">rank(I3545,I:I)</f>
        <v>164</v>
      </c>
      <c r="P3545" s="163">
        <f t="shared" si="3549"/>
        <v>2971</v>
      </c>
      <c r="Q3545" s="163">
        <f t="shared" si="3549"/>
        <v>2538</v>
      </c>
      <c r="R3545" s="163">
        <f>IFERROR(__xludf.DUMMYFUNCTION("RANK(M3545,filter(M:M,C:C=C3545))"),312.0)</f>
        <v>312</v>
      </c>
      <c r="S3545" s="161" t="b">
        <f t="shared" si="5"/>
        <v>0</v>
      </c>
      <c r="T3545" s="161" t="b">
        <f t="array" ref="T3545">index('Query Tool'!B:B,match(H3545,'Query Tool'!C:C,0))</f>
        <v>1</v>
      </c>
      <c r="U3545" s="161" t="b">
        <f t="array" ref="U3545">index('Query Tool'!B:B,match(C3545,'Query Tool'!C:C,0))</f>
        <v>1</v>
      </c>
      <c r="V3545" s="161" t="b">
        <f>F3545&gt;='Query Tool'!C$32</f>
        <v>0</v>
      </c>
      <c r="W3545" s="161" t="b">
        <f t="array" ref="W3545">index(Dropdowns!B:B,match(I3545,Dropdowns!A:A,0))</f>
        <v>1</v>
      </c>
      <c r="X3545" s="161" t="b">
        <f t="array" ref="X3545">index('Query Tool'!B:B,match(D3545,'Query Tool'!C:C,0))</f>
        <v>1</v>
      </c>
      <c r="Y3545" s="161" t="str">
        <f t="shared" si="6"/>
        <v>rondora01,2020-21</v>
      </c>
      <c r="Z3545" s="168" t="str">
        <f t="array" ref="Z3545">iferror(index(I:I,match($A3545&amp;","&amp;index('Year Conversion'!$A:$A,match($C3545,'Year Conversion'!$B:$B,0)),$Y:$Y,0))-I3545,"")</f>
        <v/>
      </c>
      <c r="AA3545" s="168" t="str">
        <f t="array" ref="AA3545">iferror(index(J:J,match($A3545&amp;","&amp;index('Year Conversion'!$A:$A,match($C3545,'Year Conversion'!$B:$B,0)),$Y:$Y,0))-J3545,"")</f>
        <v/>
      </c>
      <c r="AB3545" s="168" t="str">
        <f t="array" ref="AB3545">iferror(index(K:K,match($A3545&amp;","&amp;index('Year Conversion'!$A:$A,match($C3545,'Year Conversion'!$B:$B,0)),$Y:$Y,0))-K3545,"")</f>
        <v/>
      </c>
      <c r="AC3545" s="168" t="str">
        <f t="shared" si="7"/>
        <v>ATL,2020-21</v>
      </c>
    </row>
    <row r="3546">
      <c r="A3546" s="161" t="str">
        <f>IFERROR(__xludf.DUMMYFUNCTION("""COMPUTED_VALUE"""),"lowryky01")</f>
        <v>lowryky01</v>
      </c>
      <c r="B3546" s="161" t="str">
        <f>IFERROR(__xludf.DUMMYFUNCTION("""COMPUTED_VALUE"""),"Kyle Lowry")</f>
        <v>Kyle Lowry</v>
      </c>
      <c r="C3546" s="162" t="str">
        <f>IFERROR(__xludf.DUMMYFUNCTION("""COMPUTED_VALUE"""),"2020-21")</f>
        <v>2020-21</v>
      </c>
      <c r="D3546" s="163" t="str">
        <f>IFERROR(__xludf.DUMMYFUNCTION("""COMPUTED_VALUE"""),"TOR")</f>
        <v>TOR</v>
      </c>
      <c r="E3546" s="164" t="str">
        <f>IFERROR(__xludf.DUMMYFUNCTION("""COMPUTED_VALUE"""),"Primary Ball Handler")</f>
        <v>Primary Ball Handler</v>
      </c>
      <c r="F3546" s="164">
        <f>IFERROR(__xludf.DUMMYFUNCTION("""COMPUTED_VALUE"""),858.838333333334)</f>
        <v>858.8383333</v>
      </c>
      <c r="G3546" s="163">
        <f>IFERROR(__xludf.DUMMYFUNCTION("""COMPUTED_VALUE"""),25.0)</f>
        <v>25</v>
      </c>
      <c r="H3546" s="163" t="str">
        <f>IFERROR(__xludf.DUMMYFUNCTION("""COMPUTED_VALUE"""),"PG")</f>
        <v>PG</v>
      </c>
      <c r="I3546" s="163">
        <f>IFERROR(__xludf.DUMMYFUNCTION("""COMPUTED_VALUE"""),34.0)</f>
        <v>34</v>
      </c>
      <c r="J3546" s="165">
        <f>IFERROR(__xludf.DUMMYFUNCTION("""COMPUTED_VALUE"""),1.65821776558047)</f>
        <v>1.658217766</v>
      </c>
      <c r="K3546" s="165">
        <f>IFERROR(__xludf.DUMMYFUNCTION("""COMPUTED_VALUE"""),1.08330357135417)</f>
        <v>1.083303571</v>
      </c>
      <c r="L3546" s="165">
        <f>IFERROR(__xludf.DUMMYFUNCTION("""COMPUTED_VALUE"""),0.574914194226301)</f>
        <v>0.5749141942</v>
      </c>
      <c r="M3546" s="166">
        <f t="shared" si="2"/>
        <v>2.280532916</v>
      </c>
      <c r="N3546" s="167">
        <f t="shared" si="3"/>
        <v>34.35353333</v>
      </c>
      <c r="O3546" s="163">
        <f t="shared" ref="O3546:Q3546" si="3550">rank(I3546,I:I)</f>
        <v>164</v>
      </c>
      <c r="P3546" s="163">
        <f t="shared" si="3550"/>
        <v>410</v>
      </c>
      <c r="Q3546" s="163">
        <f t="shared" si="3550"/>
        <v>460</v>
      </c>
      <c r="R3546" s="163">
        <f>IFERROR(__xludf.DUMMYFUNCTION("RANK(M3546,filter(M:M,C:C=C3546))"),38.0)</f>
        <v>38</v>
      </c>
      <c r="S3546" s="161" t="b">
        <f t="shared" si="5"/>
        <v>1</v>
      </c>
      <c r="T3546" s="161" t="b">
        <f t="array" ref="T3546">index('Query Tool'!B:B,match(H3546,'Query Tool'!C:C,0))</f>
        <v>1</v>
      </c>
      <c r="U3546" s="161" t="b">
        <f t="array" ref="U3546">index('Query Tool'!B:B,match(C3546,'Query Tool'!C:C,0))</f>
        <v>1</v>
      </c>
      <c r="V3546" s="161" t="b">
        <f>F3546&gt;='Query Tool'!C$32</f>
        <v>1</v>
      </c>
      <c r="W3546" s="161" t="b">
        <f t="array" ref="W3546">index(Dropdowns!B:B,match(I3546,Dropdowns!A:A,0))</f>
        <v>1</v>
      </c>
      <c r="X3546" s="161" t="b">
        <f t="array" ref="X3546">index('Query Tool'!B:B,match(D3546,'Query Tool'!C:C,0))</f>
        <v>1</v>
      </c>
      <c r="Y3546" s="161" t="str">
        <f t="shared" si="6"/>
        <v>lowryky01,2020-21</v>
      </c>
      <c r="Z3546" s="168" t="str">
        <f t="array" ref="Z3546">iferror(index(I:I,match($A3546&amp;","&amp;index('Year Conversion'!$A:$A,match($C3546,'Year Conversion'!$B:$B,0)),$Y:$Y,0))-I3546,"")</f>
        <v/>
      </c>
      <c r="AA3546" s="168" t="str">
        <f t="array" ref="AA3546">iferror(index(J:J,match($A3546&amp;","&amp;index('Year Conversion'!$A:$A,match($C3546,'Year Conversion'!$B:$B,0)),$Y:$Y,0))-J3546,"")</f>
        <v/>
      </c>
      <c r="AB3546" s="168" t="str">
        <f t="array" ref="AB3546">iferror(index(K:K,match($A3546&amp;","&amp;index('Year Conversion'!$A:$A,match($C3546,'Year Conversion'!$B:$B,0)),$Y:$Y,0))-K3546,"")</f>
        <v/>
      </c>
      <c r="AC3546" s="168" t="str">
        <f t="shared" si="7"/>
        <v>TOR,2020-21</v>
      </c>
    </row>
    <row r="3547">
      <c r="A3547" s="161" t="str">
        <f>IFERROR(__xludf.DUMMYFUNCTION("""COMPUTED_VALUE"""),"tuckepj01")</f>
        <v>tuckepj01</v>
      </c>
      <c r="B3547" s="161" t="str">
        <f>IFERROR(__xludf.DUMMYFUNCTION("""COMPUTED_VALUE"""),"P.J. Tucker")</f>
        <v>P.J. Tucker</v>
      </c>
      <c r="C3547" s="162" t="str">
        <f>IFERROR(__xludf.DUMMYFUNCTION("""COMPUTED_VALUE"""),"2020-21")</f>
        <v>2020-21</v>
      </c>
      <c r="D3547" s="163" t="str">
        <f>IFERROR(__xludf.DUMMYFUNCTION("""COMPUTED_VALUE"""),"HOU")</f>
        <v>HOU</v>
      </c>
      <c r="E3547" s="164" t="str">
        <f>IFERROR(__xludf.DUMMYFUNCTION("""COMPUTED_VALUE"""),"Stationary Shooter")</f>
        <v>Stationary Shooter</v>
      </c>
      <c r="F3547" s="164">
        <f>IFERROR(__xludf.DUMMYFUNCTION("""COMPUTED_VALUE"""),779.813333333333)</f>
        <v>779.8133333</v>
      </c>
      <c r="G3547" s="163">
        <f>IFERROR(__xludf.DUMMYFUNCTION("""COMPUTED_VALUE"""),26.0)</f>
        <v>26</v>
      </c>
      <c r="H3547" s="163" t="str">
        <f>IFERROR(__xludf.DUMMYFUNCTION("""COMPUTED_VALUE"""),"PF")</f>
        <v>PF</v>
      </c>
      <c r="I3547" s="163">
        <f>IFERROR(__xludf.DUMMYFUNCTION("""COMPUTED_VALUE"""),35.0)</f>
        <v>35</v>
      </c>
      <c r="J3547" s="165">
        <f>IFERROR(__xludf.DUMMYFUNCTION("""COMPUTED_VALUE"""),-2.89323671543433)</f>
        <v>-2.893236715</v>
      </c>
      <c r="K3547" s="165">
        <f>IFERROR(__xludf.DUMMYFUNCTION("""COMPUTED_VALUE"""),-3.69726762058258)</f>
        <v>-3.697267621</v>
      </c>
      <c r="L3547" s="165">
        <f>IFERROR(__xludf.DUMMYFUNCTION("""COMPUTED_VALUE"""),0.80403090514825)</f>
        <v>0.8040309051</v>
      </c>
      <c r="M3547" s="166">
        <f t="shared" si="2"/>
        <v>-0.3014390532</v>
      </c>
      <c r="N3547" s="167">
        <f t="shared" si="3"/>
        <v>29.99282051</v>
      </c>
      <c r="O3547" s="163">
        <f t="shared" ref="O3547:Q3547" si="3551">rank(I3547,I:I)</f>
        <v>104</v>
      </c>
      <c r="P3547" s="163">
        <f t="shared" si="3551"/>
        <v>3864</v>
      </c>
      <c r="Q3547" s="163">
        <f t="shared" si="3551"/>
        <v>4010</v>
      </c>
      <c r="R3547" s="163">
        <f>IFERROR(__xludf.DUMMYFUNCTION("RANK(M3547,filter(M:M,C:C=C3547))"),464.0)</f>
        <v>464</v>
      </c>
      <c r="S3547" s="161" t="b">
        <f t="shared" si="5"/>
        <v>1</v>
      </c>
      <c r="T3547" s="161" t="b">
        <f t="array" ref="T3547">index('Query Tool'!B:B,match(H3547,'Query Tool'!C:C,0))</f>
        <v>1</v>
      </c>
      <c r="U3547" s="161" t="b">
        <f t="array" ref="U3547">index('Query Tool'!B:B,match(C3547,'Query Tool'!C:C,0))</f>
        <v>1</v>
      </c>
      <c r="V3547" s="161" t="b">
        <f>F3547&gt;='Query Tool'!C$32</f>
        <v>1</v>
      </c>
      <c r="W3547" s="161" t="b">
        <f t="array" ref="W3547">index(Dropdowns!B:B,match(I3547,Dropdowns!A:A,0))</f>
        <v>1</v>
      </c>
      <c r="X3547" s="161" t="b">
        <f t="array" ref="X3547">index('Query Tool'!B:B,match(D3547,'Query Tool'!C:C,0))</f>
        <v>1</v>
      </c>
      <c r="Y3547" s="161" t="str">
        <f t="shared" si="6"/>
        <v>tuckepj01,2020-21</v>
      </c>
      <c r="Z3547" s="168" t="str">
        <f t="array" ref="Z3547">iferror(index(I:I,match($A3547&amp;","&amp;index('Year Conversion'!$A:$A,match($C3547,'Year Conversion'!$B:$B,0)),$Y:$Y,0))-I3547,"")</f>
        <v/>
      </c>
      <c r="AA3547" s="168" t="str">
        <f t="array" ref="AA3547">iferror(index(J:J,match($A3547&amp;","&amp;index('Year Conversion'!$A:$A,match($C3547,'Year Conversion'!$B:$B,0)),$Y:$Y,0))-J3547,"")</f>
        <v/>
      </c>
      <c r="AB3547" s="168" t="str">
        <f t="array" ref="AB3547">iferror(index(K:K,match($A3547&amp;","&amp;index('Year Conversion'!$A:$A,match($C3547,'Year Conversion'!$B:$B,0)),$Y:$Y,0))-K3547,"")</f>
        <v/>
      </c>
      <c r="AC3547" s="168" t="str">
        <f t="shared" si="7"/>
        <v>HOU,2020-21</v>
      </c>
    </row>
    <row r="3548">
      <c r="A3548" s="161" t="str">
        <f>IFERROR(__xludf.DUMMYFUNCTION("""COMPUTED_VALUE"""),"millspa01")</f>
        <v>millspa01</v>
      </c>
      <c r="B3548" s="161" t="str">
        <f>IFERROR(__xludf.DUMMYFUNCTION("""COMPUTED_VALUE"""),"Paul Millsap")</f>
        <v>Paul Millsap</v>
      </c>
      <c r="C3548" s="162" t="str">
        <f>IFERROR(__xludf.DUMMYFUNCTION("""COMPUTED_VALUE"""),"2020-21")</f>
        <v>2020-21</v>
      </c>
      <c r="D3548" s="163" t="str">
        <f>IFERROR(__xludf.DUMMYFUNCTION("""COMPUTED_VALUE"""),"DEN")</f>
        <v>DEN</v>
      </c>
      <c r="E3548" s="164" t="str">
        <f>IFERROR(__xludf.DUMMYFUNCTION("""COMPUTED_VALUE"""),"Stretch Big")</f>
        <v>Stretch Big</v>
      </c>
      <c r="F3548" s="164">
        <f>IFERROR(__xludf.DUMMYFUNCTION("""COMPUTED_VALUE"""),620.698333333333)</f>
        <v>620.6983333</v>
      </c>
      <c r="G3548" s="163">
        <f>IFERROR(__xludf.DUMMYFUNCTION("""COMPUTED_VALUE"""),26.0)</f>
        <v>26</v>
      </c>
      <c r="H3548" s="163" t="str">
        <f>IFERROR(__xludf.DUMMYFUNCTION("""COMPUTED_VALUE"""),"PF")</f>
        <v>PF</v>
      </c>
      <c r="I3548" s="163">
        <f>IFERROR(__xludf.DUMMYFUNCTION("""COMPUTED_VALUE"""),35.0)</f>
        <v>35</v>
      </c>
      <c r="J3548" s="165">
        <f>IFERROR(__xludf.DUMMYFUNCTION("""COMPUTED_VALUE"""),0.748333968572635)</f>
        <v>0.7483339686</v>
      </c>
      <c r="K3548" s="165">
        <f>IFERROR(__xludf.DUMMYFUNCTION("""COMPUTED_VALUE"""),0.725064464626397)</f>
        <v>0.7250644646</v>
      </c>
      <c r="L3548" s="165">
        <f>IFERROR(__xludf.DUMMYFUNCTION("""COMPUTED_VALUE"""),0.0232695039462373)</f>
        <v>0.02326950395</v>
      </c>
      <c r="M3548" s="166">
        <f t="shared" si="2"/>
        <v>1.26982073</v>
      </c>
      <c r="N3548" s="167">
        <f t="shared" si="3"/>
        <v>23.87301282</v>
      </c>
      <c r="O3548" s="163">
        <f t="shared" ref="O3548:Q3548" si="3552">rank(I3548,I:I)</f>
        <v>104</v>
      </c>
      <c r="P3548" s="163">
        <f t="shared" si="3552"/>
        <v>769</v>
      </c>
      <c r="Q3548" s="163">
        <f t="shared" si="3552"/>
        <v>634</v>
      </c>
      <c r="R3548" s="163">
        <f>IFERROR(__xludf.DUMMYFUNCTION("RANK(M3548,filter(M:M,C:C=C3548))"),98.0)</f>
        <v>98</v>
      </c>
      <c r="S3548" s="161" t="b">
        <f t="shared" si="5"/>
        <v>1</v>
      </c>
      <c r="T3548" s="161" t="b">
        <f t="array" ref="T3548">index('Query Tool'!B:B,match(H3548,'Query Tool'!C:C,0))</f>
        <v>1</v>
      </c>
      <c r="U3548" s="161" t="b">
        <f t="array" ref="U3548">index('Query Tool'!B:B,match(C3548,'Query Tool'!C:C,0))</f>
        <v>1</v>
      </c>
      <c r="V3548" s="161" t="b">
        <f>F3548&gt;='Query Tool'!C$32</f>
        <v>1</v>
      </c>
      <c r="W3548" s="161" t="b">
        <f t="array" ref="W3548">index(Dropdowns!B:B,match(I3548,Dropdowns!A:A,0))</f>
        <v>1</v>
      </c>
      <c r="X3548" s="161" t="b">
        <f t="array" ref="X3548">index('Query Tool'!B:B,match(D3548,'Query Tool'!C:C,0))</f>
        <v>1</v>
      </c>
      <c r="Y3548" s="161" t="str">
        <f t="shared" si="6"/>
        <v>millspa01,2020-21</v>
      </c>
      <c r="Z3548" s="168" t="str">
        <f t="array" ref="Z3548">iferror(index(I:I,match($A3548&amp;","&amp;index('Year Conversion'!$A:$A,match($C3548,'Year Conversion'!$B:$B,0)),$Y:$Y,0))-I3548,"")</f>
        <v/>
      </c>
      <c r="AA3548" s="168" t="str">
        <f t="array" ref="AA3548">iferror(index(J:J,match($A3548&amp;","&amp;index('Year Conversion'!$A:$A,match($C3548,'Year Conversion'!$B:$B,0)),$Y:$Y,0))-J3548,"")</f>
        <v/>
      </c>
      <c r="AB3548" s="168" t="str">
        <f t="array" ref="AB3548">iferror(index(K:K,match($A3548&amp;","&amp;index('Year Conversion'!$A:$A,match($C3548,'Year Conversion'!$B:$B,0)),$Y:$Y,0))-K3548,"")</f>
        <v/>
      </c>
      <c r="AC3548" s="168" t="str">
        <f t="shared" si="7"/>
        <v>DEN,2020-21</v>
      </c>
    </row>
    <row r="3549">
      <c r="A3549" s="161" t="str">
        <f>IFERROR(__xludf.DUMMYFUNCTION("""COMPUTED_VALUE"""),"duranke01")</f>
        <v>duranke01</v>
      </c>
      <c r="B3549" s="161" t="str">
        <f>IFERROR(__xludf.DUMMYFUNCTION("""COMPUTED_VALUE"""),"Kevin Durant")</f>
        <v>Kevin Durant</v>
      </c>
      <c r="C3549" s="162" t="str">
        <f>IFERROR(__xludf.DUMMYFUNCTION("""COMPUTED_VALUE"""),"2020-21")</f>
        <v>2020-21</v>
      </c>
      <c r="D3549" s="163" t="str">
        <f>IFERROR(__xludf.DUMMYFUNCTION("""COMPUTED_VALUE"""),"BRK")</f>
        <v>BRK</v>
      </c>
      <c r="E3549" s="164" t="str">
        <f>IFERROR(__xludf.DUMMYFUNCTION("""COMPUTED_VALUE"""),"Shot Creator")</f>
        <v>Shot Creator</v>
      </c>
      <c r="F3549" s="164">
        <f>IFERROR(__xludf.DUMMYFUNCTION("""COMPUTED_VALUE"""),679.508333333333)</f>
        <v>679.5083333</v>
      </c>
      <c r="G3549" s="163">
        <f>IFERROR(__xludf.DUMMYFUNCTION("""COMPUTED_VALUE"""),19.0)</f>
        <v>19</v>
      </c>
      <c r="H3549" s="163" t="str">
        <f>IFERROR(__xludf.DUMMYFUNCTION("""COMPUTED_VALUE"""),"PF")</f>
        <v>PF</v>
      </c>
      <c r="I3549" s="163">
        <f>IFERROR(__xludf.DUMMYFUNCTION("""COMPUTED_VALUE"""),32.0)</f>
        <v>32</v>
      </c>
      <c r="J3549" s="165">
        <f>IFERROR(__xludf.DUMMYFUNCTION("""COMPUTED_VALUE"""),3.57959286226338)</f>
        <v>3.579592862</v>
      </c>
      <c r="K3549" s="165">
        <f>IFERROR(__xludf.DUMMYFUNCTION("""COMPUTED_VALUE"""),4.16560393576605)</f>
        <v>4.165603936</v>
      </c>
      <c r="L3549" s="165">
        <f>IFERROR(__xludf.DUMMYFUNCTION("""COMPUTED_VALUE"""),-0.586011073502672)</f>
        <v>-0.5860110735</v>
      </c>
      <c r="M3549" s="166">
        <f t="shared" si="2"/>
        <v>2.658868514</v>
      </c>
      <c r="N3549" s="167">
        <f t="shared" si="3"/>
        <v>35.76359649</v>
      </c>
      <c r="O3549" s="163">
        <f t="shared" ref="O3549:Q3549" si="3553">rank(I3549,I:I)</f>
        <v>359</v>
      </c>
      <c r="P3549" s="163">
        <f t="shared" si="3553"/>
        <v>125</v>
      </c>
      <c r="Q3549" s="163">
        <f t="shared" si="3553"/>
        <v>54</v>
      </c>
      <c r="R3549" s="163">
        <f>IFERROR(__xludf.DUMMYFUNCTION("RANK(M3549,filter(M:M,C:C=C3549))"),27.0)</f>
        <v>27</v>
      </c>
      <c r="S3549" s="161" t="b">
        <f t="shared" si="5"/>
        <v>1</v>
      </c>
      <c r="T3549" s="161" t="b">
        <f t="array" ref="T3549">index('Query Tool'!B:B,match(H3549,'Query Tool'!C:C,0))</f>
        <v>1</v>
      </c>
      <c r="U3549" s="161" t="b">
        <f t="array" ref="U3549">index('Query Tool'!B:B,match(C3549,'Query Tool'!C:C,0))</f>
        <v>1</v>
      </c>
      <c r="V3549" s="161" t="b">
        <f>F3549&gt;='Query Tool'!C$32</f>
        <v>1</v>
      </c>
      <c r="W3549" s="161" t="b">
        <f t="array" ref="W3549">index(Dropdowns!B:B,match(I3549,Dropdowns!A:A,0))</f>
        <v>1</v>
      </c>
      <c r="X3549" s="161" t="b">
        <f t="array" ref="X3549">index('Query Tool'!B:B,match(D3549,'Query Tool'!C:C,0))</f>
        <v>1</v>
      </c>
      <c r="Y3549" s="161" t="str">
        <f t="shared" si="6"/>
        <v>duranke01,2020-21</v>
      </c>
      <c r="Z3549" s="168" t="str">
        <f t="array" ref="Z3549">iferror(index(I:I,match($A3549&amp;","&amp;index('Year Conversion'!$A:$A,match($C3549,'Year Conversion'!$B:$B,0)),$Y:$Y,0))-I3549,"")</f>
        <v/>
      </c>
      <c r="AA3549" s="168" t="str">
        <f t="array" ref="AA3549">iferror(index(J:J,match($A3549&amp;","&amp;index('Year Conversion'!$A:$A,match($C3549,'Year Conversion'!$B:$B,0)),$Y:$Y,0))-J3549,"")</f>
        <v/>
      </c>
      <c r="AB3549" s="168" t="str">
        <f t="array" ref="AB3549">iferror(index(K:K,match($A3549&amp;","&amp;index('Year Conversion'!$A:$A,match($C3549,'Year Conversion'!$B:$B,0)),$Y:$Y,0))-K3549,"")</f>
        <v/>
      </c>
      <c r="AC3549" s="168" t="str">
        <f t="shared" si="7"/>
        <v>BRK,2020-21</v>
      </c>
    </row>
    <row r="3550">
      <c r="A3550" s="161" t="str">
        <f>IFERROR(__xludf.DUMMYFUNCTION("""COMPUTED_VALUE"""),"horfoal01")</f>
        <v>horfoal01</v>
      </c>
      <c r="B3550" s="161" t="str">
        <f>IFERROR(__xludf.DUMMYFUNCTION("""COMPUTED_VALUE"""),"Al Horford")</f>
        <v>Al Horford</v>
      </c>
      <c r="C3550" s="162" t="str">
        <f>IFERROR(__xludf.DUMMYFUNCTION("""COMPUTED_VALUE"""),"2020-21")</f>
        <v>2020-21</v>
      </c>
      <c r="D3550" s="163" t="str">
        <f>IFERROR(__xludf.DUMMYFUNCTION("""COMPUTED_VALUE"""),"OKC")</f>
        <v>OKC</v>
      </c>
      <c r="E3550" s="164" t="str">
        <f>IFERROR(__xludf.DUMMYFUNCTION("""COMPUTED_VALUE"""),"Versatile Big")</f>
        <v>Versatile Big</v>
      </c>
      <c r="F3550" s="164">
        <f>IFERROR(__xludf.DUMMYFUNCTION("""COMPUTED_VALUE"""),593.305)</f>
        <v>593.305</v>
      </c>
      <c r="G3550" s="163">
        <f>IFERROR(__xludf.DUMMYFUNCTION("""COMPUTED_VALUE"""),21.0)</f>
        <v>21</v>
      </c>
      <c r="H3550" s="163" t="str">
        <f>IFERROR(__xludf.DUMMYFUNCTION("""COMPUTED_VALUE"""),"C")</f>
        <v>C</v>
      </c>
      <c r="I3550" s="163">
        <f>IFERROR(__xludf.DUMMYFUNCTION("""COMPUTED_VALUE"""),34.0)</f>
        <v>34</v>
      </c>
      <c r="J3550" s="165">
        <f>IFERROR(__xludf.DUMMYFUNCTION("""COMPUTED_VALUE"""),1.90626896537472)</f>
        <v>1.906268965</v>
      </c>
      <c r="K3550" s="165">
        <f>IFERROR(__xludf.DUMMYFUNCTION("""COMPUTED_VALUE"""),-0.25419116107229)</f>
        <v>-0.2541911611</v>
      </c>
      <c r="L3550" s="165">
        <f>IFERROR(__xludf.DUMMYFUNCTION("""COMPUTED_VALUE"""),2.16046012644701)</f>
        <v>2.160460126</v>
      </c>
      <c r="M3550" s="166">
        <f t="shared" si="2"/>
        <v>1.673360402</v>
      </c>
      <c r="N3550" s="167">
        <f t="shared" si="3"/>
        <v>28.25261905</v>
      </c>
      <c r="O3550" s="163">
        <f t="shared" ref="O3550:Q3550" si="3554">rank(I3550,I:I)</f>
        <v>164</v>
      </c>
      <c r="P3550" s="163">
        <f t="shared" si="3554"/>
        <v>342</v>
      </c>
      <c r="Q3550" s="163">
        <f t="shared" si="3554"/>
        <v>1676</v>
      </c>
      <c r="R3550" s="163">
        <f>IFERROR(__xludf.DUMMYFUNCTION("RANK(M3550,filter(M:M,C:C=C3550))"),70.0)</f>
        <v>70</v>
      </c>
      <c r="S3550" s="161" t="b">
        <f t="shared" si="5"/>
        <v>1</v>
      </c>
      <c r="T3550" s="161" t="b">
        <f t="array" ref="T3550">index('Query Tool'!B:B,match(H3550,'Query Tool'!C:C,0))</f>
        <v>1</v>
      </c>
      <c r="U3550" s="161" t="b">
        <f t="array" ref="U3550">index('Query Tool'!B:B,match(C3550,'Query Tool'!C:C,0))</f>
        <v>1</v>
      </c>
      <c r="V3550" s="161" t="b">
        <f>F3550&gt;='Query Tool'!C$32</f>
        <v>1</v>
      </c>
      <c r="W3550" s="161" t="b">
        <f t="array" ref="W3550">index(Dropdowns!B:B,match(I3550,Dropdowns!A:A,0))</f>
        <v>1</v>
      </c>
      <c r="X3550" s="161" t="b">
        <f t="array" ref="X3550">index('Query Tool'!B:B,match(D3550,'Query Tool'!C:C,0))</f>
        <v>1</v>
      </c>
      <c r="Y3550" s="161" t="str">
        <f t="shared" si="6"/>
        <v>horfoal01,2020-21</v>
      </c>
      <c r="Z3550" s="168" t="str">
        <f t="array" ref="Z3550">iferror(index(I:I,match($A3550&amp;","&amp;index('Year Conversion'!$A:$A,match($C3550,'Year Conversion'!$B:$B,0)),$Y:$Y,0))-I3550,"")</f>
        <v/>
      </c>
      <c r="AA3550" s="168" t="str">
        <f t="array" ref="AA3550">iferror(index(J:J,match($A3550&amp;","&amp;index('Year Conversion'!$A:$A,match($C3550,'Year Conversion'!$B:$B,0)),$Y:$Y,0))-J3550,"")</f>
        <v/>
      </c>
      <c r="AB3550" s="168" t="str">
        <f t="array" ref="AB3550">iferror(index(K:K,match($A3550&amp;","&amp;index('Year Conversion'!$A:$A,match($C3550,'Year Conversion'!$B:$B,0)),$Y:$Y,0))-K3550,"")</f>
        <v/>
      </c>
      <c r="AC3550" s="168" t="str">
        <f t="shared" si="7"/>
        <v>OKC,2020-21</v>
      </c>
    </row>
    <row r="3551">
      <c r="A3551" s="161" t="str">
        <f>IFERROR(__xludf.DUMMYFUNCTION("""COMPUTED_VALUE"""),"conlemi01")</f>
        <v>conlemi01</v>
      </c>
      <c r="B3551" s="161" t="str">
        <f>IFERROR(__xludf.DUMMYFUNCTION("""COMPUTED_VALUE"""),"Mike Conley")</f>
        <v>Mike Conley</v>
      </c>
      <c r="C3551" s="162" t="str">
        <f>IFERROR(__xludf.DUMMYFUNCTION("""COMPUTED_VALUE"""),"2020-21")</f>
        <v>2020-21</v>
      </c>
      <c r="D3551" s="163" t="str">
        <f>IFERROR(__xludf.DUMMYFUNCTION("""COMPUTED_VALUE"""),"UTA")</f>
        <v>UTA</v>
      </c>
      <c r="E3551" s="164" t="str">
        <f>IFERROR(__xludf.DUMMYFUNCTION("""COMPUTED_VALUE"""),"Primary Ball Handler")</f>
        <v>Primary Ball Handler</v>
      </c>
      <c r="F3551" s="164">
        <f>IFERROR(__xludf.DUMMYFUNCTION("""COMPUTED_VALUE"""),699.765)</f>
        <v>699.765</v>
      </c>
      <c r="G3551" s="163">
        <f>IFERROR(__xludf.DUMMYFUNCTION("""COMPUTED_VALUE"""),24.0)</f>
        <v>24</v>
      </c>
      <c r="H3551" s="163" t="str">
        <f>IFERROR(__xludf.DUMMYFUNCTION("""COMPUTED_VALUE"""),"PG")</f>
        <v>PG</v>
      </c>
      <c r="I3551" s="163">
        <f>IFERROR(__xludf.DUMMYFUNCTION("""COMPUTED_VALUE"""),33.0)</f>
        <v>33</v>
      </c>
      <c r="J3551" s="165">
        <f>IFERROR(__xludf.DUMMYFUNCTION("""COMPUTED_VALUE"""),3.58570384164369)</f>
        <v>3.585703842</v>
      </c>
      <c r="K3551" s="165">
        <f>IFERROR(__xludf.DUMMYFUNCTION("""COMPUTED_VALUE"""),3.09982744689796)</f>
        <v>3.099827447</v>
      </c>
      <c r="L3551" s="165">
        <f>IFERROR(__xludf.DUMMYFUNCTION("""COMPUTED_VALUE"""),0.485876394745732)</f>
        <v>0.4858763947</v>
      </c>
      <c r="M3551" s="166">
        <f t="shared" si="2"/>
        <v>2.740865543</v>
      </c>
      <c r="N3551" s="167">
        <f t="shared" si="3"/>
        <v>29.156875</v>
      </c>
      <c r="O3551" s="163">
        <f t="shared" ref="O3551:Q3551" si="3555">rank(I3551,I:I)</f>
        <v>246</v>
      </c>
      <c r="P3551" s="163">
        <f t="shared" si="3555"/>
        <v>123</v>
      </c>
      <c r="Q3551" s="163">
        <f t="shared" si="3555"/>
        <v>114</v>
      </c>
      <c r="R3551" s="163">
        <f>IFERROR(__xludf.DUMMYFUNCTION("RANK(M3551,filter(M:M,C:C=C3551))"),23.0)</f>
        <v>23</v>
      </c>
      <c r="S3551" s="161" t="b">
        <f t="shared" si="5"/>
        <v>1</v>
      </c>
      <c r="T3551" s="161" t="b">
        <f t="array" ref="T3551">index('Query Tool'!B:B,match(H3551,'Query Tool'!C:C,0))</f>
        <v>1</v>
      </c>
      <c r="U3551" s="161" t="b">
        <f t="array" ref="U3551">index('Query Tool'!B:B,match(C3551,'Query Tool'!C:C,0))</f>
        <v>1</v>
      </c>
      <c r="V3551" s="161" t="b">
        <f>F3551&gt;='Query Tool'!C$32</f>
        <v>1</v>
      </c>
      <c r="W3551" s="161" t="b">
        <f t="array" ref="W3551">index(Dropdowns!B:B,match(I3551,Dropdowns!A:A,0))</f>
        <v>1</v>
      </c>
      <c r="X3551" s="161" t="b">
        <f t="array" ref="X3551">index('Query Tool'!B:B,match(D3551,'Query Tool'!C:C,0))</f>
        <v>1</v>
      </c>
      <c r="Y3551" s="161" t="str">
        <f t="shared" si="6"/>
        <v>conlemi01,2020-21</v>
      </c>
      <c r="Z3551" s="168" t="str">
        <f t="array" ref="Z3551">iferror(index(I:I,match($A3551&amp;","&amp;index('Year Conversion'!$A:$A,match($C3551,'Year Conversion'!$B:$B,0)),$Y:$Y,0))-I3551,"")</f>
        <v/>
      </c>
      <c r="AA3551" s="168" t="str">
        <f t="array" ref="AA3551">iferror(index(J:J,match($A3551&amp;","&amp;index('Year Conversion'!$A:$A,match($C3551,'Year Conversion'!$B:$B,0)),$Y:$Y,0))-J3551,"")</f>
        <v/>
      </c>
      <c r="AB3551" s="168" t="str">
        <f t="array" ref="AB3551">iferror(index(K:K,match($A3551&amp;","&amp;index('Year Conversion'!$A:$A,match($C3551,'Year Conversion'!$B:$B,0)),$Y:$Y,0))-K3551,"")</f>
        <v/>
      </c>
      <c r="AC3551" s="168" t="str">
        <f t="shared" si="7"/>
        <v>UTA,2020-21</v>
      </c>
    </row>
    <row r="3552">
      <c r="A3552" s="161" t="str">
        <f>IFERROR(__xludf.DUMMYFUNCTION("""COMPUTED_VALUE"""),"greenje02")</f>
        <v>greenje02</v>
      </c>
      <c r="B3552" s="161" t="str">
        <f>IFERROR(__xludf.DUMMYFUNCTION("""COMPUTED_VALUE"""),"Jeff Green")</f>
        <v>Jeff Green</v>
      </c>
      <c r="C3552" s="162" t="str">
        <f>IFERROR(__xludf.DUMMYFUNCTION("""COMPUTED_VALUE"""),"2020-21")</f>
        <v>2020-21</v>
      </c>
      <c r="D3552" s="163" t="str">
        <f>IFERROR(__xludf.DUMMYFUNCTION("""COMPUTED_VALUE"""),"BRK")</f>
        <v>BRK</v>
      </c>
      <c r="E3552" s="164" t="str">
        <f>IFERROR(__xludf.DUMMYFUNCTION("""COMPUTED_VALUE"""),"Stretch Big")</f>
        <v>Stretch Big</v>
      </c>
      <c r="F3552" s="164">
        <f>IFERROR(__xludf.DUMMYFUNCTION("""COMPUTED_VALUE"""),847.858333333333)</f>
        <v>847.8583333</v>
      </c>
      <c r="G3552" s="163">
        <f>IFERROR(__xludf.DUMMYFUNCTION("""COMPUTED_VALUE"""),32.0)</f>
        <v>32</v>
      </c>
      <c r="H3552" s="163" t="str">
        <f>IFERROR(__xludf.DUMMYFUNCTION("""COMPUTED_VALUE"""),"PF")</f>
        <v>PF</v>
      </c>
      <c r="I3552" s="163">
        <f>IFERROR(__xludf.DUMMYFUNCTION("""COMPUTED_VALUE"""),34.0)</f>
        <v>34</v>
      </c>
      <c r="J3552" s="165">
        <f>IFERROR(__xludf.DUMMYFUNCTION("""COMPUTED_VALUE"""),-1.74435476425401)</f>
        <v>-1.744354764</v>
      </c>
      <c r="K3552" s="165">
        <f>IFERROR(__xludf.DUMMYFUNCTION("""COMPUTED_VALUE"""),-0.176676124263832)</f>
        <v>-0.1766761243</v>
      </c>
      <c r="L3552" s="165">
        <f>IFERROR(__xludf.DUMMYFUNCTION("""COMPUTED_VALUE"""),-1.56767863999018)</f>
        <v>-1.56767864</v>
      </c>
      <c r="M3552" s="166">
        <f t="shared" si="2"/>
        <v>0.3142047984</v>
      </c>
      <c r="N3552" s="167">
        <f t="shared" si="3"/>
        <v>26.49557292</v>
      </c>
      <c r="O3552" s="163">
        <f t="shared" ref="O3552:Q3552" si="3556">rank(I3552,I:I)</f>
        <v>164</v>
      </c>
      <c r="P3552" s="163">
        <f t="shared" si="3556"/>
        <v>3289</v>
      </c>
      <c r="Q3552" s="163">
        <f t="shared" si="3556"/>
        <v>1525</v>
      </c>
      <c r="R3552" s="163">
        <f>IFERROR(__xludf.DUMMYFUNCTION("RANK(M3552,filter(M:M,C:C=C3552))"),239.0)</f>
        <v>239</v>
      </c>
      <c r="S3552" s="161" t="b">
        <f t="shared" si="5"/>
        <v>1</v>
      </c>
      <c r="T3552" s="161" t="b">
        <f t="array" ref="T3552">index('Query Tool'!B:B,match(H3552,'Query Tool'!C:C,0))</f>
        <v>1</v>
      </c>
      <c r="U3552" s="161" t="b">
        <f t="array" ref="U3552">index('Query Tool'!B:B,match(C3552,'Query Tool'!C:C,0))</f>
        <v>1</v>
      </c>
      <c r="V3552" s="161" t="b">
        <f>F3552&gt;='Query Tool'!C$32</f>
        <v>1</v>
      </c>
      <c r="W3552" s="161" t="b">
        <f t="array" ref="W3552">index(Dropdowns!B:B,match(I3552,Dropdowns!A:A,0))</f>
        <v>1</v>
      </c>
      <c r="X3552" s="161" t="b">
        <f t="array" ref="X3552">index('Query Tool'!B:B,match(D3552,'Query Tool'!C:C,0))</f>
        <v>1</v>
      </c>
      <c r="Y3552" s="161" t="str">
        <f t="shared" si="6"/>
        <v>greenje02,2020-21</v>
      </c>
      <c r="Z3552" s="168" t="str">
        <f t="array" ref="Z3552">iferror(index(I:I,match($A3552&amp;","&amp;index('Year Conversion'!$A:$A,match($C3552,'Year Conversion'!$B:$B,0)),$Y:$Y,0))-I3552,"")</f>
        <v/>
      </c>
      <c r="AA3552" s="168" t="str">
        <f t="array" ref="AA3552">iferror(index(J:J,match($A3552&amp;","&amp;index('Year Conversion'!$A:$A,match($C3552,'Year Conversion'!$B:$B,0)),$Y:$Y,0))-J3552,"")</f>
        <v/>
      </c>
      <c r="AB3552" s="168" t="str">
        <f t="array" ref="AB3552">iferror(index(K:K,match($A3552&amp;","&amp;index('Year Conversion'!$A:$A,match($C3552,'Year Conversion'!$B:$B,0)),$Y:$Y,0))-K3552,"")</f>
        <v/>
      </c>
      <c r="AC3552" s="168" t="str">
        <f t="shared" si="7"/>
        <v>BRK,2020-21</v>
      </c>
    </row>
    <row r="3553">
      <c r="A3553" s="161" t="str">
        <f>IFERROR(__xludf.DUMMYFUNCTION("""COMPUTED_VALUE"""),"youngth01")</f>
        <v>youngth01</v>
      </c>
      <c r="B3553" s="161" t="str">
        <f>IFERROR(__xludf.DUMMYFUNCTION("""COMPUTED_VALUE"""),"Thaddeus Young")</f>
        <v>Thaddeus Young</v>
      </c>
      <c r="C3553" s="162" t="str">
        <f>IFERROR(__xludf.DUMMYFUNCTION("""COMPUTED_VALUE"""),"2020-21")</f>
        <v>2020-21</v>
      </c>
      <c r="D3553" s="163" t="str">
        <f>IFERROR(__xludf.DUMMYFUNCTION("""COMPUTED_VALUE"""),"CHI")</f>
        <v>CHI</v>
      </c>
      <c r="E3553" s="164" t="str">
        <f>IFERROR(__xludf.DUMMYFUNCTION("""COMPUTED_VALUE"""),"Roll + Cut Big")</f>
        <v>Roll + Cut Big</v>
      </c>
      <c r="F3553" s="164">
        <f>IFERROR(__xludf.DUMMYFUNCTION("""COMPUTED_VALUE"""),633.851666666667)</f>
        <v>633.8516667</v>
      </c>
      <c r="G3553" s="163">
        <f>IFERROR(__xludf.DUMMYFUNCTION("""COMPUTED_VALUE"""),25.0)</f>
        <v>25</v>
      </c>
      <c r="H3553" s="163" t="str">
        <f>IFERROR(__xludf.DUMMYFUNCTION("""COMPUTED_VALUE"""),"PF")</f>
        <v>PF</v>
      </c>
      <c r="I3553" s="163">
        <f>IFERROR(__xludf.DUMMYFUNCTION("""COMPUTED_VALUE"""),32.0)</f>
        <v>32</v>
      </c>
      <c r="J3553" s="165">
        <f>IFERROR(__xludf.DUMMYFUNCTION("""COMPUTED_VALUE"""),1.48552254867059)</f>
        <v>1.485522549</v>
      </c>
      <c r="K3553" s="165">
        <f>IFERROR(__xludf.DUMMYFUNCTION("""COMPUTED_VALUE"""),1.07347377864875)</f>
        <v>1.073473779</v>
      </c>
      <c r="L3553" s="165">
        <f>IFERROR(__xludf.DUMMYFUNCTION("""COMPUTED_VALUE"""),0.412048770021843)</f>
        <v>0.41204877</v>
      </c>
      <c r="M3553" s="166">
        <f t="shared" si="2"/>
        <v>1.610066765</v>
      </c>
      <c r="N3553" s="167">
        <f t="shared" si="3"/>
        <v>25.35406667</v>
      </c>
      <c r="O3553" s="163">
        <f t="shared" ref="O3553:Q3553" si="3557">rank(I3553,I:I)</f>
        <v>359</v>
      </c>
      <c r="P3553" s="163">
        <f t="shared" si="3557"/>
        <v>460</v>
      </c>
      <c r="Q3553" s="163">
        <f t="shared" si="3557"/>
        <v>466</v>
      </c>
      <c r="R3553" s="163">
        <f>IFERROR(__xludf.DUMMYFUNCTION("RANK(M3553,filter(M:M,C:C=C3553))"),74.0)</f>
        <v>74</v>
      </c>
      <c r="S3553" s="161" t="b">
        <f t="shared" si="5"/>
        <v>1</v>
      </c>
      <c r="T3553" s="161" t="b">
        <f t="array" ref="T3553">index('Query Tool'!B:B,match(H3553,'Query Tool'!C:C,0))</f>
        <v>1</v>
      </c>
      <c r="U3553" s="161" t="b">
        <f t="array" ref="U3553">index('Query Tool'!B:B,match(C3553,'Query Tool'!C:C,0))</f>
        <v>1</v>
      </c>
      <c r="V3553" s="161" t="b">
        <f>F3553&gt;='Query Tool'!C$32</f>
        <v>1</v>
      </c>
      <c r="W3553" s="161" t="b">
        <f t="array" ref="W3553">index(Dropdowns!B:B,match(I3553,Dropdowns!A:A,0))</f>
        <v>1</v>
      </c>
      <c r="X3553" s="161" t="b">
        <f t="array" ref="X3553">index('Query Tool'!B:B,match(D3553,'Query Tool'!C:C,0))</f>
        <v>1</v>
      </c>
      <c r="Y3553" s="161" t="str">
        <f t="shared" si="6"/>
        <v>youngth01,2020-21</v>
      </c>
      <c r="Z3553" s="168" t="str">
        <f t="array" ref="Z3553">iferror(index(I:I,match($A3553&amp;","&amp;index('Year Conversion'!$A:$A,match($C3553,'Year Conversion'!$B:$B,0)),$Y:$Y,0))-I3553,"")</f>
        <v/>
      </c>
      <c r="AA3553" s="168" t="str">
        <f t="array" ref="AA3553">iferror(index(J:J,match($A3553&amp;","&amp;index('Year Conversion'!$A:$A,match($C3553,'Year Conversion'!$B:$B,0)),$Y:$Y,0))-J3553,"")</f>
        <v/>
      </c>
      <c r="AB3553" s="168" t="str">
        <f t="array" ref="AB3553">iferror(index(K:K,match($A3553&amp;","&amp;index('Year Conversion'!$A:$A,match($C3553,'Year Conversion'!$B:$B,0)),$Y:$Y,0))-K3553,"")</f>
        <v/>
      </c>
      <c r="AC3553" s="168" t="str">
        <f t="shared" si="7"/>
        <v>CHI,2020-21</v>
      </c>
    </row>
    <row r="3554">
      <c r="A3554" s="161" t="str">
        <f>IFERROR(__xludf.DUMMYFUNCTION("""COMPUTED_VALUE"""),"dudleja01")</f>
        <v>dudleja01</v>
      </c>
      <c r="B3554" s="161" t="str">
        <f>IFERROR(__xludf.DUMMYFUNCTION("""COMPUTED_VALUE"""),"Jared Dudley")</f>
        <v>Jared Dudley</v>
      </c>
      <c r="C3554" s="162" t="str">
        <f>IFERROR(__xludf.DUMMYFUNCTION("""COMPUTED_VALUE"""),"2020-21")</f>
        <v>2020-21</v>
      </c>
      <c r="D3554" s="163" t="str">
        <f>IFERROR(__xludf.DUMMYFUNCTION("""COMPUTED_VALUE"""),"LAL")</f>
        <v>LAL</v>
      </c>
      <c r="E3554" s="164" t="str">
        <f>IFERROR(__xludf.DUMMYFUNCTION("""COMPUTED_VALUE"""),"Stationary Shooter")</f>
        <v>Stationary Shooter</v>
      </c>
      <c r="F3554" s="164">
        <f>IFERROR(__xludf.DUMMYFUNCTION("""COMPUTED_VALUE"""),24.8166666666667)</f>
        <v>24.81666667</v>
      </c>
      <c r="G3554" s="163">
        <f>IFERROR(__xludf.DUMMYFUNCTION("""COMPUTED_VALUE"""),7.0)</f>
        <v>7</v>
      </c>
      <c r="H3554" s="163" t="str">
        <f>IFERROR(__xludf.DUMMYFUNCTION("""COMPUTED_VALUE"""),"PF")</f>
        <v>PF</v>
      </c>
      <c r="I3554" s="163">
        <f>IFERROR(__xludf.DUMMYFUNCTION("""COMPUTED_VALUE"""),35.0)</f>
        <v>35</v>
      </c>
      <c r="J3554" s="165">
        <f>IFERROR(__xludf.DUMMYFUNCTION("""COMPUTED_VALUE"""),-0.646555716510847)</f>
        <v>-0.6465557165</v>
      </c>
      <c r="K3554" s="165">
        <f>IFERROR(__xludf.DUMMYFUNCTION("""COMPUTED_VALUE"""),-0.177165472191334)</f>
        <v>-0.1771654722</v>
      </c>
      <c r="L3554" s="165">
        <f>IFERROR(__xludf.DUMMYFUNCTION("""COMPUTED_VALUE"""),-0.469390244319514)</f>
        <v>-0.4693902443</v>
      </c>
      <c r="M3554" s="166">
        <f t="shared" si="2"/>
        <v>0.02744768873</v>
      </c>
      <c r="N3554" s="167">
        <f t="shared" si="3"/>
        <v>3.545238095</v>
      </c>
      <c r="O3554" s="163">
        <f t="shared" ref="O3554:Q3554" si="3558">rank(I3554,I:I)</f>
        <v>104</v>
      </c>
      <c r="P3554" s="163">
        <f t="shared" si="3558"/>
        <v>2060</v>
      </c>
      <c r="Q3554" s="163">
        <f t="shared" si="3558"/>
        <v>1528</v>
      </c>
      <c r="R3554" s="163">
        <f>IFERROR(__xludf.DUMMYFUNCTION("RANK(M3554,filter(M:M,C:C=C3554))"),407.0)</f>
        <v>407</v>
      </c>
      <c r="S3554" s="161" t="b">
        <f t="shared" si="5"/>
        <v>0</v>
      </c>
      <c r="T3554" s="161" t="b">
        <f t="array" ref="T3554">index('Query Tool'!B:B,match(H3554,'Query Tool'!C:C,0))</f>
        <v>1</v>
      </c>
      <c r="U3554" s="161" t="b">
        <f t="array" ref="U3554">index('Query Tool'!B:B,match(C3554,'Query Tool'!C:C,0))</f>
        <v>1</v>
      </c>
      <c r="V3554" s="161" t="b">
        <f>F3554&gt;='Query Tool'!C$32</f>
        <v>0</v>
      </c>
      <c r="W3554" s="161" t="b">
        <f t="array" ref="W3554">index(Dropdowns!B:B,match(I3554,Dropdowns!A:A,0))</f>
        <v>1</v>
      </c>
      <c r="X3554" s="161" t="b">
        <f t="array" ref="X3554">index('Query Tool'!B:B,match(D3554,'Query Tool'!C:C,0))</f>
        <v>1</v>
      </c>
      <c r="Y3554" s="161" t="str">
        <f t="shared" si="6"/>
        <v>dudleja01,2020-21</v>
      </c>
      <c r="Z3554" s="168" t="str">
        <f t="array" ref="Z3554">iferror(index(I:I,match($A3554&amp;","&amp;index('Year Conversion'!$A:$A,match($C3554,'Year Conversion'!$B:$B,0)),$Y:$Y,0))-I3554,"")</f>
        <v/>
      </c>
      <c r="AA3554" s="168" t="str">
        <f t="array" ref="AA3554">iferror(index(J:J,match($A3554&amp;","&amp;index('Year Conversion'!$A:$A,match($C3554,'Year Conversion'!$B:$B,0)),$Y:$Y,0))-J3554,"")</f>
        <v/>
      </c>
      <c r="AB3554" s="168" t="str">
        <f t="array" ref="AB3554">iferror(index(K:K,match($A3554&amp;","&amp;index('Year Conversion'!$A:$A,match($C3554,'Year Conversion'!$B:$B,0)),$Y:$Y,0))-K3554,"")</f>
        <v/>
      </c>
      <c r="AC3554" s="168" t="str">
        <f t="shared" si="7"/>
        <v>LAL,2020-21</v>
      </c>
    </row>
    <row r="3555">
      <c r="A3555" s="161" t="str">
        <f>IFERROR(__xludf.DUMMYFUNCTION("""COMPUTED_VALUE"""),"gasolma01")</f>
        <v>gasolma01</v>
      </c>
      <c r="B3555" s="161" t="str">
        <f>IFERROR(__xludf.DUMMYFUNCTION("""COMPUTED_VALUE"""),"Marc Gasol")</f>
        <v>Marc Gasol</v>
      </c>
      <c r="C3555" s="162" t="str">
        <f>IFERROR(__xludf.DUMMYFUNCTION("""COMPUTED_VALUE"""),"2020-21")</f>
        <v>2020-21</v>
      </c>
      <c r="D3555" s="163" t="str">
        <f>IFERROR(__xludf.DUMMYFUNCTION("""COMPUTED_VALUE"""),"LAL")</f>
        <v>LAL</v>
      </c>
      <c r="E3555" s="164" t="str">
        <f>IFERROR(__xludf.DUMMYFUNCTION("""COMPUTED_VALUE"""),"Stretch Big")</f>
        <v>Stretch Big</v>
      </c>
      <c r="F3555" s="164">
        <f>IFERROR(__xludf.DUMMYFUNCTION("""COMPUTED_VALUE"""),623.168333333333)</f>
        <v>623.1683333</v>
      </c>
      <c r="G3555" s="163">
        <f>IFERROR(__xludf.DUMMYFUNCTION("""COMPUTED_VALUE"""),31.0)</f>
        <v>31</v>
      </c>
      <c r="H3555" s="163" t="str">
        <f>IFERROR(__xludf.DUMMYFUNCTION("""COMPUTED_VALUE"""),"C")</f>
        <v>C</v>
      </c>
      <c r="I3555" s="163">
        <f>IFERROR(__xludf.DUMMYFUNCTION("""COMPUTED_VALUE"""),36.0)</f>
        <v>36</v>
      </c>
      <c r="J3555" s="165">
        <f>IFERROR(__xludf.DUMMYFUNCTION("""COMPUTED_VALUE"""),0.70223641029737)</f>
        <v>0.7022364103</v>
      </c>
      <c r="K3555" s="165">
        <f>IFERROR(__xludf.DUMMYFUNCTION("""COMPUTED_VALUE"""),-1.85369793444253)</f>
        <v>-1.853697934</v>
      </c>
      <c r="L3555" s="165">
        <f>IFERROR(__xludf.DUMMYFUNCTION("""COMPUTED_VALUE"""),2.5559343447399)</f>
        <v>2.555934345</v>
      </c>
      <c r="M3555" s="166">
        <f t="shared" si="2"/>
        <v>1.255549111</v>
      </c>
      <c r="N3555" s="167">
        <f t="shared" si="3"/>
        <v>20.1022043</v>
      </c>
      <c r="O3555" s="163">
        <f t="shared" ref="O3555:Q3555" si="3559">rank(I3555,I:I)</f>
        <v>65</v>
      </c>
      <c r="P3555" s="163">
        <f t="shared" si="3559"/>
        <v>795</v>
      </c>
      <c r="Q3555" s="163">
        <f t="shared" si="3559"/>
        <v>3609</v>
      </c>
      <c r="R3555" s="163">
        <f>IFERROR(__xludf.DUMMYFUNCTION("RANK(M3555,filter(M:M,C:C=C3555))"),101.0)</f>
        <v>101</v>
      </c>
      <c r="S3555" s="161" t="b">
        <f t="shared" si="5"/>
        <v>1</v>
      </c>
      <c r="T3555" s="161" t="b">
        <f t="array" ref="T3555">index('Query Tool'!B:B,match(H3555,'Query Tool'!C:C,0))</f>
        <v>1</v>
      </c>
      <c r="U3555" s="161" t="b">
        <f t="array" ref="U3555">index('Query Tool'!B:B,match(C3555,'Query Tool'!C:C,0))</f>
        <v>1</v>
      </c>
      <c r="V3555" s="161" t="b">
        <f>F3555&gt;='Query Tool'!C$32</f>
        <v>1</v>
      </c>
      <c r="W3555" s="161" t="b">
        <f t="array" ref="W3555">index(Dropdowns!B:B,match(I3555,Dropdowns!A:A,0))</f>
        <v>1</v>
      </c>
      <c r="X3555" s="161" t="b">
        <f t="array" ref="X3555">index('Query Tool'!B:B,match(D3555,'Query Tool'!C:C,0))</f>
        <v>1</v>
      </c>
      <c r="Y3555" s="161" t="str">
        <f t="shared" si="6"/>
        <v>gasolma01,2020-21</v>
      </c>
      <c r="Z3555" s="168" t="str">
        <f t="array" ref="Z3555">iferror(index(I:I,match($A3555&amp;","&amp;index('Year Conversion'!$A:$A,match($C3555,'Year Conversion'!$B:$B,0)),$Y:$Y,0))-I3555,"")</f>
        <v/>
      </c>
      <c r="AA3555" s="168" t="str">
        <f t="array" ref="AA3555">iferror(index(J:J,match($A3555&amp;","&amp;index('Year Conversion'!$A:$A,match($C3555,'Year Conversion'!$B:$B,0)),$Y:$Y,0))-J3555,"")</f>
        <v/>
      </c>
      <c r="AB3555" s="168" t="str">
        <f t="array" ref="AB3555">iferror(index(K:K,match($A3555&amp;","&amp;index('Year Conversion'!$A:$A,match($C3555,'Year Conversion'!$B:$B,0)),$Y:$Y,0))-K3555,"")</f>
        <v/>
      </c>
      <c r="AC3555" s="168" t="str">
        <f t="shared" si="7"/>
        <v>LAL,2020-21</v>
      </c>
    </row>
    <row r="3556">
      <c r="A3556" s="161" t="str">
        <f>IFERROR(__xludf.DUMMYFUNCTION("""COMPUTED_VALUE"""),"rosede01")</f>
        <v>rosede01</v>
      </c>
      <c r="B3556" s="161" t="str">
        <f>IFERROR(__xludf.DUMMYFUNCTION("""COMPUTED_VALUE"""),"Derrick Rose")</f>
        <v>Derrick Rose</v>
      </c>
      <c r="C3556" s="162" t="str">
        <f>IFERROR(__xludf.DUMMYFUNCTION("""COMPUTED_VALUE"""),"2020-21")</f>
        <v>2020-21</v>
      </c>
      <c r="D3556" s="163" t="str">
        <f>IFERROR(__xludf.DUMMYFUNCTION("""COMPUTED_VALUE"""),"TOT")</f>
        <v>TOT</v>
      </c>
      <c r="E3556" s="164" t="str">
        <f>IFERROR(__xludf.DUMMYFUNCTION("""COMPUTED_VALUE"""),"Slasher")</f>
        <v>Slasher</v>
      </c>
      <c r="F3556" s="164">
        <f>IFERROR(__xludf.DUMMYFUNCTION("""COMPUTED_VALUE"""),463.293333333333)</f>
        <v>463.2933333</v>
      </c>
      <c r="G3556" s="163">
        <f>IFERROR(__xludf.DUMMYFUNCTION("""COMPUTED_VALUE"""),21.0)</f>
        <v>21</v>
      </c>
      <c r="H3556" s="163" t="str">
        <f>IFERROR(__xludf.DUMMYFUNCTION("""COMPUTED_VALUE"""),"PG")</f>
        <v>PG</v>
      </c>
      <c r="I3556" s="163">
        <f>IFERROR(__xludf.DUMMYFUNCTION("""COMPUTED_VALUE"""),32.0)</f>
        <v>32</v>
      </c>
      <c r="J3556" s="165">
        <f>IFERROR(__xludf.DUMMYFUNCTION("""COMPUTED_VALUE"""),-1.00529728401333)</f>
        <v>-1.005297284</v>
      </c>
      <c r="K3556" s="165">
        <f>IFERROR(__xludf.DUMMYFUNCTION("""COMPUTED_VALUE"""),-0.0944514393392166)</f>
        <v>-0.09445143934</v>
      </c>
      <c r="L3556" s="165">
        <f>IFERROR(__xludf.DUMMYFUNCTION("""COMPUTED_VALUE"""),-0.910845844674118)</f>
        <v>-0.9108458447</v>
      </c>
      <c r="M3556" s="166">
        <f t="shared" si="2"/>
        <v>0.4006817471</v>
      </c>
      <c r="N3556" s="167">
        <f t="shared" si="3"/>
        <v>22.0615873</v>
      </c>
      <c r="O3556" s="163">
        <f t="shared" ref="O3556:Q3556" si="3560">rank(I3556,I:I)</f>
        <v>359</v>
      </c>
      <c r="P3556" s="163">
        <f t="shared" si="3560"/>
        <v>2508</v>
      </c>
      <c r="Q3556" s="163">
        <f t="shared" si="3560"/>
        <v>1354</v>
      </c>
      <c r="R3556" s="163">
        <f>IFERROR(__xludf.DUMMYFUNCTION("RANK(M3556,filter(M:M,C:C=C3556))"),216.0)</f>
        <v>216</v>
      </c>
      <c r="S3556" s="161" t="b">
        <f t="shared" si="5"/>
        <v>0</v>
      </c>
      <c r="T3556" s="161" t="b">
        <f t="array" ref="T3556">index('Query Tool'!B:B,match(H3556,'Query Tool'!C:C,0))</f>
        <v>1</v>
      </c>
      <c r="U3556" s="161" t="b">
        <f t="array" ref="U3556">index('Query Tool'!B:B,match(C3556,'Query Tool'!C:C,0))</f>
        <v>1</v>
      </c>
      <c r="V3556" s="161" t="b">
        <f>F3556&gt;='Query Tool'!C$32</f>
        <v>0</v>
      </c>
      <c r="W3556" s="161" t="b">
        <f t="array" ref="W3556">index(Dropdowns!B:B,match(I3556,Dropdowns!A:A,0))</f>
        <v>1</v>
      </c>
      <c r="X3556" s="161" t="b">
        <f t="array" ref="X3556">index('Query Tool'!B:B,match(D3556,'Query Tool'!C:C,0))</f>
        <v>1</v>
      </c>
      <c r="Y3556" s="161" t="str">
        <f t="shared" si="6"/>
        <v>rosede01,2020-21</v>
      </c>
      <c r="Z3556" s="168" t="str">
        <f t="array" ref="Z3556">iferror(index(I:I,match($A3556&amp;","&amp;index('Year Conversion'!$A:$A,match($C3556,'Year Conversion'!$B:$B,0)),$Y:$Y,0))-I3556,"")</f>
        <v/>
      </c>
      <c r="AA3556" s="168" t="str">
        <f t="array" ref="AA3556">iferror(index(J:J,match($A3556&amp;","&amp;index('Year Conversion'!$A:$A,match($C3556,'Year Conversion'!$B:$B,0)),$Y:$Y,0))-J3556,"")</f>
        <v/>
      </c>
      <c r="AB3556" s="168" t="str">
        <f t="array" ref="AB3556">iferror(index(K:K,match($A3556&amp;","&amp;index('Year Conversion'!$A:$A,match($C3556,'Year Conversion'!$B:$B,0)),$Y:$Y,0))-K3556,"")</f>
        <v/>
      </c>
      <c r="AC3556" s="168" t="str">
        <f t="shared" si="7"/>
        <v>TOT,2020-21</v>
      </c>
    </row>
    <row r="3557">
      <c r="A3557" s="161" t="str">
        <f>IFERROR(__xludf.DUMMYFUNCTION("""COMPUTED_VALUE"""),"westbru01")</f>
        <v>westbru01</v>
      </c>
      <c r="B3557" s="161" t="str">
        <f>IFERROR(__xludf.DUMMYFUNCTION("""COMPUTED_VALUE"""),"Russell Westbrook")</f>
        <v>Russell Westbrook</v>
      </c>
      <c r="C3557" s="162" t="str">
        <f>IFERROR(__xludf.DUMMYFUNCTION("""COMPUTED_VALUE"""),"2020-21")</f>
        <v>2020-21</v>
      </c>
      <c r="D3557" s="163" t="str">
        <f>IFERROR(__xludf.DUMMYFUNCTION("""COMPUTED_VALUE"""),"WAS")</f>
        <v>WAS</v>
      </c>
      <c r="E3557" s="164" t="str">
        <f>IFERROR(__xludf.DUMMYFUNCTION("""COMPUTED_VALUE"""),"Shot Creator")</f>
        <v>Shot Creator</v>
      </c>
      <c r="F3557" s="164">
        <f>IFERROR(__xludf.DUMMYFUNCTION("""COMPUTED_VALUE"""),667.995)</f>
        <v>667.995</v>
      </c>
      <c r="G3557" s="163">
        <f>IFERROR(__xludf.DUMMYFUNCTION("""COMPUTED_VALUE"""),20.0)</f>
        <v>20</v>
      </c>
      <c r="H3557" s="163" t="str">
        <f>IFERROR(__xludf.DUMMYFUNCTION("""COMPUTED_VALUE"""),"PG")</f>
        <v>PG</v>
      </c>
      <c r="I3557" s="163">
        <f>IFERROR(__xludf.DUMMYFUNCTION("""COMPUTED_VALUE"""),32.0)</f>
        <v>32</v>
      </c>
      <c r="J3557" s="165">
        <f>IFERROR(__xludf.DUMMYFUNCTION("""COMPUTED_VALUE"""),-0.394780489977607)</f>
        <v>-0.39478049</v>
      </c>
      <c r="K3557" s="165">
        <f>IFERROR(__xludf.DUMMYFUNCTION("""COMPUTED_VALUE"""),-0.211205826981571)</f>
        <v>-0.211205827</v>
      </c>
      <c r="L3557" s="165">
        <f>IFERROR(__xludf.DUMMYFUNCTION("""COMPUTED_VALUE"""),-0.183574662996036)</f>
        <v>-0.183574663</v>
      </c>
      <c r="M3557" s="166">
        <f t="shared" si="2"/>
        <v>0.8520725724</v>
      </c>
      <c r="N3557" s="167">
        <f t="shared" si="3"/>
        <v>33.39975</v>
      </c>
      <c r="O3557" s="163">
        <f t="shared" ref="O3557:Q3557" si="3561">rank(I3557,I:I)</f>
        <v>359</v>
      </c>
      <c r="P3557" s="163">
        <f t="shared" si="3561"/>
        <v>1723</v>
      </c>
      <c r="Q3557" s="163">
        <f t="shared" si="3561"/>
        <v>1585</v>
      </c>
      <c r="R3557" s="163">
        <f>IFERROR(__xludf.DUMMYFUNCTION("RANK(M3557,filter(M:M,C:C=C3557))"),136.0)</f>
        <v>136</v>
      </c>
      <c r="S3557" s="161" t="b">
        <f t="shared" si="5"/>
        <v>1</v>
      </c>
      <c r="T3557" s="161" t="b">
        <f t="array" ref="T3557">index('Query Tool'!B:B,match(H3557,'Query Tool'!C:C,0))</f>
        <v>1</v>
      </c>
      <c r="U3557" s="161" t="b">
        <f t="array" ref="U3557">index('Query Tool'!B:B,match(C3557,'Query Tool'!C:C,0))</f>
        <v>1</v>
      </c>
      <c r="V3557" s="161" t="b">
        <f>F3557&gt;='Query Tool'!C$32</f>
        <v>1</v>
      </c>
      <c r="W3557" s="161" t="b">
        <f t="array" ref="W3557">index(Dropdowns!B:B,match(I3557,Dropdowns!A:A,0))</f>
        <v>1</v>
      </c>
      <c r="X3557" s="161" t="b">
        <f t="array" ref="X3557">index('Query Tool'!B:B,match(D3557,'Query Tool'!C:C,0))</f>
        <v>1</v>
      </c>
      <c r="Y3557" s="161" t="str">
        <f t="shared" si="6"/>
        <v>westbru01,2020-21</v>
      </c>
      <c r="Z3557" s="168" t="str">
        <f t="array" ref="Z3557">iferror(index(I:I,match($A3557&amp;","&amp;index('Year Conversion'!$A:$A,match($C3557,'Year Conversion'!$B:$B,0)),$Y:$Y,0))-I3557,"")</f>
        <v/>
      </c>
      <c r="AA3557" s="168" t="str">
        <f t="array" ref="AA3557">iferror(index(J:J,match($A3557&amp;","&amp;index('Year Conversion'!$A:$A,match($C3557,'Year Conversion'!$B:$B,0)),$Y:$Y,0))-J3557,"")</f>
        <v/>
      </c>
      <c r="AB3557" s="168" t="str">
        <f t="array" ref="AB3557">iferror(index(K:K,match($A3557&amp;","&amp;index('Year Conversion'!$A:$A,match($C3557,'Year Conversion'!$B:$B,0)),$Y:$Y,0))-K3557,"")</f>
        <v/>
      </c>
      <c r="AC3557" s="168" t="str">
        <f t="shared" si="7"/>
        <v>WAS,2020-21</v>
      </c>
    </row>
    <row r="3558">
      <c r="A3558" s="161" t="str">
        <f>IFERROR(__xludf.DUMMYFUNCTION("""COMPUTED_VALUE"""),"loveke01")</f>
        <v>loveke01</v>
      </c>
      <c r="B3558" s="161" t="str">
        <f>IFERROR(__xludf.DUMMYFUNCTION("""COMPUTED_VALUE"""),"Kevin Love")</f>
        <v>Kevin Love</v>
      </c>
      <c r="C3558" s="162" t="str">
        <f>IFERROR(__xludf.DUMMYFUNCTION("""COMPUTED_VALUE"""),"2020-21")</f>
        <v>2020-21</v>
      </c>
      <c r="D3558" s="163" t="str">
        <f>IFERROR(__xludf.DUMMYFUNCTION("""COMPUTED_VALUE"""),"CLE")</f>
        <v>CLE</v>
      </c>
      <c r="E3558" s="164" t="str">
        <f>IFERROR(__xludf.DUMMYFUNCTION("""COMPUTED_VALUE"""),"Versatile Big")</f>
        <v>Versatile Big</v>
      </c>
      <c r="F3558" s="164">
        <f>IFERROR(__xludf.DUMMYFUNCTION("""COMPUTED_VALUE"""),46.3766666666666)</f>
        <v>46.37666667</v>
      </c>
      <c r="G3558" s="163">
        <f>IFERROR(__xludf.DUMMYFUNCTION("""COMPUTED_VALUE"""),2.0)</f>
        <v>2</v>
      </c>
      <c r="H3558" s="163" t="str">
        <f>IFERROR(__xludf.DUMMYFUNCTION("""COMPUTED_VALUE"""),"PF")</f>
        <v>PF</v>
      </c>
      <c r="I3558" s="163">
        <f>IFERROR(__xludf.DUMMYFUNCTION("""COMPUTED_VALUE"""),32.0)</f>
        <v>32</v>
      </c>
      <c r="J3558" s="165">
        <f>IFERROR(__xludf.DUMMYFUNCTION("""COMPUTED_VALUE"""),0.518259768947758)</f>
        <v>0.5182597689</v>
      </c>
      <c r="K3558" s="165">
        <f>IFERROR(__xludf.DUMMYFUNCTION("""COMPUTED_VALUE"""),0.160183179712256)</f>
        <v>0.1601831797</v>
      </c>
      <c r="L3558" s="165">
        <f>IFERROR(__xludf.DUMMYFUNCTION("""COMPUTED_VALUE"""),0.358076589235502)</f>
        <v>0.3580765892</v>
      </c>
      <c r="M3558" s="166">
        <f t="shared" si="2"/>
        <v>0.08769557806</v>
      </c>
      <c r="N3558" s="167">
        <f t="shared" si="3"/>
        <v>23.18833333</v>
      </c>
      <c r="O3558" s="163">
        <f t="shared" ref="O3558:Q3558" si="3562">rank(I3558,I:I)</f>
        <v>359</v>
      </c>
      <c r="P3558" s="163">
        <f t="shared" si="3562"/>
        <v>896</v>
      </c>
      <c r="Q3558" s="163">
        <f t="shared" si="3562"/>
        <v>1018</v>
      </c>
      <c r="R3558" s="163">
        <f>IFERROR(__xludf.DUMMYFUNCTION("RANK(M3558,filter(M:M,C:C=C3558))"),342.0)</f>
        <v>342</v>
      </c>
      <c r="S3558" s="161" t="b">
        <f t="shared" si="5"/>
        <v>0</v>
      </c>
      <c r="T3558" s="161" t="b">
        <f t="array" ref="T3558">index('Query Tool'!B:B,match(H3558,'Query Tool'!C:C,0))</f>
        <v>1</v>
      </c>
      <c r="U3558" s="161" t="b">
        <f t="array" ref="U3558">index('Query Tool'!B:B,match(C3558,'Query Tool'!C:C,0))</f>
        <v>1</v>
      </c>
      <c r="V3558" s="161" t="b">
        <f>F3558&gt;='Query Tool'!C$32</f>
        <v>0</v>
      </c>
      <c r="W3558" s="161" t="b">
        <f t="array" ref="W3558">index(Dropdowns!B:B,match(I3558,Dropdowns!A:A,0))</f>
        <v>1</v>
      </c>
      <c r="X3558" s="161" t="b">
        <f t="array" ref="X3558">index('Query Tool'!B:B,match(D3558,'Query Tool'!C:C,0))</f>
        <v>1</v>
      </c>
      <c r="Y3558" s="161" t="str">
        <f t="shared" si="6"/>
        <v>loveke01,2020-21</v>
      </c>
      <c r="Z3558" s="168" t="str">
        <f t="array" ref="Z3558">iferror(index(I:I,match($A3558&amp;","&amp;index('Year Conversion'!$A:$A,match($C3558,'Year Conversion'!$B:$B,0)),$Y:$Y,0))-I3558,"")</f>
        <v/>
      </c>
      <c r="AA3558" s="168" t="str">
        <f t="array" ref="AA3558">iferror(index(J:J,match($A3558&amp;","&amp;index('Year Conversion'!$A:$A,match($C3558,'Year Conversion'!$B:$B,0)),$Y:$Y,0))-J3558,"")</f>
        <v/>
      </c>
      <c r="AB3558" s="168" t="str">
        <f t="array" ref="AB3558">iferror(index(K:K,match($A3558&amp;","&amp;index('Year Conversion'!$A:$A,match($C3558,'Year Conversion'!$B:$B,0)),$Y:$Y,0))-K3558,"")</f>
        <v/>
      </c>
      <c r="AC3558" s="168" t="str">
        <f t="shared" si="7"/>
        <v>CLE,2020-21</v>
      </c>
    </row>
    <row r="3559">
      <c r="A3559" s="161" t="str">
        <f>IFERROR(__xludf.DUMMYFUNCTION("""COMPUTED_VALUE"""),"gallida01")</f>
        <v>gallida01</v>
      </c>
      <c r="B3559" s="161" t="str">
        <f>IFERROR(__xludf.DUMMYFUNCTION("""COMPUTED_VALUE"""),"Danilo Gallinari")</f>
        <v>Danilo Gallinari</v>
      </c>
      <c r="C3559" s="162" t="str">
        <f>IFERROR(__xludf.DUMMYFUNCTION("""COMPUTED_VALUE"""),"2020-21")</f>
        <v>2020-21</v>
      </c>
      <c r="D3559" s="163" t="str">
        <f>IFERROR(__xludf.DUMMYFUNCTION("""COMPUTED_VALUE"""),"ATL")</f>
        <v>ATL</v>
      </c>
      <c r="E3559" s="164" t="str">
        <f>IFERROR(__xludf.DUMMYFUNCTION("""COMPUTED_VALUE"""),"Stretch Big")</f>
        <v>Stretch Big</v>
      </c>
      <c r="F3559" s="164">
        <f>IFERROR(__xludf.DUMMYFUNCTION("""COMPUTED_VALUE"""),359.735)</f>
        <v>359.735</v>
      </c>
      <c r="G3559" s="163">
        <f>IFERROR(__xludf.DUMMYFUNCTION("""COMPUTED_VALUE"""),18.0)</f>
        <v>18</v>
      </c>
      <c r="H3559" s="163" t="str">
        <f>IFERROR(__xludf.DUMMYFUNCTION("""COMPUTED_VALUE"""),"PF")</f>
        <v>PF</v>
      </c>
      <c r="I3559" s="163">
        <f>IFERROR(__xludf.DUMMYFUNCTION("""COMPUTED_VALUE"""),32.0)</f>
        <v>32</v>
      </c>
      <c r="J3559" s="165">
        <f>IFERROR(__xludf.DUMMYFUNCTION("""COMPUTED_VALUE"""),-0.961381666561336)</f>
        <v>-0.9613816666</v>
      </c>
      <c r="K3559" s="165">
        <f>IFERROR(__xludf.DUMMYFUNCTION("""COMPUTED_VALUE"""),-0.0852020217009673)</f>
        <v>-0.0852020217</v>
      </c>
      <c r="L3559" s="165">
        <f>IFERROR(__xludf.DUMMYFUNCTION("""COMPUTED_VALUE"""),-0.876179644860368)</f>
        <v>-0.8761796449</v>
      </c>
      <c r="M3559" s="166">
        <f t="shared" si="2"/>
        <v>0.321726789</v>
      </c>
      <c r="N3559" s="167">
        <f t="shared" si="3"/>
        <v>19.98527778</v>
      </c>
      <c r="O3559" s="163">
        <f t="shared" ref="O3559:Q3559" si="3563">rank(I3559,I:I)</f>
        <v>359</v>
      </c>
      <c r="P3559" s="163">
        <f t="shared" si="3563"/>
        <v>2464</v>
      </c>
      <c r="Q3559" s="163">
        <f t="shared" si="3563"/>
        <v>1336</v>
      </c>
      <c r="R3559" s="163">
        <f>IFERROR(__xludf.DUMMYFUNCTION("RANK(M3559,filter(M:M,C:C=C3559))"),237.0)</f>
        <v>237</v>
      </c>
      <c r="S3559" s="161" t="b">
        <f t="shared" si="5"/>
        <v>0</v>
      </c>
      <c r="T3559" s="161" t="b">
        <f t="array" ref="T3559">index('Query Tool'!B:B,match(H3559,'Query Tool'!C:C,0))</f>
        <v>1</v>
      </c>
      <c r="U3559" s="161" t="b">
        <f t="array" ref="U3559">index('Query Tool'!B:B,match(C3559,'Query Tool'!C:C,0))</f>
        <v>1</v>
      </c>
      <c r="V3559" s="161" t="b">
        <f>F3559&gt;='Query Tool'!C$32</f>
        <v>0</v>
      </c>
      <c r="W3559" s="161" t="b">
        <f t="array" ref="W3559">index(Dropdowns!B:B,match(I3559,Dropdowns!A:A,0))</f>
        <v>1</v>
      </c>
      <c r="X3559" s="161" t="b">
        <f t="array" ref="X3559">index('Query Tool'!B:B,match(D3559,'Query Tool'!C:C,0))</f>
        <v>1</v>
      </c>
      <c r="Y3559" s="161" t="str">
        <f t="shared" si="6"/>
        <v>gallida01,2020-21</v>
      </c>
      <c r="Z3559" s="168" t="str">
        <f t="array" ref="Z3559">iferror(index(I:I,match($A3559&amp;","&amp;index('Year Conversion'!$A:$A,match($C3559,'Year Conversion'!$B:$B,0)),$Y:$Y,0))-I3559,"")</f>
        <v/>
      </c>
      <c r="AA3559" s="168" t="str">
        <f t="array" ref="AA3559">iferror(index(J:J,match($A3559&amp;","&amp;index('Year Conversion'!$A:$A,match($C3559,'Year Conversion'!$B:$B,0)),$Y:$Y,0))-J3559,"")</f>
        <v/>
      </c>
      <c r="AB3559" s="168" t="str">
        <f t="array" ref="AB3559">iferror(index(K:K,match($A3559&amp;","&amp;index('Year Conversion'!$A:$A,match($C3559,'Year Conversion'!$B:$B,0)),$Y:$Y,0))-K3559,"")</f>
        <v/>
      </c>
      <c r="AC3559" s="168" t="str">
        <f t="shared" si="7"/>
        <v>ATL,2020-21</v>
      </c>
    </row>
    <row r="3560">
      <c r="A3560" s="161" t="str">
        <f>IFERROR(__xludf.DUMMYFUNCTION("""COMPUTED_VALUE"""),"gordoer01")</f>
        <v>gordoer01</v>
      </c>
      <c r="B3560" s="161" t="str">
        <f>IFERROR(__xludf.DUMMYFUNCTION("""COMPUTED_VALUE"""),"Eric Gordon")</f>
        <v>Eric Gordon</v>
      </c>
      <c r="C3560" s="162" t="str">
        <f>IFERROR(__xludf.DUMMYFUNCTION("""COMPUTED_VALUE"""),"2020-21")</f>
        <v>2020-21</v>
      </c>
      <c r="D3560" s="163" t="str">
        <f>IFERROR(__xludf.DUMMYFUNCTION("""COMPUTED_VALUE"""),"HOU")</f>
        <v>HOU</v>
      </c>
      <c r="E3560" s="164" t="str">
        <f>IFERROR(__xludf.DUMMYFUNCTION("""COMPUTED_VALUE"""),"Secondary Ball Handler")</f>
        <v>Secondary Ball Handler</v>
      </c>
      <c r="F3560" s="164">
        <f>IFERROR(__xludf.DUMMYFUNCTION("""COMPUTED_VALUE"""),646.48)</f>
        <v>646.48</v>
      </c>
      <c r="G3560" s="163">
        <f>IFERROR(__xludf.DUMMYFUNCTION("""COMPUTED_VALUE"""),22.0)</f>
        <v>22</v>
      </c>
      <c r="H3560" s="163" t="str">
        <f>IFERROR(__xludf.DUMMYFUNCTION("""COMPUTED_VALUE"""),"SG")</f>
        <v>SG</v>
      </c>
      <c r="I3560" s="163">
        <f>IFERROR(__xludf.DUMMYFUNCTION("""COMPUTED_VALUE"""),32.0)</f>
        <v>32</v>
      </c>
      <c r="J3560" s="165">
        <f>IFERROR(__xludf.DUMMYFUNCTION("""COMPUTED_VALUE"""),-0.593902743325337)</f>
        <v>-0.5939027433</v>
      </c>
      <c r="K3560" s="165">
        <f>IFERROR(__xludf.DUMMYFUNCTION("""COMPUTED_VALUE"""),0.726564100150028)</f>
        <v>0.7265641002</v>
      </c>
      <c r="L3560" s="165">
        <f>IFERROR(__xludf.DUMMYFUNCTION("""COMPUTED_VALUE"""),-1.32046684347536)</f>
        <v>-1.320466843</v>
      </c>
      <c r="M3560" s="166">
        <f t="shared" si="2"/>
        <v>0.7379307797</v>
      </c>
      <c r="N3560" s="167">
        <f t="shared" si="3"/>
        <v>29.38545455</v>
      </c>
      <c r="O3560" s="163">
        <f t="shared" ref="O3560:Q3560" si="3564">rank(I3560,I:I)</f>
        <v>359</v>
      </c>
      <c r="P3560" s="163">
        <f t="shared" si="3564"/>
        <v>1985</v>
      </c>
      <c r="Q3560" s="163">
        <f t="shared" si="3564"/>
        <v>632</v>
      </c>
      <c r="R3560" s="163">
        <f>IFERROR(__xludf.DUMMYFUNCTION("RANK(M3560,filter(M:M,C:C=C3560))"),152.0)</f>
        <v>152</v>
      </c>
      <c r="S3560" s="161" t="b">
        <f t="shared" si="5"/>
        <v>1</v>
      </c>
      <c r="T3560" s="161" t="b">
        <f t="array" ref="T3560">index('Query Tool'!B:B,match(H3560,'Query Tool'!C:C,0))</f>
        <v>1</v>
      </c>
      <c r="U3560" s="161" t="b">
        <f t="array" ref="U3560">index('Query Tool'!B:B,match(C3560,'Query Tool'!C:C,0))</f>
        <v>1</v>
      </c>
      <c r="V3560" s="161" t="b">
        <f>F3560&gt;='Query Tool'!C$32</f>
        <v>1</v>
      </c>
      <c r="W3560" s="161" t="b">
        <f t="array" ref="W3560">index(Dropdowns!B:B,match(I3560,Dropdowns!A:A,0))</f>
        <v>1</v>
      </c>
      <c r="X3560" s="161" t="b">
        <f t="array" ref="X3560">index('Query Tool'!B:B,match(D3560,'Query Tool'!C:C,0))</f>
        <v>1</v>
      </c>
      <c r="Y3560" s="161" t="str">
        <f t="shared" si="6"/>
        <v>gordoer01,2020-21</v>
      </c>
      <c r="Z3560" s="168" t="str">
        <f t="array" ref="Z3560">iferror(index(I:I,match($A3560&amp;","&amp;index('Year Conversion'!$A:$A,match($C3560,'Year Conversion'!$B:$B,0)),$Y:$Y,0))-I3560,"")</f>
        <v/>
      </c>
      <c r="AA3560" s="168" t="str">
        <f t="array" ref="AA3560">iferror(index(J:J,match($A3560&amp;","&amp;index('Year Conversion'!$A:$A,match($C3560,'Year Conversion'!$B:$B,0)),$Y:$Y,0))-J3560,"")</f>
        <v/>
      </c>
      <c r="AB3560" s="168" t="str">
        <f t="array" ref="AB3560">iferror(index(K:K,match($A3560&amp;","&amp;index('Year Conversion'!$A:$A,match($C3560,'Year Conversion'!$B:$B,0)),$Y:$Y,0))-K3560,"")</f>
        <v/>
      </c>
      <c r="AC3560" s="168" t="str">
        <f t="shared" si="7"/>
        <v>HOU,2020-21</v>
      </c>
    </row>
    <row r="3561">
      <c r="A3561" s="161" t="str">
        <f>IFERROR(__xludf.DUMMYFUNCTION("""COMPUTED_VALUE"""),"augusdj01")</f>
        <v>augusdj01</v>
      </c>
      <c r="B3561" s="161" t="str">
        <f>IFERROR(__xludf.DUMMYFUNCTION("""COMPUTED_VALUE"""),"D.J. Augustin")</f>
        <v>D.J. Augustin</v>
      </c>
      <c r="C3561" s="162" t="str">
        <f>IFERROR(__xludf.DUMMYFUNCTION("""COMPUTED_VALUE"""),"2020-21")</f>
        <v>2020-21</v>
      </c>
      <c r="D3561" s="163" t="str">
        <f>IFERROR(__xludf.DUMMYFUNCTION("""COMPUTED_VALUE"""),"MIL")</f>
        <v>MIL</v>
      </c>
      <c r="E3561" s="164" t="str">
        <f>IFERROR(__xludf.DUMMYFUNCTION("""COMPUTED_VALUE"""),"Secondary Ball Handler")</f>
        <v>Secondary Ball Handler</v>
      </c>
      <c r="F3561" s="164">
        <f>IFERROR(__xludf.DUMMYFUNCTION("""COMPUTED_VALUE"""),564.615)</f>
        <v>564.615</v>
      </c>
      <c r="G3561" s="163">
        <f>IFERROR(__xludf.DUMMYFUNCTION("""COMPUTED_VALUE"""),30.0)</f>
        <v>30</v>
      </c>
      <c r="H3561" s="163" t="str">
        <f>IFERROR(__xludf.DUMMYFUNCTION("""COMPUTED_VALUE"""),"PG")</f>
        <v>PG</v>
      </c>
      <c r="I3561" s="163">
        <f>IFERROR(__xludf.DUMMYFUNCTION("""COMPUTED_VALUE"""),33.0)</f>
        <v>33</v>
      </c>
      <c r="J3561" s="165">
        <f>IFERROR(__xludf.DUMMYFUNCTION("""COMPUTED_VALUE"""),-1.03263639828905)</f>
        <v>-1.032636398</v>
      </c>
      <c r="K3561" s="165">
        <f>IFERROR(__xludf.DUMMYFUNCTION("""COMPUTED_VALUE"""),0.0299505665031425)</f>
        <v>0.0299505665</v>
      </c>
      <c r="L3561" s="165">
        <f>IFERROR(__xludf.DUMMYFUNCTION("""COMPUTED_VALUE"""),-1.06258696479219)</f>
        <v>-1.062586965</v>
      </c>
      <c r="M3561" s="166">
        <f t="shared" si="2"/>
        <v>0.4779484001</v>
      </c>
      <c r="N3561" s="167">
        <f t="shared" si="3"/>
        <v>18.8205</v>
      </c>
      <c r="O3561" s="163">
        <f t="shared" ref="O3561:Q3561" si="3565">rank(I3561,I:I)</f>
        <v>246</v>
      </c>
      <c r="P3561" s="163">
        <f t="shared" si="3565"/>
        <v>2538</v>
      </c>
      <c r="Q3561" s="163">
        <f t="shared" si="3565"/>
        <v>1157</v>
      </c>
      <c r="R3561" s="163">
        <f>IFERROR(__xludf.DUMMYFUNCTION("RANK(M3561,filter(M:M,C:C=C3561))"),197.0)</f>
        <v>197</v>
      </c>
      <c r="S3561" s="161" t="b">
        <f t="shared" si="5"/>
        <v>1</v>
      </c>
      <c r="T3561" s="161" t="b">
        <f t="array" ref="T3561">index('Query Tool'!B:B,match(H3561,'Query Tool'!C:C,0))</f>
        <v>1</v>
      </c>
      <c r="U3561" s="161" t="b">
        <f t="array" ref="U3561">index('Query Tool'!B:B,match(C3561,'Query Tool'!C:C,0))</f>
        <v>1</v>
      </c>
      <c r="V3561" s="161" t="b">
        <f>F3561&gt;='Query Tool'!C$32</f>
        <v>1</v>
      </c>
      <c r="W3561" s="161" t="b">
        <f t="array" ref="W3561">index(Dropdowns!B:B,match(I3561,Dropdowns!A:A,0))</f>
        <v>1</v>
      </c>
      <c r="X3561" s="161" t="b">
        <f t="array" ref="X3561">index('Query Tool'!B:B,match(D3561,'Query Tool'!C:C,0))</f>
        <v>1</v>
      </c>
      <c r="Y3561" s="161" t="str">
        <f t="shared" si="6"/>
        <v>augusdj01,2020-21</v>
      </c>
      <c r="Z3561" s="168" t="str">
        <f t="array" ref="Z3561">iferror(index(I:I,match($A3561&amp;","&amp;index('Year Conversion'!$A:$A,match($C3561,'Year Conversion'!$B:$B,0)),$Y:$Y,0))-I3561,"")</f>
        <v/>
      </c>
      <c r="AA3561" s="168" t="str">
        <f t="array" ref="AA3561">iferror(index(J:J,match($A3561&amp;","&amp;index('Year Conversion'!$A:$A,match($C3561,'Year Conversion'!$B:$B,0)),$Y:$Y,0))-J3561,"")</f>
        <v/>
      </c>
      <c r="AB3561" s="168" t="str">
        <f t="array" ref="AB3561">iferror(index(K:K,match($A3561&amp;","&amp;index('Year Conversion'!$A:$A,match($C3561,'Year Conversion'!$B:$B,0)),$Y:$Y,0))-K3561,"")</f>
        <v/>
      </c>
      <c r="AC3561" s="168" t="str">
        <f t="shared" si="7"/>
        <v>MIL,2020-21</v>
      </c>
    </row>
    <row r="3562">
      <c r="A3562" s="161" t="str">
        <f>IFERROR(__xludf.DUMMYFUNCTION("""COMPUTED_VALUE"""),"lopezbr01")</f>
        <v>lopezbr01</v>
      </c>
      <c r="B3562" s="161" t="str">
        <f>IFERROR(__xludf.DUMMYFUNCTION("""COMPUTED_VALUE"""),"Brook Lopez")</f>
        <v>Brook Lopez</v>
      </c>
      <c r="C3562" s="162" t="str">
        <f>IFERROR(__xludf.DUMMYFUNCTION("""COMPUTED_VALUE"""),"2020-21")</f>
        <v>2020-21</v>
      </c>
      <c r="D3562" s="163" t="str">
        <f>IFERROR(__xludf.DUMMYFUNCTION("""COMPUTED_VALUE"""),"MIL")</f>
        <v>MIL</v>
      </c>
      <c r="E3562" s="164" t="str">
        <f>IFERROR(__xludf.DUMMYFUNCTION("""COMPUTED_VALUE"""),"Stretch Big")</f>
        <v>Stretch Big</v>
      </c>
      <c r="F3562" s="164">
        <f>IFERROR(__xludf.DUMMYFUNCTION("""COMPUTED_VALUE"""),832.466666666666)</f>
        <v>832.4666667</v>
      </c>
      <c r="G3562" s="163">
        <f>IFERROR(__xludf.DUMMYFUNCTION("""COMPUTED_VALUE"""),31.0)</f>
        <v>31</v>
      </c>
      <c r="H3562" s="163" t="str">
        <f>IFERROR(__xludf.DUMMYFUNCTION("""COMPUTED_VALUE"""),"C")</f>
        <v>C</v>
      </c>
      <c r="I3562" s="163">
        <f>IFERROR(__xludf.DUMMYFUNCTION("""COMPUTED_VALUE"""),32.0)</f>
        <v>32</v>
      </c>
      <c r="J3562" s="165">
        <f>IFERROR(__xludf.DUMMYFUNCTION("""COMPUTED_VALUE"""),1.48896350648738)</f>
        <v>1.488963506</v>
      </c>
      <c r="K3562" s="165">
        <f>IFERROR(__xludf.DUMMYFUNCTION("""COMPUTED_VALUE"""),0.121738330168712)</f>
        <v>0.1217383302</v>
      </c>
      <c r="L3562" s="165">
        <f>IFERROR(__xludf.DUMMYFUNCTION("""COMPUTED_VALUE"""),1.36722517631866)</f>
        <v>1.367225176</v>
      </c>
      <c r="M3562" s="166">
        <f t="shared" si="2"/>
        <v>2.116488551</v>
      </c>
      <c r="N3562" s="167">
        <f t="shared" si="3"/>
        <v>26.85376344</v>
      </c>
      <c r="O3562" s="163">
        <f t="shared" ref="O3562:Q3562" si="3566">rank(I3562,I:I)</f>
        <v>359</v>
      </c>
      <c r="P3562" s="163">
        <f t="shared" si="3566"/>
        <v>458</v>
      </c>
      <c r="Q3562" s="163">
        <f t="shared" si="3566"/>
        <v>1046</v>
      </c>
      <c r="R3562" s="163">
        <f>IFERROR(__xludf.DUMMYFUNCTION("RANK(M3562,filter(M:M,C:C=C3562))"),43.0)</f>
        <v>43</v>
      </c>
      <c r="S3562" s="161" t="b">
        <f t="shared" si="5"/>
        <v>1</v>
      </c>
      <c r="T3562" s="161" t="b">
        <f t="array" ref="T3562">index('Query Tool'!B:B,match(H3562,'Query Tool'!C:C,0))</f>
        <v>1</v>
      </c>
      <c r="U3562" s="161" t="b">
        <f t="array" ref="U3562">index('Query Tool'!B:B,match(C3562,'Query Tool'!C:C,0))</f>
        <v>1</v>
      </c>
      <c r="V3562" s="161" t="b">
        <f>F3562&gt;='Query Tool'!C$32</f>
        <v>1</v>
      </c>
      <c r="W3562" s="161" t="b">
        <f t="array" ref="W3562">index(Dropdowns!B:B,match(I3562,Dropdowns!A:A,0))</f>
        <v>1</v>
      </c>
      <c r="X3562" s="161" t="b">
        <f t="array" ref="X3562">index('Query Tool'!B:B,match(D3562,'Query Tool'!C:C,0))</f>
        <v>1</v>
      </c>
      <c r="Y3562" s="161" t="str">
        <f t="shared" si="6"/>
        <v>lopezbr01,2020-21</v>
      </c>
      <c r="Z3562" s="168" t="str">
        <f t="array" ref="Z3562">iferror(index(I:I,match($A3562&amp;","&amp;index('Year Conversion'!$A:$A,match($C3562,'Year Conversion'!$B:$B,0)),$Y:$Y,0))-I3562,"")</f>
        <v/>
      </c>
      <c r="AA3562" s="168" t="str">
        <f t="array" ref="AA3562">iferror(index(J:J,match($A3562&amp;","&amp;index('Year Conversion'!$A:$A,match($C3562,'Year Conversion'!$B:$B,0)),$Y:$Y,0))-J3562,"")</f>
        <v/>
      </c>
      <c r="AB3562" s="168" t="str">
        <f t="array" ref="AB3562">iferror(index(K:K,match($A3562&amp;","&amp;index('Year Conversion'!$A:$A,match($C3562,'Year Conversion'!$B:$B,0)),$Y:$Y,0))-K3562,"")</f>
        <v/>
      </c>
      <c r="AC3562" s="168" t="str">
        <f t="shared" si="7"/>
        <v>MIL,2020-21</v>
      </c>
    </row>
    <row r="3563">
      <c r="A3563" s="161" t="str">
        <f>IFERROR(__xludf.DUMMYFUNCTION("""COMPUTED_VALUE"""),"lopezro01")</f>
        <v>lopezro01</v>
      </c>
      <c r="B3563" s="161" t="str">
        <f>IFERROR(__xludf.DUMMYFUNCTION("""COMPUTED_VALUE"""),"Robin Lopez")</f>
        <v>Robin Lopez</v>
      </c>
      <c r="C3563" s="162" t="str">
        <f>IFERROR(__xludf.DUMMYFUNCTION("""COMPUTED_VALUE"""),"2020-21")</f>
        <v>2020-21</v>
      </c>
      <c r="D3563" s="163" t="str">
        <f>IFERROR(__xludf.DUMMYFUNCTION("""COMPUTED_VALUE"""),"WAS")</f>
        <v>WAS</v>
      </c>
      <c r="E3563" s="164" t="str">
        <f>IFERROR(__xludf.DUMMYFUNCTION("""COMPUTED_VALUE"""),"Post Scorer")</f>
        <v>Post Scorer</v>
      </c>
      <c r="F3563" s="164">
        <f>IFERROR(__xludf.DUMMYFUNCTION("""COMPUTED_VALUE"""),532.596666666667)</f>
        <v>532.5966667</v>
      </c>
      <c r="G3563" s="163">
        <f>IFERROR(__xludf.DUMMYFUNCTION("""COMPUTED_VALUE"""),27.0)</f>
        <v>27</v>
      </c>
      <c r="H3563" s="163" t="str">
        <f>IFERROR(__xludf.DUMMYFUNCTION("""COMPUTED_VALUE"""),"C")</f>
        <v>C</v>
      </c>
      <c r="I3563" s="163">
        <f>IFERROR(__xludf.DUMMYFUNCTION("""COMPUTED_VALUE"""),32.0)</f>
        <v>32</v>
      </c>
      <c r="J3563" s="165">
        <f>IFERROR(__xludf.DUMMYFUNCTION("""COMPUTED_VALUE"""),-2.23228693351299)</f>
        <v>-2.232286934</v>
      </c>
      <c r="K3563" s="165">
        <f>IFERROR(__xludf.DUMMYFUNCTION("""COMPUTED_VALUE"""),-1.87280615865412)</f>
        <v>-1.872806159</v>
      </c>
      <c r="L3563" s="165">
        <f>IFERROR(__xludf.DUMMYFUNCTION("""COMPUTED_VALUE"""),-0.359480774858865)</f>
        <v>-0.3594807749</v>
      </c>
      <c r="M3563" s="166">
        <f t="shared" si="2"/>
        <v>0.02503954491</v>
      </c>
      <c r="N3563" s="167">
        <f t="shared" si="3"/>
        <v>19.72580247</v>
      </c>
      <c r="O3563" s="163">
        <f t="shared" ref="O3563:Q3563" si="3567">rank(I3563,I:I)</f>
        <v>359</v>
      </c>
      <c r="P3563" s="163">
        <f t="shared" si="3567"/>
        <v>3622</v>
      </c>
      <c r="Q3563" s="163">
        <f t="shared" si="3567"/>
        <v>3626</v>
      </c>
      <c r="R3563" s="163">
        <f>IFERROR(__xludf.DUMMYFUNCTION("RANK(M3563,filter(M:M,C:C=C3563))"),412.0)</f>
        <v>412</v>
      </c>
      <c r="S3563" s="161" t="b">
        <f t="shared" si="5"/>
        <v>1</v>
      </c>
      <c r="T3563" s="161" t="b">
        <f t="array" ref="T3563">index('Query Tool'!B:B,match(H3563,'Query Tool'!C:C,0))</f>
        <v>1</v>
      </c>
      <c r="U3563" s="161" t="b">
        <f t="array" ref="U3563">index('Query Tool'!B:B,match(C3563,'Query Tool'!C:C,0))</f>
        <v>1</v>
      </c>
      <c r="V3563" s="161" t="b">
        <f>F3563&gt;='Query Tool'!C$32</f>
        <v>1</v>
      </c>
      <c r="W3563" s="161" t="b">
        <f t="array" ref="W3563">index(Dropdowns!B:B,match(I3563,Dropdowns!A:A,0))</f>
        <v>1</v>
      </c>
      <c r="X3563" s="161" t="b">
        <f t="array" ref="X3563">index('Query Tool'!B:B,match(D3563,'Query Tool'!C:C,0))</f>
        <v>1</v>
      </c>
      <c r="Y3563" s="161" t="str">
        <f t="shared" si="6"/>
        <v>lopezro01,2020-21</v>
      </c>
      <c r="Z3563" s="168" t="str">
        <f t="array" ref="Z3563">iferror(index(I:I,match($A3563&amp;","&amp;index('Year Conversion'!$A:$A,match($C3563,'Year Conversion'!$B:$B,0)),$Y:$Y,0))-I3563,"")</f>
        <v/>
      </c>
      <c r="AA3563" s="168" t="str">
        <f t="array" ref="AA3563">iferror(index(J:J,match($A3563&amp;","&amp;index('Year Conversion'!$A:$A,match($C3563,'Year Conversion'!$B:$B,0)),$Y:$Y,0))-J3563,"")</f>
        <v/>
      </c>
      <c r="AB3563" s="168" t="str">
        <f t="array" ref="AB3563">iferror(index(K:K,match($A3563&amp;","&amp;index('Year Conversion'!$A:$A,match($C3563,'Year Conversion'!$B:$B,0)),$Y:$Y,0))-K3563,"")</f>
        <v/>
      </c>
      <c r="AC3563" s="168" t="str">
        <f t="shared" si="7"/>
        <v>WAS,2020-21</v>
      </c>
    </row>
    <row r="3564">
      <c r="A3564" s="161" t="str">
        <f>IFERROR(__xludf.DUMMYFUNCTION("""COMPUTED_VALUE"""),"mcgeeja01")</f>
        <v>mcgeeja01</v>
      </c>
      <c r="B3564" s="161" t="str">
        <f>IFERROR(__xludf.DUMMYFUNCTION("""COMPUTED_VALUE"""),"JaVale McGee")</f>
        <v>JaVale McGee</v>
      </c>
      <c r="C3564" s="162" t="str">
        <f>IFERROR(__xludf.DUMMYFUNCTION("""COMPUTED_VALUE"""),"2020-21")</f>
        <v>2020-21</v>
      </c>
      <c r="D3564" s="163" t="str">
        <f>IFERROR(__xludf.DUMMYFUNCTION("""COMPUTED_VALUE"""),"CLE")</f>
        <v>CLE</v>
      </c>
      <c r="E3564" s="164" t="str">
        <f>IFERROR(__xludf.DUMMYFUNCTION("""COMPUTED_VALUE"""),"Post Scorer")</f>
        <v>Post Scorer</v>
      </c>
      <c r="F3564" s="164">
        <f>IFERROR(__xludf.DUMMYFUNCTION("""COMPUTED_VALUE"""),333.095)</f>
        <v>333.095</v>
      </c>
      <c r="G3564" s="163">
        <f>IFERROR(__xludf.DUMMYFUNCTION("""COMPUTED_VALUE"""),22.0)</f>
        <v>22</v>
      </c>
      <c r="H3564" s="163" t="str">
        <f>IFERROR(__xludf.DUMMYFUNCTION("""COMPUTED_VALUE"""),"C")</f>
        <v>C</v>
      </c>
      <c r="I3564" s="163">
        <f>IFERROR(__xludf.DUMMYFUNCTION("""COMPUTED_VALUE"""),33.0)</f>
        <v>33</v>
      </c>
      <c r="J3564" s="165">
        <f>IFERROR(__xludf.DUMMYFUNCTION("""COMPUTED_VALUE"""),-0.225204320715608)</f>
        <v>-0.2252043207</v>
      </c>
      <c r="K3564" s="165">
        <f>IFERROR(__xludf.DUMMYFUNCTION("""COMPUTED_VALUE"""),-1.28900135550898)</f>
        <v>-1.289001356</v>
      </c>
      <c r="L3564" s="165">
        <f>IFERROR(__xludf.DUMMYFUNCTION("""COMPUTED_VALUE"""),1.06379703479337)</f>
        <v>1.063797035</v>
      </c>
      <c r="M3564" s="166">
        <f t="shared" si="2"/>
        <v>0.4629510544</v>
      </c>
      <c r="N3564" s="167">
        <f t="shared" si="3"/>
        <v>15.14068182</v>
      </c>
      <c r="O3564" s="163">
        <f t="shared" ref="O3564:Q3564" si="3568">rank(I3564,I:I)</f>
        <v>246</v>
      </c>
      <c r="P3564" s="163">
        <f t="shared" si="3568"/>
        <v>1531</v>
      </c>
      <c r="Q3564" s="163">
        <f t="shared" si="3568"/>
        <v>3130</v>
      </c>
      <c r="R3564" s="163">
        <f>IFERROR(__xludf.DUMMYFUNCTION("RANK(M3564,filter(M:M,C:C=C3564))"),200.0)</f>
        <v>200</v>
      </c>
      <c r="S3564" s="161" t="b">
        <f t="shared" si="5"/>
        <v>0</v>
      </c>
      <c r="T3564" s="161" t="b">
        <f t="array" ref="T3564">index('Query Tool'!B:B,match(H3564,'Query Tool'!C:C,0))</f>
        <v>1</v>
      </c>
      <c r="U3564" s="161" t="b">
        <f t="array" ref="U3564">index('Query Tool'!B:B,match(C3564,'Query Tool'!C:C,0))</f>
        <v>1</v>
      </c>
      <c r="V3564" s="161" t="b">
        <f>F3564&gt;='Query Tool'!C$32</f>
        <v>0</v>
      </c>
      <c r="W3564" s="161" t="b">
        <f t="array" ref="W3564">index(Dropdowns!B:B,match(I3564,Dropdowns!A:A,0))</f>
        <v>1</v>
      </c>
      <c r="X3564" s="161" t="b">
        <f t="array" ref="X3564">index('Query Tool'!B:B,match(D3564,'Query Tool'!C:C,0))</f>
        <v>1</v>
      </c>
      <c r="Y3564" s="161" t="str">
        <f t="shared" si="6"/>
        <v>mcgeeja01,2020-21</v>
      </c>
      <c r="Z3564" s="168" t="str">
        <f t="array" ref="Z3564">iferror(index(I:I,match($A3564&amp;","&amp;index('Year Conversion'!$A:$A,match($C3564,'Year Conversion'!$B:$B,0)),$Y:$Y,0))-I3564,"")</f>
        <v/>
      </c>
      <c r="AA3564" s="168" t="str">
        <f t="array" ref="AA3564">iferror(index(J:J,match($A3564&amp;","&amp;index('Year Conversion'!$A:$A,match($C3564,'Year Conversion'!$B:$B,0)),$Y:$Y,0))-J3564,"")</f>
        <v/>
      </c>
      <c r="AB3564" s="168" t="str">
        <f t="array" ref="AB3564">iferror(index(K:K,match($A3564&amp;","&amp;index('Year Conversion'!$A:$A,match($C3564,'Year Conversion'!$B:$B,0)),$Y:$Y,0))-K3564,"")</f>
        <v/>
      </c>
      <c r="AC3564" s="168" t="str">
        <f t="shared" si="7"/>
        <v>CLE,2020-21</v>
      </c>
    </row>
    <row r="3565">
      <c r="A3565" s="161" t="str">
        <f>IFERROR(__xludf.DUMMYFUNCTION("""COMPUTED_VALUE"""),"ibakase01")</f>
        <v>ibakase01</v>
      </c>
      <c r="B3565" s="161" t="str">
        <f>IFERROR(__xludf.DUMMYFUNCTION("""COMPUTED_VALUE"""),"Serge Ibaka")</f>
        <v>Serge Ibaka</v>
      </c>
      <c r="C3565" s="162" t="str">
        <f>IFERROR(__xludf.DUMMYFUNCTION("""COMPUTED_VALUE"""),"2020-21")</f>
        <v>2020-21</v>
      </c>
      <c r="D3565" s="163" t="str">
        <f>IFERROR(__xludf.DUMMYFUNCTION("""COMPUTED_VALUE"""),"LAC")</f>
        <v>LAC</v>
      </c>
      <c r="E3565" s="164" t="str">
        <f>IFERROR(__xludf.DUMMYFUNCTION("""COMPUTED_VALUE"""),"Stretch Big")</f>
        <v>Stretch Big</v>
      </c>
      <c r="F3565" s="164">
        <f>IFERROR(__xludf.DUMMYFUNCTION("""COMPUTED_VALUE"""),744.731666666667)</f>
        <v>744.7316667</v>
      </c>
      <c r="G3565" s="163">
        <f>IFERROR(__xludf.DUMMYFUNCTION("""COMPUTED_VALUE"""),31.0)</f>
        <v>31</v>
      </c>
      <c r="H3565" s="163" t="str">
        <f>IFERROR(__xludf.DUMMYFUNCTION("""COMPUTED_VALUE"""),"C")</f>
        <v>C</v>
      </c>
      <c r="I3565" s="163">
        <f>IFERROR(__xludf.DUMMYFUNCTION("""COMPUTED_VALUE"""),31.0)</f>
        <v>31</v>
      </c>
      <c r="J3565" s="165">
        <f>IFERROR(__xludf.DUMMYFUNCTION("""COMPUTED_VALUE"""),1.53245352646463)</f>
        <v>1.532453526</v>
      </c>
      <c r="K3565" s="165">
        <f>IFERROR(__xludf.DUMMYFUNCTION("""COMPUTED_VALUE"""),0.398687951813419)</f>
        <v>0.3986879518</v>
      </c>
      <c r="L3565" s="165">
        <f>IFERROR(__xludf.DUMMYFUNCTION("""COMPUTED_VALUE"""),1.13376557465121)</f>
        <v>1.133765575</v>
      </c>
      <c r="M3565" s="166">
        <f t="shared" si="2"/>
        <v>1.915057952</v>
      </c>
      <c r="N3565" s="167">
        <f t="shared" si="3"/>
        <v>24.02360215</v>
      </c>
      <c r="O3565" s="163">
        <f t="shared" ref="O3565:Q3565" si="3569">rank(I3565,I:I)</f>
        <v>490</v>
      </c>
      <c r="P3565" s="163">
        <f t="shared" si="3569"/>
        <v>448</v>
      </c>
      <c r="Q3565" s="163">
        <f t="shared" si="3569"/>
        <v>833</v>
      </c>
      <c r="R3565" s="163">
        <f>IFERROR(__xludf.DUMMYFUNCTION("RANK(M3565,filter(M:M,C:C=C3565))"),51.0)</f>
        <v>51</v>
      </c>
      <c r="S3565" s="161" t="b">
        <f t="shared" si="5"/>
        <v>1</v>
      </c>
      <c r="T3565" s="161" t="b">
        <f t="array" ref="T3565">index('Query Tool'!B:B,match(H3565,'Query Tool'!C:C,0))</f>
        <v>1</v>
      </c>
      <c r="U3565" s="161" t="b">
        <f t="array" ref="U3565">index('Query Tool'!B:B,match(C3565,'Query Tool'!C:C,0))</f>
        <v>1</v>
      </c>
      <c r="V3565" s="161" t="b">
        <f>F3565&gt;='Query Tool'!C$32</f>
        <v>1</v>
      </c>
      <c r="W3565" s="161" t="b">
        <f t="array" ref="W3565">index(Dropdowns!B:B,match(I3565,Dropdowns!A:A,0))</f>
        <v>1</v>
      </c>
      <c r="X3565" s="161" t="b">
        <f t="array" ref="X3565">index('Query Tool'!B:B,match(D3565,'Query Tool'!C:C,0))</f>
        <v>1</v>
      </c>
      <c r="Y3565" s="161" t="str">
        <f t="shared" si="6"/>
        <v>ibakase01,2020-21</v>
      </c>
      <c r="Z3565" s="168" t="str">
        <f t="array" ref="Z3565">iferror(index(I:I,match($A3565&amp;","&amp;index('Year Conversion'!$A:$A,match($C3565,'Year Conversion'!$B:$B,0)),$Y:$Y,0))-I3565,"")</f>
        <v/>
      </c>
      <c r="AA3565" s="168" t="str">
        <f t="array" ref="AA3565">iferror(index(J:J,match($A3565&amp;","&amp;index('Year Conversion'!$A:$A,match($C3565,'Year Conversion'!$B:$B,0)),$Y:$Y,0))-J3565,"")</f>
        <v/>
      </c>
      <c r="AB3565" s="168" t="str">
        <f t="array" ref="AB3565">iferror(index(K:K,match($A3565&amp;","&amp;index('Year Conversion'!$A:$A,match($C3565,'Year Conversion'!$B:$B,0)),$Y:$Y,0))-K3565,"")</f>
        <v/>
      </c>
      <c r="AC3565" s="168" t="str">
        <f t="shared" si="7"/>
        <v>LAC,2020-21</v>
      </c>
    </row>
    <row r="3566">
      <c r="A3566" s="161" t="str">
        <f>IFERROR(__xludf.DUMMYFUNCTION("""COMPUTED_VALUE"""),"batumni01")</f>
        <v>batumni01</v>
      </c>
      <c r="B3566" s="161" t="str">
        <f>IFERROR(__xludf.DUMMYFUNCTION("""COMPUTED_VALUE"""),"Nicolas Batum")</f>
        <v>Nicolas Batum</v>
      </c>
      <c r="C3566" s="162" t="str">
        <f>IFERROR(__xludf.DUMMYFUNCTION("""COMPUTED_VALUE"""),"2020-21")</f>
        <v>2020-21</v>
      </c>
      <c r="D3566" s="163" t="str">
        <f>IFERROR(__xludf.DUMMYFUNCTION("""COMPUTED_VALUE"""),"LAC")</f>
        <v>LAC</v>
      </c>
      <c r="E3566" s="164" t="str">
        <f>IFERROR(__xludf.DUMMYFUNCTION("""COMPUTED_VALUE"""),"Athletic Finisher")</f>
        <v>Athletic Finisher</v>
      </c>
      <c r="F3566" s="164">
        <f>IFERROR(__xludf.DUMMYFUNCTION("""COMPUTED_VALUE"""),867.008333333333)</f>
        <v>867.0083333</v>
      </c>
      <c r="G3566" s="163">
        <f>IFERROR(__xludf.DUMMYFUNCTION("""COMPUTED_VALUE"""),29.0)</f>
        <v>29</v>
      </c>
      <c r="H3566" s="163" t="str">
        <f>IFERROR(__xludf.DUMMYFUNCTION("""COMPUTED_VALUE"""),"SF")</f>
        <v>SF</v>
      </c>
      <c r="I3566" s="163">
        <f>IFERROR(__xludf.DUMMYFUNCTION("""COMPUTED_VALUE"""),32.0)</f>
        <v>32</v>
      </c>
      <c r="J3566" s="165">
        <f>IFERROR(__xludf.DUMMYFUNCTION("""COMPUTED_VALUE"""),1.30349057475862)</f>
        <v>1.303490575</v>
      </c>
      <c r="K3566" s="165">
        <f>IFERROR(__xludf.DUMMYFUNCTION("""COMPUTED_VALUE"""),-0.0676914806843221)</f>
        <v>-0.06769148068</v>
      </c>
      <c r="L3566" s="165">
        <f>IFERROR(__xludf.DUMMYFUNCTION("""COMPUTED_VALUE"""),1.37118205544295)</f>
        <v>1.371182055</v>
      </c>
      <c r="M3566" s="166">
        <f t="shared" si="2"/>
        <v>2.096771494</v>
      </c>
      <c r="N3566" s="167">
        <f t="shared" si="3"/>
        <v>29.89683908</v>
      </c>
      <c r="O3566" s="163">
        <f t="shared" ref="O3566:Q3566" si="3570">rank(I3566,I:I)</f>
        <v>359</v>
      </c>
      <c r="P3566" s="163">
        <f t="shared" si="3570"/>
        <v>522</v>
      </c>
      <c r="Q3566" s="163">
        <f t="shared" si="3570"/>
        <v>1301</v>
      </c>
      <c r="R3566" s="163">
        <f>IFERROR(__xludf.DUMMYFUNCTION("RANK(M3566,filter(M:M,C:C=C3566))"),44.0)</f>
        <v>44</v>
      </c>
      <c r="S3566" s="161" t="b">
        <f t="shared" si="5"/>
        <v>1</v>
      </c>
      <c r="T3566" s="161" t="b">
        <f t="array" ref="T3566">index('Query Tool'!B:B,match(H3566,'Query Tool'!C:C,0))</f>
        <v>1</v>
      </c>
      <c r="U3566" s="161" t="b">
        <f t="array" ref="U3566">index('Query Tool'!B:B,match(C3566,'Query Tool'!C:C,0))</f>
        <v>1</v>
      </c>
      <c r="V3566" s="161" t="b">
        <f>F3566&gt;='Query Tool'!C$32</f>
        <v>1</v>
      </c>
      <c r="W3566" s="161" t="b">
        <f t="array" ref="W3566">index(Dropdowns!B:B,match(I3566,Dropdowns!A:A,0))</f>
        <v>1</v>
      </c>
      <c r="X3566" s="161" t="b">
        <f t="array" ref="X3566">index('Query Tool'!B:B,match(D3566,'Query Tool'!C:C,0))</f>
        <v>1</v>
      </c>
      <c r="Y3566" s="161" t="str">
        <f t="shared" si="6"/>
        <v>batumni01,2020-21</v>
      </c>
      <c r="Z3566" s="168" t="str">
        <f t="array" ref="Z3566">iferror(index(I:I,match($A3566&amp;","&amp;index('Year Conversion'!$A:$A,match($C3566,'Year Conversion'!$B:$B,0)),$Y:$Y,0))-I3566,"")</f>
        <v/>
      </c>
      <c r="AA3566" s="168" t="str">
        <f t="array" ref="AA3566">iferror(index(J:J,match($A3566&amp;","&amp;index('Year Conversion'!$A:$A,match($C3566,'Year Conversion'!$B:$B,0)),$Y:$Y,0))-J3566,"")</f>
        <v/>
      </c>
      <c r="AB3566" s="168" t="str">
        <f t="array" ref="AB3566">iferror(index(K:K,match($A3566&amp;","&amp;index('Year Conversion'!$A:$A,match($C3566,'Year Conversion'!$B:$B,0)),$Y:$Y,0))-K3566,"")</f>
        <v/>
      </c>
      <c r="AC3566" s="168" t="str">
        <f t="shared" si="7"/>
        <v>LAC,2020-21</v>
      </c>
    </row>
    <row r="3567">
      <c r="A3567" s="161" t="str">
        <f>IFERROR(__xludf.DUMMYFUNCTION("""COMPUTED_VALUE"""),"hillge01")</f>
        <v>hillge01</v>
      </c>
      <c r="B3567" s="161" t="str">
        <f>IFERROR(__xludf.DUMMYFUNCTION("""COMPUTED_VALUE"""),"George Hill")</f>
        <v>George Hill</v>
      </c>
      <c r="C3567" s="162" t="str">
        <f>IFERROR(__xludf.DUMMYFUNCTION("""COMPUTED_VALUE"""),"2020-21")</f>
        <v>2020-21</v>
      </c>
      <c r="D3567" s="163" t="str">
        <f>IFERROR(__xludf.DUMMYFUNCTION("""COMPUTED_VALUE"""),"OKC")</f>
        <v>OKC</v>
      </c>
      <c r="E3567" s="164" t="str">
        <f>IFERROR(__xludf.DUMMYFUNCTION("""COMPUTED_VALUE"""),"Secondary Ball Handler")</f>
        <v>Secondary Ball Handler</v>
      </c>
      <c r="F3567" s="164">
        <f>IFERROR(__xludf.DUMMYFUNCTION("""COMPUTED_VALUE"""),368.56)</f>
        <v>368.56</v>
      </c>
      <c r="G3567" s="163">
        <f>IFERROR(__xludf.DUMMYFUNCTION("""COMPUTED_VALUE"""),14.0)</f>
        <v>14</v>
      </c>
      <c r="H3567" s="163" t="str">
        <f>IFERROR(__xludf.DUMMYFUNCTION("""COMPUTED_VALUE"""),"PG")</f>
        <v>PG</v>
      </c>
      <c r="I3567" s="163">
        <f>IFERROR(__xludf.DUMMYFUNCTION("""COMPUTED_VALUE"""),34.0)</f>
        <v>34</v>
      </c>
      <c r="J3567" s="165">
        <f>IFERROR(__xludf.DUMMYFUNCTION("""COMPUTED_VALUE"""),0.258654474282831)</f>
        <v>0.2586544743</v>
      </c>
      <c r="K3567" s="165">
        <f>IFERROR(__xludf.DUMMYFUNCTION("""COMPUTED_VALUE"""),1.12642736204897)</f>
        <v>1.126427362</v>
      </c>
      <c r="L3567" s="165">
        <f>IFERROR(__xludf.DUMMYFUNCTION("""COMPUTED_VALUE"""),-0.867772887766142)</f>
        <v>-0.8677728878</v>
      </c>
      <c r="M3567" s="166">
        <f t="shared" si="2"/>
        <v>0.6324610022</v>
      </c>
      <c r="N3567" s="167">
        <f t="shared" si="3"/>
        <v>26.32571429</v>
      </c>
      <c r="O3567" s="163">
        <f t="shared" ref="O3567:Q3567" si="3571">rank(I3567,I:I)</f>
        <v>164</v>
      </c>
      <c r="P3567" s="163">
        <f t="shared" si="3571"/>
        <v>1047</v>
      </c>
      <c r="Q3567" s="163">
        <f t="shared" si="3571"/>
        <v>443</v>
      </c>
      <c r="R3567" s="163">
        <f>IFERROR(__xludf.DUMMYFUNCTION("RANK(M3567,filter(M:M,C:C=C3567))"),165.0)</f>
        <v>165</v>
      </c>
      <c r="S3567" s="161" t="b">
        <f t="shared" si="5"/>
        <v>0</v>
      </c>
      <c r="T3567" s="161" t="b">
        <f t="array" ref="T3567">index('Query Tool'!B:B,match(H3567,'Query Tool'!C:C,0))</f>
        <v>1</v>
      </c>
      <c r="U3567" s="161" t="b">
        <f t="array" ref="U3567">index('Query Tool'!B:B,match(C3567,'Query Tool'!C:C,0))</f>
        <v>1</v>
      </c>
      <c r="V3567" s="161" t="b">
        <f>F3567&gt;='Query Tool'!C$32</f>
        <v>0</v>
      </c>
      <c r="W3567" s="161" t="b">
        <f t="array" ref="W3567">index(Dropdowns!B:B,match(I3567,Dropdowns!A:A,0))</f>
        <v>1</v>
      </c>
      <c r="X3567" s="161" t="b">
        <f t="array" ref="X3567">index('Query Tool'!B:B,match(D3567,'Query Tool'!C:C,0))</f>
        <v>1</v>
      </c>
      <c r="Y3567" s="161" t="str">
        <f t="shared" si="6"/>
        <v>hillge01,2020-21</v>
      </c>
      <c r="Z3567" s="168" t="str">
        <f t="array" ref="Z3567">iferror(index(I:I,match($A3567&amp;","&amp;index('Year Conversion'!$A:$A,match($C3567,'Year Conversion'!$B:$B,0)),$Y:$Y,0))-I3567,"")</f>
        <v/>
      </c>
      <c r="AA3567" s="168" t="str">
        <f t="array" ref="AA3567">iferror(index(J:J,match($A3567&amp;","&amp;index('Year Conversion'!$A:$A,match($C3567,'Year Conversion'!$B:$B,0)),$Y:$Y,0))-J3567,"")</f>
        <v/>
      </c>
      <c r="AB3567" s="168" t="str">
        <f t="array" ref="AB3567">iferror(index(K:K,match($A3567&amp;","&amp;index('Year Conversion'!$A:$A,match($C3567,'Year Conversion'!$B:$B,0)),$Y:$Y,0))-K3567,"")</f>
        <v/>
      </c>
      <c r="AC3567" s="168" t="str">
        <f t="shared" si="7"/>
        <v>OKC,2020-21</v>
      </c>
    </row>
    <row r="3568">
      <c r="A3568" s="161" t="str">
        <f>IFERROR(__xludf.DUMMYFUNCTION("""COMPUTED_VALUE"""),"jordade01")</f>
        <v>jordade01</v>
      </c>
      <c r="B3568" s="161" t="str">
        <f>IFERROR(__xludf.DUMMYFUNCTION("""COMPUTED_VALUE"""),"DeAndre Jordan")</f>
        <v>DeAndre Jordan</v>
      </c>
      <c r="C3568" s="162" t="str">
        <f>IFERROR(__xludf.DUMMYFUNCTION("""COMPUTED_VALUE"""),"2020-21")</f>
        <v>2020-21</v>
      </c>
      <c r="D3568" s="163" t="str">
        <f>IFERROR(__xludf.DUMMYFUNCTION("""COMPUTED_VALUE"""),"BRK")</f>
        <v>BRK</v>
      </c>
      <c r="E3568" s="164" t="str">
        <f>IFERROR(__xludf.DUMMYFUNCTION("""COMPUTED_VALUE"""),"Roll + Cut Big")</f>
        <v>Roll + Cut Big</v>
      </c>
      <c r="F3568" s="164">
        <f>IFERROR(__xludf.DUMMYFUNCTION("""COMPUTED_VALUE"""),661.238333333333)</f>
        <v>661.2383333</v>
      </c>
      <c r="G3568" s="163">
        <f>IFERROR(__xludf.DUMMYFUNCTION("""COMPUTED_VALUE"""),30.0)</f>
        <v>30</v>
      </c>
      <c r="H3568" s="163" t="str">
        <f>IFERROR(__xludf.DUMMYFUNCTION("""COMPUTED_VALUE"""),"C")</f>
        <v>C</v>
      </c>
      <c r="I3568" s="163">
        <f>IFERROR(__xludf.DUMMYFUNCTION("""COMPUTED_VALUE"""),32.0)</f>
        <v>32</v>
      </c>
      <c r="J3568" s="165">
        <f>IFERROR(__xludf.DUMMYFUNCTION("""COMPUTED_VALUE"""),0.531761445085516)</f>
        <v>0.5317614451</v>
      </c>
      <c r="K3568" s="165">
        <f>IFERROR(__xludf.DUMMYFUNCTION("""COMPUTED_VALUE"""),-1.14440232041805)</f>
        <v>-1.14440232</v>
      </c>
      <c r="L3568" s="165">
        <f>IFERROR(__xludf.DUMMYFUNCTION("""COMPUTED_VALUE"""),1.67616376550356)</f>
        <v>1.676163766</v>
      </c>
      <c r="M3568" s="166">
        <f t="shared" si="2"/>
        <v>1.256375352</v>
      </c>
      <c r="N3568" s="167">
        <f t="shared" si="3"/>
        <v>22.04127778</v>
      </c>
      <c r="O3568" s="163">
        <f t="shared" ref="O3568:Q3568" si="3572">rank(I3568,I:I)</f>
        <v>359</v>
      </c>
      <c r="P3568" s="163">
        <f t="shared" si="3572"/>
        <v>880</v>
      </c>
      <c r="Q3568" s="163">
        <f t="shared" si="3572"/>
        <v>2980</v>
      </c>
      <c r="R3568" s="163">
        <f>IFERROR(__xludf.DUMMYFUNCTION("RANK(M3568,filter(M:M,C:C=C3568))"),100.0)</f>
        <v>100</v>
      </c>
      <c r="S3568" s="161" t="b">
        <f t="shared" si="5"/>
        <v>1</v>
      </c>
      <c r="T3568" s="161" t="b">
        <f t="array" ref="T3568">index('Query Tool'!B:B,match(H3568,'Query Tool'!C:C,0))</f>
        <v>1</v>
      </c>
      <c r="U3568" s="161" t="b">
        <f t="array" ref="U3568">index('Query Tool'!B:B,match(C3568,'Query Tool'!C:C,0))</f>
        <v>1</v>
      </c>
      <c r="V3568" s="161" t="b">
        <f>F3568&gt;='Query Tool'!C$32</f>
        <v>1</v>
      </c>
      <c r="W3568" s="161" t="b">
        <f t="array" ref="W3568">index(Dropdowns!B:B,match(I3568,Dropdowns!A:A,0))</f>
        <v>1</v>
      </c>
      <c r="X3568" s="161" t="b">
        <f t="array" ref="X3568">index('Query Tool'!B:B,match(D3568,'Query Tool'!C:C,0))</f>
        <v>1</v>
      </c>
      <c r="Y3568" s="161" t="str">
        <f t="shared" si="6"/>
        <v>jordade01,2020-21</v>
      </c>
      <c r="Z3568" s="168" t="str">
        <f t="array" ref="Z3568">iferror(index(I:I,match($A3568&amp;","&amp;index('Year Conversion'!$A:$A,match($C3568,'Year Conversion'!$B:$B,0)),$Y:$Y,0))-I3568,"")</f>
        <v/>
      </c>
      <c r="AA3568" s="168" t="str">
        <f t="array" ref="AA3568">iferror(index(J:J,match($A3568&amp;","&amp;index('Year Conversion'!$A:$A,match($C3568,'Year Conversion'!$B:$B,0)),$Y:$Y,0))-J3568,"")</f>
        <v/>
      </c>
      <c r="AB3568" s="168" t="str">
        <f t="array" ref="AB3568">iferror(index(K:K,match($A3568&amp;","&amp;index('Year Conversion'!$A:$A,match($C3568,'Year Conversion'!$B:$B,0)),$Y:$Y,0))-K3568,"")</f>
        <v/>
      </c>
      <c r="AC3568" s="168" t="str">
        <f t="shared" si="7"/>
        <v>BRK,2020-21</v>
      </c>
    </row>
    <row r="3569">
      <c r="A3569" s="161" t="str">
        <f>IFERROR(__xludf.DUMMYFUNCTION("""COMPUTED_VALUE"""),"dragigo01")</f>
        <v>dragigo01</v>
      </c>
      <c r="B3569" s="161" t="str">
        <f>IFERROR(__xludf.DUMMYFUNCTION("""COMPUTED_VALUE"""),"Goran Dragic")</f>
        <v>Goran Dragic</v>
      </c>
      <c r="C3569" s="162" t="str">
        <f>IFERROR(__xludf.DUMMYFUNCTION("""COMPUTED_VALUE"""),"2020-21")</f>
        <v>2020-21</v>
      </c>
      <c r="D3569" s="163" t="str">
        <f>IFERROR(__xludf.DUMMYFUNCTION("""COMPUTED_VALUE"""),"MIA")</f>
        <v>MIA</v>
      </c>
      <c r="E3569" s="164" t="str">
        <f>IFERROR(__xludf.DUMMYFUNCTION("""COMPUTED_VALUE"""),"Primary Ball Handler")</f>
        <v>Primary Ball Handler</v>
      </c>
      <c r="F3569" s="164">
        <f>IFERROR(__xludf.DUMMYFUNCTION("""COMPUTED_VALUE"""),451.006666666667)</f>
        <v>451.0066667</v>
      </c>
      <c r="G3569" s="163">
        <f>IFERROR(__xludf.DUMMYFUNCTION("""COMPUTED_VALUE"""),17.0)</f>
        <v>17</v>
      </c>
      <c r="H3569" s="163" t="str">
        <f>IFERROR(__xludf.DUMMYFUNCTION("""COMPUTED_VALUE"""),"PG")</f>
        <v>PG</v>
      </c>
      <c r="I3569" s="163">
        <f>IFERROR(__xludf.DUMMYFUNCTION("""COMPUTED_VALUE"""),34.0)</f>
        <v>34</v>
      </c>
      <c r="J3569" s="165">
        <f>IFERROR(__xludf.DUMMYFUNCTION("""COMPUTED_VALUE"""),-0.805304219411689)</f>
        <v>-0.8053042194</v>
      </c>
      <c r="K3569" s="165">
        <f>IFERROR(__xludf.DUMMYFUNCTION("""COMPUTED_VALUE"""),0.747091699662798)</f>
        <v>0.7470916997</v>
      </c>
      <c r="L3569" s="165">
        <f>IFERROR(__xludf.DUMMYFUNCTION("""COMPUTED_VALUE"""),-1.55239591907449)</f>
        <v>-1.552395919</v>
      </c>
      <c r="M3569" s="166">
        <f t="shared" si="2"/>
        <v>0.4506582019</v>
      </c>
      <c r="N3569" s="167">
        <f t="shared" si="3"/>
        <v>26.52980392</v>
      </c>
      <c r="O3569" s="163">
        <f t="shared" ref="O3569:Q3569" si="3573">rank(I3569,I:I)</f>
        <v>164</v>
      </c>
      <c r="P3569" s="163">
        <f t="shared" si="3573"/>
        <v>2285</v>
      </c>
      <c r="Q3569" s="163">
        <f t="shared" si="3573"/>
        <v>624</v>
      </c>
      <c r="R3569" s="163">
        <f>IFERROR(__xludf.DUMMYFUNCTION("RANK(M3569,filter(M:M,C:C=C3569))"),202.0)</f>
        <v>202</v>
      </c>
      <c r="S3569" s="161" t="b">
        <f t="shared" si="5"/>
        <v>0</v>
      </c>
      <c r="T3569" s="161" t="b">
        <f t="array" ref="T3569">index('Query Tool'!B:B,match(H3569,'Query Tool'!C:C,0))</f>
        <v>1</v>
      </c>
      <c r="U3569" s="161" t="b">
        <f t="array" ref="U3569">index('Query Tool'!B:B,match(C3569,'Query Tool'!C:C,0))</f>
        <v>1</v>
      </c>
      <c r="V3569" s="161" t="b">
        <f>F3569&gt;='Query Tool'!C$32</f>
        <v>0</v>
      </c>
      <c r="W3569" s="161" t="b">
        <f t="array" ref="W3569">index(Dropdowns!B:B,match(I3569,Dropdowns!A:A,0))</f>
        <v>1</v>
      </c>
      <c r="X3569" s="161" t="b">
        <f t="array" ref="X3569">index('Query Tool'!B:B,match(D3569,'Query Tool'!C:C,0))</f>
        <v>1</v>
      </c>
      <c r="Y3569" s="161" t="str">
        <f t="shared" si="6"/>
        <v>dragigo01,2020-21</v>
      </c>
      <c r="Z3569" s="168" t="str">
        <f t="array" ref="Z3569">iferror(index(I:I,match($A3569&amp;","&amp;index('Year Conversion'!$A:$A,match($C3569,'Year Conversion'!$B:$B,0)),$Y:$Y,0))-I3569,"")</f>
        <v/>
      </c>
      <c r="AA3569" s="168" t="str">
        <f t="array" ref="AA3569">iferror(index(J:J,match($A3569&amp;","&amp;index('Year Conversion'!$A:$A,match($C3569,'Year Conversion'!$B:$B,0)),$Y:$Y,0))-J3569,"")</f>
        <v/>
      </c>
      <c r="AB3569" s="168" t="str">
        <f t="array" ref="AB3569">iferror(index(K:K,match($A3569&amp;","&amp;index('Year Conversion'!$A:$A,match($C3569,'Year Conversion'!$B:$B,0)),$Y:$Y,0))-K3569,"")</f>
        <v/>
      </c>
      <c r="AC3569" s="168" t="str">
        <f t="shared" si="7"/>
        <v>MIA,2020-21</v>
      </c>
    </row>
    <row r="3570">
      <c r="A3570" s="161" t="str">
        <f>IFERROR(__xludf.DUMMYFUNCTION("""COMPUTED_VALUE"""),"griffbl01")</f>
        <v>griffbl01</v>
      </c>
      <c r="B3570" s="161" t="str">
        <f>IFERROR(__xludf.DUMMYFUNCTION("""COMPUTED_VALUE"""),"Blake Griffin")</f>
        <v>Blake Griffin</v>
      </c>
      <c r="C3570" s="162" t="str">
        <f>IFERROR(__xludf.DUMMYFUNCTION("""COMPUTED_VALUE"""),"2020-21")</f>
        <v>2020-21</v>
      </c>
      <c r="D3570" s="163" t="str">
        <f>IFERROR(__xludf.DUMMYFUNCTION("""COMPUTED_VALUE"""),"DET")</f>
        <v>DET</v>
      </c>
      <c r="E3570" s="164" t="str">
        <f>IFERROR(__xludf.DUMMYFUNCTION("""COMPUTED_VALUE"""),"Versatile Big")</f>
        <v>Versatile Big</v>
      </c>
      <c r="F3570" s="164">
        <f>IFERROR(__xludf.DUMMYFUNCTION("""COMPUTED_VALUE"""),626.366666666666)</f>
        <v>626.3666667</v>
      </c>
      <c r="G3570" s="163">
        <f>IFERROR(__xludf.DUMMYFUNCTION("""COMPUTED_VALUE"""),20.0)</f>
        <v>20</v>
      </c>
      <c r="H3570" s="163" t="str">
        <f>IFERROR(__xludf.DUMMYFUNCTION("""COMPUTED_VALUE"""),"PF")</f>
        <v>PF</v>
      </c>
      <c r="I3570" s="163">
        <f>IFERROR(__xludf.DUMMYFUNCTION("""COMPUTED_VALUE"""),31.0)</f>
        <v>31</v>
      </c>
      <c r="J3570" s="165">
        <f>IFERROR(__xludf.DUMMYFUNCTION("""COMPUTED_VALUE"""),-0.45795596513409)</f>
        <v>-0.4579559651</v>
      </c>
      <c r="K3570" s="165">
        <f>IFERROR(__xludf.DUMMYFUNCTION("""COMPUTED_VALUE"""),-0.404414762746688)</f>
        <v>-0.4044147627</v>
      </c>
      <c r="L3570" s="165">
        <f>IFERROR(__xludf.DUMMYFUNCTION("""COMPUTED_VALUE"""),-0.0535412023874025)</f>
        <v>-0.05354120239</v>
      </c>
      <c r="M3570" s="166">
        <f t="shared" si="2"/>
        <v>0.7723146976</v>
      </c>
      <c r="N3570" s="167">
        <f t="shared" si="3"/>
        <v>31.31833333</v>
      </c>
      <c r="O3570" s="163">
        <f t="shared" ref="O3570:Q3570" si="3574">rank(I3570,I:I)</f>
        <v>490</v>
      </c>
      <c r="P3570" s="163">
        <f t="shared" si="3574"/>
        <v>1788</v>
      </c>
      <c r="Q3570" s="163">
        <f t="shared" si="3574"/>
        <v>1950</v>
      </c>
      <c r="R3570" s="163">
        <f>IFERROR(__xludf.DUMMYFUNCTION("RANK(M3570,filter(M:M,C:C=C3570))"),146.0)</f>
        <v>146</v>
      </c>
      <c r="S3570" s="161" t="b">
        <f t="shared" si="5"/>
        <v>1</v>
      </c>
      <c r="T3570" s="161" t="b">
        <f t="array" ref="T3570">index('Query Tool'!B:B,match(H3570,'Query Tool'!C:C,0))</f>
        <v>1</v>
      </c>
      <c r="U3570" s="161" t="b">
        <f t="array" ref="U3570">index('Query Tool'!B:B,match(C3570,'Query Tool'!C:C,0))</f>
        <v>1</v>
      </c>
      <c r="V3570" s="161" t="b">
        <f>F3570&gt;='Query Tool'!C$32</f>
        <v>1</v>
      </c>
      <c r="W3570" s="161" t="b">
        <f t="array" ref="W3570">index(Dropdowns!B:B,match(I3570,Dropdowns!A:A,0))</f>
        <v>1</v>
      </c>
      <c r="X3570" s="161" t="b">
        <f t="array" ref="X3570">index('Query Tool'!B:B,match(D3570,'Query Tool'!C:C,0))</f>
        <v>1</v>
      </c>
      <c r="Y3570" s="161" t="str">
        <f t="shared" si="6"/>
        <v>griffbl01,2020-21</v>
      </c>
      <c r="Z3570" s="168" t="str">
        <f t="array" ref="Z3570">iferror(index(I:I,match($A3570&amp;","&amp;index('Year Conversion'!$A:$A,match($C3570,'Year Conversion'!$B:$B,0)),$Y:$Y,0))-I3570,"")</f>
        <v/>
      </c>
      <c r="AA3570" s="168" t="str">
        <f t="array" ref="AA3570">iferror(index(J:J,match($A3570&amp;","&amp;index('Year Conversion'!$A:$A,match($C3570,'Year Conversion'!$B:$B,0)),$Y:$Y,0))-J3570,"")</f>
        <v/>
      </c>
      <c r="AB3570" s="168" t="str">
        <f t="array" ref="AB3570">iferror(index(K:K,match($A3570&amp;","&amp;index('Year Conversion'!$A:$A,match($C3570,'Year Conversion'!$B:$B,0)),$Y:$Y,0))-K3570,"")</f>
        <v/>
      </c>
      <c r="AC3570" s="168" t="str">
        <f t="shared" si="7"/>
        <v>DET,2020-21</v>
      </c>
    </row>
    <row r="3571">
      <c r="A3571" s="161" t="str">
        <f>IFERROR(__xludf.DUMMYFUNCTION("""COMPUTED_VALUE"""),"hardeja01")</f>
        <v>hardeja01</v>
      </c>
      <c r="B3571" s="161" t="str">
        <f>IFERROR(__xludf.DUMMYFUNCTION("""COMPUTED_VALUE"""),"James Harden")</f>
        <v>James Harden</v>
      </c>
      <c r="C3571" s="162" t="str">
        <f>IFERROR(__xludf.DUMMYFUNCTION("""COMPUTED_VALUE"""),"2020-21")</f>
        <v>2020-21</v>
      </c>
      <c r="D3571" s="163" t="str">
        <f>IFERROR(__xludf.DUMMYFUNCTION("""COMPUTED_VALUE"""),"TOT")</f>
        <v>TOT</v>
      </c>
      <c r="E3571" s="164" t="str">
        <f>IFERROR(__xludf.DUMMYFUNCTION("""COMPUTED_VALUE"""),"Shot Creator")</f>
        <v>Shot Creator</v>
      </c>
      <c r="F3571" s="164">
        <f>IFERROR(__xludf.DUMMYFUNCTION("""COMPUTED_VALUE"""),981.671666666667)</f>
        <v>981.6716667</v>
      </c>
      <c r="G3571" s="163">
        <f>IFERROR(__xludf.DUMMYFUNCTION("""COMPUTED_VALUE"""),26.0)</f>
        <v>26</v>
      </c>
      <c r="H3571" s="163" t="str">
        <f>IFERROR(__xludf.DUMMYFUNCTION("""COMPUTED_VALUE"""),"SG")</f>
        <v>SG</v>
      </c>
      <c r="I3571" s="163">
        <f>IFERROR(__xludf.DUMMYFUNCTION("""COMPUTED_VALUE"""),31.0)</f>
        <v>31</v>
      </c>
      <c r="J3571" s="165">
        <f>IFERROR(__xludf.DUMMYFUNCTION("""COMPUTED_VALUE"""),3.76973062882133)</f>
        <v>3.769730629</v>
      </c>
      <c r="K3571" s="165">
        <f>IFERROR(__xludf.DUMMYFUNCTION("""COMPUTED_VALUE"""),4.47508722729033)</f>
        <v>4.475087227</v>
      </c>
      <c r="L3571" s="165">
        <f>IFERROR(__xludf.DUMMYFUNCTION("""COMPUTED_VALUE"""),-0.705356598468994)</f>
        <v>-0.7053565985</v>
      </c>
      <c r="M3571" s="166">
        <f t="shared" si="2"/>
        <v>3.9602259</v>
      </c>
      <c r="N3571" s="167">
        <f t="shared" si="3"/>
        <v>37.75660256</v>
      </c>
      <c r="O3571" s="163">
        <f t="shared" ref="O3571:Q3571" si="3575">rank(I3571,I:I)</f>
        <v>490</v>
      </c>
      <c r="P3571" s="163">
        <f t="shared" si="3575"/>
        <v>111</v>
      </c>
      <c r="Q3571" s="163">
        <f t="shared" si="3575"/>
        <v>42</v>
      </c>
      <c r="R3571" s="163">
        <f>IFERROR(__xludf.DUMMYFUNCTION("RANK(M3571,filter(M:M,C:C=C3571))"),10.0)</f>
        <v>10</v>
      </c>
      <c r="S3571" s="161" t="b">
        <f t="shared" si="5"/>
        <v>1</v>
      </c>
      <c r="T3571" s="161" t="b">
        <f t="array" ref="T3571">index('Query Tool'!B:B,match(H3571,'Query Tool'!C:C,0))</f>
        <v>1</v>
      </c>
      <c r="U3571" s="161" t="b">
        <f t="array" ref="U3571">index('Query Tool'!B:B,match(C3571,'Query Tool'!C:C,0))</f>
        <v>1</v>
      </c>
      <c r="V3571" s="161" t="b">
        <f>F3571&gt;='Query Tool'!C$32</f>
        <v>1</v>
      </c>
      <c r="W3571" s="161" t="b">
        <f t="array" ref="W3571">index(Dropdowns!B:B,match(I3571,Dropdowns!A:A,0))</f>
        <v>1</v>
      </c>
      <c r="X3571" s="161" t="b">
        <f t="array" ref="X3571">index('Query Tool'!B:B,match(D3571,'Query Tool'!C:C,0))</f>
        <v>1</v>
      </c>
      <c r="Y3571" s="161" t="str">
        <f t="shared" si="6"/>
        <v>hardeja01,2020-21</v>
      </c>
      <c r="Z3571" s="168" t="str">
        <f t="array" ref="Z3571">iferror(index(I:I,match($A3571&amp;","&amp;index('Year Conversion'!$A:$A,match($C3571,'Year Conversion'!$B:$B,0)),$Y:$Y,0))-I3571,"")</f>
        <v/>
      </c>
      <c r="AA3571" s="168" t="str">
        <f t="array" ref="AA3571">iferror(index(J:J,match($A3571&amp;","&amp;index('Year Conversion'!$A:$A,match($C3571,'Year Conversion'!$B:$B,0)),$Y:$Y,0))-J3571,"")</f>
        <v/>
      </c>
      <c r="AB3571" s="168" t="str">
        <f t="array" ref="AB3571">iferror(index(K:K,match($A3571&amp;","&amp;index('Year Conversion'!$A:$A,match($C3571,'Year Conversion'!$B:$B,0)),$Y:$Y,0))-K3571,"")</f>
        <v/>
      </c>
      <c r="AC3571" s="168" t="str">
        <f t="shared" si="7"/>
        <v>TOT,2020-21</v>
      </c>
    </row>
    <row r="3572">
      <c r="A3572" s="161" t="str">
        <f>IFERROR(__xludf.DUMMYFUNCTION("""COMPUTED_VALUE"""),"rubiori01")</f>
        <v>rubiori01</v>
      </c>
      <c r="B3572" s="161" t="str">
        <f>IFERROR(__xludf.DUMMYFUNCTION("""COMPUTED_VALUE"""),"Ricky Rubio")</f>
        <v>Ricky Rubio</v>
      </c>
      <c r="C3572" s="162" t="str">
        <f>IFERROR(__xludf.DUMMYFUNCTION("""COMPUTED_VALUE"""),"2020-21")</f>
        <v>2020-21</v>
      </c>
      <c r="D3572" s="163" t="str">
        <f>IFERROR(__xludf.DUMMYFUNCTION("""COMPUTED_VALUE"""),"MIN")</f>
        <v>MIN</v>
      </c>
      <c r="E3572" s="164" t="str">
        <f>IFERROR(__xludf.DUMMYFUNCTION("""COMPUTED_VALUE"""),"Primary Ball Handler")</f>
        <v>Primary Ball Handler</v>
      </c>
      <c r="F3572" s="164">
        <f>IFERROR(__xludf.DUMMYFUNCTION("""COMPUTED_VALUE"""),732.063333333333)</f>
        <v>732.0633333</v>
      </c>
      <c r="G3572" s="163">
        <f>IFERROR(__xludf.DUMMYFUNCTION("""COMPUTED_VALUE"""),29.0)</f>
        <v>29</v>
      </c>
      <c r="H3572" s="163" t="str">
        <f>IFERROR(__xludf.DUMMYFUNCTION("""COMPUTED_VALUE"""),"PG")</f>
        <v>PG</v>
      </c>
      <c r="I3572" s="163">
        <f>IFERROR(__xludf.DUMMYFUNCTION("""COMPUTED_VALUE"""),30.0)</f>
        <v>30</v>
      </c>
      <c r="J3572" s="165">
        <f>IFERROR(__xludf.DUMMYFUNCTION("""COMPUTED_VALUE"""),-1.10466322108402)</f>
        <v>-1.104663221</v>
      </c>
      <c r="K3572" s="165">
        <f>IFERROR(__xludf.DUMMYFUNCTION("""COMPUTED_VALUE"""),-0.439311330490956)</f>
        <v>-0.4393113305</v>
      </c>
      <c r="L3572" s="165">
        <f>IFERROR(__xludf.DUMMYFUNCTION("""COMPUTED_VALUE"""),-0.665351890593069)</f>
        <v>-0.6653518906</v>
      </c>
      <c r="M3572" s="166">
        <f t="shared" si="2"/>
        <v>0.5843138551</v>
      </c>
      <c r="N3572" s="167">
        <f t="shared" si="3"/>
        <v>25.24356322</v>
      </c>
      <c r="O3572" s="163">
        <f t="shared" ref="O3572:Q3572" si="3576">rank(I3572,I:I)</f>
        <v>655</v>
      </c>
      <c r="P3572" s="163">
        <f t="shared" si="3576"/>
        <v>2619</v>
      </c>
      <c r="Q3572" s="163">
        <f t="shared" si="3576"/>
        <v>2012</v>
      </c>
      <c r="R3572" s="163">
        <f>IFERROR(__xludf.DUMMYFUNCTION("RANK(M3572,filter(M:M,C:C=C3572))"),173.0)</f>
        <v>173</v>
      </c>
      <c r="S3572" s="161" t="b">
        <f t="shared" si="5"/>
        <v>1</v>
      </c>
      <c r="T3572" s="161" t="b">
        <f t="array" ref="T3572">index('Query Tool'!B:B,match(H3572,'Query Tool'!C:C,0))</f>
        <v>1</v>
      </c>
      <c r="U3572" s="161" t="b">
        <f t="array" ref="U3572">index('Query Tool'!B:B,match(C3572,'Query Tool'!C:C,0))</f>
        <v>1</v>
      </c>
      <c r="V3572" s="161" t="b">
        <f>F3572&gt;='Query Tool'!C$32</f>
        <v>1</v>
      </c>
      <c r="W3572" s="161" t="b">
        <f t="array" ref="W3572">index(Dropdowns!B:B,match(I3572,Dropdowns!A:A,0))</f>
        <v>1</v>
      </c>
      <c r="X3572" s="161" t="b">
        <f t="array" ref="X3572">index('Query Tool'!B:B,match(D3572,'Query Tool'!C:C,0))</f>
        <v>1</v>
      </c>
      <c r="Y3572" s="161" t="str">
        <f t="shared" si="6"/>
        <v>rubiori01,2020-21</v>
      </c>
      <c r="Z3572" s="168" t="str">
        <f t="array" ref="Z3572">iferror(index(I:I,match($A3572&amp;","&amp;index('Year Conversion'!$A:$A,match($C3572,'Year Conversion'!$B:$B,0)),$Y:$Y,0))-I3572,"")</f>
        <v/>
      </c>
      <c r="AA3572" s="168" t="str">
        <f t="array" ref="AA3572">iferror(index(J:J,match($A3572&amp;","&amp;index('Year Conversion'!$A:$A,match($C3572,'Year Conversion'!$B:$B,0)),$Y:$Y,0))-J3572,"")</f>
        <v/>
      </c>
      <c r="AB3572" s="168" t="str">
        <f t="array" ref="AB3572">iferror(index(K:K,match($A3572&amp;","&amp;index('Year Conversion'!$A:$A,match($C3572,'Year Conversion'!$B:$B,0)),$Y:$Y,0))-K3572,"")</f>
        <v/>
      </c>
      <c r="AC3572" s="168" t="str">
        <f t="shared" si="7"/>
        <v>MIN,2020-21</v>
      </c>
    </row>
    <row r="3573">
      <c r="A3573" s="161" t="str">
        <f>IFERROR(__xludf.DUMMYFUNCTION("""COMPUTED_VALUE"""),"curryst01")</f>
        <v>curryst01</v>
      </c>
      <c r="B3573" s="161" t="str">
        <f>IFERROR(__xludf.DUMMYFUNCTION("""COMPUTED_VALUE"""),"Stephen Curry")</f>
        <v>Stephen Curry</v>
      </c>
      <c r="C3573" s="162" t="str">
        <f>IFERROR(__xludf.DUMMYFUNCTION("""COMPUTED_VALUE"""),"2020-21")</f>
        <v>2020-21</v>
      </c>
      <c r="D3573" s="163" t="str">
        <f>IFERROR(__xludf.DUMMYFUNCTION("""COMPUTED_VALUE"""),"GSW")</f>
        <v>GSW</v>
      </c>
      <c r="E3573" s="164" t="str">
        <f>IFERROR(__xludf.DUMMYFUNCTION("""COMPUTED_VALUE"""),"Primary Ball Handler")</f>
        <v>Primary Ball Handler</v>
      </c>
      <c r="F3573" s="164">
        <f>IFERROR(__xludf.DUMMYFUNCTION("""COMPUTED_VALUE"""),1023.55833333333)</f>
        <v>1023.558333</v>
      </c>
      <c r="G3573" s="163">
        <f>IFERROR(__xludf.DUMMYFUNCTION("""COMPUTED_VALUE"""),30.0)</f>
        <v>30</v>
      </c>
      <c r="H3573" s="163" t="str">
        <f>IFERROR(__xludf.DUMMYFUNCTION("""COMPUTED_VALUE"""),"PG")</f>
        <v>PG</v>
      </c>
      <c r="I3573" s="163">
        <f>IFERROR(__xludf.DUMMYFUNCTION("""COMPUTED_VALUE"""),32.0)</f>
        <v>32</v>
      </c>
      <c r="J3573" s="165">
        <f>IFERROR(__xludf.DUMMYFUNCTION("""COMPUTED_VALUE"""),3.7991330873059)</f>
        <v>3.799133087</v>
      </c>
      <c r="K3573" s="165">
        <f>IFERROR(__xludf.DUMMYFUNCTION("""COMPUTED_VALUE"""),4.79102641206337)</f>
        <v>4.791026412</v>
      </c>
      <c r="L3573" s="165">
        <f>IFERROR(__xludf.DUMMYFUNCTION("""COMPUTED_VALUE"""),-0.991893324757469)</f>
        <v>-0.9918933248</v>
      </c>
      <c r="M3573" s="166">
        <f t="shared" si="2"/>
        <v>4.148328921</v>
      </c>
      <c r="N3573" s="167">
        <f t="shared" si="3"/>
        <v>34.11861111</v>
      </c>
      <c r="O3573" s="163">
        <f t="shared" ref="O3573:Q3573" si="3577">rank(I3573,I:I)</f>
        <v>359</v>
      </c>
      <c r="P3573" s="163">
        <f t="shared" si="3577"/>
        <v>108</v>
      </c>
      <c r="Q3573" s="163">
        <f t="shared" si="3577"/>
        <v>34</v>
      </c>
      <c r="R3573" s="163">
        <f>IFERROR(__xludf.DUMMYFUNCTION("RANK(M3573,filter(M:M,C:C=C3573))"),8.0)</f>
        <v>8</v>
      </c>
      <c r="S3573" s="161" t="b">
        <f t="shared" si="5"/>
        <v>1</v>
      </c>
      <c r="T3573" s="161" t="b">
        <f t="array" ref="T3573">index('Query Tool'!B:B,match(H3573,'Query Tool'!C:C,0))</f>
        <v>1</v>
      </c>
      <c r="U3573" s="161" t="b">
        <f t="array" ref="U3573">index('Query Tool'!B:B,match(C3573,'Query Tool'!C:C,0))</f>
        <v>1</v>
      </c>
      <c r="V3573" s="161" t="b">
        <f>F3573&gt;='Query Tool'!C$32</f>
        <v>1</v>
      </c>
      <c r="W3573" s="161" t="b">
        <f t="array" ref="W3573">index(Dropdowns!B:B,match(I3573,Dropdowns!A:A,0))</f>
        <v>1</v>
      </c>
      <c r="X3573" s="161" t="b">
        <f t="array" ref="X3573">index('Query Tool'!B:B,match(D3573,'Query Tool'!C:C,0))</f>
        <v>1</v>
      </c>
      <c r="Y3573" s="161" t="str">
        <f t="shared" si="6"/>
        <v>curryst01,2020-21</v>
      </c>
      <c r="Z3573" s="168" t="str">
        <f t="array" ref="Z3573">iferror(index(I:I,match($A3573&amp;","&amp;index('Year Conversion'!$A:$A,match($C3573,'Year Conversion'!$B:$B,0)),$Y:$Y,0))-I3573,"")</f>
        <v/>
      </c>
      <c r="AA3573" s="168" t="str">
        <f t="array" ref="AA3573">iferror(index(J:J,match($A3573&amp;","&amp;index('Year Conversion'!$A:$A,match($C3573,'Year Conversion'!$B:$B,0)),$Y:$Y,0))-J3573,"")</f>
        <v/>
      </c>
      <c r="AB3573" s="168" t="str">
        <f t="array" ref="AB3573">iferror(index(K:K,match($A3573&amp;","&amp;index('Year Conversion'!$A:$A,match($C3573,'Year Conversion'!$B:$B,0)),$Y:$Y,0))-K3573,"")</f>
        <v/>
      </c>
      <c r="AC3573" s="168" t="str">
        <f t="shared" si="7"/>
        <v>GSW,2020-21</v>
      </c>
    </row>
    <row r="3574">
      <c r="A3574" s="161" t="str">
        <f>IFERROR(__xludf.DUMMYFUNCTION("""COMPUTED_VALUE"""),"derozde01")</f>
        <v>derozde01</v>
      </c>
      <c r="B3574" s="161" t="str">
        <f>IFERROR(__xludf.DUMMYFUNCTION("""COMPUTED_VALUE"""),"DeMar DeRozan")</f>
        <v>DeMar DeRozan</v>
      </c>
      <c r="C3574" s="162" t="str">
        <f>IFERROR(__xludf.DUMMYFUNCTION("""COMPUTED_VALUE"""),"2020-21")</f>
        <v>2020-21</v>
      </c>
      <c r="D3574" s="163" t="str">
        <f>IFERROR(__xludf.DUMMYFUNCTION("""COMPUTED_VALUE"""),"SAS")</f>
        <v>SAS</v>
      </c>
      <c r="E3574" s="164" t="str">
        <f>IFERROR(__xludf.DUMMYFUNCTION("""COMPUTED_VALUE"""),"Shot Creator")</f>
        <v>Shot Creator</v>
      </c>
      <c r="F3574" s="164">
        <f>IFERROR(__xludf.DUMMYFUNCTION("""COMPUTED_VALUE"""),834.743333333333)</f>
        <v>834.7433333</v>
      </c>
      <c r="G3574" s="163">
        <f>IFERROR(__xludf.DUMMYFUNCTION("""COMPUTED_VALUE"""),25.0)</f>
        <v>25</v>
      </c>
      <c r="H3574" s="163" t="str">
        <f>IFERROR(__xludf.DUMMYFUNCTION("""COMPUTED_VALUE"""),"PF")</f>
        <v>PF</v>
      </c>
      <c r="I3574" s="163">
        <f>IFERROR(__xludf.DUMMYFUNCTION("""COMPUTED_VALUE"""),31.0)</f>
        <v>31</v>
      </c>
      <c r="J3574" s="165">
        <f>IFERROR(__xludf.DUMMYFUNCTION("""COMPUTED_VALUE"""),2.08706212298078)</f>
        <v>2.087062123</v>
      </c>
      <c r="K3574" s="165">
        <f>IFERROR(__xludf.DUMMYFUNCTION("""COMPUTED_VALUE"""),2.50881621414672)</f>
        <v>2.508816214</v>
      </c>
      <c r="L3574" s="165">
        <f>IFERROR(__xludf.DUMMYFUNCTION("""COMPUTED_VALUE"""),-0.421754091165939)</f>
        <v>-0.4217540912</v>
      </c>
      <c r="M3574" s="166">
        <f t="shared" si="2"/>
        <v>2.454387197</v>
      </c>
      <c r="N3574" s="167">
        <f t="shared" si="3"/>
        <v>33.38973333</v>
      </c>
      <c r="O3574" s="163">
        <f t="shared" ref="O3574:Q3574" si="3578">rank(I3574,I:I)</f>
        <v>490</v>
      </c>
      <c r="P3574" s="163">
        <f t="shared" si="3578"/>
        <v>295</v>
      </c>
      <c r="Q3574" s="163">
        <f t="shared" si="3578"/>
        <v>154</v>
      </c>
      <c r="R3574" s="163">
        <f>IFERROR(__xludf.DUMMYFUNCTION("RANK(M3574,filter(M:M,C:C=C3574))"),33.0)</f>
        <v>33</v>
      </c>
      <c r="S3574" s="161" t="b">
        <f t="shared" si="5"/>
        <v>1</v>
      </c>
      <c r="T3574" s="161" t="b">
        <f t="array" ref="T3574">index('Query Tool'!B:B,match(H3574,'Query Tool'!C:C,0))</f>
        <v>1</v>
      </c>
      <c r="U3574" s="161" t="b">
        <f t="array" ref="U3574">index('Query Tool'!B:B,match(C3574,'Query Tool'!C:C,0))</f>
        <v>1</v>
      </c>
      <c r="V3574" s="161" t="b">
        <f>F3574&gt;='Query Tool'!C$32</f>
        <v>1</v>
      </c>
      <c r="W3574" s="161" t="b">
        <f t="array" ref="W3574">index(Dropdowns!B:B,match(I3574,Dropdowns!A:A,0))</f>
        <v>1</v>
      </c>
      <c r="X3574" s="161" t="b">
        <f t="array" ref="X3574">index('Query Tool'!B:B,match(D3574,'Query Tool'!C:C,0))</f>
        <v>1</v>
      </c>
      <c r="Y3574" s="161" t="str">
        <f t="shared" si="6"/>
        <v>derozde01,2020-21</v>
      </c>
      <c r="Z3574" s="168" t="str">
        <f t="array" ref="Z3574">iferror(index(I:I,match($A3574&amp;","&amp;index('Year Conversion'!$A:$A,match($C3574,'Year Conversion'!$B:$B,0)),$Y:$Y,0))-I3574,"")</f>
        <v/>
      </c>
      <c r="AA3574" s="168" t="str">
        <f t="array" ref="AA3574">iferror(index(J:J,match($A3574&amp;","&amp;index('Year Conversion'!$A:$A,match($C3574,'Year Conversion'!$B:$B,0)),$Y:$Y,0))-J3574,"")</f>
        <v/>
      </c>
      <c r="AB3574" s="168" t="str">
        <f t="array" ref="AB3574">iferror(index(K:K,match($A3574&amp;","&amp;index('Year Conversion'!$A:$A,match($C3574,'Year Conversion'!$B:$B,0)),$Y:$Y,0))-K3574,"")</f>
        <v/>
      </c>
      <c r="AC3574" s="168" t="str">
        <f t="shared" si="7"/>
        <v>SAS,2020-21</v>
      </c>
    </row>
    <row r="3575">
      <c r="A3575" s="161" t="str">
        <f>IFERROR(__xludf.DUMMYFUNCTION("""COMPUTED_VALUE"""),"johnsja01")</f>
        <v>johnsja01</v>
      </c>
      <c r="B3575" s="161" t="str">
        <f>IFERROR(__xludf.DUMMYFUNCTION("""COMPUTED_VALUE"""),"James Johnson")</f>
        <v>James Johnson</v>
      </c>
      <c r="C3575" s="162" t="str">
        <f>IFERROR(__xludf.DUMMYFUNCTION("""COMPUTED_VALUE"""),"2020-21")</f>
        <v>2020-21</v>
      </c>
      <c r="D3575" s="163" t="str">
        <f>IFERROR(__xludf.DUMMYFUNCTION("""COMPUTED_VALUE"""),"DAL")</f>
        <v>DAL</v>
      </c>
      <c r="E3575" s="164" t="str">
        <f>IFERROR(__xludf.DUMMYFUNCTION("""COMPUTED_VALUE"""),"Stationary Shooter")</f>
        <v>Stationary Shooter</v>
      </c>
      <c r="F3575" s="164">
        <f>IFERROR(__xludf.DUMMYFUNCTION("""COMPUTED_VALUE"""),423.883333333333)</f>
        <v>423.8833333</v>
      </c>
      <c r="G3575" s="163">
        <f>IFERROR(__xludf.DUMMYFUNCTION("""COMPUTED_VALUE"""),23.0)</f>
        <v>23</v>
      </c>
      <c r="H3575" s="163" t="str">
        <f>IFERROR(__xludf.DUMMYFUNCTION("""COMPUTED_VALUE"""),"PF")</f>
        <v>PF</v>
      </c>
      <c r="I3575" s="163">
        <f>IFERROR(__xludf.DUMMYFUNCTION("""COMPUTED_VALUE"""),33.0)</f>
        <v>33</v>
      </c>
      <c r="J3575" s="165">
        <f>IFERROR(__xludf.DUMMYFUNCTION("""COMPUTED_VALUE"""),-0.790063473799594)</f>
        <v>-0.7900634738</v>
      </c>
      <c r="K3575" s="165">
        <f>IFERROR(__xludf.DUMMYFUNCTION("""COMPUTED_VALUE"""),-0.991780241306915)</f>
        <v>-0.9917802413</v>
      </c>
      <c r="L3575" s="165">
        <f>IFERROR(__xludf.DUMMYFUNCTION("""COMPUTED_VALUE"""),0.201716767507321)</f>
        <v>0.2017167675</v>
      </c>
      <c r="M3575" s="166">
        <f t="shared" si="2"/>
        <v>0.4278997624</v>
      </c>
      <c r="N3575" s="167">
        <f t="shared" si="3"/>
        <v>18.42971014</v>
      </c>
      <c r="O3575" s="163">
        <f t="shared" ref="O3575:Q3575" si="3579">rank(I3575,I:I)</f>
        <v>246</v>
      </c>
      <c r="P3575" s="163">
        <f t="shared" si="3579"/>
        <v>2261</v>
      </c>
      <c r="Q3575" s="163">
        <f t="shared" si="3579"/>
        <v>2791</v>
      </c>
      <c r="R3575" s="163">
        <f>IFERROR(__xludf.DUMMYFUNCTION("RANK(M3575,filter(M:M,C:C=C3575))"),209.0)</f>
        <v>209</v>
      </c>
      <c r="S3575" s="161" t="b">
        <f t="shared" si="5"/>
        <v>0</v>
      </c>
      <c r="T3575" s="161" t="b">
        <f t="array" ref="T3575">index('Query Tool'!B:B,match(H3575,'Query Tool'!C:C,0))</f>
        <v>1</v>
      </c>
      <c r="U3575" s="161" t="b">
        <f t="array" ref="U3575">index('Query Tool'!B:B,match(C3575,'Query Tool'!C:C,0))</f>
        <v>1</v>
      </c>
      <c r="V3575" s="161" t="b">
        <f>F3575&gt;='Query Tool'!C$32</f>
        <v>0</v>
      </c>
      <c r="W3575" s="161" t="b">
        <f t="array" ref="W3575">index(Dropdowns!B:B,match(I3575,Dropdowns!A:A,0))</f>
        <v>1</v>
      </c>
      <c r="X3575" s="161" t="b">
        <f t="array" ref="X3575">index('Query Tool'!B:B,match(D3575,'Query Tool'!C:C,0))</f>
        <v>1</v>
      </c>
      <c r="Y3575" s="161" t="str">
        <f t="shared" si="6"/>
        <v>johnsja01,2020-21</v>
      </c>
      <c r="Z3575" s="168" t="str">
        <f t="array" ref="Z3575">iferror(index(I:I,match($A3575&amp;","&amp;index('Year Conversion'!$A:$A,match($C3575,'Year Conversion'!$B:$B,0)),$Y:$Y,0))-I3575,"")</f>
        <v/>
      </c>
      <c r="AA3575" s="168" t="str">
        <f t="array" ref="AA3575">iferror(index(J:J,match($A3575&amp;","&amp;index('Year Conversion'!$A:$A,match($C3575,'Year Conversion'!$B:$B,0)),$Y:$Y,0))-J3575,"")</f>
        <v/>
      </c>
      <c r="AB3575" s="168" t="str">
        <f t="array" ref="AB3575">iferror(index(K:K,match($A3575&amp;","&amp;index('Year Conversion'!$A:$A,match($C3575,'Year Conversion'!$B:$B,0)),$Y:$Y,0))-K3575,"")</f>
        <v/>
      </c>
      <c r="AC3575" s="168" t="str">
        <f t="shared" si="7"/>
        <v>DAL,2020-21</v>
      </c>
    </row>
    <row r="3576">
      <c r="A3576" s="161" t="str">
        <f>IFERROR(__xludf.DUMMYFUNCTION("""COMPUTED_VALUE"""),"holidjr01")</f>
        <v>holidjr01</v>
      </c>
      <c r="B3576" s="161" t="str">
        <f>IFERROR(__xludf.DUMMYFUNCTION("""COMPUTED_VALUE"""),"Jrue Holiday")</f>
        <v>Jrue Holiday</v>
      </c>
      <c r="C3576" s="162" t="str">
        <f>IFERROR(__xludf.DUMMYFUNCTION("""COMPUTED_VALUE"""),"2020-21")</f>
        <v>2020-21</v>
      </c>
      <c r="D3576" s="163" t="str">
        <f>IFERROR(__xludf.DUMMYFUNCTION("""COMPUTED_VALUE"""),"MIL")</f>
        <v>MIL</v>
      </c>
      <c r="E3576" s="164" t="str">
        <f>IFERROR(__xludf.DUMMYFUNCTION("""COMPUTED_VALUE"""),"Primary Ball Handler")</f>
        <v>Primary Ball Handler</v>
      </c>
      <c r="F3576" s="164">
        <f>IFERROR(__xludf.DUMMYFUNCTION("""COMPUTED_VALUE"""),746.516666666667)</f>
        <v>746.5166667</v>
      </c>
      <c r="G3576" s="163">
        <f>IFERROR(__xludf.DUMMYFUNCTION("""COMPUTED_VALUE"""),23.0)</f>
        <v>23</v>
      </c>
      <c r="H3576" s="163" t="str">
        <f>IFERROR(__xludf.DUMMYFUNCTION("""COMPUTED_VALUE"""),"PG")</f>
        <v>PG</v>
      </c>
      <c r="I3576" s="163">
        <f>IFERROR(__xludf.DUMMYFUNCTION("""COMPUTED_VALUE"""),30.0)</f>
        <v>30</v>
      </c>
      <c r="J3576" s="165">
        <f>IFERROR(__xludf.DUMMYFUNCTION("""COMPUTED_VALUE"""),2.92684653708663)</f>
        <v>2.926846537</v>
      </c>
      <c r="K3576" s="165">
        <f>IFERROR(__xludf.DUMMYFUNCTION("""COMPUTED_VALUE"""),2.22729154036537)</f>
        <v>2.22729154</v>
      </c>
      <c r="L3576" s="165">
        <f>IFERROR(__xludf.DUMMYFUNCTION("""COMPUTED_VALUE"""),0.699554996721259)</f>
        <v>0.6995549967</v>
      </c>
      <c r="M3576" s="166">
        <f t="shared" si="2"/>
        <v>2.606660216</v>
      </c>
      <c r="N3576" s="167">
        <f t="shared" si="3"/>
        <v>32.45724638</v>
      </c>
      <c r="O3576" s="163">
        <f t="shared" ref="O3576:Q3576" si="3580">rank(I3576,I:I)</f>
        <v>655</v>
      </c>
      <c r="P3576" s="163">
        <f t="shared" si="3580"/>
        <v>175</v>
      </c>
      <c r="Q3576" s="163">
        <f t="shared" si="3580"/>
        <v>193</v>
      </c>
      <c r="R3576" s="163">
        <f>IFERROR(__xludf.DUMMYFUNCTION("RANK(M3576,filter(M:M,C:C=C3576))"),29.0)</f>
        <v>29</v>
      </c>
      <c r="S3576" s="161" t="b">
        <f t="shared" si="5"/>
        <v>1</v>
      </c>
      <c r="T3576" s="161" t="b">
        <f t="array" ref="T3576">index('Query Tool'!B:B,match(H3576,'Query Tool'!C:C,0))</f>
        <v>1</v>
      </c>
      <c r="U3576" s="161" t="b">
        <f t="array" ref="U3576">index('Query Tool'!B:B,match(C3576,'Query Tool'!C:C,0))</f>
        <v>1</v>
      </c>
      <c r="V3576" s="161" t="b">
        <f>F3576&gt;='Query Tool'!C$32</f>
        <v>1</v>
      </c>
      <c r="W3576" s="161" t="b">
        <f t="array" ref="W3576">index(Dropdowns!B:B,match(I3576,Dropdowns!A:A,0))</f>
        <v>1</v>
      </c>
      <c r="X3576" s="161" t="b">
        <f t="array" ref="X3576">index('Query Tool'!B:B,match(D3576,'Query Tool'!C:C,0))</f>
        <v>1</v>
      </c>
      <c r="Y3576" s="161" t="str">
        <f t="shared" si="6"/>
        <v>holidjr01,2020-21</v>
      </c>
      <c r="Z3576" s="168" t="str">
        <f t="array" ref="Z3576">iferror(index(I:I,match($A3576&amp;","&amp;index('Year Conversion'!$A:$A,match($C3576,'Year Conversion'!$B:$B,0)),$Y:$Y,0))-I3576,"")</f>
        <v/>
      </c>
      <c r="AA3576" s="168" t="str">
        <f t="array" ref="AA3576">iferror(index(J:J,match($A3576&amp;","&amp;index('Year Conversion'!$A:$A,match($C3576,'Year Conversion'!$B:$B,0)),$Y:$Y,0))-J3576,"")</f>
        <v/>
      </c>
      <c r="AB3576" s="168" t="str">
        <f t="array" ref="AB3576">iferror(index(K:K,match($A3576&amp;","&amp;index('Year Conversion'!$A:$A,match($C3576,'Year Conversion'!$B:$B,0)),$Y:$Y,0))-K3576,"")</f>
        <v/>
      </c>
      <c r="AC3576" s="168" t="str">
        <f t="shared" si="7"/>
        <v>MIL,2020-21</v>
      </c>
    </row>
    <row r="3577">
      <c r="A3577" s="161" t="str">
        <f>IFERROR(__xludf.DUMMYFUNCTION("""COMPUTED_VALUE"""),"teaguje01")</f>
        <v>teaguje01</v>
      </c>
      <c r="B3577" s="161" t="str">
        <f>IFERROR(__xludf.DUMMYFUNCTION("""COMPUTED_VALUE"""),"Jeff Teague")</f>
        <v>Jeff Teague</v>
      </c>
      <c r="C3577" s="162" t="str">
        <f>IFERROR(__xludf.DUMMYFUNCTION("""COMPUTED_VALUE"""),"2020-21")</f>
        <v>2020-21</v>
      </c>
      <c r="D3577" s="163" t="str">
        <f>IFERROR(__xludf.DUMMYFUNCTION("""COMPUTED_VALUE"""),"BOS")</f>
        <v>BOS</v>
      </c>
      <c r="E3577" s="164" t="str">
        <f>IFERROR(__xludf.DUMMYFUNCTION("""COMPUTED_VALUE"""),"Shot Creator")</f>
        <v>Shot Creator</v>
      </c>
      <c r="F3577" s="164">
        <f>IFERROR(__xludf.DUMMYFUNCTION("""COMPUTED_VALUE"""),396.831666666667)</f>
        <v>396.8316667</v>
      </c>
      <c r="G3577" s="163">
        <f>IFERROR(__xludf.DUMMYFUNCTION("""COMPUTED_VALUE"""),23.0)</f>
        <v>23</v>
      </c>
      <c r="H3577" s="163" t="str">
        <f>IFERROR(__xludf.DUMMYFUNCTION("""COMPUTED_VALUE"""),"PG")</f>
        <v>PG</v>
      </c>
      <c r="I3577" s="163">
        <f>IFERROR(__xludf.DUMMYFUNCTION("""COMPUTED_VALUE"""),32.0)</f>
        <v>32</v>
      </c>
      <c r="J3577" s="165">
        <f>IFERROR(__xludf.DUMMYFUNCTION("""COMPUTED_VALUE"""),-1.66842039317029)</f>
        <v>-1.668420393</v>
      </c>
      <c r="K3577" s="165">
        <f>IFERROR(__xludf.DUMMYFUNCTION("""COMPUTED_VALUE"""),-0.875849533809251)</f>
        <v>-0.8758495338</v>
      </c>
      <c r="L3577" s="165">
        <f>IFERROR(__xludf.DUMMYFUNCTION("""COMPUTED_VALUE"""),-0.792570859361042)</f>
        <v>-0.7925708594</v>
      </c>
      <c r="M3577" s="166">
        <f t="shared" si="2"/>
        <v>0.1671313166</v>
      </c>
      <c r="N3577" s="167">
        <f t="shared" si="3"/>
        <v>17.25355072</v>
      </c>
      <c r="O3577" s="163">
        <f t="shared" ref="O3577:Q3577" si="3581">rank(I3577,I:I)</f>
        <v>359</v>
      </c>
      <c r="P3577" s="163">
        <f t="shared" si="3581"/>
        <v>3212</v>
      </c>
      <c r="Q3577" s="163">
        <f t="shared" si="3581"/>
        <v>2655</v>
      </c>
      <c r="R3577" s="163">
        <f>IFERROR(__xludf.DUMMYFUNCTION("RANK(M3577,filter(M:M,C:C=C3577))"),293.0)</f>
        <v>293</v>
      </c>
      <c r="S3577" s="161" t="b">
        <f t="shared" si="5"/>
        <v>0</v>
      </c>
      <c r="T3577" s="161" t="b">
        <f t="array" ref="T3577">index('Query Tool'!B:B,match(H3577,'Query Tool'!C:C,0))</f>
        <v>1</v>
      </c>
      <c r="U3577" s="161" t="b">
        <f t="array" ref="U3577">index('Query Tool'!B:B,match(C3577,'Query Tool'!C:C,0))</f>
        <v>1</v>
      </c>
      <c r="V3577" s="161" t="b">
        <f>F3577&gt;='Query Tool'!C$32</f>
        <v>0</v>
      </c>
      <c r="W3577" s="161" t="b">
        <f t="array" ref="W3577">index(Dropdowns!B:B,match(I3577,Dropdowns!A:A,0))</f>
        <v>1</v>
      </c>
      <c r="X3577" s="161" t="b">
        <f t="array" ref="X3577">index('Query Tool'!B:B,match(D3577,'Query Tool'!C:C,0))</f>
        <v>1</v>
      </c>
      <c r="Y3577" s="161" t="str">
        <f t="shared" si="6"/>
        <v>teaguje01,2020-21</v>
      </c>
      <c r="Z3577" s="168" t="str">
        <f t="array" ref="Z3577">iferror(index(I:I,match($A3577&amp;","&amp;index('Year Conversion'!$A:$A,match($C3577,'Year Conversion'!$B:$B,0)),$Y:$Y,0))-I3577,"")</f>
        <v/>
      </c>
      <c r="AA3577" s="168" t="str">
        <f t="array" ref="AA3577">iferror(index(J:J,match($A3577&amp;","&amp;index('Year Conversion'!$A:$A,match($C3577,'Year Conversion'!$B:$B,0)),$Y:$Y,0))-J3577,"")</f>
        <v/>
      </c>
      <c r="AB3577" s="168" t="str">
        <f t="array" ref="AB3577">iferror(index(K:K,match($A3577&amp;","&amp;index('Year Conversion'!$A:$A,match($C3577,'Year Conversion'!$B:$B,0)),$Y:$Y,0))-K3577,"")</f>
        <v/>
      </c>
      <c r="AC3577" s="168" t="str">
        <f t="shared" si="7"/>
        <v>BOS,2020-21</v>
      </c>
    </row>
    <row r="3578">
      <c r="A3578" s="161" t="str">
        <f>IFERROR(__xludf.DUMMYFUNCTION("""COMPUTED_VALUE"""),"gibsota01")</f>
        <v>gibsota01</v>
      </c>
      <c r="B3578" s="161" t="str">
        <f>IFERROR(__xludf.DUMMYFUNCTION("""COMPUTED_VALUE"""),"Taj Gibson")</f>
        <v>Taj Gibson</v>
      </c>
      <c r="C3578" s="162" t="str">
        <f>IFERROR(__xludf.DUMMYFUNCTION("""COMPUTED_VALUE"""),"2020-21")</f>
        <v>2020-21</v>
      </c>
      <c r="D3578" s="163" t="str">
        <f>IFERROR(__xludf.DUMMYFUNCTION("""COMPUTED_VALUE"""),"NYK")</f>
        <v>NYK</v>
      </c>
      <c r="E3578" s="164" t="str">
        <f>IFERROR(__xludf.DUMMYFUNCTION("""COMPUTED_VALUE"""),"Roll + Cut Big")</f>
        <v>Roll + Cut Big</v>
      </c>
      <c r="F3578" s="164">
        <f>IFERROR(__xludf.DUMMYFUNCTION("""COMPUTED_VALUE"""),128.368333333333)</f>
        <v>128.3683333</v>
      </c>
      <c r="G3578" s="163">
        <f>IFERROR(__xludf.DUMMYFUNCTION("""COMPUTED_VALUE"""),9.0)</f>
        <v>9</v>
      </c>
      <c r="H3578" s="163" t="str">
        <f>IFERROR(__xludf.DUMMYFUNCTION("""COMPUTED_VALUE"""),"PF")</f>
        <v>PF</v>
      </c>
      <c r="I3578" s="163">
        <f>IFERROR(__xludf.DUMMYFUNCTION("""COMPUTED_VALUE"""),35.0)</f>
        <v>35</v>
      </c>
      <c r="J3578" s="165">
        <f>IFERROR(__xludf.DUMMYFUNCTION("""COMPUTED_VALUE"""),-0.800618464192025)</f>
        <v>-0.8006184642</v>
      </c>
      <c r="K3578" s="165">
        <f>IFERROR(__xludf.DUMMYFUNCTION("""COMPUTED_VALUE"""),-0.874469743822189)</f>
        <v>-0.8744697438</v>
      </c>
      <c r="L3578" s="165">
        <f>IFERROR(__xludf.DUMMYFUNCTION("""COMPUTED_VALUE"""),0.073851279630164)</f>
        <v>0.07385127963</v>
      </c>
      <c r="M3578" s="166">
        <f t="shared" si="2"/>
        <v>0.1286735903</v>
      </c>
      <c r="N3578" s="167">
        <f t="shared" si="3"/>
        <v>14.26314815</v>
      </c>
      <c r="O3578" s="163">
        <f t="shared" ref="O3578:Q3578" si="3582">rank(I3578,I:I)</f>
        <v>104</v>
      </c>
      <c r="P3578" s="163">
        <f t="shared" si="3582"/>
        <v>2277</v>
      </c>
      <c r="Q3578" s="163">
        <f t="shared" si="3582"/>
        <v>2652</v>
      </c>
      <c r="R3578" s="163">
        <f>IFERROR(__xludf.DUMMYFUNCTION("RANK(M3578,filter(M:M,C:C=C3578))"),309.0)</f>
        <v>309</v>
      </c>
      <c r="S3578" s="161" t="b">
        <f t="shared" si="5"/>
        <v>0</v>
      </c>
      <c r="T3578" s="161" t="b">
        <f t="array" ref="T3578">index('Query Tool'!B:B,match(H3578,'Query Tool'!C:C,0))</f>
        <v>1</v>
      </c>
      <c r="U3578" s="161" t="b">
        <f t="array" ref="U3578">index('Query Tool'!B:B,match(C3578,'Query Tool'!C:C,0))</f>
        <v>1</v>
      </c>
      <c r="V3578" s="161" t="b">
        <f>F3578&gt;='Query Tool'!C$32</f>
        <v>0</v>
      </c>
      <c r="W3578" s="161" t="b">
        <f t="array" ref="W3578">index(Dropdowns!B:B,match(I3578,Dropdowns!A:A,0))</f>
        <v>1</v>
      </c>
      <c r="X3578" s="161" t="b">
        <f t="array" ref="X3578">index('Query Tool'!B:B,match(D3578,'Query Tool'!C:C,0))</f>
        <v>1</v>
      </c>
      <c r="Y3578" s="161" t="str">
        <f t="shared" si="6"/>
        <v>gibsota01,2020-21</v>
      </c>
      <c r="Z3578" s="168" t="str">
        <f t="array" ref="Z3578">iferror(index(I:I,match($A3578&amp;","&amp;index('Year Conversion'!$A:$A,match($C3578,'Year Conversion'!$B:$B,0)),$Y:$Y,0))-I3578,"")</f>
        <v/>
      </c>
      <c r="AA3578" s="168" t="str">
        <f t="array" ref="AA3578">iferror(index(J:J,match($A3578&amp;","&amp;index('Year Conversion'!$A:$A,match($C3578,'Year Conversion'!$B:$B,0)),$Y:$Y,0))-J3578,"")</f>
        <v/>
      </c>
      <c r="AB3578" s="168" t="str">
        <f t="array" ref="AB3578">iferror(index(K:K,match($A3578&amp;","&amp;index('Year Conversion'!$A:$A,match($C3578,'Year Conversion'!$B:$B,0)),$Y:$Y,0))-K3578,"")</f>
        <v/>
      </c>
      <c r="AC3578" s="168" t="str">
        <f t="shared" si="7"/>
        <v>NYK,2020-21</v>
      </c>
    </row>
    <row r="3579">
      <c r="A3579" s="161" t="str">
        <f>IFERROR(__xludf.DUMMYFUNCTION("""COMPUTED_VALUE"""),"ellinwa01")</f>
        <v>ellinwa01</v>
      </c>
      <c r="B3579" s="161" t="str">
        <f>IFERROR(__xludf.DUMMYFUNCTION("""COMPUTED_VALUE"""),"Wayne Ellington")</f>
        <v>Wayne Ellington</v>
      </c>
      <c r="C3579" s="162" t="str">
        <f>IFERROR(__xludf.DUMMYFUNCTION("""COMPUTED_VALUE"""),"2020-21")</f>
        <v>2020-21</v>
      </c>
      <c r="D3579" s="163" t="str">
        <f>IFERROR(__xludf.DUMMYFUNCTION("""COMPUTED_VALUE"""),"DET")</f>
        <v>DET</v>
      </c>
      <c r="E3579" s="164" t="str">
        <f>IFERROR(__xludf.DUMMYFUNCTION("""COMPUTED_VALUE"""),"Movement Shooter")</f>
        <v>Movement Shooter</v>
      </c>
      <c r="F3579" s="164">
        <f>IFERROR(__xludf.DUMMYFUNCTION("""COMPUTED_VALUE"""),524.858333333333)</f>
        <v>524.8583333</v>
      </c>
      <c r="G3579" s="163">
        <f>IFERROR(__xludf.DUMMYFUNCTION("""COMPUTED_VALUE"""),23.0)</f>
        <v>23</v>
      </c>
      <c r="H3579" s="163" t="str">
        <f>IFERROR(__xludf.DUMMYFUNCTION("""COMPUTED_VALUE"""),"SG")</f>
        <v>SG</v>
      </c>
      <c r="I3579" s="163">
        <f>IFERROR(__xludf.DUMMYFUNCTION("""COMPUTED_VALUE"""),33.0)</f>
        <v>33</v>
      </c>
      <c r="J3579" s="165">
        <f>IFERROR(__xludf.DUMMYFUNCTION("""COMPUTED_VALUE"""),-1.5752528613076)</f>
        <v>-1.575252861</v>
      </c>
      <c r="K3579" s="165">
        <f>IFERROR(__xludf.DUMMYFUNCTION("""COMPUTED_VALUE"""),-0.241836989929809)</f>
        <v>-0.2418369899</v>
      </c>
      <c r="L3579" s="165">
        <f>IFERROR(__xludf.DUMMYFUNCTION("""COMPUTED_VALUE"""),-1.33341587137779)</f>
        <v>-1.333415871</v>
      </c>
      <c r="M3579" s="166">
        <f t="shared" si="2"/>
        <v>0.2536604185</v>
      </c>
      <c r="N3579" s="167">
        <f t="shared" si="3"/>
        <v>22.81992754</v>
      </c>
      <c r="O3579" s="163">
        <f t="shared" ref="O3579:Q3579" si="3583">rank(I3579,I:I)</f>
        <v>246</v>
      </c>
      <c r="P3579" s="163">
        <f t="shared" si="3583"/>
        <v>3124</v>
      </c>
      <c r="Q3579" s="163">
        <f t="shared" si="3583"/>
        <v>1649</v>
      </c>
      <c r="R3579" s="163">
        <f>IFERROR(__xludf.DUMMYFUNCTION("RANK(M3579,filter(M:M,C:C=C3579))"),262.0)</f>
        <v>262</v>
      </c>
      <c r="S3579" s="161" t="b">
        <f t="shared" si="5"/>
        <v>1</v>
      </c>
      <c r="T3579" s="161" t="b">
        <f t="array" ref="T3579">index('Query Tool'!B:B,match(H3579,'Query Tool'!C:C,0))</f>
        <v>1</v>
      </c>
      <c r="U3579" s="161" t="b">
        <f t="array" ref="U3579">index('Query Tool'!B:B,match(C3579,'Query Tool'!C:C,0))</f>
        <v>1</v>
      </c>
      <c r="V3579" s="161" t="b">
        <f>F3579&gt;='Query Tool'!C$32</f>
        <v>1</v>
      </c>
      <c r="W3579" s="161" t="b">
        <f t="array" ref="W3579">index(Dropdowns!B:B,match(I3579,Dropdowns!A:A,0))</f>
        <v>1</v>
      </c>
      <c r="X3579" s="161" t="b">
        <f t="array" ref="X3579">index('Query Tool'!B:B,match(D3579,'Query Tool'!C:C,0))</f>
        <v>1</v>
      </c>
      <c r="Y3579" s="161" t="str">
        <f t="shared" si="6"/>
        <v>ellinwa01,2020-21</v>
      </c>
      <c r="Z3579" s="168" t="str">
        <f t="array" ref="Z3579">iferror(index(I:I,match($A3579&amp;","&amp;index('Year Conversion'!$A:$A,match($C3579,'Year Conversion'!$B:$B,0)),$Y:$Y,0))-I3579,"")</f>
        <v/>
      </c>
      <c r="AA3579" s="168" t="str">
        <f t="array" ref="AA3579">iferror(index(J:J,match($A3579&amp;","&amp;index('Year Conversion'!$A:$A,match($C3579,'Year Conversion'!$B:$B,0)),$Y:$Y,0))-J3579,"")</f>
        <v/>
      </c>
      <c r="AB3579" s="168" t="str">
        <f t="array" ref="AB3579">iferror(index(K:K,match($A3579&amp;","&amp;index('Year Conversion'!$A:$A,match($C3579,'Year Conversion'!$B:$B,0)),$Y:$Y,0))-K3579,"")</f>
        <v/>
      </c>
      <c r="AC3579" s="168" t="str">
        <f t="shared" si="7"/>
        <v>DET,2020-21</v>
      </c>
    </row>
    <row r="3580">
      <c r="A3580" s="161" t="str">
        <f>IFERROR(__xludf.DUMMYFUNCTION("""COMPUTED_VALUE"""),"beverpa01")</f>
        <v>beverpa01</v>
      </c>
      <c r="B3580" s="161" t="str">
        <f>IFERROR(__xludf.DUMMYFUNCTION("""COMPUTED_VALUE"""),"Patrick Beverley")</f>
        <v>Patrick Beverley</v>
      </c>
      <c r="C3580" s="162" t="str">
        <f>IFERROR(__xludf.DUMMYFUNCTION("""COMPUTED_VALUE"""),"2020-21")</f>
        <v>2020-21</v>
      </c>
      <c r="D3580" s="163" t="str">
        <f>IFERROR(__xludf.DUMMYFUNCTION("""COMPUTED_VALUE"""),"LAC")</f>
        <v>LAC</v>
      </c>
      <c r="E3580" s="164" t="str">
        <f>IFERROR(__xludf.DUMMYFUNCTION("""COMPUTED_VALUE"""),"Primary Ball Handler")</f>
        <v>Primary Ball Handler</v>
      </c>
      <c r="F3580" s="164">
        <f>IFERROR(__xludf.DUMMYFUNCTION("""COMPUTED_VALUE"""),536.243333333333)</f>
        <v>536.2433333</v>
      </c>
      <c r="G3580" s="163">
        <f>IFERROR(__xludf.DUMMYFUNCTION("""COMPUTED_VALUE"""),22.0)</f>
        <v>22</v>
      </c>
      <c r="H3580" s="163" t="str">
        <f>IFERROR(__xludf.DUMMYFUNCTION("""COMPUTED_VALUE"""),"PG")</f>
        <v>PG</v>
      </c>
      <c r="I3580" s="163">
        <f>IFERROR(__xludf.DUMMYFUNCTION("""COMPUTED_VALUE"""),32.0)</f>
        <v>32</v>
      </c>
      <c r="J3580" s="165">
        <f>IFERROR(__xludf.DUMMYFUNCTION("""COMPUTED_VALUE"""),2.0886242613095)</f>
        <v>2.088624261</v>
      </c>
      <c r="K3580" s="165">
        <f>IFERROR(__xludf.DUMMYFUNCTION("""COMPUTED_VALUE"""),0.0714419512045818)</f>
        <v>0.0714419512</v>
      </c>
      <c r="L3580" s="165">
        <f>IFERROR(__xludf.DUMMYFUNCTION("""COMPUTED_VALUE"""),2.01718231010492)</f>
        <v>2.01718231</v>
      </c>
      <c r="M3580" s="166">
        <f t="shared" si="2"/>
        <v>1.577265354</v>
      </c>
      <c r="N3580" s="167">
        <f t="shared" si="3"/>
        <v>24.37469697</v>
      </c>
      <c r="O3580" s="163">
        <f t="shared" ref="O3580:Q3580" si="3584">rank(I3580,I:I)</f>
        <v>359</v>
      </c>
      <c r="P3580" s="163">
        <f t="shared" si="3584"/>
        <v>294</v>
      </c>
      <c r="Q3580" s="163">
        <f t="shared" si="3584"/>
        <v>1105</v>
      </c>
      <c r="R3580" s="163">
        <f>IFERROR(__xludf.DUMMYFUNCTION("RANK(M3580,filter(M:M,C:C=C3580))"),75.0)</f>
        <v>75</v>
      </c>
      <c r="S3580" s="161" t="b">
        <f t="shared" si="5"/>
        <v>1</v>
      </c>
      <c r="T3580" s="161" t="b">
        <f t="array" ref="T3580">index('Query Tool'!B:B,match(H3580,'Query Tool'!C:C,0))</f>
        <v>1</v>
      </c>
      <c r="U3580" s="161" t="b">
        <f t="array" ref="U3580">index('Query Tool'!B:B,match(C3580,'Query Tool'!C:C,0))</f>
        <v>1</v>
      </c>
      <c r="V3580" s="161" t="b">
        <f>F3580&gt;='Query Tool'!C$32</f>
        <v>1</v>
      </c>
      <c r="W3580" s="161" t="b">
        <f t="array" ref="W3580">index(Dropdowns!B:B,match(I3580,Dropdowns!A:A,0))</f>
        <v>1</v>
      </c>
      <c r="X3580" s="161" t="b">
        <f t="array" ref="X3580">index('Query Tool'!B:B,match(D3580,'Query Tool'!C:C,0))</f>
        <v>1</v>
      </c>
      <c r="Y3580" s="161" t="str">
        <f t="shared" si="6"/>
        <v>beverpa01,2020-21</v>
      </c>
      <c r="Z3580" s="168" t="str">
        <f t="array" ref="Z3580">iferror(index(I:I,match($A3580&amp;","&amp;index('Year Conversion'!$A:$A,match($C3580,'Year Conversion'!$B:$B,0)),$Y:$Y,0))-I3580,"")</f>
        <v/>
      </c>
      <c r="AA3580" s="168" t="str">
        <f t="array" ref="AA3580">iferror(index(J:J,match($A3580&amp;","&amp;index('Year Conversion'!$A:$A,match($C3580,'Year Conversion'!$B:$B,0)),$Y:$Y,0))-J3580,"")</f>
        <v/>
      </c>
      <c r="AB3580" s="168" t="str">
        <f t="array" ref="AB3580">iferror(index(K:K,match($A3580&amp;","&amp;index('Year Conversion'!$A:$A,match($C3580,'Year Conversion'!$B:$B,0)),$Y:$Y,0))-K3580,"")</f>
        <v/>
      </c>
      <c r="AC3580" s="168" t="str">
        <f t="shared" si="7"/>
        <v>LAC,2020-21</v>
      </c>
    </row>
    <row r="3581">
      <c r="A3581" s="161" t="str">
        <f>IFERROR(__xludf.DUMMYFUNCTION("""COMPUTED_VALUE"""),"greenda02")</f>
        <v>greenda02</v>
      </c>
      <c r="B3581" s="161" t="str">
        <f>IFERROR(__xludf.DUMMYFUNCTION("""COMPUTED_VALUE"""),"Danny Green")</f>
        <v>Danny Green</v>
      </c>
      <c r="C3581" s="162" t="str">
        <f>IFERROR(__xludf.DUMMYFUNCTION("""COMPUTED_VALUE"""),"2020-21")</f>
        <v>2020-21</v>
      </c>
      <c r="D3581" s="163" t="str">
        <f>IFERROR(__xludf.DUMMYFUNCTION("""COMPUTED_VALUE"""),"PHI")</f>
        <v>PHI</v>
      </c>
      <c r="E3581" s="164" t="str">
        <f>IFERROR(__xludf.DUMMYFUNCTION("""COMPUTED_VALUE"""),"Movement Shooter")</f>
        <v>Movement Shooter</v>
      </c>
      <c r="F3581" s="164">
        <f>IFERROR(__xludf.DUMMYFUNCTION("""COMPUTED_VALUE"""),884.606666666667)</f>
        <v>884.6066667</v>
      </c>
      <c r="G3581" s="163">
        <f>IFERROR(__xludf.DUMMYFUNCTION("""COMPUTED_VALUE"""),31.0)</f>
        <v>31</v>
      </c>
      <c r="H3581" s="163" t="str">
        <f>IFERROR(__xludf.DUMMYFUNCTION("""COMPUTED_VALUE"""),"SF")</f>
        <v>SF</v>
      </c>
      <c r="I3581" s="163">
        <f>IFERROR(__xludf.DUMMYFUNCTION("""COMPUTED_VALUE"""),33.0)</f>
        <v>33</v>
      </c>
      <c r="J3581" s="165">
        <f>IFERROR(__xludf.DUMMYFUNCTION("""COMPUTED_VALUE"""),-1.24299458945624)</f>
        <v>-1.242994589</v>
      </c>
      <c r="K3581" s="165">
        <f>IFERROR(__xludf.DUMMYFUNCTION("""COMPUTED_VALUE"""),-0.77693351788744)</f>
        <v>-0.7769335179</v>
      </c>
      <c r="L3581" s="165">
        <f>IFERROR(__xludf.DUMMYFUNCTION("""COMPUTED_VALUE"""),-0.466061071568804)</f>
        <v>-0.4660610716</v>
      </c>
      <c r="M3581" s="166">
        <f t="shared" si="2"/>
        <v>0.6240426061</v>
      </c>
      <c r="N3581" s="167">
        <f t="shared" si="3"/>
        <v>28.53569892</v>
      </c>
      <c r="O3581" s="163">
        <f t="shared" ref="O3581:Q3581" si="3585">rank(I3581,I:I)</f>
        <v>246</v>
      </c>
      <c r="P3581" s="163">
        <f t="shared" si="3585"/>
        <v>2806</v>
      </c>
      <c r="Q3581" s="163">
        <f t="shared" si="3585"/>
        <v>2526</v>
      </c>
      <c r="R3581" s="163">
        <f>IFERROR(__xludf.DUMMYFUNCTION("RANK(M3581,filter(M:M,C:C=C3581))"),167.0)</f>
        <v>167</v>
      </c>
      <c r="S3581" s="161" t="b">
        <f t="shared" si="5"/>
        <v>1</v>
      </c>
      <c r="T3581" s="161" t="b">
        <f t="array" ref="T3581">index('Query Tool'!B:B,match(H3581,'Query Tool'!C:C,0))</f>
        <v>1</v>
      </c>
      <c r="U3581" s="161" t="b">
        <f t="array" ref="U3581">index('Query Tool'!B:B,match(C3581,'Query Tool'!C:C,0))</f>
        <v>1</v>
      </c>
      <c r="V3581" s="161" t="b">
        <f>F3581&gt;='Query Tool'!C$32</f>
        <v>1</v>
      </c>
      <c r="W3581" s="161" t="b">
        <f t="array" ref="W3581">index(Dropdowns!B:B,match(I3581,Dropdowns!A:A,0))</f>
        <v>1</v>
      </c>
      <c r="X3581" s="161" t="b">
        <f t="array" ref="X3581">index('Query Tool'!B:B,match(D3581,'Query Tool'!C:C,0))</f>
        <v>1</v>
      </c>
      <c r="Y3581" s="161" t="str">
        <f t="shared" si="6"/>
        <v>greenda02,2020-21</v>
      </c>
      <c r="Z3581" s="168" t="str">
        <f t="array" ref="Z3581">iferror(index(I:I,match($A3581&amp;","&amp;index('Year Conversion'!$A:$A,match($C3581,'Year Conversion'!$B:$B,0)),$Y:$Y,0))-I3581,"")</f>
        <v/>
      </c>
      <c r="AA3581" s="168" t="str">
        <f t="array" ref="AA3581">iferror(index(J:J,match($A3581&amp;","&amp;index('Year Conversion'!$A:$A,match($C3581,'Year Conversion'!$B:$B,0)),$Y:$Y,0))-J3581,"")</f>
        <v/>
      </c>
      <c r="AB3581" s="168" t="str">
        <f t="array" ref="AB3581">iferror(index(K:K,match($A3581&amp;","&amp;index('Year Conversion'!$A:$A,match($C3581,'Year Conversion'!$B:$B,0)),$Y:$Y,0))-K3581,"")</f>
        <v/>
      </c>
      <c r="AC3581" s="168" t="str">
        <f t="shared" si="7"/>
        <v>PHI,2020-21</v>
      </c>
    </row>
    <row r="3582">
      <c r="A3582" s="161" t="str">
        <f>IFERROR(__xludf.DUMMYFUNCTION("""COMPUTED_VALUE"""),"millspa02")</f>
        <v>millspa02</v>
      </c>
      <c r="B3582" s="161" t="str">
        <f>IFERROR(__xludf.DUMMYFUNCTION("""COMPUTED_VALUE"""),"Patty Mills")</f>
        <v>Patty Mills</v>
      </c>
      <c r="C3582" s="162" t="str">
        <f>IFERROR(__xludf.DUMMYFUNCTION("""COMPUTED_VALUE"""),"2020-21")</f>
        <v>2020-21</v>
      </c>
      <c r="D3582" s="163" t="str">
        <f>IFERROR(__xludf.DUMMYFUNCTION("""COMPUTED_VALUE"""),"SAS")</f>
        <v>SAS</v>
      </c>
      <c r="E3582" s="164" t="str">
        <f>IFERROR(__xludf.DUMMYFUNCTION("""COMPUTED_VALUE"""),"Secondary Ball Handler")</f>
        <v>Secondary Ball Handler</v>
      </c>
      <c r="F3582" s="164">
        <f>IFERROR(__xludf.DUMMYFUNCTION("""COMPUTED_VALUE"""),687.165)</f>
        <v>687.165</v>
      </c>
      <c r="G3582" s="163">
        <f>IFERROR(__xludf.DUMMYFUNCTION("""COMPUTED_VALUE"""),27.0)</f>
        <v>27</v>
      </c>
      <c r="H3582" s="163" t="str">
        <f>IFERROR(__xludf.DUMMYFUNCTION("""COMPUTED_VALUE"""),"PG")</f>
        <v>PG</v>
      </c>
      <c r="I3582" s="163">
        <f>IFERROR(__xludf.DUMMYFUNCTION("""COMPUTED_VALUE"""),32.0)</f>
        <v>32</v>
      </c>
      <c r="J3582" s="165">
        <f>IFERROR(__xludf.DUMMYFUNCTION("""COMPUTED_VALUE"""),-0.298089575496258)</f>
        <v>-0.2980895755</v>
      </c>
      <c r="K3582" s="165">
        <f>IFERROR(__xludf.DUMMYFUNCTION("""COMPUTED_VALUE"""),0.642306129070907)</f>
        <v>0.6423061291</v>
      </c>
      <c r="L3582" s="165">
        <f>IFERROR(__xludf.DUMMYFUNCTION("""COMPUTED_VALUE"""),-0.940395704567165)</f>
        <v>-0.9403957046</v>
      </c>
      <c r="M3582" s="166">
        <f t="shared" si="2"/>
        <v>0.9212975868</v>
      </c>
      <c r="N3582" s="167">
        <f t="shared" si="3"/>
        <v>25.45055556</v>
      </c>
      <c r="O3582" s="163">
        <f t="shared" ref="O3582:Q3582" si="3586">rank(I3582,I:I)</f>
        <v>359</v>
      </c>
      <c r="P3582" s="163">
        <f t="shared" si="3586"/>
        <v>1608</v>
      </c>
      <c r="Q3582" s="163">
        <f t="shared" si="3586"/>
        <v>686</v>
      </c>
      <c r="R3582" s="163">
        <f>IFERROR(__xludf.DUMMYFUNCTION("RANK(M3582,filter(M:M,C:C=C3582))"),129.0)</f>
        <v>129</v>
      </c>
      <c r="S3582" s="161" t="b">
        <f t="shared" si="5"/>
        <v>1</v>
      </c>
      <c r="T3582" s="161" t="b">
        <f t="array" ref="T3582">index('Query Tool'!B:B,match(H3582,'Query Tool'!C:C,0))</f>
        <v>1</v>
      </c>
      <c r="U3582" s="161" t="b">
        <f t="array" ref="U3582">index('Query Tool'!B:B,match(C3582,'Query Tool'!C:C,0))</f>
        <v>1</v>
      </c>
      <c r="V3582" s="161" t="b">
        <f>F3582&gt;='Query Tool'!C$32</f>
        <v>1</v>
      </c>
      <c r="W3582" s="161" t="b">
        <f t="array" ref="W3582">index(Dropdowns!B:B,match(I3582,Dropdowns!A:A,0))</f>
        <v>1</v>
      </c>
      <c r="X3582" s="161" t="b">
        <f t="array" ref="X3582">index('Query Tool'!B:B,match(D3582,'Query Tool'!C:C,0))</f>
        <v>1</v>
      </c>
      <c r="Y3582" s="161" t="str">
        <f t="shared" si="6"/>
        <v>millspa02,2020-21</v>
      </c>
      <c r="Z3582" s="168" t="str">
        <f t="array" ref="Z3582">iferror(index(I:I,match($A3582&amp;","&amp;index('Year Conversion'!$A:$A,match($C3582,'Year Conversion'!$B:$B,0)),$Y:$Y,0))-I3582,"")</f>
        <v/>
      </c>
      <c r="AA3582" s="168" t="str">
        <f t="array" ref="AA3582">iferror(index(J:J,match($A3582&amp;","&amp;index('Year Conversion'!$A:$A,match($C3582,'Year Conversion'!$B:$B,0)),$Y:$Y,0))-J3582,"")</f>
        <v/>
      </c>
      <c r="AB3582" s="168" t="str">
        <f t="array" ref="AB3582">iferror(index(K:K,match($A3582&amp;","&amp;index('Year Conversion'!$A:$A,match($C3582,'Year Conversion'!$B:$B,0)),$Y:$Y,0))-K3582,"")</f>
        <v/>
      </c>
      <c r="AC3582" s="168" t="str">
        <f t="shared" si="7"/>
        <v>SAS,2020-21</v>
      </c>
    </row>
    <row r="3583">
      <c r="A3583" s="161" t="str">
        <f>IFERROR(__xludf.DUMMYFUNCTION("""COMPUTED_VALUE"""),"templga01")</f>
        <v>templga01</v>
      </c>
      <c r="B3583" s="161" t="str">
        <f>IFERROR(__xludf.DUMMYFUNCTION("""COMPUTED_VALUE"""),"Garrett Temple")</f>
        <v>Garrett Temple</v>
      </c>
      <c r="C3583" s="162" t="str">
        <f>IFERROR(__xludf.DUMMYFUNCTION("""COMPUTED_VALUE"""),"2020-21")</f>
        <v>2020-21</v>
      </c>
      <c r="D3583" s="163" t="str">
        <f>IFERROR(__xludf.DUMMYFUNCTION("""COMPUTED_VALUE"""),"CHI")</f>
        <v>CHI</v>
      </c>
      <c r="E3583" s="164" t="str">
        <f>IFERROR(__xludf.DUMMYFUNCTION("""COMPUTED_VALUE"""),"Stationary Shooter")</f>
        <v>Stationary Shooter</v>
      </c>
      <c r="F3583" s="164">
        <f>IFERROR(__xludf.DUMMYFUNCTION("""COMPUTED_VALUE"""),778.73)</f>
        <v>778.73</v>
      </c>
      <c r="G3583" s="163">
        <f>IFERROR(__xludf.DUMMYFUNCTION("""COMPUTED_VALUE"""),28.0)</f>
        <v>28</v>
      </c>
      <c r="H3583" s="163" t="str">
        <f>IFERROR(__xludf.DUMMYFUNCTION("""COMPUTED_VALUE"""),"SG")</f>
        <v>SG</v>
      </c>
      <c r="I3583" s="163">
        <f>IFERROR(__xludf.DUMMYFUNCTION("""COMPUTED_VALUE"""),34.0)</f>
        <v>34</v>
      </c>
      <c r="J3583" s="165">
        <f>IFERROR(__xludf.DUMMYFUNCTION("""COMPUTED_VALUE"""),0.311030873238135)</f>
        <v>0.3110308732</v>
      </c>
      <c r="K3583" s="165">
        <f>IFERROR(__xludf.DUMMYFUNCTION("""COMPUTED_VALUE"""),-0.499073867126668)</f>
        <v>-0.4990738671</v>
      </c>
      <c r="L3583" s="165">
        <f>IFERROR(__xludf.DUMMYFUNCTION("""COMPUTED_VALUE"""),0.810104740364803)</f>
        <v>0.8101047404</v>
      </c>
      <c r="M3583" s="166">
        <f t="shared" si="2"/>
        <v>1.363815031</v>
      </c>
      <c r="N3583" s="167">
        <f t="shared" si="3"/>
        <v>27.81178571</v>
      </c>
      <c r="O3583" s="163">
        <f t="shared" ref="O3583:Q3583" si="3587">rank(I3583,I:I)</f>
        <v>164</v>
      </c>
      <c r="P3583" s="163">
        <f t="shared" si="3587"/>
        <v>1011</v>
      </c>
      <c r="Q3583" s="163">
        <f t="shared" si="3587"/>
        <v>2106</v>
      </c>
      <c r="R3583" s="163">
        <f>IFERROR(__xludf.DUMMYFUNCTION("RANK(M3583,filter(M:M,C:C=C3583))"),90.0)</f>
        <v>90</v>
      </c>
      <c r="S3583" s="161" t="b">
        <f t="shared" si="5"/>
        <v>1</v>
      </c>
      <c r="T3583" s="161" t="b">
        <f t="array" ref="T3583">index('Query Tool'!B:B,match(H3583,'Query Tool'!C:C,0))</f>
        <v>1</v>
      </c>
      <c r="U3583" s="161" t="b">
        <f t="array" ref="U3583">index('Query Tool'!B:B,match(C3583,'Query Tool'!C:C,0))</f>
        <v>1</v>
      </c>
      <c r="V3583" s="161" t="b">
        <f>F3583&gt;='Query Tool'!C$32</f>
        <v>1</v>
      </c>
      <c r="W3583" s="161" t="b">
        <f t="array" ref="W3583">index(Dropdowns!B:B,match(I3583,Dropdowns!A:A,0))</f>
        <v>1</v>
      </c>
      <c r="X3583" s="161" t="b">
        <f t="array" ref="X3583">index('Query Tool'!B:B,match(D3583,'Query Tool'!C:C,0))</f>
        <v>1</v>
      </c>
      <c r="Y3583" s="161" t="str">
        <f t="shared" si="6"/>
        <v>templga01,2020-21</v>
      </c>
      <c r="Z3583" s="168" t="str">
        <f t="array" ref="Z3583">iferror(index(I:I,match($A3583&amp;","&amp;index('Year Conversion'!$A:$A,match($C3583,'Year Conversion'!$B:$B,0)),$Y:$Y,0))-I3583,"")</f>
        <v/>
      </c>
      <c r="AA3583" s="168" t="str">
        <f t="array" ref="AA3583">iferror(index(J:J,match($A3583&amp;","&amp;index('Year Conversion'!$A:$A,match($C3583,'Year Conversion'!$B:$B,0)),$Y:$Y,0))-J3583,"")</f>
        <v/>
      </c>
      <c r="AB3583" s="168" t="str">
        <f t="array" ref="AB3583">iferror(index(K:K,match($A3583&amp;","&amp;index('Year Conversion'!$A:$A,match($C3583,'Year Conversion'!$B:$B,0)),$Y:$Y,0))-K3583,"")</f>
        <v/>
      </c>
      <c r="AC3583" s="168" t="str">
        <f t="shared" si="7"/>
        <v>CHI,2020-21</v>
      </c>
    </row>
    <row r="3584">
      <c r="A3584" s="161" t="str">
        <f>IFERROR(__xludf.DUMMYFUNCTION("""COMPUTED_VALUE"""),"matthwe02")</f>
        <v>matthwe02</v>
      </c>
      <c r="B3584" s="161" t="str">
        <f>IFERROR(__xludf.DUMMYFUNCTION("""COMPUTED_VALUE"""),"Wesley Matthews")</f>
        <v>Wesley Matthews</v>
      </c>
      <c r="C3584" s="162" t="str">
        <f>IFERROR(__xludf.DUMMYFUNCTION("""COMPUTED_VALUE"""),"2020-21")</f>
        <v>2020-21</v>
      </c>
      <c r="D3584" s="163" t="str">
        <f>IFERROR(__xludf.DUMMYFUNCTION("""COMPUTED_VALUE"""),"LAL")</f>
        <v>LAL</v>
      </c>
      <c r="E3584" s="164" t="str">
        <f>IFERROR(__xludf.DUMMYFUNCTION("""COMPUTED_VALUE"""),"Movement Shooter")</f>
        <v>Movement Shooter</v>
      </c>
      <c r="F3584" s="164">
        <f>IFERROR(__xludf.DUMMYFUNCTION("""COMPUTED_VALUE"""),503.431666666667)</f>
        <v>503.4316667</v>
      </c>
      <c r="G3584" s="163">
        <f>IFERROR(__xludf.DUMMYFUNCTION("""COMPUTED_VALUE"""),24.0)</f>
        <v>24</v>
      </c>
      <c r="H3584" s="163" t="str">
        <f>IFERROR(__xludf.DUMMYFUNCTION("""COMPUTED_VALUE"""),"SG")</f>
        <v>SG</v>
      </c>
      <c r="I3584" s="163">
        <f>IFERROR(__xludf.DUMMYFUNCTION("""COMPUTED_VALUE"""),34.0)</f>
        <v>34</v>
      </c>
      <c r="J3584" s="165">
        <f>IFERROR(__xludf.DUMMYFUNCTION("""COMPUTED_VALUE"""),-2.11798392295828)</f>
        <v>-2.117983923</v>
      </c>
      <c r="K3584" s="165">
        <f>IFERROR(__xludf.DUMMYFUNCTION("""COMPUTED_VALUE"""),-1.69079275905539)</f>
        <v>-1.690792759</v>
      </c>
      <c r="L3584" s="165">
        <f>IFERROR(__xludf.DUMMYFUNCTION("""COMPUTED_VALUE"""),-0.427191163902882)</f>
        <v>-0.4271911639</v>
      </c>
      <c r="M3584" s="166">
        <f t="shared" si="2"/>
        <v>0.06170860082</v>
      </c>
      <c r="N3584" s="167">
        <f t="shared" si="3"/>
        <v>20.97631944</v>
      </c>
      <c r="O3584" s="163">
        <f t="shared" ref="O3584:Q3584" si="3588">rank(I3584,I:I)</f>
        <v>164</v>
      </c>
      <c r="P3584" s="163">
        <f t="shared" si="3588"/>
        <v>3569</v>
      </c>
      <c r="Q3584" s="163">
        <f t="shared" si="3588"/>
        <v>3515</v>
      </c>
      <c r="R3584" s="163">
        <f>IFERROR(__xludf.DUMMYFUNCTION("RANK(M3584,filter(M:M,C:C=C3584))"),363.0)</f>
        <v>363</v>
      </c>
      <c r="S3584" s="161" t="b">
        <f t="shared" si="5"/>
        <v>1</v>
      </c>
      <c r="T3584" s="161" t="b">
        <f t="array" ref="T3584">index('Query Tool'!B:B,match(H3584,'Query Tool'!C:C,0))</f>
        <v>1</v>
      </c>
      <c r="U3584" s="161" t="b">
        <f t="array" ref="U3584">index('Query Tool'!B:B,match(C3584,'Query Tool'!C:C,0))</f>
        <v>1</v>
      </c>
      <c r="V3584" s="161" t="b">
        <f>F3584&gt;='Query Tool'!C$32</f>
        <v>1</v>
      </c>
      <c r="W3584" s="161" t="b">
        <f t="array" ref="W3584">index(Dropdowns!B:B,match(I3584,Dropdowns!A:A,0))</f>
        <v>1</v>
      </c>
      <c r="X3584" s="161" t="b">
        <f t="array" ref="X3584">index('Query Tool'!B:B,match(D3584,'Query Tool'!C:C,0))</f>
        <v>1</v>
      </c>
      <c r="Y3584" s="161" t="str">
        <f t="shared" si="6"/>
        <v>matthwe02,2020-21</v>
      </c>
      <c r="Z3584" s="168" t="str">
        <f t="array" ref="Z3584">iferror(index(I:I,match($A3584&amp;","&amp;index('Year Conversion'!$A:$A,match($C3584,'Year Conversion'!$B:$B,0)),$Y:$Y,0))-I3584,"")</f>
        <v/>
      </c>
      <c r="AA3584" s="168" t="str">
        <f t="array" ref="AA3584">iferror(index(J:J,match($A3584&amp;","&amp;index('Year Conversion'!$A:$A,match($C3584,'Year Conversion'!$B:$B,0)),$Y:$Y,0))-J3584,"")</f>
        <v/>
      </c>
      <c r="AB3584" s="168" t="str">
        <f t="array" ref="AB3584">iferror(index(K:K,match($A3584&amp;","&amp;index('Year Conversion'!$A:$A,match($C3584,'Year Conversion'!$B:$B,0)),$Y:$Y,0))-K3584,"")</f>
        <v/>
      </c>
      <c r="AC3584" s="168" t="str">
        <f t="shared" si="7"/>
        <v>LAL,2020-21</v>
      </c>
    </row>
    <row r="3585">
      <c r="A3585" s="161" t="str">
        <f>IFERROR(__xludf.DUMMYFUNCTION("""COMPUTED_VALUE"""),"walljo01")</f>
        <v>walljo01</v>
      </c>
      <c r="B3585" s="161" t="str">
        <f>IFERROR(__xludf.DUMMYFUNCTION("""COMPUTED_VALUE"""),"John Wall")</f>
        <v>John Wall</v>
      </c>
      <c r="C3585" s="162" t="str">
        <f>IFERROR(__xludf.DUMMYFUNCTION("""COMPUTED_VALUE"""),"2020-21")</f>
        <v>2020-21</v>
      </c>
      <c r="D3585" s="163" t="str">
        <f>IFERROR(__xludf.DUMMYFUNCTION("""COMPUTED_VALUE"""),"HOU")</f>
        <v>HOU</v>
      </c>
      <c r="E3585" s="164" t="str">
        <f>IFERROR(__xludf.DUMMYFUNCTION("""COMPUTED_VALUE"""),"Shot Creator")</f>
        <v>Shot Creator</v>
      </c>
      <c r="F3585" s="164">
        <f>IFERROR(__xludf.DUMMYFUNCTION("""COMPUTED_VALUE"""),591.03)</f>
        <v>591.03</v>
      </c>
      <c r="G3585" s="163">
        <f>IFERROR(__xludf.DUMMYFUNCTION("""COMPUTED_VALUE"""),19.0)</f>
        <v>19</v>
      </c>
      <c r="H3585" s="163" t="str">
        <f>IFERROR(__xludf.DUMMYFUNCTION("""COMPUTED_VALUE"""),"PG")</f>
        <v>PG</v>
      </c>
      <c r="I3585" s="163">
        <f>IFERROR(__xludf.DUMMYFUNCTION("""COMPUTED_VALUE"""),30.0)</f>
        <v>30</v>
      </c>
      <c r="J3585" s="165">
        <f>IFERROR(__xludf.DUMMYFUNCTION("""COMPUTED_VALUE"""),1.11170115440418)</f>
        <v>1.111701154</v>
      </c>
      <c r="K3585" s="165">
        <f>IFERROR(__xludf.DUMMYFUNCTION("""COMPUTED_VALUE"""),1.2014489774454)</f>
        <v>1.201448977</v>
      </c>
      <c r="L3585" s="165">
        <f>IFERROR(__xludf.DUMMYFUNCTION("""COMPUTED_VALUE"""),-0.0897478230412193)</f>
        <v>-0.08974782304</v>
      </c>
      <c r="M3585" s="166">
        <f t="shared" si="2"/>
        <v>1.353387848</v>
      </c>
      <c r="N3585" s="167">
        <f t="shared" si="3"/>
        <v>31.10684211</v>
      </c>
      <c r="O3585" s="163">
        <f t="shared" ref="O3585:Q3585" si="3589">rank(I3585,I:I)</f>
        <v>655</v>
      </c>
      <c r="P3585" s="163">
        <f t="shared" si="3589"/>
        <v>612</v>
      </c>
      <c r="Q3585" s="163">
        <f t="shared" si="3589"/>
        <v>417</v>
      </c>
      <c r="R3585" s="163">
        <f>IFERROR(__xludf.DUMMYFUNCTION("RANK(M3585,filter(M:M,C:C=C3585))"),91.0)</f>
        <v>91</v>
      </c>
      <c r="S3585" s="161" t="b">
        <f t="shared" si="5"/>
        <v>1</v>
      </c>
      <c r="T3585" s="161" t="b">
        <f t="array" ref="T3585">index('Query Tool'!B:B,match(H3585,'Query Tool'!C:C,0))</f>
        <v>1</v>
      </c>
      <c r="U3585" s="161" t="b">
        <f t="array" ref="U3585">index('Query Tool'!B:B,match(C3585,'Query Tool'!C:C,0))</f>
        <v>1</v>
      </c>
      <c r="V3585" s="161" t="b">
        <f>F3585&gt;='Query Tool'!C$32</f>
        <v>1</v>
      </c>
      <c r="W3585" s="161" t="b">
        <f t="array" ref="W3585">index(Dropdowns!B:B,match(I3585,Dropdowns!A:A,0))</f>
        <v>1</v>
      </c>
      <c r="X3585" s="161" t="b">
        <f t="array" ref="X3585">index('Query Tool'!B:B,match(D3585,'Query Tool'!C:C,0))</f>
        <v>1</v>
      </c>
      <c r="Y3585" s="161" t="str">
        <f t="shared" si="6"/>
        <v>walljo01,2020-21</v>
      </c>
      <c r="Z3585" s="168" t="str">
        <f t="array" ref="Z3585">iferror(index(I:I,match($A3585&amp;","&amp;index('Year Conversion'!$A:$A,match($C3585,'Year Conversion'!$B:$B,0)),$Y:$Y,0))-I3585,"")</f>
        <v/>
      </c>
      <c r="AA3585" s="168" t="str">
        <f t="array" ref="AA3585">iferror(index(J:J,match($A3585&amp;","&amp;index('Year Conversion'!$A:$A,match($C3585,'Year Conversion'!$B:$B,0)),$Y:$Y,0))-J3585,"")</f>
        <v/>
      </c>
      <c r="AB3585" s="168" t="str">
        <f t="array" ref="AB3585">iferror(index(K:K,match($A3585&amp;","&amp;index('Year Conversion'!$A:$A,match($C3585,'Year Conversion'!$B:$B,0)),$Y:$Y,0))-K3585,"")</f>
        <v/>
      </c>
      <c r="AC3585" s="168" t="str">
        <f t="shared" si="7"/>
        <v>HOU,2020-21</v>
      </c>
    </row>
    <row r="3586">
      <c r="A3586" s="161" t="str">
        <f>IFERROR(__xludf.DUMMYFUNCTION("""COMPUTED_VALUE"""),"favorde01")</f>
        <v>favorde01</v>
      </c>
      <c r="B3586" s="161" t="str">
        <f>IFERROR(__xludf.DUMMYFUNCTION("""COMPUTED_VALUE"""),"Derrick Favors")</f>
        <v>Derrick Favors</v>
      </c>
      <c r="C3586" s="162" t="str">
        <f>IFERROR(__xludf.DUMMYFUNCTION("""COMPUTED_VALUE"""),"2020-21")</f>
        <v>2020-21</v>
      </c>
      <c r="D3586" s="163" t="str">
        <f>IFERROR(__xludf.DUMMYFUNCTION("""COMPUTED_VALUE"""),"UTA")</f>
        <v>UTA</v>
      </c>
      <c r="E3586" s="164" t="str">
        <f>IFERROR(__xludf.DUMMYFUNCTION("""COMPUTED_VALUE"""),"Roll + Cut Big")</f>
        <v>Roll + Cut Big</v>
      </c>
      <c r="F3586" s="164">
        <f>IFERROR(__xludf.DUMMYFUNCTION("""COMPUTED_VALUE"""),460.488333333334)</f>
        <v>460.4883333</v>
      </c>
      <c r="G3586" s="163">
        <f>IFERROR(__xludf.DUMMYFUNCTION("""COMPUTED_VALUE"""),28.0)</f>
        <v>28</v>
      </c>
      <c r="H3586" s="163" t="str">
        <f>IFERROR(__xludf.DUMMYFUNCTION("""COMPUTED_VALUE"""),"C")</f>
        <v>C</v>
      </c>
      <c r="I3586" s="163">
        <f>IFERROR(__xludf.DUMMYFUNCTION("""COMPUTED_VALUE"""),29.0)</f>
        <v>29</v>
      </c>
      <c r="J3586" s="165">
        <f>IFERROR(__xludf.DUMMYFUNCTION("""COMPUTED_VALUE"""),0.831553721225164)</f>
        <v>0.8315537212</v>
      </c>
      <c r="K3586" s="165">
        <f>IFERROR(__xludf.DUMMYFUNCTION("""COMPUTED_VALUE"""),-0.872778772616123)</f>
        <v>-0.8727787726</v>
      </c>
      <c r="L3586" s="165">
        <f>IFERROR(__xludf.DUMMYFUNCTION("""COMPUTED_VALUE"""),1.70433249384129)</f>
        <v>1.704332494</v>
      </c>
      <c r="M3586" s="166">
        <f t="shared" si="2"/>
        <v>0.9678331059</v>
      </c>
      <c r="N3586" s="167">
        <f t="shared" si="3"/>
        <v>16.4460119</v>
      </c>
      <c r="O3586" s="163">
        <f t="shared" ref="O3586:Q3586" si="3590">rank(I3586,I:I)</f>
        <v>855</v>
      </c>
      <c r="P3586" s="163">
        <f t="shared" si="3590"/>
        <v>720</v>
      </c>
      <c r="Q3586" s="163">
        <f t="shared" si="3590"/>
        <v>2649</v>
      </c>
      <c r="R3586" s="163">
        <f>IFERROR(__xludf.DUMMYFUNCTION("RANK(M3586,filter(M:M,C:C=C3586))"),124.0)</f>
        <v>124</v>
      </c>
      <c r="S3586" s="161" t="b">
        <f t="shared" si="5"/>
        <v>0</v>
      </c>
      <c r="T3586" s="161" t="b">
        <f t="array" ref="T3586">index('Query Tool'!B:B,match(H3586,'Query Tool'!C:C,0))</f>
        <v>1</v>
      </c>
      <c r="U3586" s="161" t="b">
        <f t="array" ref="U3586">index('Query Tool'!B:B,match(C3586,'Query Tool'!C:C,0))</f>
        <v>1</v>
      </c>
      <c r="V3586" s="161" t="b">
        <f>F3586&gt;='Query Tool'!C$32</f>
        <v>0</v>
      </c>
      <c r="W3586" s="161" t="b">
        <f t="array" ref="W3586">index(Dropdowns!B:B,match(I3586,Dropdowns!A:A,0))</f>
        <v>1</v>
      </c>
      <c r="X3586" s="161" t="b">
        <f t="array" ref="X3586">index('Query Tool'!B:B,match(D3586,'Query Tool'!C:C,0))</f>
        <v>1</v>
      </c>
      <c r="Y3586" s="161" t="str">
        <f t="shared" si="6"/>
        <v>favorde01,2020-21</v>
      </c>
      <c r="Z3586" s="168" t="str">
        <f t="array" ref="Z3586">iferror(index(I:I,match($A3586&amp;","&amp;index('Year Conversion'!$A:$A,match($C3586,'Year Conversion'!$B:$B,0)),$Y:$Y,0))-I3586,"")</f>
        <v/>
      </c>
      <c r="AA3586" s="168" t="str">
        <f t="array" ref="AA3586">iferror(index(J:J,match($A3586&amp;","&amp;index('Year Conversion'!$A:$A,match($C3586,'Year Conversion'!$B:$B,0)),$Y:$Y,0))-J3586,"")</f>
        <v/>
      </c>
      <c r="AB3586" s="168" t="str">
        <f t="array" ref="AB3586">iferror(index(K:K,match($A3586&amp;","&amp;index('Year Conversion'!$A:$A,match($C3586,'Year Conversion'!$B:$B,0)),$Y:$Y,0))-K3586,"")</f>
        <v/>
      </c>
      <c r="AC3586" s="168" t="str">
        <f t="shared" si="7"/>
        <v>UTA,2020-21</v>
      </c>
    </row>
    <row r="3587">
      <c r="A3587" s="161" t="str">
        <f>IFERROR(__xludf.DUMMYFUNCTION("""COMPUTED_VALUE"""),"couside01")</f>
        <v>couside01</v>
      </c>
      <c r="B3587" s="161" t="str">
        <f>IFERROR(__xludf.DUMMYFUNCTION("""COMPUTED_VALUE"""),"DeMarcus Cousins")</f>
        <v>DeMarcus Cousins</v>
      </c>
      <c r="C3587" s="162" t="str">
        <f>IFERROR(__xludf.DUMMYFUNCTION("""COMPUTED_VALUE"""),"2020-21")</f>
        <v>2020-21</v>
      </c>
      <c r="D3587" s="163" t="str">
        <f>IFERROR(__xludf.DUMMYFUNCTION("""COMPUTED_VALUE"""),"HOU")</f>
        <v>HOU</v>
      </c>
      <c r="E3587" s="164" t="str">
        <f>IFERROR(__xludf.DUMMYFUNCTION("""COMPUTED_VALUE"""),"Stretch Big")</f>
        <v>Stretch Big</v>
      </c>
      <c r="F3587" s="164">
        <f>IFERROR(__xludf.DUMMYFUNCTION("""COMPUTED_VALUE"""),506.115)</f>
        <v>506.115</v>
      </c>
      <c r="G3587" s="163">
        <f>IFERROR(__xludf.DUMMYFUNCTION("""COMPUTED_VALUE"""),25.0)</f>
        <v>25</v>
      </c>
      <c r="H3587" s="163" t="str">
        <f>IFERROR(__xludf.DUMMYFUNCTION("""COMPUTED_VALUE"""),"C")</f>
        <v>C</v>
      </c>
      <c r="I3587" s="163">
        <f>IFERROR(__xludf.DUMMYFUNCTION("""COMPUTED_VALUE"""),30.0)</f>
        <v>30</v>
      </c>
      <c r="J3587" s="165">
        <f>IFERROR(__xludf.DUMMYFUNCTION("""COMPUTED_VALUE"""),1.43369548937987)</f>
        <v>1.433695489</v>
      </c>
      <c r="K3587" s="165">
        <f>IFERROR(__xludf.DUMMYFUNCTION("""COMPUTED_VALUE"""),-0.678420721055619)</f>
        <v>-0.6784207211</v>
      </c>
      <c r="L3587" s="165">
        <f>IFERROR(__xludf.DUMMYFUNCTION("""COMPUTED_VALUE"""),2.11211621043549)</f>
        <v>2.11211621</v>
      </c>
      <c r="M3587" s="166">
        <f t="shared" si="2"/>
        <v>1.268070603</v>
      </c>
      <c r="N3587" s="167">
        <f t="shared" si="3"/>
        <v>20.2446</v>
      </c>
      <c r="O3587" s="163">
        <f t="shared" ref="O3587:Q3587" si="3591">rank(I3587,I:I)</f>
        <v>655</v>
      </c>
      <c r="P3587" s="163">
        <f t="shared" si="3591"/>
        <v>479</v>
      </c>
      <c r="Q3587" s="163">
        <f t="shared" si="3591"/>
        <v>2386</v>
      </c>
      <c r="R3587" s="163">
        <f>IFERROR(__xludf.DUMMYFUNCTION("RANK(M3587,filter(M:M,C:C=C3587))"),99.0)</f>
        <v>99</v>
      </c>
      <c r="S3587" s="161" t="b">
        <f t="shared" si="5"/>
        <v>1</v>
      </c>
      <c r="T3587" s="161" t="b">
        <f t="array" ref="T3587">index('Query Tool'!B:B,match(H3587,'Query Tool'!C:C,0))</f>
        <v>1</v>
      </c>
      <c r="U3587" s="161" t="b">
        <f t="array" ref="U3587">index('Query Tool'!B:B,match(C3587,'Query Tool'!C:C,0))</f>
        <v>1</v>
      </c>
      <c r="V3587" s="161" t="b">
        <f>F3587&gt;='Query Tool'!C$32</f>
        <v>1</v>
      </c>
      <c r="W3587" s="161" t="b">
        <f t="array" ref="W3587">index(Dropdowns!B:B,match(I3587,Dropdowns!A:A,0))</f>
        <v>1</v>
      </c>
      <c r="X3587" s="161" t="b">
        <f t="array" ref="X3587">index('Query Tool'!B:B,match(D3587,'Query Tool'!C:C,0))</f>
        <v>1</v>
      </c>
      <c r="Y3587" s="161" t="str">
        <f t="shared" si="6"/>
        <v>couside01,2020-21</v>
      </c>
      <c r="Z3587" s="168" t="str">
        <f t="array" ref="Z3587">iferror(index(I:I,match($A3587&amp;","&amp;index('Year Conversion'!$A:$A,match($C3587,'Year Conversion'!$B:$B,0)),$Y:$Y,0))-I3587,"")</f>
        <v/>
      </c>
      <c r="AA3587" s="168" t="str">
        <f t="array" ref="AA3587">iferror(index(J:J,match($A3587&amp;","&amp;index('Year Conversion'!$A:$A,match($C3587,'Year Conversion'!$B:$B,0)),$Y:$Y,0))-J3587,"")</f>
        <v/>
      </c>
      <c r="AB3587" s="168" t="str">
        <f t="array" ref="AB3587">iferror(index(K:K,match($A3587&amp;","&amp;index('Year Conversion'!$A:$A,match($C3587,'Year Conversion'!$B:$B,0)),$Y:$Y,0))-K3587,"")</f>
        <v/>
      </c>
      <c r="AC3587" s="168" t="str">
        <f t="shared" si="7"/>
        <v>HOU,2020-21</v>
      </c>
    </row>
    <row r="3588">
      <c r="A3588" s="161" t="str">
        <f>IFERROR(__xludf.DUMMYFUNCTION("""COMPUTED_VALUE"""),"aminual01")</f>
        <v>aminual01</v>
      </c>
      <c r="B3588" s="161" t="str">
        <f>IFERROR(__xludf.DUMMYFUNCTION("""COMPUTED_VALUE"""),"Al-Farouq Aminu")</f>
        <v>Al-Farouq Aminu</v>
      </c>
      <c r="C3588" s="162" t="str">
        <f>IFERROR(__xludf.DUMMYFUNCTION("""COMPUTED_VALUE"""),"2020-21")</f>
        <v>2020-21</v>
      </c>
      <c r="D3588" s="163" t="str">
        <f>IFERROR(__xludf.DUMMYFUNCTION("""COMPUTED_VALUE"""),"ORL")</f>
        <v>ORL</v>
      </c>
      <c r="E3588" s="164" t="str">
        <f>IFERROR(__xludf.DUMMYFUNCTION("""COMPUTED_VALUE"""),"Roll + Cut Big")</f>
        <v>Roll + Cut Big</v>
      </c>
      <c r="F3588" s="164">
        <f>IFERROR(__xludf.DUMMYFUNCTION("""COMPUTED_VALUE"""),48.2333333333334)</f>
        <v>48.23333333</v>
      </c>
      <c r="G3588" s="163">
        <f>IFERROR(__xludf.DUMMYFUNCTION("""COMPUTED_VALUE"""),4.0)</f>
        <v>4</v>
      </c>
      <c r="H3588" s="163" t="str">
        <f>IFERROR(__xludf.DUMMYFUNCTION("""COMPUTED_VALUE"""),"PF")</f>
        <v>PF</v>
      </c>
      <c r="I3588" s="163">
        <f>IFERROR(__xludf.DUMMYFUNCTION("""COMPUTED_VALUE"""),30.0)</f>
        <v>30</v>
      </c>
      <c r="J3588" s="165">
        <f>IFERROR(__xludf.DUMMYFUNCTION("""COMPUTED_VALUE"""),0.071085326467481)</f>
        <v>0.07108532647</v>
      </c>
      <c r="K3588" s="165">
        <f>IFERROR(__xludf.DUMMYFUNCTION("""COMPUTED_VALUE"""),-0.778747701506422)</f>
        <v>-0.7787477015</v>
      </c>
      <c r="L3588" s="165">
        <f>IFERROR(__xludf.DUMMYFUNCTION("""COMPUTED_VALUE"""),0.849833027973903)</f>
        <v>0.849833028</v>
      </c>
      <c r="M3588" s="166">
        <f t="shared" si="2"/>
        <v>0.07667128864</v>
      </c>
      <c r="N3588" s="167">
        <f t="shared" si="3"/>
        <v>12.05833333</v>
      </c>
      <c r="O3588" s="163">
        <f t="shared" ref="O3588:Q3588" si="3592">rank(I3588,I:I)</f>
        <v>655</v>
      </c>
      <c r="P3588" s="163">
        <f t="shared" si="3592"/>
        <v>1226</v>
      </c>
      <c r="Q3588" s="163">
        <f t="shared" si="3592"/>
        <v>2531</v>
      </c>
      <c r="R3588" s="163">
        <f>IFERROR(__xludf.DUMMYFUNCTION("RANK(M3588,filter(M:M,C:C=C3588))"),350.0)</f>
        <v>350</v>
      </c>
      <c r="S3588" s="161" t="b">
        <f t="shared" si="5"/>
        <v>0</v>
      </c>
      <c r="T3588" s="161" t="b">
        <f t="array" ref="T3588">index('Query Tool'!B:B,match(H3588,'Query Tool'!C:C,0))</f>
        <v>1</v>
      </c>
      <c r="U3588" s="161" t="b">
        <f t="array" ref="U3588">index('Query Tool'!B:B,match(C3588,'Query Tool'!C:C,0))</f>
        <v>1</v>
      </c>
      <c r="V3588" s="161" t="b">
        <f>F3588&gt;='Query Tool'!C$32</f>
        <v>0</v>
      </c>
      <c r="W3588" s="161" t="b">
        <f t="array" ref="W3588">index(Dropdowns!B:B,match(I3588,Dropdowns!A:A,0))</f>
        <v>1</v>
      </c>
      <c r="X3588" s="161" t="b">
        <f t="array" ref="X3588">index('Query Tool'!B:B,match(D3588,'Query Tool'!C:C,0))</f>
        <v>1</v>
      </c>
      <c r="Y3588" s="161" t="str">
        <f t="shared" si="6"/>
        <v>aminual01,2020-21</v>
      </c>
      <c r="Z3588" s="168" t="str">
        <f t="array" ref="Z3588">iferror(index(I:I,match($A3588&amp;","&amp;index('Year Conversion'!$A:$A,match($C3588,'Year Conversion'!$B:$B,0)),$Y:$Y,0))-I3588,"")</f>
        <v/>
      </c>
      <c r="AA3588" s="168" t="str">
        <f t="array" ref="AA3588">iferror(index(J:J,match($A3588&amp;","&amp;index('Year Conversion'!$A:$A,match($C3588,'Year Conversion'!$B:$B,0)),$Y:$Y,0))-J3588,"")</f>
        <v/>
      </c>
      <c r="AB3588" s="168" t="str">
        <f t="array" ref="AB3588">iferror(index(K:K,match($A3588&amp;","&amp;index('Year Conversion'!$A:$A,match($C3588,'Year Conversion'!$B:$B,0)),$Y:$Y,0))-K3588,"")</f>
        <v/>
      </c>
      <c r="AC3588" s="168" t="str">
        <f t="shared" si="7"/>
        <v>ORL,2020-21</v>
      </c>
    </row>
    <row r="3589">
      <c r="A3589" s="161" t="str">
        <f>IFERROR(__xludf.DUMMYFUNCTION("""COMPUTED_VALUE"""),"haywago01")</f>
        <v>haywago01</v>
      </c>
      <c r="B3589" s="161" t="str">
        <f>IFERROR(__xludf.DUMMYFUNCTION("""COMPUTED_VALUE"""),"Gordon Hayward")</f>
        <v>Gordon Hayward</v>
      </c>
      <c r="C3589" s="162" t="str">
        <f>IFERROR(__xludf.DUMMYFUNCTION("""COMPUTED_VALUE"""),"2020-21")</f>
        <v>2020-21</v>
      </c>
      <c r="D3589" s="163" t="str">
        <f>IFERROR(__xludf.DUMMYFUNCTION("""COMPUTED_VALUE"""),"CHO")</f>
        <v>CHO</v>
      </c>
      <c r="E3589" s="164" t="str">
        <f>IFERROR(__xludf.DUMMYFUNCTION("""COMPUTED_VALUE"""),"Secondary Ball Handler")</f>
        <v>Secondary Ball Handler</v>
      </c>
      <c r="F3589" s="164">
        <f>IFERROR(__xludf.DUMMYFUNCTION("""COMPUTED_VALUE"""),954.138333333333)</f>
        <v>954.1383333</v>
      </c>
      <c r="G3589" s="163">
        <f>IFERROR(__xludf.DUMMYFUNCTION("""COMPUTED_VALUE"""),27.0)</f>
        <v>27</v>
      </c>
      <c r="H3589" s="163" t="str">
        <f>IFERROR(__xludf.DUMMYFUNCTION("""COMPUTED_VALUE"""),"SF")</f>
        <v>SF</v>
      </c>
      <c r="I3589" s="163">
        <f>IFERROR(__xludf.DUMMYFUNCTION("""COMPUTED_VALUE"""),30.0)</f>
        <v>30</v>
      </c>
      <c r="J3589" s="165">
        <f>IFERROR(__xludf.DUMMYFUNCTION("""COMPUTED_VALUE"""),0.143213179299726)</f>
        <v>0.1432131793</v>
      </c>
      <c r="K3589" s="165">
        <f>IFERROR(__xludf.DUMMYFUNCTION("""COMPUTED_VALUE"""),0.936505183790565)</f>
        <v>0.9365051838</v>
      </c>
      <c r="L3589" s="165">
        <f>IFERROR(__xludf.DUMMYFUNCTION("""COMPUTED_VALUE"""),-0.793292004490839)</f>
        <v>-0.7932920045</v>
      </c>
      <c r="M3589" s="166">
        <f t="shared" si="2"/>
        <v>1.563085431</v>
      </c>
      <c r="N3589" s="167">
        <f t="shared" si="3"/>
        <v>35.33845679</v>
      </c>
      <c r="O3589" s="163">
        <f t="shared" ref="O3589:Q3589" si="3593">rank(I3589,I:I)</f>
        <v>655</v>
      </c>
      <c r="P3589" s="163">
        <f t="shared" si="3593"/>
        <v>1142</v>
      </c>
      <c r="Q3589" s="163">
        <f t="shared" si="3593"/>
        <v>535</v>
      </c>
      <c r="R3589" s="163">
        <f>IFERROR(__xludf.DUMMYFUNCTION("RANK(M3589,filter(M:M,C:C=C3589))"),76.0)</f>
        <v>76</v>
      </c>
      <c r="S3589" s="161" t="b">
        <f t="shared" si="5"/>
        <v>1</v>
      </c>
      <c r="T3589" s="161" t="b">
        <f t="array" ref="T3589">index('Query Tool'!B:B,match(H3589,'Query Tool'!C:C,0))</f>
        <v>1</v>
      </c>
      <c r="U3589" s="161" t="b">
        <f t="array" ref="U3589">index('Query Tool'!B:B,match(C3589,'Query Tool'!C:C,0))</f>
        <v>1</v>
      </c>
      <c r="V3589" s="161" t="b">
        <f>F3589&gt;='Query Tool'!C$32</f>
        <v>1</v>
      </c>
      <c r="W3589" s="161" t="b">
        <f t="array" ref="W3589">index(Dropdowns!B:B,match(I3589,Dropdowns!A:A,0))</f>
        <v>1</v>
      </c>
      <c r="X3589" s="161" t="b">
        <f t="array" ref="X3589">index('Query Tool'!B:B,match(D3589,'Query Tool'!C:C,0))</f>
        <v>1</v>
      </c>
      <c r="Y3589" s="161" t="str">
        <f t="shared" si="6"/>
        <v>haywago01,2020-21</v>
      </c>
      <c r="Z3589" s="168" t="str">
        <f t="array" ref="Z3589">iferror(index(I:I,match($A3589&amp;","&amp;index('Year Conversion'!$A:$A,match($C3589,'Year Conversion'!$B:$B,0)),$Y:$Y,0))-I3589,"")</f>
        <v/>
      </c>
      <c r="AA3589" s="168" t="str">
        <f t="array" ref="AA3589">iferror(index(J:J,match($A3589&amp;","&amp;index('Year Conversion'!$A:$A,match($C3589,'Year Conversion'!$B:$B,0)),$Y:$Y,0))-J3589,"")</f>
        <v/>
      </c>
      <c r="AB3589" s="168" t="str">
        <f t="array" ref="AB3589">iferror(index(K:K,match($A3589&amp;","&amp;index('Year Conversion'!$A:$A,match($C3589,'Year Conversion'!$B:$B,0)),$Y:$Y,0))-K3589,"")</f>
        <v/>
      </c>
      <c r="AC3589" s="168" t="str">
        <f t="shared" si="7"/>
        <v>CHO,2020-21</v>
      </c>
    </row>
    <row r="3590">
      <c r="A3590" s="161" t="str">
        <f>IFERROR(__xludf.DUMMYFUNCTION("""COMPUTED_VALUE"""),"georgpa01")</f>
        <v>georgpa01</v>
      </c>
      <c r="B3590" s="161" t="str">
        <f>IFERROR(__xludf.DUMMYFUNCTION("""COMPUTED_VALUE"""),"Paul George")</f>
        <v>Paul George</v>
      </c>
      <c r="C3590" s="162" t="str">
        <f>IFERROR(__xludf.DUMMYFUNCTION("""COMPUTED_VALUE"""),"2020-21")</f>
        <v>2020-21</v>
      </c>
      <c r="D3590" s="163" t="str">
        <f>IFERROR(__xludf.DUMMYFUNCTION("""COMPUTED_VALUE"""),"LAC")</f>
        <v>LAC</v>
      </c>
      <c r="E3590" s="164" t="str">
        <f>IFERROR(__xludf.DUMMYFUNCTION("""COMPUTED_VALUE"""),"Shot Creator")</f>
        <v>Shot Creator</v>
      </c>
      <c r="F3590" s="164">
        <f>IFERROR(__xludf.DUMMYFUNCTION("""COMPUTED_VALUE"""),739.021666666667)</f>
        <v>739.0216667</v>
      </c>
      <c r="G3590" s="163">
        <f>IFERROR(__xludf.DUMMYFUNCTION("""COMPUTED_VALUE"""),22.0)</f>
        <v>22</v>
      </c>
      <c r="H3590" s="163" t="str">
        <f>IFERROR(__xludf.DUMMYFUNCTION("""COMPUTED_VALUE"""),"SF")</f>
        <v>SF</v>
      </c>
      <c r="I3590" s="163">
        <f>IFERROR(__xludf.DUMMYFUNCTION("""COMPUTED_VALUE"""),30.0)</f>
        <v>30</v>
      </c>
      <c r="J3590" s="165">
        <f>IFERROR(__xludf.DUMMYFUNCTION("""COMPUTED_VALUE"""),3.12300576637288)</f>
        <v>3.123005766</v>
      </c>
      <c r="K3590" s="165">
        <f>IFERROR(__xludf.DUMMYFUNCTION("""COMPUTED_VALUE"""),3.07979450916029)</f>
        <v>3.079794509</v>
      </c>
      <c r="L3590" s="165">
        <f>IFERROR(__xludf.DUMMYFUNCTION("""COMPUTED_VALUE"""),0.0432112572125876)</f>
        <v>0.04321125721</v>
      </c>
      <c r="M3590" s="166">
        <f t="shared" si="2"/>
        <v>2.674588405</v>
      </c>
      <c r="N3590" s="167">
        <f t="shared" si="3"/>
        <v>33.59189394</v>
      </c>
      <c r="O3590" s="163">
        <f t="shared" ref="O3590:Q3590" si="3594">rank(I3590,I:I)</f>
        <v>655</v>
      </c>
      <c r="P3590" s="163">
        <f t="shared" si="3594"/>
        <v>161</v>
      </c>
      <c r="Q3590" s="163">
        <f t="shared" si="3594"/>
        <v>115</v>
      </c>
      <c r="R3590" s="163">
        <f>IFERROR(__xludf.DUMMYFUNCTION("RANK(M3590,filter(M:M,C:C=C3590))"),25.0)</f>
        <v>25</v>
      </c>
      <c r="S3590" s="161" t="b">
        <f t="shared" si="5"/>
        <v>1</v>
      </c>
      <c r="T3590" s="161" t="b">
        <f t="array" ref="T3590">index('Query Tool'!B:B,match(H3590,'Query Tool'!C:C,0))</f>
        <v>1</v>
      </c>
      <c r="U3590" s="161" t="b">
        <f t="array" ref="U3590">index('Query Tool'!B:B,match(C3590,'Query Tool'!C:C,0))</f>
        <v>1</v>
      </c>
      <c r="V3590" s="161" t="b">
        <f>F3590&gt;='Query Tool'!C$32</f>
        <v>1</v>
      </c>
      <c r="W3590" s="161" t="b">
        <f t="array" ref="W3590">index(Dropdowns!B:B,match(I3590,Dropdowns!A:A,0))</f>
        <v>1</v>
      </c>
      <c r="X3590" s="161" t="b">
        <f t="array" ref="X3590">index('Query Tool'!B:B,match(D3590,'Query Tool'!C:C,0))</f>
        <v>1</v>
      </c>
      <c r="Y3590" s="161" t="str">
        <f t="shared" si="6"/>
        <v>georgpa01,2020-21</v>
      </c>
      <c r="Z3590" s="168" t="str">
        <f t="array" ref="Z3590">iferror(index(I:I,match($A3590&amp;","&amp;index('Year Conversion'!$A:$A,match($C3590,'Year Conversion'!$B:$B,0)),$Y:$Y,0))-I3590,"")</f>
        <v/>
      </c>
      <c r="AA3590" s="168" t="str">
        <f t="array" ref="AA3590">iferror(index(J:J,match($A3590&amp;","&amp;index('Year Conversion'!$A:$A,match($C3590,'Year Conversion'!$B:$B,0)),$Y:$Y,0))-J3590,"")</f>
        <v/>
      </c>
      <c r="AB3590" s="168" t="str">
        <f t="array" ref="AB3590">iferror(index(K:K,match($A3590&amp;","&amp;index('Year Conversion'!$A:$A,match($C3590,'Year Conversion'!$B:$B,0)),$Y:$Y,0))-K3590,"")</f>
        <v/>
      </c>
      <c r="AC3590" s="168" t="str">
        <f t="shared" si="7"/>
        <v>LAC,2020-21</v>
      </c>
    </row>
    <row r="3591">
      <c r="A3591" s="161" t="str">
        <f>IFERROR(__xludf.DUMMYFUNCTION("""COMPUTED_VALUE"""),"davised01")</f>
        <v>davised01</v>
      </c>
      <c r="B3591" s="161" t="str">
        <f>IFERROR(__xludf.DUMMYFUNCTION("""COMPUTED_VALUE"""),"Ed Davis")</f>
        <v>Ed Davis</v>
      </c>
      <c r="C3591" s="162" t="str">
        <f>IFERROR(__xludf.DUMMYFUNCTION("""COMPUTED_VALUE"""),"2020-21")</f>
        <v>2020-21</v>
      </c>
      <c r="D3591" s="163" t="str">
        <f>IFERROR(__xludf.DUMMYFUNCTION("""COMPUTED_VALUE"""),"MIN")</f>
        <v>MIN</v>
      </c>
      <c r="E3591" s="164" t="str">
        <f>IFERROR(__xludf.DUMMYFUNCTION("""COMPUTED_VALUE"""),"Roll + Cut Big")</f>
        <v>Roll + Cut Big</v>
      </c>
      <c r="F3591" s="164">
        <f>IFERROR(__xludf.DUMMYFUNCTION("""COMPUTED_VALUE"""),264.316666666666)</f>
        <v>264.3166667</v>
      </c>
      <c r="G3591" s="163">
        <f>IFERROR(__xludf.DUMMYFUNCTION("""COMPUTED_VALUE"""),19.0)</f>
        <v>19</v>
      </c>
      <c r="H3591" s="163" t="str">
        <f>IFERROR(__xludf.DUMMYFUNCTION("""COMPUTED_VALUE"""),"C")</f>
        <v>C</v>
      </c>
      <c r="I3591" s="163">
        <f>IFERROR(__xludf.DUMMYFUNCTION("""COMPUTED_VALUE"""),31.0)</f>
        <v>31</v>
      </c>
      <c r="J3591" s="165">
        <f>IFERROR(__xludf.DUMMYFUNCTION("""COMPUTED_VALUE"""),-0.928458108609598)</f>
        <v>-0.9284581086</v>
      </c>
      <c r="K3591" s="165">
        <f>IFERROR(__xludf.DUMMYFUNCTION("""COMPUTED_VALUE"""),-1.90882557372421)</f>
        <v>-1.908825574</v>
      </c>
      <c r="L3591" s="165">
        <f>IFERROR(__xludf.DUMMYFUNCTION("""COMPUTED_VALUE"""),0.980367465114617)</f>
        <v>0.9803674651</v>
      </c>
      <c r="M3591" s="166">
        <f t="shared" si="2"/>
        <v>0.2422351736</v>
      </c>
      <c r="N3591" s="167">
        <f t="shared" si="3"/>
        <v>13.91140351</v>
      </c>
      <c r="O3591" s="163">
        <f t="shared" ref="O3591:Q3591" si="3595">rank(I3591,I:I)</f>
        <v>490</v>
      </c>
      <c r="P3591" s="163">
        <f t="shared" si="3595"/>
        <v>2428</v>
      </c>
      <c r="Q3591" s="163">
        <f t="shared" si="3595"/>
        <v>3656</v>
      </c>
      <c r="R3591" s="163">
        <f>IFERROR(__xludf.DUMMYFUNCTION("RANK(M3591,filter(M:M,C:C=C3591))"),265.0)</f>
        <v>265</v>
      </c>
      <c r="S3591" s="161" t="b">
        <f t="shared" si="5"/>
        <v>0</v>
      </c>
      <c r="T3591" s="161" t="b">
        <f t="array" ref="T3591">index('Query Tool'!B:B,match(H3591,'Query Tool'!C:C,0))</f>
        <v>1</v>
      </c>
      <c r="U3591" s="161" t="b">
        <f t="array" ref="U3591">index('Query Tool'!B:B,match(C3591,'Query Tool'!C:C,0))</f>
        <v>1</v>
      </c>
      <c r="V3591" s="161" t="b">
        <f>F3591&gt;='Query Tool'!C$32</f>
        <v>0</v>
      </c>
      <c r="W3591" s="161" t="b">
        <f t="array" ref="W3591">index(Dropdowns!B:B,match(I3591,Dropdowns!A:A,0))</f>
        <v>1</v>
      </c>
      <c r="X3591" s="161" t="b">
        <f t="array" ref="X3591">index('Query Tool'!B:B,match(D3591,'Query Tool'!C:C,0))</f>
        <v>1</v>
      </c>
      <c r="Y3591" s="161" t="str">
        <f t="shared" si="6"/>
        <v>davised01,2020-21</v>
      </c>
      <c r="Z3591" s="168" t="str">
        <f t="array" ref="Z3591">iferror(index(I:I,match($A3591&amp;","&amp;index('Year Conversion'!$A:$A,match($C3591,'Year Conversion'!$B:$B,0)),$Y:$Y,0))-I3591,"")</f>
        <v/>
      </c>
      <c r="AA3591" s="168" t="str">
        <f t="array" ref="AA3591">iferror(index(J:J,match($A3591&amp;","&amp;index('Year Conversion'!$A:$A,match($C3591,'Year Conversion'!$B:$B,0)),$Y:$Y,0))-J3591,"")</f>
        <v/>
      </c>
      <c r="AB3591" s="168" t="str">
        <f t="array" ref="AB3591">iferror(index(K:K,match($A3591&amp;","&amp;index('Year Conversion'!$A:$A,match($C3591,'Year Conversion'!$B:$B,0)),$Y:$Y,0))-K3591,"")</f>
        <v/>
      </c>
      <c r="AC3591" s="168" t="str">
        <f t="shared" si="7"/>
        <v>MIN,2020-21</v>
      </c>
    </row>
    <row r="3592">
      <c r="A3592" s="161" t="str">
        <f>IFERROR(__xludf.DUMMYFUNCTION("""COMPUTED_VALUE"""),"pattepa01")</f>
        <v>pattepa01</v>
      </c>
      <c r="B3592" s="161" t="str">
        <f>IFERROR(__xludf.DUMMYFUNCTION("""COMPUTED_VALUE"""),"Patrick Patterson")</f>
        <v>Patrick Patterson</v>
      </c>
      <c r="C3592" s="162" t="str">
        <f>IFERROR(__xludf.DUMMYFUNCTION("""COMPUTED_VALUE"""),"2020-21")</f>
        <v>2020-21</v>
      </c>
      <c r="D3592" s="163" t="str">
        <f>IFERROR(__xludf.DUMMYFUNCTION("""COMPUTED_VALUE"""),"LAC")</f>
        <v>LAC</v>
      </c>
      <c r="E3592" s="164" t="str">
        <f>IFERROR(__xludf.DUMMYFUNCTION("""COMPUTED_VALUE"""),"Stationary Shooter")</f>
        <v>Stationary Shooter</v>
      </c>
      <c r="F3592" s="164">
        <f>IFERROR(__xludf.DUMMYFUNCTION("""COMPUTED_VALUE"""),129.601666666667)</f>
        <v>129.6016667</v>
      </c>
      <c r="G3592" s="163">
        <f>IFERROR(__xludf.DUMMYFUNCTION("""COMPUTED_VALUE"""),10.0)</f>
        <v>10</v>
      </c>
      <c r="H3592" s="163" t="str">
        <f>IFERROR(__xludf.DUMMYFUNCTION("""COMPUTED_VALUE"""),"PF")</f>
        <v>PF</v>
      </c>
      <c r="I3592" s="163">
        <f>IFERROR(__xludf.DUMMYFUNCTION("""COMPUTED_VALUE"""),31.0)</f>
        <v>31</v>
      </c>
      <c r="J3592" s="165">
        <f>IFERROR(__xludf.DUMMYFUNCTION("""COMPUTED_VALUE"""),-1.61656695567988)</f>
        <v>-1.616566956</v>
      </c>
      <c r="K3592" s="165">
        <f>IFERROR(__xludf.DUMMYFUNCTION("""COMPUTED_VALUE"""),-0.664868197137396)</f>
        <v>-0.6648681971</v>
      </c>
      <c r="L3592" s="165">
        <f>IFERROR(__xludf.DUMMYFUNCTION("""COMPUTED_VALUE"""),-0.951698758542482)</f>
        <v>-0.9516987585</v>
      </c>
      <c r="M3592" s="166">
        <f t="shared" si="2"/>
        <v>0.05906377749</v>
      </c>
      <c r="N3592" s="167">
        <f t="shared" si="3"/>
        <v>12.96016667</v>
      </c>
      <c r="O3592" s="163">
        <f t="shared" ref="O3592:Q3592" si="3596">rank(I3592,I:I)</f>
        <v>490</v>
      </c>
      <c r="P3592" s="163">
        <f t="shared" si="3596"/>
        <v>3164</v>
      </c>
      <c r="Q3592" s="163">
        <f t="shared" si="3596"/>
        <v>2363</v>
      </c>
      <c r="R3592" s="163">
        <f>IFERROR(__xludf.DUMMYFUNCTION("RANK(M3592,filter(M:M,C:C=C3592))"),368.0)</f>
        <v>368</v>
      </c>
      <c r="S3592" s="161" t="b">
        <f t="shared" si="5"/>
        <v>0</v>
      </c>
      <c r="T3592" s="161" t="b">
        <f t="array" ref="T3592">index('Query Tool'!B:B,match(H3592,'Query Tool'!C:C,0))</f>
        <v>1</v>
      </c>
      <c r="U3592" s="161" t="b">
        <f t="array" ref="U3592">index('Query Tool'!B:B,match(C3592,'Query Tool'!C:C,0))</f>
        <v>1</v>
      </c>
      <c r="V3592" s="161" t="b">
        <f>F3592&gt;='Query Tool'!C$32</f>
        <v>0</v>
      </c>
      <c r="W3592" s="161" t="b">
        <f t="array" ref="W3592">index(Dropdowns!B:B,match(I3592,Dropdowns!A:A,0))</f>
        <v>1</v>
      </c>
      <c r="X3592" s="161" t="b">
        <f t="array" ref="X3592">index('Query Tool'!B:B,match(D3592,'Query Tool'!C:C,0))</f>
        <v>1</v>
      </c>
      <c r="Y3592" s="161" t="str">
        <f t="shared" si="6"/>
        <v>pattepa01,2020-21</v>
      </c>
      <c r="Z3592" s="168" t="str">
        <f t="array" ref="Z3592">iferror(index(I:I,match($A3592&amp;","&amp;index('Year Conversion'!$A:$A,match($C3592,'Year Conversion'!$B:$B,0)),$Y:$Y,0))-I3592,"")</f>
        <v/>
      </c>
      <c r="AA3592" s="168" t="str">
        <f t="array" ref="AA3592">iferror(index(J:J,match($A3592&amp;","&amp;index('Year Conversion'!$A:$A,match($C3592,'Year Conversion'!$B:$B,0)),$Y:$Y,0))-J3592,"")</f>
        <v/>
      </c>
      <c r="AB3592" s="168" t="str">
        <f t="array" ref="AB3592">iferror(index(K:K,match($A3592&amp;","&amp;index('Year Conversion'!$A:$A,match($C3592,'Year Conversion'!$B:$B,0)),$Y:$Y,0))-K3592,"")</f>
        <v/>
      </c>
      <c r="AC3592" s="168" t="str">
        <f t="shared" si="7"/>
        <v>LAC,2020-21</v>
      </c>
    </row>
    <row r="3593">
      <c r="A3593" s="161" t="str">
        <f>IFERROR(__xludf.DUMMYFUNCTION("""COMPUTED_VALUE"""),"bledser01")</f>
        <v>bledser01</v>
      </c>
      <c r="B3593" s="161" t="str">
        <f>IFERROR(__xludf.DUMMYFUNCTION("""COMPUTED_VALUE"""),"Eric Bledsoe")</f>
        <v>Eric Bledsoe</v>
      </c>
      <c r="C3593" s="162" t="str">
        <f>IFERROR(__xludf.DUMMYFUNCTION("""COMPUTED_VALUE"""),"2020-21")</f>
        <v>2020-21</v>
      </c>
      <c r="D3593" s="163" t="str">
        <f>IFERROR(__xludf.DUMMYFUNCTION("""COMPUTED_VALUE"""),"NOP")</f>
        <v>NOP</v>
      </c>
      <c r="E3593" s="164" t="str">
        <f>IFERROR(__xludf.DUMMYFUNCTION("""COMPUTED_VALUE"""),"Primary Ball Handler")</f>
        <v>Primary Ball Handler</v>
      </c>
      <c r="F3593" s="164">
        <f>IFERROR(__xludf.DUMMYFUNCTION("""COMPUTED_VALUE"""),830.48)</f>
        <v>830.48</v>
      </c>
      <c r="G3593" s="163">
        <f>IFERROR(__xludf.DUMMYFUNCTION("""COMPUTED_VALUE"""),29.0)</f>
        <v>29</v>
      </c>
      <c r="H3593" s="163" t="str">
        <f>IFERROR(__xludf.DUMMYFUNCTION("""COMPUTED_VALUE"""),"SG")</f>
        <v>SG</v>
      </c>
      <c r="I3593" s="163">
        <f>IFERROR(__xludf.DUMMYFUNCTION("""COMPUTED_VALUE"""),31.0)</f>
        <v>31</v>
      </c>
      <c r="J3593" s="165">
        <f>IFERROR(__xludf.DUMMYFUNCTION("""COMPUTED_VALUE"""),-0.395452255504969)</f>
        <v>-0.3954522555</v>
      </c>
      <c r="K3593" s="165">
        <f>IFERROR(__xludf.DUMMYFUNCTION("""COMPUTED_VALUE"""),0.177557262242767)</f>
        <v>0.1775572622</v>
      </c>
      <c r="L3593" s="165">
        <f>IFERROR(__xludf.DUMMYFUNCTION("""COMPUTED_VALUE"""),-0.573009517747736)</f>
        <v>-0.5730095177</v>
      </c>
      <c r="M3593" s="166">
        <f t="shared" si="2"/>
        <v>1.058957246</v>
      </c>
      <c r="N3593" s="167">
        <f t="shared" si="3"/>
        <v>28.63724138</v>
      </c>
      <c r="O3593" s="163">
        <f t="shared" ref="O3593:Q3593" si="3597">rank(I3593,I:I)</f>
        <v>490</v>
      </c>
      <c r="P3593" s="163">
        <f t="shared" si="3597"/>
        <v>1725</v>
      </c>
      <c r="Q3593" s="163">
        <f t="shared" si="3597"/>
        <v>1003</v>
      </c>
      <c r="R3593" s="163">
        <f>IFERROR(__xludf.DUMMYFUNCTION("RANK(M3593,filter(M:M,C:C=C3593))"),115.0)</f>
        <v>115</v>
      </c>
      <c r="S3593" s="161" t="b">
        <f t="shared" si="5"/>
        <v>1</v>
      </c>
      <c r="T3593" s="161" t="b">
        <f t="array" ref="T3593">index('Query Tool'!B:B,match(H3593,'Query Tool'!C:C,0))</f>
        <v>1</v>
      </c>
      <c r="U3593" s="161" t="b">
        <f t="array" ref="U3593">index('Query Tool'!B:B,match(C3593,'Query Tool'!C:C,0))</f>
        <v>1</v>
      </c>
      <c r="V3593" s="161" t="b">
        <f>F3593&gt;='Query Tool'!C$32</f>
        <v>1</v>
      </c>
      <c r="W3593" s="161" t="b">
        <f t="array" ref="W3593">index(Dropdowns!B:B,match(I3593,Dropdowns!A:A,0))</f>
        <v>1</v>
      </c>
      <c r="X3593" s="161" t="b">
        <f t="array" ref="X3593">index('Query Tool'!B:B,match(D3593,'Query Tool'!C:C,0))</f>
        <v>1</v>
      </c>
      <c r="Y3593" s="161" t="str">
        <f t="shared" si="6"/>
        <v>bledser01,2020-21</v>
      </c>
      <c r="Z3593" s="168" t="str">
        <f t="array" ref="Z3593">iferror(index(I:I,match($A3593&amp;","&amp;index('Year Conversion'!$A:$A,match($C3593,'Year Conversion'!$B:$B,0)),$Y:$Y,0))-I3593,"")</f>
        <v/>
      </c>
      <c r="AA3593" s="168" t="str">
        <f t="array" ref="AA3593">iferror(index(J:J,match($A3593&amp;","&amp;index('Year Conversion'!$A:$A,match($C3593,'Year Conversion'!$B:$B,0)),$Y:$Y,0))-J3593,"")</f>
        <v/>
      </c>
      <c r="AB3593" s="168" t="str">
        <f t="array" ref="AB3593">iferror(index(K:K,match($A3593&amp;","&amp;index('Year Conversion'!$A:$A,match($C3593,'Year Conversion'!$B:$B,0)),$Y:$Y,0))-K3593,"")</f>
        <v/>
      </c>
      <c r="AC3593" s="168" t="str">
        <f t="shared" si="7"/>
        <v>NOP,2020-21</v>
      </c>
    </row>
    <row r="3594">
      <c r="A3594" s="161" t="str">
        <f>IFERROR(__xludf.DUMMYFUNCTION("""COMPUTED_VALUE"""),"bradlav01")</f>
        <v>bradlav01</v>
      </c>
      <c r="B3594" s="161" t="str">
        <f>IFERROR(__xludf.DUMMYFUNCTION("""COMPUTED_VALUE"""),"Avery Bradley")</f>
        <v>Avery Bradley</v>
      </c>
      <c r="C3594" s="162" t="str">
        <f>IFERROR(__xludf.DUMMYFUNCTION("""COMPUTED_VALUE"""),"2020-21")</f>
        <v>2020-21</v>
      </c>
      <c r="D3594" s="163" t="str">
        <f>IFERROR(__xludf.DUMMYFUNCTION("""COMPUTED_VALUE"""),"MIA")</f>
        <v>MIA</v>
      </c>
      <c r="E3594" s="164" t="str">
        <f>IFERROR(__xludf.DUMMYFUNCTION("""COMPUTED_VALUE"""),"Stationary Shooter")</f>
        <v>Stationary Shooter</v>
      </c>
      <c r="F3594" s="164">
        <f>IFERROR(__xludf.DUMMYFUNCTION("""COMPUTED_VALUE"""),210.758333333333)</f>
        <v>210.7583333</v>
      </c>
      <c r="G3594" s="163">
        <f>IFERROR(__xludf.DUMMYFUNCTION("""COMPUTED_VALUE"""),10.0)</f>
        <v>10</v>
      </c>
      <c r="H3594" s="163" t="str">
        <f>IFERROR(__xludf.DUMMYFUNCTION("""COMPUTED_VALUE"""),"SG")</f>
        <v>SG</v>
      </c>
      <c r="I3594" s="163">
        <f>IFERROR(__xludf.DUMMYFUNCTION("""COMPUTED_VALUE"""),30.0)</f>
        <v>30</v>
      </c>
      <c r="J3594" s="165">
        <f>IFERROR(__xludf.DUMMYFUNCTION("""COMPUTED_VALUE"""),-0.821336990482372)</f>
        <v>-0.8213369905</v>
      </c>
      <c r="K3594" s="165">
        <f>IFERROR(__xludf.DUMMYFUNCTION("""COMPUTED_VALUE"""),-0.844423329643808)</f>
        <v>-0.8444233296</v>
      </c>
      <c r="L3594" s="165">
        <f>IFERROR(__xludf.DUMMYFUNCTION("""COMPUTED_VALUE"""),0.0230863391614357)</f>
        <v>0.02308633916</v>
      </c>
      <c r="M3594" s="166">
        <f t="shared" si="2"/>
        <v>0.208323648</v>
      </c>
      <c r="N3594" s="167">
        <f t="shared" si="3"/>
        <v>21.07583333</v>
      </c>
      <c r="O3594" s="163">
        <f t="shared" ref="O3594:Q3594" si="3598">rank(I3594,I:I)</f>
        <v>655</v>
      </c>
      <c r="P3594" s="163">
        <f t="shared" si="3598"/>
        <v>2318</v>
      </c>
      <c r="Q3594" s="163">
        <f t="shared" si="3598"/>
        <v>2612</v>
      </c>
      <c r="R3594" s="163">
        <f>IFERROR(__xludf.DUMMYFUNCTION("RANK(M3594,filter(M:M,C:C=C3594))"),272.0)</f>
        <v>272</v>
      </c>
      <c r="S3594" s="161" t="b">
        <f t="shared" si="5"/>
        <v>0</v>
      </c>
      <c r="T3594" s="161" t="b">
        <f t="array" ref="T3594">index('Query Tool'!B:B,match(H3594,'Query Tool'!C:C,0))</f>
        <v>1</v>
      </c>
      <c r="U3594" s="161" t="b">
        <f t="array" ref="U3594">index('Query Tool'!B:B,match(C3594,'Query Tool'!C:C,0))</f>
        <v>1</v>
      </c>
      <c r="V3594" s="161" t="b">
        <f>F3594&gt;='Query Tool'!C$32</f>
        <v>0</v>
      </c>
      <c r="W3594" s="161" t="b">
        <f t="array" ref="W3594">index(Dropdowns!B:B,match(I3594,Dropdowns!A:A,0))</f>
        <v>1</v>
      </c>
      <c r="X3594" s="161" t="b">
        <f t="array" ref="X3594">index('Query Tool'!B:B,match(D3594,'Query Tool'!C:C,0))</f>
        <v>1</v>
      </c>
      <c r="Y3594" s="161" t="str">
        <f t="shared" si="6"/>
        <v>bradlav01,2020-21</v>
      </c>
      <c r="Z3594" s="168" t="str">
        <f t="array" ref="Z3594">iferror(index(I:I,match($A3594&amp;","&amp;index('Year Conversion'!$A:$A,match($C3594,'Year Conversion'!$B:$B,0)),$Y:$Y,0))-I3594,"")</f>
        <v/>
      </c>
      <c r="AA3594" s="168" t="str">
        <f t="array" ref="AA3594">iferror(index(J:J,match($A3594&amp;","&amp;index('Year Conversion'!$A:$A,match($C3594,'Year Conversion'!$B:$B,0)),$Y:$Y,0))-J3594,"")</f>
        <v/>
      </c>
      <c r="AB3594" s="168" t="str">
        <f t="array" ref="AB3594">iferror(index(K:K,match($A3594&amp;","&amp;index('Year Conversion'!$A:$A,match($C3594,'Year Conversion'!$B:$B,0)),$Y:$Y,0))-K3594,"")</f>
        <v/>
      </c>
      <c r="AC3594" s="168" t="str">
        <f t="shared" si="7"/>
        <v>MIA,2020-21</v>
      </c>
    </row>
    <row r="3595">
      <c r="A3595" s="161" t="str">
        <f>IFERROR(__xludf.DUMMYFUNCTION("""COMPUTED_VALUE"""),"whiteha01")</f>
        <v>whiteha01</v>
      </c>
      <c r="B3595" s="161" t="str">
        <f>IFERROR(__xludf.DUMMYFUNCTION("""COMPUTED_VALUE"""),"Hassan Whiteside")</f>
        <v>Hassan Whiteside</v>
      </c>
      <c r="C3595" s="162" t="str">
        <f>IFERROR(__xludf.DUMMYFUNCTION("""COMPUTED_VALUE"""),"2020-21")</f>
        <v>2020-21</v>
      </c>
      <c r="D3595" s="163" t="str">
        <f>IFERROR(__xludf.DUMMYFUNCTION("""COMPUTED_VALUE"""),"SAC")</f>
        <v>SAC</v>
      </c>
      <c r="E3595" s="164" t="str">
        <f>IFERROR(__xludf.DUMMYFUNCTION("""COMPUTED_VALUE"""),"Post Scorer")</f>
        <v>Post Scorer</v>
      </c>
      <c r="F3595" s="164">
        <f>IFERROR(__xludf.DUMMYFUNCTION("""COMPUTED_VALUE"""),335.326666666667)</f>
        <v>335.3266667</v>
      </c>
      <c r="G3595" s="163">
        <f>IFERROR(__xludf.DUMMYFUNCTION("""COMPUTED_VALUE"""),23.0)</f>
        <v>23</v>
      </c>
      <c r="H3595" s="163" t="str">
        <f>IFERROR(__xludf.DUMMYFUNCTION("""COMPUTED_VALUE"""),"C")</f>
        <v>C</v>
      </c>
      <c r="I3595" s="163">
        <f>IFERROR(__xludf.DUMMYFUNCTION("""COMPUTED_VALUE"""),31.0)</f>
        <v>31</v>
      </c>
      <c r="J3595" s="165">
        <f>IFERROR(__xludf.DUMMYFUNCTION("""COMPUTED_VALUE"""),1.36661576526254)</f>
        <v>1.366615765</v>
      </c>
      <c r="K3595" s="165">
        <f>IFERROR(__xludf.DUMMYFUNCTION("""COMPUTED_VALUE"""),-0.0892010928222483)</f>
        <v>-0.08920109282</v>
      </c>
      <c r="L3595" s="165">
        <f>IFERROR(__xludf.DUMMYFUNCTION("""COMPUTED_VALUE"""),1.45581685808479)</f>
        <v>1.455816858</v>
      </c>
      <c r="M3595" s="166">
        <f t="shared" si="2"/>
        <v>0.8251188961</v>
      </c>
      <c r="N3595" s="167">
        <f t="shared" si="3"/>
        <v>14.57942029</v>
      </c>
      <c r="O3595" s="163">
        <f t="shared" ref="O3595:Q3595" si="3599">rank(I3595,I:I)</f>
        <v>490</v>
      </c>
      <c r="P3595" s="163">
        <f t="shared" si="3599"/>
        <v>504</v>
      </c>
      <c r="Q3595" s="163">
        <f t="shared" si="3599"/>
        <v>1342</v>
      </c>
      <c r="R3595" s="163">
        <f>IFERROR(__xludf.DUMMYFUNCTION("RANK(M3595,filter(M:M,C:C=C3595))"),139.0)</f>
        <v>139</v>
      </c>
      <c r="S3595" s="161" t="b">
        <f t="shared" si="5"/>
        <v>0</v>
      </c>
      <c r="T3595" s="161" t="b">
        <f t="array" ref="T3595">index('Query Tool'!B:B,match(H3595,'Query Tool'!C:C,0))</f>
        <v>1</v>
      </c>
      <c r="U3595" s="161" t="b">
        <f t="array" ref="U3595">index('Query Tool'!B:B,match(C3595,'Query Tool'!C:C,0))</f>
        <v>1</v>
      </c>
      <c r="V3595" s="161" t="b">
        <f>F3595&gt;='Query Tool'!C$32</f>
        <v>0</v>
      </c>
      <c r="W3595" s="161" t="b">
        <f t="array" ref="W3595">index(Dropdowns!B:B,match(I3595,Dropdowns!A:A,0))</f>
        <v>1</v>
      </c>
      <c r="X3595" s="161" t="b">
        <f t="array" ref="X3595">index('Query Tool'!B:B,match(D3595,'Query Tool'!C:C,0))</f>
        <v>1</v>
      </c>
      <c r="Y3595" s="161" t="str">
        <f t="shared" si="6"/>
        <v>whiteha01,2020-21</v>
      </c>
      <c r="Z3595" s="168" t="str">
        <f t="array" ref="Z3595">iferror(index(I:I,match($A3595&amp;","&amp;index('Year Conversion'!$A:$A,match($C3595,'Year Conversion'!$B:$B,0)),$Y:$Y,0))-I3595,"")</f>
        <v/>
      </c>
      <c r="AA3595" s="168" t="str">
        <f t="array" ref="AA3595">iferror(index(J:J,match($A3595&amp;","&amp;index('Year Conversion'!$A:$A,match($C3595,'Year Conversion'!$B:$B,0)),$Y:$Y,0))-J3595,"")</f>
        <v/>
      </c>
      <c r="AB3595" s="168" t="str">
        <f t="array" ref="AB3595">iferror(index(K:K,match($A3595&amp;","&amp;index('Year Conversion'!$A:$A,match($C3595,'Year Conversion'!$B:$B,0)),$Y:$Y,0))-K3595,"")</f>
        <v/>
      </c>
      <c r="AC3595" s="168" t="str">
        <f t="shared" si="7"/>
        <v>SAC,2020-21</v>
      </c>
    </row>
    <row r="3596">
      <c r="A3596" s="161" t="str">
        <f>IFERROR(__xludf.DUMMYFUNCTION("""COMPUTED_VALUE"""),"bjeline01")</f>
        <v>bjeline01</v>
      </c>
      <c r="B3596" s="161" t="str">
        <f>IFERROR(__xludf.DUMMYFUNCTION("""COMPUTED_VALUE"""),"Nemanja Bjelica")</f>
        <v>Nemanja Bjelica</v>
      </c>
      <c r="C3596" s="162" t="str">
        <f>IFERROR(__xludf.DUMMYFUNCTION("""COMPUTED_VALUE"""),"2020-21")</f>
        <v>2020-21</v>
      </c>
      <c r="D3596" s="163" t="str">
        <f>IFERROR(__xludf.DUMMYFUNCTION("""COMPUTED_VALUE"""),"SAC")</f>
        <v>SAC</v>
      </c>
      <c r="E3596" s="164" t="str">
        <f>IFERROR(__xludf.DUMMYFUNCTION("""COMPUTED_VALUE"""),"Stretch Big")</f>
        <v>Stretch Big</v>
      </c>
      <c r="F3596" s="164">
        <f>IFERROR(__xludf.DUMMYFUNCTION("""COMPUTED_VALUE"""),257.446666666667)</f>
        <v>257.4466667</v>
      </c>
      <c r="G3596" s="163">
        <f>IFERROR(__xludf.DUMMYFUNCTION("""COMPUTED_VALUE"""),15.0)</f>
        <v>15</v>
      </c>
      <c r="H3596" s="163" t="str">
        <f>IFERROR(__xludf.DUMMYFUNCTION("""COMPUTED_VALUE"""),"PF")</f>
        <v>PF</v>
      </c>
      <c r="I3596" s="163">
        <f>IFERROR(__xludf.DUMMYFUNCTION("""COMPUTED_VALUE"""),32.0)</f>
        <v>32</v>
      </c>
      <c r="J3596" s="165">
        <f>IFERROR(__xludf.DUMMYFUNCTION("""COMPUTED_VALUE"""),0.14177608572549)</f>
        <v>0.1417760857</v>
      </c>
      <c r="K3596" s="165">
        <f>IFERROR(__xludf.DUMMYFUNCTION("""COMPUTED_VALUE"""),0.45919961479493)</f>
        <v>0.4591996148</v>
      </c>
      <c r="L3596" s="165">
        <f>IFERROR(__xludf.DUMMYFUNCTION("""COMPUTED_VALUE"""),-0.31742352906944)</f>
        <v>-0.3174235291</v>
      </c>
      <c r="M3596" s="166">
        <f t="shared" si="2"/>
        <v>0.4215040377</v>
      </c>
      <c r="N3596" s="167">
        <f t="shared" si="3"/>
        <v>17.16311111</v>
      </c>
      <c r="O3596" s="163">
        <f t="shared" ref="O3596:Q3596" si="3600">rank(I3596,I:I)</f>
        <v>359</v>
      </c>
      <c r="P3596" s="163">
        <f t="shared" si="3600"/>
        <v>1144</v>
      </c>
      <c r="Q3596" s="163">
        <f t="shared" si="3600"/>
        <v>794</v>
      </c>
      <c r="R3596" s="163">
        <f>IFERROR(__xludf.DUMMYFUNCTION("RANK(M3596,filter(M:M,C:C=C3596))"),213.0)</f>
        <v>213</v>
      </c>
      <c r="S3596" s="161" t="b">
        <f t="shared" si="5"/>
        <v>0</v>
      </c>
      <c r="T3596" s="161" t="b">
        <f t="array" ref="T3596">index('Query Tool'!B:B,match(H3596,'Query Tool'!C:C,0))</f>
        <v>1</v>
      </c>
      <c r="U3596" s="161" t="b">
        <f t="array" ref="U3596">index('Query Tool'!B:B,match(C3596,'Query Tool'!C:C,0))</f>
        <v>1</v>
      </c>
      <c r="V3596" s="161" t="b">
        <f>F3596&gt;='Query Tool'!C$32</f>
        <v>0</v>
      </c>
      <c r="W3596" s="161" t="b">
        <f t="array" ref="W3596">index(Dropdowns!B:B,match(I3596,Dropdowns!A:A,0))</f>
        <v>1</v>
      </c>
      <c r="X3596" s="161" t="b">
        <f t="array" ref="X3596">index('Query Tool'!B:B,match(D3596,'Query Tool'!C:C,0))</f>
        <v>1</v>
      </c>
      <c r="Y3596" s="161" t="str">
        <f t="shared" si="6"/>
        <v>bjeline01,2020-21</v>
      </c>
      <c r="Z3596" s="168" t="str">
        <f t="array" ref="Z3596">iferror(index(I:I,match($A3596&amp;","&amp;index('Year Conversion'!$A:$A,match($C3596,'Year Conversion'!$B:$B,0)),$Y:$Y,0))-I3596,"")</f>
        <v/>
      </c>
      <c r="AA3596" s="168" t="str">
        <f t="array" ref="AA3596">iferror(index(J:J,match($A3596&amp;","&amp;index('Year Conversion'!$A:$A,match($C3596,'Year Conversion'!$B:$B,0)),$Y:$Y,0))-J3596,"")</f>
        <v/>
      </c>
      <c r="AB3596" s="168" t="str">
        <f t="array" ref="AB3596">iferror(index(K:K,match($A3596&amp;","&amp;index('Year Conversion'!$A:$A,match($C3596,'Year Conversion'!$B:$B,0)),$Y:$Y,0))-K3596,"")</f>
        <v/>
      </c>
      <c r="AC3596" s="168" t="str">
        <f t="shared" si="7"/>
        <v>SAC,2020-21</v>
      </c>
    </row>
    <row r="3597">
      <c r="A3597" s="161" t="str">
        <f>IFERROR(__xludf.DUMMYFUNCTION("""COMPUTED_VALUE"""),"smithis01")</f>
        <v>smithis01</v>
      </c>
      <c r="B3597" s="161" t="str">
        <f>IFERROR(__xludf.DUMMYFUNCTION("""COMPUTED_VALUE"""),"Ish Smith")</f>
        <v>Ish Smith</v>
      </c>
      <c r="C3597" s="162" t="str">
        <f>IFERROR(__xludf.DUMMYFUNCTION("""COMPUTED_VALUE"""),"2020-21")</f>
        <v>2020-21</v>
      </c>
      <c r="D3597" s="163" t="str">
        <f>IFERROR(__xludf.DUMMYFUNCTION("""COMPUTED_VALUE"""),"WAS")</f>
        <v>WAS</v>
      </c>
      <c r="E3597" s="164" t="str">
        <f>IFERROR(__xludf.DUMMYFUNCTION("""COMPUTED_VALUE"""),"Slasher")</f>
        <v>Slasher</v>
      </c>
      <c r="F3597" s="164">
        <f>IFERROR(__xludf.DUMMYFUNCTION("""COMPUTED_VALUE"""),390.85)</f>
        <v>390.85</v>
      </c>
      <c r="G3597" s="163">
        <f>IFERROR(__xludf.DUMMYFUNCTION("""COMPUTED_VALUE"""),19.0)</f>
        <v>19</v>
      </c>
      <c r="H3597" s="163" t="str">
        <f>IFERROR(__xludf.DUMMYFUNCTION("""COMPUTED_VALUE"""),"PG")</f>
        <v>PG</v>
      </c>
      <c r="I3597" s="163">
        <f>IFERROR(__xludf.DUMMYFUNCTION("""COMPUTED_VALUE"""),32.0)</f>
        <v>32</v>
      </c>
      <c r="J3597" s="165">
        <f>IFERROR(__xludf.DUMMYFUNCTION("""COMPUTED_VALUE"""),0.0043540901478647)</f>
        <v>0.004354090148</v>
      </c>
      <c r="K3597" s="165">
        <f>IFERROR(__xludf.DUMMYFUNCTION("""COMPUTED_VALUE"""),-0.991335564099246)</f>
        <v>-0.9913355641</v>
      </c>
      <c r="L3597" s="165">
        <f>IFERROR(__xludf.DUMMYFUNCTION("""COMPUTED_VALUE"""),0.995689654247111)</f>
        <v>0.9956896542</v>
      </c>
      <c r="M3597" s="166">
        <f t="shared" si="2"/>
        <v>0.6037077503</v>
      </c>
      <c r="N3597" s="167">
        <f t="shared" si="3"/>
        <v>20.57105263</v>
      </c>
      <c r="O3597" s="163">
        <f t="shared" ref="O3597:Q3597" si="3601">rank(I3597,I:I)</f>
        <v>359</v>
      </c>
      <c r="P3597" s="163">
        <f t="shared" si="3601"/>
        <v>1279</v>
      </c>
      <c r="Q3597" s="163">
        <f t="shared" si="3601"/>
        <v>2790</v>
      </c>
      <c r="R3597" s="163">
        <f>IFERROR(__xludf.DUMMYFUNCTION("RANK(M3597,filter(M:M,C:C=C3597))"),169.0)</f>
        <v>169</v>
      </c>
      <c r="S3597" s="161" t="b">
        <f t="shared" si="5"/>
        <v>0</v>
      </c>
      <c r="T3597" s="161" t="b">
        <f t="array" ref="T3597">index('Query Tool'!B:B,match(H3597,'Query Tool'!C:C,0))</f>
        <v>1</v>
      </c>
      <c r="U3597" s="161" t="b">
        <f t="array" ref="U3597">index('Query Tool'!B:B,match(C3597,'Query Tool'!C:C,0))</f>
        <v>1</v>
      </c>
      <c r="V3597" s="161" t="b">
        <f>F3597&gt;='Query Tool'!C$32</f>
        <v>0</v>
      </c>
      <c r="W3597" s="161" t="b">
        <f t="array" ref="W3597">index(Dropdowns!B:B,match(I3597,Dropdowns!A:A,0))</f>
        <v>1</v>
      </c>
      <c r="X3597" s="161" t="b">
        <f t="array" ref="X3597">index('Query Tool'!B:B,match(D3597,'Query Tool'!C:C,0))</f>
        <v>1</v>
      </c>
      <c r="Y3597" s="161" t="str">
        <f t="shared" si="6"/>
        <v>smithis01,2020-21</v>
      </c>
      <c r="Z3597" s="168" t="str">
        <f t="array" ref="Z3597">iferror(index(I:I,match($A3597&amp;","&amp;index('Year Conversion'!$A:$A,match($C3597,'Year Conversion'!$B:$B,0)),$Y:$Y,0))-I3597,"")</f>
        <v/>
      </c>
      <c r="AA3597" s="168" t="str">
        <f t="array" ref="AA3597">iferror(index(J:J,match($A3597&amp;","&amp;index('Year Conversion'!$A:$A,match($C3597,'Year Conversion'!$B:$B,0)),$Y:$Y,0))-J3597,"")</f>
        <v/>
      </c>
      <c r="AB3597" s="168" t="str">
        <f t="array" ref="AB3597">iferror(index(K:K,match($A3597&amp;","&amp;index('Year Conversion'!$A:$A,match($C3597,'Year Conversion'!$B:$B,0)),$Y:$Y,0))-K3597,"")</f>
        <v/>
      </c>
      <c r="AC3597" s="168" t="str">
        <f t="shared" si="7"/>
        <v>WAS,2020-21</v>
      </c>
    </row>
    <row r="3598">
      <c r="A3598" s="161" t="str">
        <f>IFERROR(__xludf.DUMMYFUNCTION("""COMPUTED_VALUE"""),"irvinky01")</f>
        <v>irvinky01</v>
      </c>
      <c r="B3598" s="161" t="str">
        <f>IFERROR(__xludf.DUMMYFUNCTION("""COMPUTED_VALUE"""),"Kyrie Irving")</f>
        <v>Kyrie Irving</v>
      </c>
      <c r="C3598" s="162" t="str">
        <f>IFERROR(__xludf.DUMMYFUNCTION("""COMPUTED_VALUE"""),"2020-21")</f>
        <v>2020-21</v>
      </c>
      <c r="D3598" s="163" t="str">
        <f>IFERROR(__xludf.DUMMYFUNCTION("""COMPUTED_VALUE"""),"BRK")</f>
        <v>BRK</v>
      </c>
      <c r="E3598" s="164" t="str">
        <f>IFERROR(__xludf.DUMMYFUNCTION("""COMPUTED_VALUE"""),"Shot Creator")</f>
        <v>Shot Creator</v>
      </c>
      <c r="F3598" s="164">
        <f>IFERROR(__xludf.DUMMYFUNCTION("""COMPUTED_VALUE"""),780.09)</f>
        <v>780.09</v>
      </c>
      <c r="G3598" s="163">
        <f>IFERROR(__xludf.DUMMYFUNCTION("""COMPUTED_VALUE"""),22.0)</f>
        <v>22</v>
      </c>
      <c r="H3598" s="163" t="str">
        <f>IFERROR(__xludf.DUMMYFUNCTION("""COMPUTED_VALUE"""),"PG")</f>
        <v>PG</v>
      </c>
      <c r="I3598" s="163">
        <f>IFERROR(__xludf.DUMMYFUNCTION("""COMPUTED_VALUE"""),28.0)</f>
        <v>28</v>
      </c>
      <c r="J3598" s="165">
        <f>IFERROR(__xludf.DUMMYFUNCTION("""COMPUTED_VALUE"""),2.71699398264939)</f>
        <v>2.716993983</v>
      </c>
      <c r="K3598" s="165">
        <f>IFERROR(__xludf.DUMMYFUNCTION("""COMPUTED_VALUE"""),4.22253766584973)</f>
        <v>4.222537666</v>
      </c>
      <c r="L3598" s="165">
        <f>IFERROR(__xludf.DUMMYFUNCTION("""COMPUTED_VALUE"""),-1.50554368320034)</f>
        <v>-1.505543683</v>
      </c>
      <c r="M3598" s="166">
        <f t="shared" si="2"/>
        <v>2.617107798</v>
      </c>
      <c r="N3598" s="167">
        <f t="shared" si="3"/>
        <v>35.45863636</v>
      </c>
      <c r="O3598" s="163">
        <f t="shared" ref="O3598:Q3598" si="3602">rank(I3598,I:I)</f>
        <v>1090</v>
      </c>
      <c r="P3598" s="163">
        <f t="shared" si="3602"/>
        <v>199</v>
      </c>
      <c r="Q3598" s="163">
        <f t="shared" si="3602"/>
        <v>51</v>
      </c>
      <c r="R3598" s="163">
        <f>IFERROR(__xludf.DUMMYFUNCTION("RANK(M3598,filter(M:M,C:C=C3598))"),28.0)</f>
        <v>28</v>
      </c>
      <c r="S3598" s="161" t="b">
        <f t="shared" si="5"/>
        <v>1</v>
      </c>
      <c r="T3598" s="161" t="b">
        <f t="array" ref="T3598">index('Query Tool'!B:B,match(H3598,'Query Tool'!C:C,0))</f>
        <v>1</v>
      </c>
      <c r="U3598" s="161" t="b">
        <f t="array" ref="U3598">index('Query Tool'!B:B,match(C3598,'Query Tool'!C:C,0))</f>
        <v>1</v>
      </c>
      <c r="V3598" s="161" t="b">
        <f>F3598&gt;='Query Tool'!C$32</f>
        <v>1</v>
      </c>
      <c r="W3598" s="161" t="b">
        <f t="array" ref="W3598">index(Dropdowns!B:B,match(I3598,Dropdowns!A:A,0))</f>
        <v>1</v>
      </c>
      <c r="X3598" s="161" t="b">
        <f t="array" ref="X3598">index('Query Tool'!B:B,match(D3598,'Query Tool'!C:C,0))</f>
        <v>1</v>
      </c>
      <c r="Y3598" s="161" t="str">
        <f t="shared" si="6"/>
        <v>irvinky01,2020-21</v>
      </c>
      <c r="Z3598" s="168" t="str">
        <f t="array" ref="Z3598">iferror(index(I:I,match($A3598&amp;","&amp;index('Year Conversion'!$A:$A,match($C3598,'Year Conversion'!$B:$B,0)),$Y:$Y,0))-I3598,"")</f>
        <v/>
      </c>
      <c r="AA3598" s="168" t="str">
        <f t="array" ref="AA3598">iferror(index(J:J,match($A3598&amp;","&amp;index('Year Conversion'!$A:$A,match($C3598,'Year Conversion'!$B:$B,0)),$Y:$Y,0))-J3598,"")</f>
        <v/>
      </c>
      <c r="AB3598" s="168" t="str">
        <f t="array" ref="AB3598">iferror(index(K:K,match($A3598&amp;","&amp;index('Year Conversion'!$A:$A,match($C3598,'Year Conversion'!$B:$B,0)),$Y:$Y,0))-K3598,"")</f>
        <v/>
      </c>
      <c r="AC3598" s="168" t="str">
        <f t="shared" si="7"/>
        <v>BRK,2020-21</v>
      </c>
    </row>
    <row r="3599">
      <c r="A3599" s="161" t="str">
        <f>IFERROR(__xludf.DUMMYFUNCTION("""COMPUTED_VALUE"""),"kanteen01")</f>
        <v>kanteen01</v>
      </c>
      <c r="B3599" s="161" t="str">
        <f>IFERROR(__xludf.DUMMYFUNCTION("""COMPUTED_VALUE"""),"Enes Kanter")</f>
        <v>Enes Kanter</v>
      </c>
      <c r="C3599" s="162" t="str">
        <f>IFERROR(__xludf.DUMMYFUNCTION("""COMPUTED_VALUE"""),"2020-21")</f>
        <v>2020-21</v>
      </c>
      <c r="D3599" s="163" t="str">
        <f>IFERROR(__xludf.DUMMYFUNCTION("""COMPUTED_VALUE"""),"POR")</f>
        <v>POR</v>
      </c>
      <c r="E3599" s="164" t="str">
        <f>IFERROR(__xludf.DUMMYFUNCTION("""COMPUTED_VALUE"""),"Post Scorer")</f>
        <v>Post Scorer</v>
      </c>
      <c r="F3599" s="164">
        <f>IFERROR(__xludf.DUMMYFUNCTION("""COMPUTED_VALUE"""),735.978333333333)</f>
        <v>735.9783333</v>
      </c>
      <c r="G3599" s="163">
        <f>IFERROR(__xludf.DUMMYFUNCTION("""COMPUTED_VALUE"""),29.0)</f>
        <v>29</v>
      </c>
      <c r="H3599" s="163" t="str">
        <f>IFERROR(__xludf.DUMMYFUNCTION("""COMPUTED_VALUE"""),"C")</f>
        <v>C</v>
      </c>
      <c r="I3599" s="163">
        <f>IFERROR(__xludf.DUMMYFUNCTION("""COMPUTED_VALUE"""),28.0)</f>
        <v>28</v>
      </c>
      <c r="J3599" s="165">
        <f>IFERROR(__xludf.DUMMYFUNCTION("""COMPUTED_VALUE"""),1.64691452750294)</f>
        <v>1.646914528</v>
      </c>
      <c r="K3599" s="165">
        <f>IFERROR(__xludf.DUMMYFUNCTION("""COMPUTED_VALUE"""),1.49519576258738)</f>
        <v>1.495195763</v>
      </c>
      <c r="L3599" s="165">
        <f>IFERROR(__xludf.DUMMYFUNCTION("""COMPUTED_VALUE"""),0.151718764915562)</f>
        <v>0.1517187649</v>
      </c>
      <c r="M3599" s="166">
        <f t="shared" si="2"/>
        <v>1.948749058</v>
      </c>
      <c r="N3599" s="167">
        <f t="shared" si="3"/>
        <v>25.37856322</v>
      </c>
      <c r="O3599" s="163">
        <f t="shared" ref="O3599:Q3599" si="3603">rank(I3599,I:I)</f>
        <v>1090</v>
      </c>
      <c r="P3599" s="163">
        <f t="shared" si="3603"/>
        <v>415</v>
      </c>
      <c r="Q3599" s="163">
        <f t="shared" si="3603"/>
        <v>324</v>
      </c>
      <c r="R3599" s="163">
        <f>IFERROR(__xludf.DUMMYFUNCTION("RANK(M3599,filter(M:M,C:C=C3599))"),49.0)</f>
        <v>49</v>
      </c>
      <c r="S3599" s="161" t="b">
        <f t="shared" si="5"/>
        <v>1</v>
      </c>
      <c r="T3599" s="161" t="b">
        <f t="array" ref="T3599">index('Query Tool'!B:B,match(H3599,'Query Tool'!C:C,0))</f>
        <v>1</v>
      </c>
      <c r="U3599" s="161" t="b">
        <f t="array" ref="U3599">index('Query Tool'!B:B,match(C3599,'Query Tool'!C:C,0))</f>
        <v>1</v>
      </c>
      <c r="V3599" s="161" t="b">
        <f>F3599&gt;='Query Tool'!C$32</f>
        <v>1</v>
      </c>
      <c r="W3599" s="161" t="b">
        <f t="array" ref="W3599">index(Dropdowns!B:B,match(I3599,Dropdowns!A:A,0))</f>
        <v>1</v>
      </c>
      <c r="X3599" s="161" t="b">
        <f t="array" ref="X3599">index('Query Tool'!B:B,match(D3599,'Query Tool'!C:C,0))</f>
        <v>1</v>
      </c>
      <c r="Y3599" s="161" t="str">
        <f t="shared" si="6"/>
        <v>kanteen01,2020-21</v>
      </c>
      <c r="Z3599" s="168" t="str">
        <f t="array" ref="Z3599">iferror(index(I:I,match($A3599&amp;","&amp;index('Year Conversion'!$A:$A,match($C3599,'Year Conversion'!$B:$B,0)),$Y:$Y,0))-I3599,"")</f>
        <v/>
      </c>
      <c r="AA3599" s="168" t="str">
        <f t="array" ref="AA3599">iferror(index(J:J,match($A3599&amp;","&amp;index('Year Conversion'!$A:$A,match($C3599,'Year Conversion'!$B:$B,0)),$Y:$Y,0))-J3599,"")</f>
        <v/>
      </c>
      <c r="AB3599" s="168" t="str">
        <f t="array" ref="AB3599">iferror(index(K:K,match($A3599&amp;","&amp;index('Year Conversion'!$A:$A,match($C3599,'Year Conversion'!$B:$B,0)),$Y:$Y,0))-K3599,"")</f>
        <v/>
      </c>
      <c r="AC3599" s="168" t="str">
        <f t="shared" si="7"/>
        <v>POR,2020-21</v>
      </c>
    </row>
    <row r="3600">
      <c r="A3600" s="161" t="str">
        <f>IFERROR(__xludf.DUMMYFUNCTION("""COMPUTED_VALUE"""),"thomptr01")</f>
        <v>thomptr01</v>
      </c>
      <c r="B3600" s="161" t="str">
        <f>IFERROR(__xludf.DUMMYFUNCTION("""COMPUTED_VALUE"""),"Tristan Thompson")</f>
        <v>Tristan Thompson</v>
      </c>
      <c r="C3600" s="162" t="str">
        <f>IFERROR(__xludf.DUMMYFUNCTION("""COMPUTED_VALUE"""),"2020-21")</f>
        <v>2020-21</v>
      </c>
      <c r="D3600" s="163" t="str">
        <f>IFERROR(__xludf.DUMMYFUNCTION("""COMPUTED_VALUE"""),"BOS")</f>
        <v>BOS</v>
      </c>
      <c r="E3600" s="164" t="str">
        <f>IFERROR(__xludf.DUMMYFUNCTION("""COMPUTED_VALUE"""),"Roll + Cut Big")</f>
        <v>Roll + Cut Big</v>
      </c>
      <c r="F3600" s="164">
        <f>IFERROR(__xludf.DUMMYFUNCTION("""COMPUTED_VALUE"""),643.005)</f>
        <v>643.005</v>
      </c>
      <c r="G3600" s="163">
        <f>IFERROR(__xludf.DUMMYFUNCTION("""COMPUTED_VALUE"""),28.0)</f>
        <v>28</v>
      </c>
      <c r="H3600" s="163" t="str">
        <f>IFERROR(__xludf.DUMMYFUNCTION("""COMPUTED_VALUE"""),"PF")</f>
        <v>PF</v>
      </c>
      <c r="I3600" s="163">
        <f>IFERROR(__xludf.DUMMYFUNCTION("""COMPUTED_VALUE"""),29.0)</f>
        <v>29</v>
      </c>
      <c r="J3600" s="165">
        <f>IFERROR(__xludf.DUMMYFUNCTION("""COMPUTED_VALUE"""),-0.81053344565043)</f>
        <v>-0.8105334457</v>
      </c>
      <c r="K3600" s="165">
        <f>IFERROR(__xludf.DUMMYFUNCTION("""COMPUTED_VALUE"""),-1.57562941253394)</f>
        <v>-1.575629413</v>
      </c>
      <c r="L3600" s="165">
        <f>IFERROR(__xludf.DUMMYFUNCTION("""COMPUTED_VALUE"""),0.765095966883506)</f>
        <v>0.7650959669</v>
      </c>
      <c r="M3600" s="166">
        <f t="shared" si="2"/>
        <v>0.6402474372</v>
      </c>
      <c r="N3600" s="167">
        <f t="shared" si="3"/>
        <v>22.96446429</v>
      </c>
      <c r="O3600" s="163">
        <f t="shared" ref="O3600:Q3600" si="3604">rank(I3600,I:I)</f>
        <v>855</v>
      </c>
      <c r="P3600" s="163">
        <f t="shared" si="3604"/>
        <v>2293</v>
      </c>
      <c r="Q3600" s="163">
        <f t="shared" si="3604"/>
        <v>3430</v>
      </c>
      <c r="R3600" s="163">
        <f>IFERROR(__xludf.DUMMYFUNCTION("RANK(M3600,filter(M:M,C:C=C3600))"),164.0)</f>
        <v>164</v>
      </c>
      <c r="S3600" s="161" t="b">
        <f t="shared" si="5"/>
        <v>1</v>
      </c>
      <c r="T3600" s="161" t="b">
        <f t="array" ref="T3600">index('Query Tool'!B:B,match(H3600,'Query Tool'!C:C,0))</f>
        <v>1</v>
      </c>
      <c r="U3600" s="161" t="b">
        <f t="array" ref="U3600">index('Query Tool'!B:B,match(C3600,'Query Tool'!C:C,0))</f>
        <v>1</v>
      </c>
      <c r="V3600" s="161" t="b">
        <f>F3600&gt;='Query Tool'!C$32</f>
        <v>1</v>
      </c>
      <c r="W3600" s="161" t="b">
        <f t="array" ref="W3600">index(Dropdowns!B:B,match(I3600,Dropdowns!A:A,0))</f>
        <v>1</v>
      </c>
      <c r="X3600" s="161" t="b">
        <f t="array" ref="X3600">index('Query Tool'!B:B,match(D3600,'Query Tool'!C:C,0))</f>
        <v>1</v>
      </c>
      <c r="Y3600" s="161" t="str">
        <f t="shared" si="6"/>
        <v>thomptr01,2020-21</v>
      </c>
      <c r="Z3600" s="168" t="str">
        <f t="array" ref="Z3600">iferror(index(I:I,match($A3600&amp;","&amp;index('Year Conversion'!$A:$A,match($C3600,'Year Conversion'!$B:$B,0)),$Y:$Y,0))-I3600,"")</f>
        <v/>
      </c>
      <c r="AA3600" s="168" t="str">
        <f t="array" ref="AA3600">iferror(index(J:J,match($A3600&amp;","&amp;index('Year Conversion'!$A:$A,match($C3600,'Year Conversion'!$B:$B,0)),$Y:$Y,0))-J3600,"")</f>
        <v/>
      </c>
      <c r="AB3600" s="168" t="str">
        <f t="array" ref="AB3600">iferror(index(K:K,match($A3600&amp;","&amp;index('Year Conversion'!$A:$A,match($C3600,'Year Conversion'!$B:$B,0)),$Y:$Y,0))-K3600,"")</f>
        <v/>
      </c>
      <c r="AC3600" s="168" t="str">
        <f t="shared" si="7"/>
        <v>BOS,2020-21</v>
      </c>
    </row>
    <row r="3601">
      <c r="A3601" s="161" t="str">
        <f>IFERROR(__xludf.DUMMYFUNCTION("""COMPUTED_VALUE"""),"valanjo01")</f>
        <v>valanjo01</v>
      </c>
      <c r="B3601" s="161" t="str">
        <f>IFERROR(__xludf.DUMMYFUNCTION("""COMPUTED_VALUE"""),"Jonas Valanciunas")</f>
        <v>Jonas Valanciunas</v>
      </c>
      <c r="C3601" s="162" t="str">
        <f>IFERROR(__xludf.DUMMYFUNCTION("""COMPUTED_VALUE"""),"2020-21")</f>
        <v>2020-21</v>
      </c>
      <c r="D3601" s="163" t="str">
        <f>IFERROR(__xludf.DUMMYFUNCTION("""COMPUTED_VALUE"""),"MEM")</f>
        <v>MEM</v>
      </c>
      <c r="E3601" s="164" t="str">
        <f>IFERROR(__xludf.DUMMYFUNCTION("""COMPUTED_VALUE"""),"Post Scorer")</f>
        <v>Post Scorer</v>
      </c>
      <c r="F3601" s="164">
        <f>IFERROR(__xludf.DUMMYFUNCTION("""COMPUTED_VALUE"""),577.111666666667)</f>
        <v>577.1116667</v>
      </c>
      <c r="G3601" s="163">
        <f>IFERROR(__xludf.DUMMYFUNCTION("""COMPUTED_VALUE"""),21.0)</f>
        <v>21</v>
      </c>
      <c r="H3601" s="163" t="str">
        <f>IFERROR(__xludf.DUMMYFUNCTION("""COMPUTED_VALUE"""),"C")</f>
        <v>C</v>
      </c>
      <c r="I3601" s="163">
        <f>IFERROR(__xludf.DUMMYFUNCTION("""COMPUTED_VALUE"""),28.0)</f>
        <v>28</v>
      </c>
      <c r="J3601" s="165">
        <f>IFERROR(__xludf.DUMMYFUNCTION("""COMPUTED_VALUE"""),1.36484144466272)</f>
        <v>1.364841445</v>
      </c>
      <c r="K3601" s="165">
        <f>IFERROR(__xludf.DUMMYFUNCTION("""COMPUTED_VALUE"""),1.02494177812077)</f>
        <v>1.024941778</v>
      </c>
      <c r="L3601" s="165">
        <f>IFERROR(__xludf.DUMMYFUNCTION("""COMPUTED_VALUE"""),0.339899666541953)</f>
        <v>0.3398996665</v>
      </c>
      <c r="M3601" s="166">
        <f t="shared" si="2"/>
        <v>1.419380215</v>
      </c>
      <c r="N3601" s="167">
        <f t="shared" si="3"/>
        <v>27.48150794</v>
      </c>
      <c r="O3601" s="163">
        <f t="shared" ref="O3601:Q3601" si="3605">rank(I3601,I:I)</f>
        <v>1090</v>
      </c>
      <c r="P3601" s="163">
        <f t="shared" si="3605"/>
        <v>506</v>
      </c>
      <c r="Q3601" s="163">
        <f t="shared" si="3605"/>
        <v>495</v>
      </c>
      <c r="R3601" s="163">
        <f>IFERROR(__xludf.DUMMYFUNCTION("RANK(M3601,filter(M:M,C:C=C3601))"),86.0)</f>
        <v>86</v>
      </c>
      <c r="S3601" s="161" t="b">
        <f t="shared" si="5"/>
        <v>1</v>
      </c>
      <c r="T3601" s="161" t="b">
        <f t="array" ref="T3601">index('Query Tool'!B:B,match(H3601,'Query Tool'!C:C,0))</f>
        <v>1</v>
      </c>
      <c r="U3601" s="161" t="b">
        <f t="array" ref="U3601">index('Query Tool'!B:B,match(C3601,'Query Tool'!C:C,0))</f>
        <v>1</v>
      </c>
      <c r="V3601" s="161" t="b">
        <f>F3601&gt;='Query Tool'!C$32</f>
        <v>1</v>
      </c>
      <c r="W3601" s="161" t="b">
        <f t="array" ref="W3601">index(Dropdowns!B:B,match(I3601,Dropdowns!A:A,0))</f>
        <v>1</v>
      </c>
      <c r="X3601" s="161" t="b">
        <f t="array" ref="X3601">index('Query Tool'!B:B,match(D3601,'Query Tool'!C:C,0))</f>
        <v>1</v>
      </c>
      <c r="Y3601" s="161" t="str">
        <f t="shared" si="6"/>
        <v>valanjo01,2020-21</v>
      </c>
      <c r="Z3601" s="168" t="str">
        <f t="array" ref="Z3601">iferror(index(I:I,match($A3601&amp;","&amp;index('Year Conversion'!$A:$A,match($C3601,'Year Conversion'!$B:$B,0)),$Y:$Y,0))-I3601,"")</f>
        <v/>
      </c>
      <c r="AA3601" s="168" t="str">
        <f t="array" ref="AA3601">iferror(index(J:J,match($A3601&amp;","&amp;index('Year Conversion'!$A:$A,match($C3601,'Year Conversion'!$B:$B,0)),$Y:$Y,0))-J3601,"")</f>
        <v/>
      </c>
      <c r="AB3601" s="168" t="str">
        <f t="array" ref="AB3601">iferror(index(K:K,match($A3601&amp;","&amp;index('Year Conversion'!$A:$A,match($C3601,'Year Conversion'!$B:$B,0)),$Y:$Y,0))-K3601,"")</f>
        <v/>
      </c>
      <c r="AC3601" s="168" t="str">
        <f t="shared" si="7"/>
        <v>MEM,2020-21</v>
      </c>
    </row>
    <row r="3602">
      <c r="A3602" s="161" t="str">
        <f>IFERROR(__xludf.DUMMYFUNCTION("""COMPUTED_VALUE"""),"biyombi01")</f>
        <v>biyombi01</v>
      </c>
      <c r="B3602" s="161" t="str">
        <f>IFERROR(__xludf.DUMMYFUNCTION("""COMPUTED_VALUE"""),"Bismack Biyombo")</f>
        <v>Bismack Biyombo</v>
      </c>
      <c r="C3602" s="162" t="str">
        <f>IFERROR(__xludf.DUMMYFUNCTION("""COMPUTED_VALUE"""),"2020-21")</f>
        <v>2020-21</v>
      </c>
      <c r="D3602" s="163" t="str">
        <f>IFERROR(__xludf.DUMMYFUNCTION("""COMPUTED_VALUE"""),"CHO")</f>
        <v>CHO</v>
      </c>
      <c r="E3602" s="164" t="str">
        <f>IFERROR(__xludf.DUMMYFUNCTION("""COMPUTED_VALUE"""),"Roll + Cut Big")</f>
        <v>Roll + Cut Big</v>
      </c>
      <c r="F3602" s="164">
        <f>IFERROR(__xludf.DUMMYFUNCTION("""COMPUTED_VALUE"""),605.836666666667)</f>
        <v>605.8366667</v>
      </c>
      <c r="G3602" s="163">
        <f>IFERROR(__xludf.DUMMYFUNCTION("""COMPUTED_VALUE"""),27.0)</f>
        <v>27</v>
      </c>
      <c r="H3602" s="163" t="str">
        <f>IFERROR(__xludf.DUMMYFUNCTION("""COMPUTED_VALUE"""),"C")</f>
        <v>C</v>
      </c>
      <c r="I3602" s="163">
        <f>IFERROR(__xludf.DUMMYFUNCTION("""COMPUTED_VALUE"""),28.0)</f>
        <v>28</v>
      </c>
      <c r="J3602" s="165">
        <f>IFERROR(__xludf.DUMMYFUNCTION("""COMPUTED_VALUE"""),-2.07385862408258)</f>
        <v>-2.073858624</v>
      </c>
      <c r="K3602" s="165">
        <f>IFERROR(__xludf.DUMMYFUNCTION("""COMPUTED_VALUE"""),-2.99983196708487)</f>
        <v>-2.999831967</v>
      </c>
      <c r="L3602" s="165">
        <f>IFERROR(__xludf.DUMMYFUNCTION("""COMPUTED_VALUE"""),0.92597334300229)</f>
        <v>0.925973343</v>
      </c>
      <c r="M3602" s="166">
        <f t="shared" si="2"/>
        <v>0.09195792794</v>
      </c>
      <c r="N3602" s="167">
        <f t="shared" si="3"/>
        <v>22.43839506</v>
      </c>
      <c r="O3602" s="163">
        <f t="shared" ref="O3602:Q3602" si="3606">rank(I3602,I:I)</f>
        <v>1090</v>
      </c>
      <c r="P3602" s="163">
        <f t="shared" si="3606"/>
        <v>3537</v>
      </c>
      <c r="Q3602" s="163">
        <f t="shared" si="3606"/>
        <v>3980</v>
      </c>
      <c r="R3602" s="163">
        <f>IFERROR(__xludf.DUMMYFUNCTION("RANK(M3602,filter(M:M,C:C=C3602))"),338.0)</f>
        <v>338</v>
      </c>
      <c r="S3602" s="161" t="b">
        <f t="shared" si="5"/>
        <v>1</v>
      </c>
      <c r="T3602" s="161" t="b">
        <f t="array" ref="T3602">index('Query Tool'!B:B,match(H3602,'Query Tool'!C:C,0))</f>
        <v>1</v>
      </c>
      <c r="U3602" s="161" t="b">
        <f t="array" ref="U3602">index('Query Tool'!B:B,match(C3602,'Query Tool'!C:C,0))</f>
        <v>1</v>
      </c>
      <c r="V3602" s="161" t="b">
        <f>F3602&gt;='Query Tool'!C$32</f>
        <v>1</v>
      </c>
      <c r="W3602" s="161" t="b">
        <f t="array" ref="W3602">index(Dropdowns!B:B,match(I3602,Dropdowns!A:A,0))</f>
        <v>1</v>
      </c>
      <c r="X3602" s="161" t="b">
        <f t="array" ref="X3602">index('Query Tool'!B:B,match(D3602,'Query Tool'!C:C,0))</f>
        <v>1</v>
      </c>
      <c r="Y3602" s="161" t="str">
        <f t="shared" si="6"/>
        <v>biyombi01,2020-21</v>
      </c>
      <c r="Z3602" s="168" t="str">
        <f t="array" ref="Z3602">iferror(index(I:I,match($A3602&amp;","&amp;index('Year Conversion'!$A:$A,match($C3602,'Year Conversion'!$B:$B,0)),$Y:$Y,0))-I3602,"")</f>
        <v/>
      </c>
      <c r="AA3602" s="168" t="str">
        <f t="array" ref="AA3602">iferror(index(J:J,match($A3602&amp;","&amp;index('Year Conversion'!$A:$A,match($C3602,'Year Conversion'!$B:$B,0)),$Y:$Y,0))-J3602,"")</f>
        <v/>
      </c>
      <c r="AB3602" s="168" t="str">
        <f t="array" ref="AB3602">iferror(index(K:K,match($A3602&amp;","&amp;index('Year Conversion'!$A:$A,match($C3602,'Year Conversion'!$B:$B,0)),$Y:$Y,0))-K3602,"")</f>
        <v/>
      </c>
      <c r="AC3602" s="168" t="str">
        <f t="shared" si="7"/>
        <v>CHO,2020-21</v>
      </c>
    </row>
    <row r="3603">
      <c r="A3603" s="161" t="str">
        <f>IFERROR(__xludf.DUMMYFUNCTION("""COMPUTED_VALUE"""),"walkeke02")</f>
        <v>walkeke02</v>
      </c>
      <c r="B3603" s="161" t="str">
        <f>IFERROR(__xludf.DUMMYFUNCTION("""COMPUTED_VALUE"""),"Kemba Walker")</f>
        <v>Kemba Walker</v>
      </c>
      <c r="C3603" s="162" t="str">
        <f>IFERROR(__xludf.DUMMYFUNCTION("""COMPUTED_VALUE"""),"2020-21")</f>
        <v>2020-21</v>
      </c>
      <c r="D3603" s="163" t="str">
        <f>IFERROR(__xludf.DUMMYFUNCTION("""COMPUTED_VALUE"""),"BOS")</f>
        <v>BOS</v>
      </c>
      <c r="E3603" s="164" t="str">
        <f>IFERROR(__xludf.DUMMYFUNCTION("""COMPUTED_VALUE"""),"Primary Ball Handler")</f>
        <v>Primary Ball Handler</v>
      </c>
      <c r="F3603" s="164">
        <f>IFERROR(__xludf.DUMMYFUNCTION("""COMPUTED_VALUE"""),433.586666666667)</f>
        <v>433.5866667</v>
      </c>
      <c r="G3603" s="163">
        <f>IFERROR(__xludf.DUMMYFUNCTION("""COMPUTED_VALUE"""),15.0)</f>
        <v>15</v>
      </c>
      <c r="H3603" s="163" t="str">
        <f>IFERROR(__xludf.DUMMYFUNCTION("""COMPUTED_VALUE"""),"PG")</f>
        <v>PG</v>
      </c>
      <c r="I3603" s="163">
        <f>IFERROR(__xludf.DUMMYFUNCTION("""COMPUTED_VALUE"""),30.0)</f>
        <v>30</v>
      </c>
      <c r="J3603" s="165">
        <f>IFERROR(__xludf.DUMMYFUNCTION("""COMPUTED_VALUE"""),0.331432860629416)</f>
        <v>0.3314328606</v>
      </c>
      <c r="K3603" s="165">
        <f>IFERROR(__xludf.DUMMYFUNCTION("""COMPUTED_VALUE"""),0.678497567841148)</f>
        <v>0.6784975678</v>
      </c>
      <c r="L3603" s="165">
        <f>IFERROR(__xludf.DUMMYFUNCTION("""COMPUTED_VALUE"""),-0.347064707211731)</f>
        <v>-0.3470647072</v>
      </c>
      <c r="M3603" s="166">
        <f t="shared" si="2"/>
        <v>0.7653156886</v>
      </c>
      <c r="N3603" s="167">
        <f t="shared" si="3"/>
        <v>28.90577778</v>
      </c>
      <c r="O3603" s="163">
        <f t="shared" ref="O3603:Q3603" si="3607">rank(I3603,I:I)</f>
        <v>655</v>
      </c>
      <c r="P3603" s="163">
        <f t="shared" si="3607"/>
        <v>997</v>
      </c>
      <c r="Q3603" s="163">
        <f t="shared" si="3607"/>
        <v>664</v>
      </c>
      <c r="R3603" s="163">
        <f>IFERROR(__xludf.DUMMYFUNCTION("RANK(M3603,filter(M:M,C:C=C3603))"),148.0)</f>
        <v>148</v>
      </c>
      <c r="S3603" s="161" t="b">
        <f t="shared" si="5"/>
        <v>0</v>
      </c>
      <c r="T3603" s="161" t="b">
        <f t="array" ref="T3603">index('Query Tool'!B:B,match(H3603,'Query Tool'!C:C,0))</f>
        <v>1</v>
      </c>
      <c r="U3603" s="161" t="b">
        <f t="array" ref="U3603">index('Query Tool'!B:B,match(C3603,'Query Tool'!C:C,0))</f>
        <v>1</v>
      </c>
      <c r="V3603" s="161" t="b">
        <f>F3603&gt;='Query Tool'!C$32</f>
        <v>0</v>
      </c>
      <c r="W3603" s="161" t="b">
        <f t="array" ref="W3603">index(Dropdowns!B:B,match(I3603,Dropdowns!A:A,0))</f>
        <v>1</v>
      </c>
      <c r="X3603" s="161" t="b">
        <f t="array" ref="X3603">index('Query Tool'!B:B,match(D3603,'Query Tool'!C:C,0))</f>
        <v>1</v>
      </c>
      <c r="Y3603" s="161" t="str">
        <f t="shared" si="6"/>
        <v>walkeke02,2020-21</v>
      </c>
      <c r="Z3603" s="168" t="str">
        <f t="array" ref="Z3603">iferror(index(I:I,match($A3603&amp;","&amp;index('Year Conversion'!$A:$A,match($C3603,'Year Conversion'!$B:$B,0)),$Y:$Y,0))-I3603,"")</f>
        <v/>
      </c>
      <c r="AA3603" s="168" t="str">
        <f t="array" ref="AA3603">iferror(index(J:J,match($A3603&amp;","&amp;index('Year Conversion'!$A:$A,match($C3603,'Year Conversion'!$B:$B,0)),$Y:$Y,0))-J3603,"")</f>
        <v/>
      </c>
      <c r="AB3603" s="168" t="str">
        <f t="array" ref="AB3603">iferror(index(K:K,match($A3603&amp;","&amp;index('Year Conversion'!$A:$A,match($C3603,'Year Conversion'!$B:$B,0)),$Y:$Y,0))-K3603,"")</f>
        <v/>
      </c>
      <c r="AC3603" s="168" t="str">
        <f t="shared" si="7"/>
        <v>BOS,2020-21</v>
      </c>
    </row>
    <row r="3604">
      <c r="A3604" s="161" t="str">
        <f>IFERROR(__xludf.DUMMYFUNCTION("""COMPUTED_VALUE"""),"burksal01")</f>
        <v>burksal01</v>
      </c>
      <c r="B3604" s="161" t="str">
        <f>IFERROR(__xludf.DUMMYFUNCTION("""COMPUTED_VALUE"""),"Alec Burks")</f>
        <v>Alec Burks</v>
      </c>
      <c r="C3604" s="162" t="str">
        <f>IFERROR(__xludf.DUMMYFUNCTION("""COMPUTED_VALUE"""),"2020-21")</f>
        <v>2020-21</v>
      </c>
      <c r="D3604" s="163" t="str">
        <f>IFERROR(__xludf.DUMMYFUNCTION("""COMPUTED_VALUE"""),"NYK")</f>
        <v>NYK</v>
      </c>
      <c r="E3604" s="164" t="str">
        <f>IFERROR(__xludf.DUMMYFUNCTION("""COMPUTED_VALUE"""),"Secondary Ball Handler")</f>
        <v>Secondary Ball Handler</v>
      </c>
      <c r="F3604" s="164">
        <f>IFERROR(__xludf.DUMMYFUNCTION("""COMPUTED_VALUE"""),478.406666666667)</f>
        <v>478.4066667</v>
      </c>
      <c r="G3604" s="163">
        <f>IFERROR(__xludf.DUMMYFUNCTION("""COMPUTED_VALUE"""),19.0)</f>
        <v>19</v>
      </c>
      <c r="H3604" s="163" t="str">
        <f>IFERROR(__xludf.DUMMYFUNCTION("""COMPUTED_VALUE"""),"SG")</f>
        <v>SG</v>
      </c>
      <c r="I3604" s="163">
        <f>IFERROR(__xludf.DUMMYFUNCTION("""COMPUTED_VALUE"""),29.0)</f>
        <v>29</v>
      </c>
      <c r="J3604" s="165">
        <f>IFERROR(__xludf.DUMMYFUNCTION("""COMPUTED_VALUE"""),-0.519166805190868)</f>
        <v>-0.5191668052</v>
      </c>
      <c r="K3604" s="165">
        <f>IFERROR(__xludf.DUMMYFUNCTION("""COMPUTED_VALUE"""),-0.452232925843025)</f>
        <v>-0.4522329258</v>
      </c>
      <c r="L3604" s="165">
        <f>IFERROR(__xludf.DUMMYFUNCTION("""COMPUTED_VALUE"""),-0.0669338793478425)</f>
        <v>-0.06693387935</v>
      </c>
      <c r="M3604" s="166">
        <f t="shared" si="2"/>
        <v>0.5701558287</v>
      </c>
      <c r="N3604" s="167">
        <f t="shared" si="3"/>
        <v>25.17929825</v>
      </c>
      <c r="O3604" s="163">
        <f t="shared" ref="O3604:Q3604" si="3608">rank(I3604,I:I)</f>
        <v>855</v>
      </c>
      <c r="P3604" s="163">
        <f t="shared" si="3608"/>
        <v>1881</v>
      </c>
      <c r="Q3604" s="163">
        <f t="shared" si="3608"/>
        <v>2037</v>
      </c>
      <c r="R3604" s="163">
        <f>IFERROR(__xludf.DUMMYFUNCTION("RANK(M3604,filter(M:M,C:C=C3604))"),179.0)</f>
        <v>179</v>
      </c>
      <c r="S3604" s="161" t="b">
        <f t="shared" si="5"/>
        <v>0</v>
      </c>
      <c r="T3604" s="161" t="b">
        <f t="array" ref="T3604">index('Query Tool'!B:B,match(H3604,'Query Tool'!C:C,0))</f>
        <v>1</v>
      </c>
      <c r="U3604" s="161" t="b">
        <f t="array" ref="U3604">index('Query Tool'!B:B,match(C3604,'Query Tool'!C:C,0))</f>
        <v>1</v>
      </c>
      <c r="V3604" s="161" t="b">
        <f>F3604&gt;='Query Tool'!C$32</f>
        <v>0</v>
      </c>
      <c r="W3604" s="161" t="b">
        <f t="array" ref="W3604">index(Dropdowns!B:B,match(I3604,Dropdowns!A:A,0))</f>
        <v>1</v>
      </c>
      <c r="X3604" s="161" t="b">
        <f t="array" ref="X3604">index('Query Tool'!B:B,match(D3604,'Query Tool'!C:C,0))</f>
        <v>1</v>
      </c>
      <c r="Y3604" s="161" t="str">
        <f t="shared" si="6"/>
        <v>burksal01,2020-21</v>
      </c>
      <c r="Z3604" s="168" t="str">
        <f t="array" ref="Z3604">iferror(index(I:I,match($A3604&amp;","&amp;index('Year Conversion'!$A:$A,match($C3604,'Year Conversion'!$B:$B,0)),$Y:$Y,0))-I3604,"")</f>
        <v/>
      </c>
      <c r="AA3604" s="168" t="str">
        <f t="array" ref="AA3604">iferror(index(J:J,match($A3604&amp;","&amp;index('Year Conversion'!$A:$A,match($C3604,'Year Conversion'!$B:$B,0)),$Y:$Y,0))-J3604,"")</f>
        <v/>
      </c>
      <c r="AB3604" s="168" t="str">
        <f t="array" ref="AB3604">iferror(index(K:K,match($A3604&amp;","&amp;index('Year Conversion'!$A:$A,match($C3604,'Year Conversion'!$B:$B,0)),$Y:$Y,0))-K3604,"")</f>
        <v/>
      </c>
      <c r="AC3604" s="168" t="str">
        <f t="shared" si="7"/>
        <v>NYK,2020-21</v>
      </c>
    </row>
    <row r="3605">
      <c r="A3605" s="161" t="str">
        <f>IFERROR(__xludf.DUMMYFUNCTION("""COMPUTED_VALUE"""),"morrima02")</f>
        <v>morrima02</v>
      </c>
      <c r="B3605" s="161" t="str">
        <f>IFERROR(__xludf.DUMMYFUNCTION("""COMPUTED_VALUE"""),"Markieff Morris")</f>
        <v>Markieff Morris</v>
      </c>
      <c r="C3605" s="162" t="str">
        <f>IFERROR(__xludf.DUMMYFUNCTION("""COMPUTED_VALUE"""),"2020-21")</f>
        <v>2020-21</v>
      </c>
      <c r="D3605" s="163" t="str">
        <f>IFERROR(__xludf.DUMMYFUNCTION("""COMPUTED_VALUE"""),"LAL")</f>
        <v>LAL</v>
      </c>
      <c r="E3605" s="164" t="str">
        <f>IFERROR(__xludf.DUMMYFUNCTION("""COMPUTED_VALUE"""),"Stretch Big")</f>
        <v>Stretch Big</v>
      </c>
      <c r="F3605" s="164">
        <f>IFERROR(__xludf.DUMMYFUNCTION("""COMPUTED_VALUE"""),380.28)</f>
        <v>380.28</v>
      </c>
      <c r="G3605" s="163">
        <f>IFERROR(__xludf.DUMMYFUNCTION("""COMPUTED_VALUE"""),25.0)</f>
        <v>25</v>
      </c>
      <c r="H3605" s="163" t="str">
        <f>IFERROR(__xludf.DUMMYFUNCTION("""COMPUTED_VALUE"""),"PF")</f>
        <v>PF</v>
      </c>
      <c r="I3605" s="163">
        <f>IFERROR(__xludf.DUMMYFUNCTION("""COMPUTED_VALUE"""),31.0)</f>
        <v>31</v>
      </c>
      <c r="J3605" s="165">
        <f>IFERROR(__xludf.DUMMYFUNCTION("""COMPUTED_VALUE"""),-1.59590911190574)</f>
        <v>-1.595909112</v>
      </c>
      <c r="K3605" s="165">
        <f>IFERROR(__xludf.DUMMYFUNCTION("""COMPUTED_VALUE"""),-1.33677593960401)</f>
        <v>-1.33677594</v>
      </c>
      <c r="L3605" s="165">
        <f>IFERROR(__xludf.DUMMYFUNCTION("""COMPUTED_VALUE"""),-0.25913317230173)</f>
        <v>-0.2591331723</v>
      </c>
      <c r="M3605" s="166">
        <f t="shared" si="2"/>
        <v>0.178545941</v>
      </c>
      <c r="N3605" s="167">
        <f t="shared" si="3"/>
        <v>15.2112</v>
      </c>
      <c r="O3605" s="163">
        <f t="shared" ref="O3605:Q3605" si="3609">rank(I3605,I:I)</f>
        <v>490</v>
      </c>
      <c r="P3605" s="163">
        <f t="shared" si="3609"/>
        <v>3140</v>
      </c>
      <c r="Q3605" s="163">
        <f t="shared" si="3609"/>
        <v>3192</v>
      </c>
      <c r="R3605" s="163">
        <f>IFERROR(__xludf.DUMMYFUNCTION("RANK(M3605,filter(M:M,C:C=C3605))"),288.0)</f>
        <v>288</v>
      </c>
      <c r="S3605" s="161" t="b">
        <f t="shared" si="5"/>
        <v>0</v>
      </c>
      <c r="T3605" s="161" t="b">
        <f t="array" ref="T3605">index('Query Tool'!B:B,match(H3605,'Query Tool'!C:C,0))</f>
        <v>1</v>
      </c>
      <c r="U3605" s="161" t="b">
        <f t="array" ref="U3605">index('Query Tool'!B:B,match(C3605,'Query Tool'!C:C,0))</f>
        <v>1</v>
      </c>
      <c r="V3605" s="161" t="b">
        <f>F3605&gt;='Query Tool'!C$32</f>
        <v>0</v>
      </c>
      <c r="W3605" s="161" t="b">
        <f t="array" ref="W3605">index(Dropdowns!B:B,match(I3605,Dropdowns!A:A,0))</f>
        <v>1</v>
      </c>
      <c r="X3605" s="161" t="b">
        <f t="array" ref="X3605">index('Query Tool'!B:B,match(D3605,'Query Tool'!C:C,0))</f>
        <v>1</v>
      </c>
      <c r="Y3605" s="161" t="str">
        <f t="shared" si="6"/>
        <v>morrima02,2020-21</v>
      </c>
      <c r="Z3605" s="168" t="str">
        <f t="array" ref="Z3605">iferror(index(I:I,match($A3605&amp;","&amp;index('Year Conversion'!$A:$A,match($C3605,'Year Conversion'!$B:$B,0)),$Y:$Y,0))-I3605,"")</f>
        <v/>
      </c>
      <c r="AA3605" s="168" t="str">
        <f t="array" ref="AA3605">iferror(index(J:J,match($A3605&amp;","&amp;index('Year Conversion'!$A:$A,match($C3605,'Year Conversion'!$B:$B,0)),$Y:$Y,0))-J3605,"")</f>
        <v/>
      </c>
      <c r="AB3605" s="168" t="str">
        <f t="array" ref="AB3605">iferror(index(K:K,match($A3605&amp;","&amp;index('Year Conversion'!$A:$A,match($C3605,'Year Conversion'!$B:$B,0)),$Y:$Y,0))-K3605,"")</f>
        <v/>
      </c>
      <c r="AC3605" s="168" t="str">
        <f t="shared" si="7"/>
        <v>LAL,2020-21</v>
      </c>
    </row>
    <row r="3606">
      <c r="A3606" s="161" t="str">
        <f>IFERROR(__xludf.DUMMYFUNCTION("""COMPUTED_VALUE"""),"morrima03")</f>
        <v>morrima03</v>
      </c>
      <c r="B3606" s="161" t="str">
        <f>IFERROR(__xludf.DUMMYFUNCTION("""COMPUTED_VALUE"""),"Marcus Morris Sr.")</f>
        <v>Marcus Morris Sr.</v>
      </c>
      <c r="C3606" s="162" t="str">
        <f>IFERROR(__xludf.DUMMYFUNCTION("""COMPUTED_VALUE"""),"2020-21")</f>
        <v>2020-21</v>
      </c>
      <c r="D3606" s="163" t="str">
        <f>IFERROR(__xludf.DUMMYFUNCTION("""COMPUTED_VALUE"""),"LAC")</f>
        <v>LAC</v>
      </c>
      <c r="E3606" s="164" t="str">
        <f>IFERROR(__xludf.DUMMYFUNCTION("""COMPUTED_VALUE"""),"Shot Creator")</f>
        <v>Shot Creator</v>
      </c>
      <c r="F3606" s="164">
        <f>IFERROR(__xludf.DUMMYFUNCTION("""COMPUTED_VALUE"""),575.176666666667)</f>
        <v>575.1766667</v>
      </c>
      <c r="G3606" s="163">
        <f>IFERROR(__xludf.DUMMYFUNCTION("""COMPUTED_VALUE"""),23.0)</f>
        <v>23</v>
      </c>
      <c r="H3606" s="163" t="str">
        <f>IFERROR(__xludf.DUMMYFUNCTION("""COMPUTED_VALUE"""),"PF")</f>
        <v>PF</v>
      </c>
      <c r="I3606" s="163">
        <f>IFERROR(__xludf.DUMMYFUNCTION("""COMPUTED_VALUE"""),31.0)</f>
        <v>31</v>
      </c>
      <c r="J3606" s="165">
        <f>IFERROR(__xludf.DUMMYFUNCTION("""COMPUTED_VALUE"""),-1.60286853418744)</f>
        <v>-1.602868534</v>
      </c>
      <c r="K3606" s="165">
        <f>IFERROR(__xludf.DUMMYFUNCTION("""COMPUTED_VALUE"""),0.389550056055564)</f>
        <v>0.3895500561</v>
      </c>
      <c r="L3606" s="165">
        <f>IFERROR(__xludf.DUMMYFUNCTION("""COMPUTED_VALUE"""),-1.992418590243)</f>
        <v>-1.99241859</v>
      </c>
      <c r="M3606" s="166">
        <f t="shared" si="2"/>
        <v>0.2673820776</v>
      </c>
      <c r="N3606" s="167">
        <f t="shared" si="3"/>
        <v>25.00768116</v>
      </c>
      <c r="O3606" s="163">
        <f t="shared" ref="O3606:Q3606" si="3610">rank(I3606,I:I)</f>
        <v>490</v>
      </c>
      <c r="P3606" s="163">
        <f t="shared" si="3610"/>
        <v>3149</v>
      </c>
      <c r="Q3606" s="163">
        <f t="shared" si="3610"/>
        <v>842</v>
      </c>
      <c r="R3606" s="163">
        <f>IFERROR(__xludf.DUMMYFUNCTION("RANK(M3606,filter(M:M,C:C=C3606))"),255.0)</f>
        <v>255</v>
      </c>
      <c r="S3606" s="161" t="b">
        <f t="shared" si="5"/>
        <v>1</v>
      </c>
      <c r="T3606" s="161" t="b">
        <f t="array" ref="T3606">index('Query Tool'!B:B,match(H3606,'Query Tool'!C:C,0))</f>
        <v>1</v>
      </c>
      <c r="U3606" s="161" t="b">
        <f t="array" ref="U3606">index('Query Tool'!B:B,match(C3606,'Query Tool'!C:C,0))</f>
        <v>1</v>
      </c>
      <c r="V3606" s="161" t="b">
        <f>F3606&gt;='Query Tool'!C$32</f>
        <v>1</v>
      </c>
      <c r="W3606" s="161" t="b">
        <f t="array" ref="W3606">index(Dropdowns!B:B,match(I3606,Dropdowns!A:A,0))</f>
        <v>1</v>
      </c>
      <c r="X3606" s="161" t="b">
        <f t="array" ref="X3606">index('Query Tool'!B:B,match(D3606,'Query Tool'!C:C,0))</f>
        <v>1</v>
      </c>
      <c r="Y3606" s="161" t="str">
        <f t="shared" si="6"/>
        <v>morrima03,2020-21</v>
      </c>
      <c r="Z3606" s="168" t="str">
        <f t="array" ref="Z3606">iferror(index(I:I,match($A3606&amp;","&amp;index('Year Conversion'!$A:$A,match($C3606,'Year Conversion'!$B:$B,0)),$Y:$Y,0))-I3606,"")</f>
        <v/>
      </c>
      <c r="AA3606" s="168" t="str">
        <f t="array" ref="AA3606">iferror(index(J:J,match($A3606&amp;","&amp;index('Year Conversion'!$A:$A,match($C3606,'Year Conversion'!$B:$B,0)),$Y:$Y,0))-J3606,"")</f>
        <v/>
      </c>
      <c r="AB3606" s="168" t="str">
        <f t="array" ref="AB3606">iferror(index(K:K,match($A3606&amp;","&amp;index('Year Conversion'!$A:$A,match($C3606,'Year Conversion'!$B:$B,0)),$Y:$Y,0))-K3606,"")</f>
        <v/>
      </c>
      <c r="AC3606" s="168" t="str">
        <f t="shared" si="7"/>
        <v>LAC,2020-21</v>
      </c>
    </row>
    <row r="3607">
      <c r="A3607" s="161" t="str">
        <f>IFERROR(__xludf.DUMMYFUNCTION("""COMPUTED_VALUE"""),"leonaka01")</f>
        <v>leonaka01</v>
      </c>
      <c r="B3607" s="161" t="str">
        <f>IFERROR(__xludf.DUMMYFUNCTION("""COMPUTED_VALUE"""),"Kawhi Leonard")</f>
        <v>Kawhi Leonard</v>
      </c>
      <c r="C3607" s="162" t="str">
        <f>IFERROR(__xludf.DUMMYFUNCTION("""COMPUTED_VALUE"""),"2020-21")</f>
        <v>2020-21</v>
      </c>
      <c r="D3607" s="163" t="str">
        <f>IFERROR(__xludf.DUMMYFUNCTION("""COMPUTED_VALUE"""),"LAC")</f>
        <v>LAC</v>
      </c>
      <c r="E3607" s="164" t="str">
        <f>IFERROR(__xludf.DUMMYFUNCTION("""COMPUTED_VALUE"""),"Shot Creator")</f>
        <v>Shot Creator</v>
      </c>
      <c r="F3607" s="164">
        <f>IFERROR(__xludf.DUMMYFUNCTION("""COMPUTED_VALUE"""),869.133333333333)</f>
        <v>869.1333333</v>
      </c>
      <c r="G3607" s="163">
        <f>IFERROR(__xludf.DUMMYFUNCTION("""COMPUTED_VALUE"""),25.0)</f>
        <v>25</v>
      </c>
      <c r="H3607" s="163" t="str">
        <f>IFERROR(__xludf.DUMMYFUNCTION("""COMPUTED_VALUE"""),"SF")</f>
        <v>SF</v>
      </c>
      <c r="I3607" s="163">
        <f>IFERROR(__xludf.DUMMYFUNCTION("""COMPUTED_VALUE"""),29.0)</f>
        <v>29</v>
      </c>
      <c r="J3607" s="165">
        <f>IFERROR(__xludf.DUMMYFUNCTION("""COMPUTED_VALUE"""),5.34046676224394)</f>
        <v>5.340466762</v>
      </c>
      <c r="K3607" s="165">
        <f>IFERROR(__xludf.DUMMYFUNCTION("""COMPUTED_VALUE"""),4.2893679405577)</f>
        <v>4.289367941</v>
      </c>
      <c r="L3607" s="165">
        <f>IFERROR(__xludf.DUMMYFUNCTION("""COMPUTED_VALUE"""),1.05109882168624)</f>
        <v>1.051098822</v>
      </c>
      <c r="M3607" s="166">
        <f t="shared" si="2"/>
        <v>4.350845242</v>
      </c>
      <c r="N3607" s="167">
        <f t="shared" si="3"/>
        <v>34.76533333</v>
      </c>
      <c r="O3607" s="163">
        <f t="shared" ref="O3607:Q3607" si="3611">rank(I3607,I:I)</f>
        <v>855</v>
      </c>
      <c r="P3607" s="163">
        <f t="shared" si="3611"/>
        <v>38</v>
      </c>
      <c r="Q3607" s="163">
        <f t="shared" si="3611"/>
        <v>48</v>
      </c>
      <c r="R3607" s="163">
        <f>IFERROR(__xludf.DUMMYFUNCTION("RANK(M3607,filter(M:M,C:C=C3607))"),6.0)</f>
        <v>6</v>
      </c>
      <c r="S3607" s="161" t="b">
        <f t="shared" si="5"/>
        <v>1</v>
      </c>
      <c r="T3607" s="161" t="b">
        <f t="array" ref="T3607">index('Query Tool'!B:B,match(H3607,'Query Tool'!C:C,0))</f>
        <v>1</v>
      </c>
      <c r="U3607" s="161" t="b">
        <f t="array" ref="U3607">index('Query Tool'!B:B,match(C3607,'Query Tool'!C:C,0))</f>
        <v>1</v>
      </c>
      <c r="V3607" s="161" t="b">
        <f>F3607&gt;='Query Tool'!C$32</f>
        <v>1</v>
      </c>
      <c r="W3607" s="161" t="b">
        <f t="array" ref="W3607">index(Dropdowns!B:B,match(I3607,Dropdowns!A:A,0))</f>
        <v>1</v>
      </c>
      <c r="X3607" s="161" t="b">
        <f t="array" ref="X3607">index('Query Tool'!B:B,match(D3607,'Query Tool'!C:C,0))</f>
        <v>1</v>
      </c>
      <c r="Y3607" s="161" t="str">
        <f t="shared" si="6"/>
        <v>leonaka01,2020-21</v>
      </c>
      <c r="Z3607" s="168" t="str">
        <f t="array" ref="Z3607">iferror(index(I:I,match($A3607&amp;","&amp;index('Year Conversion'!$A:$A,match($C3607,'Year Conversion'!$B:$B,0)),$Y:$Y,0))-I3607,"")</f>
        <v/>
      </c>
      <c r="AA3607" s="168" t="str">
        <f t="array" ref="AA3607">iferror(index(J:J,match($A3607&amp;","&amp;index('Year Conversion'!$A:$A,match($C3607,'Year Conversion'!$B:$B,0)),$Y:$Y,0))-J3607,"")</f>
        <v/>
      </c>
      <c r="AB3607" s="168" t="str">
        <f t="array" ref="AB3607">iferror(index(K:K,match($A3607&amp;","&amp;index('Year Conversion'!$A:$A,match($C3607,'Year Conversion'!$B:$B,0)),$Y:$Y,0))-K3607,"")</f>
        <v/>
      </c>
      <c r="AC3607" s="168" t="str">
        <f t="shared" si="7"/>
        <v>LAC,2020-21</v>
      </c>
    </row>
    <row r="3608">
      <c r="A3608" s="161" t="str">
        <f>IFERROR(__xludf.DUMMYFUNCTION("""COMPUTED_VALUE"""),"vucevni01")</f>
        <v>vucevni01</v>
      </c>
      <c r="B3608" s="161" t="str">
        <f>IFERROR(__xludf.DUMMYFUNCTION("""COMPUTED_VALUE"""),"Nikola Vucevic")</f>
        <v>Nikola Vucevic</v>
      </c>
      <c r="C3608" s="162" t="str">
        <f>IFERROR(__xludf.DUMMYFUNCTION("""COMPUTED_VALUE"""),"2020-21")</f>
        <v>2020-21</v>
      </c>
      <c r="D3608" s="163" t="str">
        <f>IFERROR(__xludf.DUMMYFUNCTION("""COMPUTED_VALUE"""),"ORL")</f>
        <v>ORL</v>
      </c>
      <c r="E3608" s="164" t="str">
        <f>IFERROR(__xludf.DUMMYFUNCTION("""COMPUTED_VALUE"""),"Versatile Big")</f>
        <v>Versatile Big</v>
      </c>
      <c r="F3608" s="164">
        <f>IFERROR(__xludf.DUMMYFUNCTION("""COMPUTED_VALUE"""),1048.66)</f>
        <v>1048.66</v>
      </c>
      <c r="G3608" s="163">
        <f>IFERROR(__xludf.DUMMYFUNCTION("""COMPUTED_VALUE"""),31.0)</f>
        <v>31</v>
      </c>
      <c r="H3608" s="163" t="str">
        <f>IFERROR(__xludf.DUMMYFUNCTION("""COMPUTED_VALUE"""),"C")</f>
        <v>C</v>
      </c>
      <c r="I3608" s="163">
        <f>IFERROR(__xludf.DUMMYFUNCTION("""COMPUTED_VALUE"""),30.0)</f>
        <v>30</v>
      </c>
      <c r="J3608" s="165">
        <f>IFERROR(__xludf.DUMMYFUNCTION("""COMPUTED_VALUE"""),0.070388331466725)</f>
        <v>0.07038833147</v>
      </c>
      <c r="K3608" s="165">
        <f>IFERROR(__xludf.DUMMYFUNCTION("""COMPUTED_VALUE"""),-0.0544716446126627)</f>
        <v>-0.05447164461</v>
      </c>
      <c r="L3608" s="165">
        <f>IFERROR(__xludf.DUMMYFUNCTION("""COMPUTED_VALUE"""),0.124859976079388)</f>
        <v>0.1248599761</v>
      </c>
      <c r="M3608" s="166">
        <f t="shared" si="2"/>
        <v>1.666448085</v>
      </c>
      <c r="N3608" s="167">
        <f t="shared" si="3"/>
        <v>33.82774194</v>
      </c>
      <c r="O3608" s="163">
        <f t="shared" ref="O3608:Q3608" si="3612">rank(I3608,I:I)</f>
        <v>655</v>
      </c>
      <c r="P3608" s="163">
        <f t="shared" si="3612"/>
        <v>1227</v>
      </c>
      <c r="Q3608" s="163">
        <f t="shared" si="3612"/>
        <v>1284</v>
      </c>
      <c r="R3608" s="163">
        <f>IFERROR(__xludf.DUMMYFUNCTION("RANK(M3608,filter(M:M,C:C=C3608))"),71.0)</f>
        <v>71</v>
      </c>
      <c r="S3608" s="161" t="b">
        <f t="shared" si="5"/>
        <v>1</v>
      </c>
      <c r="T3608" s="161" t="b">
        <f t="array" ref="T3608">index('Query Tool'!B:B,match(H3608,'Query Tool'!C:C,0))</f>
        <v>1</v>
      </c>
      <c r="U3608" s="161" t="b">
        <f t="array" ref="U3608">index('Query Tool'!B:B,match(C3608,'Query Tool'!C:C,0))</f>
        <v>1</v>
      </c>
      <c r="V3608" s="161" t="b">
        <f>F3608&gt;='Query Tool'!C$32</f>
        <v>1</v>
      </c>
      <c r="W3608" s="161" t="b">
        <f t="array" ref="W3608">index(Dropdowns!B:B,match(I3608,Dropdowns!A:A,0))</f>
        <v>1</v>
      </c>
      <c r="X3608" s="161" t="b">
        <f t="array" ref="X3608">index('Query Tool'!B:B,match(D3608,'Query Tool'!C:C,0))</f>
        <v>1</v>
      </c>
      <c r="Y3608" s="161" t="str">
        <f t="shared" si="6"/>
        <v>vucevni01,2020-21</v>
      </c>
      <c r="Z3608" s="168" t="str">
        <f t="array" ref="Z3608">iferror(index(I:I,match($A3608&amp;","&amp;index('Year Conversion'!$A:$A,match($C3608,'Year Conversion'!$B:$B,0)),$Y:$Y,0))-I3608,"")</f>
        <v/>
      </c>
      <c r="AA3608" s="168" t="str">
        <f t="array" ref="AA3608">iferror(index(J:J,match($A3608&amp;","&amp;index('Year Conversion'!$A:$A,match($C3608,'Year Conversion'!$B:$B,0)),$Y:$Y,0))-J3608,"")</f>
        <v/>
      </c>
      <c r="AB3608" s="168" t="str">
        <f t="array" ref="AB3608">iferror(index(K:K,match($A3608&amp;","&amp;index('Year Conversion'!$A:$A,match($C3608,'Year Conversion'!$B:$B,0)),$Y:$Y,0))-K3608,"")</f>
        <v/>
      </c>
      <c r="AC3608" s="168" t="str">
        <f t="shared" si="7"/>
        <v>ORL,2020-21</v>
      </c>
    </row>
    <row r="3609">
      <c r="A3609" s="161" t="str">
        <f>IFERROR(__xludf.DUMMYFUNCTION("""COMPUTED_VALUE"""),"harrito02")</f>
        <v>harrito02</v>
      </c>
      <c r="B3609" s="161" t="str">
        <f>IFERROR(__xludf.DUMMYFUNCTION("""COMPUTED_VALUE"""),"Tobias Harris")</f>
        <v>Tobias Harris</v>
      </c>
      <c r="C3609" s="162" t="str">
        <f>IFERROR(__xludf.DUMMYFUNCTION("""COMPUTED_VALUE"""),"2020-21")</f>
        <v>2020-21</v>
      </c>
      <c r="D3609" s="163" t="str">
        <f>IFERROR(__xludf.DUMMYFUNCTION("""COMPUTED_VALUE"""),"PHI")</f>
        <v>PHI</v>
      </c>
      <c r="E3609" s="164" t="str">
        <f>IFERROR(__xludf.DUMMYFUNCTION("""COMPUTED_VALUE"""),"Shot Creator")</f>
        <v>Shot Creator</v>
      </c>
      <c r="F3609" s="164">
        <f>IFERROR(__xludf.DUMMYFUNCTION("""COMPUTED_VALUE"""),969.783333333333)</f>
        <v>969.7833333</v>
      </c>
      <c r="G3609" s="163">
        <f>IFERROR(__xludf.DUMMYFUNCTION("""COMPUTED_VALUE"""),28.0)</f>
        <v>28</v>
      </c>
      <c r="H3609" s="163" t="str">
        <f>IFERROR(__xludf.DUMMYFUNCTION("""COMPUTED_VALUE"""),"PF")</f>
        <v>PF</v>
      </c>
      <c r="I3609" s="163">
        <f>IFERROR(__xludf.DUMMYFUNCTION("""COMPUTED_VALUE"""),28.0)</f>
        <v>28</v>
      </c>
      <c r="J3609" s="165">
        <f>IFERROR(__xludf.DUMMYFUNCTION("""COMPUTED_VALUE"""),1.41436659766945)</f>
        <v>1.414366598</v>
      </c>
      <c r="K3609" s="165">
        <f>IFERROR(__xludf.DUMMYFUNCTION("""COMPUTED_VALUE"""),0.582395646090791)</f>
        <v>0.5823956461</v>
      </c>
      <c r="L3609" s="165">
        <f>IFERROR(__xludf.DUMMYFUNCTION("""COMPUTED_VALUE"""),0.831970951578655)</f>
        <v>0.8319709516</v>
      </c>
      <c r="M3609" s="166">
        <f t="shared" si="2"/>
        <v>2.417259755</v>
      </c>
      <c r="N3609" s="167">
        <f t="shared" si="3"/>
        <v>34.63511905</v>
      </c>
      <c r="O3609" s="163">
        <f t="shared" ref="O3609:Q3609" si="3613">rank(I3609,I:I)</f>
        <v>1090</v>
      </c>
      <c r="P3609" s="163">
        <f t="shared" si="3613"/>
        <v>489</v>
      </c>
      <c r="Q3609" s="163">
        <f t="shared" si="3613"/>
        <v>723</v>
      </c>
      <c r="R3609" s="163">
        <f>IFERROR(__xludf.DUMMYFUNCTION("RANK(M3609,filter(M:M,C:C=C3609))"),34.0)</f>
        <v>34</v>
      </c>
      <c r="S3609" s="161" t="b">
        <f t="shared" si="5"/>
        <v>1</v>
      </c>
      <c r="T3609" s="161" t="b">
        <f t="array" ref="T3609">index('Query Tool'!B:B,match(H3609,'Query Tool'!C:C,0))</f>
        <v>1</v>
      </c>
      <c r="U3609" s="161" t="b">
        <f t="array" ref="U3609">index('Query Tool'!B:B,match(C3609,'Query Tool'!C:C,0))</f>
        <v>1</v>
      </c>
      <c r="V3609" s="161" t="b">
        <f>F3609&gt;='Query Tool'!C$32</f>
        <v>1</v>
      </c>
      <c r="W3609" s="161" t="b">
        <f t="array" ref="W3609">index(Dropdowns!B:B,match(I3609,Dropdowns!A:A,0))</f>
        <v>1</v>
      </c>
      <c r="X3609" s="161" t="b">
        <f t="array" ref="X3609">index('Query Tool'!B:B,match(D3609,'Query Tool'!C:C,0))</f>
        <v>1</v>
      </c>
      <c r="Y3609" s="161" t="str">
        <f t="shared" si="6"/>
        <v>harrito02,2020-21</v>
      </c>
      <c r="Z3609" s="168" t="str">
        <f t="array" ref="Z3609">iferror(index(I:I,match($A3609&amp;","&amp;index('Year Conversion'!$A:$A,match($C3609,'Year Conversion'!$B:$B,0)),$Y:$Y,0))-I3609,"")</f>
        <v/>
      </c>
      <c r="AA3609" s="168" t="str">
        <f t="array" ref="AA3609">iferror(index(J:J,match($A3609&amp;","&amp;index('Year Conversion'!$A:$A,match($C3609,'Year Conversion'!$B:$B,0)),$Y:$Y,0))-J3609,"")</f>
        <v/>
      </c>
      <c r="AB3609" s="168" t="str">
        <f t="array" ref="AB3609">iferror(index(K:K,match($A3609&amp;","&amp;index('Year Conversion'!$A:$A,match($C3609,'Year Conversion'!$B:$B,0)),$Y:$Y,0))-K3609,"")</f>
        <v/>
      </c>
      <c r="AC3609" s="168" t="str">
        <f t="shared" si="7"/>
        <v>PHI,2020-21</v>
      </c>
    </row>
    <row r="3610">
      <c r="A3610" s="161" t="str">
        <f>IFERROR(__xludf.DUMMYFUNCTION("""COMPUTED_VALUE"""),"jacksre01")</f>
        <v>jacksre01</v>
      </c>
      <c r="B3610" s="161" t="str">
        <f>IFERROR(__xludf.DUMMYFUNCTION("""COMPUTED_VALUE"""),"Reggie Jackson")</f>
        <v>Reggie Jackson</v>
      </c>
      <c r="C3610" s="162" t="str">
        <f>IFERROR(__xludf.DUMMYFUNCTION("""COMPUTED_VALUE"""),"2020-21")</f>
        <v>2020-21</v>
      </c>
      <c r="D3610" s="163" t="str">
        <f>IFERROR(__xludf.DUMMYFUNCTION("""COMPUTED_VALUE"""),"LAC")</f>
        <v>LAC</v>
      </c>
      <c r="E3610" s="164" t="str">
        <f>IFERROR(__xludf.DUMMYFUNCTION("""COMPUTED_VALUE"""),"Primary Ball Handler")</f>
        <v>Primary Ball Handler</v>
      </c>
      <c r="F3610" s="164">
        <f>IFERROR(__xludf.DUMMYFUNCTION("""COMPUTED_VALUE"""),580.996666666667)</f>
        <v>580.9966667</v>
      </c>
      <c r="G3610" s="163">
        <f>IFERROR(__xludf.DUMMYFUNCTION("""COMPUTED_VALUE"""),29.0)</f>
        <v>29</v>
      </c>
      <c r="H3610" s="163" t="str">
        <f>IFERROR(__xludf.DUMMYFUNCTION("""COMPUTED_VALUE"""),"SG")</f>
        <v>SG</v>
      </c>
      <c r="I3610" s="163">
        <f>IFERROR(__xludf.DUMMYFUNCTION("""COMPUTED_VALUE"""),30.0)</f>
        <v>30</v>
      </c>
      <c r="J3610" s="165">
        <f>IFERROR(__xludf.DUMMYFUNCTION("""COMPUTED_VALUE"""),-0.0491265842687698)</f>
        <v>-0.04912658427</v>
      </c>
      <c r="K3610" s="165">
        <f>IFERROR(__xludf.DUMMYFUNCTION("""COMPUTED_VALUE"""),0.674653496886301)</f>
        <v>0.6746534969</v>
      </c>
      <c r="L3610" s="165">
        <f>IFERROR(__xludf.DUMMYFUNCTION("""COMPUTED_VALUE"""),-0.723780081155071)</f>
        <v>-0.7237800812</v>
      </c>
      <c r="M3610" s="166">
        <f t="shared" si="2"/>
        <v>0.8764602759</v>
      </c>
      <c r="N3610" s="167">
        <f t="shared" si="3"/>
        <v>20.03436782</v>
      </c>
      <c r="O3610" s="163">
        <f t="shared" ref="O3610:Q3610" si="3614">rank(I3610,I:I)</f>
        <v>655</v>
      </c>
      <c r="P3610" s="163">
        <f t="shared" si="3614"/>
        <v>1330</v>
      </c>
      <c r="Q3610" s="163">
        <f t="shared" si="3614"/>
        <v>668</v>
      </c>
      <c r="R3610" s="163">
        <f>IFERROR(__xludf.DUMMYFUNCTION("RANK(M3610,filter(M:M,C:C=C3610))"),134.0)</f>
        <v>134</v>
      </c>
      <c r="S3610" s="161" t="b">
        <f t="shared" si="5"/>
        <v>1</v>
      </c>
      <c r="T3610" s="161" t="b">
        <f t="array" ref="T3610">index('Query Tool'!B:B,match(H3610,'Query Tool'!C:C,0))</f>
        <v>1</v>
      </c>
      <c r="U3610" s="161" t="b">
        <f t="array" ref="U3610">index('Query Tool'!B:B,match(C3610,'Query Tool'!C:C,0))</f>
        <v>1</v>
      </c>
      <c r="V3610" s="161" t="b">
        <f>F3610&gt;='Query Tool'!C$32</f>
        <v>1</v>
      </c>
      <c r="W3610" s="161" t="b">
        <f t="array" ref="W3610">index(Dropdowns!B:B,match(I3610,Dropdowns!A:A,0))</f>
        <v>1</v>
      </c>
      <c r="X3610" s="161" t="b">
        <f t="array" ref="X3610">index('Query Tool'!B:B,match(D3610,'Query Tool'!C:C,0))</f>
        <v>1</v>
      </c>
      <c r="Y3610" s="161" t="str">
        <f t="shared" si="6"/>
        <v>jacksre01,2020-21</v>
      </c>
      <c r="Z3610" s="168" t="str">
        <f t="array" ref="Z3610">iferror(index(I:I,match($A3610&amp;","&amp;index('Year Conversion'!$A:$A,match($C3610,'Year Conversion'!$B:$B,0)),$Y:$Y,0))-I3610,"")</f>
        <v/>
      </c>
      <c r="AA3610" s="168" t="str">
        <f t="array" ref="AA3610">iferror(index(J:J,match($A3610&amp;","&amp;index('Year Conversion'!$A:$A,match($C3610,'Year Conversion'!$B:$B,0)),$Y:$Y,0))-J3610,"")</f>
        <v/>
      </c>
      <c r="AB3610" s="168" t="str">
        <f t="array" ref="AB3610">iferror(index(K:K,match($A3610&amp;","&amp;index('Year Conversion'!$A:$A,match($C3610,'Year Conversion'!$B:$B,0)),$Y:$Y,0))-K3610,"")</f>
        <v/>
      </c>
      <c r="AC3610" s="168" t="str">
        <f t="shared" si="7"/>
        <v>LAC,2020-21</v>
      </c>
    </row>
    <row r="3611">
      <c r="A3611" s="161" t="str">
        <f>IFERROR(__xludf.DUMMYFUNCTION("""COMPUTED_VALUE"""),"josepco01")</f>
        <v>josepco01</v>
      </c>
      <c r="B3611" s="161" t="str">
        <f>IFERROR(__xludf.DUMMYFUNCTION("""COMPUTED_VALUE"""),"Cory Joseph")</f>
        <v>Cory Joseph</v>
      </c>
      <c r="C3611" s="162" t="str">
        <f>IFERROR(__xludf.DUMMYFUNCTION("""COMPUTED_VALUE"""),"2020-21")</f>
        <v>2020-21</v>
      </c>
      <c r="D3611" s="163" t="str">
        <f>IFERROR(__xludf.DUMMYFUNCTION("""COMPUTED_VALUE"""),"SAC")</f>
        <v>SAC</v>
      </c>
      <c r="E3611" s="164" t="str">
        <f>IFERROR(__xludf.DUMMYFUNCTION("""COMPUTED_VALUE"""),"Secondary Ball Handler")</f>
        <v>Secondary Ball Handler</v>
      </c>
      <c r="F3611" s="164">
        <f>IFERROR(__xludf.DUMMYFUNCTION("""COMPUTED_VALUE"""),610.078333333333)</f>
        <v>610.0783333</v>
      </c>
      <c r="G3611" s="163">
        <f>IFERROR(__xludf.DUMMYFUNCTION("""COMPUTED_VALUE"""),30.0)</f>
        <v>30</v>
      </c>
      <c r="H3611" s="163" t="str">
        <f>IFERROR(__xludf.DUMMYFUNCTION("""COMPUTED_VALUE"""),"PG")</f>
        <v>PG</v>
      </c>
      <c r="I3611" s="163">
        <f>IFERROR(__xludf.DUMMYFUNCTION("""COMPUTED_VALUE"""),29.0)</f>
        <v>29</v>
      </c>
      <c r="J3611" s="165">
        <f>IFERROR(__xludf.DUMMYFUNCTION("""COMPUTED_VALUE"""),-2.65228353115261)</f>
        <v>-2.652283531</v>
      </c>
      <c r="K3611" s="165">
        <f>IFERROR(__xludf.DUMMYFUNCTION("""COMPUTED_VALUE"""),-1.35020740568881)</f>
        <v>-1.350207406</v>
      </c>
      <c r="L3611" s="165">
        <f>IFERROR(__xludf.DUMMYFUNCTION("""COMPUTED_VALUE"""),-1.3020761254638)</f>
        <v>-1.302076125</v>
      </c>
      <c r="M3611" s="166">
        <f t="shared" si="2"/>
        <v>-0.1398321364</v>
      </c>
      <c r="N3611" s="167">
        <f t="shared" si="3"/>
        <v>20.33594444</v>
      </c>
      <c r="O3611" s="163">
        <f t="shared" ref="O3611:Q3611" si="3615">rank(I3611,I:I)</f>
        <v>855</v>
      </c>
      <c r="P3611" s="163">
        <f t="shared" si="3615"/>
        <v>3801</v>
      </c>
      <c r="Q3611" s="163">
        <f t="shared" si="3615"/>
        <v>3203</v>
      </c>
      <c r="R3611" s="163">
        <f>IFERROR(__xludf.DUMMYFUNCTION("RANK(M3611,filter(M:M,C:C=C3611))"),457.0)</f>
        <v>457</v>
      </c>
      <c r="S3611" s="161" t="b">
        <f t="shared" si="5"/>
        <v>1</v>
      </c>
      <c r="T3611" s="161" t="b">
        <f t="array" ref="T3611">index('Query Tool'!B:B,match(H3611,'Query Tool'!C:C,0))</f>
        <v>1</v>
      </c>
      <c r="U3611" s="161" t="b">
        <f t="array" ref="U3611">index('Query Tool'!B:B,match(C3611,'Query Tool'!C:C,0))</f>
        <v>1</v>
      </c>
      <c r="V3611" s="161" t="b">
        <f>F3611&gt;='Query Tool'!C$32</f>
        <v>1</v>
      </c>
      <c r="W3611" s="161" t="b">
        <f t="array" ref="W3611">index(Dropdowns!B:B,match(I3611,Dropdowns!A:A,0))</f>
        <v>1</v>
      </c>
      <c r="X3611" s="161" t="b">
        <f t="array" ref="X3611">index('Query Tool'!B:B,match(D3611,'Query Tool'!C:C,0))</f>
        <v>1</v>
      </c>
      <c r="Y3611" s="161" t="str">
        <f t="shared" si="6"/>
        <v>josepco01,2020-21</v>
      </c>
      <c r="Z3611" s="168" t="str">
        <f t="array" ref="Z3611">iferror(index(I:I,match($A3611&amp;","&amp;index('Year Conversion'!$A:$A,match($C3611,'Year Conversion'!$B:$B,0)),$Y:$Y,0))-I3611,"")</f>
        <v/>
      </c>
      <c r="AA3611" s="168" t="str">
        <f t="array" ref="AA3611">iferror(index(J:J,match($A3611&amp;","&amp;index('Year Conversion'!$A:$A,match($C3611,'Year Conversion'!$B:$B,0)),$Y:$Y,0))-J3611,"")</f>
        <v/>
      </c>
      <c r="AB3611" s="168" t="str">
        <f t="array" ref="AB3611">iferror(index(K:K,match($A3611&amp;","&amp;index('Year Conversion'!$A:$A,match($C3611,'Year Conversion'!$B:$B,0)),$Y:$Y,0))-K3611,"")</f>
        <v/>
      </c>
      <c r="AC3611" s="168" t="str">
        <f t="shared" si="7"/>
        <v>SAC,2020-21</v>
      </c>
    </row>
    <row r="3612">
      <c r="A3612" s="161" t="str">
        <f>IFERROR(__xludf.DUMMYFUNCTION("""COMPUTED_VALUE"""),"butleji01")</f>
        <v>butleji01</v>
      </c>
      <c r="B3612" s="161" t="str">
        <f>IFERROR(__xludf.DUMMYFUNCTION("""COMPUTED_VALUE"""),"Jimmy Butler")</f>
        <v>Jimmy Butler</v>
      </c>
      <c r="C3612" s="162" t="str">
        <f>IFERROR(__xludf.DUMMYFUNCTION("""COMPUTED_VALUE"""),"2020-21")</f>
        <v>2020-21</v>
      </c>
      <c r="D3612" s="163" t="str">
        <f>IFERROR(__xludf.DUMMYFUNCTION("""COMPUTED_VALUE"""),"MIA")</f>
        <v>MIA</v>
      </c>
      <c r="E3612" s="164" t="str">
        <f>IFERROR(__xludf.DUMMYFUNCTION("""COMPUTED_VALUE"""),"Slasher")</f>
        <v>Slasher</v>
      </c>
      <c r="F3612" s="164">
        <f>IFERROR(__xludf.DUMMYFUNCTION("""COMPUTED_VALUE"""),596.38)</f>
        <v>596.38</v>
      </c>
      <c r="G3612" s="163">
        <f>IFERROR(__xludf.DUMMYFUNCTION("""COMPUTED_VALUE"""),18.0)</f>
        <v>18</v>
      </c>
      <c r="H3612" s="163" t="str">
        <f>IFERROR(__xludf.DUMMYFUNCTION("""COMPUTED_VALUE"""),"SF")</f>
        <v>SF</v>
      </c>
      <c r="I3612" s="163">
        <f>IFERROR(__xludf.DUMMYFUNCTION("""COMPUTED_VALUE"""),31.0)</f>
        <v>31</v>
      </c>
      <c r="J3612" s="165">
        <f>IFERROR(__xludf.DUMMYFUNCTION("""COMPUTED_VALUE"""),3.61845442549922)</f>
        <v>3.618454425</v>
      </c>
      <c r="K3612" s="165">
        <f>IFERROR(__xludf.DUMMYFUNCTION("""COMPUTED_VALUE"""),1.455364014483)</f>
        <v>1.455364014</v>
      </c>
      <c r="L3612" s="165">
        <f>IFERROR(__xludf.DUMMYFUNCTION("""COMPUTED_VALUE"""),2.16309041101622)</f>
        <v>2.163090411</v>
      </c>
      <c r="M3612" s="166">
        <f t="shared" si="2"/>
        <v>2.34840426</v>
      </c>
      <c r="N3612" s="167">
        <f t="shared" si="3"/>
        <v>33.13222222</v>
      </c>
      <c r="O3612" s="163">
        <f t="shared" ref="O3612:Q3612" si="3616">rank(I3612,I:I)</f>
        <v>490</v>
      </c>
      <c r="P3612" s="163">
        <f t="shared" si="3616"/>
        <v>121</v>
      </c>
      <c r="Q3612" s="163">
        <f t="shared" si="3616"/>
        <v>337</v>
      </c>
      <c r="R3612" s="163">
        <f>IFERROR(__xludf.DUMMYFUNCTION("RANK(M3612,filter(M:M,C:C=C3612))"),37.0)</f>
        <v>37</v>
      </c>
      <c r="S3612" s="161" t="b">
        <f t="shared" si="5"/>
        <v>1</v>
      </c>
      <c r="T3612" s="161" t="b">
        <f t="array" ref="T3612">index('Query Tool'!B:B,match(H3612,'Query Tool'!C:C,0))</f>
        <v>1</v>
      </c>
      <c r="U3612" s="161" t="b">
        <f t="array" ref="U3612">index('Query Tool'!B:B,match(C3612,'Query Tool'!C:C,0))</f>
        <v>1</v>
      </c>
      <c r="V3612" s="161" t="b">
        <f>F3612&gt;='Query Tool'!C$32</f>
        <v>1</v>
      </c>
      <c r="W3612" s="161" t="b">
        <f t="array" ref="W3612">index(Dropdowns!B:B,match(I3612,Dropdowns!A:A,0))</f>
        <v>1</v>
      </c>
      <c r="X3612" s="161" t="b">
        <f t="array" ref="X3612">index('Query Tool'!B:B,match(D3612,'Query Tool'!C:C,0))</f>
        <v>1</v>
      </c>
      <c r="Y3612" s="161" t="str">
        <f t="shared" si="6"/>
        <v>butleji01,2020-21</v>
      </c>
      <c r="Z3612" s="168" t="str">
        <f t="array" ref="Z3612">iferror(index(I:I,match($A3612&amp;","&amp;index('Year Conversion'!$A:$A,match($C3612,'Year Conversion'!$B:$B,0)),$Y:$Y,0))-I3612,"")</f>
        <v/>
      </c>
      <c r="AA3612" s="168" t="str">
        <f t="array" ref="AA3612">iferror(index(J:J,match($A3612&amp;","&amp;index('Year Conversion'!$A:$A,match($C3612,'Year Conversion'!$B:$B,0)),$Y:$Y,0))-J3612,"")</f>
        <v/>
      </c>
      <c r="AB3612" s="168" t="str">
        <f t="array" ref="AB3612">iferror(index(K:K,match($A3612&amp;","&amp;index('Year Conversion'!$A:$A,match($C3612,'Year Conversion'!$B:$B,0)),$Y:$Y,0))-K3612,"")</f>
        <v/>
      </c>
      <c r="AC3612" s="168" t="str">
        <f t="shared" si="7"/>
        <v>MIA,2020-21</v>
      </c>
    </row>
    <row r="3613">
      <c r="A3613" s="161" t="str">
        <f>IFERROR(__xludf.DUMMYFUNCTION("""COMPUTED_VALUE"""),"bogdabo02")</f>
        <v>bogdabo02</v>
      </c>
      <c r="B3613" s="161" t="str">
        <f>IFERROR(__xludf.DUMMYFUNCTION("""COMPUTED_VALUE"""),"Bojan Bogdanovic")</f>
        <v>Bojan Bogdanovic</v>
      </c>
      <c r="C3613" s="162" t="str">
        <f>IFERROR(__xludf.DUMMYFUNCTION("""COMPUTED_VALUE"""),"2020-21")</f>
        <v>2020-21</v>
      </c>
      <c r="D3613" s="163" t="str">
        <f>IFERROR(__xludf.DUMMYFUNCTION("""COMPUTED_VALUE"""),"UTA")</f>
        <v>UTA</v>
      </c>
      <c r="E3613" s="164" t="str">
        <f>IFERROR(__xludf.DUMMYFUNCTION("""COMPUTED_VALUE"""),"Movement Shooter")</f>
        <v>Movement Shooter</v>
      </c>
      <c r="F3613" s="164">
        <f>IFERROR(__xludf.DUMMYFUNCTION("""COMPUTED_VALUE"""),924.981666666667)</f>
        <v>924.9816667</v>
      </c>
      <c r="G3613" s="163">
        <f>IFERROR(__xludf.DUMMYFUNCTION("""COMPUTED_VALUE"""),30.0)</f>
        <v>30</v>
      </c>
      <c r="H3613" s="163" t="str">
        <f>IFERROR(__xludf.DUMMYFUNCTION("""COMPUTED_VALUE"""),"SF")</f>
        <v>SF</v>
      </c>
      <c r="I3613" s="163">
        <f>IFERROR(__xludf.DUMMYFUNCTION("""COMPUTED_VALUE"""),31.0)</f>
        <v>31</v>
      </c>
      <c r="J3613" s="165">
        <f>IFERROR(__xludf.DUMMYFUNCTION("""COMPUTED_VALUE"""),-0.598790008441011)</f>
        <v>-0.5987900084</v>
      </c>
      <c r="K3613" s="165">
        <f>IFERROR(__xludf.DUMMYFUNCTION("""COMPUTED_VALUE"""),-0.122449936322329)</f>
        <v>-0.1224499363</v>
      </c>
      <c r="L3613" s="165">
        <f>IFERROR(__xludf.DUMMYFUNCTION("""COMPUTED_VALUE"""),-0.476340072118682)</f>
        <v>-0.4763400721</v>
      </c>
      <c r="M3613" s="166">
        <f t="shared" si="2"/>
        <v>1.052785921</v>
      </c>
      <c r="N3613" s="167">
        <f t="shared" si="3"/>
        <v>30.83272222</v>
      </c>
      <c r="O3613" s="163">
        <f t="shared" ref="O3613:Q3613" si="3617">rank(I3613,I:I)</f>
        <v>490</v>
      </c>
      <c r="P3613" s="163">
        <f t="shared" si="3617"/>
        <v>1994</v>
      </c>
      <c r="Q3613" s="163">
        <f t="shared" si="3617"/>
        <v>1413</v>
      </c>
      <c r="R3613" s="163">
        <f>IFERROR(__xludf.DUMMYFUNCTION("RANK(M3613,filter(M:M,C:C=C3613))"),116.0)</f>
        <v>116</v>
      </c>
      <c r="S3613" s="161" t="b">
        <f t="shared" si="5"/>
        <v>1</v>
      </c>
      <c r="T3613" s="161" t="b">
        <f t="array" ref="T3613">index('Query Tool'!B:B,match(H3613,'Query Tool'!C:C,0))</f>
        <v>1</v>
      </c>
      <c r="U3613" s="161" t="b">
        <f t="array" ref="U3613">index('Query Tool'!B:B,match(C3613,'Query Tool'!C:C,0))</f>
        <v>1</v>
      </c>
      <c r="V3613" s="161" t="b">
        <f>F3613&gt;='Query Tool'!C$32</f>
        <v>1</v>
      </c>
      <c r="W3613" s="161" t="b">
        <f t="array" ref="W3613">index(Dropdowns!B:B,match(I3613,Dropdowns!A:A,0))</f>
        <v>1</v>
      </c>
      <c r="X3613" s="161" t="b">
        <f t="array" ref="X3613">index('Query Tool'!B:B,match(D3613,'Query Tool'!C:C,0))</f>
        <v>1</v>
      </c>
      <c r="Y3613" s="161" t="str">
        <f t="shared" si="6"/>
        <v>bogdabo02,2020-21</v>
      </c>
      <c r="Z3613" s="168" t="str">
        <f t="array" ref="Z3613">iferror(index(I:I,match($A3613&amp;","&amp;index('Year Conversion'!$A:$A,match($C3613,'Year Conversion'!$B:$B,0)),$Y:$Y,0))-I3613,"")</f>
        <v/>
      </c>
      <c r="AA3613" s="168" t="str">
        <f t="array" ref="AA3613">iferror(index(J:J,match($A3613&amp;","&amp;index('Year Conversion'!$A:$A,match($C3613,'Year Conversion'!$B:$B,0)),$Y:$Y,0))-J3613,"")</f>
        <v/>
      </c>
      <c r="AB3613" s="168" t="str">
        <f t="array" ref="AB3613">iferror(index(K:K,match($A3613&amp;","&amp;index('Year Conversion'!$A:$A,match($C3613,'Year Conversion'!$B:$B,0)),$Y:$Y,0))-K3613,"")</f>
        <v/>
      </c>
      <c r="AC3613" s="168" t="str">
        <f t="shared" si="7"/>
        <v>UTA,2020-21</v>
      </c>
    </row>
    <row r="3614">
      <c r="A3614" s="161" t="str">
        <f>IFERROR(__xludf.DUMMYFUNCTION("""COMPUTED_VALUE"""),"bertada01")</f>
        <v>bertada01</v>
      </c>
      <c r="B3614" s="161" t="str">
        <f>IFERROR(__xludf.DUMMYFUNCTION("""COMPUTED_VALUE"""),"Davis Bertans")</f>
        <v>Davis Bertans</v>
      </c>
      <c r="C3614" s="162" t="str">
        <f>IFERROR(__xludf.DUMMYFUNCTION("""COMPUTED_VALUE"""),"2020-21")</f>
        <v>2020-21</v>
      </c>
      <c r="D3614" s="163" t="str">
        <f>IFERROR(__xludf.DUMMYFUNCTION("""COMPUTED_VALUE"""),"WAS")</f>
        <v>WAS</v>
      </c>
      <c r="E3614" s="164" t="str">
        <f>IFERROR(__xludf.DUMMYFUNCTION("""COMPUTED_VALUE"""),"Off Screen Shooter")</f>
        <v>Off Screen Shooter</v>
      </c>
      <c r="F3614" s="164">
        <f>IFERROR(__xludf.DUMMYFUNCTION("""COMPUTED_VALUE"""),626.798333333333)</f>
        <v>626.7983333</v>
      </c>
      <c r="G3614" s="163">
        <f>IFERROR(__xludf.DUMMYFUNCTION("""COMPUTED_VALUE"""),24.0)</f>
        <v>24</v>
      </c>
      <c r="H3614" s="163" t="str">
        <f>IFERROR(__xludf.DUMMYFUNCTION("""COMPUTED_VALUE"""),"PF")</f>
        <v>PF</v>
      </c>
      <c r="I3614" s="163">
        <f>IFERROR(__xludf.DUMMYFUNCTION("""COMPUTED_VALUE"""),28.0)</f>
        <v>28</v>
      </c>
      <c r="J3614" s="165">
        <f>IFERROR(__xludf.DUMMYFUNCTION("""COMPUTED_VALUE"""),-1.32001666983622)</f>
        <v>-1.32001667</v>
      </c>
      <c r="K3614" s="165">
        <f>IFERROR(__xludf.DUMMYFUNCTION("""COMPUTED_VALUE"""),-0.22540837809614)</f>
        <v>-0.2254083781</v>
      </c>
      <c r="L3614" s="165">
        <f>IFERROR(__xludf.DUMMYFUNCTION("""COMPUTED_VALUE"""),-1.09460829174008)</f>
        <v>-1.094608292</v>
      </c>
      <c r="M3614" s="166">
        <f t="shared" si="2"/>
        <v>0.409846388</v>
      </c>
      <c r="N3614" s="167">
        <f t="shared" si="3"/>
        <v>26.11659722</v>
      </c>
      <c r="O3614" s="163">
        <f t="shared" ref="O3614:Q3614" si="3618">rank(I3614,I:I)</f>
        <v>1090</v>
      </c>
      <c r="P3614" s="163">
        <f t="shared" si="3618"/>
        <v>2884</v>
      </c>
      <c r="Q3614" s="163">
        <f t="shared" si="3618"/>
        <v>1610</v>
      </c>
      <c r="R3614" s="163">
        <f>IFERROR(__xludf.DUMMYFUNCTION("RANK(M3614,filter(M:M,C:C=C3614))"),214.0)</f>
        <v>214</v>
      </c>
      <c r="S3614" s="161" t="b">
        <f t="shared" si="5"/>
        <v>1</v>
      </c>
      <c r="T3614" s="161" t="b">
        <f t="array" ref="T3614">index('Query Tool'!B:B,match(H3614,'Query Tool'!C:C,0))</f>
        <v>1</v>
      </c>
      <c r="U3614" s="161" t="b">
        <f t="array" ref="U3614">index('Query Tool'!B:B,match(C3614,'Query Tool'!C:C,0))</f>
        <v>1</v>
      </c>
      <c r="V3614" s="161" t="b">
        <f>F3614&gt;='Query Tool'!C$32</f>
        <v>1</v>
      </c>
      <c r="W3614" s="161" t="b">
        <f t="array" ref="W3614">index(Dropdowns!B:B,match(I3614,Dropdowns!A:A,0))</f>
        <v>1</v>
      </c>
      <c r="X3614" s="161" t="b">
        <f t="array" ref="X3614">index('Query Tool'!B:B,match(D3614,'Query Tool'!C:C,0))</f>
        <v>1</v>
      </c>
      <c r="Y3614" s="161" t="str">
        <f t="shared" si="6"/>
        <v>bertada01,2020-21</v>
      </c>
      <c r="Z3614" s="168" t="str">
        <f t="array" ref="Z3614">iferror(index(I:I,match($A3614&amp;","&amp;index('Year Conversion'!$A:$A,match($C3614,'Year Conversion'!$B:$B,0)),$Y:$Y,0))-I3614,"")</f>
        <v/>
      </c>
      <c r="AA3614" s="168" t="str">
        <f t="array" ref="AA3614">iferror(index(J:J,match($A3614&amp;","&amp;index('Year Conversion'!$A:$A,match($C3614,'Year Conversion'!$B:$B,0)),$Y:$Y,0))-J3614,"")</f>
        <v/>
      </c>
      <c r="AB3614" s="168" t="str">
        <f t="array" ref="AB3614">iferror(index(K:K,match($A3614&amp;","&amp;index('Year Conversion'!$A:$A,match($C3614,'Year Conversion'!$B:$B,0)),$Y:$Y,0))-K3614,"")</f>
        <v/>
      </c>
      <c r="AC3614" s="168" t="str">
        <f t="shared" si="7"/>
        <v>WAS,2020-21</v>
      </c>
    </row>
    <row r="3615">
      <c r="A3615" s="161" t="str">
        <f>IFERROR(__xludf.DUMMYFUNCTION("""COMPUTED_VALUE"""),"mooreet01")</f>
        <v>mooreet01</v>
      </c>
      <c r="B3615" s="161" t="str">
        <f>IFERROR(__xludf.DUMMYFUNCTION("""COMPUTED_VALUE"""),"E'Twaun Moore")</f>
        <v>E'Twaun Moore</v>
      </c>
      <c r="C3615" s="162" t="str">
        <f>IFERROR(__xludf.DUMMYFUNCTION("""COMPUTED_VALUE"""),"2020-21")</f>
        <v>2020-21</v>
      </c>
      <c r="D3615" s="163" t="str">
        <f>IFERROR(__xludf.DUMMYFUNCTION("""COMPUTED_VALUE"""),"PHO")</f>
        <v>PHO</v>
      </c>
      <c r="E3615" s="164" t="str">
        <f>IFERROR(__xludf.DUMMYFUNCTION("""COMPUTED_VALUE"""),"Secondary Ball Handler")</f>
        <v>Secondary Ball Handler</v>
      </c>
      <c r="F3615" s="164">
        <f>IFERROR(__xludf.DUMMYFUNCTION("""COMPUTED_VALUE"""),257.081666666667)</f>
        <v>257.0816667</v>
      </c>
      <c r="G3615" s="163">
        <f>IFERROR(__xludf.DUMMYFUNCTION("""COMPUTED_VALUE"""),16.0)</f>
        <v>16</v>
      </c>
      <c r="H3615" s="163" t="str">
        <f>IFERROR(__xludf.DUMMYFUNCTION("""COMPUTED_VALUE"""),"SG")</f>
        <v>SG</v>
      </c>
      <c r="I3615" s="163">
        <f>IFERROR(__xludf.DUMMYFUNCTION("""COMPUTED_VALUE"""),31.0)</f>
        <v>31</v>
      </c>
      <c r="J3615" s="165">
        <f>IFERROR(__xludf.DUMMYFUNCTION("""COMPUTED_VALUE"""),-1.8933038851022)</f>
        <v>-1.893303885</v>
      </c>
      <c r="K3615" s="165">
        <f>IFERROR(__xludf.DUMMYFUNCTION("""COMPUTED_VALUE"""),-1.51865143524678)</f>
        <v>-1.518651435</v>
      </c>
      <c r="L3615" s="165">
        <f>IFERROR(__xludf.DUMMYFUNCTION("""COMPUTED_VALUE"""),-0.374652449855417)</f>
        <v>-0.3746524499</v>
      </c>
      <c r="M3615" s="166">
        <f t="shared" si="2"/>
        <v>0.06980771477</v>
      </c>
      <c r="N3615" s="167">
        <f t="shared" si="3"/>
        <v>16.06760417</v>
      </c>
      <c r="O3615" s="163">
        <f t="shared" ref="O3615:Q3615" si="3619">rank(I3615,I:I)</f>
        <v>490</v>
      </c>
      <c r="P3615" s="163">
        <f t="shared" si="3619"/>
        <v>3411</v>
      </c>
      <c r="Q3615" s="163">
        <f t="shared" si="3619"/>
        <v>3377</v>
      </c>
      <c r="R3615" s="163">
        <f>IFERROR(__xludf.DUMMYFUNCTION("RANK(M3615,filter(M:M,C:C=C3615))"),357.0)</f>
        <v>357</v>
      </c>
      <c r="S3615" s="161" t="b">
        <f t="shared" si="5"/>
        <v>0</v>
      </c>
      <c r="T3615" s="161" t="b">
        <f t="array" ref="T3615">index('Query Tool'!B:B,match(H3615,'Query Tool'!C:C,0))</f>
        <v>1</v>
      </c>
      <c r="U3615" s="161" t="b">
        <f t="array" ref="U3615">index('Query Tool'!B:B,match(C3615,'Query Tool'!C:C,0))</f>
        <v>1</v>
      </c>
      <c r="V3615" s="161" t="b">
        <f>F3615&gt;='Query Tool'!C$32</f>
        <v>0</v>
      </c>
      <c r="W3615" s="161" t="b">
        <f t="array" ref="W3615">index(Dropdowns!B:B,match(I3615,Dropdowns!A:A,0))</f>
        <v>1</v>
      </c>
      <c r="X3615" s="161" t="b">
        <f t="array" ref="X3615">index('Query Tool'!B:B,match(D3615,'Query Tool'!C:C,0))</f>
        <v>1</v>
      </c>
      <c r="Y3615" s="161" t="str">
        <f t="shared" si="6"/>
        <v>mooreet01,2020-21</v>
      </c>
      <c r="Z3615" s="168" t="str">
        <f t="array" ref="Z3615">iferror(index(I:I,match($A3615&amp;","&amp;index('Year Conversion'!$A:$A,match($C3615,'Year Conversion'!$B:$B,0)),$Y:$Y,0))-I3615,"")</f>
        <v/>
      </c>
      <c r="AA3615" s="168" t="str">
        <f t="array" ref="AA3615">iferror(index(J:J,match($A3615&amp;","&amp;index('Year Conversion'!$A:$A,match($C3615,'Year Conversion'!$B:$B,0)),$Y:$Y,0))-J3615,"")</f>
        <v/>
      </c>
      <c r="AB3615" s="168" t="str">
        <f t="array" ref="AB3615">iferror(index(K:K,match($A3615&amp;","&amp;index('Year Conversion'!$A:$A,match($C3615,'Year Conversion'!$B:$B,0)),$Y:$Y,0))-K3615,"")</f>
        <v/>
      </c>
      <c r="AC3615" s="168" t="str">
        <f t="shared" si="7"/>
        <v>PHO,2020-21</v>
      </c>
    </row>
    <row r="3616">
      <c r="A3616" s="161" t="str">
        <f>IFERROR(__xludf.DUMMYFUNCTION("""COMPUTED_VALUE"""),"wanambr01")</f>
        <v>wanambr01</v>
      </c>
      <c r="B3616" s="161" t="str">
        <f>IFERROR(__xludf.DUMMYFUNCTION("""COMPUTED_VALUE"""),"Brad Wanamaker")</f>
        <v>Brad Wanamaker</v>
      </c>
      <c r="C3616" s="162" t="str">
        <f>IFERROR(__xludf.DUMMYFUNCTION("""COMPUTED_VALUE"""),"2020-21")</f>
        <v>2020-21</v>
      </c>
      <c r="D3616" s="163" t="str">
        <f>IFERROR(__xludf.DUMMYFUNCTION("""COMPUTED_VALUE"""),"GSW")</f>
        <v>GSW</v>
      </c>
      <c r="E3616" s="164" t="str">
        <f>IFERROR(__xludf.DUMMYFUNCTION("""COMPUTED_VALUE"""),"Secondary Ball Handler")</f>
        <v>Secondary Ball Handler</v>
      </c>
      <c r="F3616" s="164">
        <f>IFERROR(__xludf.DUMMYFUNCTION("""COMPUTED_VALUE"""),511.673333333333)</f>
        <v>511.6733333</v>
      </c>
      <c r="G3616" s="163">
        <f>IFERROR(__xludf.DUMMYFUNCTION("""COMPUTED_VALUE"""),31.0)</f>
        <v>31</v>
      </c>
      <c r="H3616" s="163" t="str">
        <f>IFERROR(__xludf.DUMMYFUNCTION("""COMPUTED_VALUE"""),"PG")</f>
        <v>PG</v>
      </c>
      <c r="I3616" s="163">
        <f>IFERROR(__xludf.DUMMYFUNCTION("""COMPUTED_VALUE"""),31.0)</f>
        <v>31</v>
      </c>
      <c r="J3616" s="165">
        <f>IFERROR(__xludf.DUMMYFUNCTION("""COMPUTED_VALUE"""),-0.900348221917025)</f>
        <v>-0.9003482219</v>
      </c>
      <c r="K3616" s="165">
        <f>IFERROR(__xludf.DUMMYFUNCTION("""COMPUTED_VALUE"""),-1.28555412631558)</f>
        <v>-1.285554126</v>
      </c>
      <c r="L3616" s="165">
        <f>IFERROR(__xludf.DUMMYFUNCTION("""COMPUTED_VALUE"""),0.385205904398554)</f>
        <v>0.3852059044</v>
      </c>
      <c r="M3616" s="166">
        <f t="shared" si="2"/>
        <v>0.4785904275</v>
      </c>
      <c r="N3616" s="167">
        <f t="shared" si="3"/>
        <v>16.5055914</v>
      </c>
      <c r="O3616" s="163">
        <f t="shared" ref="O3616:Q3616" si="3620">rank(I3616,I:I)</f>
        <v>490</v>
      </c>
      <c r="P3616" s="163">
        <f t="shared" si="3620"/>
        <v>2394</v>
      </c>
      <c r="Q3616" s="163">
        <f t="shared" si="3620"/>
        <v>3126</v>
      </c>
      <c r="R3616" s="163">
        <f>IFERROR(__xludf.DUMMYFUNCTION("RANK(M3616,filter(M:M,C:C=C3616))"),196.0)</f>
        <v>196</v>
      </c>
      <c r="S3616" s="161" t="b">
        <f t="shared" si="5"/>
        <v>1</v>
      </c>
      <c r="T3616" s="161" t="b">
        <f t="array" ref="T3616">index('Query Tool'!B:B,match(H3616,'Query Tool'!C:C,0))</f>
        <v>1</v>
      </c>
      <c r="U3616" s="161" t="b">
        <f t="array" ref="U3616">index('Query Tool'!B:B,match(C3616,'Query Tool'!C:C,0))</f>
        <v>1</v>
      </c>
      <c r="V3616" s="161" t="b">
        <f>F3616&gt;='Query Tool'!C$32</f>
        <v>1</v>
      </c>
      <c r="W3616" s="161" t="b">
        <f t="array" ref="W3616">index(Dropdowns!B:B,match(I3616,Dropdowns!A:A,0))</f>
        <v>1</v>
      </c>
      <c r="X3616" s="161" t="b">
        <f t="array" ref="X3616">index('Query Tool'!B:B,match(D3616,'Query Tool'!C:C,0))</f>
        <v>1</v>
      </c>
      <c r="Y3616" s="161" t="str">
        <f t="shared" si="6"/>
        <v>wanambr01,2020-21</v>
      </c>
      <c r="Z3616" s="168" t="str">
        <f t="array" ref="Z3616">iferror(index(I:I,match($A3616&amp;","&amp;index('Year Conversion'!$A:$A,match($C3616,'Year Conversion'!$B:$B,0)),$Y:$Y,0))-I3616,"")</f>
        <v/>
      </c>
      <c r="AA3616" s="168" t="str">
        <f t="array" ref="AA3616">iferror(index(J:J,match($A3616&amp;","&amp;index('Year Conversion'!$A:$A,match($C3616,'Year Conversion'!$B:$B,0)),$Y:$Y,0))-J3616,"")</f>
        <v/>
      </c>
      <c r="AB3616" s="168" t="str">
        <f t="array" ref="AB3616">iferror(index(K:K,match($A3616&amp;","&amp;index('Year Conversion'!$A:$A,match($C3616,'Year Conversion'!$B:$B,0)),$Y:$Y,0))-K3616,"")</f>
        <v/>
      </c>
      <c r="AC3616" s="168" t="str">
        <f t="shared" si="7"/>
        <v>GSW,2020-21</v>
      </c>
    </row>
    <row r="3617">
      <c r="A3617" s="161" t="str">
        <f>IFERROR(__xludf.DUMMYFUNCTION("""COMPUTED_VALUE"""),"davisan02")</f>
        <v>davisan02</v>
      </c>
      <c r="B3617" s="161" t="str">
        <f>IFERROR(__xludf.DUMMYFUNCTION("""COMPUTED_VALUE"""),"Anthony Davis")</f>
        <v>Anthony Davis</v>
      </c>
      <c r="C3617" s="162" t="str">
        <f>IFERROR(__xludf.DUMMYFUNCTION("""COMPUTED_VALUE"""),"2020-21")</f>
        <v>2020-21</v>
      </c>
      <c r="D3617" s="163" t="str">
        <f>IFERROR(__xludf.DUMMYFUNCTION("""COMPUTED_VALUE"""),"LAL")</f>
        <v>LAL</v>
      </c>
      <c r="E3617" s="164" t="str">
        <f>IFERROR(__xludf.DUMMYFUNCTION("""COMPUTED_VALUE"""),"Post Scorer")</f>
        <v>Post Scorer</v>
      </c>
      <c r="F3617" s="164">
        <f>IFERROR(__xludf.DUMMYFUNCTION("""COMPUTED_VALUE"""),755.011666666667)</f>
        <v>755.0116667</v>
      </c>
      <c r="G3617" s="163">
        <f>IFERROR(__xludf.DUMMYFUNCTION("""COMPUTED_VALUE"""),23.0)</f>
        <v>23</v>
      </c>
      <c r="H3617" s="163" t="str">
        <f>IFERROR(__xludf.DUMMYFUNCTION("""COMPUTED_VALUE"""),"PF")</f>
        <v>PF</v>
      </c>
      <c r="I3617" s="163">
        <f>IFERROR(__xludf.DUMMYFUNCTION("""COMPUTED_VALUE"""),27.0)</f>
        <v>27</v>
      </c>
      <c r="J3617" s="165">
        <f>IFERROR(__xludf.DUMMYFUNCTION("""COMPUTED_VALUE"""),4.63927914066241)</f>
        <v>4.639279141</v>
      </c>
      <c r="K3617" s="165">
        <f>IFERROR(__xludf.DUMMYFUNCTION("""COMPUTED_VALUE"""),3.03614692307321)</f>
        <v>3.036146923</v>
      </c>
      <c r="L3617" s="165">
        <f>IFERROR(__xludf.DUMMYFUNCTION("""COMPUTED_VALUE"""),1.6031322175892)</f>
        <v>1.603132218</v>
      </c>
      <c r="M3617" s="166">
        <f t="shared" si="2"/>
        <v>3.4572996</v>
      </c>
      <c r="N3617" s="167">
        <f t="shared" si="3"/>
        <v>32.8265942</v>
      </c>
      <c r="O3617" s="163">
        <f t="shared" ref="O3617:Q3617" si="3621">rank(I3617,I:I)</f>
        <v>1366</v>
      </c>
      <c r="P3617" s="163">
        <f t="shared" si="3621"/>
        <v>64</v>
      </c>
      <c r="Q3617" s="163">
        <f t="shared" si="3621"/>
        <v>119</v>
      </c>
      <c r="R3617" s="163">
        <f>IFERROR(__xludf.DUMMYFUNCTION("RANK(M3617,filter(M:M,C:C=C3617))"),12.0)</f>
        <v>12</v>
      </c>
      <c r="S3617" s="161" t="b">
        <f t="shared" si="5"/>
        <v>1</v>
      </c>
      <c r="T3617" s="161" t="b">
        <f t="array" ref="T3617">index('Query Tool'!B:B,match(H3617,'Query Tool'!C:C,0))</f>
        <v>1</v>
      </c>
      <c r="U3617" s="161" t="b">
        <f t="array" ref="U3617">index('Query Tool'!B:B,match(C3617,'Query Tool'!C:C,0))</f>
        <v>1</v>
      </c>
      <c r="V3617" s="161" t="b">
        <f>F3617&gt;='Query Tool'!C$32</f>
        <v>1</v>
      </c>
      <c r="W3617" s="161" t="b">
        <f t="array" ref="W3617">index(Dropdowns!B:B,match(I3617,Dropdowns!A:A,0))</f>
        <v>1</v>
      </c>
      <c r="X3617" s="161" t="b">
        <f t="array" ref="X3617">index('Query Tool'!B:B,match(D3617,'Query Tool'!C:C,0))</f>
        <v>1</v>
      </c>
      <c r="Y3617" s="161" t="str">
        <f t="shared" si="6"/>
        <v>davisan02,2020-21</v>
      </c>
      <c r="Z3617" s="168" t="str">
        <f t="array" ref="Z3617">iferror(index(I:I,match($A3617&amp;","&amp;index('Year Conversion'!$A:$A,match($C3617,'Year Conversion'!$B:$B,0)),$Y:$Y,0))-I3617,"")</f>
        <v/>
      </c>
      <c r="AA3617" s="168" t="str">
        <f t="array" ref="AA3617">iferror(index(J:J,match($A3617&amp;","&amp;index('Year Conversion'!$A:$A,match($C3617,'Year Conversion'!$B:$B,0)),$Y:$Y,0))-J3617,"")</f>
        <v/>
      </c>
      <c r="AB3617" s="168" t="str">
        <f t="array" ref="AB3617">iferror(index(K:K,match($A3617&amp;","&amp;index('Year Conversion'!$A:$A,match($C3617,'Year Conversion'!$B:$B,0)),$Y:$Y,0))-K3617,"")</f>
        <v/>
      </c>
      <c r="AC3617" s="168" t="str">
        <f t="shared" si="7"/>
        <v>LAL,2020-21</v>
      </c>
    </row>
    <row r="3618">
      <c r="A3618" s="161" t="str">
        <f>IFERROR(__xludf.DUMMYFUNCTION("""COMPUTED_VALUE"""),"bealbr01")</f>
        <v>bealbr01</v>
      </c>
      <c r="B3618" s="161" t="str">
        <f>IFERROR(__xludf.DUMMYFUNCTION("""COMPUTED_VALUE"""),"Bradley Beal")</f>
        <v>Bradley Beal</v>
      </c>
      <c r="C3618" s="162" t="str">
        <f>IFERROR(__xludf.DUMMYFUNCTION("""COMPUTED_VALUE"""),"2020-21")</f>
        <v>2020-21</v>
      </c>
      <c r="D3618" s="163" t="str">
        <f>IFERROR(__xludf.DUMMYFUNCTION("""COMPUTED_VALUE"""),"WAS")</f>
        <v>WAS</v>
      </c>
      <c r="E3618" s="164" t="str">
        <f>IFERROR(__xludf.DUMMYFUNCTION("""COMPUTED_VALUE"""),"Secondary Ball Handler")</f>
        <v>Secondary Ball Handler</v>
      </c>
      <c r="F3618" s="164">
        <f>IFERROR(__xludf.DUMMYFUNCTION("""COMPUTED_VALUE"""),881.381666666667)</f>
        <v>881.3816667</v>
      </c>
      <c r="G3618" s="163">
        <f>IFERROR(__xludf.DUMMYFUNCTION("""COMPUTED_VALUE"""),25.0)</f>
        <v>25</v>
      </c>
      <c r="H3618" s="163" t="str">
        <f>IFERROR(__xludf.DUMMYFUNCTION("""COMPUTED_VALUE"""),"SG")</f>
        <v>SG</v>
      </c>
      <c r="I3618" s="163">
        <f>IFERROR(__xludf.DUMMYFUNCTION("""COMPUTED_VALUE"""),27.0)</f>
        <v>27</v>
      </c>
      <c r="J3618" s="165">
        <f>IFERROR(__xludf.DUMMYFUNCTION("""COMPUTED_VALUE"""),1.53545463828182)</f>
        <v>1.535454638</v>
      </c>
      <c r="K3618" s="165">
        <f>IFERROR(__xludf.DUMMYFUNCTION("""COMPUTED_VALUE"""),3.5631395523196)</f>
        <v>3.563139552</v>
      </c>
      <c r="L3618" s="165">
        <f>IFERROR(__xludf.DUMMYFUNCTION("""COMPUTED_VALUE"""),-2.02768491403779)</f>
        <v>-2.027684914</v>
      </c>
      <c r="M3618" s="166">
        <f t="shared" si="2"/>
        <v>2.268215785</v>
      </c>
      <c r="N3618" s="167">
        <f t="shared" si="3"/>
        <v>35.25526667</v>
      </c>
      <c r="O3618" s="163">
        <f t="shared" ref="O3618:Q3618" si="3622">rank(I3618,I:I)</f>
        <v>1366</v>
      </c>
      <c r="P3618" s="163">
        <f t="shared" si="3622"/>
        <v>446</v>
      </c>
      <c r="Q3618" s="163">
        <f t="shared" si="3622"/>
        <v>86</v>
      </c>
      <c r="R3618" s="163">
        <f>IFERROR(__xludf.DUMMYFUNCTION("RANK(M3618,filter(M:M,C:C=C3618))"),39.0)</f>
        <v>39</v>
      </c>
      <c r="S3618" s="161" t="b">
        <f t="shared" si="5"/>
        <v>1</v>
      </c>
      <c r="T3618" s="161" t="b">
        <f t="array" ref="T3618">index('Query Tool'!B:B,match(H3618,'Query Tool'!C:C,0))</f>
        <v>1</v>
      </c>
      <c r="U3618" s="161" t="b">
        <f t="array" ref="U3618">index('Query Tool'!B:B,match(C3618,'Query Tool'!C:C,0))</f>
        <v>1</v>
      </c>
      <c r="V3618" s="161" t="b">
        <f>F3618&gt;='Query Tool'!C$32</f>
        <v>1</v>
      </c>
      <c r="W3618" s="161" t="b">
        <f t="array" ref="W3618">index(Dropdowns!B:B,match(I3618,Dropdowns!A:A,0))</f>
        <v>1</v>
      </c>
      <c r="X3618" s="161" t="b">
        <f t="array" ref="X3618">index('Query Tool'!B:B,match(D3618,'Query Tool'!C:C,0))</f>
        <v>1</v>
      </c>
      <c r="Y3618" s="161" t="str">
        <f t="shared" si="6"/>
        <v>bealbr01,2020-21</v>
      </c>
      <c r="Z3618" s="168" t="str">
        <f t="array" ref="Z3618">iferror(index(I:I,match($A3618&amp;","&amp;index('Year Conversion'!$A:$A,match($C3618,'Year Conversion'!$B:$B,0)),$Y:$Y,0))-I3618,"")</f>
        <v/>
      </c>
      <c r="AA3618" s="168" t="str">
        <f t="array" ref="AA3618">iferror(index(J:J,match($A3618&amp;","&amp;index('Year Conversion'!$A:$A,match($C3618,'Year Conversion'!$B:$B,0)),$Y:$Y,0))-J3618,"")</f>
        <v/>
      </c>
      <c r="AB3618" s="168" t="str">
        <f t="array" ref="AB3618">iferror(index(K:K,match($A3618&amp;","&amp;index('Year Conversion'!$A:$A,match($C3618,'Year Conversion'!$B:$B,0)),$Y:$Y,0))-K3618,"")</f>
        <v/>
      </c>
      <c r="AC3618" s="168" t="str">
        <f t="shared" si="7"/>
        <v>WAS,2020-21</v>
      </c>
    </row>
    <row r="3619">
      <c r="A3619" s="161" t="str">
        <f>IFERROR(__xludf.DUMMYFUNCTION("""COMPUTED_VALUE"""),"lillada01")</f>
        <v>lillada01</v>
      </c>
      <c r="B3619" s="161" t="str">
        <f>IFERROR(__xludf.DUMMYFUNCTION("""COMPUTED_VALUE"""),"Damian Lillard")</f>
        <v>Damian Lillard</v>
      </c>
      <c r="C3619" s="162" t="str">
        <f>IFERROR(__xludf.DUMMYFUNCTION("""COMPUTED_VALUE"""),"2020-21")</f>
        <v>2020-21</v>
      </c>
      <c r="D3619" s="163" t="str">
        <f>IFERROR(__xludf.DUMMYFUNCTION("""COMPUTED_VALUE"""),"POR")</f>
        <v>POR</v>
      </c>
      <c r="E3619" s="164" t="str">
        <f>IFERROR(__xludf.DUMMYFUNCTION("""COMPUTED_VALUE"""),"Shot Creator")</f>
        <v>Shot Creator</v>
      </c>
      <c r="F3619" s="164">
        <f>IFERROR(__xludf.DUMMYFUNCTION("""COMPUTED_VALUE"""),1008.34666666667)</f>
        <v>1008.346667</v>
      </c>
      <c r="G3619" s="163">
        <f>IFERROR(__xludf.DUMMYFUNCTION("""COMPUTED_VALUE"""),28.0)</f>
        <v>28</v>
      </c>
      <c r="H3619" s="163" t="str">
        <f>IFERROR(__xludf.DUMMYFUNCTION("""COMPUTED_VALUE"""),"PG")</f>
        <v>PG</v>
      </c>
      <c r="I3619" s="163">
        <f>IFERROR(__xludf.DUMMYFUNCTION("""COMPUTED_VALUE"""),30.0)</f>
        <v>30</v>
      </c>
      <c r="J3619" s="165">
        <f>IFERROR(__xludf.DUMMYFUNCTION("""COMPUTED_VALUE"""),3.57813436839156)</f>
        <v>3.578134368</v>
      </c>
      <c r="K3619" s="165">
        <f>IFERROR(__xludf.DUMMYFUNCTION("""COMPUTED_VALUE"""),6.08650474155482)</f>
        <v>6.086504742</v>
      </c>
      <c r="L3619" s="165">
        <f>IFERROR(__xludf.DUMMYFUNCTION("""COMPUTED_VALUE"""),-2.50837037316326)</f>
        <v>-2.508370373</v>
      </c>
      <c r="M3619" s="166">
        <f t="shared" si="2"/>
        <v>3.944649473</v>
      </c>
      <c r="N3619" s="167">
        <f t="shared" si="3"/>
        <v>36.01238095</v>
      </c>
      <c r="O3619" s="163">
        <f t="shared" ref="O3619:Q3619" si="3623">rank(I3619,I:I)</f>
        <v>655</v>
      </c>
      <c r="P3619" s="163">
        <f t="shared" si="3623"/>
        <v>126</v>
      </c>
      <c r="Q3619" s="163">
        <f t="shared" si="3623"/>
        <v>11</v>
      </c>
      <c r="R3619" s="163">
        <f>IFERROR(__xludf.DUMMYFUNCTION("RANK(M3619,filter(M:M,C:C=C3619))"),11.0)</f>
        <v>11</v>
      </c>
      <c r="S3619" s="161" t="b">
        <f t="shared" si="5"/>
        <v>1</v>
      </c>
      <c r="T3619" s="161" t="b">
        <f t="array" ref="T3619">index('Query Tool'!B:B,match(H3619,'Query Tool'!C:C,0))</f>
        <v>1</v>
      </c>
      <c r="U3619" s="161" t="b">
        <f t="array" ref="U3619">index('Query Tool'!B:B,match(C3619,'Query Tool'!C:C,0))</f>
        <v>1</v>
      </c>
      <c r="V3619" s="161" t="b">
        <f>F3619&gt;='Query Tool'!C$32</f>
        <v>1</v>
      </c>
      <c r="W3619" s="161" t="b">
        <f t="array" ref="W3619">index(Dropdowns!B:B,match(I3619,Dropdowns!A:A,0))</f>
        <v>1</v>
      </c>
      <c r="X3619" s="161" t="b">
        <f t="array" ref="X3619">index('Query Tool'!B:B,match(D3619,'Query Tool'!C:C,0))</f>
        <v>1</v>
      </c>
      <c r="Y3619" s="161" t="str">
        <f t="shared" si="6"/>
        <v>lillada01,2020-21</v>
      </c>
      <c r="Z3619" s="168" t="str">
        <f t="array" ref="Z3619">iferror(index(I:I,match($A3619&amp;","&amp;index('Year Conversion'!$A:$A,match($C3619,'Year Conversion'!$B:$B,0)),$Y:$Y,0))-I3619,"")</f>
        <v/>
      </c>
      <c r="AA3619" s="168" t="str">
        <f t="array" ref="AA3619">iferror(index(J:J,match($A3619&amp;","&amp;index('Year Conversion'!$A:$A,match($C3619,'Year Conversion'!$B:$B,0)),$Y:$Y,0))-J3619,"")</f>
        <v/>
      </c>
      <c r="AB3619" s="168" t="str">
        <f t="array" ref="AB3619">iferror(index(K:K,match($A3619&amp;","&amp;index('Year Conversion'!$A:$A,match($C3619,'Year Conversion'!$B:$B,0)),$Y:$Y,0))-K3619,"")</f>
        <v/>
      </c>
      <c r="AC3619" s="168" t="str">
        <f t="shared" si="7"/>
        <v>POR,2020-21</v>
      </c>
    </row>
    <row r="3620">
      <c r="A3620" s="161" t="str">
        <f>IFERROR(__xludf.DUMMYFUNCTION("""COMPUTED_VALUE"""),"rosste01")</f>
        <v>rosste01</v>
      </c>
      <c r="B3620" s="161" t="str">
        <f>IFERROR(__xludf.DUMMYFUNCTION("""COMPUTED_VALUE"""),"Terrence Ross")</f>
        <v>Terrence Ross</v>
      </c>
      <c r="C3620" s="162" t="str">
        <f>IFERROR(__xludf.DUMMYFUNCTION("""COMPUTED_VALUE"""),"2020-21")</f>
        <v>2020-21</v>
      </c>
      <c r="D3620" s="163" t="str">
        <f>IFERROR(__xludf.DUMMYFUNCTION("""COMPUTED_VALUE"""),"ORL")</f>
        <v>ORL</v>
      </c>
      <c r="E3620" s="164" t="str">
        <f>IFERROR(__xludf.DUMMYFUNCTION("""COMPUTED_VALUE"""),"Off Screen Shooter")</f>
        <v>Off Screen Shooter</v>
      </c>
      <c r="F3620" s="164">
        <f>IFERROR(__xludf.DUMMYFUNCTION("""COMPUTED_VALUE"""),870.003333333334)</f>
        <v>870.0033333</v>
      </c>
      <c r="G3620" s="163">
        <f>IFERROR(__xludf.DUMMYFUNCTION("""COMPUTED_VALUE"""),30.0)</f>
        <v>30</v>
      </c>
      <c r="H3620" s="163" t="str">
        <f>IFERROR(__xludf.DUMMYFUNCTION("""COMPUTED_VALUE"""),"SG")</f>
        <v>SG</v>
      </c>
      <c r="I3620" s="163">
        <f>IFERROR(__xludf.DUMMYFUNCTION("""COMPUTED_VALUE"""),29.0)</f>
        <v>29</v>
      </c>
      <c r="J3620" s="165">
        <f>IFERROR(__xludf.DUMMYFUNCTION("""COMPUTED_VALUE"""),-2.07577815692103)</f>
        <v>-2.075778157</v>
      </c>
      <c r="K3620" s="165">
        <f>IFERROR(__xludf.DUMMYFUNCTION("""COMPUTED_VALUE"""),-1.37743931346477)</f>
        <v>-1.377439313</v>
      </c>
      <c r="L3620" s="165">
        <f>IFERROR(__xludf.DUMMYFUNCTION("""COMPUTED_VALUE"""),-0.698338843456257)</f>
        <v>-0.6983388435</v>
      </c>
      <c r="M3620" s="166">
        <f t="shared" si="2"/>
        <v>0.1309489695</v>
      </c>
      <c r="N3620" s="167">
        <f t="shared" si="3"/>
        <v>29.00011111</v>
      </c>
      <c r="O3620" s="163">
        <f t="shared" ref="O3620:Q3620" si="3624">rank(I3620,I:I)</f>
        <v>855</v>
      </c>
      <c r="P3620" s="163">
        <f t="shared" si="3624"/>
        <v>3540</v>
      </c>
      <c r="Q3620" s="163">
        <f t="shared" si="3624"/>
        <v>3227</v>
      </c>
      <c r="R3620" s="163">
        <f>IFERROR(__xludf.DUMMYFUNCTION("RANK(M3620,filter(M:M,C:C=C3620))"),305.0)</f>
        <v>305</v>
      </c>
      <c r="S3620" s="161" t="b">
        <f t="shared" si="5"/>
        <v>1</v>
      </c>
      <c r="T3620" s="161" t="b">
        <f t="array" ref="T3620">index('Query Tool'!B:B,match(H3620,'Query Tool'!C:C,0))</f>
        <v>1</v>
      </c>
      <c r="U3620" s="161" t="b">
        <f t="array" ref="U3620">index('Query Tool'!B:B,match(C3620,'Query Tool'!C:C,0))</f>
        <v>1</v>
      </c>
      <c r="V3620" s="161" t="b">
        <f>F3620&gt;='Query Tool'!C$32</f>
        <v>1</v>
      </c>
      <c r="W3620" s="161" t="b">
        <f t="array" ref="W3620">index(Dropdowns!B:B,match(I3620,Dropdowns!A:A,0))</f>
        <v>1</v>
      </c>
      <c r="X3620" s="161" t="b">
        <f t="array" ref="X3620">index('Query Tool'!B:B,match(D3620,'Query Tool'!C:C,0))</f>
        <v>1</v>
      </c>
      <c r="Y3620" s="161" t="str">
        <f t="shared" si="6"/>
        <v>rosste01,2020-21</v>
      </c>
      <c r="Z3620" s="168" t="str">
        <f t="array" ref="Z3620">iferror(index(I:I,match($A3620&amp;","&amp;index('Year Conversion'!$A:$A,match($C3620,'Year Conversion'!$B:$B,0)),$Y:$Y,0))-I3620,"")</f>
        <v/>
      </c>
      <c r="AA3620" s="168" t="str">
        <f t="array" ref="AA3620">iferror(index(J:J,match($A3620&amp;","&amp;index('Year Conversion'!$A:$A,match($C3620,'Year Conversion'!$B:$B,0)),$Y:$Y,0))-J3620,"")</f>
        <v/>
      </c>
      <c r="AB3620" s="168" t="str">
        <f t="array" ref="AB3620">iferror(index(K:K,match($A3620&amp;","&amp;index('Year Conversion'!$A:$A,match($C3620,'Year Conversion'!$B:$B,0)),$Y:$Y,0))-K3620,"")</f>
        <v/>
      </c>
      <c r="AC3620" s="168" t="str">
        <f t="shared" si="7"/>
        <v>ORL,2020-21</v>
      </c>
    </row>
    <row r="3621">
      <c r="A3621" s="161" t="str">
        <f>IFERROR(__xludf.DUMMYFUNCTION("""COMPUTED_VALUE"""),"drumman01")</f>
        <v>drumman01</v>
      </c>
      <c r="B3621" s="161" t="str">
        <f>IFERROR(__xludf.DUMMYFUNCTION("""COMPUTED_VALUE"""),"Andre Drummond")</f>
        <v>Andre Drummond</v>
      </c>
      <c r="C3621" s="162" t="str">
        <f>IFERROR(__xludf.DUMMYFUNCTION("""COMPUTED_VALUE"""),"2020-21")</f>
        <v>2020-21</v>
      </c>
      <c r="D3621" s="163" t="str">
        <f>IFERROR(__xludf.DUMMYFUNCTION("""COMPUTED_VALUE"""),"CLE")</f>
        <v>CLE</v>
      </c>
      <c r="E3621" s="164" t="str">
        <f>IFERROR(__xludf.DUMMYFUNCTION("""COMPUTED_VALUE"""),"Post Scorer")</f>
        <v>Post Scorer</v>
      </c>
      <c r="F3621" s="164">
        <f>IFERROR(__xludf.DUMMYFUNCTION("""COMPUTED_VALUE"""),721.803333333333)</f>
        <v>721.8033333</v>
      </c>
      <c r="G3621" s="163">
        <f>IFERROR(__xludf.DUMMYFUNCTION("""COMPUTED_VALUE"""),25.0)</f>
        <v>25</v>
      </c>
      <c r="H3621" s="163" t="str">
        <f>IFERROR(__xludf.DUMMYFUNCTION("""COMPUTED_VALUE"""),"C")</f>
        <v>C</v>
      </c>
      <c r="I3621" s="163">
        <f>IFERROR(__xludf.DUMMYFUNCTION("""COMPUTED_VALUE"""),27.0)</f>
        <v>27</v>
      </c>
      <c r="J3621" s="165">
        <f>IFERROR(__xludf.DUMMYFUNCTION("""COMPUTED_VALUE"""),1.23361297661319)</f>
        <v>1.233612977</v>
      </c>
      <c r="K3621" s="165">
        <f>IFERROR(__xludf.DUMMYFUNCTION("""COMPUTED_VALUE"""),0.0303048398309973)</f>
        <v>0.03030483983</v>
      </c>
      <c r="L3621" s="165">
        <f>IFERROR(__xludf.DUMMYFUNCTION("""COMPUTED_VALUE"""),1.20330813678219)</f>
        <v>1.203308137</v>
      </c>
      <c r="M3621" s="166">
        <f t="shared" si="2"/>
        <v>1.711830355</v>
      </c>
      <c r="N3621" s="167">
        <f t="shared" si="3"/>
        <v>28.87213333</v>
      </c>
      <c r="O3621" s="163">
        <f t="shared" ref="O3621:Q3621" si="3625">rank(I3621,I:I)</f>
        <v>1366</v>
      </c>
      <c r="P3621" s="163">
        <f t="shared" si="3625"/>
        <v>559</v>
      </c>
      <c r="Q3621" s="163">
        <f t="shared" si="3625"/>
        <v>1156</v>
      </c>
      <c r="R3621" s="163">
        <f>IFERROR(__xludf.DUMMYFUNCTION("RANK(M3621,filter(M:M,C:C=C3621))"),64.0)</f>
        <v>64</v>
      </c>
      <c r="S3621" s="161" t="b">
        <f t="shared" si="5"/>
        <v>1</v>
      </c>
      <c r="T3621" s="161" t="b">
        <f t="array" ref="T3621">index('Query Tool'!B:B,match(H3621,'Query Tool'!C:C,0))</f>
        <v>1</v>
      </c>
      <c r="U3621" s="161" t="b">
        <f t="array" ref="U3621">index('Query Tool'!B:B,match(C3621,'Query Tool'!C:C,0))</f>
        <v>1</v>
      </c>
      <c r="V3621" s="161" t="b">
        <f>F3621&gt;='Query Tool'!C$32</f>
        <v>1</v>
      </c>
      <c r="W3621" s="161" t="b">
        <f t="array" ref="W3621">index(Dropdowns!B:B,match(I3621,Dropdowns!A:A,0))</f>
        <v>1</v>
      </c>
      <c r="X3621" s="161" t="b">
        <f t="array" ref="X3621">index('Query Tool'!B:B,match(D3621,'Query Tool'!C:C,0))</f>
        <v>1</v>
      </c>
      <c r="Y3621" s="161" t="str">
        <f t="shared" si="6"/>
        <v>drumman01,2020-21</v>
      </c>
      <c r="Z3621" s="168" t="str">
        <f t="array" ref="Z3621">iferror(index(I:I,match($A3621&amp;","&amp;index('Year Conversion'!$A:$A,match($C3621,'Year Conversion'!$B:$B,0)),$Y:$Y,0))-I3621,"")</f>
        <v/>
      </c>
      <c r="AA3621" s="168" t="str">
        <f t="array" ref="AA3621">iferror(index(J:J,match($A3621&amp;","&amp;index('Year Conversion'!$A:$A,match($C3621,'Year Conversion'!$B:$B,0)),$Y:$Y,0))-J3621,"")</f>
        <v/>
      </c>
      <c r="AB3621" s="168" t="str">
        <f t="array" ref="AB3621">iferror(index(K:K,match($A3621&amp;","&amp;index('Year Conversion'!$A:$A,match($C3621,'Year Conversion'!$B:$B,0)),$Y:$Y,0))-K3621,"")</f>
        <v/>
      </c>
      <c r="AC3621" s="168" t="str">
        <f t="shared" si="7"/>
        <v>CLE,2020-21</v>
      </c>
    </row>
    <row r="3622">
      <c r="A3622" s="161" t="str">
        <f>IFERROR(__xludf.DUMMYFUNCTION("""COMPUTED_VALUE"""),"barneha02")</f>
        <v>barneha02</v>
      </c>
      <c r="B3622" s="161" t="str">
        <f>IFERROR(__xludf.DUMMYFUNCTION("""COMPUTED_VALUE"""),"Harrison Barnes")</f>
        <v>Harrison Barnes</v>
      </c>
      <c r="C3622" s="162" t="str">
        <f>IFERROR(__xludf.DUMMYFUNCTION("""COMPUTED_VALUE"""),"2020-21")</f>
        <v>2020-21</v>
      </c>
      <c r="D3622" s="163" t="str">
        <f>IFERROR(__xludf.DUMMYFUNCTION("""COMPUTED_VALUE"""),"SAC")</f>
        <v>SAC</v>
      </c>
      <c r="E3622" s="164" t="str">
        <f>IFERROR(__xludf.DUMMYFUNCTION("""COMPUTED_VALUE"""),"Stretch Big")</f>
        <v>Stretch Big</v>
      </c>
      <c r="F3622" s="164">
        <f>IFERROR(__xludf.DUMMYFUNCTION("""COMPUTED_VALUE"""),948.333333333333)</f>
        <v>948.3333333</v>
      </c>
      <c r="G3622" s="163">
        <f>IFERROR(__xludf.DUMMYFUNCTION("""COMPUTED_VALUE"""),27.0)</f>
        <v>27</v>
      </c>
      <c r="H3622" s="163" t="str">
        <f>IFERROR(__xludf.DUMMYFUNCTION("""COMPUTED_VALUE"""),"PF")</f>
        <v>PF</v>
      </c>
      <c r="I3622" s="163">
        <f>IFERROR(__xludf.DUMMYFUNCTION("""COMPUTED_VALUE"""),28.0)</f>
        <v>28</v>
      </c>
      <c r="J3622" s="165">
        <f>IFERROR(__xludf.DUMMYFUNCTION("""COMPUTED_VALUE"""),-0.507257049843996)</f>
        <v>-0.5072570498</v>
      </c>
      <c r="K3622" s="165">
        <f>IFERROR(__xludf.DUMMYFUNCTION("""COMPUTED_VALUE"""),0.527059781179279)</f>
        <v>0.5270597812</v>
      </c>
      <c r="L3622" s="165">
        <f>IFERROR(__xludf.DUMMYFUNCTION("""COMPUTED_VALUE"""),-1.03431683102328)</f>
        <v>-1.034316831</v>
      </c>
      <c r="M3622" s="166">
        <f t="shared" si="2"/>
        <v>1.137811586</v>
      </c>
      <c r="N3622" s="167">
        <f t="shared" si="3"/>
        <v>35.12345679</v>
      </c>
      <c r="O3622" s="163">
        <f t="shared" ref="O3622:Q3622" si="3626">rank(I3622,I:I)</f>
        <v>1090</v>
      </c>
      <c r="P3622" s="163">
        <f t="shared" si="3626"/>
        <v>1865</v>
      </c>
      <c r="Q3622" s="163">
        <f t="shared" si="3626"/>
        <v>754</v>
      </c>
      <c r="R3622" s="163">
        <f>IFERROR(__xludf.DUMMYFUNCTION("RANK(M3622,filter(M:M,C:C=C3622))"),107.0)</f>
        <v>107</v>
      </c>
      <c r="S3622" s="161" t="b">
        <f t="shared" si="5"/>
        <v>1</v>
      </c>
      <c r="T3622" s="161" t="b">
        <f t="array" ref="T3622">index('Query Tool'!B:B,match(H3622,'Query Tool'!C:C,0))</f>
        <v>1</v>
      </c>
      <c r="U3622" s="161" t="b">
        <f t="array" ref="U3622">index('Query Tool'!B:B,match(C3622,'Query Tool'!C:C,0))</f>
        <v>1</v>
      </c>
      <c r="V3622" s="161" t="b">
        <f>F3622&gt;='Query Tool'!C$32</f>
        <v>1</v>
      </c>
      <c r="W3622" s="161" t="b">
        <f t="array" ref="W3622">index(Dropdowns!B:B,match(I3622,Dropdowns!A:A,0))</f>
        <v>1</v>
      </c>
      <c r="X3622" s="161" t="b">
        <f t="array" ref="X3622">index('Query Tool'!B:B,match(D3622,'Query Tool'!C:C,0))</f>
        <v>1</v>
      </c>
      <c r="Y3622" s="161" t="str">
        <f t="shared" si="6"/>
        <v>barneha02,2020-21</v>
      </c>
      <c r="Z3622" s="168" t="str">
        <f t="array" ref="Z3622">iferror(index(I:I,match($A3622&amp;","&amp;index('Year Conversion'!$A:$A,match($C3622,'Year Conversion'!$B:$B,0)),$Y:$Y,0))-I3622,"")</f>
        <v/>
      </c>
      <c r="AA3622" s="168" t="str">
        <f t="array" ref="AA3622">iferror(index(J:J,match($A3622&amp;","&amp;index('Year Conversion'!$A:$A,match($C3622,'Year Conversion'!$B:$B,0)),$Y:$Y,0))-J3622,"")</f>
        <v/>
      </c>
      <c r="AB3622" s="168" t="str">
        <f t="array" ref="AB3622">iferror(index(K:K,match($A3622&amp;","&amp;index('Year Conversion'!$A:$A,match($C3622,'Year Conversion'!$B:$B,0)),$Y:$Y,0))-K3622,"")</f>
        <v/>
      </c>
      <c r="AC3622" s="168" t="str">
        <f t="shared" si="7"/>
        <v>SAC,2020-21</v>
      </c>
    </row>
    <row r="3623">
      <c r="A3623" s="161" t="str">
        <f>IFERROR(__xludf.DUMMYFUNCTION("""COMPUTED_VALUE"""),"riverau01")</f>
        <v>riverau01</v>
      </c>
      <c r="B3623" s="161" t="str">
        <f>IFERROR(__xludf.DUMMYFUNCTION("""COMPUTED_VALUE"""),"Austin Rivers")</f>
        <v>Austin Rivers</v>
      </c>
      <c r="C3623" s="162" t="str">
        <f>IFERROR(__xludf.DUMMYFUNCTION("""COMPUTED_VALUE"""),"2020-21")</f>
        <v>2020-21</v>
      </c>
      <c r="D3623" s="163" t="str">
        <f>IFERROR(__xludf.DUMMYFUNCTION("""COMPUTED_VALUE"""),"NYK")</f>
        <v>NYK</v>
      </c>
      <c r="E3623" s="164" t="str">
        <f>IFERROR(__xludf.DUMMYFUNCTION("""COMPUTED_VALUE"""),"Shot Creator")</f>
        <v>Shot Creator</v>
      </c>
      <c r="F3623" s="164">
        <f>IFERROR(__xludf.DUMMYFUNCTION("""COMPUTED_VALUE"""),442.126666666667)</f>
        <v>442.1266667</v>
      </c>
      <c r="G3623" s="163">
        <f>IFERROR(__xludf.DUMMYFUNCTION("""COMPUTED_VALUE"""),21.0)</f>
        <v>21</v>
      </c>
      <c r="H3623" s="163" t="str">
        <f>IFERROR(__xludf.DUMMYFUNCTION("""COMPUTED_VALUE"""),"SG")</f>
        <v>SG</v>
      </c>
      <c r="I3623" s="163">
        <f>IFERROR(__xludf.DUMMYFUNCTION("""COMPUTED_VALUE"""),28.0)</f>
        <v>28</v>
      </c>
      <c r="J3623" s="165">
        <f>IFERROR(__xludf.DUMMYFUNCTION("""COMPUTED_VALUE"""),-1.63911681491257)</f>
        <v>-1.639116815</v>
      </c>
      <c r="K3623" s="165">
        <f>IFERROR(__xludf.DUMMYFUNCTION("""COMPUTED_VALUE"""),-0.0884433192540867)</f>
        <v>-0.08844331925</v>
      </c>
      <c r="L3623" s="165">
        <f>IFERROR(__xludf.DUMMYFUNCTION("""COMPUTED_VALUE"""),-1.55067349565849)</f>
        <v>-1.550673496</v>
      </c>
      <c r="M3623" s="166">
        <f t="shared" si="2"/>
        <v>0.1948438721</v>
      </c>
      <c r="N3623" s="167">
        <f t="shared" si="3"/>
        <v>21.05365079</v>
      </c>
      <c r="O3623" s="163">
        <f t="shared" ref="O3623:Q3623" si="3627">rank(I3623,I:I)</f>
        <v>1090</v>
      </c>
      <c r="P3623" s="163">
        <f t="shared" si="3627"/>
        <v>3185</v>
      </c>
      <c r="Q3623" s="163">
        <f t="shared" si="3627"/>
        <v>1340</v>
      </c>
      <c r="R3623" s="163">
        <f>IFERROR(__xludf.DUMMYFUNCTION("RANK(M3623,filter(M:M,C:C=C3623))"),280.0)</f>
        <v>280</v>
      </c>
      <c r="S3623" s="161" t="b">
        <f t="shared" si="5"/>
        <v>0</v>
      </c>
      <c r="T3623" s="161" t="b">
        <f t="array" ref="T3623">index('Query Tool'!B:B,match(H3623,'Query Tool'!C:C,0))</f>
        <v>1</v>
      </c>
      <c r="U3623" s="161" t="b">
        <f t="array" ref="U3623">index('Query Tool'!B:B,match(C3623,'Query Tool'!C:C,0))</f>
        <v>1</v>
      </c>
      <c r="V3623" s="161" t="b">
        <f>F3623&gt;='Query Tool'!C$32</f>
        <v>0</v>
      </c>
      <c r="W3623" s="161" t="b">
        <f t="array" ref="W3623">index(Dropdowns!B:B,match(I3623,Dropdowns!A:A,0))</f>
        <v>1</v>
      </c>
      <c r="X3623" s="161" t="b">
        <f t="array" ref="X3623">index('Query Tool'!B:B,match(D3623,'Query Tool'!C:C,0))</f>
        <v>1</v>
      </c>
      <c r="Y3623" s="161" t="str">
        <f t="shared" si="6"/>
        <v>riverau01,2020-21</v>
      </c>
      <c r="Z3623" s="168" t="str">
        <f t="array" ref="Z3623">iferror(index(I:I,match($A3623&amp;","&amp;index('Year Conversion'!$A:$A,match($C3623,'Year Conversion'!$B:$B,0)),$Y:$Y,0))-I3623,"")</f>
        <v/>
      </c>
      <c r="AA3623" s="168" t="str">
        <f t="array" ref="AA3623">iferror(index(J:J,match($A3623&amp;","&amp;index('Year Conversion'!$A:$A,match($C3623,'Year Conversion'!$B:$B,0)),$Y:$Y,0))-J3623,"")</f>
        <v/>
      </c>
      <c r="AB3623" s="168" t="str">
        <f t="array" ref="AB3623">iferror(index(K:K,match($A3623&amp;","&amp;index('Year Conversion'!$A:$A,match($C3623,'Year Conversion'!$B:$B,0)),$Y:$Y,0))-K3623,"")</f>
        <v/>
      </c>
      <c r="AC3623" s="168" t="str">
        <f t="shared" si="7"/>
        <v>NYK,2020-21</v>
      </c>
    </row>
    <row r="3624">
      <c r="A3624" s="161" t="str">
        <f>IFERROR(__xludf.DUMMYFUNCTION("""COMPUTED_VALUE"""),"leoname01")</f>
        <v>leoname01</v>
      </c>
      <c r="B3624" s="161" t="str">
        <f>IFERROR(__xludf.DUMMYFUNCTION("""COMPUTED_VALUE"""),"Meyers Leonard")</f>
        <v>Meyers Leonard</v>
      </c>
      <c r="C3624" s="162" t="str">
        <f>IFERROR(__xludf.DUMMYFUNCTION("""COMPUTED_VALUE"""),"2020-21")</f>
        <v>2020-21</v>
      </c>
      <c r="D3624" s="163" t="str">
        <f>IFERROR(__xludf.DUMMYFUNCTION("""COMPUTED_VALUE"""),"MIA")</f>
        <v>MIA</v>
      </c>
      <c r="E3624" s="164" t="str">
        <f>IFERROR(__xludf.DUMMYFUNCTION("""COMPUTED_VALUE"""),"Stretch Big")</f>
        <v>Stretch Big</v>
      </c>
      <c r="F3624" s="164">
        <f>IFERROR(__xludf.DUMMYFUNCTION("""COMPUTED_VALUE"""),29.3866666666667)</f>
        <v>29.38666667</v>
      </c>
      <c r="G3624" s="163">
        <f>IFERROR(__xludf.DUMMYFUNCTION("""COMPUTED_VALUE"""),3.0)</f>
        <v>3</v>
      </c>
      <c r="H3624" s="163" t="str">
        <f>IFERROR(__xludf.DUMMYFUNCTION("""COMPUTED_VALUE"""),"C")</f>
        <v>C</v>
      </c>
      <c r="I3624" s="163">
        <f>IFERROR(__xludf.DUMMYFUNCTION("""COMPUTED_VALUE"""),28.0)</f>
        <v>28</v>
      </c>
      <c r="J3624" s="165">
        <f>IFERROR(__xludf.DUMMYFUNCTION("""COMPUTED_VALUE"""),-0.00520053244948143)</f>
        <v>-0.005200532449</v>
      </c>
      <c r="K3624" s="165">
        <f>IFERROR(__xludf.DUMMYFUNCTION("""COMPUTED_VALUE"""),-0.177767083380716)</f>
        <v>-0.1777670834</v>
      </c>
      <c r="L3624" s="165">
        <f>IFERROR(__xludf.DUMMYFUNCTION("""COMPUTED_VALUE"""),0.172566550931234)</f>
        <v>0.1725665509</v>
      </c>
      <c r="M3624" s="166">
        <f t="shared" si="2"/>
        <v>0.0452014105</v>
      </c>
      <c r="N3624" s="167">
        <f t="shared" si="3"/>
        <v>9.795555556</v>
      </c>
      <c r="O3624" s="163">
        <f t="shared" ref="O3624:Q3624" si="3628">rank(I3624,I:I)</f>
        <v>1090</v>
      </c>
      <c r="P3624" s="163">
        <f t="shared" si="3628"/>
        <v>1292</v>
      </c>
      <c r="Q3624" s="163">
        <f t="shared" si="3628"/>
        <v>1530</v>
      </c>
      <c r="R3624" s="163">
        <f>IFERROR(__xludf.DUMMYFUNCTION("RANK(M3624,filter(M:M,C:C=C3624))"),388.0)</f>
        <v>388</v>
      </c>
      <c r="S3624" s="161" t="b">
        <f t="shared" si="5"/>
        <v>0</v>
      </c>
      <c r="T3624" s="161" t="b">
        <f t="array" ref="T3624">index('Query Tool'!B:B,match(H3624,'Query Tool'!C:C,0))</f>
        <v>1</v>
      </c>
      <c r="U3624" s="161" t="b">
        <f t="array" ref="U3624">index('Query Tool'!B:B,match(C3624,'Query Tool'!C:C,0))</f>
        <v>1</v>
      </c>
      <c r="V3624" s="161" t="b">
        <f>F3624&gt;='Query Tool'!C$32</f>
        <v>0</v>
      </c>
      <c r="W3624" s="161" t="b">
        <f t="array" ref="W3624">index(Dropdowns!B:B,match(I3624,Dropdowns!A:A,0))</f>
        <v>1</v>
      </c>
      <c r="X3624" s="161" t="b">
        <f t="array" ref="X3624">index('Query Tool'!B:B,match(D3624,'Query Tool'!C:C,0))</f>
        <v>1</v>
      </c>
      <c r="Y3624" s="161" t="str">
        <f t="shared" si="6"/>
        <v>leoname01,2020-21</v>
      </c>
      <c r="Z3624" s="168" t="str">
        <f t="array" ref="Z3624">iferror(index(I:I,match($A3624&amp;","&amp;index('Year Conversion'!$A:$A,match($C3624,'Year Conversion'!$B:$B,0)),$Y:$Y,0))-I3624,"")</f>
        <v/>
      </c>
      <c r="AA3624" s="168" t="str">
        <f t="array" ref="AA3624">iferror(index(J:J,match($A3624&amp;","&amp;index('Year Conversion'!$A:$A,match($C3624,'Year Conversion'!$B:$B,0)),$Y:$Y,0))-J3624,"")</f>
        <v/>
      </c>
      <c r="AB3624" s="168" t="str">
        <f t="array" ref="AB3624">iferror(index(K:K,match($A3624&amp;","&amp;index('Year Conversion'!$A:$A,match($C3624,'Year Conversion'!$B:$B,0)),$Y:$Y,0))-K3624,"")</f>
        <v/>
      </c>
      <c r="AC3624" s="168" t="str">
        <f t="shared" si="7"/>
        <v>MIA,2020-21</v>
      </c>
    </row>
    <row r="3625">
      <c r="A3625" s="161" t="str">
        <f>IFERROR(__xludf.DUMMYFUNCTION("""COMPUTED_VALUE"""),"lambje01")</f>
        <v>lambje01</v>
      </c>
      <c r="B3625" s="161" t="str">
        <f>IFERROR(__xludf.DUMMYFUNCTION("""COMPUTED_VALUE"""),"Jeremy Lamb")</f>
        <v>Jeremy Lamb</v>
      </c>
      <c r="C3625" s="162" t="str">
        <f>IFERROR(__xludf.DUMMYFUNCTION("""COMPUTED_VALUE"""),"2020-21")</f>
        <v>2020-21</v>
      </c>
      <c r="D3625" s="163" t="str">
        <f>IFERROR(__xludf.DUMMYFUNCTION("""COMPUTED_VALUE"""),"IND")</f>
        <v>IND</v>
      </c>
      <c r="E3625" s="164" t="str">
        <f>IFERROR(__xludf.DUMMYFUNCTION("""COMPUTED_VALUE"""),"Secondary Ball Handler")</f>
        <v>Secondary Ball Handler</v>
      </c>
      <c r="F3625" s="164">
        <f>IFERROR(__xludf.DUMMYFUNCTION("""COMPUTED_VALUE"""),401.376666666666)</f>
        <v>401.3766667</v>
      </c>
      <c r="G3625" s="163">
        <f>IFERROR(__xludf.DUMMYFUNCTION("""COMPUTED_VALUE"""),16.0)</f>
        <v>16</v>
      </c>
      <c r="H3625" s="163" t="str">
        <f>IFERROR(__xludf.DUMMYFUNCTION("""COMPUTED_VALUE"""),"SG")</f>
        <v>SG</v>
      </c>
      <c r="I3625" s="163">
        <f>IFERROR(__xludf.DUMMYFUNCTION("""COMPUTED_VALUE"""),28.0)</f>
        <v>28</v>
      </c>
      <c r="J3625" s="165">
        <f>IFERROR(__xludf.DUMMYFUNCTION("""COMPUTED_VALUE"""),-1.05604485294095)</f>
        <v>-1.056044853</v>
      </c>
      <c r="K3625" s="165">
        <f>IFERROR(__xludf.DUMMYFUNCTION("""COMPUTED_VALUE"""),-0.332038304263015)</f>
        <v>-0.3320383043</v>
      </c>
      <c r="L3625" s="165">
        <f>IFERROR(__xludf.DUMMYFUNCTION("""COMPUTED_VALUE"""),-0.724006548677933)</f>
        <v>-0.7240065487</v>
      </c>
      <c r="M3625" s="166">
        <f t="shared" si="2"/>
        <v>0.3334609132</v>
      </c>
      <c r="N3625" s="167">
        <f t="shared" si="3"/>
        <v>25.08604167</v>
      </c>
      <c r="O3625" s="163">
        <f t="shared" ref="O3625:Q3625" si="3629">rank(I3625,I:I)</f>
        <v>1090</v>
      </c>
      <c r="P3625" s="163">
        <f t="shared" si="3629"/>
        <v>2558</v>
      </c>
      <c r="Q3625" s="163">
        <f t="shared" si="3629"/>
        <v>1815</v>
      </c>
      <c r="R3625" s="163">
        <f>IFERROR(__xludf.DUMMYFUNCTION("RANK(M3625,filter(M:M,C:C=C3625))"),235.0)</f>
        <v>235</v>
      </c>
      <c r="S3625" s="161" t="b">
        <f t="shared" si="5"/>
        <v>0</v>
      </c>
      <c r="T3625" s="161" t="b">
        <f t="array" ref="T3625">index('Query Tool'!B:B,match(H3625,'Query Tool'!C:C,0))</f>
        <v>1</v>
      </c>
      <c r="U3625" s="161" t="b">
        <f t="array" ref="U3625">index('Query Tool'!B:B,match(C3625,'Query Tool'!C:C,0))</f>
        <v>1</v>
      </c>
      <c r="V3625" s="161" t="b">
        <f>F3625&gt;='Query Tool'!C$32</f>
        <v>0</v>
      </c>
      <c r="W3625" s="161" t="b">
        <f t="array" ref="W3625">index(Dropdowns!B:B,match(I3625,Dropdowns!A:A,0))</f>
        <v>1</v>
      </c>
      <c r="X3625" s="161" t="b">
        <f t="array" ref="X3625">index('Query Tool'!B:B,match(D3625,'Query Tool'!C:C,0))</f>
        <v>1</v>
      </c>
      <c r="Y3625" s="161" t="str">
        <f t="shared" si="6"/>
        <v>lambje01,2020-21</v>
      </c>
      <c r="Z3625" s="168" t="str">
        <f t="array" ref="Z3625">iferror(index(I:I,match($A3625&amp;","&amp;index('Year Conversion'!$A:$A,match($C3625,'Year Conversion'!$B:$B,0)),$Y:$Y,0))-I3625,"")</f>
        <v/>
      </c>
      <c r="AA3625" s="168" t="str">
        <f t="array" ref="AA3625">iferror(index(J:J,match($A3625&amp;","&amp;index('Year Conversion'!$A:$A,match($C3625,'Year Conversion'!$B:$B,0)),$Y:$Y,0))-J3625,"")</f>
        <v/>
      </c>
      <c r="AB3625" s="168" t="str">
        <f t="array" ref="AB3625">iferror(index(K:K,match($A3625&amp;","&amp;index('Year Conversion'!$A:$A,match($C3625,'Year Conversion'!$B:$B,0)),$Y:$Y,0))-K3625,"")</f>
        <v/>
      </c>
      <c r="AC3625" s="168" t="str">
        <f t="shared" si="7"/>
        <v>IND,2020-21</v>
      </c>
    </row>
    <row r="3626">
      <c r="A3626" s="161" t="str">
        <f>IFERROR(__xludf.DUMMYFUNCTION("""COMPUTED_VALUE"""),"harklma01")</f>
        <v>harklma01</v>
      </c>
      <c r="B3626" s="161" t="str">
        <f>IFERROR(__xludf.DUMMYFUNCTION("""COMPUTED_VALUE"""),"Maurice Harkless")</f>
        <v>Maurice Harkless</v>
      </c>
      <c r="C3626" s="162" t="str">
        <f>IFERROR(__xludf.DUMMYFUNCTION("""COMPUTED_VALUE"""),"2020-21")</f>
        <v>2020-21</v>
      </c>
      <c r="D3626" s="163" t="str">
        <f>IFERROR(__xludf.DUMMYFUNCTION("""COMPUTED_VALUE"""),"MIA")</f>
        <v>MIA</v>
      </c>
      <c r="E3626" s="164" t="str">
        <f>IFERROR(__xludf.DUMMYFUNCTION("""COMPUTED_VALUE"""),"Stationary Shooter")</f>
        <v>Stationary Shooter</v>
      </c>
      <c r="F3626" s="164">
        <f>IFERROR(__xludf.DUMMYFUNCTION("""COMPUTED_VALUE"""),109.135)</f>
        <v>109.135</v>
      </c>
      <c r="G3626" s="163">
        <f>IFERROR(__xludf.DUMMYFUNCTION("""COMPUTED_VALUE"""),10.0)</f>
        <v>10</v>
      </c>
      <c r="H3626" s="163" t="str">
        <f>IFERROR(__xludf.DUMMYFUNCTION("""COMPUTED_VALUE"""),"SF")</f>
        <v>SF</v>
      </c>
      <c r="I3626" s="163">
        <f>IFERROR(__xludf.DUMMYFUNCTION("""COMPUTED_VALUE"""),27.0)</f>
        <v>27</v>
      </c>
      <c r="J3626" s="165">
        <f>IFERROR(__xludf.DUMMYFUNCTION("""COMPUTED_VALUE"""),-1.21328429524734)</f>
        <v>-1.213284295</v>
      </c>
      <c r="K3626" s="165">
        <f>IFERROR(__xludf.DUMMYFUNCTION("""COMPUTED_VALUE"""),-1.3121085620839)</f>
        <v>-1.312108562</v>
      </c>
      <c r="L3626" s="165">
        <f>IFERROR(__xludf.DUMMYFUNCTION("""COMPUTED_VALUE"""),0.0988242668365562)</f>
        <v>0.09882426684</v>
      </c>
      <c r="M3626" s="166">
        <f t="shared" si="2"/>
        <v>0.07916122561</v>
      </c>
      <c r="N3626" s="167">
        <f t="shared" si="3"/>
        <v>10.9135</v>
      </c>
      <c r="O3626" s="163">
        <f t="shared" ref="O3626:Q3626" si="3630">rank(I3626,I:I)</f>
        <v>1366</v>
      </c>
      <c r="P3626" s="163">
        <f t="shared" si="3630"/>
        <v>2764</v>
      </c>
      <c r="Q3626" s="163">
        <f t="shared" si="3630"/>
        <v>3162</v>
      </c>
      <c r="R3626" s="163">
        <f>IFERROR(__xludf.DUMMYFUNCTION("RANK(M3626,filter(M:M,C:C=C3626))"),349.0)</f>
        <v>349</v>
      </c>
      <c r="S3626" s="161" t="b">
        <f t="shared" si="5"/>
        <v>0</v>
      </c>
      <c r="T3626" s="161" t="b">
        <f t="array" ref="T3626">index('Query Tool'!B:B,match(H3626,'Query Tool'!C:C,0))</f>
        <v>1</v>
      </c>
      <c r="U3626" s="161" t="b">
        <f t="array" ref="U3626">index('Query Tool'!B:B,match(C3626,'Query Tool'!C:C,0))</f>
        <v>1</v>
      </c>
      <c r="V3626" s="161" t="b">
        <f>F3626&gt;='Query Tool'!C$32</f>
        <v>0</v>
      </c>
      <c r="W3626" s="161" t="b">
        <f t="array" ref="W3626">index(Dropdowns!B:B,match(I3626,Dropdowns!A:A,0))</f>
        <v>1</v>
      </c>
      <c r="X3626" s="161" t="b">
        <f t="array" ref="X3626">index('Query Tool'!B:B,match(D3626,'Query Tool'!C:C,0))</f>
        <v>1</v>
      </c>
      <c r="Y3626" s="161" t="str">
        <f t="shared" si="6"/>
        <v>harklma01,2020-21</v>
      </c>
      <c r="Z3626" s="168" t="str">
        <f t="array" ref="Z3626">iferror(index(I:I,match($A3626&amp;","&amp;index('Year Conversion'!$A:$A,match($C3626,'Year Conversion'!$B:$B,0)),$Y:$Y,0))-I3626,"")</f>
        <v/>
      </c>
      <c r="AA3626" s="168" t="str">
        <f t="array" ref="AA3626">iferror(index(J:J,match($A3626&amp;","&amp;index('Year Conversion'!$A:$A,match($C3626,'Year Conversion'!$B:$B,0)),$Y:$Y,0))-J3626,"")</f>
        <v/>
      </c>
      <c r="AB3626" s="168" t="str">
        <f t="array" ref="AB3626">iferror(index(K:K,match($A3626&amp;","&amp;index('Year Conversion'!$A:$A,match($C3626,'Year Conversion'!$B:$B,0)),$Y:$Y,0))-K3626,"")</f>
        <v/>
      </c>
      <c r="AC3626" s="168" t="str">
        <f t="shared" si="7"/>
        <v>MIA,2020-21</v>
      </c>
    </row>
    <row r="3627">
      <c r="A3627" s="161" t="str">
        <f>IFERROR(__xludf.DUMMYFUNCTION("""COMPUTED_VALUE"""),"fournev01")</f>
        <v>fournev01</v>
      </c>
      <c r="B3627" s="161" t="str">
        <f>IFERROR(__xludf.DUMMYFUNCTION("""COMPUTED_VALUE"""),"Evan Fournier")</f>
        <v>Evan Fournier</v>
      </c>
      <c r="C3627" s="162" t="str">
        <f>IFERROR(__xludf.DUMMYFUNCTION("""COMPUTED_VALUE"""),"2020-21")</f>
        <v>2020-21</v>
      </c>
      <c r="D3627" s="163" t="str">
        <f>IFERROR(__xludf.DUMMYFUNCTION("""COMPUTED_VALUE"""),"ORL")</f>
        <v>ORL</v>
      </c>
      <c r="E3627" s="164" t="str">
        <f>IFERROR(__xludf.DUMMYFUNCTION("""COMPUTED_VALUE"""),"Secondary Ball Handler")</f>
        <v>Secondary Ball Handler</v>
      </c>
      <c r="F3627" s="164">
        <f>IFERROR(__xludf.DUMMYFUNCTION("""COMPUTED_VALUE"""),492.486666666667)</f>
        <v>492.4866667</v>
      </c>
      <c r="G3627" s="163">
        <f>IFERROR(__xludf.DUMMYFUNCTION("""COMPUTED_VALUE"""),17.0)</f>
        <v>17</v>
      </c>
      <c r="H3627" s="163" t="str">
        <f>IFERROR(__xludf.DUMMYFUNCTION("""COMPUTED_VALUE"""),"SF")</f>
        <v>SF</v>
      </c>
      <c r="I3627" s="163">
        <f>IFERROR(__xludf.DUMMYFUNCTION("""COMPUTED_VALUE"""),28.0)</f>
        <v>28</v>
      </c>
      <c r="J3627" s="165">
        <f>IFERROR(__xludf.DUMMYFUNCTION("""COMPUTED_VALUE"""),0.0373484763014023)</f>
        <v>0.0373484763</v>
      </c>
      <c r="K3627" s="165">
        <f>IFERROR(__xludf.DUMMYFUNCTION("""COMPUTED_VALUE"""),1.10281128325944)</f>
        <v>1.102811283</v>
      </c>
      <c r="L3627" s="165">
        <f>IFERROR(__xludf.DUMMYFUNCTION("""COMPUTED_VALUE"""),-1.06546280695803)</f>
        <v>-1.065462807</v>
      </c>
      <c r="M3627" s="166">
        <f t="shared" si="2"/>
        <v>0.7716510495</v>
      </c>
      <c r="N3627" s="167">
        <f t="shared" si="3"/>
        <v>28.96980392</v>
      </c>
      <c r="O3627" s="163">
        <f t="shared" ref="O3627:Q3627" si="3631">rank(I3627,I:I)</f>
        <v>1090</v>
      </c>
      <c r="P3627" s="163">
        <f t="shared" si="3631"/>
        <v>1259</v>
      </c>
      <c r="Q3627" s="163">
        <f t="shared" si="3631"/>
        <v>452</v>
      </c>
      <c r="R3627" s="163">
        <f>IFERROR(__xludf.DUMMYFUNCTION("RANK(M3627,filter(M:M,C:C=C3627))"),147.0)</f>
        <v>147</v>
      </c>
      <c r="S3627" s="161" t="b">
        <f t="shared" si="5"/>
        <v>0</v>
      </c>
      <c r="T3627" s="161" t="b">
        <f t="array" ref="T3627">index('Query Tool'!B:B,match(H3627,'Query Tool'!C:C,0))</f>
        <v>1</v>
      </c>
      <c r="U3627" s="161" t="b">
        <f t="array" ref="U3627">index('Query Tool'!B:B,match(C3627,'Query Tool'!C:C,0))</f>
        <v>1</v>
      </c>
      <c r="V3627" s="161" t="b">
        <f>F3627&gt;='Query Tool'!C$32</f>
        <v>0</v>
      </c>
      <c r="W3627" s="161" t="b">
        <f t="array" ref="W3627">index(Dropdowns!B:B,match(I3627,Dropdowns!A:A,0))</f>
        <v>1</v>
      </c>
      <c r="X3627" s="161" t="b">
        <f t="array" ref="X3627">index('Query Tool'!B:B,match(D3627,'Query Tool'!C:C,0))</f>
        <v>1</v>
      </c>
      <c r="Y3627" s="161" t="str">
        <f t="shared" si="6"/>
        <v>fournev01,2020-21</v>
      </c>
      <c r="Z3627" s="168" t="str">
        <f t="array" ref="Z3627">iferror(index(I:I,match($A3627&amp;","&amp;index('Year Conversion'!$A:$A,match($C3627,'Year Conversion'!$B:$B,0)),$Y:$Y,0))-I3627,"")</f>
        <v/>
      </c>
      <c r="AA3627" s="168" t="str">
        <f t="array" ref="AA3627">iferror(index(J:J,match($A3627&amp;","&amp;index('Year Conversion'!$A:$A,match($C3627,'Year Conversion'!$B:$B,0)),$Y:$Y,0))-J3627,"")</f>
        <v/>
      </c>
      <c r="AB3627" s="168" t="str">
        <f t="array" ref="AB3627">iferror(index(K:K,match($A3627&amp;","&amp;index('Year Conversion'!$A:$A,match($C3627,'Year Conversion'!$B:$B,0)),$Y:$Y,0))-K3627,"")</f>
        <v/>
      </c>
      <c r="AC3627" s="168" t="str">
        <f t="shared" si="7"/>
        <v>ORL,2020-21</v>
      </c>
    </row>
    <row r="3628">
      <c r="A3628" s="161" t="str">
        <f>IFERROR(__xludf.DUMMYFUNCTION("""COMPUTED_VALUE"""),"satorto01")</f>
        <v>satorto01</v>
      </c>
      <c r="B3628" s="161" t="str">
        <f>IFERROR(__xludf.DUMMYFUNCTION("""COMPUTED_VALUE"""),"Tomas Satoransky")</f>
        <v>Tomas Satoransky</v>
      </c>
      <c r="C3628" s="162" t="str">
        <f>IFERROR(__xludf.DUMMYFUNCTION("""COMPUTED_VALUE"""),"2020-21")</f>
        <v>2020-21</v>
      </c>
      <c r="D3628" s="163" t="str">
        <f>IFERROR(__xludf.DUMMYFUNCTION("""COMPUTED_VALUE"""),"CHI")</f>
        <v>CHI</v>
      </c>
      <c r="E3628" s="164" t="str">
        <f>IFERROR(__xludf.DUMMYFUNCTION("""COMPUTED_VALUE"""),"Primary Ball Handler")</f>
        <v>Primary Ball Handler</v>
      </c>
      <c r="F3628" s="164">
        <f>IFERROR(__xludf.DUMMYFUNCTION("""COMPUTED_VALUE"""),359.98)</f>
        <v>359.98</v>
      </c>
      <c r="G3628" s="163">
        <f>IFERROR(__xludf.DUMMYFUNCTION("""COMPUTED_VALUE"""),18.0)</f>
        <v>18</v>
      </c>
      <c r="H3628" s="163" t="str">
        <f>IFERROR(__xludf.DUMMYFUNCTION("""COMPUTED_VALUE"""),"SG")</f>
        <v>SG</v>
      </c>
      <c r="I3628" s="163">
        <f>IFERROR(__xludf.DUMMYFUNCTION("""COMPUTED_VALUE"""),29.0)</f>
        <v>29</v>
      </c>
      <c r="J3628" s="165">
        <f>IFERROR(__xludf.DUMMYFUNCTION("""COMPUTED_VALUE"""),-0.0530592664572899)</f>
        <v>-0.05305926646</v>
      </c>
      <c r="K3628" s="165">
        <f>IFERROR(__xludf.DUMMYFUNCTION("""COMPUTED_VALUE"""),-0.589567873066303)</f>
        <v>-0.5895678731</v>
      </c>
      <c r="L3628" s="165">
        <f>IFERROR(__xludf.DUMMYFUNCTION("""COMPUTED_VALUE"""),0.536508606609013)</f>
        <v>0.5365086066</v>
      </c>
      <c r="M3628" s="166">
        <f t="shared" si="2"/>
        <v>0.5420920063</v>
      </c>
      <c r="N3628" s="167">
        <f t="shared" si="3"/>
        <v>19.99888889</v>
      </c>
      <c r="O3628" s="163">
        <f t="shared" ref="O3628:Q3628" si="3632">rank(I3628,I:I)</f>
        <v>855</v>
      </c>
      <c r="P3628" s="163">
        <f t="shared" si="3632"/>
        <v>1333</v>
      </c>
      <c r="Q3628" s="163">
        <f t="shared" si="3632"/>
        <v>2247</v>
      </c>
      <c r="R3628" s="163">
        <f>IFERROR(__xludf.DUMMYFUNCTION("RANK(M3628,filter(M:M,C:C=C3628))"),183.0)</f>
        <v>183</v>
      </c>
      <c r="S3628" s="161" t="b">
        <f t="shared" si="5"/>
        <v>0</v>
      </c>
      <c r="T3628" s="161" t="b">
        <f t="array" ref="T3628">index('Query Tool'!B:B,match(H3628,'Query Tool'!C:C,0))</f>
        <v>1</v>
      </c>
      <c r="U3628" s="161" t="b">
        <f t="array" ref="U3628">index('Query Tool'!B:B,match(C3628,'Query Tool'!C:C,0))</f>
        <v>1</v>
      </c>
      <c r="V3628" s="161" t="b">
        <f>F3628&gt;='Query Tool'!C$32</f>
        <v>0</v>
      </c>
      <c r="W3628" s="161" t="b">
        <f t="array" ref="W3628">index(Dropdowns!B:B,match(I3628,Dropdowns!A:A,0))</f>
        <v>1</v>
      </c>
      <c r="X3628" s="161" t="b">
        <f t="array" ref="X3628">index('Query Tool'!B:B,match(D3628,'Query Tool'!C:C,0))</f>
        <v>1</v>
      </c>
      <c r="Y3628" s="161" t="str">
        <f t="shared" si="6"/>
        <v>satorto01,2020-21</v>
      </c>
      <c r="Z3628" s="168" t="str">
        <f t="array" ref="Z3628">iferror(index(I:I,match($A3628&amp;","&amp;index('Year Conversion'!$A:$A,match($C3628,'Year Conversion'!$B:$B,0)),$Y:$Y,0))-I3628,"")</f>
        <v/>
      </c>
      <c r="AA3628" s="168" t="str">
        <f t="array" ref="AA3628">iferror(index(J:J,match($A3628&amp;","&amp;index('Year Conversion'!$A:$A,match($C3628,'Year Conversion'!$B:$B,0)),$Y:$Y,0))-J3628,"")</f>
        <v/>
      </c>
      <c r="AB3628" s="168" t="str">
        <f t="array" ref="AB3628">iferror(index(K:K,match($A3628&amp;","&amp;index('Year Conversion'!$A:$A,match($C3628,'Year Conversion'!$B:$B,0)),$Y:$Y,0))-K3628,"")</f>
        <v/>
      </c>
      <c r="AC3628" s="168" t="str">
        <f t="shared" si="7"/>
        <v>CHI,2020-21</v>
      </c>
    </row>
    <row r="3629">
      <c r="A3629" s="161" t="str">
        <f>IFERROR(__xludf.DUMMYFUNCTION("""COMPUTED_VALUE"""),"crowdja01")</f>
        <v>crowdja01</v>
      </c>
      <c r="B3629" s="161" t="str">
        <f>IFERROR(__xludf.DUMMYFUNCTION("""COMPUTED_VALUE"""),"Jae Crowder")</f>
        <v>Jae Crowder</v>
      </c>
      <c r="C3629" s="162" t="str">
        <f>IFERROR(__xludf.DUMMYFUNCTION("""COMPUTED_VALUE"""),"2020-21")</f>
        <v>2020-21</v>
      </c>
      <c r="D3629" s="163" t="str">
        <f>IFERROR(__xludf.DUMMYFUNCTION("""COMPUTED_VALUE"""),"PHO")</f>
        <v>PHO</v>
      </c>
      <c r="E3629" s="164" t="str">
        <f>IFERROR(__xludf.DUMMYFUNCTION("""COMPUTED_VALUE"""),"Stationary Shooter")</f>
        <v>Stationary Shooter</v>
      </c>
      <c r="F3629" s="164">
        <f>IFERROR(__xludf.DUMMYFUNCTION("""COMPUTED_VALUE"""),719.123333333333)</f>
        <v>719.1233333</v>
      </c>
      <c r="G3629" s="163">
        <f>IFERROR(__xludf.DUMMYFUNCTION("""COMPUTED_VALUE"""),26.0)</f>
        <v>26</v>
      </c>
      <c r="H3629" s="163" t="str">
        <f>IFERROR(__xludf.DUMMYFUNCTION("""COMPUTED_VALUE"""),"PF")</f>
        <v>PF</v>
      </c>
      <c r="I3629" s="163">
        <f>IFERROR(__xludf.DUMMYFUNCTION("""COMPUTED_VALUE"""),30.0)</f>
        <v>30</v>
      </c>
      <c r="J3629" s="165">
        <f>IFERROR(__xludf.DUMMYFUNCTION("""COMPUTED_VALUE"""),0.916029682183428)</f>
        <v>0.9160296822</v>
      </c>
      <c r="K3629" s="165">
        <f>IFERROR(__xludf.DUMMYFUNCTION("""COMPUTED_VALUE"""),-0.131160552838446)</f>
        <v>-0.1311605528</v>
      </c>
      <c r="L3629" s="165">
        <f>IFERROR(__xludf.DUMMYFUNCTION("""COMPUTED_VALUE"""),1.04719023502187)</f>
        <v>1.047190235</v>
      </c>
      <c r="M3629" s="166">
        <f t="shared" si="2"/>
        <v>1.552246166</v>
      </c>
      <c r="N3629" s="167">
        <f t="shared" si="3"/>
        <v>27.65858974</v>
      </c>
      <c r="O3629" s="163">
        <f t="shared" ref="O3629:Q3629" si="3633">rank(I3629,I:I)</f>
        <v>655</v>
      </c>
      <c r="P3629" s="163">
        <f t="shared" si="3633"/>
        <v>689</v>
      </c>
      <c r="Q3629" s="163">
        <f t="shared" si="3633"/>
        <v>1442</v>
      </c>
      <c r="R3629" s="163">
        <f>IFERROR(__xludf.DUMMYFUNCTION("RANK(M3629,filter(M:M,C:C=C3629))"),77.0)</f>
        <v>77</v>
      </c>
      <c r="S3629" s="161" t="b">
        <f t="shared" si="5"/>
        <v>1</v>
      </c>
      <c r="T3629" s="161" t="b">
        <f t="array" ref="T3629">index('Query Tool'!B:B,match(H3629,'Query Tool'!C:C,0))</f>
        <v>1</v>
      </c>
      <c r="U3629" s="161" t="b">
        <f t="array" ref="U3629">index('Query Tool'!B:B,match(C3629,'Query Tool'!C:C,0))</f>
        <v>1</v>
      </c>
      <c r="V3629" s="161" t="b">
        <f>F3629&gt;='Query Tool'!C$32</f>
        <v>1</v>
      </c>
      <c r="W3629" s="161" t="b">
        <f t="array" ref="W3629">index(Dropdowns!B:B,match(I3629,Dropdowns!A:A,0))</f>
        <v>1</v>
      </c>
      <c r="X3629" s="161" t="b">
        <f t="array" ref="X3629">index('Query Tool'!B:B,match(D3629,'Query Tool'!C:C,0))</f>
        <v>1</v>
      </c>
      <c r="Y3629" s="161" t="str">
        <f t="shared" si="6"/>
        <v>crowdja01,2020-21</v>
      </c>
      <c r="Z3629" s="168" t="str">
        <f t="array" ref="Z3629">iferror(index(I:I,match($A3629&amp;","&amp;index('Year Conversion'!$A:$A,match($C3629,'Year Conversion'!$B:$B,0)),$Y:$Y,0))-I3629,"")</f>
        <v/>
      </c>
      <c r="AA3629" s="168" t="str">
        <f t="array" ref="AA3629">iferror(index(J:J,match($A3629&amp;","&amp;index('Year Conversion'!$A:$A,match($C3629,'Year Conversion'!$B:$B,0)),$Y:$Y,0))-J3629,"")</f>
        <v/>
      </c>
      <c r="AB3629" s="168" t="str">
        <f t="array" ref="AB3629">iferror(index(K:K,match($A3629&amp;","&amp;index('Year Conversion'!$A:$A,match($C3629,'Year Conversion'!$B:$B,0)),$Y:$Y,0))-K3629,"")</f>
        <v/>
      </c>
      <c r="AC3629" s="168" t="str">
        <f t="shared" si="7"/>
        <v>PHO,2020-21</v>
      </c>
    </row>
    <row r="3630">
      <c r="A3630" s="161" t="str">
        <f>IFERROR(__xludf.DUMMYFUNCTION("""COMPUTED_VALUE"""),"greendr01")</f>
        <v>greendr01</v>
      </c>
      <c r="B3630" s="161" t="str">
        <f>IFERROR(__xludf.DUMMYFUNCTION("""COMPUTED_VALUE"""),"Draymond Green")</f>
        <v>Draymond Green</v>
      </c>
      <c r="C3630" s="162" t="str">
        <f>IFERROR(__xludf.DUMMYFUNCTION("""COMPUTED_VALUE"""),"2020-21")</f>
        <v>2020-21</v>
      </c>
      <c r="D3630" s="163" t="str">
        <f>IFERROR(__xludf.DUMMYFUNCTION("""COMPUTED_VALUE"""),"GSW")</f>
        <v>GSW</v>
      </c>
      <c r="E3630" s="164" t="str">
        <f>IFERROR(__xludf.DUMMYFUNCTION("""COMPUTED_VALUE"""),"Stretch Big")</f>
        <v>Stretch Big</v>
      </c>
      <c r="F3630" s="164">
        <f>IFERROR(__xludf.DUMMYFUNCTION("""COMPUTED_VALUE"""),760.465)</f>
        <v>760.465</v>
      </c>
      <c r="G3630" s="163">
        <f>IFERROR(__xludf.DUMMYFUNCTION("""COMPUTED_VALUE"""),26.0)</f>
        <v>26</v>
      </c>
      <c r="H3630" s="163" t="str">
        <f>IFERROR(__xludf.DUMMYFUNCTION("""COMPUTED_VALUE"""),"PF")</f>
        <v>PF</v>
      </c>
      <c r="I3630" s="163">
        <f>IFERROR(__xludf.DUMMYFUNCTION("""COMPUTED_VALUE"""),30.0)</f>
        <v>30</v>
      </c>
      <c r="J3630" s="165">
        <f>IFERROR(__xludf.DUMMYFUNCTION("""COMPUTED_VALUE"""),1.50189900316054)</f>
        <v>1.501899003</v>
      </c>
      <c r="K3630" s="165">
        <f>IFERROR(__xludf.DUMMYFUNCTION("""COMPUTED_VALUE"""),-0.545916969003046)</f>
        <v>-0.545916969</v>
      </c>
      <c r="L3630" s="165">
        <f>IFERROR(__xludf.DUMMYFUNCTION("""COMPUTED_VALUE"""),2.04781597216359)</f>
        <v>2.047815972</v>
      </c>
      <c r="M3630" s="166">
        <f t="shared" si="2"/>
        <v>1.939999897</v>
      </c>
      <c r="N3630" s="167">
        <f t="shared" si="3"/>
        <v>29.24865385</v>
      </c>
      <c r="O3630" s="163">
        <f t="shared" ref="O3630:Q3630" si="3634">rank(I3630,I:I)</f>
        <v>655</v>
      </c>
      <c r="P3630" s="163">
        <f t="shared" si="3634"/>
        <v>454</v>
      </c>
      <c r="Q3630" s="163">
        <f t="shared" si="3634"/>
        <v>2183</v>
      </c>
      <c r="R3630" s="163">
        <f>IFERROR(__xludf.DUMMYFUNCTION("RANK(M3630,filter(M:M,C:C=C3630))"),50.0)</f>
        <v>50</v>
      </c>
      <c r="S3630" s="161" t="b">
        <f t="shared" si="5"/>
        <v>1</v>
      </c>
      <c r="T3630" s="161" t="b">
        <f t="array" ref="T3630">index('Query Tool'!B:B,match(H3630,'Query Tool'!C:C,0))</f>
        <v>1</v>
      </c>
      <c r="U3630" s="161" t="b">
        <f t="array" ref="U3630">index('Query Tool'!B:B,match(C3630,'Query Tool'!C:C,0))</f>
        <v>1</v>
      </c>
      <c r="V3630" s="161" t="b">
        <f>F3630&gt;='Query Tool'!C$32</f>
        <v>1</v>
      </c>
      <c r="W3630" s="161" t="b">
        <f t="array" ref="W3630">index(Dropdowns!B:B,match(I3630,Dropdowns!A:A,0))</f>
        <v>1</v>
      </c>
      <c r="X3630" s="161" t="b">
        <f t="array" ref="X3630">index('Query Tool'!B:B,match(D3630,'Query Tool'!C:C,0))</f>
        <v>1</v>
      </c>
      <c r="Y3630" s="161" t="str">
        <f t="shared" si="6"/>
        <v>greendr01,2020-21</v>
      </c>
      <c r="Z3630" s="168" t="str">
        <f t="array" ref="Z3630">iferror(index(I:I,match($A3630&amp;","&amp;index('Year Conversion'!$A:$A,match($C3630,'Year Conversion'!$B:$B,0)),$Y:$Y,0))-I3630,"")</f>
        <v/>
      </c>
      <c r="AA3630" s="168" t="str">
        <f t="array" ref="AA3630">iferror(index(J:J,match($A3630&amp;","&amp;index('Year Conversion'!$A:$A,match($C3630,'Year Conversion'!$B:$B,0)),$Y:$Y,0))-J3630,"")</f>
        <v/>
      </c>
      <c r="AB3630" s="168" t="str">
        <f t="array" ref="AB3630">iferror(index(K:K,match($A3630&amp;","&amp;index('Year Conversion'!$A:$A,match($C3630,'Year Conversion'!$B:$B,0)),$Y:$Y,0))-K3630,"")</f>
        <v/>
      </c>
      <c r="AC3630" s="168" t="str">
        <f t="shared" si="7"/>
        <v>GSW,2020-21</v>
      </c>
    </row>
    <row r="3631">
      <c r="A3631" s="161" t="str">
        <f>IFERROR(__xludf.DUMMYFUNCTION("""COMPUTED_VALUE"""),"middlkh01")</f>
        <v>middlkh01</v>
      </c>
      <c r="B3631" s="161" t="str">
        <f>IFERROR(__xludf.DUMMYFUNCTION("""COMPUTED_VALUE"""),"Khris Middleton")</f>
        <v>Khris Middleton</v>
      </c>
      <c r="C3631" s="162" t="str">
        <f>IFERROR(__xludf.DUMMYFUNCTION("""COMPUTED_VALUE"""),"2020-21")</f>
        <v>2020-21</v>
      </c>
      <c r="D3631" s="163" t="str">
        <f>IFERROR(__xludf.DUMMYFUNCTION("""COMPUTED_VALUE"""),"MIL")</f>
        <v>MIL</v>
      </c>
      <c r="E3631" s="164" t="str">
        <f>IFERROR(__xludf.DUMMYFUNCTION("""COMPUTED_VALUE"""),"Shot Creator")</f>
        <v>Shot Creator</v>
      </c>
      <c r="F3631" s="164">
        <f>IFERROR(__xludf.DUMMYFUNCTION("""COMPUTED_VALUE"""),1029.44)</f>
        <v>1029.44</v>
      </c>
      <c r="G3631" s="163">
        <f>IFERROR(__xludf.DUMMYFUNCTION("""COMPUTED_VALUE"""),31.0)</f>
        <v>31</v>
      </c>
      <c r="H3631" s="163" t="str">
        <f>IFERROR(__xludf.DUMMYFUNCTION("""COMPUTED_VALUE"""),"SF")</f>
        <v>SF</v>
      </c>
      <c r="I3631" s="163">
        <f>IFERROR(__xludf.DUMMYFUNCTION("""COMPUTED_VALUE"""),29.0)</f>
        <v>29</v>
      </c>
      <c r="J3631" s="165">
        <f>IFERROR(__xludf.DUMMYFUNCTION("""COMPUTED_VALUE"""),2.41926908856212)</f>
        <v>2.419269089</v>
      </c>
      <c r="K3631" s="165">
        <f>IFERROR(__xludf.DUMMYFUNCTION("""COMPUTED_VALUE"""),2.36277137050599)</f>
        <v>2.362771371</v>
      </c>
      <c r="L3631" s="165">
        <f>IFERROR(__xludf.DUMMYFUNCTION("""COMPUTED_VALUE"""),0.0564977180561213)</f>
        <v>0.05649771806</v>
      </c>
      <c r="M3631" s="166">
        <f t="shared" si="2"/>
        <v>3.252597572</v>
      </c>
      <c r="N3631" s="167">
        <f t="shared" si="3"/>
        <v>33.20774194</v>
      </c>
      <c r="O3631" s="163">
        <f t="shared" ref="O3631:Q3631" si="3635">rank(I3631,I:I)</f>
        <v>855</v>
      </c>
      <c r="P3631" s="163">
        <f t="shared" si="3635"/>
        <v>234</v>
      </c>
      <c r="Q3631" s="163">
        <f t="shared" si="3635"/>
        <v>170</v>
      </c>
      <c r="R3631" s="163">
        <f>IFERROR(__xludf.DUMMYFUNCTION("RANK(M3631,filter(M:M,C:C=C3631))"),14.0)</f>
        <v>14</v>
      </c>
      <c r="S3631" s="161" t="b">
        <f t="shared" si="5"/>
        <v>1</v>
      </c>
      <c r="T3631" s="161" t="b">
        <f t="array" ref="T3631">index('Query Tool'!B:B,match(H3631,'Query Tool'!C:C,0))</f>
        <v>1</v>
      </c>
      <c r="U3631" s="161" t="b">
        <f t="array" ref="U3631">index('Query Tool'!B:B,match(C3631,'Query Tool'!C:C,0))</f>
        <v>1</v>
      </c>
      <c r="V3631" s="161" t="b">
        <f>F3631&gt;='Query Tool'!C$32</f>
        <v>1</v>
      </c>
      <c r="W3631" s="161" t="b">
        <f t="array" ref="W3631">index(Dropdowns!B:B,match(I3631,Dropdowns!A:A,0))</f>
        <v>1</v>
      </c>
      <c r="X3631" s="161" t="b">
        <f t="array" ref="X3631">index('Query Tool'!B:B,match(D3631,'Query Tool'!C:C,0))</f>
        <v>1</v>
      </c>
      <c r="Y3631" s="161" t="str">
        <f t="shared" si="6"/>
        <v>middlkh01,2020-21</v>
      </c>
      <c r="Z3631" s="168" t="str">
        <f t="array" ref="Z3631">iferror(index(I:I,match($A3631&amp;","&amp;index('Year Conversion'!$A:$A,match($C3631,'Year Conversion'!$B:$B,0)),$Y:$Y,0))-I3631,"")</f>
        <v/>
      </c>
      <c r="AA3631" s="168" t="str">
        <f t="array" ref="AA3631">iferror(index(J:J,match($A3631&amp;","&amp;index('Year Conversion'!$A:$A,match($C3631,'Year Conversion'!$B:$B,0)),$Y:$Y,0))-J3631,"")</f>
        <v/>
      </c>
      <c r="AB3631" s="168" t="str">
        <f t="array" ref="AB3631">iferror(index(K:K,match($A3631&amp;","&amp;index('Year Conversion'!$A:$A,match($C3631,'Year Conversion'!$B:$B,0)),$Y:$Y,0))-K3631,"")</f>
        <v/>
      </c>
      <c r="AC3631" s="168" t="str">
        <f t="shared" si="7"/>
        <v>MIL,2020-21</v>
      </c>
    </row>
    <row r="3632">
      <c r="A3632" s="161" t="str">
        <f>IFERROR(__xludf.DUMMYFUNCTION("""COMPUTED_VALUE"""),"bartowi01")</f>
        <v>bartowi01</v>
      </c>
      <c r="B3632" s="161" t="str">
        <f>IFERROR(__xludf.DUMMYFUNCTION("""COMPUTED_VALUE"""),"Will Barton")</f>
        <v>Will Barton</v>
      </c>
      <c r="C3632" s="162" t="str">
        <f>IFERROR(__xludf.DUMMYFUNCTION("""COMPUTED_VALUE"""),"2020-21")</f>
        <v>2020-21</v>
      </c>
      <c r="D3632" s="163" t="str">
        <f>IFERROR(__xludf.DUMMYFUNCTION("""COMPUTED_VALUE"""),"DEN")</f>
        <v>DEN</v>
      </c>
      <c r="E3632" s="164" t="str">
        <f>IFERROR(__xludf.DUMMYFUNCTION("""COMPUTED_VALUE"""),"Secondary Ball Handler")</f>
        <v>Secondary Ball Handler</v>
      </c>
      <c r="F3632" s="164">
        <f>IFERROR(__xludf.DUMMYFUNCTION("""COMPUTED_VALUE"""),804.298333333333)</f>
        <v>804.2983333</v>
      </c>
      <c r="G3632" s="163">
        <f>IFERROR(__xludf.DUMMYFUNCTION("""COMPUTED_VALUE"""),27.0)</f>
        <v>27</v>
      </c>
      <c r="H3632" s="163" t="str">
        <f>IFERROR(__xludf.DUMMYFUNCTION("""COMPUTED_VALUE"""),"SF")</f>
        <v>SF</v>
      </c>
      <c r="I3632" s="163">
        <f>IFERROR(__xludf.DUMMYFUNCTION("""COMPUTED_VALUE"""),30.0)</f>
        <v>30</v>
      </c>
      <c r="J3632" s="165">
        <f>IFERROR(__xludf.DUMMYFUNCTION("""COMPUTED_VALUE"""),-0.601147442994591)</f>
        <v>-0.601147443</v>
      </c>
      <c r="K3632" s="165">
        <f>IFERROR(__xludf.DUMMYFUNCTION("""COMPUTED_VALUE"""),-0.439546561529543)</f>
        <v>-0.4395465615</v>
      </c>
      <c r="L3632" s="165">
        <f>IFERROR(__xludf.DUMMYFUNCTION("""COMPUTED_VALUE"""),-0.161600881465048)</f>
        <v>-0.1616008815</v>
      </c>
      <c r="M3632" s="166">
        <f t="shared" si="2"/>
        <v>0.914151429</v>
      </c>
      <c r="N3632" s="167">
        <f t="shared" si="3"/>
        <v>29.78882716</v>
      </c>
      <c r="O3632" s="163">
        <f t="shared" ref="O3632:Q3632" si="3636">rank(I3632,I:I)</f>
        <v>655</v>
      </c>
      <c r="P3632" s="163">
        <f t="shared" si="3636"/>
        <v>1998</v>
      </c>
      <c r="Q3632" s="163">
        <f t="shared" si="3636"/>
        <v>2014</v>
      </c>
      <c r="R3632" s="163">
        <f>IFERROR(__xludf.DUMMYFUNCTION("RANK(M3632,filter(M:M,C:C=C3632))"),130.0)</f>
        <v>130</v>
      </c>
      <c r="S3632" s="161" t="b">
        <f t="shared" si="5"/>
        <v>1</v>
      </c>
      <c r="T3632" s="161" t="b">
        <f t="array" ref="T3632">index('Query Tool'!B:B,match(H3632,'Query Tool'!C:C,0))</f>
        <v>1</v>
      </c>
      <c r="U3632" s="161" t="b">
        <f t="array" ref="U3632">index('Query Tool'!B:B,match(C3632,'Query Tool'!C:C,0))</f>
        <v>1</v>
      </c>
      <c r="V3632" s="161" t="b">
        <f>F3632&gt;='Query Tool'!C$32</f>
        <v>1</v>
      </c>
      <c r="W3632" s="161" t="b">
        <f t="array" ref="W3632">index(Dropdowns!B:B,match(I3632,Dropdowns!A:A,0))</f>
        <v>1</v>
      </c>
      <c r="X3632" s="161" t="b">
        <f t="array" ref="X3632">index('Query Tool'!B:B,match(D3632,'Query Tool'!C:C,0))</f>
        <v>1</v>
      </c>
      <c r="Y3632" s="161" t="str">
        <f t="shared" si="6"/>
        <v>bartowi01,2020-21</v>
      </c>
      <c r="Z3632" s="168" t="str">
        <f t="array" ref="Z3632">iferror(index(I:I,match($A3632&amp;","&amp;index('Year Conversion'!$A:$A,match($C3632,'Year Conversion'!$B:$B,0)),$Y:$Y,0))-I3632,"")</f>
        <v/>
      </c>
      <c r="AA3632" s="168" t="str">
        <f t="array" ref="AA3632">iferror(index(J:J,match($A3632&amp;","&amp;index('Year Conversion'!$A:$A,match($C3632,'Year Conversion'!$B:$B,0)),$Y:$Y,0))-J3632,"")</f>
        <v/>
      </c>
      <c r="AB3632" s="168" t="str">
        <f t="array" ref="AB3632">iferror(index(K:K,match($A3632&amp;","&amp;index('Year Conversion'!$A:$A,match($C3632,'Year Conversion'!$B:$B,0)),$Y:$Y,0))-K3632,"")</f>
        <v/>
      </c>
      <c r="AC3632" s="168" t="str">
        <f t="shared" si="7"/>
        <v>DEN,2020-21</v>
      </c>
    </row>
    <row r="3633">
      <c r="A3633" s="161" t="str">
        <f>IFERROR(__xludf.DUMMYFUNCTION("""COMPUTED_VALUE"""),"scottmi01")</f>
        <v>scottmi01</v>
      </c>
      <c r="B3633" s="161" t="str">
        <f>IFERROR(__xludf.DUMMYFUNCTION("""COMPUTED_VALUE"""),"Mike Scott")</f>
        <v>Mike Scott</v>
      </c>
      <c r="C3633" s="162" t="str">
        <f>IFERROR(__xludf.DUMMYFUNCTION("""COMPUTED_VALUE"""),"2020-21")</f>
        <v>2020-21</v>
      </c>
      <c r="D3633" s="163" t="str">
        <f>IFERROR(__xludf.DUMMYFUNCTION("""COMPUTED_VALUE"""),"PHI")</f>
        <v>PHI</v>
      </c>
      <c r="E3633" s="164" t="str">
        <f>IFERROR(__xludf.DUMMYFUNCTION("""COMPUTED_VALUE"""),"Stationary Shooter")</f>
        <v>Stationary Shooter</v>
      </c>
      <c r="F3633" s="164">
        <f>IFERROR(__xludf.DUMMYFUNCTION("""COMPUTED_VALUE"""),201.545)</f>
        <v>201.545</v>
      </c>
      <c r="G3633" s="163">
        <f>IFERROR(__xludf.DUMMYFUNCTION("""COMPUTED_VALUE"""),12.0)</f>
        <v>12</v>
      </c>
      <c r="H3633" s="163" t="str">
        <f>IFERROR(__xludf.DUMMYFUNCTION("""COMPUTED_VALUE"""),"PF")</f>
        <v>PF</v>
      </c>
      <c r="I3633" s="163">
        <f>IFERROR(__xludf.DUMMYFUNCTION("""COMPUTED_VALUE"""),32.0)</f>
        <v>32</v>
      </c>
      <c r="J3633" s="165">
        <f>IFERROR(__xludf.DUMMYFUNCTION("""COMPUTED_VALUE"""),-2.10660192314337)</f>
        <v>-2.106601923</v>
      </c>
      <c r="K3633" s="165">
        <f>IFERROR(__xludf.DUMMYFUNCTION("""COMPUTED_VALUE"""),-1.61923564382366)</f>
        <v>-1.619235644</v>
      </c>
      <c r="L3633" s="165">
        <f>IFERROR(__xludf.DUMMYFUNCTION("""COMPUTED_VALUE"""),-0.487366279319713)</f>
        <v>-0.4873662793</v>
      </c>
      <c r="M3633" s="166">
        <f t="shared" si="2"/>
        <v>0.0262227394</v>
      </c>
      <c r="N3633" s="167">
        <f t="shared" si="3"/>
        <v>16.79541667</v>
      </c>
      <c r="O3633" s="163">
        <f t="shared" ref="O3633:Q3633" si="3637">rank(I3633,I:I)</f>
        <v>359</v>
      </c>
      <c r="P3633" s="163">
        <f t="shared" si="3637"/>
        <v>3555</v>
      </c>
      <c r="Q3633" s="163">
        <f t="shared" si="3637"/>
        <v>3458</v>
      </c>
      <c r="R3633" s="163">
        <f>IFERROR(__xludf.DUMMYFUNCTION("RANK(M3633,filter(M:M,C:C=C3633))"),410.0)</f>
        <v>410</v>
      </c>
      <c r="S3633" s="161" t="b">
        <f t="shared" si="5"/>
        <v>0</v>
      </c>
      <c r="T3633" s="161" t="b">
        <f t="array" ref="T3633">index('Query Tool'!B:B,match(H3633,'Query Tool'!C:C,0))</f>
        <v>1</v>
      </c>
      <c r="U3633" s="161" t="b">
        <f t="array" ref="U3633">index('Query Tool'!B:B,match(C3633,'Query Tool'!C:C,0))</f>
        <v>1</v>
      </c>
      <c r="V3633" s="161" t="b">
        <f>F3633&gt;='Query Tool'!C$32</f>
        <v>0</v>
      </c>
      <c r="W3633" s="161" t="b">
        <f t="array" ref="W3633">index(Dropdowns!B:B,match(I3633,Dropdowns!A:A,0))</f>
        <v>1</v>
      </c>
      <c r="X3633" s="161" t="b">
        <f t="array" ref="X3633">index('Query Tool'!B:B,match(D3633,'Query Tool'!C:C,0))</f>
        <v>1</v>
      </c>
      <c r="Y3633" s="161" t="str">
        <f t="shared" si="6"/>
        <v>scottmi01,2020-21</v>
      </c>
      <c r="Z3633" s="168" t="str">
        <f t="array" ref="Z3633">iferror(index(I:I,match($A3633&amp;","&amp;index('Year Conversion'!$A:$A,match($C3633,'Year Conversion'!$B:$B,0)),$Y:$Y,0))-I3633,"")</f>
        <v/>
      </c>
      <c r="AA3633" s="168" t="str">
        <f t="array" ref="AA3633">iferror(index(J:J,match($A3633&amp;","&amp;index('Year Conversion'!$A:$A,match($C3633,'Year Conversion'!$B:$B,0)),$Y:$Y,0))-J3633,"")</f>
        <v/>
      </c>
      <c r="AB3633" s="168" t="str">
        <f t="array" ref="AB3633">iferror(index(K:K,match($A3633&amp;","&amp;index('Year Conversion'!$A:$A,match($C3633,'Year Conversion'!$B:$B,0)),$Y:$Y,0))-K3633,"")</f>
        <v/>
      </c>
      <c r="AC3633" s="168" t="str">
        <f t="shared" si="7"/>
        <v>PHI,2020-21</v>
      </c>
    </row>
    <row r="3634">
      <c r="A3634" s="161" t="str">
        <f>IFERROR(__xludf.DUMMYFUNCTION("""COMPUTED_VALUE"""),"milleda01")</f>
        <v>milleda01</v>
      </c>
      <c r="B3634" s="161" t="str">
        <f>IFERROR(__xludf.DUMMYFUNCTION("""COMPUTED_VALUE"""),"Darius Miller")</f>
        <v>Darius Miller</v>
      </c>
      <c r="C3634" s="162" t="str">
        <f>IFERROR(__xludf.DUMMYFUNCTION("""COMPUTED_VALUE"""),"2020-21")</f>
        <v>2020-21</v>
      </c>
      <c r="D3634" s="163" t="str">
        <f>IFERROR(__xludf.DUMMYFUNCTION("""COMPUTED_VALUE"""),"OKC")</f>
        <v>OKC</v>
      </c>
      <c r="E3634" s="164" t="str">
        <f>IFERROR(__xludf.DUMMYFUNCTION("""COMPUTED_VALUE"""),"Secondary Ball Handler")</f>
        <v>Secondary Ball Handler</v>
      </c>
      <c r="F3634" s="164">
        <f>IFERROR(__xludf.DUMMYFUNCTION("""COMPUTED_VALUE"""),110.545)</f>
        <v>110.545</v>
      </c>
      <c r="G3634" s="163">
        <f>IFERROR(__xludf.DUMMYFUNCTION("""COMPUTED_VALUE"""),12.0)</f>
        <v>12</v>
      </c>
      <c r="H3634" s="163" t="str">
        <f>IFERROR(__xludf.DUMMYFUNCTION("""COMPUTED_VALUE"""),"SF")</f>
        <v>SF</v>
      </c>
      <c r="I3634" s="163">
        <f>IFERROR(__xludf.DUMMYFUNCTION("""COMPUTED_VALUE"""),30.0)</f>
        <v>30</v>
      </c>
      <c r="J3634" s="165">
        <f>IFERROR(__xludf.DUMMYFUNCTION("""COMPUTED_VALUE"""),0.00977779771256515)</f>
        <v>0.009777797713</v>
      </c>
      <c r="K3634" s="165">
        <f>IFERROR(__xludf.DUMMYFUNCTION("""COMPUTED_VALUE"""),-0.636341144399925)</f>
        <v>-0.6363411444</v>
      </c>
      <c r="L3634" s="165">
        <f>IFERROR(__xludf.DUMMYFUNCTION("""COMPUTED_VALUE"""),0.646118942112491)</f>
        <v>0.6461189421</v>
      </c>
      <c r="M3634" s="166">
        <f t="shared" si="2"/>
        <v>0.1711522643</v>
      </c>
      <c r="N3634" s="167">
        <f t="shared" si="3"/>
        <v>9.212083333</v>
      </c>
      <c r="O3634" s="163">
        <f t="shared" ref="O3634:Q3634" si="3638">rank(I3634,I:I)</f>
        <v>655</v>
      </c>
      <c r="P3634" s="163">
        <f t="shared" si="3638"/>
        <v>1275</v>
      </c>
      <c r="Q3634" s="163">
        <f t="shared" si="3638"/>
        <v>2314</v>
      </c>
      <c r="R3634" s="163">
        <f>IFERROR(__xludf.DUMMYFUNCTION("RANK(M3634,filter(M:M,C:C=C3634))"),292.0)</f>
        <v>292</v>
      </c>
      <c r="S3634" s="161" t="b">
        <f t="shared" si="5"/>
        <v>0</v>
      </c>
      <c r="T3634" s="161" t="b">
        <f t="array" ref="T3634">index('Query Tool'!B:B,match(H3634,'Query Tool'!C:C,0))</f>
        <v>1</v>
      </c>
      <c r="U3634" s="161" t="b">
        <f t="array" ref="U3634">index('Query Tool'!B:B,match(C3634,'Query Tool'!C:C,0))</f>
        <v>1</v>
      </c>
      <c r="V3634" s="161" t="b">
        <f>F3634&gt;='Query Tool'!C$32</f>
        <v>0</v>
      </c>
      <c r="W3634" s="161" t="b">
        <f t="array" ref="W3634">index(Dropdowns!B:B,match(I3634,Dropdowns!A:A,0))</f>
        <v>1</v>
      </c>
      <c r="X3634" s="161" t="b">
        <f t="array" ref="X3634">index('Query Tool'!B:B,match(D3634,'Query Tool'!C:C,0))</f>
        <v>1</v>
      </c>
      <c r="Y3634" s="161" t="str">
        <f t="shared" si="6"/>
        <v>milleda01,2020-21</v>
      </c>
      <c r="Z3634" s="168" t="str">
        <f t="array" ref="Z3634">iferror(index(I:I,match($A3634&amp;","&amp;index('Year Conversion'!$A:$A,match($C3634,'Year Conversion'!$B:$B,0)),$Y:$Y,0))-I3634,"")</f>
        <v/>
      </c>
      <c r="AA3634" s="168" t="str">
        <f t="array" ref="AA3634">iferror(index(J:J,match($A3634&amp;","&amp;index('Year Conversion'!$A:$A,match($C3634,'Year Conversion'!$B:$B,0)),$Y:$Y,0))-J3634,"")</f>
        <v/>
      </c>
      <c r="AB3634" s="168" t="str">
        <f t="array" ref="AB3634">iferror(index(K:K,match($A3634&amp;","&amp;index('Year Conversion'!$A:$A,match($C3634,'Year Conversion'!$B:$B,0)),$Y:$Y,0))-K3634,"")</f>
        <v/>
      </c>
      <c r="AC3634" s="168" t="str">
        <f t="shared" si="7"/>
        <v>OKC,2020-21</v>
      </c>
    </row>
    <row r="3635">
      <c r="A3635" s="161" t="str">
        <f>IFERROR(__xludf.DUMMYFUNCTION("""COMPUTED_VALUE"""),"bazemke01")</f>
        <v>bazemke01</v>
      </c>
      <c r="B3635" s="161" t="str">
        <f>IFERROR(__xludf.DUMMYFUNCTION("""COMPUTED_VALUE"""),"Kent Bazemore")</f>
        <v>Kent Bazemore</v>
      </c>
      <c r="C3635" s="162" t="str">
        <f>IFERROR(__xludf.DUMMYFUNCTION("""COMPUTED_VALUE"""),"2020-21")</f>
        <v>2020-21</v>
      </c>
      <c r="D3635" s="163" t="str">
        <f>IFERROR(__xludf.DUMMYFUNCTION("""COMPUTED_VALUE"""),"GSW")</f>
        <v>GSW</v>
      </c>
      <c r="E3635" s="164" t="str">
        <f>IFERROR(__xludf.DUMMYFUNCTION("""COMPUTED_VALUE"""),"Stationary Shooter")</f>
        <v>Stationary Shooter</v>
      </c>
      <c r="F3635" s="164">
        <f>IFERROR(__xludf.DUMMYFUNCTION("""COMPUTED_VALUE"""),483.871666666667)</f>
        <v>483.8716667</v>
      </c>
      <c r="G3635" s="163">
        <f>IFERROR(__xludf.DUMMYFUNCTION("""COMPUTED_VALUE"""),29.0)</f>
        <v>29</v>
      </c>
      <c r="H3635" s="163" t="str">
        <f>IFERROR(__xludf.DUMMYFUNCTION("""COMPUTED_VALUE"""),"SF")</f>
        <v>SF</v>
      </c>
      <c r="I3635" s="163">
        <f>IFERROR(__xludf.DUMMYFUNCTION("""COMPUTED_VALUE"""),31.0)</f>
        <v>31</v>
      </c>
      <c r="J3635" s="165">
        <f>IFERROR(__xludf.DUMMYFUNCTION("""COMPUTED_VALUE"""),1.02549253709035)</f>
        <v>1.025492537</v>
      </c>
      <c r="K3635" s="165">
        <f>IFERROR(__xludf.DUMMYFUNCTION("""COMPUTED_VALUE"""),-1.01981297736113)</f>
        <v>-1.019812977</v>
      </c>
      <c r="L3635" s="165">
        <f>IFERROR(__xludf.DUMMYFUNCTION("""COMPUTED_VALUE"""),2.04530551445148)</f>
        <v>2.045305514</v>
      </c>
      <c r="M3635" s="166">
        <f t="shared" si="2"/>
        <v>1.080018503</v>
      </c>
      <c r="N3635" s="167">
        <f t="shared" si="3"/>
        <v>16.68522989</v>
      </c>
      <c r="O3635" s="163">
        <f t="shared" ref="O3635:Q3635" si="3639">rank(I3635,I:I)</f>
        <v>490</v>
      </c>
      <c r="P3635" s="163">
        <f t="shared" si="3639"/>
        <v>650</v>
      </c>
      <c r="Q3635" s="163">
        <f t="shared" si="3639"/>
        <v>2831</v>
      </c>
      <c r="R3635" s="163">
        <f>IFERROR(__xludf.DUMMYFUNCTION("RANK(M3635,filter(M:M,C:C=C3635))"),114.0)</f>
        <v>114</v>
      </c>
      <c r="S3635" s="161" t="b">
        <f t="shared" si="5"/>
        <v>0</v>
      </c>
      <c r="T3635" s="161" t="b">
        <f t="array" ref="T3635">index('Query Tool'!B:B,match(H3635,'Query Tool'!C:C,0))</f>
        <v>1</v>
      </c>
      <c r="U3635" s="161" t="b">
        <f t="array" ref="U3635">index('Query Tool'!B:B,match(C3635,'Query Tool'!C:C,0))</f>
        <v>1</v>
      </c>
      <c r="V3635" s="161" t="b">
        <f>F3635&gt;='Query Tool'!C$32</f>
        <v>0</v>
      </c>
      <c r="W3635" s="161" t="b">
        <f t="array" ref="W3635">index(Dropdowns!B:B,match(I3635,Dropdowns!A:A,0))</f>
        <v>1</v>
      </c>
      <c r="X3635" s="161" t="b">
        <f t="array" ref="X3635">index('Query Tool'!B:B,match(D3635,'Query Tool'!C:C,0))</f>
        <v>1</v>
      </c>
      <c r="Y3635" s="161" t="str">
        <f t="shared" si="6"/>
        <v>bazemke01,2020-21</v>
      </c>
      <c r="Z3635" s="168" t="str">
        <f t="array" ref="Z3635">iferror(index(I:I,match($A3635&amp;","&amp;index('Year Conversion'!$A:$A,match($C3635,'Year Conversion'!$B:$B,0)),$Y:$Y,0))-I3635,"")</f>
        <v/>
      </c>
      <c r="AA3635" s="168" t="str">
        <f t="array" ref="AA3635">iferror(index(J:J,match($A3635&amp;","&amp;index('Year Conversion'!$A:$A,match($C3635,'Year Conversion'!$B:$B,0)),$Y:$Y,0))-J3635,"")</f>
        <v/>
      </c>
      <c r="AB3635" s="168" t="str">
        <f t="array" ref="AB3635">iferror(index(K:K,match($A3635&amp;","&amp;index('Year Conversion'!$A:$A,match($C3635,'Year Conversion'!$B:$B,0)),$Y:$Y,0))-K3635,"")</f>
        <v/>
      </c>
      <c r="AC3635" s="168" t="str">
        <f t="shared" si="7"/>
        <v>GSW,2020-21</v>
      </c>
    </row>
    <row r="3636">
      <c r="A3636" s="161" t="str">
        <f>IFERROR(__xludf.DUMMYFUNCTION("""COMPUTED_VALUE"""),"holidju01")</f>
        <v>holidju01</v>
      </c>
      <c r="B3636" s="161" t="str">
        <f>IFERROR(__xludf.DUMMYFUNCTION("""COMPUTED_VALUE"""),"Justin Holiday")</f>
        <v>Justin Holiday</v>
      </c>
      <c r="C3636" s="162" t="str">
        <f>IFERROR(__xludf.DUMMYFUNCTION("""COMPUTED_VALUE"""),"2020-21")</f>
        <v>2020-21</v>
      </c>
      <c r="D3636" s="163" t="str">
        <f>IFERROR(__xludf.DUMMYFUNCTION("""COMPUTED_VALUE"""),"IND")</f>
        <v>IND</v>
      </c>
      <c r="E3636" s="164" t="str">
        <f>IFERROR(__xludf.DUMMYFUNCTION("""COMPUTED_VALUE"""),"Movement Shooter")</f>
        <v>Movement Shooter</v>
      </c>
      <c r="F3636" s="164">
        <f>IFERROR(__xludf.DUMMYFUNCTION("""COMPUTED_VALUE"""),935.388333333333)</f>
        <v>935.3883333</v>
      </c>
      <c r="G3636" s="163">
        <f>IFERROR(__xludf.DUMMYFUNCTION("""COMPUTED_VALUE"""),29.0)</f>
        <v>29</v>
      </c>
      <c r="H3636" s="163" t="str">
        <f>IFERROR(__xludf.DUMMYFUNCTION("""COMPUTED_VALUE"""),"SG")</f>
        <v>SG</v>
      </c>
      <c r="I3636" s="163">
        <f>IFERROR(__xludf.DUMMYFUNCTION("""COMPUTED_VALUE"""),31.0)</f>
        <v>31</v>
      </c>
      <c r="J3636" s="165">
        <f>IFERROR(__xludf.DUMMYFUNCTION("""COMPUTED_VALUE"""),0.105126166888291)</f>
        <v>0.1051261669</v>
      </c>
      <c r="K3636" s="165">
        <f>IFERROR(__xludf.DUMMYFUNCTION("""COMPUTED_VALUE"""),-0.801232509636734)</f>
        <v>-0.8012325096</v>
      </c>
      <c r="L3636" s="165">
        <f>IFERROR(__xludf.DUMMYFUNCTION("""COMPUTED_VALUE"""),0.906358676525025)</f>
        <v>0.9063586765</v>
      </c>
      <c r="M3636" s="166">
        <f t="shared" si="2"/>
        <v>1.508351636</v>
      </c>
      <c r="N3636" s="167">
        <f t="shared" si="3"/>
        <v>32.25477011</v>
      </c>
      <c r="O3636" s="163">
        <f t="shared" ref="O3636:Q3636" si="3640">rank(I3636,I:I)</f>
        <v>490</v>
      </c>
      <c r="P3636" s="163">
        <f t="shared" si="3640"/>
        <v>1184</v>
      </c>
      <c r="Q3636" s="163">
        <f t="shared" si="3640"/>
        <v>2557</v>
      </c>
      <c r="R3636" s="163">
        <f>IFERROR(__xludf.DUMMYFUNCTION("RANK(M3636,filter(M:M,C:C=C3636))"),79.0)</f>
        <v>79</v>
      </c>
      <c r="S3636" s="161" t="b">
        <f t="shared" si="5"/>
        <v>1</v>
      </c>
      <c r="T3636" s="161" t="b">
        <f t="array" ref="T3636">index('Query Tool'!B:B,match(H3636,'Query Tool'!C:C,0))</f>
        <v>1</v>
      </c>
      <c r="U3636" s="161" t="b">
        <f t="array" ref="U3636">index('Query Tool'!B:B,match(C3636,'Query Tool'!C:C,0))</f>
        <v>1</v>
      </c>
      <c r="V3636" s="161" t="b">
        <f>F3636&gt;='Query Tool'!C$32</f>
        <v>1</v>
      </c>
      <c r="W3636" s="161" t="b">
        <f t="array" ref="W3636">index(Dropdowns!B:B,match(I3636,Dropdowns!A:A,0))</f>
        <v>1</v>
      </c>
      <c r="X3636" s="161" t="b">
        <f t="array" ref="X3636">index('Query Tool'!B:B,match(D3636,'Query Tool'!C:C,0))</f>
        <v>1</v>
      </c>
      <c r="Y3636" s="161" t="str">
        <f t="shared" si="6"/>
        <v>holidju01,2020-21</v>
      </c>
      <c r="Z3636" s="168" t="str">
        <f t="array" ref="Z3636">iferror(index(I:I,match($A3636&amp;","&amp;index('Year Conversion'!$A:$A,match($C3636,'Year Conversion'!$B:$B,0)),$Y:$Y,0))-I3636,"")</f>
        <v/>
      </c>
      <c r="AA3636" s="168" t="str">
        <f t="array" ref="AA3636">iferror(index(J:J,match($A3636&amp;","&amp;index('Year Conversion'!$A:$A,match($C3636,'Year Conversion'!$B:$B,0)),$Y:$Y,0))-J3636,"")</f>
        <v/>
      </c>
      <c r="AB3636" s="168" t="str">
        <f t="array" ref="AB3636">iferror(index(K:K,match($A3636&amp;","&amp;index('Year Conversion'!$A:$A,match($C3636,'Year Conversion'!$B:$B,0)),$Y:$Y,0))-K3636,"")</f>
        <v/>
      </c>
      <c r="AC3636" s="168" t="str">
        <f t="shared" si="7"/>
        <v>IND,2020-21</v>
      </c>
    </row>
    <row r="3637">
      <c r="A3637" s="161" t="str">
        <f>IFERROR(__xludf.DUMMYFUNCTION("""COMPUTED_VALUE"""),"greenja01")</f>
        <v>greenja01</v>
      </c>
      <c r="B3637" s="161" t="str">
        <f>IFERROR(__xludf.DUMMYFUNCTION("""COMPUTED_VALUE"""),"JaMychal Green")</f>
        <v>JaMychal Green</v>
      </c>
      <c r="C3637" s="162" t="str">
        <f>IFERROR(__xludf.DUMMYFUNCTION("""COMPUTED_VALUE"""),"2020-21")</f>
        <v>2020-21</v>
      </c>
      <c r="D3637" s="163" t="str">
        <f>IFERROR(__xludf.DUMMYFUNCTION("""COMPUTED_VALUE"""),"DEN")</f>
        <v>DEN</v>
      </c>
      <c r="E3637" s="164" t="str">
        <f>IFERROR(__xludf.DUMMYFUNCTION("""COMPUTED_VALUE"""),"Stretch Big")</f>
        <v>Stretch Big</v>
      </c>
      <c r="F3637" s="164">
        <f>IFERROR(__xludf.DUMMYFUNCTION("""COMPUTED_VALUE"""),511.785)</f>
        <v>511.785</v>
      </c>
      <c r="G3637" s="163">
        <f>IFERROR(__xludf.DUMMYFUNCTION("""COMPUTED_VALUE"""),25.0)</f>
        <v>25</v>
      </c>
      <c r="H3637" s="163" t="str">
        <f>IFERROR(__xludf.DUMMYFUNCTION("""COMPUTED_VALUE"""),"PF")</f>
        <v>PF</v>
      </c>
      <c r="I3637" s="163">
        <f>IFERROR(__xludf.DUMMYFUNCTION("""COMPUTED_VALUE"""),30.0)</f>
        <v>30</v>
      </c>
      <c r="J3637" s="165">
        <f>IFERROR(__xludf.DUMMYFUNCTION("""COMPUTED_VALUE"""),-0.75224447150344)</f>
        <v>-0.7522444715</v>
      </c>
      <c r="K3637" s="165">
        <f>IFERROR(__xludf.DUMMYFUNCTION("""COMPUTED_VALUE"""),-0.628224119849614)</f>
        <v>-0.6282241198</v>
      </c>
      <c r="L3637" s="165">
        <f>IFERROR(__xludf.DUMMYFUNCTION("""COMPUTED_VALUE"""),-0.124020351653826)</f>
        <v>-0.1240203517</v>
      </c>
      <c r="M3637" s="166">
        <f t="shared" si="2"/>
        <v>0.5296511094</v>
      </c>
      <c r="N3637" s="167">
        <f t="shared" si="3"/>
        <v>20.4714</v>
      </c>
      <c r="O3637" s="163">
        <f t="shared" ref="O3637:Q3637" si="3641">rank(I3637,I:I)</f>
        <v>655</v>
      </c>
      <c r="P3637" s="163">
        <f t="shared" si="3641"/>
        <v>2220</v>
      </c>
      <c r="Q3637" s="163">
        <f t="shared" si="3641"/>
        <v>2305</v>
      </c>
      <c r="R3637" s="163">
        <f>IFERROR(__xludf.DUMMYFUNCTION("RANK(M3637,filter(M:M,C:C=C3637))"),185.0)</f>
        <v>185</v>
      </c>
      <c r="S3637" s="161" t="b">
        <f t="shared" si="5"/>
        <v>1</v>
      </c>
      <c r="T3637" s="161" t="b">
        <f t="array" ref="T3637">index('Query Tool'!B:B,match(H3637,'Query Tool'!C:C,0))</f>
        <v>1</v>
      </c>
      <c r="U3637" s="161" t="b">
        <f t="array" ref="U3637">index('Query Tool'!B:B,match(C3637,'Query Tool'!C:C,0))</f>
        <v>1</v>
      </c>
      <c r="V3637" s="161" t="b">
        <f>F3637&gt;='Query Tool'!C$32</f>
        <v>1</v>
      </c>
      <c r="W3637" s="161" t="b">
        <f t="array" ref="W3637">index(Dropdowns!B:B,match(I3637,Dropdowns!A:A,0))</f>
        <v>1</v>
      </c>
      <c r="X3637" s="161" t="b">
        <f t="array" ref="X3637">index('Query Tool'!B:B,match(D3637,'Query Tool'!C:C,0))</f>
        <v>1</v>
      </c>
      <c r="Y3637" s="161" t="str">
        <f t="shared" si="6"/>
        <v>greenja01,2020-21</v>
      </c>
      <c r="Z3637" s="168" t="str">
        <f t="array" ref="Z3637">iferror(index(I:I,match($A3637&amp;","&amp;index('Year Conversion'!$A:$A,match($C3637,'Year Conversion'!$B:$B,0)),$Y:$Y,0))-I3637,"")</f>
        <v/>
      </c>
      <c r="AA3637" s="168" t="str">
        <f t="array" ref="AA3637">iferror(index(J:J,match($A3637&amp;","&amp;index('Year Conversion'!$A:$A,match($C3637,'Year Conversion'!$B:$B,0)),$Y:$Y,0))-J3637,"")</f>
        <v/>
      </c>
      <c r="AB3637" s="168" t="str">
        <f t="array" ref="AB3637">iferror(index(K:K,match($A3637&amp;","&amp;index('Year Conversion'!$A:$A,match($C3637,'Year Conversion'!$B:$B,0)),$Y:$Y,0))-K3637,"")</f>
        <v/>
      </c>
      <c r="AC3637" s="168" t="str">
        <f t="shared" si="7"/>
        <v>DEN,2020-21</v>
      </c>
    </row>
    <row r="3638">
      <c r="A3638" s="161" t="str">
        <f>IFERROR(__xludf.DUMMYFUNCTION("""COMPUTED_VALUE"""),"baynear01")</f>
        <v>baynear01</v>
      </c>
      <c r="B3638" s="161" t="str">
        <f>IFERROR(__xludf.DUMMYFUNCTION("""COMPUTED_VALUE"""),"Aron Baynes")</f>
        <v>Aron Baynes</v>
      </c>
      <c r="C3638" s="162" t="str">
        <f>IFERROR(__xludf.DUMMYFUNCTION("""COMPUTED_VALUE"""),"2020-21")</f>
        <v>2020-21</v>
      </c>
      <c r="D3638" s="163" t="str">
        <f>IFERROR(__xludf.DUMMYFUNCTION("""COMPUTED_VALUE"""),"TOR")</f>
        <v>TOR</v>
      </c>
      <c r="E3638" s="164" t="str">
        <f>IFERROR(__xludf.DUMMYFUNCTION("""COMPUTED_VALUE"""),"Stretch Big")</f>
        <v>Stretch Big</v>
      </c>
      <c r="F3638" s="164">
        <f>IFERROR(__xludf.DUMMYFUNCTION("""COMPUTED_VALUE"""),533.525)</f>
        <v>533.525</v>
      </c>
      <c r="G3638" s="163">
        <f>IFERROR(__xludf.DUMMYFUNCTION("""COMPUTED_VALUE"""),28.0)</f>
        <v>28</v>
      </c>
      <c r="H3638" s="163" t="str">
        <f>IFERROR(__xludf.DUMMYFUNCTION("""COMPUTED_VALUE"""),"C")</f>
        <v>C</v>
      </c>
      <c r="I3638" s="163">
        <f>IFERROR(__xludf.DUMMYFUNCTION("""COMPUTED_VALUE"""),34.0)</f>
        <v>34</v>
      </c>
      <c r="J3638" s="165">
        <f>IFERROR(__xludf.DUMMYFUNCTION("""COMPUTED_VALUE"""),-1.96528525967838)</f>
        <v>-1.96528526</v>
      </c>
      <c r="K3638" s="165">
        <f>IFERROR(__xludf.DUMMYFUNCTION("""COMPUTED_VALUE"""),-2.24800574115193)</f>
        <v>-2.248005741</v>
      </c>
      <c r="L3638" s="165">
        <f>IFERROR(__xludf.DUMMYFUNCTION("""COMPUTED_VALUE"""),0.282720481473557)</f>
        <v>0.2827204815</v>
      </c>
      <c r="M3638" s="166">
        <f t="shared" si="2"/>
        <v>0.1193789586</v>
      </c>
      <c r="N3638" s="167">
        <f t="shared" si="3"/>
        <v>19.05446429</v>
      </c>
      <c r="O3638" s="163">
        <f t="shared" ref="O3638:Q3638" si="3642">rank(I3638,I:I)</f>
        <v>164</v>
      </c>
      <c r="P3638" s="163">
        <f t="shared" si="3642"/>
        <v>3453</v>
      </c>
      <c r="Q3638" s="163">
        <f t="shared" si="3642"/>
        <v>3818</v>
      </c>
      <c r="R3638" s="163">
        <f>IFERROR(__xludf.DUMMYFUNCTION("RANK(M3638,filter(M:M,C:C=C3638))"),318.0)</f>
        <v>318</v>
      </c>
      <c r="S3638" s="161" t="b">
        <f t="shared" si="5"/>
        <v>1</v>
      </c>
      <c r="T3638" s="161" t="b">
        <f t="array" ref="T3638">index('Query Tool'!B:B,match(H3638,'Query Tool'!C:C,0))</f>
        <v>1</v>
      </c>
      <c r="U3638" s="161" t="b">
        <f t="array" ref="U3638">index('Query Tool'!B:B,match(C3638,'Query Tool'!C:C,0))</f>
        <v>1</v>
      </c>
      <c r="V3638" s="161" t="b">
        <f>F3638&gt;='Query Tool'!C$32</f>
        <v>1</v>
      </c>
      <c r="W3638" s="161" t="b">
        <f t="array" ref="W3638">index(Dropdowns!B:B,match(I3638,Dropdowns!A:A,0))</f>
        <v>1</v>
      </c>
      <c r="X3638" s="161" t="b">
        <f t="array" ref="X3638">index('Query Tool'!B:B,match(D3638,'Query Tool'!C:C,0))</f>
        <v>1</v>
      </c>
      <c r="Y3638" s="161" t="str">
        <f t="shared" si="6"/>
        <v>baynear01,2020-21</v>
      </c>
      <c r="Z3638" s="168" t="str">
        <f t="array" ref="Z3638">iferror(index(I:I,match($A3638&amp;","&amp;index('Year Conversion'!$A:$A,match($C3638,'Year Conversion'!$B:$B,0)),$Y:$Y,0))-I3638,"")</f>
        <v/>
      </c>
      <c r="AA3638" s="168" t="str">
        <f t="array" ref="AA3638">iferror(index(J:J,match($A3638&amp;","&amp;index('Year Conversion'!$A:$A,match($C3638,'Year Conversion'!$B:$B,0)),$Y:$Y,0))-J3638,"")</f>
        <v/>
      </c>
      <c r="AB3638" s="168" t="str">
        <f t="array" ref="AB3638">iferror(index(K:K,match($A3638&amp;","&amp;index('Year Conversion'!$A:$A,match($C3638,'Year Conversion'!$B:$B,0)),$Y:$Y,0))-K3638,"")</f>
        <v/>
      </c>
      <c r="AC3638" s="168" t="str">
        <f t="shared" si="7"/>
        <v>TOR,2020-21</v>
      </c>
    </row>
    <row r="3639">
      <c r="A3639" s="161" t="str">
        <f>IFERROR(__xludf.DUMMYFUNCTION("""COMPUTED_VALUE"""),"noelne01")</f>
        <v>noelne01</v>
      </c>
      <c r="B3639" s="161" t="str">
        <f>IFERROR(__xludf.DUMMYFUNCTION("""COMPUTED_VALUE"""),"Nerlens Noel")</f>
        <v>Nerlens Noel</v>
      </c>
      <c r="C3639" s="162" t="str">
        <f>IFERROR(__xludf.DUMMYFUNCTION("""COMPUTED_VALUE"""),"2020-21")</f>
        <v>2020-21</v>
      </c>
      <c r="D3639" s="163" t="str">
        <f>IFERROR(__xludf.DUMMYFUNCTION("""COMPUTED_VALUE"""),"NYK")</f>
        <v>NYK</v>
      </c>
      <c r="E3639" s="164" t="str">
        <f>IFERROR(__xludf.DUMMYFUNCTION("""COMPUTED_VALUE"""),"Roll + Cut Big")</f>
        <v>Roll + Cut Big</v>
      </c>
      <c r="F3639" s="164">
        <f>IFERROR(__xludf.DUMMYFUNCTION("""COMPUTED_VALUE"""),503.393333333333)</f>
        <v>503.3933333</v>
      </c>
      <c r="G3639" s="163">
        <f>IFERROR(__xludf.DUMMYFUNCTION("""COMPUTED_VALUE"""),26.0)</f>
        <v>26</v>
      </c>
      <c r="H3639" s="163" t="str">
        <f>IFERROR(__xludf.DUMMYFUNCTION("""COMPUTED_VALUE"""),"C")</f>
        <v>C</v>
      </c>
      <c r="I3639" s="163">
        <f>IFERROR(__xludf.DUMMYFUNCTION("""COMPUTED_VALUE"""),26.0)</f>
        <v>26</v>
      </c>
      <c r="J3639" s="165">
        <f>IFERROR(__xludf.DUMMYFUNCTION("""COMPUTED_VALUE"""),-0.948980530466545)</f>
        <v>-0.9489805305</v>
      </c>
      <c r="K3639" s="165">
        <f>IFERROR(__xludf.DUMMYFUNCTION("""COMPUTED_VALUE"""),-3.5732737505657)</f>
        <v>-3.573273751</v>
      </c>
      <c r="L3639" s="165">
        <f>IFERROR(__xludf.DUMMYFUNCTION("""COMPUTED_VALUE"""),2.62429322009916)</f>
        <v>2.62429322</v>
      </c>
      <c r="M3639" s="166">
        <f t="shared" si="2"/>
        <v>0.4543995053</v>
      </c>
      <c r="N3639" s="167">
        <f t="shared" si="3"/>
        <v>19.36128205</v>
      </c>
      <c r="O3639" s="163">
        <f t="shared" ref="O3639:Q3639" si="3643">rank(I3639,I:I)</f>
        <v>1665</v>
      </c>
      <c r="P3639" s="163">
        <f t="shared" si="3643"/>
        <v>2448</v>
      </c>
      <c r="Q3639" s="163">
        <f t="shared" si="3643"/>
        <v>4008</v>
      </c>
      <c r="R3639" s="163">
        <f>IFERROR(__xludf.DUMMYFUNCTION("RANK(M3639,filter(M:M,C:C=C3639))"),201.0)</f>
        <v>201</v>
      </c>
      <c r="S3639" s="161" t="b">
        <f t="shared" si="5"/>
        <v>1</v>
      </c>
      <c r="T3639" s="161" t="b">
        <f t="array" ref="T3639">index('Query Tool'!B:B,match(H3639,'Query Tool'!C:C,0))</f>
        <v>1</v>
      </c>
      <c r="U3639" s="161" t="b">
        <f t="array" ref="U3639">index('Query Tool'!B:B,match(C3639,'Query Tool'!C:C,0))</f>
        <v>1</v>
      </c>
      <c r="V3639" s="161" t="b">
        <f>F3639&gt;='Query Tool'!C$32</f>
        <v>1</v>
      </c>
      <c r="W3639" s="161" t="b">
        <f t="array" ref="W3639">index(Dropdowns!B:B,match(I3639,Dropdowns!A:A,0))</f>
        <v>1</v>
      </c>
      <c r="X3639" s="161" t="b">
        <f t="array" ref="X3639">index('Query Tool'!B:B,match(D3639,'Query Tool'!C:C,0))</f>
        <v>1</v>
      </c>
      <c r="Y3639" s="161" t="str">
        <f t="shared" si="6"/>
        <v>noelne01,2020-21</v>
      </c>
      <c r="Z3639" s="168" t="str">
        <f t="array" ref="Z3639">iferror(index(I:I,match($A3639&amp;","&amp;index('Year Conversion'!$A:$A,match($C3639,'Year Conversion'!$B:$B,0)),$Y:$Y,0))-I3639,"")</f>
        <v/>
      </c>
      <c r="AA3639" s="168" t="str">
        <f t="array" ref="AA3639">iferror(index(J:J,match($A3639&amp;","&amp;index('Year Conversion'!$A:$A,match($C3639,'Year Conversion'!$B:$B,0)),$Y:$Y,0))-J3639,"")</f>
        <v/>
      </c>
      <c r="AB3639" s="168" t="str">
        <f t="array" ref="AB3639">iferror(index(K:K,match($A3639&amp;","&amp;index('Year Conversion'!$A:$A,match($C3639,'Year Conversion'!$B:$B,0)),$Y:$Y,0))-K3639,"")</f>
        <v/>
      </c>
      <c r="AC3639" s="168" t="str">
        <f t="shared" si="7"/>
        <v>NYK,2020-21</v>
      </c>
    </row>
    <row r="3640">
      <c r="A3640" s="161" t="str">
        <f>IFERROR(__xludf.DUMMYFUNCTION("""COMPUTED_VALUE"""),"lenal01")</f>
        <v>lenal01</v>
      </c>
      <c r="B3640" s="161" t="str">
        <f>IFERROR(__xludf.DUMMYFUNCTION("""COMPUTED_VALUE"""),"Alex Len")</f>
        <v>Alex Len</v>
      </c>
      <c r="C3640" s="162" t="str">
        <f>IFERROR(__xludf.DUMMYFUNCTION("""COMPUTED_VALUE"""),"2020-21")</f>
        <v>2020-21</v>
      </c>
      <c r="D3640" s="163" t="str">
        <f>IFERROR(__xludf.DUMMYFUNCTION("""COMPUTED_VALUE"""),"TOT")</f>
        <v>TOT</v>
      </c>
      <c r="E3640" s="164" t="str">
        <f>IFERROR(__xludf.DUMMYFUNCTION("""COMPUTED_VALUE"""),"Stretch Big")</f>
        <v>Stretch Big</v>
      </c>
      <c r="F3640" s="164">
        <f>IFERROR(__xludf.DUMMYFUNCTION("""COMPUTED_VALUE"""),297.42)</f>
        <v>297.42</v>
      </c>
      <c r="G3640" s="163">
        <f>IFERROR(__xludf.DUMMYFUNCTION("""COMPUTED_VALUE"""),21.0)</f>
        <v>21</v>
      </c>
      <c r="H3640" s="163" t="str">
        <f>IFERROR(__xludf.DUMMYFUNCTION("""COMPUTED_VALUE"""),"C")</f>
        <v>C</v>
      </c>
      <c r="I3640" s="163">
        <f>IFERROR(__xludf.DUMMYFUNCTION("""COMPUTED_VALUE"""),27.0)</f>
        <v>27</v>
      </c>
      <c r="J3640" s="165">
        <f>IFERROR(__xludf.DUMMYFUNCTION("""COMPUTED_VALUE"""),-0.333375137091767)</f>
        <v>-0.3333751371</v>
      </c>
      <c r="K3640" s="165">
        <f>IFERROR(__xludf.DUMMYFUNCTION("""COMPUTED_VALUE"""),-1.41794118756499)</f>
        <v>-1.417941188</v>
      </c>
      <c r="L3640" s="165">
        <f>IFERROR(__xludf.DUMMYFUNCTION("""COMPUTED_VALUE"""),1.08456605047322)</f>
        <v>1.08456605</v>
      </c>
      <c r="M3640" s="166">
        <f t="shared" si="2"/>
        <v>0.3916852582</v>
      </c>
      <c r="N3640" s="167">
        <f t="shared" si="3"/>
        <v>14.16285714</v>
      </c>
      <c r="O3640" s="163">
        <f t="shared" ref="O3640:Q3640" si="3644">rank(I3640,I:I)</f>
        <v>1366</v>
      </c>
      <c r="P3640" s="163">
        <f t="shared" si="3644"/>
        <v>1651</v>
      </c>
      <c r="Q3640" s="163">
        <f t="shared" si="3644"/>
        <v>3267</v>
      </c>
      <c r="R3640" s="163">
        <f>IFERROR(__xludf.DUMMYFUNCTION("RANK(M3640,filter(M:M,C:C=C3640))"),220.0)</f>
        <v>220</v>
      </c>
      <c r="S3640" s="161" t="b">
        <f t="shared" si="5"/>
        <v>0</v>
      </c>
      <c r="T3640" s="161" t="b">
        <f t="array" ref="T3640">index('Query Tool'!B:B,match(H3640,'Query Tool'!C:C,0))</f>
        <v>1</v>
      </c>
      <c r="U3640" s="161" t="b">
        <f t="array" ref="U3640">index('Query Tool'!B:B,match(C3640,'Query Tool'!C:C,0))</f>
        <v>1</v>
      </c>
      <c r="V3640" s="161" t="b">
        <f>F3640&gt;='Query Tool'!C$32</f>
        <v>0</v>
      </c>
      <c r="W3640" s="161" t="b">
        <f t="array" ref="W3640">index(Dropdowns!B:B,match(I3640,Dropdowns!A:A,0))</f>
        <v>1</v>
      </c>
      <c r="X3640" s="161" t="b">
        <f t="array" ref="X3640">index('Query Tool'!B:B,match(D3640,'Query Tool'!C:C,0))</f>
        <v>1</v>
      </c>
      <c r="Y3640" s="161" t="str">
        <f t="shared" si="6"/>
        <v>lenal01,2020-21</v>
      </c>
      <c r="Z3640" s="168" t="str">
        <f t="array" ref="Z3640">iferror(index(I:I,match($A3640&amp;","&amp;index('Year Conversion'!$A:$A,match($C3640,'Year Conversion'!$B:$B,0)),$Y:$Y,0))-I3640,"")</f>
        <v/>
      </c>
      <c r="AA3640" s="168" t="str">
        <f t="array" ref="AA3640">iferror(index(J:J,match($A3640&amp;","&amp;index('Year Conversion'!$A:$A,match($C3640,'Year Conversion'!$B:$B,0)),$Y:$Y,0))-J3640,"")</f>
        <v/>
      </c>
      <c r="AB3640" s="168" t="str">
        <f t="array" ref="AB3640">iferror(index(K:K,match($A3640&amp;","&amp;index('Year Conversion'!$A:$A,match($C3640,'Year Conversion'!$B:$B,0)),$Y:$Y,0))-K3640,"")</f>
        <v/>
      </c>
      <c r="AC3640" s="168" t="str">
        <f t="shared" si="7"/>
        <v>TOT,2020-21</v>
      </c>
    </row>
    <row r="3641">
      <c r="A3641" s="161" t="str">
        <f>IFERROR(__xludf.DUMMYFUNCTION("""COMPUTED_VALUE"""),"mclembe01")</f>
        <v>mclembe01</v>
      </c>
      <c r="B3641" s="161" t="str">
        <f>IFERROR(__xludf.DUMMYFUNCTION("""COMPUTED_VALUE"""),"Ben McLemore")</f>
        <v>Ben McLemore</v>
      </c>
      <c r="C3641" s="162" t="str">
        <f>IFERROR(__xludf.DUMMYFUNCTION("""COMPUTED_VALUE"""),"2020-21")</f>
        <v>2020-21</v>
      </c>
      <c r="D3641" s="163" t="str">
        <f>IFERROR(__xludf.DUMMYFUNCTION("""COMPUTED_VALUE"""),"HOU")</f>
        <v>HOU</v>
      </c>
      <c r="E3641" s="164" t="str">
        <f>IFERROR(__xludf.DUMMYFUNCTION("""COMPUTED_VALUE"""),"Movement Shooter")</f>
        <v>Movement Shooter</v>
      </c>
      <c r="F3641" s="164">
        <f>IFERROR(__xludf.DUMMYFUNCTION("""COMPUTED_VALUE"""),302.865)</f>
        <v>302.865</v>
      </c>
      <c r="G3641" s="163">
        <f>IFERROR(__xludf.DUMMYFUNCTION("""COMPUTED_VALUE"""),20.0)</f>
        <v>20</v>
      </c>
      <c r="H3641" s="163" t="str">
        <f>IFERROR(__xludf.DUMMYFUNCTION("""COMPUTED_VALUE"""),"SG")</f>
        <v>SG</v>
      </c>
      <c r="I3641" s="163">
        <f>IFERROR(__xludf.DUMMYFUNCTION("""COMPUTED_VALUE"""),27.0)</f>
        <v>27</v>
      </c>
      <c r="J3641" s="165">
        <f>IFERROR(__xludf.DUMMYFUNCTION("""COMPUTED_VALUE"""),-1.50209310233355)</f>
        <v>-1.502093102</v>
      </c>
      <c r="K3641" s="165">
        <f>IFERROR(__xludf.DUMMYFUNCTION("""COMPUTED_VALUE"""),-0.763224637742976)</f>
        <v>-0.7632246377</v>
      </c>
      <c r="L3641" s="165">
        <f>IFERROR(__xludf.DUMMYFUNCTION("""COMPUTED_VALUE"""),-0.738868464590576)</f>
        <v>-0.7388684646</v>
      </c>
      <c r="M3641" s="166">
        <f t="shared" si="2"/>
        <v>0.1611644929</v>
      </c>
      <c r="N3641" s="167">
        <f t="shared" si="3"/>
        <v>15.14325</v>
      </c>
      <c r="O3641" s="163">
        <f t="shared" ref="O3641:Q3641" si="3645">rank(I3641,I:I)</f>
        <v>1366</v>
      </c>
      <c r="P3641" s="163">
        <f t="shared" si="3645"/>
        <v>3059</v>
      </c>
      <c r="Q3641" s="163">
        <f t="shared" si="3645"/>
        <v>2504</v>
      </c>
      <c r="R3641" s="163">
        <f>IFERROR(__xludf.DUMMYFUNCTION("RANK(M3641,filter(M:M,C:C=C3641))"),295.0)</f>
        <v>295</v>
      </c>
      <c r="S3641" s="161" t="b">
        <f t="shared" si="5"/>
        <v>0</v>
      </c>
      <c r="T3641" s="161" t="b">
        <f t="array" ref="T3641">index('Query Tool'!B:B,match(H3641,'Query Tool'!C:C,0))</f>
        <v>1</v>
      </c>
      <c r="U3641" s="161" t="b">
        <f t="array" ref="U3641">index('Query Tool'!B:B,match(C3641,'Query Tool'!C:C,0))</f>
        <v>1</v>
      </c>
      <c r="V3641" s="161" t="b">
        <f>F3641&gt;='Query Tool'!C$32</f>
        <v>0</v>
      </c>
      <c r="W3641" s="161" t="b">
        <f t="array" ref="W3641">index(Dropdowns!B:B,match(I3641,Dropdowns!A:A,0))</f>
        <v>1</v>
      </c>
      <c r="X3641" s="161" t="b">
        <f t="array" ref="X3641">index('Query Tool'!B:B,match(D3641,'Query Tool'!C:C,0))</f>
        <v>1</v>
      </c>
      <c r="Y3641" s="161" t="str">
        <f t="shared" si="6"/>
        <v>mclembe01,2020-21</v>
      </c>
      <c r="Z3641" s="168" t="str">
        <f t="array" ref="Z3641">iferror(index(I:I,match($A3641&amp;","&amp;index('Year Conversion'!$A:$A,match($C3641,'Year Conversion'!$B:$B,0)),$Y:$Y,0))-I3641,"")</f>
        <v/>
      </c>
      <c r="AA3641" s="168" t="str">
        <f t="array" ref="AA3641">iferror(index(J:J,match($A3641&amp;","&amp;index('Year Conversion'!$A:$A,match($C3641,'Year Conversion'!$B:$B,0)),$Y:$Y,0))-J3641,"")</f>
        <v/>
      </c>
      <c r="AB3641" s="168" t="str">
        <f t="array" ref="AB3641">iferror(index(K:K,match($A3641&amp;","&amp;index('Year Conversion'!$A:$A,match($C3641,'Year Conversion'!$B:$B,0)),$Y:$Y,0))-K3641,"")</f>
        <v/>
      </c>
      <c r="AC3641" s="168" t="str">
        <f t="shared" si="7"/>
        <v>HOU,2020-21</v>
      </c>
    </row>
    <row r="3642">
      <c r="A3642" s="161" t="str">
        <f>IFERROR(__xludf.DUMMYFUNCTION("""COMPUTED_VALUE"""),"mccolcj01")</f>
        <v>mccolcj01</v>
      </c>
      <c r="B3642" s="161" t="str">
        <f>IFERROR(__xludf.DUMMYFUNCTION("""COMPUTED_VALUE"""),"CJ McCollum")</f>
        <v>CJ McCollum</v>
      </c>
      <c r="C3642" s="162" t="str">
        <f>IFERROR(__xludf.DUMMYFUNCTION("""COMPUTED_VALUE"""),"2020-21")</f>
        <v>2020-21</v>
      </c>
      <c r="D3642" s="163" t="str">
        <f>IFERROR(__xludf.DUMMYFUNCTION("""COMPUTED_VALUE"""),"POR")</f>
        <v>POR</v>
      </c>
      <c r="E3642" s="164" t="str">
        <f>IFERROR(__xludf.DUMMYFUNCTION("""COMPUTED_VALUE"""),"Shot Creator")</f>
        <v>Shot Creator</v>
      </c>
      <c r="F3642" s="164">
        <f>IFERROR(__xludf.DUMMYFUNCTION("""COMPUTED_VALUE"""),439.983333333333)</f>
        <v>439.9833333</v>
      </c>
      <c r="G3642" s="163">
        <f>IFERROR(__xludf.DUMMYFUNCTION("""COMPUTED_VALUE"""),13.0)</f>
        <v>13</v>
      </c>
      <c r="H3642" s="163" t="str">
        <f>IFERROR(__xludf.DUMMYFUNCTION("""COMPUTED_VALUE"""),"SG")</f>
        <v>SG</v>
      </c>
      <c r="I3642" s="163">
        <f>IFERROR(__xludf.DUMMYFUNCTION("""COMPUTED_VALUE"""),29.0)</f>
        <v>29</v>
      </c>
      <c r="J3642" s="165">
        <f>IFERROR(__xludf.DUMMYFUNCTION("""COMPUTED_VALUE"""),2.83377364136087)</f>
        <v>2.833773641</v>
      </c>
      <c r="K3642" s="165">
        <f>IFERROR(__xludf.DUMMYFUNCTION("""COMPUTED_VALUE"""),4.21811845457541)</f>
        <v>4.218118455</v>
      </c>
      <c r="L3642" s="165">
        <f>IFERROR(__xludf.DUMMYFUNCTION("""COMPUTED_VALUE"""),-1.38434481321454)</f>
        <v>-1.384344813</v>
      </c>
      <c r="M3642" s="166">
        <f t="shared" si="2"/>
        <v>1.509642751</v>
      </c>
      <c r="N3642" s="167">
        <f t="shared" si="3"/>
        <v>33.84487179</v>
      </c>
      <c r="O3642" s="163">
        <f t="shared" ref="O3642:Q3642" si="3646">rank(I3642,I:I)</f>
        <v>855</v>
      </c>
      <c r="P3642" s="163">
        <f t="shared" si="3646"/>
        <v>186</v>
      </c>
      <c r="Q3642" s="163">
        <f t="shared" si="3646"/>
        <v>52</v>
      </c>
      <c r="R3642" s="163">
        <f>IFERROR(__xludf.DUMMYFUNCTION("RANK(M3642,filter(M:M,C:C=C3642))"),78.0)</f>
        <v>78</v>
      </c>
      <c r="S3642" s="161" t="b">
        <f t="shared" si="5"/>
        <v>0</v>
      </c>
      <c r="T3642" s="161" t="b">
        <f t="array" ref="T3642">index('Query Tool'!B:B,match(H3642,'Query Tool'!C:C,0))</f>
        <v>1</v>
      </c>
      <c r="U3642" s="161" t="b">
        <f t="array" ref="U3642">index('Query Tool'!B:B,match(C3642,'Query Tool'!C:C,0))</f>
        <v>1</v>
      </c>
      <c r="V3642" s="161" t="b">
        <f>F3642&gt;='Query Tool'!C$32</f>
        <v>0</v>
      </c>
      <c r="W3642" s="161" t="b">
        <f t="array" ref="W3642">index(Dropdowns!B:B,match(I3642,Dropdowns!A:A,0))</f>
        <v>1</v>
      </c>
      <c r="X3642" s="161" t="b">
        <f t="array" ref="X3642">index('Query Tool'!B:B,match(D3642,'Query Tool'!C:C,0))</f>
        <v>1</v>
      </c>
      <c r="Y3642" s="161" t="str">
        <f t="shared" si="6"/>
        <v>mccolcj01,2020-21</v>
      </c>
      <c r="Z3642" s="168" t="str">
        <f t="array" ref="Z3642">iferror(index(I:I,match($A3642&amp;","&amp;index('Year Conversion'!$A:$A,match($C3642,'Year Conversion'!$B:$B,0)),$Y:$Y,0))-I3642,"")</f>
        <v/>
      </c>
      <c r="AA3642" s="168" t="str">
        <f t="array" ref="AA3642">iferror(index(J:J,match($A3642&amp;","&amp;index('Year Conversion'!$A:$A,match($C3642,'Year Conversion'!$B:$B,0)),$Y:$Y,0))-J3642,"")</f>
        <v/>
      </c>
      <c r="AB3642" s="168" t="str">
        <f t="array" ref="AB3642">iferror(index(K:K,match($A3642&amp;","&amp;index('Year Conversion'!$A:$A,match($C3642,'Year Conversion'!$B:$B,0)),$Y:$Y,0))-K3642,"")</f>
        <v/>
      </c>
      <c r="AC3642" s="168" t="str">
        <f t="shared" si="7"/>
        <v>POR,2020-21</v>
      </c>
    </row>
    <row r="3643">
      <c r="A3643" s="161" t="str">
        <f>IFERROR(__xludf.DUMMYFUNCTION("""COMPUTED_VALUE"""),"zelleco01")</f>
        <v>zelleco01</v>
      </c>
      <c r="B3643" s="161" t="str">
        <f>IFERROR(__xludf.DUMMYFUNCTION("""COMPUTED_VALUE"""),"Cody Zeller")</f>
        <v>Cody Zeller</v>
      </c>
      <c r="C3643" s="162" t="str">
        <f>IFERROR(__xludf.DUMMYFUNCTION("""COMPUTED_VALUE"""),"2020-21")</f>
        <v>2020-21</v>
      </c>
      <c r="D3643" s="163" t="str">
        <f>IFERROR(__xludf.DUMMYFUNCTION("""COMPUTED_VALUE"""),"CHO")</f>
        <v>CHO</v>
      </c>
      <c r="E3643" s="164" t="str">
        <f>IFERROR(__xludf.DUMMYFUNCTION("""COMPUTED_VALUE"""),"Roll + Cut Big")</f>
        <v>Roll + Cut Big</v>
      </c>
      <c r="F3643" s="164">
        <f>IFERROR(__xludf.DUMMYFUNCTION("""COMPUTED_VALUE"""),382.165)</f>
        <v>382.165</v>
      </c>
      <c r="G3643" s="163">
        <f>IFERROR(__xludf.DUMMYFUNCTION("""COMPUTED_VALUE"""),16.0)</f>
        <v>16</v>
      </c>
      <c r="H3643" s="163" t="str">
        <f>IFERROR(__xludf.DUMMYFUNCTION("""COMPUTED_VALUE"""),"C")</f>
        <v>C</v>
      </c>
      <c r="I3643" s="163">
        <f>IFERROR(__xludf.DUMMYFUNCTION("""COMPUTED_VALUE"""),28.0)</f>
        <v>28</v>
      </c>
      <c r="J3643" s="165">
        <f>IFERROR(__xludf.DUMMYFUNCTION("""COMPUTED_VALUE"""),0.813783141503592)</f>
        <v>0.8137831415</v>
      </c>
      <c r="K3643" s="165">
        <f>IFERROR(__xludf.DUMMYFUNCTION("""COMPUTED_VALUE"""),0.196838195036495)</f>
        <v>0.196838195</v>
      </c>
      <c r="L3643" s="165">
        <f>IFERROR(__xludf.DUMMYFUNCTION("""COMPUTED_VALUE"""),0.616944946467097)</f>
        <v>0.6169449465</v>
      </c>
      <c r="M3643" s="166">
        <f t="shared" si="2"/>
        <v>0.7986510116</v>
      </c>
      <c r="N3643" s="167">
        <f t="shared" si="3"/>
        <v>23.8853125</v>
      </c>
      <c r="O3643" s="163">
        <f t="shared" ref="O3643:Q3643" si="3647">rank(I3643,I:I)</f>
        <v>1090</v>
      </c>
      <c r="P3643" s="163">
        <f t="shared" si="3647"/>
        <v>731</v>
      </c>
      <c r="Q3643" s="163">
        <f t="shared" si="3647"/>
        <v>985</v>
      </c>
      <c r="R3643" s="163">
        <f>IFERROR(__xludf.DUMMYFUNCTION("RANK(M3643,filter(M:M,C:C=C3643))"),143.0)</f>
        <v>143</v>
      </c>
      <c r="S3643" s="161" t="b">
        <f t="shared" si="5"/>
        <v>0</v>
      </c>
      <c r="T3643" s="161" t="b">
        <f t="array" ref="T3643">index('Query Tool'!B:B,match(H3643,'Query Tool'!C:C,0))</f>
        <v>1</v>
      </c>
      <c r="U3643" s="161" t="b">
        <f t="array" ref="U3643">index('Query Tool'!B:B,match(C3643,'Query Tool'!C:C,0))</f>
        <v>1</v>
      </c>
      <c r="V3643" s="161" t="b">
        <f>F3643&gt;='Query Tool'!C$32</f>
        <v>0</v>
      </c>
      <c r="W3643" s="161" t="b">
        <f t="array" ref="W3643">index(Dropdowns!B:B,match(I3643,Dropdowns!A:A,0))</f>
        <v>1</v>
      </c>
      <c r="X3643" s="161" t="b">
        <f t="array" ref="X3643">index('Query Tool'!B:B,match(D3643,'Query Tool'!C:C,0))</f>
        <v>1</v>
      </c>
      <c r="Y3643" s="161" t="str">
        <f t="shared" si="6"/>
        <v>zelleco01,2020-21</v>
      </c>
      <c r="Z3643" s="168" t="str">
        <f t="array" ref="Z3643">iferror(index(I:I,match($A3643&amp;","&amp;index('Year Conversion'!$A:$A,match($C3643,'Year Conversion'!$B:$B,0)),$Y:$Y,0))-I3643,"")</f>
        <v/>
      </c>
      <c r="AA3643" s="168" t="str">
        <f t="array" ref="AA3643">iferror(index(J:J,match($A3643&amp;","&amp;index('Year Conversion'!$A:$A,match($C3643,'Year Conversion'!$B:$B,0)),$Y:$Y,0))-J3643,"")</f>
        <v/>
      </c>
      <c r="AB3643" s="168" t="str">
        <f t="array" ref="AB3643">iferror(index(K:K,match($A3643&amp;","&amp;index('Year Conversion'!$A:$A,match($C3643,'Year Conversion'!$B:$B,0)),$Y:$Y,0))-K3643,"")</f>
        <v/>
      </c>
      <c r="AC3643" s="168" t="str">
        <f t="shared" si="7"/>
        <v>CHO,2020-21</v>
      </c>
    </row>
    <row r="3644">
      <c r="A3644" s="161" t="str">
        <f>IFERROR(__xludf.DUMMYFUNCTION("""COMPUTED_VALUE"""),"schrode01")</f>
        <v>schrode01</v>
      </c>
      <c r="B3644" s="161" t="str">
        <f>IFERROR(__xludf.DUMMYFUNCTION("""COMPUTED_VALUE"""),"Dennis Schroder")</f>
        <v>Dennis Schroder</v>
      </c>
      <c r="C3644" s="162" t="str">
        <f>IFERROR(__xludf.DUMMYFUNCTION("""COMPUTED_VALUE"""),"2020-21")</f>
        <v>2020-21</v>
      </c>
      <c r="D3644" s="163" t="str">
        <f>IFERROR(__xludf.DUMMYFUNCTION("""COMPUTED_VALUE"""),"LAL")</f>
        <v>LAL</v>
      </c>
      <c r="E3644" s="164" t="str">
        <f>IFERROR(__xludf.DUMMYFUNCTION("""COMPUTED_VALUE"""),"Slasher")</f>
        <v>Slasher</v>
      </c>
      <c r="F3644" s="164">
        <f>IFERROR(__xludf.DUMMYFUNCTION("""COMPUTED_VALUE"""),901.618333333333)</f>
        <v>901.6183333</v>
      </c>
      <c r="G3644" s="163">
        <f>IFERROR(__xludf.DUMMYFUNCTION("""COMPUTED_VALUE"""),29.0)</f>
        <v>29</v>
      </c>
      <c r="H3644" s="163" t="str">
        <f>IFERROR(__xludf.DUMMYFUNCTION("""COMPUTED_VALUE"""),"SG")</f>
        <v>SG</v>
      </c>
      <c r="I3644" s="163">
        <f>IFERROR(__xludf.DUMMYFUNCTION("""COMPUTED_VALUE"""),27.0)</f>
        <v>27</v>
      </c>
      <c r="J3644" s="165">
        <f>IFERROR(__xludf.DUMMYFUNCTION("""COMPUTED_VALUE"""),0.0474072300106468)</f>
        <v>0.04740723001</v>
      </c>
      <c r="K3644" s="165">
        <f>IFERROR(__xludf.DUMMYFUNCTION("""COMPUTED_VALUE"""),0.157533256490282)</f>
        <v>0.1575332565</v>
      </c>
      <c r="L3644" s="165">
        <f>IFERROR(__xludf.DUMMYFUNCTION("""COMPUTED_VALUE"""),-0.110126026479635)</f>
        <v>-0.1101260265</v>
      </c>
      <c r="M3644" s="166">
        <f t="shared" si="2"/>
        <v>1.418811889</v>
      </c>
      <c r="N3644" s="167">
        <f t="shared" si="3"/>
        <v>31.09028736</v>
      </c>
      <c r="O3644" s="163">
        <f t="shared" ref="O3644:Q3644" si="3648">rank(I3644,I:I)</f>
        <v>1366</v>
      </c>
      <c r="P3644" s="163">
        <f t="shared" si="3648"/>
        <v>1244</v>
      </c>
      <c r="Q3644" s="163">
        <f t="shared" si="3648"/>
        <v>1021</v>
      </c>
      <c r="R3644" s="163">
        <f>IFERROR(__xludf.DUMMYFUNCTION("RANK(M3644,filter(M:M,C:C=C3644))"),87.0)</f>
        <v>87</v>
      </c>
      <c r="S3644" s="161" t="b">
        <f t="shared" si="5"/>
        <v>1</v>
      </c>
      <c r="T3644" s="161" t="b">
        <f t="array" ref="T3644">index('Query Tool'!B:B,match(H3644,'Query Tool'!C:C,0))</f>
        <v>1</v>
      </c>
      <c r="U3644" s="161" t="b">
        <f t="array" ref="U3644">index('Query Tool'!B:B,match(C3644,'Query Tool'!C:C,0))</f>
        <v>1</v>
      </c>
      <c r="V3644" s="161" t="b">
        <f>F3644&gt;='Query Tool'!C$32</f>
        <v>1</v>
      </c>
      <c r="W3644" s="161" t="b">
        <f t="array" ref="W3644">index(Dropdowns!B:B,match(I3644,Dropdowns!A:A,0))</f>
        <v>1</v>
      </c>
      <c r="X3644" s="161" t="b">
        <f t="array" ref="X3644">index('Query Tool'!B:B,match(D3644,'Query Tool'!C:C,0))</f>
        <v>1</v>
      </c>
      <c r="Y3644" s="161" t="str">
        <f t="shared" si="6"/>
        <v>schrode01,2020-21</v>
      </c>
      <c r="Z3644" s="168" t="str">
        <f t="array" ref="Z3644">iferror(index(I:I,match($A3644&amp;","&amp;index('Year Conversion'!$A:$A,match($C3644,'Year Conversion'!$B:$B,0)),$Y:$Y,0))-I3644,"")</f>
        <v/>
      </c>
      <c r="AA3644" s="168" t="str">
        <f t="array" ref="AA3644">iferror(index(J:J,match($A3644&amp;","&amp;index('Year Conversion'!$A:$A,match($C3644,'Year Conversion'!$B:$B,0)),$Y:$Y,0))-J3644,"")</f>
        <v/>
      </c>
      <c r="AB3644" s="168" t="str">
        <f t="array" ref="AB3644">iferror(index(K:K,match($A3644&amp;","&amp;index('Year Conversion'!$A:$A,match($C3644,'Year Conversion'!$B:$B,0)),$Y:$Y,0))-K3644,"")</f>
        <v/>
      </c>
      <c r="AC3644" s="168" t="str">
        <f t="shared" si="7"/>
        <v>LAL,2020-21</v>
      </c>
    </row>
    <row r="3645">
      <c r="A3645" s="161" t="str">
        <f>IFERROR(__xludf.DUMMYFUNCTION("""COMPUTED_VALUE"""),"dienggo01")</f>
        <v>dienggo01</v>
      </c>
      <c r="B3645" s="161" t="str">
        <f>IFERROR(__xludf.DUMMYFUNCTION("""COMPUTED_VALUE"""),"Gorgui Dieng")</f>
        <v>Gorgui Dieng</v>
      </c>
      <c r="C3645" s="162" t="str">
        <f>IFERROR(__xludf.DUMMYFUNCTION("""COMPUTED_VALUE"""),"2020-21")</f>
        <v>2020-21</v>
      </c>
      <c r="D3645" s="163" t="str">
        <f>IFERROR(__xludf.DUMMYFUNCTION("""COMPUTED_VALUE"""),"MEM")</f>
        <v>MEM</v>
      </c>
      <c r="E3645" s="164" t="str">
        <f>IFERROR(__xludf.DUMMYFUNCTION("""COMPUTED_VALUE"""),"Stretch Big")</f>
        <v>Stretch Big</v>
      </c>
      <c r="F3645" s="164">
        <f>IFERROR(__xludf.DUMMYFUNCTION("""COMPUTED_VALUE"""),359.228333333333)</f>
        <v>359.2283333</v>
      </c>
      <c r="G3645" s="163">
        <f>IFERROR(__xludf.DUMMYFUNCTION("""COMPUTED_VALUE"""),20.0)</f>
        <v>20</v>
      </c>
      <c r="H3645" s="163" t="str">
        <f>IFERROR(__xludf.DUMMYFUNCTION("""COMPUTED_VALUE"""),"C")</f>
        <v>C</v>
      </c>
      <c r="I3645" s="163">
        <f>IFERROR(__xludf.DUMMYFUNCTION("""COMPUTED_VALUE"""),31.0)</f>
        <v>31</v>
      </c>
      <c r="J3645" s="165">
        <f>IFERROR(__xludf.DUMMYFUNCTION("""COMPUTED_VALUE"""),-0.134390657852538)</f>
        <v>-0.1343906579</v>
      </c>
      <c r="K3645" s="165">
        <f>IFERROR(__xludf.DUMMYFUNCTION("""COMPUTED_VALUE"""),-1.10559806700705)</f>
        <v>-1.105598067</v>
      </c>
      <c r="L3645" s="165">
        <f>IFERROR(__xludf.DUMMYFUNCTION("""COMPUTED_VALUE"""),0.971207409154516)</f>
        <v>0.9712074092</v>
      </c>
      <c r="M3645" s="166">
        <f t="shared" si="2"/>
        <v>0.5212633479</v>
      </c>
      <c r="N3645" s="167">
        <f t="shared" si="3"/>
        <v>17.96141667</v>
      </c>
      <c r="O3645" s="163">
        <f t="shared" ref="O3645:Q3645" si="3649">rank(I3645,I:I)</f>
        <v>490</v>
      </c>
      <c r="P3645" s="163">
        <f t="shared" si="3649"/>
        <v>1417</v>
      </c>
      <c r="Q3645" s="163">
        <f t="shared" si="3649"/>
        <v>2936</v>
      </c>
      <c r="R3645" s="163">
        <f>IFERROR(__xludf.DUMMYFUNCTION("RANK(M3645,filter(M:M,C:C=C3645))"),186.0)</f>
        <v>186</v>
      </c>
      <c r="S3645" s="161" t="b">
        <f t="shared" si="5"/>
        <v>0</v>
      </c>
      <c r="T3645" s="161" t="b">
        <f t="array" ref="T3645">index('Query Tool'!B:B,match(H3645,'Query Tool'!C:C,0))</f>
        <v>1</v>
      </c>
      <c r="U3645" s="161" t="b">
        <f t="array" ref="U3645">index('Query Tool'!B:B,match(C3645,'Query Tool'!C:C,0))</f>
        <v>1</v>
      </c>
      <c r="V3645" s="161" t="b">
        <f>F3645&gt;='Query Tool'!C$32</f>
        <v>0</v>
      </c>
      <c r="W3645" s="161" t="b">
        <f t="array" ref="W3645">index(Dropdowns!B:B,match(I3645,Dropdowns!A:A,0))</f>
        <v>1</v>
      </c>
      <c r="X3645" s="161" t="b">
        <f t="array" ref="X3645">index('Query Tool'!B:B,match(D3645,'Query Tool'!C:C,0))</f>
        <v>1</v>
      </c>
      <c r="Y3645" s="161" t="str">
        <f t="shared" si="6"/>
        <v>dienggo01,2020-21</v>
      </c>
      <c r="Z3645" s="168" t="str">
        <f t="array" ref="Z3645">iferror(index(I:I,match($A3645&amp;","&amp;index('Year Conversion'!$A:$A,match($C3645,'Year Conversion'!$B:$B,0)),$Y:$Y,0))-I3645,"")</f>
        <v/>
      </c>
      <c r="AA3645" s="168" t="str">
        <f t="array" ref="AA3645">iferror(index(J:J,match($A3645&amp;","&amp;index('Year Conversion'!$A:$A,match($C3645,'Year Conversion'!$B:$B,0)),$Y:$Y,0))-J3645,"")</f>
        <v/>
      </c>
      <c r="AB3645" s="168" t="str">
        <f t="array" ref="AB3645">iferror(index(K:K,match($A3645&amp;","&amp;index('Year Conversion'!$A:$A,match($C3645,'Year Conversion'!$B:$B,0)),$Y:$Y,0))-K3645,"")</f>
        <v/>
      </c>
      <c r="AC3645" s="168" t="str">
        <f t="shared" si="7"/>
        <v>MEM,2020-21</v>
      </c>
    </row>
    <row r="3646">
      <c r="A3646" s="161" t="str">
        <f>IFERROR(__xludf.DUMMYFUNCTION("""COMPUTED_VALUE"""),"olynyke01")</f>
        <v>olynyke01</v>
      </c>
      <c r="B3646" s="161" t="str">
        <f>IFERROR(__xludf.DUMMYFUNCTION("""COMPUTED_VALUE"""),"Kelly Olynyk")</f>
        <v>Kelly Olynyk</v>
      </c>
      <c r="C3646" s="162" t="str">
        <f>IFERROR(__xludf.DUMMYFUNCTION("""COMPUTED_VALUE"""),"2020-21")</f>
        <v>2020-21</v>
      </c>
      <c r="D3646" s="163" t="str">
        <f>IFERROR(__xludf.DUMMYFUNCTION("""COMPUTED_VALUE"""),"MIA")</f>
        <v>MIA</v>
      </c>
      <c r="E3646" s="164" t="str">
        <f>IFERROR(__xludf.DUMMYFUNCTION("""COMPUTED_VALUE"""),"Stretch Big")</f>
        <v>Stretch Big</v>
      </c>
      <c r="F3646" s="164">
        <f>IFERROR(__xludf.DUMMYFUNCTION("""COMPUTED_VALUE"""),755.675)</f>
        <v>755.675</v>
      </c>
      <c r="G3646" s="163">
        <f>IFERROR(__xludf.DUMMYFUNCTION("""COMPUTED_VALUE"""),29.0)</f>
        <v>29</v>
      </c>
      <c r="H3646" s="163" t="str">
        <f>IFERROR(__xludf.DUMMYFUNCTION("""COMPUTED_VALUE"""),"C")</f>
        <v>C</v>
      </c>
      <c r="I3646" s="163">
        <f>IFERROR(__xludf.DUMMYFUNCTION("""COMPUTED_VALUE"""),29.0)</f>
        <v>29</v>
      </c>
      <c r="J3646" s="165">
        <f>IFERROR(__xludf.DUMMYFUNCTION("""COMPUTED_VALUE"""),1.43951771694644)</f>
        <v>1.439517717</v>
      </c>
      <c r="K3646" s="165">
        <f>IFERROR(__xludf.DUMMYFUNCTION("""COMPUTED_VALUE"""),-0.12193895210185)</f>
        <v>-0.1219389521</v>
      </c>
      <c r="L3646" s="165">
        <f>IFERROR(__xludf.DUMMYFUNCTION("""COMPUTED_VALUE"""),1.56145666904828)</f>
        <v>1.561456669</v>
      </c>
      <c r="M3646" s="166">
        <f t="shared" si="2"/>
        <v>1.896283795</v>
      </c>
      <c r="N3646" s="167">
        <f t="shared" si="3"/>
        <v>26.05775862</v>
      </c>
      <c r="O3646" s="163">
        <f t="shared" ref="O3646:Q3646" si="3650">rank(I3646,I:I)</f>
        <v>855</v>
      </c>
      <c r="P3646" s="163">
        <f t="shared" si="3650"/>
        <v>476</v>
      </c>
      <c r="Q3646" s="163">
        <f t="shared" si="3650"/>
        <v>1409</v>
      </c>
      <c r="R3646" s="163">
        <f>IFERROR(__xludf.DUMMYFUNCTION("RANK(M3646,filter(M:M,C:C=C3646))"),52.0)</f>
        <v>52</v>
      </c>
      <c r="S3646" s="161" t="b">
        <f t="shared" si="5"/>
        <v>1</v>
      </c>
      <c r="T3646" s="161" t="b">
        <f t="array" ref="T3646">index('Query Tool'!B:B,match(H3646,'Query Tool'!C:C,0))</f>
        <v>1</v>
      </c>
      <c r="U3646" s="161" t="b">
        <f t="array" ref="U3646">index('Query Tool'!B:B,match(C3646,'Query Tool'!C:C,0))</f>
        <v>1</v>
      </c>
      <c r="V3646" s="161" t="b">
        <f>F3646&gt;='Query Tool'!C$32</f>
        <v>1</v>
      </c>
      <c r="W3646" s="161" t="b">
        <f t="array" ref="W3646">index(Dropdowns!B:B,match(I3646,Dropdowns!A:A,0))</f>
        <v>1</v>
      </c>
      <c r="X3646" s="161" t="b">
        <f t="array" ref="X3646">index('Query Tool'!B:B,match(D3646,'Query Tool'!C:C,0))</f>
        <v>1</v>
      </c>
      <c r="Y3646" s="161" t="str">
        <f t="shared" si="6"/>
        <v>olynyke01,2020-21</v>
      </c>
      <c r="Z3646" s="168" t="str">
        <f t="array" ref="Z3646">iferror(index(I:I,match($A3646&amp;","&amp;index('Year Conversion'!$A:$A,match($C3646,'Year Conversion'!$B:$B,0)),$Y:$Y,0))-I3646,"")</f>
        <v/>
      </c>
      <c r="AA3646" s="168" t="str">
        <f t="array" ref="AA3646">iferror(index(J:J,match($A3646&amp;","&amp;index('Year Conversion'!$A:$A,match($C3646,'Year Conversion'!$B:$B,0)),$Y:$Y,0))-J3646,"")</f>
        <v/>
      </c>
      <c r="AB3646" s="168" t="str">
        <f t="array" ref="AB3646">iferror(index(K:K,match($A3646&amp;","&amp;index('Year Conversion'!$A:$A,match($C3646,'Year Conversion'!$B:$B,0)),$Y:$Y,0))-K3646,"")</f>
        <v/>
      </c>
      <c r="AC3646" s="168" t="str">
        <f t="shared" si="7"/>
        <v>MIA,2020-21</v>
      </c>
    </row>
    <row r="3647">
      <c r="A3647" s="161" t="str">
        <f>IFERROR(__xludf.DUMMYFUNCTION("""COMPUTED_VALUE"""),"caldwke01")</f>
        <v>caldwke01</v>
      </c>
      <c r="B3647" s="161" t="str">
        <f>IFERROR(__xludf.DUMMYFUNCTION("""COMPUTED_VALUE"""),"Kentavious Caldwell-Pope")</f>
        <v>Kentavious Caldwell-Pope</v>
      </c>
      <c r="C3647" s="162" t="str">
        <f>IFERROR(__xludf.DUMMYFUNCTION("""COMPUTED_VALUE"""),"2020-21")</f>
        <v>2020-21</v>
      </c>
      <c r="D3647" s="163" t="str">
        <f>IFERROR(__xludf.DUMMYFUNCTION("""COMPUTED_VALUE"""),"LAL")</f>
        <v>LAL</v>
      </c>
      <c r="E3647" s="164" t="str">
        <f>IFERROR(__xludf.DUMMYFUNCTION("""COMPUTED_VALUE"""),"Movement Shooter")</f>
        <v>Movement Shooter</v>
      </c>
      <c r="F3647" s="164">
        <f>IFERROR(__xludf.DUMMYFUNCTION("""COMPUTED_VALUE"""),690.55)</f>
        <v>690.55</v>
      </c>
      <c r="G3647" s="163">
        <f>IFERROR(__xludf.DUMMYFUNCTION("""COMPUTED_VALUE"""),27.0)</f>
        <v>27</v>
      </c>
      <c r="H3647" s="163" t="str">
        <f>IFERROR(__xludf.DUMMYFUNCTION("""COMPUTED_VALUE"""),"SG")</f>
        <v>SG</v>
      </c>
      <c r="I3647" s="163">
        <f>IFERROR(__xludf.DUMMYFUNCTION("""COMPUTED_VALUE"""),27.0)</f>
        <v>27</v>
      </c>
      <c r="J3647" s="165">
        <f>IFERROR(__xludf.DUMMYFUNCTION("""COMPUTED_VALUE"""),-0.0680066830803434)</f>
        <v>-0.06800668308</v>
      </c>
      <c r="K3647" s="165">
        <f>IFERROR(__xludf.DUMMYFUNCTION("""COMPUTED_VALUE"""),-0.87770675168579)</f>
        <v>-0.8777067517</v>
      </c>
      <c r="L3647" s="165">
        <f>IFERROR(__xludf.DUMMYFUNCTION("""COMPUTED_VALUE"""),0.809700068605446)</f>
        <v>0.8097000686</v>
      </c>
      <c r="M3647" s="166">
        <f t="shared" si="2"/>
        <v>1.032936808</v>
      </c>
      <c r="N3647" s="167">
        <f t="shared" si="3"/>
        <v>25.57592593</v>
      </c>
      <c r="O3647" s="163">
        <f t="shared" ref="O3647:Q3647" si="3651">rank(I3647,I:I)</f>
        <v>1366</v>
      </c>
      <c r="P3647" s="163">
        <f t="shared" si="3651"/>
        <v>1356</v>
      </c>
      <c r="Q3647" s="163">
        <f t="shared" si="3651"/>
        <v>2659</v>
      </c>
      <c r="R3647" s="163">
        <f>IFERROR(__xludf.DUMMYFUNCTION("RANK(M3647,filter(M:M,C:C=C3647))"),119.0)</f>
        <v>119</v>
      </c>
      <c r="S3647" s="161" t="b">
        <f t="shared" si="5"/>
        <v>1</v>
      </c>
      <c r="T3647" s="161" t="b">
        <f t="array" ref="T3647">index('Query Tool'!B:B,match(H3647,'Query Tool'!C:C,0))</f>
        <v>1</v>
      </c>
      <c r="U3647" s="161" t="b">
        <f t="array" ref="U3647">index('Query Tool'!B:B,match(C3647,'Query Tool'!C:C,0))</f>
        <v>1</v>
      </c>
      <c r="V3647" s="161" t="b">
        <f>F3647&gt;='Query Tool'!C$32</f>
        <v>1</v>
      </c>
      <c r="W3647" s="161" t="b">
        <f t="array" ref="W3647">index(Dropdowns!B:B,match(I3647,Dropdowns!A:A,0))</f>
        <v>1</v>
      </c>
      <c r="X3647" s="161" t="b">
        <f t="array" ref="X3647">index('Query Tool'!B:B,match(D3647,'Query Tool'!C:C,0))</f>
        <v>1</v>
      </c>
      <c r="Y3647" s="161" t="str">
        <f t="shared" si="6"/>
        <v>caldwke01,2020-21</v>
      </c>
      <c r="Z3647" s="168" t="str">
        <f t="array" ref="Z3647">iferror(index(I:I,match($A3647&amp;","&amp;index('Year Conversion'!$A:$A,match($C3647,'Year Conversion'!$B:$B,0)),$Y:$Y,0))-I3647,"")</f>
        <v/>
      </c>
      <c r="AA3647" s="168" t="str">
        <f t="array" ref="AA3647">iferror(index(J:J,match($A3647&amp;","&amp;index('Year Conversion'!$A:$A,match($C3647,'Year Conversion'!$B:$B,0)),$Y:$Y,0))-J3647,"")</f>
        <v/>
      </c>
      <c r="AB3647" s="168" t="str">
        <f t="array" ref="AB3647">iferror(index(K:K,match($A3647&amp;","&amp;index('Year Conversion'!$A:$A,match($C3647,'Year Conversion'!$B:$B,0)),$Y:$Y,0))-K3647,"")</f>
        <v/>
      </c>
      <c r="AC3647" s="168" t="str">
        <f t="shared" si="7"/>
        <v>LAL,2020-21</v>
      </c>
    </row>
    <row r="3648">
      <c r="A3648" s="161" t="str">
        <f>IFERROR(__xludf.DUMMYFUNCTION("""COMPUTED_VALUE"""),"plumlma01")</f>
        <v>plumlma01</v>
      </c>
      <c r="B3648" s="161" t="str">
        <f>IFERROR(__xludf.DUMMYFUNCTION("""COMPUTED_VALUE"""),"Mason Plumlee")</f>
        <v>Mason Plumlee</v>
      </c>
      <c r="C3648" s="162" t="str">
        <f>IFERROR(__xludf.DUMMYFUNCTION("""COMPUTED_VALUE"""),"2020-21")</f>
        <v>2020-21</v>
      </c>
      <c r="D3648" s="163" t="str">
        <f>IFERROR(__xludf.DUMMYFUNCTION("""COMPUTED_VALUE"""),"DET")</f>
        <v>DET</v>
      </c>
      <c r="E3648" s="164" t="str">
        <f>IFERROR(__xludf.DUMMYFUNCTION("""COMPUTED_VALUE"""),"Roll + Cut Big")</f>
        <v>Roll + Cut Big</v>
      </c>
      <c r="F3648" s="164">
        <f>IFERROR(__xludf.DUMMYFUNCTION("""COMPUTED_VALUE"""),788.275)</f>
        <v>788.275</v>
      </c>
      <c r="G3648" s="163">
        <f>IFERROR(__xludf.DUMMYFUNCTION("""COMPUTED_VALUE"""),28.0)</f>
        <v>28</v>
      </c>
      <c r="H3648" s="163" t="str">
        <f>IFERROR(__xludf.DUMMYFUNCTION("""COMPUTED_VALUE"""),"C")</f>
        <v>C</v>
      </c>
      <c r="I3648" s="163">
        <f>IFERROR(__xludf.DUMMYFUNCTION("""COMPUTED_VALUE"""),30.0)</f>
        <v>30</v>
      </c>
      <c r="J3648" s="165">
        <f>IFERROR(__xludf.DUMMYFUNCTION("""COMPUTED_VALUE"""),-0.478657068857294)</f>
        <v>-0.4786570689</v>
      </c>
      <c r="K3648" s="165">
        <f>IFERROR(__xludf.DUMMYFUNCTION("""COMPUTED_VALUE"""),-0.776248359039144)</f>
        <v>-0.776248359</v>
      </c>
      <c r="L3648" s="165">
        <f>IFERROR(__xludf.DUMMYFUNCTION("""COMPUTED_VALUE"""),0.297591290181849)</f>
        <v>0.2975912902</v>
      </c>
      <c r="M3648" s="166">
        <f t="shared" si="2"/>
        <v>0.9609573728</v>
      </c>
      <c r="N3648" s="167">
        <f t="shared" si="3"/>
        <v>28.15267857</v>
      </c>
      <c r="O3648" s="163">
        <f t="shared" ref="O3648:Q3648" si="3652">rank(I3648,I:I)</f>
        <v>655</v>
      </c>
      <c r="P3648" s="163">
        <f t="shared" si="3652"/>
        <v>1824</v>
      </c>
      <c r="Q3648" s="163">
        <f t="shared" si="3652"/>
        <v>2525</v>
      </c>
      <c r="R3648" s="163">
        <f>IFERROR(__xludf.DUMMYFUNCTION("RANK(M3648,filter(M:M,C:C=C3648))"),126.0)</f>
        <v>126</v>
      </c>
      <c r="S3648" s="161" t="b">
        <f t="shared" si="5"/>
        <v>1</v>
      </c>
      <c r="T3648" s="161" t="b">
        <f t="array" ref="T3648">index('Query Tool'!B:B,match(H3648,'Query Tool'!C:C,0))</f>
        <v>1</v>
      </c>
      <c r="U3648" s="161" t="b">
        <f t="array" ref="U3648">index('Query Tool'!B:B,match(C3648,'Query Tool'!C:C,0))</f>
        <v>1</v>
      </c>
      <c r="V3648" s="161" t="b">
        <f>F3648&gt;='Query Tool'!C$32</f>
        <v>1</v>
      </c>
      <c r="W3648" s="161" t="b">
        <f t="array" ref="W3648">index(Dropdowns!B:B,match(I3648,Dropdowns!A:A,0))</f>
        <v>1</v>
      </c>
      <c r="X3648" s="161" t="b">
        <f t="array" ref="X3648">index('Query Tool'!B:B,match(D3648,'Query Tool'!C:C,0))</f>
        <v>1</v>
      </c>
      <c r="Y3648" s="161" t="str">
        <f t="shared" si="6"/>
        <v>plumlma01,2020-21</v>
      </c>
      <c r="Z3648" s="168" t="str">
        <f t="array" ref="Z3648">iferror(index(I:I,match($A3648&amp;","&amp;index('Year Conversion'!$A:$A,match($C3648,'Year Conversion'!$B:$B,0)),$Y:$Y,0))-I3648,"")</f>
        <v/>
      </c>
      <c r="AA3648" s="168" t="str">
        <f t="array" ref="AA3648">iferror(index(J:J,match($A3648&amp;","&amp;index('Year Conversion'!$A:$A,match($C3648,'Year Conversion'!$B:$B,0)),$Y:$Y,0))-J3648,"")</f>
        <v/>
      </c>
      <c r="AB3648" s="168" t="str">
        <f t="array" ref="AB3648">iferror(index(K:K,match($A3648&amp;","&amp;index('Year Conversion'!$A:$A,match($C3648,'Year Conversion'!$B:$B,0)),$Y:$Y,0))-K3648,"")</f>
        <v/>
      </c>
      <c r="AC3648" s="168" t="str">
        <f t="shared" si="7"/>
        <v>DET,2020-21</v>
      </c>
    </row>
    <row r="3649">
      <c r="A3649" s="161" t="str">
        <f>IFERROR(__xludf.DUMMYFUNCTION("""COMPUTED_VALUE"""),"cartemi01")</f>
        <v>cartemi01</v>
      </c>
      <c r="B3649" s="161" t="str">
        <f>IFERROR(__xludf.DUMMYFUNCTION("""COMPUTED_VALUE"""),"Michael Carter-Williams")</f>
        <v>Michael Carter-Williams</v>
      </c>
      <c r="C3649" s="162" t="str">
        <f>IFERROR(__xludf.DUMMYFUNCTION("""COMPUTED_VALUE"""),"2020-21")</f>
        <v>2020-21</v>
      </c>
      <c r="D3649" s="163" t="str">
        <f>IFERROR(__xludf.DUMMYFUNCTION("""COMPUTED_VALUE"""),"ORL")</f>
        <v>ORL</v>
      </c>
      <c r="E3649" s="164" t="str">
        <f>IFERROR(__xludf.DUMMYFUNCTION("""COMPUTED_VALUE"""),"Slasher")</f>
        <v>Slasher</v>
      </c>
      <c r="F3649" s="164">
        <f>IFERROR(__xludf.DUMMYFUNCTION("""COMPUTED_VALUE"""),306.366666666667)</f>
        <v>306.3666667</v>
      </c>
      <c r="G3649" s="163">
        <f>IFERROR(__xludf.DUMMYFUNCTION("""COMPUTED_VALUE"""),12.0)</f>
        <v>12</v>
      </c>
      <c r="H3649" s="163" t="str">
        <f>IFERROR(__xludf.DUMMYFUNCTION("""COMPUTED_VALUE"""),"SG")</f>
        <v>SG</v>
      </c>
      <c r="I3649" s="163">
        <f>IFERROR(__xludf.DUMMYFUNCTION("""COMPUTED_VALUE"""),29.0)</f>
        <v>29</v>
      </c>
      <c r="J3649" s="165">
        <f>IFERROR(__xludf.DUMMYFUNCTION("""COMPUTED_VALUE"""),-0.645516884719463)</f>
        <v>-0.6455168847</v>
      </c>
      <c r="K3649" s="165">
        <f>IFERROR(__xludf.DUMMYFUNCTION("""COMPUTED_VALUE"""),-1.51731525027493)</f>
        <v>-1.51731525</v>
      </c>
      <c r="L3649" s="165">
        <f>IFERROR(__xludf.DUMMYFUNCTION("""COMPUTED_VALUE"""),0.871798365555467)</f>
        <v>0.8717983656</v>
      </c>
      <c r="M3649" s="166">
        <f t="shared" si="2"/>
        <v>0.3390613524</v>
      </c>
      <c r="N3649" s="167">
        <f t="shared" si="3"/>
        <v>25.53055556</v>
      </c>
      <c r="O3649" s="163">
        <f t="shared" ref="O3649:Q3649" si="3653">rank(I3649,I:I)</f>
        <v>855</v>
      </c>
      <c r="P3649" s="163">
        <f t="shared" si="3653"/>
        <v>2057</v>
      </c>
      <c r="Q3649" s="163">
        <f t="shared" si="3653"/>
        <v>3376</v>
      </c>
      <c r="R3649" s="163">
        <f>IFERROR(__xludf.DUMMYFUNCTION("RANK(M3649,filter(M:M,C:C=C3649))"),232.0)</f>
        <v>232</v>
      </c>
      <c r="S3649" s="161" t="b">
        <f t="shared" si="5"/>
        <v>0</v>
      </c>
      <c r="T3649" s="161" t="b">
        <f t="array" ref="T3649">index('Query Tool'!B:B,match(H3649,'Query Tool'!C:C,0))</f>
        <v>1</v>
      </c>
      <c r="U3649" s="161" t="b">
        <f t="array" ref="U3649">index('Query Tool'!B:B,match(C3649,'Query Tool'!C:C,0))</f>
        <v>1</v>
      </c>
      <c r="V3649" s="161" t="b">
        <f>F3649&gt;='Query Tool'!C$32</f>
        <v>0</v>
      </c>
      <c r="W3649" s="161" t="b">
        <f t="array" ref="W3649">index(Dropdowns!B:B,match(I3649,Dropdowns!A:A,0))</f>
        <v>1</v>
      </c>
      <c r="X3649" s="161" t="b">
        <f t="array" ref="X3649">index('Query Tool'!B:B,match(D3649,'Query Tool'!C:C,0))</f>
        <v>1</v>
      </c>
      <c r="Y3649" s="161" t="str">
        <f t="shared" si="6"/>
        <v>cartemi01,2020-21</v>
      </c>
      <c r="Z3649" s="168" t="str">
        <f t="array" ref="Z3649">iferror(index(I:I,match($A3649&amp;","&amp;index('Year Conversion'!$A:$A,match($C3649,'Year Conversion'!$B:$B,0)),$Y:$Y,0))-I3649,"")</f>
        <v/>
      </c>
      <c r="AA3649" s="168" t="str">
        <f t="array" ref="AA3649">iferror(index(J:J,match($A3649&amp;","&amp;index('Year Conversion'!$A:$A,match($C3649,'Year Conversion'!$B:$B,0)),$Y:$Y,0))-J3649,"")</f>
        <v/>
      </c>
      <c r="AB3649" s="168" t="str">
        <f t="array" ref="AB3649">iferror(index(K:K,match($A3649&amp;","&amp;index('Year Conversion'!$A:$A,match($C3649,'Year Conversion'!$B:$B,0)),$Y:$Y,0))-K3649,"")</f>
        <v/>
      </c>
      <c r="AC3649" s="168" t="str">
        <f t="shared" si="7"/>
        <v>ORL,2020-21</v>
      </c>
    </row>
    <row r="3650">
      <c r="A3650" s="161" t="str">
        <f>IFERROR(__xludf.DUMMYFUNCTION("""COMPUTED_VALUE"""),"muscami01")</f>
        <v>muscami01</v>
      </c>
      <c r="B3650" s="161" t="str">
        <f>IFERROR(__xludf.DUMMYFUNCTION("""COMPUTED_VALUE"""),"Mike Muscala")</f>
        <v>Mike Muscala</v>
      </c>
      <c r="C3650" s="162" t="str">
        <f>IFERROR(__xludf.DUMMYFUNCTION("""COMPUTED_VALUE"""),"2020-21")</f>
        <v>2020-21</v>
      </c>
      <c r="D3650" s="163" t="str">
        <f>IFERROR(__xludf.DUMMYFUNCTION("""COMPUTED_VALUE"""),"OKC")</f>
        <v>OKC</v>
      </c>
      <c r="E3650" s="164" t="str">
        <f>IFERROR(__xludf.DUMMYFUNCTION("""COMPUTED_VALUE"""),"Stretch Big")</f>
        <v>Stretch Big</v>
      </c>
      <c r="F3650" s="164">
        <f>IFERROR(__xludf.DUMMYFUNCTION("""COMPUTED_VALUE"""),527.675)</f>
        <v>527.675</v>
      </c>
      <c r="G3650" s="163">
        <f>IFERROR(__xludf.DUMMYFUNCTION("""COMPUTED_VALUE"""),28.0)</f>
        <v>28</v>
      </c>
      <c r="H3650" s="163" t="str">
        <f>IFERROR(__xludf.DUMMYFUNCTION("""COMPUTED_VALUE"""),"C")</f>
        <v>C</v>
      </c>
      <c r="I3650" s="163">
        <f>IFERROR(__xludf.DUMMYFUNCTION("""COMPUTED_VALUE"""),29.0)</f>
        <v>29</v>
      </c>
      <c r="J3650" s="165">
        <f>IFERROR(__xludf.DUMMYFUNCTION("""COMPUTED_VALUE"""),0.0319417854722394)</f>
        <v>0.03194178547</v>
      </c>
      <c r="K3650" s="165">
        <f>IFERROR(__xludf.DUMMYFUNCTION("""COMPUTED_VALUE"""),0.283139334845619)</f>
        <v>0.2831393348</v>
      </c>
      <c r="L3650" s="165">
        <f>IFERROR(__xludf.DUMMYFUNCTION("""COMPUTED_VALUE"""),-0.25119754937338)</f>
        <v>-0.2511975494</v>
      </c>
      <c r="M3650" s="166">
        <f t="shared" si="2"/>
        <v>0.8248623318</v>
      </c>
      <c r="N3650" s="167">
        <f t="shared" si="3"/>
        <v>18.84553571</v>
      </c>
      <c r="O3650" s="163">
        <f t="shared" ref="O3650:Q3650" si="3654">rank(I3650,I:I)</f>
        <v>855</v>
      </c>
      <c r="P3650" s="163">
        <f t="shared" si="3654"/>
        <v>1263</v>
      </c>
      <c r="Q3650" s="163">
        <f t="shared" si="3654"/>
        <v>923</v>
      </c>
      <c r="R3650" s="163">
        <f>IFERROR(__xludf.DUMMYFUNCTION("RANK(M3650,filter(M:M,C:C=C3650))"),140.0)</f>
        <v>140</v>
      </c>
      <c r="S3650" s="161" t="b">
        <f t="shared" si="5"/>
        <v>1</v>
      </c>
      <c r="T3650" s="161" t="b">
        <f t="array" ref="T3650">index('Query Tool'!B:B,match(H3650,'Query Tool'!C:C,0))</f>
        <v>1</v>
      </c>
      <c r="U3650" s="161" t="b">
        <f t="array" ref="U3650">index('Query Tool'!B:B,match(C3650,'Query Tool'!C:C,0))</f>
        <v>1</v>
      </c>
      <c r="V3650" s="161" t="b">
        <f>F3650&gt;='Query Tool'!C$32</f>
        <v>1</v>
      </c>
      <c r="W3650" s="161" t="b">
        <f t="array" ref="W3650">index(Dropdowns!B:B,match(I3650,Dropdowns!A:A,0))</f>
        <v>1</v>
      </c>
      <c r="X3650" s="161" t="b">
        <f t="array" ref="X3650">index('Query Tool'!B:B,match(D3650,'Query Tool'!C:C,0))</f>
        <v>1</v>
      </c>
      <c r="Y3650" s="161" t="str">
        <f t="shared" si="6"/>
        <v>muscami01,2020-21</v>
      </c>
      <c r="Z3650" s="168" t="str">
        <f t="array" ref="Z3650">iferror(index(I:I,match($A3650&amp;","&amp;index('Year Conversion'!$A:$A,match($C3650,'Year Conversion'!$B:$B,0)),$Y:$Y,0))-I3650,"")</f>
        <v/>
      </c>
      <c r="AA3650" s="168" t="str">
        <f t="array" ref="AA3650">iferror(index(J:J,match($A3650&amp;","&amp;index('Year Conversion'!$A:$A,match($C3650,'Year Conversion'!$B:$B,0)),$Y:$Y,0))-J3650,"")</f>
        <v/>
      </c>
      <c r="AB3650" s="168" t="str">
        <f t="array" ref="AB3650">iferror(index(K:K,match($A3650&amp;","&amp;index('Year Conversion'!$A:$A,match($C3650,'Year Conversion'!$B:$B,0)),$Y:$Y,0))-K3650,"")</f>
        <v/>
      </c>
      <c r="AC3650" s="168" t="str">
        <f t="shared" si="7"/>
        <v>OKC,2020-21</v>
      </c>
    </row>
    <row r="3651">
      <c r="A3651" s="161" t="str">
        <f>IFERROR(__xludf.DUMMYFUNCTION("""COMPUTED_VALUE"""),"porteot01")</f>
        <v>porteot01</v>
      </c>
      <c r="B3651" s="161" t="str">
        <f>IFERROR(__xludf.DUMMYFUNCTION("""COMPUTED_VALUE"""),"Otto Porter Jr.")</f>
        <v>Otto Porter Jr.</v>
      </c>
      <c r="C3651" s="162" t="str">
        <f>IFERROR(__xludf.DUMMYFUNCTION("""COMPUTED_VALUE"""),"2020-21")</f>
        <v>2020-21</v>
      </c>
      <c r="D3651" s="163" t="str">
        <f>IFERROR(__xludf.DUMMYFUNCTION("""COMPUTED_VALUE"""),"CHI")</f>
        <v>CHI</v>
      </c>
      <c r="E3651" s="164" t="str">
        <f>IFERROR(__xludf.DUMMYFUNCTION("""COMPUTED_VALUE"""),"Athletic Finisher")</f>
        <v>Athletic Finisher</v>
      </c>
      <c r="F3651" s="164">
        <f>IFERROR(__xludf.DUMMYFUNCTION("""COMPUTED_VALUE"""),371.508333333333)</f>
        <v>371.5083333</v>
      </c>
      <c r="G3651" s="163">
        <f>IFERROR(__xludf.DUMMYFUNCTION("""COMPUTED_VALUE"""),16.0)</f>
        <v>16</v>
      </c>
      <c r="H3651" s="163" t="str">
        <f>IFERROR(__xludf.DUMMYFUNCTION("""COMPUTED_VALUE"""),"SF")</f>
        <v>SF</v>
      </c>
      <c r="I3651" s="163">
        <f>IFERROR(__xludf.DUMMYFUNCTION("""COMPUTED_VALUE"""),27.0)</f>
        <v>27</v>
      </c>
      <c r="J3651" s="165">
        <f>IFERROR(__xludf.DUMMYFUNCTION("""COMPUTED_VALUE"""),-0.309415670106223)</f>
        <v>-0.3094156701</v>
      </c>
      <c r="K3651" s="165">
        <f>IFERROR(__xludf.DUMMYFUNCTION("""COMPUTED_VALUE"""),0.964236838100933)</f>
        <v>0.9642368381</v>
      </c>
      <c r="L3651" s="165">
        <f>IFERROR(__xludf.DUMMYFUNCTION("""COMPUTED_VALUE"""),-1.27365250820716)</f>
        <v>-1.273652508</v>
      </c>
      <c r="M3651" s="166">
        <f t="shared" si="2"/>
        <v>0.4952538631</v>
      </c>
      <c r="N3651" s="167">
        <f t="shared" si="3"/>
        <v>23.21927083</v>
      </c>
      <c r="O3651" s="163">
        <f t="shared" ref="O3651:Q3651" si="3655">rank(I3651,I:I)</f>
        <v>1366</v>
      </c>
      <c r="P3651" s="163">
        <f t="shared" si="3655"/>
        <v>1627</v>
      </c>
      <c r="Q3651" s="163">
        <f t="shared" si="3655"/>
        <v>520</v>
      </c>
      <c r="R3651" s="163">
        <f>IFERROR(__xludf.DUMMYFUNCTION("RANK(M3651,filter(M:M,C:C=C3651))"),192.0)</f>
        <v>192</v>
      </c>
      <c r="S3651" s="161" t="b">
        <f t="shared" si="5"/>
        <v>0</v>
      </c>
      <c r="T3651" s="161" t="b">
        <f t="array" ref="T3651">index('Query Tool'!B:B,match(H3651,'Query Tool'!C:C,0))</f>
        <v>1</v>
      </c>
      <c r="U3651" s="161" t="b">
        <f t="array" ref="U3651">index('Query Tool'!B:B,match(C3651,'Query Tool'!C:C,0))</f>
        <v>1</v>
      </c>
      <c r="V3651" s="161" t="b">
        <f>F3651&gt;='Query Tool'!C$32</f>
        <v>0</v>
      </c>
      <c r="W3651" s="161" t="b">
        <f t="array" ref="W3651">index(Dropdowns!B:B,match(I3651,Dropdowns!A:A,0))</f>
        <v>1</v>
      </c>
      <c r="X3651" s="161" t="b">
        <f t="array" ref="X3651">index('Query Tool'!B:B,match(D3651,'Query Tool'!C:C,0))</f>
        <v>1</v>
      </c>
      <c r="Y3651" s="161" t="str">
        <f t="shared" si="6"/>
        <v>porteot01,2020-21</v>
      </c>
      <c r="Z3651" s="168" t="str">
        <f t="array" ref="Z3651">iferror(index(I:I,match($A3651&amp;","&amp;index('Year Conversion'!$A:$A,match($C3651,'Year Conversion'!$B:$B,0)),$Y:$Y,0))-I3651,"")</f>
        <v/>
      </c>
      <c r="AA3651" s="168" t="str">
        <f t="array" ref="AA3651">iferror(index(J:J,match($A3651&amp;","&amp;index('Year Conversion'!$A:$A,match($C3651,'Year Conversion'!$B:$B,0)),$Y:$Y,0))-J3651,"")</f>
        <v/>
      </c>
      <c r="AB3651" s="168" t="str">
        <f t="array" ref="AB3651">iferror(index(K:K,match($A3651&amp;","&amp;index('Year Conversion'!$A:$A,match($C3651,'Year Conversion'!$B:$B,0)),$Y:$Y,0))-K3651,"")</f>
        <v/>
      </c>
      <c r="AC3651" s="168" t="str">
        <f t="shared" si="7"/>
        <v>CHI,2020-21</v>
      </c>
    </row>
    <row r="3652">
      <c r="A3652" s="161" t="str">
        <f>IFERROR(__xludf.DUMMYFUNCTION("""COMPUTED_VALUE"""),"bullore01")</f>
        <v>bullore01</v>
      </c>
      <c r="B3652" s="161" t="str">
        <f>IFERROR(__xludf.DUMMYFUNCTION("""COMPUTED_VALUE"""),"Reggie Bullock")</f>
        <v>Reggie Bullock</v>
      </c>
      <c r="C3652" s="162" t="str">
        <f>IFERROR(__xludf.DUMMYFUNCTION("""COMPUTED_VALUE"""),"2020-21")</f>
        <v>2020-21</v>
      </c>
      <c r="D3652" s="163" t="str">
        <f>IFERROR(__xludf.DUMMYFUNCTION("""COMPUTED_VALUE"""),"NYK")</f>
        <v>NYK</v>
      </c>
      <c r="E3652" s="164" t="str">
        <f>IFERROR(__xludf.DUMMYFUNCTION("""COMPUTED_VALUE"""),"Stationary Shooter")</f>
        <v>Stationary Shooter</v>
      </c>
      <c r="F3652" s="164">
        <f>IFERROR(__xludf.DUMMYFUNCTION("""COMPUTED_VALUE"""),700.001666666667)</f>
        <v>700.0016667</v>
      </c>
      <c r="G3652" s="163">
        <f>IFERROR(__xludf.DUMMYFUNCTION("""COMPUTED_VALUE"""),26.0)</f>
        <v>26</v>
      </c>
      <c r="H3652" s="163" t="str">
        <f>IFERROR(__xludf.DUMMYFUNCTION("""COMPUTED_VALUE"""),"SF")</f>
        <v>SF</v>
      </c>
      <c r="I3652" s="163">
        <f>IFERROR(__xludf.DUMMYFUNCTION("""COMPUTED_VALUE"""),29.0)</f>
        <v>29</v>
      </c>
      <c r="J3652" s="165">
        <f>IFERROR(__xludf.DUMMYFUNCTION("""COMPUTED_VALUE"""),-2.05354168535147)</f>
        <v>-2.053541685</v>
      </c>
      <c r="K3652" s="165">
        <f>IFERROR(__xludf.DUMMYFUNCTION("""COMPUTED_VALUE"""),-1.80152806956799)</f>
        <v>-1.80152807</v>
      </c>
      <c r="L3652" s="165">
        <f>IFERROR(__xludf.DUMMYFUNCTION("""COMPUTED_VALUE"""),-0.252013615783482)</f>
        <v>-0.2520136158</v>
      </c>
      <c r="M3652" s="166">
        <f t="shared" si="2"/>
        <v>0.1156709794</v>
      </c>
      <c r="N3652" s="167">
        <f t="shared" si="3"/>
        <v>26.92314103</v>
      </c>
      <c r="O3652" s="163">
        <f t="shared" ref="O3652:Q3652" si="3656">rank(I3652,I:I)</f>
        <v>855</v>
      </c>
      <c r="P3652" s="163">
        <f t="shared" si="3656"/>
        <v>3519</v>
      </c>
      <c r="Q3652" s="163">
        <f t="shared" si="3656"/>
        <v>3576</v>
      </c>
      <c r="R3652" s="163">
        <f>IFERROR(__xludf.DUMMYFUNCTION("RANK(M3652,filter(M:M,C:C=C3652))"),320.0)</f>
        <v>320</v>
      </c>
      <c r="S3652" s="161" t="b">
        <f t="shared" si="5"/>
        <v>1</v>
      </c>
      <c r="T3652" s="161" t="b">
        <f t="array" ref="T3652">index('Query Tool'!B:B,match(H3652,'Query Tool'!C:C,0))</f>
        <v>1</v>
      </c>
      <c r="U3652" s="161" t="b">
        <f t="array" ref="U3652">index('Query Tool'!B:B,match(C3652,'Query Tool'!C:C,0))</f>
        <v>1</v>
      </c>
      <c r="V3652" s="161" t="b">
        <f>F3652&gt;='Query Tool'!C$32</f>
        <v>1</v>
      </c>
      <c r="W3652" s="161" t="b">
        <f t="array" ref="W3652">index(Dropdowns!B:B,match(I3652,Dropdowns!A:A,0))</f>
        <v>1</v>
      </c>
      <c r="X3652" s="161" t="b">
        <f t="array" ref="X3652">index('Query Tool'!B:B,match(D3652,'Query Tool'!C:C,0))</f>
        <v>1</v>
      </c>
      <c r="Y3652" s="161" t="str">
        <f t="shared" si="6"/>
        <v>bullore01,2020-21</v>
      </c>
      <c r="Z3652" s="168" t="str">
        <f t="array" ref="Z3652">iferror(index(I:I,match($A3652&amp;","&amp;index('Year Conversion'!$A:$A,match($C3652,'Year Conversion'!$B:$B,0)),$Y:$Y,0))-I3652,"")</f>
        <v/>
      </c>
      <c r="AA3652" s="168" t="str">
        <f t="array" ref="AA3652">iferror(index(J:J,match($A3652&amp;","&amp;index('Year Conversion'!$A:$A,match($C3652,'Year Conversion'!$B:$B,0)),$Y:$Y,0))-J3652,"")</f>
        <v/>
      </c>
      <c r="AB3652" s="168" t="str">
        <f t="array" ref="AB3652">iferror(index(K:K,match($A3652&amp;","&amp;index('Year Conversion'!$A:$A,match($C3652,'Year Conversion'!$B:$B,0)),$Y:$Y,0))-K3652,"")</f>
        <v/>
      </c>
      <c r="AC3652" s="168" t="str">
        <f t="shared" si="7"/>
        <v>NYK,2020-21</v>
      </c>
    </row>
    <row r="3653">
      <c r="A3653" s="161" t="str">
        <f>IFERROR(__xludf.DUMMYFUNCTION("""COMPUTED_VALUE"""),"covinro01")</f>
        <v>covinro01</v>
      </c>
      <c r="B3653" s="161" t="str">
        <f>IFERROR(__xludf.DUMMYFUNCTION("""COMPUTED_VALUE"""),"Robert Covington")</f>
        <v>Robert Covington</v>
      </c>
      <c r="C3653" s="162" t="str">
        <f>IFERROR(__xludf.DUMMYFUNCTION("""COMPUTED_VALUE"""),"2020-21")</f>
        <v>2020-21</v>
      </c>
      <c r="D3653" s="163" t="str">
        <f>IFERROR(__xludf.DUMMYFUNCTION("""COMPUTED_VALUE"""),"POR")</f>
        <v>POR</v>
      </c>
      <c r="E3653" s="164" t="str">
        <f>IFERROR(__xludf.DUMMYFUNCTION("""COMPUTED_VALUE"""),"Movement Shooter")</f>
        <v>Movement Shooter</v>
      </c>
      <c r="F3653" s="164">
        <f>IFERROR(__xludf.DUMMYFUNCTION("""COMPUTED_VALUE"""),851.72)</f>
        <v>851.72</v>
      </c>
      <c r="G3653" s="163">
        <f>IFERROR(__xludf.DUMMYFUNCTION("""COMPUTED_VALUE"""),27.0)</f>
        <v>27</v>
      </c>
      <c r="H3653" s="163" t="str">
        <f>IFERROR(__xludf.DUMMYFUNCTION("""COMPUTED_VALUE"""),"PF")</f>
        <v>PF</v>
      </c>
      <c r="I3653" s="163">
        <f>IFERROR(__xludf.DUMMYFUNCTION("""COMPUTED_VALUE"""),30.0)</f>
        <v>30</v>
      </c>
      <c r="J3653" s="165">
        <f>IFERROR(__xludf.DUMMYFUNCTION("""COMPUTED_VALUE"""),0.718222166927647)</f>
        <v>0.7182221669</v>
      </c>
      <c r="K3653" s="165">
        <f>IFERROR(__xludf.DUMMYFUNCTION("""COMPUTED_VALUE"""),-1.04569808876292)</f>
        <v>-1.045698089</v>
      </c>
      <c r="L3653" s="165">
        <f>IFERROR(__xludf.DUMMYFUNCTION("""COMPUTED_VALUE"""),1.76392025569057)</f>
        <v>1.763920256</v>
      </c>
      <c r="M3653" s="166">
        <f t="shared" si="2"/>
        <v>1.725191263</v>
      </c>
      <c r="N3653" s="167">
        <f t="shared" si="3"/>
        <v>31.54518519</v>
      </c>
      <c r="O3653" s="163">
        <f t="shared" ref="O3653:Q3653" si="3657">rank(I3653,I:I)</f>
        <v>655</v>
      </c>
      <c r="P3653" s="163">
        <f t="shared" si="3657"/>
        <v>784</v>
      </c>
      <c r="Q3653" s="163">
        <f t="shared" si="3657"/>
        <v>2867</v>
      </c>
      <c r="R3653" s="163">
        <f>IFERROR(__xludf.DUMMYFUNCTION("RANK(M3653,filter(M:M,C:C=C3653))"),62.0)</f>
        <v>62</v>
      </c>
      <c r="S3653" s="161" t="b">
        <f t="shared" si="5"/>
        <v>1</v>
      </c>
      <c r="T3653" s="161" t="b">
        <f t="array" ref="T3653">index('Query Tool'!B:B,match(H3653,'Query Tool'!C:C,0))</f>
        <v>1</v>
      </c>
      <c r="U3653" s="161" t="b">
        <f t="array" ref="U3653">index('Query Tool'!B:B,match(C3653,'Query Tool'!C:C,0))</f>
        <v>1</v>
      </c>
      <c r="V3653" s="161" t="b">
        <f>F3653&gt;='Query Tool'!C$32</f>
        <v>1</v>
      </c>
      <c r="W3653" s="161" t="b">
        <f t="array" ref="W3653">index(Dropdowns!B:B,match(I3653,Dropdowns!A:A,0))</f>
        <v>1</v>
      </c>
      <c r="X3653" s="161" t="b">
        <f t="array" ref="X3653">index('Query Tool'!B:B,match(D3653,'Query Tool'!C:C,0))</f>
        <v>1</v>
      </c>
      <c r="Y3653" s="161" t="str">
        <f t="shared" si="6"/>
        <v>covinro01,2020-21</v>
      </c>
      <c r="Z3653" s="168" t="str">
        <f t="array" ref="Z3653">iferror(index(I:I,match($A3653&amp;","&amp;index('Year Conversion'!$A:$A,match($C3653,'Year Conversion'!$B:$B,0)),$Y:$Y,0))-I3653,"")</f>
        <v/>
      </c>
      <c r="AA3653" s="168" t="str">
        <f t="array" ref="AA3653">iferror(index(J:J,match($A3653&amp;","&amp;index('Year Conversion'!$A:$A,match($C3653,'Year Conversion'!$B:$B,0)),$Y:$Y,0))-J3653,"")</f>
        <v/>
      </c>
      <c r="AB3653" s="168" t="str">
        <f t="array" ref="AB3653">iferror(index(K:K,match($A3653&amp;","&amp;index('Year Conversion'!$A:$A,match($C3653,'Year Conversion'!$B:$B,0)),$Y:$Y,0))-K3653,"")</f>
        <v/>
      </c>
      <c r="AC3653" s="168" t="str">
        <f t="shared" si="7"/>
        <v>POR,2020-21</v>
      </c>
    </row>
    <row r="3654">
      <c r="A3654" s="161" t="str">
        <f>IFERROR(__xludf.DUMMYFUNCTION("""COMPUTED_VALUE"""),"goberru01")</f>
        <v>goberru01</v>
      </c>
      <c r="B3654" s="161" t="str">
        <f>IFERROR(__xludf.DUMMYFUNCTION("""COMPUTED_VALUE"""),"Rudy Gobert")</f>
        <v>Rudy Gobert</v>
      </c>
      <c r="C3654" s="162" t="str">
        <f>IFERROR(__xludf.DUMMYFUNCTION("""COMPUTED_VALUE"""),"2020-21")</f>
        <v>2020-21</v>
      </c>
      <c r="D3654" s="163" t="str">
        <f>IFERROR(__xludf.DUMMYFUNCTION("""COMPUTED_VALUE"""),"UTA")</f>
        <v>UTA</v>
      </c>
      <c r="E3654" s="164" t="str">
        <f>IFERROR(__xludf.DUMMYFUNCTION("""COMPUTED_VALUE"""),"Roll + Cut Big")</f>
        <v>Roll + Cut Big</v>
      </c>
      <c r="F3654" s="164">
        <f>IFERROR(__xludf.DUMMYFUNCTION("""COMPUTED_VALUE"""),909.08)</f>
        <v>909.08</v>
      </c>
      <c r="G3654" s="163">
        <f>IFERROR(__xludf.DUMMYFUNCTION("""COMPUTED_VALUE"""),30.0)</f>
        <v>30</v>
      </c>
      <c r="H3654" s="163" t="str">
        <f>IFERROR(__xludf.DUMMYFUNCTION("""COMPUTED_VALUE"""),"C")</f>
        <v>C</v>
      </c>
      <c r="I3654" s="163">
        <f>IFERROR(__xludf.DUMMYFUNCTION("""COMPUTED_VALUE"""),28.0)</f>
        <v>28</v>
      </c>
      <c r="J3654" s="165">
        <f>IFERROR(__xludf.DUMMYFUNCTION("""COMPUTED_VALUE"""),5.18737493276386)</f>
        <v>5.187374933</v>
      </c>
      <c r="K3654" s="165">
        <f>IFERROR(__xludf.DUMMYFUNCTION("""COMPUTED_VALUE"""),0.805510759690612)</f>
        <v>0.8055107597</v>
      </c>
      <c r="L3654" s="165">
        <f>IFERROR(__xludf.DUMMYFUNCTION("""COMPUTED_VALUE"""),4.38186417307325)</f>
        <v>4.381864173</v>
      </c>
      <c r="M3654" s="166">
        <f t="shared" si="2"/>
        <v>4.467042544</v>
      </c>
      <c r="N3654" s="167">
        <f t="shared" si="3"/>
        <v>30.30266667</v>
      </c>
      <c r="O3654" s="163">
        <f t="shared" ref="O3654:Q3654" si="3658">rank(I3654,I:I)</f>
        <v>1090</v>
      </c>
      <c r="P3654" s="163">
        <f t="shared" si="3658"/>
        <v>44</v>
      </c>
      <c r="Q3654" s="163">
        <f t="shared" si="3658"/>
        <v>600</v>
      </c>
      <c r="R3654" s="163">
        <f>IFERROR(__xludf.DUMMYFUNCTION("RANK(M3654,filter(M:M,C:C=C3654))"),4.0)</f>
        <v>4</v>
      </c>
      <c r="S3654" s="161" t="b">
        <f t="shared" si="5"/>
        <v>1</v>
      </c>
      <c r="T3654" s="161" t="b">
        <f t="array" ref="T3654">index('Query Tool'!B:B,match(H3654,'Query Tool'!C:C,0))</f>
        <v>1</v>
      </c>
      <c r="U3654" s="161" t="b">
        <f t="array" ref="U3654">index('Query Tool'!B:B,match(C3654,'Query Tool'!C:C,0))</f>
        <v>1</v>
      </c>
      <c r="V3654" s="161" t="b">
        <f>F3654&gt;='Query Tool'!C$32</f>
        <v>1</v>
      </c>
      <c r="W3654" s="161" t="b">
        <f t="array" ref="W3654">index(Dropdowns!B:B,match(I3654,Dropdowns!A:A,0))</f>
        <v>1</v>
      </c>
      <c r="X3654" s="161" t="b">
        <f t="array" ref="X3654">index('Query Tool'!B:B,match(D3654,'Query Tool'!C:C,0))</f>
        <v>1</v>
      </c>
      <c r="Y3654" s="161" t="str">
        <f t="shared" si="6"/>
        <v>goberru01,2020-21</v>
      </c>
      <c r="Z3654" s="168" t="str">
        <f t="array" ref="Z3654">iferror(index(I:I,match($A3654&amp;","&amp;index('Year Conversion'!$A:$A,match($C3654,'Year Conversion'!$B:$B,0)),$Y:$Y,0))-I3654,"")</f>
        <v/>
      </c>
      <c r="AA3654" s="168" t="str">
        <f t="array" ref="AA3654">iferror(index(J:J,match($A3654&amp;","&amp;index('Year Conversion'!$A:$A,match($C3654,'Year Conversion'!$B:$B,0)),$Y:$Y,0))-J3654,"")</f>
        <v/>
      </c>
      <c r="AB3654" s="168" t="str">
        <f t="array" ref="AB3654">iferror(index(K:K,match($A3654&amp;","&amp;index('Year Conversion'!$A:$A,match($C3654,'Year Conversion'!$B:$B,0)),$Y:$Y,0))-K3654,"")</f>
        <v/>
      </c>
      <c r="AC3654" s="168" t="str">
        <f t="shared" si="7"/>
        <v>UTA,2020-21</v>
      </c>
    </row>
    <row r="3655">
      <c r="A3655" s="161" t="str">
        <f>IFERROR(__xludf.DUMMYFUNCTION("""COMPUTED_VALUE"""),"adamsst01")</f>
        <v>adamsst01</v>
      </c>
      <c r="B3655" s="161" t="str">
        <f>IFERROR(__xludf.DUMMYFUNCTION("""COMPUTED_VALUE"""),"Steven Adams")</f>
        <v>Steven Adams</v>
      </c>
      <c r="C3655" s="162" t="str">
        <f>IFERROR(__xludf.DUMMYFUNCTION("""COMPUTED_VALUE"""),"2020-21")</f>
        <v>2020-21</v>
      </c>
      <c r="D3655" s="163" t="str">
        <f>IFERROR(__xludf.DUMMYFUNCTION("""COMPUTED_VALUE"""),"NOP")</f>
        <v>NOP</v>
      </c>
      <c r="E3655" s="164" t="str">
        <f>IFERROR(__xludf.DUMMYFUNCTION("""COMPUTED_VALUE"""),"Roll + Cut Big")</f>
        <v>Roll + Cut Big</v>
      </c>
      <c r="F3655" s="164">
        <f>IFERROR(__xludf.DUMMYFUNCTION("""COMPUTED_VALUE"""),760.12)</f>
        <v>760.12</v>
      </c>
      <c r="G3655" s="163">
        <f>IFERROR(__xludf.DUMMYFUNCTION("""COMPUTED_VALUE"""),27.0)</f>
        <v>27</v>
      </c>
      <c r="H3655" s="163" t="str">
        <f>IFERROR(__xludf.DUMMYFUNCTION("""COMPUTED_VALUE"""),"C")</f>
        <v>C</v>
      </c>
      <c r="I3655" s="163">
        <f>IFERROR(__xludf.DUMMYFUNCTION("""COMPUTED_VALUE"""),27.0)</f>
        <v>27</v>
      </c>
      <c r="J3655" s="165">
        <f>IFERROR(__xludf.DUMMYFUNCTION("""COMPUTED_VALUE"""),0.197125344541397)</f>
        <v>0.1971253445</v>
      </c>
      <c r="K3655" s="165">
        <f>IFERROR(__xludf.DUMMYFUNCTION("""COMPUTED_VALUE"""),-0.127139884424898)</f>
        <v>-0.1271398844</v>
      </c>
      <c r="L3655" s="165">
        <f>IFERROR(__xludf.DUMMYFUNCTION("""COMPUTED_VALUE"""),0.324265228966294)</f>
        <v>0.324265229</v>
      </c>
      <c r="M3655" s="166">
        <f t="shared" si="2"/>
        <v>1.272866085</v>
      </c>
      <c r="N3655" s="167">
        <f t="shared" si="3"/>
        <v>28.15259259</v>
      </c>
      <c r="O3655" s="163">
        <f t="shared" ref="O3655:Q3655" si="3659">rank(I3655,I:I)</f>
        <v>1366</v>
      </c>
      <c r="P3655" s="163">
        <f t="shared" si="3659"/>
        <v>1092</v>
      </c>
      <c r="Q3655" s="163">
        <f t="shared" si="3659"/>
        <v>1427</v>
      </c>
      <c r="R3655" s="163">
        <f>IFERROR(__xludf.DUMMYFUNCTION("RANK(M3655,filter(M:M,C:C=C3655))"),97.0)</f>
        <v>97</v>
      </c>
      <c r="S3655" s="161" t="b">
        <f t="shared" si="5"/>
        <v>1</v>
      </c>
      <c r="T3655" s="161" t="b">
        <f t="array" ref="T3655">index('Query Tool'!B:B,match(H3655,'Query Tool'!C:C,0))</f>
        <v>1</v>
      </c>
      <c r="U3655" s="161" t="b">
        <f t="array" ref="U3655">index('Query Tool'!B:B,match(C3655,'Query Tool'!C:C,0))</f>
        <v>1</v>
      </c>
      <c r="V3655" s="161" t="b">
        <f>F3655&gt;='Query Tool'!C$32</f>
        <v>1</v>
      </c>
      <c r="W3655" s="161" t="b">
        <f t="array" ref="W3655">index(Dropdowns!B:B,match(I3655,Dropdowns!A:A,0))</f>
        <v>1</v>
      </c>
      <c r="X3655" s="161" t="b">
        <f t="array" ref="X3655">index('Query Tool'!B:B,match(D3655,'Query Tool'!C:C,0))</f>
        <v>1</v>
      </c>
      <c r="Y3655" s="161" t="str">
        <f t="shared" si="6"/>
        <v>adamsst01,2020-21</v>
      </c>
      <c r="Z3655" s="168" t="str">
        <f t="array" ref="Z3655">iferror(index(I:I,match($A3655&amp;","&amp;index('Year Conversion'!$A:$A,match($C3655,'Year Conversion'!$B:$B,0)),$Y:$Y,0))-I3655,"")</f>
        <v/>
      </c>
      <c r="AA3655" s="168" t="str">
        <f t="array" ref="AA3655">iferror(index(J:J,match($A3655&amp;","&amp;index('Year Conversion'!$A:$A,match($C3655,'Year Conversion'!$B:$B,0)),$Y:$Y,0))-J3655,"")</f>
        <v/>
      </c>
      <c r="AB3655" s="168" t="str">
        <f t="array" ref="AB3655">iferror(index(K:K,match($A3655&amp;","&amp;index('Year Conversion'!$A:$A,match($C3655,'Year Conversion'!$B:$B,0)),$Y:$Y,0))-K3655,"")</f>
        <v/>
      </c>
      <c r="AC3655" s="168" t="str">
        <f t="shared" si="7"/>
        <v>NOP,2020-21</v>
      </c>
    </row>
    <row r="3656">
      <c r="A3656" s="161" t="str">
        <f>IFERROR(__xludf.DUMMYFUNCTION("""COMPUTED_VALUE"""),"hardati02")</f>
        <v>hardati02</v>
      </c>
      <c r="B3656" s="161" t="str">
        <f>IFERROR(__xludf.DUMMYFUNCTION("""COMPUTED_VALUE"""),"Tim Hardaway Jr.")</f>
        <v>Tim Hardaway Jr.</v>
      </c>
      <c r="C3656" s="162" t="str">
        <f>IFERROR(__xludf.DUMMYFUNCTION("""COMPUTED_VALUE"""),"2020-21")</f>
        <v>2020-21</v>
      </c>
      <c r="D3656" s="163" t="str">
        <f>IFERROR(__xludf.DUMMYFUNCTION("""COMPUTED_VALUE"""),"DAL")</f>
        <v>DAL</v>
      </c>
      <c r="E3656" s="164" t="str">
        <f>IFERROR(__xludf.DUMMYFUNCTION("""COMPUTED_VALUE"""),"Stationary Shooter")</f>
        <v>Stationary Shooter</v>
      </c>
      <c r="F3656" s="164">
        <f>IFERROR(__xludf.DUMMYFUNCTION("""COMPUTED_VALUE"""),825.055)</f>
        <v>825.055</v>
      </c>
      <c r="G3656" s="163">
        <f>IFERROR(__xludf.DUMMYFUNCTION("""COMPUTED_VALUE"""),27.0)</f>
        <v>27</v>
      </c>
      <c r="H3656" s="163" t="str">
        <f>IFERROR(__xludf.DUMMYFUNCTION("""COMPUTED_VALUE"""),"SG")</f>
        <v>SG</v>
      </c>
      <c r="I3656" s="163">
        <f>IFERROR(__xludf.DUMMYFUNCTION("""COMPUTED_VALUE"""),28.0)</f>
        <v>28</v>
      </c>
      <c r="J3656" s="165">
        <f>IFERROR(__xludf.DUMMYFUNCTION("""COMPUTED_VALUE"""),-1.43315412887814)</f>
        <v>-1.433154129</v>
      </c>
      <c r="K3656" s="165">
        <f>IFERROR(__xludf.DUMMYFUNCTION("""COMPUTED_VALUE"""),0.731441243654733)</f>
        <v>0.7314412437</v>
      </c>
      <c r="L3656" s="165">
        <f>IFERROR(__xludf.DUMMYFUNCTION("""COMPUTED_VALUE"""),-2.16459537253287)</f>
        <v>-2.164595373</v>
      </c>
      <c r="M3656" s="166">
        <f t="shared" si="2"/>
        <v>0.4770437088</v>
      </c>
      <c r="N3656" s="167">
        <f t="shared" si="3"/>
        <v>30.55759259</v>
      </c>
      <c r="O3656" s="163">
        <f t="shared" ref="O3656:Q3656" si="3660">rank(I3656,I:I)</f>
        <v>1090</v>
      </c>
      <c r="P3656" s="163">
        <f t="shared" si="3660"/>
        <v>2994</v>
      </c>
      <c r="Q3656" s="163">
        <f t="shared" si="3660"/>
        <v>630</v>
      </c>
      <c r="R3656" s="163">
        <f>IFERROR(__xludf.DUMMYFUNCTION("RANK(M3656,filter(M:M,C:C=C3656))"),198.0)</f>
        <v>198</v>
      </c>
      <c r="S3656" s="161" t="b">
        <f t="shared" si="5"/>
        <v>1</v>
      </c>
      <c r="T3656" s="161" t="b">
        <f t="array" ref="T3656">index('Query Tool'!B:B,match(H3656,'Query Tool'!C:C,0))</f>
        <v>1</v>
      </c>
      <c r="U3656" s="161" t="b">
        <f t="array" ref="U3656">index('Query Tool'!B:B,match(C3656,'Query Tool'!C:C,0))</f>
        <v>1</v>
      </c>
      <c r="V3656" s="161" t="b">
        <f>F3656&gt;='Query Tool'!C$32</f>
        <v>1</v>
      </c>
      <c r="W3656" s="161" t="b">
        <f t="array" ref="W3656">index(Dropdowns!B:B,match(I3656,Dropdowns!A:A,0))</f>
        <v>1</v>
      </c>
      <c r="X3656" s="161" t="b">
        <f t="array" ref="X3656">index('Query Tool'!B:B,match(D3656,'Query Tool'!C:C,0))</f>
        <v>1</v>
      </c>
      <c r="Y3656" s="161" t="str">
        <f t="shared" si="6"/>
        <v>hardati02,2020-21</v>
      </c>
      <c r="Z3656" s="168" t="str">
        <f t="array" ref="Z3656">iferror(index(I:I,match($A3656&amp;","&amp;index('Year Conversion'!$A:$A,match($C3656,'Year Conversion'!$B:$B,0)),$Y:$Y,0))-I3656,"")</f>
        <v/>
      </c>
      <c r="AA3656" s="168" t="str">
        <f t="array" ref="AA3656">iferror(index(J:J,match($A3656&amp;","&amp;index('Year Conversion'!$A:$A,match($C3656,'Year Conversion'!$B:$B,0)),$Y:$Y,0))-J3656,"")</f>
        <v/>
      </c>
      <c r="AB3656" s="168" t="str">
        <f t="array" ref="AB3656">iferror(index(K:K,match($A3656&amp;","&amp;index('Year Conversion'!$A:$A,match($C3656,'Year Conversion'!$B:$B,0)),$Y:$Y,0))-K3656,"")</f>
        <v/>
      </c>
      <c r="AC3656" s="168" t="str">
        <f t="shared" si="7"/>
        <v>DAL,2020-21</v>
      </c>
    </row>
    <row r="3657">
      <c r="A3657" s="161" t="str">
        <f>IFERROR(__xludf.DUMMYFUNCTION("""COMPUTED_VALUE"""),"snellto01")</f>
        <v>snellto01</v>
      </c>
      <c r="B3657" s="161" t="str">
        <f>IFERROR(__xludf.DUMMYFUNCTION("""COMPUTED_VALUE"""),"Tony Snell")</f>
        <v>Tony Snell</v>
      </c>
      <c r="C3657" s="162" t="str">
        <f>IFERROR(__xludf.DUMMYFUNCTION("""COMPUTED_VALUE"""),"2020-21")</f>
        <v>2020-21</v>
      </c>
      <c r="D3657" s="163" t="str">
        <f>IFERROR(__xludf.DUMMYFUNCTION("""COMPUTED_VALUE"""),"ATL")</f>
        <v>ATL</v>
      </c>
      <c r="E3657" s="164" t="str">
        <f>IFERROR(__xludf.DUMMYFUNCTION("""COMPUTED_VALUE"""),"Stationary Shooter")</f>
        <v>Stationary Shooter</v>
      </c>
      <c r="F3657" s="164">
        <f>IFERROR(__xludf.DUMMYFUNCTION("""COMPUTED_VALUE"""),232.275)</f>
        <v>232.275</v>
      </c>
      <c r="G3657" s="163">
        <f>IFERROR(__xludf.DUMMYFUNCTION("""COMPUTED_VALUE"""),17.0)</f>
        <v>17</v>
      </c>
      <c r="H3657" s="163" t="str">
        <f>IFERROR(__xludf.DUMMYFUNCTION("""COMPUTED_VALUE"""),"SG")</f>
        <v>SG</v>
      </c>
      <c r="I3657" s="163">
        <f>IFERROR(__xludf.DUMMYFUNCTION("""COMPUTED_VALUE"""),29.0)</f>
        <v>29</v>
      </c>
      <c r="J3657" s="165">
        <f>IFERROR(__xludf.DUMMYFUNCTION("""COMPUTED_VALUE"""),-2.53002619271415)</f>
        <v>-2.530026193</v>
      </c>
      <c r="K3657" s="165">
        <f>IFERROR(__xludf.DUMMYFUNCTION("""COMPUTED_VALUE"""),-2.06765518081265)</f>
        <v>-2.067655181</v>
      </c>
      <c r="L3657" s="165">
        <f>IFERROR(__xludf.DUMMYFUNCTION("""COMPUTED_VALUE"""),-0.462371011901493)</f>
        <v>-0.4623710119</v>
      </c>
      <c r="M3657" s="166">
        <f t="shared" si="2"/>
        <v>-0.03461905593</v>
      </c>
      <c r="N3657" s="167">
        <f t="shared" si="3"/>
        <v>13.66323529</v>
      </c>
      <c r="O3657" s="163">
        <f t="shared" ref="O3657:Q3657" si="3661">rank(I3657,I:I)</f>
        <v>855</v>
      </c>
      <c r="P3657" s="163">
        <f t="shared" si="3661"/>
        <v>3766</v>
      </c>
      <c r="Q3657" s="163">
        <f t="shared" si="3661"/>
        <v>3744</v>
      </c>
      <c r="R3657" s="163">
        <f>IFERROR(__xludf.DUMMYFUNCTION("RANK(M3657,filter(M:M,C:C=C3657))"),454.0)</f>
        <v>454</v>
      </c>
      <c r="S3657" s="161" t="b">
        <f t="shared" si="5"/>
        <v>0</v>
      </c>
      <c r="T3657" s="161" t="b">
        <f t="array" ref="T3657">index('Query Tool'!B:B,match(H3657,'Query Tool'!C:C,0))</f>
        <v>1</v>
      </c>
      <c r="U3657" s="161" t="b">
        <f t="array" ref="U3657">index('Query Tool'!B:B,match(C3657,'Query Tool'!C:C,0))</f>
        <v>1</v>
      </c>
      <c r="V3657" s="161" t="b">
        <f>F3657&gt;='Query Tool'!C$32</f>
        <v>0</v>
      </c>
      <c r="W3657" s="161" t="b">
        <f t="array" ref="W3657">index(Dropdowns!B:B,match(I3657,Dropdowns!A:A,0))</f>
        <v>1</v>
      </c>
      <c r="X3657" s="161" t="b">
        <f t="array" ref="X3657">index('Query Tool'!B:B,match(D3657,'Query Tool'!C:C,0))</f>
        <v>1</v>
      </c>
      <c r="Y3657" s="161" t="str">
        <f t="shared" si="6"/>
        <v>snellto01,2020-21</v>
      </c>
      <c r="Z3657" s="168" t="str">
        <f t="array" ref="Z3657">iferror(index(I:I,match($A3657&amp;","&amp;index('Year Conversion'!$A:$A,match($C3657,'Year Conversion'!$B:$B,0)),$Y:$Y,0))-I3657,"")</f>
        <v/>
      </c>
      <c r="AA3657" s="168" t="str">
        <f t="array" ref="AA3657">iferror(index(J:J,match($A3657&amp;","&amp;index('Year Conversion'!$A:$A,match($C3657,'Year Conversion'!$B:$B,0)),$Y:$Y,0))-J3657,"")</f>
        <v/>
      </c>
      <c r="AB3657" s="168" t="str">
        <f t="array" ref="AB3657">iferror(index(K:K,match($A3657&amp;","&amp;index('Year Conversion'!$A:$A,match($C3657,'Year Conversion'!$B:$B,0)),$Y:$Y,0))-K3657,"")</f>
        <v/>
      </c>
      <c r="AC3657" s="168" t="str">
        <f t="shared" si="7"/>
        <v>ATL,2020-21</v>
      </c>
    </row>
    <row r="3658">
      <c r="A3658" s="161" t="str">
        <f>IFERROR(__xludf.DUMMYFUNCTION("""COMPUTED_VALUE"""),"burketr01")</f>
        <v>burketr01</v>
      </c>
      <c r="B3658" s="161" t="str">
        <f>IFERROR(__xludf.DUMMYFUNCTION("""COMPUTED_VALUE"""),"Trey Burke")</f>
        <v>Trey Burke</v>
      </c>
      <c r="C3658" s="162" t="str">
        <f>IFERROR(__xludf.DUMMYFUNCTION("""COMPUTED_VALUE"""),"2020-21")</f>
        <v>2020-21</v>
      </c>
      <c r="D3658" s="163" t="str">
        <f>IFERROR(__xludf.DUMMYFUNCTION("""COMPUTED_VALUE"""),"DAL")</f>
        <v>DAL</v>
      </c>
      <c r="E3658" s="164" t="str">
        <f>IFERROR(__xludf.DUMMYFUNCTION("""COMPUTED_VALUE"""),"Secondary Ball Handler")</f>
        <v>Secondary Ball Handler</v>
      </c>
      <c r="F3658" s="164">
        <f>IFERROR(__xludf.DUMMYFUNCTION("""COMPUTED_VALUE"""),466.426666666667)</f>
        <v>466.4266667</v>
      </c>
      <c r="G3658" s="163">
        <f>IFERROR(__xludf.DUMMYFUNCTION("""COMPUTED_VALUE"""),27.0)</f>
        <v>27</v>
      </c>
      <c r="H3658" s="163" t="str">
        <f>IFERROR(__xludf.DUMMYFUNCTION("""COMPUTED_VALUE"""),"PG")</f>
        <v>PG</v>
      </c>
      <c r="I3658" s="163">
        <f>IFERROR(__xludf.DUMMYFUNCTION("""COMPUTED_VALUE"""),28.0)</f>
        <v>28</v>
      </c>
      <c r="J3658" s="165">
        <f>IFERROR(__xludf.DUMMYFUNCTION("""COMPUTED_VALUE"""),-1.67595418672565)</f>
        <v>-1.675954187</v>
      </c>
      <c r="K3658" s="165">
        <f>IFERROR(__xludf.DUMMYFUNCTION("""COMPUTED_VALUE"""),0.474287860618957)</f>
        <v>0.4742878606</v>
      </c>
      <c r="L3658" s="165">
        <f>IFERROR(__xludf.DUMMYFUNCTION("""COMPUTED_VALUE"""),-2.15024204734461)</f>
        <v>-2.150242047</v>
      </c>
      <c r="M3658" s="166">
        <f t="shared" si="2"/>
        <v>0.1941005611</v>
      </c>
      <c r="N3658" s="167">
        <f t="shared" si="3"/>
        <v>17.27506173</v>
      </c>
      <c r="O3658" s="163">
        <f t="shared" ref="O3658:Q3658" si="3662">rank(I3658,I:I)</f>
        <v>1090</v>
      </c>
      <c r="P3658" s="163">
        <f t="shared" si="3662"/>
        <v>3218</v>
      </c>
      <c r="Q3658" s="163">
        <f t="shared" si="3662"/>
        <v>779</v>
      </c>
      <c r="R3658" s="163">
        <f>IFERROR(__xludf.DUMMYFUNCTION("RANK(M3658,filter(M:M,C:C=C3658))"),282.0)</f>
        <v>282</v>
      </c>
      <c r="S3658" s="161" t="b">
        <f t="shared" si="5"/>
        <v>0</v>
      </c>
      <c r="T3658" s="161" t="b">
        <f t="array" ref="T3658">index('Query Tool'!B:B,match(H3658,'Query Tool'!C:C,0))</f>
        <v>1</v>
      </c>
      <c r="U3658" s="161" t="b">
        <f t="array" ref="U3658">index('Query Tool'!B:B,match(C3658,'Query Tool'!C:C,0))</f>
        <v>1</v>
      </c>
      <c r="V3658" s="161" t="b">
        <f>F3658&gt;='Query Tool'!C$32</f>
        <v>0</v>
      </c>
      <c r="W3658" s="161" t="b">
        <f t="array" ref="W3658">index(Dropdowns!B:B,match(I3658,Dropdowns!A:A,0))</f>
        <v>1</v>
      </c>
      <c r="X3658" s="161" t="b">
        <f t="array" ref="X3658">index('Query Tool'!B:B,match(D3658,'Query Tool'!C:C,0))</f>
        <v>1</v>
      </c>
      <c r="Y3658" s="161" t="str">
        <f t="shared" si="6"/>
        <v>burketr01,2020-21</v>
      </c>
      <c r="Z3658" s="168" t="str">
        <f t="array" ref="Z3658">iferror(index(I:I,match($A3658&amp;","&amp;index('Year Conversion'!$A:$A,match($C3658,'Year Conversion'!$B:$B,0)),$Y:$Y,0))-I3658,"")</f>
        <v/>
      </c>
      <c r="AA3658" s="168" t="str">
        <f t="array" ref="AA3658">iferror(index(J:J,match($A3658&amp;","&amp;index('Year Conversion'!$A:$A,match($C3658,'Year Conversion'!$B:$B,0)),$Y:$Y,0))-J3658,"")</f>
        <v/>
      </c>
      <c r="AB3658" s="168" t="str">
        <f t="array" ref="AB3658">iferror(index(K:K,match($A3658&amp;","&amp;index('Year Conversion'!$A:$A,match($C3658,'Year Conversion'!$B:$B,0)),$Y:$Y,0))-K3658,"")</f>
        <v/>
      </c>
      <c r="AC3658" s="168" t="str">
        <f t="shared" si="7"/>
        <v>DAL,2020-21</v>
      </c>
    </row>
    <row r="3659">
      <c r="A3659" s="161" t="str">
        <f>IFERROR(__xludf.DUMMYFUNCTION("""COMPUTED_VALUE"""),"oladivi01")</f>
        <v>oladivi01</v>
      </c>
      <c r="B3659" s="161" t="str">
        <f>IFERROR(__xludf.DUMMYFUNCTION("""COMPUTED_VALUE"""),"Victor Oladipo")</f>
        <v>Victor Oladipo</v>
      </c>
      <c r="C3659" s="162" t="str">
        <f>IFERROR(__xludf.DUMMYFUNCTION("""COMPUTED_VALUE"""),"2020-21")</f>
        <v>2020-21</v>
      </c>
      <c r="D3659" s="163" t="str">
        <f>IFERROR(__xludf.DUMMYFUNCTION("""COMPUTED_VALUE"""),"TOT")</f>
        <v>TOT</v>
      </c>
      <c r="E3659" s="164" t="str">
        <f>IFERROR(__xludf.DUMMYFUNCTION("""COMPUTED_VALUE"""),"Primary Ball Handler")</f>
        <v>Primary Ball Handler</v>
      </c>
      <c r="F3659" s="164">
        <f>IFERROR(__xludf.DUMMYFUNCTION("""COMPUTED_VALUE"""),639.273333333334)</f>
        <v>639.2733333</v>
      </c>
      <c r="G3659" s="163">
        <f>IFERROR(__xludf.DUMMYFUNCTION("""COMPUTED_VALUE"""),20.0)</f>
        <v>20</v>
      </c>
      <c r="H3659" s="163" t="str">
        <f>IFERROR(__xludf.DUMMYFUNCTION("""COMPUTED_VALUE"""),"SG")</f>
        <v>SG</v>
      </c>
      <c r="I3659" s="163">
        <f>IFERROR(__xludf.DUMMYFUNCTION("""COMPUTED_VALUE"""),28.0)</f>
        <v>28</v>
      </c>
      <c r="J3659" s="165">
        <f>IFERROR(__xludf.DUMMYFUNCTION("""COMPUTED_VALUE"""),1.84404631626072)</f>
        <v>1.844046316</v>
      </c>
      <c r="K3659" s="165">
        <f>IFERROR(__xludf.DUMMYFUNCTION("""COMPUTED_VALUE"""),0.957599877216654)</f>
        <v>0.9575998772</v>
      </c>
      <c r="L3659" s="165">
        <f>IFERROR(__xludf.DUMMYFUNCTION("""COMPUTED_VALUE"""),0.886446439044063)</f>
        <v>0.886446439</v>
      </c>
      <c r="M3659" s="166">
        <f t="shared" si="2"/>
        <v>1.776581501</v>
      </c>
      <c r="N3659" s="167">
        <f t="shared" si="3"/>
        <v>31.96366667</v>
      </c>
      <c r="O3659" s="163">
        <f t="shared" ref="O3659:Q3659" si="3663">rank(I3659,I:I)</f>
        <v>1090</v>
      </c>
      <c r="P3659" s="163">
        <f t="shared" si="3663"/>
        <v>360</v>
      </c>
      <c r="Q3659" s="163">
        <f t="shared" si="3663"/>
        <v>524</v>
      </c>
      <c r="R3659" s="163">
        <f>IFERROR(__xludf.DUMMYFUNCTION("RANK(M3659,filter(M:M,C:C=C3659))"),57.0)</f>
        <v>57</v>
      </c>
      <c r="S3659" s="161" t="b">
        <f t="shared" si="5"/>
        <v>1</v>
      </c>
      <c r="T3659" s="161" t="b">
        <f t="array" ref="T3659">index('Query Tool'!B:B,match(H3659,'Query Tool'!C:C,0))</f>
        <v>1</v>
      </c>
      <c r="U3659" s="161" t="b">
        <f t="array" ref="U3659">index('Query Tool'!B:B,match(C3659,'Query Tool'!C:C,0))</f>
        <v>1</v>
      </c>
      <c r="V3659" s="161" t="b">
        <f>F3659&gt;='Query Tool'!C$32</f>
        <v>1</v>
      </c>
      <c r="W3659" s="161" t="b">
        <f t="array" ref="W3659">index(Dropdowns!B:B,match(I3659,Dropdowns!A:A,0))</f>
        <v>1</v>
      </c>
      <c r="X3659" s="161" t="b">
        <f t="array" ref="X3659">index('Query Tool'!B:B,match(D3659,'Query Tool'!C:C,0))</f>
        <v>1</v>
      </c>
      <c r="Y3659" s="161" t="str">
        <f t="shared" si="6"/>
        <v>oladivi01,2020-21</v>
      </c>
      <c r="Z3659" s="168" t="str">
        <f t="array" ref="Z3659">iferror(index(I:I,match($A3659&amp;","&amp;index('Year Conversion'!$A:$A,match($C3659,'Year Conversion'!$B:$B,0)),$Y:$Y,0))-I3659,"")</f>
        <v/>
      </c>
      <c r="AA3659" s="168" t="str">
        <f t="array" ref="AA3659">iferror(index(J:J,match($A3659&amp;","&amp;index('Year Conversion'!$A:$A,match($C3659,'Year Conversion'!$B:$B,0)),$Y:$Y,0))-J3659,"")</f>
        <v/>
      </c>
      <c r="AB3659" s="168" t="str">
        <f t="array" ref="AB3659">iferror(index(K:K,match($A3659&amp;","&amp;index('Year Conversion'!$A:$A,match($C3659,'Year Conversion'!$B:$B,0)),$Y:$Y,0))-K3659,"")</f>
        <v/>
      </c>
      <c r="AC3659" s="168" t="str">
        <f t="shared" si="7"/>
        <v>TOT,2020-21</v>
      </c>
    </row>
    <row r="3660">
      <c r="A3660" s="161" t="str">
        <f>IFERROR(__xludf.DUMMYFUNCTION("""COMPUTED_VALUE"""),"antetgi01")</f>
        <v>antetgi01</v>
      </c>
      <c r="B3660" s="161" t="str">
        <f>IFERROR(__xludf.DUMMYFUNCTION("""COMPUTED_VALUE"""),"Giannis Antetokounmpo")</f>
        <v>Giannis Antetokounmpo</v>
      </c>
      <c r="C3660" s="162" t="str">
        <f>IFERROR(__xludf.DUMMYFUNCTION("""COMPUTED_VALUE"""),"2020-21")</f>
        <v>2020-21</v>
      </c>
      <c r="D3660" s="163" t="str">
        <f>IFERROR(__xludf.DUMMYFUNCTION("""COMPUTED_VALUE"""),"MIL")</f>
        <v>MIL</v>
      </c>
      <c r="E3660" s="164" t="str">
        <f>IFERROR(__xludf.DUMMYFUNCTION("""COMPUTED_VALUE"""),"Slasher")</f>
        <v>Slasher</v>
      </c>
      <c r="F3660" s="164">
        <f>IFERROR(__xludf.DUMMYFUNCTION("""COMPUTED_VALUE"""),1012.70333333333)</f>
        <v>1012.703333</v>
      </c>
      <c r="G3660" s="163">
        <f>IFERROR(__xludf.DUMMYFUNCTION("""COMPUTED_VALUE"""),30.0)</f>
        <v>30</v>
      </c>
      <c r="H3660" s="163" t="str">
        <f>IFERROR(__xludf.DUMMYFUNCTION("""COMPUTED_VALUE"""),"PF")</f>
        <v>PF</v>
      </c>
      <c r="I3660" s="163">
        <f>IFERROR(__xludf.DUMMYFUNCTION("""COMPUTED_VALUE"""),26.0)</f>
        <v>26</v>
      </c>
      <c r="J3660" s="165">
        <f>IFERROR(__xludf.DUMMYFUNCTION("""COMPUTED_VALUE"""),5.70053777571043)</f>
        <v>5.700537776</v>
      </c>
      <c r="K3660" s="165">
        <f>IFERROR(__xludf.DUMMYFUNCTION("""COMPUTED_VALUE"""),3.55924007190919)</f>
        <v>3.559240072</v>
      </c>
      <c r="L3660" s="165">
        <f>IFERROR(__xludf.DUMMYFUNCTION("""COMPUTED_VALUE"""),2.14129770380123)</f>
        <v>2.141297704</v>
      </c>
      <c r="M3660" s="166">
        <f t="shared" si="2"/>
        <v>5.286619912</v>
      </c>
      <c r="N3660" s="167">
        <f t="shared" si="3"/>
        <v>33.75677778</v>
      </c>
      <c r="O3660" s="163">
        <f t="shared" ref="O3660:Q3660" si="3664">rank(I3660,I:I)</f>
        <v>1665</v>
      </c>
      <c r="P3660" s="163">
        <f t="shared" si="3664"/>
        <v>26</v>
      </c>
      <c r="Q3660" s="163">
        <f t="shared" si="3664"/>
        <v>87</v>
      </c>
      <c r="R3660" s="163">
        <f>IFERROR(__xludf.DUMMYFUNCTION("RANK(M3660,filter(M:M,C:C=C3660))"),3.0)</f>
        <v>3</v>
      </c>
      <c r="S3660" s="161" t="b">
        <f t="shared" si="5"/>
        <v>1</v>
      </c>
      <c r="T3660" s="161" t="b">
        <f t="array" ref="T3660">index('Query Tool'!B:B,match(H3660,'Query Tool'!C:C,0))</f>
        <v>1</v>
      </c>
      <c r="U3660" s="161" t="b">
        <f t="array" ref="U3660">index('Query Tool'!B:B,match(C3660,'Query Tool'!C:C,0))</f>
        <v>1</v>
      </c>
      <c r="V3660" s="161" t="b">
        <f>F3660&gt;='Query Tool'!C$32</f>
        <v>1</v>
      </c>
      <c r="W3660" s="161" t="b">
        <f t="array" ref="W3660">index(Dropdowns!B:B,match(I3660,Dropdowns!A:A,0))</f>
        <v>1</v>
      </c>
      <c r="X3660" s="161" t="b">
        <f t="array" ref="X3660">index('Query Tool'!B:B,match(D3660,'Query Tool'!C:C,0))</f>
        <v>1</v>
      </c>
      <c r="Y3660" s="161" t="str">
        <f t="shared" si="6"/>
        <v>antetgi01,2020-21</v>
      </c>
      <c r="Z3660" s="168" t="str">
        <f t="array" ref="Z3660">iferror(index(I:I,match($A3660&amp;","&amp;index('Year Conversion'!$A:$A,match($C3660,'Year Conversion'!$B:$B,0)),$Y:$Y,0))-I3660,"")</f>
        <v/>
      </c>
      <c r="AA3660" s="168" t="str">
        <f t="array" ref="AA3660">iferror(index(J:J,match($A3660&amp;","&amp;index('Year Conversion'!$A:$A,match($C3660,'Year Conversion'!$B:$B,0)),$Y:$Y,0))-J3660,"")</f>
        <v/>
      </c>
      <c r="AB3660" s="168" t="str">
        <f t="array" ref="AB3660">iferror(index(K:K,match($A3660&amp;","&amp;index('Year Conversion'!$A:$A,match($C3660,'Year Conversion'!$B:$B,0)),$Y:$Y,0))-K3660,"")</f>
        <v/>
      </c>
      <c r="AC3660" s="168" t="str">
        <f t="shared" si="7"/>
        <v>MIL,2020-21</v>
      </c>
    </row>
    <row r="3661">
      <c r="A3661" s="161" t="str">
        <f>IFERROR(__xludf.DUMMYFUNCTION("""COMPUTED_VALUE"""),"ennisja01")</f>
        <v>ennisja01</v>
      </c>
      <c r="B3661" s="161" t="str">
        <f>IFERROR(__xludf.DUMMYFUNCTION("""COMPUTED_VALUE"""),"James Ennis III")</f>
        <v>James Ennis III</v>
      </c>
      <c r="C3661" s="162" t="str">
        <f>IFERROR(__xludf.DUMMYFUNCTION("""COMPUTED_VALUE"""),"2020-21")</f>
        <v>2020-21</v>
      </c>
      <c r="D3661" s="163" t="str">
        <f>IFERROR(__xludf.DUMMYFUNCTION("""COMPUTED_VALUE"""),"ORL")</f>
        <v>ORL</v>
      </c>
      <c r="E3661" s="164" t="str">
        <f>IFERROR(__xludf.DUMMYFUNCTION("""COMPUTED_VALUE"""),"Athletic Finisher")</f>
        <v>Athletic Finisher</v>
      </c>
      <c r="F3661" s="164">
        <f>IFERROR(__xludf.DUMMYFUNCTION("""COMPUTED_VALUE"""),473.996666666667)</f>
        <v>473.9966667</v>
      </c>
      <c r="G3661" s="163">
        <f>IFERROR(__xludf.DUMMYFUNCTION("""COMPUTED_VALUE"""),22.0)</f>
        <v>22</v>
      </c>
      <c r="H3661" s="163" t="str">
        <f>IFERROR(__xludf.DUMMYFUNCTION("""COMPUTED_VALUE"""),"SF")</f>
        <v>SF</v>
      </c>
      <c r="I3661" s="163">
        <f>IFERROR(__xludf.DUMMYFUNCTION("""COMPUTED_VALUE"""),30.0)</f>
        <v>30</v>
      </c>
      <c r="J3661" s="165">
        <f>IFERROR(__xludf.DUMMYFUNCTION("""COMPUTED_VALUE"""),-0.14793788368997)</f>
        <v>-0.1479378837</v>
      </c>
      <c r="K3661" s="165">
        <f>IFERROR(__xludf.DUMMYFUNCTION("""COMPUTED_VALUE"""),-1.90836134196095)</f>
        <v>-1.908361342</v>
      </c>
      <c r="L3661" s="165">
        <f>IFERROR(__xludf.DUMMYFUNCTION("""COMPUTED_VALUE"""),1.76042345827098)</f>
        <v>1.760423458</v>
      </c>
      <c r="M3661" s="166">
        <f t="shared" si="2"/>
        <v>0.6834707172</v>
      </c>
      <c r="N3661" s="167">
        <f t="shared" si="3"/>
        <v>21.54530303</v>
      </c>
      <c r="O3661" s="163">
        <f t="shared" ref="O3661:Q3661" si="3665">rank(I3661,I:I)</f>
        <v>655</v>
      </c>
      <c r="P3661" s="163">
        <f t="shared" si="3665"/>
        <v>1437</v>
      </c>
      <c r="Q3661" s="163">
        <f t="shared" si="3665"/>
        <v>3655</v>
      </c>
      <c r="R3661" s="163">
        <f>IFERROR(__xludf.DUMMYFUNCTION("RANK(M3661,filter(M:M,C:C=C3661))"),159.0)</f>
        <v>159</v>
      </c>
      <c r="S3661" s="161" t="b">
        <f t="shared" si="5"/>
        <v>0</v>
      </c>
      <c r="T3661" s="161" t="b">
        <f t="array" ref="T3661">index('Query Tool'!B:B,match(H3661,'Query Tool'!C:C,0))</f>
        <v>1</v>
      </c>
      <c r="U3661" s="161" t="b">
        <f t="array" ref="U3661">index('Query Tool'!B:B,match(C3661,'Query Tool'!C:C,0))</f>
        <v>1</v>
      </c>
      <c r="V3661" s="161" t="b">
        <f>F3661&gt;='Query Tool'!C$32</f>
        <v>0</v>
      </c>
      <c r="W3661" s="161" t="b">
        <f t="array" ref="W3661">index(Dropdowns!B:B,match(I3661,Dropdowns!A:A,0))</f>
        <v>1</v>
      </c>
      <c r="X3661" s="161" t="b">
        <f t="array" ref="X3661">index('Query Tool'!B:B,match(D3661,'Query Tool'!C:C,0))</f>
        <v>1</v>
      </c>
      <c r="Y3661" s="161" t="str">
        <f t="shared" si="6"/>
        <v>ennisja01,2020-21</v>
      </c>
      <c r="Z3661" s="168" t="str">
        <f t="array" ref="Z3661">iferror(index(I:I,match($A3661&amp;","&amp;index('Year Conversion'!$A:$A,match($C3661,'Year Conversion'!$B:$B,0)),$Y:$Y,0))-I3661,"")</f>
        <v/>
      </c>
      <c r="AA3661" s="168" t="str">
        <f t="array" ref="AA3661">iferror(index(J:J,match($A3661&amp;","&amp;index('Year Conversion'!$A:$A,match($C3661,'Year Conversion'!$B:$B,0)),$Y:$Y,0))-J3661,"")</f>
        <v/>
      </c>
      <c r="AB3661" s="168" t="str">
        <f t="array" ref="AB3661">iferror(index(K:K,match($A3661&amp;","&amp;index('Year Conversion'!$A:$A,match($C3661,'Year Conversion'!$B:$B,0)),$Y:$Y,0))-K3661,"")</f>
        <v/>
      </c>
      <c r="AC3661" s="168" t="str">
        <f t="shared" si="7"/>
        <v>ORL,2020-21</v>
      </c>
    </row>
    <row r="3662">
      <c r="A3662" s="161" t="str">
        <f>IFERROR(__xludf.DUMMYFUNCTION("""COMPUTED_VALUE"""),"hillso01")</f>
        <v>hillso01</v>
      </c>
      <c r="B3662" s="161" t="str">
        <f>IFERROR(__xludf.DUMMYFUNCTION("""COMPUTED_VALUE"""),"Solomon Hill")</f>
        <v>Solomon Hill</v>
      </c>
      <c r="C3662" s="162" t="str">
        <f>IFERROR(__xludf.DUMMYFUNCTION("""COMPUTED_VALUE"""),"2020-21")</f>
        <v>2020-21</v>
      </c>
      <c r="D3662" s="163" t="str">
        <f>IFERROR(__xludf.DUMMYFUNCTION("""COMPUTED_VALUE"""),"ATL")</f>
        <v>ATL</v>
      </c>
      <c r="E3662" s="164" t="str">
        <f>IFERROR(__xludf.DUMMYFUNCTION("""COMPUTED_VALUE"""),"Stationary Shooter")</f>
        <v>Stationary Shooter</v>
      </c>
      <c r="F3662" s="164">
        <f>IFERROR(__xludf.DUMMYFUNCTION("""COMPUTED_VALUE"""),564.743333333333)</f>
        <v>564.7433333</v>
      </c>
      <c r="G3662" s="163">
        <f>IFERROR(__xludf.DUMMYFUNCTION("""COMPUTED_VALUE"""),30.0)</f>
        <v>30</v>
      </c>
      <c r="H3662" s="163" t="str">
        <f>IFERROR(__xludf.DUMMYFUNCTION("""COMPUTED_VALUE"""),"PF")</f>
        <v>PF</v>
      </c>
      <c r="I3662" s="163">
        <f>IFERROR(__xludf.DUMMYFUNCTION("""COMPUTED_VALUE"""),29.0)</f>
        <v>29</v>
      </c>
      <c r="J3662" s="165">
        <f>IFERROR(__xludf.DUMMYFUNCTION("""COMPUTED_VALUE"""),-2.34515410454349)</f>
        <v>-2.345154105</v>
      </c>
      <c r="K3662" s="165">
        <f>IFERROR(__xludf.DUMMYFUNCTION("""COMPUTED_VALUE"""),-1.56661149575794)</f>
        <v>-1.566611496</v>
      </c>
      <c r="L3662" s="165">
        <f>IFERROR(__xludf.DUMMYFUNCTION("""COMPUTED_VALUE"""),-0.778542608785548)</f>
        <v>-0.7785426088</v>
      </c>
      <c r="M3662" s="166">
        <f t="shared" si="2"/>
        <v>-0.01549777292</v>
      </c>
      <c r="N3662" s="167">
        <f t="shared" si="3"/>
        <v>18.82477778</v>
      </c>
      <c r="O3662" s="163">
        <f t="shared" ref="O3662:Q3662" si="3666">rank(I3662,I:I)</f>
        <v>855</v>
      </c>
      <c r="P3662" s="163">
        <f t="shared" si="3666"/>
        <v>3681</v>
      </c>
      <c r="Q3662" s="163">
        <f t="shared" si="3666"/>
        <v>3421</v>
      </c>
      <c r="R3662" s="163">
        <f>IFERROR(__xludf.DUMMYFUNCTION("RANK(M3662,filter(M:M,C:C=C3662))"),451.0)</f>
        <v>451</v>
      </c>
      <c r="S3662" s="161" t="b">
        <f t="shared" si="5"/>
        <v>1</v>
      </c>
      <c r="T3662" s="161" t="b">
        <f t="array" ref="T3662">index('Query Tool'!B:B,match(H3662,'Query Tool'!C:C,0))</f>
        <v>1</v>
      </c>
      <c r="U3662" s="161" t="b">
        <f t="array" ref="U3662">index('Query Tool'!B:B,match(C3662,'Query Tool'!C:C,0))</f>
        <v>1</v>
      </c>
      <c r="V3662" s="161" t="b">
        <f>F3662&gt;='Query Tool'!C$32</f>
        <v>1</v>
      </c>
      <c r="W3662" s="161" t="b">
        <f t="array" ref="W3662">index(Dropdowns!B:B,match(I3662,Dropdowns!A:A,0))</f>
        <v>1</v>
      </c>
      <c r="X3662" s="161" t="b">
        <f t="array" ref="X3662">index('Query Tool'!B:B,match(D3662,'Query Tool'!C:C,0))</f>
        <v>1</v>
      </c>
      <c r="Y3662" s="161" t="str">
        <f t="shared" si="6"/>
        <v>hillso01,2020-21</v>
      </c>
      <c r="Z3662" s="168" t="str">
        <f t="array" ref="Z3662">iferror(index(I:I,match($A3662&amp;","&amp;index('Year Conversion'!$A:$A,match($C3662,'Year Conversion'!$B:$B,0)),$Y:$Y,0))-I3662,"")</f>
        <v/>
      </c>
      <c r="AA3662" s="168" t="str">
        <f t="array" ref="AA3662">iferror(index(J:J,match($A3662&amp;","&amp;index('Year Conversion'!$A:$A,match($C3662,'Year Conversion'!$B:$B,0)),$Y:$Y,0))-J3662,"")</f>
        <v/>
      </c>
      <c r="AB3662" s="168" t="str">
        <f t="array" ref="AB3662">iferror(index(K:K,match($A3662&amp;","&amp;index('Year Conversion'!$A:$A,match($C3662,'Year Conversion'!$B:$B,0)),$Y:$Y,0))-K3662,"")</f>
        <v/>
      </c>
      <c r="AC3662" s="168" t="str">
        <f t="shared" si="7"/>
        <v>ATL,2020-21</v>
      </c>
    </row>
    <row r="3663">
      <c r="A3663" s="161" t="str">
        <f>IFERROR(__xludf.DUMMYFUNCTION("""COMPUTED_VALUE"""),"netora01")</f>
        <v>netora01</v>
      </c>
      <c r="B3663" s="161" t="str">
        <f>IFERROR(__xludf.DUMMYFUNCTION("""COMPUTED_VALUE"""),"Raul Neto")</f>
        <v>Raul Neto</v>
      </c>
      <c r="C3663" s="162" t="str">
        <f>IFERROR(__xludf.DUMMYFUNCTION("""COMPUTED_VALUE"""),"2020-21")</f>
        <v>2020-21</v>
      </c>
      <c r="D3663" s="163" t="str">
        <f>IFERROR(__xludf.DUMMYFUNCTION("""COMPUTED_VALUE"""),"WAS")</f>
        <v>WAS</v>
      </c>
      <c r="E3663" s="164" t="str">
        <f>IFERROR(__xludf.DUMMYFUNCTION("""COMPUTED_VALUE"""),"Secondary Ball Handler")</f>
        <v>Secondary Ball Handler</v>
      </c>
      <c r="F3663" s="164">
        <f>IFERROR(__xludf.DUMMYFUNCTION("""COMPUTED_VALUE"""),419.481666666667)</f>
        <v>419.4816667</v>
      </c>
      <c r="G3663" s="163">
        <f>IFERROR(__xludf.DUMMYFUNCTION("""COMPUTED_VALUE"""),22.0)</f>
        <v>22</v>
      </c>
      <c r="H3663" s="163" t="str">
        <f>IFERROR(__xludf.DUMMYFUNCTION("""COMPUTED_VALUE"""),"PG")</f>
        <v>PG</v>
      </c>
      <c r="I3663" s="163">
        <f>IFERROR(__xludf.DUMMYFUNCTION("""COMPUTED_VALUE"""),28.0)</f>
        <v>28</v>
      </c>
      <c r="J3663" s="165">
        <f>IFERROR(__xludf.DUMMYFUNCTION("""COMPUTED_VALUE"""),-1.2202023432311)</f>
        <v>-1.220202343</v>
      </c>
      <c r="K3663" s="165">
        <f>IFERROR(__xludf.DUMMYFUNCTION("""COMPUTED_VALUE"""),-0.355302883655105)</f>
        <v>-0.3553028837</v>
      </c>
      <c r="L3663" s="165">
        <f>IFERROR(__xludf.DUMMYFUNCTION("""COMPUTED_VALUE"""),-0.864899459575993)</f>
        <v>-0.8648994596</v>
      </c>
      <c r="M3663" s="166">
        <f t="shared" si="2"/>
        <v>0.3023271434</v>
      </c>
      <c r="N3663" s="167">
        <f t="shared" si="3"/>
        <v>19.06734848</v>
      </c>
      <c r="O3663" s="163">
        <f t="shared" ref="O3663:Q3663" si="3667">rank(I3663,I:I)</f>
        <v>1090</v>
      </c>
      <c r="P3663" s="163">
        <f t="shared" si="3667"/>
        <v>2773</v>
      </c>
      <c r="Q3663" s="163">
        <f t="shared" si="3667"/>
        <v>1867</v>
      </c>
      <c r="R3663" s="163">
        <f>IFERROR(__xludf.DUMMYFUNCTION("RANK(M3663,filter(M:M,C:C=C3663))"),245.0)</f>
        <v>245</v>
      </c>
      <c r="S3663" s="161" t="b">
        <f t="shared" si="5"/>
        <v>0</v>
      </c>
      <c r="T3663" s="161" t="b">
        <f t="array" ref="T3663">index('Query Tool'!B:B,match(H3663,'Query Tool'!C:C,0))</f>
        <v>1</v>
      </c>
      <c r="U3663" s="161" t="b">
        <f t="array" ref="U3663">index('Query Tool'!B:B,match(C3663,'Query Tool'!C:C,0))</f>
        <v>1</v>
      </c>
      <c r="V3663" s="161" t="b">
        <f>F3663&gt;='Query Tool'!C$32</f>
        <v>0</v>
      </c>
      <c r="W3663" s="161" t="b">
        <f t="array" ref="W3663">index(Dropdowns!B:B,match(I3663,Dropdowns!A:A,0))</f>
        <v>1</v>
      </c>
      <c r="X3663" s="161" t="b">
        <f t="array" ref="X3663">index('Query Tool'!B:B,match(D3663,'Query Tool'!C:C,0))</f>
        <v>1</v>
      </c>
      <c r="Y3663" s="161" t="str">
        <f t="shared" si="6"/>
        <v>netora01,2020-21</v>
      </c>
      <c r="Z3663" s="168" t="str">
        <f t="array" ref="Z3663">iferror(index(I:I,match($A3663&amp;","&amp;index('Year Conversion'!$A:$A,match($C3663,'Year Conversion'!$B:$B,0)),$Y:$Y,0))-I3663,"")</f>
        <v/>
      </c>
      <c r="AA3663" s="168" t="str">
        <f t="array" ref="AA3663">iferror(index(J:J,match($A3663&amp;","&amp;index('Year Conversion'!$A:$A,match($C3663,'Year Conversion'!$B:$B,0)),$Y:$Y,0))-J3663,"")</f>
        <v/>
      </c>
      <c r="AB3663" s="168" t="str">
        <f t="array" ref="AB3663">iferror(index(K:K,match($A3663&amp;","&amp;index('Year Conversion'!$A:$A,match($C3663,'Year Conversion'!$B:$B,0)),$Y:$Y,0))-K3663,"")</f>
        <v/>
      </c>
      <c r="AC3663" s="168" t="str">
        <f t="shared" si="7"/>
        <v>WAS,2020-21</v>
      </c>
    </row>
    <row r="3664">
      <c r="A3664" s="161" t="str">
        <f>IFERROR(__xludf.DUMMYFUNCTION("""COMPUTED_VALUE"""),"curryse01")</f>
        <v>curryse01</v>
      </c>
      <c r="B3664" s="161" t="str">
        <f>IFERROR(__xludf.DUMMYFUNCTION("""COMPUTED_VALUE"""),"Seth Curry")</f>
        <v>Seth Curry</v>
      </c>
      <c r="C3664" s="162" t="str">
        <f>IFERROR(__xludf.DUMMYFUNCTION("""COMPUTED_VALUE"""),"2020-21")</f>
        <v>2020-21</v>
      </c>
      <c r="D3664" s="163" t="str">
        <f>IFERROR(__xludf.DUMMYFUNCTION("""COMPUTED_VALUE"""),"PHI")</f>
        <v>PHI</v>
      </c>
      <c r="E3664" s="164" t="str">
        <f>IFERROR(__xludf.DUMMYFUNCTION("""COMPUTED_VALUE"""),"Movement Shooter")</f>
        <v>Movement Shooter</v>
      </c>
      <c r="F3664" s="164">
        <f>IFERROR(__xludf.DUMMYFUNCTION("""COMPUTED_VALUE"""),710.478333333333)</f>
        <v>710.4783333</v>
      </c>
      <c r="G3664" s="163">
        <f>IFERROR(__xludf.DUMMYFUNCTION("""COMPUTED_VALUE"""),24.0)</f>
        <v>24</v>
      </c>
      <c r="H3664" s="163" t="str">
        <f>IFERROR(__xludf.DUMMYFUNCTION("""COMPUTED_VALUE"""),"SG")</f>
        <v>SG</v>
      </c>
      <c r="I3664" s="163">
        <f>IFERROR(__xludf.DUMMYFUNCTION("""COMPUTED_VALUE"""),30.0)</f>
        <v>30</v>
      </c>
      <c r="J3664" s="165">
        <f>IFERROR(__xludf.DUMMYFUNCTION("""COMPUTED_VALUE"""),-0.253000590516868)</f>
        <v>-0.2530005905</v>
      </c>
      <c r="K3664" s="165">
        <f>IFERROR(__xludf.DUMMYFUNCTION("""COMPUTED_VALUE"""),-0.192359723713215)</f>
        <v>-0.1923597237</v>
      </c>
      <c r="L3664" s="165">
        <f>IFERROR(__xludf.DUMMYFUNCTION("""COMPUTED_VALUE"""),-0.0606408668036532)</f>
        <v>-0.0606408668</v>
      </c>
      <c r="M3664" s="166">
        <f t="shared" si="2"/>
        <v>0.9741449501</v>
      </c>
      <c r="N3664" s="167">
        <f t="shared" si="3"/>
        <v>29.60326389</v>
      </c>
      <c r="O3664" s="163">
        <f t="shared" ref="O3664:Q3664" si="3668">rank(I3664,I:I)</f>
        <v>655</v>
      </c>
      <c r="P3664" s="163">
        <f t="shared" si="3668"/>
        <v>1561</v>
      </c>
      <c r="Q3664" s="163">
        <f t="shared" si="3668"/>
        <v>1552</v>
      </c>
      <c r="R3664" s="163">
        <f>IFERROR(__xludf.DUMMYFUNCTION("RANK(M3664,filter(M:M,C:C=C3664))"),123.0)</f>
        <v>123</v>
      </c>
      <c r="S3664" s="161" t="b">
        <f t="shared" si="5"/>
        <v>1</v>
      </c>
      <c r="T3664" s="161" t="b">
        <f t="array" ref="T3664">index('Query Tool'!B:B,match(H3664,'Query Tool'!C:C,0))</f>
        <v>1</v>
      </c>
      <c r="U3664" s="161" t="b">
        <f t="array" ref="U3664">index('Query Tool'!B:B,match(C3664,'Query Tool'!C:C,0))</f>
        <v>1</v>
      </c>
      <c r="V3664" s="161" t="b">
        <f>F3664&gt;='Query Tool'!C$32</f>
        <v>1</v>
      </c>
      <c r="W3664" s="161" t="b">
        <f t="array" ref="W3664">index(Dropdowns!B:B,match(I3664,Dropdowns!A:A,0))</f>
        <v>1</v>
      </c>
      <c r="X3664" s="161" t="b">
        <f t="array" ref="X3664">index('Query Tool'!B:B,match(D3664,'Query Tool'!C:C,0))</f>
        <v>1</v>
      </c>
      <c r="Y3664" s="161" t="str">
        <f t="shared" si="6"/>
        <v>curryse01,2020-21</v>
      </c>
      <c r="Z3664" s="168" t="str">
        <f t="array" ref="Z3664">iferror(index(I:I,match($A3664&amp;","&amp;index('Year Conversion'!$A:$A,match($C3664,'Year Conversion'!$B:$B,0)),$Y:$Y,0))-I3664,"")</f>
        <v/>
      </c>
      <c r="AA3664" s="168" t="str">
        <f t="array" ref="AA3664">iferror(index(J:J,match($A3664&amp;","&amp;index('Year Conversion'!$A:$A,match($C3664,'Year Conversion'!$B:$B,0)),$Y:$Y,0))-J3664,"")</f>
        <v/>
      </c>
      <c r="AB3664" s="168" t="str">
        <f t="array" ref="AB3664">iferror(index(K:K,match($A3664&amp;","&amp;index('Year Conversion'!$A:$A,match($C3664,'Year Conversion'!$B:$B,0)),$Y:$Y,0))-K3664,"")</f>
        <v/>
      </c>
      <c r="AC3664" s="168" t="str">
        <f t="shared" si="7"/>
        <v>PHI,2020-21</v>
      </c>
    </row>
    <row r="3665">
      <c r="A3665" s="161" t="str">
        <f>IFERROR(__xludf.DUMMYFUNCTION("""COMPUTED_VALUE"""),"mcgruro01")</f>
        <v>mcgruro01</v>
      </c>
      <c r="B3665" s="161" t="str">
        <f>IFERROR(__xludf.DUMMYFUNCTION("""COMPUTED_VALUE"""),"Rodney McGruder")</f>
        <v>Rodney McGruder</v>
      </c>
      <c r="C3665" s="162" t="str">
        <f>IFERROR(__xludf.DUMMYFUNCTION("""COMPUTED_VALUE"""),"2020-21")</f>
        <v>2020-21</v>
      </c>
      <c r="D3665" s="163" t="str">
        <f>IFERROR(__xludf.DUMMYFUNCTION("""COMPUTED_VALUE"""),"DET")</f>
        <v>DET</v>
      </c>
      <c r="E3665" s="164" t="str">
        <f>IFERROR(__xludf.DUMMYFUNCTION("""COMPUTED_VALUE"""),"Secondary Ball Handler")</f>
        <v>Secondary Ball Handler</v>
      </c>
      <c r="F3665" s="164">
        <f>IFERROR(__xludf.DUMMYFUNCTION("""COMPUTED_VALUE"""),63.5266666666666)</f>
        <v>63.52666667</v>
      </c>
      <c r="G3665" s="163">
        <f>IFERROR(__xludf.DUMMYFUNCTION("""COMPUTED_VALUE"""),8.0)</f>
        <v>8</v>
      </c>
      <c r="H3665" s="163" t="str">
        <f>IFERROR(__xludf.DUMMYFUNCTION("""COMPUTED_VALUE"""),"SG")</f>
        <v>SG</v>
      </c>
      <c r="I3665" s="163">
        <f>IFERROR(__xludf.DUMMYFUNCTION("""COMPUTED_VALUE"""),29.0)</f>
        <v>29</v>
      </c>
      <c r="J3665" s="165">
        <f>IFERROR(__xludf.DUMMYFUNCTION("""COMPUTED_VALUE"""),-1.19453588343643)</f>
        <v>-1.194535883</v>
      </c>
      <c r="K3665" s="165">
        <f>IFERROR(__xludf.DUMMYFUNCTION("""COMPUTED_VALUE"""),-0.801956964088598)</f>
        <v>-0.8019569641</v>
      </c>
      <c r="L3665" s="165">
        <f>IFERROR(__xludf.DUMMYFUNCTION("""COMPUTED_VALUE"""),-0.392578919347835)</f>
        <v>-0.3925789193</v>
      </c>
      <c r="M3665" s="166">
        <f t="shared" si="2"/>
        <v>0.04687730226</v>
      </c>
      <c r="N3665" s="167">
        <f t="shared" si="3"/>
        <v>7.940833333</v>
      </c>
      <c r="O3665" s="163">
        <f t="shared" ref="O3665:Q3665" si="3669">rank(I3665,I:I)</f>
        <v>855</v>
      </c>
      <c r="P3665" s="163">
        <f t="shared" si="3669"/>
        <v>2738</v>
      </c>
      <c r="Q3665" s="163">
        <f t="shared" si="3669"/>
        <v>2560</v>
      </c>
      <c r="R3665" s="163">
        <f>IFERROR(__xludf.DUMMYFUNCTION("RANK(M3665,filter(M:M,C:C=C3665))"),385.0)</f>
        <v>385</v>
      </c>
      <c r="S3665" s="161" t="b">
        <f t="shared" si="5"/>
        <v>0</v>
      </c>
      <c r="T3665" s="161" t="b">
        <f t="array" ref="T3665">index('Query Tool'!B:B,match(H3665,'Query Tool'!C:C,0))</f>
        <v>1</v>
      </c>
      <c r="U3665" s="161" t="b">
        <f t="array" ref="U3665">index('Query Tool'!B:B,match(C3665,'Query Tool'!C:C,0))</f>
        <v>1</v>
      </c>
      <c r="V3665" s="161" t="b">
        <f>F3665&gt;='Query Tool'!C$32</f>
        <v>0</v>
      </c>
      <c r="W3665" s="161" t="b">
        <f t="array" ref="W3665">index(Dropdowns!B:B,match(I3665,Dropdowns!A:A,0))</f>
        <v>1</v>
      </c>
      <c r="X3665" s="161" t="b">
        <f t="array" ref="X3665">index('Query Tool'!B:B,match(D3665,'Query Tool'!C:C,0))</f>
        <v>1</v>
      </c>
      <c r="Y3665" s="161" t="str">
        <f t="shared" si="6"/>
        <v>mcgruro01,2020-21</v>
      </c>
      <c r="Z3665" s="168" t="str">
        <f t="array" ref="Z3665">iferror(index(I:I,match($A3665&amp;","&amp;index('Year Conversion'!$A:$A,match($C3665,'Year Conversion'!$B:$B,0)),$Y:$Y,0))-I3665,"")</f>
        <v/>
      </c>
      <c r="AA3665" s="168" t="str">
        <f t="array" ref="AA3665">iferror(index(J:J,match($A3665&amp;","&amp;index('Year Conversion'!$A:$A,match($C3665,'Year Conversion'!$B:$B,0)),$Y:$Y,0))-J3665,"")</f>
        <v/>
      </c>
      <c r="AB3665" s="168" t="str">
        <f t="array" ref="AB3665">iferror(index(K:K,match($A3665&amp;","&amp;index('Year Conversion'!$A:$A,match($C3665,'Year Conversion'!$B:$B,0)),$Y:$Y,0))-K3665,"")</f>
        <v/>
      </c>
      <c r="AC3665" s="168" t="str">
        <f t="shared" si="7"/>
        <v>DET,2020-21</v>
      </c>
    </row>
    <row r="3666">
      <c r="A3666" s="161" t="str">
        <f>IFERROR(__xludf.DUMMYFUNCTION("""COMPUTED_VALUE"""),"antetth01")</f>
        <v>antetth01</v>
      </c>
      <c r="B3666" s="161" t="str">
        <f>IFERROR(__xludf.DUMMYFUNCTION("""COMPUTED_VALUE"""),"Thanasis Antetokounmpo")</f>
        <v>Thanasis Antetokounmpo</v>
      </c>
      <c r="C3666" s="162" t="str">
        <f>IFERROR(__xludf.DUMMYFUNCTION("""COMPUTED_VALUE"""),"2020-21")</f>
        <v>2020-21</v>
      </c>
      <c r="D3666" s="163" t="str">
        <f>IFERROR(__xludf.DUMMYFUNCTION("""COMPUTED_VALUE"""),"MIL")</f>
        <v>MIL</v>
      </c>
      <c r="E3666" s="164" t="str">
        <f>IFERROR(__xludf.DUMMYFUNCTION("""COMPUTED_VALUE"""),"Stretch Big")</f>
        <v>Stretch Big</v>
      </c>
      <c r="F3666" s="164">
        <f>IFERROR(__xludf.DUMMYFUNCTION("""COMPUTED_VALUE"""),184.06)</f>
        <v>184.06</v>
      </c>
      <c r="G3666" s="163">
        <f>IFERROR(__xludf.DUMMYFUNCTION("""COMPUTED_VALUE"""),21.0)</f>
        <v>21</v>
      </c>
      <c r="H3666" s="163" t="str">
        <f>IFERROR(__xludf.DUMMYFUNCTION("""COMPUTED_VALUE"""),"SF")</f>
        <v>SF</v>
      </c>
      <c r="I3666" s="163">
        <f>IFERROR(__xludf.DUMMYFUNCTION("""COMPUTED_VALUE"""),28.0)</f>
        <v>28</v>
      </c>
      <c r="J3666" s="165">
        <f>IFERROR(__xludf.DUMMYFUNCTION("""COMPUTED_VALUE"""),-2.14236173706503)</f>
        <v>-2.142361737</v>
      </c>
      <c r="K3666" s="165">
        <f>IFERROR(__xludf.DUMMYFUNCTION("""COMPUTED_VALUE"""),-1.90707143189355)</f>
        <v>-1.907071432</v>
      </c>
      <c r="L3666" s="165">
        <f>IFERROR(__xludf.DUMMYFUNCTION("""COMPUTED_VALUE"""),-0.235290305171473)</f>
        <v>-0.2352903052</v>
      </c>
      <c r="M3666" s="166">
        <f t="shared" si="2"/>
        <v>0.01959274301</v>
      </c>
      <c r="N3666" s="167">
        <f t="shared" si="3"/>
        <v>8.764761905</v>
      </c>
      <c r="O3666" s="163">
        <f t="shared" ref="O3666:Q3666" si="3670">rank(I3666,I:I)</f>
        <v>1090</v>
      </c>
      <c r="P3666" s="163">
        <f t="shared" si="3670"/>
        <v>3581</v>
      </c>
      <c r="Q3666" s="163">
        <f t="shared" si="3670"/>
        <v>3653</v>
      </c>
      <c r="R3666" s="163">
        <f>IFERROR(__xludf.DUMMYFUNCTION("RANK(M3666,filter(M:M,C:C=C3666))"),420.0)</f>
        <v>420</v>
      </c>
      <c r="S3666" s="161" t="b">
        <f t="shared" si="5"/>
        <v>0</v>
      </c>
      <c r="T3666" s="161" t="b">
        <f t="array" ref="T3666">index('Query Tool'!B:B,match(H3666,'Query Tool'!C:C,0))</f>
        <v>1</v>
      </c>
      <c r="U3666" s="161" t="b">
        <f t="array" ref="U3666">index('Query Tool'!B:B,match(C3666,'Query Tool'!C:C,0))</f>
        <v>1</v>
      </c>
      <c r="V3666" s="161" t="b">
        <f>F3666&gt;='Query Tool'!C$32</f>
        <v>0</v>
      </c>
      <c r="W3666" s="161" t="b">
        <f t="array" ref="W3666">index(Dropdowns!B:B,match(I3666,Dropdowns!A:A,0))</f>
        <v>1</v>
      </c>
      <c r="X3666" s="161" t="b">
        <f t="array" ref="X3666">index('Query Tool'!B:B,match(D3666,'Query Tool'!C:C,0))</f>
        <v>1</v>
      </c>
      <c r="Y3666" s="161" t="str">
        <f t="shared" si="6"/>
        <v>antetth01,2020-21</v>
      </c>
      <c r="Z3666" s="168" t="str">
        <f t="array" ref="Z3666">iferror(index(I:I,match($A3666&amp;","&amp;index('Year Conversion'!$A:$A,match($C3666,'Year Conversion'!$B:$B,0)),$Y:$Y,0))-I3666,"")</f>
        <v/>
      </c>
      <c r="AA3666" s="168" t="str">
        <f t="array" ref="AA3666">iferror(index(J:J,match($A3666&amp;","&amp;index('Year Conversion'!$A:$A,match($C3666,'Year Conversion'!$B:$B,0)),$Y:$Y,0))-J3666,"")</f>
        <v/>
      </c>
      <c r="AB3666" s="168" t="str">
        <f t="array" ref="AB3666">iferror(index(K:K,match($A3666&amp;","&amp;index('Year Conversion'!$A:$A,match($C3666,'Year Conversion'!$B:$B,0)),$Y:$Y,0))-K3666,"")</f>
        <v/>
      </c>
      <c r="AC3666" s="168" t="str">
        <f t="shared" si="7"/>
        <v>MIL,2020-21</v>
      </c>
    </row>
    <row r="3667">
      <c r="A3667" s="161" t="str">
        <f>IFERROR(__xludf.DUMMYFUNCTION("""COMPUTED_VALUE"""),"pelleno01")</f>
        <v>pelleno01</v>
      </c>
      <c r="B3667" s="161" t="str">
        <f>IFERROR(__xludf.DUMMYFUNCTION("""COMPUTED_VALUE"""),"Norvel Pelle")</f>
        <v>Norvel Pelle</v>
      </c>
      <c r="C3667" s="162" t="str">
        <f>IFERROR(__xludf.DUMMYFUNCTION("""COMPUTED_VALUE"""),"2020-21")</f>
        <v>2020-21</v>
      </c>
      <c r="D3667" s="163" t="str">
        <f>IFERROR(__xludf.DUMMYFUNCTION("""COMPUTED_VALUE"""),"BRK")</f>
        <v>BRK</v>
      </c>
      <c r="E3667" s="164" t="str">
        <f>IFERROR(__xludf.DUMMYFUNCTION("""COMPUTED_VALUE"""),"Roll + Cut Big")</f>
        <v>Roll + Cut Big</v>
      </c>
      <c r="F3667" s="164">
        <f>IFERROR(__xludf.DUMMYFUNCTION("""COMPUTED_VALUE"""),27.7516666666667)</f>
        <v>27.75166667</v>
      </c>
      <c r="G3667" s="163">
        <f>IFERROR(__xludf.DUMMYFUNCTION("""COMPUTED_VALUE"""),3.0)</f>
        <v>3</v>
      </c>
      <c r="H3667" s="163" t="str">
        <f>IFERROR(__xludf.DUMMYFUNCTION("""COMPUTED_VALUE"""),"C")</f>
        <v>C</v>
      </c>
      <c r="I3667" s="163">
        <f>IFERROR(__xludf.DUMMYFUNCTION("""COMPUTED_VALUE"""),27.0)</f>
        <v>27</v>
      </c>
      <c r="J3667" s="165">
        <f>IFERROR(__xludf.DUMMYFUNCTION("""COMPUTED_VALUE"""),-0.49035224086516)</f>
        <v>-0.4903522409</v>
      </c>
      <c r="K3667" s="165">
        <f>IFERROR(__xludf.DUMMYFUNCTION("""COMPUTED_VALUE"""),-0.167535627391565)</f>
        <v>-0.1675356274</v>
      </c>
      <c r="L3667" s="165">
        <f>IFERROR(__xludf.DUMMYFUNCTION("""COMPUTED_VALUE"""),-0.322816613473594)</f>
        <v>-0.3228166135</v>
      </c>
      <c r="M3667" s="166">
        <f t="shared" si="2"/>
        <v>0.03361244569</v>
      </c>
      <c r="N3667" s="167">
        <f t="shared" si="3"/>
        <v>9.250555556</v>
      </c>
      <c r="O3667" s="163">
        <f t="shared" ref="O3667:Q3667" si="3671">rank(I3667,I:I)</f>
        <v>1366</v>
      </c>
      <c r="P3667" s="163">
        <f t="shared" si="3671"/>
        <v>1840</v>
      </c>
      <c r="Q3667" s="163">
        <f t="shared" si="3671"/>
        <v>1509</v>
      </c>
      <c r="R3667" s="163">
        <f>IFERROR(__xludf.DUMMYFUNCTION("RANK(M3667,filter(M:M,C:C=C3667))"),400.0)</f>
        <v>400</v>
      </c>
      <c r="S3667" s="161" t="b">
        <f t="shared" si="5"/>
        <v>0</v>
      </c>
      <c r="T3667" s="161" t="b">
        <f t="array" ref="T3667">index('Query Tool'!B:B,match(H3667,'Query Tool'!C:C,0))</f>
        <v>1</v>
      </c>
      <c r="U3667" s="161" t="b">
        <f t="array" ref="U3667">index('Query Tool'!B:B,match(C3667,'Query Tool'!C:C,0))</f>
        <v>1</v>
      </c>
      <c r="V3667" s="161" t="b">
        <f>F3667&gt;='Query Tool'!C$32</f>
        <v>0</v>
      </c>
      <c r="W3667" s="161" t="b">
        <f t="array" ref="W3667">index(Dropdowns!B:B,match(I3667,Dropdowns!A:A,0))</f>
        <v>1</v>
      </c>
      <c r="X3667" s="161" t="b">
        <f t="array" ref="X3667">index('Query Tool'!B:B,match(D3667,'Query Tool'!C:C,0))</f>
        <v>1</v>
      </c>
      <c r="Y3667" s="161" t="str">
        <f t="shared" si="6"/>
        <v>pelleno01,2020-21</v>
      </c>
      <c r="Z3667" s="168" t="str">
        <f t="array" ref="Z3667">iferror(index(I:I,match($A3667&amp;","&amp;index('Year Conversion'!$A:$A,match($C3667,'Year Conversion'!$B:$B,0)),$Y:$Y,0))-I3667,"")</f>
        <v/>
      </c>
      <c r="AA3667" s="168" t="str">
        <f t="array" ref="AA3667">iferror(index(J:J,match($A3667&amp;","&amp;index('Year Conversion'!$A:$A,match($C3667,'Year Conversion'!$B:$B,0)),$Y:$Y,0))-J3667,"")</f>
        <v/>
      </c>
      <c r="AB3667" s="168" t="str">
        <f t="array" ref="AB3667">iferror(index(K:K,match($A3667&amp;","&amp;index('Year Conversion'!$A:$A,match($C3667,'Year Conversion'!$B:$B,0)),$Y:$Y,0))-K3667,"")</f>
        <v/>
      </c>
      <c r="AC3667" s="168" t="str">
        <f t="shared" si="7"/>
        <v>BRK,2020-21</v>
      </c>
    </row>
    <row r="3668">
      <c r="A3668" s="161" t="str">
        <f>IFERROR(__xludf.DUMMYFUNCTION("""COMPUTED_VALUE"""),"lavinza01")</f>
        <v>lavinza01</v>
      </c>
      <c r="B3668" s="161" t="str">
        <f>IFERROR(__xludf.DUMMYFUNCTION("""COMPUTED_VALUE"""),"Zach LaVine")</f>
        <v>Zach LaVine</v>
      </c>
      <c r="C3668" s="162" t="str">
        <f>IFERROR(__xludf.DUMMYFUNCTION("""COMPUTED_VALUE"""),"2020-21")</f>
        <v>2020-21</v>
      </c>
      <c r="D3668" s="163" t="str">
        <f>IFERROR(__xludf.DUMMYFUNCTION("""COMPUTED_VALUE"""),"CHI")</f>
        <v>CHI</v>
      </c>
      <c r="E3668" s="164" t="str">
        <f>IFERROR(__xludf.DUMMYFUNCTION("""COMPUTED_VALUE"""),"Primary Ball Handler")</f>
        <v>Primary Ball Handler</v>
      </c>
      <c r="F3668" s="164">
        <f>IFERROR(__xludf.DUMMYFUNCTION("""COMPUTED_VALUE"""),1035.89333333333)</f>
        <v>1035.893333</v>
      </c>
      <c r="G3668" s="163">
        <f>IFERROR(__xludf.DUMMYFUNCTION("""COMPUTED_VALUE"""),29.0)</f>
        <v>29</v>
      </c>
      <c r="H3668" s="163" t="str">
        <f>IFERROR(__xludf.DUMMYFUNCTION("""COMPUTED_VALUE"""),"SG")</f>
        <v>SG</v>
      </c>
      <c r="I3668" s="163">
        <f>IFERROR(__xludf.DUMMYFUNCTION("""COMPUTED_VALUE"""),25.0)</f>
        <v>25</v>
      </c>
      <c r="J3668" s="165">
        <f>IFERROR(__xludf.DUMMYFUNCTION("""COMPUTED_VALUE"""),0.231813482479175)</f>
        <v>0.2318134825</v>
      </c>
      <c r="K3668" s="165">
        <f>IFERROR(__xludf.DUMMYFUNCTION("""COMPUTED_VALUE"""),2.21861171265297)</f>
        <v>2.218611713</v>
      </c>
      <c r="L3668" s="165">
        <f>IFERROR(__xludf.DUMMYFUNCTION("""COMPUTED_VALUE"""),-1.9867982301738)</f>
        <v>-1.98679823</v>
      </c>
      <c r="M3668" s="166">
        <f t="shared" si="2"/>
        <v>1.758886062</v>
      </c>
      <c r="N3668" s="167">
        <f t="shared" si="3"/>
        <v>35.72045977</v>
      </c>
      <c r="O3668" s="163">
        <f t="shared" ref="O3668:Q3668" si="3672">rank(I3668,I:I)</f>
        <v>1995</v>
      </c>
      <c r="P3668" s="163">
        <f t="shared" si="3672"/>
        <v>1067</v>
      </c>
      <c r="Q3668" s="163">
        <f t="shared" si="3672"/>
        <v>195</v>
      </c>
      <c r="R3668" s="163">
        <f>IFERROR(__xludf.DUMMYFUNCTION("RANK(M3668,filter(M:M,C:C=C3668))"),60.0)</f>
        <v>60</v>
      </c>
      <c r="S3668" s="161" t="b">
        <f t="shared" si="5"/>
        <v>1</v>
      </c>
      <c r="T3668" s="161" t="b">
        <f t="array" ref="T3668">index('Query Tool'!B:B,match(H3668,'Query Tool'!C:C,0))</f>
        <v>1</v>
      </c>
      <c r="U3668" s="161" t="b">
        <f t="array" ref="U3668">index('Query Tool'!B:B,match(C3668,'Query Tool'!C:C,0))</f>
        <v>1</v>
      </c>
      <c r="V3668" s="161" t="b">
        <f>F3668&gt;='Query Tool'!C$32</f>
        <v>1</v>
      </c>
      <c r="W3668" s="161" t="b">
        <f t="array" ref="W3668">index(Dropdowns!B:B,match(I3668,Dropdowns!A:A,0))</f>
        <v>1</v>
      </c>
      <c r="X3668" s="161" t="b">
        <f t="array" ref="X3668">index('Query Tool'!B:B,match(D3668,'Query Tool'!C:C,0))</f>
        <v>1</v>
      </c>
      <c r="Y3668" s="161" t="str">
        <f t="shared" si="6"/>
        <v>lavinza01,2020-21</v>
      </c>
      <c r="Z3668" s="168" t="str">
        <f t="array" ref="Z3668">iferror(index(I:I,match($A3668&amp;","&amp;index('Year Conversion'!$A:$A,match($C3668,'Year Conversion'!$B:$B,0)),$Y:$Y,0))-I3668,"")</f>
        <v/>
      </c>
      <c r="AA3668" s="168" t="str">
        <f t="array" ref="AA3668">iferror(index(J:J,match($A3668&amp;","&amp;index('Year Conversion'!$A:$A,match($C3668,'Year Conversion'!$B:$B,0)),$Y:$Y,0))-J3668,"")</f>
        <v/>
      </c>
      <c r="AB3668" s="168" t="str">
        <f t="array" ref="AB3668">iferror(index(K:K,match($A3668&amp;","&amp;index('Year Conversion'!$A:$A,match($C3668,'Year Conversion'!$B:$B,0)),$Y:$Y,0))-K3668,"")</f>
        <v/>
      </c>
      <c r="AC3668" s="168" t="str">
        <f t="shared" si="7"/>
        <v>CHI,2020-21</v>
      </c>
    </row>
    <row r="3669">
      <c r="A3669" s="161" t="str">
        <f>IFERROR(__xludf.DUMMYFUNCTION("""COMPUTED_VALUE"""),"paytoel01")</f>
        <v>paytoel01</v>
      </c>
      <c r="B3669" s="161" t="str">
        <f>IFERROR(__xludf.DUMMYFUNCTION("""COMPUTED_VALUE"""),"Elfrid Payton")</f>
        <v>Elfrid Payton</v>
      </c>
      <c r="C3669" s="162" t="str">
        <f>IFERROR(__xludf.DUMMYFUNCTION("""COMPUTED_VALUE"""),"2020-21")</f>
        <v>2020-21</v>
      </c>
      <c r="D3669" s="163" t="str">
        <f>IFERROR(__xludf.DUMMYFUNCTION("""COMPUTED_VALUE"""),"NYK")</f>
        <v>NYK</v>
      </c>
      <c r="E3669" s="164" t="str">
        <f>IFERROR(__xludf.DUMMYFUNCTION("""COMPUTED_VALUE"""),"Slasher")</f>
        <v>Slasher</v>
      </c>
      <c r="F3669" s="164">
        <f>IFERROR(__xludf.DUMMYFUNCTION("""COMPUTED_VALUE"""),862.578333333333)</f>
        <v>862.5783333</v>
      </c>
      <c r="G3669" s="163">
        <f>IFERROR(__xludf.DUMMYFUNCTION("""COMPUTED_VALUE"""),31.0)</f>
        <v>31</v>
      </c>
      <c r="H3669" s="163" t="str">
        <f>IFERROR(__xludf.DUMMYFUNCTION("""COMPUTED_VALUE"""),"PG")</f>
        <v>PG</v>
      </c>
      <c r="I3669" s="163">
        <f>IFERROR(__xludf.DUMMYFUNCTION("""COMPUTED_VALUE"""),26.0)</f>
        <v>26</v>
      </c>
      <c r="J3669" s="165">
        <f>IFERROR(__xludf.DUMMYFUNCTION("""COMPUTED_VALUE"""),-2.61145913053249)</f>
        <v>-2.611459131</v>
      </c>
      <c r="K3669" s="165">
        <f>IFERROR(__xludf.DUMMYFUNCTION("""COMPUTED_VALUE"""),-0.873342125796353)</f>
        <v>-0.8733421258</v>
      </c>
      <c r="L3669" s="165">
        <f>IFERROR(__xludf.DUMMYFUNCTION("""COMPUTED_VALUE"""),-1.73811700473614)</f>
        <v>-1.738117005</v>
      </c>
      <c r="M3669" s="166">
        <f t="shared" si="2"/>
        <v>-0.1746373678</v>
      </c>
      <c r="N3669" s="167">
        <f t="shared" si="3"/>
        <v>27.82510753</v>
      </c>
      <c r="O3669" s="163">
        <f t="shared" ref="O3669:Q3669" si="3673">rank(I3669,I:I)</f>
        <v>1665</v>
      </c>
      <c r="P3669" s="163">
        <f t="shared" si="3673"/>
        <v>3789</v>
      </c>
      <c r="Q3669" s="163">
        <f t="shared" si="3673"/>
        <v>2651</v>
      </c>
      <c r="R3669" s="163">
        <f>IFERROR(__xludf.DUMMYFUNCTION("RANK(M3669,filter(M:M,C:C=C3669))"),458.0)</f>
        <v>458</v>
      </c>
      <c r="S3669" s="161" t="b">
        <f t="shared" si="5"/>
        <v>1</v>
      </c>
      <c r="T3669" s="161" t="b">
        <f t="array" ref="T3669">index('Query Tool'!B:B,match(H3669,'Query Tool'!C:C,0))</f>
        <v>1</v>
      </c>
      <c r="U3669" s="161" t="b">
        <f t="array" ref="U3669">index('Query Tool'!B:B,match(C3669,'Query Tool'!C:C,0))</f>
        <v>1</v>
      </c>
      <c r="V3669" s="161" t="b">
        <f>F3669&gt;='Query Tool'!C$32</f>
        <v>1</v>
      </c>
      <c r="W3669" s="161" t="b">
        <f t="array" ref="W3669">index(Dropdowns!B:B,match(I3669,Dropdowns!A:A,0))</f>
        <v>1</v>
      </c>
      <c r="X3669" s="161" t="b">
        <f t="array" ref="X3669">index('Query Tool'!B:B,match(D3669,'Query Tool'!C:C,0))</f>
        <v>1</v>
      </c>
      <c r="Y3669" s="161" t="str">
        <f t="shared" si="6"/>
        <v>paytoel01,2020-21</v>
      </c>
      <c r="Z3669" s="168" t="str">
        <f t="array" ref="Z3669">iferror(index(I:I,match($A3669&amp;","&amp;index('Year Conversion'!$A:$A,match($C3669,'Year Conversion'!$B:$B,0)),$Y:$Y,0))-I3669,"")</f>
        <v/>
      </c>
      <c r="AA3669" s="168" t="str">
        <f t="array" ref="AA3669">iferror(index(J:J,match($A3669&amp;","&amp;index('Year Conversion'!$A:$A,match($C3669,'Year Conversion'!$B:$B,0)),$Y:$Y,0))-J3669,"")</f>
        <v/>
      </c>
      <c r="AB3669" s="168" t="str">
        <f t="array" ref="AB3669">iferror(index(K:K,match($A3669&amp;","&amp;index('Year Conversion'!$A:$A,match($C3669,'Year Conversion'!$B:$B,0)),$Y:$Y,0))-K3669,"")</f>
        <v/>
      </c>
      <c r="AC3669" s="168" t="str">
        <f t="shared" si="7"/>
        <v>NYK,2020-21</v>
      </c>
    </row>
    <row r="3670">
      <c r="A3670" s="161" t="str">
        <f>IFERROR(__xludf.DUMMYFUNCTION("""COMPUTED_VALUE"""),"clarkjo01")</f>
        <v>clarkjo01</v>
      </c>
      <c r="B3670" s="161" t="str">
        <f>IFERROR(__xludf.DUMMYFUNCTION("""COMPUTED_VALUE"""),"Jordan Clarkson")</f>
        <v>Jordan Clarkson</v>
      </c>
      <c r="C3670" s="162" t="str">
        <f>IFERROR(__xludf.DUMMYFUNCTION("""COMPUTED_VALUE"""),"2020-21")</f>
        <v>2020-21</v>
      </c>
      <c r="D3670" s="163" t="str">
        <f>IFERROR(__xludf.DUMMYFUNCTION("""COMPUTED_VALUE"""),"UTA")</f>
        <v>UTA</v>
      </c>
      <c r="E3670" s="164" t="str">
        <f>IFERROR(__xludf.DUMMYFUNCTION("""COMPUTED_VALUE"""),"Secondary Ball Handler")</f>
        <v>Secondary Ball Handler</v>
      </c>
      <c r="F3670" s="164">
        <f>IFERROR(__xludf.DUMMYFUNCTION("""COMPUTED_VALUE"""),787.021666666667)</f>
        <v>787.0216667</v>
      </c>
      <c r="G3670" s="163">
        <f>IFERROR(__xludf.DUMMYFUNCTION("""COMPUTED_VALUE"""),30.0)</f>
        <v>30</v>
      </c>
      <c r="H3670" s="163" t="str">
        <f>IFERROR(__xludf.DUMMYFUNCTION("""COMPUTED_VALUE"""),"SG")</f>
        <v>SG</v>
      </c>
      <c r="I3670" s="163">
        <f>IFERROR(__xludf.DUMMYFUNCTION("""COMPUTED_VALUE"""),28.0)</f>
        <v>28</v>
      </c>
      <c r="J3670" s="165">
        <f>IFERROR(__xludf.DUMMYFUNCTION("""COMPUTED_VALUE"""),0.949974152410702)</f>
        <v>0.9499741524</v>
      </c>
      <c r="K3670" s="165">
        <f>IFERROR(__xludf.DUMMYFUNCTION("""COMPUTED_VALUE"""),1.9880113517196)</f>
        <v>1.988011352</v>
      </c>
      <c r="L3670" s="165">
        <f>IFERROR(__xludf.DUMMYFUNCTION("""COMPUTED_VALUE"""),-1.0380371993089)</f>
        <v>-1.038037199</v>
      </c>
      <c r="M3670" s="166">
        <f t="shared" si="2"/>
        <v>1.716752274</v>
      </c>
      <c r="N3670" s="167">
        <f t="shared" si="3"/>
        <v>26.23405556</v>
      </c>
      <c r="O3670" s="163">
        <f t="shared" ref="O3670:Q3670" si="3674">rank(I3670,I:I)</f>
        <v>1090</v>
      </c>
      <c r="P3670" s="163">
        <f t="shared" si="3674"/>
        <v>680</v>
      </c>
      <c r="Q3670" s="163">
        <f t="shared" si="3674"/>
        <v>227</v>
      </c>
      <c r="R3670" s="163">
        <f>IFERROR(__xludf.DUMMYFUNCTION("RANK(M3670,filter(M:M,C:C=C3670))"),63.0)</f>
        <v>63</v>
      </c>
      <c r="S3670" s="161" t="b">
        <f t="shared" si="5"/>
        <v>1</v>
      </c>
      <c r="T3670" s="161" t="b">
        <f t="array" ref="T3670">index('Query Tool'!B:B,match(H3670,'Query Tool'!C:C,0))</f>
        <v>1</v>
      </c>
      <c r="U3670" s="161" t="b">
        <f t="array" ref="U3670">index('Query Tool'!B:B,match(C3670,'Query Tool'!C:C,0))</f>
        <v>1</v>
      </c>
      <c r="V3670" s="161" t="b">
        <f>F3670&gt;='Query Tool'!C$32</f>
        <v>1</v>
      </c>
      <c r="W3670" s="161" t="b">
        <f t="array" ref="W3670">index(Dropdowns!B:B,match(I3670,Dropdowns!A:A,0))</f>
        <v>1</v>
      </c>
      <c r="X3670" s="161" t="b">
        <f t="array" ref="X3670">index('Query Tool'!B:B,match(D3670,'Query Tool'!C:C,0))</f>
        <v>1</v>
      </c>
      <c r="Y3670" s="161" t="str">
        <f t="shared" si="6"/>
        <v>clarkjo01,2020-21</v>
      </c>
      <c r="Z3670" s="168" t="str">
        <f t="array" ref="Z3670">iferror(index(I:I,match($A3670&amp;","&amp;index('Year Conversion'!$A:$A,match($C3670,'Year Conversion'!$B:$B,0)),$Y:$Y,0))-I3670,"")</f>
        <v/>
      </c>
      <c r="AA3670" s="168" t="str">
        <f t="array" ref="AA3670">iferror(index(J:J,match($A3670&amp;","&amp;index('Year Conversion'!$A:$A,match($C3670,'Year Conversion'!$B:$B,0)),$Y:$Y,0))-J3670,"")</f>
        <v/>
      </c>
      <c r="AB3670" s="168" t="str">
        <f t="array" ref="AB3670">iferror(index(K:K,match($A3670&amp;","&amp;index('Year Conversion'!$A:$A,match($C3670,'Year Conversion'!$B:$B,0)),$Y:$Y,0))-K3670,"")</f>
        <v/>
      </c>
      <c r="AC3670" s="168" t="str">
        <f t="shared" si="7"/>
        <v>UTA,2020-21</v>
      </c>
    </row>
    <row r="3671">
      <c r="A3671" s="161" t="str">
        <f>IFERROR(__xludf.DUMMYFUNCTION("""COMPUTED_VALUE"""),"harriga01")</f>
        <v>harriga01</v>
      </c>
      <c r="B3671" s="161" t="str">
        <f>IFERROR(__xludf.DUMMYFUNCTION("""COMPUTED_VALUE"""),"Gary Harris")</f>
        <v>Gary Harris</v>
      </c>
      <c r="C3671" s="162" t="str">
        <f>IFERROR(__xludf.DUMMYFUNCTION("""COMPUTED_VALUE"""),"2020-21")</f>
        <v>2020-21</v>
      </c>
      <c r="D3671" s="163" t="str">
        <f>IFERROR(__xludf.DUMMYFUNCTION("""COMPUTED_VALUE"""),"DEN")</f>
        <v>DEN</v>
      </c>
      <c r="E3671" s="164" t="str">
        <f>IFERROR(__xludf.DUMMYFUNCTION("""COMPUTED_VALUE"""),"Stationary Shooter")</f>
        <v>Stationary Shooter</v>
      </c>
      <c r="F3671" s="164">
        <f>IFERROR(__xludf.DUMMYFUNCTION("""COMPUTED_VALUE"""),581.418333333333)</f>
        <v>581.4183333</v>
      </c>
      <c r="G3671" s="163">
        <f>IFERROR(__xludf.DUMMYFUNCTION("""COMPUTED_VALUE"""),19.0)</f>
        <v>19</v>
      </c>
      <c r="H3671" s="163" t="str">
        <f>IFERROR(__xludf.DUMMYFUNCTION("""COMPUTED_VALUE"""),"SG")</f>
        <v>SG</v>
      </c>
      <c r="I3671" s="163">
        <f>IFERROR(__xludf.DUMMYFUNCTION("""COMPUTED_VALUE"""),26.0)</f>
        <v>26</v>
      </c>
      <c r="J3671" s="165">
        <f>IFERROR(__xludf.DUMMYFUNCTION("""COMPUTED_VALUE"""),-1.03335217860665)</f>
        <v>-1.033352179</v>
      </c>
      <c r="K3671" s="165">
        <f>IFERROR(__xludf.DUMMYFUNCTION("""COMPUTED_VALUE"""),0.0730355845500449)</f>
        <v>0.07303558455</v>
      </c>
      <c r="L3671" s="165">
        <f>IFERROR(__xludf.DUMMYFUNCTION("""COMPUTED_VALUE"""),-1.1063877631567)</f>
        <v>-1.106387763</v>
      </c>
      <c r="M3671" s="166">
        <f t="shared" si="2"/>
        <v>0.4918931434</v>
      </c>
      <c r="N3671" s="167">
        <f t="shared" si="3"/>
        <v>30.60096491</v>
      </c>
      <c r="O3671" s="163">
        <f t="shared" ref="O3671:Q3671" si="3675">rank(I3671,I:I)</f>
        <v>1665</v>
      </c>
      <c r="P3671" s="163">
        <f t="shared" si="3675"/>
        <v>2539</v>
      </c>
      <c r="Q3671" s="163">
        <f t="shared" si="3675"/>
        <v>1103</v>
      </c>
      <c r="R3671" s="163">
        <f>IFERROR(__xludf.DUMMYFUNCTION("RANK(M3671,filter(M:M,C:C=C3671))"),194.0)</f>
        <v>194</v>
      </c>
      <c r="S3671" s="161" t="b">
        <f t="shared" si="5"/>
        <v>1</v>
      </c>
      <c r="T3671" s="161" t="b">
        <f t="array" ref="T3671">index('Query Tool'!B:B,match(H3671,'Query Tool'!C:C,0))</f>
        <v>1</v>
      </c>
      <c r="U3671" s="161" t="b">
        <f t="array" ref="U3671">index('Query Tool'!B:B,match(C3671,'Query Tool'!C:C,0))</f>
        <v>1</v>
      </c>
      <c r="V3671" s="161" t="b">
        <f>F3671&gt;='Query Tool'!C$32</f>
        <v>1</v>
      </c>
      <c r="W3671" s="161" t="b">
        <f t="array" ref="W3671">index(Dropdowns!B:B,match(I3671,Dropdowns!A:A,0))</f>
        <v>1</v>
      </c>
      <c r="X3671" s="161" t="b">
        <f t="array" ref="X3671">index('Query Tool'!B:B,match(D3671,'Query Tool'!C:C,0))</f>
        <v>1</v>
      </c>
      <c r="Y3671" s="161" t="str">
        <f t="shared" si="6"/>
        <v>harriga01,2020-21</v>
      </c>
      <c r="Z3671" s="168" t="str">
        <f t="array" ref="Z3671">iferror(index(I:I,match($A3671&amp;","&amp;index('Year Conversion'!$A:$A,match($C3671,'Year Conversion'!$B:$B,0)),$Y:$Y,0))-I3671,"")</f>
        <v/>
      </c>
      <c r="AA3671" s="168" t="str">
        <f t="array" ref="AA3671">iferror(index(J:J,match($A3671&amp;","&amp;index('Year Conversion'!$A:$A,match($C3671,'Year Conversion'!$B:$B,0)),$Y:$Y,0))-J3671,"")</f>
        <v/>
      </c>
      <c r="AB3671" s="168" t="str">
        <f t="array" ref="AB3671">iferror(index(K:K,match($A3671&amp;","&amp;index('Year Conversion'!$A:$A,match($C3671,'Year Conversion'!$B:$B,0)),$Y:$Y,0))-K3671,"")</f>
        <v/>
      </c>
      <c r="AC3671" s="168" t="str">
        <f t="shared" si="7"/>
        <v>DEN,2020-21</v>
      </c>
    </row>
    <row r="3672">
      <c r="A3672" s="161" t="str">
        <f>IFERROR(__xludf.DUMMYFUNCTION("""COMPUTED_VALUE"""),"dinwisp01")</f>
        <v>dinwisp01</v>
      </c>
      <c r="B3672" s="161" t="str">
        <f>IFERROR(__xludf.DUMMYFUNCTION("""COMPUTED_VALUE"""),"Spencer Dinwiddie")</f>
        <v>Spencer Dinwiddie</v>
      </c>
      <c r="C3672" s="162" t="str">
        <f>IFERROR(__xludf.DUMMYFUNCTION("""COMPUTED_VALUE"""),"2020-21")</f>
        <v>2020-21</v>
      </c>
      <c r="D3672" s="163" t="str">
        <f>IFERROR(__xludf.DUMMYFUNCTION("""COMPUTED_VALUE"""),"BRK")</f>
        <v>BRK</v>
      </c>
      <c r="E3672" s="164" t="str">
        <f>IFERROR(__xludf.DUMMYFUNCTION("""COMPUTED_VALUE"""),"Secondary Ball Handler")</f>
        <v>Secondary Ball Handler</v>
      </c>
      <c r="F3672" s="164">
        <f>IFERROR(__xludf.DUMMYFUNCTION("""COMPUTED_VALUE"""),64.3333333333333)</f>
        <v>64.33333333</v>
      </c>
      <c r="G3672" s="163">
        <f>IFERROR(__xludf.DUMMYFUNCTION("""COMPUTED_VALUE"""),3.0)</f>
        <v>3</v>
      </c>
      <c r="H3672" s="163" t="str">
        <f>IFERROR(__xludf.DUMMYFUNCTION("""COMPUTED_VALUE"""),"SG")</f>
        <v>SG</v>
      </c>
      <c r="I3672" s="163">
        <f>IFERROR(__xludf.DUMMYFUNCTION("""COMPUTED_VALUE"""),27.0)</f>
        <v>27</v>
      </c>
      <c r="J3672" s="165">
        <f>IFERROR(__xludf.DUMMYFUNCTION("""COMPUTED_VALUE"""),0.124283334390906)</f>
        <v>0.1242833344</v>
      </c>
      <c r="K3672" s="165">
        <f>IFERROR(__xludf.DUMMYFUNCTION("""COMPUTED_VALUE"""),0.0177278053129077)</f>
        <v>0.01772780531</v>
      </c>
      <c r="L3672" s="165">
        <f>IFERROR(__xludf.DUMMYFUNCTION("""COMPUTED_VALUE"""),0.106555529077999)</f>
        <v>0.1065555291</v>
      </c>
      <c r="M3672" s="166">
        <f t="shared" si="2"/>
        <v>0.1045709658</v>
      </c>
      <c r="N3672" s="167">
        <f t="shared" si="3"/>
        <v>21.44444444</v>
      </c>
      <c r="O3672" s="163">
        <f t="shared" ref="O3672:Q3672" si="3676">rank(I3672,I:I)</f>
        <v>1366</v>
      </c>
      <c r="P3672" s="163">
        <f t="shared" si="3676"/>
        <v>1159</v>
      </c>
      <c r="Q3672" s="163">
        <f t="shared" si="3676"/>
        <v>1177</v>
      </c>
      <c r="R3672" s="163">
        <f>IFERROR(__xludf.DUMMYFUNCTION("RANK(M3672,filter(M:M,C:C=C3672))"),330.0)</f>
        <v>330</v>
      </c>
      <c r="S3672" s="161" t="b">
        <f t="shared" si="5"/>
        <v>0</v>
      </c>
      <c r="T3672" s="161" t="b">
        <f t="array" ref="T3672">index('Query Tool'!B:B,match(H3672,'Query Tool'!C:C,0))</f>
        <v>1</v>
      </c>
      <c r="U3672" s="161" t="b">
        <f t="array" ref="U3672">index('Query Tool'!B:B,match(C3672,'Query Tool'!C:C,0))</f>
        <v>1</v>
      </c>
      <c r="V3672" s="161" t="b">
        <f>F3672&gt;='Query Tool'!C$32</f>
        <v>0</v>
      </c>
      <c r="W3672" s="161" t="b">
        <f t="array" ref="W3672">index(Dropdowns!B:B,match(I3672,Dropdowns!A:A,0))</f>
        <v>1</v>
      </c>
      <c r="X3672" s="161" t="b">
        <f t="array" ref="X3672">index('Query Tool'!B:B,match(D3672,'Query Tool'!C:C,0))</f>
        <v>1</v>
      </c>
      <c r="Y3672" s="161" t="str">
        <f t="shared" si="6"/>
        <v>dinwisp01,2020-21</v>
      </c>
      <c r="Z3672" s="168" t="str">
        <f t="array" ref="Z3672">iferror(index(I:I,match($A3672&amp;","&amp;index('Year Conversion'!$A:$A,match($C3672,'Year Conversion'!$B:$B,0)),$Y:$Y,0))-I3672,"")</f>
        <v/>
      </c>
      <c r="AA3672" s="168" t="str">
        <f t="array" ref="AA3672">iferror(index(J:J,match($A3672&amp;","&amp;index('Year Conversion'!$A:$A,match($C3672,'Year Conversion'!$B:$B,0)),$Y:$Y,0))-J3672,"")</f>
        <v/>
      </c>
      <c r="AB3672" s="168" t="str">
        <f t="array" ref="AB3672">iferror(index(K:K,match($A3672&amp;","&amp;index('Year Conversion'!$A:$A,match($C3672,'Year Conversion'!$B:$B,0)),$Y:$Y,0))-K3672,"")</f>
        <v/>
      </c>
      <c r="AC3672" s="168" t="str">
        <f t="shared" si="7"/>
        <v>BRK,2020-21</v>
      </c>
    </row>
    <row r="3673">
      <c r="A3673" s="161" t="str">
        <f>IFERROR(__xludf.DUMMYFUNCTION("""COMPUTED_VALUE"""),"hoodro01")</f>
        <v>hoodro01</v>
      </c>
      <c r="B3673" s="161" t="str">
        <f>IFERROR(__xludf.DUMMYFUNCTION("""COMPUTED_VALUE"""),"Rodney Hood")</f>
        <v>Rodney Hood</v>
      </c>
      <c r="C3673" s="162" t="str">
        <f>IFERROR(__xludf.DUMMYFUNCTION("""COMPUTED_VALUE"""),"2020-21")</f>
        <v>2020-21</v>
      </c>
      <c r="D3673" s="163" t="str">
        <f>IFERROR(__xludf.DUMMYFUNCTION("""COMPUTED_VALUE"""),"POR")</f>
        <v>POR</v>
      </c>
      <c r="E3673" s="164" t="str">
        <f>IFERROR(__xludf.DUMMYFUNCTION("""COMPUTED_VALUE"""),"Shot Creator")</f>
        <v>Shot Creator</v>
      </c>
      <c r="F3673" s="164">
        <f>IFERROR(__xludf.DUMMYFUNCTION("""COMPUTED_VALUE"""),452.556666666667)</f>
        <v>452.5566667</v>
      </c>
      <c r="G3673" s="163">
        <f>IFERROR(__xludf.DUMMYFUNCTION("""COMPUTED_VALUE"""),24.0)</f>
        <v>24</v>
      </c>
      <c r="H3673" s="163" t="str">
        <f>IFERROR(__xludf.DUMMYFUNCTION("""COMPUTED_VALUE"""),"SF")</f>
        <v>SF</v>
      </c>
      <c r="I3673" s="163">
        <f>IFERROR(__xludf.DUMMYFUNCTION("""COMPUTED_VALUE"""),28.0)</f>
        <v>28</v>
      </c>
      <c r="J3673" s="165">
        <f>IFERROR(__xludf.DUMMYFUNCTION("""COMPUTED_VALUE"""),-3.93743851685983)</f>
        <v>-3.937438517</v>
      </c>
      <c r="K3673" s="165">
        <f>IFERROR(__xludf.DUMMYFUNCTION("""COMPUTED_VALUE"""),-3.28477108583017)</f>
        <v>-3.284771086</v>
      </c>
      <c r="L3673" s="165">
        <f>IFERROR(__xludf.DUMMYFUNCTION("""COMPUTED_VALUE"""),-0.652667431029661)</f>
        <v>-0.652667431</v>
      </c>
      <c r="M3673" s="166">
        <f t="shared" si="2"/>
        <v>-0.4784333501</v>
      </c>
      <c r="N3673" s="167">
        <f t="shared" si="3"/>
        <v>18.85652778</v>
      </c>
      <c r="O3673" s="163">
        <f t="shared" ref="O3673:Q3673" si="3677">rank(I3673,I:I)</f>
        <v>1090</v>
      </c>
      <c r="P3673" s="163">
        <f t="shared" si="3677"/>
        <v>3995</v>
      </c>
      <c r="Q3673" s="163">
        <f t="shared" si="3677"/>
        <v>3995</v>
      </c>
      <c r="R3673" s="163">
        <f>IFERROR(__xludf.DUMMYFUNCTION("RANK(M3673,filter(M:M,C:C=C3673))"),470.0)</f>
        <v>470</v>
      </c>
      <c r="S3673" s="161" t="b">
        <f t="shared" si="5"/>
        <v>0</v>
      </c>
      <c r="T3673" s="161" t="b">
        <f t="array" ref="T3673">index('Query Tool'!B:B,match(H3673,'Query Tool'!C:C,0))</f>
        <v>1</v>
      </c>
      <c r="U3673" s="161" t="b">
        <f t="array" ref="U3673">index('Query Tool'!B:B,match(C3673,'Query Tool'!C:C,0))</f>
        <v>1</v>
      </c>
      <c r="V3673" s="161" t="b">
        <f>F3673&gt;='Query Tool'!C$32</f>
        <v>0</v>
      </c>
      <c r="W3673" s="161" t="b">
        <f t="array" ref="W3673">index(Dropdowns!B:B,match(I3673,Dropdowns!A:A,0))</f>
        <v>1</v>
      </c>
      <c r="X3673" s="161" t="b">
        <f t="array" ref="X3673">index('Query Tool'!B:B,match(D3673,'Query Tool'!C:C,0))</f>
        <v>1</v>
      </c>
      <c r="Y3673" s="161" t="str">
        <f t="shared" si="6"/>
        <v>hoodro01,2020-21</v>
      </c>
      <c r="Z3673" s="168" t="str">
        <f t="array" ref="Z3673">iferror(index(I:I,match($A3673&amp;","&amp;index('Year Conversion'!$A:$A,match($C3673,'Year Conversion'!$B:$B,0)),$Y:$Y,0))-I3673,"")</f>
        <v/>
      </c>
      <c r="AA3673" s="168" t="str">
        <f t="array" ref="AA3673">iferror(index(J:J,match($A3673&amp;","&amp;index('Year Conversion'!$A:$A,match($C3673,'Year Conversion'!$B:$B,0)),$Y:$Y,0))-J3673,"")</f>
        <v/>
      </c>
      <c r="AB3673" s="168" t="str">
        <f t="array" ref="AB3673">iferror(index(K:K,match($A3673&amp;","&amp;index('Year Conversion'!$A:$A,match($C3673,'Year Conversion'!$B:$B,0)),$Y:$Y,0))-K3673,"")</f>
        <v/>
      </c>
      <c r="AC3673" s="168" t="str">
        <f t="shared" si="7"/>
        <v>POR,2020-21</v>
      </c>
    </row>
    <row r="3674">
      <c r="A3674" s="161" t="str">
        <f>IFERROR(__xludf.DUMMYFUNCTION("""COMPUTED_VALUE"""),"birchkh01")</f>
        <v>birchkh01</v>
      </c>
      <c r="B3674" s="161" t="str">
        <f>IFERROR(__xludf.DUMMYFUNCTION("""COMPUTED_VALUE"""),"Khem Birch")</f>
        <v>Khem Birch</v>
      </c>
      <c r="C3674" s="162" t="str">
        <f>IFERROR(__xludf.DUMMYFUNCTION("""COMPUTED_VALUE"""),"2020-21")</f>
        <v>2020-21</v>
      </c>
      <c r="D3674" s="163" t="str">
        <f>IFERROR(__xludf.DUMMYFUNCTION("""COMPUTED_VALUE"""),"ORL")</f>
        <v>ORL</v>
      </c>
      <c r="E3674" s="164" t="str">
        <f>IFERROR(__xludf.DUMMYFUNCTION("""COMPUTED_VALUE"""),"Roll + Cut Big")</f>
        <v>Roll + Cut Big</v>
      </c>
      <c r="F3674" s="164">
        <f>IFERROR(__xludf.DUMMYFUNCTION("""COMPUTED_VALUE"""),655.78)</f>
        <v>655.78</v>
      </c>
      <c r="G3674" s="163">
        <f>IFERROR(__xludf.DUMMYFUNCTION("""COMPUTED_VALUE"""),31.0)</f>
        <v>31</v>
      </c>
      <c r="H3674" s="163" t="str">
        <f>IFERROR(__xludf.DUMMYFUNCTION("""COMPUTED_VALUE"""),"C")</f>
        <v>C</v>
      </c>
      <c r="I3674" s="163">
        <f>IFERROR(__xludf.DUMMYFUNCTION("""COMPUTED_VALUE"""),28.0)</f>
        <v>28</v>
      </c>
      <c r="J3674" s="165">
        <f>IFERROR(__xludf.DUMMYFUNCTION("""COMPUTED_VALUE"""),-1.11758947056132)</f>
        <v>-1.117589471</v>
      </c>
      <c r="K3674" s="165">
        <f>IFERROR(__xludf.DUMMYFUNCTION("""COMPUTED_VALUE"""),-1.09477014710265)</f>
        <v>-1.094770147</v>
      </c>
      <c r="L3674" s="165">
        <f>IFERROR(__xludf.DUMMYFUNCTION("""COMPUTED_VALUE"""),-0.022819323458673)</f>
        <v>-0.02281932346</v>
      </c>
      <c r="M3674" s="166">
        <f t="shared" si="2"/>
        <v>0.5177408374</v>
      </c>
      <c r="N3674" s="167">
        <f t="shared" si="3"/>
        <v>21.15419355</v>
      </c>
      <c r="O3674" s="163">
        <f t="shared" ref="O3674:Q3674" si="3678">rank(I3674,I:I)</f>
        <v>1090</v>
      </c>
      <c r="P3674" s="163">
        <f t="shared" si="3678"/>
        <v>2641</v>
      </c>
      <c r="Q3674" s="163">
        <f t="shared" si="3678"/>
        <v>2923</v>
      </c>
      <c r="R3674" s="163">
        <f>IFERROR(__xludf.DUMMYFUNCTION("RANK(M3674,filter(M:M,C:C=C3674))"),188.0)</f>
        <v>188</v>
      </c>
      <c r="S3674" s="161" t="b">
        <f t="shared" si="5"/>
        <v>1</v>
      </c>
      <c r="T3674" s="161" t="b">
        <f t="array" ref="T3674">index('Query Tool'!B:B,match(H3674,'Query Tool'!C:C,0))</f>
        <v>1</v>
      </c>
      <c r="U3674" s="161" t="b">
        <f t="array" ref="U3674">index('Query Tool'!B:B,match(C3674,'Query Tool'!C:C,0))</f>
        <v>1</v>
      </c>
      <c r="V3674" s="161" t="b">
        <f>F3674&gt;='Query Tool'!C$32</f>
        <v>1</v>
      </c>
      <c r="W3674" s="161" t="b">
        <f t="array" ref="W3674">index(Dropdowns!B:B,match(I3674,Dropdowns!A:A,0))</f>
        <v>1</v>
      </c>
      <c r="X3674" s="161" t="b">
        <f t="array" ref="X3674">index('Query Tool'!B:B,match(D3674,'Query Tool'!C:C,0))</f>
        <v>1</v>
      </c>
      <c r="Y3674" s="161" t="str">
        <f t="shared" si="6"/>
        <v>birchkh01,2020-21</v>
      </c>
      <c r="Z3674" s="168" t="str">
        <f t="array" ref="Z3674">iferror(index(I:I,match($A3674&amp;","&amp;index('Year Conversion'!$A:$A,match($C3674,'Year Conversion'!$B:$B,0)),$Y:$Y,0))-I3674,"")</f>
        <v/>
      </c>
      <c r="AA3674" s="168" t="str">
        <f t="array" ref="AA3674">iferror(index(J:J,match($A3674&amp;","&amp;index('Year Conversion'!$A:$A,match($C3674,'Year Conversion'!$B:$B,0)),$Y:$Y,0))-J3674,"")</f>
        <v/>
      </c>
      <c r="AB3674" s="168" t="str">
        <f t="array" ref="AB3674">iferror(index(K:K,match($A3674&amp;","&amp;index('Year Conversion'!$A:$A,match($C3674,'Year Conversion'!$B:$B,0)),$Y:$Y,0))-K3674,"")</f>
        <v/>
      </c>
      <c r="AC3674" s="168" t="str">
        <f t="shared" si="7"/>
        <v>ORL,2020-21</v>
      </c>
    </row>
    <row r="3675">
      <c r="A3675" s="161" t="str">
        <f>IFERROR(__xludf.DUMMYFUNCTION("""COMPUTED_VALUE"""),"robingl02")</f>
        <v>robingl02</v>
      </c>
      <c r="B3675" s="161" t="str">
        <f>IFERROR(__xludf.DUMMYFUNCTION("""COMPUTED_VALUE"""),"Glenn Robinson III")</f>
        <v>Glenn Robinson III</v>
      </c>
      <c r="C3675" s="162" t="str">
        <f>IFERROR(__xludf.DUMMYFUNCTION("""COMPUTED_VALUE"""),"2020-21")</f>
        <v>2020-21</v>
      </c>
      <c r="D3675" s="163" t="str">
        <f>IFERROR(__xludf.DUMMYFUNCTION("""COMPUTED_VALUE"""),"SAC")</f>
        <v>SAC</v>
      </c>
      <c r="E3675" s="164" t="str">
        <f>IFERROR(__xludf.DUMMYFUNCTION("""COMPUTED_VALUE"""),"Stationary Shooter")</f>
        <v>Stationary Shooter</v>
      </c>
      <c r="F3675" s="164">
        <f>IFERROR(__xludf.DUMMYFUNCTION("""COMPUTED_VALUE"""),369.335)</f>
        <v>369.335</v>
      </c>
      <c r="G3675" s="163">
        <f>IFERROR(__xludf.DUMMYFUNCTION("""COMPUTED_VALUE"""),23.0)</f>
        <v>23</v>
      </c>
      <c r="H3675" s="163" t="str">
        <f>IFERROR(__xludf.DUMMYFUNCTION("""COMPUTED_VALUE"""),"SF")</f>
        <v>SF</v>
      </c>
      <c r="I3675" s="163">
        <f>IFERROR(__xludf.DUMMYFUNCTION("""COMPUTED_VALUE"""),27.0)</f>
        <v>27</v>
      </c>
      <c r="J3675" s="165">
        <f>IFERROR(__xludf.DUMMYFUNCTION("""COMPUTED_VALUE"""),-3.27754601828571)</f>
        <v>-3.277546018</v>
      </c>
      <c r="K3675" s="165">
        <f>IFERROR(__xludf.DUMMYFUNCTION("""COMPUTED_VALUE"""),-1.3883621899181)</f>
        <v>-1.38836219</v>
      </c>
      <c r="L3675" s="165">
        <f>IFERROR(__xludf.DUMMYFUNCTION("""COMPUTED_VALUE"""),-1.88918382836761)</f>
        <v>-1.889183828</v>
      </c>
      <c r="M3675" s="166">
        <f t="shared" si="2"/>
        <v>-0.234758521</v>
      </c>
      <c r="N3675" s="167">
        <f t="shared" si="3"/>
        <v>16.05804348</v>
      </c>
      <c r="O3675" s="163">
        <f t="shared" ref="O3675:Q3675" si="3679">rank(I3675,I:I)</f>
        <v>1366</v>
      </c>
      <c r="P3675" s="163">
        <f t="shared" si="3679"/>
        <v>3942</v>
      </c>
      <c r="Q3675" s="163">
        <f t="shared" si="3679"/>
        <v>3238</v>
      </c>
      <c r="R3675" s="163">
        <f>IFERROR(__xludf.DUMMYFUNCTION("RANK(M3675,filter(M:M,C:C=C3675))"),462.0)</f>
        <v>462</v>
      </c>
      <c r="S3675" s="161" t="b">
        <f t="shared" si="5"/>
        <v>0</v>
      </c>
      <c r="T3675" s="161" t="b">
        <f t="array" ref="T3675">index('Query Tool'!B:B,match(H3675,'Query Tool'!C:C,0))</f>
        <v>1</v>
      </c>
      <c r="U3675" s="161" t="b">
        <f t="array" ref="U3675">index('Query Tool'!B:B,match(C3675,'Query Tool'!C:C,0))</f>
        <v>1</v>
      </c>
      <c r="V3675" s="161" t="b">
        <f>F3675&gt;='Query Tool'!C$32</f>
        <v>0</v>
      </c>
      <c r="W3675" s="161" t="b">
        <f t="array" ref="W3675">index(Dropdowns!B:B,match(I3675,Dropdowns!A:A,0))</f>
        <v>1</v>
      </c>
      <c r="X3675" s="161" t="b">
        <f t="array" ref="X3675">index('Query Tool'!B:B,match(D3675,'Query Tool'!C:C,0))</f>
        <v>1</v>
      </c>
      <c r="Y3675" s="161" t="str">
        <f t="shared" si="6"/>
        <v>robingl02,2020-21</v>
      </c>
      <c r="Z3675" s="168" t="str">
        <f t="array" ref="Z3675">iferror(index(I:I,match($A3675&amp;","&amp;index('Year Conversion'!$A:$A,match($C3675,'Year Conversion'!$B:$B,0)),$Y:$Y,0))-I3675,"")</f>
        <v/>
      </c>
      <c r="AA3675" s="168" t="str">
        <f t="array" ref="AA3675">iferror(index(J:J,match($A3675&amp;","&amp;index('Year Conversion'!$A:$A,match($C3675,'Year Conversion'!$B:$B,0)),$Y:$Y,0))-J3675,"")</f>
        <v/>
      </c>
      <c r="AB3675" s="168" t="str">
        <f t="array" ref="AB3675">iferror(index(K:K,match($A3675&amp;","&amp;index('Year Conversion'!$A:$A,match($C3675,'Year Conversion'!$B:$B,0)),$Y:$Y,0))-K3675,"")</f>
        <v/>
      </c>
      <c r="AC3675" s="168" t="str">
        <f t="shared" si="7"/>
        <v>SAC,2020-21</v>
      </c>
    </row>
    <row r="3676">
      <c r="A3676" s="161" t="str">
        <f>IFERROR(__xludf.DUMMYFUNCTION("""COMPUTED_VALUE"""),"grantje01")</f>
        <v>grantje01</v>
      </c>
      <c r="B3676" s="161" t="str">
        <f>IFERROR(__xludf.DUMMYFUNCTION("""COMPUTED_VALUE"""),"Jerami Grant")</f>
        <v>Jerami Grant</v>
      </c>
      <c r="C3676" s="162" t="str">
        <f>IFERROR(__xludf.DUMMYFUNCTION("""COMPUTED_VALUE"""),"2020-21")</f>
        <v>2020-21</v>
      </c>
      <c r="D3676" s="163" t="str">
        <f>IFERROR(__xludf.DUMMYFUNCTION("""COMPUTED_VALUE"""),"DET")</f>
        <v>DET</v>
      </c>
      <c r="E3676" s="164" t="str">
        <f>IFERROR(__xludf.DUMMYFUNCTION("""COMPUTED_VALUE"""),"Stationary Shooter")</f>
        <v>Stationary Shooter</v>
      </c>
      <c r="F3676" s="164">
        <f>IFERROR(__xludf.DUMMYFUNCTION("""COMPUTED_VALUE"""),1091.22333333333)</f>
        <v>1091.223333</v>
      </c>
      <c r="G3676" s="163">
        <f>IFERROR(__xludf.DUMMYFUNCTION("""COMPUTED_VALUE"""),30.0)</f>
        <v>30</v>
      </c>
      <c r="H3676" s="163" t="str">
        <f>IFERROR(__xludf.DUMMYFUNCTION("""COMPUTED_VALUE"""),"SF")</f>
        <v>SF</v>
      </c>
      <c r="I3676" s="163">
        <f>IFERROR(__xludf.DUMMYFUNCTION("""COMPUTED_VALUE"""),26.0)</f>
        <v>26</v>
      </c>
      <c r="J3676" s="165">
        <f>IFERROR(__xludf.DUMMYFUNCTION("""COMPUTED_VALUE"""),0.600285879510419)</f>
        <v>0.6002858795</v>
      </c>
      <c r="K3676" s="165">
        <f>IFERROR(__xludf.DUMMYFUNCTION("""COMPUTED_VALUE"""),0.765490059583678)</f>
        <v>0.7654900596</v>
      </c>
      <c r="L3676" s="165">
        <f>IFERROR(__xludf.DUMMYFUNCTION("""COMPUTED_VALUE"""),-0.165204180073259)</f>
        <v>-0.1652041801</v>
      </c>
      <c r="M3676" s="166">
        <f t="shared" si="2"/>
        <v>2.123707016</v>
      </c>
      <c r="N3676" s="167">
        <f t="shared" si="3"/>
        <v>36.37411111</v>
      </c>
      <c r="O3676" s="163">
        <f t="shared" ref="O3676:Q3676" si="3680">rank(I3676,I:I)</f>
        <v>1665</v>
      </c>
      <c r="P3676" s="163">
        <f t="shared" si="3680"/>
        <v>845</v>
      </c>
      <c r="Q3676" s="163">
        <f t="shared" si="3680"/>
        <v>614</v>
      </c>
      <c r="R3676" s="163">
        <f>IFERROR(__xludf.DUMMYFUNCTION("RANK(M3676,filter(M:M,C:C=C3676))"),42.0)</f>
        <v>42</v>
      </c>
      <c r="S3676" s="161" t="b">
        <f t="shared" si="5"/>
        <v>1</v>
      </c>
      <c r="T3676" s="161" t="b">
        <f t="array" ref="T3676">index('Query Tool'!B:B,match(H3676,'Query Tool'!C:C,0))</f>
        <v>1</v>
      </c>
      <c r="U3676" s="161" t="b">
        <f t="array" ref="U3676">index('Query Tool'!B:B,match(C3676,'Query Tool'!C:C,0))</f>
        <v>1</v>
      </c>
      <c r="V3676" s="161" t="b">
        <f>F3676&gt;='Query Tool'!C$32</f>
        <v>1</v>
      </c>
      <c r="W3676" s="161" t="b">
        <f t="array" ref="W3676">index(Dropdowns!B:B,match(I3676,Dropdowns!A:A,0))</f>
        <v>1</v>
      </c>
      <c r="X3676" s="161" t="b">
        <f t="array" ref="X3676">index('Query Tool'!B:B,match(D3676,'Query Tool'!C:C,0))</f>
        <v>1</v>
      </c>
      <c r="Y3676" s="161" t="str">
        <f t="shared" si="6"/>
        <v>grantje01,2020-21</v>
      </c>
      <c r="Z3676" s="168" t="str">
        <f t="array" ref="Z3676">iferror(index(I:I,match($A3676&amp;","&amp;index('Year Conversion'!$A:$A,match($C3676,'Year Conversion'!$B:$B,0)),$Y:$Y,0))-I3676,"")</f>
        <v/>
      </c>
      <c r="AA3676" s="168" t="str">
        <f t="array" ref="AA3676">iferror(index(J:J,match($A3676&amp;","&amp;index('Year Conversion'!$A:$A,match($C3676,'Year Conversion'!$B:$B,0)),$Y:$Y,0))-J3676,"")</f>
        <v/>
      </c>
      <c r="AB3676" s="168" t="str">
        <f t="array" ref="AB3676">iferror(index(K:K,match($A3676&amp;","&amp;index('Year Conversion'!$A:$A,match($C3676,'Year Conversion'!$B:$B,0)),$Y:$Y,0))-K3676,"")</f>
        <v/>
      </c>
      <c r="AC3676" s="168" t="str">
        <f t="shared" si="7"/>
        <v>DET,2020-21</v>
      </c>
    </row>
    <row r="3677">
      <c r="A3677" s="161" t="str">
        <f>IFERROR(__xludf.DUMMYFUNCTION("""COMPUTED_VALUE"""),"harrijo01")</f>
        <v>harrijo01</v>
      </c>
      <c r="B3677" s="161" t="str">
        <f>IFERROR(__xludf.DUMMYFUNCTION("""COMPUTED_VALUE"""),"Joe Harris")</f>
        <v>Joe Harris</v>
      </c>
      <c r="C3677" s="162" t="str">
        <f>IFERROR(__xludf.DUMMYFUNCTION("""COMPUTED_VALUE"""),"2020-21")</f>
        <v>2020-21</v>
      </c>
      <c r="D3677" s="163" t="str">
        <f>IFERROR(__xludf.DUMMYFUNCTION("""COMPUTED_VALUE"""),"BRK")</f>
        <v>BRK</v>
      </c>
      <c r="E3677" s="164" t="str">
        <f>IFERROR(__xludf.DUMMYFUNCTION("""COMPUTED_VALUE"""),"Movement Shooter")</f>
        <v>Movement Shooter</v>
      </c>
      <c r="F3677" s="164">
        <f>IFERROR(__xludf.DUMMYFUNCTION("""COMPUTED_VALUE"""),994.531666666667)</f>
        <v>994.5316667</v>
      </c>
      <c r="G3677" s="163">
        <f>IFERROR(__xludf.DUMMYFUNCTION("""COMPUTED_VALUE"""),32.0)</f>
        <v>32</v>
      </c>
      <c r="H3677" s="163" t="str">
        <f>IFERROR(__xludf.DUMMYFUNCTION("""COMPUTED_VALUE"""),"SF")</f>
        <v>SF</v>
      </c>
      <c r="I3677" s="163">
        <f>IFERROR(__xludf.DUMMYFUNCTION("""COMPUTED_VALUE"""),29.0)</f>
        <v>29</v>
      </c>
      <c r="J3677" s="165">
        <f>IFERROR(__xludf.DUMMYFUNCTION("""COMPUTED_VALUE"""),-0.560059479623988)</f>
        <v>-0.5600594796</v>
      </c>
      <c r="K3677" s="165">
        <f>IFERROR(__xludf.DUMMYFUNCTION("""COMPUTED_VALUE"""),0.902919326006878)</f>
        <v>0.902919326</v>
      </c>
      <c r="L3677" s="165">
        <f>IFERROR(__xludf.DUMMYFUNCTION("""COMPUTED_VALUE"""),-1.46297880563087)</f>
        <v>-1.462978806</v>
      </c>
      <c r="M3677" s="166">
        <f t="shared" si="2"/>
        <v>1.157878235</v>
      </c>
      <c r="N3677" s="167">
        <f t="shared" si="3"/>
        <v>31.07911458</v>
      </c>
      <c r="O3677" s="163">
        <f t="shared" ref="O3677:Q3677" si="3681">rank(I3677,I:I)</f>
        <v>855</v>
      </c>
      <c r="P3677" s="163">
        <f t="shared" si="3681"/>
        <v>1935</v>
      </c>
      <c r="Q3677" s="163">
        <f t="shared" si="3681"/>
        <v>550</v>
      </c>
      <c r="R3677" s="163">
        <f>IFERROR(__xludf.DUMMYFUNCTION("RANK(M3677,filter(M:M,C:C=C3677))"),104.0)</f>
        <v>104</v>
      </c>
      <c r="S3677" s="161" t="b">
        <f t="shared" si="5"/>
        <v>1</v>
      </c>
      <c r="T3677" s="161" t="b">
        <f t="array" ref="T3677">index('Query Tool'!B:B,match(H3677,'Query Tool'!C:C,0))</f>
        <v>1</v>
      </c>
      <c r="U3677" s="161" t="b">
        <f t="array" ref="U3677">index('Query Tool'!B:B,match(C3677,'Query Tool'!C:C,0))</f>
        <v>1</v>
      </c>
      <c r="V3677" s="161" t="b">
        <f>F3677&gt;='Query Tool'!C$32</f>
        <v>1</v>
      </c>
      <c r="W3677" s="161" t="b">
        <f t="array" ref="W3677">index(Dropdowns!B:B,match(I3677,Dropdowns!A:A,0))</f>
        <v>1</v>
      </c>
      <c r="X3677" s="161" t="b">
        <f t="array" ref="X3677">index('Query Tool'!B:B,match(D3677,'Query Tool'!C:C,0))</f>
        <v>1</v>
      </c>
      <c r="Y3677" s="161" t="str">
        <f t="shared" si="6"/>
        <v>harrijo01,2020-21</v>
      </c>
      <c r="Z3677" s="168" t="str">
        <f t="array" ref="Z3677">iferror(index(I:I,match($A3677&amp;","&amp;index('Year Conversion'!$A:$A,match($C3677,'Year Conversion'!$B:$B,0)),$Y:$Y,0))-I3677,"")</f>
        <v/>
      </c>
      <c r="AA3677" s="168" t="str">
        <f t="array" ref="AA3677">iferror(index(J:J,match($A3677&amp;","&amp;index('Year Conversion'!$A:$A,match($C3677,'Year Conversion'!$B:$B,0)),$Y:$Y,0))-J3677,"")</f>
        <v/>
      </c>
      <c r="AB3677" s="168" t="str">
        <f t="array" ref="AB3677">iferror(index(K:K,match($A3677&amp;","&amp;index('Year Conversion'!$A:$A,match($C3677,'Year Conversion'!$B:$B,0)),$Y:$Y,0))-K3677,"")</f>
        <v/>
      </c>
      <c r="AC3677" s="168" t="str">
        <f t="shared" si="7"/>
        <v>BRK,2020-21</v>
      </c>
    </row>
    <row r="3678">
      <c r="A3678" s="161" t="str">
        <f>IFERROR(__xludf.DUMMYFUNCTION("""COMPUTED_VALUE"""),"mcderdo01")</f>
        <v>mcderdo01</v>
      </c>
      <c r="B3678" s="161" t="str">
        <f>IFERROR(__xludf.DUMMYFUNCTION("""COMPUTED_VALUE"""),"Doug McDermott")</f>
        <v>Doug McDermott</v>
      </c>
      <c r="C3678" s="162" t="str">
        <f>IFERROR(__xludf.DUMMYFUNCTION("""COMPUTED_VALUE"""),"2020-21")</f>
        <v>2020-21</v>
      </c>
      <c r="D3678" s="163" t="str">
        <f>IFERROR(__xludf.DUMMYFUNCTION("""COMPUTED_VALUE"""),"IND")</f>
        <v>IND</v>
      </c>
      <c r="E3678" s="164" t="str">
        <f>IFERROR(__xludf.DUMMYFUNCTION("""COMPUTED_VALUE"""),"Athletic Finisher")</f>
        <v>Athletic Finisher</v>
      </c>
      <c r="F3678" s="164">
        <f>IFERROR(__xludf.DUMMYFUNCTION("""COMPUTED_VALUE"""),732.866666666667)</f>
        <v>732.8666667</v>
      </c>
      <c r="G3678" s="163">
        <f>IFERROR(__xludf.DUMMYFUNCTION("""COMPUTED_VALUE"""),28.0)</f>
        <v>28</v>
      </c>
      <c r="H3678" s="163" t="str">
        <f>IFERROR(__xludf.DUMMYFUNCTION("""COMPUTED_VALUE"""),"PF")</f>
        <v>PF</v>
      </c>
      <c r="I3678" s="163">
        <f>IFERROR(__xludf.DUMMYFUNCTION("""COMPUTED_VALUE"""),29.0)</f>
        <v>29</v>
      </c>
      <c r="J3678" s="165">
        <f>IFERROR(__xludf.DUMMYFUNCTION("""COMPUTED_VALUE"""),-0.48642834282436)</f>
        <v>-0.4864283428</v>
      </c>
      <c r="K3678" s="165">
        <f>IFERROR(__xludf.DUMMYFUNCTION("""COMPUTED_VALUE"""),0.385457841775138)</f>
        <v>0.3854578418</v>
      </c>
      <c r="L3678" s="165">
        <f>IFERROR(__xludf.DUMMYFUNCTION("""COMPUTED_VALUE"""),-0.871886184599498)</f>
        <v>-0.8718861846</v>
      </c>
      <c r="M3678" s="166">
        <f t="shared" si="2"/>
        <v>0.8895750948</v>
      </c>
      <c r="N3678" s="167">
        <f t="shared" si="3"/>
        <v>26.17380952</v>
      </c>
      <c r="O3678" s="163">
        <f t="shared" ref="O3678:Q3678" si="3682">rank(I3678,I:I)</f>
        <v>855</v>
      </c>
      <c r="P3678" s="163">
        <f t="shared" si="3682"/>
        <v>1832</v>
      </c>
      <c r="Q3678" s="163">
        <f t="shared" si="3682"/>
        <v>844</v>
      </c>
      <c r="R3678" s="163">
        <f>IFERROR(__xludf.DUMMYFUNCTION("RANK(M3678,filter(M:M,C:C=C3678))"),133.0)</f>
        <v>133</v>
      </c>
      <c r="S3678" s="161" t="b">
        <f t="shared" si="5"/>
        <v>1</v>
      </c>
      <c r="T3678" s="161" t="b">
        <f t="array" ref="T3678">index('Query Tool'!B:B,match(H3678,'Query Tool'!C:C,0))</f>
        <v>1</v>
      </c>
      <c r="U3678" s="161" t="b">
        <f t="array" ref="U3678">index('Query Tool'!B:B,match(C3678,'Query Tool'!C:C,0))</f>
        <v>1</v>
      </c>
      <c r="V3678" s="161" t="b">
        <f>F3678&gt;='Query Tool'!C$32</f>
        <v>1</v>
      </c>
      <c r="W3678" s="161" t="b">
        <f t="array" ref="W3678">index(Dropdowns!B:B,match(I3678,Dropdowns!A:A,0))</f>
        <v>1</v>
      </c>
      <c r="X3678" s="161" t="b">
        <f t="array" ref="X3678">index('Query Tool'!B:B,match(D3678,'Query Tool'!C:C,0))</f>
        <v>1</v>
      </c>
      <c r="Y3678" s="161" t="str">
        <f t="shared" si="6"/>
        <v>mcderdo01,2020-21</v>
      </c>
      <c r="Z3678" s="168" t="str">
        <f t="array" ref="Z3678">iferror(index(I:I,match($A3678&amp;","&amp;index('Year Conversion'!$A:$A,match($C3678,'Year Conversion'!$B:$B,0)),$Y:$Y,0))-I3678,"")</f>
        <v/>
      </c>
      <c r="AA3678" s="168" t="str">
        <f t="array" ref="AA3678">iferror(index(J:J,match($A3678&amp;","&amp;index('Year Conversion'!$A:$A,match($C3678,'Year Conversion'!$B:$B,0)),$Y:$Y,0))-J3678,"")</f>
        <v/>
      </c>
      <c r="AB3678" s="168" t="str">
        <f t="array" ref="AB3678">iferror(index(K:K,match($A3678&amp;","&amp;index('Year Conversion'!$A:$A,match($C3678,'Year Conversion'!$B:$B,0)),$Y:$Y,0))-K3678,"")</f>
        <v/>
      </c>
      <c r="AC3678" s="168" t="str">
        <f t="shared" si="7"/>
        <v>IND,2020-21</v>
      </c>
    </row>
    <row r="3679">
      <c r="A3679" s="161" t="str">
        <f>IFERROR(__xludf.DUMMYFUNCTION("""COMPUTED_VALUE"""),"gordoaa01")</f>
        <v>gordoaa01</v>
      </c>
      <c r="B3679" s="161" t="str">
        <f>IFERROR(__xludf.DUMMYFUNCTION("""COMPUTED_VALUE"""),"Aaron Gordon")</f>
        <v>Aaron Gordon</v>
      </c>
      <c r="C3679" s="162" t="str">
        <f>IFERROR(__xludf.DUMMYFUNCTION("""COMPUTED_VALUE"""),"2020-21")</f>
        <v>2020-21</v>
      </c>
      <c r="D3679" s="163" t="str">
        <f>IFERROR(__xludf.DUMMYFUNCTION("""COMPUTED_VALUE"""),"ORL")</f>
        <v>ORL</v>
      </c>
      <c r="E3679" s="164" t="str">
        <f>IFERROR(__xludf.DUMMYFUNCTION("""COMPUTED_VALUE"""),"Stretch Big")</f>
        <v>Stretch Big</v>
      </c>
      <c r="F3679" s="164">
        <f>IFERROR(__xludf.DUMMYFUNCTION("""COMPUTED_VALUE"""),552.02)</f>
        <v>552.02</v>
      </c>
      <c r="G3679" s="163">
        <f>IFERROR(__xludf.DUMMYFUNCTION("""COMPUTED_VALUE"""),19.0)</f>
        <v>19</v>
      </c>
      <c r="H3679" s="163" t="str">
        <f>IFERROR(__xludf.DUMMYFUNCTION("""COMPUTED_VALUE"""),"PF")</f>
        <v>PF</v>
      </c>
      <c r="I3679" s="163">
        <f>IFERROR(__xludf.DUMMYFUNCTION("""COMPUTED_VALUE"""),25.0)</f>
        <v>25</v>
      </c>
      <c r="J3679" s="165">
        <f>IFERROR(__xludf.DUMMYFUNCTION("""COMPUTED_VALUE"""),0.629229753671484)</f>
        <v>0.6292297537</v>
      </c>
      <c r="K3679" s="165">
        <f>IFERROR(__xludf.DUMMYFUNCTION("""COMPUTED_VALUE"""),0.576678147139015)</f>
        <v>0.5766781471</v>
      </c>
      <c r="L3679" s="165">
        <f>IFERROR(__xludf.DUMMYFUNCTION("""COMPUTED_VALUE"""),0.0525516065324689)</f>
        <v>0.05255160653</v>
      </c>
      <c r="M3679" s="166">
        <f t="shared" si="2"/>
        <v>1.085080201</v>
      </c>
      <c r="N3679" s="167">
        <f t="shared" si="3"/>
        <v>29.05368421</v>
      </c>
      <c r="O3679" s="163">
        <f t="shared" ref="O3679:Q3679" si="3683">rank(I3679,I:I)</f>
        <v>1995</v>
      </c>
      <c r="P3679" s="163">
        <f t="shared" si="3683"/>
        <v>831</v>
      </c>
      <c r="Q3679" s="163">
        <f t="shared" si="3683"/>
        <v>727</v>
      </c>
      <c r="R3679" s="163">
        <f>IFERROR(__xludf.DUMMYFUNCTION("RANK(M3679,filter(M:M,C:C=C3679))"),112.0)</f>
        <v>112</v>
      </c>
      <c r="S3679" s="161" t="b">
        <f t="shared" si="5"/>
        <v>1</v>
      </c>
      <c r="T3679" s="161" t="b">
        <f t="array" ref="T3679">index('Query Tool'!B:B,match(H3679,'Query Tool'!C:C,0))</f>
        <v>1</v>
      </c>
      <c r="U3679" s="161" t="b">
        <f t="array" ref="U3679">index('Query Tool'!B:B,match(C3679,'Query Tool'!C:C,0))</f>
        <v>1</v>
      </c>
      <c r="V3679" s="161" t="b">
        <f>F3679&gt;='Query Tool'!C$32</f>
        <v>1</v>
      </c>
      <c r="W3679" s="161" t="b">
        <f t="array" ref="W3679">index(Dropdowns!B:B,match(I3679,Dropdowns!A:A,0))</f>
        <v>1</v>
      </c>
      <c r="X3679" s="161" t="b">
        <f t="array" ref="X3679">index('Query Tool'!B:B,match(D3679,'Query Tool'!C:C,0))</f>
        <v>1</v>
      </c>
      <c r="Y3679" s="161" t="str">
        <f t="shared" si="6"/>
        <v>gordoaa01,2020-21</v>
      </c>
      <c r="Z3679" s="168" t="str">
        <f t="array" ref="Z3679">iferror(index(I:I,match($A3679&amp;","&amp;index('Year Conversion'!$A:$A,match($C3679,'Year Conversion'!$B:$B,0)),$Y:$Y,0))-I3679,"")</f>
        <v/>
      </c>
      <c r="AA3679" s="168" t="str">
        <f t="array" ref="AA3679">iferror(index(J:J,match($A3679&amp;","&amp;index('Year Conversion'!$A:$A,match($C3679,'Year Conversion'!$B:$B,0)),$Y:$Y,0))-J3679,"")</f>
        <v/>
      </c>
      <c r="AB3679" s="168" t="str">
        <f t="array" ref="AB3679">iferror(index(K:K,match($A3679&amp;","&amp;index('Year Conversion'!$A:$A,match($C3679,'Year Conversion'!$B:$B,0)),$Y:$Y,0))-K3679,"")</f>
        <v/>
      </c>
      <c r="AC3679" s="168" t="str">
        <f t="shared" si="7"/>
        <v>ORL,2020-21</v>
      </c>
    </row>
    <row r="3680">
      <c r="A3680" s="161" t="str">
        <f>IFERROR(__xludf.DUMMYFUNCTION("""COMPUTED_VALUE"""),"warretj01")</f>
        <v>warretj01</v>
      </c>
      <c r="B3680" s="161" t="str">
        <f>IFERROR(__xludf.DUMMYFUNCTION("""COMPUTED_VALUE"""),"T.J. Warren")</f>
        <v>T.J. Warren</v>
      </c>
      <c r="C3680" s="162" t="str">
        <f>IFERROR(__xludf.DUMMYFUNCTION("""COMPUTED_VALUE"""),"2020-21")</f>
        <v>2020-21</v>
      </c>
      <c r="D3680" s="163" t="str">
        <f>IFERROR(__xludf.DUMMYFUNCTION("""COMPUTED_VALUE"""),"IND")</f>
        <v>IND</v>
      </c>
      <c r="E3680" s="164" t="str">
        <f>IFERROR(__xludf.DUMMYFUNCTION("""COMPUTED_VALUE"""),"Secondary Ball Handler")</f>
        <v>Secondary Ball Handler</v>
      </c>
      <c r="F3680" s="164">
        <f>IFERROR(__xludf.DUMMYFUNCTION("""COMPUTED_VALUE"""),117.381666666667)</f>
        <v>117.3816667</v>
      </c>
      <c r="G3680" s="163">
        <f>IFERROR(__xludf.DUMMYFUNCTION("""COMPUTED_VALUE"""),4.0)</f>
        <v>4</v>
      </c>
      <c r="H3680" s="163" t="str">
        <f>IFERROR(__xludf.DUMMYFUNCTION("""COMPUTED_VALUE"""),"SF")</f>
        <v>SF</v>
      </c>
      <c r="I3680" s="163">
        <f>IFERROR(__xludf.DUMMYFUNCTION("""COMPUTED_VALUE"""),27.0)</f>
        <v>27</v>
      </c>
      <c r="J3680" s="165">
        <f>IFERROR(__xludf.DUMMYFUNCTION("""COMPUTED_VALUE"""),-0.656674158761485)</f>
        <v>-0.6566741588</v>
      </c>
      <c r="K3680" s="165">
        <f>IFERROR(__xludf.DUMMYFUNCTION("""COMPUTED_VALUE"""),-0.106577305876724)</f>
        <v>-0.1065773059</v>
      </c>
      <c r="L3680" s="165">
        <f>IFERROR(__xludf.DUMMYFUNCTION("""COMPUTED_VALUE"""),-0.550096852884761)</f>
        <v>-0.5500968529</v>
      </c>
      <c r="M3680" s="166">
        <f t="shared" si="2"/>
        <v>0.1290269442</v>
      </c>
      <c r="N3680" s="167">
        <f t="shared" si="3"/>
        <v>29.34541667</v>
      </c>
      <c r="O3680" s="163">
        <f t="shared" ref="O3680:Q3680" si="3684">rank(I3680,I:I)</f>
        <v>1366</v>
      </c>
      <c r="P3680" s="163">
        <f t="shared" si="3684"/>
        <v>2073</v>
      </c>
      <c r="Q3680" s="163">
        <f t="shared" si="3684"/>
        <v>1379</v>
      </c>
      <c r="R3680" s="163">
        <f>IFERROR(__xludf.DUMMYFUNCTION("RANK(M3680,filter(M:M,C:C=C3680))"),308.0)</f>
        <v>308</v>
      </c>
      <c r="S3680" s="161" t="b">
        <f t="shared" si="5"/>
        <v>0</v>
      </c>
      <c r="T3680" s="161" t="b">
        <f t="array" ref="T3680">index('Query Tool'!B:B,match(H3680,'Query Tool'!C:C,0))</f>
        <v>1</v>
      </c>
      <c r="U3680" s="161" t="b">
        <f t="array" ref="U3680">index('Query Tool'!B:B,match(C3680,'Query Tool'!C:C,0))</f>
        <v>1</v>
      </c>
      <c r="V3680" s="161" t="b">
        <f>F3680&gt;='Query Tool'!C$32</f>
        <v>0</v>
      </c>
      <c r="W3680" s="161" t="b">
        <f t="array" ref="W3680">index(Dropdowns!B:B,match(I3680,Dropdowns!A:A,0))</f>
        <v>1</v>
      </c>
      <c r="X3680" s="161" t="b">
        <f t="array" ref="X3680">index('Query Tool'!B:B,match(D3680,'Query Tool'!C:C,0))</f>
        <v>1</v>
      </c>
      <c r="Y3680" s="161" t="str">
        <f t="shared" si="6"/>
        <v>warretj01,2020-21</v>
      </c>
      <c r="Z3680" s="168" t="str">
        <f t="array" ref="Z3680">iferror(index(I:I,match($A3680&amp;","&amp;index('Year Conversion'!$A:$A,match($C3680,'Year Conversion'!$B:$B,0)),$Y:$Y,0))-I3680,"")</f>
        <v/>
      </c>
      <c r="AA3680" s="168" t="str">
        <f t="array" ref="AA3680">iferror(index(J:J,match($A3680&amp;","&amp;index('Year Conversion'!$A:$A,match($C3680,'Year Conversion'!$B:$B,0)),$Y:$Y,0))-J3680,"")</f>
        <v/>
      </c>
      <c r="AB3680" s="168" t="str">
        <f t="array" ref="AB3680">iferror(index(K:K,match($A3680&amp;","&amp;index('Year Conversion'!$A:$A,match($C3680,'Year Conversion'!$B:$B,0)),$Y:$Y,0))-K3680,"")</f>
        <v/>
      </c>
      <c r="AC3680" s="168" t="str">
        <f t="shared" si="7"/>
        <v>IND,2020-21</v>
      </c>
    </row>
    <row r="3681">
      <c r="A3681" s="161" t="str">
        <f>IFERROR(__xludf.DUMMYFUNCTION("""COMPUTED_VALUE"""),"smartma01")</f>
        <v>smartma01</v>
      </c>
      <c r="B3681" s="161" t="str">
        <f>IFERROR(__xludf.DUMMYFUNCTION("""COMPUTED_VALUE"""),"Marcus Smart")</f>
        <v>Marcus Smart</v>
      </c>
      <c r="C3681" s="162" t="str">
        <f>IFERROR(__xludf.DUMMYFUNCTION("""COMPUTED_VALUE"""),"2020-21")</f>
        <v>2020-21</v>
      </c>
      <c r="D3681" s="163" t="str">
        <f>IFERROR(__xludf.DUMMYFUNCTION("""COMPUTED_VALUE"""),"BOS")</f>
        <v>BOS</v>
      </c>
      <c r="E3681" s="164" t="str">
        <f>IFERROR(__xludf.DUMMYFUNCTION("""COMPUTED_VALUE"""),"Primary Ball Handler")</f>
        <v>Primary Ball Handler</v>
      </c>
      <c r="F3681" s="164">
        <f>IFERROR(__xludf.DUMMYFUNCTION("""COMPUTED_VALUE"""),549.423333333333)</f>
        <v>549.4233333</v>
      </c>
      <c r="G3681" s="163">
        <f>IFERROR(__xludf.DUMMYFUNCTION("""COMPUTED_VALUE"""),17.0)</f>
        <v>17</v>
      </c>
      <c r="H3681" s="163" t="str">
        <f>IFERROR(__xludf.DUMMYFUNCTION("""COMPUTED_VALUE"""),"PG")</f>
        <v>PG</v>
      </c>
      <c r="I3681" s="163">
        <f>IFERROR(__xludf.DUMMYFUNCTION("""COMPUTED_VALUE"""),26.0)</f>
        <v>26</v>
      </c>
      <c r="J3681" s="165">
        <f>IFERROR(__xludf.DUMMYFUNCTION("""COMPUTED_VALUE"""),0.995858907186449)</f>
        <v>0.9958589072</v>
      </c>
      <c r="K3681" s="165">
        <f>IFERROR(__xludf.DUMMYFUNCTION("""COMPUTED_VALUE"""),1.28935851005665)</f>
        <v>1.28935851</v>
      </c>
      <c r="L3681" s="165">
        <f>IFERROR(__xludf.DUMMYFUNCTION("""COMPUTED_VALUE"""),-0.293499602870204)</f>
        <v>-0.2934996029</v>
      </c>
      <c r="M3681" s="166">
        <f t="shared" si="2"/>
        <v>1.215401959</v>
      </c>
      <c r="N3681" s="167">
        <f t="shared" si="3"/>
        <v>32.31901961</v>
      </c>
      <c r="O3681" s="163">
        <f t="shared" ref="O3681:Q3681" si="3685">rank(I3681,I:I)</f>
        <v>1665</v>
      </c>
      <c r="P3681" s="163">
        <f t="shared" si="3685"/>
        <v>661</v>
      </c>
      <c r="Q3681" s="163">
        <f t="shared" si="3685"/>
        <v>389</v>
      </c>
      <c r="R3681" s="163">
        <f>IFERROR(__xludf.DUMMYFUNCTION("RANK(M3681,filter(M:M,C:C=C3681))"),102.0)</f>
        <v>102</v>
      </c>
      <c r="S3681" s="161" t="b">
        <f t="shared" si="5"/>
        <v>1</v>
      </c>
      <c r="T3681" s="161" t="b">
        <f t="array" ref="T3681">index('Query Tool'!B:B,match(H3681,'Query Tool'!C:C,0))</f>
        <v>1</v>
      </c>
      <c r="U3681" s="161" t="b">
        <f t="array" ref="U3681">index('Query Tool'!B:B,match(C3681,'Query Tool'!C:C,0))</f>
        <v>1</v>
      </c>
      <c r="V3681" s="161" t="b">
        <f>F3681&gt;='Query Tool'!C$32</f>
        <v>1</v>
      </c>
      <c r="W3681" s="161" t="b">
        <f t="array" ref="W3681">index(Dropdowns!B:B,match(I3681,Dropdowns!A:A,0))</f>
        <v>1</v>
      </c>
      <c r="X3681" s="161" t="b">
        <f t="array" ref="X3681">index('Query Tool'!B:B,match(D3681,'Query Tool'!C:C,0))</f>
        <v>1</v>
      </c>
      <c r="Y3681" s="161" t="str">
        <f t="shared" si="6"/>
        <v>smartma01,2020-21</v>
      </c>
      <c r="Z3681" s="168" t="str">
        <f t="array" ref="Z3681">iferror(index(I:I,match($A3681&amp;","&amp;index('Year Conversion'!$A:$A,match($C3681,'Year Conversion'!$B:$B,0)),$Y:$Y,0))-I3681,"")</f>
        <v/>
      </c>
      <c r="AA3681" s="168" t="str">
        <f t="array" ref="AA3681">iferror(index(J:J,match($A3681&amp;","&amp;index('Year Conversion'!$A:$A,match($C3681,'Year Conversion'!$B:$B,0)),$Y:$Y,0))-J3681,"")</f>
        <v/>
      </c>
      <c r="AB3681" s="168" t="str">
        <f t="array" ref="AB3681">iferror(index(K:K,match($A3681&amp;","&amp;index('Year Conversion'!$A:$A,match($C3681,'Year Conversion'!$B:$B,0)),$Y:$Y,0))-K3681,"")</f>
        <v/>
      </c>
      <c r="AC3681" s="168" t="str">
        <f t="shared" si="7"/>
        <v>BOS,2020-21</v>
      </c>
    </row>
    <row r="3682">
      <c r="A3682" s="161" t="str">
        <f>IFERROR(__xludf.DUMMYFUNCTION("""COMPUTED_VALUE"""),"anderky01")</f>
        <v>anderky01</v>
      </c>
      <c r="B3682" s="161" t="str">
        <f>IFERROR(__xludf.DUMMYFUNCTION("""COMPUTED_VALUE"""),"Kyle Anderson")</f>
        <v>Kyle Anderson</v>
      </c>
      <c r="C3682" s="162" t="str">
        <f>IFERROR(__xludf.DUMMYFUNCTION("""COMPUTED_VALUE"""),"2020-21")</f>
        <v>2020-21</v>
      </c>
      <c r="D3682" s="163" t="str">
        <f>IFERROR(__xludf.DUMMYFUNCTION("""COMPUTED_VALUE"""),"MEM")</f>
        <v>MEM</v>
      </c>
      <c r="E3682" s="164" t="str">
        <f>IFERROR(__xludf.DUMMYFUNCTION("""COMPUTED_VALUE"""),"Secondary Ball Handler")</f>
        <v>Secondary Ball Handler</v>
      </c>
      <c r="F3682" s="164">
        <f>IFERROR(__xludf.DUMMYFUNCTION("""COMPUTED_VALUE"""),700.033333333333)</f>
        <v>700.0333333</v>
      </c>
      <c r="G3682" s="163">
        <f>IFERROR(__xludf.DUMMYFUNCTION("""COMPUTED_VALUE"""),25.0)</f>
        <v>25</v>
      </c>
      <c r="H3682" s="163" t="str">
        <f>IFERROR(__xludf.DUMMYFUNCTION("""COMPUTED_VALUE"""),"PF")</f>
        <v>PF</v>
      </c>
      <c r="I3682" s="163">
        <f>IFERROR(__xludf.DUMMYFUNCTION("""COMPUTED_VALUE"""),27.0)</f>
        <v>27</v>
      </c>
      <c r="J3682" s="165">
        <f>IFERROR(__xludf.DUMMYFUNCTION("""COMPUTED_VALUE"""),1.86848892276788)</f>
        <v>1.868488923</v>
      </c>
      <c r="K3682" s="165">
        <f>IFERROR(__xludf.DUMMYFUNCTION("""COMPUTED_VALUE"""),0.603550970627959)</f>
        <v>0.6035509706</v>
      </c>
      <c r="L3682" s="165">
        <f>IFERROR(__xludf.DUMMYFUNCTION("""COMPUTED_VALUE"""),1.26493795213992)</f>
        <v>1.264937952</v>
      </c>
      <c r="M3682" s="166">
        <f t="shared" si="2"/>
        <v>1.956809158</v>
      </c>
      <c r="N3682" s="167">
        <f t="shared" si="3"/>
        <v>28.00133333</v>
      </c>
      <c r="O3682" s="163">
        <f t="shared" ref="O3682:Q3682" si="3686">rank(I3682,I:I)</f>
        <v>1366</v>
      </c>
      <c r="P3682" s="163">
        <f t="shared" si="3686"/>
        <v>354</v>
      </c>
      <c r="Q3682" s="163">
        <f t="shared" si="3686"/>
        <v>704</v>
      </c>
      <c r="R3682" s="163">
        <f>IFERROR(__xludf.DUMMYFUNCTION("RANK(M3682,filter(M:M,C:C=C3682))"),48.0)</f>
        <v>48</v>
      </c>
      <c r="S3682" s="161" t="b">
        <f t="shared" si="5"/>
        <v>1</v>
      </c>
      <c r="T3682" s="161" t="b">
        <f t="array" ref="T3682">index('Query Tool'!B:B,match(H3682,'Query Tool'!C:C,0))</f>
        <v>1</v>
      </c>
      <c r="U3682" s="161" t="b">
        <f t="array" ref="U3682">index('Query Tool'!B:B,match(C3682,'Query Tool'!C:C,0))</f>
        <v>1</v>
      </c>
      <c r="V3682" s="161" t="b">
        <f>F3682&gt;='Query Tool'!C$32</f>
        <v>1</v>
      </c>
      <c r="W3682" s="161" t="b">
        <f t="array" ref="W3682">index(Dropdowns!B:B,match(I3682,Dropdowns!A:A,0))</f>
        <v>1</v>
      </c>
      <c r="X3682" s="161" t="b">
        <f t="array" ref="X3682">index('Query Tool'!B:B,match(D3682,'Query Tool'!C:C,0))</f>
        <v>1</v>
      </c>
      <c r="Y3682" s="161" t="str">
        <f t="shared" si="6"/>
        <v>anderky01,2020-21</v>
      </c>
      <c r="Z3682" s="168" t="str">
        <f t="array" ref="Z3682">iferror(index(I:I,match($A3682&amp;","&amp;index('Year Conversion'!$A:$A,match($C3682,'Year Conversion'!$B:$B,0)),$Y:$Y,0))-I3682,"")</f>
        <v/>
      </c>
      <c r="AA3682" s="168" t="str">
        <f t="array" ref="AA3682">iferror(index(J:J,match($A3682&amp;","&amp;index('Year Conversion'!$A:$A,match($C3682,'Year Conversion'!$B:$B,0)),$Y:$Y,0))-J3682,"")</f>
        <v/>
      </c>
      <c r="AB3682" s="168" t="str">
        <f t="array" ref="AB3682">iferror(index(K:K,match($A3682&amp;","&amp;index('Year Conversion'!$A:$A,match($C3682,'Year Conversion'!$B:$B,0)),$Y:$Y,0))-K3682,"")</f>
        <v/>
      </c>
      <c r="AC3682" s="168" t="str">
        <f t="shared" si="7"/>
        <v>MEM,2020-21</v>
      </c>
    </row>
    <row r="3683">
      <c r="A3683" s="161" t="str">
        <f>IFERROR(__xludf.DUMMYFUNCTION("""COMPUTED_VALUE"""),"poweldw01")</f>
        <v>poweldw01</v>
      </c>
      <c r="B3683" s="161" t="str">
        <f>IFERROR(__xludf.DUMMYFUNCTION("""COMPUTED_VALUE"""),"Dwight Powell")</f>
        <v>Dwight Powell</v>
      </c>
      <c r="C3683" s="162" t="str">
        <f>IFERROR(__xludf.DUMMYFUNCTION("""COMPUTED_VALUE"""),"2020-21")</f>
        <v>2020-21</v>
      </c>
      <c r="D3683" s="163" t="str">
        <f>IFERROR(__xludf.DUMMYFUNCTION("""COMPUTED_VALUE"""),"DAL")</f>
        <v>DAL</v>
      </c>
      <c r="E3683" s="164" t="str">
        <f>IFERROR(__xludf.DUMMYFUNCTION("""COMPUTED_VALUE"""),"Roll + Cut Big")</f>
        <v>Roll + Cut Big</v>
      </c>
      <c r="F3683" s="164">
        <f>IFERROR(__xludf.DUMMYFUNCTION("""COMPUTED_VALUE"""),276.6)</f>
        <v>276.6</v>
      </c>
      <c r="G3683" s="163">
        <f>IFERROR(__xludf.DUMMYFUNCTION("""COMPUTED_VALUE"""),17.0)</f>
        <v>17</v>
      </c>
      <c r="H3683" s="163" t="str">
        <f>IFERROR(__xludf.DUMMYFUNCTION("""COMPUTED_VALUE"""),"C")</f>
        <v>C</v>
      </c>
      <c r="I3683" s="163">
        <f>IFERROR(__xludf.DUMMYFUNCTION("""COMPUTED_VALUE"""),29.0)</f>
        <v>29</v>
      </c>
      <c r="J3683" s="165">
        <f>IFERROR(__xludf.DUMMYFUNCTION("""COMPUTED_VALUE"""),-0.22213987650965)</f>
        <v>-0.2221398765</v>
      </c>
      <c r="K3683" s="165">
        <f>IFERROR(__xludf.DUMMYFUNCTION("""COMPUTED_VALUE"""),-1.37349262891933)</f>
        <v>-1.373492629</v>
      </c>
      <c r="L3683" s="165">
        <f>IFERROR(__xludf.DUMMYFUNCTION("""COMPUTED_VALUE"""),1.15135275240968)</f>
        <v>1.151352752</v>
      </c>
      <c r="M3683" s="166">
        <f t="shared" si="2"/>
        <v>0.3850029947</v>
      </c>
      <c r="N3683" s="167">
        <f t="shared" si="3"/>
        <v>16.27058824</v>
      </c>
      <c r="O3683" s="163">
        <f t="shared" ref="O3683:Q3683" si="3687">rank(I3683,I:I)</f>
        <v>855</v>
      </c>
      <c r="P3683" s="163">
        <f t="shared" si="3687"/>
        <v>1528</v>
      </c>
      <c r="Q3683" s="163">
        <f t="shared" si="3687"/>
        <v>3224</v>
      </c>
      <c r="R3683" s="163">
        <f>IFERROR(__xludf.DUMMYFUNCTION("RANK(M3683,filter(M:M,C:C=C3683))"),222.0)</f>
        <v>222</v>
      </c>
      <c r="S3683" s="161" t="b">
        <f t="shared" si="5"/>
        <v>0</v>
      </c>
      <c r="T3683" s="161" t="b">
        <f t="array" ref="T3683">index('Query Tool'!B:B,match(H3683,'Query Tool'!C:C,0))</f>
        <v>1</v>
      </c>
      <c r="U3683" s="161" t="b">
        <f t="array" ref="U3683">index('Query Tool'!B:B,match(C3683,'Query Tool'!C:C,0))</f>
        <v>1</v>
      </c>
      <c r="V3683" s="161" t="b">
        <f>F3683&gt;='Query Tool'!C$32</f>
        <v>0</v>
      </c>
      <c r="W3683" s="161" t="b">
        <f t="array" ref="W3683">index(Dropdowns!B:B,match(I3683,Dropdowns!A:A,0))</f>
        <v>1</v>
      </c>
      <c r="X3683" s="161" t="b">
        <f t="array" ref="X3683">index('Query Tool'!B:B,match(D3683,'Query Tool'!C:C,0))</f>
        <v>1</v>
      </c>
      <c r="Y3683" s="161" t="str">
        <f t="shared" si="6"/>
        <v>poweldw01,2020-21</v>
      </c>
      <c r="Z3683" s="168" t="str">
        <f t="array" ref="Z3683">iferror(index(I:I,match($A3683&amp;","&amp;index('Year Conversion'!$A:$A,match($C3683,'Year Conversion'!$B:$B,0)),$Y:$Y,0))-I3683,"")</f>
        <v/>
      </c>
      <c r="AA3683" s="168" t="str">
        <f t="array" ref="AA3683">iferror(index(J:J,match($A3683&amp;","&amp;index('Year Conversion'!$A:$A,match($C3683,'Year Conversion'!$B:$B,0)),$Y:$Y,0))-J3683,"")</f>
        <v/>
      </c>
      <c r="AB3683" s="168" t="str">
        <f t="array" ref="AB3683">iferror(index(K:K,match($A3683&amp;","&amp;index('Year Conversion'!$A:$A,match($C3683,'Year Conversion'!$B:$B,0)),$Y:$Y,0))-K3683,"")</f>
        <v/>
      </c>
      <c r="AC3683" s="168" t="str">
        <f t="shared" si="7"/>
        <v>DAL,2020-21</v>
      </c>
    </row>
    <row r="3684">
      <c r="A3684" s="161" t="str">
        <f>IFERROR(__xludf.DUMMYFUNCTION("""COMPUTED_VALUE"""),"vonleno01")</f>
        <v>vonleno01</v>
      </c>
      <c r="B3684" s="161" t="str">
        <f>IFERROR(__xludf.DUMMYFUNCTION("""COMPUTED_VALUE"""),"Noah Vonleh")</f>
        <v>Noah Vonleh</v>
      </c>
      <c r="C3684" s="162" t="str">
        <f>IFERROR(__xludf.DUMMYFUNCTION("""COMPUTED_VALUE"""),"2020-21")</f>
        <v>2020-21</v>
      </c>
      <c r="D3684" s="163" t="str">
        <f>IFERROR(__xludf.DUMMYFUNCTION("""COMPUTED_VALUE"""),"BRK")</f>
        <v>BRK</v>
      </c>
      <c r="E3684" s="164" t="str">
        <f>IFERROR(__xludf.DUMMYFUNCTION("""COMPUTED_VALUE"""),"Stationary Shooter")</f>
        <v>Stationary Shooter</v>
      </c>
      <c r="F3684" s="164">
        <f>IFERROR(__xludf.DUMMYFUNCTION("""COMPUTED_VALUE"""),10.7666666666667)</f>
        <v>10.76666667</v>
      </c>
      <c r="G3684" s="163">
        <f>IFERROR(__xludf.DUMMYFUNCTION("""COMPUTED_VALUE"""),4.0)</f>
        <v>4</v>
      </c>
      <c r="H3684" s="163" t="str">
        <f>IFERROR(__xludf.DUMMYFUNCTION("""COMPUTED_VALUE"""),"PF")</f>
        <v>PF</v>
      </c>
      <c r="I3684" s="163">
        <f>IFERROR(__xludf.DUMMYFUNCTION("""COMPUTED_VALUE"""),25.0)</f>
        <v>25</v>
      </c>
      <c r="J3684" s="165">
        <f>IFERROR(__xludf.DUMMYFUNCTION("""COMPUTED_VALUE"""),-0.363044061872865)</f>
        <v>-0.3630440619</v>
      </c>
      <c r="K3684" s="165">
        <f>IFERROR(__xludf.DUMMYFUNCTION("""COMPUTED_VALUE"""),0.0320399341799376)</f>
        <v>0.03203993418</v>
      </c>
      <c r="L3684" s="165">
        <f>IFERROR(__xludf.DUMMYFUNCTION("""COMPUTED_VALUE"""),-0.395083996052802)</f>
        <v>-0.3950839961</v>
      </c>
      <c r="M3684" s="166">
        <f t="shared" si="2"/>
        <v>0.01396383762</v>
      </c>
      <c r="N3684" s="167">
        <f t="shared" si="3"/>
        <v>2.691666667</v>
      </c>
      <c r="O3684" s="163">
        <f t="shared" ref="O3684:Q3684" si="3688">rank(I3684,I:I)</f>
        <v>1995</v>
      </c>
      <c r="P3684" s="163">
        <f t="shared" si="3688"/>
        <v>1687</v>
      </c>
      <c r="Q3684" s="163">
        <f t="shared" si="3688"/>
        <v>1154</v>
      </c>
      <c r="R3684" s="163">
        <f>IFERROR(__xludf.DUMMYFUNCTION("RANK(M3684,filter(M:M,C:C=C3684))"),428.0)</f>
        <v>428</v>
      </c>
      <c r="S3684" s="161" t="b">
        <f t="shared" si="5"/>
        <v>0</v>
      </c>
      <c r="T3684" s="161" t="b">
        <f t="array" ref="T3684">index('Query Tool'!B:B,match(H3684,'Query Tool'!C:C,0))</f>
        <v>1</v>
      </c>
      <c r="U3684" s="161" t="b">
        <f t="array" ref="U3684">index('Query Tool'!B:B,match(C3684,'Query Tool'!C:C,0))</f>
        <v>1</v>
      </c>
      <c r="V3684" s="161" t="b">
        <f>F3684&gt;='Query Tool'!C$32</f>
        <v>0</v>
      </c>
      <c r="W3684" s="161" t="b">
        <f t="array" ref="W3684">index(Dropdowns!B:B,match(I3684,Dropdowns!A:A,0))</f>
        <v>1</v>
      </c>
      <c r="X3684" s="161" t="b">
        <f t="array" ref="X3684">index('Query Tool'!B:B,match(D3684,'Query Tool'!C:C,0))</f>
        <v>1</v>
      </c>
      <c r="Y3684" s="161" t="str">
        <f t="shared" si="6"/>
        <v>vonleno01,2020-21</v>
      </c>
      <c r="Z3684" s="168" t="str">
        <f t="array" ref="Z3684">iferror(index(I:I,match($A3684&amp;","&amp;index('Year Conversion'!$A:$A,match($C3684,'Year Conversion'!$B:$B,0)),$Y:$Y,0))-I3684,"")</f>
        <v/>
      </c>
      <c r="AA3684" s="168" t="str">
        <f t="array" ref="AA3684">iferror(index(J:J,match($A3684&amp;","&amp;index('Year Conversion'!$A:$A,match($C3684,'Year Conversion'!$B:$B,0)),$Y:$Y,0))-J3684,"")</f>
        <v/>
      </c>
      <c r="AB3684" s="168" t="str">
        <f t="array" ref="AB3684">iferror(index(K:K,match($A3684&amp;","&amp;index('Year Conversion'!$A:$A,match($C3684,'Year Conversion'!$B:$B,0)),$Y:$Y,0))-K3684,"")</f>
        <v/>
      </c>
      <c r="AC3684" s="168" t="str">
        <f t="shared" si="7"/>
        <v>BRK,2020-21</v>
      </c>
    </row>
    <row r="3685">
      <c r="A3685" s="161" t="str">
        <f>IFERROR(__xludf.DUMMYFUNCTION("""COMPUTED_VALUE"""),"randlju01")</f>
        <v>randlju01</v>
      </c>
      <c r="B3685" s="161" t="str">
        <f>IFERROR(__xludf.DUMMYFUNCTION("""COMPUTED_VALUE"""),"Julius Randle")</f>
        <v>Julius Randle</v>
      </c>
      <c r="C3685" s="162" t="str">
        <f>IFERROR(__xludf.DUMMYFUNCTION("""COMPUTED_VALUE"""),"2020-21")</f>
        <v>2020-21</v>
      </c>
      <c r="D3685" s="163" t="str">
        <f>IFERROR(__xludf.DUMMYFUNCTION("""COMPUTED_VALUE"""),"NYK")</f>
        <v>NYK</v>
      </c>
      <c r="E3685" s="164" t="str">
        <f>IFERROR(__xludf.DUMMYFUNCTION("""COMPUTED_VALUE"""),"Post Scorer")</f>
        <v>Post Scorer</v>
      </c>
      <c r="F3685" s="164">
        <f>IFERROR(__xludf.DUMMYFUNCTION("""COMPUTED_VALUE"""),1139.895)</f>
        <v>1139.895</v>
      </c>
      <c r="G3685" s="163">
        <f>IFERROR(__xludf.DUMMYFUNCTION("""COMPUTED_VALUE"""),31.0)</f>
        <v>31</v>
      </c>
      <c r="H3685" s="163" t="str">
        <f>IFERROR(__xludf.DUMMYFUNCTION("""COMPUTED_VALUE"""),"PF")</f>
        <v>PF</v>
      </c>
      <c r="I3685" s="163">
        <f>IFERROR(__xludf.DUMMYFUNCTION("""COMPUTED_VALUE"""),26.0)</f>
        <v>26</v>
      </c>
      <c r="J3685" s="165">
        <f>IFERROR(__xludf.DUMMYFUNCTION("""COMPUTED_VALUE"""),1.81711029044977)</f>
        <v>1.81711029</v>
      </c>
      <c r="K3685" s="165">
        <f>IFERROR(__xludf.DUMMYFUNCTION("""COMPUTED_VALUE"""),1.27664311246795)</f>
        <v>1.276643112</v>
      </c>
      <c r="L3685" s="165">
        <f>IFERROR(__xludf.DUMMYFUNCTION("""COMPUTED_VALUE"""),0.54046717798182)</f>
        <v>0.540467178</v>
      </c>
      <c r="M3685" s="166">
        <f t="shared" si="2"/>
        <v>3.147427094</v>
      </c>
      <c r="N3685" s="167">
        <f t="shared" si="3"/>
        <v>36.77080645</v>
      </c>
      <c r="O3685" s="163">
        <f t="shared" ref="O3685:Q3685" si="3689">rank(I3685,I:I)</f>
        <v>1665</v>
      </c>
      <c r="P3685" s="163">
        <f t="shared" si="3689"/>
        <v>366</v>
      </c>
      <c r="Q3685" s="163">
        <f t="shared" si="3689"/>
        <v>394</v>
      </c>
      <c r="R3685" s="163">
        <f>IFERROR(__xludf.DUMMYFUNCTION("RANK(M3685,filter(M:M,C:C=C3685))"),16.0)</f>
        <v>16</v>
      </c>
      <c r="S3685" s="161" t="b">
        <f t="shared" si="5"/>
        <v>1</v>
      </c>
      <c r="T3685" s="161" t="b">
        <f t="array" ref="T3685">index('Query Tool'!B:B,match(H3685,'Query Tool'!C:C,0))</f>
        <v>1</v>
      </c>
      <c r="U3685" s="161" t="b">
        <f t="array" ref="U3685">index('Query Tool'!B:B,match(C3685,'Query Tool'!C:C,0))</f>
        <v>1</v>
      </c>
      <c r="V3685" s="161" t="b">
        <f>F3685&gt;='Query Tool'!C$32</f>
        <v>1</v>
      </c>
      <c r="W3685" s="161" t="b">
        <f t="array" ref="W3685">index(Dropdowns!B:B,match(I3685,Dropdowns!A:A,0))</f>
        <v>1</v>
      </c>
      <c r="X3685" s="161" t="b">
        <f t="array" ref="X3685">index('Query Tool'!B:B,match(D3685,'Query Tool'!C:C,0))</f>
        <v>1</v>
      </c>
      <c r="Y3685" s="161" t="str">
        <f t="shared" si="6"/>
        <v>randlju01,2020-21</v>
      </c>
      <c r="Z3685" s="168" t="str">
        <f t="array" ref="Z3685">iferror(index(I:I,match($A3685&amp;","&amp;index('Year Conversion'!$A:$A,match($C3685,'Year Conversion'!$B:$B,0)),$Y:$Y,0))-I3685,"")</f>
        <v/>
      </c>
      <c r="AA3685" s="168" t="str">
        <f t="array" ref="AA3685">iferror(index(J:J,match($A3685&amp;","&amp;index('Year Conversion'!$A:$A,match($C3685,'Year Conversion'!$B:$B,0)),$Y:$Y,0))-J3685,"")</f>
        <v/>
      </c>
      <c r="AB3685" s="168" t="str">
        <f t="array" ref="AB3685">iferror(index(K:K,match($A3685&amp;","&amp;index('Year Conversion'!$A:$A,match($C3685,'Year Conversion'!$B:$B,0)),$Y:$Y,0))-K3685,"")</f>
        <v/>
      </c>
      <c r="AC3685" s="168" t="str">
        <f t="shared" si="7"/>
        <v>NYK,2020-21</v>
      </c>
    </row>
    <row r="3686">
      <c r="A3686" s="161" t="str">
        <f>IFERROR(__xludf.DUMMYFUNCTION("""COMPUTED_VALUE"""),"wiggian01")</f>
        <v>wiggian01</v>
      </c>
      <c r="B3686" s="161" t="str">
        <f>IFERROR(__xludf.DUMMYFUNCTION("""COMPUTED_VALUE"""),"Andrew Wiggins")</f>
        <v>Andrew Wiggins</v>
      </c>
      <c r="C3686" s="162" t="str">
        <f>IFERROR(__xludf.DUMMYFUNCTION("""COMPUTED_VALUE"""),"2020-21")</f>
        <v>2020-21</v>
      </c>
      <c r="D3686" s="163" t="str">
        <f>IFERROR(__xludf.DUMMYFUNCTION("""COMPUTED_VALUE"""),"GSW")</f>
        <v>GSW</v>
      </c>
      <c r="E3686" s="164" t="str">
        <f>IFERROR(__xludf.DUMMYFUNCTION("""COMPUTED_VALUE"""),"Shot Creator")</f>
        <v>Shot Creator</v>
      </c>
      <c r="F3686" s="164">
        <f>IFERROR(__xludf.DUMMYFUNCTION("""COMPUTED_VALUE"""),999.69)</f>
        <v>999.69</v>
      </c>
      <c r="G3686" s="163">
        <f>IFERROR(__xludf.DUMMYFUNCTION("""COMPUTED_VALUE"""),31.0)</f>
        <v>31</v>
      </c>
      <c r="H3686" s="163" t="str">
        <f>IFERROR(__xludf.DUMMYFUNCTION("""COMPUTED_VALUE"""),"PF")</f>
        <v>PF</v>
      </c>
      <c r="I3686" s="163">
        <f>IFERROR(__xludf.DUMMYFUNCTION("""COMPUTED_VALUE"""),25.0)</f>
        <v>25</v>
      </c>
      <c r="J3686" s="165">
        <f>IFERROR(__xludf.DUMMYFUNCTION("""COMPUTED_VALUE"""),0.358712360943655)</f>
        <v>0.3587123609</v>
      </c>
      <c r="K3686" s="165">
        <f>IFERROR(__xludf.DUMMYFUNCTION("""COMPUTED_VALUE"""),-0.996083262381001)</f>
        <v>-0.9960832624</v>
      </c>
      <c r="L3686" s="165">
        <f>IFERROR(__xludf.DUMMYFUNCTION("""COMPUTED_VALUE"""),1.35479562332466)</f>
        <v>1.354795623</v>
      </c>
      <c r="M3686" s="166">
        <f t="shared" si="2"/>
        <v>1.782910793</v>
      </c>
      <c r="N3686" s="167">
        <f t="shared" si="3"/>
        <v>32.24806452</v>
      </c>
      <c r="O3686" s="163">
        <f t="shared" ref="O3686:Q3686" si="3690">rank(I3686,I:I)</f>
        <v>1995</v>
      </c>
      <c r="P3686" s="163">
        <f t="shared" si="3690"/>
        <v>980</v>
      </c>
      <c r="Q3686" s="163">
        <f t="shared" si="3690"/>
        <v>2797</v>
      </c>
      <c r="R3686" s="163">
        <f>IFERROR(__xludf.DUMMYFUNCTION("RANK(M3686,filter(M:M,C:C=C3686))"),56.0)</f>
        <v>56</v>
      </c>
      <c r="S3686" s="161" t="b">
        <f t="shared" si="5"/>
        <v>1</v>
      </c>
      <c r="T3686" s="161" t="b">
        <f t="array" ref="T3686">index('Query Tool'!B:B,match(H3686,'Query Tool'!C:C,0))</f>
        <v>1</v>
      </c>
      <c r="U3686" s="161" t="b">
        <f t="array" ref="U3686">index('Query Tool'!B:B,match(C3686,'Query Tool'!C:C,0))</f>
        <v>1</v>
      </c>
      <c r="V3686" s="161" t="b">
        <f>F3686&gt;='Query Tool'!C$32</f>
        <v>1</v>
      </c>
      <c r="W3686" s="161" t="b">
        <f t="array" ref="W3686">index(Dropdowns!B:B,match(I3686,Dropdowns!A:A,0))</f>
        <v>1</v>
      </c>
      <c r="X3686" s="161" t="b">
        <f t="array" ref="X3686">index('Query Tool'!B:B,match(D3686,'Query Tool'!C:C,0))</f>
        <v>1</v>
      </c>
      <c r="Y3686" s="161" t="str">
        <f t="shared" si="6"/>
        <v>wiggian01,2020-21</v>
      </c>
      <c r="Z3686" s="168" t="str">
        <f t="array" ref="Z3686">iferror(index(I:I,match($A3686&amp;","&amp;index('Year Conversion'!$A:$A,match($C3686,'Year Conversion'!$B:$B,0)),$Y:$Y,0))-I3686,"")</f>
        <v/>
      </c>
      <c r="AA3686" s="168" t="str">
        <f t="array" ref="AA3686">iferror(index(J:J,match($A3686&amp;","&amp;index('Year Conversion'!$A:$A,match($C3686,'Year Conversion'!$B:$B,0)),$Y:$Y,0))-J3686,"")</f>
        <v/>
      </c>
      <c r="AB3686" s="168" t="str">
        <f t="array" ref="AB3686">iferror(index(K:K,match($A3686&amp;","&amp;index('Year Conversion'!$A:$A,match($C3686,'Year Conversion'!$B:$B,0)),$Y:$Y,0))-K3686,"")</f>
        <v/>
      </c>
      <c r="AC3686" s="168" t="str">
        <f t="shared" si="7"/>
        <v>GSW,2020-21</v>
      </c>
    </row>
    <row r="3687">
      <c r="A3687" s="161" t="str">
        <f>IFERROR(__xludf.DUMMYFUNCTION("""COMPUTED_VALUE"""),"embiijo01")</f>
        <v>embiijo01</v>
      </c>
      <c r="B3687" s="161" t="str">
        <f>IFERROR(__xludf.DUMMYFUNCTION("""COMPUTED_VALUE"""),"Joel Embiid")</f>
        <v>Joel Embiid</v>
      </c>
      <c r="C3687" s="162" t="str">
        <f>IFERROR(__xludf.DUMMYFUNCTION("""COMPUTED_VALUE"""),"2020-21")</f>
        <v>2020-21</v>
      </c>
      <c r="D3687" s="163" t="str">
        <f>IFERROR(__xludf.DUMMYFUNCTION("""COMPUTED_VALUE"""),"PHI")</f>
        <v>PHI</v>
      </c>
      <c r="E3687" s="164" t="str">
        <f>IFERROR(__xludf.DUMMYFUNCTION("""COMPUTED_VALUE"""),"Post Scorer")</f>
        <v>Post Scorer</v>
      </c>
      <c r="F3687" s="164">
        <f>IFERROR(__xludf.DUMMYFUNCTION("""COMPUTED_VALUE"""),819.146666666667)</f>
        <v>819.1466667</v>
      </c>
      <c r="G3687" s="163">
        <f>IFERROR(__xludf.DUMMYFUNCTION("""COMPUTED_VALUE"""),25.0)</f>
        <v>25</v>
      </c>
      <c r="H3687" s="163" t="str">
        <f>IFERROR(__xludf.DUMMYFUNCTION("""COMPUTED_VALUE"""),"C")</f>
        <v>C</v>
      </c>
      <c r="I3687" s="163">
        <f>IFERROR(__xludf.DUMMYFUNCTION("""COMPUTED_VALUE"""),26.0)</f>
        <v>26</v>
      </c>
      <c r="J3687" s="165">
        <f>IFERROR(__xludf.DUMMYFUNCTION("""COMPUTED_VALUE"""),5.62764630685672)</f>
        <v>5.627646307</v>
      </c>
      <c r="K3687" s="165">
        <f>IFERROR(__xludf.DUMMYFUNCTION("""COMPUTED_VALUE"""),4.02473348842788)</f>
        <v>4.024733488</v>
      </c>
      <c r="L3687" s="165">
        <f>IFERROR(__xludf.DUMMYFUNCTION("""COMPUTED_VALUE"""),1.60291281842884)</f>
        <v>1.602912818</v>
      </c>
      <c r="M3687" s="166">
        <f t="shared" si="2"/>
        <v>4.240877601</v>
      </c>
      <c r="N3687" s="167">
        <f t="shared" si="3"/>
        <v>32.76586667</v>
      </c>
      <c r="O3687" s="163">
        <f t="shared" ref="O3687:Q3687" si="3691">rank(I3687,I:I)</f>
        <v>1665</v>
      </c>
      <c r="P3687" s="163">
        <f t="shared" si="3691"/>
        <v>30</v>
      </c>
      <c r="Q3687" s="163">
        <f t="shared" si="3691"/>
        <v>61</v>
      </c>
      <c r="R3687" s="163">
        <f>IFERROR(__xludf.DUMMYFUNCTION("RANK(M3687,filter(M:M,C:C=C3687))"),7.0)</f>
        <v>7</v>
      </c>
      <c r="S3687" s="161" t="b">
        <f t="shared" si="5"/>
        <v>1</v>
      </c>
      <c r="T3687" s="161" t="b">
        <f t="array" ref="T3687">index('Query Tool'!B:B,match(H3687,'Query Tool'!C:C,0))</f>
        <v>1</v>
      </c>
      <c r="U3687" s="161" t="b">
        <f t="array" ref="U3687">index('Query Tool'!B:B,match(C3687,'Query Tool'!C:C,0))</f>
        <v>1</v>
      </c>
      <c r="V3687" s="161" t="b">
        <f>F3687&gt;='Query Tool'!C$32</f>
        <v>1</v>
      </c>
      <c r="W3687" s="161" t="b">
        <f t="array" ref="W3687">index(Dropdowns!B:B,match(I3687,Dropdowns!A:A,0))</f>
        <v>1</v>
      </c>
      <c r="X3687" s="161" t="b">
        <f t="array" ref="X3687">index('Query Tool'!B:B,match(D3687,'Query Tool'!C:C,0))</f>
        <v>1</v>
      </c>
      <c r="Y3687" s="161" t="str">
        <f t="shared" si="6"/>
        <v>embiijo01,2020-21</v>
      </c>
      <c r="Z3687" s="168" t="str">
        <f t="array" ref="Z3687">iferror(index(I:I,match($A3687&amp;","&amp;index('Year Conversion'!$A:$A,match($C3687,'Year Conversion'!$B:$B,0)),$Y:$Y,0))-I3687,"")</f>
        <v/>
      </c>
      <c r="AA3687" s="168" t="str">
        <f t="array" ref="AA3687">iferror(index(J:J,match($A3687&amp;","&amp;index('Year Conversion'!$A:$A,match($C3687,'Year Conversion'!$B:$B,0)),$Y:$Y,0))-J3687,"")</f>
        <v/>
      </c>
      <c r="AB3687" s="168" t="str">
        <f t="array" ref="AB3687">iferror(index(K:K,match($A3687&amp;","&amp;index('Year Conversion'!$A:$A,match($C3687,'Year Conversion'!$B:$B,0)),$Y:$Y,0))-K3687,"")</f>
        <v/>
      </c>
      <c r="AC3687" s="168" t="str">
        <f t="shared" si="7"/>
        <v>PHI,2020-21</v>
      </c>
    </row>
    <row r="3688">
      <c r="A3688" s="161" t="str">
        <f>IFERROR(__xludf.DUMMYFUNCTION("""COMPUTED_VALUE"""),"exumda01")</f>
        <v>exumda01</v>
      </c>
      <c r="B3688" s="161" t="str">
        <f>IFERROR(__xludf.DUMMYFUNCTION("""COMPUTED_VALUE"""),"Dante Exum")</f>
        <v>Dante Exum</v>
      </c>
      <c r="C3688" s="162" t="str">
        <f>IFERROR(__xludf.DUMMYFUNCTION("""COMPUTED_VALUE"""),"2020-21")</f>
        <v>2020-21</v>
      </c>
      <c r="D3688" s="163" t="str">
        <f>IFERROR(__xludf.DUMMYFUNCTION("""COMPUTED_VALUE"""),"CLE")</f>
        <v>CLE</v>
      </c>
      <c r="E3688" s="164" t="str">
        <f>IFERROR(__xludf.DUMMYFUNCTION("""COMPUTED_VALUE"""),"Secondary Ball Handler")</f>
        <v>Secondary Ball Handler</v>
      </c>
      <c r="F3688" s="164">
        <f>IFERROR(__xludf.DUMMYFUNCTION("""COMPUTED_VALUE"""),116.148333333333)</f>
        <v>116.1483333</v>
      </c>
      <c r="G3688" s="163">
        <f>IFERROR(__xludf.DUMMYFUNCTION("""COMPUTED_VALUE"""),6.0)</f>
        <v>6</v>
      </c>
      <c r="H3688" s="163" t="str">
        <f>IFERROR(__xludf.DUMMYFUNCTION("""COMPUTED_VALUE"""),"SG")</f>
        <v>SG</v>
      </c>
      <c r="I3688" s="163">
        <f>IFERROR(__xludf.DUMMYFUNCTION("""COMPUTED_VALUE"""),25.0)</f>
        <v>25</v>
      </c>
      <c r="J3688" s="165">
        <f>IFERROR(__xludf.DUMMYFUNCTION("""COMPUTED_VALUE"""),0.402605146119211)</f>
        <v>0.4026051461</v>
      </c>
      <c r="K3688" s="165">
        <f>IFERROR(__xludf.DUMMYFUNCTION("""COMPUTED_VALUE"""),-0.677989129881226)</f>
        <v>-0.6779891299</v>
      </c>
      <c r="L3688" s="165">
        <f>IFERROR(__xludf.DUMMYFUNCTION("""COMPUTED_VALUE"""),1.08059427600044)</f>
        <v>1.080594276</v>
      </c>
      <c r="M3688" s="166">
        <f t="shared" si="2"/>
        <v>0.2105813249</v>
      </c>
      <c r="N3688" s="167">
        <f t="shared" si="3"/>
        <v>19.35805556</v>
      </c>
      <c r="O3688" s="163">
        <f t="shared" ref="O3688:Q3688" si="3692">rank(I3688,I:I)</f>
        <v>1995</v>
      </c>
      <c r="P3688" s="163">
        <f t="shared" si="3692"/>
        <v>944</v>
      </c>
      <c r="Q3688" s="163">
        <f t="shared" si="3692"/>
        <v>2384</v>
      </c>
      <c r="R3688" s="163">
        <f>IFERROR(__xludf.DUMMYFUNCTION("RANK(M3688,filter(M:M,C:C=C3688))"),271.0)</f>
        <v>271</v>
      </c>
      <c r="S3688" s="161" t="b">
        <f t="shared" si="5"/>
        <v>0</v>
      </c>
      <c r="T3688" s="161" t="b">
        <f t="array" ref="T3688">index('Query Tool'!B:B,match(H3688,'Query Tool'!C:C,0))</f>
        <v>1</v>
      </c>
      <c r="U3688" s="161" t="b">
        <f t="array" ref="U3688">index('Query Tool'!B:B,match(C3688,'Query Tool'!C:C,0))</f>
        <v>1</v>
      </c>
      <c r="V3688" s="161" t="b">
        <f>F3688&gt;='Query Tool'!C$32</f>
        <v>0</v>
      </c>
      <c r="W3688" s="161" t="b">
        <f t="array" ref="W3688">index(Dropdowns!B:B,match(I3688,Dropdowns!A:A,0))</f>
        <v>1</v>
      </c>
      <c r="X3688" s="161" t="b">
        <f t="array" ref="X3688">index('Query Tool'!B:B,match(D3688,'Query Tool'!C:C,0))</f>
        <v>1</v>
      </c>
      <c r="Y3688" s="161" t="str">
        <f t="shared" si="6"/>
        <v>exumda01,2020-21</v>
      </c>
      <c r="Z3688" s="168" t="str">
        <f t="array" ref="Z3688">iferror(index(I:I,match($A3688&amp;","&amp;index('Year Conversion'!$A:$A,match($C3688,'Year Conversion'!$B:$B,0)),$Y:$Y,0))-I3688,"")</f>
        <v/>
      </c>
      <c r="AA3688" s="168" t="str">
        <f t="array" ref="AA3688">iferror(index(J:J,match($A3688&amp;","&amp;index('Year Conversion'!$A:$A,match($C3688,'Year Conversion'!$B:$B,0)),$Y:$Y,0))-J3688,"")</f>
        <v/>
      </c>
      <c r="AB3688" s="168" t="str">
        <f t="array" ref="AB3688">iferror(index(K:K,match($A3688&amp;","&amp;index('Year Conversion'!$A:$A,match($C3688,'Year Conversion'!$B:$B,0)),$Y:$Y,0))-K3688,"")</f>
        <v/>
      </c>
      <c r="AC3688" s="168" t="str">
        <f t="shared" si="7"/>
        <v>CLE,2020-21</v>
      </c>
    </row>
    <row r="3689">
      <c r="A3689" s="161" t="str">
        <f>IFERROR(__xludf.DUMMYFUNCTION("""COMPUTED_VALUE"""),"sampsja02")</f>
        <v>sampsja02</v>
      </c>
      <c r="B3689" s="161" t="str">
        <f>IFERROR(__xludf.DUMMYFUNCTION("""COMPUTED_VALUE"""),"JaKarr Sampson")</f>
        <v>JaKarr Sampson</v>
      </c>
      <c r="C3689" s="162" t="str">
        <f>IFERROR(__xludf.DUMMYFUNCTION("""COMPUTED_VALUE"""),"2020-21")</f>
        <v>2020-21</v>
      </c>
      <c r="D3689" s="163" t="str">
        <f>IFERROR(__xludf.DUMMYFUNCTION("""COMPUTED_VALUE"""),"IND")</f>
        <v>IND</v>
      </c>
      <c r="E3689" s="164" t="str">
        <f>IFERROR(__xludf.DUMMYFUNCTION("""COMPUTED_VALUE"""),"Roll + Cut Big")</f>
        <v>Roll + Cut Big</v>
      </c>
      <c r="F3689" s="164">
        <f>IFERROR(__xludf.DUMMYFUNCTION("""COMPUTED_VALUE"""),78.4433333333334)</f>
        <v>78.44333333</v>
      </c>
      <c r="G3689" s="163">
        <f>IFERROR(__xludf.DUMMYFUNCTION("""COMPUTED_VALUE"""),13.0)</f>
        <v>13</v>
      </c>
      <c r="H3689" s="163" t="str">
        <f>IFERROR(__xludf.DUMMYFUNCTION("""COMPUTED_VALUE"""),"PF")</f>
        <v>PF</v>
      </c>
      <c r="I3689" s="163">
        <f>IFERROR(__xludf.DUMMYFUNCTION("""COMPUTED_VALUE"""),27.0)</f>
        <v>27</v>
      </c>
      <c r="J3689" s="165">
        <f>IFERROR(__xludf.DUMMYFUNCTION("""COMPUTED_VALUE"""),-0.498845844225375)</f>
        <v>-0.4988458442</v>
      </c>
      <c r="K3689" s="165">
        <f>IFERROR(__xludf.DUMMYFUNCTION("""COMPUTED_VALUE"""),-0.10775498947384)</f>
        <v>-0.1077549895</v>
      </c>
      <c r="L3689" s="165">
        <f>IFERROR(__xludf.DUMMYFUNCTION("""COMPUTED_VALUE"""),-0.391090854751535)</f>
        <v>-0.3910908548</v>
      </c>
      <c r="M3689" s="166">
        <f t="shared" si="2"/>
        <v>0.0945607786</v>
      </c>
      <c r="N3689" s="167">
        <f t="shared" si="3"/>
        <v>6.034102564</v>
      </c>
      <c r="O3689" s="163">
        <f t="shared" ref="O3689:Q3689" si="3693">rank(I3689,I:I)</f>
        <v>1366</v>
      </c>
      <c r="P3689" s="163">
        <f t="shared" si="3693"/>
        <v>1854</v>
      </c>
      <c r="Q3689" s="163">
        <f t="shared" si="3693"/>
        <v>1383</v>
      </c>
      <c r="R3689" s="163">
        <f>IFERROR(__xludf.DUMMYFUNCTION("RANK(M3689,filter(M:M,C:C=C3689))"),336.0)</f>
        <v>336</v>
      </c>
      <c r="S3689" s="161" t="b">
        <f t="shared" si="5"/>
        <v>0</v>
      </c>
      <c r="T3689" s="161" t="b">
        <f t="array" ref="T3689">index('Query Tool'!B:B,match(H3689,'Query Tool'!C:C,0))</f>
        <v>1</v>
      </c>
      <c r="U3689" s="161" t="b">
        <f t="array" ref="U3689">index('Query Tool'!B:B,match(C3689,'Query Tool'!C:C,0))</f>
        <v>1</v>
      </c>
      <c r="V3689" s="161" t="b">
        <f>F3689&gt;='Query Tool'!C$32</f>
        <v>0</v>
      </c>
      <c r="W3689" s="161" t="b">
        <f t="array" ref="W3689">index(Dropdowns!B:B,match(I3689,Dropdowns!A:A,0))</f>
        <v>1</v>
      </c>
      <c r="X3689" s="161" t="b">
        <f t="array" ref="X3689">index('Query Tool'!B:B,match(D3689,'Query Tool'!C:C,0))</f>
        <v>1</v>
      </c>
      <c r="Y3689" s="161" t="str">
        <f t="shared" si="6"/>
        <v>sampsja02,2020-21</v>
      </c>
      <c r="Z3689" s="168" t="str">
        <f t="array" ref="Z3689">iferror(index(I:I,match($A3689&amp;","&amp;index('Year Conversion'!$A:$A,match($C3689,'Year Conversion'!$B:$B,0)),$Y:$Y,0))-I3689,"")</f>
        <v/>
      </c>
      <c r="AA3689" s="168" t="str">
        <f t="array" ref="AA3689">iferror(index(J:J,match($A3689&amp;","&amp;index('Year Conversion'!$A:$A,match($C3689,'Year Conversion'!$B:$B,0)),$Y:$Y,0))-J3689,"")</f>
        <v/>
      </c>
      <c r="AB3689" s="168" t="str">
        <f t="array" ref="AB3689">iferror(index(K:K,match($A3689&amp;","&amp;index('Year Conversion'!$A:$A,match($C3689,'Year Conversion'!$B:$B,0)),$Y:$Y,0))-K3689,"")</f>
        <v/>
      </c>
      <c r="AC3689" s="168" t="str">
        <f t="shared" si="7"/>
        <v>IND,2020-21</v>
      </c>
    </row>
    <row r="3690">
      <c r="A3690" s="161" t="str">
        <f>IFERROR(__xludf.DUMMYFUNCTION("""COMPUTED_VALUE"""),"saricda01")</f>
        <v>saricda01</v>
      </c>
      <c r="B3690" s="161" t="str">
        <f>IFERROR(__xludf.DUMMYFUNCTION("""COMPUTED_VALUE"""),"Dario Saric")</f>
        <v>Dario Saric</v>
      </c>
      <c r="C3690" s="162" t="str">
        <f>IFERROR(__xludf.DUMMYFUNCTION("""COMPUTED_VALUE"""),"2020-21")</f>
        <v>2020-21</v>
      </c>
      <c r="D3690" s="163" t="str">
        <f>IFERROR(__xludf.DUMMYFUNCTION("""COMPUTED_VALUE"""),"PHO")</f>
        <v>PHO</v>
      </c>
      <c r="E3690" s="164" t="str">
        <f>IFERROR(__xludf.DUMMYFUNCTION("""COMPUTED_VALUE"""),"Stretch Big")</f>
        <v>Stretch Big</v>
      </c>
      <c r="F3690" s="164">
        <f>IFERROR(__xludf.DUMMYFUNCTION("""COMPUTED_VALUE"""),210.256666666667)</f>
        <v>210.2566667</v>
      </c>
      <c r="G3690" s="163">
        <f>IFERROR(__xludf.DUMMYFUNCTION("""COMPUTED_VALUE"""),12.0)</f>
        <v>12</v>
      </c>
      <c r="H3690" s="163" t="str">
        <f>IFERROR(__xludf.DUMMYFUNCTION("""COMPUTED_VALUE"""),"PF")</f>
        <v>PF</v>
      </c>
      <c r="I3690" s="163">
        <f>IFERROR(__xludf.DUMMYFUNCTION("""COMPUTED_VALUE"""),26.0)</f>
        <v>26</v>
      </c>
      <c r="J3690" s="165">
        <f>IFERROR(__xludf.DUMMYFUNCTION("""COMPUTED_VALUE"""),0.797327947360114)</f>
        <v>0.7973279474</v>
      </c>
      <c r="K3690" s="165">
        <f>IFERROR(__xludf.DUMMYFUNCTION("""COMPUTED_VALUE"""),0.757225210990552)</f>
        <v>0.757225211</v>
      </c>
      <c r="L3690" s="165">
        <f>IFERROR(__xludf.DUMMYFUNCTION("""COMPUTED_VALUE"""),0.0401027363695614)</f>
        <v>0.04010273637</v>
      </c>
      <c r="M3690" s="166">
        <f t="shared" si="2"/>
        <v>0.437069535</v>
      </c>
      <c r="N3690" s="167">
        <f t="shared" si="3"/>
        <v>17.52138889</v>
      </c>
      <c r="O3690" s="163">
        <f t="shared" ref="O3690:Q3690" si="3694">rank(I3690,I:I)</f>
        <v>1665</v>
      </c>
      <c r="P3690" s="163">
        <f t="shared" si="3694"/>
        <v>749</v>
      </c>
      <c r="Q3690" s="163">
        <f t="shared" si="3694"/>
        <v>621</v>
      </c>
      <c r="R3690" s="163">
        <f>IFERROR(__xludf.DUMMYFUNCTION("RANK(M3690,filter(M:M,C:C=C3690))"),207.0)</f>
        <v>207</v>
      </c>
      <c r="S3690" s="161" t="b">
        <f t="shared" si="5"/>
        <v>0</v>
      </c>
      <c r="T3690" s="161" t="b">
        <f t="array" ref="T3690">index('Query Tool'!B:B,match(H3690,'Query Tool'!C:C,0))</f>
        <v>1</v>
      </c>
      <c r="U3690" s="161" t="b">
        <f t="array" ref="U3690">index('Query Tool'!B:B,match(C3690,'Query Tool'!C:C,0))</f>
        <v>1</v>
      </c>
      <c r="V3690" s="161" t="b">
        <f>F3690&gt;='Query Tool'!C$32</f>
        <v>0</v>
      </c>
      <c r="W3690" s="161" t="b">
        <f t="array" ref="W3690">index(Dropdowns!B:B,match(I3690,Dropdowns!A:A,0))</f>
        <v>1</v>
      </c>
      <c r="X3690" s="161" t="b">
        <f t="array" ref="X3690">index('Query Tool'!B:B,match(D3690,'Query Tool'!C:C,0))</f>
        <v>1</v>
      </c>
      <c r="Y3690" s="161" t="str">
        <f t="shared" si="6"/>
        <v>saricda01,2020-21</v>
      </c>
      <c r="Z3690" s="168" t="str">
        <f t="array" ref="Z3690">iferror(index(I:I,match($A3690&amp;","&amp;index('Year Conversion'!$A:$A,match($C3690,'Year Conversion'!$B:$B,0)),$Y:$Y,0))-I3690,"")</f>
        <v/>
      </c>
      <c r="AA3690" s="168" t="str">
        <f t="array" ref="AA3690">iferror(index(J:J,match($A3690&amp;","&amp;index('Year Conversion'!$A:$A,match($C3690,'Year Conversion'!$B:$B,0)),$Y:$Y,0))-J3690,"")</f>
        <v/>
      </c>
      <c r="AB3690" s="168" t="str">
        <f t="array" ref="AB3690">iferror(index(K:K,match($A3690&amp;","&amp;index('Year Conversion'!$A:$A,match($C3690,'Year Conversion'!$B:$B,0)),$Y:$Y,0))-K3690,"")</f>
        <v/>
      </c>
      <c r="AC3690" s="168" t="str">
        <f t="shared" si="7"/>
        <v>PHO,2020-21</v>
      </c>
    </row>
    <row r="3691">
      <c r="A3691" s="161" t="str">
        <f>IFERROR(__xludf.DUMMYFUNCTION("""COMPUTED_VALUE"""),"capelca01")</f>
        <v>capelca01</v>
      </c>
      <c r="B3691" s="161" t="str">
        <f>IFERROR(__xludf.DUMMYFUNCTION("""COMPUTED_VALUE"""),"Clint Capela")</f>
        <v>Clint Capela</v>
      </c>
      <c r="C3691" s="162" t="str">
        <f>IFERROR(__xludf.DUMMYFUNCTION("""COMPUTED_VALUE"""),"2020-21")</f>
        <v>2020-21</v>
      </c>
      <c r="D3691" s="163" t="str">
        <f>IFERROR(__xludf.DUMMYFUNCTION("""COMPUTED_VALUE"""),"ATL")</f>
        <v>ATL</v>
      </c>
      <c r="E3691" s="164" t="str">
        <f>IFERROR(__xludf.DUMMYFUNCTION("""COMPUTED_VALUE"""),"Roll + Cut Big")</f>
        <v>Roll + Cut Big</v>
      </c>
      <c r="F3691" s="164">
        <f>IFERROR(__xludf.DUMMYFUNCTION("""COMPUTED_VALUE"""),794.381666666667)</f>
        <v>794.3816667</v>
      </c>
      <c r="G3691" s="163">
        <f>IFERROR(__xludf.DUMMYFUNCTION("""COMPUTED_VALUE"""),27.0)</f>
        <v>27</v>
      </c>
      <c r="H3691" s="163" t="str">
        <f>IFERROR(__xludf.DUMMYFUNCTION("""COMPUTED_VALUE"""),"C")</f>
        <v>C</v>
      </c>
      <c r="I3691" s="163">
        <f>IFERROR(__xludf.DUMMYFUNCTION("""COMPUTED_VALUE"""),26.0)</f>
        <v>26</v>
      </c>
      <c r="J3691" s="165">
        <f>IFERROR(__xludf.DUMMYFUNCTION("""COMPUTED_VALUE"""),2.1781894564032)</f>
        <v>2.178189456</v>
      </c>
      <c r="K3691" s="165">
        <f>IFERROR(__xludf.DUMMYFUNCTION("""COMPUTED_VALUE"""),-0.471715646368577)</f>
        <v>-0.4717156464</v>
      </c>
      <c r="L3691" s="165">
        <f>IFERROR(__xludf.DUMMYFUNCTION("""COMPUTED_VALUE"""),2.64990510277177)</f>
        <v>2.649905103</v>
      </c>
      <c r="M3691" s="166">
        <f t="shared" si="2"/>
        <v>2.383603075</v>
      </c>
      <c r="N3691" s="167">
        <f t="shared" si="3"/>
        <v>29.42154321</v>
      </c>
      <c r="O3691" s="163">
        <f t="shared" ref="O3691:Q3691" si="3695">rank(I3691,I:I)</f>
        <v>1665</v>
      </c>
      <c r="P3691" s="163">
        <f t="shared" si="3695"/>
        <v>277</v>
      </c>
      <c r="Q3691" s="163">
        <f t="shared" si="3695"/>
        <v>2070</v>
      </c>
      <c r="R3691" s="163">
        <f>IFERROR(__xludf.DUMMYFUNCTION("RANK(M3691,filter(M:M,C:C=C3691))"),35.0)</f>
        <v>35</v>
      </c>
      <c r="S3691" s="161" t="b">
        <f t="shared" si="5"/>
        <v>1</v>
      </c>
      <c r="T3691" s="161" t="b">
        <f t="array" ref="T3691">index('Query Tool'!B:B,match(H3691,'Query Tool'!C:C,0))</f>
        <v>1</v>
      </c>
      <c r="U3691" s="161" t="b">
        <f t="array" ref="U3691">index('Query Tool'!B:B,match(C3691,'Query Tool'!C:C,0))</f>
        <v>1</v>
      </c>
      <c r="V3691" s="161" t="b">
        <f>F3691&gt;='Query Tool'!C$32</f>
        <v>1</v>
      </c>
      <c r="W3691" s="161" t="b">
        <f t="array" ref="W3691">index(Dropdowns!B:B,match(I3691,Dropdowns!A:A,0))</f>
        <v>1</v>
      </c>
      <c r="X3691" s="161" t="b">
        <f t="array" ref="X3691">index('Query Tool'!B:B,match(D3691,'Query Tool'!C:C,0))</f>
        <v>1</v>
      </c>
      <c r="Y3691" s="161" t="str">
        <f t="shared" si="6"/>
        <v>capelca01,2020-21</v>
      </c>
      <c r="Z3691" s="168" t="str">
        <f t="array" ref="Z3691">iferror(index(I:I,match($A3691&amp;","&amp;index('Year Conversion'!$A:$A,match($C3691,'Year Conversion'!$B:$B,0)),$Y:$Y,0))-I3691,"")</f>
        <v/>
      </c>
      <c r="AA3691" s="168" t="str">
        <f t="array" ref="AA3691">iferror(index(J:J,match($A3691&amp;","&amp;index('Year Conversion'!$A:$A,match($C3691,'Year Conversion'!$B:$B,0)),$Y:$Y,0))-J3691,"")</f>
        <v/>
      </c>
      <c r="AB3691" s="168" t="str">
        <f t="array" ref="AB3691">iferror(index(K:K,match($A3691&amp;","&amp;index('Year Conversion'!$A:$A,match($C3691,'Year Conversion'!$B:$B,0)),$Y:$Y,0))-K3691,"")</f>
        <v/>
      </c>
      <c r="AC3691" s="168" t="str">
        <f t="shared" si="7"/>
        <v>ATL,2020-21</v>
      </c>
    </row>
    <row r="3692">
      <c r="A3692" s="161" t="str">
        <f>IFERROR(__xludf.DUMMYFUNCTION("""COMPUTED_VALUE"""),"bogdabo01")</f>
        <v>bogdabo01</v>
      </c>
      <c r="B3692" s="161" t="str">
        <f>IFERROR(__xludf.DUMMYFUNCTION("""COMPUTED_VALUE"""),"Bogdan Bogdanovic")</f>
        <v>Bogdan Bogdanovic</v>
      </c>
      <c r="C3692" s="162" t="str">
        <f>IFERROR(__xludf.DUMMYFUNCTION("""COMPUTED_VALUE"""),"2020-21")</f>
        <v>2020-21</v>
      </c>
      <c r="D3692" s="163" t="str">
        <f>IFERROR(__xludf.DUMMYFUNCTION("""COMPUTED_VALUE"""),"ATL")</f>
        <v>ATL</v>
      </c>
      <c r="E3692" s="164" t="str">
        <f>IFERROR(__xludf.DUMMYFUNCTION("""COMPUTED_VALUE"""),"Stationary Shooter")</f>
        <v>Stationary Shooter</v>
      </c>
      <c r="F3692" s="164">
        <f>IFERROR(__xludf.DUMMYFUNCTION("""COMPUTED_VALUE"""),212.91)</f>
        <v>212.91</v>
      </c>
      <c r="G3692" s="163">
        <f>IFERROR(__xludf.DUMMYFUNCTION("""COMPUTED_VALUE"""),9.0)</f>
        <v>9</v>
      </c>
      <c r="H3692" s="163" t="str">
        <f>IFERROR(__xludf.DUMMYFUNCTION("""COMPUTED_VALUE"""),"SG")</f>
        <v>SG</v>
      </c>
      <c r="I3692" s="163">
        <f>IFERROR(__xludf.DUMMYFUNCTION("""COMPUTED_VALUE"""),28.0)</f>
        <v>28</v>
      </c>
      <c r="J3692" s="165">
        <f>IFERROR(__xludf.DUMMYFUNCTION("""COMPUTED_VALUE"""),-1.49322307178746)</f>
        <v>-1.493223072</v>
      </c>
      <c r="K3692" s="165">
        <f>IFERROR(__xludf.DUMMYFUNCTION("""COMPUTED_VALUE"""),-0.293607330431361)</f>
        <v>-0.2936073304</v>
      </c>
      <c r="L3692" s="165">
        <f>IFERROR(__xludf.DUMMYFUNCTION("""COMPUTED_VALUE"""),-1.1996157413561)</f>
        <v>-1.199615741</v>
      </c>
      <c r="M3692" s="166">
        <f t="shared" si="2"/>
        <v>0.1145578511</v>
      </c>
      <c r="N3692" s="167">
        <f t="shared" si="3"/>
        <v>23.65666667</v>
      </c>
      <c r="O3692" s="163">
        <f t="shared" ref="O3692:Q3692" si="3696">rank(I3692,I:I)</f>
        <v>1090</v>
      </c>
      <c r="P3692" s="163">
        <f t="shared" si="3696"/>
        <v>3047</v>
      </c>
      <c r="Q3692" s="163">
        <f t="shared" si="3696"/>
        <v>1753</v>
      </c>
      <c r="R3692" s="163">
        <f>IFERROR(__xludf.DUMMYFUNCTION("RANK(M3692,filter(M:M,C:C=C3692))"),321.0)</f>
        <v>321</v>
      </c>
      <c r="S3692" s="161" t="b">
        <f t="shared" si="5"/>
        <v>0</v>
      </c>
      <c r="T3692" s="161" t="b">
        <f t="array" ref="T3692">index('Query Tool'!B:B,match(H3692,'Query Tool'!C:C,0))</f>
        <v>1</v>
      </c>
      <c r="U3692" s="161" t="b">
        <f t="array" ref="U3692">index('Query Tool'!B:B,match(C3692,'Query Tool'!C:C,0))</f>
        <v>1</v>
      </c>
      <c r="V3692" s="161" t="b">
        <f>F3692&gt;='Query Tool'!C$32</f>
        <v>0</v>
      </c>
      <c r="W3692" s="161" t="b">
        <f t="array" ref="W3692">index(Dropdowns!B:B,match(I3692,Dropdowns!A:A,0))</f>
        <v>1</v>
      </c>
      <c r="X3692" s="161" t="b">
        <f t="array" ref="X3692">index('Query Tool'!B:B,match(D3692,'Query Tool'!C:C,0))</f>
        <v>1</v>
      </c>
      <c r="Y3692" s="161" t="str">
        <f t="shared" si="6"/>
        <v>bogdabo01,2020-21</v>
      </c>
      <c r="Z3692" s="168" t="str">
        <f t="array" ref="Z3692">iferror(index(I:I,match($A3692&amp;","&amp;index('Year Conversion'!$A:$A,match($C3692,'Year Conversion'!$B:$B,0)),$Y:$Y,0))-I3692,"")</f>
        <v/>
      </c>
      <c r="AA3692" s="168" t="str">
        <f t="array" ref="AA3692">iferror(index(J:J,match($A3692&amp;","&amp;index('Year Conversion'!$A:$A,match($C3692,'Year Conversion'!$B:$B,0)),$Y:$Y,0))-J3692,"")</f>
        <v/>
      </c>
      <c r="AB3692" s="168" t="str">
        <f t="array" ref="AB3692">iferror(index(K:K,match($A3692&amp;","&amp;index('Year Conversion'!$A:$A,match($C3692,'Year Conversion'!$B:$B,0)),$Y:$Y,0))-K3692,"")</f>
        <v/>
      </c>
      <c r="AC3692" s="168" t="str">
        <f t="shared" si="7"/>
        <v>ATL,2020-21</v>
      </c>
    </row>
    <row r="3693">
      <c r="A3693" s="161" t="str">
        <f>IFERROR(__xludf.DUMMYFUNCTION("""COMPUTED_VALUE"""),"nurkiju01")</f>
        <v>nurkiju01</v>
      </c>
      <c r="B3693" s="161" t="str">
        <f>IFERROR(__xludf.DUMMYFUNCTION("""COMPUTED_VALUE"""),"Jusuf Nurkic")</f>
        <v>Jusuf Nurkic</v>
      </c>
      <c r="C3693" s="162" t="str">
        <f>IFERROR(__xludf.DUMMYFUNCTION("""COMPUTED_VALUE"""),"2020-21")</f>
        <v>2020-21</v>
      </c>
      <c r="D3693" s="163" t="str">
        <f>IFERROR(__xludf.DUMMYFUNCTION("""COMPUTED_VALUE"""),"POR")</f>
        <v>POR</v>
      </c>
      <c r="E3693" s="164" t="str">
        <f>IFERROR(__xludf.DUMMYFUNCTION("""COMPUTED_VALUE"""),"Post Scorer")</f>
        <v>Post Scorer</v>
      </c>
      <c r="F3693" s="164">
        <f>IFERROR(__xludf.DUMMYFUNCTION("""COMPUTED_VALUE"""),280.285)</f>
        <v>280.285</v>
      </c>
      <c r="G3693" s="163">
        <f>IFERROR(__xludf.DUMMYFUNCTION("""COMPUTED_VALUE"""),12.0)</f>
        <v>12</v>
      </c>
      <c r="H3693" s="163" t="str">
        <f>IFERROR(__xludf.DUMMYFUNCTION("""COMPUTED_VALUE"""),"C")</f>
        <v>C</v>
      </c>
      <c r="I3693" s="163">
        <f>IFERROR(__xludf.DUMMYFUNCTION("""COMPUTED_VALUE"""),26.0)</f>
        <v>26</v>
      </c>
      <c r="J3693" s="165">
        <f>IFERROR(__xludf.DUMMYFUNCTION("""COMPUTED_VALUE"""),0.342370392809215)</f>
        <v>0.3423703928</v>
      </c>
      <c r="K3693" s="165">
        <f>IFERROR(__xludf.DUMMYFUNCTION("""COMPUTED_VALUE"""),-0.772250027978249)</f>
        <v>-0.772250028</v>
      </c>
      <c r="L3693" s="165">
        <f>IFERROR(__xludf.DUMMYFUNCTION("""COMPUTED_VALUE"""),1.11462042078746)</f>
        <v>1.114620421</v>
      </c>
      <c r="M3693" s="166">
        <f t="shared" si="2"/>
        <v>0.4967916302</v>
      </c>
      <c r="N3693" s="167">
        <f t="shared" si="3"/>
        <v>23.35708333</v>
      </c>
      <c r="O3693" s="163">
        <f t="shared" ref="O3693:Q3693" si="3697">rank(I3693,I:I)</f>
        <v>1665</v>
      </c>
      <c r="P3693" s="163">
        <f t="shared" si="3697"/>
        <v>989</v>
      </c>
      <c r="Q3693" s="163">
        <f t="shared" si="3697"/>
        <v>2517</v>
      </c>
      <c r="R3693" s="163">
        <f>IFERROR(__xludf.DUMMYFUNCTION("RANK(M3693,filter(M:M,C:C=C3693))"),190.0)</f>
        <v>190</v>
      </c>
      <c r="S3693" s="161" t="b">
        <f t="shared" si="5"/>
        <v>0</v>
      </c>
      <c r="T3693" s="161" t="b">
        <f t="array" ref="T3693">index('Query Tool'!B:B,match(H3693,'Query Tool'!C:C,0))</f>
        <v>1</v>
      </c>
      <c r="U3693" s="161" t="b">
        <f t="array" ref="U3693">index('Query Tool'!B:B,match(C3693,'Query Tool'!C:C,0))</f>
        <v>1</v>
      </c>
      <c r="V3693" s="161" t="b">
        <f>F3693&gt;='Query Tool'!C$32</f>
        <v>0</v>
      </c>
      <c r="W3693" s="161" t="b">
        <f t="array" ref="W3693">index(Dropdowns!B:B,match(I3693,Dropdowns!A:A,0))</f>
        <v>1</v>
      </c>
      <c r="X3693" s="161" t="b">
        <f t="array" ref="X3693">index('Query Tool'!B:B,match(D3693,'Query Tool'!C:C,0))</f>
        <v>1</v>
      </c>
      <c r="Y3693" s="161" t="str">
        <f t="shared" si="6"/>
        <v>nurkiju01,2020-21</v>
      </c>
      <c r="Z3693" s="168" t="str">
        <f t="array" ref="Z3693">iferror(index(I:I,match($A3693&amp;","&amp;index('Year Conversion'!$A:$A,match($C3693,'Year Conversion'!$B:$B,0)),$Y:$Y,0))-I3693,"")</f>
        <v/>
      </c>
      <c r="AA3693" s="168" t="str">
        <f t="array" ref="AA3693">iferror(index(J:J,match($A3693&amp;","&amp;index('Year Conversion'!$A:$A,match($C3693,'Year Conversion'!$B:$B,0)),$Y:$Y,0))-J3693,"")</f>
        <v/>
      </c>
      <c r="AB3693" s="168" t="str">
        <f t="array" ref="AB3693">iferror(index(K:K,match($A3693&amp;","&amp;index('Year Conversion'!$A:$A,match($C3693,'Year Conversion'!$B:$B,0)),$Y:$Y,0))-K3693,"")</f>
        <v/>
      </c>
      <c r="AC3693" s="168" t="str">
        <f t="shared" si="7"/>
        <v>POR,2020-21</v>
      </c>
    </row>
    <row r="3694">
      <c r="A3694" s="161" t="str">
        <f>IFERROR(__xludf.DUMMYFUNCTION("""COMPUTED_VALUE"""),"cabocbr01")</f>
        <v>cabocbr01</v>
      </c>
      <c r="B3694" s="161" t="str">
        <f>IFERROR(__xludf.DUMMYFUNCTION("""COMPUTED_VALUE"""),"Bruno Caboclo")</f>
        <v>Bruno Caboclo</v>
      </c>
      <c r="C3694" s="162" t="str">
        <f>IFERROR(__xludf.DUMMYFUNCTION("""COMPUTED_VALUE"""),"2020-21")</f>
        <v>2020-21</v>
      </c>
      <c r="D3694" s="163" t="str">
        <f>IFERROR(__xludf.DUMMYFUNCTION("""COMPUTED_VALUE"""),"HOU")</f>
        <v>HOU</v>
      </c>
      <c r="E3694" s="164" t="str">
        <f>IFERROR(__xludf.DUMMYFUNCTION("""COMPUTED_VALUE"""),"Stretch Big")</f>
        <v>Stretch Big</v>
      </c>
      <c r="F3694" s="164">
        <f>IFERROR(__xludf.DUMMYFUNCTION("""COMPUTED_VALUE"""),36.4333333333334)</f>
        <v>36.43333333</v>
      </c>
      <c r="G3694" s="163">
        <f>IFERROR(__xludf.DUMMYFUNCTION("""COMPUTED_VALUE"""),6.0)</f>
        <v>6</v>
      </c>
      <c r="H3694" s="163" t="str">
        <f>IFERROR(__xludf.DUMMYFUNCTION("""COMPUTED_VALUE"""),"PF")</f>
        <v>PF</v>
      </c>
      <c r="I3694" s="163">
        <f>IFERROR(__xludf.DUMMYFUNCTION("""COMPUTED_VALUE"""),25.0)</f>
        <v>25</v>
      </c>
      <c r="J3694" s="165">
        <f>IFERROR(__xludf.DUMMYFUNCTION("""COMPUTED_VALUE"""),0.00234000736966766)</f>
        <v>0.00234000737</v>
      </c>
      <c r="K3694" s="165">
        <f>IFERROR(__xludf.DUMMYFUNCTION("""COMPUTED_VALUE"""),0.16607396682982)</f>
        <v>0.1660739668</v>
      </c>
      <c r="L3694" s="165">
        <f>IFERROR(__xludf.DUMMYFUNCTION("""COMPUTED_VALUE"""),-0.163733959460152)</f>
        <v>-0.1637339595</v>
      </c>
      <c r="M3694" s="166">
        <f t="shared" si="2"/>
        <v>0.05622553311</v>
      </c>
      <c r="N3694" s="167">
        <f t="shared" si="3"/>
        <v>6.072222222</v>
      </c>
      <c r="O3694" s="163">
        <f t="shared" ref="O3694:Q3694" si="3698">rank(I3694,I:I)</f>
        <v>1995</v>
      </c>
      <c r="P3694" s="163">
        <f t="shared" si="3698"/>
        <v>1280</v>
      </c>
      <c r="Q3694" s="163">
        <f t="shared" si="3698"/>
        <v>1012</v>
      </c>
      <c r="R3694" s="163">
        <f>IFERROR(__xludf.DUMMYFUNCTION("RANK(M3694,filter(M:M,C:C=C3694))"),373.0)</f>
        <v>373</v>
      </c>
      <c r="S3694" s="161" t="b">
        <f t="shared" si="5"/>
        <v>0</v>
      </c>
      <c r="T3694" s="161" t="b">
        <f t="array" ref="T3694">index('Query Tool'!B:B,match(H3694,'Query Tool'!C:C,0))</f>
        <v>1</v>
      </c>
      <c r="U3694" s="161" t="b">
        <f t="array" ref="U3694">index('Query Tool'!B:B,match(C3694,'Query Tool'!C:C,0))</f>
        <v>1</v>
      </c>
      <c r="V3694" s="161" t="b">
        <f>F3694&gt;='Query Tool'!C$32</f>
        <v>0</v>
      </c>
      <c r="W3694" s="161" t="b">
        <f t="array" ref="W3694">index(Dropdowns!B:B,match(I3694,Dropdowns!A:A,0))</f>
        <v>1</v>
      </c>
      <c r="X3694" s="161" t="b">
        <f t="array" ref="X3694">index('Query Tool'!B:B,match(D3694,'Query Tool'!C:C,0))</f>
        <v>1</v>
      </c>
      <c r="Y3694" s="161" t="str">
        <f t="shared" si="6"/>
        <v>cabocbr01,2020-21</v>
      </c>
      <c r="Z3694" s="168" t="str">
        <f t="array" ref="Z3694">iferror(index(I:I,match($A3694&amp;","&amp;index('Year Conversion'!$A:$A,match($C3694,'Year Conversion'!$B:$B,0)),$Y:$Y,0))-I3694,"")</f>
        <v/>
      </c>
      <c r="AA3694" s="168" t="str">
        <f t="array" ref="AA3694">iferror(index(J:J,match($A3694&amp;","&amp;index('Year Conversion'!$A:$A,match($C3694,'Year Conversion'!$B:$B,0)),$Y:$Y,0))-J3694,"")</f>
        <v/>
      </c>
      <c r="AB3694" s="168" t="str">
        <f t="array" ref="AB3694">iferror(index(K:K,match($A3694&amp;","&amp;index('Year Conversion'!$A:$A,match($C3694,'Year Conversion'!$B:$B,0)),$Y:$Y,0))-K3694,"")</f>
        <v/>
      </c>
      <c r="AC3694" s="168" t="str">
        <f t="shared" si="7"/>
        <v>HOU,2020-21</v>
      </c>
    </row>
    <row r="3695">
      <c r="A3695" s="161" t="str">
        <f>IFERROR(__xludf.DUMMYFUNCTION("""COMPUTED_VALUE"""),"jokicni01")</f>
        <v>jokicni01</v>
      </c>
      <c r="B3695" s="161" t="str">
        <f>IFERROR(__xludf.DUMMYFUNCTION("""COMPUTED_VALUE"""),"Nikola Jokic")</f>
        <v>Nikola Jokic</v>
      </c>
      <c r="C3695" s="162" t="str">
        <f>IFERROR(__xludf.DUMMYFUNCTION("""COMPUTED_VALUE"""),"2020-21")</f>
        <v>2020-21</v>
      </c>
      <c r="D3695" s="163" t="str">
        <f>IFERROR(__xludf.DUMMYFUNCTION("""COMPUTED_VALUE"""),"DEN")</f>
        <v>DEN</v>
      </c>
      <c r="E3695" s="164" t="str">
        <f>IFERROR(__xludf.DUMMYFUNCTION("""COMPUTED_VALUE"""),"Post Scorer")</f>
        <v>Post Scorer</v>
      </c>
      <c r="F3695" s="164">
        <f>IFERROR(__xludf.DUMMYFUNCTION("""COMPUTED_VALUE"""),1075.90333333333)</f>
        <v>1075.903333</v>
      </c>
      <c r="G3695" s="163">
        <f>IFERROR(__xludf.DUMMYFUNCTION("""COMPUTED_VALUE"""),30.0)</f>
        <v>30</v>
      </c>
      <c r="H3695" s="163" t="str">
        <f>IFERROR(__xludf.DUMMYFUNCTION("""COMPUTED_VALUE"""),"C")</f>
        <v>C</v>
      </c>
      <c r="I3695" s="163">
        <f>IFERROR(__xludf.DUMMYFUNCTION("""COMPUTED_VALUE"""),25.0)</f>
        <v>25</v>
      </c>
      <c r="J3695" s="165">
        <f>IFERROR(__xludf.DUMMYFUNCTION("""COMPUTED_VALUE"""),5.788604940197)</f>
        <v>5.78860494</v>
      </c>
      <c r="K3695" s="165">
        <f>IFERROR(__xludf.DUMMYFUNCTION("""COMPUTED_VALUE"""),5.45443739608264)</f>
        <v>5.454437396</v>
      </c>
      <c r="L3695" s="165">
        <f>IFERROR(__xludf.DUMMYFUNCTION("""COMPUTED_VALUE"""),0.334167544114361)</f>
        <v>0.3341675441</v>
      </c>
      <c r="M3695" s="166">
        <f t="shared" si="2"/>
        <v>5.672383485</v>
      </c>
      <c r="N3695" s="167">
        <f t="shared" si="3"/>
        <v>35.86344444</v>
      </c>
      <c r="O3695" s="163">
        <f t="shared" ref="O3695:Q3695" si="3699">rank(I3695,I:I)</f>
        <v>1995</v>
      </c>
      <c r="P3695" s="163">
        <f t="shared" si="3699"/>
        <v>22</v>
      </c>
      <c r="Q3695" s="163">
        <f t="shared" si="3699"/>
        <v>22</v>
      </c>
      <c r="R3695" s="163">
        <f>IFERROR(__xludf.DUMMYFUNCTION("RANK(M3695,filter(M:M,C:C=C3695))"),1.0)</f>
        <v>1</v>
      </c>
      <c r="S3695" s="161" t="b">
        <f t="shared" si="5"/>
        <v>1</v>
      </c>
      <c r="T3695" s="161" t="b">
        <f t="array" ref="T3695">index('Query Tool'!B:B,match(H3695,'Query Tool'!C:C,0))</f>
        <v>1</v>
      </c>
      <c r="U3695" s="161" t="b">
        <f t="array" ref="U3695">index('Query Tool'!B:B,match(C3695,'Query Tool'!C:C,0))</f>
        <v>1</v>
      </c>
      <c r="V3695" s="161" t="b">
        <f>F3695&gt;='Query Tool'!C$32</f>
        <v>1</v>
      </c>
      <c r="W3695" s="161" t="b">
        <f t="array" ref="W3695">index(Dropdowns!B:B,match(I3695,Dropdowns!A:A,0))</f>
        <v>1</v>
      </c>
      <c r="X3695" s="161" t="b">
        <f t="array" ref="X3695">index('Query Tool'!B:B,match(D3695,'Query Tool'!C:C,0))</f>
        <v>1</v>
      </c>
      <c r="Y3695" s="161" t="str">
        <f t="shared" si="6"/>
        <v>jokicni01,2020-21</v>
      </c>
      <c r="Z3695" s="168" t="str">
        <f t="array" ref="Z3695">iferror(index(I:I,match($A3695&amp;","&amp;index('Year Conversion'!$A:$A,match($C3695,'Year Conversion'!$B:$B,0)),$Y:$Y,0))-I3695,"")</f>
        <v/>
      </c>
      <c r="AA3695" s="168" t="str">
        <f t="array" ref="AA3695">iferror(index(J:J,match($A3695&amp;","&amp;index('Year Conversion'!$A:$A,match($C3695,'Year Conversion'!$B:$B,0)),$Y:$Y,0))-J3695,"")</f>
        <v/>
      </c>
      <c r="AB3695" s="168" t="str">
        <f t="array" ref="AB3695">iferror(index(K:K,match($A3695&amp;","&amp;index('Year Conversion'!$A:$A,match($C3695,'Year Conversion'!$B:$B,0)),$Y:$Y,0))-K3695,"")</f>
        <v/>
      </c>
      <c r="AC3695" s="168" t="str">
        <f t="shared" si="7"/>
        <v>DEN,2020-21</v>
      </c>
    </row>
    <row r="3696">
      <c r="A3696" s="161" t="str">
        <f>IFERROR(__xludf.DUMMYFUNCTION("""COMPUTED_VALUE"""),"porzikr01")</f>
        <v>porzikr01</v>
      </c>
      <c r="B3696" s="161" t="str">
        <f>IFERROR(__xludf.DUMMYFUNCTION("""COMPUTED_VALUE"""),"Kristaps Porzingis")</f>
        <v>Kristaps Porzingis</v>
      </c>
      <c r="C3696" s="162" t="str">
        <f>IFERROR(__xludf.DUMMYFUNCTION("""COMPUTED_VALUE"""),"2020-21")</f>
        <v>2020-21</v>
      </c>
      <c r="D3696" s="163" t="str">
        <f>IFERROR(__xludf.DUMMYFUNCTION("""COMPUTED_VALUE"""),"DAL")</f>
        <v>DAL</v>
      </c>
      <c r="E3696" s="164" t="str">
        <f>IFERROR(__xludf.DUMMYFUNCTION("""COMPUTED_VALUE"""),"Versatile Big")</f>
        <v>Versatile Big</v>
      </c>
      <c r="F3696" s="164">
        <f>IFERROR(__xludf.DUMMYFUNCTION("""COMPUTED_VALUE"""),509.26)</f>
        <v>509.26</v>
      </c>
      <c r="G3696" s="163">
        <f>IFERROR(__xludf.DUMMYFUNCTION("""COMPUTED_VALUE"""),17.0)</f>
        <v>17</v>
      </c>
      <c r="H3696" s="163" t="str">
        <f>IFERROR(__xludf.DUMMYFUNCTION("""COMPUTED_VALUE"""),"C")</f>
        <v>C</v>
      </c>
      <c r="I3696" s="163">
        <f>IFERROR(__xludf.DUMMYFUNCTION("""COMPUTED_VALUE"""),25.0)</f>
        <v>25</v>
      </c>
      <c r="J3696" s="165">
        <f>IFERROR(__xludf.DUMMYFUNCTION("""COMPUTED_VALUE"""),0.777441634793606)</f>
        <v>0.7774416348</v>
      </c>
      <c r="K3696" s="165">
        <f>IFERROR(__xludf.DUMMYFUNCTION("""COMPUTED_VALUE"""),1.34687674981886)</f>
        <v>1.34687675</v>
      </c>
      <c r="L3696" s="165">
        <f>IFERROR(__xludf.DUMMYFUNCTION("""COMPUTED_VALUE"""),-0.569435115025249)</f>
        <v>-0.569435115</v>
      </c>
      <c r="M3696" s="166">
        <f t="shared" si="2"/>
        <v>1.051810453</v>
      </c>
      <c r="N3696" s="167">
        <f t="shared" si="3"/>
        <v>29.95647059</v>
      </c>
      <c r="O3696" s="163">
        <f t="shared" ref="O3696:Q3696" si="3700">rank(I3696,I:I)</f>
        <v>1995</v>
      </c>
      <c r="P3696" s="163">
        <f t="shared" si="3700"/>
        <v>758</v>
      </c>
      <c r="Q3696" s="163">
        <f t="shared" si="3700"/>
        <v>373</v>
      </c>
      <c r="R3696" s="163">
        <f>IFERROR(__xludf.DUMMYFUNCTION("RANK(M3696,filter(M:M,C:C=C3696))"),117.0)</f>
        <v>117</v>
      </c>
      <c r="S3696" s="161" t="b">
        <f t="shared" si="5"/>
        <v>1</v>
      </c>
      <c r="T3696" s="161" t="b">
        <f t="array" ref="T3696">index('Query Tool'!B:B,match(H3696,'Query Tool'!C:C,0))</f>
        <v>1</v>
      </c>
      <c r="U3696" s="161" t="b">
        <f t="array" ref="U3696">index('Query Tool'!B:B,match(C3696,'Query Tool'!C:C,0))</f>
        <v>1</v>
      </c>
      <c r="V3696" s="161" t="b">
        <f>F3696&gt;='Query Tool'!C$32</f>
        <v>1</v>
      </c>
      <c r="W3696" s="161" t="b">
        <f t="array" ref="W3696">index(Dropdowns!B:B,match(I3696,Dropdowns!A:A,0))</f>
        <v>1</v>
      </c>
      <c r="X3696" s="161" t="b">
        <f t="array" ref="X3696">index('Query Tool'!B:B,match(D3696,'Query Tool'!C:C,0))</f>
        <v>1</v>
      </c>
      <c r="Y3696" s="161" t="str">
        <f t="shared" si="6"/>
        <v>porzikr01,2020-21</v>
      </c>
      <c r="Z3696" s="168" t="str">
        <f t="array" ref="Z3696">iferror(index(I:I,match($A3696&amp;","&amp;index('Year Conversion'!$A:$A,match($C3696,'Year Conversion'!$B:$B,0)),$Y:$Y,0))-I3696,"")</f>
        <v/>
      </c>
      <c r="AA3696" s="168" t="str">
        <f t="array" ref="AA3696">iferror(index(J:J,match($A3696&amp;","&amp;index('Year Conversion'!$A:$A,match($C3696,'Year Conversion'!$B:$B,0)),$Y:$Y,0))-J3696,"")</f>
        <v/>
      </c>
      <c r="AB3696" s="168" t="str">
        <f t="array" ref="AB3696">iferror(index(K:K,match($A3696&amp;","&amp;index('Year Conversion'!$A:$A,match($C3696,'Year Conversion'!$B:$B,0)),$Y:$Y,0))-K3696,"")</f>
        <v/>
      </c>
      <c r="AC3696" s="168" t="str">
        <f t="shared" si="7"/>
        <v>DAL,2020-21</v>
      </c>
    </row>
    <row r="3697">
      <c r="A3697" s="161" t="str">
        <f>IFERROR(__xludf.DUMMYFUNCTION("""COMPUTED_VALUE"""),"johnsty01")</f>
        <v>johnsty01</v>
      </c>
      <c r="B3697" s="161" t="str">
        <f>IFERROR(__xludf.DUMMYFUNCTION("""COMPUTED_VALUE"""),"Tyler Johnson")</f>
        <v>Tyler Johnson</v>
      </c>
      <c r="C3697" s="162" t="str">
        <f>IFERROR(__xludf.DUMMYFUNCTION("""COMPUTED_VALUE"""),"2020-21")</f>
        <v>2020-21</v>
      </c>
      <c r="D3697" s="163" t="str">
        <f>IFERROR(__xludf.DUMMYFUNCTION("""COMPUTED_VALUE"""),"BRK")</f>
        <v>BRK</v>
      </c>
      <c r="E3697" s="164" t="str">
        <f>IFERROR(__xludf.DUMMYFUNCTION("""COMPUTED_VALUE"""),"Stationary Shooter")</f>
        <v>Stationary Shooter</v>
      </c>
      <c r="F3697" s="164">
        <f>IFERROR(__xludf.DUMMYFUNCTION("""COMPUTED_VALUE"""),167.376666666667)</f>
        <v>167.3766667</v>
      </c>
      <c r="G3697" s="163">
        <f>IFERROR(__xludf.DUMMYFUNCTION("""COMPUTED_VALUE"""),14.0)</f>
        <v>14</v>
      </c>
      <c r="H3697" s="163" t="str">
        <f>IFERROR(__xludf.DUMMYFUNCTION("""COMPUTED_VALUE"""),"SG")</f>
        <v>SG</v>
      </c>
      <c r="I3697" s="163">
        <f>IFERROR(__xludf.DUMMYFUNCTION("""COMPUTED_VALUE"""),28.0)</f>
        <v>28</v>
      </c>
      <c r="J3697" s="165">
        <f>IFERROR(__xludf.DUMMYFUNCTION("""COMPUTED_VALUE"""),-0.994195234672211)</f>
        <v>-0.9941952347</v>
      </c>
      <c r="K3697" s="165">
        <f>IFERROR(__xludf.DUMMYFUNCTION("""COMPUTED_VALUE"""),-0.286387335013855)</f>
        <v>-0.286387335</v>
      </c>
      <c r="L3697" s="165">
        <f>IFERROR(__xludf.DUMMYFUNCTION("""COMPUTED_VALUE"""),-0.707807899658355)</f>
        <v>-0.7078078997</v>
      </c>
      <c r="M3697" s="166">
        <f t="shared" si="2"/>
        <v>0.1460042078</v>
      </c>
      <c r="N3697" s="167">
        <f t="shared" si="3"/>
        <v>11.95547619</v>
      </c>
      <c r="O3697" s="163">
        <f t="shared" ref="O3697:Q3697" si="3701">rank(I3697,I:I)</f>
        <v>1090</v>
      </c>
      <c r="P3697" s="163">
        <f t="shared" si="3701"/>
        <v>2496</v>
      </c>
      <c r="Q3697" s="163">
        <f t="shared" si="3701"/>
        <v>1741</v>
      </c>
      <c r="R3697" s="163">
        <f>IFERROR(__xludf.DUMMYFUNCTION("RANK(M3697,filter(M:M,C:C=C3697))"),299.0)</f>
        <v>299</v>
      </c>
      <c r="S3697" s="161" t="b">
        <f t="shared" si="5"/>
        <v>0</v>
      </c>
      <c r="T3697" s="161" t="b">
        <f t="array" ref="T3697">index('Query Tool'!B:B,match(H3697,'Query Tool'!C:C,0))</f>
        <v>1</v>
      </c>
      <c r="U3697" s="161" t="b">
        <f t="array" ref="U3697">index('Query Tool'!B:B,match(C3697,'Query Tool'!C:C,0))</f>
        <v>1</v>
      </c>
      <c r="V3697" s="161" t="b">
        <f>F3697&gt;='Query Tool'!C$32</f>
        <v>0</v>
      </c>
      <c r="W3697" s="161" t="b">
        <f t="array" ref="W3697">index(Dropdowns!B:B,match(I3697,Dropdowns!A:A,0))</f>
        <v>1</v>
      </c>
      <c r="X3697" s="161" t="b">
        <f t="array" ref="X3697">index('Query Tool'!B:B,match(D3697,'Query Tool'!C:C,0))</f>
        <v>1</v>
      </c>
      <c r="Y3697" s="161" t="str">
        <f t="shared" si="6"/>
        <v>johnsty01,2020-21</v>
      </c>
      <c r="Z3697" s="168" t="str">
        <f t="array" ref="Z3697">iferror(index(I:I,match($A3697&amp;","&amp;index('Year Conversion'!$A:$A,match($C3697,'Year Conversion'!$B:$B,0)),$Y:$Y,0))-I3697,"")</f>
        <v/>
      </c>
      <c r="AA3697" s="168" t="str">
        <f t="array" ref="AA3697">iferror(index(J:J,match($A3697&amp;","&amp;index('Year Conversion'!$A:$A,match($C3697,'Year Conversion'!$B:$B,0)),$Y:$Y,0))-J3697,"")</f>
        <v/>
      </c>
      <c r="AB3697" s="168" t="str">
        <f t="array" ref="AB3697">iferror(index(K:K,match($A3697&amp;","&amp;index('Year Conversion'!$A:$A,match($C3697,'Year Conversion'!$B:$B,0)),$Y:$Y,0))-K3697,"")</f>
        <v/>
      </c>
      <c r="AC3697" s="168" t="str">
        <f t="shared" si="7"/>
        <v>BRK,2020-21</v>
      </c>
    </row>
    <row r="3698">
      <c r="A3698" s="161" t="str">
        <f>IFERROR(__xludf.DUMMYFUNCTION("""COMPUTED_VALUE"""),"fraziti01")</f>
        <v>fraziti01</v>
      </c>
      <c r="B3698" s="161" t="str">
        <f>IFERROR(__xludf.DUMMYFUNCTION("""COMPUTED_VALUE"""),"Tim Frazier")</f>
        <v>Tim Frazier</v>
      </c>
      <c r="C3698" s="162" t="str">
        <f>IFERROR(__xludf.DUMMYFUNCTION("""COMPUTED_VALUE"""),"2020-21")</f>
        <v>2020-21</v>
      </c>
      <c r="D3698" s="163" t="str">
        <f>IFERROR(__xludf.DUMMYFUNCTION("""COMPUTED_VALUE"""),"MEM")</f>
        <v>MEM</v>
      </c>
      <c r="E3698" s="164" t="str">
        <f>IFERROR(__xludf.DUMMYFUNCTION("""COMPUTED_VALUE"""),"Secondary Ball Handler")</f>
        <v>Secondary Ball Handler</v>
      </c>
      <c r="F3698" s="164">
        <f>IFERROR(__xludf.DUMMYFUNCTION("""COMPUTED_VALUE"""),32.5)</f>
        <v>32.5</v>
      </c>
      <c r="G3698" s="163">
        <f>IFERROR(__xludf.DUMMYFUNCTION("""COMPUTED_VALUE"""),3.0)</f>
        <v>3</v>
      </c>
      <c r="H3698" s="163" t="str">
        <f>IFERROR(__xludf.DUMMYFUNCTION("""COMPUTED_VALUE"""),"PG")</f>
        <v>PG</v>
      </c>
      <c r="I3698" s="163">
        <f>IFERROR(__xludf.DUMMYFUNCTION("""COMPUTED_VALUE"""),30.0)</f>
        <v>30</v>
      </c>
      <c r="J3698" s="165">
        <f>IFERROR(__xludf.DUMMYFUNCTION("""COMPUTED_VALUE"""),-0.650636903371889)</f>
        <v>-0.6506369034</v>
      </c>
      <c r="K3698" s="165">
        <f>IFERROR(__xludf.DUMMYFUNCTION("""COMPUTED_VALUE"""),-0.579666662323925)</f>
        <v>-0.5796666623</v>
      </c>
      <c r="L3698" s="165">
        <f>IFERROR(__xludf.DUMMYFUNCTION("""COMPUTED_VALUE"""),-0.0709702410479642)</f>
        <v>-0.07097024105</v>
      </c>
      <c r="M3698" s="166">
        <f t="shared" si="2"/>
        <v>0.0358563294</v>
      </c>
      <c r="N3698" s="167">
        <f t="shared" si="3"/>
        <v>10.83333333</v>
      </c>
      <c r="O3698" s="163">
        <f t="shared" ref="O3698:Q3698" si="3702">rank(I3698,I:I)</f>
        <v>655</v>
      </c>
      <c r="P3698" s="163">
        <f t="shared" si="3702"/>
        <v>2065</v>
      </c>
      <c r="Q3698" s="163">
        <f t="shared" si="3702"/>
        <v>2232</v>
      </c>
      <c r="R3698" s="163">
        <f>IFERROR(__xludf.DUMMYFUNCTION("RANK(M3698,filter(M:M,C:C=C3698))"),397.0)</f>
        <v>397</v>
      </c>
      <c r="S3698" s="161" t="b">
        <f t="shared" si="5"/>
        <v>0</v>
      </c>
      <c r="T3698" s="161" t="b">
        <f t="array" ref="T3698">index('Query Tool'!B:B,match(H3698,'Query Tool'!C:C,0))</f>
        <v>1</v>
      </c>
      <c r="U3698" s="161" t="b">
        <f t="array" ref="U3698">index('Query Tool'!B:B,match(C3698,'Query Tool'!C:C,0))</f>
        <v>1</v>
      </c>
      <c r="V3698" s="161" t="b">
        <f>F3698&gt;='Query Tool'!C$32</f>
        <v>0</v>
      </c>
      <c r="W3698" s="161" t="b">
        <f t="array" ref="W3698">index(Dropdowns!B:B,match(I3698,Dropdowns!A:A,0))</f>
        <v>1</v>
      </c>
      <c r="X3698" s="161" t="b">
        <f t="array" ref="X3698">index('Query Tool'!B:B,match(D3698,'Query Tool'!C:C,0))</f>
        <v>1</v>
      </c>
      <c r="Y3698" s="161" t="str">
        <f t="shared" si="6"/>
        <v>fraziti01,2020-21</v>
      </c>
      <c r="Z3698" s="168" t="str">
        <f t="array" ref="Z3698">iferror(index(I:I,match($A3698&amp;","&amp;index('Year Conversion'!$A:$A,match($C3698,'Year Conversion'!$B:$B,0)),$Y:$Y,0))-I3698,"")</f>
        <v/>
      </c>
      <c r="AA3698" s="168" t="str">
        <f t="array" ref="AA3698">iferror(index(J:J,match($A3698&amp;","&amp;index('Year Conversion'!$A:$A,match($C3698,'Year Conversion'!$B:$B,0)),$Y:$Y,0))-J3698,"")</f>
        <v/>
      </c>
      <c r="AB3698" s="168" t="str">
        <f t="array" ref="AB3698">iferror(index(K:K,match($A3698&amp;","&amp;index('Year Conversion'!$A:$A,match($C3698,'Year Conversion'!$B:$B,0)),$Y:$Y,0))-K3698,"")</f>
        <v/>
      </c>
      <c r="AC3698" s="168" t="str">
        <f t="shared" si="7"/>
        <v>MEM,2020-21</v>
      </c>
    </row>
    <row r="3699">
      <c r="A3699" s="161" t="str">
        <f>IFERROR(__xludf.DUMMYFUNCTION("""COMPUTED_VALUE"""),"gallola01")</f>
        <v>gallola01</v>
      </c>
      <c r="B3699" s="161" t="str">
        <f>IFERROR(__xludf.DUMMYFUNCTION("""COMPUTED_VALUE"""),"Langston Galloway")</f>
        <v>Langston Galloway</v>
      </c>
      <c r="C3699" s="162" t="str">
        <f>IFERROR(__xludf.DUMMYFUNCTION("""COMPUTED_VALUE"""),"2020-21")</f>
        <v>2020-21</v>
      </c>
      <c r="D3699" s="163" t="str">
        <f>IFERROR(__xludf.DUMMYFUNCTION("""COMPUTED_VALUE"""),"PHO")</f>
        <v>PHO</v>
      </c>
      <c r="E3699" s="164" t="str">
        <f>IFERROR(__xludf.DUMMYFUNCTION("""COMPUTED_VALUE"""),"Stationary Shooter")</f>
        <v>Stationary Shooter</v>
      </c>
      <c r="F3699" s="164">
        <f>IFERROR(__xludf.DUMMYFUNCTION("""COMPUTED_VALUE"""),254.25)</f>
        <v>254.25</v>
      </c>
      <c r="G3699" s="163">
        <f>IFERROR(__xludf.DUMMYFUNCTION("""COMPUTED_VALUE"""),24.0)</f>
        <v>24</v>
      </c>
      <c r="H3699" s="163" t="str">
        <f>IFERROR(__xludf.DUMMYFUNCTION("""COMPUTED_VALUE"""),"SG")</f>
        <v>SG</v>
      </c>
      <c r="I3699" s="163">
        <f>IFERROR(__xludf.DUMMYFUNCTION("""COMPUTED_VALUE"""),29.0)</f>
        <v>29</v>
      </c>
      <c r="J3699" s="165">
        <f>IFERROR(__xludf.DUMMYFUNCTION("""COMPUTED_VALUE"""),-1.36414821879285)</f>
        <v>-1.364148219</v>
      </c>
      <c r="K3699" s="165">
        <f>IFERROR(__xludf.DUMMYFUNCTION("""COMPUTED_VALUE"""),-0.73800937901681)</f>
        <v>-0.738009379</v>
      </c>
      <c r="L3699" s="165">
        <f>IFERROR(__xludf.DUMMYFUNCTION("""COMPUTED_VALUE"""),-0.626138839776044)</f>
        <v>-0.6261388398</v>
      </c>
      <c r="M3699" s="166">
        <f t="shared" si="2"/>
        <v>0.1587389587</v>
      </c>
      <c r="N3699" s="167">
        <f t="shared" si="3"/>
        <v>10.59375</v>
      </c>
      <c r="O3699" s="163">
        <f t="shared" ref="O3699:Q3699" si="3703">rank(I3699,I:I)</f>
        <v>855</v>
      </c>
      <c r="P3699" s="163">
        <f t="shared" si="3703"/>
        <v>2918</v>
      </c>
      <c r="Q3699" s="163">
        <f t="shared" si="3703"/>
        <v>2466</v>
      </c>
      <c r="R3699" s="163">
        <f>IFERROR(__xludf.DUMMYFUNCTION("RANK(M3699,filter(M:M,C:C=C3699))"),297.0)</f>
        <v>297</v>
      </c>
      <c r="S3699" s="161" t="b">
        <f t="shared" si="5"/>
        <v>0</v>
      </c>
      <c r="T3699" s="161" t="b">
        <f t="array" ref="T3699">index('Query Tool'!B:B,match(H3699,'Query Tool'!C:C,0))</f>
        <v>1</v>
      </c>
      <c r="U3699" s="161" t="b">
        <f t="array" ref="U3699">index('Query Tool'!B:B,match(C3699,'Query Tool'!C:C,0))</f>
        <v>1</v>
      </c>
      <c r="V3699" s="161" t="b">
        <f>F3699&gt;='Query Tool'!C$32</f>
        <v>0</v>
      </c>
      <c r="W3699" s="161" t="b">
        <f t="array" ref="W3699">index(Dropdowns!B:B,match(I3699,Dropdowns!A:A,0))</f>
        <v>1</v>
      </c>
      <c r="X3699" s="161" t="b">
        <f t="array" ref="X3699">index('Query Tool'!B:B,match(D3699,'Query Tool'!C:C,0))</f>
        <v>1</v>
      </c>
      <c r="Y3699" s="161" t="str">
        <f t="shared" si="6"/>
        <v>gallola01,2020-21</v>
      </c>
      <c r="Z3699" s="168" t="str">
        <f t="array" ref="Z3699">iferror(index(I:I,match($A3699&amp;","&amp;index('Year Conversion'!$A:$A,match($C3699,'Year Conversion'!$B:$B,0)),$Y:$Y,0))-I3699,"")</f>
        <v/>
      </c>
      <c r="AA3699" s="168" t="str">
        <f t="array" ref="AA3699">iferror(index(J:J,match($A3699&amp;","&amp;index('Year Conversion'!$A:$A,match($C3699,'Year Conversion'!$B:$B,0)),$Y:$Y,0))-J3699,"")</f>
        <v/>
      </c>
      <c r="AB3699" s="168" t="str">
        <f t="array" ref="AB3699">iferror(index(K:K,match($A3699&amp;","&amp;index('Year Conversion'!$A:$A,match($C3699,'Year Conversion'!$B:$B,0)),$Y:$Y,0))-K3699,"")</f>
        <v/>
      </c>
      <c r="AC3699" s="168" t="str">
        <f t="shared" si="7"/>
        <v>PHO,2020-21</v>
      </c>
    </row>
    <row r="3700">
      <c r="A3700" s="161" t="str">
        <f>IFERROR(__xludf.DUMMYFUNCTION("""COMPUTED_VALUE"""),"inglejo01")</f>
        <v>inglejo01</v>
      </c>
      <c r="B3700" s="161" t="str">
        <f>IFERROR(__xludf.DUMMYFUNCTION("""COMPUTED_VALUE"""),"Joe Ingles")</f>
        <v>Joe Ingles</v>
      </c>
      <c r="C3700" s="162" t="str">
        <f>IFERROR(__xludf.DUMMYFUNCTION("""COMPUTED_VALUE"""),"2020-21")</f>
        <v>2020-21</v>
      </c>
      <c r="D3700" s="163" t="str">
        <f>IFERROR(__xludf.DUMMYFUNCTION("""COMPUTED_VALUE"""),"UTA")</f>
        <v>UTA</v>
      </c>
      <c r="E3700" s="164" t="str">
        <f>IFERROR(__xludf.DUMMYFUNCTION("""COMPUTED_VALUE"""),"Secondary Ball Handler")</f>
        <v>Secondary Ball Handler</v>
      </c>
      <c r="F3700" s="164">
        <f>IFERROR(__xludf.DUMMYFUNCTION("""COMPUTED_VALUE"""),690.033333333333)</f>
        <v>690.0333333</v>
      </c>
      <c r="G3700" s="163">
        <f>IFERROR(__xludf.DUMMYFUNCTION("""COMPUTED_VALUE"""),26.0)</f>
        <v>26</v>
      </c>
      <c r="H3700" s="163" t="str">
        <f>IFERROR(__xludf.DUMMYFUNCTION("""COMPUTED_VALUE"""),"SF")</f>
        <v>SF</v>
      </c>
      <c r="I3700" s="163">
        <f>IFERROR(__xludf.DUMMYFUNCTION("""COMPUTED_VALUE"""),33.0)</f>
        <v>33</v>
      </c>
      <c r="J3700" s="165">
        <f>IFERROR(__xludf.DUMMYFUNCTION("""COMPUTED_VALUE"""),1.39058344089376)</f>
        <v>1.390583441</v>
      </c>
      <c r="K3700" s="165">
        <f>IFERROR(__xludf.DUMMYFUNCTION("""COMPUTED_VALUE"""),1.02666050591984)</f>
        <v>1.026660506</v>
      </c>
      <c r="L3700" s="165">
        <f>IFERROR(__xludf.DUMMYFUNCTION("""COMPUTED_VALUE"""),0.363922934973925)</f>
        <v>0.363922935</v>
      </c>
      <c r="M3700" s="166">
        <f t="shared" si="2"/>
        <v>1.708987266</v>
      </c>
      <c r="N3700" s="167">
        <f t="shared" si="3"/>
        <v>26.53974359</v>
      </c>
      <c r="O3700" s="163">
        <f t="shared" ref="O3700:Q3700" si="3704">rank(I3700,I:I)</f>
        <v>246</v>
      </c>
      <c r="P3700" s="163">
        <f t="shared" si="3704"/>
        <v>495</v>
      </c>
      <c r="Q3700" s="163">
        <f t="shared" si="3704"/>
        <v>492</v>
      </c>
      <c r="R3700" s="163">
        <f>IFERROR(__xludf.DUMMYFUNCTION("RANK(M3700,filter(M:M,C:C=C3700))"),65.0)</f>
        <v>65</v>
      </c>
      <c r="S3700" s="161" t="b">
        <f t="shared" si="5"/>
        <v>1</v>
      </c>
      <c r="T3700" s="161" t="b">
        <f t="array" ref="T3700">index('Query Tool'!B:B,match(H3700,'Query Tool'!C:C,0))</f>
        <v>1</v>
      </c>
      <c r="U3700" s="161" t="b">
        <f t="array" ref="U3700">index('Query Tool'!B:B,match(C3700,'Query Tool'!C:C,0))</f>
        <v>1</v>
      </c>
      <c r="V3700" s="161" t="b">
        <f>F3700&gt;='Query Tool'!C$32</f>
        <v>1</v>
      </c>
      <c r="W3700" s="161" t="b">
        <f t="array" ref="W3700">index(Dropdowns!B:B,match(I3700,Dropdowns!A:A,0))</f>
        <v>1</v>
      </c>
      <c r="X3700" s="161" t="b">
        <f t="array" ref="X3700">index('Query Tool'!B:B,match(D3700,'Query Tool'!C:C,0))</f>
        <v>1</v>
      </c>
      <c r="Y3700" s="161" t="str">
        <f t="shared" si="6"/>
        <v>inglejo01,2020-21</v>
      </c>
      <c r="Z3700" s="168" t="str">
        <f t="array" ref="Z3700">iferror(index(I:I,match($A3700&amp;","&amp;index('Year Conversion'!$A:$A,match($C3700,'Year Conversion'!$B:$B,0)),$Y:$Y,0))-I3700,"")</f>
        <v/>
      </c>
      <c r="AA3700" s="168" t="str">
        <f t="array" ref="AA3700">iferror(index(J:J,match($A3700&amp;","&amp;index('Year Conversion'!$A:$A,match($C3700,'Year Conversion'!$B:$B,0)),$Y:$Y,0))-J3700,"")</f>
        <v/>
      </c>
      <c r="AB3700" s="168" t="str">
        <f t="array" ref="AB3700">iferror(index(K:K,match($A3700&amp;","&amp;index('Year Conversion'!$A:$A,match($C3700,'Year Conversion'!$B:$B,0)),$Y:$Y,0))-K3700,"")</f>
        <v/>
      </c>
      <c r="AC3700" s="168" t="str">
        <f t="shared" si="7"/>
        <v>UTA,2020-21</v>
      </c>
    </row>
    <row r="3701">
      <c r="A3701" s="161" t="str">
        <f>IFERROR(__xludf.DUMMYFUNCTION("""COMPUTED_VALUE"""),"mccontj01")</f>
        <v>mccontj01</v>
      </c>
      <c r="B3701" s="161" t="str">
        <f>IFERROR(__xludf.DUMMYFUNCTION("""COMPUTED_VALUE"""),"T.J. McConnell")</f>
        <v>T.J. McConnell</v>
      </c>
      <c r="C3701" s="162" t="str">
        <f>IFERROR(__xludf.DUMMYFUNCTION("""COMPUTED_VALUE"""),"2020-21")</f>
        <v>2020-21</v>
      </c>
      <c r="D3701" s="163" t="str">
        <f>IFERROR(__xludf.DUMMYFUNCTION("""COMPUTED_VALUE"""),"IND")</f>
        <v>IND</v>
      </c>
      <c r="E3701" s="164" t="str">
        <f>IFERROR(__xludf.DUMMYFUNCTION("""COMPUTED_VALUE"""),"Slasher")</f>
        <v>Slasher</v>
      </c>
      <c r="F3701" s="164">
        <f>IFERROR(__xludf.DUMMYFUNCTION("""COMPUTED_VALUE"""),622.518333333333)</f>
        <v>622.5183333</v>
      </c>
      <c r="G3701" s="163">
        <f>IFERROR(__xludf.DUMMYFUNCTION("""COMPUTED_VALUE"""),26.0)</f>
        <v>26</v>
      </c>
      <c r="H3701" s="163" t="str">
        <f>IFERROR(__xludf.DUMMYFUNCTION("""COMPUTED_VALUE"""),"PG")</f>
        <v>PG</v>
      </c>
      <c r="I3701" s="163">
        <f>IFERROR(__xludf.DUMMYFUNCTION("""COMPUTED_VALUE"""),28.0)</f>
        <v>28</v>
      </c>
      <c r="J3701" s="165">
        <f>IFERROR(__xludf.DUMMYFUNCTION("""COMPUTED_VALUE"""),1.23024045507388)</f>
        <v>1.230240455</v>
      </c>
      <c r="K3701" s="165">
        <f>IFERROR(__xludf.DUMMYFUNCTION("""COMPUTED_VALUE"""),-0.163832211266356)</f>
        <v>-0.1638322113</v>
      </c>
      <c r="L3701" s="165">
        <f>IFERROR(__xludf.DUMMYFUNCTION("""COMPUTED_VALUE"""),1.39407266634023)</f>
        <v>1.394072666</v>
      </c>
      <c r="M3701" s="166">
        <f t="shared" si="2"/>
        <v>1.474959316</v>
      </c>
      <c r="N3701" s="167">
        <f t="shared" si="3"/>
        <v>23.94301282</v>
      </c>
      <c r="O3701" s="163">
        <f t="shared" ref="O3701:Q3701" si="3705">rank(I3701,I:I)</f>
        <v>1090</v>
      </c>
      <c r="P3701" s="163">
        <f t="shared" si="3705"/>
        <v>564</v>
      </c>
      <c r="Q3701" s="163">
        <f t="shared" si="3705"/>
        <v>1501</v>
      </c>
      <c r="R3701" s="163">
        <f>IFERROR(__xludf.DUMMYFUNCTION("RANK(M3701,filter(M:M,C:C=C3701))"),80.0)</f>
        <v>80</v>
      </c>
      <c r="S3701" s="161" t="b">
        <f t="shared" si="5"/>
        <v>1</v>
      </c>
      <c r="T3701" s="161" t="b">
        <f t="array" ref="T3701">index('Query Tool'!B:B,match(H3701,'Query Tool'!C:C,0))</f>
        <v>1</v>
      </c>
      <c r="U3701" s="161" t="b">
        <f t="array" ref="U3701">index('Query Tool'!B:B,match(C3701,'Query Tool'!C:C,0))</f>
        <v>1</v>
      </c>
      <c r="V3701" s="161" t="b">
        <f>F3701&gt;='Query Tool'!C$32</f>
        <v>1</v>
      </c>
      <c r="W3701" s="161" t="b">
        <f t="array" ref="W3701">index(Dropdowns!B:B,match(I3701,Dropdowns!A:A,0))</f>
        <v>1</v>
      </c>
      <c r="X3701" s="161" t="b">
        <f t="array" ref="X3701">index('Query Tool'!B:B,match(D3701,'Query Tool'!C:C,0))</f>
        <v>1</v>
      </c>
      <c r="Y3701" s="161" t="str">
        <f t="shared" si="6"/>
        <v>mccontj01,2020-21</v>
      </c>
      <c r="Z3701" s="168" t="str">
        <f t="array" ref="Z3701">iferror(index(I:I,match($A3701&amp;","&amp;index('Year Conversion'!$A:$A,match($C3701,'Year Conversion'!$B:$B,0)),$Y:$Y,0))-I3701,"")</f>
        <v/>
      </c>
      <c r="AA3701" s="168" t="str">
        <f t="array" ref="AA3701">iferror(index(J:J,match($A3701&amp;","&amp;index('Year Conversion'!$A:$A,match($C3701,'Year Conversion'!$B:$B,0)),$Y:$Y,0))-J3701,"")</f>
        <v/>
      </c>
      <c r="AB3701" s="168" t="str">
        <f t="array" ref="AB3701">iferror(index(K:K,match($A3701&amp;","&amp;index('Year Conversion'!$A:$A,match($C3701,'Year Conversion'!$B:$B,0)),$Y:$Y,0))-K3701,"")</f>
        <v/>
      </c>
      <c r="AC3701" s="168" t="str">
        <f t="shared" si="7"/>
        <v>IND,2020-21</v>
      </c>
    </row>
    <row r="3702">
      <c r="A3702" s="161" t="str">
        <f>IFERROR(__xludf.DUMMYFUNCTION("""COMPUTED_VALUE"""),"okafoja01")</f>
        <v>okafoja01</v>
      </c>
      <c r="B3702" s="161" t="str">
        <f>IFERROR(__xludf.DUMMYFUNCTION("""COMPUTED_VALUE"""),"Jahlil Okafor")</f>
        <v>Jahlil Okafor</v>
      </c>
      <c r="C3702" s="162" t="str">
        <f>IFERROR(__xludf.DUMMYFUNCTION("""COMPUTED_VALUE"""),"2020-21")</f>
        <v>2020-21</v>
      </c>
      <c r="D3702" s="163" t="str">
        <f>IFERROR(__xludf.DUMMYFUNCTION("""COMPUTED_VALUE"""),"DET")</f>
        <v>DET</v>
      </c>
      <c r="E3702" s="164" t="str">
        <f>IFERROR(__xludf.DUMMYFUNCTION("""COMPUTED_VALUE"""),"Post Scorer")</f>
        <v>Post Scorer</v>
      </c>
      <c r="F3702" s="164">
        <f>IFERROR(__xludf.DUMMYFUNCTION("""COMPUTED_VALUE"""),119.62)</f>
        <v>119.62</v>
      </c>
      <c r="G3702" s="163">
        <f>IFERROR(__xludf.DUMMYFUNCTION("""COMPUTED_VALUE"""),12.0)</f>
        <v>12</v>
      </c>
      <c r="H3702" s="163" t="str">
        <f>IFERROR(__xludf.DUMMYFUNCTION("""COMPUTED_VALUE"""),"C")</f>
        <v>C</v>
      </c>
      <c r="I3702" s="163">
        <f>IFERROR(__xludf.DUMMYFUNCTION("""COMPUTED_VALUE"""),25.0)</f>
        <v>25</v>
      </c>
      <c r="J3702" s="165">
        <f>IFERROR(__xludf.DUMMYFUNCTION("""COMPUTED_VALUE"""),-1.15697860541412)</f>
        <v>-1.156978605</v>
      </c>
      <c r="K3702" s="165">
        <f>IFERROR(__xludf.DUMMYFUNCTION("""COMPUTED_VALUE"""),-0.823284186086007)</f>
        <v>-0.8232841861</v>
      </c>
      <c r="L3702" s="165">
        <f>IFERROR(__xludf.DUMMYFUNCTION("""COMPUTED_VALUE"""),-0.333694419328117)</f>
        <v>-0.3336944193</v>
      </c>
      <c r="M3702" s="166">
        <f t="shared" si="2"/>
        <v>0.09128091524</v>
      </c>
      <c r="N3702" s="167">
        <f t="shared" si="3"/>
        <v>9.968333333</v>
      </c>
      <c r="O3702" s="163">
        <f t="shared" ref="O3702:Q3702" si="3706">rank(I3702,I:I)</f>
        <v>1995</v>
      </c>
      <c r="P3702" s="163">
        <f t="shared" si="3706"/>
        <v>2690</v>
      </c>
      <c r="Q3702" s="163">
        <f t="shared" si="3706"/>
        <v>2585</v>
      </c>
      <c r="R3702" s="163">
        <f>IFERROR(__xludf.DUMMYFUNCTION("RANK(M3702,filter(M:M,C:C=C3702))"),339.0)</f>
        <v>339</v>
      </c>
      <c r="S3702" s="161" t="b">
        <f t="shared" si="5"/>
        <v>0</v>
      </c>
      <c r="T3702" s="161" t="b">
        <f t="array" ref="T3702">index('Query Tool'!B:B,match(H3702,'Query Tool'!C:C,0))</f>
        <v>1</v>
      </c>
      <c r="U3702" s="161" t="b">
        <f t="array" ref="U3702">index('Query Tool'!B:B,match(C3702,'Query Tool'!C:C,0))</f>
        <v>1</v>
      </c>
      <c r="V3702" s="161" t="b">
        <f>F3702&gt;='Query Tool'!C$32</f>
        <v>0</v>
      </c>
      <c r="W3702" s="161" t="b">
        <f t="array" ref="W3702">index(Dropdowns!B:B,match(I3702,Dropdowns!A:A,0))</f>
        <v>1</v>
      </c>
      <c r="X3702" s="161" t="b">
        <f t="array" ref="X3702">index('Query Tool'!B:B,match(D3702,'Query Tool'!C:C,0))</f>
        <v>1</v>
      </c>
      <c r="Y3702" s="161" t="str">
        <f t="shared" si="6"/>
        <v>okafoja01,2020-21</v>
      </c>
      <c r="Z3702" s="168" t="str">
        <f t="array" ref="Z3702">iferror(index(I:I,match($A3702&amp;","&amp;index('Year Conversion'!$A:$A,match($C3702,'Year Conversion'!$B:$B,0)),$Y:$Y,0))-I3702,"")</f>
        <v/>
      </c>
      <c r="AA3702" s="168" t="str">
        <f t="array" ref="AA3702">iferror(index(J:J,match($A3702&amp;","&amp;index('Year Conversion'!$A:$A,match($C3702,'Year Conversion'!$B:$B,0)),$Y:$Y,0))-J3702,"")</f>
        <v/>
      </c>
      <c r="AB3702" s="168" t="str">
        <f t="array" ref="AB3702">iferror(index(K:K,match($A3702&amp;","&amp;index('Year Conversion'!$A:$A,match($C3702,'Year Conversion'!$B:$B,0)),$Y:$Y,0))-K3702,"")</f>
        <v/>
      </c>
      <c r="AC3702" s="168" t="str">
        <f t="shared" si="7"/>
        <v>DET,2020-21</v>
      </c>
    </row>
    <row r="3703">
      <c r="A3703" s="161" t="str">
        <f>IFERROR(__xludf.DUMMYFUNCTION("""COMPUTED_VALUE"""),"jonesty01")</f>
        <v>jonesty01</v>
      </c>
      <c r="B3703" s="161" t="str">
        <f>IFERROR(__xludf.DUMMYFUNCTION("""COMPUTED_VALUE"""),"Tyus Jones")</f>
        <v>Tyus Jones</v>
      </c>
      <c r="C3703" s="162" t="str">
        <f>IFERROR(__xludf.DUMMYFUNCTION("""COMPUTED_VALUE"""),"2020-21")</f>
        <v>2020-21</v>
      </c>
      <c r="D3703" s="163" t="str">
        <f>IFERROR(__xludf.DUMMYFUNCTION("""COMPUTED_VALUE"""),"MEM")</f>
        <v>MEM</v>
      </c>
      <c r="E3703" s="164" t="str">
        <f>IFERROR(__xludf.DUMMYFUNCTION("""COMPUTED_VALUE"""),"Primary Ball Handler")</f>
        <v>Primary Ball Handler</v>
      </c>
      <c r="F3703" s="164">
        <f>IFERROR(__xludf.DUMMYFUNCTION("""COMPUTED_VALUE"""),600.311666666667)</f>
        <v>600.3116667</v>
      </c>
      <c r="G3703" s="163">
        <f>IFERROR(__xludf.DUMMYFUNCTION("""COMPUTED_VALUE"""),26.0)</f>
        <v>26</v>
      </c>
      <c r="H3703" s="163" t="str">
        <f>IFERROR(__xludf.DUMMYFUNCTION("""COMPUTED_VALUE"""),"PG")</f>
        <v>PG</v>
      </c>
      <c r="I3703" s="163">
        <f>IFERROR(__xludf.DUMMYFUNCTION("""COMPUTED_VALUE"""),24.0)</f>
        <v>24</v>
      </c>
      <c r="J3703" s="165">
        <f>IFERROR(__xludf.DUMMYFUNCTION("""COMPUTED_VALUE"""),0.885054318460114)</f>
        <v>0.8850543185</v>
      </c>
      <c r="K3703" s="165">
        <f>IFERROR(__xludf.DUMMYFUNCTION("""COMPUTED_VALUE"""),0.649205431350452)</f>
        <v>0.6492054314</v>
      </c>
      <c r="L3703" s="165">
        <f>IFERROR(__xludf.DUMMYFUNCTION("""COMPUTED_VALUE"""),0.235848887109662)</f>
        <v>0.2358488871</v>
      </c>
      <c r="M3703" s="166">
        <f t="shared" si="2"/>
        <v>1.283293941</v>
      </c>
      <c r="N3703" s="167">
        <f t="shared" si="3"/>
        <v>23.08891026</v>
      </c>
      <c r="O3703" s="163">
        <f t="shared" ref="O3703:Q3703" si="3707">rank(I3703,I:I)</f>
        <v>2361</v>
      </c>
      <c r="P3703" s="163">
        <f t="shared" si="3707"/>
        <v>703</v>
      </c>
      <c r="Q3703" s="163">
        <f t="shared" si="3707"/>
        <v>679</v>
      </c>
      <c r="R3703" s="163">
        <f>IFERROR(__xludf.DUMMYFUNCTION("RANK(M3703,filter(M:M,C:C=C3703))"),95.0)</f>
        <v>95</v>
      </c>
      <c r="S3703" s="161" t="b">
        <f t="shared" si="5"/>
        <v>1</v>
      </c>
      <c r="T3703" s="161" t="b">
        <f t="array" ref="T3703">index('Query Tool'!B:B,match(H3703,'Query Tool'!C:C,0))</f>
        <v>1</v>
      </c>
      <c r="U3703" s="161" t="b">
        <f t="array" ref="U3703">index('Query Tool'!B:B,match(C3703,'Query Tool'!C:C,0))</f>
        <v>1</v>
      </c>
      <c r="V3703" s="161" t="b">
        <f>F3703&gt;='Query Tool'!C$32</f>
        <v>1</v>
      </c>
      <c r="W3703" s="161" t="b">
        <f t="array" ref="W3703">index(Dropdowns!B:B,match(I3703,Dropdowns!A:A,0))</f>
        <v>1</v>
      </c>
      <c r="X3703" s="161" t="b">
        <f t="array" ref="X3703">index('Query Tool'!B:B,match(D3703,'Query Tool'!C:C,0))</f>
        <v>1</v>
      </c>
      <c r="Y3703" s="161" t="str">
        <f t="shared" si="6"/>
        <v>jonesty01,2020-21</v>
      </c>
      <c r="Z3703" s="168" t="str">
        <f t="array" ref="Z3703">iferror(index(I:I,match($A3703&amp;","&amp;index('Year Conversion'!$A:$A,match($C3703,'Year Conversion'!$B:$B,0)),$Y:$Y,0))-I3703,"")</f>
        <v/>
      </c>
      <c r="AA3703" s="168" t="str">
        <f t="array" ref="AA3703">iferror(index(J:J,match($A3703&amp;","&amp;index('Year Conversion'!$A:$A,match($C3703,'Year Conversion'!$B:$B,0)),$Y:$Y,0))-J3703,"")</f>
        <v/>
      </c>
      <c r="AB3703" s="168" t="str">
        <f t="array" ref="AB3703">iferror(index(K:K,match($A3703&amp;","&amp;index('Year Conversion'!$A:$A,match($C3703,'Year Conversion'!$B:$B,0)),$Y:$Y,0))-K3703,"")</f>
        <v/>
      </c>
      <c r="AC3703" s="168" t="str">
        <f t="shared" si="7"/>
        <v>MEM,2020-21</v>
      </c>
    </row>
    <row r="3704">
      <c r="A3704" s="161" t="str">
        <f>IFERROR(__xludf.DUMMYFUNCTION("""COMPUTED_VALUE"""),"harremo01")</f>
        <v>harremo01</v>
      </c>
      <c r="B3704" s="161" t="str">
        <f>IFERROR(__xludf.DUMMYFUNCTION("""COMPUTED_VALUE"""),"Montrezl Harrell")</f>
        <v>Montrezl Harrell</v>
      </c>
      <c r="C3704" s="162" t="str">
        <f>IFERROR(__xludf.DUMMYFUNCTION("""COMPUTED_VALUE"""),"2020-21")</f>
        <v>2020-21</v>
      </c>
      <c r="D3704" s="163" t="str">
        <f>IFERROR(__xludf.DUMMYFUNCTION("""COMPUTED_VALUE"""),"LAL")</f>
        <v>LAL</v>
      </c>
      <c r="E3704" s="164" t="str">
        <f>IFERROR(__xludf.DUMMYFUNCTION("""COMPUTED_VALUE"""),"Post Scorer")</f>
        <v>Post Scorer</v>
      </c>
      <c r="F3704" s="164">
        <f>IFERROR(__xludf.DUMMYFUNCTION("""COMPUTED_VALUE"""),752.363333333333)</f>
        <v>752.3633333</v>
      </c>
      <c r="G3704" s="163">
        <f>IFERROR(__xludf.DUMMYFUNCTION("""COMPUTED_VALUE"""),31.0)</f>
        <v>31</v>
      </c>
      <c r="H3704" s="163" t="str">
        <f>IFERROR(__xludf.DUMMYFUNCTION("""COMPUTED_VALUE"""),"C")</f>
        <v>C</v>
      </c>
      <c r="I3704" s="163">
        <f>IFERROR(__xludf.DUMMYFUNCTION("""COMPUTED_VALUE"""),27.0)</f>
        <v>27</v>
      </c>
      <c r="J3704" s="165">
        <f>IFERROR(__xludf.DUMMYFUNCTION("""COMPUTED_VALUE"""),1.07184327879687)</f>
        <v>1.071843279</v>
      </c>
      <c r="K3704" s="165">
        <f>IFERROR(__xludf.DUMMYFUNCTION("""COMPUTED_VALUE"""),0.513300702481158)</f>
        <v>0.5133007025</v>
      </c>
      <c r="L3704" s="165">
        <f>IFERROR(__xludf.DUMMYFUNCTION("""COMPUTED_VALUE"""),0.558542576315712)</f>
        <v>0.5585425763</v>
      </c>
      <c r="M3704" s="166">
        <f t="shared" si="2"/>
        <v>1.702704615</v>
      </c>
      <c r="N3704" s="167">
        <f t="shared" si="3"/>
        <v>24.26978495</v>
      </c>
      <c r="O3704" s="163">
        <f t="shared" ref="O3704:Q3704" si="3708">rank(I3704,I:I)</f>
        <v>1366</v>
      </c>
      <c r="P3704" s="163">
        <f t="shared" si="3708"/>
        <v>632</v>
      </c>
      <c r="Q3704" s="163">
        <f t="shared" si="3708"/>
        <v>763</v>
      </c>
      <c r="R3704" s="163">
        <f>IFERROR(__xludf.DUMMYFUNCTION("RANK(M3704,filter(M:M,C:C=C3704))"),66.0)</f>
        <v>66</v>
      </c>
      <c r="S3704" s="161" t="b">
        <f t="shared" si="5"/>
        <v>1</v>
      </c>
      <c r="T3704" s="161" t="b">
        <f t="array" ref="T3704">index('Query Tool'!B:B,match(H3704,'Query Tool'!C:C,0))</f>
        <v>1</v>
      </c>
      <c r="U3704" s="161" t="b">
        <f t="array" ref="U3704">index('Query Tool'!B:B,match(C3704,'Query Tool'!C:C,0))</f>
        <v>1</v>
      </c>
      <c r="V3704" s="161" t="b">
        <f>F3704&gt;='Query Tool'!C$32</f>
        <v>1</v>
      </c>
      <c r="W3704" s="161" t="b">
        <f t="array" ref="W3704">index(Dropdowns!B:B,match(I3704,Dropdowns!A:A,0))</f>
        <v>1</v>
      </c>
      <c r="X3704" s="161" t="b">
        <f t="array" ref="X3704">index('Query Tool'!B:B,match(D3704,'Query Tool'!C:C,0))</f>
        <v>1</v>
      </c>
      <c r="Y3704" s="161" t="str">
        <f t="shared" si="6"/>
        <v>harremo01,2020-21</v>
      </c>
      <c r="Z3704" s="168" t="str">
        <f t="array" ref="Z3704">iferror(index(I:I,match($A3704&amp;","&amp;index('Year Conversion'!$A:$A,match($C3704,'Year Conversion'!$B:$B,0)),$Y:$Y,0))-I3704,"")</f>
        <v/>
      </c>
      <c r="AA3704" s="168" t="str">
        <f t="array" ref="AA3704">iferror(index(J:J,match($A3704&amp;","&amp;index('Year Conversion'!$A:$A,match($C3704,'Year Conversion'!$B:$B,0)),$Y:$Y,0))-J3704,"")</f>
        <v/>
      </c>
      <c r="AB3704" s="168" t="str">
        <f t="array" ref="AB3704">iferror(index(K:K,match($A3704&amp;","&amp;index('Year Conversion'!$A:$A,match($C3704,'Year Conversion'!$B:$B,0)),$Y:$Y,0))-K3704,"")</f>
        <v/>
      </c>
      <c r="AC3704" s="168" t="str">
        <f t="shared" si="7"/>
        <v>LAL,2020-21</v>
      </c>
    </row>
    <row r="3705">
      <c r="A3705" s="161" t="str">
        <f>IFERROR(__xludf.DUMMYFUNCTION("""COMPUTED_VALUE"""),"wrighde01")</f>
        <v>wrighde01</v>
      </c>
      <c r="B3705" s="161" t="str">
        <f>IFERROR(__xludf.DUMMYFUNCTION("""COMPUTED_VALUE"""),"Delon Wright")</f>
        <v>Delon Wright</v>
      </c>
      <c r="C3705" s="162" t="str">
        <f>IFERROR(__xludf.DUMMYFUNCTION("""COMPUTED_VALUE"""),"2020-21")</f>
        <v>2020-21</v>
      </c>
      <c r="D3705" s="163" t="str">
        <f>IFERROR(__xludf.DUMMYFUNCTION("""COMPUTED_VALUE"""),"DET")</f>
        <v>DET</v>
      </c>
      <c r="E3705" s="164" t="str">
        <f>IFERROR(__xludf.DUMMYFUNCTION("""COMPUTED_VALUE"""),"Primary Ball Handler")</f>
        <v>Primary Ball Handler</v>
      </c>
      <c r="F3705" s="164">
        <f>IFERROR(__xludf.DUMMYFUNCTION("""COMPUTED_VALUE"""),847.943333333333)</f>
        <v>847.9433333</v>
      </c>
      <c r="G3705" s="163">
        <f>IFERROR(__xludf.DUMMYFUNCTION("""COMPUTED_VALUE"""),29.0)</f>
        <v>29</v>
      </c>
      <c r="H3705" s="163" t="str">
        <f>IFERROR(__xludf.DUMMYFUNCTION("""COMPUTED_VALUE"""),"SG")</f>
        <v>SG</v>
      </c>
      <c r="I3705" s="163">
        <f>IFERROR(__xludf.DUMMYFUNCTION("""COMPUTED_VALUE"""),28.0)</f>
        <v>28</v>
      </c>
      <c r="J3705" s="165">
        <f>IFERROR(__xludf.DUMMYFUNCTION("""COMPUTED_VALUE"""),0.658919983622279)</f>
        <v>0.6589199836</v>
      </c>
      <c r="K3705" s="165">
        <f>IFERROR(__xludf.DUMMYFUNCTION("""COMPUTED_VALUE"""),0.221818789977125)</f>
        <v>0.22181879</v>
      </c>
      <c r="L3705" s="165">
        <f>IFERROR(__xludf.DUMMYFUNCTION("""COMPUTED_VALUE"""),0.437101193645153)</f>
        <v>0.4371011936</v>
      </c>
      <c r="M3705" s="166">
        <f t="shared" si="2"/>
        <v>1.683706861</v>
      </c>
      <c r="N3705" s="167">
        <f t="shared" si="3"/>
        <v>29.23942529</v>
      </c>
      <c r="O3705" s="163">
        <f t="shared" ref="O3705:Q3705" si="3709">rank(I3705,I:I)</f>
        <v>1090</v>
      </c>
      <c r="P3705" s="163">
        <f t="shared" si="3709"/>
        <v>817</v>
      </c>
      <c r="Q3705" s="163">
        <f t="shared" si="3709"/>
        <v>968</v>
      </c>
      <c r="R3705" s="163">
        <f>IFERROR(__xludf.DUMMYFUNCTION("RANK(M3705,filter(M:M,C:C=C3705))"),68.0)</f>
        <v>68</v>
      </c>
      <c r="S3705" s="161" t="b">
        <f t="shared" si="5"/>
        <v>1</v>
      </c>
      <c r="T3705" s="161" t="b">
        <f t="array" ref="T3705">index('Query Tool'!B:B,match(H3705,'Query Tool'!C:C,0))</f>
        <v>1</v>
      </c>
      <c r="U3705" s="161" t="b">
        <f t="array" ref="U3705">index('Query Tool'!B:B,match(C3705,'Query Tool'!C:C,0))</f>
        <v>1</v>
      </c>
      <c r="V3705" s="161" t="b">
        <f>F3705&gt;='Query Tool'!C$32</f>
        <v>1</v>
      </c>
      <c r="W3705" s="161" t="b">
        <f t="array" ref="W3705">index(Dropdowns!B:B,match(I3705,Dropdowns!A:A,0))</f>
        <v>1</v>
      </c>
      <c r="X3705" s="161" t="b">
        <f t="array" ref="X3705">index('Query Tool'!B:B,match(D3705,'Query Tool'!C:C,0))</f>
        <v>1</v>
      </c>
      <c r="Y3705" s="161" t="str">
        <f t="shared" si="6"/>
        <v>wrighde01,2020-21</v>
      </c>
      <c r="Z3705" s="168" t="str">
        <f t="array" ref="Z3705">iferror(index(I:I,match($A3705&amp;","&amp;index('Year Conversion'!$A:$A,match($C3705,'Year Conversion'!$B:$B,0)),$Y:$Y,0))-I3705,"")</f>
        <v/>
      </c>
      <c r="AA3705" s="168" t="str">
        <f t="array" ref="AA3705">iferror(index(J:J,match($A3705&amp;","&amp;index('Year Conversion'!$A:$A,match($C3705,'Year Conversion'!$B:$B,0)),$Y:$Y,0))-J3705,"")</f>
        <v/>
      </c>
      <c r="AB3705" s="168" t="str">
        <f t="array" ref="AB3705">iferror(index(K:K,match($A3705&amp;","&amp;index('Year Conversion'!$A:$A,match($C3705,'Year Conversion'!$B:$B,0)),$Y:$Y,0))-K3705,"")</f>
        <v/>
      </c>
      <c r="AC3705" s="168" t="str">
        <f t="shared" si="7"/>
        <v>DET,2020-21</v>
      </c>
    </row>
    <row r="3706">
      <c r="A3706" s="161" t="str">
        <f>IFERROR(__xludf.DUMMYFUNCTION("""COMPUTED_VALUE"""),"russeda01")</f>
        <v>russeda01</v>
      </c>
      <c r="B3706" s="161" t="str">
        <f>IFERROR(__xludf.DUMMYFUNCTION("""COMPUTED_VALUE"""),"D'Angelo Russell")</f>
        <v>D'Angelo Russell</v>
      </c>
      <c r="C3706" s="162" t="str">
        <f>IFERROR(__xludf.DUMMYFUNCTION("""COMPUTED_VALUE"""),"2020-21")</f>
        <v>2020-21</v>
      </c>
      <c r="D3706" s="163" t="str">
        <f>IFERROR(__xludf.DUMMYFUNCTION("""COMPUTED_VALUE"""),"MIN")</f>
        <v>MIN</v>
      </c>
      <c r="E3706" s="164" t="str">
        <f>IFERROR(__xludf.DUMMYFUNCTION("""COMPUTED_VALUE"""),"Primary Ball Handler")</f>
        <v>Primary Ball Handler</v>
      </c>
      <c r="F3706" s="164">
        <f>IFERROR(__xludf.DUMMYFUNCTION("""COMPUTED_VALUE"""),583.108333333333)</f>
        <v>583.1083333</v>
      </c>
      <c r="G3706" s="163">
        <f>IFERROR(__xludf.DUMMYFUNCTION("""COMPUTED_VALUE"""),20.0)</f>
        <v>20</v>
      </c>
      <c r="H3706" s="163" t="str">
        <f>IFERROR(__xludf.DUMMYFUNCTION("""COMPUTED_VALUE"""),"PG")</f>
        <v>PG</v>
      </c>
      <c r="I3706" s="163">
        <f>IFERROR(__xludf.DUMMYFUNCTION("""COMPUTED_VALUE"""),24.0)</f>
        <v>24</v>
      </c>
      <c r="J3706" s="165">
        <f>IFERROR(__xludf.DUMMYFUNCTION("""COMPUTED_VALUE"""),-1.61571160209146)</f>
        <v>-1.615711602</v>
      </c>
      <c r="K3706" s="165">
        <f>IFERROR(__xludf.DUMMYFUNCTION("""COMPUTED_VALUE"""),0.672366991526669)</f>
        <v>0.6723669915</v>
      </c>
      <c r="L3706" s="165">
        <f>IFERROR(__xludf.DUMMYFUNCTION("""COMPUTED_VALUE"""),-2.28807859361813)</f>
        <v>-2.288078594</v>
      </c>
      <c r="M3706" s="166">
        <f t="shared" si="2"/>
        <v>0.2660744327</v>
      </c>
      <c r="N3706" s="167">
        <f t="shared" si="3"/>
        <v>29.15541667</v>
      </c>
      <c r="O3706" s="163">
        <f t="shared" ref="O3706:Q3706" si="3710">rank(I3706,I:I)</f>
        <v>2361</v>
      </c>
      <c r="P3706" s="163">
        <f t="shared" si="3710"/>
        <v>3162</v>
      </c>
      <c r="Q3706" s="163">
        <f t="shared" si="3710"/>
        <v>669</v>
      </c>
      <c r="R3706" s="163">
        <f>IFERROR(__xludf.DUMMYFUNCTION("RANK(M3706,filter(M:M,C:C=C3706))"),256.0)</f>
        <v>256</v>
      </c>
      <c r="S3706" s="161" t="b">
        <f t="shared" si="5"/>
        <v>1</v>
      </c>
      <c r="T3706" s="161" t="b">
        <f t="array" ref="T3706">index('Query Tool'!B:B,match(H3706,'Query Tool'!C:C,0))</f>
        <v>1</v>
      </c>
      <c r="U3706" s="161" t="b">
        <f t="array" ref="U3706">index('Query Tool'!B:B,match(C3706,'Query Tool'!C:C,0))</f>
        <v>1</v>
      </c>
      <c r="V3706" s="161" t="b">
        <f>F3706&gt;='Query Tool'!C$32</f>
        <v>1</v>
      </c>
      <c r="W3706" s="161" t="b">
        <f t="array" ref="W3706">index(Dropdowns!B:B,match(I3706,Dropdowns!A:A,0))</f>
        <v>1</v>
      </c>
      <c r="X3706" s="161" t="b">
        <f t="array" ref="X3706">index('Query Tool'!B:B,match(D3706,'Query Tool'!C:C,0))</f>
        <v>1</v>
      </c>
      <c r="Y3706" s="161" t="str">
        <f t="shared" si="6"/>
        <v>russeda01,2020-21</v>
      </c>
      <c r="Z3706" s="168" t="str">
        <f t="array" ref="Z3706">iferror(index(I:I,match($A3706&amp;","&amp;index('Year Conversion'!$A:$A,match($C3706,'Year Conversion'!$B:$B,0)),$Y:$Y,0))-I3706,"")</f>
        <v/>
      </c>
      <c r="AA3706" s="168" t="str">
        <f t="array" ref="AA3706">iferror(index(J:J,match($A3706&amp;","&amp;index('Year Conversion'!$A:$A,match($C3706,'Year Conversion'!$B:$B,0)),$Y:$Y,0))-J3706,"")</f>
        <v/>
      </c>
      <c r="AB3706" s="168" t="str">
        <f t="array" ref="AB3706">iferror(index(K:K,match($A3706&amp;","&amp;index('Year Conversion'!$A:$A,match($C3706,'Year Conversion'!$B:$B,0)),$Y:$Y,0))-K3706,"")</f>
        <v/>
      </c>
      <c r="AC3706" s="168" t="str">
        <f t="shared" si="7"/>
        <v>MIN,2020-21</v>
      </c>
    </row>
    <row r="3707">
      <c r="A3707" s="161" t="str">
        <f>IFERROR(__xludf.DUMMYFUNCTION("""COMPUTED_VALUE"""),"townska01")</f>
        <v>townska01</v>
      </c>
      <c r="B3707" s="161" t="str">
        <f>IFERROR(__xludf.DUMMYFUNCTION("""COMPUTED_VALUE"""),"Karl-Anthony Towns")</f>
        <v>Karl-Anthony Towns</v>
      </c>
      <c r="C3707" s="162" t="str">
        <f>IFERROR(__xludf.DUMMYFUNCTION("""COMPUTED_VALUE"""),"2020-21")</f>
        <v>2020-21</v>
      </c>
      <c r="D3707" s="163" t="str">
        <f>IFERROR(__xludf.DUMMYFUNCTION("""COMPUTED_VALUE"""),"MIN")</f>
        <v>MIN</v>
      </c>
      <c r="E3707" s="164" t="str">
        <f>IFERROR(__xludf.DUMMYFUNCTION("""COMPUTED_VALUE"""),"Versatile Big")</f>
        <v>Versatile Big</v>
      </c>
      <c r="F3707" s="164">
        <f>IFERROR(__xludf.DUMMYFUNCTION("""COMPUTED_VALUE"""),359.558333333333)</f>
        <v>359.5583333</v>
      </c>
      <c r="G3707" s="163">
        <f>IFERROR(__xludf.DUMMYFUNCTION("""COMPUTED_VALUE"""),11.0)</f>
        <v>11</v>
      </c>
      <c r="H3707" s="163" t="str">
        <f>IFERROR(__xludf.DUMMYFUNCTION("""COMPUTED_VALUE"""),"C")</f>
        <v>C</v>
      </c>
      <c r="I3707" s="163">
        <f>IFERROR(__xludf.DUMMYFUNCTION("""COMPUTED_VALUE"""),25.0)</f>
        <v>25</v>
      </c>
      <c r="J3707" s="165">
        <f>IFERROR(__xludf.DUMMYFUNCTION("""COMPUTED_VALUE"""),2.4040064884052)</f>
        <v>2.404006488</v>
      </c>
      <c r="K3707" s="165">
        <f>IFERROR(__xludf.DUMMYFUNCTION("""COMPUTED_VALUE"""),1.34881466908684)</f>
        <v>1.348814669</v>
      </c>
      <c r="L3707" s="165">
        <f>IFERROR(__xludf.DUMMYFUNCTION("""COMPUTED_VALUE"""),1.05519181931836)</f>
        <v>1.055191819</v>
      </c>
      <c r="M3707" s="166">
        <f t="shared" si="2"/>
        <v>1.132441594</v>
      </c>
      <c r="N3707" s="167">
        <f t="shared" si="3"/>
        <v>32.68712121</v>
      </c>
      <c r="O3707" s="163">
        <f t="shared" ref="O3707:Q3707" si="3711">rank(I3707,I:I)</f>
        <v>1995</v>
      </c>
      <c r="P3707" s="163">
        <f t="shared" si="3711"/>
        <v>239</v>
      </c>
      <c r="Q3707" s="163">
        <f t="shared" si="3711"/>
        <v>371</v>
      </c>
      <c r="R3707" s="163">
        <f>IFERROR(__xludf.DUMMYFUNCTION("RANK(M3707,filter(M:M,C:C=C3707))"),108.0)</f>
        <v>108</v>
      </c>
      <c r="S3707" s="161" t="b">
        <f t="shared" si="5"/>
        <v>0</v>
      </c>
      <c r="T3707" s="161" t="b">
        <f t="array" ref="T3707">index('Query Tool'!B:B,match(H3707,'Query Tool'!C:C,0))</f>
        <v>1</v>
      </c>
      <c r="U3707" s="161" t="b">
        <f t="array" ref="U3707">index('Query Tool'!B:B,match(C3707,'Query Tool'!C:C,0))</f>
        <v>1</v>
      </c>
      <c r="V3707" s="161" t="b">
        <f>F3707&gt;='Query Tool'!C$32</f>
        <v>0</v>
      </c>
      <c r="W3707" s="161" t="b">
        <f t="array" ref="W3707">index(Dropdowns!B:B,match(I3707,Dropdowns!A:A,0))</f>
        <v>1</v>
      </c>
      <c r="X3707" s="161" t="b">
        <f t="array" ref="X3707">index('Query Tool'!B:B,match(D3707,'Query Tool'!C:C,0))</f>
        <v>1</v>
      </c>
      <c r="Y3707" s="161" t="str">
        <f t="shared" si="6"/>
        <v>townska01,2020-21</v>
      </c>
      <c r="Z3707" s="168" t="str">
        <f t="array" ref="Z3707">iferror(index(I:I,match($A3707&amp;","&amp;index('Year Conversion'!$A:$A,match($C3707,'Year Conversion'!$B:$B,0)),$Y:$Y,0))-I3707,"")</f>
        <v/>
      </c>
      <c r="AA3707" s="168" t="str">
        <f t="array" ref="AA3707">iferror(index(J:J,match($A3707&amp;","&amp;index('Year Conversion'!$A:$A,match($C3707,'Year Conversion'!$B:$B,0)),$Y:$Y,0))-J3707,"")</f>
        <v/>
      </c>
      <c r="AB3707" s="168" t="str">
        <f t="array" ref="AB3707">iferror(index(K:K,match($A3707&amp;","&amp;index('Year Conversion'!$A:$A,match($C3707,'Year Conversion'!$B:$B,0)),$Y:$Y,0))-K3707,"")</f>
        <v/>
      </c>
      <c r="AC3707" s="168" t="str">
        <f t="shared" si="7"/>
        <v>MIN,2020-21</v>
      </c>
    </row>
    <row r="3708">
      <c r="A3708" s="161" t="str">
        <f>IFERROR(__xludf.DUMMYFUNCTION("""COMPUTED_VALUE"""),"holmeri01")</f>
        <v>holmeri01</v>
      </c>
      <c r="B3708" s="161" t="str">
        <f>IFERROR(__xludf.DUMMYFUNCTION("""COMPUTED_VALUE"""),"Richaun Holmes")</f>
        <v>Richaun Holmes</v>
      </c>
      <c r="C3708" s="162" t="str">
        <f>IFERROR(__xludf.DUMMYFUNCTION("""COMPUTED_VALUE"""),"2020-21")</f>
        <v>2020-21</v>
      </c>
      <c r="D3708" s="163" t="str">
        <f>IFERROR(__xludf.DUMMYFUNCTION("""COMPUTED_VALUE"""),"SAC")</f>
        <v>SAC</v>
      </c>
      <c r="E3708" s="164" t="str">
        <f>IFERROR(__xludf.DUMMYFUNCTION("""COMPUTED_VALUE"""),"Roll + Cut Big")</f>
        <v>Roll + Cut Big</v>
      </c>
      <c r="F3708" s="164">
        <f>IFERROR(__xludf.DUMMYFUNCTION("""COMPUTED_VALUE"""),760.476666666666)</f>
        <v>760.4766667</v>
      </c>
      <c r="G3708" s="163">
        <f>IFERROR(__xludf.DUMMYFUNCTION("""COMPUTED_VALUE"""),26.0)</f>
        <v>26</v>
      </c>
      <c r="H3708" s="163" t="str">
        <f>IFERROR(__xludf.DUMMYFUNCTION("""COMPUTED_VALUE"""),"C")</f>
        <v>C</v>
      </c>
      <c r="I3708" s="163">
        <f>IFERROR(__xludf.DUMMYFUNCTION("""COMPUTED_VALUE"""),27.0)</f>
        <v>27</v>
      </c>
      <c r="J3708" s="165">
        <f>IFERROR(__xludf.DUMMYFUNCTION("""COMPUTED_VALUE"""),1.15738720597126)</f>
        <v>1.157387206</v>
      </c>
      <c r="K3708" s="165">
        <f>IFERROR(__xludf.DUMMYFUNCTION("""COMPUTED_VALUE"""),-0.0888343141703438)</f>
        <v>-0.08883431417</v>
      </c>
      <c r="L3708" s="165">
        <f>IFERROR(__xludf.DUMMYFUNCTION("""COMPUTED_VALUE"""),1.2462215201416)</f>
        <v>1.24622152</v>
      </c>
      <c r="M3708" s="166">
        <f t="shared" si="2"/>
        <v>1.764698674</v>
      </c>
      <c r="N3708" s="167">
        <f t="shared" si="3"/>
        <v>29.24910256</v>
      </c>
      <c r="O3708" s="163">
        <f t="shared" ref="O3708:Q3708" si="3712">rank(I3708,I:I)</f>
        <v>1366</v>
      </c>
      <c r="P3708" s="163">
        <f t="shared" si="3712"/>
        <v>589</v>
      </c>
      <c r="Q3708" s="163">
        <f t="shared" si="3712"/>
        <v>1341</v>
      </c>
      <c r="R3708" s="163">
        <f>IFERROR(__xludf.DUMMYFUNCTION("RANK(M3708,filter(M:M,C:C=C3708))"),58.0)</f>
        <v>58</v>
      </c>
      <c r="S3708" s="161" t="b">
        <f t="shared" si="5"/>
        <v>1</v>
      </c>
      <c r="T3708" s="161" t="b">
        <f t="array" ref="T3708">index('Query Tool'!B:B,match(H3708,'Query Tool'!C:C,0))</f>
        <v>1</v>
      </c>
      <c r="U3708" s="161" t="b">
        <f t="array" ref="U3708">index('Query Tool'!B:B,match(C3708,'Query Tool'!C:C,0))</f>
        <v>1</v>
      </c>
      <c r="V3708" s="161" t="b">
        <f>F3708&gt;='Query Tool'!C$32</f>
        <v>1</v>
      </c>
      <c r="W3708" s="161" t="b">
        <f t="array" ref="W3708">index(Dropdowns!B:B,match(I3708,Dropdowns!A:A,0))</f>
        <v>1</v>
      </c>
      <c r="X3708" s="161" t="b">
        <f t="array" ref="X3708">index('Query Tool'!B:B,match(D3708,'Query Tool'!C:C,0))</f>
        <v>1</v>
      </c>
      <c r="Y3708" s="161" t="str">
        <f t="shared" si="6"/>
        <v>holmeri01,2020-21</v>
      </c>
      <c r="Z3708" s="168" t="str">
        <f t="array" ref="Z3708">iferror(index(I:I,match($A3708&amp;","&amp;index('Year Conversion'!$A:$A,match($C3708,'Year Conversion'!$B:$B,0)),$Y:$Y,0))-I3708,"")</f>
        <v/>
      </c>
      <c r="AA3708" s="168" t="str">
        <f t="array" ref="AA3708">iferror(index(J:J,match($A3708&amp;","&amp;index('Year Conversion'!$A:$A,match($C3708,'Year Conversion'!$B:$B,0)),$Y:$Y,0))-J3708,"")</f>
        <v/>
      </c>
      <c r="AB3708" s="168" t="str">
        <f t="array" ref="AB3708">iferror(index(K:K,match($A3708&amp;","&amp;index('Year Conversion'!$A:$A,match($C3708,'Year Conversion'!$B:$B,0)),$Y:$Y,0))-K3708,"")</f>
        <v/>
      </c>
      <c r="AC3708" s="168" t="str">
        <f t="shared" si="7"/>
        <v>SAC,2020-21</v>
      </c>
    </row>
    <row r="3709">
      <c r="A3709" s="161" t="str">
        <f>IFERROR(__xludf.DUMMYFUNCTION("""COMPUTED_VALUE"""),"caulewi01")</f>
        <v>caulewi01</v>
      </c>
      <c r="B3709" s="161" t="str">
        <f>IFERROR(__xludf.DUMMYFUNCTION("""COMPUTED_VALUE"""),"Willie Cauley-Stein")</f>
        <v>Willie Cauley-Stein</v>
      </c>
      <c r="C3709" s="162" t="str">
        <f>IFERROR(__xludf.DUMMYFUNCTION("""COMPUTED_VALUE"""),"2020-21")</f>
        <v>2020-21</v>
      </c>
      <c r="D3709" s="163" t="str">
        <f>IFERROR(__xludf.DUMMYFUNCTION("""COMPUTED_VALUE"""),"DAL")</f>
        <v>DAL</v>
      </c>
      <c r="E3709" s="164" t="str">
        <f>IFERROR(__xludf.DUMMYFUNCTION("""COMPUTED_VALUE"""),"Roll + Cut Big")</f>
        <v>Roll + Cut Big</v>
      </c>
      <c r="F3709" s="164">
        <f>IFERROR(__xludf.DUMMYFUNCTION("""COMPUTED_VALUE"""),454.086666666667)</f>
        <v>454.0866667</v>
      </c>
      <c r="G3709" s="163">
        <f>IFERROR(__xludf.DUMMYFUNCTION("""COMPUTED_VALUE"""),26.0)</f>
        <v>26</v>
      </c>
      <c r="H3709" s="163" t="str">
        <f>IFERROR(__xludf.DUMMYFUNCTION("""COMPUTED_VALUE"""),"C")</f>
        <v>C</v>
      </c>
      <c r="I3709" s="163">
        <f>IFERROR(__xludf.DUMMYFUNCTION("""COMPUTED_VALUE"""),27.0)</f>
        <v>27</v>
      </c>
      <c r="J3709" s="165">
        <f>IFERROR(__xludf.DUMMYFUNCTION("""COMPUTED_VALUE"""),-0.501571447739901)</f>
        <v>-0.5015714477</v>
      </c>
      <c r="K3709" s="165">
        <f>IFERROR(__xludf.DUMMYFUNCTION("""COMPUTED_VALUE"""),-1.47779417553983)</f>
        <v>-1.477794176</v>
      </c>
      <c r="L3709" s="165">
        <f>IFERROR(__xludf.DUMMYFUNCTION("""COMPUTED_VALUE"""),0.976222727799928)</f>
        <v>0.9762227278</v>
      </c>
      <c r="M3709" s="166">
        <f t="shared" si="2"/>
        <v>0.5465525318</v>
      </c>
      <c r="N3709" s="167">
        <f t="shared" si="3"/>
        <v>17.46487179</v>
      </c>
      <c r="O3709" s="163">
        <f t="shared" ref="O3709:Q3709" si="3713">rank(I3709,I:I)</f>
        <v>1366</v>
      </c>
      <c r="P3709" s="163">
        <f t="shared" si="3713"/>
        <v>1859</v>
      </c>
      <c r="Q3709" s="163">
        <f t="shared" si="3713"/>
        <v>3334</v>
      </c>
      <c r="R3709" s="163">
        <f>IFERROR(__xludf.DUMMYFUNCTION("RANK(M3709,filter(M:M,C:C=C3709))"),182.0)</f>
        <v>182</v>
      </c>
      <c r="S3709" s="161" t="b">
        <f t="shared" si="5"/>
        <v>0</v>
      </c>
      <c r="T3709" s="161" t="b">
        <f t="array" ref="T3709">index('Query Tool'!B:B,match(H3709,'Query Tool'!C:C,0))</f>
        <v>1</v>
      </c>
      <c r="U3709" s="161" t="b">
        <f t="array" ref="U3709">index('Query Tool'!B:B,match(C3709,'Query Tool'!C:C,0))</f>
        <v>1</v>
      </c>
      <c r="V3709" s="161" t="b">
        <f>F3709&gt;='Query Tool'!C$32</f>
        <v>0</v>
      </c>
      <c r="W3709" s="161" t="b">
        <f t="array" ref="W3709">index(Dropdowns!B:B,match(I3709,Dropdowns!A:A,0))</f>
        <v>1</v>
      </c>
      <c r="X3709" s="161" t="b">
        <f t="array" ref="X3709">index('Query Tool'!B:B,match(D3709,'Query Tool'!C:C,0))</f>
        <v>1</v>
      </c>
      <c r="Y3709" s="161" t="str">
        <f t="shared" si="6"/>
        <v>caulewi01,2020-21</v>
      </c>
      <c r="Z3709" s="168" t="str">
        <f t="array" ref="Z3709">iferror(index(I:I,match($A3709&amp;","&amp;index('Year Conversion'!$A:$A,match($C3709,'Year Conversion'!$B:$B,0)),$Y:$Y,0))-I3709,"")</f>
        <v/>
      </c>
      <c r="AA3709" s="168" t="str">
        <f t="array" ref="AA3709">iferror(index(J:J,match($A3709&amp;","&amp;index('Year Conversion'!$A:$A,match($C3709,'Year Conversion'!$B:$B,0)),$Y:$Y,0))-J3709,"")</f>
        <v/>
      </c>
      <c r="AB3709" s="168" t="str">
        <f t="array" ref="AB3709">iferror(index(K:K,match($A3709&amp;","&amp;index('Year Conversion'!$A:$A,match($C3709,'Year Conversion'!$B:$B,0)),$Y:$Y,0))-K3709,"")</f>
        <v/>
      </c>
      <c r="AC3709" s="168" t="str">
        <f t="shared" si="7"/>
        <v>DAL,2020-21</v>
      </c>
    </row>
    <row r="3710">
      <c r="A3710" s="161" t="str">
        <f>IFERROR(__xludf.DUMMYFUNCTION("""COMPUTED_VALUE"""),"oubreke01")</f>
        <v>oubreke01</v>
      </c>
      <c r="B3710" s="161" t="str">
        <f>IFERROR(__xludf.DUMMYFUNCTION("""COMPUTED_VALUE"""),"Kelly Oubre Jr.")</f>
        <v>Kelly Oubre Jr.</v>
      </c>
      <c r="C3710" s="162" t="str">
        <f>IFERROR(__xludf.DUMMYFUNCTION("""COMPUTED_VALUE"""),"2020-21")</f>
        <v>2020-21</v>
      </c>
      <c r="D3710" s="163" t="str">
        <f>IFERROR(__xludf.DUMMYFUNCTION("""COMPUTED_VALUE"""),"GSW")</f>
        <v>GSW</v>
      </c>
      <c r="E3710" s="164" t="str">
        <f>IFERROR(__xludf.DUMMYFUNCTION("""COMPUTED_VALUE"""),"Athletic Finisher")</f>
        <v>Athletic Finisher</v>
      </c>
      <c r="F3710" s="164">
        <f>IFERROR(__xludf.DUMMYFUNCTION("""COMPUTED_VALUE"""),926.225)</f>
        <v>926.225</v>
      </c>
      <c r="G3710" s="163">
        <f>IFERROR(__xludf.DUMMYFUNCTION("""COMPUTED_VALUE"""),31.0)</f>
        <v>31</v>
      </c>
      <c r="H3710" s="163" t="str">
        <f>IFERROR(__xludf.DUMMYFUNCTION("""COMPUTED_VALUE"""),"SF")</f>
        <v>SF</v>
      </c>
      <c r="I3710" s="163">
        <f>IFERROR(__xludf.DUMMYFUNCTION("""COMPUTED_VALUE"""),25.0)</f>
        <v>25</v>
      </c>
      <c r="J3710" s="165">
        <f>IFERROR(__xludf.DUMMYFUNCTION("""COMPUTED_VALUE"""),0.0679440419254113)</f>
        <v>0.06794404193</v>
      </c>
      <c r="K3710" s="165">
        <f>IFERROR(__xludf.DUMMYFUNCTION("""COMPUTED_VALUE"""),-0.688186305722001)</f>
        <v>-0.6881863057</v>
      </c>
      <c r="L3710" s="165">
        <f>IFERROR(__xludf.DUMMYFUNCTION("""COMPUTED_VALUE"""),0.756130347647412)</f>
        <v>0.7561303476</v>
      </c>
      <c r="M3710" s="166">
        <f t="shared" si="2"/>
        <v>1.470357693</v>
      </c>
      <c r="N3710" s="167">
        <f t="shared" si="3"/>
        <v>29.87822581</v>
      </c>
      <c r="O3710" s="163">
        <f t="shared" ref="O3710:Q3710" si="3714">rank(I3710,I:I)</f>
        <v>1995</v>
      </c>
      <c r="P3710" s="163">
        <f t="shared" si="3714"/>
        <v>1228</v>
      </c>
      <c r="Q3710" s="163">
        <f t="shared" si="3714"/>
        <v>2398</v>
      </c>
      <c r="R3710" s="163">
        <f>IFERROR(__xludf.DUMMYFUNCTION("RANK(M3710,filter(M:M,C:C=C3710))"),82.0)</f>
        <v>82</v>
      </c>
      <c r="S3710" s="161" t="b">
        <f t="shared" si="5"/>
        <v>1</v>
      </c>
      <c r="T3710" s="161" t="b">
        <f t="array" ref="T3710">index('Query Tool'!B:B,match(H3710,'Query Tool'!C:C,0))</f>
        <v>1</v>
      </c>
      <c r="U3710" s="161" t="b">
        <f t="array" ref="U3710">index('Query Tool'!B:B,match(C3710,'Query Tool'!C:C,0))</f>
        <v>1</v>
      </c>
      <c r="V3710" s="161" t="b">
        <f>F3710&gt;='Query Tool'!C$32</f>
        <v>1</v>
      </c>
      <c r="W3710" s="161" t="b">
        <f t="array" ref="W3710">index(Dropdowns!B:B,match(I3710,Dropdowns!A:A,0))</f>
        <v>1</v>
      </c>
      <c r="X3710" s="161" t="b">
        <f t="array" ref="X3710">index('Query Tool'!B:B,match(D3710,'Query Tool'!C:C,0))</f>
        <v>1</v>
      </c>
      <c r="Y3710" s="161" t="str">
        <f t="shared" si="6"/>
        <v>oubreke01,2020-21</v>
      </c>
      <c r="Z3710" s="168" t="str">
        <f t="array" ref="Z3710">iferror(index(I:I,match($A3710&amp;","&amp;index('Year Conversion'!$A:$A,match($C3710,'Year Conversion'!$B:$B,0)),$Y:$Y,0))-I3710,"")</f>
        <v/>
      </c>
      <c r="AA3710" s="168" t="str">
        <f t="array" ref="AA3710">iferror(index(J:J,match($A3710&amp;","&amp;index('Year Conversion'!$A:$A,match($C3710,'Year Conversion'!$B:$B,0)),$Y:$Y,0))-J3710,"")</f>
        <v/>
      </c>
      <c r="AB3710" s="168" t="str">
        <f t="array" ref="AB3710">iferror(index(K:K,match($A3710&amp;","&amp;index('Year Conversion'!$A:$A,match($C3710,'Year Conversion'!$B:$B,0)),$Y:$Y,0))-K3710,"")</f>
        <v/>
      </c>
      <c r="AC3710" s="168" t="str">
        <f t="shared" si="7"/>
        <v>GSW,2020-21</v>
      </c>
    </row>
    <row r="3711">
      <c r="A3711" s="161" t="str">
        <f>IFERROR(__xludf.DUMMYFUNCTION("""COMPUTED_VALUE"""),"kaminfr01")</f>
        <v>kaminfr01</v>
      </c>
      <c r="B3711" s="161" t="str">
        <f>IFERROR(__xludf.DUMMYFUNCTION("""COMPUTED_VALUE"""),"Frank Kaminsky")</f>
        <v>Frank Kaminsky</v>
      </c>
      <c r="C3711" s="162" t="str">
        <f>IFERROR(__xludf.DUMMYFUNCTION("""COMPUTED_VALUE"""),"2020-21")</f>
        <v>2020-21</v>
      </c>
      <c r="D3711" s="163" t="str">
        <f>IFERROR(__xludf.DUMMYFUNCTION("""COMPUTED_VALUE"""),"PHO")</f>
        <v>PHO</v>
      </c>
      <c r="E3711" s="164" t="str">
        <f>IFERROR(__xludf.DUMMYFUNCTION("""COMPUTED_VALUE"""),"Stretch Big")</f>
        <v>Stretch Big</v>
      </c>
      <c r="F3711" s="164">
        <f>IFERROR(__xludf.DUMMYFUNCTION("""COMPUTED_VALUE"""),350.398333333333)</f>
        <v>350.3983333</v>
      </c>
      <c r="G3711" s="163">
        <f>IFERROR(__xludf.DUMMYFUNCTION("""COMPUTED_VALUE"""),22.0)</f>
        <v>22</v>
      </c>
      <c r="H3711" s="163" t="str">
        <f>IFERROR(__xludf.DUMMYFUNCTION("""COMPUTED_VALUE"""),"C")</f>
        <v>C</v>
      </c>
      <c r="I3711" s="163">
        <f>IFERROR(__xludf.DUMMYFUNCTION("""COMPUTED_VALUE"""),27.0)</f>
        <v>27</v>
      </c>
      <c r="J3711" s="165">
        <f>IFERROR(__xludf.DUMMYFUNCTION("""COMPUTED_VALUE"""),1.09863073977057)</f>
        <v>1.09863074</v>
      </c>
      <c r="K3711" s="165">
        <f>IFERROR(__xludf.DUMMYFUNCTION("""COMPUTED_VALUE"""),0.549091695800269)</f>
        <v>0.5490916958</v>
      </c>
      <c r="L3711" s="165">
        <f>IFERROR(__xludf.DUMMYFUNCTION("""COMPUTED_VALUE"""),0.549539043970304)</f>
        <v>0.549539044</v>
      </c>
      <c r="M3711" s="166">
        <f t="shared" si="2"/>
        <v>0.7992981529</v>
      </c>
      <c r="N3711" s="167">
        <f t="shared" si="3"/>
        <v>15.92719697</v>
      </c>
      <c r="O3711" s="163">
        <f t="shared" ref="O3711:Q3711" si="3715">rank(I3711,I:I)</f>
        <v>1366</v>
      </c>
      <c r="P3711" s="163">
        <f t="shared" si="3715"/>
        <v>620</v>
      </c>
      <c r="Q3711" s="163">
        <f t="shared" si="3715"/>
        <v>742</v>
      </c>
      <c r="R3711" s="163">
        <f>IFERROR(__xludf.DUMMYFUNCTION("RANK(M3711,filter(M:M,C:C=C3711))"),142.0)</f>
        <v>142</v>
      </c>
      <c r="S3711" s="161" t="b">
        <f t="shared" si="5"/>
        <v>0</v>
      </c>
      <c r="T3711" s="161" t="b">
        <f t="array" ref="T3711">index('Query Tool'!B:B,match(H3711,'Query Tool'!C:C,0))</f>
        <v>1</v>
      </c>
      <c r="U3711" s="161" t="b">
        <f t="array" ref="U3711">index('Query Tool'!B:B,match(C3711,'Query Tool'!C:C,0))</f>
        <v>1</v>
      </c>
      <c r="V3711" s="161" t="b">
        <f>F3711&gt;='Query Tool'!C$32</f>
        <v>0</v>
      </c>
      <c r="W3711" s="161" t="b">
        <f t="array" ref="W3711">index(Dropdowns!B:B,match(I3711,Dropdowns!A:A,0))</f>
        <v>1</v>
      </c>
      <c r="X3711" s="161" t="b">
        <f t="array" ref="X3711">index('Query Tool'!B:B,match(D3711,'Query Tool'!C:C,0))</f>
        <v>1</v>
      </c>
      <c r="Y3711" s="161" t="str">
        <f t="shared" si="6"/>
        <v>kaminfr01,2020-21</v>
      </c>
      <c r="Z3711" s="168" t="str">
        <f t="array" ref="Z3711">iferror(index(I:I,match($A3711&amp;","&amp;index('Year Conversion'!$A:$A,match($C3711,'Year Conversion'!$B:$B,0)),$Y:$Y,0))-I3711,"")</f>
        <v/>
      </c>
      <c r="AA3711" s="168" t="str">
        <f t="array" ref="AA3711">iferror(index(J:J,match($A3711&amp;","&amp;index('Year Conversion'!$A:$A,match($C3711,'Year Conversion'!$B:$B,0)),$Y:$Y,0))-J3711,"")</f>
        <v/>
      </c>
      <c r="AB3711" s="168" t="str">
        <f t="array" ref="AB3711">iferror(index(K:K,match($A3711&amp;","&amp;index('Year Conversion'!$A:$A,match($C3711,'Year Conversion'!$B:$B,0)),$Y:$Y,0))-K3711,"")</f>
        <v/>
      </c>
      <c r="AC3711" s="168" t="str">
        <f t="shared" si="7"/>
        <v>PHO,2020-21</v>
      </c>
    </row>
    <row r="3712">
      <c r="A3712" s="161" t="str">
        <f>IFERROR(__xludf.DUMMYFUNCTION("""COMPUTED_VALUE"""),"bookede01")</f>
        <v>bookede01</v>
      </c>
      <c r="B3712" s="161" t="str">
        <f>IFERROR(__xludf.DUMMYFUNCTION("""COMPUTED_VALUE"""),"Devin Booker")</f>
        <v>Devin Booker</v>
      </c>
      <c r="C3712" s="162" t="str">
        <f>IFERROR(__xludf.DUMMYFUNCTION("""COMPUTED_VALUE"""),"2020-21")</f>
        <v>2020-21</v>
      </c>
      <c r="D3712" s="163" t="str">
        <f>IFERROR(__xludf.DUMMYFUNCTION("""COMPUTED_VALUE"""),"PHO")</f>
        <v>PHO</v>
      </c>
      <c r="E3712" s="164" t="str">
        <f>IFERROR(__xludf.DUMMYFUNCTION("""COMPUTED_VALUE"""),"Shot Creator")</f>
        <v>Shot Creator</v>
      </c>
      <c r="F3712" s="164">
        <f>IFERROR(__xludf.DUMMYFUNCTION("""COMPUTED_VALUE"""),866.95)</f>
        <v>866.95</v>
      </c>
      <c r="G3712" s="163">
        <f>IFERROR(__xludf.DUMMYFUNCTION("""COMPUTED_VALUE"""),25.0)</f>
        <v>25</v>
      </c>
      <c r="H3712" s="163" t="str">
        <f>IFERROR(__xludf.DUMMYFUNCTION("""COMPUTED_VALUE"""),"SG")</f>
        <v>SG</v>
      </c>
      <c r="I3712" s="163">
        <f>IFERROR(__xludf.DUMMYFUNCTION("""COMPUTED_VALUE"""),24.0)</f>
        <v>24</v>
      </c>
      <c r="J3712" s="165">
        <f>IFERROR(__xludf.DUMMYFUNCTION("""COMPUTED_VALUE"""),0.86461292982011)</f>
        <v>0.8646129298</v>
      </c>
      <c r="K3712" s="165">
        <f>IFERROR(__xludf.DUMMYFUNCTION("""COMPUTED_VALUE"""),2.16061031766817)</f>
        <v>2.160610318</v>
      </c>
      <c r="L3712" s="165">
        <f>IFERROR(__xludf.DUMMYFUNCTION("""COMPUTED_VALUE"""),-1.29599738784806)</f>
        <v>-1.295997388</v>
      </c>
      <c r="M3712" s="166">
        <f t="shared" si="2"/>
        <v>1.841380387</v>
      </c>
      <c r="N3712" s="167">
        <f t="shared" si="3"/>
        <v>34.678</v>
      </c>
      <c r="O3712" s="163">
        <f t="shared" ref="O3712:Q3712" si="3716">rank(I3712,I:I)</f>
        <v>2361</v>
      </c>
      <c r="P3712" s="163">
        <f t="shared" si="3716"/>
        <v>707</v>
      </c>
      <c r="Q3712" s="163">
        <f t="shared" si="3716"/>
        <v>206</v>
      </c>
      <c r="R3712" s="163">
        <f>IFERROR(__xludf.DUMMYFUNCTION("RANK(M3712,filter(M:M,C:C=C3712))"),53.0)</f>
        <v>53</v>
      </c>
      <c r="S3712" s="161" t="b">
        <f t="shared" si="5"/>
        <v>1</v>
      </c>
      <c r="T3712" s="161" t="b">
        <f t="array" ref="T3712">index('Query Tool'!B:B,match(H3712,'Query Tool'!C:C,0))</f>
        <v>1</v>
      </c>
      <c r="U3712" s="161" t="b">
        <f t="array" ref="U3712">index('Query Tool'!B:B,match(C3712,'Query Tool'!C:C,0))</f>
        <v>1</v>
      </c>
      <c r="V3712" s="161" t="b">
        <f>F3712&gt;='Query Tool'!C$32</f>
        <v>1</v>
      </c>
      <c r="W3712" s="161" t="b">
        <f t="array" ref="W3712">index(Dropdowns!B:B,match(I3712,Dropdowns!A:A,0))</f>
        <v>1</v>
      </c>
      <c r="X3712" s="161" t="b">
        <f t="array" ref="X3712">index('Query Tool'!B:B,match(D3712,'Query Tool'!C:C,0))</f>
        <v>1</v>
      </c>
      <c r="Y3712" s="161" t="str">
        <f t="shared" si="6"/>
        <v>bookede01,2020-21</v>
      </c>
      <c r="Z3712" s="168" t="str">
        <f t="array" ref="Z3712">iferror(index(I:I,match($A3712&amp;","&amp;index('Year Conversion'!$A:$A,match($C3712,'Year Conversion'!$B:$B,0)),$Y:$Y,0))-I3712,"")</f>
        <v/>
      </c>
      <c r="AA3712" s="168" t="str">
        <f t="array" ref="AA3712">iferror(index(J:J,match($A3712&amp;","&amp;index('Year Conversion'!$A:$A,match($C3712,'Year Conversion'!$B:$B,0)),$Y:$Y,0))-J3712,"")</f>
        <v/>
      </c>
      <c r="AB3712" s="168" t="str">
        <f t="array" ref="AB3712">iferror(index(K:K,match($A3712&amp;","&amp;index('Year Conversion'!$A:$A,match($C3712,'Year Conversion'!$B:$B,0)),$Y:$Y,0))-K3712,"")</f>
        <v/>
      </c>
      <c r="AC3712" s="168" t="str">
        <f t="shared" si="7"/>
        <v>PHO,2020-21</v>
      </c>
    </row>
    <row r="3713">
      <c r="A3713" s="161" t="str">
        <f>IFERROR(__xludf.DUMMYFUNCTION("""COMPUTED_VALUE"""),"payneca01")</f>
        <v>payneca01</v>
      </c>
      <c r="B3713" s="161" t="str">
        <f>IFERROR(__xludf.DUMMYFUNCTION("""COMPUTED_VALUE"""),"Cameron Payne")</f>
        <v>Cameron Payne</v>
      </c>
      <c r="C3713" s="162" t="str">
        <f>IFERROR(__xludf.DUMMYFUNCTION("""COMPUTED_VALUE"""),"2020-21")</f>
        <v>2020-21</v>
      </c>
      <c r="D3713" s="163" t="str">
        <f>IFERROR(__xludf.DUMMYFUNCTION("""COMPUTED_VALUE"""),"PHO")</f>
        <v>PHO</v>
      </c>
      <c r="E3713" s="164" t="str">
        <f>IFERROR(__xludf.DUMMYFUNCTION("""COMPUTED_VALUE"""),"Primary Ball Handler")</f>
        <v>Primary Ball Handler</v>
      </c>
      <c r="F3713" s="164">
        <f>IFERROR(__xludf.DUMMYFUNCTION("""COMPUTED_VALUE"""),317.49)</f>
        <v>317.49</v>
      </c>
      <c r="G3713" s="163">
        <f>IFERROR(__xludf.DUMMYFUNCTION("""COMPUTED_VALUE"""),18.0)</f>
        <v>18</v>
      </c>
      <c r="H3713" s="163" t="str">
        <f>IFERROR(__xludf.DUMMYFUNCTION("""COMPUTED_VALUE"""),"PG")</f>
        <v>PG</v>
      </c>
      <c r="I3713" s="163">
        <f>IFERROR(__xludf.DUMMYFUNCTION("""COMPUTED_VALUE"""),26.0)</f>
        <v>26</v>
      </c>
      <c r="J3713" s="165">
        <f>IFERROR(__xludf.DUMMYFUNCTION("""COMPUTED_VALUE"""),0.485973198393143)</f>
        <v>0.4859731984</v>
      </c>
      <c r="K3713" s="165">
        <f>IFERROR(__xludf.DUMMYFUNCTION("""COMPUTED_VALUE"""),0.356359320800994)</f>
        <v>0.3563593208</v>
      </c>
      <c r="L3713" s="165">
        <f>IFERROR(__xludf.DUMMYFUNCTION("""COMPUTED_VALUE"""),0.129613877592149)</f>
        <v>0.1296138776</v>
      </c>
      <c r="M3713" s="166">
        <f t="shared" si="2"/>
        <v>0.5934514817</v>
      </c>
      <c r="N3713" s="167">
        <f t="shared" si="3"/>
        <v>17.63833333</v>
      </c>
      <c r="O3713" s="163">
        <f t="shared" ref="O3713:Q3713" si="3717">rank(I3713,I:I)</f>
        <v>1665</v>
      </c>
      <c r="P3713" s="163">
        <f t="shared" si="3717"/>
        <v>907</v>
      </c>
      <c r="Q3713" s="163">
        <f t="shared" si="3717"/>
        <v>862</v>
      </c>
      <c r="R3713" s="163">
        <f>IFERROR(__xludf.DUMMYFUNCTION("RANK(M3713,filter(M:M,C:C=C3713))"),170.0)</f>
        <v>170</v>
      </c>
      <c r="S3713" s="161" t="b">
        <f t="shared" si="5"/>
        <v>0</v>
      </c>
      <c r="T3713" s="161" t="b">
        <f t="array" ref="T3713">index('Query Tool'!B:B,match(H3713,'Query Tool'!C:C,0))</f>
        <v>1</v>
      </c>
      <c r="U3713" s="161" t="b">
        <f t="array" ref="U3713">index('Query Tool'!B:B,match(C3713,'Query Tool'!C:C,0))</f>
        <v>1</v>
      </c>
      <c r="V3713" s="161" t="b">
        <f>F3713&gt;='Query Tool'!C$32</f>
        <v>0</v>
      </c>
      <c r="W3713" s="161" t="b">
        <f t="array" ref="W3713">index(Dropdowns!B:B,match(I3713,Dropdowns!A:A,0))</f>
        <v>1</v>
      </c>
      <c r="X3713" s="161" t="b">
        <f t="array" ref="X3713">index('Query Tool'!B:B,match(D3713,'Query Tool'!C:C,0))</f>
        <v>1</v>
      </c>
      <c r="Y3713" s="161" t="str">
        <f t="shared" si="6"/>
        <v>payneca01,2020-21</v>
      </c>
      <c r="Z3713" s="168" t="str">
        <f t="array" ref="Z3713">iferror(index(I:I,match($A3713&amp;","&amp;index('Year Conversion'!$A:$A,match($C3713,'Year Conversion'!$B:$B,0)),$Y:$Y,0))-I3713,"")</f>
        <v/>
      </c>
      <c r="AA3713" s="168" t="str">
        <f t="array" ref="AA3713">iferror(index(J:J,match($A3713&amp;","&amp;index('Year Conversion'!$A:$A,match($C3713,'Year Conversion'!$B:$B,0)),$Y:$Y,0))-J3713,"")</f>
        <v/>
      </c>
      <c r="AB3713" s="168" t="str">
        <f t="array" ref="AB3713">iferror(index(K:K,match($A3713&amp;","&amp;index('Year Conversion'!$A:$A,match($C3713,'Year Conversion'!$B:$B,0)),$Y:$Y,0))-K3713,"")</f>
        <v/>
      </c>
      <c r="AC3713" s="168" t="str">
        <f t="shared" si="7"/>
        <v>PHO,2020-21</v>
      </c>
    </row>
    <row r="3714">
      <c r="A3714" s="161" t="str">
        <f>IFERROR(__xludf.DUMMYFUNCTION("""COMPUTED_VALUE"""),"turnemy01")</f>
        <v>turnemy01</v>
      </c>
      <c r="B3714" s="161" t="str">
        <f>IFERROR(__xludf.DUMMYFUNCTION("""COMPUTED_VALUE"""),"Myles Turner")</f>
        <v>Myles Turner</v>
      </c>
      <c r="C3714" s="162" t="str">
        <f>IFERROR(__xludf.DUMMYFUNCTION("""COMPUTED_VALUE"""),"2020-21")</f>
        <v>2020-21</v>
      </c>
      <c r="D3714" s="163" t="str">
        <f>IFERROR(__xludf.DUMMYFUNCTION("""COMPUTED_VALUE"""),"IND")</f>
        <v>IND</v>
      </c>
      <c r="E3714" s="164" t="str">
        <f>IFERROR(__xludf.DUMMYFUNCTION("""COMPUTED_VALUE"""),"Stretch Big")</f>
        <v>Stretch Big</v>
      </c>
      <c r="F3714" s="164">
        <f>IFERROR(__xludf.DUMMYFUNCTION("""COMPUTED_VALUE"""),842.178333333333)</f>
        <v>842.1783333</v>
      </c>
      <c r="G3714" s="163">
        <f>IFERROR(__xludf.DUMMYFUNCTION("""COMPUTED_VALUE"""),27.0)</f>
        <v>27</v>
      </c>
      <c r="H3714" s="163" t="str">
        <f>IFERROR(__xludf.DUMMYFUNCTION("""COMPUTED_VALUE"""),"C")</f>
        <v>C</v>
      </c>
      <c r="I3714" s="163">
        <f>IFERROR(__xludf.DUMMYFUNCTION("""COMPUTED_VALUE"""),24.0)</f>
        <v>24</v>
      </c>
      <c r="J3714" s="165">
        <f>IFERROR(__xludf.DUMMYFUNCTION("""COMPUTED_VALUE"""),2.80816248739489)</f>
        <v>2.808162487</v>
      </c>
      <c r="K3714" s="165">
        <f>IFERROR(__xludf.DUMMYFUNCTION("""COMPUTED_VALUE"""),-0.883262629848883)</f>
        <v>-0.8832626298</v>
      </c>
      <c r="L3714" s="165">
        <f>IFERROR(__xludf.DUMMYFUNCTION("""COMPUTED_VALUE"""),3.69142511724377)</f>
        <v>3.691425117</v>
      </c>
      <c r="M3714" s="166">
        <f t="shared" si="2"/>
        <v>2.87555871</v>
      </c>
      <c r="N3714" s="167">
        <f t="shared" si="3"/>
        <v>31.19179012</v>
      </c>
      <c r="O3714" s="163">
        <f t="shared" ref="O3714:Q3714" si="3718">rank(I3714,I:I)</f>
        <v>2361</v>
      </c>
      <c r="P3714" s="163">
        <f t="shared" si="3718"/>
        <v>188</v>
      </c>
      <c r="Q3714" s="163">
        <f t="shared" si="3718"/>
        <v>2671</v>
      </c>
      <c r="R3714" s="163">
        <f>IFERROR(__xludf.DUMMYFUNCTION("RANK(M3714,filter(M:M,C:C=C3714))"),20.0)</f>
        <v>20</v>
      </c>
      <c r="S3714" s="161" t="b">
        <f t="shared" si="5"/>
        <v>1</v>
      </c>
      <c r="T3714" s="161" t="b">
        <f t="array" ref="T3714">index('Query Tool'!B:B,match(H3714,'Query Tool'!C:C,0))</f>
        <v>1</v>
      </c>
      <c r="U3714" s="161" t="b">
        <f t="array" ref="U3714">index('Query Tool'!B:B,match(C3714,'Query Tool'!C:C,0))</f>
        <v>1</v>
      </c>
      <c r="V3714" s="161" t="b">
        <f>F3714&gt;='Query Tool'!C$32</f>
        <v>1</v>
      </c>
      <c r="W3714" s="161" t="b">
        <f t="array" ref="W3714">index(Dropdowns!B:B,match(I3714,Dropdowns!A:A,0))</f>
        <v>1</v>
      </c>
      <c r="X3714" s="161" t="b">
        <f t="array" ref="X3714">index('Query Tool'!B:B,match(D3714,'Query Tool'!C:C,0))</f>
        <v>1</v>
      </c>
      <c r="Y3714" s="161" t="str">
        <f t="shared" si="6"/>
        <v>turnemy01,2020-21</v>
      </c>
      <c r="Z3714" s="168" t="str">
        <f t="array" ref="Z3714">iferror(index(I:I,match($A3714&amp;","&amp;index('Year Conversion'!$A:$A,match($C3714,'Year Conversion'!$B:$B,0)),$Y:$Y,0))-I3714,"")</f>
        <v/>
      </c>
      <c r="AA3714" s="168" t="str">
        <f t="array" ref="AA3714">iferror(index(J:J,match($A3714&amp;","&amp;index('Year Conversion'!$A:$A,match($C3714,'Year Conversion'!$B:$B,0)),$Y:$Y,0))-J3714,"")</f>
        <v/>
      </c>
      <c r="AB3714" s="168" t="str">
        <f t="array" ref="AB3714">iferror(index(K:K,match($A3714&amp;","&amp;index('Year Conversion'!$A:$A,match($C3714,'Year Conversion'!$B:$B,0)),$Y:$Y,0))-K3714,"")</f>
        <v/>
      </c>
      <c r="AC3714" s="168" t="str">
        <f t="shared" si="7"/>
        <v>IND,2020-21</v>
      </c>
    </row>
    <row r="3715">
      <c r="A3715" s="161" t="str">
        <f>IFERROR(__xludf.DUMMYFUNCTION("""COMPUTED_VALUE"""),"lylestr01")</f>
        <v>lylestr01</v>
      </c>
      <c r="B3715" s="161" t="str">
        <f>IFERROR(__xludf.DUMMYFUNCTION("""COMPUTED_VALUE"""),"Trey Lyles")</f>
        <v>Trey Lyles</v>
      </c>
      <c r="C3715" s="162" t="str">
        <f>IFERROR(__xludf.DUMMYFUNCTION("""COMPUTED_VALUE"""),"2020-21")</f>
        <v>2020-21</v>
      </c>
      <c r="D3715" s="163" t="str">
        <f>IFERROR(__xludf.DUMMYFUNCTION("""COMPUTED_VALUE"""),"SAS")</f>
        <v>SAS</v>
      </c>
      <c r="E3715" s="164" t="str">
        <f>IFERROR(__xludf.DUMMYFUNCTION("""COMPUTED_VALUE"""),"Athletic Finisher")</f>
        <v>Athletic Finisher</v>
      </c>
      <c r="F3715" s="164">
        <f>IFERROR(__xludf.DUMMYFUNCTION("""COMPUTED_VALUE"""),164.95)</f>
        <v>164.95</v>
      </c>
      <c r="G3715" s="163">
        <f>IFERROR(__xludf.DUMMYFUNCTION("""COMPUTED_VALUE"""),14.0)</f>
        <v>14</v>
      </c>
      <c r="H3715" s="163" t="str">
        <f>IFERROR(__xludf.DUMMYFUNCTION("""COMPUTED_VALUE"""),"PF")</f>
        <v>PF</v>
      </c>
      <c r="I3715" s="163">
        <f>IFERROR(__xludf.DUMMYFUNCTION("""COMPUTED_VALUE"""),25.0)</f>
        <v>25</v>
      </c>
      <c r="J3715" s="165">
        <f>IFERROR(__xludf.DUMMYFUNCTION("""COMPUTED_VALUE"""),-1.26078686592286)</f>
        <v>-1.260786866</v>
      </c>
      <c r="K3715" s="165">
        <f>IFERROR(__xludf.DUMMYFUNCTION("""COMPUTED_VALUE"""),-1.27480724664266)</f>
        <v>-1.274807247</v>
      </c>
      <c r="L3715" s="165">
        <f>IFERROR(__xludf.DUMMYFUNCTION("""COMPUTED_VALUE"""),0.0140203807197956)</f>
        <v>0.01402038072</v>
      </c>
      <c r="M3715" s="166">
        <f t="shared" si="2"/>
        <v>0.1143976182</v>
      </c>
      <c r="N3715" s="167">
        <f t="shared" si="3"/>
        <v>11.78214286</v>
      </c>
      <c r="O3715" s="163">
        <f t="shared" ref="O3715:Q3715" si="3719">rank(I3715,I:I)</f>
        <v>1995</v>
      </c>
      <c r="P3715" s="163">
        <f t="shared" si="3719"/>
        <v>2826</v>
      </c>
      <c r="Q3715" s="163">
        <f t="shared" si="3719"/>
        <v>3116</v>
      </c>
      <c r="R3715" s="163">
        <f>IFERROR(__xludf.DUMMYFUNCTION("RANK(M3715,filter(M:M,C:C=C3715))"),322.0)</f>
        <v>322</v>
      </c>
      <c r="S3715" s="161" t="b">
        <f t="shared" si="5"/>
        <v>0</v>
      </c>
      <c r="T3715" s="161" t="b">
        <f t="array" ref="T3715">index('Query Tool'!B:B,match(H3715,'Query Tool'!C:C,0))</f>
        <v>1</v>
      </c>
      <c r="U3715" s="161" t="b">
        <f t="array" ref="U3715">index('Query Tool'!B:B,match(C3715,'Query Tool'!C:C,0))</f>
        <v>1</v>
      </c>
      <c r="V3715" s="161" t="b">
        <f>F3715&gt;='Query Tool'!C$32</f>
        <v>0</v>
      </c>
      <c r="W3715" s="161" t="b">
        <f t="array" ref="W3715">index(Dropdowns!B:B,match(I3715,Dropdowns!A:A,0))</f>
        <v>1</v>
      </c>
      <c r="X3715" s="161" t="b">
        <f t="array" ref="X3715">index('Query Tool'!B:B,match(D3715,'Query Tool'!C:C,0))</f>
        <v>1</v>
      </c>
      <c r="Y3715" s="161" t="str">
        <f t="shared" si="6"/>
        <v>lylestr01,2020-21</v>
      </c>
      <c r="Z3715" s="168" t="str">
        <f t="array" ref="Z3715">iferror(index(I:I,match($A3715&amp;","&amp;index('Year Conversion'!$A:$A,match($C3715,'Year Conversion'!$B:$B,0)),$Y:$Y,0))-I3715,"")</f>
        <v/>
      </c>
      <c r="AA3715" s="168" t="str">
        <f t="array" ref="AA3715">iferror(index(J:J,match($A3715&amp;","&amp;index('Year Conversion'!$A:$A,match($C3715,'Year Conversion'!$B:$B,0)),$Y:$Y,0))-J3715,"")</f>
        <v/>
      </c>
      <c r="AB3715" s="168" t="str">
        <f t="array" ref="AB3715">iferror(index(K:K,match($A3715&amp;","&amp;index('Year Conversion'!$A:$A,match($C3715,'Year Conversion'!$B:$B,0)),$Y:$Y,0))-K3715,"")</f>
        <v/>
      </c>
      <c r="AC3715" s="168" t="str">
        <f t="shared" si="7"/>
        <v>SAS,2020-21</v>
      </c>
    </row>
    <row r="3716">
      <c r="A3716" s="161" t="str">
        <f>IFERROR(__xludf.DUMMYFUNCTION("""COMPUTED_VALUE"""),"johnsst04")</f>
        <v>johnsst04</v>
      </c>
      <c r="B3716" s="161" t="str">
        <f>IFERROR(__xludf.DUMMYFUNCTION("""COMPUTED_VALUE"""),"Stanley Johnson")</f>
        <v>Stanley Johnson</v>
      </c>
      <c r="C3716" s="162" t="str">
        <f>IFERROR(__xludf.DUMMYFUNCTION("""COMPUTED_VALUE"""),"2020-21")</f>
        <v>2020-21</v>
      </c>
      <c r="D3716" s="163" t="str">
        <f>IFERROR(__xludf.DUMMYFUNCTION("""COMPUTED_VALUE"""),"TOR")</f>
        <v>TOR</v>
      </c>
      <c r="E3716" s="164" t="str">
        <f>IFERROR(__xludf.DUMMYFUNCTION("""COMPUTED_VALUE"""),"Athletic Finisher")</f>
        <v>Athletic Finisher</v>
      </c>
      <c r="F3716" s="164">
        <f>IFERROR(__xludf.DUMMYFUNCTION("""COMPUTED_VALUE"""),381.673333333333)</f>
        <v>381.6733333</v>
      </c>
      <c r="G3716" s="163">
        <f>IFERROR(__xludf.DUMMYFUNCTION("""COMPUTED_VALUE"""),28.0)</f>
        <v>28</v>
      </c>
      <c r="H3716" s="163" t="str">
        <f>IFERROR(__xludf.DUMMYFUNCTION("""COMPUTED_VALUE"""),"PF")</f>
        <v>PF</v>
      </c>
      <c r="I3716" s="163">
        <f>IFERROR(__xludf.DUMMYFUNCTION("""COMPUTED_VALUE"""),24.0)</f>
        <v>24</v>
      </c>
      <c r="J3716" s="165">
        <f>IFERROR(__xludf.DUMMYFUNCTION("""COMPUTED_VALUE"""),-2.42581840829013)</f>
        <v>-2.425818408</v>
      </c>
      <c r="K3716" s="165">
        <f>IFERROR(__xludf.DUMMYFUNCTION("""COMPUTED_VALUE"""),-2.95717405249392)</f>
        <v>-2.957174052</v>
      </c>
      <c r="L3716" s="165">
        <f>IFERROR(__xludf.DUMMYFUNCTION("""COMPUTED_VALUE"""),0.53135564420379)</f>
        <v>0.5313556442</v>
      </c>
      <c r="M3716" s="166">
        <f t="shared" si="2"/>
        <v>-0.03074586322</v>
      </c>
      <c r="N3716" s="167">
        <f t="shared" si="3"/>
        <v>13.63119048</v>
      </c>
      <c r="O3716" s="163">
        <f t="shared" ref="O3716:Q3716" si="3720">rank(I3716,I:I)</f>
        <v>2361</v>
      </c>
      <c r="P3716" s="163">
        <f t="shared" si="3720"/>
        <v>3729</v>
      </c>
      <c r="Q3716" s="163">
        <f t="shared" si="3720"/>
        <v>3974</v>
      </c>
      <c r="R3716" s="163">
        <f>IFERROR(__xludf.DUMMYFUNCTION("RANK(M3716,filter(M:M,C:C=C3716))"),453.0)</f>
        <v>453</v>
      </c>
      <c r="S3716" s="161" t="b">
        <f t="shared" si="5"/>
        <v>0</v>
      </c>
      <c r="T3716" s="161" t="b">
        <f t="array" ref="T3716">index('Query Tool'!B:B,match(H3716,'Query Tool'!C:C,0))</f>
        <v>1</v>
      </c>
      <c r="U3716" s="161" t="b">
        <f t="array" ref="U3716">index('Query Tool'!B:B,match(C3716,'Query Tool'!C:C,0))</f>
        <v>1</v>
      </c>
      <c r="V3716" s="161" t="b">
        <f>F3716&gt;='Query Tool'!C$32</f>
        <v>0</v>
      </c>
      <c r="W3716" s="161" t="b">
        <f t="array" ref="W3716">index(Dropdowns!B:B,match(I3716,Dropdowns!A:A,0))</f>
        <v>1</v>
      </c>
      <c r="X3716" s="161" t="b">
        <f t="array" ref="X3716">index('Query Tool'!B:B,match(D3716,'Query Tool'!C:C,0))</f>
        <v>1</v>
      </c>
      <c r="Y3716" s="161" t="str">
        <f t="shared" si="6"/>
        <v>johnsst04,2020-21</v>
      </c>
      <c r="Z3716" s="168" t="str">
        <f t="array" ref="Z3716">iferror(index(I:I,match($A3716&amp;","&amp;index('Year Conversion'!$A:$A,match($C3716,'Year Conversion'!$B:$B,0)),$Y:$Y,0))-I3716,"")</f>
        <v/>
      </c>
      <c r="AA3716" s="168" t="str">
        <f t="array" ref="AA3716">iferror(index(J:J,match($A3716&amp;","&amp;index('Year Conversion'!$A:$A,match($C3716,'Year Conversion'!$B:$B,0)),$Y:$Y,0))-J3716,"")</f>
        <v/>
      </c>
      <c r="AB3716" s="168" t="str">
        <f t="array" ref="AB3716">iferror(index(K:K,match($A3716&amp;","&amp;index('Year Conversion'!$A:$A,match($C3716,'Year Conversion'!$B:$B,0)),$Y:$Y,0))-K3716,"")</f>
        <v/>
      </c>
      <c r="AC3716" s="168" t="str">
        <f t="shared" si="7"/>
        <v>TOR,2020-21</v>
      </c>
    </row>
    <row r="3717">
      <c r="A3717" s="161" t="str">
        <f>IFERROR(__xludf.DUMMYFUNCTION("""COMPUTED_VALUE"""),"portibo01")</f>
        <v>portibo01</v>
      </c>
      <c r="B3717" s="161" t="str">
        <f>IFERROR(__xludf.DUMMYFUNCTION("""COMPUTED_VALUE"""),"Bobby Portis")</f>
        <v>Bobby Portis</v>
      </c>
      <c r="C3717" s="162" t="str">
        <f>IFERROR(__xludf.DUMMYFUNCTION("""COMPUTED_VALUE"""),"2020-21")</f>
        <v>2020-21</v>
      </c>
      <c r="D3717" s="163" t="str">
        <f>IFERROR(__xludf.DUMMYFUNCTION("""COMPUTED_VALUE"""),"MIL")</f>
        <v>MIL</v>
      </c>
      <c r="E3717" s="164" t="str">
        <f>IFERROR(__xludf.DUMMYFUNCTION("""COMPUTED_VALUE"""),"Roll + Cut Big")</f>
        <v>Roll + Cut Big</v>
      </c>
      <c r="F3717" s="164">
        <f>IFERROR(__xludf.DUMMYFUNCTION("""COMPUTED_VALUE"""),669.1)</f>
        <v>669.1</v>
      </c>
      <c r="G3717" s="163">
        <f>IFERROR(__xludf.DUMMYFUNCTION("""COMPUTED_VALUE"""),31.0)</f>
        <v>31</v>
      </c>
      <c r="H3717" s="163" t="str">
        <f>IFERROR(__xludf.DUMMYFUNCTION("""COMPUTED_VALUE"""),"C")</f>
        <v>C</v>
      </c>
      <c r="I3717" s="163">
        <f>IFERROR(__xludf.DUMMYFUNCTION("""COMPUTED_VALUE"""),25.0)</f>
        <v>25</v>
      </c>
      <c r="J3717" s="165">
        <f>IFERROR(__xludf.DUMMYFUNCTION("""COMPUTED_VALUE"""),0.709044235333647)</f>
        <v>0.7090442353</v>
      </c>
      <c r="K3717" s="165">
        <f>IFERROR(__xludf.DUMMYFUNCTION("""COMPUTED_VALUE"""),0.393321782397487)</f>
        <v>0.3933217824</v>
      </c>
      <c r="L3717" s="165">
        <f>IFERROR(__xludf.DUMMYFUNCTION("""COMPUTED_VALUE"""),0.31572245293616)</f>
        <v>0.3157224529</v>
      </c>
      <c r="M3717" s="166">
        <f t="shared" si="2"/>
        <v>1.351156112</v>
      </c>
      <c r="N3717" s="167">
        <f t="shared" si="3"/>
        <v>21.58387097</v>
      </c>
      <c r="O3717" s="163">
        <f t="shared" ref="O3717:Q3717" si="3721">rank(I3717,I:I)</f>
        <v>1995</v>
      </c>
      <c r="P3717" s="163">
        <f t="shared" si="3721"/>
        <v>790</v>
      </c>
      <c r="Q3717" s="163">
        <f t="shared" si="3721"/>
        <v>835</v>
      </c>
      <c r="R3717" s="163">
        <f>IFERROR(__xludf.DUMMYFUNCTION("RANK(M3717,filter(M:M,C:C=C3717))"),92.0)</f>
        <v>92</v>
      </c>
      <c r="S3717" s="161" t="b">
        <f t="shared" si="5"/>
        <v>1</v>
      </c>
      <c r="T3717" s="161" t="b">
        <f t="array" ref="T3717">index('Query Tool'!B:B,match(H3717,'Query Tool'!C:C,0))</f>
        <v>1</v>
      </c>
      <c r="U3717" s="161" t="b">
        <f t="array" ref="U3717">index('Query Tool'!B:B,match(C3717,'Query Tool'!C:C,0))</f>
        <v>1</v>
      </c>
      <c r="V3717" s="161" t="b">
        <f>F3717&gt;='Query Tool'!C$32</f>
        <v>1</v>
      </c>
      <c r="W3717" s="161" t="b">
        <f t="array" ref="W3717">index(Dropdowns!B:B,match(I3717,Dropdowns!A:A,0))</f>
        <v>1</v>
      </c>
      <c r="X3717" s="161" t="b">
        <f t="array" ref="X3717">index('Query Tool'!B:B,match(D3717,'Query Tool'!C:C,0))</f>
        <v>1</v>
      </c>
      <c r="Y3717" s="161" t="str">
        <f t="shared" si="6"/>
        <v>portibo01,2020-21</v>
      </c>
      <c r="Z3717" s="168" t="str">
        <f t="array" ref="Z3717">iferror(index(I:I,match($A3717&amp;","&amp;index('Year Conversion'!$A:$A,match($C3717,'Year Conversion'!$B:$B,0)),$Y:$Y,0))-I3717,"")</f>
        <v/>
      </c>
      <c r="AA3717" s="168" t="str">
        <f t="array" ref="AA3717">iferror(index(J:J,match($A3717&amp;","&amp;index('Year Conversion'!$A:$A,match($C3717,'Year Conversion'!$B:$B,0)),$Y:$Y,0))-J3717,"")</f>
        <v/>
      </c>
      <c r="AB3717" s="168" t="str">
        <f t="array" ref="AB3717">iferror(index(K:K,match($A3717&amp;","&amp;index('Year Conversion'!$A:$A,match($C3717,'Year Conversion'!$B:$B,0)),$Y:$Y,0))-K3717,"")</f>
        <v/>
      </c>
      <c r="AC3717" s="168" t="str">
        <f t="shared" si="7"/>
        <v>MIL,2020-21</v>
      </c>
    </row>
    <row r="3718">
      <c r="A3718" s="161" t="str">
        <f>IFERROR(__xludf.DUMMYFUNCTION("""COMPUTED_VALUE"""),"looneke01")</f>
        <v>looneke01</v>
      </c>
      <c r="B3718" s="161" t="str">
        <f>IFERROR(__xludf.DUMMYFUNCTION("""COMPUTED_VALUE"""),"Kevon Looney")</f>
        <v>Kevon Looney</v>
      </c>
      <c r="C3718" s="162" t="str">
        <f>IFERROR(__xludf.DUMMYFUNCTION("""COMPUTED_VALUE"""),"2020-21")</f>
        <v>2020-21</v>
      </c>
      <c r="D3718" s="163" t="str">
        <f>IFERROR(__xludf.DUMMYFUNCTION("""COMPUTED_VALUE"""),"GSW")</f>
        <v>GSW</v>
      </c>
      <c r="E3718" s="164" t="str">
        <f>IFERROR(__xludf.DUMMYFUNCTION("""COMPUTED_VALUE"""),"Roll + Cut Big")</f>
        <v>Roll + Cut Big</v>
      </c>
      <c r="F3718" s="164">
        <f>IFERROR(__xludf.DUMMYFUNCTION("""COMPUTED_VALUE"""),307.491666666667)</f>
        <v>307.4916667</v>
      </c>
      <c r="G3718" s="163">
        <f>IFERROR(__xludf.DUMMYFUNCTION("""COMPUTED_VALUE"""),21.0)</f>
        <v>21</v>
      </c>
      <c r="H3718" s="163" t="str">
        <f>IFERROR(__xludf.DUMMYFUNCTION("""COMPUTED_VALUE"""),"C")</f>
        <v>C</v>
      </c>
      <c r="I3718" s="163">
        <f>IFERROR(__xludf.DUMMYFUNCTION("""COMPUTED_VALUE"""),24.0)</f>
        <v>24</v>
      </c>
      <c r="J3718" s="165">
        <f>IFERROR(__xludf.DUMMYFUNCTION("""COMPUTED_VALUE"""),-0.119531079137986)</f>
        <v>-0.1195310791</v>
      </c>
      <c r="K3718" s="165">
        <f>IFERROR(__xludf.DUMMYFUNCTION("""COMPUTED_VALUE"""),-0.424555044976617)</f>
        <v>-0.424555045</v>
      </c>
      <c r="L3718" s="165">
        <f>IFERROR(__xludf.DUMMYFUNCTION("""COMPUTED_VALUE"""),0.305023965838631)</f>
        <v>0.3050239658</v>
      </c>
      <c r="M3718" s="166">
        <f t="shared" si="2"/>
        <v>0.4492704255</v>
      </c>
      <c r="N3718" s="167">
        <f t="shared" si="3"/>
        <v>14.64246032</v>
      </c>
      <c r="O3718" s="163">
        <f t="shared" ref="O3718:Q3718" si="3722">rank(I3718,I:I)</f>
        <v>2361</v>
      </c>
      <c r="P3718" s="163">
        <f t="shared" si="3722"/>
        <v>1404</v>
      </c>
      <c r="Q3718" s="163">
        <f t="shared" si="3722"/>
        <v>1988</v>
      </c>
      <c r="R3718" s="163">
        <f>IFERROR(__xludf.DUMMYFUNCTION("RANK(M3718,filter(M:M,C:C=C3718))"),204.0)</f>
        <v>204</v>
      </c>
      <c r="S3718" s="161" t="b">
        <f t="shared" si="5"/>
        <v>0</v>
      </c>
      <c r="T3718" s="161" t="b">
        <f t="array" ref="T3718">index('Query Tool'!B:B,match(H3718,'Query Tool'!C:C,0))</f>
        <v>1</v>
      </c>
      <c r="U3718" s="161" t="b">
        <f t="array" ref="U3718">index('Query Tool'!B:B,match(C3718,'Query Tool'!C:C,0))</f>
        <v>1</v>
      </c>
      <c r="V3718" s="161" t="b">
        <f>F3718&gt;='Query Tool'!C$32</f>
        <v>0</v>
      </c>
      <c r="W3718" s="161" t="b">
        <f t="array" ref="W3718">index(Dropdowns!B:B,match(I3718,Dropdowns!A:A,0))</f>
        <v>1</v>
      </c>
      <c r="X3718" s="161" t="b">
        <f t="array" ref="X3718">index('Query Tool'!B:B,match(D3718,'Query Tool'!C:C,0))</f>
        <v>1</v>
      </c>
      <c r="Y3718" s="161" t="str">
        <f t="shared" si="6"/>
        <v>looneke01,2020-21</v>
      </c>
      <c r="Z3718" s="168" t="str">
        <f t="array" ref="Z3718">iferror(index(I:I,match($A3718&amp;","&amp;index('Year Conversion'!$A:$A,match($C3718,'Year Conversion'!$B:$B,0)),$Y:$Y,0))-I3718,"")</f>
        <v/>
      </c>
      <c r="AA3718" s="168" t="str">
        <f t="array" ref="AA3718">iferror(index(J:J,match($A3718&amp;","&amp;index('Year Conversion'!$A:$A,match($C3718,'Year Conversion'!$B:$B,0)),$Y:$Y,0))-J3718,"")</f>
        <v/>
      </c>
      <c r="AB3718" s="168" t="str">
        <f t="array" ref="AB3718">iferror(index(K:K,match($A3718&amp;","&amp;index('Year Conversion'!$A:$A,match($C3718,'Year Conversion'!$B:$B,0)),$Y:$Y,0))-K3718,"")</f>
        <v/>
      </c>
      <c r="AC3718" s="168" t="str">
        <f t="shared" si="7"/>
        <v>GSW,2020-21</v>
      </c>
    </row>
    <row r="3719">
      <c r="A3719" s="161" t="str">
        <f>IFERROR(__xludf.DUMMYFUNCTION("""COMPUTED_VALUE"""),"woodch01")</f>
        <v>woodch01</v>
      </c>
      <c r="B3719" s="161" t="str">
        <f>IFERROR(__xludf.DUMMYFUNCTION("""COMPUTED_VALUE"""),"Christian Wood")</f>
        <v>Christian Wood</v>
      </c>
      <c r="C3719" s="162" t="str">
        <f>IFERROR(__xludf.DUMMYFUNCTION("""COMPUTED_VALUE"""),"2020-21")</f>
        <v>2020-21</v>
      </c>
      <c r="D3719" s="163" t="str">
        <f>IFERROR(__xludf.DUMMYFUNCTION("""COMPUTED_VALUE"""),"HOU")</f>
        <v>HOU</v>
      </c>
      <c r="E3719" s="164" t="str">
        <f>IFERROR(__xludf.DUMMYFUNCTION("""COMPUTED_VALUE"""),"Stretch Big")</f>
        <v>Stretch Big</v>
      </c>
      <c r="F3719" s="164">
        <f>IFERROR(__xludf.DUMMYFUNCTION("""COMPUTED_VALUE"""),530.345)</f>
        <v>530.345</v>
      </c>
      <c r="G3719" s="163">
        <f>IFERROR(__xludf.DUMMYFUNCTION("""COMPUTED_VALUE"""),17.0)</f>
        <v>17</v>
      </c>
      <c r="H3719" s="163" t="str">
        <f>IFERROR(__xludf.DUMMYFUNCTION("""COMPUTED_VALUE"""),"C")</f>
        <v>C</v>
      </c>
      <c r="I3719" s="163">
        <f>IFERROR(__xludf.DUMMYFUNCTION("""COMPUTED_VALUE"""),25.0)</f>
        <v>25</v>
      </c>
      <c r="J3719" s="165">
        <f>IFERROR(__xludf.DUMMYFUNCTION("""COMPUTED_VALUE"""),2.46219826915916)</f>
        <v>2.462198269</v>
      </c>
      <c r="K3719" s="165">
        <f>IFERROR(__xludf.DUMMYFUNCTION("""COMPUTED_VALUE"""),1.22647759021631)</f>
        <v>1.22647759</v>
      </c>
      <c r="L3719" s="165">
        <f>IFERROR(__xludf.DUMMYFUNCTION("""COMPUTED_VALUE"""),1.23572067894285)</f>
        <v>1.235720679</v>
      </c>
      <c r="M3719" s="166">
        <f t="shared" si="2"/>
        <v>1.6906418</v>
      </c>
      <c r="N3719" s="167">
        <f t="shared" si="3"/>
        <v>31.19676471</v>
      </c>
      <c r="O3719" s="163">
        <f t="shared" ref="O3719:Q3719" si="3723">rank(I3719,I:I)</f>
        <v>1995</v>
      </c>
      <c r="P3719" s="163">
        <f t="shared" si="3723"/>
        <v>226</v>
      </c>
      <c r="Q3719" s="163">
        <f t="shared" si="3723"/>
        <v>410</v>
      </c>
      <c r="R3719" s="163">
        <f>IFERROR(__xludf.DUMMYFUNCTION("RANK(M3719,filter(M:M,C:C=C3719))"),67.0)</f>
        <v>67</v>
      </c>
      <c r="S3719" s="161" t="b">
        <f t="shared" si="5"/>
        <v>1</v>
      </c>
      <c r="T3719" s="161" t="b">
        <f t="array" ref="T3719">index('Query Tool'!B:B,match(H3719,'Query Tool'!C:C,0))</f>
        <v>1</v>
      </c>
      <c r="U3719" s="161" t="b">
        <f t="array" ref="U3719">index('Query Tool'!B:B,match(C3719,'Query Tool'!C:C,0))</f>
        <v>1</v>
      </c>
      <c r="V3719" s="161" t="b">
        <f>F3719&gt;='Query Tool'!C$32</f>
        <v>1</v>
      </c>
      <c r="W3719" s="161" t="b">
        <f t="array" ref="W3719">index(Dropdowns!B:B,match(I3719,Dropdowns!A:A,0))</f>
        <v>1</v>
      </c>
      <c r="X3719" s="161" t="b">
        <f t="array" ref="X3719">index('Query Tool'!B:B,match(D3719,'Query Tool'!C:C,0))</f>
        <v>1</v>
      </c>
      <c r="Y3719" s="161" t="str">
        <f t="shared" si="6"/>
        <v>woodch01,2020-21</v>
      </c>
      <c r="Z3719" s="168" t="str">
        <f t="array" ref="Z3719">iferror(index(I:I,match($A3719&amp;","&amp;index('Year Conversion'!$A:$A,match($C3719,'Year Conversion'!$B:$B,0)),$Y:$Y,0))-I3719,"")</f>
        <v/>
      </c>
      <c r="AA3719" s="168" t="str">
        <f t="array" ref="AA3719">iferror(index(J:J,match($A3719&amp;","&amp;index('Year Conversion'!$A:$A,match($C3719,'Year Conversion'!$B:$B,0)),$Y:$Y,0))-J3719,"")</f>
        <v/>
      </c>
      <c r="AB3719" s="168" t="str">
        <f t="array" ref="AB3719">iferror(index(K:K,match($A3719&amp;","&amp;index('Year Conversion'!$A:$A,match($C3719,'Year Conversion'!$B:$B,0)),$Y:$Y,0))-K3719,"")</f>
        <v/>
      </c>
      <c r="AC3719" s="168" t="str">
        <f t="shared" si="7"/>
        <v>HOU,2020-21</v>
      </c>
    </row>
    <row r="3720">
      <c r="A3720" s="161" t="str">
        <f>IFERROR(__xludf.DUMMYFUNCTION("""COMPUTED_VALUE"""),"roziete01")</f>
        <v>roziete01</v>
      </c>
      <c r="B3720" s="161" t="str">
        <f>IFERROR(__xludf.DUMMYFUNCTION("""COMPUTED_VALUE"""),"Terry Rozier")</f>
        <v>Terry Rozier</v>
      </c>
      <c r="C3720" s="162" t="str">
        <f>IFERROR(__xludf.DUMMYFUNCTION("""COMPUTED_VALUE"""),"2020-21")</f>
        <v>2020-21</v>
      </c>
      <c r="D3720" s="163" t="str">
        <f>IFERROR(__xludf.DUMMYFUNCTION("""COMPUTED_VALUE"""),"CHO")</f>
        <v>CHO</v>
      </c>
      <c r="E3720" s="164" t="str">
        <f>IFERROR(__xludf.DUMMYFUNCTION("""COMPUTED_VALUE"""),"Secondary Ball Handler")</f>
        <v>Secondary Ball Handler</v>
      </c>
      <c r="F3720" s="164">
        <f>IFERROR(__xludf.DUMMYFUNCTION("""COMPUTED_VALUE"""),905.706666666667)</f>
        <v>905.7066667</v>
      </c>
      <c r="G3720" s="163">
        <f>IFERROR(__xludf.DUMMYFUNCTION("""COMPUTED_VALUE"""),27.0)</f>
        <v>27</v>
      </c>
      <c r="H3720" s="163" t="str">
        <f>IFERROR(__xludf.DUMMYFUNCTION("""COMPUTED_VALUE"""),"SG")</f>
        <v>SG</v>
      </c>
      <c r="I3720" s="163">
        <f>IFERROR(__xludf.DUMMYFUNCTION("""COMPUTED_VALUE"""),26.0)</f>
        <v>26</v>
      </c>
      <c r="J3720" s="165">
        <f>IFERROR(__xludf.DUMMYFUNCTION("""COMPUTED_VALUE"""),-0.0826458797843088)</f>
        <v>-0.08264587978</v>
      </c>
      <c r="K3720" s="165">
        <f>IFERROR(__xludf.DUMMYFUNCTION("""COMPUTED_VALUE"""),1.09299857210077)</f>
        <v>1.092998572</v>
      </c>
      <c r="L3720" s="165">
        <f>IFERROR(__xludf.DUMMYFUNCTION("""COMPUTED_VALUE"""),-1.17564445188508)</f>
        <v>-1.175644452</v>
      </c>
      <c r="M3720" s="166">
        <f t="shared" si="2"/>
        <v>1.345833177</v>
      </c>
      <c r="N3720" s="167">
        <f t="shared" si="3"/>
        <v>33.54469136</v>
      </c>
      <c r="O3720" s="163">
        <f t="shared" ref="O3720:Q3720" si="3724">rank(I3720,I:I)</f>
        <v>1665</v>
      </c>
      <c r="P3720" s="163">
        <f t="shared" si="3724"/>
        <v>1369</v>
      </c>
      <c r="Q3720" s="163">
        <f t="shared" si="3724"/>
        <v>455</v>
      </c>
      <c r="R3720" s="163">
        <f>IFERROR(__xludf.DUMMYFUNCTION("RANK(M3720,filter(M:M,C:C=C3720))"),93.0)</f>
        <v>93</v>
      </c>
      <c r="S3720" s="161" t="b">
        <f t="shared" si="5"/>
        <v>1</v>
      </c>
      <c r="T3720" s="161" t="b">
        <f t="array" ref="T3720">index('Query Tool'!B:B,match(H3720,'Query Tool'!C:C,0))</f>
        <v>1</v>
      </c>
      <c r="U3720" s="161" t="b">
        <f t="array" ref="U3720">index('Query Tool'!B:B,match(C3720,'Query Tool'!C:C,0))</f>
        <v>1</v>
      </c>
      <c r="V3720" s="161" t="b">
        <f>F3720&gt;='Query Tool'!C$32</f>
        <v>1</v>
      </c>
      <c r="W3720" s="161" t="b">
        <f t="array" ref="W3720">index(Dropdowns!B:B,match(I3720,Dropdowns!A:A,0))</f>
        <v>1</v>
      </c>
      <c r="X3720" s="161" t="b">
        <f t="array" ref="X3720">index('Query Tool'!B:B,match(D3720,'Query Tool'!C:C,0))</f>
        <v>1</v>
      </c>
      <c r="Y3720" s="161" t="str">
        <f t="shared" si="6"/>
        <v>roziete01,2020-21</v>
      </c>
      <c r="Z3720" s="168" t="str">
        <f t="array" ref="Z3720">iferror(index(I:I,match($A3720&amp;","&amp;index('Year Conversion'!$A:$A,match($C3720,'Year Conversion'!$B:$B,0)),$Y:$Y,0))-I3720,"")</f>
        <v/>
      </c>
      <c r="AA3720" s="168" t="str">
        <f t="array" ref="AA3720">iferror(index(J:J,match($A3720&amp;","&amp;index('Year Conversion'!$A:$A,match($C3720,'Year Conversion'!$B:$B,0)),$Y:$Y,0))-J3720,"")</f>
        <v/>
      </c>
      <c r="AB3720" s="168" t="str">
        <f t="array" ref="AB3720">iferror(index(K:K,match($A3720&amp;","&amp;index('Year Conversion'!$A:$A,match($C3720,'Year Conversion'!$B:$B,0)),$Y:$Y,0))-K3720,"")</f>
        <v/>
      </c>
      <c r="AC3720" s="168" t="str">
        <f t="shared" si="7"/>
        <v>CHO,2020-21</v>
      </c>
    </row>
    <row r="3721">
      <c r="A3721" s="161" t="str">
        <f>IFERROR(__xludf.DUMMYFUNCTION("""COMPUTED_VALUE"""),"powelno01")</f>
        <v>powelno01</v>
      </c>
      <c r="B3721" s="161" t="str">
        <f>IFERROR(__xludf.DUMMYFUNCTION("""COMPUTED_VALUE"""),"Norman Powell")</f>
        <v>Norman Powell</v>
      </c>
      <c r="C3721" s="162" t="str">
        <f>IFERROR(__xludf.DUMMYFUNCTION("""COMPUTED_VALUE"""),"2020-21")</f>
        <v>2020-21</v>
      </c>
      <c r="D3721" s="163" t="str">
        <f>IFERROR(__xludf.DUMMYFUNCTION("""COMPUTED_VALUE"""),"TOR")</f>
        <v>TOR</v>
      </c>
      <c r="E3721" s="164" t="str">
        <f>IFERROR(__xludf.DUMMYFUNCTION("""COMPUTED_VALUE"""),"Movement Shooter")</f>
        <v>Movement Shooter</v>
      </c>
      <c r="F3721" s="164">
        <f>IFERROR(__xludf.DUMMYFUNCTION("""COMPUTED_VALUE"""),829.535)</f>
        <v>829.535</v>
      </c>
      <c r="G3721" s="163">
        <f>IFERROR(__xludf.DUMMYFUNCTION("""COMPUTED_VALUE"""),29.0)</f>
        <v>29</v>
      </c>
      <c r="H3721" s="163" t="str">
        <f>IFERROR(__xludf.DUMMYFUNCTION("""COMPUTED_VALUE"""),"SG")</f>
        <v>SG</v>
      </c>
      <c r="I3721" s="163">
        <f>IFERROR(__xludf.DUMMYFUNCTION("""COMPUTED_VALUE"""),27.0)</f>
        <v>27</v>
      </c>
      <c r="J3721" s="165">
        <f>IFERROR(__xludf.DUMMYFUNCTION("""COMPUTED_VALUE"""),-1.12507799762447)</f>
        <v>-1.125077998</v>
      </c>
      <c r="K3721" s="165">
        <f>IFERROR(__xludf.DUMMYFUNCTION("""COMPUTED_VALUE"""),-0.285455264546878)</f>
        <v>-0.2854552645</v>
      </c>
      <c r="L3721" s="165">
        <f>IFERROR(__xludf.DUMMYFUNCTION("""COMPUTED_VALUE"""),-0.839622733077596)</f>
        <v>-0.8396227331</v>
      </c>
      <c r="M3721" s="166">
        <f t="shared" si="2"/>
        <v>0.6507548857</v>
      </c>
      <c r="N3721" s="167">
        <f t="shared" si="3"/>
        <v>28.60465517</v>
      </c>
      <c r="O3721" s="163">
        <f t="shared" ref="O3721:Q3721" si="3725">rank(I3721,I:I)</f>
        <v>1366</v>
      </c>
      <c r="P3721" s="163">
        <f t="shared" si="3725"/>
        <v>2652</v>
      </c>
      <c r="Q3721" s="163">
        <f t="shared" si="3725"/>
        <v>1738</v>
      </c>
      <c r="R3721" s="163">
        <f>IFERROR(__xludf.DUMMYFUNCTION("RANK(M3721,filter(M:M,C:C=C3721))"),163.0)</f>
        <v>163</v>
      </c>
      <c r="S3721" s="161" t="b">
        <f t="shared" si="5"/>
        <v>1</v>
      </c>
      <c r="T3721" s="161" t="b">
        <f t="array" ref="T3721">index('Query Tool'!B:B,match(H3721,'Query Tool'!C:C,0))</f>
        <v>1</v>
      </c>
      <c r="U3721" s="161" t="b">
        <f t="array" ref="U3721">index('Query Tool'!B:B,match(C3721,'Query Tool'!C:C,0))</f>
        <v>1</v>
      </c>
      <c r="V3721" s="161" t="b">
        <f>F3721&gt;='Query Tool'!C$32</f>
        <v>1</v>
      </c>
      <c r="W3721" s="161" t="b">
        <f t="array" ref="W3721">index(Dropdowns!B:B,match(I3721,Dropdowns!A:A,0))</f>
        <v>1</v>
      </c>
      <c r="X3721" s="161" t="b">
        <f t="array" ref="X3721">index('Query Tool'!B:B,match(D3721,'Query Tool'!C:C,0))</f>
        <v>1</v>
      </c>
      <c r="Y3721" s="161" t="str">
        <f t="shared" si="6"/>
        <v>powelno01,2020-21</v>
      </c>
      <c r="Z3721" s="168" t="str">
        <f t="array" ref="Z3721">iferror(index(I:I,match($A3721&amp;","&amp;index('Year Conversion'!$A:$A,match($C3721,'Year Conversion'!$B:$B,0)),$Y:$Y,0))-I3721,"")</f>
        <v/>
      </c>
      <c r="AA3721" s="168" t="str">
        <f t="array" ref="AA3721">iferror(index(J:J,match($A3721&amp;","&amp;index('Year Conversion'!$A:$A,match($C3721,'Year Conversion'!$B:$B,0)),$Y:$Y,0))-J3721,"")</f>
        <v/>
      </c>
      <c r="AB3721" s="168" t="str">
        <f t="array" ref="AB3721">iferror(index(K:K,match($A3721&amp;","&amp;index('Year Conversion'!$A:$A,match($C3721,'Year Conversion'!$B:$B,0)),$Y:$Y,0))-K3721,"")</f>
        <v/>
      </c>
      <c r="AC3721" s="168" t="str">
        <f t="shared" si="7"/>
        <v>TOR,2020-21</v>
      </c>
    </row>
    <row r="3722">
      <c r="A3722" s="161" t="str">
        <f>IFERROR(__xludf.DUMMYFUNCTION("""COMPUTED_VALUE"""),"randlch01")</f>
        <v>randlch01</v>
      </c>
      <c r="B3722" s="161" t="str">
        <f>IFERROR(__xludf.DUMMYFUNCTION("""COMPUTED_VALUE"""),"Chasson Randle")</f>
        <v>Chasson Randle</v>
      </c>
      <c r="C3722" s="162" t="str">
        <f>IFERROR(__xludf.DUMMYFUNCTION("""COMPUTED_VALUE"""),"2020-21")</f>
        <v>2020-21</v>
      </c>
      <c r="D3722" s="163" t="str">
        <f>IFERROR(__xludf.DUMMYFUNCTION("""COMPUTED_VALUE"""),"ORL")</f>
        <v>ORL</v>
      </c>
      <c r="E3722" s="164" t="str">
        <f>IFERROR(__xludf.DUMMYFUNCTION("""COMPUTED_VALUE"""),"Low Minutes")</f>
        <v>Low Minutes</v>
      </c>
      <c r="F3722" s="164">
        <f>IFERROR(__xludf.DUMMYFUNCTION("""COMPUTED_VALUE"""),54.0333333333334)</f>
        <v>54.03333333</v>
      </c>
      <c r="G3722" s="163">
        <f>IFERROR(__xludf.DUMMYFUNCTION("""COMPUTED_VALUE"""),3.0)</f>
        <v>3</v>
      </c>
      <c r="H3722" s="163" t="str">
        <f>IFERROR(__xludf.DUMMYFUNCTION("""COMPUTED_VALUE"""),"PG")</f>
        <v>PG</v>
      </c>
      <c r="I3722" s="163">
        <f>IFERROR(__xludf.DUMMYFUNCTION("""COMPUTED_VALUE"""),27.0)</f>
        <v>27</v>
      </c>
      <c r="J3722" s="165">
        <f>IFERROR(__xludf.DUMMYFUNCTION("""COMPUTED_VALUE"""),-0.22131955642095)</f>
        <v>-0.2213195564</v>
      </c>
      <c r="K3722" s="165">
        <f>IFERROR(__xludf.DUMMYFUNCTION("""COMPUTED_VALUE"""),-0.901917926274512)</f>
        <v>-0.9019179263</v>
      </c>
      <c r="L3722" s="165">
        <f>IFERROR(__xludf.DUMMYFUNCTION("""COMPUTED_VALUE"""),0.680598369853563)</f>
        <v>0.6805983699</v>
      </c>
      <c r="M3722" s="166">
        <f t="shared" si="2"/>
        <v>0.07523954864</v>
      </c>
      <c r="N3722" s="167">
        <f t="shared" si="3"/>
        <v>18.01111111</v>
      </c>
      <c r="O3722" s="163">
        <f t="shared" ref="O3722:Q3722" si="3726">rank(I3722,I:I)</f>
        <v>1366</v>
      </c>
      <c r="P3722" s="163">
        <f t="shared" si="3726"/>
        <v>1526</v>
      </c>
      <c r="Q3722" s="163">
        <f t="shared" si="3726"/>
        <v>2693</v>
      </c>
      <c r="R3722" s="163">
        <f>IFERROR(__xludf.DUMMYFUNCTION("RANK(M3722,filter(M:M,C:C=C3722))"),351.0)</f>
        <v>351</v>
      </c>
      <c r="S3722" s="161" t="b">
        <f t="shared" si="5"/>
        <v>0</v>
      </c>
      <c r="T3722" s="161" t="b">
        <f t="array" ref="T3722">index('Query Tool'!B:B,match(H3722,'Query Tool'!C:C,0))</f>
        <v>1</v>
      </c>
      <c r="U3722" s="161" t="b">
        <f t="array" ref="U3722">index('Query Tool'!B:B,match(C3722,'Query Tool'!C:C,0))</f>
        <v>1</v>
      </c>
      <c r="V3722" s="161" t="b">
        <f>F3722&gt;='Query Tool'!C$32</f>
        <v>0</v>
      </c>
      <c r="W3722" s="161" t="b">
        <f t="array" ref="W3722">index(Dropdowns!B:B,match(I3722,Dropdowns!A:A,0))</f>
        <v>1</v>
      </c>
      <c r="X3722" s="161" t="b">
        <f t="array" ref="X3722">index('Query Tool'!B:B,match(D3722,'Query Tool'!C:C,0))</f>
        <v>1</v>
      </c>
      <c r="Y3722" s="161" t="str">
        <f t="shared" si="6"/>
        <v>randlch01,2020-21</v>
      </c>
      <c r="Z3722" s="168" t="str">
        <f t="array" ref="Z3722">iferror(index(I:I,match($A3722&amp;","&amp;index('Year Conversion'!$A:$A,match($C3722,'Year Conversion'!$B:$B,0)),$Y:$Y,0))-I3722,"")</f>
        <v/>
      </c>
      <c r="AA3722" s="168" t="str">
        <f t="array" ref="AA3722">iferror(index(J:J,match($A3722&amp;","&amp;index('Year Conversion'!$A:$A,match($C3722,'Year Conversion'!$B:$B,0)),$Y:$Y,0))-J3722,"")</f>
        <v/>
      </c>
      <c r="AB3722" s="168" t="str">
        <f t="array" ref="AB3722">iferror(index(K:K,match($A3722&amp;","&amp;index('Year Conversion'!$A:$A,match($C3722,'Year Conversion'!$B:$B,0)),$Y:$Y,0))-K3722,"")</f>
        <v/>
      </c>
      <c r="AC3722" s="168" t="str">
        <f t="shared" si="7"/>
        <v>ORL,2020-21</v>
      </c>
    </row>
    <row r="3723">
      <c r="A3723" s="161" t="str">
        <f>IFERROR(__xludf.DUMMYFUNCTION("""COMPUTED_VALUE"""),"cookqu01")</f>
        <v>cookqu01</v>
      </c>
      <c r="B3723" s="161" t="str">
        <f>IFERROR(__xludf.DUMMYFUNCTION("""COMPUTED_VALUE"""),"Quinn Cook")</f>
        <v>Quinn Cook</v>
      </c>
      <c r="C3723" s="162" t="str">
        <f>IFERROR(__xludf.DUMMYFUNCTION("""COMPUTED_VALUE"""),"2020-21")</f>
        <v>2020-21</v>
      </c>
      <c r="D3723" s="163" t="str">
        <f>IFERROR(__xludf.DUMMYFUNCTION("""COMPUTED_VALUE"""),"LAL")</f>
        <v>LAL</v>
      </c>
      <c r="E3723" s="164" t="str">
        <f>IFERROR(__xludf.DUMMYFUNCTION("""COMPUTED_VALUE"""),"Secondary Ball Handler")</f>
        <v>Secondary Ball Handler</v>
      </c>
      <c r="F3723" s="164">
        <f>IFERROR(__xludf.DUMMYFUNCTION("""COMPUTED_VALUE"""),62.0833333333333)</f>
        <v>62.08333333</v>
      </c>
      <c r="G3723" s="163">
        <f>IFERROR(__xludf.DUMMYFUNCTION("""COMPUTED_VALUE"""),16.0)</f>
        <v>16</v>
      </c>
      <c r="H3723" s="163" t="str">
        <f>IFERROR(__xludf.DUMMYFUNCTION("""COMPUTED_VALUE"""),"PG")</f>
        <v>PG</v>
      </c>
      <c r="I3723" s="163">
        <f>IFERROR(__xludf.DUMMYFUNCTION("""COMPUTED_VALUE"""),27.0)</f>
        <v>27</v>
      </c>
      <c r="J3723" s="165">
        <f>IFERROR(__xludf.DUMMYFUNCTION("""COMPUTED_VALUE"""),-0.981659002742812)</f>
        <v>-0.9816590027</v>
      </c>
      <c r="K3723" s="165">
        <f>IFERROR(__xludf.DUMMYFUNCTION("""COMPUTED_VALUE"""),-0.23172940355627)</f>
        <v>-0.2317294036</v>
      </c>
      <c r="L3723" s="165">
        <f>IFERROR(__xludf.DUMMYFUNCTION("""COMPUTED_VALUE"""),-0.749929599186542)</f>
        <v>-0.7499295992</v>
      </c>
      <c r="M3723" s="166">
        <f t="shared" si="2"/>
        <v>0.05467845078</v>
      </c>
      <c r="N3723" s="167">
        <f t="shared" si="3"/>
        <v>3.880208333</v>
      </c>
      <c r="O3723" s="163">
        <f t="shared" ref="O3723:Q3723" si="3727">rank(I3723,I:I)</f>
        <v>1366</v>
      </c>
      <c r="P3723" s="163">
        <f t="shared" si="3727"/>
        <v>2484</v>
      </c>
      <c r="Q3723" s="163">
        <f t="shared" si="3727"/>
        <v>1627</v>
      </c>
      <c r="R3723" s="163">
        <f>IFERROR(__xludf.DUMMYFUNCTION("RANK(M3723,filter(M:M,C:C=C3723))"),374.0)</f>
        <v>374</v>
      </c>
      <c r="S3723" s="161" t="b">
        <f t="shared" si="5"/>
        <v>0</v>
      </c>
      <c r="T3723" s="161" t="b">
        <f t="array" ref="T3723">index('Query Tool'!B:B,match(H3723,'Query Tool'!C:C,0))</f>
        <v>1</v>
      </c>
      <c r="U3723" s="161" t="b">
        <f t="array" ref="U3723">index('Query Tool'!B:B,match(C3723,'Query Tool'!C:C,0))</f>
        <v>1</v>
      </c>
      <c r="V3723" s="161" t="b">
        <f>F3723&gt;='Query Tool'!C$32</f>
        <v>0</v>
      </c>
      <c r="W3723" s="161" t="b">
        <f t="array" ref="W3723">index(Dropdowns!B:B,match(I3723,Dropdowns!A:A,0))</f>
        <v>1</v>
      </c>
      <c r="X3723" s="161" t="b">
        <f t="array" ref="X3723">index('Query Tool'!B:B,match(D3723,'Query Tool'!C:C,0))</f>
        <v>1</v>
      </c>
      <c r="Y3723" s="161" t="str">
        <f t="shared" si="6"/>
        <v>cookqu01,2020-21</v>
      </c>
      <c r="Z3723" s="168" t="str">
        <f t="array" ref="Z3723">iferror(index(I:I,match($A3723&amp;","&amp;index('Year Conversion'!$A:$A,match($C3723,'Year Conversion'!$B:$B,0)),$Y:$Y,0))-I3723,"")</f>
        <v/>
      </c>
      <c r="AA3723" s="168" t="str">
        <f t="array" ref="AA3723">iferror(index(J:J,match($A3723&amp;","&amp;index('Year Conversion'!$A:$A,match($C3723,'Year Conversion'!$B:$B,0)),$Y:$Y,0))-J3723,"")</f>
        <v/>
      </c>
      <c r="AB3723" s="168" t="str">
        <f t="array" ref="AB3723">iferror(index(K:K,match($A3723&amp;","&amp;index('Year Conversion'!$A:$A,match($C3723,'Year Conversion'!$B:$B,0)),$Y:$Y,0))-K3723,"")</f>
        <v/>
      </c>
      <c r="AC3723" s="168" t="str">
        <f t="shared" si="7"/>
        <v>LAL,2020-21</v>
      </c>
    </row>
    <row r="3724">
      <c r="A3724" s="161" t="str">
        <f>IFERROR(__xludf.DUMMYFUNCTION("""COMPUTED_VALUE"""),"connapa01")</f>
        <v>connapa01</v>
      </c>
      <c r="B3724" s="161" t="str">
        <f>IFERROR(__xludf.DUMMYFUNCTION("""COMPUTED_VALUE"""),"Pat Connaughton")</f>
        <v>Pat Connaughton</v>
      </c>
      <c r="C3724" s="162" t="str">
        <f>IFERROR(__xludf.DUMMYFUNCTION("""COMPUTED_VALUE"""),"2020-21")</f>
        <v>2020-21</v>
      </c>
      <c r="D3724" s="163" t="str">
        <f>IFERROR(__xludf.DUMMYFUNCTION("""COMPUTED_VALUE"""),"MIL")</f>
        <v>MIL</v>
      </c>
      <c r="E3724" s="164" t="str">
        <f>IFERROR(__xludf.DUMMYFUNCTION("""COMPUTED_VALUE"""),"Athletic Finisher")</f>
        <v>Athletic Finisher</v>
      </c>
      <c r="F3724" s="164">
        <f>IFERROR(__xludf.DUMMYFUNCTION("""COMPUTED_VALUE"""),559.686666666667)</f>
        <v>559.6866667</v>
      </c>
      <c r="G3724" s="163">
        <f>IFERROR(__xludf.DUMMYFUNCTION("""COMPUTED_VALUE"""),28.0)</f>
        <v>28</v>
      </c>
      <c r="H3724" s="163" t="str">
        <f>IFERROR(__xludf.DUMMYFUNCTION("""COMPUTED_VALUE"""),"SG")</f>
        <v>SG</v>
      </c>
      <c r="I3724" s="163">
        <f>IFERROR(__xludf.DUMMYFUNCTION("""COMPUTED_VALUE"""),28.0)</f>
        <v>28</v>
      </c>
      <c r="J3724" s="165">
        <f>IFERROR(__xludf.DUMMYFUNCTION("""COMPUTED_VALUE"""),0.746100877347718)</f>
        <v>0.7461008773</v>
      </c>
      <c r="K3724" s="165">
        <f>IFERROR(__xludf.DUMMYFUNCTION("""COMPUTED_VALUE"""),0.0103998749302688)</f>
        <v>0.01039987493</v>
      </c>
      <c r="L3724" s="165">
        <f>IFERROR(__xludf.DUMMYFUNCTION("""COMPUTED_VALUE"""),0.735701002417449)</f>
        <v>0.7357010024</v>
      </c>
      <c r="M3724" s="166">
        <f t="shared" si="2"/>
        <v>1.144162781</v>
      </c>
      <c r="N3724" s="167">
        <f t="shared" si="3"/>
        <v>19.98880952</v>
      </c>
      <c r="O3724" s="163">
        <f t="shared" ref="O3724:Q3724" si="3728">rank(I3724,I:I)</f>
        <v>1090</v>
      </c>
      <c r="P3724" s="163">
        <f t="shared" si="3728"/>
        <v>770</v>
      </c>
      <c r="Q3724" s="163">
        <f t="shared" si="3728"/>
        <v>1188</v>
      </c>
      <c r="R3724" s="163">
        <f>IFERROR(__xludf.DUMMYFUNCTION("RANK(M3724,filter(M:M,C:C=C3724))"),106.0)</f>
        <v>106</v>
      </c>
      <c r="S3724" s="161" t="b">
        <f t="shared" si="5"/>
        <v>1</v>
      </c>
      <c r="T3724" s="161" t="b">
        <f t="array" ref="T3724">index('Query Tool'!B:B,match(H3724,'Query Tool'!C:C,0))</f>
        <v>1</v>
      </c>
      <c r="U3724" s="161" t="b">
        <f t="array" ref="U3724">index('Query Tool'!B:B,match(C3724,'Query Tool'!C:C,0))</f>
        <v>1</v>
      </c>
      <c r="V3724" s="161" t="b">
        <f>F3724&gt;='Query Tool'!C$32</f>
        <v>1</v>
      </c>
      <c r="W3724" s="161" t="b">
        <f t="array" ref="W3724">index(Dropdowns!B:B,match(I3724,Dropdowns!A:A,0))</f>
        <v>1</v>
      </c>
      <c r="X3724" s="161" t="b">
        <f t="array" ref="X3724">index('Query Tool'!B:B,match(D3724,'Query Tool'!C:C,0))</f>
        <v>1</v>
      </c>
      <c r="Y3724" s="161" t="str">
        <f t="shared" si="6"/>
        <v>connapa01,2020-21</v>
      </c>
      <c r="Z3724" s="168" t="str">
        <f t="array" ref="Z3724">iferror(index(I:I,match($A3724&amp;","&amp;index('Year Conversion'!$A:$A,match($C3724,'Year Conversion'!$B:$B,0)),$Y:$Y,0))-I3724,"")</f>
        <v/>
      </c>
      <c r="AA3724" s="168" t="str">
        <f t="array" ref="AA3724">iferror(index(J:J,match($A3724&amp;","&amp;index('Year Conversion'!$A:$A,match($C3724,'Year Conversion'!$B:$B,0)),$Y:$Y,0))-J3724,"")</f>
        <v/>
      </c>
      <c r="AB3724" s="168" t="str">
        <f t="array" ref="AB3724">iferror(index(K:K,match($A3724&amp;","&amp;index('Year Conversion'!$A:$A,match($C3724,'Year Conversion'!$B:$B,0)),$Y:$Y,0))-K3724,"")</f>
        <v/>
      </c>
      <c r="AC3724" s="168" t="str">
        <f t="shared" si="7"/>
        <v>MIL,2020-21</v>
      </c>
    </row>
    <row r="3725">
      <c r="A3725" s="161" t="str">
        <f>IFERROR(__xludf.DUMMYFUNCTION("""COMPUTED_VALUE"""),"hernawi01")</f>
        <v>hernawi01</v>
      </c>
      <c r="B3725" s="161" t="str">
        <f>IFERROR(__xludf.DUMMYFUNCTION("""COMPUTED_VALUE"""),"Willy Hernangomez")</f>
        <v>Willy Hernangomez</v>
      </c>
      <c r="C3725" s="162" t="str">
        <f>IFERROR(__xludf.DUMMYFUNCTION("""COMPUTED_VALUE"""),"2020-21")</f>
        <v>2020-21</v>
      </c>
      <c r="D3725" s="163" t="str">
        <f>IFERROR(__xludf.DUMMYFUNCTION("""COMPUTED_VALUE"""),"NOP")</f>
        <v>NOP</v>
      </c>
      <c r="E3725" s="164" t="str">
        <f>IFERROR(__xludf.DUMMYFUNCTION("""COMPUTED_VALUE"""),"Roll + Cut Big")</f>
        <v>Roll + Cut Big</v>
      </c>
      <c r="F3725" s="164">
        <f>IFERROR(__xludf.DUMMYFUNCTION("""COMPUTED_VALUE"""),268.186666666667)</f>
        <v>268.1866667</v>
      </c>
      <c r="G3725" s="163">
        <f>IFERROR(__xludf.DUMMYFUNCTION("""COMPUTED_VALUE"""),15.0)</f>
        <v>15</v>
      </c>
      <c r="H3725" s="163" t="str">
        <f>IFERROR(__xludf.DUMMYFUNCTION("""COMPUTED_VALUE"""),"C")</f>
        <v>C</v>
      </c>
      <c r="I3725" s="163">
        <f>IFERROR(__xludf.DUMMYFUNCTION("""COMPUTED_VALUE"""),26.0)</f>
        <v>26</v>
      </c>
      <c r="J3725" s="165">
        <f>IFERROR(__xludf.DUMMYFUNCTION("""COMPUTED_VALUE"""),0.763223444203304)</f>
        <v>0.7632234442</v>
      </c>
      <c r="K3725" s="165">
        <f>IFERROR(__xludf.DUMMYFUNCTION("""COMPUTED_VALUE"""),0.011274861551183)</f>
        <v>0.01127486155</v>
      </c>
      <c r="L3725" s="165">
        <f>IFERROR(__xludf.DUMMYFUNCTION("""COMPUTED_VALUE"""),0.751948582652121)</f>
        <v>0.7519485827</v>
      </c>
      <c r="M3725" s="166">
        <f t="shared" si="2"/>
        <v>0.551340337</v>
      </c>
      <c r="N3725" s="167">
        <f t="shared" si="3"/>
        <v>17.87911111</v>
      </c>
      <c r="O3725" s="163">
        <f t="shared" ref="O3725:Q3725" si="3729">rank(I3725,I:I)</f>
        <v>1665</v>
      </c>
      <c r="P3725" s="163">
        <f t="shared" si="3729"/>
        <v>763</v>
      </c>
      <c r="Q3725" s="163">
        <f t="shared" si="3729"/>
        <v>1183</v>
      </c>
      <c r="R3725" s="163">
        <f>IFERROR(__xludf.DUMMYFUNCTION("RANK(M3725,filter(M:M,C:C=C3725))"),181.0)</f>
        <v>181</v>
      </c>
      <c r="S3725" s="161" t="b">
        <f t="shared" si="5"/>
        <v>0</v>
      </c>
      <c r="T3725" s="161" t="b">
        <f t="array" ref="T3725">index('Query Tool'!B:B,match(H3725,'Query Tool'!C:C,0))</f>
        <v>1</v>
      </c>
      <c r="U3725" s="161" t="b">
        <f t="array" ref="U3725">index('Query Tool'!B:B,match(C3725,'Query Tool'!C:C,0))</f>
        <v>1</v>
      </c>
      <c r="V3725" s="161" t="b">
        <f>F3725&gt;='Query Tool'!C$32</f>
        <v>0</v>
      </c>
      <c r="W3725" s="161" t="b">
        <f t="array" ref="W3725">index(Dropdowns!B:B,match(I3725,Dropdowns!A:A,0))</f>
        <v>1</v>
      </c>
      <c r="X3725" s="161" t="b">
        <f t="array" ref="X3725">index('Query Tool'!B:B,match(D3725,'Query Tool'!C:C,0))</f>
        <v>1</v>
      </c>
      <c r="Y3725" s="161" t="str">
        <f t="shared" si="6"/>
        <v>hernawi01,2020-21</v>
      </c>
      <c r="Z3725" s="168" t="str">
        <f t="array" ref="Z3725">iferror(index(I:I,match($A3725&amp;","&amp;index('Year Conversion'!$A:$A,match($C3725,'Year Conversion'!$B:$B,0)),$Y:$Y,0))-I3725,"")</f>
        <v/>
      </c>
      <c r="AA3725" s="168" t="str">
        <f t="array" ref="AA3725">iferror(index(J:J,match($A3725&amp;","&amp;index('Year Conversion'!$A:$A,match($C3725,'Year Conversion'!$B:$B,0)),$Y:$Y,0))-J3725,"")</f>
        <v/>
      </c>
      <c r="AB3725" s="168" t="str">
        <f t="array" ref="AB3725">iferror(index(K:K,match($A3725&amp;","&amp;index('Year Conversion'!$A:$A,match($C3725,'Year Conversion'!$B:$B,0)),$Y:$Y,0))-K3725,"")</f>
        <v/>
      </c>
      <c r="AC3725" s="168" t="str">
        <f t="shared" si="7"/>
        <v>NOP,2020-21</v>
      </c>
    </row>
    <row r="3726">
      <c r="A3726" s="161" t="str">
        <f>IFERROR(__xludf.DUMMYFUNCTION("""COMPUTED_VALUE"""),"richajo01")</f>
        <v>richajo01</v>
      </c>
      <c r="B3726" s="161" t="str">
        <f>IFERROR(__xludf.DUMMYFUNCTION("""COMPUTED_VALUE"""),"Josh Richardson")</f>
        <v>Josh Richardson</v>
      </c>
      <c r="C3726" s="162" t="str">
        <f>IFERROR(__xludf.DUMMYFUNCTION("""COMPUTED_VALUE"""),"2020-21")</f>
        <v>2020-21</v>
      </c>
      <c r="D3726" s="163" t="str">
        <f>IFERROR(__xludf.DUMMYFUNCTION("""COMPUTED_VALUE"""),"DAL")</f>
        <v>DAL</v>
      </c>
      <c r="E3726" s="164" t="str">
        <f>IFERROR(__xludf.DUMMYFUNCTION("""COMPUTED_VALUE"""),"Movement Shooter")</f>
        <v>Movement Shooter</v>
      </c>
      <c r="F3726" s="164">
        <f>IFERROR(__xludf.DUMMYFUNCTION("""COMPUTED_VALUE"""),601.176666666667)</f>
        <v>601.1766667</v>
      </c>
      <c r="G3726" s="163">
        <f>IFERROR(__xludf.DUMMYFUNCTION("""COMPUTED_VALUE"""),19.0)</f>
        <v>19</v>
      </c>
      <c r="H3726" s="163" t="str">
        <f>IFERROR(__xludf.DUMMYFUNCTION("""COMPUTED_VALUE"""),"SG")</f>
        <v>SG</v>
      </c>
      <c r="I3726" s="163">
        <f>IFERROR(__xludf.DUMMYFUNCTION("""COMPUTED_VALUE"""),27.0)</f>
        <v>27</v>
      </c>
      <c r="J3726" s="165">
        <f>IFERROR(__xludf.DUMMYFUNCTION("""COMPUTED_VALUE"""),-1.31155478905942)</f>
        <v>-1.311554789</v>
      </c>
      <c r="K3726" s="165">
        <f>IFERROR(__xludf.DUMMYFUNCTION("""COMPUTED_VALUE"""),0.191432127034771)</f>
        <v>0.191432127</v>
      </c>
      <c r="L3726" s="165">
        <f>IFERROR(__xludf.DUMMYFUNCTION("""COMPUTED_VALUE"""),-1.50298691609419)</f>
        <v>-1.502986916</v>
      </c>
      <c r="M3726" s="166">
        <f t="shared" si="2"/>
        <v>0.3964981103</v>
      </c>
      <c r="N3726" s="167">
        <f t="shared" si="3"/>
        <v>31.64087719</v>
      </c>
      <c r="O3726" s="163">
        <f t="shared" ref="O3726:Q3726" si="3730">rank(I3726,I:I)</f>
        <v>1366</v>
      </c>
      <c r="P3726" s="163">
        <f t="shared" si="3730"/>
        <v>2874</v>
      </c>
      <c r="Q3726" s="163">
        <f t="shared" si="3730"/>
        <v>989</v>
      </c>
      <c r="R3726" s="163">
        <f>IFERROR(__xludf.DUMMYFUNCTION("RANK(M3726,filter(M:M,C:C=C3726))"),217.0)</f>
        <v>217</v>
      </c>
      <c r="S3726" s="161" t="b">
        <f t="shared" si="5"/>
        <v>1</v>
      </c>
      <c r="T3726" s="161" t="b">
        <f t="array" ref="T3726">index('Query Tool'!B:B,match(H3726,'Query Tool'!C:C,0))</f>
        <v>1</v>
      </c>
      <c r="U3726" s="161" t="b">
        <f t="array" ref="U3726">index('Query Tool'!B:B,match(C3726,'Query Tool'!C:C,0))</f>
        <v>1</v>
      </c>
      <c r="V3726" s="161" t="b">
        <f>F3726&gt;='Query Tool'!C$32</f>
        <v>1</v>
      </c>
      <c r="W3726" s="161" t="b">
        <f t="array" ref="W3726">index(Dropdowns!B:B,match(I3726,Dropdowns!A:A,0))</f>
        <v>1</v>
      </c>
      <c r="X3726" s="161" t="b">
        <f t="array" ref="X3726">index('Query Tool'!B:B,match(D3726,'Query Tool'!C:C,0))</f>
        <v>1</v>
      </c>
      <c r="Y3726" s="161" t="str">
        <f t="shared" si="6"/>
        <v>richajo01,2020-21</v>
      </c>
      <c r="Z3726" s="168" t="str">
        <f t="array" ref="Z3726">iferror(index(I:I,match($A3726&amp;","&amp;index('Year Conversion'!$A:$A,match($C3726,'Year Conversion'!$B:$B,0)),$Y:$Y,0))-I3726,"")</f>
        <v/>
      </c>
      <c r="AA3726" s="168" t="str">
        <f t="array" ref="AA3726">iferror(index(J:J,match($A3726&amp;","&amp;index('Year Conversion'!$A:$A,match($C3726,'Year Conversion'!$B:$B,0)),$Y:$Y,0))-J3726,"")</f>
        <v/>
      </c>
      <c r="AB3726" s="168" t="str">
        <f t="array" ref="AB3726">iferror(index(K:K,match($A3726&amp;","&amp;index('Year Conversion'!$A:$A,match($C3726,'Year Conversion'!$B:$B,0)),$Y:$Y,0))-K3726,"")</f>
        <v/>
      </c>
      <c r="AC3726" s="168" t="str">
        <f t="shared" si="7"/>
        <v>DAL,2020-21</v>
      </c>
    </row>
    <row r="3727">
      <c r="A3727" s="161" t="str">
        <f>IFERROR(__xludf.DUMMYFUNCTION("""COMPUTED_VALUE"""),"nancela02")</f>
        <v>nancela02</v>
      </c>
      <c r="B3727" s="161" t="str">
        <f>IFERROR(__xludf.DUMMYFUNCTION("""COMPUTED_VALUE"""),"Larry Nance Jr.")</f>
        <v>Larry Nance Jr.</v>
      </c>
      <c r="C3727" s="162" t="str">
        <f>IFERROR(__xludf.DUMMYFUNCTION("""COMPUTED_VALUE"""),"2020-21")</f>
        <v>2020-21</v>
      </c>
      <c r="D3727" s="163" t="str">
        <f>IFERROR(__xludf.DUMMYFUNCTION("""COMPUTED_VALUE"""),"CLE")</f>
        <v>CLE</v>
      </c>
      <c r="E3727" s="164" t="str">
        <f>IFERROR(__xludf.DUMMYFUNCTION("""COMPUTED_VALUE"""),"Stretch Big")</f>
        <v>Stretch Big</v>
      </c>
      <c r="F3727" s="164">
        <f>IFERROR(__xludf.DUMMYFUNCTION("""COMPUTED_VALUE"""),635.043333333334)</f>
        <v>635.0433333</v>
      </c>
      <c r="G3727" s="163">
        <f>IFERROR(__xludf.DUMMYFUNCTION("""COMPUTED_VALUE"""),19.0)</f>
        <v>19</v>
      </c>
      <c r="H3727" s="163" t="str">
        <f>IFERROR(__xludf.DUMMYFUNCTION("""COMPUTED_VALUE"""),"PF")</f>
        <v>PF</v>
      </c>
      <c r="I3727" s="163">
        <f>IFERROR(__xludf.DUMMYFUNCTION("""COMPUTED_VALUE"""),28.0)</f>
        <v>28</v>
      </c>
      <c r="J3727" s="165">
        <f>IFERROR(__xludf.DUMMYFUNCTION("""COMPUTED_VALUE"""),1.07571928791871)</f>
        <v>1.075719288</v>
      </c>
      <c r="K3727" s="165">
        <f>IFERROR(__xludf.DUMMYFUNCTION("""COMPUTED_VALUE"""),-1.40112155022158)</f>
        <v>-1.40112155</v>
      </c>
      <c r="L3727" s="165">
        <f>IFERROR(__xludf.DUMMYFUNCTION("""COMPUTED_VALUE"""),2.47684083814029)</f>
        <v>2.476840838</v>
      </c>
      <c r="M3727" s="166">
        <f t="shared" si="2"/>
        <v>1.438844389</v>
      </c>
      <c r="N3727" s="167">
        <f t="shared" si="3"/>
        <v>33.42333333</v>
      </c>
      <c r="O3727" s="163">
        <f t="shared" ref="O3727:Q3727" si="3731">rank(I3727,I:I)</f>
        <v>1090</v>
      </c>
      <c r="P3727" s="163">
        <f t="shared" si="3731"/>
        <v>630</v>
      </c>
      <c r="Q3727" s="163">
        <f t="shared" si="3731"/>
        <v>3252</v>
      </c>
      <c r="R3727" s="163">
        <f>IFERROR(__xludf.DUMMYFUNCTION("RANK(M3727,filter(M:M,C:C=C3727))"),84.0)</f>
        <v>84</v>
      </c>
      <c r="S3727" s="161" t="b">
        <f t="shared" si="5"/>
        <v>1</v>
      </c>
      <c r="T3727" s="161" t="b">
        <f t="array" ref="T3727">index('Query Tool'!B:B,match(H3727,'Query Tool'!C:C,0))</f>
        <v>1</v>
      </c>
      <c r="U3727" s="161" t="b">
        <f t="array" ref="U3727">index('Query Tool'!B:B,match(C3727,'Query Tool'!C:C,0))</f>
        <v>1</v>
      </c>
      <c r="V3727" s="161" t="b">
        <f>F3727&gt;='Query Tool'!C$32</f>
        <v>1</v>
      </c>
      <c r="W3727" s="161" t="b">
        <f t="array" ref="W3727">index(Dropdowns!B:B,match(I3727,Dropdowns!A:A,0))</f>
        <v>1</v>
      </c>
      <c r="X3727" s="161" t="b">
        <f t="array" ref="X3727">index('Query Tool'!B:B,match(D3727,'Query Tool'!C:C,0))</f>
        <v>1</v>
      </c>
      <c r="Y3727" s="161" t="str">
        <f t="shared" si="6"/>
        <v>nancela02,2020-21</v>
      </c>
      <c r="Z3727" s="168" t="str">
        <f t="array" ref="Z3727">iferror(index(I:I,match($A3727&amp;","&amp;index('Year Conversion'!$A:$A,match($C3727,'Year Conversion'!$B:$B,0)),$Y:$Y,0))-I3727,"")</f>
        <v/>
      </c>
      <c r="AA3727" s="168" t="str">
        <f t="array" ref="AA3727">iferror(index(J:J,match($A3727&amp;","&amp;index('Year Conversion'!$A:$A,match($C3727,'Year Conversion'!$B:$B,0)),$Y:$Y,0))-J3727,"")</f>
        <v/>
      </c>
      <c r="AB3727" s="168" t="str">
        <f t="array" ref="AB3727">iferror(index(K:K,match($A3727&amp;","&amp;index('Year Conversion'!$A:$A,match($C3727,'Year Conversion'!$B:$B,0)),$Y:$Y,0))-K3727,"")</f>
        <v/>
      </c>
      <c r="AC3727" s="168" t="str">
        <f t="shared" si="7"/>
        <v>CLE,2020-21</v>
      </c>
    </row>
    <row r="3728">
      <c r="A3728" s="161" t="str">
        <f>IFERROR(__xludf.DUMMYFUNCTION("""COMPUTED_VALUE"""),"onealro01")</f>
        <v>onealro01</v>
      </c>
      <c r="B3728" s="161" t="str">
        <f>IFERROR(__xludf.DUMMYFUNCTION("""COMPUTED_VALUE"""),"Royce O'Neale")</f>
        <v>Royce O'Neale</v>
      </c>
      <c r="C3728" s="162" t="str">
        <f>IFERROR(__xludf.DUMMYFUNCTION("""COMPUTED_VALUE"""),"2020-21")</f>
        <v>2020-21</v>
      </c>
      <c r="D3728" s="163" t="str">
        <f>IFERROR(__xludf.DUMMYFUNCTION("""COMPUTED_VALUE"""),"UTA")</f>
        <v>UTA</v>
      </c>
      <c r="E3728" s="164" t="str">
        <f>IFERROR(__xludf.DUMMYFUNCTION("""COMPUTED_VALUE"""),"Stationary Shooter")</f>
        <v>Stationary Shooter</v>
      </c>
      <c r="F3728" s="164">
        <f>IFERROR(__xludf.DUMMYFUNCTION("""COMPUTED_VALUE"""),981.358333333334)</f>
        <v>981.3583333</v>
      </c>
      <c r="G3728" s="163">
        <f>IFERROR(__xludf.DUMMYFUNCTION("""COMPUTED_VALUE"""),30.0)</f>
        <v>30</v>
      </c>
      <c r="H3728" s="163" t="str">
        <f>IFERROR(__xludf.DUMMYFUNCTION("""COMPUTED_VALUE"""),"SF")</f>
        <v>SF</v>
      </c>
      <c r="I3728" s="163">
        <f>IFERROR(__xludf.DUMMYFUNCTION("""COMPUTED_VALUE"""),27.0)</f>
        <v>27</v>
      </c>
      <c r="J3728" s="165">
        <f>IFERROR(__xludf.DUMMYFUNCTION("""COMPUTED_VALUE"""),0.151281503780204)</f>
        <v>0.1512815038</v>
      </c>
      <c r="K3728" s="165">
        <f>IFERROR(__xludf.DUMMYFUNCTION("""COMPUTED_VALUE"""),-1.4208085445994)</f>
        <v>-1.420808545</v>
      </c>
      <c r="L3728" s="165">
        <f>IFERROR(__xludf.DUMMYFUNCTION("""COMPUTED_VALUE"""),1.5720900483796)</f>
        <v>1.572090048</v>
      </c>
      <c r="M3728" s="166">
        <f t="shared" si="2"/>
        <v>1.613015388</v>
      </c>
      <c r="N3728" s="167">
        <f t="shared" si="3"/>
        <v>32.71194444</v>
      </c>
      <c r="O3728" s="163">
        <f t="shared" ref="O3728:Q3728" si="3732">rank(I3728,I:I)</f>
        <v>1366</v>
      </c>
      <c r="P3728" s="163">
        <f t="shared" si="3732"/>
        <v>1132</v>
      </c>
      <c r="Q3728" s="163">
        <f t="shared" si="3732"/>
        <v>3270</v>
      </c>
      <c r="R3728" s="163">
        <f>IFERROR(__xludf.DUMMYFUNCTION("RANK(M3728,filter(M:M,C:C=C3728))"),73.0)</f>
        <v>73</v>
      </c>
      <c r="S3728" s="161" t="b">
        <f t="shared" si="5"/>
        <v>1</v>
      </c>
      <c r="T3728" s="161" t="b">
        <f t="array" ref="T3728">index('Query Tool'!B:B,match(H3728,'Query Tool'!C:C,0))</f>
        <v>1</v>
      </c>
      <c r="U3728" s="161" t="b">
        <f t="array" ref="U3728">index('Query Tool'!B:B,match(C3728,'Query Tool'!C:C,0))</f>
        <v>1</v>
      </c>
      <c r="V3728" s="161" t="b">
        <f>F3728&gt;='Query Tool'!C$32</f>
        <v>1</v>
      </c>
      <c r="W3728" s="161" t="b">
        <f t="array" ref="W3728">index(Dropdowns!B:B,match(I3728,Dropdowns!A:A,0))</f>
        <v>1</v>
      </c>
      <c r="X3728" s="161" t="b">
        <f t="array" ref="X3728">index('Query Tool'!B:B,match(D3728,'Query Tool'!C:C,0))</f>
        <v>1</v>
      </c>
      <c r="Y3728" s="161" t="str">
        <f t="shared" si="6"/>
        <v>onealro01,2020-21</v>
      </c>
      <c r="Z3728" s="168" t="str">
        <f t="array" ref="Z3728">iferror(index(I:I,match($A3728&amp;","&amp;index('Year Conversion'!$A:$A,match($C3728,'Year Conversion'!$B:$B,0)),$Y:$Y,0))-I3728,"")</f>
        <v/>
      </c>
      <c r="AA3728" s="168" t="str">
        <f t="array" ref="AA3728">iferror(index(J:J,match($A3728&amp;","&amp;index('Year Conversion'!$A:$A,match($C3728,'Year Conversion'!$B:$B,0)),$Y:$Y,0))-J3728,"")</f>
        <v/>
      </c>
      <c r="AB3728" s="168" t="str">
        <f t="array" ref="AB3728">iferror(index(K:K,match($A3728&amp;","&amp;index('Year Conversion'!$A:$A,match($C3728,'Year Conversion'!$B:$B,0)),$Y:$Y,0))-K3728,"")</f>
        <v/>
      </c>
      <c r="AC3728" s="168" t="str">
        <f t="shared" si="7"/>
        <v>UTA,2020-21</v>
      </c>
    </row>
    <row r="3729">
      <c r="A3729" s="161" t="str">
        <f>IFERROR(__xludf.DUMMYFUNCTION("""COMPUTED_VALUE"""),"osmande01")</f>
        <v>osmande01</v>
      </c>
      <c r="B3729" s="161" t="str">
        <f>IFERROR(__xludf.DUMMYFUNCTION("""COMPUTED_VALUE"""),"Cedi Osman")</f>
        <v>Cedi Osman</v>
      </c>
      <c r="C3729" s="162" t="str">
        <f>IFERROR(__xludf.DUMMYFUNCTION("""COMPUTED_VALUE"""),"2020-21")</f>
        <v>2020-21</v>
      </c>
      <c r="D3729" s="163" t="str">
        <f>IFERROR(__xludf.DUMMYFUNCTION("""COMPUTED_VALUE"""),"CLE")</f>
        <v>CLE</v>
      </c>
      <c r="E3729" s="164" t="str">
        <f>IFERROR(__xludf.DUMMYFUNCTION("""COMPUTED_VALUE"""),"Movement Shooter")</f>
        <v>Movement Shooter</v>
      </c>
      <c r="F3729" s="164">
        <f>IFERROR(__xludf.DUMMYFUNCTION("""COMPUTED_VALUE"""),826.298333333334)</f>
        <v>826.2983333</v>
      </c>
      <c r="G3729" s="163">
        <f>IFERROR(__xludf.DUMMYFUNCTION("""COMPUTED_VALUE"""),31.0)</f>
        <v>31</v>
      </c>
      <c r="H3729" s="163" t="str">
        <f>IFERROR(__xludf.DUMMYFUNCTION("""COMPUTED_VALUE"""),"SF")</f>
        <v>SF</v>
      </c>
      <c r="I3729" s="163">
        <f>IFERROR(__xludf.DUMMYFUNCTION("""COMPUTED_VALUE"""),25.0)</f>
        <v>25</v>
      </c>
      <c r="J3729" s="165">
        <f>IFERROR(__xludf.DUMMYFUNCTION("""COMPUTED_VALUE"""),-2.13447828500617)</f>
        <v>-2.134478285</v>
      </c>
      <c r="K3729" s="165">
        <f>IFERROR(__xludf.DUMMYFUNCTION("""COMPUTED_VALUE"""),-0.767475053832095)</f>
        <v>-0.7674750538</v>
      </c>
      <c r="L3729" s="165">
        <f>IFERROR(__xludf.DUMMYFUNCTION("""COMPUTED_VALUE"""),-1.36700323117407)</f>
        <v>-1.367003231</v>
      </c>
      <c r="M3729" s="166">
        <f t="shared" si="2"/>
        <v>0.09226654701</v>
      </c>
      <c r="N3729" s="167">
        <f t="shared" si="3"/>
        <v>26.65478495</v>
      </c>
      <c r="O3729" s="163">
        <f t="shared" ref="O3729:Q3729" si="3733">rank(I3729,I:I)</f>
        <v>1995</v>
      </c>
      <c r="P3729" s="163">
        <f t="shared" si="3733"/>
        <v>3578</v>
      </c>
      <c r="Q3729" s="163">
        <f t="shared" si="3733"/>
        <v>2511</v>
      </c>
      <c r="R3729" s="163">
        <f>IFERROR(__xludf.DUMMYFUNCTION("RANK(M3729,filter(M:M,C:C=C3729))"),337.0)</f>
        <v>337</v>
      </c>
      <c r="S3729" s="161" t="b">
        <f t="shared" si="5"/>
        <v>1</v>
      </c>
      <c r="T3729" s="161" t="b">
        <f t="array" ref="T3729">index('Query Tool'!B:B,match(H3729,'Query Tool'!C:C,0))</f>
        <v>1</v>
      </c>
      <c r="U3729" s="161" t="b">
        <f t="array" ref="U3729">index('Query Tool'!B:B,match(C3729,'Query Tool'!C:C,0))</f>
        <v>1</v>
      </c>
      <c r="V3729" s="161" t="b">
        <f>F3729&gt;='Query Tool'!C$32</f>
        <v>1</v>
      </c>
      <c r="W3729" s="161" t="b">
        <f t="array" ref="W3729">index(Dropdowns!B:B,match(I3729,Dropdowns!A:A,0))</f>
        <v>1</v>
      </c>
      <c r="X3729" s="161" t="b">
        <f t="array" ref="X3729">index('Query Tool'!B:B,match(D3729,'Query Tool'!C:C,0))</f>
        <v>1</v>
      </c>
      <c r="Y3729" s="161" t="str">
        <f t="shared" si="6"/>
        <v>osmande01,2020-21</v>
      </c>
      <c r="Z3729" s="168" t="str">
        <f t="array" ref="Z3729">iferror(index(I:I,match($A3729&amp;","&amp;index('Year Conversion'!$A:$A,match($C3729,'Year Conversion'!$B:$B,0)),$Y:$Y,0))-I3729,"")</f>
        <v/>
      </c>
      <c r="AA3729" s="168" t="str">
        <f t="array" ref="AA3729">iferror(index(J:J,match($A3729&amp;","&amp;index('Year Conversion'!$A:$A,match($C3729,'Year Conversion'!$B:$B,0)),$Y:$Y,0))-J3729,"")</f>
        <v/>
      </c>
      <c r="AB3729" s="168" t="str">
        <f t="array" ref="AB3729">iferror(index(K:K,match($A3729&amp;","&amp;index('Year Conversion'!$A:$A,match($C3729,'Year Conversion'!$B:$B,0)),$Y:$Y,0))-K3729,"")</f>
        <v/>
      </c>
      <c r="AC3729" s="168" t="str">
        <f t="shared" si="7"/>
        <v>CLE,2020-21</v>
      </c>
    </row>
    <row r="3730">
      <c r="A3730" s="161" t="str">
        <f>IFERROR(__xludf.DUMMYFUNCTION("""COMPUTED_VALUE"""),"feliccr01")</f>
        <v>feliccr01</v>
      </c>
      <c r="B3730" s="161" t="str">
        <f>IFERROR(__xludf.DUMMYFUNCTION("""COMPUTED_VALUE"""),"Cristiano Felicio")</f>
        <v>Cristiano Felicio</v>
      </c>
      <c r="C3730" s="162" t="str">
        <f>IFERROR(__xludf.DUMMYFUNCTION("""COMPUTED_VALUE"""),"2020-21")</f>
        <v>2020-21</v>
      </c>
      <c r="D3730" s="163" t="str">
        <f>IFERROR(__xludf.DUMMYFUNCTION("""COMPUTED_VALUE"""),"CHI")</f>
        <v>CHI</v>
      </c>
      <c r="E3730" s="164" t="str">
        <f>IFERROR(__xludf.DUMMYFUNCTION("""COMPUTED_VALUE"""),"Roll + Cut Big")</f>
        <v>Roll + Cut Big</v>
      </c>
      <c r="F3730" s="164">
        <f>IFERROR(__xludf.DUMMYFUNCTION("""COMPUTED_VALUE"""),38.1)</f>
        <v>38.1</v>
      </c>
      <c r="G3730" s="163">
        <f>IFERROR(__xludf.DUMMYFUNCTION("""COMPUTED_VALUE"""),6.0)</f>
        <v>6</v>
      </c>
      <c r="H3730" s="163" t="str">
        <f>IFERROR(__xludf.DUMMYFUNCTION("""COMPUTED_VALUE"""),"C")</f>
        <v>C</v>
      </c>
      <c r="I3730" s="163">
        <f>IFERROR(__xludf.DUMMYFUNCTION("""COMPUTED_VALUE"""),28.0)</f>
        <v>28</v>
      </c>
      <c r="J3730" s="165">
        <f>IFERROR(__xludf.DUMMYFUNCTION("""COMPUTED_VALUE"""),-0.20814272218125)</f>
        <v>-0.2081427222</v>
      </c>
      <c r="K3730" s="165">
        <f>IFERROR(__xludf.DUMMYFUNCTION("""COMPUTED_VALUE"""),-0.326384137165613)</f>
        <v>-0.3263841372</v>
      </c>
      <c r="L3730" s="165">
        <f>IFERROR(__xludf.DUMMYFUNCTION("""COMPUTED_VALUE"""),0.118241414984363)</f>
        <v>0.118241415</v>
      </c>
      <c r="M3730" s="166">
        <f t="shared" si="2"/>
        <v>0.05339133625</v>
      </c>
      <c r="N3730" s="167">
        <f t="shared" si="3"/>
        <v>6.35</v>
      </c>
      <c r="O3730" s="163">
        <f t="shared" ref="O3730:Q3730" si="3734">rank(I3730,I:I)</f>
        <v>1090</v>
      </c>
      <c r="P3730" s="163">
        <f t="shared" si="3734"/>
        <v>1514</v>
      </c>
      <c r="Q3730" s="163">
        <f t="shared" si="3734"/>
        <v>1804</v>
      </c>
      <c r="R3730" s="163">
        <f>IFERROR(__xludf.DUMMYFUNCTION("RANK(M3730,filter(M:M,C:C=C3730))"),376.0)</f>
        <v>376</v>
      </c>
      <c r="S3730" s="161" t="b">
        <f t="shared" si="5"/>
        <v>0</v>
      </c>
      <c r="T3730" s="161" t="b">
        <f t="array" ref="T3730">index('Query Tool'!B:B,match(H3730,'Query Tool'!C:C,0))</f>
        <v>1</v>
      </c>
      <c r="U3730" s="161" t="b">
        <f t="array" ref="U3730">index('Query Tool'!B:B,match(C3730,'Query Tool'!C:C,0))</f>
        <v>1</v>
      </c>
      <c r="V3730" s="161" t="b">
        <f>F3730&gt;='Query Tool'!C$32</f>
        <v>0</v>
      </c>
      <c r="W3730" s="161" t="b">
        <f t="array" ref="W3730">index(Dropdowns!B:B,match(I3730,Dropdowns!A:A,0))</f>
        <v>1</v>
      </c>
      <c r="X3730" s="161" t="b">
        <f t="array" ref="X3730">index('Query Tool'!B:B,match(D3730,'Query Tool'!C:C,0))</f>
        <v>1</v>
      </c>
      <c r="Y3730" s="161" t="str">
        <f t="shared" si="6"/>
        <v>feliccr01,2020-21</v>
      </c>
      <c r="Z3730" s="168" t="str">
        <f t="array" ref="Z3730">iferror(index(I:I,match($A3730&amp;","&amp;index('Year Conversion'!$A:$A,match($C3730,'Year Conversion'!$B:$B,0)),$Y:$Y,0))-I3730,"")</f>
        <v/>
      </c>
      <c r="AA3730" s="168" t="str">
        <f t="array" ref="AA3730">iferror(index(J:J,match($A3730&amp;","&amp;index('Year Conversion'!$A:$A,match($C3730,'Year Conversion'!$B:$B,0)),$Y:$Y,0))-J3730,"")</f>
        <v/>
      </c>
      <c r="AB3730" s="168" t="str">
        <f t="array" ref="AB3730">iferror(index(K:K,match($A3730&amp;","&amp;index('Year Conversion'!$A:$A,match($C3730,'Year Conversion'!$B:$B,0)),$Y:$Y,0))-K3730,"")</f>
        <v/>
      </c>
      <c r="AC3730" s="168" t="str">
        <f t="shared" si="7"/>
        <v>CHI,2020-21</v>
      </c>
    </row>
    <row r="3731">
      <c r="A3731" s="161" t="str">
        <f>IFERROR(__xludf.DUMMYFUNCTION("""COMPUTED_VALUE"""),"marjabo01")</f>
        <v>marjabo01</v>
      </c>
      <c r="B3731" s="161" t="str">
        <f>IFERROR(__xludf.DUMMYFUNCTION("""COMPUTED_VALUE"""),"Boban Marjanovic")</f>
        <v>Boban Marjanovic</v>
      </c>
      <c r="C3731" s="162" t="str">
        <f>IFERROR(__xludf.DUMMYFUNCTION("""COMPUTED_VALUE"""),"2020-21")</f>
        <v>2020-21</v>
      </c>
      <c r="D3731" s="163" t="str">
        <f>IFERROR(__xludf.DUMMYFUNCTION("""COMPUTED_VALUE"""),"DAL")</f>
        <v>DAL</v>
      </c>
      <c r="E3731" s="164" t="str">
        <f>IFERROR(__xludf.DUMMYFUNCTION("""COMPUTED_VALUE"""),"Post Scorer")</f>
        <v>Post Scorer</v>
      </c>
      <c r="F3731" s="164">
        <f>IFERROR(__xludf.DUMMYFUNCTION("""COMPUTED_VALUE"""),108.046666666667)</f>
        <v>108.0466667</v>
      </c>
      <c r="G3731" s="163">
        <f>IFERROR(__xludf.DUMMYFUNCTION("""COMPUTED_VALUE"""),15.0)</f>
        <v>15</v>
      </c>
      <c r="H3731" s="163" t="str">
        <f>IFERROR(__xludf.DUMMYFUNCTION("""COMPUTED_VALUE"""),"C")</f>
        <v>C</v>
      </c>
      <c r="I3731" s="163">
        <f>IFERROR(__xludf.DUMMYFUNCTION("""COMPUTED_VALUE"""),32.0)</f>
        <v>32</v>
      </c>
      <c r="J3731" s="165">
        <f>IFERROR(__xludf.DUMMYFUNCTION("""COMPUTED_VALUE"""),0.527544995078135)</f>
        <v>0.5275449951</v>
      </c>
      <c r="K3731" s="165">
        <f>IFERROR(__xludf.DUMMYFUNCTION("""COMPUTED_VALUE"""),0.763404069992073)</f>
        <v>0.76340407</v>
      </c>
      <c r="L3731" s="165">
        <f>IFERROR(__xludf.DUMMYFUNCTION("""COMPUTED_VALUE"""),-0.235859074913938)</f>
        <v>-0.2358590749</v>
      </c>
      <c r="M3731" s="166">
        <f t="shared" si="2"/>
        <v>0.204985562</v>
      </c>
      <c r="N3731" s="167">
        <f t="shared" si="3"/>
        <v>7.203111111</v>
      </c>
      <c r="O3731" s="163">
        <f t="shared" ref="O3731:Q3731" si="3735">rank(I3731,I:I)</f>
        <v>359</v>
      </c>
      <c r="P3731" s="163">
        <f t="shared" si="3735"/>
        <v>886</v>
      </c>
      <c r="Q3731" s="163">
        <f t="shared" si="3735"/>
        <v>615</v>
      </c>
      <c r="R3731" s="163">
        <f>IFERROR(__xludf.DUMMYFUNCTION("RANK(M3731,filter(M:M,C:C=C3731))"),275.0)</f>
        <v>275</v>
      </c>
      <c r="S3731" s="161" t="b">
        <f t="shared" si="5"/>
        <v>0</v>
      </c>
      <c r="T3731" s="161" t="b">
        <f t="array" ref="T3731">index('Query Tool'!B:B,match(H3731,'Query Tool'!C:C,0))</f>
        <v>1</v>
      </c>
      <c r="U3731" s="161" t="b">
        <f t="array" ref="U3731">index('Query Tool'!B:B,match(C3731,'Query Tool'!C:C,0))</f>
        <v>1</v>
      </c>
      <c r="V3731" s="161" t="b">
        <f>F3731&gt;='Query Tool'!C$32</f>
        <v>0</v>
      </c>
      <c r="W3731" s="161" t="b">
        <f t="array" ref="W3731">index(Dropdowns!B:B,match(I3731,Dropdowns!A:A,0))</f>
        <v>1</v>
      </c>
      <c r="X3731" s="161" t="b">
        <f t="array" ref="X3731">index('Query Tool'!B:B,match(D3731,'Query Tool'!C:C,0))</f>
        <v>1</v>
      </c>
      <c r="Y3731" s="161" t="str">
        <f t="shared" si="6"/>
        <v>marjabo01,2020-21</v>
      </c>
      <c r="Z3731" s="168" t="str">
        <f t="array" ref="Z3731">iferror(index(I:I,match($A3731&amp;","&amp;index('Year Conversion'!$A:$A,match($C3731,'Year Conversion'!$B:$B,0)),$Y:$Y,0))-I3731,"")</f>
        <v/>
      </c>
      <c r="AA3731" s="168" t="str">
        <f t="array" ref="AA3731">iferror(index(J:J,match($A3731&amp;","&amp;index('Year Conversion'!$A:$A,match($C3731,'Year Conversion'!$B:$B,0)),$Y:$Y,0))-J3731,"")</f>
        <v/>
      </c>
      <c r="AB3731" s="168" t="str">
        <f t="array" ref="AB3731">iferror(index(K:K,match($A3731&amp;","&amp;index('Year Conversion'!$A:$A,match($C3731,'Year Conversion'!$B:$B,0)),$Y:$Y,0))-K3731,"")</f>
        <v/>
      </c>
      <c r="AC3731" s="168" t="str">
        <f t="shared" si="7"/>
        <v>DAL,2020-21</v>
      </c>
    </row>
    <row r="3732">
      <c r="A3732" s="161" t="str">
        <f>IFERROR(__xludf.DUMMYFUNCTION("""COMPUTED_VALUE"""),"simmobe01")</f>
        <v>simmobe01</v>
      </c>
      <c r="B3732" s="161" t="str">
        <f>IFERROR(__xludf.DUMMYFUNCTION("""COMPUTED_VALUE"""),"Ben Simmons")</f>
        <v>Ben Simmons</v>
      </c>
      <c r="C3732" s="162" t="str">
        <f>IFERROR(__xludf.DUMMYFUNCTION("""COMPUTED_VALUE"""),"2020-21")</f>
        <v>2020-21</v>
      </c>
      <c r="D3732" s="163" t="str">
        <f>IFERROR(__xludf.DUMMYFUNCTION("""COMPUTED_VALUE"""),"PHI")</f>
        <v>PHI</v>
      </c>
      <c r="E3732" s="164" t="str">
        <f>IFERROR(__xludf.DUMMYFUNCTION("""COMPUTED_VALUE"""),"Roll + Cut Big")</f>
        <v>Roll + Cut Big</v>
      </c>
      <c r="F3732" s="164">
        <f>IFERROR(__xludf.DUMMYFUNCTION("""COMPUTED_VALUE"""),873.386666666667)</f>
        <v>873.3866667</v>
      </c>
      <c r="G3732" s="163">
        <f>IFERROR(__xludf.DUMMYFUNCTION("""COMPUTED_VALUE"""),26.0)</f>
        <v>26</v>
      </c>
      <c r="H3732" s="163" t="str">
        <f>IFERROR(__xludf.DUMMYFUNCTION("""COMPUTED_VALUE"""),"PG")</f>
        <v>PG</v>
      </c>
      <c r="I3732" s="163">
        <f>IFERROR(__xludf.DUMMYFUNCTION("""COMPUTED_VALUE"""),24.0)</f>
        <v>24</v>
      </c>
      <c r="J3732" s="165">
        <f>IFERROR(__xludf.DUMMYFUNCTION("""COMPUTED_VALUE"""),2.61694194783922)</f>
        <v>2.616941948</v>
      </c>
      <c r="K3732" s="165">
        <f>IFERROR(__xludf.DUMMYFUNCTION("""COMPUTED_VALUE"""),1.26731113008055)</f>
        <v>1.26731113</v>
      </c>
      <c r="L3732" s="165">
        <f>IFERROR(__xludf.DUMMYFUNCTION("""COMPUTED_VALUE"""),1.34963081775867)</f>
        <v>1.349630818</v>
      </c>
      <c r="M3732" s="166">
        <f t="shared" si="2"/>
        <v>2.872906045</v>
      </c>
      <c r="N3732" s="167">
        <f t="shared" si="3"/>
        <v>33.59179487</v>
      </c>
      <c r="O3732" s="163">
        <f t="shared" ref="O3732:Q3732" si="3736">rank(I3732,I:I)</f>
        <v>2361</v>
      </c>
      <c r="P3732" s="163">
        <f t="shared" si="3736"/>
        <v>208</v>
      </c>
      <c r="Q3732" s="163">
        <f t="shared" si="3736"/>
        <v>396</v>
      </c>
      <c r="R3732" s="163">
        <f>IFERROR(__xludf.DUMMYFUNCTION("RANK(M3732,filter(M:M,C:C=C3732))"),21.0)</f>
        <v>21</v>
      </c>
      <c r="S3732" s="161" t="b">
        <f t="shared" si="5"/>
        <v>1</v>
      </c>
      <c r="T3732" s="161" t="b">
        <f t="array" ref="T3732">index('Query Tool'!B:B,match(H3732,'Query Tool'!C:C,0))</f>
        <v>1</v>
      </c>
      <c r="U3732" s="161" t="b">
        <f t="array" ref="U3732">index('Query Tool'!B:B,match(C3732,'Query Tool'!C:C,0))</f>
        <v>1</v>
      </c>
      <c r="V3732" s="161" t="b">
        <f>F3732&gt;='Query Tool'!C$32</f>
        <v>1</v>
      </c>
      <c r="W3732" s="161" t="b">
        <f t="array" ref="W3732">index(Dropdowns!B:B,match(I3732,Dropdowns!A:A,0))</f>
        <v>1</v>
      </c>
      <c r="X3732" s="161" t="b">
        <f t="array" ref="X3732">index('Query Tool'!B:B,match(D3732,'Query Tool'!C:C,0))</f>
        <v>1</v>
      </c>
      <c r="Y3732" s="161" t="str">
        <f t="shared" si="6"/>
        <v>simmobe01,2020-21</v>
      </c>
      <c r="Z3732" s="168" t="str">
        <f t="array" ref="Z3732">iferror(index(I:I,match($A3732&amp;","&amp;index('Year Conversion'!$A:$A,match($C3732,'Year Conversion'!$B:$B,0)),$Y:$Y,0))-I3732,"")</f>
        <v/>
      </c>
      <c r="AA3732" s="168" t="str">
        <f t="array" ref="AA3732">iferror(index(J:J,match($A3732&amp;","&amp;index('Year Conversion'!$A:$A,match($C3732,'Year Conversion'!$B:$B,0)),$Y:$Y,0))-J3732,"")</f>
        <v/>
      </c>
      <c r="AB3732" s="168" t="str">
        <f t="array" ref="AB3732">iferror(index(K:K,match($A3732&amp;","&amp;index('Year Conversion'!$A:$A,match($C3732,'Year Conversion'!$B:$B,0)),$Y:$Y,0))-K3732,"")</f>
        <v/>
      </c>
      <c r="AC3732" s="168" t="str">
        <f t="shared" si="7"/>
        <v>PHI,2020-21</v>
      </c>
    </row>
    <row r="3733">
      <c r="A3733" s="161" t="str">
        <f>IFERROR(__xludf.DUMMYFUNCTION("""COMPUTED_VALUE"""),"sabondo01")</f>
        <v>sabondo01</v>
      </c>
      <c r="B3733" s="161" t="str">
        <f>IFERROR(__xludf.DUMMYFUNCTION("""COMPUTED_VALUE"""),"Domantas Sabonis")</f>
        <v>Domantas Sabonis</v>
      </c>
      <c r="C3733" s="162" t="str">
        <f>IFERROR(__xludf.DUMMYFUNCTION("""COMPUTED_VALUE"""),"2020-21")</f>
        <v>2020-21</v>
      </c>
      <c r="D3733" s="163" t="str">
        <f>IFERROR(__xludf.DUMMYFUNCTION("""COMPUTED_VALUE"""),"IND")</f>
        <v>IND</v>
      </c>
      <c r="E3733" s="164" t="str">
        <f>IFERROR(__xludf.DUMMYFUNCTION("""COMPUTED_VALUE"""),"Post Scorer")</f>
        <v>Post Scorer</v>
      </c>
      <c r="F3733" s="164">
        <f>IFERROR(__xludf.DUMMYFUNCTION("""COMPUTED_VALUE"""),1055.23833333333)</f>
        <v>1055.238333</v>
      </c>
      <c r="G3733" s="163">
        <f>IFERROR(__xludf.DUMMYFUNCTION("""COMPUTED_VALUE"""),29.0)</f>
        <v>29</v>
      </c>
      <c r="H3733" s="163" t="str">
        <f>IFERROR(__xludf.DUMMYFUNCTION("""COMPUTED_VALUE"""),"PF")</f>
        <v>PF</v>
      </c>
      <c r="I3733" s="163">
        <f>IFERROR(__xludf.DUMMYFUNCTION("""COMPUTED_VALUE"""),24.0)</f>
        <v>24</v>
      </c>
      <c r="J3733" s="165">
        <f>IFERROR(__xludf.DUMMYFUNCTION("""COMPUTED_VALUE"""),0.715455755332736)</f>
        <v>0.7154557553</v>
      </c>
      <c r="K3733" s="165">
        <f>IFERROR(__xludf.DUMMYFUNCTION("""COMPUTED_VALUE"""),0.246671101376851)</f>
        <v>0.2466711014</v>
      </c>
      <c r="L3733" s="165">
        <f>IFERROR(__xludf.DUMMYFUNCTION("""COMPUTED_VALUE"""),0.468784653955885)</f>
        <v>0.468784654</v>
      </c>
      <c r="M3733" s="166">
        <f t="shared" si="2"/>
        <v>2.135461488</v>
      </c>
      <c r="N3733" s="167">
        <f t="shared" si="3"/>
        <v>36.38752874</v>
      </c>
      <c r="O3733" s="163">
        <f t="shared" ref="O3733:Q3733" si="3737">rank(I3733,I:I)</f>
        <v>2361</v>
      </c>
      <c r="P3733" s="163">
        <f t="shared" si="3737"/>
        <v>787</v>
      </c>
      <c r="Q3733" s="163">
        <f t="shared" si="3737"/>
        <v>949</v>
      </c>
      <c r="R3733" s="163">
        <f>IFERROR(__xludf.DUMMYFUNCTION("RANK(M3733,filter(M:M,C:C=C3733))"),41.0)</f>
        <v>41</v>
      </c>
      <c r="S3733" s="161" t="b">
        <f t="shared" si="5"/>
        <v>1</v>
      </c>
      <c r="T3733" s="161" t="b">
        <f t="array" ref="T3733">index('Query Tool'!B:B,match(H3733,'Query Tool'!C:C,0))</f>
        <v>1</v>
      </c>
      <c r="U3733" s="161" t="b">
        <f t="array" ref="U3733">index('Query Tool'!B:B,match(C3733,'Query Tool'!C:C,0))</f>
        <v>1</v>
      </c>
      <c r="V3733" s="161" t="b">
        <f>F3733&gt;='Query Tool'!C$32</f>
        <v>1</v>
      </c>
      <c r="W3733" s="161" t="b">
        <f t="array" ref="W3733">index(Dropdowns!B:B,match(I3733,Dropdowns!A:A,0))</f>
        <v>1</v>
      </c>
      <c r="X3733" s="161" t="b">
        <f t="array" ref="X3733">index('Query Tool'!B:B,match(D3733,'Query Tool'!C:C,0))</f>
        <v>1</v>
      </c>
      <c r="Y3733" s="161" t="str">
        <f t="shared" si="6"/>
        <v>sabondo01,2020-21</v>
      </c>
      <c r="Z3733" s="168" t="str">
        <f t="array" ref="Z3733">iferror(index(I:I,match($A3733&amp;","&amp;index('Year Conversion'!$A:$A,match($C3733,'Year Conversion'!$B:$B,0)),$Y:$Y,0))-I3733,"")</f>
        <v/>
      </c>
      <c r="AA3733" s="168" t="str">
        <f t="array" ref="AA3733">iferror(index(J:J,match($A3733&amp;","&amp;index('Year Conversion'!$A:$A,match($C3733,'Year Conversion'!$B:$B,0)),$Y:$Y,0))-J3733,"")</f>
        <v/>
      </c>
      <c r="AB3733" s="168" t="str">
        <f t="array" ref="AB3733">iferror(index(K:K,match($A3733&amp;","&amp;index('Year Conversion'!$A:$A,match($C3733,'Year Conversion'!$B:$B,0)),$Y:$Y,0))-K3733,"")</f>
        <v/>
      </c>
      <c r="AC3733" s="168" t="str">
        <f t="shared" si="7"/>
        <v>IND,2020-21</v>
      </c>
    </row>
    <row r="3734">
      <c r="A3734" s="161" t="str">
        <f>IFERROR(__xludf.DUMMYFUNCTION("""COMPUTED_VALUE"""),"beaslma01")</f>
        <v>beaslma01</v>
      </c>
      <c r="B3734" s="161" t="str">
        <f>IFERROR(__xludf.DUMMYFUNCTION("""COMPUTED_VALUE"""),"Malik Beasley")</f>
        <v>Malik Beasley</v>
      </c>
      <c r="C3734" s="162" t="str">
        <f>IFERROR(__xludf.DUMMYFUNCTION("""COMPUTED_VALUE"""),"2020-21")</f>
        <v>2020-21</v>
      </c>
      <c r="D3734" s="163" t="str">
        <f>IFERROR(__xludf.DUMMYFUNCTION("""COMPUTED_VALUE"""),"MIN")</f>
        <v>MIN</v>
      </c>
      <c r="E3734" s="164" t="str">
        <f>IFERROR(__xludf.DUMMYFUNCTION("""COMPUTED_VALUE"""),"Movement Shooter")</f>
        <v>Movement Shooter</v>
      </c>
      <c r="F3734" s="164">
        <f>IFERROR(__xludf.DUMMYFUNCTION("""COMPUTED_VALUE"""),1021.85166666667)</f>
        <v>1021.851667</v>
      </c>
      <c r="G3734" s="163">
        <f>IFERROR(__xludf.DUMMYFUNCTION("""COMPUTED_VALUE"""),31.0)</f>
        <v>31</v>
      </c>
      <c r="H3734" s="163" t="str">
        <f>IFERROR(__xludf.DUMMYFUNCTION("""COMPUTED_VALUE"""),"SG")</f>
        <v>SG</v>
      </c>
      <c r="I3734" s="163">
        <f>IFERROR(__xludf.DUMMYFUNCTION("""COMPUTED_VALUE"""),24.0)</f>
        <v>24</v>
      </c>
      <c r="J3734" s="165">
        <f>IFERROR(__xludf.DUMMYFUNCTION("""COMPUTED_VALUE"""),-0.783973540745947)</f>
        <v>-0.7839735407</v>
      </c>
      <c r="K3734" s="165">
        <f>IFERROR(__xludf.DUMMYFUNCTION("""COMPUTED_VALUE"""),0.858714596901487)</f>
        <v>0.8587145969</v>
      </c>
      <c r="L3734" s="165">
        <f>IFERROR(__xludf.DUMMYFUNCTION("""COMPUTED_VALUE"""),-1.64268813764743)</f>
        <v>-1.642688138</v>
      </c>
      <c r="M3734" s="166">
        <f t="shared" si="2"/>
        <v>1.035718713</v>
      </c>
      <c r="N3734" s="167">
        <f t="shared" si="3"/>
        <v>32.96295699</v>
      </c>
      <c r="O3734" s="163">
        <f t="shared" ref="O3734:Q3734" si="3738">rank(I3734,I:I)</f>
        <v>2361</v>
      </c>
      <c r="P3734" s="163">
        <f t="shared" si="3738"/>
        <v>2251</v>
      </c>
      <c r="Q3734" s="163">
        <f t="shared" si="3738"/>
        <v>573</v>
      </c>
      <c r="R3734" s="163">
        <f>IFERROR(__xludf.DUMMYFUNCTION("RANK(M3734,filter(M:M,C:C=C3734))"),118.0)</f>
        <v>118</v>
      </c>
      <c r="S3734" s="161" t="b">
        <f t="shared" si="5"/>
        <v>1</v>
      </c>
      <c r="T3734" s="161" t="b">
        <f t="array" ref="T3734">index('Query Tool'!B:B,match(H3734,'Query Tool'!C:C,0))</f>
        <v>1</v>
      </c>
      <c r="U3734" s="161" t="b">
        <f t="array" ref="U3734">index('Query Tool'!B:B,match(C3734,'Query Tool'!C:C,0))</f>
        <v>1</v>
      </c>
      <c r="V3734" s="161" t="b">
        <f>F3734&gt;='Query Tool'!C$32</f>
        <v>1</v>
      </c>
      <c r="W3734" s="161" t="b">
        <f t="array" ref="W3734">index(Dropdowns!B:B,match(I3734,Dropdowns!A:A,0))</f>
        <v>1</v>
      </c>
      <c r="X3734" s="161" t="b">
        <f t="array" ref="X3734">index('Query Tool'!B:B,match(D3734,'Query Tool'!C:C,0))</f>
        <v>1</v>
      </c>
      <c r="Y3734" s="161" t="str">
        <f t="shared" si="6"/>
        <v>beaslma01,2020-21</v>
      </c>
      <c r="Z3734" s="168" t="str">
        <f t="array" ref="Z3734">iferror(index(I:I,match($A3734&amp;","&amp;index('Year Conversion'!$A:$A,match($C3734,'Year Conversion'!$B:$B,0)),$Y:$Y,0))-I3734,"")</f>
        <v/>
      </c>
      <c r="AA3734" s="168" t="str">
        <f t="array" ref="AA3734">iferror(index(J:J,match($A3734&amp;","&amp;index('Year Conversion'!$A:$A,match($C3734,'Year Conversion'!$B:$B,0)),$Y:$Y,0))-J3734,"")</f>
        <v/>
      </c>
      <c r="AB3734" s="168" t="str">
        <f t="array" ref="AB3734">iferror(index(K:K,match($A3734&amp;","&amp;index('Year Conversion'!$A:$A,match($C3734,'Year Conversion'!$B:$B,0)),$Y:$Y,0))-K3734,"")</f>
        <v/>
      </c>
      <c r="AC3734" s="168" t="str">
        <f t="shared" si="7"/>
        <v>MIN,2020-21</v>
      </c>
    </row>
    <row r="3735">
      <c r="A3735" s="161" t="str">
        <f>IFERROR(__xludf.DUMMYFUNCTION("""COMPUTED_VALUE"""),"chrisma01")</f>
        <v>chrisma01</v>
      </c>
      <c r="B3735" s="161" t="str">
        <f>IFERROR(__xludf.DUMMYFUNCTION("""COMPUTED_VALUE"""),"Marquese Chriss")</f>
        <v>Marquese Chriss</v>
      </c>
      <c r="C3735" s="162" t="str">
        <f>IFERROR(__xludf.DUMMYFUNCTION("""COMPUTED_VALUE"""),"2020-21")</f>
        <v>2020-21</v>
      </c>
      <c r="D3735" s="163" t="str">
        <f>IFERROR(__xludf.DUMMYFUNCTION("""COMPUTED_VALUE"""),"GSW")</f>
        <v>GSW</v>
      </c>
      <c r="E3735" s="164" t="str">
        <f>IFERROR(__xludf.DUMMYFUNCTION("""COMPUTED_VALUE"""),"Stretch Big")</f>
        <v>Stretch Big</v>
      </c>
      <c r="F3735" s="164">
        <f>IFERROR(__xludf.DUMMYFUNCTION("""COMPUTED_VALUE"""),26.7166666666666)</f>
        <v>26.71666667</v>
      </c>
      <c r="G3735" s="163">
        <f>IFERROR(__xludf.DUMMYFUNCTION("""COMPUTED_VALUE"""),2.0)</f>
        <v>2</v>
      </c>
      <c r="H3735" s="163" t="str">
        <f>IFERROR(__xludf.DUMMYFUNCTION("""COMPUTED_VALUE"""),"PF")</f>
        <v>PF</v>
      </c>
      <c r="I3735" s="163">
        <f>IFERROR(__xludf.DUMMYFUNCTION("""COMPUTED_VALUE"""),23.0)</f>
        <v>23</v>
      </c>
      <c r="J3735" s="165">
        <f>IFERROR(__xludf.DUMMYFUNCTION("""COMPUTED_VALUE"""),-0.587699913436108)</f>
        <v>-0.5876999134</v>
      </c>
      <c r="K3735" s="165">
        <f>IFERROR(__xludf.DUMMYFUNCTION("""COMPUTED_VALUE"""),-0.408744922655526)</f>
        <v>-0.4087449227</v>
      </c>
      <c r="L3735" s="165">
        <f>IFERROR(__xludf.DUMMYFUNCTION("""COMPUTED_VALUE"""),-0.178954990780582)</f>
        <v>-0.1789549908</v>
      </c>
      <c r="M3735" s="166">
        <f t="shared" si="2"/>
        <v>0.03060755837</v>
      </c>
      <c r="N3735" s="167">
        <f t="shared" si="3"/>
        <v>13.35833333</v>
      </c>
      <c r="O3735" s="163">
        <f t="shared" ref="O3735:Q3735" si="3739">rank(I3735,I:I)</f>
        <v>2765</v>
      </c>
      <c r="P3735" s="163">
        <f t="shared" si="3739"/>
        <v>1976</v>
      </c>
      <c r="Q3735" s="163">
        <f t="shared" si="3739"/>
        <v>1959</v>
      </c>
      <c r="R3735" s="163">
        <f>IFERROR(__xludf.DUMMYFUNCTION("RANK(M3735,filter(M:M,C:C=C3735))"),402.0)</f>
        <v>402</v>
      </c>
      <c r="S3735" s="161" t="b">
        <f t="shared" si="5"/>
        <v>0</v>
      </c>
      <c r="T3735" s="161" t="b">
        <f t="array" ref="T3735">index('Query Tool'!B:B,match(H3735,'Query Tool'!C:C,0))</f>
        <v>1</v>
      </c>
      <c r="U3735" s="161" t="b">
        <f t="array" ref="U3735">index('Query Tool'!B:B,match(C3735,'Query Tool'!C:C,0))</f>
        <v>1</v>
      </c>
      <c r="V3735" s="161" t="b">
        <f>F3735&gt;='Query Tool'!C$32</f>
        <v>0</v>
      </c>
      <c r="W3735" s="161" t="b">
        <f t="array" ref="W3735">index(Dropdowns!B:B,match(I3735,Dropdowns!A:A,0))</f>
        <v>1</v>
      </c>
      <c r="X3735" s="161" t="b">
        <f t="array" ref="X3735">index('Query Tool'!B:B,match(D3735,'Query Tool'!C:C,0))</f>
        <v>1</v>
      </c>
      <c r="Y3735" s="161" t="str">
        <f t="shared" si="6"/>
        <v>chrisma01,2020-21</v>
      </c>
      <c r="Z3735" s="168" t="str">
        <f t="array" ref="Z3735">iferror(index(I:I,match($A3735&amp;","&amp;index('Year Conversion'!$A:$A,match($C3735,'Year Conversion'!$B:$B,0)),$Y:$Y,0))-I3735,"")</f>
        <v/>
      </c>
      <c r="AA3735" s="168" t="str">
        <f t="array" ref="AA3735">iferror(index(J:J,match($A3735&amp;","&amp;index('Year Conversion'!$A:$A,match($C3735,'Year Conversion'!$B:$B,0)),$Y:$Y,0))-J3735,"")</f>
        <v/>
      </c>
      <c r="AB3735" s="168" t="str">
        <f t="array" ref="AB3735">iferror(index(K:K,match($A3735&amp;","&amp;index('Year Conversion'!$A:$A,match($C3735,'Year Conversion'!$B:$B,0)),$Y:$Y,0))-K3735,"")</f>
        <v/>
      </c>
      <c r="AC3735" s="168" t="str">
        <f t="shared" si="7"/>
        <v>GSW,2020-21</v>
      </c>
    </row>
    <row r="3736">
      <c r="A3736" s="161" t="str">
        <f>IFERROR(__xludf.DUMMYFUNCTION("""COMPUTED_VALUE"""),"hieldbu01")</f>
        <v>hieldbu01</v>
      </c>
      <c r="B3736" s="161" t="str">
        <f>IFERROR(__xludf.DUMMYFUNCTION("""COMPUTED_VALUE"""),"Buddy Hield")</f>
        <v>Buddy Hield</v>
      </c>
      <c r="C3736" s="162" t="str">
        <f>IFERROR(__xludf.DUMMYFUNCTION("""COMPUTED_VALUE"""),"2020-21")</f>
        <v>2020-21</v>
      </c>
      <c r="D3736" s="163" t="str">
        <f>IFERROR(__xludf.DUMMYFUNCTION("""COMPUTED_VALUE"""),"SAC")</f>
        <v>SAC</v>
      </c>
      <c r="E3736" s="164" t="str">
        <f>IFERROR(__xludf.DUMMYFUNCTION("""COMPUTED_VALUE"""),"Movement Shooter")</f>
        <v>Movement Shooter</v>
      </c>
      <c r="F3736" s="164">
        <f>IFERROR(__xludf.DUMMYFUNCTION("""COMPUTED_VALUE"""),1030.84166666667)</f>
        <v>1030.841667</v>
      </c>
      <c r="G3736" s="163">
        <f>IFERROR(__xludf.DUMMYFUNCTION("""COMPUTED_VALUE"""),30.0)</f>
        <v>30</v>
      </c>
      <c r="H3736" s="163" t="str">
        <f>IFERROR(__xludf.DUMMYFUNCTION("""COMPUTED_VALUE"""),"SG")</f>
        <v>SG</v>
      </c>
      <c r="I3736" s="163">
        <f>IFERROR(__xludf.DUMMYFUNCTION("""COMPUTED_VALUE"""),28.0)</f>
        <v>28</v>
      </c>
      <c r="J3736" s="165">
        <f>IFERROR(__xludf.DUMMYFUNCTION("""COMPUTED_VALUE"""),-1.26264182025571)</f>
        <v>-1.26264182</v>
      </c>
      <c r="K3736" s="165">
        <f>IFERROR(__xludf.DUMMYFUNCTION("""COMPUTED_VALUE"""),0.375838950428458)</f>
        <v>0.3758389504</v>
      </c>
      <c r="L3736" s="165">
        <f>IFERROR(__xludf.DUMMYFUNCTION("""COMPUTED_VALUE"""),-1.63848077068417)</f>
        <v>-1.638480771</v>
      </c>
      <c r="M3736" s="166">
        <f t="shared" si="2"/>
        <v>0.7136380038</v>
      </c>
      <c r="N3736" s="167">
        <f t="shared" si="3"/>
        <v>34.36138889</v>
      </c>
      <c r="O3736" s="163">
        <f t="shared" ref="O3736:Q3736" si="3740">rank(I3736,I:I)</f>
        <v>1090</v>
      </c>
      <c r="P3736" s="163">
        <f t="shared" si="3740"/>
        <v>2829</v>
      </c>
      <c r="Q3736" s="163">
        <f t="shared" si="3740"/>
        <v>848</v>
      </c>
      <c r="R3736" s="163">
        <f>IFERROR(__xludf.DUMMYFUNCTION("RANK(M3736,filter(M:M,C:C=C3736))"),156.0)</f>
        <v>156</v>
      </c>
      <c r="S3736" s="161" t="b">
        <f t="shared" si="5"/>
        <v>1</v>
      </c>
      <c r="T3736" s="161" t="b">
        <f t="array" ref="T3736">index('Query Tool'!B:B,match(H3736,'Query Tool'!C:C,0))</f>
        <v>1</v>
      </c>
      <c r="U3736" s="161" t="b">
        <f t="array" ref="U3736">index('Query Tool'!B:B,match(C3736,'Query Tool'!C:C,0))</f>
        <v>1</v>
      </c>
      <c r="V3736" s="161" t="b">
        <f>F3736&gt;='Query Tool'!C$32</f>
        <v>1</v>
      </c>
      <c r="W3736" s="161" t="b">
        <f t="array" ref="W3736">index(Dropdowns!B:B,match(I3736,Dropdowns!A:A,0))</f>
        <v>1</v>
      </c>
      <c r="X3736" s="161" t="b">
        <f t="array" ref="X3736">index('Query Tool'!B:B,match(D3736,'Query Tool'!C:C,0))</f>
        <v>1</v>
      </c>
      <c r="Y3736" s="161" t="str">
        <f t="shared" si="6"/>
        <v>hieldbu01,2020-21</v>
      </c>
      <c r="Z3736" s="168" t="str">
        <f t="array" ref="Z3736">iferror(index(I:I,match($A3736&amp;","&amp;index('Year Conversion'!$A:$A,match($C3736,'Year Conversion'!$B:$B,0)),$Y:$Y,0))-I3736,"")</f>
        <v/>
      </c>
      <c r="AA3736" s="168" t="str">
        <f t="array" ref="AA3736">iferror(index(J:J,match($A3736&amp;","&amp;index('Year Conversion'!$A:$A,match($C3736,'Year Conversion'!$B:$B,0)),$Y:$Y,0))-J3736,"")</f>
        <v/>
      </c>
      <c r="AB3736" s="168" t="str">
        <f t="array" ref="AB3736">iferror(index(K:K,match($A3736&amp;","&amp;index('Year Conversion'!$A:$A,match($C3736,'Year Conversion'!$B:$B,0)),$Y:$Y,0))-K3736,"")</f>
        <v/>
      </c>
      <c r="AC3736" s="168" t="str">
        <f t="shared" si="7"/>
        <v>SAC,2020-21</v>
      </c>
    </row>
    <row r="3737">
      <c r="A3737" s="161" t="str">
        <f>IFERROR(__xludf.DUMMYFUNCTION("""COMPUTED_VALUE"""),"ingrabr01")</f>
        <v>ingrabr01</v>
      </c>
      <c r="B3737" s="161" t="str">
        <f>IFERROR(__xludf.DUMMYFUNCTION("""COMPUTED_VALUE"""),"Brandon Ingram")</f>
        <v>Brandon Ingram</v>
      </c>
      <c r="C3737" s="162" t="str">
        <f>IFERROR(__xludf.DUMMYFUNCTION("""COMPUTED_VALUE"""),"2020-21")</f>
        <v>2020-21</v>
      </c>
      <c r="D3737" s="163" t="str">
        <f>IFERROR(__xludf.DUMMYFUNCTION("""COMPUTED_VALUE"""),"NOP")</f>
        <v>NOP</v>
      </c>
      <c r="E3737" s="164" t="str">
        <f>IFERROR(__xludf.DUMMYFUNCTION("""COMPUTED_VALUE"""),"Shot Creator")</f>
        <v>Shot Creator</v>
      </c>
      <c r="F3737" s="164">
        <f>IFERROR(__xludf.DUMMYFUNCTION("""COMPUTED_VALUE"""),1049.29333333333)</f>
        <v>1049.293333</v>
      </c>
      <c r="G3737" s="163">
        <f>IFERROR(__xludf.DUMMYFUNCTION("""COMPUTED_VALUE"""),30.0)</f>
        <v>30</v>
      </c>
      <c r="H3737" s="163" t="str">
        <f>IFERROR(__xludf.DUMMYFUNCTION("""COMPUTED_VALUE"""),"SF")</f>
        <v>SF</v>
      </c>
      <c r="I3737" s="163">
        <f>IFERROR(__xludf.DUMMYFUNCTION("""COMPUTED_VALUE"""),23.0)</f>
        <v>23</v>
      </c>
      <c r="J3737" s="165">
        <f>IFERROR(__xludf.DUMMYFUNCTION("""COMPUTED_VALUE"""),1.36541950061141)</f>
        <v>1.365419501</v>
      </c>
      <c r="K3737" s="165">
        <f>IFERROR(__xludf.DUMMYFUNCTION("""COMPUTED_VALUE"""),2.48557222417071)</f>
        <v>2.485572224</v>
      </c>
      <c r="L3737" s="165">
        <f>IFERROR(__xludf.DUMMYFUNCTION("""COMPUTED_VALUE"""),-1.1201527235593)</f>
        <v>-1.120152724</v>
      </c>
      <c r="M3737" s="166">
        <f t="shared" si="2"/>
        <v>2.58109558</v>
      </c>
      <c r="N3737" s="167">
        <f t="shared" si="3"/>
        <v>34.97644444</v>
      </c>
      <c r="O3737" s="163">
        <f t="shared" ref="O3737:Q3737" si="3741">rank(I3737,I:I)</f>
        <v>2765</v>
      </c>
      <c r="P3737" s="163">
        <f t="shared" si="3741"/>
        <v>505</v>
      </c>
      <c r="Q3737" s="163">
        <f t="shared" si="3741"/>
        <v>157</v>
      </c>
      <c r="R3737" s="163">
        <f>IFERROR(__xludf.DUMMYFUNCTION("RANK(M3737,filter(M:M,C:C=C3737))"),30.0)</f>
        <v>30</v>
      </c>
      <c r="S3737" s="161" t="b">
        <f t="shared" si="5"/>
        <v>1</v>
      </c>
      <c r="T3737" s="161" t="b">
        <f t="array" ref="T3737">index('Query Tool'!B:B,match(H3737,'Query Tool'!C:C,0))</f>
        <v>1</v>
      </c>
      <c r="U3737" s="161" t="b">
        <f t="array" ref="U3737">index('Query Tool'!B:B,match(C3737,'Query Tool'!C:C,0))</f>
        <v>1</v>
      </c>
      <c r="V3737" s="161" t="b">
        <f>F3737&gt;='Query Tool'!C$32</f>
        <v>1</v>
      </c>
      <c r="W3737" s="161" t="b">
        <f t="array" ref="W3737">index(Dropdowns!B:B,match(I3737,Dropdowns!A:A,0))</f>
        <v>1</v>
      </c>
      <c r="X3737" s="161" t="b">
        <f t="array" ref="X3737">index('Query Tool'!B:B,match(D3737,'Query Tool'!C:C,0))</f>
        <v>1</v>
      </c>
      <c r="Y3737" s="161" t="str">
        <f t="shared" si="6"/>
        <v>ingrabr01,2020-21</v>
      </c>
      <c r="Z3737" s="168" t="str">
        <f t="array" ref="Z3737">iferror(index(I:I,match($A3737&amp;","&amp;index('Year Conversion'!$A:$A,match($C3737,'Year Conversion'!$B:$B,0)),$Y:$Y,0))-I3737,"")</f>
        <v/>
      </c>
      <c r="AA3737" s="168" t="str">
        <f t="array" ref="AA3737">iferror(index(J:J,match($A3737&amp;","&amp;index('Year Conversion'!$A:$A,match($C3737,'Year Conversion'!$B:$B,0)),$Y:$Y,0))-J3737,"")</f>
        <v/>
      </c>
      <c r="AB3737" s="168" t="str">
        <f t="array" ref="AB3737">iferror(index(K:K,match($A3737&amp;","&amp;index('Year Conversion'!$A:$A,match($C3737,'Year Conversion'!$B:$B,0)),$Y:$Y,0))-K3737,"")</f>
        <v/>
      </c>
      <c r="AC3737" s="168" t="str">
        <f t="shared" si="7"/>
        <v>NOP,2020-21</v>
      </c>
    </row>
    <row r="3738">
      <c r="A3738" s="161" t="str">
        <f>IFERROR(__xludf.DUMMYFUNCTION("""COMPUTED_VALUE"""),"jonesda03")</f>
        <v>jonesda03</v>
      </c>
      <c r="B3738" s="161" t="str">
        <f>IFERROR(__xludf.DUMMYFUNCTION("""COMPUTED_VALUE"""),"Damian Jones")</f>
        <v>Damian Jones</v>
      </c>
      <c r="C3738" s="162" t="str">
        <f>IFERROR(__xludf.DUMMYFUNCTION("""COMPUTED_VALUE"""),"2020-21")</f>
        <v>2020-21</v>
      </c>
      <c r="D3738" s="163" t="str">
        <f>IFERROR(__xludf.DUMMYFUNCTION("""COMPUTED_VALUE"""),"PHO")</f>
        <v>PHO</v>
      </c>
      <c r="E3738" s="164" t="str">
        <f>IFERROR(__xludf.DUMMYFUNCTION("""COMPUTED_VALUE"""),"Roll + Cut Big")</f>
        <v>Roll + Cut Big</v>
      </c>
      <c r="F3738" s="164">
        <f>IFERROR(__xludf.DUMMYFUNCTION("""COMPUTED_VALUE"""),87.9383333333333)</f>
        <v>87.93833333</v>
      </c>
      <c r="G3738" s="163">
        <f>IFERROR(__xludf.DUMMYFUNCTION("""COMPUTED_VALUE"""),13.0)</f>
        <v>13</v>
      </c>
      <c r="H3738" s="163" t="str">
        <f>IFERROR(__xludf.DUMMYFUNCTION("""COMPUTED_VALUE"""),"C")</f>
        <v>C</v>
      </c>
      <c r="I3738" s="163">
        <f>IFERROR(__xludf.DUMMYFUNCTION("""COMPUTED_VALUE"""),25.0)</f>
        <v>25</v>
      </c>
      <c r="J3738" s="165">
        <f>IFERROR(__xludf.DUMMYFUNCTION("""COMPUTED_VALUE"""),-1.59906056100683)</f>
        <v>-1.599060561</v>
      </c>
      <c r="K3738" s="165">
        <f>IFERROR(__xludf.DUMMYFUNCTION("""COMPUTED_VALUE"""),-1.0714032892291)</f>
        <v>-1.071403289</v>
      </c>
      <c r="L3738" s="165">
        <f>IFERROR(__xludf.DUMMYFUNCTION("""COMPUTED_VALUE"""),-0.527657271777725)</f>
        <v>-0.5276572718</v>
      </c>
      <c r="M3738" s="166">
        <f t="shared" si="2"/>
        <v>0.0411032165</v>
      </c>
      <c r="N3738" s="167">
        <f t="shared" si="3"/>
        <v>6.764487179</v>
      </c>
      <c r="O3738" s="163">
        <f t="shared" ref="O3738:Q3738" si="3742">rank(I3738,I:I)</f>
        <v>1995</v>
      </c>
      <c r="P3738" s="163">
        <f t="shared" si="3742"/>
        <v>3142</v>
      </c>
      <c r="Q3738" s="163">
        <f t="shared" si="3742"/>
        <v>2898</v>
      </c>
      <c r="R3738" s="163">
        <f>IFERROR(__xludf.DUMMYFUNCTION("RANK(M3738,filter(M:M,C:C=C3738))"),391.0)</f>
        <v>391</v>
      </c>
      <c r="S3738" s="161" t="b">
        <f t="shared" si="5"/>
        <v>0</v>
      </c>
      <c r="T3738" s="161" t="b">
        <f t="array" ref="T3738">index('Query Tool'!B:B,match(H3738,'Query Tool'!C:C,0))</f>
        <v>1</v>
      </c>
      <c r="U3738" s="161" t="b">
        <f t="array" ref="U3738">index('Query Tool'!B:B,match(C3738,'Query Tool'!C:C,0))</f>
        <v>1</v>
      </c>
      <c r="V3738" s="161" t="b">
        <f>F3738&gt;='Query Tool'!C$32</f>
        <v>0</v>
      </c>
      <c r="W3738" s="161" t="b">
        <f t="array" ref="W3738">index(Dropdowns!B:B,match(I3738,Dropdowns!A:A,0))</f>
        <v>1</v>
      </c>
      <c r="X3738" s="161" t="b">
        <f t="array" ref="X3738">index('Query Tool'!B:B,match(D3738,'Query Tool'!C:C,0))</f>
        <v>1</v>
      </c>
      <c r="Y3738" s="161" t="str">
        <f t="shared" si="6"/>
        <v>jonesda03,2020-21</v>
      </c>
      <c r="Z3738" s="168" t="str">
        <f t="array" ref="Z3738">iferror(index(I:I,match($A3738&amp;","&amp;index('Year Conversion'!$A:$A,match($C3738,'Year Conversion'!$B:$B,0)),$Y:$Y,0))-I3738,"")</f>
        <v/>
      </c>
      <c r="AA3738" s="168" t="str">
        <f t="array" ref="AA3738">iferror(index(J:J,match($A3738&amp;","&amp;index('Year Conversion'!$A:$A,match($C3738,'Year Conversion'!$B:$B,0)),$Y:$Y,0))-J3738,"")</f>
        <v/>
      </c>
      <c r="AB3738" s="168" t="str">
        <f t="array" ref="AB3738">iferror(index(K:K,match($A3738&amp;","&amp;index('Year Conversion'!$A:$A,match($C3738,'Year Conversion'!$B:$B,0)),$Y:$Y,0))-K3738,"")</f>
        <v/>
      </c>
      <c r="AC3738" s="168" t="str">
        <f t="shared" si="7"/>
        <v>PHO,2020-21</v>
      </c>
    </row>
    <row r="3739">
      <c r="A3739" s="161" t="str">
        <f>IFERROR(__xludf.DUMMYFUNCTION("""COMPUTED_VALUE"""),"leverca01")</f>
        <v>leverca01</v>
      </c>
      <c r="B3739" s="161" t="str">
        <f>IFERROR(__xludf.DUMMYFUNCTION("""COMPUTED_VALUE"""),"Caris LeVert")</f>
        <v>Caris LeVert</v>
      </c>
      <c r="C3739" s="162" t="str">
        <f>IFERROR(__xludf.DUMMYFUNCTION("""COMPUTED_VALUE"""),"2020-21")</f>
        <v>2020-21</v>
      </c>
      <c r="D3739" s="163" t="str">
        <f>IFERROR(__xludf.DUMMYFUNCTION("""COMPUTED_VALUE"""),"BRK")</f>
        <v>BRK</v>
      </c>
      <c r="E3739" s="164" t="str">
        <f>IFERROR(__xludf.DUMMYFUNCTION("""COMPUTED_VALUE"""),"Primary Ball Handler")</f>
        <v>Primary Ball Handler</v>
      </c>
      <c r="F3739" s="164">
        <f>IFERROR(__xludf.DUMMYFUNCTION("""COMPUTED_VALUE"""),333.68)</f>
        <v>333.68</v>
      </c>
      <c r="G3739" s="163">
        <f>IFERROR(__xludf.DUMMYFUNCTION("""COMPUTED_VALUE"""),12.0)</f>
        <v>12</v>
      </c>
      <c r="H3739" s="163" t="str">
        <f>IFERROR(__xludf.DUMMYFUNCTION("""COMPUTED_VALUE"""),"SG")</f>
        <v>SG</v>
      </c>
      <c r="I3739" s="163">
        <f>IFERROR(__xludf.DUMMYFUNCTION("""COMPUTED_VALUE"""),26.0)</f>
        <v>26</v>
      </c>
      <c r="J3739" s="165">
        <f>IFERROR(__xludf.DUMMYFUNCTION("""COMPUTED_VALUE"""),1.68884757809565)</f>
        <v>1.688847578</v>
      </c>
      <c r="K3739" s="165">
        <f>IFERROR(__xludf.DUMMYFUNCTION("""COMPUTED_VALUE"""),2.25987982196182)</f>
        <v>2.259879822</v>
      </c>
      <c r="L3739" s="165">
        <f>IFERROR(__xludf.DUMMYFUNCTION("""COMPUTED_VALUE"""),-0.571032243866169)</f>
        <v>-0.5710322439</v>
      </c>
      <c r="M3739" s="166">
        <f t="shared" si="2"/>
        <v>0.8928544025</v>
      </c>
      <c r="N3739" s="167">
        <f t="shared" si="3"/>
        <v>27.80666667</v>
      </c>
      <c r="O3739" s="163">
        <f t="shared" ref="O3739:Q3739" si="3743">rank(I3739,I:I)</f>
        <v>1665</v>
      </c>
      <c r="P3739" s="163">
        <f t="shared" si="3743"/>
        <v>403</v>
      </c>
      <c r="Q3739" s="163">
        <f t="shared" si="3743"/>
        <v>184</v>
      </c>
      <c r="R3739" s="163">
        <f>IFERROR(__xludf.DUMMYFUNCTION("RANK(M3739,filter(M:M,C:C=C3739))"),131.0)</f>
        <v>131</v>
      </c>
      <c r="S3739" s="161" t="b">
        <f t="shared" si="5"/>
        <v>0</v>
      </c>
      <c r="T3739" s="161" t="b">
        <f t="array" ref="T3739">index('Query Tool'!B:B,match(H3739,'Query Tool'!C:C,0))</f>
        <v>1</v>
      </c>
      <c r="U3739" s="161" t="b">
        <f t="array" ref="U3739">index('Query Tool'!B:B,match(C3739,'Query Tool'!C:C,0))</f>
        <v>1</v>
      </c>
      <c r="V3739" s="161" t="b">
        <f>F3739&gt;='Query Tool'!C$32</f>
        <v>0</v>
      </c>
      <c r="W3739" s="161" t="b">
        <f t="array" ref="W3739">index(Dropdowns!B:B,match(I3739,Dropdowns!A:A,0))</f>
        <v>1</v>
      </c>
      <c r="X3739" s="161" t="b">
        <f t="array" ref="X3739">index('Query Tool'!B:B,match(D3739,'Query Tool'!C:C,0))</f>
        <v>1</v>
      </c>
      <c r="Y3739" s="161" t="str">
        <f t="shared" si="6"/>
        <v>leverca01,2020-21</v>
      </c>
      <c r="Z3739" s="168" t="str">
        <f t="array" ref="Z3739">iferror(index(I:I,match($A3739&amp;","&amp;index('Year Conversion'!$A:$A,match($C3739,'Year Conversion'!$B:$B,0)),$Y:$Y,0))-I3739,"")</f>
        <v/>
      </c>
      <c r="AA3739" s="168" t="str">
        <f t="array" ref="AA3739">iferror(index(J:J,match($A3739&amp;","&amp;index('Year Conversion'!$A:$A,match($C3739,'Year Conversion'!$B:$B,0)),$Y:$Y,0))-J3739,"")</f>
        <v/>
      </c>
      <c r="AB3739" s="168" t="str">
        <f t="array" ref="AB3739">iferror(index(K:K,match($A3739&amp;","&amp;index('Year Conversion'!$A:$A,match($C3739,'Year Conversion'!$B:$B,0)),$Y:$Y,0))-K3739,"")</f>
        <v/>
      </c>
      <c r="AC3739" s="168" t="str">
        <f t="shared" si="7"/>
        <v>BRK,2020-21</v>
      </c>
    </row>
    <row r="3740">
      <c r="A3740" s="161" t="str">
        <f>IFERROR(__xludf.DUMMYFUNCTION("""COMPUTED_VALUE"""),"makerth01")</f>
        <v>makerth01</v>
      </c>
      <c r="B3740" s="161" t="str">
        <f>IFERROR(__xludf.DUMMYFUNCTION("""COMPUTED_VALUE"""),"Thon Maker")</f>
        <v>Thon Maker</v>
      </c>
      <c r="C3740" s="162" t="str">
        <f>IFERROR(__xludf.DUMMYFUNCTION("""COMPUTED_VALUE"""),"2020-21")</f>
        <v>2020-21</v>
      </c>
      <c r="D3740" s="163" t="str">
        <f>IFERROR(__xludf.DUMMYFUNCTION("""COMPUTED_VALUE"""),"CLE")</f>
        <v>CLE</v>
      </c>
      <c r="E3740" s="164" t="str">
        <f>IFERROR(__xludf.DUMMYFUNCTION("""COMPUTED_VALUE"""),"Roll + Cut Big")</f>
        <v>Roll + Cut Big</v>
      </c>
      <c r="F3740" s="164">
        <f>IFERROR(__xludf.DUMMYFUNCTION("""COMPUTED_VALUE"""),76.4699999999999)</f>
        <v>76.47</v>
      </c>
      <c r="G3740" s="163">
        <f>IFERROR(__xludf.DUMMYFUNCTION("""COMPUTED_VALUE"""),8.0)</f>
        <v>8</v>
      </c>
      <c r="H3740" s="163" t="str">
        <f>IFERROR(__xludf.DUMMYFUNCTION("""COMPUTED_VALUE"""),"C")</f>
        <v>C</v>
      </c>
      <c r="I3740" s="163">
        <f>IFERROR(__xludf.DUMMYFUNCTION("""COMPUTED_VALUE"""),23.0)</f>
        <v>23</v>
      </c>
      <c r="J3740" s="165">
        <f>IFERROR(__xludf.DUMMYFUNCTION("""COMPUTED_VALUE"""),-0.271903633080758)</f>
        <v>-0.2719036331</v>
      </c>
      <c r="K3740" s="165">
        <f>IFERROR(__xludf.DUMMYFUNCTION("""COMPUTED_VALUE"""),-0.401696032975772)</f>
        <v>-0.401696033</v>
      </c>
      <c r="L3740" s="165">
        <f>IFERROR(__xludf.DUMMYFUNCTION("""COMPUTED_VALUE"""),0.129792399895014)</f>
        <v>0.1297923999</v>
      </c>
      <c r="M3740" s="166">
        <f t="shared" si="2"/>
        <v>0.1038746175</v>
      </c>
      <c r="N3740" s="167">
        <f t="shared" si="3"/>
        <v>9.55875</v>
      </c>
      <c r="O3740" s="163">
        <f t="shared" ref="O3740:Q3740" si="3744">rank(I3740,I:I)</f>
        <v>2765</v>
      </c>
      <c r="P3740" s="163">
        <f t="shared" si="3744"/>
        <v>1581</v>
      </c>
      <c r="Q3740" s="163">
        <f t="shared" si="3744"/>
        <v>1945</v>
      </c>
      <c r="R3740" s="163">
        <f>IFERROR(__xludf.DUMMYFUNCTION("RANK(M3740,filter(M:M,C:C=C3740))"),331.0)</f>
        <v>331</v>
      </c>
      <c r="S3740" s="161" t="b">
        <f t="shared" si="5"/>
        <v>0</v>
      </c>
      <c r="T3740" s="161" t="b">
        <f t="array" ref="T3740">index('Query Tool'!B:B,match(H3740,'Query Tool'!C:C,0))</f>
        <v>1</v>
      </c>
      <c r="U3740" s="161" t="b">
        <f t="array" ref="U3740">index('Query Tool'!B:B,match(C3740,'Query Tool'!C:C,0))</f>
        <v>1</v>
      </c>
      <c r="V3740" s="161" t="b">
        <f>F3740&gt;='Query Tool'!C$32</f>
        <v>0</v>
      </c>
      <c r="W3740" s="161" t="b">
        <f t="array" ref="W3740">index(Dropdowns!B:B,match(I3740,Dropdowns!A:A,0))</f>
        <v>1</v>
      </c>
      <c r="X3740" s="161" t="b">
        <f t="array" ref="X3740">index('Query Tool'!B:B,match(D3740,'Query Tool'!C:C,0))</f>
        <v>1</v>
      </c>
      <c r="Y3740" s="161" t="str">
        <f t="shared" si="6"/>
        <v>makerth01,2020-21</v>
      </c>
      <c r="Z3740" s="168" t="str">
        <f t="array" ref="Z3740">iferror(index(I:I,match($A3740&amp;","&amp;index('Year Conversion'!$A:$A,match($C3740,'Year Conversion'!$B:$B,0)),$Y:$Y,0))-I3740,"")</f>
        <v/>
      </c>
      <c r="AA3740" s="168" t="str">
        <f t="array" ref="AA3740">iferror(index(J:J,match($A3740&amp;","&amp;index('Year Conversion'!$A:$A,match($C3740,'Year Conversion'!$B:$B,0)),$Y:$Y,0))-J3740,"")</f>
        <v/>
      </c>
      <c r="AB3740" s="168" t="str">
        <f t="array" ref="AB3740">iferror(index(K:K,match($A3740&amp;","&amp;index('Year Conversion'!$A:$A,match($C3740,'Year Conversion'!$B:$B,0)),$Y:$Y,0))-K3740,"")</f>
        <v/>
      </c>
      <c r="AC3740" s="168" t="str">
        <f t="shared" si="7"/>
        <v>CLE,2020-21</v>
      </c>
    </row>
    <row r="3741">
      <c r="A3741" s="161" t="str">
        <f>IFERROR(__xludf.DUMMYFUNCTION("""COMPUTED_VALUE"""),"murrade01")</f>
        <v>murrade01</v>
      </c>
      <c r="B3741" s="161" t="str">
        <f>IFERROR(__xludf.DUMMYFUNCTION("""COMPUTED_VALUE"""),"Dejounte Murray")</f>
        <v>Dejounte Murray</v>
      </c>
      <c r="C3741" s="162" t="str">
        <f>IFERROR(__xludf.DUMMYFUNCTION("""COMPUTED_VALUE"""),"2020-21")</f>
        <v>2020-21</v>
      </c>
      <c r="D3741" s="163" t="str">
        <f>IFERROR(__xludf.DUMMYFUNCTION("""COMPUTED_VALUE"""),"SAS")</f>
        <v>SAS</v>
      </c>
      <c r="E3741" s="164" t="str">
        <f>IFERROR(__xludf.DUMMYFUNCTION("""COMPUTED_VALUE"""),"Slasher")</f>
        <v>Slasher</v>
      </c>
      <c r="F3741" s="164">
        <f>IFERROR(__xludf.DUMMYFUNCTION("""COMPUTED_VALUE"""),821.036666666667)</f>
        <v>821.0366667</v>
      </c>
      <c r="G3741" s="163">
        <f>IFERROR(__xludf.DUMMYFUNCTION("""COMPUTED_VALUE"""),27.0)</f>
        <v>27</v>
      </c>
      <c r="H3741" s="163" t="str">
        <f>IFERROR(__xludf.DUMMYFUNCTION("""COMPUTED_VALUE"""),"PG")</f>
        <v>PG</v>
      </c>
      <c r="I3741" s="163">
        <f>IFERROR(__xludf.DUMMYFUNCTION("""COMPUTED_VALUE"""),24.0)</f>
        <v>24</v>
      </c>
      <c r="J3741" s="165">
        <f>IFERROR(__xludf.DUMMYFUNCTION("""COMPUTED_VALUE"""),2.35856510955178)</f>
        <v>2.35856511</v>
      </c>
      <c r="K3741" s="165">
        <f>IFERROR(__xludf.DUMMYFUNCTION("""COMPUTED_VALUE"""),0.704662893474262)</f>
        <v>0.7046628935</v>
      </c>
      <c r="L3741" s="165">
        <f>IFERROR(__xludf.DUMMYFUNCTION("""COMPUTED_VALUE"""),1.65390221607752)</f>
        <v>1.653902216</v>
      </c>
      <c r="M3741" s="166">
        <f t="shared" si="2"/>
        <v>2.561315657</v>
      </c>
      <c r="N3741" s="167">
        <f t="shared" si="3"/>
        <v>30.40876543</v>
      </c>
      <c r="O3741" s="163">
        <f t="shared" ref="O3741:Q3741" si="3745">rank(I3741,I:I)</f>
        <v>2361</v>
      </c>
      <c r="P3741" s="163">
        <f t="shared" si="3745"/>
        <v>245</v>
      </c>
      <c r="Q3741" s="163">
        <f t="shared" si="3745"/>
        <v>649</v>
      </c>
      <c r="R3741" s="163">
        <f>IFERROR(__xludf.DUMMYFUNCTION("RANK(M3741,filter(M:M,C:C=C3741))"),31.0)</f>
        <v>31</v>
      </c>
      <c r="S3741" s="161" t="b">
        <f t="shared" si="5"/>
        <v>1</v>
      </c>
      <c r="T3741" s="161" t="b">
        <f t="array" ref="T3741">index('Query Tool'!B:B,match(H3741,'Query Tool'!C:C,0))</f>
        <v>1</v>
      </c>
      <c r="U3741" s="161" t="b">
        <f t="array" ref="U3741">index('Query Tool'!B:B,match(C3741,'Query Tool'!C:C,0))</f>
        <v>1</v>
      </c>
      <c r="V3741" s="161" t="b">
        <f>F3741&gt;='Query Tool'!C$32</f>
        <v>1</v>
      </c>
      <c r="W3741" s="161" t="b">
        <f t="array" ref="W3741">index(Dropdowns!B:B,match(I3741,Dropdowns!A:A,0))</f>
        <v>1</v>
      </c>
      <c r="X3741" s="161" t="b">
        <f t="array" ref="X3741">index('Query Tool'!B:B,match(D3741,'Query Tool'!C:C,0))</f>
        <v>1</v>
      </c>
      <c r="Y3741" s="161" t="str">
        <f t="shared" si="6"/>
        <v>murrade01,2020-21</v>
      </c>
      <c r="Z3741" s="168" t="str">
        <f t="array" ref="Z3741">iferror(index(I:I,match($A3741&amp;","&amp;index('Year Conversion'!$A:$A,match($C3741,'Year Conversion'!$B:$B,0)),$Y:$Y,0))-I3741,"")</f>
        <v/>
      </c>
      <c r="AA3741" s="168" t="str">
        <f t="array" ref="AA3741">iferror(index(J:J,match($A3741&amp;","&amp;index('Year Conversion'!$A:$A,match($C3741,'Year Conversion'!$B:$B,0)),$Y:$Y,0))-J3741,"")</f>
        <v/>
      </c>
      <c r="AB3741" s="168" t="str">
        <f t="array" ref="AB3741">iferror(index(K:K,match($A3741&amp;","&amp;index('Year Conversion'!$A:$A,match($C3741,'Year Conversion'!$B:$B,0)),$Y:$Y,0))-K3741,"")</f>
        <v/>
      </c>
      <c r="AC3741" s="168" t="str">
        <f t="shared" si="7"/>
        <v>SAS,2020-21</v>
      </c>
    </row>
    <row r="3742">
      <c r="A3742" s="161" t="str">
        <f>IFERROR(__xludf.DUMMYFUNCTION("""COMPUTED_VALUE"""),"murraja01")</f>
        <v>murraja01</v>
      </c>
      <c r="B3742" s="161" t="str">
        <f>IFERROR(__xludf.DUMMYFUNCTION("""COMPUTED_VALUE"""),"Jamal Murray")</f>
        <v>Jamal Murray</v>
      </c>
      <c r="C3742" s="162" t="str">
        <f>IFERROR(__xludf.DUMMYFUNCTION("""COMPUTED_VALUE"""),"2020-21")</f>
        <v>2020-21</v>
      </c>
      <c r="D3742" s="163" t="str">
        <f>IFERROR(__xludf.DUMMYFUNCTION("""COMPUTED_VALUE"""),"DEN")</f>
        <v>DEN</v>
      </c>
      <c r="E3742" s="164" t="str">
        <f>IFERROR(__xludf.DUMMYFUNCTION("""COMPUTED_VALUE"""),"Primary Ball Handler")</f>
        <v>Primary Ball Handler</v>
      </c>
      <c r="F3742" s="164">
        <f>IFERROR(__xludf.DUMMYFUNCTION("""COMPUTED_VALUE"""),981.143333333333)</f>
        <v>981.1433333</v>
      </c>
      <c r="G3742" s="163">
        <f>IFERROR(__xludf.DUMMYFUNCTION("""COMPUTED_VALUE"""),28.0)</f>
        <v>28</v>
      </c>
      <c r="H3742" s="163" t="str">
        <f>IFERROR(__xludf.DUMMYFUNCTION("""COMPUTED_VALUE"""),"PG")</f>
        <v>PG</v>
      </c>
      <c r="I3742" s="163">
        <f>IFERROR(__xludf.DUMMYFUNCTION("""COMPUTED_VALUE"""),23.0)</f>
        <v>23</v>
      </c>
      <c r="J3742" s="165">
        <f>IFERROR(__xludf.DUMMYFUNCTION("""COMPUTED_VALUE"""),1.74992848866013)</f>
        <v>1.749928489</v>
      </c>
      <c r="K3742" s="165">
        <f>IFERROR(__xludf.DUMMYFUNCTION("""COMPUTED_VALUE"""),2.30802222235815)</f>
        <v>2.308022222</v>
      </c>
      <c r="L3742" s="165">
        <f>IFERROR(__xludf.DUMMYFUNCTION("""COMPUTED_VALUE"""),-0.558093733698022)</f>
        <v>-0.5580937337</v>
      </c>
      <c r="M3742" s="166">
        <f t="shared" si="2"/>
        <v>2.665233914</v>
      </c>
      <c r="N3742" s="167">
        <f t="shared" si="3"/>
        <v>35.04083333</v>
      </c>
      <c r="O3742" s="163">
        <f t="shared" ref="O3742:Q3742" si="3746">rank(I3742,I:I)</f>
        <v>2765</v>
      </c>
      <c r="P3742" s="163">
        <f t="shared" si="3746"/>
        <v>386</v>
      </c>
      <c r="Q3742" s="163">
        <f t="shared" si="3746"/>
        <v>178</v>
      </c>
      <c r="R3742" s="163">
        <f>IFERROR(__xludf.DUMMYFUNCTION("RANK(M3742,filter(M:M,C:C=C3742))"),26.0)</f>
        <v>26</v>
      </c>
      <c r="S3742" s="161" t="b">
        <f t="shared" si="5"/>
        <v>1</v>
      </c>
      <c r="T3742" s="161" t="b">
        <f t="array" ref="T3742">index('Query Tool'!B:B,match(H3742,'Query Tool'!C:C,0))</f>
        <v>1</v>
      </c>
      <c r="U3742" s="161" t="b">
        <f t="array" ref="U3742">index('Query Tool'!B:B,match(C3742,'Query Tool'!C:C,0))</f>
        <v>1</v>
      </c>
      <c r="V3742" s="161" t="b">
        <f>F3742&gt;='Query Tool'!C$32</f>
        <v>1</v>
      </c>
      <c r="W3742" s="161" t="b">
        <f t="array" ref="W3742">index(Dropdowns!B:B,match(I3742,Dropdowns!A:A,0))</f>
        <v>1</v>
      </c>
      <c r="X3742" s="161" t="b">
        <f t="array" ref="X3742">index('Query Tool'!B:B,match(D3742,'Query Tool'!C:C,0))</f>
        <v>1</v>
      </c>
      <c r="Y3742" s="161" t="str">
        <f t="shared" si="6"/>
        <v>murraja01,2020-21</v>
      </c>
      <c r="Z3742" s="168" t="str">
        <f t="array" ref="Z3742">iferror(index(I:I,match($A3742&amp;","&amp;index('Year Conversion'!$A:$A,match($C3742,'Year Conversion'!$B:$B,0)),$Y:$Y,0))-I3742,"")</f>
        <v/>
      </c>
      <c r="AA3742" s="168" t="str">
        <f t="array" ref="AA3742">iferror(index(J:J,match($A3742&amp;","&amp;index('Year Conversion'!$A:$A,match($C3742,'Year Conversion'!$B:$B,0)),$Y:$Y,0))-J3742,"")</f>
        <v/>
      </c>
      <c r="AB3742" s="168" t="str">
        <f t="array" ref="AB3742">iferror(index(K:K,match($A3742&amp;","&amp;index('Year Conversion'!$A:$A,match($C3742,'Year Conversion'!$B:$B,0)),$Y:$Y,0))-K3742,"")</f>
        <v/>
      </c>
      <c r="AC3742" s="168" t="str">
        <f t="shared" si="7"/>
        <v>DEN,2020-21</v>
      </c>
    </row>
    <row r="3743">
      <c r="A3743" s="161" t="str">
        <f>IFERROR(__xludf.DUMMYFUNCTION("""COMPUTED_VALUE"""),"poeltja01")</f>
        <v>poeltja01</v>
      </c>
      <c r="B3743" s="161" t="str">
        <f>IFERROR(__xludf.DUMMYFUNCTION("""COMPUTED_VALUE"""),"Jakob Poeltl")</f>
        <v>Jakob Poeltl</v>
      </c>
      <c r="C3743" s="162" t="str">
        <f>IFERROR(__xludf.DUMMYFUNCTION("""COMPUTED_VALUE"""),"2020-21")</f>
        <v>2020-21</v>
      </c>
      <c r="D3743" s="163" t="str">
        <f>IFERROR(__xludf.DUMMYFUNCTION("""COMPUTED_VALUE"""),"SAS")</f>
        <v>SAS</v>
      </c>
      <c r="E3743" s="164" t="str">
        <f>IFERROR(__xludf.DUMMYFUNCTION("""COMPUTED_VALUE"""),"Roll + Cut Big")</f>
        <v>Roll + Cut Big</v>
      </c>
      <c r="F3743" s="164">
        <f>IFERROR(__xludf.DUMMYFUNCTION("""COMPUTED_VALUE"""),600.166666666667)</f>
        <v>600.1666667</v>
      </c>
      <c r="G3743" s="163">
        <f>IFERROR(__xludf.DUMMYFUNCTION("""COMPUTED_VALUE"""),27.0)</f>
        <v>27</v>
      </c>
      <c r="H3743" s="163" t="str">
        <f>IFERROR(__xludf.DUMMYFUNCTION("""COMPUTED_VALUE"""),"C")</f>
        <v>C</v>
      </c>
      <c r="I3743" s="163">
        <f>IFERROR(__xludf.DUMMYFUNCTION("""COMPUTED_VALUE"""),25.0)</f>
        <v>25</v>
      </c>
      <c r="J3743" s="165">
        <f>IFERROR(__xludf.DUMMYFUNCTION("""COMPUTED_VALUE"""),1.79075206485046)</f>
        <v>1.790752065</v>
      </c>
      <c r="K3743" s="165">
        <f>IFERROR(__xludf.DUMMYFUNCTION("""COMPUTED_VALUE"""),-1.15950606475041)</f>
        <v>-1.159506065</v>
      </c>
      <c r="L3743" s="165">
        <f>IFERROR(__xludf.DUMMYFUNCTION("""COMPUTED_VALUE"""),2.95025812960087)</f>
        <v>2.95025813</v>
      </c>
      <c r="M3743" s="166">
        <f t="shared" si="2"/>
        <v>1.646631477</v>
      </c>
      <c r="N3743" s="167">
        <f t="shared" si="3"/>
        <v>22.22839506</v>
      </c>
      <c r="O3743" s="163">
        <f t="shared" ref="O3743:Q3743" si="3747">rank(I3743,I:I)</f>
        <v>1995</v>
      </c>
      <c r="P3743" s="163">
        <f t="shared" si="3747"/>
        <v>377</v>
      </c>
      <c r="Q3743" s="163">
        <f t="shared" si="3747"/>
        <v>2997</v>
      </c>
      <c r="R3743" s="163">
        <f>IFERROR(__xludf.DUMMYFUNCTION("RANK(M3743,filter(M:M,C:C=C3743))"),72.0)</f>
        <v>72</v>
      </c>
      <c r="S3743" s="161" t="b">
        <f t="shared" si="5"/>
        <v>1</v>
      </c>
      <c r="T3743" s="161" t="b">
        <f t="array" ref="T3743">index('Query Tool'!B:B,match(H3743,'Query Tool'!C:C,0))</f>
        <v>1</v>
      </c>
      <c r="U3743" s="161" t="b">
        <f t="array" ref="U3743">index('Query Tool'!B:B,match(C3743,'Query Tool'!C:C,0))</f>
        <v>1</v>
      </c>
      <c r="V3743" s="161" t="b">
        <f>F3743&gt;='Query Tool'!C$32</f>
        <v>1</v>
      </c>
      <c r="W3743" s="161" t="b">
        <f t="array" ref="W3743">index(Dropdowns!B:B,match(I3743,Dropdowns!A:A,0))</f>
        <v>1</v>
      </c>
      <c r="X3743" s="161" t="b">
        <f t="array" ref="X3743">index('Query Tool'!B:B,match(D3743,'Query Tool'!C:C,0))</f>
        <v>1</v>
      </c>
      <c r="Y3743" s="161" t="str">
        <f t="shared" si="6"/>
        <v>poeltja01,2020-21</v>
      </c>
      <c r="Z3743" s="168" t="str">
        <f t="array" ref="Z3743">iferror(index(I:I,match($A3743&amp;","&amp;index('Year Conversion'!$A:$A,match($C3743,'Year Conversion'!$B:$B,0)),$Y:$Y,0))-I3743,"")</f>
        <v/>
      </c>
      <c r="AA3743" s="168" t="str">
        <f t="array" ref="AA3743">iferror(index(J:J,match($A3743&amp;","&amp;index('Year Conversion'!$A:$A,match($C3743,'Year Conversion'!$B:$B,0)),$Y:$Y,0))-J3743,"")</f>
        <v/>
      </c>
      <c r="AB3743" s="168" t="str">
        <f t="array" ref="AB3743">iferror(index(K:K,match($A3743&amp;","&amp;index('Year Conversion'!$A:$A,match($C3743,'Year Conversion'!$B:$B,0)),$Y:$Y,0))-K3743,"")</f>
        <v/>
      </c>
      <c r="AC3743" s="168" t="str">
        <f t="shared" si="7"/>
        <v>SAS,2020-21</v>
      </c>
    </row>
    <row r="3744">
      <c r="A3744" s="161" t="str">
        <f>IFERROR(__xludf.DUMMYFUNCTION("""COMPUTED_VALUE"""),"princta02")</f>
        <v>princta02</v>
      </c>
      <c r="B3744" s="161" t="str">
        <f>IFERROR(__xludf.DUMMYFUNCTION("""COMPUTED_VALUE"""),"Taurean Prince")</f>
        <v>Taurean Prince</v>
      </c>
      <c r="C3744" s="162" t="str">
        <f>IFERROR(__xludf.DUMMYFUNCTION("""COMPUTED_VALUE"""),"2020-21")</f>
        <v>2020-21</v>
      </c>
      <c r="D3744" s="163" t="str">
        <f>IFERROR(__xludf.DUMMYFUNCTION("""COMPUTED_VALUE"""),"TOT")</f>
        <v>TOT</v>
      </c>
      <c r="E3744" s="164" t="str">
        <f>IFERROR(__xludf.DUMMYFUNCTION("""COMPUTED_VALUE"""),"Secondary Ball Handler")</f>
        <v>Secondary Ball Handler</v>
      </c>
      <c r="F3744" s="164">
        <f>IFERROR(__xludf.DUMMYFUNCTION("""COMPUTED_VALUE"""),592.008333333333)</f>
        <v>592.0083333</v>
      </c>
      <c r="G3744" s="163">
        <f>IFERROR(__xludf.DUMMYFUNCTION("""COMPUTED_VALUE"""),27.0)</f>
        <v>27</v>
      </c>
      <c r="H3744" s="163" t="str">
        <f>IFERROR(__xludf.DUMMYFUNCTION("""COMPUTED_VALUE"""),"PF")</f>
        <v>PF</v>
      </c>
      <c r="I3744" s="163">
        <f>IFERROR(__xludf.DUMMYFUNCTION("""COMPUTED_VALUE"""),26.0)</f>
        <v>26</v>
      </c>
      <c r="J3744" s="165">
        <f>IFERROR(__xludf.DUMMYFUNCTION("""COMPUTED_VALUE"""),-0.809516114743241)</f>
        <v>-0.8095161147</v>
      </c>
      <c r="K3744" s="165">
        <f>IFERROR(__xludf.DUMMYFUNCTION("""COMPUTED_VALUE"""),-0.753873436523482)</f>
        <v>-0.7538734365</v>
      </c>
      <c r="L3744" s="165">
        <f>IFERROR(__xludf.DUMMYFUNCTION("""COMPUTED_VALUE"""),-0.0556426782197591)</f>
        <v>-0.05564267822</v>
      </c>
      <c r="M3744" s="166">
        <f t="shared" si="2"/>
        <v>0.5898744075</v>
      </c>
      <c r="N3744" s="167">
        <f t="shared" si="3"/>
        <v>21.92623457</v>
      </c>
      <c r="O3744" s="163">
        <f t="shared" ref="O3744:Q3744" si="3748">rank(I3744,I:I)</f>
        <v>1665</v>
      </c>
      <c r="P3744" s="163">
        <f t="shared" si="3748"/>
        <v>2291</v>
      </c>
      <c r="Q3744" s="163">
        <f t="shared" si="3748"/>
        <v>2484</v>
      </c>
      <c r="R3744" s="163">
        <f>IFERROR(__xludf.DUMMYFUNCTION("RANK(M3744,filter(M:M,C:C=C3744))"),172.0)</f>
        <v>172</v>
      </c>
      <c r="S3744" s="161" t="b">
        <f t="shared" si="5"/>
        <v>1</v>
      </c>
      <c r="T3744" s="161" t="b">
        <f t="array" ref="T3744">index('Query Tool'!B:B,match(H3744,'Query Tool'!C:C,0))</f>
        <v>1</v>
      </c>
      <c r="U3744" s="161" t="b">
        <f t="array" ref="U3744">index('Query Tool'!B:B,match(C3744,'Query Tool'!C:C,0))</f>
        <v>1</v>
      </c>
      <c r="V3744" s="161" t="b">
        <f>F3744&gt;='Query Tool'!C$32</f>
        <v>1</v>
      </c>
      <c r="W3744" s="161" t="b">
        <f t="array" ref="W3744">index(Dropdowns!B:B,match(I3744,Dropdowns!A:A,0))</f>
        <v>1</v>
      </c>
      <c r="X3744" s="161" t="b">
        <f t="array" ref="X3744">index('Query Tool'!B:B,match(D3744,'Query Tool'!C:C,0))</f>
        <v>1</v>
      </c>
      <c r="Y3744" s="161" t="str">
        <f t="shared" si="6"/>
        <v>princta02,2020-21</v>
      </c>
      <c r="Z3744" s="168" t="str">
        <f t="array" ref="Z3744">iferror(index(I:I,match($A3744&amp;","&amp;index('Year Conversion'!$A:$A,match($C3744,'Year Conversion'!$B:$B,0)),$Y:$Y,0))-I3744,"")</f>
        <v/>
      </c>
      <c r="AA3744" s="168" t="str">
        <f t="array" ref="AA3744">iferror(index(J:J,match($A3744&amp;","&amp;index('Year Conversion'!$A:$A,match($C3744,'Year Conversion'!$B:$B,0)),$Y:$Y,0))-J3744,"")</f>
        <v/>
      </c>
      <c r="AB3744" s="168" t="str">
        <f t="array" ref="AB3744">iferror(index(K:K,match($A3744&amp;","&amp;index('Year Conversion'!$A:$A,match($C3744,'Year Conversion'!$B:$B,0)),$Y:$Y,0))-K3744,"")</f>
        <v/>
      </c>
      <c r="AC3744" s="168" t="str">
        <f t="shared" si="7"/>
        <v>TOT,2020-21</v>
      </c>
    </row>
    <row r="3745">
      <c r="A3745" s="161" t="str">
        <f>IFERROR(__xludf.DUMMYFUNCTION("""COMPUTED_VALUE"""),"valende01")</f>
        <v>valende01</v>
      </c>
      <c r="B3745" s="161" t="str">
        <f>IFERROR(__xludf.DUMMYFUNCTION("""COMPUTED_VALUE"""),"Denzel Valentine")</f>
        <v>Denzel Valentine</v>
      </c>
      <c r="C3745" s="162" t="str">
        <f>IFERROR(__xludf.DUMMYFUNCTION("""COMPUTED_VALUE"""),"2020-21")</f>
        <v>2020-21</v>
      </c>
      <c r="D3745" s="163" t="str">
        <f>IFERROR(__xludf.DUMMYFUNCTION("""COMPUTED_VALUE"""),"CHI")</f>
        <v>CHI</v>
      </c>
      <c r="E3745" s="164" t="str">
        <f>IFERROR(__xludf.DUMMYFUNCTION("""COMPUTED_VALUE"""),"Movement Shooter")</f>
        <v>Movement Shooter</v>
      </c>
      <c r="F3745" s="164">
        <f>IFERROR(__xludf.DUMMYFUNCTION("""COMPUTED_VALUE"""),492.528333333333)</f>
        <v>492.5283333</v>
      </c>
      <c r="G3745" s="163">
        <f>IFERROR(__xludf.DUMMYFUNCTION("""COMPUTED_VALUE"""),25.0)</f>
        <v>25</v>
      </c>
      <c r="H3745" s="163" t="str">
        <f>IFERROR(__xludf.DUMMYFUNCTION("""COMPUTED_VALUE"""),"SG")</f>
        <v>SG</v>
      </c>
      <c r="I3745" s="163">
        <f>IFERROR(__xludf.DUMMYFUNCTION("""COMPUTED_VALUE"""),27.0)</f>
        <v>27</v>
      </c>
      <c r="J3745" s="165">
        <f>IFERROR(__xludf.DUMMYFUNCTION("""COMPUTED_VALUE"""),0.252172519459939)</f>
        <v>0.2521725195</v>
      </c>
      <c r="K3745" s="165">
        <f>IFERROR(__xludf.DUMMYFUNCTION("""COMPUTED_VALUE"""),-0.176971922489359)</f>
        <v>-0.1769719225</v>
      </c>
      <c r="L3745" s="165">
        <f>IFERROR(__xludf.DUMMYFUNCTION("""COMPUTED_VALUE"""),0.429144441949298)</f>
        <v>0.4291444419</v>
      </c>
      <c r="M3745" s="166">
        <f t="shared" si="2"/>
        <v>0.8430429155</v>
      </c>
      <c r="N3745" s="167">
        <f t="shared" si="3"/>
        <v>19.70113333</v>
      </c>
      <c r="O3745" s="163">
        <f t="shared" ref="O3745:Q3745" si="3749">rank(I3745,I:I)</f>
        <v>1366</v>
      </c>
      <c r="P3745" s="163">
        <f t="shared" si="3749"/>
        <v>1054</v>
      </c>
      <c r="Q3745" s="163">
        <f t="shared" si="3749"/>
        <v>1526</v>
      </c>
      <c r="R3745" s="163">
        <f>IFERROR(__xludf.DUMMYFUNCTION("RANK(M3745,filter(M:M,C:C=C3745))"),137.0)</f>
        <v>137</v>
      </c>
      <c r="S3745" s="161" t="b">
        <f t="shared" si="5"/>
        <v>0</v>
      </c>
      <c r="T3745" s="161" t="b">
        <f t="array" ref="T3745">index('Query Tool'!B:B,match(H3745,'Query Tool'!C:C,0))</f>
        <v>1</v>
      </c>
      <c r="U3745" s="161" t="b">
        <f t="array" ref="U3745">index('Query Tool'!B:B,match(C3745,'Query Tool'!C:C,0))</f>
        <v>1</v>
      </c>
      <c r="V3745" s="161" t="b">
        <f>F3745&gt;='Query Tool'!C$32</f>
        <v>0</v>
      </c>
      <c r="W3745" s="161" t="b">
        <f t="array" ref="W3745">index(Dropdowns!B:B,match(I3745,Dropdowns!A:A,0))</f>
        <v>1</v>
      </c>
      <c r="X3745" s="161" t="b">
        <f t="array" ref="X3745">index('Query Tool'!B:B,match(D3745,'Query Tool'!C:C,0))</f>
        <v>1</v>
      </c>
      <c r="Y3745" s="161" t="str">
        <f t="shared" si="6"/>
        <v>valende01,2020-21</v>
      </c>
      <c r="Z3745" s="168" t="str">
        <f t="array" ref="Z3745">iferror(index(I:I,match($A3745&amp;","&amp;index('Year Conversion'!$A:$A,match($C3745,'Year Conversion'!$B:$B,0)),$Y:$Y,0))-I3745,"")</f>
        <v/>
      </c>
      <c r="AA3745" s="168" t="str">
        <f t="array" ref="AA3745">iferror(index(J:J,match($A3745&amp;","&amp;index('Year Conversion'!$A:$A,match($C3745,'Year Conversion'!$B:$B,0)),$Y:$Y,0))-J3745,"")</f>
        <v/>
      </c>
      <c r="AB3745" s="168" t="str">
        <f t="array" ref="AB3745">iferror(index(K:K,match($A3745&amp;","&amp;index('Year Conversion'!$A:$A,match($C3745,'Year Conversion'!$B:$B,0)),$Y:$Y,0))-K3745,"")</f>
        <v/>
      </c>
      <c r="AC3745" s="168" t="str">
        <f t="shared" si="7"/>
        <v>CHI,2020-21</v>
      </c>
    </row>
    <row r="3746">
      <c r="A3746" s="161" t="str">
        <f>IFERROR(__xludf.DUMMYFUNCTION("""COMPUTED_VALUE"""),"brownja02")</f>
        <v>brownja02</v>
      </c>
      <c r="B3746" s="161" t="str">
        <f>IFERROR(__xludf.DUMMYFUNCTION("""COMPUTED_VALUE"""),"Jaylen Brown")</f>
        <v>Jaylen Brown</v>
      </c>
      <c r="C3746" s="162" t="str">
        <f>IFERROR(__xludf.DUMMYFUNCTION("""COMPUTED_VALUE"""),"2020-21")</f>
        <v>2020-21</v>
      </c>
      <c r="D3746" s="163" t="str">
        <f>IFERROR(__xludf.DUMMYFUNCTION("""COMPUTED_VALUE"""),"BOS")</f>
        <v>BOS</v>
      </c>
      <c r="E3746" s="164" t="str">
        <f>IFERROR(__xludf.DUMMYFUNCTION("""COMPUTED_VALUE"""),"Slasher")</f>
        <v>Slasher</v>
      </c>
      <c r="F3746" s="164">
        <f>IFERROR(__xludf.DUMMYFUNCTION("""COMPUTED_VALUE"""),943.075)</f>
        <v>943.075</v>
      </c>
      <c r="G3746" s="163">
        <f>IFERROR(__xludf.DUMMYFUNCTION("""COMPUTED_VALUE"""),28.0)</f>
        <v>28</v>
      </c>
      <c r="H3746" s="163" t="str">
        <f>IFERROR(__xludf.DUMMYFUNCTION("""COMPUTED_VALUE"""),"SG")</f>
        <v>SG</v>
      </c>
      <c r="I3746" s="163">
        <f>IFERROR(__xludf.DUMMYFUNCTION("""COMPUTED_VALUE"""),24.0)</f>
        <v>24</v>
      </c>
      <c r="J3746" s="165">
        <f>IFERROR(__xludf.DUMMYFUNCTION("""COMPUTED_VALUE"""),0.797357255199727)</f>
        <v>0.7973572552</v>
      </c>
      <c r="K3746" s="165">
        <f>IFERROR(__xludf.DUMMYFUNCTION("""COMPUTED_VALUE"""),1.43211830151308)</f>
        <v>1.432118302</v>
      </c>
      <c r="L3746" s="165">
        <f>IFERROR(__xludf.DUMMYFUNCTION("""COMPUTED_VALUE"""),-0.634761046313356)</f>
        <v>-0.6347610463</v>
      </c>
      <c r="M3746" s="166">
        <f t="shared" si="2"/>
        <v>1.960428965</v>
      </c>
      <c r="N3746" s="167">
        <f t="shared" si="3"/>
        <v>33.68125</v>
      </c>
      <c r="O3746" s="163">
        <f t="shared" ref="O3746:Q3746" si="3750">rank(I3746,I:I)</f>
        <v>2361</v>
      </c>
      <c r="P3746" s="163">
        <f t="shared" si="3750"/>
        <v>748</v>
      </c>
      <c r="Q3746" s="163">
        <f t="shared" si="3750"/>
        <v>342</v>
      </c>
      <c r="R3746" s="163">
        <f>IFERROR(__xludf.DUMMYFUNCTION("RANK(M3746,filter(M:M,C:C=C3746))"),47.0)</f>
        <v>47</v>
      </c>
      <c r="S3746" s="161" t="b">
        <f t="shared" si="5"/>
        <v>1</v>
      </c>
      <c r="T3746" s="161" t="b">
        <f t="array" ref="T3746">index('Query Tool'!B:B,match(H3746,'Query Tool'!C:C,0))</f>
        <v>1</v>
      </c>
      <c r="U3746" s="161" t="b">
        <f t="array" ref="U3746">index('Query Tool'!B:B,match(C3746,'Query Tool'!C:C,0))</f>
        <v>1</v>
      </c>
      <c r="V3746" s="161" t="b">
        <f>F3746&gt;='Query Tool'!C$32</f>
        <v>1</v>
      </c>
      <c r="W3746" s="161" t="b">
        <f t="array" ref="W3746">index(Dropdowns!B:B,match(I3746,Dropdowns!A:A,0))</f>
        <v>1</v>
      </c>
      <c r="X3746" s="161" t="b">
        <f t="array" ref="X3746">index('Query Tool'!B:B,match(D3746,'Query Tool'!C:C,0))</f>
        <v>1</v>
      </c>
      <c r="Y3746" s="161" t="str">
        <f t="shared" si="6"/>
        <v>brownja02,2020-21</v>
      </c>
      <c r="Z3746" s="168" t="str">
        <f t="array" ref="Z3746">iferror(index(I:I,match($A3746&amp;","&amp;index('Year Conversion'!$A:$A,match($C3746,'Year Conversion'!$B:$B,0)),$Y:$Y,0))-I3746,"")</f>
        <v/>
      </c>
      <c r="AA3746" s="168" t="str">
        <f t="array" ref="AA3746">iferror(index(J:J,match($A3746&amp;","&amp;index('Year Conversion'!$A:$A,match($C3746,'Year Conversion'!$B:$B,0)),$Y:$Y,0))-J3746,"")</f>
        <v/>
      </c>
      <c r="AB3746" s="168" t="str">
        <f t="array" ref="AB3746">iferror(index(K:K,match($A3746&amp;","&amp;index('Year Conversion'!$A:$A,match($C3746,'Year Conversion'!$B:$B,0)),$Y:$Y,0))-K3746,"")</f>
        <v/>
      </c>
      <c r="AC3746" s="168" t="str">
        <f t="shared" si="7"/>
        <v>BOS,2020-21</v>
      </c>
    </row>
    <row r="3747">
      <c r="A3747" s="161" t="str">
        <f>IFERROR(__xludf.DUMMYFUNCTION("""COMPUTED_VALUE"""),"bembrde01")</f>
        <v>bembrde01</v>
      </c>
      <c r="B3747" s="161" t="str">
        <f>IFERROR(__xludf.DUMMYFUNCTION("""COMPUTED_VALUE"""),"DeAndre' Bembry")</f>
        <v>DeAndre' Bembry</v>
      </c>
      <c r="C3747" s="162" t="str">
        <f>IFERROR(__xludf.DUMMYFUNCTION("""COMPUTED_VALUE"""),"2020-21")</f>
        <v>2020-21</v>
      </c>
      <c r="D3747" s="163" t="str">
        <f>IFERROR(__xludf.DUMMYFUNCTION("""COMPUTED_VALUE"""),"TOR")</f>
        <v>TOR</v>
      </c>
      <c r="E3747" s="164" t="str">
        <f>IFERROR(__xludf.DUMMYFUNCTION("""COMPUTED_VALUE"""),"Athletic Finisher")</f>
        <v>Athletic Finisher</v>
      </c>
      <c r="F3747" s="164">
        <f>IFERROR(__xludf.DUMMYFUNCTION("""COMPUTED_VALUE"""),343.448333333333)</f>
        <v>343.4483333</v>
      </c>
      <c r="G3747" s="163">
        <f>IFERROR(__xludf.DUMMYFUNCTION("""COMPUTED_VALUE"""),22.0)</f>
        <v>22</v>
      </c>
      <c r="H3747" s="163" t="str">
        <f>IFERROR(__xludf.DUMMYFUNCTION("""COMPUTED_VALUE"""),"SF")</f>
        <v>SF</v>
      </c>
      <c r="I3747" s="163">
        <f>IFERROR(__xludf.DUMMYFUNCTION("""COMPUTED_VALUE"""),26.0)</f>
        <v>26</v>
      </c>
      <c r="J3747" s="165">
        <f>IFERROR(__xludf.DUMMYFUNCTION("""COMPUTED_VALUE"""),-1.30889948105193)</f>
        <v>-1.308899481</v>
      </c>
      <c r="K3747" s="165">
        <f>IFERROR(__xludf.DUMMYFUNCTION("""COMPUTED_VALUE"""),-2.02401791124462)</f>
        <v>-2.024017911</v>
      </c>
      <c r="L3747" s="165">
        <f>IFERROR(__xludf.DUMMYFUNCTION("""COMPUTED_VALUE"""),0.715118430192697)</f>
        <v>0.7151184302</v>
      </c>
      <c r="M3747" s="166">
        <f t="shared" si="2"/>
        <v>0.2271272576</v>
      </c>
      <c r="N3747" s="167">
        <f t="shared" si="3"/>
        <v>15.61128788</v>
      </c>
      <c r="O3747" s="163">
        <f t="shared" ref="O3747:Q3747" si="3751">rank(I3747,I:I)</f>
        <v>1665</v>
      </c>
      <c r="P3747" s="163">
        <f t="shared" si="3751"/>
        <v>2869</v>
      </c>
      <c r="Q3747" s="163">
        <f t="shared" si="3751"/>
        <v>3720</v>
      </c>
      <c r="R3747" s="163">
        <f>IFERROR(__xludf.DUMMYFUNCTION("RANK(M3747,filter(M:M,C:C=C3747))"),269.0)</f>
        <v>269</v>
      </c>
      <c r="S3747" s="161" t="b">
        <f t="shared" si="5"/>
        <v>0</v>
      </c>
      <c r="T3747" s="161" t="b">
        <f t="array" ref="T3747">index('Query Tool'!B:B,match(H3747,'Query Tool'!C:C,0))</f>
        <v>1</v>
      </c>
      <c r="U3747" s="161" t="b">
        <f t="array" ref="U3747">index('Query Tool'!B:B,match(C3747,'Query Tool'!C:C,0))</f>
        <v>1</v>
      </c>
      <c r="V3747" s="161" t="b">
        <f>F3747&gt;='Query Tool'!C$32</f>
        <v>0</v>
      </c>
      <c r="W3747" s="161" t="b">
        <f t="array" ref="W3747">index(Dropdowns!B:B,match(I3747,Dropdowns!A:A,0))</f>
        <v>1</v>
      </c>
      <c r="X3747" s="161" t="b">
        <f t="array" ref="X3747">index('Query Tool'!B:B,match(D3747,'Query Tool'!C:C,0))</f>
        <v>1</v>
      </c>
      <c r="Y3747" s="161" t="str">
        <f t="shared" si="6"/>
        <v>bembrde01,2020-21</v>
      </c>
      <c r="Z3747" s="168" t="str">
        <f t="array" ref="Z3747">iferror(index(I:I,match($A3747&amp;","&amp;index('Year Conversion'!$A:$A,match($C3747,'Year Conversion'!$B:$B,0)),$Y:$Y,0))-I3747,"")</f>
        <v/>
      </c>
      <c r="AA3747" s="168" t="str">
        <f t="array" ref="AA3747">iferror(index(J:J,match($A3747&amp;","&amp;index('Year Conversion'!$A:$A,match($C3747,'Year Conversion'!$B:$B,0)),$Y:$Y,0))-J3747,"")</f>
        <v/>
      </c>
      <c r="AB3747" s="168" t="str">
        <f t="array" ref="AB3747">iferror(index(K:K,match($A3747&amp;","&amp;index('Year Conversion'!$A:$A,match($C3747,'Year Conversion'!$B:$B,0)),$Y:$Y,0))-K3747,"")</f>
        <v/>
      </c>
      <c r="AC3747" s="168" t="str">
        <f t="shared" si="7"/>
        <v>TOR,2020-21</v>
      </c>
    </row>
    <row r="3748">
      <c r="A3748" s="161" t="str">
        <f>IFERROR(__xludf.DUMMYFUNCTION("""COMPUTED_VALUE"""),"brogdma01")</f>
        <v>brogdma01</v>
      </c>
      <c r="B3748" s="161" t="str">
        <f>IFERROR(__xludf.DUMMYFUNCTION("""COMPUTED_VALUE"""),"Malcolm Brogdon")</f>
        <v>Malcolm Brogdon</v>
      </c>
      <c r="C3748" s="162" t="str">
        <f>IFERROR(__xludf.DUMMYFUNCTION("""COMPUTED_VALUE"""),"2020-21")</f>
        <v>2020-21</v>
      </c>
      <c r="D3748" s="163" t="str">
        <f>IFERROR(__xludf.DUMMYFUNCTION("""COMPUTED_VALUE"""),"IND")</f>
        <v>IND</v>
      </c>
      <c r="E3748" s="164" t="str">
        <f>IFERROR(__xludf.DUMMYFUNCTION("""COMPUTED_VALUE"""),"Primary Ball Handler")</f>
        <v>Primary Ball Handler</v>
      </c>
      <c r="F3748" s="164">
        <f>IFERROR(__xludf.DUMMYFUNCTION("""COMPUTED_VALUE"""),1045.04)</f>
        <v>1045.04</v>
      </c>
      <c r="G3748" s="163">
        <f>IFERROR(__xludf.DUMMYFUNCTION("""COMPUTED_VALUE"""),29.0)</f>
        <v>29</v>
      </c>
      <c r="H3748" s="163" t="str">
        <f>IFERROR(__xludf.DUMMYFUNCTION("""COMPUTED_VALUE"""),"PG")</f>
        <v>PG</v>
      </c>
      <c r="I3748" s="163">
        <f>IFERROR(__xludf.DUMMYFUNCTION("""COMPUTED_VALUE"""),28.0)</f>
        <v>28</v>
      </c>
      <c r="J3748" s="165">
        <f>IFERROR(__xludf.DUMMYFUNCTION("""COMPUTED_VALUE"""),1.71395995928891)</f>
        <v>1.713959959</v>
      </c>
      <c r="K3748" s="165">
        <f>IFERROR(__xludf.DUMMYFUNCTION("""COMPUTED_VALUE"""),1.88322304862278)</f>
        <v>1.883223049</v>
      </c>
      <c r="L3748" s="165">
        <f>IFERROR(__xludf.DUMMYFUNCTION("""COMPUTED_VALUE"""),-0.16926308933387)</f>
        <v>-0.1692630893</v>
      </c>
      <c r="M3748" s="166">
        <f t="shared" si="2"/>
        <v>2.813778853</v>
      </c>
      <c r="N3748" s="167">
        <f t="shared" si="3"/>
        <v>36.03586207</v>
      </c>
      <c r="O3748" s="163">
        <f t="shared" ref="O3748:Q3748" si="3752">rank(I3748,I:I)</f>
        <v>1090</v>
      </c>
      <c r="P3748" s="163">
        <f t="shared" si="3752"/>
        <v>393</v>
      </c>
      <c r="Q3748" s="163">
        <f t="shared" si="3752"/>
        <v>245</v>
      </c>
      <c r="R3748" s="163">
        <f>IFERROR(__xludf.DUMMYFUNCTION("RANK(M3748,filter(M:M,C:C=C3748))"),22.0)</f>
        <v>22</v>
      </c>
      <c r="S3748" s="161" t="b">
        <f t="shared" si="5"/>
        <v>1</v>
      </c>
      <c r="T3748" s="161" t="b">
        <f t="array" ref="T3748">index('Query Tool'!B:B,match(H3748,'Query Tool'!C:C,0))</f>
        <v>1</v>
      </c>
      <c r="U3748" s="161" t="b">
        <f t="array" ref="U3748">index('Query Tool'!B:B,match(C3748,'Query Tool'!C:C,0))</f>
        <v>1</v>
      </c>
      <c r="V3748" s="161" t="b">
        <f>F3748&gt;='Query Tool'!C$32</f>
        <v>1</v>
      </c>
      <c r="W3748" s="161" t="b">
        <f t="array" ref="W3748">index(Dropdowns!B:B,match(I3748,Dropdowns!A:A,0))</f>
        <v>1</v>
      </c>
      <c r="X3748" s="161" t="b">
        <f t="array" ref="X3748">index('Query Tool'!B:B,match(D3748,'Query Tool'!C:C,0))</f>
        <v>1</v>
      </c>
      <c r="Y3748" s="161" t="str">
        <f t="shared" si="6"/>
        <v>brogdma01,2020-21</v>
      </c>
      <c r="Z3748" s="168" t="str">
        <f t="array" ref="Z3748">iferror(index(I:I,match($A3748&amp;","&amp;index('Year Conversion'!$A:$A,match($C3748,'Year Conversion'!$B:$B,0)),$Y:$Y,0))-I3748,"")</f>
        <v/>
      </c>
      <c r="AA3748" s="168" t="str">
        <f t="array" ref="AA3748">iferror(index(J:J,match($A3748&amp;","&amp;index('Year Conversion'!$A:$A,match($C3748,'Year Conversion'!$B:$B,0)),$Y:$Y,0))-J3748,"")</f>
        <v/>
      </c>
      <c r="AB3748" s="168" t="str">
        <f t="array" ref="AB3748">iferror(index(K:K,match($A3748&amp;","&amp;index('Year Conversion'!$A:$A,match($C3748,'Year Conversion'!$B:$B,0)),$Y:$Y,0))-K3748,"")</f>
        <v/>
      </c>
      <c r="AC3748" s="168" t="str">
        <f t="shared" si="7"/>
        <v>IND,2020-21</v>
      </c>
    </row>
    <row r="3749">
      <c r="A3749" s="161" t="str">
        <f>IFERROR(__xludf.DUMMYFUNCTION("""COMPUTED_VALUE"""),"laymaja01")</f>
        <v>laymaja01</v>
      </c>
      <c r="B3749" s="161" t="str">
        <f>IFERROR(__xludf.DUMMYFUNCTION("""COMPUTED_VALUE"""),"Jake Layman")</f>
        <v>Jake Layman</v>
      </c>
      <c r="C3749" s="162" t="str">
        <f>IFERROR(__xludf.DUMMYFUNCTION("""COMPUTED_VALUE"""),"2020-21")</f>
        <v>2020-21</v>
      </c>
      <c r="D3749" s="163" t="str">
        <f>IFERROR(__xludf.DUMMYFUNCTION("""COMPUTED_VALUE"""),"MIN")</f>
        <v>MIN</v>
      </c>
      <c r="E3749" s="164" t="str">
        <f>IFERROR(__xludf.DUMMYFUNCTION("""COMPUTED_VALUE"""),"Movement Shooter")</f>
        <v>Movement Shooter</v>
      </c>
      <c r="F3749" s="164">
        <f>IFERROR(__xludf.DUMMYFUNCTION("""COMPUTED_VALUE"""),312.251666666666)</f>
        <v>312.2516667</v>
      </c>
      <c r="G3749" s="163">
        <f>IFERROR(__xludf.DUMMYFUNCTION("""COMPUTED_VALUE"""),21.0)</f>
        <v>21</v>
      </c>
      <c r="H3749" s="163" t="str">
        <f>IFERROR(__xludf.DUMMYFUNCTION("""COMPUTED_VALUE"""),"SF")</f>
        <v>SF</v>
      </c>
      <c r="I3749" s="163">
        <f>IFERROR(__xludf.DUMMYFUNCTION("""COMPUTED_VALUE"""),26.0)</f>
        <v>26</v>
      </c>
      <c r="J3749" s="165">
        <f>IFERROR(__xludf.DUMMYFUNCTION("""COMPUTED_VALUE"""),-1.61452135704768)</f>
        <v>-1.614521357</v>
      </c>
      <c r="K3749" s="165">
        <f>IFERROR(__xludf.DUMMYFUNCTION("""COMPUTED_VALUE"""),-1.88644218769794)</f>
        <v>-1.886442188</v>
      </c>
      <c r="L3749" s="165">
        <f>IFERROR(__xludf.DUMMYFUNCTION("""COMPUTED_VALUE"""),0.271920830650254)</f>
        <v>0.2719208307</v>
      </c>
      <c r="M3749" s="166">
        <f t="shared" si="2"/>
        <v>0.1427294224</v>
      </c>
      <c r="N3749" s="167">
        <f t="shared" si="3"/>
        <v>14.86912698</v>
      </c>
      <c r="O3749" s="163">
        <f t="shared" ref="O3749:Q3749" si="3753">rank(I3749,I:I)</f>
        <v>1665</v>
      </c>
      <c r="P3749" s="163">
        <f t="shared" si="3753"/>
        <v>3161</v>
      </c>
      <c r="Q3749" s="163">
        <f t="shared" si="3753"/>
        <v>3634</v>
      </c>
      <c r="R3749" s="163">
        <f>IFERROR(__xludf.DUMMYFUNCTION("RANK(M3749,filter(M:M,C:C=C3749))"),300.0)</f>
        <v>300</v>
      </c>
      <c r="S3749" s="161" t="b">
        <f t="shared" si="5"/>
        <v>0</v>
      </c>
      <c r="T3749" s="161" t="b">
        <f t="array" ref="T3749">index('Query Tool'!B:B,match(H3749,'Query Tool'!C:C,0))</f>
        <v>1</v>
      </c>
      <c r="U3749" s="161" t="b">
        <f t="array" ref="U3749">index('Query Tool'!B:B,match(C3749,'Query Tool'!C:C,0))</f>
        <v>1</v>
      </c>
      <c r="V3749" s="161" t="b">
        <f>F3749&gt;='Query Tool'!C$32</f>
        <v>0</v>
      </c>
      <c r="W3749" s="161" t="b">
        <f t="array" ref="W3749">index(Dropdowns!B:B,match(I3749,Dropdowns!A:A,0))</f>
        <v>1</v>
      </c>
      <c r="X3749" s="161" t="b">
        <f t="array" ref="X3749">index('Query Tool'!B:B,match(D3749,'Query Tool'!C:C,0))</f>
        <v>1</v>
      </c>
      <c r="Y3749" s="161" t="str">
        <f t="shared" si="6"/>
        <v>laymaja01,2020-21</v>
      </c>
      <c r="Z3749" s="168" t="str">
        <f t="array" ref="Z3749">iferror(index(I:I,match($A3749&amp;","&amp;index('Year Conversion'!$A:$A,match($C3749,'Year Conversion'!$B:$B,0)),$Y:$Y,0))-I3749,"")</f>
        <v/>
      </c>
      <c r="AA3749" s="168" t="str">
        <f t="array" ref="AA3749">iferror(index(J:J,match($A3749&amp;","&amp;index('Year Conversion'!$A:$A,match($C3749,'Year Conversion'!$B:$B,0)),$Y:$Y,0))-J3749,"")</f>
        <v/>
      </c>
      <c r="AB3749" s="168" t="str">
        <f t="array" ref="AB3749">iferror(index(K:K,match($A3749&amp;","&amp;index('Year Conversion'!$A:$A,match($C3749,'Year Conversion'!$B:$B,0)),$Y:$Y,0))-K3749,"")</f>
        <v/>
      </c>
      <c r="AC3749" s="168" t="str">
        <f t="shared" si="7"/>
        <v>MIN,2020-21</v>
      </c>
    </row>
    <row r="3750">
      <c r="A3750" s="161" t="str">
        <f>IFERROR(__xludf.DUMMYFUNCTION("""COMPUTED_VALUE"""),"niangge01")</f>
        <v>niangge01</v>
      </c>
      <c r="B3750" s="161" t="str">
        <f>IFERROR(__xludf.DUMMYFUNCTION("""COMPUTED_VALUE"""),"Georges Niang")</f>
        <v>Georges Niang</v>
      </c>
      <c r="C3750" s="162" t="str">
        <f>IFERROR(__xludf.DUMMYFUNCTION("""COMPUTED_VALUE"""),"2020-21")</f>
        <v>2020-21</v>
      </c>
      <c r="D3750" s="163" t="str">
        <f>IFERROR(__xludf.DUMMYFUNCTION("""COMPUTED_VALUE"""),"UTA")</f>
        <v>UTA</v>
      </c>
      <c r="E3750" s="164" t="str">
        <f>IFERROR(__xludf.DUMMYFUNCTION("""COMPUTED_VALUE"""),"Stationary Shooter")</f>
        <v>Stationary Shooter</v>
      </c>
      <c r="F3750" s="164">
        <f>IFERROR(__xludf.DUMMYFUNCTION("""COMPUTED_VALUE"""),390.74)</f>
        <v>390.74</v>
      </c>
      <c r="G3750" s="163">
        <f>IFERROR(__xludf.DUMMYFUNCTION("""COMPUTED_VALUE"""),30.0)</f>
        <v>30</v>
      </c>
      <c r="H3750" s="163" t="str">
        <f>IFERROR(__xludf.DUMMYFUNCTION("""COMPUTED_VALUE"""),"PF")</f>
        <v>PF</v>
      </c>
      <c r="I3750" s="163">
        <f>IFERROR(__xludf.DUMMYFUNCTION("""COMPUTED_VALUE"""),27.0)</f>
        <v>27</v>
      </c>
      <c r="J3750" s="165">
        <f>IFERROR(__xludf.DUMMYFUNCTION("""COMPUTED_VALUE"""),-1.17363507923071)</f>
        <v>-1.173635079</v>
      </c>
      <c r="K3750" s="165">
        <f>IFERROR(__xludf.DUMMYFUNCTION("""COMPUTED_VALUE"""),-1.56263663918971)</f>
        <v>-1.562636639</v>
      </c>
      <c r="L3750" s="165">
        <f>IFERROR(__xludf.DUMMYFUNCTION("""COMPUTED_VALUE"""),0.389001559958991)</f>
        <v>0.38900156</v>
      </c>
      <c r="M3750" s="166">
        <f t="shared" si="2"/>
        <v>0.2938069544</v>
      </c>
      <c r="N3750" s="167">
        <f t="shared" si="3"/>
        <v>13.02466667</v>
      </c>
      <c r="O3750" s="163">
        <f t="shared" ref="O3750:Q3750" si="3754">rank(I3750,I:I)</f>
        <v>1366</v>
      </c>
      <c r="P3750" s="163">
        <f t="shared" si="3754"/>
        <v>2708</v>
      </c>
      <c r="Q3750" s="163">
        <f t="shared" si="3754"/>
        <v>3415</v>
      </c>
      <c r="R3750" s="163">
        <f>IFERROR(__xludf.DUMMYFUNCTION("RANK(M3750,filter(M:M,C:C=C3750))"),249.0)</f>
        <v>249</v>
      </c>
      <c r="S3750" s="161" t="b">
        <f t="shared" si="5"/>
        <v>0</v>
      </c>
      <c r="T3750" s="161" t="b">
        <f t="array" ref="T3750">index('Query Tool'!B:B,match(H3750,'Query Tool'!C:C,0))</f>
        <v>1</v>
      </c>
      <c r="U3750" s="161" t="b">
        <f t="array" ref="U3750">index('Query Tool'!B:B,match(C3750,'Query Tool'!C:C,0))</f>
        <v>1</v>
      </c>
      <c r="V3750" s="161" t="b">
        <f>F3750&gt;='Query Tool'!C$32</f>
        <v>0</v>
      </c>
      <c r="W3750" s="161" t="b">
        <f t="array" ref="W3750">index(Dropdowns!B:B,match(I3750,Dropdowns!A:A,0))</f>
        <v>1</v>
      </c>
      <c r="X3750" s="161" t="b">
        <f t="array" ref="X3750">index('Query Tool'!B:B,match(D3750,'Query Tool'!C:C,0))</f>
        <v>1</v>
      </c>
      <c r="Y3750" s="161" t="str">
        <f t="shared" si="6"/>
        <v>niangge01,2020-21</v>
      </c>
      <c r="Z3750" s="168" t="str">
        <f t="array" ref="Z3750">iferror(index(I:I,match($A3750&amp;","&amp;index('Year Conversion'!$A:$A,match($C3750,'Year Conversion'!$B:$B,0)),$Y:$Y,0))-I3750,"")</f>
        <v/>
      </c>
      <c r="AA3750" s="168" t="str">
        <f t="array" ref="AA3750">iferror(index(J:J,match($A3750&amp;","&amp;index('Year Conversion'!$A:$A,match($C3750,'Year Conversion'!$B:$B,0)),$Y:$Y,0))-J3750,"")</f>
        <v/>
      </c>
      <c r="AB3750" s="168" t="str">
        <f t="array" ref="AB3750">iferror(index(K:K,match($A3750&amp;","&amp;index('Year Conversion'!$A:$A,match($C3750,'Year Conversion'!$B:$B,0)),$Y:$Y,0))-K3750,"")</f>
        <v/>
      </c>
      <c r="AC3750" s="168" t="str">
        <f t="shared" si="7"/>
        <v>UTA,2020-21</v>
      </c>
    </row>
    <row r="3751">
      <c r="A3751" s="161" t="str">
        <f>IFERROR(__xludf.DUMMYFUNCTION("""COMPUTED_VALUE"""),"siakapa01")</f>
        <v>siakapa01</v>
      </c>
      <c r="B3751" s="161" t="str">
        <f>IFERROR(__xludf.DUMMYFUNCTION("""COMPUTED_VALUE"""),"Pascal Siakam")</f>
        <v>Pascal Siakam</v>
      </c>
      <c r="C3751" s="162" t="str">
        <f>IFERROR(__xludf.DUMMYFUNCTION("""COMPUTED_VALUE"""),"2020-21")</f>
        <v>2020-21</v>
      </c>
      <c r="D3751" s="163" t="str">
        <f>IFERROR(__xludf.DUMMYFUNCTION("""COMPUTED_VALUE"""),"TOR")</f>
        <v>TOR</v>
      </c>
      <c r="E3751" s="164" t="str">
        <f>IFERROR(__xludf.DUMMYFUNCTION("""COMPUTED_VALUE"""),"Slasher")</f>
        <v>Slasher</v>
      </c>
      <c r="F3751" s="164">
        <f>IFERROR(__xludf.DUMMYFUNCTION("""COMPUTED_VALUE"""),1008.93166666667)</f>
        <v>1008.931667</v>
      </c>
      <c r="G3751" s="163">
        <f>IFERROR(__xludf.DUMMYFUNCTION("""COMPUTED_VALUE"""),28.0)</f>
        <v>28</v>
      </c>
      <c r="H3751" s="163" t="str">
        <f>IFERROR(__xludf.DUMMYFUNCTION("""COMPUTED_VALUE"""),"PF")</f>
        <v>PF</v>
      </c>
      <c r="I3751" s="163">
        <f>IFERROR(__xludf.DUMMYFUNCTION("""COMPUTED_VALUE"""),26.0)</f>
        <v>26</v>
      </c>
      <c r="J3751" s="165">
        <f>IFERROR(__xludf.DUMMYFUNCTION("""COMPUTED_VALUE"""),1.7292415173049)</f>
        <v>1.729241517</v>
      </c>
      <c r="K3751" s="165">
        <f>IFERROR(__xludf.DUMMYFUNCTION("""COMPUTED_VALUE"""),1.07395240392189)</f>
        <v>1.073952404</v>
      </c>
      <c r="L3751" s="165">
        <f>IFERROR(__xludf.DUMMYFUNCTION("""COMPUTED_VALUE"""),0.655289113383008)</f>
        <v>0.6552891134</v>
      </c>
      <c r="M3751" s="166">
        <f t="shared" si="2"/>
        <v>2.726824207</v>
      </c>
      <c r="N3751" s="167">
        <f t="shared" si="3"/>
        <v>36.03327381</v>
      </c>
      <c r="O3751" s="163">
        <f t="shared" ref="O3751:Q3751" si="3755">rank(I3751,I:I)</f>
        <v>1665</v>
      </c>
      <c r="P3751" s="163">
        <f t="shared" si="3755"/>
        <v>387</v>
      </c>
      <c r="Q3751" s="163">
        <f t="shared" si="3755"/>
        <v>465</v>
      </c>
      <c r="R3751" s="163">
        <f>IFERROR(__xludf.DUMMYFUNCTION("RANK(M3751,filter(M:M,C:C=C3751))"),24.0)</f>
        <v>24</v>
      </c>
      <c r="S3751" s="161" t="b">
        <f t="shared" si="5"/>
        <v>1</v>
      </c>
      <c r="T3751" s="161" t="b">
        <f t="array" ref="T3751">index('Query Tool'!B:B,match(H3751,'Query Tool'!C:C,0))</f>
        <v>1</v>
      </c>
      <c r="U3751" s="161" t="b">
        <f t="array" ref="U3751">index('Query Tool'!B:B,match(C3751,'Query Tool'!C:C,0))</f>
        <v>1</v>
      </c>
      <c r="V3751" s="161" t="b">
        <f>F3751&gt;='Query Tool'!C$32</f>
        <v>1</v>
      </c>
      <c r="W3751" s="161" t="b">
        <f t="array" ref="W3751">index(Dropdowns!B:B,match(I3751,Dropdowns!A:A,0))</f>
        <v>1</v>
      </c>
      <c r="X3751" s="161" t="b">
        <f t="array" ref="X3751">index('Query Tool'!B:B,match(D3751,'Query Tool'!C:C,0))</f>
        <v>1</v>
      </c>
      <c r="Y3751" s="161" t="str">
        <f t="shared" si="6"/>
        <v>siakapa01,2020-21</v>
      </c>
      <c r="Z3751" s="168" t="str">
        <f t="array" ref="Z3751">iferror(index(I:I,match($A3751&amp;","&amp;index('Year Conversion'!$A:$A,match($C3751,'Year Conversion'!$B:$B,0)),$Y:$Y,0))-I3751,"")</f>
        <v/>
      </c>
      <c r="AA3751" s="168" t="str">
        <f t="array" ref="AA3751">iferror(index(J:J,match($A3751&amp;","&amp;index('Year Conversion'!$A:$A,match($C3751,'Year Conversion'!$B:$B,0)),$Y:$Y,0))-J3751,"")</f>
        <v/>
      </c>
      <c r="AB3751" s="168" t="str">
        <f t="array" ref="AB3751">iferror(index(K:K,match($A3751&amp;","&amp;index('Year Conversion'!$A:$A,match($C3751,'Year Conversion'!$B:$B,0)),$Y:$Y,0))-K3751,"")</f>
        <v/>
      </c>
      <c r="AC3751" s="168" t="str">
        <f t="shared" si="7"/>
        <v>TOR,2020-21</v>
      </c>
    </row>
    <row r="3752">
      <c r="A3752" s="161" t="str">
        <f>IFERROR(__xludf.DUMMYFUNCTION("""COMPUTED_VALUE"""),"korkmfu01")</f>
        <v>korkmfu01</v>
      </c>
      <c r="B3752" s="161" t="str">
        <f>IFERROR(__xludf.DUMMYFUNCTION("""COMPUTED_VALUE"""),"Furkan Korkmaz")</f>
        <v>Furkan Korkmaz</v>
      </c>
      <c r="C3752" s="162" t="str">
        <f>IFERROR(__xludf.DUMMYFUNCTION("""COMPUTED_VALUE"""),"2020-21")</f>
        <v>2020-21</v>
      </c>
      <c r="D3752" s="163" t="str">
        <f>IFERROR(__xludf.DUMMYFUNCTION("""COMPUTED_VALUE"""),"PHI")</f>
        <v>PHI</v>
      </c>
      <c r="E3752" s="164" t="str">
        <f>IFERROR(__xludf.DUMMYFUNCTION("""COMPUTED_VALUE"""),"Stationary Shooter")</f>
        <v>Stationary Shooter</v>
      </c>
      <c r="F3752" s="164">
        <f>IFERROR(__xludf.DUMMYFUNCTION("""COMPUTED_VALUE"""),365.01)</f>
        <v>365.01</v>
      </c>
      <c r="G3752" s="163">
        <f>IFERROR(__xludf.DUMMYFUNCTION("""COMPUTED_VALUE"""),20.0)</f>
        <v>20</v>
      </c>
      <c r="H3752" s="163" t="str">
        <f>IFERROR(__xludf.DUMMYFUNCTION("""COMPUTED_VALUE"""),"SG")</f>
        <v>SG</v>
      </c>
      <c r="I3752" s="163">
        <f>IFERROR(__xludf.DUMMYFUNCTION("""COMPUTED_VALUE"""),23.0)</f>
        <v>23</v>
      </c>
      <c r="J3752" s="165">
        <f>IFERROR(__xludf.DUMMYFUNCTION("""COMPUTED_VALUE"""),-1.14470632698379)</f>
        <v>-1.144706327</v>
      </c>
      <c r="K3752" s="165">
        <f>IFERROR(__xludf.DUMMYFUNCTION("""COMPUTED_VALUE"""),-0.889510360215081)</f>
        <v>-0.8895103602</v>
      </c>
      <c r="L3752" s="165">
        <f>IFERROR(__xludf.DUMMYFUNCTION("""COMPUTED_VALUE"""),-0.255195966768708)</f>
        <v>-0.2551959668</v>
      </c>
      <c r="M3752" s="166">
        <f t="shared" si="2"/>
        <v>0.2815391814</v>
      </c>
      <c r="N3752" s="167">
        <f t="shared" si="3"/>
        <v>18.2505</v>
      </c>
      <c r="O3752" s="163">
        <f t="shared" ref="O3752:Q3752" si="3756">rank(I3752,I:I)</f>
        <v>2765</v>
      </c>
      <c r="P3752" s="163">
        <f t="shared" si="3756"/>
        <v>2675</v>
      </c>
      <c r="Q3752" s="163">
        <f t="shared" si="3756"/>
        <v>2681</v>
      </c>
      <c r="R3752" s="163">
        <f>IFERROR(__xludf.DUMMYFUNCTION("RANK(M3752,filter(M:M,C:C=C3752))"),252.0)</f>
        <v>252</v>
      </c>
      <c r="S3752" s="161" t="b">
        <f t="shared" si="5"/>
        <v>0</v>
      </c>
      <c r="T3752" s="161" t="b">
        <f t="array" ref="T3752">index('Query Tool'!B:B,match(H3752,'Query Tool'!C:C,0))</f>
        <v>1</v>
      </c>
      <c r="U3752" s="161" t="b">
        <f t="array" ref="U3752">index('Query Tool'!B:B,match(C3752,'Query Tool'!C:C,0))</f>
        <v>1</v>
      </c>
      <c r="V3752" s="161" t="b">
        <f>F3752&gt;='Query Tool'!C$32</f>
        <v>0</v>
      </c>
      <c r="W3752" s="161" t="b">
        <f t="array" ref="W3752">index(Dropdowns!B:B,match(I3752,Dropdowns!A:A,0))</f>
        <v>1</v>
      </c>
      <c r="X3752" s="161" t="b">
        <f t="array" ref="X3752">index('Query Tool'!B:B,match(D3752,'Query Tool'!C:C,0))</f>
        <v>1</v>
      </c>
      <c r="Y3752" s="161" t="str">
        <f t="shared" si="6"/>
        <v>korkmfu01,2020-21</v>
      </c>
      <c r="Z3752" s="168" t="str">
        <f t="array" ref="Z3752">iferror(index(I:I,match($A3752&amp;","&amp;index('Year Conversion'!$A:$A,match($C3752,'Year Conversion'!$B:$B,0)),$Y:$Y,0))-I3752,"")</f>
        <v/>
      </c>
      <c r="AA3752" s="168" t="str">
        <f t="array" ref="AA3752">iferror(index(J:J,match($A3752&amp;","&amp;index('Year Conversion'!$A:$A,match($C3752,'Year Conversion'!$B:$B,0)),$Y:$Y,0))-J3752,"")</f>
        <v/>
      </c>
      <c r="AB3752" s="168" t="str">
        <f t="array" ref="AB3752">iferror(index(K:K,match($A3752&amp;","&amp;index('Year Conversion'!$A:$A,match($C3752,'Year Conversion'!$B:$B,0)),$Y:$Y,0))-K3752,"")</f>
        <v/>
      </c>
      <c r="AC3752" s="168" t="str">
        <f t="shared" si="7"/>
        <v>PHI,2020-21</v>
      </c>
    </row>
    <row r="3753">
      <c r="A3753" s="161" t="str">
        <f>IFERROR(__xludf.DUMMYFUNCTION("""COMPUTED_VALUE"""),"luwawti01")</f>
        <v>luwawti01</v>
      </c>
      <c r="B3753" s="161" t="str">
        <f>IFERROR(__xludf.DUMMYFUNCTION("""COMPUTED_VALUE"""),"Timothe Luwawu-Cabarrot")</f>
        <v>Timothe Luwawu-Cabarrot</v>
      </c>
      <c r="C3753" s="162" t="str">
        <f>IFERROR(__xludf.DUMMYFUNCTION("""COMPUTED_VALUE"""),"2020-21")</f>
        <v>2020-21</v>
      </c>
      <c r="D3753" s="163" t="str">
        <f>IFERROR(__xludf.DUMMYFUNCTION("""COMPUTED_VALUE"""),"BRK")</f>
        <v>BRK</v>
      </c>
      <c r="E3753" s="164" t="str">
        <f>IFERROR(__xludf.DUMMYFUNCTION("""COMPUTED_VALUE"""),"Stationary Shooter")</f>
        <v>Stationary Shooter</v>
      </c>
      <c r="F3753" s="164">
        <f>IFERROR(__xludf.DUMMYFUNCTION("""COMPUTED_VALUE"""),622.341666666667)</f>
        <v>622.3416667</v>
      </c>
      <c r="G3753" s="163">
        <f>IFERROR(__xludf.DUMMYFUNCTION("""COMPUTED_VALUE"""),32.0)</f>
        <v>32</v>
      </c>
      <c r="H3753" s="163" t="str">
        <f>IFERROR(__xludf.DUMMYFUNCTION("""COMPUTED_VALUE"""),"SF")</f>
        <v>SF</v>
      </c>
      <c r="I3753" s="163">
        <f>IFERROR(__xludf.DUMMYFUNCTION("""COMPUTED_VALUE"""),25.0)</f>
        <v>25</v>
      </c>
      <c r="J3753" s="165">
        <f>IFERROR(__xludf.DUMMYFUNCTION("""COMPUTED_VALUE"""),-2.00476107192831)</f>
        <v>-2.004761072</v>
      </c>
      <c r="K3753" s="165">
        <f>IFERROR(__xludf.DUMMYFUNCTION("""COMPUTED_VALUE"""),-0.367315122986214)</f>
        <v>-0.367315123</v>
      </c>
      <c r="L3753" s="165">
        <f>IFERROR(__xludf.DUMMYFUNCTION("""COMPUTED_VALUE"""),-1.6374459489421)</f>
        <v>-1.637445949</v>
      </c>
      <c r="M3753" s="166">
        <f t="shared" si="2"/>
        <v>0.1229580795</v>
      </c>
      <c r="N3753" s="167">
        <f t="shared" si="3"/>
        <v>19.44817708</v>
      </c>
      <c r="O3753" s="163">
        <f t="shared" ref="O3753:Q3753" si="3757">rank(I3753,I:I)</f>
        <v>1995</v>
      </c>
      <c r="P3753" s="163">
        <f t="shared" si="3757"/>
        <v>3483</v>
      </c>
      <c r="Q3753" s="163">
        <f t="shared" si="3757"/>
        <v>1887</v>
      </c>
      <c r="R3753" s="163">
        <f>IFERROR(__xludf.DUMMYFUNCTION("RANK(M3753,filter(M:M,C:C=C3753))"),313.0)</f>
        <v>313</v>
      </c>
      <c r="S3753" s="161" t="b">
        <f t="shared" si="5"/>
        <v>1</v>
      </c>
      <c r="T3753" s="161" t="b">
        <f t="array" ref="T3753">index('Query Tool'!B:B,match(H3753,'Query Tool'!C:C,0))</f>
        <v>1</v>
      </c>
      <c r="U3753" s="161" t="b">
        <f t="array" ref="U3753">index('Query Tool'!B:B,match(C3753,'Query Tool'!C:C,0))</f>
        <v>1</v>
      </c>
      <c r="V3753" s="161" t="b">
        <f>F3753&gt;='Query Tool'!C$32</f>
        <v>1</v>
      </c>
      <c r="W3753" s="161" t="b">
        <f t="array" ref="W3753">index(Dropdowns!B:B,match(I3753,Dropdowns!A:A,0))</f>
        <v>1</v>
      </c>
      <c r="X3753" s="161" t="b">
        <f t="array" ref="X3753">index('Query Tool'!B:B,match(D3753,'Query Tool'!C:C,0))</f>
        <v>1</v>
      </c>
      <c r="Y3753" s="161" t="str">
        <f t="shared" si="6"/>
        <v>luwawti01,2020-21</v>
      </c>
      <c r="Z3753" s="168" t="str">
        <f t="array" ref="Z3753">iferror(index(I:I,match($A3753&amp;","&amp;index('Year Conversion'!$A:$A,match($C3753,'Year Conversion'!$B:$B,0)),$Y:$Y,0))-I3753,"")</f>
        <v/>
      </c>
      <c r="AA3753" s="168" t="str">
        <f t="array" ref="AA3753">iferror(index(J:J,match($A3753&amp;","&amp;index('Year Conversion'!$A:$A,match($C3753,'Year Conversion'!$B:$B,0)),$Y:$Y,0))-J3753,"")</f>
        <v/>
      </c>
      <c r="AB3753" s="168" t="str">
        <f t="array" ref="AB3753">iferror(index(K:K,match($A3753&amp;","&amp;index('Year Conversion'!$A:$A,match($C3753,'Year Conversion'!$B:$B,0)),$Y:$Y,0))-K3753,"")</f>
        <v/>
      </c>
      <c r="AC3753" s="168" t="str">
        <f t="shared" si="7"/>
        <v>BRK,2020-21</v>
      </c>
    </row>
    <row r="3754">
      <c r="A3754" s="161" t="str">
        <f>IFERROR(__xludf.DUMMYFUNCTION("""COMPUTED_VALUE"""),"ferreyo01")</f>
        <v>ferreyo01</v>
      </c>
      <c r="B3754" s="161" t="str">
        <f>IFERROR(__xludf.DUMMYFUNCTION("""COMPUTED_VALUE"""),"Yogi Ferrell")</f>
        <v>Yogi Ferrell</v>
      </c>
      <c r="C3754" s="162" t="str">
        <f>IFERROR(__xludf.DUMMYFUNCTION("""COMPUTED_VALUE"""),"2020-21")</f>
        <v>2020-21</v>
      </c>
      <c r="D3754" s="163" t="str">
        <f>IFERROR(__xludf.DUMMYFUNCTION("""COMPUTED_VALUE"""),"CLE")</f>
        <v>CLE</v>
      </c>
      <c r="E3754" s="164" t="str">
        <f>IFERROR(__xludf.DUMMYFUNCTION("""COMPUTED_VALUE"""),"Primary Ball Handler")</f>
        <v>Primary Ball Handler</v>
      </c>
      <c r="F3754" s="164">
        <f>IFERROR(__xludf.DUMMYFUNCTION("""COMPUTED_VALUE"""),40.5016666666666)</f>
        <v>40.50166667</v>
      </c>
      <c r="G3754" s="163">
        <f>IFERROR(__xludf.DUMMYFUNCTION("""COMPUTED_VALUE"""),2.0)</f>
        <v>2</v>
      </c>
      <c r="H3754" s="163" t="str">
        <f>IFERROR(__xludf.DUMMYFUNCTION("""COMPUTED_VALUE"""),"PG")</f>
        <v>PG</v>
      </c>
      <c r="I3754" s="163">
        <f>IFERROR(__xludf.DUMMYFUNCTION("""COMPUTED_VALUE"""),27.0)</f>
        <v>27</v>
      </c>
      <c r="J3754" s="165">
        <f>IFERROR(__xludf.DUMMYFUNCTION("""COMPUTED_VALUE"""),-0.0307631756004353)</f>
        <v>-0.0307631756</v>
      </c>
      <c r="K3754" s="165">
        <f>IFERROR(__xludf.DUMMYFUNCTION("""COMPUTED_VALUE"""),-0.194319008932529)</f>
        <v>-0.1943190089</v>
      </c>
      <c r="L3754" s="165">
        <f>IFERROR(__xludf.DUMMYFUNCTION("""COMPUTED_VALUE"""),0.163555833332093)</f>
        <v>0.1635558333</v>
      </c>
      <c r="M3754" s="166">
        <f t="shared" si="2"/>
        <v>0.06160005709</v>
      </c>
      <c r="N3754" s="167">
        <f t="shared" si="3"/>
        <v>20.25083333</v>
      </c>
      <c r="O3754" s="163">
        <f t="shared" ref="O3754:Q3754" si="3758">rank(I3754,I:I)</f>
        <v>1366</v>
      </c>
      <c r="P3754" s="163">
        <f t="shared" si="3758"/>
        <v>1316</v>
      </c>
      <c r="Q3754" s="163">
        <f t="shared" si="3758"/>
        <v>1555</v>
      </c>
      <c r="R3754" s="163">
        <f>IFERROR(__xludf.DUMMYFUNCTION("RANK(M3754,filter(M:M,C:C=C3754))"),364.0)</f>
        <v>364</v>
      </c>
      <c r="S3754" s="161" t="b">
        <f t="shared" si="5"/>
        <v>0</v>
      </c>
      <c r="T3754" s="161" t="b">
        <f t="array" ref="T3754">index('Query Tool'!B:B,match(H3754,'Query Tool'!C:C,0))</f>
        <v>1</v>
      </c>
      <c r="U3754" s="161" t="b">
        <f t="array" ref="U3754">index('Query Tool'!B:B,match(C3754,'Query Tool'!C:C,0))</f>
        <v>1</v>
      </c>
      <c r="V3754" s="161" t="b">
        <f>F3754&gt;='Query Tool'!C$32</f>
        <v>0</v>
      </c>
      <c r="W3754" s="161" t="b">
        <f t="array" ref="W3754">index(Dropdowns!B:B,match(I3754,Dropdowns!A:A,0))</f>
        <v>1</v>
      </c>
      <c r="X3754" s="161" t="b">
        <f t="array" ref="X3754">index('Query Tool'!B:B,match(D3754,'Query Tool'!C:C,0))</f>
        <v>1</v>
      </c>
      <c r="Y3754" s="161" t="str">
        <f t="shared" si="6"/>
        <v>ferreyo01,2020-21</v>
      </c>
      <c r="Z3754" s="168" t="str">
        <f t="array" ref="Z3754">iferror(index(I:I,match($A3754&amp;","&amp;index('Year Conversion'!$A:$A,match($C3754,'Year Conversion'!$B:$B,0)),$Y:$Y,0))-I3754,"")</f>
        <v/>
      </c>
      <c r="AA3754" s="168" t="str">
        <f t="array" ref="AA3754">iferror(index(J:J,match($A3754&amp;","&amp;index('Year Conversion'!$A:$A,match($C3754,'Year Conversion'!$B:$B,0)),$Y:$Y,0))-J3754,"")</f>
        <v/>
      </c>
      <c r="AB3754" s="168" t="str">
        <f t="array" ref="AB3754">iferror(index(K:K,match($A3754&amp;","&amp;index('Year Conversion'!$A:$A,match($C3754,'Year Conversion'!$B:$B,0)),$Y:$Y,0))-K3754,"")</f>
        <v/>
      </c>
      <c r="AC3754" s="168" t="str">
        <f t="shared" si="7"/>
        <v>CLE,2020-21</v>
      </c>
    </row>
    <row r="3755">
      <c r="A3755" s="161" t="str">
        <f>IFERROR(__xludf.DUMMYFUNCTION("""COMPUTED_VALUE"""),"leeda03")</f>
        <v>leeda03</v>
      </c>
      <c r="B3755" s="161" t="str">
        <f>IFERROR(__xludf.DUMMYFUNCTION("""COMPUTED_VALUE"""),"Damion Lee")</f>
        <v>Damion Lee</v>
      </c>
      <c r="C3755" s="162" t="str">
        <f>IFERROR(__xludf.DUMMYFUNCTION("""COMPUTED_VALUE"""),"2020-21")</f>
        <v>2020-21</v>
      </c>
      <c r="D3755" s="163" t="str">
        <f>IFERROR(__xludf.DUMMYFUNCTION("""COMPUTED_VALUE"""),"GSW")</f>
        <v>GSW</v>
      </c>
      <c r="E3755" s="164" t="str">
        <f>IFERROR(__xludf.DUMMYFUNCTION("""COMPUTED_VALUE"""),"Stationary Shooter")</f>
        <v>Stationary Shooter</v>
      </c>
      <c r="F3755" s="164">
        <f>IFERROR(__xludf.DUMMYFUNCTION("""COMPUTED_VALUE"""),604.025)</f>
        <v>604.025</v>
      </c>
      <c r="G3755" s="163">
        <f>IFERROR(__xludf.DUMMYFUNCTION("""COMPUTED_VALUE"""),31.0)</f>
        <v>31</v>
      </c>
      <c r="H3755" s="163" t="str">
        <f>IFERROR(__xludf.DUMMYFUNCTION("""COMPUTED_VALUE"""),"SG")</f>
        <v>SG</v>
      </c>
      <c r="I3755" s="163">
        <f>IFERROR(__xludf.DUMMYFUNCTION("""COMPUTED_VALUE"""),28.0)</f>
        <v>28</v>
      </c>
      <c r="J3755" s="165">
        <f>IFERROR(__xludf.DUMMYFUNCTION("""COMPUTED_VALUE"""),-0.835107627332369)</f>
        <v>-0.8351076273</v>
      </c>
      <c r="K3755" s="165">
        <f>IFERROR(__xludf.DUMMYFUNCTION("""COMPUTED_VALUE"""),-1.03071187033867)</f>
        <v>-1.03071187</v>
      </c>
      <c r="L3755" s="165">
        <f>IFERROR(__xludf.DUMMYFUNCTION("""COMPUTED_VALUE"""),0.195604243006303)</f>
        <v>0.195604243</v>
      </c>
      <c r="M3755" s="166">
        <f t="shared" si="2"/>
        <v>0.5914555078</v>
      </c>
      <c r="N3755" s="167">
        <f t="shared" si="3"/>
        <v>19.48467742</v>
      </c>
      <c r="O3755" s="163">
        <f t="shared" ref="O3755:Q3755" si="3759">rank(I3755,I:I)</f>
        <v>1090</v>
      </c>
      <c r="P3755" s="163">
        <f t="shared" si="3759"/>
        <v>2330</v>
      </c>
      <c r="Q3755" s="163">
        <f t="shared" si="3759"/>
        <v>2844</v>
      </c>
      <c r="R3755" s="163">
        <f>IFERROR(__xludf.DUMMYFUNCTION("RANK(M3755,filter(M:M,C:C=C3755))"),171.0)</f>
        <v>171</v>
      </c>
      <c r="S3755" s="161" t="b">
        <f t="shared" si="5"/>
        <v>1</v>
      </c>
      <c r="T3755" s="161" t="b">
        <f t="array" ref="T3755">index('Query Tool'!B:B,match(H3755,'Query Tool'!C:C,0))</f>
        <v>1</v>
      </c>
      <c r="U3755" s="161" t="b">
        <f t="array" ref="U3755">index('Query Tool'!B:B,match(C3755,'Query Tool'!C:C,0))</f>
        <v>1</v>
      </c>
      <c r="V3755" s="161" t="b">
        <f>F3755&gt;='Query Tool'!C$32</f>
        <v>1</v>
      </c>
      <c r="W3755" s="161" t="b">
        <f t="array" ref="W3755">index(Dropdowns!B:B,match(I3755,Dropdowns!A:A,0))</f>
        <v>1</v>
      </c>
      <c r="X3755" s="161" t="b">
        <f t="array" ref="X3755">index('Query Tool'!B:B,match(D3755,'Query Tool'!C:C,0))</f>
        <v>1</v>
      </c>
      <c r="Y3755" s="161" t="str">
        <f t="shared" si="6"/>
        <v>leeda03,2020-21</v>
      </c>
      <c r="Z3755" s="168" t="str">
        <f t="array" ref="Z3755">iferror(index(I:I,match($A3755&amp;","&amp;index('Year Conversion'!$A:$A,match($C3755,'Year Conversion'!$B:$B,0)),$Y:$Y,0))-I3755,"")</f>
        <v/>
      </c>
      <c r="AA3755" s="168" t="str">
        <f t="array" ref="AA3755">iferror(index(J:J,match($A3755&amp;","&amp;index('Year Conversion'!$A:$A,match($C3755,'Year Conversion'!$B:$B,0)),$Y:$Y,0))-J3755,"")</f>
        <v/>
      </c>
      <c r="AB3755" s="168" t="str">
        <f t="array" ref="AB3755">iferror(index(K:K,match($A3755&amp;","&amp;index('Year Conversion'!$A:$A,match($C3755,'Year Conversion'!$B:$B,0)),$Y:$Y,0))-K3755,"")</f>
        <v/>
      </c>
      <c r="AC3755" s="168" t="str">
        <f t="shared" si="7"/>
        <v>GSW,2020-21</v>
      </c>
    </row>
    <row r="3756">
      <c r="A3756" s="161" t="str">
        <f>IFERROR(__xludf.DUMMYFUNCTION("""COMPUTED_VALUE"""),"hernaju01")</f>
        <v>hernaju01</v>
      </c>
      <c r="B3756" s="161" t="str">
        <f>IFERROR(__xludf.DUMMYFUNCTION("""COMPUTED_VALUE"""),"Juancho Hernangomez")</f>
        <v>Juancho Hernangomez</v>
      </c>
      <c r="C3756" s="162" t="str">
        <f>IFERROR(__xludf.DUMMYFUNCTION("""COMPUTED_VALUE"""),"2020-21")</f>
        <v>2020-21</v>
      </c>
      <c r="D3756" s="163" t="str">
        <f>IFERROR(__xludf.DUMMYFUNCTION("""COMPUTED_VALUE"""),"MIN")</f>
        <v>MIN</v>
      </c>
      <c r="E3756" s="164" t="str">
        <f>IFERROR(__xludf.DUMMYFUNCTION("""COMPUTED_VALUE"""),"Athletic Finisher")</f>
        <v>Athletic Finisher</v>
      </c>
      <c r="F3756" s="164">
        <f>IFERROR(__xludf.DUMMYFUNCTION("""COMPUTED_VALUE"""),252.256666666667)</f>
        <v>252.2566667</v>
      </c>
      <c r="G3756" s="163">
        <f>IFERROR(__xludf.DUMMYFUNCTION("""COMPUTED_VALUE"""),14.0)</f>
        <v>14</v>
      </c>
      <c r="H3756" s="163" t="str">
        <f>IFERROR(__xludf.DUMMYFUNCTION("""COMPUTED_VALUE"""),"PF")</f>
        <v>PF</v>
      </c>
      <c r="I3756" s="163">
        <f>IFERROR(__xludf.DUMMYFUNCTION("""COMPUTED_VALUE"""),25.0)</f>
        <v>25</v>
      </c>
      <c r="J3756" s="165">
        <f>IFERROR(__xludf.DUMMYFUNCTION("""COMPUTED_VALUE"""),-0.575772394770213)</f>
        <v>-0.5757723948</v>
      </c>
      <c r="K3756" s="165">
        <f>IFERROR(__xludf.DUMMYFUNCTION("""COMPUTED_VALUE"""),-0.111789744588501)</f>
        <v>-0.1117897446</v>
      </c>
      <c r="L3756" s="165">
        <f>IFERROR(__xludf.DUMMYFUNCTION("""COMPUTED_VALUE"""),-0.463982650181712)</f>
        <v>-0.4639826502</v>
      </c>
      <c r="M3756" s="166">
        <f t="shared" si="2"/>
        <v>0.2910198016</v>
      </c>
      <c r="N3756" s="167">
        <f t="shared" si="3"/>
        <v>18.01833333</v>
      </c>
      <c r="O3756" s="163">
        <f t="shared" ref="O3756:Q3756" si="3760">rank(I3756,I:I)</f>
        <v>1995</v>
      </c>
      <c r="P3756" s="163">
        <f t="shared" si="3760"/>
        <v>1959</v>
      </c>
      <c r="Q3756" s="163">
        <f t="shared" si="3760"/>
        <v>1392</v>
      </c>
      <c r="R3756" s="163">
        <f>IFERROR(__xludf.DUMMYFUNCTION("RANK(M3756,filter(M:M,C:C=C3756))"),250.0)</f>
        <v>250</v>
      </c>
      <c r="S3756" s="161" t="b">
        <f t="shared" si="5"/>
        <v>0</v>
      </c>
      <c r="T3756" s="161" t="b">
        <f t="array" ref="T3756">index('Query Tool'!B:B,match(H3756,'Query Tool'!C:C,0))</f>
        <v>1</v>
      </c>
      <c r="U3756" s="161" t="b">
        <f t="array" ref="U3756">index('Query Tool'!B:B,match(C3756,'Query Tool'!C:C,0))</f>
        <v>1</v>
      </c>
      <c r="V3756" s="161" t="b">
        <f>F3756&gt;='Query Tool'!C$32</f>
        <v>0</v>
      </c>
      <c r="W3756" s="161" t="b">
        <f t="array" ref="W3756">index(Dropdowns!B:B,match(I3756,Dropdowns!A:A,0))</f>
        <v>1</v>
      </c>
      <c r="X3756" s="161" t="b">
        <f t="array" ref="X3756">index('Query Tool'!B:B,match(D3756,'Query Tool'!C:C,0))</f>
        <v>1</v>
      </c>
      <c r="Y3756" s="161" t="str">
        <f t="shared" si="6"/>
        <v>hernaju01,2020-21</v>
      </c>
      <c r="Z3756" s="168" t="str">
        <f t="array" ref="Z3756">iferror(index(I:I,match($A3756&amp;","&amp;index('Year Conversion'!$A:$A,match($C3756,'Year Conversion'!$B:$B,0)),$Y:$Y,0))-I3756,"")</f>
        <v/>
      </c>
      <c r="AA3756" s="168" t="str">
        <f t="array" ref="AA3756">iferror(index(J:J,match($A3756&amp;","&amp;index('Year Conversion'!$A:$A,match($C3756,'Year Conversion'!$B:$B,0)),$Y:$Y,0))-J3756,"")</f>
        <v/>
      </c>
      <c r="AB3756" s="168" t="str">
        <f t="array" ref="AB3756">iferror(index(K:K,match($A3756&amp;","&amp;index('Year Conversion'!$A:$A,match($C3756,'Year Conversion'!$B:$B,0)),$Y:$Y,0))-K3756,"")</f>
        <v/>
      </c>
      <c r="AC3756" s="168" t="str">
        <f t="shared" si="7"/>
        <v>MIN,2020-21</v>
      </c>
    </row>
    <row r="3757">
      <c r="A3757" s="161" t="str">
        <f>IFERROR(__xludf.DUMMYFUNCTION("""COMPUTED_VALUE"""),"zubaciv01")</f>
        <v>zubaciv01</v>
      </c>
      <c r="B3757" s="161" t="str">
        <f>IFERROR(__xludf.DUMMYFUNCTION("""COMPUTED_VALUE"""),"Ivica Zubac")</f>
        <v>Ivica Zubac</v>
      </c>
      <c r="C3757" s="162" t="str">
        <f>IFERROR(__xludf.DUMMYFUNCTION("""COMPUTED_VALUE"""),"2020-21")</f>
        <v>2020-21</v>
      </c>
      <c r="D3757" s="163" t="str">
        <f>IFERROR(__xludf.DUMMYFUNCTION("""COMPUTED_VALUE"""),"LAC")</f>
        <v>LAC</v>
      </c>
      <c r="E3757" s="164" t="str">
        <f>IFERROR(__xludf.DUMMYFUNCTION("""COMPUTED_VALUE"""),"Roll + Cut Big")</f>
        <v>Roll + Cut Big</v>
      </c>
      <c r="F3757" s="164">
        <f>IFERROR(__xludf.DUMMYFUNCTION("""COMPUTED_VALUE"""),622.896666666666)</f>
        <v>622.8966667</v>
      </c>
      <c r="G3757" s="163">
        <f>IFERROR(__xludf.DUMMYFUNCTION("""COMPUTED_VALUE"""),32.0)</f>
        <v>32</v>
      </c>
      <c r="H3757" s="163" t="str">
        <f>IFERROR(__xludf.DUMMYFUNCTION("""COMPUTED_VALUE"""),"C")</f>
        <v>C</v>
      </c>
      <c r="I3757" s="163">
        <f>IFERROR(__xludf.DUMMYFUNCTION("""COMPUTED_VALUE"""),23.0)</f>
        <v>23</v>
      </c>
      <c r="J3757" s="165">
        <f>IFERROR(__xludf.DUMMYFUNCTION("""COMPUTED_VALUE"""),0.393568809054588)</f>
        <v>0.3935688091</v>
      </c>
      <c r="K3757" s="165">
        <f>IFERROR(__xludf.DUMMYFUNCTION("""COMPUTED_VALUE"""),-0.147051782386366)</f>
        <v>-0.1470517824</v>
      </c>
      <c r="L3757" s="165">
        <f>IFERROR(__xludf.DUMMYFUNCTION("""COMPUTED_VALUE"""),0.540620591440954)</f>
        <v>0.5406205914</v>
      </c>
      <c r="M3757" s="166">
        <f t="shared" si="2"/>
        <v>1.125542925</v>
      </c>
      <c r="N3757" s="167">
        <f t="shared" si="3"/>
        <v>19.46552083</v>
      </c>
      <c r="O3757" s="163">
        <f t="shared" ref="O3757:Q3757" si="3761">rank(I3757,I:I)</f>
        <v>2765</v>
      </c>
      <c r="P3757" s="163">
        <f t="shared" si="3761"/>
        <v>952</v>
      </c>
      <c r="Q3757" s="163">
        <f t="shared" si="3761"/>
        <v>1470</v>
      </c>
      <c r="R3757" s="163">
        <f>IFERROR(__xludf.DUMMYFUNCTION("RANK(M3757,filter(M:M,C:C=C3757))"),109.0)</f>
        <v>109</v>
      </c>
      <c r="S3757" s="161" t="b">
        <f t="shared" si="5"/>
        <v>1</v>
      </c>
      <c r="T3757" s="161" t="b">
        <f t="array" ref="T3757">index('Query Tool'!B:B,match(H3757,'Query Tool'!C:C,0))</f>
        <v>1</v>
      </c>
      <c r="U3757" s="161" t="b">
        <f t="array" ref="U3757">index('Query Tool'!B:B,match(C3757,'Query Tool'!C:C,0))</f>
        <v>1</v>
      </c>
      <c r="V3757" s="161" t="b">
        <f>F3757&gt;='Query Tool'!C$32</f>
        <v>1</v>
      </c>
      <c r="W3757" s="161" t="b">
        <f t="array" ref="W3757">index(Dropdowns!B:B,match(I3757,Dropdowns!A:A,0))</f>
        <v>1</v>
      </c>
      <c r="X3757" s="161" t="b">
        <f t="array" ref="X3757">index('Query Tool'!B:B,match(D3757,'Query Tool'!C:C,0))</f>
        <v>1</v>
      </c>
      <c r="Y3757" s="161" t="str">
        <f t="shared" si="6"/>
        <v>zubaciv01,2020-21</v>
      </c>
      <c r="Z3757" s="168" t="str">
        <f t="array" ref="Z3757">iferror(index(I:I,match($A3757&amp;","&amp;index('Year Conversion'!$A:$A,match($C3757,'Year Conversion'!$B:$B,0)),$Y:$Y,0))-I3757,"")</f>
        <v/>
      </c>
      <c r="AA3757" s="168" t="str">
        <f t="array" ref="AA3757">iferror(index(J:J,match($A3757&amp;","&amp;index('Year Conversion'!$A:$A,match($C3757,'Year Conversion'!$B:$B,0)),$Y:$Y,0))-J3757,"")</f>
        <v/>
      </c>
      <c r="AB3757" s="168" t="str">
        <f t="array" ref="AB3757">iferror(index(K:K,match($A3757&amp;","&amp;index('Year Conversion'!$A:$A,match($C3757,'Year Conversion'!$B:$B,0)),$Y:$Y,0))-K3757,"")</f>
        <v/>
      </c>
      <c r="AC3757" s="168" t="str">
        <f t="shared" si="7"/>
        <v>LAC,2020-21</v>
      </c>
    </row>
    <row r="3758">
      <c r="A3758" s="161" t="str">
        <f>IFERROR(__xludf.DUMMYFUNCTION("""COMPUTED_VALUE"""),"finnedo01")</f>
        <v>finnedo01</v>
      </c>
      <c r="B3758" s="161" t="str">
        <f>IFERROR(__xludf.DUMMYFUNCTION("""COMPUTED_VALUE"""),"Dorian Finney-Smith")</f>
        <v>Dorian Finney-Smith</v>
      </c>
      <c r="C3758" s="162" t="str">
        <f>IFERROR(__xludf.DUMMYFUNCTION("""COMPUTED_VALUE"""),"2020-21")</f>
        <v>2020-21</v>
      </c>
      <c r="D3758" s="163" t="str">
        <f>IFERROR(__xludf.DUMMYFUNCTION("""COMPUTED_VALUE"""),"DAL")</f>
        <v>DAL</v>
      </c>
      <c r="E3758" s="164" t="str">
        <f>IFERROR(__xludf.DUMMYFUNCTION("""COMPUTED_VALUE"""),"Stationary Shooter")</f>
        <v>Stationary Shooter</v>
      </c>
      <c r="F3758" s="164">
        <f>IFERROR(__xludf.DUMMYFUNCTION("""COMPUTED_VALUE"""),582.661666666667)</f>
        <v>582.6616667</v>
      </c>
      <c r="G3758" s="163">
        <f>IFERROR(__xludf.DUMMYFUNCTION("""COMPUTED_VALUE"""),19.0)</f>
        <v>19</v>
      </c>
      <c r="H3758" s="163" t="str">
        <f>IFERROR(__xludf.DUMMYFUNCTION("""COMPUTED_VALUE"""),"PF")</f>
        <v>PF</v>
      </c>
      <c r="I3758" s="163">
        <f>IFERROR(__xludf.DUMMYFUNCTION("""COMPUTED_VALUE"""),27.0)</f>
        <v>27</v>
      </c>
      <c r="J3758" s="165">
        <f>IFERROR(__xludf.DUMMYFUNCTION("""COMPUTED_VALUE"""),-0.801076887941874)</f>
        <v>-0.8010768879</v>
      </c>
      <c r="K3758" s="165">
        <f>IFERROR(__xludf.DUMMYFUNCTION("""COMPUTED_VALUE"""),-0.508456540444271)</f>
        <v>-0.5084565404</v>
      </c>
      <c r="L3758" s="165">
        <f>IFERROR(__xludf.DUMMYFUNCTION("""COMPUTED_VALUE"""),-0.292620347497604)</f>
        <v>-0.2926203475</v>
      </c>
      <c r="M3758" s="166">
        <f t="shared" si="2"/>
        <v>0.5838676233</v>
      </c>
      <c r="N3758" s="167">
        <f t="shared" si="3"/>
        <v>30.66640351</v>
      </c>
      <c r="O3758" s="163">
        <f t="shared" ref="O3758:Q3758" si="3762">rank(I3758,I:I)</f>
        <v>1366</v>
      </c>
      <c r="P3758" s="163">
        <f t="shared" si="3762"/>
        <v>2278</v>
      </c>
      <c r="Q3758" s="163">
        <f t="shared" si="3762"/>
        <v>2118</v>
      </c>
      <c r="R3758" s="163">
        <f>IFERROR(__xludf.DUMMYFUNCTION("RANK(M3758,filter(M:M,C:C=C3758))"),174.0)</f>
        <v>174</v>
      </c>
      <c r="S3758" s="161" t="b">
        <f t="shared" si="5"/>
        <v>1</v>
      </c>
      <c r="T3758" s="161" t="b">
        <f t="array" ref="T3758">index('Query Tool'!B:B,match(H3758,'Query Tool'!C:C,0))</f>
        <v>1</v>
      </c>
      <c r="U3758" s="161" t="b">
        <f t="array" ref="U3758">index('Query Tool'!B:B,match(C3758,'Query Tool'!C:C,0))</f>
        <v>1</v>
      </c>
      <c r="V3758" s="161" t="b">
        <f>F3758&gt;='Query Tool'!C$32</f>
        <v>1</v>
      </c>
      <c r="W3758" s="161" t="b">
        <f t="array" ref="W3758">index(Dropdowns!B:B,match(I3758,Dropdowns!A:A,0))</f>
        <v>1</v>
      </c>
      <c r="X3758" s="161" t="b">
        <f t="array" ref="X3758">index('Query Tool'!B:B,match(D3758,'Query Tool'!C:C,0))</f>
        <v>1</v>
      </c>
      <c r="Y3758" s="161" t="str">
        <f t="shared" si="6"/>
        <v>finnedo01,2020-21</v>
      </c>
      <c r="Z3758" s="168" t="str">
        <f t="array" ref="Z3758">iferror(index(I:I,match($A3758&amp;","&amp;index('Year Conversion'!$A:$A,match($C3758,'Year Conversion'!$B:$B,0)),$Y:$Y,0))-I3758,"")</f>
        <v/>
      </c>
      <c r="AA3758" s="168" t="str">
        <f t="array" ref="AA3758">iferror(index(J:J,match($A3758&amp;","&amp;index('Year Conversion'!$A:$A,match($C3758,'Year Conversion'!$B:$B,0)),$Y:$Y,0))-J3758,"")</f>
        <v/>
      </c>
      <c r="AB3758" s="168" t="str">
        <f t="array" ref="AB3758">iferror(index(K:K,match($A3758&amp;","&amp;index('Year Conversion'!$A:$A,match($C3758,'Year Conversion'!$B:$B,0)),$Y:$Y,0))-K3758,"")</f>
        <v/>
      </c>
      <c r="AC3758" s="168" t="str">
        <f t="shared" si="7"/>
        <v>DAL,2020-21</v>
      </c>
    </row>
    <row r="3759">
      <c r="A3759" s="161" t="str">
        <f>IFERROR(__xludf.DUMMYFUNCTION("""COMPUTED_VALUE"""),"vanvlfr01")</f>
        <v>vanvlfr01</v>
      </c>
      <c r="B3759" s="161" t="str">
        <f>IFERROR(__xludf.DUMMYFUNCTION("""COMPUTED_VALUE"""),"Fred VanVleet")</f>
        <v>Fred VanVleet</v>
      </c>
      <c r="C3759" s="162" t="str">
        <f>IFERROR(__xludf.DUMMYFUNCTION("""COMPUTED_VALUE"""),"2020-21")</f>
        <v>2020-21</v>
      </c>
      <c r="D3759" s="163" t="str">
        <f>IFERROR(__xludf.DUMMYFUNCTION("""COMPUTED_VALUE"""),"TOR")</f>
        <v>TOR</v>
      </c>
      <c r="E3759" s="164" t="str">
        <f>IFERROR(__xludf.DUMMYFUNCTION("""COMPUTED_VALUE"""),"Primary Ball Handler")</f>
        <v>Primary Ball Handler</v>
      </c>
      <c r="F3759" s="164">
        <f>IFERROR(__xludf.DUMMYFUNCTION("""COMPUTED_VALUE"""),1134.68166666667)</f>
        <v>1134.681667</v>
      </c>
      <c r="G3759" s="163">
        <f>IFERROR(__xludf.DUMMYFUNCTION("""COMPUTED_VALUE"""),31.0)</f>
        <v>31</v>
      </c>
      <c r="H3759" s="163" t="str">
        <f>IFERROR(__xludf.DUMMYFUNCTION("""COMPUTED_VALUE"""),"SG")</f>
        <v>SG</v>
      </c>
      <c r="I3759" s="163">
        <f>IFERROR(__xludf.DUMMYFUNCTION("""COMPUTED_VALUE"""),26.0)</f>
        <v>26</v>
      </c>
      <c r="J3759" s="165">
        <f>IFERROR(__xludf.DUMMYFUNCTION("""COMPUTED_VALUE"""),3.16134273915324)</f>
        <v>3.161342739</v>
      </c>
      <c r="K3759" s="165">
        <f>IFERROR(__xludf.DUMMYFUNCTION("""COMPUTED_VALUE"""),2.67926407526831)</f>
        <v>2.679264075</v>
      </c>
      <c r="L3759" s="165">
        <f>IFERROR(__xludf.DUMMYFUNCTION("""COMPUTED_VALUE"""),0.482078663884928)</f>
        <v>0.4820786639</v>
      </c>
      <c r="M3759" s="166">
        <f t="shared" si="2"/>
        <v>4.134671829</v>
      </c>
      <c r="N3759" s="167">
        <f t="shared" si="3"/>
        <v>36.60263441</v>
      </c>
      <c r="O3759" s="163">
        <f t="shared" ref="O3759:Q3759" si="3763">rank(I3759,I:I)</f>
        <v>1665</v>
      </c>
      <c r="P3759" s="163">
        <f t="shared" si="3763"/>
        <v>158</v>
      </c>
      <c r="Q3759" s="163">
        <f t="shared" si="3763"/>
        <v>142</v>
      </c>
      <c r="R3759" s="163">
        <f>IFERROR(__xludf.DUMMYFUNCTION("RANK(M3759,filter(M:M,C:C=C3759))"),9.0)</f>
        <v>9</v>
      </c>
      <c r="S3759" s="161" t="b">
        <f t="shared" si="5"/>
        <v>1</v>
      </c>
      <c r="T3759" s="161" t="b">
        <f t="array" ref="T3759">index('Query Tool'!B:B,match(H3759,'Query Tool'!C:C,0))</f>
        <v>1</v>
      </c>
      <c r="U3759" s="161" t="b">
        <f t="array" ref="U3759">index('Query Tool'!B:B,match(C3759,'Query Tool'!C:C,0))</f>
        <v>1</v>
      </c>
      <c r="V3759" s="161" t="b">
        <f>F3759&gt;='Query Tool'!C$32</f>
        <v>1</v>
      </c>
      <c r="W3759" s="161" t="b">
        <f t="array" ref="W3759">index(Dropdowns!B:B,match(I3759,Dropdowns!A:A,0))</f>
        <v>1</v>
      </c>
      <c r="X3759" s="161" t="b">
        <f t="array" ref="X3759">index('Query Tool'!B:B,match(D3759,'Query Tool'!C:C,0))</f>
        <v>1</v>
      </c>
      <c r="Y3759" s="161" t="str">
        <f t="shared" si="6"/>
        <v>vanvlfr01,2020-21</v>
      </c>
      <c r="Z3759" s="168" t="str">
        <f t="array" ref="Z3759">iferror(index(I:I,match($A3759&amp;","&amp;index('Year Conversion'!$A:$A,match($C3759,'Year Conversion'!$B:$B,0)),$Y:$Y,0))-I3759,"")</f>
        <v/>
      </c>
      <c r="AA3759" s="168" t="str">
        <f t="array" ref="AA3759">iferror(index(J:J,match($A3759&amp;","&amp;index('Year Conversion'!$A:$A,match($C3759,'Year Conversion'!$B:$B,0)),$Y:$Y,0))-J3759,"")</f>
        <v/>
      </c>
      <c r="AB3759" s="168" t="str">
        <f t="array" ref="AB3759">iferror(index(K:K,match($A3759&amp;","&amp;index('Year Conversion'!$A:$A,match($C3759,'Year Conversion'!$B:$B,0)),$Y:$Y,0))-K3759,"")</f>
        <v/>
      </c>
      <c r="AC3759" s="168" t="str">
        <f t="shared" si="7"/>
        <v>TOR,2020-21</v>
      </c>
    </row>
    <row r="3760">
      <c r="A3760" s="161" t="str">
        <f>IFERROR(__xludf.DUMMYFUNCTION("""COMPUTED_VALUE"""),"naderab01")</f>
        <v>naderab01</v>
      </c>
      <c r="B3760" s="161" t="str">
        <f>IFERROR(__xludf.DUMMYFUNCTION("""COMPUTED_VALUE"""),"Abdel Nader")</f>
        <v>Abdel Nader</v>
      </c>
      <c r="C3760" s="162" t="str">
        <f>IFERROR(__xludf.DUMMYFUNCTION("""COMPUTED_VALUE"""),"2020-21")</f>
        <v>2020-21</v>
      </c>
      <c r="D3760" s="163" t="str">
        <f>IFERROR(__xludf.DUMMYFUNCTION("""COMPUTED_VALUE"""),"PHO")</f>
        <v>PHO</v>
      </c>
      <c r="E3760" s="164" t="str">
        <f>IFERROR(__xludf.DUMMYFUNCTION("""COMPUTED_VALUE"""),"Stationary Shooter")</f>
        <v>Stationary Shooter</v>
      </c>
      <c r="F3760" s="164">
        <f>IFERROR(__xludf.DUMMYFUNCTION("""COMPUTED_VALUE"""),181.558333333333)</f>
        <v>181.5583333</v>
      </c>
      <c r="G3760" s="163">
        <f>IFERROR(__xludf.DUMMYFUNCTION("""COMPUTED_VALUE"""),14.0)</f>
        <v>14</v>
      </c>
      <c r="H3760" s="163" t="str">
        <f>IFERROR(__xludf.DUMMYFUNCTION("""COMPUTED_VALUE"""),"SF")</f>
        <v>SF</v>
      </c>
      <c r="I3760" s="163">
        <f>IFERROR(__xludf.DUMMYFUNCTION("""COMPUTED_VALUE"""),27.0)</f>
        <v>27</v>
      </c>
      <c r="J3760" s="165">
        <f>IFERROR(__xludf.DUMMYFUNCTION("""COMPUTED_VALUE"""),-0.811441694283821)</f>
        <v>-0.8114416943</v>
      </c>
      <c r="K3760" s="165">
        <f>IFERROR(__xludf.DUMMYFUNCTION("""COMPUTED_VALUE"""),-0.339883236694799)</f>
        <v>-0.3398832367</v>
      </c>
      <c r="L3760" s="165">
        <f>IFERROR(__xludf.DUMMYFUNCTION("""COMPUTED_VALUE"""),-0.471558457589022)</f>
        <v>-0.4715584576</v>
      </c>
      <c r="M3760" s="166">
        <f t="shared" si="2"/>
        <v>0.1806688405</v>
      </c>
      <c r="N3760" s="167">
        <f t="shared" si="3"/>
        <v>12.96845238</v>
      </c>
      <c r="O3760" s="163">
        <f t="shared" ref="O3760:Q3760" si="3764">rank(I3760,I:I)</f>
        <v>1366</v>
      </c>
      <c r="P3760" s="163">
        <f t="shared" si="3764"/>
        <v>2297</v>
      </c>
      <c r="Q3760" s="163">
        <f t="shared" si="3764"/>
        <v>1831</v>
      </c>
      <c r="R3760" s="163">
        <f>IFERROR(__xludf.DUMMYFUNCTION("RANK(M3760,filter(M:M,C:C=C3760))"),287.0)</f>
        <v>287</v>
      </c>
      <c r="S3760" s="161" t="b">
        <f t="shared" si="5"/>
        <v>0</v>
      </c>
      <c r="T3760" s="161" t="b">
        <f t="array" ref="T3760">index('Query Tool'!B:B,match(H3760,'Query Tool'!C:C,0))</f>
        <v>1</v>
      </c>
      <c r="U3760" s="161" t="b">
        <f t="array" ref="U3760">index('Query Tool'!B:B,match(C3760,'Query Tool'!C:C,0))</f>
        <v>1</v>
      </c>
      <c r="V3760" s="161" t="b">
        <f>F3760&gt;='Query Tool'!C$32</f>
        <v>0</v>
      </c>
      <c r="W3760" s="161" t="b">
        <f t="array" ref="W3760">index(Dropdowns!B:B,match(I3760,Dropdowns!A:A,0))</f>
        <v>1</v>
      </c>
      <c r="X3760" s="161" t="b">
        <f t="array" ref="X3760">index('Query Tool'!B:B,match(D3760,'Query Tool'!C:C,0))</f>
        <v>1</v>
      </c>
      <c r="Y3760" s="161" t="str">
        <f t="shared" si="6"/>
        <v>naderab01,2020-21</v>
      </c>
      <c r="Z3760" s="168" t="str">
        <f t="array" ref="Z3760">iferror(index(I:I,match($A3760&amp;","&amp;index('Year Conversion'!$A:$A,match($C3760,'Year Conversion'!$B:$B,0)),$Y:$Y,0))-I3760,"")</f>
        <v/>
      </c>
      <c r="AA3760" s="168" t="str">
        <f t="array" ref="AA3760">iferror(index(J:J,match($A3760&amp;","&amp;index('Year Conversion'!$A:$A,match($C3760,'Year Conversion'!$B:$B,0)),$Y:$Y,0))-J3760,"")</f>
        <v/>
      </c>
      <c r="AB3760" s="168" t="str">
        <f t="array" ref="AB3760">iferror(index(K:K,match($A3760&amp;","&amp;index('Year Conversion'!$A:$A,match($C3760,'Year Conversion'!$B:$B,0)),$Y:$Y,0))-K3760,"")</f>
        <v/>
      </c>
      <c r="AC3760" s="168" t="str">
        <f t="shared" si="7"/>
        <v>PHO,2020-21</v>
      </c>
    </row>
    <row r="3761">
      <c r="A3761" s="161" t="str">
        <f>IFERROR(__xludf.DUMMYFUNCTION("""COMPUTED_VALUE"""),"arcidry01")</f>
        <v>arcidry01</v>
      </c>
      <c r="B3761" s="161" t="str">
        <f>IFERROR(__xludf.DUMMYFUNCTION("""COMPUTED_VALUE"""),"Ryan Arcidiacono")</f>
        <v>Ryan Arcidiacono</v>
      </c>
      <c r="C3761" s="162" t="str">
        <f>IFERROR(__xludf.DUMMYFUNCTION("""COMPUTED_VALUE"""),"2020-21")</f>
        <v>2020-21</v>
      </c>
      <c r="D3761" s="163" t="str">
        <f>IFERROR(__xludf.DUMMYFUNCTION("""COMPUTED_VALUE"""),"CHI")</f>
        <v>CHI</v>
      </c>
      <c r="E3761" s="164" t="str">
        <f>IFERROR(__xludf.DUMMYFUNCTION("""COMPUTED_VALUE"""),"Stationary Shooter")</f>
        <v>Stationary Shooter</v>
      </c>
      <c r="F3761" s="164">
        <f>IFERROR(__xludf.DUMMYFUNCTION("""COMPUTED_VALUE"""),139.638333333333)</f>
        <v>139.6383333</v>
      </c>
      <c r="G3761" s="163">
        <f>IFERROR(__xludf.DUMMYFUNCTION("""COMPUTED_VALUE"""),13.0)</f>
        <v>13</v>
      </c>
      <c r="H3761" s="163" t="str">
        <f>IFERROR(__xludf.DUMMYFUNCTION("""COMPUTED_VALUE"""),"PG")</f>
        <v>PG</v>
      </c>
      <c r="I3761" s="163">
        <f>IFERROR(__xludf.DUMMYFUNCTION("""COMPUTED_VALUE"""),26.0)</f>
        <v>26</v>
      </c>
      <c r="J3761" s="165">
        <f>IFERROR(__xludf.DUMMYFUNCTION("""COMPUTED_VALUE"""),-0.146587191483663)</f>
        <v>-0.1465871915</v>
      </c>
      <c r="K3761" s="165">
        <f>IFERROR(__xludf.DUMMYFUNCTION("""COMPUTED_VALUE"""),-0.42516933731062)</f>
        <v>-0.4251693373</v>
      </c>
      <c r="L3761" s="165">
        <f>IFERROR(__xludf.DUMMYFUNCTION("""COMPUTED_VALUE"""),0.278582145826957)</f>
        <v>0.2785821458</v>
      </c>
      <c r="M3761" s="166">
        <f t="shared" si="2"/>
        <v>0.2014760557</v>
      </c>
      <c r="N3761" s="167">
        <f t="shared" si="3"/>
        <v>10.74141026</v>
      </c>
      <c r="O3761" s="163">
        <f t="shared" ref="O3761:Q3761" si="3765">rank(I3761,I:I)</f>
        <v>1665</v>
      </c>
      <c r="P3761" s="163">
        <f t="shared" si="3765"/>
        <v>1435</v>
      </c>
      <c r="Q3761" s="163">
        <f t="shared" si="3765"/>
        <v>1991</v>
      </c>
      <c r="R3761" s="163">
        <f>IFERROR(__xludf.DUMMYFUNCTION("RANK(M3761,filter(M:M,C:C=C3761))"),277.0)</f>
        <v>277</v>
      </c>
      <c r="S3761" s="161" t="b">
        <f t="shared" si="5"/>
        <v>0</v>
      </c>
      <c r="T3761" s="161" t="b">
        <f t="array" ref="T3761">index('Query Tool'!B:B,match(H3761,'Query Tool'!C:C,0))</f>
        <v>1</v>
      </c>
      <c r="U3761" s="161" t="b">
        <f t="array" ref="U3761">index('Query Tool'!B:B,match(C3761,'Query Tool'!C:C,0))</f>
        <v>1</v>
      </c>
      <c r="V3761" s="161" t="b">
        <f>F3761&gt;='Query Tool'!C$32</f>
        <v>0</v>
      </c>
      <c r="W3761" s="161" t="b">
        <f t="array" ref="W3761">index(Dropdowns!B:B,match(I3761,Dropdowns!A:A,0))</f>
        <v>1</v>
      </c>
      <c r="X3761" s="161" t="b">
        <f t="array" ref="X3761">index('Query Tool'!B:B,match(D3761,'Query Tool'!C:C,0))</f>
        <v>1</v>
      </c>
      <c r="Y3761" s="161" t="str">
        <f t="shared" si="6"/>
        <v>arcidry01,2020-21</v>
      </c>
      <c r="Z3761" s="168" t="str">
        <f t="array" ref="Z3761">iferror(index(I:I,match($A3761&amp;","&amp;index('Year Conversion'!$A:$A,match($C3761,'Year Conversion'!$B:$B,0)),$Y:$Y,0))-I3761,"")</f>
        <v/>
      </c>
      <c r="AA3761" s="168" t="str">
        <f t="array" ref="AA3761">iferror(index(J:J,match($A3761&amp;","&amp;index('Year Conversion'!$A:$A,match($C3761,'Year Conversion'!$B:$B,0)),$Y:$Y,0))-J3761,"")</f>
        <v/>
      </c>
      <c r="AB3761" s="168" t="str">
        <f t="array" ref="AB3761">iferror(index(K:K,match($A3761&amp;","&amp;index('Year Conversion'!$A:$A,match($C3761,'Year Conversion'!$B:$B,0)),$Y:$Y,0))-K3761,"")</f>
        <v/>
      </c>
      <c r="AC3761" s="168" t="str">
        <f t="shared" si="7"/>
        <v>CHI,2020-21</v>
      </c>
    </row>
    <row r="3762">
      <c r="A3762" s="161" t="str">
        <f>IFERROR(__xludf.DUMMYFUNCTION("""COMPUTED_VALUE"""),"forbebr01")</f>
        <v>forbebr01</v>
      </c>
      <c r="B3762" s="161" t="str">
        <f>IFERROR(__xludf.DUMMYFUNCTION("""COMPUTED_VALUE"""),"Bryn Forbes")</f>
        <v>Bryn Forbes</v>
      </c>
      <c r="C3762" s="162" t="str">
        <f>IFERROR(__xludf.DUMMYFUNCTION("""COMPUTED_VALUE"""),"2020-21")</f>
        <v>2020-21</v>
      </c>
      <c r="D3762" s="163" t="str">
        <f>IFERROR(__xludf.DUMMYFUNCTION("""COMPUTED_VALUE"""),"MIL")</f>
        <v>MIL</v>
      </c>
      <c r="E3762" s="164" t="str">
        <f>IFERROR(__xludf.DUMMYFUNCTION("""COMPUTED_VALUE"""),"Movement Shooter")</f>
        <v>Movement Shooter</v>
      </c>
      <c r="F3762" s="164">
        <f>IFERROR(__xludf.DUMMYFUNCTION("""COMPUTED_VALUE"""),587.013333333333)</f>
        <v>587.0133333</v>
      </c>
      <c r="G3762" s="163">
        <f>IFERROR(__xludf.DUMMYFUNCTION("""COMPUTED_VALUE"""),31.0)</f>
        <v>31</v>
      </c>
      <c r="H3762" s="163" t="str">
        <f>IFERROR(__xludf.DUMMYFUNCTION("""COMPUTED_VALUE"""),"SG")</f>
        <v>SG</v>
      </c>
      <c r="I3762" s="163">
        <f>IFERROR(__xludf.DUMMYFUNCTION("""COMPUTED_VALUE"""),27.0)</f>
        <v>27</v>
      </c>
      <c r="J3762" s="165">
        <f>IFERROR(__xludf.DUMMYFUNCTION("""COMPUTED_VALUE"""),-1.78704816855825)</f>
        <v>-1.787048169</v>
      </c>
      <c r="K3762" s="165">
        <f>IFERROR(__xludf.DUMMYFUNCTION("""COMPUTED_VALUE"""),-0.231787169433687)</f>
        <v>-0.2317871694</v>
      </c>
      <c r="L3762" s="165">
        <f>IFERROR(__xludf.DUMMYFUNCTION("""COMPUTED_VALUE"""),-1.55526099912456)</f>
        <v>-1.555260999</v>
      </c>
      <c r="M3762" s="166">
        <f t="shared" si="2"/>
        <v>0.2008605681</v>
      </c>
      <c r="N3762" s="167">
        <f t="shared" si="3"/>
        <v>18.93591398</v>
      </c>
      <c r="O3762" s="163">
        <f t="shared" ref="O3762:Q3762" si="3766">rank(I3762,I:I)</f>
        <v>1366</v>
      </c>
      <c r="P3762" s="163">
        <f t="shared" si="3766"/>
        <v>3318</v>
      </c>
      <c r="Q3762" s="163">
        <f t="shared" si="3766"/>
        <v>1628</v>
      </c>
      <c r="R3762" s="163">
        <f>IFERROR(__xludf.DUMMYFUNCTION("RANK(M3762,filter(M:M,C:C=C3762))"),278.0)</f>
        <v>278</v>
      </c>
      <c r="S3762" s="161" t="b">
        <f t="shared" si="5"/>
        <v>1</v>
      </c>
      <c r="T3762" s="161" t="b">
        <f t="array" ref="T3762">index('Query Tool'!B:B,match(H3762,'Query Tool'!C:C,0))</f>
        <v>1</v>
      </c>
      <c r="U3762" s="161" t="b">
        <f t="array" ref="U3762">index('Query Tool'!B:B,match(C3762,'Query Tool'!C:C,0))</f>
        <v>1</v>
      </c>
      <c r="V3762" s="161" t="b">
        <f>F3762&gt;='Query Tool'!C$32</f>
        <v>1</v>
      </c>
      <c r="W3762" s="161" t="b">
        <f t="array" ref="W3762">index(Dropdowns!B:B,match(I3762,Dropdowns!A:A,0))</f>
        <v>1</v>
      </c>
      <c r="X3762" s="161" t="b">
        <f t="array" ref="X3762">index('Query Tool'!B:B,match(D3762,'Query Tool'!C:C,0))</f>
        <v>1</v>
      </c>
      <c r="Y3762" s="161" t="str">
        <f t="shared" si="6"/>
        <v>forbebr01,2020-21</v>
      </c>
      <c r="Z3762" s="168" t="str">
        <f t="array" ref="Z3762">iferror(index(I:I,match($A3762&amp;","&amp;index('Year Conversion'!$A:$A,match($C3762,'Year Conversion'!$B:$B,0)),$Y:$Y,0))-I3762,"")</f>
        <v/>
      </c>
      <c r="AA3762" s="168" t="str">
        <f t="array" ref="AA3762">iferror(index(J:J,match($A3762&amp;","&amp;index('Year Conversion'!$A:$A,match($C3762,'Year Conversion'!$B:$B,0)),$Y:$Y,0))-J3762,"")</f>
        <v/>
      </c>
      <c r="AB3762" s="168" t="str">
        <f t="array" ref="AB3762">iferror(index(K:K,match($A3762&amp;","&amp;index('Year Conversion'!$A:$A,match($C3762,'Year Conversion'!$B:$B,0)),$Y:$Y,0))-K3762,"")</f>
        <v/>
      </c>
      <c r="AC3762" s="168" t="str">
        <f t="shared" si="7"/>
        <v>MIL,2020-21</v>
      </c>
    </row>
    <row r="3763">
      <c r="A3763" s="161" t="str">
        <f>IFERROR(__xludf.DUMMYFUNCTION("""COMPUTED_VALUE"""),"houseda01")</f>
        <v>houseda01</v>
      </c>
      <c r="B3763" s="161" t="str">
        <f>IFERROR(__xludf.DUMMYFUNCTION("""COMPUTED_VALUE"""),"Danuel House Jr.")</f>
        <v>Danuel House Jr.</v>
      </c>
      <c r="C3763" s="162" t="str">
        <f>IFERROR(__xludf.DUMMYFUNCTION("""COMPUTED_VALUE"""),"2020-21")</f>
        <v>2020-21</v>
      </c>
      <c r="D3763" s="163" t="str">
        <f>IFERROR(__xludf.DUMMYFUNCTION("""COMPUTED_VALUE"""),"HOU")</f>
        <v>HOU</v>
      </c>
      <c r="E3763" s="164" t="str">
        <f>IFERROR(__xludf.DUMMYFUNCTION("""COMPUTED_VALUE"""),"Stationary Shooter")</f>
        <v>Stationary Shooter</v>
      </c>
      <c r="F3763" s="164">
        <f>IFERROR(__xludf.DUMMYFUNCTION("""COMPUTED_VALUE"""),473.703333333333)</f>
        <v>473.7033333</v>
      </c>
      <c r="G3763" s="163">
        <f>IFERROR(__xludf.DUMMYFUNCTION("""COMPUTED_VALUE"""),17.0)</f>
        <v>17</v>
      </c>
      <c r="H3763" s="163" t="str">
        <f>IFERROR(__xludf.DUMMYFUNCTION("""COMPUTED_VALUE"""),"SF")</f>
        <v>SF</v>
      </c>
      <c r="I3763" s="163">
        <f>IFERROR(__xludf.DUMMYFUNCTION("""COMPUTED_VALUE"""),27.0)</f>
        <v>27</v>
      </c>
      <c r="J3763" s="165">
        <f>IFERROR(__xludf.DUMMYFUNCTION("""COMPUTED_VALUE"""),-2.61355951021097)</f>
        <v>-2.61355951</v>
      </c>
      <c r="K3763" s="165">
        <f>IFERROR(__xludf.DUMMYFUNCTION("""COMPUTED_VALUE"""),-2.48252100566642)</f>
        <v>-2.482521006</v>
      </c>
      <c r="L3763" s="165">
        <f>IFERROR(__xludf.DUMMYFUNCTION("""COMPUTED_VALUE"""),-0.131038504544546)</f>
        <v>-0.1310385045</v>
      </c>
      <c r="M3763" s="166">
        <f t="shared" si="2"/>
        <v>-0.09655790905</v>
      </c>
      <c r="N3763" s="167">
        <f t="shared" si="3"/>
        <v>27.86490196</v>
      </c>
      <c r="O3763" s="163">
        <f t="shared" ref="O3763:Q3763" si="3767">rank(I3763,I:I)</f>
        <v>1366</v>
      </c>
      <c r="P3763" s="163">
        <f t="shared" si="3767"/>
        <v>3790</v>
      </c>
      <c r="Q3763" s="163">
        <f t="shared" si="3767"/>
        <v>3886</v>
      </c>
      <c r="R3763" s="163">
        <f>IFERROR(__xludf.DUMMYFUNCTION("RANK(M3763,filter(M:M,C:C=C3763))"),455.0)</f>
        <v>455</v>
      </c>
      <c r="S3763" s="161" t="b">
        <f t="shared" si="5"/>
        <v>0</v>
      </c>
      <c r="T3763" s="161" t="b">
        <f t="array" ref="T3763">index('Query Tool'!B:B,match(H3763,'Query Tool'!C:C,0))</f>
        <v>1</v>
      </c>
      <c r="U3763" s="161" t="b">
        <f t="array" ref="U3763">index('Query Tool'!B:B,match(C3763,'Query Tool'!C:C,0))</f>
        <v>1</v>
      </c>
      <c r="V3763" s="161" t="b">
        <f>F3763&gt;='Query Tool'!C$32</f>
        <v>0</v>
      </c>
      <c r="W3763" s="161" t="b">
        <f t="array" ref="W3763">index(Dropdowns!B:B,match(I3763,Dropdowns!A:A,0))</f>
        <v>1</v>
      </c>
      <c r="X3763" s="161" t="b">
        <f t="array" ref="X3763">index('Query Tool'!B:B,match(D3763,'Query Tool'!C:C,0))</f>
        <v>1</v>
      </c>
      <c r="Y3763" s="161" t="str">
        <f t="shared" si="6"/>
        <v>houseda01,2020-21</v>
      </c>
      <c r="Z3763" s="168" t="str">
        <f t="array" ref="Z3763">iferror(index(I:I,match($A3763&amp;","&amp;index('Year Conversion'!$A:$A,match($C3763,'Year Conversion'!$B:$B,0)),$Y:$Y,0))-I3763,"")</f>
        <v/>
      </c>
      <c r="AA3763" s="168" t="str">
        <f t="array" ref="AA3763">iferror(index(J:J,match($A3763&amp;","&amp;index('Year Conversion'!$A:$A,match($C3763,'Year Conversion'!$B:$B,0)),$Y:$Y,0))-J3763,"")</f>
        <v/>
      </c>
      <c r="AB3763" s="168" t="str">
        <f t="array" ref="AB3763">iferror(index(K:K,match($A3763&amp;","&amp;index('Year Conversion'!$A:$A,match($C3763,'Year Conversion'!$B:$B,0)),$Y:$Y,0))-K3763,"")</f>
        <v/>
      </c>
      <c r="AC3763" s="168" t="str">
        <f t="shared" si="7"/>
        <v>HOU,2020-21</v>
      </c>
    </row>
    <row r="3764">
      <c r="A3764" s="161" t="str">
        <f>IFERROR(__xludf.DUMMYFUNCTION("""COMPUTED_VALUE"""),"jonesde02")</f>
        <v>jonesde02</v>
      </c>
      <c r="B3764" s="161" t="str">
        <f>IFERROR(__xludf.DUMMYFUNCTION("""COMPUTED_VALUE"""),"Derrick Jones Jr.")</f>
        <v>Derrick Jones Jr.</v>
      </c>
      <c r="C3764" s="162" t="str">
        <f>IFERROR(__xludf.DUMMYFUNCTION("""COMPUTED_VALUE"""),"2020-21")</f>
        <v>2020-21</v>
      </c>
      <c r="D3764" s="163" t="str">
        <f>IFERROR(__xludf.DUMMYFUNCTION("""COMPUTED_VALUE"""),"POR")</f>
        <v>POR</v>
      </c>
      <c r="E3764" s="164" t="str">
        <f>IFERROR(__xludf.DUMMYFUNCTION("""COMPUTED_VALUE"""),"Stretch Big")</f>
        <v>Stretch Big</v>
      </c>
      <c r="F3764" s="164">
        <f>IFERROR(__xludf.DUMMYFUNCTION("""COMPUTED_VALUE"""),681.143333333333)</f>
        <v>681.1433333</v>
      </c>
      <c r="G3764" s="163">
        <f>IFERROR(__xludf.DUMMYFUNCTION("""COMPUTED_VALUE"""),25.0)</f>
        <v>25</v>
      </c>
      <c r="H3764" s="163" t="str">
        <f>IFERROR(__xludf.DUMMYFUNCTION("""COMPUTED_VALUE"""),"SF")</f>
        <v>SF</v>
      </c>
      <c r="I3764" s="163">
        <f>IFERROR(__xludf.DUMMYFUNCTION("""COMPUTED_VALUE"""),23.0)</f>
        <v>23</v>
      </c>
      <c r="J3764" s="165">
        <f>IFERROR(__xludf.DUMMYFUNCTION("""COMPUTED_VALUE"""),0.0712180467445223)</f>
        <v>0.07121804674</v>
      </c>
      <c r="K3764" s="165">
        <f>IFERROR(__xludf.DUMMYFUNCTION("""COMPUTED_VALUE"""),-0.787126095524666)</f>
        <v>-0.7871260955</v>
      </c>
      <c r="L3764" s="165">
        <f>IFERROR(__xludf.DUMMYFUNCTION("""COMPUTED_VALUE"""),0.858344142269188)</f>
        <v>0.8583441423</v>
      </c>
      <c r="M3764" s="166">
        <f t="shared" si="2"/>
        <v>1.082800486</v>
      </c>
      <c r="N3764" s="167">
        <f t="shared" si="3"/>
        <v>27.24573333</v>
      </c>
      <c r="O3764" s="163">
        <f t="shared" ref="O3764:Q3764" si="3768">rank(I3764,I:I)</f>
        <v>2765</v>
      </c>
      <c r="P3764" s="163">
        <f t="shared" si="3768"/>
        <v>1225</v>
      </c>
      <c r="Q3764" s="163">
        <f t="shared" si="3768"/>
        <v>2542</v>
      </c>
      <c r="R3764" s="163">
        <f>IFERROR(__xludf.DUMMYFUNCTION("RANK(M3764,filter(M:M,C:C=C3764))"),113.0)</f>
        <v>113</v>
      </c>
      <c r="S3764" s="161" t="b">
        <f t="shared" si="5"/>
        <v>1</v>
      </c>
      <c r="T3764" s="161" t="b">
        <f t="array" ref="T3764">index('Query Tool'!B:B,match(H3764,'Query Tool'!C:C,0))</f>
        <v>1</v>
      </c>
      <c r="U3764" s="161" t="b">
        <f t="array" ref="U3764">index('Query Tool'!B:B,match(C3764,'Query Tool'!C:C,0))</f>
        <v>1</v>
      </c>
      <c r="V3764" s="161" t="b">
        <f>F3764&gt;='Query Tool'!C$32</f>
        <v>1</v>
      </c>
      <c r="W3764" s="161" t="b">
        <f t="array" ref="W3764">index(Dropdowns!B:B,match(I3764,Dropdowns!A:A,0))</f>
        <v>1</v>
      </c>
      <c r="X3764" s="161" t="b">
        <f t="array" ref="X3764">index('Query Tool'!B:B,match(D3764,'Query Tool'!C:C,0))</f>
        <v>1</v>
      </c>
      <c r="Y3764" s="161" t="str">
        <f t="shared" si="6"/>
        <v>jonesde02,2020-21</v>
      </c>
      <c r="Z3764" s="168" t="str">
        <f t="array" ref="Z3764">iferror(index(I:I,match($A3764&amp;","&amp;index('Year Conversion'!$A:$A,match($C3764,'Year Conversion'!$B:$B,0)),$Y:$Y,0))-I3764,"")</f>
        <v/>
      </c>
      <c r="AA3764" s="168" t="str">
        <f t="array" ref="AA3764">iferror(index(J:J,match($A3764&amp;","&amp;index('Year Conversion'!$A:$A,match($C3764,'Year Conversion'!$B:$B,0)),$Y:$Y,0))-J3764,"")</f>
        <v/>
      </c>
      <c r="AB3764" s="168" t="str">
        <f t="array" ref="AB3764">iferror(index(K:K,match($A3764&amp;","&amp;index('Year Conversion'!$A:$A,match($C3764,'Year Conversion'!$B:$B,0)),$Y:$Y,0))-K3764,"")</f>
        <v/>
      </c>
      <c r="AC3764" s="168" t="str">
        <f t="shared" si="7"/>
        <v>POR,2020-21</v>
      </c>
    </row>
    <row r="3765">
      <c r="A3765" s="161" t="str">
        <f>IFERROR(__xludf.DUMMYFUNCTION("""COMPUTED_VALUE"""),"harrish01")</f>
        <v>harrish01</v>
      </c>
      <c r="B3765" s="161" t="str">
        <f>IFERROR(__xludf.DUMMYFUNCTION("""COMPUTED_VALUE"""),"Shaquille Harrison")</f>
        <v>Shaquille Harrison</v>
      </c>
      <c r="C3765" s="162" t="str">
        <f>IFERROR(__xludf.DUMMYFUNCTION("""COMPUTED_VALUE"""),"2020-21")</f>
        <v>2020-21</v>
      </c>
      <c r="D3765" s="163" t="str">
        <f>IFERROR(__xludf.DUMMYFUNCTION("""COMPUTED_VALUE"""),"UTA")</f>
        <v>UTA</v>
      </c>
      <c r="E3765" s="164" t="str">
        <f>IFERROR(__xludf.DUMMYFUNCTION("""COMPUTED_VALUE"""),"Slasher")</f>
        <v>Slasher</v>
      </c>
      <c r="F3765" s="164">
        <f>IFERROR(__xludf.DUMMYFUNCTION("""COMPUTED_VALUE"""),54.4516666666667)</f>
        <v>54.45166667</v>
      </c>
      <c r="G3765" s="163">
        <f>IFERROR(__xludf.DUMMYFUNCTION("""COMPUTED_VALUE"""),16.0)</f>
        <v>16</v>
      </c>
      <c r="H3765" s="163" t="str">
        <f>IFERROR(__xludf.DUMMYFUNCTION("""COMPUTED_VALUE"""),"SG")</f>
        <v>SG</v>
      </c>
      <c r="I3765" s="163">
        <f>IFERROR(__xludf.DUMMYFUNCTION("""COMPUTED_VALUE"""),27.0)</f>
        <v>27</v>
      </c>
      <c r="J3765" s="165">
        <f>IFERROR(__xludf.DUMMYFUNCTION("""COMPUTED_VALUE"""),-2.03625381625748)</f>
        <v>-2.036253816</v>
      </c>
      <c r="K3765" s="165">
        <f>IFERROR(__xludf.DUMMYFUNCTION("""COMPUTED_VALUE"""),-0.806129729882372)</f>
        <v>-0.8061297299</v>
      </c>
      <c r="L3765" s="165">
        <f>IFERROR(__xludf.DUMMYFUNCTION("""COMPUTED_VALUE"""),-1.23012408637511)</f>
        <v>-1.230124086</v>
      </c>
      <c r="M3765" s="166">
        <f t="shared" si="2"/>
        <v>0.009621521343</v>
      </c>
      <c r="N3765" s="167">
        <f t="shared" si="3"/>
        <v>3.403229167</v>
      </c>
      <c r="O3765" s="163">
        <f t="shared" ref="O3765:Q3765" si="3769">rank(I3765,I:I)</f>
        <v>1366</v>
      </c>
      <c r="P3765" s="163">
        <f t="shared" si="3769"/>
        <v>3508</v>
      </c>
      <c r="Q3765" s="163">
        <f t="shared" si="3769"/>
        <v>2563</v>
      </c>
      <c r="R3765" s="163">
        <f>IFERROR(__xludf.DUMMYFUNCTION("RANK(M3765,filter(M:M,C:C=C3765))"),433.0)</f>
        <v>433</v>
      </c>
      <c r="S3765" s="161" t="b">
        <f t="shared" si="5"/>
        <v>0</v>
      </c>
      <c r="T3765" s="161" t="b">
        <f t="array" ref="T3765">index('Query Tool'!B:B,match(H3765,'Query Tool'!C:C,0))</f>
        <v>1</v>
      </c>
      <c r="U3765" s="161" t="b">
        <f t="array" ref="U3765">index('Query Tool'!B:B,match(C3765,'Query Tool'!C:C,0))</f>
        <v>1</v>
      </c>
      <c r="V3765" s="161" t="b">
        <f>F3765&gt;='Query Tool'!C$32</f>
        <v>0</v>
      </c>
      <c r="W3765" s="161" t="b">
        <f t="array" ref="W3765">index(Dropdowns!B:B,match(I3765,Dropdowns!A:A,0))</f>
        <v>1</v>
      </c>
      <c r="X3765" s="161" t="b">
        <f t="array" ref="X3765">index('Query Tool'!B:B,match(D3765,'Query Tool'!C:C,0))</f>
        <v>1</v>
      </c>
      <c r="Y3765" s="161" t="str">
        <f t="shared" si="6"/>
        <v>harrish01,2020-21</v>
      </c>
      <c r="Z3765" s="168" t="str">
        <f t="array" ref="Z3765">iferror(index(I:I,match($A3765&amp;","&amp;index('Year Conversion'!$A:$A,match($C3765,'Year Conversion'!$B:$B,0)),$Y:$Y,0))-I3765,"")</f>
        <v/>
      </c>
      <c r="AA3765" s="168" t="str">
        <f t="array" ref="AA3765">iferror(index(J:J,match($A3765&amp;","&amp;index('Year Conversion'!$A:$A,match($C3765,'Year Conversion'!$B:$B,0)),$Y:$Y,0))-J3765,"")</f>
        <v/>
      </c>
      <c r="AB3765" s="168" t="str">
        <f t="array" ref="AB3765">iferror(index(K:K,match($A3765&amp;","&amp;index('Year Conversion'!$A:$A,match($C3765,'Year Conversion'!$B:$B,0)),$Y:$Y,0))-K3765,"")</f>
        <v/>
      </c>
      <c r="AC3765" s="168" t="str">
        <f t="shared" si="7"/>
        <v>UTA,2020-21</v>
      </c>
    </row>
    <row r="3766">
      <c r="A3766" s="161" t="str">
        <f>IFERROR(__xludf.DUMMYFUNCTION("""COMPUTED_VALUE"""),"carusal01")</f>
        <v>carusal01</v>
      </c>
      <c r="B3766" s="161" t="str">
        <f>IFERROR(__xludf.DUMMYFUNCTION("""COMPUTED_VALUE"""),"Alex Caruso")</f>
        <v>Alex Caruso</v>
      </c>
      <c r="C3766" s="162" t="str">
        <f>IFERROR(__xludf.DUMMYFUNCTION("""COMPUTED_VALUE"""),"2020-21")</f>
        <v>2020-21</v>
      </c>
      <c r="D3766" s="163" t="str">
        <f>IFERROR(__xludf.DUMMYFUNCTION("""COMPUTED_VALUE"""),"LAL")</f>
        <v>LAL</v>
      </c>
      <c r="E3766" s="164" t="str">
        <f>IFERROR(__xludf.DUMMYFUNCTION("""COMPUTED_VALUE"""),"Stationary Shooter")</f>
        <v>Stationary Shooter</v>
      </c>
      <c r="F3766" s="164">
        <f>IFERROR(__xludf.DUMMYFUNCTION("""COMPUTED_VALUE"""),457.996666666667)</f>
        <v>457.9966667</v>
      </c>
      <c r="G3766" s="163">
        <f>IFERROR(__xludf.DUMMYFUNCTION("""COMPUTED_VALUE"""),24.0)</f>
        <v>24</v>
      </c>
      <c r="H3766" s="163" t="str">
        <f>IFERROR(__xludf.DUMMYFUNCTION("""COMPUTED_VALUE"""),"PG")</f>
        <v>PG</v>
      </c>
      <c r="I3766" s="163">
        <f>IFERROR(__xludf.DUMMYFUNCTION("""COMPUTED_VALUE"""),26.0)</f>
        <v>26</v>
      </c>
      <c r="J3766" s="165">
        <f>IFERROR(__xludf.DUMMYFUNCTION("""COMPUTED_VALUE"""),0.151866973059217)</f>
        <v>0.1518669731</v>
      </c>
      <c r="K3766" s="165">
        <f>IFERROR(__xludf.DUMMYFUNCTION("""COMPUTED_VALUE"""),-1.10900461595109)</f>
        <v>-1.109004616</v>
      </c>
      <c r="L3766" s="165">
        <f>IFERROR(__xludf.DUMMYFUNCTION("""COMPUTED_VALUE"""),1.26087158901031)</f>
        <v>1.260871589</v>
      </c>
      <c r="M3766" s="166">
        <f t="shared" si="2"/>
        <v>0.752969673</v>
      </c>
      <c r="N3766" s="167">
        <f t="shared" si="3"/>
        <v>19.08319444</v>
      </c>
      <c r="O3766" s="163">
        <f t="shared" ref="O3766:Q3766" si="3770">rank(I3766,I:I)</f>
        <v>1665</v>
      </c>
      <c r="P3766" s="163">
        <f t="shared" si="3770"/>
        <v>1131</v>
      </c>
      <c r="Q3766" s="163">
        <f t="shared" si="3770"/>
        <v>2939</v>
      </c>
      <c r="R3766" s="163">
        <f>IFERROR(__xludf.DUMMYFUNCTION("RANK(M3766,filter(M:M,C:C=C3766))"),150.0)</f>
        <v>150</v>
      </c>
      <c r="S3766" s="161" t="b">
        <f t="shared" si="5"/>
        <v>0</v>
      </c>
      <c r="T3766" s="161" t="b">
        <f t="array" ref="T3766">index('Query Tool'!B:B,match(H3766,'Query Tool'!C:C,0))</f>
        <v>1</v>
      </c>
      <c r="U3766" s="161" t="b">
        <f t="array" ref="U3766">index('Query Tool'!B:B,match(C3766,'Query Tool'!C:C,0))</f>
        <v>1</v>
      </c>
      <c r="V3766" s="161" t="b">
        <f>F3766&gt;='Query Tool'!C$32</f>
        <v>0</v>
      </c>
      <c r="W3766" s="161" t="b">
        <f t="array" ref="W3766">index(Dropdowns!B:B,match(I3766,Dropdowns!A:A,0))</f>
        <v>1</v>
      </c>
      <c r="X3766" s="161" t="b">
        <f t="array" ref="X3766">index('Query Tool'!B:B,match(D3766,'Query Tool'!C:C,0))</f>
        <v>1</v>
      </c>
      <c r="Y3766" s="161" t="str">
        <f t="shared" si="6"/>
        <v>carusal01,2020-21</v>
      </c>
      <c r="Z3766" s="168" t="str">
        <f t="array" ref="Z3766">iferror(index(I:I,match($A3766&amp;","&amp;index('Year Conversion'!$A:$A,match($C3766,'Year Conversion'!$B:$B,0)),$Y:$Y,0))-I3766,"")</f>
        <v/>
      </c>
      <c r="AA3766" s="168" t="str">
        <f t="array" ref="AA3766">iferror(index(J:J,match($A3766&amp;","&amp;index('Year Conversion'!$A:$A,match($C3766,'Year Conversion'!$B:$B,0)),$Y:$Y,0))-J3766,"")</f>
        <v/>
      </c>
      <c r="AB3766" s="168" t="str">
        <f t="array" ref="AB3766">iferror(index(K:K,match($A3766&amp;","&amp;index('Year Conversion'!$A:$A,match($C3766,'Year Conversion'!$B:$B,0)),$Y:$Y,0))-K3766,"")</f>
        <v/>
      </c>
      <c r="AC3766" s="168" t="str">
        <f t="shared" si="7"/>
        <v>LAL,2020-21</v>
      </c>
    </row>
    <row r="3767">
      <c r="A3767" s="161" t="str">
        <f>IFERROR(__xludf.DUMMYFUNCTION("""COMPUTED_VALUE"""),"nwabada01")</f>
        <v>nwabada01</v>
      </c>
      <c r="B3767" s="161" t="str">
        <f>IFERROR(__xludf.DUMMYFUNCTION("""COMPUTED_VALUE"""),"David Nwaba")</f>
        <v>David Nwaba</v>
      </c>
      <c r="C3767" s="162" t="str">
        <f>IFERROR(__xludf.DUMMYFUNCTION("""COMPUTED_VALUE"""),"2020-21")</f>
        <v>2020-21</v>
      </c>
      <c r="D3767" s="163" t="str">
        <f>IFERROR(__xludf.DUMMYFUNCTION("""COMPUTED_VALUE"""),"HOU")</f>
        <v>HOU</v>
      </c>
      <c r="E3767" s="164" t="str">
        <f>IFERROR(__xludf.DUMMYFUNCTION("""COMPUTED_VALUE"""),"Stretch Big")</f>
        <v>Stretch Big</v>
      </c>
      <c r="F3767" s="164">
        <f>IFERROR(__xludf.DUMMYFUNCTION("""COMPUTED_VALUE"""),559.868333333333)</f>
        <v>559.8683333</v>
      </c>
      <c r="G3767" s="163">
        <f>IFERROR(__xludf.DUMMYFUNCTION("""COMPUTED_VALUE"""),24.0)</f>
        <v>24</v>
      </c>
      <c r="H3767" s="163" t="str">
        <f>IFERROR(__xludf.DUMMYFUNCTION("""COMPUTED_VALUE"""),"SF")</f>
        <v>SF</v>
      </c>
      <c r="I3767" s="163">
        <f>IFERROR(__xludf.DUMMYFUNCTION("""COMPUTED_VALUE"""),28.0)</f>
        <v>28</v>
      </c>
      <c r="J3767" s="165">
        <f>IFERROR(__xludf.DUMMYFUNCTION("""COMPUTED_VALUE"""),-0.228880687834638)</f>
        <v>-0.2288806878</v>
      </c>
      <c r="K3767" s="165">
        <f>IFERROR(__xludf.DUMMYFUNCTION("""COMPUTED_VALUE"""),-0.801957070950713)</f>
        <v>-0.801957071</v>
      </c>
      <c r="L3767" s="165">
        <f>IFERROR(__xludf.DUMMYFUNCTION("""COMPUTED_VALUE"""),0.573076383116074)</f>
        <v>0.5730763831</v>
      </c>
      <c r="M3767" s="166">
        <f t="shared" si="2"/>
        <v>0.7767438952</v>
      </c>
      <c r="N3767" s="167">
        <f t="shared" si="3"/>
        <v>23.32784722</v>
      </c>
      <c r="O3767" s="163">
        <f t="shared" ref="O3767:Q3767" si="3771">rank(I3767,I:I)</f>
        <v>1090</v>
      </c>
      <c r="P3767" s="163">
        <f t="shared" si="3771"/>
        <v>1535</v>
      </c>
      <c r="Q3767" s="163">
        <f t="shared" si="3771"/>
        <v>2561</v>
      </c>
      <c r="R3767" s="163">
        <f>IFERROR(__xludf.DUMMYFUNCTION("RANK(M3767,filter(M:M,C:C=C3767))"),145.0)</f>
        <v>145</v>
      </c>
      <c r="S3767" s="161" t="b">
        <f t="shared" si="5"/>
        <v>1</v>
      </c>
      <c r="T3767" s="161" t="b">
        <f t="array" ref="T3767">index('Query Tool'!B:B,match(H3767,'Query Tool'!C:C,0))</f>
        <v>1</v>
      </c>
      <c r="U3767" s="161" t="b">
        <f t="array" ref="U3767">index('Query Tool'!B:B,match(C3767,'Query Tool'!C:C,0))</f>
        <v>1</v>
      </c>
      <c r="V3767" s="161" t="b">
        <f>F3767&gt;='Query Tool'!C$32</f>
        <v>1</v>
      </c>
      <c r="W3767" s="161" t="b">
        <f t="array" ref="W3767">index(Dropdowns!B:B,match(I3767,Dropdowns!A:A,0))</f>
        <v>1</v>
      </c>
      <c r="X3767" s="161" t="b">
        <f t="array" ref="X3767">index('Query Tool'!B:B,match(D3767,'Query Tool'!C:C,0))</f>
        <v>1</v>
      </c>
      <c r="Y3767" s="161" t="str">
        <f t="shared" si="6"/>
        <v>nwabada01,2020-21</v>
      </c>
      <c r="Z3767" s="168" t="str">
        <f t="array" ref="Z3767">iferror(index(I:I,match($A3767&amp;","&amp;index('Year Conversion'!$A:$A,match($C3767,'Year Conversion'!$B:$B,0)),$Y:$Y,0))-I3767,"")</f>
        <v/>
      </c>
      <c r="AA3767" s="168" t="str">
        <f t="array" ref="AA3767">iferror(index(J:J,match($A3767&amp;","&amp;index('Year Conversion'!$A:$A,match($C3767,'Year Conversion'!$B:$B,0)),$Y:$Y,0))-J3767,"")</f>
        <v/>
      </c>
      <c r="AB3767" s="168" t="str">
        <f t="array" ref="AB3767">iferror(index(K:K,match($A3767&amp;","&amp;index('Year Conversion'!$A:$A,match($C3767,'Year Conversion'!$B:$B,0)),$Y:$Y,0))-K3767,"")</f>
        <v/>
      </c>
      <c r="AC3767" s="168" t="str">
        <f t="shared" si="7"/>
        <v>HOU,2020-21</v>
      </c>
    </row>
    <row r="3768">
      <c r="A3768" s="161" t="str">
        <f>IFERROR(__xludf.DUMMYFUNCTION("""COMPUTED_VALUE"""),"mckinal01")</f>
        <v>mckinal01</v>
      </c>
      <c r="B3768" s="161" t="str">
        <f>IFERROR(__xludf.DUMMYFUNCTION("""COMPUTED_VALUE"""),"Alfonzo McKinnie")</f>
        <v>Alfonzo McKinnie</v>
      </c>
      <c r="C3768" s="162" t="str">
        <f>IFERROR(__xludf.DUMMYFUNCTION("""COMPUTED_VALUE"""),"2020-21")</f>
        <v>2020-21</v>
      </c>
      <c r="D3768" s="163" t="str">
        <f>IFERROR(__xludf.DUMMYFUNCTION("""COMPUTED_VALUE"""),"LAL")</f>
        <v>LAL</v>
      </c>
      <c r="E3768" s="164" t="str">
        <f>IFERROR(__xludf.DUMMYFUNCTION("""COMPUTED_VALUE"""),"Stretch Big")</f>
        <v>Stretch Big</v>
      </c>
      <c r="F3768" s="164">
        <f>IFERROR(__xludf.DUMMYFUNCTION("""COMPUTED_VALUE"""),48.75)</f>
        <v>48.75</v>
      </c>
      <c r="G3768" s="163">
        <f>IFERROR(__xludf.DUMMYFUNCTION("""COMPUTED_VALUE"""),15.0)</f>
        <v>15</v>
      </c>
      <c r="H3768" s="163" t="str">
        <f>IFERROR(__xludf.DUMMYFUNCTION("""COMPUTED_VALUE"""),"SF")</f>
        <v>SF</v>
      </c>
      <c r="I3768" s="163">
        <f>IFERROR(__xludf.DUMMYFUNCTION("""COMPUTED_VALUE"""),28.0)</f>
        <v>28</v>
      </c>
      <c r="J3768" s="165">
        <f>IFERROR(__xludf.DUMMYFUNCTION("""COMPUTED_VALUE"""),-0.878098834796212)</f>
        <v>-0.8780988348</v>
      </c>
      <c r="K3768" s="165">
        <f>IFERROR(__xludf.DUMMYFUNCTION("""COMPUTED_VALUE"""),-0.252932289782012)</f>
        <v>-0.2529322898</v>
      </c>
      <c r="L3768" s="165">
        <f>IFERROR(__xludf.DUMMYFUNCTION("""COMPUTED_VALUE"""),-0.6251665450142)</f>
        <v>-0.625166545</v>
      </c>
      <c r="M3768" s="166">
        <f t="shared" si="2"/>
        <v>0.04632686575</v>
      </c>
      <c r="N3768" s="167">
        <f t="shared" si="3"/>
        <v>3.25</v>
      </c>
      <c r="O3768" s="163">
        <f t="shared" ref="O3768:Q3768" si="3772">rank(I3768,I:I)</f>
        <v>1090</v>
      </c>
      <c r="P3768" s="163">
        <f t="shared" si="3772"/>
        <v>2374</v>
      </c>
      <c r="Q3768" s="163">
        <f t="shared" si="3772"/>
        <v>1671</v>
      </c>
      <c r="R3768" s="163">
        <f>IFERROR(__xludf.DUMMYFUNCTION("RANK(M3768,filter(M:M,C:C=C3768))"),386.0)</f>
        <v>386</v>
      </c>
      <c r="S3768" s="161" t="b">
        <f t="shared" si="5"/>
        <v>0</v>
      </c>
      <c r="T3768" s="161" t="b">
        <f t="array" ref="T3768">index('Query Tool'!B:B,match(H3768,'Query Tool'!C:C,0))</f>
        <v>1</v>
      </c>
      <c r="U3768" s="161" t="b">
        <f t="array" ref="U3768">index('Query Tool'!B:B,match(C3768,'Query Tool'!C:C,0))</f>
        <v>1</v>
      </c>
      <c r="V3768" s="161" t="b">
        <f>F3768&gt;='Query Tool'!C$32</f>
        <v>0</v>
      </c>
      <c r="W3768" s="161" t="b">
        <f t="array" ref="W3768">index(Dropdowns!B:B,match(I3768,Dropdowns!A:A,0))</f>
        <v>1</v>
      </c>
      <c r="X3768" s="161" t="b">
        <f t="array" ref="X3768">index('Query Tool'!B:B,match(D3768,'Query Tool'!C:C,0))</f>
        <v>1</v>
      </c>
      <c r="Y3768" s="161" t="str">
        <f t="shared" si="6"/>
        <v>mckinal01,2020-21</v>
      </c>
      <c r="Z3768" s="168" t="str">
        <f t="array" ref="Z3768">iferror(index(I:I,match($A3768&amp;","&amp;index('Year Conversion'!$A:$A,match($C3768,'Year Conversion'!$B:$B,0)),$Y:$Y,0))-I3768,"")</f>
        <v/>
      </c>
      <c r="AA3768" s="168" t="str">
        <f t="array" ref="AA3768">iferror(index(J:J,match($A3768&amp;","&amp;index('Year Conversion'!$A:$A,match($C3768,'Year Conversion'!$B:$B,0)),$Y:$Y,0))-J3768,"")</f>
        <v/>
      </c>
      <c r="AB3768" s="168" t="str">
        <f t="array" ref="AB3768">iferror(index(K:K,match($A3768&amp;","&amp;index('Year Conversion'!$A:$A,match($C3768,'Year Conversion'!$B:$B,0)),$Y:$Y,0))-K3768,"")</f>
        <v/>
      </c>
      <c r="AC3768" s="168" t="str">
        <f t="shared" si="7"/>
        <v>LAL,2020-21</v>
      </c>
    </row>
    <row r="3769">
      <c r="A3769" s="161" t="str">
        <f>IFERROR(__xludf.DUMMYFUNCTION("""COMPUTED_VALUE"""),"fultzma01")</f>
        <v>fultzma01</v>
      </c>
      <c r="B3769" s="161" t="str">
        <f>IFERROR(__xludf.DUMMYFUNCTION("""COMPUTED_VALUE"""),"Markelle Fultz")</f>
        <v>Markelle Fultz</v>
      </c>
      <c r="C3769" s="162" t="str">
        <f>IFERROR(__xludf.DUMMYFUNCTION("""COMPUTED_VALUE"""),"2020-21")</f>
        <v>2020-21</v>
      </c>
      <c r="D3769" s="163" t="str">
        <f>IFERROR(__xludf.DUMMYFUNCTION("""COMPUTED_VALUE"""),"ORL")</f>
        <v>ORL</v>
      </c>
      <c r="E3769" s="164" t="str">
        <f>IFERROR(__xludf.DUMMYFUNCTION("""COMPUTED_VALUE"""),"Slasher")</f>
        <v>Slasher</v>
      </c>
      <c r="F3769" s="164">
        <f>IFERROR(__xludf.DUMMYFUNCTION("""COMPUTED_VALUE"""),215.2)</f>
        <v>215.2</v>
      </c>
      <c r="G3769" s="163">
        <f>IFERROR(__xludf.DUMMYFUNCTION("""COMPUTED_VALUE"""),8.0)</f>
        <v>8</v>
      </c>
      <c r="H3769" s="163" t="str">
        <f>IFERROR(__xludf.DUMMYFUNCTION("""COMPUTED_VALUE"""),"PG")</f>
        <v>PG</v>
      </c>
      <c r="I3769" s="163">
        <f>IFERROR(__xludf.DUMMYFUNCTION("""COMPUTED_VALUE"""),22.0)</f>
        <v>22</v>
      </c>
      <c r="J3769" s="165">
        <f>IFERROR(__xludf.DUMMYFUNCTION("""COMPUTED_VALUE"""),-0.429518512454781)</f>
        <v>-0.4295185125</v>
      </c>
      <c r="K3769" s="165">
        <f>IFERROR(__xludf.DUMMYFUNCTION("""COMPUTED_VALUE"""),-0.0312571794740034)</f>
        <v>-0.03125717947</v>
      </c>
      <c r="L3769" s="165">
        <f>IFERROR(__xludf.DUMMYFUNCTION("""COMPUTED_VALUE"""),-0.398261332980778)</f>
        <v>-0.398261333</v>
      </c>
      <c r="M3769" s="166">
        <f t="shared" si="2"/>
        <v>0.2694656608</v>
      </c>
      <c r="N3769" s="167">
        <f t="shared" si="3"/>
        <v>26.9</v>
      </c>
      <c r="O3769" s="163">
        <f t="shared" ref="O3769:Q3769" si="3773">rank(I3769,I:I)</f>
        <v>3178</v>
      </c>
      <c r="P3769" s="163">
        <f t="shared" si="3773"/>
        <v>1758</v>
      </c>
      <c r="Q3769" s="163">
        <f t="shared" si="3773"/>
        <v>1240</v>
      </c>
      <c r="R3769" s="163">
        <f>IFERROR(__xludf.DUMMYFUNCTION("RANK(M3769,filter(M:M,C:C=C3769))"),254.0)</f>
        <v>254</v>
      </c>
      <c r="S3769" s="161" t="b">
        <f t="shared" si="5"/>
        <v>0</v>
      </c>
      <c r="T3769" s="161" t="b">
        <f t="array" ref="T3769">index('Query Tool'!B:B,match(H3769,'Query Tool'!C:C,0))</f>
        <v>1</v>
      </c>
      <c r="U3769" s="161" t="b">
        <f t="array" ref="U3769">index('Query Tool'!B:B,match(C3769,'Query Tool'!C:C,0))</f>
        <v>1</v>
      </c>
      <c r="V3769" s="161" t="b">
        <f>F3769&gt;='Query Tool'!C$32</f>
        <v>0</v>
      </c>
      <c r="W3769" s="161" t="b">
        <f t="array" ref="W3769">index(Dropdowns!B:B,match(I3769,Dropdowns!A:A,0))</f>
        <v>1</v>
      </c>
      <c r="X3769" s="161" t="b">
        <f t="array" ref="X3769">index('Query Tool'!B:B,match(D3769,'Query Tool'!C:C,0))</f>
        <v>1</v>
      </c>
      <c r="Y3769" s="161" t="str">
        <f t="shared" si="6"/>
        <v>fultzma01,2020-21</v>
      </c>
      <c r="Z3769" s="168" t="str">
        <f t="array" ref="Z3769">iferror(index(I:I,match($A3769&amp;","&amp;index('Year Conversion'!$A:$A,match($C3769,'Year Conversion'!$B:$B,0)),$Y:$Y,0))-I3769,"")</f>
        <v/>
      </c>
      <c r="AA3769" s="168" t="str">
        <f t="array" ref="AA3769">iferror(index(J:J,match($A3769&amp;","&amp;index('Year Conversion'!$A:$A,match($C3769,'Year Conversion'!$B:$B,0)),$Y:$Y,0))-J3769,"")</f>
        <v/>
      </c>
      <c r="AB3769" s="168" t="str">
        <f t="array" ref="AB3769">iferror(index(K:K,match($A3769&amp;","&amp;index('Year Conversion'!$A:$A,match($C3769,'Year Conversion'!$B:$B,0)),$Y:$Y,0))-K3769,"")</f>
        <v/>
      </c>
      <c r="AC3769" s="168" t="str">
        <f t="shared" si="7"/>
        <v>ORL,2020-21</v>
      </c>
    </row>
    <row r="3770">
      <c r="A3770" s="161" t="str">
        <f>IFERROR(__xludf.DUMMYFUNCTION("""COMPUTED_VALUE"""),"balllo01")</f>
        <v>balllo01</v>
      </c>
      <c r="B3770" s="161" t="str">
        <f>IFERROR(__xludf.DUMMYFUNCTION("""COMPUTED_VALUE"""),"Lonzo Ball")</f>
        <v>Lonzo Ball</v>
      </c>
      <c r="C3770" s="162" t="str">
        <f>IFERROR(__xludf.DUMMYFUNCTION("""COMPUTED_VALUE"""),"2020-21")</f>
        <v>2020-21</v>
      </c>
      <c r="D3770" s="163" t="str">
        <f>IFERROR(__xludf.DUMMYFUNCTION("""COMPUTED_VALUE"""),"NOP")</f>
        <v>NOP</v>
      </c>
      <c r="E3770" s="164" t="str">
        <f>IFERROR(__xludf.DUMMYFUNCTION("""COMPUTED_VALUE"""),"Primary Ball Handler")</f>
        <v>Primary Ball Handler</v>
      </c>
      <c r="F3770" s="164">
        <f>IFERROR(__xludf.DUMMYFUNCTION("""COMPUTED_VALUE"""),846.636666666667)</f>
        <v>846.6366667</v>
      </c>
      <c r="G3770" s="163">
        <f>IFERROR(__xludf.DUMMYFUNCTION("""COMPUTED_VALUE"""),27.0)</f>
        <v>27</v>
      </c>
      <c r="H3770" s="163" t="str">
        <f>IFERROR(__xludf.DUMMYFUNCTION("""COMPUTED_VALUE"""),"PG")</f>
        <v>PG</v>
      </c>
      <c r="I3770" s="163">
        <f>IFERROR(__xludf.DUMMYFUNCTION("""COMPUTED_VALUE"""),23.0)</f>
        <v>23</v>
      </c>
      <c r="J3770" s="165">
        <f>IFERROR(__xludf.DUMMYFUNCTION("""COMPUTED_VALUE"""),0.796408644545822)</f>
        <v>0.7964086445</v>
      </c>
      <c r="K3770" s="165">
        <f>IFERROR(__xludf.DUMMYFUNCTION("""COMPUTED_VALUE"""),1.39362316871028)</f>
        <v>1.393623169</v>
      </c>
      <c r="L3770" s="165">
        <f>IFERROR(__xludf.DUMMYFUNCTION("""COMPUTED_VALUE"""),-0.59721452416446)</f>
        <v>-0.5972145242</v>
      </c>
      <c r="M3770" s="166">
        <f t="shared" si="2"/>
        <v>1.759416541</v>
      </c>
      <c r="N3770" s="167">
        <f t="shared" si="3"/>
        <v>31.35691358</v>
      </c>
      <c r="O3770" s="163">
        <f t="shared" ref="O3770:Q3770" si="3774">rank(I3770,I:I)</f>
        <v>2765</v>
      </c>
      <c r="P3770" s="163">
        <f t="shared" si="3774"/>
        <v>750</v>
      </c>
      <c r="Q3770" s="163">
        <f t="shared" si="3774"/>
        <v>354</v>
      </c>
      <c r="R3770" s="163">
        <f>IFERROR(__xludf.DUMMYFUNCTION("RANK(M3770,filter(M:M,C:C=C3770))"),59.0)</f>
        <v>59</v>
      </c>
      <c r="S3770" s="161" t="b">
        <f t="shared" si="5"/>
        <v>1</v>
      </c>
      <c r="T3770" s="161" t="b">
        <f t="array" ref="T3770">index('Query Tool'!B:B,match(H3770,'Query Tool'!C:C,0))</f>
        <v>1</v>
      </c>
      <c r="U3770" s="161" t="b">
        <f t="array" ref="U3770">index('Query Tool'!B:B,match(C3770,'Query Tool'!C:C,0))</f>
        <v>1</v>
      </c>
      <c r="V3770" s="161" t="b">
        <f>F3770&gt;='Query Tool'!C$32</f>
        <v>1</v>
      </c>
      <c r="W3770" s="161" t="b">
        <f t="array" ref="W3770">index(Dropdowns!B:B,match(I3770,Dropdowns!A:A,0))</f>
        <v>1</v>
      </c>
      <c r="X3770" s="161" t="b">
        <f t="array" ref="X3770">index('Query Tool'!B:B,match(D3770,'Query Tool'!C:C,0))</f>
        <v>1</v>
      </c>
      <c r="Y3770" s="161" t="str">
        <f t="shared" si="6"/>
        <v>balllo01,2020-21</v>
      </c>
      <c r="Z3770" s="168" t="str">
        <f t="array" ref="Z3770">iferror(index(I:I,match($A3770&amp;","&amp;index('Year Conversion'!$A:$A,match($C3770,'Year Conversion'!$B:$B,0)),$Y:$Y,0))-I3770,"")</f>
        <v/>
      </c>
      <c r="AA3770" s="168" t="str">
        <f t="array" ref="AA3770">iferror(index(J:J,match($A3770&amp;","&amp;index('Year Conversion'!$A:$A,match($C3770,'Year Conversion'!$B:$B,0)),$Y:$Y,0))-J3770,"")</f>
        <v/>
      </c>
      <c r="AB3770" s="168" t="str">
        <f t="array" ref="AB3770">iferror(index(K:K,match($A3770&amp;","&amp;index('Year Conversion'!$A:$A,match($C3770,'Year Conversion'!$B:$B,0)),$Y:$Y,0))-K3770,"")</f>
        <v/>
      </c>
      <c r="AC3770" s="168" t="str">
        <f t="shared" si="7"/>
        <v>NOP,2020-21</v>
      </c>
    </row>
    <row r="3771">
      <c r="A3771" s="161" t="str">
        <f>IFERROR(__xludf.DUMMYFUNCTION("""COMPUTED_VALUE"""),"jacksjo02")</f>
        <v>jacksjo02</v>
      </c>
      <c r="B3771" s="161" t="str">
        <f>IFERROR(__xludf.DUMMYFUNCTION("""COMPUTED_VALUE"""),"Josh Jackson")</f>
        <v>Josh Jackson</v>
      </c>
      <c r="C3771" s="162" t="str">
        <f>IFERROR(__xludf.DUMMYFUNCTION("""COMPUTED_VALUE"""),"2020-21")</f>
        <v>2020-21</v>
      </c>
      <c r="D3771" s="163" t="str">
        <f>IFERROR(__xludf.DUMMYFUNCTION("""COMPUTED_VALUE"""),"DET")</f>
        <v>DET</v>
      </c>
      <c r="E3771" s="164" t="str">
        <f>IFERROR(__xludf.DUMMYFUNCTION("""COMPUTED_VALUE"""),"Movement Shooter")</f>
        <v>Movement Shooter</v>
      </c>
      <c r="F3771" s="164">
        <f>IFERROR(__xludf.DUMMYFUNCTION("""COMPUTED_VALUE"""),683.188333333334)</f>
        <v>683.1883333</v>
      </c>
      <c r="G3771" s="163">
        <f>IFERROR(__xludf.DUMMYFUNCTION("""COMPUTED_VALUE"""),28.0)</f>
        <v>28</v>
      </c>
      <c r="H3771" s="163" t="str">
        <f>IFERROR(__xludf.DUMMYFUNCTION("""COMPUTED_VALUE"""),"SG")</f>
        <v>SG</v>
      </c>
      <c r="I3771" s="163">
        <f>IFERROR(__xludf.DUMMYFUNCTION("""COMPUTED_VALUE"""),23.0)</f>
        <v>23</v>
      </c>
      <c r="J3771" s="165">
        <f>IFERROR(__xludf.DUMMYFUNCTION("""COMPUTED_VALUE"""),-0.694219745787811)</f>
        <v>-0.6942197458</v>
      </c>
      <c r="K3771" s="165">
        <f>IFERROR(__xludf.DUMMYFUNCTION("""COMPUTED_VALUE"""),-1.44911884948861)</f>
        <v>-1.449118849</v>
      </c>
      <c r="L3771" s="165">
        <f>IFERROR(__xludf.DUMMYFUNCTION("""COMPUTED_VALUE"""),0.754899103700798)</f>
        <v>0.7548991037</v>
      </c>
      <c r="M3771" s="166">
        <f t="shared" si="2"/>
        <v>0.7337059327</v>
      </c>
      <c r="N3771" s="167">
        <f t="shared" si="3"/>
        <v>24.39958333</v>
      </c>
      <c r="O3771" s="163">
        <f t="shared" ref="O3771:Q3771" si="3775">rank(I3771,I:I)</f>
        <v>2765</v>
      </c>
      <c r="P3771" s="163">
        <f t="shared" si="3775"/>
        <v>2131</v>
      </c>
      <c r="Q3771" s="163">
        <f t="shared" si="3775"/>
        <v>3297</v>
      </c>
      <c r="R3771" s="163">
        <f>IFERROR(__xludf.DUMMYFUNCTION("RANK(M3771,filter(M:M,C:C=C3771))"),153.0)</f>
        <v>153</v>
      </c>
      <c r="S3771" s="161" t="b">
        <f t="shared" si="5"/>
        <v>1</v>
      </c>
      <c r="T3771" s="161" t="b">
        <f t="array" ref="T3771">index('Query Tool'!B:B,match(H3771,'Query Tool'!C:C,0))</f>
        <v>1</v>
      </c>
      <c r="U3771" s="161" t="b">
        <f t="array" ref="U3771">index('Query Tool'!B:B,match(C3771,'Query Tool'!C:C,0))</f>
        <v>1</v>
      </c>
      <c r="V3771" s="161" t="b">
        <f>F3771&gt;='Query Tool'!C$32</f>
        <v>1</v>
      </c>
      <c r="W3771" s="161" t="b">
        <f t="array" ref="W3771">index(Dropdowns!B:B,match(I3771,Dropdowns!A:A,0))</f>
        <v>1</v>
      </c>
      <c r="X3771" s="161" t="b">
        <f t="array" ref="X3771">index('Query Tool'!B:B,match(D3771,'Query Tool'!C:C,0))</f>
        <v>1</v>
      </c>
      <c r="Y3771" s="161" t="str">
        <f t="shared" si="6"/>
        <v>jacksjo02,2020-21</v>
      </c>
      <c r="Z3771" s="168" t="str">
        <f t="array" ref="Z3771">iferror(index(I:I,match($A3771&amp;","&amp;index('Year Conversion'!$A:$A,match($C3771,'Year Conversion'!$B:$B,0)),$Y:$Y,0))-I3771,"")</f>
        <v/>
      </c>
      <c r="AA3771" s="168" t="str">
        <f t="array" ref="AA3771">iferror(index(J:J,match($A3771&amp;","&amp;index('Year Conversion'!$A:$A,match($C3771,'Year Conversion'!$B:$B,0)),$Y:$Y,0))-J3771,"")</f>
        <v/>
      </c>
      <c r="AB3771" s="168" t="str">
        <f t="array" ref="AB3771">iferror(index(K:K,match($A3771&amp;","&amp;index('Year Conversion'!$A:$A,match($C3771,'Year Conversion'!$B:$B,0)),$Y:$Y,0))-K3771,"")</f>
        <v/>
      </c>
      <c r="AC3771" s="168" t="str">
        <f t="shared" si="7"/>
        <v>DET,2020-21</v>
      </c>
    </row>
    <row r="3772">
      <c r="A3772" s="161" t="str">
        <f>IFERROR(__xludf.DUMMYFUNCTION("""COMPUTED_VALUE"""),"foxde01")</f>
        <v>foxde01</v>
      </c>
      <c r="B3772" s="161" t="str">
        <f>IFERROR(__xludf.DUMMYFUNCTION("""COMPUTED_VALUE"""),"De'Aaron Fox")</f>
        <v>De'Aaron Fox</v>
      </c>
      <c r="C3772" s="162" t="str">
        <f>IFERROR(__xludf.DUMMYFUNCTION("""COMPUTED_VALUE"""),"2020-21")</f>
        <v>2020-21</v>
      </c>
      <c r="D3772" s="163" t="str">
        <f>IFERROR(__xludf.DUMMYFUNCTION("""COMPUTED_VALUE"""),"SAC")</f>
        <v>SAC</v>
      </c>
      <c r="E3772" s="164" t="str">
        <f>IFERROR(__xludf.DUMMYFUNCTION("""COMPUTED_VALUE"""),"Primary Ball Handler")</f>
        <v>Primary Ball Handler</v>
      </c>
      <c r="F3772" s="164">
        <f>IFERROR(__xludf.DUMMYFUNCTION("""COMPUTED_VALUE"""),966.448333333333)</f>
        <v>966.4483333</v>
      </c>
      <c r="G3772" s="163">
        <f>IFERROR(__xludf.DUMMYFUNCTION("""COMPUTED_VALUE"""),29.0)</f>
        <v>29</v>
      </c>
      <c r="H3772" s="163" t="str">
        <f>IFERROR(__xludf.DUMMYFUNCTION("""COMPUTED_VALUE"""),"PG")</f>
        <v>PG</v>
      </c>
      <c r="I3772" s="163">
        <f>IFERROR(__xludf.DUMMYFUNCTION("""COMPUTED_VALUE"""),23.0)</f>
        <v>23</v>
      </c>
      <c r="J3772" s="165">
        <f>IFERROR(__xludf.DUMMYFUNCTION("""COMPUTED_VALUE"""),0.848071127772725)</f>
        <v>0.8480711278</v>
      </c>
      <c r="K3772" s="165">
        <f>IFERROR(__xludf.DUMMYFUNCTION("""COMPUTED_VALUE"""),1.96265526387877)</f>
        <v>1.962655264</v>
      </c>
      <c r="L3772" s="165">
        <f>IFERROR(__xludf.DUMMYFUNCTION("""COMPUTED_VALUE"""),-1.11458413610604)</f>
        <v>-1.114584136</v>
      </c>
      <c r="M3772" s="166">
        <f t="shared" si="2"/>
        <v>2.041967128</v>
      </c>
      <c r="N3772" s="167">
        <f t="shared" si="3"/>
        <v>33.3258046</v>
      </c>
      <c r="O3772" s="163">
        <f t="shared" ref="O3772:Q3772" si="3776">rank(I3772,I:I)</f>
        <v>2765</v>
      </c>
      <c r="P3772" s="163">
        <f t="shared" si="3776"/>
        <v>714</v>
      </c>
      <c r="Q3772" s="163">
        <f t="shared" si="3776"/>
        <v>234</v>
      </c>
      <c r="R3772" s="163">
        <f>IFERROR(__xludf.DUMMYFUNCTION("RANK(M3772,filter(M:M,C:C=C3772))"),45.0)</f>
        <v>45</v>
      </c>
      <c r="S3772" s="161" t="b">
        <f t="shared" si="5"/>
        <v>1</v>
      </c>
      <c r="T3772" s="161" t="b">
        <f t="array" ref="T3772">index('Query Tool'!B:B,match(H3772,'Query Tool'!C:C,0))</f>
        <v>1</v>
      </c>
      <c r="U3772" s="161" t="b">
        <f t="array" ref="U3772">index('Query Tool'!B:B,match(C3772,'Query Tool'!C:C,0))</f>
        <v>1</v>
      </c>
      <c r="V3772" s="161" t="b">
        <f>F3772&gt;='Query Tool'!C$32</f>
        <v>1</v>
      </c>
      <c r="W3772" s="161" t="b">
        <f t="array" ref="W3772">index(Dropdowns!B:B,match(I3772,Dropdowns!A:A,0))</f>
        <v>1</v>
      </c>
      <c r="X3772" s="161" t="b">
        <f t="array" ref="X3772">index('Query Tool'!B:B,match(D3772,'Query Tool'!C:C,0))</f>
        <v>1</v>
      </c>
      <c r="Y3772" s="161" t="str">
        <f t="shared" si="6"/>
        <v>foxde01,2020-21</v>
      </c>
      <c r="Z3772" s="168" t="str">
        <f t="array" ref="Z3772">iferror(index(I:I,match($A3772&amp;","&amp;index('Year Conversion'!$A:$A,match($C3772,'Year Conversion'!$B:$B,0)),$Y:$Y,0))-I3772,"")</f>
        <v/>
      </c>
      <c r="AA3772" s="168" t="str">
        <f t="array" ref="AA3772">iferror(index(J:J,match($A3772&amp;","&amp;index('Year Conversion'!$A:$A,match($C3772,'Year Conversion'!$B:$B,0)),$Y:$Y,0))-J3772,"")</f>
        <v/>
      </c>
      <c r="AB3772" s="168" t="str">
        <f t="array" ref="AB3772">iferror(index(K:K,match($A3772&amp;","&amp;index('Year Conversion'!$A:$A,match($C3772,'Year Conversion'!$B:$B,0)),$Y:$Y,0))-K3772,"")</f>
        <v/>
      </c>
      <c r="AC3772" s="168" t="str">
        <f t="shared" si="7"/>
        <v>SAC,2020-21</v>
      </c>
    </row>
    <row r="3773">
      <c r="A3773" s="161" t="str">
        <f>IFERROR(__xludf.DUMMYFUNCTION("""COMPUTED_VALUE"""),"tatumja01")</f>
        <v>tatumja01</v>
      </c>
      <c r="B3773" s="161" t="str">
        <f>IFERROR(__xludf.DUMMYFUNCTION("""COMPUTED_VALUE"""),"Jayson Tatum")</f>
        <v>Jayson Tatum</v>
      </c>
      <c r="C3773" s="162" t="str">
        <f>IFERROR(__xludf.DUMMYFUNCTION("""COMPUTED_VALUE"""),"2020-21")</f>
        <v>2020-21</v>
      </c>
      <c r="D3773" s="163" t="str">
        <f>IFERROR(__xludf.DUMMYFUNCTION("""COMPUTED_VALUE"""),"BOS")</f>
        <v>BOS</v>
      </c>
      <c r="E3773" s="164" t="str">
        <f>IFERROR(__xludf.DUMMYFUNCTION("""COMPUTED_VALUE"""),"Shot Creator")</f>
        <v>Shot Creator</v>
      </c>
      <c r="F3773" s="164">
        <f>IFERROR(__xludf.DUMMYFUNCTION("""COMPUTED_VALUE"""),888.188333333333)</f>
        <v>888.1883333</v>
      </c>
      <c r="G3773" s="163">
        <f>IFERROR(__xludf.DUMMYFUNCTION("""COMPUTED_VALUE"""),25.0)</f>
        <v>25</v>
      </c>
      <c r="H3773" s="163" t="str">
        <f>IFERROR(__xludf.DUMMYFUNCTION("""COMPUTED_VALUE"""),"SF")</f>
        <v>SF</v>
      </c>
      <c r="I3773" s="163">
        <f>IFERROR(__xludf.DUMMYFUNCTION("""COMPUTED_VALUE"""),22.0)</f>
        <v>22</v>
      </c>
      <c r="J3773" s="165">
        <f>IFERROR(__xludf.DUMMYFUNCTION("""COMPUTED_VALUE"""),3.22417531829755)</f>
        <v>3.224175318</v>
      </c>
      <c r="K3773" s="165">
        <f>IFERROR(__xludf.DUMMYFUNCTION("""COMPUTED_VALUE"""),2.48345366618404)</f>
        <v>2.483453666</v>
      </c>
      <c r="L3773" s="165">
        <f>IFERROR(__xludf.DUMMYFUNCTION("""COMPUTED_VALUE"""),0.740721652113508)</f>
        <v>0.7407216521</v>
      </c>
      <c r="M3773" s="166">
        <f t="shared" si="2"/>
        <v>3.272543898</v>
      </c>
      <c r="N3773" s="167">
        <f t="shared" si="3"/>
        <v>35.52753333</v>
      </c>
      <c r="O3773" s="163">
        <f t="shared" ref="O3773:Q3773" si="3777">rank(I3773,I:I)</f>
        <v>3178</v>
      </c>
      <c r="P3773" s="163">
        <f t="shared" si="3777"/>
        <v>153</v>
      </c>
      <c r="Q3773" s="163">
        <f t="shared" si="3777"/>
        <v>159</v>
      </c>
      <c r="R3773" s="163">
        <f>IFERROR(__xludf.DUMMYFUNCTION("RANK(M3773,filter(M:M,C:C=C3773))"),13.0)</f>
        <v>13</v>
      </c>
      <c r="S3773" s="161" t="b">
        <f t="shared" si="5"/>
        <v>1</v>
      </c>
      <c r="T3773" s="161" t="b">
        <f t="array" ref="T3773">index('Query Tool'!B:B,match(H3773,'Query Tool'!C:C,0))</f>
        <v>1</v>
      </c>
      <c r="U3773" s="161" t="b">
        <f t="array" ref="U3773">index('Query Tool'!B:B,match(C3773,'Query Tool'!C:C,0))</f>
        <v>1</v>
      </c>
      <c r="V3773" s="161" t="b">
        <f>F3773&gt;='Query Tool'!C$32</f>
        <v>1</v>
      </c>
      <c r="W3773" s="161" t="b">
        <f t="array" ref="W3773">index(Dropdowns!B:B,match(I3773,Dropdowns!A:A,0))</f>
        <v>1</v>
      </c>
      <c r="X3773" s="161" t="b">
        <f t="array" ref="X3773">index('Query Tool'!B:B,match(D3773,'Query Tool'!C:C,0))</f>
        <v>1</v>
      </c>
      <c r="Y3773" s="161" t="str">
        <f t="shared" si="6"/>
        <v>tatumja01,2020-21</v>
      </c>
      <c r="Z3773" s="168" t="str">
        <f t="array" ref="Z3773">iferror(index(I:I,match($A3773&amp;","&amp;index('Year Conversion'!$A:$A,match($C3773,'Year Conversion'!$B:$B,0)),$Y:$Y,0))-I3773,"")</f>
        <v/>
      </c>
      <c r="AA3773" s="168" t="str">
        <f t="array" ref="AA3773">iferror(index(J:J,match($A3773&amp;","&amp;index('Year Conversion'!$A:$A,match($C3773,'Year Conversion'!$B:$B,0)),$Y:$Y,0))-J3773,"")</f>
        <v/>
      </c>
      <c r="AB3773" s="168" t="str">
        <f t="array" ref="AB3773">iferror(index(K:K,match($A3773&amp;","&amp;index('Year Conversion'!$A:$A,match($C3773,'Year Conversion'!$B:$B,0)),$Y:$Y,0))-K3773,"")</f>
        <v/>
      </c>
      <c r="AC3773" s="168" t="str">
        <f t="shared" si="7"/>
        <v>BOS,2020-21</v>
      </c>
    </row>
    <row r="3774">
      <c r="A3774" s="161" t="str">
        <f>IFERROR(__xludf.DUMMYFUNCTION("""COMPUTED_VALUE"""),"monkma01")</f>
        <v>monkma01</v>
      </c>
      <c r="B3774" s="161" t="str">
        <f>IFERROR(__xludf.DUMMYFUNCTION("""COMPUTED_VALUE"""),"Malik Monk")</f>
        <v>Malik Monk</v>
      </c>
      <c r="C3774" s="162" t="str">
        <f>IFERROR(__xludf.DUMMYFUNCTION("""COMPUTED_VALUE"""),"2020-21")</f>
        <v>2020-21</v>
      </c>
      <c r="D3774" s="163" t="str">
        <f>IFERROR(__xludf.DUMMYFUNCTION("""COMPUTED_VALUE"""),"CHO")</f>
        <v>CHO</v>
      </c>
      <c r="E3774" s="164" t="str">
        <f>IFERROR(__xludf.DUMMYFUNCTION("""COMPUTED_VALUE"""),"Secondary Ball Handler")</f>
        <v>Secondary Ball Handler</v>
      </c>
      <c r="F3774" s="164">
        <f>IFERROR(__xludf.DUMMYFUNCTION("""COMPUTED_VALUE"""),337.788333333333)</f>
        <v>337.7883333</v>
      </c>
      <c r="G3774" s="163">
        <f>IFERROR(__xludf.DUMMYFUNCTION("""COMPUTED_VALUE"""),16.0)</f>
        <v>16</v>
      </c>
      <c r="H3774" s="163" t="str">
        <f>IFERROR(__xludf.DUMMYFUNCTION("""COMPUTED_VALUE"""),"SG")</f>
        <v>SG</v>
      </c>
      <c r="I3774" s="163">
        <f>IFERROR(__xludf.DUMMYFUNCTION("""COMPUTED_VALUE"""),22.0)</f>
        <v>22</v>
      </c>
      <c r="J3774" s="165">
        <f>IFERROR(__xludf.DUMMYFUNCTION("""COMPUTED_VALUE"""),-1.46085645724029)</f>
        <v>-1.460856457</v>
      </c>
      <c r="K3774" s="165">
        <f>IFERROR(__xludf.DUMMYFUNCTION("""COMPUTED_VALUE"""),-1.03538111522724)</f>
        <v>-1.035381115</v>
      </c>
      <c r="L3774" s="165">
        <f>IFERROR(__xludf.DUMMYFUNCTION("""COMPUTED_VALUE"""),-0.425475342013046)</f>
        <v>-0.425475342</v>
      </c>
      <c r="M3774" s="166">
        <f t="shared" si="2"/>
        <v>0.1890539358</v>
      </c>
      <c r="N3774" s="167">
        <f t="shared" si="3"/>
        <v>21.11177083</v>
      </c>
      <c r="O3774" s="163">
        <f t="shared" ref="O3774:Q3774" si="3778">rank(I3774,I:I)</f>
        <v>3178</v>
      </c>
      <c r="P3774" s="163">
        <f t="shared" si="3778"/>
        <v>3016</v>
      </c>
      <c r="Q3774" s="163">
        <f t="shared" si="3778"/>
        <v>2849</v>
      </c>
      <c r="R3774" s="163">
        <f>IFERROR(__xludf.DUMMYFUNCTION("RANK(M3774,filter(M:M,C:C=C3774))"),284.0)</f>
        <v>284</v>
      </c>
      <c r="S3774" s="161" t="b">
        <f t="shared" si="5"/>
        <v>0</v>
      </c>
      <c r="T3774" s="161" t="b">
        <f t="array" ref="T3774">index('Query Tool'!B:B,match(H3774,'Query Tool'!C:C,0))</f>
        <v>1</v>
      </c>
      <c r="U3774" s="161" t="b">
        <f t="array" ref="U3774">index('Query Tool'!B:B,match(C3774,'Query Tool'!C:C,0))</f>
        <v>1</v>
      </c>
      <c r="V3774" s="161" t="b">
        <f>F3774&gt;='Query Tool'!C$32</f>
        <v>0</v>
      </c>
      <c r="W3774" s="161" t="b">
        <f t="array" ref="W3774">index(Dropdowns!B:B,match(I3774,Dropdowns!A:A,0))</f>
        <v>1</v>
      </c>
      <c r="X3774" s="161" t="b">
        <f t="array" ref="X3774">index('Query Tool'!B:B,match(D3774,'Query Tool'!C:C,0))</f>
        <v>1</v>
      </c>
      <c r="Y3774" s="161" t="str">
        <f t="shared" si="6"/>
        <v>monkma01,2020-21</v>
      </c>
      <c r="Z3774" s="168" t="str">
        <f t="array" ref="Z3774">iferror(index(I:I,match($A3774&amp;","&amp;index('Year Conversion'!$A:$A,match($C3774,'Year Conversion'!$B:$B,0)),$Y:$Y,0))-I3774,"")</f>
        <v/>
      </c>
      <c r="AA3774" s="168" t="str">
        <f t="array" ref="AA3774">iferror(index(J:J,match($A3774&amp;","&amp;index('Year Conversion'!$A:$A,match($C3774,'Year Conversion'!$B:$B,0)),$Y:$Y,0))-J3774,"")</f>
        <v/>
      </c>
      <c r="AB3774" s="168" t="str">
        <f t="array" ref="AB3774">iferror(index(K:K,match($A3774&amp;","&amp;index('Year Conversion'!$A:$A,match($C3774,'Year Conversion'!$B:$B,0)),$Y:$Y,0))-K3774,"")</f>
        <v/>
      </c>
      <c r="AC3774" s="168" t="str">
        <f t="shared" si="7"/>
        <v>CHO,2020-21</v>
      </c>
    </row>
    <row r="3775">
      <c r="A3775" s="161" t="str">
        <f>IFERROR(__xludf.DUMMYFUNCTION("""COMPUTED_VALUE"""),"smithde03")</f>
        <v>smithde03</v>
      </c>
      <c r="B3775" s="161" t="str">
        <f>IFERROR(__xludf.DUMMYFUNCTION("""COMPUTED_VALUE"""),"Dennis Smith Jr.")</f>
        <v>Dennis Smith Jr.</v>
      </c>
      <c r="C3775" s="162" t="str">
        <f>IFERROR(__xludf.DUMMYFUNCTION("""COMPUTED_VALUE"""),"2020-21")</f>
        <v>2020-21</v>
      </c>
      <c r="D3775" s="163" t="str">
        <f>IFERROR(__xludf.DUMMYFUNCTION("""COMPUTED_VALUE"""),"TOT")</f>
        <v>TOT</v>
      </c>
      <c r="E3775" s="164" t="str">
        <f>IFERROR(__xludf.DUMMYFUNCTION("""COMPUTED_VALUE"""),"Secondary Ball Handler")</f>
        <v>Secondary Ball Handler</v>
      </c>
      <c r="F3775" s="164">
        <f>IFERROR(__xludf.DUMMYFUNCTION("""COMPUTED_VALUE"""),123.48)</f>
        <v>123.48</v>
      </c>
      <c r="G3775" s="163">
        <f>IFERROR(__xludf.DUMMYFUNCTION("""COMPUTED_VALUE"""),9.0)</f>
        <v>9</v>
      </c>
      <c r="H3775" s="163" t="str">
        <f>IFERROR(__xludf.DUMMYFUNCTION("""COMPUTED_VALUE"""),"PG")</f>
        <v>PG</v>
      </c>
      <c r="I3775" s="163">
        <f>IFERROR(__xludf.DUMMYFUNCTION("""COMPUTED_VALUE"""),23.0)</f>
        <v>23</v>
      </c>
      <c r="J3775" s="165">
        <f>IFERROR(__xludf.DUMMYFUNCTION("""COMPUTED_VALUE"""),-0.731570253693453)</f>
        <v>-0.7315702537</v>
      </c>
      <c r="K3775" s="165">
        <f>IFERROR(__xludf.DUMMYFUNCTION("""COMPUTED_VALUE"""),-0.829354629772719)</f>
        <v>-0.8293546298</v>
      </c>
      <c r="L3775" s="165">
        <f>IFERROR(__xludf.DUMMYFUNCTION("""COMPUTED_VALUE"""),0.0977843760792654)</f>
        <v>0.09778437608</v>
      </c>
      <c r="M3775" s="166">
        <f t="shared" si="2"/>
        <v>0.129507778</v>
      </c>
      <c r="N3775" s="167">
        <f t="shared" si="3"/>
        <v>13.72</v>
      </c>
      <c r="O3775" s="163">
        <f t="shared" ref="O3775:Q3775" si="3779">rank(I3775,I:I)</f>
        <v>2765</v>
      </c>
      <c r="P3775" s="163">
        <f t="shared" si="3779"/>
        <v>2189</v>
      </c>
      <c r="Q3775" s="163">
        <f t="shared" si="3779"/>
        <v>2591</v>
      </c>
      <c r="R3775" s="163">
        <f>IFERROR(__xludf.DUMMYFUNCTION("RANK(M3775,filter(M:M,C:C=C3775))"),307.0)</f>
        <v>307</v>
      </c>
      <c r="S3775" s="161" t="b">
        <f t="shared" si="5"/>
        <v>0</v>
      </c>
      <c r="T3775" s="161" t="b">
        <f t="array" ref="T3775">index('Query Tool'!B:B,match(H3775,'Query Tool'!C:C,0))</f>
        <v>1</v>
      </c>
      <c r="U3775" s="161" t="b">
        <f t="array" ref="U3775">index('Query Tool'!B:B,match(C3775,'Query Tool'!C:C,0))</f>
        <v>1</v>
      </c>
      <c r="V3775" s="161" t="b">
        <f>F3775&gt;='Query Tool'!C$32</f>
        <v>0</v>
      </c>
      <c r="W3775" s="161" t="b">
        <f t="array" ref="W3775">index(Dropdowns!B:B,match(I3775,Dropdowns!A:A,0))</f>
        <v>1</v>
      </c>
      <c r="X3775" s="161" t="b">
        <f t="array" ref="X3775">index('Query Tool'!B:B,match(D3775,'Query Tool'!C:C,0))</f>
        <v>1</v>
      </c>
      <c r="Y3775" s="161" t="str">
        <f t="shared" si="6"/>
        <v>smithde03,2020-21</v>
      </c>
      <c r="Z3775" s="168" t="str">
        <f t="array" ref="Z3775">iferror(index(I:I,match($A3775&amp;","&amp;index('Year Conversion'!$A:$A,match($C3775,'Year Conversion'!$B:$B,0)),$Y:$Y,0))-I3775,"")</f>
        <v/>
      </c>
      <c r="AA3775" s="168" t="str">
        <f t="array" ref="AA3775">iferror(index(J:J,match($A3775&amp;","&amp;index('Year Conversion'!$A:$A,match($C3775,'Year Conversion'!$B:$B,0)),$Y:$Y,0))-J3775,"")</f>
        <v/>
      </c>
      <c r="AB3775" s="168" t="str">
        <f t="array" ref="AB3775">iferror(index(K:K,match($A3775&amp;","&amp;index('Year Conversion'!$A:$A,match($C3775,'Year Conversion'!$B:$B,0)),$Y:$Y,0))-K3775,"")</f>
        <v/>
      </c>
      <c r="AC3775" s="168" t="str">
        <f t="shared" si="7"/>
        <v>TOT,2020-21</v>
      </c>
    </row>
    <row r="3776">
      <c r="A3776" s="161" t="str">
        <f>IFERROR(__xludf.DUMMYFUNCTION("""COMPUTED_VALUE"""),"ntilila01")</f>
        <v>ntilila01</v>
      </c>
      <c r="B3776" s="161" t="str">
        <f>IFERROR(__xludf.DUMMYFUNCTION("""COMPUTED_VALUE"""),"Frank Ntilikina")</f>
        <v>Frank Ntilikina</v>
      </c>
      <c r="C3776" s="162" t="str">
        <f>IFERROR(__xludf.DUMMYFUNCTION("""COMPUTED_VALUE"""),"2020-21")</f>
        <v>2020-21</v>
      </c>
      <c r="D3776" s="163" t="str">
        <f>IFERROR(__xludf.DUMMYFUNCTION("""COMPUTED_VALUE"""),"NYK")</f>
        <v>NYK</v>
      </c>
      <c r="E3776" s="164" t="str">
        <f>IFERROR(__xludf.DUMMYFUNCTION("""COMPUTED_VALUE"""),"Secondary Ball Handler")</f>
        <v>Secondary Ball Handler</v>
      </c>
      <c r="F3776" s="164">
        <f>IFERROR(__xludf.DUMMYFUNCTION("""COMPUTED_VALUE"""),42.1333333333333)</f>
        <v>42.13333333</v>
      </c>
      <c r="G3776" s="163">
        <f>IFERROR(__xludf.DUMMYFUNCTION("""COMPUTED_VALUE"""),4.0)</f>
        <v>4</v>
      </c>
      <c r="H3776" s="163" t="str">
        <f>IFERROR(__xludf.DUMMYFUNCTION("""COMPUTED_VALUE"""),"PG")</f>
        <v>PG</v>
      </c>
      <c r="I3776" s="163">
        <f>IFERROR(__xludf.DUMMYFUNCTION("""COMPUTED_VALUE"""),22.0)</f>
        <v>22</v>
      </c>
      <c r="J3776" s="165">
        <f>IFERROR(__xludf.DUMMYFUNCTION("""COMPUTED_VALUE"""),-1.03078176592479)</f>
        <v>-1.030781766</v>
      </c>
      <c r="K3776" s="165">
        <f>IFERROR(__xludf.DUMMYFUNCTION("""COMPUTED_VALUE"""),-0.350960702687027)</f>
        <v>-0.3509607027</v>
      </c>
      <c r="L3776" s="165">
        <f>IFERROR(__xludf.DUMMYFUNCTION("""COMPUTED_VALUE"""),-0.679821063237762)</f>
        <v>-0.6798210632</v>
      </c>
      <c r="M3776" s="166">
        <f t="shared" si="2"/>
        <v>0.03571845061</v>
      </c>
      <c r="N3776" s="167">
        <f t="shared" si="3"/>
        <v>10.53333333</v>
      </c>
      <c r="O3776" s="163">
        <f t="shared" ref="O3776:Q3776" si="3780">rank(I3776,I:I)</f>
        <v>3178</v>
      </c>
      <c r="P3776" s="163">
        <f t="shared" si="3780"/>
        <v>2536</v>
      </c>
      <c r="Q3776" s="163">
        <f t="shared" si="3780"/>
        <v>1853</v>
      </c>
      <c r="R3776" s="163">
        <f>IFERROR(__xludf.DUMMYFUNCTION("RANK(M3776,filter(M:M,C:C=C3776))"),398.0)</f>
        <v>398</v>
      </c>
      <c r="S3776" s="161" t="b">
        <f t="shared" si="5"/>
        <v>0</v>
      </c>
      <c r="T3776" s="161" t="b">
        <f t="array" ref="T3776">index('Query Tool'!B:B,match(H3776,'Query Tool'!C:C,0))</f>
        <v>1</v>
      </c>
      <c r="U3776" s="161" t="b">
        <f t="array" ref="U3776">index('Query Tool'!B:B,match(C3776,'Query Tool'!C:C,0))</f>
        <v>1</v>
      </c>
      <c r="V3776" s="161" t="b">
        <f>F3776&gt;='Query Tool'!C$32</f>
        <v>0</v>
      </c>
      <c r="W3776" s="161" t="b">
        <f t="array" ref="W3776">index(Dropdowns!B:B,match(I3776,Dropdowns!A:A,0))</f>
        <v>1</v>
      </c>
      <c r="X3776" s="161" t="b">
        <f t="array" ref="X3776">index('Query Tool'!B:B,match(D3776,'Query Tool'!C:C,0))</f>
        <v>1</v>
      </c>
      <c r="Y3776" s="161" t="str">
        <f t="shared" si="6"/>
        <v>ntilila01,2020-21</v>
      </c>
      <c r="Z3776" s="168" t="str">
        <f t="array" ref="Z3776">iferror(index(I:I,match($A3776&amp;","&amp;index('Year Conversion'!$A:$A,match($C3776,'Year Conversion'!$B:$B,0)),$Y:$Y,0))-I3776,"")</f>
        <v/>
      </c>
      <c r="AA3776" s="168" t="str">
        <f t="array" ref="AA3776">iferror(index(J:J,match($A3776&amp;","&amp;index('Year Conversion'!$A:$A,match($C3776,'Year Conversion'!$B:$B,0)),$Y:$Y,0))-J3776,"")</f>
        <v/>
      </c>
      <c r="AB3776" s="168" t="str">
        <f t="array" ref="AB3776">iferror(index(K:K,match($A3776&amp;","&amp;index('Year Conversion'!$A:$A,match($C3776,'Year Conversion'!$B:$B,0)),$Y:$Y,0))-K3776,"")</f>
        <v/>
      </c>
      <c r="AC3776" s="168" t="str">
        <f t="shared" si="7"/>
        <v>NYK,2020-21</v>
      </c>
    </row>
    <row r="3777">
      <c r="A3777" s="161" t="str">
        <f>IFERROR(__xludf.DUMMYFUNCTION("""COMPUTED_VALUE"""),"markkla01")</f>
        <v>markkla01</v>
      </c>
      <c r="B3777" s="161" t="str">
        <f>IFERROR(__xludf.DUMMYFUNCTION("""COMPUTED_VALUE"""),"Lauri Markkanen")</f>
        <v>Lauri Markkanen</v>
      </c>
      <c r="C3777" s="162" t="str">
        <f>IFERROR(__xludf.DUMMYFUNCTION("""COMPUTED_VALUE"""),"2020-21")</f>
        <v>2020-21</v>
      </c>
      <c r="D3777" s="163" t="str">
        <f>IFERROR(__xludf.DUMMYFUNCTION("""COMPUTED_VALUE"""),"CHI")</f>
        <v>CHI</v>
      </c>
      <c r="E3777" s="164" t="str">
        <f>IFERROR(__xludf.DUMMYFUNCTION("""COMPUTED_VALUE"""),"Stretch Big")</f>
        <v>Stretch Big</v>
      </c>
      <c r="F3777" s="164">
        <f>IFERROR(__xludf.DUMMYFUNCTION("""COMPUTED_VALUE"""),426.166666666667)</f>
        <v>426.1666667</v>
      </c>
      <c r="G3777" s="163">
        <f>IFERROR(__xludf.DUMMYFUNCTION("""COMPUTED_VALUE"""),14.0)</f>
        <v>14</v>
      </c>
      <c r="H3777" s="163" t="str">
        <f>IFERROR(__xludf.DUMMYFUNCTION("""COMPUTED_VALUE"""),"PF")</f>
        <v>PF</v>
      </c>
      <c r="I3777" s="163">
        <f>IFERROR(__xludf.DUMMYFUNCTION("""COMPUTED_VALUE"""),23.0)</f>
        <v>23</v>
      </c>
      <c r="J3777" s="165">
        <f>IFERROR(__xludf.DUMMYFUNCTION("""COMPUTED_VALUE"""),-0.993659107563562)</f>
        <v>-0.9936591076</v>
      </c>
      <c r="K3777" s="165">
        <f>IFERROR(__xludf.DUMMYFUNCTION("""COMPUTED_VALUE"""),0.107075766232461)</f>
        <v>0.1070757662</v>
      </c>
      <c r="L3777" s="165">
        <f>IFERROR(__xludf.DUMMYFUNCTION("""COMPUTED_VALUE"""),-1.10073487379602)</f>
        <v>-1.100734874</v>
      </c>
      <c r="M3777" s="166">
        <f t="shared" si="2"/>
        <v>0.3719025142</v>
      </c>
      <c r="N3777" s="167">
        <f t="shared" si="3"/>
        <v>30.44047619</v>
      </c>
      <c r="O3777" s="163">
        <f t="shared" ref="O3777:Q3777" si="3781">rank(I3777,I:I)</f>
        <v>2765</v>
      </c>
      <c r="P3777" s="163">
        <f t="shared" si="3781"/>
        <v>2495</v>
      </c>
      <c r="Q3777" s="163">
        <f t="shared" si="3781"/>
        <v>1061</v>
      </c>
      <c r="R3777" s="163">
        <f>IFERROR(__xludf.DUMMYFUNCTION("RANK(M3777,filter(M:M,C:C=C3777))"),224.0)</f>
        <v>224</v>
      </c>
      <c r="S3777" s="161" t="b">
        <f t="shared" si="5"/>
        <v>0</v>
      </c>
      <c r="T3777" s="161" t="b">
        <f t="array" ref="T3777">index('Query Tool'!B:B,match(H3777,'Query Tool'!C:C,0))</f>
        <v>1</v>
      </c>
      <c r="U3777" s="161" t="b">
        <f t="array" ref="U3777">index('Query Tool'!B:B,match(C3777,'Query Tool'!C:C,0))</f>
        <v>1</v>
      </c>
      <c r="V3777" s="161" t="b">
        <f>F3777&gt;='Query Tool'!C$32</f>
        <v>0</v>
      </c>
      <c r="W3777" s="161" t="b">
        <f t="array" ref="W3777">index(Dropdowns!B:B,match(I3777,Dropdowns!A:A,0))</f>
        <v>1</v>
      </c>
      <c r="X3777" s="161" t="b">
        <f t="array" ref="X3777">index('Query Tool'!B:B,match(D3777,'Query Tool'!C:C,0))</f>
        <v>1</v>
      </c>
      <c r="Y3777" s="161" t="str">
        <f t="shared" si="6"/>
        <v>markkla01,2020-21</v>
      </c>
      <c r="Z3777" s="168" t="str">
        <f t="array" ref="Z3777">iferror(index(I:I,match($A3777&amp;","&amp;index('Year Conversion'!$A:$A,match($C3777,'Year Conversion'!$B:$B,0)),$Y:$Y,0))-I3777,"")</f>
        <v/>
      </c>
      <c r="AA3777" s="168" t="str">
        <f t="array" ref="AA3777">iferror(index(J:J,match($A3777&amp;","&amp;index('Year Conversion'!$A:$A,match($C3777,'Year Conversion'!$B:$B,0)),$Y:$Y,0))-J3777,"")</f>
        <v/>
      </c>
      <c r="AB3777" s="168" t="str">
        <f t="array" ref="AB3777">iferror(index(K:K,match($A3777&amp;","&amp;index('Year Conversion'!$A:$A,match($C3777,'Year Conversion'!$B:$B,0)),$Y:$Y,0))-K3777,"")</f>
        <v/>
      </c>
      <c r="AC3777" s="168" t="str">
        <f t="shared" si="7"/>
        <v>CHI,2020-21</v>
      </c>
    </row>
    <row r="3778">
      <c r="A3778" s="161" t="str">
        <f>IFERROR(__xludf.DUMMYFUNCTION("""COMPUTED_VALUE"""),"mitchdo01")</f>
        <v>mitchdo01</v>
      </c>
      <c r="B3778" s="161" t="str">
        <f>IFERROR(__xludf.DUMMYFUNCTION("""COMPUTED_VALUE"""),"Donovan Mitchell")</f>
        <v>Donovan Mitchell</v>
      </c>
      <c r="C3778" s="162" t="str">
        <f>IFERROR(__xludf.DUMMYFUNCTION("""COMPUTED_VALUE"""),"2020-21")</f>
        <v>2020-21</v>
      </c>
      <c r="D3778" s="163" t="str">
        <f>IFERROR(__xludf.DUMMYFUNCTION("""COMPUTED_VALUE"""),"UTA")</f>
        <v>UTA</v>
      </c>
      <c r="E3778" s="164" t="str">
        <f>IFERROR(__xludf.DUMMYFUNCTION("""COMPUTED_VALUE"""),"Primary Ball Handler")</f>
        <v>Primary Ball Handler</v>
      </c>
      <c r="F3778" s="164">
        <f>IFERROR(__xludf.DUMMYFUNCTION("""COMPUTED_VALUE"""),941.613333333333)</f>
        <v>941.6133333</v>
      </c>
      <c r="G3778" s="163">
        <f>IFERROR(__xludf.DUMMYFUNCTION("""COMPUTED_VALUE"""),28.0)</f>
        <v>28</v>
      </c>
      <c r="H3778" s="163" t="str">
        <f>IFERROR(__xludf.DUMMYFUNCTION("""COMPUTED_VALUE"""),"SG")</f>
        <v>SG</v>
      </c>
      <c r="I3778" s="163">
        <f>IFERROR(__xludf.DUMMYFUNCTION("""COMPUTED_VALUE"""),24.0)</f>
        <v>24</v>
      </c>
      <c r="J3778" s="165">
        <f>IFERROR(__xludf.DUMMYFUNCTION("""COMPUTED_VALUE"""),2.54908688689015)</f>
        <v>2.549086887</v>
      </c>
      <c r="K3778" s="165">
        <f>IFERROR(__xludf.DUMMYFUNCTION("""COMPUTED_VALUE"""),3.13177279026884)</f>
        <v>3.13177279</v>
      </c>
      <c r="L3778" s="165">
        <f>IFERROR(__xludf.DUMMYFUNCTION("""COMPUTED_VALUE"""),-0.582685903378685)</f>
        <v>-0.5826859034</v>
      </c>
      <c r="M3778" s="166">
        <f t="shared" si="2"/>
        <v>3.055429754</v>
      </c>
      <c r="N3778" s="167">
        <f t="shared" si="3"/>
        <v>33.62904762</v>
      </c>
      <c r="O3778" s="163">
        <f t="shared" ref="O3778:Q3778" si="3782">rank(I3778,I:I)</f>
        <v>2361</v>
      </c>
      <c r="P3778" s="163">
        <f t="shared" si="3782"/>
        <v>216</v>
      </c>
      <c r="Q3778" s="163">
        <f t="shared" si="3782"/>
        <v>110</v>
      </c>
      <c r="R3778" s="163">
        <f>IFERROR(__xludf.DUMMYFUNCTION("RANK(M3778,filter(M:M,C:C=C3778))"),19.0)</f>
        <v>19</v>
      </c>
      <c r="S3778" s="161" t="b">
        <f t="shared" si="5"/>
        <v>1</v>
      </c>
      <c r="T3778" s="161" t="b">
        <f t="array" ref="T3778">index('Query Tool'!B:B,match(H3778,'Query Tool'!C:C,0))</f>
        <v>1</v>
      </c>
      <c r="U3778" s="161" t="b">
        <f t="array" ref="U3778">index('Query Tool'!B:B,match(C3778,'Query Tool'!C:C,0))</f>
        <v>1</v>
      </c>
      <c r="V3778" s="161" t="b">
        <f>F3778&gt;='Query Tool'!C$32</f>
        <v>1</v>
      </c>
      <c r="W3778" s="161" t="b">
        <f t="array" ref="W3778">index(Dropdowns!B:B,match(I3778,Dropdowns!A:A,0))</f>
        <v>1</v>
      </c>
      <c r="X3778" s="161" t="b">
        <f t="array" ref="X3778">index('Query Tool'!B:B,match(D3778,'Query Tool'!C:C,0))</f>
        <v>1</v>
      </c>
      <c r="Y3778" s="161" t="str">
        <f t="shared" si="6"/>
        <v>mitchdo01,2020-21</v>
      </c>
      <c r="Z3778" s="168" t="str">
        <f t="array" ref="Z3778">iferror(index(I:I,match($A3778&amp;","&amp;index('Year Conversion'!$A:$A,match($C3778,'Year Conversion'!$B:$B,0)),$Y:$Y,0))-I3778,"")</f>
        <v/>
      </c>
      <c r="AA3778" s="168" t="str">
        <f t="array" ref="AA3778">iferror(index(J:J,match($A3778&amp;","&amp;index('Year Conversion'!$A:$A,match($C3778,'Year Conversion'!$B:$B,0)),$Y:$Y,0))-J3778,"")</f>
        <v/>
      </c>
      <c r="AB3778" s="168" t="str">
        <f t="array" ref="AB3778">iferror(index(K:K,match($A3778&amp;","&amp;index('Year Conversion'!$A:$A,match($C3778,'Year Conversion'!$B:$B,0)),$Y:$Y,0))-K3778,"")</f>
        <v/>
      </c>
      <c r="AC3778" s="168" t="str">
        <f t="shared" si="7"/>
        <v>UTA,2020-21</v>
      </c>
    </row>
    <row r="3779">
      <c r="A3779" s="161" t="str">
        <f>IFERROR(__xludf.DUMMYFUNCTION("""COMPUTED_VALUE"""),"kennalu01")</f>
        <v>kennalu01</v>
      </c>
      <c r="B3779" s="161" t="str">
        <f>IFERROR(__xludf.DUMMYFUNCTION("""COMPUTED_VALUE"""),"Luke Kennard")</f>
        <v>Luke Kennard</v>
      </c>
      <c r="C3779" s="162" t="str">
        <f>IFERROR(__xludf.DUMMYFUNCTION("""COMPUTED_VALUE"""),"2020-21")</f>
        <v>2020-21</v>
      </c>
      <c r="D3779" s="163" t="str">
        <f>IFERROR(__xludf.DUMMYFUNCTION("""COMPUTED_VALUE"""),"LAC")</f>
        <v>LAC</v>
      </c>
      <c r="E3779" s="164" t="str">
        <f>IFERROR(__xludf.DUMMYFUNCTION("""COMPUTED_VALUE"""),"Movement Shooter")</f>
        <v>Movement Shooter</v>
      </c>
      <c r="F3779" s="164">
        <f>IFERROR(__xludf.DUMMYFUNCTION("""COMPUTED_VALUE"""),638.551666666667)</f>
        <v>638.5516667</v>
      </c>
      <c r="G3779" s="163">
        <f>IFERROR(__xludf.DUMMYFUNCTION("""COMPUTED_VALUE"""),29.0)</f>
        <v>29</v>
      </c>
      <c r="H3779" s="163" t="str">
        <f>IFERROR(__xludf.DUMMYFUNCTION("""COMPUTED_VALUE"""),"SG")</f>
        <v>SG</v>
      </c>
      <c r="I3779" s="163">
        <f>IFERROR(__xludf.DUMMYFUNCTION("""COMPUTED_VALUE"""),24.0)</f>
        <v>24</v>
      </c>
      <c r="J3779" s="165">
        <f>IFERROR(__xludf.DUMMYFUNCTION("""COMPUTED_VALUE"""),-3.53411862413443)</f>
        <v>-3.534118624</v>
      </c>
      <c r="K3779" s="165">
        <f>IFERROR(__xludf.DUMMYFUNCTION("""COMPUTED_VALUE"""),-1.22792072875595)</f>
        <v>-1.227920729</v>
      </c>
      <c r="L3779" s="165">
        <f>IFERROR(__xludf.DUMMYFUNCTION("""COMPUTED_VALUE"""),-2.30619789537848)</f>
        <v>-2.306197895</v>
      </c>
      <c r="M3779" s="166">
        <f t="shared" si="2"/>
        <v>-0.5111604712</v>
      </c>
      <c r="N3779" s="167">
        <f t="shared" si="3"/>
        <v>22.01902299</v>
      </c>
      <c r="O3779" s="163">
        <f t="shared" ref="O3779:Q3779" si="3783">rank(I3779,I:I)</f>
        <v>2361</v>
      </c>
      <c r="P3779" s="163">
        <f t="shared" si="3783"/>
        <v>3967</v>
      </c>
      <c r="Q3779" s="163">
        <f t="shared" si="3783"/>
        <v>3062</v>
      </c>
      <c r="R3779" s="163">
        <f>IFERROR(__xludf.DUMMYFUNCTION("RANK(M3779,filter(M:M,C:C=C3779))"),471.0)</f>
        <v>471</v>
      </c>
      <c r="S3779" s="161" t="b">
        <f t="shared" si="5"/>
        <v>1</v>
      </c>
      <c r="T3779" s="161" t="b">
        <f t="array" ref="T3779">index('Query Tool'!B:B,match(H3779,'Query Tool'!C:C,0))</f>
        <v>1</v>
      </c>
      <c r="U3779" s="161" t="b">
        <f t="array" ref="U3779">index('Query Tool'!B:B,match(C3779,'Query Tool'!C:C,0))</f>
        <v>1</v>
      </c>
      <c r="V3779" s="161" t="b">
        <f>F3779&gt;='Query Tool'!C$32</f>
        <v>1</v>
      </c>
      <c r="W3779" s="161" t="b">
        <f t="array" ref="W3779">index(Dropdowns!B:B,match(I3779,Dropdowns!A:A,0))</f>
        <v>1</v>
      </c>
      <c r="X3779" s="161" t="b">
        <f t="array" ref="X3779">index('Query Tool'!B:B,match(D3779,'Query Tool'!C:C,0))</f>
        <v>1</v>
      </c>
      <c r="Y3779" s="161" t="str">
        <f t="shared" si="6"/>
        <v>kennalu01,2020-21</v>
      </c>
      <c r="Z3779" s="168" t="str">
        <f t="array" ref="Z3779">iferror(index(I:I,match($A3779&amp;","&amp;index('Year Conversion'!$A:$A,match($C3779,'Year Conversion'!$B:$B,0)),$Y:$Y,0))-I3779,"")</f>
        <v/>
      </c>
      <c r="AA3779" s="168" t="str">
        <f t="array" ref="AA3779">iferror(index(J:J,match($A3779&amp;","&amp;index('Year Conversion'!$A:$A,match($C3779,'Year Conversion'!$B:$B,0)),$Y:$Y,0))-J3779,"")</f>
        <v/>
      </c>
      <c r="AB3779" s="168" t="str">
        <f t="array" ref="AB3779">iferror(index(K:K,match($A3779&amp;","&amp;index('Year Conversion'!$A:$A,match($C3779,'Year Conversion'!$B:$B,0)),$Y:$Y,0))-K3779,"")</f>
        <v/>
      </c>
      <c r="AC3779" s="168" t="str">
        <f t="shared" si="7"/>
        <v>LAC,2020-21</v>
      </c>
    </row>
    <row r="3780">
      <c r="A3780" s="161" t="str">
        <f>IFERROR(__xludf.DUMMYFUNCTION("""COMPUTED_VALUE"""),"collijo01")</f>
        <v>collijo01</v>
      </c>
      <c r="B3780" s="161" t="str">
        <f>IFERROR(__xludf.DUMMYFUNCTION("""COMPUTED_VALUE"""),"John Collins")</f>
        <v>John Collins</v>
      </c>
      <c r="C3780" s="162" t="str">
        <f>IFERROR(__xludf.DUMMYFUNCTION("""COMPUTED_VALUE"""),"2020-21")</f>
        <v>2020-21</v>
      </c>
      <c r="D3780" s="163" t="str">
        <f>IFERROR(__xludf.DUMMYFUNCTION("""COMPUTED_VALUE"""),"ATL")</f>
        <v>ATL</v>
      </c>
      <c r="E3780" s="164" t="str">
        <f>IFERROR(__xludf.DUMMYFUNCTION("""COMPUTED_VALUE"""),"Stretch Big")</f>
        <v>Stretch Big</v>
      </c>
      <c r="F3780" s="164">
        <f>IFERROR(__xludf.DUMMYFUNCTION("""COMPUTED_VALUE"""),943.848333333333)</f>
        <v>943.8483333</v>
      </c>
      <c r="G3780" s="163">
        <f>IFERROR(__xludf.DUMMYFUNCTION("""COMPUTED_VALUE"""),30.0)</f>
        <v>30</v>
      </c>
      <c r="H3780" s="163" t="str">
        <f>IFERROR(__xludf.DUMMYFUNCTION("""COMPUTED_VALUE"""),"PF")</f>
        <v>PF</v>
      </c>
      <c r="I3780" s="163">
        <f>IFERROR(__xludf.DUMMYFUNCTION("""COMPUTED_VALUE"""),23.0)</f>
        <v>23</v>
      </c>
      <c r="J3780" s="165">
        <f>IFERROR(__xludf.DUMMYFUNCTION("""COMPUTED_VALUE"""),0.343565719460258)</f>
        <v>0.3435657195</v>
      </c>
      <c r="K3780" s="165">
        <f>IFERROR(__xludf.DUMMYFUNCTION("""COMPUTED_VALUE"""),0.240923954119678)</f>
        <v>0.2409239541</v>
      </c>
      <c r="L3780" s="165">
        <f>IFERROR(__xludf.DUMMYFUNCTION("""COMPUTED_VALUE"""),0.10264176534058)</f>
        <v>0.1026417653</v>
      </c>
      <c r="M3780" s="166">
        <f t="shared" si="2"/>
        <v>1.673685854</v>
      </c>
      <c r="N3780" s="167">
        <f t="shared" si="3"/>
        <v>31.46161111</v>
      </c>
      <c r="O3780" s="163">
        <f t="shared" ref="O3780:Q3780" si="3784">rank(I3780,I:I)</f>
        <v>2765</v>
      </c>
      <c r="P3780" s="163">
        <f t="shared" si="3784"/>
        <v>987</v>
      </c>
      <c r="Q3780" s="163">
        <f t="shared" si="3784"/>
        <v>954</v>
      </c>
      <c r="R3780" s="163">
        <f>IFERROR(__xludf.DUMMYFUNCTION("RANK(M3780,filter(M:M,C:C=C3780))"),69.0)</f>
        <v>69</v>
      </c>
      <c r="S3780" s="161" t="b">
        <f t="shared" si="5"/>
        <v>1</v>
      </c>
      <c r="T3780" s="161" t="b">
        <f t="array" ref="T3780">index('Query Tool'!B:B,match(H3780,'Query Tool'!C:C,0))</f>
        <v>1</v>
      </c>
      <c r="U3780" s="161" t="b">
        <f t="array" ref="U3780">index('Query Tool'!B:B,match(C3780,'Query Tool'!C:C,0))</f>
        <v>1</v>
      </c>
      <c r="V3780" s="161" t="b">
        <f>F3780&gt;='Query Tool'!C$32</f>
        <v>1</v>
      </c>
      <c r="W3780" s="161" t="b">
        <f t="array" ref="W3780">index(Dropdowns!B:B,match(I3780,Dropdowns!A:A,0))</f>
        <v>1</v>
      </c>
      <c r="X3780" s="161" t="b">
        <f t="array" ref="X3780">index('Query Tool'!B:B,match(D3780,'Query Tool'!C:C,0))</f>
        <v>1</v>
      </c>
      <c r="Y3780" s="161" t="str">
        <f t="shared" si="6"/>
        <v>collijo01,2020-21</v>
      </c>
      <c r="Z3780" s="168" t="str">
        <f t="array" ref="Z3780">iferror(index(I:I,match($A3780&amp;","&amp;index('Year Conversion'!$A:$A,match($C3780,'Year Conversion'!$B:$B,0)),$Y:$Y,0))-I3780,"")</f>
        <v/>
      </c>
      <c r="AA3780" s="168" t="str">
        <f t="array" ref="AA3780">iferror(index(J:J,match($A3780&amp;","&amp;index('Year Conversion'!$A:$A,match($C3780,'Year Conversion'!$B:$B,0)),$Y:$Y,0))-J3780,"")</f>
        <v/>
      </c>
      <c r="AB3780" s="168" t="str">
        <f t="array" ref="AB3780">iferror(index(K:K,match($A3780&amp;","&amp;index('Year Conversion'!$A:$A,match($C3780,'Year Conversion'!$B:$B,0)),$Y:$Y,0))-K3780,"")</f>
        <v/>
      </c>
      <c r="AC3780" s="168" t="str">
        <f t="shared" si="7"/>
        <v>ATL,2020-21</v>
      </c>
    </row>
    <row r="3781">
      <c r="A3781" s="161" t="str">
        <f>IFERROR(__xludf.DUMMYFUNCTION("""COMPUTED_VALUE"""),"jacksju01")</f>
        <v>jacksju01</v>
      </c>
      <c r="B3781" s="161" t="str">
        <f>IFERROR(__xludf.DUMMYFUNCTION("""COMPUTED_VALUE"""),"Justin Jackson")</f>
        <v>Justin Jackson</v>
      </c>
      <c r="C3781" s="162" t="str">
        <f>IFERROR(__xludf.DUMMYFUNCTION("""COMPUTED_VALUE"""),"2020-21")</f>
        <v>2020-21</v>
      </c>
      <c r="D3781" s="163" t="str">
        <f>IFERROR(__xludf.DUMMYFUNCTION("""COMPUTED_VALUE"""),"OKC")</f>
        <v>OKC</v>
      </c>
      <c r="E3781" s="164" t="str">
        <f>IFERROR(__xludf.DUMMYFUNCTION("""COMPUTED_VALUE"""),"Stationary Shooter")</f>
        <v>Stationary Shooter</v>
      </c>
      <c r="F3781" s="164">
        <f>IFERROR(__xludf.DUMMYFUNCTION("""COMPUTED_VALUE"""),330.025)</f>
        <v>330.025</v>
      </c>
      <c r="G3781" s="163">
        <f>IFERROR(__xludf.DUMMYFUNCTION("""COMPUTED_VALUE"""),19.0)</f>
        <v>19</v>
      </c>
      <c r="H3781" s="163" t="str">
        <f>IFERROR(__xludf.DUMMYFUNCTION("""COMPUTED_VALUE"""),"SF")</f>
        <v>SF</v>
      </c>
      <c r="I3781" s="163">
        <f>IFERROR(__xludf.DUMMYFUNCTION("""COMPUTED_VALUE"""),25.0)</f>
        <v>25</v>
      </c>
      <c r="J3781" s="165">
        <f>IFERROR(__xludf.DUMMYFUNCTION("""COMPUTED_VALUE"""),-1.11396406562742)</f>
        <v>-1.113964066</v>
      </c>
      <c r="K3781" s="165">
        <f>IFERROR(__xludf.DUMMYFUNCTION("""COMPUTED_VALUE"""),-1.29226358661957)</f>
        <v>-1.292263587</v>
      </c>
      <c r="L3781" s="165">
        <f>IFERROR(__xludf.DUMMYFUNCTION("""COMPUTED_VALUE"""),0.178299520992155)</f>
        <v>0.178299521</v>
      </c>
      <c r="M3781" s="166">
        <f t="shared" si="2"/>
        <v>0.2613584893</v>
      </c>
      <c r="N3781" s="167">
        <f t="shared" si="3"/>
        <v>17.36973684</v>
      </c>
      <c r="O3781" s="163">
        <f t="shared" ref="O3781:Q3781" si="3785">rank(I3781,I:I)</f>
        <v>1995</v>
      </c>
      <c r="P3781" s="163">
        <f t="shared" si="3785"/>
        <v>2635</v>
      </c>
      <c r="Q3781" s="163">
        <f t="shared" si="3785"/>
        <v>3136</v>
      </c>
      <c r="R3781" s="163">
        <f>IFERROR(__xludf.DUMMYFUNCTION("RANK(M3781,filter(M:M,C:C=C3781))"),258.0)</f>
        <v>258</v>
      </c>
      <c r="S3781" s="161" t="b">
        <f t="shared" si="5"/>
        <v>0</v>
      </c>
      <c r="T3781" s="161" t="b">
        <f t="array" ref="T3781">index('Query Tool'!B:B,match(H3781,'Query Tool'!C:C,0))</f>
        <v>1</v>
      </c>
      <c r="U3781" s="161" t="b">
        <f t="array" ref="U3781">index('Query Tool'!B:B,match(C3781,'Query Tool'!C:C,0))</f>
        <v>1</v>
      </c>
      <c r="V3781" s="161" t="b">
        <f>F3781&gt;='Query Tool'!C$32</f>
        <v>0</v>
      </c>
      <c r="W3781" s="161" t="b">
        <f t="array" ref="W3781">index(Dropdowns!B:B,match(I3781,Dropdowns!A:A,0))</f>
        <v>1</v>
      </c>
      <c r="X3781" s="161" t="b">
        <f t="array" ref="X3781">index('Query Tool'!B:B,match(D3781,'Query Tool'!C:C,0))</f>
        <v>1</v>
      </c>
      <c r="Y3781" s="161" t="str">
        <f t="shared" si="6"/>
        <v>jacksju01,2020-21</v>
      </c>
      <c r="Z3781" s="168" t="str">
        <f t="array" ref="Z3781">iferror(index(I:I,match($A3781&amp;","&amp;index('Year Conversion'!$A:$A,match($C3781,'Year Conversion'!$B:$B,0)),$Y:$Y,0))-I3781,"")</f>
        <v/>
      </c>
      <c r="AA3781" s="168" t="str">
        <f t="array" ref="AA3781">iferror(index(J:J,match($A3781&amp;","&amp;index('Year Conversion'!$A:$A,match($C3781,'Year Conversion'!$B:$B,0)),$Y:$Y,0))-J3781,"")</f>
        <v/>
      </c>
      <c r="AB3781" s="168" t="str">
        <f t="array" ref="AB3781">iferror(index(K:K,match($A3781&amp;","&amp;index('Year Conversion'!$A:$A,match($C3781,'Year Conversion'!$B:$B,0)),$Y:$Y,0))-K3781,"")</f>
        <v/>
      </c>
      <c r="AC3781" s="168" t="str">
        <f t="shared" si="7"/>
        <v>OKC,2020-21</v>
      </c>
    </row>
    <row r="3782">
      <c r="A3782" s="161" t="str">
        <f>IFERROR(__xludf.DUMMYFUNCTION("""COMPUTED_VALUE"""),"anunoog01")</f>
        <v>anunoog01</v>
      </c>
      <c r="B3782" s="161" t="str">
        <f>IFERROR(__xludf.DUMMYFUNCTION("""COMPUTED_VALUE"""),"OG Anunoby")</f>
        <v>OG Anunoby</v>
      </c>
      <c r="C3782" s="162" t="str">
        <f>IFERROR(__xludf.DUMMYFUNCTION("""COMPUTED_VALUE"""),"2020-21")</f>
        <v>2020-21</v>
      </c>
      <c r="D3782" s="163" t="str">
        <f>IFERROR(__xludf.DUMMYFUNCTION("""COMPUTED_VALUE"""),"TOR")</f>
        <v>TOR</v>
      </c>
      <c r="E3782" s="164" t="str">
        <f>IFERROR(__xludf.DUMMYFUNCTION("""COMPUTED_VALUE"""),"Stationary Shooter")</f>
        <v>Stationary Shooter</v>
      </c>
      <c r="F3782" s="164">
        <f>IFERROR(__xludf.DUMMYFUNCTION("""COMPUTED_VALUE"""),675.968333333333)</f>
        <v>675.9683333</v>
      </c>
      <c r="G3782" s="163">
        <f>IFERROR(__xludf.DUMMYFUNCTION("""COMPUTED_VALUE"""),20.0)</f>
        <v>20</v>
      </c>
      <c r="H3782" s="163" t="str">
        <f>IFERROR(__xludf.DUMMYFUNCTION("""COMPUTED_VALUE"""),"SF")</f>
        <v>SF</v>
      </c>
      <c r="I3782" s="163">
        <f>IFERROR(__xludf.DUMMYFUNCTION("""COMPUTED_VALUE"""),23.0)</f>
        <v>23</v>
      </c>
      <c r="J3782" s="165">
        <f>IFERROR(__xludf.DUMMYFUNCTION("""COMPUTED_VALUE"""),-0.175645976513951)</f>
        <v>-0.1756459765</v>
      </c>
      <c r="K3782" s="165">
        <f>IFERROR(__xludf.DUMMYFUNCTION("""COMPUTED_VALUE"""),-0.699558206718685)</f>
        <v>-0.6995582067</v>
      </c>
      <c r="L3782" s="165">
        <f>IFERROR(__xludf.DUMMYFUNCTION("""COMPUTED_VALUE"""),0.523912230204734)</f>
        <v>0.5239122302</v>
      </c>
      <c r="M3782" s="166">
        <f t="shared" si="2"/>
        <v>0.9620739673</v>
      </c>
      <c r="N3782" s="167">
        <f t="shared" si="3"/>
        <v>33.79841667</v>
      </c>
      <c r="O3782" s="163">
        <f t="shared" ref="O3782:Q3782" si="3786">rank(I3782,I:I)</f>
        <v>2765</v>
      </c>
      <c r="P3782" s="163">
        <f t="shared" si="3786"/>
        <v>1479</v>
      </c>
      <c r="Q3782" s="163">
        <f t="shared" si="3786"/>
        <v>2414</v>
      </c>
      <c r="R3782" s="163">
        <f>IFERROR(__xludf.DUMMYFUNCTION("RANK(M3782,filter(M:M,C:C=C3782))"),125.0)</f>
        <v>125</v>
      </c>
      <c r="S3782" s="161" t="b">
        <f t="shared" si="5"/>
        <v>1</v>
      </c>
      <c r="T3782" s="161" t="b">
        <f t="array" ref="T3782">index('Query Tool'!B:B,match(H3782,'Query Tool'!C:C,0))</f>
        <v>1</v>
      </c>
      <c r="U3782" s="161" t="b">
        <f t="array" ref="U3782">index('Query Tool'!B:B,match(C3782,'Query Tool'!C:C,0))</f>
        <v>1</v>
      </c>
      <c r="V3782" s="161" t="b">
        <f>F3782&gt;='Query Tool'!C$32</f>
        <v>1</v>
      </c>
      <c r="W3782" s="161" t="b">
        <f t="array" ref="W3782">index(Dropdowns!B:B,match(I3782,Dropdowns!A:A,0))</f>
        <v>1</v>
      </c>
      <c r="X3782" s="161" t="b">
        <f t="array" ref="X3782">index('Query Tool'!B:B,match(D3782,'Query Tool'!C:C,0))</f>
        <v>1</v>
      </c>
      <c r="Y3782" s="161" t="str">
        <f t="shared" si="6"/>
        <v>anunoog01,2020-21</v>
      </c>
      <c r="Z3782" s="168" t="str">
        <f t="array" ref="Z3782">iferror(index(I:I,match($A3782&amp;","&amp;index('Year Conversion'!$A:$A,match($C3782,'Year Conversion'!$B:$B,0)),$Y:$Y,0))-I3782,"")</f>
        <v/>
      </c>
      <c r="AA3782" s="168" t="str">
        <f t="array" ref="AA3782">iferror(index(J:J,match($A3782&amp;","&amp;index('Year Conversion'!$A:$A,match($C3782,'Year Conversion'!$B:$B,0)),$Y:$Y,0))-J3782,"")</f>
        <v/>
      </c>
      <c r="AB3782" s="168" t="str">
        <f t="array" ref="AB3782">iferror(index(K:K,match($A3782&amp;","&amp;index('Year Conversion'!$A:$A,match($C3782,'Year Conversion'!$B:$B,0)),$Y:$Y,0))-K3782,"")</f>
        <v/>
      </c>
      <c r="AC3782" s="168" t="str">
        <f t="shared" si="7"/>
        <v>TOR,2020-21</v>
      </c>
    </row>
    <row r="3783">
      <c r="A3783" s="161" t="str">
        <f>IFERROR(__xludf.DUMMYFUNCTION("""COMPUTED_VALUE"""),"gilesha01")</f>
        <v>gilesha01</v>
      </c>
      <c r="B3783" s="161" t="str">
        <f>IFERROR(__xludf.DUMMYFUNCTION("""COMPUTED_VALUE"""),"Harry Giles III")</f>
        <v>Harry Giles III</v>
      </c>
      <c r="C3783" s="162" t="str">
        <f>IFERROR(__xludf.DUMMYFUNCTION("""COMPUTED_VALUE"""),"2020-21")</f>
        <v>2020-21</v>
      </c>
      <c r="D3783" s="163" t="str">
        <f>IFERROR(__xludf.DUMMYFUNCTION("""COMPUTED_VALUE"""),"POR")</f>
        <v>POR</v>
      </c>
      <c r="E3783" s="164" t="str">
        <f>IFERROR(__xludf.DUMMYFUNCTION("""COMPUTED_VALUE"""),"Roll + Cut Big")</f>
        <v>Roll + Cut Big</v>
      </c>
      <c r="F3783" s="164">
        <f>IFERROR(__xludf.DUMMYFUNCTION("""COMPUTED_VALUE"""),260.355)</f>
        <v>260.355</v>
      </c>
      <c r="G3783" s="163">
        <f>IFERROR(__xludf.DUMMYFUNCTION("""COMPUTED_VALUE"""),22.0)</f>
        <v>22</v>
      </c>
      <c r="H3783" s="163" t="str">
        <f>IFERROR(__xludf.DUMMYFUNCTION("""COMPUTED_VALUE"""),"C")</f>
        <v>C</v>
      </c>
      <c r="I3783" s="163">
        <f>IFERROR(__xludf.DUMMYFUNCTION("""COMPUTED_VALUE"""),22.0)</f>
        <v>22</v>
      </c>
      <c r="J3783" s="165">
        <f>IFERROR(__xludf.DUMMYFUNCTION("""COMPUTED_VALUE"""),-1.83051252636517)</f>
        <v>-1.830512526</v>
      </c>
      <c r="K3783" s="165">
        <f>IFERROR(__xludf.DUMMYFUNCTION("""COMPUTED_VALUE"""),-2.53959733210032)</f>
        <v>-2.539597332</v>
      </c>
      <c r="L3783" s="165">
        <f>IFERROR(__xludf.DUMMYFUNCTION("""COMPUTED_VALUE"""),0.709084805735142)</f>
        <v>0.7090848057</v>
      </c>
      <c r="M3783" s="166">
        <f t="shared" si="2"/>
        <v>0.08156050385</v>
      </c>
      <c r="N3783" s="167">
        <f t="shared" si="3"/>
        <v>11.83431818</v>
      </c>
      <c r="O3783" s="163">
        <f t="shared" ref="O3783:Q3783" si="3787">rank(I3783,I:I)</f>
        <v>3178</v>
      </c>
      <c r="P3783" s="163">
        <f t="shared" si="3787"/>
        <v>3367</v>
      </c>
      <c r="Q3783" s="163">
        <f t="shared" si="3787"/>
        <v>3896</v>
      </c>
      <c r="R3783" s="163">
        <f>IFERROR(__xludf.DUMMYFUNCTION("RANK(M3783,filter(M:M,C:C=C3783))"),347.0)</f>
        <v>347</v>
      </c>
      <c r="S3783" s="161" t="b">
        <f t="shared" si="5"/>
        <v>0</v>
      </c>
      <c r="T3783" s="161" t="b">
        <f t="array" ref="T3783">index('Query Tool'!B:B,match(H3783,'Query Tool'!C:C,0))</f>
        <v>1</v>
      </c>
      <c r="U3783" s="161" t="b">
        <f t="array" ref="U3783">index('Query Tool'!B:B,match(C3783,'Query Tool'!C:C,0))</f>
        <v>1</v>
      </c>
      <c r="V3783" s="161" t="b">
        <f>F3783&gt;='Query Tool'!C$32</f>
        <v>0</v>
      </c>
      <c r="W3783" s="161" t="b">
        <f t="array" ref="W3783">index(Dropdowns!B:B,match(I3783,Dropdowns!A:A,0))</f>
        <v>1</v>
      </c>
      <c r="X3783" s="161" t="b">
        <f t="array" ref="X3783">index('Query Tool'!B:B,match(D3783,'Query Tool'!C:C,0))</f>
        <v>1</v>
      </c>
      <c r="Y3783" s="161" t="str">
        <f t="shared" si="6"/>
        <v>gilesha01,2020-21</v>
      </c>
      <c r="Z3783" s="168" t="str">
        <f t="array" ref="Z3783">iferror(index(I:I,match($A3783&amp;","&amp;index('Year Conversion'!$A:$A,match($C3783,'Year Conversion'!$B:$B,0)),$Y:$Y,0))-I3783,"")</f>
        <v/>
      </c>
      <c r="AA3783" s="168" t="str">
        <f t="array" ref="AA3783">iferror(index(J:J,match($A3783&amp;","&amp;index('Year Conversion'!$A:$A,match($C3783,'Year Conversion'!$B:$B,0)),$Y:$Y,0))-J3783,"")</f>
        <v/>
      </c>
      <c r="AB3783" s="168" t="str">
        <f t="array" ref="AB3783">iferror(index(K:K,match($A3783&amp;","&amp;index('Year Conversion'!$A:$A,match($C3783,'Year Conversion'!$B:$B,0)),$Y:$Y,0))-K3783,"")</f>
        <v/>
      </c>
      <c r="AC3783" s="168" t="str">
        <f t="shared" si="7"/>
        <v>POR,2020-21</v>
      </c>
    </row>
    <row r="3784">
      <c r="A3784" s="161" t="str">
        <f>IFERROR(__xludf.DUMMYFUNCTION("""COMPUTED_VALUE"""),"allenja01")</f>
        <v>allenja01</v>
      </c>
      <c r="B3784" s="161" t="str">
        <f>IFERROR(__xludf.DUMMYFUNCTION("""COMPUTED_VALUE"""),"Jarrett Allen")</f>
        <v>Jarrett Allen</v>
      </c>
      <c r="C3784" s="162" t="str">
        <f>IFERROR(__xludf.DUMMYFUNCTION("""COMPUTED_VALUE"""),"2020-21")</f>
        <v>2020-21</v>
      </c>
      <c r="D3784" s="163" t="str">
        <f>IFERROR(__xludf.DUMMYFUNCTION("""COMPUTED_VALUE"""),"TOT")</f>
        <v>TOT</v>
      </c>
      <c r="E3784" s="164" t="str">
        <f>IFERROR(__xludf.DUMMYFUNCTION("""COMPUTED_VALUE"""),"Roll + Cut Big")</f>
        <v>Roll + Cut Big</v>
      </c>
      <c r="F3784" s="164">
        <f>IFERROR(__xludf.DUMMYFUNCTION("""COMPUTED_VALUE"""),809.286666666667)</f>
        <v>809.2866667</v>
      </c>
      <c r="G3784" s="163">
        <f>IFERROR(__xludf.DUMMYFUNCTION("""COMPUTED_VALUE"""),30.0)</f>
        <v>30</v>
      </c>
      <c r="H3784" s="163" t="str">
        <f>IFERROR(__xludf.DUMMYFUNCTION("""COMPUTED_VALUE"""),"C")</f>
        <v>C</v>
      </c>
      <c r="I3784" s="163">
        <f>IFERROR(__xludf.DUMMYFUNCTION("""COMPUTED_VALUE"""),22.0)</f>
        <v>22</v>
      </c>
      <c r="J3784" s="165">
        <f>IFERROR(__xludf.DUMMYFUNCTION("""COMPUTED_VALUE"""),1.4215444643828)</f>
        <v>1.421544464</v>
      </c>
      <c r="K3784" s="165">
        <f>IFERROR(__xludf.DUMMYFUNCTION("""COMPUTED_VALUE"""),0.557951090176898)</f>
        <v>0.5579510902</v>
      </c>
      <c r="L3784" s="165">
        <f>IFERROR(__xludf.DUMMYFUNCTION("""COMPUTED_VALUE"""),0.8635933742059)</f>
        <v>0.8635933742</v>
      </c>
      <c r="M3784" s="166">
        <f t="shared" si="2"/>
        <v>2.021093137</v>
      </c>
      <c r="N3784" s="167">
        <f t="shared" si="3"/>
        <v>26.97622222</v>
      </c>
      <c r="O3784" s="163">
        <f t="shared" ref="O3784:Q3784" si="3788">rank(I3784,I:I)</f>
        <v>3178</v>
      </c>
      <c r="P3784" s="163">
        <f t="shared" si="3788"/>
        <v>483</v>
      </c>
      <c r="Q3784" s="163">
        <f t="shared" si="3788"/>
        <v>736</v>
      </c>
      <c r="R3784" s="163">
        <f>IFERROR(__xludf.DUMMYFUNCTION("RANK(M3784,filter(M:M,C:C=C3784))"),46.0)</f>
        <v>46</v>
      </c>
      <c r="S3784" s="161" t="b">
        <f t="shared" si="5"/>
        <v>1</v>
      </c>
      <c r="T3784" s="161" t="b">
        <f t="array" ref="T3784">index('Query Tool'!B:B,match(H3784,'Query Tool'!C:C,0))</f>
        <v>1</v>
      </c>
      <c r="U3784" s="161" t="b">
        <f t="array" ref="U3784">index('Query Tool'!B:B,match(C3784,'Query Tool'!C:C,0))</f>
        <v>1</v>
      </c>
      <c r="V3784" s="161" t="b">
        <f>F3784&gt;='Query Tool'!C$32</f>
        <v>1</v>
      </c>
      <c r="W3784" s="161" t="b">
        <f t="array" ref="W3784">index(Dropdowns!B:B,match(I3784,Dropdowns!A:A,0))</f>
        <v>1</v>
      </c>
      <c r="X3784" s="161" t="b">
        <f t="array" ref="X3784">index('Query Tool'!B:B,match(D3784,'Query Tool'!C:C,0))</f>
        <v>1</v>
      </c>
      <c r="Y3784" s="161" t="str">
        <f t="shared" si="6"/>
        <v>allenja01,2020-21</v>
      </c>
      <c r="Z3784" s="168" t="str">
        <f t="array" ref="Z3784">iferror(index(I:I,match($A3784&amp;","&amp;index('Year Conversion'!$A:$A,match($C3784,'Year Conversion'!$B:$B,0)),$Y:$Y,0))-I3784,"")</f>
        <v/>
      </c>
      <c r="AA3784" s="168" t="str">
        <f t="array" ref="AA3784">iferror(index(J:J,match($A3784&amp;","&amp;index('Year Conversion'!$A:$A,match($C3784,'Year Conversion'!$B:$B,0)),$Y:$Y,0))-J3784,"")</f>
        <v/>
      </c>
      <c r="AB3784" s="168" t="str">
        <f t="array" ref="AB3784">iferror(index(K:K,match($A3784&amp;","&amp;index('Year Conversion'!$A:$A,match($C3784,'Year Conversion'!$B:$B,0)),$Y:$Y,0))-K3784,"")</f>
        <v/>
      </c>
      <c r="AC3784" s="168" t="str">
        <f t="shared" si="7"/>
        <v>TOT,2020-21</v>
      </c>
    </row>
    <row r="3785">
      <c r="A3785" s="161" t="str">
        <f>IFERROR(__xludf.DUMMYFUNCTION("""COMPUTED_VALUE"""),"adebaba01")</f>
        <v>adebaba01</v>
      </c>
      <c r="B3785" s="161" t="str">
        <f>IFERROR(__xludf.DUMMYFUNCTION("""COMPUTED_VALUE"""),"Bam Adebayo")</f>
        <v>Bam Adebayo</v>
      </c>
      <c r="C3785" s="162" t="str">
        <f>IFERROR(__xludf.DUMMYFUNCTION("""COMPUTED_VALUE"""),"2020-21")</f>
        <v>2020-21</v>
      </c>
      <c r="D3785" s="163" t="str">
        <f>IFERROR(__xludf.DUMMYFUNCTION("""COMPUTED_VALUE"""),"MIA")</f>
        <v>MIA</v>
      </c>
      <c r="E3785" s="164" t="str">
        <f>IFERROR(__xludf.DUMMYFUNCTION("""COMPUTED_VALUE"""),"Roll + Cut Big")</f>
        <v>Roll + Cut Big</v>
      </c>
      <c r="F3785" s="164">
        <f>IFERROR(__xludf.DUMMYFUNCTION("""COMPUTED_VALUE"""),944.898333333334)</f>
        <v>944.8983333</v>
      </c>
      <c r="G3785" s="163">
        <f>IFERROR(__xludf.DUMMYFUNCTION("""COMPUTED_VALUE"""),28.0)</f>
        <v>28</v>
      </c>
      <c r="H3785" s="163" t="str">
        <f>IFERROR(__xludf.DUMMYFUNCTION("""COMPUTED_VALUE"""),"C")</f>
        <v>C</v>
      </c>
      <c r="I3785" s="163">
        <f>IFERROR(__xludf.DUMMYFUNCTION("""COMPUTED_VALUE"""),23.0)</f>
        <v>23</v>
      </c>
      <c r="J3785" s="165">
        <f>IFERROR(__xludf.DUMMYFUNCTION("""COMPUTED_VALUE"""),1.69237679638564)</f>
        <v>1.692376796</v>
      </c>
      <c r="K3785" s="165">
        <f>IFERROR(__xludf.DUMMYFUNCTION("""COMPUTED_VALUE"""),0.319883481875042)</f>
        <v>0.3198834819</v>
      </c>
      <c r="L3785" s="165">
        <f>IFERROR(__xludf.DUMMYFUNCTION("""COMPUTED_VALUE"""),1.3724933145106)</f>
        <v>1.372493315</v>
      </c>
      <c r="M3785" s="166">
        <f t="shared" si="2"/>
        <v>2.530562123</v>
      </c>
      <c r="N3785" s="167">
        <f t="shared" si="3"/>
        <v>33.74636905</v>
      </c>
      <c r="O3785" s="163">
        <f t="shared" ref="O3785:Q3785" si="3789">rank(I3785,I:I)</f>
        <v>2765</v>
      </c>
      <c r="P3785" s="163">
        <f t="shared" si="3789"/>
        <v>402</v>
      </c>
      <c r="Q3785" s="163">
        <f t="shared" si="3789"/>
        <v>894</v>
      </c>
      <c r="R3785" s="163">
        <f>IFERROR(__xludf.DUMMYFUNCTION("RANK(M3785,filter(M:M,C:C=C3785))"),32.0)</f>
        <v>32</v>
      </c>
      <c r="S3785" s="161" t="b">
        <f t="shared" si="5"/>
        <v>1</v>
      </c>
      <c r="T3785" s="161" t="b">
        <f t="array" ref="T3785">index('Query Tool'!B:B,match(H3785,'Query Tool'!C:C,0))</f>
        <v>1</v>
      </c>
      <c r="U3785" s="161" t="b">
        <f t="array" ref="U3785">index('Query Tool'!B:B,match(C3785,'Query Tool'!C:C,0))</f>
        <v>1</v>
      </c>
      <c r="V3785" s="161" t="b">
        <f>F3785&gt;='Query Tool'!C$32</f>
        <v>1</v>
      </c>
      <c r="W3785" s="161" t="b">
        <f t="array" ref="W3785">index(Dropdowns!B:B,match(I3785,Dropdowns!A:A,0))</f>
        <v>1</v>
      </c>
      <c r="X3785" s="161" t="b">
        <f t="array" ref="X3785">index('Query Tool'!B:B,match(D3785,'Query Tool'!C:C,0))</f>
        <v>1</v>
      </c>
      <c r="Y3785" s="161" t="str">
        <f t="shared" si="6"/>
        <v>adebaba01,2020-21</v>
      </c>
      <c r="Z3785" s="168" t="str">
        <f t="array" ref="Z3785">iferror(index(I:I,match($A3785&amp;","&amp;index('Year Conversion'!$A:$A,match($C3785,'Year Conversion'!$B:$B,0)),$Y:$Y,0))-I3785,"")</f>
        <v/>
      </c>
      <c r="AA3785" s="168" t="str">
        <f t="array" ref="AA3785">iferror(index(J:J,match($A3785&amp;","&amp;index('Year Conversion'!$A:$A,match($C3785,'Year Conversion'!$B:$B,0)),$Y:$Y,0))-J3785,"")</f>
        <v/>
      </c>
      <c r="AB3785" s="168" t="str">
        <f t="array" ref="AB3785">iferror(index(K:K,match($A3785&amp;","&amp;index('Year Conversion'!$A:$A,match($C3785,'Year Conversion'!$B:$B,0)),$Y:$Y,0))-K3785,"")</f>
        <v/>
      </c>
      <c r="AC3785" s="168" t="str">
        <f t="shared" si="7"/>
        <v>MIA,2020-21</v>
      </c>
    </row>
    <row r="3786">
      <c r="A3786" s="161" t="str">
        <f>IFERROR(__xludf.DUMMYFUNCTION("""COMPUTED_VALUE"""),"fergute01")</f>
        <v>fergute01</v>
      </c>
      <c r="B3786" s="161" t="str">
        <f>IFERROR(__xludf.DUMMYFUNCTION("""COMPUTED_VALUE"""),"Terrance Ferguson")</f>
        <v>Terrance Ferguson</v>
      </c>
      <c r="C3786" s="162" t="str">
        <f>IFERROR(__xludf.DUMMYFUNCTION("""COMPUTED_VALUE"""),"2020-21")</f>
        <v>2020-21</v>
      </c>
      <c r="D3786" s="163" t="str">
        <f>IFERROR(__xludf.DUMMYFUNCTION("""COMPUTED_VALUE"""),"PHI")</f>
        <v>PHI</v>
      </c>
      <c r="E3786" s="164" t="str">
        <f>IFERROR(__xludf.DUMMYFUNCTION("""COMPUTED_VALUE"""),"Stationary Shooter")</f>
        <v>Stationary Shooter</v>
      </c>
      <c r="F3786" s="164">
        <f>IFERROR(__xludf.DUMMYFUNCTION("""COMPUTED_VALUE"""),24.1533333333333)</f>
        <v>24.15333333</v>
      </c>
      <c r="G3786" s="163">
        <f>IFERROR(__xludf.DUMMYFUNCTION("""COMPUTED_VALUE"""),7.0)</f>
        <v>7</v>
      </c>
      <c r="H3786" s="163" t="str">
        <f>IFERROR(__xludf.DUMMYFUNCTION("""COMPUTED_VALUE"""),"SG")</f>
        <v>SG</v>
      </c>
      <c r="I3786" s="163">
        <f>IFERROR(__xludf.DUMMYFUNCTION("""COMPUTED_VALUE"""),22.0)</f>
        <v>22</v>
      </c>
      <c r="J3786" s="165">
        <f>IFERROR(__xludf.DUMMYFUNCTION("""COMPUTED_VALUE"""),-0.718039321195625)</f>
        <v>-0.7180393212</v>
      </c>
      <c r="K3786" s="165">
        <f>IFERROR(__xludf.DUMMYFUNCTION("""COMPUTED_VALUE"""),-0.208490974523002)</f>
        <v>-0.2084909745</v>
      </c>
      <c r="L3786" s="165">
        <f>IFERROR(__xludf.DUMMYFUNCTION("""COMPUTED_VALUE"""),-0.509548346672623)</f>
        <v>-0.5095483467</v>
      </c>
      <c r="M3786" s="166">
        <f t="shared" si="2"/>
        <v>0.02555225327</v>
      </c>
      <c r="N3786" s="167">
        <f t="shared" si="3"/>
        <v>3.45047619</v>
      </c>
      <c r="O3786" s="163">
        <f t="shared" ref="O3786:Q3786" si="3790">rank(I3786,I:I)</f>
        <v>3178</v>
      </c>
      <c r="P3786" s="163">
        <f t="shared" si="3790"/>
        <v>2173</v>
      </c>
      <c r="Q3786" s="163">
        <f t="shared" si="3790"/>
        <v>1576</v>
      </c>
      <c r="R3786" s="163">
        <f>IFERROR(__xludf.DUMMYFUNCTION("RANK(M3786,filter(M:M,C:C=C3786))"),411.0)</f>
        <v>411</v>
      </c>
      <c r="S3786" s="161" t="b">
        <f t="shared" si="5"/>
        <v>0</v>
      </c>
      <c r="T3786" s="161" t="b">
        <f t="array" ref="T3786">index('Query Tool'!B:B,match(H3786,'Query Tool'!C:C,0))</f>
        <v>1</v>
      </c>
      <c r="U3786" s="161" t="b">
        <f t="array" ref="U3786">index('Query Tool'!B:B,match(C3786,'Query Tool'!C:C,0))</f>
        <v>1</v>
      </c>
      <c r="V3786" s="161" t="b">
        <f>F3786&gt;='Query Tool'!C$32</f>
        <v>0</v>
      </c>
      <c r="W3786" s="161" t="b">
        <f t="array" ref="W3786">index(Dropdowns!B:B,match(I3786,Dropdowns!A:A,0))</f>
        <v>1</v>
      </c>
      <c r="X3786" s="161" t="b">
        <f t="array" ref="X3786">index('Query Tool'!B:B,match(D3786,'Query Tool'!C:C,0))</f>
        <v>1</v>
      </c>
      <c r="Y3786" s="161" t="str">
        <f t="shared" si="6"/>
        <v>fergute01,2020-21</v>
      </c>
      <c r="Z3786" s="168" t="str">
        <f t="array" ref="Z3786">iferror(index(I:I,match($A3786&amp;","&amp;index('Year Conversion'!$A:$A,match($C3786,'Year Conversion'!$B:$B,0)),$Y:$Y,0))-I3786,"")</f>
        <v/>
      </c>
      <c r="AA3786" s="168" t="str">
        <f t="array" ref="AA3786">iferror(index(J:J,match($A3786&amp;","&amp;index('Year Conversion'!$A:$A,match($C3786,'Year Conversion'!$B:$B,0)),$Y:$Y,0))-J3786,"")</f>
        <v/>
      </c>
      <c r="AB3786" s="168" t="str">
        <f t="array" ref="AB3786">iferror(index(K:K,match($A3786&amp;","&amp;index('Year Conversion'!$A:$A,match($C3786,'Year Conversion'!$B:$B,0)),$Y:$Y,0))-K3786,"")</f>
        <v/>
      </c>
      <c r="AC3786" s="168" t="str">
        <f t="shared" si="7"/>
        <v>PHI,2020-21</v>
      </c>
    </row>
    <row r="3787">
      <c r="A3787" s="161" t="str">
        <f>IFERROR(__xludf.DUMMYFUNCTION("""COMPUTED_VALUE"""),"wilsodj01")</f>
        <v>wilsodj01</v>
      </c>
      <c r="B3787" s="161" t="str">
        <f>IFERROR(__xludf.DUMMYFUNCTION("""COMPUTED_VALUE"""),"D.J. Wilson")</f>
        <v>D.J. Wilson</v>
      </c>
      <c r="C3787" s="162" t="str">
        <f>IFERROR(__xludf.DUMMYFUNCTION("""COMPUTED_VALUE"""),"2020-21")</f>
        <v>2020-21</v>
      </c>
      <c r="D3787" s="163" t="str">
        <f>IFERROR(__xludf.DUMMYFUNCTION("""COMPUTED_VALUE"""),"MIL")</f>
        <v>MIL</v>
      </c>
      <c r="E3787" s="164" t="str">
        <f>IFERROR(__xludf.DUMMYFUNCTION("""COMPUTED_VALUE"""),"Stretch Big")</f>
        <v>Stretch Big</v>
      </c>
      <c r="F3787" s="164">
        <f>IFERROR(__xludf.DUMMYFUNCTION("""COMPUTED_VALUE"""),94.4366666666667)</f>
        <v>94.43666667</v>
      </c>
      <c r="G3787" s="163">
        <f>IFERROR(__xludf.DUMMYFUNCTION("""COMPUTED_VALUE"""),10.0)</f>
        <v>10</v>
      </c>
      <c r="H3787" s="163" t="str">
        <f>IFERROR(__xludf.DUMMYFUNCTION("""COMPUTED_VALUE"""),"PF")</f>
        <v>PF</v>
      </c>
      <c r="I3787" s="163">
        <f>IFERROR(__xludf.DUMMYFUNCTION("""COMPUTED_VALUE"""),24.0)</f>
        <v>24</v>
      </c>
      <c r="J3787" s="165">
        <f>IFERROR(__xludf.DUMMYFUNCTION("""COMPUTED_VALUE"""),-1.39980818280015)</f>
        <v>-1.399808183</v>
      </c>
      <c r="K3787" s="165">
        <f>IFERROR(__xludf.DUMMYFUNCTION("""COMPUTED_VALUE"""),-1.06403927047887)</f>
        <v>-1.06403927</v>
      </c>
      <c r="L3787" s="165">
        <f>IFERROR(__xludf.DUMMYFUNCTION("""COMPUTED_VALUE"""),-0.335768912321275)</f>
        <v>-0.3357689123</v>
      </c>
      <c r="M3787" s="166">
        <f t="shared" si="2"/>
        <v>0.05670834905</v>
      </c>
      <c r="N3787" s="167">
        <f t="shared" si="3"/>
        <v>9.443666667</v>
      </c>
      <c r="O3787" s="163">
        <f t="shared" ref="O3787:Q3787" si="3791">rank(I3787,I:I)</f>
        <v>2361</v>
      </c>
      <c r="P3787" s="163">
        <f t="shared" si="3791"/>
        <v>2949</v>
      </c>
      <c r="Q3787" s="163">
        <f t="shared" si="3791"/>
        <v>2890</v>
      </c>
      <c r="R3787" s="163">
        <f>IFERROR(__xludf.DUMMYFUNCTION("RANK(M3787,filter(M:M,C:C=C3787))"),372.0)</f>
        <v>372</v>
      </c>
      <c r="S3787" s="161" t="b">
        <f t="shared" si="5"/>
        <v>0</v>
      </c>
      <c r="T3787" s="161" t="b">
        <f t="array" ref="T3787">index('Query Tool'!B:B,match(H3787,'Query Tool'!C:C,0))</f>
        <v>1</v>
      </c>
      <c r="U3787" s="161" t="b">
        <f t="array" ref="U3787">index('Query Tool'!B:B,match(C3787,'Query Tool'!C:C,0))</f>
        <v>1</v>
      </c>
      <c r="V3787" s="161" t="b">
        <f>F3787&gt;='Query Tool'!C$32</f>
        <v>0</v>
      </c>
      <c r="W3787" s="161" t="b">
        <f t="array" ref="W3787">index(Dropdowns!B:B,match(I3787,Dropdowns!A:A,0))</f>
        <v>1</v>
      </c>
      <c r="X3787" s="161" t="b">
        <f t="array" ref="X3787">index('Query Tool'!B:B,match(D3787,'Query Tool'!C:C,0))</f>
        <v>1</v>
      </c>
      <c r="Y3787" s="161" t="str">
        <f t="shared" si="6"/>
        <v>wilsodj01,2020-21</v>
      </c>
      <c r="Z3787" s="168" t="str">
        <f t="array" ref="Z3787">iferror(index(I:I,match($A3787&amp;","&amp;index('Year Conversion'!$A:$A,match($C3787,'Year Conversion'!$B:$B,0)),$Y:$Y,0))-I3787,"")</f>
        <v/>
      </c>
      <c r="AA3787" s="168" t="str">
        <f t="array" ref="AA3787">iferror(index(J:J,match($A3787&amp;","&amp;index('Year Conversion'!$A:$A,match($C3787,'Year Conversion'!$B:$B,0)),$Y:$Y,0))-J3787,"")</f>
        <v/>
      </c>
      <c r="AB3787" s="168" t="str">
        <f t="array" ref="AB3787">iferror(index(K:K,match($A3787&amp;","&amp;index('Year Conversion'!$A:$A,match($C3787,'Year Conversion'!$B:$B,0)),$Y:$Y,0))-K3787,"")</f>
        <v/>
      </c>
      <c r="AC3787" s="168" t="str">
        <f t="shared" si="7"/>
        <v>MIL,2020-21</v>
      </c>
    </row>
    <row r="3788">
      <c r="A3788" s="161" t="str">
        <f>IFERROR(__xludf.DUMMYFUNCTION("""COMPUTED_VALUE"""),"harteis01")</f>
        <v>harteis01</v>
      </c>
      <c r="B3788" s="161" t="str">
        <f>IFERROR(__xludf.DUMMYFUNCTION("""COMPUTED_VALUE"""),"Isaiah Hartenstein")</f>
        <v>Isaiah Hartenstein</v>
      </c>
      <c r="C3788" s="162" t="str">
        <f>IFERROR(__xludf.DUMMYFUNCTION("""COMPUTED_VALUE"""),"2020-21")</f>
        <v>2020-21</v>
      </c>
      <c r="D3788" s="163" t="str">
        <f>IFERROR(__xludf.DUMMYFUNCTION("""COMPUTED_VALUE"""),"DEN")</f>
        <v>DEN</v>
      </c>
      <c r="E3788" s="164" t="str">
        <f>IFERROR(__xludf.DUMMYFUNCTION("""COMPUTED_VALUE"""),"Roll + Cut Big")</f>
        <v>Roll + Cut Big</v>
      </c>
      <c r="F3788" s="164">
        <f>IFERROR(__xludf.DUMMYFUNCTION("""COMPUTED_VALUE"""),178.761666666667)</f>
        <v>178.7616667</v>
      </c>
      <c r="G3788" s="163">
        <f>IFERROR(__xludf.DUMMYFUNCTION("""COMPUTED_VALUE"""),20.0)</f>
        <v>20</v>
      </c>
      <c r="H3788" s="163" t="str">
        <f>IFERROR(__xludf.DUMMYFUNCTION("""COMPUTED_VALUE"""),"C")</f>
        <v>C</v>
      </c>
      <c r="I3788" s="163">
        <f>IFERROR(__xludf.DUMMYFUNCTION("""COMPUTED_VALUE"""),22.0)</f>
        <v>22</v>
      </c>
      <c r="J3788" s="165">
        <f>IFERROR(__xludf.DUMMYFUNCTION("""COMPUTED_VALUE"""),0.185527136672697)</f>
        <v>0.1855271367</v>
      </c>
      <c r="K3788" s="165">
        <f>IFERROR(__xludf.DUMMYFUNCTION("""COMPUTED_VALUE"""),-0.65570277169693)</f>
        <v>-0.6557027717</v>
      </c>
      <c r="L3788" s="165">
        <f>IFERROR(__xludf.DUMMYFUNCTION("""COMPUTED_VALUE"""),0.841229908369628)</f>
        <v>0.8412299084</v>
      </c>
      <c r="M3788" s="166">
        <f t="shared" si="2"/>
        <v>0.2979494334</v>
      </c>
      <c r="N3788" s="167">
        <f t="shared" si="3"/>
        <v>8.938083333</v>
      </c>
      <c r="O3788" s="163">
        <f t="shared" ref="O3788:Q3788" si="3792">rank(I3788,I:I)</f>
        <v>3178</v>
      </c>
      <c r="P3788" s="163">
        <f t="shared" si="3792"/>
        <v>1103</v>
      </c>
      <c r="Q3788" s="163">
        <f t="shared" si="3792"/>
        <v>2342</v>
      </c>
      <c r="R3788" s="163">
        <f>IFERROR(__xludf.DUMMYFUNCTION("RANK(M3788,filter(M:M,C:C=C3788))"),246.0)</f>
        <v>246</v>
      </c>
      <c r="S3788" s="161" t="b">
        <f t="shared" si="5"/>
        <v>0</v>
      </c>
      <c r="T3788" s="161" t="b">
        <f t="array" ref="T3788">index('Query Tool'!B:B,match(H3788,'Query Tool'!C:C,0))</f>
        <v>1</v>
      </c>
      <c r="U3788" s="161" t="b">
        <f t="array" ref="U3788">index('Query Tool'!B:B,match(C3788,'Query Tool'!C:C,0))</f>
        <v>1</v>
      </c>
      <c r="V3788" s="161" t="b">
        <f>F3788&gt;='Query Tool'!C$32</f>
        <v>0</v>
      </c>
      <c r="W3788" s="161" t="b">
        <f t="array" ref="W3788">index(Dropdowns!B:B,match(I3788,Dropdowns!A:A,0))</f>
        <v>1</v>
      </c>
      <c r="X3788" s="161" t="b">
        <f t="array" ref="X3788">index('Query Tool'!B:B,match(D3788,'Query Tool'!C:C,0))</f>
        <v>1</v>
      </c>
      <c r="Y3788" s="161" t="str">
        <f t="shared" si="6"/>
        <v>harteis01,2020-21</v>
      </c>
      <c r="Z3788" s="168" t="str">
        <f t="array" ref="Z3788">iferror(index(I:I,match($A3788&amp;","&amp;index('Year Conversion'!$A:$A,match($C3788,'Year Conversion'!$B:$B,0)),$Y:$Y,0))-I3788,"")</f>
        <v/>
      </c>
      <c r="AA3788" s="168" t="str">
        <f t="array" ref="AA3788">iferror(index(J:J,match($A3788&amp;","&amp;index('Year Conversion'!$A:$A,match($C3788,'Year Conversion'!$B:$B,0)),$Y:$Y,0))-J3788,"")</f>
        <v/>
      </c>
      <c r="AB3788" s="168" t="str">
        <f t="array" ref="AB3788">iferror(index(K:K,match($A3788&amp;","&amp;index('Year Conversion'!$A:$A,match($C3788,'Year Conversion'!$B:$B,0)),$Y:$Y,0))-K3788,"")</f>
        <v/>
      </c>
      <c r="AC3788" s="168" t="str">
        <f t="shared" si="7"/>
        <v>DEN,2020-21</v>
      </c>
    </row>
    <row r="3789">
      <c r="A3789" s="161" t="str">
        <f>IFERROR(__xludf.DUMMYFUNCTION("""COMPUTED_VALUE"""),"belljo01")</f>
        <v>belljo01</v>
      </c>
      <c r="B3789" s="161" t="str">
        <f>IFERROR(__xludf.DUMMYFUNCTION("""COMPUTED_VALUE"""),"Jordan Bell")</f>
        <v>Jordan Bell</v>
      </c>
      <c r="C3789" s="162" t="str">
        <f>IFERROR(__xludf.DUMMYFUNCTION("""COMPUTED_VALUE"""),"2020-21")</f>
        <v>2020-21</v>
      </c>
      <c r="D3789" s="163" t="str">
        <f>IFERROR(__xludf.DUMMYFUNCTION("""COMPUTED_VALUE"""),"WAS")</f>
        <v>WAS</v>
      </c>
      <c r="E3789" s="164" t="str">
        <f>IFERROR(__xludf.DUMMYFUNCTION("""COMPUTED_VALUE"""),"Roll + Cut Big")</f>
        <v>Roll + Cut Big</v>
      </c>
      <c r="F3789" s="164">
        <f>IFERROR(__xludf.DUMMYFUNCTION("""COMPUTED_VALUE"""),49.7666666666667)</f>
        <v>49.76666667</v>
      </c>
      <c r="G3789" s="163">
        <f>IFERROR(__xludf.DUMMYFUNCTION("""COMPUTED_VALUE"""),3.0)</f>
        <v>3</v>
      </c>
      <c r="H3789" s="163" t="str">
        <f>IFERROR(__xludf.DUMMYFUNCTION("""COMPUTED_VALUE"""),"C")</f>
        <v>C</v>
      </c>
      <c r="I3789" s="163">
        <f>IFERROR(__xludf.DUMMYFUNCTION("""COMPUTED_VALUE"""),26.0)</f>
        <v>26</v>
      </c>
      <c r="J3789" s="165">
        <f>IFERROR(__xludf.DUMMYFUNCTION("""COMPUTED_VALUE"""),-0.174388772046751)</f>
        <v>-0.174388772</v>
      </c>
      <c r="K3789" s="165">
        <f>IFERROR(__xludf.DUMMYFUNCTION("""COMPUTED_VALUE"""),-0.375225276728814)</f>
        <v>-0.3752252767</v>
      </c>
      <c r="L3789" s="165">
        <f>IFERROR(__xludf.DUMMYFUNCTION("""COMPUTED_VALUE"""),0.200836504682063)</f>
        <v>0.2008365047</v>
      </c>
      <c r="M3789" s="166">
        <f t="shared" si="2"/>
        <v>0.07087273486</v>
      </c>
      <c r="N3789" s="167">
        <f t="shared" si="3"/>
        <v>16.58888889</v>
      </c>
      <c r="O3789" s="163">
        <f t="shared" ref="O3789:Q3789" si="3793">rank(I3789,I:I)</f>
        <v>1665</v>
      </c>
      <c r="P3789" s="163">
        <f t="shared" si="3793"/>
        <v>1475</v>
      </c>
      <c r="Q3789" s="163">
        <f t="shared" si="3793"/>
        <v>1907</v>
      </c>
      <c r="R3789" s="163">
        <f>IFERROR(__xludf.DUMMYFUNCTION("RANK(M3789,filter(M:M,C:C=C3789))"),355.0)</f>
        <v>355</v>
      </c>
      <c r="S3789" s="161" t="b">
        <f t="shared" si="5"/>
        <v>0</v>
      </c>
      <c r="T3789" s="161" t="b">
        <f t="array" ref="T3789">index('Query Tool'!B:B,match(H3789,'Query Tool'!C:C,0))</f>
        <v>1</v>
      </c>
      <c r="U3789" s="161" t="b">
        <f t="array" ref="U3789">index('Query Tool'!B:B,match(C3789,'Query Tool'!C:C,0))</f>
        <v>1</v>
      </c>
      <c r="V3789" s="161" t="b">
        <f>F3789&gt;='Query Tool'!C$32</f>
        <v>0</v>
      </c>
      <c r="W3789" s="161" t="b">
        <f t="array" ref="W3789">index(Dropdowns!B:B,match(I3789,Dropdowns!A:A,0))</f>
        <v>1</v>
      </c>
      <c r="X3789" s="161" t="b">
        <f t="array" ref="X3789">index('Query Tool'!B:B,match(D3789,'Query Tool'!C:C,0))</f>
        <v>1</v>
      </c>
      <c r="Y3789" s="161" t="str">
        <f t="shared" si="6"/>
        <v>belljo01,2020-21</v>
      </c>
      <c r="Z3789" s="168" t="str">
        <f t="array" ref="Z3789">iferror(index(I:I,match($A3789&amp;","&amp;index('Year Conversion'!$A:$A,match($C3789,'Year Conversion'!$B:$B,0)),$Y:$Y,0))-I3789,"")</f>
        <v/>
      </c>
      <c r="AA3789" s="168" t="str">
        <f t="array" ref="AA3789">iferror(index(J:J,match($A3789&amp;","&amp;index('Year Conversion'!$A:$A,match($C3789,'Year Conversion'!$B:$B,0)),$Y:$Y,0))-J3789,"")</f>
        <v/>
      </c>
      <c r="AB3789" s="168" t="str">
        <f t="array" ref="AB3789">iferror(index(K:K,match($A3789&amp;","&amp;index('Year Conversion'!$A:$A,match($C3789,'Year Conversion'!$B:$B,0)),$Y:$Y,0))-K3789,"")</f>
        <v/>
      </c>
      <c r="AC3789" s="168" t="str">
        <f t="shared" si="7"/>
        <v>WAS,2020-21</v>
      </c>
    </row>
    <row r="3790">
      <c r="A3790" s="161" t="str">
        <f>IFERROR(__xludf.DUMMYFUNCTION("""COMPUTED_VALUE"""),"bradlto01")</f>
        <v>bradlto01</v>
      </c>
      <c r="B3790" s="161" t="str">
        <f>IFERROR(__xludf.DUMMYFUNCTION("""COMPUTED_VALUE"""),"Tony Bradley")</f>
        <v>Tony Bradley</v>
      </c>
      <c r="C3790" s="162" t="str">
        <f>IFERROR(__xludf.DUMMYFUNCTION("""COMPUTED_VALUE"""),"2020-21")</f>
        <v>2020-21</v>
      </c>
      <c r="D3790" s="163" t="str">
        <f>IFERROR(__xludf.DUMMYFUNCTION("""COMPUTED_VALUE"""),"PHI")</f>
        <v>PHI</v>
      </c>
      <c r="E3790" s="164" t="str">
        <f>IFERROR(__xludf.DUMMYFUNCTION("""COMPUTED_VALUE"""),"Roll + Cut Big")</f>
        <v>Roll + Cut Big</v>
      </c>
      <c r="F3790" s="164">
        <f>IFERROR(__xludf.DUMMYFUNCTION("""COMPUTED_VALUE"""),117.275)</f>
        <v>117.275</v>
      </c>
      <c r="G3790" s="163">
        <f>IFERROR(__xludf.DUMMYFUNCTION("""COMPUTED_VALUE"""),10.0)</f>
        <v>10</v>
      </c>
      <c r="H3790" s="163" t="str">
        <f>IFERROR(__xludf.DUMMYFUNCTION("""COMPUTED_VALUE"""),"C")</f>
        <v>C</v>
      </c>
      <c r="I3790" s="163">
        <f>IFERROR(__xludf.DUMMYFUNCTION("""COMPUTED_VALUE"""),23.0)</f>
        <v>23</v>
      </c>
      <c r="J3790" s="165">
        <f>IFERROR(__xludf.DUMMYFUNCTION("""COMPUTED_VALUE"""),0.587218482390805)</f>
        <v>0.5872184824</v>
      </c>
      <c r="K3790" s="165">
        <f>IFERROR(__xludf.DUMMYFUNCTION("""COMPUTED_VALUE"""),0.242119448994651)</f>
        <v>0.242119449</v>
      </c>
      <c r="L3790" s="165">
        <f>IFERROR(__xludf.DUMMYFUNCTION("""COMPUTED_VALUE"""),0.345099033396154)</f>
        <v>0.3450990334</v>
      </c>
      <c r="M3790" s="166">
        <f t="shared" si="2"/>
        <v>0.2272055184</v>
      </c>
      <c r="N3790" s="167">
        <f t="shared" si="3"/>
        <v>11.7275</v>
      </c>
      <c r="O3790" s="163">
        <f t="shared" ref="O3790:Q3790" si="3794">rank(I3790,I:I)</f>
        <v>2765</v>
      </c>
      <c r="P3790" s="163">
        <f t="shared" si="3794"/>
        <v>852</v>
      </c>
      <c r="Q3790" s="163">
        <f t="shared" si="3794"/>
        <v>953</v>
      </c>
      <c r="R3790" s="163">
        <f>IFERROR(__xludf.DUMMYFUNCTION("RANK(M3790,filter(M:M,C:C=C3790))"),268.0)</f>
        <v>268</v>
      </c>
      <c r="S3790" s="161" t="b">
        <f t="shared" si="5"/>
        <v>0</v>
      </c>
      <c r="T3790" s="161" t="b">
        <f t="array" ref="T3790">index('Query Tool'!B:B,match(H3790,'Query Tool'!C:C,0))</f>
        <v>1</v>
      </c>
      <c r="U3790" s="161" t="b">
        <f t="array" ref="U3790">index('Query Tool'!B:B,match(C3790,'Query Tool'!C:C,0))</f>
        <v>1</v>
      </c>
      <c r="V3790" s="161" t="b">
        <f>F3790&gt;='Query Tool'!C$32</f>
        <v>0</v>
      </c>
      <c r="W3790" s="161" t="b">
        <f t="array" ref="W3790">index(Dropdowns!B:B,match(I3790,Dropdowns!A:A,0))</f>
        <v>1</v>
      </c>
      <c r="X3790" s="161" t="b">
        <f t="array" ref="X3790">index('Query Tool'!B:B,match(D3790,'Query Tool'!C:C,0))</f>
        <v>1</v>
      </c>
      <c r="Y3790" s="161" t="str">
        <f t="shared" si="6"/>
        <v>bradlto01,2020-21</v>
      </c>
      <c r="Z3790" s="168" t="str">
        <f t="array" ref="Z3790">iferror(index(I:I,match($A3790&amp;","&amp;index('Year Conversion'!$A:$A,match($C3790,'Year Conversion'!$B:$B,0)),$Y:$Y,0))-I3790,"")</f>
        <v/>
      </c>
      <c r="AA3790" s="168" t="str">
        <f t="array" ref="AA3790">iferror(index(J:J,match($A3790&amp;","&amp;index('Year Conversion'!$A:$A,match($C3790,'Year Conversion'!$B:$B,0)),$Y:$Y,0))-J3790,"")</f>
        <v/>
      </c>
      <c r="AB3790" s="168" t="str">
        <f t="array" ref="AB3790">iferror(index(K:K,match($A3790&amp;","&amp;index('Year Conversion'!$A:$A,match($C3790,'Year Conversion'!$B:$B,0)),$Y:$Y,0))-K3790,"")</f>
        <v/>
      </c>
      <c r="AC3790" s="168" t="str">
        <f t="shared" si="7"/>
        <v>PHI,2020-21</v>
      </c>
    </row>
    <row r="3791">
      <c r="A3791" s="161" t="str">
        <f>IFERROR(__xludf.DUMMYFUNCTION("""COMPUTED_VALUE"""),"kuzmaky01")</f>
        <v>kuzmaky01</v>
      </c>
      <c r="B3791" s="161" t="str">
        <f>IFERROR(__xludf.DUMMYFUNCTION("""COMPUTED_VALUE"""),"Kyle Kuzma")</f>
        <v>Kyle Kuzma</v>
      </c>
      <c r="C3791" s="162" t="str">
        <f>IFERROR(__xludf.DUMMYFUNCTION("""COMPUTED_VALUE"""),"2020-21")</f>
        <v>2020-21</v>
      </c>
      <c r="D3791" s="163" t="str">
        <f>IFERROR(__xludf.DUMMYFUNCTION("""COMPUTED_VALUE"""),"LAL")</f>
        <v>LAL</v>
      </c>
      <c r="E3791" s="164" t="str">
        <f>IFERROR(__xludf.DUMMYFUNCTION("""COMPUTED_VALUE"""),"Athletic Finisher")</f>
        <v>Athletic Finisher</v>
      </c>
      <c r="F3791" s="164">
        <f>IFERROR(__xludf.DUMMYFUNCTION("""COMPUTED_VALUE"""),791.943333333333)</f>
        <v>791.9433333</v>
      </c>
      <c r="G3791" s="163">
        <f>IFERROR(__xludf.DUMMYFUNCTION("""COMPUTED_VALUE"""),31.0)</f>
        <v>31</v>
      </c>
      <c r="H3791" s="163" t="str">
        <f>IFERROR(__xludf.DUMMYFUNCTION("""COMPUTED_VALUE"""),"SF")</f>
        <v>SF</v>
      </c>
      <c r="I3791" s="163">
        <f>IFERROR(__xludf.DUMMYFUNCTION("""COMPUTED_VALUE"""),25.0)</f>
        <v>25</v>
      </c>
      <c r="J3791" s="165">
        <f>IFERROR(__xludf.DUMMYFUNCTION("""COMPUTED_VALUE"""),-0.901744046354532)</f>
        <v>-0.9017440464</v>
      </c>
      <c r="K3791" s="165">
        <f>IFERROR(__xludf.DUMMYFUNCTION("""COMPUTED_VALUE"""),-1.14737380859396)</f>
        <v>-1.147373809</v>
      </c>
      <c r="L3791" s="165">
        <f>IFERROR(__xludf.DUMMYFUNCTION("""COMPUTED_VALUE"""),0.245629762239424)</f>
        <v>0.2456297622</v>
      </c>
      <c r="M3791" s="166">
        <f t="shared" si="2"/>
        <v>0.7399964628</v>
      </c>
      <c r="N3791" s="167">
        <f t="shared" si="3"/>
        <v>25.54655914</v>
      </c>
      <c r="O3791" s="163">
        <f t="shared" ref="O3791:Q3791" si="3795">rank(I3791,I:I)</f>
        <v>1995</v>
      </c>
      <c r="P3791" s="163">
        <f t="shared" si="3795"/>
        <v>2395</v>
      </c>
      <c r="Q3791" s="163">
        <f t="shared" si="3795"/>
        <v>2983</v>
      </c>
      <c r="R3791" s="163">
        <f>IFERROR(__xludf.DUMMYFUNCTION("RANK(M3791,filter(M:M,C:C=C3791))"),151.0)</f>
        <v>151</v>
      </c>
      <c r="S3791" s="161" t="b">
        <f t="shared" si="5"/>
        <v>1</v>
      </c>
      <c r="T3791" s="161" t="b">
        <f t="array" ref="T3791">index('Query Tool'!B:B,match(H3791,'Query Tool'!C:C,0))</f>
        <v>1</v>
      </c>
      <c r="U3791" s="161" t="b">
        <f t="array" ref="U3791">index('Query Tool'!B:B,match(C3791,'Query Tool'!C:C,0))</f>
        <v>1</v>
      </c>
      <c r="V3791" s="161" t="b">
        <f>F3791&gt;='Query Tool'!C$32</f>
        <v>1</v>
      </c>
      <c r="W3791" s="161" t="b">
        <f t="array" ref="W3791">index(Dropdowns!B:B,match(I3791,Dropdowns!A:A,0))</f>
        <v>1</v>
      </c>
      <c r="X3791" s="161" t="b">
        <f t="array" ref="X3791">index('Query Tool'!B:B,match(D3791,'Query Tool'!C:C,0))</f>
        <v>1</v>
      </c>
      <c r="Y3791" s="161" t="str">
        <f t="shared" si="6"/>
        <v>kuzmaky01,2020-21</v>
      </c>
      <c r="Z3791" s="168" t="str">
        <f t="array" ref="Z3791">iferror(index(I:I,match($A3791&amp;","&amp;index('Year Conversion'!$A:$A,match($C3791,'Year Conversion'!$B:$B,0)),$Y:$Y,0))-I3791,"")</f>
        <v/>
      </c>
      <c r="AA3791" s="168" t="str">
        <f t="array" ref="AA3791">iferror(index(J:J,match($A3791&amp;","&amp;index('Year Conversion'!$A:$A,match($C3791,'Year Conversion'!$B:$B,0)),$Y:$Y,0))-J3791,"")</f>
        <v/>
      </c>
      <c r="AB3791" s="168" t="str">
        <f t="array" ref="AB3791">iferror(index(K:K,match($A3791&amp;","&amp;index('Year Conversion'!$A:$A,match($C3791,'Year Conversion'!$B:$B,0)),$Y:$Y,0))-K3791,"")</f>
        <v/>
      </c>
      <c r="AC3791" s="168" t="str">
        <f t="shared" si="7"/>
        <v>LAL,2020-21</v>
      </c>
    </row>
    <row r="3792">
      <c r="A3792" s="161" t="str">
        <f>IFERROR(__xludf.DUMMYFUNCTION("""COMPUTED_VALUE"""),"ojelese01")</f>
        <v>ojelese01</v>
      </c>
      <c r="B3792" s="161" t="str">
        <f>IFERROR(__xludf.DUMMYFUNCTION("""COMPUTED_VALUE"""),"Semi Ojeleye")</f>
        <v>Semi Ojeleye</v>
      </c>
      <c r="C3792" s="162" t="str">
        <f>IFERROR(__xludf.DUMMYFUNCTION("""COMPUTED_VALUE"""),"2020-21")</f>
        <v>2020-21</v>
      </c>
      <c r="D3792" s="163" t="str">
        <f>IFERROR(__xludf.DUMMYFUNCTION("""COMPUTED_VALUE"""),"BOS")</f>
        <v>BOS</v>
      </c>
      <c r="E3792" s="164" t="str">
        <f>IFERROR(__xludf.DUMMYFUNCTION("""COMPUTED_VALUE"""),"Stationary Shooter")</f>
        <v>Stationary Shooter</v>
      </c>
      <c r="F3792" s="164">
        <f>IFERROR(__xludf.DUMMYFUNCTION("""COMPUTED_VALUE"""),562.05)</f>
        <v>562.05</v>
      </c>
      <c r="G3792" s="163">
        <f>IFERROR(__xludf.DUMMYFUNCTION("""COMPUTED_VALUE"""),29.0)</f>
        <v>29</v>
      </c>
      <c r="H3792" s="163" t="str">
        <f>IFERROR(__xludf.DUMMYFUNCTION("""COMPUTED_VALUE"""),"PF")</f>
        <v>PF</v>
      </c>
      <c r="I3792" s="163">
        <f>IFERROR(__xludf.DUMMYFUNCTION("""COMPUTED_VALUE"""),26.0)</f>
        <v>26</v>
      </c>
      <c r="J3792" s="165">
        <f>IFERROR(__xludf.DUMMYFUNCTION("""COMPUTED_VALUE"""),-1.65852921455697)</f>
        <v>-1.658529215</v>
      </c>
      <c r="K3792" s="165">
        <f>IFERROR(__xludf.DUMMYFUNCTION("""COMPUTED_VALUE"""),-1.3419470029302)</f>
        <v>-1.341947003</v>
      </c>
      <c r="L3792" s="165">
        <f>IFERROR(__xludf.DUMMYFUNCTION("""COMPUTED_VALUE"""),-0.316582211626771)</f>
        <v>-0.3165822116</v>
      </c>
      <c r="M3792" s="166">
        <f t="shared" si="2"/>
        <v>0.2404205286</v>
      </c>
      <c r="N3792" s="167">
        <f t="shared" si="3"/>
        <v>19.38103448</v>
      </c>
      <c r="O3792" s="163">
        <f t="shared" ref="O3792:Q3792" si="3796">rank(I3792,I:I)</f>
        <v>1665</v>
      </c>
      <c r="P3792" s="163">
        <f t="shared" si="3796"/>
        <v>3201</v>
      </c>
      <c r="Q3792" s="163">
        <f t="shared" si="3796"/>
        <v>3197</v>
      </c>
      <c r="R3792" s="163">
        <f>IFERROR(__xludf.DUMMYFUNCTION("RANK(M3792,filter(M:M,C:C=C3792))"),266.0)</f>
        <v>266</v>
      </c>
      <c r="S3792" s="161" t="b">
        <f t="shared" si="5"/>
        <v>1</v>
      </c>
      <c r="T3792" s="161" t="b">
        <f t="array" ref="T3792">index('Query Tool'!B:B,match(H3792,'Query Tool'!C:C,0))</f>
        <v>1</v>
      </c>
      <c r="U3792" s="161" t="b">
        <f t="array" ref="U3792">index('Query Tool'!B:B,match(C3792,'Query Tool'!C:C,0))</f>
        <v>1</v>
      </c>
      <c r="V3792" s="161" t="b">
        <f>F3792&gt;='Query Tool'!C$32</f>
        <v>1</v>
      </c>
      <c r="W3792" s="161" t="b">
        <f t="array" ref="W3792">index(Dropdowns!B:B,match(I3792,Dropdowns!A:A,0))</f>
        <v>1</v>
      </c>
      <c r="X3792" s="161" t="b">
        <f t="array" ref="X3792">index('Query Tool'!B:B,match(D3792,'Query Tool'!C:C,0))</f>
        <v>1</v>
      </c>
      <c r="Y3792" s="161" t="str">
        <f t="shared" si="6"/>
        <v>ojelese01,2020-21</v>
      </c>
      <c r="Z3792" s="168" t="str">
        <f t="array" ref="Z3792">iferror(index(I:I,match($A3792&amp;","&amp;index('Year Conversion'!$A:$A,match($C3792,'Year Conversion'!$B:$B,0)),$Y:$Y,0))-I3792,"")</f>
        <v/>
      </c>
      <c r="AA3792" s="168" t="str">
        <f t="array" ref="AA3792">iferror(index(J:J,match($A3792&amp;","&amp;index('Year Conversion'!$A:$A,match($C3792,'Year Conversion'!$B:$B,0)),$Y:$Y,0))-J3792,"")</f>
        <v/>
      </c>
      <c r="AB3792" s="168" t="str">
        <f t="array" ref="AB3792">iferror(index(K:K,match($A3792&amp;","&amp;index('Year Conversion'!$A:$A,match($C3792,'Year Conversion'!$B:$B,0)),$Y:$Y,0))-K3792,"")</f>
        <v/>
      </c>
      <c r="AC3792" s="168" t="str">
        <f t="shared" si="7"/>
        <v>BOS,2020-21</v>
      </c>
    </row>
    <row r="3793">
      <c r="A3793" s="161" t="str">
        <f>IFERROR(__xludf.DUMMYFUNCTION("""COMPUTED_VALUE"""),"whitede01")</f>
        <v>whitede01</v>
      </c>
      <c r="B3793" s="161" t="str">
        <f>IFERROR(__xludf.DUMMYFUNCTION("""COMPUTED_VALUE"""),"Derrick White")</f>
        <v>Derrick White</v>
      </c>
      <c r="C3793" s="162" t="str">
        <f>IFERROR(__xludf.DUMMYFUNCTION("""COMPUTED_VALUE"""),"2020-21")</f>
        <v>2020-21</v>
      </c>
      <c r="D3793" s="163" t="str">
        <f>IFERROR(__xludf.DUMMYFUNCTION("""COMPUTED_VALUE"""),"SAS")</f>
        <v>SAS</v>
      </c>
      <c r="E3793" s="164" t="str">
        <f>IFERROR(__xludf.DUMMYFUNCTION("""COMPUTED_VALUE"""),"Secondary Ball Handler")</f>
        <v>Secondary Ball Handler</v>
      </c>
      <c r="F3793" s="164">
        <f>IFERROR(__xludf.DUMMYFUNCTION("""COMPUTED_VALUE"""),188.808333333334)</f>
        <v>188.8083333</v>
      </c>
      <c r="G3793" s="163">
        <f>IFERROR(__xludf.DUMMYFUNCTION("""COMPUTED_VALUE"""),8.0)</f>
        <v>8</v>
      </c>
      <c r="H3793" s="163" t="str">
        <f>IFERROR(__xludf.DUMMYFUNCTION("""COMPUTED_VALUE"""),"SG")</f>
        <v>SG</v>
      </c>
      <c r="I3793" s="163">
        <f>IFERROR(__xludf.DUMMYFUNCTION("""COMPUTED_VALUE"""),26.0)</f>
        <v>26</v>
      </c>
      <c r="J3793" s="165">
        <f>IFERROR(__xludf.DUMMYFUNCTION("""COMPUTED_VALUE"""),1.08967752056357)</f>
        <v>1.089677521</v>
      </c>
      <c r="K3793" s="165">
        <f>IFERROR(__xludf.DUMMYFUNCTION("""COMPUTED_VALUE"""),0.617159693535627)</f>
        <v>0.6171596935</v>
      </c>
      <c r="L3793" s="165">
        <f>IFERROR(__xludf.DUMMYFUNCTION("""COMPUTED_VALUE"""),0.472517827027948)</f>
        <v>0.472517827</v>
      </c>
      <c r="M3793" s="166">
        <f t="shared" si="2"/>
        <v>0.4295591102</v>
      </c>
      <c r="N3793" s="167">
        <f t="shared" si="3"/>
        <v>23.60104167</v>
      </c>
      <c r="O3793" s="163">
        <f t="shared" ref="O3793:Q3793" si="3797">rank(I3793,I:I)</f>
        <v>1665</v>
      </c>
      <c r="P3793" s="163">
        <f t="shared" si="3797"/>
        <v>623</v>
      </c>
      <c r="Q3793" s="163">
        <f t="shared" si="3797"/>
        <v>697</v>
      </c>
      <c r="R3793" s="163">
        <f>IFERROR(__xludf.DUMMYFUNCTION("RANK(M3793,filter(M:M,C:C=C3793))"),208.0)</f>
        <v>208</v>
      </c>
      <c r="S3793" s="161" t="b">
        <f t="shared" si="5"/>
        <v>0</v>
      </c>
      <c r="T3793" s="161" t="b">
        <f t="array" ref="T3793">index('Query Tool'!B:B,match(H3793,'Query Tool'!C:C,0))</f>
        <v>1</v>
      </c>
      <c r="U3793" s="161" t="b">
        <f t="array" ref="U3793">index('Query Tool'!B:B,match(C3793,'Query Tool'!C:C,0))</f>
        <v>1</v>
      </c>
      <c r="V3793" s="161" t="b">
        <f>F3793&gt;='Query Tool'!C$32</f>
        <v>0</v>
      </c>
      <c r="W3793" s="161" t="b">
        <f t="array" ref="W3793">index(Dropdowns!B:B,match(I3793,Dropdowns!A:A,0))</f>
        <v>1</v>
      </c>
      <c r="X3793" s="161" t="b">
        <f t="array" ref="X3793">index('Query Tool'!B:B,match(D3793,'Query Tool'!C:C,0))</f>
        <v>1</v>
      </c>
      <c r="Y3793" s="161" t="str">
        <f t="shared" si="6"/>
        <v>whitede01,2020-21</v>
      </c>
      <c r="Z3793" s="168" t="str">
        <f t="array" ref="Z3793">iferror(index(I:I,match($A3793&amp;","&amp;index('Year Conversion'!$A:$A,match($C3793,'Year Conversion'!$B:$B,0)),$Y:$Y,0))-I3793,"")</f>
        <v/>
      </c>
      <c r="AA3793" s="168" t="str">
        <f t="array" ref="AA3793">iferror(index(J:J,match($A3793&amp;","&amp;index('Year Conversion'!$A:$A,match($C3793,'Year Conversion'!$B:$B,0)),$Y:$Y,0))-J3793,"")</f>
        <v/>
      </c>
      <c r="AB3793" s="168" t="str">
        <f t="array" ref="AB3793">iferror(index(K:K,match($A3793&amp;","&amp;index('Year Conversion'!$A:$A,match($C3793,'Year Conversion'!$B:$B,0)),$Y:$Y,0))-K3793,"")</f>
        <v/>
      </c>
      <c r="AC3793" s="168" t="str">
        <f t="shared" si="7"/>
        <v>SAS,2020-21</v>
      </c>
    </row>
    <row r="3794">
      <c r="A3794" s="161" t="str">
        <f>IFERROR(__xludf.DUMMYFUNCTION("""COMPUTED_VALUE"""),"jacksfr01")</f>
        <v>jacksfr01</v>
      </c>
      <c r="B3794" s="161" t="str">
        <f>IFERROR(__xludf.DUMMYFUNCTION("""COMPUTED_VALUE"""),"Frank Jackson")</f>
        <v>Frank Jackson</v>
      </c>
      <c r="C3794" s="162" t="str">
        <f>IFERROR(__xludf.DUMMYFUNCTION("""COMPUTED_VALUE"""),"2020-21")</f>
        <v>2020-21</v>
      </c>
      <c r="D3794" s="163" t="str">
        <f>IFERROR(__xludf.DUMMYFUNCTION("""COMPUTED_VALUE"""),"DET")</f>
        <v>DET</v>
      </c>
      <c r="E3794" s="164" t="str">
        <f>IFERROR(__xludf.DUMMYFUNCTION("""COMPUTED_VALUE"""),"Secondary Ball Handler")</f>
        <v>Secondary Ball Handler</v>
      </c>
      <c r="F3794" s="164">
        <f>IFERROR(__xludf.DUMMYFUNCTION("""COMPUTED_VALUE"""),38.515)</f>
        <v>38.515</v>
      </c>
      <c r="G3794" s="163">
        <f>IFERROR(__xludf.DUMMYFUNCTION("""COMPUTED_VALUE"""),7.0)</f>
        <v>7</v>
      </c>
      <c r="H3794" s="163" t="str">
        <f>IFERROR(__xludf.DUMMYFUNCTION("""COMPUTED_VALUE"""),"PG")</f>
        <v>PG</v>
      </c>
      <c r="I3794" s="163">
        <f>IFERROR(__xludf.DUMMYFUNCTION("""COMPUTED_VALUE"""),22.0)</f>
        <v>22</v>
      </c>
      <c r="J3794" s="165">
        <f>IFERROR(__xludf.DUMMYFUNCTION("""COMPUTED_VALUE"""),-0.869263552427795)</f>
        <v>-0.8692635524</v>
      </c>
      <c r="K3794" s="165">
        <f>IFERROR(__xludf.DUMMYFUNCTION("""COMPUTED_VALUE"""),-0.671526736794369)</f>
        <v>-0.6715267368</v>
      </c>
      <c r="L3794" s="165">
        <f>IFERROR(__xludf.DUMMYFUNCTION("""COMPUTED_VALUE"""),-0.197736815633426)</f>
        <v>-0.1977368156</v>
      </c>
      <c r="M3794" s="166">
        <f t="shared" si="2"/>
        <v>0.03682929205</v>
      </c>
      <c r="N3794" s="167">
        <f t="shared" si="3"/>
        <v>5.502142857</v>
      </c>
      <c r="O3794" s="163">
        <f t="shared" ref="O3794:Q3794" si="3798">rank(I3794,I:I)</f>
        <v>3178</v>
      </c>
      <c r="P3794" s="163">
        <f t="shared" si="3798"/>
        <v>2361</v>
      </c>
      <c r="Q3794" s="163">
        <f t="shared" si="3798"/>
        <v>2374</v>
      </c>
      <c r="R3794" s="163">
        <f>IFERROR(__xludf.DUMMYFUNCTION("RANK(M3794,filter(M:M,C:C=C3794))"),395.0)</f>
        <v>395</v>
      </c>
      <c r="S3794" s="161" t="b">
        <f t="shared" si="5"/>
        <v>0</v>
      </c>
      <c r="T3794" s="161" t="b">
        <f t="array" ref="T3794">index('Query Tool'!B:B,match(H3794,'Query Tool'!C:C,0))</f>
        <v>1</v>
      </c>
      <c r="U3794" s="161" t="b">
        <f t="array" ref="U3794">index('Query Tool'!B:B,match(C3794,'Query Tool'!C:C,0))</f>
        <v>1</v>
      </c>
      <c r="V3794" s="161" t="b">
        <f>F3794&gt;='Query Tool'!C$32</f>
        <v>0</v>
      </c>
      <c r="W3794" s="161" t="b">
        <f t="array" ref="W3794">index(Dropdowns!B:B,match(I3794,Dropdowns!A:A,0))</f>
        <v>1</v>
      </c>
      <c r="X3794" s="161" t="b">
        <f t="array" ref="X3794">index('Query Tool'!B:B,match(D3794,'Query Tool'!C:C,0))</f>
        <v>1</v>
      </c>
      <c r="Y3794" s="161" t="str">
        <f t="shared" si="6"/>
        <v>jacksfr01,2020-21</v>
      </c>
      <c r="Z3794" s="168" t="str">
        <f t="array" ref="Z3794">iferror(index(I:I,match($A3794&amp;","&amp;index('Year Conversion'!$A:$A,match($C3794,'Year Conversion'!$B:$B,0)),$Y:$Y,0))-I3794,"")</f>
        <v/>
      </c>
      <c r="AA3794" s="168" t="str">
        <f t="array" ref="AA3794">iferror(index(J:J,match($A3794&amp;","&amp;index('Year Conversion'!$A:$A,match($C3794,'Year Conversion'!$B:$B,0)),$Y:$Y,0))-J3794,"")</f>
        <v/>
      </c>
      <c r="AB3794" s="168" t="str">
        <f t="array" ref="AB3794">iferror(index(K:K,match($A3794&amp;","&amp;index('Year Conversion'!$A:$A,match($C3794,'Year Conversion'!$B:$B,0)),$Y:$Y,0))-K3794,"")</f>
        <v/>
      </c>
      <c r="AC3794" s="168" t="str">
        <f t="shared" si="7"/>
        <v>DET,2020-21</v>
      </c>
    </row>
    <row r="3795">
      <c r="A3795" s="161" t="str">
        <f>IFERROR(__xludf.DUMMYFUNCTION("""COMPUTED_VALUE"""),"hartjo01")</f>
        <v>hartjo01</v>
      </c>
      <c r="B3795" s="161" t="str">
        <f>IFERROR(__xludf.DUMMYFUNCTION("""COMPUTED_VALUE"""),"Josh Hart")</f>
        <v>Josh Hart</v>
      </c>
      <c r="C3795" s="162" t="str">
        <f>IFERROR(__xludf.DUMMYFUNCTION("""COMPUTED_VALUE"""),"2020-21")</f>
        <v>2020-21</v>
      </c>
      <c r="D3795" s="163" t="str">
        <f>IFERROR(__xludf.DUMMYFUNCTION("""COMPUTED_VALUE"""),"NOP")</f>
        <v>NOP</v>
      </c>
      <c r="E3795" s="164" t="str">
        <f>IFERROR(__xludf.DUMMYFUNCTION("""COMPUTED_VALUE"""),"Stationary Shooter")</f>
        <v>Stationary Shooter</v>
      </c>
      <c r="F3795" s="164">
        <f>IFERROR(__xludf.DUMMYFUNCTION("""COMPUTED_VALUE"""),850.823333333333)</f>
        <v>850.8233333</v>
      </c>
      <c r="G3795" s="163">
        <f>IFERROR(__xludf.DUMMYFUNCTION("""COMPUTED_VALUE"""),30.0)</f>
        <v>30</v>
      </c>
      <c r="H3795" s="163" t="str">
        <f>IFERROR(__xludf.DUMMYFUNCTION("""COMPUTED_VALUE"""),"SF")</f>
        <v>SF</v>
      </c>
      <c r="I3795" s="163">
        <f>IFERROR(__xludf.DUMMYFUNCTION("""COMPUTED_VALUE"""),25.0)</f>
        <v>25</v>
      </c>
      <c r="J3795" s="165">
        <f>IFERROR(__xludf.DUMMYFUNCTION("""COMPUTED_VALUE"""),0.135773971547709)</f>
        <v>0.1357739715</v>
      </c>
      <c r="K3795" s="165">
        <f>IFERROR(__xludf.DUMMYFUNCTION("""COMPUTED_VALUE"""),-0.22795985173326)</f>
        <v>-0.2279598517</v>
      </c>
      <c r="L3795" s="165">
        <f>IFERROR(__xludf.DUMMYFUNCTION("""COMPUTED_VALUE"""),0.363733823280969)</f>
        <v>0.3637338233</v>
      </c>
      <c r="M3795" s="166">
        <f t="shared" si="2"/>
        <v>1.389566158</v>
      </c>
      <c r="N3795" s="167">
        <f t="shared" si="3"/>
        <v>28.36077778</v>
      </c>
      <c r="O3795" s="163">
        <f t="shared" ref="O3795:Q3795" si="3799">rank(I3795,I:I)</f>
        <v>1995</v>
      </c>
      <c r="P3795" s="163">
        <f t="shared" si="3799"/>
        <v>1150</v>
      </c>
      <c r="Q3795" s="163">
        <f t="shared" si="3799"/>
        <v>1619</v>
      </c>
      <c r="R3795" s="163">
        <f>IFERROR(__xludf.DUMMYFUNCTION("RANK(M3795,filter(M:M,C:C=C3795))"),89.0)</f>
        <v>89</v>
      </c>
      <c r="S3795" s="161" t="b">
        <f t="shared" si="5"/>
        <v>1</v>
      </c>
      <c r="T3795" s="161" t="b">
        <f t="array" ref="T3795">index('Query Tool'!B:B,match(H3795,'Query Tool'!C:C,0))</f>
        <v>1</v>
      </c>
      <c r="U3795" s="161" t="b">
        <f t="array" ref="U3795">index('Query Tool'!B:B,match(C3795,'Query Tool'!C:C,0))</f>
        <v>1</v>
      </c>
      <c r="V3795" s="161" t="b">
        <f>F3795&gt;='Query Tool'!C$32</f>
        <v>1</v>
      </c>
      <c r="W3795" s="161" t="b">
        <f t="array" ref="W3795">index(Dropdowns!B:B,match(I3795,Dropdowns!A:A,0))</f>
        <v>1</v>
      </c>
      <c r="X3795" s="161" t="b">
        <f t="array" ref="X3795">index('Query Tool'!B:B,match(D3795,'Query Tool'!C:C,0))</f>
        <v>1</v>
      </c>
      <c r="Y3795" s="161" t="str">
        <f t="shared" si="6"/>
        <v>hartjo01,2020-21</v>
      </c>
      <c r="Z3795" s="168" t="str">
        <f t="array" ref="Z3795">iferror(index(I:I,match($A3795&amp;","&amp;index('Year Conversion'!$A:$A,match($C3795,'Year Conversion'!$B:$B,0)),$Y:$Y,0))-I3795,"")</f>
        <v/>
      </c>
      <c r="AA3795" s="168" t="str">
        <f t="array" ref="AA3795">iferror(index(J:J,match($A3795&amp;","&amp;index('Year Conversion'!$A:$A,match($C3795,'Year Conversion'!$B:$B,0)),$Y:$Y,0))-J3795,"")</f>
        <v/>
      </c>
      <c r="AB3795" s="168" t="str">
        <f t="array" ref="AB3795">iferror(index(K:K,match($A3795&amp;","&amp;index('Year Conversion'!$A:$A,match($C3795,'Year Conversion'!$B:$B,0)),$Y:$Y,0))-K3795,"")</f>
        <v/>
      </c>
      <c r="AC3795" s="168" t="str">
        <f t="shared" si="7"/>
        <v>NOP,2020-21</v>
      </c>
    </row>
    <row r="3796">
      <c r="A3796" s="161" t="str">
        <f>IFERROR(__xludf.DUMMYFUNCTION("""COMPUTED_VALUE"""),"bacondw01")</f>
        <v>bacondw01</v>
      </c>
      <c r="B3796" s="161" t="str">
        <f>IFERROR(__xludf.DUMMYFUNCTION("""COMPUTED_VALUE"""),"Dwayne Bacon")</f>
        <v>Dwayne Bacon</v>
      </c>
      <c r="C3796" s="162" t="str">
        <f>IFERROR(__xludf.DUMMYFUNCTION("""COMPUTED_VALUE"""),"2020-21")</f>
        <v>2020-21</v>
      </c>
      <c r="D3796" s="163" t="str">
        <f>IFERROR(__xludf.DUMMYFUNCTION("""COMPUTED_VALUE"""),"ORL")</f>
        <v>ORL</v>
      </c>
      <c r="E3796" s="164" t="str">
        <f>IFERROR(__xludf.DUMMYFUNCTION("""COMPUTED_VALUE"""),"Secondary Ball Handler")</f>
        <v>Secondary Ball Handler</v>
      </c>
      <c r="F3796" s="164">
        <f>IFERROR(__xludf.DUMMYFUNCTION("""COMPUTED_VALUE"""),753.883333333333)</f>
        <v>753.8833333</v>
      </c>
      <c r="G3796" s="163">
        <f>IFERROR(__xludf.DUMMYFUNCTION("""COMPUTED_VALUE"""),31.0)</f>
        <v>31</v>
      </c>
      <c r="H3796" s="163" t="str">
        <f>IFERROR(__xludf.DUMMYFUNCTION("""COMPUTED_VALUE"""),"SG")</f>
        <v>SG</v>
      </c>
      <c r="I3796" s="163">
        <f>IFERROR(__xludf.DUMMYFUNCTION("""COMPUTED_VALUE"""),25.0)</f>
        <v>25</v>
      </c>
      <c r="J3796" s="165">
        <f>IFERROR(__xludf.DUMMYFUNCTION("""COMPUTED_VALUE"""),-2.7372652445807)</f>
        <v>-2.737265245</v>
      </c>
      <c r="K3796" s="165">
        <f>IFERROR(__xludf.DUMMYFUNCTION("""COMPUTED_VALUE"""),-2.12654448729677)</f>
        <v>-2.126544487</v>
      </c>
      <c r="L3796" s="165">
        <f>IFERROR(__xludf.DUMMYFUNCTION("""COMPUTED_VALUE"""),-0.610720757283937)</f>
        <v>-0.6107207573</v>
      </c>
      <c r="M3796" s="166">
        <f t="shared" si="2"/>
        <v>-0.2147041884</v>
      </c>
      <c r="N3796" s="167">
        <f t="shared" si="3"/>
        <v>24.3188172</v>
      </c>
      <c r="O3796" s="163">
        <f t="shared" ref="O3796:Q3796" si="3800">rank(I3796,I:I)</f>
        <v>1995</v>
      </c>
      <c r="P3796" s="163">
        <f t="shared" si="3800"/>
        <v>3827</v>
      </c>
      <c r="Q3796" s="163">
        <f t="shared" si="3800"/>
        <v>3776</v>
      </c>
      <c r="R3796" s="163">
        <f>IFERROR(__xludf.DUMMYFUNCTION("RANK(M3796,filter(M:M,C:C=C3796))"),459.0)</f>
        <v>459</v>
      </c>
      <c r="S3796" s="161" t="b">
        <f t="shared" si="5"/>
        <v>1</v>
      </c>
      <c r="T3796" s="161" t="b">
        <f t="array" ref="T3796">index('Query Tool'!B:B,match(H3796,'Query Tool'!C:C,0))</f>
        <v>1</v>
      </c>
      <c r="U3796" s="161" t="b">
        <f t="array" ref="U3796">index('Query Tool'!B:B,match(C3796,'Query Tool'!C:C,0))</f>
        <v>1</v>
      </c>
      <c r="V3796" s="161" t="b">
        <f>F3796&gt;='Query Tool'!C$32</f>
        <v>1</v>
      </c>
      <c r="W3796" s="161" t="b">
        <f t="array" ref="W3796">index(Dropdowns!B:B,match(I3796,Dropdowns!A:A,0))</f>
        <v>1</v>
      </c>
      <c r="X3796" s="161" t="b">
        <f t="array" ref="X3796">index('Query Tool'!B:B,match(D3796,'Query Tool'!C:C,0))</f>
        <v>1</v>
      </c>
      <c r="Y3796" s="161" t="str">
        <f t="shared" si="6"/>
        <v>bacondw01,2020-21</v>
      </c>
      <c r="Z3796" s="168" t="str">
        <f t="array" ref="Z3796">iferror(index(I:I,match($A3796&amp;","&amp;index('Year Conversion'!$A:$A,match($C3796,'Year Conversion'!$B:$B,0)),$Y:$Y,0))-I3796,"")</f>
        <v/>
      </c>
      <c r="AA3796" s="168" t="str">
        <f t="array" ref="AA3796">iferror(index(J:J,match($A3796&amp;","&amp;index('Year Conversion'!$A:$A,match($C3796,'Year Conversion'!$B:$B,0)),$Y:$Y,0))-J3796,"")</f>
        <v/>
      </c>
      <c r="AB3796" s="168" t="str">
        <f t="array" ref="AB3796">iferror(index(K:K,match($A3796&amp;","&amp;index('Year Conversion'!$A:$A,match($C3796,'Year Conversion'!$B:$B,0)),$Y:$Y,0))-K3796,"")</f>
        <v/>
      </c>
      <c r="AC3796" s="168" t="str">
        <f t="shared" si="7"/>
        <v>ORL,2020-21</v>
      </c>
    </row>
    <row r="3797">
      <c r="A3797" s="161" t="str">
        <f>IFERROR(__xludf.DUMMYFUNCTION("""COMPUTED_VALUE"""),"doziepj01")</f>
        <v>doziepj01</v>
      </c>
      <c r="B3797" s="161" t="str">
        <f>IFERROR(__xludf.DUMMYFUNCTION("""COMPUTED_VALUE"""),"PJ Dozier")</f>
        <v>PJ Dozier</v>
      </c>
      <c r="C3797" s="162" t="str">
        <f>IFERROR(__xludf.DUMMYFUNCTION("""COMPUTED_VALUE"""),"2020-21")</f>
        <v>2020-21</v>
      </c>
      <c r="D3797" s="163" t="str">
        <f>IFERROR(__xludf.DUMMYFUNCTION("""COMPUTED_VALUE"""),"DEN")</f>
        <v>DEN</v>
      </c>
      <c r="E3797" s="164" t="str">
        <f>IFERROR(__xludf.DUMMYFUNCTION("""COMPUTED_VALUE"""),"Athletic Finisher")</f>
        <v>Athletic Finisher</v>
      </c>
      <c r="F3797" s="164">
        <f>IFERROR(__xludf.DUMMYFUNCTION("""COMPUTED_VALUE"""),330.166666666667)</f>
        <v>330.1666667</v>
      </c>
      <c r="G3797" s="163">
        <f>IFERROR(__xludf.DUMMYFUNCTION("""COMPUTED_VALUE"""),17.0)</f>
        <v>17</v>
      </c>
      <c r="H3797" s="163" t="str">
        <f>IFERROR(__xludf.DUMMYFUNCTION("""COMPUTED_VALUE"""),"SG")</f>
        <v>SG</v>
      </c>
      <c r="I3797" s="163">
        <f>IFERROR(__xludf.DUMMYFUNCTION("""COMPUTED_VALUE"""),24.0)</f>
        <v>24</v>
      </c>
      <c r="J3797" s="165">
        <f>IFERROR(__xludf.DUMMYFUNCTION("""COMPUTED_VALUE"""),-0.820506234726814)</f>
        <v>-0.8205062347</v>
      </c>
      <c r="K3797" s="165">
        <f>IFERROR(__xludf.DUMMYFUNCTION("""COMPUTED_VALUE"""),-1.19633690379948)</f>
        <v>-1.196336904</v>
      </c>
      <c r="L3797" s="165">
        <f>IFERROR(__xludf.DUMMYFUNCTION("""COMPUTED_VALUE"""),0.375830669072663)</f>
        <v>0.3758306691</v>
      </c>
      <c r="M3797" s="166">
        <f t="shared" si="2"/>
        <v>0.3265369771</v>
      </c>
      <c r="N3797" s="167">
        <f t="shared" si="3"/>
        <v>19.42156863</v>
      </c>
      <c r="O3797" s="163">
        <f t="shared" ref="O3797:Q3797" si="3801">rank(I3797,I:I)</f>
        <v>2361</v>
      </c>
      <c r="P3797" s="163">
        <f t="shared" si="3801"/>
        <v>2317</v>
      </c>
      <c r="Q3797" s="163">
        <f t="shared" si="3801"/>
        <v>3034</v>
      </c>
      <c r="R3797" s="163">
        <f>IFERROR(__xludf.DUMMYFUNCTION("RANK(M3797,filter(M:M,C:C=C3797))"),236.0)</f>
        <v>236</v>
      </c>
      <c r="S3797" s="161" t="b">
        <f t="shared" si="5"/>
        <v>0</v>
      </c>
      <c r="T3797" s="161" t="b">
        <f t="array" ref="T3797">index('Query Tool'!B:B,match(H3797,'Query Tool'!C:C,0))</f>
        <v>1</v>
      </c>
      <c r="U3797" s="161" t="b">
        <f t="array" ref="U3797">index('Query Tool'!B:B,match(C3797,'Query Tool'!C:C,0))</f>
        <v>1</v>
      </c>
      <c r="V3797" s="161" t="b">
        <f>F3797&gt;='Query Tool'!C$32</f>
        <v>0</v>
      </c>
      <c r="W3797" s="161" t="b">
        <f t="array" ref="W3797">index(Dropdowns!B:B,match(I3797,Dropdowns!A:A,0))</f>
        <v>1</v>
      </c>
      <c r="X3797" s="161" t="b">
        <f t="array" ref="X3797">index('Query Tool'!B:B,match(D3797,'Query Tool'!C:C,0))</f>
        <v>1</v>
      </c>
      <c r="Y3797" s="161" t="str">
        <f t="shared" si="6"/>
        <v>doziepj01,2020-21</v>
      </c>
      <c r="Z3797" s="168" t="str">
        <f t="array" ref="Z3797">iferror(index(I:I,match($A3797&amp;","&amp;index('Year Conversion'!$A:$A,match($C3797,'Year Conversion'!$B:$B,0)),$Y:$Y,0))-I3797,"")</f>
        <v/>
      </c>
      <c r="AA3797" s="168" t="str">
        <f t="array" ref="AA3797">iferror(index(J:J,match($A3797&amp;","&amp;index('Year Conversion'!$A:$A,match($C3797,'Year Conversion'!$B:$B,0)),$Y:$Y,0))-J3797,"")</f>
        <v/>
      </c>
      <c r="AB3797" s="168" t="str">
        <f t="array" ref="AB3797">iferror(index(K:K,match($A3797&amp;","&amp;index('Year Conversion'!$A:$A,match($C3797,'Year Conversion'!$B:$B,0)),$Y:$Y,0))-K3797,"")</f>
        <v/>
      </c>
      <c r="AC3797" s="168" t="str">
        <f t="shared" si="7"/>
        <v>DEN,2020-21</v>
      </c>
    </row>
    <row r="3798">
      <c r="A3798" s="161" t="str">
        <f>IFERROR(__xludf.DUMMYFUNCTION("""COMPUTED_VALUE"""),"sumneed01")</f>
        <v>sumneed01</v>
      </c>
      <c r="B3798" s="161" t="str">
        <f>IFERROR(__xludf.DUMMYFUNCTION("""COMPUTED_VALUE"""),"Edmond Sumner")</f>
        <v>Edmond Sumner</v>
      </c>
      <c r="C3798" s="162" t="str">
        <f>IFERROR(__xludf.DUMMYFUNCTION("""COMPUTED_VALUE"""),"2020-21")</f>
        <v>2020-21</v>
      </c>
      <c r="D3798" s="163" t="str">
        <f>IFERROR(__xludf.DUMMYFUNCTION("""COMPUTED_VALUE"""),"IND")</f>
        <v>IND</v>
      </c>
      <c r="E3798" s="164" t="str">
        <f>IFERROR(__xludf.DUMMYFUNCTION("""COMPUTED_VALUE"""),"Stationary Shooter")</f>
        <v>Stationary Shooter</v>
      </c>
      <c r="F3798" s="164">
        <f>IFERROR(__xludf.DUMMYFUNCTION("""COMPUTED_VALUE"""),149.67)</f>
        <v>149.67</v>
      </c>
      <c r="G3798" s="163">
        <f>IFERROR(__xludf.DUMMYFUNCTION("""COMPUTED_VALUE"""),16.0)</f>
        <v>16</v>
      </c>
      <c r="H3798" s="163" t="str">
        <f>IFERROR(__xludf.DUMMYFUNCTION("""COMPUTED_VALUE"""),"SG")</f>
        <v>SG</v>
      </c>
      <c r="I3798" s="163">
        <f>IFERROR(__xludf.DUMMYFUNCTION("""COMPUTED_VALUE"""),25.0)</f>
        <v>25</v>
      </c>
      <c r="J3798" s="165">
        <f>IFERROR(__xludf.DUMMYFUNCTION("""COMPUTED_VALUE"""),-1.22870421517953)</f>
        <v>-1.228704215</v>
      </c>
      <c r="K3798" s="165">
        <f>IFERROR(__xludf.DUMMYFUNCTION("""COMPUTED_VALUE"""),-0.865016340030154)</f>
        <v>-0.86501634</v>
      </c>
      <c r="L3798" s="165">
        <f>IFERROR(__xludf.DUMMYFUNCTION("""COMPUTED_VALUE"""),-0.363687875149371)</f>
        <v>-0.3636878751</v>
      </c>
      <c r="M3798" s="166">
        <f t="shared" si="2"/>
        <v>0.1070170102</v>
      </c>
      <c r="N3798" s="167">
        <f t="shared" si="3"/>
        <v>9.354375</v>
      </c>
      <c r="O3798" s="163">
        <f t="shared" ref="O3798:Q3798" si="3802">rank(I3798,I:I)</f>
        <v>1995</v>
      </c>
      <c r="P3798" s="163">
        <f t="shared" si="3802"/>
        <v>2788</v>
      </c>
      <c r="Q3798" s="163">
        <f t="shared" si="3802"/>
        <v>2643</v>
      </c>
      <c r="R3798" s="163">
        <f>IFERROR(__xludf.DUMMYFUNCTION("RANK(M3798,filter(M:M,C:C=C3798))"),326.0)</f>
        <v>326</v>
      </c>
      <c r="S3798" s="161" t="b">
        <f t="shared" si="5"/>
        <v>0</v>
      </c>
      <c r="T3798" s="161" t="b">
        <f t="array" ref="T3798">index('Query Tool'!B:B,match(H3798,'Query Tool'!C:C,0))</f>
        <v>1</v>
      </c>
      <c r="U3798" s="161" t="b">
        <f t="array" ref="U3798">index('Query Tool'!B:B,match(C3798,'Query Tool'!C:C,0))</f>
        <v>1</v>
      </c>
      <c r="V3798" s="161" t="b">
        <f>F3798&gt;='Query Tool'!C$32</f>
        <v>0</v>
      </c>
      <c r="W3798" s="161" t="b">
        <f t="array" ref="W3798">index(Dropdowns!B:B,match(I3798,Dropdowns!A:A,0))</f>
        <v>1</v>
      </c>
      <c r="X3798" s="161" t="b">
        <f t="array" ref="X3798">index('Query Tool'!B:B,match(D3798,'Query Tool'!C:C,0))</f>
        <v>1</v>
      </c>
      <c r="Y3798" s="161" t="str">
        <f t="shared" si="6"/>
        <v>sumneed01,2020-21</v>
      </c>
      <c r="Z3798" s="168" t="str">
        <f t="array" ref="Z3798">iferror(index(I:I,match($A3798&amp;","&amp;index('Year Conversion'!$A:$A,match($C3798,'Year Conversion'!$B:$B,0)),$Y:$Y,0))-I3798,"")</f>
        <v/>
      </c>
      <c r="AA3798" s="168" t="str">
        <f t="array" ref="AA3798">iferror(index(J:J,match($A3798&amp;","&amp;index('Year Conversion'!$A:$A,match($C3798,'Year Conversion'!$B:$B,0)),$Y:$Y,0))-J3798,"")</f>
        <v/>
      </c>
      <c r="AB3798" s="168" t="str">
        <f t="array" ref="AB3798">iferror(index(K:K,match($A3798&amp;","&amp;index('Year Conversion'!$A:$A,match($C3798,'Year Conversion'!$B:$B,0)),$Y:$Y,0))-K3798,"")</f>
        <v/>
      </c>
      <c r="AC3798" s="168" t="str">
        <f t="shared" si="7"/>
        <v>IND,2020-21</v>
      </c>
    </row>
    <row r="3799">
      <c r="A3799" s="161" t="str">
        <f>IFERROR(__xludf.DUMMYFUNCTION("""COMPUTED_VALUE"""),"iwundwe01")</f>
        <v>iwundwe01</v>
      </c>
      <c r="B3799" s="161" t="str">
        <f>IFERROR(__xludf.DUMMYFUNCTION("""COMPUTED_VALUE"""),"Wes Iwundu")</f>
        <v>Wes Iwundu</v>
      </c>
      <c r="C3799" s="162" t="str">
        <f>IFERROR(__xludf.DUMMYFUNCTION("""COMPUTED_VALUE"""),"2020-21")</f>
        <v>2020-21</v>
      </c>
      <c r="D3799" s="163" t="str">
        <f>IFERROR(__xludf.DUMMYFUNCTION("""COMPUTED_VALUE"""),"DAL")</f>
        <v>DAL</v>
      </c>
      <c r="E3799" s="164" t="str">
        <f>IFERROR(__xludf.DUMMYFUNCTION("""COMPUTED_VALUE"""),"Athletic Finisher")</f>
        <v>Athletic Finisher</v>
      </c>
      <c r="F3799" s="164">
        <f>IFERROR(__xludf.DUMMYFUNCTION("""COMPUTED_VALUE"""),232.175)</f>
        <v>232.175</v>
      </c>
      <c r="G3799" s="163">
        <f>IFERROR(__xludf.DUMMYFUNCTION("""COMPUTED_VALUE"""),17.0)</f>
        <v>17</v>
      </c>
      <c r="H3799" s="163" t="str">
        <f>IFERROR(__xludf.DUMMYFUNCTION("""COMPUTED_VALUE"""),"SF")</f>
        <v>SF</v>
      </c>
      <c r="I3799" s="163">
        <f>IFERROR(__xludf.DUMMYFUNCTION("""COMPUTED_VALUE"""),26.0)</f>
        <v>26</v>
      </c>
      <c r="J3799" s="165">
        <f>IFERROR(__xludf.DUMMYFUNCTION("""COMPUTED_VALUE"""),-2.3283080570896)</f>
        <v>-2.328308057</v>
      </c>
      <c r="K3799" s="165">
        <f>IFERROR(__xludf.DUMMYFUNCTION("""COMPUTED_VALUE"""),-1.91190187207476)</f>
        <v>-1.911901872</v>
      </c>
      <c r="L3799" s="165">
        <f>IFERROR(__xludf.DUMMYFUNCTION("""COMPUTED_VALUE"""),-0.416406185014838)</f>
        <v>-0.416406185</v>
      </c>
      <c r="M3799" s="166">
        <f t="shared" si="2"/>
        <v>-0.003793579144</v>
      </c>
      <c r="N3799" s="167">
        <f t="shared" si="3"/>
        <v>13.65735294</v>
      </c>
      <c r="O3799" s="163">
        <f t="shared" ref="O3799:Q3799" si="3803">rank(I3799,I:I)</f>
        <v>1665</v>
      </c>
      <c r="P3799" s="163">
        <f t="shared" si="3803"/>
        <v>3669</v>
      </c>
      <c r="Q3799" s="163">
        <f t="shared" si="3803"/>
        <v>3658</v>
      </c>
      <c r="R3799" s="163">
        <f>IFERROR(__xludf.DUMMYFUNCTION("RANK(M3799,filter(M:M,C:C=C3799))"),449.0)</f>
        <v>449</v>
      </c>
      <c r="S3799" s="161" t="b">
        <f t="shared" si="5"/>
        <v>0</v>
      </c>
      <c r="T3799" s="161" t="b">
        <f t="array" ref="T3799">index('Query Tool'!B:B,match(H3799,'Query Tool'!C:C,0))</f>
        <v>1</v>
      </c>
      <c r="U3799" s="161" t="b">
        <f t="array" ref="U3799">index('Query Tool'!B:B,match(C3799,'Query Tool'!C:C,0))</f>
        <v>1</v>
      </c>
      <c r="V3799" s="161" t="b">
        <f>F3799&gt;='Query Tool'!C$32</f>
        <v>0</v>
      </c>
      <c r="W3799" s="161" t="b">
        <f t="array" ref="W3799">index(Dropdowns!B:B,match(I3799,Dropdowns!A:A,0))</f>
        <v>1</v>
      </c>
      <c r="X3799" s="161" t="b">
        <f t="array" ref="X3799">index('Query Tool'!B:B,match(D3799,'Query Tool'!C:C,0))</f>
        <v>1</v>
      </c>
      <c r="Y3799" s="161" t="str">
        <f t="shared" si="6"/>
        <v>iwundwe01,2020-21</v>
      </c>
      <c r="Z3799" s="168" t="str">
        <f t="array" ref="Z3799">iferror(index(I:I,match($A3799&amp;","&amp;index('Year Conversion'!$A:$A,match($C3799,'Year Conversion'!$B:$B,0)),$Y:$Y,0))-I3799,"")</f>
        <v/>
      </c>
      <c r="AA3799" s="168" t="str">
        <f t="array" ref="AA3799">iferror(index(J:J,match($A3799&amp;","&amp;index('Year Conversion'!$A:$A,match($C3799,'Year Conversion'!$B:$B,0)),$Y:$Y,0))-J3799,"")</f>
        <v/>
      </c>
      <c r="AB3799" s="168" t="str">
        <f t="array" ref="AB3799">iferror(index(K:K,match($A3799&amp;","&amp;index('Year Conversion'!$A:$A,match($C3799,'Year Conversion'!$B:$B,0)),$Y:$Y,0))-K3799,"")</f>
        <v/>
      </c>
      <c r="AC3799" s="168" t="str">
        <f t="shared" si="7"/>
        <v>DAL,2020-21</v>
      </c>
    </row>
    <row r="3800">
      <c r="A3800" s="161" t="str">
        <f>IFERROR(__xludf.DUMMYFUNCTION("""COMPUTED_VALUE"""),"masonfr01")</f>
        <v>masonfr01</v>
      </c>
      <c r="B3800" s="161" t="str">
        <f>IFERROR(__xludf.DUMMYFUNCTION("""COMPUTED_VALUE"""),"Frank Mason")</f>
        <v>Frank Mason</v>
      </c>
      <c r="C3800" s="162" t="str">
        <f>IFERROR(__xludf.DUMMYFUNCTION("""COMPUTED_VALUE"""),"2020-21")</f>
        <v>2020-21</v>
      </c>
      <c r="D3800" s="163" t="str">
        <f>IFERROR(__xludf.DUMMYFUNCTION("""COMPUTED_VALUE"""),"ORL")</f>
        <v>ORL</v>
      </c>
      <c r="E3800" s="164" t="str">
        <f>IFERROR(__xludf.DUMMYFUNCTION("""COMPUTED_VALUE"""),"Slasher")</f>
        <v>Slasher</v>
      </c>
      <c r="F3800" s="164">
        <f>IFERROR(__xludf.DUMMYFUNCTION("""COMPUTED_VALUE"""),79.2833333333333)</f>
        <v>79.28333333</v>
      </c>
      <c r="G3800" s="163">
        <f>IFERROR(__xludf.DUMMYFUNCTION("""COMPUTED_VALUE"""),4.0)</f>
        <v>4</v>
      </c>
      <c r="H3800" s="163" t="str">
        <f>IFERROR(__xludf.DUMMYFUNCTION("""COMPUTED_VALUE"""),"PG")</f>
        <v>PG</v>
      </c>
      <c r="I3800" s="163">
        <f>IFERROR(__xludf.DUMMYFUNCTION("""COMPUTED_VALUE"""),26.0)</f>
        <v>26</v>
      </c>
      <c r="J3800" s="165">
        <f>IFERROR(__xludf.DUMMYFUNCTION("""COMPUTED_VALUE"""),-0.465369266316838)</f>
        <v>-0.4653692663</v>
      </c>
      <c r="K3800" s="165">
        <f>IFERROR(__xludf.DUMMYFUNCTION("""COMPUTED_VALUE"""),-0.882735429061623)</f>
        <v>-0.8827354291</v>
      </c>
      <c r="L3800" s="165">
        <f>IFERROR(__xludf.DUMMYFUNCTION("""COMPUTED_VALUE"""),0.417366162744785)</f>
        <v>0.4173661627</v>
      </c>
      <c r="M3800" s="166">
        <f t="shared" si="2"/>
        <v>0.09736102782</v>
      </c>
      <c r="N3800" s="167">
        <f t="shared" si="3"/>
        <v>19.82083333</v>
      </c>
      <c r="O3800" s="163">
        <f t="shared" ref="O3800:Q3800" si="3804">rank(I3800,I:I)</f>
        <v>1665</v>
      </c>
      <c r="P3800" s="163">
        <f t="shared" si="3804"/>
        <v>1802</v>
      </c>
      <c r="Q3800" s="163">
        <f t="shared" si="3804"/>
        <v>2668</v>
      </c>
      <c r="R3800" s="163">
        <f>IFERROR(__xludf.DUMMYFUNCTION("RANK(M3800,filter(M:M,C:C=C3800))"),335.0)</f>
        <v>335</v>
      </c>
      <c r="S3800" s="161" t="b">
        <f t="shared" si="5"/>
        <v>0</v>
      </c>
      <c r="T3800" s="161" t="b">
        <f t="array" ref="T3800">index('Query Tool'!B:B,match(H3800,'Query Tool'!C:C,0))</f>
        <v>1</v>
      </c>
      <c r="U3800" s="161" t="b">
        <f t="array" ref="U3800">index('Query Tool'!B:B,match(C3800,'Query Tool'!C:C,0))</f>
        <v>1</v>
      </c>
      <c r="V3800" s="161" t="b">
        <f>F3800&gt;='Query Tool'!C$32</f>
        <v>0</v>
      </c>
      <c r="W3800" s="161" t="b">
        <f t="array" ref="W3800">index(Dropdowns!B:B,match(I3800,Dropdowns!A:A,0))</f>
        <v>1</v>
      </c>
      <c r="X3800" s="161" t="b">
        <f t="array" ref="X3800">index('Query Tool'!B:B,match(D3800,'Query Tool'!C:C,0))</f>
        <v>1</v>
      </c>
      <c r="Y3800" s="161" t="str">
        <f t="shared" si="6"/>
        <v>masonfr01,2020-21</v>
      </c>
      <c r="Z3800" s="168" t="str">
        <f t="array" ref="Z3800">iferror(index(I:I,match($A3800&amp;","&amp;index('Year Conversion'!$A:$A,match($C3800,'Year Conversion'!$B:$B,0)),$Y:$Y,0))-I3800,"")</f>
        <v/>
      </c>
      <c r="AA3800" s="168" t="str">
        <f t="array" ref="AA3800">iferror(index(J:J,match($A3800&amp;","&amp;index('Year Conversion'!$A:$A,match($C3800,'Year Conversion'!$B:$B,0)),$Y:$Y,0))-J3800,"")</f>
        <v/>
      </c>
      <c r="AB3800" s="168" t="str">
        <f t="array" ref="AB3800">iferror(index(K:K,match($A3800&amp;","&amp;index('Year Conversion'!$A:$A,match($C3800,'Year Conversion'!$B:$B,0)),$Y:$Y,0))-K3800,"")</f>
        <v/>
      </c>
      <c r="AC3800" s="168" t="str">
        <f t="shared" si="7"/>
        <v>ORL,2020-21</v>
      </c>
    </row>
    <row r="3801">
      <c r="A3801" s="161" t="str">
        <f>IFERROR(__xludf.DUMMYFUNCTION("""COMPUTED_VALUE"""),"thornsi01")</f>
        <v>thornsi01</v>
      </c>
      <c r="B3801" s="161" t="str">
        <f>IFERROR(__xludf.DUMMYFUNCTION("""COMPUTED_VALUE"""),"Sindarius Thornwell")</f>
        <v>Sindarius Thornwell</v>
      </c>
      <c r="C3801" s="162" t="str">
        <f>IFERROR(__xludf.DUMMYFUNCTION("""COMPUTED_VALUE"""),"2020-21")</f>
        <v>2020-21</v>
      </c>
      <c r="D3801" s="163" t="str">
        <f>IFERROR(__xludf.DUMMYFUNCTION("""COMPUTED_VALUE"""),"NOP")</f>
        <v>NOP</v>
      </c>
      <c r="E3801" s="164" t="str">
        <f>IFERROR(__xludf.DUMMYFUNCTION("""COMPUTED_VALUE"""),"Athletic Finisher")</f>
        <v>Athletic Finisher</v>
      </c>
      <c r="F3801" s="164">
        <f>IFERROR(__xludf.DUMMYFUNCTION("""COMPUTED_VALUE"""),53.04)</f>
        <v>53.04</v>
      </c>
      <c r="G3801" s="163">
        <f>IFERROR(__xludf.DUMMYFUNCTION("""COMPUTED_VALUE"""),11.0)</f>
        <v>11</v>
      </c>
      <c r="H3801" s="163" t="str">
        <f>IFERROR(__xludf.DUMMYFUNCTION("""COMPUTED_VALUE"""),"SG")</f>
        <v>SG</v>
      </c>
      <c r="I3801" s="163">
        <f>IFERROR(__xludf.DUMMYFUNCTION("""COMPUTED_VALUE"""),26.0)</f>
        <v>26</v>
      </c>
      <c r="J3801" s="165">
        <f>IFERROR(__xludf.DUMMYFUNCTION("""COMPUTED_VALUE"""),0.438420824135721)</f>
        <v>0.4384208241</v>
      </c>
      <c r="K3801" s="165">
        <f>IFERROR(__xludf.DUMMYFUNCTION("""COMPUTED_VALUE"""),-0.408076256723857)</f>
        <v>-0.4080762567</v>
      </c>
      <c r="L3801" s="165">
        <f>IFERROR(__xludf.DUMMYFUNCTION("""COMPUTED_VALUE"""),0.846497080859577)</f>
        <v>0.8464970809</v>
      </c>
      <c r="M3801" s="166">
        <f t="shared" si="2"/>
        <v>0.09744331759</v>
      </c>
      <c r="N3801" s="167">
        <f t="shared" si="3"/>
        <v>4.821818182</v>
      </c>
      <c r="O3801" s="163">
        <f t="shared" ref="O3801:Q3801" si="3805">rank(I3801,I:I)</f>
        <v>1665</v>
      </c>
      <c r="P3801" s="163">
        <f t="shared" si="3805"/>
        <v>931</v>
      </c>
      <c r="Q3801" s="163">
        <f t="shared" si="3805"/>
        <v>1956</v>
      </c>
      <c r="R3801" s="163">
        <f>IFERROR(__xludf.DUMMYFUNCTION("RANK(M3801,filter(M:M,C:C=C3801))"),334.0)</f>
        <v>334</v>
      </c>
      <c r="S3801" s="161" t="b">
        <f t="shared" si="5"/>
        <v>0</v>
      </c>
      <c r="T3801" s="161" t="b">
        <f t="array" ref="T3801">index('Query Tool'!B:B,match(H3801,'Query Tool'!C:C,0))</f>
        <v>1</v>
      </c>
      <c r="U3801" s="161" t="b">
        <f t="array" ref="U3801">index('Query Tool'!B:B,match(C3801,'Query Tool'!C:C,0))</f>
        <v>1</v>
      </c>
      <c r="V3801" s="161" t="b">
        <f>F3801&gt;='Query Tool'!C$32</f>
        <v>0</v>
      </c>
      <c r="W3801" s="161" t="b">
        <f t="array" ref="W3801">index(Dropdowns!B:B,match(I3801,Dropdowns!A:A,0))</f>
        <v>1</v>
      </c>
      <c r="X3801" s="161" t="b">
        <f t="array" ref="X3801">index('Query Tool'!B:B,match(D3801,'Query Tool'!C:C,0))</f>
        <v>1</v>
      </c>
      <c r="Y3801" s="161" t="str">
        <f t="shared" si="6"/>
        <v>thornsi01,2020-21</v>
      </c>
      <c r="Z3801" s="168" t="str">
        <f t="array" ref="Z3801">iferror(index(I:I,match($A3801&amp;","&amp;index('Year Conversion'!$A:$A,match($C3801,'Year Conversion'!$B:$B,0)),$Y:$Y,0))-I3801,"")</f>
        <v/>
      </c>
      <c r="AA3801" s="168" t="str">
        <f t="array" ref="AA3801">iferror(index(J:J,match($A3801&amp;","&amp;index('Year Conversion'!$A:$A,match($C3801,'Year Conversion'!$B:$B,0)),$Y:$Y,0))-J3801,"")</f>
        <v/>
      </c>
      <c r="AB3801" s="168" t="str">
        <f t="array" ref="AB3801">iferror(index(K:K,match($A3801&amp;","&amp;index('Year Conversion'!$A:$A,match($C3801,'Year Conversion'!$B:$B,0)),$Y:$Y,0))-K3801,"")</f>
        <v/>
      </c>
      <c r="AC3801" s="168" t="str">
        <f t="shared" si="7"/>
        <v>NOP,2020-21</v>
      </c>
    </row>
    <row r="3802">
      <c r="A3802" s="161" t="str">
        <f>IFERROR(__xludf.DUMMYFUNCTION("""COMPUTED_VALUE"""),"brookdi01")</f>
        <v>brookdi01</v>
      </c>
      <c r="B3802" s="161" t="str">
        <f>IFERROR(__xludf.DUMMYFUNCTION("""COMPUTED_VALUE"""),"Dillon Brooks")</f>
        <v>Dillon Brooks</v>
      </c>
      <c r="C3802" s="162" t="str">
        <f>IFERROR(__xludf.DUMMYFUNCTION("""COMPUTED_VALUE"""),"2020-21")</f>
        <v>2020-21</v>
      </c>
      <c r="D3802" s="163" t="str">
        <f>IFERROR(__xludf.DUMMYFUNCTION("""COMPUTED_VALUE"""),"MEM")</f>
        <v>MEM</v>
      </c>
      <c r="E3802" s="164" t="str">
        <f>IFERROR(__xludf.DUMMYFUNCTION("""COMPUTED_VALUE"""),"Secondary Ball Handler")</f>
        <v>Secondary Ball Handler</v>
      </c>
      <c r="F3802" s="164">
        <f>IFERROR(__xludf.DUMMYFUNCTION("""COMPUTED_VALUE"""),699.836666666667)</f>
        <v>699.8366667</v>
      </c>
      <c r="G3802" s="163">
        <f>IFERROR(__xludf.DUMMYFUNCTION("""COMPUTED_VALUE"""),24.0)</f>
        <v>24</v>
      </c>
      <c r="H3802" s="163" t="str">
        <f>IFERROR(__xludf.DUMMYFUNCTION("""COMPUTED_VALUE"""),"SF")</f>
        <v>SF</v>
      </c>
      <c r="I3802" s="163">
        <f>IFERROR(__xludf.DUMMYFUNCTION("""COMPUTED_VALUE"""),25.0)</f>
        <v>25</v>
      </c>
      <c r="J3802" s="165">
        <f>IFERROR(__xludf.DUMMYFUNCTION("""COMPUTED_VALUE"""),-1.0923907028455)</f>
        <v>-1.092390703</v>
      </c>
      <c r="K3802" s="165">
        <f>IFERROR(__xludf.DUMMYFUNCTION("""COMPUTED_VALUE"""),-1.00486351146178)</f>
        <v>-1.004863511</v>
      </c>
      <c r="L3802" s="165">
        <f>IFERROR(__xludf.DUMMYFUNCTION("""COMPUTED_VALUE"""),-0.0875271913837192)</f>
        <v>-0.08752719138</v>
      </c>
      <c r="M3802" s="166">
        <f t="shared" si="2"/>
        <v>0.5643527992</v>
      </c>
      <c r="N3802" s="167">
        <f t="shared" si="3"/>
        <v>29.15986111</v>
      </c>
      <c r="O3802" s="163">
        <f t="shared" ref="O3802:Q3802" si="3806">rank(I3802,I:I)</f>
        <v>1995</v>
      </c>
      <c r="P3802" s="163">
        <f t="shared" si="3806"/>
        <v>2603</v>
      </c>
      <c r="Q3802" s="163">
        <f t="shared" si="3806"/>
        <v>2811</v>
      </c>
      <c r="R3802" s="163">
        <f>IFERROR(__xludf.DUMMYFUNCTION("RANK(M3802,filter(M:M,C:C=C3802))"),180.0)</f>
        <v>180</v>
      </c>
      <c r="S3802" s="161" t="b">
        <f t="shared" si="5"/>
        <v>1</v>
      </c>
      <c r="T3802" s="161" t="b">
        <f t="array" ref="T3802">index('Query Tool'!B:B,match(H3802,'Query Tool'!C:C,0))</f>
        <v>1</v>
      </c>
      <c r="U3802" s="161" t="b">
        <f t="array" ref="U3802">index('Query Tool'!B:B,match(C3802,'Query Tool'!C:C,0))</f>
        <v>1</v>
      </c>
      <c r="V3802" s="161" t="b">
        <f>F3802&gt;='Query Tool'!C$32</f>
        <v>1</v>
      </c>
      <c r="W3802" s="161" t="b">
        <f t="array" ref="W3802">index(Dropdowns!B:B,match(I3802,Dropdowns!A:A,0))</f>
        <v>1</v>
      </c>
      <c r="X3802" s="161" t="b">
        <f t="array" ref="X3802">index('Query Tool'!B:B,match(D3802,'Query Tool'!C:C,0))</f>
        <v>1</v>
      </c>
      <c r="Y3802" s="161" t="str">
        <f t="shared" si="6"/>
        <v>brookdi01,2020-21</v>
      </c>
      <c r="Z3802" s="168" t="str">
        <f t="array" ref="Z3802">iferror(index(I:I,match($A3802&amp;","&amp;index('Year Conversion'!$A:$A,match($C3802,'Year Conversion'!$B:$B,0)),$Y:$Y,0))-I3802,"")</f>
        <v/>
      </c>
      <c r="AA3802" s="168" t="str">
        <f t="array" ref="AA3802">iferror(index(J:J,match($A3802&amp;","&amp;index('Year Conversion'!$A:$A,match($C3802,'Year Conversion'!$B:$B,0)),$Y:$Y,0))-J3802,"")</f>
        <v/>
      </c>
      <c r="AB3802" s="168" t="str">
        <f t="array" ref="AB3802">iferror(index(K:K,match($A3802&amp;","&amp;index('Year Conversion'!$A:$A,match($C3802,'Year Conversion'!$B:$B,0)),$Y:$Y,0))-K3802,"")</f>
        <v/>
      </c>
      <c r="AC3802" s="168" t="str">
        <f t="shared" si="7"/>
        <v>MEM,2020-21</v>
      </c>
    </row>
    <row r="3803">
      <c r="A3803" s="161" t="str">
        <f>IFERROR(__xludf.DUMMYFUNCTION("""COMPUTED_VALUE"""),"bryanth01")</f>
        <v>bryanth01</v>
      </c>
      <c r="B3803" s="161" t="str">
        <f>IFERROR(__xludf.DUMMYFUNCTION("""COMPUTED_VALUE"""),"Thomas Bryant")</f>
        <v>Thomas Bryant</v>
      </c>
      <c r="C3803" s="162" t="str">
        <f>IFERROR(__xludf.DUMMYFUNCTION("""COMPUTED_VALUE"""),"2020-21")</f>
        <v>2020-21</v>
      </c>
      <c r="D3803" s="163" t="str">
        <f>IFERROR(__xludf.DUMMYFUNCTION("""COMPUTED_VALUE"""),"WAS")</f>
        <v>WAS</v>
      </c>
      <c r="E3803" s="164" t="str">
        <f>IFERROR(__xludf.DUMMYFUNCTION("""COMPUTED_VALUE"""),"Roll + Cut Big")</f>
        <v>Roll + Cut Big</v>
      </c>
      <c r="F3803" s="164">
        <f>IFERROR(__xludf.DUMMYFUNCTION("""COMPUTED_VALUE"""),270.841666666667)</f>
        <v>270.8416667</v>
      </c>
      <c r="G3803" s="163">
        <f>IFERROR(__xludf.DUMMYFUNCTION("""COMPUTED_VALUE"""),10.0)</f>
        <v>10</v>
      </c>
      <c r="H3803" s="163" t="str">
        <f>IFERROR(__xludf.DUMMYFUNCTION("""COMPUTED_VALUE"""),"C")</f>
        <v>C</v>
      </c>
      <c r="I3803" s="163">
        <f>IFERROR(__xludf.DUMMYFUNCTION("""COMPUTED_VALUE"""),23.0)</f>
        <v>23</v>
      </c>
      <c r="J3803" s="165">
        <f>IFERROR(__xludf.DUMMYFUNCTION("""COMPUTED_VALUE"""),0.0323500243748847)</f>
        <v>0.03235002437</v>
      </c>
      <c r="K3803" s="165">
        <f>IFERROR(__xludf.DUMMYFUNCTION("""COMPUTED_VALUE"""),-0.217103294119781)</f>
        <v>-0.2171032941</v>
      </c>
      <c r="L3803" s="165">
        <f>IFERROR(__xludf.DUMMYFUNCTION("""COMPUTED_VALUE"""),0.249453318494666)</f>
        <v>0.2494533185</v>
      </c>
      <c r="M3803" s="166">
        <f t="shared" si="2"/>
        <v>0.423454633</v>
      </c>
      <c r="N3803" s="167">
        <f t="shared" si="3"/>
        <v>27.08416667</v>
      </c>
      <c r="O3803" s="163">
        <f t="shared" ref="O3803:Q3803" si="3807">rank(I3803,I:I)</f>
        <v>2765</v>
      </c>
      <c r="P3803" s="163">
        <f t="shared" si="3807"/>
        <v>1262</v>
      </c>
      <c r="Q3803" s="163">
        <f t="shared" si="3807"/>
        <v>1595</v>
      </c>
      <c r="R3803" s="163">
        <f>IFERROR(__xludf.DUMMYFUNCTION("RANK(M3803,filter(M:M,C:C=C3803))"),212.0)</f>
        <v>212</v>
      </c>
      <c r="S3803" s="161" t="b">
        <f t="shared" si="5"/>
        <v>0</v>
      </c>
      <c r="T3803" s="161" t="b">
        <f t="array" ref="T3803">index('Query Tool'!B:B,match(H3803,'Query Tool'!C:C,0))</f>
        <v>1</v>
      </c>
      <c r="U3803" s="161" t="b">
        <f t="array" ref="U3803">index('Query Tool'!B:B,match(C3803,'Query Tool'!C:C,0))</f>
        <v>1</v>
      </c>
      <c r="V3803" s="161" t="b">
        <f>F3803&gt;='Query Tool'!C$32</f>
        <v>0</v>
      </c>
      <c r="W3803" s="161" t="b">
        <f t="array" ref="W3803">index(Dropdowns!B:B,match(I3803,Dropdowns!A:A,0))</f>
        <v>1</v>
      </c>
      <c r="X3803" s="161" t="b">
        <f t="array" ref="X3803">index('Query Tool'!B:B,match(D3803,'Query Tool'!C:C,0))</f>
        <v>1</v>
      </c>
      <c r="Y3803" s="161" t="str">
        <f t="shared" si="6"/>
        <v>bryanth01,2020-21</v>
      </c>
      <c r="Z3803" s="168" t="str">
        <f t="array" ref="Z3803">iferror(index(I:I,match($A3803&amp;","&amp;index('Year Conversion'!$A:$A,match($C3803,'Year Conversion'!$B:$B,0)),$Y:$Y,0))-I3803,"")</f>
        <v/>
      </c>
      <c r="AA3803" s="168" t="str">
        <f t="array" ref="AA3803">iferror(index(J:J,match($A3803&amp;","&amp;index('Year Conversion'!$A:$A,match($C3803,'Year Conversion'!$B:$B,0)),$Y:$Y,0))-J3803,"")</f>
        <v/>
      </c>
      <c r="AB3803" s="168" t="str">
        <f t="array" ref="AB3803">iferror(index(K:K,match($A3803&amp;","&amp;index('Year Conversion'!$A:$A,match($C3803,'Year Conversion'!$B:$B,0)),$Y:$Y,0))-K3803,"")</f>
        <v/>
      </c>
      <c r="AC3803" s="168" t="str">
        <f t="shared" si="7"/>
        <v>WAS,2020-21</v>
      </c>
    </row>
    <row r="3804">
      <c r="A3804" s="161" t="str">
        <f>IFERROR(__xludf.DUMMYFUNCTION("""COMPUTED_VALUE"""),"morrimo01")</f>
        <v>morrimo01</v>
      </c>
      <c r="B3804" s="161" t="str">
        <f>IFERROR(__xludf.DUMMYFUNCTION("""COMPUTED_VALUE"""),"Monte Morris")</f>
        <v>Monte Morris</v>
      </c>
      <c r="C3804" s="162" t="str">
        <f>IFERROR(__xludf.DUMMYFUNCTION("""COMPUTED_VALUE"""),"2020-21")</f>
        <v>2020-21</v>
      </c>
      <c r="D3804" s="163" t="str">
        <f>IFERROR(__xludf.DUMMYFUNCTION("""COMPUTED_VALUE"""),"DEN")</f>
        <v>DEN</v>
      </c>
      <c r="E3804" s="164" t="str">
        <f>IFERROR(__xludf.DUMMYFUNCTION("""COMPUTED_VALUE"""),"Primary Ball Handler")</f>
        <v>Primary Ball Handler</v>
      </c>
      <c r="F3804" s="164">
        <f>IFERROR(__xludf.DUMMYFUNCTION("""COMPUTED_VALUE"""),762.376666666667)</f>
        <v>762.3766667</v>
      </c>
      <c r="G3804" s="163">
        <f>IFERROR(__xludf.DUMMYFUNCTION("""COMPUTED_VALUE"""),29.0)</f>
        <v>29</v>
      </c>
      <c r="H3804" s="163" t="str">
        <f>IFERROR(__xludf.DUMMYFUNCTION("""COMPUTED_VALUE"""),"PG")</f>
        <v>PG</v>
      </c>
      <c r="I3804" s="163">
        <f>IFERROR(__xludf.DUMMYFUNCTION("""COMPUTED_VALUE"""),25.0)</f>
        <v>25</v>
      </c>
      <c r="J3804" s="165">
        <f>IFERROR(__xludf.DUMMYFUNCTION("""COMPUTED_VALUE"""),0.207100910033268)</f>
        <v>0.20710091</v>
      </c>
      <c r="K3804" s="165">
        <f>IFERROR(__xludf.DUMMYFUNCTION("""COMPUTED_VALUE"""),0.942306965715881)</f>
        <v>0.9423069657</v>
      </c>
      <c r="L3804" s="165">
        <f>IFERROR(__xludf.DUMMYFUNCTION("""COMPUTED_VALUE"""),-0.735206055682613)</f>
        <v>-0.7352060557</v>
      </c>
      <c r="M3804" s="166">
        <f t="shared" si="2"/>
        <v>1.281771442</v>
      </c>
      <c r="N3804" s="167">
        <f t="shared" si="3"/>
        <v>26.28885057</v>
      </c>
      <c r="O3804" s="163">
        <f t="shared" ref="O3804:Q3804" si="3808">rank(I3804,I:I)</f>
        <v>1995</v>
      </c>
      <c r="P3804" s="163">
        <f t="shared" si="3808"/>
        <v>1085</v>
      </c>
      <c r="Q3804" s="163">
        <f t="shared" si="3808"/>
        <v>529</v>
      </c>
      <c r="R3804" s="163">
        <f>IFERROR(__xludf.DUMMYFUNCTION("RANK(M3804,filter(M:M,C:C=C3804))"),96.0)</f>
        <v>96</v>
      </c>
      <c r="S3804" s="161" t="b">
        <f t="shared" si="5"/>
        <v>1</v>
      </c>
      <c r="T3804" s="161" t="b">
        <f t="array" ref="T3804">index('Query Tool'!B:B,match(H3804,'Query Tool'!C:C,0))</f>
        <v>1</v>
      </c>
      <c r="U3804" s="161" t="b">
        <f t="array" ref="U3804">index('Query Tool'!B:B,match(C3804,'Query Tool'!C:C,0))</f>
        <v>1</v>
      </c>
      <c r="V3804" s="161" t="b">
        <f>F3804&gt;='Query Tool'!C$32</f>
        <v>1</v>
      </c>
      <c r="W3804" s="161" t="b">
        <f t="array" ref="W3804">index(Dropdowns!B:B,match(I3804,Dropdowns!A:A,0))</f>
        <v>1</v>
      </c>
      <c r="X3804" s="161" t="b">
        <f t="array" ref="X3804">index('Query Tool'!B:B,match(D3804,'Query Tool'!C:C,0))</f>
        <v>1</v>
      </c>
      <c r="Y3804" s="161" t="str">
        <f t="shared" si="6"/>
        <v>morrimo01,2020-21</v>
      </c>
      <c r="Z3804" s="168" t="str">
        <f t="array" ref="Z3804">iferror(index(I:I,match($A3804&amp;","&amp;index('Year Conversion'!$A:$A,match($C3804,'Year Conversion'!$B:$B,0)),$Y:$Y,0))-I3804,"")</f>
        <v/>
      </c>
      <c r="AA3804" s="168" t="str">
        <f t="array" ref="AA3804">iferror(index(J:J,match($A3804&amp;","&amp;index('Year Conversion'!$A:$A,match($C3804,'Year Conversion'!$B:$B,0)),$Y:$Y,0))-J3804,"")</f>
        <v/>
      </c>
      <c r="AB3804" s="168" t="str">
        <f t="array" ref="AB3804">iferror(index(K:K,match($A3804&amp;","&amp;index('Year Conversion'!$A:$A,match($C3804,'Year Conversion'!$B:$B,0)),$Y:$Y,0))-K3804,"")</f>
        <v/>
      </c>
      <c r="AC3804" s="168" t="str">
        <f t="shared" si="7"/>
        <v>DEN,2020-21</v>
      </c>
    </row>
    <row r="3805">
      <c r="A3805" s="161" t="str">
        <f>IFERROR(__xludf.DUMMYFUNCTION("""COMPUTED_VALUE"""),"dotsoda01")</f>
        <v>dotsoda01</v>
      </c>
      <c r="B3805" s="161" t="str">
        <f>IFERROR(__xludf.DUMMYFUNCTION("""COMPUTED_VALUE"""),"Damyean Dotson")</f>
        <v>Damyean Dotson</v>
      </c>
      <c r="C3805" s="162" t="str">
        <f>IFERROR(__xludf.DUMMYFUNCTION("""COMPUTED_VALUE"""),"2020-21")</f>
        <v>2020-21</v>
      </c>
      <c r="D3805" s="163" t="str">
        <f>IFERROR(__xludf.DUMMYFUNCTION("""COMPUTED_VALUE"""),"CLE")</f>
        <v>CLE</v>
      </c>
      <c r="E3805" s="164" t="str">
        <f>IFERROR(__xludf.DUMMYFUNCTION("""COMPUTED_VALUE"""),"Secondary Ball Handler")</f>
        <v>Secondary Ball Handler</v>
      </c>
      <c r="F3805" s="164">
        <f>IFERROR(__xludf.DUMMYFUNCTION("""COMPUTED_VALUE"""),524.191666666667)</f>
        <v>524.1916667</v>
      </c>
      <c r="G3805" s="163">
        <f>IFERROR(__xludf.DUMMYFUNCTION("""COMPUTED_VALUE"""),26.0)</f>
        <v>26</v>
      </c>
      <c r="H3805" s="163" t="str">
        <f>IFERROR(__xludf.DUMMYFUNCTION("""COMPUTED_VALUE"""),"SG")</f>
        <v>SG</v>
      </c>
      <c r="I3805" s="163">
        <f>IFERROR(__xludf.DUMMYFUNCTION("""COMPUTED_VALUE"""),26.0)</f>
        <v>26</v>
      </c>
      <c r="J3805" s="165">
        <f>IFERROR(__xludf.DUMMYFUNCTION("""COMPUTED_VALUE"""),-2.37637868424255)</f>
        <v>-2.376378684</v>
      </c>
      <c r="K3805" s="165">
        <f>IFERROR(__xludf.DUMMYFUNCTION("""COMPUTED_VALUE"""),-0.877125427068417)</f>
        <v>-0.8771254271</v>
      </c>
      <c r="L3805" s="165">
        <f>IFERROR(__xludf.DUMMYFUNCTION("""COMPUTED_VALUE"""),-1.49925325717413)</f>
        <v>-1.499253257</v>
      </c>
      <c r="M3805" s="166">
        <f t="shared" si="2"/>
        <v>-0.02516746119</v>
      </c>
      <c r="N3805" s="167">
        <f t="shared" si="3"/>
        <v>20.16121795</v>
      </c>
      <c r="O3805" s="163">
        <f t="shared" ref="O3805:Q3805" si="3809">rank(I3805,I:I)</f>
        <v>1665</v>
      </c>
      <c r="P3805" s="163">
        <f t="shared" si="3809"/>
        <v>3699</v>
      </c>
      <c r="Q3805" s="163">
        <f t="shared" si="3809"/>
        <v>2657</v>
      </c>
      <c r="R3805" s="163">
        <f>IFERROR(__xludf.DUMMYFUNCTION("RANK(M3805,filter(M:M,C:C=C3805))"),452.0)</f>
        <v>452</v>
      </c>
      <c r="S3805" s="161" t="b">
        <f t="shared" si="5"/>
        <v>1</v>
      </c>
      <c r="T3805" s="161" t="b">
        <f t="array" ref="T3805">index('Query Tool'!B:B,match(H3805,'Query Tool'!C:C,0))</f>
        <v>1</v>
      </c>
      <c r="U3805" s="161" t="b">
        <f t="array" ref="U3805">index('Query Tool'!B:B,match(C3805,'Query Tool'!C:C,0))</f>
        <v>1</v>
      </c>
      <c r="V3805" s="161" t="b">
        <f>F3805&gt;='Query Tool'!C$32</f>
        <v>1</v>
      </c>
      <c r="W3805" s="161" t="b">
        <f t="array" ref="W3805">index(Dropdowns!B:B,match(I3805,Dropdowns!A:A,0))</f>
        <v>1</v>
      </c>
      <c r="X3805" s="161" t="b">
        <f t="array" ref="X3805">index('Query Tool'!B:B,match(D3805,'Query Tool'!C:C,0))</f>
        <v>1</v>
      </c>
      <c r="Y3805" s="161" t="str">
        <f t="shared" si="6"/>
        <v>dotsoda01,2020-21</v>
      </c>
      <c r="Z3805" s="168" t="str">
        <f t="array" ref="Z3805">iferror(index(I:I,match($A3805&amp;","&amp;index('Year Conversion'!$A:$A,match($C3805,'Year Conversion'!$B:$B,0)),$Y:$Y,0))-I3805,"")</f>
        <v/>
      </c>
      <c r="AA3805" s="168" t="str">
        <f t="array" ref="AA3805">iferror(index(J:J,match($A3805&amp;","&amp;index('Year Conversion'!$A:$A,match($C3805,'Year Conversion'!$B:$B,0)),$Y:$Y,0))-J3805,"")</f>
        <v/>
      </c>
      <c r="AB3805" s="168" t="str">
        <f t="array" ref="AB3805">iferror(index(K:K,match($A3805&amp;","&amp;index('Year Conversion'!$A:$A,match($C3805,'Year Conversion'!$B:$B,0)),$Y:$Y,0))-K3805,"")</f>
        <v/>
      </c>
      <c r="AC3805" s="168" t="str">
        <f t="shared" si="7"/>
        <v>CLE,2020-21</v>
      </c>
    </row>
    <row r="3806">
      <c r="A3806" s="161" t="str">
        <f>IFERROR(__xludf.DUMMYFUNCTION("""COMPUTED_VALUE"""),"brownst02")</f>
        <v>brownst02</v>
      </c>
      <c r="B3806" s="161" t="str">
        <f>IFERROR(__xludf.DUMMYFUNCTION("""COMPUTED_VALUE"""),"Sterling Brown")</f>
        <v>Sterling Brown</v>
      </c>
      <c r="C3806" s="162" t="str">
        <f>IFERROR(__xludf.DUMMYFUNCTION("""COMPUTED_VALUE"""),"2020-21")</f>
        <v>2020-21</v>
      </c>
      <c r="D3806" s="163" t="str">
        <f>IFERROR(__xludf.DUMMYFUNCTION("""COMPUTED_VALUE"""),"HOU")</f>
        <v>HOU</v>
      </c>
      <c r="E3806" s="164" t="str">
        <f>IFERROR(__xludf.DUMMYFUNCTION("""COMPUTED_VALUE"""),"Stationary Shooter")</f>
        <v>Stationary Shooter</v>
      </c>
      <c r="F3806" s="164">
        <f>IFERROR(__xludf.DUMMYFUNCTION("""COMPUTED_VALUE"""),555.796666666667)</f>
        <v>555.7966667</v>
      </c>
      <c r="G3806" s="163">
        <f>IFERROR(__xludf.DUMMYFUNCTION("""COMPUTED_VALUE"""),26.0)</f>
        <v>26</v>
      </c>
      <c r="H3806" s="163" t="str">
        <f>IFERROR(__xludf.DUMMYFUNCTION("""COMPUTED_VALUE"""),"SG")</f>
        <v>SG</v>
      </c>
      <c r="I3806" s="163">
        <f>IFERROR(__xludf.DUMMYFUNCTION("""COMPUTED_VALUE"""),25.0)</f>
        <v>25</v>
      </c>
      <c r="J3806" s="165">
        <f>IFERROR(__xludf.DUMMYFUNCTION("""COMPUTED_VALUE"""),-1.30290935379505)</f>
        <v>-1.302909354</v>
      </c>
      <c r="K3806" s="165">
        <f>IFERROR(__xludf.DUMMYFUNCTION("""COMPUTED_VALUE"""),-2.04014468641949)</f>
        <v>-2.040144686</v>
      </c>
      <c r="L3806" s="165">
        <f>IFERROR(__xludf.DUMMYFUNCTION("""COMPUTED_VALUE"""),0.737235332624442)</f>
        <v>0.7372353326</v>
      </c>
      <c r="M3806" s="166">
        <f t="shared" si="2"/>
        <v>0.369784922</v>
      </c>
      <c r="N3806" s="167">
        <f t="shared" si="3"/>
        <v>21.37679487</v>
      </c>
      <c r="O3806" s="163">
        <f t="shared" ref="O3806:Q3806" si="3810">rank(I3806,I:I)</f>
        <v>1995</v>
      </c>
      <c r="P3806" s="163">
        <f t="shared" si="3810"/>
        <v>2863</v>
      </c>
      <c r="Q3806" s="163">
        <f t="shared" si="3810"/>
        <v>3728</v>
      </c>
      <c r="R3806" s="163">
        <f>IFERROR(__xludf.DUMMYFUNCTION("RANK(M3806,filter(M:M,C:C=C3806))"),225.0)</f>
        <v>225</v>
      </c>
      <c r="S3806" s="161" t="b">
        <f t="shared" si="5"/>
        <v>1</v>
      </c>
      <c r="T3806" s="161" t="b">
        <f t="array" ref="T3806">index('Query Tool'!B:B,match(H3806,'Query Tool'!C:C,0))</f>
        <v>1</v>
      </c>
      <c r="U3806" s="161" t="b">
        <f t="array" ref="U3806">index('Query Tool'!B:B,match(C3806,'Query Tool'!C:C,0))</f>
        <v>1</v>
      </c>
      <c r="V3806" s="161" t="b">
        <f>F3806&gt;='Query Tool'!C$32</f>
        <v>1</v>
      </c>
      <c r="W3806" s="161" t="b">
        <f t="array" ref="W3806">index(Dropdowns!B:B,match(I3806,Dropdowns!A:A,0))</f>
        <v>1</v>
      </c>
      <c r="X3806" s="161" t="b">
        <f t="array" ref="X3806">index('Query Tool'!B:B,match(D3806,'Query Tool'!C:C,0))</f>
        <v>1</v>
      </c>
      <c r="Y3806" s="161" t="str">
        <f t="shared" si="6"/>
        <v>brownst02,2020-21</v>
      </c>
      <c r="Z3806" s="168" t="str">
        <f t="array" ref="Z3806">iferror(index(I:I,match($A3806&amp;","&amp;index('Year Conversion'!$A:$A,match($C3806,'Year Conversion'!$B:$B,0)),$Y:$Y,0))-I3806,"")</f>
        <v/>
      </c>
      <c r="AA3806" s="168" t="str">
        <f t="array" ref="AA3806">iferror(index(J:J,match($A3806&amp;","&amp;index('Year Conversion'!$A:$A,match($C3806,'Year Conversion'!$B:$B,0)),$Y:$Y,0))-J3806,"")</f>
        <v/>
      </c>
      <c r="AB3806" s="168" t="str">
        <f t="array" ref="AB3806">iferror(index(K:K,match($A3806&amp;","&amp;index('Year Conversion'!$A:$A,match($C3806,'Year Conversion'!$B:$B,0)),$Y:$Y,0))-K3806,"")</f>
        <v/>
      </c>
      <c r="AC3806" s="168" t="str">
        <f t="shared" si="7"/>
        <v>HOU,2020-21</v>
      </c>
    </row>
    <row r="3807">
      <c r="A3807" s="161" t="str">
        <f>IFERROR(__xludf.DUMMYFUNCTION("""COMPUTED_VALUE"""),"cancavl01")</f>
        <v>cancavl01</v>
      </c>
      <c r="B3807" s="161" t="str">
        <f>IFERROR(__xludf.DUMMYFUNCTION("""COMPUTED_VALUE"""),"Vlatko Cancar")</f>
        <v>Vlatko Cancar</v>
      </c>
      <c r="C3807" s="162" t="str">
        <f>IFERROR(__xludf.DUMMYFUNCTION("""COMPUTED_VALUE"""),"2020-21")</f>
        <v>2020-21</v>
      </c>
      <c r="D3807" s="163" t="str">
        <f>IFERROR(__xludf.DUMMYFUNCTION("""COMPUTED_VALUE"""),"DEN")</f>
        <v>DEN</v>
      </c>
      <c r="E3807" s="164" t="str">
        <f>IFERROR(__xludf.DUMMYFUNCTION("""COMPUTED_VALUE"""),"Stretch Big")</f>
        <v>Stretch Big</v>
      </c>
      <c r="F3807" s="164">
        <f>IFERROR(__xludf.DUMMYFUNCTION("""COMPUTED_VALUE"""),47.6833333333333)</f>
        <v>47.68333333</v>
      </c>
      <c r="G3807" s="163">
        <f>IFERROR(__xludf.DUMMYFUNCTION("""COMPUTED_VALUE"""),15.0)</f>
        <v>15</v>
      </c>
      <c r="H3807" s="163" t="str">
        <f>IFERROR(__xludf.DUMMYFUNCTION("""COMPUTED_VALUE"""),"PF")</f>
        <v>PF</v>
      </c>
      <c r="I3807" s="163">
        <f>IFERROR(__xludf.DUMMYFUNCTION("""COMPUTED_VALUE"""),23.0)</f>
        <v>23</v>
      </c>
      <c r="J3807" s="165">
        <f>IFERROR(__xludf.DUMMYFUNCTION("""COMPUTED_VALUE"""),-1.58801733550341)</f>
        <v>-1.588017336</v>
      </c>
      <c r="K3807" s="165">
        <f>IFERROR(__xludf.DUMMYFUNCTION("""COMPUTED_VALUE"""),-0.939536227232011)</f>
        <v>-0.9395362272</v>
      </c>
      <c r="L3807" s="165">
        <f>IFERROR(__xludf.DUMMYFUNCTION("""COMPUTED_VALUE"""),-0.648481108271398)</f>
        <v>-0.6484811083</v>
      </c>
      <c r="M3807" s="166">
        <f t="shared" si="2"/>
        <v>0.0226389278</v>
      </c>
      <c r="N3807" s="167">
        <f t="shared" si="3"/>
        <v>3.178888889</v>
      </c>
      <c r="O3807" s="163">
        <f t="shared" ref="O3807:Q3807" si="3811">rank(I3807,I:I)</f>
        <v>2765</v>
      </c>
      <c r="P3807" s="163">
        <f t="shared" si="3811"/>
        <v>3134</v>
      </c>
      <c r="Q3807" s="163">
        <f t="shared" si="3811"/>
        <v>2736</v>
      </c>
      <c r="R3807" s="163">
        <f>IFERROR(__xludf.DUMMYFUNCTION("RANK(M3807,filter(M:M,C:C=C3807))"),416.0)</f>
        <v>416</v>
      </c>
      <c r="S3807" s="161" t="b">
        <f t="shared" si="5"/>
        <v>0</v>
      </c>
      <c r="T3807" s="161" t="b">
        <f t="array" ref="T3807">index('Query Tool'!B:B,match(H3807,'Query Tool'!C:C,0))</f>
        <v>1</v>
      </c>
      <c r="U3807" s="161" t="b">
        <f t="array" ref="U3807">index('Query Tool'!B:B,match(C3807,'Query Tool'!C:C,0))</f>
        <v>1</v>
      </c>
      <c r="V3807" s="161" t="b">
        <f>F3807&gt;='Query Tool'!C$32</f>
        <v>0</v>
      </c>
      <c r="W3807" s="161" t="b">
        <f t="array" ref="W3807">index(Dropdowns!B:B,match(I3807,Dropdowns!A:A,0))</f>
        <v>1</v>
      </c>
      <c r="X3807" s="161" t="b">
        <f t="array" ref="X3807">index('Query Tool'!B:B,match(D3807,'Query Tool'!C:C,0))</f>
        <v>1</v>
      </c>
      <c r="Y3807" s="161" t="str">
        <f t="shared" si="6"/>
        <v>cancavl01,2020-21</v>
      </c>
      <c r="Z3807" s="168" t="str">
        <f t="array" ref="Z3807">iferror(index(I:I,match($A3807&amp;","&amp;index('Year Conversion'!$A:$A,match($C3807,'Year Conversion'!$B:$B,0)),$Y:$Y,0))-I3807,"")</f>
        <v/>
      </c>
      <c r="AA3807" s="168" t="str">
        <f t="array" ref="AA3807">iferror(index(J:J,match($A3807&amp;","&amp;index('Year Conversion'!$A:$A,match($C3807,'Year Conversion'!$B:$B,0)),$Y:$Y,0))-J3807,"")</f>
        <v/>
      </c>
      <c r="AB3807" s="168" t="str">
        <f t="array" ref="AB3807">iferror(index(K:K,match($A3807&amp;","&amp;index('Year Conversion'!$A:$A,match($C3807,'Year Conversion'!$B:$B,0)),$Y:$Y,0))-K3807,"")</f>
        <v/>
      </c>
      <c r="AC3807" s="168" t="str">
        <f t="shared" si="7"/>
        <v>DEN,2020-21</v>
      </c>
    </row>
    <row r="3808">
      <c r="A3808" s="161" t="str">
        <f>IFERROR(__xludf.DUMMYFUNCTION("""COMPUTED_VALUE"""),"kornelu01")</f>
        <v>kornelu01</v>
      </c>
      <c r="B3808" s="161" t="str">
        <f>IFERROR(__xludf.DUMMYFUNCTION("""COMPUTED_VALUE"""),"Luke Kornet")</f>
        <v>Luke Kornet</v>
      </c>
      <c r="C3808" s="162" t="str">
        <f>IFERROR(__xludf.DUMMYFUNCTION("""COMPUTED_VALUE"""),"2020-21")</f>
        <v>2020-21</v>
      </c>
      <c r="D3808" s="163" t="str">
        <f>IFERROR(__xludf.DUMMYFUNCTION("""COMPUTED_VALUE"""),"CHI")</f>
        <v>CHI</v>
      </c>
      <c r="E3808" s="164" t="str">
        <f>IFERROR(__xludf.DUMMYFUNCTION("""COMPUTED_VALUE"""),"Stretch Big")</f>
        <v>Stretch Big</v>
      </c>
      <c r="F3808" s="164">
        <f>IFERROR(__xludf.DUMMYFUNCTION("""COMPUTED_VALUE"""),48.2666666666667)</f>
        <v>48.26666667</v>
      </c>
      <c r="G3808" s="163">
        <f>IFERROR(__xludf.DUMMYFUNCTION("""COMPUTED_VALUE"""),7.0)</f>
        <v>7</v>
      </c>
      <c r="H3808" s="163" t="str">
        <f>IFERROR(__xludf.DUMMYFUNCTION("""COMPUTED_VALUE"""),"PF")</f>
        <v>PF</v>
      </c>
      <c r="I3808" s="163">
        <f>IFERROR(__xludf.DUMMYFUNCTION("""COMPUTED_VALUE"""),25.0)</f>
        <v>25</v>
      </c>
      <c r="J3808" s="165">
        <f>IFERROR(__xludf.DUMMYFUNCTION("""COMPUTED_VALUE"""),-0.161237209716423)</f>
        <v>-0.1612372097</v>
      </c>
      <c r="K3808" s="165">
        <f>IFERROR(__xludf.DUMMYFUNCTION("""COMPUTED_VALUE"""),-0.416345082259159)</f>
        <v>-0.4163450823</v>
      </c>
      <c r="L3808" s="165">
        <f>IFERROR(__xludf.DUMMYFUNCTION("""COMPUTED_VALUE"""),0.255107872542736)</f>
        <v>0.2551078725</v>
      </c>
      <c r="M3808" s="166">
        <f t="shared" si="2"/>
        <v>0.06916449747</v>
      </c>
      <c r="N3808" s="167">
        <f t="shared" si="3"/>
        <v>6.895238095</v>
      </c>
      <c r="O3808" s="163">
        <f t="shared" ref="O3808:Q3808" si="3812">rank(I3808,I:I)</f>
        <v>1995</v>
      </c>
      <c r="P3808" s="163">
        <f t="shared" si="3812"/>
        <v>1455</v>
      </c>
      <c r="Q3808" s="163">
        <f t="shared" si="3812"/>
        <v>1972</v>
      </c>
      <c r="R3808" s="163">
        <f>IFERROR(__xludf.DUMMYFUNCTION("RANK(M3808,filter(M:M,C:C=C3808))"),358.0)</f>
        <v>358</v>
      </c>
      <c r="S3808" s="161" t="b">
        <f t="shared" si="5"/>
        <v>0</v>
      </c>
      <c r="T3808" s="161" t="b">
        <f t="array" ref="T3808">index('Query Tool'!B:B,match(H3808,'Query Tool'!C:C,0))</f>
        <v>1</v>
      </c>
      <c r="U3808" s="161" t="b">
        <f t="array" ref="U3808">index('Query Tool'!B:B,match(C3808,'Query Tool'!C:C,0))</f>
        <v>1</v>
      </c>
      <c r="V3808" s="161" t="b">
        <f>F3808&gt;='Query Tool'!C$32</f>
        <v>0</v>
      </c>
      <c r="W3808" s="161" t="b">
        <f t="array" ref="W3808">index(Dropdowns!B:B,match(I3808,Dropdowns!A:A,0))</f>
        <v>1</v>
      </c>
      <c r="X3808" s="161" t="b">
        <f t="array" ref="X3808">index('Query Tool'!B:B,match(D3808,'Query Tool'!C:C,0))</f>
        <v>1</v>
      </c>
      <c r="Y3808" s="161" t="str">
        <f t="shared" si="6"/>
        <v>kornelu01,2020-21</v>
      </c>
      <c r="Z3808" s="168" t="str">
        <f t="array" ref="Z3808">iferror(index(I:I,match($A3808&amp;","&amp;index('Year Conversion'!$A:$A,match($C3808,'Year Conversion'!$B:$B,0)),$Y:$Y,0))-I3808,"")</f>
        <v/>
      </c>
      <c r="AA3808" s="168" t="str">
        <f t="array" ref="AA3808">iferror(index(J:J,match($A3808&amp;","&amp;index('Year Conversion'!$A:$A,match($C3808,'Year Conversion'!$B:$B,0)),$Y:$Y,0))-J3808,"")</f>
        <v/>
      </c>
      <c r="AB3808" s="168" t="str">
        <f t="array" ref="AB3808">iferror(index(K:K,match($A3808&amp;","&amp;index('Year Conversion'!$A:$A,match($C3808,'Year Conversion'!$B:$B,0)),$Y:$Y,0))-K3808,"")</f>
        <v/>
      </c>
      <c r="AC3808" s="168" t="str">
        <f t="shared" si="7"/>
        <v>CHI,2020-21</v>
      </c>
    </row>
    <row r="3809">
      <c r="A3809" s="161" t="str">
        <f>IFERROR(__xludf.DUMMYFUNCTION("""COMPUTED_VALUE"""),"bouchch01")</f>
        <v>bouchch01</v>
      </c>
      <c r="B3809" s="161" t="str">
        <f>IFERROR(__xludf.DUMMYFUNCTION("""COMPUTED_VALUE"""),"Chris Boucher")</f>
        <v>Chris Boucher</v>
      </c>
      <c r="C3809" s="162" t="str">
        <f>IFERROR(__xludf.DUMMYFUNCTION("""COMPUTED_VALUE"""),"2020-21")</f>
        <v>2020-21</v>
      </c>
      <c r="D3809" s="163" t="str">
        <f>IFERROR(__xludf.DUMMYFUNCTION("""COMPUTED_VALUE"""),"TOR")</f>
        <v>TOR</v>
      </c>
      <c r="E3809" s="164" t="str">
        <f>IFERROR(__xludf.DUMMYFUNCTION("""COMPUTED_VALUE"""),"Stretch Big")</f>
        <v>Stretch Big</v>
      </c>
      <c r="F3809" s="164">
        <f>IFERROR(__xludf.DUMMYFUNCTION("""COMPUTED_VALUE"""),722.973333333333)</f>
        <v>722.9733333</v>
      </c>
      <c r="G3809" s="163">
        <f>IFERROR(__xludf.DUMMYFUNCTION("""COMPUTED_VALUE"""),31.0)</f>
        <v>31</v>
      </c>
      <c r="H3809" s="163" t="str">
        <f>IFERROR(__xludf.DUMMYFUNCTION("""COMPUTED_VALUE"""),"C")</f>
        <v>C</v>
      </c>
      <c r="I3809" s="163">
        <f>IFERROR(__xludf.DUMMYFUNCTION("""COMPUTED_VALUE"""),28.0)</f>
        <v>28</v>
      </c>
      <c r="J3809" s="165">
        <f>IFERROR(__xludf.DUMMYFUNCTION("""COMPUTED_VALUE"""),2.33421780760754)</f>
        <v>2.334217808</v>
      </c>
      <c r="K3809" s="165">
        <f>IFERROR(__xludf.DUMMYFUNCTION("""COMPUTED_VALUE"""),0.7244782401198)</f>
        <v>0.7244782401</v>
      </c>
      <c r="L3809" s="165">
        <f>IFERROR(__xludf.DUMMYFUNCTION("""COMPUTED_VALUE"""),1.60973956748774)</f>
        <v>1.609739567</v>
      </c>
      <c r="M3809" s="166">
        <f t="shared" si="2"/>
        <v>2.243796928</v>
      </c>
      <c r="N3809" s="167">
        <f t="shared" si="3"/>
        <v>23.32172043</v>
      </c>
      <c r="O3809" s="163">
        <f t="shared" ref="O3809:Q3809" si="3813">rank(I3809,I:I)</f>
        <v>1090</v>
      </c>
      <c r="P3809" s="163">
        <f t="shared" si="3813"/>
        <v>252</v>
      </c>
      <c r="Q3809" s="163">
        <f t="shared" si="3813"/>
        <v>635</v>
      </c>
      <c r="R3809" s="163">
        <f>IFERROR(__xludf.DUMMYFUNCTION("RANK(M3809,filter(M:M,C:C=C3809))"),40.0)</f>
        <v>40</v>
      </c>
      <c r="S3809" s="161" t="b">
        <f t="shared" si="5"/>
        <v>1</v>
      </c>
      <c r="T3809" s="161" t="b">
        <f t="array" ref="T3809">index('Query Tool'!B:B,match(H3809,'Query Tool'!C:C,0))</f>
        <v>1</v>
      </c>
      <c r="U3809" s="161" t="b">
        <f t="array" ref="U3809">index('Query Tool'!B:B,match(C3809,'Query Tool'!C:C,0))</f>
        <v>1</v>
      </c>
      <c r="V3809" s="161" t="b">
        <f>F3809&gt;='Query Tool'!C$32</f>
        <v>1</v>
      </c>
      <c r="W3809" s="161" t="b">
        <f t="array" ref="W3809">index(Dropdowns!B:B,match(I3809,Dropdowns!A:A,0))</f>
        <v>1</v>
      </c>
      <c r="X3809" s="161" t="b">
        <f t="array" ref="X3809">index('Query Tool'!B:B,match(D3809,'Query Tool'!C:C,0))</f>
        <v>1</v>
      </c>
      <c r="Y3809" s="161" t="str">
        <f t="shared" si="6"/>
        <v>bouchch01,2020-21</v>
      </c>
      <c r="Z3809" s="168" t="str">
        <f t="array" ref="Z3809">iferror(index(I:I,match($A3809&amp;","&amp;index('Year Conversion'!$A:$A,match($C3809,'Year Conversion'!$B:$B,0)),$Y:$Y,0))-I3809,"")</f>
        <v/>
      </c>
      <c r="AA3809" s="168" t="str">
        <f t="array" ref="AA3809">iferror(index(J:J,match($A3809&amp;","&amp;index('Year Conversion'!$A:$A,match($C3809,'Year Conversion'!$B:$B,0)),$Y:$Y,0))-J3809,"")</f>
        <v/>
      </c>
      <c r="AB3809" s="168" t="str">
        <f t="array" ref="AB3809">iferror(index(K:K,match($A3809&amp;","&amp;index('Year Conversion'!$A:$A,match($C3809,'Year Conversion'!$B:$B,0)),$Y:$Y,0))-K3809,"")</f>
        <v/>
      </c>
      <c r="AC3809" s="168" t="str">
        <f t="shared" si="7"/>
        <v>TOR,2020-21</v>
      </c>
    </row>
    <row r="3810">
      <c r="A3810" s="161" t="str">
        <f>IFERROR(__xludf.DUMMYFUNCTION("""COMPUTED_VALUE"""),"theisda01")</f>
        <v>theisda01</v>
      </c>
      <c r="B3810" s="161" t="str">
        <f>IFERROR(__xludf.DUMMYFUNCTION("""COMPUTED_VALUE"""),"Daniel Theis")</f>
        <v>Daniel Theis</v>
      </c>
      <c r="C3810" s="162" t="str">
        <f>IFERROR(__xludf.DUMMYFUNCTION("""COMPUTED_VALUE"""),"2020-21")</f>
        <v>2020-21</v>
      </c>
      <c r="D3810" s="163" t="str">
        <f>IFERROR(__xludf.DUMMYFUNCTION("""COMPUTED_VALUE"""),"BOS")</f>
        <v>BOS</v>
      </c>
      <c r="E3810" s="164" t="str">
        <f>IFERROR(__xludf.DUMMYFUNCTION("""COMPUTED_VALUE"""),"Stretch Big")</f>
        <v>Stretch Big</v>
      </c>
      <c r="F3810" s="164">
        <f>IFERROR(__xludf.DUMMYFUNCTION("""COMPUTED_VALUE"""),694.393333333333)</f>
        <v>694.3933333</v>
      </c>
      <c r="G3810" s="163">
        <f>IFERROR(__xludf.DUMMYFUNCTION("""COMPUTED_VALUE"""),28.0)</f>
        <v>28</v>
      </c>
      <c r="H3810" s="163" t="str">
        <f>IFERROR(__xludf.DUMMYFUNCTION("""COMPUTED_VALUE"""),"C")</f>
        <v>C</v>
      </c>
      <c r="I3810" s="163">
        <f>IFERROR(__xludf.DUMMYFUNCTION("""COMPUTED_VALUE"""),28.0)</f>
        <v>28</v>
      </c>
      <c r="J3810" s="165">
        <f>IFERROR(__xludf.DUMMYFUNCTION("""COMPUTED_VALUE"""),0.73036856269482)</f>
        <v>0.7303685627</v>
      </c>
      <c r="K3810" s="165">
        <f>IFERROR(__xludf.DUMMYFUNCTION("""COMPUTED_VALUE"""),-0.651086929118766)</f>
        <v>-0.6510869291</v>
      </c>
      <c r="L3810" s="165">
        <f>IFERROR(__xludf.DUMMYFUNCTION("""COMPUTED_VALUE"""),1.38145549181359)</f>
        <v>1.381455492</v>
      </c>
      <c r="M3810" s="166">
        <f t="shared" si="2"/>
        <v>1.412194071</v>
      </c>
      <c r="N3810" s="167">
        <f t="shared" si="3"/>
        <v>24.7997619</v>
      </c>
      <c r="O3810" s="163">
        <f t="shared" ref="O3810:Q3810" si="3814">rank(I3810,I:I)</f>
        <v>1090</v>
      </c>
      <c r="P3810" s="163">
        <f t="shared" si="3814"/>
        <v>773</v>
      </c>
      <c r="Q3810" s="163">
        <f t="shared" si="3814"/>
        <v>2334</v>
      </c>
      <c r="R3810" s="163">
        <f>IFERROR(__xludf.DUMMYFUNCTION("RANK(M3810,filter(M:M,C:C=C3810))"),88.0)</f>
        <v>88</v>
      </c>
      <c r="S3810" s="161" t="b">
        <f t="shared" si="5"/>
        <v>1</v>
      </c>
      <c r="T3810" s="161" t="b">
        <f t="array" ref="T3810">index('Query Tool'!B:B,match(H3810,'Query Tool'!C:C,0))</f>
        <v>1</v>
      </c>
      <c r="U3810" s="161" t="b">
        <f t="array" ref="U3810">index('Query Tool'!B:B,match(C3810,'Query Tool'!C:C,0))</f>
        <v>1</v>
      </c>
      <c r="V3810" s="161" t="b">
        <f>F3810&gt;='Query Tool'!C$32</f>
        <v>1</v>
      </c>
      <c r="W3810" s="161" t="b">
        <f t="array" ref="W3810">index(Dropdowns!B:B,match(I3810,Dropdowns!A:A,0))</f>
        <v>1</v>
      </c>
      <c r="X3810" s="161" t="b">
        <f t="array" ref="X3810">index('Query Tool'!B:B,match(D3810,'Query Tool'!C:C,0))</f>
        <v>1</v>
      </c>
      <c r="Y3810" s="161" t="str">
        <f t="shared" si="6"/>
        <v>theisda01,2020-21</v>
      </c>
      <c r="Z3810" s="168" t="str">
        <f t="array" ref="Z3810">iferror(index(I:I,match($A3810&amp;","&amp;index('Year Conversion'!$A:$A,match($C3810,'Year Conversion'!$B:$B,0)),$Y:$Y,0))-I3810,"")</f>
        <v/>
      </c>
      <c r="AA3810" s="168" t="str">
        <f t="array" ref="AA3810">iferror(index(J:J,match($A3810&amp;","&amp;index('Year Conversion'!$A:$A,match($C3810,'Year Conversion'!$B:$B,0)),$Y:$Y,0))-J3810,"")</f>
        <v/>
      </c>
      <c r="AB3810" s="168" t="str">
        <f t="array" ref="AB3810">iferror(index(K:K,match($A3810&amp;","&amp;index('Year Conversion'!$A:$A,match($C3810,'Year Conversion'!$B:$B,0)),$Y:$Y,0))-K3810,"")</f>
        <v/>
      </c>
      <c r="AC3810" s="168" t="str">
        <f t="shared" si="7"/>
        <v>BOS,2020-21</v>
      </c>
    </row>
    <row r="3811">
      <c r="A3811" s="161" t="str">
        <f>IFERROR(__xludf.DUMMYFUNCTION("""COMPUTED_VALUE"""),"klebima01")</f>
        <v>klebima01</v>
      </c>
      <c r="B3811" s="161" t="str">
        <f>IFERROR(__xludf.DUMMYFUNCTION("""COMPUTED_VALUE"""),"Maxi Kleber")</f>
        <v>Maxi Kleber</v>
      </c>
      <c r="C3811" s="162" t="str">
        <f>IFERROR(__xludf.DUMMYFUNCTION("""COMPUTED_VALUE"""),"2020-21")</f>
        <v>2020-21</v>
      </c>
      <c r="D3811" s="163" t="str">
        <f>IFERROR(__xludf.DUMMYFUNCTION("""COMPUTED_VALUE"""),"DAL")</f>
        <v>DAL</v>
      </c>
      <c r="E3811" s="164" t="str">
        <f>IFERROR(__xludf.DUMMYFUNCTION("""COMPUTED_VALUE"""),"Stretch Big")</f>
        <v>Stretch Big</v>
      </c>
      <c r="F3811" s="164">
        <f>IFERROR(__xludf.DUMMYFUNCTION("""COMPUTED_VALUE"""),434.871666666667)</f>
        <v>434.8716667</v>
      </c>
      <c r="G3811" s="163">
        <f>IFERROR(__xludf.DUMMYFUNCTION("""COMPUTED_VALUE"""),17.0)</f>
        <v>17</v>
      </c>
      <c r="H3811" s="163" t="str">
        <f>IFERROR(__xludf.DUMMYFUNCTION("""COMPUTED_VALUE"""),"PF")</f>
        <v>PF</v>
      </c>
      <c r="I3811" s="163">
        <f>IFERROR(__xludf.DUMMYFUNCTION("""COMPUTED_VALUE"""),29.0)</f>
        <v>29</v>
      </c>
      <c r="J3811" s="165">
        <f>IFERROR(__xludf.DUMMYFUNCTION("""COMPUTED_VALUE"""),-0.623929472457529)</f>
        <v>-0.6239294725</v>
      </c>
      <c r="K3811" s="165">
        <f>IFERROR(__xludf.DUMMYFUNCTION("""COMPUTED_VALUE"""),-1.57619322854658)</f>
        <v>-1.576193229</v>
      </c>
      <c r="L3811" s="165">
        <f>IFERROR(__xludf.DUMMYFUNCTION("""COMPUTED_VALUE"""),0.95226375608905)</f>
        <v>0.9522637561</v>
      </c>
      <c r="M3811" s="166">
        <f t="shared" si="2"/>
        <v>0.4875985976</v>
      </c>
      <c r="N3811" s="167">
        <f t="shared" si="3"/>
        <v>25.58068627</v>
      </c>
      <c r="O3811" s="163">
        <f t="shared" ref="O3811:Q3811" si="3815">rank(I3811,I:I)</f>
        <v>855</v>
      </c>
      <c r="P3811" s="163">
        <f t="shared" si="3815"/>
        <v>2027</v>
      </c>
      <c r="Q3811" s="163">
        <f t="shared" si="3815"/>
        <v>3431</v>
      </c>
      <c r="R3811" s="163">
        <f>IFERROR(__xludf.DUMMYFUNCTION("RANK(M3811,filter(M:M,C:C=C3811))"),195.0)</f>
        <v>195</v>
      </c>
      <c r="S3811" s="161" t="b">
        <f t="shared" si="5"/>
        <v>0</v>
      </c>
      <c r="T3811" s="161" t="b">
        <f t="array" ref="T3811">index('Query Tool'!B:B,match(H3811,'Query Tool'!C:C,0))</f>
        <v>1</v>
      </c>
      <c r="U3811" s="161" t="b">
        <f t="array" ref="U3811">index('Query Tool'!B:B,match(C3811,'Query Tool'!C:C,0))</f>
        <v>1</v>
      </c>
      <c r="V3811" s="161" t="b">
        <f>F3811&gt;='Query Tool'!C$32</f>
        <v>0</v>
      </c>
      <c r="W3811" s="161" t="b">
        <f t="array" ref="W3811">index(Dropdowns!B:B,match(I3811,Dropdowns!A:A,0))</f>
        <v>1</v>
      </c>
      <c r="X3811" s="161" t="b">
        <f t="array" ref="X3811">index('Query Tool'!B:B,match(D3811,'Query Tool'!C:C,0))</f>
        <v>1</v>
      </c>
      <c r="Y3811" s="161" t="str">
        <f t="shared" si="6"/>
        <v>klebima01,2020-21</v>
      </c>
      <c r="Z3811" s="168" t="str">
        <f t="array" ref="Z3811">iferror(index(I:I,match($A3811&amp;","&amp;index('Year Conversion'!$A:$A,match($C3811,'Year Conversion'!$B:$B,0)),$Y:$Y,0))-I3811,"")</f>
        <v/>
      </c>
      <c r="AA3811" s="168" t="str">
        <f t="array" ref="AA3811">iferror(index(J:J,match($A3811&amp;","&amp;index('Year Conversion'!$A:$A,match($C3811,'Year Conversion'!$B:$B,0)),$Y:$Y,0))-J3811,"")</f>
        <v/>
      </c>
      <c r="AB3811" s="168" t="str">
        <f t="array" ref="AB3811">iferror(index(K:K,match($A3811&amp;","&amp;index('Year Conversion'!$A:$A,match($C3811,'Year Conversion'!$B:$B,0)),$Y:$Y,0))-K3811,"")</f>
        <v/>
      </c>
      <c r="AC3811" s="168" t="str">
        <f t="shared" si="7"/>
        <v>DAL,2020-21</v>
      </c>
    </row>
    <row r="3812">
      <c r="A3812" s="161" t="str">
        <f>IFERROR(__xludf.DUMMYFUNCTION("""COMPUTED_VALUE"""),"craigto01")</f>
        <v>craigto01</v>
      </c>
      <c r="B3812" s="161" t="str">
        <f>IFERROR(__xludf.DUMMYFUNCTION("""COMPUTED_VALUE"""),"Torrey Craig")</f>
        <v>Torrey Craig</v>
      </c>
      <c r="C3812" s="162" t="str">
        <f>IFERROR(__xludf.DUMMYFUNCTION("""COMPUTED_VALUE"""),"2020-21")</f>
        <v>2020-21</v>
      </c>
      <c r="D3812" s="163" t="str">
        <f>IFERROR(__xludf.DUMMYFUNCTION("""COMPUTED_VALUE"""),"MIL")</f>
        <v>MIL</v>
      </c>
      <c r="E3812" s="164" t="str">
        <f>IFERROR(__xludf.DUMMYFUNCTION("""COMPUTED_VALUE"""),"Stretch Big")</f>
        <v>Stretch Big</v>
      </c>
      <c r="F3812" s="164">
        <f>IFERROR(__xludf.DUMMYFUNCTION("""COMPUTED_VALUE"""),182.35)</f>
        <v>182.35</v>
      </c>
      <c r="G3812" s="163">
        <f>IFERROR(__xludf.DUMMYFUNCTION("""COMPUTED_VALUE"""),16.0)</f>
        <v>16</v>
      </c>
      <c r="H3812" s="163" t="str">
        <f>IFERROR(__xludf.DUMMYFUNCTION("""COMPUTED_VALUE"""),"SF")</f>
        <v>SF</v>
      </c>
      <c r="I3812" s="163">
        <f>IFERROR(__xludf.DUMMYFUNCTION("""COMPUTED_VALUE"""),30.0)</f>
        <v>30</v>
      </c>
      <c r="J3812" s="165">
        <f>IFERROR(__xludf.DUMMYFUNCTION("""COMPUTED_VALUE"""),-1.99975078856354)</f>
        <v>-1.999750789</v>
      </c>
      <c r="K3812" s="165">
        <f>IFERROR(__xludf.DUMMYFUNCTION("""COMPUTED_VALUE"""),-1.81375997141699)</f>
        <v>-1.813759971</v>
      </c>
      <c r="L3812" s="165">
        <f>IFERROR(__xludf.DUMMYFUNCTION("""COMPUTED_VALUE"""),-0.185990817146556)</f>
        <v>-0.1859908171</v>
      </c>
      <c r="M3812" s="166">
        <f t="shared" si="2"/>
        <v>0.03663326497</v>
      </c>
      <c r="N3812" s="167">
        <f t="shared" si="3"/>
        <v>11.396875</v>
      </c>
      <c r="O3812" s="163">
        <f t="shared" ref="O3812:Q3812" si="3816">rank(I3812,I:I)</f>
        <v>655</v>
      </c>
      <c r="P3812" s="163">
        <f t="shared" si="3816"/>
        <v>3479</v>
      </c>
      <c r="Q3812" s="163">
        <f t="shared" si="3816"/>
        <v>3581</v>
      </c>
      <c r="R3812" s="163">
        <f>IFERROR(__xludf.DUMMYFUNCTION("RANK(M3812,filter(M:M,C:C=C3812))"),396.0)</f>
        <v>396</v>
      </c>
      <c r="S3812" s="161" t="b">
        <f t="shared" si="5"/>
        <v>0</v>
      </c>
      <c r="T3812" s="161" t="b">
        <f t="array" ref="T3812">index('Query Tool'!B:B,match(H3812,'Query Tool'!C:C,0))</f>
        <v>1</v>
      </c>
      <c r="U3812" s="161" t="b">
        <f t="array" ref="U3812">index('Query Tool'!B:B,match(C3812,'Query Tool'!C:C,0))</f>
        <v>1</v>
      </c>
      <c r="V3812" s="161" t="b">
        <f>F3812&gt;='Query Tool'!C$32</f>
        <v>0</v>
      </c>
      <c r="W3812" s="161" t="b">
        <f t="array" ref="W3812">index(Dropdowns!B:B,match(I3812,Dropdowns!A:A,0))</f>
        <v>1</v>
      </c>
      <c r="X3812" s="161" t="b">
        <f t="array" ref="X3812">index('Query Tool'!B:B,match(D3812,'Query Tool'!C:C,0))</f>
        <v>1</v>
      </c>
      <c r="Y3812" s="161" t="str">
        <f t="shared" si="6"/>
        <v>craigto01,2020-21</v>
      </c>
      <c r="Z3812" s="168" t="str">
        <f t="array" ref="Z3812">iferror(index(I:I,match($A3812&amp;","&amp;index('Year Conversion'!$A:$A,match($C3812,'Year Conversion'!$B:$B,0)),$Y:$Y,0))-I3812,"")</f>
        <v/>
      </c>
      <c r="AA3812" s="168" t="str">
        <f t="array" ref="AA3812">iferror(index(J:J,match($A3812&amp;","&amp;index('Year Conversion'!$A:$A,match($C3812,'Year Conversion'!$B:$B,0)),$Y:$Y,0))-J3812,"")</f>
        <v/>
      </c>
      <c r="AB3812" s="168" t="str">
        <f t="array" ref="AB3812">iferror(index(K:K,match($A3812&amp;","&amp;index('Year Conversion'!$A:$A,match($C3812,'Year Conversion'!$B:$B,0)),$Y:$Y,0))-K3812,"")</f>
        <v/>
      </c>
      <c r="AC3812" s="168" t="str">
        <f t="shared" si="7"/>
        <v>MIL,2020-21</v>
      </c>
    </row>
    <row r="3813">
      <c r="A3813" s="161" t="str">
        <f>IFERROR(__xludf.DUMMYFUNCTION("""COMPUTED_VALUE"""),"muldemy01")</f>
        <v>muldemy01</v>
      </c>
      <c r="B3813" s="161" t="str">
        <f>IFERROR(__xludf.DUMMYFUNCTION("""COMPUTED_VALUE"""),"Mychal Mulder")</f>
        <v>Mychal Mulder</v>
      </c>
      <c r="C3813" s="162" t="str">
        <f>IFERROR(__xludf.DUMMYFUNCTION("""COMPUTED_VALUE"""),"2020-21")</f>
        <v>2020-21</v>
      </c>
      <c r="D3813" s="163" t="str">
        <f>IFERROR(__xludf.DUMMYFUNCTION("""COMPUTED_VALUE"""),"GSW")</f>
        <v>GSW</v>
      </c>
      <c r="E3813" s="164" t="str">
        <f>IFERROR(__xludf.DUMMYFUNCTION("""COMPUTED_VALUE"""),"Movement Shooter")</f>
        <v>Movement Shooter</v>
      </c>
      <c r="F3813" s="164">
        <f>IFERROR(__xludf.DUMMYFUNCTION("""COMPUTED_VALUE"""),333.048333333333)</f>
        <v>333.0483333</v>
      </c>
      <c r="G3813" s="163">
        <f>IFERROR(__xludf.DUMMYFUNCTION("""COMPUTED_VALUE"""),30.0)</f>
        <v>30</v>
      </c>
      <c r="H3813" s="163" t="str">
        <f>IFERROR(__xludf.DUMMYFUNCTION("""COMPUTED_VALUE"""),"PG")</f>
        <v>PG</v>
      </c>
      <c r="I3813" s="163">
        <f>IFERROR(__xludf.DUMMYFUNCTION("""COMPUTED_VALUE"""),26.0)</f>
        <v>26</v>
      </c>
      <c r="J3813" s="165">
        <f>IFERROR(__xludf.DUMMYFUNCTION("""COMPUTED_VALUE"""),-1.06094444360756)</f>
        <v>-1.060944444</v>
      </c>
      <c r="K3813" s="165">
        <f>IFERROR(__xludf.DUMMYFUNCTION("""COMPUTED_VALUE"""),-0.799326759020059)</f>
        <v>-0.799326759</v>
      </c>
      <c r="L3813" s="165">
        <f>IFERROR(__xludf.DUMMYFUNCTION("""COMPUTED_VALUE"""),-0.261617684587497)</f>
        <v>-0.2616176846</v>
      </c>
      <c r="M3813" s="166">
        <f t="shared" si="2"/>
        <v>0.275599192</v>
      </c>
      <c r="N3813" s="167">
        <f t="shared" si="3"/>
        <v>11.10161111</v>
      </c>
      <c r="O3813" s="163">
        <f t="shared" ref="O3813:Q3813" si="3817">rank(I3813,I:I)</f>
        <v>1665</v>
      </c>
      <c r="P3813" s="163">
        <f t="shared" si="3817"/>
        <v>2565</v>
      </c>
      <c r="Q3813" s="163">
        <f t="shared" si="3817"/>
        <v>2556</v>
      </c>
      <c r="R3813" s="163">
        <f>IFERROR(__xludf.DUMMYFUNCTION("RANK(M3813,filter(M:M,C:C=C3813))"),253.0)</f>
        <v>253</v>
      </c>
      <c r="S3813" s="161" t="b">
        <f t="shared" si="5"/>
        <v>0</v>
      </c>
      <c r="T3813" s="161" t="b">
        <f t="array" ref="T3813">index('Query Tool'!B:B,match(H3813,'Query Tool'!C:C,0))</f>
        <v>1</v>
      </c>
      <c r="U3813" s="161" t="b">
        <f t="array" ref="U3813">index('Query Tool'!B:B,match(C3813,'Query Tool'!C:C,0))</f>
        <v>1</v>
      </c>
      <c r="V3813" s="161" t="b">
        <f>F3813&gt;='Query Tool'!C$32</f>
        <v>0</v>
      </c>
      <c r="W3813" s="161" t="b">
        <f t="array" ref="W3813">index(Dropdowns!B:B,match(I3813,Dropdowns!A:A,0))</f>
        <v>1</v>
      </c>
      <c r="X3813" s="161" t="b">
        <f t="array" ref="X3813">index('Query Tool'!B:B,match(D3813,'Query Tool'!C:C,0))</f>
        <v>1</v>
      </c>
      <c r="Y3813" s="161" t="str">
        <f t="shared" si="6"/>
        <v>muldemy01,2020-21</v>
      </c>
      <c r="Z3813" s="168" t="str">
        <f t="array" ref="Z3813">iferror(index(I:I,match($A3813&amp;","&amp;index('Year Conversion'!$A:$A,match($C3813,'Year Conversion'!$B:$B,0)),$Y:$Y,0))-I3813,"")</f>
        <v/>
      </c>
      <c r="AA3813" s="168" t="str">
        <f t="array" ref="AA3813">iferror(index(J:J,match($A3813&amp;","&amp;index('Year Conversion'!$A:$A,match($C3813,'Year Conversion'!$B:$B,0)),$Y:$Y,0))-J3813,"")</f>
        <v/>
      </c>
      <c r="AB3813" s="168" t="str">
        <f t="array" ref="AB3813">iferror(index(K:K,match($A3813&amp;","&amp;index('Year Conversion'!$A:$A,match($C3813,'Year Conversion'!$B:$B,0)),$Y:$Y,0))-K3813,"")</f>
        <v/>
      </c>
      <c r="AC3813" s="168" t="str">
        <f t="shared" si="7"/>
        <v>GSW,2020-21</v>
      </c>
    </row>
    <row r="3814">
      <c r="A3814" s="161" t="str">
        <f>IFERROR(__xludf.DUMMYFUNCTION("""COMPUTED_VALUE"""),"watsopa01")</f>
        <v>watsopa01</v>
      </c>
      <c r="B3814" s="161" t="str">
        <f>IFERROR(__xludf.DUMMYFUNCTION("""COMPUTED_VALUE"""),"Paul Watson")</f>
        <v>Paul Watson</v>
      </c>
      <c r="C3814" s="162" t="str">
        <f>IFERROR(__xludf.DUMMYFUNCTION("""COMPUTED_VALUE"""),"2020-21")</f>
        <v>2020-21</v>
      </c>
      <c r="D3814" s="163" t="str">
        <f>IFERROR(__xludf.DUMMYFUNCTION("""COMPUTED_VALUE"""),"TOR")</f>
        <v>TOR</v>
      </c>
      <c r="E3814" s="164" t="str">
        <f>IFERROR(__xludf.DUMMYFUNCTION("""COMPUTED_VALUE"""),"Movement Shooter")</f>
        <v>Movement Shooter</v>
      </c>
      <c r="F3814" s="164">
        <f>IFERROR(__xludf.DUMMYFUNCTION("""COMPUTED_VALUE"""),43.14)</f>
        <v>43.14</v>
      </c>
      <c r="G3814" s="163">
        <f>IFERROR(__xludf.DUMMYFUNCTION("""COMPUTED_VALUE"""),14.0)</f>
        <v>14</v>
      </c>
      <c r="H3814" s="163" t="str">
        <f>IFERROR(__xludf.DUMMYFUNCTION("""COMPUTED_VALUE"""),"SF")</f>
        <v>SF</v>
      </c>
      <c r="I3814" s="163">
        <f>IFERROR(__xludf.DUMMYFUNCTION("""COMPUTED_VALUE"""),26.0)</f>
        <v>26</v>
      </c>
      <c r="J3814" s="165">
        <f>IFERROR(__xludf.DUMMYFUNCTION("""COMPUTED_VALUE"""),-1.60106428655146)</f>
        <v>-1.601064287</v>
      </c>
      <c r="K3814" s="165">
        <f>IFERROR(__xludf.DUMMYFUNCTION("""COMPUTED_VALUE"""),-0.665618174952848)</f>
        <v>-0.665618175</v>
      </c>
      <c r="L3814" s="165">
        <f>IFERROR(__xludf.DUMMYFUNCTION("""COMPUTED_VALUE"""),-0.935446111598615)</f>
        <v>-0.9354461116</v>
      </c>
      <c r="M3814" s="166">
        <f t="shared" si="2"/>
        <v>0.0201063878</v>
      </c>
      <c r="N3814" s="167">
        <f t="shared" si="3"/>
        <v>3.081428571</v>
      </c>
      <c r="O3814" s="163">
        <f t="shared" ref="O3814:Q3814" si="3818">rank(I3814,I:I)</f>
        <v>1665</v>
      </c>
      <c r="P3814" s="163">
        <f t="shared" si="3818"/>
        <v>3144</v>
      </c>
      <c r="Q3814" s="163">
        <f t="shared" si="3818"/>
        <v>2365</v>
      </c>
      <c r="R3814" s="163">
        <f>IFERROR(__xludf.DUMMYFUNCTION("RANK(M3814,filter(M:M,C:C=C3814))"),418.0)</f>
        <v>418</v>
      </c>
      <c r="S3814" s="161" t="b">
        <f t="shared" si="5"/>
        <v>0</v>
      </c>
      <c r="T3814" s="161" t="b">
        <f t="array" ref="T3814">index('Query Tool'!B:B,match(H3814,'Query Tool'!C:C,0))</f>
        <v>1</v>
      </c>
      <c r="U3814" s="161" t="b">
        <f t="array" ref="U3814">index('Query Tool'!B:B,match(C3814,'Query Tool'!C:C,0))</f>
        <v>1</v>
      </c>
      <c r="V3814" s="161" t="b">
        <f>F3814&gt;='Query Tool'!C$32</f>
        <v>0</v>
      </c>
      <c r="W3814" s="161" t="b">
        <f t="array" ref="W3814">index(Dropdowns!B:B,match(I3814,Dropdowns!A:A,0))</f>
        <v>1</v>
      </c>
      <c r="X3814" s="161" t="b">
        <f t="array" ref="X3814">index('Query Tool'!B:B,match(D3814,'Query Tool'!C:C,0))</f>
        <v>1</v>
      </c>
      <c r="Y3814" s="161" t="str">
        <f t="shared" si="6"/>
        <v>watsopa01,2020-21</v>
      </c>
      <c r="Z3814" s="168" t="str">
        <f t="array" ref="Z3814">iferror(index(I:I,match($A3814&amp;","&amp;index('Year Conversion'!$A:$A,match($C3814,'Year Conversion'!$B:$B,0)),$Y:$Y,0))-I3814,"")</f>
        <v/>
      </c>
      <c r="AA3814" s="168" t="str">
        <f t="array" ref="AA3814">iferror(index(J:J,match($A3814&amp;","&amp;index('Year Conversion'!$A:$A,match($C3814,'Year Conversion'!$B:$B,0)),$Y:$Y,0))-J3814,"")</f>
        <v/>
      </c>
      <c r="AB3814" s="168" t="str">
        <f t="array" ref="AB3814">iferror(index(K:K,match($A3814&amp;","&amp;index('Year Conversion'!$A:$A,match($C3814,'Year Conversion'!$B:$B,0)),$Y:$Y,0))-K3814,"")</f>
        <v/>
      </c>
      <c r="AC3814" s="168" t="str">
        <f t="shared" si="7"/>
        <v>TOR,2020-21</v>
      </c>
    </row>
    <row r="3815">
      <c r="A3815" s="161" t="str">
        <f>IFERROR(__xludf.DUMMYFUNCTION("""COMPUTED_VALUE"""),"allengr01")</f>
        <v>allengr01</v>
      </c>
      <c r="B3815" s="161" t="str">
        <f>IFERROR(__xludf.DUMMYFUNCTION("""COMPUTED_VALUE"""),"Grayson Allen")</f>
        <v>Grayson Allen</v>
      </c>
      <c r="C3815" s="162" t="str">
        <f>IFERROR(__xludf.DUMMYFUNCTION("""COMPUTED_VALUE"""),"2020-21")</f>
        <v>2020-21</v>
      </c>
      <c r="D3815" s="163" t="str">
        <f>IFERROR(__xludf.DUMMYFUNCTION("""COMPUTED_VALUE"""),"MEM")</f>
        <v>MEM</v>
      </c>
      <c r="E3815" s="164" t="str">
        <f>IFERROR(__xludf.DUMMYFUNCTION("""COMPUTED_VALUE"""),"Stationary Shooter")</f>
        <v>Stationary Shooter</v>
      </c>
      <c r="F3815" s="164">
        <f>IFERROR(__xludf.DUMMYFUNCTION("""COMPUTED_VALUE"""),484.431666666667)</f>
        <v>484.4316667</v>
      </c>
      <c r="G3815" s="163">
        <f>IFERROR(__xludf.DUMMYFUNCTION("""COMPUTED_VALUE"""),20.0)</f>
        <v>20</v>
      </c>
      <c r="H3815" s="163" t="str">
        <f>IFERROR(__xludf.DUMMYFUNCTION("""COMPUTED_VALUE"""),"SG")</f>
        <v>SG</v>
      </c>
      <c r="I3815" s="163">
        <f>IFERROR(__xludf.DUMMYFUNCTION("""COMPUTED_VALUE"""),25.0)</f>
        <v>25</v>
      </c>
      <c r="J3815" s="165">
        <f>IFERROR(__xludf.DUMMYFUNCTION("""COMPUTED_VALUE"""),-0.0726368241179403)</f>
        <v>-0.07263682412</v>
      </c>
      <c r="K3815" s="165">
        <f>IFERROR(__xludf.DUMMYFUNCTION("""COMPUTED_VALUE"""),-0.300055802924148)</f>
        <v>-0.3000558029</v>
      </c>
      <c r="L3815" s="165">
        <f>IFERROR(__xludf.DUMMYFUNCTION("""COMPUTED_VALUE"""),0.227418978806208)</f>
        <v>0.2274189788</v>
      </c>
      <c r="M3815" s="166">
        <f t="shared" si="2"/>
        <v>0.7231092201</v>
      </c>
      <c r="N3815" s="167">
        <f t="shared" si="3"/>
        <v>24.22158333</v>
      </c>
      <c r="O3815" s="163">
        <f t="shared" ref="O3815:Q3815" si="3819">rank(I3815,I:I)</f>
        <v>1995</v>
      </c>
      <c r="P3815" s="163">
        <f t="shared" si="3819"/>
        <v>1360</v>
      </c>
      <c r="Q3815" s="163">
        <f t="shared" si="3819"/>
        <v>1763</v>
      </c>
      <c r="R3815" s="163">
        <f>IFERROR(__xludf.DUMMYFUNCTION("RANK(M3815,filter(M:M,C:C=C3815))"),154.0)</f>
        <v>154</v>
      </c>
      <c r="S3815" s="161" t="b">
        <f t="shared" si="5"/>
        <v>0</v>
      </c>
      <c r="T3815" s="161" t="b">
        <f t="array" ref="T3815">index('Query Tool'!B:B,match(H3815,'Query Tool'!C:C,0))</f>
        <v>1</v>
      </c>
      <c r="U3815" s="161" t="b">
        <f t="array" ref="U3815">index('Query Tool'!B:B,match(C3815,'Query Tool'!C:C,0))</f>
        <v>1</v>
      </c>
      <c r="V3815" s="161" t="b">
        <f>F3815&gt;='Query Tool'!C$32</f>
        <v>0</v>
      </c>
      <c r="W3815" s="161" t="b">
        <f t="array" ref="W3815">index(Dropdowns!B:B,match(I3815,Dropdowns!A:A,0))</f>
        <v>1</v>
      </c>
      <c r="X3815" s="161" t="b">
        <f t="array" ref="X3815">index('Query Tool'!B:B,match(D3815,'Query Tool'!C:C,0))</f>
        <v>1</v>
      </c>
      <c r="Y3815" s="161" t="str">
        <f t="shared" si="6"/>
        <v>allengr01,2020-21</v>
      </c>
      <c r="Z3815" s="168" t="str">
        <f t="array" ref="Z3815">iferror(index(I:I,match($A3815&amp;","&amp;index('Year Conversion'!$A:$A,match($C3815,'Year Conversion'!$B:$B,0)),$Y:$Y,0))-I3815,"")</f>
        <v/>
      </c>
      <c r="AA3815" s="168" t="str">
        <f t="array" ref="AA3815">iferror(index(J:J,match($A3815&amp;","&amp;index('Year Conversion'!$A:$A,match($C3815,'Year Conversion'!$B:$B,0)),$Y:$Y,0))-J3815,"")</f>
        <v/>
      </c>
      <c r="AB3815" s="168" t="str">
        <f t="array" ref="AB3815">iferror(index(K:K,match($A3815&amp;","&amp;index('Year Conversion'!$A:$A,match($C3815,'Year Conversion'!$B:$B,0)),$Y:$Y,0))-K3815,"")</f>
        <v/>
      </c>
      <c r="AC3815" s="168" t="str">
        <f t="shared" si="7"/>
        <v>MEM,2020-21</v>
      </c>
    </row>
    <row r="3816">
      <c r="A3816" s="161" t="str">
        <f>IFERROR(__xludf.DUMMYFUNCTION("""COMPUTED_VALUE"""),"antetko01")</f>
        <v>antetko01</v>
      </c>
      <c r="B3816" s="161" t="str">
        <f>IFERROR(__xludf.DUMMYFUNCTION("""COMPUTED_VALUE"""),"Kostas Antetokounmpo")</f>
        <v>Kostas Antetokounmpo</v>
      </c>
      <c r="C3816" s="162" t="str">
        <f>IFERROR(__xludf.DUMMYFUNCTION("""COMPUTED_VALUE"""),"2020-21")</f>
        <v>2020-21</v>
      </c>
      <c r="D3816" s="163" t="str">
        <f>IFERROR(__xludf.DUMMYFUNCTION("""COMPUTED_VALUE"""),"LAL")</f>
        <v>LAL</v>
      </c>
      <c r="E3816" s="164" t="str">
        <f>IFERROR(__xludf.DUMMYFUNCTION("""COMPUTED_VALUE"""),"Slasher")</f>
        <v>Slasher</v>
      </c>
      <c r="F3816" s="164">
        <f>IFERROR(__xludf.DUMMYFUNCTION("""COMPUTED_VALUE"""),7.66666666666667)</f>
        <v>7.666666667</v>
      </c>
      <c r="G3816" s="163">
        <f>IFERROR(__xludf.DUMMYFUNCTION("""COMPUTED_VALUE"""),1.0)</f>
        <v>1</v>
      </c>
      <c r="H3816" s="163" t="str">
        <f>IFERROR(__xludf.DUMMYFUNCTION("""COMPUTED_VALUE"""),"PF")</f>
        <v>PF</v>
      </c>
      <c r="I3816" s="163">
        <f>IFERROR(__xludf.DUMMYFUNCTION("""COMPUTED_VALUE"""),23.0)</f>
        <v>23</v>
      </c>
      <c r="J3816" s="165">
        <f>IFERROR(__xludf.DUMMYFUNCTION("""COMPUTED_VALUE"""),-0.573339213158527)</f>
        <v>-0.5733392132</v>
      </c>
      <c r="K3816" s="165">
        <f>IFERROR(__xludf.DUMMYFUNCTION("""COMPUTED_VALUE"""),-0.0833544871504271)</f>
        <v>-0.08335448715</v>
      </c>
      <c r="L3816" s="165">
        <f>IFERROR(__xludf.DUMMYFUNCTION("""COMPUTED_VALUE"""),-0.4899847260081)</f>
        <v>-0.489984726</v>
      </c>
      <c r="M3816" s="166">
        <f t="shared" si="2"/>
        <v>0.008857327788</v>
      </c>
      <c r="N3816" s="167">
        <f t="shared" si="3"/>
        <v>7.666666667</v>
      </c>
      <c r="O3816" s="163">
        <f t="shared" ref="O3816:Q3816" si="3820">rank(I3816,I:I)</f>
        <v>2765</v>
      </c>
      <c r="P3816" s="163">
        <f t="shared" si="3820"/>
        <v>1956</v>
      </c>
      <c r="Q3816" s="163">
        <f t="shared" si="3820"/>
        <v>1332</v>
      </c>
      <c r="R3816" s="163">
        <f>IFERROR(__xludf.DUMMYFUNCTION("RANK(M3816,filter(M:M,C:C=C3816))"),435.0)</f>
        <v>435</v>
      </c>
      <c r="S3816" s="161" t="b">
        <f t="shared" si="5"/>
        <v>0</v>
      </c>
      <c r="T3816" s="161" t="b">
        <f t="array" ref="T3816">index('Query Tool'!B:B,match(H3816,'Query Tool'!C:C,0))</f>
        <v>1</v>
      </c>
      <c r="U3816" s="161" t="b">
        <f t="array" ref="U3816">index('Query Tool'!B:B,match(C3816,'Query Tool'!C:C,0))</f>
        <v>1</v>
      </c>
      <c r="V3816" s="161" t="b">
        <f>F3816&gt;='Query Tool'!C$32</f>
        <v>0</v>
      </c>
      <c r="W3816" s="161" t="b">
        <f t="array" ref="W3816">index(Dropdowns!B:B,match(I3816,Dropdowns!A:A,0))</f>
        <v>1</v>
      </c>
      <c r="X3816" s="161" t="b">
        <f t="array" ref="X3816">index('Query Tool'!B:B,match(D3816,'Query Tool'!C:C,0))</f>
        <v>1</v>
      </c>
      <c r="Y3816" s="161" t="str">
        <f t="shared" si="6"/>
        <v>antetko01,2020-21</v>
      </c>
      <c r="Z3816" s="168" t="str">
        <f t="array" ref="Z3816">iferror(index(I:I,match($A3816&amp;","&amp;index('Year Conversion'!$A:$A,match($C3816,'Year Conversion'!$B:$B,0)),$Y:$Y,0))-I3816,"")</f>
        <v/>
      </c>
      <c r="AA3816" s="168" t="str">
        <f t="array" ref="AA3816">iferror(index(J:J,match($A3816&amp;","&amp;index('Year Conversion'!$A:$A,match($C3816,'Year Conversion'!$B:$B,0)),$Y:$Y,0))-J3816,"")</f>
        <v/>
      </c>
      <c r="AB3816" s="168" t="str">
        <f t="array" ref="AB3816">iferror(index(K:K,match($A3816&amp;","&amp;index('Year Conversion'!$A:$A,match($C3816,'Year Conversion'!$B:$B,0)),$Y:$Y,0))-K3816,"")</f>
        <v/>
      </c>
      <c r="AC3816" s="168" t="str">
        <f t="shared" si="7"/>
        <v>LAL,2020-21</v>
      </c>
    </row>
    <row r="3817">
      <c r="A3817" s="161" t="str">
        <f>IFERROR(__xludf.DUMMYFUNCTION("""COMPUTED_VALUE"""),"azubuud01")</f>
        <v>azubuud01</v>
      </c>
      <c r="B3817" s="161" t="str">
        <f>IFERROR(__xludf.DUMMYFUNCTION("""COMPUTED_VALUE"""),"Udoka Azubuike")</f>
        <v>Udoka Azubuike</v>
      </c>
      <c r="C3817" s="162" t="str">
        <f>IFERROR(__xludf.DUMMYFUNCTION("""COMPUTED_VALUE"""),"2020-21")</f>
        <v>2020-21</v>
      </c>
      <c r="D3817" s="163" t="str">
        <f>IFERROR(__xludf.DUMMYFUNCTION("""COMPUTED_VALUE"""),"UTA")</f>
        <v>UTA</v>
      </c>
      <c r="E3817" s="164" t="str">
        <f>IFERROR(__xludf.DUMMYFUNCTION("""COMPUTED_VALUE"""),"Roll + Cut Big")</f>
        <v>Roll + Cut Big</v>
      </c>
      <c r="F3817" s="164">
        <f>IFERROR(__xludf.DUMMYFUNCTION("""COMPUTED_VALUE"""),49.0)</f>
        <v>49</v>
      </c>
      <c r="G3817" s="163">
        <f>IFERROR(__xludf.DUMMYFUNCTION("""COMPUTED_VALUE"""),12.0)</f>
        <v>12</v>
      </c>
      <c r="H3817" s="163" t="str">
        <f>IFERROR(__xludf.DUMMYFUNCTION("""COMPUTED_VALUE"""),"C")</f>
        <v>C</v>
      </c>
      <c r="I3817" s="163">
        <f>IFERROR(__xludf.DUMMYFUNCTION("""COMPUTED_VALUE"""),21.0)</f>
        <v>21</v>
      </c>
      <c r="J3817" s="165">
        <f>IFERROR(__xludf.DUMMYFUNCTION("""COMPUTED_VALUE"""),-2.07402735177816)</f>
        <v>-2.074027352</v>
      </c>
      <c r="K3817" s="165">
        <f>IFERROR(__xludf.DUMMYFUNCTION("""COMPUTED_VALUE"""),-1.04479722455123)</f>
        <v>-1.044797225</v>
      </c>
      <c r="L3817" s="165">
        <f>IFERROR(__xludf.DUMMYFUNCTION("""COMPUTED_VALUE"""),-1.02923012722693)</f>
        <v>-1.029230127</v>
      </c>
      <c r="M3817" s="166">
        <f t="shared" si="2"/>
        <v>0.007432071414</v>
      </c>
      <c r="N3817" s="167">
        <f t="shared" si="3"/>
        <v>4.083333333</v>
      </c>
      <c r="O3817" s="163">
        <f t="shared" ref="O3817:Q3817" si="3821">rank(I3817,I:I)</f>
        <v>3528</v>
      </c>
      <c r="P3817" s="163">
        <f t="shared" si="3821"/>
        <v>3538</v>
      </c>
      <c r="Q3817" s="163">
        <f t="shared" si="3821"/>
        <v>2863</v>
      </c>
      <c r="R3817" s="163">
        <f>IFERROR(__xludf.DUMMYFUNCTION("RANK(M3817,filter(M:M,C:C=C3817))"),438.0)</f>
        <v>438</v>
      </c>
      <c r="S3817" s="161" t="b">
        <f t="shared" si="5"/>
        <v>0</v>
      </c>
      <c r="T3817" s="161" t="b">
        <f t="array" ref="T3817">index('Query Tool'!B:B,match(H3817,'Query Tool'!C:C,0))</f>
        <v>1</v>
      </c>
      <c r="U3817" s="161" t="b">
        <f t="array" ref="U3817">index('Query Tool'!B:B,match(C3817,'Query Tool'!C:C,0))</f>
        <v>1</v>
      </c>
      <c r="V3817" s="161" t="b">
        <f>F3817&gt;='Query Tool'!C$32</f>
        <v>0</v>
      </c>
      <c r="W3817" s="161" t="b">
        <f t="array" ref="W3817">index(Dropdowns!B:B,match(I3817,Dropdowns!A:A,0))</f>
        <v>1</v>
      </c>
      <c r="X3817" s="161" t="b">
        <f t="array" ref="X3817">index('Query Tool'!B:B,match(D3817,'Query Tool'!C:C,0))</f>
        <v>1</v>
      </c>
      <c r="Y3817" s="161" t="str">
        <f t="shared" si="6"/>
        <v>azubuud01,2020-21</v>
      </c>
      <c r="Z3817" s="168" t="str">
        <f t="array" ref="Z3817">iferror(index(I:I,match($A3817&amp;","&amp;index('Year Conversion'!$A:$A,match($C3817,'Year Conversion'!$B:$B,0)),$Y:$Y,0))-I3817,"")</f>
        <v/>
      </c>
      <c r="AA3817" s="168" t="str">
        <f t="array" ref="AA3817">iferror(index(J:J,match($A3817&amp;","&amp;index('Year Conversion'!$A:$A,match($C3817,'Year Conversion'!$B:$B,0)),$Y:$Y,0))-J3817,"")</f>
        <v/>
      </c>
      <c r="AB3817" s="168" t="str">
        <f t="array" ref="AB3817">iferror(index(K:K,match($A3817&amp;","&amp;index('Year Conversion'!$A:$A,match($C3817,'Year Conversion'!$B:$B,0)),$Y:$Y,0))-K3817,"")</f>
        <v/>
      </c>
      <c r="AC3817" s="168" t="str">
        <f t="shared" si="7"/>
        <v>UTA,2020-21</v>
      </c>
    </row>
    <row r="3818">
      <c r="A3818" s="161" t="str">
        <f>IFERROR(__xludf.DUMMYFUNCTION("""COMPUTED_VALUE"""),"baglema01")</f>
        <v>baglema01</v>
      </c>
      <c r="B3818" s="161" t="str">
        <f>IFERROR(__xludf.DUMMYFUNCTION("""COMPUTED_VALUE"""),"Marvin Bagley III")</f>
        <v>Marvin Bagley III</v>
      </c>
      <c r="C3818" s="162" t="str">
        <f>IFERROR(__xludf.DUMMYFUNCTION("""COMPUTED_VALUE"""),"2020-21")</f>
        <v>2020-21</v>
      </c>
      <c r="D3818" s="163" t="str">
        <f>IFERROR(__xludf.DUMMYFUNCTION("""COMPUTED_VALUE"""),"SAC")</f>
        <v>SAC</v>
      </c>
      <c r="E3818" s="164" t="str">
        <f>IFERROR(__xludf.DUMMYFUNCTION("""COMPUTED_VALUE"""),"Stretch Big")</f>
        <v>Stretch Big</v>
      </c>
      <c r="F3818" s="164">
        <f>IFERROR(__xludf.DUMMYFUNCTION("""COMPUTED_VALUE"""),711.625)</f>
        <v>711.625</v>
      </c>
      <c r="G3818" s="163">
        <f>IFERROR(__xludf.DUMMYFUNCTION("""COMPUTED_VALUE"""),28.0)</f>
        <v>28</v>
      </c>
      <c r="H3818" s="163" t="str">
        <f>IFERROR(__xludf.DUMMYFUNCTION("""COMPUTED_VALUE"""),"PF")</f>
        <v>PF</v>
      </c>
      <c r="I3818" s="163">
        <f>IFERROR(__xludf.DUMMYFUNCTION("""COMPUTED_VALUE"""),21.0)</f>
        <v>21</v>
      </c>
      <c r="J3818" s="165">
        <f>IFERROR(__xludf.DUMMYFUNCTION("""COMPUTED_VALUE"""),-0.912190957454616)</f>
        <v>-0.9121909575</v>
      </c>
      <c r="K3818" s="165">
        <f>IFERROR(__xludf.DUMMYFUNCTION("""COMPUTED_VALUE"""),-0.10798963599876)</f>
        <v>-0.107989636</v>
      </c>
      <c r="L3818" s="165">
        <f>IFERROR(__xludf.DUMMYFUNCTION("""COMPUTED_VALUE"""),-0.804201321455856)</f>
        <v>-0.8042013215</v>
      </c>
      <c r="M3818" s="166">
        <f t="shared" si="2"/>
        <v>0.6599515699</v>
      </c>
      <c r="N3818" s="167">
        <f t="shared" si="3"/>
        <v>25.41517857</v>
      </c>
      <c r="O3818" s="163">
        <f t="shared" ref="O3818:Q3818" si="3822">rank(I3818,I:I)</f>
        <v>3528</v>
      </c>
      <c r="P3818" s="163">
        <f t="shared" si="3822"/>
        <v>2410</v>
      </c>
      <c r="Q3818" s="163">
        <f t="shared" si="3822"/>
        <v>1385</v>
      </c>
      <c r="R3818" s="163">
        <f>IFERROR(__xludf.DUMMYFUNCTION("RANK(M3818,filter(M:M,C:C=C3818))"),162.0)</f>
        <v>162</v>
      </c>
      <c r="S3818" s="161" t="b">
        <f t="shared" si="5"/>
        <v>1</v>
      </c>
      <c r="T3818" s="161" t="b">
        <f t="array" ref="T3818">index('Query Tool'!B:B,match(H3818,'Query Tool'!C:C,0))</f>
        <v>1</v>
      </c>
      <c r="U3818" s="161" t="b">
        <f t="array" ref="U3818">index('Query Tool'!B:B,match(C3818,'Query Tool'!C:C,0))</f>
        <v>1</v>
      </c>
      <c r="V3818" s="161" t="b">
        <f>F3818&gt;='Query Tool'!C$32</f>
        <v>1</v>
      </c>
      <c r="W3818" s="161" t="b">
        <f t="array" ref="W3818">index(Dropdowns!B:B,match(I3818,Dropdowns!A:A,0))</f>
        <v>1</v>
      </c>
      <c r="X3818" s="161" t="b">
        <f t="array" ref="X3818">index('Query Tool'!B:B,match(D3818,'Query Tool'!C:C,0))</f>
        <v>1</v>
      </c>
      <c r="Y3818" s="161" t="str">
        <f t="shared" si="6"/>
        <v>baglema01,2020-21</v>
      </c>
      <c r="Z3818" s="168" t="str">
        <f t="array" ref="Z3818">iferror(index(I:I,match($A3818&amp;","&amp;index('Year Conversion'!$A:$A,match($C3818,'Year Conversion'!$B:$B,0)),$Y:$Y,0))-I3818,"")</f>
        <v/>
      </c>
      <c r="AA3818" s="168" t="str">
        <f t="array" ref="AA3818">iferror(index(J:J,match($A3818&amp;","&amp;index('Year Conversion'!$A:$A,match($C3818,'Year Conversion'!$B:$B,0)),$Y:$Y,0))-J3818,"")</f>
        <v/>
      </c>
      <c r="AB3818" s="168" t="str">
        <f t="array" ref="AB3818">iferror(index(K:K,match($A3818&amp;","&amp;index('Year Conversion'!$A:$A,match($C3818,'Year Conversion'!$B:$B,0)),$Y:$Y,0))-K3818,"")</f>
        <v/>
      </c>
      <c r="AC3818" s="168" t="str">
        <f t="shared" si="7"/>
        <v>SAC,2020-21</v>
      </c>
    </row>
    <row r="3819">
      <c r="A3819" s="161" t="str">
        <f>IFERROR(__xludf.DUMMYFUNCTION("""COMPUTED_VALUE"""),"bambamo01")</f>
        <v>bambamo01</v>
      </c>
      <c r="B3819" s="161" t="str">
        <f>IFERROR(__xludf.DUMMYFUNCTION("""COMPUTED_VALUE"""),"Mo Bamba")</f>
        <v>Mo Bamba</v>
      </c>
      <c r="C3819" s="162" t="str">
        <f>IFERROR(__xludf.DUMMYFUNCTION("""COMPUTED_VALUE"""),"2020-21")</f>
        <v>2020-21</v>
      </c>
      <c r="D3819" s="163" t="str">
        <f>IFERROR(__xludf.DUMMYFUNCTION("""COMPUTED_VALUE"""),"ORL")</f>
        <v>ORL</v>
      </c>
      <c r="E3819" s="164" t="str">
        <f>IFERROR(__xludf.DUMMYFUNCTION("""COMPUTED_VALUE"""),"Stretch Big")</f>
        <v>Stretch Big</v>
      </c>
      <c r="F3819" s="164">
        <f>IFERROR(__xludf.DUMMYFUNCTION("""COMPUTED_VALUE"""),122.316666666667)</f>
        <v>122.3166667</v>
      </c>
      <c r="G3819" s="163">
        <f>IFERROR(__xludf.DUMMYFUNCTION("""COMPUTED_VALUE"""),14.0)</f>
        <v>14</v>
      </c>
      <c r="H3819" s="163" t="str">
        <f>IFERROR(__xludf.DUMMYFUNCTION("""COMPUTED_VALUE"""),"C")</f>
        <v>C</v>
      </c>
      <c r="I3819" s="163">
        <f>IFERROR(__xludf.DUMMYFUNCTION("""COMPUTED_VALUE"""),22.0)</f>
        <v>22</v>
      </c>
      <c r="J3819" s="165">
        <f>IFERROR(__xludf.DUMMYFUNCTION("""COMPUTED_VALUE"""),1.30665860909678)</f>
        <v>1.306658609</v>
      </c>
      <c r="K3819" s="165">
        <f>IFERROR(__xludf.DUMMYFUNCTION("""COMPUTED_VALUE"""),-0.0571966046089662)</f>
        <v>-0.05719660461</v>
      </c>
      <c r="L3819" s="165">
        <f>IFERROR(__xludf.DUMMYFUNCTION("""COMPUTED_VALUE"""),1.36385521370575)</f>
        <v>1.363855214</v>
      </c>
      <c r="M3819" s="166">
        <f t="shared" si="2"/>
        <v>0.296069826</v>
      </c>
      <c r="N3819" s="167">
        <f t="shared" si="3"/>
        <v>8.736904762</v>
      </c>
      <c r="O3819" s="163">
        <f t="shared" ref="O3819:Q3819" si="3823">rank(I3819,I:I)</f>
        <v>3178</v>
      </c>
      <c r="P3819" s="163">
        <f t="shared" si="3823"/>
        <v>521</v>
      </c>
      <c r="Q3819" s="163">
        <f t="shared" si="3823"/>
        <v>1287</v>
      </c>
      <c r="R3819" s="163">
        <f>IFERROR(__xludf.DUMMYFUNCTION("RANK(M3819,filter(M:M,C:C=C3819))"),247.0)</f>
        <v>247</v>
      </c>
      <c r="S3819" s="161" t="b">
        <f t="shared" si="5"/>
        <v>0</v>
      </c>
      <c r="T3819" s="161" t="b">
        <f t="array" ref="T3819">index('Query Tool'!B:B,match(H3819,'Query Tool'!C:C,0))</f>
        <v>1</v>
      </c>
      <c r="U3819" s="161" t="b">
        <f t="array" ref="U3819">index('Query Tool'!B:B,match(C3819,'Query Tool'!C:C,0))</f>
        <v>1</v>
      </c>
      <c r="V3819" s="161" t="b">
        <f>F3819&gt;='Query Tool'!C$32</f>
        <v>0</v>
      </c>
      <c r="W3819" s="161" t="b">
        <f t="array" ref="W3819">index(Dropdowns!B:B,match(I3819,Dropdowns!A:A,0))</f>
        <v>1</v>
      </c>
      <c r="X3819" s="161" t="b">
        <f t="array" ref="X3819">index('Query Tool'!B:B,match(D3819,'Query Tool'!C:C,0))</f>
        <v>1</v>
      </c>
      <c r="Y3819" s="161" t="str">
        <f t="shared" si="6"/>
        <v>bambamo01,2020-21</v>
      </c>
      <c r="Z3819" s="168" t="str">
        <f t="array" ref="Z3819">iferror(index(I:I,match($A3819&amp;","&amp;index('Year Conversion'!$A:$A,match($C3819,'Year Conversion'!$B:$B,0)),$Y:$Y,0))-I3819,"")</f>
        <v/>
      </c>
      <c r="AA3819" s="168" t="str">
        <f t="array" ref="AA3819">iferror(index(J:J,match($A3819&amp;","&amp;index('Year Conversion'!$A:$A,match($C3819,'Year Conversion'!$B:$B,0)),$Y:$Y,0))-J3819,"")</f>
        <v/>
      </c>
      <c r="AB3819" s="168" t="str">
        <f t="array" ref="AB3819">iferror(index(K:K,match($A3819&amp;","&amp;index('Year Conversion'!$A:$A,match($C3819,'Year Conversion'!$B:$B,0)),$Y:$Y,0))-K3819,"")</f>
        <v/>
      </c>
      <c r="AC3819" s="168" t="str">
        <f t="shared" si="7"/>
        <v>ORL,2020-21</v>
      </c>
    </row>
    <row r="3820">
      <c r="A3820" s="161" t="str">
        <f>IFERROR(__xludf.DUMMYFUNCTION("""COMPUTED_VALUE"""),"bateske01")</f>
        <v>bateske01</v>
      </c>
      <c r="B3820" s="161" t="str">
        <f>IFERROR(__xludf.DUMMYFUNCTION("""COMPUTED_VALUE"""),"Keita Bates-Diop")</f>
        <v>Keita Bates-Diop</v>
      </c>
      <c r="C3820" s="162" t="str">
        <f>IFERROR(__xludf.DUMMYFUNCTION("""COMPUTED_VALUE"""),"2020-21")</f>
        <v>2020-21</v>
      </c>
      <c r="D3820" s="163" t="str">
        <f>IFERROR(__xludf.DUMMYFUNCTION("""COMPUTED_VALUE"""),"SAS")</f>
        <v>SAS</v>
      </c>
      <c r="E3820" s="164" t="str">
        <f>IFERROR(__xludf.DUMMYFUNCTION("""COMPUTED_VALUE"""),"Athletic Finisher")</f>
        <v>Athletic Finisher</v>
      </c>
      <c r="F3820" s="164">
        <f>IFERROR(__xludf.DUMMYFUNCTION("""COMPUTED_VALUE"""),26.7366666666667)</f>
        <v>26.73666667</v>
      </c>
      <c r="G3820" s="163">
        <f>IFERROR(__xludf.DUMMYFUNCTION("""COMPUTED_VALUE"""),8.0)</f>
        <v>8</v>
      </c>
      <c r="H3820" s="163" t="str">
        <f>IFERROR(__xludf.DUMMYFUNCTION("""COMPUTED_VALUE"""),"SF")</f>
        <v>SF</v>
      </c>
      <c r="I3820" s="163">
        <f>IFERROR(__xludf.DUMMYFUNCTION("""COMPUTED_VALUE"""),25.0)</f>
        <v>25</v>
      </c>
      <c r="J3820" s="165">
        <f>IFERROR(__xludf.DUMMYFUNCTION("""COMPUTED_VALUE"""),-1.28704606855008)</f>
        <v>-1.287046069</v>
      </c>
      <c r="K3820" s="165">
        <f>IFERROR(__xludf.DUMMYFUNCTION("""COMPUTED_VALUE"""),-0.771375926775955)</f>
        <v>-0.7713759268</v>
      </c>
      <c r="L3820" s="165">
        <f>IFERROR(__xludf.DUMMYFUNCTION("""COMPUTED_VALUE"""),-0.515670141774129)</f>
        <v>-0.5156701418</v>
      </c>
      <c r="M3820" s="166">
        <f t="shared" si="2"/>
        <v>0.01807250478</v>
      </c>
      <c r="N3820" s="167">
        <f t="shared" si="3"/>
        <v>3.342083333</v>
      </c>
      <c r="O3820" s="163">
        <f t="shared" ref="O3820:Q3820" si="3824">rank(I3820,I:I)</f>
        <v>1995</v>
      </c>
      <c r="P3820" s="163">
        <f t="shared" si="3824"/>
        <v>2848</v>
      </c>
      <c r="Q3820" s="163">
        <f t="shared" si="3824"/>
        <v>2516</v>
      </c>
      <c r="R3820" s="163">
        <f>IFERROR(__xludf.DUMMYFUNCTION("RANK(M3820,filter(M:M,C:C=C3820))"),422.0)</f>
        <v>422</v>
      </c>
      <c r="S3820" s="161" t="b">
        <f t="shared" si="5"/>
        <v>0</v>
      </c>
      <c r="T3820" s="161" t="b">
        <f t="array" ref="T3820">index('Query Tool'!B:B,match(H3820,'Query Tool'!C:C,0))</f>
        <v>1</v>
      </c>
      <c r="U3820" s="161" t="b">
        <f t="array" ref="U3820">index('Query Tool'!B:B,match(C3820,'Query Tool'!C:C,0))</f>
        <v>1</v>
      </c>
      <c r="V3820" s="161" t="b">
        <f>F3820&gt;='Query Tool'!C$32</f>
        <v>0</v>
      </c>
      <c r="W3820" s="161" t="b">
        <f t="array" ref="W3820">index(Dropdowns!B:B,match(I3820,Dropdowns!A:A,0))</f>
        <v>1</v>
      </c>
      <c r="X3820" s="161" t="b">
        <f t="array" ref="X3820">index('Query Tool'!B:B,match(D3820,'Query Tool'!C:C,0))</f>
        <v>1</v>
      </c>
      <c r="Y3820" s="161" t="str">
        <f t="shared" si="6"/>
        <v>bateske01,2020-21</v>
      </c>
      <c r="Z3820" s="168" t="str">
        <f t="array" ref="Z3820">iferror(index(I:I,match($A3820&amp;","&amp;index('Year Conversion'!$A:$A,match($C3820,'Year Conversion'!$B:$B,0)),$Y:$Y,0))-I3820,"")</f>
        <v/>
      </c>
      <c r="AA3820" s="168" t="str">
        <f t="array" ref="AA3820">iferror(index(J:J,match($A3820&amp;","&amp;index('Year Conversion'!$A:$A,match($C3820,'Year Conversion'!$B:$B,0)),$Y:$Y,0))-J3820,"")</f>
        <v/>
      </c>
      <c r="AB3820" s="168" t="str">
        <f t="array" ref="AB3820">iferror(index(K:K,match($A3820&amp;","&amp;index('Year Conversion'!$A:$A,match($C3820,'Year Conversion'!$B:$B,0)),$Y:$Y,0))-K3820,"")</f>
        <v/>
      </c>
      <c r="AC3820" s="168" t="str">
        <f t="shared" si="7"/>
        <v>SAS,2020-21</v>
      </c>
    </row>
    <row r="3821">
      <c r="A3821" s="161" t="str">
        <f>IFERROR(__xludf.DUMMYFUNCTION("""COMPUTED_VALUE"""),"bowenbr02")</f>
        <v>bowenbr02</v>
      </c>
      <c r="B3821" s="161" t="str">
        <f>IFERROR(__xludf.DUMMYFUNCTION("""COMPUTED_VALUE"""),"Brian Bowen II")</f>
        <v>Brian Bowen II</v>
      </c>
      <c r="C3821" s="162" t="str">
        <f>IFERROR(__xludf.DUMMYFUNCTION("""COMPUTED_VALUE"""),"2020-21")</f>
        <v>2020-21</v>
      </c>
      <c r="D3821" s="163" t="str">
        <f>IFERROR(__xludf.DUMMYFUNCTION("""COMPUTED_VALUE"""),"IND")</f>
        <v>IND</v>
      </c>
      <c r="E3821" s="164" t="str">
        <f>IFERROR(__xludf.DUMMYFUNCTION("""COMPUTED_VALUE"""),"Off Screen Shooter")</f>
        <v>Off Screen Shooter</v>
      </c>
      <c r="F3821" s="164">
        <f>IFERROR(__xludf.DUMMYFUNCTION("""COMPUTED_VALUE"""),5.1)</f>
        <v>5.1</v>
      </c>
      <c r="G3821" s="163">
        <f>IFERROR(__xludf.DUMMYFUNCTION("""COMPUTED_VALUE"""),1.0)</f>
        <v>1</v>
      </c>
      <c r="H3821" s="163" t="str">
        <f>IFERROR(__xludf.DUMMYFUNCTION("""COMPUTED_VALUE"""),"SF")</f>
        <v>SF</v>
      </c>
      <c r="I3821" s="163">
        <f>IFERROR(__xludf.DUMMYFUNCTION("""COMPUTED_VALUE"""),22.0)</f>
        <v>22</v>
      </c>
      <c r="J3821" s="165">
        <f>IFERROR(__xludf.DUMMYFUNCTION("""COMPUTED_VALUE"""),-0.958874061393854)</f>
        <v>-0.9588740614</v>
      </c>
      <c r="K3821" s="165">
        <f>IFERROR(__xludf.DUMMYFUNCTION("""COMPUTED_VALUE"""),-0.269835318992441)</f>
        <v>-0.269835319</v>
      </c>
      <c r="L3821" s="165">
        <f>IFERROR(__xludf.DUMMYFUNCTION("""COMPUTED_VALUE"""),-0.689038742401414)</f>
        <v>-0.6890387424</v>
      </c>
      <c r="M3821" s="166">
        <f t="shared" si="2"/>
        <v>0.004569742723</v>
      </c>
      <c r="N3821" s="167">
        <f t="shared" si="3"/>
        <v>5.1</v>
      </c>
      <c r="O3821" s="163">
        <f t="shared" ref="O3821:Q3821" si="3825">rank(I3821,I:I)</f>
        <v>3178</v>
      </c>
      <c r="P3821" s="163">
        <f t="shared" si="3825"/>
        <v>2462</v>
      </c>
      <c r="Q3821" s="163">
        <f t="shared" si="3825"/>
        <v>1703</v>
      </c>
      <c r="R3821" s="163">
        <f>IFERROR(__xludf.DUMMYFUNCTION("RANK(M3821,filter(M:M,C:C=C3821))"),446.0)</f>
        <v>446</v>
      </c>
      <c r="S3821" s="161" t="b">
        <f t="shared" si="5"/>
        <v>0</v>
      </c>
      <c r="T3821" s="161" t="b">
        <f t="array" ref="T3821">index('Query Tool'!B:B,match(H3821,'Query Tool'!C:C,0))</f>
        <v>1</v>
      </c>
      <c r="U3821" s="161" t="b">
        <f t="array" ref="U3821">index('Query Tool'!B:B,match(C3821,'Query Tool'!C:C,0))</f>
        <v>1</v>
      </c>
      <c r="V3821" s="161" t="b">
        <f>F3821&gt;='Query Tool'!C$32</f>
        <v>0</v>
      </c>
      <c r="W3821" s="161" t="b">
        <f t="array" ref="W3821">index(Dropdowns!B:B,match(I3821,Dropdowns!A:A,0))</f>
        <v>1</v>
      </c>
      <c r="X3821" s="161" t="b">
        <f t="array" ref="X3821">index('Query Tool'!B:B,match(D3821,'Query Tool'!C:C,0))</f>
        <v>1</v>
      </c>
      <c r="Y3821" s="161" t="str">
        <f t="shared" si="6"/>
        <v>bowenbr02,2020-21</v>
      </c>
      <c r="Z3821" s="168" t="str">
        <f t="array" ref="Z3821">iferror(index(I:I,match($A3821&amp;","&amp;index('Year Conversion'!$A:$A,match($C3821,'Year Conversion'!$B:$B,0)),$Y:$Y,0))-I3821,"")</f>
        <v/>
      </c>
      <c r="AA3821" s="168" t="str">
        <f t="array" ref="AA3821">iferror(index(J:J,match($A3821&amp;","&amp;index('Year Conversion'!$A:$A,match($C3821,'Year Conversion'!$B:$B,0)),$Y:$Y,0))-J3821,"")</f>
        <v/>
      </c>
      <c r="AB3821" s="168" t="str">
        <f t="array" ref="AB3821">iferror(index(K:K,match($A3821&amp;","&amp;index('Year Conversion'!$A:$A,match($C3821,'Year Conversion'!$B:$B,0)),$Y:$Y,0))-K3821,"")</f>
        <v/>
      </c>
      <c r="AC3821" s="168" t="str">
        <f t="shared" si="7"/>
        <v>IND,2020-21</v>
      </c>
    </row>
    <row r="3822">
      <c r="A3822" s="161" t="str">
        <f>IFERROR(__xludf.DUMMYFUNCTION("""COMPUTED_VALUE"""),"bridgmi01")</f>
        <v>bridgmi01</v>
      </c>
      <c r="B3822" s="161" t="str">
        <f>IFERROR(__xludf.DUMMYFUNCTION("""COMPUTED_VALUE"""),"Mikal Bridges")</f>
        <v>Mikal Bridges</v>
      </c>
      <c r="C3822" s="162" t="str">
        <f>IFERROR(__xludf.DUMMYFUNCTION("""COMPUTED_VALUE"""),"2020-21")</f>
        <v>2020-21</v>
      </c>
      <c r="D3822" s="163" t="str">
        <f>IFERROR(__xludf.DUMMYFUNCTION("""COMPUTED_VALUE"""),"PHO")</f>
        <v>PHO</v>
      </c>
      <c r="E3822" s="164" t="str">
        <f>IFERROR(__xludf.DUMMYFUNCTION("""COMPUTED_VALUE"""),"Movement Shooter")</f>
        <v>Movement Shooter</v>
      </c>
      <c r="F3822" s="164">
        <f>IFERROR(__xludf.DUMMYFUNCTION("""COMPUTED_VALUE"""),951.425)</f>
        <v>951.425</v>
      </c>
      <c r="G3822" s="163">
        <f>IFERROR(__xludf.DUMMYFUNCTION("""COMPUTED_VALUE"""),29.0)</f>
        <v>29</v>
      </c>
      <c r="H3822" s="163" t="str">
        <f>IFERROR(__xludf.DUMMYFUNCTION("""COMPUTED_VALUE"""),"SF")</f>
        <v>SF</v>
      </c>
      <c r="I3822" s="163">
        <f>IFERROR(__xludf.DUMMYFUNCTION("""COMPUTED_VALUE"""),24.0)</f>
        <v>24</v>
      </c>
      <c r="J3822" s="165">
        <f>IFERROR(__xludf.DUMMYFUNCTION("""COMPUTED_VALUE"""),1.42121021788746)</f>
        <v>1.421210218</v>
      </c>
      <c r="K3822" s="165">
        <f>IFERROR(__xludf.DUMMYFUNCTION("""COMPUTED_VALUE"""),0.933009706874527)</f>
        <v>0.9330097069</v>
      </c>
      <c r="L3822" s="165">
        <f>IFERROR(__xludf.DUMMYFUNCTION("""COMPUTED_VALUE"""),0.48820051101293)</f>
        <v>0.488200511</v>
      </c>
      <c r="M3822" s="166">
        <f t="shared" si="2"/>
        <v>2.375853402</v>
      </c>
      <c r="N3822" s="167">
        <f t="shared" si="3"/>
        <v>32.80775862</v>
      </c>
      <c r="O3822" s="163">
        <f t="shared" ref="O3822:Q3822" si="3826">rank(I3822,I:I)</f>
        <v>2361</v>
      </c>
      <c r="P3822" s="163">
        <f t="shared" si="3826"/>
        <v>484</v>
      </c>
      <c r="Q3822" s="163">
        <f t="shared" si="3826"/>
        <v>538</v>
      </c>
      <c r="R3822" s="163">
        <f>IFERROR(__xludf.DUMMYFUNCTION("RANK(M3822,filter(M:M,C:C=C3822))"),36.0)</f>
        <v>36</v>
      </c>
      <c r="S3822" s="161" t="b">
        <f t="shared" si="5"/>
        <v>1</v>
      </c>
      <c r="T3822" s="161" t="b">
        <f t="array" ref="T3822">index('Query Tool'!B:B,match(H3822,'Query Tool'!C:C,0))</f>
        <v>1</v>
      </c>
      <c r="U3822" s="161" t="b">
        <f t="array" ref="U3822">index('Query Tool'!B:B,match(C3822,'Query Tool'!C:C,0))</f>
        <v>1</v>
      </c>
      <c r="V3822" s="161" t="b">
        <f>F3822&gt;='Query Tool'!C$32</f>
        <v>1</v>
      </c>
      <c r="W3822" s="161" t="b">
        <f t="array" ref="W3822">index(Dropdowns!B:B,match(I3822,Dropdowns!A:A,0))</f>
        <v>1</v>
      </c>
      <c r="X3822" s="161" t="b">
        <f t="array" ref="X3822">index('Query Tool'!B:B,match(D3822,'Query Tool'!C:C,0))</f>
        <v>1</v>
      </c>
      <c r="Y3822" s="161" t="str">
        <f t="shared" si="6"/>
        <v>bridgmi01,2020-21</v>
      </c>
      <c r="Z3822" s="168" t="str">
        <f t="array" ref="Z3822">iferror(index(I:I,match($A3822&amp;","&amp;index('Year Conversion'!$A:$A,match($C3822,'Year Conversion'!$B:$B,0)),$Y:$Y,0))-I3822,"")</f>
        <v/>
      </c>
      <c r="AA3822" s="168" t="str">
        <f t="array" ref="AA3822">iferror(index(J:J,match($A3822&amp;","&amp;index('Year Conversion'!$A:$A,match($C3822,'Year Conversion'!$B:$B,0)),$Y:$Y,0))-J3822,"")</f>
        <v/>
      </c>
      <c r="AB3822" s="168" t="str">
        <f t="array" ref="AB3822">iferror(index(K:K,match($A3822&amp;","&amp;index('Year Conversion'!$A:$A,match($C3822,'Year Conversion'!$B:$B,0)),$Y:$Y,0))-K3822,"")</f>
        <v/>
      </c>
      <c r="AC3822" s="168" t="str">
        <f t="shared" si="7"/>
        <v>PHO,2020-21</v>
      </c>
    </row>
    <row r="3823">
      <c r="A3823" s="161" t="str">
        <f>IFERROR(__xludf.DUMMYFUNCTION("""COMPUTED_VALUE"""),"bridgmi02")</f>
        <v>bridgmi02</v>
      </c>
      <c r="B3823" s="161" t="str">
        <f>IFERROR(__xludf.DUMMYFUNCTION("""COMPUTED_VALUE"""),"Miles Bridges")</f>
        <v>Miles Bridges</v>
      </c>
      <c r="C3823" s="162" t="str">
        <f>IFERROR(__xludf.DUMMYFUNCTION("""COMPUTED_VALUE"""),"2020-21")</f>
        <v>2020-21</v>
      </c>
      <c r="D3823" s="163" t="str">
        <f>IFERROR(__xludf.DUMMYFUNCTION("""COMPUTED_VALUE"""),"CHO")</f>
        <v>CHO</v>
      </c>
      <c r="E3823" s="164" t="str">
        <f>IFERROR(__xludf.DUMMYFUNCTION("""COMPUTED_VALUE"""),"Stretch Big")</f>
        <v>Stretch Big</v>
      </c>
      <c r="F3823" s="164">
        <f>IFERROR(__xludf.DUMMYFUNCTION("""COMPUTED_VALUE"""),769.66)</f>
        <v>769.66</v>
      </c>
      <c r="G3823" s="163">
        <f>IFERROR(__xludf.DUMMYFUNCTION("""COMPUTED_VALUE"""),29.0)</f>
        <v>29</v>
      </c>
      <c r="H3823" s="163" t="str">
        <f>IFERROR(__xludf.DUMMYFUNCTION("""COMPUTED_VALUE"""),"PF")</f>
        <v>PF</v>
      </c>
      <c r="I3823" s="163">
        <f>IFERROR(__xludf.DUMMYFUNCTION("""COMPUTED_VALUE"""),22.0)</f>
        <v>22</v>
      </c>
      <c r="J3823" s="165">
        <f>IFERROR(__xludf.DUMMYFUNCTION("""COMPUTED_VALUE"""),-1.70441188219739)</f>
        <v>-1.704411882</v>
      </c>
      <c r="K3823" s="165">
        <f>IFERROR(__xludf.DUMMYFUNCTION("""COMPUTED_VALUE"""),-1.54217086430575)</f>
        <v>-1.542170864</v>
      </c>
      <c r="L3823" s="165">
        <f>IFERROR(__xludf.DUMMYFUNCTION("""COMPUTED_VALUE"""),-0.162241017891632)</f>
        <v>-0.1622410179</v>
      </c>
      <c r="M3823" s="166">
        <f t="shared" si="2"/>
        <v>0.3056970438</v>
      </c>
      <c r="N3823" s="167">
        <f t="shared" si="3"/>
        <v>26.54</v>
      </c>
      <c r="O3823" s="163">
        <f t="shared" ref="O3823:Q3823" si="3827">rank(I3823,I:I)</f>
        <v>3178</v>
      </c>
      <c r="P3823" s="163">
        <f t="shared" si="3827"/>
        <v>3248</v>
      </c>
      <c r="Q3823" s="163">
        <f t="shared" si="3827"/>
        <v>3398</v>
      </c>
      <c r="R3823" s="163">
        <f>IFERROR(__xludf.DUMMYFUNCTION("RANK(M3823,filter(M:M,C:C=C3823))"),242.0)</f>
        <v>242</v>
      </c>
      <c r="S3823" s="161" t="b">
        <f t="shared" si="5"/>
        <v>1</v>
      </c>
      <c r="T3823" s="161" t="b">
        <f t="array" ref="T3823">index('Query Tool'!B:B,match(H3823,'Query Tool'!C:C,0))</f>
        <v>1</v>
      </c>
      <c r="U3823" s="161" t="b">
        <f t="array" ref="U3823">index('Query Tool'!B:B,match(C3823,'Query Tool'!C:C,0))</f>
        <v>1</v>
      </c>
      <c r="V3823" s="161" t="b">
        <f>F3823&gt;='Query Tool'!C$32</f>
        <v>1</v>
      </c>
      <c r="W3823" s="161" t="b">
        <f t="array" ref="W3823">index(Dropdowns!B:B,match(I3823,Dropdowns!A:A,0))</f>
        <v>1</v>
      </c>
      <c r="X3823" s="161" t="b">
        <f t="array" ref="X3823">index('Query Tool'!B:B,match(D3823,'Query Tool'!C:C,0))</f>
        <v>1</v>
      </c>
      <c r="Y3823" s="161" t="str">
        <f t="shared" si="6"/>
        <v>bridgmi02,2020-21</v>
      </c>
      <c r="Z3823" s="168" t="str">
        <f t="array" ref="Z3823">iferror(index(I:I,match($A3823&amp;","&amp;index('Year Conversion'!$A:$A,match($C3823,'Year Conversion'!$B:$B,0)),$Y:$Y,0))-I3823,"")</f>
        <v/>
      </c>
      <c r="AA3823" s="168" t="str">
        <f t="array" ref="AA3823">iferror(index(J:J,match($A3823&amp;","&amp;index('Year Conversion'!$A:$A,match($C3823,'Year Conversion'!$B:$B,0)),$Y:$Y,0))-J3823,"")</f>
        <v/>
      </c>
      <c r="AB3823" s="168" t="str">
        <f t="array" ref="AB3823">iferror(index(K:K,match($A3823&amp;","&amp;index('Year Conversion'!$A:$A,match($C3823,'Year Conversion'!$B:$B,0)),$Y:$Y,0))-K3823,"")</f>
        <v/>
      </c>
      <c r="AC3823" s="168" t="str">
        <f t="shared" si="7"/>
        <v>CHO,2020-21</v>
      </c>
    </row>
    <row r="3824">
      <c r="A3824" s="161" t="str">
        <f>IFERROR(__xludf.DUMMYFUNCTION("""COMPUTED_VALUE"""),"brownbr01")</f>
        <v>brownbr01</v>
      </c>
      <c r="B3824" s="161" t="str">
        <f>IFERROR(__xludf.DUMMYFUNCTION("""COMPUTED_VALUE"""),"Bruce Brown")</f>
        <v>Bruce Brown</v>
      </c>
      <c r="C3824" s="162" t="str">
        <f>IFERROR(__xludf.DUMMYFUNCTION("""COMPUTED_VALUE"""),"2020-21")</f>
        <v>2020-21</v>
      </c>
      <c r="D3824" s="163" t="str">
        <f>IFERROR(__xludf.DUMMYFUNCTION("""COMPUTED_VALUE"""),"BRK")</f>
        <v>BRK</v>
      </c>
      <c r="E3824" s="164" t="str">
        <f>IFERROR(__xludf.DUMMYFUNCTION("""COMPUTED_VALUE"""),"Roll + Cut Big")</f>
        <v>Roll + Cut Big</v>
      </c>
      <c r="F3824" s="164">
        <f>IFERROR(__xludf.DUMMYFUNCTION("""COMPUTED_VALUE"""),551.991666666667)</f>
        <v>551.9916667</v>
      </c>
      <c r="G3824" s="163">
        <f>IFERROR(__xludf.DUMMYFUNCTION("""COMPUTED_VALUE"""),28.0)</f>
        <v>28</v>
      </c>
      <c r="H3824" s="163" t="str">
        <f>IFERROR(__xludf.DUMMYFUNCTION("""COMPUTED_VALUE"""),"PG")</f>
        <v>PG</v>
      </c>
      <c r="I3824" s="163">
        <f>IFERROR(__xludf.DUMMYFUNCTION("""COMPUTED_VALUE"""),24.0)</f>
        <v>24</v>
      </c>
      <c r="J3824" s="165">
        <f>IFERROR(__xludf.DUMMYFUNCTION("""COMPUTED_VALUE"""),-1.20902701181368)</f>
        <v>-1.209027012</v>
      </c>
      <c r="K3824" s="165">
        <f>IFERROR(__xludf.DUMMYFUNCTION("""COMPUTED_VALUE"""),-0.703230828240303)</f>
        <v>-0.7032308282</v>
      </c>
      <c r="L3824" s="165">
        <f>IFERROR(__xludf.DUMMYFUNCTION("""COMPUTED_VALUE"""),-0.505796183573381)</f>
        <v>-0.5057961836</v>
      </c>
      <c r="M3824" s="166">
        <f t="shared" si="2"/>
        <v>0.4019626207</v>
      </c>
      <c r="N3824" s="167">
        <f t="shared" si="3"/>
        <v>19.7139881</v>
      </c>
      <c r="O3824" s="163">
        <f t="shared" ref="O3824:Q3824" si="3828">rank(I3824,I:I)</f>
        <v>2361</v>
      </c>
      <c r="P3824" s="163">
        <f t="shared" si="3828"/>
        <v>2756</v>
      </c>
      <c r="Q3824" s="163">
        <f t="shared" si="3828"/>
        <v>2421</v>
      </c>
      <c r="R3824" s="163">
        <f>IFERROR(__xludf.DUMMYFUNCTION("RANK(M3824,filter(M:M,C:C=C3824))"),215.0)</f>
        <v>215</v>
      </c>
      <c r="S3824" s="161" t="b">
        <f t="shared" si="5"/>
        <v>1</v>
      </c>
      <c r="T3824" s="161" t="b">
        <f t="array" ref="T3824">index('Query Tool'!B:B,match(H3824,'Query Tool'!C:C,0))</f>
        <v>1</v>
      </c>
      <c r="U3824" s="161" t="b">
        <f t="array" ref="U3824">index('Query Tool'!B:B,match(C3824,'Query Tool'!C:C,0))</f>
        <v>1</v>
      </c>
      <c r="V3824" s="161" t="b">
        <f>F3824&gt;='Query Tool'!C$32</f>
        <v>1</v>
      </c>
      <c r="W3824" s="161" t="b">
        <f t="array" ref="W3824">index(Dropdowns!B:B,match(I3824,Dropdowns!A:A,0))</f>
        <v>1</v>
      </c>
      <c r="X3824" s="161" t="b">
        <f t="array" ref="X3824">index('Query Tool'!B:B,match(D3824,'Query Tool'!C:C,0))</f>
        <v>1</v>
      </c>
      <c r="Y3824" s="161" t="str">
        <f t="shared" si="6"/>
        <v>brownbr01,2020-21</v>
      </c>
      <c r="Z3824" s="168" t="str">
        <f t="array" ref="Z3824">iferror(index(I:I,match($A3824&amp;","&amp;index('Year Conversion'!$A:$A,match($C3824,'Year Conversion'!$B:$B,0)),$Y:$Y,0))-I3824,"")</f>
        <v/>
      </c>
      <c r="AA3824" s="168" t="str">
        <f t="array" ref="AA3824">iferror(index(J:J,match($A3824&amp;","&amp;index('Year Conversion'!$A:$A,match($C3824,'Year Conversion'!$B:$B,0)),$Y:$Y,0))-J3824,"")</f>
        <v/>
      </c>
      <c r="AB3824" s="168" t="str">
        <f t="array" ref="AB3824">iferror(index(K:K,match($A3824&amp;","&amp;index('Year Conversion'!$A:$A,match($C3824,'Year Conversion'!$B:$B,0)),$Y:$Y,0))-K3824,"")</f>
        <v/>
      </c>
      <c r="AC3824" s="168" t="str">
        <f t="shared" si="7"/>
        <v>BRK,2020-21</v>
      </c>
    </row>
    <row r="3825">
      <c r="A3825" s="161" t="str">
        <f>IFERROR(__xludf.DUMMYFUNCTION("""COMPUTED_VALUE"""),"browntr01")</f>
        <v>browntr01</v>
      </c>
      <c r="B3825" s="161" t="str">
        <f>IFERROR(__xludf.DUMMYFUNCTION("""COMPUTED_VALUE"""),"Troy Brown Jr.")</f>
        <v>Troy Brown Jr.</v>
      </c>
      <c r="C3825" s="162" t="str">
        <f>IFERROR(__xludf.DUMMYFUNCTION("""COMPUTED_VALUE"""),"2020-21")</f>
        <v>2020-21</v>
      </c>
      <c r="D3825" s="163" t="str">
        <f>IFERROR(__xludf.DUMMYFUNCTION("""COMPUTED_VALUE"""),"WAS")</f>
        <v>WAS</v>
      </c>
      <c r="E3825" s="164" t="str">
        <f>IFERROR(__xludf.DUMMYFUNCTION("""COMPUTED_VALUE"""),"Stationary Shooter")</f>
        <v>Stationary Shooter</v>
      </c>
      <c r="F3825" s="164">
        <f>IFERROR(__xludf.DUMMYFUNCTION("""COMPUTED_VALUE"""),205.046666666667)</f>
        <v>205.0466667</v>
      </c>
      <c r="G3825" s="163">
        <f>IFERROR(__xludf.DUMMYFUNCTION("""COMPUTED_VALUE"""),13.0)</f>
        <v>13</v>
      </c>
      <c r="H3825" s="163" t="str">
        <f>IFERROR(__xludf.DUMMYFUNCTION("""COMPUTED_VALUE"""),"SF")</f>
        <v>SF</v>
      </c>
      <c r="I3825" s="163">
        <f>IFERROR(__xludf.DUMMYFUNCTION("""COMPUTED_VALUE"""),21.0)</f>
        <v>21</v>
      </c>
      <c r="J3825" s="165">
        <f>IFERROR(__xludf.DUMMYFUNCTION("""COMPUTED_VALUE"""),-1.78297794156882)</f>
        <v>-1.782977942</v>
      </c>
      <c r="K3825" s="165">
        <f>IFERROR(__xludf.DUMMYFUNCTION("""COMPUTED_VALUE"""),-1.47841309096059)</f>
        <v>-1.478413091</v>
      </c>
      <c r="L3825" s="165">
        <f>IFERROR(__xludf.DUMMYFUNCTION("""COMPUTED_VALUE"""),-0.304564850608239)</f>
        <v>-0.3045648506</v>
      </c>
      <c r="M3825" s="166">
        <f t="shared" si="2"/>
        <v>0.0707168555</v>
      </c>
      <c r="N3825" s="167">
        <f t="shared" si="3"/>
        <v>15.77282051</v>
      </c>
      <c r="O3825" s="163">
        <f t="shared" ref="O3825:Q3825" si="3829">rank(I3825,I:I)</f>
        <v>3528</v>
      </c>
      <c r="P3825" s="163">
        <f t="shared" si="3829"/>
        <v>3313</v>
      </c>
      <c r="Q3825" s="163">
        <f t="shared" si="3829"/>
        <v>3335</v>
      </c>
      <c r="R3825" s="163">
        <f>IFERROR(__xludf.DUMMYFUNCTION("RANK(M3825,filter(M:M,C:C=C3825))"),356.0)</f>
        <v>356</v>
      </c>
      <c r="S3825" s="161" t="b">
        <f t="shared" si="5"/>
        <v>0</v>
      </c>
      <c r="T3825" s="161" t="b">
        <f t="array" ref="T3825">index('Query Tool'!B:B,match(H3825,'Query Tool'!C:C,0))</f>
        <v>1</v>
      </c>
      <c r="U3825" s="161" t="b">
        <f t="array" ref="U3825">index('Query Tool'!B:B,match(C3825,'Query Tool'!C:C,0))</f>
        <v>1</v>
      </c>
      <c r="V3825" s="161" t="b">
        <f>F3825&gt;='Query Tool'!C$32</f>
        <v>0</v>
      </c>
      <c r="W3825" s="161" t="b">
        <f t="array" ref="W3825">index(Dropdowns!B:B,match(I3825,Dropdowns!A:A,0))</f>
        <v>1</v>
      </c>
      <c r="X3825" s="161" t="b">
        <f t="array" ref="X3825">index('Query Tool'!B:B,match(D3825,'Query Tool'!C:C,0))</f>
        <v>1</v>
      </c>
      <c r="Y3825" s="161" t="str">
        <f t="shared" si="6"/>
        <v>browntr01,2020-21</v>
      </c>
      <c r="Z3825" s="168" t="str">
        <f t="array" ref="Z3825">iferror(index(I:I,match($A3825&amp;","&amp;index('Year Conversion'!$A:$A,match($C3825,'Year Conversion'!$B:$B,0)),$Y:$Y,0))-I3825,"")</f>
        <v/>
      </c>
      <c r="AA3825" s="168" t="str">
        <f t="array" ref="AA3825">iferror(index(J:J,match($A3825&amp;","&amp;index('Year Conversion'!$A:$A,match($C3825,'Year Conversion'!$B:$B,0)),$Y:$Y,0))-J3825,"")</f>
        <v/>
      </c>
      <c r="AB3825" s="168" t="str">
        <f t="array" ref="AB3825">iferror(index(K:K,match($A3825&amp;","&amp;index('Year Conversion'!$A:$A,match($C3825,'Year Conversion'!$B:$B,0)),$Y:$Y,0))-K3825,"")</f>
        <v/>
      </c>
      <c r="AC3825" s="168" t="str">
        <f t="shared" si="7"/>
        <v>WAS,2020-21</v>
      </c>
    </row>
    <row r="3826">
      <c r="A3826" s="161" t="str">
        <f>IFERROR(__xludf.DUMMYFUNCTION("""COMPUTED_VALUE"""),"brunsja01")</f>
        <v>brunsja01</v>
      </c>
      <c r="B3826" s="161" t="str">
        <f>IFERROR(__xludf.DUMMYFUNCTION("""COMPUTED_VALUE"""),"Jalen Brunson")</f>
        <v>Jalen Brunson</v>
      </c>
      <c r="C3826" s="162" t="str">
        <f>IFERROR(__xludf.DUMMYFUNCTION("""COMPUTED_VALUE"""),"2020-21")</f>
        <v>2020-21</v>
      </c>
      <c r="D3826" s="163" t="str">
        <f>IFERROR(__xludf.DUMMYFUNCTION("""COMPUTED_VALUE"""),"DAL")</f>
        <v>DAL</v>
      </c>
      <c r="E3826" s="164" t="str">
        <f>IFERROR(__xludf.DUMMYFUNCTION("""COMPUTED_VALUE"""),"Primary Ball Handler")</f>
        <v>Primary Ball Handler</v>
      </c>
      <c r="F3826" s="164">
        <f>IFERROR(__xludf.DUMMYFUNCTION("""COMPUTED_VALUE"""),577.985)</f>
        <v>577.985</v>
      </c>
      <c r="G3826" s="163">
        <f>IFERROR(__xludf.DUMMYFUNCTION("""COMPUTED_VALUE"""),24.0)</f>
        <v>24</v>
      </c>
      <c r="H3826" s="163" t="str">
        <f>IFERROR(__xludf.DUMMYFUNCTION("""COMPUTED_VALUE"""),"PG")</f>
        <v>PG</v>
      </c>
      <c r="I3826" s="163">
        <f>IFERROR(__xludf.DUMMYFUNCTION("""COMPUTED_VALUE"""),24.0)</f>
        <v>24</v>
      </c>
      <c r="J3826" s="165">
        <f>IFERROR(__xludf.DUMMYFUNCTION("""COMPUTED_VALUE"""),-0.135129743213771)</f>
        <v>-0.1351297432</v>
      </c>
      <c r="K3826" s="165">
        <f>IFERROR(__xludf.DUMMYFUNCTION("""COMPUTED_VALUE"""),0.0682519701018394)</f>
        <v>0.0682519701</v>
      </c>
      <c r="L3826" s="165">
        <f>IFERROR(__xludf.DUMMYFUNCTION("""COMPUTED_VALUE"""),-0.203381713315611)</f>
        <v>-0.2033817133</v>
      </c>
      <c r="M3826" s="166">
        <f t="shared" si="2"/>
        <v>0.8384053207</v>
      </c>
      <c r="N3826" s="167">
        <f t="shared" si="3"/>
        <v>24.08270833</v>
      </c>
      <c r="O3826" s="163">
        <f t="shared" ref="O3826:Q3826" si="3830">rank(I3826,I:I)</f>
        <v>2361</v>
      </c>
      <c r="P3826" s="163">
        <f t="shared" si="3830"/>
        <v>1419</v>
      </c>
      <c r="Q3826" s="163">
        <f t="shared" si="3830"/>
        <v>1108</v>
      </c>
      <c r="R3826" s="163">
        <f>IFERROR(__xludf.DUMMYFUNCTION("RANK(M3826,filter(M:M,C:C=C3826))"),138.0)</f>
        <v>138</v>
      </c>
      <c r="S3826" s="161" t="b">
        <f t="shared" si="5"/>
        <v>1</v>
      </c>
      <c r="T3826" s="161" t="b">
        <f t="array" ref="T3826">index('Query Tool'!B:B,match(H3826,'Query Tool'!C:C,0))</f>
        <v>1</v>
      </c>
      <c r="U3826" s="161" t="b">
        <f t="array" ref="U3826">index('Query Tool'!B:B,match(C3826,'Query Tool'!C:C,0))</f>
        <v>1</v>
      </c>
      <c r="V3826" s="161" t="b">
        <f>F3826&gt;='Query Tool'!C$32</f>
        <v>1</v>
      </c>
      <c r="W3826" s="161" t="b">
        <f t="array" ref="W3826">index(Dropdowns!B:B,match(I3826,Dropdowns!A:A,0))</f>
        <v>1</v>
      </c>
      <c r="X3826" s="161" t="b">
        <f t="array" ref="X3826">index('Query Tool'!B:B,match(D3826,'Query Tool'!C:C,0))</f>
        <v>1</v>
      </c>
      <c r="Y3826" s="161" t="str">
        <f t="shared" si="6"/>
        <v>brunsja01,2020-21</v>
      </c>
      <c r="Z3826" s="168" t="str">
        <f t="array" ref="Z3826">iferror(index(I:I,match($A3826&amp;","&amp;index('Year Conversion'!$A:$A,match($C3826,'Year Conversion'!$B:$B,0)),$Y:$Y,0))-I3826,"")</f>
        <v/>
      </c>
      <c r="AA3826" s="168" t="str">
        <f t="array" ref="AA3826">iferror(index(J:J,match($A3826&amp;","&amp;index('Year Conversion'!$A:$A,match($C3826,'Year Conversion'!$B:$B,0)),$Y:$Y,0))-J3826,"")</f>
        <v/>
      </c>
      <c r="AB3826" s="168" t="str">
        <f t="array" ref="AB3826">iferror(index(K:K,match($A3826&amp;","&amp;index('Year Conversion'!$A:$A,match($C3826,'Year Conversion'!$B:$B,0)),$Y:$Y,0))-K3826,"")</f>
        <v/>
      </c>
      <c r="AC3826" s="168" t="str">
        <f t="shared" si="7"/>
        <v>DAL,2020-21</v>
      </c>
    </row>
    <row r="3827">
      <c r="A3827" s="161" t="str">
        <f>IFERROR(__xludf.DUMMYFUNCTION("""COMPUTED_VALUE"""),"carteje01")</f>
        <v>carteje01</v>
      </c>
      <c r="B3827" s="161" t="str">
        <f>IFERROR(__xludf.DUMMYFUNCTION("""COMPUTED_VALUE"""),"Jevon Carter")</f>
        <v>Jevon Carter</v>
      </c>
      <c r="C3827" s="162" t="str">
        <f>IFERROR(__xludf.DUMMYFUNCTION("""COMPUTED_VALUE"""),"2020-21")</f>
        <v>2020-21</v>
      </c>
      <c r="D3827" s="163" t="str">
        <f>IFERROR(__xludf.DUMMYFUNCTION("""COMPUTED_VALUE"""),"PHO")</f>
        <v>PHO</v>
      </c>
      <c r="E3827" s="164" t="str">
        <f>IFERROR(__xludf.DUMMYFUNCTION("""COMPUTED_VALUE"""),"Movement Shooter")</f>
        <v>Movement Shooter</v>
      </c>
      <c r="F3827" s="164">
        <f>IFERROR(__xludf.DUMMYFUNCTION("""COMPUTED_VALUE"""),265.593333333333)</f>
        <v>265.5933333</v>
      </c>
      <c r="G3827" s="163">
        <f>IFERROR(__xludf.DUMMYFUNCTION("""COMPUTED_VALUE"""),25.0)</f>
        <v>25</v>
      </c>
      <c r="H3827" s="163" t="str">
        <f>IFERROR(__xludf.DUMMYFUNCTION("""COMPUTED_VALUE"""),"PG")</f>
        <v>PG</v>
      </c>
      <c r="I3827" s="163">
        <f>IFERROR(__xludf.DUMMYFUNCTION("""COMPUTED_VALUE"""),25.0)</f>
        <v>25</v>
      </c>
      <c r="J3827" s="165">
        <f>IFERROR(__xludf.DUMMYFUNCTION("""COMPUTED_VALUE"""),-0.537941475149651)</f>
        <v>-0.5379414751</v>
      </c>
      <c r="K3827" s="165">
        <f>IFERROR(__xludf.DUMMYFUNCTION("""COMPUTED_VALUE"""),-0.466480826522832)</f>
        <v>-0.4664808265</v>
      </c>
      <c r="L3827" s="165">
        <f>IFERROR(__xludf.DUMMYFUNCTION("""COMPUTED_VALUE"""),-0.0714606486268191)</f>
        <v>-0.07146064863</v>
      </c>
      <c r="M3827" s="166">
        <f t="shared" si="2"/>
        <v>0.3131711199</v>
      </c>
      <c r="N3827" s="167">
        <f t="shared" si="3"/>
        <v>10.62373333</v>
      </c>
      <c r="O3827" s="163">
        <f t="shared" ref="O3827:Q3827" si="3831">rank(I3827,I:I)</f>
        <v>1995</v>
      </c>
      <c r="P3827" s="163">
        <f t="shared" si="3831"/>
        <v>1902</v>
      </c>
      <c r="Q3827" s="163">
        <f t="shared" si="3831"/>
        <v>2059</v>
      </c>
      <c r="R3827" s="163">
        <f>IFERROR(__xludf.DUMMYFUNCTION("RANK(M3827,filter(M:M,C:C=C3827))"),240.0)</f>
        <v>240</v>
      </c>
      <c r="S3827" s="161" t="b">
        <f t="shared" si="5"/>
        <v>0</v>
      </c>
      <c r="T3827" s="161" t="b">
        <f t="array" ref="T3827">index('Query Tool'!B:B,match(H3827,'Query Tool'!C:C,0))</f>
        <v>1</v>
      </c>
      <c r="U3827" s="161" t="b">
        <f t="array" ref="U3827">index('Query Tool'!B:B,match(C3827,'Query Tool'!C:C,0))</f>
        <v>1</v>
      </c>
      <c r="V3827" s="161" t="b">
        <f>F3827&gt;='Query Tool'!C$32</f>
        <v>0</v>
      </c>
      <c r="W3827" s="161" t="b">
        <f t="array" ref="W3827">index(Dropdowns!B:B,match(I3827,Dropdowns!A:A,0))</f>
        <v>1</v>
      </c>
      <c r="X3827" s="161" t="b">
        <f t="array" ref="X3827">index('Query Tool'!B:B,match(D3827,'Query Tool'!C:C,0))</f>
        <v>1</v>
      </c>
      <c r="Y3827" s="161" t="str">
        <f t="shared" si="6"/>
        <v>carteje01,2020-21</v>
      </c>
      <c r="Z3827" s="168" t="str">
        <f t="array" ref="Z3827">iferror(index(I:I,match($A3827&amp;","&amp;index('Year Conversion'!$A:$A,match($C3827,'Year Conversion'!$B:$B,0)),$Y:$Y,0))-I3827,"")</f>
        <v/>
      </c>
      <c r="AA3827" s="168" t="str">
        <f t="array" ref="AA3827">iferror(index(J:J,match($A3827&amp;","&amp;index('Year Conversion'!$A:$A,match($C3827,'Year Conversion'!$B:$B,0)),$Y:$Y,0))-J3827,"")</f>
        <v/>
      </c>
      <c r="AB3827" s="168" t="str">
        <f t="array" ref="AB3827">iferror(index(K:K,match($A3827&amp;","&amp;index('Year Conversion'!$A:$A,match($C3827,'Year Conversion'!$B:$B,0)),$Y:$Y,0))-K3827,"")</f>
        <v/>
      </c>
      <c r="AC3827" s="168" t="str">
        <f t="shared" si="7"/>
        <v>PHO,2020-21</v>
      </c>
    </row>
    <row r="3828">
      <c r="A3828" s="161" t="str">
        <f>IFERROR(__xludf.DUMMYFUNCTION("""COMPUTED_VALUE"""),"cartewe01")</f>
        <v>cartewe01</v>
      </c>
      <c r="B3828" s="161" t="str">
        <f>IFERROR(__xludf.DUMMYFUNCTION("""COMPUTED_VALUE"""),"Wendell Carter Jr.")</f>
        <v>Wendell Carter Jr.</v>
      </c>
      <c r="C3828" s="162" t="str">
        <f>IFERROR(__xludf.DUMMYFUNCTION("""COMPUTED_VALUE"""),"2020-21")</f>
        <v>2020-21</v>
      </c>
      <c r="D3828" s="163" t="str">
        <f>IFERROR(__xludf.DUMMYFUNCTION("""COMPUTED_VALUE"""),"CHI")</f>
        <v>CHI</v>
      </c>
      <c r="E3828" s="164" t="str">
        <f>IFERROR(__xludf.DUMMYFUNCTION("""COMPUTED_VALUE"""),"Roll + Cut Big")</f>
        <v>Roll + Cut Big</v>
      </c>
      <c r="F3828" s="164">
        <f>IFERROR(__xludf.DUMMYFUNCTION("""COMPUTED_VALUE"""),482.935)</f>
        <v>482.935</v>
      </c>
      <c r="G3828" s="163">
        <f>IFERROR(__xludf.DUMMYFUNCTION("""COMPUTED_VALUE"""),18.0)</f>
        <v>18</v>
      </c>
      <c r="H3828" s="163" t="str">
        <f>IFERROR(__xludf.DUMMYFUNCTION("""COMPUTED_VALUE"""),"C")</f>
        <v>C</v>
      </c>
      <c r="I3828" s="163">
        <f>IFERROR(__xludf.DUMMYFUNCTION("""COMPUTED_VALUE"""),21.0)</f>
        <v>21</v>
      </c>
      <c r="J3828" s="165">
        <f>IFERROR(__xludf.DUMMYFUNCTION("""COMPUTED_VALUE"""),-0.500008620739087)</f>
        <v>-0.5000086207</v>
      </c>
      <c r="K3828" s="165">
        <f>IFERROR(__xludf.DUMMYFUNCTION("""COMPUTED_VALUE"""),-0.664225874297328)</f>
        <v>-0.6642258743</v>
      </c>
      <c r="L3828" s="165">
        <f>IFERROR(__xludf.DUMMYFUNCTION("""COMPUTED_VALUE"""),0.164217253558241)</f>
        <v>0.1642172536</v>
      </c>
      <c r="M3828" s="166">
        <f t="shared" si="2"/>
        <v>0.5817835729</v>
      </c>
      <c r="N3828" s="167">
        <f t="shared" si="3"/>
        <v>26.82972222</v>
      </c>
      <c r="O3828" s="163">
        <f t="shared" ref="O3828:Q3828" si="3832">rank(I3828,I:I)</f>
        <v>3528</v>
      </c>
      <c r="P3828" s="163">
        <f t="shared" si="3832"/>
        <v>1855</v>
      </c>
      <c r="Q3828" s="163">
        <f t="shared" si="3832"/>
        <v>2360</v>
      </c>
      <c r="R3828" s="163">
        <f>IFERROR(__xludf.DUMMYFUNCTION("RANK(M3828,filter(M:M,C:C=C3828))"),175.0)</f>
        <v>175</v>
      </c>
      <c r="S3828" s="161" t="b">
        <f t="shared" si="5"/>
        <v>0</v>
      </c>
      <c r="T3828" s="161" t="b">
        <f t="array" ref="T3828">index('Query Tool'!B:B,match(H3828,'Query Tool'!C:C,0))</f>
        <v>1</v>
      </c>
      <c r="U3828" s="161" t="b">
        <f t="array" ref="U3828">index('Query Tool'!B:B,match(C3828,'Query Tool'!C:C,0))</f>
        <v>1</v>
      </c>
      <c r="V3828" s="161" t="b">
        <f>F3828&gt;='Query Tool'!C$32</f>
        <v>0</v>
      </c>
      <c r="W3828" s="161" t="b">
        <f t="array" ref="W3828">index(Dropdowns!B:B,match(I3828,Dropdowns!A:A,0))</f>
        <v>1</v>
      </c>
      <c r="X3828" s="161" t="b">
        <f t="array" ref="X3828">index('Query Tool'!B:B,match(D3828,'Query Tool'!C:C,0))</f>
        <v>1</v>
      </c>
      <c r="Y3828" s="161" t="str">
        <f t="shared" si="6"/>
        <v>cartewe01,2020-21</v>
      </c>
      <c r="Z3828" s="168" t="str">
        <f t="array" ref="Z3828">iferror(index(I:I,match($A3828&amp;","&amp;index('Year Conversion'!$A:$A,match($C3828,'Year Conversion'!$B:$B,0)),$Y:$Y,0))-I3828,"")</f>
        <v/>
      </c>
      <c r="AA3828" s="168" t="str">
        <f t="array" ref="AA3828">iferror(index(J:J,match($A3828&amp;","&amp;index('Year Conversion'!$A:$A,match($C3828,'Year Conversion'!$B:$B,0)),$Y:$Y,0))-J3828,"")</f>
        <v/>
      </c>
      <c r="AB3828" s="168" t="str">
        <f t="array" ref="AB3828">iferror(index(K:K,match($A3828&amp;","&amp;index('Year Conversion'!$A:$A,match($C3828,'Year Conversion'!$B:$B,0)),$Y:$Y,0))-K3828,"")</f>
        <v/>
      </c>
      <c r="AC3828" s="168" t="str">
        <f t="shared" si="7"/>
        <v>CHI,2020-21</v>
      </c>
    </row>
    <row r="3829">
      <c r="A3829" s="161" t="str">
        <f>IFERROR(__xludf.DUMMYFUNCTION("""COMPUTED_VALUE"""),"diallha01")</f>
        <v>diallha01</v>
      </c>
      <c r="B3829" s="161" t="str">
        <f>IFERROR(__xludf.DUMMYFUNCTION("""COMPUTED_VALUE"""),"Hamidou Diallo")</f>
        <v>Hamidou Diallo</v>
      </c>
      <c r="C3829" s="162" t="str">
        <f>IFERROR(__xludf.DUMMYFUNCTION("""COMPUTED_VALUE"""),"2020-21")</f>
        <v>2020-21</v>
      </c>
      <c r="D3829" s="163" t="str">
        <f>IFERROR(__xludf.DUMMYFUNCTION("""COMPUTED_VALUE"""),"OKC")</f>
        <v>OKC</v>
      </c>
      <c r="E3829" s="164" t="str">
        <f>IFERROR(__xludf.DUMMYFUNCTION("""COMPUTED_VALUE"""),"Athletic Finisher")</f>
        <v>Athletic Finisher</v>
      </c>
      <c r="F3829" s="164">
        <f>IFERROR(__xludf.DUMMYFUNCTION("""COMPUTED_VALUE"""),729.72)</f>
        <v>729.72</v>
      </c>
      <c r="G3829" s="163">
        <f>IFERROR(__xludf.DUMMYFUNCTION("""COMPUTED_VALUE"""),30.0)</f>
        <v>30</v>
      </c>
      <c r="H3829" s="163" t="str">
        <f>IFERROR(__xludf.DUMMYFUNCTION("""COMPUTED_VALUE"""),"SG")</f>
        <v>SG</v>
      </c>
      <c r="I3829" s="163">
        <f>IFERROR(__xludf.DUMMYFUNCTION("""COMPUTED_VALUE"""),22.0)</f>
        <v>22</v>
      </c>
      <c r="J3829" s="165">
        <f>IFERROR(__xludf.DUMMYFUNCTION("""COMPUTED_VALUE"""),-0.877095439976702)</f>
        <v>-0.87709544</v>
      </c>
      <c r="K3829" s="165">
        <f>IFERROR(__xludf.DUMMYFUNCTION("""COMPUTED_VALUE"""),-1.19488094899502)</f>
        <v>-1.194880949</v>
      </c>
      <c r="L3829" s="165">
        <f>IFERROR(__xludf.DUMMYFUNCTION("""COMPUTED_VALUE"""),0.31778550901832)</f>
        <v>0.317785509</v>
      </c>
      <c r="M3829" s="166">
        <f t="shared" si="2"/>
        <v>0.6939410942</v>
      </c>
      <c r="N3829" s="167">
        <f t="shared" si="3"/>
        <v>24.324</v>
      </c>
      <c r="O3829" s="163">
        <f t="shared" ref="O3829:Q3829" si="3833">rank(I3829,I:I)</f>
        <v>3178</v>
      </c>
      <c r="P3829" s="163">
        <f t="shared" si="3833"/>
        <v>2373</v>
      </c>
      <c r="Q3829" s="163">
        <f t="shared" si="3833"/>
        <v>3033</v>
      </c>
      <c r="R3829" s="163">
        <f>IFERROR(__xludf.DUMMYFUNCTION("RANK(M3829,filter(M:M,C:C=C3829))"),157.0)</f>
        <v>157</v>
      </c>
      <c r="S3829" s="161" t="b">
        <f t="shared" si="5"/>
        <v>1</v>
      </c>
      <c r="T3829" s="161" t="b">
        <f t="array" ref="T3829">index('Query Tool'!B:B,match(H3829,'Query Tool'!C:C,0))</f>
        <v>1</v>
      </c>
      <c r="U3829" s="161" t="b">
        <f t="array" ref="U3829">index('Query Tool'!B:B,match(C3829,'Query Tool'!C:C,0))</f>
        <v>1</v>
      </c>
      <c r="V3829" s="161" t="b">
        <f>F3829&gt;='Query Tool'!C$32</f>
        <v>1</v>
      </c>
      <c r="W3829" s="161" t="b">
        <f t="array" ref="W3829">index(Dropdowns!B:B,match(I3829,Dropdowns!A:A,0))</f>
        <v>1</v>
      </c>
      <c r="X3829" s="161" t="b">
        <f t="array" ref="X3829">index('Query Tool'!B:B,match(D3829,'Query Tool'!C:C,0))</f>
        <v>1</v>
      </c>
      <c r="Y3829" s="161" t="str">
        <f t="shared" si="6"/>
        <v>diallha01,2020-21</v>
      </c>
      <c r="Z3829" s="168" t="str">
        <f t="array" ref="Z3829">iferror(index(I:I,match($A3829&amp;","&amp;index('Year Conversion'!$A:$A,match($C3829,'Year Conversion'!$B:$B,0)),$Y:$Y,0))-I3829,"")</f>
        <v/>
      </c>
      <c r="AA3829" s="168" t="str">
        <f t="array" ref="AA3829">iferror(index(J:J,match($A3829&amp;","&amp;index('Year Conversion'!$A:$A,match($C3829,'Year Conversion'!$B:$B,0)),$Y:$Y,0))-J3829,"")</f>
        <v/>
      </c>
      <c r="AB3829" s="168" t="str">
        <f t="array" ref="AB3829">iferror(index(K:K,match($A3829&amp;","&amp;index('Year Conversion'!$A:$A,match($C3829,'Year Conversion'!$B:$B,0)),$Y:$Y,0))-K3829,"")</f>
        <v/>
      </c>
      <c r="AC3829" s="168" t="str">
        <f t="shared" si="7"/>
        <v>OKC,2020-21</v>
      </c>
    </row>
    <row r="3830">
      <c r="A3830" s="161" t="str">
        <f>IFERROR(__xludf.DUMMYFUNCTION("""COMPUTED_VALUE"""),"divindo01")</f>
        <v>divindo01</v>
      </c>
      <c r="B3830" s="161" t="str">
        <f>IFERROR(__xludf.DUMMYFUNCTION("""COMPUTED_VALUE"""),"Donte DiVincenzo")</f>
        <v>Donte DiVincenzo</v>
      </c>
      <c r="C3830" s="162" t="str">
        <f>IFERROR(__xludf.DUMMYFUNCTION("""COMPUTED_VALUE"""),"2020-21")</f>
        <v>2020-21</v>
      </c>
      <c r="D3830" s="163" t="str">
        <f>IFERROR(__xludf.DUMMYFUNCTION("""COMPUTED_VALUE"""),"MIL")</f>
        <v>MIL</v>
      </c>
      <c r="E3830" s="164" t="str">
        <f>IFERROR(__xludf.DUMMYFUNCTION("""COMPUTED_VALUE"""),"Movement Shooter")</f>
        <v>Movement Shooter</v>
      </c>
      <c r="F3830" s="164">
        <f>IFERROR(__xludf.DUMMYFUNCTION("""COMPUTED_VALUE"""),820.195)</f>
        <v>820.195</v>
      </c>
      <c r="G3830" s="163">
        <f>IFERROR(__xludf.DUMMYFUNCTION("""COMPUTED_VALUE"""),31.0)</f>
        <v>31</v>
      </c>
      <c r="H3830" s="163" t="str">
        <f>IFERROR(__xludf.DUMMYFUNCTION("""COMPUTED_VALUE"""),"SG")</f>
        <v>SG</v>
      </c>
      <c r="I3830" s="163">
        <f>IFERROR(__xludf.DUMMYFUNCTION("""COMPUTED_VALUE"""),24.0)</f>
        <v>24</v>
      </c>
      <c r="J3830" s="165">
        <f>IFERROR(__xludf.DUMMYFUNCTION("""COMPUTED_VALUE"""),1.03051841567393)</f>
        <v>1.030518416</v>
      </c>
      <c r="K3830" s="165">
        <f>IFERROR(__xludf.DUMMYFUNCTION("""COMPUTED_VALUE"""),0.380782392316063)</f>
        <v>0.3807823923</v>
      </c>
      <c r="L3830" s="165">
        <f>IFERROR(__xludf.DUMMYFUNCTION("""COMPUTED_VALUE"""),0.649736023357863)</f>
        <v>0.6497360234</v>
      </c>
      <c r="M3830" s="166">
        <f t="shared" si="2"/>
        <v>1.833470901</v>
      </c>
      <c r="N3830" s="167">
        <f t="shared" si="3"/>
        <v>26.45790323</v>
      </c>
      <c r="O3830" s="163">
        <f t="shared" ref="O3830:Q3830" si="3834">rank(I3830,I:I)</f>
        <v>2361</v>
      </c>
      <c r="P3830" s="163">
        <f t="shared" si="3834"/>
        <v>645</v>
      </c>
      <c r="Q3830" s="163">
        <f t="shared" si="3834"/>
        <v>846</v>
      </c>
      <c r="R3830" s="163">
        <f>IFERROR(__xludf.DUMMYFUNCTION("RANK(M3830,filter(M:M,C:C=C3830))"),54.0)</f>
        <v>54</v>
      </c>
      <c r="S3830" s="161" t="b">
        <f t="shared" si="5"/>
        <v>1</v>
      </c>
      <c r="T3830" s="161" t="b">
        <f t="array" ref="T3830">index('Query Tool'!B:B,match(H3830,'Query Tool'!C:C,0))</f>
        <v>1</v>
      </c>
      <c r="U3830" s="161" t="b">
        <f t="array" ref="U3830">index('Query Tool'!B:B,match(C3830,'Query Tool'!C:C,0))</f>
        <v>1</v>
      </c>
      <c r="V3830" s="161" t="b">
        <f>F3830&gt;='Query Tool'!C$32</f>
        <v>1</v>
      </c>
      <c r="W3830" s="161" t="b">
        <f t="array" ref="W3830">index(Dropdowns!B:B,match(I3830,Dropdowns!A:A,0))</f>
        <v>1</v>
      </c>
      <c r="X3830" s="161" t="b">
        <f t="array" ref="X3830">index('Query Tool'!B:B,match(D3830,'Query Tool'!C:C,0))</f>
        <v>1</v>
      </c>
      <c r="Y3830" s="161" t="str">
        <f t="shared" si="6"/>
        <v>divindo01,2020-21</v>
      </c>
      <c r="Z3830" s="168" t="str">
        <f t="array" ref="Z3830">iferror(index(I:I,match($A3830&amp;","&amp;index('Year Conversion'!$A:$A,match($C3830,'Year Conversion'!$B:$B,0)),$Y:$Y,0))-I3830,"")</f>
        <v/>
      </c>
      <c r="AA3830" s="168" t="str">
        <f t="array" ref="AA3830">iferror(index(J:J,match($A3830&amp;","&amp;index('Year Conversion'!$A:$A,match($C3830,'Year Conversion'!$B:$B,0)),$Y:$Y,0))-J3830,"")</f>
        <v/>
      </c>
      <c r="AB3830" s="168" t="str">
        <f t="array" ref="AB3830">iferror(index(K:K,match($A3830&amp;","&amp;index('Year Conversion'!$A:$A,match($C3830,'Year Conversion'!$B:$B,0)),$Y:$Y,0))-K3830,"")</f>
        <v/>
      </c>
      <c r="AC3830" s="168" t="str">
        <f t="shared" si="7"/>
        <v>MIL,2020-21</v>
      </c>
    </row>
    <row r="3831">
      <c r="A3831" s="161" t="str">
        <f>IFERROR(__xludf.DUMMYFUNCTION("""COMPUTED_VALUE"""),"fernabr01")</f>
        <v>fernabr01</v>
      </c>
      <c r="B3831" s="161" t="str">
        <f>IFERROR(__xludf.DUMMYFUNCTION("""COMPUTED_VALUE"""),"Bruno Fernando")</f>
        <v>Bruno Fernando</v>
      </c>
      <c r="C3831" s="162" t="str">
        <f>IFERROR(__xludf.DUMMYFUNCTION("""COMPUTED_VALUE"""),"2020-21")</f>
        <v>2020-21</v>
      </c>
      <c r="D3831" s="163" t="str">
        <f>IFERROR(__xludf.DUMMYFUNCTION("""COMPUTED_VALUE"""),"ATL")</f>
        <v>ATL</v>
      </c>
      <c r="E3831" s="164" t="str">
        <f>IFERROR(__xludf.DUMMYFUNCTION("""COMPUTED_VALUE"""),"Roll + Cut Big")</f>
        <v>Roll + Cut Big</v>
      </c>
      <c r="F3831" s="164">
        <f>IFERROR(__xludf.DUMMYFUNCTION("""COMPUTED_VALUE"""),142.616666666667)</f>
        <v>142.6166667</v>
      </c>
      <c r="G3831" s="163">
        <f>IFERROR(__xludf.DUMMYFUNCTION("""COMPUTED_VALUE"""),16.0)</f>
        <v>16</v>
      </c>
      <c r="H3831" s="163" t="str">
        <f>IFERROR(__xludf.DUMMYFUNCTION("""COMPUTED_VALUE"""),"C")</f>
        <v>C</v>
      </c>
      <c r="I3831" s="163">
        <f>IFERROR(__xludf.DUMMYFUNCTION("""COMPUTED_VALUE"""),22.0)</f>
        <v>22</v>
      </c>
      <c r="J3831" s="165">
        <f>IFERROR(__xludf.DUMMYFUNCTION("""COMPUTED_VALUE"""),-1.04603437467702)</f>
        <v>-1.046034375</v>
      </c>
      <c r="K3831" s="165">
        <f>IFERROR(__xludf.DUMMYFUNCTION("""COMPUTED_VALUE"""),-1.42734219927181)</f>
        <v>-1.427342199</v>
      </c>
      <c r="L3831" s="165">
        <f>IFERROR(__xludf.DUMMYFUNCTION("""COMPUTED_VALUE"""),0.38130782459479)</f>
        <v>0.3813078246</v>
      </c>
      <c r="M3831" s="166">
        <f t="shared" si="2"/>
        <v>0.1194430209</v>
      </c>
      <c r="N3831" s="167">
        <f t="shared" si="3"/>
        <v>8.913541667</v>
      </c>
      <c r="O3831" s="163">
        <f t="shared" ref="O3831:Q3831" si="3835">rank(I3831,I:I)</f>
        <v>3178</v>
      </c>
      <c r="P3831" s="163">
        <f t="shared" si="3835"/>
        <v>2546</v>
      </c>
      <c r="Q3831" s="163">
        <f t="shared" si="3835"/>
        <v>3279</v>
      </c>
      <c r="R3831" s="163">
        <f>IFERROR(__xludf.DUMMYFUNCTION("RANK(M3831,filter(M:M,C:C=C3831))"),317.0)</f>
        <v>317</v>
      </c>
      <c r="S3831" s="161" t="b">
        <f t="shared" si="5"/>
        <v>0</v>
      </c>
      <c r="T3831" s="161" t="b">
        <f t="array" ref="T3831">index('Query Tool'!B:B,match(H3831,'Query Tool'!C:C,0))</f>
        <v>1</v>
      </c>
      <c r="U3831" s="161" t="b">
        <f t="array" ref="U3831">index('Query Tool'!B:B,match(C3831,'Query Tool'!C:C,0))</f>
        <v>1</v>
      </c>
      <c r="V3831" s="161" t="b">
        <f>F3831&gt;='Query Tool'!C$32</f>
        <v>0</v>
      </c>
      <c r="W3831" s="161" t="b">
        <f t="array" ref="W3831">index(Dropdowns!B:B,match(I3831,Dropdowns!A:A,0))</f>
        <v>1</v>
      </c>
      <c r="X3831" s="161" t="b">
        <f t="array" ref="X3831">index('Query Tool'!B:B,match(D3831,'Query Tool'!C:C,0))</f>
        <v>1</v>
      </c>
      <c r="Y3831" s="161" t="str">
        <f t="shared" si="6"/>
        <v>fernabr01,2020-21</v>
      </c>
      <c r="Z3831" s="168" t="str">
        <f t="array" ref="Z3831">iferror(index(I:I,match($A3831&amp;","&amp;index('Year Conversion'!$A:$A,match($C3831,'Year Conversion'!$B:$B,0)),$Y:$Y,0))-I3831,"")</f>
        <v/>
      </c>
      <c r="AA3831" s="168" t="str">
        <f t="array" ref="AA3831">iferror(index(J:J,match($A3831&amp;","&amp;index('Year Conversion'!$A:$A,match($C3831,'Year Conversion'!$B:$B,0)),$Y:$Y,0))-J3831,"")</f>
        <v/>
      </c>
      <c r="AB3831" s="168" t="str">
        <f t="array" ref="AB3831">iferror(index(K:K,match($A3831&amp;","&amp;index('Year Conversion'!$A:$A,match($C3831,'Year Conversion'!$B:$B,0)),$Y:$Y,0))-K3831,"")</f>
        <v/>
      </c>
      <c r="AC3831" s="168" t="str">
        <f t="shared" si="7"/>
        <v>ATL,2020-21</v>
      </c>
    </row>
    <row r="3832">
      <c r="A3832" s="161" t="str">
        <f>IFERROR(__xludf.DUMMYFUNCTION("""COMPUTED_VALUE"""),"gilgesh01")</f>
        <v>gilgesh01</v>
      </c>
      <c r="B3832" s="161" t="str">
        <f>IFERROR(__xludf.DUMMYFUNCTION("""COMPUTED_VALUE"""),"Shai Gilgeous-Alexander")</f>
        <v>Shai Gilgeous-Alexander</v>
      </c>
      <c r="C3832" s="162" t="str">
        <f>IFERROR(__xludf.DUMMYFUNCTION("""COMPUTED_VALUE"""),"2020-21")</f>
        <v>2020-21</v>
      </c>
      <c r="D3832" s="163" t="str">
        <f>IFERROR(__xludf.DUMMYFUNCTION("""COMPUTED_VALUE"""),"OKC")</f>
        <v>OKC</v>
      </c>
      <c r="E3832" s="164" t="str">
        <f>IFERROR(__xludf.DUMMYFUNCTION("""COMPUTED_VALUE"""),"Shot Creator")</f>
        <v>Shot Creator</v>
      </c>
      <c r="F3832" s="164">
        <f>IFERROR(__xludf.DUMMYFUNCTION("""COMPUTED_VALUE"""),813.275)</f>
        <v>813.275</v>
      </c>
      <c r="G3832" s="163">
        <f>IFERROR(__xludf.DUMMYFUNCTION("""COMPUTED_VALUE"""),24.0)</f>
        <v>24</v>
      </c>
      <c r="H3832" s="163" t="str">
        <f>IFERROR(__xludf.DUMMYFUNCTION("""COMPUTED_VALUE"""),"SG")</f>
        <v>SG</v>
      </c>
      <c r="I3832" s="163">
        <f>IFERROR(__xludf.DUMMYFUNCTION("""COMPUTED_VALUE"""),22.0)</f>
        <v>22</v>
      </c>
      <c r="J3832" s="165">
        <f>IFERROR(__xludf.DUMMYFUNCTION("""COMPUTED_VALUE"""),0.982259362009841)</f>
        <v>0.982259362</v>
      </c>
      <c r="K3832" s="165">
        <f>IFERROR(__xludf.DUMMYFUNCTION("""COMPUTED_VALUE"""),2.65518275975653)</f>
        <v>2.65518276</v>
      </c>
      <c r="L3832" s="165">
        <f>IFERROR(__xludf.DUMMYFUNCTION("""COMPUTED_VALUE"""),-1.67292339774669)</f>
        <v>-1.672923398</v>
      </c>
      <c r="M3832" s="166">
        <f t="shared" si="2"/>
        <v>1.791652749</v>
      </c>
      <c r="N3832" s="167">
        <f t="shared" si="3"/>
        <v>33.88645833</v>
      </c>
      <c r="O3832" s="163">
        <f t="shared" ref="O3832:Q3832" si="3836">rank(I3832,I:I)</f>
        <v>3178</v>
      </c>
      <c r="P3832" s="163">
        <f t="shared" si="3836"/>
        <v>664</v>
      </c>
      <c r="Q3832" s="163">
        <f t="shared" si="3836"/>
        <v>145</v>
      </c>
      <c r="R3832" s="163">
        <f>IFERROR(__xludf.DUMMYFUNCTION("RANK(M3832,filter(M:M,C:C=C3832))"),55.0)</f>
        <v>55</v>
      </c>
      <c r="S3832" s="161" t="b">
        <f t="shared" si="5"/>
        <v>1</v>
      </c>
      <c r="T3832" s="161" t="b">
        <f t="array" ref="T3832">index('Query Tool'!B:B,match(H3832,'Query Tool'!C:C,0))</f>
        <v>1</v>
      </c>
      <c r="U3832" s="161" t="b">
        <f t="array" ref="U3832">index('Query Tool'!B:B,match(C3832,'Query Tool'!C:C,0))</f>
        <v>1</v>
      </c>
      <c r="V3832" s="161" t="b">
        <f>F3832&gt;='Query Tool'!C$32</f>
        <v>1</v>
      </c>
      <c r="W3832" s="161" t="b">
        <f t="array" ref="W3832">index(Dropdowns!B:B,match(I3832,Dropdowns!A:A,0))</f>
        <v>1</v>
      </c>
      <c r="X3832" s="161" t="b">
        <f t="array" ref="X3832">index('Query Tool'!B:B,match(D3832,'Query Tool'!C:C,0))</f>
        <v>1</v>
      </c>
      <c r="Y3832" s="161" t="str">
        <f t="shared" si="6"/>
        <v>gilgesh01,2020-21</v>
      </c>
      <c r="Z3832" s="168" t="str">
        <f t="array" ref="Z3832">iferror(index(I:I,match($A3832&amp;","&amp;index('Year Conversion'!$A:$A,match($C3832,'Year Conversion'!$B:$B,0)),$Y:$Y,0))-I3832,"")</f>
        <v/>
      </c>
      <c r="AA3832" s="168" t="str">
        <f t="array" ref="AA3832">iferror(index(J:J,match($A3832&amp;","&amp;index('Year Conversion'!$A:$A,match($C3832,'Year Conversion'!$B:$B,0)),$Y:$Y,0))-J3832,"")</f>
        <v/>
      </c>
      <c r="AB3832" s="168" t="str">
        <f t="array" ref="AB3832">iferror(index(K:K,match($A3832&amp;","&amp;index('Year Conversion'!$A:$A,match($C3832,'Year Conversion'!$B:$B,0)),$Y:$Y,0))-K3832,"")</f>
        <v/>
      </c>
      <c r="AC3832" s="168" t="str">
        <f t="shared" si="7"/>
        <v>OKC,2020-21</v>
      </c>
    </row>
    <row r="3833">
      <c r="A3833" s="161" t="str">
        <f>IFERROR(__xludf.DUMMYFUNCTION("""COMPUTED_VALUE"""),"grahade01")</f>
        <v>grahade01</v>
      </c>
      <c r="B3833" s="161" t="str">
        <f>IFERROR(__xludf.DUMMYFUNCTION("""COMPUTED_VALUE"""),"Devonte' Graham")</f>
        <v>Devonte' Graham</v>
      </c>
      <c r="C3833" s="162" t="str">
        <f>IFERROR(__xludf.DUMMYFUNCTION("""COMPUTED_VALUE"""),"2020-21")</f>
        <v>2020-21</v>
      </c>
      <c r="D3833" s="163" t="str">
        <f>IFERROR(__xludf.DUMMYFUNCTION("""COMPUTED_VALUE"""),"CHO")</f>
        <v>CHO</v>
      </c>
      <c r="E3833" s="164" t="str">
        <f>IFERROR(__xludf.DUMMYFUNCTION("""COMPUTED_VALUE"""),"Primary Ball Handler")</f>
        <v>Primary Ball Handler</v>
      </c>
      <c r="F3833" s="164">
        <f>IFERROR(__xludf.DUMMYFUNCTION("""COMPUTED_VALUE"""),820.55)</f>
        <v>820.55</v>
      </c>
      <c r="G3833" s="163">
        <f>IFERROR(__xludf.DUMMYFUNCTION("""COMPUTED_VALUE"""),25.0)</f>
        <v>25</v>
      </c>
      <c r="H3833" s="163" t="str">
        <f>IFERROR(__xludf.DUMMYFUNCTION("""COMPUTED_VALUE"""),"PG")</f>
        <v>PG</v>
      </c>
      <c r="I3833" s="163">
        <f>IFERROR(__xludf.DUMMYFUNCTION("""COMPUTED_VALUE"""),25.0)</f>
        <v>25</v>
      </c>
      <c r="J3833" s="165">
        <f>IFERROR(__xludf.DUMMYFUNCTION("""COMPUTED_VALUE"""),0.856854028055687)</f>
        <v>0.8568540281</v>
      </c>
      <c r="K3833" s="165">
        <f>IFERROR(__xludf.DUMMYFUNCTION("""COMPUTED_VALUE"""),1.6433071467347)</f>
        <v>1.643307147</v>
      </c>
      <c r="L3833" s="165">
        <f>IFERROR(__xludf.DUMMYFUNCTION("""COMPUTED_VALUE"""),-0.786453118679011)</f>
        <v>-0.7864531187</v>
      </c>
      <c r="M3833" s="166">
        <f t="shared" si="2"/>
        <v>1.738548884</v>
      </c>
      <c r="N3833" s="167">
        <f t="shared" si="3"/>
        <v>32.822</v>
      </c>
      <c r="O3833" s="163">
        <f t="shared" ref="O3833:Q3833" si="3837">rank(I3833,I:I)</f>
        <v>1995</v>
      </c>
      <c r="P3833" s="163">
        <f t="shared" si="3837"/>
        <v>710</v>
      </c>
      <c r="Q3833" s="163">
        <f t="shared" si="3837"/>
        <v>282</v>
      </c>
      <c r="R3833" s="163">
        <f>IFERROR(__xludf.DUMMYFUNCTION("RANK(M3833,filter(M:M,C:C=C3833))"),61.0)</f>
        <v>61</v>
      </c>
      <c r="S3833" s="161" t="b">
        <f t="shared" si="5"/>
        <v>1</v>
      </c>
      <c r="T3833" s="161" t="b">
        <f t="array" ref="T3833">index('Query Tool'!B:B,match(H3833,'Query Tool'!C:C,0))</f>
        <v>1</v>
      </c>
      <c r="U3833" s="161" t="b">
        <f t="array" ref="U3833">index('Query Tool'!B:B,match(C3833,'Query Tool'!C:C,0))</f>
        <v>1</v>
      </c>
      <c r="V3833" s="161" t="b">
        <f>F3833&gt;='Query Tool'!C$32</f>
        <v>1</v>
      </c>
      <c r="W3833" s="161" t="b">
        <f t="array" ref="W3833">index(Dropdowns!B:B,match(I3833,Dropdowns!A:A,0))</f>
        <v>1</v>
      </c>
      <c r="X3833" s="161" t="b">
        <f t="array" ref="X3833">index('Query Tool'!B:B,match(D3833,'Query Tool'!C:C,0))</f>
        <v>1</v>
      </c>
      <c r="Y3833" s="161" t="str">
        <f t="shared" si="6"/>
        <v>grahade01,2020-21</v>
      </c>
      <c r="Z3833" s="168" t="str">
        <f t="array" ref="Z3833">iferror(index(I:I,match($A3833&amp;","&amp;index('Year Conversion'!$A:$A,match($C3833,'Year Conversion'!$B:$B,0)),$Y:$Y,0))-I3833,"")</f>
        <v/>
      </c>
      <c r="AA3833" s="168" t="str">
        <f t="array" ref="AA3833">iferror(index(J:J,match($A3833&amp;","&amp;index('Year Conversion'!$A:$A,match($C3833,'Year Conversion'!$B:$B,0)),$Y:$Y,0))-J3833,"")</f>
        <v/>
      </c>
      <c r="AB3833" s="168" t="str">
        <f t="array" ref="AB3833">iferror(index(K:K,match($A3833&amp;","&amp;index('Year Conversion'!$A:$A,match($C3833,'Year Conversion'!$B:$B,0)),$Y:$Y,0))-K3833,"")</f>
        <v/>
      </c>
      <c r="AC3833" s="168" t="str">
        <f t="shared" si="7"/>
        <v>CHO,2020-21</v>
      </c>
    </row>
    <row r="3834">
      <c r="A3834" s="161" t="str">
        <f>IFERROR(__xludf.DUMMYFUNCTION("""COMPUTED_VALUE"""),"holidaa01")</f>
        <v>holidaa01</v>
      </c>
      <c r="B3834" s="161" t="str">
        <f>IFERROR(__xludf.DUMMYFUNCTION("""COMPUTED_VALUE"""),"Aaron Holiday")</f>
        <v>Aaron Holiday</v>
      </c>
      <c r="C3834" s="162" t="str">
        <f>IFERROR(__xludf.DUMMYFUNCTION("""COMPUTED_VALUE"""),"2020-21")</f>
        <v>2020-21</v>
      </c>
      <c r="D3834" s="163" t="str">
        <f>IFERROR(__xludf.DUMMYFUNCTION("""COMPUTED_VALUE"""),"IND")</f>
        <v>IND</v>
      </c>
      <c r="E3834" s="164" t="str">
        <f>IFERROR(__xludf.DUMMYFUNCTION("""COMPUTED_VALUE"""),"Stationary Shooter")</f>
        <v>Stationary Shooter</v>
      </c>
      <c r="F3834" s="164">
        <f>IFERROR(__xludf.DUMMYFUNCTION("""COMPUTED_VALUE"""),576.413333333333)</f>
        <v>576.4133333</v>
      </c>
      <c r="G3834" s="163">
        <f>IFERROR(__xludf.DUMMYFUNCTION("""COMPUTED_VALUE"""),29.0)</f>
        <v>29</v>
      </c>
      <c r="H3834" s="163" t="str">
        <f>IFERROR(__xludf.DUMMYFUNCTION("""COMPUTED_VALUE"""),"PG")</f>
        <v>PG</v>
      </c>
      <c r="I3834" s="163">
        <f>IFERROR(__xludf.DUMMYFUNCTION("""COMPUTED_VALUE"""),24.0)</f>
        <v>24</v>
      </c>
      <c r="J3834" s="165">
        <f>IFERROR(__xludf.DUMMYFUNCTION("""COMPUTED_VALUE"""),-1.28046751361288)</f>
        <v>-1.280467514</v>
      </c>
      <c r="K3834" s="165">
        <f>IFERROR(__xludf.DUMMYFUNCTION("""COMPUTED_VALUE"""),-0.0212209458733099)</f>
        <v>-0.02122094587</v>
      </c>
      <c r="L3834" s="165">
        <f>IFERROR(__xludf.DUMMYFUNCTION("""COMPUTED_VALUE"""),-1.25924656773957)</f>
        <v>-1.259246568</v>
      </c>
      <c r="M3834" s="166">
        <f t="shared" si="2"/>
        <v>0.3921624922</v>
      </c>
      <c r="N3834" s="167">
        <f t="shared" si="3"/>
        <v>19.87632184</v>
      </c>
      <c r="O3834" s="163">
        <f t="shared" ref="O3834:Q3834" si="3838">rank(I3834,I:I)</f>
        <v>2361</v>
      </c>
      <c r="P3834" s="163">
        <f t="shared" si="3838"/>
        <v>2843</v>
      </c>
      <c r="Q3834" s="163">
        <f t="shared" si="3838"/>
        <v>1226</v>
      </c>
      <c r="R3834" s="163">
        <f>IFERROR(__xludf.DUMMYFUNCTION("RANK(M3834,filter(M:M,C:C=C3834))"),219.0)</f>
        <v>219</v>
      </c>
      <c r="S3834" s="161" t="b">
        <f t="shared" si="5"/>
        <v>1</v>
      </c>
      <c r="T3834" s="161" t="b">
        <f t="array" ref="T3834">index('Query Tool'!B:B,match(H3834,'Query Tool'!C:C,0))</f>
        <v>1</v>
      </c>
      <c r="U3834" s="161" t="b">
        <f t="array" ref="U3834">index('Query Tool'!B:B,match(C3834,'Query Tool'!C:C,0))</f>
        <v>1</v>
      </c>
      <c r="V3834" s="161" t="b">
        <f>F3834&gt;='Query Tool'!C$32</f>
        <v>1</v>
      </c>
      <c r="W3834" s="161" t="b">
        <f t="array" ref="W3834">index(Dropdowns!B:B,match(I3834,Dropdowns!A:A,0))</f>
        <v>1</v>
      </c>
      <c r="X3834" s="161" t="b">
        <f t="array" ref="X3834">index('Query Tool'!B:B,match(D3834,'Query Tool'!C:C,0))</f>
        <v>1</v>
      </c>
      <c r="Y3834" s="161" t="str">
        <f t="shared" si="6"/>
        <v>holidaa01,2020-21</v>
      </c>
      <c r="Z3834" s="168" t="str">
        <f t="array" ref="Z3834">iferror(index(I:I,match($A3834&amp;","&amp;index('Year Conversion'!$A:$A,match($C3834,'Year Conversion'!$B:$B,0)),$Y:$Y,0))-I3834,"")</f>
        <v/>
      </c>
      <c r="AA3834" s="168" t="str">
        <f t="array" ref="AA3834">iferror(index(J:J,match($A3834&amp;","&amp;index('Year Conversion'!$A:$A,match($C3834,'Year Conversion'!$B:$B,0)),$Y:$Y,0))-J3834,"")</f>
        <v/>
      </c>
      <c r="AB3834" s="168" t="str">
        <f t="array" ref="AB3834">iferror(index(K:K,match($A3834&amp;","&amp;index('Year Conversion'!$A:$A,match($C3834,'Year Conversion'!$B:$B,0)),$Y:$Y,0))-K3834,"")</f>
        <v/>
      </c>
      <c r="AC3834" s="168" t="str">
        <f t="shared" si="7"/>
        <v>IND,2020-21</v>
      </c>
    </row>
    <row r="3835">
      <c r="A3835" s="161" t="str">
        <f>IFERROR(__xludf.DUMMYFUNCTION("""COMPUTED_VALUE"""),"huertke01")</f>
        <v>huertke01</v>
      </c>
      <c r="B3835" s="161" t="str">
        <f>IFERROR(__xludf.DUMMYFUNCTION("""COMPUTED_VALUE"""),"Kevin Huerter")</f>
        <v>Kevin Huerter</v>
      </c>
      <c r="C3835" s="162" t="str">
        <f>IFERROR(__xludf.DUMMYFUNCTION("""COMPUTED_VALUE"""),"2020-21")</f>
        <v>2020-21</v>
      </c>
      <c r="D3835" s="163" t="str">
        <f>IFERROR(__xludf.DUMMYFUNCTION("""COMPUTED_VALUE"""),"ATL")</f>
        <v>ATL</v>
      </c>
      <c r="E3835" s="164" t="str">
        <f>IFERROR(__xludf.DUMMYFUNCTION("""COMPUTED_VALUE"""),"Movement Shooter")</f>
        <v>Movement Shooter</v>
      </c>
      <c r="F3835" s="164">
        <f>IFERROR(__xludf.DUMMYFUNCTION("""COMPUTED_VALUE"""),951.088333333333)</f>
        <v>951.0883333</v>
      </c>
      <c r="G3835" s="163">
        <f>IFERROR(__xludf.DUMMYFUNCTION("""COMPUTED_VALUE"""),30.0)</f>
        <v>30</v>
      </c>
      <c r="H3835" s="163" t="str">
        <f>IFERROR(__xludf.DUMMYFUNCTION("""COMPUTED_VALUE"""),"SG")</f>
        <v>SG</v>
      </c>
      <c r="I3835" s="163">
        <f>IFERROR(__xludf.DUMMYFUNCTION("""COMPUTED_VALUE"""),22.0)</f>
        <v>22</v>
      </c>
      <c r="J3835" s="165">
        <f>IFERROR(__xludf.DUMMYFUNCTION("""COMPUTED_VALUE"""),-1.95285033754137)</f>
        <v>-1.952850338</v>
      </c>
      <c r="K3835" s="165">
        <f>IFERROR(__xludf.DUMMYFUNCTION("""COMPUTED_VALUE"""),-0.417208359774983)</f>
        <v>-0.4172083598</v>
      </c>
      <c r="L3835" s="165">
        <f>IFERROR(__xludf.DUMMYFUNCTION("""COMPUTED_VALUE"""),-1.53564197776638)</f>
        <v>-1.535641978</v>
      </c>
      <c r="M3835" s="166">
        <f t="shared" si="2"/>
        <v>0.2206581562</v>
      </c>
      <c r="N3835" s="167">
        <f t="shared" si="3"/>
        <v>31.70294444</v>
      </c>
      <c r="O3835" s="163">
        <f t="shared" ref="O3835:Q3835" si="3839">rank(I3835,I:I)</f>
        <v>3178</v>
      </c>
      <c r="P3835" s="163">
        <f t="shared" si="3839"/>
        <v>3449</v>
      </c>
      <c r="Q3835" s="163">
        <f t="shared" si="3839"/>
        <v>1976</v>
      </c>
      <c r="R3835" s="163">
        <f>IFERROR(__xludf.DUMMYFUNCTION("RANK(M3835,filter(M:M,C:C=C3835))"),270.0)</f>
        <v>270</v>
      </c>
      <c r="S3835" s="161" t="b">
        <f t="shared" si="5"/>
        <v>1</v>
      </c>
      <c r="T3835" s="161" t="b">
        <f t="array" ref="T3835">index('Query Tool'!B:B,match(H3835,'Query Tool'!C:C,0))</f>
        <v>1</v>
      </c>
      <c r="U3835" s="161" t="b">
        <f t="array" ref="U3835">index('Query Tool'!B:B,match(C3835,'Query Tool'!C:C,0))</f>
        <v>1</v>
      </c>
      <c r="V3835" s="161" t="b">
        <f>F3835&gt;='Query Tool'!C$32</f>
        <v>1</v>
      </c>
      <c r="W3835" s="161" t="b">
        <f t="array" ref="W3835">index(Dropdowns!B:B,match(I3835,Dropdowns!A:A,0))</f>
        <v>1</v>
      </c>
      <c r="X3835" s="161" t="b">
        <f t="array" ref="X3835">index('Query Tool'!B:B,match(D3835,'Query Tool'!C:C,0))</f>
        <v>1</v>
      </c>
      <c r="Y3835" s="161" t="str">
        <f t="shared" si="6"/>
        <v>huertke01,2020-21</v>
      </c>
      <c r="Z3835" s="168" t="str">
        <f t="array" ref="Z3835">iferror(index(I:I,match($A3835&amp;","&amp;index('Year Conversion'!$A:$A,match($C3835,'Year Conversion'!$B:$B,0)),$Y:$Y,0))-I3835,"")</f>
        <v/>
      </c>
      <c r="AA3835" s="168" t="str">
        <f t="array" ref="AA3835">iferror(index(J:J,match($A3835&amp;","&amp;index('Year Conversion'!$A:$A,match($C3835,'Year Conversion'!$B:$B,0)),$Y:$Y,0))-J3835,"")</f>
        <v/>
      </c>
      <c r="AB3835" s="168" t="str">
        <f t="array" ref="AB3835">iferror(index(K:K,match($A3835&amp;","&amp;index('Year Conversion'!$A:$A,match($C3835,'Year Conversion'!$B:$B,0)),$Y:$Y,0))-K3835,"")</f>
        <v/>
      </c>
      <c r="AC3835" s="168" t="str">
        <f t="shared" si="7"/>
        <v>ATL,2020-21</v>
      </c>
    </row>
    <row r="3836">
      <c r="A3836" s="161" t="str">
        <f>IFERROR(__xludf.DUMMYFUNCTION("""COMPUTED_VALUE"""),"hutchch01")</f>
        <v>hutchch01</v>
      </c>
      <c r="B3836" s="161" t="str">
        <f>IFERROR(__xludf.DUMMYFUNCTION("""COMPUTED_VALUE"""),"Chandler Hutchison")</f>
        <v>Chandler Hutchison</v>
      </c>
      <c r="C3836" s="162" t="str">
        <f>IFERROR(__xludf.DUMMYFUNCTION("""COMPUTED_VALUE"""),"2020-21")</f>
        <v>2020-21</v>
      </c>
      <c r="D3836" s="163" t="str">
        <f>IFERROR(__xludf.DUMMYFUNCTION("""COMPUTED_VALUE"""),"CHI")</f>
        <v>CHI</v>
      </c>
      <c r="E3836" s="164" t="str">
        <f>IFERROR(__xludf.DUMMYFUNCTION("""COMPUTED_VALUE"""),"Roll + Cut Big")</f>
        <v>Roll + Cut Big</v>
      </c>
      <c r="F3836" s="164">
        <f>IFERROR(__xludf.DUMMYFUNCTION("""COMPUTED_VALUE"""),63.58)</f>
        <v>63.58</v>
      </c>
      <c r="G3836" s="163">
        <f>IFERROR(__xludf.DUMMYFUNCTION("""COMPUTED_VALUE"""),7.0)</f>
        <v>7</v>
      </c>
      <c r="H3836" s="163" t="str">
        <f>IFERROR(__xludf.DUMMYFUNCTION("""COMPUTED_VALUE"""),"SF")</f>
        <v>SF</v>
      </c>
      <c r="I3836" s="163">
        <f>IFERROR(__xludf.DUMMYFUNCTION("""COMPUTED_VALUE"""),24.0)</f>
        <v>24</v>
      </c>
      <c r="J3836" s="165">
        <f>IFERROR(__xludf.DUMMYFUNCTION("""COMPUTED_VALUE"""),-0.348800320544242)</f>
        <v>-0.3488003205</v>
      </c>
      <c r="K3836" s="165">
        <f>IFERROR(__xludf.DUMMYFUNCTION("""COMPUTED_VALUE"""),-0.387257032831824)</f>
        <v>-0.3872570328</v>
      </c>
      <c r="L3836" s="165">
        <f>IFERROR(__xludf.DUMMYFUNCTION("""COMPUTED_VALUE"""),0.0384567122875818)</f>
        <v>0.03845671229</v>
      </c>
      <c r="M3836" s="166">
        <f t="shared" si="2"/>
        <v>0.08307037137</v>
      </c>
      <c r="N3836" s="167">
        <f t="shared" si="3"/>
        <v>9.082857143</v>
      </c>
      <c r="O3836" s="163">
        <f t="shared" ref="O3836:Q3836" si="3840">rank(I3836,I:I)</f>
        <v>2361</v>
      </c>
      <c r="P3836" s="163">
        <f t="shared" si="3840"/>
        <v>1671</v>
      </c>
      <c r="Q3836" s="163">
        <f t="shared" si="3840"/>
        <v>1928</v>
      </c>
      <c r="R3836" s="163">
        <f>IFERROR(__xludf.DUMMYFUNCTION("RANK(M3836,filter(M:M,C:C=C3836))"),346.0)</f>
        <v>346</v>
      </c>
      <c r="S3836" s="161" t="b">
        <f t="shared" si="5"/>
        <v>0</v>
      </c>
      <c r="T3836" s="161" t="b">
        <f t="array" ref="T3836">index('Query Tool'!B:B,match(H3836,'Query Tool'!C:C,0))</f>
        <v>1</v>
      </c>
      <c r="U3836" s="161" t="b">
        <f t="array" ref="U3836">index('Query Tool'!B:B,match(C3836,'Query Tool'!C:C,0))</f>
        <v>1</v>
      </c>
      <c r="V3836" s="161" t="b">
        <f>F3836&gt;='Query Tool'!C$32</f>
        <v>0</v>
      </c>
      <c r="W3836" s="161" t="b">
        <f t="array" ref="W3836">index(Dropdowns!B:B,match(I3836,Dropdowns!A:A,0))</f>
        <v>1</v>
      </c>
      <c r="X3836" s="161" t="b">
        <f t="array" ref="X3836">index('Query Tool'!B:B,match(D3836,'Query Tool'!C:C,0))</f>
        <v>1</v>
      </c>
      <c r="Y3836" s="161" t="str">
        <f t="shared" si="6"/>
        <v>hutchch01,2020-21</v>
      </c>
      <c r="Z3836" s="168" t="str">
        <f t="array" ref="Z3836">iferror(index(I:I,match($A3836&amp;","&amp;index('Year Conversion'!$A:$A,match($C3836,'Year Conversion'!$B:$B,0)),$Y:$Y,0))-I3836,"")</f>
        <v/>
      </c>
      <c r="AA3836" s="168" t="str">
        <f t="array" ref="AA3836">iferror(index(J:J,match($A3836&amp;","&amp;index('Year Conversion'!$A:$A,match($C3836,'Year Conversion'!$B:$B,0)),$Y:$Y,0))-J3836,"")</f>
        <v/>
      </c>
      <c r="AB3836" s="168" t="str">
        <f t="array" ref="AB3836">iferror(index(K:K,match($A3836&amp;","&amp;index('Year Conversion'!$A:$A,match($C3836,'Year Conversion'!$B:$B,0)),$Y:$Y,0))-K3836,"")</f>
        <v/>
      </c>
      <c r="AC3836" s="168" t="str">
        <f t="shared" si="7"/>
        <v>CHI,2020-21</v>
      </c>
    </row>
    <row r="3837">
      <c r="A3837" s="161" t="str">
        <f>IFERROR(__xludf.DUMMYFUNCTION("""COMPUTED_VALUE"""),"knoxke01")</f>
        <v>knoxke01</v>
      </c>
      <c r="B3837" s="161" t="str">
        <f>IFERROR(__xludf.DUMMYFUNCTION("""COMPUTED_VALUE"""),"Kevin Knox II")</f>
        <v>Kevin Knox II</v>
      </c>
      <c r="C3837" s="162" t="str">
        <f>IFERROR(__xludf.DUMMYFUNCTION("""COMPUTED_VALUE"""),"2020-21")</f>
        <v>2020-21</v>
      </c>
      <c r="D3837" s="163" t="str">
        <f>IFERROR(__xludf.DUMMYFUNCTION("""COMPUTED_VALUE"""),"NYK")</f>
        <v>NYK</v>
      </c>
      <c r="E3837" s="164" t="str">
        <f>IFERROR(__xludf.DUMMYFUNCTION("""COMPUTED_VALUE"""),"Stationary Shooter")</f>
        <v>Stationary Shooter</v>
      </c>
      <c r="F3837" s="164">
        <f>IFERROR(__xludf.DUMMYFUNCTION("""COMPUTED_VALUE"""),373.091666666667)</f>
        <v>373.0916667</v>
      </c>
      <c r="G3837" s="163">
        <f>IFERROR(__xludf.DUMMYFUNCTION("""COMPUTED_VALUE"""),23.0)</f>
        <v>23</v>
      </c>
      <c r="H3837" s="163" t="str">
        <f>IFERROR(__xludf.DUMMYFUNCTION("""COMPUTED_VALUE"""),"SF")</f>
        <v>SF</v>
      </c>
      <c r="I3837" s="163">
        <f>IFERROR(__xludf.DUMMYFUNCTION("""COMPUTED_VALUE"""),21.0)</f>
        <v>21</v>
      </c>
      <c r="J3837" s="165">
        <f>IFERROR(__xludf.DUMMYFUNCTION("""COMPUTED_VALUE"""),-3.70036681019516)</f>
        <v>-3.70036681</v>
      </c>
      <c r="K3837" s="165">
        <f>IFERROR(__xludf.DUMMYFUNCTION("""COMPUTED_VALUE"""),-2.23377798034479)</f>
        <v>-2.23377798</v>
      </c>
      <c r="L3837" s="165">
        <f>IFERROR(__xludf.DUMMYFUNCTION("""COMPUTED_VALUE"""),-1.46658882985037)</f>
        <v>-1.46658883</v>
      </c>
      <c r="M3837" s="166">
        <f t="shared" si="2"/>
        <v>-0.3382765713</v>
      </c>
      <c r="N3837" s="167">
        <f t="shared" si="3"/>
        <v>16.22137681</v>
      </c>
      <c r="O3837" s="163">
        <f t="shared" ref="O3837:Q3837" si="3841">rank(I3837,I:I)</f>
        <v>3528</v>
      </c>
      <c r="P3837" s="163">
        <f t="shared" si="3841"/>
        <v>3984</v>
      </c>
      <c r="Q3837" s="163">
        <f t="shared" si="3841"/>
        <v>3812</v>
      </c>
      <c r="R3837" s="163">
        <f>IFERROR(__xludf.DUMMYFUNCTION("RANK(M3837,filter(M:M,C:C=C3837))"),465.0)</f>
        <v>465</v>
      </c>
      <c r="S3837" s="161" t="b">
        <f t="shared" si="5"/>
        <v>0</v>
      </c>
      <c r="T3837" s="161" t="b">
        <f t="array" ref="T3837">index('Query Tool'!B:B,match(H3837,'Query Tool'!C:C,0))</f>
        <v>1</v>
      </c>
      <c r="U3837" s="161" t="b">
        <f t="array" ref="U3837">index('Query Tool'!B:B,match(C3837,'Query Tool'!C:C,0))</f>
        <v>1</v>
      </c>
      <c r="V3837" s="161" t="b">
        <f>F3837&gt;='Query Tool'!C$32</f>
        <v>0</v>
      </c>
      <c r="W3837" s="161" t="b">
        <f t="array" ref="W3837">index(Dropdowns!B:B,match(I3837,Dropdowns!A:A,0))</f>
        <v>1</v>
      </c>
      <c r="X3837" s="161" t="b">
        <f t="array" ref="X3837">index('Query Tool'!B:B,match(D3837,'Query Tool'!C:C,0))</f>
        <v>1</v>
      </c>
      <c r="Y3837" s="161" t="str">
        <f t="shared" si="6"/>
        <v>knoxke01,2020-21</v>
      </c>
      <c r="Z3837" s="168" t="str">
        <f t="array" ref="Z3837">iferror(index(I:I,match($A3837&amp;","&amp;index('Year Conversion'!$A:$A,match($C3837,'Year Conversion'!$B:$B,0)),$Y:$Y,0))-I3837,"")</f>
        <v/>
      </c>
      <c r="AA3837" s="168" t="str">
        <f t="array" ref="AA3837">iferror(index(J:J,match($A3837&amp;","&amp;index('Year Conversion'!$A:$A,match($C3837,'Year Conversion'!$B:$B,0)),$Y:$Y,0))-J3837,"")</f>
        <v/>
      </c>
      <c r="AB3837" s="168" t="str">
        <f t="array" ref="AB3837">iferror(index(K:K,match($A3837&amp;","&amp;index('Year Conversion'!$A:$A,match($C3837,'Year Conversion'!$B:$B,0)),$Y:$Y,0))-K3837,"")</f>
        <v/>
      </c>
      <c r="AC3837" s="168" t="str">
        <f t="shared" si="7"/>
        <v>NYK,2020-21</v>
      </c>
    </row>
    <row r="3838">
      <c r="A3838" s="161" t="str">
        <f>IFERROR(__xludf.DUMMYFUNCTION("""COMPUTED_VALUE"""),"martica02")</f>
        <v>martica02</v>
      </c>
      <c r="B3838" s="161" t="str">
        <f>IFERROR(__xludf.DUMMYFUNCTION("""COMPUTED_VALUE"""),"Caleb Martin")</f>
        <v>Caleb Martin</v>
      </c>
      <c r="C3838" s="162" t="str">
        <f>IFERROR(__xludf.DUMMYFUNCTION("""COMPUTED_VALUE"""),"2020-21")</f>
        <v>2020-21</v>
      </c>
      <c r="D3838" s="163" t="str">
        <f>IFERROR(__xludf.DUMMYFUNCTION("""COMPUTED_VALUE"""),"CHO")</f>
        <v>CHO</v>
      </c>
      <c r="E3838" s="164" t="str">
        <f>IFERROR(__xludf.DUMMYFUNCTION("""COMPUTED_VALUE"""),"Movement Shooter")</f>
        <v>Movement Shooter</v>
      </c>
      <c r="F3838" s="164">
        <f>IFERROR(__xludf.DUMMYFUNCTION("""COMPUTED_VALUE"""),362.576666666667)</f>
        <v>362.5766667</v>
      </c>
      <c r="G3838" s="163">
        <f>IFERROR(__xludf.DUMMYFUNCTION("""COMPUTED_VALUE"""),23.0)</f>
        <v>23</v>
      </c>
      <c r="H3838" s="163" t="str">
        <f>IFERROR(__xludf.DUMMYFUNCTION("""COMPUTED_VALUE"""),"SF")</f>
        <v>SF</v>
      </c>
      <c r="I3838" s="163">
        <f>IFERROR(__xludf.DUMMYFUNCTION("""COMPUTED_VALUE"""),25.0)</f>
        <v>25</v>
      </c>
      <c r="J3838" s="165">
        <f>IFERROR(__xludf.DUMMYFUNCTION("""COMPUTED_VALUE"""),-1.25330983583393)</f>
        <v>-1.253309836</v>
      </c>
      <c r="K3838" s="165">
        <f>IFERROR(__xludf.DUMMYFUNCTION("""COMPUTED_VALUE"""),-0.869096077548674)</f>
        <v>-0.8690960775</v>
      </c>
      <c r="L3838" s="165">
        <f>IFERROR(__xludf.DUMMYFUNCTION("""COMPUTED_VALUE"""),-0.384213758285257)</f>
        <v>-0.3842137583</v>
      </c>
      <c r="M3838" s="166">
        <f t="shared" si="2"/>
        <v>0.2532731966</v>
      </c>
      <c r="N3838" s="167">
        <f t="shared" si="3"/>
        <v>15.7642029</v>
      </c>
      <c r="O3838" s="163">
        <f t="shared" ref="O3838:Q3838" si="3842">rank(I3838,I:I)</f>
        <v>1995</v>
      </c>
      <c r="P3838" s="163">
        <f t="shared" si="3842"/>
        <v>2819</v>
      </c>
      <c r="Q3838" s="163">
        <f t="shared" si="3842"/>
        <v>2646</v>
      </c>
      <c r="R3838" s="163">
        <f>IFERROR(__xludf.DUMMYFUNCTION("RANK(M3838,filter(M:M,C:C=C3838))"),263.0)</f>
        <v>263</v>
      </c>
      <c r="S3838" s="161" t="b">
        <f t="shared" si="5"/>
        <v>0</v>
      </c>
      <c r="T3838" s="161" t="b">
        <f t="array" ref="T3838">index('Query Tool'!B:B,match(H3838,'Query Tool'!C:C,0))</f>
        <v>1</v>
      </c>
      <c r="U3838" s="161" t="b">
        <f t="array" ref="U3838">index('Query Tool'!B:B,match(C3838,'Query Tool'!C:C,0))</f>
        <v>1</v>
      </c>
      <c r="V3838" s="161" t="b">
        <f>F3838&gt;='Query Tool'!C$32</f>
        <v>0</v>
      </c>
      <c r="W3838" s="161" t="b">
        <f t="array" ref="W3838">index(Dropdowns!B:B,match(I3838,Dropdowns!A:A,0))</f>
        <v>1</v>
      </c>
      <c r="X3838" s="161" t="b">
        <f t="array" ref="X3838">index('Query Tool'!B:B,match(D3838,'Query Tool'!C:C,0))</f>
        <v>1</v>
      </c>
      <c r="Y3838" s="161" t="str">
        <f t="shared" si="6"/>
        <v>martica02,2020-21</v>
      </c>
      <c r="Z3838" s="168" t="str">
        <f t="array" ref="Z3838">iferror(index(I:I,match($A3838&amp;","&amp;index('Year Conversion'!$A:$A,match($C3838,'Year Conversion'!$B:$B,0)),$Y:$Y,0))-I3838,"")</f>
        <v/>
      </c>
      <c r="AA3838" s="168" t="str">
        <f t="array" ref="AA3838">iferror(index(J:J,match($A3838&amp;","&amp;index('Year Conversion'!$A:$A,match($C3838,'Year Conversion'!$B:$B,0)),$Y:$Y,0))-J3838,"")</f>
        <v/>
      </c>
      <c r="AB3838" s="168" t="str">
        <f t="array" ref="AB3838">iferror(index(K:K,match($A3838&amp;","&amp;index('Year Conversion'!$A:$A,match($C3838,'Year Conversion'!$B:$B,0)),$Y:$Y,0))-K3838,"")</f>
        <v/>
      </c>
      <c r="AC3838" s="168" t="str">
        <f t="shared" si="7"/>
        <v>CHO,2020-21</v>
      </c>
    </row>
    <row r="3839">
      <c r="A3839" s="161" t="str">
        <f>IFERROR(__xludf.DUMMYFUNCTION("""COMPUTED_VALUE"""),"martico01")</f>
        <v>martico01</v>
      </c>
      <c r="B3839" s="161" t="str">
        <f>IFERROR(__xludf.DUMMYFUNCTION("""COMPUTED_VALUE"""),"Cody Martin")</f>
        <v>Cody Martin</v>
      </c>
      <c r="C3839" s="162" t="str">
        <f>IFERROR(__xludf.DUMMYFUNCTION("""COMPUTED_VALUE"""),"2020-21")</f>
        <v>2020-21</v>
      </c>
      <c r="D3839" s="163" t="str">
        <f>IFERROR(__xludf.DUMMYFUNCTION("""COMPUTED_VALUE"""),"CHO")</f>
        <v>CHO</v>
      </c>
      <c r="E3839" s="164" t="str">
        <f>IFERROR(__xludf.DUMMYFUNCTION("""COMPUTED_VALUE"""),"Stationary Shooter")</f>
        <v>Stationary Shooter</v>
      </c>
      <c r="F3839" s="164">
        <f>IFERROR(__xludf.DUMMYFUNCTION("""COMPUTED_VALUE"""),159.47)</f>
        <v>159.47</v>
      </c>
      <c r="G3839" s="163">
        <f>IFERROR(__xludf.DUMMYFUNCTION("""COMPUTED_VALUE"""),17.0)</f>
        <v>17</v>
      </c>
      <c r="H3839" s="163" t="str">
        <f>IFERROR(__xludf.DUMMYFUNCTION("""COMPUTED_VALUE"""),"SF")</f>
        <v>SF</v>
      </c>
      <c r="I3839" s="163">
        <f>IFERROR(__xludf.DUMMYFUNCTION("""COMPUTED_VALUE"""),25.0)</f>
        <v>25</v>
      </c>
      <c r="J3839" s="165">
        <f>IFERROR(__xludf.DUMMYFUNCTION("""COMPUTED_VALUE"""),-1.17751211744893)</f>
        <v>-1.177512117</v>
      </c>
      <c r="K3839" s="165">
        <f>IFERROR(__xludf.DUMMYFUNCTION("""COMPUTED_VALUE"""),-0.795301428961996)</f>
        <v>-0.795301429</v>
      </c>
      <c r="L3839" s="165">
        <f>IFERROR(__xludf.DUMMYFUNCTION("""COMPUTED_VALUE"""),-0.382210688486939)</f>
        <v>-0.3822106885</v>
      </c>
      <c r="M3839" s="166">
        <f t="shared" si="2"/>
        <v>0.1194949493</v>
      </c>
      <c r="N3839" s="167">
        <f t="shared" si="3"/>
        <v>9.380588235</v>
      </c>
      <c r="O3839" s="163">
        <f t="shared" ref="O3839:Q3839" si="3843">rank(I3839,I:I)</f>
        <v>1995</v>
      </c>
      <c r="P3839" s="163">
        <f t="shared" si="3843"/>
        <v>2713</v>
      </c>
      <c r="Q3839" s="163">
        <f t="shared" si="3843"/>
        <v>2550</v>
      </c>
      <c r="R3839" s="163">
        <f>IFERROR(__xludf.DUMMYFUNCTION("RANK(M3839,filter(M:M,C:C=C3839))"),316.0)</f>
        <v>316</v>
      </c>
      <c r="S3839" s="161" t="b">
        <f t="shared" si="5"/>
        <v>0</v>
      </c>
      <c r="T3839" s="161" t="b">
        <f t="array" ref="T3839">index('Query Tool'!B:B,match(H3839,'Query Tool'!C:C,0))</f>
        <v>1</v>
      </c>
      <c r="U3839" s="161" t="b">
        <f t="array" ref="U3839">index('Query Tool'!B:B,match(C3839,'Query Tool'!C:C,0))</f>
        <v>1</v>
      </c>
      <c r="V3839" s="161" t="b">
        <f>F3839&gt;='Query Tool'!C$32</f>
        <v>0</v>
      </c>
      <c r="W3839" s="161" t="b">
        <f t="array" ref="W3839">index(Dropdowns!B:B,match(I3839,Dropdowns!A:A,0))</f>
        <v>1</v>
      </c>
      <c r="X3839" s="161" t="b">
        <f t="array" ref="X3839">index('Query Tool'!B:B,match(D3839,'Query Tool'!C:C,0))</f>
        <v>1</v>
      </c>
      <c r="Y3839" s="161" t="str">
        <f t="shared" si="6"/>
        <v>martico01,2020-21</v>
      </c>
      <c r="Z3839" s="168" t="str">
        <f t="array" ref="Z3839">iferror(index(I:I,match($A3839&amp;","&amp;index('Year Conversion'!$A:$A,match($C3839,'Year Conversion'!$B:$B,0)),$Y:$Y,0))-I3839,"")</f>
        <v/>
      </c>
      <c r="AA3839" s="168" t="str">
        <f t="array" ref="AA3839">iferror(index(J:J,match($A3839&amp;","&amp;index('Year Conversion'!$A:$A,match($C3839,'Year Conversion'!$B:$B,0)),$Y:$Y,0))-J3839,"")</f>
        <v/>
      </c>
      <c r="AB3839" s="168" t="str">
        <f t="array" ref="AB3839">iferror(index(K:K,match($A3839&amp;","&amp;index('Year Conversion'!$A:$A,match($C3839,'Year Conversion'!$B:$B,0)),$Y:$Y,0))-K3839,"")</f>
        <v/>
      </c>
      <c r="AC3839" s="168" t="str">
        <f t="shared" si="7"/>
        <v>CHO,2020-21</v>
      </c>
    </row>
    <row r="3840">
      <c r="A3840" s="161" t="str">
        <f>IFERROR(__xludf.DUMMYFUNCTION("""COMPUTED_VALUE"""),"meltode01")</f>
        <v>meltode01</v>
      </c>
      <c r="B3840" s="161" t="str">
        <f>IFERROR(__xludf.DUMMYFUNCTION("""COMPUTED_VALUE"""),"De'Anthony Melton")</f>
        <v>De'Anthony Melton</v>
      </c>
      <c r="C3840" s="162" t="str">
        <f>IFERROR(__xludf.DUMMYFUNCTION("""COMPUTED_VALUE"""),"2020-21")</f>
        <v>2020-21</v>
      </c>
      <c r="D3840" s="163" t="str">
        <f>IFERROR(__xludf.DUMMYFUNCTION("""COMPUTED_VALUE"""),"MEM")</f>
        <v>MEM</v>
      </c>
      <c r="E3840" s="164" t="str">
        <f>IFERROR(__xludf.DUMMYFUNCTION("""COMPUTED_VALUE"""),"Secondary Ball Handler")</f>
        <v>Secondary Ball Handler</v>
      </c>
      <c r="F3840" s="164">
        <f>IFERROR(__xludf.DUMMYFUNCTION("""COMPUTED_VALUE"""),301.735)</f>
        <v>301.735</v>
      </c>
      <c r="G3840" s="163">
        <f>IFERROR(__xludf.DUMMYFUNCTION("""COMPUTED_VALUE"""),14.0)</f>
        <v>14</v>
      </c>
      <c r="H3840" s="163" t="str">
        <f>IFERROR(__xludf.DUMMYFUNCTION("""COMPUTED_VALUE"""),"PG")</f>
        <v>PG</v>
      </c>
      <c r="I3840" s="163">
        <f>IFERROR(__xludf.DUMMYFUNCTION("""COMPUTED_VALUE"""),22.0)</f>
        <v>22</v>
      </c>
      <c r="J3840" s="165">
        <f>IFERROR(__xludf.DUMMYFUNCTION("""COMPUTED_VALUE"""),1.07434120412852)</f>
        <v>1.074341204</v>
      </c>
      <c r="K3840" s="165">
        <f>IFERROR(__xludf.DUMMYFUNCTION("""COMPUTED_VALUE"""),0.508682459293858)</f>
        <v>0.5086824593</v>
      </c>
      <c r="L3840" s="165">
        <f>IFERROR(__xludf.DUMMYFUNCTION("""COMPUTED_VALUE"""),0.565658744834664)</f>
        <v>0.5656587448</v>
      </c>
      <c r="M3840" s="166">
        <f t="shared" si="2"/>
        <v>0.683374687</v>
      </c>
      <c r="N3840" s="167">
        <f t="shared" si="3"/>
        <v>21.5525</v>
      </c>
      <c r="O3840" s="163">
        <f t="shared" ref="O3840:Q3840" si="3844">rank(I3840,I:I)</f>
        <v>3178</v>
      </c>
      <c r="P3840" s="163">
        <f t="shared" si="3844"/>
        <v>631</v>
      </c>
      <c r="Q3840" s="163">
        <f t="shared" si="3844"/>
        <v>764</v>
      </c>
      <c r="R3840" s="163">
        <f>IFERROR(__xludf.DUMMYFUNCTION("RANK(M3840,filter(M:M,C:C=C3840))"),160.0)</f>
        <v>160</v>
      </c>
      <c r="S3840" s="161" t="b">
        <f t="shared" si="5"/>
        <v>0</v>
      </c>
      <c r="T3840" s="161" t="b">
        <f t="array" ref="T3840">index('Query Tool'!B:B,match(H3840,'Query Tool'!C:C,0))</f>
        <v>1</v>
      </c>
      <c r="U3840" s="161" t="b">
        <f t="array" ref="U3840">index('Query Tool'!B:B,match(C3840,'Query Tool'!C:C,0))</f>
        <v>1</v>
      </c>
      <c r="V3840" s="161" t="b">
        <f>F3840&gt;='Query Tool'!C$32</f>
        <v>0</v>
      </c>
      <c r="W3840" s="161" t="b">
        <f t="array" ref="W3840">index(Dropdowns!B:B,match(I3840,Dropdowns!A:A,0))</f>
        <v>1</v>
      </c>
      <c r="X3840" s="161" t="b">
        <f t="array" ref="X3840">index('Query Tool'!B:B,match(D3840,'Query Tool'!C:C,0))</f>
        <v>1</v>
      </c>
      <c r="Y3840" s="161" t="str">
        <f t="shared" si="6"/>
        <v>meltode01,2020-21</v>
      </c>
      <c r="Z3840" s="168" t="str">
        <f t="array" ref="Z3840">iferror(index(I:I,match($A3840&amp;","&amp;index('Year Conversion'!$A:$A,match($C3840,'Year Conversion'!$B:$B,0)),$Y:$Y,0))-I3840,"")</f>
        <v/>
      </c>
      <c r="AA3840" s="168" t="str">
        <f t="array" ref="AA3840">iferror(index(J:J,match($A3840&amp;","&amp;index('Year Conversion'!$A:$A,match($C3840,'Year Conversion'!$B:$B,0)),$Y:$Y,0))-J3840,"")</f>
        <v/>
      </c>
      <c r="AB3840" s="168" t="str">
        <f t="array" ref="AB3840">iferror(index(K:K,match($A3840&amp;","&amp;index('Year Conversion'!$A:$A,match($C3840,'Year Conversion'!$B:$B,0)),$Y:$Y,0))-K3840,"")</f>
        <v/>
      </c>
      <c r="AC3840" s="168" t="str">
        <f t="shared" si="7"/>
        <v>MEM,2020-21</v>
      </c>
    </row>
    <row r="3841">
      <c r="A3841" s="161" t="str">
        <f>IFERROR(__xludf.DUMMYFUNCTION("""COMPUTED_VALUE"""),"metuch01")</f>
        <v>metuch01</v>
      </c>
      <c r="B3841" s="161" t="str">
        <f>IFERROR(__xludf.DUMMYFUNCTION("""COMPUTED_VALUE"""),"Chimezie Metu")</f>
        <v>Chimezie Metu</v>
      </c>
      <c r="C3841" s="162" t="str">
        <f>IFERROR(__xludf.DUMMYFUNCTION("""COMPUTED_VALUE"""),"2020-21")</f>
        <v>2020-21</v>
      </c>
      <c r="D3841" s="163" t="str">
        <f>IFERROR(__xludf.DUMMYFUNCTION("""COMPUTED_VALUE"""),"SAC")</f>
        <v>SAC</v>
      </c>
      <c r="E3841" s="164" t="str">
        <f>IFERROR(__xludf.DUMMYFUNCTION("""COMPUTED_VALUE"""),"Roll + Cut Big")</f>
        <v>Roll + Cut Big</v>
      </c>
      <c r="F3841" s="164">
        <f>IFERROR(__xludf.DUMMYFUNCTION("""COMPUTED_VALUE"""),71.4600000000001)</f>
        <v>71.46</v>
      </c>
      <c r="G3841" s="163">
        <f>IFERROR(__xludf.DUMMYFUNCTION("""COMPUTED_VALUE"""),11.0)</f>
        <v>11</v>
      </c>
      <c r="H3841" s="163" t="str">
        <f>IFERROR(__xludf.DUMMYFUNCTION("""COMPUTED_VALUE"""),"C")</f>
        <v>C</v>
      </c>
      <c r="I3841" s="163">
        <f>IFERROR(__xludf.DUMMYFUNCTION("""COMPUTED_VALUE"""),23.0)</f>
        <v>23</v>
      </c>
      <c r="J3841" s="165">
        <f>IFERROR(__xludf.DUMMYFUNCTION("""COMPUTED_VALUE"""),0.477147933699647)</f>
        <v>0.4771479337</v>
      </c>
      <c r="K3841" s="165">
        <f>IFERROR(__xludf.DUMMYFUNCTION("""COMPUTED_VALUE"""),-0.0956707805332955)</f>
        <v>-0.09567078053</v>
      </c>
      <c r="L3841" s="165">
        <f>IFERROR(__xludf.DUMMYFUNCTION("""COMPUTED_VALUE"""),0.572818714232943)</f>
        <v>0.5728187142</v>
      </c>
      <c r="M3841" s="166">
        <f t="shared" si="2"/>
        <v>0.1331480766</v>
      </c>
      <c r="N3841" s="167">
        <f t="shared" si="3"/>
        <v>6.496363636</v>
      </c>
      <c r="O3841" s="163">
        <f t="shared" ref="O3841:Q3841" si="3845">rank(I3841,I:I)</f>
        <v>2765</v>
      </c>
      <c r="P3841" s="163">
        <f t="shared" si="3845"/>
        <v>912</v>
      </c>
      <c r="Q3841" s="163">
        <f t="shared" si="3845"/>
        <v>1356</v>
      </c>
      <c r="R3841" s="163">
        <f>IFERROR(__xludf.DUMMYFUNCTION("RANK(M3841,filter(M:M,C:C=C3841))"),302.0)</f>
        <v>302</v>
      </c>
      <c r="S3841" s="161" t="b">
        <f t="shared" si="5"/>
        <v>0</v>
      </c>
      <c r="T3841" s="161" t="b">
        <f t="array" ref="T3841">index('Query Tool'!B:B,match(H3841,'Query Tool'!C:C,0))</f>
        <v>1</v>
      </c>
      <c r="U3841" s="161" t="b">
        <f t="array" ref="U3841">index('Query Tool'!B:B,match(C3841,'Query Tool'!C:C,0))</f>
        <v>1</v>
      </c>
      <c r="V3841" s="161" t="b">
        <f>F3841&gt;='Query Tool'!C$32</f>
        <v>0</v>
      </c>
      <c r="W3841" s="161" t="b">
        <f t="array" ref="W3841">index(Dropdowns!B:B,match(I3841,Dropdowns!A:A,0))</f>
        <v>1</v>
      </c>
      <c r="X3841" s="161" t="b">
        <f t="array" ref="X3841">index('Query Tool'!B:B,match(D3841,'Query Tool'!C:C,0))</f>
        <v>1</v>
      </c>
      <c r="Y3841" s="161" t="str">
        <f t="shared" si="6"/>
        <v>metuch01,2020-21</v>
      </c>
      <c r="Z3841" s="168" t="str">
        <f t="array" ref="Z3841">iferror(index(I:I,match($A3841&amp;","&amp;index('Year Conversion'!$A:$A,match($C3841,'Year Conversion'!$B:$B,0)),$Y:$Y,0))-I3841,"")</f>
        <v/>
      </c>
      <c r="AA3841" s="168" t="str">
        <f t="array" ref="AA3841">iferror(index(J:J,match($A3841&amp;","&amp;index('Year Conversion'!$A:$A,match($C3841,'Year Conversion'!$B:$B,0)),$Y:$Y,0))-J3841,"")</f>
        <v/>
      </c>
      <c r="AB3841" s="168" t="str">
        <f t="array" ref="AB3841">iferror(index(K:K,match($A3841&amp;","&amp;index('Year Conversion'!$A:$A,match($C3841,'Year Conversion'!$B:$B,0)),$Y:$Y,0))-K3841,"")</f>
        <v/>
      </c>
      <c r="AC3841" s="168" t="str">
        <f t="shared" si="7"/>
        <v>SAC,2020-21</v>
      </c>
    </row>
    <row r="3842">
      <c r="A3842" s="161" t="str">
        <f>IFERROR(__xludf.DUMMYFUNCTION("""COMPUTED_VALUE"""),"miltosh01")</f>
        <v>miltosh01</v>
      </c>
      <c r="B3842" s="161" t="str">
        <f>IFERROR(__xludf.DUMMYFUNCTION("""COMPUTED_VALUE"""),"Shake Milton")</f>
        <v>Shake Milton</v>
      </c>
      <c r="C3842" s="162" t="str">
        <f>IFERROR(__xludf.DUMMYFUNCTION("""COMPUTED_VALUE"""),"2020-21")</f>
        <v>2020-21</v>
      </c>
      <c r="D3842" s="163" t="str">
        <f>IFERROR(__xludf.DUMMYFUNCTION("""COMPUTED_VALUE"""),"PHI")</f>
        <v>PHI</v>
      </c>
      <c r="E3842" s="164" t="str">
        <f>IFERROR(__xludf.DUMMYFUNCTION("""COMPUTED_VALUE"""),"Secondary Ball Handler")</f>
        <v>Secondary Ball Handler</v>
      </c>
      <c r="F3842" s="164">
        <f>IFERROR(__xludf.DUMMYFUNCTION("""COMPUTED_VALUE"""),564.12)</f>
        <v>564.12</v>
      </c>
      <c r="G3842" s="163">
        <f>IFERROR(__xludf.DUMMYFUNCTION("""COMPUTED_VALUE"""),23.0)</f>
        <v>23</v>
      </c>
      <c r="H3842" s="163" t="str">
        <f>IFERROR(__xludf.DUMMYFUNCTION("""COMPUTED_VALUE"""),"SG")</f>
        <v>SG</v>
      </c>
      <c r="I3842" s="163">
        <f>IFERROR(__xludf.DUMMYFUNCTION("""COMPUTED_VALUE"""),24.0)</f>
        <v>24</v>
      </c>
      <c r="J3842" s="165">
        <f>IFERROR(__xludf.DUMMYFUNCTION("""COMPUTED_VALUE"""),-1.10766147551119)</f>
        <v>-1.107661476</v>
      </c>
      <c r="K3842" s="165">
        <f>IFERROR(__xludf.DUMMYFUNCTION("""COMPUTED_VALUE"""),-0.0963409011645974)</f>
        <v>-0.09634090116</v>
      </c>
      <c r="L3842" s="165">
        <f>IFERROR(__xludf.DUMMYFUNCTION("""COMPUTED_VALUE"""),-1.01132057434659)</f>
        <v>-1.011320574</v>
      </c>
      <c r="M3842" s="166">
        <f t="shared" si="2"/>
        <v>0.4491313549</v>
      </c>
      <c r="N3842" s="167">
        <f t="shared" si="3"/>
        <v>24.52695652</v>
      </c>
      <c r="O3842" s="163">
        <f t="shared" ref="O3842:Q3842" si="3846">rank(I3842,I:I)</f>
        <v>2361</v>
      </c>
      <c r="P3842" s="163">
        <f t="shared" si="3846"/>
        <v>2622</v>
      </c>
      <c r="Q3842" s="163">
        <f t="shared" si="3846"/>
        <v>1359</v>
      </c>
      <c r="R3842" s="163">
        <f>IFERROR(__xludf.DUMMYFUNCTION("RANK(M3842,filter(M:M,C:C=C3842))"),205.0)</f>
        <v>205</v>
      </c>
      <c r="S3842" s="161" t="b">
        <f t="shared" si="5"/>
        <v>1</v>
      </c>
      <c r="T3842" s="161" t="b">
        <f t="array" ref="T3842">index('Query Tool'!B:B,match(H3842,'Query Tool'!C:C,0))</f>
        <v>1</v>
      </c>
      <c r="U3842" s="161" t="b">
        <f t="array" ref="U3842">index('Query Tool'!B:B,match(C3842,'Query Tool'!C:C,0))</f>
        <v>1</v>
      </c>
      <c r="V3842" s="161" t="b">
        <f>F3842&gt;='Query Tool'!C$32</f>
        <v>1</v>
      </c>
      <c r="W3842" s="161" t="b">
        <f t="array" ref="W3842">index(Dropdowns!B:B,match(I3842,Dropdowns!A:A,0))</f>
        <v>1</v>
      </c>
      <c r="X3842" s="161" t="b">
        <f t="array" ref="X3842">index('Query Tool'!B:B,match(D3842,'Query Tool'!C:C,0))</f>
        <v>1</v>
      </c>
      <c r="Y3842" s="161" t="str">
        <f t="shared" si="6"/>
        <v>miltosh01,2020-21</v>
      </c>
      <c r="Z3842" s="168" t="str">
        <f t="array" ref="Z3842">iferror(index(I:I,match($A3842&amp;","&amp;index('Year Conversion'!$A:$A,match($C3842,'Year Conversion'!$B:$B,0)),$Y:$Y,0))-I3842,"")</f>
        <v/>
      </c>
      <c r="AA3842" s="168" t="str">
        <f t="array" ref="AA3842">iferror(index(J:J,match($A3842&amp;","&amp;index('Year Conversion'!$A:$A,match($C3842,'Year Conversion'!$B:$B,0)),$Y:$Y,0))-J3842,"")</f>
        <v/>
      </c>
      <c r="AB3842" s="168" t="str">
        <f t="array" ref="AB3842">iferror(index(K:K,match($A3842&amp;","&amp;index('Year Conversion'!$A:$A,match($C3842,'Year Conversion'!$B:$B,0)),$Y:$Y,0))-K3842,"")</f>
        <v/>
      </c>
      <c r="AC3842" s="168" t="str">
        <f t="shared" si="7"/>
        <v>PHI,2020-21</v>
      </c>
    </row>
    <row r="3843">
      <c r="A3843" s="161" t="str">
        <f>IFERROR(__xludf.DUMMYFUNCTION("""COMPUTED_VALUE"""),"mykhasv01")</f>
        <v>mykhasv01</v>
      </c>
      <c r="B3843" s="161" t="str">
        <f>IFERROR(__xludf.DUMMYFUNCTION("""COMPUTED_VALUE"""),"Svi Mykhailiuk")</f>
        <v>Svi Mykhailiuk</v>
      </c>
      <c r="C3843" s="162" t="str">
        <f>IFERROR(__xludf.DUMMYFUNCTION("""COMPUTED_VALUE"""),"2020-21")</f>
        <v>2020-21</v>
      </c>
      <c r="D3843" s="163" t="str">
        <f>IFERROR(__xludf.DUMMYFUNCTION("""COMPUTED_VALUE"""),"DET")</f>
        <v>DET</v>
      </c>
      <c r="E3843" s="164" t="str">
        <f>IFERROR(__xludf.DUMMYFUNCTION("""COMPUTED_VALUE"""),"Off Screen Shooter")</f>
        <v>Off Screen Shooter</v>
      </c>
      <c r="F3843" s="164">
        <f>IFERROR(__xludf.DUMMYFUNCTION("""COMPUTED_VALUE"""),446.703333333333)</f>
        <v>446.7033333</v>
      </c>
      <c r="G3843" s="163">
        <f>IFERROR(__xludf.DUMMYFUNCTION("""COMPUTED_VALUE"""),29.0)</f>
        <v>29</v>
      </c>
      <c r="H3843" s="163" t="str">
        <f>IFERROR(__xludf.DUMMYFUNCTION("""COMPUTED_VALUE"""),"SF")</f>
        <v>SF</v>
      </c>
      <c r="I3843" s="163">
        <f>IFERROR(__xludf.DUMMYFUNCTION("""COMPUTED_VALUE"""),23.0)</f>
        <v>23</v>
      </c>
      <c r="J3843" s="165">
        <f>IFERROR(__xludf.DUMMYFUNCTION("""COMPUTED_VALUE"""),-1.30905914983285)</f>
        <v>-1.30905915</v>
      </c>
      <c r="K3843" s="165">
        <f>IFERROR(__xludf.DUMMYFUNCTION("""COMPUTED_VALUE"""),-0.512459532751595)</f>
        <v>-0.5124595328</v>
      </c>
      <c r="L3843" s="165">
        <f>IFERROR(__xludf.DUMMYFUNCTION("""COMPUTED_VALUE"""),-0.79659961708125)</f>
        <v>-0.7965996171</v>
      </c>
      <c r="M3843" s="166">
        <f t="shared" si="2"/>
        <v>0.2953635101</v>
      </c>
      <c r="N3843" s="167">
        <f t="shared" si="3"/>
        <v>15.40356322</v>
      </c>
      <c r="O3843" s="163">
        <f t="shared" ref="O3843:Q3843" si="3847">rank(I3843,I:I)</f>
        <v>2765</v>
      </c>
      <c r="P3843" s="163">
        <f t="shared" si="3847"/>
        <v>2870</v>
      </c>
      <c r="Q3843" s="163">
        <f t="shared" si="3847"/>
        <v>2126</v>
      </c>
      <c r="R3843" s="163">
        <f>IFERROR(__xludf.DUMMYFUNCTION("RANK(M3843,filter(M:M,C:C=C3843))"),248.0)</f>
        <v>248</v>
      </c>
      <c r="S3843" s="161" t="b">
        <f t="shared" si="5"/>
        <v>0</v>
      </c>
      <c r="T3843" s="161" t="b">
        <f t="array" ref="T3843">index('Query Tool'!B:B,match(H3843,'Query Tool'!C:C,0))</f>
        <v>1</v>
      </c>
      <c r="U3843" s="161" t="b">
        <f t="array" ref="U3843">index('Query Tool'!B:B,match(C3843,'Query Tool'!C:C,0))</f>
        <v>1</v>
      </c>
      <c r="V3843" s="161" t="b">
        <f>F3843&gt;='Query Tool'!C$32</f>
        <v>0</v>
      </c>
      <c r="W3843" s="161" t="b">
        <f t="array" ref="W3843">index(Dropdowns!B:B,match(I3843,Dropdowns!A:A,0))</f>
        <v>1</v>
      </c>
      <c r="X3843" s="161" t="b">
        <f t="array" ref="X3843">index('Query Tool'!B:B,match(D3843,'Query Tool'!C:C,0))</f>
        <v>1</v>
      </c>
      <c r="Y3843" s="161" t="str">
        <f t="shared" si="6"/>
        <v>mykhasv01,2020-21</v>
      </c>
      <c r="Z3843" s="168" t="str">
        <f t="array" ref="Z3843">iferror(index(I:I,match($A3843&amp;","&amp;index('Year Conversion'!$A:$A,match($C3843,'Year Conversion'!$B:$B,0)),$Y:$Y,0))-I3843,"")</f>
        <v/>
      </c>
      <c r="AA3843" s="168" t="str">
        <f t="array" ref="AA3843">iferror(index(J:J,match($A3843&amp;","&amp;index('Year Conversion'!$A:$A,match($C3843,'Year Conversion'!$B:$B,0)),$Y:$Y,0))-J3843,"")</f>
        <v/>
      </c>
      <c r="AB3843" s="168" t="str">
        <f t="array" ref="AB3843">iferror(index(K:K,match($A3843&amp;","&amp;index('Year Conversion'!$A:$A,match($C3843,'Year Conversion'!$B:$B,0)),$Y:$Y,0))-K3843,"")</f>
        <v/>
      </c>
      <c r="AC3843" s="168" t="str">
        <f t="shared" si="7"/>
        <v>DET,2020-21</v>
      </c>
    </row>
    <row r="3844">
      <c r="A3844" s="161" t="str">
        <f>IFERROR(__xludf.DUMMYFUNCTION("""COMPUTED_VALUE"""),"okogijo01")</f>
        <v>okogijo01</v>
      </c>
      <c r="B3844" s="161" t="str">
        <f>IFERROR(__xludf.DUMMYFUNCTION("""COMPUTED_VALUE"""),"Josh Okogie")</f>
        <v>Josh Okogie</v>
      </c>
      <c r="C3844" s="162" t="str">
        <f>IFERROR(__xludf.DUMMYFUNCTION("""COMPUTED_VALUE"""),"2020-21")</f>
        <v>2020-21</v>
      </c>
      <c r="D3844" s="163" t="str">
        <f>IFERROR(__xludf.DUMMYFUNCTION("""COMPUTED_VALUE"""),"MIN")</f>
        <v>MIN</v>
      </c>
      <c r="E3844" s="164" t="str">
        <f>IFERROR(__xludf.DUMMYFUNCTION("""COMPUTED_VALUE"""),"Athletic Finisher")</f>
        <v>Athletic Finisher</v>
      </c>
      <c r="F3844" s="164">
        <f>IFERROR(__xludf.DUMMYFUNCTION("""COMPUTED_VALUE"""),482.52)</f>
        <v>482.52</v>
      </c>
      <c r="G3844" s="163">
        <f>IFERROR(__xludf.DUMMYFUNCTION("""COMPUTED_VALUE"""),25.0)</f>
        <v>25</v>
      </c>
      <c r="H3844" s="163" t="str">
        <f>IFERROR(__xludf.DUMMYFUNCTION("""COMPUTED_VALUE"""),"SG")</f>
        <v>SG</v>
      </c>
      <c r="I3844" s="163">
        <f>IFERROR(__xludf.DUMMYFUNCTION("""COMPUTED_VALUE"""),22.0)</f>
        <v>22</v>
      </c>
      <c r="J3844" s="165">
        <f>IFERROR(__xludf.DUMMYFUNCTION("""COMPUTED_VALUE"""),-1.75536132554426)</f>
        <v>-1.755361326</v>
      </c>
      <c r="K3844" s="165">
        <f>IFERROR(__xludf.DUMMYFUNCTION("""COMPUTED_VALUE"""),-2.17802302659066)</f>
        <v>-2.178023027</v>
      </c>
      <c r="L3844" s="165">
        <f>IFERROR(__xludf.DUMMYFUNCTION("""COMPUTED_VALUE"""),0.422661701046402)</f>
        <v>0.422661701</v>
      </c>
      <c r="M3844" s="166">
        <f t="shared" si="2"/>
        <v>0.1752801287</v>
      </c>
      <c r="N3844" s="167">
        <f t="shared" si="3"/>
        <v>19.3008</v>
      </c>
      <c r="O3844" s="163">
        <f t="shared" ref="O3844:Q3844" si="3848">rank(I3844,I:I)</f>
        <v>3178</v>
      </c>
      <c r="P3844" s="163">
        <f t="shared" si="3848"/>
        <v>3297</v>
      </c>
      <c r="Q3844" s="163">
        <f t="shared" si="3848"/>
        <v>3792</v>
      </c>
      <c r="R3844" s="163">
        <f>IFERROR(__xludf.DUMMYFUNCTION("RANK(M3844,filter(M:M,C:C=C3844))"),290.0)</f>
        <v>290</v>
      </c>
      <c r="S3844" s="161" t="b">
        <f t="shared" si="5"/>
        <v>0</v>
      </c>
      <c r="T3844" s="161" t="b">
        <f t="array" ref="T3844">index('Query Tool'!B:B,match(H3844,'Query Tool'!C:C,0))</f>
        <v>1</v>
      </c>
      <c r="U3844" s="161" t="b">
        <f t="array" ref="U3844">index('Query Tool'!B:B,match(C3844,'Query Tool'!C:C,0))</f>
        <v>1</v>
      </c>
      <c r="V3844" s="161" t="b">
        <f>F3844&gt;='Query Tool'!C$32</f>
        <v>0</v>
      </c>
      <c r="W3844" s="161" t="b">
        <f t="array" ref="W3844">index(Dropdowns!B:B,match(I3844,Dropdowns!A:A,0))</f>
        <v>1</v>
      </c>
      <c r="X3844" s="161" t="b">
        <f t="array" ref="X3844">index('Query Tool'!B:B,match(D3844,'Query Tool'!C:C,0))</f>
        <v>1</v>
      </c>
      <c r="Y3844" s="161" t="str">
        <f t="shared" si="6"/>
        <v>okogijo01,2020-21</v>
      </c>
      <c r="Z3844" s="168" t="str">
        <f t="array" ref="Z3844">iferror(index(I:I,match($A3844&amp;","&amp;index('Year Conversion'!$A:$A,match($C3844,'Year Conversion'!$B:$B,0)),$Y:$Y,0))-I3844,"")</f>
        <v/>
      </c>
      <c r="AA3844" s="168" t="str">
        <f t="array" ref="AA3844">iferror(index(J:J,match($A3844&amp;","&amp;index('Year Conversion'!$A:$A,match($C3844,'Year Conversion'!$B:$B,0)),$Y:$Y,0))-J3844,"")</f>
        <v/>
      </c>
      <c r="AB3844" s="168" t="str">
        <f t="array" ref="AB3844">iferror(index(K:K,match($A3844&amp;","&amp;index('Year Conversion'!$A:$A,match($C3844,'Year Conversion'!$B:$B,0)),$Y:$Y,0))-K3844,"")</f>
        <v/>
      </c>
      <c r="AC3844" s="168" t="str">
        <f t="shared" si="7"/>
        <v>MIN,2020-21</v>
      </c>
    </row>
    <row r="3845">
      <c r="A3845" s="161" t="str">
        <f>IFERROR(__xludf.DUMMYFUNCTION("""COMPUTED_VALUE"""),"portemi01")</f>
        <v>portemi01</v>
      </c>
      <c r="B3845" s="161" t="str">
        <f>IFERROR(__xludf.DUMMYFUNCTION("""COMPUTED_VALUE"""),"Michael Porter Jr.")</f>
        <v>Michael Porter Jr.</v>
      </c>
      <c r="C3845" s="162" t="str">
        <f>IFERROR(__xludf.DUMMYFUNCTION("""COMPUTED_VALUE"""),"2020-21")</f>
        <v>2020-21</v>
      </c>
      <c r="D3845" s="163" t="str">
        <f>IFERROR(__xludf.DUMMYFUNCTION("""COMPUTED_VALUE"""),"DEN")</f>
        <v>DEN</v>
      </c>
      <c r="E3845" s="164" t="str">
        <f>IFERROR(__xludf.DUMMYFUNCTION("""COMPUTED_VALUE"""),"Stretch Big")</f>
        <v>Stretch Big</v>
      </c>
      <c r="F3845" s="164">
        <f>IFERROR(__xludf.DUMMYFUNCTION("""COMPUTED_VALUE"""),538.433333333333)</f>
        <v>538.4333333</v>
      </c>
      <c r="G3845" s="163">
        <f>IFERROR(__xludf.DUMMYFUNCTION("""COMPUTED_VALUE"""),20.0)</f>
        <v>20</v>
      </c>
      <c r="H3845" s="163" t="str">
        <f>IFERROR(__xludf.DUMMYFUNCTION("""COMPUTED_VALUE"""),"SF")</f>
        <v>SF</v>
      </c>
      <c r="I3845" s="163">
        <f>IFERROR(__xludf.DUMMYFUNCTION("""COMPUTED_VALUE"""),22.0)</f>
        <v>22</v>
      </c>
      <c r="J3845" s="165">
        <f>IFERROR(__xludf.DUMMYFUNCTION("""COMPUTED_VALUE"""),0.535355925742819)</f>
        <v>0.5353559257</v>
      </c>
      <c r="K3845" s="165">
        <f>IFERROR(__xludf.DUMMYFUNCTION("""COMPUTED_VALUE"""),-0.081326829375151)</f>
        <v>-0.08132682938</v>
      </c>
      <c r="L3845" s="165">
        <f>IFERROR(__xludf.DUMMYFUNCTION("""COMPUTED_VALUE"""),0.61668275511797)</f>
        <v>0.6166827551</v>
      </c>
      <c r="M3845" s="166">
        <f t="shared" si="2"/>
        <v>1.024344942</v>
      </c>
      <c r="N3845" s="167">
        <f t="shared" si="3"/>
        <v>26.92166667</v>
      </c>
      <c r="O3845" s="163">
        <f t="shared" ref="O3845:Q3845" si="3849">rank(I3845,I:I)</f>
        <v>3178</v>
      </c>
      <c r="P3845" s="163">
        <f t="shared" si="3849"/>
        <v>879</v>
      </c>
      <c r="Q3845" s="163">
        <f t="shared" si="3849"/>
        <v>1326</v>
      </c>
      <c r="R3845" s="163">
        <f>IFERROR(__xludf.DUMMYFUNCTION("RANK(M3845,filter(M:M,C:C=C3845))"),120.0)</f>
        <v>120</v>
      </c>
      <c r="S3845" s="161" t="b">
        <f t="shared" si="5"/>
        <v>1</v>
      </c>
      <c r="T3845" s="161" t="b">
        <f t="array" ref="T3845">index('Query Tool'!B:B,match(H3845,'Query Tool'!C:C,0))</f>
        <v>1</v>
      </c>
      <c r="U3845" s="161" t="b">
        <f t="array" ref="U3845">index('Query Tool'!B:B,match(C3845,'Query Tool'!C:C,0))</f>
        <v>1</v>
      </c>
      <c r="V3845" s="161" t="b">
        <f>F3845&gt;='Query Tool'!C$32</f>
        <v>1</v>
      </c>
      <c r="W3845" s="161" t="b">
        <f t="array" ref="W3845">index(Dropdowns!B:B,match(I3845,Dropdowns!A:A,0))</f>
        <v>1</v>
      </c>
      <c r="X3845" s="161" t="b">
        <f t="array" ref="X3845">index('Query Tool'!B:B,match(D3845,'Query Tool'!C:C,0))</f>
        <v>1</v>
      </c>
      <c r="Y3845" s="161" t="str">
        <f t="shared" si="6"/>
        <v>portemi01,2020-21</v>
      </c>
      <c r="Z3845" s="168" t="str">
        <f t="array" ref="Z3845">iferror(index(I:I,match($A3845&amp;","&amp;index('Year Conversion'!$A:$A,match($C3845,'Year Conversion'!$B:$B,0)),$Y:$Y,0))-I3845,"")</f>
        <v/>
      </c>
      <c r="AA3845" s="168" t="str">
        <f t="array" ref="AA3845">iferror(index(J:J,match($A3845&amp;","&amp;index('Year Conversion'!$A:$A,match($C3845,'Year Conversion'!$B:$B,0)),$Y:$Y,0))-J3845,"")</f>
        <v/>
      </c>
      <c r="AB3845" s="168" t="str">
        <f t="array" ref="AB3845">iferror(index(K:K,match($A3845&amp;","&amp;index('Year Conversion'!$A:$A,match($C3845,'Year Conversion'!$B:$B,0)),$Y:$Y,0))-K3845,"")</f>
        <v/>
      </c>
      <c r="AC3845" s="168" t="str">
        <f t="shared" si="7"/>
        <v>DEN,2020-21</v>
      </c>
    </row>
    <row r="3846">
      <c r="A3846" s="161" t="str">
        <f>IFERROR(__xludf.DUMMYFUNCTION("""COMPUTED_VALUE"""),"robinje01")</f>
        <v>robinje01</v>
      </c>
      <c r="B3846" s="161" t="str">
        <f>IFERROR(__xludf.DUMMYFUNCTION("""COMPUTED_VALUE"""),"Jerome Robinson")</f>
        <v>Jerome Robinson</v>
      </c>
      <c r="C3846" s="162" t="str">
        <f>IFERROR(__xludf.DUMMYFUNCTION("""COMPUTED_VALUE"""),"2020-21")</f>
        <v>2020-21</v>
      </c>
      <c r="D3846" s="163" t="str">
        <f>IFERROR(__xludf.DUMMYFUNCTION("""COMPUTED_VALUE"""),"WAS")</f>
        <v>WAS</v>
      </c>
      <c r="E3846" s="164" t="str">
        <f>IFERROR(__xludf.DUMMYFUNCTION("""COMPUTED_VALUE"""),"Secondary Ball Handler")</f>
        <v>Secondary Ball Handler</v>
      </c>
      <c r="F3846" s="164">
        <f>IFERROR(__xludf.DUMMYFUNCTION("""COMPUTED_VALUE"""),220.706666666667)</f>
        <v>220.7066667</v>
      </c>
      <c r="G3846" s="163">
        <f>IFERROR(__xludf.DUMMYFUNCTION("""COMPUTED_VALUE"""),13.0)</f>
        <v>13</v>
      </c>
      <c r="H3846" s="163" t="str">
        <f>IFERROR(__xludf.DUMMYFUNCTION("""COMPUTED_VALUE"""),"SG")</f>
        <v>SG</v>
      </c>
      <c r="I3846" s="163">
        <f>IFERROR(__xludf.DUMMYFUNCTION("""COMPUTED_VALUE"""),23.0)</f>
        <v>23</v>
      </c>
      <c r="J3846" s="165">
        <f>IFERROR(__xludf.DUMMYFUNCTION("""COMPUTED_VALUE"""),-1.88851674794947)</f>
        <v>-1.888516748</v>
      </c>
      <c r="K3846" s="165">
        <f>IFERROR(__xludf.DUMMYFUNCTION("""COMPUTED_VALUE"""),-1.18487038820201)</f>
        <v>-1.184870388</v>
      </c>
      <c r="L3846" s="165">
        <f>IFERROR(__xludf.DUMMYFUNCTION("""COMPUTED_VALUE"""),-0.703646359747459)</f>
        <v>-0.7036463597</v>
      </c>
      <c r="M3846" s="166">
        <f t="shared" si="2"/>
        <v>0.06063228861</v>
      </c>
      <c r="N3846" s="167">
        <f t="shared" si="3"/>
        <v>16.9774359</v>
      </c>
      <c r="O3846" s="163">
        <f t="shared" ref="O3846:Q3846" si="3850">rank(I3846,I:I)</f>
        <v>2765</v>
      </c>
      <c r="P3846" s="163">
        <f t="shared" si="3850"/>
        <v>3409</v>
      </c>
      <c r="Q3846" s="163">
        <f t="shared" si="3850"/>
        <v>3021</v>
      </c>
      <c r="R3846" s="163">
        <f>IFERROR(__xludf.DUMMYFUNCTION("RANK(M3846,filter(M:M,C:C=C3846))"),366.0)</f>
        <v>366</v>
      </c>
      <c r="S3846" s="161" t="b">
        <f t="shared" si="5"/>
        <v>0</v>
      </c>
      <c r="T3846" s="161" t="b">
        <f t="array" ref="T3846">index('Query Tool'!B:B,match(H3846,'Query Tool'!C:C,0))</f>
        <v>1</v>
      </c>
      <c r="U3846" s="161" t="b">
        <f t="array" ref="U3846">index('Query Tool'!B:B,match(C3846,'Query Tool'!C:C,0))</f>
        <v>1</v>
      </c>
      <c r="V3846" s="161" t="b">
        <f>F3846&gt;='Query Tool'!C$32</f>
        <v>0</v>
      </c>
      <c r="W3846" s="161" t="b">
        <f t="array" ref="W3846">index(Dropdowns!B:B,match(I3846,Dropdowns!A:A,0))</f>
        <v>1</v>
      </c>
      <c r="X3846" s="161" t="b">
        <f t="array" ref="X3846">index('Query Tool'!B:B,match(D3846,'Query Tool'!C:C,0))</f>
        <v>1</v>
      </c>
      <c r="Y3846" s="161" t="str">
        <f t="shared" si="6"/>
        <v>robinje01,2020-21</v>
      </c>
      <c r="Z3846" s="168" t="str">
        <f t="array" ref="Z3846">iferror(index(I:I,match($A3846&amp;","&amp;index('Year Conversion'!$A:$A,match($C3846,'Year Conversion'!$B:$B,0)),$Y:$Y,0))-I3846,"")</f>
        <v/>
      </c>
      <c r="AA3846" s="168" t="str">
        <f t="array" ref="AA3846">iferror(index(J:J,match($A3846&amp;","&amp;index('Year Conversion'!$A:$A,match($C3846,'Year Conversion'!$B:$B,0)),$Y:$Y,0))-J3846,"")</f>
        <v/>
      </c>
      <c r="AB3846" s="168" t="str">
        <f t="array" ref="AB3846">iferror(index(K:K,match($A3846&amp;","&amp;index('Year Conversion'!$A:$A,match($C3846,'Year Conversion'!$B:$B,0)),$Y:$Y,0))-K3846,"")</f>
        <v/>
      </c>
      <c r="AC3846" s="168" t="str">
        <f t="shared" si="7"/>
        <v>WAS,2020-21</v>
      </c>
    </row>
    <row r="3847">
      <c r="A3847" s="161" t="str">
        <f>IFERROR(__xludf.DUMMYFUNCTION("""COMPUTED_VALUE"""),"robinmi01")</f>
        <v>robinmi01</v>
      </c>
      <c r="B3847" s="161" t="str">
        <f>IFERROR(__xludf.DUMMYFUNCTION("""COMPUTED_VALUE"""),"Mitchell Robinson")</f>
        <v>Mitchell Robinson</v>
      </c>
      <c r="C3847" s="162" t="str">
        <f>IFERROR(__xludf.DUMMYFUNCTION("""COMPUTED_VALUE"""),"2020-21")</f>
        <v>2020-21</v>
      </c>
      <c r="D3847" s="163" t="str">
        <f>IFERROR(__xludf.DUMMYFUNCTION("""COMPUTED_VALUE"""),"NYK")</f>
        <v>NYK</v>
      </c>
      <c r="E3847" s="164" t="str">
        <f>IFERROR(__xludf.DUMMYFUNCTION("""COMPUTED_VALUE"""),"Roll + Cut Big")</f>
        <v>Roll + Cut Big</v>
      </c>
      <c r="F3847" s="164">
        <f>IFERROR(__xludf.DUMMYFUNCTION("""COMPUTED_VALUE"""),777.656666666667)</f>
        <v>777.6566667</v>
      </c>
      <c r="G3847" s="163">
        <f>IFERROR(__xludf.DUMMYFUNCTION("""COMPUTED_VALUE"""),27.0)</f>
        <v>27</v>
      </c>
      <c r="H3847" s="163" t="str">
        <f>IFERROR(__xludf.DUMMYFUNCTION("""COMPUTED_VALUE"""),"C")</f>
        <v>C</v>
      </c>
      <c r="I3847" s="163">
        <f>IFERROR(__xludf.DUMMYFUNCTION("""COMPUTED_VALUE"""),22.0)</f>
        <v>22</v>
      </c>
      <c r="J3847" s="165">
        <f>IFERROR(__xludf.DUMMYFUNCTION("""COMPUTED_VALUE"""),0.519886064318075)</f>
        <v>0.5198860643</v>
      </c>
      <c r="K3847" s="165">
        <f>IFERROR(__xludf.DUMMYFUNCTION("""COMPUTED_VALUE"""),-1.28365822947333)</f>
        <v>-1.283658229</v>
      </c>
      <c r="L3847" s="165">
        <f>IFERROR(__xludf.DUMMYFUNCTION("""COMPUTED_VALUE"""),1.8035442937914)</f>
        <v>1.803544294</v>
      </c>
      <c r="M3847" s="166">
        <f t="shared" si="2"/>
        <v>1.471355196</v>
      </c>
      <c r="N3847" s="167">
        <f t="shared" si="3"/>
        <v>28.80209877</v>
      </c>
      <c r="O3847" s="163">
        <f t="shared" ref="O3847:Q3847" si="3851">rank(I3847,I:I)</f>
        <v>3178</v>
      </c>
      <c r="P3847" s="163">
        <f t="shared" si="3851"/>
        <v>893</v>
      </c>
      <c r="Q3847" s="163">
        <f t="shared" si="3851"/>
        <v>3124</v>
      </c>
      <c r="R3847" s="163">
        <f>IFERROR(__xludf.DUMMYFUNCTION("RANK(M3847,filter(M:M,C:C=C3847))"),81.0)</f>
        <v>81</v>
      </c>
      <c r="S3847" s="161" t="b">
        <f t="shared" si="5"/>
        <v>1</v>
      </c>
      <c r="T3847" s="161" t="b">
        <f t="array" ref="T3847">index('Query Tool'!B:B,match(H3847,'Query Tool'!C:C,0))</f>
        <v>1</v>
      </c>
      <c r="U3847" s="161" t="b">
        <f t="array" ref="U3847">index('Query Tool'!B:B,match(C3847,'Query Tool'!C:C,0))</f>
        <v>1</v>
      </c>
      <c r="V3847" s="161" t="b">
        <f>F3847&gt;='Query Tool'!C$32</f>
        <v>1</v>
      </c>
      <c r="W3847" s="161" t="b">
        <f t="array" ref="W3847">index(Dropdowns!B:B,match(I3847,Dropdowns!A:A,0))</f>
        <v>1</v>
      </c>
      <c r="X3847" s="161" t="b">
        <f t="array" ref="X3847">index('Query Tool'!B:B,match(D3847,'Query Tool'!C:C,0))</f>
        <v>1</v>
      </c>
      <c r="Y3847" s="161" t="str">
        <f t="shared" si="6"/>
        <v>robinmi01,2020-21</v>
      </c>
      <c r="Z3847" s="168" t="str">
        <f t="array" ref="Z3847">iferror(index(I:I,match($A3847&amp;","&amp;index('Year Conversion'!$A:$A,match($C3847,'Year Conversion'!$B:$B,0)),$Y:$Y,0))-I3847,"")</f>
        <v/>
      </c>
      <c r="AA3847" s="168" t="str">
        <f t="array" ref="AA3847">iferror(index(J:J,match($A3847&amp;","&amp;index('Year Conversion'!$A:$A,match($C3847,'Year Conversion'!$B:$B,0)),$Y:$Y,0))-J3847,"")</f>
        <v/>
      </c>
      <c r="AB3847" s="168" t="str">
        <f t="array" ref="AB3847">iferror(index(K:K,match($A3847&amp;","&amp;index('Year Conversion'!$A:$A,match($C3847,'Year Conversion'!$B:$B,0)),$Y:$Y,0))-K3847,"")</f>
        <v/>
      </c>
      <c r="AC3847" s="168" t="str">
        <f t="shared" si="7"/>
        <v>NYK,2020-21</v>
      </c>
    </row>
    <row r="3848">
      <c r="A3848" s="161" t="str">
        <f>IFERROR(__xludf.DUMMYFUNCTION("""COMPUTED_VALUE"""),"sextoco01")</f>
        <v>sextoco01</v>
      </c>
      <c r="B3848" s="161" t="str">
        <f>IFERROR(__xludf.DUMMYFUNCTION("""COMPUTED_VALUE"""),"Collin Sexton")</f>
        <v>Collin Sexton</v>
      </c>
      <c r="C3848" s="162" t="str">
        <f>IFERROR(__xludf.DUMMYFUNCTION("""COMPUTED_VALUE"""),"2020-21")</f>
        <v>2020-21</v>
      </c>
      <c r="D3848" s="163" t="str">
        <f>IFERROR(__xludf.DUMMYFUNCTION("""COMPUTED_VALUE"""),"CLE")</f>
        <v>CLE</v>
      </c>
      <c r="E3848" s="164" t="str">
        <f>IFERROR(__xludf.DUMMYFUNCTION("""COMPUTED_VALUE"""),"Slasher")</f>
        <v>Slasher</v>
      </c>
      <c r="F3848" s="164">
        <f>IFERROR(__xludf.DUMMYFUNCTION("""COMPUTED_VALUE"""),924.948333333333)</f>
        <v>924.9483333</v>
      </c>
      <c r="G3848" s="163">
        <f>IFERROR(__xludf.DUMMYFUNCTION("""COMPUTED_VALUE"""),26.0)</f>
        <v>26</v>
      </c>
      <c r="H3848" s="163" t="str">
        <f>IFERROR(__xludf.DUMMYFUNCTION("""COMPUTED_VALUE"""),"SG")</f>
        <v>SG</v>
      </c>
      <c r="I3848" s="163">
        <f>IFERROR(__xludf.DUMMYFUNCTION("""COMPUTED_VALUE"""),22.0)</f>
        <v>22</v>
      </c>
      <c r="J3848" s="165">
        <f>IFERROR(__xludf.DUMMYFUNCTION("""COMPUTED_VALUE"""),-1.42370618729455)</f>
        <v>-1.423706187</v>
      </c>
      <c r="K3848" s="165">
        <f>IFERROR(__xludf.DUMMYFUNCTION("""COMPUTED_VALUE"""),-0.504743077968828)</f>
        <v>-0.504743078</v>
      </c>
      <c r="L3848" s="165">
        <f>IFERROR(__xludf.DUMMYFUNCTION("""COMPUTED_VALUE"""),-0.918963109325723)</f>
        <v>-0.9189631093</v>
      </c>
      <c r="M3848" s="166">
        <f t="shared" si="2"/>
        <v>0.5406434909</v>
      </c>
      <c r="N3848" s="167">
        <f t="shared" si="3"/>
        <v>35.5749359</v>
      </c>
      <c r="O3848" s="163">
        <f t="shared" ref="O3848:Q3848" si="3852">rank(I3848,I:I)</f>
        <v>3178</v>
      </c>
      <c r="P3848" s="163">
        <f t="shared" si="3852"/>
        <v>2977</v>
      </c>
      <c r="Q3848" s="163">
        <f t="shared" si="3852"/>
        <v>2109</v>
      </c>
      <c r="R3848" s="163">
        <f>IFERROR(__xludf.DUMMYFUNCTION("RANK(M3848,filter(M:M,C:C=C3848))"),184.0)</f>
        <v>184</v>
      </c>
      <c r="S3848" s="161" t="b">
        <f t="shared" si="5"/>
        <v>1</v>
      </c>
      <c r="T3848" s="161" t="b">
        <f t="array" ref="T3848">index('Query Tool'!B:B,match(H3848,'Query Tool'!C:C,0))</f>
        <v>1</v>
      </c>
      <c r="U3848" s="161" t="b">
        <f t="array" ref="U3848">index('Query Tool'!B:B,match(C3848,'Query Tool'!C:C,0))</f>
        <v>1</v>
      </c>
      <c r="V3848" s="161" t="b">
        <f>F3848&gt;='Query Tool'!C$32</f>
        <v>1</v>
      </c>
      <c r="W3848" s="161" t="b">
        <f t="array" ref="W3848">index(Dropdowns!B:B,match(I3848,Dropdowns!A:A,0))</f>
        <v>1</v>
      </c>
      <c r="X3848" s="161" t="b">
        <f t="array" ref="X3848">index('Query Tool'!B:B,match(D3848,'Query Tool'!C:C,0))</f>
        <v>1</v>
      </c>
      <c r="Y3848" s="161" t="str">
        <f t="shared" si="6"/>
        <v>sextoco01,2020-21</v>
      </c>
      <c r="Z3848" s="168" t="str">
        <f t="array" ref="Z3848">iferror(index(I:I,match($A3848&amp;","&amp;index('Year Conversion'!$A:$A,match($C3848,'Year Conversion'!$B:$B,0)),$Y:$Y,0))-I3848,"")</f>
        <v/>
      </c>
      <c r="AA3848" s="168" t="str">
        <f t="array" ref="AA3848">iferror(index(J:J,match($A3848&amp;","&amp;index('Year Conversion'!$A:$A,match($C3848,'Year Conversion'!$B:$B,0)),$Y:$Y,0))-J3848,"")</f>
        <v/>
      </c>
      <c r="AB3848" s="168" t="str">
        <f t="array" ref="AB3848">iferror(index(K:K,match($A3848&amp;","&amp;index('Year Conversion'!$A:$A,match($C3848,'Year Conversion'!$B:$B,0)),$Y:$Y,0))-K3848,"")</f>
        <v/>
      </c>
      <c r="AC3848" s="168" t="str">
        <f t="shared" si="7"/>
        <v>CLE,2020-21</v>
      </c>
    </row>
    <row r="3849">
      <c r="A3849" s="161" t="str">
        <f>IFERROR(__xludf.DUMMYFUNCTION("""COMPUTED_VALUE"""),"shamela01")</f>
        <v>shamela01</v>
      </c>
      <c r="B3849" s="161" t="str">
        <f>IFERROR(__xludf.DUMMYFUNCTION("""COMPUTED_VALUE"""),"Landry Shamet")</f>
        <v>Landry Shamet</v>
      </c>
      <c r="C3849" s="162" t="str">
        <f>IFERROR(__xludf.DUMMYFUNCTION("""COMPUTED_VALUE"""),"2020-21")</f>
        <v>2020-21</v>
      </c>
      <c r="D3849" s="163" t="str">
        <f>IFERROR(__xludf.DUMMYFUNCTION("""COMPUTED_VALUE"""),"BRK")</f>
        <v>BRK</v>
      </c>
      <c r="E3849" s="164" t="str">
        <f>IFERROR(__xludf.DUMMYFUNCTION("""COMPUTED_VALUE"""),"Movement Shooter")</f>
        <v>Movement Shooter</v>
      </c>
      <c r="F3849" s="164">
        <f>IFERROR(__xludf.DUMMYFUNCTION("""COMPUTED_VALUE"""),531.218333333334)</f>
        <v>531.2183333</v>
      </c>
      <c r="G3849" s="163">
        <f>IFERROR(__xludf.DUMMYFUNCTION("""COMPUTED_VALUE"""),28.0)</f>
        <v>28</v>
      </c>
      <c r="H3849" s="163" t="str">
        <f>IFERROR(__xludf.DUMMYFUNCTION("""COMPUTED_VALUE"""),"SG")</f>
        <v>SG</v>
      </c>
      <c r="I3849" s="163">
        <f>IFERROR(__xludf.DUMMYFUNCTION("""COMPUTED_VALUE"""),23.0)</f>
        <v>23</v>
      </c>
      <c r="J3849" s="165">
        <f>IFERROR(__xludf.DUMMYFUNCTION("""COMPUTED_VALUE"""),-1.97046206367521)</f>
        <v>-1.970462064</v>
      </c>
      <c r="K3849" s="165">
        <f>IFERROR(__xludf.DUMMYFUNCTION("""COMPUTED_VALUE"""),-0.253195785916167)</f>
        <v>-0.2531957859</v>
      </c>
      <c r="L3849" s="165">
        <f>IFERROR(__xludf.DUMMYFUNCTION("""COMPUTED_VALUE"""),-1.71726627775905)</f>
        <v>-1.717266278</v>
      </c>
      <c r="M3849" s="166">
        <f t="shared" si="2"/>
        <v>0.117038403</v>
      </c>
      <c r="N3849" s="167">
        <f t="shared" si="3"/>
        <v>18.97208333</v>
      </c>
      <c r="O3849" s="163">
        <f t="shared" ref="O3849:Q3849" si="3853">rank(I3849,I:I)</f>
        <v>2765</v>
      </c>
      <c r="P3849" s="163">
        <f t="shared" si="3853"/>
        <v>3457</v>
      </c>
      <c r="Q3849" s="163">
        <f t="shared" si="3853"/>
        <v>1674</v>
      </c>
      <c r="R3849" s="163">
        <f>IFERROR(__xludf.DUMMYFUNCTION("RANK(M3849,filter(M:M,C:C=C3849))"),319.0)</f>
        <v>319</v>
      </c>
      <c r="S3849" s="161" t="b">
        <f t="shared" si="5"/>
        <v>1</v>
      </c>
      <c r="T3849" s="161" t="b">
        <f t="array" ref="T3849">index('Query Tool'!B:B,match(H3849,'Query Tool'!C:C,0))</f>
        <v>1</v>
      </c>
      <c r="U3849" s="161" t="b">
        <f t="array" ref="U3849">index('Query Tool'!B:B,match(C3849,'Query Tool'!C:C,0))</f>
        <v>1</v>
      </c>
      <c r="V3849" s="161" t="b">
        <f>F3849&gt;='Query Tool'!C$32</f>
        <v>1</v>
      </c>
      <c r="W3849" s="161" t="b">
        <f t="array" ref="W3849">index(Dropdowns!B:B,match(I3849,Dropdowns!A:A,0))</f>
        <v>1</v>
      </c>
      <c r="X3849" s="161" t="b">
        <f t="array" ref="X3849">index('Query Tool'!B:B,match(D3849,'Query Tool'!C:C,0))</f>
        <v>1</v>
      </c>
      <c r="Y3849" s="161" t="str">
        <f t="shared" si="6"/>
        <v>shamela01,2020-21</v>
      </c>
      <c r="Z3849" s="168" t="str">
        <f t="array" ref="Z3849">iferror(index(I:I,match($A3849&amp;","&amp;index('Year Conversion'!$A:$A,match($C3849,'Year Conversion'!$B:$B,0)),$Y:$Y,0))-I3849,"")</f>
        <v/>
      </c>
      <c r="AA3849" s="168" t="str">
        <f t="array" ref="AA3849">iferror(index(J:J,match($A3849&amp;","&amp;index('Year Conversion'!$A:$A,match($C3849,'Year Conversion'!$B:$B,0)),$Y:$Y,0))-J3849,"")</f>
        <v/>
      </c>
      <c r="AB3849" s="168" t="str">
        <f t="array" ref="AB3849">iferror(index(K:K,match($A3849&amp;","&amp;index('Year Conversion'!$A:$A,match($C3849,'Year Conversion'!$B:$B,0)),$Y:$Y,0))-K3849,"")</f>
        <v/>
      </c>
      <c r="AC3849" s="168" t="str">
        <f t="shared" si="7"/>
        <v>BRK,2020-21</v>
      </c>
    </row>
    <row r="3850">
      <c r="A3850" s="161" t="str">
        <f>IFERROR(__xludf.DUMMYFUNCTION("""COMPUTED_VALUE"""),"simonan01")</f>
        <v>simonan01</v>
      </c>
      <c r="B3850" s="161" t="str">
        <f>IFERROR(__xludf.DUMMYFUNCTION("""COMPUTED_VALUE"""),"Anfernee Simons")</f>
        <v>Anfernee Simons</v>
      </c>
      <c r="C3850" s="162" t="str">
        <f>IFERROR(__xludf.DUMMYFUNCTION("""COMPUTED_VALUE"""),"2020-21")</f>
        <v>2020-21</v>
      </c>
      <c r="D3850" s="163" t="str">
        <f>IFERROR(__xludf.DUMMYFUNCTION("""COMPUTED_VALUE"""),"POR")</f>
        <v>POR</v>
      </c>
      <c r="E3850" s="164" t="str">
        <f>IFERROR(__xludf.DUMMYFUNCTION("""COMPUTED_VALUE"""),"Secondary Ball Handler")</f>
        <v>Secondary Ball Handler</v>
      </c>
      <c r="F3850" s="164">
        <f>IFERROR(__xludf.DUMMYFUNCTION("""COMPUTED_VALUE"""),462.841666666667)</f>
        <v>462.8416667</v>
      </c>
      <c r="G3850" s="163">
        <f>IFERROR(__xludf.DUMMYFUNCTION("""COMPUTED_VALUE"""),26.0)</f>
        <v>26</v>
      </c>
      <c r="H3850" s="163" t="str">
        <f>IFERROR(__xludf.DUMMYFUNCTION("""COMPUTED_VALUE"""),"SG")</f>
        <v>SG</v>
      </c>
      <c r="I3850" s="163">
        <f>IFERROR(__xludf.DUMMYFUNCTION("""COMPUTED_VALUE"""),21.0)</f>
        <v>21</v>
      </c>
      <c r="J3850" s="165">
        <f>IFERROR(__xludf.DUMMYFUNCTION("""COMPUTED_VALUE"""),-3.4468364758755)</f>
        <v>-3.446836476</v>
      </c>
      <c r="K3850" s="165">
        <f>IFERROR(__xludf.DUMMYFUNCTION("""COMPUTED_VALUE"""),-0.895056559672213)</f>
        <v>-0.8950565597</v>
      </c>
      <c r="L3850" s="165">
        <f>IFERROR(__xludf.DUMMYFUNCTION("""COMPUTED_VALUE"""),-2.55177991620329)</f>
        <v>-2.551779916</v>
      </c>
      <c r="M3850" s="166">
        <f t="shared" si="2"/>
        <v>-0.3446064251</v>
      </c>
      <c r="N3850" s="167">
        <f t="shared" si="3"/>
        <v>17.80160256</v>
      </c>
      <c r="O3850" s="163">
        <f t="shared" ref="O3850:Q3850" si="3854">rank(I3850,I:I)</f>
        <v>3528</v>
      </c>
      <c r="P3850" s="163">
        <f t="shared" si="3854"/>
        <v>3957</v>
      </c>
      <c r="Q3850" s="163">
        <f t="shared" si="3854"/>
        <v>2684</v>
      </c>
      <c r="R3850" s="163">
        <f>IFERROR(__xludf.DUMMYFUNCTION("RANK(M3850,filter(M:M,C:C=C3850))"),466.0)</f>
        <v>466</v>
      </c>
      <c r="S3850" s="161" t="b">
        <f t="shared" si="5"/>
        <v>0</v>
      </c>
      <c r="T3850" s="161" t="b">
        <f t="array" ref="T3850">index('Query Tool'!B:B,match(H3850,'Query Tool'!C:C,0))</f>
        <v>1</v>
      </c>
      <c r="U3850" s="161" t="b">
        <f t="array" ref="U3850">index('Query Tool'!B:B,match(C3850,'Query Tool'!C:C,0))</f>
        <v>1</v>
      </c>
      <c r="V3850" s="161" t="b">
        <f>F3850&gt;='Query Tool'!C$32</f>
        <v>0</v>
      </c>
      <c r="W3850" s="161" t="b">
        <f t="array" ref="W3850">index(Dropdowns!B:B,match(I3850,Dropdowns!A:A,0))</f>
        <v>1</v>
      </c>
      <c r="X3850" s="161" t="b">
        <f t="array" ref="X3850">index('Query Tool'!B:B,match(D3850,'Query Tool'!C:C,0))</f>
        <v>1</v>
      </c>
      <c r="Y3850" s="161" t="str">
        <f t="shared" si="6"/>
        <v>simonan01,2020-21</v>
      </c>
      <c r="Z3850" s="168" t="str">
        <f t="array" ref="Z3850">iferror(index(I:I,match($A3850&amp;","&amp;index('Year Conversion'!$A:$A,match($C3850,'Year Conversion'!$B:$B,0)),$Y:$Y,0))-I3850,"")</f>
        <v/>
      </c>
      <c r="AA3850" s="168" t="str">
        <f t="array" ref="AA3850">iferror(index(J:J,match($A3850&amp;","&amp;index('Year Conversion'!$A:$A,match($C3850,'Year Conversion'!$B:$B,0)),$Y:$Y,0))-J3850,"")</f>
        <v/>
      </c>
      <c r="AB3850" s="168" t="str">
        <f t="array" ref="AB3850">iferror(index(K:K,match($A3850&amp;","&amp;index('Year Conversion'!$A:$A,match($C3850,'Year Conversion'!$B:$B,0)),$Y:$Y,0))-K3850,"")</f>
        <v/>
      </c>
      <c r="AC3850" s="168" t="str">
        <f t="shared" si="7"/>
        <v>POR,2020-21</v>
      </c>
    </row>
    <row r="3851">
      <c r="A3851" s="161" t="str">
        <f>IFERROR(__xludf.DUMMYFUNCTION("""COMPUTED_VALUE"""),"trentga02")</f>
        <v>trentga02</v>
      </c>
      <c r="B3851" s="161" t="str">
        <f>IFERROR(__xludf.DUMMYFUNCTION("""COMPUTED_VALUE"""),"Gary Trent Jr.")</f>
        <v>Gary Trent Jr.</v>
      </c>
      <c r="C3851" s="162" t="str">
        <f>IFERROR(__xludf.DUMMYFUNCTION("""COMPUTED_VALUE"""),"2020-21")</f>
        <v>2020-21</v>
      </c>
      <c r="D3851" s="163" t="str">
        <f>IFERROR(__xludf.DUMMYFUNCTION("""COMPUTED_VALUE"""),"POR")</f>
        <v>POR</v>
      </c>
      <c r="E3851" s="164" t="str">
        <f>IFERROR(__xludf.DUMMYFUNCTION("""COMPUTED_VALUE"""),"Movement Shooter")</f>
        <v>Movement Shooter</v>
      </c>
      <c r="F3851" s="164">
        <f>IFERROR(__xludf.DUMMYFUNCTION("""COMPUTED_VALUE"""),823.855)</f>
        <v>823.855</v>
      </c>
      <c r="G3851" s="163">
        <f>IFERROR(__xludf.DUMMYFUNCTION("""COMPUTED_VALUE"""),27.0)</f>
        <v>27</v>
      </c>
      <c r="H3851" s="163" t="str">
        <f>IFERROR(__xludf.DUMMYFUNCTION("""COMPUTED_VALUE"""),"SG")</f>
        <v>SG</v>
      </c>
      <c r="I3851" s="163">
        <f>IFERROR(__xludf.DUMMYFUNCTION("""COMPUTED_VALUE"""),22.0)</f>
        <v>22</v>
      </c>
      <c r="J3851" s="165">
        <f>IFERROR(__xludf.DUMMYFUNCTION("""COMPUTED_VALUE"""),-1.74809810142736)</f>
        <v>-1.748098101</v>
      </c>
      <c r="K3851" s="165">
        <f>IFERROR(__xludf.DUMMYFUNCTION("""COMPUTED_VALUE"""),0.183164412027979)</f>
        <v>0.183164412</v>
      </c>
      <c r="L3851" s="165">
        <f>IFERROR(__xludf.DUMMYFUNCTION("""COMPUTED_VALUE"""),-1.93126251345534)</f>
        <v>-1.931262513</v>
      </c>
      <c r="M3851" s="166">
        <f t="shared" si="2"/>
        <v>0.3032565102</v>
      </c>
      <c r="N3851" s="167">
        <f t="shared" si="3"/>
        <v>30.51314815</v>
      </c>
      <c r="O3851" s="163">
        <f t="shared" ref="O3851:Q3851" si="3855">rank(I3851,I:I)</f>
        <v>3178</v>
      </c>
      <c r="P3851" s="163">
        <f t="shared" si="3855"/>
        <v>3293</v>
      </c>
      <c r="Q3851" s="163">
        <f t="shared" si="3855"/>
        <v>997</v>
      </c>
      <c r="R3851" s="163">
        <f>IFERROR(__xludf.DUMMYFUNCTION("RANK(M3851,filter(M:M,C:C=C3851))"),243.0)</f>
        <v>243</v>
      </c>
      <c r="S3851" s="161" t="b">
        <f t="shared" si="5"/>
        <v>1</v>
      </c>
      <c r="T3851" s="161" t="b">
        <f t="array" ref="T3851">index('Query Tool'!B:B,match(H3851,'Query Tool'!C:C,0))</f>
        <v>1</v>
      </c>
      <c r="U3851" s="161" t="b">
        <f t="array" ref="U3851">index('Query Tool'!B:B,match(C3851,'Query Tool'!C:C,0))</f>
        <v>1</v>
      </c>
      <c r="V3851" s="161" t="b">
        <f>F3851&gt;='Query Tool'!C$32</f>
        <v>1</v>
      </c>
      <c r="W3851" s="161" t="b">
        <f t="array" ref="W3851">index(Dropdowns!B:B,match(I3851,Dropdowns!A:A,0))</f>
        <v>1</v>
      </c>
      <c r="X3851" s="161" t="b">
        <f t="array" ref="X3851">index('Query Tool'!B:B,match(D3851,'Query Tool'!C:C,0))</f>
        <v>1</v>
      </c>
      <c r="Y3851" s="161" t="str">
        <f t="shared" si="6"/>
        <v>trentga02,2020-21</v>
      </c>
      <c r="Z3851" s="168" t="str">
        <f t="array" ref="Z3851">iferror(index(I:I,match($A3851&amp;","&amp;index('Year Conversion'!$A:$A,match($C3851,'Year Conversion'!$B:$B,0)),$Y:$Y,0))-I3851,"")</f>
        <v/>
      </c>
      <c r="AA3851" s="168" t="str">
        <f t="array" ref="AA3851">iferror(index(J:J,match($A3851&amp;","&amp;index('Year Conversion'!$A:$A,match($C3851,'Year Conversion'!$B:$B,0)),$Y:$Y,0))-J3851,"")</f>
        <v/>
      </c>
      <c r="AB3851" s="168" t="str">
        <f t="array" ref="AB3851">iferror(index(K:K,match($A3851&amp;","&amp;index('Year Conversion'!$A:$A,match($C3851,'Year Conversion'!$B:$B,0)),$Y:$Y,0))-K3851,"")</f>
        <v/>
      </c>
      <c r="AC3851" s="168" t="str">
        <f t="shared" si="7"/>
        <v>POR,2020-21</v>
      </c>
    </row>
    <row r="3852">
      <c r="A3852" s="161" t="str">
        <f>IFERROR(__xludf.DUMMYFUNCTION("""COMPUTED_VALUE"""),"vandeja01")</f>
        <v>vandeja01</v>
      </c>
      <c r="B3852" s="161" t="str">
        <f>IFERROR(__xludf.DUMMYFUNCTION("""COMPUTED_VALUE"""),"Jarred Vanderbilt")</f>
        <v>Jarred Vanderbilt</v>
      </c>
      <c r="C3852" s="162" t="str">
        <f>IFERROR(__xludf.DUMMYFUNCTION("""COMPUTED_VALUE"""),"2020-21")</f>
        <v>2020-21</v>
      </c>
      <c r="D3852" s="163" t="str">
        <f>IFERROR(__xludf.DUMMYFUNCTION("""COMPUTED_VALUE"""),"MIN")</f>
        <v>MIN</v>
      </c>
      <c r="E3852" s="164" t="str">
        <f>IFERROR(__xludf.DUMMYFUNCTION("""COMPUTED_VALUE"""),"Roll + Cut Big")</f>
        <v>Roll + Cut Big</v>
      </c>
      <c r="F3852" s="164">
        <f>IFERROR(__xludf.DUMMYFUNCTION("""COMPUTED_VALUE"""),550.773333333333)</f>
        <v>550.7733333</v>
      </c>
      <c r="G3852" s="163">
        <f>IFERROR(__xludf.DUMMYFUNCTION("""COMPUTED_VALUE"""),29.0)</f>
        <v>29</v>
      </c>
      <c r="H3852" s="163" t="str">
        <f>IFERROR(__xludf.DUMMYFUNCTION("""COMPUTED_VALUE"""),"PF")</f>
        <v>PF</v>
      </c>
      <c r="I3852" s="163">
        <f>IFERROR(__xludf.DUMMYFUNCTION("""COMPUTED_VALUE"""),21.0)</f>
        <v>21</v>
      </c>
      <c r="J3852" s="165">
        <f>IFERROR(__xludf.DUMMYFUNCTION("""COMPUTED_VALUE"""),-0.339533642764649)</f>
        <v>-0.3395336428</v>
      </c>
      <c r="K3852" s="165">
        <f>IFERROR(__xludf.DUMMYFUNCTION("""COMPUTED_VALUE"""),-2.54300642704122)</f>
        <v>-2.543006427</v>
      </c>
      <c r="L3852" s="165">
        <f>IFERROR(__xludf.DUMMYFUNCTION("""COMPUTED_VALUE"""),2.20347278427657)</f>
        <v>2.203472784</v>
      </c>
      <c r="M3852" s="166">
        <f t="shared" si="2"/>
        <v>0.7230514843</v>
      </c>
      <c r="N3852" s="167">
        <f t="shared" si="3"/>
        <v>18.99218391</v>
      </c>
      <c r="O3852" s="163">
        <f t="shared" ref="O3852:Q3852" si="3856">rank(I3852,I:I)</f>
        <v>3528</v>
      </c>
      <c r="P3852" s="163">
        <f t="shared" si="3856"/>
        <v>1659</v>
      </c>
      <c r="Q3852" s="163">
        <f t="shared" si="3856"/>
        <v>3897</v>
      </c>
      <c r="R3852" s="163">
        <f>IFERROR(__xludf.DUMMYFUNCTION("RANK(M3852,filter(M:M,C:C=C3852))"),155.0)</f>
        <v>155</v>
      </c>
      <c r="S3852" s="161" t="b">
        <f t="shared" si="5"/>
        <v>1</v>
      </c>
      <c r="T3852" s="161" t="b">
        <f t="array" ref="T3852">index('Query Tool'!B:B,match(H3852,'Query Tool'!C:C,0))</f>
        <v>1</v>
      </c>
      <c r="U3852" s="161" t="b">
        <f t="array" ref="U3852">index('Query Tool'!B:B,match(C3852,'Query Tool'!C:C,0))</f>
        <v>1</v>
      </c>
      <c r="V3852" s="161" t="b">
        <f>F3852&gt;='Query Tool'!C$32</f>
        <v>1</v>
      </c>
      <c r="W3852" s="161" t="b">
        <f t="array" ref="W3852">index(Dropdowns!B:B,match(I3852,Dropdowns!A:A,0))</f>
        <v>1</v>
      </c>
      <c r="X3852" s="161" t="b">
        <f t="array" ref="X3852">index('Query Tool'!B:B,match(D3852,'Query Tool'!C:C,0))</f>
        <v>1</v>
      </c>
      <c r="Y3852" s="161" t="str">
        <f t="shared" si="6"/>
        <v>vandeja01,2020-21</v>
      </c>
      <c r="Z3852" s="168" t="str">
        <f t="array" ref="Z3852">iferror(index(I:I,match($A3852&amp;","&amp;index('Year Conversion'!$A:$A,match($C3852,'Year Conversion'!$B:$B,0)),$Y:$Y,0))-I3852,"")</f>
        <v/>
      </c>
      <c r="AA3852" s="168" t="str">
        <f t="array" ref="AA3852">iferror(index(J:J,match($A3852&amp;","&amp;index('Year Conversion'!$A:$A,match($C3852,'Year Conversion'!$B:$B,0)),$Y:$Y,0))-J3852,"")</f>
        <v/>
      </c>
      <c r="AB3852" s="168" t="str">
        <f t="array" ref="AB3852">iferror(index(K:K,match($A3852&amp;","&amp;index('Year Conversion'!$A:$A,match($C3852,'Year Conversion'!$B:$B,0)),$Y:$Y,0))-K3852,"")</f>
        <v/>
      </c>
      <c r="AC3852" s="168" t="str">
        <f t="shared" si="7"/>
        <v>MIN,2020-21</v>
      </c>
    </row>
    <row r="3853">
      <c r="A3853" s="161" t="str">
        <f>IFERROR(__xludf.DUMMYFUNCTION("""COMPUTED_VALUE"""),"wagnemo01")</f>
        <v>wagnemo01</v>
      </c>
      <c r="B3853" s="161" t="str">
        <f>IFERROR(__xludf.DUMMYFUNCTION("""COMPUTED_VALUE"""),"Moritz Wagner")</f>
        <v>Moritz Wagner</v>
      </c>
      <c r="C3853" s="162" t="str">
        <f>IFERROR(__xludf.DUMMYFUNCTION("""COMPUTED_VALUE"""),"2020-21")</f>
        <v>2020-21</v>
      </c>
      <c r="D3853" s="163" t="str">
        <f>IFERROR(__xludf.DUMMYFUNCTION("""COMPUTED_VALUE"""),"WAS")</f>
        <v>WAS</v>
      </c>
      <c r="E3853" s="164" t="str">
        <f>IFERROR(__xludf.DUMMYFUNCTION("""COMPUTED_VALUE"""),"Stretch Big")</f>
        <v>Stretch Big</v>
      </c>
      <c r="F3853" s="164">
        <f>IFERROR(__xludf.DUMMYFUNCTION("""COMPUTED_VALUE"""),201.616666666667)</f>
        <v>201.6166667</v>
      </c>
      <c r="G3853" s="163">
        <f>IFERROR(__xludf.DUMMYFUNCTION("""COMPUTED_VALUE"""),15.0)</f>
        <v>15</v>
      </c>
      <c r="H3853" s="163" t="str">
        <f>IFERROR(__xludf.DUMMYFUNCTION("""COMPUTED_VALUE"""),"C")</f>
        <v>C</v>
      </c>
      <c r="I3853" s="163">
        <f>IFERROR(__xludf.DUMMYFUNCTION("""COMPUTED_VALUE"""),23.0)</f>
        <v>23</v>
      </c>
      <c r="J3853" s="165">
        <f>IFERROR(__xludf.DUMMYFUNCTION("""COMPUTED_VALUE"""),0.176024543665814)</f>
        <v>0.1760245437</v>
      </c>
      <c r="K3853" s="165">
        <f>IFERROR(__xludf.DUMMYFUNCTION("""COMPUTED_VALUE"""),-0.377573596327476)</f>
        <v>-0.3775735963</v>
      </c>
      <c r="L3853" s="165">
        <f>IFERROR(__xludf.DUMMYFUNCTION("""COMPUTED_VALUE"""),0.553598139993289)</f>
        <v>0.55359814</v>
      </c>
      <c r="M3853" s="166">
        <f t="shared" si="2"/>
        <v>0.3347513117</v>
      </c>
      <c r="N3853" s="167">
        <f t="shared" si="3"/>
        <v>13.44111111</v>
      </c>
      <c r="O3853" s="163">
        <f t="shared" ref="O3853:Q3853" si="3857">rank(I3853,I:I)</f>
        <v>2765</v>
      </c>
      <c r="P3853" s="163">
        <f t="shared" si="3857"/>
        <v>1109</v>
      </c>
      <c r="Q3853" s="163">
        <f t="shared" si="3857"/>
        <v>1911</v>
      </c>
      <c r="R3853" s="163">
        <f>IFERROR(__xludf.DUMMYFUNCTION("RANK(M3853,filter(M:M,C:C=C3853))"),234.0)</f>
        <v>234</v>
      </c>
      <c r="S3853" s="161" t="b">
        <f t="shared" si="5"/>
        <v>0</v>
      </c>
      <c r="T3853" s="161" t="b">
        <f t="array" ref="T3853">index('Query Tool'!B:B,match(H3853,'Query Tool'!C:C,0))</f>
        <v>1</v>
      </c>
      <c r="U3853" s="161" t="b">
        <f t="array" ref="U3853">index('Query Tool'!B:B,match(C3853,'Query Tool'!C:C,0))</f>
        <v>1</v>
      </c>
      <c r="V3853" s="161" t="b">
        <f>F3853&gt;='Query Tool'!C$32</f>
        <v>0</v>
      </c>
      <c r="W3853" s="161" t="b">
        <f t="array" ref="W3853">index(Dropdowns!B:B,match(I3853,Dropdowns!A:A,0))</f>
        <v>1</v>
      </c>
      <c r="X3853" s="161" t="b">
        <f t="array" ref="X3853">index('Query Tool'!B:B,match(D3853,'Query Tool'!C:C,0))</f>
        <v>1</v>
      </c>
      <c r="Y3853" s="161" t="str">
        <f t="shared" si="6"/>
        <v>wagnemo01,2020-21</v>
      </c>
      <c r="Z3853" s="168" t="str">
        <f t="array" ref="Z3853">iferror(index(I:I,match($A3853&amp;","&amp;index('Year Conversion'!$A:$A,match($C3853,'Year Conversion'!$B:$B,0)),$Y:$Y,0))-I3853,"")</f>
        <v/>
      </c>
      <c r="AA3853" s="168" t="str">
        <f t="array" ref="AA3853">iferror(index(J:J,match($A3853&amp;","&amp;index('Year Conversion'!$A:$A,match($C3853,'Year Conversion'!$B:$B,0)),$Y:$Y,0))-J3853,"")</f>
        <v/>
      </c>
      <c r="AB3853" s="168" t="str">
        <f t="array" ref="AB3853">iferror(index(K:K,match($A3853&amp;","&amp;index('Year Conversion'!$A:$A,match($C3853,'Year Conversion'!$B:$B,0)),$Y:$Y,0))-K3853,"")</f>
        <v/>
      </c>
      <c r="AC3853" s="168" t="str">
        <f t="shared" si="7"/>
        <v>WAS,2020-21</v>
      </c>
    </row>
    <row r="3854">
      <c r="A3854" s="161" t="str">
        <f>IFERROR(__xludf.DUMMYFUNCTION("""COMPUTED_VALUE"""),"walkelo01")</f>
        <v>walkelo01</v>
      </c>
      <c r="B3854" s="161" t="str">
        <f>IFERROR(__xludf.DUMMYFUNCTION("""COMPUTED_VALUE"""),"Lonnie Walker IV")</f>
        <v>Lonnie Walker IV</v>
      </c>
      <c r="C3854" s="162" t="str">
        <f>IFERROR(__xludf.DUMMYFUNCTION("""COMPUTED_VALUE"""),"2020-21")</f>
        <v>2020-21</v>
      </c>
      <c r="D3854" s="163" t="str">
        <f>IFERROR(__xludf.DUMMYFUNCTION("""COMPUTED_VALUE"""),"SAS")</f>
        <v>SAS</v>
      </c>
      <c r="E3854" s="164" t="str">
        <f>IFERROR(__xludf.DUMMYFUNCTION("""COMPUTED_VALUE"""),"Stationary Shooter")</f>
        <v>Stationary Shooter</v>
      </c>
      <c r="F3854" s="164">
        <f>IFERROR(__xludf.DUMMYFUNCTION("""COMPUTED_VALUE"""),666.318333333333)</f>
        <v>666.3183333</v>
      </c>
      <c r="G3854" s="163">
        <f>IFERROR(__xludf.DUMMYFUNCTION("""COMPUTED_VALUE"""),25.0)</f>
        <v>25</v>
      </c>
      <c r="H3854" s="163" t="str">
        <f>IFERROR(__xludf.DUMMYFUNCTION("""COMPUTED_VALUE"""),"SG")</f>
        <v>SG</v>
      </c>
      <c r="I3854" s="163">
        <f>IFERROR(__xludf.DUMMYFUNCTION("""COMPUTED_VALUE"""),22.0)</f>
        <v>22</v>
      </c>
      <c r="J3854" s="165">
        <f>IFERROR(__xludf.DUMMYFUNCTION("""COMPUTED_VALUE"""),-3.10997816406423)</f>
        <v>-3.109978164</v>
      </c>
      <c r="K3854" s="165">
        <f>IFERROR(__xludf.DUMMYFUNCTION("""COMPUTED_VALUE"""),-1.41890379568719)</f>
        <v>-1.418903796</v>
      </c>
      <c r="L3854" s="165">
        <f>IFERROR(__xludf.DUMMYFUNCTION("""COMPUTED_VALUE"""),-1.69107436837704)</f>
        <v>-1.691074368</v>
      </c>
      <c r="M3854" s="166">
        <f t="shared" si="2"/>
        <v>-0.3513650547</v>
      </c>
      <c r="N3854" s="167">
        <f t="shared" si="3"/>
        <v>26.65273333</v>
      </c>
      <c r="O3854" s="163">
        <f t="shared" ref="O3854:Q3854" si="3858">rank(I3854,I:I)</f>
        <v>3178</v>
      </c>
      <c r="P3854" s="163">
        <f t="shared" si="3858"/>
        <v>3909</v>
      </c>
      <c r="Q3854" s="163">
        <f t="shared" si="3858"/>
        <v>3269</v>
      </c>
      <c r="R3854" s="163">
        <f>IFERROR(__xludf.DUMMYFUNCTION("RANK(M3854,filter(M:M,C:C=C3854))"),467.0)</f>
        <v>467</v>
      </c>
      <c r="S3854" s="161" t="b">
        <f t="shared" si="5"/>
        <v>1</v>
      </c>
      <c r="T3854" s="161" t="b">
        <f t="array" ref="T3854">index('Query Tool'!B:B,match(H3854,'Query Tool'!C:C,0))</f>
        <v>1</v>
      </c>
      <c r="U3854" s="161" t="b">
        <f t="array" ref="U3854">index('Query Tool'!B:B,match(C3854,'Query Tool'!C:C,0))</f>
        <v>1</v>
      </c>
      <c r="V3854" s="161" t="b">
        <f>F3854&gt;='Query Tool'!C$32</f>
        <v>1</v>
      </c>
      <c r="W3854" s="161" t="b">
        <f t="array" ref="W3854">index(Dropdowns!B:B,match(I3854,Dropdowns!A:A,0))</f>
        <v>1</v>
      </c>
      <c r="X3854" s="161" t="b">
        <f t="array" ref="X3854">index('Query Tool'!B:B,match(D3854,'Query Tool'!C:C,0))</f>
        <v>1</v>
      </c>
      <c r="Y3854" s="161" t="str">
        <f t="shared" si="6"/>
        <v>walkelo01,2020-21</v>
      </c>
      <c r="Z3854" s="168" t="str">
        <f t="array" ref="Z3854">iferror(index(I:I,match($A3854&amp;","&amp;index('Year Conversion'!$A:$A,match($C3854,'Year Conversion'!$B:$B,0)),$Y:$Y,0))-I3854,"")</f>
        <v/>
      </c>
      <c r="AA3854" s="168" t="str">
        <f t="array" ref="AA3854">iferror(index(J:J,match($A3854&amp;","&amp;index('Year Conversion'!$A:$A,match($C3854,'Year Conversion'!$B:$B,0)),$Y:$Y,0))-J3854,"")</f>
        <v/>
      </c>
      <c r="AB3854" s="168" t="str">
        <f t="array" ref="AB3854">iferror(index(K:K,match($A3854&amp;","&amp;index('Year Conversion'!$A:$A,match($C3854,'Year Conversion'!$B:$B,0)),$Y:$Y,0))-K3854,"")</f>
        <v/>
      </c>
      <c r="AC3854" s="168" t="str">
        <f t="shared" si="7"/>
        <v>SAS,2020-21</v>
      </c>
    </row>
    <row r="3855">
      <c r="A3855" s="161" t="str">
        <f>IFERROR(__xludf.DUMMYFUNCTION("""COMPUTED_VALUE"""),"washipj01")</f>
        <v>washipj01</v>
      </c>
      <c r="B3855" s="161" t="str">
        <f>IFERROR(__xludf.DUMMYFUNCTION("""COMPUTED_VALUE"""),"P.J. Washington")</f>
        <v>P.J. Washington</v>
      </c>
      <c r="C3855" s="162" t="str">
        <f>IFERROR(__xludf.DUMMYFUNCTION("""COMPUTED_VALUE"""),"2020-21")</f>
        <v>2020-21</v>
      </c>
      <c r="D3855" s="163" t="str">
        <f>IFERROR(__xludf.DUMMYFUNCTION("""COMPUTED_VALUE"""),"CHO")</f>
        <v>CHO</v>
      </c>
      <c r="E3855" s="164" t="str">
        <f>IFERROR(__xludf.DUMMYFUNCTION("""COMPUTED_VALUE"""),"Stretch Big")</f>
        <v>Stretch Big</v>
      </c>
      <c r="F3855" s="164">
        <f>IFERROR(__xludf.DUMMYFUNCTION("""COMPUTED_VALUE"""),722.731666666666)</f>
        <v>722.7316667</v>
      </c>
      <c r="G3855" s="163">
        <f>IFERROR(__xludf.DUMMYFUNCTION("""COMPUTED_VALUE"""),25.0)</f>
        <v>25</v>
      </c>
      <c r="H3855" s="163" t="str">
        <f>IFERROR(__xludf.DUMMYFUNCTION("""COMPUTED_VALUE"""),"PF")</f>
        <v>PF</v>
      </c>
      <c r="I3855" s="163">
        <f>IFERROR(__xludf.DUMMYFUNCTION("""COMPUTED_VALUE"""),22.0)</f>
        <v>22</v>
      </c>
      <c r="J3855" s="165">
        <f>IFERROR(__xludf.DUMMYFUNCTION("""COMPUTED_VALUE"""),0.186887258205793)</f>
        <v>0.1868872582</v>
      </c>
      <c r="K3855" s="165">
        <f>IFERROR(__xludf.DUMMYFUNCTION("""COMPUTED_VALUE"""),-0.834674901785743)</f>
        <v>-0.8346749018</v>
      </c>
      <c r="L3855" s="165">
        <f>IFERROR(__xludf.DUMMYFUNCTION("""COMPUTED_VALUE"""),1.02156215999154)</f>
        <v>1.02156216</v>
      </c>
      <c r="M3855" s="166">
        <f t="shared" si="2"/>
        <v>1.205269274</v>
      </c>
      <c r="N3855" s="167">
        <f t="shared" si="3"/>
        <v>28.90926667</v>
      </c>
      <c r="O3855" s="163">
        <f t="shared" ref="O3855:Q3855" si="3859">rank(I3855,I:I)</f>
        <v>3178</v>
      </c>
      <c r="P3855" s="163">
        <f t="shared" si="3859"/>
        <v>1102</v>
      </c>
      <c r="Q3855" s="163">
        <f t="shared" si="3859"/>
        <v>2598</v>
      </c>
      <c r="R3855" s="163">
        <f>IFERROR(__xludf.DUMMYFUNCTION("RANK(M3855,filter(M:M,C:C=C3855))"),103.0)</f>
        <v>103</v>
      </c>
      <c r="S3855" s="161" t="b">
        <f t="shared" si="5"/>
        <v>1</v>
      </c>
      <c r="T3855" s="161" t="b">
        <f t="array" ref="T3855">index('Query Tool'!B:B,match(H3855,'Query Tool'!C:C,0))</f>
        <v>1</v>
      </c>
      <c r="U3855" s="161" t="b">
        <f t="array" ref="U3855">index('Query Tool'!B:B,match(C3855,'Query Tool'!C:C,0))</f>
        <v>1</v>
      </c>
      <c r="V3855" s="161" t="b">
        <f>F3855&gt;='Query Tool'!C$32</f>
        <v>1</v>
      </c>
      <c r="W3855" s="161" t="b">
        <f t="array" ref="W3855">index(Dropdowns!B:B,match(I3855,Dropdowns!A:A,0))</f>
        <v>1</v>
      </c>
      <c r="X3855" s="161" t="b">
        <f t="array" ref="X3855">index('Query Tool'!B:B,match(D3855,'Query Tool'!C:C,0))</f>
        <v>1</v>
      </c>
      <c r="Y3855" s="161" t="str">
        <f t="shared" si="6"/>
        <v>washipj01,2020-21</v>
      </c>
      <c r="Z3855" s="168" t="str">
        <f t="array" ref="Z3855">iferror(index(I:I,match($A3855&amp;","&amp;index('Year Conversion'!$A:$A,match($C3855,'Year Conversion'!$B:$B,0)),$Y:$Y,0))-I3855,"")</f>
        <v/>
      </c>
      <c r="AA3855" s="168" t="str">
        <f t="array" ref="AA3855">iferror(index(J:J,match($A3855&amp;","&amp;index('Year Conversion'!$A:$A,match($C3855,'Year Conversion'!$B:$B,0)),$Y:$Y,0))-J3855,"")</f>
        <v/>
      </c>
      <c r="AB3855" s="168" t="str">
        <f t="array" ref="AB3855">iferror(index(K:K,match($A3855&amp;","&amp;index('Year Conversion'!$A:$A,match($C3855,'Year Conversion'!$B:$B,0)),$Y:$Y,0))-K3855,"")</f>
        <v/>
      </c>
      <c r="AC3855" s="168" t="str">
        <f t="shared" si="7"/>
        <v>CHO,2020-21</v>
      </c>
    </row>
    <row r="3856">
      <c r="A3856" s="161" t="str">
        <f>IFERROR(__xludf.DUMMYFUNCTION("""COMPUTED_VALUE"""),"willike04")</f>
        <v>willike04</v>
      </c>
      <c r="B3856" s="161" t="str">
        <f>IFERROR(__xludf.DUMMYFUNCTION("""COMPUTED_VALUE"""),"Kenrich Williams")</f>
        <v>Kenrich Williams</v>
      </c>
      <c r="C3856" s="162" t="str">
        <f>IFERROR(__xludf.DUMMYFUNCTION("""COMPUTED_VALUE"""),"2020-21")</f>
        <v>2020-21</v>
      </c>
      <c r="D3856" s="163" t="str">
        <f>IFERROR(__xludf.DUMMYFUNCTION("""COMPUTED_VALUE"""),"OKC")</f>
        <v>OKC</v>
      </c>
      <c r="E3856" s="164" t="str">
        <f>IFERROR(__xludf.DUMMYFUNCTION("""COMPUTED_VALUE"""),"Stretch Big")</f>
        <v>Stretch Big</v>
      </c>
      <c r="F3856" s="164">
        <f>IFERROR(__xludf.DUMMYFUNCTION("""COMPUTED_VALUE"""),549.736666666666)</f>
        <v>549.7366667</v>
      </c>
      <c r="G3856" s="163">
        <f>IFERROR(__xludf.DUMMYFUNCTION("""COMPUTED_VALUE"""),30.0)</f>
        <v>30</v>
      </c>
      <c r="H3856" s="163" t="str">
        <f>IFERROR(__xludf.DUMMYFUNCTION("""COMPUTED_VALUE"""),"PF")</f>
        <v>PF</v>
      </c>
      <c r="I3856" s="163">
        <f>IFERROR(__xludf.DUMMYFUNCTION("""COMPUTED_VALUE"""),26.0)</f>
        <v>26</v>
      </c>
      <c r="J3856" s="165">
        <f>IFERROR(__xludf.DUMMYFUNCTION("""COMPUTED_VALUE"""),-1.31072095331383)</f>
        <v>-1.310720953</v>
      </c>
      <c r="K3856" s="165">
        <f>IFERROR(__xludf.DUMMYFUNCTION("""COMPUTED_VALUE"""),-2.28023966708252)</f>
        <v>-2.280239667</v>
      </c>
      <c r="L3856" s="165">
        <f>IFERROR(__xludf.DUMMYFUNCTION("""COMPUTED_VALUE"""),0.969518713768685)</f>
        <v>0.9695187138</v>
      </c>
      <c r="M3856" s="166">
        <f t="shared" si="2"/>
        <v>0.3628783778</v>
      </c>
      <c r="N3856" s="167">
        <f t="shared" si="3"/>
        <v>18.32455556</v>
      </c>
      <c r="O3856" s="163">
        <f t="shared" ref="O3856:Q3856" si="3860">rank(I3856,I:I)</f>
        <v>1665</v>
      </c>
      <c r="P3856" s="163">
        <f t="shared" si="3860"/>
        <v>2872</v>
      </c>
      <c r="Q3856" s="163">
        <f t="shared" si="3860"/>
        <v>3829</v>
      </c>
      <c r="R3856" s="163">
        <f>IFERROR(__xludf.DUMMYFUNCTION("RANK(M3856,filter(M:M,C:C=C3856))"),228.0)</f>
        <v>228</v>
      </c>
      <c r="S3856" s="161" t="b">
        <f t="shared" si="5"/>
        <v>1</v>
      </c>
      <c r="T3856" s="161" t="b">
        <f t="array" ref="T3856">index('Query Tool'!B:B,match(H3856,'Query Tool'!C:C,0))</f>
        <v>1</v>
      </c>
      <c r="U3856" s="161" t="b">
        <f t="array" ref="U3856">index('Query Tool'!B:B,match(C3856,'Query Tool'!C:C,0))</f>
        <v>1</v>
      </c>
      <c r="V3856" s="161" t="b">
        <f>F3856&gt;='Query Tool'!C$32</f>
        <v>1</v>
      </c>
      <c r="W3856" s="161" t="b">
        <f t="array" ref="W3856">index(Dropdowns!B:B,match(I3856,Dropdowns!A:A,0))</f>
        <v>1</v>
      </c>
      <c r="X3856" s="161" t="b">
        <f t="array" ref="X3856">index('Query Tool'!B:B,match(D3856,'Query Tool'!C:C,0))</f>
        <v>1</v>
      </c>
      <c r="Y3856" s="161" t="str">
        <f t="shared" si="6"/>
        <v>willike04,2020-21</v>
      </c>
      <c r="Z3856" s="168" t="str">
        <f t="array" ref="Z3856">iferror(index(I:I,match($A3856&amp;","&amp;index('Year Conversion'!$A:$A,match($C3856,'Year Conversion'!$B:$B,0)),$Y:$Y,0))-I3856,"")</f>
        <v/>
      </c>
      <c r="AA3856" s="168" t="str">
        <f t="array" ref="AA3856">iferror(index(J:J,match($A3856&amp;","&amp;index('Year Conversion'!$A:$A,match($C3856,'Year Conversion'!$B:$B,0)),$Y:$Y,0))-J3856,"")</f>
        <v/>
      </c>
      <c r="AB3856" s="168" t="str">
        <f t="array" ref="AB3856">iferror(index(K:K,match($A3856&amp;","&amp;index('Year Conversion'!$A:$A,match($C3856,'Year Conversion'!$B:$B,0)),$Y:$Y,0))-K3856,"")</f>
        <v/>
      </c>
      <c r="AC3856" s="168" t="str">
        <f t="shared" si="7"/>
        <v>OKC,2020-21</v>
      </c>
    </row>
    <row r="3857">
      <c r="A3857" s="161" t="str">
        <f>IFERROR(__xludf.DUMMYFUNCTION("""COMPUTED_VALUE"""),"youngtr01")</f>
        <v>youngtr01</v>
      </c>
      <c r="B3857" s="161" t="str">
        <f>IFERROR(__xludf.DUMMYFUNCTION("""COMPUTED_VALUE"""),"Trae Young")</f>
        <v>Trae Young</v>
      </c>
      <c r="C3857" s="162" t="str">
        <f>IFERROR(__xludf.DUMMYFUNCTION("""COMPUTED_VALUE"""),"2020-21")</f>
        <v>2020-21</v>
      </c>
      <c r="D3857" s="163" t="str">
        <f>IFERROR(__xludf.DUMMYFUNCTION("""COMPUTED_VALUE"""),"ATL")</f>
        <v>ATL</v>
      </c>
      <c r="E3857" s="164" t="str">
        <f>IFERROR(__xludf.DUMMYFUNCTION("""COMPUTED_VALUE"""),"Primary Ball Handler")</f>
        <v>Primary Ball Handler</v>
      </c>
      <c r="F3857" s="164">
        <f>IFERROR(__xludf.DUMMYFUNCTION("""COMPUTED_VALUE"""),973.521666666667)</f>
        <v>973.5216667</v>
      </c>
      <c r="G3857" s="163">
        <f>IFERROR(__xludf.DUMMYFUNCTION("""COMPUTED_VALUE"""),28.0)</f>
        <v>28</v>
      </c>
      <c r="H3857" s="163" t="str">
        <f>IFERROR(__xludf.DUMMYFUNCTION("""COMPUTED_VALUE"""),"PG")</f>
        <v>PG</v>
      </c>
      <c r="I3857" s="163">
        <f>IFERROR(__xludf.DUMMYFUNCTION("""COMPUTED_VALUE"""),22.0)</f>
        <v>22</v>
      </c>
      <c r="J3857" s="165">
        <f>IFERROR(__xludf.DUMMYFUNCTION("""COMPUTED_VALUE"""),2.63596429953297)</f>
        <v>2.6359643</v>
      </c>
      <c r="K3857" s="165">
        <f>IFERROR(__xludf.DUMMYFUNCTION("""COMPUTED_VALUE"""),4.36226075116496)</f>
        <v>4.362260751</v>
      </c>
      <c r="L3857" s="165">
        <f>IFERROR(__xludf.DUMMYFUNCTION("""COMPUTED_VALUE"""),-1.72629645163199)</f>
        <v>-1.726296452</v>
      </c>
      <c r="M3857" s="166">
        <f t="shared" si="2"/>
        <v>3.214421651</v>
      </c>
      <c r="N3857" s="167">
        <f t="shared" si="3"/>
        <v>34.76863095</v>
      </c>
      <c r="O3857" s="163">
        <f t="shared" ref="O3857:Q3857" si="3861">rank(I3857,I:I)</f>
        <v>3178</v>
      </c>
      <c r="P3857" s="163">
        <f t="shared" si="3861"/>
        <v>203</v>
      </c>
      <c r="Q3857" s="163">
        <f t="shared" si="3861"/>
        <v>47</v>
      </c>
      <c r="R3857" s="163">
        <f>IFERROR(__xludf.DUMMYFUNCTION("RANK(M3857,filter(M:M,C:C=C3857))"),15.0)</f>
        <v>15</v>
      </c>
      <c r="S3857" s="161" t="b">
        <f t="shared" si="5"/>
        <v>1</v>
      </c>
      <c r="T3857" s="161" t="b">
        <f t="array" ref="T3857">index('Query Tool'!B:B,match(H3857,'Query Tool'!C:C,0))</f>
        <v>1</v>
      </c>
      <c r="U3857" s="161" t="b">
        <f t="array" ref="U3857">index('Query Tool'!B:B,match(C3857,'Query Tool'!C:C,0))</f>
        <v>1</v>
      </c>
      <c r="V3857" s="161" t="b">
        <f>F3857&gt;='Query Tool'!C$32</f>
        <v>1</v>
      </c>
      <c r="W3857" s="161" t="b">
        <f t="array" ref="W3857">index(Dropdowns!B:B,match(I3857,Dropdowns!A:A,0))</f>
        <v>1</v>
      </c>
      <c r="X3857" s="161" t="b">
        <f t="array" ref="X3857">index('Query Tool'!B:B,match(D3857,'Query Tool'!C:C,0))</f>
        <v>1</v>
      </c>
      <c r="Y3857" s="161" t="str">
        <f t="shared" si="6"/>
        <v>youngtr01,2020-21</v>
      </c>
      <c r="Z3857" s="168" t="str">
        <f t="array" ref="Z3857">iferror(index(I:I,match($A3857&amp;","&amp;index('Year Conversion'!$A:$A,match($C3857,'Year Conversion'!$B:$B,0)),$Y:$Y,0))-I3857,"")</f>
        <v/>
      </c>
      <c r="AA3857" s="168" t="str">
        <f t="array" ref="AA3857">iferror(index(J:J,match($A3857&amp;","&amp;index('Year Conversion'!$A:$A,match($C3857,'Year Conversion'!$B:$B,0)),$Y:$Y,0))-J3857,"")</f>
        <v/>
      </c>
      <c r="AB3857" s="168" t="str">
        <f t="array" ref="AB3857">iferror(index(K:K,match($A3857&amp;","&amp;index('Year Conversion'!$A:$A,match($C3857,'Year Conversion'!$B:$B,0)),$Y:$Y,0))-K3857,"")</f>
        <v/>
      </c>
      <c r="AC3857" s="168" t="str">
        <f t="shared" si="7"/>
        <v>ATL,2020-21</v>
      </c>
    </row>
    <row r="3858">
      <c r="A3858" s="161" t="str">
        <f>IFERROR(__xludf.DUMMYFUNCTION("""COMPUTED_VALUE"""),"aytonde01")</f>
        <v>aytonde01</v>
      </c>
      <c r="B3858" s="161" t="str">
        <f>IFERROR(__xludf.DUMMYFUNCTION("""COMPUTED_VALUE"""),"Deandre Ayton")</f>
        <v>Deandre Ayton</v>
      </c>
      <c r="C3858" s="162" t="str">
        <f>IFERROR(__xludf.DUMMYFUNCTION("""COMPUTED_VALUE"""),"2020-21")</f>
        <v>2020-21</v>
      </c>
      <c r="D3858" s="163" t="str">
        <f>IFERROR(__xludf.DUMMYFUNCTION("""COMPUTED_VALUE"""),"PHO")</f>
        <v>PHO</v>
      </c>
      <c r="E3858" s="164" t="str">
        <f>IFERROR(__xludf.DUMMYFUNCTION("""COMPUTED_VALUE"""),"Post Scorer")</f>
        <v>Post Scorer</v>
      </c>
      <c r="F3858" s="164">
        <f>IFERROR(__xludf.DUMMYFUNCTION("""COMPUTED_VALUE"""),923.695)</f>
        <v>923.695</v>
      </c>
      <c r="G3858" s="163">
        <f>IFERROR(__xludf.DUMMYFUNCTION("""COMPUTED_VALUE"""),29.0)</f>
        <v>29</v>
      </c>
      <c r="H3858" s="163" t="str">
        <f>IFERROR(__xludf.DUMMYFUNCTION("""COMPUTED_VALUE"""),"C")</f>
        <v>C</v>
      </c>
      <c r="I3858" s="163">
        <f>IFERROR(__xludf.DUMMYFUNCTION("""COMPUTED_VALUE"""),22.0)</f>
        <v>22</v>
      </c>
      <c r="J3858" s="165">
        <f>IFERROR(__xludf.DUMMYFUNCTION("""COMPUTED_VALUE"""),0.00749396465944829)</f>
        <v>0.007493964659</v>
      </c>
      <c r="K3858" s="165">
        <f>IFERROR(__xludf.DUMMYFUNCTION("""COMPUTED_VALUE"""),-0.497744721330494)</f>
        <v>-0.4977447213</v>
      </c>
      <c r="L3858" s="165">
        <f>IFERROR(__xludf.DUMMYFUNCTION("""COMPUTED_VALUE"""),0.505238685989942)</f>
        <v>0.505238686</v>
      </c>
      <c r="M3858" s="166">
        <f t="shared" si="2"/>
        <v>1.428696626</v>
      </c>
      <c r="N3858" s="167">
        <f t="shared" si="3"/>
        <v>31.85155172</v>
      </c>
      <c r="O3858" s="163">
        <f t="shared" ref="O3858:Q3858" si="3862">rank(I3858,I:I)</f>
        <v>3178</v>
      </c>
      <c r="P3858" s="163">
        <f t="shared" si="3862"/>
        <v>1276</v>
      </c>
      <c r="Q3858" s="163">
        <f t="shared" si="3862"/>
        <v>2104</v>
      </c>
      <c r="R3858" s="163">
        <f>IFERROR(__xludf.DUMMYFUNCTION("RANK(M3858,filter(M:M,C:C=C3858))"),85.0)</f>
        <v>85</v>
      </c>
      <c r="S3858" s="161" t="b">
        <f t="shared" si="5"/>
        <v>1</v>
      </c>
      <c r="T3858" s="161" t="b">
        <f t="array" ref="T3858">index('Query Tool'!B:B,match(H3858,'Query Tool'!C:C,0))</f>
        <v>1</v>
      </c>
      <c r="U3858" s="161" t="b">
        <f t="array" ref="U3858">index('Query Tool'!B:B,match(C3858,'Query Tool'!C:C,0))</f>
        <v>1</v>
      </c>
      <c r="V3858" s="161" t="b">
        <f>F3858&gt;='Query Tool'!C$32</f>
        <v>1</v>
      </c>
      <c r="W3858" s="161" t="b">
        <f t="array" ref="W3858">index(Dropdowns!B:B,match(I3858,Dropdowns!A:A,0))</f>
        <v>1</v>
      </c>
      <c r="X3858" s="161" t="b">
        <f t="array" ref="X3858">index('Query Tool'!B:B,match(D3858,'Query Tool'!C:C,0))</f>
        <v>1</v>
      </c>
      <c r="Y3858" s="161" t="str">
        <f t="shared" si="6"/>
        <v>aytonde01,2020-21</v>
      </c>
      <c r="Z3858" s="168" t="str">
        <f t="array" ref="Z3858">iferror(index(I:I,match($A3858&amp;","&amp;index('Year Conversion'!$A:$A,match($C3858,'Year Conversion'!$B:$B,0)),$Y:$Y,0))-I3858,"")</f>
        <v/>
      </c>
      <c r="AA3858" s="168" t="str">
        <f t="array" ref="AA3858">iferror(index(J:J,match($A3858&amp;","&amp;index('Year Conversion'!$A:$A,match($C3858,'Year Conversion'!$B:$B,0)),$Y:$Y,0))-J3858,"")</f>
        <v/>
      </c>
      <c r="AB3858" s="168" t="str">
        <f t="array" ref="AB3858">iferror(index(K:K,match($A3858&amp;","&amp;index('Year Conversion'!$A:$A,match($C3858,'Year Conversion'!$B:$B,0)),$Y:$Y,0))-K3858,"")</f>
        <v/>
      </c>
      <c r="AC3858" s="168" t="str">
        <f t="shared" si="7"/>
        <v>PHO,2020-21</v>
      </c>
    </row>
    <row r="3859">
      <c r="A3859" s="161" t="str">
        <f>IFERROR(__xludf.DUMMYFUNCTION("""COMPUTED_VALUE"""),"doncilu01")</f>
        <v>doncilu01</v>
      </c>
      <c r="B3859" s="161" t="str">
        <f>IFERROR(__xludf.DUMMYFUNCTION("""COMPUTED_VALUE"""),"Luka Doncic")</f>
        <v>Luka Doncic</v>
      </c>
      <c r="C3859" s="162" t="str">
        <f>IFERROR(__xludf.DUMMYFUNCTION("""COMPUTED_VALUE"""),"2020-21")</f>
        <v>2020-21</v>
      </c>
      <c r="D3859" s="163" t="str">
        <f>IFERROR(__xludf.DUMMYFUNCTION("""COMPUTED_VALUE"""),"DAL")</f>
        <v>DAL</v>
      </c>
      <c r="E3859" s="164" t="str">
        <f>IFERROR(__xludf.DUMMYFUNCTION("""COMPUTED_VALUE"""),"Shot Creator")</f>
        <v>Shot Creator</v>
      </c>
      <c r="F3859" s="164">
        <f>IFERROR(__xludf.DUMMYFUNCTION("""COMPUTED_VALUE"""),953.475)</f>
        <v>953.475</v>
      </c>
      <c r="G3859" s="163">
        <f>IFERROR(__xludf.DUMMYFUNCTION("""COMPUTED_VALUE"""),27.0)</f>
        <v>27</v>
      </c>
      <c r="H3859" s="163" t="str">
        <f>IFERROR(__xludf.DUMMYFUNCTION("""COMPUTED_VALUE"""),"PG")</f>
        <v>PG</v>
      </c>
      <c r="I3859" s="163">
        <f>IFERROR(__xludf.DUMMYFUNCTION("""COMPUTED_VALUE"""),21.0)</f>
        <v>21</v>
      </c>
      <c r="J3859" s="165">
        <f>IFERROR(__xludf.DUMMYFUNCTION("""COMPUTED_VALUE"""),4.69449213514886)</f>
        <v>4.694492135</v>
      </c>
      <c r="K3859" s="165">
        <f>IFERROR(__xludf.DUMMYFUNCTION("""COMPUTED_VALUE"""),5.67673077181102)</f>
        <v>5.676730772</v>
      </c>
      <c r="L3859" s="165">
        <f>IFERROR(__xludf.DUMMYFUNCTION("""COMPUTED_VALUE"""),-0.982238636662159)</f>
        <v>-0.9822386367</v>
      </c>
      <c r="M3859" s="166">
        <f t="shared" si="2"/>
        <v>4.398545327</v>
      </c>
      <c r="N3859" s="167">
        <f t="shared" si="3"/>
        <v>35.31388889</v>
      </c>
      <c r="O3859" s="163">
        <f t="shared" ref="O3859:Q3859" si="3863">rank(I3859,I:I)</f>
        <v>3528</v>
      </c>
      <c r="P3859" s="163">
        <f t="shared" si="3863"/>
        <v>60</v>
      </c>
      <c r="Q3859" s="163">
        <f t="shared" si="3863"/>
        <v>17</v>
      </c>
      <c r="R3859" s="163">
        <f>IFERROR(__xludf.DUMMYFUNCTION("RANK(M3859,filter(M:M,C:C=C3859))"),5.0)</f>
        <v>5</v>
      </c>
      <c r="S3859" s="161" t="b">
        <f t="shared" si="5"/>
        <v>1</v>
      </c>
      <c r="T3859" s="161" t="b">
        <f t="array" ref="T3859">index('Query Tool'!B:B,match(H3859,'Query Tool'!C:C,0))</f>
        <v>1</v>
      </c>
      <c r="U3859" s="161" t="b">
        <f t="array" ref="U3859">index('Query Tool'!B:B,match(C3859,'Query Tool'!C:C,0))</f>
        <v>1</v>
      </c>
      <c r="V3859" s="161" t="b">
        <f>F3859&gt;='Query Tool'!C$32</f>
        <v>1</v>
      </c>
      <c r="W3859" s="161" t="b">
        <f t="array" ref="W3859">index(Dropdowns!B:B,match(I3859,Dropdowns!A:A,0))</f>
        <v>1</v>
      </c>
      <c r="X3859" s="161" t="b">
        <f t="array" ref="X3859">index('Query Tool'!B:B,match(D3859,'Query Tool'!C:C,0))</f>
        <v>1</v>
      </c>
      <c r="Y3859" s="161" t="str">
        <f t="shared" si="6"/>
        <v>doncilu01,2020-21</v>
      </c>
      <c r="Z3859" s="168" t="str">
        <f t="array" ref="Z3859">iferror(index(I:I,match($A3859&amp;","&amp;index('Year Conversion'!$A:$A,match($C3859,'Year Conversion'!$B:$B,0)),$Y:$Y,0))-I3859,"")</f>
        <v/>
      </c>
      <c r="AA3859" s="168" t="str">
        <f t="array" ref="AA3859">iferror(index(J:J,match($A3859&amp;","&amp;index('Year Conversion'!$A:$A,match($C3859,'Year Conversion'!$B:$B,0)),$Y:$Y,0))-J3859,"")</f>
        <v/>
      </c>
      <c r="AB3859" s="168" t="str">
        <f t="array" ref="AB3859">iferror(index(K:K,match($A3859&amp;","&amp;index('Year Conversion'!$A:$A,match($C3859,'Year Conversion'!$B:$B,0)),$Y:$Y,0))-K3859,"")</f>
        <v/>
      </c>
      <c r="AC3859" s="168" t="str">
        <f t="shared" si="7"/>
        <v>DAL,2020-21</v>
      </c>
    </row>
    <row r="3860">
      <c r="A3860" s="161" t="str">
        <f>IFERROR(__xludf.DUMMYFUNCTION("""COMPUTED_VALUE"""),"pinsoth01")</f>
        <v>pinsoth01</v>
      </c>
      <c r="B3860" s="161" t="str">
        <f>IFERROR(__xludf.DUMMYFUNCTION("""COMPUTED_VALUE"""),"Theo Pinson")</f>
        <v>Theo Pinson</v>
      </c>
      <c r="C3860" s="162" t="str">
        <f>IFERROR(__xludf.DUMMYFUNCTION("""COMPUTED_VALUE"""),"2020-21")</f>
        <v>2020-21</v>
      </c>
      <c r="D3860" s="163" t="str">
        <f>IFERROR(__xludf.DUMMYFUNCTION("""COMPUTED_VALUE"""),"NYK")</f>
        <v>NYK</v>
      </c>
      <c r="E3860" s="164" t="str">
        <f>IFERROR(__xludf.DUMMYFUNCTION("""COMPUTED_VALUE"""),"Stationary Shooter")</f>
        <v>Stationary Shooter</v>
      </c>
      <c r="F3860" s="164">
        <f>IFERROR(__xludf.DUMMYFUNCTION("""COMPUTED_VALUE"""),21.2066666666667)</f>
        <v>21.20666667</v>
      </c>
      <c r="G3860" s="163">
        <f>IFERROR(__xludf.DUMMYFUNCTION("""COMPUTED_VALUE"""),9.0)</f>
        <v>9</v>
      </c>
      <c r="H3860" s="163" t="str">
        <f>IFERROR(__xludf.DUMMYFUNCTION("""COMPUTED_VALUE"""),"SG")</f>
        <v>SG</v>
      </c>
      <c r="I3860" s="163">
        <f>IFERROR(__xludf.DUMMYFUNCTION("""COMPUTED_VALUE"""),25.0)</f>
        <v>25</v>
      </c>
      <c r="J3860" s="165">
        <f>IFERROR(__xludf.DUMMYFUNCTION("""COMPUTED_VALUE"""),-0.835223226609093)</f>
        <v>-0.8352232266</v>
      </c>
      <c r="K3860" s="165">
        <f>IFERROR(__xludf.DUMMYFUNCTION("""COMPUTED_VALUE"""),-0.129710358734896)</f>
        <v>-0.1297103587</v>
      </c>
      <c r="L3860" s="165">
        <f>IFERROR(__xludf.DUMMYFUNCTION("""COMPUTED_VALUE"""),-0.705512867874197)</f>
        <v>-0.7055128679</v>
      </c>
      <c r="M3860" s="166">
        <f t="shared" si="2"/>
        <v>0.02076371738</v>
      </c>
      <c r="N3860" s="167">
        <f t="shared" si="3"/>
        <v>2.356296296</v>
      </c>
      <c r="O3860" s="163">
        <f t="shared" ref="O3860:Q3860" si="3864">rank(I3860,I:I)</f>
        <v>1995</v>
      </c>
      <c r="P3860" s="163">
        <f t="shared" si="3864"/>
        <v>2331</v>
      </c>
      <c r="Q3860" s="163">
        <f t="shared" si="3864"/>
        <v>1438</v>
      </c>
      <c r="R3860" s="163">
        <f>IFERROR(__xludf.DUMMYFUNCTION("RANK(M3860,filter(M:M,C:C=C3860))"),417.0)</f>
        <v>417</v>
      </c>
      <c r="S3860" s="161" t="b">
        <f t="shared" si="5"/>
        <v>0</v>
      </c>
      <c r="T3860" s="161" t="b">
        <f t="array" ref="T3860">index('Query Tool'!B:B,match(H3860,'Query Tool'!C:C,0))</f>
        <v>1</v>
      </c>
      <c r="U3860" s="161" t="b">
        <f t="array" ref="U3860">index('Query Tool'!B:B,match(C3860,'Query Tool'!C:C,0))</f>
        <v>1</v>
      </c>
      <c r="V3860" s="161" t="b">
        <f>F3860&gt;='Query Tool'!C$32</f>
        <v>0</v>
      </c>
      <c r="W3860" s="161" t="b">
        <f t="array" ref="W3860">index(Dropdowns!B:B,match(I3860,Dropdowns!A:A,0))</f>
        <v>1</v>
      </c>
      <c r="X3860" s="161" t="b">
        <f t="array" ref="X3860">index('Query Tool'!B:B,match(D3860,'Query Tool'!C:C,0))</f>
        <v>1</v>
      </c>
      <c r="Y3860" s="161" t="str">
        <f t="shared" si="6"/>
        <v>pinsoth01,2020-21</v>
      </c>
      <c r="Z3860" s="168" t="str">
        <f t="array" ref="Z3860">iferror(index(I:I,match($A3860&amp;","&amp;index('Year Conversion'!$A:$A,match($C3860,'Year Conversion'!$B:$B,0)),$Y:$Y,0))-I3860,"")</f>
        <v/>
      </c>
      <c r="AA3860" s="168" t="str">
        <f t="array" ref="AA3860">iferror(index(J:J,match($A3860&amp;","&amp;index('Year Conversion'!$A:$A,match($C3860,'Year Conversion'!$B:$B,0)),$Y:$Y,0))-J3860,"")</f>
        <v/>
      </c>
      <c r="AB3860" s="168" t="str">
        <f t="array" ref="AB3860">iferror(index(K:K,match($A3860&amp;","&amp;index('Year Conversion'!$A:$A,match($C3860,'Year Conversion'!$B:$B,0)),$Y:$Y,0))-K3860,"")</f>
        <v/>
      </c>
      <c r="AC3860" s="168" t="str">
        <f t="shared" si="7"/>
        <v>NYK,2020-21</v>
      </c>
    </row>
    <row r="3861">
      <c r="A3861" s="161" t="str">
        <f>IFERROR(__xludf.DUMMYFUNCTION("""COMPUTED_VALUE"""),"spaldra01")</f>
        <v>spaldra01</v>
      </c>
      <c r="B3861" s="161" t="str">
        <f>IFERROR(__xludf.DUMMYFUNCTION("""COMPUTED_VALUE"""),"Ray Spalding")</f>
        <v>Ray Spalding</v>
      </c>
      <c r="C3861" s="162" t="str">
        <f>IFERROR(__xludf.DUMMYFUNCTION("""COMPUTED_VALUE"""),"2020-21")</f>
        <v>2020-21</v>
      </c>
      <c r="D3861" s="163" t="str">
        <f>IFERROR(__xludf.DUMMYFUNCTION("""COMPUTED_VALUE"""),"HOU")</f>
        <v>HOU</v>
      </c>
      <c r="E3861" s="164" t="str">
        <f>IFERROR(__xludf.DUMMYFUNCTION("""COMPUTED_VALUE"""),"Roll + Cut Big")</f>
        <v>Roll + Cut Big</v>
      </c>
      <c r="F3861" s="164">
        <f>IFERROR(__xludf.DUMMYFUNCTION("""COMPUTED_VALUE"""),18.7333333333333)</f>
        <v>18.73333333</v>
      </c>
      <c r="G3861" s="163">
        <f>IFERROR(__xludf.DUMMYFUNCTION("""COMPUTED_VALUE"""),2.0)</f>
        <v>2</v>
      </c>
      <c r="H3861" s="163" t="str">
        <f>IFERROR(__xludf.DUMMYFUNCTION("""COMPUTED_VALUE"""),"C")</f>
        <v>C</v>
      </c>
      <c r="I3861" s="163">
        <f>IFERROR(__xludf.DUMMYFUNCTION("""COMPUTED_VALUE"""),23.0)</f>
        <v>23</v>
      </c>
      <c r="J3861" s="165">
        <f>IFERROR(__xludf.DUMMYFUNCTION("""COMPUTED_VALUE"""),-0.384261346484373)</f>
        <v>-0.3842613465</v>
      </c>
      <c r="K3861" s="165">
        <f>IFERROR(__xludf.DUMMYFUNCTION("""COMPUTED_VALUE"""),-0.298565811562138)</f>
        <v>-0.2985658116</v>
      </c>
      <c r="L3861" s="165">
        <f>IFERROR(__xludf.DUMMYFUNCTION("""COMPUTED_VALUE"""),-0.0856955349222355)</f>
        <v>-0.08569553492</v>
      </c>
      <c r="M3861" s="166">
        <f t="shared" si="2"/>
        <v>0.02402839819</v>
      </c>
      <c r="N3861" s="167">
        <f t="shared" si="3"/>
        <v>9.366666667</v>
      </c>
      <c r="O3861" s="163">
        <f t="shared" ref="O3861:Q3861" si="3865">rank(I3861,I:I)</f>
        <v>2765</v>
      </c>
      <c r="P3861" s="163">
        <f t="shared" si="3865"/>
        <v>1710</v>
      </c>
      <c r="Q3861" s="163">
        <f t="shared" si="3865"/>
        <v>1760</v>
      </c>
      <c r="R3861" s="163">
        <f>IFERROR(__xludf.DUMMYFUNCTION("RANK(M3861,filter(M:M,C:C=C3861))"),414.0)</f>
        <v>414</v>
      </c>
      <c r="S3861" s="161" t="b">
        <f t="shared" si="5"/>
        <v>0</v>
      </c>
      <c r="T3861" s="161" t="b">
        <f t="array" ref="T3861">index('Query Tool'!B:B,match(H3861,'Query Tool'!C:C,0))</f>
        <v>1</v>
      </c>
      <c r="U3861" s="161" t="b">
        <f t="array" ref="U3861">index('Query Tool'!B:B,match(C3861,'Query Tool'!C:C,0))</f>
        <v>1</v>
      </c>
      <c r="V3861" s="161" t="b">
        <f>F3861&gt;='Query Tool'!C$32</f>
        <v>0</v>
      </c>
      <c r="W3861" s="161" t="b">
        <f t="array" ref="W3861">index(Dropdowns!B:B,match(I3861,Dropdowns!A:A,0))</f>
        <v>1</v>
      </c>
      <c r="X3861" s="161" t="b">
        <f t="array" ref="X3861">index('Query Tool'!B:B,match(D3861,'Query Tool'!C:C,0))</f>
        <v>1</v>
      </c>
      <c r="Y3861" s="161" t="str">
        <f t="shared" si="6"/>
        <v>spaldra01,2020-21</v>
      </c>
      <c r="Z3861" s="168" t="str">
        <f t="array" ref="Z3861">iferror(index(I:I,match($A3861&amp;","&amp;index('Year Conversion'!$A:$A,match($C3861,'Year Conversion'!$B:$B,0)),$Y:$Y,0))-I3861,"")</f>
        <v/>
      </c>
      <c r="AA3861" s="168" t="str">
        <f t="array" ref="AA3861">iferror(index(J:J,match($A3861&amp;","&amp;index('Year Conversion'!$A:$A,match($C3861,'Year Conversion'!$B:$B,0)),$Y:$Y,0))-J3861,"")</f>
        <v/>
      </c>
      <c r="AB3861" s="168" t="str">
        <f t="array" ref="AB3861">iferror(index(K:K,match($A3861&amp;","&amp;index('Year Conversion'!$A:$A,match($C3861,'Year Conversion'!$B:$B,0)),$Y:$Y,0))-K3861,"")</f>
        <v/>
      </c>
      <c r="AC3861" s="168" t="str">
        <f t="shared" si="7"/>
        <v>HOU,2020-21</v>
      </c>
    </row>
    <row r="3862">
      <c r="A3862" s="161" t="str">
        <f>IFERROR(__xludf.DUMMYFUNCTION("""COMPUTED_VALUE"""),"edwarca01")</f>
        <v>edwarca01</v>
      </c>
      <c r="B3862" s="161" t="str">
        <f>IFERROR(__xludf.DUMMYFUNCTION("""COMPUTED_VALUE"""),"Carsen Edwards")</f>
        <v>Carsen Edwards</v>
      </c>
      <c r="C3862" s="162" t="str">
        <f>IFERROR(__xludf.DUMMYFUNCTION("""COMPUTED_VALUE"""),"2020-21")</f>
        <v>2020-21</v>
      </c>
      <c r="D3862" s="163" t="str">
        <f>IFERROR(__xludf.DUMMYFUNCTION("""COMPUTED_VALUE"""),"BOS")</f>
        <v>BOS</v>
      </c>
      <c r="E3862" s="164" t="str">
        <f>IFERROR(__xludf.DUMMYFUNCTION("""COMPUTED_VALUE"""),"Stationary Shooter")</f>
        <v>Stationary Shooter</v>
      </c>
      <c r="F3862" s="164">
        <f>IFERROR(__xludf.DUMMYFUNCTION("""COMPUTED_VALUE"""),134.451666666667)</f>
        <v>134.4516667</v>
      </c>
      <c r="G3862" s="163">
        <f>IFERROR(__xludf.DUMMYFUNCTION("""COMPUTED_VALUE"""),13.0)</f>
        <v>13</v>
      </c>
      <c r="H3862" s="163" t="str">
        <f>IFERROR(__xludf.DUMMYFUNCTION("""COMPUTED_VALUE"""),"SG")</f>
        <v>SG</v>
      </c>
      <c r="I3862" s="163">
        <f>IFERROR(__xludf.DUMMYFUNCTION("""COMPUTED_VALUE"""),22.0)</f>
        <v>22</v>
      </c>
      <c r="J3862" s="165">
        <f>IFERROR(__xludf.DUMMYFUNCTION("""COMPUTED_VALUE"""),-1.55612453609455)</f>
        <v>-1.556124536</v>
      </c>
      <c r="K3862" s="165">
        <f>IFERROR(__xludf.DUMMYFUNCTION("""COMPUTED_VALUE"""),-0.416558269763508)</f>
        <v>-0.4165582698</v>
      </c>
      <c r="L3862" s="165">
        <f>IFERROR(__xludf.DUMMYFUNCTION("""COMPUTED_VALUE"""),-1.13956626633104)</f>
        <v>-1.139566266</v>
      </c>
      <c r="M3862" s="166">
        <f t="shared" si="2"/>
        <v>0.06669587531</v>
      </c>
      <c r="N3862" s="167">
        <f t="shared" si="3"/>
        <v>10.3424359</v>
      </c>
      <c r="O3862" s="163">
        <f t="shared" ref="O3862:Q3862" si="3866">rank(I3862,I:I)</f>
        <v>3178</v>
      </c>
      <c r="P3862" s="163">
        <f t="shared" si="3866"/>
        <v>3102</v>
      </c>
      <c r="Q3862" s="163">
        <f t="shared" si="3866"/>
        <v>1974</v>
      </c>
      <c r="R3862" s="163">
        <f>IFERROR(__xludf.DUMMYFUNCTION("RANK(M3862,filter(M:M,C:C=C3862))"),361.0)</f>
        <v>361</v>
      </c>
      <c r="S3862" s="161" t="b">
        <f t="shared" si="5"/>
        <v>0</v>
      </c>
      <c r="T3862" s="161" t="b">
        <f t="array" ref="T3862">index('Query Tool'!B:B,match(H3862,'Query Tool'!C:C,0))</f>
        <v>1</v>
      </c>
      <c r="U3862" s="161" t="b">
        <f t="array" ref="U3862">index('Query Tool'!B:B,match(C3862,'Query Tool'!C:C,0))</f>
        <v>1</v>
      </c>
      <c r="V3862" s="161" t="b">
        <f>F3862&gt;='Query Tool'!C$32</f>
        <v>0</v>
      </c>
      <c r="W3862" s="161" t="b">
        <f t="array" ref="W3862">index(Dropdowns!B:B,match(I3862,Dropdowns!A:A,0))</f>
        <v>1</v>
      </c>
      <c r="X3862" s="161" t="b">
        <f t="array" ref="X3862">index('Query Tool'!B:B,match(D3862,'Query Tool'!C:C,0))</f>
        <v>1</v>
      </c>
      <c r="Y3862" s="161" t="str">
        <f t="shared" si="6"/>
        <v>edwarca01,2020-21</v>
      </c>
      <c r="Z3862" s="168" t="str">
        <f t="array" ref="Z3862">iferror(index(I:I,match($A3862&amp;","&amp;index('Year Conversion'!$A:$A,match($C3862,'Year Conversion'!$B:$B,0)),$Y:$Y,0))-I3862,"")</f>
        <v/>
      </c>
      <c r="AA3862" s="168" t="str">
        <f t="array" ref="AA3862">iferror(index(J:J,match($A3862&amp;","&amp;index('Year Conversion'!$A:$A,match($C3862,'Year Conversion'!$B:$B,0)),$Y:$Y,0))-J3862,"")</f>
        <v/>
      </c>
      <c r="AB3862" s="168" t="str">
        <f t="array" ref="AB3862">iferror(index(K:K,match($A3862&amp;","&amp;index('Year Conversion'!$A:$A,match($C3862,'Year Conversion'!$B:$B,0)),$Y:$Y,0))-K3862,"")</f>
        <v/>
      </c>
      <c r="AC3862" s="168" t="str">
        <f t="shared" si="7"/>
        <v>BOS,2020-21</v>
      </c>
    </row>
    <row r="3863">
      <c r="A3863" s="161" t="str">
        <f>IFERROR(__xludf.DUMMYFUNCTION("""COMPUTED_VALUE"""),"bitadgo01")</f>
        <v>bitadgo01</v>
      </c>
      <c r="B3863" s="161" t="str">
        <f>IFERROR(__xludf.DUMMYFUNCTION("""COMPUTED_VALUE"""),"Goga Bitadze")</f>
        <v>Goga Bitadze</v>
      </c>
      <c r="C3863" s="162" t="str">
        <f>IFERROR(__xludf.DUMMYFUNCTION("""COMPUTED_VALUE"""),"2020-21")</f>
        <v>2020-21</v>
      </c>
      <c r="D3863" s="163" t="str">
        <f>IFERROR(__xludf.DUMMYFUNCTION("""COMPUTED_VALUE"""),"IND")</f>
        <v>IND</v>
      </c>
      <c r="E3863" s="164" t="str">
        <f>IFERROR(__xludf.DUMMYFUNCTION("""COMPUTED_VALUE"""),"Stretch Big")</f>
        <v>Stretch Big</v>
      </c>
      <c r="F3863" s="164">
        <f>IFERROR(__xludf.DUMMYFUNCTION("""COMPUTED_VALUE"""),124.11)</f>
        <v>124.11</v>
      </c>
      <c r="G3863" s="163">
        <f>IFERROR(__xludf.DUMMYFUNCTION("""COMPUTED_VALUE"""),13.0)</f>
        <v>13</v>
      </c>
      <c r="H3863" s="163" t="str">
        <f>IFERROR(__xludf.DUMMYFUNCTION("""COMPUTED_VALUE"""),"C")</f>
        <v>C</v>
      </c>
      <c r="I3863" s="163">
        <f>IFERROR(__xludf.DUMMYFUNCTION("""COMPUTED_VALUE"""),21.0)</f>
        <v>21</v>
      </c>
      <c r="J3863" s="165">
        <f>IFERROR(__xludf.DUMMYFUNCTION("""COMPUTED_VALUE"""),0.113031883592901)</f>
        <v>0.1130318836</v>
      </c>
      <c r="K3863" s="165">
        <f>IFERROR(__xludf.DUMMYFUNCTION("""COMPUTED_VALUE"""),-0.565488554487429)</f>
        <v>-0.5654885545</v>
      </c>
      <c r="L3863" s="165">
        <f>IFERROR(__xludf.DUMMYFUNCTION("""COMPUTED_VALUE"""),0.67852043808033)</f>
        <v>0.6785204381</v>
      </c>
      <c r="M3863" s="166">
        <f t="shared" si="2"/>
        <v>0.2007938778</v>
      </c>
      <c r="N3863" s="167">
        <f t="shared" si="3"/>
        <v>9.546923077</v>
      </c>
      <c r="O3863" s="163">
        <f t="shared" ref="O3863:Q3863" si="3867">rank(I3863,I:I)</f>
        <v>3528</v>
      </c>
      <c r="P3863" s="163">
        <f t="shared" si="3867"/>
        <v>1171</v>
      </c>
      <c r="Q3863" s="163">
        <f t="shared" si="3867"/>
        <v>2210</v>
      </c>
      <c r="R3863" s="163">
        <f>IFERROR(__xludf.DUMMYFUNCTION("RANK(M3863,filter(M:M,C:C=C3863))"),279.0)</f>
        <v>279</v>
      </c>
      <c r="S3863" s="161" t="b">
        <f t="shared" si="5"/>
        <v>0</v>
      </c>
      <c r="T3863" s="161" t="b">
        <f t="array" ref="T3863">index('Query Tool'!B:B,match(H3863,'Query Tool'!C:C,0))</f>
        <v>1</v>
      </c>
      <c r="U3863" s="161" t="b">
        <f t="array" ref="U3863">index('Query Tool'!B:B,match(C3863,'Query Tool'!C:C,0))</f>
        <v>1</v>
      </c>
      <c r="V3863" s="161" t="b">
        <f>F3863&gt;='Query Tool'!C$32</f>
        <v>0</v>
      </c>
      <c r="W3863" s="161" t="b">
        <f t="array" ref="W3863">index(Dropdowns!B:B,match(I3863,Dropdowns!A:A,0))</f>
        <v>1</v>
      </c>
      <c r="X3863" s="161" t="b">
        <f t="array" ref="X3863">index('Query Tool'!B:B,match(D3863,'Query Tool'!C:C,0))</f>
        <v>1</v>
      </c>
      <c r="Y3863" s="161" t="str">
        <f t="shared" si="6"/>
        <v>bitadgo01,2020-21</v>
      </c>
      <c r="Z3863" s="168" t="str">
        <f t="array" ref="Z3863">iferror(index(I:I,match($A3863&amp;","&amp;index('Year Conversion'!$A:$A,match($C3863,'Year Conversion'!$B:$B,0)),$Y:$Y,0))-I3863,"")</f>
        <v/>
      </c>
      <c r="AA3863" s="168" t="str">
        <f t="array" ref="AA3863">iferror(index(J:J,match($A3863&amp;","&amp;index('Year Conversion'!$A:$A,match($C3863,'Year Conversion'!$B:$B,0)),$Y:$Y,0))-J3863,"")</f>
        <v/>
      </c>
      <c r="AB3863" s="168" t="str">
        <f t="array" ref="AB3863">iferror(index(K:K,match($A3863&amp;","&amp;index('Year Conversion'!$A:$A,match($C3863,'Year Conversion'!$B:$B,0)),$Y:$Y,0))-K3863,"")</f>
        <v/>
      </c>
      <c r="AC3863" s="168" t="str">
        <f t="shared" si="7"/>
        <v>IND,2020-21</v>
      </c>
    </row>
    <row r="3864">
      <c r="A3864" s="161" t="str">
        <f>IFERROR(__xludf.DUMMYFUNCTION("""COMPUTED_VALUE"""),"daviste02")</f>
        <v>daviste02</v>
      </c>
      <c r="B3864" s="161" t="str">
        <f>IFERROR(__xludf.DUMMYFUNCTION("""COMPUTED_VALUE"""),"Terence Davis")</f>
        <v>Terence Davis</v>
      </c>
      <c r="C3864" s="162" t="str">
        <f>IFERROR(__xludf.DUMMYFUNCTION("""COMPUTED_VALUE"""),"2020-21")</f>
        <v>2020-21</v>
      </c>
      <c r="D3864" s="163" t="str">
        <f>IFERROR(__xludf.DUMMYFUNCTION("""COMPUTED_VALUE"""),"TOR")</f>
        <v>TOR</v>
      </c>
      <c r="E3864" s="164" t="str">
        <f>IFERROR(__xludf.DUMMYFUNCTION("""COMPUTED_VALUE"""),"Movement Shooter")</f>
        <v>Movement Shooter</v>
      </c>
      <c r="F3864" s="164">
        <f>IFERROR(__xludf.DUMMYFUNCTION("""COMPUTED_VALUE"""),342.741666666667)</f>
        <v>342.7416667</v>
      </c>
      <c r="G3864" s="163">
        <f>IFERROR(__xludf.DUMMYFUNCTION("""COMPUTED_VALUE"""),25.0)</f>
        <v>25</v>
      </c>
      <c r="H3864" s="163" t="str">
        <f>IFERROR(__xludf.DUMMYFUNCTION("""COMPUTED_VALUE"""),"SG")</f>
        <v>SG</v>
      </c>
      <c r="I3864" s="163">
        <f>IFERROR(__xludf.DUMMYFUNCTION("""COMPUTED_VALUE"""),23.0)</f>
        <v>23</v>
      </c>
      <c r="J3864" s="165">
        <f>IFERROR(__xludf.DUMMYFUNCTION("""COMPUTED_VALUE"""),-1.74254182676854)</f>
        <v>-1.742541827</v>
      </c>
      <c r="K3864" s="165">
        <f>IFERROR(__xludf.DUMMYFUNCTION("""COMPUTED_VALUE"""),-0.440410979411541)</f>
        <v>-0.4404109794</v>
      </c>
      <c r="L3864" s="165">
        <f>IFERROR(__xludf.DUMMYFUNCTION("""COMPUTED_VALUE"""),-1.30213084735699)</f>
        <v>-1.302130847</v>
      </c>
      <c r="M3864" s="166">
        <f t="shared" si="2"/>
        <v>0.1274290713</v>
      </c>
      <c r="N3864" s="167">
        <f t="shared" si="3"/>
        <v>13.70966667</v>
      </c>
      <c r="O3864" s="163">
        <f t="shared" ref="O3864:Q3864" si="3868">rank(I3864,I:I)</f>
        <v>2765</v>
      </c>
      <c r="P3864" s="163">
        <f t="shared" si="3868"/>
        <v>3286</v>
      </c>
      <c r="Q3864" s="163">
        <f t="shared" si="3868"/>
        <v>2016</v>
      </c>
      <c r="R3864" s="163">
        <f>IFERROR(__xludf.DUMMYFUNCTION("RANK(M3864,filter(M:M,C:C=C3864))"),310.0)</f>
        <v>310</v>
      </c>
      <c r="S3864" s="161" t="b">
        <f t="shared" si="5"/>
        <v>0</v>
      </c>
      <c r="T3864" s="161" t="b">
        <f t="array" ref="T3864">index('Query Tool'!B:B,match(H3864,'Query Tool'!C:C,0))</f>
        <v>1</v>
      </c>
      <c r="U3864" s="161" t="b">
        <f t="array" ref="U3864">index('Query Tool'!B:B,match(C3864,'Query Tool'!C:C,0))</f>
        <v>1</v>
      </c>
      <c r="V3864" s="161" t="b">
        <f>F3864&gt;='Query Tool'!C$32</f>
        <v>0</v>
      </c>
      <c r="W3864" s="161" t="b">
        <f t="array" ref="W3864">index(Dropdowns!B:B,match(I3864,Dropdowns!A:A,0))</f>
        <v>1</v>
      </c>
      <c r="X3864" s="161" t="b">
        <f t="array" ref="X3864">index('Query Tool'!B:B,match(D3864,'Query Tool'!C:C,0))</f>
        <v>1</v>
      </c>
      <c r="Y3864" s="161" t="str">
        <f t="shared" si="6"/>
        <v>daviste02,2020-21</v>
      </c>
      <c r="Z3864" s="168" t="str">
        <f t="array" ref="Z3864">iferror(index(I:I,match($A3864&amp;","&amp;index('Year Conversion'!$A:$A,match($C3864,'Year Conversion'!$B:$B,0)),$Y:$Y,0))-I3864,"")</f>
        <v/>
      </c>
      <c r="AA3864" s="168" t="str">
        <f t="array" ref="AA3864">iferror(index(J:J,match($A3864&amp;","&amp;index('Year Conversion'!$A:$A,match($C3864,'Year Conversion'!$B:$B,0)),$Y:$Y,0))-J3864,"")</f>
        <v/>
      </c>
      <c r="AB3864" s="168" t="str">
        <f t="array" ref="AB3864">iferror(index(K:K,match($A3864&amp;","&amp;index('Year Conversion'!$A:$A,match($C3864,'Year Conversion'!$B:$B,0)),$Y:$Y,0))-K3864,"")</f>
        <v/>
      </c>
      <c r="AC3864" s="168" t="str">
        <f t="shared" si="7"/>
        <v>TOR,2020-21</v>
      </c>
    </row>
    <row r="3865">
      <c r="A3865" s="161" t="str">
        <f>IFERROR(__xludf.DUMMYFUNCTION("""COMPUTED_VALUE"""),"williro04")</f>
        <v>williro04</v>
      </c>
      <c r="B3865" s="161" t="str">
        <f>IFERROR(__xludf.DUMMYFUNCTION("""COMPUTED_VALUE"""),"Robert Williams III")</f>
        <v>Robert Williams III</v>
      </c>
      <c r="C3865" s="162" t="str">
        <f>IFERROR(__xludf.DUMMYFUNCTION("""COMPUTED_VALUE"""),"2020-21")</f>
        <v>2020-21</v>
      </c>
      <c r="D3865" s="163" t="str">
        <f>IFERROR(__xludf.DUMMYFUNCTION("""COMPUTED_VALUE"""),"BOS")</f>
        <v>BOS</v>
      </c>
      <c r="E3865" s="164" t="str">
        <f>IFERROR(__xludf.DUMMYFUNCTION("""COMPUTED_VALUE"""),"Roll + Cut Big")</f>
        <v>Roll + Cut Big</v>
      </c>
      <c r="F3865" s="164">
        <f>IFERROR(__xludf.DUMMYFUNCTION("""COMPUTED_VALUE"""),355.033333333334)</f>
        <v>355.0333333</v>
      </c>
      <c r="G3865" s="163">
        <f>IFERROR(__xludf.DUMMYFUNCTION("""COMPUTED_VALUE"""),23.0)</f>
        <v>23</v>
      </c>
      <c r="H3865" s="163" t="str">
        <f>IFERROR(__xludf.DUMMYFUNCTION("""COMPUTED_VALUE"""),"C")</f>
        <v>C</v>
      </c>
      <c r="I3865" s="163">
        <f>IFERROR(__xludf.DUMMYFUNCTION("""COMPUTED_VALUE"""),23.0)</f>
        <v>23</v>
      </c>
      <c r="J3865" s="165">
        <f>IFERROR(__xludf.DUMMYFUNCTION("""COMPUTED_VALUE"""),1.2892371904285)</f>
        <v>1.28923719</v>
      </c>
      <c r="K3865" s="165">
        <f>IFERROR(__xludf.DUMMYFUNCTION("""COMPUTED_VALUE"""),-0.913877389401668)</f>
        <v>-0.9138773894</v>
      </c>
      <c r="L3865" s="165">
        <f>IFERROR(__xludf.DUMMYFUNCTION("""COMPUTED_VALUE"""),2.20311457983017)</f>
        <v>2.20311458</v>
      </c>
      <c r="M3865" s="166">
        <f t="shared" si="2"/>
        <v>0.855224112</v>
      </c>
      <c r="N3865" s="167">
        <f t="shared" si="3"/>
        <v>15.43623188</v>
      </c>
      <c r="O3865" s="163">
        <f t="shared" ref="O3865:Q3865" si="3869">rank(I3865,I:I)</f>
        <v>2765</v>
      </c>
      <c r="P3865" s="163">
        <f t="shared" si="3869"/>
        <v>533</v>
      </c>
      <c r="Q3865" s="163">
        <f t="shared" si="3869"/>
        <v>2707</v>
      </c>
      <c r="R3865" s="163">
        <f>IFERROR(__xludf.DUMMYFUNCTION("RANK(M3865,filter(M:M,C:C=C3865))"),135.0)</f>
        <v>135</v>
      </c>
      <c r="S3865" s="161" t="b">
        <f t="shared" si="5"/>
        <v>0</v>
      </c>
      <c r="T3865" s="161" t="b">
        <f t="array" ref="T3865">index('Query Tool'!B:B,match(H3865,'Query Tool'!C:C,0))</f>
        <v>1</v>
      </c>
      <c r="U3865" s="161" t="b">
        <f t="array" ref="U3865">index('Query Tool'!B:B,match(C3865,'Query Tool'!C:C,0))</f>
        <v>1</v>
      </c>
      <c r="V3865" s="161" t="b">
        <f>F3865&gt;='Query Tool'!C$32</f>
        <v>0</v>
      </c>
      <c r="W3865" s="161" t="b">
        <f t="array" ref="W3865">index(Dropdowns!B:B,match(I3865,Dropdowns!A:A,0))</f>
        <v>1</v>
      </c>
      <c r="X3865" s="161" t="b">
        <f t="array" ref="X3865">index('Query Tool'!B:B,match(D3865,'Query Tool'!C:C,0))</f>
        <v>1</v>
      </c>
      <c r="Y3865" s="161" t="str">
        <f t="shared" si="6"/>
        <v>williro04,2020-21</v>
      </c>
      <c r="Z3865" s="168" t="str">
        <f t="array" ref="Z3865">iferror(index(I:I,match($A3865&amp;","&amp;index('Year Conversion'!$A:$A,match($C3865,'Year Conversion'!$B:$B,0)),$Y:$Y,0))-I3865,"")</f>
        <v/>
      </c>
      <c r="AA3865" s="168" t="str">
        <f t="array" ref="AA3865">iferror(index(J:J,match($A3865&amp;","&amp;index('Year Conversion'!$A:$A,match($C3865,'Year Conversion'!$B:$B,0)),$Y:$Y,0))-J3865,"")</f>
        <v/>
      </c>
      <c r="AB3865" s="168" t="str">
        <f t="array" ref="AB3865">iferror(index(K:K,match($A3865&amp;","&amp;index('Year Conversion'!$A:$A,match($C3865,'Year Conversion'!$B:$B,0)),$Y:$Y,0))-K3865,"")</f>
        <v/>
      </c>
      <c r="AC3865" s="168" t="str">
        <f t="shared" si="7"/>
        <v>BOS,2020-21</v>
      </c>
    </row>
    <row r="3866">
      <c r="A3866" s="161" t="str">
        <f>IFERROR(__xludf.DUMMYFUNCTION("""COMPUTED_VALUE"""),"hachiru01")</f>
        <v>hachiru01</v>
      </c>
      <c r="B3866" s="161" t="str">
        <f>IFERROR(__xludf.DUMMYFUNCTION("""COMPUTED_VALUE"""),"Rui Hachimura")</f>
        <v>Rui Hachimura</v>
      </c>
      <c r="C3866" s="162" t="str">
        <f>IFERROR(__xludf.DUMMYFUNCTION("""COMPUTED_VALUE"""),"2020-21")</f>
        <v>2020-21</v>
      </c>
      <c r="D3866" s="163" t="str">
        <f>IFERROR(__xludf.DUMMYFUNCTION("""COMPUTED_VALUE"""),"WAS")</f>
        <v>WAS</v>
      </c>
      <c r="E3866" s="164" t="str">
        <f>IFERROR(__xludf.DUMMYFUNCTION("""COMPUTED_VALUE"""),"Post Scorer")</f>
        <v>Post Scorer</v>
      </c>
      <c r="F3866" s="164">
        <f>IFERROR(__xludf.DUMMYFUNCTION("""COMPUTED_VALUE"""),592.363333333333)</f>
        <v>592.3633333</v>
      </c>
      <c r="G3866" s="163">
        <f>IFERROR(__xludf.DUMMYFUNCTION("""COMPUTED_VALUE"""),20.0)</f>
        <v>20</v>
      </c>
      <c r="H3866" s="163" t="str">
        <f>IFERROR(__xludf.DUMMYFUNCTION("""COMPUTED_VALUE"""),"PF")</f>
        <v>PF</v>
      </c>
      <c r="I3866" s="163">
        <f>IFERROR(__xludf.DUMMYFUNCTION("""COMPUTED_VALUE"""),22.0)</f>
        <v>22</v>
      </c>
      <c r="J3866" s="165">
        <f>IFERROR(__xludf.DUMMYFUNCTION("""COMPUTED_VALUE"""),-1.10231634494931)</f>
        <v>-1.102316345</v>
      </c>
      <c r="K3866" s="165">
        <f>IFERROR(__xludf.DUMMYFUNCTION("""COMPUTED_VALUE"""),-1.1423314972179)</f>
        <v>-1.142331497</v>
      </c>
      <c r="L3866" s="165">
        <f>IFERROR(__xludf.DUMMYFUNCTION("""COMPUTED_VALUE"""),0.0400151522685948)</f>
        <v>0.04001515227</v>
      </c>
      <c r="M3866" s="166">
        <f t="shared" si="2"/>
        <v>0.4737414801</v>
      </c>
      <c r="N3866" s="167">
        <f t="shared" si="3"/>
        <v>29.61816667</v>
      </c>
      <c r="O3866" s="163">
        <f t="shared" ref="O3866:Q3866" si="3870">rank(I3866,I:I)</f>
        <v>3178</v>
      </c>
      <c r="P3866" s="163">
        <f t="shared" si="3870"/>
        <v>2616</v>
      </c>
      <c r="Q3866" s="163">
        <f t="shared" si="3870"/>
        <v>2976</v>
      </c>
      <c r="R3866" s="163">
        <f>IFERROR(__xludf.DUMMYFUNCTION("RANK(M3866,filter(M:M,C:C=C3866))"),199.0)</f>
        <v>199</v>
      </c>
      <c r="S3866" s="161" t="b">
        <f t="shared" si="5"/>
        <v>1</v>
      </c>
      <c r="T3866" s="161" t="b">
        <f t="array" ref="T3866">index('Query Tool'!B:B,match(H3866,'Query Tool'!C:C,0))</f>
        <v>1</v>
      </c>
      <c r="U3866" s="161" t="b">
        <f t="array" ref="U3866">index('Query Tool'!B:B,match(C3866,'Query Tool'!C:C,0))</f>
        <v>1</v>
      </c>
      <c r="V3866" s="161" t="b">
        <f>F3866&gt;='Query Tool'!C$32</f>
        <v>1</v>
      </c>
      <c r="W3866" s="161" t="b">
        <f t="array" ref="W3866">index(Dropdowns!B:B,match(I3866,Dropdowns!A:A,0))</f>
        <v>1</v>
      </c>
      <c r="X3866" s="161" t="b">
        <f t="array" ref="X3866">index('Query Tool'!B:B,match(D3866,'Query Tool'!C:C,0))</f>
        <v>1</v>
      </c>
      <c r="Y3866" s="161" t="str">
        <f t="shared" si="6"/>
        <v>hachiru01,2020-21</v>
      </c>
      <c r="Z3866" s="168" t="str">
        <f t="array" ref="Z3866">iferror(index(I:I,match($A3866&amp;","&amp;index('Year Conversion'!$A:$A,match($C3866,'Year Conversion'!$B:$B,0)),$Y:$Y,0))-I3866,"")</f>
        <v/>
      </c>
      <c r="AA3866" s="168" t="str">
        <f t="array" ref="AA3866">iferror(index(J:J,match($A3866&amp;","&amp;index('Year Conversion'!$A:$A,match($C3866,'Year Conversion'!$B:$B,0)),$Y:$Y,0))-J3866,"")</f>
        <v/>
      </c>
      <c r="AB3866" s="168" t="str">
        <f t="array" ref="AB3866">iferror(index(K:K,match($A3866&amp;","&amp;index('Year Conversion'!$A:$A,match($C3866,'Year Conversion'!$B:$B,0)),$Y:$Y,0))-K3866,"")</f>
        <v/>
      </c>
      <c r="AC3866" s="168" t="str">
        <f t="shared" si="7"/>
        <v>WAS,2020-21</v>
      </c>
    </row>
    <row r="3867">
      <c r="A3867" s="161" t="str">
        <f>IFERROR(__xludf.DUMMYFUNCTION("""COMPUTED_VALUE"""),"kurucro01")</f>
        <v>kurucro01</v>
      </c>
      <c r="B3867" s="161" t="str">
        <f>IFERROR(__xludf.DUMMYFUNCTION("""COMPUTED_VALUE"""),"Rodions Kurucs")</f>
        <v>Rodions Kurucs</v>
      </c>
      <c r="C3867" s="162" t="str">
        <f>IFERROR(__xludf.DUMMYFUNCTION("""COMPUTED_VALUE"""),"2020-21")</f>
        <v>2020-21</v>
      </c>
      <c r="D3867" s="163" t="str">
        <f>IFERROR(__xludf.DUMMYFUNCTION("""COMPUTED_VALUE"""),"TOT")</f>
        <v>TOT</v>
      </c>
      <c r="E3867" s="164" t="str">
        <f>IFERROR(__xludf.DUMMYFUNCTION("""COMPUTED_VALUE"""),"Movement Shooter")</f>
        <v>Movement Shooter</v>
      </c>
      <c r="F3867" s="164">
        <f>IFERROR(__xludf.DUMMYFUNCTION("""COMPUTED_VALUE"""),72.5666666666667)</f>
        <v>72.56666667</v>
      </c>
      <c r="G3867" s="163">
        <f>IFERROR(__xludf.DUMMYFUNCTION("""COMPUTED_VALUE"""),14.0)</f>
        <v>14</v>
      </c>
      <c r="H3867" s="163" t="str">
        <f>IFERROR(__xludf.DUMMYFUNCTION("""COMPUTED_VALUE"""),"SF-PF")</f>
        <v>SF-PF</v>
      </c>
      <c r="I3867" s="163">
        <f>IFERROR(__xludf.DUMMYFUNCTION("""COMPUTED_VALUE"""),22.0)</f>
        <v>22</v>
      </c>
      <c r="J3867" s="165">
        <f>IFERROR(__xludf.DUMMYFUNCTION("""COMPUTED_VALUE"""),-0.780123130143525)</f>
        <v>-0.7801231301</v>
      </c>
      <c r="K3867" s="165">
        <f>IFERROR(__xludf.DUMMYFUNCTION("""COMPUTED_VALUE"""),-0.782699303048551)</f>
        <v>-0.782699303</v>
      </c>
      <c r="L3867" s="165">
        <f>IFERROR(__xludf.DUMMYFUNCTION("""COMPUTED_VALUE"""),0.00257617290502588)</f>
        <v>0.002576172905</v>
      </c>
      <c r="M3867" s="166">
        <f t="shared" si="2"/>
        <v>0.0737393302</v>
      </c>
      <c r="N3867" s="167">
        <f t="shared" si="3"/>
        <v>5.183333333</v>
      </c>
      <c r="O3867" s="163">
        <f t="shared" ref="O3867:Q3867" si="3871">rank(I3867,I:I)</f>
        <v>3178</v>
      </c>
      <c r="P3867" s="163">
        <f t="shared" si="3871"/>
        <v>2245</v>
      </c>
      <c r="Q3867" s="163">
        <f t="shared" si="3871"/>
        <v>2536</v>
      </c>
      <c r="R3867" s="163">
        <f>IFERROR(__xludf.DUMMYFUNCTION("RANK(M3867,filter(M:M,C:C=C3867))"),354.0)</f>
        <v>354</v>
      </c>
      <c r="S3867" s="161" t="b">
        <f t="shared" si="5"/>
        <v>0</v>
      </c>
      <c r="T3867" s="161" t="str">
        <f t="array" ref="T3867">index('Query Tool'!B:B,match(H3867,'Query Tool'!C:C,0))</f>
        <v>#N/A</v>
      </c>
      <c r="U3867" s="161" t="b">
        <f t="array" ref="U3867">index('Query Tool'!B:B,match(C3867,'Query Tool'!C:C,0))</f>
        <v>1</v>
      </c>
      <c r="V3867" s="161" t="b">
        <f>F3867&gt;='Query Tool'!C$32</f>
        <v>0</v>
      </c>
      <c r="W3867" s="161" t="b">
        <f t="array" ref="W3867">index(Dropdowns!B:B,match(I3867,Dropdowns!A:A,0))</f>
        <v>1</v>
      </c>
      <c r="X3867" s="161" t="b">
        <f t="array" ref="X3867">index('Query Tool'!B:B,match(D3867,'Query Tool'!C:C,0))</f>
        <v>1</v>
      </c>
      <c r="Y3867" s="161" t="str">
        <f t="shared" si="6"/>
        <v>kurucro01,2020-21</v>
      </c>
      <c r="Z3867" s="168" t="str">
        <f t="array" ref="Z3867">iferror(index(I:I,match($A3867&amp;","&amp;index('Year Conversion'!$A:$A,match($C3867,'Year Conversion'!$B:$B,0)),$Y:$Y,0))-I3867,"")</f>
        <v/>
      </c>
      <c r="AA3867" s="168" t="str">
        <f t="array" ref="AA3867">iferror(index(J:J,match($A3867&amp;","&amp;index('Year Conversion'!$A:$A,match($C3867,'Year Conversion'!$B:$B,0)),$Y:$Y,0))-J3867,"")</f>
        <v/>
      </c>
      <c r="AB3867" s="168" t="str">
        <f t="array" ref="AB3867">iferror(index(K:K,match($A3867&amp;","&amp;index('Year Conversion'!$A:$A,match($C3867,'Year Conversion'!$B:$B,0)),$Y:$Y,0))-K3867,"")</f>
        <v/>
      </c>
      <c r="AC3867" s="168" t="str">
        <f t="shared" si="7"/>
        <v>TOT,2020-21</v>
      </c>
    </row>
    <row r="3868">
      <c r="A3868" s="161" t="str">
        <f>IFERROR(__xludf.DUMMYFUNCTION("""COMPUTED_VALUE"""),"bongais01")</f>
        <v>bongais01</v>
      </c>
      <c r="B3868" s="161" t="str">
        <f>IFERROR(__xludf.DUMMYFUNCTION("""COMPUTED_VALUE"""),"Isaac Bonga")</f>
        <v>Isaac Bonga</v>
      </c>
      <c r="C3868" s="162" t="str">
        <f>IFERROR(__xludf.DUMMYFUNCTION("""COMPUTED_VALUE"""),"2020-21")</f>
        <v>2020-21</v>
      </c>
      <c r="D3868" s="163" t="str">
        <f>IFERROR(__xludf.DUMMYFUNCTION("""COMPUTED_VALUE"""),"WAS")</f>
        <v>WAS</v>
      </c>
      <c r="E3868" s="164" t="str">
        <f>IFERROR(__xludf.DUMMYFUNCTION("""COMPUTED_VALUE"""),"Athletic Finisher")</f>
        <v>Athletic Finisher</v>
      </c>
      <c r="F3868" s="164">
        <f>IFERROR(__xludf.DUMMYFUNCTION("""COMPUTED_VALUE"""),234.876666666667)</f>
        <v>234.8766667</v>
      </c>
      <c r="G3868" s="163">
        <f>IFERROR(__xludf.DUMMYFUNCTION("""COMPUTED_VALUE"""),18.0)</f>
        <v>18</v>
      </c>
      <c r="H3868" s="163" t="str">
        <f>IFERROR(__xludf.DUMMYFUNCTION("""COMPUTED_VALUE"""),"SF")</f>
        <v>SF</v>
      </c>
      <c r="I3868" s="163">
        <f>IFERROR(__xludf.DUMMYFUNCTION("""COMPUTED_VALUE"""),21.0)</f>
        <v>21</v>
      </c>
      <c r="J3868" s="165">
        <f>IFERROR(__xludf.DUMMYFUNCTION("""COMPUTED_VALUE"""),-1.86187405117765)</f>
        <v>-1.861874051</v>
      </c>
      <c r="K3868" s="165">
        <f>IFERROR(__xludf.DUMMYFUNCTION("""COMPUTED_VALUE"""),-2.68572734406177)</f>
        <v>-2.685727344</v>
      </c>
      <c r="L3868" s="165">
        <f>IFERROR(__xludf.DUMMYFUNCTION("""COMPUTED_VALUE"""),0.823853292884118)</f>
        <v>0.8238532929</v>
      </c>
      <c r="M3868" s="166">
        <f t="shared" si="2"/>
        <v>0.06868273538</v>
      </c>
      <c r="N3868" s="167">
        <f t="shared" si="3"/>
        <v>13.0487037</v>
      </c>
      <c r="O3868" s="163">
        <f t="shared" ref="O3868:Q3868" si="3872">rank(I3868,I:I)</f>
        <v>3528</v>
      </c>
      <c r="P3868" s="163">
        <f t="shared" si="3872"/>
        <v>3387</v>
      </c>
      <c r="Q3868" s="163">
        <f t="shared" si="3872"/>
        <v>3927</v>
      </c>
      <c r="R3868" s="163">
        <f>IFERROR(__xludf.DUMMYFUNCTION("RANK(M3868,filter(M:M,C:C=C3868))"),359.0)</f>
        <v>359</v>
      </c>
      <c r="S3868" s="161" t="b">
        <f t="shared" si="5"/>
        <v>0</v>
      </c>
      <c r="T3868" s="161" t="b">
        <f t="array" ref="T3868">index('Query Tool'!B:B,match(H3868,'Query Tool'!C:C,0))</f>
        <v>1</v>
      </c>
      <c r="U3868" s="161" t="b">
        <f t="array" ref="U3868">index('Query Tool'!B:B,match(C3868,'Query Tool'!C:C,0))</f>
        <v>1</v>
      </c>
      <c r="V3868" s="161" t="b">
        <f>F3868&gt;='Query Tool'!C$32</f>
        <v>0</v>
      </c>
      <c r="W3868" s="161" t="b">
        <f t="array" ref="W3868">index(Dropdowns!B:B,match(I3868,Dropdowns!A:A,0))</f>
        <v>1</v>
      </c>
      <c r="X3868" s="161" t="b">
        <f t="array" ref="X3868">index('Query Tool'!B:B,match(D3868,'Query Tool'!C:C,0))</f>
        <v>1</v>
      </c>
      <c r="Y3868" s="161" t="str">
        <f t="shared" si="6"/>
        <v>bongais01,2020-21</v>
      </c>
      <c r="Z3868" s="168" t="str">
        <f t="array" ref="Z3868">iferror(index(I:I,match($A3868&amp;","&amp;index('Year Conversion'!$A:$A,match($C3868,'Year Conversion'!$B:$B,0)),$Y:$Y,0))-I3868,"")</f>
        <v/>
      </c>
      <c r="AA3868" s="168" t="str">
        <f t="array" ref="AA3868">iferror(index(J:J,match($A3868&amp;","&amp;index('Year Conversion'!$A:$A,match($C3868,'Year Conversion'!$B:$B,0)),$Y:$Y,0))-J3868,"")</f>
        <v/>
      </c>
      <c r="AB3868" s="168" t="str">
        <f t="array" ref="AB3868">iferror(index(K:K,match($A3868&amp;","&amp;index('Year Conversion'!$A:$A,match($C3868,'Year Conversion'!$B:$B,0)),$Y:$Y,0))-K3868,"")</f>
        <v/>
      </c>
      <c r="AC3868" s="168" t="str">
        <f t="shared" si="7"/>
        <v>WAS,2020-21</v>
      </c>
    </row>
    <row r="3869">
      <c r="A3869" s="161" t="str">
        <f>IFERROR(__xludf.DUMMYFUNCTION("""COMPUTED_VALUE"""),"martike03")</f>
        <v>martike03</v>
      </c>
      <c r="B3869" s="161" t="str">
        <f>IFERROR(__xludf.DUMMYFUNCTION("""COMPUTED_VALUE"""),"Kelan Martin")</f>
        <v>Kelan Martin</v>
      </c>
      <c r="C3869" s="162" t="str">
        <f>IFERROR(__xludf.DUMMYFUNCTION("""COMPUTED_VALUE"""),"2020-21")</f>
        <v>2020-21</v>
      </c>
      <c r="D3869" s="163" t="str">
        <f>IFERROR(__xludf.DUMMYFUNCTION("""COMPUTED_VALUE"""),"IND")</f>
        <v>IND</v>
      </c>
      <c r="E3869" s="164" t="str">
        <f>IFERROR(__xludf.DUMMYFUNCTION("""COMPUTED_VALUE"""),"Secondary Ball Handler")</f>
        <v>Secondary Ball Handler</v>
      </c>
      <c r="F3869" s="164">
        <f>IFERROR(__xludf.DUMMYFUNCTION("""COMPUTED_VALUE"""),42.7116666666667)</f>
        <v>42.71166667</v>
      </c>
      <c r="G3869" s="163">
        <f>IFERROR(__xludf.DUMMYFUNCTION("""COMPUTED_VALUE"""),11.0)</f>
        <v>11</v>
      </c>
      <c r="H3869" s="163" t="str">
        <f>IFERROR(__xludf.DUMMYFUNCTION("""COMPUTED_VALUE"""),"SF")</f>
        <v>SF</v>
      </c>
      <c r="I3869" s="163">
        <f>IFERROR(__xludf.DUMMYFUNCTION("""COMPUTED_VALUE"""),25.0)</f>
        <v>25</v>
      </c>
      <c r="J3869" s="165">
        <f>IFERROR(__xludf.DUMMYFUNCTION("""COMPUTED_VALUE"""),-1.1084641419005)</f>
        <v>-1.108464142</v>
      </c>
      <c r="K3869" s="165">
        <f>IFERROR(__xludf.DUMMYFUNCTION("""COMPUTED_VALUE"""),-0.363721989414656)</f>
        <v>-0.3637219894</v>
      </c>
      <c r="L3869" s="165">
        <f>IFERROR(__xludf.DUMMYFUNCTION("""COMPUTED_VALUE"""),-0.744742152485842)</f>
        <v>-0.7447421525</v>
      </c>
      <c r="M3869" s="166">
        <f t="shared" si="2"/>
        <v>0.0339824443</v>
      </c>
      <c r="N3869" s="167">
        <f t="shared" si="3"/>
        <v>3.882878788</v>
      </c>
      <c r="O3869" s="163">
        <f t="shared" ref="O3869:Q3869" si="3873">rank(I3869,I:I)</f>
        <v>1995</v>
      </c>
      <c r="P3869" s="163">
        <f t="shared" si="3873"/>
        <v>2623</v>
      </c>
      <c r="Q3869" s="163">
        <f t="shared" si="3873"/>
        <v>1878</v>
      </c>
      <c r="R3869" s="163">
        <f>IFERROR(__xludf.DUMMYFUNCTION("RANK(M3869,filter(M:M,C:C=C3869))"),399.0)</f>
        <v>399</v>
      </c>
      <c r="S3869" s="161" t="b">
        <f t="shared" si="5"/>
        <v>0</v>
      </c>
      <c r="T3869" s="161" t="b">
        <f t="array" ref="T3869">index('Query Tool'!B:B,match(H3869,'Query Tool'!C:C,0))</f>
        <v>1</v>
      </c>
      <c r="U3869" s="161" t="b">
        <f t="array" ref="U3869">index('Query Tool'!B:B,match(C3869,'Query Tool'!C:C,0))</f>
        <v>1</v>
      </c>
      <c r="V3869" s="161" t="b">
        <f>F3869&gt;='Query Tool'!C$32</f>
        <v>0</v>
      </c>
      <c r="W3869" s="161" t="b">
        <f t="array" ref="W3869">index(Dropdowns!B:B,match(I3869,Dropdowns!A:A,0))</f>
        <v>1</v>
      </c>
      <c r="X3869" s="161" t="b">
        <f t="array" ref="X3869">index('Query Tool'!B:B,match(D3869,'Query Tool'!C:C,0))</f>
        <v>1</v>
      </c>
      <c r="Y3869" s="161" t="str">
        <f t="shared" si="6"/>
        <v>martike03,2020-21</v>
      </c>
      <c r="Z3869" s="168" t="str">
        <f t="array" ref="Z3869">iferror(index(I:I,match($A3869&amp;","&amp;index('Year Conversion'!$A:$A,match($C3869,'Year Conversion'!$B:$B,0)),$Y:$Y,0))-I3869,"")</f>
        <v/>
      </c>
      <c r="AA3869" s="168" t="str">
        <f t="array" ref="AA3869">iferror(index(J:J,match($A3869&amp;","&amp;index('Year Conversion'!$A:$A,match($C3869,'Year Conversion'!$B:$B,0)),$Y:$Y,0))-J3869,"")</f>
        <v/>
      </c>
      <c r="AB3869" s="168" t="str">
        <f t="array" ref="AB3869">iferror(index(K:K,match($A3869&amp;","&amp;index('Year Conversion'!$A:$A,match($C3869,'Year Conversion'!$B:$B,0)),$Y:$Y,0))-K3869,"")</f>
        <v/>
      </c>
      <c r="AC3869" s="168" t="str">
        <f t="shared" si="7"/>
        <v>IND,2020-21</v>
      </c>
    </row>
    <row r="3870">
      <c r="A3870" s="161" t="str">
        <f>IFERROR(__xludf.DUMMYFUNCTION("""COMPUTED_VALUE"""),"clarkga01")</f>
        <v>clarkga01</v>
      </c>
      <c r="B3870" s="161" t="str">
        <f>IFERROR(__xludf.DUMMYFUNCTION("""COMPUTED_VALUE"""),"Gary Clark")</f>
        <v>Gary Clark</v>
      </c>
      <c r="C3870" s="162" t="str">
        <f>IFERROR(__xludf.DUMMYFUNCTION("""COMPUTED_VALUE"""),"2020-21")</f>
        <v>2020-21</v>
      </c>
      <c r="D3870" s="163" t="str">
        <f>IFERROR(__xludf.DUMMYFUNCTION("""COMPUTED_VALUE"""),"ORL")</f>
        <v>ORL</v>
      </c>
      <c r="E3870" s="164" t="str">
        <f>IFERROR(__xludf.DUMMYFUNCTION("""COMPUTED_VALUE"""),"Stationary Shooter")</f>
        <v>Stationary Shooter</v>
      </c>
      <c r="F3870" s="164">
        <f>IFERROR(__xludf.DUMMYFUNCTION("""COMPUTED_VALUE"""),545.08)</f>
        <v>545.08</v>
      </c>
      <c r="G3870" s="163">
        <f>IFERROR(__xludf.DUMMYFUNCTION("""COMPUTED_VALUE"""),26.0)</f>
        <v>26</v>
      </c>
      <c r="H3870" s="163" t="str">
        <f>IFERROR(__xludf.DUMMYFUNCTION("""COMPUTED_VALUE"""),"SF")</f>
        <v>SF</v>
      </c>
      <c r="I3870" s="163">
        <f>IFERROR(__xludf.DUMMYFUNCTION("""COMPUTED_VALUE"""),26.0)</f>
        <v>26</v>
      </c>
      <c r="J3870" s="165">
        <f>IFERROR(__xludf.DUMMYFUNCTION("""COMPUTED_VALUE"""),-2.26709286343393)</f>
        <v>-2.267092863</v>
      </c>
      <c r="K3870" s="165">
        <f>IFERROR(__xludf.DUMMYFUNCTION("""COMPUTED_VALUE"""),-1.81165126432498)</f>
        <v>-1.811651264</v>
      </c>
      <c r="L3870" s="165">
        <f>IFERROR(__xludf.DUMMYFUNCTION("""COMPUTED_VALUE"""),-0.455441599108948)</f>
        <v>-0.4554415991</v>
      </c>
      <c r="M3870" s="166">
        <f t="shared" si="2"/>
        <v>0.0131017493</v>
      </c>
      <c r="N3870" s="167">
        <f t="shared" si="3"/>
        <v>20.96461538</v>
      </c>
      <c r="O3870" s="163">
        <f t="shared" ref="O3870:Q3870" si="3874">rank(I3870,I:I)</f>
        <v>1665</v>
      </c>
      <c r="P3870" s="163">
        <f t="shared" si="3874"/>
        <v>3638</v>
      </c>
      <c r="Q3870" s="163">
        <f t="shared" si="3874"/>
        <v>3580</v>
      </c>
      <c r="R3870" s="163">
        <f>IFERROR(__xludf.DUMMYFUNCTION("RANK(M3870,filter(M:M,C:C=C3870))"),431.0)</f>
        <v>431</v>
      </c>
      <c r="S3870" s="161" t="b">
        <f t="shared" si="5"/>
        <v>1</v>
      </c>
      <c r="T3870" s="161" t="b">
        <f t="array" ref="T3870">index('Query Tool'!B:B,match(H3870,'Query Tool'!C:C,0))</f>
        <v>1</v>
      </c>
      <c r="U3870" s="161" t="b">
        <f t="array" ref="U3870">index('Query Tool'!B:B,match(C3870,'Query Tool'!C:C,0))</f>
        <v>1</v>
      </c>
      <c r="V3870" s="161" t="b">
        <f>F3870&gt;='Query Tool'!C$32</f>
        <v>1</v>
      </c>
      <c r="W3870" s="161" t="b">
        <f t="array" ref="W3870">index(Dropdowns!B:B,match(I3870,Dropdowns!A:A,0))</f>
        <v>1</v>
      </c>
      <c r="X3870" s="161" t="b">
        <f t="array" ref="X3870">index('Query Tool'!B:B,match(D3870,'Query Tool'!C:C,0))</f>
        <v>1</v>
      </c>
      <c r="Y3870" s="161" t="str">
        <f t="shared" si="6"/>
        <v>clarkga01,2020-21</v>
      </c>
      <c r="Z3870" s="168" t="str">
        <f t="array" ref="Z3870">iferror(index(I:I,match($A3870&amp;","&amp;index('Year Conversion'!$A:$A,match($C3870,'Year Conversion'!$B:$B,0)),$Y:$Y,0))-I3870,"")</f>
        <v/>
      </c>
      <c r="AA3870" s="168" t="str">
        <f t="array" ref="AA3870">iferror(index(J:J,match($A3870&amp;","&amp;index('Year Conversion'!$A:$A,match($C3870,'Year Conversion'!$B:$B,0)),$Y:$Y,0))-J3870,"")</f>
        <v/>
      </c>
      <c r="AB3870" s="168" t="str">
        <f t="array" ref="AB3870">iferror(index(K:K,match($A3870&amp;","&amp;index('Year Conversion'!$A:$A,match($C3870,'Year Conversion'!$B:$B,0)),$Y:$Y,0))-K3870,"")</f>
        <v/>
      </c>
      <c r="AC3870" s="168" t="str">
        <f t="shared" si="7"/>
        <v>ORL,2020-21</v>
      </c>
    </row>
    <row r="3871">
      <c r="A3871" s="161" t="str">
        <f>IFERROR(__xludf.DUMMYFUNCTION("""COMPUTED_VALUE"""),"gabriwe01")</f>
        <v>gabriwe01</v>
      </c>
      <c r="B3871" s="161" t="str">
        <f>IFERROR(__xludf.DUMMYFUNCTION("""COMPUTED_VALUE"""),"Wenyen Gabriel")</f>
        <v>Wenyen Gabriel</v>
      </c>
      <c r="C3871" s="162" t="str">
        <f>IFERROR(__xludf.DUMMYFUNCTION("""COMPUTED_VALUE"""),"2020-21")</f>
        <v>2020-21</v>
      </c>
      <c r="D3871" s="163" t="str">
        <f>IFERROR(__xludf.DUMMYFUNCTION("""COMPUTED_VALUE"""),"NOP")</f>
        <v>NOP</v>
      </c>
      <c r="E3871" s="164" t="str">
        <f>IFERROR(__xludf.DUMMYFUNCTION("""COMPUTED_VALUE"""),"Versatile Big")</f>
        <v>Versatile Big</v>
      </c>
      <c r="F3871" s="164">
        <f>IFERROR(__xludf.DUMMYFUNCTION("""COMPUTED_VALUE"""),12.4166666666667)</f>
        <v>12.41666667</v>
      </c>
      <c r="G3871" s="163">
        <f>IFERROR(__xludf.DUMMYFUNCTION("""COMPUTED_VALUE"""),4.0)</f>
        <v>4</v>
      </c>
      <c r="H3871" s="163" t="str">
        <f>IFERROR(__xludf.DUMMYFUNCTION("""COMPUTED_VALUE"""),"PF")</f>
        <v>PF</v>
      </c>
      <c r="I3871" s="163">
        <f>IFERROR(__xludf.DUMMYFUNCTION("""COMPUTED_VALUE"""),23.0)</f>
        <v>23</v>
      </c>
      <c r="J3871" s="165">
        <f>IFERROR(__xludf.DUMMYFUNCTION("""COMPUTED_VALUE"""),0.0891420703222424)</f>
        <v>0.08914207032</v>
      </c>
      <c r="K3871" s="165">
        <f>IFERROR(__xludf.DUMMYFUNCTION("""COMPUTED_VALUE"""),-0.359114041623142)</f>
        <v>-0.3591140416</v>
      </c>
      <c r="L3871" s="165">
        <f>IFERROR(__xludf.DUMMYFUNCTION("""COMPUTED_VALUE"""),0.448256111945385)</f>
        <v>0.4482561119</v>
      </c>
      <c r="M3871" s="166">
        <f t="shared" si="2"/>
        <v>0.0198885781</v>
      </c>
      <c r="N3871" s="167">
        <f t="shared" si="3"/>
        <v>3.104166667</v>
      </c>
      <c r="O3871" s="163">
        <f t="shared" ref="O3871:Q3871" si="3875">rank(I3871,I:I)</f>
        <v>2765</v>
      </c>
      <c r="P3871" s="163">
        <f t="shared" si="3875"/>
        <v>1204</v>
      </c>
      <c r="Q3871" s="163">
        <f t="shared" si="3875"/>
        <v>1875</v>
      </c>
      <c r="R3871" s="163">
        <f>IFERROR(__xludf.DUMMYFUNCTION("RANK(M3871,filter(M:M,C:C=C3871))"),419.0)</f>
        <v>419</v>
      </c>
      <c r="S3871" s="161" t="b">
        <f t="shared" si="5"/>
        <v>0</v>
      </c>
      <c r="T3871" s="161" t="b">
        <f t="array" ref="T3871">index('Query Tool'!B:B,match(H3871,'Query Tool'!C:C,0))</f>
        <v>1</v>
      </c>
      <c r="U3871" s="161" t="b">
        <f t="array" ref="U3871">index('Query Tool'!B:B,match(C3871,'Query Tool'!C:C,0))</f>
        <v>1</v>
      </c>
      <c r="V3871" s="161" t="b">
        <f>F3871&gt;='Query Tool'!C$32</f>
        <v>0</v>
      </c>
      <c r="W3871" s="161" t="b">
        <f t="array" ref="W3871">index(Dropdowns!B:B,match(I3871,Dropdowns!A:A,0))</f>
        <v>1</v>
      </c>
      <c r="X3871" s="161" t="b">
        <f t="array" ref="X3871">index('Query Tool'!B:B,match(D3871,'Query Tool'!C:C,0))</f>
        <v>1</v>
      </c>
      <c r="Y3871" s="161" t="str">
        <f t="shared" si="6"/>
        <v>gabriwe01,2020-21</v>
      </c>
      <c r="Z3871" s="168" t="str">
        <f t="array" ref="Z3871">iferror(index(I:I,match($A3871&amp;","&amp;index('Year Conversion'!$A:$A,match($C3871,'Year Conversion'!$B:$B,0)),$Y:$Y,0))-I3871,"")</f>
        <v/>
      </c>
      <c r="AA3871" s="168" t="str">
        <f t="array" ref="AA3871">iferror(index(J:J,match($A3871&amp;","&amp;index('Year Conversion'!$A:$A,match($C3871,'Year Conversion'!$B:$B,0)),$Y:$Y,0))-J3871,"")</f>
        <v/>
      </c>
      <c r="AB3871" s="168" t="str">
        <f t="array" ref="AB3871">iferror(index(K:K,match($A3871&amp;","&amp;index('Year Conversion'!$A:$A,match($C3871,'Year Conversion'!$B:$B,0)),$Y:$Y,0))-K3871,"")</f>
        <v/>
      </c>
      <c r="AC3871" s="168" t="str">
        <f t="shared" si="7"/>
        <v>NOP,2020-21</v>
      </c>
    </row>
    <row r="3872">
      <c r="A3872" s="161" t="str">
        <f>IFERROR(__xludf.DUMMYFUNCTION("""COMPUTED_VALUE"""),"adamsja01")</f>
        <v>adamsja01</v>
      </c>
      <c r="B3872" s="161" t="str">
        <f>IFERROR(__xludf.DUMMYFUNCTION("""COMPUTED_VALUE"""),"Jaylen Adams")</f>
        <v>Jaylen Adams</v>
      </c>
      <c r="C3872" s="162" t="str">
        <f>IFERROR(__xludf.DUMMYFUNCTION("""COMPUTED_VALUE"""),"2020-21")</f>
        <v>2020-21</v>
      </c>
      <c r="D3872" s="163" t="str">
        <f>IFERROR(__xludf.DUMMYFUNCTION("""COMPUTED_VALUE"""),"MIL")</f>
        <v>MIL</v>
      </c>
      <c r="E3872" s="164" t="str">
        <f>IFERROR(__xludf.DUMMYFUNCTION("""COMPUTED_VALUE"""),"Slasher")</f>
        <v>Slasher</v>
      </c>
      <c r="F3872" s="164">
        <f>IFERROR(__xludf.DUMMYFUNCTION("""COMPUTED_VALUE"""),18.12)</f>
        <v>18.12</v>
      </c>
      <c r="G3872" s="163">
        <f>IFERROR(__xludf.DUMMYFUNCTION("""COMPUTED_VALUE"""),7.0)</f>
        <v>7</v>
      </c>
      <c r="H3872" s="163" t="str">
        <f>IFERROR(__xludf.DUMMYFUNCTION("""COMPUTED_VALUE"""),"PG")</f>
        <v>PG</v>
      </c>
      <c r="I3872" s="163">
        <f>IFERROR(__xludf.DUMMYFUNCTION("""COMPUTED_VALUE"""),24.0)</f>
        <v>24</v>
      </c>
      <c r="J3872" s="165">
        <f>IFERROR(__xludf.DUMMYFUNCTION("""COMPUTED_VALUE"""),-1.08447011523565)</f>
        <v>-1.084470115</v>
      </c>
      <c r="K3872" s="165">
        <f>IFERROR(__xludf.DUMMYFUNCTION("""COMPUTED_VALUE"""),-0.693960658847548)</f>
        <v>-0.6939606588</v>
      </c>
      <c r="L3872" s="165">
        <f>IFERROR(__xludf.DUMMYFUNCTION("""COMPUTED_VALUE"""),-0.390509456388107)</f>
        <v>-0.3905094564</v>
      </c>
      <c r="M3872" s="166">
        <f t="shared" si="2"/>
        <v>0.01470836907</v>
      </c>
      <c r="N3872" s="167">
        <f t="shared" si="3"/>
        <v>2.588571429</v>
      </c>
      <c r="O3872" s="163">
        <f t="shared" ref="O3872:Q3872" si="3876">rank(I3872,I:I)</f>
        <v>2361</v>
      </c>
      <c r="P3872" s="163">
        <f t="shared" si="3876"/>
        <v>2597</v>
      </c>
      <c r="Q3872" s="163">
        <f t="shared" si="3876"/>
        <v>2407</v>
      </c>
      <c r="R3872" s="163">
        <f>IFERROR(__xludf.DUMMYFUNCTION("RANK(M3872,filter(M:M,C:C=C3872))"),426.0)</f>
        <v>426</v>
      </c>
      <c r="S3872" s="161" t="b">
        <f t="shared" si="5"/>
        <v>0</v>
      </c>
      <c r="T3872" s="161" t="b">
        <f t="array" ref="T3872">index('Query Tool'!B:B,match(H3872,'Query Tool'!C:C,0))</f>
        <v>1</v>
      </c>
      <c r="U3872" s="161" t="b">
        <f t="array" ref="U3872">index('Query Tool'!B:B,match(C3872,'Query Tool'!C:C,0))</f>
        <v>1</v>
      </c>
      <c r="V3872" s="161" t="b">
        <f>F3872&gt;='Query Tool'!C$32</f>
        <v>0</v>
      </c>
      <c r="W3872" s="161" t="b">
        <f t="array" ref="W3872">index(Dropdowns!B:B,match(I3872,Dropdowns!A:A,0))</f>
        <v>1</v>
      </c>
      <c r="X3872" s="161" t="b">
        <f t="array" ref="X3872">index('Query Tool'!B:B,match(D3872,'Query Tool'!C:C,0))</f>
        <v>1</v>
      </c>
      <c r="Y3872" s="161" t="str">
        <f t="shared" si="6"/>
        <v>adamsja01,2020-21</v>
      </c>
      <c r="Z3872" s="168" t="str">
        <f t="array" ref="Z3872">iferror(index(I:I,match($A3872&amp;","&amp;index('Year Conversion'!$A:$A,match($C3872,'Year Conversion'!$B:$B,0)),$Y:$Y,0))-I3872,"")</f>
        <v/>
      </c>
      <c r="AA3872" s="168" t="str">
        <f t="array" ref="AA3872">iferror(index(J:J,match($A3872&amp;","&amp;index('Year Conversion'!$A:$A,match($C3872,'Year Conversion'!$B:$B,0)),$Y:$Y,0))-J3872,"")</f>
        <v/>
      </c>
      <c r="AB3872" s="168" t="str">
        <f t="array" ref="AB3872">iferror(index(K:K,match($A3872&amp;","&amp;index('Year Conversion'!$A:$A,match($C3872,'Year Conversion'!$B:$B,0)),$Y:$Y,0))-K3872,"")</f>
        <v/>
      </c>
      <c r="AC3872" s="168" t="str">
        <f t="shared" si="7"/>
        <v>MIL,2020-21</v>
      </c>
    </row>
    <row r="3873">
      <c r="A3873" s="161" t="str">
        <f>IFERROR(__xludf.DUMMYFUNCTION("""COMPUTED_VALUE"""),"robindu01")</f>
        <v>robindu01</v>
      </c>
      <c r="B3873" s="161" t="str">
        <f>IFERROR(__xludf.DUMMYFUNCTION("""COMPUTED_VALUE"""),"Duncan Robinson")</f>
        <v>Duncan Robinson</v>
      </c>
      <c r="C3873" s="162" t="str">
        <f>IFERROR(__xludf.DUMMYFUNCTION("""COMPUTED_VALUE"""),"2020-21")</f>
        <v>2020-21</v>
      </c>
      <c r="D3873" s="163" t="str">
        <f>IFERROR(__xludf.DUMMYFUNCTION("""COMPUTED_VALUE"""),"MIA")</f>
        <v>MIA</v>
      </c>
      <c r="E3873" s="164" t="str">
        <f>IFERROR(__xludf.DUMMYFUNCTION("""COMPUTED_VALUE"""),"Movement Shooter")</f>
        <v>Movement Shooter</v>
      </c>
      <c r="F3873" s="164">
        <f>IFERROR(__xludf.DUMMYFUNCTION("""COMPUTED_VALUE"""),997.248333333333)</f>
        <v>997.2483333</v>
      </c>
      <c r="G3873" s="163">
        <f>IFERROR(__xludf.DUMMYFUNCTION("""COMPUTED_VALUE"""),30.0)</f>
        <v>30</v>
      </c>
      <c r="H3873" s="163" t="str">
        <f>IFERROR(__xludf.DUMMYFUNCTION("""COMPUTED_VALUE"""),"SF")</f>
        <v>SF</v>
      </c>
      <c r="I3873" s="163">
        <f>IFERROR(__xludf.DUMMYFUNCTION("""COMPUTED_VALUE"""),26.0)</f>
        <v>26</v>
      </c>
      <c r="J3873" s="165">
        <f>IFERROR(__xludf.DUMMYFUNCTION("""COMPUTED_VALUE"""),-1.36198706289862)</f>
        <v>-1.361987063</v>
      </c>
      <c r="K3873" s="165">
        <f>IFERROR(__xludf.DUMMYFUNCTION("""COMPUTED_VALUE"""),-1.44021355700786)</f>
        <v>-1.440213557</v>
      </c>
      <c r="L3873" s="165">
        <f>IFERROR(__xludf.DUMMYFUNCTION("""COMPUTED_VALUE"""),0.0782264941092427)</f>
        <v>0.07822649411</v>
      </c>
      <c r="M3873" s="166">
        <f t="shared" si="2"/>
        <v>0.6240658663</v>
      </c>
      <c r="N3873" s="167">
        <f t="shared" si="3"/>
        <v>33.24161111</v>
      </c>
      <c r="O3873" s="163">
        <f t="shared" ref="O3873:Q3873" si="3877">rank(I3873,I:I)</f>
        <v>1665</v>
      </c>
      <c r="P3873" s="163">
        <f t="shared" si="3877"/>
        <v>2914</v>
      </c>
      <c r="Q3873" s="163">
        <f t="shared" si="3877"/>
        <v>3289</v>
      </c>
      <c r="R3873" s="163">
        <f>IFERROR(__xludf.DUMMYFUNCTION("RANK(M3873,filter(M:M,C:C=C3873))"),166.0)</f>
        <v>166</v>
      </c>
      <c r="S3873" s="161" t="b">
        <f t="shared" si="5"/>
        <v>1</v>
      </c>
      <c r="T3873" s="161" t="b">
        <f t="array" ref="T3873">index('Query Tool'!B:B,match(H3873,'Query Tool'!C:C,0))</f>
        <v>1</v>
      </c>
      <c r="U3873" s="161" t="b">
        <f t="array" ref="U3873">index('Query Tool'!B:B,match(C3873,'Query Tool'!C:C,0))</f>
        <v>1</v>
      </c>
      <c r="V3873" s="161" t="b">
        <f>F3873&gt;='Query Tool'!C$32</f>
        <v>1</v>
      </c>
      <c r="W3873" s="161" t="b">
        <f t="array" ref="W3873">index(Dropdowns!B:B,match(I3873,Dropdowns!A:A,0))</f>
        <v>1</v>
      </c>
      <c r="X3873" s="161" t="b">
        <f t="array" ref="X3873">index('Query Tool'!B:B,match(D3873,'Query Tool'!C:C,0))</f>
        <v>1</v>
      </c>
      <c r="Y3873" s="161" t="str">
        <f t="shared" si="6"/>
        <v>robindu01,2020-21</v>
      </c>
      <c r="Z3873" s="168" t="str">
        <f t="array" ref="Z3873">iferror(index(I:I,match($A3873&amp;","&amp;index('Year Conversion'!$A:$A,match($C3873,'Year Conversion'!$B:$B,0)),$Y:$Y,0))-I3873,"")</f>
        <v/>
      </c>
      <c r="AA3873" s="168" t="str">
        <f t="array" ref="AA3873">iferror(index(J:J,match($A3873&amp;","&amp;index('Year Conversion'!$A:$A,match($C3873,'Year Conversion'!$B:$B,0)),$Y:$Y,0))-J3873,"")</f>
        <v/>
      </c>
      <c r="AB3873" s="168" t="str">
        <f t="array" ref="AB3873">iferror(index(K:K,match($A3873&amp;","&amp;index('Year Conversion'!$A:$A,match($C3873,'Year Conversion'!$B:$B,0)),$Y:$Y,0))-K3873,"")</f>
        <v/>
      </c>
      <c r="AC3873" s="168" t="str">
        <f t="shared" si="7"/>
        <v>MIA,2020-21</v>
      </c>
    </row>
    <row r="3874">
      <c r="A3874" s="161" t="str">
        <f>IFERROR(__xludf.DUMMYFUNCTION("""COMPUTED_VALUE"""),"nunnke01")</f>
        <v>nunnke01</v>
      </c>
      <c r="B3874" s="161" t="str">
        <f>IFERROR(__xludf.DUMMYFUNCTION("""COMPUTED_VALUE"""),"Kendrick Nunn")</f>
        <v>Kendrick Nunn</v>
      </c>
      <c r="C3874" s="162" t="str">
        <f>IFERROR(__xludf.DUMMYFUNCTION("""COMPUTED_VALUE"""),"2020-21")</f>
        <v>2020-21</v>
      </c>
      <c r="D3874" s="163" t="str">
        <f>IFERROR(__xludf.DUMMYFUNCTION("""COMPUTED_VALUE"""),"MIA")</f>
        <v>MIA</v>
      </c>
      <c r="E3874" s="164" t="str">
        <f>IFERROR(__xludf.DUMMYFUNCTION("""COMPUTED_VALUE"""),"Secondary Ball Handler")</f>
        <v>Secondary Ball Handler</v>
      </c>
      <c r="F3874" s="164">
        <f>IFERROR(__xludf.DUMMYFUNCTION("""COMPUTED_VALUE"""),638.328333333333)</f>
        <v>638.3283333</v>
      </c>
      <c r="G3874" s="163">
        <f>IFERROR(__xludf.DUMMYFUNCTION("""COMPUTED_VALUE"""),22.0)</f>
        <v>22</v>
      </c>
      <c r="H3874" s="163" t="str">
        <f>IFERROR(__xludf.DUMMYFUNCTION("""COMPUTED_VALUE"""),"PG")</f>
        <v>PG</v>
      </c>
      <c r="I3874" s="163">
        <f>IFERROR(__xludf.DUMMYFUNCTION("""COMPUTED_VALUE"""),25.0)</f>
        <v>25</v>
      </c>
      <c r="J3874" s="165">
        <f>IFERROR(__xludf.DUMMYFUNCTION("""COMPUTED_VALUE"""),-1.70815047789657)</f>
        <v>-1.708150478</v>
      </c>
      <c r="K3874" s="165">
        <f>IFERROR(__xludf.DUMMYFUNCTION("""COMPUTED_VALUE"""),-1.64888989558561)</f>
        <v>-1.648889896</v>
      </c>
      <c r="L3874" s="165">
        <f>IFERROR(__xludf.DUMMYFUNCTION("""COMPUTED_VALUE"""),-0.059260582310959)</f>
        <v>-0.05926058231</v>
      </c>
      <c r="M3874" s="166">
        <f t="shared" si="2"/>
        <v>0.2519445816</v>
      </c>
      <c r="N3874" s="167">
        <f t="shared" si="3"/>
        <v>29.01492424</v>
      </c>
      <c r="O3874" s="163">
        <f t="shared" ref="O3874:Q3874" si="3878">rank(I3874,I:I)</f>
        <v>1995</v>
      </c>
      <c r="P3874" s="163">
        <f t="shared" si="3878"/>
        <v>3251</v>
      </c>
      <c r="Q3874" s="163">
        <f t="shared" si="3878"/>
        <v>3483</v>
      </c>
      <c r="R3874" s="163">
        <f>IFERROR(__xludf.DUMMYFUNCTION("RANK(M3874,filter(M:M,C:C=C3874))"),264.0)</f>
        <v>264</v>
      </c>
      <c r="S3874" s="161" t="b">
        <f t="shared" si="5"/>
        <v>1</v>
      </c>
      <c r="T3874" s="161" t="b">
        <f t="array" ref="T3874">index('Query Tool'!B:B,match(H3874,'Query Tool'!C:C,0))</f>
        <v>1</v>
      </c>
      <c r="U3874" s="161" t="b">
        <f t="array" ref="U3874">index('Query Tool'!B:B,match(C3874,'Query Tool'!C:C,0))</f>
        <v>1</v>
      </c>
      <c r="V3874" s="161" t="b">
        <f>F3874&gt;='Query Tool'!C$32</f>
        <v>1</v>
      </c>
      <c r="W3874" s="161" t="b">
        <f t="array" ref="W3874">index(Dropdowns!B:B,match(I3874,Dropdowns!A:A,0))</f>
        <v>1</v>
      </c>
      <c r="X3874" s="161" t="b">
        <f t="array" ref="X3874">index('Query Tool'!B:B,match(D3874,'Query Tool'!C:C,0))</f>
        <v>1</v>
      </c>
      <c r="Y3874" s="161" t="str">
        <f t="shared" si="6"/>
        <v>nunnke01,2020-21</v>
      </c>
      <c r="Z3874" s="168" t="str">
        <f t="array" ref="Z3874">iferror(index(I:I,match($A3874&amp;","&amp;index('Year Conversion'!$A:$A,match($C3874,'Year Conversion'!$B:$B,0)),$Y:$Y,0))-I3874,"")</f>
        <v/>
      </c>
      <c r="AA3874" s="168" t="str">
        <f t="array" ref="AA3874">iferror(index(J:J,match($A3874&amp;","&amp;index('Year Conversion'!$A:$A,match($C3874,'Year Conversion'!$B:$B,0)),$Y:$Y,0))-J3874,"")</f>
        <v/>
      </c>
      <c r="AB3874" s="168" t="str">
        <f t="array" ref="AB3874">iferror(index(K:K,match($A3874&amp;","&amp;index('Year Conversion'!$A:$A,match($C3874,'Year Conversion'!$B:$B,0)),$Y:$Y,0))-K3874,"")</f>
        <v/>
      </c>
      <c r="AC3874" s="168" t="str">
        <f t="shared" si="7"/>
        <v>MIA,2020-21</v>
      </c>
    </row>
    <row r="3875">
      <c r="A3875" s="161" t="str">
        <f>IFERROR(__xludf.DUMMYFUNCTION("""COMPUTED_VALUE"""),"watanyu01")</f>
        <v>watanyu01</v>
      </c>
      <c r="B3875" s="161" t="str">
        <f>IFERROR(__xludf.DUMMYFUNCTION("""COMPUTED_VALUE"""),"Yuta Watanabe")</f>
        <v>Yuta Watanabe</v>
      </c>
      <c r="C3875" s="162" t="str">
        <f>IFERROR(__xludf.DUMMYFUNCTION("""COMPUTED_VALUE"""),"2020-21")</f>
        <v>2020-21</v>
      </c>
      <c r="D3875" s="163" t="str">
        <f>IFERROR(__xludf.DUMMYFUNCTION("""COMPUTED_VALUE"""),"TOR")</f>
        <v>TOR</v>
      </c>
      <c r="E3875" s="164" t="str">
        <f>IFERROR(__xludf.DUMMYFUNCTION("""COMPUTED_VALUE"""),"Athletic Finisher")</f>
        <v>Athletic Finisher</v>
      </c>
      <c r="F3875" s="164">
        <f>IFERROR(__xludf.DUMMYFUNCTION("""COMPUTED_VALUE"""),239.866666666667)</f>
        <v>239.8666667</v>
      </c>
      <c r="G3875" s="163">
        <f>IFERROR(__xludf.DUMMYFUNCTION("""COMPUTED_VALUE"""),20.0)</f>
        <v>20</v>
      </c>
      <c r="H3875" s="163" t="str">
        <f>IFERROR(__xludf.DUMMYFUNCTION("""COMPUTED_VALUE"""),"SF")</f>
        <v>SF</v>
      </c>
      <c r="I3875" s="163">
        <f>IFERROR(__xludf.DUMMYFUNCTION("""COMPUTED_VALUE"""),26.0)</f>
        <v>26</v>
      </c>
      <c r="J3875" s="165">
        <f>IFERROR(__xludf.DUMMYFUNCTION("""COMPUTED_VALUE"""),-1.15357753603452)</f>
        <v>-1.153577536</v>
      </c>
      <c r="K3875" s="165">
        <f>IFERROR(__xludf.DUMMYFUNCTION("""COMPUTED_VALUE"""),-1.70524402708455)</f>
        <v>-1.705244027</v>
      </c>
      <c r="L3875" s="165">
        <f>IFERROR(__xludf.DUMMYFUNCTION("""COMPUTED_VALUE"""),0.551666491050033)</f>
        <v>0.5516664911</v>
      </c>
      <c r="M3875" s="166">
        <f t="shared" si="2"/>
        <v>0.1835869922</v>
      </c>
      <c r="N3875" s="167">
        <f t="shared" si="3"/>
        <v>11.99333333</v>
      </c>
      <c r="O3875" s="163">
        <f t="shared" ref="O3875:Q3875" si="3879">rank(I3875,I:I)</f>
        <v>1665</v>
      </c>
      <c r="P3875" s="163">
        <f t="shared" si="3879"/>
        <v>2684</v>
      </c>
      <c r="Q3875" s="163">
        <f t="shared" si="3879"/>
        <v>3522</v>
      </c>
      <c r="R3875" s="163">
        <f>IFERROR(__xludf.DUMMYFUNCTION("RANK(M3875,filter(M:M,C:C=C3875))"),286.0)</f>
        <v>286</v>
      </c>
      <c r="S3875" s="161" t="b">
        <f t="shared" si="5"/>
        <v>0</v>
      </c>
      <c r="T3875" s="161" t="b">
        <f t="array" ref="T3875">index('Query Tool'!B:B,match(H3875,'Query Tool'!C:C,0))</f>
        <v>1</v>
      </c>
      <c r="U3875" s="161" t="b">
        <f t="array" ref="U3875">index('Query Tool'!B:B,match(C3875,'Query Tool'!C:C,0))</f>
        <v>1</v>
      </c>
      <c r="V3875" s="161" t="b">
        <f>F3875&gt;='Query Tool'!C$32</f>
        <v>0</v>
      </c>
      <c r="W3875" s="161" t="b">
        <f t="array" ref="W3875">index(Dropdowns!B:B,match(I3875,Dropdowns!A:A,0))</f>
        <v>1</v>
      </c>
      <c r="X3875" s="161" t="b">
        <f t="array" ref="X3875">index('Query Tool'!B:B,match(D3875,'Query Tool'!C:C,0))</f>
        <v>1</v>
      </c>
      <c r="Y3875" s="161" t="str">
        <f t="shared" si="6"/>
        <v>watanyu01,2020-21</v>
      </c>
      <c r="Z3875" s="168" t="str">
        <f t="array" ref="Z3875">iferror(index(I:I,match($A3875&amp;","&amp;index('Year Conversion'!$A:$A,match($C3875,'Year Conversion'!$B:$B,0)),$Y:$Y,0))-I3875,"")</f>
        <v/>
      </c>
      <c r="AA3875" s="168" t="str">
        <f t="array" ref="AA3875">iferror(index(J:J,match($A3875&amp;","&amp;index('Year Conversion'!$A:$A,match($C3875,'Year Conversion'!$B:$B,0)),$Y:$Y,0))-J3875,"")</f>
        <v/>
      </c>
      <c r="AB3875" s="168" t="str">
        <f t="array" ref="AB3875">iferror(index(K:K,match($A3875&amp;","&amp;index('Year Conversion'!$A:$A,match($C3875,'Year Conversion'!$B:$B,0)),$Y:$Y,0))-K3875,"")</f>
        <v/>
      </c>
      <c r="AC3875" s="168" t="str">
        <f t="shared" si="7"/>
        <v>TOR,2020-21</v>
      </c>
    </row>
    <row r="3876">
      <c r="A3876" s="161" t="str">
        <f>IFERROR(__xludf.DUMMYFUNCTION("""COMPUTED_VALUE"""),"mclaujo01")</f>
        <v>mclaujo01</v>
      </c>
      <c r="B3876" s="161" t="str">
        <f>IFERROR(__xludf.DUMMYFUNCTION("""COMPUTED_VALUE"""),"Jordan McLaughlin")</f>
        <v>Jordan McLaughlin</v>
      </c>
      <c r="C3876" s="162" t="str">
        <f>IFERROR(__xludf.DUMMYFUNCTION("""COMPUTED_VALUE"""),"2020-21")</f>
        <v>2020-21</v>
      </c>
      <c r="D3876" s="163" t="str">
        <f>IFERROR(__xludf.DUMMYFUNCTION("""COMPUTED_VALUE"""),"MIN")</f>
        <v>MIN</v>
      </c>
      <c r="E3876" s="164" t="str">
        <f>IFERROR(__xludf.DUMMYFUNCTION("""COMPUTED_VALUE"""),"Slasher")</f>
        <v>Slasher</v>
      </c>
      <c r="F3876" s="164">
        <f>IFERROR(__xludf.DUMMYFUNCTION("""COMPUTED_VALUE"""),352.323333333333)</f>
        <v>352.3233333</v>
      </c>
      <c r="G3876" s="163">
        <f>IFERROR(__xludf.DUMMYFUNCTION("""COMPUTED_VALUE"""),19.0)</f>
        <v>19</v>
      </c>
      <c r="H3876" s="163" t="str">
        <f>IFERROR(__xludf.DUMMYFUNCTION("""COMPUTED_VALUE"""),"PG")</f>
        <v>PG</v>
      </c>
      <c r="I3876" s="163">
        <f>IFERROR(__xludf.DUMMYFUNCTION("""COMPUTED_VALUE"""),24.0)</f>
        <v>24</v>
      </c>
      <c r="J3876" s="165">
        <f>IFERROR(__xludf.DUMMYFUNCTION("""COMPUTED_VALUE"""),-0.392533964939893)</f>
        <v>-0.3925339649</v>
      </c>
      <c r="K3876" s="165">
        <f>IFERROR(__xludf.DUMMYFUNCTION("""COMPUTED_VALUE"""),-0.729296785155156)</f>
        <v>-0.7292967852</v>
      </c>
      <c r="L3876" s="165">
        <f>IFERROR(__xludf.DUMMYFUNCTION("""COMPUTED_VALUE"""),0.336762820215264)</f>
        <v>0.3367628202</v>
      </c>
      <c r="M3876" s="166">
        <f t="shared" si="2"/>
        <v>0.4499453987</v>
      </c>
      <c r="N3876" s="167">
        <f t="shared" si="3"/>
        <v>18.54333333</v>
      </c>
      <c r="O3876" s="163">
        <f t="shared" ref="O3876:Q3876" si="3880">rank(I3876,I:I)</f>
        <v>2361</v>
      </c>
      <c r="P3876" s="163">
        <f t="shared" si="3880"/>
        <v>1720</v>
      </c>
      <c r="Q3876" s="163">
        <f t="shared" si="3880"/>
        <v>2452</v>
      </c>
      <c r="R3876" s="163">
        <f>IFERROR(__xludf.DUMMYFUNCTION("RANK(M3876,filter(M:M,C:C=C3876))"),203.0)</f>
        <v>203</v>
      </c>
      <c r="S3876" s="161" t="b">
        <f t="shared" si="5"/>
        <v>0</v>
      </c>
      <c r="T3876" s="161" t="b">
        <f t="array" ref="T3876">index('Query Tool'!B:B,match(H3876,'Query Tool'!C:C,0))</f>
        <v>1</v>
      </c>
      <c r="U3876" s="161" t="b">
        <f t="array" ref="U3876">index('Query Tool'!B:B,match(C3876,'Query Tool'!C:C,0))</f>
        <v>1</v>
      </c>
      <c r="V3876" s="161" t="b">
        <f>F3876&gt;='Query Tool'!C$32</f>
        <v>0</v>
      </c>
      <c r="W3876" s="161" t="b">
        <f t="array" ref="W3876">index(Dropdowns!B:B,match(I3876,Dropdowns!A:A,0))</f>
        <v>1</v>
      </c>
      <c r="X3876" s="161" t="b">
        <f t="array" ref="X3876">index('Query Tool'!B:B,match(D3876,'Query Tool'!C:C,0))</f>
        <v>1</v>
      </c>
      <c r="Y3876" s="161" t="str">
        <f t="shared" si="6"/>
        <v>mclaujo01,2020-21</v>
      </c>
      <c r="Z3876" s="168" t="str">
        <f t="array" ref="Z3876">iferror(index(I:I,match($A3876&amp;","&amp;index('Year Conversion'!$A:$A,match($C3876,'Year Conversion'!$B:$B,0)),$Y:$Y,0))-I3876,"")</f>
        <v/>
      </c>
      <c r="AA3876" s="168" t="str">
        <f t="array" ref="AA3876">iferror(index(J:J,match($A3876&amp;","&amp;index('Year Conversion'!$A:$A,match($C3876,'Year Conversion'!$B:$B,0)),$Y:$Y,0))-J3876,"")</f>
        <v/>
      </c>
      <c r="AB3876" s="168" t="str">
        <f t="array" ref="AB3876">iferror(index(K:K,match($A3876&amp;","&amp;index('Year Conversion'!$A:$A,match($C3876,'Year Conversion'!$B:$B,0)),$Y:$Y,0))-K3876,"")</f>
        <v/>
      </c>
      <c r="AC3876" s="168" t="str">
        <f t="shared" si="7"/>
        <v>MIN,2020-21</v>
      </c>
    </row>
    <row r="3877">
      <c r="A3877" s="161" t="str">
        <f>IFERROR(__xludf.DUMMYFUNCTION("""COMPUTED_VALUE"""),"goodwbr01")</f>
        <v>goodwbr01</v>
      </c>
      <c r="B3877" s="161" t="str">
        <f>IFERROR(__xludf.DUMMYFUNCTION("""COMPUTED_VALUE"""),"Brandon Goodwin")</f>
        <v>Brandon Goodwin</v>
      </c>
      <c r="C3877" s="162" t="str">
        <f>IFERROR(__xludf.DUMMYFUNCTION("""COMPUTED_VALUE"""),"2020-21")</f>
        <v>2020-21</v>
      </c>
      <c r="D3877" s="163" t="str">
        <f>IFERROR(__xludf.DUMMYFUNCTION("""COMPUTED_VALUE"""),"ATL")</f>
        <v>ATL</v>
      </c>
      <c r="E3877" s="164" t="str">
        <f>IFERROR(__xludf.DUMMYFUNCTION("""COMPUTED_VALUE"""),"Secondary Ball Handler")</f>
        <v>Secondary Ball Handler</v>
      </c>
      <c r="F3877" s="164">
        <f>IFERROR(__xludf.DUMMYFUNCTION("""COMPUTED_VALUE"""),285.241666666667)</f>
        <v>285.2416667</v>
      </c>
      <c r="G3877" s="163">
        <f>IFERROR(__xludf.DUMMYFUNCTION("""COMPUTED_VALUE"""),23.0)</f>
        <v>23</v>
      </c>
      <c r="H3877" s="163" t="str">
        <f>IFERROR(__xludf.DUMMYFUNCTION("""COMPUTED_VALUE"""),"PG")</f>
        <v>PG</v>
      </c>
      <c r="I3877" s="163">
        <f>IFERROR(__xludf.DUMMYFUNCTION("""COMPUTED_VALUE"""),25.0)</f>
        <v>25</v>
      </c>
      <c r="J3877" s="165">
        <f>IFERROR(__xludf.DUMMYFUNCTION("""COMPUTED_VALUE"""),-0.621166261782649)</f>
        <v>-0.6211662618</v>
      </c>
      <c r="K3877" s="165">
        <f>IFERROR(__xludf.DUMMYFUNCTION("""COMPUTED_VALUE"""),-0.226008149640768)</f>
        <v>-0.2260081496</v>
      </c>
      <c r="L3877" s="165">
        <f>IFERROR(__xludf.DUMMYFUNCTION("""COMPUTED_VALUE"""),-0.395158112141881)</f>
        <v>-0.3951581121</v>
      </c>
      <c r="M3877" s="166">
        <f t="shared" si="2"/>
        <v>0.3203569206</v>
      </c>
      <c r="N3877" s="167">
        <f t="shared" si="3"/>
        <v>12.40181159</v>
      </c>
      <c r="O3877" s="163">
        <f t="shared" ref="O3877:Q3877" si="3881">rank(I3877,I:I)</f>
        <v>1995</v>
      </c>
      <c r="P3877" s="163">
        <f t="shared" si="3881"/>
        <v>2025</v>
      </c>
      <c r="Q3877" s="163">
        <f t="shared" si="3881"/>
        <v>1612</v>
      </c>
      <c r="R3877" s="163">
        <f>IFERROR(__xludf.DUMMYFUNCTION("RANK(M3877,filter(M:M,C:C=C3877))"),238.0)</f>
        <v>238</v>
      </c>
      <c r="S3877" s="161" t="b">
        <f t="shared" si="5"/>
        <v>0</v>
      </c>
      <c r="T3877" s="161" t="b">
        <f t="array" ref="T3877">index('Query Tool'!B:B,match(H3877,'Query Tool'!C:C,0))</f>
        <v>1</v>
      </c>
      <c r="U3877" s="161" t="b">
        <f t="array" ref="U3877">index('Query Tool'!B:B,match(C3877,'Query Tool'!C:C,0))</f>
        <v>1</v>
      </c>
      <c r="V3877" s="161" t="b">
        <f>F3877&gt;='Query Tool'!C$32</f>
        <v>0</v>
      </c>
      <c r="W3877" s="161" t="b">
        <f t="array" ref="W3877">index(Dropdowns!B:B,match(I3877,Dropdowns!A:A,0))</f>
        <v>1</v>
      </c>
      <c r="X3877" s="161" t="b">
        <f t="array" ref="X3877">index('Query Tool'!B:B,match(D3877,'Query Tool'!C:C,0))</f>
        <v>1</v>
      </c>
      <c r="Y3877" s="161" t="str">
        <f t="shared" si="6"/>
        <v>goodwbr01,2020-21</v>
      </c>
      <c r="Z3877" s="168" t="str">
        <f t="array" ref="Z3877">iferror(index(I:I,match($A3877&amp;","&amp;index('Year Conversion'!$A:$A,match($C3877,'Year Conversion'!$B:$B,0)),$Y:$Y,0))-I3877,"")</f>
        <v/>
      </c>
      <c r="AA3877" s="168" t="str">
        <f t="array" ref="AA3877">iferror(index(J:J,match($A3877&amp;","&amp;index('Year Conversion'!$A:$A,match($C3877,'Year Conversion'!$B:$B,0)),$Y:$Y,0))-J3877,"")</f>
        <v/>
      </c>
      <c r="AB3877" s="168" t="str">
        <f t="array" ref="AB3877">iferror(index(K:K,match($A3877&amp;","&amp;index('Year Conversion'!$A:$A,match($C3877,'Year Conversion'!$B:$B,0)),$Y:$Y,0))-K3877,"")</f>
        <v/>
      </c>
      <c r="AC3877" s="168" t="str">
        <f t="shared" si="7"/>
        <v>ATL,2020-21</v>
      </c>
    </row>
    <row r="3878">
      <c r="A3878" s="161" t="str">
        <f>IFERROR(__xludf.DUMMYFUNCTION("""COMPUTED_VALUE"""),"chiozch01")</f>
        <v>chiozch01</v>
      </c>
      <c r="B3878" s="161" t="str">
        <f>IFERROR(__xludf.DUMMYFUNCTION("""COMPUTED_VALUE"""),"Chris Chiozza")</f>
        <v>Chris Chiozza</v>
      </c>
      <c r="C3878" s="162" t="str">
        <f>IFERROR(__xludf.DUMMYFUNCTION("""COMPUTED_VALUE"""),"2020-21")</f>
        <v>2020-21</v>
      </c>
      <c r="D3878" s="163" t="str">
        <f>IFERROR(__xludf.DUMMYFUNCTION("""COMPUTED_VALUE"""),"BRK")</f>
        <v>BRK</v>
      </c>
      <c r="E3878" s="164" t="str">
        <f>IFERROR(__xludf.DUMMYFUNCTION("""COMPUTED_VALUE"""),"Secondary Ball Handler")</f>
        <v>Secondary Ball Handler</v>
      </c>
      <c r="F3878" s="164">
        <f>IFERROR(__xludf.DUMMYFUNCTION("""COMPUTED_VALUE"""),111.053333333333)</f>
        <v>111.0533333</v>
      </c>
      <c r="G3878" s="163">
        <f>IFERROR(__xludf.DUMMYFUNCTION("""COMPUTED_VALUE"""),12.0)</f>
        <v>12</v>
      </c>
      <c r="H3878" s="163" t="str">
        <f>IFERROR(__xludf.DUMMYFUNCTION("""COMPUTED_VALUE"""),"PG")</f>
        <v>PG</v>
      </c>
      <c r="I3878" s="163">
        <f>IFERROR(__xludf.DUMMYFUNCTION("""COMPUTED_VALUE"""),25.0)</f>
        <v>25</v>
      </c>
      <c r="J3878" s="165">
        <f>IFERROR(__xludf.DUMMYFUNCTION("""COMPUTED_VALUE"""),0.0905999499328745)</f>
        <v>0.09059994993</v>
      </c>
      <c r="K3878" s="165">
        <f>IFERROR(__xludf.DUMMYFUNCTION("""COMPUTED_VALUE"""),0.702029607841368)</f>
        <v>0.7020296078</v>
      </c>
      <c r="L3878" s="165">
        <f>IFERROR(__xludf.DUMMYFUNCTION("""COMPUTED_VALUE"""),-0.611429657908493)</f>
        <v>-0.6114296579</v>
      </c>
      <c r="M3878" s="166">
        <f t="shared" si="2"/>
        <v>0.1779904561</v>
      </c>
      <c r="N3878" s="167">
        <f t="shared" si="3"/>
        <v>9.254444444</v>
      </c>
      <c r="O3878" s="163">
        <f t="shared" ref="O3878:Q3878" si="3882">rank(I3878,I:I)</f>
        <v>1995</v>
      </c>
      <c r="P3878" s="163">
        <f t="shared" si="3882"/>
        <v>1198</v>
      </c>
      <c r="Q3878" s="163">
        <f t="shared" si="3882"/>
        <v>652</v>
      </c>
      <c r="R3878" s="163">
        <f>IFERROR(__xludf.DUMMYFUNCTION("RANK(M3878,filter(M:M,C:C=C3878))"),289.0)</f>
        <v>289</v>
      </c>
      <c r="S3878" s="161" t="b">
        <f t="shared" si="5"/>
        <v>0</v>
      </c>
      <c r="T3878" s="161" t="b">
        <f t="array" ref="T3878">index('Query Tool'!B:B,match(H3878,'Query Tool'!C:C,0))</f>
        <v>1</v>
      </c>
      <c r="U3878" s="161" t="b">
        <f t="array" ref="U3878">index('Query Tool'!B:B,match(C3878,'Query Tool'!C:C,0))</f>
        <v>1</v>
      </c>
      <c r="V3878" s="161" t="b">
        <f>F3878&gt;='Query Tool'!C$32</f>
        <v>0</v>
      </c>
      <c r="W3878" s="161" t="b">
        <f t="array" ref="W3878">index(Dropdowns!B:B,match(I3878,Dropdowns!A:A,0))</f>
        <v>1</v>
      </c>
      <c r="X3878" s="161" t="b">
        <f t="array" ref="X3878">index('Query Tool'!B:B,match(D3878,'Query Tool'!C:C,0))</f>
        <v>1</v>
      </c>
      <c r="Y3878" s="161" t="str">
        <f t="shared" si="6"/>
        <v>chiozch01,2020-21</v>
      </c>
      <c r="Z3878" s="168" t="str">
        <f t="array" ref="Z3878">iferror(index(I:I,match($A3878&amp;","&amp;index('Year Conversion'!$A:$A,match($C3878,'Year Conversion'!$B:$B,0)),$Y:$Y,0))-I3878,"")</f>
        <v/>
      </c>
      <c r="AA3878" s="168" t="str">
        <f t="array" ref="AA3878">iferror(index(J:J,match($A3878&amp;","&amp;index('Year Conversion'!$A:$A,match($C3878,'Year Conversion'!$B:$B,0)),$Y:$Y,0))-J3878,"")</f>
        <v/>
      </c>
      <c r="AB3878" s="168" t="str">
        <f t="array" ref="AB3878">iferror(index(K:K,match($A3878&amp;","&amp;index('Year Conversion'!$A:$A,match($C3878,'Year Conversion'!$B:$B,0)),$Y:$Y,0))-K3878,"")</f>
        <v/>
      </c>
      <c r="AC3878" s="168" t="str">
        <f t="shared" si="7"/>
        <v>BRK,2020-21</v>
      </c>
    </row>
    <row r="3879">
      <c r="A3879" s="161" t="str">
        <f>IFERROR(__xludf.DUMMYFUNCTION("""COMPUTED_VALUE"""),"vincega01")</f>
        <v>vincega01</v>
      </c>
      <c r="B3879" s="161" t="str">
        <f>IFERROR(__xludf.DUMMYFUNCTION("""COMPUTED_VALUE"""),"Gabe Vincent")</f>
        <v>Gabe Vincent</v>
      </c>
      <c r="C3879" s="162" t="str">
        <f>IFERROR(__xludf.DUMMYFUNCTION("""COMPUTED_VALUE"""),"2020-21")</f>
        <v>2020-21</v>
      </c>
      <c r="D3879" s="163" t="str">
        <f>IFERROR(__xludf.DUMMYFUNCTION("""COMPUTED_VALUE"""),"MIA")</f>
        <v>MIA</v>
      </c>
      <c r="E3879" s="164" t="str">
        <f>IFERROR(__xludf.DUMMYFUNCTION("""COMPUTED_VALUE"""),"Secondary Ball Handler")</f>
        <v>Secondary Ball Handler</v>
      </c>
      <c r="F3879" s="164">
        <f>IFERROR(__xludf.DUMMYFUNCTION("""COMPUTED_VALUE"""),308.905)</f>
        <v>308.905</v>
      </c>
      <c r="G3879" s="163">
        <f>IFERROR(__xludf.DUMMYFUNCTION("""COMPUTED_VALUE"""),20.0)</f>
        <v>20</v>
      </c>
      <c r="H3879" s="163" t="str">
        <f>IFERROR(__xludf.DUMMYFUNCTION("""COMPUTED_VALUE"""),"PG")</f>
        <v>PG</v>
      </c>
      <c r="I3879" s="163">
        <f>IFERROR(__xludf.DUMMYFUNCTION("""COMPUTED_VALUE"""),24.0)</f>
        <v>24</v>
      </c>
      <c r="J3879" s="165">
        <f>IFERROR(__xludf.DUMMYFUNCTION("""COMPUTED_VALUE"""),-1.66448754425585)</f>
        <v>-1.664487544</v>
      </c>
      <c r="K3879" s="165">
        <f>IFERROR(__xludf.DUMMYFUNCTION("""COMPUTED_VALUE"""),-0.643294729928822)</f>
        <v>-0.6432947299</v>
      </c>
      <c r="L3879" s="165">
        <f>IFERROR(__xludf.DUMMYFUNCTION("""COMPUTED_VALUE"""),-1.02119281432703)</f>
        <v>-1.021192814</v>
      </c>
      <c r="M3879" s="166">
        <f t="shared" si="2"/>
        <v>0.1309093974</v>
      </c>
      <c r="N3879" s="167">
        <f t="shared" si="3"/>
        <v>15.44525</v>
      </c>
      <c r="O3879" s="163">
        <f t="shared" ref="O3879:Q3879" si="3883">rank(I3879,I:I)</f>
        <v>2361</v>
      </c>
      <c r="P3879" s="163">
        <f t="shared" si="3883"/>
        <v>3206</v>
      </c>
      <c r="Q3879" s="163">
        <f t="shared" si="3883"/>
        <v>2326</v>
      </c>
      <c r="R3879" s="163">
        <f>IFERROR(__xludf.DUMMYFUNCTION("RANK(M3879,filter(M:M,C:C=C3879))"),306.0)</f>
        <v>306</v>
      </c>
      <c r="S3879" s="161" t="b">
        <f t="shared" si="5"/>
        <v>0</v>
      </c>
      <c r="T3879" s="161" t="b">
        <f t="array" ref="T3879">index('Query Tool'!B:B,match(H3879,'Query Tool'!C:C,0))</f>
        <v>1</v>
      </c>
      <c r="U3879" s="161" t="b">
        <f t="array" ref="U3879">index('Query Tool'!B:B,match(C3879,'Query Tool'!C:C,0))</f>
        <v>1</v>
      </c>
      <c r="V3879" s="161" t="b">
        <f>F3879&gt;='Query Tool'!C$32</f>
        <v>0</v>
      </c>
      <c r="W3879" s="161" t="b">
        <f t="array" ref="W3879">index(Dropdowns!B:B,match(I3879,Dropdowns!A:A,0))</f>
        <v>1</v>
      </c>
      <c r="X3879" s="161" t="b">
        <f t="array" ref="X3879">index('Query Tool'!B:B,match(D3879,'Query Tool'!C:C,0))</f>
        <v>1</v>
      </c>
      <c r="Y3879" s="161" t="str">
        <f t="shared" si="6"/>
        <v>vincega01,2020-21</v>
      </c>
      <c r="Z3879" s="168" t="str">
        <f t="array" ref="Z3879">iferror(index(I:I,match($A3879&amp;","&amp;index('Year Conversion'!$A:$A,match($C3879,'Year Conversion'!$B:$B,0)),$Y:$Y,0))-I3879,"")</f>
        <v/>
      </c>
      <c r="AA3879" s="168" t="str">
        <f t="array" ref="AA3879">iferror(index(J:J,match($A3879&amp;","&amp;index('Year Conversion'!$A:$A,match($C3879,'Year Conversion'!$B:$B,0)),$Y:$Y,0))-J3879,"")</f>
        <v/>
      </c>
      <c r="AB3879" s="168" t="str">
        <f t="array" ref="AB3879">iferror(index(K:K,match($A3879&amp;","&amp;index('Year Conversion'!$A:$A,match($C3879,'Year Conversion'!$B:$B,0)),$Y:$Y,0))-K3879,"")</f>
        <v/>
      </c>
      <c r="AC3879" s="168" t="str">
        <f t="shared" si="7"/>
        <v>MIA,2020-21</v>
      </c>
    </row>
    <row r="3880">
      <c r="A3880" s="161" t="str">
        <f>IFERROR(__xludf.DUMMYFUNCTION("""COMPUTED_VALUE"""),"eubandr01")</f>
        <v>eubandr01</v>
      </c>
      <c r="B3880" s="161" t="str">
        <f>IFERROR(__xludf.DUMMYFUNCTION("""COMPUTED_VALUE"""),"Drew Eubanks")</f>
        <v>Drew Eubanks</v>
      </c>
      <c r="C3880" s="162" t="str">
        <f>IFERROR(__xludf.DUMMYFUNCTION("""COMPUTED_VALUE"""),"2020-21")</f>
        <v>2020-21</v>
      </c>
      <c r="D3880" s="163" t="str">
        <f>IFERROR(__xludf.DUMMYFUNCTION("""COMPUTED_VALUE"""),"SAS")</f>
        <v>SAS</v>
      </c>
      <c r="E3880" s="164" t="str">
        <f>IFERROR(__xludf.DUMMYFUNCTION("""COMPUTED_VALUE"""),"Roll + Cut Big")</f>
        <v>Roll + Cut Big</v>
      </c>
      <c r="F3880" s="164">
        <f>IFERROR(__xludf.DUMMYFUNCTION("""COMPUTED_VALUE"""),138.883333333333)</f>
        <v>138.8833333</v>
      </c>
      <c r="G3880" s="163">
        <f>IFERROR(__xludf.DUMMYFUNCTION("""COMPUTED_VALUE"""),11.0)</f>
        <v>11</v>
      </c>
      <c r="H3880" s="163" t="str">
        <f>IFERROR(__xludf.DUMMYFUNCTION("""COMPUTED_VALUE"""),"C")</f>
        <v>C</v>
      </c>
      <c r="I3880" s="163">
        <f>IFERROR(__xludf.DUMMYFUNCTION("""COMPUTED_VALUE"""),23.0)</f>
        <v>23</v>
      </c>
      <c r="J3880" s="165">
        <f>IFERROR(__xludf.DUMMYFUNCTION("""COMPUTED_VALUE"""),-0.989328158616675)</f>
        <v>-0.9893281586</v>
      </c>
      <c r="K3880" s="165">
        <f>IFERROR(__xludf.DUMMYFUNCTION("""COMPUTED_VALUE"""),-1.48748653644427)</f>
        <v>-1.487486536</v>
      </c>
      <c r="L3880" s="165">
        <f>IFERROR(__xludf.DUMMYFUNCTION("""COMPUTED_VALUE"""),0.498158377827597)</f>
        <v>0.4981583778</v>
      </c>
      <c r="M3880" s="166">
        <f t="shared" si="2"/>
        <v>0.1216030702</v>
      </c>
      <c r="N3880" s="167">
        <f t="shared" si="3"/>
        <v>12.62575758</v>
      </c>
      <c r="O3880" s="163">
        <f t="shared" ref="O3880:Q3880" si="3884">rank(I3880,I:I)</f>
        <v>2765</v>
      </c>
      <c r="P3880" s="163">
        <f t="shared" si="3884"/>
        <v>2491</v>
      </c>
      <c r="Q3880" s="163">
        <f t="shared" si="3884"/>
        <v>3341</v>
      </c>
      <c r="R3880" s="163">
        <f>IFERROR(__xludf.DUMMYFUNCTION("RANK(M3880,filter(M:M,C:C=C3880))"),314.0)</f>
        <v>314</v>
      </c>
      <c r="S3880" s="161" t="b">
        <f t="shared" si="5"/>
        <v>0</v>
      </c>
      <c r="T3880" s="161" t="b">
        <f t="array" ref="T3880">index('Query Tool'!B:B,match(H3880,'Query Tool'!C:C,0))</f>
        <v>1</v>
      </c>
      <c r="U3880" s="161" t="b">
        <f t="array" ref="U3880">index('Query Tool'!B:B,match(C3880,'Query Tool'!C:C,0))</f>
        <v>1</v>
      </c>
      <c r="V3880" s="161" t="b">
        <f>F3880&gt;='Query Tool'!C$32</f>
        <v>0</v>
      </c>
      <c r="W3880" s="161" t="b">
        <f t="array" ref="W3880">index(Dropdowns!B:B,match(I3880,Dropdowns!A:A,0))</f>
        <v>1</v>
      </c>
      <c r="X3880" s="161" t="b">
        <f t="array" ref="X3880">index('Query Tool'!B:B,match(D3880,'Query Tool'!C:C,0))</f>
        <v>1</v>
      </c>
      <c r="Y3880" s="161" t="str">
        <f t="shared" si="6"/>
        <v>eubandr01,2020-21</v>
      </c>
      <c r="Z3880" s="168" t="str">
        <f t="array" ref="Z3880">iferror(index(I:I,match($A3880&amp;","&amp;index('Year Conversion'!$A:$A,match($C3880,'Year Conversion'!$B:$B,0)),$Y:$Y,0))-I3880,"")</f>
        <v/>
      </c>
      <c r="AA3880" s="168" t="str">
        <f t="array" ref="AA3880">iferror(index(J:J,match($A3880&amp;","&amp;index('Year Conversion'!$A:$A,match($C3880,'Year Conversion'!$B:$B,0)),$Y:$Y,0))-J3880,"")</f>
        <v/>
      </c>
      <c r="AB3880" s="168" t="str">
        <f t="array" ref="AB3880">iferror(index(K:K,match($A3880&amp;","&amp;index('Year Conversion'!$A:$A,match($C3880,'Year Conversion'!$B:$B,0)),$Y:$Y,0))-K3880,"")</f>
        <v/>
      </c>
      <c r="AC3880" s="168" t="str">
        <f t="shared" si="7"/>
        <v>SAS,2020-21</v>
      </c>
    </row>
    <row r="3881">
      <c r="A3881" s="161" t="str">
        <f>IFERROR(__xludf.DUMMYFUNCTION("""COMPUTED_VALUE"""),"toscaju01")</f>
        <v>toscaju01</v>
      </c>
      <c r="B3881" s="161" t="str">
        <f>IFERROR(__xludf.DUMMYFUNCTION("""COMPUTED_VALUE"""),"Juan Toscano-Anderson")</f>
        <v>Juan Toscano-Anderson</v>
      </c>
      <c r="C3881" s="162" t="str">
        <f>IFERROR(__xludf.DUMMYFUNCTION("""COMPUTED_VALUE"""),"2020-21")</f>
        <v>2020-21</v>
      </c>
      <c r="D3881" s="163" t="str">
        <f>IFERROR(__xludf.DUMMYFUNCTION("""COMPUTED_VALUE"""),"GSW")</f>
        <v>GSW</v>
      </c>
      <c r="E3881" s="164" t="str">
        <f>IFERROR(__xludf.DUMMYFUNCTION("""COMPUTED_VALUE"""),"Stretch Big")</f>
        <v>Stretch Big</v>
      </c>
      <c r="F3881" s="164">
        <f>IFERROR(__xludf.DUMMYFUNCTION("""COMPUTED_VALUE"""),388.51)</f>
        <v>388.51</v>
      </c>
      <c r="G3881" s="163">
        <f>IFERROR(__xludf.DUMMYFUNCTION("""COMPUTED_VALUE"""),18.0)</f>
        <v>18</v>
      </c>
      <c r="H3881" s="163" t="str">
        <f>IFERROR(__xludf.DUMMYFUNCTION("""COMPUTED_VALUE"""),"SG")</f>
        <v>SG</v>
      </c>
      <c r="I3881" s="163">
        <f>IFERROR(__xludf.DUMMYFUNCTION("""COMPUTED_VALUE"""),27.0)</f>
        <v>27</v>
      </c>
      <c r="J3881" s="165">
        <f>IFERROR(__xludf.DUMMYFUNCTION("""COMPUTED_VALUE"""),-0.0744428059525943)</f>
        <v>-0.07444280595</v>
      </c>
      <c r="K3881" s="165">
        <f>IFERROR(__xludf.DUMMYFUNCTION("""COMPUTED_VALUE"""),-2.71107986720414)</f>
        <v>-2.711079867</v>
      </c>
      <c r="L3881" s="165">
        <f>IFERROR(__xludf.DUMMYFUNCTION("""COMPUTED_VALUE"""),2.63663706125155)</f>
        <v>2.636637061</v>
      </c>
      <c r="M3881" s="166">
        <f t="shared" si="2"/>
        <v>0.579454301</v>
      </c>
      <c r="N3881" s="167">
        <f t="shared" si="3"/>
        <v>21.58388889</v>
      </c>
      <c r="O3881" s="163">
        <f t="shared" ref="O3881:Q3881" si="3885">rank(I3881,I:I)</f>
        <v>1366</v>
      </c>
      <c r="P3881" s="163">
        <f t="shared" si="3885"/>
        <v>1362</v>
      </c>
      <c r="Q3881" s="163">
        <f t="shared" si="3885"/>
        <v>3936</v>
      </c>
      <c r="R3881" s="163">
        <f>IFERROR(__xludf.DUMMYFUNCTION("RANK(M3881,filter(M:M,C:C=C3881))"),177.0)</f>
        <v>177</v>
      </c>
      <c r="S3881" s="161" t="b">
        <f t="shared" si="5"/>
        <v>0</v>
      </c>
      <c r="T3881" s="161" t="b">
        <f t="array" ref="T3881">index('Query Tool'!B:B,match(H3881,'Query Tool'!C:C,0))</f>
        <v>1</v>
      </c>
      <c r="U3881" s="161" t="b">
        <f t="array" ref="U3881">index('Query Tool'!B:B,match(C3881,'Query Tool'!C:C,0))</f>
        <v>1</v>
      </c>
      <c r="V3881" s="161" t="b">
        <f>F3881&gt;='Query Tool'!C$32</f>
        <v>0</v>
      </c>
      <c r="W3881" s="161" t="b">
        <f t="array" ref="W3881">index(Dropdowns!B:B,match(I3881,Dropdowns!A:A,0))</f>
        <v>1</v>
      </c>
      <c r="X3881" s="161" t="b">
        <f t="array" ref="X3881">index('Query Tool'!B:B,match(D3881,'Query Tool'!C:C,0))</f>
        <v>1</v>
      </c>
      <c r="Y3881" s="161" t="str">
        <f t="shared" si="6"/>
        <v>toscaju01,2020-21</v>
      </c>
      <c r="Z3881" s="168" t="str">
        <f t="array" ref="Z3881">iferror(index(I:I,match($A3881&amp;","&amp;index('Year Conversion'!$A:$A,match($C3881,'Year Conversion'!$B:$B,0)),$Y:$Y,0))-I3881,"")</f>
        <v/>
      </c>
      <c r="AA3881" s="168" t="str">
        <f t="array" ref="AA3881">iferror(index(J:J,match($A3881&amp;","&amp;index('Year Conversion'!$A:$A,match($C3881,'Year Conversion'!$B:$B,0)),$Y:$Y,0))-J3881,"")</f>
        <v/>
      </c>
      <c r="AB3881" s="168" t="str">
        <f t="array" ref="AB3881">iferror(index(K:K,match($A3881&amp;","&amp;index('Year Conversion'!$A:$A,match($C3881,'Year Conversion'!$B:$B,0)),$Y:$Y,0))-K3881,"")</f>
        <v/>
      </c>
      <c r="AC3881" s="168" t="str">
        <f t="shared" si="7"/>
        <v>GSW,2020-21</v>
      </c>
    </row>
    <row r="3882">
      <c r="A3882" s="161" t="str">
        <f>IFERROR(__xludf.DUMMYFUNCTION("""COMPUTED_VALUE"""),"coffeam01")</f>
        <v>coffeam01</v>
      </c>
      <c r="B3882" s="161" t="str">
        <f>IFERROR(__xludf.DUMMYFUNCTION("""COMPUTED_VALUE"""),"Amir Coffey")</f>
        <v>Amir Coffey</v>
      </c>
      <c r="C3882" s="162" t="str">
        <f>IFERROR(__xludf.DUMMYFUNCTION("""COMPUTED_VALUE"""),"2020-21")</f>
        <v>2020-21</v>
      </c>
      <c r="D3882" s="163" t="str">
        <f>IFERROR(__xludf.DUMMYFUNCTION("""COMPUTED_VALUE"""),"LAC")</f>
        <v>LAC</v>
      </c>
      <c r="E3882" s="164" t="str">
        <f>IFERROR(__xludf.DUMMYFUNCTION("""COMPUTED_VALUE"""),"Stationary Shooter")</f>
        <v>Stationary Shooter</v>
      </c>
      <c r="F3882" s="164">
        <f>IFERROR(__xludf.DUMMYFUNCTION("""COMPUTED_VALUE"""),153.685)</f>
        <v>153.685</v>
      </c>
      <c r="G3882" s="163">
        <f>IFERROR(__xludf.DUMMYFUNCTION("""COMPUTED_VALUE"""),20.0)</f>
        <v>20</v>
      </c>
      <c r="H3882" s="163" t="str">
        <f>IFERROR(__xludf.DUMMYFUNCTION("""COMPUTED_VALUE"""),"SG")</f>
        <v>SG</v>
      </c>
      <c r="I3882" s="163">
        <f>IFERROR(__xludf.DUMMYFUNCTION("""COMPUTED_VALUE"""),23.0)</f>
        <v>23</v>
      </c>
      <c r="J3882" s="165">
        <f>IFERROR(__xludf.DUMMYFUNCTION("""COMPUTED_VALUE"""),-1.72764061689105)</f>
        <v>-1.727640617</v>
      </c>
      <c r="K3882" s="165">
        <f>IFERROR(__xludf.DUMMYFUNCTION("""COMPUTED_VALUE"""),-1.16047250684666)</f>
        <v>-1.160472507</v>
      </c>
      <c r="L3882" s="165">
        <f>IFERROR(__xludf.DUMMYFUNCTION("""COMPUTED_VALUE"""),-0.567168110044386)</f>
        <v>-0.56716811</v>
      </c>
      <c r="M3882" s="166">
        <f t="shared" si="2"/>
        <v>0.05866380655</v>
      </c>
      <c r="N3882" s="167">
        <f t="shared" si="3"/>
        <v>7.68425</v>
      </c>
      <c r="O3882" s="163">
        <f t="shared" ref="O3882:Q3882" si="3886">rank(I3882,I:I)</f>
        <v>2765</v>
      </c>
      <c r="P3882" s="163">
        <f t="shared" si="3886"/>
        <v>3268</v>
      </c>
      <c r="Q3882" s="163">
        <f t="shared" si="3886"/>
        <v>2999</v>
      </c>
      <c r="R3882" s="163">
        <f>IFERROR(__xludf.DUMMYFUNCTION("RANK(M3882,filter(M:M,C:C=C3882))"),369.0)</f>
        <v>369</v>
      </c>
      <c r="S3882" s="161" t="b">
        <f t="shared" si="5"/>
        <v>0</v>
      </c>
      <c r="T3882" s="161" t="b">
        <f t="array" ref="T3882">index('Query Tool'!B:B,match(H3882,'Query Tool'!C:C,0))</f>
        <v>1</v>
      </c>
      <c r="U3882" s="161" t="b">
        <f t="array" ref="U3882">index('Query Tool'!B:B,match(C3882,'Query Tool'!C:C,0))</f>
        <v>1</v>
      </c>
      <c r="V3882" s="161" t="b">
        <f>F3882&gt;='Query Tool'!C$32</f>
        <v>0</v>
      </c>
      <c r="W3882" s="161" t="b">
        <f t="array" ref="W3882">index(Dropdowns!B:B,match(I3882,Dropdowns!A:A,0))</f>
        <v>1</v>
      </c>
      <c r="X3882" s="161" t="b">
        <f t="array" ref="X3882">index('Query Tool'!B:B,match(D3882,'Query Tool'!C:C,0))</f>
        <v>1</v>
      </c>
      <c r="Y3882" s="161" t="str">
        <f t="shared" si="6"/>
        <v>coffeam01,2020-21</v>
      </c>
      <c r="Z3882" s="168" t="str">
        <f t="array" ref="Z3882">iferror(index(I:I,match($A3882&amp;","&amp;index('Year Conversion'!$A:$A,match($C3882,'Year Conversion'!$B:$B,0)),$Y:$Y,0))-I3882,"")</f>
        <v/>
      </c>
      <c r="AA3882" s="168" t="str">
        <f t="array" ref="AA3882">iferror(index(J:J,match($A3882&amp;","&amp;index('Year Conversion'!$A:$A,match($C3882,'Year Conversion'!$B:$B,0)),$Y:$Y,0))-J3882,"")</f>
        <v/>
      </c>
      <c r="AB3882" s="168" t="str">
        <f t="array" ref="AB3882">iferror(index(K:K,match($A3882&amp;","&amp;index('Year Conversion'!$A:$A,match($C3882,'Year Conversion'!$B:$B,0)),$Y:$Y,0))-K3882,"")</f>
        <v/>
      </c>
      <c r="AC3882" s="168" t="str">
        <f t="shared" si="7"/>
        <v>LAC,2020-21</v>
      </c>
    </row>
    <row r="3883">
      <c r="A3883" s="161" t="str">
        <f>IFERROR(__xludf.DUMMYFUNCTION("""COMPUTED_VALUE"""),"ellebcj01")</f>
        <v>ellebcj01</v>
      </c>
      <c r="B3883" s="161" t="str">
        <f>IFERROR(__xludf.DUMMYFUNCTION("""COMPUTED_VALUE"""),"CJ Elleby")</f>
        <v>CJ Elleby</v>
      </c>
      <c r="C3883" s="162" t="str">
        <f>IFERROR(__xludf.DUMMYFUNCTION("""COMPUTED_VALUE"""),"2020-21")</f>
        <v>2020-21</v>
      </c>
      <c r="D3883" s="163" t="str">
        <f>IFERROR(__xludf.DUMMYFUNCTION("""COMPUTED_VALUE"""),"POR")</f>
        <v>POR</v>
      </c>
      <c r="E3883" s="164" t="str">
        <f>IFERROR(__xludf.DUMMYFUNCTION("""COMPUTED_VALUE"""),"Stationary Shooter")</f>
        <v>Stationary Shooter</v>
      </c>
      <c r="F3883" s="164">
        <f>IFERROR(__xludf.DUMMYFUNCTION("""COMPUTED_VALUE"""),95.8166666666666)</f>
        <v>95.81666667</v>
      </c>
      <c r="G3883" s="163">
        <f>IFERROR(__xludf.DUMMYFUNCTION("""COMPUTED_VALUE"""),12.0)</f>
        <v>12</v>
      </c>
      <c r="H3883" s="163" t="str">
        <f>IFERROR(__xludf.DUMMYFUNCTION("""COMPUTED_VALUE"""),"SF")</f>
        <v>SF</v>
      </c>
      <c r="I3883" s="163">
        <f>IFERROR(__xludf.DUMMYFUNCTION("""COMPUTED_VALUE"""),20.0)</f>
        <v>20</v>
      </c>
      <c r="J3883" s="165">
        <f>IFERROR(__xludf.DUMMYFUNCTION("""COMPUTED_VALUE"""),-1.65338988380277)</f>
        <v>-1.653389884</v>
      </c>
      <c r="K3883" s="165">
        <f>IFERROR(__xludf.DUMMYFUNCTION("""COMPUTED_VALUE"""),-1.31974673798069)</f>
        <v>-1.319746738</v>
      </c>
      <c r="L3883" s="165">
        <f>IFERROR(__xludf.DUMMYFUNCTION("""COMPUTED_VALUE"""),-0.333643145822077)</f>
        <v>-0.3336431458</v>
      </c>
      <c r="M3883" s="166">
        <f t="shared" si="2"/>
        <v>0.04131442812</v>
      </c>
      <c r="N3883" s="167">
        <f t="shared" si="3"/>
        <v>7.984722222</v>
      </c>
      <c r="O3883" s="163">
        <f t="shared" ref="O3883:Q3883" si="3887">rank(I3883,I:I)</f>
        <v>3770</v>
      </c>
      <c r="P3883" s="163">
        <f t="shared" si="3887"/>
        <v>3198</v>
      </c>
      <c r="Q3883" s="163">
        <f t="shared" si="3887"/>
        <v>3172</v>
      </c>
      <c r="R3883" s="163">
        <f>IFERROR(__xludf.DUMMYFUNCTION("RANK(M3883,filter(M:M,C:C=C3883))"),389.0)</f>
        <v>389</v>
      </c>
      <c r="S3883" s="161" t="b">
        <f t="shared" si="5"/>
        <v>0</v>
      </c>
      <c r="T3883" s="161" t="b">
        <f t="array" ref="T3883">index('Query Tool'!B:B,match(H3883,'Query Tool'!C:C,0))</f>
        <v>1</v>
      </c>
      <c r="U3883" s="161" t="b">
        <f t="array" ref="U3883">index('Query Tool'!B:B,match(C3883,'Query Tool'!C:C,0))</f>
        <v>1</v>
      </c>
      <c r="V3883" s="161" t="b">
        <f>F3883&gt;='Query Tool'!C$32</f>
        <v>0</v>
      </c>
      <c r="W3883" s="161" t="b">
        <f t="array" ref="W3883">index(Dropdowns!B:B,match(I3883,Dropdowns!A:A,0))</f>
        <v>1</v>
      </c>
      <c r="X3883" s="161" t="b">
        <f t="array" ref="X3883">index('Query Tool'!B:B,match(D3883,'Query Tool'!C:C,0))</f>
        <v>1</v>
      </c>
      <c r="Y3883" s="161" t="str">
        <f t="shared" si="6"/>
        <v>ellebcj01,2020-21</v>
      </c>
      <c r="Z3883" s="168" t="str">
        <f t="array" ref="Z3883">iferror(index(I:I,match($A3883&amp;","&amp;index('Year Conversion'!$A:$A,match($C3883,'Year Conversion'!$B:$B,0)),$Y:$Y,0))-I3883,"")</f>
        <v/>
      </c>
      <c r="AA3883" s="168" t="str">
        <f t="array" ref="AA3883">iferror(index(J:J,match($A3883&amp;","&amp;index('Year Conversion'!$A:$A,match($C3883,'Year Conversion'!$B:$B,0)),$Y:$Y,0))-J3883,"")</f>
        <v/>
      </c>
      <c r="AB3883" s="168" t="str">
        <f t="array" ref="AB3883">iferror(index(K:K,match($A3883&amp;","&amp;index('Year Conversion'!$A:$A,match($C3883,'Year Conversion'!$B:$B,0)),$Y:$Y,0))-K3883,"")</f>
        <v/>
      </c>
      <c r="AC3883" s="168" t="str">
        <f t="shared" si="7"/>
        <v>POR,2020-21</v>
      </c>
    </row>
    <row r="3884">
      <c r="A3884" s="161" t="str">
        <f>IFERROR(__xludf.DUMMYFUNCTION("""COMPUTED_VALUE"""),"fallta01")</f>
        <v>fallta01</v>
      </c>
      <c r="B3884" s="161" t="str">
        <f>IFERROR(__xludf.DUMMYFUNCTION("""COMPUTED_VALUE"""),"Tacko Fall")</f>
        <v>Tacko Fall</v>
      </c>
      <c r="C3884" s="162" t="str">
        <f>IFERROR(__xludf.DUMMYFUNCTION("""COMPUTED_VALUE"""),"2020-21")</f>
        <v>2020-21</v>
      </c>
      <c r="D3884" s="163" t="str">
        <f>IFERROR(__xludf.DUMMYFUNCTION("""COMPUTED_VALUE"""),"BOS")</f>
        <v>BOS</v>
      </c>
      <c r="E3884" s="164" t="str">
        <f>IFERROR(__xludf.DUMMYFUNCTION("""COMPUTED_VALUE"""),"Post Scorer")</f>
        <v>Post Scorer</v>
      </c>
      <c r="F3884" s="164">
        <f>IFERROR(__xludf.DUMMYFUNCTION("""COMPUTED_VALUE"""),49.05)</f>
        <v>49.05</v>
      </c>
      <c r="G3884" s="163">
        <f>IFERROR(__xludf.DUMMYFUNCTION("""COMPUTED_VALUE"""),6.0)</f>
        <v>6</v>
      </c>
      <c r="H3884" s="163" t="str">
        <f>IFERROR(__xludf.DUMMYFUNCTION("""COMPUTED_VALUE"""),"C")</f>
        <v>C</v>
      </c>
      <c r="I3884" s="163">
        <f>IFERROR(__xludf.DUMMYFUNCTION("""COMPUTED_VALUE"""),25.0)</f>
        <v>25</v>
      </c>
      <c r="J3884" s="165">
        <f>IFERROR(__xludf.DUMMYFUNCTION("""COMPUTED_VALUE"""),0.157286577053239)</f>
        <v>0.1572865771</v>
      </c>
      <c r="K3884" s="165">
        <f>IFERROR(__xludf.DUMMYFUNCTION("""COMPUTED_VALUE"""),-0.0961948503922523)</f>
        <v>-0.09619485039</v>
      </c>
      <c r="L3884" s="165">
        <f>IFERROR(__xludf.DUMMYFUNCTION("""COMPUTED_VALUE"""),0.253481427445491)</f>
        <v>0.2534814274</v>
      </c>
      <c r="M3884" s="166">
        <f t="shared" si="2"/>
        <v>0.08081988271</v>
      </c>
      <c r="N3884" s="167">
        <f t="shared" si="3"/>
        <v>8.175</v>
      </c>
      <c r="O3884" s="163">
        <f t="shared" ref="O3884:Q3884" si="3888">rank(I3884,I:I)</f>
        <v>1995</v>
      </c>
      <c r="P3884" s="163">
        <f t="shared" si="3888"/>
        <v>1121</v>
      </c>
      <c r="Q3884" s="163">
        <f t="shared" si="3888"/>
        <v>1358</v>
      </c>
      <c r="R3884" s="163">
        <f>IFERROR(__xludf.DUMMYFUNCTION("RANK(M3884,filter(M:M,C:C=C3884))"),348.0)</f>
        <v>348</v>
      </c>
      <c r="S3884" s="161" t="b">
        <f t="shared" si="5"/>
        <v>0</v>
      </c>
      <c r="T3884" s="161" t="b">
        <f t="array" ref="T3884">index('Query Tool'!B:B,match(H3884,'Query Tool'!C:C,0))</f>
        <v>1</v>
      </c>
      <c r="U3884" s="161" t="b">
        <f t="array" ref="U3884">index('Query Tool'!B:B,match(C3884,'Query Tool'!C:C,0))</f>
        <v>1</v>
      </c>
      <c r="V3884" s="161" t="b">
        <f>F3884&gt;='Query Tool'!C$32</f>
        <v>0</v>
      </c>
      <c r="W3884" s="161" t="b">
        <f t="array" ref="W3884">index(Dropdowns!B:B,match(I3884,Dropdowns!A:A,0))</f>
        <v>1</v>
      </c>
      <c r="X3884" s="161" t="b">
        <f t="array" ref="X3884">index('Query Tool'!B:B,match(D3884,'Query Tool'!C:C,0))</f>
        <v>1</v>
      </c>
      <c r="Y3884" s="161" t="str">
        <f t="shared" si="6"/>
        <v>fallta01,2020-21</v>
      </c>
      <c r="Z3884" s="168" t="str">
        <f t="array" ref="Z3884">iferror(index(I:I,match($A3884&amp;","&amp;index('Year Conversion'!$A:$A,match($C3884,'Year Conversion'!$B:$B,0)),$Y:$Y,0))-I3884,"")</f>
        <v/>
      </c>
      <c r="AA3884" s="168" t="str">
        <f t="array" ref="AA3884">iferror(index(J:J,match($A3884&amp;","&amp;index('Year Conversion'!$A:$A,match($C3884,'Year Conversion'!$B:$B,0)),$Y:$Y,0))-J3884,"")</f>
        <v/>
      </c>
      <c r="AB3884" s="168" t="str">
        <f t="array" ref="AB3884">iferror(index(K:K,match($A3884&amp;","&amp;index('Year Conversion'!$A:$A,match($C3884,'Year Conversion'!$B:$B,0)),$Y:$Y,0))-K3884,"")</f>
        <v/>
      </c>
      <c r="AC3884" s="168" t="str">
        <f t="shared" si="7"/>
        <v>BOS,2020-21</v>
      </c>
    </row>
    <row r="3885">
      <c r="A3885" s="161" t="str">
        <f>IFERROR(__xludf.DUMMYFUNCTION("""COMPUTED_VALUE"""),"harpeja01")</f>
        <v>harpeja01</v>
      </c>
      <c r="B3885" s="161" t="str">
        <f>IFERROR(__xludf.DUMMYFUNCTION("""COMPUTED_VALUE"""),"Jared Harper")</f>
        <v>Jared Harper</v>
      </c>
      <c r="C3885" s="162" t="str">
        <f>IFERROR(__xludf.DUMMYFUNCTION("""COMPUTED_VALUE"""),"2020-21")</f>
        <v>2020-21</v>
      </c>
      <c r="D3885" s="163" t="str">
        <f>IFERROR(__xludf.DUMMYFUNCTION("""COMPUTED_VALUE"""),"NYK")</f>
        <v>NYK</v>
      </c>
      <c r="E3885" s="164" t="str">
        <f>IFERROR(__xludf.DUMMYFUNCTION("""COMPUTED_VALUE"""),"Slasher")</f>
        <v>Slasher</v>
      </c>
      <c r="F3885" s="164">
        <f>IFERROR(__xludf.DUMMYFUNCTION("""COMPUTED_VALUE"""),5.26666666666667)</f>
        <v>5.266666667</v>
      </c>
      <c r="G3885" s="163">
        <f>IFERROR(__xludf.DUMMYFUNCTION("""COMPUTED_VALUE"""),2.0)</f>
        <v>2</v>
      </c>
      <c r="H3885" s="163" t="str">
        <f>IFERROR(__xludf.DUMMYFUNCTION("""COMPUTED_VALUE"""),"PG")</f>
        <v>PG</v>
      </c>
      <c r="I3885" s="163">
        <f>IFERROR(__xludf.DUMMYFUNCTION("""COMPUTED_VALUE"""),23.0)</f>
        <v>23</v>
      </c>
      <c r="J3885" s="165">
        <f>IFERROR(__xludf.DUMMYFUNCTION("""COMPUTED_VALUE"""),-0.819377693454034)</f>
        <v>-0.8193776935</v>
      </c>
      <c r="K3885" s="165">
        <f>IFERROR(__xludf.DUMMYFUNCTION("""COMPUTED_VALUE"""),-0.121892813342739)</f>
        <v>-0.1218928133</v>
      </c>
      <c r="L3885" s="165">
        <f>IFERROR(__xludf.DUMMYFUNCTION("""COMPUTED_VALUE"""),-0.697484880111294)</f>
        <v>-0.6974848801</v>
      </c>
      <c r="M3885" s="166">
        <f t="shared" si="2"/>
        <v>0.005212763473</v>
      </c>
      <c r="N3885" s="167">
        <f t="shared" si="3"/>
        <v>2.633333333</v>
      </c>
      <c r="O3885" s="163">
        <f t="shared" ref="O3885:Q3885" si="3889">rank(I3885,I:I)</f>
        <v>2765</v>
      </c>
      <c r="P3885" s="163">
        <f t="shared" si="3889"/>
        <v>2311</v>
      </c>
      <c r="Q3885" s="163">
        <f t="shared" si="3889"/>
        <v>1408</v>
      </c>
      <c r="R3885" s="163">
        <f>IFERROR(__xludf.DUMMYFUNCTION("RANK(M3885,filter(M:M,C:C=C3885))"),444.0)</f>
        <v>444</v>
      </c>
      <c r="S3885" s="161" t="b">
        <f t="shared" si="5"/>
        <v>0</v>
      </c>
      <c r="T3885" s="161" t="b">
        <f t="array" ref="T3885">index('Query Tool'!B:B,match(H3885,'Query Tool'!C:C,0))</f>
        <v>1</v>
      </c>
      <c r="U3885" s="161" t="b">
        <f t="array" ref="U3885">index('Query Tool'!B:B,match(C3885,'Query Tool'!C:C,0))</f>
        <v>1</v>
      </c>
      <c r="V3885" s="161" t="b">
        <f>F3885&gt;='Query Tool'!C$32</f>
        <v>0</v>
      </c>
      <c r="W3885" s="161" t="b">
        <f t="array" ref="W3885">index(Dropdowns!B:B,match(I3885,Dropdowns!A:A,0))</f>
        <v>1</v>
      </c>
      <c r="X3885" s="161" t="b">
        <f t="array" ref="X3885">index('Query Tool'!B:B,match(D3885,'Query Tool'!C:C,0))</f>
        <v>1</v>
      </c>
      <c r="Y3885" s="161" t="str">
        <f t="shared" si="6"/>
        <v>harpeja01,2020-21</v>
      </c>
      <c r="Z3885" s="168" t="str">
        <f t="array" ref="Z3885">iferror(index(I:I,match($A3885&amp;","&amp;index('Year Conversion'!$A:$A,match($C3885,'Year Conversion'!$B:$B,0)),$Y:$Y,0))-I3885,"")</f>
        <v/>
      </c>
      <c r="AA3885" s="168" t="str">
        <f t="array" ref="AA3885">iferror(index(J:J,match($A3885&amp;","&amp;index('Year Conversion'!$A:$A,match($C3885,'Year Conversion'!$B:$B,0)),$Y:$Y,0))-J3885,"")</f>
        <v/>
      </c>
      <c r="AB3885" s="168" t="str">
        <f t="array" ref="AB3885">iferror(index(K:K,match($A3885&amp;","&amp;index('Year Conversion'!$A:$A,match($C3885,'Year Conversion'!$B:$B,0)),$Y:$Y,0))-K3885,"")</f>
        <v/>
      </c>
      <c r="AC3885" s="168" t="str">
        <f t="shared" si="7"/>
        <v>NYK,2020-21</v>
      </c>
    </row>
    <row r="3886">
      <c r="A3886" s="161" t="str">
        <f>IFERROR(__xludf.DUMMYFUNCTION("""COMPUTED_VALUE"""),"jeffrda01")</f>
        <v>jeffrda01</v>
      </c>
      <c r="B3886" s="161" t="str">
        <f>IFERROR(__xludf.DUMMYFUNCTION("""COMPUTED_VALUE"""),"DaQuan Jeffries")</f>
        <v>DaQuan Jeffries</v>
      </c>
      <c r="C3886" s="162" t="str">
        <f>IFERROR(__xludf.DUMMYFUNCTION("""COMPUTED_VALUE"""),"2020-21")</f>
        <v>2020-21</v>
      </c>
      <c r="D3886" s="163" t="str">
        <f>IFERROR(__xludf.DUMMYFUNCTION("""COMPUTED_VALUE"""),"SAC")</f>
        <v>SAC</v>
      </c>
      <c r="E3886" s="164" t="str">
        <f>IFERROR(__xludf.DUMMYFUNCTION("""COMPUTED_VALUE"""),"Movement Shooter")</f>
        <v>Movement Shooter</v>
      </c>
      <c r="F3886" s="164">
        <f>IFERROR(__xludf.DUMMYFUNCTION("""COMPUTED_VALUE"""),115.54)</f>
        <v>115.54</v>
      </c>
      <c r="G3886" s="163">
        <f>IFERROR(__xludf.DUMMYFUNCTION("""COMPUTED_VALUE"""),6.0)</f>
        <v>6</v>
      </c>
      <c r="H3886" s="163" t="str">
        <f>IFERROR(__xludf.DUMMYFUNCTION("""COMPUTED_VALUE"""),"SG")</f>
        <v>SG</v>
      </c>
      <c r="I3886" s="163">
        <f>IFERROR(__xludf.DUMMYFUNCTION("""COMPUTED_VALUE"""),23.0)</f>
        <v>23</v>
      </c>
      <c r="J3886" s="165">
        <f>IFERROR(__xludf.DUMMYFUNCTION("""COMPUTED_VALUE"""),0.15187884836559)</f>
        <v>0.1518788484</v>
      </c>
      <c r="K3886" s="165">
        <f>IFERROR(__xludf.DUMMYFUNCTION("""COMPUTED_VALUE"""),-0.132420090712379)</f>
        <v>-0.1324200907</v>
      </c>
      <c r="L3886" s="165">
        <f>IFERROR(__xludf.DUMMYFUNCTION("""COMPUTED_VALUE"""),0.284298939077969)</f>
        <v>0.2842989391</v>
      </c>
      <c r="M3886" s="166">
        <f t="shared" si="2"/>
        <v>0.1899545258</v>
      </c>
      <c r="N3886" s="167">
        <f t="shared" si="3"/>
        <v>19.25666667</v>
      </c>
      <c r="O3886" s="163">
        <f t="shared" ref="O3886:Q3886" si="3890">rank(I3886,I:I)</f>
        <v>2765</v>
      </c>
      <c r="P3886" s="163">
        <f t="shared" si="3890"/>
        <v>1129</v>
      </c>
      <c r="Q3886" s="163">
        <f t="shared" si="3890"/>
        <v>1445</v>
      </c>
      <c r="R3886" s="163">
        <f>IFERROR(__xludf.DUMMYFUNCTION("RANK(M3886,filter(M:M,C:C=C3886))"),283.0)</f>
        <v>283</v>
      </c>
      <c r="S3886" s="161" t="b">
        <f t="shared" si="5"/>
        <v>0</v>
      </c>
      <c r="T3886" s="161" t="b">
        <f t="array" ref="T3886">index('Query Tool'!B:B,match(H3886,'Query Tool'!C:C,0))</f>
        <v>1</v>
      </c>
      <c r="U3886" s="161" t="b">
        <f t="array" ref="U3886">index('Query Tool'!B:B,match(C3886,'Query Tool'!C:C,0))</f>
        <v>1</v>
      </c>
      <c r="V3886" s="161" t="b">
        <f>F3886&gt;='Query Tool'!C$32</f>
        <v>0</v>
      </c>
      <c r="W3886" s="161" t="b">
        <f t="array" ref="W3886">index(Dropdowns!B:B,match(I3886,Dropdowns!A:A,0))</f>
        <v>1</v>
      </c>
      <c r="X3886" s="161" t="b">
        <f t="array" ref="X3886">index('Query Tool'!B:B,match(D3886,'Query Tool'!C:C,0))</f>
        <v>1</v>
      </c>
      <c r="Y3886" s="161" t="str">
        <f t="shared" si="6"/>
        <v>jeffrda01,2020-21</v>
      </c>
      <c r="Z3886" s="168" t="str">
        <f t="array" ref="Z3886">iferror(index(I:I,match($A3886&amp;","&amp;index('Year Conversion'!$A:$A,match($C3886,'Year Conversion'!$B:$B,0)),$Y:$Y,0))-I3886,"")</f>
        <v/>
      </c>
      <c r="AA3886" s="168" t="str">
        <f t="array" ref="AA3886">iferror(index(J:J,match($A3886&amp;","&amp;index('Year Conversion'!$A:$A,match($C3886,'Year Conversion'!$B:$B,0)),$Y:$Y,0))-J3886,"")</f>
        <v/>
      </c>
      <c r="AB3886" s="168" t="str">
        <f t="array" ref="AB3886">iferror(index(K:K,match($A3886&amp;","&amp;index('Year Conversion'!$A:$A,match($C3886,'Year Conversion'!$B:$B,0)),$Y:$Y,0))-K3886,"")</f>
        <v/>
      </c>
      <c r="AC3886" s="168" t="str">
        <f t="shared" si="7"/>
        <v>SAC,2020-21</v>
      </c>
    </row>
    <row r="3887">
      <c r="A3887" s="161" t="str">
        <f>IFERROR(__xludf.DUMMYFUNCTION("""COMPUTED_VALUE"""),"mannte01")</f>
        <v>mannte01</v>
      </c>
      <c r="B3887" s="161" t="str">
        <f>IFERROR(__xludf.DUMMYFUNCTION("""COMPUTED_VALUE"""),"Terance Mann")</f>
        <v>Terance Mann</v>
      </c>
      <c r="C3887" s="162" t="str">
        <f>IFERROR(__xludf.DUMMYFUNCTION("""COMPUTED_VALUE"""),"2020-21")</f>
        <v>2020-21</v>
      </c>
      <c r="D3887" s="163" t="str">
        <f>IFERROR(__xludf.DUMMYFUNCTION("""COMPUTED_VALUE"""),"LAC")</f>
        <v>LAC</v>
      </c>
      <c r="E3887" s="164" t="str">
        <f>IFERROR(__xludf.DUMMYFUNCTION("""COMPUTED_VALUE"""),"Athletic Finisher")</f>
        <v>Athletic Finisher</v>
      </c>
      <c r="F3887" s="164">
        <f>IFERROR(__xludf.DUMMYFUNCTION("""COMPUTED_VALUE"""),438.211666666667)</f>
        <v>438.2116667</v>
      </c>
      <c r="G3887" s="163">
        <f>IFERROR(__xludf.DUMMYFUNCTION("""COMPUTED_VALUE"""),29.0)</f>
        <v>29</v>
      </c>
      <c r="H3887" s="163" t="str">
        <f>IFERROR(__xludf.DUMMYFUNCTION("""COMPUTED_VALUE"""),"SG")</f>
        <v>SG</v>
      </c>
      <c r="I3887" s="163">
        <f>IFERROR(__xludf.DUMMYFUNCTION("""COMPUTED_VALUE"""),24.0)</f>
        <v>24</v>
      </c>
      <c r="J3887" s="165">
        <f>IFERROR(__xludf.DUMMYFUNCTION("""COMPUTED_VALUE"""),-1.15032446915085)</f>
        <v>-1.150324469</v>
      </c>
      <c r="K3887" s="165">
        <f>IFERROR(__xludf.DUMMYFUNCTION("""COMPUTED_VALUE"""),-1.01761386228063)</f>
        <v>-1.017613862</v>
      </c>
      <c r="L3887" s="165">
        <f>IFERROR(__xludf.DUMMYFUNCTION("""COMPUTED_VALUE"""),-0.132710606870218)</f>
        <v>-0.1327106069</v>
      </c>
      <c r="M3887" s="166">
        <f t="shared" si="2"/>
        <v>0.3363502881</v>
      </c>
      <c r="N3887" s="167">
        <f t="shared" si="3"/>
        <v>15.11074713</v>
      </c>
      <c r="O3887" s="163">
        <f t="shared" ref="O3887:Q3887" si="3891">rank(I3887,I:I)</f>
        <v>2361</v>
      </c>
      <c r="P3887" s="163">
        <f t="shared" si="3891"/>
        <v>2681</v>
      </c>
      <c r="Q3887" s="163">
        <f t="shared" si="3891"/>
        <v>2829</v>
      </c>
      <c r="R3887" s="163">
        <f>IFERROR(__xludf.DUMMYFUNCTION("RANK(M3887,filter(M:M,C:C=C3887))"),233.0)</f>
        <v>233</v>
      </c>
      <c r="S3887" s="161" t="b">
        <f t="shared" si="5"/>
        <v>0</v>
      </c>
      <c r="T3887" s="161" t="b">
        <f t="array" ref="T3887">index('Query Tool'!B:B,match(H3887,'Query Tool'!C:C,0))</f>
        <v>1</v>
      </c>
      <c r="U3887" s="161" t="b">
        <f t="array" ref="U3887">index('Query Tool'!B:B,match(C3887,'Query Tool'!C:C,0))</f>
        <v>1</v>
      </c>
      <c r="V3887" s="161" t="b">
        <f>F3887&gt;='Query Tool'!C$32</f>
        <v>0</v>
      </c>
      <c r="W3887" s="161" t="b">
        <f t="array" ref="W3887">index(Dropdowns!B:B,match(I3887,Dropdowns!A:A,0))</f>
        <v>1</v>
      </c>
      <c r="X3887" s="161" t="b">
        <f t="array" ref="X3887">index('Query Tool'!B:B,match(D3887,'Query Tool'!C:C,0))</f>
        <v>1</v>
      </c>
      <c r="Y3887" s="161" t="str">
        <f t="shared" si="6"/>
        <v>mannte01,2020-21</v>
      </c>
      <c r="Z3887" s="168" t="str">
        <f t="array" ref="Z3887">iferror(index(I:I,match($A3887&amp;","&amp;index('Year Conversion'!$A:$A,match($C3887,'Year Conversion'!$B:$B,0)),$Y:$Y,0))-I3887,"")</f>
        <v/>
      </c>
      <c r="AA3887" s="168" t="str">
        <f t="array" ref="AA3887">iferror(index(J:J,match($A3887&amp;","&amp;index('Year Conversion'!$A:$A,match($C3887,'Year Conversion'!$B:$B,0)),$Y:$Y,0))-J3887,"")</f>
        <v/>
      </c>
      <c r="AB3887" s="168" t="str">
        <f t="array" ref="AB3887">iferror(index(K:K,match($A3887&amp;","&amp;index('Year Conversion'!$A:$A,match($C3887,'Year Conversion'!$B:$B,0)),$Y:$Y,0))-K3887,"")</f>
        <v/>
      </c>
      <c r="AC3887" s="168" t="str">
        <f t="shared" si="7"/>
        <v>LAC,2020-21</v>
      </c>
    </row>
    <row r="3888">
      <c r="A3888" s="161" t="str">
        <f>IFERROR(__xludf.DUMMYFUNCTION("""COMPUTED_VALUE"""),"perryre01")</f>
        <v>perryre01</v>
      </c>
      <c r="B3888" s="161" t="str">
        <f>IFERROR(__xludf.DUMMYFUNCTION("""COMPUTED_VALUE"""),"Reggie Perry")</f>
        <v>Reggie Perry</v>
      </c>
      <c r="C3888" s="162" t="str">
        <f>IFERROR(__xludf.DUMMYFUNCTION("""COMPUTED_VALUE"""),"2020-21")</f>
        <v>2020-21</v>
      </c>
      <c r="D3888" s="163" t="str">
        <f>IFERROR(__xludf.DUMMYFUNCTION("""COMPUTED_VALUE"""),"BRK")</f>
        <v>BRK</v>
      </c>
      <c r="E3888" s="164" t="str">
        <f>IFERROR(__xludf.DUMMYFUNCTION("""COMPUTED_VALUE"""),"Roll + Cut Big")</f>
        <v>Roll + Cut Big</v>
      </c>
      <c r="F3888" s="164">
        <f>IFERROR(__xludf.DUMMYFUNCTION("""COMPUTED_VALUE"""),147.196666666667)</f>
        <v>147.1966667</v>
      </c>
      <c r="G3888" s="163">
        <f>IFERROR(__xludf.DUMMYFUNCTION("""COMPUTED_VALUE"""),14.0)</f>
        <v>14</v>
      </c>
      <c r="H3888" s="163" t="str">
        <f>IFERROR(__xludf.DUMMYFUNCTION("""COMPUTED_VALUE"""),"PF")</f>
        <v>PF</v>
      </c>
      <c r="I3888" s="163">
        <f>IFERROR(__xludf.DUMMYFUNCTION("""COMPUTED_VALUE"""),20.0)</f>
        <v>20</v>
      </c>
      <c r="J3888" s="165">
        <f>IFERROR(__xludf.DUMMYFUNCTION("""COMPUTED_VALUE"""),-0.956806842699219)</f>
        <v>-0.9568068427</v>
      </c>
      <c r="K3888" s="165">
        <f>IFERROR(__xludf.DUMMYFUNCTION("""COMPUTED_VALUE"""),0.0915030479620377)</f>
        <v>0.09150304796</v>
      </c>
      <c r="L3888" s="165">
        <f>IFERROR(__xludf.DUMMYFUNCTION("""COMPUTED_VALUE"""),-1.04830989066126)</f>
        <v>-1.048309891</v>
      </c>
      <c r="M3888" s="166">
        <f t="shared" si="2"/>
        <v>0.1320966979</v>
      </c>
      <c r="N3888" s="167">
        <f t="shared" si="3"/>
        <v>10.51404762</v>
      </c>
      <c r="O3888" s="163">
        <f t="shared" ref="O3888:Q3888" si="3892">rank(I3888,I:I)</f>
        <v>3770</v>
      </c>
      <c r="P3888" s="163">
        <f t="shared" si="3892"/>
        <v>2459</v>
      </c>
      <c r="Q3888" s="163">
        <f t="shared" si="3892"/>
        <v>1077</v>
      </c>
      <c r="R3888" s="163">
        <f>IFERROR(__xludf.DUMMYFUNCTION("RANK(M3888,filter(M:M,C:C=C3888))"),304.0)</f>
        <v>304</v>
      </c>
      <c r="S3888" s="161" t="b">
        <f t="shared" si="5"/>
        <v>0</v>
      </c>
      <c r="T3888" s="161" t="b">
        <f t="array" ref="T3888">index('Query Tool'!B:B,match(H3888,'Query Tool'!C:C,0))</f>
        <v>1</v>
      </c>
      <c r="U3888" s="161" t="b">
        <f t="array" ref="U3888">index('Query Tool'!B:B,match(C3888,'Query Tool'!C:C,0))</f>
        <v>1</v>
      </c>
      <c r="V3888" s="161" t="b">
        <f>F3888&gt;='Query Tool'!C$32</f>
        <v>0</v>
      </c>
      <c r="W3888" s="161" t="b">
        <f t="array" ref="W3888">index(Dropdowns!B:B,match(I3888,Dropdowns!A:A,0))</f>
        <v>1</v>
      </c>
      <c r="X3888" s="161" t="b">
        <f t="array" ref="X3888">index('Query Tool'!B:B,match(D3888,'Query Tool'!C:C,0))</f>
        <v>1</v>
      </c>
      <c r="Y3888" s="161" t="str">
        <f t="shared" si="6"/>
        <v>perryre01,2020-21</v>
      </c>
      <c r="Z3888" s="168" t="str">
        <f t="array" ref="Z3888">iferror(index(I:I,match($A3888&amp;","&amp;index('Year Conversion'!$A:$A,match($C3888,'Year Conversion'!$B:$B,0)),$Y:$Y,0))-I3888,"")</f>
        <v/>
      </c>
      <c r="AA3888" s="168" t="str">
        <f t="array" ref="AA3888">iferror(index(J:J,match($A3888&amp;","&amp;index('Year Conversion'!$A:$A,match($C3888,'Year Conversion'!$B:$B,0)),$Y:$Y,0))-J3888,"")</f>
        <v/>
      </c>
      <c r="AB3888" s="168" t="str">
        <f t="array" ref="AB3888">iferror(index(K:K,match($A3888&amp;","&amp;index('Year Conversion'!$A:$A,match($C3888,'Year Conversion'!$B:$B,0)),$Y:$Y,0))-K3888,"")</f>
        <v/>
      </c>
      <c r="AC3888" s="168" t="str">
        <f t="shared" si="7"/>
        <v>BRK,2020-21</v>
      </c>
    </row>
    <row r="3889">
      <c r="A3889" s="161" t="str">
        <f>IFERROR(__xludf.DUMMYFUNCTION("""COMPUTED_VALUE"""),"strusma01")</f>
        <v>strusma01</v>
      </c>
      <c r="B3889" s="161" t="str">
        <f>IFERROR(__xludf.DUMMYFUNCTION("""COMPUTED_VALUE"""),"Max Strus")</f>
        <v>Max Strus</v>
      </c>
      <c r="C3889" s="162" t="str">
        <f>IFERROR(__xludf.DUMMYFUNCTION("""COMPUTED_VALUE"""),"2020-21")</f>
        <v>2020-21</v>
      </c>
      <c r="D3889" s="163" t="str">
        <f>IFERROR(__xludf.DUMMYFUNCTION("""COMPUTED_VALUE"""),"MIA")</f>
        <v>MIA</v>
      </c>
      <c r="E3889" s="164" t="str">
        <f>IFERROR(__xludf.DUMMYFUNCTION("""COMPUTED_VALUE"""),"Movement Shooter")</f>
        <v>Movement Shooter</v>
      </c>
      <c r="F3889" s="164">
        <f>IFERROR(__xludf.DUMMYFUNCTION("""COMPUTED_VALUE"""),246.706666666667)</f>
        <v>246.7066667</v>
      </c>
      <c r="G3889" s="163">
        <f>IFERROR(__xludf.DUMMYFUNCTION("""COMPUTED_VALUE"""),17.0)</f>
        <v>17</v>
      </c>
      <c r="H3889" s="163" t="str">
        <f>IFERROR(__xludf.DUMMYFUNCTION("""COMPUTED_VALUE"""),"SF")</f>
        <v>SF</v>
      </c>
      <c r="I3889" s="163">
        <f>IFERROR(__xludf.DUMMYFUNCTION("""COMPUTED_VALUE"""),24.0)</f>
        <v>24</v>
      </c>
      <c r="J3889" s="165">
        <f>IFERROR(__xludf.DUMMYFUNCTION("""COMPUTED_VALUE"""),-1.909823372924)</f>
        <v>-1.909823373</v>
      </c>
      <c r="K3889" s="165">
        <f>IFERROR(__xludf.DUMMYFUNCTION("""COMPUTED_VALUE"""),-0.659459487807242)</f>
        <v>-0.6594594878</v>
      </c>
      <c r="L3889" s="165">
        <f>IFERROR(__xludf.DUMMYFUNCTION("""COMPUTED_VALUE"""),-1.25036388511676)</f>
        <v>-1.250363885</v>
      </c>
      <c r="M3889" s="166">
        <f t="shared" si="2"/>
        <v>0.0642838527</v>
      </c>
      <c r="N3889" s="167">
        <f t="shared" si="3"/>
        <v>14.51215686</v>
      </c>
      <c r="O3889" s="163">
        <f t="shared" ref="O3889:Q3889" si="3893">rank(I3889,I:I)</f>
        <v>2361</v>
      </c>
      <c r="P3889" s="163">
        <f t="shared" si="3893"/>
        <v>3425</v>
      </c>
      <c r="Q3889" s="163">
        <f t="shared" si="3893"/>
        <v>2348</v>
      </c>
      <c r="R3889" s="163">
        <f>IFERROR(__xludf.DUMMYFUNCTION("RANK(M3889,filter(M:M,C:C=C3889))"),362.0)</f>
        <v>362</v>
      </c>
      <c r="S3889" s="161" t="b">
        <f t="shared" si="5"/>
        <v>0</v>
      </c>
      <c r="T3889" s="161" t="b">
        <f t="array" ref="T3889">index('Query Tool'!B:B,match(H3889,'Query Tool'!C:C,0))</f>
        <v>1</v>
      </c>
      <c r="U3889" s="161" t="b">
        <f t="array" ref="U3889">index('Query Tool'!B:B,match(C3889,'Query Tool'!C:C,0))</f>
        <v>1</v>
      </c>
      <c r="V3889" s="161" t="b">
        <f>F3889&gt;='Query Tool'!C$32</f>
        <v>0</v>
      </c>
      <c r="W3889" s="161" t="b">
        <f t="array" ref="W3889">index(Dropdowns!B:B,match(I3889,Dropdowns!A:A,0))</f>
        <v>1</v>
      </c>
      <c r="X3889" s="161" t="b">
        <f t="array" ref="X3889">index('Query Tool'!B:B,match(D3889,'Query Tool'!C:C,0))</f>
        <v>1</v>
      </c>
      <c r="Y3889" s="161" t="str">
        <f t="shared" si="6"/>
        <v>strusma01,2020-21</v>
      </c>
      <c r="Z3889" s="168" t="str">
        <f t="array" ref="Z3889">iferror(index(I:I,match($A3889&amp;","&amp;index('Year Conversion'!$A:$A,match($C3889,'Year Conversion'!$B:$B,0)),$Y:$Y,0))-I3889,"")</f>
        <v/>
      </c>
      <c r="AA3889" s="168" t="str">
        <f t="array" ref="AA3889">iferror(index(J:J,match($A3889&amp;","&amp;index('Year Conversion'!$A:$A,match($C3889,'Year Conversion'!$B:$B,0)),$Y:$Y,0))-J3889,"")</f>
        <v/>
      </c>
      <c r="AB3889" s="168" t="str">
        <f t="array" ref="AB3889">iferror(index(K:K,match($A3889&amp;","&amp;index('Year Conversion'!$A:$A,match($C3889,'Year Conversion'!$B:$B,0)),$Y:$Y,0))-K3889,"")</f>
        <v/>
      </c>
      <c r="AC3889" s="168" t="str">
        <f t="shared" si="7"/>
        <v>MIA,2020-21</v>
      </c>
    </row>
    <row r="3890">
      <c r="A3890" s="161" t="str">
        <f>IFERROR(__xludf.DUMMYFUNCTION("""COMPUTED_VALUE"""),"bolbo01")</f>
        <v>bolbo01</v>
      </c>
      <c r="B3890" s="161" t="str">
        <f>IFERROR(__xludf.DUMMYFUNCTION("""COMPUTED_VALUE"""),"Bol Bol")</f>
        <v>Bol Bol</v>
      </c>
      <c r="C3890" s="162" t="str">
        <f>IFERROR(__xludf.DUMMYFUNCTION("""COMPUTED_VALUE"""),"2020-21")</f>
        <v>2020-21</v>
      </c>
      <c r="D3890" s="163" t="str">
        <f>IFERROR(__xludf.DUMMYFUNCTION("""COMPUTED_VALUE"""),"DEN")</f>
        <v>DEN</v>
      </c>
      <c r="E3890" s="164" t="str">
        <f>IFERROR(__xludf.DUMMYFUNCTION("""COMPUTED_VALUE"""),"Movement Shooter")</f>
        <v>Movement Shooter</v>
      </c>
      <c r="F3890" s="164">
        <f>IFERROR(__xludf.DUMMYFUNCTION("""COMPUTED_VALUE"""),76.9566666666667)</f>
        <v>76.95666667</v>
      </c>
      <c r="G3890" s="163">
        <f>IFERROR(__xludf.DUMMYFUNCTION("""COMPUTED_VALUE"""),13.0)</f>
        <v>13</v>
      </c>
      <c r="H3890" s="163" t="str">
        <f>IFERROR(__xludf.DUMMYFUNCTION("""COMPUTED_VALUE"""),"PF")</f>
        <v>PF</v>
      </c>
      <c r="I3890" s="163">
        <f>IFERROR(__xludf.DUMMYFUNCTION("""COMPUTED_VALUE"""),21.0)</f>
        <v>21</v>
      </c>
      <c r="J3890" s="165">
        <f>IFERROR(__xludf.DUMMYFUNCTION("""COMPUTED_VALUE"""),-1.49789789076793)</f>
        <v>-1.497897891</v>
      </c>
      <c r="K3890" s="165">
        <f>IFERROR(__xludf.DUMMYFUNCTION("""COMPUTED_VALUE"""),-1.00279388858931)</f>
        <v>-1.002793889</v>
      </c>
      <c r="L3890" s="165">
        <f>IFERROR(__xludf.DUMMYFUNCTION("""COMPUTED_VALUE"""),-0.495104002178627)</f>
        <v>-0.4951040022</v>
      </c>
      <c r="M3890" s="166">
        <f t="shared" si="2"/>
        <v>0.04116682351</v>
      </c>
      <c r="N3890" s="167">
        <f t="shared" si="3"/>
        <v>5.91974359</v>
      </c>
      <c r="O3890" s="163">
        <f t="shared" ref="O3890:Q3890" si="3894">rank(I3890,I:I)</f>
        <v>3528</v>
      </c>
      <c r="P3890" s="163">
        <f t="shared" si="3894"/>
        <v>3053</v>
      </c>
      <c r="Q3890" s="163">
        <f t="shared" si="3894"/>
        <v>2807</v>
      </c>
      <c r="R3890" s="163">
        <f>IFERROR(__xludf.DUMMYFUNCTION("RANK(M3890,filter(M:M,C:C=C3890))"),390.0)</f>
        <v>390</v>
      </c>
      <c r="S3890" s="161" t="b">
        <f t="shared" si="5"/>
        <v>0</v>
      </c>
      <c r="T3890" s="161" t="b">
        <f t="array" ref="T3890">index('Query Tool'!B:B,match(H3890,'Query Tool'!C:C,0))</f>
        <v>1</v>
      </c>
      <c r="U3890" s="161" t="b">
        <f t="array" ref="U3890">index('Query Tool'!B:B,match(C3890,'Query Tool'!C:C,0))</f>
        <v>1</v>
      </c>
      <c r="V3890" s="161" t="b">
        <f>F3890&gt;='Query Tool'!C$32</f>
        <v>0</v>
      </c>
      <c r="W3890" s="161" t="b">
        <f t="array" ref="W3890">index(Dropdowns!B:B,match(I3890,Dropdowns!A:A,0))</f>
        <v>1</v>
      </c>
      <c r="X3890" s="161" t="b">
        <f t="array" ref="X3890">index('Query Tool'!B:B,match(D3890,'Query Tool'!C:C,0))</f>
        <v>1</v>
      </c>
      <c r="Y3890" s="161" t="str">
        <f t="shared" si="6"/>
        <v>bolbo01,2020-21</v>
      </c>
      <c r="Z3890" s="168" t="str">
        <f t="array" ref="Z3890">iferror(index(I:I,match($A3890&amp;","&amp;index('Year Conversion'!$A:$A,match($C3890,'Year Conversion'!$B:$B,0)),$Y:$Y,0))-I3890,"")</f>
        <v/>
      </c>
      <c r="AA3890" s="168" t="str">
        <f t="array" ref="AA3890">iferror(index(J:J,match($A3890&amp;","&amp;index('Year Conversion'!$A:$A,match($C3890,'Year Conversion'!$B:$B,0)),$Y:$Y,0))-J3890,"")</f>
        <v/>
      </c>
      <c r="AB3890" s="168" t="str">
        <f t="array" ref="AB3890">iferror(index(K:K,match($A3890&amp;","&amp;index('Year Conversion'!$A:$A,match($C3890,'Year Conversion'!$B:$B,0)),$Y:$Y,0))-K3890,"")</f>
        <v/>
      </c>
      <c r="AC3890" s="168" t="str">
        <f t="shared" si="7"/>
        <v>DEN,2020-21</v>
      </c>
    </row>
    <row r="3891">
      <c r="A3891" s="161" t="str">
        <f>IFERROR(__xludf.DUMMYFUNCTION("""COMPUTED_VALUE"""),"willizi01")</f>
        <v>willizi01</v>
      </c>
      <c r="B3891" s="161" t="str">
        <f>IFERROR(__xludf.DUMMYFUNCTION("""COMPUTED_VALUE"""),"Zion Williamson")</f>
        <v>Zion Williamson</v>
      </c>
      <c r="C3891" s="162" t="str">
        <f>IFERROR(__xludf.DUMMYFUNCTION("""COMPUTED_VALUE"""),"2020-21")</f>
        <v>2020-21</v>
      </c>
      <c r="D3891" s="163" t="str">
        <f>IFERROR(__xludf.DUMMYFUNCTION("""COMPUTED_VALUE"""),"NOP")</f>
        <v>NOP</v>
      </c>
      <c r="E3891" s="164" t="str">
        <f>IFERROR(__xludf.DUMMYFUNCTION("""COMPUTED_VALUE"""),"Post Scorer")</f>
        <v>Post Scorer</v>
      </c>
      <c r="F3891" s="164">
        <f>IFERROR(__xludf.DUMMYFUNCTION("""COMPUTED_VALUE"""),950.861666666667)</f>
        <v>950.8616667</v>
      </c>
      <c r="G3891" s="163">
        <f>IFERROR(__xludf.DUMMYFUNCTION("""COMPUTED_VALUE"""),29.0)</f>
        <v>29</v>
      </c>
      <c r="H3891" s="163" t="str">
        <f>IFERROR(__xludf.DUMMYFUNCTION("""COMPUTED_VALUE"""),"PF")</f>
        <v>PF</v>
      </c>
      <c r="I3891" s="163">
        <f>IFERROR(__xludf.DUMMYFUNCTION("""COMPUTED_VALUE"""),20.0)</f>
        <v>20</v>
      </c>
      <c r="J3891" s="165">
        <f>IFERROR(__xludf.DUMMYFUNCTION("""COMPUTED_VALUE"""),2.53403391940912)</f>
        <v>2.534033919</v>
      </c>
      <c r="K3891" s="165">
        <f>IFERROR(__xludf.DUMMYFUNCTION("""COMPUTED_VALUE"""),3.45202998204277)</f>
        <v>3.452029982</v>
      </c>
      <c r="L3891" s="165">
        <f>IFERROR(__xludf.DUMMYFUNCTION("""COMPUTED_VALUE"""),-0.917996062633657)</f>
        <v>-0.9179960626</v>
      </c>
      <c r="M3891" s="166">
        <f t="shared" si="2"/>
        <v>3.076044883</v>
      </c>
      <c r="N3891" s="167">
        <f t="shared" si="3"/>
        <v>32.78833333</v>
      </c>
      <c r="O3891" s="163">
        <f t="shared" ref="O3891:Q3891" si="3895">rank(I3891,I:I)</f>
        <v>3770</v>
      </c>
      <c r="P3891" s="163">
        <f t="shared" si="3895"/>
        <v>219</v>
      </c>
      <c r="Q3891" s="163">
        <f t="shared" si="3895"/>
        <v>90</v>
      </c>
      <c r="R3891" s="163">
        <f>IFERROR(__xludf.DUMMYFUNCTION("RANK(M3891,filter(M:M,C:C=C3891))"),18.0)</f>
        <v>18</v>
      </c>
      <c r="S3891" s="161" t="b">
        <f t="shared" si="5"/>
        <v>1</v>
      </c>
      <c r="T3891" s="161" t="b">
        <f t="array" ref="T3891">index('Query Tool'!B:B,match(H3891,'Query Tool'!C:C,0))</f>
        <v>1</v>
      </c>
      <c r="U3891" s="161" t="b">
        <f t="array" ref="U3891">index('Query Tool'!B:B,match(C3891,'Query Tool'!C:C,0))</f>
        <v>1</v>
      </c>
      <c r="V3891" s="161" t="b">
        <f>F3891&gt;='Query Tool'!C$32</f>
        <v>1</v>
      </c>
      <c r="W3891" s="161" t="b">
        <f t="array" ref="W3891">index(Dropdowns!B:B,match(I3891,Dropdowns!A:A,0))</f>
        <v>1</v>
      </c>
      <c r="X3891" s="161" t="b">
        <f t="array" ref="X3891">index('Query Tool'!B:B,match(D3891,'Query Tool'!C:C,0))</f>
        <v>1</v>
      </c>
      <c r="Y3891" s="161" t="str">
        <f t="shared" si="6"/>
        <v>willizi01,2020-21</v>
      </c>
      <c r="Z3891" s="168" t="str">
        <f t="array" ref="Z3891">iferror(index(I:I,match($A3891&amp;","&amp;index('Year Conversion'!$A:$A,match($C3891,'Year Conversion'!$B:$B,0)),$Y:$Y,0))-I3891,"")</f>
        <v/>
      </c>
      <c r="AA3891" s="168" t="str">
        <f t="array" ref="AA3891">iferror(index(J:J,match($A3891&amp;","&amp;index('Year Conversion'!$A:$A,match($C3891,'Year Conversion'!$B:$B,0)),$Y:$Y,0))-J3891,"")</f>
        <v/>
      </c>
      <c r="AB3891" s="168" t="str">
        <f t="array" ref="AB3891">iferror(index(K:K,match($A3891&amp;","&amp;index('Year Conversion'!$A:$A,match($C3891,'Year Conversion'!$B:$B,0)),$Y:$Y,0))-K3891,"")</f>
        <v/>
      </c>
      <c r="AC3891" s="168" t="str">
        <f t="shared" si="7"/>
        <v>NOP,2020-21</v>
      </c>
    </row>
    <row r="3892">
      <c r="A3892" s="161" t="str">
        <f>IFERROR(__xludf.DUMMYFUNCTION("""COMPUTED_VALUE"""),"barrerj01")</f>
        <v>barrerj01</v>
      </c>
      <c r="B3892" s="161" t="str">
        <f>IFERROR(__xludf.DUMMYFUNCTION("""COMPUTED_VALUE"""),"RJ Barrett")</f>
        <v>RJ Barrett</v>
      </c>
      <c r="C3892" s="162" t="str">
        <f>IFERROR(__xludf.DUMMYFUNCTION("""COMPUTED_VALUE"""),"2020-21")</f>
        <v>2020-21</v>
      </c>
      <c r="D3892" s="163" t="str">
        <f>IFERROR(__xludf.DUMMYFUNCTION("""COMPUTED_VALUE"""),"NYK")</f>
        <v>NYK</v>
      </c>
      <c r="E3892" s="164" t="str">
        <f>IFERROR(__xludf.DUMMYFUNCTION("""COMPUTED_VALUE"""),"Slasher")</f>
        <v>Slasher</v>
      </c>
      <c r="F3892" s="164">
        <f>IFERROR(__xludf.DUMMYFUNCTION("""COMPUTED_VALUE"""),1046.01833333333)</f>
        <v>1046.018333</v>
      </c>
      <c r="G3892" s="163">
        <f>IFERROR(__xludf.DUMMYFUNCTION("""COMPUTED_VALUE"""),31.0)</f>
        <v>31</v>
      </c>
      <c r="H3892" s="163" t="str">
        <f>IFERROR(__xludf.DUMMYFUNCTION("""COMPUTED_VALUE"""),"SG")</f>
        <v>SG</v>
      </c>
      <c r="I3892" s="163">
        <f>IFERROR(__xludf.DUMMYFUNCTION("""COMPUTED_VALUE"""),20.0)</f>
        <v>20</v>
      </c>
      <c r="J3892" s="165">
        <f>IFERROR(__xludf.DUMMYFUNCTION("""COMPUTED_VALUE"""),-0.714351228707866)</f>
        <v>-0.7143512287</v>
      </c>
      <c r="K3892" s="165">
        <f>IFERROR(__xludf.DUMMYFUNCTION("""COMPUTED_VALUE"""),-0.18796327873206)</f>
        <v>-0.1879632787</v>
      </c>
      <c r="L3892" s="165">
        <f>IFERROR(__xludf.DUMMYFUNCTION("""COMPUTED_VALUE"""),-0.526387949975806)</f>
        <v>-0.52638795</v>
      </c>
      <c r="M3892" s="166">
        <f t="shared" si="2"/>
        <v>1.10919728</v>
      </c>
      <c r="N3892" s="167">
        <f t="shared" si="3"/>
        <v>33.74252688</v>
      </c>
      <c r="O3892" s="163">
        <f t="shared" ref="O3892:Q3892" si="3896">rank(I3892,I:I)</f>
        <v>3770</v>
      </c>
      <c r="P3892" s="163">
        <f t="shared" si="3896"/>
        <v>2168</v>
      </c>
      <c r="Q3892" s="163">
        <f t="shared" si="3896"/>
        <v>1547</v>
      </c>
      <c r="R3892" s="163">
        <f>IFERROR(__xludf.DUMMYFUNCTION("RANK(M3892,filter(M:M,C:C=C3892))"),110.0)</f>
        <v>110</v>
      </c>
      <c r="S3892" s="161" t="b">
        <f t="shared" si="5"/>
        <v>1</v>
      </c>
      <c r="T3892" s="161" t="b">
        <f t="array" ref="T3892">index('Query Tool'!B:B,match(H3892,'Query Tool'!C:C,0))</f>
        <v>1</v>
      </c>
      <c r="U3892" s="161" t="b">
        <f t="array" ref="U3892">index('Query Tool'!B:B,match(C3892,'Query Tool'!C:C,0))</f>
        <v>1</v>
      </c>
      <c r="V3892" s="161" t="b">
        <f>F3892&gt;='Query Tool'!C$32</f>
        <v>1</v>
      </c>
      <c r="W3892" s="161" t="b">
        <f t="array" ref="W3892">index(Dropdowns!B:B,match(I3892,Dropdowns!A:A,0))</f>
        <v>1</v>
      </c>
      <c r="X3892" s="161" t="b">
        <f t="array" ref="X3892">index('Query Tool'!B:B,match(D3892,'Query Tool'!C:C,0))</f>
        <v>1</v>
      </c>
      <c r="Y3892" s="161" t="str">
        <f t="shared" si="6"/>
        <v>barrerj01,2020-21</v>
      </c>
      <c r="Z3892" s="168" t="str">
        <f t="array" ref="Z3892">iferror(index(I:I,match($A3892&amp;","&amp;index('Year Conversion'!$A:$A,match($C3892,'Year Conversion'!$B:$B,0)),$Y:$Y,0))-I3892,"")</f>
        <v/>
      </c>
      <c r="AA3892" s="168" t="str">
        <f t="array" ref="AA3892">iferror(index(J:J,match($A3892&amp;","&amp;index('Year Conversion'!$A:$A,match($C3892,'Year Conversion'!$B:$B,0)),$Y:$Y,0))-J3892,"")</f>
        <v/>
      </c>
      <c r="AB3892" s="168" t="str">
        <f t="array" ref="AB3892">iferror(index(K:K,match($A3892&amp;","&amp;index('Year Conversion'!$A:$A,match($C3892,'Year Conversion'!$B:$B,0)),$Y:$Y,0))-K3892,"")</f>
        <v/>
      </c>
      <c r="AC3892" s="168" t="str">
        <f t="shared" si="7"/>
        <v>NYK,2020-21</v>
      </c>
    </row>
    <row r="3893">
      <c r="A3893" s="161" t="str">
        <f>IFERROR(__xludf.DUMMYFUNCTION("""COMPUTED_VALUE"""),"reddica01")</f>
        <v>reddica01</v>
      </c>
      <c r="B3893" s="161" t="str">
        <f>IFERROR(__xludf.DUMMYFUNCTION("""COMPUTED_VALUE"""),"Cam Reddish")</f>
        <v>Cam Reddish</v>
      </c>
      <c r="C3893" s="162" t="str">
        <f>IFERROR(__xludf.DUMMYFUNCTION("""COMPUTED_VALUE"""),"2020-21")</f>
        <v>2020-21</v>
      </c>
      <c r="D3893" s="163" t="str">
        <f>IFERROR(__xludf.DUMMYFUNCTION("""COMPUTED_VALUE"""),"ATL")</f>
        <v>ATL</v>
      </c>
      <c r="E3893" s="164" t="str">
        <f>IFERROR(__xludf.DUMMYFUNCTION("""COMPUTED_VALUE"""),"Movement Shooter")</f>
        <v>Movement Shooter</v>
      </c>
      <c r="F3893" s="164">
        <f>IFERROR(__xludf.DUMMYFUNCTION("""COMPUTED_VALUE"""),750.338333333333)</f>
        <v>750.3383333</v>
      </c>
      <c r="G3893" s="163">
        <f>IFERROR(__xludf.DUMMYFUNCTION("""COMPUTED_VALUE"""),26.0)</f>
        <v>26</v>
      </c>
      <c r="H3893" s="163" t="str">
        <f>IFERROR(__xludf.DUMMYFUNCTION("""COMPUTED_VALUE"""),"SF")</f>
        <v>SF</v>
      </c>
      <c r="I3893" s="163">
        <f>IFERROR(__xludf.DUMMYFUNCTION("""COMPUTED_VALUE"""),21.0)</f>
        <v>21</v>
      </c>
      <c r="J3893" s="165">
        <f>IFERROR(__xludf.DUMMYFUNCTION("""COMPUTED_VALUE"""),-1.56440506900733)</f>
        <v>-1.564405069</v>
      </c>
      <c r="K3893" s="165">
        <f>IFERROR(__xludf.DUMMYFUNCTION("""COMPUTED_VALUE"""),-0.662634394757427)</f>
        <v>-0.6626343948</v>
      </c>
      <c r="L3893" s="165">
        <f>IFERROR(__xludf.DUMMYFUNCTION("""COMPUTED_VALUE"""),-0.901770674249903)</f>
        <v>-0.9017706742</v>
      </c>
      <c r="M3893" s="166">
        <f t="shared" si="2"/>
        <v>0.3680649509</v>
      </c>
      <c r="N3893" s="167">
        <f t="shared" si="3"/>
        <v>28.85916667</v>
      </c>
      <c r="O3893" s="163">
        <f t="shared" ref="O3893:Q3893" si="3897">rank(I3893,I:I)</f>
        <v>3528</v>
      </c>
      <c r="P3893" s="163">
        <f t="shared" si="3897"/>
        <v>3112</v>
      </c>
      <c r="Q3893" s="163">
        <f t="shared" si="3897"/>
        <v>2354</v>
      </c>
      <c r="R3893" s="163">
        <f>IFERROR(__xludf.DUMMYFUNCTION("RANK(M3893,filter(M:M,C:C=C3893))"),227.0)</f>
        <v>227</v>
      </c>
      <c r="S3893" s="161" t="b">
        <f t="shared" si="5"/>
        <v>1</v>
      </c>
      <c r="T3893" s="161" t="b">
        <f t="array" ref="T3893">index('Query Tool'!B:B,match(H3893,'Query Tool'!C:C,0))</f>
        <v>1</v>
      </c>
      <c r="U3893" s="161" t="b">
        <f t="array" ref="U3893">index('Query Tool'!B:B,match(C3893,'Query Tool'!C:C,0))</f>
        <v>1</v>
      </c>
      <c r="V3893" s="161" t="b">
        <f>F3893&gt;='Query Tool'!C$32</f>
        <v>1</v>
      </c>
      <c r="W3893" s="161" t="b">
        <f t="array" ref="W3893">index(Dropdowns!B:B,match(I3893,Dropdowns!A:A,0))</f>
        <v>1</v>
      </c>
      <c r="X3893" s="161" t="b">
        <f t="array" ref="X3893">index('Query Tool'!B:B,match(D3893,'Query Tool'!C:C,0))</f>
        <v>1</v>
      </c>
      <c r="Y3893" s="161" t="str">
        <f t="shared" si="6"/>
        <v>reddica01,2020-21</v>
      </c>
      <c r="Z3893" s="168" t="str">
        <f t="array" ref="Z3893">iferror(index(I:I,match($A3893&amp;","&amp;index('Year Conversion'!$A:$A,match($C3893,'Year Conversion'!$B:$B,0)),$Y:$Y,0))-I3893,"")</f>
        <v/>
      </c>
      <c r="AA3893" s="168" t="str">
        <f t="array" ref="AA3893">iferror(index(J:J,match($A3893&amp;","&amp;index('Year Conversion'!$A:$A,match($C3893,'Year Conversion'!$B:$B,0)),$Y:$Y,0))-J3893,"")</f>
        <v/>
      </c>
      <c r="AB3893" s="168" t="str">
        <f t="array" ref="AB3893">iferror(index(K:K,match($A3893&amp;","&amp;index('Year Conversion'!$A:$A,match($C3893,'Year Conversion'!$B:$B,0)),$Y:$Y,0))-K3893,"")</f>
        <v/>
      </c>
      <c r="AC3893" s="168" t="str">
        <f t="shared" si="7"/>
        <v>ATL,2020-21</v>
      </c>
    </row>
    <row r="3894">
      <c r="A3894" s="161" t="str">
        <f>IFERROR(__xludf.DUMMYFUNCTION("""COMPUTED_VALUE"""),"moranja01")</f>
        <v>moranja01</v>
      </c>
      <c r="B3894" s="161" t="str">
        <f>IFERROR(__xludf.DUMMYFUNCTION("""COMPUTED_VALUE"""),"Ja Morant")</f>
        <v>Ja Morant</v>
      </c>
      <c r="C3894" s="162" t="str">
        <f>IFERROR(__xludf.DUMMYFUNCTION("""COMPUTED_VALUE"""),"2020-21")</f>
        <v>2020-21</v>
      </c>
      <c r="D3894" s="163" t="str">
        <f>IFERROR(__xludf.DUMMYFUNCTION("""COMPUTED_VALUE"""),"MEM")</f>
        <v>MEM</v>
      </c>
      <c r="E3894" s="164" t="str">
        <f>IFERROR(__xludf.DUMMYFUNCTION("""COMPUTED_VALUE"""),"Slasher")</f>
        <v>Slasher</v>
      </c>
      <c r="F3894" s="164">
        <f>IFERROR(__xludf.DUMMYFUNCTION("""COMPUTED_VALUE"""),542.931666666667)</f>
        <v>542.9316667</v>
      </c>
      <c r="G3894" s="163">
        <f>IFERROR(__xludf.DUMMYFUNCTION("""COMPUTED_VALUE"""),18.0)</f>
        <v>18</v>
      </c>
      <c r="H3894" s="163" t="str">
        <f>IFERROR(__xludf.DUMMYFUNCTION("""COMPUTED_VALUE"""),"PG")</f>
        <v>PG</v>
      </c>
      <c r="I3894" s="163">
        <f>IFERROR(__xludf.DUMMYFUNCTION("""COMPUTED_VALUE"""),21.0)</f>
        <v>21</v>
      </c>
      <c r="J3894" s="165">
        <f>IFERROR(__xludf.DUMMYFUNCTION("""COMPUTED_VALUE"""),0.440719202372124)</f>
        <v>0.4407192024</v>
      </c>
      <c r="K3894" s="165">
        <f>IFERROR(__xludf.DUMMYFUNCTION("""COMPUTED_VALUE"""),1.92359660808808)</f>
        <v>1.923596608</v>
      </c>
      <c r="L3894" s="165">
        <f>IFERROR(__xludf.DUMMYFUNCTION("""COMPUTED_VALUE"""),-1.48287740571596)</f>
        <v>-1.482877406</v>
      </c>
      <c r="M3894" s="166">
        <f t="shared" si="2"/>
        <v>0.9982965546</v>
      </c>
      <c r="N3894" s="167">
        <f t="shared" si="3"/>
        <v>30.16287037</v>
      </c>
      <c r="O3894" s="163">
        <f t="shared" ref="O3894:Q3894" si="3898">rank(I3894,I:I)</f>
        <v>3528</v>
      </c>
      <c r="P3894" s="163">
        <f t="shared" si="3898"/>
        <v>930</v>
      </c>
      <c r="Q3894" s="163">
        <f t="shared" si="3898"/>
        <v>239</v>
      </c>
      <c r="R3894" s="163">
        <f>IFERROR(__xludf.DUMMYFUNCTION("RANK(M3894,filter(M:M,C:C=C3894))"),122.0)</f>
        <v>122</v>
      </c>
      <c r="S3894" s="161" t="b">
        <f t="shared" si="5"/>
        <v>1</v>
      </c>
      <c r="T3894" s="161" t="b">
        <f t="array" ref="T3894">index('Query Tool'!B:B,match(H3894,'Query Tool'!C:C,0))</f>
        <v>1</v>
      </c>
      <c r="U3894" s="161" t="b">
        <f t="array" ref="U3894">index('Query Tool'!B:B,match(C3894,'Query Tool'!C:C,0))</f>
        <v>1</v>
      </c>
      <c r="V3894" s="161" t="b">
        <f>F3894&gt;='Query Tool'!C$32</f>
        <v>1</v>
      </c>
      <c r="W3894" s="161" t="b">
        <f t="array" ref="W3894">index(Dropdowns!B:B,match(I3894,Dropdowns!A:A,0))</f>
        <v>1</v>
      </c>
      <c r="X3894" s="161" t="b">
        <f t="array" ref="X3894">index('Query Tool'!B:B,match(D3894,'Query Tool'!C:C,0))</f>
        <v>1</v>
      </c>
      <c r="Y3894" s="161" t="str">
        <f t="shared" si="6"/>
        <v>moranja01,2020-21</v>
      </c>
      <c r="Z3894" s="168" t="str">
        <f t="array" ref="Z3894">iferror(index(I:I,match($A3894&amp;","&amp;index('Year Conversion'!$A:$A,match($C3894,'Year Conversion'!$B:$B,0)),$Y:$Y,0))-I3894,"")</f>
        <v/>
      </c>
      <c r="AA3894" s="168" t="str">
        <f t="array" ref="AA3894">iferror(index(J:J,match($A3894&amp;","&amp;index('Year Conversion'!$A:$A,match($C3894,'Year Conversion'!$B:$B,0)),$Y:$Y,0))-J3894,"")</f>
        <v/>
      </c>
      <c r="AB3894" s="168" t="str">
        <f t="array" ref="AB3894">iferror(index(K:K,match($A3894&amp;","&amp;index('Year Conversion'!$A:$A,match($C3894,'Year Conversion'!$B:$B,0)),$Y:$Y,0))-K3894,"")</f>
        <v/>
      </c>
      <c r="AC3894" s="168" t="str">
        <f t="shared" si="7"/>
        <v>MEM,2020-21</v>
      </c>
    </row>
    <row r="3895">
      <c r="A3895" s="161" t="str">
        <f>IFERROR(__xludf.DUMMYFUNCTION("""COMPUTED_VALUE"""),"huntede01")</f>
        <v>huntede01</v>
      </c>
      <c r="B3895" s="161" t="str">
        <f>IFERROR(__xludf.DUMMYFUNCTION("""COMPUTED_VALUE"""),"De'Andre Hunter")</f>
        <v>De'Andre Hunter</v>
      </c>
      <c r="C3895" s="162" t="str">
        <f>IFERROR(__xludf.DUMMYFUNCTION("""COMPUTED_VALUE"""),"2020-21")</f>
        <v>2020-21</v>
      </c>
      <c r="D3895" s="163" t="str">
        <f>IFERROR(__xludf.DUMMYFUNCTION("""COMPUTED_VALUE"""),"ATL")</f>
        <v>ATL</v>
      </c>
      <c r="E3895" s="164" t="str">
        <f>IFERROR(__xludf.DUMMYFUNCTION("""COMPUTED_VALUE"""),"Stationary Shooter")</f>
        <v>Stationary Shooter</v>
      </c>
      <c r="F3895" s="164">
        <f>IFERROR(__xludf.DUMMYFUNCTION("""COMPUTED_VALUE"""),578.673333333333)</f>
        <v>578.6733333</v>
      </c>
      <c r="G3895" s="163">
        <f>IFERROR(__xludf.DUMMYFUNCTION("""COMPUTED_VALUE"""),18.0)</f>
        <v>18</v>
      </c>
      <c r="H3895" s="163" t="str">
        <f>IFERROR(__xludf.DUMMYFUNCTION("""COMPUTED_VALUE"""),"SF")</f>
        <v>SF</v>
      </c>
      <c r="I3895" s="163">
        <f>IFERROR(__xludf.DUMMYFUNCTION("""COMPUTED_VALUE"""),23.0)</f>
        <v>23</v>
      </c>
      <c r="J3895" s="165">
        <f>IFERROR(__xludf.DUMMYFUNCTION("""COMPUTED_VALUE"""),0.318497057957609)</f>
        <v>0.318497058</v>
      </c>
      <c r="K3895" s="165">
        <f>IFERROR(__xludf.DUMMYFUNCTION("""COMPUTED_VALUE"""),0.319579139870434)</f>
        <v>0.3195791399</v>
      </c>
      <c r="L3895" s="165">
        <f>IFERROR(__xludf.DUMMYFUNCTION("""COMPUTED_VALUE"""),-0.00108208191282504)</f>
        <v>-0.001082081913</v>
      </c>
      <c r="M3895" s="166">
        <f t="shared" si="2"/>
        <v>1.016360944</v>
      </c>
      <c r="N3895" s="167">
        <f t="shared" si="3"/>
        <v>32.14851852</v>
      </c>
      <c r="O3895" s="163">
        <f t="shared" ref="O3895:Q3895" si="3899">rank(I3895,I:I)</f>
        <v>2765</v>
      </c>
      <c r="P3895" s="163">
        <f t="shared" si="3899"/>
        <v>1006</v>
      </c>
      <c r="Q3895" s="163">
        <f t="shared" si="3899"/>
        <v>897</v>
      </c>
      <c r="R3895" s="163">
        <f>IFERROR(__xludf.DUMMYFUNCTION("RANK(M3895,filter(M:M,C:C=C3895))"),121.0)</f>
        <v>121</v>
      </c>
      <c r="S3895" s="161" t="b">
        <f t="shared" si="5"/>
        <v>1</v>
      </c>
      <c r="T3895" s="161" t="b">
        <f t="array" ref="T3895">index('Query Tool'!B:B,match(H3895,'Query Tool'!C:C,0))</f>
        <v>1</v>
      </c>
      <c r="U3895" s="161" t="b">
        <f t="array" ref="U3895">index('Query Tool'!B:B,match(C3895,'Query Tool'!C:C,0))</f>
        <v>1</v>
      </c>
      <c r="V3895" s="161" t="b">
        <f>F3895&gt;='Query Tool'!C$32</f>
        <v>1</v>
      </c>
      <c r="W3895" s="161" t="b">
        <f t="array" ref="W3895">index(Dropdowns!B:B,match(I3895,Dropdowns!A:A,0))</f>
        <v>1</v>
      </c>
      <c r="X3895" s="161" t="b">
        <f t="array" ref="X3895">index('Query Tool'!B:B,match(D3895,'Query Tool'!C:C,0))</f>
        <v>1</v>
      </c>
      <c r="Y3895" s="161" t="str">
        <f t="shared" si="6"/>
        <v>huntede01,2020-21</v>
      </c>
      <c r="Z3895" s="168" t="str">
        <f t="array" ref="Z3895">iferror(index(I:I,match($A3895&amp;","&amp;index('Year Conversion'!$A:$A,match($C3895,'Year Conversion'!$B:$B,0)),$Y:$Y,0))-I3895,"")</f>
        <v/>
      </c>
      <c r="AA3895" s="168" t="str">
        <f t="array" ref="AA3895">iferror(index(J:J,match($A3895&amp;","&amp;index('Year Conversion'!$A:$A,match($C3895,'Year Conversion'!$B:$B,0)),$Y:$Y,0))-J3895,"")</f>
        <v/>
      </c>
      <c r="AB3895" s="168" t="str">
        <f t="array" ref="AB3895">iferror(index(K:K,match($A3895&amp;","&amp;index('Year Conversion'!$A:$A,match($C3895,'Year Conversion'!$B:$B,0)),$Y:$Y,0))-K3895,"")</f>
        <v/>
      </c>
      <c r="AC3895" s="168" t="str">
        <f t="shared" si="7"/>
        <v>ATL,2020-21</v>
      </c>
    </row>
    <row r="3896">
      <c r="A3896" s="161" t="str">
        <f>IFERROR(__xludf.DUMMYFUNCTION("""COMPUTED_VALUE"""),"whiteco01")</f>
        <v>whiteco01</v>
      </c>
      <c r="B3896" s="161" t="str">
        <f>IFERROR(__xludf.DUMMYFUNCTION("""COMPUTED_VALUE"""),"Coby White")</f>
        <v>Coby White</v>
      </c>
      <c r="C3896" s="162" t="str">
        <f>IFERROR(__xludf.DUMMYFUNCTION("""COMPUTED_VALUE"""),"2020-21")</f>
        <v>2020-21</v>
      </c>
      <c r="D3896" s="163" t="str">
        <f>IFERROR(__xludf.DUMMYFUNCTION("""COMPUTED_VALUE"""),"CHI")</f>
        <v>CHI</v>
      </c>
      <c r="E3896" s="164" t="str">
        <f>IFERROR(__xludf.DUMMYFUNCTION("""COMPUTED_VALUE"""),"Primary Ball Handler")</f>
        <v>Primary Ball Handler</v>
      </c>
      <c r="F3896" s="164">
        <f>IFERROR(__xludf.DUMMYFUNCTION("""COMPUTED_VALUE"""),966.008333333333)</f>
        <v>966.0083333</v>
      </c>
      <c r="G3896" s="163">
        <f>IFERROR(__xludf.DUMMYFUNCTION("""COMPUTED_VALUE"""),29.0)</f>
        <v>29</v>
      </c>
      <c r="H3896" s="163" t="str">
        <f>IFERROR(__xludf.DUMMYFUNCTION("""COMPUTED_VALUE"""),"PG")</f>
        <v>PG</v>
      </c>
      <c r="I3896" s="163">
        <f>IFERROR(__xludf.DUMMYFUNCTION("""COMPUTED_VALUE"""),20.0)</f>
        <v>20</v>
      </c>
      <c r="J3896" s="165">
        <f>IFERROR(__xludf.DUMMYFUNCTION("""COMPUTED_VALUE"""),-1.7184948393218)</f>
        <v>-1.718494839</v>
      </c>
      <c r="K3896" s="165">
        <f>IFERROR(__xludf.DUMMYFUNCTION("""COMPUTED_VALUE"""),-0.661633063688562)</f>
        <v>-0.6616330637</v>
      </c>
      <c r="L3896" s="165">
        <f>IFERROR(__xludf.DUMMYFUNCTION("""COMPUTED_VALUE"""),-1.05686177563324)</f>
        <v>-1.056861776</v>
      </c>
      <c r="M3896" s="166">
        <f t="shared" si="2"/>
        <v>0.3746227733</v>
      </c>
      <c r="N3896" s="167">
        <f t="shared" si="3"/>
        <v>33.31063218</v>
      </c>
      <c r="O3896" s="163">
        <f t="shared" ref="O3896:Q3896" si="3900">rank(I3896,I:I)</f>
        <v>3770</v>
      </c>
      <c r="P3896" s="163">
        <f t="shared" si="3900"/>
        <v>3261</v>
      </c>
      <c r="Q3896" s="163">
        <f t="shared" si="3900"/>
        <v>2353</v>
      </c>
      <c r="R3896" s="163">
        <f>IFERROR(__xludf.DUMMYFUNCTION("RANK(M3896,filter(M:M,C:C=C3896))"),223.0)</f>
        <v>223</v>
      </c>
      <c r="S3896" s="161" t="b">
        <f t="shared" si="5"/>
        <v>1</v>
      </c>
      <c r="T3896" s="161" t="b">
        <f t="array" ref="T3896">index('Query Tool'!B:B,match(H3896,'Query Tool'!C:C,0))</f>
        <v>1</v>
      </c>
      <c r="U3896" s="161" t="b">
        <f t="array" ref="U3896">index('Query Tool'!B:B,match(C3896,'Query Tool'!C:C,0))</f>
        <v>1</v>
      </c>
      <c r="V3896" s="161" t="b">
        <f>F3896&gt;='Query Tool'!C$32</f>
        <v>1</v>
      </c>
      <c r="W3896" s="161" t="b">
        <f t="array" ref="W3896">index(Dropdowns!B:B,match(I3896,Dropdowns!A:A,0))</f>
        <v>1</v>
      </c>
      <c r="X3896" s="161" t="b">
        <f t="array" ref="X3896">index('Query Tool'!B:B,match(D3896,'Query Tool'!C:C,0))</f>
        <v>1</v>
      </c>
      <c r="Y3896" s="161" t="str">
        <f t="shared" si="6"/>
        <v>whiteco01,2020-21</v>
      </c>
      <c r="Z3896" s="168" t="str">
        <f t="array" ref="Z3896">iferror(index(I:I,match($A3896&amp;","&amp;index('Year Conversion'!$A:$A,match($C3896,'Year Conversion'!$B:$B,0)),$Y:$Y,0))-I3896,"")</f>
        <v/>
      </c>
      <c r="AA3896" s="168" t="str">
        <f t="array" ref="AA3896">iferror(index(J:J,match($A3896&amp;","&amp;index('Year Conversion'!$A:$A,match($C3896,'Year Conversion'!$B:$B,0)),$Y:$Y,0))-J3896,"")</f>
        <v/>
      </c>
      <c r="AB3896" s="168" t="str">
        <f t="array" ref="AB3896">iferror(index(K:K,match($A3896&amp;","&amp;index('Year Conversion'!$A:$A,match($C3896,'Year Conversion'!$B:$B,0)),$Y:$Y,0))-K3896,"")</f>
        <v/>
      </c>
      <c r="AC3896" s="168" t="str">
        <f t="shared" si="7"/>
        <v>CHI,2020-21</v>
      </c>
    </row>
    <row r="3897">
      <c r="A3897" s="161" t="str">
        <f>IFERROR(__xludf.DUMMYFUNCTION("""COMPUTED_VALUE"""),"culveja01")</f>
        <v>culveja01</v>
      </c>
      <c r="B3897" s="161" t="str">
        <f>IFERROR(__xludf.DUMMYFUNCTION("""COMPUTED_VALUE"""),"Jarrett Culver")</f>
        <v>Jarrett Culver</v>
      </c>
      <c r="C3897" s="162" t="str">
        <f>IFERROR(__xludf.DUMMYFUNCTION("""COMPUTED_VALUE"""),"2020-21")</f>
        <v>2020-21</v>
      </c>
      <c r="D3897" s="163" t="str">
        <f>IFERROR(__xludf.DUMMYFUNCTION("""COMPUTED_VALUE"""),"MIN")</f>
        <v>MIN</v>
      </c>
      <c r="E3897" s="164" t="str">
        <f>IFERROR(__xludf.DUMMYFUNCTION("""COMPUTED_VALUE"""),"Athletic Finisher")</f>
        <v>Athletic Finisher</v>
      </c>
      <c r="F3897" s="164">
        <f>IFERROR(__xludf.DUMMYFUNCTION("""COMPUTED_VALUE"""),339.095)</f>
        <v>339.095</v>
      </c>
      <c r="G3897" s="163">
        <f>IFERROR(__xludf.DUMMYFUNCTION("""COMPUTED_VALUE"""),16.0)</f>
        <v>16</v>
      </c>
      <c r="H3897" s="163" t="str">
        <f>IFERROR(__xludf.DUMMYFUNCTION("""COMPUTED_VALUE"""),"SG")</f>
        <v>SG</v>
      </c>
      <c r="I3897" s="163">
        <f>IFERROR(__xludf.DUMMYFUNCTION("""COMPUTED_VALUE"""),21.0)</f>
        <v>21</v>
      </c>
      <c r="J3897" s="165">
        <f>IFERROR(__xludf.DUMMYFUNCTION("""COMPUTED_VALUE"""),-1.84894022416163)</f>
        <v>-1.848940224</v>
      </c>
      <c r="K3897" s="165">
        <f>IFERROR(__xludf.DUMMYFUNCTION("""COMPUTED_VALUE"""),-1.51248076266125)</f>
        <v>-1.512480763</v>
      </c>
      <c r="L3897" s="165">
        <f>IFERROR(__xludf.DUMMYFUNCTION("""COMPUTED_VALUE"""),-0.33645946150038)</f>
        <v>-0.3364594615</v>
      </c>
      <c r="M3897" s="166">
        <f t="shared" si="2"/>
        <v>0.1020731436</v>
      </c>
      <c r="N3897" s="167">
        <f t="shared" si="3"/>
        <v>21.1934375</v>
      </c>
      <c r="O3897" s="163">
        <f t="shared" ref="O3897:Q3897" si="3901">rank(I3897,I:I)</f>
        <v>3528</v>
      </c>
      <c r="P3897" s="163">
        <f t="shared" si="3901"/>
        <v>3378</v>
      </c>
      <c r="Q3897" s="163">
        <f t="shared" si="3901"/>
        <v>3369</v>
      </c>
      <c r="R3897" s="163">
        <f>IFERROR(__xludf.DUMMYFUNCTION("RANK(M3897,filter(M:M,C:C=C3897))"),333.0)</f>
        <v>333</v>
      </c>
      <c r="S3897" s="161" t="b">
        <f t="shared" si="5"/>
        <v>0</v>
      </c>
      <c r="T3897" s="161" t="b">
        <f t="array" ref="T3897">index('Query Tool'!B:B,match(H3897,'Query Tool'!C:C,0))</f>
        <v>1</v>
      </c>
      <c r="U3897" s="161" t="b">
        <f t="array" ref="U3897">index('Query Tool'!B:B,match(C3897,'Query Tool'!C:C,0))</f>
        <v>1</v>
      </c>
      <c r="V3897" s="161" t="b">
        <f>F3897&gt;='Query Tool'!C$32</f>
        <v>0</v>
      </c>
      <c r="W3897" s="161" t="b">
        <f t="array" ref="W3897">index(Dropdowns!B:B,match(I3897,Dropdowns!A:A,0))</f>
        <v>1</v>
      </c>
      <c r="X3897" s="161" t="b">
        <f t="array" ref="X3897">index('Query Tool'!B:B,match(D3897,'Query Tool'!C:C,0))</f>
        <v>1</v>
      </c>
      <c r="Y3897" s="161" t="str">
        <f t="shared" si="6"/>
        <v>culveja01,2020-21</v>
      </c>
      <c r="Z3897" s="168" t="str">
        <f t="array" ref="Z3897">iferror(index(I:I,match($A3897&amp;","&amp;index('Year Conversion'!$A:$A,match($C3897,'Year Conversion'!$B:$B,0)),$Y:$Y,0))-I3897,"")</f>
        <v/>
      </c>
      <c r="AA3897" s="168" t="str">
        <f t="array" ref="AA3897">iferror(index(J:J,match($A3897&amp;","&amp;index('Year Conversion'!$A:$A,match($C3897,'Year Conversion'!$B:$B,0)),$Y:$Y,0))-J3897,"")</f>
        <v/>
      </c>
      <c r="AB3897" s="168" t="str">
        <f t="array" ref="AB3897">iferror(index(K:K,match($A3897&amp;","&amp;index('Year Conversion'!$A:$A,match($C3897,'Year Conversion'!$B:$B,0)),$Y:$Y,0))-K3897,"")</f>
        <v/>
      </c>
      <c r="AC3897" s="168" t="str">
        <f t="shared" si="7"/>
        <v>MIN,2020-21</v>
      </c>
    </row>
    <row r="3898">
      <c r="A3898" s="161" t="str">
        <f>IFERROR(__xludf.DUMMYFUNCTION("""COMPUTED_VALUE"""),"clarkbr01")</f>
        <v>clarkbr01</v>
      </c>
      <c r="B3898" s="161" t="str">
        <f>IFERROR(__xludf.DUMMYFUNCTION("""COMPUTED_VALUE"""),"Brandon Clarke")</f>
        <v>Brandon Clarke</v>
      </c>
      <c r="C3898" s="162" t="str">
        <f>IFERROR(__xludf.DUMMYFUNCTION("""COMPUTED_VALUE"""),"2020-21")</f>
        <v>2020-21</v>
      </c>
      <c r="D3898" s="163" t="str">
        <f>IFERROR(__xludf.DUMMYFUNCTION("""COMPUTED_VALUE"""),"MEM")</f>
        <v>MEM</v>
      </c>
      <c r="E3898" s="164" t="str">
        <f>IFERROR(__xludf.DUMMYFUNCTION("""COMPUTED_VALUE"""),"Roll + Cut Big")</f>
        <v>Roll + Cut Big</v>
      </c>
      <c r="F3898" s="164">
        <f>IFERROR(__xludf.DUMMYFUNCTION("""COMPUTED_VALUE"""),577.27)</f>
        <v>577.27</v>
      </c>
      <c r="G3898" s="163">
        <f>IFERROR(__xludf.DUMMYFUNCTION("""COMPUTED_VALUE"""),21.0)</f>
        <v>21</v>
      </c>
      <c r="H3898" s="163" t="str">
        <f>IFERROR(__xludf.DUMMYFUNCTION("""COMPUTED_VALUE"""),"PF")</f>
        <v>PF</v>
      </c>
      <c r="I3898" s="163">
        <f>IFERROR(__xludf.DUMMYFUNCTION("""COMPUTED_VALUE"""),24.0)</f>
        <v>24</v>
      </c>
      <c r="J3898" s="165">
        <f>IFERROR(__xludf.DUMMYFUNCTION("""COMPUTED_VALUE"""),-0.241110664741442)</f>
        <v>-0.2411106647</v>
      </c>
      <c r="K3898" s="165">
        <f>IFERROR(__xludf.DUMMYFUNCTION("""COMPUTED_VALUE"""),-0.270539193037105)</f>
        <v>-0.270539193</v>
      </c>
      <c r="L3898" s="165">
        <f>IFERROR(__xludf.DUMMYFUNCTION("""COMPUTED_VALUE"""),0.0294285282956638)</f>
        <v>0.0294285283</v>
      </c>
      <c r="M3898" s="166">
        <f t="shared" si="2"/>
        <v>0.796127742</v>
      </c>
      <c r="N3898" s="167">
        <f t="shared" si="3"/>
        <v>27.48904762</v>
      </c>
      <c r="O3898" s="163">
        <f t="shared" ref="O3898:Q3898" si="3902">rank(I3898,I:I)</f>
        <v>2361</v>
      </c>
      <c r="P3898" s="163">
        <f t="shared" si="3902"/>
        <v>1547</v>
      </c>
      <c r="Q3898" s="163">
        <f t="shared" si="3902"/>
        <v>1704</v>
      </c>
      <c r="R3898" s="163">
        <f>IFERROR(__xludf.DUMMYFUNCTION("RANK(M3898,filter(M:M,C:C=C3898))"),144.0)</f>
        <v>144</v>
      </c>
      <c r="S3898" s="161" t="b">
        <f t="shared" si="5"/>
        <v>1</v>
      </c>
      <c r="T3898" s="161" t="b">
        <f t="array" ref="T3898">index('Query Tool'!B:B,match(H3898,'Query Tool'!C:C,0))</f>
        <v>1</v>
      </c>
      <c r="U3898" s="161" t="b">
        <f t="array" ref="U3898">index('Query Tool'!B:B,match(C3898,'Query Tool'!C:C,0))</f>
        <v>1</v>
      </c>
      <c r="V3898" s="161" t="b">
        <f>F3898&gt;='Query Tool'!C$32</f>
        <v>1</v>
      </c>
      <c r="W3898" s="161" t="b">
        <f t="array" ref="W3898">index(Dropdowns!B:B,match(I3898,Dropdowns!A:A,0))</f>
        <v>1</v>
      </c>
      <c r="X3898" s="161" t="b">
        <f t="array" ref="X3898">index('Query Tool'!B:B,match(D3898,'Query Tool'!C:C,0))</f>
        <v>1</v>
      </c>
      <c r="Y3898" s="161" t="str">
        <f t="shared" si="6"/>
        <v>clarkbr01,2020-21</v>
      </c>
      <c r="Z3898" s="168" t="str">
        <f t="array" ref="Z3898">iferror(index(I:I,match($A3898&amp;","&amp;index('Year Conversion'!$A:$A,match($C3898,'Year Conversion'!$B:$B,0)),$Y:$Y,0))-I3898,"")</f>
        <v/>
      </c>
      <c r="AA3898" s="168" t="str">
        <f t="array" ref="AA3898">iferror(index(J:J,match($A3898&amp;","&amp;index('Year Conversion'!$A:$A,match($C3898,'Year Conversion'!$B:$B,0)),$Y:$Y,0))-J3898,"")</f>
        <v/>
      </c>
      <c r="AB3898" s="168" t="str">
        <f t="array" ref="AB3898">iferror(index(K:K,match($A3898&amp;","&amp;index('Year Conversion'!$A:$A,match($C3898,'Year Conversion'!$B:$B,0)),$Y:$Y,0))-K3898,"")</f>
        <v/>
      </c>
      <c r="AC3898" s="168" t="str">
        <f t="shared" si="7"/>
        <v>MEM,2020-21</v>
      </c>
    </row>
    <row r="3899">
      <c r="A3899" s="161" t="str">
        <f>IFERROR(__xludf.DUMMYFUNCTION("""COMPUTED_VALUE"""),"doumbse01")</f>
        <v>doumbse01</v>
      </c>
      <c r="B3899" s="161" t="str">
        <f>IFERROR(__xludf.DUMMYFUNCTION("""COMPUTED_VALUE"""),"Sekou Doumbouya")</f>
        <v>Sekou Doumbouya</v>
      </c>
      <c r="C3899" s="162" t="str">
        <f>IFERROR(__xludf.DUMMYFUNCTION("""COMPUTED_VALUE"""),"2020-21")</f>
        <v>2020-21</v>
      </c>
      <c r="D3899" s="163" t="str">
        <f>IFERROR(__xludf.DUMMYFUNCTION("""COMPUTED_VALUE"""),"DET")</f>
        <v>DET</v>
      </c>
      <c r="E3899" s="164" t="str">
        <f>IFERROR(__xludf.DUMMYFUNCTION("""COMPUTED_VALUE"""),"Stretch Big")</f>
        <v>Stretch Big</v>
      </c>
      <c r="F3899" s="164">
        <f>IFERROR(__xludf.DUMMYFUNCTION("""COMPUTED_VALUE"""),337.111666666667)</f>
        <v>337.1116667</v>
      </c>
      <c r="G3899" s="163">
        <f>IFERROR(__xludf.DUMMYFUNCTION("""COMPUTED_VALUE"""),26.0)</f>
        <v>26</v>
      </c>
      <c r="H3899" s="163" t="str">
        <f>IFERROR(__xludf.DUMMYFUNCTION("""COMPUTED_VALUE"""),"PF")</f>
        <v>PF</v>
      </c>
      <c r="I3899" s="163">
        <f>IFERROR(__xludf.DUMMYFUNCTION("""COMPUTED_VALUE"""),20.0)</f>
        <v>20</v>
      </c>
      <c r="J3899" s="165">
        <f>IFERROR(__xludf.DUMMYFUNCTION("""COMPUTED_VALUE"""),-3.47644925275216)</f>
        <v>-3.476449253</v>
      </c>
      <c r="K3899" s="165">
        <f>IFERROR(__xludf.DUMMYFUNCTION("""COMPUTED_VALUE"""),-2.0950045798078)</f>
        <v>-2.09500458</v>
      </c>
      <c r="L3899" s="165">
        <f>IFERROR(__xludf.DUMMYFUNCTION("""COMPUTED_VALUE"""),-1.38144467294436)</f>
        <v>-1.381444673</v>
      </c>
      <c r="M3899" s="166">
        <f t="shared" si="2"/>
        <v>-0.2573998441</v>
      </c>
      <c r="N3899" s="167">
        <f t="shared" si="3"/>
        <v>12.96583333</v>
      </c>
      <c r="O3899" s="163">
        <f t="shared" ref="O3899:Q3899" si="3903">rank(I3899,I:I)</f>
        <v>3770</v>
      </c>
      <c r="P3899" s="163">
        <f t="shared" si="3903"/>
        <v>3959</v>
      </c>
      <c r="Q3899" s="163">
        <f t="shared" si="3903"/>
        <v>3762</v>
      </c>
      <c r="R3899" s="163">
        <f>IFERROR(__xludf.DUMMYFUNCTION("RANK(M3899,filter(M:M,C:C=C3899))"),463.0)</f>
        <v>463</v>
      </c>
      <c r="S3899" s="161" t="b">
        <f t="shared" si="5"/>
        <v>0</v>
      </c>
      <c r="T3899" s="161" t="b">
        <f t="array" ref="T3899">index('Query Tool'!B:B,match(H3899,'Query Tool'!C:C,0))</f>
        <v>1</v>
      </c>
      <c r="U3899" s="161" t="b">
        <f t="array" ref="U3899">index('Query Tool'!B:B,match(C3899,'Query Tool'!C:C,0))</f>
        <v>1</v>
      </c>
      <c r="V3899" s="161" t="b">
        <f>F3899&gt;='Query Tool'!C$32</f>
        <v>0</v>
      </c>
      <c r="W3899" s="161" t="b">
        <f t="array" ref="W3899">index(Dropdowns!B:B,match(I3899,Dropdowns!A:A,0))</f>
        <v>1</v>
      </c>
      <c r="X3899" s="161" t="b">
        <f t="array" ref="X3899">index('Query Tool'!B:B,match(D3899,'Query Tool'!C:C,0))</f>
        <v>1</v>
      </c>
      <c r="Y3899" s="161" t="str">
        <f t="shared" si="6"/>
        <v>doumbse01,2020-21</v>
      </c>
      <c r="Z3899" s="168" t="str">
        <f t="array" ref="Z3899">iferror(index(I:I,match($A3899&amp;","&amp;index('Year Conversion'!$A:$A,match($C3899,'Year Conversion'!$B:$B,0)),$Y:$Y,0))-I3899,"")</f>
        <v/>
      </c>
      <c r="AA3899" s="168" t="str">
        <f t="array" ref="AA3899">iferror(index(J:J,match($A3899&amp;","&amp;index('Year Conversion'!$A:$A,match($C3899,'Year Conversion'!$B:$B,0)),$Y:$Y,0))-J3899,"")</f>
        <v/>
      </c>
      <c r="AB3899" s="168" t="str">
        <f t="array" ref="AB3899">iferror(index(K:K,match($A3899&amp;","&amp;index('Year Conversion'!$A:$A,match($C3899,'Year Conversion'!$B:$B,0)),$Y:$Y,0))-K3899,"")</f>
        <v/>
      </c>
      <c r="AC3899" s="168" t="str">
        <f t="shared" si="7"/>
        <v>DET,2020-21</v>
      </c>
    </row>
    <row r="3900">
      <c r="A3900" s="161" t="str">
        <f>IFERROR(__xludf.DUMMYFUNCTION("""COMPUTED_VALUE"""),"garlada01")</f>
        <v>garlada01</v>
      </c>
      <c r="B3900" s="161" t="str">
        <f>IFERROR(__xludf.DUMMYFUNCTION("""COMPUTED_VALUE"""),"Darius Garland")</f>
        <v>Darius Garland</v>
      </c>
      <c r="C3900" s="162" t="str">
        <f>IFERROR(__xludf.DUMMYFUNCTION("""COMPUTED_VALUE"""),"2020-21")</f>
        <v>2020-21</v>
      </c>
      <c r="D3900" s="163" t="str">
        <f>IFERROR(__xludf.DUMMYFUNCTION("""COMPUTED_VALUE"""),"CLE")</f>
        <v>CLE</v>
      </c>
      <c r="E3900" s="164" t="str">
        <f>IFERROR(__xludf.DUMMYFUNCTION("""COMPUTED_VALUE"""),"Slasher")</f>
        <v>Slasher</v>
      </c>
      <c r="F3900" s="164">
        <f>IFERROR(__xludf.DUMMYFUNCTION("""COMPUTED_VALUE"""),752.836666666667)</f>
        <v>752.8366667</v>
      </c>
      <c r="G3900" s="163">
        <f>IFERROR(__xludf.DUMMYFUNCTION("""COMPUTED_VALUE"""),23.0)</f>
        <v>23</v>
      </c>
      <c r="H3900" s="163" t="str">
        <f>IFERROR(__xludf.DUMMYFUNCTION("""COMPUTED_VALUE"""),"PG")</f>
        <v>PG</v>
      </c>
      <c r="I3900" s="163">
        <f>IFERROR(__xludf.DUMMYFUNCTION("""COMPUTED_VALUE"""),21.0)</f>
        <v>21</v>
      </c>
      <c r="J3900" s="165">
        <f>IFERROR(__xludf.DUMMYFUNCTION("""COMPUTED_VALUE"""),-3.22897271615945)</f>
        <v>-3.228972716</v>
      </c>
      <c r="K3900" s="165">
        <f>IFERROR(__xludf.DUMMYFUNCTION("""COMPUTED_VALUE"""),-1.76443752460341)</f>
        <v>-1.764437525</v>
      </c>
      <c r="L3900" s="165">
        <f>IFERROR(__xludf.DUMMYFUNCTION("""COMPUTED_VALUE"""),-1.46453519155604)</f>
        <v>-1.464535192</v>
      </c>
      <c r="M3900" s="166">
        <f t="shared" si="2"/>
        <v>-0.454924434</v>
      </c>
      <c r="N3900" s="167">
        <f t="shared" si="3"/>
        <v>32.73202899</v>
      </c>
      <c r="O3900" s="163">
        <f t="shared" ref="O3900:Q3900" si="3904">rank(I3900,I:I)</f>
        <v>3528</v>
      </c>
      <c r="P3900" s="163">
        <f t="shared" si="3904"/>
        <v>3931</v>
      </c>
      <c r="Q3900" s="163">
        <f t="shared" si="3904"/>
        <v>3556</v>
      </c>
      <c r="R3900" s="163">
        <f>IFERROR(__xludf.DUMMYFUNCTION("RANK(M3900,filter(M:M,C:C=C3900))"),469.0)</f>
        <v>469</v>
      </c>
      <c r="S3900" s="161" t="b">
        <f t="shared" si="5"/>
        <v>1</v>
      </c>
      <c r="T3900" s="161" t="b">
        <f t="array" ref="T3900">index('Query Tool'!B:B,match(H3900,'Query Tool'!C:C,0))</f>
        <v>1</v>
      </c>
      <c r="U3900" s="161" t="b">
        <f t="array" ref="U3900">index('Query Tool'!B:B,match(C3900,'Query Tool'!C:C,0))</f>
        <v>1</v>
      </c>
      <c r="V3900" s="161" t="b">
        <f>F3900&gt;='Query Tool'!C$32</f>
        <v>1</v>
      </c>
      <c r="W3900" s="161" t="b">
        <f t="array" ref="W3900">index(Dropdowns!B:B,match(I3900,Dropdowns!A:A,0))</f>
        <v>1</v>
      </c>
      <c r="X3900" s="161" t="b">
        <f t="array" ref="X3900">index('Query Tool'!B:B,match(D3900,'Query Tool'!C:C,0))</f>
        <v>1</v>
      </c>
      <c r="Y3900" s="161" t="str">
        <f t="shared" si="6"/>
        <v>garlada01,2020-21</v>
      </c>
      <c r="Z3900" s="168" t="str">
        <f t="array" ref="Z3900">iferror(index(I:I,match($A3900&amp;","&amp;index('Year Conversion'!$A:$A,match($C3900,'Year Conversion'!$B:$B,0)),$Y:$Y,0))-I3900,"")</f>
        <v/>
      </c>
      <c r="AA3900" s="168" t="str">
        <f t="array" ref="AA3900">iferror(index(J:J,match($A3900&amp;","&amp;index('Year Conversion'!$A:$A,match($C3900,'Year Conversion'!$B:$B,0)),$Y:$Y,0))-J3900,"")</f>
        <v/>
      </c>
      <c r="AB3900" s="168" t="str">
        <f t="array" ref="AB3900">iferror(index(K:K,match($A3900&amp;","&amp;index('Year Conversion'!$A:$A,match($C3900,'Year Conversion'!$B:$B,0)),$Y:$Y,0))-K3900,"")</f>
        <v/>
      </c>
      <c r="AC3900" s="168" t="str">
        <f t="shared" si="7"/>
        <v>CLE,2020-21</v>
      </c>
    </row>
    <row r="3901">
      <c r="A3901" s="161" t="str">
        <f>IFERROR(__xludf.DUMMYFUNCTION("""COMPUTED_VALUE"""),"hayesja02")</f>
        <v>hayesja02</v>
      </c>
      <c r="B3901" s="161" t="str">
        <f>IFERROR(__xludf.DUMMYFUNCTION("""COMPUTED_VALUE"""),"Jaxson Hayes")</f>
        <v>Jaxson Hayes</v>
      </c>
      <c r="C3901" s="162" t="str">
        <f>IFERROR(__xludf.DUMMYFUNCTION("""COMPUTED_VALUE"""),"2020-21")</f>
        <v>2020-21</v>
      </c>
      <c r="D3901" s="163" t="str">
        <f>IFERROR(__xludf.DUMMYFUNCTION("""COMPUTED_VALUE"""),"NOP")</f>
        <v>NOP</v>
      </c>
      <c r="E3901" s="164" t="str">
        <f>IFERROR(__xludf.DUMMYFUNCTION("""COMPUTED_VALUE"""),"Roll + Cut Big")</f>
        <v>Roll + Cut Big</v>
      </c>
      <c r="F3901" s="164">
        <f>IFERROR(__xludf.DUMMYFUNCTION("""COMPUTED_VALUE"""),278.911666666667)</f>
        <v>278.9116667</v>
      </c>
      <c r="G3901" s="163">
        <f>IFERROR(__xludf.DUMMYFUNCTION("""COMPUTED_VALUE"""),23.0)</f>
        <v>23</v>
      </c>
      <c r="H3901" s="163" t="str">
        <f>IFERROR(__xludf.DUMMYFUNCTION("""COMPUTED_VALUE"""),"C")</f>
        <v>C</v>
      </c>
      <c r="I3901" s="163">
        <f>IFERROR(__xludf.DUMMYFUNCTION("""COMPUTED_VALUE"""),20.0)</f>
        <v>20</v>
      </c>
      <c r="J3901" s="165">
        <f>IFERROR(__xludf.DUMMYFUNCTION("""COMPUTED_VALUE"""),-0.365656076168848)</f>
        <v>-0.3656560762</v>
      </c>
      <c r="K3901" s="165">
        <f>IFERROR(__xludf.DUMMYFUNCTION("""COMPUTED_VALUE"""),-1.02536298654512)</f>
        <v>-1.025362987</v>
      </c>
      <c r="L3901" s="165">
        <f>IFERROR(__xludf.DUMMYFUNCTION("""COMPUTED_VALUE"""),0.659706910376269)</f>
        <v>0.6597069104</v>
      </c>
      <c r="M3901" s="166">
        <f t="shared" si="2"/>
        <v>0.3612438366</v>
      </c>
      <c r="N3901" s="167">
        <f t="shared" si="3"/>
        <v>12.1265942</v>
      </c>
      <c r="O3901" s="163">
        <f t="shared" ref="O3901:Q3901" si="3905">rank(I3901,I:I)</f>
        <v>3770</v>
      </c>
      <c r="P3901" s="163">
        <f t="shared" si="3905"/>
        <v>1691</v>
      </c>
      <c r="Q3901" s="163">
        <f t="shared" si="3905"/>
        <v>2835</v>
      </c>
      <c r="R3901" s="163">
        <f>IFERROR(__xludf.DUMMYFUNCTION("RANK(M3901,filter(M:M,C:C=C3901))"),229.0)</f>
        <v>229</v>
      </c>
      <c r="S3901" s="161" t="b">
        <f t="shared" si="5"/>
        <v>0</v>
      </c>
      <c r="T3901" s="161" t="b">
        <f t="array" ref="T3901">index('Query Tool'!B:B,match(H3901,'Query Tool'!C:C,0))</f>
        <v>1</v>
      </c>
      <c r="U3901" s="161" t="b">
        <f t="array" ref="U3901">index('Query Tool'!B:B,match(C3901,'Query Tool'!C:C,0))</f>
        <v>1</v>
      </c>
      <c r="V3901" s="161" t="b">
        <f>F3901&gt;='Query Tool'!C$32</f>
        <v>0</v>
      </c>
      <c r="W3901" s="161" t="b">
        <f t="array" ref="W3901">index(Dropdowns!B:B,match(I3901,Dropdowns!A:A,0))</f>
        <v>1</v>
      </c>
      <c r="X3901" s="161" t="b">
        <f t="array" ref="X3901">index('Query Tool'!B:B,match(D3901,'Query Tool'!C:C,0))</f>
        <v>1</v>
      </c>
      <c r="Y3901" s="161" t="str">
        <f t="shared" si="6"/>
        <v>hayesja02,2020-21</v>
      </c>
      <c r="Z3901" s="168" t="str">
        <f t="array" ref="Z3901">iferror(index(I:I,match($A3901&amp;","&amp;index('Year Conversion'!$A:$A,match($C3901,'Year Conversion'!$B:$B,0)),$Y:$Y,0))-I3901,"")</f>
        <v/>
      </c>
      <c r="AA3901" s="168" t="str">
        <f t="array" ref="AA3901">iferror(index(J:J,match($A3901&amp;","&amp;index('Year Conversion'!$A:$A,match($C3901,'Year Conversion'!$B:$B,0)),$Y:$Y,0))-J3901,"")</f>
        <v/>
      </c>
      <c r="AB3901" s="168" t="str">
        <f t="array" ref="AB3901">iferror(index(K:K,match($A3901&amp;","&amp;index('Year Conversion'!$A:$A,match($C3901,'Year Conversion'!$B:$B,0)),$Y:$Y,0))-K3901,"")</f>
        <v/>
      </c>
      <c r="AC3901" s="168" t="str">
        <f t="shared" si="7"/>
        <v>NOP,2020-21</v>
      </c>
    </row>
    <row r="3902">
      <c r="A3902" s="161" t="str">
        <f>IFERROR(__xludf.DUMMYFUNCTION("""COMPUTED_VALUE"""),"alexani01")</f>
        <v>alexani01</v>
      </c>
      <c r="B3902" s="161" t="str">
        <f>IFERROR(__xludf.DUMMYFUNCTION("""COMPUTED_VALUE"""),"Nickeil Alexander-Walker")</f>
        <v>Nickeil Alexander-Walker</v>
      </c>
      <c r="C3902" s="162" t="str">
        <f>IFERROR(__xludf.DUMMYFUNCTION("""COMPUTED_VALUE"""),"2020-21")</f>
        <v>2020-21</v>
      </c>
      <c r="D3902" s="163" t="str">
        <f>IFERROR(__xludf.DUMMYFUNCTION("""COMPUTED_VALUE"""),"NOP")</f>
        <v>NOP</v>
      </c>
      <c r="E3902" s="164" t="str">
        <f>IFERROR(__xludf.DUMMYFUNCTION("""COMPUTED_VALUE"""),"Secondary Ball Handler")</f>
        <v>Secondary Ball Handler</v>
      </c>
      <c r="F3902" s="164">
        <f>IFERROR(__xludf.DUMMYFUNCTION("""COMPUTED_VALUE"""),448.326666666667)</f>
        <v>448.3266667</v>
      </c>
      <c r="G3902" s="163">
        <f>IFERROR(__xludf.DUMMYFUNCTION("""COMPUTED_VALUE"""),25.0)</f>
        <v>25</v>
      </c>
      <c r="H3902" s="163" t="str">
        <f>IFERROR(__xludf.DUMMYFUNCTION("""COMPUTED_VALUE"""),"SG")</f>
        <v>SG</v>
      </c>
      <c r="I3902" s="163">
        <f>IFERROR(__xludf.DUMMYFUNCTION("""COMPUTED_VALUE"""),22.0)</f>
        <v>22</v>
      </c>
      <c r="J3902" s="165">
        <f>IFERROR(__xludf.DUMMYFUNCTION("""COMPUTED_VALUE"""),0.208719143473518)</f>
        <v>0.2087191435</v>
      </c>
      <c r="K3902" s="165">
        <f>IFERROR(__xludf.DUMMYFUNCTION("""COMPUTED_VALUE"""),-0.243418584698492)</f>
        <v>-0.2434185847</v>
      </c>
      <c r="L3902" s="165">
        <f>IFERROR(__xludf.DUMMYFUNCTION("""COMPUTED_VALUE"""),0.45213772817201)</f>
        <v>0.4521377282</v>
      </c>
      <c r="M3902" s="166">
        <f t="shared" si="2"/>
        <v>0.7542533392</v>
      </c>
      <c r="N3902" s="167">
        <f t="shared" si="3"/>
        <v>17.93306667</v>
      </c>
      <c r="O3902" s="163">
        <f t="shared" ref="O3902:Q3902" si="3906">rank(I3902,I:I)</f>
        <v>3178</v>
      </c>
      <c r="P3902" s="163">
        <f t="shared" si="3906"/>
        <v>1082</v>
      </c>
      <c r="Q3902" s="163">
        <f t="shared" si="3906"/>
        <v>1655</v>
      </c>
      <c r="R3902" s="163">
        <f>IFERROR(__xludf.DUMMYFUNCTION("RANK(M3902,filter(M:M,C:C=C3902))"),149.0)</f>
        <v>149</v>
      </c>
      <c r="S3902" s="161" t="b">
        <f t="shared" si="5"/>
        <v>0</v>
      </c>
      <c r="T3902" s="161" t="b">
        <f t="array" ref="T3902">index('Query Tool'!B:B,match(H3902,'Query Tool'!C:C,0))</f>
        <v>1</v>
      </c>
      <c r="U3902" s="161" t="b">
        <f t="array" ref="U3902">index('Query Tool'!B:B,match(C3902,'Query Tool'!C:C,0))</f>
        <v>1</v>
      </c>
      <c r="V3902" s="161" t="b">
        <f>F3902&gt;='Query Tool'!C$32</f>
        <v>0</v>
      </c>
      <c r="W3902" s="161" t="b">
        <f t="array" ref="W3902">index(Dropdowns!B:B,match(I3902,Dropdowns!A:A,0))</f>
        <v>1</v>
      </c>
      <c r="X3902" s="161" t="b">
        <f t="array" ref="X3902">index('Query Tool'!B:B,match(D3902,'Query Tool'!C:C,0))</f>
        <v>1</v>
      </c>
      <c r="Y3902" s="161" t="str">
        <f t="shared" si="6"/>
        <v>alexani01,2020-21</v>
      </c>
      <c r="Z3902" s="168" t="str">
        <f t="array" ref="Z3902">iferror(index(I:I,match($A3902&amp;","&amp;index('Year Conversion'!$A:$A,match($C3902,'Year Conversion'!$B:$B,0)),$Y:$Y,0))-I3902,"")</f>
        <v/>
      </c>
      <c r="AA3902" s="168" t="str">
        <f t="array" ref="AA3902">iferror(index(J:J,match($A3902&amp;","&amp;index('Year Conversion'!$A:$A,match($C3902,'Year Conversion'!$B:$B,0)),$Y:$Y,0))-J3902,"")</f>
        <v/>
      </c>
      <c r="AB3902" s="168" t="str">
        <f t="array" ref="AB3902">iferror(index(K:K,match($A3902&amp;","&amp;index('Year Conversion'!$A:$A,match($C3902,'Year Conversion'!$B:$B,0)),$Y:$Y,0))-K3902,"")</f>
        <v/>
      </c>
      <c r="AC3902" s="168" t="str">
        <f t="shared" si="7"/>
        <v>NOP,2020-21</v>
      </c>
    </row>
    <row r="3903">
      <c r="A3903" s="161" t="str">
        <f>IFERROR(__xludf.DUMMYFUNCTION("""COMPUTED_VALUE"""),"herroty01")</f>
        <v>herroty01</v>
      </c>
      <c r="B3903" s="161" t="str">
        <f>IFERROR(__xludf.DUMMYFUNCTION("""COMPUTED_VALUE"""),"Tyler Herro")</f>
        <v>Tyler Herro</v>
      </c>
      <c r="C3903" s="162" t="str">
        <f>IFERROR(__xludf.DUMMYFUNCTION("""COMPUTED_VALUE"""),"2020-21")</f>
        <v>2020-21</v>
      </c>
      <c r="D3903" s="163" t="str">
        <f>IFERROR(__xludf.DUMMYFUNCTION("""COMPUTED_VALUE"""),"MIA")</f>
        <v>MIA</v>
      </c>
      <c r="E3903" s="164" t="str">
        <f>IFERROR(__xludf.DUMMYFUNCTION("""COMPUTED_VALUE"""),"Secondary Ball Handler")</f>
        <v>Secondary Ball Handler</v>
      </c>
      <c r="F3903" s="164">
        <f>IFERROR(__xludf.DUMMYFUNCTION("""COMPUTED_VALUE"""),733.338333333333)</f>
        <v>733.3383333</v>
      </c>
      <c r="G3903" s="163">
        <f>IFERROR(__xludf.DUMMYFUNCTION("""COMPUTED_VALUE"""),22.0)</f>
        <v>22</v>
      </c>
      <c r="H3903" s="163" t="str">
        <f>IFERROR(__xludf.DUMMYFUNCTION("""COMPUTED_VALUE"""),"SG")</f>
        <v>SG</v>
      </c>
      <c r="I3903" s="163">
        <f>IFERROR(__xludf.DUMMYFUNCTION("""COMPUTED_VALUE"""),21.0)</f>
        <v>21</v>
      </c>
      <c r="J3903" s="165">
        <f>IFERROR(__xludf.DUMMYFUNCTION("""COMPUTED_VALUE"""),-0.891707307449339)</f>
        <v>-0.8917073074</v>
      </c>
      <c r="K3903" s="165">
        <f>IFERROR(__xludf.DUMMYFUNCTION("""COMPUTED_VALUE"""),-0.509299762011399)</f>
        <v>-0.509299762</v>
      </c>
      <c r="L3903" s="165">
        <f>IFERROR(__xludf.DUMMYFUNCTION("""COMPUTED_VALUE"""),-0.382407545437941)</f>
        <v>-0.3824075454</v>
      </c>
      <c r="M3903" s="166">
        <f t="shared" si="2"/>
        <v>0.6901812733</v>
      </c>
      <c r="N3903" s="167">
        <f t="shared" si="3"/>
        <v>33.33356061</v>
      </c>
      <c r="O3903" s="163">
        <f t="shared" ref="O3903:Q3903" si="3907">rank(I3903,I:I)</f>
        <v>3528</v>
      </c>
      <c r="P3903" s="163">
        <f t="shared" si="3907"/>
        <v>2381</v>
      </c>
      <c r="Q3903" s="163">
        <f t="shared" si="3907"/>
        <v>2120</v>
      </c>
      <c r="R3903" s="163">
        <f>IFERROR(__xludf.DUMMYFUNCTION("RANK(M3903,filter(M:M,C:C=C3903))"),158.0)</f>
        <v>158</v>
      </c>
      <c r="S3903" s="161" t="b">
        <f t="shared" si="5"/>
        <v>1</v>
      </c>
      <c r="T3903" s="161" t="b">
        <f t="array" ref="T3903">index('Query Tool'!B:B,match(H3903,'Query Tool'!C:C,0))</f>
        <v>1</v>
      </c>
      <c r="U3903" s="161" t="b">
        <f t="array" ref="U3903">index('Query Tool'!B:B,match(C3903,'Query Tool'!C:C,0))</f>
        <v>1</v>
      </c>
      <c r="V3903" s="161" t="b">
        <f>F3903&gt;='Query Tool'!C$32</f>
        <v>1</v>
      </c>
      <c r="W3903" s="161" t="b">
        <f t="array" ref="W3903">index(Dropdowns!B:B,match(I3903,Dropdowns!A:A,0))</f>
        <v>1</v>
      </c>
      <c r="X3903" s="161" t="b">
        <f t="array" ref="X3903">index('Query Tool'!B:B,match(D3903,'Query Tool'!C:C,0))</f>
        <v>1</v>
      </c>
      <c r="Y3903" s="161" t="str">
        <f t="shared" si="6"/>
        <v>herroty01,2020-21</v>
      </c>
      <c r="Z3903" s="168" t="str">
        <f t="array" ref="Z3903">iferror(index(I:I,match($A3903&amp;","&amp;index('Year Conversion'!$A:$A,match($C3903,'Year Conversion'!$B:$B,0)),$Y:$Y,0))-I3903,"")</f>
        <v/>
      </c>
      <c r="AA3903" s="168" t="str">
        <f t="array" ref="AA3903">iferror(index(J:J,match($A3903&amp;","&amp;index('Year Conversion'!$A:$A,match($C3903,'Year Conversion'!$B:$B,0)),$Y:$Y,0))-J3903,"")</f>
        <v/>
      </c>
      <c r="AB3903" s="168" t="str">
        <f t="array" ref="AB3903">iferror(index(K:K,match($A3903&amp;","&amp;index('Year Conversion'!$A:$A,match($C3903,'Year Conversion'!$B:$B,0)),$Y:$Y,0))-K3903,"")</f>
        <v/>
      </c>
      <c r="AC3903" s="168" t="str">
        <f t="shared" si="7"/>
        <v>MIA,2020-21</v>
      </c>
    </row>
    <row r="3904">
      <c r="A3904" s="161" t="str">
        <f>IFERROR(__xludf.DUMMYFUNCTION("""COMPUTED_VALUE"""),"johnske04")</f>
        <v>johnske04</v>
      </c>
      <c r="B3904" s="161" t="str">
        <f>IFERROR(__xludf.DUMMYFUNCTION("""COMPUTED_VALUE"""),"Keldon Johnson")</f>
        <v>Keldon Johnson</v>
      </c>
      <c r="C3904" s="162" t="str">
        <f>IFERROR(__xludf.DUMMYFUNCTION("""COMPUTED_VALUE"""),"2020-21")</f>
        <v>2020-21</v>
      </c>
      <c r="D3904" s="163" t="str">
        <f>IFERROR(__xludf.DUMMYFUNCTION("""COMPUTED_VALUE"""),"SAS")</f>
        <v>SAS</v>
      </c>
      <c r="E3904" s="164" t="str">
        <f>IFERROR(__xludf.DUMMYFUNCTION("""COMPUTED_VALUE"""),"Stationary Shooter")</f>
        <v>Stationary Shooter</v>
      </c>
      <c r="F3904" s="164">
        <f>IFERROR(__xludf.DUMMYFUNCTION("""COMPUTED_VALUE"""),812.336666666666)</f>
        <v>812.3366667</v>
      </c>
      <c r="G3904" s="163">
        <f>IFERROR(__xludf.DUMMYFUNCTION("""COMPUTED_VALUE"""),27.0)</f>
        <v>27</v>
      </c>
      <c r="H3904" s="163" t="str">
        <f>IFERROR(__xludf.DUMMYFUNCTION("""COMPUTED_VALUE"""),"SF")</f>
        <v>SF</v>
      </c>
      <c r="I3904" s="163">
        <f>IFERROR(__xludf.DUMMYFUNCTION("""COMPUTED_VALUE"""),21.0)</f>
        <v>21</v>
      </c>
      <c r="J3904" s="165">
        <f>IFERROR(__xludf.DUMMYFUNCTION("""COMPUTED_VALUE"""),-0.182657156357084)</f>
        <v>-0.1826571564</v>
      </c>
      <c r="K3904" s="165">
        <f>IFERROR(__xludf.DUMMYFUNCTION("""COMPUTED_VALUE"""),-0.288569358875948)</f>
        <v>-0.2885693589</v>
      </c>
      <c r="L3904" s="165">
        <f>IFERROR(__xludf.DUMMYFUNCTION("""COMPUTED_VALUE"""),0.105912202518864)</f>
        <v>0.1059122025</v>
      </c>
      <c r="M3904" s="166">
        <f t="shared" si="2"/>
        <v>1.152321316</v>
      </c>
      <c r="N3904" s="167">
        <f t="shared" si="3"/>
        <v>30.08654321</v>
      </c>
      <c r="O3904" s="163">
        <f t="shared" ref="O3904:Q3904" si="3908">rank(I3904,I:I)</f>
        <v>3528</v>
      </c>
      <c r="P3904" s="163">
        <f t="shared" si="3908"/>
        <v>1485</v>
      </c>
      <c r="Q3904" s="163">
        <f t="shared" si="3908"/>
        <v>1744</v>
      </c>
      <c r="R3904" s="163">
        <f>IFERROR(__xludf.DUMMYFUNCTION("RANK(M3904,filter(M:M,C:C=C3904))"),105.0)</f>
        <v>105</v>
      </c>
      <c r="S3904" s="161" t="b">
        <f t="shared" si="5"/>
        <v>1</v>
      </c>
      <c r="T3904" s="161" t="b">
        <f t="array" ref="T3904">index('Query Tool'!B:B,match(H3904,'Query Tool'!C:C,0))</f>
        <v>1</v>
      </c>
      <c r="U3904" s="161" t="b">
        <f t="array" ref="U3904">index('Query Tool'!B:B,match(C3904,'Query Tool'!C:C,0))</f>
        <v>1</v>
      </c>
      <c r="V3904" s="161" t="b">
        <f>F3904&gt;='Query Tool'!C$32</f>
        <v>1</v>
      </c>
      <c r="W3904" s="161" t="b">
        <f t="array" ref="W3904">index(Dropdowns!B:B,match(I3904,Dropdowns!A:A,0))</f>
        <v>1</v>
      </c>
      <c r="X3904" s="161" t="b">
        <f t="array" ref="X3904">index('Query Tool'!B:B,match(D3904,'Query Tool'!C:C,0))</f>
        <v>1</v>
      </c>
      <c r="Y3904" s="161" t="str">
        <f t="shared" si="6"/>
        <v>johnske04,2020-21</v>
      </c>
      <c r="Z3904" s="168" t="str">
        <f t="array" ref="Z3904">iferror(index(I:I,match($A3904&amp;","&amp;index('Year Conversion'!$A:$A,match($C3904,'Year Conversion'!$B:$B,0)),$Y:$Y,0))-I3904,"")</f>
        <v/>
      </c>
      <c r="AA3904" s="168" t="str">
        <f t="array" ref="AA3904">iferror(index(J:J,match($A3904&amp;","&amp;index('Year Conversion'!$A:$A,match($C3904,'Year Conversion'!$B:$B,0)),$Y:$Y,0))-J3904,"")</f>
        <v/>
      </c>
      <c r="AB3904" s="168" t="str">
        <f t="array" ref="AB3904">iferror(index(K:K,match($A3904&amp;","&amp;index('Year Conversion'!$A:$A,match($C3904,'Year Conversion'!$B:$B,0)),$Y:$Y,0))-K3904,"")</f>
        <v/>
      </c>
      <c r="AC3904" s="168" t="str">
        <f t="shared" si="7"/>
        <v>SAS,2020-21</v>
      </c>
    </row>
    <row r="3905">
      <c r="A3905" s="161" t="str">
        <f>IFERROR(__xludf.DUMMYFUNCTION("""COMPUTED_VALUE"""),"littlna01")</f>
        <v>littlna01</v>
      </c>
      <c r="B3905" s="161" t="str">
        <f>IFERROR(__xludf.DUMMYFUNCTION("""COMPUTED_VALUE"""),"Nassir Little")</f>
        <v>Nassir Little</v>
      </c>
      <c r="C3905" s="162" t="str">
        <f>IFERROR(__xludf.DUMMYFUNCTION("""COMPUTED_VALUE"""),"2020-21")</f>
        <v>2020-21</v>
      </c>
      <c r="D3905" s="163" t="str">
        <f>IFERROR(__xludf.DUMMYFUNCTION("""COMPUTED_VALUE"""),"POR")</f>
        <v>POR</v>
      </c>
      <c r="E3905" s="164" t="str">
        <f>IFERROR(__xludf.DUMMYFUNCTION("""COMPUTED_VALUE"""),"Athletic Finisher")</f>
        <v>Athletic Finisher</v>
      </c>
      <c r="F3905" s="164">
        <f>IFERROR(__xludf.DUMMYFUNCTION("""COMPUTED_VALUE"""),146.001666666667)</f>
        <v>146.0016667</v>
      </c>
      <c r="G3905" s="163">
        <f>IFERROR(__xludf.DUMMYFUNCTION("""COMPUTED_VALUE"""),14.0)</f>
        <v>14</v>
      </c>
      <c r="H3905" s="163" t="str">
        <f>IFERROR(__xludf.DUMMYFUNCTION("""COMPUTED_VALUE"""),"PF")</f>
        <v>PF</v>
      </c>
      <c r="I3905" s="163">
        <f>IFERROR(__xludf.DUMMYFUNCTION("""COMPUTED_VALUE"""),20.0)</f>
        <v>20</v>
      </c>
      <c r="J3905" s="165">
        <f>IFERROR(__xludf.DUMMYFUNCTION("""COMPUTED_VALUE"""),-2.2789822650906)</f>
        <v>-2.278982265</v>
      </c>
      <c r="K3905" s="165">
        <f>IFERROR(__xludf.DUMMYFUNCTION("""COMPUTED_VALUE"""),-1.14834319866927)</f>
        <v>-1.148343199</v>
      </c>
      <c r="L3905" s="165">
        <f>IFERROR(__xludf.DUMMYFUNCTION("""COMPUTED_VALUE"""),-1.13063906642133)</f>
        <v>-1.130639066</v>
      </c>
      <c r="M3905" s="166">
        <f t="shared" si="2"/>
        <v>0.002363886923</v>
      </c>
      <c r="N3905" s="167">
        <f t="shared" si="3"/>
        <v>10.42869048</v>
      </c>
      <c r="O3905" s="163">
        <f t="shared" ref="O3905:Q3905" si="3909">rank(I3905,I:I)</f>
        <v>3770</v>
      </c>
      <c r="P3905" s="163">
        <f t="shared" si="3909"/>
        <v>3642</v>
      </c>
      <c r="Q3905" s="163">
        <f t="shared" si="3909"/>
        <v>2984</v>
      </c>
      <c r="R3905" s="163">
        <f>IFERROR(__xludf.DUMMYFUNCTION("RANK(M3905,filter(M:M,C:C=C3905))"),448.0)</f>
        <v>448</v>
      </c>
      <c r="S3905" s="161" t="b">
        <f t="shared" si="5"/>
        <v>0</v>
      </c>
      <c r="T3905" s="161" t="b">
        <f t="array" ref="T3905">index('Query Tool'!B:B,match(H3905,'Query Tool'!C:C,0))</f>
        <v>1</v>
      </c>
      <c r="U3905" s="161" t="b">
        <f t="array" ref="U3905">index('Query Tool'!B:B,match(C3905,'Query Tool'!C:C,0))</f>
        <v>1</v>
      </c>
      <c r="V3905" s="161" t="b">
        <f>F3905&gt;='Query Tool'!C$32</f>
        <v>0</v>
      </c>
      <c r="W3905" s="161" t="b">
        <f t="array" ref="W3905">index(Dropdowns!B:B,match(I3905,Dropdowns!A:A,0))</f>
        <v>1</v>
      </c>
      <c r="X3905" s="161" t="b">
        <f t="array" ref="X3905">index('Query Tool'!B:B,match(D3905,'Query Tool'!C:C,0))</f>
        <v>1</v>
      </c>
      <c r="Y3905" s="161" t="str">
        <f t="shared" si="6"/>
        <v>littlna01,2020-21</v>
      </c>
      <c r="Z3905" s="168" t="str">
        <f t="array" ref="Z3905">iferror(index(I:I,match($A3905&amp;","&amp;index('Year Conversion'!$A:$A,match($C3905,'Year Conversion'!$B:$B,0)),$Y:$Y,0))-I3905,"")</f>
        <v/>
      </c>
      <c r="AA3905" s="168" t="str">
        <f t="array" ref="AA3905">iferror(index(J:J,match($A3905&amp;","&amp;index('Year Conversion'!$A:$A,match($C3905,'Year Conversion'!$B:$B,0)),$Y:$Y,0))-J3905,"")</f>
        <v/>
      </c>
      <c r="AB3905" s="168" t="str">
        <f t="array" ref="AB3905">iferror(index(K:K,match($A3905&amp;","&amp;index('Year Conversion'!$A:$A,match($C3905,'Year Conversion'!$B:$B,0)),$Y:$Y,0))-K3905,"")</f>
        <v/>
      </c>
      <c r="AC3905" s="168" t="str">
        <f t="shared" si="7"/>
        <v>POR,2020-21</v>
      </c>
    </row>
    <row r="3906">
      <c r="A3906" s="161" t="str">
        <f>IFERROR(__xludf.DUMMYFUNCTION("""COMPUTED_VALUE"""),"okekech01")</f>
        <v>okekech01</v>
      </c>
      <c r="B3906" s="161" t="str">
        <f>IFERROR(__xludf.DUMMYFUNCTION("""COMPUTED_VALUE"""),"Chuma Okeke")</f>
        <v>Chuma Okeke</v>
      </c>
      <c r="C3906" s="162" t="str">
        <f>IFERROR(__xludf.DUMMYFUNCTION("""COMPUTED_VALUE"""),"2020-21")</f>
        <v>2020-21</v>
      </c>
      <c r="D3906" s="163" t="str">
        <f>IFERROR(__xludf.DUMMYFUNCTION("""COMPUTED_VALUE"""),"ORL")</f>
        <v>ORL</v>
      </c>
      <c r="E3906" s="164" t="str">
        <f>IFERROR(__xludf.DUMMYFUNCTION("""COMPUTED_VALUE"""),"Stationary Shooter")</f>
        <v>Stationary Shooter</v>
      </c>
      <c r="F3906" s="164">
        <f>IFERROR(__xludf.DUMMYFUNCTION("""COMPUTED_VALUE"""),328.916666666667)</f>
        <v>328.9166667</v>
      </c>
      <c r="G3906" s="163">
        <f>IFERROR(__xludf.DUMMYFUNCTION("""COMPUTED_VALUE"""),15.0)</f>
        <v>15</v>
      </c>
      <c r="H3906" s="163" t="str">
        <f>IFERROR(__xludf.DUMMYFUNCTION("""COMPUTED_VALUE"""),"PF")</f>
        <v>PF</v>
      </c>
      <c r="I3906" s="163">
        <f>IFERROR(__xludf.DUMMYFUNCTION("""COMPUTED_VALUE"""),22.0)</f>
        <v>22</v>
      </c>
      <c r="J3906" s="165">
        <f>IFERROR(__xludf.DUMMYFUNCTION("""COMPUTED_VALUE"""),-1.1331324202984)</f>
        <v>-1.13313242</v>
      </c>
      <c r="K3906" s="165">
        <f>IFERROR(__xludf.DUMMYFUNCTION("""COMPUTED_VALUE"""),-2.110974983985)</f>
        <v>-2.110974984</v>
      </c>
      <c r="L3906" s="165">
        <f>IFERROR(__xludf.DUMMYFUNCTION("""COMPUTED_VALUE"""),0.977842563686609)</f>
        <v>0.9778425637</v>
      </c>
      <c r="M3906" s="166">
        <f t="shared" si="2"/>
        <v>0.2562524196</v>
      </c>
      <c r="N3906" s="167">
        <f t="shared" si="3"/>
        <v>21.92777778</v>
      </c>
      <c r="O3906" s="163">
        <f t="shared" ref="O3906:Q3906" si="3910">rank(I3906,I:I)</f>
        <v>3178</v>
      </c>
      <c r="P3906" s="163">
        <f t="shared" si="3910"/>
        <v>2664</v>
      </c>
      <c r="Q3906" s="163">
        <f t="shared" si="3910"/>
        <v>3770</v>
      </c>
      <c r="R3906" s="163">
        <f>IFERROR(__xludf.DUMMYFUNCTION("RANK(M3906,filter(M:M,C:C=C3906))"),260.0)</f>
        <v>260</v>
      </c>
      <c r="S3906" s="161" t="b">
        <f t="shared" si="5"/>
        <v>0</v>
      </c>
      <c r="T3906" s="161" t="b">
        <f t="array" ref="T3906">index('Query Tool'!B:B,match(H3906,'Query Tool'!C:C,0))</f>
        <v>1</v>
      </c>
      <c r="U3906" s="161" t="b">
        <f t="array" ref="U3906">index('Query Tool'!B:B,match(C3906,'Query Tool'!C:C,0))</f>
        <v>1</v>
      </c>
      <c r="V3906" s="161" t="b">
        <f>F3906&gt;='Query Tool'!C$32</f>
        <v>0</v>
      </c>
      <c r="W3906" s="161" t="b">
        <f t="array" ref="W3906">index(Dropdowns!B:B,match(I3906,Dropdowns!A:A,0))</f>
        <v>1</v>
      </c>
      <c r="X3906" s="161" t="b">
        <f t="array" ref="X3906">index('Query Tool'!B:B,match(D3906,'Query Tool'!C:C,0))</f>
        <v>1</v>
      </c>
      <c r="Y3906" s="161" t="str">
        <f t="shared" si="6"/>
        <v>okekech01,2020-21</v>
      </c>
      <c r="Z3906" s="168" t="str">
        <f t="array" ref="Z3906">iferror(index(I:I,match($A3906&amp;","&amp;index('Year Conversion'!$A:$A,match($C3906,'Year Conversion'!$B:$B,0)),$Y:$Y,0))-I3906,"")</f>
        <v/>
      </c>
      <c r="AA3906" s="168" t="str">
        <f t="array" ref="AA3906">iferror(index(J:J,match($A3906&amp;","&amp;index('Year Conversion'!$A:$A,match($C3906,'Year Conversion'!$B:$B,0)),$Y:$Y,0))-J3906,"")</f>
        <v/>
      </c>
      <c r="AB3906" s="168" t="str">
        <f t="array" ref="AB3906">iferror(index(K:K,match($A3906&amp;","&amp;index('Year Conversion'!$A:$A,match($C3906,'Year Conversion'!$B:$B,0)),$Y:$Y,0))-K3906,"")</f>
        <v/>
      </c>
      <c r="AC3906" s="168" t="str">
        <f t="shared" si="7"/>
        <v>ORL,2020-21</v>
      </c>
    </row>
    <row r="3907">
      <c r="A3907" s="161" t="str">
        <f>IFERROR(__xludf.DUMMYFUNCTION("""COMPUTED_VALUE"""),"okpalkz01")</f>
        <v>okpalkz01</v>
      </c>
      <c r="B3907" s="161" t="str">
        <f>IFERROR(__xludf.DUMMYFUNCTION("""COMPUTED_VALUE"""),"KZ Okpala")</f>
        <v>KZ Okpala</v>
      </c>
      <c r="C3907" s="162" t="str">
        <f>IFERROR(__xludf.DUMMYFUNCTION("""COMPUTED_VALUE"""),"2020-21")</f>
        <v>2020-21</v>
      </c>
      <c r="D3907" s="163" t="str">
        <f>IFERROR(__xludf.DUMMYFUNCTION("""COMPUTED_VALUE"""),"MIA")</f>
        <v>MIA</v>
      </c>
      <c r="E3907" s="164" t="str">
        <f>IFERROR(__xludf.DUMMYFUNCTION("""COMPUTED_VALUE"""),"Stationary Shooter")</f>
        <v>Stationary Shooter</v>
      </c>
      <c r="F3907" s="164">
        <f>IFERROR(__xludf.DUMMYFUNCTION("""COMPUTED_VALUE"""),168.908333333333)</f>
        <v>168.9083333</v>
      </c>
      <c r="G3907" s="163">
        <f>IFERROR(__xludf.DUMMYFUNCTION("""COMPUTED_VALUE"""),15.0)</f>
        <v>15</v>
      </c>
      <c r="H3907" s="163" t="str">
        <f>IFERROR(__xludf.DUMMYFUNCTION("""COMPUTED_VALUE"""),"PF")</f>
        <v>PF</v>
      </c>
      <c r="I3907" s="163">
        <f>IFERROR(__xludf.DUMMYFUNCTION("""COMPUTED_VALUE"""),21.0)</f>
        <v>21</v>
      </c>
      <c r="J3907" s="165">
        <f>IFERROR(__xludf.DUMMYFUNCTION("""COMPUTED_VALUE"""),-1.05128092782395)</f>
        <v>-1.051280928</v>
      </c>
      <c r="K3907" s="165">
        <f>IFERROR(__xludf.DUMMYFUNCTION("""COMPUTED_VALUE"""),-1.05579027978503)</f>
        <v>-1.05579028</v>
      </c>
      <c r="L3907" s="165">
        <f>IFERROR(__xludf.DUMMYFUNCTION("""COMPUTED_VALUE"""),0.00450935196107571)</f>
        <v>0.004509351961</v>
      </c>
      <c r="M3907" s="166">
        <f t="shared" si="2"/>
        <v>0.1408678517</v>
      </c>
      <c r="N3907" s="167">
        <f t="shared" si="3"/>
        <v>11.26055556</v>
      </c>
      <c r="O3907" s="163">
        <f t="shared" ref="O3907:Q3907" si="3911">rank(I3907,I:I)</f>
        <v>3528</v>
      </c>
      <c r="P3907" s="163">
        <f t="shared" si="3911"/>
        <v>2553</v>
      </c>
      <c r="Q3907" s="163">
        <f t="shared" si="3911"/>
        <v>2880</v>
      </c>
      <c r="R3907" s="163">
        <f>IFERROR(__xludf.DUMMYFUNCTION("RANK(M3907,filter(M:M,C:C=C3907))"),301.0)</f>
        <v>301</v>
      </c>
      <c r="S3907" s="161" t="b">
        <f t="shared" si="5"/>
        <v>0</v>
      </c>
      <c r="T3907" s="161" t="b">
        <f t="array" ref="T3907">index('Query Tool'!B:B,match(H3907,'Query Tool'!C:C,0))</f>
        <v>1</v>
      </c>
      <c r="U3907" s="161" t="b">
        <f t="array" ref="U3907">index('Query Tool'!B:B,match(C3907,'Query Tool'!C:C,0))</f>
        <v>1</v>
      </c>
      <c r="V3907" s="161" t="b">
        <f>F3907&gt;='Query Tool'!C$32</f>
        <v>0</v>
      </c>
      <c r="W3907" s="161" t="b">
        <f t="array" ref="W3907">index(Dropdowns!B:B,match(I3907,Dropdowns!A:A,0))</f>
        <v>1</v>
      </c>
      <c r="X3907" s="161" t="b">
        <f t="array" ref="X3907">index('Query Tool'!B:B,match(D3907,'Query Tool'!C:C,0))</f>
        <v>1</v>
      </c>
      <c r="Y3907" s="161" t="str">
        <f t="shared" si="6"/>
        <v>okpalkz01,2020-21</v>
      </c>
      <c r="Z3907" s="168" t="str">
        <f t="array" ref="Z3907">iferror(index(I:I,match($A3907&amp;","&amp;index('Year Conversion'!$A:$A,match($C3907,'Year Conversion'!$B:$B,0)),$Y:$Y,0))-I3907,"")</f>
        <v/>
      </c>
      <c r="AA3907" s="168" t="str">
        <f t="array" ref="AA3907">iferror(index(J:J,match($A3907&amp;","&amp;index('Year Conversion'!$A:$A,match($C3907,'Year Conversion'!$B:$B,0)),$Y:$Y,0))-J3907,"")</f>
        <v/>
      </c>
      <c r="AB3907" s="168" t="str">
        <f t="array" ref="AB3907">iferror(index(K:K,match($A3907&amp;","&amp;index('Year Conversion'!$A:$A,match($C3907,'Year Conversion'!$B:$B,0)),$Y:$Y,0))-K3907,"")</f>
        <v/>
      </c>
      <c r="AC3907" s="168" t="str">
        <f t="shared" si="7"/>
        <v>MIA,2020-21</v>
      </c>
    </row>
    <row r="3908">
      <c r="A3908" s="161" t="str">
        <f>IFERROR(__xludf.DUMMYFUNCTION("""COMPUTED_VALUE"""),"bazleda01")</f>
        <v>bazleda01</v>
      </c>
      <c r="B3908" s="161" t="str">
        <f>IFERROR(__xludf.DUMMYFUNCTION("""COMPUTED_VALUE"""),"Darius Bazley")</f>
        <v>Darius Bazley</v>
      </c>
      <c r="C3908" s="162" t="str">
        <f>IFERROR(__xludf.DUMMYFUNCTION("""COMPUTED_VALUE"""),"2020-21")</f>
        <v>2020-21</v>
      </c>
      <c r="D3908" s="163" t="str">
        <f>IFERROR(__xludf.DUMMYFUNCTION("""COMPUTED_VALUE"""),"OKC")</f>
        <v>OKC</v>
      </c>
      <c r="E3908" s="164" t="str">
        <f>IFERROR(__xludf.DUMMYFUNCTION("""COMPUTED_VALUE"""),"Stationary Shooter")</f>
        <v>Stationary Shooter</v>
      </c>
      <c r="F3908" s="164">
        <f>IFERROR(__xludf.DUMMYFUNCTION("""COMPUTED_VALUE"""),922.953333333333)</f>
        <v>922.9533333</v>
      </c>
      <c r="G3908" s="163">
        <f>IFERROR(__xludf.DUMMYFUNCTION("""COMPUTED_VALUE"""),30.0)</f>
        <v>30</v>
      </c>
      <c r="H3908" s="163" t="str">
        <f>IFERROR(__xludf.DUMMYFUNCTION("""COMPUTED_VALUE"""),"PF")</f>
        <v>PF</v>
      </c>
      <c r="I3908" s="163">
        <f>IFERROR(__xludf.DUMMYFUNCTION("""COMPUTED_VALUE"""),20.0)</f>
        <v>20</v>
      </c>
      <c r="J3908" s="165">
        <f>IFERROR(__xludf.DUMMYFUNCTION("""COMPUTED_VALUE"""),-2.29245724252744)</f>
        <v>-2.292457243</v>
      </c>
      <c r="K3908" s="165">
        <f>IFERROR(__xludf.DUMMYFUNCTION("""COMPUTED_VALUE"""),-2.64629512036754)</f>
        <v>-2.64629512</v>
      </c>
      <c r="L3908" s="165">
        <f>IFERROR(__xludf.DUMMYFUNCTION("""COMPUTED_VALUE"""),0.353837877840099)</f>
        <v>0.3538378778</v>
      </c>
      <c r="M3908" s="166">
        <f t="shared" si="2"/>
        <v>0.006738578745</v>
      </c>
      <c r="N3908" s="167">
        <f t="shared" si="3"/>
        <v>30.76511111</v>
      </c>
      <c r="O3908" s="163">
        <f t="shared" ref="O3908:Q3908" si="3912">rank(I3908,I:I)</f>
        <v>3770</v>
      </c>
      <c r="P3908" s="163">
        <f t="shared" si="3912"/>
        <v>3653</v>
      </c>
      <c r="Q3908" s="163">
        <f t="shared" si="3912"/>
        <v>3922</v>
      </c>
      <c r="R3908" s="163">
        <f>IFERROR(__xludf.DUMMYFUNCTION("RANK(M3908,filter(M:M,C:C=C3908))"),441.0)</f>
        <v>441</v>
      </c>
      <c r="S3908" s="161" t="b">
        <f t="shared" si="5"/>
        <v>1</v>
      </c>
      <c r="T3908" s="161" t="b">
        <f t="array" ref="T3908">index('Query Tool'!B:B,match(H3908,'Query Tool'!C:C,0))</f>
        <v>1</v>
      </c>
      <c r="U3908" s="161" t="b">
        <f t="array" ref="U3908">index('Query Tool'!B:B,match(C3908,'Query Tool'!C:C,0))</f>
        <v>1</v>
      </c>
      <c r="V3908" s="161" t="b">
        <f>F3908&gt;='Query Tool'!C$32</f>
        <v>1</v>
      </c>
      <c r="W3908" s="161" t="b">
        <f t="array" ref="W3908">index(Dropdowns!B:B,match(I3908,Dropdowns!A:A,0))</f>
        <v>1</v>
      </c>
      <c r="X3908" s="161" t="b">
        <f t="array" ref="X3908">index('Query Tool'!B:B,match(D3908,'Query Tool'!C:C,0))</f>
        <v>1</v>
      </c>
      <c r="Y3908" s="161" t="str">
        <f t="shared" si="6"/>
        <v>bazleda01,2020-21</v>
      </c>
      <c r="Z3908" s="168" t="str">
        <f t="array" ref="Z3908">iferror(index(I:I,match($A3908&amp;","&amp;index('Year Conversion'!$A:$A,match($C3908,'Year Conversion'!$B:$B,0)),$Y:$Y,0))-I3908,"")</f>
        <v/>
      </c>
      <c r="AA3908" s="168" t="str">
        <f t="array" ref="AA3908">iferror(index(J:J,match($A3908&amp;","&amp;index('Year Conversion'!$A:$A,match($C3908,'Year Conversion'!$B:$B,0)),$Y:$Y,0))-J3908,"")</f>
        <v/>
      </c>
      <c r="AB3908" s="168" t="str">
        <f t="array" ref="AB3908">iferror(index(K:K,match($A3908&amp;","&amp;index('Year Conversion'!$A:$A,match($C3908,'Year Conversion'!$B:$B,0)),$Y:$Y,0))-K3908,"")</f>
        <v/>
      </c>
      <c r="AC3908" s="168" t="str">
        <f t="shared" si="7"/>
        <v>OKC,2020-21</v>
      </c>
    </row>
    <row r="3909">
      <c r="A3909" s="161" t="str">
        <f>IFERROR(__xludf.DUMMYFUNCTION("""COMPUTED_VALUE"""),"bonejo01")</f>
        <v>bonejo01</v>
      </c>
      <c r="B3909" s="161" t="str">
        <f>IFERROR(__xludf.DUMMYFUNCTION("""COMPUTED_VALUE"""),"Jordan Bone")</f>
        <v>Jordan Bone</v>
      </c>
      <c r="C3909" s="162" t="str">
        <f>IFERROR(__xludf.DUMMYFUNCTION("""COMPUTED_VALUE"""),"2020-21")</f>
        <v>2020-21</v>
      </c>
      <c r="D3909" s="163" t="str">
        <f>IFERROR(__xludf.DUMMYFUNCTION("""COMPUTED_VALUE"""),"ORL")</f>
        <v>ORL</v>
      </c>
      <c r="E3909" s="164" t="str">
        <f>IFERROR(__xludf.DUMMYFUNCTION("""COMPUTED_VALUE"""),"Secondary Ball Handler")</f>
        <v>Secondary Ball Handler</v>
      </c>
      <c r="F3909" s="164">
        <f>IFERROR(__xludf.DUMMYFUNCTION("""COMPUTED_VALUE"""),195.856666666667)</f>
        <v>195.8566667</v>
      </c>
      <c r="G3909" s="163">
        <f>IFERROR(__xludf.DUMMYFUNCTION("""COMPUTED_VALUE"""),14.0)</f>
        <v>14</v>
      </c>
      <c r="H3909" s="163" t="str">
        <f>IFERROR(__xludf.DUMMYFUNCTION("""COMPUTED_VALUE"""),"PG")</f>
        <v>PG</v>
      </c>
      <c r="I3909" s="163">
        <f>IFERROR(__xludf.DUMMYFUNCTION("""COMPUTED_VALUE"""),23.0)</f>
        <v>23</v>
      </c>
      <c r="J3909" s="165">
        <f>IFERROR(__xludf.DUMMYFUNCTION("""COMPUTED_VALUE"""),-1.6338632539437)</f>
        <v>-1.633863254</v>
      </c>
      <c r="K3909" s="165">
        <f>IFERROR(__xludf.DUMMYFUNCTION("""COMPUTED_VALUE"""),-0.882041002751032)</f>
        <v>-0.8820410028</v>
      </c>
      <c r="L3909" s="165">
        <f>IFERROR(__xludf.DUMMYFUNCTION("""COMPUTED_VALUE"""),-0.751822251192667)</f>
        <v>-0.7518222512</v>
      </c>
      <c r="M3909" s="166">
        <f t="shared" si="2"/>
        <v>0.08699945382</v>
      </c>
      <c r="N3909" s="167">
        <f t="shared" si="3"/>
        <v>13.9897619</v>
      </c>
      <c r="O3909" s="163">
        <f t="shared" ref="O3909:Q3909" si="3913">rank(I3909,I:I)</f>
        <v>2765</v>
      </c>
      <c r="P3909" s="163">
        <f t="shared" si="3913"/>
        <v>3180</v>
      </c>
      <c r="Q3909" s="163">
        <f t="shared" si="3913"/>
        <v>2667</v>
      </c>
      <c r="R3909" s="163">
        <f>IFERROR(__xludf.DUMMYFUNCTION("RANK(M3909,filter(M:M,C:C=C3909))"),343.0)</f>
        <v>343</v>
      </c>
      <c r="S3909" s="161" t="b">
        <f t="shared" si="5"/>
        <v>0</v>
      </c>
      <c r="T3909" s="161" t="b">
        <f t="array" ref="T3909">index('Query Tool'!B:B,match(H3909,'Query Tool'!C:C,0))</f>
        <v>1</v>
      </c>
      <c r="U3909" s="161" t="b">
        <f t="array" ref="U3909">index('Query Tool'!B:B,match(C3909,'Query Tool'!C:C,0))</f>
        <v>1</v>
      </c>
      <c r="V3909" s="161" t="b">
        <f>F3909&gt;='Query Tool'!C$32</f>
        <v>0</v>
      </c>
      <c r="W3909" s="161" t="b">
        <f t="array" ref="W3909">index(Dropdowns!B:B,match(I3909,Dropdowns!A:A,0))</f>
        <v>1</v>
      </c>
      <c r="X3909" s="161" t="b">
        <f t="array" ref="X3909">index('Query Tool'!B:B,match(D3909,'Query Tool'!C:C,0))</f>
        <v>1</v>
      </c>
      <c r="Y3909" s="161" t="str">
        <f t="shared" si="6"/>
        <v>bonejo01,2020-21</v>
      </c>
      <c r="Z3909" s="168" t="str">
        <f t="array" ref="Z3909">iferror(index(I:I,match($A3909&amp;","&amp;index('Year Conversion'!$A:$A,match($C3909,'Year Conversion'!$B:$B,0)),$Y:$Y,0))-I3909,"")</f>
        <v/>
      </c>
      <c r="AA3909" s="168" t="str">
        <f t="array" ref="AA3909">iferror(index(J:J,match($A3909&amp;","&amp;index('Year Conversion'!$A:$A,match($C3909,'Year Conversion'!$B:$B,0)),$Y:$Y,0))-J3909,"")</f>
        <v/>
      </c>
      <c r="AB3909" s="168" t="str">
        <f t="array" ref="AB3909">iferror(index(K:K,match($A3909&amp;","&amp;index('Year Conversion'!$A:$A,match($C3909,'Year Conversion'!$B:$B,0)),$Y:$Y,0))-K3909,"")</f>
        <v/>
      </c>
      <c r="AC3909" s="168" t="str">
        <f t="shared" si="7"/>
        <v>ORL,2020-21</v>
      </c>
    </row>
    <row r="3910">
      <c r="A3910" s="161" t="str">
        <f>IFERROR(__xludf.DUMMYFUNCTION("""COMPUTED_VALUE"""),"brazdig01")</f>
        <v>brazdig01</v>
      </c>
      <c r="B3910" s="161" t="str">
        <f>IFERROR(__xludf.DUMMYFUNCTION("""COMPUTED_VALUE"""),"Ignas Brazdeikis")</f>
        <v>Ignas Brazdeikis</v>
      </c>
      <c r="C3910" s="162" t="str">
        <f>IFERROR(__xludf.DUMMYFUNCTION("""COMPUTED_VALUE"""),"2020-21")</f>
        <v>2020-21</v>
      </c>
      <c r="D3910" s="163" t="str">
        <f>IFERROR(__xludf.DUMMYFUNCTION("""COMPUTED_VALUE"""),"NYK")</f>
        <v>NYK</v>
      </c>
      <c r="E3910" s="164" t="str">
        <f>IFERROR(__xludf.DUMMYFUNCTION("""COMPUTED_VALUE"""),"Roll + Cut Big")</f>
        <v>Roll + Cut Big</v>
      </c>
      <c r="F3910" s="164">
        <f>IFERROR(__xludf.DUMMYFUNCTION("""COMPUTED_VALUE"""),7.095)</f>
        <v>7.095</v>
      </c>
      <c r="G3910" s="163">
        <f>IFERROR(__xludf.DUMMYFUNCTION("""COMPUTED_VALUE"""),4.0)</f>
        <v>4</v>
      </c>
      <c r="H3910" s="163" t="str">
        <f>IFERROR(__xludf.DUMMYFUNCTION("""COMPUTED_VALUE"""),"SF")</f>
        <v>SF</v>
      </c>
      <c r="I3910" s="163">
        <f>IFERROR(__xludf.DUMMYFUNCTION("""COMPUTED_VALUE"""),22.0)</f>
        <v>22</v>
      </c>
      <c r="J3910" s="165">
        <f>IFERROR(__xludf.DUMMYFUNCTION("""COMPUTED_VALUE"""),-0.746546053409932)</f>
        <v>-0.7465460534</v>
      </c>
      <c r="K3910" s="165">
        <f>IFERROR(__xludf.DUMMYFUNCTION("""COMPUTED_VALUE"""),-0.0905972389756103)</f>
        <v>-0.09059723898</v>
      </c>
      <c r="L3910" s="165">
        <f>IFERROR(__xludf.DUMMYFUNCTION("""COMPUTED_VALUE"""),-0.655948814434322)</f>
        <v>-0.6559488144</v>
      </c>
      <c r="M3910" s="166">
        <f t="shared" si="2"/>
        <v>0.007369876206</v>
      </c>
      <c r="N3910" s="167">
        <f t="shared" si="3"/>
        <v>1.77375</v>
      </c>
      <c r="O3910" s="163">
        <f t="shared" ref="O3910:Q3910" si="3914">rank(I3910,I:I)</f>
        <v>3178</v>
      </c>
      <c r="P3910" s="163">
        <f t="shared" si="3914"/>
        <v>2211</v>
      </c>
      <c r="Q3910" s="163">
        <f t="shared" si="3914"/>
        <v>1345</v>
      </c>
      <c r="R3910" s="163">
        <f>IFERROR(__xludf.DUMMYFUNCTION("RANK(M3910,filter(M:M,C:C=C3910))"),439.0)</f>
        <v>439</v>
      </c>
      <c r="S3910" s="161" t="b">
        <f t="shared" si="5"/>
        <v>0</v>
      </c>
      <c r="T3910" s="161" t="b">
        <f t="array" ref="T3910">index('Query Tool'!B:B,match(H3910,'Query Tool'!C:C,0))</f>
        <v>1</v>
      </c>
      <c r="U3910" s="161" t="b">
        <f t="array" ref="U3910">index('Query Tool'!B:B,match(C3910,'Query Tool'!C:C,0))</f>
        <v>1</v>
      </c>
      <c r="V3910" s="161" t="b">
        <f>F3910&gt;='Query Tool'!C$32</f>
        <v>0</v>
      </c>
      <c r="W3910" s="161" t="b">
        <f t="array" ref="W3910">index(Dropdowns!B:B,match(I3910,Dropdowns!A:A,0))</f>
        <v>1</v>
      </c>
      <c r="X3910" s="161" t="b">
        <f t="array" ref="X3910">index('Query Tool'!B:B,match(D3910,'Query Tool'!C:C,0))</f>
        <v>1</v>
      </c>
      <c r="Y3910" s="161" t="str">
        <f t="shared" si="6"/>
        <v>brazdig01,2020-21</v>
      </c>
      <c r="Z3910" s="168" t="str">
        <f t="array" ref="Z3910">iferror(index(I:I,match($A3910&amp;","&amp;index('Year Conversion'!$A:$A,match($C3910,'Year Conversion'!$B:$B,0)),$Y:$Y,0))-I3910,"")</f>
        <v/>
      </c>
      <c r="AA3910" s="168" t="str">
        <f t="array" ref="AA3910">iferror(index(J:J,match($A3910&amp;","&amp;index('Year Conversion'!$A:$A,match($C3910,'Year Conversion'!$B:$B,0)),$Y:$Y,0))-J3910,"")</f>
        <v/>
      </c>
      <c r="AB3910" s="168" t="str">
        <f t="array" ref="AB3910">iferror(index(K:K,match($A3910&amp;","&amp;index('Year Conversion'!$A:$A,match($C3910,'Year Conversion'!$B:$B,0)),$Y:$Y,0))-K3910,"")</f>
        <v/>
      </c>
      <c r="AC3910" s="168" t="str">
        <f t="shared" si="7"/>
        <v>NYK,2020-21</v>
      </c>
    </row>
    <row r="3911">
      <c r="A3911" s="161" t="str">
        <f>IFERROR(__xludf.DUMMYFUNCTION("""COMPUTED_VALUE"""),"brownmo01")</f>
        <v>brownmo01</v>
      </c>
      <c r="B3911" s="161" t="str">
        <f>IFERROR(__xludf.DUMMYFUNCTION("""COMPUTED_VALUE"""),"Moses Brown")</f>
        <v>Moses Brown</v>
      </c>
      <c r="C3911" s="162" t="str">
        <f>IFERROR(__xludf.DUMMYFUNCTION("""COMPUTED_VALUE"""),"2020-21")</f>
        <v>2020-21</v>
      </c>
      <c r="D3911" s="163" t="str">
        <f>IFERROR(__xludf.DUMMYFUNCTION("""COMPUTED_VALUE"""),"OKC")</f>
        <v>OKC</v>
      </c>
      <c r="E3911" s="164" t="str">
        <f>IFERROR(__xludf.DUMMYFUNCTION("""COMPUTED_VALUE"""),"Post Scorer")</f>
        <v>Post Scorer</v>
      </c>
      <c r="F3911" s="164">
        <f>IFERROR(__xludf.DUMMYFUNCTION("""COMPUTED_VALUE"""),31.3166666666667)</f>
        <v>31.31666667</v>
      </c>
      <c r="G3911" s="163">
        <f>IFERROR(__xludf.DUMMYFUNCTION("""COMPUTED_VALUE"""),7.0)</f>
        <v>7</v>
      </c>
      <c r="H3911" s="163" t="str">
        <f>IFERROR(__xludf.DUMMYFUNCTION("""COMPUTED_VALUE"""),"C")</f>
        <v>C</v>
      </c>
      <c r="I3911" s="163">
        <f>IFERROR(__xludf.DUMMYFUNCTION("""COMPUTED_VALUE"""),21.0)</f>
        <v>21</v>
      </c>
      <c r="J3911" s="165">
        <f>IFERROR(__xludf.DUMMYFUNCTION("""COMPUTED_VALUE"""),0.140718440205034)</f>
        <v>0.1407184402</v>
      </c>
      <c r="K3911" s="165">
        <f>IFERROR(__xludf.DUMMYFUNCTION("""COMPUTED_VALUE"""),-0.141183810964705)</f>
        <v>-0.141183811</v>
      </c>
      <c r="L3911" s="165">
        <f>IFERROR(__xludf.DUMMYFUNCTION("""COMPUTED_VALUE"""),0.281902251169739)</f>
        <v>0.2819022512</v>
      </c>
      <c r="M3911" s="166">
        <f t="shared" si="2"/>
        <v>0.05125082096</v>
      </c>
      <c r="N3911" s="167">
        <f t="shared" si="3"/>
        <v>4.473809524</v>
      </c>
      <c r="O3911" s="163">
        <f t="shared" ref="O3911:Q3911" si="3915">rank(I3911,I:I)</f>
        <v>3528</v>
      </c>
      <c r="P3911" s="163">
        <f t="shared" si="3915"/>
        <v>1145</v>
      </c>
      <c r="Q3911" s="163">
        <f t="shared" si="3915"/>
        <v>1466</v>
      </c>
      <c r="R3911" s="163">
        <f>IFERROR(__xludf.DUMMYFUNCTION("RANK(M3911,filter(M:M,C:C=C3911))"),378.0)</f>
        <v>378</v>
      </c>
      <c r="S3911" s="161" t="b">
        <f t="shared" si="5"/>
        <v>0</v>
      </c>
      <c r="T3911" s="161" t="b">
        <f t="array" ref="T3911">index('Query Tool'!B:B,match(H3911,'Query Tool'!C:C,0))</f>
        <v>1</v>
      </c>
      <c r="U3911" s="161" t="b">
        <f t="array" ref="U3911">index('Query Tool'!B:B,match(C3911,'Query Tool'!C:C,0))</f>
        <v>1</v>
      </c>
      <c r="V3911" s="161" t="b">
        <f>F3911&gt;='Query Tool'!C$32</f>
        <v>0</v>
      </c>
      <c r="W3911" s="161" t="b">
        <f t="array" ref="W3911">index(Dropdowns!B:B,match(I3911,Dropdowns!A:A,0))</f>
        <v>1</v>
      </c>
      <c r="X3911" s="161" t="b">
        <f t="array" ref="X3911">index('Query Tool'!B:B,match(D3911,'Query Tool'!C:C,0))</f>
        <v>1</v>
      </c>
      <c r="Y3911" s="161" t="str">
        <f t="shared" si="6"/>
        <v>brownmo01,2020-21</v>
      </c>
      <c r="Z3911" s="168" t="str">
        <f t="array" ref="Z3911">iferror(index(I:I,match($A3911&amp;","&amp;index('Year Conversion'!$A:$A,match($C3911,'Year Conversion'!$B:$B,0)),$Y:$Y,0))-I3911,"")</f>
        <v/>
      </c>
      <c r="AA3911" s="168" t="str">
        <f t="array" ref="AA3911">iferror(index(J:J,match($A3911&amp;","&amp;index('Year Conversion'!$A:$A,match($C3911,'Year Conversion'!$B:$B,0)),$Y:$Y,0))-J3911,"")</f>
        <v/>
      </c>
      <c r="AB3911" s="168" t="str">
        <f t="array" ref="AB3911">iferror(index(K:K,match($A3911&amp;","&amp;index('Year Conversion'!$A:$A,match($C3911,'Year Conversion'!$B:$B,0)),$Y:$Y,0))-K3911,"")</f>
        <v/>
      </c>
      <c r="AC3911" s="168" t="str">
        <f t="shared" si="7"/>
        <v>OKC,2020-21</v>
      </c>
    </row>
    <row r="3912">
      <c r="A3912" s="161" t="str">
        <f>IFERROR(__xludf.DUMMYFUNCTION("""COMPUTED_VALUE"""),"dortlu01")</f>
        <v>dortlu01</v>
      </c>
      <c r="B3912" s="161" t="str">
        <f>IFERROR(__xludf.DUMMYFUNCTION("""COMPUTED_VALUE"""),"Luguentz Dort")</f>
        <v>Luguentz Dort</v>
      </c>
      <c r="C3912" s="162" t="str">
        <f>IFERROR(__xludf.DUMMYFUNCTION("""COMPUTED_VALUE"""),"2020-21")</f>
        <v>2020-21</v>
      </c>
      <c r="D3912" s="163" t="str">
        <f>IFERROR(__xludf.DUMMYFUNCTION("""COMPUTED_VALUE"""),"OKC")</f>
        <v>OKC</v>
      </c>
      <c r="E3912" s="164" t="str">
        <f>IFERROR(__xludf.DUMMYFUNCTION("""COMPUTED_VALUE"""),"Stationary Shooter")</f>
        <v>Stationary Shooter</v>
      </c>
      <c r="F3912" s="164">
        <f>IFERROR(__xludf.DUMMYFUNCTION("""COMPUTED_VALUE"""),863.335)</f>
        <v>863.335</v>
      </c>
      <c r="G3912" s="163">
        <f>IFERROR(__xludf.DUMMYFUNCTION("""COMPUTED_VALUE"""),29.0)</f>
        <v>29</v>
      </c>
      <c r="H3912" s="163" t="str">
        <f>IFERROR(__xludf.DUMMYFUNCTION("""COMPUTED_VALUE"""),"SG")</f>
        <v>SG</v>
      </c>
      <c r="I3912" s="163">
        <f>IFERROR(__xludf.DUMMYFUNCTION("""COMPUTED_VALUE"""),21.0)</f>
        <v>21</v>
      </c>
      <c r="J3912" s="165">
        <f>IFERROR(__xludf.DUMMYFUNCTION("""COMPUTED_VALUE"""),-2.23151893892938)</f>
        <v>-2.231518939</v>
      </c>
      <c r="K3912" s="165">
        <f>IFERROR(__xludf.DUMMYFUNCTION("""COMPUTED_VALUE"""),-1.19800587780363)</f>
        <v>-1.198005878</v>
      </c>
      <c r="L3912" s="165">
        <f>IFERROR(__xludf.DUMMYFUNCTION("""COMPUTED_VALUE"""),-1.03351306112574)</f>
        <v>-1.033513061</v>
      </c>
      <c r="M3912" s="166">
        <f t="shared" si="2"/>
        <v>0.04102676411</v>
      </c>
      <c r="N3912" s="167">
        <f t="shared" si="3"/>
        <v>29.77017241</v>
      </c>
      <c r="O3912" s="163">
        <f t="shared" ref="O3912:Q3912" si="3916">rank(I3912,I:I)</f>
        <v>3528</v>
      </c>
      <c r="P3912" s="163">
        <f t="shared" si="3916"/>
        <v>3618</v>
      </c>
      <c r="Q3912" s="163">
        <f t="shared" si="3916"/>
        <v>3036</v>
      </c>
      <c r="R3912" s="163">
        <f>IFERROR(__xludf.DUMMYFUNCTION("RANK(M3912,filter(M:M,C:C=C3912))"),392.0)</f>
        <v>392</v>
      </c>
      <c r="S3912" s="161" t="b">
        <f t="shared" si="5"/>
        <v>1</v>
      </c>
      <c r="T3912" s="161" t="b">
        <f t="array" ref="T3912">index('Query Tool'!B:B,match(H3912,'Query Tool'!C:C,0))</f>
        <v>1</v>
      </c>
      <c r="U3912" s="161" t="b">
        <f t="array" ref="U3912">index('Query Tool'!B:B,match(C3912,'Query Tool'!C:C,0))</f>
        <v>1</v>
      </c>
      <c r="V3912" s="161" t="b">
        <f>F3912&gt;='Query Tool'!C$32</f>
        <v>1</v>
      </c>
      <c r="W3912" s="161" t="b">
        <f t="array" ref="W3912">index(Dropdowns!B:B,match(I3912,Dropdowns!A:A,0))</f>
        <v>1</v>
      </c>
      <c r="X3912" s="161" t="b">
        <f t="array" ref="X3912">index('Query Tool'!B:B,match(D3912,'Query Tool'!C:C,0))</f>
        <v>1</v>
      </c>
      <c r="Y3912" s="161" t="str">
        <f t="shared" si="6"/>
        <v>dortlu01,2020-21</v>
      </c>
      <c r="Z3912" s="168" t="str">
        <f t="array" ref="Z3912">iferror(index(I:I,match($A3912&amp;","&amp;index('Year Conversion'!$A:$A,match($C3912,'Year Conversion'!$B:$B,0)),$Y:$Y,0))-I3912,"")</f>
        <v/>
      </c>
      <c r="AA3912" s="168" t="str">
        <f t="array" ref="AA3912">iferror(index(J:J,match($A3912&amp;","&amp;index('Year Conversion'!$A:$A,match($C3912,'Year Conversion'!$B:$B,0)),$Y:$Y,0))-J3912,"")</f>
        <v/>
      </c>
      <c r="AB3912" s="168" t="str">
        <f t="array" ref="AB3912">iferror(index(K:K,match($A3912&amp;","&amp;index('Year Conversion'!$A:$A,match($C3912,'Year Conversion'!$B:$B,0)),$Y:$Y,0))-K3912,"")</f>
        <v/>
      </c>
      <c r="AC3912" s="168" t="str">
        <f t="shared" si="7"/>
        <v>OKC,2020-21</v>
      </c>
    </row>
    <row r="3913">
      <c r="A3913" s="161" t="str">
        <f>IFERROR(__xludf.DUMMYFUNCTION("""COMPUTED_VALUE"""),"dotsode01")</f>
        <v>dotsode01</v>
      </c>
      <c r="B3913" s="161" t="str">
        <f>IFERROR(__xludf.DUMMYFUNCTION("""COMPUTED_VALUE"""),"Devon Dotson")</f>
        <v>Devon Dotson</v>
      </c>
      <c r="C3913" s="162" t="str">
        <f>IFERROR(__xludf.DUMMYFUNCTION("""COMPUTED_VALUE"""),"2020-21")</f>
        <v>2020-21</v>
      </c>
      <c r="D3913" s="163" t="str">
        <f>IFERROR(__xludf.DUMMYFUNCTION("""COMPUTED_VALUE"""),"CHI")</f>
        <v>CHI</v>
      </c>
      <c r="E3913" s="164" t="str">
        <f>IFERROR(__xludf.DUMMYFUNCTION("""COMPUTED_VALUE"""),"Slasher")</f>
        <v>Slasher</v>
      </c>
      <c r="F3913" s="164">
        <f>IFERROR(__xludf.DUMMYFUNCTION("""COMPUTED_VALUE"""),9.53333333333333)</f>
        <v>9.533333333</v>
      </c>
      <c r="G3913" s="163">
        <f>IFERROR(__xludf.DUMMYFUNCTION("""COMPUTED_VALUE"""),1.0)</f>
        <v>1</v>
      </c>
      <c r="H3913" s="163" t="str">
        <f>IFERROR(__xludf.DUMMYFUNCTION("""COMPUTED_VALUE"""),"PG")</f>
        <v>PG</v>
      </c>
      <c r="I3913" s="163">
        <f>IFERROR(__xludf.DUMMYFUNCTION("""COMPUTED_VALUE"""),21.0)</f>
        <v>21</v>
      </c>
      <c r="J3913" s="165">
        <f>IFERROR(__xludf.DUMMYFUNCTION("""COMPUTED_VALUE"""),-0.124829606158269)</f>
        <v>-0.1248296062</v>
      </c>
      <c r="K3913" s="165">
        <f>IFERROR(__xludf.DUMMYFUNCTION("""COMPUTED_VALUE"""),0.0252013455173321)</f>
        <v>0.02520134552</v>
      </c>
      <c r="L3913" s="165">
        <f>IFERROR(__xludf.DUMMYFUNCTION("""COMPUTED_VALUE"""),-0.150030951675601)</f>
        <v>-0.1500309517</v>
      </c>
      <c r="M3913" s="166">
        <f t="shared" si="2"/>
        <v>0.01389492523</v>
      </c>
      <c r="N3913" s="167">
        <f t="shared" si="3"/>
        <v>9.533333333</v>
      </c>
      <c r="O3913" s="163">
        <f t="shared" ref="O3913:Q3913" si="3917">rank(I3913,I:I)</f>
        <v>3528</v>
      </c>
      <c r="P3913" s="163">
        <f t="shared" si="3917"/>
        <v>1411</v>
      </c>
      <c r="Q3913" s="163">
        <f t="shared" si="3917"/>
        <v>1164</v>
      </c>
      <c r="R3913" s="163">
        <f>IFERROR(__xludf.DUMMYFUNCTION("RANK(M3913,filter(M:M,C:C=C3913))"),429.0)</f>
        <v>429</v>
      </c>
      <c r="S3913" s="161" t="b">
        <f t="shared" si="5"/>
        <v>0</v>
      </c>
      <c r="T3913" s="161" t="b">
        <f t="array" ref="T3913">index('Query Tool'!B:B,match(H3913,'Query Tool'!C:C,0))</f>
        <v>1</v>
      </c>
      <c r="U3913" s="161" t="b">
        <f t="array" ref="U3913">index('Query Tool'!B:B,match(C3913,'Query Tool'!C:C,0))</f>
        <v>1</v>
      </c>
      <c r="V3913" s="161" t="b">
        <f>F3913&gt;='Query Tool'!C$32</f>
        <v>0</v>
      </c>
      <c r="W3913" s="161" t="b">
        <f t="array" ref="W3913">index(Dropdowns!B:B,match(I3913,Dropdowns!A:A,0))</f>
        <v>1</v>
      </c>
      <c r="X3913" s="161" t="b">
        <f t="array" ref="X3913">index('Query Tool'!B:B,match(D3913,'Query Tool'!C:C,0))</f>
        <v>1</v>
      </c>
      <c r="Y3913" s="161" t="str">
        <f t="shared" si="6"/>
        <v>dotsode01,2020-21</v>
      </c>
      <c r="Z3913" s="168" t="str">
        <f t="array" ref="Z3913">iferror(index(I:I,match($A3913&amp;","&amp;index('Year Conversion'!$A:$A,match($C3913,'Year Conversion'!$B:$B,0)),$Y:$Y,0))-I3913,"")</f>
        <v/>
      </c>
      <c r="AA3913" s="168" t="str">
        <f t="array" ref="AA3913">iferror(index(J:J,match($A3913&amp;","&amp;index('Year Conversion'!$A:$A,match($C3913,'Year Conversion'!$B:$B,0)),$Y:$Y,0))-J3913,"")</f>
        <v/>
      </c>
      <c r="AB3913" s="168" t="str">
        <f t="array" ref="AB3913">iferror(index(K:K,match($A3913&amp;","&amp;index('Year Conversion'!$A:$A,match($C3913,'Year Conversion'!$B:$B,0)),$Y:$Y,0))-K3913,"")</f>
        <v/>
      </c>
      <c r="AC3913" s="168" t="str">
        <f t="shared" si="7"/>
        <v>CHI,2020-21</v>
      </c>
    </row>
    <row r="3914">
      <c r="A3914" s="161" t="str">
        <f>IFERROR(__xludf.DUMMYFUNCTION("""COMPUTED_VALUE"""),"gaffoda01")</f>
        <v>gaffoda01</v>
      </c>
      <c r="B3914" s="161" t="str">
        <f>IFERROR(__xludf.DUMMYFUNCTION("""COMPUTED_VALUE"""),"Daniel Gafford")</f>
        <v>Daniel Gafford</v>
      </c>
      <c r="C3914" s="162" t="str">
        <f>IFERROR(__xludf.DUMMYFUNCTION("""COMPUTED_VALUE"""),"2020-21")</f>
        <v>2020-21</v>
      </c>
      <c r="D3914" s="163" t="str">
        <f>IFERROR(__xludf.DUMMYFUNCTION("""COMPUTED_VALUE"""),"CHI")</f>
        <v>CHI</v>
      </c>
      <c r="E3914" s="164" t="str">
        <f>IFERROR(__xludf.DUMMYFUNCTION("""COMPUTED_VALUE"""),"Roll + Cut Big")</f>
        <v>Roll + Cut Big</v>
      </c>
      <c r="F3914" s="164">
        <f>IFERROR(__xludf.DUMMYFUNCTION("""COMPUTED_VALUE"""),334.663333333333)</f>
        <v>334.6633333</v>
      </c>
      <c r="G3914" s="163">
        <f>IFERROR(__xludf.DUMMYFUNCTION("""COMPUTED_VALUE"""),24.0)</f>
        <v>24</v>
      </c>
      <c r="H3914" s="163" t="str">
        <f>IFERROR(__xludf.DUMMYFUNCTION("""COMPUTED_VALUE"""),"PF")</f>
        <v>PF</v>
      </c>
      <c r="I3914" s="163">
        <f>IFERROR(__xludf.DUMMYFUNCTION("""COMPUTED_VALUE"""),22.0)</f>
        <v>22</v>
      </c>
      <c r="J3914" s="165">
        <f>IFERROR(__xludf.DUMMYFUNCTION("""COMPUTED_VALUE"""),0.286657727036662)</f>
        <v>0.286657727</v>
      </c>
      <c r="K3914" s="165">
        <f>IFERROR(__xludf.DUMMYFUNCTION("""COMPUTED_VALUE"""),-1.575593408876)</f>
        <v>-1.575593409</v>
      </c>
      <c r="L3914" s="165">
        <f>IFERROR(__xludf.DUMMYFUNCTION("""COMPUTED_VALUE"""),1.86225113591266)</f>
        <v>1.862251136</v>
      </c>
      <c r="M3914" s="166">
        <f t="shared" si="2"/>
        <v>0.5806095348</v>
      </c>
      <c r="N3914" s="167">
        <f t="shared" si="3"/>
        <v>13.94430556</v>
      </c>
      <c r="O3914" s="163">
        <f t="shared" ref="O3914:Q3914" si="3918">rank(I3914,I:I)</f>
        <v>3178</v>
      </c>
      <c r="P3914" s="163">
        <f t="shared" si="3918"/>
        <v>1027</v>
      </c>
      <c r="Q3914" s="163">
        <f t="shared" si="3918"/>
        <v>3429</v>
      </c>
      <c r="R3914" s="163">
        <f>IFERROR(__xludf.DUMMYFUNCTION("RANK(M3914,filter(M:M,C:C=C3914))"),176.0)</f>
        <v>176</v>
      </c>
      <c r="S3914" s="161" t="b">
        <f t="shared" si="5"/>
        <v>0</v>
      </c>
      <c r="T3914" s="161" t="b">
        <f t="array" ref="T3914">index('Query Tool'!B:B,match(H3914,'Query Tool'!C:C,0))</f>
        <v>1</v>
      </c>
      <c r="U3914" s="161" t="b">
        <f t="array" ref="U3914">index('Query Tool'!B:B,match(C3914,'Query Tool'!C:C,0))</f>
        <v>1</v>
      </c>
      <c r="V3914" s="161" t="b">
        <f>F3914&gt;='Query Tool'!C$32</f>
        <v>0</v>
      </c>
      <c r="W3914" s="161" t="b">
        <f t="array" ref="W3914">index(Dropdowns!B:B,match(I3914,Dropdowns!A:A,0))</f>
        <v>1</v>
      </c>
      <c r="X3914" s="161" t="b">
        <f t="array" ref="X3914">index('Query Tool'!B:B,match(D3914,'Query Tool'!C:C,0))</f>
        <v>1</v>
      </c>
      <c r="Y3914" s="161" t="str">
        <f t="shared" si="6"/>
        <v>gaffoda01,2020-21</v>
      </c>
      <c r="Z3914" s="168" t="str">
        <f t="array" ref="Z3914">iferror(index(I:I,match($A3914&amp;","&amp;index('Year Conversion'!$A:$A,match($C3914,'Year Conversion'!$B:$B,0)),$Y:$Y,0))-I3914,"")</f>
        <v/>
      </c>
      <c r="AA3914" s="168" t="str">
        <f t="array" ref="AA3914">iferror(index(J:J,match($A3914&amp;","&amp;index('Year Conversion'!$A:$A,match($C3914,'Year Conversion'!$B:$B,0)),$Y:$Y,0))-J3914,"")</f>
        <v/>
      </c>
      <c r="AB3914" s="168" t="str">
        <f t="array" ref="AB3914">iferror(index(K:K,match($A3914&amp;","&amp;index('Year Conversion'!$A:$A,match($C3914,'Year Conversion'!$B:$B,0)),$Y:$Y,0))-K3914,"")</f>
        <v/>
      </c>
      <c r="AC3914" s="168" t="str">
        <f t="shared" si="7"/>
        <v>CHI,2020-21</v>
      </c>
    </row>
    <row r="3915">
      <c r="A3915" s="161" t="str">
        <f>IFERROR(__xludf.DUMMYFUNCTION("""COMPUTED_VALUE"""),"guyky01")</f>
        <v>guyky01</v>
      </c>
      <c r="B3915" s="161" t="str">
        <f>IFERROR(__xludf.DUMMYFUNCTION("""COMPUTED_VALUE"""),"Kyle Guy")</f>
        <v>Kyle Guy</v>
      </c>
      <c r="C3915" s="162" t="str">
        <f>IFERROR(__xludf.DUMMYFUNCTION("""COMPUTED_VALUE"""),"2020-21")</f>
        <v>2020-21</v>
      </c>
      <c r="D3915" s="163" t="str">
        <f>IFERROR(__xludf.DUMMYFUNCTION("""COMPUTED_VALUE"""),"SAC")</f>
        <v>SAC</v>
      </c>
      <c r="E3915" s="164" t="str">
        <f>IFERROR(__xludf.DUMMYFUNCTION("""COMPUTED_VALUE"""),"Movement Shooter")</f>
        <v>Movement Shooter</v>
      </c>
      <c r="F3915" s="164">
        <f>IFERROR(__xludf.DUMMYFUNCTION("""COMPUTED_VALUE"""),96.9316666666666)</f>
        <v>96.93166667</v>
      </c>
      <c r="G3915" s="163">
        <f>IFERROR(__xludf.DUMMYFUNCTION("""COMPUTED_VALUE"""),12.0)</f>
        <v>12</v>
      </c>
      <c r="H3915" s="163" t="str">
        <f>IFERROR(__xludf.DUMMYFUNCTION("""COMPUTED_VALUE"""),"PG")</f>
        <v>PG</v>
      </c>
      <c r="I3915" s="163">
        <f>IFERROR(__xludf.DUMMYFUNCTION("""COMPUTED_VALUE"""),23.0)</f>
        <v>23</v>
      </c>
      <c r="J3915" s="165">
        <f>IFERROR(__xludf.DUMMYFUNCTION("""COMPUTED_VALUE"""),0.695255001815134)</f>
        <v>0.6952550018</v>
      </c>
      <c r="K3915" s="165">
        <f>IFERROR(__xludf.DUMMYFUNCTION("""COMPUTED_VALUE"""),0.598516628520684)</f>
        <v>0.5985166285</v>
      </c>
      <c r="L3915" s="165">
        <f>IFERROR(__xludf.DUMMYFUNCTION("""COMPUTED_VALUE"""),0.0967383732944508)</f>
        <v>0.09673837329</v>
      </c>
      <c r="M3915" s="166">
        <f t="shared" si="2"/>
        <v>0.1948409867</v>
      </c>
      <c r="N3915" s="167">
        <f t="shared" si="3"/>
        <v>8.077638889</v>
      </c>
      <c r="O3915" s="163">
        <f t="shared" ref="O3915:Q3915" si="3919">rank(I3915,I:I)</f>
        <v>2765</v>
      </c>
      <c r="P3915" s="163">
        <f t="shared" si="3919"/>
        <v>800</v>
      </c>
      <c r="Q3915" s="163">
        <f t="shared" si="3919"/>
        <v>710</v>
      </c>
      <c r="R3915" s="163">
        <f>IFERROR(__xludf.DUMMYFUNCTION("RANK(M3915,filter(M:M,C:C=C3915))"),281.0)</f>
        <v>281</v>
      </c>
      <c r="S3915" s="161" t="b">
        <f t="shared" si="5"/>
        <v>0</v>
      </c>
      <c r="T3915" s="161" t="b">
        <f t="array" ref="T3915">index('Query Tool'!B:B,match(H3915,'Query Tool'!C:C,0))</f>
        <v>1</v>
      </c>
      <c r="U3915" s="161" t="b">
        <f t="array" ref="U3915">index('Query Tool'!B:B,match(C3915,'Query Tool'!C:C,0))</f>
        <v>1</v>
      </c>
      <c r="V3915" s="161" t="b">
        <f>F3915&gt;='Query Tool'!C$32</f>
        <v>0</v>
      </c>
      <c r="W3915" s="161" t="b">
        <f t="array" ref="W3915">index(Dropdowns!B:B,match(I3915,Dropdowns!A:A,0))</f>
        <v>1</v>
      </c>
      <c r="X3915" s="161" t="b">
        <f t="array" ref="X3915">index('Query Tool'!B:B,match(D3915,'Query Tool'!C:C,0))</f>
        <v>1</v>
      </c>
      <c r="Y3915" s="161" t="str">
        <f t="shared" si="6"/>
        <v>guyky01,2020-21</v>
      </c>
      <c r="Z3915" s="168" t="str">
        <f t="array" ref="Z3915">iferror(index(I:I,match($A3915&amp;","&amp;index('Year Conversion'!$A:$A,match($C3915,'Year Conversion'!$B:$B,0)),$Y:$Y,0))-I3915,"")</f>
        <v/>
      </c>
      <c r="AA3915" s="168" t="str">
        <f t="array" ref="AA3915">iferror(index(J:J,match($A3915&amp;","&amp;index('Year Conversion'!$A:$A,match($C3915,'Year Conversion'!$B:$B,0)),$Y:$Y,0))-J3915,"")</f>
        <v/>
      </c>
      <c r="AB3915" s="168" t="str">
        <f t="array" ref="AB3915">iferror(index(K:K,match($A3915&amp;","&amp;index('Year Conversion'!$A:$A,match($C3915,'Year Conversion'!$B:$B,0)),$Y:$Y,0))-K3915,"")</f>
        <v/>
      </c>
      <c r="AC3915" s="168" t="str">
        <f t="shared" si="7"/>
        <v>SAC,2020-21</v>
      </c>
    </row>
    <row r="3916">
      <c r="A3916" s="161" t="str">
        <f>IFERROR(__xludf.DUMMYFUNCTION("""COMPUTED_VALUE"""),"hortota01")</f>
        <v>hortota01</v>
      </c>
      <c r="B3916" s="161" t="str">
        <f>IFERROR(__xludf.DUMMYFUNCTION("""COMPUTED_VALUE"""),"Talen Horton-Tucker")</f>
        <v>Talen Horton-Tucker</v>
      </c>
      <c r="C3916" s="162" t="str">
        <f>IFERROR(__xludf.DUMMYFUNCTION("""COMPUTED_VALUE"""),"2020-21")</f>
        <v>2020-21</v>
      </c>
      <c r="D3916" s="163" t="str">
        <f>IFERROR(__xludf.DUMMYFUNCTION("""COMPUTED_VALUE"""),"LAL")</f>
        <v>LAL</v>
      </c>
      <c r="E3916" s="164" t="str">
        <f>IFERROR(__xludf.DUMMYFUNCTION("""COMPUTED_VALUE"""),"Slasher")</f>
        <v>Slasher</v>
      </c>
      <c r="F3916" s="164">
        <f>IFERROR(__xludf.DUMMYFUNCTION("""COMPUTED_VALUE"""),458.606666666666)</f>
        <v>458.6066667</v>
      </c>
      <c r="G3916" s="163">
        <f>IFERROR(__xludf.DUMMYFUNCTION("""COMPUTED_VALUE"""),27.0)</f>
        <v>27</v>
      </c>
      <c r="H3916" s="163" t="str">
        <f>IFERROR(__xludf.DUMMYFUNCTION("""COMPUTED_VALUE"""),"SG")</f>
        <v>SG</v>
      </c>
      <c r="I3916" s="163">
        <f>IFERROR(__xludf.DUMMYFUNCTION("""COMPUTED_VALUE"""),20.0)</f>
        <v>20</v>
      </c>
      <c r="J3916" s="165">
        <f>IFERROR(__xludf.DUMMYFUNCTION("""COMPUTED_VALUE"""),-0.681519991534281)</f>
        <v>-0.6815199915</v>
      </c>
      <c r="K3916" s="165">
        <f>IFERROR(__xludf.DUMMYFUNCTION("""COMPUTED_VALUE"""),-1.14067062241037)</f>
        <v>-1.140670622</v>
      </c>
      <c r="L3916" s="165">
        <f>IFERROR(__xludf.DUMMYFUNCTION("""COMPUTED_VALUE"""),0.459150630876093)</f>
        <v>0.4591506309</v>
      </c>
      <c r="M3916" s="166">
        <f t="shared" si="2"/>
        <v>0.496436703</v>
      </c>
      <c r="N3916" s="167">
        <f t="shared" si="3"/>
        <v>16.9854321</v>
      </c>
      <c r="O3916" s="163">
        <f t="shared" ref="O3916:Q3916" si="3920">rank(I3916,I:I)</f>
        <v>3770</v>
      </c>
      <c r="P3916" s="163">
        <f t="shared" si="3920"/>
        <v>2112</v>
      </c>
      <c r="Q3916" s="163">
        <f t="shared" si="3920"/>
        <v>2974</v>
      </c>
      <c r="R3916" s="163">
        <f>IFERROR(__xludf.DUMMYFUNCTION("RANK(M3916,filter(M:M,C:C=C3916))"),191.0)</f>
        <v>191</v>
      </c>
      <c r="S3916" s="161" t="b">
        <f t="shared" si="5"/>
        <v>0</v>
      </c>
      <c r="T3916" s="161" t="b">
        <f t="array" ref="T3916">index('Query Tool'!B:B,match(H3916,'Query Tool'!C:C,0))</f>
        <v>1</v>
      </c>
      <c r="U3916" s="161" t="b">
        <f t="array" ref="U3916">index('Query Tool'!B:B,match(C3916,'Query Tool'!C:C,0))</f>
        <v>1</v>
      </c>
      <c r="V3916" s="161" t="b">
        <f>F3916&gt;='Query Tool'!C$32</f>
        <v>0</v>
      </c>
      <c r="W3916" s="161" t="b">
        <f t="array" ref="W3916">index(Dropdowns!B:B,match(I3916,Dropdowns!A:A,0))</f>
        <v>1</v>
      </c>
      <c r="X3916" s="161" t="b">
        <f t="array" ref="X3916">index('Query Tool'!B:B,match(D3916,'Query Tool'!C:C,0))</f>
        <v>1</v>
      </c>
      <c r="Y3916" s="161" t="str">
        <f t="shared" si="6"/>
        <v>hortota01,2020-21</v>
      </c>
      <c r="Z3916" s="168" t="str">
        <f t="array" ref="Z3916">iferror(index(I:I,match($A3916&amp;","&amp;index('Year Conversion'!$A:$A,match($C3916,'Year Conversion'!$B:$B,0)),$Y:$Y,0))-I3916,"")</f>
        <v/>
      </c>
      <c r="AA3916" s="168" t="str">
        <f t="array" ref="AA3916">iferror(index(J:J,match($A3916&amp;","&amp;index('Year Conversion'!$A:$A,match($C3916,'Year Conversion'!$B:$B,0)),$Y:$Y,0))-J3916,"")</f>
        <v/>
      </c>
      <c r="AB3916" s="168" t="str">
        <f t="array" ref="AB3916">iferror(index(K:K,match($A3916&amp;","&amp;index('Year Conversion'!$A:$A,match($C3916,'Year Conversion'!$B:$B,0)),$Y:$Y,0))-K3916,"")</f>
        <v/>
      </c>
      <c r="AC3916" s="168" t="str">
        <f t="shared" si="7"/>
        <v>LAL,2020-21</v>
      </c>
    </row>
    <row r="3917">
      <c r="A3917" s="161" t="str">
        <f>IFERROR(__xludf.DUMMYFUNCTION("""COMPUTED_VALUE"""),"johnsca02")</f>
        <v>johnsca02</v>
      </c>
      <c r="B3917" s="161" t="str">
        <f>IFERROR(__xludf.DUMMYFUNCTION("""COMPUTED_VALUE"""),"Cameron Johnson")</f>
        <v>Cameron Johnson</v>
      </c>
      <c r="C3917" s="162" t="str">
        <f>IFERROR(__xludf.DUMMYFUNCTION("""COMPUTED_VALUE"""),"2020-21")</f>
        <v>2020-21</v>
      </c>
      <c r="D3917" s="163" t="str">
        <f>IFERROR(__xludf.DUMMYFUNCTION("""COMPUTED_VALUE"""),"PHO")</f>
        <v>PHO</v>
      </c>
      <c r="E3917" s="164" t="str">
        <f>IFERROR(__xludf.DUMMYFUNCTION("""COMPUTED_VALUE"""),"Stationary Shooter")</f>
        <v>Stationary Shooter</v>
      </c>
      <c r="F3917" s="164">
        <f>IFERROR(__xludf.DUMMYFUNCTION("""COMPUTED_VALUE"""),720.278333333333)</f>
        <v>720.2783333</v>
      </c>
      <c r="G3917" s="163">
        <f>IFERROR(__xludf.DUMMYFUNCTION("""COMPUTED_VALUE"""),29.0)</f>
        <v>29</v>
      </c>
      <c r="H3917" s="163" t="str">
        <f>IFERROR(__xludf.DUMMYFUNCTION("""COMPUTED_VALUE"""),"PF")</f>
        <v>PF</v>
      </c>
      <c r="I3917" s="163">
        <f>IFERROR(__xludf.DUMMYFUNCTION("""COMPUTED_VALUE"""),24.0)</f>
        <v>24</v>
      </c>
      <c r="J3917" s="165">
        <f>IFERROR(__xludf.DUMMYFUNCTION("""COMPUTED_VALUE"""),0.71280832196121)</f>
        <v>0.712808322</v>
      </c>
      <c r="K3917" s="165">
        <f>IFERROR(__xludf.DUMMYFUNCTION("""COMPUTED_VALUE"""),-0.0230238323557166)</f>
        <v>-0.02302383236</v>
      </c>
      <c r="L3917" s="165">
        <f>IFERROR(__xludf.DUMMYFUNCTION("""COMPUTED_VALUE"""),0.735832154316927)</f>
        <v>0.7358321543</v>
      </c>
      <c r="M3917" s="166">
        <f t="shared" si="2"/>
        <v>1.456327781</v>
      </c>
      <c r="N3917" s="167">
        <f t="shared" si="3"/>
        <v>24.83718391</v>
      </c>
      <c r="O3917" s="163">
        <f t="shared" ref="O3917:Q3917" si="3921">rank(I3917,I:I)</f>
        <v>2361</v>
      </c>
      <c r="P3917" s="163">
        <f t="shared" si="3921"/>
        <v>788</v>
      </c>
      <c r="Q3917" s="163">
        <f t="shared" si="3921"/>
        <v>1229</v>
      </c>
      <c r="R3917" s="163">
        <f>IFERROR(__xludf.DUMMYFUNCTION("RANK(M3917,filter(M:M,C:C=C3917))"),83.0)</f>
        <v>83</v>
      </c>
      <c r="S3917" s="161" t="b">
        <f t="shared" si="5"/>
        <v>1</v>
      </c>
      <c r="T3917" s="161" t="b">
        <f t="array" ref="T3917">index('Query Tool'!B:B,match(H3917,'Query Tool'!C:C,0))</f>
        <v>1</v>
      </c>
      <c r="U3917" s="161" t="b">
        <f t="array" ref="U3917">index('Query Tool'!B:B,match(C3917,'Query Tool'!C:C,0))</f>
        <v>1</v>
      </c>
      <c r="V3917" s="161" t="b">
        <f>F3917&gt;='Query Tool'!C$32</f>
        <v>1</v>
      </c>
      <c r="W3917" s="161" t="b">
        <f t="array" ref="W3917">index(Dropdowns!B:B,match(I3917,Dropdowns!A:A,0))</f>
        <v>1</v>
      </c>
      <c r="X3917" s="161" t="b">
        <f t="array" ref="X3917">index('Query Tool'!B:B,match(D3917,'Query Tool'!C:C,0))</f>
        <v>1</v>
      </c>
      <c r="Y3917" s="161" t="str">
        <f t="shared" si="6"/>
        <v>johnsca02,2020-21</v>
      </c>
      <c r="Z3917" s="168" t="str">
        <f t="array" ref="Z3917">iferror(index(I:I,match($A3917&amp;","&amp;index('Year Conversion'!$A:$A,match($C3917,'Year Conversion'!$B:$B,0)),$Y:$Y,0))-I3917,"")</f>
        <v/>
      </c>
      <c r="AA3917" s="168" t="str">
        <f t="array" ref="AA3917">iferror(index(J:J,match($A3917&amp;","&amp;index('Year Conversion'!$A:$A,match($C3917,'Year Conversion'!$B:$B,0)),$Y:$Y,0))-J3917,"")</f>
        <v/>
      </c>
      <c r="AB3917" s="168" t="str">
        <f t="array" ref="AB3917">iferror(index(K:K,match($A3917&amp;","&amp;index('Year Conversion'!$A:$A,match($C3917,'Year Conversion'!$B:$B,0)),$Y:$Y,0))-K3917,"")</f>
        <v/>
      </c>
      <c r="AC3917" s="168" t="str">
        <f t="shared" si="7"/>
        <v>PHO,2020-21</v>
      </c>
    </row>
    <row r="3918">
      <c r="A3918" s="161" t="str">
        <f>IFERROR(__xludf.DUMMYFUNCTION("""COMPUTED_VALUE"""),"kabenmf01")</f>
        <v>kabenmf01</v>
      </c>
      <c r="B3918" s="161" t="str">
        <f>IFERROR(__xludf.DUMMYFUNCTION("""COMPUTED_VALUE"""),"Mfiondu Kabengele")</f>
        <v>Mfiondu Kabengele</v>
      </c>
      <c r="C3918" s="162" t="str">
        <f>IFERROR(__xludf.DUMMYFUNCTION("""COMPUTED_VALUE"""),"2020-21")</f>
        <v>2020-21</v>
      </c>
      <c r="D3918" s="163" t="str">
        <f>IFERROR(__xludf.DUMMYFUNCTION("""COMPUTED_VALUE"""),"LAC")</f>
        <v>LAC</v>
      </c>
      <c r="E3918" s="164" t="str">
        <f>IFERROR(__xludf.DUMMYFUNCTION("""COMPUTED_VALUE"""),"Stretch Big")</f>
        <v>Stretch Big</v>
      </c>
      <c r="F3918" s="164">
        <f>IFERROR(__xludf.DUMMYFUNCTION("""COMPUTED_VALUE"""),69.415)</f>
        <v>69.415</v>
      </c>
      <c r="G3918" s="163">
        <f>IFERROR(__xludf.DUMMYFUNCTION("""COMPUTED_VALUE"""),17.0)</f>
        <v>17</v>
      </c>
      <c r="H3918" s="163" t="str">
        <f>IFERROR(__xludf.DUMMYFUNCTION("""COMPUTED_VALUE"""),"PF")</f>
        <v>PF</v>
      </c>
      <c r="I3918" s="163">
        <f>IFERROR(__xludf.DUMMYFUNCTION("""COMPUTED_VALUE"""),23.0)</f>
        <v>23</v>
      </c>
      <c r="J3918" s="165">
        <f>IFERROR(__xludf.DUMMYFUNCTION("""COMPUTED_VALUE"""),-1.06827006874502)</f>
        <v>-1.068270069</v>
      </c>
      <c r="K3918" s="165">
        <f>IFERROR(__xludf.DUMMYFUNCTION("""COMPUTED_VALUE"""),-0.690995760564414)</f>
        <v>-0.6909957606</v>
      </c>
      <c r="L3918" s="165">
        <f>IFERROR(__xludf.DUMMYFUNCTION("""COMPUTED_VALUE"""),-0.377274308180605)</f>
        <v>-0.3772743082</v>
      </c>
      <c r="M3918" s="166">
        <f t="shared" si="2"/>
        <v>0.05710004919</v>
      </c>
      <c r="N3918" s="167">
        <f t="shared" si="3"/>
        <v>4.083235294</v>
      </c>
      <c r="O3918" s="163">
        <f t="shared" ref="O3918:Q3918" si="3922">rank(I3918,I:I)</f>
        <v>2765</v>
      </c>
      <c r="P3918" s="163">
        <f t="shared" si="3922"/>
        <v>2576</v>
      </c>
      <c r="Q3918" s="163">
        <f t="shared" si="3922"/>
        <v>2402</v>
      </c>
      <c r="R3918" s="163">
        <f>IFERROR(__xludf.DUMMYFUNCTION("RANK(M3918,filter(M:M,C:C=C3918))"),370.0)</f>
        <v>370</v>
      </c>
      <c r="S3918" s="161" t="b">
        <f t="shared" si="5"/>
        <v>0</v>
      </c>
      <c r="T3918" s="161" t="b">
        <f t="array" ref="T3918">index('Query Tool'!B:B,match(H3918,'Query Tool'!C:C,0))</f>
        <v>1</v>
      </c>
      <c r="U3918" s="161" t="b">
        <f t="array" ref="U3918">index('Query Tool'!B:B,match(C3918,'Query Tool'!C:C,0))</f>
        <v>1</v>
      </c>
      <c r="V3918" s="161" t="b">
        <f>F3918&gt;='Query Tool'!C$32</f>
        <v>0</v>
      </c>
      <c r="W3918" s="161" t="b">
        <f t="array" ref="W3918">index(Dropdowns!B:B,match(I3918,Dropdowns!A:A,0))</f>
        <v>1</v>
      </c>
      <c r="X3918" s="161" t="b">
        <f t="array" ref="X3918">index('Query Tool'!B:B,match(D3918,'Query Tool'!C:C,0))</f>
        <v>1</v>
      </c>
      <c r="Y3918" s="161" t="str">
        <f t="shared" si="6"/>
        <v>kabenmf01,2020-21</v>
      </c>
      <c r="Z3918" s="168" t="str">
        <f t="array" ref="Z3918">iferror(index(I:I,match($A3918&amp;","&amp;index('Year Conversion'!$A:$A,match($C3918,'Year Conversion'!$B:$B,0)),$Y:$Y,0))-I3918,"")</f>
        <v/>
      </c>
      <c r="AA3918" s="168" t="str">
        <f t="array" ref="AA3918">iferror(index(J:J,match($A3918&amp;","&amp;index('Year Conversion'!$A:$A,match($C3918,'Year Conversion'!$B:$B,0)),$Y:$Y,0))-J3918,"")</f>
        <v/>
      </c>
      <c r="AB3918" s="168" t="str">
        <f t="array" ref="AB3918">iferror(index(K:K,match($A3918&amp;","&amp;index('Year Conversion'!$A:$A,match($C3918,'Year Conversion'!$B:$B,0)),$Y:$Y,0))-K3918,"")</f>
        <v/>
      </c>
      <c r="AC3918" s="168" t="str">
        <f t="shared" si="7"/>
        <v>LAC,2020-21</v>
      </c>
    </row>
    <row r="3919">
      <c r="A3919" s="161" t="str">
        <f>IFERROR(__xludf.DUMMYFUNCTION("""COMPUTED_VALUE"""),"lecquja01")</f>
        <v>lecquja01</v>
      </c>
      <c r="B3919" s="161" t="str">
        <f>IFERROR(__xludf.DUMMYFUNCTION("""COMPUTED_VALUE"""),"Jalen Lecque")</f>
        <v>Jalen Lecque</v>
      </c>
      <c r="C3919" s="162" t="str">
        <f>IFERROR(__xludf.DUMMYFUNCTION("""COMPUTED_VALUE"""),"2020-21")</f>
        <v>2020-21</v>
      </c>
      <c r="D3919" s="163" t="str">
        <f>IFERROR(__xludf.DUMMYFUNCTION("""COMPUTED_VALUE"""),"IND")</f>
        <v>IND</v>
      </c>
      <c r="E3919" s="164" t="str">
        <f>IFERROR(__xludf.DUMMYFUNCTION("""COMPUTED_VALUE"""),"Slasher")</f>
        <v>Slasher</v>
      </c>
      <c r="F3919" s="164">
        <f>IFERROR(__xludf.DUMMYFUNCTION("""COMPUTED_VALUE"""),8.78333333333333)</f>
        <v>8.783333333</v>
      </c>
      <c r="G3919" s="163">
        <f>IFERROR(__xludf.DUMMYFUNCTION("""COMPUTED_VALUE"""),3.0)</f>
        <v>3</v>
      </c>
      <c r="H3919" s="163" t="str">
        <f>IFERROR(__xludf.DUMMYFUNCTION("""COMPUTED_VALUE"""),"PG")</f>
        <v>PG</v>
      </c>
      <c r="I3919" s="163">
        <f>IFERROR(__xludf.DUMMYFUNCTION("""COMPUTED_VALUE"""),20.0)</f>
        <v>20</v>
      </c>
      <c r="J3919" s="165">
        <f>IFERROR(__xludf.DUMMYFUNCTION("""COMPUTED_VALUE"""),-0.806715413166069)</f>
        <v>-0.8067154132</v>
      </c>
      <c r="K3919" s="165">
        <f>IFERROR(__xludf.DUMMYFUNCTION("""COMPUTED_VALUE"""),-0.188092610365581)</f>
        <v>-0.1880926104</v>
      </c>
      <c r="L3919" s="165">
        <f>IFERROR(__xludf.DUMMYFUNCTION("""COMPUTED_VALUE"""),-0.618622802800488)</f>
        <v>-0.6186228028</v>
      </c>
      <c r="M3919" s="166">
        <f t="shared" si="2"/>
        <v>0.00876821301</v>
      </c>
      <c r="N3919" s="167">
        <f t="shared" si="3"/>
        <v>2.927777778</v>
      </c>
      <c r="O3919" s="163">
        <f t="shared" ref="O3919:Q3919" si="3923">rank(I3919,I:I)</f>
        <v>3770</v>
      </c>
      <c r="P3919" s="163">
        <f t="shared" si="3923"/>
        <v>2286</v>
      </c>
      <c r="Q3919" s="163">
        <f t="shared" si="3923"/>
        <v>1548</v>
      </c>
      <c r="R3919" s="163">
        <f>IFERROR(__xludf.DUMMYFUNCTION("RANK(M3919,filter(M:M,C:C=C3919))"),436.0)</f>
        <v>436</v>
      </c>
      <c r="S3919" s="161" t="b">
        <f t="shared" si="5"/>
        <v>0</v>
      </c>
      <c r="T3919" s="161" t="b">
        <f t="array" ref="T3919">index('Query Tool'!B:B,match(H3919,'Query Tool'!C:C,0))</f>
        <v>1</v>
      </c>
      <c r="U3919" s="161" t="b">
        <f t="array" ref="U3919">index('Query Tool'!B:B,match(C3919,'Query Tool'!C:C,0))</f>
        <v>1</v>
      </c>
      <c r="V3919" s="161" t="b">
        <f>F3919&gt;='Query Tool'!C$32</f>
        <v>0</v>
      </c>
      <c r="W3919" s="161" t="b">
        <f t="array" ref="W3919">index(Dropdowns!B:B,match(I3919,Dropdowns!A:A,0))</f>
        <v>1</v>
      </c>
      <c r="X3919" s="161" t="b">
        <f t="array" ref="X3919">index('Query Tool'!B:B,match(D3919,'Query Tool'!C:C,0))</f>
        <v>1</v>
      </c>
      <c r="Y3919" s="161" t="str">
        <f t="shared" si="6"/>
        <v>lecquja01,2020-21</v>
      </c>
      <c r="Z3919" s="168" t="str">
        <f t="array" ref="Z3919">iferror(index(I:I,match($A3919&amp;","&amp;index('Year Conversion'!$A:$A,match($C3919,'Year Conversion'!$B:$B,0)),$Y:$Y,0))-I3919,"")</f>
        <v/>
      </c>
      <c r="AA3919" s="168" t="str">
        <f t="array" ref="AA3919">iferror(index(J:J,match($A3919&amp;","&amp;index('Year Conversion'!$A:$A,match($C3919,'Year Conversion'!$B:$B,0)),$Y:$Y,0))-J3919,"")</f>
        <v/>
      </c>
      <c r="AB3919" s="168" t="str">
        <f t="array" ref="AB3919">iferror(index(K:K,match($A3919&amp;","&amp;index('Year Conversion'!$A:$A,match($C3919,'Year Conversion'!$B:$B,0)),$Y:$Y,0))-K3919,"")</f>
        <v/>
      </c>
      <c r="AC3919" s="168" t="str">
        <f t="shared" si="7"/>
        <v>IND,2020-21</v>
      </c>
    </row>
    <row r="3920">
      <c r="A3920" s="161" t="str">
        <f>IFERROR(__xludf.DUMMYFUNCTION("""COMPUTED_VALUE"""),"mcdanja01")</f>
        <v>mcdanja01</v>
      </c>
      <c r="B3920" s="161" t="str">
        <f>IFERROR(__xludf.DUMMYFUNCTION("""COMPUTED_VALUE"""),"Jalen McDaniels")</f>
        <v>Jalen McDaniels</v>
      </c>
      <c r="C3920" s="162" t="str">
        <f>IFERROR(__xludf.DUMMYFUNCTION("""COMPUTED_VALUE"""),"2020-21")</f>
        <v>2020-21</v>
      </c>
      <c r="D3920" s="163" t="str">
        <f>IFERROR(__xludf.DUMMYFUNCTION("""COMPUTED_VALUE"""),"CHO")</f>
        <v>CHO</v>
      </c>
      <c r="E3920" s="164" t="str">
        <f>IFERROR(__xludf.DUMMYFUNCTION("""COMPUTED_VALUE"""),"Athletic Finisher")</f>
        <v>Athletic Finisher</v>
      </c>
      <c r="F3920" s="164">
        <f>IFERROR(__xludf.DUMMYFUNCTION("""COMPUTED_VALUE"""),127.085)</f>
        <v>127.085</v>
      </c>
      <c r="G3920" s="163">
        <f>IFERROR(__xludf.DUMMYFUNCTION("""COMPUTED_VALUE"""),11.0)</f>
        <v>11</v>
      </c>
      <c r="H3920" s="163" t="str">
        <f>IFERROR(__xludf.DUMMYFUNCTION("""COMPUTED_VALUE"""),"SF")</f>
        <v>SF</v>
      </c>
      <c r="I3920" s="163">
        <f>IFERROR(__xludf.DUMMYFUNCTION("""COMPUTED_VALUE"""),23.0)</f>
        <v>23</v>
      </c>
      <c r="J3920" s="165">
        <f>IFERROR(__xludf.DUMMYFUNCTION("""COMPUTED_VALUE"""),-1.66643943958363)</f>
        <v>-1.66643944</v>
      </c>
      <c r="K3920" s="165">
        <f>IFERROR(__xludf.DUMMYFUNCTION("""COMPUTED_VALUE"""),-0.840966206798764)</f>
        <v>-0.8409662068</v>
      </c>
      <c r="L3920" s="165">
        <f>IFERROR(__xludf.DUMMYFUNCTION("""COMPUTED_VALUE"""),-0.825473232784867)</f>
        <v>-0.8254732328</v>
      </c>
      <c r="M3920" s="166">
        <f t="shared" si="2"/>
        <v>0.05369143577</v>
      </c>
      <c r="N3920" s="167">
        <f t="shared" si="3"/>
        <v>11.55318182</v>
      </c>
      <c r="O3920" s="163">
        <f t="shared" ref="O3920:Q3920" si="3924">rank(I3920,I:I)</f>
        <v>2765</v>
      </c>
      <c r="P3920" s="163">
        <f t="shared" si="3924"/>
        <v>3209</v>
      </c>
      <c r="Q3920" s="163">
        <f t="shared" si="3924"/>
        <v>2605</v>
      </c>
      <c r="R3920" s="163">
        <f>IFERROR(__xludf.DUMMYFUNCTION("RANK(M3920,filter(M:M,C:C=C3920))"),375.0)</f>
        <v>375</v>
      </c>
      <c r="S3920" s="161" t="b">
        <f t="shared" si="5"/>
        <v>0</v>
      </c>
      <c r="T3920" s="161" t="b">
        <f t="array" ref="T3920">index('Query Tool'!B:B,match(H3920,'Query Tool'!C:C,0))</f>
        <v>1</v>
      </c>
      <c r="U3920" s="161" t="b">
        <f t="array" ref="U3920">index('Query Tool'!B:B,match(C3920,'Query Tool'!C:C,0))</f>
        <v>1</v>
      </c>
      <c r="V3920" s="161" t="b">
        <f>F3920&gt;='Query Tool'!C$32</f>
        <v>0</v>
      </c>
      <c r="W3920" s="161" t="b">
        <f t="array" ref="W3920">index(Dropdowns!B:B,match(I3920,Dropdowns!A:A,0))</f>
        <v>1</v>
      </c>
      <c r="X3920" s="161" t="b">
        <f t="array" ref="X3920">index('Query Tool'!B:B,match(D3920,'Query Tool'!C:C,0))</f>
        <v>1</v>
      </c>
      <c r="Y3920" s="161" t="str">
        <f t="shared" si="6"/>
        <v>mcdanja01,2020-21</v>
      </c>
      <c r="Z3920" s="168" t="str">
        <f t="array" ref="Z3920">iferror(index(I:I,match($A3920&amp;","&amp;index('Year Conversion'!$A:$A,match($C3920,'Year Conversion'!$B:$B,0)),$Y:$Y,0))-I3920,"")</f>
        <v/>
      </c>
      <c r="AA3920" s="168" t="str">
        <f t="array" ref="AA3920">iferror(index(J:J,match($A3920&amp;","&amp;index('Year Conversion'!$A:$A,match($C3920,'Year Conversion'!$B:$B,0)),$Y:$Y,0))-J3920,"")</f>
        <v/>
      </c>
      <c r="AB3920" s="168" t="str">
        <f t="array" ref="AB3920">iferror(index(K:K,match($A3920&amp;","&amp;index('Year Conversion'!$A:$A,match($C3920,'Year Conversion'!$B:$B,0)),$Y:$Y,0))-K3920,"")</f>
        <v/>
      </c>
      <c r="AC3920" s="168" t="str">
        <f t="shared" si="7"/>
        <v>CHO,2020-21</v>
      </c>
    </row>
    <row r="3921">
      <c r="A3921" s="161" t="str">
        <f>IFERROR(__xludf.DUMMYFUNCTION("""COMPUTED_VALUE"""),"nowelja01")</f>
        <v>nowelja01</v>
      </c>
      <c r="B3921" s="161" t="str">
        <f>IFERROR(__xludf.DUMMYFUNCTION("""COMPUTED_VALUE"""),"Jaylen Nowell")</f>
        <v>Jaylen Nowell</v>
      </c>
      <c r="C3921" s="162" t="str">
        <f>IFERROR(__xludf.DUMMYFUNCTION("""COMPUTED_VALUE"""),"2020-21")</f>
        <v>2020-21</v>
      </c>
      <c r="D3921" s="163" t="str">
        <f>IFERROR(__xludf.DUMMYFUNCTION("""COMPUTED_VALUE"""),"MIN")</f>
        <v>MIN</v>
      </c>
      <c r="E3921" s="164" t="str">
        <f>IFERROR(__xludf.DUMMYFUNCTION("""COMPUTED_VALUE"""),"Movement Shooter")</f>
        <v>Movement Shooter</v>
      </c>
      <c r="F3921" s="164">
        <f>IFERROR(__xludf.DUMMYFUNCTION("""COMPUTED_VALUE"""),255.856666666666)</f>
        <v>255.8566667</v>
      </c>
      <c r="G3921" s="163">
        <f>IFERROR(__xludf.DUMMYFUNCTION("""COMPUTED_VALUE"""),17.0)</f>
        <v>17</v>
      </c>
      <c r="H3921" s="163" t="str">
        <f>IFERROR(__xludf.DUMMYFUNCTION("""COMPUTED_VALUE"""),"SG")</f>
        <v>SG</v>
      </c>
      <c r="I3921" s="163">
        <f>IFERROR(__xludf.DUMMYFUNCTION("""COMPUTED_VALUE"""),21.0)</f>
        <v>21</v>
      </c>
      <c r="J3921" s="165">
        <f>IFERROR(__xludf.DUMMYFUNCTION("""COMPUTED_VALUE"""),-0.475871239911704)</f>
        <v>-0.4758712399</v>
      </c>
      <c r="K3921" s="165">
        <f>IFERROR(__xludf.DUMMYFUNCTION("""COMPUTED_VALUE"""),-0.157186483458471)</f>
        <v>-0.1571864835</v>
      </c>
      <c r="L3921" s="165">
        <f>IFERROR(__xludf.DUMMYFUNCTION("""COMPUTED_VALUE"""),-0.318684756453233)</f>
        <v>-0.3186847565</v>
      </c>
      <c r="M3921" s="166">
        <f t="shared" si="2"/>
        <v>0.3123856419</v>
      </c>
      <c r="N3921" s="167">
        <f t="shared" si="3"/>
        <v>15.05039216</v>
      </c>
      <c r="O3921" s="163">
        <f t="shared" ref="O3921:Q3921" si="3925">rank(I3921,I:I)</f>
        <v>3528</v>
      </c>
      <c r="P3921" s="163">
        <f t="shared" si="3925"/>
        <v>1820</v>
      </c>
      <c r="Q3921" s="163">
        <f t="shared" si="3925"/>
        <v>1491</v>
      </c>
      <c r="R3921" s="163">
        <f>IFERROR(__xludf.DUMMYFUNCTION("RANK(M3921,filter(M:M,C:C=C3921))"),241.0)</f>
        <v>241</v>
      </c>
      <c r="S3921" s="161" t="b">
        <f t="shared" si="5"/>
        <v>0</v>
      </c>
      <c r="T3921" s="161" t="b">
        <f t="array" ref="T3921">index('Query Tool'!B:B,match(H3921,'Query Tool'!C:C,0))</f>
        <v>1</v>
      </c>
      <c r="U3921" s="161" t="b">
        <f t="array" ref="U3921">index('Query Tool'!B:B,match(C3921,'Query Tool'!C:C,0))</f>
        <v>1</v>
      </c>
      <c r="V3921" s="161" t="b">
        <f>F3921&gt;='Query Tool'!C$32</f>
        <v>0</v>
      </c>
      <c r="W3921" s="161" t="b">
        <f t="array" ref="W3921">index(Dropdowns!B:B,match(I3921,Dropdowns!A:A,0))</f>
        <v>1</v>
      </c>
      <c r="X3921" s="161" t="b">
        <f t="array" ref="X3921">index('Query Tool'!B:B,match(D3921,'Query Tool'!C:C,0))</f>
        <v>1</v>
      </c>
      <c r="Y3921" s="161" t="str">
        <f t="shared" si="6"/>
        <v>nowelja01,2020-21</v>
      </c>
      <c r="Z3921" s="168" t="str">
        <f t="array" ref="Z3921">iferror(index(I:I,match($A3921&amp;","&amp;index('Year Conversion'!$A:$A,match($C3921,'Year Conversion'!$B:$B,0)),$Y:$Y,0))-I3921,"")</f>
        <v/>
      </c>
      <c r="AA3921" s="168" t="str">
        <f t="array" ref="AA3921">iferror(index(J:J,match($A3921&amp;","&amp;index('Year Conversion'!$A:$A,match($C3921,'Year Conversion'!$B:$B,0)),$Y:$Y,0))-J3921,"")</f>
        <v/>
      </c>
      <c r="AB3921" s="168" t="str">
        <f t="array" ref="AB3921">iferror(index(K:K,match($A3921&amp;","&amp;index('Year Conversion'!$A:$A,match($C3921,'Year Conversion'!$B:$B,0)),$Y:$Y,0))-K3921,"")</f>
        <v/>
      </c>
      <c r="AC3921" s="168" t="str">
        <f t="shared" si="7"/>
        <v>MIN,2020-21</v>
      </c>
    </row>
    <row r="3922">
      <c r="A3922" s="161" t="str">
        <f>IFERROR(__xludf.DUMMYFUNCTION("""COMPUTED_VALUE"""),"nworajo01")</f>
        <v>nworajo01</v>
      </c>
      <c r="B3922" s="161" t="str">
        <f>IFERROR(__xludf.DUMMYFUNCTION("""COMPUTED_VALUE"""),"Jordan Nwora")</f>
        <v>Jordan Nwora</v>
      </c>
      <c r="C3922" s="162" t="str">
        <f>IFERROR(__xludf.DUMMYFUNCTION("""COMPUTED_VALUE"""),"2020-21")</f>
        <v>2020-21</v>
      </c>
      <c r="D3922" s="163" t="str">
        <f>IFERROR(__xludf.DUMMYFUNCTION("""COMPUTED_VALUE"""),"MIL")</f>
        <v>MIL</v>
      </c>
      <c r="E3922" s="164" t="str">
        <f>IFERROR(__xludf.DUMMYFUNCTION("""COMPUTED_VALUE"""),"Stationary Shooter")</f>
        <v>Stationary Shooter</v>
      </c>
      <c r="F3922" s="164">
        <f>IFERROR(__xludf.DUMMYFUNCTION("""COMPUTED_VALUE"""),81.9633333333333)</f>
        <v>81.96333333</v>
      </c>
      <c r="G3922" s="163">
        <f>IFERROR(__xludf.DUMMYFUNCTION("""COMPUTED_VALUE"""),10.0)</f>
        <v>10</v>
      </c>
      <c r="H3922" s="163" t="str">
        <f>IFERROR(__xludf.DUMMYFUNCTION("""COMPUTED_VALUE"""),"SF")</f>
        <v>SF</v>
      </c>
      <c r="I3922" s="163">
        <f>IFERROR(__xludf.DUMMYFUNCTION("""COMPUTED_VALUE"""),22.0)</f>
        <v>22</v>
      </c>
      <c r="J3922" s="165">
        <f>IFERROR(__xludf.DUMMYFUNCTION("""COMPUTED_VALUE"""),-1.55824837588572)</f>
        <v>-1.558248376</v>
      </c>
      <c r="K3922" s="165">
        <f>IFERROR(__xludf.DUMMYFUNCTION("""COMPUTED_VALUE"""),-0.840819496672097)</f>
        <v>-0.8408194967</v>
      </c>
      <c r="L3922" s="165">
        <f>IFERROR(__xludf.DUMMYFUNCTION("""COMPUTED_VALUE"""),-0.717428879213621)</f>
        <v>-0.7174288792</v>
      </c>
      <c r="M3922" s="166">
        <f t="shared" si="2"/>
        <v>0.0405424151</v>
      </c>
      <c r="N3922" s="167">
        <f t="shared" si="3"/>
        <v>8.196333333</v>
      </c>
      <c r="O3922" s="163">
        <f t="shared" ref="O3922:Q3922" si="3926">rank(I3922,I:I)</f>
        <v>3178</v>
      </c>
      <c r="P3922" s="163">
        <f t="shared" si="3926"/>
        <v>3105</v>
      </c>
      <c r="Q3922" s="163">
        <f t="shared" si="3926"/>
        <v>2604</v>
      </c>
      <c r="R3922" s="163">
        <f>IFERROR(__xludf.DUMMYFUNCTION("RANK(M3922,filter(M:M,C:C=C3922))"),393.0)</f>
        <v>393</v>
      </c>
      <c r="S3922" s="161" t="b">
        <f t="shared" si="5"/>
        <v>0</v>
      </c>
      <c r="T3922" s="161" t="b">
        <f t="array" ref="T3922">index('Query Tool'!B:B,match(H3922,'Query Tool'!C:C,0))</f>
        <v>1</v>
      </c>
      <c r="U3922" s="161" t="b">
        <f t="array" ref="U3922">index('Query Tool'!B:B,match(C3922,'Query Tool'!C:C,0))</f>
        <v>1</v>
      </c>
      <c r="V3922" s="161" t="b">
        <f>F3922&gt;='Query Tool'!C$32</f>
        <v>0</v>
      </c>
      <c r="W3922" s="161" t="b">
        <f t="array" ref="W3922">index(Dropdowns!B:B,match(I3922,Dropdowns!A:A,0))</f>
        <v>1</v>
      </c>
      <c r="X3922" s="161" t="b">
        <f t="array" ref="X3922">index('Query Tool'!B:B,match(D3922,'Query Tool'!C:C,0))</f>
        <v>1</v>
      </c>
      <c r="Y3922" s="161" t="str">
        <f t="shared" si="6"/>
        <v>nworajo01,2020-21</v>
      </c>
      <c r="Z3922" s="168" t="str">
        <f t="array" ref="Z3922">iferror(index(I:I,match($A3922&amp;","&amp;index('Year Conversion'!$A:$A,match($C3922,'Year Conversion'!$B:$B,0)),$Y:$Y,0))-I3922,"")</f>
        <v/>
      </c>
      <c r="AA3922" s="168" t="str">
        <f t="array" ref="AA3922">iferror(index(J:J,match($A3922&amp;","&amp;index('Year Conversion'!$A:$A,match($C3922,'Year Conversion'!$B:$B,0)),$Y:$Y,0))-J3922,"")</f>
        <v/>
      </c>
      <c r="AB3922" s="168" t="str">
        <f t="array" ref="AB3922">iferror(index(K:K,match($A3922&amp;","&amp;index('Year Conversion'!$A:$A,match($C3922,'Year Conversion'!$B:$B,0)),$Y:$Y,0))-K3922,"")</f>
        <v/>
      </c>
      <c r="AC3922" s="168" t="str">
        <f t="shared" si="7"/>
        <v>MIL,2020-21</v>
      </c>
    </row>
    <row r="3923">
      <c r="A3923" s="161" t="str">
        <f>IFERROR(__xludf.DUMMYFUNCTION("""COMPUTED_VALUE"""),"onimi01")</f>
        <v>onimi01</v>
      </c>
      <c r="B3923" s="161" t="str">
        <f>IFERROR(__xludf.DUMMYFUNCTION("""COMPUTED_VALUE"""),"Miye Oni")</f>
        <v>Miye Oni</v>
      </c>
      <c r="C3923" s="162" t="str">
        <f>IFERROR(__xludf.DUMMYFUNCTION("""COMPUTED_VALUE"""),"2020-21")</f>
        <v>2020-21</v>
      </c>
      <c r="D3923" s="163" t="str">
        <f>IFERROR(__xludf.DUMMYFUNCTION("""COMPUTED_VALUE"""),"UTA")</f>
        <v>UTA</v>
      </c>
      <c r="E3923" s="164" t="str">
        <f>IFERROR(__xludf.DUMMYFUNCTION("""COMPUTED_VALUE"""),"Athletic Finisher")</f>
        <v>Athletic Finisher</v>
      </c>
      <c r="F3923" s="164">
        <f>IFERROR(__xludf.DUMMYFUNCTION("""COMPUTED_VALUE"""),185.121666666667)</f>
        <v>185.1216667</v>
      </c>
      <c r="G3923" s="163">
        <f>IFERROR(__xludf.DUMMYFUNCTION("""COMPUTED_VALUE"""),23.0)</f>
        <v>23</v>
      </c>
      <c r="H3923" s="163" t="str">
        <f>IFERROR(__xludf.DUMMYFUNCTION("""COMPUTED_VALUE"""),"SG")</f>
        <v>SG</v>
      </c>
      <c r="I3923" s="163">
        <f>IFERROR(__xludf.DUMMYFUNCTION("""COMPUTED_VALUE"""),23.0)</f>
        <v>23</v>
      </c>
      <c r="J3923" s="165">
        <f>IFERROR(__xludf.DUMMYFUNCTION("""COMPUTED_VALUE"""),-1.80698527470052)</f>
        <v>-1.806985275</v>
      </c>
      <c r="K3923" s="165">
        <f>IFERROR(__xludf.DUMMYFUNCTION("""COMPUTED_VALUE"""),-1.50804356671391)</f>
        <v>-1.508043567</v>
      </c>
      <c r="L3923" s="165">
        <f>IFERROR(__xludf.DUMMYFUNCTION("""COMPUTED_VALUE"""),-0.298941707986613)</f>
        <v>-0.298941708</v>
      </c>
      <c r="M3923" s="166">
        <f t="shared" si="2"/>
        <v>0.06088867681</v>
      </c>
      <c r="N3923" s="167">
        <f t="shared" si="3"/>
        <v>8.048768116</v>
      </c>
      <c r="O3923" s="163">
        <f t="shared" ref="O3923:Q3923" si="3927">rank(I3923,I:I)</f>
        <v>2765</v>
      </c>
      <c r="P3923" s="163">
        <f t="shared" si="3927"/>
        <v>3336</v>
      </c>
      <c r="Q3923" s="163">
        <f t="shared" si="3927"/>
        <v>3366</v>
      </c>
      <c r="R3923" s="163">
        <f>IFERROR(__xludf.DUMMYFUNCTION("RANK(M3923,filter(M:M,C:C=C3923))"),365.0)</f>
        <v>365</v>
      </c>
      <c r="S3923" s="161" t="b">
        <f t="shared" si="5"/>
        <v>0</v>
      </c>
      <c r="T3923" s="161" t="b">
        <f t="array" ref="T3923">index('Query Tool'!B:B,match(H3923,'Query Tool'!C:C,0))</f>
        <v>1</v>
      </c>
      <c r="U3923" s="161" t="b">
        <f t="array" ref="U3923">index('Query Tool'!B:B,match(C3923,'Query Tool'!C:C,0))</f>
        <v>1</v>
      </c>
      <c r="V3923" s="161" t="b">
        <f>F3923&gt;='Query Tool'!C$32</f>
        <v>0</v>
      </c>
      <c r="W3923" s="161" t="b">
        <f t="array" ref="W3923">index(Dropdowns!B:B,match(I3923,Dropdowns!A:A,0))</f>
        <v>1</v>
      </c>
      <c r="X3923" s="161" t="b">
        <f t="array" ref="X3923">index('Query Tool'!B:B,match(D3923,'Query Tool'!C:C,0))</f>
        <v>1</v>
      </c>
      <c r="Y3923" s="161" t="str">
        <f t="shared" si="6"/>
        <v>onimi01,2020-21</v>
      </c>
      <c r="Z3923" s="168" t="str">
        <f t="array" ref="Z3923">iferror(index(I:I,match($A3923&amp;","&amp;index('Year Conversion'!$A:$A,match($C3923,'Year Conversion'!$B:$B,0)),$Y:$Y,0))-I3923,"")</f>
        <v/>
      </c>
      <c r="AA3923" s="168" t="str">
        <f t="array" ref="AA3923">iferror(index(J:J,match($A3923&amp;","&amp;index('Year Conversion'!$A:$A,match($C3923,'Year Conversion'!$B:$B,0)),$Y:$Y,0))-J3923,"")</f>
        <v/>
      </c>
      <c r="AB3923" s="168" t="str">
        <f t="array" ref="AB3923">iferror(index(K:K,match($A3923&amp;","&amp;index('Year Conversion'!$A:$A,match($C3923,'Year Conversion'!$B:$B,0)),$Y:$Y,0))-K3923,"")</f>
        <v/>
      </c>
      <c r="AC3923" s="168" t="str">
        <f t="shared" si="7"/>
        <v>UTA,2020-21</v>
      </c>
    </row>
    <row r="3924">
      <c r="A3924" s="161" t="str">
        <f>IFERROR(__xludf.DUMMYFUNCTION("""COMPUTED_VALUE"""),"pascher01")</f>
        <v>pascher01</v>
      </c>
      <c r="B3924" s="161" t="str">
        <f>IFERROR(__xludf.DUMMYFUNCTION("""COMPUTED_VALUE"""),"Eric Paschall")</f>
        <v>Eric Paschall</v>
      </c>
      <c r="C3924" s="162" t="str">
        <f>IFERROR(__xludf.DUMMYFUNCTION("""COMPUTED_VALUE"""),"2020-21")</f>
        <v>2020-21</v>
      </c>
      <c r="D3924" s="163" t="str">
        <f>IFERROR(__xludf.DUMMYFUNCTION("""COMPUTED_VALUE"""),"GSW")</f>
        <v>GSW</v>
      </c>
      <c r="E3924" s="164" t="str">
        <f>IFERROR(__xludf.DUMMYFUNCTION("""COMPUTED_VALUE"""),"Roll + Cut Big")</f>
        <v>Roll + Cut Big</v>
      </c>
      <c r="F3924" s="164">
        <f>IFERROR(__xludf.DUMMYFUNCTION("""COMPUTED_VALUE"""),501.581666666667)</f>
        <v>501.5816667</v>
      </c>
      <c r="G3924" s="163">
        <f>IFERROR(__xludf.DUMMYFUNCTION("""COMPUTED_VALUE"""),28.0)</f>
        <v>28</v>
      </c>
      <c r="H3924" s="163" t="str">
        <f>IFERROR(__xludf.DUMMYFUNCTION("""COMPUTED_VALUE"""),"PF")</f>
        <v>PF</v>
      </c>
      <c r="I3924" s="163">
        <f>IFERROR(__xludf.DUMMYFUNCTION("""COMPUTED_VALUE"""),24.0)</f>
        <v>24</v>
      </c>
      <c r="J3924" s="165">
        <f>IFERROR(__xludf.DUMMYFUNCTION("""COMPUTED_VALUE"""),-1.45755083881458)</f>
        <v>-1.457550839</v>
      </c>
      <c r="K3924" s="165">
        <f>IFERROR(__xludf.DUMMYFUNCTION("""COMPUTED_VALUE"""),-0.0710028494651332)</f>
        <v>-0.07100284947</v>
      </c>
      <c r="L3924" s="165">
        <f>IFERROR(__xludf.DUMMYFUNCTION("""COMPUTED_VALUE"""),-1.38654798934944)</f>
        <v>-1.386547989</v>
      </c>
      <c r="M3924" s="166">
        <f t="shared" si="2"/>
        <v>0.2818340317</v>
      </c>
      <c r="N3924" s="167">
        <f t="shared" si="3"/>
        <v>17.91363095</v>
      </c>
      <c r="O3924" s="163">
        <f t="shared" ref="O3924:Q3924" si="3928">rank(I3924,I:I)</f>
        <v>2361</v>
      </c>
      <c r="P3924" s="163">
        <f t="shared" si="3928"/>
        <v>3013</v>
      </c>
      <c r="Q3924" s="163">
        <f t="shared" si="3928"/>
        <v>1308</v>
      </c>
      <c r="R3924" s="163">
        <f>IFERROR(__xludf.DUMMYFUNCTION("RANK(M3924,filter(M:M,C:C=C3924))"),251.0)</f>
        <v>251</v>
      </c>
      <c r="S3924" s="161" t="b">
        <f t="shared" si="5"/>
        <v>1</v>
      </c>
      <c r="T3924" s="161" t="b">
        <f t="array" ref="T3924">index('Query Tool'!B:B,match(H3924,'Query Tool'!C:C,0))</f>
        <v>1</v>
      </c>
      <c r="U3924" s="161" t="b">
        <f t="array" ref="U3924">index('Query Tool'!B:B,match(C3924,'Query Tool'!C:C,0))</f>
        <v>1</v>
      </c>
      <c r="V3924" s="161" t="b">
        <f>F3924&gt;='Query Tool'!C$32</f>
        <v>1</v>
      </c>
      <c r="W3924" s="161" t="b">
        <f t="array" ref="W3924">index(Dropdowns!B:B,match(I3924,Dropdowns!A:A,0))</f>
        <v>1</v>
      </c>
      <c r="X3924" s="161" t="b">
        <f t="array" ref="X3924">index('Query Tool'!B:B,match(D3924,'Query Tool'!C:C,0))</f>
        <v>1</v>
      </c>
      <c r="Y3924" s="161" t="str">
        <f t="shared" si="6"/>
        <v>pascher01,2020-21</v>
      </c>
      <c r="Z3924" s="168" t="str">
        <f t="array" ref="Z3924">iferror(index(I:I,match($A3924&amp;","&amp;index('Year Conversion'!$A:$A,match($C3924,'Year Conversion'!$B:$B,0)),$Y:$Y,0))-I3924,"")</f>
        <v/>
      </c>
      <c r="AA3924" s="168" t="str">
        <f t="array" ref="AA3924">iferror(index(J:J,match($A3924&amp;","&amp;index('Year Conversion'!$A:$A,match($C3924,'Year Conversion'!$B:$B,0)),$Y:$Y,0))-J3924,"")</f>
        <v/>
      </c>
      <c r="AB3924" s="168" t="str">
        <f t="array" ref="AB3924">iferror(index(K:K,match($A3924&amp;","&amp;index('Year Conversion'!$A:$A,match($C3924,'Year Conversion'!$B:$B,0)),$Y:$Y,0))-K3924,"")</f>
        <v/>
      </c>
      <c r="AC3924" s="168" t="str">
        <f t="shared" si="7"/>
        <v>GSW,2020-21</v>
      </c>
    </row>
    <row r="3925">
      <c r="A3925" s="161" t="str">
        <f>IFERROR(__xludf.DUMMYFUNCTION("""COMPUTED_VALUE"""),"poolejo01")</f>
        <v>poolejo01</v>
      </c>
      <c r="B3925" s="161" t="str">
        <f>IFERROR(__xludf.DUMMYFUNCTION("""COMPUTED_VALUE"""),"Jordan Poole")</f>
        <v>Jordan Poole</v>
      </c>
      <c r="C3925" s="162" t="str">
        <f>IFERROR(__xludf.DUMMYFUNCTION("""COMPUTED_VALUE"""),"2020-21")</f>
        <v>2020-21</v>
      </c>
      <c r="D3925" s="163" t="str">
        <f>IFERROR(__xludf.DUMMYFUNCTION("""COMPUTED_VALUE"""),"GSW")</f>
        <v>GSW</v>
      </c>
      <c r="E3925" s="164" t="str">
        <f>IFERROR(__xludf.DUMMYFUNCTION("""COMPUTED_VALUE"""),"Movement Shooter")</f>
        <v>Movement Shooter</v>
      </c>
      <c r="F3925" s="164">
        <f>IFERROR(__xludf.DUMMYFUNCTION("""COMPUTED_VALUE"""),143.458333333333)</f>
        <v>143.4583333</v>
      </c>
      <c r="G3925" s="163">
        <f>IFERROR(__xludf.DUMMYFUNCTION("""COMPUTED_VALUE"""),15.0)</f>
        <v>15</v>
      </c>
      <c r="H3925" s="163" t="str">
        <f>IFERROR(__xludf.DUMMYFUNCTION("""COMPUTED_VALUE"""),"SG")</f>
        <v>SG</v>
      </c>
      <c r="I3925" s="163">
        <f>IFERROR(__xludf.DUMMYFUNCTION("""COMPUTED_VALUE"""),21.0)</f>
        <v>21</v>
      </c>
      <c r="J3925" s="165">
        <f>IFERROR(__xludf.DUMMYFUNCTION("""COMPUTED_VALUE"""),-0.587569735527851)</f>
        <v>-0.5875697355</v>
      </c>
      <c r="K3925" s="165">
        <f>IFERROR(__xludf.DUMMYFUNCTION("""COMPUTED_VALUE"""),0.0411303606920676)</f>
        <v>0.04113036069</v>
      </c>
      <c r="L3925" s="165">
        <f>IFERROR(__xludf.DUMMYFUNCTION("""COMPUTED_VALUE"""),-0.628700096219919)</f>
        <v>-0.6287000962</v>
      </c>
      <c r="M3925" s="166">
        <f t="shared" si="2"/>
        <v>0.1643635136</v>
      </c>
      <c r="N3925" s="167">
        <f t="shared" si="3"/>
        <v>9.563888889</v>
      </c>
      <c r="O3925" s="163">
        <f t="shared" ref="O3925:Q3925" si="3929">rank(I3925,I:I)</f>
        <v>3528</v>
      </c>
      <c r="P3925" s="163">
        <f t="shared" si="3929"/>
        <v>1975</v>
      </c>
      <c r="Q3925" s="163">
        <f t="shared" si="3929"/>
        <v>1138</v>
      </c>
      <c r="R3925" s="163">
        <f>IFERROR(__xludf.DUMMYFUNCTION("RANK(M3925,filter(M:M,C:C=C3925))"),294.0)</f>
        <v>294</v>
      </c>
      <c r="S3925" s="161" t="b">
        <f t="shared" si="5"/>
        <v>0</v>
      </c>
      <c r="T3925" s="161" t="b">
        <f t="array" ref="T3925">index('Query Tool'!B:B,match(H3925,'Query Tool'!C:C,0))</f>
        <v>1</v>
      </c>
      <c r="U3925" s="161" t="b">
        <f t="array" ref="U3925">index('Query Tool'!B:B,match(C3925,'Query Tool'!C:C,0))</f>
        <v>1</v>
      </c>
      <c r="V3925" s="161" t="b">
        <f>F3925&gt;='Query Tool'!C$32</f>
        <v>0</v>
      </c>
      <c r="W3925" s="161" t="b">
        <f t="array" ref="W3925">index(Dropdowns!B:B,match(I3925,Dropdowns!A:A,0))</f>
        <v>1</v>
      </c>
      <c r="X3925" s="161" t="b">
        <f t="array" ref="X3925">index('Query Tool'!B:B,match(D3925,'Query Tool'!C:C,0))</f>
        <v>1</v>
      </c>
      <c r="Y3925" s="161" t="str">
        <f t="shared" si="6"/>
        <v>poolejo01,2020-21</v>
      </c>
      <c r="Z3925" s="168" t="str">
        <f t="array" ref="Z3925">iferror(index(I:I,match($A3925&amp;","&amp;index('Year Conversion'!$A:$A,match($C3925,'Year Conversion'!$B:$B,0)),$Y:$Y,0))-I3925,"")</f>
        <v/>
      </c>
      <c r="AA3925" s="168" t="str">
        <f t="array" ref="AA3925">iferror(index(J:J,match($A3925&amp;","&amp;index('Year Conversion'!$A:$A,match($C3925,'Year Conversion'!$B:$B,0)),$Y:$Y,0))-J3925,"")</f>
        <v/>
      </c>
      <c r="AB3925" s="168" t="str">
        <f t="array" ref="AB3925">iferror(index(K:K,match($A3925&amp;","&amp;index('Year Conversion'!$A:$A,match($C3925,'Year Conversion'!$B:$B,0)),$Y:$Y,0))-K3925,"")</f>
        <v/>
      </c>
      <c r="AC3925" s="168" t="str">
        <f t="shared" si="7"/>
        <v>GSW,2020-21</v>
      </c>
    </row>
    <row r="3926">
      <c r="A3926" s="161" t="str">
        <f>IFERROR(__xludf.DUMMYFUNCTION("""COMPUTED_VALUE"""),"reidna01")</f>
        <v>reidna01</v>
      </c>
      <c r="B3926" s="161" t="str">
        <f>IFERROR(__xludf.DUMMYFUNCTION("""COMPUTED_VALUE"""),"Naz Reid")</f>
        <v>Naz Reid</v>
      </c>
      <c r="C3926" s="162" t="str">
        <f>IFERROR(__xludf.DUMMYFUNCTION("""COMPUTED_VALUE"""),"2020-21")</f>
        <v>2020-21</v>
      </c>
      <c r="D3926" s="163" t="str">
        <f>IFERROR(__xludf.DUMMYFUNCTION("""COMPUTED_VALUE"""),"MIN")</f>
        <v>MIN</v>
      </c>
      <c r="E3926" s="164" t="str">
        <f>IFERROR(__xludf.DUMMYFUNCTION("""COMPUTED_VALUE"""),"Stretch Big")</f>
        <v>Stretch Big</v>
      </c>
      <c r="F3926" s="164">
        <f>IFERROR(__xludf.DUMMYFUNCTION("""COMPUTED_VALUE"""),614.683333333333)</f>
        <v>614.6833333</v>
      </c>
      <c r="G3926" s="163">
        <f>IFERROR(__xludf.DUMMYFUNCTION("""COMPUTED_VALUE"""),29.0)</f>
        <v>29</v>
      </c>
      <c r="H3926" s="163" t="str">
        <f>IFERROR(__xludf.DUMMYFUNCTION("""COMPUTED_VALUE"""),"C")</f>
        <v>C</v>
      </c>
      <c r="I3926" s="163">
        <f>IFERROR(__xludf.DUMMYFUNCTION("""COMPUTED_VALUE"""),21.0)</f>
        <v>21</v>
      </c>
      <c r="J3926" s="165">
        <f>IFERROR(__xludf.DUMMYFUNCTION("""COMPUTED_VALUE"""),-0.321334591871626)</f>
        <v>-0.3213345919</v>
      </c>
      <c r="K3926" s="165">
        <f>IFERROR(__xludf.DUMMYFUNCTION("""COMPUTED_VALUE"""),-0.926483544018551)</f>
        <v>-0.926483544</v>
      </c>
      <c r="L3926" s="165">
        <f>IFERROR(__xludf.DUMMYFUNCTION("""COMPUTED_VALUE"""),0.605148952146925)</f>
        <v>0.6051489521</v>
      </c>
      <c r="M3926" s="166">
        <f t="shared" si="2"/>
        <v>0.8144905934</v>
      </c>
      <c r="N3926" s="167">
        <f t="shared" si="3"/>
        <v>21.19597701</v>
      </c>
      <c r="O3926" s="163">
        <f t="shared" ref="O3926:Q3926" si="3930">rank(I3926,I:I)</f>
        <v>3528</v>
      </c>
      <c r="P3926" s="163">
        <f t="shared" si="3930"/>
        <v>1642</v>
      </c>
      <c r="Q3926" s="163">
        <f t="shared" si="3930"/>
        <v>2721</v>
      </c>
      <c r="R3926" s="163">
        <f>IFERROR(__xludf.DUMMYFUNCTION("RANK(M3926,filter(M:M,C:C=C3926))"),141.0)</f>
        <v>141</v>
      </c>
      <c r="S3926" s="161" t="b">
        <f t="shared" si="5"/>
        <v>1</v>
      </c>
      <c r="T3926" s="161" t="b">
        <f t="array" ref="T3926">index('Query Tool'!B:B,match(H3926,'Query Tool'!C:C,0))</f>
        <v>1</v>
      </c>
      <c r="U3926" s="161" t="b">
        <f t="array" ref="U3926">index('Query Tool'!B:B,match(C3926,'Query Tool'!C:C,0))</f>
        <v>1</v>
      </c>
      <c r="V3926" s="161" t="b">
        <f>F3926&gt;='Query Tool'!C$32</f>
        <v>1</v>
      </c>
      <c r="W3926" s="161" t="b">
        <f t="array" ref="W3926">index(Dropdowns!B:B,match(I3926,Dropdowns!A:A,0))</f>
        <v>1</v>
      </c>
      <c r="X3926" s="161" t="b">
        <f t="array" ref="X3926">index('Query Tool'!B:B,match(D3926,'Query Tool'!C:C,0))</f>
        <v>1</v>
      </c>
      <c r="Y3926" s="161" t="str">
        <f t="shared" si="6"/>
        <v>reidna01,2020-21</v>
      </c>
      <c r="Z3926" s="168" t="str">
        <f t="array" ref="Z3926">iferror(index(I:I,match($A3926&amp;","&amp;index('Year Conversion'!$A:$A,match($C3926,'Year Conversion'!$B:$B,0)),$Y:$Y,0))-I3926,"")</f>
        <v/>
      </c>
      <c r="AA3926" s="168" t="str">
        <f t="array" ref="AA3926">iferror(index(J:J,match($A3926&amp;","&amp;index('Year Conversion'!$A:$A,match($C3926,'Year Conversion'!$B:$B,0)),$Y:$Y,0))-J3926,"")</f>
        <v/>
      </c>
      <c r="AB3926" s="168" t="str">
        <f t="array" ref="AB3926">iferror(index(K:K,match($A3926&amp;","&amp;index('Year Conversion'!$A:$A,match($C3926,'Year Conversion'!$B:$B,0)),$Y:$Y,0))-K3926,"")</f>
        <v/>
      </c>
      <c r="AC3926" s="168" t="str">
        <f t="shared" si="7"/>
        <v>MIN,2020-21</v>
      </c>
    </row>
    <row r="3927">
      <c r="A3927" s="161" t="str">
        <f>IFERROR(__xludf.DUMMYFUNCTION("""COMPUTED_VALUE"""),"robyis01")</f>
        <v>robyis01</v>
      </c>
      <c r="B3927" s="161" t="str">
        <f>IFERROR(__xludf.DUMMYFUNCTION("""COMPUTED_VALUE"""),"Isaiah Roby")</f>
        <v>Isaiah Roby</v>
      </c>
      <c r="C3927" s="162" t="str">
        <f>IFERROR(__xludf.DUMMYFUNCTION("""COMPUTED_VALUE"""),"2020-21")</f>
        <v>2020-21</v>
      </c>
      <c r="D3927" s="163" t="str">
        <f>IFERROR(__xludf.DUMMYFUNCTION("""COMPUTED_VALUE"""),"OKC")</f>
        <v>OKC</v>
      </c>
      <c r="E3927" s="164" t="str">
        <f>IFERROR(__xludf.DUMMYFUNCTION("""COMPUTED_VALUE"""),"Stretch Big")</f>
        <v>Stretch Big</v>
      </c>
      <c r="F3927" s="164">
        <f>IFERROR(__xludf.DUMMYFUNCTION("""COMPUTED_VALUE"""),485.845)</f>
        <v>485.845</v>
      </c>
      <c r="G3927" s="163">
        <f>IFERROR(__xludf.DUMMYFUNCTION("""COMPUTED_VALUE"""),24.0)</f>
        <v>24</v>
      </c>
      <c r="H3927" s="163" t="str">
        <f>IFERROR(__xludf.DUMMYFUNCTION("""COMPUTED_VALUE"""),"PF")</f>
        <v>PF</v>
      </c>
      <c r="I3927" s="163">
        <f>IFERROR(__xludf.DUMMYFUNCTION("""COMPUTED_VALUE"""),22.0)</f>
        <v>22</v>
      </c>
      <c r="J3927" s="165">
        <f>IFERROR(__xludf.DUMMYFUNCTION("""COMPUTED_VALUE"""),-0.925277151152095)</f>
        <v>-0.9252771512</v>
      </c>
      <c r="K3927" s="165">
        <f>IFERROR(__xludf.DUMMYFUNCTION("""COMPUTED_VALUE"""),-1.03069738869735)</f>
        <v>-1.030697389</v>
      </c>
      <c r="L3927" s="165">
        <f>IFERROR(__xludf.DUMMYFUNCTION("""COMPUTED_VALUE"""),0.105420237545255)</f>
        <v>0.1054202375</v>
      </c>
      <c r="M3927" s="166">
        <f t="shared" si="2"/>
        <v>0.4462948354</v>
      </c>
      <c r="N3927" s="167">
        <f t="shared" si="3"/>
        <v>20.24354167</v>
      </c>
      <c r="O3927" s="163">
        <f t="shared" ref="O3927:Q3927" si="3931">rank(I3927,I:I)</f>
        <v>3178</v>
      </c>
      <c r="P3927" s="163">
        <f t="shared" si="3931"/>
        <v>2424</v>
      </c>
      <c r="Q3927" s="163">
        <f t="shared" si="3931"/>
        <v>2843</v>
      </c>
      <c r="R3927" s="163">
        <f>IFERROR(__xludf.DUMMYFUNCTION("RANK(M3927,filter(M:M,C:C=C3927))"),206.0)</f>
        <v>206</v>
      </c>
      <c r="S3927" s="161" t="b">
        <f t="shared" si="5"/>
        <v>0</v>
      </c>
      <c r="T3927" s="161" t="b">
        <f t="array" ref="T3927">index('Query Tool'!B:B,match(H3927,'Query Tool'!C:C,0))</f>
        <v>1</v>
      </c>
      <c r="U3927" s="161" t="b">
        <f t="array" ref="U3927">index('Query Tool'!B:B,match(C3927,'Query Tool'!C:C,0))</f>
        <v>1</v>
      </c>
      <c r="V3927" s="161" t="b">
        <f>F3927&gt;='Query Tool'!C$32</f>
        <v>0</v>
      </c>
      <c r="W3927" s="161" t="b">
        <f t="array" ref="W3927">index(Dropdowns!B:B,match(I3927,Dropdowns!A:A,0))</f>
        <v>1</v>
      </c>
      <c r="X3927" s="161" t="b">
        <f t="array" ref="X3927">index('Query Tool'!B:B,match(D3927,'Query Tool'!C:C,0))</f>
        <v>1</v>
      </c>
      <c r="Y3927" s="161" t="str">
        <f t="shared" si="6"/>
        <v>robyis01,2020-21</v>
      </c>
      <c r="Z3927" s="168" t="str">
        <f t="array" ref="Z3927">iferror(index(I:I,match($A3927&amp;","&amp;index('Year Conversion'!$A:$A,match($C3927,'Year Conversion'!$B:$B,0)),$Y:$Y,0))-I3927,"")</f>
        <v/>
      </c>
      <c r="AA3927" s="168" t="str">
        <f t="array" ref="AA3927">iferror(index(J:J,match($A3927&amp;","&amp;index('Year Conversion'!$A:$A,match($C3927,'Year Conversion'!$B:$B,0)),$Y:$Y,0))-J3927,"")</f>
        <v/>
      </c>
      <c r="AB3927" s="168" t="str">
        <f t="array" ref="AB3927">iferror(index(K:K,match($A3927&amp;","&amp;index('Year Conversion'!$A:$A,match($C3927,'Year Conversion'!$B:$B,0)),$Y:$Y,0))-K3927,"")</f>
        <v/>
      </c>
      <c r="AC3927" s="168" t="str">
        <f t="shared" si="7"/>
        <v>OKC,2020-21</v>
      </c>
    </row>
    <row r="3928">
      <c r="A3928" s="161" t="str">
        <f>IFERROR(__xludf.DUMMYFUNCTION("""COMPUTED_VALUE"""),"samanlu01")</f>
        <v>samanlu01</v>
      </c>
      <c r="B3928" s="161" t="str">
        <f>IFERROR(__xludf.DUMMYFUNCTION("""COMPUTED_VALUE"""),"Luka Samanic")</f>
        <v>Luka Samanic</v>
      </c>
      <c r="C3928" s="162" t="str">
        <f>IFERROR(__xludf.DUMMYFUNCTION("""COMPUTED_VALUE"""),"2020-21")</f>
        <v>2020-21</v>
      </c>
      <c r="D3928" s="163" t="str">
        <f>IFERROR(__xludf.DUMMYFUNCTION("""COMPUTED_VALUE"""),"SAS")</f>
        <v>SAS</v>
      </c>
      <c r="E3928" s="164" t="str">
        <f>IFERROR(__xludf.DUMMYFUNCTION("""COMPUTED_VALUE"""),"Stationary Shooter")</f>
        <v>Stationary Shooter</v>
      </c>
      <c r="F3928" s="164">
        <f>IFERROR(__xludf.DUMMYFUNCTION("""COMPUTED_VALUE"""),10.735)</f>
        <v>10.735</v>
      </c>
      <c r="G3928" s="163">
        <f>IFERROR(__xludf.DUMMYFUNCTION("""COMPUTED_VALUE"""),4.0)</f>
        <v>4</v>
      </c>
      <c r="H3928" s="163" t="str">
        <f>IFERROR(__xludf.DUMMYFUNCTION("""COMPUTED_VALUE"""),"PF")</f>
        <v>PF</v>
      </c>
      <c r="I3928" s="163">
        <f>IFERROR(__xludf.DUMMYFUNCTION("""COMPUTED_VALUE"""),21.0)</f>
        <v>21</v>
      </c>
      <c r="J3928" s="165">
        <f>IFERROR(__xludf.DUMMYFUNCTION("""COMPUTED_VALUE"""),-0.598140898492056)</f>
        <v>-0.5981408985</v>
      </c>
      <c r="K3928" s="165">
        <f>IFERROR(__xludf.DUMMYFUNCTION("""COMPUTED_VALUE"""),-0.226010157491021)</f>
        <v>-0.2260101575</v>
      </c>
      <c r="L3928" s="165">
        <f>IFERROR(__xludf.DUMMYFUNCTION("""COMPUTED_VALUE"""),-0.372130741001035)</f>
        <v>-0.372130741</v>
      </c>
      <c r="M3928" s="166">
        <f t="shared" si="2"/>
        <v>0.01222294046</v>
      </c>
      <c r="N3928" s="167">
        <f t="shared" si="3"/>
        <v>2.68375</v>
      </c>
      <c r="O3928" s="163">
        <f t="shared" ref="O3928:Q3928" si="3932">rank(I3928,I:I)</f>
        <v>3528</v>
      </c>
      <c r="P3928" s="163">
        <f t="shared" si="3932"/>
        <v>1993</v>
      </c>
      <c r="Q3928" s="163">
        <f t="shared" si="3932"/>
        <v>1613</v>
      </c>
      <c r="R3928" s="163">
        <f>IFERROR(__xludf.DUMMYFUNCTION("RANK(M3928,filter(M:M,C:C=C3928))"),432.0)</f>
        <v>432</v>
      </c>
      <c r="S3928" s="161" t="b">
        <f t="shared" si="5"/>
        <v>0</v>
      </c>
      <c r="T3928" s="161" t="b">
        <f t="array" ref="T3928">index('Query Tool'!B:B,match(H3928,'Query Tool'!C:C,0))</f>
        <v>1</v>
      </c>
      <c r="U3928" s="161" t="b">
        <f t="array" ref="U3928">index('Query Tool'!B:B,match(C3928,'Query Tool'!C:C,0))</f>
        <v>1</v>
      </c>
      <c r="V3928" s="161" t="b">
        <f>F3928&gt;='Query Tool'!C$32</f>
        <v>0</v>
      </c>
      <c r="W3928" s="161" t="b">
        <f t="array" ref="W3928">index(Dropdowns!B:B,match(I3928,Dropdowns!A:A,0))</f>
        <v>1</v>
      </c>
      <c r="X3928" s="161" t="b">
        <f t="array" ref="X3928">index('Query Tool'!B:B,match(D3928,'Query Tool'!C:C,0))</f>
        <v>1</v>
      </c>
      <c r="Y3928" s="161" t="str">
        <f t="shared" si="6"/>
        <v>samanlu01,2020-21</v>
      </c>
      <c r="Z3928" s="168" t="str">
        <f t="array" ref="Z3928">iferror(index(I:I,match($A3928&amp;","&amp;index('Year Conversion'!$A:$A,match($C3928,'Year Conversion'!$B:$B,0)),$Y:$Y,0))-I3928,"")</f>
        <v/>
      </c>
      <c r="AA3928" s="168" t="str">
        <f t="array" ref="AA3928">iferror(index(J:J,match($A3928&amp;","&amp;index('Year Conversion'!$A:$A,match($C3928,'Year Conversion'!$B:$B,0)),$Y:$Y,0))-J3928,"")</f>
        <v/>
      </c>
      <c r="AB3928" s="168" t="str">
        <f t="array" ref="AB3928">iferror(index(K:K,match($A3928&amp;","&amp;index('Year Conversion'!$A:$A,match($C3928,'Year Conversion'!$B:$B,0)),$Y:$Y,0))-K3928,"")</f>
        <v/>
      </c>
      <c r="AC3928" s="168" t="str">
        <f t="shared" si="7"/>
        <v>SAS,2020-21</v>
      </c>
    </row>
    <row r="3929">
      <c r="A3929" s="161" t="str">
        <f>IFERROR(__xludf.DUMMYFUNCTION("""COMPUTED_VALUE"""),"thybuma01")</f>
        <v>thybuma01</v>
      </c>
      <c r="B3929" s="161" t="str">
        <f>IFERROR(__xludf.DUMMYFUNCTION("""COMPUTED_VALUE"""),"Matisse Thybulle")</f>
        <v>Matisse Thybulle</v>
      </c>
      <c r="C3929" s="162" t="str">
        <f>IFERROR(__xludf.DUMMYFUNCTION("""COMPUTED_VALUE"""),"2020-21")</f>
        <v>2020-21</v>
      </c>
      <c r="D3929" s="163" t="str">
        <f>IFERROR(__xludf.DUMMYFUNCTION("""COMPUTED_VALUE"""),"PHI")</f>
        <v>PHI</v>
      </c>
      <c r="E3929" s="164" t="str">
        <f>IFERROR(__xludf.DUMMYFUNCTION("""COMPUTED_VALUE"""),"Stationary Shooter")</f>
        <v>Stationary Shooter</v>
      </c>
      <c r="F3929" s="164">
        <f>IFERROR(__xludf.DUMMYFUNCTION("""COMPUTED_VALUE"""),513.09)</f>
        <v>513.09</v>
      </c>
      <c r="G3929" s="163">
        <f>IFERROR(__xludf.DUMMYFUNCTION("""COMPUTED_VALUE"""),28.0)</f>
        <v>28</v>
      </c>
      <c r="H3929" s="163" t="str">
        <f>IFERROR(__xludf.DUMMYFUNCTION("""COMPUTED_VALUE"""),"SG")</f>
        <v>SG</v>
      </c>
      <c r="I3929" s="163">
        <f>IFERROR(__xludf.DUMMYFUNCTION("""COMPUTED_VALUE"""),23.0)</f>
        <v>23</v>
      </c>
      <c r="J3929" s="165">
        <f>IFERROR(__xludf.DUMMYFUNCTION("""COMPUTED_VALUE"""),-0.619201849155983)</f>
        <v>-0.6192018492</v>
      </c>
      <c r="K3929" s="165">
        <f>IFERROR(__xludf.DUMMYFUNCTION("""COMPUTED_VALUE"""),-2.44145449504388)</f>
        <v>-2.441454495</v>
      </c>
      <c r="L3929" s="165">
        <f>IFERROR(__xludf.DUMMYFUNCTION("""COMPUTED_VALUE"""),1.8222526458879)</f>
        <v>1.822252646</v>
      </c>
      <c r="M3929" s="166">
        <f t="shared" si="2"/>
        <v>0.5769334268</v>
      </c>
      <c r="N3929" s="167">
        <f t="shared" si="3"/>
        <v>18.32464286</v>
      </c>
      <c r="O3929" s="163">
        <f t="shared" ref="O3929:Q3929" si="3933">rank(I3929,I:I)</f>
        <v>2765</v>
      </c>
      <c r="P3929" s="163">
        <f t="shared" si="3933"/>
        <v>2023</v>
      </c>
      <c r="Q3929" s="163">
        <f t="shared" si="3933"/>
        <v>3876</v>
      </c>
      <c r="R3929" s="163">
        <f>IFERROR(__xludf.DUMMYFUNCTION("RANK(M3929,filter(M:M,C:C=C3929))"),178.0)</f>
        <v>178</v>
      </c>
      <c r="S3929" s="161" t="b">
        <f t="shared" si="5"/>
        <v>1</v>
      </c>
      <c r="T3929" s="161" t="b">
        <f t="array" ref="T3929">index('Query Tool'!B:B,match(H3929,'Query Tool'!C:C,0))</f>
        <v>1</v>
      </c>
      <c r="U3929" s="161" t="b">
        <f t="array" ref="U3929">index('Query Tool'!B:B,match(C3929,'Query Tool'!C:C,0))</f>
        <v>1</v>
      </c>
      <c r="V3929" s="161" t="b">
        <f>F3929&gt;='Query Tool'!C$32</f>
        <v>1</v>
      </c>
      <c r="W3929" s="161" t="b">
        <f t="array" ref="W3929">index(Dropdowns!B:B,match(I3929,Dropdowns!A:A,0))</f>
        <v>1</v>
      </c>
      <c r="X3929" s="161" t="b">
        <f t="array" ref="X3929">index('Query Tool'!B:B,match(D3929,'Query Tool'!C:C,0))</f>
        <v>1</v>
      </c>
      <c r="Y3929" s="161" t="str">
        <f t="shared" si="6"/>
        <v>thybuma01,2020-21</v>
      </c>
      <c r="Z3929" s="168" t="str">
        <f t="array" ref="Z3929">iferror(index(I:I,match($A3929&amp;","&amp;index('Year Conversion'!$A:$A,match($C3929,'Year Conversion'!$B:$B,0)),$Y:$Y,0))-I3929,"")</f>
        <v/>
      </c>
      <c r="AA3929" s="168" t="str">
        <f t="array" ref="AA3929">iferror(index(J:J,match($A3929&amp;","&amp;index('Year Conversion'!$A:$A,match($C3929,'Year Conversion'!$B:$B,0)),$Y:$Y,0))-J3929,"")</f>
        <v/>
      </c>
      <c r="AB3929" s="168" t="str">
        <f t="array" ref="AB3929">iferror(index(K:K,match($A3929&amp;","&amp;index('Year Conversion'!$A:$A,match($C3929,'Year Conversion'!$B:$B,0)),$Y:$Y,0))-K3929,"")</f>
        <v/>
      </c>
      <c r="AC3929" s="168" t="str">
        <f t="shared" si="7"/>
        <v>PHI,2020-21</v>
      </c>
    </row>
    <row r="3930">
      <c r="A3930" s="161" t="str">
        <f>IFERROR(__xludf.DUMMYFUNCTION("""COMPUTED_VALUE"""),"watertr01")</f>
        <v>watertr01</v>
      </c>
      <c r="B3930" s="161" t="str">
        <f>IFERROR(__xludf.DUMMYFUNCTION("""COMPUTED_VALUE"""),"Tremont Waters")</f>
        <v>Tremont Waters</v>
      </c>
      <c r="C3930" s="162" t="str">
        <f>IFERROR(__xludf.DUMMYFUNCTION("""COMPUTED_VALUE"""),"2020-21")</f>
        <v>2020-21</v>
      </c>
      <c r="D3930" s="163" t="str">
        <f>IFERROR(__xludf.DUMMYFUNCTION("""COMPUTED_VALUE"""),"BOS")</f>
        <v>BOS</v>
      </c>
      <c r="E3930" s="164" t="str">
        <f>IFERROR(__xludf.DUMMYFUNCTION("""COMPUTED_VALUE"""),"Secondary Ball Handler")</f>
        <v>Secondary Ball Handler</v>
      </c>
      <c r="F3930" s="164">
        <f>IFERROR(__xludf.DUMMYFUNCTION("""COMPUTED_VALUE"""),90.4166666666666)</f>
        <v>90.41666667</v>
      </c>
      <c r="G3930" s="163">
        <f>IFERROR(__xludf.DUMMYFUNCTION("""COMPUTED_VALUE"""),9.0)</f>
        <v>9</v>
      </c>
      <c r="H3930" s="163" t="str">
        <f>IFERROR(__xludf.DUMMYFUNCTION("""COMPUTED_VALUE"""),"PG")</f>
        <v>PG</v>
      </c>
      <c r="I3930" s="163">
        <f>IFERROR(__xludf.DUMMYFUNCTION("""COMPUTED_VALUE"""),23.0)</f>
        <v>23</v>
      </c>
      <c r="J3930" s="165">
        <f>IFERROR(__xludf.DUMMYFUNCTION("""COMPUTED_VALUE"""),-0.834854429110577)</f>
        <v>-0.8348544291</v>
      </c>
      <c r="K3930" s="165">
        <f>IFERROR(__xludf.DUMMYFUNCTION("""COMPUTED_VALUE"""),-0.317554560540565)</f>
        <v>-0.3175545605</v>
      </c>
      <c r="L3930" s="165">
        <f>IFERROR(__xludf.DUMMYFUNCTION("""COMPUTED_VALUE"""),-0.517299868570012)</f>
        <v>-0.5172998686</v>
      </c>
      <c r="M3930" s="166">
        <f t="shared" si="2"/>
        <v>0.08855052565</v>
      </c>
      <c r="N3930" s="167">
        <f t="shared" si="3"/>
        <v>10.0462963</v>
      </c>
      <c r="O3930" s="163">
        <f t="shared" ref="O3930:Q3930" si="3934">rank(I3930,I:I)</f>
        <v>2765</v>
      </c>
      <c r="P3930" s="163">
        <f t="shared" si="3934"/>
        <v>2329</v>
      </c>
      <c r="Q3930" s="163">
        <f t="shared" si="3934"/>
        <v>1789</v>
      </c>
      <c r="R3930" s="163">
        <f>IFERROR(__xludf.DUMMYFUNCTION("RANK(M3930,filter(M:M,C:C=C3930))"),341.0)</f>
        <v>341</v>
      </c>
      <c r="S3930" s="161" t="b">
        <f t="shared" si="5"/>
        <v>0</v>
      </c>
      <c r="T3930" s="161" t="b">
        <f t="array" ref="T3930">index('Query Tool'!B:B,match(H3930,'Query Tool'!C:C,0))</f>
        <v>1</v>
      </c>
      <c r="U3930" s="161" t="b">
        <f t="array" ref="U3930">index('Query Tool'!B:B,match(C3930,'Query Tool'!C:C,0))</f>
        <v>1</v>
      </c>
      <c r="V3930" s="161" t="b">
        <f>F3930&gt;='Query Tool'!C$32</f>
        <v>0</v>
      </c>
      <c r="W3930" s="161" t="b">
        <f t="array" ref="W3930">index(Dropdowns!B:B,match(I3930,Dropdowns!A:A,0))</f>
        <v>1</v>
      </c>
      <c r="X3930" s="161" t="b">
        <f t="array" ref="X3930">index('Query Tool'!B:B,match(D3930,'Query Tool'!C:C,0))</f>
        <v>1</v>
      </c>
      <c r="Y3930" s="161" t="str">
        <f t="shared" si="6"/>
        <v>watertr01,2020-21</v>
      </c>
      <c r="Z3930" s="168" t="str">
        <f t="array" ref="Z3930">iferror(index(I:I,match($A3930&amp;","&amp;index('Year Conversion'!$A:$A,match($C3930,'Year Conversion'!$B:$B,0)),$Y:$Y,0))-I3930,"")</f>
        <v/>
      </c>
      <c r="AA3930" s="168" t="str">
        <f t="array" ref="AA3930">iferror(index(J:J,match($A3930&amp;","&amp;index('Year Conversion'!$A:$A,match($C3930,'Year Conversion'!$B:$B,0)),$Y:$Y,0))-J3930,"")</f>
        <v/>
      </c>
      <c r="AB3930" s="168" t="str">
        <f t="array" ref="AB3930">iferror(index(K:K,match($A3930&amp;","&amp;index('Year Conversion'!$A:$A,match($C3930,'Year Conversion'!$B:$B,0)),$Y:$Y,0))-K3930,"")</f>
        <v/>
      </c>
      <c r="AC3930" s="168" t="str">
        <f t="shared" si="7"/>
        <v>BOS,2020-21</v>
      </c>
    </row>
    <row r="3931">
      <c r="A3931" s="161" t="str">
        <f>IFERROR(__xludf.DUMMYFUNCTION("""COMPUTED_VALUE"""),"weathqu01")</f>
        <v>weathqu01</v>
      </c>
      <c r="B3931" s="161" t="str">
        <f>IFERROR(__xludf.DUMMYFUNCTION("""COMPUTED_VALUE"""),"Quinndary Weatherspoon")</f>
        <v>Quinndary Weatherspoon</v>
      </c>
      <c r="C3931" s="162" t="str">
        <f>IFERROR(__xludf.DUMMYFUNCTION("""COMPUTED_VALUE"""),"2020-21")</f>
        <v>2020-21</v>
      </c>
      <c r="D3931" s="163" t="str">
        <f>IFERROR(__xludf.DUMMYFUNCTION("""COMPUTED_VALUE"""),"SAS")</f>
        <v>SAS</v>
      </c>
      <c r="E3931" s="164" t="str">
        <f>IFERROR(__xludf.DUMMYFUNCTION("""COMPUTED_VALUE"""),"Secondary Ball Handler")</f>
        <v>Secondary Ball Handler</v>
      </c>
      <c r="F3931" s="164">
        <f>IFERROR(__xludf.DUMMYFUNCTION("""COMPUTED_VALUE"""),24.0183333333333)</f>
        <v>24.01833333</v>
      </c>
      <c r="G3931" s="163">
        <f>IFERROR(__xludf.DUMMYFUNCTION("""COMPUTED_VALUE"""),5.0)</f>
        <v>5</v>
      </c>
      <c r="H3931" s="163" t="str">
        <f>IFERROR(__xludf.DUMMYFUNCTION("""COMPUTED_VALUE"""),"SG")</f>
        <v>SG</v>
      </c>
      <c r="I3931" s="163">
        <f>IFERROR(__xludf.DUMMYFUNCTION("""COMPUTED_VALUE"""),24.0)</f>
        <v>24</v>
      </c>
      <c r="J3931" s="165">
        <f>IFERROR(__xludf.DUMMYFUNCTION("""COMPUTED_VALUE"""),-1.2856009143987)</f>
        <v>-1.285600914</v>
      </c>
      <c r="K3931" s="165">
        <f>IFERROR(__xludf.DUMMYFUNCTION("""COMPUTED_VALUE"""),-0.790219287135695)</f>
        <v>-0.7902192871</v>
      </c>
      <c r="L3931" s="165">
        <f>IFERROR(__xludf.DUMMYFUNCTION("""COMPUTED_VALUE"""),-0.495381627263004)</f>
        <v>-0.4953816273</v>
      </c>
      <c r="M3931" s="166">
        <f t="shared" si="2"/>
        <v>0.01625830274</v>
      </c>
      <c r="N3931" s="167">
        <f t="shared" si="3"/>
        <v>4.803666667</v>
      </c>
      <c r="O3931" s="163">
        <f t="shared" ref="O3931:Q3931" si="3935">rank(I3931,I:I)</f>
        <v>2361</v>
      </c>
      <c r="P3931" s="163">
        <f t="shared" si="3935"/>
        <v>2847</v>
      </c>
      <c r="Q3931" s="163">
        <f t="shared" si="3935"/>
        <v>2545</v>
      </c>
      <c r="R3931" s="163">
        <f>IFERROR(__xludf.DUMMYFUNCTION("RANK(M3931,filter(M:M,C:C=C3931))"),424.0)</f>
        <v>424</v>
      </c>
      <c r="S3931" s="161" t="b">
        <f t="shared" si="5"/>
        <v>0</v>
      </c>
      <c r="T3931" s="161" t="b">
        <f t="array" ref="T3931">index('Query Tool'!B:B,match(H3931,'Query Tool'!C:C,0))</f>
        <v>1</v>
      </c>
      <c r="U3931" s="161" t="b">
        <f t="array" ref="U3931">index('Query Tool'!B:B,match(C3931,'Query Tool'!C:C,0))</f>
        <v>1</v>
      </c>
      <c r="V3931" s="161" t="b">
        <f>F3931&gt;='Query Tool'!C$32</f>
        <v>0</v>
      </c>
      <c r="W3931" s="161" t="b">
        <f t="array" ref="W3931">index(Dropdowns!B:B,match(I3931,Dropdowns!A:A,0))</f>
        <v>1</v>
      </c>
      <c r="X3931" s="161" t="b">
        <f t="array" ref="X3931">index('Query Tool'!B:B,match(D3931,'Query Tool'!C:C,0))</f>
        <v>1</v>
      </c>
      <c r="Y3931" s="161" t="str">
        <f t="shared" si="6"/>
        <v>weathqu01,2020-21</v>
      </c>
      <c r="Z3931" s="168" t="str">
        <f t="array" ref="Z3931">iferror(index(I:I,match($A3931&amp;","&amp;index('Year Conversion'!$A:$A,match($C3931,'Year Conversion'!$B:$B,0)),$Y:$Y,0))-I3931,"")</f>
        <v/>
      </c>
      <c r="AA3931" s="168" t="str">
        <f t="array" ref="AA3931">iferror(index(J:J,match($A3931&amp;","&amp;index('Year Conversion'!$A:$A,match($C3931,'Year Conversion'!$B:$B,0)),$Y:$Y,0))-J3931,"")</f>
        <v/>
      </c>
      <c r="AB3931" s="168" t="str">
        <f t="array" ref="AB3931">iferror(index(K:K,match($A3931&amp;","&amp;index('Year Conversion'!$A:$A,match($C3931,'Year Conversion'!$B:$B,0)),$Y:$Y,0))-K3931,"")</f>
        <v/>
      </c>
      <c r="AC3931" s="168" t="str">
        <f t="shared" si="7"/>
        <v>SAS,2020-21</v>
      </c>
    </row>
    <row r="3932">
      <c r="A3932" s="161" t="str">
        <f>IFERROR(__xludf.DUMMYFUNCTION("""COMPUTED_VALUE"""),"willigr01")</f>
        <v>willigr01</v>
      </c>
      <c r="B3932" s="161" t="str">
        <f>IFERROR(__xludf.DUMMYFUNCTION("""COMPUTED_VALUE"""),"Grant Williams")</f>
        <v>Grant Williams</v>
      </c>
      <c r="C3932" s="162" t="str">
        <f>IFERROR(__xludf.DUMMYFUNCTION("""COMPUTED_VALUE"""),"2020-21")</f>
        <v>2020-21</v>
      </c>
      <c r="D3932" s="163" t="str">
        <f>IFERROR(__xludf.DUMMYFUNCTION("""COMPUTED_VALUE"""),"BOS")</f>
        <v>BOS</v>
      </c>
      <c r="E3932" s="164" t="str">
        <f>IFERROR(__xludf.DUMMYFUNCTION("""COMPUTED_VALUE"""),"Stretch Big")</f>
        <v>Stretch Big</v>
      </c>
      <c r="F3932" s="164">
        <f>IFERROR(__xludf.DUMMYFUNCTION("""COMPUTED_VALUE"""),462.176666666667)</f>
        <v>462.1766667</v>
      </c>
      <c r="G3932" s="163">
        <f>IFERROR(__xludf.DUMMYFUNCTION("""COMPUTED_VALUE"""),24.0)</f>
        <v>24</v>
      </c>
      <c r="H3932" s="163" t="str">
        <f>IFERROR(__xludf.DUMMYFUNCTION("""COMPUTED_VALUE"""),"PF")</f>
        <v>PF</v>
      </c>
      <c r="I3932" s="163">
        <f>IFERROR(__xludf.DUMMYFUNCTION("""COMPUTED_VALUE"""),22.0)</f>
        <v>22</v>
      </c>
      <c r="J3932" s="165">
        <f>IFERROR(__xludf.DUMMYFUNCTION("""COMPUTED_VALUE"""),-3.03865963239004)</f>
        <v>-3.038659632</v>
      </c>
      <c r="K3932" s="165">
        <f>IFERROR(__xludf.DUMMYFUNCTION("""COMPUTED_VALUE"""),-2.95794033945741)</f>
        <v>-2.957940339</v>
      </c>
      <c r="L3932" s="165">
        <f>IFERROR(__xludf.DUMMYFUNCTION("""COMPUTED_VALUE"""),-0.0807192929326328)</f>
        <v>-0.08071929293</v>
      </c>
      <c r="M3932" s="166">
        <f t="shared" si="2"/>
        <v>-0.2223468848</v>
      </c>
      <c r="N3932" s="167">
        <f t="shared" si="3"/>
        <v>19.25736111</v>
      </c>
      <c r="O3932" s="163">
        <f t="shared" ref="O3932:Q3932" si="3936">rank(I3932,I:I)</f>
        <v>3178</v>
      </c>
      <c r="P3932" s="163">
        <f t="shared" si="3936"/>
        <v>3892</v>
      </c>
      <c r="Q3932" s="163">
        <f t="shared" si="3936"/>
        <v>3975</v>
      </c>
      <c r="R3932" s="163">
        <f>IFERROR(__xludf.DUMMYFUNCTION("RANK(M3932,filter(M:M,C:C=C3932))"),461.0)</f>
        <v>461</v>
      </c>
      <c r="S3932" s="161" t="b">
        <f t="shared" si="5"/>
        <v>0</v>
      </c>
      <c r="T3932" s="161" t="b">
        <f t="array" ref="T3932">index('Query Tool'!B:B,match(H3932,'Query Tool'!C:C,0))</f>
        <v>1</v>
      </c>
      <c r="U3932" s="161" t="b">
        <f t="array" ref="U3932">index('Query Tool'!B:B,match(C3932,'Query Tool'!C:C,0))</f>
        <v>1</v>
      </c>
      <c r="V3932" s="161" t="b">
        <f>F3932&gt;='Query Tool'!C$32</f>
        <v>0</v>
      </c>
      <c r="W3932" s="161" t="b">
        <f t="array" ref="W3932">index(Dropdowns!B:B,match(I3932,Dropdowns!A:A,0))</f>
        <v>1</v>
      </c>
      <c r="X3932" s="161" t="b">
        <f t="array" ref="X3932">index('Query Tool'!B:B,match(D3932,'Query Tool'!C:C,0))</f>
        <v>1</v>
      </c>
      <c r="Y3932" s="161" t="str">
        <f t="shared" si="6"/>
        <v>willigr01,2020-21</v>
      </c>
      <c r="Z3932" s="168" t="str">
        <f t="array" ref="Z3932">iferror(index(I:I,match($A3932&amp;","&amp;index('Year Conversion'!$A:$A,match($C3932,'Year Conversion'!$B:$B,0)),$Y:$Y,0))-I3932,"")</f>
        <v/>
      </c>
      <c r="AA3932" s="168" t="str">
        <f t="array" ref="AA3932">iferror(index(J:J,match($A3932&amp;","&amp;index('Year Conversion'!$A:$A,match($C3932,'Year Conversion'!$B:$B,0)),$Y:$Y,0))-J3932,"")</f>
        <v/>
      </c>
      <c r="AB3932" s="168" t="str">
        <f t="array" ref="AB3932">iferror(index(K:K,match($A3932&amp;","&amp;index('Year Conversion'!$A:$A,match($C3932,'Year Conversion'!$B:$B,0)),$Y:$Y,0))-K3932,"")</f>
        <v/>
      </c>
      <c r="AC3932" s="168" t="str">
        <f t="shared" si="7"/>
        <v>BOS,2020-21</v>
      </c>
    </row>
    <row r="3933">
      <c r="A3933" s="161" t="str">
        <f>IFERROR(__xludf.DUMMYFUNCTION("""COMPUTED_VALUE"""),"windldy01")</f>
        <v>windldy01</v>
      </c>
      <c r="B3933" s="161" t="str">
        <f>IFERROR(__xludf.DUMMYFUNCTION("""COMPUTED_VALUE"""),"Dylan Windler")</f>
        <v>Dylan Windler</v>
      </c>
      <c r="C3933" s="162" t="str">
        <f>IFERROR(__xludf.DUMMYFUNCTION("""COMPUTED_VALUE"""),"2020-21")</f>
        <v>2020-21</v>
      </c>
      <c r="D3933" s="163" t="str">
        <f>IFERROR(__xludf.DUMMYFUNCTION("""COMPUTED_VALUE"""),"CLE")</f>
        <v>CLE</v>
      </c>
      <c r="E3933" s="164" t="str">
        <f>IFERROR(__xludf.DUMMYFUNCTION("""COMPUTED_VALUE"""),"Athletic Finisher")</f>
        <v>Athletic Finisher</v>
      </c>
      <c r="F3933" s="164">
        <f>IFERROR(__xludf.DUMMYFUNCTION("""COMPUTED_VALUE"""),304.948333333333)</f>
        <v>304.9483333</v>
      </c>
      <c r="G3933" s="163">
        <f>IFERROR(__xludf.DUMMYFUNCTION("""COMPUTED_VALUE"""),17.0)</f>
        <v>17</v>
      </c>
      <c r="H3933" s="163" t="str">
        <f>IFERROR(__xludf.DUMMYFUNCTION("""COMPUTED_VALUE"""),"SF")</f>
        <v>SF</v>
      </c>
      <c r="I3933" s="163">
        <f>IFERROR(__xludf.DUMMYFUNCTION("""COMPUTED_VALUE"""),24.0)</f>
        <v>24</v>
      </c>
      <c r="J3933" s="165">
        <f>IFERROR(__xludf.DUMMYFUNCTION("""COMPUTED_VALUE"""),-1.0409565253816)</f>
        <v>-1.040956525</v>
      </c>
      <c r="K3933" s="165">
        <f>IFERROR(__xludf.DUMMYFUNCTION("""COMPUTED_VALUE"""),-0.933130854276938)</f>
        <v>-0.9331308543</v>
      </c>
      <c r="L3933" s="165">
        <f>IFERROR(__xludf.DUMMYFUNCTION("""COMPUTED_VALUE"""),-0.107825671104666)</f>
        <v>-0.1078256711</v>
      </c>
      <c r="M3933" s="166">
        <f t="shared" si="2"/>
        <v>0.2564368177</v>
      </c>
      <c r="N3933" s="167">
        <f t="shared" si="3"/>
        <v>17.93813725</v>
      </c>
      <c r="O3933" s="163">
        <f t="shared" ref="O3933:Q3933" si="3937">rank(I3933,I:I)</f>
        <v>2361</v>
      </c>
      <c r="P3933" s="163">
        <f t="shared" si="3937"/>
        <v>2544</v>
      </c>
      <c r="Q3933" s="163">
        <f t="shared" si="3937"/>
        <v>2729</v>
      </c>
      <c r="R3933" s="163">
        <f>IFERROR(__xludf.DUMMYFUNCTION("RANK(M3933,filter(M:M,C:C=C3933))"),259.0)</f>
        <v>259</v>
      </c>
      <c r="S3933" s="161" t="b">
        <f t="shared" si="5"/>
        <v>0</v>
      </c>
      <c r="T3933" s="161" t="b">
        <f t="array" ref="T3933">index('Query Tool'!B:B,match(H3933,'Query Tool'!C:C,0))</f>
        <v>1</v>
      </c>
      <c r="U3933" s="161" t="b">
        <f t="array" ref="U3933">index('Query Tool'!B:B,match(C3933,'Query Tool'!C:C,0))</f>
        <v>1</v>
      </c>
      <c r="V3933" s="161" t="b">
        <f>F3933&gt;='Query Tool'!C$32</f>
        <v>0</v>
      </c>
      <c r="W3933" s="161" t="b">
        <f t="array" ref="W3933">index(Dropdowns!B:B,match(I3933,Dropdowns!A:A,0))</f>
        <v>1</v>
      </c>
      <c r="X3933" s="161" t="b">
        <f t="array" ref="X3933">index('Query Tool'!B:B,match(D3933,'Query Tool'!C:C,0))</f>
        <v>1</v>
      </c>
      <c r="Y3933" s="161" t="str">
        <f t="shared" si="6"/>
        <v>windldy01,2020-21</v>
      </c>
      <c r="Z3933" s="168" t="str">
        <f t="array" ref="Z3933">iferror(index(I:I,match($A3933&amp;","&amp;index('Year Conversion'!$A:$A,match($C3933,'Year Conversion'!$B:$B,0)),$Y:$Y,0))-I3933,"")</f>
        <v/>
      </c>
      <c r="AA3933" s="168" t="str">
        <f t="array" ref="AA3933">iferror(index(J:J,match($A3933&amp;","&amp;index('Year Conversion'!$A:$A,match($C3933,'Year Conversion'!$B:$B,0)),$Y:$Y,0))-J3933,"")</f>
        <v/>
      </c>
      <c r="AB3933" s="168" t="str">
        <f t="array" ref="AB3933">iferror(index(K:K,match($A3933&amp;","&amp;index('Year Conversion'!$A:$A,match($C3933,'Year Conversion'!$B:$B,0)),$Y:$Y,0))-K3933,"")</f>
        <v/>
      </c>
      <c r="AC3933" s="168" t="str">
        <f t="shared" si="7"/>
        <v>CLE,2020-21</v>
      </c>
    </row>
    <row r="3934">
      <c r="A3934" s="161" t="str">
        <f>IFERROR(__xludf.DUMMYFUNCTION("""COMPUTED_VALUE"""),"sirvyde01")</f>
        <v>sirvyde01</v>
      </c>
      <c r="B3934" s="161" t="str">
        <f>IFERROR(__xludf.DUMMYFUNCTION("""COMPUTED_VALUE"""),"Deividas Sirvydis")</f>
        <v>Deividas Sirvydis</v>
      </c>
      <c r="C3934" s="162" t="str">
        <f>IFERROR(__xludf.DUMMYFUNCTION("""COMPUTED_VALUE"""),"2020-21")</f>
        <v>2020-21</v>
      </c>
      <c r="D3934" s="163" t="str">
        <f>IFERROR(__xludf.DUMMYFUNCTION("""COMPUTED_VALUE"""),"DET")</f>
        <v>DET</v>
      </c>
      <c r="E3934" s="164" t="str">
        <f>IFERROR(__xludf.DUMMYFUNCTION("""COMPUTED_VALUE"""),"Stationary Shooter")</f>
        <v>Stationary Shooter</v>
      </c>
      <c r="F3934" s="164">
        <f>IFERROR(__xludf.DUMMYFUNCTION("""COMPUTED_VALUE"""),4.59333333333334)</f>
        <v>4.593333333</v>
      </c>
      <c r="G3934" s="163">
        <f>IFERROR(__xludf.DUMMYFUNCTION("""COMPUTED_VALUE"""),4.0)</f>
        <v>4</v>
      </c>
      <c r="H3934" s="163" t="str">
        <f>IFERROR(__xludf.DUMMYFUNCTION("""COMPUTED_VALUE"""),"SG")</f>
        <v>SG</v>
      </c>
      <c r="I3934" s="163">
        <f>IFERROR(__xludf.DUMMYFUNCTION("""COMPUTED_VALUE"""),20.0)</f>
        <v>20</v>
      </c>
      <c r="J3934" s="165">
        <f>IFERROR(__xludf.DUMMYFUNCTION("""COMPUTED_VALUE"""),-0.700710688872268)</f>
        <v>-0.7007106889</v>
      </c>
      <c r="K3934" s="165">
        <f>IFERROR(__xludf.DUMMYFUNCTION("""COMPUTED_VALUE"""),-0.545735406974961)</f>
        <v>-0.545735407</v>
      </c>
      <c r="L3934" s="165">
        <f>IFERROR(__xludf.DUMMYFUNCTION("""COMPUTED_VALUE"""),-0.154975281897307)</f>
        <v>-0.1549752819</v>
      </c>
      <c r="M3934" s="166">
        <f t="shared" si="2"/>
        <v>0.004912921927</v>
      </c>
      <c r="N3934" s="167">
        <f t="shared" si="3"/>
        <v>1.148333333</v>
      </c>
      <c r="O3934" s="163">
        <f t="shared" ref="O3934:Q3934" si="3938">rank(I3934,I:I)</f>
        <v>3770</v>
      </c>
      <c r="P3934" s="163">
        <f t="shared" si="3938"/>
        <v>2141</v>
      </c>
      <c r="Q3934" s="163">
        <f t="shared" si="3938"/>
        <v>2182</v>
      </c>
      <c r="R3934" s="163">
        <f>IFERROR(__xludf.DUMMYFUNCTION("RANK(M3934,filter(M:M,C:C=C3934))"),445.0)</f>
        <v>445</v>
      </c>
      <c r="S3934" s="161" t="b">
        <f t="shared" si="5"/>
        <v>0</v>
      </c>
      <c r="T3934" s="161" t="b">
        <f t="array" ref="T3934">index('Query Tool'!B:B,match(H3934,'Query Tool'!C:C,0))</f>
        <v>1</v>
      </c>
      <c r="U3934" s="161" t="b">
        <f t="array" ref="U3934">index('Query Tool'!B:B,match(C3934,'Query Tool'!C:C,0))</f>
        <v>1</v>
      </c>
      <c r="V3934" s="161" t="b">
        <f>F3934&gt;='Query Tool'!C$32</f>
        <v>0</v>
      </c>
      <c r="W3934" s="161" t="b">
        <f t="array" ref="W3934">index(Dropdowns!B:B,match(I3934,Dropdowns!A:A,0))</f>
        <v>1</v>
      </c>
      <c r="X3934" s="161" t="b">
        <f t="array" ref="X3934">index('Query Tool'!B:B,match(D3934,'Query Tool'!C:C,0))</f>
        <v>1</v>
      </c>
      <c r="Y3934" s="161" t="str">
        <f t="shared" si="6"/>
        <v>sirvyde01,2020-21</v>
      </c>
      <c r="Z3934" s="168" t="str">
        <f t="array" ref="Z3934">iferror(index(I:I,match($A3934&amp;","&amp;index('Year Conversion'!$A:$A,match($C3934,'Year Conversion'!$B:$B,0)),$Y:$Y,0))-I3934,"")</f>
        <v/>
      </c>
      <c r="AA3934" s="168" t="str">
        <f t="array" ref="AA3934">iferror(index(J:J,match($A3934&amp;","&amp;index('Year Conversion'!$A:$A,match($C3934,'Year Conversion'!$B:$B,0)),$Y:$Y,0))-J3934,"")</f>
        <v/>
      </c>
      <c r="AB3934" s="168" t="str">
        <f t="array" ref="AB3934">iferror(index(K:K,match($A3934&amp;","&amp;index('Year Conversion'!$A:$A,match($C3934,'Year Conversion'!$B:$B,0)),$Y:$Y,0))-K3934,"")</f>
        <v/>
      </c>
      <c r="AC3934" s="168" t="str">
        <f t="shared" si="7"/>
        <v>DET,2020-21</v>
      </c>
    </row>
    <row r="3935">
      <c r="A3935" s="161" t="str">
        <f>IFERROR(__xludf.DUMMYFUNCTION("""COMPUTED_VALUE"""),"mokokad01")</f>
        <v>mokokad01</v>
      </c>
      <c r="B3935" s="161" t="str">
        <f>IFERROR(__xludf.DUMMYFUNCTION("""COMPUTED_VALUE"""),"Adam Mokoka")</f>
        <v>Adam Mokoka</v>
      </c>
      <c r="C3935" s="162" t="str">
        <f>IFERROR(__xludf.DUMMYFUNCTION("""COMPUTED_VALUE"""),"2020-21")</f>
        <v>2020-21</v>
      </c>
      <c r="D3935" s="163" t="str">
        <f>IFERROR(__xludf.DUMMYFUNCTION("""COMPUTED_VALUE"""),"CHI")</f>
        <v>CHI</v>
      </c>
      <c r="E3935" s="164" t="str">
        <f>IFERROR(__xludf.DUMMYFUNCTION("""COMPUTED_VALUE"""),"Stationary Shooter")</f>
        <v>Stationary Shooter</v>
      </c>
      <c r="F3935" s="164">
        <f>IFERROR(__xludf.DUMMYFUNCTION("""COMPUTED_VALUE"""),42.365)</f>
        <v>42.365</v>
      </c>
      <c r="G3935" s="163">
        <f>IFERROR(__xludf.DUMMYFUNCTION("""COMPUTED_VALUE"""),7.0)</f>
        <v>7</v>
      </c>
      <c r="H3935" s="163" t="str">
        <f>IFERROR(__xludf.DUMMYFUNCTION("""COMPUTED_VALUE"""),"SG")</f>
        <v>SG</v>
      </c>
      <c r="I3935" s="163">
        <f>IFERROR(__xludf.DUMMYFUNCTION("""COMPUTED_VALUE"""),22.0)</f>
        <v>22</v>
      </c>
      <c r="J3935" s="165">
        <f>IFERROR(__xludf.DUMMYFUNCTION("""COMPUTED_VALUE"""),-0.189884945756843)</f>
        <v>-0.1898849458</v>
      </c>
      <c r="K3935" s="165">
        <f>IFERROR(__xludf.DUMMYFUNCTION("""COMPUTED_VALUE"""),-0.11018802441795)</f>
        <v>-0.1101880244</v>
      </c>
      <c r="L3935" s="165">
        <f>IFERROR(__xludf.DUMMYFUNCTION("""COMPUTED_VALUE"""),-0.079696921338893)</f>
        <v>-0.07969692134</v>
      </c>
      <c r="M3935" s="166">
        <f t="shared" si="2"/>
        <v>0.05988947637</v>
      </c>
      <c r="N3935" s="167">
        <f t="shared" si="3"/>
        <v>6.052142857</v>
      </c>
      <c r="O3935" s="163">
        <f t="shared" ref="O3935:Q3935" si="3939">rank(I3935,I:I)</f>
        <v>3178</v>
      </c>
      <c r="P3935" s="163">
        <f t="shared" si="3939"/>
        <v>1496</v>
      </c>
      <c r="Q3935" s="163">
        <f t="shared" si="3939"/>
        <v>1389</v>
      </c>
      <c r="R3935" s="163">
        <f>IFERROR(__xludf.DUMMYFUNCTION("RANK(M3935,filter(M:M,C:C=C3935))"),367.0)</f>
        <v>367</v>
      </c>
      <c r="S3935" s="161" t="b">
        <f t="shared" si="5"/>
        <v>0</v>
      </c>
      <c r="T3935" s="161" t="b">
        <f t="array" ref="T3935">index('Query Tool'!B:B,match(H3935,'Query Tool'!C:C,0))</f>
        <v>1</v>
      </c>
      <c r="U3935" s="161" t="b">
        <f t="array" ref="U3935">index('Query Tool'!B:B,match(C3935,'Query Tool'!C:C,0))</f>
        <v>1</v>
      </c>
      <c r="V3935" s="161" t="b">
        <f>F3935&gt;='Query Tool'!C$32</f>
        <v>0</v>
      </c>
      <c r="W3935" s="161" t="b">
        <f t="array" ref="W3935">index(Dropdowns!B:B,match(I3935,Dropdowns!A:A,0))</f>
        <v>1</v>
      </c>
      <c r="X3935" s="161" t="b">
        <f t="array" ref="X3935">index('Query Tool'!B:B,match(D3935,'Query Tool'!C:C,0))</f>
        <v>1</v>
      </c>
      <c r="Y3935" s="161" t="str">
        <f t="shared" si="6"/>
        <v>mokokad01,2020-21</v>
      </c>
      <c r="Z3935" s="168" t="str">
        <f t="array" ref="Z3935">iferror(index(I:I,match($A3935&amp;","&amp;index('Year Conversion'!$A:$A,match($C3935,'Year Conversion'!$B:$B,0)),$Y:$Y,0))-I3935,"")</f>
        <v/>
      </c>
      <c r="AA3935" s="168" t="str">
        <f t="array" ref="AA3935">iferror(index(J:J,match($A3935&amp;","&amp;index('Year Conversion'!$A:$A,match($C3935,'Year Conversion'!$B:$B,0)),$Y:$Y,0))-J3935,"")</f>
        <v/>
      </c>
      <c r="AB3935" s="168" t="str">
        <f t="array" ref="AB3935">iferror(index(K:K,match($A3935&amp;","&amp;index('Year Conversion'!$A:$A,match($C3935,'Year Conversion'!$B:$B,0)),$Y:$Y,0))-K3935,"")</f>
        <v/>
      </c>
      <c r="AC3935" s="168" t="str">
        <f t="shared" si="7"/>
        <v>CHI,2020-21</v>
      </c>
    </row>
    <row r="3936">
      <c r="A3936" s="161" t="str">
        <f>IFERROR(__xludf.DUMMYFUNCTION("""COMPUTED_VALUE"""),"jamesju01")</f>
        <v>jamesju01</v>
      </c>
      <c r="B3936" s="161" t="str">
        <f>IFERROR(__xludf.DUMMYFUNCTION("""COMPUTED_VALUE"""),"Justin James")</f>
        <v>Justin James</v>
      </c>
      <c r="C3936" s="162" t="str">
        <f>IFERROR(__xludf.DUMMYFUNCTION("""COMPUTED_VALUE"""),"2020-21")</f>
        <v>2020-21</v>
      </c>
      <c r="D3936" s="163" t="str">
        <f>IFERROR(__xludf.DUMMYFUNCTION("""COMPUTED_VALUE"""),"SAC")</f>
        <v>SAC</v>
      </c>
      <c r="E3936" s="164" t="str">
        <f>IFERROR(__xludf.DUMMYFUNCTION("""COMPUTED_VALUE"""),"Stretch Big")</f>
        <v>Stretch Big</v>
      </c>
      <c r="F3936" s="164">
        <f>IFERROR(__xludf.DUMMYFUNCTION("""COMPUTED_VALUE"""),62.4966666666666)</f>
        <v>62.49666667</v>
      </c>
      <c r="G3936" s="163">
        <f>IFERROR(__xludf.DUMMYFUNCTION("""COMPUTED_VALUE"""),11.0)</f>
        <v>11</v>
      </c>
      <c r="H3936" s="163" t="str">
        <f>IFERROR(__xludf.DUMMYFUNCTION("""COMPUTED_VALUE"""),"SF")</f>
        <v>SF</v>
      </c>
      <c r="I3936" s="163">
        <f>IFERROR(__xludf.DUMMYFUNCTION("""COMPUTED_VALUE"""),24.0)</f>
        <v>24</v>
      </c>
      <c r="J3936" s="165">
        <f>IFERROR(__xludf.DUMMYFUNCTION("""COMPUTED_VALUE"""),0.309241754267649)</f>
        <v>0.3092417543</v>
      </c>
      <c r="K3936" s="165">
        <f>IFERROR(__xludf.DUMMYFUNCTION("""COMPUTED_VALUE"""),-0.0945121806476344)</f>
        <v>-0.09451218065</v>
      </c>
      <c r="L3936" s="165">
        <f>IFERROR(__xludf.DUMMYFUNCTION("""COMPUTED_VALUE"""),0.403753934915284)</f>
        <v>0.4037539349</v>
      </c>
      <c r="M3936" s="166">
        <f t="shared" si="2"/>
        <v>0.1093770797</v>
      </c>
      <c r="N3936" s="167">
        <f t="shared" si="3"/>
        <v>5.681515152</v>
      </c>
      <c r="O3936" s="163">
        <f t="shared" ref="O3936:Q3936" si="3940">rank(I3936,I:I)</f>
        <v>2361</v>
      </c>
      <c r="P3936" s="163">
        <f t="shared" si="3940"/>
        <v>1012</v>
      </c>
      <c r="Q3936" s="163">
        <f t="shared" si="3940"/>
        <v>1355</v>
      </c>
      <c r="R3936" s="163">
        <f>IFERROR(__xludf.DUMMYFUNCTION("RANK(M3936,filter(M:M,C:C=C3936))"),324.0)</f>
        <v>324</v>
      </c>
      <c r="S3936" s="161" t="b">
        <f t="shared" si="5"/>
        <v>0</v>
      </c>
      <c r="T3936" s="161" t="b">
        <f t="array" ref="T3936">index('Query Tool'!B:B,match(H3936,'Query Tool'!C:C,0))</f>
        <v>1</v>
      </c>
      <c r="U3936" s="161" t="b">
        <f t="array" ref="U3936">index('Query Tool'!B:B,match(C3936,'Query Tool'!C:C,0))</f>
        <v>1</v>
      </c>
      <c r="V3936" s="161" t="b">
        <f>F3936&gt;='Query Tool'!C$32</f>
        <v>0</v>
      </c>
      <c r="W3936" s="161" t="b">
        <f t="array" ref="W3936">index(Dropdowns!B:B,match(I3936,Dropdowns!A:A,0))</f>
        <v>1</v>
      </c>
      <c r="X3936" s="161" t="b">
        <f t="array" ref="X3936">index('Query Tool'!B:B,match(D3936,'Query Tool'!C:C,0))</f>
        <v>1</v>
      </c>
      <c r="Y3936" s="161" t="str">
        <f t="shared" si="6"/>
        <v>jamesju01,2020-21</v>
      </c>
      <c r="Z3936" s="168" t="str">
        <f t="array" ref="Z3936">iferror(index(I:I,match($A3936&amp;","&amp;index('Year Conversion'!$A:$A,match($C3936,'Year Conversion'!$B:$B,0)),$Y:$Y,0))-I3936,"")</f>
        <v/>
      </c>
      <c r="AA3936" s="168" t="str">
        <f t="array" ref="AA3936">iferror(index(J:J,match($A3936&amp;","&amp;index('Year Conversion'!$A:$A,match($C3936,'Year Conversion'!$B:$B,0)),$Y:$Y,0))-J3936,"")</f>
        <v/>
      </c>
      <c r="AB3936" s="168" t="str">
        <f t="array" ref="AB3936">iferror(index(K:K,match($A3936&amp;","&amp;index('Year Conversion'!$A:$A,match($C3936,'Year Conversion'!$B:$B,0)),$Y:$Y,0))-K3936,"")</f>
        <v/>
      </c>
      <c r="AC3936" s="168" t="str">
        <f t="shared" si="7"/>
        <v>SAC,2020-21</v>
      </c>
    </row>
    <row r="3937">
      <c r="A3937" s="161" t="str">
        <f>IFERROR(__xludf.DUMMYFUNCTION("""COMPUTED_VALUE"""),"brantja01")</f>
        <v>brantja01</v>
      </c>
      <c r="B3937" s="161" t="str">
        <f>IFERROR(__xludf.DUMMYFUNCTION("""COMPUTED_VALUE"""),"Jarrell Brantley")</f>
        <v>Jarrell Brantley</v>
      </c>
      <c r="C3937" s="162" t="str">
        <f>IFERROR(__xludf.DUMMYFUNCTION("""COMPUTED_VALUE"""),"2020-21")</f>
        <v>2020-21</v>
      </c>
      <c r="D3937" s="163" t="str">
        <f>IFERROR(__xludf.DUMMYFUNCTION("""COMPUTED_VALUE"""),"UTA")</f>
        <v>UTA</v>
      </c>
      <c r="E3937" s="164" t="str">
        <f>IFERROR(__xludf.DUMMYFUNCTION("""COMPUTED_VALUE"""),"Movement Shooter")</f>
        <v>Movement Shooter</v>
      </c>
      <c r="F3937" s="164">
        <f>IFERROR(__xludf.DUMMYFUNCTION("""COMPUTED_VALUE"""),22.3333333333333)</f>
        <v>22.33333333</v>
      </c>
      <c r="G3937" s="163">
        <f>IFERROR(__xludf.DUMMYFUNCTION("""COMPUTED_VALUE"""),8.0)</f>
        <v>8</v>
      </c>
      <c r="H3937" s="163" t="str">
        <f>IFERROR(__xludf.DUMMYFUNCTION("""COMPUTED_VALUE"""),"PF")</f>
        <v>PF</v>
      </c>
      <c r="I3937" s="163">
        <f>IFERROR(__xludf.DUMMYFUNCTION("""COMPUTED_VALUE"""),24.0)</f>
        <v>24</v>
      </c>
      <c r="J3937" s="165">
        <f>IFERROR(__xludf.DUMMYFUNCTION("""COMPUTED_VALUE"""),-1.31868676260885)</f>
        <v>-1.318686763</v>
      </c>
      <c r="K3937" s="165">
        <f>IFERROR(__xludf.DUMMYFUNCTION("""COMPUTED_VALUE"""),-0.468284450158521)</f>
        <v>-0.4682844502</v>
      </c>
      <c r="L3937" s="165">
        <f>IFERROR(__xludf.DUMMYFUNCTION("""COMPUTED_VALUE"""),-0.850402312450328)</f>
        <v>-0.8504023125</v>
      </c>
      <c r="M3937" s="166">
        <f t="shared" si="2"/>
        <v>0.01462303916</v>
      </c>
      <c r="N3937" s="167">
        <f t="shared" si="3"/>
        <v>2.791666667</v>
      </c>
      <c r="O3937" s="163">
        <f t="shared" ref="O3937:Q3937" si="3941">rank(I3937,I:I)</f>
        <v>2361</v>
      </c>
      <c r="P3937" s="163">
        <f t="shared" si="3941"/>
        <v>2881</v>
      </c>
      <c r="Q3937" s="163">
        <f t="shared" si="3941"/>
        <v>2062</v>
      </c>
      <c r="R3937" s="163">
        <f>IFERROR(__xludf.DUMMYFUNCTION("RANK(M3937,filter(M:M,C:C=C3937))"),427.0)</f>
        <v>427</v>
      </c>
      <c r="S3937" s="161" t="b">
        <f t="shared" si="5"/>
        <v>0</v>
      </c>
      <c r="T3937" s="161" t="b">
        <f t="array" ref="T3937">index('Query Tool'!B:B,match(H3937,'Query Tool'!C:C,0))</f>
        <v>1</v>
      </c>
      <c r="U3937" s="161" t="b">
        <f t="array" ref="U3937">index('Query Tool'!B:B,match(C3937,'Query Tool'!C:C,0))</f>
        <v>1</v>
      </c>
      <c r="V3937" s="161" t="b">
        <f>F3937&gt;='Query Tool'!C$32</f>
        <v>0</v>
      </c>
      <c r="W3937" s="161" t="b">
        <f t="array" ref="W3937">index(Dropdowns!B:B,match(I3937,Dropdowns!A:A,0))</f>
        <v>1</v>
      </c>
      <c r="X3937" s="161" t="b">
        <f t="array" ref="X3937">index('Query Tool'!B:B,match(D3937,'Query Tool'!C:C,0))</f>
        <v>1</v>
      </c>
      <c r="Y3937" s="161" t="str">
        <f t="shared" si="6"/>
        <v>brantja01,2020-21</v>
      </c>
      <c r="Z3937" s="168" t="str">
        <f t="array" ref="Z3937">iferror(index(I:I,match($A3937&amp;","&amp;index('Year Conversion'!$A:$A,match($C3937,'Year Conversion'!$B:$B,0)),$Y:$Y,0))-I3937,"")</f>
        <v/>
      </c>
      <c r="AA3937" s="168" t="str">
        <f t="array" ref="AA3937">iferror(index(J:J,match($A3937&amp;","&amp;index('Year Conversion'!$A:$A,match($C3937,'Year Conversion'!$B:$B,0)),$Y:$Y,0))-J3937,"")</f>
        <v/>
      </c>
      <c r="AB3937" s="168" t="str">
        <f t="array" ref="AB3937">iferror(index(K:K,match($A3937&amp;","&amp;index('Year Conversion'!$A:$A,match($C3937,'Year Conversion'!$B:$B,0)),$Y:$Y,0))-K3937,"")</f>
        <v/>
      </c>
      <c r="AC3937" s="168" t="str">
        <f t="shared" si="7"/>
        <v>UTA,2020-21</v>
      </c>
    </row>
    <row r="3938">
      <c r="A3938" s="161" t="str">
        <f>IFERROR(__xludf.DUMMYFUNCTION("""COMPUTED_VALUE"""),"boldema01")</f>
        <v>boldema01</v>
      </c>
      <c r="B3938" s="161" t="str">
        <f>IFERROR(__xludf.DUMMYFUNCTION("""COMPUTED_VALUE"""),"Marques Bolden")</f>
        <v>Marques Bolden</v>
      </c>
      <c r="C3938" s="162" t="str">
        <f>IFERROR(__xludf.DUMMYFUNCTION("""COMPUTED_VALUE"""),"2020-21")</f>
        <v>2020-21</v>
      </c>
      <c r="D3938" s="163" t="str">
        <f>IFERROR(__xludf.DUMMYFUNCTION("""COMPUTED_VALUE"""),"CLE")</f>
        <v>CLE</v>
      </c>
      <c r="E3938" s="164" t="str">
        <f>IFERROR(__xludf.DUMMYFUNCTION("""COMPUTED_VALUE"""),"Post Scorer")</f>
        <v>Post Scorer</v>
      </c>
      <c r="F3938" s="164">
        <f>IFERROR(__xludf.DUMMYFUNCTION("""COMPUTED_VALUE"""),28.6333333333333)</f>
        <v>28.63333333</v>
      </c>
      <c r="G3938" s="163">
        <f>IFERROR(__xludf.DUMMYFUNCTION("""COMPUTED_VALUE"""),6.0)</f>
        <v>6</v>
      </c>
      <c r="H3938" s="163" t="str">
        <f>IFERROR(__xludf.DUMMYFUNCTION("""COMPUTED_VALUE"""),"C")</f>
        <v>C</v>
      </c>
      <c r="I3938" s="163">
        <f>IFERROR(__xludf.DUMMYFUNCTION("""COMPUTED_VALUE"""),22.0)</f>
        <v>22</v>
      </c>
      <c r="J3938" s="165">
        <f>IFERROR(__xludf.DUMMYFUNCTION("""COMPUTED_VALUE"""),0.233260214583143)</f>
        <v>0.2332602146</v>
      </c>
      <c r="K3938" s="165">
        <f>IFERROR(__xludf.DUMMYFUNCTION("""COMPUTED_VALUE"""),-0.262172075058896)</f>
        <v>-0.2621720751</v>
      </c>
      <c r="L3938" s="165">
        <f>IFERROR(__xludf.DUMMYFUNCTION("""COMPUTED_VALUE"""),0.49543228964204)</f>
        <v>0.4954322896</v>
      </c>
      <c r="M3938" s="166">
        <f t="shared" si="2"/>
        <v>0.04864564079</v>
      </c>
      <c r="N3938" s="167">
        <f t="shared" si="3"/>
        <v>4.772222222</v>
      </c>
      <c r="O3938" s="163">
        <f t="shared" ref="O3938:Q3938" si="3942">rank(I3938,I:I)</f>
        <v>3178</v>
      </c>
      <c r="P3938" s="163">
        <f t="shared" si="3942"/>
        <v>1066</v>
      </c>
      <c r="Q3938" s="163">
        <f t="shared" si="3942"/>
        <v>1692</v>
      </c>
      <c r="R3938" s="163">
        <f>IFERROR(__xludf.DUMMYFUNCTION("RANK(M3938,filter(M:M,C:C=C3938))"),384.0)</f>
        <v>384</v>
      </c>
      <c r="S3938" s="161" t="b">
        <f t="shared" si="5"/>
        <v>0</v>
      </c>
      <c r="T3938" s="161" t="b">
        <f t="array" ref="T3938">index('Query Tool'!B:B,match(H3938,'Query Tool'!C:C,0))</f>
        <v>1</v>
      </c>
      <c r="U3938" s="161" t="b">
        <f t="array" ref="U3938">index('Query Tool'!B:B,match(C3938,'Query Tool'!C:C,0))</f>
        <v>1</v>
      </c>
      <c r="V3938" s="161" t="b">
        <f>F3938&gt;='Query Tool'!C$32</f>
        <v>0</v>
      </c>
      <c r="W3938" s="161" t="b">
        <f t="array" ref="W3938">index(Dropdowns!B:B,match(I3938,Dropdowns!A:A,0))</f>
        <v>1</v>
      </c>
      <c r="X3938" s="161" t="b">
        <f t="array" ref="X3938">index('Query Tool'!B:B,match(D3938,'Query Tool'!C:C,0))</f>
        <v>1</v>
      </c>
      <c r="Y3938" s="161" t="str">
        <f t="shared" si="6"/>
        <v>boldema01,2020-21</v>
      </c>
      <c r="Z3938" s="168" t="str">
        <f t="array" ref="Z3938">iferror(index(I:I,match($A3938&amp;","&amp;index('Year Conversion'!$A:$A,match($C3938,'Year Conversion'!$B:$B,0)),$Y:$Y,0))-I3938,"")</f>
        <v/>
      </c>
      <c r="AA3938" s="168" t="str">
        <f t="array" ref="AA3938">iferror(index(J:J,match($A3938&amp;","&amp;index('Year Conversion'!$A:$A,match($C3938,'Year Conversion'!$B:$B,0)),$Y:$Y,0))-J3938,"")</f>
        <v/>
      </c>
      <c r="AB3938" s="168" t="str">
        <f t="array" ref="AB3938">iferror(index(K:K,match($A3938&amp;","&amp;index('Year Conversion'!$A:$A,match($C3938,'Year Conversion'!$B:$B,0)),$Y:$Y,0))-K3938,"")</f>
        <v/>
      </c>
      <c r="AC3938" s="168" t="str">
        <f t="shared" si="7"/>
        <v>CLE,2020-21</v>
      </c>
    </row>
    <row r="3939">
      <c r="A3939" s="161" t="str">
        <f>IFERROR(__xludf.DUMMYFUNCTION("""COMPUTED_VALUE"""),"cacokde01")</f>
        <v>cacokde01</v>
      </c>
      <c r="B3939" s="161" t="str">
        <f>IFERROR(__xludf.DUMMYFUNCTION("""COMPUTED_VALUE"""),"Devontae Cacok")</f>
        <v>Devontae Cacok</v>
      </c>
      <c r="C3939" s="162" t="str">
        <f>IFERROR(__xludf.DUMMYFUNCTION("""COMPUTED_VALUE"""),"2020-21")</f>
        <v>2020-21</v>
      </c>
      <c r="D3939" s="163" t="str">
        <f>IFERROR(__xludf.DUMMYFUNCTION("""COMPUTED_VALUE"""),"LAL")</f>
        <v>LAL</v>
      </c>
      <c r="E3939" s="164" t="str">
        <f>IFERROR(__xludf.DUMMYFUNCTION("""COMPUTED_VALUE"""),"Roll + Cut Big")</f>
        <v>Roll + Cut Big</v>
      </c>
      <c r="F3939" s="164">
        <f>IFERROR(__xludf.DUMMYFUNCTION("""COMPUTED_VALUE"""),5.13333333333333)</f>
        <v>5.133333333</v>
      </c>
      <c r="G3939" s="163">
        <f>IFERROR(__xludf.DUMMYFUNCTION("""COMPUTED_VALUE"""),2.0)</f>
        <v>2</v>
      </c>
      <c r="H3939" s="163" t="str">
        <f>IFERROR(__xludf.DUMMYFUNCTION("""COMPUTED_VALUE"""),"PF")</f>
        <v>PF</v>
      </c>
      <c r="I3939" s="163">
        <f>IFERROR(__xludf.DUMMYFUNCTION("""COMPUTED_VALUE"""),24.0)</f>
        <v>24</v>
      </c>
      <c r="J3939" s="165">
        <f>IFERROR(__xludf.DUMMYFUNCTION("""COMPUTED_VALUE"""),-0.591370419627463)</f>
        <v>-0.5913704196</v>
      </c>
      <c r="K3939" s="165">
        <f>IFERROR(__xludf.DUMMYFUNCTION("""COMPUTED_VALUE"""),-0.103025450137896)</f>
        <v>-0.1030254501</v>
      </c>
      <c r="L3939" s="165">
        <f>IFERROR(__xludf.DUMMYFUNCTION("""COMPUTED_VALUE"""),-0.488344969489567)</f>
        <v>-0.4883449695</v>
      </c>
      <c r="M3939" s="166">
        <f t="shared" si="2"/>
        <v>0.005868243589</v>
      </c>
      <c r="N3939" s="167">
        <f t="shared" si="3"/>
        <v>2.566666667</v>
      </c>
      <c r="O3939" s="163">
        <f t="shared" ref="O3939:Q3939" si="3943">rank(I3939,I:I)</f>
        <v>2361</v>
      </c>
      <c r="P3939" s="163">
        <f t="shared" si="3943"/>
        <v>1980</v>
      </c>
      <c r="Q3939" s="163">
        <f t="shared" si="3943"/>
        <v>1371</v>
      </c>
      <c r="R3939" s="163">
        <f>IFERROR(__xludf.DUMMYFUNCTION("RANK(M3939,filter(M:M,C:C=C3939))"),442.0)</f>
        <v>442</v>
      </c>
      <c r="S3939" s="161" t="b">
        <f t="shared" si="5"/>
        <v>0</v>
      </c>
      <c r="T3939" s="161" t="b">
        <f t="array" ref="T3939">index('Query Tool'!B:B,match(H3939,'Query Tool'!C:C,0))</f>
        <v>1</v>
      </c>
      <c r="U3939" s="161" t="b">
        <f t="array" ref="U3939">index('Query Tool'!B:B,match(C3939,'Query Tool'!C:C,0))</f>
        <v>1</v>
      </c>
      <c r="V3939" s="161" t="b">
        <f>F3939&gt;='Query Tool'!C$32</f>
        <v>0</v>
      </c>
      <c r="W3939" s="161" t="b">
        <f t="array" ref="W3939">index(Dropdowns!B:B,match(I3939,Dropdowns!A:A,0))</f>
        <v>1</v>
      </c>
      <c r="X3939" s="161" t="b">
        <f t="array" ref="X3939">index('Query Tool'!B:B,match(D3939,'Query Tool'!C:C,0))</f>
        <v>1</v>
      </c>
      <c r="Y3939" s="161" t="str">
        <f t="shared" si="6"/>
        <v>cacokde01,2020-21</v>
      </c>
      <c r="Z3939" s="168" t="str">
        <f t="array" ref="Z3939">iferror(index(I:I,match($A3939&amp;","&amp;index('Year Conversion'!$A:$A,match($C3939,'Year Conversion'!$B:$B,0)),$Y:$Y,0))-I3939,"")</f>
        <v/>
      </c>
      <c r="AA3939" s="168" t="str">
        <f t="array" ref="AA3939">iferror(index(J:J,match($A3939&amp;","&amp;index('Year Conversion'!$A:$A,match($C3939,'Year Conversion'!$B:$B,0)),$Y:$Y,0))-J3939,"")</f>
        <v/>
      </c>
      <c r="AB3939" s="168" t="str">
        <f t="array" ref="AB3939">iferror(index(K:K,match($A3939&amp;","&amp;index('Year Conversion'!$A:$A,match($C3939,'Year Conversion'!$B:$B,0)),$Y:$Y,0))-K3939,"")</f>
        <v/>
      </c>
      <c r="AC3939" s="168" t="str">
        <f t="shared" si="7"/>
        <v>LAL,2020-21</v>
      </c>
    </row>
    <row r="3940">
      <c r="A3940" s="161" t="str">
        <f>IFERROR(__xludf.DUMMYFUNCTION("""COMPUTED_VALUE"""),"konchjo01")</f>
        <v>konchjo01</v>
      </c>
      <c r="B3940" s="161" t="str">
        <f>IFERROR(__xludf.DUMMYFUNCTION("""COMPUTED_VALUE"""),"John Konchar")</f>
        <v>John Konchar</v>
      </c>
      <c r="C3940" s="162" t="str">
        <f>IFERROR(__xludf.DUMMYFUNCTION("""COMPUTED_VALUE"""),"2020-21")</f>
        <v>2020-21</v>
      </c>
      <c r="D3940" s="163" t="str">
        <f>IFERROR(__xludf.DUMMYFUNCTION("""COMPUTED_VALUE"""),"MEM")</f>
        <v>MEM</v>
      </c>
      <c r="E3940" s="164" t="str">
        <f>IFERROR(__xludf.DUMMYFUNCTION("""COMPUTED_VALUE"""),"Stretch Big")</f>
        <v>Stretch Big</v>
      </c>
      <c r="F3940" s="164">
        <f>IFERROR(__xludf.DUMMYFUNCTION("""COMPUTED_VALUE"""),292.41)</f>
        <v>292.41</v>
      </c>
      <c r="G3940" s="163">
        <f>IFERROR(__xludf.DUMMYFUNCTION("""COMPUTED_VALUE"""),17.0)</f>
        <v>17</v>
      </c>
      <c r="H3940" s="163" t="str">
        <f>IFERROR(__xludf.DUMMYFUNCTION("""COMPUTED_VALUE"""),"SG")</f>
        <v>SG</v>
      </c>
      <c r="I3940" s="163">
        <f>IFERROR(__xludf.DUMMYFUNCTION("""COMPUTED_VALUE"""),24.0)</f>
        <v>24</v>
      </c>
      <c r="J3940" s="165">
        <f>IFERROR(__xludf.DUMMYFUNCTION("""COMPUTED_VALUE"""),-1.24957992314311)</f>
        <v>-1.249579923</v>
      </c>
      <c r="K3940" s="165">
        <f>IFERROR(__xludf.DUMMYFUNCTION("""COMPUTED_VALUE"""),-1.28038947404339)</f>
        <v>-1.280389474</v>
      </c>
      <c r="L3940" s="165">
        <f>IFERROR(__xludf.DUMMYFUNCTION("""COMPUTED_VALUE"""),0.0308095509002851)</f>
        <v>0.0308095509</v>
      </c>
      <c r="M3940" s="166">
        <f t="shared" si="2"/>
        <v>0.2049897236</v>
      </c>
      <c r="N3940" s="167">
        <f t="shared" si="3"/>
        <v>17.20058824</v>
      </c>
      <c r="O3940" s="163">
        <f t="shared" ref="O3940:Q3940" si="3944">rank(I3940,I:I)</f>
        <v>2361</v>
      </c>
      <c r="P3940" s="163">
        <f t="shared" si="3944"/>
        <v>2814</v>
      </c>
      <c r="Q3940" s="163">
        <f t="shared" si="3944"/>
        <v>3121</v>
      </c>
      <c r="R3940" s="163">
        <f>IFERROR(__xludf.DUMMYFUNCTION("RANK(M3940,filter(M:M,C:C=C3940))"),274.0)</f>
        <v>274</v>
      </c>
      <c r="S3940" s="161" t="b">
        <f t="shared" si="5"/>
        <v>0</v>
      </c>
      <c r="T3940" s="161" t="b">
        <f t="array" ref="T3940">index('Query Tool'!B:B,match(H3940,'Query Tool'!C:C,0))</f>
        <v>1</v>
      </c>
      <c r="U3940" s="161" t="b">
        <f t="array" ref="U3940">index('Query Tool'!B:B,match(C3940,'Query Tool'!C:C,0))</f>
        <v>1</v>
      </c>
      <c r="V3940" s="161" t="b">
        <f>F3940&gt;='Query Tool'!C$32</f>
        <v>0</v>
      </c>
      <c r="W3940" s="161" t="b">
        <f t="array" ref="W3940">index(Dropdowns!B:B,match(I3940,Dropdowns!A:A,0))</f>
        <v>1</v>
      </c>
      <c r="X3940" s="161" t="b">
        <f t="array" ref="X3940">index('Query Tool'!B:B,match(D3940,'Query Tool'!C:C,0))</f>
        <v>1</v>
      </c>
      <c r="Y3940" s="161" t="str">
        <f t="shared" si="6"/>
        <v>konchjo01,2020-21</v>
      </c>
      <c r="Z3940" s="168" t="str">
        <f t="array" ref="Z3940">iferror(index(I:I,match($A3940&amp;","&amp;index('Year Conversion'!$A:$A,match($C3940,'Year Conversion'!$B:$B,0)),$Y:$Y,0))-I3940,"")</f>
        <v/>
      </c>
      <c r="AA3940" s="168" t="str">
        <f t="array" ref="AA3940">iferror(index(J:J,match($A3940&amp;","&amp;index('Year Conversion'!$A:$A,match($C3940,'Year Conversion'!$B:$B,0)),$Y:$Y,0))-J3940,"")</f>
        <v/>
      </c>
      <c r="AB3940" s="168" t="str">
        <f t="array" ref="AB3940">iferror(index(K:K,match($A3940&amp;","&amp;index('Year Conversion'!$A:$A,match($C3940,'Year Conversion'!$B:$B,0)),$Y:$Y,0))-K3940,"")</f>
        <v/>
      </c>
      <c r="AC3940" s="168" t="str">
        <f t="shared" si="7"/>
        <v>MEM,2020-21</v>
      </c>
    </row>
    <row r="3941">
      <c r="A3941" s="161" t="str">
        <f>IFERROR(__xludf.DUMMYFUNCTION("""COMPUTED_VALUE"""),"mathega01")</f>
        <v>mathega01</v>
      </c>
      <c r="B3941" s="161" t="str">
        <f>IFERROR(__xludf.DUMMYFUNCTION("""COMPUTED_VALUE"""),"Garrison Mathews")</f>
        <v>Garrison Mathews</v>
      </c>
      <c r="C3941" s="162" t="str">
        <f>IFERROR(__xludf.DUMMYFUNCTION("""COMPUTED_VALUE"""),"2020-21")</f>
        <v>2020-21</v>
      </c>
      <c r="D3941" s="163" t="str">
        <f>IFERROR(__xludf.DUMMYFUNCTION("""COMPUTED_VALUE"""),"WAS")</f>
        <v>WAS</v>
      </c>
      <c r="E3941" s="164" t="str">
        <f>IFERROR(__xludf.DUMMYFUNCTION("""COMPUTED_VALUE"""),"Stationary Shooter")</f>
        <v>Stationary Shooter</v>
      </c>
      <c r="F3941" s="164">
        <f>IFERROR(__xludf.DUMMYFUNCTION("""COMPUTED_VALUE"""),334.781666666667)</f>
        <v>334.7816667</v>
      </c>
      <c r="G3941" s="163">
        <f>IFERROR(__xludf.DUMMYFUNCTION("""COMPUTED_VALUE"""),21.0)</f>
        <v>21</v>
      </c>
      <c r="H3941" s="163" t="str">
        <f>IFERROR(__xludf.DUMMYFUNCTION("""COMPUTED_VALUE"""),"SG")</f>
        <v>SG</v>
      </c>
      <c r="I3941" s="163">
        <f>IFERROR(__xludf.DUMMYFUNCTION("""COMPUTED_VALUE"""),24.0)</f>
        <v>24</v>
      </c>
      <c r="J3941" s="165">
        <f>IFERROR(__xludf.DUMMYFUNCTION("""COMPUTED_VALUE"""),-0.394055708300724)</f>
        <v>-0.3940557083</v>
      </c>
      <c r="K3941" s="165">
        <f>IFERROR(__xludf.DUMMYFUNCTION("""COMPUTED_VALUE"""),-0.345759956228377)</f>
        <v>-0.3457599562</v>
      </c>
      <c r="L3941" s="165">
        <f>IFERROR(__xludf.DUMMYFUNCTION("""COMPUTED_VALUE"""),-0.0482957520723467)</f>
        <v>-0.04829575207</v>
      </c>
      <c r="M3941" s="166">
        <f t="shared" si="2"/>
        <v>0.4272000254</v>
      </c>
      <c r="N3941" s="167">
        <f t="shared" si="3"/>
        <v>15.94198413</v>
      </c>
      <c r="O3941" s="163">
        <f t="shared" ref="O3941:Q3941" si="3945">rank(I3941,I:I)</f>
        <v>2361</v>
      </c>
      <c r="P3941" s="163">
        <f t="shared" si="3945"/>
        <v>1722</v>
      </c>
      <c r="Q3941" s="163">
        <f t="shared" si="3945"/>
        <v>1843</v>
      </c>
      <c r="R3941" s="163">
        <f>IFERROR(__xludf.DUMMYFUNCTION("RANK(M3941,filter(M:M,C:C=C3941))"),210.0)</f>
        <v>210</v>
      </c>
      <c r="S3941" s="161" t="b">
        <f t="shared" si="5"/>
        <v>0</v>
      </c>
      <c r="T3941" s="161" t="b">
        <f t="array" ref="T3941">index('Query Tool'!B:B,match(H3941,'Query Tool'!C:C,0))</f>
        <v>1</v>
      </c>
      <c r="U3941" s="161" t="b">
        <f t="array" ref="U3941">index('Query Tool'!B:B,match(C3941,'Query Tool'!C:C,0))</f>
        <v>1</v>
      </c>
      <c r="V3941" s="161" t="b">
        <f>F3941&gt;='Query Tool'!C$32</f>
        <v>0</v>
      </c>
      <c r="W3941" s="161" t="b">
        <f t="array" ref="W3941">index(Dropdowns!B:B,match(I3941,Dropdowns!A:A,0))</f>
        <v>1</v>
      </c>
      <c r="X3941" s="161" t="b">
        <f t="array" ref="X3941">index('Query Tool'!B:B,match(D3941,'Query Tool'!C:C,0))</f>
        <v>1</v>
      </c>
      <c r="Y3941" s="161" t="str">
        <f t="shared" si="6"/>
        <v>mathega01,2020-21</v>
      </c>
      <c r="Z3941" s="168" t="str">
        <f t="array" ref="Z3941">iferror(index(I:I,match($A3941&amp;","&amp;index('Year Conversion'!$A:$A,match($C3941,'Year Conversion'!$B:$B,0)),$Y:$Y,0))-I3941,"")</f>
        <v/>
      </c>
      <c r="AA3941" s="168" t="str">
        <f t="array" ref="AA3941">iferror(index(J:J,match($A3941&amp;","&amp;index('Year Conversion'!$A:$A,match($C3941,'Year Conversion'!$B:$B,0)),$Y:$Y,0))-J3941,"")</f>
        <v/>
      </c>
      <c r="AB3941" s="168" t="str">
        <f t="array" ref="AB3941">iferror(index(K:K,match($A3941&amp;","&amp;index('Year Conversion'!$A:$A,match($C3941,'Year Conversion'!$B:$B,0)),$Y:$Y,0))-K3941,"")</f>
        <v/>
      </c>
      <c r="AC3941" s="168" t="str">
        <f t="shared" si="7"/>
        <v>WAS,2020-21</v>
      </c>
    </row>
    <row r="3942">
      <c r="A3942" s="161" t="str">
        <f>IFERROR(__xludf.DUMMYFUNCTION("""COMPUTED_VALUE"""),"wadede01")</f>
        <v>wadede01</v>
      </c>
      <c r="B3942" s="161" t="str">
        <f>IFERROR(__xludf.DUMMYFUNCTION("""COMPUTED_VALUE"""),"Dean Wade")</f>
        <v>Dean Wade</v>
      </c>
      <c r="C3942" s="162" t="str">
        <f>IFERROR(__xludf.DUMMYFUNCTION("""COMPUTED_VALUE"""),"2020-21")</f>
        <v>2020-21</v>
      </c>
      <c r="D3942" s="163" t="str">
        <f>IFERROR(__xludf.DUMMYFUNCTION("""COMPUTED_VALUE"""),"CLE")</f>
        <v>CLE</v>
      </c>
      <c r="E3942" s="164" t="str">
        <f>IFERROR(__xludf.DUMMYFUNCTION("""COMPUTED_VALUE"""),"Stretch Big")</f>
        <v>Stretch Big</v>
      </c>
      <c r="F3942" s="164">
        <f>IFERROR(__xludf.DUMMYFUNCTION("""COMPUTED_VALUE"""),192.255)</f>
        <v>192.255</v>
      </c>
      <c r="G3942" s="163">
        <f>IFERROR(__xludf.DUMMYFUNCTION("""COMPUTED_VALUE"""),23.0)</f>
        <v>23</v>
      </c>
      <c r="H3942" s="163" t="str">
        <f>IFERROR(__xludf.DUMMYFUNCTION("""COMPUTED_VALUE"""),"PF")</f>
        <v>PF</v>
      </c>
      <c r="I3942" s="163">
        <f>IFERROR(__xludf.DUMMYFUNCTION("""COMPUTED_VALUE"""),24.0)</f>
        <v>24</v>
      </c>
      <c r="J3942" s="165">
        <f>IFERROR(__xludf.DUMMYFUNCTION("""COMPUTED_VALUE"""),-1.04791781559064)</f>
        <v>-1.047917816</v>
      </c>
      <c r="K3942" s="165">
        <f>IFERROR(__xludf.DUMMYFUNCTION("""COMPUTED_VALUE"""),-1.10361882520458)</f>
        <v>-1.103618825</v>
      </c>
      <c r="L3942" s="165">
        <f>IFERROR(__xludf.DUMMYFUNCTION("""COMPUTED_VALUE"""),0.0557010096139363)</f>
        <v>0.05570100961</v>
      </c>
      <c r="M3942" s="166">
        <f t="shared" si="2"/>
        <v>0.1607726561</v>
      </c>
      <c r="N3942" s="167">
        <f t="shared" si="3"/>
        <v>8.358913043</v>
      </c>
      <c r="O3942" s="163">
        <f t="shared" ref="O3942:Q3942" si="3946">rank(I3942,I:I)</f>
        <v>2361</v>
      </c>
      <c r="P3942" s="163">
        <f t="shared" si="3946"/>
        <v>2548</v>
      </c>
      <c r="Q3942" s="163">
        <f t="shared" si="3946"/>
        <v>2933</v>
      </c>
      <c r="R3942" s="163">
        <f>IFERROR(__xludf.DUMMYFUNCTION("RANK(M3942,filter(M:M,C:C=C3942))"),296.0)</f>
        <v>296</v>
      </c>
      <c r="S3942" s="161" t="b">
        <f t="shared" si="5"/>
        <v>0</v>
      </c>
      <c r="T3942" s="161" t="b">
        <f t="array" ref="T3942">index('Query Tool'!B:B,match(H3942,'Query Tool'!C:C,0))</f>
        <v>1</v>
      </c>
      <c r="U3942" s="161" t="b">
        <f t="array" ref="U3942">index('Query Tool'!B:B,match(C3942,'Query Tool'!C:C,0))</f>
        <v>1</v>
      </c>
      <c r="V3942" s="161" t="b">
        <f>F3942&gt;='Query Tool'!C$32</f>
        <v>0</v>
      </c>
      <c r="W3942" s="161" t="b">
        <f t="array" ref="W3942">index(Dropdowns!B:B,match(I3942,Dropdowns!A:A,0))</f>
        <v>1</v>
      </c>
      <c r="X3942" s="161" t="b">
        <f t="array" ref="X3942">index('Query Tool'!B:B,match(D3942,'Query Tool'!C:C,0))</f>
        <v>1</v>
      </c>
      <c r="Y3942" s="161" t="str">
        <f t="shared" si="6"/>
        <v>wadede01,2020-21</v>
      </c>
      <c r="Z3942" s="168" t="str">
        <f t="array" ref="Z3942">iferror(index(I:I,match($A3942&amp;","&amp;index('Year Conversion'!$A:$A,match($C3942,'Year Conversion'!$B:$B,0)),$Y:$Y,0))-I3942,"")</f>
        <v/>
      </c>
      <c r="AA3942" s="168" t="str">
        <f t="array" ref="AA3942">iferror(index(J:J,match($A3942&amp;","&amp;index('Year Conversion'!$A:$A,match($C3942,'Year Conversion'!$B:$B,0)),$Y:$Y,0))-J3942,"")</f>
        <v/>
      </c>
      <c r="AB3942" s="168" t="str">
        <f t="array" ref="AB3942">iferror(index(K:K,match($A3942&amp;","&amp;index('Year Conversion'!$A:$A,match($C3942,'Year Conversion'!$B:$B,0)),$Y:$Y,0))-K3942,"")</f>
        <v/>
      </c>
      <c r="AC3942" s="168" t="str">
        <f t="shared" si="7"/>
        <v>CLE,2020-21</v>
      </c>
    </row>
    <row r="3943">
      <c r="A3943" s="161" t="str">
        <f>IFERROR(__xludf.DUMMYFUNCTION("""COMPUTED_VALUE"""),"silvach01")</f>
        <v>silvach01</v>
      </c>
      <c r="B3943" s="161" t="str">
        <f>IFERROR(__xludf.DUMMYFUNCTION("""COMPUTED_VALUE"""),"Chris Silva")</f>
        <v>Chris Silva</v>
      </c>
      <c r="C3943" s="162" t="str">
        <f>IFERROR(__xludf.DUMMYFUNCTION("""COMPUTED_VALUE"""),"2020-21")</f>
        <v>2020-21</v>
      </c>
      <c r="D3943" s="163" t="str">
        <f>IFERROR(__xludf.DUMMYFUNCTION("""COMPUTED_VALUE"""),"MIA")</f>
        <v>MIA</v>
      </c>
      <c r="E3943" s="164" t="str">
        <f>IFERROR(__xludf.DUMMYFUNCTION("""COMPUTED_VALUE"""),"Roll + Cut Big")</f>
        <v>Roll + Cut Big</v>
      </c>
      <c r="F3943" s="164">
        <f>IFERROR(__xludf.DUMMYFUNCTION("""COMPUTED_VALUE"""),52.9033333333334)</f>
        <v>52.90333333</v>
      </c>
      <c r="G3943" s="163">
        <f>IFERROR(__xludf.DUMMYFUNCTION("""COMPUTED_VALUE"""),6.0)</f>
        <v>6</v>
      </c>
      <c r="H3943" s="163" t="str">
        <f>IFERROR(__xludf.DUMMYFUNCTION("""COMPUTED_VALUE"""),"PF")</f>
        <v>PF</v>
      </c>
      <c r="I3943" s="163">
        <f>IFERROR(__xludf.DUMMYFUNCTION("""COMPUTED_VALUE"""),24.0)</f>
        <v>24</v>
      </c>
      <c r="J3943" s="165">
        <f>IFERROR(__xludf.DUMMYFUNCTION("""COMPUTED_VALUE"""),0.104236625336338)</f>
        <v>0.1042366253</v>
      </c>
      <c r="K3943" s="165">
        <f>IFERROR(__xludf.DUMMYFUNCTION("""COMPUTED_VALUE"""),-0.00281522108282134)</f>
        <v>-0.002815221083</v>
      </c>
      <c r="L3943" s="165">
        <f>IFERROR(__xludf.DUMMYFUNCTION("""COMPUTED_VALUE"""),0.107051846419159)</f>
        <v>0.1070518464</v>
      </c>
      <c r="M3943" s="166">
        <f t="shared" si="2"/>
        <v>0.08527704553</v>
      </c>
      <c r="N3943" s="167">
        <f t="shared" si="3"/>
        <v>8.817222222</v>
      </c>
      <c r="O3943" s="163">
        <f t="shared" ref="O3943:Q3943" si="3947">rank(I3943,I:I)</f>
        <v>2361</v>
      </c>
      <c r="P3943" s="163">
        <f t="shared" si="3947"/>
        <v>1185</v>
      </c>
      <c r="Q3943" s="163">
        <f t="shared" si="3947"/>
        <v>1205</v>
      </c>
      <c r="R3943" s="163">
        <f>IFERROR(__xludf.DUMMYFUNCTION("RANK(M3943,filter(M:M,C:C=C3943))"),344.0)</f>
        <v>344</v>
      </c>
      <c r="S3943" s="161" t="b">
        <f t="shared" si="5"/>
        <v>0</v>
      </c>
      <c r="T3943" s="161" t="b">
        <f t="array" ref="T3943">index('Query Tool'!B:B,match(H3943,'Query Tool'!C:C,0))</f>
        <v>1</v>
      </c>
      <c r="U3943" s="161" t="b">
        <f t="array" ref="U3943">index('Query Tool'!B:B,match(C3943,'Query Tool'!C:C,0))</f>
        <v>1</v>
      </c>
      <c r="V3943" s="161" t="b">
        <f>F3943&gt;='Query Tool'!C$32</f>
        <v>0</v>
      </c>
      <c r="W3943" s="161" t="b">
        <f t="array" ref="W3943">index(Dropdowns!B:B,match(I3943,Dropdowns!A:A,0))</f>
        <v>1</v>
      </c>
      <c r="X3943" s="161" t="b">
        <f t="array" ref="X3943">index('Query Tool'!B:B,match(D3943,'Query Tool'!C:C,0))</f>
        <v>1</v>
      </c>
      <c r="Y3943" s="161" t="str">
        <f t="shared" si="6"/>
        <v>silvach01,2020-21</v>
      </c>
      <c r="Z3943" s="168" t="str">
        <f t="array" ref="Z3943">iferror(index(I:I,match($A3943&amp;","&amp;index('Year Conversion'!$A:$A,match($C3943,'Year Conversion'!$B:$B,0)),$Y:$Y,0))-I3943,"")</f>
        <v/>
      </c>
      <c r="AA3943" s="168" t="str">
        <f t="array" ref="AA3943">iferror(index(J:J,match($A3943&amp;","&amp;index('Year Conversion'!$A:$A,match($C3943,'Year Conversion'!$B:$B,0)),$Y:$Y,0))-J3943,"")</f>
        <v/>
      </c>
      <c r="AB3943" s="168" t="str">
        <f t="array" ref="AB3943">iferror(index(K:K,match($A3943&amp;","&amp;index('Year Conversion'!$A:$A,match($C3943,'Year Conversion'!$B:$B,0)),$Y:$Y,0))-K3943,"")</f>
        <v/>
      </c>
      <c r="AC3943" s="168" t="str">
        <f t="shared" si="7"/>
        <v>MIA,2020-21</v>
      </c>
    </row>
    <row r="3944">
      <c r="A3944" s="161" t="str">
        <f>IFERROR(__xludf.DUMMYFUNCTION("""COMPUTED_VALUE"""),"poirivi01")</f>
        <v>poirivi01</v>
      </c>
      <c r="B3944" s="161" t="str">
        <f>IFERROR(__xludf.DUMMYFUNCTION("""COMPUTED_VALUE"""),"Vincent Poirier")</f>
        <v>Vincent Poirier</v>
      </c>
      <c r="C3944" s="162" t="str">
        <f>IFERROR(__xludf.DUMMYFUNCTION("""COMPUTED_VALUE"""),"2020-21")</f>
        <v>2020-21</v>
      </c>
      <c r="D3944" s="163" t="str">
        <f>IFERROR(__xludf.DUMMYFUNCTION("""COMPUTED_VALUE"""),"PHI")</f>
        <v>PHI</v>
      </c>
      <c r="E3944" s="164" t="str">
        <f>IFERROR(__xludf.DUMMYFUNCTION("""COMPUTED_VALUE"""),"Roll + Cut Big")</f>
        <v>Roll + Cut Big</v>
      </c>
      <c r="F3944" s="164">
        <f>IFERROR(__xludf.DUMMYFUNCTION("""COMPUTED_VALUE"""),17.8666666666667)</f>
        <v>17.86666667</v>
      </c>
      <c r="G3944" s="163">
        <f>IFERROR(__xludf.DUMMYFUNCTION("""COMPUTED_VALUE"""),4.0)</f>
        <v>4</v>
      </c>
      <c r="H3944" s="163" t="str">
        <f>IFERROR(__xludf.DUMMYFUNCTION("""COMPUTED_VALUE"""),"C")</f>
        <v>C</v>
      </c>
      <c r="I3944" s="163">
        <f>IFERROR(__xludf.DUMMYFUNCTION("""COMPUTED_VALUE"""),27.0)</f>
        <v>27</v>
      </c>
      <c r="J3944" s="165">
        <f>IFERROR(__xludf.DUMMYFUNCTION("""COMPUTED_VALUE"""),-0.706175442630384)</f>
        <v>-0.7061754426</v>
      </c>
      <c r="K3944" s="165">
        <f>IFERROR(__xludf.DUMMYFUNCTION("""COMPUTED_VALUE"""),-0.241798095069093)</f>
        <v>-0.2417980951</v>
      </c>
      <c r="L3944" s="165">
        <f>IFERROR(__xludf.DUMMYFUNCTION("""COMPUTED_VALUE"""),-0.464377347561291)</f>
        <v>-0.4643773476</v>
      </c>
      <c r="M3944" s="166">
        <f t="shared" si="2"/>
        <v>0.01904407863</v>
      </c>
      <c r="N3944" s="167">
        <f t="shared" si="3"/>
        <v>4.466666667</v>
      </c>
      <c r="O3944" s="163">
        <f t="shared" ref="O3944:Q3944" si="3948">rank(I3944,I:I)</f>
        <v>1366</v>
      </c>
      <c r="P3944" s="163">
        <f t="shared" si="3948"/>
        <v>2154</v>
      </c>
      <c r="Q3944" s="163">
        <f t="shared" si="3948"/>
        <v>1648</v>
      </c>
      <c r="R3944" s="163">
        <f>IFERROR(__xludf.DUMMYFUNCTION("RANK(M3944,filter(M:M,C:C=C3944))"),421.0)</f>
        <v>421</v>
      </c>
      <c r="S3944" s="161" t="b">
        <f t="shared" si="5"/>
        <v>0</v>
      </c>
      <c r="T3944" s="161" t="b">
        <f t="array" ref="T3944">index('Query Tool'!B:B,match(H3944,'Query Tool'!C:C,0))</f>
        <v>1</v>
      </c>
      <c r="U3944" s="161" t="b">
        <f t="array" ref="U3944">index('Query Tool'!B:B,match(C3944,'Query Tool'!C:C,0))</f>
        <v>1</v>
      </c>
      <c r="V3944" s="161" t="b">
        <f>F3944&gt;='Query Tool'!C$32</f>
        <v>0</v>
      </c>
      <c r="W3944" s="161" t="b">
        <f t="array" ref="W3944">index(Dropdowns!B:B,match(I3944,Dropdowns!A:A,0))</f>
        <v>1</v>
      </c>
      <c r="X3944" s="161" t="b">
        <f t="array" ref="X3944">index('Query Tool'!B:B,match(D3944,'Query Tool'!C:C,0))</f>
        <v>1</v>
      </c>
      <c r="Y3944" s="161" t="str">
        <f t="shared" si="6"/>
        <v>poirivi01,2020-21</v>
      </c>
      <c r="Z3944" s="168" t="str">
        <f t="array" ref="Z3944">iferror(index(I:I,match($A3944&amp;","&amp;index('Year Conversion'!$A:$A,match($C3944,'Year Conversion'!$B:$B,0)),$Y:$Y,0))-I3944,"")</f>
        <v/>
      </c>
      <c r="AA3944" s="168" t="str">
        <f t="array" ref="AA3944">iferror(index(J:J,match($A3944&amp;","&amp;index('Year Conversion'!$A:$A,match($C3944,'Year Conversion'!$B:$B,0)),$Y:$Y,0))-J3944,"")</f>
        <v/>
      </c>
      <c r="AB3944" s="168" t="str">
        <f t="array" ref="AB3944">iferror(index(K:K,match($A3944&amp;","&amp;index('Year Conversion'!$A:$A,match($C3944,'Year Conversion'!$B:$B,0)),$Y:$Y,0))-K3944,"")</f>
        <v/>
      </c>
      <c r="AC3944" s="168" t="str">
        <f t="shared" si="7"/>
        <v>PHI,2020-21</v>
      </c>
    </row>
    <row r="3945">
      <c r="A3945" s="161" t="str">
        <f>IFERROR(__xludf.DUMMYFUNCTION("""COMPUTED_VALUE"""),"mellini01")</f>
        <v>mellini01</v>
      </c>
      <c r="B3945" s="161" t="str">
        <f>IFERROR(__xludf.DUMMYFUNCTION("""COMPUTED_VALUE"""),"Nicolo Melli")</f>
        <v>Nicolo Melli</v>
      </c>
      <c r="C3945" s="162" t="str">
        <f>IFERROR(__xludf.DUMMYFUNCTION("""COMPUTED_VALUE"""),"2020-21")</f>
        <v>2020-21</v>
      </c>
      <c r="D3945" s="163" t="str">
        <f>IFERROR(__xludf.DUMMYFUNCTION("""COMPUTED_VALUE"""),"NOP")</f>
        <v>NOP</v>
      </c>
      <c r="E3945" s="164" t="str">
        <f>IFERROR(__xludf.DUMMYFUNCTION("""COMPUTED_VALUE"""),"Stretch Big")</f>
        <v>Stretch Big</v>
      </c>
      <c r="F3945" s="164">
        <f>IFERROR(__xludf.DUMMYFUNCTION("""COMPUTED_VALUE"""),156.911666666667)</f>
        <v>156.9116667</v>
      </c>
      <c r="G3945" s="163">
        <f>IFERROR(__xludf.DUMMYFUNCTION("""COMPUTED_VALUE"""),15.0)</f>
        <v>15</v>
      </c>
      <c r="H3945" s="163" t="str">
        <f>IFERROR(__xludf.DUMMYFUNCTION("""COMPUTED_VALUE"""),"PF")</f>
        <v>PF</v>
      </c>
      <c r="I3945" s="163">
        <f>IFERROR(__xludf.DUMMYFUNCTION("""COMPUTED_VALUE"""),30.0)</f>
        <v>30</v>
      </c>
      <c r="J3945" s="165">
        <f>IFERROR(__xludf.DUMMYFUNCTION("""COMPUTED_VALUE"""),0.111197504641757)</f>
        <v>0.1111975046</v>
      </c>
      <c r="K3945" s="165">
        <f>IFERROR(__xludf.DUMMYFUNCTION("""COMPUTED_VALUE"""),-0.935957536868495)</f>
        <v>-0.9359575369</v>
      </c>
      <c r="L3945" s="165">
        <f>IFERROR(__xludf.DUMMYFUNCTION("""COMPUTED_VALUE"""),1.04715504151025)</f>
        <v>1.047155042</v>
      </c>
      <c r="M3945" s="166">
        <f t="shared" si="2"/>
        <v>0.2536686732</v>
      </c>
      <c r="N3945" s="167">
        <f t="shared" si="3"/>
        <v>10.46077778</v>
      </c>
      <c r="O3945" s="163">
        <f t="shared" ref="O3945:Q3945" si="3949">rank(I3945,I:I)</f>
        <v>655</v>
      </c>
      <c r="P3945" s="163">
        <f t="shared" si="3949"/>
        <v>1175</v>
      </c>
      <c r="Q3945" s="163">
        <f t="shared" si="3949"/>
        <v>2734</v>
      </c>
      <c r="R3945" s="163">
        <f>IFERROR(__xludf.DUMMYFUNCTION("RANK(M3945,filter(M:M,C:C=C3945))"),261.0)</f>
        <v>261</v>
      </c>
      <c r="S3945" s="161" t="b">
        <f t="shared" si="5"/>
        <v>0</v>
      </c>
      <c r="T3945" s="161" t="b">
        <f t="array" ref="T3945">index('Query Tool'!B:B,match(H3945,'Query Tool'!C:C,0))</f>
        <v>1</v>
      </c>
      <c r="U3945" s="161" t="b">
        <f t="array" ref="U3945">index('Query Tool'!B:B,match(C3945,'Query Tool'!C:C,0))</f>
        <v>1</v>
      </c>
      <c r="V3945" s="161" t="b">
        <f>F3945&gt;='Query Tool'!C$32</f>
        <v>0</v>
      </c>
      <c r="W3945" s="161" t="b">
        <f t="array" ref="W3945">index(Dropdowns!B:B,match(I3945,Dropdowns!A:A,0))</f>
        <v>1</v>
      </c>
      <c r="X3945" s="161" t="b">
        <f t="array" ref="X3945">index('Query Tool'!B:B,match(D3945,'Query Tool'!C:C,0))</f>
        <v>1</v>
      </c>
      <c r="Y3945" s="161" t="str">
        <f t="shared" si="6"/>
        <v>mellini01,2020-21</v>
      </c>
      <c r="Z3945" s="168" t="str">
        <f t="array" ref="Z3945">iferror(index(I:I,match($A3945&amp;","&amp;index('Year Conversion'!$A:$A,match($C3945,'Year Conversion'!$B:$B,0)),$Y:$Y,0))-I3945,"")</f>
        <v/>
      </c>
      <c r="AA3945" s="168" t="str">
        <f t="array" ref="AA3945">iferror(index(J:J,match($A3945&amp;","&amp;index('Year Conversion'!$A:$A,match($C3945,'Year Conversion'!$B:$B,0)),$Y:$Y,0))-J3945,"")</f>
        <v/>
      </c>
      <c r="AB3945" s="168" t="str">
        <f t="array" ref="AB3945">iferror(index(K:K,match($A3945&amp;","&amp;index('Year Conversion'!$A:$A,match($C3945,'Year Conversion'!$B:$B,0)),$Y:$Y,0))-K3945,"")</f>
        <v/>
      </c>
      <c r="AC3945" s="168" t="str">
        <f t="shared" si="7"/>
        <v>NOP,2020-21</v>
      </c>
    </row>
    <row r="3946">
      <c r="A3946" s="161" t="str">
        <f>IFERROR(__xludf.DUMMYFUNCTION("""COMPUTED_VALUE"""),"thomama02")</f>
        <v>thomama02</v>
      </c>
      <c r="B3946" s="161" t="str">
        <f>IFERROR(__xludf.DUMMYFUNCTION("""COMPUTED_VALUE"""),"Matt Thomas")</f>
        <v>Matt Thomas</v>
      </c>
      <c r="C3946" s="162" t="str">
        <f>IFERROR(__xludf.DUMMYFUNCTION("""COMPUTED_VALUE"""),"2020-21")</f>
        <v>2020-21</v>
      </c>
      <c r="D3946" s="163" t="str">
        <f>IFERROR(__xludf.DUMMYFUNCTION("""COMPUTED_VALUE"""),"TOR")</f>
        <v>TOR</v>
      </c>
      <c r="E3946" s="164" t="str">
        <f>IFERROR(__xludf.DUMMYFUNCTION("""COMPUTED_VALUE"""),"Off Screen Shooter")</f>
        <v>Off Screen Shooter</v>
      </c>
      <c r="F3946" s="164">
        <f>IFERROR(__xludf.DUMMYFUNCTION("""COMPUTED_VALUE"""),112.288333333333)</f>
        <v>112.2883333</v>
      </c>
      <c r="G3946" s="163">
        <f>IFERROR(__xludf.DUMMYFUNCTION("""COMPUTED_VALUE"""),17.0)</f>
        <v>17</v>
      </c>
      <c r="H3946" s="163" t="str">
        <f>IFERROR(__xludf.DUMMYFUNCTION("""COMPUTED_VALUE"""),"SG")</f>
        <v>SG</v>
      </c>
      <c r="I3946" s="163">
        <f>IFERROR(__xludf.DUMMYFUNCTION("""COMPUTED_VALUE"""),26.0)</f>
        <v>26</v>
      </c>
      <c r="J3946" s="165">
        <f>IFERROR(__xludf.DUMMYFUNCTION("""COMPUTED_VALUE"""),-1.9202123705147)</f>
        <v>-1.920212371</v>
      </c>
      <c r="K3946" s="165">
        <f>IFERROR(__xludf.DUMMYFUNCTION("""COMPUTED_VALUE"""),-0.920871500510077)</f>
        <v>-0.9208715005</v>
      </c>
      <c r="L3946" s="165">
        <f>IFERROR(__xludf.DUMMYFUNCTION("""COMPUTED_VALUE"""),-0.99934087000462)</f>
        <v>-0.99934087</v>
      </c>
      <c r="M3946" s="166">
        <f t="shared" si="2"/>
        <v>0.02848415604</v>
      </c>
      <c r="N3946" s="167">
        <f t="shared" si="3"/>
        <v>6.605196078</v>
      </c>
      <c r="O3946" s="163">
        <f t="shared" ref="O3946:Q3946" si="3950">rank(I3946,I:I)</f>
        <v>1665</v>
      </c>
      <c r="P3946" s="163">
        <f t="shared" si="3950"/>
        <v>3427</v>
      </c>
      <c r="Q3946" s="163">
        <f t="shared" si="3950"/>
        <v>2715</v>
      </c>
      <c r="R3946" s="163">
        <f>IFERROR(__xludf.DUMMYFUNCTION("RANK(M3946,filter(M:M,C:C=C3946))"),406.0)</f>
        <v>406</v>
      </c>
      <c r="S3946" s="161" t="b">
        <f t="shared" si="5"/>
        <v>0</v>
      </c>
      <c r="T3946" s="161" t="b">
        <f t="array" ref="T3946">index('Query Tool'!B:B,match(H3946,'Query Tool'!C:C,0))</f>
        <v>1</v>
      </c>
      <c r="U3946" s="161" t="b">
        <f t="array" ref="U3946">index('Query Tool'!B:B,match(C3946,'Query Tool'!C:C,0))</f>
        <v>1</v>
      </c>
      <c r="V3946" s="161" t="b">
        <f>F3946&gt;='Query Tool'!C$32</f>
        <v>0</v>
      </c>
      <c r="W3946" s="161" t="b">
        <f t="array" ref="W3946">index(Dropdowns!B:B,match(I3946,Dropdowns!A:A,0))</f>
        <v>1</v>
      </c>
      <c r="X3946" s="161" t="b">
        <f t="array" ref="X3946">index('Query Tool'!B:B,match(D3946,'Query Tool'!C:C,0))</f>
        <v>1</v>
      </c>
      <c r="Y3946" s="161" t="str">
        <f t="shared" si="6"/>
        <v>thomama02,2020-21</v>
      </c>
      <c r="Z3946" s="168" t="str">
        <f t="array" ref="Z3946">iferror(index(I:I,match($A3946&amp;","&amp;index('Year Conversion'!$A:$A,match($C3946,'Year Conversion'!$B:$B,0)),$Y:$Y,0))-I3946,"")</f>
        <v/>
      </c>
      <c r="AA3946" s="168" t="str">
        <f t="array" ref="AA3946">iferror(index(J:J,match($A3946&amp;","&amp;index('Year Conversion'!$A:$A,match($C3946,'Year Conversion'!$B:$B,0)),$Y:$Y,0))-J3946,"")</f>
        <v/>
      </c>
      <c r="AB3946" s="168" t="str">
        <f t="array" ref="AB3946">iferror(index(K:K,match($A3946&amp;","&amp;index('Year Conversion'!$A:$A,match($C3946,'Year Conversion'!$B:$B,0)),$Y:$Y,0))-K3946,"")</f>
        <v/>
      </c>
      <c r="AC3946" s="168" t="str">
        <f t="shared" si="7"/>
        <v>TOR,2020-21</v>
      </c>
    </row>
    <row r="3947">
      <c r="A3947" s="161" t="str">
        <f>IFERROR(__xludf.DUMMYFUNCTION("""COMPUTED_VALUE"""),"greenja02")</f>
        <v>greenja02</v>
      </c>
      <c r="B3947" s="161" t="str">
        <f>IFERROR(__xludf.DUMMYFUNCTION("""COMPUTED_VALUE"""),"Javonte Green")</f>
        <v>Javonte Green</v>
      </c>
      <c r="C3947" s="162" t="str">
        <f>IFERROR(__xludf.DUMMYFUNCTION("""COMPUTED_VALUE"""),"2020-21")</f>
        <v>2020-21</v>
      </c>
      <c r="D3947" s="163" t="str">
        <f>IFERROR(__xludf.DUMMYFUNCTION("""COMPUTED_VALUE"""),"BOS")</f>
        <v>BOS</v>
      </c>
      <c r="E3947" s="164" t="str">
        <f>IFERROR(__xludf.DUMMYFUNCTION("""COMPUTED_VALUE"""),"Stretch Big")</f>
        <v>Stretch Big</v>
      </c>
      <c r="F3947" s="164">
        <f>IFERROR(__xludf.DUMMYFUNCTION("""COMPUTED_VALUE"""),280.073333333333)</f>
        <v>280.0733333</v>
      </c>
      <c r="G3947" s="163">
        <f>IFERROR(__xludf.DUMMYFUNCTION("""COMPUTED_VALUE"""),19.0)</f>
        <v>19</v>
      </c>
      <c r="H3947" s="163" t="str">
        <f>IFERROR(__xludf.DUMMYFUNCTION("""COMPUTED_VALUE"""),"SG")</f>
        <v>SG</v>
      </c>
      <c r="I3947" s="163">
        <f>IFERROR(__xludf.DUMMYFUNCTION("""COMPUTED_VALUE"""),27.0)</f>
        <v>27</v>
      </c>
      <c r="J3947" s="165">
        <f>IFERROR(__xludf.DUMMYFUNCTION("""COMPUTED_VALUE"""),-1.73344151601612)</f>
        <v>-1.733441516</v>
      </c>
      <c r="K3947" s="165">
        <f>IFERROR(__xludf.DUMMYFUNCTION("""COMPUTED_VALUE"""),-1.43980824729796)</f>
        <v>-1.439808247</v>
      </c>
      <c r="L3947" s="165">
        <f>IFERROR(__xludf.DUMMYFUNCTION("""COMPUTED_VALUE"""),-0.293633268718156)</f>
        <v>-0.2936332687</v>
      </c>
      <c r="M3947" s="166">
        <f t="shared" si="2"/>
        <v>0.1058262945</v>
      </c>
      <c r="N3947" s="167">
        <f t="shared" si="3"/>
        <v>14.74070175</v>
      </c>
      <c r="O3947" s="163">
        <f t="shared" ref="O3947:Q3947" si="3951">rank(I3947,I:I)</f>
        <v>1366</v>
      </c>
      <c r="P3947" s="163">
        <f t="shared" si="3951"/>
        <v>3275</v>
      </c>
      <c r="Q3947" s="163">
        <f t="shared" si="3951"/>
        <v>3288</v>
      </c>
      <c r="R3947" s="163">
        <f>IFERROR(__xludf.DUMMYFUNCTION("RANK(M3947,filter(M:M,C:C=C3947))"),329.0)</f>
        <v>329</v>
      </c>
      <c r="S3947" s="161" t="b">
        <f t="shared" si="5"/>
        <v>0</v>
      </c>
      <c r="T3947" s="161" t="b">
        <f t="array" ref="T3947">index('Query Tool'!B:B,match(H3947,'Query Tool'!C:C,0))</f>
        <v>1</v>
      </c>
      <c r="U3947" s="161" t="b">
        <f t="array" ref="U3947">index('Query Tool'!B:B,match(C3947,'Query Tool'!C:C,0))</f>
        <v>1</v>
      </c>
      <c r="V3947" s="161" t="b">
        <f>F3947&gt;='Query Tool'!C$32</f>
        <v>0</v>
      </c>
      <c r="W3947" s="161" t="b">
        <f t="array" ref="W3947">index(Dropdowns!B:B,match(I3947,Dropdowns!A:A,0))</f>
        <v>1</v>
      </c>
      <c r="X3947" s="161" t="b">
        <f t="array" ref="X3947">index('Query Tool'!B:B,match(D3947,'Query Tool'!C:C,0))</f>
        <v>1</v>
      </c>
      <c r="Y3947" s="161" t="str">
        <f t="shared" si="6"/>
        <v>greenja02,2020-21</v>
      </c>
      <c r="Z3947" s="168" t="str">
        <f t="array" ref="Z3947">iferror(index(I:I,match($A3947&amp;","&amp;index('Year Conversion'!$A:$A,match($C3947,'Year Conversion'!$B:$B,0)),$Y:$Y,0))-I3947,"")</f>
        <v/>
      </c>
      <c r="AA3947" s="168" t="str">
        <f t="array" ref="AA3947">iferror(index(J:J,match($A3947&amp;","&amp;index('Year Conversion'!$A:$A,match($C3947,'Year Conversion'!$B:$B,0)),$Y:$Y,0))-J3947,"")</f>
        <v/>
      </c>
      <c r="AB3947" s="168" t="str">
        <f t="array" ref="AB3947">iferror(index(K:K,match($A3947&amp;","&amp;index('Year Conversion'!$A:$A,match($C3947,'Year Conversion'!$B:$B,0)),$Y:$Y,0))-K3947,"")</f>
        <v/>
      </c>
      <c r="AC3947" s="168" t="str">
        <f t="shared" si="7"/>
        <v>BOS,2020-21</v>
      </c>
    </row>
    <row r="3948">
      <c r="A3948" s="161" t="str">
        <f>IFERROR(__xludf.DUMMYFUNCTION("""COMPUTED_VALUE"""),"mathida01")</f>
        <v>mathida01</v>
      </c>
      <c r="B3948" s="161" t="str">
        <f>IFERROR(__xludf.DUMMYFUNCTION("""COMPUTED_VALUE"""),"Dakota Mathias")</f>
        <v>Dakota Mathias</v>
      </c>
      <c r="C3948" s="162" t="str">
        <f>IFERROR(__xludf.DUMMYFUNCTION("""COMPUTED_VALUE"""),"2020-21")</f>
        <v>2020-21</v>
      </c>
      <c r="D3948" s="163" t="str">
        <f>IFERROR(__xludf.DUMMYFUNCTION("""COMPUTED_VALUE"""),"PHI")</f>
        <v>PHI</v>
      </c>
      <c r="E3948" s="164" t="str">
        <f>IFERROR(__xludf.DUMMYFUNCTION("""COMPUTED_VALUE"""),"Movement Shooter")</f>
        <v>Movement Shooter</v>
      </c>
      <c r="F3948" s="164">
        <f>IFERROR(__xludf.DUMMYFUNCTION("""COMPUTED_VALUE"""),123.46)</f>
        <v>123.46</v>
      </c>
      <c r="G3948" s="163">
        <f>IFERROR(__xludf.DUMMYFUNCTION("""COMPUTED_VALUE"""),8.0)</f>
        <v>8</v>
      </c>
      <c r="H3948" s="163" t="str">
        <f>IFERROR(__xludf.DUMMYFUNCTION("""COMPUTED_VALUE"""),"SG")</f>
        <v>SG</v>
      </c>
      <c r="I3948" s="163">
        <f>IFERROR(__xludf.DUMMYFUNCTION("""COMPUTED_VALUE"""),25.0)</f>
        <v>25</v>
      </c>
      <c r="J3948" s="165">
        <f>IFERROR(__xludf.DUMMYFUNCTION("""COMPUTED_VALUE"""),-0.841739709153989)</f>
        <v>-0.8417397092</v>
      </c>
      <c r="K3948" s="165">
        <f>IFERROR(__xludf.DUMMYFUNCTION("""COMPUTED_VALUE"""),0.23634455455272)</f>
        <v>0.2363445546</v>
      </c>
      <c r="L3948" s="165">
        <f>IFERROR(__xludf.DUMMYFUNCTION("""COMPUTED_VALUE"""),-1.07808426370671)</f>
        <v>-1.078084264</v>
      </c>
      <c r="M3948" s="166">
        <f t="shared" si="2"/>
        <v>0.1203404418</v>
      </c>
      <c r="N3948" s="167">
        <f t="shared" si="3"/>
        <v>15.4325</v>
      </c>
      <c r="O3948" s="163">
        <f t="shared" ref="O3948:Q3948" si="3952">rank(I3948,I:I)</f>
        <v>1995</v>
      </c>
      <c r="P3948" s="163">
        <f t="shared" si="3952"/>
        <v>2339</v>
      </c>
      <c r="Q3948" s="163">
        <f t="shared" si="3952"/>
        <v>956</v>
      </c>
      <c r="R3948" s="163">
        <f>IFERROR(__xludf.DUMMYFUNCTION("RANK(M3948,filter(M:M,C:C=C3948))"),315.0)</f>
        <v>315</v>
      </c>
      <c r="S3948" s="161" t="b">
        <f t="shared" si="5"/>
        <v>0</v>
      </c>
      <c r="T3948" s="161" t="b">
        <f t="array" ref="T3948">index('Query Tool'!B:B,match(H3948,'Query Tool'!C:C,0))</f>
        <v>1</v>
      </c>
      <c r="U3948" s="161" t="b">
        <f t="array" ref="U3948">index('Query Tool'!B:B,match(C3948,'Query Tool'!C:C,0))</f>
        <v>1</v>
      </c>
      <c r="V3948" s="161" t="b">
        <f>F3948&gt;='Query Tool'!C$32</f>
        <v>0</v>
      </c>
      <c r="W3948" s="161" t="b">
        <f t="array" ref="W3948">index(Dropdowns!B:B,match(I3948,Dropdowns!A:A,0))</f>
        <v>1</v>
      </c>
      <c r="X3948" s="161" t="b">
        <f t="array" ref="X3948">index('Query Tool'!B:B,match(D3948,'Query Tool'!C:C,0))</f>
        <v>1</v>
      </c>
      <c r="Y3948" s="161" t="str">
        <f t="shared" si="6"/>
        <v>mathida01,2020-21</v>
      </c>
      <c r="Z3948" s="168" t="str">
        <f t="array" ref="Z3948">iferror(index(I:I,match($A3948&amp;","&amp;index('Year Conversion'!$A:$A,match($C3948,'Year Conversion'!$B:$B,0)),$Y:$Y,0))-I3948,"")</f>
        <v/>
      </c>
      <c r="AA3948" s="168" t="str">
        <f t="array" ref="AA3948">iferror(index(J:J,match($A3948&amp;","&amp;index('Year Conversion'!$A:$A,match($C3948,'Year Conversion'!$B:$B,0)),$Y:$Y,0))-J3948,"")</f>
        <v/>
      </c>
      <c r="AB3948" s="168" t="str">
        <f t="array" ref="AB3948">iferror(index(K:K,match($A3948&amp;","&amp;index('Year Conversion'!$A:$A,match($C3948,'Year Conversion'!$B:$B,0)),$Y:$Y,0))-K3948,"")</f>
        <v/>
      </c>
      <c r="AC3948" s="168" t="str">
        <f t="shared" si="7"/>
        <v>PHI,2020-21</v>
      </c>
    </row>
    <row r="3949">
      <c r="A3949" s="161" t="str">
        <f>IFERROR(__xludf.DUMMYFUNCTION("""COMPUTED_VALUE"""),"morgaju01")</f>
        <v>morgaju01</v>
      </c>
      <c r="B3949" s="161" t="str">
        <f>IFERROR(__xludf.DUMMYFUNCTION("""COMPUTED_VALUE"""),"Juwan Morgan")</f>
        <v>Juwan Morgan</v>
      </c>
      <c r="C3949" s="162" t="str">
        <f>IFERROR(__xludf.DUMMYFUNCTION("""COMPUTED_VALUE"""),"2020-21")</f>
        <v>2020-21</v>
      </c>
      <c r="D3949" s="163" t="str">
        <f>IFERROR(__xludf.DUMMYFUNCTION("""COMPUTED_VALUE"""),"UTA")</f>
        <v>UTA</v>
      </c>
      <c r="E3949" s="164" t="str">
        <f>IFERROR(__xludf.DUMMYFUNCTION("""COMPUTED_VALUE"""),"Stretch Big")</f>
        <v>Stretch Big</v>
      </c>
      <c r="F3949" s="164">
        <f>IFERROR(__xludf.DUMMYFUNCTION("""COMPUTED_VALUE"""),64.41)</f>
        <v>64.41</v>
      </c>
      <c r="G3949" s="163">
        <f>IFERROR(__xludf.DUMMYFUNCTION("""COMPUTED_VALUE"""),12.0)</f>
        <v>12</v>
      </c>
      <c r="H3949" s="163" t="str">
        <f>IFERROR(__xludf.DUMMYFUNCTION("""COMPUTED_VALUE"""),"PF")</f>
        <v>PF</v>
      </c>
      <c r="I3949" s="163">
        <f>IFERROR(__xludf.DUMMYFUNCTION("""COMPUTED_VALUE"""),23.0)</f>
        <v>23</v>
      </c>
      <c r="J3949" s="165">
        <f>IFERROR(__xludf.DUMMYFUNCTION("""COMPUTED_VALUE"""),-1.58343259664516)</f>
        <v>-1.583432597</v>
      </c>
      <c r="K3949" s="165">
        <f>IFERROR(__xludf.DUMMYFUNCTION("""COMPUTED_VALUE"""),-0.765168139780907)</f>
        <v>-0.7651681398</v>
      </c>
      <c r="L3949" s="165">
        <f>IFERROR(__xludf.DUMMYFUNCTION("""COMPUTED_VALUE"""),-0.818264456864256)</f>
        <v>-0.8182644569</v>
      </c>
      <c r="M3949" s="166">
        <f t="shared" si="2"/>
        <v>0.03077737505</v>
      </c>
      <c r="N3949" s="167">
        <f t="shared" si="3"/>
        <v>5.3675</v>
      </c>
      <c r="O3949" s="163">
        <f t="shared" ref="O3949:Q3949" si="3953">rank(I3949,I:I)</f>
        <v>2765</v>
      </c>
      <c r="P3949" s="163">
        <f t="shared" si="3953"/>
        <v>3129</v>
      </c>
      <c r="Q3949" s="163">
        <f t="shared" si="3953"/>
        <v>2508</v>
      </c>
      <c r="R3949" s="163">
        <f>IFERROR(__xludf.DUMMYFUNCTION("RANK(M3949,filter(M:M,C:C=C3949))"),401.0)</f>
        <v>401</v>
      </c>
      <c r="S3949" s="161" t="b">
        <f t="shared" si="5"/>
        <v>0</v>
      </c>
      <c r="T3949" s="161" t="b">
        <f t="array" ref="T3949">index('Query Tool'!B:B,match(H3949,'Query Tool'!C:C,0))</f>
        <v>1</v>
      </c>
      <c r="U3949" s="161" t="b">
        <f t="array" ref="U3949">index('Query Tool'!B:B,match(C3949,'Query Tool'!C:C,0))</f>
        <v>1</v>
      </c>
      <c r="V3949" s="161" t="b">
        <f>F3949&gt;='Query Tool'!C$32</f>
        <v>0</v>
      </c>
      <c r="W3949" s="161" t="b">
        <f t="array" ref="W3949">index(Dropdowns!B:B,match(I3949,Dropdowns!A:A,0))</f>
        <v>1</v>
      </c>
      <c r="X3949" s="161" t="b">
        <f t="array" ref="X3949">index('Query Tool'!B:B,match(D3949,'Query Tool'!C:C,0))</f>
        <v>1</v>
      </c>
      <c r="Y3949" s="161" t="str">
        <f t="shared" si="6"/>
        <v>morgaju01,2020-21</v>
      </c>
      <c r="Z3949" s="168" t="str">
        <f t="array" ref="Z3949">iferror(index(I:I,match($A3949&amp;","&amp;index('Year Conversion'!$A:$A,match($C3949,'Year Conversion'!$B:$B,0)),$Y:$Y,0))-I3949,"")</f>
        <v/>
      </c>
      <c r="AA3949" s="168" t="str">
        <f t="array" ref="AA3949">iferror(index(J:J,match($A3949&amp;","&amp;index('Year Conversion'!$A:$A,match($C3949,'Year Conversion'!$B:$B,0)),$Y:$Y,0))-J3949,"")</f>
        <v/>
      </c>
      <c r="AB3949" s="168" t="str">
        <f t="array" ref="AB3949">iferror(index(K:K,match($A3949&amp;","&amp;index('Year Conversion'!$A:$A,match($C3949,'Year Conversion'!$B:$B,0)),$Y:$Y,0))-K3949,"")</f>
        <v/>
      </c>
      <c r="AC3949" s="168" t="str">
        <f t="shared" si="7"/>
        <v>UTA,2020-21</v>
      </c>
    </row>
    <row r="3950">
      <c r="A3950" s="161" t="str">
        <f>IFERROR(__xludf.DUMMYFUNCTION("""COMPUTED_VALUE"""),"blevike01")</f>
        <v>blevike01</v>
      </c>
      <c r="B3950" s="161" t="str">
        <f>IFERROR(__xludf.DUMMYFUNCTION("""COMPUTED_VALUE"""),"Keljin Blevins")</f>
        <v>Keljin Blevins</v>
      </c>
      <c r="C3950" s="162" t="str">
        <f>IFERROR(__xludf.DUMMYFUNCTION("""COMPUTED_VALUE"""),"2020-21")</f>
        <v>2020-21</v>
      </c>
      <c r="D3950" s="163" t="str">
        <f>IFERROR(__xludf.DUMMYFUNCTION("""COMPUTED_VALUE"""),"POR")</f>
        <v>POR</v>
      </c>
      <c r="E3950" s="164" t="str">
        <f>IFERROR(__xludf.DUMMYFUNCTION("""COMPUTED_VALUE"""),"Athletic Finisher")</f>
        <v>Athletic Finisher</v>
      </c>
      <c r="F3950" s="164">
        <f>IFERROR(__xludf.DUMMYFUNCTION("""COMPUTED_VALUE"""),38.05)</f>
        <v>38.05</v>
      </c>
      <c r="G3950" s="163">
        <f>IFERROR(__xludf.DUMMYFUNCTION("""COMPUTED_VALUE"""),8.0)</f>
        <v>8</v>
      </c>
      <c r="H3950" s="163" t="str">
        <f>IFERROR(__xludf.DUMMYFUNCTION("""COMPUTED_VALUE"""),"SF")</f>
        <v>SF</v>
      </c>
      <c r="I3950" s="163">
        <f>IFERROR(__xludf.DUMMYFUNCTION("""COMPUTED_VALUE"""),25.0)</f>
        <v>25</v>
      </c>
      <c r="J3950" s="165">
        <f>IFERROR(__xludf.DUMMYFUNCTION("""COMPUTED_VALUE"""),-1.23174648993419)</f>
        <v>-1.23174649</v>
      </c>
      <c r="K3950" s="165">
        <f>IFERROR(__xludf.DUMMYFUNCTION("""COMPUTED_VALUE"""),-1.0665747433271)</f>
        <v>-1.066574743</v>
      </c>
      <c r="L3950" s="165">
        <f>IFERROR(__xludf.DUMMYFUNCTION("""COMPUTED_VALUE"""),-0.165171746607087)</f>
        <v>-0.1651717466</v>
      </c>
      <c r="M3950" s="166">
        <f t="shared" si="2"/>
        <v>0.0271289495</v>
      </c>
      <c r="N3950" s="167">
        <f t="shared" si="3"/>
        <v>4.75625</v>
      </c>
      <c r="O3950" s="163">
        <f t="shared" ref="O3950:Q3950" si="3954">rank(I3950,I:I)</f>
        <v>1995</v>
      </c>
      <c r="P3950" s="163">
        <f t="shared" si="3954"/>
        <v>2791</v>
      </c>
      <c r="Q3950" s="163">
        <f t="shared" si="3954"/>
        <v>2893</v>
      </c>
      <c r="R3950" s="163">
        <f>IFERROR(__xludf.DUMMYFUNCTION("RANK(M3950,filter(M:M,C:C=C3950))"),408.0)</f>
        <v>408</v>
      </c>
      <c r="S3950" s="161" t="b">
        <f t="shared" si="5"/>
        <v>0</v>
      </c>
      <c r="T3950" s="161" t="b">
        <f t="array" ref="T3950">index('Query Tool'!B:B,match(H3950,'Query Tool'!C:C,0))</f>
        <v>1</v>
      </c>
      <c r="U3950" s="161" t="b">
        <f t="array" ref="U3950">index('Query Tool'!B:B,match(C3950,'Query Tool'!C:C,0))</f>
        <v>1</v>
      </c>
      <c r="V3950" s="161" t="b">
        <f>F3950&gt;='Query Tool'!C$32</f>
        <v>0</v>
      </c>
      <c r="W3950" s="161" t="b">
        <f t="array" ref="W3950">index(Dropdowns!B:B,match(I3950,Dropdowns!A:A,0))</f>
        <v>1</v>
      </c>
      <c r="X3950" s="161" t="b">
        <f t="array" ref="X3950">index('Query Tool'!B:B,match(D3950,'Query Tool'!C:C,0))</f>
        <v>1</v>
      </c>
      <c r="Y3950" s="161" t="str">
        <f t="shared" si="6"/>
        <v>blevike01,2020-21</v>
      </c>
      <c r="Z3950" s="168" t="str">
        <f t="array" ref="Z3950">iferror(index(I:I,match($A3950&amp;","&amp;index('Year Conversion'!$A:$A,match($C3950,'Year Conversion'!$B:$B,0)),$Y:$Y,0))-I3950,"")</f>
        <v/>
      </c>
      <c r="AA3950" s="168" t="str">
        <f t="array" ref="AA3950">iferror(index(J:J,match($A3950&amp;","&amp;index('Year Conversion'!$A:$A,match($C3950,'Year Conversion'!$B:$B,0)),$Y:$Y,0))-J3950,"")</f>
        <v/>
      </c>
      <c r="AB3950" s="168" t="str">
        <f t="array" ref="AB3950">iferror(index(K:K,match($A3950&amp;","&amp;index('Year Conversion'!$A:$A,match($C3950,'Year Conversion'!$B:$B,0)),$Y:$Y,0))-K3950,"")</f>
        <v/>
      </c>
      <c r="AC3950" s="168" t="str">
        <f t="shared" si="7"/>
        <v>POR,2020-21</v>
      </c>
    </row>
    <row r="3951">
      <c r="A3951" s="161" t="str">
        <f>IFERROR(__xludf.DUMMYFUNCTION("""COMPUTED_VALUE"""),"edwaran01")</f>
        <v>edwaran01</v>
      </c>
      <c r="B3951" s="161" t="str">
        <f>IFERROR(__xludf.DUMMYFUNCTION("""COMPUTED_VALUE"""),"Anthony Edwards")</f>
        <v>Anthony Edwards</v>
      </c>
      <c r="C3951" s="162" t="str">
        <f>IFERROR(__xludf.DUMMYFUNCTION("""COMPUTED_VALUE"""),"2020-21")</f>
        <v>2020-21</v>
      </c>
      <c r="D3951" s="163" t="str">
        <f>IFERROR(__xludf.DUMMYFUNCTION("""COMPUTED_VALUE"""),"MIN")</f>
        <v>MIN</v>
      </c>
      <c r="E3951" s="164" t="str">
        <f>IFERROR(__xludf.DUMMYFUNCTION("""COMPUTED_VALUE"""),"Secondary Ball Handler")</f>
        <v>Secondary Ball Handler</v>
      </c>
      <c r="F3951" s="164">
        <f>IFERROR(__xludf.DUMMYFUNCTION("""COMPUTED_VALUE"""),882.515)</f>
        <v>882.515</v>
      </c>
      <c r="G3951" s="163">
        <f>IFERROR(__xludf.DUMMYFUNCTION("""COMPUTED_VALUE"""),31.0)</f>
        <v>31</v>
      </c>
      <c r="H3951" s="163" t="str">
        <f>IFERROR(__xludf.DUMMYFUNCTION("""COMPUTED_VALUE"""),"SG")</f>
        <v>SG</v>
      </c>
      <c r="I3951" s="163">
        <f>IFERROR(__xludf.DUMMYFUNCTION("""COMPUTED_VALUE"""),19.0)</f>
        <v>19</v>
      </c>
      <c r="J3951" s="165">
        <f>IFERROR(__xludf.DUMMYFUNCTION("""COMPUTED_VALUE"""),-3.38270050236012)</f>
        <v>-3.382700502</v>
      </c>
      <c r="K3951" s="165">
        <f>IFERROR(__xludf.DUMMYFUNCTION("""COMPUTED_VALUE"""),-1.15746620657944)</f>
        <v>-1.157466207</v>
      </c>
      <c r="L3951" s="165">
        <f>IFERROR(__xludf.DUMMYFUNCTION("""COMPUTED_VALUE"""),-2.22523429578068)</f>
        <v>-2.225234296</v>
      </c>
      <c r="M3951" s="166">
        <f t="shared" si="2"/>
        <v>-0.6207084385</v>
      </c>
      <c r="N3951" s="167">
        <f t="shared" si="3"/>
        <v>28.46822581</v>
      </c>
      <c r="O3951" s="163">
        <f t="shared" ref="O3951:Q3951" si="3955">rank(I3951,I:I)</f>
        <v>3945</v>
      </c>
      <c r="P3951" s="163">
        <f t="shared" si="3955"/>
        <v>3950</v>
      </c>
      <c r="Q3951" s="163">
        <f t="shared" si="3955"/>
        <v>2993</v>
      </c>
      <c r="R3951" s="163">
        <f>IFERROR(__xludf.DUMMYFUNCTION("RANK(M3951,filter(M:M,C:C=C3951))"),472.0)</f>
        <v>472</v>
      </c>
      <c r="S3951" s="161" t="b">
        <f t="shared" si="5"/>
        <v>1</v>
      </c>
      <c r="T3951" s="161" t="b">
        <f t="array" ref="T3951">index('Query Tool'!B:B,match(H3951,'Query Tool'!C:C,0))</f>
        <v>1</v>
      </c>
      <c r="U3951" s="161" t="b">
        <f t="array" ref="U3951">index('Query Tool'!B:B,match(C3951,'Query Tool'!C:C,0))</f>
        <v>1</v>
      </c>
      <c r="V3951" s="161" t="b">
        <f>F3951&gt;='Query Tool'!C$32</f>
        <v>1</v>
      </c>
      <c r="W3951" s="161" t="b">
        <f t="array" ref="W3951">index(Dropdowns!B:B,match(I3951,Dropdowns!A:A,0))</f>
        <v>1</v>
      </c>
      <c r="X3951" s="161" t="b">
        <f t="array" ref="X3951">index('Query Tool'!B:B,match(D3951,'Query Tool'!C:C,0))</f>
        <v>1</v>
      </c>
      <c r="Y3951" s="161" t="str">
        <f t="shared" si="6"/>
        <v>edwaran01,2020-21</v>
      </c>
      <c r="Z3951" s="168" t="str">
        <f t="array" ref="Z3951">iferror(index(I:I,match($A3951&amp;","&amp;index('Year Conversion'!$A:$A,match($C3951,'Year Conversion'!$B:$B,0)),$Y:$Y,0))-I3951,"")</f>
        <v/>
      </c>
      <c r="AA3951" s="168" t="str">
        <f t="array" ref="AA3951">iferror(index(J:J,match($A3951&amp;","&amp;index('Year Conversion'!$A:$A,match($C3951,'Year Conversion'!$B:$B,0)),$Y:$Y,0))-J3951,"")</f>
        <v/>
      </c>
      <c r="AB3951" s="168" t="str">
        <f t="array" ref="AB3951">iferror(index(K:K,match($A3951&amp;","&amp;index('Year Conversion'!$A:$A,match($C3951,'Year Conversion'!$B:$B,0)),$Y:$Y,0))-K3951,"")</f>
        <v/>
      </c>
      <c r="AC3951" s="168" t="str">
        <f t="shared" si="7"/>
        <v>MIN,2020-21</v>
      </c>
    </row>
    <row r="3952">
      <c r="A3952" s="161" t="str">
        <f>IFERROR(__xludf.DUMMYFUNCTION("""COMPUTED_VALUE"""),"ballla01")</f>
        <v>ballla01</v>
      </c>
      <c r="B3952" s="161" t="str">
        <f>IFERROR(__xludf.DUMMYFUNCTION("""COMPUTED_VALUE"""),"LaMelo Ball")</f>
        <v>LaMelo Ball</v>
      </c>
      <c r="C3952" s="162" t="str">
        <f>IFERROR(__xludf.DUMMYFUNCTION("""COMPUTED_VALUE"""),"2020-21")</f>
        <v>2020-21</v>
      </c>
      <c r="D3952" s="163" t="str">
        <f>IFERROR(__xludf.DUMMYFUNCTION("""COMPUTED_VALUE"""),"CHO")</f>
        <v>CHO</v>
      </c>
      <c r="E3952" s="164" t="str">
        <f>IFERROR(__xludf.DUMMYFUNCTION("""COMPUTED_VALUE"""),"Primary Ball Handler")</f>
        <v>Primary Ball Handler</v>
      </c>
      <c r="F3952" s="164">
        <f>IFERROR(__xludf.DUMMYFUNCTION("""COMPUTED_VALUE"""),808.04)</f>
        <v>808.04</v>
      </c>
      <c r="G3952" s="163">
        <f>IFERROR(__xludf.DUMMYFUNCTION("""COMPUTED_VALUE"""),29.0)</f>
        <v>29</v>
      </c>
      <c r="H3952" s="163" t="str">
        <f>IFERROR(__xludf.DUMMYFUNCTION("""COMPUTED_VALUE"""),"PG")</f>
        <v>PG</v>
      </c>
      <c r="I3952" s="163">
        <f>IFERROR(__xludf.DUMMYFUNCTION("""COMPUTED_VALUE"""),19.0)</f>
        <v>19</v>
      </c>
      <c r="J3952" s="165">
        <f>IFERROR(__xludf.DUMMYFUNCTION("""COMPUTED_VALUE"""),0.120309659920355)</f>
        <v>0.1203096599</v>
      </c>
      <c r="K3952" s="165">
        <f>IFERROR(__xludf.DUMMYFUNCTION("""COMPUTED_VALUE"""),0.485536125066986)</f>
        <v>0.4855361251</v>
      </c>
      <c r="L3952" s="165">
        <f>IFERROR(__xludf.DUMMYFUNCTION("""COMPUTED_VALUE"""),-0.365226465146631)</f>
        <v>-0.3652264651</v>
      </c>
      <c r="M3952" s="166">
        <f t="shared" si="2"/>
        <v>1.31126839</v>
      </c>
      <c r="N3952" s="167">
        <f t="shared" si="3"/>
        <v>27.86344828</v>
      </c>
      <c r="O3952" s="163">
        <f t="shared" ref="O3952:Q3952" si="3956">rank(I3952,I:I)</f>
        <v>3945</v>
      </c>
      <c r="P3952" s="163">
        <f t="shared" si="3956"/>
        <v>1163</v>
      </c>
      <c r="Q3952" s="163">
        <f t="shared" si="3956"/>
        <v>774</v>
      </c>
      <c r="R3952" s="163">
        <f>IFERROR(__xludf.DUMMYFUNCTION("RANK(M3952,filter(M:M,C:C=C3952))"),94.0)</f>
        <v>94</v>
      </c>
      <c r="S3952" s="161" t="b">
        <f t="shared" si="5"/>
        <v>1</v>
      </c>
      <c r="T3952" s="161" t="b">
        <f t="array" ref="T3952">index('Query Tool'!B:B,match(H3952,'Query Tool'!C:C,0))</f>
        <v>1</v>
      </c>
      <c r="U3952" s="161" t="b">
        <f t="array" ref="U3952">index('Query Tool'!B:B,match(C3952,'Query Tool'!C:C,0))</f>
        <v>1</v>
      </c>
      <c r="V3952" s="161" t="b">
        <f>F3952&gt;='Query Tool'!C$32</f>
        <v>1</v>
      </c>
      <c r="W3952" s="161" t="b">
        <f t="array" ref="W3952">index(Dropdowns!B:B,match(I3952,Dropdowns!A:A,0))</f>
        <v>1</v>
      </c>
      <c r="X3952" s="161" t="b">
        <f t="array" ref="X3952">index('Query Tool'!B:B,match(D3952,'Query Tool'!C:C,0))</f>
        <v>1</v>
      </c>
      <c r="Y3952" s="161" t="str">
        <f t="shared" si="6"/>
        <v>ballla01,2020-21</v>
      </c>
      <c r="Z3952" s="168" t="str">
        <f t="array" ref="Z3952">iferror(index(I:I,match($A3952&amp;","&amp;index('Year Conversion'!$A:$A,match($C3952,'Year Conversion'!$B:$B,0)),$Y:$Y,0))-I3952,"")</f>
        <v/>
      </c>
      <c r="AA3952" s="168" t="str">
        <f t="array" ref="AA3952">iferror(index(J:J,match($A3952&amp;","&amp;index('Year Conversion'!$A:$A,match($C3952,'Year Conversion'!$B:$B,0)),$Y:$Y,0))-J3952,"")</f>
        <v/>
      </c>
      <c r="AB3952" s="168" t="str">
        <f t="array" ref="AB3952">iferror(index(K:K,match($A3952&amp;","&amp;index('Year Conversion'!$A:$A,match($C3952,'Year Conversion'!$B:$B,0)),$Y:$Y,0))-K3952,"")</f>
        <v/>
      </c>
      <c r="AC3952" s="168" t="str">
        <f t="shared" si="7"/>
        <v>CHO,2020-21</v>
      </c>
    </row>
    <row r="3953">
      <c r="A3953" s="161" t="str">
        <f>IFERROR(__xludf.DUMMYFUNCTION("""COMPUTED_VALUE"""),"wisemja01")</f>
        <v>wisemja01</v>
      </c>
      <c r="B3953" s="161" t="str">
        <f>IFERROR(__xludf.DUMMYFUNCTION("""COMPUTED_VALUE"""),"James Wiseman")</f>
        <v>James Wiseman</v>
      </c>
      <c r="C3953" s="162" t="str">
        <f>IFERROR(__xludf.DUMMYFUNCTION("""COMPUTED_VALUE"""),"2020-21")</f>
        <v>2020-21</v>
      </c>
      <c r="D3953" s="163" t="str">
        <f>IFERROR(__xludf.DUMMYFUNCTION("""COMPUTED_VALUE"""),"GSW")</f>
        <v>GSW</v>
      </c>
      <c r="E3953" s="164" t="str">
        <f>IFERROR(__xludf.DUMMYFUNCTION("""COMPUTED_VALUE"""),"Post Scorer")</f>
        <v>Post Scorer</v>
      </c>
      <c r="F3953" s="164">
        <f>IFERROR(__xludf.DUMMYFUNCTION("""COMPUTED_VALUE"""),418.618333333333)</f>
        <v>418.6183333</v>
      </c>
      <c r="G3953" s="163">
        <f>IFERROR(__xludf.DUMMYFUNCTION("""COMPUTED_VALUE"""),20.0)</f>
        <v>20</v>
      </c>
      <c r="H3953" s="163" t="str">
        <f>IFERROR(__xludf.DUMMYFUNCTION("""COMPUTED_VALUE"""),"C")</f>
        <v>C</v>
      </c>
      <c r="I3953" s="163">
        <f>IFERROR(__xludf.DUMMYFUNCTION("""COMPUTED_VALUE"""),19.0)</f>
        <v>19</v>
      </c>
      <c r="J3953" s="165">
        <f>IFERROR(__xludf.DUMMYFUNCTION("""COMPUTED_VALUE"""),-0.784414260974953)</f>
        <v>-0.784414261</v>
      </c>
      <c r="K3953" s="165">
        <f>IFERROR(__xludf.DUMMYFUNCTION("""COMPUTED_VALUE"""),-1.55985575285649)</f>
        <v>-1.559855753</v>
      </c>
      <c r="L3953" s="165">
        <f>IFERROR(__xludf.DUMMYFUNCTION("""COMPUTED_VALUE"""),0.775441491881538)</f>
        <v>0.7754414919</v>
      </c>
      <c r="M3953" s="166">
        <f t="shared" si="2"/>
        <v>0.4241751312</v>
      </c>
      <c r="N3953" s="167">
        <f t="shared" si="3"/>
        <v>20.93091667</v>
      </c>
      <c r="O3953" s="163">
        <f t="shared" ref="O3953:Q3953" si="3957">rank(I3953,I:I)</f>
        <v>3945</v>
      </c>
      <c r="P3953" s="163">
        <f t="shared" si="3957"/>
        <v>2253</v>
      </c>
      <c r="Q3953" s="163">
        <f t="shared" si="3957"/>
        <v>3409</v>
      </c>
      <c r="R3953" s="163">
        <f>IFERROR(__xludf.DUMMYFUNCTION("RANK(M3953,filter(M:M,C:C=C3953))"),211.0)</f>
        <v>211</v>
      </c>
      <c r="S3953" s="161" t="b">
        <f t="shared" si="5"/>
        <v>0</v>
      </c>
      <c r="T3953" s="161" t="b">
        <f t="array" ref="T3953">index('Query Tool'!B:B,match(H3953,'Query Tool'!C:C,0))</f>
        <v>1</v>
      </c>
      <c r="U3953" s="161" t="b">
        <f t="array" ref="U3953">index('Query Tool'!B:B,match(C3953,'Query Tool'!C:C,0))</f>
        <v>1</v>
      </c>
      <c r="V3953" s="161" t="b">
        <f>F3953&gt;='Query Tool'!C$32</f>
        <v>0</v>
      </c>
      <c r="W3953" s="161" t="b">
        <f t="array" ref="W3953">index(Dropdowns!B:B,match(I3953,Dropdowns!A:A,0))</f>
        <v>1</v>
      </c>
      <c r="X3953" s="161" t="b">
        <f t="array" ref="X3953">index('Query Tool'!B:B,match(D3953,'Query Tool'!C:C,0))</f>
        <v>1</v>
      </c>
      <c r="Y3953" s="161" t="str">
        <f t="shared" si="6"/>
        <v>wisemja01,2020-21</v>
      </c>
      <c r="Z3953" s="168" t="str">
        <f t="array" ref="Z3953">iferror(index(I:I,match($A3953&amp;","&amp;index('Year Conversion'!$A:$A,match($C3953,'Year Conversion'!$B:$B,0)),$Y:$Y,0))-I3953,"")</f>
        <v/>
      </c>
      <c r="AA3953" s="168" t="str">
        <f t="array" ref="AA3953">iferror(index(J:J,match($A3953&amp;","&amp;index('Year Conversion'!$A:$A,match($C3953,'Year Conversion'!$B:$B,0)),$Y:$Y,0))-J3953,"")</f>
        <v/>
      </c>
      <c r="AB3953" s="168" t="str">
        <f t="array" ref="AB3953">iferror(index(K:K,match($A3953&amp;","&amp;index('Year Conversion'!$A:$A,match($C3953,'Year Conversion'!$B:$B,0)),$Y:$Y,0))-K3953,"")</f>
        <v/>
      </c>
      <c r="AC3953" s="168" t="str">
        <f t="shared" si="7"/>
        <v>GSW,2020-21</v>
      </c>
    </row>
    <row r="3954">
      <c r="A3954" s="161" t="str">
        <f>IFERROR(__xludf.DUMMYFUNCTION("""COMPUTED_VALUE"""),"hayeski01")</f>
        <v>hayeski01</v>
      </c>
      <c r="B3954" s="161" t="str">
        <f>IFERROR(__xludf.DUMMYFUNCTION("""COMPUTED_VALUE"""),"Killian Hayes")</f>
        <v>Killian Hayes</v>
      </c>
      <c r="C3954" s="162" t="str">
        <f>IFERROR(__xludf.DUMMYFUNCTION("""COMPUTED_VALUE"""),"2020-21")</f>
        <v>2020-21</v>
      </c>
      <c r="D3954" s="163" t="str">
        <f>IFERROR(__xludf.DUMMYFUNCTION("""COMPUTED_VALUE"""),"DET")</f>
        <v>DET</v>
      </c>
      <c r="E3954" s="164" t="str">
        <f>IFERROR(__xludf.DUMMYFUNCTION("""COMPUTED_VALUE"""),"Primary Ball Handler")</f>
        <v>Primary Ball Handler</v>
      </c>
      <c r="F3954" s="164">
        <f>IFERROR(__xludf.DUMMYFUNCTION("""COMPUTED_VALUE"""),147.833333333333)</f>
        <v>147.8333333</v>
      </c>
      <c r="G3954" s="163">
        <f>IFERROR(__xludf.DUMMYFUNCTION("""COMPUTED_VALUE"""),7.0)</f>
        <v>7</v>
      </c>
      <c r="H3954" s="163" t="str">
        <f>IFERROR(__xludf.DUMMYFUNCTION("""COMPUTED_VALUE"""),"PG")</f>
        <v>PG</v>
      </c>
      <c r="I3954" s="163">
        <f>IFERROR(__xludf.DUMMYFUNCTION("""COMPUTED_VALUE"""),19.0)</f>
        <v>19</v>
      </c>
      <c r="J3954" s="165">
        <f>IFERROR(__xludf.DUMMYFUNCTION("""COMPUTED_VALUE"""),-1.79786795394744)</f>
        <v>-1.797867954</v>
      </c>
      <c r="K3954" s="165">
        <f>IFERROR(__xludf.DUMMYFUNCTION("""COMPUTED_VALUE"""),-1.00898712449755)</f>
        <v>-1.008987124</v>
      </c>
      <c r="L3954" s="165">
        <f>IFERROR(__xludf.DUMMYFUNCTION("""COMPUTED_VALUE"""),-0.788880829449892)</f>
        <v>-0.7888808294</v>
      </c>
      <c r="M3954" s="166">
        <f t="shared" si="2"/>
        <v>0.04952061817</v>
      </c>
      <c r="N3954" s="167">
        <f t="shared" si="3"/>
        <v>21.11904762</v>
      </c>
      <c r="O3954" s="163">
        <f t="shared" ref="O3954:Q3954" si="3958">rank(I3954,I:I)</f>
        <v>3945</v>
      </c>
      <c r="P3954" s="163">
        <f t="shared" si="3958"/>
        <v>3329</v>
      </c>
      <c r="Q3954" s="163">
        <f t="shared" si="3958"/>
        <v>2816</v>
      </c>
      <c r="R3954" s="163">
        <f>IFERROR(__xludf.DUMMYFUNCTION("RANK(M3954,filter(M:M,C:C=C3954))"),382.0)</f>
        <v>382</v>
      </c>
      <c r="S3954" s="161" t="b">
        <f t="shared" si="5"/>
        <v>0</v>
      </c>
      <c r="T3954" s="161" t="b">
        <f t="array" ref="T3954">index('Query Tool'!B:B,match(H3954,'Query Tool'!C:C,0))</f>
        <v>1</v>
      </c>
      <c r="U3954" s="161" t="b">
        <f t="array" ref="U3954">index('Query Tool'!B:B,match(C3954,'Query Tool'!C:C,0))</f>
        <v>1</v>
      </c>
      <c r="V3954" s="161" t="b">
        <f>F3954&gt;='Query Tool'!C$32</f>
        <v>0</v>
      </c>
      <c r="W3954" s="161" t="b">
        <f t="array" ref="W3954">index(Dropdowns!B:B,match(I3954,Dropdowns!A:A,0))</f>
        <v>1</v>
      </c>
      <c r="X3954" s="161" t="b">
        <f t="array" ref="X3954">index('Query Tool'!B:B,match(D3954,'Query Tool'!C:C,0))</f>
        <v>1</v>
      </c>
      <c r="Y3954" s="161" t="str">
        <f t="shared" si="6"/>
        <v>hayeski01,2020-21</v>
      </c>
      <c r="Z3954" s="168" t="str">
        <f t="array" ref="Z3954">iferror(index(I:I,match($A3954&amp;","&amp;index('Year Conversion'!$A:$A,match($C3954,'Year Conversion'!$B:$B,0)),$Y:$Y,0))-I3954,"")</f>
        <v/>
      </c>
      <c r="AA3954" s="168" t="str">
        <f t="array" ref="AA3954">iferror(index(J:J,match($A3954&amp;","&amp;index('Year Conversion'!$A:$A,match($C3954,'Year Conversion'!$B:$B,0)),$Y:$Y,0))-J3954,"")</f>
        <v/>
      </c>
      <c r="AB3954" s="168" t="str">
        <f t="array" ref="AB3954">iferror(index(K:K,match($A3954&amp;","&amp;index('Year Conversion'!$A:$A,match($C3954,'Year Conversion'!$B:$B,0)),$Y:$Y,0))-K3954,"")</f>
        <v/>
      </c>
      <c r="AC3954" s="168" t="str">
        <f t="shared" si="7"/>
        <v>DET,2020-21</v>
      </c>
    </row>
    <row r="3955">
      <c r="A3955" s="161" t="str">
        <f>IFERROR(__xludf.DUMMYFUNCTION("""COMPUTED_VALUE"""),"avdijde01")</f>
        <v>avdijde01</v>
      </c>
      <c r="B3955" s="161" t="str">
        <f>IFERROR(__xludf.DUMMYFUNCTION("""COMPUTED_VALUE"""),"Deni Avdija")</f>
        <v>Deni Avdija</v>
      </c>
      <c r="C3955" s="162" t="str">
        <f>IFERROR(__xludf.DUMMYFUNCTION("""COMPUTED_VALUE"""),"2020-21")</f>
        <v>2020-21</v>
      </c>
      <c r="D3955" s="163" t="str">
        <f>IFERROR(__xludf.DUMMYFUNCTION("""COMPUTED_VALUE"""),"WAS")</f>
        <v>WAS</v>
      </c>
      <c r="E3955" s="164" t="str">
        <f>IFERROR(__xludf.DUMMYFUNCTION("""COMPUTED_VALUE"""),"Stationary Shooter")</f>
        <v>Stationary Shooter</v>
      </c>
      <c r="F3955" s="164">
        <f>IFERROR(__xludf.DUMMYFUNCTION("""COMPUTED_VALUE"""),514.006666666667)</f>
        <v>514.0066667</v>
      </c>
      <c r="G3955" s="163">
        <f>IFERROR(__xludf.DUMMYFUNCTION("""COMPUTED_VALUE"""),23.0)</f>
        <v>23</v>
      </c>
      <c r="H3955" s="163" t="str">
        <f>IFERROR(__xludf.DUMMYFUNCTION("""COMPUTED_VALUE"""),"SF")</f>
        <v>SF</v>
      </c>
      <c r="I3955" s="163">
        <f>IFERROR(__xludf.DUMMYFUNCTION("""COMPUTED_VALUE"""),20.0)</f>
        <v>20</v>
      </c>
      <c r="J3955" s="165">
        <f>IFERROR(__xludf.DUMMYFUNCTION("""COMPUTED_VALUE"""),-0.829616242729335)</f>
        <v>-0.8296162427</v>
      </c>
      <c r="K3955" s="165">
        <f>IFERROR(__xludf.DUMMYFUNCTION("""COMPUTED_VALUE"""),-1.61859158887542)</f>
        <v>-1.618591589</v>
      </c>
      <c r="L3955" s="165">
        <f>IFERROR(__xludf.DUMMYFUNCTION("""COMPUTED_VALUE"""),0.78897534614609)</f>
        <v>0.7889753461</v>
      </c>
      <c r="M3955" s="166">
        <f t="shared" si="2"/>
        <v>0.5052079057</v>
      </c>
      <c r="N3955" s="167">
        <f t="shared" si="3"/>
        <v>22.34811594</v>
      </c>
      <c r="O3955" s="163">
        <f t="shared" ref="O3955:Q3955" si="3959">rank(I3955,I:I)</f>
        <v>3770</v>
      </c>
      <c r="P3955" s="163">
        <f t="shared" si="3959"/>
        <v>2324</v>
      </c>
      <c r="Q3955" s="163">
        <f t="shared" si="3959"/>
        <v>3457</v>
      </c>
      <c r="R3955" s="163">
        <f>IFERROR(__xludf.DUMMYFUNCTION("RANK(M3955,filter(M:M,C:C=C3955))"),189.0)</f>
        <v>189</v>
      </c>
      <c r="S3955" s="161" t="b">
        <f t="shared" si="5"/>
        <v>1</v>
      </c>
      <c r="T3955" s="161" t="b">
        <f t="array" ref="T3955">index('Query Tool'!B:B,match(H3955,'Query Tool'!C:C,0))</f>
        <v>1</v>
      </c>
      <c r="U3955" s="161" t="b">
        <f t="array" ref="U3955">index('Query Tool'!B:B,match(C3955,'Query Tool'!C:C,0))</f>
        <v>1</v>
      </c>
      <c r="V3955" s="161" t="b">
        <f>F3955&gt;='Query Tool'!C$32</f>
        <v>1</v>
      </c>
      <c r="W3955" s="161" t="b">
        <f t="array" ref="W3955">index(Dropdowns!B:B,match(I3955,Dropdowns!A:A,0))</f>
        <v>1</v>
      </c>
      <c r="X3955" s="161" t="b">
        <f t="array" ref="X3955">index('Query Tool'!B:B,match(D3955,'Query Tool'!C:C,0))</f>
        <v>1</v>
      </c>
      <c r="Y3955" s="161" t="str">
        <f t="shared" si="6"/>
        <v>avdijde01,2020-21</v>
      </c>
      <c r="Z3955" s="168" t="str">
        <f t="array" ref="Z3955">iferror(index(I:I,match($A3955&amp;","&amp;index('Year Conversion'!$A:$A,match($C3955,'Year Conversion'!$B:$B,0)),$Y:$Y,0))-I3955,"")</f>
        <v/>
      </c>
      <c r="AA3955" s="168" t="str">
        <f t="array" ref="AA3955">iferror(index(J:J,match($A3955&amp;","&amp;index('Year Conversion'!$A:$A,match($C3955,'Year Conversion'!$B:$B,0)),$Y:$Y,0))-J3955,"")</f>
        <v/>
      </c>
      <c r="AB3955" s="168" t="str">
        <f t="array" ref="AB3955">iferror(index(K:K,match($A3955&amp;","&amp;index('Year Conversion'!$A:$A,match($C3955,'Year Conversion'!$B:$B,0)),$Y:$Y,0))-K3955,"")</f>
        <v/>
      </c>
      <c r="AC3955" s="168" t="str">
        <f t="shared" si="7"/>
        <v>WAS,2020-21</v>
      </c>
    </row>
    <row r="3956">
      <c r="A3956" s="161" t="str">
        <f>IFERROR(__xludf.DUMMYFUNCTION("""COMPUTED_VALUE"""),"toppiob01")</f>
        <v>toppiob01</v>
      </c>
      <c r="B3956" s="161" t="str">
        <f>IFERROR(__xludf.DUMMYFUNCTION("""COMPUTED_VALUE"""),"Obi Toppin")</f>
        <v>Obi Toppin</v>
      </c>
      <c r="C3956" s="162" t="str">
        <f>IFERROR(__xludf.DUMMYFUNCTION("""COMPUTED_VALUE"""),"2020-21")</f>
        <v>2020-21</v>
      </c>
      <c r="D3956" s="163" t="str">
        <f>IFERROR(__xludf.DUMMYFUNCTION("""COMPUTED_VALUE"""),"NYK")</f>
        <v>NYK</v>
      </c>
      <c r="E3956" s="164" t="str">
        <f>IFERROR(__xludf.DUMMYFUNCTION("""COMPUTED_VALUE"""),"Versatile Big")</f>
        <v>Versatile Big</v>
      </c>
      <c r="F3956" s="164">
        <f>IFERROR(__xludf.DUMMYFUNCTION("""COMPUTED_VALUE"""),249.041666666667)</f>
        <v>249.0416667</v>
      </c>
      <c r="G3956" s="163">
        <f>IFERROR(__xludf.DUMMYFUNCTION("""COMPUTED_VALUE"""),21.0)</f>
        <v>21</v>
      </c>
      <c r="H3956" s="163" t="str">
        <f>IFERROR(__xludf.DUMMYFUNCTION("""COMPUTED_VALUE"""),"PF")</f>
        <v>PF</v>
      </c>
      <c r="I3956" s="163">
        <f>IFERROR(__xludf.DUMMYFUNCTION("""COMPUTED_VALUE"""),22.0)</f>
        <v>22</v>
      </c>
      <c r="J3956" s="165">
        <f>IFERROR(__xludf.DUMMYFUNCTION("""COMPUTED_VALUE"""),-1.50350727668174)</f>
        <v>-1.503507277</v>
      </c>
      <c r="K3956" s="165">
        <f>IFERROR(__xludf.DUMMYFUNCTION("""COMPUTED_VALUE"""),-1.08117733392498)</f>
        <v>-1.081177334</v>
      </c>
      <c r="L3956" s="165">
        <f>IFERROR(__xludf.DUMMYFUNCTION("""COMPUTED_VALUE"""),-0.422329942756765)</f>
        <v>-0.4223299428</v>
      </c>
      <c r="M3956" s="166">
        <f t="shared" si="2"/>
        <v>0.1322880945</v>
      </c>
      <c r="N3956" s="167">
        <f t="shared" si="3"/>
        <v>11.85912698</v>
      </c>
      <c r="O3956" s="163">
        <f t="shared" ref="O3956:Q3956" si="3960">rank(I3956,I:I)</f>
        <v>3178</v>
      </c>
      <c r="P3956" s="163">
        <f t="shared" si="3960"/>
        <v>3060</v>
      </c>
      <c r="Q3956" s="163">
        <f t="shared" si="3960"/>
        <v>2911</v>
      </c>
      <c r="R3956" s="163">
        <f>IFERROR(__xludf.DUMMYFUNCTION("RANK(M3956,filter(M:M,C:C=C3956))"),303.0)</f>
        <v>303</v>
      </c>
      <c r="S3956" s="161" t="b">
        <f t="shared" si="5"/>
        <v>0</v>
      </c>
      <c r="T3956" s="161" t="b">
        <f t="array" ref="T3956">index('Query Tool'!B:B,match(H3956,'Query Tool'!C:C,0))</f>
        <v>1</v>
      </c>
      <c r="U3956" s="161" t="b">
        <f t="array" ref="U3956">index('Query Tool'!B:B,match(C3956,'Query Tool'!C:C,0))</f>
        <v>1</v>
      </c>
      <c r="V3956" s="161" t="b">
        <f>F3956&gt;='Query Tool'!C$32</f>
        <v>0</v>
      </c>
      <c r="W3956" s="161" t="b">
        <f t="array" ref="W3956">index(Dropdowns!B:B,match(I3956,Dropdowns!A:A,0))</f>
        <v>1</v>
      </c>
      <c r="X3956" s="161" t="b">
        <f t="array" ref="X3956">index('Query Tool'!B:B,match(D3956,'Query Tool'!C:C,0))</f>
        <v>1</v>
      </c>
      <c r="Y3956" s="161" t="str">
        <f t="shared" si="6"/>
        <v>toppiob01,2020-21</v>
      </c>
      <c r="Z3956" s="168" t="str">
        <f t="array" ref="Z3956">iferror(index(I:I,match($A3956&amp;","&amp;index('Year Conversion'!$A:$A,match($C3956,'Year Conversion'!$B:$B,0)),$Y:$Y,0))-I3956,"")</f>
        <v/>
      </c>
      <c r="AA3956" s="168" t="str">
        <f t="array" ref="AA3956">iferror(index(J:J,match($A3956&amp;","&amp;index('Year Conversion'!$A:$A,match($C3956,'Year Conversion'!$B:$B,0)),$Y:$Y,0))-J3956,"")</f>
        <v/>
      </c>
      <c r="AB3956" s="168" t="str">
        <f t="array" ref="AB3956">iferror(index(K:K,match($A3956&amp;","&amp;index('Year Conversion'!$A:$A,match($C3956,'Year Conversion'!$B:$B,0)),$Y:$Y,0))-K3956,"")</f>
        <v/>
      </c>
      <c r="AC3956" s="168" t="str">
        <f t="shared" si="7"/>
        <v>NYK,2020-21</v>
      </c>
    </row>
    <row r="3957">
      <c r="A3957" s="161" t="str">
        <f>IFERROR(__xludf.DUMMYFUNCTION("""COMPUTED_VALUE"""),"okongon01")</f>
        <v>okongon01</v>
      </c>
      <c r="B3957" s="161" t="str">
        <f>IFERROR(__xludf.DUMMYFUNCTION("""COMPUTED_VALUE"""),"Onyeka Okongwu")</f>
        <v>Onyeka Okongwu</v>
      </c>
      <c r="C3957" s="162" t="str">
        <f>IFERROR(__xludf.DUMMYFUNCTION("""COMPUTED_VALUE"""),"2020-21")</f>
        <v>2020-21</v>
      </c>
      <c r="D3957" s="163" t="str">
        <f>IFERROR(__xludf.DUMMYFUNCTION("""COMPUTED_VALUE"""),"ATL")</f>
        <v>ATL</v>
      </c>
      <c r="E3957" s="164" t="str">
        <f>IFERROR(__xludf.DUMMYFUNCTION("""COMPUTED_VALUE"""),"Post Scorer")</f>
        <v>Post Scorer</v>
      </c>
      <c r="F3957" s="164">
        <f>IFERROR(__xludf.DUMMYFUNCTION("""COMPUTED_VALUE"""),106.356666666667)</f>
        <v>106.3566667</v>
      </c>
      <c r="G3957" s="163">
        <f>IFERROR(__xludf.DUMMYFUNCTION("""COMPUTED_VALUE"""),10.0)</f>
        <v>10</v>
      </c>
      <c r="H3957" s="163" t="str">
        <f>IFERROR(__xludf.DUMMYFUNCTION("""COMPUTED_VALUE"""),"C")</f>
        <v>C</v>
      </c>
      <c r="I3957" s="163">
        <f>IFERROR(__xludf.DUMMYFUNCTION("""COMPUTED_VALUE"""),20.0)</f>
        <v>20</v>
      </c>
      <c r="J3957" s="165">
        <f>IFERROR(__xludf.DUMMYFUNCTION("""COMPUTED_VALUE"""),-0.521611083604794)</f>
        <v>-0.5216110836</v>
      </c>
      <c r="K3957" s="165">
        <f>IFERROR(__xludf.DUMMYFUNCTION("""COMPUTED_VALUE"""),-0.639299429664592)</f>
        <v>-0.6392994297</v>
      </c>
      <c r="L3957" s="165">
        <f>IFERROR(__xludf.DUMMYFUNCTION("""COMPUTED_VALUE"""),0.117688346059798)</f>
        <v>0.1176883461</v>
      </c>
      <c r="M3957" s="166">
        <f t="shared" si="2"/>
        <v>0.1265787536</v>
      </c>
      <c r="N3957" s="167">
        <f t="shared" si="3"/>
        <v>10.63566667</v>
      </c>
      <c r="O3957" s="163">
        <f t="shared" ref="O3957:Q3957" si="3961">rank(I3957,I:I)</f>
        <v>3770</v>
      </c>
      <c r="P3957" s="163">
        <f t="shared" si="3961"/>
        <v>1885</v>
      </c>
      <c r="Q3957" s="163">
        <f t="shared" si="3961"/>
        <v>2320</v>
      </c>
      <c r="R3957" s="163">
        <f>IFERROR(__xludf.DUMMYFUNCTION("RANK(M3957,filter(M:M,C:C=C3957))"),311.0)</f>
        <v>311</v>
      </c>
      <c r="S3957" s="161" t="b">
        <f t="shared" si="5"/>
        <v>0</v>
      </c>
      <c r="T3957" s="161" t="b">
        <f t="array" ref="T3957">index('Query Tool'!B:B,match(H3957,'Query Tool'!C:C,0))</f>
        <v>1</v>
      </c>
      <c r="U3957" s="161" t="b">
        <f t="array" ref="U3957">index('Query Tool'!B:B,match(C3957,'Query Tool'!C:C,0))</f>
        <v>1</v>
      </c>
      <c r="V3957" s="161" t="b">
        <f>F3957&gt;='Query Tool'!C$32</f>
        <v>0</v>
      </c>
      <c r="W3957" s="161" t="b">
        <f t="array" ref="W3957">index(Dropdowns!B:B,match(I3957,Dropdowns!A:A,0))</f>
        <v>1</v>
      </c>
      <c r="X3957" s="161" t="b">
        <f t="array" ref="X3957">index('Query Tool'!B:B,match(D3957,'Query Tool'!C:C,0))</f>
        <v>1</v>
      </c>
      <c r="Y3957" s="161" t="str">
        <f t="shared" si="6"/>
        <v>okongon01,2020-21</v>
      </c>
      <c r="Z3957" s="168" t="str">
        <f t="array" ref="Z3957">iferror(index(I:I,match($A3957&amp;","&amp;index('Year Conversion'!$A:$A,match($C3957,'Year Conversion'!$B:$B,0)),$Y:$Y,0))-I3957,"")</f>
        <v/>
      </c>
      <c r="AA3957" s="168" t="str">
        <f t="array" ref="AA3957">iferror(index(J:J,match($A3957&amp;","&amp;index('Year Conversion'!$A:$A,match($C3957,'Year Conversion'!$B:$B,0)),$Y:$Y,0))-J3957,"")</f>
        <v/>
      </c>
      <c r="AB3957" s="168" t="str">
        <f t="array" ref="AB3957">iferror(index(K:K,match($A3957&amp;","&amp;index('Year Conversion'!$A:$A,match($C3957,'Year Conversion'!$B:$B,0)),$Y:$Y,0))-K3957,"")</f>
        <v/>
      </c>
      <c r="AC3957" s="168" t="str">
        <f t="shared" si="7"/>
        <v>ATL,2020-21</v>
      </c>
    </row>
    <row r="3958">
      <c r="A3958" s="161" t="str">
        <f>IFERROR(__xludf.DUMMYFUNCTION("""COMPUTED_VALUE"""),"halibty01")</f>
        <v>halibty01</v>
      </c>
      <c r="B3958" s="161" t="str">
        <f>IFERROR(__xludf.DUMMYFUNCTION("""COMPUTED_VALUE"""),"Tyrese Haliburton")</f>
        <v>Tyrese Haliburton</v>
      </c>
      <c r="C3958" s="162" t="str">
        <f>IFERROR(__xludf.DUMMYFUNCTION("""COMPUTED_VALUE"""),"2020-21")</f>
        <v>2020-21</v>
      </c>
      <c r="D3958" s="163" t="str">
        <f>IFERROR(__xludf.DUMMYFUNCTION("""COMPUTED_VALUE"""),"SAC")</f>
        <v>SAC</v>
      </c>
      <c r="E3958" s="164" t="str">
        <f>IFERROR(__xludf.DUMMYFUNCTION("""COMPUTED_VALUE"""),"Primary Ball Handler")</f>
        <v>Primary Ball Handler</v>
      </c>
      <c r="F3958" s="164">
        <f>IFERROR(__xludf.DUMMYFUNCTION("""COMPUTED_VALUE"""),830.976666666667)</f>
        <v>830.9766667</v>
      </c>
      <c r="G3958" s="163">
        <f>IFERROR(__xludf.DUMMYFUNCTION("""COMPUTED_VALUE"""),28.0)</f>
        <v>28</v>
      </c>
      <c r="H3958" s="163" t="str">
        <f>IFERROR(__xludf.DUMMYFUNCTION("""COMPUTED_VALUE"""),"PG")</f>
        <v>PG</v>
      </c>
      <c r="I3958" s="163">
        <f>IFERROR(__xludf.DUMMYFUNCTION("""COMPUTED_VALUE"""),20.0)</f>
        <v>20</v>
      </c>
      <c r="J3958" s="165">
        <f>IFERROR(__xludf.DUMMYFUNCTION("""COMPUTED_VALUE"""),-0.697720601939866)</f>
        <v>-0.6977206019</v>
      </c>
      <c r="K3958" s="165">
        <f>IFERROR(__xludf.DUMMYFUNCTION("""COMPUTED_VALUE"""),0.930490520937351)</f>
        <v>0.9304905209</v>
      </c>
      <c r="L3958" s="165">
        <f>IFERROR(__xludf.DUMMYFUNCTION("""COMPUTED_VALUE"""),-1.62821112287722)</f>
        <v>-1.628211123</v>
      </c>
      <c r="M3958" s="166">
        <f t="shared" si="2"/>
        <v>0.8904649577</v>
      </c>
      <c r="N3958" s="167">
        <f t="shared" si="3"/>
        <v>29.6777381</v>
      </c>
      <c r="O3958" s="163">
        <f t="shared" ref="O3958:Q3958" si="3962">rank(I3958,I:I)</f>
        <v>3770</v>
      </c>
      <c r="P3958" s="163">
        <f t="shared" si="3962"/>
        <v>2135</v>
      </c>
      <c r="Q3958" s="163">
        <f t="shared" si="3962"/>
        <v>539</v>
      </c>
      <c r="R3958" s="163">
        <f>IFERROR(__xludf.DUMMYFUNCTION("RANK(M3958,filter(M:M,C:C=C3958))"),132.0)</f>
        <v>132</v>
      </c>
      <c r="S3958" s="161" t="b">
        <f t="shared" si="5"/>
        <v>1</v>
      </c>
      <c r="T3958" s="161" t="b">
        <f t="array" ref="T3958">index('Query Tool'!B:B,match(H3958,'Query Tool'!C:C,0))</f>
        <v>1</v>
      </c>
      <c r="U3958" s="161" t="b">
        <f t="array" ref="U3958">index('Query Tool'!B:B,match(C3958,'Query Tool'!C:C,0))</f>
        <v>1</v>
      </c>
      <c r="V3958" s="161" t="b">
        <f>F3958&gt;='Query Tool'!C$32</f>
        <v>1</v>
      </c>
      <c r="W3958" s="161" t="b">
        <f t="array" ref="W3958">index(Dropdowns!B:B,match(I3958,Dropdowns!A:A,0))</f>
        <v>1</v>
      </c>
      <c r="X3958" s="161" t="b">
        <f t="array" ref="X3958">index('Query Tool'!B:B,match(D3958,'Query Tool'!C:C,0))</f>
        <v>1</v>
      </c>
      <c r="Y3958" s="161" t="str">
        <f t="shared" si="6"/>
        <v>halibty01,2020-21</v>
      </c>
      <c r="Z3958" s="168" t="str">
        <f t="array" ref="Z3958">iferror(index(I:I,match($A3958&amp;","&amp;index('Year Conversion'!$A:$A,match($C3958,'Year Conversion'!$B:$B,0)),$Y:$Y,0))-I3958,"")</f>
        <v/>
      </c>
      <c r="AA3958" s="168" t="str">
        <f t="array" ref="AA3958">iferror(index(J:J,match($A3958&amp;","&amp;index('Year Conversion'!$A:$A,match($C3958,'Year Conversion'!$B:$B,0)),$Y:$Y,0))-J3958,"")</f>
        <v/>
      </c>
      <c r="AB3958" s="168" t="str">
        <f t="array" ref="AB3958">iferror(index(K:K,match($A3958&amp;","&amp;index('Year Conversion'!$A:$A,match($C3958,'Year Conversion'!$B:$B,0)),$Y:$Y,0))-K3958,"")</f>
        <v/>
      </c>
      <c r="AC3958" s="168" t="str">
        <f t="shared" si="7"/>
        <v>SAC,2020-21</v>
      </c>
    </row>
    <row r="3959">
      <c r="A3959" s="161" t="str">
        <f>IFERROR(__xludf.DUMMYFUNCTION("""COMPUTED_VALUE"""),"vassede01")</f>
        <v>vassede01</v>
      </c>
      <c r="B3959" s="161" t="str">
        <f>IFERROR(__xludf.DUMMYFUNCTION("""COMPUTED_VALUE"""),"Devin Vassell")</f>
        <v>Devin Vassell</v>
      </c>
      <c r="C3959" s="162" t="str">
        <f>IFERROR(__xludf.DUMMYFUNCTION("""COMPUTED_VALUE"""),"2020-21")</f>
        <v>2020-21</v>
      </c>
      <c r="D3959" s="163" t="str">
        <f>IFERROR(__xludf.DUMMYFUNCTION("""COMPUTED_VALUE"""),"SAS")</f>
        <v>SAS</v>
      </c>
      <c r="E3959" s="164" t="str">
        <f>IFERROR(__xludf.DUMMYFUNCTION("""COMPUTED_VALUE"""),"Stationary Shooter")</f>
        <v>Stationary Shooter</v>
      </c>
      <c r="F3959" s="164">
        <f>IFERROR(__xludf.DUMMYFUNCTION("""COMPUTED_VALUE"""),450.965)</f>
        <v>450.965</v>
      </c>
      <c r="G3959" s="163">
        <f>IFERROR(__xludf.DUMMYFUNCTION("""COMPUTED_VALUE"""),26.0)</f>
        <v>26</v>
      </c>
      <c r="H3959" s="163" t="str">
        <f>IFERROR(__xludf.DUMMYFUNCTION("""COMPUTED_VALUE"""),"SF")</f>
        <v>SF</v>
      </c>
      <c r="I3959" s="163">
        <f>IFERROR(__xludf.DUMMYFUNCTION("""COMPUTED_VALUE"""),20.0)</f>
        <v>20</v>
      </c>
      <c r="J3959" s="165">
        <f>IFERROR(__xludf.DUMMYFUNCTION("""COMPUTED_VALUE"""),-0.290684297830943)</f>
        <v>-0.2906842978</v>
      </c>
      <c r="K3959" s="165">
        <f>IFERROR(__xludf.DUMMYFUNCTION("""COMPUTED_VALUE"""),-1.50423144017967)</f>
        <v>-1.50423144</v>
      </c>
      <c r="L3959" s="165">
        <f>IFERROR(__xludf.DUMMYFUNCTION("""COMPUTED_VALUE"""),1.21354714234872)</f>
        <v>1.213547142</v>
      </c>
      <c r="M3959" s="166">
        <f t="shared" si="2"/>
        <v>0.6068695869</v>
      </c>
      <c r="N3959" s="167">
        <f t="shared" si="3"/>
        <v>17.34480769</v>
      </c>
      <c r="O3959" s="163">
        <f t="shared" ref="O3959:Q3959" si="3963">rank(I3959,I:I)</f>
        <v>3770</v>
      </c>
      <c r="P3959" s="163">
        <f t="shared" si="3963"/>
        <v>1598</v>
      </c>
      <c r="Q3959" s="163">
        <f t="shared" si="3963"/>
        <v>3358</v>
      </c>
      <c r="R3959" s="163">
        <f>IFERROR(__xludf.DUMMYFUNCTION("RANK(M3959,filter(M:M,C:C=C3959))"),168.0)</f>
        <v>168</v>
      </c>
      <c r="S3959" s="161" t="b">
        <f t="shared" si="5"/>
        <v>0</v>
      </c>
      <c r="T3959" s="161" t="b">
        <f t="array" ref="T3959">index('Query Tool'!B:B,match(H3959,'Query Tool'!C:C,0))</f>
        <v>1</v>
      </c>
      <c r="U3959" s="161" t="b">
        <f t="array" ref="U3959">index('Query Tool'!B:B,match(C3959,'Query Tool'!C:C,0))</f>
        <v>1</v>
      </c>
      <c r="V3959" s="161" t="b">
        <f>F3959&gt;='Query Tool'!C$32</f>
        <v>0</v>
      </c>
      <c r="W3959" s="161" t="b">
        <f t="array" ref="W3959">index(Dropdowns!B:B,match(I3959,Dropdowns!A:A,0))</f>
        <v>1</v>
      </c>
      <c r="X3959" s="161" t="b">
        <f t="array" ref="X3959">index('Query Tool'!B:B,match(D3959,'Query Tool'!C:C,0))</f>
        <v>1</v>
      </c>
      <c r="Y3959" s="161" t="str">
        <f t="shared" si="6"/>
        <v>vassede01,2020-21</v>
      </c>
      <c r="Z3959" s="168" t="str">
        <f t="array" ref="Z3959">iferror(index(I:I,match($A3959&amp;","&amp;index('Year Conversion'!$A:$A,match($C3959,'Year Conversion'!$B:$B,0)),$Y:$Y,0))-I3959,"")</f>
        <v/>
      </c>
      <c r="AA3959" s="168" t="str">
        <f t="array" ref="AA3959">iferror(index(J:J,match($A3959&amp;","&amp;index('Year Conversion'!$A:$A,match($C3959,'Year Conversion'!$B:$B,0)),$Y:$Y,0))-J3959,"")</f>
        <v/>
      </c>
      <c r="AB3959" s="168" t="str">
        <f t="array" ref="AB3959">iferror(index(K:K,match($A3959&amp;","&amp;index('Year Conversion'!$A:$A,match($C3959,'Year Conversion'!$B:$B,0)),$Y:$Y,0))-K3959,"")</f>
        <v/>
      </c>
      <c r="AC3959" s="168" t="str">
        <f t="shared" si="7"/>
        <v>SAS,2020-21</v>
      </c>
    </row>
    <row r="3960">
      <c r="A3960" s="161" t="str">
        <f>IFERROR(__xludf.DUMMYFUNCTION("""COMPUTED_VALUE"""),"okorois01")</f>
        <v>okorois01</v>
      </c>
      <c r="B3960" s="161" t="str">
        <f>IFERROR(__xludf.DUMMYFUNCTION("""COMPUTED_VALUE"""),"Isaac Okoro")</f>
        <v>Isaac Okoro</v>
      </c>
      <c r="C3960" s="162" t="str">
        <f>IFERROR(__xludf.DUMMYFUNCTION("""COMPUTED_VALUE"""),"2020-21")</f>
        <v>2020-21</v>
      </c>
      <c r="D3960" s="163" t="str">
        <f>IFERROR(__xludf.DUMMYFUNCTION("""COMPUTED_VALUE"""),"CLE")</f>
        <v>CLE</v>
      </c>
      <c r="E3960" s="164" t="str">
        <f>IFERROR(__xludf.DUMMYFUNCTION("""COMPUTED_VALUE"""),"Stationary Shooter")</f>
        <v>Stationary Shooter</v>
      </c>
      <c r="F3960" s="164">
        <f>IFERROR(__xludf.DUMMYFUNCTION("""COMPUTED_VALUE"""),865.633333333333)</f>
        <v>865.6333333</v>
      </c>
      <c r="G3960" s="163">
        <f>IFERROR(__xludf.DUMMYFUNCTION("""COMPUTED_VALUE"""),26.0)</f>
        <v>26</v>
      </c>
      <c r="H3960" s="163" t="str">
        <f>IFERROR(__xludf.DUMMYFUNCTION("""COMPUTED_VALUE"""),"SG")</f>
        <v>SG</v>
      </c>
      <c r="I3960" s="163">
        <f>IFERROR(__xludf.DUMMYFUNCTION("""COMPUTED_VALUE"""),20.0)</f>
        <v>20</v>
      </c>
      <c r="J3960" s="165">
        <f>IFERROR(__xludf.DUMMYFUNCTION("""COMPUTED_VALUE"""),-4.33028211593658)</f>
        <v>-4.330282116</v>
      </c>
      <c r="K3960" s="165">
        <f>IFERROR(__xludf.DUMMYFUNCTION("""COMPUTED_VALUE"""),-3.44644091431162)</f>
        <v>-3.446440914</v>
      </c>
      <c r="L3960" s="165">
        <f>IFERROR(__xludf.DUMMYFUNCTION("""COMPUTED_VALUE"""),-0.883841201624956)</f>
        <v>-0.8838412016</v>
      </c>
      <c r="M3960" s="166">
        <f t="shared" si="2"/>
        <v>-1.12879962</v>
      </c>
      <c r="N3960" s="167">
        <f t="shared" si="3"/>
        <v>33.29358974</v>
      </c>
      <c r="O3960" s="163">
        <f t="shared" ref="O3960:Q3960" si="3964">rank(I3960,I:I)</f>
        <v>3770</v>
      </c>
      <c r="P3960" s="163">
        <f t="shared" si="3964"/>
        <v>4008</v>
      </c>
      <c r="Q3960" s="163">
        <f t="shared" si="3964"/>
        <v>4005</v>
      </c>
      <c r="R3960" s="163">
        <f>IFERROR(__xludf.DUMMYFUNCTION("RANK(M3960,filter(M:M,C:C=C3960))"),473.0)</f>
        <v>473</v>
      </c>
      <c r="S3960" s="161" t="b">
        <f t="shared" si="5"/>
        <v>1</v>
      </c>
      <c r="T3960" s="161" t="b">
        <f t="array" ref="T3960">index('Query Tool'!B:B,match(H3960,'Query Tool'!C:C,0))</f>
        <v>1</v>
      </c>
      <c r="U3960" s="161" t="b">
        <f t="array" ref="U3960">index('Query Tool'!B:B,match(C3960,'Query Tool'!C:C,0))</f>
        <v>1</v>
      </c>
      <c r="V3960" s="161" t="b">
        <f>F3960&gt;='Query Tool'!C$32</f>
        <v>1</v>
      </c>
      <c r="W3960" s="161" t="b">
        <f t="array" ref="W3960">index(Dropdowns!B:B,match(I3960,Dropdowns!A:A,0))</f>
        <v>1</v>
      </c>
      <c r="X3960" s="161" t="b">
        <f t="array" ref="X3960">index('Query Tool'!B:B,match(D3960,'Query Tool'!C:C,0))</f>
        <v>1</v>
      </c>
      <c r="Y3960" s="161" t="str">
        <f t="shared" si="6"/>
        <v>okorois01,2020-21</v>
      </c>
      <c r="Z3960" s="168" t="str">
        <f t="array" ref="Z3960">iferror(index(I:I,match($A3960&amp;","&amp;index('Year Conversion'!$A:$A,match($C3960,'Year Conversion'!$B:$B,0)),$Y:$Y,0))-I3960,"")</f>
        <v/>
      </c>
      <c r="AA3960" s="168" t="str">
        <f t="array" ref="AA3960">iferror(index(J:J,match($A3960&amp;","&amp;index('Year Conversion'!$A:$A,match($C3960,'Year Conversion'!$B:$B,0)),$Y:$Y,0))-J3960,"")</f>
        <v/>
      </c>
      <c r="AB3960" s="168" t="str">
        <f t="array" ref="AB3960">iferror(index(K:K,match($A3960&amp;","&amp;index('Year Conversion'!$A:$A,match($C3960,'Year Conversion'!$B:$B,0)),$Y:$Y,0))-K3960,"")</f>
        <v/>
      </c>
      <c r="AC3960" s="168" t="str">
        <f t="shared" si="7"/>
        <v>CLE,2020-21</v>
      </c>
    </row>
    <row r="3961">
      <c r="A3961" s="161" t="str">
        <f>IFERROR(__xludf.DUMMYFUNCTION("""COMPUTED_VALUE"""),"willipa01")</f>
        <v>willipa01</v>
      </c>
      <c r="B3961" s="161" t="str">
        <f>IFERROR(__xludf.DUMMYFUNCTION("""COMPUTED_VALUE"""),"Patrick Williams")</f>
        <v>Patrick Williams</v>
      </c>
      <c r="C3961" s="162" t="str">
        <f>IFERROR(__xludf.DUMMYFUNCTION("""COMPUTED_VALUE"""),"2020-21")</f>
        <v>2020-21</v>
      </c>
      <c r="D3961" s="163" t="str">
        <f>IFERROR(__xludf.DUMMYFUNCTION("""COMPUTED_VALUE"""),"CHI")</f>
        <v>CHI</v>
      </c>
      <c r="E3961" s="164" t="str">
        <f>IFERROR(__xludf.DUMMYFUNCTION("""COMPUTED_VALUE"""),"Stationary Shooter")</f>
        <v>Stationary Shooter</v>
      </c>
      <c r="F3961" s="164">
        <f>IFERROR(__xludf.DUMMYFUNCTION("""COMPUTED_VALUE"""),786.251666666667)</f>
        <v>786.2516667</v>
      </c>
      <c r="G3961" s="163">
        <f>IFERROR(__xludf.DUMMYFUNCTION("""COMPUTED_VALUE"""),28.0)</f>
        <v>28</v>
      </c>
      <c r="H3961" s="163" t="str">
        <f>IFERROR(__xludf.DUMMYFUNCTION("""COMPUTED_VALUE"""),"PF")</f>
        <v>PF</v>
      </c>
      <c r="I3961" s="163">
        <f>IFERROR(__xludf.DUMMYFUNCTION("""COMPUTED_VALUE"""),19.0)</f>
        <v>19</v>
      </c>
      <c r="J3961" s="165">
        <f>IFERROR(__xludf.DUMMYFUNCTION("""COMPUTED_VALUE"""),-2.7253426838346)</f>
        <v>-2.725342684</v>
      </c>
      <c r="K3961" s="165">
        <f>IFERROR(__xludf.DUMMYFUNCTION("""COMPUTED_VALUE"""),-2.82188127725229)</f>
        <v>-2.821881277</v>
      </c>
      <c r="L3961" s="165">
        <f>IFERROR(__xludf.DUMMYFUNCTION("""COMPUTED_VALUE"""),0.0965385934176924)</f>
        <v>0.09653859342</v>
      </c>
      <c r="M3961" s="166">
        <f t="shared" si="2"/>
        <v>-0.2177951628</v>
      </c>
      <c r="N3961" s="167">
        <f t="shared" si="3"/>
        <v>28.08041667</v>
      </c>
      <c r="O3961" s="163">
        <f t="shared" ref="O3961:Q3961" si="3965">rank(I3961,I:I)</f>
        <v>3945</v>
      </c>
      <c r="P3961" s="163">
        <f t="shared" si="3965"/>
        <v>3819</v>
      </c>
      <c r="Q3961" s="163">
        <f t="shared" si="3965"/>
        <v>3958</v>
      </c>
      <c r="R3961" s="163">
        <f>IFERROR(__xludf.DUMMYFUNCTION("RANK(M3961,filter(M:M,C:C=C3961))"),460.0)</f>
        <v>460</v>
      </c>
      <c r="S3961" s="161" t="b">
        <f t="shared" si="5"/>
        <v>1</v>
      </c>
      <c r="T3961" s="161" t="b">
        <f t="array" ref="T3961">index('Query Tool'!B:B,match(H3961,'Query Tool'!C:C,0))</f>
        <v>1</v>
      </c>
      <c r="U3961" s="161" t="b">
        <f t="array" ref="U3961">index('Query Tool'!B:B,match(C3961,'Query Tool'!C:C,0))</f>
        <v>1</v>
      </c>
      <c r="V3961" s="161" t="b">
        <f>F3961&gt;='Query Tool'!C$32</f>
        <v>1</v>
      </c>
      <c r="W3961" s="161" t="b">
        <f t="array" ref="W3961">index(Dropdowns!B:B,match(I3961,Dropdowns!A:A,0))</f>
        <v>1</v>
      </c>
      <c r="X3961" s="161" t="b">
        <f t="array" ref="X3961">index('Query Tool'!B:B,match(D3961,'Query Tool'!C:C,0))</f>
        <v>1</v>
      </c>
      <c r="Y3961" s="161" t="str">
        <f t="shared" si="6"/>
        <v>willipa01,2020-21</v>
      </c>
      <c r="Z3961" s="168" t="str">
        <f t="array" ref="Z3961">iferror(index(I:I,match($A3961&amp;","&amp;index('Year Conversion'!$A:$A,match($C3961,'Year Conversion'!$B:$B,0)),$Y:$Y,0))-I3961,"")</f>
        <v/>
      </c>
      <c r="AA3961" s="168" t="str">
        <f t="array" ref="AA3961">iferror(index(J:J,match($A3961&amp;","&amp;index('Year Conversion'!$A:$A,match($C3961,'Year Conversion'!$B:$B,0)),$Y:$Y,0))-J3961,"")</f>
        <v/>
      </c>
      <c r="AB3961" s="168" t="str">
        <f t="array" ref="AB3961">iferror(index(K:K,match($A3961&amp;","&amp;index('Year Conversion'!$A:$A,match($C3961,'Year Conversion'!$B:$B,0)),$Y:$Y,0))-K3961,"")</f>
        <v/>
      </c>
      <c r="AC3961" s="168" t="str">
        <f t="shared" si="7"/>
        <v>CHI,2020-21</v>
      </c>
    </row>
    <row r="3962">
      <c r="A3962" s="161" t="str">
        <f>IFERROR(__xludf.DUMMYFUNCTION("""COMPUTED_VALUE"""),"achiupr01")</f>
        <v>achiupr01</v>
      </c>
      <c r="B3962" s="161" t="str">
        <f>IFERROR(__xludf.DUMMYFUNCTION("""COMPUTED_VALUE"""),"Precious Achiuwa")</f>
        <v>Precious Achiuwa</v>
      </c>
      <c r="C3962" s="162" t="str">
        <f>IFERROR(__xludf.DUMMYFUNCTION("""COMPUTED_VALUE"""),"2020-21")</f>
        <v>2020-21</v>
      </c>
      <c r="D3962" s="163" t="str">
        <f>IFERROR(__xludf.DUMMYFUNCTION("""COMPUTED_VALUE"""),"MIA")</f>
        <v>MIA</v>
      </c>
      <c r="E3962" s="164" t="str">
        <f>IFERROR(__xludf.DUMMYFUNCTION("""COMPUTED_VALUE"""),"Roll + Cut Big")</f>
        <v>Roll + Cut Big</v>
      </c>
      <c r="F3962" s="164">
        <f>IFERROR(__xludf.DUMMYFUNCTION("""COMPUTED_VALUE"""),431.828333333333)</f>
        <v>431.8283333</v>
      </c>
      <c r="G3962" s="163">
        <f>IFERROR(__xludf.DUMMYFUNCTION("""COMPUTED_VALUE"""),30.0)</f>
        <v>30</v>
      </c>
      <c r="H3962" s="163" t="str">
        <f>IFERROR(__xludf.DUMMYFUNCTION("""COMPUTED_VALUE"""),"PF")</f>
        <v>PF</v>
      </c>
      <c r="I3962" s="163">
        <f>IFERROR(__xludf.DUMMYFUNCTION("""COMPUTED_VALUE"""),21.0)</f>
        <v>21</v>
      </c>
      <c r="J3962" s="165">
        <f>IFERROR(__xludf.DUMMYFUNCTION("""COMPUTED_VALUE"""),-0.591805722920895)</f>
        <v>-0.5918057229</v>
      </c>
      <c r="K3962" s="165">
        <f>IFERROR(__xludf.DUMMYFUNCTION("""COMPUTED_VALUE"""),-1.72115295945915)</f>
        <v>-1.721152959</v>
      </c>
      <c r="L3962" s="165">
        <f>IFERROR(__xludf.DUMMYFUNCTION("""COMPUTED_VALUE"""),1.12934723653825)</f>
        <v>1.129347237</v>
      </c>
      <c r="M3962" s="166">
        <f t="shared" si="2"/>
        <v>0.4935242027</v>
      </c>
      <c r="N3962" s="167">
        <f t="shared" si="3"/>
        <v>14.39427778</v>
      </c>
      <c r="O3962" s="163">
        <f t="shared" ref="O3962:Q3962" si="3966">rank(I3962,I:I)</f>
        <v>3528</v>
      </c>
      <c r="P3962" s="163">
        <f t="shared" si="3966"/>
        <v>1981</v>
      </c>
      <c r="Q3962" s="163">
        <f t="shared" si="3966"/>
        <v>3532</v>
      </c>
      <c r="R3962" s="163">
        <f>IFERROR(__xludf.DUMMYFUNCTION("RANK(M3962,filter(M:M,C:C=C3962))"),193.0)</f>
        <v>193</v>
      </c>
      <c r="S3962" s="161" t="b">
        <f t="shared" si="5"/>
        <v>0</v>
      </c>
      <c r="T3962" s="161" t="b">
        <f t="array" ref="T3962">index('Query Tool'!B:B,match(H3962,'Query Tool'!C:C,0))</f>
        <v>1</v>
      </c>
      <c r="U3962" s="161" t="b">
        <f t="array" ref="U3962">index('Query Tool'!B:B,match(C3962,'Query Tool'!C:C,0))</f>
        <v>1</v>
      </c>
      <c r="V3962" s="161" t="b">
        <f>F3962&gt;='Query Tool'!C$32</f>
        <v>0</v>
      </c>
      <c r="W3962" s="161" t="b">
        <f t="array" ref="W3962">index(Dropdowns!B:B,match(I3962,Dropdowns!A:A,0))</f>
        <v>1</v>
      </c>
      <c r="X3962" s="161" t="b">
        <f t="array" ref="X3962">index('Query Tool'!B:B,match(D3962,'Query Tool'!C:C,0))</f>
        <v>1</v>
      </c>
      <c r="Y3962" s="161" t="str">
        <f t="shared" si="6"/>
        <v>achiupr01,2020-21</v>
      </c>
      <c r="Z3962" s="168" t="str">
        <f t="array" ref="Z3962">iferror(index(I:I,match($A3962&amp;","&amp;index('Year Conversion'!$A:$A,match($C3962,'Year Conversion'!$B:$B,0)),$Y:$Y,0))-I3962,"")</f>
        <v/>
      </c>
      <c r="AA3962" s="168" t="str">
        <f t="array" ref="AA3962">iferror(index(J:J,match($A3962&amp;","&amp;index('Year Conversion'!$A:$A,match($C3962,'Year Conversion'!$B:$B,0)),$Y:$Y,0))-J3962,"")</f>
        <v/>
      </c>
      <c r="AB3962" s="168" t="str">
        <f t="array" ref="AB3962">iferror(index(K:K,match($A3962&amp;","&amp;index('Year Conversion'!$A:$A,match($C3962,'Year Conversion'!$B:$B,0)),$Y:$Y,0))-K3962,"")</f>
        <v/>
      </c>
      <c r="AC3962" s="168" t="str">
        <f t="shared" si="7"/>
        <v>MIA,2020-21</v>
      </c>
    </row>
    <row r="3963">
      <c r="A3963" s="161" t="str">
        <f>IFERROR(__xludf.DUMMYFUNCTION("""COMPUTED_VALUE"""),"nesmiaa01")</f>
        <v>nesmiaa01</v>
      </c>
      <c r="B3963" s="161" t="str">
        <f>IFERROR(__xludf.DUMMYFUNCTION("""COMPUTED_VALUE"""),"Aaron Nesmith")</f>
        <v>Aaron Nesmith</v>
      </c>
      <c r="C3963" s="162" t="str">
        <f>IFERROR(__xludf.DUMMYFUNCTION("""COMPUTED_VALUE"""),"2020-21")</f>
        <v>2020-21</v>
      </c>
      <c r="D3963" s="163" t="str">
        <f>IFERROR(__xludf.DUMMYFUNCTION("""COMPUTED_VALUE"""),"BOS")</f>
        <v>BOS</v>
      </c>
      <c r="E3963" s="164" t="str">
        <f>IFERROR(__xludf.DUMMYFUNCTION("""COMPUTED_VALUE"""),"Stationary Shooter")</f>
        <v>Stationary Shooter</v>
      </c>
      <c r="F3963" s="164">
        <f>IFERROR(__xludf.DUMMYFUNCTION("""COMPUTED_VALUE"""),237.156666666667)</f>
        <v>237.1566667</v>
      </c>
      <c r="G3963" s="163">
        <f>IFERROR(__xludf.DUMMYFUNCTION("""COMPUTED_VALUE"""),15.0)</f>
        <v>15</v>
      </c>
      <c r="H3963" s="163" t="str">
        <f>IFERROR(__xludf.DUMMYFUNCTION("""COMPUTED_VALUE"""),"SF")</f>
        <v>SF</v>
      </c>
      <c r="I3963" s="163">
        <f>IFERROR(__xludf.DUMMYFUNCTION("""COMPUTED_VALUE"""),21.0)</f>
        <v>21</v>
      </c>
      <c r="J3963" s="165">
        <f>IFERROR(__xludf.DUMMYFUNCTION("""COMPUTED_VALUE"""),-1.64673917447458)</f>
        <v>-1.646739174</v>
      </c>
      <c r="K3963" s="165">
        <f>IFERROR(__xludf.DUMMYFUNCTION("""COMPUTED_VALUE"""),-1.56999572377865)</f>
        <v>-1.569995724</v>
      </c>
      <c r="L3963" s="165">
        <f>IFERROR(__xludf.DUMMYFUNCTION("""COMPUTED_VALUE"""),-0.0767434506959309)</f>
        <v>-0.0767434507</v>
      </c>
      <c r="M3963" s="166">
        <f t="shared" si="2"/>
        <v>0.1033090981</v>
      </c>
      <c r="N3963" s="167">
        <f t="shared" si="3"/>
        <v>15.81044444</v>
      </c>
      <c r="O3963" s="163">
        <f t="shared" ref="O3963:Q3963" si="3967">rank(I3963,I:I)</f>
        <v>3528</v>
      </c>
      <c r="P3963" s="163">
        <f t="shared" si="3967"/>
        <v>3194</v>
      </c>
      <c r="Q3963" s="163">
        <f t="shared" si="3967"/>
        <v>3424</v>
      </c>
      <c r="R3963" s="163">
        <f>IFERROR(__xludf.DUMMYFUNCTION("RANK(M3963,filter(M:M,C:C=C3963))"),332.0)</f>
        <v>332</v>
      </c>
      <c r="S3963" s="161" t="b">
        <f t="shared" si="5"/>
        <v>0</v>
      </c>
      <c r="T3963" s="161" t="b">
        <f t="array" ref="T3963">index('Query Tool'!B:B,match(H3963,'Query Tool'!C:C,0))</f>
        <v>1</v>
      </c>
      <c r="U3963" s="161" t="b">
        <f t="array" ref="U3963">index('Query Tool'!B:B,match(C3963,'Query Tool'!C:C,0))</f>
        <v>1</v>
      </c>
      <c r="V3963" s="161" t="b">
        <f>F3963&gt;='Query Tool'!C$32</f>
        <v>0</v>
      </c>
      <c r="W3963" s="161" t="b">
        <f t="array" ref="W3963">index(Dropdowns!B:B,match(I3963,Dropdowns!A:A,0))</f>
        <v>1</v>
      </c>
      <c r="X3963" s="161" t="b">
        <f t="array" ref="X3963">index('Query Tool'!B:B,match(D3963,'Query Tool'!C:C,0))</f>
        <v>1</v>
      </c>
      <c r="Y3963" s="161" t="str">
        <f t="shared" si="6"/>
        <v>nesmiaa01,2020-21</v>
      </c>
      <c r="Z3963" s="168" t="str">
        <f t="array" ref="Z3963">iferror(index(I:I,match($A3963&amp;","&amp;index('Year Conversion'!$A:$A,match($C3963,'Year Conversion'!$B:$B,0)),$Y:$Y,0))-I3963,"")</f>
        <v/>
      </c>
      <c r="AA3963" s="168" t="str">
        <f t="array" ref="AA3963">iferror(index(J:J,match($A3963&amp;","&amp;index('Year Conversion'!$A:$A,match($C3963,'Year Conversion'!$B:$B,0)),$Y:$Y,0))-J3963,"")</f>
        <v/>
      </c>
      <c r="AB3963" s="168" t="str">
        <f t="array" ref="AB3963">iferror(index(K:K,match($A3963&amp;","&amp;index('Year Conversion'!$A:$A,match($C3963,'Year Conversion'!$B:$B,0)),$Y:$Y,0))-K3963,"")</f>
        <v/>
      </c>
      <c r="AC3963" s="168" t="str">
        <f t="shared" si="7"/>
        <v>BOS,2020-21</v>
      </c>
    </row>
    <row r="3964">
      <c r="A3964" s="161" t="str">
        <f>IFERROR(__xludf.DUMMYFUNCTION("""COMPUTED_VALUE"""),"anthoco01")</f>
        <v>anthoco01</v>
      </c>
      <c r="B3964" s="161" t="str">
        <f>IFERROR(__xludf.DUMMYFUNCTION("""COMPUTED_VALUE"""),"Cole Anthony")</f>
        <v>Cole Anthony</v>
      </c>
      <c r="C3964" s="162" t="str">
        <f>IFERROR(__xludf.DUMMYFUNCTION("""COMPUTED_VALUE"""),"2020-21")</f>
        <v>2020-21</v>
      </c>
      <c r="D3964" s="163" t="str">
        <f>IFERROR(__xludf.DUMMYFUNCTION("""COMPUTED_VALUE"""),"ORL")</f>
        <v>ORL</v>
      </c>
      <c r="E3964" s="164" t="str">
        <f>IFERROR(__xludf.DUMMYFUNCTION("""COMPUTED_VALUE"""),"Primary Ball Handler")</f>
        <v>Primary Ball Handler</v>
      </c>
      <c r="F3964" s="164">
        <f>IFERROR(__xludf.DUMMYFUNCTION("""COMPUTED_VALUE"""),667.016666666667)</f>
        <v>667.0166667</v>
      </c>
      <c r="G3964" s="163">
        <f>IFERROR(__xludf.DUMMYFUNCTION("""COMPUTED_VALUE"""),25.0)</f>
        <v>25</v>
      </c>
      <c r="H3964" s="163" t="str">
        <f>IFERROR(__xludf.DUMMYFUNCTION("""COMPUTED_VALUE"""),"PG")</f>
        <v>PG</v>
      </c>
      <c r="I3964" s="163">
        <f>IFERROR(__xludf.DUMMYFUNCTION("""COMPUTED_VALUE"""),20.0)</f>
        <v>20</v>
      </c>
      <c r="J3964" s="165">
        <f>IFERROR(__xludf.DUMMYFUNCTION("""COMPUTED_VALUE"""),-2.06323136317911)</f>
        <v>-2.063231363</v>
      </c>
      <c r="K3964" s="165">
        <f>IFERROR(__xludf.DUMMYFUNCTION("""COMPUTED_VALUE"""),-1.52212836652471)</f>
        <v>-1.522128367</v>
      </c>
      <c r="L3964" s="165">
        <f>IFERROR(__xludf.DUMMYFUNCTION("""COMPUTED_VALUE"""),-0.541102996654402)</f>
        <v>-0.5411029967</v>
      </c>
      <c r="M3964" s="166">
        <f t="shared" si="2"/>
        <v>0.10593905</v>
      </c>
      <c r="N3964" s="167">
        <f t="shared" si="3"/>
        <v>26.68066667</v>
      </c>
      <c r="O3964" s="163">
        <f t="shared" ref="O3964:Q3964" si="3968">rank(I3964,I:I)</f>
        <v>3770</v>
      </c>
      <c r="P3964" s="163">
        <f t="shared" si="3968"/>
        <v>3527</v>
      </c>
      <c r="Q3964" s="163">
        <f t="shared" si="3968"/>
        <v>3381</v>
      </c>
      <c r="R3964" s="163">
        <f>IFERROR(__xludf.DUMMYFUNCTION("RANK(M3964,filter(M:M,C:C=C3964))"),327.0)</f>
        <v>327</v>
      </c>
      <c r="S3964" s="161" t="b">
        <f t="shared" si="5"/>
        <v>1</v>
      </c>
      <c r="T3964" s="161" t="b">
        <f t="array" ref="T3964">index('Query Tool'!B:B,match(H3964,'Query Tool'!C:C,0))</f>
        <v>1</v>
      </c>
      <c r="U3964" s="161" t="b">
        <f t="array" ref="U3964">index('Query Tool'!B:B,match(C3964,'Query Tool'!C:C,0))</f>
        <v>1</v>
      </c>
      <c r="V3964" s="161" t="b">
        <f>F3964&gt;='Query Tool'!C$32</f>
        <v>1</v>
      </c>
      <c r="W3964" s="161" t="b">
        <f t="array" ref="W3964">index(Dropdowns!B:B,match(I3964,Dropdowns!A:A,0))</f>
        <v>1</v>
      </c>
      <c r="X3964" s="161" t="b">
        <f t="array" ref="X3964">index('Query Tool'!B:B,match(D3964,'Query Tool'!C:C,0))</f>
        <v>1</v>
      </c>
      <c r="Y3964" s="161" t="str">
        <f t="shared" si="6"/>
        <v>anthoco01,2020-21</v>
      </c>
      <c r="Z3964" s="168" t="str">
        <f t="array" ref="Z3964">iferror(index(I:I,match($A3964&amp;","&amp;index('Year Conversion'!$A:$A,match($C3964,'Year Conversion'!$B:$B,0)),$Y:$Y,0))-I3964,"")</f>
        <v/>
      </c>
      <c r="AA3964" s="168" t="str">
        <f t="array" ref="AA3964">iferror(index(J:J,match($A3964&amp;","&amp;index('Year Conversion'!$A:$A,match($C3964,'Year Conversion'!$B:$B,0)),$Y:$Y,0))-J3964,"")</f>
        <v/>
      </c>
      <c r="AB3964" s="168" t="str">
        <f t="array" ref="AB3964">iferror(index(K:K,match($A3964&amp;","&amp;index('Year Conversion'!$A:$A,match($C3964,'Year Conversion'!$B:$B,0)),$Y:$Y,0))-K3964,"")</f>
        <v/>
      </c>
      <c r="AC3964" s="168" t="str">
        <f t="shared" si="7"/>
        <v>ORL,2020-21</v>
      </c>
    </row>
    <row r="3965">
      <c r="A3965" s="161" t="str">
        <f>IFERROR(__xludf.DUMMYFUNCTION("""COMPUTED_VALUE"""),"careyve01")</f>
        <v>careyve01</v>
      </c>
      <c r="B3965" s="161" t="str">
        <f>IFERROR(__xludf.DUMMYFUNCTION("""COMPUTED_VALUE"""),"Vernon Carey Jr.")</f>
        <v>Vernon Carey Jr.</v>
      </c>
      <c r="C3965" s="162" t="str">
        <f>IFERROR(__xludf.DUMMYFUNCTION("""COMPUTED_VALUE"""),"2020-21")</f>
        <v>2020-21</v>
      </c>
      <c r="D3965" s="163" t="str">
        <f>IFERROR(__xludf.DUMMYFUNCTION("""COMPUTED_VALUE"""),"CHO")</f>
        <v>CHO</v>
      </c>
      <c r="E3965" s="164" t="str">
        <f>IFERROR(__xludf.DUMMYFUNCTION("""COMPUTED_VALUE"""),"Stretch Big")</f>
        <v>Stretch Big</v>
      </c>
      <c r="F3965" s="164">
        <f>IFERROR(__xludf.DUMMYFUNCTION("""COMPUTED_VALUE"""),6.26666666666667)</f>
        <v>6.266666667</v>
      </c>
      <c r="G3965" s="163">
        <f>IFERROR(__xludf.DUMMYFUNCTION("""COMPUTED_VALUE"""),3.0)</f>
        <v>3</v>
      </c>
      <c r="H3965" s="163" t="str">
        <f>IFERROR(__xludf.DUMMYFUNCTION("""COMPUTED_VALUE"""),"C")</f>
        <v>C</v>
      </c>
      <c r="I3965" s="163">
        <f>IFERROR(__xludf.DUMMYFUNCTION("""COMPUTED_VALUE"""),19.0)</f>
        <v>19</v>
      </c>
      <c r="J3965" s="165">
        <f>IFERROR(__xludf.DUMMYFUNCTION("""COMPUTED_VALUE"""),-0.638788149844869)</f>
        <v>-0.6387881498</v>
      </c>
      <c r="K3965" s="165">
        <f>IFERROR(__xludf.DUMMYFUNCTION("""COMPUTED_VALUE"""),-0.2986541119235)</f>
        <v>-0.2986541119</v>
      </c>
      <c r="L3965" s="165">
        <f>IFERROR(__xludf.DUMMYFUNCTION("""COMPUTED_VALUE"""),-0.340134037921369)</f>
        <v>-0.3401340379</v>
      </c>
      <c r="M3965" s="166">
        <f t="shared" si="2"/>
        <v>0.006963809274</v>
      </c>
      <c r="N3965" s="167">
        <f t="shared" si="3"/>
        <v>2.088888889</v>
      </c>
      <c r="O3965" s="163">
        <f t="shared" ref="O3965:Q3965" si="3969">rank(I3965,I:I)</f>
        <v>3945</v>
      </c>
      <c r="P3965" s="163">
        <f t="shared" si="3969"/>
        <v>2042</v>
      </c>
      <c r="Q3965" s="163">
        <f t="shared" si="3969"/>
        <v>1761</v>
      </c>
      <c r="R3965" s="163">
        <f>IFERROR(__xludf.DUMMYFUNCTION("RANK(M3965,filter(M:M,C:C=C3965))"),440.0)</f>
        <v>440</v>
      </c>
      <c r="S3965" s="161" t="b">
        <f t="shared" si="5"/>
        <v>0</v>
      </c>
      <c r="T3965" s="161" t="b">
        <f t="array" ref="T3965">index('Query Tool'!B:B,match(H3965,'Query Tool'!C:C,0))</f>
        <v>1</v>
      </c>
      <c r="U3965" s="161" t="b">
        <f t="array" ref="U3965">index('Query Tool'!B:B,match(C3965,'Query Tool'!C:C,0))</f>
        <v>1</v>
      </c>
      <c r="V3965" s="161" t="b">
        <f>F3965&gt;='Query Tool'!C$32</f>
        <v>0</v>
      </c>
      <c r="W3965" s="161" t="b">
        <f t="array" ref="W3965">index(Dropdowns!B:B,match(I3965,Dropdowns!A:A,0))</f>
        <v>1</v>
      </c>
      <c r="X3965" s="161" t="b">
        <f t="array" ref="X3965">index('Query Tool'!B:B,match(D3965,'Query Tool'!C:C,0))</f>
        <v>1</v>
      </c>
      <c r="Y3965" s="161" t="str">
        <f t="shared" si="6"/>
        <v>careyve01,2020-21</v>
      </c>
      <c r="Z3965" s="168" t="str">
        <f t="array" ref="Z3965">iferror(index(I:I,match($A3965&amp;","&amp;index('Year Conversion'!$A:$A,match($C3965,'Year Conversion'!$B:$B,0)),$Y:$Y,0))-I3965,"")</f>
        <v/>
      </c>
      <c r="AA3965" s="168" t="str">
        <f t="array" ref="AA3965">iferror(index(J:J,match($A3965&amp;","&amp;index('Year Conversion'!$A:$A,match($C3965,'Year Conversion'!$B:$B,0)),$Y:$Y,0))-J3965,"")</f>
        <v/>
      </c>
      <c r="AB3965" s="168" t="str">
        <f t="array" ref="AB3965">iferror(index(K:K,match($A3965&amp;","&amp;index('Year Conversion'!$A:$A,match($C3965,'Year Conversion'!$B:$B,0)),$Y:$Y,0))-K3965,"")</f>
        <v/>
      </c>
      <c r="AC3965" s="168" t="str">
        <f t="shared" si="7"/>
        <v>CHO,2020-21</v>
      </c>
    </row>
    <row r="3966">
      <c r="A3966" s="161" t="str">
        <f>IFERROR(__xludf.DUMMYFUNCTION("""COMPUTED_VALUE"""),"maledth01")</f>
        <v>maledth01</v>
      </c>
      <c r="B3966" s="161" t="str">
        <f>IFERROR(__xludf.DUMMYFUNCTION("""COMPUTED_VALUE"""),"Theo Maledon")</f>
        <v>Theo Maledon</v>
      </c>
      <c r="C3966" s="162" t="str">
        <f>IFERROR(__xludf.DUMMYFUNCTION("""COMPUTED_VALUE"""),"2020-21")</f>
        <v>2020-21</v>
      </c>
      <c r="D3966" s="163" t="str">
        <f>IFERROR(__xludf.DUMMYFUNCTION("""COMPUTED_VALUE"""),"OKC")</f>
        <v>OKC</v>
      </c>
      <c r="E3966" s="164" t="str">
        <f>IFERROR(__xludf.DUMMYFUNCTION("""COMPUTED_VALUE"""),"Primary Ball Handler")</f>
        <v>Primary Ball Handler</v>
      </c>
      <c r="F3966" s="164">
        <f>IFERROR(__xludf.DUMMYFUNCTION("""COMPUTED_VALUE"""),601.448333333333)</f>
        <v>601.4483333</v>
      </c>
      <c r="G3966" s="163">
        <f>IFERROR(__xludf.DUMMYFUNCTION("""COMPUTED_VALUE"""),25.0)</f>
        <v>25</v>
      </c>
      <c r="H3966" s="163" t="str">
        <f>IFERROR(__xludf.DUMMYFUNCTION("""COMPUTED_VALUE"""),"PG")</f>
        <v>PG</v>
      </c>
      <c r="I3966" s="163">
        <f>IFERROR(__xludf.DUMMYFUNCTION("""COMPUTED_VALUE"""),19.0)</f>
        <v>19</v>
      </c>
      <c r="J3966" s="165">
        <f>IFERROR(__xludf.DUMMYFUNCTION("""COMPUTED_VALUE"""),-3.3709257804377)</f>
        <v>-3.37092578</v>
      </c>
      <c r="K3966" s="165">
        <f>IFERROR(__xludf.DUMMYFUNCTION("""COMPUTED_VALUE"""),-2.88908617309162)</f>
        <v>-2.889086173</v>
      </c>
      <c r="L3966" s="165">
        <f>IFERROR(__xludf.DUMMYFUNCTION("""COMPUTED_VALUE"""),-0.481839607346079)</f>
        <v>-0.4818396073</v>
      </c>
      <c r="M3966" s="166">
        <f t="shared" si="2"/>
        <v>-0.4184682782</v>
      </c>
      <c r="N3966" s="167">
        <f t="shared" si="3"/>
        <v>24.05793333</v>
      </c>
      <c r="O3966" s="163">
        <f t="shared" ref="O3966:Q3966" si="3970">rank(I3966,I:I)</f>
        <v>3945</v>
      </c>
      <c r="P3966" s="163">
        <f t="shared" si="3970"/>
        <v>3947</v>
      </c>
      <c r="Q3966" s="163">
        <f t="shared" si="3970"/>
        <v>3963</v>
      </c>
      <c r="R3966" s="163">
        <f>IFERROR(__xludf.DUMMYFUNCTION("RANK(M3966,filter(M:M,C:C=C3966))"),468.0)</f>
        <v>468</v>
      </c>
      <c r="S3966" s="161" t="b">
        <f t="shared" si="5"/>
        <v>1</v>
      </c>
      <c r="T3966" s="161" t="b">
        <f t="array" ref="T3966">index('Query Tool'!B:B,match(H3966,'Query Tool'!C:C,0))</f>
        <v>1</v>
      </c>
      <c r="U3966" s="161" t="b">
        <f t="array" ref="U3966">index('Query Tool'!B:B,match(C3966,'Query Tool'!C:C,0))</f>
        <v>1</v>
      </c>
      <c r="V3966" s="161" t="b">
        <f>F3966&gt;='Query Tool'!C$32</f>
        <v>1</v>
      </c>
      <c r="W3966" s="161" t="b">
        <f t="array" ref="W3966">index(Dropdowns!B:B,match(I3966,Dropdowns!A:A,0))</f>
        <v>1</v>
      </c>
      <c r="X3966" s="161" t="b">
        <f t="array" ref="X3966">index('Query Tool'!B:B,match(D3966,'Query Tool'!C:C,0))</f>
        <v>1</v>
      </c>
      <c r="Y3966" s="161" t="str">
        <f t="shared" si="6"/>
        <v>maledth01,2020-21</v>
      </c>
      <c r="Z3966" s="168" t="str">
        <f t="array" ref="Z3966">iferror(index(I:I,match($A3966&amp;","&amp;index('Year Conversion'!$A:$A,match($C3966,'Year Conversion'!$B:$B,0)),$Y:$Y,0))-I3966,"")</f>
        <v/>
      </c>
      <c r="AA3966" s="168" t="str">
        <f t="array" ref="AA3966">iferror(index(J:J,match($A3966&amp;","&amp;index('Year Conversion'!$A:$A,match($C3966,'Year Conversion'!$B:$B,0)),$Y:$Y,0))-J3966,"")</f>
        <v/>
      </c>
      <c r="AB3966" s="168" t="str">
        <f t="array" ref="AB3966">iferror(index(K:K,match($A3966&amp;","&amp;index('Year Conversion'!$A:$A,match($C3966,'Year Conversion'!$B:$B,0)),$Y:$Y,0))-K3966,"")</f>
        <v/>
      </c>
      <c r="AC3966" s="168" t="str">
        <f t="shared" si="7"/>
        <v>OKC,2020-21</v>
      </c>
    </row>
    <row r="3967">
      <c r="A3967" s="161" t="str">
        <f>IFERROR(__xludf.DUMMYFUNCTION("""COMPUTED_VALUE"""),"maxeyty01")</f>
        <v>maxeyty01</v>
      </c>
      <c r="B3967" s="161" t="str">
        <f>IFERROR(__xludf.DUMMYFUNCTION("""COMPUTED_VALUE"""),"Tyrese Maxey")</f>
        <v>Tyrese Maxey</v>
      </c>
      <c r="C3967" s="162" t="str">
        <f>IFERROR(__xludf.DUMMYFUNCTION("""COMPUTED_VALUE"""),"2020-21")</f>
        <v>2020-21</v>
      </c>
      <c r="D3967" s="163" t="str">
        <f>IFERROR(__xludf.DUMMYFUNCTION("""COMPUTED_VALUE"""),"PHI")</f>
        <v>PHI</v>
      </c>
      <c r="E3967" s="164" t="str">
        <f>IFERROR(__xludf.DUMMYFUNCTION("""COMPUTED_VALUE"""),"Primary Ball Handler")</f>
        <v>Primary Ball Handler</v>
      </c>
      <c r="F3967" s="164">
        <f>IFERROR(__xludf.DUMMYFUNCTION("""COMPUTED_VALUE"""),488.93)</f>
        <v>488.93</v>
      </c>
      <c r="G3967" s="163">
        <f>IFERROR(__xludf.DUMMYFUNCTION("""COMPUTED_VALUE"""),29.0)</f>
        <v>29</v>
      </c>
      <c r="H3967" s="163" t="str">
        <f>IFERROR(__xludf.DUMMYFUNCTION("""COMPUTED_VALUE"""),"SG")</f>
        <v>SG</v>
      </c>
      <c r="I3967" s="163">
        <f>IFERROR(__xludf.DUMMYFUNCTION("""COMPUTED_VALUE"""),20.0)</f>
        <v>20</v>
      </c>
      <c r="J3967" s="165">
        <f>IFERROR(__xludf.DUMMYFUNCTION("""COMPUTED_VALUE"""),-1.73208135408877)</f>
        <v>-1.732081354</v>
      </c>
      <c r="K3967" s="165">
        <f>IFERROR(__xludf.DUMMYFUNCTION("""COMPUTED_VALUE"""),0.190543615309461)</f>
        <v>0.1905436153</v>
      </c>
      <c r="L3967" s="165">
        <f>IFERROR(__xludf.DUMMYFUNCTION("""COMPUTED_VALUE"""),-1.92262496939823)</f>
        <v>-1.922624969</v>
      </c>
      <c r="M3967" s="166">
        <f t="shared" si="2"/>
        <v>0.1851860112</v>
      </c>
      <c r="N3967" s="167">
        <f t="shared" si="3"/>
        <v>16.85965517</v>
      </c>
      <c r="O3967" s="163">
        <f t="shared" ref="O3967:Q3967" si="3971">rank(I3967,I:I)</f>
        <v>3770</v>
      </c>
      <c r="P3967" s="163">
        <f t="shared" si="3971"/>
        <v>3274</v>
      </c>
      <c r="Q3967" s="163">
        <f t="shared" si="3971"/>
        <v>991</v>
      </c>
      <c r="R3967" s="163">
        <f>IFERROR(__xludf.DUMMYFUNCTION("RANK(M3967,filter(M:M,C:C=C3967))"),285.0)</f>
        <v>285</v>
      </c>
      <c r="S3967" s="161" t="b">
        <f t="shared" si="5"/>
        <v>0</v>
      </c>
      <c r="T3967" s="161" t="b">
        <f t="array" ref="T3967">index('Query Tool'!B:B,match(H3967,'Query Tool'!C:C,0))</f>
        <v>1</v>
      </c>
      <c r="U3967" s="161" t="b">
        <f t="array" ref="U3967">index('Query Tool'!B:B,match(C3967,'Query Tool'!C:C,0))</f>
        <v>1</v>
      </c>
      <c r="V3967" s="161" t="b">
        <f>F3967&gt;='Query Tool'!C$32</f>
        <v>0</v>
      </c>
      <c r="W3967" s="161" t="b">
        <f t="array" ref="W3967">index(Dropdowns!B:B,match(I3967,Dropdowns!A:A,0))</f>
        <v>1</v>
      </c>
      <c r="X3967" s="161" t="b">
        <f t="array" ref="X3967">index('Query Tool'!B:B,match(D3967,'Query Tool'!C:C,0))</f>
        <v>1</v>
      </c>
      <c r="Y3967" s="161" t="str">
        <f t="shared" si="6"/>
        <v>maxeyty01,2020-21</v>
      </c>
      <c r="Z3967" s="168" t="str">
        <f t="array" ref="Z3967">iferror(index(I:I,match($A3967&amp;","&amp;index('Year Conversion'!$A:$A,match($C3967,'Year Conversion'!$B:$B,0)),$Y:$Y,0))-I3967,"")</f>
        <v/>
      </c>
      <c r="AA3967" s="168" t="str">
        <f t="array" ref="AA3967">iferror(index(J:J,match($A3967&amp;","&amp;index('Year Conversion'!$A:$A,match($C3967,'Year Conversion'!$B:$B,0)),$Y:$Y,0))-J3967,"")</f>
        <v/>
      </c>
      <c r="AB3967" s="168" t="str">
        <f t="array" ref="AB3967">iferror(index(K:K,match($A3967&amp;","&amp;index('Year Conversion'!$A:$A,match($C3967,'Year Conversion'!$B:$B,0)),$Y:$Y,0))-K3967,"")</f>
        <v/>
      </c>
      <c r="AC3967" s="168" t="str">
        <f t="shared" si="7"/>
        <v>PHI,2020-21</v>
      </c>
    </row>
    <row r="3968">
      <c r="A3968" s="161" t="str">
        <f>IFERROR(__xludf.DUMMYFUNCTION("""COMPUTED_VALUE"""),"terryty01")</f>
        <v>terryty01</v>
      </c>
      <c r="B3968" s="161" t="str">
        <f>IFERROR(__xludf.DUMMYFUNCTION("""COMPUTED_VALUE"""),"Tyrell Terry")</f>
        <v>Tyrell Terry</v>
      </c>
      <c r="C3968" s="162" t="str">
        <f>IFERROR(__xludf.DUMMYFUNCTION("""COMPUTED_VALUE"""),"2020-21")</f>
        <v>2020-21</v>
      </c>
      <c r="D3968" s="163" t="str">
        <f>IFERROR(__xludf.DUMMYFUNCTION("""COMPUTED_VALUE"""),"DAL")</f>
        <v>DAL</v>
      </c>
      <c r="E3968" s="164" t="str">
        <f>IFERROR(__xludf.DUMMYFUNCTION("""COMPUTED_VALUE"""),"Secondary Ball Handler")</f>
        <v>Secondary Ball Handler</v>
      </c>
      <c r="F3968" s="164">
        <f>IFERROR(__xludf.DUMMYFUNCTION("""COMPUTED_VALUE"""),56.3066666666667)</f>
        <v>56.30666667</v>
      </c>
      <c r="G3968" s="163">
        <f>IFERROR(__xludf.DUMMYFUNCTION("""COMPUTED_VALUE"""),11.0)</f>
        <v>11</v>
      </c>
      <c r="H3968" s="163" t="str">
        <f>IFERROR(__xludf.DUMMYFUNCTION("""COMPUTED_VALUE"""),"PG")</f>
        <v>PG</v>
      </c>
      <c r="I3968" s="163">
        <f>IFERROR(__xludf.DUMMYFUNCTION("""COMPUTED_VALUE"""),20.0)</f>
        <v>20</v>
      </c>
      <c r="J3968" s="165">
        <f>IFERROR(__xludf.DUMMYFUNCTION("""COMPUTED_VALUE"""),-0.0568521872274385)</f>
        <v>-0.05685218723</v>
      </c>
      <c r="K3968" s="165">
        <f>IFERROR(__xludf.DUMMYFUNCTION("""COMPUTED_VALUE"""),-0.0374320887735385)</f>
        <v>-0.03743208877</v>
      </c>
      <c r="L3968" s="165">
        <f>IFERROR(__xludf.DUMMYFUNCTION("""COMPUTED_VALUE"""),-0.0194200984539)</f>
        <v>-0.01942009845</v>
      </c>
      <c r="M3968" s="166">
        <f t="shared" si="2"/>
        <v>0.08464793325</v>
      </c>
      <c r="N3968" s="167">
        <f t="shared" si="3"/>
        <v>5.118787879</v>
      </c>
      <c r="O3968" s="163">
        <f t="shared" ref="O3968:Q3968" si="3972">rank(I3968,I:I)</f>
        <v>3770</v>
      </c>
      <c r="P3968" s="163">
        <f t="shared" si="3972"/>
        <v>1342</v>
      </c>
      <c r="Q3968" s="163">
        <f t="shared" si="3972"/>
        <v>1249</v>
      </c>
      <c r="R3968" s="163">
        <f>IFERROR(__xludf.DUMMYFUNCTION("RANK(M3968,filter(M:M,C:C=C3968))"),345.0)</f>
        <v>345</v>
      </c>
      <c r="S3968" s="161" t="b">
        <f t="shared" si="5"/>
        <v>0</v>
      </c>
      <c r="T3968" s="161" t="b">
        <f t="array" ref="T3968">index('Query Tool'!B:B,match(H3968,'Query Tool'!C:C,0))</f>
        <v>1</v>
      </c>
      <c r="U3968" s="161" t="b">
        <f t="array" ref="U3968">index('Query Tool'!B:B,match(C3968,'Query Tool'!C:C,0))</f>
        <v>1</v>
      </c>
      <c r="V3968" s="161" t="b">
        <f>F3968&gt;='Query Tool'!C$32</f>
        <v>0</v>
      </c>
      <c r="W3968" s="161" t="b">
        <f t="array" ref="W3968">index(Dropdowns!B:B,match(I3968,Dropdowns!A:A,0))</f>
        <v>1</v>
      </c>
      <c r="X3968" s="161" t="b">
        <f t="array" ref="X3968">index('Query Tool'!B:B,match(D3968,'Query Tool'!C:C,0))</f>
        <v>1</v>
      </c>
      <c r="Y3968" s="161" t="str">
        <f t="shared" si="6"/>
        <v>terryty01,2020-21</v>
      </c>
      <c r="Z3968" s="168" t="str">
        <f t="array" ref="Z3968">iferror(index(I:I,match($A3968&amp;","&amp;index('Year Conversion'!$A:$A,match($C3968,'Year Conversion'!$B:$B,0)),$Y:$Y,0))-I3968,"")</f>
        <v/>
      </c>
      <c r="AA3968" s="168" t="str">
        <f t="array" ref="AA3968">iferror(index(J:J,match($A3968&amp;","&amp;index('Year Conversion'!$A:$A,match($C3968,'Year Conversion'!$B:$B,0)),$Y:$Y,0))-J3968,"")</f>
        <v/>
      </c>
      <c r="AB3968" s="168" t="str">
        <f t="array" ref="AB3968">iferror(index(K:K,match($A3968&amp;","&amp;index('Year Conversion'!$A:$A,match($C3968,'Year Conversion'!$B:$B,0)),$Y:$Y,0))-K3968,"")</f>
        <v/>
      </c>
      <c r="AC3968" s="168" t="str">
        <f t="shared" si="7"/>
        <v>DAL,2020-21</v>
      </c>
    </row>
    <row r="3969">
      <c r="A3969" s="161" t="str">
        <f>IFERROR(__xludf.DUMMYFUNCTION("""COMPUTED_VALUE"""),"beysa01")</f>
        <v>beysa01</v>
      </c>
      <c r="B3969" s="161" t="str">
        <f>IFERROR(__xludf.DUMMYFUNCTION("""COMPUTED_VALUE"""),"Saddiq Bey")</f>
        <v>Saddiq Bey</v>
      </c>
      <c r="C3969" s="162" t="str">
        <f>IFERROR(__xludf.DUMMYFUNCTION("""COMPUTED_VALUE"""),"2020-21")</f>
        <v>2020-21</v>
      </c>
      <c r="D3969" s="163" t="str">
        <f>IFERROR(__xludf.DUMMYFUNCTION("""COMPUTED_VALUE"""),"DET")</f>
        <v>DET</v>
      </c>
      <c r="E3969" s="164" t="str">
        <f>IFERROR(__xludf.DUMMYFUNCTION("""COMPUTED_VALUE"""),"Movement Shooter")</f>
        <v>Movement Shooter</v>
      </c>
      <c r="F3969" s="164">
        <f>IFERROR(__xludf.DUMMYFUNCTION("""COMPUTED_VALUE"""),590.788333333333)</f>
        <v>590.7883333</v>
      </c>
      <c r="G3969" s="163">
        <f>IFERROR(__xludf.DUMMYFUNCTION("""COMPUTED_VALUE"""),28.0)</f>
        <v>28</v>
      </c>
      <c r="H3969" s="163" t="str">
        <f>IFERROR(__xludf.DUMMYFUNCTION("""COMPUTED_VALUE"""),"SF")</f>
        <v>SF</v>
      </c>
      <c r="I3969" s="163">
        <f>IFERROR(__xludf.DUMMYFUNCTION("""COMPUTED_VALUE"""),21.0)</f>
        <v>21</v>
      </c>
      <c r="J3969" s="165">
        <f>IFERROR(__xludf.DUMMYFUNCTION("""COMPUTED_VALUE"""),-1.69259402769296)</f>
        <v>-1.692594028</v>
      </c>
      <c r="K3969" s="165">
        <f>IFERROR(__xludf.DUMMYFUNCTION("""COMPUTED_VALUE"""),-1.14279761579294)</f>
        <v>-1.142797616</v>
      </c>
      <c r="L3969" s="165">
        <f>IFERROR(__xludf.DUMMYFUNCTION("""COMPUTED_VALUE"""),-0.549796411900025)</f>
        <v>-0.5497964119</v>
      </c>
      <c r="M3969" s="166">
        <f t="shared" si="2"/>
        <v>0.2393029338</v>
      </c>
      <c r="N3969" s="167">
        <f t="shared" si="3"/>
        <v>21.09958333</v>
      </c>
      <c r="O3969" s="163">
        <f t="shared" ref="O3969:Q3969" si="3973">rank(I3969,I:I)</f>
        <v>3528</v>
      </c>
      <c r="P3969" s="163">
        <f t="shared" si="3973"/>
        <v>3234</v>
      </c>
      <c r="Q3969" s="163">
        <f t="shared" si="3973"/>
        <v>2978</v>
      </c>
      <c r="R3969" s="163">
        <f>IFERROR(__xludf.DUMMYFUNCTION("RANK(M3969,filter(M:M,C:C=C3969))"),267.0)</f>
        <v>267</v>
      </c>
      <c r="S3969" s="161" t="b">
        <f t="shared" si="5"/>
        <v>1</v>
      </c>
      <c r="T3969" s="161" t="b">
        <f t="array" ref="T3969">index('Query Tool'!B:B,match(H3969,'Query Tool'!C:C,0))</f>
        <v>1</v>
      </c>
      <c r="U3969" s="161" t="b">
        <f t="array" ref="U3969">index('Query Tool'!B:B,match(C3969,'Query Tool'!C:C,0))</f>
        <v>1</v>
      </c>
      <c r="V3969" s="161" t="b">
        <f>F3969&gt;='Query Tool'!C$32</f>
        <v>1</v>
      </c>
      <c r="W3969" s="161" t="b">
        <f t="array" ref="W3969">index(Dropdowns!B:B,match(I3969,Dropdowns!A:A,0))</f>
        <v>1</v>
      </c>
      <c r="X3969" s="161" t="b">
        <f t="array" ref="X3969">index('Query Tool'!B:B,match(D3969,'Query Tool'!C:C,0))</f>
        <v>1</v>
      </c>
      <c r="Y3969" s="161" t="str">
        <f t="shared" si="6"/>
        <v>beysa01,2020-21</v>
      </c>
      <c r="Z3969" s="168" t="str">
        <f t="array" ref="Z3969">iferror(index(I:I,match($A3969&amp;","&amp;index('Year Conversion'!$A:$A,match($C3969,'Year Conversion'!$B:$B,0)),$Y:$Y,0))-I3969,"")</f>
        <v/>
      </c>
      <c r="AA3969" s="168" t="str">
        <f t="array" ref="AA3969">iferror(index(J:J,match($A3969&amp;","&amp;index('Year Conversion'!$A:$A,match($C3969,'Year Conversion'!$B:$B,0)),$Y:$Y,0))-J3969,"")</f>
        <v/>
      </c>
      <c r="AB3969" s="168" t="str">
        <f t="array" ref="AB3969">iferror(index(K:K,match($A3969&amp;","&amp;index('Year Conversion'!$A:$A,match($C3969,'Year Conversion'!$B:$B,0)),$Y:$Y,0))-K3969,"")</f>
        <v/>
      </c>
      <c r="AC3969" s="168" t="str">
        <f t="shared" si="7"/>
        <v>DET,2020-21</v>
      </c>
    </row>
    <row r="3970">
      <c r="A3970" s="161" t="str">
        <f>IFERROR(__xludf.DUMMYFUNCTION("""COMPUTED_VALUE"""),"hamptrj01")</f>
        <v>hamptrj01</v>
      </c>
      <c r="B3970" s="161" t="str">
        <f>IFERROR(__xludf.DUMMYFUNCTION("""COMPUTED_VALUE"""),"R.J. Hampton")</f>
        <v>R.J. Hampton</v>
      </c>
      <c r="C3970" s="162" t="str">
        <f>IFERROR(__xludf.DUMMYFUNCTION("""COMPUTED_VALUE"""),"2020-21")</f>
        <v>2020-21</v>
      </c>
      <c r="D3970" s="163" t="str">
        <f>IFERROR(__xludf.DUMMYFUNCTION("""COMPUTED_VALUE"""),"DEN")</f>
        <v>DEN</v>
      </c>
      <c r="E3970" s="164" t="str">
        <f>IFERROR(__xludf.DUMMYFUNCTION("""COMPUTED_VALUE"""),"Stationary Shooter")</f>
        <v>Stationary Shooter</v>
      </c>
      <c r="F3970" s="164">
        <f>IFERROR(__xludf.DUMMYFUNCTION("""COMPUTED_VALUE"""),210.735)</f>
        <v>210.735</v>
      </c>
      <c r="G3970" s="163">
        <f>IFERROR(__xludf.DUMMYFUNCTION("""COMPUTED_VALUE"""),23.0)</f>
        <v>23</v>
      </c>
      <c r="H3970" s="163" t="str">
        <f>IFERROR(__xludf.DUMMYFUNCTION("""COMPUTED_VALUE"""),"PG")</f>
        <v>PG</v>
      </c>
      <c r="I3970" s="163">
        <f>IFERROR(__xludf.DUMMYFUNCTION("""COMPUTED_VALUE"""),19.0)</f>
        <v>19</v>
      </c>
      <c r="J3970" s="165">
        <f>IFERROR(__xludf.DUMMYFUNCTION("""COMPUTED_VALUE"""),-3.03074022920841)</f>
        <v>-3.030740229</v>
      </c>
      <c r="K3970" s="165">
        <f>IFERROR(__xludf.DUMMYFUNCTION("""COMPUTED_VALUE"""),-2.59303059786196)</f>
        <v>-2.593030598</v>
      </c>
      <c r="L3970" s="165">
        <f>IFERROR(__xludf.DUMMYFUNCTION("""COMPUTED_VALUE"""),-0.437709631346456)</f>
        <v>-0.4377096313</v>
      </c>
      <c r="M3970" s="166">
        <f t="shared" si="2"/>
        <v>-0.1002986845</v>
      </c>
      <c r="N3970" s="167">
        <f t="shared" si="3"/>
        <v>9.162391304</v>
      </c>
      <c r="O3970" s="163">
        <f t="shared" ref="O3970:Q3970" si="3974">rank(I3970,I:I)</f>
        <v>3945</v>
      </c>
      <c r="P3970" s="163">
        <f t="shared" si="3974"/>
        <v>3891</v>
      </c>
      <c r="Q3970" s="163">
        <f t="shared" si="3974"/>
        <v>3913</v>
      </c>
      <c r="R3970" s="163">
        <f>IFERROR(__xludf.DUMMYFUNCTION("RANK(M3970,filter(M:M,C:C=C3970))"),456.0)</f>
        <v>456</v>
      </c>
      <c r="S3970" s="161" t="b">
        <f t="shared" si="5"/>
        <v>0</v>
      </c>
      <c r="T3970" s="161" t="b">
        <f t="array" ref="T3970">index('Query Tool'!B:B,match(H3970,'Query Tool'!C:C,0))</f>
        <v>1</v>
      </c>
      <c r="U3970" s="161" t="b">
        <f t="array" ref="U3970">index('Query Tool'!B:B,match(C3970,'Query Tool'!C:C,0))</f>
        <v>1</v>
      </c>
      <c r="V3970" s="161" t="b">
        <f>F3970&gt;='Query Tool'!C$32</f>
        <v>0</v>
      </c>
      <c r="W3970" s="161" t="b">
        <f t="array" ref="W3970">index(Dropdowns!B:B,match(I3970,Dropdowns!A:A,0))</f>
        <v>1</v>
      </c>
      <c r="X3970" s="161" t="b">
        <f t="array" ref="X3970">index('Query Tool'!B:B,match(D3970,'Query Tool'!C:C,0))</f>
        <v>1</v>
      </c>
      <c r="Y3970" s="161" t="str">
        <f t="shared" si="6"/>
        <v>hamptrj01,2020-21</v>
      </c>
      <c r="Z3970" s="168" t="str">
        <f t="array" ref="Z3970">iferror(index(I:I,match($A3970&amp;","&amp;index('Year Conversion'!$A:$A,match($C3970,'Year Conversion'!$B:$B,0)),$Y:$Y,0))-I3970,"")</f>
        <v/>
      </c>
      <c r="AA3970" s="168" t="str">
        <f t="array" ref="AA3970">iferror(index(J:J,match($A3970&amp;","&amp;index('Year Conversion'!$A:$A,match($C3970,'Year Conversion'!$B:$B,0)),$Y:$Y,0))-J3970,"")</f>
        <v/>
      </c>
      <c r="AB3970" s="168" t="str">
        <f t="array" ref="AB3970">iferror(index(K:K,match($A3970&amp;","&amp;index('Year Conversion'!$A:$A,match($C3970,'Year Conversion'!$B:$B,0)),$Y:$Y,0))-K3970,"")</f>
        <v/>
      </c>
      <c r="AC3970" s="168" t="str">
        <f t="shared" si="7"/>
        <v>DEN,2020-21</v>
      </c>
    </row>
    <row r="3971">
      <c r="A3971" s="161" t="str">
        <f>IFERROR(__xludf.DUMMYFUNCTION("""COMPUTED_VALUE"""),"greenjo02")</f>
        <v>greenjo02</v>
      </c>
      <c r="B3971" s="161" t="str">
        <f>IFERROR(__xludf.DUMMYFUNCTION("""COMPUTED_VALUE"""),"Josh Green")</f>
        <v>Josh Green</v>
      </c>
      <c r="C3971" s="162" t="str">
        <f>IFERROR(__xludf.DUMMYFUNCTION("""COMPUTED_VALUE"""),"2020-21")</f>
        <v>2020-21</v>
      </c>
      <c r="D3971" s="163" t="str">
        <f>IFERROR(__xludf.DUMMYFUNCTION("""COMPUTED_VALUE"""),"DAL")</f>
        <v>DAL</v>
      </c>
      <c r="E3971" s="164" t="str">
        <f>IFERROR(__xludf.DUMMYFUNCTION("""COMPUTED_VALUE"""),"Stretch Big")</f>
        <v>Stretch Big</v>
      </c>
      <c r="F3971" s="164">
        <f>IFERROR(__xludf.DUMMYFUNCTION("""COMPUTED_VALUE"""),211.77)</f>
        <v>211.77</v>
      </c>
      <c r="G3971" s="163">
        <f>IFERROR(__xludf.DUMMYFUNCTION("""COMPUTED_VALUE"""),17.0)</f>
        <v>17</v>
      </c>
      <c r="H3971" s="163" t="str">
        <f>IFERROR(__xludf.DUMMYFUNCTION("""COMPUTED_VALUE"""),"SG")</f>
        <v>SG</v>
      </c>
      <c r="I3971" s="163">
        <f>IFERROR(__xludf.DUMMYFUNCTION("""COMPUTED_VALUE"""),20.0)</f>
        <v>20</v>
      </c>
      <c r="J3971" s="165">
        <f>IFERROR(__xludf.DUMMYFUNCTION("""COMPUTED_VALUE"""),-0.828932481245888)</f>
        <v>-0.8289324812</v>
      </c>
      <c r="K3971" s="165">
        <f>IFERROR(__xludf.DUMMYFUNCTION("""COMPUTED_VALUE"""),-0.643393772995462)</f>
        <v>-0.643393773</v>
      </c>
      <c r="L3971" s="165">
        <f>IFERROR(__xludf.DUMMYFUNCTION("""COMPUTED_VALUE"""),-0.185538708250426)</f>
        <v>-0.1855387083</v>
      </c>
      <c r="M3971" s="166">
        <f t="shared" si="2"/>
        <v>0.2082422668</v>
      </c>
      <c r="N3971" s="167">
        <f t="shared" si="3"/>
        <v>12.45705882</v>
      </c>
      <c r="O3971" s="163">
        <f t="shared" ref="O3971:Q3971" si="3975">rank(I3971,I:I)</f>
        <v>3770</v>
      </c>
      <c r="P3971" s="163">
        <f t="shared" si="3975"/>
        <v>2323</v>
      </c>
      <c r="Q3971" s="163">
        <f t="shared" si="3975"/>
        <v>2327</v>
      </c>
      <c r="R3971" s="163">
        <f>IFERROR(__xludf.DUMMYFUNCTION("RANK(M3971,filter(M:M,C:C=C3971))"),273.0)</f>
        <v>273</v>
      </c>
      <c r="S3971" s="161" t="b">
        <f t="shared" si="5"/>
        <v>0</v>
      </c>
      <c r="T3971" s="161" t="b">
        <f t="array" ref="T3971">index('Query Tool'!B:B,match(H3971,'Query Tool'!C:C,0))</f>
        <v>1</v>
      </c>
      <c r="U3971" s="161" t="b">
        <f t="array" ref="U3971">index('Query Tool'!B:B,match(C3971,'Query Tool'!C:C,0))</f>
        <v>1</v>
      </c>
      <c r="V3971" s="161" t="b">
        <f>F3971&gt;='Query Tool'!C$32</f>
        <v>0</v>
      </c>
      <c r="W3971" s="161" t="b">
        <f t="array" ref="W3971">index(Dropdowns!B:B,match(I3971,Dropdowns!A:A,0))</f>
        <v>1</v>
      </c>
      <c r="X3971" s="161" t="b">
        <f t="array" ref="X3971">index('Query Tool'!B:B,match(D3971,'Query Tool'!C:C,0))</f>
        <v>1</v>
      </c>
      <c r="Y3971" s="161" t="str">
        <f t="shared" si="6"/>
        <v>greenjo02,2020-21</v>
      </c>
      <c r="Z3971" s="168" t="str">
        <f t="array" ref="Z3971">iferror(index(I:I,match($A3971&amp;","&amp;index('Year Conversion'!$A:$A,match($C3971,'Year Conversion'!$B:$B,0)),$Y:$Y,0))-I3971,"")</f>
        <v/>
      </c>
      <c r="AA3971" s="168" t="str">
        <f t="array" ref="AA3971">iferror(index(J:J,match($A3971&amp;","&amp;index('Year Conversion'!$A:$A,match($C3971,'Year Conversion'!$B:$B,0)),$Y:$Y,0))-J3971,"")</f>
        <v/>
      </c>
      <c r="AB3971" s="168" t="str">
        <f t="array" ref="AB3971">iferror(index(K:K,match($A3971&amp;","&amp;index('Year Conversion'!$A:$A,match($C3971,'Year Conversion'!$B:$B,0)),$Y:$Y,0))-K3971,"")</f>
        <v/>
      </c>
      <c r="AC3971" s="168" t="str">
        <f t="shared" si="7"/>
        <v>DAL,2020-21</v>
      </c>
    </row>
    <row r="3972">
      <c r="A3972" s="161" t="str">
        <f>IFERROR(__xludf.DUMMYFUNCTION("""COMPUTED_VALUE"""),"mcdanja02")</f>
        <v>mcdanja02</v>
      </c>
      <c r="B3972" s="161" t="str">
        <f>IFERROR(__xludf.DUMMYFUNCTION("""COMPUTED_VALUE"""),"Jaden McDaniels")</f>
        <v>Jaden McDaniels</v>
      </c>
      <c r="C3972" s="162" t="str">
        <f>IFERROR(__xludf.DUMMYFUNCTION("""COMPUTED_VALUE"""),"2020-21")</f>
        <v>2020-21</v>
      </c>
      <c r="D3972" s="163" t="str">
        <f>IFERROR(__xludf.DUMMYFUNCTION("""COMPUTED_VALUE"""),"MIN")</f>
        <v>MIN</v>
      </c>
      <c r="E3972" s="164" t="str">
        <f>IFERROR(__xludf.DUMMYFUNCTION("""COMPUTED_VALUE"""),"Stationary Shooter")</f>
        <v>Stationary Shooter</v>
      </c>
      <c r="F3972" s="164">
        <f>IFERROR(__xludf.DUMMYFUNCTION("""COMPUTED_VALUE"""),482.76)</f>
        <v>482.76</v>
      </c>
      <c r="G3972" s="163">
        <f>IFERROR(__xludf.DUMMYFUNCTION("""COMPUTED_VALUE"""),25.0)</f>
        <v>25</v>
      </c>
      <c r="H3972" s="163" t="str">
        <f>IFERROR(__xludf.DUMMYFUNCTION("""COMPUTED_VALUE"""),"PF")</f>
        <v>PF</v>
      </c>
      <c r="I3972" s="163">
        <f>IFERROR(__xludf.DUMMYFUNCTION("""COMPUTED_VALUE"""),20.0)</f>
        <v>20</v>
      </c>
      <c r="J3972" s="165">
        <f>IFERROR(__xludf.DUMMYFUNCTION("""COMPUTED_VALUE"""),-2.01923565216539)</f>
        <v>-2.019235652</v>
      </c>
      <c r="K3972" s="165">
        <f>IFERROR(__xludf.DUMMYFUNCTION("""COMPUTED_VALUE"""),-3.31495502658425)</f>
        <v>-3.314955027</v>
      </c>
      <c r="L3972" s="165">
        <f>IFERROR(__xludf.DUMMYFUNCTION("""COMPUTED_VALUE"""),1.29571937441886)</f>
        <v>1.295719374</v>
      </c>
      <c r="M3972" s="166">
        <f t="shared" si="2"/>
        <v>0.09074800047</v>
      </c>
      <c r="N3972" s="167">
        <f t="shared" si="3"/>
        <v>19.3104</v>
      </c>
      <c r="O3972" s="163">
        <f t="shared" ref="O3972:Q3972" si="3976">rank(I3972,I:I)</f>
        <v>3770</v>
      </c>
      <c r="P3972" s="163">
        <f t="shared" si="3976"/>
        <v>3491</v>
      </c>
      <c r="Q3972" s="163">
        <f t="shared" si="3976"/>
        <v>3997</v>
      </c>
      <c r="R3972" s="163">
        <f>IFERROR(__xludf.DUMMYFUNCTION("RANK(M3972,filter(M:M,C:C=C3972))"),340.0)</f>
        <v>340</v>
      </c>
      <c r="S3972" s="161" t="b">
        <f t="shared" si="5"/>
        <v>0</v>
      </c>
      <c r="T3972" s="161" t="b">
        <f t="array" ref="T3972">index('Query Tool'!B:B,match(H3972,'Query Tool'!C:C,0))</f>
        <v>1</v>
      </c>
      <c r="U3972" s="161" t="b">
        <f t="array" ref="U3972">index('Query Tool'!B:B,match(C3972,'Query Tool'!C:C,0))</f>
        <v>1</v>
      </c>
      <c r="V3972" s="161" t="b">
        <f>F3972&gt;='Query Tool'!C$32</f>
        <v>0</v>
      </c>
      <c r="W3972" s="161" t="b">
        <f t="array" ref="W3972">index(Dropdowns!B:B,match(I3972,Dropdowns!A:A,0))</f>
        <v>1</v>
      </c>
      <c r="X3972" s="161" t="b">
        <f t="array" ref="X3972">index('Query Tool'!B:B,match(D3972,'Query Tool'!C:C,0))</f>
        <v>1</v>
      </c>
      <c r="Y3972" s="161" t="str">
        <f t="shared" si="6"/>
        <v>mcdanja02,2020-21</v>
      </c>
      <c r="Z3972" s="168" t="str">
        <f t="array" ref="Z3972">iferror(index(I:I,match($A3972&amp;","&amp;index('Year Conversion'!$A:$A,match($C3972,'Year Conversion'!$B:$B,0)),$Y:$Y,0))-I3972,"")</f>
        <v/>
      </c>
      <c r="AA3972" s="168" t="str">
        <f t="array" ref="AA3972">iferror(index(J:J,match($A3972&amp;","&amp;index('Year Conversion'!$A:$A,match($C3972,'Year Conversion'!$B:$B,0)),$Y:$Y,0))-J3972,"")</f>
        <v/>
      </c>
      <c r="AB3972" s="168" t="str">
        <f t="array" ref="AB3972">iferror(index(K:K,match($A3972&amp;","&amp;index('Year Conversion'!$A:$A,match($C3972,'Year Conversion'!$B:$B,0)),$Y:$Y,0))-K3972,"")</f>
        <v/>
      </c>
      <c r="AC3972" s="168" t="str">
        <f t="shared" si="7"/>
        <v>MIN,2020-21</v>
      </c>
    </row>
    <row r="3973">
      <c r="A3973" s="161" t="str">
        <f>IFERROR(__xludf.DUMMYFUNCTION("""COMPUTED_VALUE"""),"lewiski01")</f>
        <v>lewiski01</v>
      </c>
      <c r="B3973" s="161" t="str">
        <f>IFERROR(__xludf.DUMMYFUNCTION("""COMPUTED_VALUE"""),"Kira Lewis Jr.")</f>
        <v>Kira Lewis Jr.</v>
      </c>
      <c r="C3973" s="162" t="str">
        <f>IFERROR(__xludf.DUMMYFUNCTION("""COMPUTED_VALUE"""),"2020-21")</f>
        <v>2020-21</v>
      </c>
      <c r="D3973" s="163" t="str">
        <f>IFERROR(__xludf.DUMMYFUNCTION("""COMPUTED_VALUE"""),"NOP")</f>
        <v>NOP</v>
      </c>
      <c r="E3973" s="164" t="str">
        <f>IFERROR(__xludf.DUMMYFUNCTION("""COMPUTED_VALUE"""),"Secondary Ball Handler")</f>
        <v>Secondary Ball Handler</v>
      </c>
      <c r="F3973" s="164">
        <f>IFERROR(__xludf.DUMMYFUNCTION("""COMPUTED_VALUE"""),248.836666666667)</f>
        <v>248.8366667</v>
      </c>
      <c r="G3973" s="163">
        <f>IFERROR(__xludf.DUMMYFUNCTION("""COMPUTED_VALUE"""),19.0)</f>
        <v>19</v>
      </c>
      <c r="H3973" s="163" t="str">
        <f>IFERROR(__xludf.DUMMYFUNCTION("""COMPUTED_VALUE"""),"PG")</f>
        <v>PG</v>
      </c>
      <c r="I3973" s="163">
        <f>IFERROR(__xludf.DUMMYFUNCTION("""COMPUTED_VALUE"""),19.0)</f>
        <v>19</v>
      </c>
      <c r="J3973" s="165">
        <f>IFERROR(__xludf.DUMMYFUNCTION("""COMPUTED_VALUE"""),-0.183821269408324)</f>
        <v>-0.1838212694</v>
      </c>
      <c r="K3973" s="165">
        <f>IFERROR(__xludf.DUMMYFUNCTION("""COMPUTED_VALUE"""),-0.588895008519398)</f>
        <v>-0.5888950085</v>
      </c>
      <c r="L3973" s="165">
        <f>IFERROR(__xludf.DUMMYFUNCTION("""COMPUTED_VALUE"""),0.405073739111073)</f>
        <v>0.4050737391</v>
      </c>
      <c r="M3973" s="166">
        <f t="shared" si="2"/>
        <v>0.3527862074</v>
      </c>
      <c r="N3973" s="167">
        <f t="shared" si="3"/>
        <v>13.09666667</v>
      </c>
      <c r="O3973" s="163">
        <f t="shared" ref="O3973:Q3973" si="3977">rank(I3973,I:I)</f>
        <v>3945</v>
      </c>
      <c r="P3973" s="163">
        <f t="shared" si="3977"/>
        <v>1486</v>
      </c>
      <c r="Q3973" s="163">
        <f t="shared" si="3977"/>
        <v>2244</v>
      </c>
      <c r="R3973" s="163">
        <f>IFERROR(__xludf.DUMMYFUNCTION("RANK(M3973,filter(M:M,C:C=C3973))"),230.0)</f>
        <v>230</v>
      </c>
      <c r="S3973" s="161" t="b">
        <f t="shared" si="5"/>
        <v>0</v>
      </c>
      <c r="T3973" s="161" t="b">
        <f t="array" ref="T3973">index('Query Tool'!B:B,match(H3973,'Query Tool'!C:C,0))</f>
        <v>1</v>
      </c>
      <c r="U3973" s="161" t="b">
        <f t="array" ref="U3973">index('Query Tool'!B:B,match(C3973,'Query Tool'!C:C,0))</f>
        <v>1</v>
      </c>
      <c r="V3973" s="161" t="b">
        <f>F3973&gt;='Query Tool'!C$32</f>
        <v>0</v>
      </c>
      <c r="W3973" s="161" t="b">
        <f t="array" ref="W3973">index(Dropdowns!B:B,match(I3973,Dropdowns!A:A,0))</f>
        <v>1</v>
      </c>
      <c r="X3973" s="161" t="b">
        <f t="array" ref="X3973">index('Query Tool'!B:B,match(D3973,'Query Tool'!C:C,0))</f>
        <v>1</v>
      </c>
      <c r="Y3973" s="161" t="str">
        <f t="shared" si="6"/>
        <v>lewiski01,2020-21</v>
      </c>
      <c r="Z3973" s="168" t="str">
        <f t="array" ref="Z3973">iferror(index(I:I,match($A3973&amp;","&amp;index('Year Conversion'!$A:$A,match($C3973,'Year Conversion'!$B:$B,0)),$Y:$Y,0))-I3973,"")</f>
        <v/>
      </c>
      <c r="AA3973" s="168" t="str">
        <f t="array" ref="AA3973">iferror(index(J:J,match($A3973&amp;","&amp;index('Year Conversion'!$A:$A,match($C3973,'Year Conversion'!$B:$B,0)),$Y:$Y,0))-J3973,"")</f>
        <v/>
      </c>
      <c r="AB3973" s="168" t="str">
        <f t="array" ref="AB3973">iferror(index(K:K,match($A3973&amp;","&amp;index('Year Conversion'!$A:$A,match($C3973,'Year Conversion'!$B:$B,0)),$Y:$Y,0))-K3973,"")</f>
        <v/>
      </c>
      <c r="AC3973" s="168" t="str">
        <f t="shared" si="7"/>
        <v>NOP,2020-21</v>
      </c>
    </row>
    <row r="3974">
      <c r="A3974" s="161" t="str">
        <f>IFERROR(__xludf.DUMMYFUNCTION("""COMPUTED_VALUE"""),"mannini01")</f>
        <v>mannini01</v>
      </c>
      <c r="B3974" s="161" t="str">
        <f>IFERROR(__xludf.DUMMYFUNCTION("""COMPUTED_VALUE"""),"Nico Mannion")</f>
        <v>Nico Mannion</v>
      </c>
      <c r="C3974" s="162" t="str">
        <f>IFERROR(__xludf.DUMMYFUNCTION("""COMPUTED_VALUE"""),"2020-21")</f>
        <v>2020-21</v>
      </c>
      <c r="D3974" s="163" t="str">
        <f>IFERROR(__xludf.DUMMYFUNCTION("""COMPUTED_VALUE"""),"GSW")</f>
        <v>GSW</v>
      </c>
      <c r="E3974" s="164" t="str">
        <f>IFERROR(__xludf.DUMMYFUNCTION("""COMPUTED_VALUE"""),"Secondary Ball Handler")</f>
        <v>Secondary Ball Handler</v>
      </c>
      <c r="F3974" s="164">
        <f>IFERROR(__xludf.DUMMYFUNCTION("""COMPUTED_VALUE"""),36.0666666666667)</f>
        <v>36.06666667</v>
      </c>
      <c r="G3974" s="163">
        <f>IFERROR(__xludf.DUMMYFUNCTION("""COMPUTED_VALUE"""),6.0)</f>
        <v>6</v>
      </c>
      <c r="H3974" s="163" t="str">
        <f>IFERROR(__xludf.DUMMYFUNCTION("""COMPUTED_VALUE"""),"PG")</f>
        <v>PG</v>
      </c>
      <c r="I3974" s="163">
        <f>IFERROR(__xludf.DUMMYFUNCTION("""COMPUTED_VALUE"""),19.0)</f>
        <v>19</v>
      </c>
      <c r="J3974" s="165">
        <f>IFERROR(__xludf.DUMMYFUNCTION("""COMPUTED_VALUE"""),-0.239937205109994)</f>
        <v>-0.2399372051</v>
      </c>
      <c r="K3974" s="165">
        <f>IFERROR(__xludf.DUMMYFUNCTION("""COMPUTED_VALUE"""),0.106786056016415)</f>
        <v>0.106786056</v>
      </c>
      <c r="L3974" s="165">
        <f>IFERROR(__xludf.DUMMYFUNCTION("""COMPUTED_VALUE"""),-0.346723261126409)</f>
        <v>-0.3467232611</v>
      </c>
      <c r="M3974" s="166">
        <f t="shared" si="2"/>
        <v>0.0497689842</v>
      </c>
      <c r="N3974" s="167">
        <f t="shared" si="3"/>
        <v>6.011111111</v>
      </c>
      <c r="O3974" s="163">
        <f t="shared" ref="O3974:Q3974" si="3978">rank(I3974,I:I)</f>
        <v>3945</v>
      </c>
      <c r="P3974" s="163">
        <f t="shared" si="3978"/>
        <v>1545</v>
      </c>
      <c r="Q3974" s="163">
        <f t="shared" si="3978"/>
        <v>1062</v>
      </c>
      <c r="R3974" s="163">
        <f>IFERROR(__xludf.DUMMYFUNCTION("RANK(M3974,filter(M:M,C:C=C3974))"),380.0)</f>
        <v>380</v>
      </c>
      <c r="S3974" s="161" t="b">
        <f t="shared" si="5"/>
        <v>0</v>
      </c>
      <c r="T3974" s="161" t="b">
        <f t="array" ref="T3974">index('Query Tool'!B:B,match(H3974,'Query Tool'!C:C,0))</f>
        <v>1</v>
      </c>
      <c r="U3974" s="161" t="b">
        <f t="array" ref="U3974">index('Query Tool'!B:B,match(C3974,'Query Tool'!C:C,0))</f>
        <v>1</v>
      </c>
      <c r="V3974" s="161" t="b">
        <f>F3974&gt;='Query Tool'!C$32</f>
        <v>0</v>
      </c>
      <c r="W3974" s="161" t="b">
        <f t="array" ref="W3974">index(Dropdowns!B:B,match(I3974,Dropdowns!A:A,0))</f>
        <v>1</v>
      </c>
      <c r="X3974" s="161" t="b">
        <f t="array" ref="X3974">index('Query Tool'!B:B,match(D3974,'Query Tool'!C:C,0))</f>
        <v>1</v>
      </c>
      <c r="Y3974" s="161" t="str">
        <f t="shared" si="6"/>
        <v>mannini01,2020-21</v>
      </c>
      <c r="Z3974" s="168" t="str">
        <f t="array" ref="Z3974">iferror(index(I:I,match($A3974&amp;","&amp;index('Year Conversion'!$A:$A,match($C3974,'Year Conversion'!$B:$B,0)),$Y:$Y,0))-I3974,"")</f>
        <v/>
      </c>
      <c r="AA3974" s="168" t="str">
        <f t="array" ref="AA3974">iferror(index(J:J,match($A3974&amp;","&amp;index('Year Conversion'!$A:$A,match($C3974,'Year Conversion'!$B:$B,0)),$Y:$Y,0))-J3974,"")</f>
        <v/>
      </c>
      <c r="AB3974" s="168" t="str">
        <f t="array" ref="AB3974">iferror(index(K:K,match($A3974&amp;","&amp;index('Year Conversion'!$A:$A,match($C3974,'Year Conversion'!$B:$B,0)),$Y:$Y,0))-K3974,"")</f>
        <v/>
      </c>
      <c r="AC3974" s="168" t="str">
        <f t="shared" si="7"/>
        <v>GSW,2020-21</v>
      </c>
    </row>
    <row r="3975">
      <c r="A3975" s="161" t="str">
        <f>IFERROR(__xludf.DUMMYFUNCTION("""COMPUTED_VALUE"""),"ramseja01")</f>
        <v>ramseja01</v>
      </c>
      <c r="B3975" s="161" t="str">
        <f>IFERROR(__xludf.DUMMYFUNCTION("""COMPUTED_VALUE"""),"Jahmi'us Ramsey")</f>
        <v>Jahmi'us Ramsey</v>
      </c>
      <c r="C3975" s="162" t="str">
        <f>IFERROR(__xludf.DUMMYFUNCTION("""COMPUTED_VALUE"""),"2020-21")</f>
        <v>2020-21</v>
      </c>
      <c r="D3975" s="163" t="str">
        <f>IFERROR(__xludf.DUMMYFUNCTION("""COMPUTED_VALUE"""),"SAC")</f>
        <v>SAC</v>
      </c>
      <c r="E3975" s="164" t="str">
        <f>IFERROR(__xludf.DUMMYFUNCTION("""COMPUTED_VALUE"""),"Off Screen Shooter")</f>
        <v>Off Screen Shooter</v>
      </c>
      <c r="F3975" s="164">
        <f>IFERROR(__xludf.DUMMYFUNCTION("""COMPUTED_VALUE"""),15.65)</f>
        <v>15.65</v>
      </c>
      <c r="G3975" s="163">
        <f>IFERROR(__xludf.DUMMYFUNCTION("""COMPUTED_VALUE"""),4.0)</f>
        <v>4</v>
      </c>
      <c r="H3975" s="163" t="str">
        <f>IFERROR(__xludf.DUMMYFUNCTION("""COMPUTED_VALUE"""),"SG")</f>
        <v>SG</v>
      </c>
      <c r="I3975" s="163">
        <f>IFERROR(__xludf.DUMMYFUNCTION("""COMPUTED_VALUE"""),19.0)</f>
        <v>19</v>
      </c>
      <c r="J3975" s="165">
        <f>IFERROR(__xludf.DUMMYFUNCTION("""COMPUTED_VALUE"""),0.444013037673933)</f>
        <v>0.4440130377</v>
      </c>
      <c r="K3975" s="165">
        <f>IFERROR(__xludf.DUMMYFUNCTION("""COMPUTED_VALUE"""),0.0737967866542515)</f>
        <v>0.07379678665</v>
      </c>
      <c r="L3975" s="165">
        <f>IFERROR(__xludf.DUMMYFUNCTION("""COMPUTED_VALUE"""),0.370216251019682)</f>
        <v>0.370216251</v>
      </c>
      <c r="M3975" s="166">
        <f t="shared" si="2"/>
        <v>0.02881061362</v>
      </c>
      <c r="N3975" s="167">
        <f t="shared" si="3"/>
        <v>3.9125</v>
      </c>
      <c r="O3975" s="163">
        <f t="shared" ref="O3975:Q3975" si="3979">rank(I3975,I:I)</f>
        <v>3945</v>
      </c>
      <c r="P3975" s="163">
        <f t="shared" si="3979"/>
        <v>928</v>
      </c>
      <c r="Q3975" s="163">
        <f t="shared" si="3979"/>
        <v>1099</v>
      </c>
      <c r="R3975" s="163">
        <f>IFERROR(__xludf.DUMMYFUNCTION("RANK(M3975,filter(M:M,C:C=C3975))"),405.0)</f>
        <v>405</v>
      </c>
      <c r="S3975" s="161" t="b">
        <f t="shared" si="5"/>
        <v>0</v>
      </c>
      <c r="T3975" s="161" t="b">
        <f t="array" ref="T3975">index('Query Tool'!B:B,match(H3975,'Query Tool'!C:C,0))</f>
        <v>1</v>
      </c>
      <c r="U3975" s="161" t="b">
        <f t="array" ref="U3975">index('Query Tool'!B:B,match(C3975,'Query Tool'!C:C,0))</f>
        <v>1</v>
      </c>
      <c r="V3975" s="161" t="b">
        <f>F3975&gt;='Query Tool'!C$32</f>
        <v>0</v>
      </c>
      <c r="W3975" s="161" t="b">
        <f t="array" ref="W3975">index(Dropdowns!B:B,match(I3975,Dropdowns!A:A,0))</f>
        <v>1</v>
      </c>
      <c r="X3975" s="161" t="b">
        <f t="array" ref="X3975">index('Query Tool'!B:B,match(D3975,'Query Tool'!C:C,0))</f>
        <v>1</v>
      </c>
      <c r="Y3975" s="161" t="str">
        <f t="shared" si="6"/>
        <v>ramseja01,2020-21</v>
      </c>
      <c r="Z3975" s="168" t="str">
        <f t="array" ref="Z3975">iferror(index(I:I,match($A3975&amp;","&amp;index('Year Conversion'!$A:$A,match($C3975,'Year Conversion'!$B:$B,0)),$Y:$Y,0))-I3975,"")</f>
        <v/>
      </c>
      <c r="AA3975" s="168" t="str">
        <f t="array" ref="AA3975">iferror(index(J:J,match($A3975&amp;","&amp;index('Year Conversion'!$A:$A,match($C3975,'Year Conversion'!$B:$B,0)),$Y:$Y,0))-J3975,"")</f>
        <v/>
      </c>
      <c r="AB3975" s="168" t="str">
        <f t="array" ref="AB3975">iferror(index(K:K,match($A3975&amp;","&amp;index('Year Conversion'!$A:$A,match($C3975,'Year Conversion'!$B:$B,0)),$Y:$Y,0))-K3975,"")</f>
        <v/>
      </c>
      <c r="AC3975" s="168" t="str">
        <f t="shared" si="7"/>
        <v>SAC,2020-21</v>
      </c>
    </row>
    <row r="3976">
      <c r="A3976" s="161" t="str">
        <f>IFERROR(__xludf.DUMMYFUNCTION("""COMPUTED_VALUE"""),"oturuda01")</f>
        <v>oturuda01</v>
      </c>
      <c r="B3976" s="161" t="str">
        <f>IFERROR(__xludf.DUMMYFUNCTION("""COMPUTED_VALUE"""),"Daniel Oturu")</f>
        <v>Daniel Oturu</v>
      </c>
      <c r="C3976" s="162" t="str">
        <f>IFERROR(__xludf.DUMMYFUNCTION("""COMPUTED_VALUE"""),"2020-21")</f>
        <v>2020-21</v>
      </c>
      <c r="D3976" s="163" t="str">
        <f>IFERROR(__xludf.DUMMYFUNCTION("""COMPUTED_VALUE"""),"LAC")</f>
        <v>LAC</v>
      </c>
      <c r="E3976" s="164" t="str">
        <f>IFERROR(__xludf.DUMMYFUNCTION("""COMPUTED_VALUE"""),"Roll + Cut Big")</f>
        <v>Roll + Cut Big</v>
      </c>
      <c r="F3976" s="164">
        <f>IFERROR(__xludf.DUMMYFUNCTION("""COMPUTED_VALUE"""),42.085)</f>
        <v>42.085</v>
      </c>
      <c r="G3976" s="163">
        <f>IFERROR(__xludf.DUMMYFUNCTION("""COMPUTED_VALUE"""),10.0)</f>
        <v>10</v>
      </c>
      <c r="H3976" s="163" t="str">
        <f>IFERROR(__xludf.DUMMYFUNCTION("""COMPUTED_VALUE"""),"C")</f>
        <v>C</v>
      </c>
      <c r="I3976" s="163">
        <f>IFERROR(__xludf.DUMMYFUNCTION("""COMPUTED_VALUE"""),21.0)</f>
        <v>21</v>
      </c>
      <c r="J3976" s="165">
        <f>IFERROR(__xludf.DUMMYFUNCTION("""COMPUTED_VALUE"""),-0.520621963081007)</f>
        <v>-0.5206219631</v>
      </c>
      <c r="K3976" s="165">
        <f>IFERROR(__xludf.DUMMYFUNCTION("""COMPUTED_VALUE"""),-0.170586976374369)</f>
        <v>-0.1705869764</v>
      </c>
      <c r="L3976" s="165">
        <f>IFERROR(__xludf.DUMMYFUNCTION("""COMPUTED_VALUE"""),-0.350034986706638)</f>
        <v>-0.3500349867</v>
      </c>
      <c r="M3976" s="166">
        <f t="shared" si="2"/>
        <v>0.05011484933</v>
      </c>
      <c r="N3976" s="167">
        <f t="shared" si="3"/>
        <v>4.2085</v>
      </c>
      <c r="O3976" s="163">
        <f t="shared" ref="O3976:Q3976" si="3980">rank(I3976,I:I)</f>
        <v>3528</v>
      </c>
      <c r="P3976" s="163">
        <f t="shared" si="3980"/>
        <v>1884</v>
      </c>
      <c r="Q3976" s="163">
        <f t="shared" si="3980"/>
        <v>1516</v>
      </c>
      <c r="R3976" s="163">
        <f>IFERROR(__xludf.DUMMYFUNCTION("RANK(M3976,filter(M:M,C:C=C3976))"),379.0)</f>
        <v>379</v>
      </c>
      <c r="S3976" s="161" t="b">
        <f t="shared" si="5"/>
        <v>0</v>
      </c>
      <c r="T3976" s="161" t="b">
        <f t="array" ref="T3976">index('Query Tool'!B:B,match(H3976,'Query Tool'!C:C,0))</f>
        <v>1</v>
      </c>
      <c r="U3976" s="161" t="b">
        <f t="array" ref="U3976">index('Query Tool'!B:B,match(C3976,'Query Tool'!C:C,0))</f>
        <v>1</v>
      </c>
      <c r="V3976" s="161" t="b">
        <f>F3976&gt;='Query Tool'!C$32</f>
        <v>0</v>
      </c>
      <c r="W3976" s="161" t="b">
        <f t="array" ref="W3976">index(Dropdowns!B:B,match(I3976,Dropdowns!A:A,0))</f>
        <v>1</v>
      </c>
      <c r="X3976" s="161" t="b">
        <f t="array" ref="X3976">index('Query Tool'!B:B,match(D3976,'Query Tool'!C:C,0))</f>
        <v>1</v>
      </c>
      <c r="Y3976" s="161" t="str">
        <f t="shared" si="6"/>
        <v>oturuda01,2020-21</v>
      </c>
      <c r="Z3976" s="168" t="str">
        <f t="array" ref="Z3976">iferror(index(I:I,match($A3976&amp;","&amp;index('Year Conversion'!$A:$A,match($C3976,'Year Conversion'!$B:$B,0)),$Y:$Y,0))-I3976,"")</f>
        <v/>
      </c>
      <c r="AA3976" s="168" t="str">
        <f t="array" ref="AA3976">iferror(index(J:J,match($A3976&amp;","&amp;index('Year Conversion'!$A:$A,match($C3976,'Year Conversion'!$B:$B,0)),$Y:$Y,0))-J3976,"")</f>
        <v/>
      </c>
      <c r="AB3976" s="168" t="str">
        <f t="array" ref="AB3976">iferror(index(K:K,match($A3976&amp;","&amp;index('Year Conversion'!$A:$A,match($C3976,'Year Conversion'!$B:$B,0)),$Y:$Y,0))-K3976,"")</f>
        <v/>
      </c>
      <c r="AC3976" s="168" t="str">
        <f t="shared" si="7"/>
        <v>LAC,2020-21</v>
      </c>
    </row>
    <row r="3977">
      <c r="A3977" s="161" t="str">
        <f>IFERROR(__xludf.DUMMYFUNCTION("""COMPUTED_VALUE"""),"smithja04")</f>
        <v>smithja04</v>
      </c>
      <c r="B3977" s="161" t="str">
        <f>IFERROR(__xludf.DUMMYFUNCTION("""COMPUTED_VALUE"""),"Jalen Smith")</f>
        <v>Jalen Smith</v>
      </c>
      <c r="C3977" s="162" t="str">
        <f>IFERROR(__xludf.DUMMYFUNCTION("""COMPUTED_VALUE"""),"2020-21")</f>
        <v>2020-21</v>
      </c>
      <c r="D3977" s="163" t="str">
        <f>IFERROR(__xludf.DUMMYFUNCTION("""COMPUTED_VALUE"""),"PHO")</f>
        <v>PHO</v>
      </c>
      <c r="E3977" s="164" t="str">
        <f>IFERROR(__xludf.DUMMYFUNCTION("""COMPUTED_VALUE"""),"Versatile Big")</f>
        <v>Versatile Big</v>
      </c>
      <c r="F3977" s="164">
        <f>IFERROR(__xludf.DUMMYFUNCTION("""COMPUTED_VALUE"""),49.7083333333334)</f>
        <v>49.70833333</v>
      </c>
      <c r="G3977" s="163">
        <f>IFERROR(__xludf.DUMMYFUNCTION("""COMPUTED_VALUE"""),8.0)</f>
        <v>8</v>
      </c>
      <c r="H3977" s="163" t="str">
        <f>IFERROR(__xludf.DUMMYFUNCTION("""COMPUTED_VALUE"""),"PF")</f>
        <v>PF</v>
      </c>
      <c r="I3977" s="163">
        <f>IFERROR(__xludf.DUMMYFUNCTION("""COMPUTED_VALUE"""),20.0)</f>
        <v>20</v>
      </c>
      <c r="J3977" s="165">
        <f>IFERROR(__xludf.DUMMYFUNCTION("""COMPUTED_VALUE"""),-0.912042101571618)</f>
        <v>-0.9120421016</v>
      </c>
      <c r="K3977" s="165">
        <f>IFERROR(__xludf.DUMMYFUNCTION("""COMPUTED_VALUE"""),-0.306595402733923)</f>
        <v>-0.3065954027</v>
      </c>
      <c r="L3977" s="165">
        <f>IFERROR(__xludf.DUMMYFUNCTION("""COMPUTED_VALUE"""),-0.605446698837696)</f>
        <v>-0.6054466988</v>
      </c>
      <c r="M3977" s="166">
        <f t="shared" si="2"/>
        <v>0.0461038192</v>
      </c>
      <c r="N3977" s="167">
        <f t="shared" si="3"/>
        <v>6.213541667</v>
      </c>
      <c r="O3977" s="163">
        <f t="shared" ref="O3977:Q3977" si="3981">rank(I3977,I:I)</f>
        <v>3770</v>
      </c>
      <c r="P3977" s="163">
        <f t="shared" si="3981"/>
        <v>2409</v>
      </c>
      <c r="Q3977" s="163">
        <f t="shared" si="3981"/>
        <v>1771</v>
      </c>
      <c r="R3977" s="163">
        <f>IFERROR(__xludf.DUMMYFUNCTION("RANK(M3977,filter(M:M,C:C=C3977))"),387.0)</f>
        <v>387</v>
      </c>
      <c r="S3977" s="161" t="b">
        <f t="shared" si="5"/>
        <v>0</v>
      </c>
      <c r="T3977" s="161" t="b">
        <f t="array" ref="T3977">index('Query Tool'!B:B,match(H3977,'Query Tool'!C:C,0))</f>
        <v>1</v>
      </c>
      <c r="U3977" s="161" t="b">
        <f t="array" ref="U3977">index('Query Tool'!B:B,match(C3977,'Query Tool'!C:C,0))</f>
        <v>1</v>
      </c>
      <c r="V3977" s="161" t="b">
        <f>F3977&gt;='Query Tool'!C$32</f>
        <v>0</v>
      </c>
      <c r="W3977" s="161" t="b">
        <f t="array" ref="W3977">index(Dropdowns!B:B,match(I3977,Dropdowns!A:A,0))</f>
        <v>1</v>
      </c>
      <c r="X3977" s="161" t="b">
        <f t="array" ref="X3977">index('Query Tool'!B:B,match(D3977,'Query Tool'!C:C,0))</f>
        <v>1</v>
      </c>
      <c r="Y3977" s="161" t="str">
        <f t="shared" si="6"/>
        <v>smithja04,2020-21</v>
      </c>
      <c r="Z3977" s="168" t="str">
        <f t="array" ref="Z3977">iferror(index(I:I,match($A3977&amp;","&amp;index('Year Conversion'!$A:$A,match($C3977,'Year Conversion'!$B:$B,0)),$Y:$Y,0))-I3977,"")</f>
        <v/>
      </c>
      <c r="AA3977" s="168" t="str">
        <f t="array" ref="AA3977">iferror(index(J:J,match($A3977&amp;","&amp;index('Year Conversion'!$A:$A,match($C3977,'Year Conversion'!$B:$B,0)),$Y:$Y,0))-J3977,"")</f>
        <v/>
      </c>
      <c r="AB3977" s="168" t="str">
        <f t="array" ref="AB3977">iferror(index(K:K,match($A3977&amp;","&amp;index('Year Conversion'!$A:$A,match($C3977,'Year Conversion'!$B:$B,0)),$Y:$Y,0))-K3977,"")</f>
        <v/>
      </c>
      <c r="AC3977" s="168" t="str">
        <f t="shared" si="7"/>
        <v>PHO,2020-21</v>
      </c>
    </row>
    <row r="3978">
      <c r="A3978" s="161" t="str">
        <f>IFERROR(__xludf.DUMMYFUNCTION("""COMPUTED_VALUE"""),"beyty01")</f>
        <v>beyty01</v>
      </c>
      <c r="B3978" s="161" t="str">
        <f>IFERROR(__xludf.DUMMYFUNCTION("""COMPUTED_VALUE"""),"Tyler Bey")</f>
        <v>Tyler Bey</v>
      </c>
      <c r="C3978" s="162" t="str">
        <f>IFERROR(__xludf.DUMMYFUNCTION("""COMPUTED_VALUE"""),"2020-21")</f>
        <v>2020-21</v>
      </c>
      <c r="D3978" s="163" t="str">
        <f>IFERROR(__xludf.DUMMYFUNCTION("""COMPUTED_VALUE"""),"DAL")</f>
        <v>DAL</v>
      </c>
      <c r="E3978" s="164" t="str">
        <f>IFERROR(__xludf.DUMMYFUNCTION("""COMPUTED_VALUE"""),"Roll + Cut Big")</f>
        <v>Roll + Cut Big</v>
      </c>
      <c r="F3978" s="164">
        <f>IFERROR(__xludf.DUMMYFUNCTION("""COMPUTED_VALUE"""),12.5833333333333)</f>
        <v>12.58333333</v>
      </c>
      <c r="G3978" s="163">
        <f>IFERROR(__xludf.DUMMYFUNCTION("""COMPUTED_VALUE"""),4.0)</f>
        <v>4</v>
      </c>
      <c r="H3978" s="163" t="str">
        <f>IFERROR(__xludf.DUMMYFUNCTION("""COMPUTED_VALUE"""),"SF")</f>
        <v>SF</v>
      </c>
      <c r="I3978" s="163">
        <f>IFERROR(__xludf.DUMMYFUNCTION("""COMPUTED_VALUE"""),22.0)</f>
        <v>22</v>
      </c>
      <c r="J3978" s="165">
        <f>IFERROR(__xludf.DUMMYFUNCTION("""COMPUTED_VALUE"""),-0.241488174649484)</f>
        <v>-0.2414881746</v>
      </c>
      <c r="K3978" s="165">
        <f>IFERROR(__xludf.DUMMYFUNCTION("""COMPUTED_VALUE"""),-0.128340491501821)</f>
        <v>-0.1283404915</v>
      </c>
      <c r="L3978" s="165">
        <f>IFERROR(__xludf.DUMMYFUNCTION("""COMPUTED_VALUE"""),-0.113147683147663)</f>
        <v>-0.1131476831</v>
      </c>
      <c r="M3978" s="166">
        <f t="shared" si="2"/>
        <v>0.01735079325</v>
      </c>
      <c r="N3978" s="167">
        <f t="shared" si="3"/>
        <v>3.145833333</v>
      </c>
      <c r="O3978" s="163">
        <f t="shared" ref="O3978:Q3978" si="3982">rank(I3978,I:I)</f>
        <v>3178</v>
      </c>
      <c r="P3978" s="163">
        <f t="shared" si="3982"/>
        <v>1548</v>
      </c>
      <c r="Q3978" s="163">
        <f t="shared" si="3982"/>
        <v>1433</v>
      </c>
      <c r="R3978" s="163">
        <f>IFERROR(__xludf.DUMMYFUNCTION("RANK(M3978,filter(M:M,C:C=C3978))"),423.0)</f>
        <v>423</v>
      </c>
      <c r="S3978" s="161" t="b">
        <f t="shared" si="5"/>
        <v>0</v>
      </c>
      <c r="T3978" s="161" t="b">
        <f t="array" ref="T3978">index('Query Tool'!B:B,match(H3978,'Query Tool'!C:C,0))</f>
        <v>1</v>
      </c>
      <c r="U3978" s="161" t="b">
        <f t="array" ref="U3978">index('Query Tool'!B:B,match(C3978,'Query Tool'!C:C,0))</f>
        <v>1</v>
      </c>
      <c r="V3978" s="161" t="b">
        <f>F3978&gt;='Query Tool'!C$32</f>
        <v>0</v>
      </c>
      <c r="W3978" s="161" t="b">
        <f t="array" ref="W3978">index(Dropdowns!B:B,match(I3978,Dropdowns!A:A,0))</f>
        <v>1</v>
      </c>
      <c r="X3978" s="161" t="b">
        <f t="array" ref="X3978">index('Query Tool'!B:B,match(D3978,'Query Tool'!C:C,0))</f>
        <v>1</v>
      </c>
      <c r="Y3978" s="161" t="str">
        <f t="shared" si="6"/>
        <v>beyty01,2020-21</v>
      </c>
      <c r="Z3978" s="168" t="str">
        <f t="array" ref="Z3978">iferror(index(I:I,match($A3978&amp;","&amp;index('Year Conversion'!$A:$A,match($C3978,'Year Conversion'!$B:$B,0)),$Y:$Y,0))-I3978,"")</f>
        <v/>
      </c>
      <c r="AA3978" s="168" t="str">
        <f t="array" ref="AA3978">iferror(index(J:J,match($A3978&amp;","&amp;index('Year Conversion'!$A:$A,match($C3978,'Year Conversion'!$B:$B,0)),$Y:$Y,0))-J3978,"")</f>
        <v/>
      </c>
      <c r="AB3978" s="168" t="str">
        <f t="array" ref="AB3978">iferror(index(K:K,match($A3978&amp;","&amp;index('Year Conversion'!$A:$A,match($C3978,'Year Conversion'!$B:$B,0)),$Y:$Y,0))-K3978,"")</f>
        <v/>
      </c>
      <c r="AC3978" s="168" t="str">
        <f t="shared" si="7"/>
        <v>DAL,2020-21</v>
      </c>
    </row>
    <row r="3979">
      <c r="A3979" s="161" t="str">
        <f>IFERROR(__xludf.DUMMYFUNCTION("""COMPUTED_VALUE"""),"hugheel01")</f>
        <v>hugheel01</v>
      </c>
      <c r="B3979" s="161" t="str">
        <f>IFERROR(__xludf.DUMMYFUNCTION("""COMPUTED_VALUE"""),"Elijah Hughes")</f>
        <v>Elijah Hughes</v>
      </c>
      <c r="C3979" s="162" t="str">
        <f>IFERROR(__xludf.DUMMYFUNCTION("""COMPUTED_VALUE"""),"2020-21")</f>
        <v>2020-21</v>
      </c>
      <c r="D3979" s="163" t="str">
        <f>IFERROR(__xludf.DUMMYFUNCTION("""COMPUTED_VALUE"""),"UTA")</f>
        <v>UTA</v>
      </c>
      <c r="E3979" s="164" t="str">
        <f>IFERROR(__xludf.DUMMYFUNCTION("""COMPUTED_VALUE"""),"Movement Shooter")</f>
        <v>Movement Shooter</v>
      </c>
      <c r="F3979" s="164">
        <f>IFERROR(__xludf.DUMMYFUNCTION("""COMPUTED_VALUE"""),26.985)</f>
        <v>26.985</v>
      </c>
      <c r="G3979" s="163">
        <f>IFERROR(__xludf.DUMMYFUNCTION("""COMPUTED_VALUE"""),6.0)</f>
        <v>6</v>
      </c>
      <c r="H3979" s="163" t="str">
        <f>IFERROR(__xludf.DUMMYFUNCTION("""COMPUTED_VALUE"""),"SF")</f>
        <v>SF</v>
      </c>
      <c r="I3979" s="163">
        <f>IFERROR(__xludf.DUMMYFUNCTION("""COMPUTED_VALUE"""),22.0)</f>
        <v>22</v>
      </c>
      <c r="J3979" s="165">
        <f>IFERROR(__xludf.DUMMYFUNCTION("""COMPUTED_VALUE"""),-1.43829389703191)</f>
        <v>-1.438293897</v>
      </c>
      <c r="K3979" s="165">
        <f>IFERROR(__xludf.DUMMYFUNCTION("""COMPUTED_VALUE"""),-0.147913593990522)</f>
        <v>-0.147913594</v>
      </c>
      <c r="L3979" s="165">
        <f>IFERROR(__xludf.DUMMYFUNCTION("""COMPUTED_VALUE"""),-1.29038030304138)</f>
        <v>-1.290380303</v>
      </c>
      <c r="M3979" s="166">
        <f t="shared" si="2"/>
        <v>0.01550991672</v>
      </c>
      <c r="N3979" s="167">
        <f t="shared" si="3"/>
        <v>4.4975</v>
      </c>
      <c r="O3979" s="163">
        <f t="shared" ref="O3979:Q3979" si="3983">rank(I3979,I:I)</f>
        <v>3178</v>
      </c>
      <c r="P3979" s="163">
        <f t="shared" si="3983"/>
        <v>3001</v>
      </c>
      <c r="Q3979" s="163">
        <f t="shared" si="3983"/>
        <v>1472</v>
      </c>
      <c r="R3979" s="163">
        <f>IFERROR(__xludf.DUMMYFUNCTION("RANK(M3979,filter(M:M,C:C=C3979))"),425.0)</f>
        <v>425</v>
      </c>
      <c r="S3979" s="161" t="b">
        <f t="shared" si="5"/>
        <v>0</v>
      </c>
      <c r="T3979" s="161" t="b">
        <f t="array" ref="T3979">index('Query Tool'!B:B,match(H3979,'Query Tool'!C:C,0))</f>
        <v>1</v>
      </c>
      <c r="U3979" s="161" t="b">
        <f t="array" ref="U3979">index('Query Tool'!B:B,match(C3979,'Query Tool'!C:C,0))</f>
        <v>1</v>
      </c>
      <c r="V3979" s="161" t="b">
        <f>F3979&gt;='Query Tool'!C$32</f>
        <v>0</v>
      </c>
      <c r="W3979" s="161" t="b">
        <f t="array" ref="W3979">index(Dropdowns!B:B,match(I3979,Dropdowns!A:A,0))</f>
        <v>1</v>
      </c>
      <c r="X3979" s="161" t="b">
        <f t="array" ref="X3979">index('Query Tool'!B:B,match(D3979,'Query Tool'!C:C,0))</f>
        <v>1</v>
      </c>
      <c r="Y3979" s="161" t="str">
        <f t="shared" si="6"/>
        <v>hugheel01,2020-21</v>
      </c>
      <c r="Z3979" s="168" t="str">
        <f t="array" ref="Z3979">iferror(index(I:I,match($A3979&amp;","&amp;index('Year Conversion'!$A:$A,match($C3979,'Year Conversion'!$B:$B,0)),$Y:$Y,0))-I3979,"")</f>
        <v/>
      </c>
      <c r="AA3979" s="168" t="str">
        <f t="array" ref="AA3979">iferror(index(J:J,match($A3979&amp;","&amp;index('Year Conversion'!$A:$A,match($C3979,'Year Conversion'!$B:$B,0)),$Y:$Y,0))-J3979,"")</f>
        <v/>
      </c>
      <c r="AB3979" s="168" t="str">
        <f t="array" ref="AB3979">iferror(index(K:K,match($A3979&amp;","&amp;index('Year Conversion'!$A:$A,match($C3979,'Year Conversion'!$B:$B,0)),$Y:$Y,0))-K3979,"")</f>
        <v/>
      </c>
      <c r="AC3979" s="168" t="str">
        <f t="shared" si="7"/>
        <v>UTA,2020-21</v>
      </c>
    </row>
    <row r="3980">
      <c r="A3980" s="161" t="str">
        <f>IFERROR(__xludf.DUMMYFUNCTION("""COMPUTED_VALUE"""),"stewais01")</f>
        <v>stewais01</v>
      </c>
      <c r="B3980" s="161" t="str">
        <f>IFERROR(__xludf.DUMMYFUNCTION("""COMPUTED_VALUE"""),"Isaiah Stewart")</f>
        <v>Isaiah Stewart</v>
      </c>
      <c r="C3980" s="162" t="str">
        <f>IFERROR(__xludf.DUMMYFUNCTION("""COMPUTED_VALUE"""),"2020-21")</f>
        <v>2020-21</v>
      </c>
      <c r="D3980" s="163" t="str">
        <f>IFERROR(__xludf.DUMMYFUNCTION("""COMPUTED_VALUE"""),"DET")</f>
        <v>DET</v>
      </c>
      <c r="E3980" s="164" t="str">
        <f>IFERROR(__xludf.DUMMYFUNCTION("""COMPUTED_VALUE"""),"Roll + Cut Big")</f>
        <v>Roll + Cut Big</v>
      </c>
      <c r="F3980" s="164">
        <f>IFERROR(__xludf.DUMMYFUNCTION("""COMPUTED_VALUE"""),500.023333333333)</f>
        <v>500.0233333</v>
      </c>
      <c r="G3980" s="163">
        <f>IFERROR(__xludf.DUMMYFUNCTION("""COMPUTED_VALUE"""),28.0)</f>
        <v>28</v>
      </c>
      <c r="H3980" s="163" t="str">
        <f>IFERROR(__xludf.DUMMYFUNCTION("""COMPUTED_VALUE"""),"C")</f>
        <v>C</v>
      </c>
      <c r="I3980" s="163">
        <f>IFERROR(__xludf.DUMMYFUNCTION("""COMPUTED_VALUE"""),19.0)</f>
        <v>19</v>
      </c>
      <c r="J3980" s="165">
        <f>IFERROR(__xludf.DUMMYFUNCTION("""COMPUTED_VALUE"""),-1.14117946977993)</f>
        <v>-1.14117947</v>
      </c>
      <c r="K3980" s="165">
        <f>IFERROR(__xludf.DUMMYFUNCTION("""COMPUTED_VALUE"""),-2.49494893915921)</f>
        <v>-2.494948939</v>
      </c>
      <c r="L3980" s="165">
        <f>IFERROR(__xludf.DUMMYFUNCTION("""COMPUTED_VALUE"""),1.35376946937928)</f>
        <v>1.353769469</v>
      </c>
      <c r="M3980" s="166">
        <f t="shared" si="2"/>
        <v>0.3868600346</v>
      </c>
      <c r="N3980" s="167">
        <f t="shared" si="3"/>
        <v>17.85797619</v>
      </c>
      <c r="O3980" s="163">
        <f t="shared" ref="O3980:Q3980" si="3984">rank(I3980,I:I)</f>
        <v>3945</v>
      </c>
      <c r="P3980" s="163">
        <f t="shared" si="3984"/>
        <v>2673</v>
      </c>
      <c r="Q3980" s="163">
        <f t="shared" si="3984"/>
        <v>3889</v>
      </c>
      <c r="R3980" s="163">
        <f>IFERROR(__xludf.DUMMYFUNCTION("RANK(M3980,filter(M:M,C:C=C3980))"),221.0)</f>
        <v>221</v>
      </c>
      <c r="S3980" s="161" t="b">
        <f t="shared" si="5"/>
        <v>1</v>
      </c>
      <c r="T3980" s="161" t="b">
        <f t="array" ref="T3980">index('Query Tool'!B:B,match(H3980,'Query Tool'!C:C,0))</f>
        <v>1</v>
      </c>
      <c r="U3980" s="161" t="b">
        <f t="array" ref="U3980">index('Query Tool'!B:B,match(C3980,'Query Tool'!C:C,0))</f>
        <v>1</v>
      </c>
      <c r="V3980" s="161" t="b">
        <f>F3980&gt;='Query Tool'!C$32</f>
        <v>1</v>
      </c>
      <c r="W3980" s="161" t="b">
        <f t="array" ref="W3980">index(Dropdowns!B:B,match(I3980,Dropdowns!A:A,0))</f>
        <v>1</v>
      </c>
      <c r="X3980" s="161" t="b">
        <f t="array" ref="X3980">index('Query Tool'!B:B,match(D3980,'Query Tool'!C:C,0))</f>
        <v>1</v>
      </c>
      <c r="Y3980" s="161" t="str">
        <f t="shared" si="6"/>
        <v>stewais01,2020-21</v>
      </c>
      <c r="Z3980" s="168" t="str">
        <f t="array" ref="Z3980">iferror(index(I:I,match($A3980&amp;","&amp;index('Year Conversion'!$A:$A,match($C3980,'Year Conversion'!$B:$B,0)),$Y:$Y,0))-I3980,"")</f>
        <v/>
      </c>
      <c r="AA3980" s="168" t="str">
        <f t="array" ref="AA3980">iferror(index(J:J,match($A3980&amp;","&amp;index('Year Conversion'!$A:$A,match($C3980,'Year Conversion'!$B:$B,0)),$Y:$Y,0))-J3980,"")</f>
        <v/>
      </c>
      <c r="AB3980" s="168" t="str">
        <f t="array" ref="AB3980">iferror(index(K:K,match($A3980&amp;","&amp;index('Year Conversion'!$A:$A,match($C3980,'Year Conversion'!$B:$B,0)),$Y:$Y,0))-K3980,"")</f>
        <v/>
      </c>
      <c r="AC3980" s="168" t="str">
        <f t="shared" si="7"/>
        <v>DET,2020-21</v>
      </c>
    </row>
    <row r="3981">
      <c r="A3981" s="161" t="str">
        <f>IFERROR(__xludf.DUMMYFUNCTION("""COMPUTED_VALUE"""),"nnajize01")</f>
        <v>nnajize01</v>
      </c>
      <c r="B3981" s="161" t="str">
        <f>IFERROR(__xludf.DUMMYFUNCTION("""COMPUTED_VALUE"""),"Zeke Nnaji")</f>
        <v>Zeke Nnaji</v>
      </c>
      <c r="C3981" s="162" t="str">
        <f>IFERROR(__xludf.DUMMYFUNCTION("""COMPUTED_VALUE"""),"2020-21")</f>
        <v>2020-21</v>
      </c>
      <c r="D3981" s="163" t="str">
        <f>IFERROR(__xludf.DUMMYFUNCTION("""COMPUTED_VALUE"""),"DEN")</f>
        <v>DEN</v>
      </c>
      <c r="E3981" s="164" t="str">
        <f>IFERROR(__xludf.DUMMYFUNCTION("""COMPUTED_VALUE"""),"Stretch Big")</f>
        <v>Stretch Big</v>
      </c>
      <c r="F3981" s="164">
        <f>IFERROR(__xludf.DUMMYFUNCTION("""COMPUTED_VALUE"""),148.465)</f>
        <v>148.465</v>
      </c>
      <c r="G3981" s="163">
        <f>IFERROR(__xludf.DUMMYFUNCTION("""COMPUTED_VALUE"""),17.0)</f>
        <v>17</v>
      </c>
      <c r="H3981" s="163" t="str">
        <f>IFERROR(__xludf.DUMMYFUNCTION("""COMPUTED_VALUE"""),"PF")</f>
        <v>PF</v>
      </c>
      <c r="I3981" s="163">
        <f>IFERROR(__xludf.DUMMYFUNCTION("""COMPUTED_VALUE"""),20.0)</f>
        <v>20</v>
      </c>
      <c r="J3981" s="165">
        <f>IFERROR(__xludf.DUMMYFUNCTION("""COMPUTED_VALUE"""),-2.357097017533)</f>
        <v>-2.357097018</v>
      </c>
      <c r="K3981" s="165">
        <f>IFERROR(__xludf.DUMMYFUNCTION("""COMPUTED_VALUE"""),-1.55397709164559)</f>
        <v>-1.553977092</v>
      </c>
      <c r="L3981" s="165">
        <f>IFERROR(__xludf.DUMMYFUNCTION("""COMPUTED_VALUE"""),-0.803119925887409)</f>
        <v>-0.8031199259</v>
      </c>
      <c r="M3981" s="166">
        <f t="shared" si="2"/>
        <v>-0.005242485726</v>
      </c>
      <c r="N3981" s="167">
        <f t="shared" si="3"/>
        <v>8.733235294</v>
      </c>
      <c r="O3981" s="163">
        <f t="shared" ref="O3981:Q3981" si="3985">rank(I3981,I:I)</f>
        <v>3770</v>
      </c>
      <c r="P3981" s="163">
        <f t="shared" si="3985"/>
        <v>3688</v>
      </c>
      <c r="Q3981" s="163">
        <f t="shared" si="3985"/>
        <v>3406</v>
      </c>
      <c r="R3981" s="163">
        <f>IFERROR(__xludf.DUMMYFUNCTION("RANK(M3981,filter(M:M,C:C=C3981))"),450.0)</f>
        <v>450</v>
      </c>
      <c r="S3981" s="161" t="b">
        <f t="shared" si="5"/>
        <v>0</v>
      </c>
      <c r="T3981" s="161" t="b">
        <f t="array" ref="T3981">index('Query Tool'!B:B,match(H3981,'Query Tool'!C:C,0))</f>
        <v>1</v>
      </c>
      <c r="U3981" s="161" t="b">
        <f t="array" ref="U3981">index('Query Tool'!B:B,match(C3981,'Query Tool'!C:C,0))</f>
        <v>1</v>
      </c>
      <c r="V3981" s="161" t="b">
        <f>F3981&gt;='Query Tool'!C$32</f>
        <v>0</v>
      </c>
      <c r="W3981" s="161" t="b">
        <f t="array" ref="W3981">index(Dropdowns!B:B,match(I3981,Dropdowns!A:A,0))</f>
        <v>1</v>
      </c>
      <c r="X3981" s="161" t="b">
        <f t="array" ref="X3981">index('Query Tool'!B:B,match(D3981,'Query Tool'!C:C,0))</f>
        <v>1</v>
      </c>
      <c r="Y3981" s="161" t="str">
        <f t="shared" si="6"/>
        <v>nnajize01,2020-21</v>
      </c>
      <c r="Z3981" s="168" t="str">
        <f t="array" ref="Z3981">iferror(index(I:I,match($A3981&amp;","&amp;index('Year Conversion'!$A:$A,match($C3981,'Year Conversion'!$B:$B,0)),$Y:$Y,0))-I3981,"")</f>
        <v/>
      </c>
      <c r="AA3981" s="168" t="str">
        <f t="array" ref="AA3981">iferror(index(J:J,match($A3981&amp;","&amp;index('Year Conversion'!$A:$A,match($C3981,'Year Conversion'!$B:$B,0)),$Y:$Y,0))-J3981,"")</f>
        <v/>
      </c>
      <c r="AB3981" s="168" t="str">
        <f t="array" ref="AB3981">iferror(index(K:K,match($A3981&amp;","&amp;index('Year Conversion'!$A:$A,match($C3981,'Year Conversion'!$B:$B,0)),$Y:$Y,0))-K3981,"")</f>
        <v/>
      </c>
      <c r="AC3981" s="168" t="str">
        <f t="shared" si="7"/>
        <v>DEN,2020-21</v>
      </c>
    </row>
    <row r="3982">
      <c r="A3982" s="161" t="str">
        <f>IFERROR(__xludf.DUMMYFUNCTION("""COMPUTED_VALUE"""),"quickim01")</f>
        <v>quickim01</v>
      </c>
      <c r="B3982" s="161" t="str">
        <f>IFERROR(__xludf.DUMMYFUNCTION("""COMPUTED_VALUE"""),"Immanuel Quickley")</f>
        <v>Immanuel Quickley</v>
      </c>
      <c r="C3982" s="162" t="str">
        <f>IFERROR(__xludf.DUMMYFUNCTION("""COMPUTED_VALUE"""),"2020-21")</f>
        <v>2020-21</v>
      </c>
      <c r="D3982" s="163" t="str">
        <f>IFERROR(__xludf.DUMMYFUNCTION("""COMPUTED_VALUE"""),"NYK")</f>
        <v>NYK</v>
      </c>
      <c r="E3982" s="164" t="str">
        <f>IFERROR(__xludf.DUMMYFUNCTION("""COMPUTED_VALUE"""),"Secondary Ball Handler")</f>
        <v>Secondary Ball Handler</v>
      </c>
      <c r="F3982" s="164">
        <f>IFERROR(__xludf.DUMMYFUNCTION("""COMPUTED_VALUE"""),514.253333333333)</f>
        <v>514.2533333</v>
      </c>
      <c r="G3982" s="163">
        <f>IFERROR(__xludf.DUMMYFUNCTION("""COMPUTED_VALUE"""),27.0)</f>
        <v>27</v>
      </c>
      <c r="H3982" s="163" t="str">
        <f>IFERROR(__xludf.DUMMYFUNCTION("""COMPUTED_VALUE"""),"PG")</f>
        <v>PG</v>
      </c>
      <c r="I3982" s="163">
        <f>IFERROR(__xludf.DUMMYFUNCTION("""COMPUTED_VALUE"""),21.0)</f>
        <v>21</v>
      </c>
      <c r="J3982" s="165">
        <f>IFERROR(__xludf.DUMMYFUNCTION("""COMPUTED_VALUE"""),0.900025642579152)</f>
        <v>0.9000256426</v>
      </c>
      <c r="K3982" s="165">
        <f>IFERROR(__xludf.DUMMYFUNCTION("""COMPUTED_VALUE"""),1.68423300762015)</f>
        <v>1.684233008</v>
      </c>
      <c r="L3982" s="165">
        <f>IFERROR(__xludf.DUMMYFUNCTION("""COMPUTED_VALUE"""),-0.784207365040993)</f>
        <v>-0.784207365</v>
      </c>
      <c r="M3982" s="166">
        <f t="shared" si="2"/>
        <v>1.104499367</v>
      </c>
      <c r="N3982" s="167">
        <f t="shared" si="3"/>
        <v>19.04641975</v>
      </c>
      <c r="O3982" s="163">
        <f t="shared" ref="O3982:Q3982" si="3986">rank(I3982,I:I)</f>
        <v>3528</v>
      </c>
      <c r="P3982" s="163">
        <f t="shared" si="3986"/>
        <v>693</v>
      </c>
      <c r="Q3982" s="163">
        <f t="shared" si="3986"/>
        <v>275</v>
      </c>
      <c r="R3982" s="163">
        <f>IFERROR(__xludf.DUMMYFUNCTION("RANK(M3982,filter(M:M,C:C=C3982))"),111.0)</f>
        <v>111</v>
      </c>
      <c r="S3982" s="161" t="b">
        <f t="shared" si="5"/>
        <v>1</v>
      </c>
      <c r="T3982" s="161" t="b">
        <f t="array" ref="T3982">index('Query Tool'!B:B,match(H3982,'Query Tool'!C:C,0))</f>
        <v>1</v>
      </c>
      <c r="U3982" s="161" t="b">
        <f t="array" ref="U3982">index('Query Tool'!B:B,match(C3982,'Query Tool'!C:C,0))</f>
        <v>1</v>
      </c>
      <c r="V3982" s="161" t="b">
        <f>F3982&gt;='Query Tool'!C$32</f>
        <v>1</v>
      </c>
      <c r="W3982" s="161" t="b">
        <f t="array" ref="W3982">index(Dropdowns!B:B,match(I3982,Dropdowns!A:A,0))</f>
        <v>1</v>
      </c>
      <c r="X3982" s="161" t="b">
        <f t="array" ref="X3982">index('Query Tool'!B:B,match(D3982,'Query Tool'!C:C,0))</f>
        <v>1</v>
      </c>
      <c r="Y3982" s="161" t="str">
        <f t="shared" si="6"/>
        <v>quickim01,2020-21</v>
      </c>
      <c r="Z3982" s="168" t="str">
        <f t="array" ref="Z3982">iferror(index(I:I,match($A3982&amp;","&amp;index('Year Conversion'!$A:$A,match($C3982,'Year Conversion'!$B:$B,0)),$Y:$Y,0))-I3982,"")</f>
        <v/>
      </c>
      <c r="AA3982" s="168" t="str">
        <f t="array" ref="AA3982">iferror(index(J:J,match($A3982&amp;","&amp;index('Year Conversion'!$A:$A,match($C3982,'Year Conversion'!$B:$B,0)),$Y:$Y,0))-J3982,"")</f>
        <v/>
      </c>
      <c r="AB3982" s="168" t="str">
        <f t="array" ref="AB3982">iferror(index(K:K,match($A3982&amp;","&amp;index('Year Conversion'!$A:$A,match($C3982,'Year Conversion'!$B:$B,0)),$Y:$Y,0))-K3982,"")</f>
        <v/>
      </c>
      <c r="AC3982" s="168" t="str">
        <f t="shared" si="7"/>
        <v>NYK,2020-21</v>
      </c>
    </row>
    <row r="3983">
      <c r="A3983" s="161" t="str">
        <f>IFERROR(__xludf.DUMMYFUNCTION("""COMPUTED_VALUE"""),"reedpa01")</f>
        <v>reedpa01</v>
      </c>
      <c r="B3983" s="161" t="str">
        <f>IFERROR(__xludf.DUMMYFUNCTION("""COMPUTED_VALUE"""),"Paul Reed")</f>
        <v>Paul Reed</v>
      </c>
      <c r="C3983" s="162" t="str">
        <f>IFERROR(__xludf.DUMMYFUNCTION("""COMPUTED_VALUE"""),"2020-21")</f>
        <v>2020-21</v>
      </c>
      <c r="D3983" s="163" t="str">
        <f>IFERROR(__xludf.DUMMYFUNCTION("""COMPUTED_VALUE"""),"PHI")</f>
        <v>PHI</v>
      </c>
      <c r="E3983" s="164" t="str">
        <f>IFERROR(__xludf.DUMMYFUNCTION("""COMPUTED_VALUE"""),"Roll + Cut Big")</f>
        <v>Roll + Cut Big</v>
      </c>
      <c r="F3983" s="164">
        <f>IFERROR(__xludf.DUMMYFUNCTION("""COMPUTED_VALUE"""),55.2683333333333)</f>
        <v>55.26833333</v>
      </c>
      <c r="G3983" s="163">
        <f>IFERROR(__xludf.DUMMYFUNCTION("""COMPUTED_VALUE"""),5.0)</f>
        <v>5</v>
      </c>
      <c r="H3983" s="163" t="str">
        <f>IFERROR(__xludf.DUMMYFUNCTION("""COMPUTED_VALUE"""),"PF")</f>
        <v>PF</v>
      </c>
      <c r="I3983" s="163">
        <f>IFERROR(__xludf.DUMMYFUNCTION("""COMPUTED_VALUE"""),21.0)</f>
        <v>21</v>
      </c>
      <c r="J3983" s="165">
        <f>IFERROR(__xludf.DUMMYFUNCTION("""COMPUTED_VALUE"""),-0.295596417883282)</f>
        <v>-0.2955964179</v>
      </c>
      <c r="K3983" s="165">
        <f>IFERROR(__xludf.DUMMYFUNCTION("""COMPUTED_VALUE"""),0.0917446341192056)</f>
        <v>0.09174463412</v>
      </c>
      <c r="L3983" s="165">
        <f>IFERROR(__xludf.DUMMYFUNCTION("""COMPUTED_VALUE"""),-0.387341052002488)</f>
        <v>-0.387341052</v>
      </c>
      <c r="M3983" s="166">
        <f t="shared" si="2"/>
        <v>0.07419236315</v>
      </c>
      <c r="N3983" s="167">
        <f t="shared" si="3"/>
        <v>11.05366667</v>
      </c>
      <c r="O3983" s="163">
        <f t="shared" ref="O3983:Q3983" si="3987">rank(I3983,I:I)</f>
        <v>3528</v>
      </c>
      <c r="P3983" s="163">
        <f t="shared" si="3987"/>
        <v>1605</v>
      </c>
      <c r="Q3983" s="163">
        <f t="shared" si="3987"/>
        <v>1076</v>
      </c>
      <c r="R3983" s="163">
        <f>IFERROR(__xludf.DUMMYFUNCTION("RANK(M3983,filter(M:M,C:C=C3983))"),353.0)</f>
        <v>353</v>
      </c>
      <c r="S3983" s="161" t="b">
        <f t="shared" si="5"/>
        <v>0</v>
      </c>
      <c r="T3983" s="161" t="b">
        <f t="array" ref="T3983">index('Query Tool'!B:B,match(H3983,'Query Tool'!C:C,0))</f>
        <v>1</v>
      </c>
      <c r="U3983" s="161" t="b">
        <f t="array" ref="U3983">index('Query Tool'!B:B,match(C3983,'Query Tool'!C:C,0))</f>
        <v>1</v>
      </c>
      <c r="V3983" s="161" t="b">
        <f>F3983&gt;='Query Tool'!C$32</f>
        <v>0</v>
      </c>
      <c r="W3983" s="161" t="b">
        <f t="array" ref="W3983">index(Dropdowns!B:B,match(I3983,Dropdowns!A:A,0))</f>
        <v>1</v>
      </c>
      <c r="X3983" s="161" t="b">
        <f t="array" ref="X3983">index('Query Tool'!B:B,match(D3983,'Query Tool'!C:C,0))</f>
        <v>1</v>
      </c>
      <c r="Y3983" s="161" t="str">
        <f t="shared" si="6"/>
        <v>reedpa01,2020-21</v>
      </c>
      <c r="Z3983" s="168" t="str">
        <f t="array" ref="Z3983">iferror(index(I:I,match($A3983&amp;","&amp;index('Year Conversion'!$A:$A,match($C3983,'Year Conversion'!$B:$B,0)),$Y:$Y,0))-I3983,"")</f>
        <v/>
      </c>
      <c r="AA3983" s="168" t="str">
        <f t="array" ref="AA3983">iferror(index(J:J,match($A3983&amp;","&amp;index('Year Conversion'!$A:$A,match($C3983,'Year Conversion'!$B:$B,0)),$Y:$Y,0))-J3983,"")</f>
        <v/>
      </c>
      <c r="AB3983" s="168" t="str">
        <f t="array" ref="AB3983">iferror(index(K:K,match($A3983&amp;","&amp;index('Year Conversion'!$A:$A,match($C3983,'Year Conversion'!$B:$B,0)),$Y:$Y,0))-K3983,"")</f>
        <v/>
      </c>
      <c r="AC3983" s="168" t="str">
        <f t="shared" si="7"/>
        <v>PHI,2020-21</v>
      </c>
    </row>
    <row r="3984">
      <c r="A3984" s="161" t="str">
        <f>IFERROR(__xludf.DUMMYFUNCTION("""COMPUTED_VALUE"""),"pokusal01")</f>
        <v>pokusal01</v>
      </c>
      <c r="B3984" s="161" t="str">
        <f>IFERROR(__xludf.DUMMYFUNCTION("""COMPUTED_VALUE"""),"Aleksej Pokusevski")</f>
        <v>Aleksej Pokusevski</v>
      </c>
      <c r="C3984" s="162" t="str">
        <f>IFERROR(__xludf.DUMMYFUNCTION("""COMPUTED_VALUE"""),"2020-21")</f>
        <v>2020-21</v>
      </c>
      <c r="D3984" s="163" t="str">
        <f>IFERROR(__xludf.DUMMYFUNCTION("""COMPUTED_VALUE"""),"OKC")</f>
        <v>OKC</v>
      </c>
      <c r="E3984" s="164" t="str">
        <f>IFERROR(__xludf.DUMMYFUNCTION("""COMPUTED_VALUE"""),"Stationary Shooter")</f>
        <v>Stationary Shooter</v>
      </c>
      <c r="F3984" s="164">
        <f>IFERROR(__xludf.DUMMYFUNCTION("""COMPUTED_VALUE"""),296.03)</f>
        <v>296.03</v>
      </c>
      <c r="G3984" s="163">
        <f>IFERROR(__xludf.DUMMYFUNCTION("""COMPUTED_VALUE"""),17.0)</f>
        <v>17</v>
      </c>
      <c r="H3984" s="163" t="str">
        <f>IFERROR(__xludf.DUMMYFUNCTION("""COMPUTED_VALUE"""),"PF")</f>
        <v>PF</v>
      </c>
      <c r="I3984" s="163">
        <f>IFERROR(__xludf.DUMMYFUNCTION("""COMPUTED_VALUE"""),19.0)</f>
        <v>19</v>
      </c>
      <c r="J3984" s="165">
        <f>IFERROR(__xludf.DUMMYFUNCTION("""COMPUTED_VALUE"""),-1.50146396301022)</f>
        <v>-1.501463963</v>
      </c>
      <c r="K3984" s="165">
        <f>IFERROR(__xludf.DUMMYFUNCTION("""COMPUTED_VALUE"""),-2.15114213506749)</f>
        <v>-2.151142135</v>
      </c>
      <c r="L3984" s="165">
        <f>IFERROR(__xludf.DUMMYFUNCTION("""COMPUTED_VALUE"""),0.649678172057269)</f>
        <v>0.6496781721</v>
      </c>
      <c r="M3984" s="166">
        <f t="shared" si="2"/>
        <v>0.1576517542</v>
      </c>
      <c r="N3984" s="167">
        <f t="shared" si="3"/>
        <v>17.41352941</v>
      </c>
      <c r="O3984" s="163">
        <f t="shared" ref="O3984:Q3984" si="3988">rank(I3984,I:I)</f>
        <v>3945</v>
      </c>
      <c r="P3984" s="163">
        <f t="shared" si="3988"/>
        <v>3057</v>
      </c>
      <c r="Q3984" s="163">
        <f t="shared" si="3988"/>
        <v>3782</v>
      </c>
      <c r="R3984" s="163">
        <f>IFERROR(__xludf.DUMMYFUNCTION("RANK(M3984,filter(M:M,C:C=C3984))"),298.0)</f>
        <v>298</v>
      </c>
      <c r="S3984" s="161" t="b">
        <f t="shared" si="5"/>
        <v>0</v>
      </c>
      <c r="T3984" s="161" t="b">
        <f t="array" ref="T3984">index('Query Tool'!B:B,match(H3984,'Query Tool'!C:C,0))</f>
        <v>1</v>
      </c>
      <c r="U3984" s="161" t="b">
        <f t="array" ref="U3984">index('Query Tool'!B:B,match(C3984,'Query Tool'!C:C,0))</f>
        <v>1</v>
      </c>
      <c r="V3984" s="161" t="b">
        <f>F3984&gt;='Query Tool'!C$32</f>
        <v>0</v>
      </c>
      <c r="W3984" s="161" t="b">
        <f t="array" ref="W3984">index(Dropdowns!B:B,match(I3984,Dropdowns!A:A,0))</f>
        <v>1</v>
      </c>
      <c r="X3984" s="161" t="b">
        <f t="array" ref="X3984">index('Query Tool'!B:B,match(D3984,'Query Tool'!C:C,0))</f>
        <v>1</v>
      </c>
      <c r="Y3984" s="161" t="str">
        <f t="shared" si="6"/>
        <v>pokusal01,2020-21</v>
      </c>
      <c r="Z3984" s="168" t="str">
        <f t="array" ref="Z3984">iferror(index(I:I,match($A3984&amp;","&amp;index('Year Conversion'!$A:$A,match($C3984,'Year Conversion'!$B:$B,0)),$Y:$Y,0))-I3984,"")</f>
        <v/>
      </c>
      <c r="AA3984" s="168" t="str">
        <f t="array" ref="AA3984">iferror(index(J:J,match($A3984&amp;","&amp;index('Year Conversion'!$A:$A,match($C3984,'Year Conversion'!$B:$B,0)),$Y:$Y,0))-J3984,"")</f>
        <v/>
      </c>
      <c r="AB3984" s="168" t="str">
        <f t="array" ref="AB3984">iferror(index(K:K,match($A3984&amp;","&amp;index('Year Conversion'!$A:$A,match($C3984,'Year Conversion'!$B:$B,0)),$Y:$Y,0))-K3984,"")</f>
        <v/>
      </c>
      <c r="AC3984" s="168" t="str">
        <f t="shared" si="7"/>
        <v>OKC,2020-21</v>
      </c>
    </row>
    <row r="3985">
      <c r="A3985" s="161" t="str">
        <f>IFERROR(__xludf.DUMMYFUNCTION("""COMPUTED_VALUE"""),"joeis01")</f>
        <v>joeis01</v>
      </c>
      <c r="B3985" s="161" t="str">
        <f>IFERROR(__xludf.DUMMYFUNCTION("""COMPUTED_VALUE"""),"Isaiah Joe")</f>
        <v>Isaiah Joe</v>
      </c>
      <c r="C3985" s="162" t="str">
        <f>IFERROR(__xludf.DUMMYFUNCTION("""COMPUTED_VALUE"""),"2020-21")</f>
        <v>2020-21</v>
      </c>
      <c r="D3985" s="163" t="str">
        <f>IFERROR(__xludf.DUMMYFUNCTION("""COMPUTED_VALUE"""),"PHI")</f>
        <v>PHI</v>
      </c>
      <c r="E3985" s="164" t="str">
        <f>IFERROR(__xludf.DUMMYFUNCTION("""COMPUTED_VALUE"""),"Movement Shooter")</f>
        <v>Movement Shooter</v>
      </c>
      <c r="F3985" s="164">
        <f>IFERROR(__xludf.DUMMYFUNCTION("""COMPUTED_VALUE"""),231.38)</f>
        <v>231.38</v>
      </c>
      <c r="G3985" s="163">
        <f>IFERROR(__xludf.DUMMYFUNCTION("""COMPUTED_VALUE"""),18.0)</f>
        <v>18</v>
      </c>
      <c r="H3985" s="163" t="str">
        <f>IFERROR(__xludf.DUMMYFUNCTION("""COMPUTED_VALUE"""),"SG")</f>
        <v>SG</v>
      </c>
      <c r="I3985" s="163">
        <f>IFERROR(__xludf.DUMMYFUNCTION("""COMPUTED_VALUE"""),21.0)</f>
        <v>21</v>
      </c>
      <c r="J3985" s="165">
        <f>IFERROR(__xludf.DUMMYFUNCTION("""COMPUTED_VALUE"""),-0.343326811941619)</f>
        <v>-0.3433268119</v>
      </c>
      <c r="K3985" s="165">
        <f>IFERROR(__xludf.DUMMYFUNCTION("""COMPUTED_VALUE"""),0.27310890261196)</f>
        <v>0.2731089026</v>
      </c>
      <c r="L3985" s="165">
        <f>IFERROR(__xludf.DUMMYFUNCTION("""COMPUTED_VALUE"""),-0.61643571455358)</f>
        <v>-0.6164357146</v>
      </c>
      <c r="M3985" s="166">
        <f t="shared" si="2"/>
        <v>0.3031626652</v>
      </c>
      <c r="N3985" s="167">
        <f t="shared" si="3"/>
        <v>12.85444444</v>
      </c>
      <c r="O3985" s="163">
        <f t="shared" ref="O3985:Q3985" si="3989">rank(I3985,I:I)</f>
        <v>3528</v>
      </c>
      <c r="P3985" s="163">
        <f t="shared" si="3989"/>
        <v>1664</v>
      </c>
      <c r="Q3985" s="163">
        <f t="shared" si="3989"/>
        <v>933</v>
      </c>
      <c r="R3985" s="163">
        <f>IFERROR(__xludf.DUMMYFUNCTION("RANK(M3985,filter(M:M,C:C=C3985))"),244.0)</f>
        <v>244</v>
      </c>
      <c r="S3985" s="161" t="b">
        <f t="shared" si="5"/>
        <v>0</v>
      </c>
      <c r="T3985" s="161" t="b">
        <f t="array" ref="T3985">index('Query Tool'!B:B,match(H3985,'Query Tool'!C:C,0))</f>
        <v>1</v>
      </c>
      <c r="U3985" s="161" t="b">
        <f t="array" ref="U3985">index('Query Tool'!B:B,match(C3985,'Query Tool'!C:C,0))</f>
        <v>1</v>
      </c>
      <c r="V3985" s="161" t="b">
        <f>F3985&gt;='Query Tool'!C$32</f>
        <v>0</v>
      </c>
      <c r="W3985" s="161" t="b">
        <f t="array" ref="W3985">index(Dropdowns!B:B,match(I3985,Dropdowns!A:A,0))</f>
        <v>1</v>
      </c>
      <c r="X3985" s="161" t="b">
        <f t="array" ref="X3985">index('Query Tool'!B:B,match(D3985,'Query Tool'!C:C,0))</f>
        <v>1</v>
      </c>
      <c r="Y3985" s="161" t="str">
        <f t="shared" si="6"/>
        <v>joeis01,2020-21</v>
      </c>
      <c r="Z3985" s="168" t="str">
        <f t="array" ref="Z3985">iferror(index(I:I,match($A3985&amp;","&amp;index('Year Conversion'!$A:$A,match($C3985,'Year Conversion'!$B:$B,0)),$Y:$Y,0))-I3985,"")</f>
        <v/>
      </c>
      <c r="AA3985" s="168" t="str">
        <f t="array" ref="AA3985">iferror(index(J:J,match($A3985&amp;","&amp;index('Year Conversion'!$A:$A,match($C3985,'Year Conversion'!$B:$B,0)),$Y:$Y,0))-J3985,"")</f>
        <v/>
      </c>
      <c r="AB3985" s="168" t="str">
        <f t="array" ref="AB3985">iferror(index(K:K,match($A3985&amp;","&amp;index('Year Conversion'!$A:$A,match($C3985,'Year Conversion'!$B:$B,0)),$Y:$Y,0))-K3985,"")</f>
        <v/>
      </c>
      <c r="AC3985" s="168" t="str">
        <f t="shared" si="7"/>
        <v>PHI,2020-21</v>
      </c>
    </row>
    <row r="3986">
      <c r="A3986" s="161" t="str">
        <f>IFERROR(__xludf.DUMMYFUNCTION("""COMPUTED_VALUE"""),"stanlca01")</f>
        <v>stanlca01</v>
      </c>
      <c r="B3986" s="161" t="str">
        <f>IFERROR(__xludf.DUMMYFUNCTION("""COMPUTED_VALUE"""),"Cassius Stanley")</f>
        <v>Cassius Stanley</v>
      </c>
      <c r="C3986" s="162" t="str">
        <f>IFERROR(__xludf.DUMMYFUNCTION("""COMPUTED_VALUE"""),"2020-21")</f>
        <v>2020-21</v>
      </c>
      <c r="D3986" s="163" t="str">
        <f>IFERROR(__xludf.DUMMYFUNCTION("""COMPUTED_VALUE"""),"IND")</f>
        <v>IND</v>
      </c>
      <c r="E3986" s="164" t="str">
        <f>IFERROR(__xludf.DUMMYFUNCTION("""COMPUTED_VALUE"""),"Stretch Big")</f>
        <v>Stretch Big</v>
      </c>
      <c r="F3986" s="164">
        <f>IFERROR(__xludf.DUMMYFUNCTION("""COMPUTED_VALUE"""),23.2633333333333)</f>
        <v>23.26333333</v>
      </c>
      <c r="G3986" s="163">
        <f>IFERROR(__xludf.DUMMYFUNCTION("""COMPUTED_VALUE"""),8.0)</f>
        <v>8</v>
      </c>
      <c r="H3986" s="163" t="str">
        <f>IFERROR(__xludf.DUMMYFUNCTION("""COMPUTED_VALUE"""),"SG")</f>
        <v>SG</v>
      </c>
      <c r="I3986" s="163">
        <f>IFERROR(__xludf.DUMMYFUNCTION("""COMPUTED_VALUE"""),21.0)</f>
        <v>21</v>
      </c>
      <c r="J3986" s="165">
        <f>IFERROR(__xludf.DUMMYFUNCTION("""COMPUTED_VALUE"""),-0.719218416646615)</f>
        <v>-0.7192184166</v>
      </c>
      <c r="K3986" s="165">
        <f>IFERROR(__xludf.DUMMYFUNCTION("""COMPUTED_VALUE"""),-0.292590708377501)</f>
        <v>-0.2925907084</v>
      </c>
      <c r="L3986" s="165">
        <f>IFERROR(__xludf.DUMMYFUNCTION("""COMPUTED_VALUE"""),-0.426627708269114)</f>
        <v>-0.4266277083</v>
      </c>
      <c r="M3986" s="166">
        <f t="shared" si="2"/>
        <v>0.02459225291</v>
      </c>
      <c r="N3986" s="167">
        <f t="shared" si="3"/>
        <v>2.907916667</v>
      </c>
      <c r="O3986" s="163">
        <f t="shared" ref="O3986:Q3986" si="3990">rank(I3986,I:I)</f>
        <v>3528</v>
      </c>
      <c r="P3986" s="163">
        <f t="shared" si="3990"/>
        <v>2174</v>
      </c>
      <c r="Q3986" s="163">
        <f t="shared" si="3990"/>
        <v>1752</v>
      </c>
      <c r="R3986" s="163">
        <f>IFERROR(__xludf.DUMMYFUNCTION("RANK(M3986,filter(M:M,C:C=C3986))"),413.0)</f>
        <v>413</v>
      </c>
      <c r="S3986" s="161" t="b">
        <f t="shared" si="5"/>
        <v>0</v>
      </c>
      <c r="T3986" s="161" t="b">
        <f t="array" ref="T3986">index('Query Tool'!B:B,match(H3986,'Query Tool'!C:C,0))</f>
        <v>1</v>
      </c>
      <c r="U3986" s="161" t="b">
        <f t="array" ref="U3986">index('Query Tool'!B:B,match(C3986,'Query Tool'!C:C,0))</f>
        <v>1</v>
      </c>
      <c r="V3986" s="161" t="b">
        <f>F3986&gt;='Query Tool'!C$32</f>
        <v>0</v>
      </c>
      <c r="W3986" s="161" t="b">
        <f t="array" ref="W3986">index(Dropdowns!B:B,match(I3986,Dropdowns!A:A,0))</f>
        <v>1</v>
      </c>
      <c r="X3986" s="161" t="b">
        <f t="array" ref="X3986">index('Query Tool'!B:B,match(D3986,'Query Tool'!C:C,0))</f>
        <v>1</v>
      </c>
      <c r="Y3986" s="161" t="str">
        <f t="shared" si="6"/>
        <v>stanlca01,2020-21</v>
      </c>
      <c r="Z3986" s="168" t="str">
        <f t="array" ref="Z3986">iferror(index(I:I,match($A3986&amp;","&amp;index('Year Conversion'!$A:$A,match($C3986,'Year Conversion'!$B:$B,0)),$Y:$Y,0))-I3986,"")</f>
        <v/>
      </c>
      <c r="AA3986" s="168" t="str">
        <f t="array" ref="AA3986">iferror(index(J:J,match($A3986&amp;","&amp;index('Year Conversion'!$A:$A,match($C3986,'Year Conversion'!$B:$B,0)),$Y:$Y,0))-J3986,"")</f>
        <v/>
      </c>
      <c r="AB3986" s="168" t="str">
        <f t="array" ref="AB3986">iferror(index(K:K,match($A3986&amp;","&amp;index('Year Conversion'!$A:$A,match($C3986,'Year Conversion'!$B:$B,0)),$Y:$Y,0))-K3986,"")</f>
        <v/>
      </c>
      <c r="AC3986" s="168" t="str">
        <f t="shared" si="7"/>
        <v>IND,2020-21</v>
      </c>
    </row>
    <row r="3987">
      <c r="A3987" s="161" t="str">
        <f>IFERROR(__xludf.DUMMYFUNCTION("""COMPUTED_VALUE"""),"jonestr01")</f>
        <v>jonestr01</v>
      </c>
      <c r="B3987" s="161" t="str">
        <f>IFERROR(__xludf.DUMMYFUNCTION("""COMPUTED_VALUE"""),"Tre Jones")</f>
        <v>Tre Jones</v>
      </c>
      <c r="C3987" s="162" t="str">
        <f>IFERROR(__xludf.DUMMYFUNCTION("""COMPUTED_VALUE"""),"2020-21")</f>
        <v>2020-21</v>
      </c>
      <c r="D3987" s="163" t="str">
        <f>IFERROR(__xludf.DUMMYFUNCTION("""COMPUTED_VALUE"""),"SAS")</f>
        <v>SAS</v>
      </c>
      <c r="E3987" s="164" t="str">
        <f>IFERROR(__xludf.DUMMYFUNCTION("""COMPUTED_VALUE"""),"Roll + Cut Big")</f>
        <v>Roll + Cut Big</v>
      </c>
      <c r="F3987" s="164">
        <f>IFERROR(__xludf.DUMMYFUNCTION("""COMPUTED_VALUE"""),26.5366666666667)</f>
        <v>26.53666667</v>
      </c>
      <c r="G3987" s="163">
        <f>IFERROR(__xludf.DUMMYFUNCTION("""COMPUTED_VALUE"""),9.0)</f>
        <v>9</v>
      </c>
      <c r="H3987" s="163" t="str">
        <f>IFERROR(__xludf.DUMMYFUNCTION("""COMPUTED_VALUE"""),"PG")</f>
        <v>PG</v>
      </c>
      <c r="I3987" s="163">
        <f>IFERROR(__xludf.DUMMYFUNCTION("""COMPUTED_VALUE"""),21.0)</f>
        <v>21</v>
      </c>
      <c r="J3987" s="165">
        <f>IFERROR(__xludf.DUMMYFUNCTION("""COMPUTED_VALUE"""),-0.60246098001489)</f>
        <v>-0.60246098</v>
      </c>
      <c r="K3987" s="165">
        <f>IFERROR(__xludf.DUMMYFUNCTION("""COMPUTED_VALUE"""),-0.204511661590545)</f>
        <v>-0.2045116616</v>
      </c>
      <c r="L3987" s="165">
        <f>IFERROR(__xludf.DUMMYFUNCTION("""COMPUTED_VALUE"""),-0.397949318424345)</f>
        <v>-0.3979493184</v>
      </c>
      <c r="M3987" s="166">
        <f t="shared" si="2"/>
        <v>0.03013764682</v>
      </c>
      <c r="N3987" s="167">
        <f t="shared" si="3"/>
        <v>2.948518519</v>
      </c>
      <c r="O3987" s="163">
        <f t="shared" ref="O3987:Q3987" si="3991">rank(I3987,I:I)</f>
        <v>3528</v>
      </c>
      <c r="P3987" s="163">
        <f t="shared" si="3991"/>
        <v>2001</v>
      </c>
      <c r="Q3987" s="163">
        <f t="shared" si="3991"/>
        <v>1568</v>
      </c>
      <c r="R3987" s="163">
        <f>IFERROR(__xludf.DUMMYFUNCTION("RANK(M3987,filter(M:M,C:C=C3987))"),403.0)</f>
        <v>403</v>
      </c>
      <c r="S3987" s="161" t="b">
        <f t="shared" si="5"/>
        <v>0</v>
      </c>
      <c r="T3987" s="161" t="b">
        <f t="array" ref="T3987">index('Query Tool'!B:B,match(H3987,'Query Tool'!C:C,0))</f>
        <v>1</v>
      </c>
      <c r="U3987" s="161" t="b">
        <f t="array" ref="U3987">index('Query Tool'!B:B,match(C3987,'Query Tool'!C:C,0))</f>
        <v>1</v>
      </c>
      <c r="V3987" s="161" t="b">
        <f>F3987&gt;='Query Tool'!C$32</f>
        <v>0</v>
      </c>
      <c r="W3987" s="161" t="b">
        <f t="array" ref="W3987">index(Dropdowns!B:B,match(I3987,Dropdowns!A:A,0))</f>
        <v>1</v>
      </c>
      <c r="X3987" s="161" t="b">
        <f t="array" ref="X3987">index('Query Tool'!B:B,match(D3987,'Query Tool'!C:C,0))</f>
        <v>1</v>
      </c>
      <c r="Y3987" s="161" t="str">
        <f t="shared" si="6"/>
        <v>jonestr01,2020-21</v>
      </c>
      <c r="Z3987" s="168" t="str">
        <f t="array" ref="Z3987">iferror(index(I:I,match($A3987&amp;","&amp;index('Year Conversion'!$A:$A,match($C3987,'Year Conversion'!$B:$B,0)),$Y:$Y,0))-I3987,"")</f>
        <v/>
      </c>
      <c r="AA3987" s="168" t="str">
        <f t="array" ref="AA3987">iferror(index(J:J,match($A3987&amp;","&amp;index('Year Conversion'!$A:$A,match($C3987,'Year Conversion'!$B:$B,0)),$Y:$Y,0))-J3987,"")</f>
        <v/>
      </c>
      <c r="AB3987" s="168" t="str">
        <f t="array" ref="AB3987">iferror(index(K:K,match($A3987&amp;","&amp;index('Year Conversion'!$A:$A,match($C3987,'Year Conversion'!$B:$B,0)),$Y:$Y,0))-K3987,"")</f>
        <v/>
      </c>
      <c r="AC3987" s="168" t="str">
        <f t="shared" si="7"/>
        <v>SAS,2020-21</v>
      </c>
    </row>
    <row r="3988">
      <c r="A3988" s="161" t="str">
        <f>IFERROR(__xludf.DUMMYFUNCTION("""COMPUTED_VALUE"""),"flynnma01")</f>
        <v>flynnma01</v>
      </c>
      <c r="B3988" s="161" t="str">
        <f>IFERROR(__xludf.DUMMYFUNCTION("""COMPUTED_VALUE"""),"Malachi Flynn")</f>
        <v>Malachi Flynn</v>
      </c>
      <c r="C3988" s="162" t="str">
        <f>IFERROR(__xludf.DUMMYFUNCTION("""COMPUTED_VALUE"""),"2020-21")</f>
        <v>2020-21</v>
      </c>
      <c r="D3988" s="163" t="str">
        <f>IFERROR(__xludf.DUMMYFUNCTION("""COMPUTED_VALUE"""),"TOR")</f>
        <v>TOR</v>
      </c>
      <c r="E3988" s="164" t="str">
        <f>IFERROR(__xludf.DUMMYFUNCTION("""COMPUTED_VALUE"""),"Secondary Ball Handler")</f>
        <v>Secondary Ball Handler</v>
      </c>
      <c r="F3988" s="164">
        <f>IFERROR(__xludf.DUMMYFUNCTION("""COMPUTED_VALUE"""),125.345)</f>
        <v>125.345</v>
      </c>
      <c r="G3988" s="163">
        <f>IFERROR(__xludf.DUMMYFUNCTION("""COMPUTED_VALUE"""),15.0)</f>
        <v>15</v>
      </c>
      <c r="H3988" s="163" t="str">
        <f>IFERROR(__xludf.DUMMYFUNCTION("""COMPUTED_VALUE"""),"PG")</f>
        <v>PG</v>
      </c>
      <c r="I3988" s="163">
        <f>IFERROR(__xludf.DUMMYFUNCTION("""COMPUTED_VALUE"""),22.0)</f>
        <v>22</v>
      </c>
      <c r="J3988" s="165">
        <f>IFERROR(__xludf.DUMMYFUNCTION("""COMPUTED_VALUE"""),-1.4055910105217)</f>
        <v>-1.405591011</v>
      </c>
      <c r="K3988" s="165">
        <f>IFERROR(__xludf.DUMMYFUNCTION("""COMPUTED_VALUE"""),-0.848027748687512)</f>
        <v>-0.8480277487</v>
      </c>
      <c r="L3988" s="165">
        <f>IFERROR(__xludf.DUMMYFUNCTION("""COMPUTED_VALUE"""),-0.557563261834191)</f>
        <v>-0.5575632618</v>
      </c>
      <c r="M3988" s="166">
        <f t="shared" si="2"/>
        <v>0.07478381864</v>
      </c>
      <c r="N3988" s="167">
        <f t="shared" si="3"/>
        <v>8.356333333</v>
      </c>
      <c r="O3988" s="163">
        <f t="shared" ref="O3988:Q3988" si="3992">rank(I3988,I:I)</f>
        <v>3178</v>
      </c>
      <c r="P3988" s="163">
        <f t="shared" si="3992"/>
        <v>2955</v>
      </c>
      <c r="Q3988" s="163">
        <f t="shared" si="3992"/>
        <v>2620</v>
      </c>
      <c r="R3988" s="163">
        <f>IFERROR(__xludf.DUMMYFUNCTION("RANK(M3988,filter(M:M,C:C=C3988))"),352.0)</f>
        <v>352</v>
      </c>
      <c r="S3988" s="161" t="b">
        <f t="shared" si="5"/>
        <v>0</v>
      </c>
      <c r="T3988" s="161" t="b">
        <f t="array" ref="T3988">index('Query Tool'!B:B,match(H3988,'Query Tool'!C:C,0))</f>
        <v>1</v>
      </c>
      <c r="U3988" s="161" t="b">
        <f t="array" ref="U3988">index('Query Tool'!B:B,match(C3988,'Query Tool'!C:C,0))</f>
        <v>1</v>
      </c>
      <c r="V3988" s="161" t="b">
        <f>F3988&gt;='Query Tool'!C$32</f>
        <v>0</v>
      </c>
      <c r="W3988" s="161" t="b">
        <f t="array" ref="W3988">index(Dropdowns!B:B,match(I3988,Dropdowns!A:A,0))</f>
        <v>1</v>
      </c>
      <c r="X3988" s="161" t="b">
        <f t="array" ref="X3988">index('Query Tool'!B:B,match(D3988,'Query Tool'!C:C,0))</f>
        <v>1</v>
      </c>
      <c r="Y3988" s="161" t="str">
        <f t="shared" si="6"/>
        <v>flynnma01,2020-21</v>
      </c>
      <c r="Z3988" s="168" t="str">
        <f t="array" ref="Z3988">iferror(index(I:I,match($A3988&amp;","&amp;index('Year Conversion'!$A:$A,match($C3988,'Year Conversion'!$B:$B,0)),$Y:$Y,0))-I3988,"")</f>
        <v/>
      </c>
      <c r="AA3988" s="168" t="str">
        <f t="array" ref="AA3988">iferror(index(J:J,match($A3988&amp;","&amp;index('Year Conversion'!$A:$A,match($C3988,'Year Conversion'!$B:$B,0)),$Y:$Y,0))-J3988,"")</f>
        <v/>
      </c>
      <c r="AB3988" s="168" t="str">
        <f t="array" ref="AB3988">iferror(index(K:K,match($A3988&amp;","&amp;index('Year Conversion'!$A:$A,match($C3988,'Year Conversion'!$B:$B,0)),$Y:$Y,0))-K3988,"")</f>
        <v/>
      </c>
      <c r="AC3988" s="168" t="str">
        <f t="shared" si="7"/>
        <v>TOR,2020-21</v>
      </c>
    </row>
    <row r="3989">
      <c r="A3989" s="161" t="str">
        <f>IFERROR(__xludf.DUMMYFUNCTION("""COMPUTED_VALUE"""),"pritcpa01")</f>
        <v>pritcpa01</v>
      </c>
      <c r="B3989" s="161" t="str">
        <f>IFERROR(__xludf.DUMMYFUNCTION("""COMPUTED_VALUE"""),"Payton Pritchard")</f>
        <v>Payton Pritchard</v>
      </c>
      <c r="C3989" s="162" t="str">
        <f>IFERROR(__xludf.DUMMYFUNCTION("""COMPUTED_VALUE"""),"2020-21")</f>
        <v>2020-21</v>
      </c>
      <c r="D3989" s="163" t="str">
        <f>IFERROR(__xludf.DUMMYFUNCTION("""COMPUTED_VALUE"""),"BOS")</f>
        <v>BOS</v>
      </c>
      <c r="E3989" s="164" t="str">
        <f>IFERROR(__xludf.DUMMYFUNCTION("""COMPUTED_VALUE"""),"Secondary Ball Handler")</f>
        <v>Secondary Ball Handler</v>
      </c>
      <c r="F3989" s="164">
        <f>IFERROR(__xludf.DUMMYFUNCTION("""COMPUTED_VALUE"""),506.088333333333)</f>
        <v>506.0883333</v>
      </c>
      <c r="G3989" s="163">
        <f>IFERROR(__xludf.DUMMYFUNCTION("""COMPUTED_VALUE"""),24.0)</f>
        <v>24</v>
      </c>
      <c r="H3989" s="163" t="str">
        <f>IFERROR(__xludf.DUMMYFUNCTION("""COMPUTED_VALUE"""),"SG")</f>
        <v>SG</v>
      </c>
      <c r="I3989" s="163">
        <f>IFERROR(__xludf.DUMMYFUNCTION("""COMPUTED_VALUE"""),23.0)</f>
        <v>23</v>
      </c>
      <c r="J3989" s="165">
        <f>IFERROR(__xludf.DUMMYFUNCTION("""COMPUTED_VALUE"""),-1.20578282274251)</f>
        <v>-1.205782823</v>
      </c>
      <c r="K3989" s="165">
        <f>IFERROR(__xludf.DUMMYFUNCTION("""COMPUTED_VALUE"""),-0.879729981425701)</f>
        <v>-0.8797299814</v>
      </c>
      <c r="L3989" s="165">
        <f>IFERROR(__xludf.DUMMYFUNCTION("""COMPUTED_VALUE"""),-0.326052841316811)</f>
        <v>-0.3260528413</v>
      </c>
      <c r="M3989" s="166">
        <f t="shared" si="2"/>
        <v>0.3696358409</v>
      </c>
      <c r="N3989" s="167">
        <f t="shared" si="3"/>
        <v>21.08701389</v>
      </c>
      <c r="O3989" s="163">
        <f t="shared" ref="O3989:Q3989" si="3993">rank(I3989,I:I)</f>
        <v>2765</v>
      </c>
      <c r="P3989" s="163">
        <f t="shared" si="3993"/>
        <v>2753</v>
      </c>
      <c r="Q3989" s="163">
        <f t="shared" si="3993"/>
        <v>2665</v>
      </c>
      <c r="R3989" s="163">
        <f>IFERROR(__xludf.DUMMYFUNCTION("RANK(M3989,filter(M:M,C:C=C3989))"),226.0)</f>
        <v>226</v>
      </c>
      <c r="S3989" s="161" t="b">
        <f t="shared" si="5"/>
        <v>1</v>
      </c>
      <c r="T3989" s="161" t="b">
        <f t="array" ref="T3989">index('Query Tool'!B:B,match(H3989,'Query Tool'!C:C,0))</f>
        <v>1</v>
      </c>
      <c r="U3989" s="161" t="b">
        <f t="array" ref="U3989">index('Query Tool'!B:B,match(C3989,'Query Tool'!C:C,0))</f>
        <v>1</v>
      </c>
      <c r="V3989" s="161" t="b">
        <f>F3989&gt;='Query Tool'!C$32</f>
        <v>1</v>
      </c>
      <c r="W3989" s="161" t="b">
        <f t="array" ref="W3989">index(Dropdowns!B:B,match(I3989,Dropdowns!A:A,0))</f>
        <v>1</v>
      </c>
      <c r="X3989" s="161" t="b">
        <f t="array" ref="X3989">index('Query Tool'!B:B,match(D3989,'Query Tool'!C:C,0))</f>
        <v>1</v>
      </c>
      <c r="Y3989" s="161" t="str">
        <f t="shared" si="6"/>
        <v>pritcpa01,2020-21</v>
      </c>
      <c r="Z3989" s="168" t="str">
        <f t="array" ref="Z3989">iferror(index(I:I,match($A3989&amp;","&amp;index('Year Conversion'!$A:$A,match($C3989,'Year Conversion'!$B:$B,0)),$Y:$Y,0))-I3989,"")</f>
        <v/>
      </c>
      <c r="AA3989" s="168" t="str">
        <f t="array" ref="AA3989">iferror(index(J:J,match($A3989&amp;","&amp;index('Year Conversion'!$A:$A,match($C3989,'Year Conversion'!$B:$B,0)),$Y:$Y,0))-J3989,"")</f>
        <v/>
      </c>
      <c r="AB3989" s="168" t="str">
        <f t="array" ref="AB3989">iferror(index(K:K,match($A3989&amp;","&amp;index('Year Conversion'!$A:$A,match($C3989,'Year Conversion'!$B:$B,0)),$Y:$Y,0))-K3989,"")</f>
        <v/>
      </c>
      <c r="AC3989" s="168" t="str">
        <f t="shared" si="7"/>
        <v>BOS,2020-21</v>
      </c>
    </row>
    <row r="3990">
      <c r="A3990" s="161" t="str">
        <f>IFERROR(__xludf.DUMMYFUNCTION("""COMPUTED_VALUE"""),"haganas01")</f>
        <v>haganas01</v>
      </c>
      <c r="B3990" s="161" t="str">
        <f>IFERROR(__xludf.DUMMYFUNCTION("""COMPUTED_VALUE"""),"Ashton Hagans")</f>
        <v>Ashton Hagans</v>
      </c>
      <c r="C3990" s="162" t="str">
        <f>IFERROR(__xludf.DUMMYFUNCTION("""COMPUTED_VALUE"""),"2020-21")</f>
        <v>2020-21</v>
      </c>
      <c r="D3990" s="163" t="str">
        <f>IFERROR(__xludf.DUMMYFUNCTION("""COMPUTED_VALUE"""),"MIN")</f>
        <v>MIN</v>
      </c>
      <c r="E3990" s="164" t="str">
        <f>IFERROR(__xludf.DUMMYFUNCTION("""COMPUTED_VALUE"""),"Off Screen Shooter")</f>
        <v>Off Screen Shooter</v>
      </c>
      <c r="F3990" s="164">
        <f>IFERROR(__xludf.DUMMYFUNCTION("""COMPUTED_VALUE"""),4.06666666666667)</f>
        <v>4.066666667</v>
      </c>
      <c r="G3990" s="163">
        <f>IFERROR(__xludf.DUMMYFUNCTION("""COMPUTED_VALUE"""),2.0)</f>
        <v>2</v>
      </c>
      <c r="H3990" s="163" t="str">
        <f>IFERROR(__xludf.DUMMYFUNCTION("""COMPUTED_VALUE"""),"PG")</f>
        <v>PG</v>
      </c>
      <c r="I3990" s="163">
        <f>IFERROR(__xludf.DUMMYFUNCTION("""COMPUTED_VALUE"""),21.0)</f>
        <v>21</v>
      </c>
      <c r="J3990" s="165">
        <f>IFERROR(__xludf.DUMMYFUNCTION("""COMPUTED_VALUE"""),-0.266819465406186)</f>
        <v>-0.2668194654</v>
      </c>
      <c r="K3990" s="165">
        <f>IFERROR(__xludf.DUMMYFUNCTION("""COMPUTED_VALUE"""),-0.351446076584507)</f>
        <v>-0.3514460766</v>
      </c>
      <c r="L3990" s="165">
        <f>IFERROR(__xludf.DUMMYFUNCTION("""COMPUTED_VALUE"""),0.084626611178321)</f>
        <v>0.08462661118</v>
      </c>
      <c r="M3990" s="166">
        <f t="shared" si="2"/>
        <v>0.005537976456</v>
      </c>
      <c r="N3990" s="167">
        <f t="shared" si="3"/>
        <v>2.033333333</v>
      </c>
      <c r="O3990" s="163">
        <f t="shared" ref="O3990:Q3990" si="3994">rank(I3990,I:I)</f>
        <v>3528</v>
      </c>
      <c r="P3990" s="163">
        <f t="shared" si="3994"/>
        <v>1578</v>
      </c>
      <c r="Q3990" s="163">
        <f t="shared" si="3994"/>
        <v>1855</v>
      </c>
      <c r="R3990" s="163">
        <f>IFERROR(__xludf.DUMMYFUNCTION("RANK(M3990,filter(M:M,C:C=C3990))"),443.0)</f>
        <v>443</v>
      </c>
      <c r="S3990" s="161" t="b">
        <f t="shared" si="5"/>
        <v>0</v>
      </c>
      <c r="T3990" s="161" t="b">
        <f t="array" ref="T3990">index('Query Tool'!B:B,match(H3990,'Query Tool'!C:C,0))</f>
        <v>1</v>
      </c>
      <c r="U3990" s="161" t="b">
        <f t="array" ref="U3990">index('Query Tool'!B:B,match(C3990,'Query Tool'!C:C,0))</f>
        <v>1</v>
      </c>
      <c r="V3990" s="161" t="b">
        <f>F3990&gt;='Query Tool'!C$32</f>
        <v>0</v>
      </c>
      <c r="W3990" s="161" t="b">
        <f t="array" ref="W3990">index(Dropdowns!B:B,match(I3990,Dropdowns!A:A,0))</f>
        <v>1</v>
      </c>
      <c r="X3990" s="161" t="b">
        <f t="array" ref="X3990">index('Query Tool'!B:B,match(D3990,'Query Tool'!C:C,0))</f>
        <v>1</v>
      </c>
      <c r="Y3990" s="161" t="str">
        <f t="shared" si="6"/>
        <v>haganas01,2020-21</v>
      </c>
      <c r="Z3990" s="168" t="str">
        <f t="array" ref="Z3990">iferror(index(I:I,match($A3990&amp;","&amp;index('Year Conversion'!$A:$A,match($C3990,'Year Conversion'!$B:$B,0)),$Y:$Y,0))-I3990,"")</f>
        <v/>
      </c>
      <c r="AA3990" s="168" t="str">
        <f t="array" ref="AA3990">iferror(index(J:J,match($A3990&amp;","&amp;index('Year Conversion'!$A:$A,match($C3990,'Year Conversion'!$B:$B,0)),$Y:$Y,0))-J3990,"")</f>
        <v/>
      </c>
      <c r="AB3990" s="168" t="str">
        <f t="array" ref="AB3990">iferror(index(K:K,match($A3990&amp;","&amp;index('Year Conversion'!$A:$A,match($C3990,'Year Conversion'!$B:$B,0)),$Y:$Y,0))-K3990,"")</f>
        <v/>
      </c>
      <c r="AC3990" s="168" t="str">
        <f t="shared" si="7"/>
        <v>MIN,2020-21</v>
      </c>
    </row>
    <row r="3991">
      <c r="A3991" s="161" t="str">
        <f>IFERROR(__xludf.DUMMYFUNCTION("""COMPUTED_VALUE"""),"stevela01")</f>
        <v>stevela01</v>
      </c>
      <c r="B3991" s="161" t="str">
        <f>IFERROR(__xludf.DUMMYFUNCTION("""COMPUTED_VALUE"""),"Lamar Stevens")</f>
        <v>Lamar Stevens</v>
      </c>
      <c r="C3991" s="162" t="str">
        <f>IFERROR(__xludf.DUMMYFUNCTION("""COMPUTED_VALUE"""),"2020-21")</f>
        <v>2020-21</v>
      </c>
      <c r="D3991" s="163" t="str">
        <f>IFERROR(__xludf.DUMMYFUNCTION("""COMPUTED_VALUE"""),"CLE")</f>
        <v>CLE</v>
      </c>
      <c r="E3991" s="164" t="str">
        <f>IFERROR(__xludf.DUMMYFUNCTION("""COMPUTED_VALUE"""),"Athletic Finisher")</f>
        <v>Athletic Finisher</v>
      </c>
      <c r="F3991" s="164">
        <f>IFERROR(__xludf.DUMMYFUNCTION("""COMPUTED_VALUE"""),286.776666666667)</f>
        <v>286.7766667</v>
      </c>
      <c r="G3991" s="163">
        <f>IFERROR(__xludf.DUMMYFUNCTION("""COMPUTED_VALUE"""),20.0)</f>
        <v>20</v>
      </c>
      <c r="H3991" s="163" t="str">
        <f>IFERROR(__xludf.DUMMYFUNCTION("""COMPUTED_VALUE"""),"PF")</f>
        <v>PF</v>
      </c>
      <c r="I3991" s="163">
        <f>IFERROR(__xludf.DUMMYFUNCTION("""COMPUTED_VALUE"""),23.0)</f>
        <v>23</v>
      </c>
      <c r="J3991" s="165">
        <f>IFERROR(__xludf.DUMMYFUNCTION("""COMPUTED_VALUE"""),-1.4030439690386)</f>
        <v>-1.403043969</v>
      </c>
      <c r="K3991" s="165">
        <f>IFERROR(__xludf.DUMMYFUNCTION("""COMPUTED_VALUE"""),-1.95582891670837)</f>
        <v>-1.955828917</v>
      </c>
      <c r="L3991" s="165">
        <f>IFERROR(__xludf.DUMMYFUNCTION("""COMPUTED_VALUE"""),0.552784947669768)</f>
        <v>0.5527849477</v>
      </c>
      <c r="M3991" s="166">
        <f t="shared" si="2"/>
        <v>0.1715862284</v>
      </c>
      <c r="N3991" s="167">
        <f t="shared" si="3"/>
        <v>14.33883333</v>
      </c>
      <c r="O3991" s="163">
        <f t="shared" ref="O3991:Q3991" si="3995">rank(I3991,I:I)</f>
        <v>2765</v>
      </c>
      <c r="P3991" s="163">
        <f t="shared" si="3995"/>
        <v>2951</v>
      </c>
      <c r="Q3991" s="163">
        <f t="shared" si="3995"/>
        <v>3691</v>
      </c>
      <c r="R3991" s="163">
        <f>IFERROR(__xludf.DUMMYFUNCTION("RANK(M3991,filter(M:M,C:C=C3991))"),291.0)</f>
        <v>291</v>
      </c>
      <c r="S3991" s="161" t="b">
        <f t="shared" si="5"/>
        <v>0</v>
      </c>
      <c r="T3991" s="161" t="b">
        <f t="array" ref="T3991">index('Query Tool'!B:B,match(H3991,'Query Tool'!C:C,0))</f>
        <v>1</v>
      </c>
      <c r="U3991" s="161" t="b">
        <f t="array" ref="U3991">index('Query Tool'!B:B,match(C3991,'Query Tool'!C:C,0))</f>
        <v>1</v>
      </c>
      <c r="V3991" s="161" t="b">
        <f>F3991&gt;='Query Tool'!C$32</f>
        <v>0</v>
      </c>
      <c r="W3991" s="161" t="b">
        <f t="array" ref="W3991">index(Dropdowns!B:B,match(I3991,Dropdowns!A:A,0))</f>
        <v>1</v>
      </c>
      <c r="X3991" s="161" t="b">
        <f t="array" ref="X3991">index('Query Tool'!B:B,match(D3991,'Query Tool'!C:C,0))</f>
        <v>1</v>
      </c>
      <c r="Y3991" s="161" t="str">
        <f t="shared" si="6"/>
        <v>stevela01,2020-21</v>
      </c>
      <c r="Z3991" s="168" t="str">
        <f t="array" ref="Z3991">iferror(index(I:I,match($A3991&amp;","&amp;index('Year Conversion'!$A:$A,match($C3991,'Year Conversion'!$B:$B,0)),$Y:$Y,0))-I3991,"")</f>
        <v/>
      </c>
      <c r="AA3991" s="168" t="str">
        <f t="array" ref="AA3991">iferror(index(J:J,match($A3991&amp;","&amp;index('Year Conversion'!$A:$A,match($C3991,'Year Conversion'!$B:$B,0)),$Y:$Y,0))-J3991,"")</f>
        <v/>
      </c>
      <c r="AB3991" s="168" t="str">
        <f t="array" ref="AB3991">iferror(index(K:K,match($A3991&amp;","&amp;index('Year Conversion'!$A:$A,match($C3991,'Year Conversion'!$B:$B,0)),$Y:$Y,0))-K3991,"")</f>
        <v/>
      </c>
      <c r="AC3991" s="168" t="str">
        <f t="shared" si="7"/>
        <v>CLE,2020-21</v>
      </c>
    </row>
    <row r="3992">
      <c r="A3992" s="161" t="str">
        <f>IFERROR(__xludf.DUMMYFUNCTION("""COMPUTED_VALUE"""),"hintona01")</f>
        <v>hintona01</v>
      </c>
      <c r="B3992" s="161" t="str">
        <f>IFERROR(__xludf.DUMMYFUNCTION("""COMPUTED_VALUE"""),"Nate Hinton")</f>
        <v>Nate Hinton</v>
      </c>
      <c r="C3992" s="162" t="str">
        <f>IFERROR(__xludf.DUMMYFUNCTION("""COMPUTED_VALUE"""),"2020-21")</f>
        <v>2020-21</v>
      </c>
      <c r="D3992" s="163" t="str">
        <f>IFERROR(__xludf.DUMMYFUNCTION("""COMPUTED_VALUE"""),"DAL")</f>
        <v>DAL</v>
      </c>
      <c r="E3992" s="164" t="str">
        <f>IFERROR(__xludf.DUMMYFUNCTION("""COMPUTED_VALUE"""),"Stationary Shooter")</f>
        <v>Stationary Shooter</v>
      </c>
      <c r="F3992" s="164">
        <f>IFERROR(__xludf.DUMMYFUNCTION("""COMPUTED_VALUE"""),18.6366666666667)</f>
        <v>18.63666667</v>
      </c>
      <c r="G3992" s="163">
        <f>IFERROR(__xludf.DUMMYFUNCTION("""COMPUTED_VALUE"""),6.0)</f>
        <v>6</v>
      </c>
      <c r="H3992" s="163" t="str">
        <f>IFERROR(__xludf.DUMMYFUNCTION("""COMPUTED_VALUE"""),"SG")</f>
        <v>SG</v>
      </c>
      <c r="I3992" s="163">
        <f>IFERROR(__xludf.DUMMYFUNCTION("""COMPUTED_VALUE"""),21.0)</f>
        <v>21</v>
      </c>
      <c r="J3992" s="165">
        <f>IFERROR(__xludf.DUMMYFUNCTION("""COMPUTED_VALUE"""),-0.458825712499148)</f>
        <v>-0.4588257125</v>
      </c>
      <c r="K3992" s="165">
        <f>IFERROR(__xludf.DUMMYFUNCTION("""COMPUTED_VALUE"""),-0.187611757642974)</f>
        <v>-0.1876117576</v>
      </c>
      <c r="L3992" s="165">
        <f>IFERROR(__xludf.DUMMYFUNCTION("""COMPUTED_VALUE"""),-0.271213954856175)</f>
        <v>-0.2712139549</v>
      </c>
      <c r="M3992" s="166">
        <f t="shared" si="2"/>
        <v>0.02296822829</v>
      </c>
      <c r="N3992" s="167">
        <f t="shared" si="3"/>
        <v>3.106111111</v>
      </c>
      <c r="O3992" s="163">
        <f t="shared" ref="O3992:Q3992" si="3996">rank(I3992,I:I)</f>
        <v>3528</v>
      </c>
      <c r="P3992" s="163">
        <f t="shared" si="3996"/>
        <v>1791</v>
      </c>
      <c r="Q3992" s="163">
        <f t="shared" si="3996"/>
        <v>1546</v>
      </c>
      <c r="R3992" s="163">
        <f>IFERROR(__xludf.DUMMYFUNCTION("RANK(M3992,filter(M:M,C:C=C3992))"),415.0)</f>
        <v>415</v>
      </c>
      <c r="S3992" s="161" t="b">
        <f t="shared" si="5"/>
        <v>0</v>
      </c>
      <c r="T3992" s="161" t="b">
        <f t="array" ref="T3992">index('Query Tool'!B:B,match(H3992,'Query Tool'!C:C,0))</f>
        <v>1</v>
      </c>
      <c r="U3992" s="161" t="b">
        <f t="array" ref="U3992">index('Query Tool'!B:B,match(C3992,'Query Tool'!C:C,0))</f>
        <v>1</v>
      </c>
      <c r="V3992" s="161" t="b">
        <f>F3992&gt;='Query Tool'!C$32</f>
        <v>0</v>
      </c>
      <c r="W3992" s="161" t="b">
        <f t="array" ref="W3992">index(Dropdowns!B:B,match(I3992,Dropdowns!A:A,0))</f>
        <v>1</v>
      </c>
      <c r="X3992" s="161" t="b">
        <f t="array" ref="X3992">index('Query Tool'!B:B,match(D3992,'Query Tool'!C:C,0))</f>
        <v>1</v>
      </c>
      <c r="Y3992" s="161" t="str">
        <f t="shared" si="6"/>
        <v>hintona01,2020-21</v>
      </c>
      <c r="Z3992" s="168" t="str">
        <f t="array" ref="Z3992">iferror(index(I:I,match($A3992&amp;","&amp;index('Year Conversion'!$A:$A,match($C3992,'Year Conversion'!$B:$B,0)),$Y:$Y,0))-I3992,"")</f>
        <v/>
      </c>
      <c r="AA3992" s="168" t="str">
        <f t="array" ref="AA3992">iferror(index(J:J,match($A3992&amp;","&amp;index('Year Conversion'!$A:$A,match($C3992,'Year Conversion'!$B:$B,0)),$Y:$Y,0))-J3992,"")</f>
        <v/>
      </c>
      <c r="AB3992" s="168" t="str">
        <f t="array" ref="AB3992">iferror(index(K:K,match($A3992&amp;","&amp;index('Year Conversion'!$A:$A,match($C3992,'Year Conversion'!$B:$B,0)),$Y:$Y,0))-K3992,"")</f>
        <v/>
      </c>
      <c r="AC3992" s="168" t="str">
        <f t="shared" si="7"/>
        <v>DAL,2020-21</v>
      </c>
    </row>
    <row r="3993">
      <c r="A3993" s="161" t="str">
        <f>IFERROR(__xludf.DUMMYFUNCTION("""COMPUTED_VALUE"""),"richani01")</f>
        <v>richani01</v>
      </c>
      <c r="B3993" s="161" t="str">
        <f>IFERROR(__xludf.DUMMYFUNCTION("""COMPUTED_VALUE"""),"Nick Richards")</f>
        <v>Nick Richards</v>
      </c>
      <c r="C3993" s="162" t="str">
        <f>IFERROR(__xludf.DUMMYFUNCTION("""COMPUTED_VALUE"""),"2020-21")</f>
        <v>2020-21</v>
      </c>
      <c r="D3993" s="163" t="str">
        <f>IFERROR(__xludf.DUMMYFUNCTION("""COMPUTED_VALUE"""),"CHO")</f>
        <v>CHO</v>
      </c>
      <c r="E3993" s="164" t="str">
        <f>IFERROR(__xludf.DUMMYFUNCTION("""COMPUTED_VALUE"""),"Roll + Cut Big")</f>
        <v>Roll + Cut Big</v>
      </c>
      <c r="F3993" s="164">
        <f>IFERROR(__xludf.DUMMYFUNCTION("""COMPUTED_VALUE"""),22.985)</f>
        <v>22.985</v>
      </c>
      <c r="G3993" s="163">
        <f>IFERROR(__xludf.DUMMYFUNCTION("""COMPUTED_VALUE"""),8.0)</f>
        <v>8</v>
      </c>
      <c r="H3993" s="163" t="str">
        <f>IFERROR(__xludf.DUMMYFUNCTION("""COMPUTED_VALUE"""),"PF")</f>
        <v>PF</v>
      </c>
      <c r="I3993" s="163">
        <f>IFERROR(__xludf.DUMMYFUNCTION("""COMPUTED_VALUE"""),23.0)</f>
        <v>23</v>
      </c>
      <c r="J3993" s="165">
        <f>IFERROR(__xludf.DUMMYFUNCTION("""COMPUTED_VALUE"""),-0.554952128120966)</f>
        <v>-0.5549521281</v>
      </c>
      <c r="K3993" s="165">
        <f>IFERROR(__xludf.DUMMYFUNCTION("""COMPUTED_VALUE"""),-0.4099069419924)</f>
        <v>-0.409906942</v>
      </c>
      <c r="L3993" s="165">
        <f>IFERROR(__xludf.DUMMYFUNCTION("""COMPUTED_VALUE"""),-0.145045186128566)</f>
        <v>-0.1450451861</v>
      </c>
      <c r="M3993" s="166">
        <f t="shared" si="2"/>
        <v>0.02683920711</v>
      </c>
      <c r="N3993" s="167">
        <f t="shared" si="3"/>
        <v>2.873125</v>
      </c>
      <c r="O3993" s="163">
        <f t="shared" ref="O3993:Q3993" si="3997">rank(I3993,I:I)</f>
        <v>2765</v>
      </c>
      <c r="P3993" s="163">
        <f t="shared" si="3997"/>
        <v>1925</v>
      </c>
      <c r="Q3993" s="163">
        <f t="shared" si="3997"/>
        <v>1961</v>
      </c>
      <c r="R3993" s="163">
        <f>IFERROR(__xludf.DUMMYFUNCTION("RANK(M3993,filter(M:M,C:C=C3993))"),409.0)</f>
        <v>409</v>
      </c>
      <c r="S3993" s="161" t="b">
        <f t="shared" si="5"/>
        <v>0</v>
      </c>
      <c r="T3993" s="161" t="b">
        <f t="array" ref="T3993">index('Query Tool'!B:B,match(H3993,'Query Tool'!C:C,0))</f>
        <v>1</v>
      </c>
      <c r="U3993" s="161" t="b">
        <f t="array" ref="U3993">index('Query Tool'!B:B,match(C3993,'Query Tool'!C:C,0))</f>
        <v>1</v>
      </c>
      <c r="V3993" s="161" t="b">
        <f>F3993&gt;='Query Tool'!C$32</f>
        <v>0</v>
      </c>
      <c r="W3993" s="161" t="b">
        <f t="array" ref="W3993">index(Dropdowns!B:B,match(I3993,Dropdowns!A:A,0))</f>
        <v>1</v>
      </c>
      <c r="X3993" s="161" t="b">
        <f t="array" ref="X3993">index('Query Tool'!B:B,match(D3993,'Query Tool'!C:C,0))</f>
        <v>1</v>
      </c>
      <c r="Y3993" s="161" t="str">
        <f t="shared" si="6"/>
        <v>richani01,2020-21</v>
      </c>
      <c r="Z3993" s="168" t="str">
        <f t="array" ref="Z3993">iferror(index(I:I,match($A3993&amp;","&amp;index('Year Conversion'!$A:$A,match($C3993,'Year Conversion'!$B:$B,0)),$Y:$Y,0))-I3993,"")</f>
        <v/>
      </c>
      <c r="AA3993" s="168" t="str">
        <f t="array" ref="AA3993">iferror(index(J:J,match($A3993&amp;","&amp;index('Year Conversion'!$A:$A,match($C3993,'Year Conversion'!$B:$B,0)),$Y:$Y,0))-J3993,"")</f>
        <v/>
      </c>
      <c r="AB3993" s="168" t="str">
        <f t="array" ref="AB3993">iferror(index(K:K,match($A3993&amp;","&amp;index('Year Conversion'!$A:$A,match($C3993,'Year Conversion'!$B:$B,0)),$Y:$Y,0))-K3993,"")</f>
        <v/>
      </c>
      <c r="AC3993" s="168" t="str">
        <f t="shared" si="7"/>
        <v>CHO,2020-21</v>
      </c>
    </row>
    <row r="3994">
      <c r="A3994" s="161" t="str">
        <f>IFERROR(__xludf.DUMMYFUNCTION("""COMPUTED_VALUE"""),"howarma02")</f>
        <v>howarma02</v>
      </c>
      <c r="B3994" s="161" t="str">
        <f>IFERROR(__xludf.DUMMYFUNCTION("""COMPUTED_VALUE"""),"Markus Howard")</f>
        <v>Markus Howard</v>
      </c>
      <c r="C3994" s="162" t="str">
        <f>IFERROR(__xludf.DUMMYFUNCTION("""COMPUTED_VALUE"""),"2020-21")</f>
        <v>2020-21</v>
      </c>
      <c r="D3994" s="163" t="str">
        <f>IFERROR(__xludf.DUMMYFUNCTION("""COMPUTED_VALUE"""),"DEN")</f>
        <v>DEN</v>
      </c>
      <c r="E3994" s="164" t="str">
        <f>IFERROR(__xludf.DUMMYFUNCTION("""COMPUTED_VALUE"""),"Secondary Ball Handler")</f>
        <v>Secondary Ball Handler</v>
      </c>
      <c r="F3994" s="164">
        <f>IFERROR(__xludf.DUMMYFUNCTION("""COMPUTED_VALUE"""),51.375)</f>
        <v>51.375</v>
      </c>
      <c r="G3994" s="163">
        <f>IFERROR(__xludf.DUMMYFUNCTION("""COMPUTED_VALUE"""),16.0)</f>
        <v>16</v>
      </c>
      <c r="H3994" s="163" t="str">
        <f>IFERROR(__xludf.DUMMYFUNCTION("""COMPUTED_VALUE"""),"SG")</f>
        <v>SG</v>
      </c>
      <c r="I3994" s="163">
        <f>IFERROR(__xludf.DUMMYFUNCTION("""COMPUTED_VALUE"""),21.0)</f>
        <v>21</v>
      </c>
      <c r="J3994" s="165">
        <f>IFERROR(__xludf.DUMMYFUNCTION("""COMPUTED_VALUE"""),-1.21848280409525)</f>
        <v>-1.218482804</v>
      </c>
      <c r="K3994" s="165">
        <f>IFERROR(__xludf.DUMMYFUNCTION("""COMPUTED_VALUE"""),-0.436874513034557)</f>
        <v>-0.436874513</v>
      </c>
      <c r="L3994" s="165">
        <f>IFERROR(__xludf.DUMMYFUNCTION("""COMPUTED_VALUE"""),-0.781608291060688)</f>
        <v>-0.7816082911</v>
      </c>
      <c r="M3994" s="166">
        <f t="shared" si="2"/>
        <v>0.03708597512</v>
      </c>
      <c r="N3994" s="167">
        <f t="shared" si="3"/>
        <v>3.2109375</v>
      </c>
      <c r="O3994" s="163">
        <f t="shared" ref="O3994:Q3994" si="3998">rank(I3994,I:I)</f>
        <v>3528</v>
      </c>
      <c r="P3994" s="163">
        <f t="shared" si="3998"/>
        <v>2768</v>
      </c>
      <c r="Q3994" s="163">
        <f t="shared" si="3998"/>
        <v>2010</v>
      </c>
      <c r="R3994" s="163">
        <f>IFERROR(__xludf.DUMMYFUNCTION("RANK(M3994,filter(M:M,C:C=C3994))"),394.0)</f>
        <v>394</v>
      </c>
      <c r="S3994" s="161" t="b">
        <f t="shared" si="5"/>
        <v>0</v>
      </c>
      <c r="T3994" s="161" t="b">
        <f t="array" ref="T3994">index('Query Tool'!B:B,match(H3994,'Query Tool'!C:C,0))</f>
        <v>1</v>
      </c>
      <c r="U3994" s="161" t="b">
        <f t="array" ref="U3994">index('Query Tool'!B:B,match(C3994,'Query Tool'!C:C,0))</f>
        <v>1</v>
      </c>
      <c r="V3994" s="161" t="b">
        <f>F3994&gt;='Query Tool'!C$32</f>
        <v>0</v>
      </c>
      <c r="W3994" s="161" t="b">
        <f t="array" ref="W3994">index(Dropdowns!B:B,match(I3994,Dropdowns!A:A,0))</f>
        <v>1</v>
      </c>
      <c r="X3994" s="161" t="b">
        <f t="array" ref="X3994">index('Query Tool'!B:B,match(D3994,'Query Tool'!C:C,0))</f>
        <v>1</v>
      </c>
      <c r="Y3994" s="161" t="str">
        <f t="shared" si="6"/>
        <v>howarma02,2020-21</v>
      </c>
      <c r="Z3994" s="168" t="str">
        <f t="array" ref="Z3994">iferror(index(I:I,match($A3994&amp;","&amp;index('Year Conversion'!$A:$A,match($C3994,'Year Conversion'!$B:$B,0)),$Y:$Y,0))-I3994,"")</f>
        <v/>
      </c>
      <c r="AA3994" s="168" t="str">
        <f t="array" ref="AA3994">iferror(index(J:J,match($A3994&amp;","&amp;index('Year Conversion'!$A:$A,match($C3994,'Year Conversion'!$B:$B,0)),$Y:$Y,0))-J3994,"")</f>
        <v/>
      </c>
      <c r="AB3994" s="168" t="str">
        <f t="array" ref="AB3994">iferror(index(K:K,match($A3994&amp;","&amp;index('Year Conversion'!$A:$A,match($C3994,'Year Conversion'!$B:$B,0)),$Y:$Y,0))-K3994,"")</f>
        <v/>
      </c>
      <c r="AC3994" s="168" t="str">
        <f t="shared" si="7"/>
        <v>DEN,2020-21</v>
      </c>
    </row>
    <row r="3995">
      <c r="A3995" s="161" t="str">
        <f>IFERROR(__xludf.DUMMYFUNCTION("""COMPUTED_VALUE"""),"maneka01")</f>
        <v>maneka01</v>
      </c>
      <c r="B3995" s="161" t="str">
        <f>IFERROR(__xludf.DUMMYFUNCTION("""COMPUTED_VALUE"""),"Karim Mane")</f>
        <v>Karim Mane</v>
      </c>
      <c r="C3995" s="162" t="str">
        <f>IFERROR(__xludf.DUMMYFUNCTION("""COMPUTED_VALUE"""),"2020-21")</f>
        <v>2020-21</v>
      </c>
      <c r="D3995" s="163" t="str">
        <f>IFERROR(__xludf.DUMMYFUNCTION("""COMPUTED_VALUE"""),"ORL")</f>
        <v>ORL</v>
      </c>
      <c r="E3995" s="164" t="str">
        <f>IFERROR(__xludf.DUMMYFUNCTION("""COMPUTED_VALUE"""),"Secondary Ball Handler")</f>
        <v>Secondary Ball Handler</v>
      </c>
      <c r="F3995" s="164">
        <f>IFERROR(__xludf.DUMMYFUNCTION("""COMPUTED_VALUE"""),55.8666666666666)</f>
        <v>55.86666667</v>
      </c>
      <c r="G3995" s="163">
        <f>IFERROR(__xludf.DUMMYFUNCTION("""COMPUTED_VALUE"""),6.0)</f>
        <v>6</v>
      </c>
      <c r="H3995" s="163" t="str">
        <f>IFERROR(__xludf.DUMMYFUNCTION("""COMPUTED_VALUE"""),"PG")</f>
        <v>PG</v>
      </c>
      <c r="I3995" s="163">
        <f>IFERROR(__xludf.DUMMYFUNCTION("""COMPUTED_VALUE"""),20.0)</f>
        <v>20</v>
      </c>
      <c r="J3995" s="165">
        <f>IFERROR(__xludf.DUMMYFUNCTION("""COMPUTED_VALUE"""),-0.910128318993421)</f>
        <v>-0.910128319</v>
      </c>
      <c r="K3995" s="165">
        <f>IFERROR(__xludf.DUMMYFUNCTION("""COMPUTED_VALUE"""),-0.868266602064051)</f>
        <v>-0.8682666021</v>
      </c>
      <c r="L3995" s="165">
        <f>IFERROR(__xludf.DUMMYFUNCTION("""COMPUTED_VALUE"""),-0.0418617169293695)</f>
        <v>-0.04186171693</v>
      </c>
      <c r="M3995" s="166">
        <f t="shared" si="2"/>
        <v>0.05188742494</v>
      </c>
      <c r="N3995" s="167">
        <f t="shared" si="3"/>
        <v>9.311111111</v>
      </c>
      <c r="O3995" s="163">
        <f t="shared" ref="O3995:Q3995" si="3999">rank(I3995,I:I)</f>
        <v>3770</v>
      </c>
      <c r="P3995" s="163">
        <f t="shared" si="3999"/>
        <v>2406</v>
      </c>
      <c r="Q3995" s="163">
        <f t="shared" si="3999"/>
        <v>2645</v>
      </c>
      <c r="R3995" s="163">
        <f>IFERROR(__xludf.DUMMYFUNCTION("RANK(M3995,filter(M:M,C:C=C3995))"),377.0)</f>
        <v>377</v>
      </c>
      <c r="S3995" s="161" t="b">
        <f t="shared" si="5"/>
        <v>0</v>
      </c>
      <c r="T3995" s="161" t="b">
        <f t="array" ref="T3995">index('Query Tool'!B:B,match(H3995,'Query Tool'!C:C,0))</f>
        <v>1</v>
      </c>
      <c r="U3995" s="161" t="b">
        <f t="array" ref="U3995">index('Query Tool'!B:B,match(C3995,'Query Tool'!C:C,0))</f>
        <v>1</v>
      </c>
      <c r="V3995" s="161" t="b">
        <f>F3995&gt;='Query Tool'!C$32</f>
        <v>0</v>
      </c>
      <c r="W3995" s="161" t="b">
        <f t="array" ref="W3995">index(Dropdowns!B:B,match(I3995,Dropdowns!A:A,0))</f>
        <v>1</v>
      </c>
      <c r="X3995" s="161" t="b">
        <f t="array" ref="X3995">index('Query Tool'!B:B,match(D3995,'Query Tool'!C:C,0))</f>
        <v>1</v>
      </c>
      <c r="Y3995" s="161" t="str">
        <f t="shared" si="6"/>
        <v>maneka01,2020-21</v>
      </c>
      <c r="Z3995" s="168" t="str">
        <f t="array" ref="Z3995">iferror(index(I:I,match($A3995&amp;","&amp;index('Year Conversion'!$A:$A,match($C3995,'Year Conversion'!$B:$B,0)),$Y:$Y,0))-I3995,"")</f>
        <v/>
      </c>
      <c r="AA3995" s="168" t="str">
        <f t="array" ref="AA3995">iferror(index(J:J,match($A3995&amp;","&amp;index('Year Conversion'!$A:$A,match($C3995,'Year Conversion'!$B:$B,0)),$Y:$Y,0))-J3995,"")</f>
        <v/>
      </c>
      <c r="AB3995" s="168" t="str">
        <f t="array" ref="AB3995">iferror(index(K:K,match($A3995&amp;","&amp;index('Year Conversion'!$A:$A,match($C3995,'Year Conversion'!$B:$B,0)),$Y:$Y,0))-K3995,"")</f>
        <v/>
      </c>
      <c r="AC3995" s="168" t="str">
        <f t="shared" si="7"/>
        <v>ORL,2020-21</v>
      </c>
    </row>
    <row r="3996">
      <c r="A3996" s="161" t="str">
        <f>IFERROR(__xludf.DUMMYFUNCTION("""COMPUTED_VALUE"""),"tillmxa01")</f>
        <v>tillmxa01</v>
      </c>
      <c r="B3996" s="161" t="str">
        <f>IFERROR(__xludf.DUMMYFUNCTION("""COMPUTED_VALUE"""),"Xavier Tillman")</f>
        <v>Xavier Tillman</v>
      </c>
      <c r="C3996" s="162" t="str">
        <f>IFERROR(__xludf.DUMMYFUNCTION("""COMPUTED_VALUE"""),"2020-21")</f>
        <v>2020-21</v>
      </c>
      <c r="D3996" s="163" t="str">
        <f>IFERROR(__xludf.DUMMYFUNCTION("""COMPUTED_VALUE"""),"MEM")</f>
        <v>MEM</v>
      </c>
      <c r="E3996" s="164" t="str">
        <f>IFERROR(__xludf.DUMMYFUNCTION("""COMPUTED_VALUE"""),"Roll + Cut Big")</f>
        <v>Roll + Cut Big</v>
      </c>
      <c r="F3996" s="164">
        <f>IFERROR(__xludf.DUMMYFUNCTION("""COMPUTED_VALUE"""),444.811666666666)</f>
        <v>444.8116667</v>
      </c>
      <c r="G3996" s="163">
        <f>IFERROR(__xludf.DUMMYFUNCTION("""COMPUTED_VALUE"""),21.0)</f>
        <v>21</v>
      </c>
      <c r="H3996" s="163" t="str">
        <f>IFERROR(__xludf.DUMMYFUNCTION("""COMPUTED_VALUE"""),"PF")</f>
        <v>PF</v>
      </c>
      <c r="I3996" s="163">
        <f>IFERROR(__xludf.DUMMYFUNCTION("""COMPUTED_VALUE"""),22.0)</f>
        <v>22</v>
      </c>
      <c r="J3996" s="165">
        <f>IFERROR(__xludf.DUMMYFUNCTION("""COMPUTED_VALUE"""),-0.549077358756415)</f>
        <v>-0.5490773588</v>
      </c>
      <c r="K3996" s="165">
        <f>IFERROR(__xludf.DUMMYFUNCTION("""COMPUTED_VALUE"""),-1.2438455954138)</f>
        <v>-1.243845595</v>
      </c>
      <c r="L3996" s="165">
        <f>IFERROR(__xludf.DUMMYFUNCTION("""COMPUTED_VALUE"""),0.694768236657385)</f>
        <v>0.6947682367</v>
      </c>
      <c r="M3996" s="166">
        <f t="shared" si="2"/>
        <v>0.5211588142</v>
      </c>
      <c r="N3996" s="167">
        <f t="shared" si="3"/>
        <v>21.18150794</v>
      </c>
      <c r="O3996" s="163">
        <f t="shared" ref="O3996:Q3996" si="4000">rank(I3996,I:I)</f>
        <v>3178</v>
      </c>
      <c r="P3996" s="163">
        <f t="shared" si="4000"/>
        <v>1913</v>
      </c>
      <c r="Q3996" s="163">
        <f t="shared" si="4000"/>
        <v>3079</v>
      </c>
      <c r="R3996" s="163">
        <f>IFERROR(__xludf.DUMMYFUNCTION("RANK(M3996,filter(M:M,C:C=C3996))"),187.0)</f>
        <v>187</v>
      </c>
      <c r="S3996" s="161" t="b">
        <f t="shared" si="5"/>
        <v>0</v>
      </c>
      <c r="T3996" s="161" t="b">
        <f t="array" ref="T3996">index('Query Tool'!B:B,match(H3996,'Query Tool'!C:C,0))</f>
        <v>1</v>
      </c>
      <c r="U3996" s="161" t="b">
        <f t="array" ref="U3996">index('Query Tool'!B:B,match(C3996,'Query Tool'!C:C,0))</f>
        <v>1</v>
      </c>
      <c r="V3996" s="161" t="b">
        <f>F3996&gt;='Query Tool'!C$32</f>
        <v>0</v>
      </c>
      <c r="W3996" s="161" t="b">
        <f t="array" ref="W3996">index(Dropdowns!B:B,match(I3996,Dropdowns!A:A,0))</f>
        <v>1</v>
      </c>
      <c r="X3996" s="161" t="b">
        <f t="array" ref="X3996">index('Query Tool'!B:B,match(D3996,'Query Tool'!C:C,0))</f>
        <v>1</v>
      </c>
      <c r="Y3996" s="161" t="str">
        <f t="shared" si="6"/>
        <v>tillmxa01,2020-21</v>
      </c>
      <c r="Z3996" s="168" t="str">
        <f t="array" ref="Z3996">iferror(index(I:I,match($A3996&amp;","&amp;index('Year Conversion'!$A:$A,match($C3996,'Year Conversion'!$B:$B,0)),$Y:$Y,0))-I3996,"")</f>
        <v/>
      </c>
      <c r="AA3996" s="168" t="str">
        <f t="array" ref="AA3996">iferror(index(J:J,match($A3996&amp;","&amp;index('Year Conversion'!$A:$A,match($C3996,'Year Conversion'!$B:$B,0)),$Y:$Y,0))-J3996,"")</f>
        <v/>
      </c>
      <c r="AB3996" s="168" t="str">
        <f t="array" ref="AB3996">iferror(index(K:K,match($A3996&amp;","&amp;index('Year Conversion'!$A:$A,match($C3996,'Year Conversion'!$B:$B,0)),$Y:$Y,0))-K3996,"")</f>
        <v/>
      </c>
      <c r="AC3996" s="168" t="str">
        <f t="shared" si="7"/>
        <v>MEM,2020-21</v>
      </c>
    </row>
    <row r="3997">
      <c r="A3997" s="161" t="str">
        <f>IFERROR(__xludf.DUMMYFUNCTION("""COMPUTED_VALUE"""),"winstca01")</f>
        <v>winstca01</v>
      </c>
      <c r="B3997" s="161" t="str">
        <f>IFERROR(__xludf.DUMMYFUNCTION("""COMPUTED_VALUE"""),"Cassius Winston")</f>
        <v>Cassius Winston</v>
      </c>
      <c r="C3997" s="162" t="str">
        <f>IFERROR(__xludf.DUMMYFUNCTION("""COMPUTED_VALUE"""),"2020-21")</f>
        <v>2020-21</v>
      </c>
      <c r="D3997" s="163" t="str">
        <f>IFERROR(__xludf.DUMMYFUNCTION("""COMPUTED_VALUE"""),"WAS")</f>
        <v>WAS</v>
      </c>
      <c r="E3997" s="164" t="str">
        <f>IFERROR(__xludf.DUMMYFUNCTION("""COMPUTED_VALUE"""),"Secondary Ball Handler")</f>
        <v>Secondary Ball Handler</v>
      </c>
      <c r="F3997" s="164">
        <f>IFERROR(__xludf.DUMMYFUNCTION("""COMPUTED_VALUE"""),43.7883333333334)</f>
        <v>43.78833333</v>
      </c>
      <c r="G3997" s="163">
        <f>IFERROR(__xludf.DUMMYFUNCTION("""COMPUTED_VALUE"""),6.0)</f>
        <v>6</v>
      </c>
      <c r="H3997" s="163" t="str">
        <f>IFERROR(__xludf.DUMMYFUNCTION("""COMPUTED_VALUE"""),"PG")</f>
        <v>PG</v>
      </c>
      <c r="I3997" s="163">
        <f>IFERROR(__xludf.DUMMYFUNCTION("""COMPUTED_VALUE"""),22.0)</f>
        <v>22</v>
      </c>
      <c r="J3997" s="165">
        <f>IFERROR(__xludf.DUMMYFUNCTION("""COMPUTED_VALUE"""),-0.360953112802683)</f>
        <v>-0.3609531128</v>
      </c>
      <c r="K3997" s="165">
        <f>IFERROR(__xludf.DUMMYFUNCTION("""COMPUTED_VALUE"""),-0.244417372258838)</f>
        <v>-0.2444173723</v>
      </c>
      <c r="L3997" s="165">
        <f>IFERROR(__xludf.DUMMYFUNCTION("""COMPUTED_VALUE"""),-0.116535740543845)</f>
        <v>-0.1165357405</v>
      </c>
      <c r="M3997" s="166">
        <f t="shared" si="2"/>
        <v>0.05685301125</v>
      </c>
      <c r="N3997" s="167">
        <f t="shared" si="3"/>
        <v>7.298055556</v>
      </c>
      <c r="O3997" s="163">
        <f t="shared" ref="O3997:Q3997" si="4001">rank(I3997,I:I)</f>
        <v>3178</v>
      </c>
      <c r="P3997" s="163">
        <f t="shared" si="4001"/>
        <v>1682</v>
      </c>
      <c r="Q3997" s="163">
        <f t="shared" si="4001"/>
        <v>1656</v>
      </c>
      <c r="R3997" s="163">
        <f>IFERROR(__xludf.DUMMYFUNCTION("RANK(M3997,filter(M:M,C:C=C3997))"),371.0)</f>
        <v>371</v>
      </c>
      <c r="S3997" s="161" t="b">
        <f t="shared" si="5"/>
        <v>0</v>
      </c>
      <c r="T3997" s="161" t="b">
        <f t="array" ref="T3997">index('Query Tool'!B:B,match(H3997,'Query Tool'!C:C,0))</f>
        <v>1</v>
      </c>
      <c r="U3997" s="161" t="b">
        <f t="array" ref="U3997">index('Query Tool'!B:B,match(C3997,'Query Tool'!C:C,0))</f>
        <v>1</v>
      </c>
      <c r="V3997" s="161" t="b">
        <f>F3997&gt;='Query Tool'!C$32</f>
        <v>0</v>
      </c>
      <c r="W3997" s="161" t="b">
        <f t="array" ref="W3997">index(Dropdowns!B:B,match(I3997,Dropdowns!A:A,0))</f>
        <v>1</v>
      </c>
      <c r="X3997" s="161" t="b">
        <f t="array" ref="X3997">index('Query Tool'!B:B,match(D3997,'Query Tool'!C:C,0))</f>
        <v>1</v>
      </c>
      <c r="Y3997" s="161" t="str">
        <f t="shared" si="6"/>
        <v>winstca01,2020-21</v>
      </c>
      <c r="Z3997" s="168" t="str">
        <f t="array" ref="Z3997">iferror(index(I:I,match($A3997&amp;","&amp;index('Year Conversion'!$A:$A,match($C3997,'Year Conversion'!$B:$B,0)),$Y:$Y,0))-I3997,"")</f>
        <v/>
      </c>
      <c r="AA3997" s="168" t="str">
        <f t="array" ref="AA3997">iferror(index(J:J,match($A3997&amp;","&amp;index('Year Conversion'!$A:$A,match($C3997,'Year Conversion'!$B:$B,0)),$Y:$Y,0))-J3997,"")</f>
        <v/>
      </c>
      <c r="AB3997" s="168" t="str">
        <f t="array" ref="AB3997">iferror(index(K:K,match($A3997&amp;","&amp;index('Year Conversion'!$A:$A,match($C3997,'Year Conversion'!$B:$B,0)),$Y:$Y,0))-K3997,"")</f>
        <v/>
      </c>
      <c r="AC3997" s="168" t="str">
        <f t="shared" si="7"/>
        <v>WAS,2020-21</v>
      </c>
    </row>
    <row r="3998">
      <c r="A3998" s="161" t="str">
        <f>IFERROR(__xludf.DUMMYFUNCTION("""COMPUTED_VALUE"""),"banede01")</f>
        <v>banede01</v>
      </c>
      <c r="B3998" s="161" t="str">
        <f>IFERROR(__xludf.DUMMYFUNCTION("""COMPUTED_VALUE"""),"Desmond Bane")</f>
        <v>Desmond Bane</v>
      </c>
      <c r="C3998" s="162" t="str">
        <f>IFERROR(__xludf.DUMMYFUNCTION("""COMPUTED_VALUE"""),"2020-21")</f>
        <v>2020-21</v>
      </c>
      <c r="D3998" s="163" t="str">
        <f>IFERROR(__xludf.DUMMYFUNCTION("""COMPUTED_VALUE"""),"MEM")</f>
        <v>MEM</v>
      </c>
      <c r="E3998" s="164" t="str">
        <f>IFERROR(__xludf.DUMMYFUNCTION("""COMPUTED_VALUE"""),"Movement Shooter")</f>
        <v>Movement Shooter</v>
      </c>
      <c r="F3998" s="164">
        <f>IFERROR(__xludf.DUMMYFUNCTION("""COMPUTED_VALUE"""),505.581666666667)</f>
        <v>505.5816667</v>
      </c>
      <c r="G3998" s="163">
        <f>IFERROR(__xludf.DUMMYFUNCTION("""COMPUTED_VALUE"""),22.0)</f>
        <v>22</v>
      </c>
      <c r="H3998" s="163" t="str">
        <f>IFERROR(__xludf.DUMMYFUNCTION("""COMPUTED_VALUE"""),"SG")</f>
        <v>SG</v>
      </c>
      <c r="I3998" s="163">
        <f>IFERROR(__xludf.DUMMYFUNCTION("""COMPUTED_VALUE"""),22.0)</f>
        <v>22</v>
      </c>
      <c r="J3998" s="165">
        <f>IFERROR(__xludf.DUMMYFUNCTION("""COMPUTED_VALUE"""),-1.52402943044908)</f>
        <v>-1.52402943</v>
      </c>
      <c r="K3998" s="165">
        <f>IFERROR(__xludf.DUMMYFUNCTION("""COMPUTED_VALUE"""),-0.777232293143589)</f>
        <v>-0.7772322931</v>
      </c>
      <c r="L3998" s="165">
        <f>IFERROR(__xludf.DUMMYFUNCTION("""COMPUTED_VALUE"""),-0.746797137305488)</f>
        <v>-0.7467971373</v>
      </c>
      <c r="M3998" s="166">
        <f t="shared" si="2"/>
        <v>0.2616304595</v>
      </c>
      <c r="N3998" s="167">
        <f t="shared" si="3"/>
        <v>22.98098485</v>
      </c>
      <c r="O3998" s="163">
        <f t="shared" ref="O3998:Q3998" si="4002">rank(I3998,I:I)</f>
        <v>3178</v>
      </c>
      <c r="P3998" s="163">
        <f t="shared" si="4002"/>
        <v>3073</v>
      </c>
      <c r="Q3998" s="163">
        <f t="shared" si="4002"/>
        <v>2527</v>
      </c>
      <c r="R3998" s="163">
        <f>IFERROR(__xludf.DUMMYFUNCTION("RANK(M3998,filter(M:M,C:C=C3998))"),257.0)</f>
        <v>257</v>
      </c>
      <c r="S3998" s="161" t="b">
        <f t="shared" si="5"/>
        <v>1</v>
      </c>
      <c r="T3998" s="161" t="b">
        <f t="array" ref="T3998">index('Query Tool'!B:B,match(H3998,'Query Tool'!C:C,0))</f>
        <v>1</v>
      </c>
      <c r="U3998" s="161" t="b">
        <f t="array" ref="U3998">index('Query Tool'!B:B,match(C3998,'Query Tool'!C:C,0))</f>
        <v>1</v>
      </c>
      <c r="V3998" s="161" t="b">
        <f>F3998&gt;='Query Tool'!C$32</f>
        <v>1</v>
      </c>
      <c r="W3998" s="161" t="b">
        <f t="array" ref="W3998">index(Dropdowns!B:B,match(I3998,Dropdowns!A:A,0))</f>
        <v>1</v>
      </c>
      <c r="X3998" s="161" t="b">
        <f t="array" ref="X3998">index('Query Tool'!B:B,match(D3998,'Query Tool'!C:C,0))</f>
        <v>1</v>
      </c>
      <c r="Y3998" s="161" t="str">
        <f t="shared" si="6"/>
        <v>banede01,2020-21</v>
      </c>
      <c r="Z3998" s="168" t="str">
        <f t="array" ref="Z3998">iferror(index(I:I,match($A3998&amp;","&amp;index('Year Conversion'!$A:$A,match($C3998,'Year Conversion'!$B:$B,0)),$Y:$Y,0))-I3998,"")</f>
        <v/>
      </c>
      <c r="AA3998" s="168" t="str">
        <f t="array" ref="AA3998">iferror(index(J:J,match($A3998&amp;","&amp;index('Year Conversion'!$A:$A,match($C3998,'Year Conversion'!$B:$B,0)),$Y:$Y,0))-J3998,"")</f>
        <v/>
      </c>
      <c r="AB3998" s="168" t="str">
        <f t="array" ref="AB3998">iferror(index(K:K,match($A3998&amp;","&amp;index('Year Conversion'!$A:$A,match($C3998,'Year Conversion'!$B:$B,0)),$Y:$Y,0))-K3998,"")</f>
        <v/>
      </c>
      <c r="AC3998" s="168" t="str">
        <f t="shared" si="7"/>
        <v>MEM,2020-21</v>
      </c>
    </row>
    <row r="3999">
      <c r="A3999" s="161" t="str">
        <f>IFERROR(__xludf.DUMMYFUNCTION("""COMPUTED_VALUE"""),"woodaro01")</f>
        <v>woodaro01</v>
      </c>
      <c r="B3999" s="161" t="str">
        <f>IFERROR(__xludf.DUMMYFUNCTION("""COMPUTED_VALUE"""),"Robert Woodard II")</f>
        <v>Robert Woodard II</v>
      </c>
      <c r="C3999" s="162" t="str">
        <f>IFERROR(__xludf.DUMMYFUNCTION("""COMPUTED_VALUE"""),"2020-21")</f>
        <v>2020-21</v>
      </c>
      <c r="D3999" s="163" t="str">
        <f>IFERROR(__xludf.DUMMYFUNCTION("""COMPUTED_VALUE"""),"SAC")</f>
        <v>SAC</v>
      </c>
      <c r="E3999" s="164" t="str">
        <f>IFERROR(__xludf.DUMMYFUNCTION("""COMPUTED_VALUE"""),"Stretch Big")</f>
        <v>Stretch Big</v>
      </c>
      <c r="F3999" s="164">
        <f>IFERROR(__xludf.DUMMYFUNCTION("""COMPUTED_VALUE"""),17.0966666666667)</f>
        <v>17.09666667</v>
      </c>
      <c r="G3999" s="163">
        <f>IFERROR(__xludf.DUMMYFUNCTION("""COMPUTED_VALUE"""),6.0)</f>
        <v>6</v>
      </c>
      <c r="H3999" s="163" t="str">
        <f>IFERROR(__xludf.DUMMYFUNCTION("""COMPUTED_VALUE"""),"SF")</f>
        <v>SF</v>
      </c>
      <c r="I3999" s="163">
        <f>IFERROR(__xludf.DUMMYFUNCTION("""COMPUTED_VALUE"""),21.0)</f>
        <v>21</v>
      </c>
      <c r="J3999" s="165">
        <f>IFERROR(__xludf.DUMMYFUNCTION("""COMPUTED_VALUE"""),0.31369528634162)</f>
        <v>0.3136952863</v>
      </c>
      <c r="K3999" s="165">
        <f>IFERROR(__xludf.DUMMYFUNCTION("""COMPUTED_VALUE"""),0.0673224713611776)</f>
        <v>0.06732247136</v>
      </c>
      <c r="L3999" s="165">
        <f>IFERROR(__xludf.DUMMYFUNCTION("""COMPUTED_VALUE"""),0.246372814980442)</f>
        <v>0.246372815</v>
      </c>
      <c r="M3999" s="166">
        <f t="shared" si="2"/>
        <v>0.0299726438</v>
      </c>
      <c r="N3999" s="167">
        <f t="shared" si="3"/>
        <v>2.849444444</v>
      </c>
      <c r="O3999" s="163">
        <f t="shared" ref="O3999:Q3999" si="4003">rank(I3999,I:I)</f>
        <v>3528</v>
      </c>
      <c r="P3999" s="163">
        <f t="shared" si="4003"/>
        <v>1009</v>
      </c>
      <c r="Q3999" s="163">
        <f t="shared" si="4003"/>
        <v>1111</v>
      </c>
      <c r="R3999" s="163">
        <f>IFERROR(__xludf.DUMMYFUNCTION("RANK(M3999,filter(M:M,C:C=C3999))"),404.0)</f>
        <v>404</v>
      </c>
      <c r="S3999" s="161" t="b">
        <f t="shared" si="5"/>
        <v>0</v>
      </c>
      <c r="T3999" s="161" t="b">
        <f t="array" ref="T3999">index('Query Tool'!B:B,match(H3999,'Query Tool'!C:C,0))</f>
        <v>1</v>
      </c>
      <c r="U3999" s="161" t="b">
        <f t="array" ref="U3999">index('Query Tool'!B:B,match(C3999,'Query Tool'!C:C,0))</f>
        <v>1</v>
      </c>
      <c r="V3999" s="161" t="b">
        <f>F3999&gt;='Query Tool'!C$32</f>
        <v>0</v>
      </c>
      <c r="W3999" s="161" t="b">
        <f t="array" ref="W3999">index(Dropdowns!B:B,match(I3999,Dropdowns!A:A,0))</f>
        <v>1</v>
      </c>
      <c r="X3999" s="161" t="b">
        <f t="array" ref="X3999">index('Query Tool'!B:B,match(D3999,'Query Tool'!C:C,0))</f>
        <v>1</v>
      </c>
      <c r="Y3999" s="161" t="str">
        <f t="shared" si="6"/>
        <v>woodaro01,2020-21</v>
      </c>
      <c r="Z3999" s="168" t="str">
        <f t="array" ref="Z3999">iferror(index(I:I,match($A3999&amp;","&amp;index('Year Conversion'!$A:$A,match($C3999,'Year Conversion'!$B:$B,0)),$Y:$Y,0))-I3999,"")</f>
        <v/>
      </c>
      <c r="AA3999" s="168" t="str">
        <f t="array" ref="AA3999">iferror(index(J:J,match($A3999&amp;","&amp;index('Year Conversion'!$A:$A,match($C3999,'Year Conversion'!$B:$B,0)),$Y:$Y,0))-J3999,"")</f>
        <v/>
      </c>
      <c r="AB3999" s="168" t="str">
        <f t="array" ref="AB3999">iferror(index(K:K,match($A3999&amp;","&amp;index('Year Conversion'!$A:$A,match($C3999,'Year Conversion'!$B:$B,0)),$Y:$Y,0))-K3999,"")</f>
        <v/>
      </c>
      <c r="AC3999" s="168" t="str">
        <f t="shared" si="7"/>
        <v>SAC,2020-21</v>
      </c>
    </row>
    <row r="4000">
      <c r="A4000" s="161" t="str">
        <f>IFERROR(__xludf.DUMMYFUNCTION("""COMPUTED_VALUE"""),"mayssk01")</f>
        <v>mayssk01</v>
      </c>
      <c r="B4000" s="161" t="str">
        <f>IFERROR(__xludf.DUMMYFUNCTION("""COMPUTED_VALUE"""),"Skylar Mays")</f>
        <v>Skylar Mays</v>
      </c>
      <c r="C4000" s="162" t="str">
        <f>IFERROR(__xludf.DUMMYFUNCTION("""COMPUTED_VALUE"""),"2020-21")</f>
        <v>2020-21</v>
      </c>
      <c r="D4000" s="163" t="str">
        <f>IFERROR(__xludf.DUMMYFUNCTION("""COMPUTED_VALUE"""),"ATL")</f>
        <v>ATL</v>
      </c>
      <c r="E4000" s="164" t="str">
        <f>IFERROR(__xludf.DUMMYFUNCTION("""COMPUTED_VALUE"""),"Secondary Ball Handler")</f>
        <v>Secondary Ball Handler</v>
      </c>
      <c r="F4000" s="164">
        <f>IFERROR(__xludf.DUMMYFUNCTION("""COMPUTED_VALUE"""),86.3233333333333)</f>
        <v>86.32333333</v>
      </c>
      <c r="G4000" s="163">
        <f>IFERROR(__xludf.DUMMYFUNCTION("""COMPUTED_VALUE"""),12.0)</f>
        <v>12</v>
      </c>
      <c r="H4000" s="163" t="str">
        <f>IFERROR(__xludf.DUMMYFUNCTION("""COMPUTED_VALUE"""),"SG")</f>
        <v>SG</v>
      </c>
      <c r="I4000" s="163">
        <f>IFERROR(__xludf.DUMMYFUNCTION("""COMPUTED_VALUE"""),23.0)</f>
        <v>23</v>
      </c>
      <c r="J4000" s="165">
        <f>IFERROR(__xludf.DUMMYFUNCTION("""COMPUTED_VALUE"""),-0.418236197125293)</f>
        <v>-0.4182361971</v>
      </c>
      <c r="K4000" s="165">
        <f>IFERROR(__xludf.DUMMYFUNCTION("""COMPUTED_VALUE"""),-0.163356279219108)</f>
        <v>-0.1633562792</v>
      </c>
      <c r="L4000" s="165">
        <f>IFERROR(__xludf.DUMMYFUNCTION("""COMPUTED_VALUE"""),-0.254879917906185)</f>
        <v>-0.2548799179</v>
      </c>
      <c r="M4000" s="166">
        <f t="shared" si="2"/>
        <v>0.1087470778</v>
      </c>
      <c r="N4000" s="167">
        <f t="shared" si="3"/>
        <v>7.193611111</v>
      </c>
      <c r="O4000" s="163">
        <f t="shared" ref="O4000:Q4000" si="4004">rank(I4000,I:I)</f>
        <v>2765</v>
      </c>
      <c r="P4000" s="163">
        <f t="shared" si="4004"/>
        <v>1750</v>
      </c>
      <c r="Q4000" s="163">
        <f t="shared" si="4004"/>
        <v>1500</v>
      </c>
      <c r="R4000" s="163">
        <f>IFERROR(__xludf.DUMMYFUNCTION("RANK(M4000,filter(M:M,C:C=C4000))"),325.0)</f>
        <v>325</v>
      </c>
      <c r="S4000" s="161" t="b">
        <f t="shared" si="5"/>
        <v>0</v>
      </c>
      <c r="T4000" s="161" t="b">
        <f t="array" ref="T4000">index('Query Tool'!B:B,match(H4000,'Query Tool'!C:C,0))</f>
        <v>1</v>
      </c>
      <c r="U4000" s="161" t="b">
        <f t="array" ref="U4000">index('Query Tool'!B:B,match(C4000,'Query Tool'!C:C,0))</f>
        <v>1</v>
      </c>
      <c r="V4000" s="161" t="b">
        <f>F4000&gt;='Query Tool'!C$32</f>
        <v>0</v>
      </c>
      <c r="W4000" s="161" t="b">
        <f t="array" ref="W4000">index(Dropdowns!B:B,match(I4000,Dropdowns!A:A,0))</f>
        <v>1</v>
      </c>
      <c r="X4000" s="161" t="b">
        <f t="array" ref="X4000">index('Query Tool'!B:B,match(D4000,'Query Tool'!C:C,0))</f>
        <v>1</v>
      </c>
      <c r="Y4000" s="161" t="str">
        <f t="shared" si="6"/>
        <v>mayssk01,2020-21</v>
      </c>
      <c r="Z4000" s="168" t="str">
        <f t="array" ref="Z4000">iferror(index(I:I,match($A4000&amp;","&amp;index('Year Conversion'!$A:$A,match($C4000,'Year Conversion'!$B:$B,0)),$Y:$Y,0))-I4000,"")</f>
        <v/>
      </c>
      <c r="AA4000" s="168" t="str">
        <f t="array" ref="AA4000">iferror(index(J:J,match($A4000&amp;","&amp;index('Year Conversion'!$A:$A,match($C4000,'Year Conversion'!$B:$B,0)),$Y:$Y,0))-J4000,"")</f>
        <v/>
      </c>
      <c r="AB4000" s="168" t="str">
        <f t="array" ref="AB4000">iferror(index(K:K,match($A4000&amp;","&amp;index('Year Conversion'!$A:$A,match($C4000,'Year Conversion'!$B:$B,0)),$Y:$Y,0))-K4000,"")</f>
        <v/>
      </c>
      <c r="AC4000" s="168" t="str">
        <f t="shared" si="7"/>
        <v>ATL,2020-21</v>
      </c>
    </row>
    <row r="4001">
      <c r="A4001" s="161" t="str">
        <f>IFERROR(__xludf.DUMMYFUNCTION("""COMPUTED_VALUE"""),"halljo01")</f>
        <v>halljo01</v>
      </c>
      <c r="B4001" s="161" t="str">
        <f>IFERROR(__xludf.DUMMYFUNCTION("""COMPUTED_VALUE"""),"Josh Hall")</f>
        <v>Josh Hall</v>
      </c>
      <c r="C4001" s="162" t="str">
        <f>IFERROR(__xludf.DUMMYFUNCTION("""COMPUTED_VALUE"""),"2020-21")</f>
        <v>2020-21</v>
      </c>
      <c r="D4001" s="163" t="str">
        <f>IFERROR(__xludf.DUMMYFUNCTION("""COMPUTED_VALUE"""),"OKC")</f>
        <v>OKC</v>
      </c>
      <c r="E4001" s="164" t="str">
        <f>IFERROR(__xludf.DUMMYFUNCTION("""COMPUTED_VALUE"""),"Stationary Shooter")</f>
        <v>Stationary Shooter</v>
      </c>
      <c r="F4001" s="164">
        <f>IFERROR(__xludf.DUMMYFUNCTION("""COMPUTED_VALUE"""),51.23)</f>
        <v>51.23</v>
      </c>
      <c r="G4001" s="163">
        <f>IFERROR(__xludf.DUMMYFUNCTION("""COMPUTED_VALUE"""),7.0)</f>
        <v>7</v>
      </c>
      <c r="H4001" s="163" t="str">
        <f>IFERROR(__xludf.DUMMYFUNCTION("""COMPUTED_VALUE"""),"SF")</f>
        <v>SF</v>
      </c>
      <c r="I4001" s="163">
        <f>IFERROR(__xludf.DUMMYFUNCTION("""COMPUTED_VALUE"""),20.0)</f>
        <v>20</v>
      </c>
      <c r="J4001" s="165">
        <f>IFERROR(__xludf.DUMMYFUNCTION("""COMPUTED_VALUE"""),-0.309068545904848)</f>
        <v>-0.3090685459</v>
      </c>
      <c r="K4001" s="165">
        <f>IFERROR(__xludf.DUMMYFUNCTION("""COMPUTED_VALUE"""),-0.4130482625633)</f>
        <v>-0.4130482626</v>
      </c>
      <c r="L4001" s="165">
        <f>IFERROR(__xludf.DUMMYFUNCTION("""COMPUTED_VALUE"""),0.103979716658452)</f>
        <v>0.1039797167</v>
      </c>
      <c r="M4001" s="166">
        <f t="shared" si="2"/>
        <v>0.0683061602</v>
      </c>
      <c r="N4001" s="167">
        <f t="shared" si="3"/>
        <v>7.318571429</v>
      </c>
      <c r="O4001" s="163">
        <f t="shared" ref="O4001:Q4001" si="4005">rank(I4001,I:I)</f>
        <v>3770</v>
      </c>
      <c r="P4001" s="163">
        <f t="shared" si="4005"/>
        <v>1626</v>
      </c>
      <c r="Q4001" s="163">
        <f t="shared" si="4005"/>
        <v>1968</v>
      </c>
      <c r="R4001" s="163">
        <f>IFERROR(__xludf.DUMMYFUNCTION("RANK(M4001,filter(M:M,C:C=C4001))"),360.0)</f>
        <v>360</v>
      </c>
      <c r="S4001" s="161" t="b">
        <f t="shared" si="5"/>
        <v>0</v>
      </c>
      <c r="T4001" s="161" t="b">
        <f t="array" ref="T4001">index('Query Tool'!B:B,match(H4001,'Query Tool'!C:C,0))</f>
        <v>1</v>
      </c>
      <c r="U4001" s="161" t="b">
        <f t="array" ref="U4001">index('Query Tool'!B:B,match(C4001,'Query Tool'!C:C,0))</f>
        <v>1</v>
      </c>
      <c r="V4001" s="161" t="b">
        <f>F4001&gt;='Query Tool'!C$32</f>
        <v>0</v>
      </c>
      <c r="W4001" s="161" t="b">
        <f t="array" ref="W4001">index(Dropdowns!B:B,match(I4001,Dropdowns!A:A,0))</f>
        <v>1</v>
      </c>
      <c r="X4001" s="161" t="b">
        <f t="array" ref="X4001">index('Query Tool'!B:B,match(D4001,'Query Tool'!C:C,0))</f>
        <v>1</v>
      </c>
      <c r="Y4001" s="161" t="str">
        <f t="shared" si="6"/>
        <v>halljo01,2020-21</v>
      </c>
      <c r="Z4001" s="168" t="str">
        <f t="array" ref="Z4001">iferror(index(I:I,match($A4001&amp;","&amp;index('Year Conversion'!$A:$A,match($C4001,'Year Conversion'!$B:$B,0)),$Y:$Y,0))-I4001,"")</f>
        <v/>
      </c>
      <c r="AA4001" s="168" t="str">
        <f t="array" ref="AA4001">iferror(index(J:J,match($A4001&amp;","&amp;index('Year Conversion'!$A:$A,match($C4001,'Year Conversion'!$B:$B,0)),$Y:$Y,0))-J4001,"")</f>
        <v/>
      </c>
      <c r="AB4001" s="168" t="str">
        <f t="array" ref="AB4001">iferror(index(K:K,match($A4001&amp;","&amp;index('Year Conversion'!$A:$A,match($C4001,'Year Conversion'!$B:$B,0)),$Y:$Y,0))-K4001,"")</f>
        <v/>
      </c>
      <c r="AC4001" s="168" t="str">
        <f t="shared" si="7"/>
        <v>OKC,2020-21</v>
      </c>
    </row>
    <row r="4002">
      <c r="A4002" s="161" t="str">
        <f>IFERROR(__xludf.DUMMYFUNCTION("""COMPUTED_VALUE"""),"jonesma05")</f>
        <v>jonesma05</v>
      </c>
      <c r="B4002" s="161" t="str">
        <f>IFERROR(__xludf.DUMMYFUNCTION("""COMPUTED_VALUE"""),"Mason Jones")</f>
        <v>Mason Jones</v>
      </c>
      <c r="C4002" s="162" t="str">
        <f>IFERROR(__xludf.DUMMYFUNCTION("""COMPUTED_VALUE"""),"2020-21")</f>
        <v>2020-21</v>
      </c>
      <c r="D4002" s="163" t="str">
        <f>IFERROR(__xludf.DUMMYFUNCTION("""COMPUTED_VALUE"""),"HOU")</f>
        <v>HOU</v>
      </c>
      <c r="E4002" s="164" t="str">
        <f>IFERROR(__xludf.DUMMYFUNCTION("""COMPUTED_VALUE"""),"Secondary Ball Handler")</f>
        <v>Secondary Ball Handler</v>
      </c>
      <c r="F4002" s="164">
        <f>IFERROR(__xludf.DUMMYFUNCTION("""COMPUTED_VALUE"""),201.143333333333)</f>
        <v>201.1433333</v>
      </c>
      <c r="G4002" s="163">
        <f>IFERROR(__xludf.DUMMYFUNCTION("""COMPUTED_VALUE"""),18.0)</f>
        <v>18</v>
      </c>
      <c r="H4002" s="163" t="str">
        <f>IFERROR(__xludf.DUMMYFUNCTION("""COMPUTED_VALUE"""),"SG")</f>
        <v>SG</v>
      </c>
      <c r="I4002" s="163">
        <f>IFERROR(__xludf.DUMMYFUNCTION("""COMPUTED_VALUE"""),22.0)</f>
        <v>22</v>
      </c>
      <c r="J4002" s="165">
        <f>IFERROR(__xludf.DUMMYFUNCTION("""COMPUTED_VALUE"""),-1.93451531791587)</f>
        <v>-1.934515318</v>
      </c>
      <c r="K4002" s="165">
        <f>IFERROR(__xludf.DUMMYFUNCTION("""COMPUTED_VALUE"""),-1.11148247603587)</f>
        <v>-1.111482476</v>
      </c>
      <c r="L4002" s="165">
        <f>IFERROR(__xludf.DUMMYFUNCTION("""COMPUTED_VALUE"""),-0.823032841880006)</f>
        <v>-0.8230328419</v>
      </c>
      <c r="M4002" s="166">
        <f t="shared" si="2"/>
        <v>0.04911409963</v>
      </c>
      <c r="N4002" s="167">
        <f t="shared" si="3"/>
        <v>11.17462963</v>
      </c>
      <c r="O4002" s="163">
        <f t="shared" ref="O4002:Q4002" si="4006">rank(I4002,I:I)</f>
        <v>3178</v>
      </c>
      <c r="P4002" s="163">
        <f t="shared" si="4006"/>
        <v>3435</v>
      </c>
      <c r="Q4002" s="163">
        <f t="shared" si="4006"/>
        <v>2940</v>
      </c>
      <c r="R4002" s="163">
        <f>IFERROR(__xludf.DUMMYFUNCTION("RANK(M4002,filter(M:M,C:C=C4002))"),383.0)</f>
        <v>383</v>
      </c>
      <c r="S4002" s="161" t="b">
        <f t="shared" si="5"/>
        <v>0</v>
      </c>
      <c r="T4002" s="161" t="b">
        <f t="array" ref="T4002">index('Query Tool'!B:B,match(H4002,'Query Tool'!C:C,0))</f>
        <v>1</v>
      </c>
      <c r="U4002" s="161" t="b">
        <f t="array" ref="U4002">index('Query Tool'!B:B,match(C4002,'Query Tool'!C:C,0))</f>
        <v>1</v>
      </c>
      <c r="V4002" s="161" t="b">
        <f>F4002&gt;='Query Tool'!C$32</f>
        <v>0</v>
      </c>
      <c r="W4002" s="161" t="b">
        <f t="array" ref="W4002">index(Dropdowns!B:B,match(I4002,Dropdowns!A:A,0))</f>
        <v>1</v>
      </c>
      <c r="X4002" s="161" t="b">
        <f t="array" ref="X4002">index('Query Tool'!B:B,match(D4002,'Query Tool'!C:C,0))</f>
        <v>1</v>
      </c>
      <c r="Y4002" s="161" t="str">
        <f t="shared" si="6"/>
        <v>jonesma05,2020-21</v>
      </c>
      <c r="Z4002" s="168" t="str">
        <f t="array" ref="Z4002">iferror(index(I:I,match($A4002&amp;","&amp;index('Year Conversion'!$A:$A,match($C4002,'Year Conversion'!$B:$B,0)),$Y:$Y,0))-I4002,"")</f>
        <v/>
      </c>
      <c r="AA4002" s="168" t="str">
        <f t="array" ref="AA4002">iferror(index(J:J,match($A4002&amp;","&amp;index('Year Conversion'!$A:$A,match($C4002,'Year Conversion'!$B:$B,0)),$Y:$Y,0))-J4002,"")</f>
        <v/>
      </c>
      <c r="AB4002" s="168" t="str">
        <f t="array" ref="AB4002">iferror(index(K:K,match($A4002&amp;","&amp;index('Year Conversion'!$A:$A,match($C4002,'Year Conversion'!$B:$B,0)),$Y:$Y,0))-K4002,"")</f>
        <v/>
      </c>
      <c r="AC4002" s="168" t="str">
        <f t="shared" si="7"/>
        <v>HOU,2020-21</v>
      </c>
    </row>
    <row r="4003">
      <c r="A4003" s="161" t="str">
        <f>IFERROR(__xludf.DUMMYFUNCTION("""COMPUTED_VALUE"""),"harrija01")</f>
        <v>harrija01</v>
      </c>
      <c r="B4003" s="161" t="str">
        <f>IFERROR(__xludf.DUMMYFUNCTION("""COMPUTED_VALUE"""),"Jalen Harris")</f>
        <v>Jalen Harris</v>
      </c>
      <c r="C4003" s="162" t="str">
        <f>IFERROR(__xludf.DUMMYFUNCTION("""COMPUTED_VALUE"""),"2020-21")</f>
        <v>2020-21</v>
      </c>
      <c r="D4003" s="163" t="str">
        <f>IFERROR(__xludf.DUMMYFUNCTION("""COMPUTED_VALUE"""),"TOR")</f>
        <v>TOR</v>
      </c>
      <c r="E4003" s="164" t="str">
        <f>IFERROR(__xludf.DUMMYFUNCTION("""COMPUTED_VALUE"""),"Roll + Cut Big")</f>
        <v>Roll + Cut Big</v>
      </c>
      <c r="F4003" s="164">
        <f>IFERROR(__xludf.DUMMYFUNCTION("""COMPUTED_VALUE"""),4.36666666666666)</f>
        <v>4.366666667</v>
      </c>
      <c r="G4003" s="163">
        <f>IFERROR(__xludf.DUMMYFUNCTION("""COMPUTED_VALUE"""),2.0)</f>
        <v>2</v>
      </c>
      <c r="H4003" s="163" t="str">
        <f>IFERROR(__xludf.DUMMYFUNCTION("""COMPUTED_VALUE"""),"SG")</f>
        <v>SG</v>
      </c>
      <c r="I4003" s="163">
        <f>IFERROR(__xludf.DUMMYFUNCTION("""COMPUTED_VALUE"""),22.0)</f>
        <v>22</v>
      </c>
      <c r="J4003" s="165">
        <f>IFERROR(__xludf.DUMMYFUNCTION("""COMPUTED_VALUE"""),-0.840427167440093)</f>
        <v>-0.8404271674</v>
      </c>
      <c r="K4003" s="165">
        <f>IFERROR(__xludf.DUMMYFUNCTION("""COMPUTED_VALUE"""),-0.453700729307786)</f>
        <v>-0.4537007293</v>
      </c>
      <c r="L4003" s="165">
        <f>IFERROR(__xludf.DUMMYFUNCTION("""COMPUTED_VALUE"""),-0.386726438132306)</f>
        <v>-0.3867264381</v>
      </c>
      <c r="M4003" s="166">
        <f t="shared" si="2"/>
        <v>0.004260183464</v>
      </c>
      <c r="N4003" s="167">
        <f t="shared" si="3"/>
        <v>2.183333333</v>
      </c>
      <c r="O4003" s="163">
        <f t="shared" ref="O4003:Q4003" si="4007">rank(I4003,I:I)</f>
        <v>3178</v>
      </c>
      <c r="P4003" s="163">
        <f t="shared" si="4007"/>
        <v>2335</v>
      </c>
      <c r="Q4003" s="163">
        <f t="shared" si="4007"/>
        <v>2040</v>
      </c>
      <c r="R4003" s="163">
        <f>IFERROR(__xludf.DUMMYFUNCTION("RANK(M4003,filter(M:M,C:C=C4003))"),447.0)</f>
        <v>447</v>
      </c>
      <c r="S4003" s="161" t="b">
        <f t="shared" si="5"/>
        <v>0</v>
      </c>
      <c r="T4003" s="161" t="b">
        <f t="array" ref="T4003">index('Query Tool'!B:B,match(H4003,'Query Tool'!C:C,0))</f>
        <v>1</v>
      </c>
      <c r="U4003" s="161" t="b">
        <f t="array" ref="U4003">index('Query Tool'!B:B,match(C4003,'Query Tool'!C:C,0))</f>
        <v>1</v>
      </c>
      <c r="V4003" s="161" t="b">
        <f>F4003&gt;='Query Tool'!C$32</f>
        <v>0</v>
      </c>
      <c r="W4003" s="161" t="b">
        <f t="array" ref="W4003">index(Dropdowns!B:B,match(I4003,Dropdowns!A:A,0))</f>
        <v>1</v>
      </c>
      <c r="X4003" s="161" t="b">
        <f t="array" ref="X4003">index('Query Tool'!B:B,match(D4003,'Query Tool'!C:C,0))</f>
        <v>1</v>
      </c>
      <c r="Y4003" s="161" t="str">
        <f t="shared" si="6"/>
        <v>harrija01,2020-21</v>
      </c>
      <c r="Z4003" s="168" t="str">
        <f t="array" ref="Z4003">iferror(index(I:I,match($A4003&amp;","&amp;index('Year Conversion'!$A:$A,match($C4003,'Year Conversion'!$B:$B,0)),$Y:$Y,0))-I4003,"")</f>
        <v/>
      </c>
      <c r="AA4003" s="168" t="str">
        <f t="array" ref="AA4003">iferror(index(J:J,match($A4003&amp;","&amp;index('Year Conversion'!$A:$A,match($C4003,'Year Conversion'!$B:$B,0)),$Y:$Y,0))-J4003,"")</f>
        <v/>
      </c>
      <c r="AB4003" s="168" t="str">
        <f t="array" ref="AB4003">iferror(index(K:K,match($A4003&amp;","&amp;index('Year Conversion'!$A:$A,match($C4003,'Year Conversion'!$B:$B,0)),$Y:$Y,0))-K4003,"")</f>
        <v/>
      </c>
      <c r="AC4003" s="168" t="str">
        <f t="shared" si="7"/>
        <v>TOR,2020-21</v>
      </c>
    </row>
    <row r="4004">
      <c r="A4004" s="161" t="str">
        <f>IFERROR(__xludf.DUMMYFUNCTION("""COMPUTED_VALUE"""),"marshna01")</f>
        <v>marshna01</v>
      </c>
      <c r="B4004" s="161" t="str">
        <f>IFERROR(__xludf.DUMMYFUNCTION("""COMPUTED_VALUE"""),"Naji Marshall")</f>
        <v>Naji Marshall</v>
      </c>
      <c r="C4004" s="162" t="str">
        <f>IFERROR(__xludf.DUMMYFUNCTION("""COMPUTED_VALUE"""),"2020-21")</f>
        <v>2020-21</v>
      </c>
      <c r="D4004" s="163" t="str">
        <f>IFERROR(__xludf.DUMMYFUNCTION("""COMPUTED_VALUE"""),"NOP")</f>
        <v>NOP</v>
      </c>
      <c r="E4004" s="164" t="str">
        <f>IFERROR(__xludf.DUMMYFUNCTION("""COMPUTED_VALUE"""),"Secondary Ball Handler")</f>
        <v>Secondary Ball Handler</v>
      </c>
      <c r="F4004" s="164">
        <f>IFERROR(__xludf.DUMMYFUNCTION("""COMPUTED_VALUE"""),8.3)</f>
        <v>8.3</v>
      </c>
      <c r="G4004" s="163">
        <f>IFERROR(__xludf.DUMMYFUNCTION("""COMPUTED_VALUE"""),3.0)</f>
        <v>3</v>
      </c>
      <c r="H4004" s="163" t="str">
        <f>IFERROR(__xludf.DUMMYFUNCTION("""COMPUTED_VALUE"""),"SF")</f>
        <v>SF</v>
      </c>
      <c r="I4004" s="163">
        <f>IFERROR(__xludf.DUMMYFUNCTION("""COMPUTED_VALUE"""),23.0)</f>
        <v>23</v>
      </c>
      <c r="J4004" s="165">
        <f>IFERROR(__xludf.DUMMYFUNCTION("""COMPUTED_VALUE"""),0.156543324734759)</f>
        <v>0.1565433247</v>
      </c>
      <c r="K4004" s="165">
        <f>IFERROR(__xludf.DUMMYFUNCTION("""COMPUTED_VALUE"""),-0.313529608828343)</f>
        <v>-0.3135296088</v>
      </c>
      <c r="L4004" s="165">
        <f>IFERROR(__xludf.DUMMYFUNCTION("""COMPUTED_VALUE"""),0.470072933563103)</f>
        <v>0.4700729336</v>
      </c>
      <c r="M4004" s="166">
        <f t="shared" si="2"/>
        <v>0.01367178481</v>
      </c>
      <c r="N4004" s="167">
        <f t="shared" si="3"/>
        <v>2.766666667</v>
      </c>
      <c r="O4004" s="163">
        <f t="shared" ref="O4004:Q4004" si="4008">rank(I4004,I:I)</f>
        <v>2765</v>
      </c>
      <c r="P4004" s="163">
        <f t="shared" si="4008"/>
        <v>1122</v>
      </c>
      <c r="Q4004" s="163">
        <f t="shared" si="4008"/>
        <v>1782</v>
      </c>
      <c r="R4004" s="163">
        <f>IFERROR(__xludf.DUMMYFUNCTION("RANK(M4004,filter(M:M,C:C=C4004))"),430.0)</f>
        <v>430</v>
      </c>
      <c r="S4004" s="161" t="b">
        <f t="shared" si="5"/>
        <v>0</v>
      </c>
      <c r="T4004" s="161" t="b">
        <f t="array" ref="T4004">index('Query Tool'!B:B,match(H4004,'Query Tool'!C:C,0))</f>
        <v>1</v>
      </c>
      <c r="U4004" s="161" t="b">
        <f t="array" ref="U4004">index('Query Tool'!B:B,match(C4004,'Query Tool'!C:C,0))</f>
        <v>1</v>
      </c>
      <c r="V4004" s="161" t="b">
        <f>F4004&gt;='Query Tool'!C$32</f>
        <v>0</v>
      </c>
      <c r="W4004" s="161" t="b">
        <f t="array" ref="W4004">index(Dropdowns!B:B,match(I4004,Dropdowns!A:A,0))</f>
        <v>1</v>
      </c>
      <c r="X4004" s="161" t="b">
        <f t="array" ref="X4004">index('Query Tool'!B:B,match(D4004,'Query Tool'!C:C,0))</f>
        <v>1</v>
      </c>
      <c r="Y4004" s="161" t="str">
        <f t="shared" si="6"/>
        <v>marshna01,2020-21</v>
      </c>
      <c r="Z4004" s="168" t="str">
        <f t="array" ref="Z4004">iferror(index(I:I,match($A4004&amp;","&amp;index('Year Conversion'!$A:$A,match($C4004,'Year Conversion'!$B:$B,0)),$Y:$Y,0))-I4004,"")</f>
        <v/>
      </c>
      <c r="AA4004" s="168" t="str">
        <f t="array" ref="AA4004">iferror(index(J:J,match($A4004&amp;","&amp;index('Year Conversion'!$A:$A,match($C4004,'Year Conversion'!$B:$B,0)),$Y:$Y,0))-J4004,"")</f>
        <v/>
      </c>
      <c r="AB4004" s="168" t="str">
        <f t="array" ref="AB4004">iferror(index(K:K,match($A4004&amp;","&amp;index('Year Conversion'!$A:$A,match($C4004,'Year Conversion'!$B:$B,0)),$Y:$Y,0))-K4004,"")</f>
        <v/>
      </c>
      <c r="AC4004" s="168" t="str">
        <f t="shared" si="7"/>
        <v>NOP,2020-21</v>
      </c>
    </row>
    <row r="4005">
      <c r="A4005" s="161" t="str">
        <f>IFERROR(__xludf.DUMMYFUNCTION("""COMPUTED_VALUE"""),"martike04")</f>
        <v>martike04</v>
      </c>
      <c r="B4005" s="161" t="str">
        <f>IFERROR(__xludf.DUMMYFUNCTION("""COMPUTED_VALUE"""),"Kenyon Martin Jr.")</f>
        <v>Kenyon Martin Jr.</v>
      </c>
      <c r="C4005" s="162" t="str">
        <f>IFERROR(__xludf.DUMMYFUNCTION("""COMPUTED_VALUE"""),"2020-21")</f>
        <v>2020-21</v>
      </c>
      <c r="D4005" s="163" t="str">
        <f>IFERROR(__xludf.DUMMYFUNCTION("""COMPUTED_VALUE"""),"HOU")</f>
        <v>HOU</v>
      </c>
      <c r="E4005" s="164" t="str">
        <f>IFERROR(__xludf.DUMMYFUNCTION("""COMPUTED_VALUE"""),"Roll + Cut Big")</f>
        <v>Roll + Cut Big</v>
      </c>
      <c r="F4005" s="164">
        <f>IFERROR(__xludf.DUMMYFUNCTION("""COMPUTED_VALUE"""),68.7466666666667)</f>
        <v>68.74666667</v>
      </c>
      <c r="G4005" s="163">
        <f>IFERROR(__xludf.DUMMYFUNCTION("""COMPUTED_VALUE"""),7.0)</f>
        <v>7</v>
      </c>
      <c r="H4005" s="163" t="str">
        <f>IFERROR(__xludf.DUMMYFUNCTION("""COMPUTED_VALUE"""),"SF")</f>
        <v>SF</v>
      </c>
      <c r="I4005" s="163">
        <f>IFERROR(__xludf.DUMMYFUNCTION("""COMPUTED_VALUE"""),20.0)</f>
        <v>20</v>
      </c>
      <c r="J4005" s="165">
        <f>IFERROR(__xludf.DUMMYFUNCTION("""COMPUTED_VALUE"""),-0.00314921644807725)</f>
        <v>-0.003149216448</v>
      </c>
      <c r="K4005" s="165">
        <f>IFERROR(__xludf.DUMMYFUNCTION("""COMPUTED_VALUE"""),-0.0106148860470203)</f>
        <v>-0.01061488605</v>
      </c>
      <c r="L4005" s="165">
        <f>IFERROR(__xludf.DUMMYFUNCTION("""COMPUTED_VALUE"""),0.00746566959894307)</f>
        <v>0.007465669599</v>
      </c>
      <c r="M4005" s="166">
        <f t="shared" si="2"/>
        <v>0.1058384836</v>
      </c>
      <c r="N4005" s="167">
        <f t="shared" si="3"/>
        <v>9.820952381</v>
      </c>
      <c r="O4005" s="163">
        <f t="shared" ref="O4005:Q4005" si="4009">rank(I4005,I:I)</f>
        <v>3770</v>
      </c>
      <c r="P4005" s="163">
        <f t="shared" si="4009"/>
        <v>1287</v>
      </c>
      <c r="Q4005" s="163">
        <f t="shared" si="4009"/>
        <v>1216</v>
      </c>
      <c r="R4005" s="163">
        <f>IFERROR(__xludf.DUMMYFUNCTION("RANK(M4005,filter(M:M,C:C=C4005))"),328.0)</f>
        <v>328</v>
      </c>
      <c r="S4005" s="161" t="b">
        <f t="shared" si="5"/>
        <v>0</v>
      </c>
      <c r="T4005" s="161" t="b">
        <f t="array" ref="T4005">index('Query Tool'!B:B,match(H4005,'Query Tool'!C:C,0))</f>
        <v>1</v>
      </c>
      <c r="U4005" s="161" t="b">
        <f t="array" ref="U4005">index('Query Tool'!B:B,match(C4005,'Query Tool'!C:C,0))</f>
        <v>1</v>
      </c>
      <c r="V4005" s="161" t="b">
        <f>F4005&gt;='Query Tool'!C$32</f>
        <v>0</v>
      </c>
      <c r="W4005" s="161" t="b">
        <f t="array" ref="W4005">index(Dropdowns!B:B,match(I4005,Dropdowns!A:A,0))</f>
        <v>1</v>
      </c>
      <c r="X4005" s="161" t="b">
        <f t="array" ref="X4005">index('Query Tool'!B:B,match(D4005,'Query Tool'!C:C,0))</f>
        <v>1</v>
      </c>
      <c r="Y4005" s="161" t="str">
        <f t="shared" si="6"/>
        <v>martike04,2020-21</v>
      </c>
      <c r="Z4005" s="168" t="str">
        <f t="array" ref="Z4005">iferror(index(I:I,match($A4005&amp;","&amp;index('Year Conversion'!$A:$A,match($C4005,'Year Conversion'!$B:$B,0)),$Y:$Y,0))-I4005,"")</f>
        <v/>
      </c>
      <c r="AA4005" s="168" t="str">
        <f t="array" ref="AA4005">iferror(index(J:J,match($A4005&amp;","&amp;index('Year Conversion'!$A:$A,match($C4005,'Year Conversion'!$B:$B,0)),$Y:$Y,0))-J4005,"")</f>
        <v/>
      </c>
      <c r="AB4005" s="168" t="str">
        <f t="array" ref="AB4005">iferror(index(K:K,match($A4005&amp;","&amp;index('Year Conversion'!$A:$A,match($C4005,'Year Conversion'!$B:$B,0)),$Y:$Y,0))-K4005,"")</f>
        <v/>
      </c>
      <c r="AC4005" s="168" t="str">
        <f t="shared" si="7"/>
        <v>HOU,2020-21</v>
      </c>
    </row>
    <row r="4006">
      <c r="A4006" s="161" t="str">
        <f>IFERROR(__xludf.DUMMYFUNCTION("""COMPUTED_VALUE"""),"knighna01")</f>
        <v>knighna01</v>
      </c>
      <c r="B4006" s="161" t="str">
        <f>IFERROR(__xludf.DUMMYFUNCTION("""COMPUTED_VALUE"""),"Nathan Knight")</f>
        <v>Nathan Knight</v>
      </c>
      <c r="C4006" s="162" t="str">
        <f>IFERROR(__xludf.DUMMYFUNCTION("""COMPUTED_VALUE"""),"2020-21")</f>
        <v>2020-21</v>
      </c>
      <c r="D4006" s="163" t="str">
        <f>IFERROR(__xludf.DUMMYFUNCTION("""COMPUTED_VALUE"""),"ATL")</f>
        <v>ATL</v>
      </c>
      <c r="E4006" s="164" t="str">
        <f>IFERROR(__xludf.DUMMYFUNCTION("""COMPUTED_VALUE"""),"Stretch Big")</f>
        <v>Stretch Big</v>
      </c>
      <c r="F4006" s="164">
        <f>IFERROR(__xludf.DUMMYFUNCTION("""COMPUTED_VALUE"""),53.68)</f>
        <v>53.68</v>
      </c>
      <c r="G4006" s="163">
        <f>IFERROR(__xludf.DUMMYFUNCTION("""COMPUTED_VALUE"""),9.0)</f>
        <v>9</v>
      </c>
      <c r="H4006" s="163" t="str">
        <f>IFERROR(__xludf.DUMMYFUNCTION("""COMPUTED_VALUE"""),"PF")</f>
        <v>PF</v>
      </c>
      <c r="I4006" s="163">
        <f>IFERROR(__xludf.DUMMYFUNCTION("""COMPUTED_VALUE"""),23.0)</f>
        <v>23</v>
      </c>
      <c r="J4006" s="165">
        <f>IFERROR(__xludf.DUMMYFUNCTION("""COMPUTED_VALUE"""),-0.913096336744663)</f>
        <v>-0.9130963367</v>
      </c>
      <c r="K4006" s="165">
        <f>IFERROR(__xludf.DUMMYFUNCTION("""COMPUTED_VALUE"""),-0.500603933722191)</f>
        <v>-0.5006039337</v>
      </c>
      <c r="L4006" s="165">
        <f>IFERROR(__xludf.DUMMYFUNCTION("""COMPUTED_VALUE"""),-0.412492403022473)</f>
        <v>-0.412492403</v>
      </c>
      <c r="M4006" s="166">
        <f t="shared" si="2"/>
        <v>0.04974946611</v>
      </c>
      <c r="N4006" s="167">
        <f t="shared" si="3"/>
        <v>5.964444444</v>
      </c>
      <c r="O4006" s="163">
        <f t="shared" ref="O4006:Q4006" si="4010">rank(I4006,I:I)</f>
        <v>2765</v>
      </c>
      <c r="P4006" s="163">
        <f t="shared" si="4010"/>
        <v>2412</v>
      </c>
      <c r="Q4006" s="163">
        <f t="shared" si="4010"/>
        <v>2107</v>
      </c>
      <c r="R4006" s="163">
        <f>IFERROR(__xludf.DUMMYFUNCTION("RANK(M4006,filter(M:M,C:C=C4006))"),381.0)</f>
        <v>381</v>
      </c>
      <c r="S4006" s="161" t="b">
        <f t="shared" si="5"/>
        <v>0</v>
      </c>
      <c r="T4006" s="161" t="b">
        <f t="array" ref="T4006">index('Query Tool'!B:B,match(H4006,'Query Tool'!C:C,0))</f>
        <v>1</v>
      </c>
      <c r="U4006" s="161" t="b">
        <f t="array" ref="U4006">index('Query Tool'!B:B,match(C4006,'Query Tool'!C:C,0))</f>
        <v>1</v>
      </c>
      <c r="V4006" s="161" t="b">
        <f>F4006&gt;='Query Tool'!C$32</f>
        <v>0</v>
      </c>
      <c r="W4006" s="161" t="b">
        <f t="array" ref="W4006">index(Dropdowns!B:B,match(I4006,Dropdowns!A:A,0))</f>
        <v>1</v>
      </c>
      <c r="X4006" s="161" t="b">
        <f t="array" ref="X4006">index('Query Tool'!B:B,match(D4006,'Query Tool'!C:C,0))</f>
        <v>1</v>
      </c>
      <c r="Y4006" s="161" t="str">
        <f t="shared" si="6"/>
        <v>knighna01,2020-21</v>
      </c>
      <c r="Z4006" s="168" t="str">
        <f t="array" ref="Z4006">iferror(index(I:I,match($A4006&amp;","&amp;index('Year Conversion'!$A:$A,match($C4006,'Year Conversion'!$B:$B,0)),$Y:$Y,0))-I4006,"")</f>
        <v/>
      </c>
      <c r="AA4006" s="168" t="str">
        <f t="array" ref="AA4006">iferror(index(J:J,match($A4006&amp;","&amp;index('Year Conversion'!$A:$A,match($C4006,'Year Conversion'!$B:$B,0)),$Y:$Y,0))-J4006,"")</f>
        <v/>
      </c>
      <c r="AB4006" s="168" t="str">
        <f t="array" ref="AB4006">iferror(index(K:K,match($A4006&amp;","&amp;index('Year Conversion'!$A:$A,match($C4006,'Year Conversion'!$B:$B,0)),$Y:$Y,0))-K4006,"")</f>
        <v/>
      </c>
      <c r="AC4006" s="168" t="str">
        <f t="shared" si="7"/>
        <v>ATL,2020-21</v>
      </c>
    </row>
    <row r="4007">
      <c r="A4007" s="161" t="str">
        <f>IFERROR(__xludf.DUMMYFUNCTION("""COMPUTED_VALUE"""),"alexaty01")</f>
        <v>alexaty01</v>
      </c>
      <c r="B4007" s="161" t="str">
        <f>IFERROR(__xludf.DUMMYFUNCTION("""COMPUTED_VALUE"""),"Ty-Shon Alexander")</f>
        <v>Ty-Shon Alexander</v>
      </c>
      <c r="C4007" s="162" t="str">
        <f>IFERROR(__xludf.DUMMYFUNCTION("""COMPUTED_VALUE"""),"2020-21")</f>
        <v>2020-21</v>
      </c>
      <c r="D4007" s="163" t="str">
        <f>IFERROR(__xludf.DUMMYFUNCTION("""COMPUTED_VALUE"""),"PHO")</f>
        <v>PHO</v>
      </c>
      <c r="E4007" s="164" t="str">
        <f>IFERROR(__xludf.DUMMYFUNCTION("""COMPUTED_VALUE"""),"Stationary Shooter")</f>
        <v>Stationary Shooter</v>
      </c>
      <c r="F4007" s="164">
        <f>IFERROR(__xludf.DUMMYFUNCTION("""COMPUTED_VALUE"""),8.33333333333333)</f>
        <v>8.333333333</v>
      </c>
      <c r="G4007" s="163">
        <f>IFERROR(__xludf.DUMMYFUNCTION("""COMPUTED_VALUE"""),3.0)</f>
        <v>3</v>
      </c>
      <c r="H4007" s="163" t="str">
        <f>IFERROR(__xludf.DUMMYFUNCTION("""COMPUTED_VALUE"""),"SG")</f>
        <v>SG</v>
      </c>
      <c r="I4007" s="163">
        <f>IFERROR(__xludf.DUMMYFUNCTION("""COMPUTED_VALUE"""),22.0)</f>
        <v>22</v>
      </c>
      <c r="J4007" s="165">
        <f>IFERROR(__xludf.DUMMYFUNCTION("""COMPUTED_VALUE"""),-0.827848829702773)</f>
        <v>-0.8278488297</v>
      </c>
      <c r="K4007" s="165">
        <f>IFERROR(__xludf.DUMMYFUNCTION("""COMPUTED_VALUE"""),-0.182544103412271)</f>
        <v>-0.1825441034</v>
      </c>
      <c r="L4007" s="165">
        <f>IFERROR(__xludf.DUMMYFUNCTION("""COMPUTED_VALUE"""),-0.645304726290502)</f>
        <v>-0.6453047263</v>
      </c>
      <c r="M4007" s="166">
        <f t="shared" si="2"/>
        <v>0.008200584815</v>
      </c>
      <c r="N4007" s="167">
        <f t="shared" si="3"/>
        <v>2.777777778</v>
      </c>
      <c r="O4007" s="163">
        <f t="shared" ref="O4007:Q4007" si="4011">rank(I4007,I:I)</f>
        <v>3178</v>
      </c>
      <c r="P4007" s="163">
        <f t="shared" si="4011"/>
        <v>2321</v>
      </c>
      <c r="Q4007" s="163">
        <f t="shared" si="4011"/>
        <v>1537</v>
      </c>
      <c r="R4007" s="163">
        <f>IFERROR(__xludf.DUMMYFUNCTION("RANK(M4007,filter(M:M,C:C=C4007))"),437.0)</f>
        <v>437</v>
      </c>
      <c r="S4007" s="161" t="b">
        <f t="shared" si="5"/>
        <v>0</v>
      </c>
      <c r="T4007" s="161" t="b">
        <f t="array" ref="T4007">index('Query Tool'!B:B,match(H4007,'Query Tool'!C:C,0))</f>
        <v>1</v>
      </c>
      <c r="U4007" s="161" t="b">
        <f t="array" ref="U4007">index('Query Tool'!B:B,match(C4007,'Query Tool'!C:C,0))</f>
        <v>1</v>
      </c>
      <c r="V4007" s="161" t="b">
        <f>F4007&gt;='Query Tool'!C$32</f>
        <v>0</v>
      </c>
      <c r="W4007" s="161" t="b">
        <f t="array" ref="W4007">index(Dropdowns!B:B,match(I4007,Dropdowns!A:A,0))</f>
        <v>1</v>
      </c>
      <c r="X4007" s="161" t="b">
        <f t="array" ref="X4007">index('Query Tool'!B:B,match(D4007,'Query Tool'!C:C,0))</f>
        <v>1</v>
      </c>
      <c r="Y4007" s="161" t="str">
        <f t="shared" si="6"/>
        <v>alexaty01,2020-21</v>
      </c>
      <c r="Z4007" s="168" t="str">
        <f t="array" ref="Z4007">iferror(index(I:I,match($A4007&amp;","&amp;index('Year Conversion'!$A:$A,match($C4007,'Year Conversion'!$B:$B,0)),$Y:$Y,0))-I4007,"")</f>
        <v/>
      </c>
      <c r="AA4007" s="168" t="str">
        <f t="array" ref="AA4007">iferror(index(J:J,match($A4007&amp;","&amp;index('Year Conversion'!$A:$A,match($C4007,'Year Conversion'!$B:$B,0)),$Y:$Y,0))-J4007,"")</f>
        <v/>
      </c>
      <c r="AB4007" s="168" t="str">
        <f t="array" ref="AB4007">iferror(index(K:K,match($A4007&amp;","&amp;index('Year Conversion'!$A:$A,match($C4007,'Year Conversion'!$B:$B,0)),$Y:$Y,0))-K4007,"")</f>
        <v/>
      </c>
      <c r="AC4007" s="168" t="str">
        <f t="shared" si="7"/>
        <v>PHO,2020-21</v>
      </c>
    </row>
    <row r="4008">
      <c r="A4008" s="161" t="str">
        <f>IFERROR(__xludf.DUMMYFUNCTION("""COMPUTED_VALUE"""),"forretr01")</f>
        <v>forretr01</v>
      </c>
      <c r="B4008" s="161" t="str">
        <f>IFERROR(__xludf.DUMMYFUNCTION("""COMPUTED_VALUE"""),"Trent Forrest")</f>
        <v>Trent Forrest</v>
      </c>
      <c r="C4008" s="162" t="str">
        <f>IFERROR(__xludf.DUMMYFUNCTION("""COMPUTED_VALUE"""),"2020-21")</f>
        <v>2020-21</v>
      </c>
      <c r="D4008" s="163" t="str">
        <f>IFERROR(__xludf.DUMMYFUNCTION("""COMPUTED_VALUE"""),"UTA")</f>
        <v>UTA</v>
      </c>
      <c r="E4008" s="164" t="str">
        <f>IFERROR(__xludf.DUMMYFUNCTION("""COMPUTED_VALUE"""),"Secondary Ball Handler")</f>
        <v>Secondary Ball Handler</v>
      </c>
      <c r="F4008" s="164">
        <f>IFERROR(__xludf.DUMMYFUNCTION("""COMPUTED_VALUE"""),12.6166666666667)</f>
        <v>12.61666667</v>
      </c>
      <c r="G4008" s="163">
        <f>IFERROR(__xludf.DUMMYFUNCTION("""COMPUTED_VALUE"""),4.0)</f>
        <v>4</v>
      </c>
      <c r="H4008" s="163" t="str">
        <f>IFERROR(__xludf.DUMMYFUNCTION("""COMPUTED_VALUE"""),"PG")</f>
        <v>PG</v>
      </c>
      <c r="I4008" s="163">
        <f>IFERROR(__xludf.DUMMYFUNCTION("""COMPUTED_VALUE"""),22.0)</f>
        <v>22</v>
      </c>
      <c r="J4008" s="165">
        <f>IFERROR(__xludf.DUMMYFUNCTION("""COMPUTED_VALUE"""),-1.2191401301871)</f>
        <v>-1.21914013</v>
      </c>
      <c r="K4008" s="165">
        <f>IFERROR(__xludf.DUMMYFUNCTION("""COMPUTED_VALUE"""),-0.25696513849249)</f>
        <v>-0.2569651385</v>
      </c>
      <c r="L4008" s="165">
        <f>IFERROR(__xludf.DUMMYFUNCTION("""COMPUTED_VALUE"""),-0.962174991694615)</f>
        <v>-0.9621749917</v>
      </c>
      <c r="M4008" s="166">
        <f t="shared" si="2"/>
        <v>0.009102012798</v>
      </c>
      <c r="N4008" s="167">
        <f t="shared" si="3"/>
        <v>3.154166667</v>
      </c>
      <c r="O4008" s="163">
        <f t="shared" ref="O4008:Q4008" si="4012">rank(I4008,I:I)</f>
        <v>3178</v>
      </c>
      <c r="P4008" s="163">
        <f t="shared" si="4012"/>
        <v>2771</v>
      </c>
      <c r="Q4008" s="163">
        <f t="shared" si="4012"/>
        <v>1686</v>
      </c>
      <c r="R4008" s="163">
        <f>IFERROR(__xludf.DUMMYFUNCTION("RANK(M4008,filter(M:M,C:C=C4008))"),434.0)</f>
        <v>434</v>
      </c>
      <c r="S4008" s="161" t="b">
        <f t="shared" si="5"/>
        <v>0</v>
      </c>
      <c r="T4008" s="161" t="b">
        <f t="array" ref="T4008">index('Query Tool'!B:B,match(H4008,'Query Tool'!C:C,0))</f>
        <v>1</v>
      </c>
      <c r="U4008" s="161" t="b">
        <f t="array" ref="U4008">index('Query Tool'!B:B,match(C4008,'Query Tool'!C:C,0))</f>
        <v>1</v>
      </c>
      <c r="V4008" s="161" t="b">
        <f>F4008&gt;='Query Tool'!C$32</f>
        <v>0</v>
      </c>
      <c r="W4008" s="161" t="b">
        <f t="array" ref="W4008">index(Dropdowns!B:B,match(I4008,Dropdowns!A:A,0))</f>
        <v>1</v>
      </c>
      <c r="X4008" s="161" t="b">
        <f t="array" ref="X4008">index('Query Tool'!B:B,match(D4008,'Query Tool'!C:C,0))</f>
        <v>1</v>
      </c>
      <c r="Y4008" s="161" t="str">
        <f t="shared" si="6"/>
        <v>forretr01,2020-21</v>
      </c>
      <c r="Z4008" s="168" t="str">
        <f t="array" ref="Z4008">iferror(index(I:I,match($A4008&amp;","&amp;index('Year Conversion'!$A:$A,match($C4008,'Year Conversion'!$B:$B,0)),$Y:$Y,0))-I4008,"")</f>
        <v/>
      </c>
      <c r="AA4008" s="168" t="str">
        <f t="array" ref="AA4008">iferror(index(J:J,match($A4008&amp;","&amp;index('Year Conversion'!$A:$A,match($C4008,'Year Conversion'!$B:$B,0)),$Y:$Y,0))-J4008,"")</f>
        <v/>
      </c>
      <c r="AB4008" s="168" t="str">
        <f t="array" ref="AB4008">iferror(index(K:K,match($A4008&amp;","&amp;index('Year Conversion'!$A:$A,match($C4008,'Year Conversion'!$B:$B,0)),$Y:$Y,0))-K4008,"")</f>
        <v/>
      </c>
      <c r="AC4008" s="168" t="str">
        <f t="shared" si="7"/>
        <v>UTA,2020-21</v>
      </c>
    </row>
    <row r="4009">
      <c r="A4009" s="161" t="str">
        <f>IFERROR(__xludf.DUMMYFUNCTION("""COMPUTED_VALUE"""),"leesa01")</f>
        <v>leesa01</v>
      </c>
      <c r="B4009" s="161" t="str">
        <f>IFERROR(__xludf.DUMMYFUNCTION("""COMPUTED_VALUE"""),"Saben Lee")</f>
        <v>Saben Lee</v>
      </c>
      <c r="C4009" s="162" t="str">
        <f>IFERROR(__xludf.DUMMYFUNCTION("""COMPUTED_VALUE"""),"2020-21")</f>
        <v>2020-21</v>
      </c>
      <c r="D4009" s="163" t="str">
        <f>IFERROR(__xludf.DUMMYFUNCTION("""COMPUTED_VALUE"""),"DET")</f>
        <v>DET</v>
      </c>
      <c r="E4009" s="164" t="str">
        <f>IFERROR(__xludf.DUMMYFUNCTION("""COMPUTED_VALUE"""),"Slasher")</f>
        <v>Slasher</v>
      </c>
      <c r="F4009" s="164">
        <f>IFERROR(__xludf.DUMMYFUNCTION("""COMPUTED_VALUE"""),102.123333333333)</f>
        <v>102.1233333</v>
      </c>
      <c r="G4009" s="163">
        <f>IFERROR(__xludf.DUMMYFUNCTION("""COMPUTED_VALUE"""),9.0)</f>
        <v>9</v>
      </c>
      <c r="H4009" s="163" t="str">
        <f>IFERROR(__xludf.DUMMYFUNCTION("""COMPUTED_VALUE"""),"PG")</f>
        <v>PG</v>
      </c>
      <c r="I4009" s="163">
        <f>IFERROR(__xludf.DUMMYFUNCTION("""COMPUTED_VALUE"""),21.0)</f>
        <v>21</v>
      </c>
      <c r="J4009" s="165">
        <f>IFERROR(__xludf.DUMMYFUNCTION("""COMPUTED_VALUE"""),-0.922575619245803)</f>
        <v>-0.9225756192</v>
      </c>
      <c r="K4009" s="165">
        <f>IFERROR(__xludf.DUMMYFUNCTION("""COMPUTED_VALUE"""),-0.992079404884486)</f>
        <v>-0.9920794049</v>
      </c>
      <c r="L4009" s="165">
        <f>IFERROR(__xludf.DUMMYFUNCTION("""COMPUTED_VALUE"""),0.0695037856386828)</f>
        <v>0.06950378564</v>
      </c>
      <c r="M4009" s="166"/>
      <c r="N4009" s="167"/>
      <c r="O4009" s="163"/>
      <c r="P4009" s="163"/>
      <c r="Q4009" s="163"/>
      <c r="R4009" s="163"/>
      <c r="S4009" s="161"/>
      <c r="T4009" s="161"/>
      <c r="U4009" s="161"/>
      <c r="V4009" s="161"/>
      <c r="W4009" s="161"/>
      <c r="X4009" s="161"/>
      <c r="Y4009" s="161"/>
      <c r="Z4009" s="168"/>
      <c r="AA4009" s="168"/>
      <c r="AB4009" s="168"/>
      <c r="AC4009" s="168"/>
    </row>
    <row r="4010">
      <c r="A4010" s="161" t="str">
        <f>IFERROR(__xludf.DUMMYFUNCTION("""COMPUTED_VALUE"""),"merrisa01")</f>
        <v>merrisa01</v>
      </c>
      <c r="B4010" s="161" t="str">
        <f>IFERROR(__xludf.DUMMYFUNCTION("""COMPUTED_VALUE"""),"Sam Merrill")</f>
        <v>Sam Merrill</v>
      </c>
      <c r="C4010" s="162" t="str">
        <f>IFERROR(__xludf.DUMMYFUNCTION("""COMPUTED_VALUE"""),"2020-21")</f>
        <v>2020-21</v>
      </c>
      <c r="D4010" s="163" t="str">
        <f>IFERROR(__xludf.DUMMYFUNCTION("""COMPUTED_VALUE"""),"MIL")</f>
        <v>MIL</v>
      </c>
      <c r="E4010" s="164" t="str">
        <f>IFERROR(__xludf.DUMMYFUNCTION("""COMPUTED_VALUE"""),"Secondary Ball Handler")</f>
        <v>Secondary Ball Handler</v>
      </c>
      <c r="F4010" s="164">
        <f>IFERROR(__xludf.DUMMYFUNCTION("""COMPUTED_VALUE"""),57.3333333333333)</f>
        <v>57.33333333</v>
      </c>
      <c r="G4010" s="163">
        <f>IFERROR(__xludf.DUMMYFUNCTION("""COMPUTED_VALUE"""),10.0)</f>
        <v>10</v>
      </c>
      <c r="H4010" s="163" t="str">
        <f>IFERROR(__xludf.DUMMYFUNCTION("""COMPUTED_VALUE"""),"SG")</f>
        <v>SG</v>
      </c>
      <c r="I4010" s="163">
        <f>IFERROR(__xludf.DUMMYFUNCTION("""COMPUTED_VALUE"""),24.0)</f>
        <v>24</v>
      </c>
      <c r="J4010" s="165">
        <f>IFERROR(__xludf.DUMMYFUNCTION("""COMPUTED_VALUE"""),-1.10854240936645)</f>
        <v>-1.108542409</v>
      </c>
      <c r="K4010" s="165">
        <f>IFERROR(__xludf.DUMMYFUNCTION("""COMPUTED_VALUE"""),-0.617199824172196)</f>
        <v>-0.6171998242</v>
      </c>
      <c r="L4010" s="165">
        <f>IFERROR(__xludf.DUMMYFUNCTION("""COMPUTED_VALUE"""),-0.491342585194254)</f>
        <v>-0.4913425852</v>
      </c>
      <c r="M4010" s="166"/>
      <c r="N4010" s="167"/>
      <c r="O4010" s="163"/>
      <c r="P4010" s="163"/>
      <c r="Q4010" s="163"/>
      <c r="R4010" s="163"/>
      <c r="S4010" s="161"/>
      <c r="T4010" s="161"/>
      <c r="U4010" s="161"/>
      <c r="V4010" s="161"/>
      <c r="W4010" s="161"/>
      <c r="X4010" s="161"/>
      <c r="Y4010" s="161"/>
      <c r="Z4010" s="168"/>
      <c r="AA4010" s="168"/>
      <c r="AB4010" s="168"/>
      <c r="AC4010" s="168"/>
    </row>
    <row r="4011">
      <c r="A4011" s="161" t="str">
        <f>IFERROR(__xludf.DUMMYFUNCTION("""COMPUTED_VALUE"""),"mcderse01")</f>
        <v>mcderse01</v>
      </c>
      <c r="B4011" s="161" t="str">
        <f>IFERROR(__xludf.DUMMYFUNCTION("""COMPUTED_VALUE"""),"Sean McDermott")</f>
        <v>Sean McDermott</v>
      </c>
      <c r="C4011" s="162" t="str">
        <f>IFERROR(__xludf.DUMMYFUNCTION("""COMPUTED_VALUE"""),"2020-21")</f>
        <v>2020-21</v>
      </c>
      <c r="D4011" s="163" t="str">
        <f>IFERROR(__xludf.DUMMYFUNCTION("""COMPUTED_VALUE"""),"MEM")</f>
        <v>MEM</v>
      </c>
      <c r="E4011" s="164" t="str">
        <f>IFERROR(__xludf.DUMMYFUNCTION("""COMPUTED_VALUE"""),"Stationary Shooter")</f>
        <v>Stationary Shooter</v>
      </c>
      <c r="F4011" s="164">
        <f>IFERROR(__xludf.DUMMYFUNCTION("""COMPUTED_VALUE"""),125.573333333333)</f>
        <v>125.5733333</v>
      </c>
      <c r="G4011" s="163">
        <f>IFERROR(__xludf.DUMMYFUNCTION("""COMPUTED_VALUE"""),8.0)</f>
        <v>8</v>
      </c>
      <c r="H4011" s="163" t="str">
        <f>IFERROR(__xludf.DUMMYFUNCTION("""COMPUTED_VALUE"""),"SF")</f>
        <v>SF</v>
      </c>
      <c r="I4011" s="163">
        <f>IFERROR(__xludf.DUMMYFUNCTION("""COMPUTED_VALUE"""),24.0)</f>
        <v>24</v>
      </c>
      <c r="J4011" s="165">
        <f>IFERROR(__xludf.DUMMYFUNCTION("""COMPUTED_VALUE"""),-1.87372333302812)</f>
        <v>-1.873723333</v>
      </c>
      <c r="K4011" s="165">
        <f>IFERROR(__xludf.DUMMYFUNCTION("""COMPUTED_VALUE"""),-1.36980347399959)</f>
        <v>-1.369803474</v>
      </c>
      <c r="L4011" s="165">
        <f>IFERROR(__xludf.DUMMYFUNCTION("""COMPUTED_VALUE"""),-0.503919859028529)</f>
        <v>-0.503919859</v>
      </c>
      <c r="M4011" s="166"/>
      <c r="N4011" s="167"/>
      <c r="O4011" s="163"/>
      <c r="P4011" s="163"/>
      <c r="Q4011" s="163"/>
      <c r="R4011" s="163"/>
      <c r="S4011" s="161"/>
      <c r="T4011" s="161"/>
      <c r="U4011" s="161"/>
      <c r="V4011" s="161"/>
      <c r="W4011" s="161"/>
      <c r="X4011" s="161"/>
      <c r="Y4011" s="161"/>
      <c r="Z4011" s="168"/>
      <c r="AA4011" s="168"/>
      <c r="AB4011" s="168"/>
      <c r="AC4011" s="168"/>
    </row>
    <row r="4012">
      <c r="A4012" s="161" t="str">
        <f>IFERROR(__xludf.DUMMYFUNCTION("""COMPUTED_VALUE"""),"tateja01")</f>
        <v>tateja01</v>
      </c>
      <c r="B4012" s="161" t="str">
        <f>IFERROR(__xludf.DUMMYFUNCTION("""COMPUTED_VALUE"""),"Jae'Sean Tate")</f>
        <v>Jae'Sean Tate</v>
      </c>
      <c r="C4012" s="162" t="str">
        <f>IFERROR(__xludf.DUMMYFUNCTION("""COMPUTED_VALUE"""),"2020-21")</f>
        <v>2020-21</v>
      </c>
      <c r="D4012" s="163" t="str">
        <f>IFERROR(__xludf.DUMMYFUNCTION("""COMPUTED_VALUE"""),"HOU")</f>
        <v>HOU</v>
      </c>
      <c r="E4012" s="164" t="str">
        <f>IFERROR(__xludf.DUMMYFUNCTION("""COMPUTED_VALUE"""),"Stretch Big")</f>
        <v>Stretch Big</v>
      </c>
      <c r="F4012" s="164">
        <f>IFERROR(__xludf.DUMMYFUNCTION("""COMPUTED_VALUE"""),763.233333333333)</f>
        <v>763.2333333</v>
      </c>
      <c r="G4012" s="163">
        <f>IFERROR(__xludf.DUMMYFUNCTION("""COMPUTED_VALUE"""),28.0)</f>
        <v>28</v>
      </c>
      <c r="H4012" s="163" t="str">
        <f>IFERROR(__xludf.DUMMYFUNCTION("""COMPUTED_VALUE"""),"SF")</f>
        <v>SF</v>
      </c>
      <c r="I4012" s="163">
        <f>IFERROR(__xludf.DUMMYFUNCTION("""COMPUTED_VALUE"""),25.0)</f>
        <v>25</v>
      </c>
      <c r="J4012" s="165">
        <f>IFERROR(__xludf.DUMMYFUNCTION("""COMPUTED_VALUE"""),-1.57202309486715)</f>
        <v>-1.572023095</v>
      </c>
      <c r="K4012" s="165">
        <f>IFERROR(__xludf.DUMMYFUNCTION("""COMPUTED_VALUE"""),-2.10953278813124)</f>
        <v>-2.109532788</v>
      </c>
      <c r="L4012" s="165">
        <f>IFERROR(__xludf.DUMMYFUNCTION("""COMPUTED_VALUE"""),0.537509693264089)</f>
        <v>0.5375096933</v>
      </c>
      <c r="M4012" s="166"/>
      <c r="N4012" s="167"/>
      <c r="O4012" s="163"/>
      <c r="P4012" s="163"/>
      <c r="Q4012" s="163"/>
      <c r="R4012" s="163"/>
      <c r="S4012" s="161"/>
      <c r="T4012" s="161"/>
      <c r="U4012" s="161"/>
      <c r="V4012" s="161"/>
      <c r="W4012" s="161"/>
      <c r="X4012" s="161"/>
      <c r="Y4012" s="161"/>
      <c r="Z4012" s="168"/>
      <c r="AA4012" s="168"/>
      <c r="AB4012" s="168"/>
      <c r="AC4012" s="168"/>
    </row>
    <row r="4013">
      <c r="A4013" s="161" t="str">
        <f>IFERROR(__xludf.DUMMYFUNCTION("""COMPUTED_VALUE"""),"gillan01")</f>
        <v>gillan01</v>
      </c>
      <c r="B4013" s="161" t="str">
        <f>IFERROR(__xludf.DUMMYFUNCTION("""COMPUTED_VALUE"""),"Anthony Gill")</f>
        <v>Anthony Gill</v>
      </c>
      <c r="C4013" s="162" t="str">
        <f>IFERROR(__xludf.DUMMYFUNCTION("""COMPUTED_VALUE"""),"2020-21")</f>
        <v>2020-21</v>
      </c>
      <c r="D4013" s="163" t="str">
        <f>IFERROR(__xludf.DUMMYFUNCTION("""COMPUTED_VALUE"""),"WAS")</f>
        <v>WAS</v>
      </c>
      <c r="E4013" s="164" t="str">
        <f>IFERROR(__xludf.DUMMYFUNCTION("""COMPUTED_VALUE"""),"Stationary Shooter")</f>
        <v>Stationary Shooter</v>
      </c>
      <c r="F4013" s="164">
        <f>IFERROR(__xludf.DUMMYFUNCTION("""COMPUTED_VALUE"""),65.1583333333333)</f>
        <v>65.15833333</v>
      </c>
      <c r="G4013" s="163">
        <f>IFERROR(__xludf.DUMMYFUNCTION("""COMPUTED_VALUE"""),10.0)</f>
        <v>10</v>
      </c>
      <c r="H4013" s="163" t="str">
        <f>IFERROR(__xludf.DUMMYFUNCTION("""COMPUTED_VALUE"""),"PF")</f>
        <v>PF</v>
      </c>
      <c r="I4013" s="163">
        <f>IFERROR(__xludf.DUMMYFUNCTION("""COMPUTED_VALUE"""),28.0)</f>
        <v>28</v>
      </c>
      <c r="J4013" s="165">
        <f>IFERROR(__xludf.DUMMYFUNCTION("""COMPUTED_VALUE"""),-0.213293184284991)</f>
        <v>-0.2132931843</v>
      </c>
      <c r="K4013" s="165">
        <f>IFERROR(__xludf.DUMMYFUNCTION("""COMPUTED_VALUE"""),-0.467640142116673)</f>
        <v>-0.4676401421</v>
      </c>
      <c r="L4013" s="165">
        <f>IFERROR(__xludf.DUMMYFUNCTION("""COMPUTED_VALUE"""),0.254346957831682)</f>
        <v>0.2543469578</v>
      </c>
      <c r="M4013" s="166"/>
      <c r="N4013" s="167"/>
      <c r="O4013" s="163"/>
      <c r="P4013" s="163"/>
      <c r="Q4013" s="163"/>
      <c r="R4013" s="163"/>
      <c r="S4013" s="161"/>
      <c r="T4013" s="161"/>
      <c r="U4013" s="161"/>
      <c r="V4013" s="161"/>
      <c r="W4013" s="161"/>
      <c r="X4013" s="161"/>
      <c r="Y4013" s="161"/>
      <c r="Z4013" s="168"/>
      <c r="AA4013" s="168"/>
      <c r="AB4013" s="168"/>
      <c r="AC4013" s="168"/>
    </row>
    <row r="4014">
      <c r="A4014" s="161" t="str">
        <f>IFERROR(__xludf.DUMMYFUNCTION("""COMPUTED_VALUE"""),"campafa01")</f>
        <v>campafa01</v>
      </c>
      <c r="B4014" s="161" t="str">
        <f>IFERROR(__xludf.DUMMYFUNCTION("""COMPUTED_VALUE"""),"Facundo Campazzo")</f>
        <v>Facundo Campazzo</v>
      </c>
      <c r="C4014" s="162" t="str">
        <f>IFERROR(__xludf.DUMMYFUNCTION("""COMPUTED_VALUE"""),"2020-21")</f>
        <v>2020-21</v>
      </c>
      <c r="D4014" s="163" t="str">
        <f>IFERROR(__xludf.DUMMYFUNCTION("""COMPUTED_VALUE"""),"DEN")</f>
        <v>DEN</v>
      </c>
      <c r="E4014" s="164" t="str">
        <f>IFERROR(__xludf.DUMMYFUNCTION("""COMPUTED_VALUE"""),"Secondary Ball Handler")</f>
        <v>Secondary Ball Handler</v>
      </c>
      <c r="F4014" s="164">
        <f>IFERROR(__xludf.DUMMYFUNCTION("""COMPUTED_VALUE"""),404.8)</f>
        <v>404.8</v>
      </c>
      <c r="G4014" s="163">
        <f>IFERROR(__xludf.DUMMYFUNCTION("""COMPUTED_VALUE"""),27.0)</f>
        <v>27</v>
      </c>
      <c r="H4014" s="163" t="str">
        <f>IFERROR(__xludf.DUMMYFUNCTION("""COMPUTED_VALUE"""),"PG")</f>
        <v>PG</v>
      </c>
      <c r="I4014" s="163">
        <f>IFERROR(__xludf.DUMMYFUNCTION("""COMPUTED_VALUE"""),29.0)</f>
        <v>29</v>
      </c>
      <c r="J4014" s="165">
        <f>IFERROR(__xludf.DUMMYFUNCTION("""COMPUTED_VALUE"""),-0.631305530196029)</f>
        <v>-0.6313055302</v>
      </c>
      <c r="K4014" s="165">
        <f>IFERROR(__xludf.DUMMYFUNCTION("""COMPUTED_VALUE"""),-0.714032758244461)</f>
        <v>-0.7140327582</v>
      </c>
      <c r="L4014" s="165">
        <f>IFERROR(__xludf.DUMMYFUNCTION("""COMPUTED_VALUE"""),0.0827272280484315)</f>
        <v>0.08272722805</v>
      </c>
      <c r="M4014" s="166"/>
      <c r="N4014" s="167"/>
      <c r="O4014" s="163"/>
      <c r="P4014" s="163"/>
      <c r="Q4014" s="163"/>
      <c r="R4014" s="163"/>
      <c r="S4014" s="161"/>
      <c r="T4014" s="161"/>
      <c r="U4014" s="161"/>
      <c r="V4014" s="161"/>
      <c r="W4014" s="161"/>
      <c r="X4014" s="161"/>
      <c r="Y4014" s="161"/>
      <c r="Z4014" s="168"/>
      <c r="AA4014" s="168"/>
      <c r="AB4014" s="168"/>
      <c r="AC4014" s="168"/>
    </row>
    <row r="4015">
      <c r="A4015" s="161" t="str">
        <f>IFERROR(__xludf.DUMMYFUNCTION("""COMPUTED_VALUE"""),"thomabr01")</f>
        <v>thomabr01</v>
      </c>
      <c r="B4015" s="161" t="str">
        <f>IFERROR(__xludf.DUMMYFUNCTION("""COMPUTED_VALUE"""),"Brodric Thomas")</f>
        <v>Brodric Thomas</v>
      </c>
      <c r="C4015" s="162" t="str">
        <f>IFERROR(__xludf.DUMMYFUNCTION("""COMPUTED_VALUE"""),"2020-21")</f>
        <v>2020-21</v>
      </c>
      <c r="D4015" s="163" t="str">
        <f>IFERROR(__xludf.DUMMYFUNCTION("""COMPUTED_VALUE"""),"HOU")</f>
        <v>HOU</v>
      </c>
      <c r="E4015" s="164" t="str">
        <f>IFERROR(__xludf.DUMMYFUNCTION("""COMPUTED_VALUE"""),"Stationary Shooter")</f>
        <v>Stationary Shooter</v>
      </c>
      <c r="F4015" s="164">
        <f>IFERROR(__xludf.DUMMYFUNCTION("""COMPUTED_VALUE"""),24.1566666666667)</f>
        <v>24.15666667</v>
      </c>
      <c r="G4015" s="163">
        <f>IFERROR(__xludf.DUMMYFUNCTION("""COMPUTED_VALUE"""),4.0)</f>
        <v>4</v>
      </c>
      <c r="H4015" s="163" t="str">
        <f>IFERROR(__xludf.DUMMYFUNCTION("""COMPUTED_VALUE"""),"SG")</f>
        <v>SG</v>
      </c>
      <c r="I4015" s="163">
        <f>IFERROR(__xludf.DUMMYFUNCTION("""COMPUTED_VALUE"""),24.0)</f>
        <v>24</v>
      </c>
      <c r="J4015" s="165">
        <f>IFERROR(__xludf.DUMMYFUNCTION("""COMPUTED_VALUE"""),0.0379895227177626)</f>
        <v>0.03798952272</v>
      </c>
      <c r="K4015" s="165">
        <f>IFERROR(__xludf.DUMMYFUNCTION("""COMPUTED_VALUE"""),0.0513951590391788)</f>
        <v>0.05139515904</v>
      </c>
      <c r="L4015" s="165">
        <f>IFERROR(__xludf.DUMMYFUNCTION("""COMPUTED_VALUE"""),-0.0134056363214161)</f>
        <v>-0.01340563632</v>
      </c>
      <c r="M4015" s="166"/>
      <c r="N4015" s="167"/>
      <c r="O4015" s="163"/>
      <c r="P4015" s="163"/>
      <c r="Q4015" s="163"/>
      <c r="R4015" s="163"/>
      <c r="S4015" s="161"/>
      <c r="T4015" s="161"/>
      <c r="U4015" s="161"/>
      <c r="V4015" s="161"/>
      <c r="W4015" s="161"/>
      <c r="X4015" s="161"/>
      <c r="Y4015" s="161"/>
      <c r="Z4015" s="168"/>
      <c r="AA4015" s="168"/>
      <c r="AB4015" s="168"/>
      <c r="AC4015" s="168"/>
    </row>
    <row r="4016">
      <c r="A4016" s="161"/>
      <c r="B4016" s="161"/>
      <c r="C4016" s="162" t="str">
        <f>IFERROR(__xludf.DUMMYFUNCTION("""COMPUTED_VALUE"""),"")</f>
        <v/>
      </c>
      <c r="D4016" s="163"/>
      <c r="E4016" s="164" t="str">
        <f>IFERROR(__xludf.DUMMYFUNCTION("""COMPUTED_VALUE"""),"")</f>
        <v/>
      </c>
      <c r="F4016" s="163"/>
      <c r="G4016" s="163"/>
      <c r="H4016" s="163"/>
      <c r="I4016" s="163"/>
      <c r="J4016" s="165"/>
      <c r="K4016" s="165"/>
      <c r="L4016" s="165"/>
      <c r="M4016" s="166"/>
      <c r="N4016" s="167"/>
      <c r="O4016" s="163"/>
      <c r="P4016" s="163"/>
      <c r="Q4016" s="163"/>
      <c r="R4016" s="163"/>
      <c r="S4016" s="161"/>
      <c r="T4016" s="161"/>
      <c r="U4016" s="161"/>
      <c r="V4016" s="161"/>
      <c r="W4016" s="161"/>
      <c r="X4016" s="161"/>
      <c r="Y4016" s="161"/>
      <c r="Z4016" s="168"/>
      <c r="AA4016" s="168"/>
      <c r="AB4016" s="168"/>
      <c r="AC4016" s="168"/>
    </row>
    <row r="4017">
      <c r="A4017" s="161"/>
      <c r="B4017" s="161"/>
      <c r="C4017" s="162" t="str">
        <f>IFERROR(__xludf.DUMMYFUNCTION("""COMPUTED_VALUE"""),"")</f>
        <v/>
      </c>
      <c r="D4017" s="163"/>
      <c r="E4017" s="164" t="str">
        <f>IFERROR(__xludf.DUMMYFUNCTION("""COMPUTED_VALUE"""),"")</f>
        <v/>
      </c>
      <c r="F4017" s="163"/>
      <c r="G4017" s="163"/>
      <c r="H4017" s="163"/>
      <c r="I4017" s="163"/>
      <c r="J4017" s="165"/>
      <c r="K4017" s="165"/>
      <c r="L4017" s="165"/>
      <c r="M4017" s="166"/>
      <c r="N4017" s="167"/>
      <c r="O4017" s="163"/>
      <c r="P4017" s="163"/>
      <c r="Q4017" s="163"/>
      <c r="R4017" s="163"/>
      <c r="S4017" s="161"/>
      <c r="T4017" s="161"/>
      <c r="U4017" s="161"/>
      <c r="V4017" s="161"/>
      <c r="W4017" s="161"/>
      <c r="X4017" s="161"/>
      <c r="Y4017" s="161"/>
      <c r="Z4017" s="168"/>
      <c r="AA4017" s="168"/>
      <c r="AB4017" s="168"/>
      <c r="AC4017" s="168"/>
    </row>
    <row r="4018">
      <c r="A4018" s="161"/>
      <c r="B4018" s="161"/>
      <c r="C4018" s="162" t="str">
        <f>IFERROR(__xludf.DUMMYFUNCTION("""COMPUTED_VALUE"""),"")</f>
        <v/>
      </c>
      <c r="D4018" s="163"/>
      <c r="E4018" s="164" t="str">
        <f>IFERROR(__xludf.DUMMYFUNCTION("""COMPUTED_VALUE"""),"")</f>
        <v/>
      </c>
      <c r="F4018" s="163"/>
      <c r="G4018" s="163"/>
      <c r="H4018" s="163"/>
      <c r="I4018" s="163"/>
      <c r="J4018" s="165"/>
      <c r="K4018" s="165"/>
      <c r="L4018" s="165"/>
      <c r="M4018" s="166"/>
      <c r="N4018" s="167"/>
      <c r="O4018" s="163"/>
      <c r="P4018" s="163"/>
      <c r="Q4018" s="163"/>
      <c r="R4018" s="163"/>
      <c r="S4018" s="161"/>
      <c r="T4018" s="161"/>
      <c r="U4018" s="161"/>
      <c r="V4018" s="161"/>
      <c r="W4018" s="161"/>
      <c r="X4018" s="161"/>
      <c r="Y4018" s="161"/>
      <c r="Z4018" s="168"/>
      <c r="AA4018" s="168"/>
      <c r="AB4018" s="168"/>
      <c r="AC4018" s="168"/>
    </row>
    <row r="4019">
      <c r="A4019" s="161"/>
      <c r="B4019" s="161"/>
      <c r="C4019" s="162" t="str">
        <f>IFERROR(__xludf.DUMMYFUNCTION("""COMPUTED_VALUE"""),"")</f>
        <v/>
      </c>
      <c r="D4019" s="163"/>
      <c r="E4019" s="164" t="str">
        <f>IFERROR(__xludf.DUMMYFUNCTION("""COMPUTED_VALUE"""),"")</f>
        <v/>
      </c>
      <c r="F4019" s="163"/>
      <c r="G4019" s="163"/>
      <c r="H4019" s="163"/>
      <c r="I4019" s="163"/>
      <c r="J4019" s="165"/>
      <c r="K4019" s="165"/>
      <c r="L4019" s="165"/>
      <c r="M4019" s="166"/>
      <c r="N4019" s="167"/>
      <c r="O4019" s="163"/>
      <c r="P4019" s="163"/>
      <c r="Q4019" s="163"/>
      <c r="R4019" s="163"/>
      <c r="S4019" s="161"/>
      <c r="T4019" s="161"/>
      <c r="U4019" s="161"/>
      <c r="V4019" s="161"/>
      <c r="W4019" s="161"/>
      <c r="X4019" s="161"/>
      <c r="Y4019" s="161"/>
      <c r="Z4019" s="168"/>
      <c r="AA4019" s="168"/>
      <c r="AB4019" s="168"/>
      <c r="AC4019" s="168"/>
    </row>
    <row r="4020">
      <c r="A4020" s="161"/>
      <c r="B4020" s="161"/>
      <c r="C4020" s="162" t="str">
        <f>IFERROR(__xludf.DUMMYFUNCTION("""COMPUTED_VALUE"""),"")</f>
        <v/>
      </c>
      <c r="D4020" s="163"/>
      <c r="E4020" s="164" t="str">
        <f>IFERROR(__xludf.DUMMYFUNCTION("""COMPUTED_VALUE"""),"")</f>
        <v/>
      </c>
      <c r="F4020" s="163"/>
      <c r="G4020" s="163"/>
      <c r="H4020" s="163"/>
      <c r="I4020" s="163"/>
      <c r="J4020" s="165"/>
      <c r="K4020" s="165"/>
      <c r="L4020" s="165"/>
      <c r="M4020" s="166"/>
      <c r="N4020" s="167"/>
      <c r="O4020" s="163"/>
      <c r="P4020" s="163"/>
      <c r="Q4020" s="163"/>
      <c r="R4020" s="163"/>
      <c r="S4020" s="161"/>
      <c r="T4020" s="161"/>
      <c r="U4020" s="161"/>
      <c r="V4020" s="161"/>
      <c r="W4020" s="161"/>
      <c r="X4020" s="161"/>
      <c r="Y4020" s="161"/>
      <c r="Z4020" s="168"/>
      <c r="AA4020" s="168"/>
      <c r="AB4020" s="168"/>
      <c r="AC4020" s="168"/>
    </row>
    <row r="4021">
      <c r="A4021" s="161"/>
      <c r="B4021" s="161"/>
      <c r="C4021" s="162" t="str">
        <f>IFERROR(__xludf.DUMMYFUNCTION("""COMPUTED_VALUE"""),"")</f>
        <v/>
      </c>
      <c r="D4021" s="163"/>
      <c r="E4021" s="164" t="str">
        <f>IFERROR(__xludf.DUMMYFUNCTION("""COMPUTED_VALUE"""),"")</f>
        <v/>
      </c>
      <c r="F4021" s="163"/>
      <c r="G4021" s="163"/>
      <c r="H4021" s="163"/>
      <c r="I4021" s="163"/>
      <c r="J4021" s="165"/>
      <c r="K4021" s="165"/>
      <c r="L4021" s="165"/>
      <c r="M4021" s="166"/>
      <c r="N4021" s="167"/>
      <c r="O4021" s="163"/>
      <c r="P4021" s="163"/>
      <c r="Q4021" s="163"/>
      <c r="R4021" s="163"/>
      <c r="S4021" s="161"/>
      <c r="T4021" s="161"/>
      <c r="U4021" s="161"/>
      <c r="V4021" s="161"/>
      <c r="W4021" s="161"/>
      <c r="X4021" s="161"/>
      <c r="Y4021" s="161"/>
      <c r="Z4021" s="168"/>
      <c r="AA4021" s="168"/>
      <c r="AB4021" s="168"/>
      <c r="AC4021" s="168"/>
    </row>
    <row r="4022">
      <c r="A4022" s="161"/>
      <c r="B4022" s="161"/>
      <c r="C4022" s="162" t="str">
        <f>IFERROR(__xludf.DUMMYFUNCTION("""COMPUTED_VALUE"""),"")</f>
        <v/>
      </c>
      <c r="D4022" s="163"/>
      <c r="E4022" s="164" t="str">
        <f>IFERROR(__xludf.DUMMYFUNCTION("""COMPUTED_VALUE"""),"")</f>
        <v/>
      </c>
      <c r="F4022" s="163"/>
      <c r="G4022" s="163"/>
      <c r="H4022" s="163"/>
      <c r="I4022" s="163"/>
      <c r="J4022" s="165"/>
      <c r="K4022" s="165"/>
      <c r="L4022" s="165"/>
      <c r="M4022" s="166"/>
      <c r="N4022" s="167"/>
      <c r="O4022" s="163"/>
      <c r="P4022" s="163"/>
      <c r="Q4022" s="163"/>
      <c r="R4022" s="163"/>
      <c r="S4022" s="161"/>
      <c r="T4022" s="161"/>
      <c r="U4022" s="161"/>
      <c r="V4022" s="161"/>
      <c r="W4022" s="161"/>
      <c r="X4022" s="161"/>
      <c r="Y4022" s="161"/>
      <c r="Z4022" s="168"/>
      <c r="AA4022" s="168"/>
      <c r="AB4022" s="168"/>
      <c r="AC4022" s="168"/>
    </row>
    <row r="4023">
      <c r="A4023" s="161"/>
      <c r="B4023" s="161"/>
      <c r="C4023" s="162" t="str">
        <f>IFERROR(__xludf.DUMMYFUNCTION("""COMPUTED_VALUE"""),"")</f>
        <v/>
      </c>
      <c r="D4023" s="163"/>
      <c r="E4023" s="164" t="str">
        <f>IFERROR(__xludf.DUMMYFUNCTION("""COMPUTED_VALUE"""),"")</f>
        <v/>
      </c>
      <c r="F4023" s="163"/>
      <c r="G4023" s="163"/>
      <c r="H4023" s="163"/>
      <c r="I4023" s="163"/>
      <c r="J4023" s="165"/>
      <c r="K4023" s="165"/>
      <c r="L4023" s="165"/>
      <c r="M4023" s="166"/>
      <c r="N4023" s="167"/>
      <c r="O4023" s="163"/>
      <c r="P4023" s="163"/>
      <c r="Q4023" s="163"/>
      <c r="R4023" s="163"/>
      <c r="S4023" s="161"/>
      <c r="T4023" s="161"/>
      <c r="U4023" s="161"/>
      <c r="V4023" s="161"/>
      <c r="W4023" s="161"/>
      <c r="X4023" s="161"/>
      <c r="Y4023" s="161"/>
      <c r="Z4023" s="168"/>
      <c r="AA4023" s="168"/>
      <c r="AB4023" s="168"/>
      <c r="AC4023" s="168"/>
    </row>
    <row r="4024">
      <c r="A4024" s="161"/>
      <c r="B4024" s="161"/>
      <c r="C4024" s="162" t="str">
        <f>IFERROR(__xludf.DUMMYFUNCTION("""COMPUTED_VALUE"""),"")</f>
        <v/>
      </c>
      <c r="D4024" s="163"/>
      <c r="E4024" s="164" t="str">
        <f>IFERROR(__xludf.DUMMYFUNCTION("""COMPUTED_VALUE"""),"")</f>
        <v/>
      </c>
      <c r="F4024" s="163"/>
      <c r="G4024" s="163"/>
      <c r="H4024" s="163"/>
      <c r="I4024" s="163"/>
      <c r="J4024" s="165"/>
      <c r="K4024" s="165"/>
      <c r="L4024" s="165"/>
      <c r="M4024" s="166"/>
      <c r="N4024" s="167"/>
      <c r="O4024" s="163"/>
      <c r="P4024" s="163"/>
      <c r="Q4024" s="163"/>
      <c r="R4024" s="163"/>
      <c r="S4024" s="161"/>
      <c r="T4024" s="161"/>
      <c r="U4024" s="161"/>
      <c r="V4024" s="161"/>
      <c r="W4024" s="161"/>
      <c r="X4024" s="161"/>
      <c r="Y4024" s="161"/>
      <c r="Z4024" s="168"/>
      <c r="AA4024" s="168"/>
      <c r="AB4024" s="168"/>
      <c r="AC4024" s="168"/>
    </row>
    <row r="4025">
      <c r="A4025" s="161"/>
      <c r="B4025" s="161"/>
      <c r="C4025" s="162" t="str">
        <f>IFERROR(__xludf.DUMMYFUNCTION("""COMPUTED_VALUE"""),"")</f>
        <v/>
      </c>
      <c r="D4025" s="163"/>
      <c r="E4025" s="164" t="str">
        <f>IFERROR(__xludf.DUMMYFUNCTION("""COMPUTED_VALUE"""),"")</f>
        <v/>
      </c>
      <c r="F4025" s="163"/>
      <c r="G4025" s="163"/>
      <c r="H4025" s="163"/>
      <c r="I4025" s="163"/>
      <c r="J4025" s="165"/>
      <c r="K4025" s="165"/>
      <c r="L4025" s="165"/>
      <c r="M4025" s="166"/>
      <c r="N4025" s="167"/>
      <c r="O4025" s="163"/>
      <c r="P4025" s="163"/>
      <c r="Q4025" s="163"/>
      <c r="R4025" s="163"/>
      <c r="S4025" s="161"/>
      <c r="T4025" s="161"/>
      <c r="U4025" s="161"/>
      <c r="V4025" s="161"/>
      <c r="W4025" s="161"/>
      <c r="X4025" s="161"/>
      <c r="Y4025" s="161"/>
      <c r="Z4025" s="168"/>
      <c r="AA4025" s="168"/>
      <c r="AB4025" s="168"/>
      <c r="AC4025" s="168"/>
    </row>
    <row r="4026">
      <c r="A4026" s="161"/>
      <c r="B4026" s="161"/>
      <c r="C4026" s="162" t="str">
        <f>IFERROR(__xludf.DUMMYFUNCTION("""COMPUTED_VALUE"""),"")</f>
        <v/>
      </c>
      <c r="D4026" s="163"/>
      <c r="E4026" s="164" t="str">
        <f>IFERROR(__xludf.DUMMYFUNCTION("""COMPUTED_VALUE"""),"")</f>
        <v/>
      </c>
      <c r="F4026" s="163"/>
      <c r="G4026" s="163"/>
      <c r="H4026" s="163"/>
      <c r="I4026" s="163"/>
      <c r="J4026" s="165"/>
      <c r="K4026" s="165"/>
      <c r="L4026" s="165"/>
      <c r="M4026" s="166"/>
      <c r="N4026" s="167"/>
      <c r="O4026" s="163"/>
      <c r="P4026" s="163"/>
      <c r="Q4026" s="163"/>
      <c r="R4026" s="163"/>
      <c r="S4026" s="161"/>
      <c r="T4026" s="161"/>
      <c r="U4026" s="161"/>
      <c r="V4026" s="161"/>
      <c r="W4026" s="161"/>
      <c r="X4026" s="161"/>
      <c r="Y4026" s="161"/>
      <c r="Z4026" s="168"/>
      <c r="AA4026" s="168"/>
      <c r="AB4026" s="168"/>
      <c r="AC4026" s="168"/>
    </row>
    <row r="4027">
      <c r="A4027" s="161"/>
      <c r="B4027" s="161"/>
      <c r="C4027" s="162" t="str">
        <f>IFERROR(__xludf.DUMMYFUNCTION("""COMPUTED_VALUE"""),"")</f>
        <v/>
      </c>
      <c r="D4027" s="163"/>
      <c r="E4027" s="164" t="str">
        <f>IFERROR(__xludf.DUMMYFUNCTION("""COMPUTED_VALUE"""),"")</f>
        <v/>
      </c>
      <c r="F4027" s="163"/>
      <c r="G4027" s="163"/>
      <c r="H4027" s="163"/>
      <c r="I4027" s="163"/>
      <c r="J4027" s="165"/>
      <c r="K4027" s="165"/>
      <c r="L4027" s="165"/>
      <c r="M4027" s="166"/>
      <c r="N4027" s="167"/>
      <c r="O4027" s="163"/>
      <c r="P4027" s="163"/>
      <c r="Q4027" s="163"/>
      <c r="R4027" s="163"/>
      <c r="S4027" s="161"/>
      <c r="T4027" s="161"/>
      <c r="U4027" s="161"/>
      <c r="V4027" s="161"/>
      <c r="W4027" s="161"/>
      <c r="X4027" s="161"/>
      <c r="Y4027" s="161"/>
      <c r="Z4027" s="168"/>
      <c r="AA4027" s="168"/>
      <c r="AB4027" s="168"/>
      <c r="AC4027" s="168"/>
    </row>
    <row r="4028">
      <c r="A4028" s="161"/>
      <c r="B4028" s="161"/>
      <c r="C4028" s="162" t="str">
        <f>IFERROR(__xludf.DUMMYFUNCTION("""COMPUTED_VALUE"""),"")</f>
        <v/>
      </c>
      <c r="D4028" s="163"/>
      <c r="E4028" s="164" t="str">
        <f>IFERROR(__xludf.DUMMYFUNCTION("""COMPUTED_VALUE"""),"")</f>
        <v/>
      </c>
      <c r="F4028" s="163"/>
      <c r="G4028" s="163"/>
      <c r="H4028" s="163"/>
      <c r="I4028" s="163"/>
      <c r="J4028" s="165"/>
      <c r="K4028" s="165"/>
      <c r="L4028" s="165"/>
      <c r="M4028" s="166"/>
      <c r="N4028" s="167"/>
      <c r="O4028" s="163"/>
      <c r="P4028" s="163"/>
      <c r="Q4028" s="163"/>
      <c r="R4028" s="163"/>
      <c r="S4028" s="161"/>
      <c r="T4028" s="161"/>
      <c r="U4028" s="161"/>
      <c r="V4028" s="161"/>
      <c r="W4028" s="161"/>
      <c r="X4028" s="161"/>
      <c r="Y4028" s="161"/>
      <c r="Z4028" s="168"/>
      <c r="AA4028" s="168"/>
      <c r="AB4028" s="168"/>
      <c r="AC4028" s="168"/>
    </row>
    <row r="4029">
      <c r="A4029" s="161"/>
      <c r="B4029" s="161"/>
      <c r="C4029" s="162" t="str">
        <f>IFERROR(__xludf.DUMMYFUNCTION("""COMPUTED_VALUE"""),"")</f>
        <v/>
      </c>
      <c r="D4029" s="163"/>
      <c r="E4029" s="164" t="str">
        <f>IFERROR(__xludf.DUMMYFUNCTION("""COMPUTED_VALUE"""),"")</f>
        <v/>
      </c>
      <c r="F4029" s="163"/>
      <c r="G4029" s="163"/>
      <c r="H4029" s="163"/>
      <c r="I4029" s="163"/>
      <c r="J4029" s="165"/>
      <c r="K4029" s="165"/>
      <c r="L4029" s="165"/>
      <c r="M4029" s="166"/>
      <c r="N4029" s="167"/>
      <c r="O4029" s="163"/>
      <c r="P4029" s="163"/>
      <c r="Q4029" s="163"/>
      <c r="R4029" s="163"/>
      <c r="S4029" s="161"/>
      <c r="T4029" s="161"/>
      <c r="U4029" s="161"/>
      <c r="V4029" s="161"/>
      <c r="W4029" s="161"/>
      <c r="X4029" s="161"/>
      <c r="Y4029" s="161"/>
      <c r="Z4029" s="168"/>
      <c r="AA4029" s="168"/>
      <c r="AB4029" s="168"/>
      <c r="AC4029" s="168"/>
    </row>
    <row r="4030">
      <c r="A4030" s="161"/>
      <c r="B4030" s="161"/>
      <c r="C4030" s="162" t="str">
        <f>IFERROR(__xludf.DUMMYFUNCTION("""COMPUTED_VALUE"""),"")</f>
        <v/>
      </c>
      <c r="D4030" s="163"/>
      <c r="E4030" s="164" t="str">
        <f>IFERROR(__xludf.DUMMYFUNCTION("""COMPUTED_VALUE"""),"")</f>
        <v/>
      </c>
      <c r="F4030" s="163"/>
      <c r="G4030" s="163"/>
      <c r="H4030" s="163"/>
      <c r="I4030" s="163"/>
      <c r="J4030" s="165"/>
      <c r="K4030" s="165"/>
      <c r="L4030" s="165"/>
      <c r="M4030" s="166"/>
      <c r="N4030" s="167"/>
      <c r="O4030" s="163"/>
      <c r="P4030" s="163"/>
      <c r="Q4030" s="163"/>
      <c r="R4030" s="163"/>
      <c r="S4030" s="161"/>
      <c r="T4030" s="161"/>
      <c r="U4030" s="161"/>
      <c r="V4030" s="161"/>
      <c r="W4030" s="161"/>
      <c r="X4030" s="161"/>
      <c r="Y4030" s="161"/>
      <c r="Z4030" s="168"/>
      <c r="AA4030" s="168"/>
      <c r="AB4030" s="168"/>
      <c r="AC4030" s="168"/>
    </row>
    <row r="4031">
      <c r="A4031" s="161"/>
      <c r="B4031" s="161"/>
      <c r="C4031" s="162" t="str">
        <f>IFERROR(__xludf.DUMMYFUNCTION("""COMPUTED_VALUE"""),"")</f>
        <v/>
      </c>
      <c r="D4031" s="163"/>
      <c r="E4031" s="164" t="str">
        <f>IFERROR(__xludf.DUMMYFUNCTION("""COMPUTED_VALUE"""),"")</f>
        <v/>
      </c>
      <c r="F4031" s="163"/>
      <c r="G4031" s="163"/>
      <c r="H4031" s="163"/>
      <c r="I4031" s="163"/>
      <c r="J4031" s="165"/>
      <c r="K4031" s="165"/>
      <c r="L4031" s="165"/>
      <c r="M4031" s="166"/>
      <c r="N4031" s="167"/>
      <c r="O4031" s="163"/>
      <c r="P4031" s="163"/>
      <c r="Q4031" s="163"/>
      <c r="R4031" s="163"/>
      <c r="S4031" s="161"/>
      <c r="T4031" s="161"/>
      <c r="U4031" s="161"/>
      <c r="V4031" s="161"/>
      <c r="W4031" s="161"/>
      <c r="X4031" s="161"/>
      <c r="Y4031" s="161"/>
      <c r="Z4031" s="168"/>
      <c r="AA4031" s="168"/>
      <c r="AB4031" s="168"/>
      <c r="AC4031" s="168"/>
    </row>
    <row r="4032">
      <c r="A4032" s="161"/>
      <c r="B4032" s="161"/>
      <c r="C4032" s="162"/>
      <c r="D4032" s="163"/>
      <c r="E4032" s="164" t="str">
        <f>IFERROR(__xludf.DUMMYFUNCTION("""COMPUTED_VALUE"""),"")</f>
        <v/>
      </c>
      <c r="F4032" s="163"/>
      <c r="G4032" s="163"/>
      <c r="H4032" s="163"/>
      <c r="I4032" s="163"/>
      <c r="J4032" s="165"/>
      <c r="K4032" s="165"/>
      <c r="L4032" s="165"/>
      <c r="M4032" s="166"/>
      <c r="N4032" s="167"/>
      <c r="O4032" s="163"/>
      <c r="P4032" s="163"/>
      <c r="Q4032" s="163"/>
      <c r="R4032" s="163"/>
      <c r="S4032" s="161"/>
      <c r="T4032" s="161"/>
      <c r="U4032" s="161"/>
      <c r="V4032" s="161"/>
      <c r="W4032" s="161"/>
      <c r="X4032" s="161"/>
      <c r="Y4032" s="161"/>
      <c r="Z4032" s="168"/>
      <c r="AA4032" s="168"/>
      <c r="AB4032" s="168"/>
      <c r="AC4032" s="168"/>
    </row>
    <row r="4033">
      <c r="A4033" s="161"/>
      <c r="B4033" s="161"/>
      <c r="C4033" s="162"/>
      <c r="D4033" s="163"/>
      <c r="E4033" s="164" t="str">
        <f>IFERROR(__xludf.DUMMYFUNCTION("""COMPUTED_VALUE"""),"")</f>
        <v/>
      </c>
      <c r="F4033" s="163"/>
      <c r="G4033" s="163"/>
      <c r="H4033" s="163"/>
      <c r="I4033" s="163"/>
      <c r="J4033" s="165"/>
      <c r="K4033" s="165"/>
      <c r="L4033" s="165"/>
      <c r="M4033" s="166"/>
      <c r="N4033" s="167"/>
      <c r="O4033" s="163"/>
      <c r="P4033" s="163"/>
      <c r="Q4033" s="163"/>
      <c r="R4033" s="163"/>
      <c r="S4033" s="161"/>
      <c r="T4033" s="161"/>
      <c r="U4033" s="161"/>
      <c r="V4033" s="161"/>
      <c r="W4033" s="161"/>
      <c r="X4033" s="161"/>
      <c r="Y4033" s="161"/>
      <c r="Z4033" s="168"/>
      <c r="AA4033" s="168"/>
      <c r="AB4033" s="168"/>
      <c r="AC4033" s="168"/>
    </row>
    <row r="4034">
      <c r="A4034" s="161"/>
      <c r="B4034" s="161"/>
      <c r="C4034" s="162"/>
      <c r="D4034" s="163"/>
      <c r="E4034" s="164" t="str">
        <f>IFERROR(__xludf.DUMMYFUNCTION("""COMPUTED_VALUE"""),"")</f>
        <v/>
      </c>
      <c r="F4034" s="163"/>
      <c r="G4034" s="163"/>
      <c r="H4034" s="163"/>
      <c r="I4034" s="163"/>
      <c r="J4034" s="165"/>
      <c r="K4034" s="165"/>
      <c r="L4034" s="165"/>
      <c r="M4034" s="166"/>
      <c r="N4034" s="167"/>
      <c r="O4034" s="163"/>
      <c r="P4034" s="163"/>
      <c r="Q4034" s="163"/>
      <c r="R4034" s="163"/>
      <c r="S4034" s="161"/>
      <c r="T4034" s="161"/>
      <c r="U4034" s="161"/>
      <c r="V4034" s="161"/>
      <c r="W4034" s="161"/>
      <c r="X4034" s="161"/>
      <c r="Y4034" s="161"/>
      <c r="Z4034" s="168"/>
      <c r="AA4034" s="168"/>
      <c r="AB4034" s="168"/>
      <c r="AC4034" s="168"/>
    </row>
    <row r="4035">
      <c r="A4035" s="161"/>
      <c r="B4035" s="161"/>
      <c r="C4035" s="162"/>
      <c r="D4035" s="163"/>
      <c r="E4035" s="164" t="str">
        <f>IFERROR(__xludf.DUMMYFUNCTION("""COMPUTED_VALUE"""),"")</f>
        <v/>
      </c>
      <c r="F4035" s="163"/>
      <c r="G4035" s="163"/>
      <c r="H4035" s="163"/>
      <c r="I4035" s="163"/>
      <c r="J4035" s="165"/>
      <c r="K4035" s="165"/>
      <c r="L4035" s="165"/>
      <c r="M4035" s="166"/>
      <c r="N4035" s="167"/>
      <c r="O4035" s="163"/>
      <c r="P4035" s="163"/>
      <c r="Q4035" s="163"/>
      <c r="R4035" s="163"/>
      <c r="S4035" s="161"/>
      <c r="T4035" s="161"/>
      <c r="U4035" s="161"/>
      <c r="V4035" s="161"/>
      <c r="W4035" s="161"/>
      <c r="X4035" s="161"/>
      <c r="Y4035" s="161"/>
      <c r="Z4035" s="168"/>
      <c r="AA4035" s="168"/>
      <c r="AB4035" s="168"/>
      <c r="AC4035" s="168"/>
    </row>
    <row r="4036">
      <c r="A4036" s="161"/>
      <c r="B4036" s="161"/>
      <c r="C4036" s="162"/>
      <c r="D4036" s="163"/>
      <c r="E4036" s="164" t="str">
        <f>IFERROR(__xludf.DUMMYFUNCTION("""COMPUTED_VALUE"""),"")</f>
        <v/>
      </c>
      <c r="F4036" s="163"/>
      <c r="G4036" s="163"/>
      <c r="H4036" s="163"/>
      <c r="I4036" s="163"/>
      <c r="J4036" s="165"/>
      <c r="K4036" s="165"/>
      <c r="L4036" s="165"/>
      <c r="M4036" s="166"/>
      <c r="N4036" s="167"/>
      <c r="O4036" s="163"/>
      <c r="P4036" s="163"/>
      <c r="Q4036" s="163"/>
      <c r="R4036" s="163"/>
      <c r="S4036" s="161"/>
      <c r="T4036" s="161"/>
      <c r="U4036" s="161"/>
      <c r="V4036" s="161"/>
      <c r="W4036" s="161"/>
      <c r="X4036" s="161"/>
      <c r="Y4036" s="161"/>
      <c r="Z4036" s="168"/>
      <c r="AA4036" s="168"/>
      <c r="AB4036" s="168"/>
      <c r="AC4036" s="168"/>
    </row>
    <row r="4037">
      <c r="A4037" s="161"/>
      <c r="B4037" s="161"/>
      <c r="C4037" s="162"/>
      <c r="D4037" s="163"/>
      <c r="E4037" s="164" t="str">
        <f>IFERROR(__xludf.DUMMYFUNCTION("""COMPUTED_VALUE"""),"")</f>
        <v/>
      </c>
      <c r="F4037" s="163"/>
      <c r="G4037" s="163"/>
      <c r="H4037" s="163"/>
      <c r="I4037" s="163"/>
      <c r="J4037" s="165"/>
      <c r="K4037" s="165"/>
      <c r="L4037" s="165"/>
      <c r="M4037" s="166"/>
      <c r="N4037" s="167"/>
      <c r="O4037" s="163"/>
      <c r="P4037" s="163"/>
      <c r="Q4037" s="163"/>
      <c r="R4037" s="163"/>
      <c r="S4037" s="161"/>
      <c r="T4037" s="161"/>
      <c r="U4037" s="161"/>
      <c r="V4037" s="161"/>
      <c r="W4037" s="161"/>
      <c r="X4037" s="161"/>
      <c r="Y4037" s="161"/>
      <c r="Z4037" s="168"/>
      <c r="AA4037" s="168"/>
      <c r="AB4037" s="168"/>
      <c r="AC4037" s="168"/>
    </row>
    <row r="4038">
      <c r="A4038" s="161"/>
      <c r="B4038" s="161"/>
      <c r="C4038" s="162"/>
      <c r="D4038" s="163"/>
      <c r="E4038" s="164" t="str">
        <f>IFERROR(__xludf.DUMMYFUNCTION("""COMPUTED_VALUE"""),"")</f>
        <v/>
      </c>
      <c r="F4038" s="163"/>
      <c r="G4038" s="163"/>
      <c r="H4038" s="163"/>
      <c r="I4038" s="163"/>
      <c r="J4038" s="165"/>
      <c r="K4038" s="165"/>
      <c r="L4038" s="165"/>
      <c r="M4038" s="166"/>
      <c r="N4038" s="167"/>
      <c r="O4038" s="163"/>
      <c r="P4038" s="163"/>
      <c r="Q4038" s="163"/>
      <c r="R4038" s="163"/>
      <c r="S4038" s="161"/>
      <c r="T4038" s="161"/>
      <c r="U4038" s="161"/>
      <c r="V4038" s="161"/>
      <c r="W4038" s="161"/>
      <c r="X4038" s="161"/>
      <c r="Y4038" s="161"/>
      <c r="Z4038" s="168"/>
      <c r="AA4038" s="168"/>
      <c r="AB4038" s="168"/>
      <c r="AC4038" s="168"/>
    </row>
    <row r="4039">
      <c r="A4039" s="161"/>
      <c r="B4039" s="161"/>
      <c r="C4039" s="162"/>
      <c r="D4039" s="163"/>
      <c r="E4039" s="164" t="str">
        <f>IFERROR(__xludf.DUMMYFUNCTION("""COMPUTED_VALUE"""),"")</f>
        <v/>
      </c>
      <c r="F4039" s="163"/>
      <c r="G4039" s="163"/>
      <c r="H4039" s="163"/>
      <c r="I4039" s="163"/>
      <c r="J4039" s="165"/>
      <c r="K4039" s="165"/>
      <c r="L4039" s="165"/>
      <c r="M4039" s="166"/>
      <c r="N4039" s="167"/>
      <c r="O4039" s="163"/>
      <c r="P4039" s="163"/>
      <c r="Q4039" s="163"/>
      <c r="R4039" s="163"/>
      <c r="S4039" s="161"/>
      <c r="T4039" s="161"/>
      <c r="U4039" s="161"/>
      <c r="V4039" s="161"/>
      <c r="W4039" s="161"/>
      <c r="X4039" s="161"/>
      <c r="Y4039" s="161"/>
      <c r="Z4039" s="168"/>
      <c r="AA4039" s="168"/>
      <c r="AB4039" s="168"/>
      <c r="AC4039" s="168"/>
    </row>
    <row r="4040">
      <c r="A4040" s="161"/>
      <c r="B4040" s="161"/>
      <c r="C4040" s="162"/>
      <c r="D4040" s="163"/>
      <c r="E4040" s="164" t="str">
        <f>IFERROR(__xludf.DUMMYFUNCTION("""COMPUTED_VALUE"""),"")</f>
        <v/>
      </c>
      <c r="F4040" s="163"/>
      <c r="G4040" s="163"/>
      <c r="H4040" s="163"/>
      <c r="I4040" s="163"/>
      <c r="J4040" s="165"/>
      <c r="K4040" s="165"/>
      <c r="L4040" s="165"/>
      <c r="M4040" s="166"/>
      <c r="N4040" s="167"/>
      <c r="O4040" s="163"/>
      <c r="P4040" s="163"/>
      <c r="Q4040" s="163"/>
      <c r="R4040" s="163"/>
      <c r="S4040" s="161"/>
      <c r="T4040" s="161"/>
      <c r="U4040" s="161"/>
      <c r="V4040" s="161"/>
      <c r="W4040" s="161"/>
      <c r="X4040" s="161"/>
      <c r="Y4040" s="161"/>
      <c r="Z4040" s="168"/>
      <c r="AA4040" s="168"/>
      <c r="AB4040" s="168"/>
      <c r="AC4040" s="168"/>
    </row>
    <row r="4041">
      <c r="A4041" s="161"/>
      <c r="B4041" s="161"/>
      <c r="C4041" s="162"/>
      <c r="D4041" s="163"/>
      <c r="E4041" s="164" t="str">
        <f>IFERROR(__xludf.DUMMYFUNCTION("""COMPUTED_VALUE"""),"")</f>
        <v/>
      </c>
      <c r="F4041" s="163"/>
      <c r="G4041" s="163"/>
      <c r="H4041" s="163"/>
      <c r="I4041" s="163"/>
      <c r="J4041" s="165"/>
      <c r="K4041" s="165"/>
      <c r="L4041" s="165"/>
      <c r="M4041" s="166"/>
      <c r="N4041" s="167"/>
      <c r="O4041" s="163"/>
      <c r="P4041" s="163"/>
      <c r="Q4041" s="163"/>
      <c r="R4041" s="163"/>
      <c r="S4041" s="161"/>
      <c r="T4041" s="161"/>
      <c r="U4041" s="161"/>
      <c r="V4041" s="161"/>
      <c r="W4041" s="161"/>
      <c r="X4041" s="161"/>
      <c r="Y4041" s="161"/>
      <c r="Z4041" s="168"/>
      <c r="AA4041" s="168"/>
      <c r="AB4041" s="168"/>
      <c r="AC4041" s="168"/>
    </row>
    <row r="4042">
      <c r="A4042" s="161"/>
      <c r="B4042" s="161"/>
      <c r="C4042" s="162"/>
      <c r="D4042" s="163"/>
      <c r="E4042" s="164" t="str">
        <f>IFERROR(__xludf.DUMMYFUNCTION("""COMPUTED_VALUE"""),"")</f>
        <v/>
      </c>
      <c r="F4042" s="163"/>
      <c r="G4042" s="163"/>
      <c r="H4042" s="163"/>
      <c r="I4042" s="163"/>
      <c r="J4042" s="165"/>
      <c r="K4042" s="165"/>
      <c r="L4042" s="165"/>
      <c r="M4042" s="166"/>
      <c r="N4042" s="167"/>
      <c r="O4042" s="163"/>
      <c r="P4042" s="163"/>
      <c r="Q4042" s="163"/>
      <c r="R4042" s="163"/>
      <c r="S4042" s="161"/>
      <c r="T4042" s="161"/>
      <c r="U4042" s="161"/>
      <c r="V4042" s="161"/>
      <c r="W4042" s="161"/>
      <c r="X4042" s="161"/>
      <c r="Y4042" s="161"/>
      <c r="Z4042" s="168"/>
      <c r="AA4042" s="168"/>
      <c r="AB4042" s="168"/>
      <c r="AC4042" s="168"/>
    </row>
    <row r="4043">
      <c r="A4043" s="161"/>
      <c r="B4043" s="161"/>
      <c r="C4043" s="162"/>
      <c r="D4043" s="163"/>
      <c r="E4043" s="164" t="str">
        <f>IFERROR(__xludf.DUMMYFUNCTION("""COMPUTED_VALUE"""),"")</f>
        <v/>
      </c>
      <c r="F4043" s="163"/>
      <c r="G4043" s="163"/>
      <c r="H4043" s="163"/>
      <c r="I4043" s="163"/>
      <c r="J4043" s="165"/>
      <c r="K4043" s="165"/>
      <c r="L4043" s="165"/>
      <c r="M4043" s="166"/>
      <c r="N4043" s="167"/>
      <c r="O4043" s="163"/>
      <c r="P4043" s="163"/>
      <c r="Q4043" s="163"/>
      <c r="R4043" s="163"/>
      <c r="S4043" s="161"/>
      <c r="T4043" s="161"/>
      <c r="U4043" s="161"/>
      <c r="V4043" s="161"/>
      <c r="W4043" s="161"/>
      <c r="X4043" s="161"/>
      <c r="Y4043" s="161"/>
      <c r="Z4043" s="168"/>
      <c r="AA4043" s="168"/>
      <c r="AB4043" s="168"/>
      <c r="AC4043" s="168"/>
    </row>
    <row r="4044">
      <c r="A4044" s="161"/>
      <c r="B4044" s="161"/>
      <c r="C4044" s="162"/>
      <c r="D4044" s="163"/>
      <c r="E4044" s="164" t="str">
        <f>IFERROR(__xludf.DUMMYFUNCTION("""COMPUTED_VALUE"""),"")</f>
        <v/>
      </c>
      <c r="F4044" s="163"/>
      <c r="G4044" s="163"/>
      <c r="H4044" s="163"/>
      <c r="I4044" s="163"/>
      <c r="J4044" s="165"/>
      <c r="K4044" s="165"/>
      <c r="L4044" s="165"/>
      <c r="M4044" s="166"/>
      <c r="N4044" s="167"/>
      <c r="O4044" s="163"/>
      <c r="P4044" s="163"/>
      <c r="Q4044" s="163"/>
      <c r="R4044" s="163"/>
      <c r="S4044" s="161"/>
      <c r="T4044" s="161"/>
      <c r="U4044" s="161"/>
      <c r="V4044" s="161"/>
      <c r="W4044" s="161"/>
      <c r="X4044" s="161"/>
      <c r="Y4044" s="161"/>
      <c r="Z4044" s="168"/>
      <c r="AA4044" s="168"/>
      <c r="AB4044" s="168"/>
      <c r="AC4044" s="168"/>
    </row>
    <row r="4045">
      <c r="A4045" s="161"/>
      <c r="B4045" s="161"/>
      <c r="C4045" s="162"/>
      <c r="D4045" s="163"/>
      <c r="E4045" s="164" t="str">
        <f>IFERROR(__xludf.DUMMYFUNCTION("""COMPUTED_VALUE"""),"")</f>
        <v/>
      </c>
      <c r="F4045" s="163"/>
      <c r="G4045" s="163"/>
      <c r="H4045" s="163"/>
      <c r="I4045" s="163"/>
      <c r="J4045" s="165"/>
      <c r="K4045" s="165"/>
      <c r="L4045" s="165"/>
      <c r="M4045" s="166"/>
      <c r="N4045" s="167"/>
      <c r="O4045" s="163"/>
      <c r="P4045" s="163"/>
      <c r="Q4045" s="163"/>
      <c r="R4045" s="163"/>
      <c r="S4045" s="161"/>
      <c r="T4045" s="161"/>
      <c r="U4045" s="161"/>
      <c r="V4045" s="161"/>
      <c r="W4045" s="161"/>
      <c r="X4045" s="161"/>
      <c r="Y4045" s="161"/>
      <c r="Z4045" s="168"/>
      <c r="AA4045" s="168"/>
      <c r="AB4045" s="168"/>
      <c r="AC4045" s="168"/>
    </row>
    <row r="4046">
      <c r="A4046" s="161"/>
      <c r="B4046" s="161"/>
      <c r="C4046" s="162"/>
      <c r="D4046" s="163"/>
      <c r="E4046" s="164" t="str">
        <f>IFERROR(__xludf.DUMMYFUNCTION("""COMPUTED_VALUE"""),"")</f>
        <v/>
      </c>
      <c r="F4046" s="163"/>
      <c r="G4046" s="163"/>
      <c r="H4046" s="163"/>
      <c r="I4046" s="163"/>
      <c r="J4046" s="165"/>
      <c r="K4046" s="165"/>
      <c r="L4046" s="165"/>
      <c r="M4046" s="166"/>
      <c r="N4046" s="167"/>
      <c r="O4046" s="163"/>
      <c r="P4046" s="163"/>
      <c r="Q4046" s="163"/>
      <c r="R4046" s="163"/>
      <c r="S4046" s="161"/>
      <c r="T4046" s="161"/>
      <c r="U4046" s="161"/>
      <c r="V4046" s="161"/>
      <c r="W4046" s="161"/>
      <c r="X4046" s="161"/>
      <c r="Y4046" s="161"/>
      <c r="Z4046" s="168"/>
      <c r="AA4046" s="168"/>
      <c r="AB4046" s="168"/>
      <c r="AC4046" s="168"/>
    </row>
    <row r="4047">
      <c r="A4047" s="161"/>
      <c r="B4047" s="161"/>
      <c r="C4047" s="162"/>
      <c r="D4047" s="163"/>
      <c r="E4047" s="164" t="str">
        <f>IFERROR(__xludf.DUMMYFUNCTION("""COMPUTED_VALUE"""),"")</f>
        <v/>
      </c>
      <c r="F4047" s="163"/>
      <c r="G4047" s="163"/>
      <c r="H4047" s="163"/>
      <c r="I4047" s="163"/>
      <c r="J4047" s="165"/>
      <c r="K4047" s="165"/>
      <c r="L4047" s="165"/>
      <c r="M4047" s="166"/>
      <c r="N4047" s="167"/>
      <c r="O4047" s="163"/>
      <c r="P4047" s="163"/>
      <c r="Q4047" s="163"/>
      <c r="R4047" s="163"/>
      <c r="S4047" s="161"/>
      <c r="T4047" s="161"/>
      <c r="U4047" s="161"/>
      <c r="V4047" s="161"/>
      <c r="W4047" s="161"/>
      <c r="X4047" s="161"/>
      <c r="Y4047" s="161"/>
      <c r="Z4047" s="168"/>
      <c r="AA4047" s="168"/>
      <c r="AB4047" s="168"/>
      <c r="AC4047" s="168"/>
    </row>
    <row r="4048">
      <c r="A4048" s="161"/>
      <c r="B4048" s="161"/>
      <c r="C4048" s="162"/>
      <c r="D4048" s="163"/>
      <c r="E4048" s="164" t="str">
        <f>IFERROR(__xludf.DUMMYFUNCTION("""COMPUTED_VALUE"""),"")</f>
        <v/>
      </c>
      <c r="F4048" s="163"/>
      <c r="G4048" s="163"/>
      <c r="H4048" s="163"/>
      <c r="I4048" s="163"/>
      <c r="J4048" s="165"/>
      <c r="K4048" s="165"/>
      <c r="L4048" s="165"/>
      <c r="M4048" s="166"/>
      <c r="N4048" s="167"/>
      <c r="O4048" s="163"/>
      <c r="P4048" s="163"/>
      <c r="Q4048" s="163"/>
      <c r="R4048" s="163"/>
      <c r="S4048" s="161"/>
      <c r="T4048" s="161"/>
      <c r="U4048" s="161"/>
      <c r="V4048" s="161"/>
      <c r="W4048" s="161"/>
      <c r="X4048" s="161"/>
      <c r="Y4048" s="161"/>
      <c r="Z4048" s="168"/>
      <c r="AA4048" s="168"/>
      <c r="AB4048" s="168"/>
      <c r="AC4048" s="168"/>
    </row>
    <row r="4049">
      <c r="A4049" s="161"/>
      <c r="B4049" s="161"/>
      <c r="C4049" s="162"/>
      <c r="D4049" s="163"/>
      <c r="E4049" s="164" t="str">
        <f>IFERROR(__xludf.DUMMYFUNCTION("""COMPUTED_VALUE"""),"")</f>
        <v/>
      </c>
      <c r="F4049" s="163"/>
      <c r="G4049" s="163"/>
      <c r="H4049" s="163"/>
      <c r="I4049" s="163"/>
      <c r="J4049" s="165"/>
      <c r="K4049" s="165"/>
      <c r="L4049" s="165"/>
      <c r="M4049" s="166"/>
      <c r="N4049" s="167"/>
      <c r="O4049" s="163"/>
      <c r="P4049" s="163"/>
      <c r="Q4049" s="163"/>
      <c r="R4049" s="163"/>
      <c r="S4049" s="161"/>
      <c r="T4049" s="161"/>
      <c r="U4049" s="161"/>
      <c r="V4049" s="161"/>
      <c r="W4049" s="161"/>
      <c r="X4049" s="161"/>
      <c r="Y4049" s="161"/>
      <c r="Z4049" s="168"/>
      <c r="AA4049" s="168"/>
      <c r="AB4049" s="168"/>
      <c r="AC4049" s="168"/>
    </row>
    <row r="4050">
      <c r="A4050" s="161"/>
      <c r="B4050" s="161"/>
      <c r="C4050" s="162"/>
      <c r="D4050" s="163"/>
      <c r="E4050" s="164" t="str">
        <f>IFERROR(__xludf.DUMMYFUNCTION("""COMPUTED_VALUE"""),"")</f>
        <v/>
      </c>
      <c r="F4050" s="163"/>
      <c r="G4050" s="163"/>
      <c r="H4050" s="163"/>
      <c r="I4050" s="163"/>
      <c r="J4050" s="165"/>
      <c r="K4050" s="165"/>
      <c r="L4050" s="165"/>
      <c r="M4050" s="166"/>
      <c r="N4050" s="167"/>
      <c r="O4050" s="163"/>
      <c r="P4050" s="163"/>
      <c r="Q4050" s="163"/>
      <c r="R4050" s="163"/>
      <c r="S4050" s="161"/>
      <c r="T4050" s="161"/>
      <c r="U4050" s="161"/>
      <c r="V4050" s="161"/>
      <c r="W4050" s="161"/>
      <c r="X4050" s="161"/>
      <c r="Y4050" s="161"/>
      <c r="Z4050" s="168"/>
      <c r="AA4050" s="168"/>
      <c r="AB4050" s="168"/>
      <c r="AC4050" s="168"/>
    </row>
    <row r="4051">
      <c r="A4051" s="161"/>
      <c r="B4051" s="161"/>
      <c r="C4051" s="162"/>
      <c r="D4051" s="163"/>
      <c r="E4051" s="164" t="str">
        <f>IFERROR(__xludf.DUMMYFUNCTION("""COMPUTED_VALUE"""),"")</f>
        <v/>
      </c>
      <c r="F4051" s="163"/>
      <c r="G4051" s="163"/>
      <c r="H4051" s="163"/>
      <c r="I4051" s="163"/>
      <c r="J4051" s="165"/>
      <c r="K4051" s="165"/>
      <c r="L4051" s="165"/>
      <c r="M4051" s="166"/>
      <c r="N4051" s="167"/>
      <c r="O4051" s="163"/>
      <c r="P4051" s="163"/>
      <c r="Q4051" s="163"/>
      <c r="R4051" s="163"/>
      <c r="S4051" s="161"/>
      <c r="T4051" s="161"/>
      <c r="U4051" s="161"/>
      <c r="V4051" s="161"/>
      <c r="W4051" s="161"/>
      <c r="X4051" s="161"/>
      <c r="Y4051" s="161"/>
      <c r="Z4051" s="168"/>
      <c r="AA4051" s="168"/>
      <c r="AB4051" s="168"/>
      <c r="AC4051" s="168"/>
    </row>
    <row r="4052">
      <c r="A4052" s="161"/>
      <c r="B4052" s="161"/>
      <c r="C4052" s="162"/>
      <c r="D4052" s="163"/>
      <c r="E4052" s="164" t="str">
        <f>IFERROR(__xludf.DUMMYFUNCTION("""COMPUTED_VALUE"""),"")</f>
        <v/>
      </c>
      <c r="F4052" s="163"/>
      <c r="G4052" s="163"/>
      <c r="H4052" s="163"/>
      <c r="I4052" s="163"/>
      <c r="J4052" s="165"/>
      <c r="K4052" s="165"/>
      <c r="L4052" s="165"/>
      <c r="M4052" s="166"/>
      <c r="N4052" s="167"/>
      <c r="O4052" s="163"/>
      <c r="P4052" s="163"/>
      <c r="Q4052" s="163"/>
      <c r="R4052" s="163"/>
      <c r="S4052" s="161"/>
      <c r="T4052" s="161"/>
      <c r="U4052" s="161"/>
      <c r="V4052" s="161"/>
      <c r="W4052" s="161"/>
      <c r="X4052" s="161"/>
      <c r="Y4052" s="161"/>
      <c r="Z4052" s="168"/>
      <c r="AA4052" s="168"/>
      <c r="AB4052" s="168"/>
      <c r="AC4052" s="168"/>
    </row>
    <row r="4053">
      <c r="A4053" s="161"/>
      <c r="B4053" s="161"/>
      <c r="C4053" s="162"/>
      <c r="D4053" s="163"/>
      <c r="E4053" s="164" t="str">
        <f>IFERROR(__xludf.DUMMYFUNCTION("""COMPUTED_VALUE"""),"")</f>
        <v/>
      </c>
      <c r="F4053" s="163"/>
      <c r="G4053" s="163"/>
      <c r="H4053" s="163"/>
      <c r="I4053" s="163"/>
      <c r="J4053" s="165"/>
      <c r="K4053" s="165"/>
      <c r="L4053" s="165"/>
      <c r="M4053" s="166"/>
      <c r="N4053" s="167"/>
      <c r="O4053" s="163"/>
      <c r="P4053" s="163"/>
      <c r="Q4053" s="163"/>
      <c r="R4053" s="163"/>
      <c r="S4053" s="161"/>
      <c r="T4053" s="161"/>
      <c r="U4053" s="161"/>
      <c r="V4053" s="161"/>
      <c r="W4053" s="161"/>
      <c r="X4053" s="161"/>
      <c r="Y4053" s="161"/>
      <c r="Z4053" s="168"/>
      <c r="AA4053" s="168"/>
      <c r="AB4053" s="168"/>
      <c r="AC4053" s="168"/>
    </row>
    <row r="4054">
      <c r="A4054" s="161"/>
      <c r="B4054" s="161"/>
      <c r="C4054" s="162"/>
      <c r="D4054" s="163"/>
      <c r="E4054" s="164" t="str">
        <f>IFERROR(__xludf.DUMMYFUNCTION("""COMPUTED_VALUE"""),"")</f>
        <v/>
      </c>
      <c r="F4054" s="163"/>
      <c r="G4054" s="163"/>
      <c r="H4054" s="163"/>
      <c r="I4054" s="163"/>
      <c r="J4054" s="165"/>
      <c r="K4054" s="165"/>
      <c r="L4054" s="165"/>
      <c r="M4054" s="166"/>
      <c r="N4054" s="167"/>
      <c r="O4054" s="163"/>
      <c r="P4054" s="163"/>
      <c r="Q4054" s="163"/>
      <c r="R4054" s="163"/>
      <c r="S4054" s="161"/>
      <c r="T4054" s="161"/>
      <c r="U4054" s="161"/>
      <c r="V4054" s="161"/>
      <c r="W4054" s="161"/>
      <c r="X4054" s="161"/>
      <c r="Y4054" s="161"/>
      <c r="Z4054" s="168"/>
      <c r="AA4054" s="168"/>
      <c r="AB4054" s="168"/>
      <c r="AC4054" s="168"/>
    </row>
    <row r="4055">
      <c r="A4055" s="161"/>
      <c r="B4055" s="161"/>
      <c r="C4055" s="162"/>
      <c r="D4055" s="163"/>
      <c r="E4055" s="164" t="str">
        <f>IFERROR(__xludf.DUMMYFUNCTION("""COMPUTED_VALUE"""),"")</f>
        <v/>
      </c>
      <c r="F4055" s="163"/>
      <c r="G4055" s="163"/>
      <c r="H4055" s="163"/>
      <c r="I4055" s="163"/>
      <c r="J4055" s="165"/>
      <c r="K4055" s="165"/>
      <c r="L4055" s="165"/>
      <c r="M4055" s="166"/>
      <c r="N4055" s="167"/>
      <c r="O4055" s="163"/>
      <c r="P4055" s="163"/>
      <c r="Q4055" s="163"/>
      <c r="R4055" s="163"/>
      <c r="S4055" s="161"/>
      <c r="T4055" s="161"/>
      <c r="U4055" s="161"/>
      <c r="V4055" s="161"/>
      <c r="W4055" s="161"/>
      <c r="X4055" s="161"/>
      <c r="Y4055" s="161"/>
      <c r="Z4055" s="168"/>
      <c r="AA4055" s="168"/>
      <c r="AB4055" s="168"/>
      <c r="AC4055" s="168"/>
    </row>
    <row r="4056">
      <c r="A4056" s="161"/>
      <c r="B4056" s="161"/>
      <c r="C4056" s="162"/>
      <c r="D4056" s="163"/>
      <c r="E4056" s="164" t="str">
        <f>IFERROR(__xludf.DUMMYFUNCTION("""COMPUTED_VALUE"""),"")</f>
        <v/>
      </c>
      <c r="F4056" s="163"/>
      <c r="G4056" s="163"/>
      <c r="H4056" s="163"/>
      <c r="I4056" s="163"/>
      <c r="J4056" s="165"/>
      <c r="K4056" s="165"/>
      <c r="L4056" s="165"/>
      <c r="M4056" s="166"/>
      <c r="N4056" s="167"/>
      <c r="O4056" s="163"/>
      <c r="P4056" s="163"/>
      <c r="Q4056" s="163"/>
      <c r="R4056" s="163"/>
      <c r="S4056" s="161"/>
      <c r="T4056" s="161"/>
      <c r="U4056" s="161"/>
      <c r="V4056" s="161"/>
      <c r="W4056" s="161"/>
      <c r="X4056" s="161"/>
      <c r="Y4056" s="161"/>
      <c r="Z4056" s="168"/>
      <c r="AA4056" s="168"/>
      <c r="AB4056" s="168"/>
      <c r="AC4056" s="168"/>
    </row>
    <row r="4057">
      <c r="A4057" s="161"/>
      <c r="B4057" s="161"/>
      <c r="C4057" s="162"/>
      <c r="D4057" s="163"/>
      <c r="E4057" s="164" t="str">
        <f>IFERROR(__xludf.DUMMYFUNCTION("""COMPUTED_VALUE"""),"")</f>
        <v/>
      </c>
      <c r="F4057" s="163"/>
      <c r="G4057" s="163"/>
      <c r="H4057" s="163"/>
      <c r="I4057" s="163"/>
      <c r="J4057" s="165"/>
      <c r="K4057" s="165"/>
      <c r="L4057" s="165"/>
      <c r="M4057" s="166"/>
      <c r="N4057" s="167"/>
      <c r="O4057" s="163"/>
      <c r="P4057" s="163"/>
      <c r="Q4057" s="163"/>
      <c r="R4057" s="163"/>
      <c r="S4057" s="161"/>
      <c r="T4057" s="161"/>
      <c r="U4057" s="161"/>
      <c r="V4057" s="161"/>
      <c r="W4057" s="161"/>
      <c r="X4057" s="161"/>
      <c r="Y4057" s="161"/>
      <c r="Z4057" s="168"/>
      <c r="AA4057" s="168"/>
      <c r="AB4057" s="168"/>
      <c r="AC4057" s="168"/>
    </row>
    <row r="4058">
      <c r="A4058" s="161"/>
      <c r="B4058" s="161"/>
      <c r="C4058" s="162"/>
      <c r="D4058" s="163"/>
      <c r="E4058" s="164" t="str">
        <f>IFERROR(__xludf.DUMMYFUNCTION("""COMPUTED_VALUE"""),"")</f>
        <v/>
      </c>
      <c r="F4058" s="163"/>
      <c r="G4058" s="163"/>
      <c r="H4058" s="163"/>
      <c r="I4058" s="163"/>
      <c r="J4058" s="165"/>
      <c r="K4058" s="165"/>
      <c r="L4058" s="165"/>
      <c r="M4058" s="166"/>
      <c r="N4058" s="167"/>
      <c r="O4058" s="163"/>
      <c r="P4058" s="163"/>
      <c r="Q4058" s="163"/>
      <c r="R4058" s="163"/>
      <c r="S4058" s="161"/>
      <c r="T4058" s="161"/>
      <c r="U4058" s="161"/>
      <c r="V4058" s="161"/>
      <c r="W4058" s="161"/>
      <c r="X4058" s="161"/>
      <c r="Y4058" s="161"/>
      <c r="Z4058" s="168"/>
      <c r="AA4058" s="168"/>
      <c r="AB4058" s="168"/>
      <c r="AC4058" s="168"/>
    </row>
    <row r="4059">
      <c r="A4059" s="161"/>
      <c r="B4059" s="161"/>
      <c r="C4059" s="162"/>
      <c r="D4059" s="163"/>
      <c r="E4059" s="164" t="str">
        <f>IFERROR(__xludf.DUMMYFUNCTION("""COMPUTED_VALUE"""),"")</f>
        <v/>
      </c>
      <c r="F4059" s="163"/>
      <c r="G4059" s="163"/>
      <c r="H4059" s="163"/>
      <c r="I4059" s="163"/>
      <c r="J4059" s="165"/>
      <c r="K4059" s="165"/>
      <c r="L4059" s="165"/>
      <c r="M4059" s="166"/>
      <c r="N4059" s="167"/>
      <c r="O4059" s="163"/>
      <c r="P4059" s="163"/>
      <c r="Q4059" s="163"/>
      <c r="R4059" s="163"/>
      <c r="S4059" s="161"/>
      <c r="T4059" s="161"/>
      <c r="U4059" s="161"/>
      <c r="V4059" s="161"/>
      <c r="W4059" s="161"/>
      <c r="X4059" s="161"/>
      <c r="Y4059" s="161"/>
      <c r="Z4059" s="168"/>
      <c r="AA4059" s="168"/>
      <c r="AB4059" s="168"/>
      <c r="AC4059" s="168"/>
    </row>
    <row r="4060">
      <c r="A4060" s="161"/>
      <c r="B4060" s="161"/>
      <c r="C4060" s="162"/>
      <c r="D4060" s="163"/>
      <c r="E4060" s="164" t="str">
        <f>IFERROR(__xludf.DUMMYFUNCTION("""COMPUTED_VALUE"""),"")</f>
        <v/>
      </c>
      <c r="F4060" s="163"/>
      <c r="G4060" s="163"/>
      <c r="H4060" s="163"/>
      <c r="I4060" s="163"/>
      <c r="J4060" s="165"/>
      <c r="K4060" s="165"/>
      <c r="L4060" s="165"/>
      <c r="M4060" s="166"/>
      <c r="N4060" s="167"/>
      <c r="O4060" s="163"/>
      <c r="P4060" s="163"/>
      <c r="Q4060" s="163"/>
      <c r="R4060" s="163"/>
      <c r="S4060" s="161"/>
      <c r="T4060" s="161"/>
      <c r="U4060" s="161"/>
      <c r="V4060" s="161"/>
      <c r="W4060" s="161"/>
      <c r="X4060" s="161"/>
      <c r="Y4060" s="161"/>
      <c r="Z4060" s="168"/>
      <c r="AA4060" s="168"/>
      <c r="AB4060" s="168"/>
      <c r="AC4060" s="168"/>
    </row>
    <row r="4061">
      <c r="A4061" s="161"/>
      <c r="B4061" s="161"/>
      <c r="C4061" s="162"/>
      <c r="D4061" s="163"/>
      <c r="E4061" s="164" t="str">
        <f>IFERROR(__xludf.DUMMYFUNCTION("""COMPUTED_VALUE"""),"")</f>
        <v/>
      </c>
      <c r="F4061" s="163"/>
      <c r="G4061" s="163"/>
      <c r="H4061" s="163"/>
      <c r="I4061" s="163"/>
      <c r="J4061" s="165"/>
      <c r="K4061" s="165"/>
      <c r="L4061" s="165"/>
      <c r="M4061" s="166"/>
      <c r="N4061" s="167"/>
      <c r="O4061" s="163"/>
      <c r="P4061" s="163"/>
      <c r="Q4061" s="163"/>
      <c r="R4061" s="163"/>
      <c r="S4061" s="161"/>
      <c r="T4061" s="161"/>
      <c r="U4061" s="161"/>
      <c r="V4061" s="161"/>
      <c r="W4061" s="161"/>
      <c r="X4061" s="161"/>
      <c r="Y4061" s="161"/>
      <c r="Z4061" s="168"/>
      <c r="AA4061" s="168"/>
      <c r="AB4061" s="168"/>
      <c r="AC4061" s="168"/>
    </row>
    <row r="4062">
      <c r="A4062" s="161"/>
      <c r="B4062" s="161"/>
      <c r="C4062" s="162"/>
      <c r="D4062" s="163"/>
      <c r="E4062" s="164" t="str">
        <f>IFERROR(__xludf.DUMMYFUNCTION("""COMPUTED_VALUE"""),"")</f>
        <v/>
      </c>
      <c r="F4062" s="163"/>
      <c r="G4062" s="163"/>
      <c r="H4062" s="163"/>
      <c r="I4062" s="163"/>
      <c r="J4062" s="165"/>
      <c r="K4062" s="165"/>
      <c r="L4062" s="165"/>
      <c r="M4062" s="166"/>
      <c r="N4062" s="167"/>
      <c r="O4062" s="163"/>
      <c r="P4062" s="163"/>
      <c r="Q4062" s="163"/>
      <c r="R4062" s="163"/>
      <c r="S4062" s="161"/>
      <c r="T4062" s="161"/>
      <c r="U4062" s="161"/>
      <c r="V4062" s="161"/>
      <c r="W4062" s="161"/>
      <c r="X4062" s="161"/>
      <c r="Y4062" s="161"/>
      <c r="Z4062" s="168"/>
      <c r="AA4062" s="168"/>
      <c r="AB4062" s="168"/>
      <c r="AC4062" s="168"/>
    </row>
    <row r="4063">
      <c r="A4063" s="161"/>
      <c r="B4063" s="161"/>
      <c r="C4063" s="162"/>
      <c r="D4063" s="163"/>
      <c r="E4063" s="164" t="str">
        <f>IFERROR(__xludf.DUMMYFUNCTION("""COMPUTED_VALUE"""),"")</f>
        <v/>
      </c>
      <c r="F4063" s="163"/>
      <c r="G4063" s="163"/>
      <c r="H4063" s="163"/>
      <c r="I4063" s="163"/>
      <c r="J4063" s="165"/>
      <c r="K4063" s="165"/>
      <c r="L4063" s="165"/>
      <c r="M4063" s="166"/>
      <c r="N4063" s="167"/>
      <c r="O4063" s="163"/>
      <c r="P4063" s="163"/>
      <c r="Q4063" s="163"/>
      <c r="R4063" s="163"/>
      <c r="S4063" s="161"/>
      <c r="T4063" s="161"/>
      <c r="U4063" s="161"/>
      <c r="V4063" s="161"/>
      <c r="W4063" s="161"/>
      <c r="X4063" s="161"/>
      <c r="Y4063" s="161"/>
      <c r="Z4063" s="168"/>
      <c r="AA4063" s="168"/>
      <c r="AB4063" s="168"/>
      <c r="AC4063" s="168"/>
    </row>
    <row r="4064">
      <c r="A4064" s="161"/>
      <c r="B4064" s="161"/>
      <c r="C4064" s="162"/>
      <c r="D4064" s="163"/>
      <c r="E4064" s="164" t="str">
        <f>IFERROR(__xludf.DUMMYFUNCTION("""COMPUTED_VALUE"""),"")</f>
        <v/>
      </c>
      <c r="F4064" s="163"/>
      <c r="G4064" s="163"/>
      <c r="H4064" s="163"/>
      <c r="I4064" s="163"/>
      <c r="J4064" s="165"/>
      <c r="K4064" s="165"/>
      <c r="L4064" s="165"/>
      <c r="M4064" s="166"/>
      <c r="N4064" s="167"/>
      <c r="O4064" s="163"/>
      <c r="P4064" s="163"/>
      <c r="Q4064" s="163"/>
      <c r="R4064" s="163"/>
      <c r="S4064" s="161"/>
      <c r="T4064" s="161"/>
      <c r="U4064" s="161"/>
      <c r="V4064" s="161"/>
      <c r="W4064" s="161"/>
      <c r="X4064" s="161"/>
      <c r="Y4064" s="161"/>
      <c r="Z4064" s="168"/>
      <c r="AA4064" s="168"/>
      <c r="AB4064" s="168"/>
      <c r="AC4064" s="168"/>
    </row>
    <row r="4065">
      <c r="A4065" s="161"/>
      <c r="B4065" s="161"/>
      <c r="C4065" s="162"/>
      <c r="D4065" s="163"/>
      <c r="E4065" s="164" t="str">
        <f>IFERROR(__xludf.DUMMYFUNCTION("""COMPUTED_VALUE"""),"")</f>
        <v/>
      </c>
      <c r="F4065" s="163"/>
      <c r="G4065" s="163"/>
      <c r="H4065" s="163"/>
      <c r="I4065" s="163"/>
      <c r="J4065" s="165"/>
      <c r="K4065" s="165"/>
      <c r="L4065" s="165"/>
      <c r="M4065" s="166"/>
      <c r="N4065" s="167"/>
      <c r="O4065" s="163"/>
      <c r="P4065" s="163"/>
      <c r="Q4065" s="163"/>
      <c r="R4065" s="163"/>
      <c r="S4065" s="161"/>
      <c r="T4065" s="161"/>
      <c r="U4065" s="161"/>
      <c r="V4065" s="161"/>
      <c r="W4065" s="161"/>
      <c r="X4065" s="161"/>
      <c r="Y4065" s="161"/>
      <c r="Z4065" s="168"/>
      <c r="AA4065" s="168"/>
      <c r="AB4065" s="168"/>
      <c r="AC4065" s="168"/>
    </row>
    <row r="4066">
      <c r="A4066" s="161"/>
      <c r="B4066" s="161"/>
      <c r="C4066" s="162"/>
      <c r="D4066" s="163"/>
      <c r="E4066" s="164" t="str">
        <f>IFERROR(__xludf.DUMMYFUNCTION("""COMPUTED_VALUE"""),"")</f>
        <v/>
      </c>
      <c r="F4066" s="163"/>
      <c r="G4066" s="163"/>
      <c r="H4066" s="163"/>
      <c r="I4066" s="163"/>
      <c r="J4066" s="165"/>
      <c r="K4066" s="165"/>
      <c r="L4066" s="165"/>
      <c r="M4066" s="166"/>
      <c r="N4066" s="167"/>
      <c r="O4066" s="163"/>
      <c r="P4066" s="163"/>
      <c r="Q4066" s="163"/>
      <c r="R4066" s="163"/>
      <c r="S4066" s="161"/>
      <c r="T4066" s="161"/>
      <c r="U4066" s="161"/>
      <c r="V4066" s="161"/>
      <c r="W4066" s="161"/>
      <c r="X4066" s="161"/>
      <c r="Y4066" s="161"/>
      <c r="Z4066" s="168"/>
      <c r="AA4066" s="168"/>
      <c r="AB4066" s="168"/>
      <c r="AC4066" s="168"/>
    </row>
    <row r="4067">
      <c r="A4067" s="161"/>
      <c r="B4067" s="161"/>
      <c r="C4067" s="162"/>
      <c r="D4067" s="163"/>
      <c r="E4067" s="164" t="str">
        <f>IFERROR(__xludf.DUMMYFUNCTION("""COMPUTED_VALUE"""),"")</f>
        <v/>
      </c>
      <c r="F4067" s="163"/>
      <c r="G4067" s="163"/>
      <c r="H4067" s="163"/>
      <c r="I4067" s="163"/>
      <c r="J4067" s="165"/>
      <c r="K4067" s="165"/>
      <c r="L4067" s="165"/>
      <c r="M4067" s="166"/>
      <c r="N4067" s="167"/>
      <c r="O4067" s="163"/>
      <c r="P4067" s="163"/>
      <c r="Q4067" s="163"/>
      <c r="R4067" s="163"/>
      <c r="S4067" s="161"/>
      <c r="T4067" s="161"/>
      <c r="U4067" s="161"/>
      <c r="V4067" s="161"/>
      <c r="W4067" s="161"/>
      <c r="X4067" s="161"/>
      <c r="Y4067" s="161"/>
      <c r="Z4067" s="168"/>
      <c r="AA4067" s="168"/>
      <c r="AB4067" s="168"/>
      <c r="AC4067" s="168"/>
    </row>
    <row r="4068">
      <c r="A4068" s="161"/>
      <c r="B4068" s="161"/>
      <c r="C4068" s="162"/>
      <c r="D4068" s="163"/>
      <c r="E4068" s="164" t="str">
        <f>IFERROR(__xludf.DUMMYFUNCTION("""COMPUTED_VALUE"""),"")</f>
        <v/>
      </c>
      <c r="F4068" s="163"/>
      <c r="G4068" s="163"/>
      <c r="H4068" s="163"/>
      <c r="I4068" s="163"/>
      <c r="J4068" s="165"/>
      <c r="K4068" s="165"/>
      <c r="L4068" s="165"/>
      <c r="M4068" s="166"/>
      <c r="N4068" s="167"/>
      <c r="O4068" s="163"/>
      <c r="P4068" s="163"/>
      <c r="Q4068" s="163"/>
      <c r="R4068" s="163"/>
      <c r="S4068" s="161"/>
      <c r="T4068" s="161"/>
      <c r="U4068" s="161"/>
      <c r="V4068" s="161"/>
      <c r="W4068" s="161"/>
      <c r="X4068" s="161"/>
      <c r="Y4068" s="161"/>
      <c r="Z4068" s="168"/>
      <c r="AA4068" s="168"/>
      <c r="AB4068" s="168"/>
      <c r="AC4068" s="168"/>
    </row>
    <row r="4069">
      <c r="A4069" s="161"/>
      <c r="B4069" s="161"/>
      <c r="C4069" s="162"/>
      <c r="D4069" s="163"/>
      <c r="E4069" s="164" t="str">
        <f>IFERROR(__xludf.DUMMYFUNCTION("""COMPUTED_VALUE"""),"")</f>
        <v/>
      </c>
      <c r="F4069" s="163"/>
      <c r="G4069" s="163"/>
      <c r="H4069" s="163"/>
      <c r="I4069" s="163"/>
      <c r="J4069" s="165"/>
      <c r="K4069" s="165"/>
      <c r="L4069" s="165"/>
      <c r="M4069" s="166"/>
      <c r="N4069" s="167"/>
      <c r="O4069" s="163"/>
      <c r="P4069" s="163"/>
      <c r="Q4069" s="163"/>
      <c r="R4069" s="163"/>
      <c r="S4069" s="161"/>
      <c r="T4069" s="161"/>
      <c r="U4069" s="161"/>
      <c r="V4069" s="161"/>
      <c r="W4069" s="161"/>
      <c r="X4069" s="161"/>
      <c r="Y4069" s="161"/>
      <c r="Z4069" s="168"/>
      <c r="AA4069" s="168"/>
      <c r="AB4069" s="168"/>
      <c r="AC4069" s="168"/>
    </row>
    <row r="4070">
      <c r="A4070" s="161"/>
      <c r="B4070" s="161"/>
      <c r="C4070" s="162"/>
      <c r="D4070" s="163"/>
      <c r="E4070" s="164" t="str">
        <f>IFERROR(__xludf.DUMMYFUNCTION("""COMPUTED_VALUE"""),"")</f>
        <v/>
      </c>
      <c r="F4070" s="163"/>
      <c r="G4070" s="163"/>
      <c r="H4070" s="163"/>
      <c r="I4070" s="163"/>
      <c r="J4070" s="165"/>
      <c r="K4070" s="165"/>
      <c r="L4070" s="165"/>
      <c r="M4070" s="166"/>
      <c r="N4070" s="167"/>
      <c r="O4070" s="163"/>
      <c r="P4070" s="163"/>
      <c r="Q4070" s="163"/>
      <c r="R4070" s="163"/>
      <c r="S4070" s="161"/>
      <c r="T4070" s="161"/>
      <c r="U4070" s="161"/>
      <c r="V4070" s="161"/>
      <c r="W4070" s="161"/>
      <c r="X4070" s="161"/>
      <c r="Y4070" s="161"/>
      <c r="Z4070" s="168"/>
      <c r="AA4070" s="168"/>
      <c r="AB4070" s="168"/>
      <c r="AC4070" s="168"/>
    </row>
    <row r="4071">
      <c r="A4071" s="161"/>
      <c r="B4071" s="161"/>
      <c r="C4071" s="162"/>
      <c r="D4071" s="163"/>
      <c r="E4071" s="164" t="str">
        <f>IFERROR(__xludf.DUMMYFUNCTION("""COMPUTED_VALUE"""),"")</f>
        <v/>
      </c>
      <c r="F4071" s="163"/>
      <c r="G4071" s="163"/>
      <c r="H4071" s="163"/>
      <c r="I4071" s="163"/>
      <c r="J4071" s="165"/>
      <c r="K4071" s="165"/>
      <c r="L4071" s="165"/>
      <c r="M4071" s="166"/>
      <c r="N4071" s="167"/>
      <c r="O4071" s="163"/>
      <c r="P4071" s="163"/>
      <c r="Q4071" s="163"/>
      <c r="R4071" s="163"/>
      <c r="S4071" s="161"/>
      <c r="T4071" s="161"/>
      <c r="U4071" s="161"/>
      <c r="V4071" s="161"/>
      <c r="W4071" s="161"/>
      <c r="X4071" s="161"/>
      <c r="Y4071" s="161"/>
      <c r="Z4071" s="168"/>
      <c r="AA4071" s="168"/>
      <c r="AB4071" s="168"/>
      <c r="AC4071" s="168"/>
    </row>
    <row r="4072">
      <c r="A4072" s="161"/>
      <c r="B4072" s="161"/>
      <c r="C4072" s="162"/>
      <c r="D4072" s="163"/>
      <c r="E4072" s="164" t="str">
        <f>IFERROR(__xludf.DUMMYFUNCTION("""COMPUTED_VALUE"""),"")</f>
        <v/>
      </c>
      <c r="F4072" s="163"/>
      <c r="G4072" s="163"/>
      <c r="H4072" s="163"/>
      <c r="I4072" s="163"/>
      <c r="J4072" s="165"/>
      <c r="K4072" s="165"/>
      <c r="L4072" s="165"/>
      <c r="M4072" s="166"/>
      <c r="N4072" s="167"/>
      <c r="O4072" s="163"/>
      <c r="P4072" s="163"/>
      <c r="Q4072" s="163"/>
      <c r="R4072" s="163"/>
      <c r="S4072" s="161"/>
      <c r="T4072" s="161"/>
      <c r="U4072" s="161"/>
      <c r="V4072" s="161"/>
      <c r="W4072" s="161"/>
      <c r="X4072" s="161"/>
      <c r="Y4072" s="161"/>
      <c r="Z4072" s="168"/>
      <c r="AA4072" s="168"/>
      <c r="AB4072" s="168"/>
      <c r="AC4072" s="168"/>
    </row>
    <row r="4073">
      <c r="A4073" s="161"/>
      <c r="B4073" s="161"/>
      <c r="C4073" s="162"/>
      <c r="D4073" s="163"/>
      <c r="E4073" s="164" t="str">
        <f>IFERROR(__xludf.DUMMYFUNCTION("""COMPUTED_VALUE"""),"")</f>
        <v/>
      </c>
      <c r="F4073" s="163"/>
      <c r="G4073" s="163"/>
      <c r="H4073" s="163"/>
      <c r="I4073" s="163"/>
      <c r="J4073" s="165"/>
      <c r="K4073" s="165"/>
      <c r="L4073" s="165"/>
      <c r="M4073" s="166"/>
      <c r="N4073" s="167"/>
      <c r="O4073" s="163"/>
      <c r="P4073" s="163"/>
      <c r="Q4073" s="163"/>
      <c r="R4073" s="163"/>
      <c r="S4073" s="161"/>
      <c r="T4073" s="161"/>
      <c r="U4073" s="161"/>
      <c r="V4073" s="161"/>
      <c r="W4073" s="161"/>
      <c r="X4073" s="161"/>
      <c r="Y4073" s="161"/>
      <c r="Z4073" s="168"/>
      <c r="AA4073" s="168"/>
      <c r="AB4073" s="168"/>
      <c r="AC4073" s="168"/>
    </row>
    <row r="4074">
      <c r="A4074" s="161"/>
      <c r="B4074" s="161"/>
      <c r="C4074" s="162"/>
      <c r="D4074" s="163"/>
      <c r="E4074" s="164" t="str">
        <f>IFERROR(__xludf.DUMMYFUNCTION("""COMPUTED_VALUE"""),"")</f>
        <v/>
      </c>
      <c r="F4074" s="163"/>
      <c r="G4074" s="163"/>
      <c r="H4074" s="163"/>
      <c r="I4074" s="163"/>
      <c r="J4074" s="165"/>
      <c r="K4074" s="165"/>
      <c r="L4074" s="165"/>
      <c r="M4074" s="166"/>
      <c r="N4074" s="167"/>
      <c r="O4074" s="163"/>
      <c r="P4074" s="163"/>
      <c r="Q4074" s="163"/>
      <c r="R4074" s="163"/>
      <c r="S4074" s="161"/>
      <c r="T4074" s="161"/>
      <c r="U4074" s="161"/>
      <c r="V4074" s="161"/>
      <c r="W4074" s="161"/>
      <c r="X4074" s="161"/>
      <c r="Y4074" s="161"/>
      <c r="Z4074" s="168"/>
      <c r="AA4074" s="168"/>
      <c r="AB4074" s="168"/>
      <c r="AC4074" s="168"/>
    </row>
    <row r="4075">
      <c r="A4075" s="161"/>
      <c r="B4075" s="161"/>
      <c r="C4075" s="162"/>
      <c r="D4075" s="163"/>
      <c r="E4075" s="164" t="str">
        <f>IFERROR(__xludf.DUMMYFUNCTION("""COMPUTED_VALUE"""),"")</f>
        <v/>
      </c>
      <c r="F4075" s="163"/>
      <c r="G4075" s="163"/>
      <c r="H4075" s="163"/>
      <c r="I4075" s="163"/>
      <c r="J4075" s="165"/>
      <c r="K4075" s="165"/>
      <c r="L4075" s="165"/>
      <c r="M4075" s="166"/>
      <c r="N4075" s="167"/>
      <c r="O4075" s="163"/>
      <c r="P4075" s="163"/>
      <c r="Q4075" s="163"/>
      <c r="R4075" s="163"/>
      <c r="S4075" s="161"/>
      <c r="T4075" s="161"/>
      <c r="U4075" s="161"/>
      <c r="V4075" s="161"/>
      <c r="W4075" s="161"/>
      <c r="X4075" s="161"/>
      <c r="Y4075" s="161"/>
      <c r="Z4075" s="168"/>
      <c r="AA4075" s="168"/>
      <c r="AB4075" s="168"/>
      <c r="AC4075" s="168"/>
    </row>
    <row r="4076">
      <c r="A4076" s="161"/>
      <c r="B4076" s="161"/>
      <c r="C4076" s="162"/>
      <c r="D4076" s="163"/>
      <c r="E4076" s="164" t="str">
        <f>IFERROR(__xludf.DUMMYFUNCTION("""COMPUTED_VALUE"""),"")</f>
        <v/>
      </c>
      <c r="F4076" s="163"/>
      <c r="G4076" s="163"/>
      <c r="H4076" s="163"/>
      <c r="I4076" s="163"/>
      <c r="J4076" s="165"/>
      <c r="K4076" s="165"/>
      <c r="L4076" s="165"/>
      <c r="M4076" s="166"/>
      <c r="N4076" s="167"/>
      <c r="O4076" s="163"/>
      <c r="P4076" s="163"/>
      <c r="Q4076" s="163"/>
      <c r="R4076" s="163"/>
      <c r="S4076" s="161"/>
      <c r="T4076" s="161"/>
      <c r="U4076" s="161"/>
      <c r="V4076" s="161"/>
      <c r="W4076" s="161"/>
      <c r="X4076" s="161"/>
      <c r="Y4076" s="161"/>
      <c r="Z4076" s="168"/>
      <c r="AA4076" s="168"/>
      <c r="AB4076" s="168"/>
      <c r="AC4076" s="168"/>
    </row>
    <row r="4077">
      <c r="A4077" s="161"/>
      <c r="B4077" s="161"/>
      <c r="C4077" s="162"/>
      <c r="D4077" s="163"/>
      <c r="E4077" s="164" t="str">
        <f>IFERROR(__xludf.DUMMYFUNCTION("""COMPUTED_VALUE"""),"")</f>
        <v/>
      </c>
      <c r="F4077" s="163"/>
      <c r="G4077" s="163"/>
      <c r="H4077" s="163"/>
      <c r="I4077" s="163"/>
      <c r="J4077" s="165"/>
      <c r="K4077" s="165"/>
      <c r="L4077" s="165"/>
      <c r="M4077" s="166"/>
      <c r="N4077" s="167"/>
      <c r="O4077" s="163"/>
      <c r="P4077" s="163"/>
      <c r="Q4077" s="163"/>
      <c r="R4077" s="163"/>
      <c r="S4077" s="161"/>
      <c r="T4077" s="161"/>
      <c r="U4077" s="161"/>
      <c r="V4077" s="161"/>
      <c r="W4077" s="161"/>
      <c r="X4077" s="161"/>
      <c r="Y4077" s="161"/>
      <c r="Z4077" s="168"/>
      <c r="AA4077" s="168"/>
      <c r="AB4077" s="168"/>
      <c r="AC4077" s="168"/>
    </row>
    <row r="4078">
      <c r="A4078" s="161"/>
      <c r="B4078" s="161"/>
      <c r="C4078" s="162"/>
      <c r="D4078" s="163"/>
      <c r="E4078" s="164" t="str">
        <f>IFERROR(__xludf.DUMMYFUNCTION("""COMPUTED_VALUE"""),"")</f>
        <v/>
      </c>
      <c r="F4078" s="163"/>
      <c r="G4078" s="163"/>
      <c r="H4078" s="163"/>
      <c r="I4078" s="163"/>
      <c r="J4078" s="165"/>
      <c r="K4078" s="165"/>
      <c r="L4078" s="165"/>
      <c r="M4078" s="166"/>
      <c r="N4078" s="167"/>
      <c r="O4078" s="163"/>
      <c r="P4078" s="163"/>
      <c r="Q4078" s="163"/>
      <c r="R4078" s="163"/>
      <c r="S4078" s="161"/>
      <c r="T4078" s="161"/>
      <c r="U4078" s="161"/>
      <c r="V4078" s="161"/>
      <c r="W4078" s="161"/>
      <c r="X4078" s="161"/>
      <c r="Y4078" s="161"/>
      <c r="Z4078" s="168"/>
      <c r="AA4078" s="168"/>
      <c r="AB4078" s="168"/>
      <c r="AC4078" s="168"/>
    </row>
    <row r="4079">
      <c r="A4079" s="161"/>
      <c r="B4079" s="161"/>
      <c r="C4079" s="162"/>
      <c r="D4079" s="163"/>
      <c r="E4079" s="164" t="str">
        <f>IFERROR(__xludf.DUMMYFUNCTION("""COMPUTED_VALUE"""),"")</f>
        <v/>
      </c>
      <c r="F4079" s="163"/>
      <c r="G4079" s="163"/>
      <c r="H4079" s="163"/>
      <c r="I4079" s="163"/>
      <c r="J4079" s="165"/>
      <c r="K4079" s="165"/>
      <c r="L4079" s="165"/>
      <c r="M4079" s="166"/>
      <c r="N4079" s="167"/>
      <c r="O4079" s="163"/>
      <c r="P4079" s="163"/>
      <c r="Q4079" s="163"/>
      <c r="R4079" s="163"/>
      <c r="S4079" s="161"/>
      <c r="T4079" s="161"/>
      <c r="U4079" s="161"/>
      <c r="V4079" s="161"/>
      <c r="W4079" s="161"/>
      <c r="X4079" s="161"/>
      <c r="Y4079" s="161"/>
      <c r="Z4079" s="168"/>
      <c r="AA4079" s="168"/>
      <c r="AB4079" s="168"/>
      <c r="AC4079" s="168"/>
    </row>
    <row r="4080">
      <c r="A4080" s="161"/>
      <c r="B4080" s="161"/>
      <c r="C4080" s="162"/>
      <c r="D4080" s="163"/>
      <c r="E4080" s="164" t="str">
        <f>IFERROR(__xludf.DUMMYFUNCTION("""COMPUTED_VALUE"""),"")</f>
        <v/>
      </c>
      <c r="F4080" s="163"/>
      <c r="G4080" s="163"/>
      <c r="H4080" s="163"/>
      <c r="I4080" s="163"/>
      <c r="J4080" s="165"/>
      <c r="K4080" s="165"/>
      <c r="L4080" s="165"/>
      <c r="M4080" s="166"/>
      <c r="N4080" s="167"/>
      <c r="O4080" s="163"/>
      <c r="P4080" s="163"/>
      <c r="Q4080" s="163"/>
      <c r="R4080" s="163"/>
      <c r="S4080" s="161"/>
      <c r="T4080" s="161"/>
      <c r="U4080" s="161"/>
      <c r="V4080" s="161"/>
      <c r="W4080" s="161"/>
      <c r="X4080" s="161"/>
      <c r="Y4080" s="161"/>
      <c r="Z4080" s="168"/>
      <c r="AA4080" s="168"/>
      <c r="AB4080" s="168"/>
      <c r="AC4080" s="168"/>
    </row>
    <row r="4081">
      <c r="A4081" s="161"/>
      <c r="B4081" s="161"/>
      <c r="C4081" s="162"/>
      <c r="D4081" s="163"/>
      <c r="E4081" s="164" t="str">
        <f>IFERROR(__xludf.DUMMYFUNCTION("""COMPUTED_VALUE"""),"")</f>
        <v/>
      </c>
      <c r="F4081" s="163"/>
      <c r="G4081" s="163"/>
      <c r="H4081" s="163"/>
      <c r="I4081" s="163"/>
      <c r="J4081" s="165"/>
      <c r="K4081" s="165"/>
      <c r="L4081" s="165"/>
      <c r="M4081" s="166"/>
      <c r="N4081" s="167"/>
      <c r="O4081" s="163"/>
      <c r="P4081" s="163"/>
      <c r="Q4081" s="163"/>
      <c r="R4081" s="163"/>
      <c r="S4081" s="161"/>
      <c r="T4081" s="161"/>
      <c r="U4081" s="161"/>
      <c r="V4081" s="161"/>
      <c r="W4081" s="161"/>
      <c r="X4081" s="161"/>
      <c r="Y4081" s="161"/>
      <c r="Z4081" s="168"/>
      <c r="AA4081" s="168"/>
      <c r="AB4081" s="168"/>
      <c r="AC4081" s="168"/>
    </row>
    <row r="4082">
      <c r="A4082" s="161"/>
      <c r="B4082" s="161"/>
      <c r="C4082" s="162"/>
      <c r="D4082" s="163"/>
      <c r="E4082" s="164" t="str">
        <f>IFERROR(__xludf.DUMMYFUNCTION("""COMPUTED_VALUE"""),"")</f>
        <v/>
      </c>
      <c r="F4082" s="163"/>
      <c r="G4082" s="163"/>
      <c r="H4082" s="163"/>
      <c r="I4082" s="163"/>
      <c r="J4082" s="165"/>
      <c r="K4082" s="165"/>
      <c r="L4082" s="165"/>
      <c r="M4082" s="166"/>
      <c r="N4082" s="167"/>
      <c r="O4082" s="163"/>
      <c r="P4082" s="163"/>
      <c r="Q4082" s="163"/>
      <c r="R4082" s="163"/>
      <c r="S4082" s="161"/>
      <c r="T4082" s="161"/>
      <c r="U4082" s="161"/>
      <c r="V4082" s="161"/>
      <c r="W4082" s="161"/>
      <c r="X4082" s="161"/>
      <c r="Y4082" s="161"/>
      <c r="Z4082" s="168"/>
      <c r="AA4082" s="168"/>
      <c r="AB4082" s="168"/>
      <c r="AC4082" s="168"/>
    </row>
    <row r="4083">
      <c r="A4083" s="161"/>
      <c r="B4083" s="161"/>
      <c r="C4083" s="162"/>
      <c r="D4083" s="163"/>
      <c r="E4083" s="164" t="str">
        <f>IFERROR(__xludf.DUMMYFUNCTION("""COMPUTED_VALUE"""),"")</f>
        <v/>
      </c>
      <c r="F4083" s="163"/>
      <c r="G4083" s="163"/>
      <c r="H4083" s="163"/>
      <c r="I4083" s="163"/>
      <c r="J4083" s="165"/>
      <c r="K4083" s="165"/>
      <c r="L4083" s="165"/>
      <c r="M4083" s="166"/>
      <c r="N4083" s="167"/>
      <c r="O4083" s="163"/>
      <c r="P4083" s="163"/>
      <c r="Q4083" s="163"/>
      <c r="R4083" s="163"/>
      <c r="S4083" s="161"/>
      <c r="T4083" s="161"/>
      <c r="U4083" s="161"/>
      <c r="V4083" s="161"/>
      <c r="W4083" s="161"/>
      <c r="X4083" s="161"/>
      <c r="Y4083" s="161"/>
      <c r="Z4083" s="168"/>
      <c r="AA4083" s="168"/>
      <c r="AB4083" s="168"/>
      <c r="AC4083" s="168"/>
    </row>
    <row r="4084">
      <c r="A4084" s="161"/>
      <c r="B4084" s="161"/>
      <c r="C4084" s="162"/>
      <c r="D4084" s="163"/>
      <c r="E4084" s="164" t="str">
        <f>IFERROR(__xludf.DUMMYFUNCTION("""COMPUTED_VALUE"""),"")</f>
        <v/>
      </c>
      <c r="F4084" s="163"/>
      <c r="G4084" s="163"/>
      <c r="H4084" s="163"/>
      <c r="I4084" s="163"/>
      <c r="J4084" s="165"/>
      <c r="K4084" s="165"/>
      <c r="L4084" s="165"/>
      <c r="M4084" s="166"/>
      <c r="N4084" s="167"/>
      <c r="O4084" s="163"/>
      <c r="P4084" s="163"/>
      <c r="Q4084" s="163"/>
      <c r="R4084" s="163"/>
      <c r="S4084" s="161"/>
      <c r="T4084" s="161"/>
      <c r="U4084" s="161"/>
      <c r="V4084" s="161"/>
      <c r="W4084" s="161"/>
      <c r="X4084" s="161"/>
      <c r="Y4084" s="161"/>
      <c r="Z4084" s="168"/>
      <c r="AA4084" s="168"/>
      <c r="AB4084" s="168"/>
      <c r="AC4084" s="168"/>
    </row>
    <row r="4085">
      <c r="A4085" s="161"/>
      <c r="B4085" s="161"/>
      <c r="C4085" s="162"/>
      <c r="D4085" s="163"/>
      <c r="E4085" s="164" t="str">
        <f>IFERROR(__xludf.DUMMYFUNCTION("""COMPUTED_VALUE"""),"")</f>
        <v/>
      </c>
      <c r="F4085" s="163"/>
      <c r="G4085" s="163"/>
      <c r="H4085" s="163"/>
      <c r="I4085" s="163"/>
      <c r="J4085" s="165"/>
      <c r="K4085" s="165"/>
      <c r="L4085" s="165"/>
      <c r="M4085" s="166"/>
      <c r="N4085" s="167"/>
      <c r="O4085" s="163"/>
      <c r="P4085" s="163"/>
      <c r="Q4085" s="163"/>
      <c r="R4085" s="163"/>
      <c r="S4085" s="161"/>
      <c r="T4085" s="161"/>
      <c r="U4085" s="161"/>
      <c r="V4085" s="161"/>
      <c r="W4085" s="161"/>
      <c r="X4085" s="161"/>
      <c r="Y4085" s="161"/>
      <c r="Z4085" s="168"/>
      <c r="AA4085" s="168"/>
      <c r="AB4085" s="168"/>
      <c r="AC4085" s="168"/>
    </row>
    <row r="4086">
      <c r="A4086" s="161"/>
      <c r="B4086" s="161"/>
      <c r="C4086" s="162"/>
      <c r="D4086" s="163"/>
      <c r="E4086" s="164" t="str">
        <f>IFERROR(__xludf.DUMMYFUNCTION("""COMPUTED_VALUE"""),"")</f>
        <v/>
      </c>
      <c r="F4086" s="163"/>
      <c r="G4086" s="163"/>
      <c r="H4086" s="163"/>
      <c r="I4086" s="163"/>
      <c r="J4086" s="165"/>
      <c r="K4086" s="165"/>
      <c r="L4086" s="165"/>
      <c r="M4086" s="166"/>
      <c r="N4086" s="167"/>
      <c r="O4086" s="163"/>
      <c r="P4086" s="163"/>
      <c r="Q4086" s="163"/>
      <c r="R4086" s="163"/>
      <c r="S4086" s="161"/>
      <c r="T4086" s="161"/>
      <c r="U4086" s="161"/>
      <c r="V4086" s="161"/>
      <c r="W4086" s="161"/>
      <c r="X4086" s="161"/>
      <c r="Y4086" s="161"/>
      <c r="Z4086" s="168"/>
      <c r="AA4086" s="168"/>
      <c r="AB4086" s="168"/>
      <c r="AC4086" s="168"/>
    </row>
    <row r="4087">
      <c r="A4087" s="161"/>
      <c r="B4087" s="161"/>
      <c r="C4087" s="162"/>
      <c r="D4087" s="163"/>
      <c r="E4087" s="164" t="str">
        <f>IFERROR(__xludf.DUMMYFUNCTION("""COMPUTED_VALUE"""),"")</f>
        <v/>
      </c>
      <c r="F4087" s="163"/>
      <c r="G4087" s="163"/>
      <c r="H4087" s="163"/>
      <c r="I4087" s="163"/>
      <c r="J4087" s="165"/>
      <c r="K4087" s="165"/>
      <c r="L4087" s="165"/>
      <c r="M4087" s="166"/>
      <c r="N4087" s="167"/>
      <c r="O4087" s="163"/>
      <c r="P4087" s="163"/>
      <c r="Q4087" s="163"/>
      <c r="R4087" s="163"/>
      <c r="S4087" s="161"/>
      <c r="T4087" s="161"/>
      <c r="U4087" s="161"/>
      <c r="V4087" s="161"/>
      <c r="W4087" s="161"/>
      <c r="X4087" s="161"/>
      <c r="Y4087" s="161"/>
      <c r="Z4087" s="168"/>
      <c r="AA4087" s="168"/>
      <c r="AB4087" s="168"/>
      <c r="AC4087" s="168"/>
    </row>
    <row r="4088">
      <c r="A4088" s="161"/>
      <c r="B4088" s="161"/>
      <c r="C4088" s="162"/>
      <c r="D4088" s="163"/>
      <c r="E4088" s="164" t="str">
        <f>IFERROR(__xludf.DUMMYFUNCTION("""COMPUTED_VALUE"""),"")</f>
        <v/>
      </c>
      <c r="F4088" s="163"/>
      <c r="G4088" s="163"/>
      <c r="H4088" s="163"/>
      <c r="I4088" s="163"/>
      <c r="J4088" s="165"/>
      <c r="K4088" s="165"/>
      <c r="L4088" s="165"/>
      <c r="M4088" s="166"/>
      <c r="N4088" s="167"/>
      <c r="O4088" s="163"/>
      <c r="P4088" s="163"/>
      <c r="Q4088" s="163"/>
      <c r="R4088" s="163"/>
      <c r="S4088" s="161"/>
      <c r="T4088" s="161"/>
      <c r="U4088" s="161"/>
      <c r="V4088" s="161"/>
      <c r="W4088" s="161"/>
      <c r="X4088" s="161"/>
      <c r="Y4088" s="161"/>
      <c r="Z4088" s="168"/>
      <c r="AA4088" s="168"/>
      <c r="AB4088" s="168"/>
      <c r="AC4088" s="168"/>
    </row>
    <row r="4089">
      <c r="A4089" s="161"/>
      <c r="B4089" s="161"/>
      <c r="C4089" s="162"/>
      <c r="D4089" s="163"/>
      <c r="E4089" s="164" t="str">
        <f>IFERROR(__xludf.DUMMYFUNCTION("""COMPUTED_VALUE"""),"")</f>
        <v/>
      </c>
      <c r="F4089" s="163"/>
      <c r="G4089" s="163"/>
      <c r="H4089" s="163"/>
      <c r="I4089" s="163"/>
      <c r="J4089" s="165"/>
      <c r="K4089" s="165"/>
      <c r="L4089" s="165"/>
      <c r="M4089" s="166"/>
      <c r="N4089" s="167"/>
      <c r="O4089" s="163"/>
      <c r="P4089" s="163"/>
      <c r="Q4089" s="163"/>
      <c r="R4089" s="163"/>
      <c r="S4089" s="161"/>
      <c r="T4089" s="161"/>
      <c r="U4089" s="161"/>
      <c r="V4089" s="161"/>
      <c r="W4089" s="161"/>
      <c r="X4089" s="161"/>
      <c r="Y4089" s="161"/>
      <c r="Z4089" s="168"/>
      <c r="AA4089" s="168"/>
      <c r="AB4089" s="168"/>
      <c r="AC4089" s="168"/>
    </row>
    <row r="4090">
      <c r="A4090" s="161"/>
      <c r="B4090" s="161"/>
      <c r="C4090" s="162"/>
      <c r="D4090" s="163"/>
      <c r="E4090" s="164" t="str">
        <f>IFERROR(__xludf.DUMMYFUNCTION("""COMPUTED_VALUE"""),"")</f>
        <v/>
      </c>
      <c r="F4090" s="163"/>
      <c r="G4090" s="163"/>
      <c r="H4090" s="163"/>
      <c r="I4090" s="163"/>
      <c r="J4090" s="165"/>
      <c r="K4090" s="165"/>
      <c r="L4090" s="165"/>
      <c r="M4090" s="166"/>
      <c r="N4090" s="167"/>
      <c r="O4090" s="163"/>
      <c r="P4090" s="163"/>
      <c r="Q4090" s="163"/>
      <c r="R4090" s="163"/>
      <c r="S4090" s="161"/>
      <c r="T4090" s="161"/>
      <c r="U4090" s="161"/>
      <c r="V4090" s="161"/>
      <c r="W4090" s="161"/>
      <c r="X4090" s="161"/>
      <c r="Y4090" s="161"/>
      <c r="Z4090" s="168"/>
      <c r="AA4090" s="168"/>
      <c r="AB4090" s="168"/>
      <c r="AC4090" s="168"/>
    </row>
    <row r="4091">
      <c r="A4091" s="161"/>
      <c r="B4091" s="161"/>
      <c r="C4091" s="162"/>
      <c r="D4091" s="163"/>
      <c r="E4091" s="164" t="str">
        <f>IFERROR(__xludf.DUMMYFUNCTION("""COMPUTED_VALUE"""),"")</f>
        <v/>
      </c>
      <c r="F4091" s="163"/>
      <c r="G4091" s="163"/>
      <c r="H4091" s="163"/>
      <c r="I4091" s="163"/>
      <c r="J4091" s="165"/>
      <c r="K4091" s="165"/>
      <c r="L4091" s="165"/>
      <c r="M4091" s="166"/>
      <c r="N4091" s="167"/>
      <c r="O4091" s="163"/>
      <c r="P4091" s="163"/>
      <c r="Q4091" s="163"/>
      <c r="R4091" s="163"/>
      <c r="S4091" s="161"/>
      <c r="T4091" s="161"/>
      <c r="U4091" s="161"/>
      <c r="V4091" s="161"/>
      <c r="W4091" s="161"/>
      <c r="X4091" s="161"/>
      <c r="Y4091" s="161"/>
      <c r="Z4091" s="168"/>
      <c r="AA4091" s="168"/>
      <c r="AB4091" s="168"/>
      <c r="AC4091" s="168"/>
    </row>
    <row r="4092">
      <c r="A4092" s="161"/>
      <c r="B4092" s="161"/>
      <c r="C4092" s="162"/>
      <c r="D4092" s="163"/>
      <c r="E4092" s="164" t="str">
        <f>IFERROR(__xludf.DUMMYFUNCTION("""COMPUTED_VALUE"""),"")</f>
        <v/>
      </c>
      <c r="F4092" s="163"/>
      <c r="G4092" s="163"/>
      <c r="H4092" s="163"/>
      <c r="I4092" s="163"/>
      <c r="J4092" s="165"/>
      <c r="K4092" s="165"/>
      <c r="L4092" s="165"/>
      <c r="M4092" s="166"/>
      <c r="N4092" s="167"/>
      <c r="O4092" s="163"/>
      <c r="P4092" s="163"/>
      <c r="Q4092" s="163"/>
      <c r="R4092" s="163"/>
      <c r="S4092" s="161"/>
      <c r="T4092" s="161"/>
      <c r="U4092" s="161"/>
      <c r="V4092" s="161"/>
      <c r="W4092" s="161"/>
      <c r="X4092" s="161"/>
      <c r="Y4092" s="161"/>
      <c r="Z4092" s="168"/>
      <c r="AA4092" s="168"/>
      <c r="AB4092" s="168"/>
      <c r="AC4092" s="168"/>
    </row>
    <row r="4093">
      <c r="A4093" s="161"/>
      <c r="B4093" s="161"/>
      <c r="C4093" s="162"/>
      <c r="D4093" s="163"/>
      <c r="E4093" s="164" t="str">
        <f>IFERROR(__xludf.DUMMYFUNCTION("""COMPUTED_VALUE"""),"")</f>
        <v/>
      </c>
      <c r="F4093" s="163"/>
      <c r="G4093" s="163"/>
      <c r="H4093" s="163"/>
      <c r="I4093" s="163"/>
      <c r="J4093" s="165"/>
      <c r="K4093" s="165"/>
      <c r="L4093" s="165"/>
      <c r="M4093" s="166"/>
      <c r="N4093" s="167"/>
      <c r="O4093" s="163"/>
      <c r="P4093" s="163"/>
      <c r="Q4093" s="163"/>
      <c r="R4093" s="163"/>
      <c r="S4093" s="161"/>
      <c r="T4093" s="161"/>
      <c r="U4093" s="161"/>
      <c r="V4093" s="161"/>
      <c r="W4093" s="161"/>
      <c r="X4093" s="161"/>
      <c r="Y4093" s="161"/>
      <c r="Z4093" s="168"/>
      <c r="AA4093" s="168"/>
      <c r="AB4093" s="168"/>
      <c r="AC4093" s="168"/>
    </row>
    <row r="4094">
      <c r="A4094" s="161"/>
      <c r="B4094" s="161"/>
      <c r="C4094" s="162"/>
      <c r="D4094" s="163"/>
      <c r="E4094" s="164" t="str">
        <f>IFERROR(__xludf.DUMMYFUNCTION("""COMPUTED_VALUE"""),"")</f>
        <v/>
      </c>
      <c r="F4094" s="163"/>
      <c r="G4094" s="163"/>
      <c r="H4094" s="163"/>
      <c r="I4094" s="163"/>
      <c r="J4094" s="165"/>
      <c r="K4094" s="165"/>
      <c r="L4094" s="165"/>
      <c r="M4094" s="166"/>
      <c r="N4094" s="167"/>
      <c r="O4094" s="163"/>
      <c r="P4094" s="163"/>
      <c r="Q4094" s="163"/>
      <c r="R4094" s="163"/>
      <c r="S4094" s="161"/>
      <c r="T4094" s="161"/>
      <c r="U4094" s="161"/>
      <c r="V4094" s="161"/>
      <c r="W4094" s="161"/>
      <c r="X4094" s="161"/>
      <c r="Y4094" s="161"/>
      <c r="Z4094" s="168"/>
      <c r="AA4094" s="168"/>
      <c r="AB4094" s="168"/>
      <c r="AC4094" s="168"/>
    </row>
    <row r="4095">
      <c r="A4095" s="161"/>
      <c r="B4095" s="161"/>
      <c r="C4095" s="162"/>
      <c r="D4095" s="163"/>
      <c r="E4095" s="164" t="str">
        <f>IFERROR(__xludf.DUMMYFUNCTION("""COMPUTED_VALUE"""),"")</f>
        <v/>
      </c>
      <c r="F4095" s="163"/>
      <c r="G4095" s="163"/>
      <c r="H4095" s="163"/>
      <c r="I4095" s="163"/>
      <c r="J4095" s="165"/>
      <c r="K4095" s="165"/>
      <c r="L4095" s="165"/>
      <c r="M4095" s="166"/>
      <c r="N4095" s="167"/>
      <c r="O4095" s="163"/>
      <c r="P4095" s="163"/>
      <c r="Q4095" s="163"/>
      <c r="R4095" s="163"/>
      <c r="S4095" s="161"/>
      <c r="T4095" s="161"/>
      <c r="U4095" s="161"/>
      <c r="V4095" s="161"/>
      <c r="W4095" s="161"/>
      <c r="X4095" s="161"/>
      <c r="Y4095" s="161"/>
      <c r="Z4095" s="168"/>
      <c r="AA4095" s="168"/>
      <c r="AB4095" s="168"/>
      <c r="AC4095" s="168"/>
    </row>
    <row r="4096">
      <c r="A4096" s="161"/>
      <c r="B4096" s="161"/>
      <c r="C4096" s="162"/>
      <c r="D4096" s="163"/>
      <c r="E4096" s="164" t="str">
        <f>IFERROR(__xludf.DUMMYFUNCTION("""COMPUTED_VALUE"""),"")</f>
        <v/>
      </c>
      <c r="F4096" s="163"/>
      <c r="G4096" s="163"/>
      <c r="H4096" s="163"/>
      <c r="I4096" s="163"/>
      <c r="J4096" s="165"/>
      <c r="K4096" s="165"/>
      <c r="L4096" s="165"/>
      <c r="M4096" s="166"/>
      <c r="N4096" s="167"/>
      <c r="O4096" s="163"/>
      <c r="P4096" s="163"/>
      <c r="Q4096" s="163"/>
      <c r="R4096" s="163"/>
      <c r="S4096" s="161"/>
      <c r="T4096" s="161"/>
      <c r="U4096" s="161"/>
      <c r="V4096" s="161"/>
      <c r="W4096" s="161"/>
      <c r="X4096" s="161"/>
      <c r="Y4096" s="161"/>
      <c r="Z4096" s="168"/>
      <c r="AA4096" s="168"/>
      <c r="AB4096" s="168"/>
      <c r="AC4096" s="168"/>
    </row>
    <row r="4097">
      <c r="A4097" s="161"/>
      <c r="B4097" s="161"/>
      <c r="C4097" s="162"/>
      <c r="D4097" s="163"/>
      <c r="E4097" s="164" t="str">
        <f>IFERROR(__xludf.DUMMYFUNCTION("""COMPUTED_VALUE"""),"")</f>
        <v/>
      </c>
      <c r="F4097" s="163"/>
      <c r="G4097" s="163"/>
      <c r="H4097" s="163"/>
      <c r="I4097" s="163"/>
      <c r="J4097" s="165"/>
      <c r="K4097" s="165"/>
      <c r="L4097" s="165"/>
      <c r="M4097" s="166"/>
      <c r="N4097" s="167"/>
      <c r="O4097" s="163"/>
      <c r="P4097" s="163"/>
      <c r="Q4097" s="163"/>
      <c r="R4097" s="163"/>
      <c r="S4097" s="161"/>
      <c r="T4097" s="161"/>
      <c r="U4097" s="161"/>
      <c r="V4097" s="161"/>
      <c r="W4097" s="161"/>
      <c r="X4097" s="161"/>
      <c r="Y4097" s="161"/>
      <c r="Z4097" s="168"/>
      <c r="AA4097" s="168"/>
      <c r="AB4097" s="168"/>
      <c r="AC4097" s="168"/>
    </row>
    <row r="4098">
      <c r="A4098" s="161"/>
      <c r="B4098" s="161"/>
      <c r="C4098" s="162"/>
      <c r="D4098" s="163"/>
      <c r="E4098" s="164" t="str">
        <f>IFERROR(__xludf.DUMMYFUNCTION("""COMPUTED_VALUE"""),"")</f>
        <v/>
      </c>
      <c r="F4098" s="163"/>
      <c r="G4098" s="163"/>
      <c r="H4098" s="163"/>
      <c r="I4098" s="163"/>
      <c r="J4098" s="165"/>
      <c r="K4098" s="165"/>
      <c r="L4098" s="165"/>
      <c r="M4098" s="166"/>
      <c r="N4098" s="167"/>
      <c r="O4098" s="163"/>
      <c r="P4098" s="163"/>
      <c r="Q4098" s="163"/>
      <c r="R4098" s="163"/>
      <c r="S4098" s="161"/>
      <c r="T4098" s="161"/>
      <c r="U4098" s="161"/>
      <c r="V4098" s="161"/>
      <c r="W4098" s="161"/>
      <c r="X4098" s="161"/>
      <c r="Y4098" s="161"/>
      <c r="Z4098" s="168"/>
      <c r="AA4098" s="168"/>
      <c r="AB4098" s="168"/>
      <c r="AC4098" s="168"/>
    </row>
    <row r="4099">
      <c r="A4099" s="161"/>
      <c r="B4099" s="161"/>
      <c r="C4099" s="162"/>
      <c r="D4099" s="163"/>
      <c r="E4099" s="164" t="str">
        <f>IFERROR(__xludf.DUMMYFUNCTION("""COMPUTED_VALUE"""),"")</f>
        <v/>
      </c>
      <c r="F4099" s="163"/>
      <c r="G4099" s="163"/>
      <c r="H4099" s="163"/>
      <c r="I4099" s="163"/>
      <c r="J4099" s="165"/>
      <c r="K4099" s="165"/>
      <c r="L4099" s="165"/>
      <c r="M4099" s="166"/>
      <c r="N4099" s="167"/>
      <c r="O4099" s="163"/>
      <c r="P4099" s="163"/>
      <c r="Q4099" s="163"/>
      <c r="R4099" s="163"/>
      <c r="S4099" s="161"/>
      <c r="T4099" s="161"/>
      <c r="U4099" s="161"/>
      <c r="V4099" s="161"/>
      <c r="W4099" s="161"/>
      <c r="X4099" s="161"/>
      <c r="Y4099" s="161"/>
      <c r="Z4099" s="168"/>
      <c r="AA4099" s="168"/>
      <c r="AB4099" s="168"/>
      <c r="AC4099" s="168"/>
    </row>
    <row r="4100">
      <c r="A4100" s="161"/>
      <c r="B4100" s="161"/>
      <c r="C4100" s="162"/>
      <c r="D4100" s="163"/>
      <c r="E4100" s="164" t="str">
        <f>IFERROR(__xludf.DUMMYFUNCTION("""COMPUTED_VALUE"""),"")</f>
        <v/>
      </c>
      <c r="F4100" s="163"/>
      <c r="G4100" s="163"/>
      <c r="H4100" s="163"/>
      <c r="I4100" s="163"/>
      <c r="J4100" s="165"/>
      <c r="K4100" s="165"/>
      <c r="L4100" s="165"/>
      <c r="M4100" s="166"/>
      <c r="N4100" s="167"/>
      <c r="O4100" s="163"/>
      <c r="P4100" s="163"/>
      <c r="Q4100" s="163"/>
      <c r="R4100" s="163"/>
      <c r="S4100" s="161"/>
      <c r="T4100" s="161"/>
      <c r="U4100" s="161"/>
      <c r="V4100" s="161"/>
      <c r="W4100" s="161"/>
      <c r="X4100" s="161"/>
      <c r="Y4100" s="161"/>
      <c r="Z4100" s="168"/>
      <c r="AA4100" s="168"/>
      <c r="AB4100" s="168"/>
      <c r="AC4100" s="168"/>
    </row>
    <row r="4101">
      <c r="A4101" s="161"/>
      <c r="B4101" s="161"/>
      <c r="C4101" s="162"/>
      <c r="D4101" s="163"/>
      <c r="E4101" s="164" t="str">
        <f>IFERROR(__xludf.DUMMYFUNCTION("""COMPUTED_VALUE"""),"")</f>
        <v/>
      </c>
      <c r="F4101" s="163"/>
      <c r="G4101" s="163"/>
      <c r="H4101" s="163"/>
      <c r="I4101" s="163"/>
      <c r="J4101" s="165"/>
      <c r="K4101" s="165"/>
      <c r="L4101" s="165"/>
      <c r="M4101" s="166"/>
      <c r="N4101" s="167"/>
      <c r="O4101" s="163"/>
      <c r="P4101" s="163"/>
      <c r="Q4101" s="163"/>
      <c r="R4101" s="163"/>
      <c r="S4101" s="161"/>
      <c r="T4101" s="161"/>
      <c r="U4101" s="161"/>
      <c r="V4101" s="161"/>
      <c r="W4101" s="161"/>
      <c r="X4101" s="161"/>
      <c r="Y4101" s="161"/>
      <c r="Z4101" s="168"/>
      <c r="AA4101" s="168"/>
      <c r="AB4101" s="168"/>
      <c r="AC4101" s="168"/>
    </row>
    <row r="4102">
      <c r="A4102" s="161"/>
      <c r="B4102" s="161"/>
      <c r="C4102" s="162"/>
      <c r="D4102" s="163"/>
      <c r="E4102" s="164" t="str">
        <f>IFERROR(__xludf.DUMMYFUNCTION("""COMPUTED_VALUE"""),"")</f>
        <v/>
      </c>
      <c r="F4102" s="163"/>
      <c r="G4102" s="163"/>
      <c r="H4102" s="163"/>
      <c r="I4102" s="163"/>
      <c r="J4102" s="165"/>
      <c r="K4102" s="165"/>
      <c r="L4102" s="165"/>
      <c r="M4102" s="166"/>
      <c r="N4102" s="167"/>
      <c r="O4102" s="163"/>
      <c r="P4102" s="163"/>
      <c r="Q4102" s="163"/>
      <c r="R4102" s="163"/>
      <c r="S4102" s="161"/>
      <c r="T4102" s="161"/>
      <c r="U4102" s="161"/>
      <c r="V4102" s="161"/>
      <c r="W4102" s="161"/>
      <c r="X4102" s="161"/>
      <c r="Y4102" s="161"/>
      <c r="Z4102" s="168"/>
      <c r="AA4102" s="168"/>
      <c r="AB4102" s="168"/>
      <c r="AC4102" s="168"/>
    </row>
    <row r="4103">
      <c r="A4103" s="161"/>
      <c r="B4103" s="161"/>
      <c r="C4103" s="162"/>
      <c r="D4103" s="163"/>
      <c r="E4103" s="164" t="str">
        <f>IFERROR(__xludf.DUMMYFUNCTION("""COMPUTED_VALUE"""),"")</f>
        <v/>
      </c>
      <c r="F4103" s="163"/>
      <c r="G4103" s="163"/>
      <c r="H4103" s="163"/>
      <c r="I4103" s="163"/>
      <c r="J4103" s="165"/>
      <c r="K4103" s="165"/>
      <c r="L4103" s="165"/>
      <c r="M4103" s="166"/>
      <c r="N4103" s="167"/>
      <c r="O4103" s="163"/>
      <c r="P4103" s="163"/>
      <c r="Q4103" s="163"/>
      <c r="R4103" s="163"/>
      <c r="S4103" s="161"/>
      <c r="T4103" s="161"/>
      <c r="U4103" s="161"/>
      <c r="V4103" s="161"/>
      <c r="W4103" s="161"/>
      <c r="X4103" s="161"/>
      <c r="Y4103" s="161"/>
      <c r="Z4103" s="168"/>
      <c r="AA4103" s="168"/>
      <c r="AB4103" s="168"/>
      <c r="AC4103" s="168"/>
    </row>
    <row r="4104">
      <c r="A4104" s="161"/>
      <c r="B4104" s="161"/>
      <c r="C4104" s="162"/>
      <c r="D4104" s="163"/>
      <c r="E4104" s="164" t="str">
        <f>IFERROR(__xludf.DUMMYFUNCTION("""COMPUTED_VALUE"""),"")</f>
        <v/>
      </c>
      <c r="F4104" s="163"/>
      <c r="G4104" s="163"/>
      <c r="H4104" s="163"/>
      <c r="I4104" s="163"/>
      <c r="J4104" s="165"/>
      <c r="K4104" s="165"/>
      <c r="L4104" s="165"/>
      <c r="M4104" s="166"/>
      <c r="N4104" s="167"/>
      <c r="O4104" s="163"/>
      <c r="P4104" s="163"/>
      <c r="Q4104" s="163"/>
      <c r="R4104" s="163"/>
      <c r="S4104" s="161"/>
      <c r="T4104" s="161"/>
      <c r="U4104" s="161"/>
      <c r="V4104" s="161"/>
      <c r="W4104" s="161"/>
      <c r="X4104" s="161"/>
      <c r="Y4104" s="161"/>
      <c r="Z4104" s="168"/>
      <c r="AA4104" s="168"/>
      <c r="AB4104" s="168"/>
      <c r="AC4104" s="168"/>
    </row>
    <row r="4105">
      <c r="A4105" s="161"/>
      <c r="B4105" s="161"/>
      <c r="C4105" s="162"/>
      <c r="D4105" s="163"/>
      <c r="E4105" s="164" t="str">
        <f>IFERROR(__xludf.DUMMYFUNCTION("""COMPUTED_VALUE"""),"")</f>
        <v/>
      </c>
      <c r="F4105" s="163"/>
      <c r="G4105" s="163"/>
      <c r="H4105" s="163"/>
      <c r="I4105" s="163"/>
      <c r="J4105" s="165"/>
      <c r="K4105" s="165"/>
      <c r="L4105" s="165"/>
      <c r="M4105" s="166"/>
      <c r="N4105" s="167"/>
      <c r="O4105" s="163"/>
      <c r="P4105" s="163"/>
      <c r="Q4105" s="163"/>
      <c r="R4105" s="163"/>
      <c r="S4105" s="161"/>
      <c r="T4105" s="161"/>
      <c r="U4105" s="161"/>
      <c r="V4105" s="161"/>
      <c r="W4105" s="161"/>
      <c r="X4105" s="161"/>
      <c r="Y4105" s="161"/>
      <c r="Z4105" s="168"/>
      <c r="AA4105" s="168"/>
      <c r="AB4105" s="168"/>
      <c r="AC4105" s="168"/>
    </row>
    <row r="4106">
      <c r="A4106" s="161"/>
      <c r="B4106" s="161"/>
      <c r="C4106" s="162"/>
      <c r="D4106" s="163"/>
      <c r="E4106" s="164" t="str">
        <f>IFERROR(__xludf.DUMMYFUNCTION("""COMPUTED_VALUE"""),"")</f>
        <v/>
      </c>
      <c r="F4106" s="163"/>
      <c r="G4106" s="163"/>
      <c r="H4106" s="163"/>
      <c r="I4106" s="163"/>
      <c r="J4106" s="165"/>
      <c r="K4106" s="165"/>
      <c r="L4106" s="165"/>
      <c r="M4106" s="166"/>
      <c r="N4106" s="167"/>
      <c r="O4106" s="163"/>
      <c r="P4106" s="163"/>
      <c r="Q4106" s="163"/>
      <c r="R4106" s="163"/>
      <c r="S4106" s="161"/>
      <c r="T4106" s="161"/>
      <c r="U4106" s="161"/>
      <c r="V4106" s="161"/>
      <c r="W4106" s="161"/>
      <c r="X4106" s="161"/>
      <c r="Y4106" s="161"/>
      <c r="Z4106" s="168"/>
      <c r="AA4106" s="168"/>
      <c r="AB4106" s="168"/>
      <c r="AC4106" s="168"/>
    </row>
    <row r="4107">
      <c r="A4107" s="161"/>
      <c r="B4107" s="161"/>
      <c r="C4107" s="162"/>
      <c r="D4107" s="163"/>
      <c r="E4107" s="164" t="str">
        <f>IFERROR(__xludf.DUMMYFUNCTION("""COMPUTED_VALUE"""),"")</f>
        <v/>
      </c>
      <c r="F4107" s="163"/>
      <c r="G4107" s="163"/>
      <c r="H4107" s="163"/>
      <c r="I4107" s="163"/>
      <c r="J4107" s="165"/>
      <c r="K4107" s="165"/>
      <c r="L4107" s="165"/>
      <c r="M4107" s="166"/>
      <c r="N4107" s="167"/>
      <c r="O4107" s="163"/>
      <c r="P4107" s="163"/>
      <c r="Q4107" s="163"/>
      <c r="R4107" s="163"/>
      <c r="S4107" s="161"/>
      <c r="T4107" s="161"/>
      <c r="U4107" s="161"/>
      <c r="V4107" s="161"/>
      <c r="W4107" s="161"/>
      <c r="X4107" s="161"/>
      <c r="Y4107" s="161"/>
      <c r="Z4107" s="168"/>
      <c r="AA4107" s="168"/>
      <c r="AB4107" s="168"/>
      <c r="AC4107" s="168"/>
    </row>
    <row r="4108">
      <c r="A4108" s="161"/>
      <c r="B4108" s="161"/>
      <c r="C4108" s="162"/>
      <c r="D4108" s="163"/>
      <c r="E4108" s="164" t="str">
        <f>IFERROR(__xludf.DUMMYFUNCTION("""COMPUTED_VALUE"""),"")</f>
        <v/>
      </c>
      <c r="F4108" s="163"/>
      <c r="G4108" s="163"/>
      <c r="H4108" s="163"/>
      <c r="I4108" s="163"/>
      <c r="J4108" s="165"/>
      <c r="K4108" s="165"/>
      <c r="L4108" s="165"/>
      <c r="M4108" s="166"/>
      <c r="N4108" s="167"/>
      <c r="O4108" s="163"/>
      <c r="P4108" s="163"/>
      <c r="Q4108" s="163"/>
      <c r="R4108" s="163"/>
      <c r="S4108" s="161"/>
      <c r="T4108" s="161"/>
      <c r="U4108" s="161"/>
      <c r="V4108" s="161"/>
      <c r="W4108" s="161"/>
      <c r="X4108" s="161"/>
      <c r="Y4108" s="161"/>
      <c r="Z4108" s="168"/>
      <c r="AA4108" s="168"/>
      <c r="AB4108" s="168"/>
      <c r="AC4108" s="168"/>
    </row>
    <row r="4109">
      <c r="A4109" s="161"/>
      <c r="B4109" s="161"/>
      <c r="C4109" s="162"/>
      <c r="D4109" s="163"/>
      <c r="E4109" s="164" t="str">
        <f>IFERROR(__xludf.DUMMYFUNCTION("""COMPUTED_VALUE"""),"")</f>
        <v/>
      </c>
      <c r="F4109" s="163"/>
      <c r="G4109" s="163"/>
      <c r="H4109" s="163"/>
      <c r="I4109" s="163"/>
      <c r="J4109" s="165"/>
      <c r="K4109" s="165"/>
      <c r="L4109" s="165"/>
      <c r="M4109" s="166"/>
      <c r="N4109" s="167"/>
      <c r="O4109" s="163"/>
      <c r="P4109" s="163"/>
      <c r="Q4109" s="163"/>
      <c r="R4109" s="163"/>
      <c r="S4109" s="161"/>
      <c r="T4109" s="161"/>
      <c r="U4109" s="161"/>
      <c r="V4109" s="161"/>
      <c r="W4109" s="161"/>
      <c r="X4109" s="161"/>
      <c r="Y4109" s="161"/>
      <c r="Z4109" s="168"/>
      <c r="AA4109" s="168"/>
      <c r="AB4109" s="168"/>
      <c r="AC4109" s="168"/>
    </row>
    <row r="4110">
      <c r="A4110" s="161"/>
      <c r="B4110" s="161"/>
      <c r="C4110" s="162"/>
      <c r="D4110" s="163"/>
      <c r="E4110" s="164" t="str">
        <f>IFERROR(__xludf.DUMMYFUNCTION("""COMPUTED_VALUE"""),"")</f>
        <v/>
      </c>
      <c r="F4110" s="163"/>
      <c r="G4110" s="163"/>
      <c r="H4110" s="163"/>
      <c r="I4110" s="163"/>
      <c r="J4110" s="165"/>
      <c r="K4110" s="165"/>
      <c r="L4110" s="165"/>
      <c r="M4110" s="166"/>
      <c r="N4110" s="167"/>
      <c r="O4110" s="163"/>
      <c r="P4110" s="163"/>
      <c r="Q4110" s="163"/>
      <c r="R4110" s="163"/>
      <c r="S4110" s="161"/>
      <c r="T4110" s="161"/>
      <c r="U4110" s="161"/>
      <c r="V4110" s="161"/>
      <c r="W4110" s="161"/>
      <c r="X4110" s="161"/>
      <c r="Y4110" s="161"/>
      <c r="Z4110" s="168"/>
      <c r="AA4110" s="168"/>
      <c r="AB4110" s="168"/>
      <c r="AC4110" s="168"/>
    </row>
    <row r="4111">
      <c r="A4111" s="161"/>
      <c r="B4111" s="161"/>
      <c r="C4111" s="162"/>
      <c r="D4111" s="163"/>
      <c r="E4111" s="164" t="str">
        <f>IFERROR(__xludf.DUMMYFUNCTION("""COMPUTED_VALUE"""),"")</f>
        <v/>
      </c>
      <c r="F4111" s="163"/>
      <c r="G4111" s="163"/>
      <c r="H4111" s="163"/>
      <c r="I4111" s="163"/>
      <c r="J4111" s="165"/>
      <c r="K4111" s="165"/>
      <c r="L4111" s="165"/>
      <c r="M4111" s="166"/>
      <c r="N4111" s="167"/>
      <c r="O4111" s="163"/>
      <c r="P4111" s="163"/>
      <c r="Q4111" s="163"/>
      <c r="R4111" s="163"/>
      <c r="S4111" s="161"/>
      <c r="T4111" s="161"/>
      <c r="U4111" s="161"/>
      <c r="V4111" s="161"/>
      <c r="W4111" s="161"/>
      <c r="X4111" s="161"/>
      <c r="Y4111" s="161"/>
      <c r="Z4111" s="168"/>
      <c r="AA4111" s="168"/>
      <c r="AB4111" s="168"/>
      <c r="AC4111" s="168"/>
    </row>
    <row r="4112">
      <c r="A4112" s="161"/>
      <c r="B4112" s="161"/>
      <c r="C4112" s="162"/>
      <c r="D4112" s="163"/>
      <c r="E4112" s="164" t="str">
        <f>IFERROR(__xludf.DUMMYFUNCTION("""COMPUTED_VALUE"""),"")</f>
        <v/>
      </c>
      <c r="F4112" s="163"/>
      <c r="G4112" s="163"/>
      <c r="H4112" s="163"/>
      <c r="I4112" s="163"/>
      <c r="J4112" s="165"/>
      <c r="K4112" s="165"/>
      <c r="L4112" s="165"/>
      <c r="M4112" s="166"/>
      <c r="N4112" s="167"/>
      <c r="O4112" s="163"/>
      <c r="P4112" s="163"/>
      <c r="Q4112" s="163"/>
      <c r="R4112" s="163"/>
      <c r="S4112" s="161"/>
      <c r="T4112" s="161"/>
      <c r="U4112" s="161"/>
      <c r="V4112" s="161"/>
      <c r="W4112" s="161"/>
      <c r="X4112" s="161"/>
      <c r="Y4112" s="161"/>
      <c r="Z4112" s="168"/>
      <c r="AA4112" s="168"/>
      <c r="AB4112" s="168"/>
      <c r="AC4112" s="168"/>
    </row>
    <row r="4113">
      <c r="A4113" s="161"/>
      <c r="B4113" s="161"/>
      <c r="C4113" s="162"/>
      <c r="D4113" s="163"/>
      <c r="E4113" s="164" t="str">
        <f>IFERROR(__xludf.DUMMYFUNCTION("""COMPUTED_VALUE"""),"")</f>
        <v/>
      </c>
      <c r="F4113" s="163"/>
      <c r="G4113" s="163"/>
      <c r="H4113" s="163"/>
      <c r="I4113" s="163"/>
      <c r="J4113" s="165"/>
      <c r="K4113" s="165"/>
      <c r="L4113" s="165"/>
      <c r="M4113" s="166"/>
      <c r="N4113" s="167"/>
      <c r="O4113" s="163"/>
      <c r="P4113" s="163"/>
      <c r="Q4113" s="163"/>
      <c r="R4113" s="163"/>
      <c r="S4113" s="161"/>
      <c r="T4113" s="161"/>
      <c r="U4113" s="161"/>
      <c r="V4113" s="161"/>
      <c r="W4113" s="161"/>
      <c r="X4113" s="161"/>
      <c r="Y4113" s="161"/>
      <c r="Z4113" s="168"/>
      <c r="AA4113" s="168"/>
      <c r="AB4113" s="168"/>
      <c r="AC4113" s="168"/>
    </row>
    <row r="4114">
      <c r="A4114" s="161"/>
      <c r="B4114" s="161"/>
      <c r="C4114" s="162"/>
      <c r="D4114" s="163"/>
      <c r="E4114" s="164" t="str">
        <f>IFERROR(__xludf.DUMMYFUNCTION("""COMPUTED_VALUE"""),"")</f>
        <v/>
      </c>
      <c r="F4114" s="163"/>
      <c r="G4114" s="163"/>
      <c r="H4114" s="163"/>
      <c r="I4114" s="163"/>
      <c r="J4114" s="165"/>
      <c r="K4114" s="165"/>
      <c r="L4114" s="165"/>
      <c r="M4114" s="166"/>
      <c r="N4114" s="167"/>
      <c r="O4114" s="163"/>
      <c r="P4114" s="163"/>
      <c r="Q4114" s="163"/>
      <c r="R4114" s="163"/>
      <c r="S4114" s="161"/>
      <c r="T4114" s="161"/>
      <c r="U4114" s="161"/>
      <c r="V4114" s="161"/>
      <c r="W4114" s="161"/>
      <c r="X4114" s="161"/>
      <c r="Y4114" s="161"/>
      <c r="Z4114" s="168"/>
      <c r="AA4114" s="168"/>
      <c r="AB4114" s="168"/>
      <c r="AC4114" s="168"/>
    </row>
    <row r="4115">
      <c r="A4115" s="161"/>
      <c r="B4115" s="161"/>
      <c r="C4115" s="162"/>
      <c r="D4115" s="163"/>
      <c r="E4115" s="164" t="str">
        <f>IFERROR(__xludf.DUMMYFUNCTION("""COMPUTED_VALUE"""),"")</f>
        <v/>
      </c>
      <c r="F4115" s="163"/>
      <c r="G4115" s="163"/>
      <c r="H4115" s="163"/>
      <c r="I4115" s="163"/>
      <c r="J4115" s="165"/>
      <c r="K4115" s="165"/>
      <c r="L4115" s="165"/>
      <c r="M4115" s="166"/>
      <c r="N4115" s="167"/>
      <c r="O4115" s="163"/>
      <c r="P4115" s="163"/>
      <c r="Q4115" s="163"/>
      <c r="R4115" s="163"/>
      <c r="S4115" s="161"/>
      <c r="T4115" s="161"/>
      <c r="U4115" s="161"/>
      <c r="V4115" s="161"/>
      <c r="W4115" s="161"/>
      <c r="X4115" s="161"/>
      <c r="Y4115" s="161"/>
      <c r="Z4115" s="168"/>
      <c r="AA4115" s="168"/>
      <c r="AB4115" s="168"/>
      <c r="AC4115" s="168"/>
    </row>
    <row r="4116">
      <c r="A4116" s="161"/>
      <c r="B4116" s="161"/>
      <c r="C4116" s="162"/>
      <c r="D4116" s="163"/>
      <c r="E4116" s="164" t="str">
        <f>IFERROR(__xludf.DUMMYFUNCTION("""COMPUTED_VALUE"""),"")</f>
        <v/>
      </c>
      <c r="F4116" s="163"/>
      <c r="G4116" s="163"/>
      <c r="H4116" s="163"/>
      <c r="I4116" s="163"/>
      <c r="J4116" s="165"/>
      <c r="K4116" s="165"/>
      <c r="L4116" s="165"/>
      <c r="M4116" s="166"/>
      <c r="N4116" s="167"/>
      <c r="O4116" s="163"/>
      <c r="P4116" s="163"/>
      <c r="Q4116" s="163"/>
      <c r="R4116" s="163"/>
      <c r="S4116" s="161"/>
      <c r="T4116" s="161"/>
      <c r="U4116" s="161"/>
      <c r="V4116" s="161"/>
      <c r="W4116" s="161"/>
      <c r="X4116" s="161"/>
      <c r="Y4116" s="161"/>
      <c r="Z4116" s="168"/>
      <c r="AA4116" s="168"/>
      <c r="AB4116" s="168"/>
      <c r="AC4116" s="168"/>
    </row>
    <row r="4117">
      <c r="A4117" s="161"/>
      <c r="B4117" s="161"/>
      <c r="C4117" s="162"/>
      <c r="D4117" s="163"/>
      <c r="E4117" s="164" t="str">
        <f>IFERROR(__xludf.DUMMYFUNCTION("""COMPUTED_VALUE"""),"")</f>
        <v/>
      </c>
      <c r="F4117" s="163"/>
      <c r="G4117" s="163"/>
      <c r="H4117" s="163"/>
      <c r="I4117" s="163"/>
      <c r="J4117" s="165"/>
      <c r="K4117" s="165"/>
      <c r="L4117" s="165"/>
      <c r="M4117" s="166"/>
      <c r="N4117" s="167"/>
      <c r="O4117" s="163"/>
      <c r="P4117" s="163"/>
      <c r="Q4117" s="163"/>
      <c r="R4117" s="163"/>
      <c r="S4117" s="161"/>
      <c r="T4117" s="161"/>
      <c r="U4117" s="161"/>
      <c r="V4117" s="161"/>
      <c r="W4117" s="161"/>
      <c r="X4117" s="161"/>
      <c r="Y4117" s="161"/>
      <c r="Z4117" s="168"/>
      <c r="AA4117" s="168"/>
      <c r="AB4117" s="168"/>
      <c r="AC4117" s="168"/>
    </row>
    <row r="4118">
      <c r="A4118" s="161"/>
      <c r="B4118" s="161"/>
      <c r="C4118" s="162"/>
      <c r="D4118" s="163"/>
      <c r="E4118" s="164" t="str">
        <f>IFERROR(__xludf.DUMMYFUNCTION("""COMPUTED_VALUE"""),"")</f>
        <v/>
      </c>
      <c r="F4118" s="163"/>
      <c r="G4118" s="163"/>
      <c r="H4118" s="163"/>
      <c r="I4118" s="163"/>
      <c r="J4118" s="165"/>
      <c r="K4118" s="165"/>
      <c r="L4118" s="165"/>
      <c r="M4118" s="166"/>
      <c r="N4118" s="167"/>
      <c r="O4118" s="163"/>
      <c r="P4118" s="163"/>
      <c r="Q4118" s="163"/>
      <c r="R4118" s="163"/>
      <c r="S4118" s="161"/>
      <c r="T4118" s="161"/>
      <c r="U4118" s="161"/>
      <c r="V4118" s="161"/>
      <c r="W4118" s="161"/>
      <c r="X4118" s="161"/>
      <c r="Y4118" s="161"/>
      <c r="Z4118" s="168"/>
      <c r="AA4118" s="168"/>
      <c r="AB4118" s="168"/>
      <c r="AC4118" s="168"/>
    </row>
    <row r="4119">
      <c r="A4119" s="161"/>
      <c r="B4119" s="161"/>
      <c r="C4119" s="162"/>
      <c r="D4119" s="163"/>
      <c r="E4119" s="164" t="str">
        <f>IFERROR(__xludf.DUMMYFUNCTION("""COMPUTED_VALUE"""),"")</f>
        <v/>
      </c>
      <c r="F4119" s="163"/>
      <c r="G4119" s="163"/>
      <c r="H4119" s="163"/>
      <c r="I4119" s="163"/>
      <c r="J4119" s="165"/>
      <c r="K4119" s="165"/>
      <c r="L4119" s="165"/>
      <c r="M4119" s="166"/>
      <c r="N4119" s="167"/>
      <c r="O4119" s="163"/>
      <c r="P4119" s="163"/>
      <c r="Q4119" s="163"/>
      <c r="R4119" s="163"/>
      <c r="S4119" s="161"/>
      <c r="T4119" s="161"/>
      <c r="U4119" s="161"/>
      <c r="V4119" s="161"/>
      <c r="W4119" s="161"/>
      <c r="X4119" s="161"/>
      <c r="Y4119" s="161"/>
      <c r="Z4119" s="168"/>
      <c r="AA4119" s="168"/>
      <c r="AB4119" s="168"/>
      <c r="AC4119" s="168"/>
    </row>
    <row r="4120">
      <c r="A4120" s="161"/>
      <c r="B4120" s="161"/>
      <c r="C4120" s="162"/>
      <c r="D4120" s="163"/>
      <c r="E4120" s="164" t="str">
        <f>IFERROR(__xludf.DUMMYFUNCTION("""COMPUTED_VALUE"""),"")</f>
        <v/>
      </c>
      <c r="F4120" s="163"/>
      <c r="G4120" s="163"/>
      <c r="H4120" s="163"/>
      <c r="I4120" s="163"/>
      <c r="J4120" s="165"/>
      <c r="K4120" s="165"/>
      <c r="L4120" s="165"/>
      <c r="M4120" s="166"/>
      <c r="N4120" s="167"/>
      <c r="O4120" s="163"/>
      <c r="P4120" s="163"/>
      <c r="Q4120" s="163"/>
      <c r="R4120" s="163"/>
      <c r="S4120" s="161"/>
      <c r="T4120" s="161"/>
      <c r="U4120" s="161"/>
      <c r="V4120" s="161"/>
      <c r="W4120" s="161"/>
      <c r="X4120" s="161"/>
      <c r="Y4120" s="161"/>
      <c r="Z4120" s="168"/>
      <c r="AA4120" s="168"/>
      <c r="AB4120" s="168"/>
      <c r="AC4120" s="168"/>
    </row>
    <row r="4121">
      <c r="A4121" s="161"/>
      <c r="B4121" s="161"/>
      <c r="C4121" s="162"/>
      <c r="D4121" s="163"/>
      <c r="E4121" s="164" t="str">
        <f>IFERROR(__xludf.DUMMYFUNCTION("""COMPUTED_VALUE"""),"")</f>
        <v/>
      </c>
      <c r="F4121" s="163"/>
      <c r="G4121" s="163"/>
      <c r="H4121" s="163"/>
      <c r="I4121" s="163"/>
      <c r="J4121" s="165"/>
      <c r="K4121" s="165"/>
      <c r="L4121" s="165"/>
      <c r="M4121" s="166"/>
      <c r="N4121" s="167"/>
      <c r="O4121" s="163"/>
      <c r="P4121" s="163"/>
      <c r="Q4121" s="163"/>
      <c r="R4121" s="163"/>
      <c r="S4121" s="161"/>
      <c r="T4121" s="161"/>
      <c r="U4121" s="161"/>
      <c r="V4121" s="161"/>
      <c r="W4121" s="161"/>
      <c r="X4121" s="161"/>
      <c r="Y4121" s="161"/>
      <c r="Z4121" s="168"/>
      <c r="AA4121" s="168"/>
      <c r="AB4121" s="168"/>
      <c r="AC4121" s="168"/>
    </row>
    <row r="4122">
      <c r="A4122" s="161"/>
      <c r="B4122" s="161"/>
      <c r="C4122" s="162"/>
      <c r="D4122" s="163"/>
      <c r="E4122" s="164" t="str">
        <f>IFERROR(__xludf.DUMMYFUNCTION("""COMPUTED_VALUE"""),"")</f>
        <v/>
      </c>
      <c r="F4122" s="163"/>
      <c r="G4122" s="163"/>
      <c r="H4122" s="163"/>
      <c r="I4122" s="163"/>
      <c r="J4122" s="165"/>
      <c r="K4122" s="165"/>
      <c r="L4122" s="165"/>
      <c r="M4122" s="166"/>
      <c r="N4122" s="167"/>
      <c r="O4122" s="163"/>
      <c r="P4122" s="163"/>
      <c r="Q4122" s="163"/>
      <c r="R4122" s="163"/>
      <c r="S4122" s="161"/>
      <c r="T4122" s="161"/>
      <c r="U4122" s="161"/>
      <c r="V4122" s="161"/>
      <c r="W4122" s="161"/>
      <c r="X4122" s="161"/>
      <c r="Y4122" s="161"/>
      <c r="Z4122" s="168"/>
      <c r="AA4122" s="168"/>
      <c r="AB4122" s="168"/>
      <c r="AC4122" s="168"/>
    </row>
    <row r="4123">
      <c r="A4123" s="161"/>
      <c r="B4123" s="161"/>
      <c r="C4123" s="162"/>
      <c r="D4123" s="163"/>
      <c r="E4123" s="164" t="str">
        <f>IFERROR(__xludf.DUMMYFUNCTION("""COMPUTED_VALUE"""),"")</f>
        <v/>
      </c>
      <c r="F4123" s="163"/>
      <c r="G4123" s="163"/>
      <c r="H4123" s="163"/>
      <c r="I4123" s="163"/>
      <c r="J4123" s="165"/>
      <c r="K4123" s="165"/>
      <c r="L4123" s="165"/>
      <c r="M4123" s="166"/>
      <c r="N4123" s="167"/>
      <c r="O4123" s="163"/>
      <c r="P4123" s="163"/>
      <c r="Q4123" s="163"/>
      <c r="R4123" s="163"/>
      <c r="S4123" s="161"/>
      <c r="T4123" s="161"/>
      <c r="U4123" s="161"/>
      <c r="V4123" s="161"/>
      <c r="W4123" s="161"/>
      <c r="X4123" s="161"/>
      <c r="Y4123" s="161"/>
      <c r="Z4123" s="168"/>
      <c r="AA4123" s="168"/>
      <c r="AB4123" s="168"/>
      <c r="AC4123" s="168"/>
    </row>
    <row r="4124">
      <c r="A4124" s="161"/>
      <c r="B4124" s="161"/>
      <c r="C4124" s="162"/>
      <c r="D4124" s="163"/>
      <c r="E4124" s="164" t="str">
        <f>IFERROR(__xludf.DUMMYFUNCTION("""COMPUTED_VALUE"""),"")</f>
        <v/>
      </c>
      <c r="F4124" s="163"/>
      <c r="G4124" s="163"/>
      <c r="H4124" s="163"/>
      <c r="I4124" s="163"/>
      <c r="J4124" s="165"/>
      <c r="K4124" s="165"/>
      <c r="L4124" s="165"/>
      <c r="M4124" s="166"/>
      <c r="N4124" s="167"/>
      <c r="O4124" s="163"/>
      <c r="P4124" s="163"/>
      <c r="Q4124" s="163"/>
      <c r="R4124" s="163"/>
      <c r="S4124" s="161"/>
      <c r="T4124" s="161"/>
      <c r="U4124" s="161"/>
      <c r="V4124" s="161"/>
      <c r="W4124" s="161"/>
      <c r="X4124" s="161"/>
      <c r="Y4124" s="161"/>
      <c r="Z4124" s="168"/>
      <c r="AA4124" s="168"/>
      <c r="AB4124" s="168"/>
      <c r="AC4124" s="168"/>
    </row>
    <row r="4125">
      <c r="A4125" s="161"/>
      <c r="B4125" s="161"/>
      <c r="C4125" s="162"/>
      <c r="D4125" s="163"/>
      <c r="E4125" s="164" t="str">
        <f>IFERROR(__xludf.DUMMYFUNCTION("""COMPUTED_VALUE"""),"")</f>
        <v/>
      </c>
      <c r="F4125" s="163"/>
      <c r="G4125" s="163"/>
      <c r="H4125" s="163"/>
      <c r="I4125" s="163"/>
      <c r="J4125" s="165"/>
      <c r="K4125" s="165"/>
      <c r="L4125" s="165"/>
      <c r="M4125" s="166"/>
      <c r="N4125" s="167"/>
      <c r="O4125" s="163"/>
      <c r="P4125" s="163"/>
      <c r="Q4125" s="163"/>
      <c r="R4125" s="163"/>
      <c r="S4125" s="161"/>
      <c r="T4125" s="161"/>
      <c r="U4125" s="161"/>
      <c r="V4125" s="161"/>
      <c r="W4125" s="161"/>
      <c r="X4125" s="161"/>
      <c r="Y4125" s="161"/>
      <c r="Z4125" s="168"/>
      <c r="AA4125" s="168"/>
      <c r="AB4125" s="168"/>
      <c r="AC4125" s="168"/>
    </row>
    <row r="4126">
      <c r="A4126" s="161"/>
      <c r="B4126" s="161"/>
      <c r="C4126" s="162"/>
      <c r="D4126" s="163"/>
      <c r="E4126" s="164" t="str">
        <f>IFERROR(__xludf.DUMMYFUNCTION("""COMPUTED_VALUE"""),"")</f>
        <v/>
      </c>
      <c r="F4126" s="163"/>
      <c r="G4126" s="163"/>
      <c r="H4126" s="163"/>
      <c r="I4126" s="163"/>
      <c r="J4126" s="165"/>
      <c r="K4126" s="165"/>
      <c r="L4126" s="165"/>
      <c r="M4126" s="166"/>
      <c r="N4126" s="167"/>
      <c r="O4126" s="163"/>
      <c r="P4126" s="163"/>
      <c r="Q4126" s="163"/>
      <c r="R4126" s="163"/>
      <c r="S4126" s="161"/>
      <c r="T4126" s="161"/>
      <c r="U4126" s="161"/>
      <c r="V4126" s="161"/>
      <c r="W4126" s="161"/>
      <c r="X4126" s="161"/>
      <c r="Y4126" s="161"/>
      <c r="Z4126" s="168"/>
      <c r="AA4126" s="168"/>
      <c r="AB4126" s="168"/>
      <c r="AC4126" s="168"/>
    </row>
    <row r="4127">
      <c r="A4127" s="161"/>
      <c r="B4127" s="161"/>
      <c r="C4127" s="162"/>
      <c r="D4127" s="163"/>
      <c r="E4127" s="164" t="str">
        <f>IFERROR(__xludf.DUMMYFUNCTION("""COMPUTED_VALUE"""),"")</f>
        <v/>
      </c>
      <c r="F4127" s="163"/>
      <c r="G4127" s="163"/>
      <c r="H4127" s="163"/>
      <c r="I4127" s="163"/>
      <c r="J4127" s="165"/>
      <c r="K4127" s="165"/>
      <c r="L4127" s="165"/>
      <c r="M4127" s="166"/>
      <c r="N4127" s="167"/>
      <c r="O4127" s="163"/>
      <c r="P4127" s="163"/>
      <c r="Q4127" s="163"/>
      <c r="R4127" s="163"/>
      <c r="S4127" s="161"/>
      <c r="T4127" s="161"/>
      <c r="U4127" s="161"/>
      <c r="V4127" s="161"/>
      <c r="W4127" s="161"/>
      <c r="X4127" s="161"/>
      <c r="Y4127" s="161"/>
      <c r="Z4127" s="168"/>
      <c r="AA4127" s="168"/>
      <c r="AB4127" s="168"/>
      <c r="AC4127" s="168"/>
    </row>
    <row r="4128">
      <c r="A4128" s="161"/>
      <c r="B4128" s="161"/>
      <c r="C4128" s="162"/>
      <c r="D4128" s="163"/>
      <c r="E4128" s="164" t="str">
        <f>IFERROR(__xludf.DUMMYFUNCTION("""COMPUTED_VALUE"""),"")</f>
        <v/>
      </c>
      <c r="F4128" s="163"/>
      <c r="G4128" s="163"/>
      <c r="H4128" s="163"/>
      <c r="I4128" s="163"/>
      <c r="J4128" s="165"/>
      <c r="K4128" s="165"/>
      <c r="L4128" s="165"/>
      <c r="M4128" s="166"/>
      <c r="N4128" s="167"/>
      <c r="O4128" s="163"/>
      <c r="P4128" s="163"/>
      <c r="Q4128" s="163"/>
      <c r="R4128" s="163"/>
      <c r="S4128" s="161"/>
      <c r="T4128" s="161"/>
      <c r="U4128" s="161"/>
      <c r="V4128" s="161"/>
      <c r="W4128" s="161"/>
      <c r="X4128" s="161"/>
      <c r="Y4128" s="161"/>
      <c r="Z4128" s="168"/>
      <c r="AA4128" s="168"/>
      <c r="AB4128" s="168"/>
      <c r="AC4128" s="168"/>
    </row>
    <row r="4129">
      <c r="A4129" s="161"/>
      <c r="B4129" s="161"/>
      <c r="C4129" s="162"/>
      <c r="D4129" s="163"/>
      <c r="E4129" s="164" t="str">
        <f>IFERROR(__xludf.DUMMYFUNCTION("""COMPUTED_VALUE"""),"")</f>
        <v/>
      </c>
      <c r="F4129" s="163"/>
      <c r="G4129" s="163"/>
      <c r="H4129" s="163"/>
      <c r="I4129" s="163"/>
      <c r="J4129" s="165"/>
      <c r="K4129" s="165"/>
      <c r="L4129" s="165"/>
      <c r="M4129" s="166"/>
      <c r="N4129" s="167"/>
      <c r="O4129" s="163"/>
      <c r="P4129" s="163"/>
      <c r="Q4129" s="163"/>
      <c r="R4129" s="163"/>
      <c r="S4129" s="161"/>
      <c r="T4129" s="161"/>
      <c r="U4129" s="161"/>
      <c r="V4129" s="161"/>
      <c r="W4129" s="161"/>
      <c r="X4129" s="161"/>
      <c r="Y4129" s="161"/>
      <c r="Z4129" s="168"/>
      <c r="AA4129" s="168"/>
      <c r="AB4129" s="168"/>
      <c r="AC4129" s="168"/>
    </row>
    <row r="4130">
      <c r="A4130" s="161"/>
      <c r="B4130" s="161"/>
      <c r="C4130" s="162"/>
      <c r="D4130" s="163"/>
      <c r="E4130" s="164" t="str">
        <f>IFERROR(__xludf.DUMMYFUNCTION("""COMPUTED_VALUE"""),"")</f>
        <v/>
      </c>
      <c r="F4130" s="163"/>
      <c r="G4130" s="163"/>
      <c r="H4130" s="163"/>
      <c r="I4130" s="163"/>
      <c r="J4130" s="165"/>
      <c r="K4130" s="165"/>
      <c r="L4130" s="165"/>
      <c r="M4130" s="166"/>
      <c r="N4130" s="167"/>
      <c r="O4130" s="163"/>
      <c r="P4130" s="163"/>
      <c r="Q4130" s="163"/>
      <c r="R4130" s="163"/>
      <c r="S4130" s="161"/>
      <c r="T4130" s="161"/>
      <c r="U4130" s="161"/>
      <c r="V4130" s="161"/>
      <c r="W4130" s="161"/>
      <c r="X4130" s="161"/>
      <c r="Y4130" s="161"/>
      <c r="Z4130" s="168"/>
      <c r="AA4130" s="168"/>
      <c r="AB4130" s="168"/>
      <c r="AC4130" s="168"/>
    </row>
    <row r="4131">
      <c r="A4131" s="161"/>
      <c r="B4131" s="161"/>
      <c r="C4131" s="162"/>
      <c r="D4131" s="163"/>
      <c r="E4131" s="164" t="str">
        <f>IFERROR(__xludf.DUMMYFUNCTION("""COMPUTED_VALUE"""),"")</f>
        <v/>
      </c>
      <c r="F4131" s="163"/>
      <c r="G4131" s="163"/>
      <c r="H4131" s="163"/>
      <c r="I4131" s="163"/>
      <c r="J4131" s="165"/>
      <c r="K4131" s="165"/>
      <c r="L4131" s="165"/>
      <c r="M4131" s="166"/>
      <c r="N4131" s="167"/>
      <c r="O4131" s="163"/>
      <c r="P4131" s="163"/>
      <c r="Q4131" s="163"/>
      <c r="R4131" s="163"/>
      <c r="S4131" s="161"/>
      <c r="T4131" s="161"/>
      <c r="U4131" s="161"/>
      <c r="V4131" s="161"/>
      <c r="W4131" s="161"/>
      <c r="X4131" s="161"/>
      <c r="Y4131" s="161"/>
      <c r="Z4131" s="168"/>
      <c r="AA4131" s="168"/>
      <c r="AB4131" s="168"/>
      <c r="AC4131" s="168"/>
    </row>
    <row r="4132">
      <c r="A4132" s="161"/>
      <c r="B4132" s="161"/>
      <c r="C4132" s="162"/>
      <c r="D4132" s="163"/>
      <c r="E4132" s="164" t="str">
        <f>IFERROR(__xludf.DUMMYFUNCTION("""COMPUTED_VALUE"""),"")</f>
        <v/>
      </c>
      <c r="F4132" s="163"/>
      <c r="G4132" s="163"/>
      <c r="H4132" s="163"/>
      <c r="I4132" s="163"/>
      <c r="J4132" s="165"/>
      <c r="K4132" s="165"/>
      <c r="L4132" s="165"/>
      <c r="M4132" s="166"/>
      <c r="N4132" s="167"/>
      <c r="O4132" s="163"/>
      <c r="P4132" s="163"/>
      <c r="Q4132" s="163"/>
      <c r="R4132" s="163"/>
      <c r="S4132" s="161"/>
      <c r="T4132" s="161"/>
      <c r="U4132" s="161"/>
      <c r="V4132" s="161"/>
      <c r="W4132" s="161"/>
      <c r="X4132" s="161"/>
      <c r="Y4132" s="161"/>
      <c r="Z4132" s="168"/>
      <c r="AA4132" s="168"/>
      <c r="AB4132" s="168"/>
      <c r="AC4132" s="168"/>
    </row>
    <row r="4133">
      <c r="A4133" s="161"/>
      <c r="B4133" s="161"/>
      <c r="C4133" s="162"/>
      <c r="D4133" s="163"/>
      <c r="E4133" s="164" t="str">
        <f>IFERROR(__xludf.DUMMYFUNCTION("""COMPUTED_VALUE"""),"")</f>
        <v/>
      </c>
      <c r="F4133" s="163"/>
      <c r="G4133" s="163"/>
      <c r="H4133" s="163"/>
      <c r="I4133" s="163"/>
      <c r="J4133" s="165"/>
      <c r="K4133" s="165"/>
      <c r="L4133" s="165"/>
      <c r="M4133" s="166"/>
      <c r="N4133" s="167"/>
      <c r="O4133" s="163"/>
      <c r="P4133" s="163"/>
      <c r="Q4133" s="163"/>
      <c r="R4133" s="163"/>
      <c r="S4133" s="161"/>
      <c r="T4133" s="161"/>
      <c r="U4133" s="161"/>
      <c r="V4133" s="161"/>
      <c r="W4133" s="161"/>
      <c r="X4133" s="161"/>
      <c r="Y4133" s="161"/>
      <c r="Z4133" s="168"/>
      <c r="AA4133" s="168"/>
      <c r="AB4133" s="168"/>
      <c r="AC4133" s="168"/>
    </row>
    <row r="4134">
      <c r="A4134" s="161"/>
      <c r="B4134" s="161"/>
      <c r="C4134" s="162"/>
      <c r="D4134" s="163"/>
      <c r="E4134" s="164" t="str">
        <f>IFERROR(__xludf.DUMMYFUNCTION("""COMPUTED_VALUE"""),"")</f>
        <v/>
      </c>
      <c r="F4134" s="163"/>
      <c r="G4134" s="163"/>
      <c r="H4134" s="163"/>
      <c r="I4134" s="163"/>
      <c r="J4134" s="165"/>
      <c r="K4134" s="165"/>
      <c r="L4134" s="165"/>
      <c r="M4134" s="166"/>
      <c r="N4134" s="167"/>
      <c r="O4134" s="163"/>
      <c r="P4134" s="163"/>
      <c r="Q4134" s="163"/>
      <c r="R4134" s="163"/>
      <c r="S4134" s="161"/>
      <c r="T4134" s="161"/>
      <c r="U4134" s="161"/>
      <c r="V4134" s="161"/>
      <c r="W4134" s="161"/>
      <c r="X4134" s="161"/>
      <c r="Y4134" s="161"/>
      <c r="Z4134" s="168"/>
      <c r="AA4134" s="168"/>
      <c r="AB4134" s="168"/>
      <c r="AC4134" s="168"/>
    </row>
    <row r="4135">
      <c r="A4135" s="161"/>
      <c r="B4135" s="161"/>
      <c r="C4135" s="162"/>
      <c r="D4135" s="163"/>
      <c r="E4135" s="164" t="str">
        <f>IFERROR(__xludf.DUMMYFUNCTION("""COMPUTED_VALUE"""),"")</f>
        <v/>
      </c>
      <c r="F4135" s="163"/>
      <c r="G4135" s="163"/>
      <c r="H4135" s="163"/>
      <c r="I4135" s="163"/>
      <c r="J4135" s="165"/>
      <c r="K4135" s="165"/>
      <c r="L4135" s="165"/>
      <c r="M4135" s="166"/>
      <c r="N4135" s="167"/>
      <c r="O4135" s="163"/>
      <c r="P4135" s="163"/>
      <c r="Q4135" s="163"/>
      <c r="R4135" s="163"/>
      <c r="S4135" s="161"/>
      <c r="T4135" s="161"/>
      <c r="U4135" s="161"/>
      <c r="V4135" s="161"/>
      <c r="W4135" s="161"/>
      <c r="X4135" s="161"/>
      <c r="Y4135" s="161"/>
      <c r="Z4135" s="168"/>
      <c r="AA4135" s="168"/>
      <c r="AB4135" s="168"/>
      <c r="AC4135" s="168"/>
    </row>
    <row r="4136">
      <c r="A4136" s="161"/>
      <c r="B4136" s="161"/>
      <c r="C4136" s="162"/>
      <c r="D4136" s="163"/>
      <c r="E4136" s="164" t="str">
        <f>IFERROR(__xludf.DUMMYFUNCTION("""COMPUTED_VALUE"""),"")</f>
        <v/>
      </c>
      <c r="F4136" s="163"/>
      <c r="G4136" s="163"/>
      <c r="H4136" s="163"/>
      <c r="I4136" s="163"/>
      <c r="J4136" s="165"/>
      <c r="K4136" s="165"/>
      <c r="L4136" s="165"/>
      <c r="M4136" s="166"/>
      <c r="N4136" s="167"/>
      <c r="O4136" s="163"/>
      <c r="P4136" s="163"/>
      <c r="Q4136" s="163"/>
      <c r="R4136" s="163"/>
      <c r="S4136" s="161"/>
      <c r="T4136" s="161"/>
      <c r="U4136" s="161"/>
      <c r="V4136" s="161"/>
      <c r="W4136" s="161"/>
      <c r="X4136" s="161"/>
      <c r="Y4136" s="161"/>
      <c r="Z4136" s="168"/>
      <c r="AA4136" s="168"/>
      <c r="AB4136" s="168"/>
      <c r="AC4136" s="168"/>
    </row>
    <row r="4137">
      <c r="A4137" s="161"/>
      <c r="B4137" s="161"/>
      <c r="C4137" s="162"/>
      <c r="D4137" s="163"/>
      <c r="E4137" s="164" t="str">
        <f>IFERROR(__xludf.DUMMYFUNCTION("""COMPUTED_VALUE"""),"")</f>
        <v/>
      </c>
      <c r="F4137" s="163"/>
      <c r="G4137" s="163"/>
      <c r="H4137" s="163"/>
      <c r="I4137" s="163"/>
      <c r="J4137" s="165"/>
      <c r="K4137" s="165"/>
      <c r="L4137" s="165"/>
      <c r="M4137" s="166"/>
      <c r="N4137" s="167"/>
      <c r="O4137" s="163"/>
      <c r="P4137" s="163"/>
      <c r="Q4137" s="163"/>
      <c r="R4137" s="163"/>
      <c r="S4137" s="161"/>
      <c r="T4137" s="161"/>
      <c r="U4137" s="161"/>
      <c r="V4137" s="161"/>
      <c r="W4137" s="161"/>
      <c r="X4137" s="161"/>
      <c r="Y4137" s="161"/>
      <c r="Z4137" s="168"/>
      <c r="AA4137" s="168"/>
      <c r="AB4137" s="168"/>
      <c r="AC4137" s="168"/>
    </row>
    <row r="4138">
      <c r="A4138" s="161"/>
      <c r="B4138" s="161"/>
      <c r="C4138" s="162"/>
      <c r="D4138" s="163"/>
      <c r="E4138" s="164" t="str">
        <f>IFERROR(__xludf.DUMMYFUNCTION("""COMPUTED_VALUE"""),"")</f>
        <v/>
      </c>
      <c r="F4138" s="163"/>
      <c r="G4138" s="163"/>
      <c r="H4138" s="163"/>
      <c r="I4138" s="163"/>
      <c r="J4138" s="165"/>
      <c r="K4138" s="165"/>
      <c r="L4138" s="165"/>
      <c r="M4138" s="166"/>
      <c r="N4138" s="167"/>
      <c r="O4138" s="163"/>
      <c r="P4138" s="163"/>
      <c r="Q4138" s="163"/>
      <c r="R4138" s="163"/>
      <c r="S4138" s="161"/>
      <c r="T4138" s="161"/>
      <c r="U4138" s="161"/>
      <c r="V4138" s="161"/>
      <c r="W4138" s="161"/>
      <c r="X4138" s="161"/>
      <c r="Y4138" s="161"/>
      <c r="Z4138" s="168"/>
      <c r="AA4138" s="168"/>
      <c r="AB4138" s="168"/>
      <c r="AC4138" s="168"/>
    </row>
    <row r="4139">
      <c r="A4139" s="161"/>
      <c r="B4139" s="161"/>
      <c r="C4139" s="162"/>
      <c r="D4139" s="163"/>
      <c r="E4139" s="164" t="str">
        <f>IFERROR(__xludf.DUMMYFUNCTION("""COMPUTED_VALUE"""),"")</f>
        <v/>
      </c>
      <c r="F4139" s="163"/>
      <c r="G4139" s="163"/>
      <c r="H4139" s="163"/>
      <c r="I4139" s="163"/>
      <c r="J4139" s="165"/>
      <c r="K4139" s="165"/>
      <c r="L4139" s="165"/>
      <c r="M4139" s="166"/>
      <c r="N4139" s="167"/>
      <c r="O4139" s="163"/>
      <c r="P4139" s="163"/>
      <c r="Q4139" s="163"/>
      <c r="R4139" s="163"/>
      <c r="S4139" s="161"/>
      <c r="T4139" s="161"/>
      <c r="U4139" s="161"/>
      <c r="V4139" s="161"/>
      <c r="W4139" s="161"/>
      <c r="X4139" s="161"/>
      <c r="Y4139" s="161"/>
      <c r="Z4139" s="168"/>
      <c r="AA4139" s="168"/>
      <c r="AB4139" s="168"/>
      <c r="AC4139" s="168"/>
    </row>
    <row r="4140">
      <c r="A4140" s="161"/>
      <c r="B4140" s="161"/>
      <c r="C4140" s="162"/>
      <c r="D4140" s="163"/>
      <c r="E4140" s="164" t="str">
        <f>IFERROR(__xludf.DUMMYFUNCTION("""COMPUTED_VALUE"""),"")</f>
        <v/>
      </c>
      <c r="F4140" s="163"/>
      <c r="G4140" s="163"/>
      <c r="H4140" s="163"/>
      <c r="I4140" s="163"/>
      <c r="J4140" s="165"/>
      <c r="K4140" s="165"/>
      <c r="L4140" s="165"/>
      <c r="M4140" s="166"/>
      <c r="N4140" s="167"/>
      <c r="O4140" s="163"/>
      <c r="P4140" s="163"/>
      <c r="Q4140" s="163"/>
      <c r="R4140" s="163"/>
      <c r="S4140" s="161"/>
      <c r="T4140" s="161"/>
      <c r="U4140" s="161"/>
      <c r="V4140" s="161"/>
      <c r="W4140" s="161"/>
      <c r="X4140" s="161"/>
      <c r="Y4140" s="161"/>
      <c r="Z4140" s="168"/>
      <c r="AA4140" s="168"/>
      <c r="AB4140" s="168"/>
      <c r="AC4140" s="168"/>
    </row>
    <row r="4141">
      <c r="A4141" s="161"/>
      <c r="B4141" s="161"/>
      <c r="C4141" s="162"/>
      <c r="D4141" s="163"/>
      <c r="E4141" s="164" t="str">
        <f>IFERROR(__xludf.DUMMYFUNCTION("""COMPUTED_VALUE"""),"")</f>
        <v/>
      </c>
      <c r="F4141" s="163"/>
      <c r="G4141" s="163"/>
      <c r="H4141" s="163"/>
      <c r="I4141" s="163"/>
      <c r="J4141" s="165"/>
      <c r="K4141" s="165"/>
      <c r="L4141" s="165"/>
      <c r="M4141" s="166"/>
      <c r="N4141" s="167"/>
      <c r="O4141" s="163"/>
      <c r="P4141" s="163"/>
      <c r="Q4141" s="163"/>
      <c r="R4141" s="163"/>
      <c r="S4141" s="161"/>
      <c r="T4141" s="161"/>
      <c r="U4141" s="161"/>
      <c r="V4141" s="161"/>
      <c r="W4141" s="161"/>
      <c r="X4141" s="161"/>
      <c r="Y4141" s="161"/>
      <c r="Z4141" s="168"/>
      <c r="AA4141" s="168"/>
      <c r="AB4141" s="168"/>
      <c r="AC4141" s="168"/>
    </row>
    <row r="4142">
      <c r="A4142" s="161"/>
      <c r="B4142" s="161"/>
      <c r="C4142" s="162"/>
      <c r="D4142" s="163"/>
      <c r="E4142" s="164" t="str">
        <f>IFERROR(__xludf.DUMMYFUNCTION("""COMPUTED_VALUE"""),"")</f>
        <v/>
      </c>
      <c r="F4142" s="163"/>
      <c r="G4142" s="163"/>
      <c r="H4142" s="163"/>
      <c r="I4142" s="163"/>
      <c r="J4142" s="165"/>
      <c r="K4142" s="165"/>
      <c r="L4142" s="165"/>
      <c r="M4142" s="166"/>
      <c r="N4142" s="167"/>
      <c r="O4142" s="163"/>
      <c r="P4142" s="163"/>
      <c r="Q4142" s="163"/>
      <c r="R4142" s="163"/>
      <c r="S4142" s="161"/>
      <c r="T4142" s="161"/>
      <c r="U4142" s="161"/>
      <c r="V4142" s="161"/>
      <c r="W4142" s="161"/>
      <c r="X4142" s="161"/>
      <c r="Y4142" s="161"/>
      <c r="Z4142" s="168"/>
      <c r="AA4142" s="168"/>
      <c r="AB4142" s="168"/>
      <c r="AC4142" s="168"/>
    </row>
    <row r="4143">
      <c r="A4143" s="161"/>
      <c r="B4143" s="161"/>
      <c r="C4143" s="162"/>
      <c r="D4143" s="163"/>
      <c r="E4143" s="164" t="str">
        <f>IFERROR(__xludf.DUMMYFUNCTION("""COMPUTED_VALUE"""),"")</f>
        <v/>
      </c>
      <c r="F4143" s="163"/>
      <c r="G4143" s="163"/>
      <c r="H4143" s="163"/>
      <c r="I4143" s="163"/>
      <c r="J4143" s="165"/>
      <c r="K4143" s="165"/>
      <c r="L4143" s="165"/>
      <c r="M4143" s="166"/>
      <c r="N4143" s="167"/>
      <c r="O4143" s="163"/>
      <c r="P4143" s="163"/>
      <c r="Q4143" s="163"/>
      <c r="R4143" s="163"/>
      <c r="S4143" s="161"/>
      <c r="T4143" s="161"/>
      <c r="U4143" s="161"/>
      <c r="V4143" s="161"/>
      <c r="W4143" s="161"/>
      <c r="X4143" s="161"/>
      <c r="Y4143" s="161"/>
      <c r="Z4143" s="168"/>
      <c r="AA4143" s="168"/>
      <c r="AB4143" s="168"/>
      <c r="AC4143" s="168"/>
    </row>
    <row r="4144">
      <c r="A4144" s="161"/>
      <c r="B4144" s="161"/>
      <c r="C4144" s="162"/>
      <c r="D4144" s="163"/>
      <c r="E4144" s="164" t="str">
        <f>IFERROR(__xludf.DUMMYFUNCTION("""COMPUTED_VALUE"""),"")</f>
        <v/>
      </c>
      <c r="F4144" s="163"/>
      <c r="G4144" s="163"/>
      <c r="H4144" s="163"/>
      <c r="I4144" s="163"/>
      <c r="J4144" s="165"/>
      <c r="K4144" s="165"/>
      <c r="L4144" s="165"/>
      <c r="M4144" s="166"/>
      <c r="N4144" s="167"/>
      <c r="O4144" s="163"/>
      <c r="P4144" s="163"/>
      <c r="Q4144" s="163"/>
      <c r="R4144" s="163"/>
      <c r="S4144" s="161"/>
      <c r="T4144" s="161"/>
      <c r="U4144" s="161"/>
      <c r="V4144" s="161"/>
      <c r="W4144" s="161"/>
      <c r="X4144" s="161"/>
      <c r="Y4144" s="161"/>
      <c r="Z4144" s="168"/>
      <c r="AA4144" s="168"/>
      <c r="AB4144" s="168"/>
      <c r="AC4144" s="168"/>
    </row>
    <row r="4145">
      <c r="A4145" s="161"/>
      <c r="B4145" s="161"/>
      <c r="C4145" s="162"/>
      <c r="D4145" s="163"/>
      <c r="E4145" s="164" t="str">
        <f>IFERROR(__xludf.DUMMYFUNCTION("""COMPUTED_VALUE"""),"")</f>
        <v/>
      </c>
      <c r="F4145" s="163"/>
      <c r="G4145" s="163"/>
      <c r="H4145" s="163"/>
      <c r="I4145" s="163"/>
      <c r="J4145" s="165"/>
      <c r="K4145" s="165"/>
      <c r="L4145" s="165"/>
      <c r="M4145" s="166"/>
      <c r="N4145" s="167"/>
      <c r="O4145" s="163"/>
      <c r="P4145" s="163"/>
      <c r="Q4145" s="163"/>
      <c r="R4145" s="163"/>
      <c r="S4145" s="161"/>
      <c r="T4145" s="161"/>
      <c r="U4145" s="161"/>
      <c r="V4145" s="161"/>
      <c r="W4145" s="161"/>
      <c r="X4145" s="161"/>
      <c r="Y4145" s="161"/>
      <c r="Z4145" s="168"/>
      <c r="AA4145" s="168"/>
      <c r="AB4145" s="168"/>
      <c r="AC4145" s="168"/>
    </row>
    <row r="4146">
      <c r="A4146" s="161"/>
      <c r="B4146" s="161"/>
      <c r="C4146" s="162"/>
      <c r="D4146" s="163"/>
      <c r="E4146" s="164" t="str">
        <f>IFERROR(__xludf.DUMMYFUNCTION("""COMPUTED_VALUE"""),"")</f>
        <v/>
      </c>
      <c r="F4146" s="163"/>
      <c r="G4146" s="163"/>
      <c r="H4146" s="163"/>
      <c r="I4146" s="163"/>
      <c r="J4146" s="165"/>
      <c r="K4146" s="165"/>
      <c r="L4146" s="165"/>
      <c r="M4146" s="166"/>
      <c r="N4146" s="167"/>
      <c r="O4146" s="163"/>
      <c r="P4146" s="163"/>
      <c r="Q4146" s="163"/>
      <c r="R4146" s="163"/>
      <c r="S4146" s="161"/>
      <c r="T4146" s="161"/>
      <c r="U4146" s="161"/>
      <c r="V4146" s="161"/>
      <c r="W4146" s="161"/>
      <c r="X4146" s="161"/>
      <c r="Y4146" s="161"/>
      <c r="Z4146" s="168"/>
      <c r="AA4146" s="168"/>
      <c r="AB4146" s="168"/>
      <c r="AC4146" s="168"/>
    </row>
    <row r="4147">
      <c r="A4147" s="161"/>
      <c r="B4147" s="161"/>
      <c r="C4147" s="162"/>
      <c r="D4147" s="163"/>
      <c r="E4147" s="164" t="str">
        <f>IFERROR(__xludf.DUMMYFUNCTION("""COMPUTED_VALUE"""),"")</f>
        <v/>
      </c>
      <c r="F4147" s="163"/>
      <c r="G4147" s="163"/>
      <c r="H4147" s="163"/>
      <c r="I4147" s="163"/>
      <c r="J4147" s="165"/>
      <c r="K4147" s="165"/>
      <c r="L4147" s="165"/>
      <c r="M4147" s="166"/>
      <c r="N4147" s="167"/>
      <c r="O4147" s="163"/>
      <c r="P4147" s="163"/>
      <c r="Q4147" s="163"/>
      <c r="R4147" s="163"/>
      <c r="S4147" s="161"/>
      <c r="T4147" s="161"/>
      <c r="U4147" s="161"/>
      <c r="V4147" s="161"/>
      <c r="W4147" s="161"/>
      <c r="X4147" s="161"/>
      <c r="Y4147" s="161"/>
      <c r="Z4147" s="168"/>
      <c r="AA4147" s="168"/>
      <c r="AB4147" s="168"/>
      <c r="AC4147" s="168"/>
    </row>
    <row r="4148">
      <c r="A4148" s="161"/>
      <c r="B4148" s="161"/>
      <c r="C4148" s="162"/>
      <c r="D4148" s="163"/>
      <c r="E4148" s="164" t="str">
        <f>IFERROR(__xludf.DUMMYFUNCTION("""COMPUTED_VALUE"""),"")</f>
        <v/>
      </c>
      <c r="F4148" s="163"/>
      <c r="G4148" s="163"/>
      <c r="H4148" s="163"/>
      <c r="I4148" s="163"/>
      <c r="J4148" s="165"/>
      <c r="K4148" s="165"/>
      <c r="L4148" s="165"/>
      <c r="M4148" s="166"/>
      <c r="N4148" s="167"/>
      <c r="O4148" s="163"/>
      <c r="P4148" s="163"/>
      <c r="Q4148" s="163"/>
      <c r="R4148" s="163"/>
      <c r="S4148" s="161"/>
      <c r="T4148" s="161"/>
      <c r="U4148" s="161"/>
      <c r="V4148" s="161"/>
      <c r="W4148" s="161"/>
      <c r="X4148" s="161"/>
      <c r="Y4148" s="161"/>
      <c r="Z4148" s="168"/>
      <c r="AA4148" s="168"/>
      <c r="AB4148" s="168"/>
      <c r="AC4148" s="168"/>
    </row>
    <row r="4149">
      <c r="A4149" s="161"/>
      <c r="B4149" s="161"/>
      <c r="C4149" s="162"/>
      <c r="D4149" s="163"/>
      <c r="E4149" s="164" t="str">
        <f>IFERROR(__xludf.DUMMYFUNCTION("""COMPUTED_VALUE"""),"")</f>
        <v/>
      </c>
      <c r="F4149" s="163"/>
      <c r="G4149" s="163"/>
      <c r="H4149" s="163"/>
      <c r="I4149" s="163"/>
      <c r="J4149" s="165"/>
      <c r="K4149" s="165"/>
      <c r="L4149" s="165"/>
      <c r="M4149" s="166"/>
      <c r="N4149" s="167"/>
      <c r="O4149" s="163"/>
      <c r="P4149" s="163"/>
      <c r="Q4149" s="163"/>
      <c r="R4149" s="163"/>
      <c r="S4149" s="161"/>
      <c r="T4149" s="161"/>
      <c r="U4149" s="161"/>
      <c r="V4149" s="161"/>
      <c r="W4149" s="161"/>
      <c r="X4149" s="161"/>
      <c r="Y4149" s="161"/>
      <c r="Z4149" s="168"/>
      <c r="AA4149" s="168"/>
      <c r="AB4149" s="168"/>
      <c r="AC4149" s="168"/>
    </row>
    <row r="4150">
      <c r="A4150" s="161"/>
      <c r="B4150" s="161"/>
      <c r="C4150" s="162"/>
      <c r="D4150" s="163"/>
      <c r="E4150" s="164" t="str">
        <f>IFERROR(__xludf.DUMMYFUNCTION("""COMPUTED_VALUE"""),"")</f>
        <v/>
      </c>
      <c r="F4150" s="163"/>
      <c r="G4150" s="163"/>
      <c r="H4150" s="163"/>
      <c r="I4150" s="163"/>
      <c r="J4150" s="165"/>
      <c r="K4150" s="165"/>
      <c r="L4150" s="165"/>
      <c r="M4150" s="166"/>
      <c r="N4150" s="167"/>
      <c r="O4150" s="163"/>
      <c r="P4150" s="163"/>
      <c r="Q4150" s="163"/>
      <c r="R4150" s="163"/>
      <c r="S4150" s="161"/>
      <c r="T4150" s="161"/>
      <c r="U4150" s="161"/>
      <c r="V4150" s="161"/>
      <c r="W4150" s="161"/>
      <c r="X4150" s="161"/>
      <c r="Y4150" s="161"/>
      <c r="Z4150" s="168"/>
      <c r="AA4150" s="168"/>
      <c r="AB4150" s="168"/>
      <c r="AC4150" s="168"/>
    </row>
    <row r="4151">
      <c r="A4151" s="161"/>
      <c r="B4151" s="161"/>
      <c r="C4151" s="162"/>
      <c r="D4151" s="163"/>
      <c r="E4151" s="164" t="str">
        <f>IFERROR(__xludf.DUMMYFUNCTION("""COMPUTED_VALUE"""),"")</f>
        <v/>
      </c>
      <c r="F4151" s="163"/>
      <c r="G4151" s="163"/>
      <c r="H4151" s="163"/>
      <c r="I4151" s="163"/>
      <c r="J4151" s="165"/>
      <c r="K4151" s="165"/>
      <c r="L4151" s="165"/>
      <c r="M4151" s="166"/>
      <c r="N4151" s="167"/>
      <c r="O4151" s="163"/>
      <c r="P4151" s="163"/>
      <c r="Q4151" s="163"/>
      <c r="R4151" s="163"/>
      <c r="S4151" s="161"/>
      <c r="T4151" s="161"/>
      <c r="U4151" s="161"/>
      <c r="V4151" s="161"/>
      <c r="W4151" s="161"/>
      <c r="X4151" s="161"/>
      <c r="Y4151" s="161"/>
      <c r="Z4151" s="168"/>
      <c r="AA4151" s="168"/>
      <c r="AB4151" s="168"/>
      <c r="AC4151" s="168"/>
    </row>
    <row r="4152">
      <c r="A4152" s="161"/>
      <c r="B4152" s="161"/>
      <c r="C4152" s="162"/>
      <c r="D4152" s="163"/>
      <c r="E4152" s="164" t="str">
        <f>IFERROR(__xludf.DUMMYFUNCTION("""COMPUTED_VALUE"""),"")</f>
        <v/>
      </c>
      <c r="F4152" s="163"/>
      <c r="G4152" s="163"/>
      <c r="H4152" s="163"/>
      <c r="I4152" s="163"/>
      <c r="J4152" s="165"/>
      <c r="K4152" s="165"/>
      <c r="L4152" s="165"/>
      <c r="M4152" s="166"/>
      <c r="N4152" s="167"/>
      <c r="O4152" s="163"/>
      <c r="P4152" s="163"/>
      <c r="Q4152" s="163"/>
      <c r="R4152" s="163"/>
      <c r="S4152" s="161"/>
      <c r="T4152" s="161"/>
      <c r="U4152" s="161"/>
      <c r="V4152" s="161"/>
      <c r="W4152" s="161"/>
      <c r="X4152" s="161"/>
      <c r="Y4152" s="161"/>
      <c r="Z4152" s="168"/>
      <c r="AA4152" s="168"/>
      <c r="AB4152" s="168"/>
      <c r="AC4152" s="168"/>
    </row>
    <row r="4153">
      <c r="A4153" s="161"/>
      <c r="B4153" s="161"/>
      <c r="C4153" s="162"/>
      <c r="D4153" s="163"/>
      <c r="E4153" s="164" t="str">
        <f>IFERROR(__xludf.DUMMYFUNCTION("""COMPUTED_VALUE"""),"")</f>
        <v/>
      </c>
      <c r="F4153" s="163"/>
      <c r="G4153" s="163"/>
      <c r="H4153" s="163"/>
      <c r="I4153" s="163"/>
      <c r="J4153" s="165"/>
      <c r="K4153" s="165"/>
      <c r="L4153" s="165"/>
      <c r="M4153" s="166"/>
      <c r="N4153" s="167"/>
      <c r="O4153" s="163"/>
      <c r="P4153" s="163"/>
      <c r="Q4153" s="163"/>
      <c r="R4153" s="163"/>
      <c r="S4153" s="161"/>
      <c r="T4153" s="161"/>
      <c r="U4153" s="161"/>
      <c r="V4153" s="161"/>
      <c r="W4153" s="161"/>
      <c r="X4153" s="161"/>
      <c r="Y4153" s="161"/>
      <c r="Z4153" s="168"/>
      <c r="AA4153" s="168"/>
      <c r="AB4153" s="168"/>
      <c r="AC4153" s="168"/>
    </row>
    <row r="4154">
      <c r="A4154" s="161"/>
      <c r="B4154" s="161"/>
      <c r="C4154" s="162"/>
      <c r="D4154" s="163"/>
      <c r="E4154" s="164" t="str">
        <f>IFERROR(__xludf.DUMMYFUNCTION("""COMPUTED_VALUE"""),"")</f>
        <v/>
      </c>
      <c r="F4154" s="163"/>
      <c r="G4154" s="163"/>
      <c r="H4154" s="163"/>
      <c r="I4154" s="163"/>
      <c r="J4154" s="165"/>
      <c r="K4154" s="165"/>
      <c r="L4154" s="165"/>
      <c r="M4154" s="166"/>
      <c r="N4154" s="167"/>
      <c r="O4154" s="163"/>
      <c r="P4154" s="163"/>
      <c r="Q4154" s="163"/>
      <c r="R4154" s="163"/>
      <c r="S4154" s="161"/>
      <c r="T4154" s="161"/>
      <c r="U4154" s="161"/>
      <c r="V4154" s="161"/>
      <c r="W4154" s="161"/>
      <c r="X4154" s="161"/>
      <c r="Y4154" s="161"/>
      <c r="Z4154" s="168"/>
      <c r="AA4154" s="168"/>
      <c r="AB4154" s="168"/>
      <c r="AC4154" s="168"/>
    </row>
    <row r="4155">
      <c r="A4155" s="161"/>
      <c r="B4155" s="161"/>
      <c r="C4155" s="162"/>
      <c r="D4155" s="163"/>
      <c r="E4155" s="164" t="str">
        <f>IFERROR(__xludf.DUMMYFUNCTION("""COMPUTED_VALUE"""),"")</f>
        <v/>
      </c>
      <c r="F4155" s="163"/>
      <c r="G4155" s="163"/>
      <c r="H4155" s="163"/>
      <c r="I4155" s="163"/>
      <c r="J4155" s="165"/>
      <c r="K4155" s="165"/>
      <c r="L4155" s="165"/>
      <c r="M4155" s="166"/>
      <c r="N4155" s="167"/>
      <c r="O4155" s="163"/>
      <c r="P4155" s="163"/>
      <c r="Q4155" s="163"/>
      <c r="R4155" s="163"/>
      <c r="S4155" s="161"/>
      <c r="T4155" s="161"/>
      <c r="U4155" s="161"/>
      <c r="V4155" s="161"/>
      <c r="W4155" s="161"/>
      <c r="X4155" s="161"/>
      <c r="Y4155" s="161"/>
      <c r="Z4155" s="168"/>
      <c r="AA4155" s="168"/>
      <c r="AB4155" s="168"/>
      <c r="AC4155" s="168"/>
    </row>
    <row r="4156">
      <c r="A4156" s="161"/>
      <c r="B4156" s="161"/>
      <c r="C4156" s="162"/>
      <c r="D4156" s="163"/>
      <c r="E4156" s="164" t="str">
        <f>IFERROR(__xludf.DUMMYFUNCTION("""COMPUTED_VALUE"""),"")</f>
        <v/>
      </c>
      <c r="F4156" s="163"/>
      <c r="G4156" s="163"/>
      <c r="H4156" s="163"/>
      <c r="I4156" s="163"/>
      <c r="J4156" s="165"/>
      <c r="K4156" s="165"/>
      <c r="L4156" s="165"/>
      <c r="M4156" s="166"/>
      <c r="N4156" s="167"/>
      <c r="O4156" s="163"/>
      <c r="P4156" s="163"/>
      <c r="Q4156" s="163"/>
      <c r="R4156" s="163"/>
      <c r="S4156" s="161"/>
      <c r="T4156" s="161"/>
      <c r="U4156" s="161"/>
      <c r="V4156" s="161"/>
      <c r="W4156" s="161"/>
      <c r="X4156" s="161"/>
      <c r="Y4156" s="161"/>
      <c r="Z4156" s="168"/>
      <c r="AA4156" s="168"/>
      <c r="AB4156" s="168"/>
      <c r="AC4156" s="168"/>
    </row>
    <row r="4157">
      <c r="A4157" s="161"/>
      <c r="B4157" s="161"/>
      <c r="C4157" s="162"/>
      <c r="D4157" s="163"/>
      <c r="E4157" s="164" t="str">
        <f>IFERROR(__xludf.DUMMYFUNCTION("""COMPUTED_VALUE"""),"")</f>
        <v/>
      </c>
      <c r="F4157" s="163"/>
      <c r="G4157" s="163"/>
      <c r="H4157" s="163"/>
      <c r="I4157" s="163"/>
      <c r="J4157" s="165"/>
      <c r="K4157" s="165"/>
      <c r="L4157" s="165"/>
      <c r="M4157" s="166"/>
      <c r="N4157" s="167"/>
      <c r="O4157" s="163"/>
      <c r="P4157" s="163"/>
      <c r="Q4157" s="163"/>
      <c r="R4157" s="163"/>
      <c r="S4157" s="161"/>
      <c r="T4157" s="161"/>
      <c r="U4157" s="161"/>
      <c r="V4157" s="161"/>
      <c r="W4157" s="161"/>
      <c r="X4157" s="161"/>
      <c r="Y4157" s="161"/>
      <c r="Z4157" s="168"/>
      <c r="AA4157" s="168"/>
      <c r="AB4157" s="168"/>
      <c r="AC4157" s="168"/>
    </row>
    <row r="4158">
      <c r="A4158" s="161"/>
      <c r="B4158" s="161"/>
      <c r="C4158" s="162"/>
      <c r="D4158" s="163"/>
      <c r="E4158" s="164" t="str">
        <f>IFERROR(__xludf.DUMMYFUNCTION("""COMPUTED_VALUE"""),"")</f>
        <v/>
      </c>
      <c r="F4158" s="163"/>
      <c r="G4158" s="163"/>
      <c r="H4158" s="163"/>
      <c r="I4158" s="163"/>
      <c r="J4158" s="165"/>
      <c r="K4158" s="165"/>
      <c r="L4158" s="165"/>
      <c r="M4158" s="166"/>
      <c r="N4158" s="167"/>
      <c r="O4158" s="163"/>
      <c r="P4158" s="163"/>
      <c r="Q4158" s="163"/>
      <c r="R4158" s="163"/>
      <c r="S4158" s="161"/>
      <c r="T4158" s="161"/>
      <c r="U4158" s="161"/>
      <c r="V4158" s="161"/>
      <c r="W4158" s="161"/>
      <c r="X4158" s="161"/>
      <c r="Y4158" s="161"/>
      <c r="Z4158" s="168"/>
      <c r="AA4158" s="168"/>
      <c r="AB4158" s="168"/>
      <c r="AC4158" s="168"/>
    </row>
    <row r="4159">
      <c r="A4159" s="161"/>
      <c r="B4159" s="161"/>
      <c r="C4159" s="162"/>
      <c r="D4159" s="163"/>
      <c r="E4159" s="164" t="str">
        <f>IFERROR(__xludf.DUMMYFUNCTION("""COMPUTED_VALUE"""),"")</f>
        <v/>
      </c>
      <c r="F4159" s="163"/>
      <c r="G4159" s="163"/>
      <c r="H4159" s="163"/>
      <c r="I4159" s="163"/>
      <c r="J4159" s="165"/>
      <c r="K4159" s="165"/>
      <c r="L4159" s="165"/>
      <c r="M4159" s="166"/>
      <c r="N4159" s="167"/>
      <c r="O4159" s="163"/>
      <c r="P4159" s="163"/>
      <c r="Q4159" s="163"/>
      <c r="R4159" s="163"/>
      <c r="S4159" s="161"/>
      <c r="T4159" s="161"/>
      <c r="U4159" s="161"/>
      <c r="V4159" s="161"/>
      <c r="W4159" s="161"/>
      <c r="X4159" s="161"/>
      <c r="Y4159" s="161"/>
      <c r="Z4159" s="168"/>
      <c r="AA4159" s="168"/>
      <c r="AB4159" s="168"/>
      <c r="AC4159" s="168"/>
    </row>
    <row r="4160">
      <c r="A4160" s="161"/>
      <c r="B4160" s="161"/>
      <c r="C4160" s="162"/>
      <c r="D4160" s="163"/>
      <c r="E4160" s="164" t="str">
        <f>IFERROR(__xludf.DUMMYFUNCTION("""COMPUTED_VALUE"""),"")</f>
        <v/>
      </c>
      <c r="F4160" s="163"/>
      <c r="G4160" s="163"/>
      <c r="H4160" s="163"/>
      <c r="I4160" s="163"/>
      <c r="J4160" s="165"/>
      <c r="K4160" s="165"/>
      <c r="L4160" s="165"/>
      <c r="M4160" s="166"/>
      <c r="N4160" s="167"/>
      <c r="O4160" s="163"/>
      <c r="P4160" s="163"/>
      <c r="Q4160" s="163"/>
      <c r="R4160" s="163"/>
      <c r="S4160" s="161"/>
      <c r="T4160" s="161"/>
      <c r="U4160" s="161"/>
      <c r="V4160" s="161"/>
      <c r="W4160" s="161"/>
      <c r="X4160" s="161"/>
      <c r="Y4160" s="161"/>
      <c r="Z4160" s="168"/>
      <c r="AA4160" s="168"/>
      <c r="AB4160" s="168"/>
      <c r="AC4160" s="168"/>
    </row>
    <row r="4161">
      <c r="A4161" s="161"/>
      <c r="B4161" s="161"/>
      <c r="C4161" s="162"/>
      <c r="D4161" s="163"/>
      <c r="E4161" s="164" t="str">
        <f>IFERROR(__xludf.DUMMYFUNCTION("""COMPUTED_VALUE"""),"")</f>
        <v/>
      </c>
      <c r="F4161" s="163"/>
      <c r="G4161" s="163"/>
      <c r="H4161" s="163"/>
      <c r="I4161" s="163"/>
      <c r="J4161" s="165"/>
      <c r="K4161" s="165"/>
      <c r="L4161" s="165"/>
      <c r="M4161" s="166"/>
      <c r="N4161" s="167"/>
      <c r="O4161" s="163"/>
      <c r="P4161" s="163"/>
      <c r="Q4161" s="163"/>
      <c r="R4161" s="163"/>
      <c r="S4161" s="161"/>
      <c r="T4161" s="161"/>
      <c r="U4161" s="161"/>
      <c r="V4161" s="161"/>
      <c r="W4161" s="161"/>
      <c r="X4161" s="161"/>
      <c r="Y4161" s="161"/>
      <c r="Z4161" s="168"/>
      <c r="AA4161" s="168"/>
      <c r="AB4161" s="168"/>
      <c r="AC4161" s="168"/>
    </row>
    <row r="4162">
      <c r="A4162" s="161"/>
      <c r="B4162" s="161"/>
      <c r="C4162" s="162"/>
      <c r="D4162" s="163"/>
      <c r="E4162" s="164" t="str">
        <f>IFERROR(__xludf.DUMMYFUNCTION("""COMPUTED_VALUE"""),"")</f>
        <v/>
      </c>
      <c r="F4162" s="163"/>
      <c r="G4162" s="163"/>
      <c r="H4162" s="163"/>
      <c r="I4162" s="163"/>
      <c r="J4162" s="165"/>
      <c r="K4162" s="165"/>
      <c r="L4162" s="165"/>
      <c r="M4162" s="166"/>
      <c r="N4162" s="167"/>
      <c r="O4162" s="163"/>
      <c r="P4162" s="163"/>
      <c r="Q4162" s="163"/>
      <c r="R4162" s="163"/>
      <c r="S4162" s="161"/>
      <c r="T4162" s="161"/>
      <c r="U4162" s="161"/>
      <c r="V4162" s="161"/>
      <c r="W4162" s="161"/>
      <c r="X4162" s="161"/>
      <c r="Y4162" s="161"/>
      <c r="Z4162" s="168"/>
      <c r="AA4162" s="168"/>
      <c r="AB4162" s="168"/>
      <c r="AC4162" s="168"/>
    </row>
    <row r="4163">
      <c r="A4163" s="161"/>
      <c r="B4163" s="161"/>
      <c r="C4163" s="162"/>
      <c r="D4163" s="163"/>
      <c r="E4163" s="164" t="str">
        <f>IFERROR(__xludf.DUMMYFUNCTION("""COMPUTED_VALUE"""),"")</f>
        <v/>
      </c>
      <c r="F4163" s="163"/>
      <c r="G4163" s="163"/>
      <c r="H4163" s="163"/>
      <c r="I4163" s="163"/>
      <c r="J4163" s="165"/>
      <c r="K4163" s="165"/>
      <c r="L4163" s="165"/>
      <c r="M4163" s="166"/>
      <c r="N4163" s="167"/>
      <c r="O4163" s="163"/>
      <c r="P4163" s="163"/>
      <c r="Q4163" s="163"/>
      <c r="R4163" s="163"/>
      <c r="S4163" s="161"/>
      <c r="T4163" s="161"/>
      <c r="U4163" s="161"/>
      <c r="V4163" s="161"/>
      <c r="W4163" s="161"/>
      <c r="X4163" s="161"/>
      <c r="Y4163" s="161"/>
      <c r="Z4163" s="168"/>
      <c r="AA4163" s="168"/>
      <c r="AB4163" s="168"/>
      <c r="AC4163" s="168"/>
    </row>
    <row r="4164">
      <c r="A4164" s="161"/>
      <c r="B4164" s="161"/>
      <c r="C4164" s="162"/>
      <c r="D4164" s="163"/>
      <c r="E4164" s="164" t="str">
        <f>IFERROR(__xludf.DUMMYFUNCTION("""COMPUTED_VALUE"""),"")</f>
        <v/>
      </c>
      <c r="F4164" s="163"/>
      <c r="G4164" s="163"/>
      <c r="H4164" s="163"/>
      <c r="I4164" s="163"/>
      <c r="J4164" s="165"/>
      <c r="K4164" s="165"/>
      <c r="L4164" s="165"/>
      <c r="M4164" s="166"/>
      <c r="N4164" s="167"/>
      <c r="O4164" s="163"/>
      <c r="P4164" s="163"/>
      <c r="Q4164" s="163"/>
      <c r="R4164" s="163"/>
      <c r="S4164" s="161"/>
      <c r="T4164" s="161"/>
      <c r="U4164" s="161"/>
      <c r="V4164" s="161"/>
      <c r="W4164" s="161"/>
      <c r="X4164" s="161"/>
      <c r="Y4164" s="161"/>
      <c r="Z4164" s="168"/>
      <c r="AA4164" s="168"/>
      <c r="AB4164" s="168"/>
      <c r="AC4164" s="168"/>
    </row>
    <row r="4165">
      <c r="A4165" s="161"/>
      <c r="B4165" s="161"/>
      <c r="C4165" s="162"/>
      <c r="D4165" s="163"/>
      <c r="E4165" s="164" t="str">
        <f>IFERROR(__xludf.DUMMYFUNCTION("""COMPUTED_VALUE"""),"")</f>
        <v/>
      </c>
      <c r="F4165" s="163"/>
      <c r="G4165" s="163"/>
      <c r="H4165" s="163"/>
      <c r="I4165" s="163"/>
      <c r="J4165" s="165"/>
      <c r="K4165" s="165"/>
      <c r="L4165" s="165"/>
      <c r="M4165" s="166"/>
      <c r="N4165" s="167"/>
      <c r="O4165" s="163"/>
      <c r="P4165" s="163"/>
      <c r="Q4165" s="163"/>
      <c r="R4165" s="163"/>
      <c r="S4165" s="161"/>
      <c r="T4165" s="161"/>
      <c r="U4165" s="161"/>
      <c r="V4165" s="161"/>
      <c r="W4165" s="161"/>
      <c r="X4165" s="161"/>
      <c r="Y4165" s="161"/>
      <c r="Z4165" s="168"/>
      <c r="AA4165" s="168"/>
      <c r="AB4165" s="168"/>
      <c r="AC4165" s="168"/>
    </row>
    <row r="4166">
      <c r="A4166" s="161"/>
      <c r="B4166" s="161"/>
      <c r="C4166" s="162"/>
      <c r="D4166" s="163"/>
      <c r="E4166" s="164" t="str">
        <f>IFERROR(__xludf.DUMMYFUNCTION("""COMPUTED_VALUE"""),"")</f>
        <v/>
      </c>
      <c r="F4166" s="163"/>
      <c r="G4166" s="163"/>
      <c r="H4166" s="163"/>
      <c r="I4166" s="163"/>
      <c r="J4166" s="165"/>
      <c r="K4166" s="165"/>
      <c r="L4166" s="165"/>
      <c r="M4166" s="166"/>
      <c r="N4166" s="167"/>
      <c r="O4166" s="163"/>
      <c r="P4166" s="163"/>
      <c r="Q4166" s="163"/>
      <c r="R4166" s="163"/>
      <c r="S4166" s="161"/>
      <c r="T4166" s="161"/>
      <c r="U4166" s="161"/>
      <c r="V4166" s="161"/>
      <c r="W4166" s="161"/>
      <c r="X4166" s="161"/>
      <c r="Y4166" s="161"/>
      <c r="Z4166" s="168"/>
      <c r="AA4166" s="168"/>
      <c r="AB4166" s="168"/>
      <c r="AC4166" s="168"/>
    </row>
    <row r="4167">
      <c r="A4167" s="161"/>
      <c r="B4167" s="161"/>
      <c r="C4167" s="162"/>
      <c r="D4167" s="163"/>
      <c r="E4167" s="164" t="str">
        <f>IFERROR(__xludf.DUMMYFUNCTION("""COMPUTED_VALUE"""),"")</f>
        <v/>
      </c>
      <c r="F4167" s="163"/>
      <c r="G4167" s="163"/>
      <c r="H4167" s="163"/>
      <c r="I4167" s="163"/>
      <c r="J4167" s="165"/>
      <c r="K4167" s="165"/>
      <c r="L4167" s="165"/>
      <c r="M4167" s="166"/>
      <c r="N4167" s="167"/>
      <c r="O4167" s="163"/>
      <c r="P4167" s="163"/>
      <c r="Q4167" s="163"/>
      <c r="R4167" s="163"/>
      <c r="S4167" s="161"/>
      <c r="T4167" s="161"/>
      <c r="U4167" s="161"/>
      <c r="V4167" s="161"/>
      <c r="W4167" s="161"/>
      <c r="X4167" s="161"/>
      <c r="Y4167" s="161"/>
      <c r="Z4167" s="168"/>
      <c r="AA4167" s="168"/>
      <c r="AB4167" s="168"/>
      <c r="AC4167" s="168"/>
    </row>
    <row r="4168">
      <c r="A4168" s="161"/>
      <c r="B4168" s="161"/>
      <c r="C4168" s="162"/>
      <c r="D4168" s="163"/>
      <c r="E4168" s="164" t="str">
        <f>IFERROR(__xludf.DUMMYFUNCTION("""COMPUTED_VALUE"""),"")</f>
        <v/>
      </c>
      <c r="F4168" s="163"/>
      <c r="G4168" s="163"/>
      <c r="H4168" s="163"/>
      <c r="I4168" s="163"/>
      <c r="J4168" s="165"/>
      <c r="K4168" s="165"/>
      <c r="L4168" s="165"/>
      <c r="M4168" s="166"/>
      <c r="N4168" s="167"/>
      <c r="O4168" s="163"/>
      <c r="P4168" s="163"/>
      <c r="Q4168" s="163"/>
      <c r="R4168" s="163"/>
      <c r="S4168" s="161"/>
      <c r="T4168" s="161"/>
      <c r="U4168" s="161"/>
      <c r="V4168" s="161"/>
      <c r="W4168" s="161"/>
      <c r="X4168" s="161"/>
      <c r="Y4168" s="161"/>
      <c r="Z4168" s="168"/>
      <c r="AA4168" s="168"/>
      <c r="AB4168" s="168"/>
      <c r="AC4168" s="168"/>
    </row>
    <row r="4169">
      <c r="A4169" s="161"/>
      <c r="B4169" s="161"/>
      <c r="C4169" s="162"/>
      <c r="D4169" s="163"/>
      <c r="E4169" s="164" t="str">
        <f>IFERROR(__xludf.DUMMYFUNCTION("""COMPUTED_VALUE"""),"")</f>
        <v/>
      </c>
      <c r="F4169" s="163"/>
      <c r="G4169" s="163"/>
      <c r="H4169" s="163"/>
      <c r="I4169" s="163"/>
      <c r="J4169" s="165"/>
      <c r="K4169" s="165"/>
      <c r="L4169" s="165"/>
      <c r="M4169" s="166"/>
      <c r="N4169" s="167"/>
      <c r="O4169" s="163"/>
      <c r="P4169" s="163"/>
      <c r="Q4169" s="163"/>
      <c r="R4169" s="163"/>
      <c r="S4169" s="161"/>
      <c r="T4169" s="161"/>
      <c r="U4169" s="161"/>
      <c r="V4169" s="161"/>
      <c r="W4169" s="161"/>
      <c r="X4169" s="161"/>
      <c r="Y4169" s="161"/>
      <c r="Z4169" s="168"/>
      <c r="AA4169" s="168"/>
      <c r="AB4169" s="168"/>
      <c r="AC4169" s="168"/>
    </row>
    <row r="4170">
      <c r="A4170" s="161"/>
      <c r="B4170" s="161"/>
      <c r="C4170" s="162"/>
      <c r="D4170" s="163"/>
      <c r="E4170" s="164" t="str">
        <f>IFERROR(__xludf.DUMMYFUNCTION("""COMPUTED_VALUE"""),"")</f>
        <v/>
      </c>
      <c r="F4170" s="163"/>
      <c r="G4170" s="163"/>
      <c r="H4170" s="163"/>
      <c r="I4170" s="163"/>
      <c r="J4170" s="165"/>
      <c r="K4170" s="165"/>
      <c r="L4170" s="165"/>
      <c r="M4170" s="166"/>
      <c r="N4170" s="167"/>
      <c r="O4170" s="163"/>
      <c r="P4170" s="163"/>
      <c r="Q4170" s="163"/>
      <c r="R4170" s="163"/>
      <c r="S4170" s="161"/>
      <c r="T4170" s="161"/>
      <c r="U4170" s="161"/>
      <c r="V4170" s="161"/>
      <c r="W4170" s="161"/>
      <c r="X4170" s="161"/>
      <c r="Y4170" s="161"/>
      <c r="Z4170" s="168"/>
      <c r="AA4170" s="168"/>
      <c r="AB4170" s="168"/>
      <c r="AC4170" s="168"/>
    </row>
    <row r="4171">
      <c r="A4171" s="161"/>
      <c r="B4171" s="161"/>
      <c r="C4171" s="162"/>
      <c r="D4171" s="163"/>
      <c r="E4171" s="164" t="str">
        <f>IFERROR(__xludf.DUMMYFUNCTION("""COMPUTED_VALUE"""),"")</f>
        <v/>
      </c>
      <c r="F4171" s="163"/>
      <c r="G4171" s="163"/>
      <c r="H4171" s="163"/>
      <c r="I4171" s="163"/>
      <c r="J4171" s="165"/>
      <c r="K4171" s="165"/>
      <c r="L4171" s="165"/>
      <c r="M4171" s="166"/>
      <c r="N4171" s="167"/>
      <c r="O4171" s="163"/>
      <c r="P4171" s="163"/>
      <c r="Q4171" s="163"/>
      <c r="R4171" s="163"/>
      <c r="S4171" s="161"/>
      <c r="T4171" s="161"/>
      <c r="U4171" s="161"/>
      <c r="V4171" s="161"/>
      <c r="W4171" s="161"/>
      <c r="X4171" s="161"/>
      <c r="Y4171" s="161"/>
      <c r="Z4171" s="168"/>
      <c r="AA4171" s="168"/>
      <c r="AB4171" s="168"/>
      <c r="AC4171" s="168"/>
    </row>
    <row r="4172">
      <c r="A4172" s="161"/>
      <c r="B4172" s="161"/>
      <c r="C4172" s="162"/>
      <c r="D4172" s="163"/>
      <c r="E4172" s="164" t="str">
        <f>IFERROR(__xludf.DUMMYFUNCTION("""COMPUTED_VALUE"""),"")</f>
        <v/>
      </c>
      <c r="F4172" s="163"/>
      <c r="G4172" s="163"/>
      <c r="H4172" s="163"/>
      <c r="I4172" s="163"/>
      <c r="J4172" s="165"/>
      <c r="K4172" s="165"/>
      <c r="L4172" s="165"/>
      <c r="M4172" s="166"/>
      <c r="N4172" s="167"/>
      <c r="O4172" s="163"/>
      <c r="P4172" s="163"/>
      <c r="Q4172" s="163"/>
      <c r="R4172" s="163"/>
      <c r="S4172" s="161"/>
      <c r="T4172" s="161"/>
      <c r="U4172" s="161"/>
      <c r="V4172" s="161"/>
      <c r="W4172" s="161"/>
      <c r="X4172" s="161"/>
      <c r="Y4172" s="161"/>
      <c r="Z4172" s="168"/>
      <c r="AA4172" s="168"/>
      <c r="AB4172" s="168"/>
      <c r="AC4172" s="168"/>
    </row>
    <row r="4173">
      <c r="A4173" s="161"/>
      <c r="B4173" s="161"/>
      <c r="C4173" s="162"/>
      <c r="D4173" s="163"/>
      <c r="E4173" s="164" t="str">
        <f>IFERROR(__xludf.DUMMYFUNCTION("""COMPUTED_VALUE"""),"")</f>
        <v/>
      </c>
      <c r="F4173" s="163"/>
      <c r="G4173" s="163"/>
      <c r="H4173" s="163"/>
      <c r="I4173" s="163"/>
      <c r="J4173" s="165"/>
      <c r="K4173" s="165"/>
      <c r="L4173" s="165"/>
      <c r="M4173" s="166"/>
      <c r="N4173" s="167"/>
      <c r="O4173" s="163"/>
      <c r="P4173" s="163"/>
      <c r="Q4173" s="163"/>
      <c r="R4173" s="163"/>
      <c r="S4173" s="161"/>
      <c r="T4173" s="161"/>
      <c r="U4173" s="161"/>
      <c r="V4173" s="161"/>
      <c r="W4173" s="161"/>
      <c r="X4173" s="161"/>
      <c r="Y4173" s="161"/>
      <c r="Z4173" s="168"/>
      <c r="AA4173" s="168"/>
      <c r="AB4173" s="168"/>
      <c r="AC4173" s="168"/>
    </row>
    <row r="4174">
      <c r="A4174" s="161"/>
      <c r="B4174" s="161"/>
      <c r="C4174" s="162"/>
      <c r="D4174" s="163"/>
      <c r="E4174" s="164" t="str">
        <f>IFERROR(__xludf.DUMMYFUNCTION("""COMPUTED_VALUE"""),"")</f>
        <v/>
      </c>
      <c r="F4174" s="163"/>
      <c r="G4174" s="163"/>
      <c r="H4174" s="163"/>
      <c r="I4174" s="163"/>
      <c r="J4174" s="165"/>
      <c r="K4174" s="165"/>
      <c r="L4174" s="165"/>
      <c r="M4174" s="166"/>
      <c r="N4174" s="167"/>
      <c r="O4174" s="163"/>
      <c r="P4174" s="163"/>
      <c r="Q4174" s="163"/>
      <c r="R4174" s="163"/>
      <c r="S4174" s="161"/>
      <c r="T4174" s="161"/>
      <c r="U4174" s="161"/>
      <c r="V4174" s="161"/>
      <c r="W4174" s="161"/>
      <c r="X4174" s="161"/>
      <c r="Y4174" s="161"/>
      <c r="Z4174" s="168"/>
      <c r="AA4174" s="168"/>
      <c r="AB4174" s="168"/>
      <c r="AC4174" s="168"/>
    </row>
    <row r="4175">
      <c r="A4175" s="161"/>
      <c r="B4175" s="161"/>
      <c r="C4175" s="162"/>
      <c r="D4175" s="163"/>
      <c r="E4175" s="164" t="str">
        <f>IFERROR(__xludf.DUMMYFUNCTION("""COMPUTED_VALUE"""),"")</f>
        <v/>
      </c>
      <c r="F4175" s="163"/>
      <c r="G4175" s="163"/>
      <c r="H4175" s="163"/>
      <c r="I4175" s="163"/>
      <c r="J4175" s="165"/>
      <c r="K4175" s="165"/>
      <c r="L4175" s="165"/>
      <c r="M4175" s="166"/>
      <c r="N4175" s="167"/>
      <c r="O4175" s="163"/>
      <c r="P4175" s="163"/>
      <c r="Q4175" s="163"/>
      <c r="R4175" s="163"/>
      <c r="S4175" s="161"/>
      <c r="T4175" s="161"/>
      <c r="U4175" s="161"/>
      <c r="V4175" s="161"/>
      <c r="W4175" s="161"/>
      <c r="X4175" s="161"/>
      <c r="Y4175" s="161"/>
      <c r="Z4175" s="168"/>
      <c r="AA4175" s="168"/>
      <c r="AB4175" s="168"/>
      <c r="AC4175" s="168"/>
    </row>
    <row r="4176">
      <c r="A4176" s="161"/>
      <c r="B4176" s="161"/>
      <c r="C4176" s="162"/>
      <c r="D4176" s="163"/>
      <c r="E4176" s="164" t="str">
        <f>IFERROR(__xludf.DUMMYFUNCTION("""COMPUTED_VALUE"""),"")</f>
        <v/>
      </c>
      <c r="F4176" s="163"/>
      <c r="G4176" s="163"/>
      <c r="H4176" s="163"/>
      <c r="I4176" s="163"/>
      <c r="J4176" s="165"/>
      <c r="K4176" s="165"/>
      <c r="L4176" s="165"/>
      <c r="M4176" s="166"/>
      <c r="N4176" s="167"/>
      <c r="O4176" s="163"/>
      <c r="P4176" s="163"/>
      <c r="Q4176" s="163"/>
      <c r="R4176" s="163"/>
      <c r="S4176" s="161"/>
      <c r="T4176" s="161"/>
      <c r="U4176" s="161"/>
      <c r="V4176" s="161"/>
      <c r="W4176" s="161"/>
      <c r="X4176" s="161"/>
      <c r="Y4176" s="161"/>
      <c r="Z4176" s="168"/>
      <c r="AA4176" s="168"/>
      <c r="AB4176" s="168"/>
      <c r="AC4176" s="168"/>
    </row>
    <row r="4177">
      <c r="A4177" s="161"/>
      <c r="B4177" s="161"/>
      <c r="C4177" s="162"/>
      <c r="D4177" s="163"/>
      <c r="E4177" s="164" t="str">
        <f>IFERROR(__xludf.DUMMYFUNCTION("""COMPUTED_VALUE"""),"")</f>
        <v/>
      </c>
      <c r="F4177" s="163"/>
      <c r="G4177" s="163"/>
      <c r="H4177" s="163"/>
      <c r="I4177" s="163"/>
      <c r="J4177" s="165"/>
      <c r="K4177" s="165"/>
      <c r="L4177" s="165"/>
      <c r="M4177" s="166"/>
      <c r="N4177" s="167"/>
      <c r="O4177" s="163"/>
      <c r="P4177" s="163"/>
      <c r="Q4177" s="163"/>
      <c r="R4177" s="163"/>
      <c r="S4177" s="161"/>
      <c r="T4177" s="161"/>
      <c r="U4177" s="161"/>
      <c r="V4177" s="161"/>
      <c r="W4177" s="161"/>
      <c r="X4177" s="161"/>
      <c r="Y4177" s="161"/>
      <c r="Z4177" s="168"/>
      <c r="AA4177" s="168"/>
      <c r="AB4177" s="168"/>
      <c r="AC4177" s="168"/>
    </row>
    <row r="4178">
      <c r="A4178" s="161"/>
      <c r="B4178" s="161"/>
      <c r="C4178" s="162"/>
      <c r="D4178" s="163"/>
      <c r="E4178" s="164" t="str">
        <f>IFERROR(__xludf.DUMMYFUNCTION("""COMPUTED_VALUE"""),"")</f>
        <v/>
      </c>
      <c r="F4178" s="163"/>
      <c r="G4178" s="163"/>
      <c r="H4178" s="163"/>
      <c r="I4178" s="163"/>
      <c r="J4178" s="165"/>
      <c r="K4178" s="165"/>
      <c r="L4178" s="165"/>
      <c r="M4178" s="166"/>
      <c r="N4178" s="167"/>
      <c r="O4178" s="163"/>
      <c r="P4178" s="163"/>
      <c r="Q4178" s="163"/>
      <c r="R4178" s="163"/>
      <c r="S4178" s="161"/>
      <c r="T4178" s="161"/>
      <c r="U4178" s="161"/>
      <c r="V4178" s="161"/>
      <c r="W4178" s="161"/>
      <c r="X4178" s="161"/>
      <c r="Y4178" s="161"/>
      <c r="Z4178" s="168"/>
      <c r="AA4178" s="168"/>
      <c r="AB4178" s="168"/>
      <c r="AC4178" s="168"/>
    </row>
    <row r="4179">
      <c r="A4179" s="161"/>
      <c r="B4179" s="161"/>
      <c r="C4179" s="162"/>
      <c r="D4179" s="163"/>
      <c r="E4179" s="164" t="str">
        <f>IFERROR(__xludf.DUMMYFUNCTION("""COMPUTED_VALUE"""),"")</f>
        <v/>
      </c>
      <c r="F4179" s="163"/>
      <c r="G4179" s="163"/>
      <c r="H4179" s="163"/>
      <c r="I4179" s="163"/>
      <c r="J4179" s="165"/>
      <c r="K4179" s="165"/>
      <c r="L4179" s="165"/>
      <c r="M4179" s="166"/>
      <c r="N4179" s="167"/>
      <c r="O4179" s="163"/>
      <c r="P4179" s="163"/>
      <c r="Q4179" s="163"/>
      <c r="R4179" s="163"/>
      <c r="S4179" s="161"/>
      <c r="T4179" s="161"/>
      <c r="U4179" s="161"/>
      <c r="V4179" s="161"/>
      <c r="W4179" s="161"/>
      <c r="X4179" s="161"/>
      <c r="Y4179" s="161"/>
      <c r="Z4179" s="168"/>
      <c r="AA4179" s="168"/>
      <c r="AB4179" s="168"/>
      <c r="AC4179" s="168"/>
    </row>
    <row r="4180">
      <c r="A4180" s="161"/>
      <c r="B4180" s="161"/>
      <c r="C4180" s="162"/>
      <c r="D4180" s="163"/>
      <c r="E4180" s="164" t="str">
        <f>IFERROR(__xludf.DUMMYFUNCTION("""COMPUTED_VALUE"""),"")</f>
        <v/>
      </c>
      <c r="F4180" s="163"/>
      <c r="G4180" s="163"/>
      <c r="H4180" s="163"/>
      <c r="I4180" s="163"/>
      <c r="J4180" s="165"/>
      <c r="K4180" s="165"/>
      <c r="L4180" s="165"/>
      <c r="M4180" s="166"/>
      <c r="N4180" s="167"/>
      <c r="O4180" s="163"/>
      <c r="P4180" s="163"/>
      <c r="Q4180" s="163"/>
      <c r="R4180" s="163"/>
      <c r="S4180" s="161"/>
      <c r="T4180" s="161"/>
      <c r="U4180" s="161"/>
      <c r="V4180" s="161"/>
      <c r="W4180" s="161"/>
      <c r="X4180" s="161"/>
      <c r="Y4180" s="161"/>
      <c r="Z4180" s="168"/>
      <c r="AA4180" s="168"/>
      <c r="AB4180" s="168"/>
      <c r="AC4180" s="168"/>
    </row>
    <row r="4181">
      <c r="A4181" s="161"/>
      <c r="B4181" s="161"/>
      <c r="C4181" s="162"/>
      <c r="D4181" s="163"/>
      <c r="E4181" s="164" t="str">
        <f>IFERROR(__xludf.DUMMYFUNCTION("""COMPUTED_VALUE"""),"")</f>
        <v/>
      </c>
      <c r="F4181" s="163"/>
      <c r="G4181" s="163"/>
      <c r="H4181" s="163"/>
      <c r="I4181" s="163"/>
      <c r="J4181" s="165"/>
      <c r="K4181" s="165"/>
      <c r="L4181" s="165"/>
      <c r="M4181" s="166"/>
      <c r="N4181" s="167"/>
      <c r="O4181" s="163"/>
      <c r="P4181" s="163"/>
      <c r="Q4181" s="163"/>
      <c r="R4181" s="163"/>
      <c r="S4181" s="161"/>
      <c r="T4181" s="161"/>
      <c r="U4181" s="161"/>
      <c r="V4181" s="161"/>
      <c r="W4181" s="161"/>
      <c r="X4181" s="161"/>
      <c r="Y4181" s="161"/>
      <c r="Z4181" s="168"/>
      <c r="AA4181" s="168"/>
      <c r="AB4181" s="168"/>
      <c r="AC4181" s="168"/>
    </row>
    <row r="4182">
      <c r="A4182" s="161"/>
      <c r="B4182" s="161"/>
      <c r="C4182" s="162"/>
      <c r="D4182" s="163"/>
      <c r="E4182" s="164" t="str">
        <f>IFERROR(__xludf.DUMMYFUNCTION("""COMPUTED_VALUE"""),"")</f>
        <v/>
      </c>
      <c r="F4182" s="163"/>
      <c r="G4182" s="163"/>
      <c r="H4182" s="163"/>
      <c r="I4182" s="163"/>
      <c r="J4182" s="165"/>
      <c r="K4182" s="165"/>
      <c r="L4182" s="165"/>
      <c r="M4182" s="166"/>
      <c r="N4182" s="167"/>
      <c r="O4182" s="163"/>
      <c r="P4182" s="163"/>
      <c r="Q4182" s="163"/>
      <c r="R4182" s="163"/>
      <c r="S4182" s="161"/>
      <c r="T4182" s="161"/>
      <c r="U4182" s="161"/>
      <c r="V4182" s="161"/>
      <c r="W4182" s="161"/>
      <c r="X4182" s="161"/>
      <c r="Y4182" s="161"/>
      <c r="Z4182" s="168"/>
      <c r="AA4182" s="168"/>
      <c r="AB4182" s="168"/>
      <c r="AC4182" s="168"/>
    </row>
    <row r="4183">
      <c r="A4183" s="161"/>
      <c r="B4183" s="161"/>
      <c r="C4183" s="162"/>
      <c r="D4183" s="163"/>
      <c r="E4183" s="164" t="str">
        <f>IFERROR(__xludf.DUMMYFUNCTION("""COMPUTED_VALUE"""),"")</f>
        <v/>
      </c>
      <c r="F4183" s="163"/>
      <c r="G4183" s="163"/>
      <c r="H4183" s="163"/>
      <c r="I4183" s="163"/>
      <c r="J4183" s="165"/>
      <c r="K4183" s="165"/>
      <c r="L4183" s="165"/>
      <c r="M4183" s="166"/>
      <c r="N4183" s="167"/>
      <c r="O4183" s="163"/>
      <c r="P4183" s="163"/>
      <c r="Q4183" s="163"/>
      <c r="R4183" s="163"/>
      <c r="S4183" s="161"/>
      <c r="T4183" s="161"/>
      <c r="U4183" s="161"/>
      <c r="V4183" s="161"/>
      <c r="W4183" s="161"/>
      <c r="X4183" s="161"/>
      <c r="Y4183" s="161"/>
      <c r="Z4183" s="168"/>
      <c r="AA4183" s="168"/>
      <c r="AB4183" s="168"/>
      <c r="AC4183" s="168"/>
    </row>
    <row r="4184">
      <c r="A4184" s="161"/>
      <c r="B4184" s="161"/>
      <c r="C4184" s="162"/>
      <c r="D4184" s="163"/>
      <c r="E4184" s="164" t="str">
        <f>IFERROR(__xludf.DUMMYFUNCTION("""COMPUTED_VALUE"""),"")</f>
        <v/>
      </c>
      <c r="F4184" s="163"/>
      <c r="G4184" s="163"/>
      <c r="H4184" s="163"/>
      <c r="I4184" s="163"/>
      <c r="J4184" s="165"/>
      <c r="K4184" s="165"/>
      <c r="L4184" s="165"/>
      <c r="M4184" s="166"/>
      <c r="N4184" s="167"/>
      <c r="O4184" s="163"/>
      <c r="P4184" s="163"/>
      <c r="Q4184" s="163"/>
      <c r="R4184" s="163"/>
      <c r="S4184" s="161"/>
      <c r="T4184" s="161"/>
      <c r="U4184" s="161"/>
      <c r="V4184" s="161"/>
      <c r="W4184" s="161"/>
      <c r="X4184" s="161"/>
      <c r="Y4184" s="161"/>
      <c r="Z4184" s="168"/>
      <c r="AA4184" s="168"/>
      <c r="AB4184" s="168"/>
      <c r="AC4184" s="168"/>
    </row>
    <row r="4185">
      <c r="A4185" s="161"/>
      <c r="B4185" s="161"/>
      <c r="C4185" s="162"/>
      <c r="D4185" s="163"/>
      <c r="E4185" s="164" t="str">
        <f>IFERROR(__xludf.DUMMYFUNCTION("""COMPUTED_VALUE"""),"")</f>
        <v/>
      </c>
      <c r="F4185" s="163"/>
      <c r="G4185" s="163"/>
      <c r="H4185" s="163"/>
      <c r="I4185" s="163"/>
      <c r="J4185" s="165"/>
      <c r="K4185" s="165"/>
      <c r="L4185" s="165"/>
      <c r="M4185" s="166"/>
      <c r="N4185" s="167"/>
      <c r="O4185" s="163"/>
      <c r="P4185" s="163"/>
      <c r="Q4185" s="163"/>
      <c r="R4185" s="163"/>
      <c r="S4185" s="161"/>
      <c r="T4185" s="161"/>
      <c r="U4185" s="161"/>
      <c r="V4185" s="161"/>
      <c r="W4185" s="161"/>
      <c r="X4185" s="161"/>
      <c r="Y4185" s="161"/>
      <c r="Z4185" s="168"/>
      <c r="AA4185" s="168"/>
      <c r="AB4185" s="168"/>
      <c r="AC4185" s="168"/>
    </row>
    <row r="4186">
      <c r="A4186" s="161"/>
      <c r="B4186" s="161"/>
      <c r="C4186" s="162"/>
      <c r="D4186" s="163"/>
      <c r="E4186" s="164" t="str">
        <f>IFERROR(__xludf.DUMMYFUNCTION("""COMPUTED_VALUE"""),"")</f>
        <v/>
      </c>
      <c r="F4186" s="163"/>
      <c r="G4186" s="163"/>
      <c r="H4186" s="163"/>
      <c r="I4186" s="163"/>
      <c r="J4186" s="165"/>
      <c r="K4186" s="165"/>
      <c r="L4186" s="165"/>
      <c r="M4186" s="166"/>
      <c r="N4186" s="167"/>
      <c r="O4186" s="163"/>
      <c r="P4186" s="163"/>
      <c r="Q4186" s="163"/>
      <c r="R4186" s="163"/>
      <c r="S4186" s="161"/>
      <c r="T4186" s="161"/>
      <c r="U4186" s="161"/>
      <c r="V4186" s="161"/>
      <c r="W4186" s="161"/>
      <c r="X4186" s="161"/>
      <c r="Y4186" s="161"/>
      <c r="Z4186" s="168"/>
      <c r="AA4186" s="168"/>
      <c r="AB4186" s="168"/>
      <c r="AC4186" s="168"/>
    </row>
    <row r="4187">
      <c r="A4187" s="161"/>
      <c r="B4187" s="161"/>
      <c r="C4187" s="162"/>
      <c r="D4187" s="163"/>
      <c r="E4187" s="164" t="str">
        <f>IFERROR(__xludf.DUMMYFUNCTION("""COMPUTED_VALUE"""),"")</f>
        <v/>
      </c>
      <c r="F4187" s="163"/>
      <c r="G4187" s="163"/>
      <c r="H4187" s="163"/>
      <c r="I4187" s="163"/>
      <c r="J4187" s="165"/>
      <c r="K4187" s="165"/>
      <c r="L4187" s="165"/>
      <c r="M4187" s="166"/>
      <c r="N4187" s="167"/>
      <c r="O4187" s="163"/>
      <c r="P4187" s="163"/>
      <c r="Q4187" s="163"/>
      <c r="R4187" s="163"/>
      <c r="S4187" s="161"/>
      <c r="T4187" s="161"/>
      <c r="U4187" s="161"/>
      <c r="V4187" s="161"/>
      <c r="W4187" s="161"/>
      <c r="X4187" s="161"/>
      <c r="Y4187" s="161"/>
      <c r="Z4187" s="168"/>
      <c r="AA4187" s="168"/>
      <c r="AB4187" s="168"/>
      <c r="AC4187" s="168"/>
    </row>
    <row r="4188">
      <c r="A4188" s="161"/>
      <c r="B4188" s="161"/>
      <c r="C4188" s="162"/>
      <c r="D4188" s="163"/>
      <c r="E4188" s="164" t="str">
        <f>IFERROR(__xludf.DUMMYFUNCTION("""COMPUTED_VALUE"""),"")</f>
        <v/>
      </c>
      <c r="F4188" s="163"/>
      <c r="G4188" s="163"/>
      <c r="H4188" s="163"/>
      <c r="I4188" s="163"/>
      <c r="J4188" s="165"/>
      <c r="K4188" s="165"/>
      <c r="L4188" s="165"/>
      <c r="M4188" s="166"/>
      <c r="N4188" s="167"/>
      <c r="O4188" s="163"/>
      <c r="P4188" s="163"/>
      <c r="Q4188" s="163"/>
      <c r="R4188" s="163"/>
      <c r="S4188" s="161"/>
      <c r="T4188" s="161"/>
      <c r="U4188" s="161"/>
      <c r="V4188" s="161"/>
      <c r="W4188" s="161"/>
      <c r="X4188" s="161"/>
      <c r="Y4188" s="161"/>
      <c r="Z4188" s="168"/>
      <c r="AA4188" s="168"/>
      <c r="AB4188" s="168"/>
      <c r="AC4188" s="168"/>
    </row>
    <row r="4189">
      <c r="A4189" s="161"/>
      <c r="B4189" s="161"/>
      <c r="C4189" s="162"/>
      <c r="D4189" s="163"/>
      <c r="E4189" s="164" t="str">
        <f>IFERROR(__xludf.DUMMYFUNCTION("""COMPUTED_VALUE"""),"")</f>
        <v/>
      </c>
      <c r="F4189" s="163"/>
      <c r="G4189" s="163"/>
      <c r="H4189" s="163"/>
      <c r="I4189" s="163"/>
      <c r="J4189" s="165"/>
      <c r="K4189" s="165"/>
      <c r="L4189" s="165"/>
      <c r="M4189" s="166"/>
      <c r="N4189" s="167"/>
      <c r="O4189" s="163"/>
      <c r="P4189" s="163"/>
      <c r="Q4189" s="163"/>
      <c r="R4189" s="163"/>
      <c r="S4189" s="161"/>
      <c r="T4189" s="161"/>
      <c r="U4189" s="161"/>
      <c r="V4189" s="161"/>
      <c r="W4189" s="161"/>
      <c r="X4189" s="161"/>
      <c r="Y4189" s="161"/>
      <c r="Z4189" s="168"/>
      <c r="AA4189" s="168"/>
      <c r="AB4189" s="168"/>
      <c r="AC4189" s="168"/>
    </row>
    <row r="4190">
      <c r="A4190" s="161"/>
      <c r="B4190" s="161"/>
      <c r="C4190" s="162"/>
      <c r="D4190" s="163"/>
      <c r="E4190" s="164" t="str">
        <f>IFERROR(__xludf.DUMMYFUNCTION("""COMPUTED_VALUE"""),"")</f>
        <v/>
      </c>
      <c r="F4190" s="163"/>
      <c r="G4190" s="163"/>
      <c r="H4190" s="163"/>
      <c r="I4190" s="163"/>
      <c r="J4190" s="165"/>
      <c r="K4190" s="165"/>
      <c r="L4190" s="165"/>
      <c r="M4190" s="166"/>
      <c r="N4190" s="167"/>
      <c r="O4190" s="163"/>
      <c r="P4190" s="163"/>
      <c r="Q4190" s="163"/>
      <c r="R4190" s="163"/>
      <c r="S4190" s="161"/>
      <c r="T4190" s="161"/>
      <c r="U4190" s="161"/>
      <c r="V4190" s="161"/>
      <c r="W4190" s="161"/>
      <c r="X4190" s="161"/>
      <c r="Y4190" s="161"/>
      <c r="Z4190" s="168"/>
      <c r="AA4190" s="168"/>
      <c r="AB4190" s="168"/>
      <c r="AC4190" s="168"/>
    </row>
    <row r="4191">
      <c r="A4191" s="161"/>
      <c r="B4191" s="161"/>
      <c r="C4191" s="162"/>
      <c r="D4191" s="163"/>
      <c r="E4191" s="164" t="str">
        <f>IFERROR(__xludf.DUMMYFUNCTION("""COMPUTED_VALUE"""),"")</f>
        <v/>
      </c>
      <c r="F4191" s="163"/>
      <c r="G4191" s="163"/>
      <c r="H4191" s="163"/>
      <c r="I4191" s="163"/>
      <c r="J4191" s="165"/>
      <c r="K4191" s="165"/>
      <c r="L4191" s="165"/>
      <c r="M4191" s="166"/>
      <c r="N4191" s="167"/>
      <c r="O4191" s="163"/>
      <c r="P4191" s="163"/>
      <c r="Q4191" s="163"/>
      <c r="R4191" s="163"/>
      <c r="S4191" s="161"/>
      <c r="T4191" s="161"/>
      <c r="U4191" s="161"/>
      <c r="V4191" s="161"/>
      <c r="W4191" s="161"/>
      <c r="X4191" s="161"/>
      <c r="Y4191" s="161"/>
      <c r="Z4191" s="168"/>
      <c r="AA4191" s="168"/>
      <c r="AB4191" s="168"/>
      <c r="AC4191" s="168"/>
    </row>
    <row r="4192">
      <c r="A4192" s="161"/>
      <c r="B4192" s="161"/>
      <c r="C4192" s="162"/>
      <c r="D4192" s="163"/>
      <c r="E4192" s="164" t="str">
        <f>IFERROR(__xludf.DUMMYFUNCTION("""COMPUTED_VALUE"""),"")</f>
        <v/>
      </c>
      <c r="F4192" s="163"/>
      <c r="G4192" s="163"/>
      <c r="H4192" s="163"/>
      <c r="I4192" s="163"/>
      <c r="J4192" s="165"/>
      <c r="K4192" s="165"/>
      <c r="L4192" s="165"/>
      <c r="M4192" s="166"/>
      <c r="N4192" s="167"/>
      <c r="O4192" s="163"/>
      <c r="P4192" s="163"/>
      <c r="Q4192" s="163"/>
      <c r="R4192" s="163"/>
      <c r="S4192" s="161"/>
      <c r="T4192" s="161"/>
      <c r="U4192" s="161"/>
      <c r="V4192" s="161"/>
      <c r="W4192" s="161"/>
      <c r="X4192" s="161"/>
      <c r="Y4192" s="161"/>
      <c r="Z4192" s="168"/>
      <c r="AA4192" s="168"/>
      <c r="AB4192" s="168"/>
      <c r="AC4192" s="168"/>
    </row>
    <row r="4193">
      <c r="A4193" s="161"/>
      <c r="B4193" s="161"/>
      <c r="C4193" s="162"/>
      <c r="D4193" s="163"/>
      <c r="E4193" s="164" t="str">
        <f>IFERROR(__xludf.DUMMYFUNCTION("""COMPUTED_VALUE"""),"")</f>
        <v/>
      </c>
      <c r="F4193" s="163"/>
      <c r="G4193" s="163"/>
      <c r="H4193" s="163"/>
      <c r="I4193" s="163"/>
      <c r="J4193" s="165"/>
      <c r="K4193" s="165"/>
      <c r="L4193" s="165"/>
      <c r="M4193" s="166"/>
      <c r="N4193" s="167"/>
      <c r="O4193" s="163"/>
      <c r="P4193" s="163"/>
      <c r="Q4193" s="163"/>
      <c r="R4193" s="163"/>
      <c r="S4193" s="161"/>
      <c r="T4193" s="161"/>
      <c r="U4193" s="161"/>
      <c r="V4193" s="161"/>
      <c r="W4193" s="161"/>
      <c r="X4193" s="161"/>
      <c r="Y4193" s="161"/>
      <c r="Z4193" s="168"/>
      <c r="AA4193" s="168"/>
      <c r="AB4193" s="168"/>
      <c r="AC4193" s="168"/>
    </row>
    <row r="4194">
      <c r="A4194" s="161"/>
      <c r="B4194" s="161"/>
      <c r="C4194" s="162"/>
      <c r="D4194" s="163"/>
      <c r="E4194" s="164" t="str">
        <f>IFERROR(__xludf.DUMMYFUNCTION("""COMPUTED_VALUE"""),"")</f>
        <v/>
      </c>
      <c r="F4194" s="163"/>
      <c r="G4194" s="163"/>
      <c r="H4194" s="163"/>
      <c r="I4194" s="163"/>
      <c r="J4194" s="165"/>
      <c r="K4194" s="165"/>
      <c r="L4194" s="165"/>
      <c r="M4194" s="166"/>
      <c r="N4194" s="167"/>
      <c r="O4194" s="163"/>
      <c r="P4194" s="163"/>
      <c r="Q4194" s="163"/>
      <c r="R4194" s="163"/>
      <c r="S4194" s="161"/>
      <c r="T4194" s="161"/>
      <c r="U4194" s="161"/>
      <c r="V4194" s="161"/>
      <c r="W4194" s="161"/>
      <c r="X4194" s="161"/>
      <c r="Y4194" s="161"/>
      <c r="Z4194" s="168"/>
      <c r="AA4194" s="168"/>
      <c r="AB4194" s="168"/>
      <c r="AC4194" s="168"/>
    </row>
    <row r="4195">
      <c r="A4195" s="161"/>
      <c r="B4195" s="161"/>
      <c r="C4195" s="162"/>
      <c r="D4195" s="163"/>
      <c r="E4195" s="164" t="str">
        <f>IFERROR(__xludf.DUMMYFUNCTION("""COMPUTED_VALUE"""),"")</f>
        <v/>
      </c>
      <c r="F4195" s="163"/>
      <c r="G4195" s="163"/>
      <c r="H4195" s="163"/>
      <c r="I4195" s="163"/>
      <c r="J4195" s="165"/>
      <c r="K4195" s="165"/>
      <c r="L4195" s="165"/>
      <c r="M4195" s="166"/>
      <c r="N4195" s="167"/>
      <c r="O4195" s="163"/>
      <c r="P4195" s="163"/>
      <c r="Q4195" s="163"/>
      <c r="R4195" s="163"/>
      <c r="S4195" s="161"/>
      <c r="T4195" s="161"/>
      <c r="U4195" s="161"/>
      <c r="V4195" s="161"/>
      <c r="W4195" s="161"/>
      <c r="X4195" s="161"/>
      <c r="Y4195" s="161"/>
      <c r="Z4195" s="168"/>
      <c r="AA4195" s="168"/>
      <c r="AB4195" s="168"/>
      <c r="AC4195" s="168"/>
    </row>
    <row r="4196">
      <c r="A4196" s="161"/>
      <c r="B4196" s="161"/>
      <c r="C4196" s="162"/>
      <c r="D4196" s="163"/>
      <c r="E4196" s="164" t="str">
        <f>IFERROR(__xludf.DUMMYFUNCTION("""COMPUTED_VALUE"""),"")</f>
        <v/>
      </c>
      <c r="F4196" s="163"/>
      <c r="G4196" s="163"/>
      <c r="H4196" s="163"/>
      <c r="I4196" s="163"/>
      <c r="J4196" s="165"/>
      <c r="K4196" s="165"/>
      <c r="L4196" s="165"/>
      <c r="M4196" s="166"/>
      <c r="N4196" s="167"/>
      <c r="O4196" s="163"/>
      <c r="P4196" s="163"/>
      <c r="Q4196" s="163"/>
      <c r="R4196" s="163"/>
      <c r="S4196" s="161"/>
      <c r="T4196" s="161"/>
      <c r="U4196" s="161"/>
      <c r="V4196" s="161"/>
      <c r="W4196" s="161"/>
      <c r="X4196" s="161"/>
      <c r="Y4196" s="161"/>
      <c r="Z4196" s="168"/>
      <c r="AA4196" s="168"/>
      <c r="AB4196" s="168"/>
      <c r="AC4196" s="168"/>
    </row>
    <row r="4197">
      <c r="A4197" s="161"/>
      <c r="B4197" s="161"/>
      <c r="C4197" s="162"/>
      <c r="D4197" s="163"/>
      <c r="E4197" s="164" t="str">
        <f>IFERROR(__xludf.DUMMYFUNCTION("""COMPUTED_VALUE"""),"")</f>
        <v/>
      </c>
      <c r="F4197" s="163"/>
      <c r="G4197" s="163"/>
      <c r="H4197" s="163"/>
      <c r="I4197" s="163"/>
      <c r="J4197" s="165"/>
      <c r="K4197" s="165"/>
      <c r="L4197" s="165"/>
      <c r="M4197" s="166"/>
      <c r="N4197" s="167"/>
      <c r="O4197" s="163"/>
      <c r="P4197" s="163"/>
      <c r="Q4197" s="163"/>
      <c r="R4197" s="163"/>
      <c r="S4197" s="161"/>
      <c r="T4197" s="161"/>
      <c r="U4197" s="161"/>
      <c r="V4197" s="161"/>
      <c r="W4197" s="161"/>
      <c r="X4197" s="161"/>
      <c r="Y4197" s="161"/>
      <c r="Z4197" s="168"/>
      <c r="AA4197" s="168"/>
      <c r="AB4197" s="168"/>
      <c r="AC4197" s="168"/>
    </row>
    <row r="4198">
      <c r="A4198" s="161"/>
      <c r="B4198" s="161"/>
      <c r="C4198" s="162"/>
      <c r="D4198" s="163"/>
      <c r="E4198" s="164" t="str">
        <f>IFERROR(__xludf.DUMMYFUNCTION("""COMPUTED_VALUE"""),"")</f>
        <v/>
      </c>
      <c r="F4198" s="163"/>
      <c r="G4198" s="163"/>
      <c r="H4198" s="163"/>
      <c r="I4198" s="163"/>
      <c r="J4198" s="165"/>
      <c r="K4198" s="165"/>
      <c r="L4198" s="165"/>
      <c r="M4198" s="166"/>
      <c r="N4198" s="167"/>
      <c r="O4198" s="163"/>
      <c r="P4198" s="163"/>
      <c r="Q4198" s="163"/>
      <c r="R4198" s="163"/>
      <c r="S4198" s="161"/>
      <c r="T4198" s="161"/>
      <c r="U4198" s="161"/>
      <c r="V4198" s="161"/>
      <c r="W4198" s="161"/>
      <c r="X4198" s="161"/>
      <c r="Y4198" s="161"/>
      <c r="Z4198" s="168"/>
      <c r="AA4198" s="168"/>
      <c r="AB4198" s="168"/>
      <c r="AC4198" s="168"/>
    </row>
    <row r="4199">
      <c r="A4199" s="161"/>
      <c r="B4199" s="161"/>
      <c r="C4199" s="162"/>
      <c r="D4199" s="163"/>
      <c r="E4199" s="164" t="str">
        <f>IFERROR(__xludf.DUMMYFUNCTION("""COMPUTED_VALUE"""),"")</f>
        <v/>
      </c>
      <c r="F4199" s="163"/>
      <c r="G4199" s="163"/>
      <c r="H4199" s="163"/>
      <c r="I4199" s="163"/>
      <c r="J4199" s="165"/>
      <c r="K4199" s="165"/>
      <c r="L4199" s="165"/>
      <c r="M4199" s="166"/>
      <c r="N4199" s="167"/>
      <c r="O4199" s="163"/>
      <c r="P4199" s="163"/>
      <c r="Q4199" s="163"/>
      <c r="R4199" s="163"/>
      <c r="S4199" s="161"/>
      <c r="T4199" s="161"/>
      <c r="U4199" s="161"/>
      <c r="V4199" s="161"/>
      <c r="W4199" s="161"/>
      <c r="X4199" s="161"/>
      <c r="Y4199" s="161"/>
      <c r="Z4199" s="168"/>
      <c r="AA4199" s="168"/>
      <c r="AB4199" s="168"/>
      <c r="AC4199" s="168"/>
    </row>
    <row r="4200">
      <c r="A4200" s="161"/>
      <c r="B4200" s="161"/>
      <c r="C4200" s="162"/>
      <c r="D4200" s="163"/>
      <c r="E4200" s="164" t="str">
        <f>IFERROR(__xludf.DUMMYFUNCTION("""COMPUTED_VALUE"""),"")</f>
        <v/>
      </c>
      <c r="F4200" s="163"/>
      <c r="G4200" s="163"/>
      <c r="H4200" s="163"/>
      <c r="I4200" s="163"/>
      <c r="J4200" s="165"/>
      <c r="K4200" s="165"/>
      <c r="L4200" s="165"/>
      <c r="M4200" s="166"/>
      <c r="N4200" s="167"/>
      <c r="O4200" s="163"/>
      <c r="P4200" s="163"/>
      <c r="Q4200" s="163"/>
      <c r="R4200" s="163"/>
      <c r="S4200" s="161"/>
      <c r="T4200" s="161"/>
      <c r="U4200" s="161"/>
      <c r="V4200" s="161"/>
      <c r="W4200" s="161"/>
      <c r="X4200" s="161"/>
      <c r="Y4200" s="161"/>
      <c r="Z4200" s="168"/>
      <c r="AA4200" s="168"/>
      <c r="AB4200" s="168"/>
      <c r="AC4200" s="168"/>
    </row>
    <row r="4201">
      <c r="A4201" s="161"/>
      <c r="B4201" s="161"/>
      <c r="C4201" s="162"/>
      <c r="D4201" s="163"/>
      <c r="E4201" s="164" t="str">
        <f>IFERROR(__xludf.DUMMYFUNCTION("""COMPUTED_VALUE"""),"")</f>
        <v/>
      </c>
      <c r="F4201" s="163"/>
      <c r="G4201" s="163"/>
      <c r="H4201" s="163"/>
      <c r="I4201" s="163"/>
      <c r="J4201" s="165"/>
      <c r="K4201" s="165"/>
      <c r="L4201" s="165"/>
      <c r="M4201" s="166"/>
      <c r="N4201" s="167"/>
      <c r="O4201" s="163"/>
      <c r="P4201" s="163"/>
      <c r="Q4201" s="163"/>
      <c r="R4201" s="163"/>
      <c r="S4201" s="161"/>
      <c r="T4201" s="161"/>
      <c r="U4201" s="161"/>
      <c r="V4201" s="161"/>
      <c r="W4201" s="161"/>
      <c r="X4201" s="161"/>
      <c r="Y4201" s="161"/>
      <c r="Z4201" s="168"/>
      <c r="AA4201" s="168"/>
      <c r="AB4201" s="168"/>
      <c r="AC4201" s="168"/>
    </row>
    <row r="4202">
      <c r="A4202" s="161"/>
      <c r="B4202" s="161"/>
      <c r="C4202" s="162"/>
      <c r="D4202" s="163"/>
      <c r="E4202" s="164" t="str">
        <f>IFERROR(__xludf.DUMMYFUNCTION("""COMPUTED_VALUE"""),"")</f>
        <v/>
      </c>
      <c r="F4202" s="163"/>
      <c r="G4202" s="163"/>
      <c r="H4202" s="163"/>
      <c r="I4202" s="163"/>
      <c r="J4202" s="165"/>
      <c r="K4202" s="165"/>
      <c r="L4202" s="165"/>
      <c r="M4202" s="166"/>
      <c r="N4202" s="167"/>
      <c r="O4202" s="163"/>
      <c r="P4202" s="163"/>
      <c r="Q4202" s="163"/>
      <c r="R4202" s="163"/>
      <c r="S4202" s="161"/>
      <c r="T4202" s="161"/>
      <c r="U4202" s="161"/>
      <c r="V4202" s="161"/>
      <c r="W4202" s="161"/>
      <c r="X4202" s="161"/>
      <c r="Y4202" s="161"/>
      <c r="Z4202" s="168"/>
      <c r="AA4202" s="168"/>
      <c r="AB4202" s="168"/>
      <c r="AC4202" s="168"/>
    </row>
    <row r="4203">
      <c r="A4203" s="161"/>
      <c r="B4203" s="161"/>
      <c r="C4203" s="162"/>
      <c r="D4203" s="163"/>
      <c r="E4203" s="164" t="str">
        <f>IFERROR(__xludf.DUMMYFUNCTION("""COMPUTED_VALUE"""),"")</f>
        <v/>
      </c>
      <c r="F4203" s="163"/>
      <c r="G4203" s="163"/>
      <c r="H4203" s="163"/>
      <c r="I4203" s="163"/>
      <c r="J4203" s="165"/>
      <c r="K4203" s="165"/>
      <c r="L4203" s="165"/>
      <c r="M4203" s="166"/>
      <c r="N4203" s="167"/>
      <c r="O4203" s="163"/>
      <c r="P4203" s="163"/>
      <c r="Q4203" s="163"/>
      <c r="R4203" s="163"/>
      <c r="S4203" s="161"/>
      <c r="T4203" s="161"/>
      <c r="U4203" s="161"/>
      <c r="V4203" s="161"/>
      <c r="W4203" s="161"/>
      <c r="X4203" s="161"/>
      <c r="Y4203" s="161"/>
      <c r="Z4203" s="168"/>
      <c r="AA4203" s="168"/>
      <c r="AB4203" s="168"/>
      <c r="AC4203" s="168"/>
    </row>
    <row r="4204">
      <c r="A4204" s="161"/>
      <c r="B4204" s="161"/>
      <c r="C4204" s="162"/>
      <c r="D4204" s="163"/>
      <c r="E4204" s="164" t="str">
        <f>IFERROR(__xludf.DUMMYFUNCTION("""COMPUTED_VALUE"""),"")</f>
        <v/>
      </c>
      <c r="F4204" s="163"/>
      <c r="G4204" s="163"/>
      <c r="H4204" s="163"/>
      <c r="I4204" s="163"/>
      <c r="J4204" s="165"/>
      <c r="K4204" s="165"/>
      <c r="L4204" s="165"/>
      <c r="M4204" s="166"/>
      <c r="N4204" s="167"/>
      <c r="O4204" s="163"/>
      <c r="P4204" s="163"/>
      <c r="Q4204" s="163"/>
      <c r="R4204" s="163"/>
      <c r="S4204" s="161"/>
      <c r="T4204" s="161"/>
      <c r="U4204" s="161"/>
      <c r="V4204" s="161"/>
      <c r="W4204" s="161"/>
      <c r="X4204" s="161"/>
      <c r="Y4204" s="161"/>
      <c r="Z4204" s="168"/>
      <c r="AA4204" s="168"/>
      <c r="AB4204" s="168"/>
      <c r="AC4204" s="168"/>
    </row>
    <row r="4205">
      <c r="A4205" s="161"/>
      <c r="B4205" s="161"/>
      <c r="C4205" s="162"/>
      <c r="D4205" s="163"/>
      <c r="E4205" s="164" t="str">
        <f>IFERROR(__xludf.DUMMYFUNCTION("""COMPUTED_VALUE"""),"")</f>
        <v/>
      </c>
      <c r="F4205" s="163"/>
      <c r="G4205" s="163"/>
      <c r="H4205" s="163"/>
      <c r="I4205" s="163"/>
      <c r="J4205" s="165"/>
      <c r="K4205" s="165"/>
      <c r="L4205" s="165"/>
      <c r="M4205" s="166"/>
      <c r="N4205" s="167"/>
      <c r="O4205" s="163"/>
      <c r="P4205" s="163"/>
      <c r="Q4205" s="163"/>
      <c r="R4205" s="163"/>
      <c r="S4205" s="161"/>
      <c r="T4205" s="161"/>
      <c r="U4205" s="161"/>
      <c r="V4205" s="161"/>
      <c r="W4205" s="161"/>
      <c r="X4205" s="161"/>
      <c r="Y4205" s="161"/>
      <c r="Z4205" s="168"/>
      <c r="AA4205" s="168"/>
      <c r="AB4205" s="168"/>
      <c r="AC4205" s="168"/>
    </row>
    <row r="4206">
      <c r="A4206" s="161"/>
      <c r="B4206" s="161"/>
      <c r="C4206" s="162"/>
      <c r="D4206" s="163"/>
      <c r="E4206" s="164" t="str">
        <f>IFERROR(__xludf.DUMMYFUNCTION("""COMPUTED_VALUE"""),"")</f>
        <v/>
      </c>
      <c r="F4206" s="163"/>
      <c r="G4206" s="163"/>
      <c r="H4206" s="163"/>
      <c r="I4206" s="163"/>
      <c r="J4206" s="165"/>
      <c r="K4206" s="165"/>
      <c r="L4206" s="165"/>
      <c r="M4206" s="166"/>
      <c r="N4206" s="167"/>
      <c r="O4206" s="163"/>
      <c r="P4206" s="163"/>
      <c r="Q4206" s="163"/>
      <c r="R4206" s="163"/>
      <c r="S4206" s="161"/>
      <c r="T4206" s="161"/>
      <c r="U4206" s="161"/>
      <c r="V4206" s="161"/>
      <c r="W4206" s="161"/>
      <c r="X4206" s="161"/>
      <c r="Y4206" s="161"/>
      <c r="Z4206" s="168"/>
      <c r="AA4206" s="168"/>
      <c r="AB4206" s="168"/>
      <c r="AC4206" s="168"/>
    </row>
    <row r="4207">
      <c r="A4207" s="161"/>
      <c r="B4207" s="161"/>
      <c r="C4207" s="162"/>
      <c r="D4207" s="163"/>
      <c r="E4207" s="164" t="str">
        <f>IFERROR(__xludf.DUMMYFUNCTION("""COMPUTED_VALUE"""),"")</f>
        <v/>
      </c>
      <c r="F4207" s="163"/>
      <c r="G4207" s="163"/>
      <c r="H4207" s="163"/>
      <c r="I4207" s="163"/>
      <c r="J4207" s="165"/>
      <c r="K4207" s="165"/>
      <c r="L4207" s="165"/>
      <c r="M4207" s="166"/>
      <c r="N4207" s="167"/>
      <c r="O4207" s="163"/>
      <c r="P4207" s="163"/>
      <c r="Q4207" s="163"/>
      <c r="R4207" s="163"/>
      <c r="S4207" s="161"/>
      <c r="T4207" s="161"/>
      <c r="U4207" s="161"/>
      <c r="V4207" s="161"/>
      <c r="W4207" s="161"/>
      <c r="X4207" s="161"/>
      <c r="Y4207" s="161"/>
      <c r="Z4207" s="168"/>
      <c r="AA4207" s="168"/>
      <c r="AB4207" s="168"/>
      <c r="AC4207" s="168"/>
    </row>
    <row r="4208">
      <c r="A4208" s="161"/>
      <c r="B4208" s="161"/>
      <c r="C4208" s="162"/>
      <c r="D4208" s="163"/>
      <c r="E4208" s="164" t="str">
        <f>IFERROR(__xludf.DUMMYFUNCTION("""COMPUTED_VALUE"""),"")</f>
        <v/>
      </c>
      <c r="F4208" s="163"/>
      <c r="G4208" s="163"/>
      <c r="H4208" s="163"/>
      <c r="I4208" s="163"/>
      <c r="J4208" s="165"/>
      <c r="K4208" s="165"/>
      <c r="L4208" s="165"/>
      <c r="M4208" s="166"/>
      <c r="N4208" s="167"/>
      <c r="O4208" s="163"/>
      <c r="P4208" s="163"/>
      <c r="Q4208" s="163"/>
      <c r="R4208" s="163"/>
      <c r="S4208" s="161"/>
      <c r="T4208" s="161"/>
      <c r="U4208" s="161"/>
      <c r="V4208" s="161"/>
      <c r="W4208" s="161"/>
      <c r="X4208" s="161"/>
      <c r="Y4208" s="161"/>
      <c r="Z4208" s="168"/>
      <c r="AA4208" s="168"/>
      <c r="AB4208" s="168"/>
      <c r="AC4208" s="168"/>
    </row>
    <row r="4209">
      <c r="A4209" s="161"/>
      <c r="B4209" s="161"/>
      <c r="C4209" s="162"/>
      <c r="D4209" s="163"/>
      <c r="E4209" s="164" t="str">
        <f>IFERROR(__xludf.DUMMYFUNCTION("""COMPUTED_VALUE"""),"")</f>
        <v/>
      </c>
      <c r="F4209" s="163"/>
      <c r="G4209" s="163"/>
      <c r="H4209" s="163"/>
      <c r="I4209" s="163"/>
      <c r="J4209" s="165"/>
      <c r="K4209" s="165"/>
      <c r="L4209" s="165"/>
      <c r="M4209" s="166"/>
      <c r="N4209" s="167"/>
      <c r="O4209" s="163"/>
      <c r="P4209" s="163"/>
      <c r="Q4209" s="163"/>
      <c r="R4209" s="163"/>
      <c r="S4209" s="161"/>
      <c r="T4209" s="161"/>
      <c r="U4209" s="161"/>
      <c r="V4209" s="161"/>
      <c r="W4209" s="161"/>
      <c r="X4209" s="161"/>
      <c r="Y4209" s="161"/>
      <c r="Z4209" s="168"/>
      <c r="AA4209" s="168"/>
      <c r="AB4209" s="168"/>
      <c r="AC4209" s="168"/>
    </row>
    <row r="4210">
      <c r="A4210" s="161"/>
      <c r="B4210" s="161"/>
      <c r="C4210" s="162"/>
      <c r="D4210" s="163"/>
      <c r="E4210" s="164" t="str">
        <f>IFERROR(__xludf.DUMMYFUNCTION("""COMPUTED_VALUE"""),"")</f>
        <v/>
      </c>
      <c r="F4210" s="163"/>
      <c r="G4210" s="163"/>
      <c r="H4210" s="163"/>
      <c r="I4210" s="163"/>
      <c r="J4210" s="165"/>
      <c r="K4210" s="165"/>
      <c r="L4210" s="165"/>
      <c r="M4210" s="166"/>
      <c r="N4210" s="167"/>
      <c r="O4210" s="163"/>
      <c r="P4210" s="163"/>
      <c r="Q4210" s="163"/>
      <c r="R4210" s="163"/>
      <c r="S4210" s="161"/>
      <c r="T4210" s="161"/>
      <c r="U4210" s="161"/>
      <c r="V4210" s="161"/>
      <c r="W4210" s="161"/>
      <c r="X4210" s="161"/>
      <c r="Y4210" s="161"/>
      <c r="Z4210" s="168"/>
      <c r="AA4210" s="168"/>
      <c r="AB4210" s="168"/>
      <c r="AC4210" s="168"/>
    </row>
    <row r="4211">
      <c r="A4211" s="161"/>
      <c r="B4211" s="161"/>
      <c r="C4211" s="162"/>
      <c r="D4211" s="163"/>
      <c r="E4211" s="164" t="str">
        <f>IFERROR(__xludf.DUMMYFUNCTION("""COMPUTED_VALUE"""),"")</f>
        <v/>
      </c>
      <c r="F4211" s="163"/>
      <c r="G4211" s="163"/>
      <c r="H4211" s="163"/>
      <c r="I4211" s="163"/>
      <c r="J4211" s="165"/>
      <c r="K4211" s="165"/>
      <c r="L4211" s="165"/>
      <c r="M4211" s="166"/>
      <c r="N4211" s="167"/>
      <c r="O4211" s="163"/>
      <c r="P4211" s="163"/>
      <c r="Q4211" s="163"/>
      <c r="R4211" s="163"/>
      <c r="S4211" s="161"/>
      <c r="T4211" s="161"/>
      <c r="U4211" s="161"/>
      <c r="V4211" s="161"/>
      <c r="W4211" s="161"/>
      <c r="X4211" s="161"/>
      <c r="Y4211" s="161"/>
      <c r="Z4211" s="168"/>
      <c r="AA4211" s="168"/>
      <c r="AB4211" s="168"/>
      <c r="AC4211" s="168"/>
    </row>
    <row r="4212">
      <c r="A4212" s="161"/>
      <c r="B4212" s="161"/>
      <c r="C4212" s="162"/>
      <c r="D4212" s="163"/>
      <c r="E4212" s="164" t="str">
        <f>IFERROR(__xludf.DUMMYFUNCTION("""COMPUTED_VALUE"""),"")</f>
        <v/>
      </c>
      <c r="F4212" s="163"/>
      <c r="G4212" s="163"/>
      <c r="H4212" s="163"/>
      <c r="I4212" s="163"/>
      <c r="J4212" s="165"/>
      <c r="K4212" s="165"/>
      <c r="L4212" s="165"/>
      <c r="M4212" s="166"/>
      <c r="N4212" s="167"/>
      <c r="O4212" s="163"/>
      <c r="P4212" s="163"/>
      <c r="Q4212" s="163"/>
      <c r="R4212" s="163"/>
      <c r="S4212" s="161"/>
      <c r="T4212" s="161"/>
      <c r="U4212" s="161"/>
      <c r="V4212" s="161"/>
      <c r="W4212" s="161"/>
      <c r="X4212" s="161"/>
      <c r="Y4212" s="161"/>
      <c r="Z4212" s="168"/>
      <c r="AA4212" s="168"/>
      <c r="AB4212" s="168"/>
      <c r="AC4212" s="168"/>
    </row>
    <row r="4213">
      <c r="A4213" s="161"/>
      <c r="B4213" s="161"/>
      <c r="C4213" s="162"/>
      <c r="D4213" s="163"/>
      <c r="E4213" s="164" t="str">
        <f>IFERROR(__xludf.DUMMYFUNCTION("""COMPUTED_VALUE"""),"")</f>
        <v/>
      </c>
      <c r="F4213" s="163"/>
      <c r="G4213" s="163"/>
      <c r="H4213" s="163"/>
      <c r="I4213" s="163"/>
      <c r="J4213" s="165"/>
      <c r="K4213" s="165"/>
      <c r="L4213" s="165"/>
      <c r="M4213" s="166"/>
      <c r="N4213" s="167"/>
      <c r="O4213" s="163"/>
      <c r="P4213" s="163"/>
      <c r="Q4213" s="163"/>
      <c r="R4213" s="163"/>
      <c r="S4213" s="161"/>
      <c r="T4213" s="161"/>
      <c r="U4213" s="161"/>
      <c r="V4213" s="161"/>
      <c r="W4213" s="161"/>
      <c r="X4213" s="161"/>
      <c r="Y4213" s="161"/>
      <c r="Z4213" s="168"/>
      <c r="AA4213" s="168"/>
      <c r="AB4213" s="168"/>
      <c r="AC4213" s="168"/>
    </row>
    <row r="4214">
      <c r="A4214" s="161"/>
      <c r="B4214" s="161"/>
      <c r="C4214" s="162"/>
      <c r="D4214" s="163"/>
      <c r="E4214" s="164" t="str">
        <f>IFERROR(__xludf.DUMMYFUNCTION("""COMPUTED_VALUE"""),"")</f>
        <v/>
      </c>
      <c r="F4214" s="163"/>
      <c r="G4214" s="163"/>
      <c r="H4214" s="163"/>
      <c r="I4214" s="163"/>
      <c r="J4214" s="165"/>
      <c r="K4214" s="165"/>
      <c r="L4214" s="165"/>
      <c r="M4214" s="166"/>
      <c r="N4214" s="167"/>
      <c r="O4214" s="163"/>
      <c r="P4214" s="163"/>
      <c r="Q4214" s="163"/>
      <c r="R4214" s="163"/>
      <c r="S4214" s="161"/>
      <c r="T4214" s="161"/>
      <c r="U4214" s="161"/>
      <c r="V4214" s="161"/>
      <c r="W4214" s="161"/>
      <c r="X4214" s="161"/>
      <c r="Y4214" s="161"/>
      <c r="Z4214" s="168"/>
      <c r="AA4214" s="168"/>
      <c r="AB4214" s="168"/>
      <c r="AC4214" s="168"/>
    </row>
    <row r="4215">
      <c r="A4215" s="161"/>
      <c r="B4215" s="161"/>
      <c r="C4215" s="162"/>
      <c r="D4215" s="163"/>
      <c r="E4215" s="164" t="str">
        <f>IFERROR(__xludf.DUMMYFUNCTION("""COMPUTED_VALUE"""),"")</f>
        <v/>
      </c>
      <c r="F4215" s="163"/>
      <c r="G4215" s="163"/>
      <c r="H4215" s="163"/>
      <c r="I4215" s="163"/>
      <c r="J4215" s="165"/>
      <c r="K4215" s="165"/>
      <c r="L4215" s="165"/>
      <c r="M4215" s="166"/>
      <c r="N4215" s="167"/>
      <c r="O4215" s="163"/>
      <c r="P4215" s="163"/>
      <c r="Q4215" s="163"/>
      <c r="R4215" s="163"/>
      <c r="S4215" s="161"/>
      <c r="T4215" s="161"/>
      <c r="U4215" s="161"/>
      <c r="V4215" s="161"/>
      <c r="W4215" s="161"/>
      <c r="X4215" s="161"/>
      <c r="Y4215" s="161"/>
      <c r="Z4215" s="168"/>
      <c r="AA4215" s="168"/>
      <c r="AB4215" s="168"/>
      <c r="AC4215" s="168"/>
    </row>
    <row r="4216">
      <c r="A4216" s="161"/>
      <c r="B4216" s="161"/>
      <c r="C4216" s="162"/>
      <c r="D4216" s="163"/>
      <c r="E4216" s="164" t="str">
        <f>IFERROR(__xludf.DUMMYFUNCTION("""COMPUTED_VALUE"""),"")</f>
        <v/>
      </c>
      <c r="F4216" s="163"/>
      <c r="G4216" s="163"/>
      <c r="H4216" s="163"/>
      <c r="I4216" s="163"/>
      <c r="J4216" s="165"/>
      <c r="K4216" s="165"/>
      <c r="L4216" s="165"/>
      <c r="M4216" s="166"/>
      <c r="N4216" s="167"/>
      <c r="O4216" s="163"/>
      <c r="P4216" s="163"/>
      <c r="Q4216" s="163"/>
      <c r="R4216" s="163"/>
      <c r="S4216" s="161"/>
      <c r="T4216" s="161"/>
      <c r="U4216" s="161"/>
      <c r="V4216" s="161"/>
      <c r="W4216" s="161"/>
      <c r="X4216" s="161"/>
      <c r="Y4216" s="161"/>
      <c r="Z4216" s="168"/>
      <c r="AA4216" s="168"/>
      <c r="AB4216" s="168"/>
      <c r="AC4216" s="168"/>
    </row>
    <row r="4217">
      <c r="A4217" s="161"/>
      <c r="B4217" s="161"/>
      <c r="C4217" s="162"/>
      <c r="D4217" s="163"/>
      <c r="E4217" s="164" t="str">
        <f>IFERROR(__xludf.DUMMYFUNCTION("""COMPUTED_VALUE"""),"")</f>
        <v/>
      </c>
      <c r="F4217" s="163"/>
      <c r="G4217" s="163"/>
      <c r="H4217" s="163"/>
      <c r="I4217" s="163"/>
      <c r="J4217" s="165"/>
      <c r="K4217" s="165"/>
      <c r="L4217" s="165"/>
      <c r="M4217" s="166"/>
      <c r="N4217" s="167"/>
      <c r="O4217" s="163"/>
      <c r="P4217" s="163"/>
      <c r="Q4217" s="163"/>
      <c r="R4217" s="163"/>
      <c r="S4217" s="161"/>
      <c r="T4217" s="161"/>
      <c r="U4217" s="161"/>
      <c r="V4217" s="161"/>
      <c r="W4217" s="161"/>
      <c r="X4217" s="161"/>
      <c r="Y4217" s="161"/>
      <c r="Z4217" s="168"/>
      <c r="AA4217" s="168"/>
      <c r="AB4217" s="168"/>
      <c r="AC4217" s="168"/>
    </row>
    <row r="4218">
      <c r="A4218" s="161"/>
      <c r="B4218" s="161"/>
      <c r="C4218" s="162"/>
      <c r="D4218" s="163"/>
      <c r="E4218" s="164" t="str">
        <f>IFERROR(__xludf.DUMMYFUNCTION("""COMPUTED_VALUE"""),"")</f>
        <v/>
      </c>
      <c r="F4218" s="163"/>
      <c r="G4218" s="163"/>
      <c r="H4218" s="163"/>
      <c r="I4218" s="163"/>
      <c r="J4218" s="165"/>
      <c r="K4218" s="165"/>
      <c r="L4218" s="165"/>
      <c r="M4218" s="166"/>
      <c r="N4218" s="167"/>
      <c r="O4218" s="163"/>
      <c r="P4218" s="163"/>
      <c r="Q4218" s="163"/>
      <c r="R4218" s="163"/>
      <c r="S4218" s="161"/>
      <c r="T4218" s="161"/>
      <c r="U4218" s="161"/>
      <c r="V4218" s="161"/>
      <c r="W4218" s="161"/>
      <c r="X4218" s="161"/>
      <c r="Y4218" s="161"/>
      <c r="Z4218" s="168"/>
      <c r="AA4218" s="168"/>
      <c r="AB4218" s="168"/>
      <c r="AC4218" s="168"/>
    </row>
    <row r="4219">
      <c r="A4219" s="161"/>
      <c r="B4219" s="161"/>
      <c r="C4219" s="162"/>
      <c r="D4219" s="163"/>
      <c r="E4219" s="164" t="str">
        <f>IFERROR(__xludf.DUMMYFUNCTION("""COMPUTED_VALUE"""),"")</f>
        <v/>
      </c>
      <c r="F4219" s="163"/>
      <c r="G4219" s="163"/>
      <c r="H4219" s="163"/>
      <c r="I4219" s="163"/>
      <c r="J4219" s="165"/>
      <c r="K4219" s="165"/>
      <c r="L4219" s="165"/>
      <c r="M4219" s="166"/>
      <c r="N4219" s="167"/>
      <c r="O4219" s="163"/>
      <c r="P4219" s="163"/>
      <c r="Q4219" s="163"/>
      <c r="R4219" s="163"/>
      <c r="S4219" s="161"/>
      <c r="T4219" s="161"/>
      <c r="U4219" s="161"/>
      <c r="V4219" s="161"/>
      <c r="W4219" s="161"/>
      <c r="X4219" s="161"/>
      <c r="Y4219" s="161"/>
      <c r="Z4219" s="168"/>
      <c r="AA4219" s="168"/>
      <c r="AB4219" s="168"/>
      <c r="AC4219" s="168"/>
    </row>
    <row r="4220">
      <c r="A4220" s="161"/>
      <c r="B4220" s="161"/>
      <c r="C4220" s="162"/>
      <c r="D4220" s="163"/>
      <c r="E4220" s="164" t="str">
        <f>IFERROR(__xludf.DUMMYFUNCTION("""COMPUTED_VALUE"""),"")</f>
        <v/>
      </c>
      <c r="F4220" s="163"/>
      <c r="G4220" s="163"/>
      <c r="H4220" s="163"/>
      <c r="I4220" s="163"/>
      <c r="J4220" s="165"/>
      <c r="K4220" s="165"/>
      <c r="L4220" s="165"/>
      <c r="M4220" s="166"/>
      <c r="N4220" s="167"/>
      <c r="O4220" s="163"/>
      <c r="P4220" s="163"/>
      <c r="Q4220" s="163"/>
      <c r="R4220" s="163"/>
      <c r="S4220" s="161"/>
      <c r="T4220" s="161"/>
      <c r="U4220" s="161"/>
      <c r="V4220" s="161"/>
      <c r="W4220" s="161"/>
      <c r="X4220" s="161"/>
      <c r="Y4220" s="161"/>
      <c r="Z4220" s="168"/>
      <c r="AA4220" s="168"/>
      <c r="AB4220" s="168"/>
      <c r="AC4220" s="168"/>
    </row>
    <row r="4221">
      <c r="A4221" s="161"/>
      <c r="B4221" s="161"/>
      <c r="C4221" s="162"/>
      <c r="D4221" s="163"/>
      <c r="E4221" s="164" t="str">
        <f>IFERROR(__xludf.DUMMYFUNCTION("""COMPUTED_VALUE"""),"")</f>
        <v/>
      </c>
      <c r="F4221" s="163"/>
      <c r="G4221" s="163"/>
      <c r="H4221" s="163"/>
      <c r="I4221" s="163"/>
      <c r="J4221" s="165"/>
      <c r="K4221" s="165"/>
      <c r="L4221" s="165"/>
      <c r="M4221" s="166"/>
      <c r="N4221" s="167"/>
      <c r="O4221" s="163"/>
      <c r="P4221" s="163"/>
      <c r="Q4221" s="163"/>
      <c r="R4221" s="163"/>
      <c r="S4221" s="161"/>
      <c r="T4221" s="161"/>
      <c r="U4221" s="161"/>
      <c r="V4221" s="161"/>
      <c r="W4221" s="161"/>
      <c r="X4221" s="161"/>
      <c r="Y4221" s="161"/>
      <c r="Z4221" s="168"/>
      <c r="AA4221" s="168"/>
      <c r="AB4221" s="168"/>
      <c r="AC4221" s="168"/>
    </row>
    <row r="4222">
      <c r="A4222" s="161"/>
      <c r="B4222" s="161"/>
      <c r="C4222" s="162"/>
      <c r="D4222" s="163"/>
      <c r="E4222" s="164" t="str">
        <f>IFERROR(__xludf.DUMMYFUNCTION("""COMPUTED_VALUE"""),"")</f>
        <v/>
      </c>
      <c r="F4222" s="163"/>
      <c r="G4222" s="163"/>
      <c r="H4222" s="163"/>
      <c r="I4222" s="163"/>
      <c r="J4222" s="165"/>
      <c r="K4222" s="165"/>
      <c r="L4222" s="165"/>
      <c r="M4222" s="166"/>
      <c r="N4222" s="167"/>
      <c r="O4222" s="163"/>
      <c r="P4222" s="163"/>
      <c r="Q4222" s="163"/>
      <c r="R4222" s="163"/>
      <c r="S4222" s="161"/>
      <c r="T4222" s="161"/>
      <c r="U4222" s="161"/>
      <c r="V4222" s="161"/>
      <c r="W4222" s="161"/>
      <c r="X4222" s="161"/>
      <c r="Y4222" s="161"/>
      <c r="Z4222" s="168"/>
      <c r="AA4222" s="168"/>
      <c r="AB4222" s="168"/>
      <c r="AC4222" s="168"/>
    </row>
    <row r="4223">
      <c r="A4223" s="161"/>
      <c r="B4223" s="161"/>
      <c r="C4223" s="162"/>
      <c r="D4223" s="163"/>
      <c r="E4223" s="164" t="str">
        <f>IFERROR(__xludf.DUMMYFUNCTION("""COMPUTED_VALUE"""),"")</f>
        <v/>
      </c>
      <c r="F4223" s="163"/>
      <c r="G4223" s="163"/>
      <c r="H4223" s="163"/>
      <c r="I4223" s="163"/>
      <c r="J4223" s="165"/>
      <c r="K4223" s="165"/>
      <c r="L4223" s="165"/>
      <c r="M4223" s="166"/>
      <c r="N4223" s="167"/>
      <c r="O4223" s="163"/>
      <c r="P4223" s="163"/>
      <c r="Q4223" s="163"/>
      <c r="R4223" s="163"/>
      <c r="S4223" s="161"/>
      <c r="T4223" s="161"/>
      <c r="U4223" s="161"/>
      <c r="V4223" s="161"/>
      <c r="W4223" s="161"/>
      <c r="X4223" s="161"/>
      <c r="Y4223" s="161"/>
      <c r="Z4223" s="168"/>
      <c r="AA4223" s="168"/>
      <c r="AB4223" s="168"/>
      <c r="AC4223" s="168"/>
    </row>
    <row r="4224">
      <c r="A4224" s="161"/>
      <c r="B4224" s="161"/>
      <c r="C4224" s="162"/>
      <c r="D4224" s="163"/>
      <c r="E4224" s="164" t="str">
        <f>IFERROR(__xludf.DUMMYFUNCTION("""COMPUTED_VALUE"""),"")</f>
        <v/>
      </c>
      <c r="F4224" s="163"/>
      <c r="G4224" s="163"/>
      <c r="H4224" s="163"/>
      <c r="I4224" s="163"/>
      <c r="J4224" s="165"/>
      <c r="K4224" s="165"/>
      <c r="L4224" s="165"/>
      <c r="M4224" s="166"/>
      <c r="N4224" s="167"/>
      <c r="O4224" s="163"/>
      <c r="P4224" s="163"/>
      <c r="Q4224" s="163"/>
      <c r="R4224" s="163"/>
      <c r="S4224" s="161"/>
      <c r="T4224" s="161"/>
      <c r="U4224" s="161"/>
      <c r="V4224" s="161"/>
      <c r="W4224" s="161"/>
      <c r="X4224" s="161"/>
      <c r="Y4224" s="161"/>
      <c r="Z4224" s="168"/>
      <c r="AA4224" s="168"/>
      <c r="AB4224" s="168"/>
      <c r="AC4224" s="168"/>
    </row>
    <row r="4225">
      <c r="A4225" s="161"/>
      <c r="B4225" s="161"/>
      <c r="C4225" s="162"/>
      <c r="D4225" s="163"/>
      <c r="E4225" s="164" t="str">
        <f>IFERROR(__xludf.DUMMYFUNCTION("""COMPUTED_VALUE"""),"")</f>
        <v/>
      </c>
      <c r="F4225" s="163"/>
      <c r="G4225" s="163"/>
      <c r="H4225" s="163"/>
      <c r="I4225" s="163"/>
      <c r="J4225" s="165"/>
      <c r="K4225" s="165"/>
      <c r="L4225" s="165"/>
      <c r="M4225" s="166"/>
      <c r="N4225" s="167"/>
      <c r="O4225" s="163"/>
      <c r="P4225" s="163"/>
      <c r="Q4225" s="163"/>
      <c r="R4225" s="163"/>
      <c r="S4225" s="161"/>
      <c r="T4225" s="161"/>
      <c r="U4225" s="161"/>
      <c r="V4225" s="161"/>
      <c r="W4225" s="161"/>
      <c r="X4225" s="161"/>
      <c r="Y4225" s="161"/>
      <c r="Z4225" s="168"/>
      <c r="AA4225" s="168"/>
      <c r="AB4225" s="168"/>
      <c r="AC4225" s="168"/>
    </row>
    <row r="4226">
      <c r="A4226" s="161"/>
      <c r="B4226" s="161"/>
      <c r="C4226" s="162"/>
      <c r="D4226" s="163"/>
      <c r="E4226" s="164" t="str">
        <f>IFERROR(__xludf.DUMMYFUNCTION("""COMPUTED_VALUE"""),"")</f>
        <v/>
      </c>
      <c r="F4226" s="163"/>
      <c r="G4226" s="163"/>
      <c r="H4226" s="163"/>
      <c r="I4226" s="163"/>
      <c r="J4226" s="165"/>
      <c r="K4226" s="165"/>
      <c r="L4226" s="165"/>
      <c r="M4226" s="166"/>
      <c r="N4226" s="167"/>
      <c r="O4226" s="163"/>
      <c r="P4226" s="163"/>
      <c r="Q4226" s="163"/>
      <c r="R4226" s="163"/>
      <c r="S4226" s="161"/>
      <c r="T4226" s="161"/>
      <c r="U4226" s="161"/>
      <c r="V4226" s="161"/>
      <c r="W4226" s="161"/>
      <c r="X4226" s="161"/>
      <c r="Y4226" s="161"/>
      <c r="Z4226" s="168"/>
      <c r="AA4226" s="168"/>
      <c r="AB4226" s="168"/>
      <c r="AC4226" s="168"/>
    </row>
    <row r="4227">
      <c r="A4227" s="161"/>
      <c r="B4227" s="161"/>
      <c r="C4227" s="162"/>
      <c r="D4227" s="163"/>
      <c r="E4227" s="164" t="str">
        <f>IFERROR(__xludf.DUMMYFUNCTION("""COMPUTED_VALUE"""),"")</f>
        <v/>
      </c>
      <c r="F4227" s="163"/>
      <c r="G4227" s="163"/>
      <c r="H4227" s="163"/>
      <c r="I4227" s="163"/>
      <c r="J4227" s="165"/>
      <c r="K4227" s="165"/>
      <c r="L4227" s="165"/>
      <c r="M4227" s="166"/>
      <c r="N4227" s="167"/>
      <c r="O4227" s="163"/>
      <c r="P4227" s="163"/>
      <c r="Q4227" s="163"/>
      <c r="R4227" s="163"/>
      <c r="S4227" s="161"/>
      <c r="T4227" s="161"/>
      <c r="U4227" s="161"/>
      <c r="V4227" s="161"/>
      <c r="W4227" s="161"/>
      <c r="X4227" s="161"/>
      <c r="Y4227" s="161"/>
      <c r="Z4227" s="168"/>
      <c r="AA4227" s="168"/>
      <c r="AB4227" s="168"/>
      <c r="AC4227" s="168"/>
    </row>
    <row r="4228">
      <c r="A4228" s="161"/>
      <c r="B4228" s="161"/>
      <c r="C4228" s="162"/>
      <c r="D4228" s="163"/>
      <c r="E4228" s="164" t="str">
        <f>IFERROR(__xludf.DUMMYFUNCTION("""COMPUTED_VALUE"""),"")</f>
        <v/>
      </c>
      <c r="F4228" s="163"/>
      <c r="G4228" s="163"/>
      <c r="H4228" s="163"/>
      <c r="I4228" s="163"/>
      <c r="J4228" s="165"/>
      <c r="K4228" s="165"/>
      <c r="L4228" s="165"/>
      <c r="M4228" s="166"/>
      <c r="N4228" s="167"/>
      <c r="O4228" s="163"/>
      <c r="P4228" s="163"/>
      <c r="Q4228" s="163"/>
      <c r="R4228" s="163"/>
      <c r="S4228" s="161"/>
      <c r="T4228" s="161"/>
      <c r="U4228" s="161"/>
      <c r="V4228" s="161"/>
      <c r="W4228" s="161"/>
      <c r="X4228" s="161"/>
      <c r="Y4228" s="161"/>
      <c r="Z4228" s="168"/>
      <c r="AA4228" s="168"/>
      <c r="AB4228" s="168"/>
      <c r="AC4228" s="168"/>
    </row>
    <row r="4229">
      <c r="A4229" s="161"/>
      <c r="B4229" s="161"/>
      <c r="C4229" s="162"/>
      <c r="D4229" s="163"/>
      <c r="E4229" s="164" t="str">
        <f>IFERROR(__xludf.DUMMYFUNCTION("""COMPUTED_VALUE"""),"")</f>
        <v/>
      </c>
      <c r="F4229" s="163"/>
      <c r="G4229" s="163"/>
      <c r="H4229" s="163"/>
      <c r="I4229" s="163"/>
      <c r="J4229" s="165"/>
      <c r="K4229" s="165"/>
      <c r="L4229" s="165"/>
      <c r="M4229" s="166"/>
      <c r="N4229" s="167"/>
      <c r="O4229" s="163"/>
      <c r="P4229" s="163"/>
      <c r="Q4229" s="163"/>
      <c r="R4229" s="163"/>
      <c r="S4229" s="161"/>
      <c r="T4229" s="161"/>
      <c r="U4229" s="161"/>
      <c r="V4229" s="161"/>
      <c r="W4229" s="161"/>
      <c r="X4229" s="161"/>
      <c r="Y4229" s="161"/>
      <c r="Z4229" s="168"/>
      <c r="AA4229" s="168"/>
      <c r="AB4229" s="168"/>
      <c r="AC4229" s="168"/>
    </row>
    <row r="4230">
      <c r="A4230" s="161"/>
      <c r="B4230" s="161"/>
      <c r="C4230" s="162"/>
      <c r="D4230" s="163"/>
      <c r="E4230" s="164" t="str">
        <f>IFERROR(__xludf.DUMMYFUNCTION("""COMPUTED_VALUE"""),"")</f>
        <v/>
      </c>
      <c r="F4230" s="163"/>
      <c r="G4230" s="163"/>
      <c r="H4230" s="163"/>
      <c r="I4230" s="163"/>
      <c r="J4230" s="165"/>
      <c r="K4230" s="165"/>
      <c r="L4230" s="165"/>
      <c r="M4230" s="166"/>
      <c r="N4230" s="167"/>
      <c r="O4230" s="163"/>
      <c r="P4230" s="163"/>
      <c r="Q4230" s="163"/>
      <c r="R4230" s="163"/>
      <c r="S4230" s="161"/>
      <c r="T4230" s="161"/>
      <c r="U4230" s="161"/>
      <c r="V4230" s="161"/>
      <c r="W4230" s="161"/>
      <c r="X4230" s="161"/>
      <c r="Y4230" s="161"/>
      <c r="Z4230" s="168"/>
      <c r="AA4230" s="168"/>
      <c r="AB4230" s="168"/>
      <c r="AC4230" s="168"/>
    </row>
    <row r="4231">
      <c r="A4231" s="161"/>
      <c r="B4231" s="161"/>
      <c r="C4231" s="162"/>
      <c r="D4231" s="163"/>
      <c r="E4231" s="164" t="str">
        <f>IFERROR(__xludf.DUMMYFUNCTION("""COMPUTED_VALUE"""),"")</f>
        <v/>
      </c>
      <c r="F4231" s="163"/>
      <c r="G4231" s="163"/>
      <c r="H4231" s="163"/>
      <c r="I4231" s="163"/>
      <c r="J4231" s="165"/>
      <c r="K4231" s="165"/>
      <c r="L4231" s="165"/>
      <c r="M4231" s="166"/>
      <c r="N4231" s="167"/>
      <c r="O4231" s="163"/>
      <c r="P4231" s="163"/>
      <c r="Q4231" s="163"/>
      <c r="R4231" s="163"/>
      <c r="S4231" s="161"/>
      <c r="T4231" s="161"/>
      <c r="U4231" s="161"/>
      <c r="V4231" s="161"/>
      <c r="W4231" s="161"/>
      <c r="X4231" s="161"/>
      <c r="Y4231" s="161"/>
      <c r="Z4231" s="168"/>
      <c r="AA4231" s="168"/>
      <c r="AB4231" s="168"/>
      <c r="AC4231" s="168"/>
    </row>
    <row r="4232">
      <c r="A4232" s="161"/>
      <c r="B4232" s="161"/>
      <c r="C4232" s="162"/>
      <c r="D4232" s="163"/>
      <c r="E4232" s="164" t="str">
        <f>IFERROR(__xludf.DUMMYFUNCTION("""COMPUTED_VALUE"""),"")</f>
        <v/>
      </c>
      <c r="F4232" s="163"/>
      <c r="G4232" s="163"/>
      <c r="H4232" s="163"/>
      <c r="I4232" s="163"/>
      <c r="J4232" s="165"/>
      <c r="K4232" s="165"/>
      <c r="L4232" s="165"/>
      <c r="M4232" s="166"/>
      <c r="N4232" s="167"/>
      <c r="O4232" s="163"/>
      <c r="P4232" s="163"/>
      <c r="Q4232" s="163"/>
      <c r="R4232" s="163"/>
      <c r="S4232" s="161"/>
      <c r="T4232" s="161"/>
      <c r="U4232" s="161"/>
      <c r="V4232" s="161"/>
      <c r="W4232" s="161"/>
      <c r="X4232" s="161"/>
      <c r="Y4232" s="161"/>
      <c r="Z4232" s="168"/>
      <c r="AA4232" s="168"/>
      <c r="AB4232" s="168"/>
      <c r="AC4232" s="168"/>
    </row>
    <row r="4233">
      <c r="A4233" s="161"/>
      <c r="B4233" s="161"/>
      <c r="C4233" s="162"/>
      <c r="D4233" s="163"/>
      <c r="E4233" s="164" t="str">
        <f>IFERROR(__xludf.DUMMYFUNCTION("""COMPUTED_VALUE"""),"")</f>
        <v/>
      </c>
      <c r="F4233" s="163"/>
      <c r="G4233" s="163"/>
      <c r="H4233" s="163"/>
      <c r="I4233" s="163"/>
      <c r="J4233" s="165"/>
      <c r="K4233" s="165"/>
      <c r="L4233" s="165"/>
      <c r="M4233" s="166"/>
      <c r="N4233" s="167"/>
      <c r="O4233" s="163"/>
      <c r="P4233" s="163"/>
      <c r="Q4233" s="163"/>
      <c r="R4233" s="163"/>
      <c r="S4233" s="161"/>
      <c r="T4233" s="161"/>
      <c r="U4233" s="161"/>
      <c r="V4233" s="161"/>
      <c r="W4233" s="161"/>
      <c r="X4233" s="161"/>
      <c r="Y4233" s="161"/>
      <c r="Z4233" s="168"/>
      <c r="AA4233" s="168"/>
      <c r="AB4233" s="168"/>
      <c r="AC4233" s="168"/>
    </row>
    <row r="4234">
      <c r="A4234" s="161"/>
      <c r="B4234" s="161"/>
      <c r="C4234" s="162"/>
      <c r="D4234" s="163"/>
      <c r="E4234" s="164" t="str">
        <f>IFERROR(__xludf.DUMMYFUNCTION("""COMPUTED_VALUE"""),"")</f>
        <v/>
      </c>
      <c r="F4234" s="163"/>
      <c r="G4234" s="163"/>
      <c r="H4234" s="163"/>
      <c r="I4234" s="163"/>
      <c r="J4234" s="165"/>
      <c r="K4234" s="165"/>
      <c r="L4234" s="165"/>
      <c r="M4234" s="166"/>
      <c r="N4234" s="167"/>
      <c r="O4234" s="163"/>
      <c r="P4234" s="163"/>
      <c r="Q4234" s="163"/>
      <c r="R4234" s="163"/>
      <c r="S4234" s="161"/>
      <c r="T4234" s="161"/>
      <c r="U4234" s="161"/>
      <c r="V4234" s="161"/>
      <c r="W4234" s="161"/>
      <c r="X4234" s="161"/>
      <c r="Y4234" s="161"/>
      <c r="Z4234" s="168"/>
      <c r="AA4234" s="168"/>
      <c r="AB4234" s="168"/>
      <c r="AC4234" s="168"/>
    </row>
    <row r="4235">
      <c r="A4235" s="161"/>
      <c r="B4235" s="161"/>
      <c r="C4235" s="162"/>
      <c r="D4235" s="163"/>
      <c r="E4235" s="164" t="str">
        <f>IFERROR(__xludf.DUMMYFUNCTION("""COMPUTED_VALUE"""),"")</f>
        <v/>
      </c>
      <c r="F4235" s="163"/>
      <c r="G4235" s="163"/>
      <c r="H4235" s="163"/>
      <c r="I4235" s="163"/>
      <c r="J4235" s="165"/>
      <c r="K4235" s="165"/>
      <c r="L4235" s="165"/>
      <c r="M4235" s="166"/>
      <c r="N4235" s="167"/>
      <c r="O4235" s="163"/>
      <c r="P4235" s="163"/>
      <c r="Q4235" s="163"/>
      <c r="R4235" s="163"/>
      <c r="S4235" s="161"/>
      <c r="T4235" s="161"/>
      <c r="U4235" s="161"/>
      <c r="V4235" s="161"/>
      <c r="W4235" s="161"/>
      <c r="X4235" s="161"/>
      <c r="Y4235" s="161"/>
      <c r="Z4235" s="168"/>
      <c r="AA4235" s="168"/>
      <c r="AB4235" s="168"/>
      <c r="AC4235" s="168"/>
    </row>
    <row r="4236">
      <c r="A4236" s="161"/>
      <c r="B4236" s="161"/>
      <c r="C4236" s="162"/>
      <c r="D4236" s="163"/>
      <c r="E4236" s="164" t="str">
        <f>IFERROR(__xludf.DUMMYFUNCTION("""COMPUTED_VALUE"""),"")</f>
        <v/>
      </c>
      <c r="F4236" s="163"/>
      <c r="G4236" s="163"/>
      <c r="H4236" s="163"/>
      <c r="I4236" s="163"/>
      <c r="J4236" s="165"/>
      <c r="K4236" s="165"/>
      <c r="L4236" s="165"/>
      <c r="M4236" s="166"/>
      <c r="N4236" s="167"/>
      <c r="O4236" s="163"/>
      <c r="P4236" s="163"/>
      <c r="Q4236" s="163"/>
      <c r="R4236" s="163"/>
      <c r="S4236" s="161"/>
      <c r="T4236" s="161"/>
      <c r="U4236" s="161"/>
      <c r="V4236" s="161"/>
      <c r="W4236" s="161"/>
      <c r="X4236" s="161"/>
      <c r="Y4236" s="161"/>
      <c r="Z4236" s="168"/>
      <c r="AA4236" s="168"/>
      <c r="AB4236" s="168"/>
      <c r="AC4236" s="168"/>
    </row>
    <row r="4237">
      <c r="A4237" s="161"/>
      <c r="B4237" s="161"/>
      <c r="C4237" s="162"/>
      <c r="D4237" s="163"/>
      <c r="E4237" s="164" t="str">
        <f>IFERROR(__xludf.DUMMYFUNCTION("""COMPUTED_VALUE"""),"")</f>
        <v/>
      </c>
      <c r="F4237" s="163"/>
      <c r="G4237" s="163"/>
      <c r="H4237" s="163"/>
      <c r="I4237" s="163"/>
      <c r="J4237" s="165"/>
      <c r="K4237" s="165"/>
      <c r="L4237" s="165"/>
      <c r="M4237" s="166"/>
      <c r="N4237" s="167"/>
      <c r="O4237" s="163"/>
      <c r="P4237" s="163"/>
      <c r="Q4237" s="163"/>
      <c r="R4237" s="163"/>
      <c r="S4237" s="161"/>
      <c r="T4237" s="161"/>
      <c r="U4237" s="161"/>
      <c r="V4237" s="161"/>
      <c r="W4237" s="161"/>
      <c r="X4237" s="161"/>
      <c r="Y4237" s="161"/>
      <c r="Z4237" s="168"/>
      <c r="AA4237" s="168"/>
      <c r="AB4237" s="168"/>
      <c r="AC4237" s="168"/>
    </row>
    <row r="4238">
      <c r="A4238" s="161"/>
      <c r="B4238" s="161"/>
      <c r="C4238" s="162"/>
      <c r="D4238" s="163"/>
      <c r="E4238" s="164" t="str">
        <f>IFERROR(__xludf.DUMMYFUNCTION("""COMPUTED_VALUE"""),"")</f>
        <v/>
      </c>
      <c r="F4238" s="163"/>
      <c r="G4238" s="163"/>
      <c r="H4238" s="163"/>
      <c r="I4238" s="163"/>
      <c r="J4238" s="165"/>
      <c r="K4238" s="165"/>
      <c r="L4238" s="165"/>
      <c r="M4238" s="166"/>
      <c r="N4238" s="167"/>
      <c r="O4238" s="163"/>
      <c r="P4238" s="163"/>
      <c r="Q4238" s="163"/>
      <c r="R4238" s="163"/>
      <c r="S4238" s="161"/>
      <c r="T4238" s="161"/>
      <c r="U4238" s="161"/>
      <c r="V4238" s="161"/>
      <c r="W4238" s="161"/>
      <c r="X4238" s="161"/>
      <c r="Y4238" s="161"/>
      <c r="Z4238" s="168"/>
      <c r="AA4238" s="168"/>
      <c r="AB4238" s="168"/>
      <c r="AC4238" s="168"/>
    </row>
    <row r="4239">
      <c r="A4239" s="161"/>
      <c r="B4239" s="161"/>
      <c r="C4239" s="162"/>
      <c r="D4239" s="163"/>
      <c r="E4239" s="164" t="str">
        <f>IFERROR(__xludf.DUMMYFUNCTION("""COMPUTED_VALUE"""),"")</f>
        <v/>
      </c>
      <c r="F4239" s="163"/>
      <c r="G4239" s="163"/>
      <c r="H4239" s="163"/>
      <c r="I4239" s="163"/>
      <c r="J4239" s="165"/>
      <c r="K4239" s="165"/>
      <c r="L4239" s="165"/>
      <c r="M4239" s="166"/>
      <c r="N4239" s="167"/>
      <c r="O4239" s="163"/>
      <c r="P4239" s="163"/>
      <c r="Q4239" s="163"/>
      <c r="R4239" s="163"/>
      <c r="S4239" s="161"/>
      <c r="T4239" s="161"/>
      <c r="U4239" s="161"/>
      <c r="V4239" s="161"/>
      <c r="W4239" s="161"/>
      <c r="X4239" s="161"/>
      <c r="Y4239" s="161"/>
      <c r="Z4239" s="168"/>
      <c r="AA4239" s="168"/>
      <c r="AB4239" s="168"/>
      <c r="AC4239" s="168"/>
    </row>
    <row r="4240">
      <c r="A4240" s="161"/>
      <c r="B4240" s="161"/>
      <c r="C4240" s="162"/>
      <c r="D4240" s="163"/>
      <c r="E4240" s="164" t="str">
        <f>IFERROR(__xludf.DUMMYFUNCTION("""COMPUTED_VALUE"""),"")</f>
        <v/>
      </c>
      <c r="F4240" s="163"/>
      <c r="G4240" s="163"/>
      <c r="H4240" s="163"/>
      <c r="I4240" s="163"/>
      <c r="J4240" s="165"/>
      <c r="K4240" s="165"/>
      <c r="L4240" s="165"/>
      <c r="M4240" s="166"/>
      <c r="N4240" s="167"/>
      <c r="O4240" s="163"/>
      <c r="P4240" s="163"/>
      <c r="Q4240" s="163"/>
      <c r="R4240" s="163"/>
      <c r="S4240" s="161"/>
      <c r="T4240" s="161"/>
      <c r="U4240" s="161"/>
      <c r="V4240" s="161"/>
      <c r="W4240" s="161"/>
      <c r="X4240" s="161"/>
      <c r="Y4240" s="161"/>
      <c r="Z4240" s="168"/>
      <c r="AA4240" s="168"/>
      <c r="AB4240" s="168"/>
      <c r="AC4240" s="168"/>
    </row>
    <row r="4241">
      <c r="A4241" s="161"/>
      <c r="B4241" s="161"/>
      <c r="C4241" s="162"/>
      <c r="D4241" s="163"/>
      <c r="E4241" s="164" t="str">
        <f>IFERROR(__xludf.DUMMYFUNCTION("""COMPUTED_VALUE"""),"")</f>
        <v/>
      </c>
      <c r="F4241" s="163"/>
      <c r="G4241" s="163"/>
      <c r="H4241" s="163"/>
      <c r="I4241" s="163"/>
      <c r="J4241" s="165"/>
      <c r="K4241" s="165"/>
      <c r="L4241" s="165"/>
      <c r="M4241" s="166"/>
      <c r="N4241" s="167"/>
      <c r="O4241" s="163"/>
      <c r="P4241" s="163"/>
      <c r="Q4241" s="163"/>
      <c r="R4241" s="163"/>
      <c r="S4241" s="161"/>
      <c r="T4241" s="161"/>
      <c r="U4241" s="161"/>
      <c r="V4241" s="161"/>
      <c r="W4241" s="161"/>
      <c r="X4241" s="161"/>
      <c r="Y4241" s="161"/>
      <c r="Z4241" s="168"/>
      <c r="AA4241" s="168"/>
      <c r="AB4241" s="168"/>
      <c r="AC4241" s="168"/>
    </row>
    <row r="4242">
      <c r="A4242" s="161"/>
      <c r="B4242" s="161"/>
      <c r="C4242" s="162"/>
      <c r="D4242" s="163"/>
      <c r="E4242" s="164" t="str">
        <f>IFERROR(__xludf.DUMMYFUNCTION("""COMPUTED_VALUE"""),"")</f>
        <v/>
      </c>
      <c r="F4242" s="163"/>
      <c r="G4242" s="163"/>
      <c r="H4242" s="163"/>
      <c r="I4242" s="163"/>
      <c r="J4242" s="165"/>
      <c r="K4242" s="165"/>
      <c r="L4242" s="165"/>
      <c r="M4242" s="166"/>
      <c r="N4242" s="167"/>
      <c r="O4242" s="163"/>
      <c r="P4242" s="163"/>
      <c r="Q4242" s="163"/>
      <c r="R4242" s="163"/>
      <c r="S4242" s="161"/>
      <c r="T4242" s="161"/>
      <c r="U4242" s="161"/>
      <c r="V4242" s="161"/>
      <c r="W4242" s="161"/>
      <c r="X4242" s="161"/>
      <c r="Y4242" s="161"/>
      <c r="Z4242" s="168"/>
      <c r="AA4242" s="168"/>
      <c r="AB4242" s="168"/>
      <c r="AC4242" s="168"/>
    </row>
    <row r="4243">
      <c r="A4243" s="161"/>
      <c r="B4243" s="161"/>
      <c r="C4243" s="162"/>
      <c r="D4243" s="163"/>
      <c r="E4243" s="164" t="str">
        <f>IFERROR(__xludf.DUMMYFUNCTION("""COMPUTED_VALUE"""),"")</f>
        <v/>
      </c>
      <c r="F4243" s="163"/>
      <c r="G4243" s="163"/>
      <c r="H4243" s="163"/>
      <c r="I4243" s="163"/>
      <c r="J4243" s="165"/>
      <c r="K4243" s="165"/>
      <c r="L4243" s="165"/>
      <c r="M4243" s="166"/>
      <c r="N4243" s="167"/>
      <c r="O4243" s="163"/>
      <c r="P4243" s="163"/>
      <c r="Q4243" s="163"/>
      <c r="R4243" s="163"/>
      <c r="S4243" s="161"/>
      <c r="T4243" s="161"/>
      <c r="U4243" s="161"/>
      <c r="V4243" s="161"/>
      <c r="W4243" s="161"/>
      <c r="X4243" s="161"/>
      <c r="Y4243" s="161"/>
      <c r="Z4243" s="168"/>
      <c r="AA4243" s="168"/>
      <c r="AB4243" s="168"/>
      <c r="AC4243" s="168"/>
    </row>
    <row r="4244">
      <c r="A4244" s="161"/>
      <c r="B4244" s="161"/>
      <c r="C4244" s="162"/>
      <c r="D4244" s="163"/>
      <c r="E4244" s="164" t="str">
        <f>IFERROR(__xludf.DUMMYFUNCTION("""COMPUTED_VALUE"""),"")</f>
        <v/>
      </c>
      <c r="F4244" s="163"/>
      <c r="G4244" s="163"/>
      <c r="H4244" s="163"/>
      <c r="I4244" s="163"/>
      <c r="J4244" s="165"/>
      <c r="K4244" s="165"/>
      <c r="L4244" s="165"/>
      <c r="M4244" s="166"/>
      <c r="N4244" s="167"/>
      <c r="O4244" s="163"/>
      <c r="P4244" s="163"/>
      <c r="Q4244" s="163"/>
      <c r="R4244" s="163"/>
      <c r="S4244" s="161"/>
      <c r="T4244" s="161"/>
      <c r="U4244" s="161"/>
      <c r="V4244" s="161"/>
      <c r="W4244" s="161"/>
      <c r="X4244" s="161"/>
      <c r="Y4244" s="161"/>
      <c r="Z4244" s="168"/>
      <c r="AA4244" s="168"/>
      <c r="AB4244" s="168"/>
      <c r="AC4244" s="168"/>
    </row>
    <row r="4245">
      <c r="A4245" s="161"/>
      <c r="B4245" s="161"/>
      <c r="C4245" s="162"/>
      <c r="D4245" s="163"/>
      <c r="E4245" s="164" t="str">
        <f>IFERROR(__xludf.DUMMYFUNCTION("""COMPUTED_VALUE"""),"")</f>
        <v/>
      </c>
      <c r="F4245" s="163"/>
      <c r="G4245" s="163"/>
      <c r="H4245" s="163"/>
      <c r="I4245" s="163"/>
      <c r="J4245" s="165"/>
      <c r="K4245" s="165"/>
      <c r="L4245" s="165"/>
      <c r="M4245" s="166"/>
      <c r="N4245" s="167"/>
      <c r="O4245" s="163"/>
      <c r="P4245" s="163"/>
      <c r="Q4245" s="163"/>
      <c r="R4245" s="163"/>
      <c r="S4245" s="161"/>
      <c r="T4245" s="161"/>
      <c r="U4245" s="161"/>
      <c r="V4245" s="161"/>
      <c r="W4245" s="161"/>
      <c r="X4245" s="161"/>
      <c r="Y4245" s="161"/>
      <c r="Z4245" s="168"/>
      <c r="AA4245" s="168"/>
      <c r="AB4245" s="168"/>
      <c r="AC4245" s="168"/>
    </row>
    <row r="4246">
      <c r="A4246" s="161"/>
      <c r="B4246" s="161"/>
      <c r="C4246" s="162"/>
      <c r="D4246" s="163"/>
      <c r="E4246" s="164" t="str">
        <f>IFERROR(__xludf.DUMMYFUNCTION("""COMPUTED_VALUE"""),"")</f>
        <v/>
      </c>
      <c r="F4246" s="163"/>
      <c r="G4246" s="163"/>
      <c r="H4246" s="163"/>
      <c r="I4246" s="163"/>
      <c r="J4246" s="165"/>
      <c r="K4246" s="165"/>
      <c r="L4246" s="165"/>
      <c r="M4246" s="166"/>
      <c r="N4246" s="167"/>
      <c r="O4246" s="163"/>
      <c r="P4246" s="163"/>
      <c r="Q4246" s="163"/>
      <c r="R4246" s="163"/>
      <c r="S4246" s="161"/>
      <c r="T4246" s="161"/>
      <c r="U4246" s="161"/>
      <c r="V4246" s="161"/>
      <c r="W4246" s="161"/>
      <c r="X4246" s="161"/>
      <c r="Y4246" s="161"/>
      <c r="Z4246" s="168"/>
      <c r="AA4246" s="168"/>
      <c r="AB4246" s="168"/>
      <c r="AC4246" s="168"/>
    </row>
    <row r="4247">
      <c r="A4247" s="161"/>
      <c r="B4247" s="161"/>
      <c r="C4247" s="162"/>
      <c r="D4247" s="163"/>
      <c r="E4247" s="164" t="str">
        <f>IFERROR(__xludf.DUMMYFUNCTION("""COMPUTED_VALUE"""),"")</f>
        <v/>
      </c>
      <c r="F4247" s="163"/>
      <c r="G4247" s="163"/>
      <c r="H4247" s="163"/>
      <c r="I4247" s="163"/>
      <c r="J4247" s="165"/>
      <c r="K4247" s="165"/>
      <c r="L4247" s="165"/>
      <c r="M4247" s="166"/>
      <c r="N4247" s="167"/>
      <c r="O4247" s="163"/>
      <c r="P4247" s="163"/>
      <c r="Q4247" s="163"/>
      <c r="R4247" s="163"/>
      <c r="S4247" s="161"/>
      <c r="T4247" s="161"/>
      <c r="U4247" s="161"/>
      <c r="V4247" s="161"/>
      <c r="W4247" s="161"/>
      <c r="X4247" s="161"/>
      <c r="Y4247" s="161"/>
      <c r="Z4247" s="168"/>
      <c r="AA4247" s="168"/>
      <c r="AB4247" s="168"/>
      <c r="AC4247" s="168"/>
    </row>
    <row r="4248">
      <c r="A4248" s="161"/>
      <c r="B4248" s="161"/>
      <c r="C4248" s="162"/>
      <c r="D4248" s="163"/>
      <c r="E4248" s="164" t="str">
        <f>IFERROR(__xludf.DUMMYFUNCTION("""COMPUTED_VALUE"""),"")</f>
        <v/>
      </c>
      <c r="F4248" s="163"/>
      <c r="G4248" s="163"/>
      <c r="H4248" s="163"/>
      <c r="I4248" s="163"/>
      <c r="J4248" s="165"/>
      <c r="K4248" s="165"/>
      <c r="L4248" s="165"/>
      <c r="M4248" s="166"/>
      <c r="N4248" s="167"/>
      <c r="O4248" s="163"/>
      <c r="P4248" s="163"/>
      <c r="Q4248" s="163"/>
      <c r="R4248" s="163"/>
      <c r="S4248" s="161"/>
      <c r="T4248" s="161"/>
      <c r="U4248" s="161"/>
      <c r="V4248" s="161"/>
      <c r="W4248" s="161"/>
      <c r="X4248" s="161"/>
      <c r="Y4248" s="161"/>
      <c r="Z4248" s="168"/>
      <c r="AA4248" s="168"/>
      <c r="AB4248" s="168"/>
      <c r="AC4248" s="168"/>
    </row>
    <row r="4249">
      <c r="A4249" s="161"/>
      <c r="B4249" s="161"/>
      <c r="C4249" s="162"/>
      <c r="D4249" s="163"/>
      <c r="E4249" s="164" t="str">
        <f>IFERROR(__xludf.DUMMYFUNCTION("""COMPUTED_VALUE"""),"")</f>
        <v/>
      </c>
      <c r="F4249" s="163"/>
      <c r="G4249" s="163"/>
      <c r="H4249" s="163"/>
      <c r="I4249" s="163"/>
      <c r="J4249" s="165"/>
      <c r="K4249" s="165"/>
      <c r="L4249" s="165"/>
      <c r="M4249" s="166"/>
      <c r="N4249" s="167"/>
      <c r="O4249" s="163"/>
      <c r="P4249" s="163"/>
      <c r="Q4249" s="163"/>
      <c r="R4249" s="163"/>
      <c r="S4249" s="161"/>
      <c r="T4249" s="161"/>
      <c r="U4249" s="161"/>
      <c r="V4249" s="161"/>
      <c r="W4249" s="161"/>
      <c r="X4249" s="161"/>
      <c r="Y4249" s="161"/>
      <c r="Z4249" s="168"/>
      <c r="AA4249" s="168"/>
      <c r="AB4249" s="168"/>
      <c r="AC4249" s="168"/>
    </row>
    <row r="4250">
      <c r="A4250" s="161"/>
      <c r="B4250" s="161"/>
      <c r="C4250" s="162"/>
      <c r="D4250" s="163"/>
      <c r="E4250" s="164" t="str">
        <f>IFERROR(__xludf.DUMMYFUNCTION("""COMPUTED_VALUE"""),"")</f>
        <v/>
      </c>
      <c r="F4250" s="163"/>
      <c r="G4250" s="163"/>
      <c r="H4250" s="163"/>
      <c r="I4250" s="163"/>
      <c r="J4250" s="165"/>
      <c r="K4250" s="165"/>
      <c r="L4250" s="165"/>
      <c r="M4250" s="166"/>
      <c r="N4250" s="167"/>
      <c r="O4250" s="163"/>
      <c r="P4250" s="163"/>
      <c r="Q4250" s="163"/>
      <c r="R4250" s="163"/>
      <c r="S4250" s="161"/>
      <c r="T4250" s="161"/>
      <c r="U4250" s="161"/>
      <c r="V4250" s="161"/>
      <c r="W4250" s="161"/>
      <c r="X4250" s="161"/>
      <c r="Y4250" s="161"/>
      <c r="Z4250" s="168"/>
      <c r="AA4250" s="168"/>
      <c r="AB4250" s="168"/>
      <c r="AC4250" s="168"/>
    </row>
    <row r="4251">
      <c r="A4251" s="161"/>
      <c r="B4251" s="161"/>
      <c r="C4251" s="162"/>
      <c r="D4251" s="163"/>
      <c r="E4251" s="164" t="str">
        <f>IFERROR(__xludf.DUMMYFUNCTION("""COMPUTED_VALUE"""),"")</f>
        <v/>
      </c>
      <c r="F4251" s="163"/>
      <c r="G4251" s="163"/>
      <c r="H4251" s="163"/>
      <c r="I4251" s="163"/>
      <c r="J4251" s="165"/>
      <c r="K4251" s="165"/>
      <c r="L4251" s="165"/>
      <c r="M4251" s="166"/>
      <c r="N4251" s="167"/>
      <c r="O4251" s="163"/>
      <c r="P4251" s="163"/>
      <c r="Q4251" s="163"/>
      <c r="R4251" s="163"/>
      <c r="S4251" s="161"/>
      <c r="T4251" s="161"/>
      <c r="U4251" s="161"/>
      <c r="V4251" s="161"/>
      <c r="W4251" s="161"/>
      <c r="X4251" s="161"/>
      <c r="Y4251" s="161"/>
      <c r="Z4251" s="168"/>
      <c r="AA4251" s="168"/>
      <c r="AB4251" s="168"/>
      <c r="AC4251" s="168"/>
    </row>
    <row r="4252">
      <c r="A4252" s="161"/>
      <c r="B4252" s="161"/>
      <c r="C4252" s="162"/>
      <c r="D4252" s="163"/>
      <c r="E4252" s="164" t="str">
        <f>IFERROR(__xludf.DUMMYFUNCTION("""COMPUTED_VALUE"""),"")</f>
        <v/>
      </c>
      <c r="F4252" s="163"/>
      <c r="G4252" s="163"/>
      <c r="H4252" s="163"/>
      <c r="I4252" s="163"/>
      <c r="J4252" s="165"/>
      <c r="K4252" s="165"/>
      <c r="L4252" s="165"/>
      <c r="M4252" s="166"/>
      <c r="N4252" s="167"/>
      <c r="O4252" s="163"/>
      <c r="P4252" s="163"/>
      <c r="Q4252" s="163"/>
      <c r="R4252" s="163"/>
      <c r="S4252" s="161"/>
      <c r="T4252" s="161"/>
      <c r="U4252" s="161"/>
      <c r="V4252" s="161"/>
      <c r="W4252" s="161"/>
      <c r="X4252" s="161"/>
      <c r="Y4252" s="161"/>
      <c r="Z4252" s="168"/>
      <c r="AA4252" s="168"/>
      <c r="AB4252" s="168"/>
      <c r="AC4252" s="168"/>
    </row>
    <row r="4253">
      <c r="A4253" s="161"/>
      <c r="B4253" s="161"/>
      <c r="C4253" s="162"/>
      <c r="D4253" s="163"/>
      <c r="E4253" s="164" t="str">
        <f>IFERROR(__xludf.DUMMYFUNCTION("""COMPUTED_VALUE"""),"")</f>
        <v/>
      </c>
      <c r="F4253" s="163"/>
      <c r="G4253" s="163"/>
      <c r="H4253" s="163"/>
      <c r="I4253" s="163"/>
      <c r="J4253" s="165"/>
      <c r="K4253" s="165"/>
      <c r="L4253" s="165"/>
      <c r="M4253" s="166"/>
      <c r="N4253" s="167"/>
      <c r="O4253" s="163"/>
      <c r="P4253" s="163"/>
      <c r="Q4253" s="163"/>
      <c r="R4253" s="163"/>
      <c r="S4253" s="161"/>
      <c r="T4253" s="161"/>
      <c r="U4253" s="161"/>
      <c r="V4253" s="161"/>
      <c r="W4253" s="161"/>
      <c r="X4253" s="161"/>
      <c r="Y4253" s="161"/>
      <c r="Z4253" s="168"/>
      <c r="AA4253" s="168"/>
      <c r="AB4253" s="168"/>
      <c r="AC4253" s="168"/>
    </row>
    <row r="4254">
      <c r="A4254" s="161"/>
      <c r="B4254" s="161"/>
      <c r="C4254" s="162"/>
      <c r="D4254" s="163"/>
      <c r="E4254" s="164" t="str">
        <f>IFERROR(__xludf.DUMMYFUNCTION("""COMPUTED_VALUE"""),"")</f>
        <v/>
      </c>
      <c r="F4254" s="163"/>
      <c r="G4254" s="163"/>
      <c r="H4254" s="163"/>
      <c r="I4254" s="163"/>
      <c r="J4254" s="165"/>
      <c r="K4254" s="165"/>
      <c r="L4254" s="165"/>
      <c r="M4254" s="166"/>
      <c r="N4254" s="167"/>
      <c r="O4254" s="163"/>
      <c r="P4254" s="163"/>
      <c r="Q4254" s="163"/>
      <c r="R4254" s="163"/>
      <c r="S4254" s="161"/>
      <c r="T4254" s="161"/>
      <c r="U4254" s="161"/>
      <c r="V4254" s="161"/>
      <c r="W4254" s="161"/>
      <c r="X4254" s="161"/>
      <c r="Y4254" s="161"/>
      <c r="Z4254" s="168"/>
      <c r="AA4254" s="168"/>
      <c r="AB4254" s="168"/>
      <c r="AC4254" s="168"/>
    </row>
    <row r="4255">
      <c r="A4255" s="161"/>
      <c r="B4255" s="161"/>
      <c r="C4255" s="162"/>
      <c r="D4255" s="163"/>
      <c r="E4255" s="164" t="str">
        <f>IFERROR(__xludf.DUMMYFUNCTION("""COMPUTED_VALUE"""),"")</f>
        <v/>
      </c>
      <c r="F4255" s="163"/>
      <c r="G4255" s="163"/>
      <c r="H4255" s="163"/>
      <c r="I4255" s="163"/>
      <c r="J4255" s="165"/>
      <c r="K4255" s="165"/>
      <c r="L4255" s="165"/>
      <c r="M4255" s="166"/>
      <c r="N4255" s="167"/>
      <c r="O4255" s="163"/>
      <c r="P4255" s="163"/>
      <c r="Q4255" s="163"/>
      <c r="R4255" s="163"/>
      <c r="S4255" s="161"/>
      <c r="T4255" s="161"/>
      <c r="U4255" s="161"/>
      <c r="V4255" s="161"/>
      <c r="W4255" s="161"/>
      <c r="X4255" s="161"/>
      <c r="Y4255" s="161"/>
      <c r="Z4255" s="168"/>
      <c r="AA4255" s="168"/>
      <c r="AB4255" s="168"/>
      <c r="AC4255" s="168"/>
    </row>
    <row r="4256">
      <c r="A4256" s="161"/>
      <c r="B4256" s="161"/>
      <c r="C4256" s="162"/>
      <c r="D4256" s="163"/>
      <c r="E4256" s="164" t="str">
        <f>IFERROR(__xludf.DUMMYFUNCTION("""COMPUTED_VALUE"""),"")</f>
        <v/>
      </c>
      <c r="F4256" s="163"/>
      <c r="G4256" s="163"/>
      <c r="H4256" s="163"/>
      <c r="I4256" s="163"/>
      <c r="J4256" s="165"/>
      <c r="K4256" s="165"/>
      <c r="L4256" s="165"/>
      <c r="M4256" s="166"/>
      <c r="N4256" s="167"/>
      <c r="O4256" s="163"/>
      <c r="P4256" s="163"/>
      <c r="Q4256" s="163"/>
      <c r="R4256" s="163"/>
      <c r="S4256" s="161"/>
      <c r="T4256" s="161"/>
      <c r="U4256" s="161"/>
      <c r="V4256" s="161"/>
      <c r="W4256" s="161"/>
      <c r="X4256" s="161"/>
      <c r="Y4256" s="161"/>
      <c r="Z4256" s="168"/>
      <c r="AA4256" s="168"/>
      <c r="AB4256" s="168"/>
      <c r="AC4256" s="168"/>
    </row>
    <row r="4257">
      <c r="A4257" s="161"/>
      <c r="B4257" s="161"/>
      <c r="C4257" s="162"/>
      <c r="D4257" s="163"/>
      <c r="E4257" s="164" t="str">
        <f>IFERROR(__xludf.DUMMYFUNCTION("""COMPUTED_VALUE"""),"")</f>
        <v/>
      </c>
      <c r="F4257" s="163"/>
      <c r="G4257" s="163"/>
      <c r="H4257" s="163"/>
      <c r="I4257" s="163"/>
      <c r="J4257" s="165"/>
      <c r="K4257" s="165"/>
      <c r="L4257" s="165"/>
      <c r="M4257" s="166"/>
      <c r="N4257" s="167"/>
      <c r="O4257" s="163"/>
      <c r="P4257" s="163"/>
      <c r="Q4257" s="163"/>
      <c r="R4257" s="163"/>
      <c r="S4257" s="161"/>
      <c r="T4257" s="161"/>
      <c r="U4257" s="161"/>
      <c r="V4257" s="161"/>
      <c r="W4257" s="161"/>
      <c r="X4257" s="161"/>
      <c r="Y4257" s="161"/>
      <c r="Z4257" s="168"/>
      <c r="AA4257" s="168"/>
      <c r="AB4257" s="168"/>
      <c r="AC4257" s="168"/>
    </row>
    <row r="4258">
      <c r="A4258" s="161"/>
      <c r="B4258" s="161"/>
      <c r="C4258" s="162"/>
      <c r="D4258" s="163"/>
      <c r="E4258" s="164" t="str">
        <f>IFERROR(__xludf.DUMMYFUNCTION("""COMPUTED_VALUE"""),"")</f>
        <v/>
      </c>
      <c r="F4258" s="163"/>
      <c r="G4258" s="163"/>
      <c r="H4258" s="163"/>
      <c r="I4258" s="163"/>
      <c r="J4258" s="165"/>
      <c r="K4258" s="165"/>
      <c r="L4258" s="165"/>
      <c r="M4258" s="166"/>
      <c r="N4258" s="167"/>
      <c r="O4258" s="163"/>
      <c r="P4258" s="163"/>
      <c r="Q4258" s="163"/>
      <c r="R4258" s="163"/>
      <c r="S4258" s="161"/>
      <c r="T4258" s="161"/>
      <c r="U4258" s="161"/>
      <c r="V4258" s="161"/>
      <c r="W4258" s="161"/>
      <c r="X4258" s="161"/>
      <c r="Y4258" s="161"/>
      <c r="Z4258" s="168"/>
      <c r="AA4258" s="168"/>
      <c r="AB4258" s="168"/>
      <c r="AC4258" s="168"/>
    </row>
    <row r="4259">
      <c r="A4259" s="161"/>
      <c r="B4259" s="161"/>
      <c r="C4259" s="162"/>
      <c r="D4259" s="163"/>
      <c r="E4259" s="164" t="str">
        <f>IFERROR(__xludf.DUMMYFUNCTION("""COMPUTED_VALUE"""),"")</f>
        <v/>
      </c>
      <c r="F4259" s="163"/>
      <c r="G4259" s="163"/>
      <c r="H4259" s="163"/>
      <c r="I4259" s="163"/>
      <c r="J4259" s="165"/>
      <c r="K4259" s="165"/>
      <c r="L4259" s="165"/>
      <c r="M4259" s="166"/>
      <c r="N4259" s="167"/>
      <c r="O4259" s="163"/>
      <c r="P4259" s="163"/>
      <c r="Q4259" s="163"/>
      <c r="R4259" s="163"/>
      <c r="S4259" s="161"/>
      <c r="T4259" s="161"/>
      <c r="U4259" s="161"/>
      <c r="V4259" s="161"/>
      <c r="W4259" s="161"/>
      <c r="X4259" s="161"/>
      <c r="Y4259" s="161"/>
      <c r="Z4259" s="168"/>
      <c r="AA4259" s="168"/>
      <c r="AB4259" s="168"/>
      <c r="AC4259" s="168"/>
    </row>
    <row r="4260">
      <c r="A4260" s="161"/>
      <c r="B4260" s="161"/>
      <c r="C4260" s="162"/>
      <c r="D4260" s="163"/>
      <c r="E4260" s="164" t="str">
        <f>IFERROR(__xludf.DUMMYFUNCTION("""COMPUTED_VALUE"""),"")</f>
        <v/>
      </c>
      <c r="F4260" s="163"/>
      <c r="G4260" s="163"/>
      <c r="H4260" s="163"/>
      <c r="I4260" s="163"/>
      <c r="J4260" s="165"/>
      <c r="K4260" s="165"/>
      <c r="L4260" s="165"/>
      <c r="M4260" s="166"/>
      <c r="N4260" s="167"/>
      <c r="O4260" s="163"/>
      <c r="P4260" s="163"/>
      <c r="Q4260" s="163"/>
      <c r="R4260" s="163"/>
      <c r="S4260" s="161"/>
      <c r="T4260" s="161"/>
      <c r="U4260" s="161"/>
      <c r="V4260" s="161"/>
      <c r="W4260" s="161"/>
      <c r="X4260" s="161"/>
      <c r="Y4260" s="161"/>
      <c r="Z4260" s="168"/>
      <c r="AA4260" s="168"/>
      <c r="AB4260" s="168"/>
      <c r="AC4260" s="168"/>
    </row>
    <row r="4261">
      <c r="A4261" s="161"/>
      <c r="B4261" s="161"/>
      <c r="C4261" s="162"/>
      <c r="D4261" s="163"/>
      <c r="E4261" s="164" t="str">
        <f>IFERROR(__xludf.DUMMYFUNCTION("""COMPUTED_VALUE"""),"")</f>
        <v/>
      </c>
      <c r="F4261" s="163"/>
      <c r="G4261" s="163"/>
      <c r="H4261" s="163"/>
      <c r="I4261" s="163"/>
      <c r="J4261" s="165"/>
      <c r="K4261" s="165"/>
      <c r="L4261" s="165"/>
      <c r="M4261" s="166"/>
      <c r="N4261" s="167"/>
      <c r="O4261" s="163"/>
      <c r="P4261" s="163"/>
      <c r="Q4261" s="163"/>
      <c r="R4261" s="163"/>
      <c r="S4261" s="161"/>
      <c r="T4261" s="161"/>
      <c r="U4261" s="161"/>
      <c r="V4261" s="161"/>
      <c r="W4261" s="161"/>
      <c r="X4261" s="161"/>
      <c r="Y4261" s="161"/>
      <c r="Z4261" s="168"/>
      <c r="AA4261" s="168"/>
      <c r="AB4261" s="168"/>
      <c r="AC4261" s="168"/>
    </row>
    <row r="4262">
      <c r="A4262" s="161"/>
      <c r="B4262" s="161"/>
      <c r="C4262" s="162"/>
      <c r="D4262" s="163"/>
      <c r="E4262" s="164" t="str">
        <f>IFERROR(__xludf.DUMMYFUNCTION("""COMPUTED_VALUE"""),"")</f>
        <v/>
      </c>
      <c r="F4262" s="163"/>
      <c r="G4262" s="163"/>
      <c r="H4262" s="163"/>
      <c r="I4262" s="163"/>
      <c r="J4262" s="165"/>
      <c r="K4262" s="165"/>
      <c r="L4262" s="165"/>
      <c r="M4262" s="166"/>
      <c r="N4262" s="167"/>
      <c r="O4262" s="163"/>
      <c r="P4262" s="163"/>
      <c r="Q4262" s="163"/>
      <c r="R4262" s="163"/>
      <c r="S4262" s="161"/>
      <c r="T4262" s="161"/>
      <c r="U4262" s="161"/>
      <c r="V4262" s="161"/>
      <c r="W4262" s="161"/>
      <c r="X4262" s="161"/>
      <c r="Y4262" s="161"/>
      <c r="Z4262" s="168"/>
      <c r="AA4262" s="168"/>
      <c r="AB4262" s="168"/>
      <c r="AC4262" s="168"/>
    </row>
    <row r="4263">
      <c r="A4263" s="161"/>
      <c r="B4263" s="161"/>
      <c r="C4263" s="162"/>
      <c r="D4263" s="163"/>
      <c r="E4263" s="164" t="str">
        <f>IFERROR(__xludf.DUMMYFUNCTION("""COMPUTED_VALUE"""),"")</f>
        <v/>
      </c>
      <c r="F4263" s="163"/>
      <c r="G4263" s="163"/>
      <c r="H4263" s="163"/>
      <c r="I4263" s="163"/>
      <c r="J4263" s="165"/>
      <c r="K4263" s="165"/>
      <c r="L4263" s="165"/>
      <c r="M4263" s="166"/>
      <c r="N4263" s="167"/>
      <c r="O4263" s="163"/>
      <c r="P4263" s="163"/>
      <c r="Q4263" s="163"/>
      <c r="R4263" s="163"/>
      <c r="S4263" s="161"/>
      <c r="T4263" s="161"/>
      <c r="U4263" s="161"/>
      <c r="V4263" s="161"/>
      <c r="W4263" s="161"/>
      <c r="X4263" s="161"/>
      <c r="Y4263" s="161"/>
      <c r="Z4263" s="168"/>
      <c r="AA4263" s="168"/>
      <c r="AB4263" s="168"/>
      <c r="AC4263" s="168"/>
    </row>
    <row r="4264">
      <c r="A4264" s="161"/>
      <c r="B4264" s="161"/>
      <c r="C4264" s="162"/>
      <c r="D4264" s="163"/>
      <c r="E4264" s="164" t="str">
        <f>IFERROR(__xludf.DUMMYFUNCTION("""COMPUTED_VALUE"""),"")</f>
        <v/>
      </c>
      <c r="F4264" s="163"/>
      <c r="G4264" s="163"/>
      <c r="H4264" s="163"/>
      <c r="I4264" s="163"/>
      <c r="J4264" s="165"/>
      <c r="K4264" s="165"/>
      <c r="L4264" s="165"/>
      <c r="M4264" s="166"/>
      <c r="N4264" s="167"/>
      <c r="O4264" s="163"/>
      <c r="P4264" s="163"/>
      <c r="Q4264" s="163"/>
      <c r="R4264" s="163"/>
      <c r="S4264" s="161"/>
      <c r="T4264" s="161"/>
      <c r="U4264" s="161"/>
      <c r="V4264" s="161"/>
      <c r="W4264" s="161"/>
      <c r="X4264" s="161"/>
      <c r="Y4264" s="161"/>
      <c r="Z4264" s="168"/>
      <c r="AA4264" s="168"/>
      <c r="AB4264" s="168"/>
      <c r="AC4264" s="168"/>
    </row>
    <row r="4265">
      <c r="A4265" s="161"/>
      <c r="B4265" s="161"/>
      <c r="C4265" s="162"/>
      <c r="D4265" s="163"/>
      <c r="E4265" s="164" t="str">
        <f>IFERROR(__xludf.DUMMYFUNCTION("""COMPUTED_VALUE"""),"")</f>
        <v/>
      </c>
      <c r="F4265" s="163"/>
      <c r="G4265" s="163"/>
      <c r="H4265" s="163"/>
      <c r="I4265" s="163"/>
      <c r="J4265" s="165"/>
      <c r="K4265" s="165"/>
      <c r="L4265" s="165"/>
      <c r="M4265" s="166"/>
      <c r="N4265" s="167"/>
      <c r="O4265" s="163"/>
      <c r="P4265" s="163"/>
      <c r="Q4265" s="163"/>
      <c r="R4265" s="163"/>
      <c r="S4265" s="161"/>
      <c r="T4265" s="161"/>
      <c r="U4265" s="161"/>
      <c r="V4265" s="161"/>
      <c r="W4265" s="161"/>
      <c r="X4265" s="161"/>
      <c r="Y4265" s="161"/>
      <c r="Z4265" s="168"/>
      <c r="AA4265" s="168"/>
      <c r="AB4265" s="168"/>
      <c r="AC4265" s="168"/>
    </row>
    <row r="4266">
      <c r="A4266" s="161"/>
      <c r="B4266" s="161"/>
      <c r="C4266" s="162"/>
      <c r="D4266" s="163"/>
      <c r="E4266" s="164" t="str">
        <f>IFERROR(__xludf.DUMMYFUNCTION("""COMPUTED_VALUE"""),"")</f>
        <v/>
      </c>
      <c r="F4266" s="163"/>
      <c r="G4266" s="163"/>
      <c r="H4266" s="163"/>
      <c r="I4266" s="163"/>
      <c r="J4266" s="165"/>
      <c r="K4266" s="165"/>
      <c r="L4266" s="165"/>
      <c r="M4266" s="166"/>
      <c r="N4266" s="167"/>
      <c r="O4266" s="163"/>
      <c r="P4266" s="163"/>
      <c r="Q4266" s="163"/>
      <c r="R4266" s="163"/>
      <c r="S4266" s="161"/>
      <c r="T4266" s="161"/>
      <c r="U4266" s="161"/>
      <c r="V4266" s="161"/>
      <c r="W4266" s="161"/>
      <c r="X4266" s="161"/>
      <c r="Y4266" s="161"/>
      <c r="Z4266" s="168"/>
      <c r="AA4266" s="168"/>
      <c r="AB4266" s="168"/>
      <c r="AC4266" s="168"/>
    </row>
    <row r="4267">
      <c r="A4267" s="161"/>
      <c r="B4267" s="161"/>
      <c r="C4267" s="162"/>
      <c r="D4267" s="163"/>
      <c r="E4267" s="164" t="str">
        <f>IFERROR(__xludf.DUMMYFUNCTION("""COMPUTED_VALUE"""),"")</f>
        <v/>
      </c>
      <c r="F4267" s="163"/>
      <c r="G4267" s="163"/>
      <c r="H4267" s="163"/>
      <c r="I4267" s="163"/>
      <c r="J4267" s="165"/>
      <c r="K4267" s="165"/>
      <c r="L4267" s="165"/>
      <c r="M4267" s="166"/>
      <c r="N4267" s="167"/>
      <c r="O4267" s="163"/>
      <c r="P4267" s="163"/>
      <c r="Q4267" s="163"/>
      <c r="R4267" s="163"/>
      <c r="S4267" s="161"/>
      <c r="T4267" s="161"/>
      <c r="U4267" s="161"/>
      <c r="V4267" s="161"/>
      <c r="W4267" s="161"/>
      <c r="X4267" s="161"/>
      <c r="Y4267" s="161"/>
      <c r="Z4267" s="168"/>
      <c r="AA4267" s="168"/>
      <c r="AB4267" s="168"/>
      <c r="AC4267" s="168"/>
    </row>
    <row r="4268">
      <c r="A4268" s="161"/>
      <c r="B4268" s="161"/>
      <c r="C4268" s="162"/>
      <c r="D4268" s="163"/>
      <c r="E4268" s="164" t="str">
        <f>IFERROR(__xludf.DUMMYFUNCTION("""COMPUTED_VALUE"""),"")</f>
        <v/>
      </c>
      <c r="F4268" s="163"/>
      <c r="G4268" s="163"/>
      <c r="H4268" s="163"/>
      <c r="I4268" s="163"/>
      <c r="J4268" s="165"/>
      <c r="K4268" s="165"/>
      <c r="L4268" s="165"/>
      <c r="M4268" s="166"/>
      <c r="N4268" s="167"/>
      <c r="O4268" s="163"/>
      <c r="P4268" s="163"/>
      <c r="Q4268" s="163"/>
      <c r="R4268" s="163"/>
      <c r="S4268" s="161"/>
      <c r="T4268" s="161"/>
      <c r="U4268" s="161"/>
      <c r="V4268" s="161"/>
      <c r="W4268" s="161"/>
      <c r="X4268" s="161"/>
      <c r="Y4268" s="161"/>
      <c r="Z4268" s="168"/>
      <c r="AA4268" s="168"/>
      <c r="AB4268" s="168"/>
      <c r="AC4268" s="168"/>
    </row>
    <row r="4269">
      <c r="A4269" s="161"/>
      <c r="B4269" s="161"/>
      <c r="C4269" s="162"/>
      <c r="D4269" s="163"/>
      <c r="E4269" s="164" t="str">
        <f>IFERROR(__xludf.DUMMYFUNCTION("""COMPUTED_VALUE"""),"")</f>
        <v/>
      </c>
      <c r="F4269" s="163"/>
      <c r="G4269" s="163"/>
      <c r="H4269" s="163"/>
      <c r="I4269" s="163"/>
      <c r="J4269" s="165"/>
      <c r="K4269" s="165"/>
      <c r="L4269" s="165"/>
      <c r="M4269" s="166"/>
      <c r="N4269" s="167"/>
      <c r="O4269" s="163"/>
      <c r="P4269" s="163"/>
      <c r="Q4269" s="163"/>
      <c r="R4269" s="163"/>
      <c r="S4269" s="161"/>
      <c r="T4269" s="161"/>
      <c r="U4269" s="161"/>
      <c r="V4269" s="161"/>
      <c r="W4269" s="161"/>
      <c r="X4269" s="161"/>
      <c r="Y4269" s="161"/>
      <c r="Z4269" s="168"/>
      <c r="AA4269" s="168"/>
      <c r="AB4269" s="168"/>
      <c r="AC4269" s="168"/>
    </row>
    <row r="4270">
      <c r="A4270" s="161"/>
      <c r="B4270" s="161"/>
      <c r="C4270" s="162"/>
      <c r="D4270" s="163"/>
      <c r="E4270" s="164" t="str">
        <f>IFERROR(__xludf.DUMMYFUNCTION("""COMPUTED_VALUE"""),"")</f>
        <v/>
      </c>
      <c r="F4270" s="163"/>
      <c r="G4270" s="163"/>
      <c r="H4270" s="163"/>
      <c r="I4270" s="163"/>
      <c r="J4270" s="165"/>
      <c r="K4270" s="165"/>
      <c r="L4270" s="165"/>
      <c r="M4270" s="166"/>
      <c r="N4270" s="167"/>
      <c r="O4270" s="163"/>
      <c r="P4270" s="163"/>
      <c r="Q4270" s="163"/>
      <c r="R4270" s="163"/>
      <c r="S4270" s="161"/>
      <c r="T4270" s="161"/>
      <c r="U4270" s="161"/>
      <c r="V4270" s="161"/>
      <c r="W4270" s="161"/>
      <c r="X4270" s="161"/>
      <c r="Y4270" s="161"/>
      <c r="Z4270" s="168"/>
      <c r="AA4270" s="168"/>
      <c r="AB4270" s="168"/>
      <c r="AC4270" s="168"/>
    </row>
    <row r="4271">
      <c r="A4271" s="161"/>
      <c r="B4271" s="161"/>
      <c r="C4271" s="162"/>
      <c r="D4271" s="163"/>
      <c r="E4271" s="164" t="str">
        <f>IFERROR(__xludf.DUMMYFUNCTION("""COMPUTED_VALUE"""),"")</f>
        <v/>
      </c>
      <c r="F4271" s="163"/>
      <c r="G4271" s="163"/>
      <c r="H4271" s="163"/>
      <c r="I4271" s="163"/>
      <c r="J4271" s="165"/>
      <c r="K4271" s="165"/>
      <c r="L4271" s="165"/>
      <c r="M4271" s="166"/>
      <c r="N4271" s="167"/>
      <c r="O4271" s="163"/>
      <c r="P4271" s="163"/>
      <c r="Q4271" s="163"/>
      <c r="R4271" s="163"/>
      <c r="S4271" s="161"/>
      <c r="T4271" s="161"/>
      <c r="U4271" s="161"/>
      <c r="V4271" s="161"/>
      <c r="W4271" s="161"/>
      <c r="X4271" s="161"/>
      <c r="Y4271" s="161"/>
      <c r="Z4271" s="168"/>
      <c r="AA4271" s="168"/>
      <c r="AB4271" s="168"/>
      <c r="AC4271" s="168"/>
    </row>
    <row r="4272">
      <c r="A4272" s="161"/>
      <c r="B4272" s="161"/>
      <c r="C4272" s="162"/>
      <c r="D4272" s="163"/>
      <c r="E4272" s="164" t="str">
        <f>IFERROR(__xludf.DUMMYFUNCTION("""COMPUTED_VALUE"""),"")</f>
        <v/>
      </c>
      <c r="F4272" s="163"/>
      <c r="G4272" s="163"/>
      <c r="H4272" s="163"/>
      <c r="I4272" s="163"/>
      <c r="J4272" s="165"/>
      <c r="K4272" s="165"/>
      <c r="L4272" s="165"/>
      <c r="M4272" s="166"/>
      <c r="N4272" s="167"/>
      <c r="O4272" s="163"/>
      <c r="P4272" s="163"/>
      <c r="Q4272" s="163"/>
      <c r="R4272" s="163"/>
      <c r="S4272" s="161"/>
      <c r="T4272" s="161"/>
      <c r="U4272" s="161"/>
      <c r="V4272" s="161"/>
      <c r="W4272" s="161"/>
      <c r="X4272" s="161"/>
      <c r="Y4272" s="161"/>
      <c r="Z4272" s="168"/>
      <c r="AA4272" s="168"/>
      <c r="AB4272" s="168"/>
      <c r="AC4272" s="168"/>
    </row>
    <row r="4273">
      <c r="A4273" s="161"/>
      <c r="B4273" s="161"/>
      <c r="C4273" s="162"/>
      <c r="D4273" s="163"/>
      <c r="E4273" s="164" t="str">
        <f>IFERROR(__xludf.DUMMYFUNCTION("""COMPUTED_VALUE"""),"")</f>
        <v/>
      </c>
      <c r="F4273" s="163"/>
      <c r="G4273" s="163"/>
      <c r="H4273" s="163"/>
      <c r="I4273" s="163"/>
      <c r="J4273" s="165"/>
      <c r="K4273" s="165"/>
      <c r="L4273" s="165"/>
      <c r="M4273" s="166"/>
      <c r="N4273" s="167"/>
      <c r="O4273" s="163"/>
      <c r="P4273" s="163"/>
      <c r="Q4273" s="163"/>
      <c r="R4273" s="163"/>
      <c r="S4273" s="161"/>
      <c r="T4273" s="161"/>
      <c r="U4273" s="161"/>
      <c r="V4273" s="161"/>
      <c r="W4273" s="161"/>
      <c r="X4273" s="161"/>
      <c r="Y4273" s="161"/>
      <c r="Z4273" s="168"/>
      <c r="AA4273" s="168"/>
      <c r="AB4273" s="168"/>
      <c r="AC4273" s="168"/>
    </row>
    <row r="4274">
      <c r="A4274" s="161"/>
      <c r="B4274" s="161"/>
      <c r="C4274" s="162"/>
      <c r="D4274" s="163"/>
      <c r="E4274" s="164" t="str">
        <f>IFERROR(__xludf.DUMMYFUNCTION("""COMPUTED_VALUE"""),"")</f>
        <v/>
      </c>
      <c r="F4274" s="163"/>
      <c r="G4274" s="163"/>
      <c r="H4274" s="163"/>
      <c r="I4274" s="163"/>
      <c r="J4274" s="165"/>
      <c r="K4274" s="165"/>
      <c r="L4274" s="165"/>
      <c r="M4274" s="166"/>
      <c r="N4274" s="167"/>
      <c r="O4274" s="163"/>
      <c r="P4274" s="163"/>
      <c r="Q4274" s="163"/>
      <c r="R4274" s="163"/>
      <c r="S4274" s="161"/>
      <c r="T4274" s="161"/>
      <c r="U4274" s="161"/>
      <c r="V4274" s="161"/>
      <c r="W4274" s="161"/>
      <c r="X4274" s="161"/>
      <c r="Y4274" s="161"/>
      <c r="Z4274" s="168"/>
      <c r="AA4274" s="168"/>
      <c r="AB4274" s="168"/>
      <c r="AC4274" s="168"/>
    </row>
    <row r="4275">
      <c r="A4275" s="161"/>
      <c r="B4275" s="161"/>
      <c r="C4275" s="162"/>
      <c r="D4275" s="163"/>
      <c r="E4275" s="164" t="str">
        <f>IFERROR(__xludf.DUMMYFUNCTION("""COMPUTED_VALUE"""),"")</f>
        <v/>
      </c>
      <c r="F4275" s="163"/>
      <c r="G4275" s="163"/>
      <c r="H4275" s="163"/>
      <c r="I4275" s="163"/>
      <c r="J4275" s="165"/>
      <c r="K4275" s="165"/>
      <c r="L4275" s="165"/>
      <c r="M4275" s="166"/>
      <c r="N4275" s="167"/>
      <c r="O4275" s="163"/>
      <c r="P4275" s="163"/>
      <c r="Q4275" s="163"/>
      <c r="R4275" s="163"/>
      <c r="S4275" s="161"/>
      <c r="T4275" s="161"/>
      <c r="U4275" s="161"/>
      <c r="V4275" s="161"/>
      <c r="W4275" s="161"/>
      <c r="X4275" s="161"/>
      <c r="Y4275" s="161"/>
      <c r="Z4275" s="168"/>
      <c r="AA4275" s="168"/>
      <c r="AB4275" s="168"/>
      <c r="AC4275" s="168"/>
    </row>
    <row r="4276">
      <c r="A4276" s="161"/>
      <c r="B4276" s="161"/>
      <c r="C4276" s="162"/>
      <c r="D4276" s="163"/>
      <c r="E4276" s="164" t="str">
        <f>IFERROR(__xludf.DUMMYFUNCTION("""COMPUTED_VALUE"""),"")</f>
        <v/>
      </c>
      <c r="F4276" s="163"/>
      <c r="G4276" s="163"/>
      <c r="H4276" s="163"/>
      <c r="I4276" s="163"/>
      <c r="J4276" s="165"/>
      <c r="K4276" s="165"/>
      <c r="L4276" s="165"/>
      <c r="M4276" s="166"/>
      <c r="N4276" s="167"/>
      <c r="O4276" s="163"/>
      <c r="P4276" s="163"/>
      <c r="Q4276" s="163"/>
      <c r="R4276" s="163"/>
      <c r="S4276" s="161"/>
      <c r="T4276" s="161"/>
      <c r="U4276" s="161"/>
      <c r="V4276" s="161"/>
      <c r="W4276" s="161"/>
      <c r="X4276" s="161"/>
      <c r="Y4276" s="161"/>
      <c r="Z4276" s="168"/>
      <c r="AA4276" s="168"/>
      <c r="AB4276" s="168"/>
      <c r="AC4276" s="168"/>
    </row>
    <row r="4277">
      <c r="A4277" s="161"/>
      <c r="B4277" s="161"/>
      <c r="C4277" s="162"/>
      <c r="D4277" s="163"/>
      <c r="E4277" s="164" t="str">
        <f>IFERROR(__xludf.DUMMYFUNCTION("""COMPUTED_VALUE"""),"")</f>
        <v/>
      </c>
      <c r="F4277" s="163"/>
      <c r="G4277" s="163"/>
      <c r="H4277" s="163"/>
      <c r="I4277" s="163"/>
      <c r="J4277" s="165"/>
      <c r="K4277" s="165"/>
      <c r="L4277" s="165"/>
      <c r="M4277" s="166"/>
      <c r="N4277" s="167"/>
      <c r="O4277" s="163"/>
      <c r="P4277" s="163"/>
      <c r="Q4277" s="163"/>
      <c r="R4277" s="163"/>
      <c r="S4277" s="161"/>
      <c r="T4277" s="161"/>
      <c r="U4277" s="161"/>
      <c r="V4277" s="161"/>
      <c r="W4277" s="161"/>
      <c r="X4277" s="161"/>
      <c r="Y4277" s="161"/>
      <c r="Z4277" s="168"/>
      <c r="AA4277" s="168"/>
      <c r="AB4277" s="168"/>
      <c r="AC4277" s="168"/>
    </row>
    <row r="4278">
      <c r="A4278" s="161"/>
      <c r="B4278" s="161"/>
      <c r="C4278" s="162"/>
      <c r="D4278" s="163"/>
      <c r="E4278" s="164" t="str">
        <f>IFERROR(__xludf.DUMMYFUNCTION("""COMPUTED_VALUE"""),"")</f>
        <v/>
      </c>
      <c r="F4278" s="163"/>
      <c r="G4278" s="163"/>
      <c r="H4278" s="163"/>
      <c r="I4278" s="163"/>
      <c r="J4278" s="165"/>
      <c r="K4278" s="165"/>
      <c r="L4278" s="165"/>
      <c r="M4278" s="166"/>
      <c r="N4278" s="167"/>
      <c r="O4278" s="163"/>
      <c r="P4278" s="163"/>
      <c r="Q4278" s="163"/>
      <c r="R4278" s="163"/>
      <c r="S4278" s="161"/>
      <c r="T4278" s="161"/>
      <c r="U4278" s="161"/>
      <c r="V4278" s="161"/>
      <c r="W4278" s="161"/>
      <c r="X4278" s="161"/>
      <c r="Y4278" s="161"/>
      <c r="Z4278" s="168"/>
      <c r="AA4278" s="168"/>
      <c r="AB4278" s="168"/>
      <c r="AC4278" s="168"/>
    </row>
    <row r="4279">
      <c r="A4279" s="161"/>
      <c r="B4279" s="161"/>
      <c r="C4279" s="162"/>
      <c r="D4279" s="163"/>
      <c r="E4279" s="164" t="str">
        <f>IFERROR(__xludf.DUMMYFUNCTION("""COMPUTED_VALUE"""),"")</f>
        <v/>
      </c>
      <c r="F4279" s="163"/>
      <c r="G4279" s="163"/>
      <c r="H4279" s="163"/>
      <c r="I4279" s="163"/>
      <c r="J4279" s="165"/>
      <c r="K4279" s="165"/>
      <c r="L4279" s="165"/>
      <c r="M4279" s="166"/>
      <c r="N4279" s="167"/>
      <c r="O4279" s="163"/>
      <c r="P4279" s="163"/>
      <c r="Q4279" s="163"/>
      <c r="R4279" s="163"/>
      <c r="S4279" s="161"/>
      <c r="T4279" s="161"/>
      <c r="U4279" s="161"/>
      <c r="V4279" s="161"/>
      <c r="W4279" s="161"/>
      <c r="X4279" s="161"/>
      <c r="Y4279" s="161"/>
      <c r="Z4279" s="168"/>
      <c r="AA4279" s="168"/>
      <c r="AB4279" s="168"/>
      <c r="AC4279" s="168"/>
    </row>
    <row r="4280">
      <c r="A4280" s="161"/>
      <c r="B4280" s="161"/>
      <c r="C4280" s="162"/>
      <c r="D4280" s="163"/>
      <c r="E4280" s="164" t="str">
        <f>IFERROR(__xludf.DUMMYFUNCTION("""COMPUTED_VALUE"""),"")</f>
        <v/>
      </c>
      <c r="F4280" s="163"/>
      <c r="G4280" s="163"/>
      <c r="H4280" s="163"/>
      <c r="I4280" s="163"/>
      <c r="J4280" s="165"/>
      <c r="K4280" s="165"/>
      <c r="L4280" s="165"/>
      <c r="M4280" s="166"/>
      <c r="N4280" s="167"/>
      <c r="O4280" s="163"/>
      <c r="P4280" s="163"/>
      <c r="Q4280" s="163"/>
      <c r="R4280" s="163"/>
      <c r="S4280" s="161"/>
      <c r="T4280" s="161"/>
      <c r="U4280" s="161"/>
      <c r="V4280" s="161"/>
      <c r="W4280" s="161"/>
      <c r="X4280" s="161"/>
      <c r="Y4280" s="161"/>
      <c r="Z4280" s="168"/>
      <c r="AA4280" s="168"/>
      <c r="AB4280" s="168"/>
      <c r="AC4280" s="168"/>
    </row>
    <row r="4281">
      <c r="A4281" s="161"/>
      <c r="B4281" s="161"/>
      <c r="C4281" s="162"/>
      <c r="D4281" s="163"/>
      <c r="E4281" s="164" t="str">
        <f>IFERROR(__xludf.DUMMYFUNCTION("""COMPUTED_VALUE"""),"")</f>
        <v/>
      </c>
      <c r="F4281" s="163"/>
      <c r="G4281" s="163"/>
      <c r="H4281" s="163"/>
      <c r="I4281" s="163"/>
      <c r="J4281" s="165"/>
      <c r="K4281" s="165"/>
      <c r="L4281" s="165"/>
      <c r="M4281" s="166"/>
      <c r="N4281" s="167"/>
      <c r="O4281" s="163"/>
      <c r="P4281" s="163"/>
      <c r="Q4281" s="163"/>
      <c r="R4281" s="163"/>
      <c r="S4281" s="161"/>
      <c r="T4281" s="161"/>
      <c r="U4281" s="161"/>
      <c r="V4281" s="161"/>
      <c r="W4281" s="161"/>
      <c r="X4281" s="161"/>
      <c r="Y4281" s="161"/>
      <c r="Z4281" s="168"/>
      <c r="AA4281" s="168"/>
      <c r="AB4281" s="168"/>
      <c r="AC4281" s="168"/>
    </row>
    <row r="4282">
      <c r="A4282" s="161"/>
      <c r="B4282" s="161"/>
      <c r="C4282" s="162"/>
      <c r="D4282" s="163"/>
      <c r="E4282" s="164" t="str">
        <f>IFERROR(__xludf.DUMMYFUNCTION("""COMPUTED_VALUE"""),"")</f>
        <v/>
      </c>
      <c r="F4282" s="163"/>
      <c r="G4282" s="163"/>
      <c r="H4282" s="163"/>
      <c r="I4282" s="163"/>
      <c r="J4282" s="165"/>
      <c r="K4282" s="165"/>
      <c r="L4282" s="165"/>
      <c r="M4282" s="166"/>
      <c r="N4282" s="167"/>
      <c r="O4282" s="163"/>
      <c r="P4282" s="163"/>
      <c r="Q4282" s="163"/>
      <c r="R4282" s="163"/>
      <c r="S4282" s="161"/>
      <c r="T4282" s="161"/>
      <c r="U4282" s="161"/>
      <c r="V4282" s="161"/>
      <c r="W4282" s="161"/>
      <c r="X4282" s="161"/>
      <c r="Y4282" s="161"/>
      <c r="Z4282" s="168"/>
      <c r="AA4282" s="168"/>
      <c r="AB4282" s="168"/>
      <c r="AC4282" s="168"/>
    </row>
    <row r="4283">
      <c r="A4283" s="161"/>
      <c r="B4283" s="161"/>
      <c r="C4283" s="162"/>
      <c r="D4283" s="163"/>
      <c r="E4283" s="164" t="str">
        <f>IFERROR(__xludf.DUMMYFUNCTION("""COMPUTED_VALUE"""),"")</f>
        <v/>
      </c>
      <c r="F4283" s="163"/>
      <c r="G4283" s="163"/>
      <c r="H4283" s="163"/>
      <c r="I4283" s="163"/>
      <c r="J4283" s="165"/>
      <c r="K4283" s="165"/>
      <c r="L4283" s="165"/>
      <c r="M4283" s="166"/>
      <c r="N4283" s="167"/>
      <c r="O4283" s="163"/>
      <c r="P4283" s="163"/>
      <c r="Q4283" s="163"/>
      <c r="R4283" s="163"/>
      <c r="S4283" s="161"/>
      <c r="T4283" s="161"/>
      <c r="U4283" s="161"/>
      <c r="V4283" s="161"/>
      <c r="W4283" s="161"/>
      <c r="X4283" s="161"/>
      <c r="Y4283" s="161"/>
      <c r="Z4283" s="168"/>
      <c r="AA4283" s="168"/>
      <c r="AB4283" s="168"/>
      <c r="AC4283" s="168"/>
    </row>
    <row r="4284">
      <c r="A4284" s="161"/>
      <c r="B4284" s="161"/>
      <c r="C4284" s="162"/>
      <c r="D4284" s="163"/>
      <c r="E4284" s="164" t="str">
        <f>IFERROR(__xludf.DUMMYFUNCTION("""COMPUTED_VALUE"""),"")</f>
        <v/>
      </c>
      <c r="F4284" s="163"/>
      <c r="G4284" s="163"/>
      <c r="H4284" s="163"/>
      <c r="I4284" s="163"/>
      <c r="J4284" s="165"/>
      <c r="K4284" s="165"/>
      <c r="L4284" s="165"/>
      <c r="M4284" s="166"/>
      <c r="N4284" s="167"/>
      <c r="O4284" s="163"/>
      <c r="P4284" s="163"/>
      <c r="Q4284" s="163"/>
      <c r="R4284" s="163"/>
      <c r="S4284" s="161"/>
      <c r="T4284" s="161"/>
      <c r="U4284" s="161"/>
      <c r="V4284" s="161"/>
      <c r="W4284" s="161"/>
      <c r="X4284" s="161"/>
      <c r="Y4284" s="161"/>
      <c r="Z4284" s="168"/>
      <c r="AA4284" s="168"/>
      <c r="AB4284" s="168"/>
      <c r="AC4284" s="168"/>
    </row>
    <row r="4285">
      <c r="A4285" s="161"/>
      <c r="B4285" s="161"/>
      <c r="C4285" s="162"/>
      <c r="D4285" s="163"/>
      <c r="E4285" s="164" t="str">
        <f>IFERROR(__xludf.DUMMYFUNCTION("""COMPUTED_VALUE"""),"")</f>
        <v/>
      </c>
      <c r="F4285" s="163"/>
      <c r="G4285" s="163"/>
      <c r="H4285" s="163"/>
      <c r="I4285" s="163"/>
      <c r="J4285" s="165"/>
      <c r="K4285" s="165"/>
      <c r="L4285" s="165"/>
      <c r="M4285" s="166"/>
      <c r="N4285" s="167"/>
      <c r="O4285" s="163"/>
      <c r="P4285" s="163"/>
      <c r="Q4285" s="163"/>
      <c r="R4285" s="163"/>
      <c r="S4285" s="161"/>
      <c r="T4285" s="161"/>
      <c r="U4285" s="161"/>
      <c r="V4285" s="161"/>
      <c r="W4285" s="161"/>
      <c r="X4285" s="161"/>
      <c r="Y4285" s="161"/>
      <c r="Z4285" s="168"/>
      <c r="AA4285" s="168"/>
      <c r="AB4285" s="168"/>
      <c r="AC4285" s="168"/>
    </row>
    <row r="4286">
      <c r="A4286" s="161"/>
      <c r="B4286" s="161"/>
      <c r="C4286" s="162"/>
      <c r="D4286" s="163"/>
      <c r="E4286" s="164" t="str">
        <f>IFERROR(__xludf.DUMMYFUNCTION("""COMPUTED_VALUE"""),"")</f>
        <v/>
      </c>
      <c r="F4286" s="163"/>
      <c r="G4286" s="163"/>
      <c r="H4286" s="163"/>
      <c r="I4286" s="163"/>
      <c r="J4286" s="165"/>
      <c r="K4286" s="165"/>
      <c r="L4286" s="165"/>
      <c r="M4286" s="166"/>
      <c r="N4286" s="167"/>
      <c r="O4286" s="163"/>
      <c r="P4286" s="163"/>
      <c r="Q4286" s="163"/>
      <c r="R4286" s="163"/>
      <c r="S4286" s="161"/>
      <c r="T4286" s="161"/>
      <c r="U4286" s="161"/>
      <c r="V4286" s="161"/>
      <c r="W4286" s="161"/>
      <c r="X4286" s="161"/>
      <c r="Y4286" s="161"/>
      <c r="Z4286" s="168"/>
      <c r="AA4286" s="168"/>
      <c r="AB4286" s="168"/>
      <c r="AC4286" s="168"/>
    </row>
    <row r="4287">
      <c r="A4287" s="161"/>
      <c r="B4287" s="161"/>
      <c r="C4287" s="162"/>
      <c r="D4287" s="163"/>
      <c r="E4287" s="164" t="str">
        <f>IFERROR(__xludf.DUMMYFUNCTION("""COMPUTED_VALUE"""),"")</f>
        <v/>
      </c>
      <c r="F4287" s="163"/>
      <c r="G4287" s="163"/>
      <c r="H4287" s="163"/>
      <c r="I4287" s="163"/>
      <c r="J4287" s="165"/>
      <c r="K4287" s="165"/>
      <c r="L4287" s="165"/>
      <c r="M4287" s="166"/>
      <c r="N4287" s="167"/>
      <c r="O4287" s="163"/>
      <c r="P4287" s="163"/>
      <c r="Q4287" s="163"/>
      <c r="R4287" s="163"/>
      <c r="S4287" s="161"/>
      <c r="T4287" s="161"/>
      <c r="U4287" s="161"/>
      <c r="V4287" s="161"/>
      <c r="W4287" s="161"/>
      <c r="X4287" s="161"/>
      <c r="Y4287" s="161"/>
      <c r="Z4287" s="168"/>
      <c r="AA4287" s="168"/>
      <c r="AB4287" s="168"/>
      <c r="AC4287" s="168"/>
    </row>
    <row r="4288">
      <c r="A4288" s="161"/>
      <c r="B4288" s="161"/>
      <c r="C4288" s="162"/>
      <c r="D4288" s="163"/>
      <c r="E4288" s="164" t="str">
        <f>IFERROR(__xludf.DUMMYFUNCTION("""COMPUTED_VALUE"""),"")</f>
        <v/>
      </c>
      <c r="F4288" s="163"/>
      <c r="G4288" s="163"/>
      <c r="H4288" s="163"/>
      <c r="I4288" s="163"/>
      <c r="J4288" s="165"/>
      <c r="K4288" s="165"/>
      <c r="L4288" s="165"/>
      <c r="M4288" s="166"/>
      <c r="N4288" s="167"/>
      <c r="O4288" s="163"/>
      <c r="P4288" s="163"/>
      <c r="Q4288" s="163"/>
      <c r="R4288" s="163"/>
      <c r="S4288" s="161"/>
      <c r="T4288" s="161"/>
      <c r="U4288" s="161"/>
      <c r="V4288" s="161"/>
      <c r="W4288" s="161"/>
      <c r="X4288" s="161"/>
      <c r="Y4288" s="161"/>
      <c r="Z4288" s="168"/>
      <c r="AA4288" s="168"/>
      <c r="AB4288" s="168"/>
      <c r="AC4288" s="168"/>
    </row>
    <row r="4289">
      <c r="A4289" s="161"/>
      <c r="B4289" s="161"/>
      <c r="C4289" s="162"/>
      <c r="D4289" s="163"/>
      <c r="E4289" s="164" t="str">
        <f>IFERROR(__xludf.DUMMYFUNCTION("""COMPUTED_VALUE"""),"")</f>
        <v/>
      </c>
      <c r="F4289" s="163"/>
      <c r="G4289" s="163"/>
      <c r="H4289" s="163"/>
      <c r="I4289" s="163"/>
      <c r="J4289" s="165"/>
      <c r="K4289" s="165"/>
      <c r="L4289" s="165"/>
      <c r="M4289" s="166"/>
      <c r="N4289" s="167"/>
      <c r="O4289" s="163"/>
      <c r="P4289" s="163"/>
      <c r="Q4289" s="163"/>
      <c r="R4289" s="163"/>
      <c r="S4289" s="161"/>
      <c r="T4289" s="161"/>
      <c r="U4289" s="161"/>
      <c r="V4289" s="161"/>
      <c r="W4289" s="161"/>
      <c r="X4289" s="161"/>
      <c r="Y4289" s="161"/>
      <c r="Z4289" s="168"/>
      <c r="AA4289" s="168"/>
      <c r="AB4289" s="168"/>
      <c r="AC4289" s="168"/>
    </row>
    <row r="4290">
      <c r="A4290" s="161"/>
      <c r="B4290" s="161"/>
      <c r="C4290" s="162"/>
      <c r="D4290" s="163"/>
      <c r="E4290" s="164" t="str">
        <f>IFERROR(__xludf.DUMMYFUNCTION("""COMPUTED_VALUE"""),"")</f>
        <v/>
      </c>
      <c r="F4290" s="163"/>
      <c r="G4290" s="163"/>
      <c r="H4290" s="163"/>
      <c r="I4290" s="163"/>
      <c r="J4290" s="165"/>
      <c r="K4290" s="165"/>
      <c r="L4290" s="165"/>
      <c r="M4290" s="166"/>
      <c r="N4290" s="167"/>
      <c r="O4290" s="163"/>
      <c r="P4290" s="163"/>
      <c r="Q4290" s="163"/>
      <c r="R4290" s="163"/>
      <c r="S4290" s="161"/>
      <c r="T4290" s="161"/>
      <c r="U4290" s="161"/>
      <c r="V4290" s="161"/>
      <c r="W4290" s="161"/>
      <c r="X4290" s="161"/>
      <c r="Y4290" s="161"/>
      <c r="Z4290" s="168"/>
      <c r="AA4290" s="168"/>
      <c r="AB4290" s="168"/>
      <c r="AC4290" s="168"/>
    </row>
    <row r="4291">
      <c r="A4291" s="161"/>
      <c r="B4291" s="161"/>
      <c r="C4291" s="162"/>
      <c r="D4291" s="163"/>
      <c r="E4291" s="164" t="str">
        <f>IFERROR(__xludf.DUMMYFUNCTION("""COMPUTED_VALUE"""),"")</f>
        <v/>
      </c>
      <c r="F4291" s="163"/>
      <c r="G4291" s="163"/>
      <c r="H4291" s="163"/>
      <c r="I4291" s="163"/>
      <c r="J4291" s="165"/>
      <c r="K4291" s="165"/>
      <c r="L4291" s="165"/>
      <c r="M4291" s="166"/>
      <c r="N4291" s="167"/>
      <c r="O4291" s="163"/>
      <c r="P4291" s="163"/>
      <c r="Q4291" s="163"/>
      <c r="R4291" s="163"/>
      <c r="S4291" s="161"/>
      <c r="T4291" s="161"/>
      <c r="U4291" s="161"/>
      <c r="V4291" s="161"/>
      <c r="W4291" s="161"/>
      <c r="X4291" s="161"/>
      <c r="Y4291" s="161"/>
      <c r="Z4291" s="168"/>
      <c r="AA4291" s="168"/>
      <c r="AB4291" s="168"/>
      <c r="AC4291" s="168"/>
    </row>
    <row r="4292">
      <c r="A4292" s="161"/>
      <c r="B4292" s="161"/>
      <c r="C4292" s="162"/>
      <c r="D4292" s="163"/>
      <c r="E4292" s="164" t="str">
        <f>IFERROR(__xludf.DUMMYFUNCTION("""COMPUTED_VALUE"""),"")</f>
        <v/>
      </c>
      <c r="F4292" s="163"/>
      <c r="G4292" s="163"/>
      <c r="H4292" s="163"/>
      <c r="I4292" s="163"/>
      <c r="J4292" s="165"/>
      <c r="K4292" s="165"/>
      <c r="L4292" s="165"/>
      <c r="M4292" s="166"/>
      <c r="N4292" s="167"/>
      <c r="O4292" s="163"/>
      <c r="P4292" s="163"/>
      <c r="Q4292" s="163"/>
      <c r="R4292" s="163"/>
      <c r="S4292" s="161"/>
      <c r="T4292" s="161"/>
      <c r="U4292" s="161"/>
      <c r="V4292" s="161"/>
      <c r="W4292" s="161"/>
      <c r="X4292" s="161"/>
      <c r="Y4292" s="161"/>
      <c r="Z4292" s="168"/>
      <c r="AA4292" s="168"/>
      <c r="AB4292" s="168"/>
      <c r="AC4292" s="168"/>
    </row>
    <row r="4293">
      <c r="A4293" s="161"/>
      <c r="B4293" s="161"/>
      <c r="C4293" s="162"/>
      <c r="D4293" s="163"/>
      <c r="E4293" s="164" t="str">
        <f>IFERROR(__xludf.DUMMYFUNCTION("""COMPUTED_VALUE"""),"")</f>
        <v/>
      </c>
      <c r="F4293" s="163"/>
      <c r="G4293" s="163"/>
      <c r="H4293" s="163"/>
      <c r="I4293" s="163"/>
      <c r="J4293" s="165"/>
      <c r="K4293" s="165"/>
      <c r="L4293" s="165"/>
      <c r="M4293" s="166"/>
      <c r="N4293" s="167"/>
      <c r="O4293" s="163"/>
      <c r="P4293" s="163"/>
      <c r="Q4293" s="163"/>
      <c r="R4293" s="163"/>
      <c r="S4293" s="161"/>
      <c r="T4293" s="161"/>
      <c r="U4293" s="161"/>
      <c r="V4293" s="161"/>
      <c r="W4293" s="161"/>
      <c r="X4293" s="161"/>
      <c r="Y4293" s="161"/>
      <c r="Z4293" s="168"/>
      <c r="AA4293" s="168"/>
      <c r="AB4293" s="168"/>
      <c r="AC4293" s="168"/>
    </row>
    <row r="4294">
      <c r="A4294" s="161"/>
      <c r="B4294" s="161"/>
      <c r="C4294" s="162"/>
      <c r="D4294" s="163"/>
      <c r="E4294" s="164" t="str">
        <f>IFERROR(__xludf.DUMMYFUNCTION("""COMPUTED_VALUE"""),"")</f>
        <v/>
      </c>
      <c r="F4294" s="163"/>
      <c r="G4294" s="163"/>
      <c r="H4294" s="163"/>
      <c r="I4294" s="163"/>
      <c r="J4294" s="165"/>
      <c r="K4294" s="165"/>
      <c r="L4294" s="165"/>
      <c r="M4294" s="166"/>
      <c r="N4294" s="167"/>
      <c r="O4294" s="163"/>
      <c r="P4294" s="163"/>
      <c r="Q4294" s="163"/>
      <c r="R4294" s="163"/>
      <c r="S4294" s="161"/>
      <c r="T4294" s="161"/>
      <c r="U4294" s="161"/>
      <c r="V4294" s="161"/>
      <c r="W4294" s="161"/>
      <c r="X4294" s="161"/>
      <c r="Y4294" s="161"/>
      <c r="Z4294" s="168"/>
      <c r="AA4294" s="168"/>
      <c r="AB4294" s="168"/>
      <c r="AC4294" s="168"/>
    </row>
    <row r="4295">
      <c r="A4295" s="161"/>
      <c r="B4295" s="161"/>
      <c r="C4295" s="162"/>
      <c r="D4295" s="163"/>
      <c r="E4295" s="164" t="str">
        <f>IFERROR(__xludf.DUMMYFUNCTION("""COMPUTED_VALUE"""),"")</f>
        <v/>
      </c>
      <c r="F4295" s="163"/>
      <c r="G4295" s="163"/>
      <c r="H4295" s="163"/>
      <c r="I4295" s="163"/>
      <c r="J4295" s="165"/>
      <c r="K4295" s="165"/>
      <c r="L4295" s="165"/>
      <c r="M4295" s="166"/>
      <c r="N4295" s="167"/>
      <c r="O4295" s="163"/>
      <c r="P4295" s="163"/>
      <c r="Q4295" s="163"/>
      <c r="R4295" s="163"/>
      <c r="S4295" s="161"/>
      <c r="T4295" s="161"/>
      <c r="U4295" s="161"/>
      <c r="V4295" s="161"/>
      <c r="W4295" s="161"/>
      <c r="X4295" s="161"/>
      <c r="Y4295" s="161"/>
      <c r="Z4295" s="168"/>
      <c r="AA4295" s="168"/>
      <c r="AB4295" s="168"/>
      <c r="AC4295" s="168"/>
    </row>
    <row r="4296">
      <c r="A4296" s="161"/>
      <c r="B4296" s="161"/>
      <c r="C4296" s="162"/>
      <c r="D4296" s="163"/>
      <c r="E4296" s="164" t="str">
        <f>IFERROR(__xludf.DUMMYFUNCTION("""COMPUTED_VALUE"""),"")</f>
        <v/>
      </c>
      <c r="F4296" s="163"/>
      <c r="G4296" s="163"/>
      <c r="H4296" s="163"/>
      <c r="I4296" s="163"/>
      <c r="J4296" s="165"/>
      <c r="K4296" s="165"/>
      <c r="L4296" s="165"/>
      <c r="M4296" s="166"/>
      <c r="N4296" s="167"/>
      <c r="O4296" s="163"/>
      <c r="P4296" s="163"/>
      <c r="Q4296" s="163"/>
      <c r="R4296" s="163"/>
      <c r="S4296" s="161"/>
      <c r="T4296" s="161"/>
      <c r="U4296" s="161"/>
      <c r="V4296" s="161"/>
      <c r="W4296" s="161"/>
      <c r="X4296" s="161"/>
      <c r="Y4296" s="161"/>
      <c r="Z4296" s="168"/>
      <c r="AA4296" s="168"/>
      <c r="AB4296" s="168"/>
      <c r="AC4296" s="168"/>
    </row>
    <row r="4297">
      <c r="A4297" s="161"/>
      <c r="B4297" s="161"/>
      <c r="C4297" s="162"/>
      <c r="D4297" s="163"/>
      <c r="E4297" s="164" t="str">
        <f>IFERROR(__xludf.DUMMYFUNCTION("""COMPUTED_VALUE"""),"")</f>
        <v/>
      </c>
      <c r="F4297" s="163"/>
      <c r="G4297" s="163"/>
      <c r="H4297" s="163"/>
      <c r="I4297" s="163"/>
      <c r="J4297" s="165"/>
      <c r="K4297" s="165"/>
      <c r="L4297" s="165"/>
      <c r="M4297" s="166"/>
      <c r="N4297" s="167"/>
      <c r="O4297" s="163"/>
      <c r="P4297" s="163"/>
      <c r="Q4297" s="163"/>
      <c r="R4297" s="163"/>
      <c r="S4297" s="161"/>
      <c r="T4297" s="161"/>
      <c r="U4297" s="161"/>
      <c r="V4297" s="161"/>
      <c r="W4297" s="161"/>
      <c r="X4297" s="161"/>
      <c r="Y4297" s="161"/>
      <c r="Z4297" s="168"/>
      <c r="AA4297" s="168"/>
      <c r="AB4297" s="168"/>
      <c r="AC4297" s="168"/>
    </row>
    <row r="4298">
      <c r="A4298" s="161"/>
      <c r="B4298" s="161"/>
      <c r="C4298" s="162"/>
      <c r="D4298" s="163"/>
      <c r="E4298" s="164" t="str">
        <f>IFERROR(__xludf.DUMMYFUNCTION("""COMPUTED_VALUE"""),"")</f>
        <v/>
      </c>
      <c r="F4298" s="163"/>
      <c r="G4298" s="163"/>
      <c r="H4298" s="163"/>
      <c r="I4298" s="163"/>
      <c r="J4298" s="165"/>
      <c r="K4298" s="165"/>
      <c r="L4298" s="165"/>
      <c r="M4298" s="166"/>
      <c r="N4298" s="167"/>
      <c r="O4298" s="163"/>
      <c r="P4298" s="163"/>
      <c r="Q4298" s="163"/>
      <c r="R4298" s="163"/>
      <c r="S4298" s="161"/>
      <c r="T4298" s="161"/>
      <c r="U4298" s="161"/>
      <c r="V4298" s="161"/>
      <c r="W4298" s="161"/>
      <c r="X4298" s="161"/>
      <c r="Y4298" s="161"/>
      <c r="Z4298" s="168"/>
      <c r="AA4298" s="168"/>
      <c r="AB4298" s="168"/>
      <c r="AC4298" s="168"/>
    </row>
    <row r="4299">
      <c r="A4299" s="161"/>
      <c r="B4299" s="161"/>
      <c r="C4299" s="162"/>
      <c r="D4299" s="163"/>
      <c r="E4299" s="164" t="str">
        <f>IFERROR(__xludf.DUMMYFUNCTION("""COMPUTED_VALUE"""),"")</f>
        <v/>
      </c>
      <c r="F4299" s="163"/>
      <c r="G4299" s="163"/>
      <c r="H4299" s="163"/>
      <c r="I4299" s="163"/>
      <c r="J4299" s="165"/>
      <c r="K4299" s="165"/>
      <c r="L4299" s="165"/>
      <c r="M4299" s="166"/>
      <c r="N4299" s="167"/>
      <c r="O4299" s="163"/>
      <c r="P4299" s="163"/>
      <c r="Q4299" s="163"/>
      <c r="R4299" s="163"/>
      <c r="S4299" s="161"/>
      <c r="T4299" s="161"/>
      <c r="U4299" s="161"/>
      <c r="V4299" s="161"/>
      <c r="W4299" s="161"/>
      <c r="X4299" s="161"/>
      <c r="Y4299" s="161"/>
      <c r="Z4299" s="168"/>
      <c r="AA4299" s="168"/>
      <c r="AB4299" s="168"/>
      <c r="AC4299" s="168"/>
    </row>
    <row r="4300">
      <c r="A4300" s="161"/>
      <c r="B4300" s="161"/>
      <c r="C4300" s="162"/>
      <c r="D4300" s="163"/>
      <c r="E4300" s="164" t="str">
        <f>IFERROR(__xludf.DUMMYFUNCTION("""COMPUTED_VALUE"""),"")</f>
        <v/>
      </c>
      <c r="F4300" s="163"/>
      <c r="G4300" s="163"/>
      <c r="H4300" s="163"/>
      <c r="I4300" s="163"/>
      <c r="J4300" s="165"/>
      <c r="K4300" s="165"/>
      <c r="L4300" s="165"/>
      <c r="M4300" s="166"/>
      <c r="N4300" s="167"/>
      <c r="O4300" s="163"/>
      <c r="P4300" s="163"/>
      <c r="Q4300" s="163"/>
      <c r="R4300" s="163"/>
      <c r="S4300" s="161"/>
      <c r="T4300" s="161"/>
      <c r="U4300" s="161"/>
      <c r="V4300" s="161"/>
      <c r="W4300" s="161"/>
      <c r="X4300" s="161"/>
      <c r="Y4300" s="161"/>
      <c r="Z4300" s="168"/>
      <c r="AA4300" s="168"/>
      <c r="AB4300" s="168"/>
      <c r="AC4300" s="168"/>
    </row>
    <row r="4301">
      <c r="A4301" s="161"/>
      <c r="B4301" s="161"/>
      <c r="C4301" s="162"/>
      <c r="D4301" s="163"/>
      <c r="E4301" s="164" t="str">
        <f>IFERROR(__xludf.DUMMYFUNCTION("""COMPUTED_VALUE"""),"")</f>
        <v/>
      </c>
      <c r="F4301" s="163"/>
      <c r="G4301" s="163"/>
      <c r="H4301" s="163"/>
      <c r="I4301" s="163"/>
      <c r="J4301" s="165"/>
      <c r="K4301" s="165"/>
      <c r="L4301" s="165"/>
      <c r="M4301" s="166"/>
      <c r="N4301" s="167"/>
      <c r="O4301" s="163"/>
      <c r="P4301" s="163"/>
      <c r="Q4301" s="163"/>
      <c r="R4301" s="163"/>
      <c r="S4301" s="161"/>
      <c r="T4301" s="161"/>
      <c r="U4301" s="161"/>
      <c r="V4301" s="161"/>
      <c r="W4301" s="161"/>
      <c r="X4301" s="161"/>
      <c r="Y4301" s="161"/>
      <c r="Z4301" s="168"/>
      <c r="AA4301" s="168"/>
      <c r="AB4301" s="168"/>
      <c r="AC4301" s="168"/>
    </row>
    <row r="4302">
      <c r="A4302" s="161"/>
      <c r="B4302" s="161"/>
      <c r="C4302" s="162"/>
      <c r="D4302" s="163"/>
      <c r="E4302" s="164" t="str">
        <f>IFERROR(__xludf.DUMMYFUNCTION("""COMPUTED_VALUE"""),"")</f>
        <v/>
      </c>
      <c r="F4302" s="163"/>
      <c r="G4302" s="163"/>
      <c r="H4302" s="163"/>
      <c r="I4302" s="163"/>
      <c r="J4302" s="165"/>
      <c r="K4302" s="165"/>
      <c r="L4302" s="165"/>
      <c r="M4302" s="166"/>
      <c r="N4302" s="167"/>
      <c r="O4302" s="163"/>
      <c r="P4302" s="163"/>
      <c r="Q4302" s="163"/>
      <c r="R4302" s="163"/>
      <c r="S4302" s="161"/>
      <c r="T4302" s="161"/>
      <c r="U4302" s="161"/>
      <c r="V4302" s="161"/>
      <c r="W4302" s="161"/>
      <c r="X4302" s="161"/>
      <c r="Y4302" s="161"/>
      <c r="Z4302" s="168"/>
      <c r="AA4302" s="168"/>
      <c r="AB4302" s="168"/>
      <c r="AC4302" s="168"/>
    </row>
    <row r="4303">
      <c r="A4303" s="161"/>
      <c r="B4303" s="161"/>
      <c r="C4303" s="162"/>
      <c r="D4303" s="163"/>
      <c r="E4303" s="164" t="str">
        <f>IFERROR(__xludf.DUMMYFUNCTION("""COMPUTED_VALUE"""),"")</f>
        <v/>
      </c>
      <c r="F4303" s="163"/>
      <c r="G4303" s="163"/>
      <c r="H4303" s="163"/>
      <c r="I4303" s="163"/>
      <c r="J4303" s="165"/>
      <c r="K4303" s="165"/>
      <c r="L4303" s="165"/>
      <c r="M4303" s="166"/>
      <c r="N4303" s="167"/>
      <c r="O4303" s="163"/>
      <c r="P4303" s="163"/>
      <c r="Q4303" s="163"/>
      <c r="R4303" s="163"/>
      <c r="S4303" s="161"/>
      <c r="T4303" s="161"/>
      <c r="U4303" s="161"/>
      <c r="V4303" s="161"/>
      <c r="W4303" s="161"/>
      <c r="X4303" s="161"/>
      <c r="Y4303" s="161"/>
      <c r="Z4303" s="168"/>
      <c r="AA4303" s="168"/>
      <c r="AB4303" s="168"/>
      <c r="AC4303" s="168"/>
    </row>
    <row r="4304">
      <c r="A4304" s="161"/>
      <c r="B4304" s="161"/>
      <c r="C4304" s="162"/>
      <c r="D4304" s="163"/>
      <c r="E4304" s="164" t="str">
        <f>IFERROR(__xludf.DUMMYFUNCTION("""COMPUTED_VALUE"""),"")</f>
        <v/>
      </c>
      <c r="F4304" s="163"/>
      <c r="G4304" s="163"/>
      <c r="H4304" s="163"/>
      <c r="I4304" s="163"/>
      <c r="J4304" s="165"/>
      <c r="K4304" s="165"/>
      <c r="L4304" s="165"/>
      <c r="M4304" s="166"/>
      <c r="N4304" s="167"/>
      <c r="O4304" s="163"/>
      <c r="P4304" s="163"/>
      <c r="Q4304" s="163"/>
      <c r="R4304" s="163"/>
      <c r="S4304" s="161"/>
      <c r="T4304" s="161"/>
      <c r="U4304" s="161"/>
      <c r="V4304" s="161"/>
      <c r="W4304" s="161"/>
      <c r="X4304" s="161"/>
      <c r="Y4304" s="161"/>
      <c r="Z4304" s="168"/>
      <c r="AA4304" s="168"/>
      <c r="AB4304" s="168"/>
      <c r="AC4304" s="168"/>
    </row>
    <row r="4305">
      <c r="A4305" s="161"/>
      <c r="B4305" s="161"/>
      <c r="C4305" s="162"/>
      <c r="D4305" s="163"/>
      <c r="E4305" s="164" t="str">
        <f>IFERROR(__xludf.DUMMYFUNCTION("""COMPUTED_VALUE"""),"")</f>
        <v/>
      </c>
      <c r="F4305" s="163"/>
      <c r="G4305" s="163"/>
      <c r="H4305" s="163"/>
      <c r="I4305" s="163"/>
      <c r="J4305" s="165"/>
      <c r="K4305" s="165"/>
      <c r="L4305" s="165"/>
      <c r="M4305" s="166"/>
      <c r="N4305" s="167"/>
      <c r="O4305" s="163"/>
      <c r="P4305" s="163"/>
      <c r="Q4305" s="163"/>
      <c r="R4305" s="163"/>
      <c r="S4305" s="161"/>
      <c r="T4305" s="161"/>
      <c r="U4305" s="161"/>
      <c r="V4305" s="161"/>
      <c r="W4305" s="161"/>
      <c r="X4305" s="161"/>
      <c r="Y4305" s="161"/>
      <c r="Z4305" s="168"/>
      <c r="AA4305" s="168"/>
      <c r="AB4305" s="168"/>
      <c r="AC4305" s="168"/>
    </row>
    <row r="4306">
      <c r="A4306" s="161"/>
      <c r="B4306" s="161"/>
      <c r="C4306" s="162"/>
      <c r="D4306" s="163"/>
      <c r="E4306" s="164" t="str">
        <f>IFERROR(__xludf.DUMMYFUNCTION("""COMPUTED_VALUE"""),"")</f>
        <v/>
      </c>
      <c r="F4306" s="163"/>
      <c r="G4306" s="163"/>
      <c r="H4306" s="163"/>
      <c r="I4306" s="163"/>
      <c r="J4306" s="165"/>
      <c r="K4306" s="165"/>
      <c r="L4306" s="165"/>
      <c r="M4306" s="166"/>
      <c r="N4306" s="167"/>
      <c r="O4306" s="163"/>
      <c r="P4306" s="163"/>
      <c r="Q4306" s="163"/>
      <c r="R4306" s="163"/>
      <c r="S4306" s="161"/>
      <c r="T4306" s="161"/>
      <c r="U4306" s="161"/>
      <c r="V4306" s="161"/>
      <c r="W4306" s="161"/>
      <c r="X4306" s="161"/>
      <c r="Y4306" s="161"/>
      <c r="Z4306" s="168"/>
      <c r="AA4306" s="168"/>
      <c r="AB4306" s="168"/>
      <c r="AC4306" s="168"/>
    </row>
    <row r="4307">
      <c r="A4307" s="161"/>
      <c r="B4307" s="161"/>
      <c r="C4307" s="162"/>
      <c r="D4307" s="163"/>
      <c r="E4307" s="164" t="str">
        <f>IFERROR(__xludf.DUMMYFUNCTION("""COMPUTED_VALUE"""),"")</f>
        <v/>
      </c>
      <c r="F4307" s="163"/>
      <c r="G4307" s="163"/>
      <c r="H4307" s="163"/>
      <c r="I4307" s="163"/>
      <c r="J4307" s="165"/>
      <c r="K4307" s="165"/>
      <c r="L4307" s="165"/>
      <c r="M4307" s="166"/>
      <c r="N4307" s="167"/>
      <c r="O4307" s="163"/>
      <c r="P4307" s="163"/>
      <c r="Q4307" s="163"/>
      <c r="R4307" s="163"/>
      <c r="S4307" s="161"/>
      <c r="T4307" s="161"/>
      <c r="U4307" s="161"/>
      <c r="V4307" s="161"/>
      <c r="W4307" s="161"/>
      <c r="X4307" s="161"/>
      <c r="Y4307" s="161"/>
      <c r="Z4307" s="168"/>
      <c r="AA4307" s="168"/>
      <c r="AB4307" s="168"/>
      <c r="AC4307" s="168"/>
    </row>
    <row r="4308">
      <c r="A4308" s="161"/>
      <c r="B4308" s="161"/>
      <c r="C4308" s="162"/>
      <c r="D4308" s="163"/>
      <c r="E4308" s="164" t="str">
        <f>IFERROR(__xludf.DUMMYFUNCTION("""COMPUTED_VALUE"""),"")</f>
        <v/>
      </c>
      <c r="F4308" s="163"/>
      <c r="G4308" s="163"/>
      <c r="H4308" s="163"/>
      <c r="I4308" s="163"/>
      <c r="J4308" s="165"/>
      <c r="K4308" s="165"/>
      <c r="L4308" s="165"/>
      <c r="M4308" s="166"/>
      <c r="N4308" s="167"/>
      <c r="O4308" s="163"/>
      <c r="P4308" s="163"/>
      <c r="Q4308" s="163"/>
      <c r="R4308" s="163"/>
      <c r="S4308" s="161"/>
      <c r="T4308" s="161"/>
      <c r="U4308" s="161"/>
      <c r="V4308" s="161"/>
      <c r="W4308" s="161"/>
      <c r="X4308" s="161"/>
      <c r="Y4308" s="161"/>
      <c r="Z4308" s="168"/>
      <c r="AA4308" s="168"/>
      <c r="AB4308" s="168"/>
      <c r="AC4308" s="168"/>
    </row>
    <row r="4309">
      <c r="A4309" s="161"/>
      <c r="B4309" s="161"/>
      <c r="C4309" s="162"/>
      <c r="D4309" s="163"/>
      <c r="E4309" s="164" t="str">
        <f>IFERROR(__xludf.DUMMYFUNCTION("""COMPUTED_VALUE"""),"")</f>
        <v/>
      </c>
      <c r="F4309" s="163"/>
      <c r="G4309" s="163"/>
      <c r="H4309" s="163"/>
      <c r="I4309" s="163"/>
      <c r="J4309" s="165"/>
      <c r="K4309" s="165"/>
      <c r="L4309" s="165"/>
      <c r="M4309" s="166"/>
      <c r="N4309" s="167"/>
      <c r="O4309" s="163"/>
      <c r="P4309" s="163"/>
      <c r="Q4309" s="163"/>
      <c r="R4309" s="163"/>
      <c r="S4309" s="161"/>
      <c r="T4309" s="161"/>
      <c r="U4309" s="161"/>
      <c r="V4309" s="161"/>
      <c r="W4309" s="161"/>
      <c r="X4309" s="161"/>
      <c r="Y4309" s="161"/>
      <c r="Z4309" s="168"/>
      <c r="AA4309" s="168"/>
      <c r="AB4309" s="168"/>
      <c r="AC4309" s="168"/>
    </row>
    <row r="4310">
      <c r="A4310" s="161"/>
      <c r="B4310" s="161"/>
      <c r="C4310" s="162"/>
      <c r="D4310" s="163"/>
      <c r="E4310" s="164" t="str">
        <f>IFERROR(__xludf.DUMMYFUNCTION("""COMPUTED_VALUE"""),"")</f>
        <v/>
      </c>
      <c r="F4310" s="163"/>
      <c r="G4310" s="163"/>
      <c r="H4310" s="163"/>
      <c r="I4310" s="163"/>
      <c r="J4310" s="165"/>
      <c r="K4310" s="165"/>
      <c r="L4310" s="165"/>
      <c r="M4310" s="166"/>
      <c r="N4310" s="167"/>
      <c r="O4310" s="163"/>
      <c r="P4310" s="163"/>
      <c r="Q4310" s="163"/>
      <c r="R4310" s="163"/>
      <c r="S4310" s="161"/>
      <c r="T4310" s="161"/>
      <c r="U4310" s="161"/>
      <c r="V4310" s="161"/>
      <c r="W4310" s="161"/>
      <c r="X4310" s="161"/>
      <c r="Y4310" s="161"/>
      <c r="Z4310" s="168"/>
      <c r="AA4310" s="168"/>
      <c r="AB4310" s="168"/>
      <c r="AC4310" s="168"/>
    </row>
    <row r="4311">
      <c r="A4311" s="161"/>
      <c r="B4311" s="161"/>
      <c r="C4311" s="162"/>
      <c r="D4311" s="163"/>
      <c r="E4311" s="164" t="str">
        <f>IFERROR(__xludf.DUMMYFUNCTION("""COMPUTED_VALUE"""),"")</f>
        <v/>
      </c>
      <c r="F4311" s="163"/>
      <c r="G4311" s="163"/>
      <c r="H4311" s="163"/>
      <c r="I4311" s="163"/>
      <c r="J4311" s="165"/>
      <c r="K4311" s="165"/>
      <c r="L4311" s="165"/>
      <c r="M4311" s="166"/>
      <c r="N4311" s="167"/>
      <c r="O4311" s="163"/>
      <c r="P4311" s="163"/>
      <c r="Q4311" s="163"/>
      <c r="R4311" s="163"/>
      <c r="S4311" s="161"/>
      <c r="T4311" s="161"/>
      <c r="U4311" s="161"/>
      <c r="V4311" s="161"/>
      <c r="W4311" s="161"/>
      <c r="X4311" s="161"/>
      <c r="Y4311" s="161"/>
      <c r="Z4311" s="168"/>
      <c r="AA4311" s="168"/>
      <c r="AB4311" s="168"/>
      <c r="AC4311" s="168"/>
    </row>
    <row r="4312">
      <c r="A4312" s="161"/>
      <c r="B4312" s="161"/>
      <c r="C4312" s="162"/>
      <c r="D4312" s="163"/>
      <c r="E4312" s="164" t="str">
        <f>IFERROR(__xludf.DUMMYFUNCTION("""COMPUTED_VALUE"""),"")</f>
        <v/>
      </c>
      <c r="F4312" s="163"/>
      <c r="G4312" s="163"/>
      <c r="H4312" s="163"/>
      <c r="I4312" s="163"/>
      <c r="J4312" s="165"/>
      <c r="K4312" s="165"/>
      <c r="L4312" s="165"/>
      <c r="M4312" s="166"/>
      <c r="N4312" s="167"/>
      <c r="O4312" s="163"/>
      <c r="P4312" s="163"/>
      <c r="Q4312" s="163"/>
      <c r="R4312" s="163"/>
      <c r="S4312" s="161"/>
      <c r="T4312" s="161"/>
      <c r="U4312" s="161"/>
      <c r="V4312" s="161"/>
      <c r="W4312" s="161"/>
      <c r="X4312" s="161"/>
      <c r="Y4312" s="161"/>
      <c r="Z4312" s="168"/>
      <c r="AA4312" s="168"/>
      <c r="AB4312" s="168"/>
      <c r="AC4312" s="168"/>
    </row>
    <row r="4313">
      <c r="A4313" s="161"/>
      <c r="B4313" s="161"/>
      <c r="C4313" s="162"/>
      <c r="D4313" s="163"/>
      <c r="E4313" s="164" t="str">
        <f>IFERROR(__xludf.DUMMYFUNCTION("""COMPUTED_VALUE"""),"")</f>
        <v/>
      </c>
      <c r="F4313" s="163"/>
      <c r="G4313" s="163"/>
      <c r="H4313" s="163"/>
      <c r="I4313" s="163"/>
      <c r="J4313" s="165"/>
      <c r="K4313" s="165"/>
      <c r="L4313" s="165"/>
      <c r="M4313" s="166"/>
      <c r="N4313" s="167"/>
      <c r="O4313" s="163"/>
      <c r="P4313" s="163"/>
      <c r="Q4313" s="163"/>
      <c r="R4313" s="163"/>
      <c r="S4313" s="161"/>
      <c r="T4313" s="161"/>
      <c r="U4313" s="161"/>
      <c r="V4313" s="161"/>
      <c r="W4313" s="161"/>
      <c r="X4313" s="161"/>
      <c r="Y4313" s="161"/>
      <c r="Z4313" s="168"/>
      <c r="AA4313" s="168"/>
      <c r="AB4313" s="168"/>
      <c r="AC4313" s="168"/>
    </row>
    <row r="4314">
      <c r="A4314" s="161"/>
      <c r="B4314" s="161"/>
      <c r="C4314" s="162"/>
      <c r="D4314" s="163"/>
      <c r="E4314" s="164" t="str">
        <f>IFERROR(__xludf.DUMMYFUNCTION("""COMPUTED_VALUE"""),"")</f>
        <v/>
      </c>
      <c r="F4314" s="163"/>
      <c r="G4314" s="163"/>
      <c r="H4314" s="163"/>
      <c r="I4314" s="163"/>
      <c r="J4314" s="165"/>
      <c r="K4314" s="165"/>
      <c r="L4314" s="165"/>
      <c r="M4314" s="166"/>
      <c r="N4314" s="167"/>
      <c r="O4314" s="163"/>
      <c r="P4314" s="163"/>
      <c r="Q4314" s="163"/>
      <c r="R4314" s="163"/>
      <c r="S4314" s="161"/>
      <c r="T4314" s="161"/>
      <c r="U4314" s="161"/>
      <c r="V4314" s="161"/>
      <c r="W4314" s="161"/>
      <c r="X4314" s="161"/>
      <c r="Y4314" s="161"/>
      <c r="Z4314" s="168"/>
      <c r="AA4314" s="168"/>
      <c r="AB4314" s="168"/>
      <c r="AC4314" s="168"/>
    </row>
    <row r="4315">
      <c r="A4315" s="161"/>
      <c r="B4315" s="161"/>
      <c r="C4315" s="162"/>
      <c r="D4315" s="163"/>
      <c r="E4315" s="164" t="str">
        <f>IFERROR(__xludf.DUMMYFUNCTION("""COMPUTED_VALUE"""),"")</f>
        <v/>
      </c>
      <c r="F4315" s="163"/>
      <c r="G4315" s="163"/>
      <c r="H4315" s="163"/>
      <c r="I4315" s="163"/>
      <c r="J4315" s="165"/>
      <c r="K4315" s="165"/>
      <c r="L4315" s="165"/>
      <c r="M4315" s="166"/>
      <c r="N4315" s="167"/>
      <c r="O4315" s="163"/>
      <c r="P4315" s="163"/>
      <c r="Q4315" s="163"/>
      <c r="R4315" s="163"/>
      <c r="S4315" s="161"/>
      <c r="T4315" s="161"/>
      <c r="U4315" s="161"/>
      <c r="V4315" s="161"/>
      <c r="W4315" s="161"/>
      <c r="X4315" s="161"/>
      <c r="Y4315" s="161"/>
      <c r="Z4315" s="168"/>
      <c r="AA4315" s="168"/>
      <c r="AB4315" s="168"/>
      <c r="AC4315" s="168"/>
    </row>
    <row r="4316">
      <c r="A4316" s="161"/>
      <c r="B4316" s="161"/>
      <c r="C4316" s="162"/>
      <c r="D4316" s="163"/>
      <c r="E4316" s="164" t="str">
        <f>IFERROR(__xludf.DUMMYFUNCTION("""COMPUTED_VALUE"""),"")</f>
        <v/>
      </c>
      <c r="F4316" s="163"/>
      <c r="G4316" s="163"/>
      <c r="H4316" s="163"/>
      <c r="I4316" s="163"/>
      <c r="J4316" s="165"/>
      <c r="K4316" s="165"/>
      <c r="L4316" s="165"/>
      <c r="M4316" s="166"/>
      <c r="N4316" s="167"/>
      <c r="O4316" s="163"/>
      <c r="P4316" s="163"/>
      <c r="Q4316" s="163"/>
      <c r="R4316" s="163"/>
      <c r="S4316" s="161"/>
      <c r="T4316" s="161"/>
      <c r="U4316" s="161"/>
      <c r="V4316" s="161"/>
      <c r="W4316" s="161"/>
      <c r="X4316" s="161"/>
      <c r="Y4316" s="161"/>
      <c r="Z4316" s="168"/>
      <c r="AA4316" s="168"/>
      <c r="AB4316" s="168"/>
      <c r="AC4316" s="168"/>
    </row>
    <row r="4317">
      <c r="A4317" s="161"/>
      <c r="B4317" s="161"/>
      <c r="C4317" s="162"/>
      <c r="D4317" s="163"/>
      <c r="E4317" s="164" t="str">
        <f>IFERROR(__xludf.DUMMYFUNCTION("""COMPUTED_VALUE"""),"")</f>
        <v/>
      </c>
      <c r="F4317" s="163"/>
      <c r="G4317" s="163"/>
      <c r="H4317" s="163"/>
      <c r="I4317" s="163"/>
      <c r="J4317" s="165"/>
      <c r="K4317" s="165"/>
      <c r="L4317" s="165"/>
      <c r="M4317" s="166"/>
      <c r="N4317" s="167"/>
      <c r="O4317" s="163"/>
      <c r="P4317" s="163"/>
      <c r="Q4317" s="163"/>
      <c r="R4317" s="163"/>
      <c r="S4317" s="161"/>
      <c r="T4317" s="161"/>
      <c r="U4317" s="161"/>
      <c r="V4317" s="161"/>
      <c r="W4317" s="161"/>
      <c r="X4317" s="161"/>
      <c r="Y4317" s="161"/>
      <c r="Z4317" s="168"/>
      <c r="AA4317" s="168"/>
      <c r="AB4317" s="168"/>
      <c r="AC4317" s="168"/>
    </row>
    <row r="4318">
      <c r="A4318" s="161"/>
      <c r="B4318" s="161"/>
      <c r="C4318" s="162"/>
      <c r="D4318" s="163"/>
      <c r="E4318" s="164" t="str">
        <f>IFERROR(__xludf.DUMMYFUNCTION("""COMPUTED_VALUE"""),"")</f>
        <v/>
      </c>
      <c r="F4318" s="163"/>
      <c r="G4318" s="163"/>
      <c r="H4318" s="163"/>
      <c r="I4318" s="163"/>
      <c r="J4318" s="165"/>
      <c r="K4318" s="165"/>
      <c r="L4318" s="165"/>
      <c r="M4318" s="166"/>
      <c r="N4318" s="167"/>
      <c r="O4318" s="163"/>
      <c r="P4318" s="163"/>
      <c r="Q4318" s="163"/>
      <c r="R4318" s="163"/>
      <c r="S4318" s="161"/>
      <c r="T4318" s="161"/>
      <c r="U4318" s="161"/>
      <c r="V4318" s="161"/>
      <c r="W4318" s="161"/>
      <c r="X4318" s="161"/>
      <c r="Y4318" s="161"/>
      <c r="Z4318" s="168"/>
      <c r="AA4318" s="168"/>
      <c r="AB4318" s="168"/>
      <c r="AC4318" s="168"/>
    </row>
    <row r="4319">
      <c r="A4319" s="161"/>
      <c r="B4319" s="161"/>
      <c r="C4319" s="162"/>
      <c r="D4319" s="163"/>
      <c r="E4319" s="164" t="str">
        <f>IFERROR(__xludf.DUMMYFUNCTION("""COMPUTED_VALUE"""),"")</f>
        <v/>
      </c>
      <c r="F4319" s="163"/>
      <c r="G4319" s="163"/>
      <c r="H4319" s="163"/>
      <c r="I4319" s="163"/>
      <c r="J4319" s="165"/>
      <c r="K4319" s="165"/>
      <c r="L4319" s="165"/>
      <c r="M4319" s="166"/>
      <c r="N4319" s="167"/>
      <c r="O4319" s="163"/>
      <c r="P4319" s="163"/>
      <c r="Q4319" s="163"/>
      <c r="R4319" s="163"/>
      <c r="S4319" s="161"/>
      <c r="T4319" s="161"/>
      <c r="U4319" s="161"/>
      <c r="V4319" s="161"/>
      <c r="W4319" s="161"/>
      <c r="X4319" s="161"/>
      <c r="Y4319" s="161"/>
      <c r="Z4319" s="168"/>
      <c r="AA4319" s="168"/>
      <c r="AB4319" s="168"/>
      <c r="AC4319" s="168"/>
    </row>
    <row r="4320">
      <c r="A4320" s="161"/>
      <c r="B4320" s="161"/>
      <c r="C4320" s="162"/>
      <c r="D4320" s="163"/>
      <c r="E4320" s="164" t="str">
        <f>IFERROR(__xludf.DUMMYFUNCTION("""COMPUTED_VALUE"""),"")</f>
        <v/>
      </c>
      <c r="F4320" s="163"/>
      <c r="G4320" s="163"/>
      <c r="H4320" s="163"/>
      <c r="I4320" s="163"/>
      <c r="J4320" s="165"/>
      <c r="K4320" s="165"/>
      <c r="L4320" s="165"/>
      <c r="M4320" s="166"/>
      <c r="N4320" s="167"/>
      <c r="O4320" s="163"/>
      <c r="P4320" s="163"/>
      <c r="Q4320" s="163"/>
      <c r="R4320" s="163"/>
      <c r="S4320" s="161"/>
      <c r="T4320" s="161"/>
      <c r="U4320" s="161"/>
      <c r="V4320" s="161"/>
      <c r="W4320" s="161"/>
      <c r="X4320" s="161"/>
      <c r="Y4320" s="161"/>
      <c r="Z4320" s="168"/>
      <c r="AA4320" s="168"/>
      <c r="AB4320" s="168"/>
      <c r="AC4320" s="168"/>
    </row>
    <row r="4321">
      <c r="A4321" s="161"/>
      <c r="B4321" s="161"/>
      <c r="C4321" s="162"/>
      <c r="D4321" s="163"/>
      <c r="E4321" s="164" t="str">
        <f>IFERROR(__xludf.DUMMYFUNCTION("""COMPUTED_VALUE"""),"")</f>
        <v/>
      </c>
      <c r="F4321" s="163"/>
      <c r="G4321" s="163"/>
      <c r="H4321" s="163"/>
      <c r="I4321" s="163"/>
      <c r="J4321" s="165"/>
      <c r="K4321" s="165"/>
      <c r="L4321" s="165"/>
      <c r="M4321" s="166"/>
      <c r="N4321" s="167"/>
      <c r="O4321" s="163"/>
      <c r="P4321" s="163"/>
      <c r="Q4321" s="163"/>
      <c r="R4321" s="163"/>
      <c r="S4321" s="161"/>
      <c r="T4321" s="161"/>
      <c r="U4321" s="161"/>
      <c r="V4321" s="161"/>
      <c r="W4321" s="161"/>
      <c r="X4321" s="161"/>
      <c r="Y4321" s="161"/>
      <c r="Z4321" s="168"/>
      <c r="AA4321" s="168"/>
      <c r="AB4321" s="168"/>
      <c r="AC4321" s="168"/>
    </row>
    <row r="4322">
      <c r="A4322" s="161"/>
      <c r="B4322" s="161"/>
      <c r="C4322" s="162"/>
      <c r="D4322" s="163"/>
      <c r="E4322" s="164" t="str">
        <f>IFERROR(__xludf.DUMMYFUNCTION("""COMPUTED_VALUE"""),"")</f>
        <v/>
      </c>
      <c r="F4322" s="163"/>
      <c r="G4322" s="163"/>
      <c r="H4322" s="163"/>
      <c r="I4322" s="163"/>
      <c r="J4322" s="165"/>
      <c r="K4322" s="165"/>
      <c r="L4322" s="165"/>
      <c r="M4322" s="166"/>
      <c r="N4322" s="167"/>
      <c r="O4322" s="163"/>
      <c r="P4322" s="163"/>
      <c r="Q4322" s="163"/>
      <c r="R4322" s="163"/>
      <c r="S4322" s="161"/>
      <c r="T4322" s="161"/>
      <c r="U4322" s="161"/>
      <c r="V4322" s="161"/>
      <c r="W4322" s="161"/>
      <c r="X4322" s="161"/>
      <c r="Y4322" s="161"/>
      <c r="Z4322" s="168"/>
      <c r="AA4322" s="168"/>
      <c r="AB4322" s="168"/>
      <c r="AC4322" s="168"/>
    </row>
    <row r="4323">
      <c r="A4323" s="161"/>
      <c r="B4323" s="161"/>
      <c r="C4323" s="162"/>
      <c r="D4323" s="163"/>
      <c r="E4323" s="164" t="str">
        <f>IFERROR(__xludf.DUMMYFUNCTION("""COMPUTED_VALUE"""),"")</f>
        <v/>
      </c>
      <c r="F4323" s="163"/>
      <c r="G4323" s="163"/>
      <c r="H4323" s="163"/>
      <c r="I4323" s="163"/>
      <c r="J4323" s="165"/>
      <c r="K4323" s="165"/>
      <c r="L4323" s="165"/>
      <c r="M4323" s="166"/>
      <c r="N4323" s="167"/>
      <c r="O4323" s="163"/>
      <c r="P4323" s="163"/>
      <c r="Q4323" s="163"/>
      <c r="R4323" s="163"/>
      <c r="S4323" s="161"/>
      <c r="T4323" s="161"/>
      <c r="U4323" s="161"/>
      <c r="V4323" s="161"/>
      <c r="W4323" s="161"/>
      <c r="X4323" s="161"/>
      <c r="Y4323" s="161"/>
      <c r="Z4323" s="168"/>
      <c r="AA4323" s="168"/>
      <c r="AB4323" s="168"/>
      <c r="AC4323" s="168"/>
    </row>
    <row r="4324">
      <c r="A4324" s="161"/>
      <c r="B4324" s="161"/>
      <c r="C4324" s="162"/>
      <c r="D4324" s="163"/>
      <c r="E4324" s="164" t="str">
        <f>IFERROR(__xludf.DUMMYFUNCTION("""COMPUTED_VALUE"""),"")</f>
        <v/>
      </c>
      <c r="F4324" s="163"/>
      <c r="G4324" s="163"/>
      <c r="H4324" s="163"/>
      <c r="I4324" s="163"/>
      <c r="J4324" s="165"/>
      <c r="K4324" s="165"/>
      <c r="L4324" s="165"/>
      <c r="M4324" s="166"/>
      <c r="N4324" s="167"/>
      <c r="O4324" s="163"/>
      <c r="P4324" s="163"/>
      <c r="Q4324" s="163"/>
      <c r="R4324" s="163"/>
      <c r="S4324" s="161"/>
      <c r="T4324" s="161"/>
      <c r="U4324" s="161"/>
      <c r="V4324" s="161"/>
      <c r="W4324" s="161"/>
      <c r="X4324" s="161"/>
      <c r="Y4324" s="161"/>
      <c r="Z4324" s="168"/>
      <c r="AA4324" s="168"/>
      <c r="AB4324" s="168"/>
      <c r="AC4324" s="168"/>
    </row>
    <row r="4325">
      <c r="A4325" s="161"/>
      <c r="B4325" s="161"/>
      <c r="C4325" s="162"/>
      <c r="D4325" s="163"/>
      <c r="E4325" s="164" t="str">
        <f>IFERROR(__xludf.DUMMYFUNCTION("""COMPUTED_VALUE"""),"")</f>
        <v/>
      </c>
      <c r="F4325" s="163"/>
      <c r="G4325" s="163"/>
      <c r="H4325" s="163"/>
      <c r="I4325" s="163"/>
      <c r="J4325" s="165"/>
      <c r="K4325" s="165"/>
      <c r="L4325" s="165"/>
      <c r="M4325" s="166"/>
      <c r="N4325" s="167"/>
      <c r="O4325" s="163"/>
      <c r="P4325" s="163"/>
      <c r="Q4325" s="163"/>
      <c r="R4325" s="163"/>
      <c r="S4325" s="161"/>
      <c r="T4325" s="161"/>
      <c r="U4325" s="161"/>
      <c r="V4325" s="161"/>
      <c r="W4325" s="161"/>
      <c r="X4325" s="161"/>
      <c r="Y4325" s="161"/>
      <c r="Z4325" s="168"/>
      <c r="AA4325" s="168"/>
      <c r="AB4325" s="168"/>
      <c r="AC4325" s="168"/>
    </row>
    <row r="4326">
      <c r="A4326" s="161"/>
      <c r="B4326" s="161"/>
      <c r="C4326" s="162"/>
      <c r="D4326" s="163"/>
      <c r="E4326" s="164" t="str">
        <f>IFERROR(__xludf.DUMMYFUNCTION("""COMPUTED_VALUE"""),"")</f>
        <v/>
      </c>
      <c r="F4326" s="163"/>
      <c r="G4326" s="163"/>
      <c r="H4326" s="163"/>
      <c r="I4326" s="163"/>
      <c r="J4326" s="165"/>
      <c r="K4326" s="165"/>
      <c r="L4326" s="165"/>
      <c r="M4326" s="166"/>
      <c r="N4326" s="167"/>
      <c r="O4326" s="163"/>
      <c r="P4326" s="163"/>
      <c r="Q4326" s="163"/>
      <c r="R4326" s="163"/>
      <c r="S4326" s="161"/>
      <c r="T4326" s="161"/>
      <c r="U4326" s="161"/>
      <c r="V4326" s="161"/>
      <c r="W4326" s="161"/>
      <c r="X4326" s="161"/>
      <c r="Y4326" s="161"/>
      <c r="Z4326" s="168"/>
      <c r="AA4326" s="168"/>
      <c r="AB4326" s="168"/>
      <c r="AC4326" s="168"/>
    </row>
    <row r="4327">
      <c r="A4327" s="161"/>
      <c r="B4327" s="161"/>
      <c r="C4327" s="162"/>
      <c r="D4327" s="163"/>
      <c r="E4327" s="164" t="str">
        <f>IFERROR(__xludf.DUMMYFUNCTION("""COMPUTED_VALUE"""),"")</f>
        <v/>
      </c>
      <c r="F4327" s="163"/>
      <c r="G4327" s="163"/>
      <c r="H4327" s="163"/>
      <c r="I4327" s="163"/>
      <c r="J4327" s="165"/>
      <c r="K4327" s="165"/>
      <c r="L4327" s="165"/>
      <c r="M4327" s="166"/>
      <c r="N4327" s="167"/>
      <c r="O4327" s="163"/>
      <c r="P4327" s="163"/>
      <c r="Q4327" s="163"/>
      <c r="R4327" s="163"/>
      <c r="S4327" s="161"/>
      <c r="T4327" s="161"/>
      <c r="U4327" s="161"/>
      <c r="V4327" s="161"/>
      <c r="W4327" s="161"/>
      <c r="X4327" s="161"/>
      <c r="Y4327" s="161"/>
      <c r="Z4327" s="168"/>
      <c r="AA4327" s="168"/>
      <c r="AB4327" s="168"/>
      <c r="AC4327" s="168"/>
    </row>
    <row r="4328">
      <c r="A4328" s="161"/>
      <c r="B4328" s="161"/>
      <c r="C4328" s="162"/>
      <c r="D4328" s="163"/>
      <c r="E4328" s="164" t="str">
        <f>IFERROR(__xludf.DUMMYFUNCTION("""COMPUTED_VALUE"""),"")</f>
        <v/>
      </c>
      <c r="F4328" s="163"/>
      <c r="G4328" s="163"/>
      <c r="H4328" s="163"/>
      <c r="I4328" s="163"/>
      <c r="J4328" s="165"/>
      <c r="K4328" s="165"/>
      <c r="L4328" s="165"/>
      <c r="M4328" s="166"/>
      <c r="N4328" s="167"/>
      <c r="O4328" s="163"/>
      <c r="P4328" s="163"/>
      <c r="Q4328" s="163"/>
      <c r="R4328" s="163"/>
      <c r="S4328" s="161"/>
      <c r="T4328" s="161"/>
      <c r="U4328" s="161"/>
      <c r="V4328" s="161"/>
      <c r="W4328" s="161"/>
      <c r="X4328" s="161"/>
      <c r="Y4328" s="161"/>
      <c r="Z4328" s="168"/>
      <c r="AA4328" s="168"/>
      <c r="AB4328" s="168"/>
      <c r="AC4328" s="168"/>
    </row>
    <row r="4329">
      <c r="A4329" s="161"/>
      <c r="B4329" s="161"/>
      <c r="C4329" s="162"/>
      <c r="D4329" s="163"/>
      <c r="E4329" s="164" t="str">
        <f>IFERROR(__xludf.DUMMYFUNCTION("""COMPUTED_VALUE"""),"")</f>
        <v/>
      </c>
      <c r="F4329" s="163"/>
      <c r="G4329" s="163"/>
      <c r="H4329" s="163"/>
      <c r="I4329" s="163"/>
      <c r="J4329" s="165"/>
      <c r="K4329" s="165"/>
      <c r="L4329" s="165"/>
      <c r="M4329" s="166"/>
      <c r="N4329" s="167"/>
      <c r="O4329" s="163"/>
      <c r="P4329" s="163"/>
      <c r="Q4329" s="163"/>
      <c r="R4329" s="163"/>
      <c r="S4329" s="161"/>
      <c r="T4329" s="161"/>
      <c r="U4329" s="161"/>
      <c r="V4329" s="161"/>
      <c r="W4329" s="161"/>
      <c r="X4329" s="161"/>
      <c r="Y4329" s="161"/>
      <c r="Z4329" s="168"/>
      <c r="AA4329" s="168"/>
      <c r="AB4329" s="168"/>
      <c r="AC4329" s="168"/>
    </row>
    <row r="4330">
      <c r="A4330" s="161"/>
      <c r="B4330" s="161"/>
      <c r="C4330" s="162"/>
      <c r="D4330" s="163"/>
      <c r="E4330" s="164" t="str">
        <f>IFERROR(__xludf.DUMMYFUNCTION("""COMPUTED_VALUE"""),"")</f>
        <v/>
      </c>
      <c r="F4330" s="163"/>
      <c r="G4330" s="163"/>
      <c r="H4330" s="163"/>
      <c r="I4330" s="163"/>
      <c r="J4330" s="165"/>
      <c r="K4330" s="165"/>
      <c r="L4330" s="165"/>
      <c r="M4330" s="166"/>
      <c r="N4330" s="167"/>
      <c r="O4330" s="163"/>
      <c r="P4330" s="163"/>
      <c r="Q4330" s="163"/>
      <c r="R4330" s="163"/>
      <c r="S4330" s="161"/>
      <c r="T4330" s="161"/>
      <c r="U4330" s="161"/>
      <c r="V4330" s="161"/>
      <c r="W4330" s="161"/>
      <c r="X4330" s="161"/>
      <c r="Y4330" s="161"/>
      <c r="Z4330" s="168"/>
      <c r="AA4330" s="168"/>
      <c r="AB4330" s="168"/>
      <c r="AC4330" s="168"/>
    </row>
    <row r="4331">
      <c r="A4331" s="161"/>
      <c r="B4331" s="161"/>
      <c r="C4331" s="162"/>
      <c r="D4331" s="163"/>
      <c r="E4331" s="164" t="str">
        <f>IFERROR(__xludf.DUMMYFUNCTION("""COMPUTED_VALUE"""),"")</f>
        <v/>
      </c>
      <c r="F4331" s="163"/>
      <c r="G4331" s="163"/>
      <c r="H4331" s="163"/>
      <c r="I4331" s="163"/>
      <c r="J4331" s="165"/>
      <c r="K4331" s="165"/>
      <c r="L4331" s="165"/>
      <c r="M4331" s="166"/>
      <c r="N4331" s="167"/>
      <c r="O4331" s="163"/>
      <c r="P4331" s="163"/>
      <c r="Q4331" s="163"/>
      <c r="R4331" s="163"/>
      <c r="S4331" s="161"/>
      <c r="T4331" s="161"/>
      <c r="U4331" s="161"/>
      <c r="V4331" s="161"/>
      <c r="W4331" s="161"/>
      <c r="X4331" s="161"/>
      <c r="Y4331" s="161"/>
      <c r="Z4331" s="168"/>
      <c r="AA4331" s="168"/>
      <c r="AB4331" s="168"/>
      <c r="AC4331" s="168"/>
    </row>
    <row r="4332">
      <c r="A4332" s="161"/>
      <c r="B4332" s="161"/>
      <c r="C4332" s="162"/>
      <c r="D4332" s="163"/>
      <c r="E4332" s="164" t="str">
        <f>IFERROR(__xludf.DUMMYFUNCTION("""COMPUTED_VALUE"""),"")</f>
        <v/>
      </c>
      <c r="F4332" s="163"/>
      <c r="G4332" s="163"/>
      <c r="H4332" s="163"/>
      <c r="I4332" s="163"/>
      <c r="J4332" s="165"/>
      <c r="K4332" s="165"/>
      <c r="L4332" s="165"/>
      <c r="M4332" s="166"/>
      <c r="N4332" s="167"/>
      <c r="O4332" s="163"/>
      <c r="P4332" s="163"/>
      <c r="Q4332" s="163"/>
      <c r="R4332" s="163"/>
      <c r="S4332" s="161"/>
      <c r="T4332" s="161"/>
      <c r="U4332" s="161"/>
      <c r="V4332" s="161"/>
      <c r="W4332" s="161"/>
      <c r="X4332" s="161"/>
      <c r="Y4332" s="161"/>
      <c r="Z4332" s="168"/>
      <c r="AA4332" s="168"/>
      <c r="AB4332" s="168"/>
      <c r="AC4332" s="168"/>
    </row>
    <row r="4333">
      <c r="A4333" s="161"/>
      <c r="B4333" s="161"/>
      <c r="C4333" s="162"/>
      <c r="D4333" s="163"/>
      <c r="E4333" s="164" t="str">
        <f>IFERROR(__xludf.DUMMYFUNCTION("""COMPUTED_VALUE"""),"")</f>
        <v/>
      </c>
      <c r="F4333" s="163"/>
      <c r="G4333" s="163"/>
      <c r="H4333" s="163"/>
      <c r="I4333" s="163"/>
      <c r="J4333" s="165"/>
      <c r="K4333" s="165"/>
      <c r="L4333" s="165"/>
      <c r="M4333" s="166"/>
      <c r="N4333" s="167"/>
      <c r="O4333" s="163"/>
      <c r="P4333" s="163"/>
      <c r="Q4333" s="163"/>
      <c r="R4333" s="163"/>
      <c r="S4333" s="161"/>
      <c r="T4333" s="161"/>
      <c r="U4333" s="161"/>
      <c r="V4333" s="161"/>
      <c r="W4333" s="161"/>
      <c r="X4333" s="161"/>
      <c r="Y4333" s="161"/>
      <c r="Z4333" s="168"/>
      <c r="AA4333" s="168"/>
      <c r="AB4333" s="168"/>
      <c r="AC4333" s="168"/>
    </row>
    <row r="4334">
      <c r="A4334" s="161"/>
      <c r="B4334" s="161"/>
      <c r="C4334" s="162"/>
      <c r="D4334" s="163"/>
      <c r="E4334" s="164" t="str">
        <f>IFERROR(__xludf.DUMMYFUNCTION("""COMPUTED_VALUE"""),"")</f>
        <v/>
      </c>
      <c r="F4334" s="163"/>
      <c r="G4334" s="163"/>
      <c r="H4334" s="163"/>
      <c r="I4334" s="163"/>
      <c r="J4334" s="165"/>
      <c r="K4334" s="165"/>
      <c r="L4334" s="165"/>
      <c r="M4334" s="166"/>
      <c r="N4334" s="167"/>
      <c r="O4334" s="163"/>
      <c r="P4334" s="163"/>
      <c r="Q4334" s="163"/>
      <c r="R4334" s="163"/>
      <c r="S4334" s="161"/>
      <c r="T4334" s="161"/>
      <c r="U4334" s="161"/>
      <c r="V4334" s="161"/>
      <c r="W4334" s="161"/>
      <c r="X4334" s="161"/>
      <c r="Y4334" s="161"/>
      <c r="Z4334" s="168"/>
      <c r="AA4334" s="168"/>
      <c r="AB4334" s="168"/>
      <c r="AC4334" s="168"/>
    </row>
    <row r="4335">
      <c r="A4335" s="161"/>
      <c r="B4335" s="161"/>
      <c r="C4335" s="162"/>
      <c r="D4335" s="163"/>
      <c r="E4335" s="164" t="str">
        <f>IFERROR(__xludf.DUMMYFUNCTION("""COMPUTED_VALUE"""),"")</f>
        <v/>
      </c>
      <c r="F4335" s="163"/>
      <c r="G4335" s="163"/>
      <c r="H4335" s="163"/>
      <c r="I4335" s="163"/>
      <c r="J4335" s="165"/>
      <c r="K4335" s="165"/>
      <c r="L4335" s="165"/>
      <c r="M4335" s="166"/>
      <c r="N4335" s="167"/>
      <c r="O4335" s="163"/>
      <c r="P4335" s="163"/>
      <c r="Q4335" s="163"/>
      <c r="R4335" s="163"/>
      <c r="S4335" s="161"/>
      <c r="T4335" s="161"/>
      <c r="U4335" s="161"/>
      <c r="V4335" s="161"/>
      <c r="W4335" s="161"/>
      <c r="X4335" s="161"/>
      <c r="Y4335" s="161"/>
      <c r="Z4335" s="168"/>
      <c r="AA4335" s="168"/>
      <c r="AB4335" s="168"/>
      <c r="AC4335" s="168"/>
    </row>
    <row r="4336">
      <c r="A4336" s="161"/>
      <c r="B4336" s="161"/>
      <c r="C4336" s="162"/>
      <c r="D4336" s="163"/>
      <c r="E4336" s="164" t="str">
        <f>IFERROR(__xludf.DUMMYFUNCTION("""COMPUTED_VALUE"""),"")</f>
        <v/>
      </c>
      <c r="F4336" s="163"/>
      <c r="G4336" s="163"/>
      <c r="H4336" s="163"/>
      <c r="I4336" s="163"/>
      <c r="J4336" s="165"/>
      <c r="K4336" s="165"/>
      <c r="L4336" s="165"/>
      <c r="M4336" s="166"/>
      <c r="N4336" s="167"/>
      <c r="O4336" s="163"/>
      <c r="P4336" s="163"/>
      <c r="Q4336" s="163"/>
      <c r="R4336" s="163"/>
      <c r="S4336" s="161"/>
      <c r="T4336" s="161"/>
      <c r="U4336" s="161"/>
      <c r="V4336" s="161"/>
      <c r="W4336" s="161"/>
      <c r="X4336" s="161"/>
      <c r="Y4336" s="161"/>
      <c r="Z4336" s="168"/>
      <c r="AA4336" s="168"/>
      <c r="AB4336" s="168"/>
      <c r="AC4336" s="168"/>
    </row>
    <row r="4337">
      <c r="A4337" s="161"/>
      <c r="B4337" s="161"/>
      <c r="C4337" s="162"/>
      <c r="D4337" s="163"/>
      <c r="E4337" s="164" t="str">
        <f>IFERROR(__xludf.DUMMYFUNCTION("""COMPUTED_VALUE"""),"")</f>
        <v/>
      </c>
      <c r="F4337" s="163"/>
      <c r="G4337" s="163"/>
      <c r="H4337" s="163"/>
      <c r="I4337" s="163"/>
      <c r="J4337" s="165"/>
      <c r="K4337" s="165"/>
      <c r="L4337" s="165"/>
      <c r="M4337" s="166"/>
      <c r="N4337" s="167"/>
      <c r="O4337" s="163"/>
      <c r="P4337" s="163"/>
      <c r="Q4337" s="163"/>
      <c r="R4337" s="163"/>
      <c r="S4337" s="161"/>
      <c r="T4337" s="161"/>
      <c r="U4337" s="161"/>
      <c r="V4337" s="161"/>
      <c r="W4337" s="161"/>
      <c r="X4337" s="161"/>
      <c r="Y4337" s="161"/>
      <c r="Z4337" s="168"/>
      <c r="AA4337" s="168"/>
      <c r="AB4337" s="168"/>
      <c r="AC4337" s="168"/>
    </row>
    <row r="4338">
      <c r="A4338" s="161"/>
      <c r="B4338" s="161"/>
      <c r="C4338" s="162"/>
      <c r="D4338" s="163"/>
      <c r="E4338" s="164" t="str">
        <f>IFERROR(__xludf.DUMMYFUNCTION("""COMPUTED_VALUE"""),"")</f>
        <v/>
      </c>
      <c r="F4338" s="163"/>
      <c r="G4338" s="163"/>
      <c r="H4338" s="163"/>
      <c r="I4338" s="163"/>
      <c r="J4338" s="165"/>
      <c r="K4338" s="165"/>
      <c r="L4338" s="165"/>
      <c r="M4338" s="166"/>
      <c r="N4338" s="167"/>
      <c r="O4338" s="163"/>
      <c r="P4338" s="163"/>
      <c r="Q4338" s="163"/>
      <c r="R4338" s="163"/>
      <c r="S4338" s="161"/>
      <c r="T4338" s="161"/>
      <c r="U4338" s="161"/>
      <c r="V4338" s="161"/>
      <c r="W4338" s="161"/>
      <c r="X4338" s="161"/>
      <c r="Y4338" s="161"/>
      <c r="Z4338" s="168"/>
      <c r="AA4338" s="168"/>
      <c r="AB4338" s="168"/>
      <c r="AC4338" s="168"/>
    </row>
    <row r="4339">
      <c r="A4339" s="161"/>
      <c r="B4339" s="161"/>
      <c r="C4339" s="162"/>
      <c r="D4339" s="163"/>
      <c r="E4339" s="164" t="str">
        <f>IFERROR(__xludf.DUMMYFUNCTION("""COMPUTED_VALUE"""),"")</f>
        <v/>
      </c>
      <c r="F4339" s="163"/>
      <c r="G4339" s="163"/>
      <c r="H4339" s="163"/>
      <c r="I4339" s="163"/>
      <c r="J4339" s="165"/>
      <c r="K4339" s="165"/>
      <c r="L4339" s="165"/>
      <c r="M4339" s="166"/>
      <c r="N4339" s="167"/>
      <c r="O4339" s="163"/>
      <c r="P4339" s="163"/>
      <c r="Q4339" s="163"/>
      <c r="R4339" s="163"/>
      <c r="S4339" s="161"/>
      <c r="T4339" s="161"/>
      <c r="U4339" s="161"/>
      <c r="V4339" s="161"/>
      <c r="W4339" s="161"/>
      <c r="X4339" s="161"/>
      <c r="Y4339" s="161"/>
      <c r="Z4339" s="168"/>
      <c r="AA4339" s="168"/>
      <c r="AB4339" s="168"/>
      <c r="AC4339" s="168"/>
    </row>
    <row r="4340">
      <c r="A4340" s="161"/>
      <c r="B4340" s="161"/>
      <c r="C4340" s="162"/>
      <c r="D4340" s="163"/>
      <c r="E4340" s="164" t="str">
        <f>IFERROR(__xludf.DUMMYFUNCTION("""COMPUTED_VALUE"""),"")</f>
        <v/>
      </c>
      <c r="F4340" s="163"/>
      <c r="G4340" s="163"/>
      <c r="H4340" s="163"/>
      <c r="I4340" s="163"/>
      <c r="J4340" s="165"/>
      <c r="K4340" s="165"/>
      <c r="L4340" s="165"/>
      <c r="M4340" s="166"/>
      <c r="N4340" s="167"/>
      <c r="O4340" s="163"/>
      <c r="P4340" s="163"/>
      <c r="Q4340" s="163"/>
      <c r="R4340" s="163"/>
      <c r="S4340" s="161"/>
      <c r="T4340" s="161"/>
      <c r="U4340" s="161"/>
      <c r="V4340" s="161"/>
      <c r="W4340" s="161"/>
      <c r="X4340" s="161"/>
      <c r="Y4340" s="161"/>
      <c r="Z4340" s="168"/>
      <c r="AA4340" s="168"/>
      <c r="AB4340" s="168"/>
      <c r="AC4340" s="168"/>
    </row>
    <row r="4341">
      <c r="A4341" s="161"/>
      <c r="B4341" s="161"/>
      <c r="C4341" s="162"/>
      <c r="D4341" s="163"/>
      <c r="E4341" s="164" t="str">
        <f>IFERROR(__xludf.DUMMYFUNCTION("""COMPUTED_VALUE"""),"")</f>
        <v/>
      </c>
      <c r="F4341" s="163"/>
      <c r="G4341" s="163"/>
      <c r="H4341" s="163"/>
      <c r="I4341" s="163"/>
      <c r="J4341" s="165"/>
      <c r="K4341" s="165"/>
      <c r="L4341" s="165"/>
      <c r="M4341" s="166"/>
      <c r="N4341" s="167"/>
      <c r="O4341" s="163"/>
      <c r="P4341" s="163"/>
      <c r="Q4341" s="163"/>
      <c r="R4341" s="163"/>
      <c r="S4341" s="161"/>
      <c r="T4341" s="161"/>
      <c r="U4341" s="161"/>
      <c r="V4341" s="161"/>
      <c r="W4341" s="161"/>
      <c r="X4341" s="161"/>
      <c r="Y4341" s="161"/>
      <c r="Z4341" s="168"/>
      <c r="AA4341" s="168"/>
      <c r="AB4341" s="168"/>
      <c r="AC4341" s="168"/>
    </row>
    <row r="4342">
      <c r="A4342" s="161"/>
      <c r="B4342" s="161"/>
      <c r="C4342" s="162"/>
      <c r="D4342" s="163"/>
      <c r="E4342" s="164" t="str">
        <f>IFERROR(__xludf.DUMMYFUNCTION("""COMPUTED_VALUE"""),"")</f>
        <v/>
      </c>
      <c r="F4342" s="163"/>
      <c r="G4342" s="163"/>
      <c r="H4342" s="163"/>
      <c r="I4342" s="163"/>
      <c r="J4342" s="165"/>
      <c r="K4342" s="165"/>
      <c r="L4342" s="165"/>
      <c r="M4342" s="166"/>
      <c r="N4342" s="167"/>
      <c r="O4342" s="163"/>
      <c r="P4342" s="163"/>
      <c r="Q4342" s="163"/>
      <c r="R4342" s="163"/>
      <c r="S4342" s="161"/>
      <c r="T4342" s="161"/>
      <c r="U4342" s="161"/>
      <c r="V4342" s="161"/>
      <c r="W4342" s="161"/>
      <c r="X4342" s="161"/>
      <c r="Y4342" s="161"/>
      <c r="Z4342" s="168"/>
      <c r="AA4342" s="168"/>
      <c r="AB4342" s="168"/>
      <c r="AC4342" s="168"/>
    </row>
    <row r="4343">
      <c r="A4343" s="161"/>
      <c r="B4343" s="161"/>
      <c r="C4343" s="162"/>
      <c r="D4343" s="163"/>
      <c r="E4343" s="164" t="str">
        <f>IFERROR(__xludf.DUMMYFUNCTION("""COMPUTED_VALUE"""),"")</f>
        <v/>
      </c>
      <c r="F4343" s="163"/>
      <c r="G4343" s="163"/>
      <c r="H4343" s="163"/>
      <c r="I4343" s="163"/>
      <c r="J4343" s="165"/>
      <c r="K4343" s="165"/>
      <c r="L4343" s="165"/>
      <c r="M4343" s="166"/>
      <c r="N4343" s="167"/>
      <c r="O4343" s="163"/>
      <c r="P4343" s="163"/>
      <c r="Q4343" s="163"/>
      <c r="R4343" s="163"/>
      <c r="S4343" s="161"/>
      <c r="T4343" s="161"/>
      <c r="U4343" s="161"/>
      <c r="V4343" s="161"/>
      <c r="W4343" s="161"/>
      <c r="X4343" s="161"/>
      <c r="Y4343" s="161"/>
      <c r="Z4343" s="168"/>
      <c r="AA4343" s="168"/>
      <c r="AB4343" s="168"/>
      <c r="AC4343" s="168"/>
    </row>
    <row r="4344">
      <c r="A4344" s="161"/>
      <c r="B4344" s="161"/>
      <c r="C4344" s="162"/>
      <c r="D4344" s="163"/>
      <c r="E4344" s="164" t="str">
        <f>IFERROR(__xludf.DUMMYFUNCTION("""COMPUTED_VALUE"""),"")</f>
        <v/>
      </c>
      <c r="F4344" s="163"/>
      <c r="G4344" s="163"/>
      <c r="H4344" s="163"/>
      <c r="I4344" s="163"/>
      <c r="J4344" s="165"/>
      <c r="K4344" s="165"/>
      <c r="L4344" s="165"/>
      <c r="M4344" s="166"/>
      <c r="N4344" s="167"/>
      <c r="O4344" s="163"/>
      <c r="P4344" s="163"/>
      <c r="Q4344" s="163"/>
      <c r="R4344" s="163"/>
      <c r="S4344" s="161"/>
      <c r="T4344" s="161"/>
      <c r="U4344" s="161"/>
      <c r="V4344" s="161"/>
      <c r="W4344" s="161"/>
      <c r="X4344" s="161"/>
      <c r="Y4344" s="161"/>
      <c r="Z4344" s="168"/>
      <c r="AA4344" s="168"/>
      <c r="AB4344" s="168"/>
      <c r="AC4344" s="168"/>
    </row>
    <row r="4345">
      <c r="A4345" s="161"/>
      <c r="B4345" s="161"/>
      <c r="C4345" s="162"/>
      <c r="D4345" s="163"/>
      <c r="E4345" s="164" t="str">
        <f>IFERROR(__xludf.DUMMYFUNCTION("""COMPUTED_VALUE"""),"")</f>
        <v/>
      </c>
      <c r="F4345" s="163"/>
      <c r="G4345" s="163"/>
      <c r="H4345" s="163"/>
      <c r="I4345" s="163"/>
      <c r="J4345" s="165"/>
      <c r="K4345" s="165"/>
      <c r="L4345" s="165"/>
      <c r="M4345" s="166"/>
      <c r="N4345" s="167"/>
      <c r="O4345" s="163"/>
      <c r="P4345" s="163"/>
      <c r="Q4345" s="163"/>
      <c r="R4345" s="163"/>
      <c r="S4345" s="161"/>
      <c r="T4345" s="161"/>
      <c r="U4345" s="161"/>
      <c r="V4345" s="161"/>
      <c r="W4345" s="161"/>
      <c r="X4345" s="161"/>
      <c r="Y4345" s="161"/>
      <c r="Z4345" s="168"/>
      <c r="AA4345" s="168"/>
      <c r="AB4345" s="168"/>
      <c r="AC4345" s="168"/>
    </row>
    <row r="4346">
      <c r="A4346" s="161"/>
      <c r="B4346" s="161"/>
      <c r="C4346" s="162"/>
      <c r="D4346" s="163"/>
      <c r="E4346" s="164" t="str">
        <f>IFERROR(__xludf.DUMMYFUNCTION("""COMPUTED_VALUE"""),"")</f>
        <v/>
      </c>
      <c r="F4346" s="163"/>
      <c r="G4346" s="163"/>
      <c r="H4346" s="163"/>
      <c r="I4346" s="163"/>
      <c r="J4346" s="165"/>
      <c r="K4346" s="165"/>
      <c r="L4346" s="165"/>
      <c r="M4346" s="166"/>
      <c r="N4346" s="167"/>
      <c r="O4346" s="163"/>
      <c r="P4346" s="163"/>
      <c r="Q4346" s="163"/>
      <c r="R4346" s="163"/>
      <c r="S4346" s="161"/>
      <c r="T4346" s="161"/>
      <c r="U4346" s="161"/>
      <c r="V4346" s="161"/>
      <c r="W4346" s="161"/>
      <c r="X4346" s="161"/>
      <c r="Y4346" s="161"/>
      <c r="Z4346" s="168"/>
      <c r="AA4346" s="168"/>
      <c r="AB4346" s="168"/>
      <c r="AC4346" s="168"/>
    </row>
    <row r="4347">
      <c r="A4347" s="161"/>
      <c r="B4347" s="161"/>
      <c r="C4347" s="162"/>
      <c r="D4347" s="163"/>
      <c r="E4347" s="164" t="str">
        <f>IFERROR(__xludf.DUMMYFUNCTION("""COMPUTED_VALUE"""),"")</f>
        <v/>
      </c>
      <c r="F4347" s="163"/>
      <c r="G4347" s="163"/>
      <c r="H4347" s="163"/>
      <c r="I4347" s="163"/>
      <c r="J4347" s="165"/>
      <c r="K4347" s="165"/>
      <c r="L4347" s="165"/>
      <c r="M4347" s="166"/>
      <c r="N4347" s="167"/>
      <c r="O4347" s="163"/>
      <c r="P4347" s="163"/>
      <c r="Q4347" s="163"/>
      <c r="R4347" s="163"/>
      <c r="S4347" s="161"/>
      <c r="T4347" s="161"/>
      <c r="U4347" s="161"/>
      <c r="V4347" s="161"/>
      <c r="W4347" s="161"/>
      <c r="X4347" s="161"/>
      <c r="Y4347" s="161"/>
      <c r="Z4347" s="168"/>
      <c r="AA4347" s="168"/>
      <c r="AB4347" s="168"/>
      <c r="AC4347" s="168"/>
    </row>
    <row r="4348">
      <c r="A4348" s="161"/>
      <c r="B4348" s="161"/>
      <c r="C4348" s="162"/>
      <c r="D4348" s="163"/>
      <c r="E4348" s="164" t="str">
        <f>IFERROR(__xludf.DUMMYFUNCTION("""COMPUTED_VALUE"""),"")</f>
        <v/>
      </c>
      <c r="F4348" s="163"/>
      <c r="G4348" s="163"/>
      <c r="H4348" s="163"/>
      <c r="I4348" s="163"/>
      <c r="J4348" s="165"/>
      <c r="K4348" s="165"/>
      <c r="L4348" s="165"/>
      <c r="M4348" s="166"/>
      <c r="N4348" s="167"/>
      <c r="O4348" s="163"/>
      <c r="P4348" s="163"/>
      <c r="Q4348" s="163"/>
      <c r="R4348" s="163"/>
      <c r="S4348" s="161"/>
      <c r="T4348" s="161"/>
      <c r="U4348" s="161"/>
      <c r="V4348" s="161"/>
      <c r="W4348" s="161"/>
      <c r="X4348" s="161"/>
      <c r="Y4348" s="161"/>
      <c r="Z4348" s="168"/>
      <c r="AA4348" s="168"/>
      <c r="AB4348" s="168"/>
      <c r="AC4348" s="168"/>
    </row>
    <row r="4349">
      <c r="A4349" s="161"/>
      <c r="B4349" s="161"/>
      <c r="C4349" s="162"/>
      <c r="D4349" s="163"/>
      <c r="E4349" s="164" t="str">
        <f>IFERROR(__xludf.DUMMYFUNCTION("""COMPUTED_VALUE"""),"")</f>
        <v/>
      </c>
      <c r="F4349" s="163"/>
      <c r="G4349" s="163"/>
      <c r="H4349" s="163"/>
      <c r="I4349" s="163"/>
      <c r="J4349" s="165"/>
      <c r="K4349" s="165"/>
      <c r="L4349" s="165"/>
      <c r="M4349" s="166"/>
      <c r="N4349" s="167"/>
      <c r="O4349" s="163"/>
      <c r="P4349" s="163"/>
      <c r="Q4349" s="163"/>
      <c r="R4349" s="163"/>
      <c r="S4349" s="161"/>
      <c r="T4349" s="161"/>
      <c r="U4349" s="161"/>
      <c r="V4349" s="161"/>
      <c r="W4349" s="161"/>
      <c r="X4349" s="161"/>
      <c r="Y4349" s="161"/>
      <c r="Z4349" s="168"/>
      <c r="AA4349" s="168"/>
      <c r="AB4349" s="168"/>
      <c r="AC4349" s="168"/>
    </row>
    <row r="4350">
      <c r="A4350" s="161"/>
      <c r="B4350" s="161"/>
      <c r="C4350" s="162"/>
      <c r="D4350" s="163"/>
      <c r="E4350" s="164" t="str">
        <f>IFERROR(__xludf.DUMMYFUNCTION("""COMPUTED_VALUE"""),"")</f>
        <v/>
      </c>
      <c r="F4350" s="163"/>
      <c r="G4350" s="163"/>
      <c r="H4350" s="163"/>
      <c r="I4350" s="163"/>
      <c r="J4350" s="165"/>
      <c r="K4350" s="165"/>
      <c r="L4350" s="165"/>
      <c r="M4350" s="166"/>
      <c r="N4350" s="167"/>
      <c r="O4350" s="163"/>
      <c r="P4350" s="163"/>
      <c r="Q4350" s="163"/>
      <c r="R4350" s="163"/>
      <c r="S4350" s="161"/>
      <c r="T4350" s="161"/>
      <c r="U4350" s="161"/>
      <c r="V4350" s="161"/>
      <c r="W4350" s="161"/>
      <c r="X4350" s="161"/>
      <c r="Y4350" s="161"/>
      <c r="Z4350" s="168"/>
      <c r="AA4350" s="168"/>
      <c r="AB4350" s="168"/>
      <c r="AC4350" s="168"/>
    </row>
    <row r="4351">
      <c r="A4351" s="161"/>
      <c r="B4351" s="161"/>
      <c r="C4351" s="162"/>
      <c r="D4351" s="163"/>
      <c r="E4351" s="164" t="str">
        <f>IFERROR(__xludf.DUMMYFUNCTION("""COMPUTED_VALUE"""),"")</f>
        <v/>
      </c>
      <c r="F4351" s="163"/>
      <c r="G4351" s="163"/>
      <c r="H4351" s="163"/>
      <c r="I4351" s="163"/>
      <c r="J4351" s="165"/>
      <c r="K4351" s="165"/>
      <c r="L4351" s="165"/>
      <c r="M4351" s="166"/>
      <c r="N4351" s="167"/>
      <c r="O4351" s="163"/>
      <c r="P4351" s="163"/>
      <c r="Q4351" s="163"/>
      <c r="R4351" s="163"/>
      <c r="S4351" s="161"/>
      <c r="T4351" s="161"/>
      <c r="U4351" s="161"/>
      <c r="V4351" s="161"/>
      <c r="W4351" s="161"/>
      <c r="X4351" s="161"/>
      <c r="Y4351" s="161"/>
      <c r="Z4351" s="168"/>
      <c r="AA4351" s="168"/>
      <c r="AB4351" s="168"/>
      <c r="AC4351" s="168"/>
    </row>
    <row r="4352">
      <c r="A4352" s="161"/>
      <c r="B4352" s="161"/>
      <c r="C4352" s="162"/>
      <c r="D4352" s="163"/>
      <c r="E4352" s="164" t="str">
        <f>IFERROR(__xludf.DUMMYFUNCTION("""COMPUTED_VALUE"""),"")</f>
        <v/>
      </c>
      <c r="F4352" s="163"/>
      <c r="G4352" s="163"/>
      <c r="H4352" s="163"/>
      <c r="I4352" s="163"/>
      <c r="J4352" s="165"/>
      <c r="K4352" s="165"/>
      <c r="L4352" s="165"/>
      <c r="M4352" s="166"/>
      <c r="N4352" s="167"/>
      <c r="O4352" s="163"/>
      <c r="P4352" s="163"/>
      <c r="Q4352" s="163"/>
      <c r="R4352" s="163"/>
      <c r="S4352" s="161"/>
      <c r="T4352" s="161"/>
      <c r="U4352" s="161"/>
      <c r="V4352" s="161"/>
      <c r="W4352" s="161"/>
      <c r="X4352" s="161"/>
      <c r="Y4352" s="161"/>
      <c r="Z4352" s="168"/>
      <c r="AA4352" s="168"/>
      <c r="AB4352" s="168"/>
      <c r="AC4352" s="168"/>
    </row>
    <row r="4353">
      <c r="A4353" s="161"/>
      <c r="B4353" s="161"/>
      <c r="C4353" s="162"/>
      <c r="D4353" s="163"/>
      <c r="E4353" s="164" t="str">
        <f>IFERROR(__xludf.DUMMYFUNCTION("""COMPUTED_VALUE"""),"")</f>
        <v/>
      </c>
      <c r="F4353" s="163"/>
      <c r="G4353" s="163"/>
      <c r="H4353" s="163"/>
      <c r="I4353" s="163"/>
      <c r="J4353" s="165"/>
      <c r="K4353" s="165"/>
      <c r="L4353" s="165"/>
      <c r="M4353" s="166"/>
      <c r="N4353" s="167"/>
      <c r="O4353" s="163"/>
      <c r="P4353" s="163"/>
      <c r="Q4353" s="163"/>
      <c r="R4353" s="163"/>
      <c r="S4353" s="161"/>
      <c r="T4353" s="161"/>
      <c r="U4353" s="161"/>
      <c r="V4353" s="161"/>
      <c r="W4353" s="161"/>
      <c r="X4353" s="161"/>
      <c r="Y4353" s="161"/>
      <c r="Z4353" s="168"/>
      <c r="AA4353" s="168"/>
      <c r="AB4353" s="168"/>
      <c r="AC4353" s="168"/>
    </row>
    <row r="4354">
      <c r="A4354" s="161"/>
      <c r="B4354" s="161"/>
      <c r="C4354" s="162"/>
      <c r="D4354" s="163"/>
      <c r="E4354" s="164" t="str">
        <f>IFERROR(__xludf.DUMMYFUNCTION("""COMPUTED_VALUE"""),"")</f>
        <v/>
      </c>
      <c r="F4354" s="163"/>
      <c r="G4354" s="163"/>
      <c r="H4354" s="163"/>
      <c r="I4354" s="163"/>
      <c r="J4354" s="165"/>
      <c r="K4354" s="165"/>
      <c r="L4354" s="165"/>
      <c r="M4354" s="166"/>
      <c r="N4354" s="167"/>
      <c r="O4354" s="163"/>
      <c r="P4354" s="163"/>
      <c r="Q4354" s="163"/>
      <c r="R4354" s="163"/>
      <c r="S4354" s="161"/>
      <c r="T4354" s="161"/>
      <c r="U4354" s="161"/>
      <c r="V4354" s="161"/>
      <c r="W4354" s="161"/>
      <c r="X4354" s="161"/>
      <c r="Y4354" s="161"/>
      <c r="Z4354" s="168"/>
      <c r="AA4354" s="168"/>
      <c r="AB4354" s="168"/>
      <c r="AC4354" s="168"/>
    </row>
    <row r="4355">
      <c r="A4355" s="161"/>
      <c r="B4355" s="161"/>
      <c r="C4355" s="162"/>
      <c r="D4355" s="163"/>
      <c r="E4355" s="164" t="str">
        <f>IFERROR(__xludf.DUMMYFUNCTION("""COMPUTED_VALUE"""),"")</f>
        <v/>
      </c>
      <c r="F4355" s="163"/>
      <c r="G4355" s="163"/>
      <c r="H4355" s="163"/>
      <c r="I4355" s="163"/>
      <c r="J4355" s="165"/>
      <c r="K4355" s="165"/>
      <c r="L4355" s="165"/>
      <c r="M4355" s="166"/>
      <c r="N4355" s="167"/>
      <c r="O4355" s="163"/>
      <c r="P4355" s="163"/>
      <c r="Q4355" s="163"/>
      <c r="R4355" s="163"/>
      <c r="S4355" s="161"/>
      <c r="T4355" s="161"/>
      <c r="U4355" s="161"/>
      <c r="V4355" s="161"/>
      <c r="W4355" s="161"/>
      <c r="X4355" s="161"/>
      <c r="Y4355" s="161"/>
      <c r="Z4355" s="168"/>
      <c r="AA4355" s="168"/>
      <c r="AB4355" s="168"/>
      <c r="AC4355" s="168"/>
    </row>
    <row r="4356">
      <c r="A4356" s="161"/>
      <c r="B4356" s="161"/>
      <c r="C4356" s="162"/>
      <c r="D4356" s="163"/>
      <c r="E4356" s="164" t="str">
        <f>IFERROR(__xludf.DUMMYFUNCTION("""COMPUTED_VALUE"""),"")</f>
        <v/>
      </c>
      <c r="F4356" s="163"/>
      <c r="G4356" s="163"/>
      <c r="H4356" s="163"/>
      <c r="I4356" s="163"/>
      <c r="J4356" s="165"/>
      <c r="K4356" s="165"/>
      <c r="L4356" s="165"/>
      <c r="M4356" s="166"/>
      <c r="N4356" s="167"/>
      <c r="O4356" s="163"/>
      <c r="P4356" s="163"/>
      <c r="Q4356" s="163"/>
      <c r="R4356" s="163"/>
      <c r="S4356" s="161"/>
      <c r="T4356" s="161"/>
      <c r="U4356" s="161"/>
      <c r="V4356" s="161"/>
      <c r="W4356" s="161"/>
      <c r="X4356" s="161"/>
      <c r="Y4356" s="161"/>
      <c r="Z4356" s="168"/>
      <c r="AA4356" s="168"/>
      <c r="AB4356" s="168"/>
      <c r="AC4356" s="168"/>
    </row>
    <row r="4357">
      <c r="A4357" s="161"/>
      <c r="B4357" s="161"/>
      <c r="C4357" s="162"/>
      <c r="D4357" s="163"/>
      <c r="E4357" s="164" t="str">
        <f>IFERROR(__xludf.DUMMYFUNCTION("""COMPUTED_VALUE"""),"")</f>
        <v/>
      </c>
      <c r="F4357" s="163"/>
      <c r="G4357" s="163"/>
      <c r="H4357" s="163"/>
      <c r="I4357" s="163"/>
      <c r="J4357" s="165"/>
      <c r="K4357" s="165"/>
      <c r="L4357" s="165"/>
      <c r="M4357" s="166"/>
      <c r="N4357" s="167"/>
      <c r="O4357" s="163"/>
      <c r="P4357" s="163"/>
      <c r="Q4357" s="163"/>
      <c r="R4357" s="163"/>
      <c r="S4357" s="161"/>
      <c r="T4357" s="161"/>
      <c r="U4357" s="161"/>
      <c r="V4357" s="161"/>
      <c r="W4357" s="161"/>
      <c r="X4357" s="161"/>
      <c r="Y4357" s="161"/>
      <c r="Z4357" s="168"/>
      <c r="AA4357" s="168"/>
      <c r="AB4357" s="168"/>
      <c r="AC4357" s="168"/>
    </row>
    <row r="4358">
      <c r="A4358" s="161"/>
      <c r="B4358" s="161"/>
      <c r="C4358" s="162"/>
      <c r="D4358" s="163"/>
      <c r="E4358" s="164" t="str">
        <f>IFERROR(__xludf.DUMMYFUNCTION("""COMPUTED_VALUE"""),"")</f>
        <v/>
      </c>
      <c r="F4358" s="163"/>
      <c r="G4358" s="163"/>
      <c r="H4358" s="163"/>
      <c r="I4358" s="163"/>
      <c r="J4358" s="165"/>
      <c r="K4358" s="165"/>
      <c r="L4358" s="165"/>
      <c r="M4358" s="166"/>
      <c r="N4358" s="167"/>
      <c r="O4358" s="163"/>
      <c r="P4358" s="163"/>
      <c r="Q4358" s="163"/>
      <c r="R4358" s="163"/>
      <c r="S4358" s="161"/>
      <c r="T4358" s="161"/>
      <c r="U4358" s="161"/>
      <c r="V4358" s="161"/>
      <c r="W4358" s="161"/>
      <c r="X4358" s="161"/>
      <c r="Y4358" s="161"/>
      <c r="Z4358" s="168"/>
      <c r="AA4358" s="168"/>
      <c r="AB4358" s="168"/>
      <c r="AC4358" s="168"/>
    </row>
    <row r="4359">
      <c r="A4359" s="161"/>
      <c r="B4359" s="161"/>
      <c r="C4359" s="162"/>
      <c r="D4359" s="163"/>
      <c r="E4359" s="164" t="str">
        <f>IFERROR(__xludf.DUMMYFUNCTION("""COMPUTED_VALUE"""),"")</f>
        <v/>
      </c>
      <c r="F4359" s="163"/>
      <c r="G4359" s="163"/>
      <c r="H4359" s="163"/>
      <c r="I4359" s="163"/>
      <c r="J4359" s="165"/>
      <c r="K4359" s="165"/>
      <c r="L4359" s="165"/>
      <c r="M4359" s="166"/>
      <c r="N4359" s="167"/>
      <c r="O4359" s="163"/>
      <c r="P4359" s="163"/>
      <c r="Q4359" s="163"/>
      <c r="R4359" s="163"/>
      <c r="S4359" s="161"/>
      <c r="T4359" s="161"/>
      <c r="U4359" s="161"/>
      <c r="V4359" s="161"/>
      <c r="W4359" s="161"/>
      <c r="X4359" s="161"/>
      <c r="Y4359" s="161"/>
      <c r="Z4359" s="168"/>
      <c r="AA4359" s="168"/>
      <c r="AB4359" s="168"/>
      <c r="AC4359" s="168"/>
    </row>
    <row r="4360">
      <c r="A4360" s="161"/>
      <c r="B4360" s="161"/>
      <c r="C4360" s="162"/>
      <c r="D4360" s="163"/>
      <c r="E4360" s="164" t="str">
        <f>IFERROR(__xludf.DUMMYFUNCTION("""COMPUTED_VALUE"""),"")</f>
        <v/>
      </c>
      <c r="F4360" s="163"/>
      <c r="G4360" s="163"/>
      <c r="H4360" s="163"/>
      <c r="I4360" s="163"/>
      <c r="J4360" s="165"/>
      <c r="K4360" s="165"/>
      <c r="L4360" s="165"/>
      <c r="M4360" s="166"/>
      <c r="N4360" s="167"/>
      <c r="O4360" s="163"/>
      <c r="P4360" s="163"/>
      <c r="Q4360" s="163"/>
      <c r="R4360" s="163"/>
      <c r="S4360" s="161"/>
      <c r="T4360" s="161"/>
      <c r="U4360" s="161"/>
      <c r="V4360" s="161"/>
      <c r="W4360" s="161"/>
      <c r="X4360" s="161"/>
      <c r="Y4360" s="161"/>
      <c r="Z4360" s="168"/>
      <c r="AA4360" s="168"/>
      <c r="AB4360" s="168"/>
      <c r="AC4360" s="168"/>
    </row>
    <row r="4361">
      <c r="A4361" s="161"/>
      <c r="B4361" s="161"/>
      <c r="C4361" s="162"/>
      <c r="D4361" s="163"/>
      <c r="E4361" s="164" t="str">
        <f>IFERROR(__xludf.DUMMYFUNCTION("""COMPUTED_VALUE"""),"")</f>
        <v/>
      </c>
      <c r="F4361" s="163"/>
      <c r="G4361" s="163"/>
      <c r="H4361" s="163"/>
      <c r="I4361" s="163"/>
      <c r="J4361" s="165"/>
      <c r="K4361" s="165"/>
      <c r="L4361" s="165"/>
      <c r="M4361" s="166"/>
      <c r="N4361" s="167"/>
      <c r="O4361" s="163"/>
      <c r="P4361" s="163"/>
      <c r="Q4361" s="163"/>
      <c r="R4361" s="163"/>
      <c r="S4361" s="161"/>
      <c r="T4361" s="161"/>
      <c r="U4361" s="161"/>
      <c r="V4361" s="161"/>
      <c r="W4361" s="161"/>
      <c r="X4361" s="161"/>
      <c r="Y4361" s="161"/>
      <c r="Z4361" s="168"/>
      <c r="AA4361" s="168"/>
      <c r="AB4361" s="168"/>
      <c r="AC4361" s="168"/>
    </row>
    <row r="4362">
      <c r="A4362" s="161"/>
      <c r="B4362" s="161"/>
      <c r="C4362" s="162"/>
      <c r="D4362" s="163"/>
      <c r="E4362" s="164" t="str">
        <f>IFERROR(__xludf.DUMMYFUNCTION("""COMPUTED_VALUE"""),"")</f>
        <v/>
      </c>
      <c r="F4362" s="163"/>
      <c r="G4362" s="163"/>
      <c r="H4362" s="163"/>
      <c r="I4362" s="163"/>
      <c r="J4362" s="165"/>
      <c r="K4362" s="165"/>
      <c r="L4362" s="165"/>
      <c r="M4362" s="166"/>
      <c r="N4362" s="167"/>
      <c r="O4362" s="163"/>
      <c r="P4362" s="163"/>
      <c r="Q4362" s="163"/>
      <c r="R4362" s="163"/>
      <c r="S4362" s="161"/>
      <c r="T4362" s="161"/>
      <c r="U4362" s="161"/>
      <c r="V4362" s="161"/>
      <c r="W4362" s="161"/>
      <c r="X4362" s="161"/>
      <c r="Y4362" s="161"/>
      <c r="Z4362" s="168"/>
      <c r="AA4362" s="168"/>
      <c r="AB4362" s="168"/>
      <c r="AC4362" s="168"/>
    </row>
    <row r="4363">
      <c r="A4363" s="161"/>
      <c r="B4363" s="161"/>
      <c r="C4363" s="162"/>
      <c r="D4363" s="163"/>
      <c r="E4363" s="164" t="str">
        <f>IFERROR(__xludf.DUMMYFUNCTION("""COMPUTED_VALUE"""),"")</f>
        <v/>
      </c>
      <c r="F4363" s="163"/>
      <c r="G4363" s="163"/>
      <c r="H4363" s="163"/>
      <c r="I4363" s="163"/>
      <c r="J4363" s="165"/>
      <c r="K4363" s="165"/>
      <c r="L4363" s="165"/>
      <c r="M4363" s="166"/>
      <c r="N4363" s="167"/>
      <c r="O4363" s="163"/>
      <c r="P4363" s="163"/>
      <c r="Q4363" s="163"/>
      <c r="R4363" s="163"/>
      <c r="S4363" s="161"/>
      <c r="T4363" s="161"/>
      <c r="U4363" s="161"/>
      <c r="V4363" s="161"/>
      <c r="W4363" s="161"/>
      <c r="X4363" s="161"/>
      <c r="Y4363" s="161"/>
      <c r="Z4363" s="168"/>
      <c r="AA4363" s="168"/>
      <c r="AB4363" s="168"/>
      <c r="AC4363" s="168"/>
    </row>
    <row r="4364">
      <c r="A4364" s="161"/>
      <c r="B4364" s="161"/>
      <c r="C4364" s="162"/>
      <c r="D4364" s="163"/>
      <c r="E4364" s="164" t="str">
        <f>IFERROR(__xludf.DUMMYFUNCTION("""COMPUTED_VALUE"""),"")</f>
        <v/>
      </c>
      <c r="F4364" s="163"/>
      <c r="G4364" s="163"/>
      <c r="H4364" s="163"/>
      <c r="I4364" s="163"/>
      <c r="J4364" s="165"/>
      <c r="K4364" s="165"/>
      <c r="L4364" s="165"/>
      <c r="M4364" s="166"/>
      <c r="N4364" s="167"/>
      <c r="O4364" s="163"/>
      <c r="P4364" s="163"/>
      <c r="Q4364" s="163"/>
      <c r="R4364" s="163"/>
      <c r="S4364" s="161"/>
      <c r="T4364" s="161"/>
      <c r="U4364" s="161"/>
      <c r="V4364" s="161"/>
      <c r="W4364" s="161"/>
      <c r="X4364" s="161"/>
      <c r="Y4364" s="161"/>
      <c r="Z4364" s="168"/>
      <c r="AA4364" s="168"/>
      <c r="AB4364" s="168"/>
      <c r="AC4364" s="168"/>
    </row>
    <row r="4365">
      <c r="A4365" s="161"/>
      <c r="B4365" s="161"/>
      <c r="C4365" s="162"/>
      <c r="D4365" s="163"/>
      <c r="E4365" s="164" t="str">
        <f>IFERROR(__xludf.DUMMYFUNCTION("""COMPUTED_VALUE"""),"")</f>
        <v/>
      </c>
      <c r="F4365" s="163"/>
      <c r="G4365" s="163"/>
      <c r="H4365" s="163"/>
      <c r="I4365" s="163"/>
      <c r="J4365" s="165"/>
      <c r="K4365" s="165"/>
      <c r="L4365" s="165"/>
      <c r="M4365" s="166"/>
      <c r="N4365" s="167"/>
      <c r="O4365" s="163"/>
      <c r="P4365" s="163"/>
      <c r="Q4365" s="163"/>
      <c r="R4365" s="163"/>
      <c r="S4365" s="161"/>
      <c r="T4365" s="161"/>
      <c r="U4365" s="161"/>
      <c r="V4365" s="161"/>
      <c r="W4365" s="161"/>
      <c r="X4365" s="161"/>
      <c r="Y4365" s="161"/>
      <c r="Z4365" s="168"/>
      <c r="AA4365" s="168"/>
      <c r="AB4365" s="168"/>
      <c r="AC4365" s="168"/>
    </row>
    <row r="4366">
      <c r="A4366" s="161"/>
      <c r="B4366" s="161"/>
      <c r="C4366" s="162"/>
      <c r="D4366" s="163"/>
      <c r="E4366" s="164" t="str">
        <f>IFERROR(__xludf.DUMMYFUNCTION("""COMPUTED_VALUE"""),"")</f>
        <v/>
      </c>
      <c r="F4366" s="163"/>
      <c r="G4366" s="163"/>
      <c r="H4366" s="163"/>
      <c r="I4366" s="163"/>
      <c r="J4366" s="165"/>
      <c r="K4366" s="165"/>
      <c r="L4366" s="165"/>
      <c r="M4366" s="166"/>
      <c r="N4366" s="167"/>
      <c r="O4366" s="163"/>
      <c r="P4366" s="163"/>
      <c r="Q4366" s="163"/>
      <c r="R4366" s="163"/>
      <c r="S4366" s="161"/>
      <c r="T4366" s="161"/>
      <c r="U4366" s="161"/>
      <c r="V4366" s="161"/>
      <c r="W4366" s="161"/>
      <c r="X4366" s="161"/>
      <c r="Y4366" s="161"/>
      <c r="Z4366" s="168"/>
      <c r="AA4366" s="168"/>
      <c r="AB4366" s="168"/>
      <c r="AC4366" s="168"/>
    </row>
    <row r="4367">
      <c r="A4367" s="161"/>
      <c r="B4367" s="161"/>
      <c r="C4367" s="162"/>
      <c r="D4367" s="163"/>
      <c r="E4367" s="164" t="str">
        <f>IFERROR(__xludf.DUMMYFUNCTION("""COMPUTED_VALUE"""),"")</f>
        <v/>
      </c>
      <c r="F4367" s="163"/>
      <c r="G4367" s="163"/>
      <c r="H4367" s="163"/>
      <c r="I4367" s="163"/>
      <c r="J4367" s="165"/>
      <c r="K4367" s="165"/>
      <c r="L4367" s="165"/>
      <c r="M4367" s="166"/>
      <c r="N4367" s="167"/>
      <c r="O4367" s="163"/>
      <c r="P4367" s="163"/>
      <c r="Q4367" s="163"/>
      <c r="R4367" s="163"/>
      <c r="S4367" s="161"/>
      <c r="T4367" s="161"/>
      <c r="U4367" s="161"/>
      <c r="V4367" s="161"/>
      <c r="W4367" s="161"/>
      <c r="X4367" s="161"/>
      <c r="Y4367" s="161"/>
      <c r="Z4367" s="168"/>
      <c r="AA4367" s="168"/>
      <c r="AB4367" s="168"/>
      <c r="AC4367" s="168"/>
    </row>
    <row r="4368">
      <c r="A4368" s="161"/>
      <c r="B4368" s="161"/>
      <c r="C4368" s="162"/>
      <c r="D4368" s="163"/>
      <c r="E4368" s="164" t="str">
        <f>IFERROR(__xludf.DUMMYFUNCTION("""COMPUTED_VALUE"""),"")</f>
        <v/>
      </c>
      <c r="F4368" s="163"/>
      <c r="G4368" s="163"/>
      <c r="H4368" s="163"/>
      <c r="I4368" s="163"/>
      <c r="J4368" s="165"/>
      <c r="K4368" s="165"/>
      <c r="L4368" s="165"/>
      <c r="M4368" s="166"/>
      <c r="N4368" s="167"/>
      <c r="O4368" s="163"/>
      <c r="P4368" s="163"/>
      <c r="Q4368" s="163"/>
      <c r="R4368" s="163"/>
      <c r="S4368" s="161"/>
      <c r="T4368" s="161"/>
      <c r="U4368" s="161"/>
      <c r="V4368" s="161"/>
      <c r="W4368" s="161"/>
      <c r="X4368" s="161"/>
      <c r="Y4368" s="161"/>
      <c r="Z4368" s="168"/>
      <c r="AA4368" s="168"/>
      <c r="AB4368" s="168"/>
      <c r="AC4368" s="168"/>
    </row>
    <row r="4369">
      <c r="A4369" s="161"/>
      <c r="B4369" s="161"/>
      <c r="C4369" s="162"/>
      <c r="D4369" s="163"/>
      <c r="E4369" s="164" t="str">
        <f>IFERROR(__xludf.DUMMYFUNCTION("""COMPUTED_VALUE"""),"")</f>
        <v/>
      </c>
      <c r="F4369" s="163"/>
      <c r="G4369" s="163"/>
      <c r="H4369" s="163"/>
      <c r="I4369" s="163"/>
      <c r="J4369" s="165"/>
      <c r="K4369" s="165"/>
      <c r="L4369" s="165"/>
      <c r="M4369" s="166"/>
      <c r="N4369" s="167"/>
      <c r="O4369" s="163"/>
      <c r="P4369" s="163"/>
      <c r="Q4369" s="163"/>
      <c r="R4369" s="163"/>
      <c r="S4369" s="161"/>
      <c r="T4369" s="161"/>
      <c r="U4369" s="161"/>
      <c r="V4369" s="161"/>
      <c r="W4369" s="161"/>
      <c r="X4369" s="161"/>
      <c r="Y4369" s="161"/>
      <c r="Z4369" s="168"/>
      <c r="AA4369" s="168"/>
      <c r="AB4369" s="168"/>
      <c r="AC4369" s="168"/>
    </row>
    <row r="4370">
      <c r="A4370" s="161"/>
      <c r="B4370" s="161"/>
      <c r="C4370" s="162"/>
      <c r="D4370" s="163"/>
      <c r="E4370" s="164" t="str">
        <f>IFERROR(__xludf.DUMMYFUNCTION("""COMPUTED_VALUE"""),"")</f>
        <v/>
      </c>
      <c r="F4370" s="163"/>
      <c r="G4370" s="163"/>
      <c r="H4370" s="163"/>
      <c r="I4370" s="163"/>
      <c r="J4370" s="165"/>
      <c r="K4370" s="165"/>
      <c r="L4370" s="165"/>
      <c r="M4370" s="166"/>
      <c r="N4370" s="167"/>
      <c r="O4370" s="163"/>
      <c r="P4370" s="163"/>
      <c r="Q4370" s="163"/>
      <c r="R4370" s="163"/>
      <c r="S4370" s="161"/>
      <c r="T4370" s="161"/>
      <c r="U4370" s="161"/>
      <c r="V4370" s="161"/>
      <c r="W4370" s="161"/>
      <c r="X4370" s="161"/>
      <c r="Y4370" s="161"/>
      <c r="Z4370" s="168"/>
      <c r="AA4370" s="168"/>
      <c r="AB4370" s="168"/>
      <c r="AC4370" s="168"/>
    </row>
    <row r="4371">
      <c r="A4371" s="161"/>
      <c r="B4371" s="161"/>
      <c r="C4371" s="162"/>
      <c r="D4371" s="163"/>
      <c r="E4371" s="164" t="str">
        <f>IFERROR(__xludf.DUMMYFUNCTION("""COMPUTED_VALUE"""),"")</f>
        <v/>
      </c>
      <c r="F4371" s="163"/>
      <c r="G4371" s="163"/>
      <c r="H4371" s="163"/>
      <c r="I4371" s="163"/>
      <c r="J4371" s="165"/>
      <c r="K4371" s="165"/>
      <c r="L4371" s="165"/>
      <c r="M4371" s="166"/>
      <c r="N4371" s="167"/>
      <c r="O4371" s="163"/>
      <c r="P4371" s="163"/>
      <c r="Q4371" s="163"/>
      <c r="R4371" s="163"/>
      <c r="S4371" s="161"/>
      <c r="T4371" s="161"/>
      <c r="U4371" s="161"/>
      <c r="V4371" s="161"/>
      <c r="W4371" s="161"/>
      <c r="X4371" s="161"/>
      <c r="Y4371" s="161"/>
      <c r="Z4371" s="168"/>
      <c r="AA4371" s="168"/>
      <c r="AB4371" s="168"/>
      <c r="AC4371" s="168"/>
    </row>
    <row r="4372">
      <c r="A4372" s="161"/>
      <c r="B4372" s="161"/>
      <c r="C4372" s="162"/>
      <c r="D4372" s="163"/>
      <c r="E4372" s="164" t="str">
        <f>IFERROR(__xludf.DUMMYFUNCTION("""COMPUTED_VALUE"""),"")</f>
        <v/>
      </c>
      <c r="F4372" s="163"/>
      <c r="G4372" s="163"/>
      <c r="H4372" s="163"/>
      <c r="I4372" s="163"/>
      <c r="J4372" s="165"/>
      <c r="K4372" s="165"/>
      <c r="L4372" s="165"/>
      <c r="M4372" s="166"/>
      <c r="N4372" s="167"/>
      <c r="O4372" s="163"/>
      <c r="P4372" s="163"/>
      <c r="Q4372" s="163"/>
      <c r="R4372" s="163"/>
      <c r="S4372" s="161"/>
      <c r="T4372" s="161"/>
      <c r="U4372" s="161"/>
      <c r="V4372" s="161"/>
      <c r="W4372" s="161"/>
      <c r="X4372" s="161"/>
      <c r="Y4372" s="161"/>
      <c r="Z4372" s="168"/>
      <c r="AA4372" s="168"/>
      <c r="AB4372" s="168"/>
      <c r="AC4372" s="168"/>
    </row>
    <row r="4373">
      <c r="A4373" s="161"/>
      <c r="B4373" s="161"/>
      <c r="C4373" s="162"/>
      <c r="D4373" s="163"/>
      <c r="E4373" s="164" t="str">
        <f>IFERROR(__xludf.DUMMYFUNCTION("""COMPUTED_VALUE"""),"")</f>
        <v/>
      </c>
      <c r="F4373" s="163"/>
      <c r="G4373" s="163"/>
      <c r="H4373" s="163"/>
      <c r="I4373" s="163"/>
      <c r="J4373" s="165"/>
      <c r="K4373" s="165"/>
      <c r="L4373" s="165"/>
      <c r="M4373" s="166"/>
      <c r="N4373" s="167"/>
      <c r="O4373" s="163"/>
      <c r="P4373" s="163"/>
      <c r="Q4373" s="163"/>
      <c r="R4373" s="163"/>
      <c r="S4373" s="161"/>
      <c r="T4373" s="161"/>
      <c r="U4373" s="161"/>
      <c r="V4373" s="161"/>
      <c r="W4373" s="161"/>
      <c r="X4373" s="161"/>
      <c r="Y4373" s="161"/>
      <c r="Z4373" s="168"/>
      <c r="AA4373" s="168"/>
      <c r="AB4373" s="168"/>
      <c r="AC4373" s="168"/>
    </row>
    <row r="4374">
      <c r="A4374" s="161"/>
      <c r="B4374" s="161"/>
      <c r="C4374" s="162"/>
      <c r="D4374" s="163"/>
      <c r="E4374" s="164" t="str">
        <f>IFERROR(__xludf.DUMMYFUNCTION("""COMPUTED_VALUE"""),"")</f>
        <v/>
      </c>
      <c r="F4374" s="163"/>
      <c r="G4374" s="163"/>
      <c r="H4374" s="163"/>
      <c r="I4374" s="163"/>
      <c r="J4374" s="165"/>
      <c r="K4374" s="165"/>
      <c r="L4374" s="165"/>
      <c r="M4374" s="166"/>
      <c r="N4374" s="167"/>
      <c r="O4374" s="163"/>
      <c r="P4374" s="163"/>
      <c r="Q4374" s="163"/>
      <c r="R4374" s="163"/>
      <c r="S4374" s="161"/>
      <c r="T4374" s="161"/>
      <c r="U4374" s="161"/>
      <c r="V4374" s="161"/>
      <c r="W4374" s="161"/>
      <c r="X4374" s="161"/>
      <c r="Y4374" s="161"/>
      <c r="Z4374" s="168"/>
      <c r="AA4374" s="168"/>
      <c r="AB4374" s="168"/>
      <c r="AC4374" s="168"/>
    </row>
    <row r="4375">
      <c r="A4375" s="161"/>
      <c r="B4375" s="161"/>
      <c r="C4375" s="162"/>
      <c r="D4375" s="163"/>
      <c r="E4375" s="164" t="str">
        <f>IFERROR(__xludf.DUMMYFUNCTION("""COMPUTED_VALUE"""),"")</f>
        <v/>
      </c>
      <c r="F4375" s="163"/>
      <c r="G4375" s="163"/>
      <c r="H4375" s="163"/>
      <c r="I4375" s="163"/>
      <c r="J4375" s="165"/>
      <c r="K4375" s="165"/>
      <c r="L4375" s="165"/>
      <c r="M4375" s="166"/>
      <c r="N4375" s="167"/>
      <c r="O4375" s="163"/>
      <c r="P4375" s="163"/>
      <c r="Q4375" s="163"/>
      <c r="R4375" s="163"/>
      <c r="S4375" s="161"/>
      <c r="T4375" s="161"/>
      <c r="U4375" s="161"/>
      <c r="V4375" s="161"/>
      <c r="W4375" s="161"/>
      <c r="X4375" s="161"/>
      <c r="Y4375" s="161"/>
      <c r="Z4375" s="168"/>
      <c r="AA4375" s="168"/>
      <c r="AB4375" s="168"/>
      <c r="AC4375" s="168"/>
    </row>
    <row r="4376">
      <c r="A4376" s="161"/>
      <c r="B4376" s="161"/>
      <c r="C4376" s="162"/>
      <c r="D4376" s="163"/>
      <c r="E4376" s="164" t="str">
        <f>IFERROR(__xludf.DUMMYFUNCTION("""COMPUTED_VALUE"""),"")</f>
        <v/>
      </c>
      <c r="F4376" s="163"/>
      <c r="G4376" s="163"/>
      <c r="H4376" s="163"/>
      <c r="I4376" s="163"/>
      <c r="J4376" s="165"/>
      <c r="K4376" s="165"/>
      <c r="L4376" s="165"/>
      <c r="M4376" s="166"/>
      <c r="N4376" s="167"/>
      <c r="O4376" s="163"/>
      <c r="P4376" s="163"/>
      <c r="Q4376" s="163"/>
      <c r="R4376" s="163"/>
      <c r="S4376" s="161"/>
      <c r="T4376" s="161"/>
      <c r="U4376" s="161"/>
      <c r="V4376" s="161"/>
      <c r="W4376" s="161"/>
      <c r="X4376" s="161"/>
      <c r="Y4376" s="161"/>
      <c r="Z4376" s="168"/>
      <c r="AA4376" s="168"/>
      <c r="AB4376" s="168"/>
      <c r="AC4376" s="168"/>
    </row>
    <row r="4377">
      <c r="A4377" s="161"/>
      <c r="B4377" s="161"/>
      <c r="C4377" s="162"/>
      <c r="D4377" s="163"/>
      <c r="E4377" s="164" t="str">
        <f>IFERROR(__xludf.DUMMYFUNCTION("""COMPUTED_VALUE"""),"")</f>
        <v/>
      </c>
      <c r="F4377" s="163"/>
      <c r="G4377" s="163"/>
      <c r="H4377" s="163"/>
      <c r="I4377" s="163"/>
      <c r="J4377" s="165"/>
      <c r="K4377" s="165"/>
      <c r="L4377" s="165"/>
      <c r="M4377" s="166"/>
      <c r="N4377" s="167"/>
      <c r="O4377" s="163"/>
      <c r="P4377" s="163"/>
      <c r="Q4377" s="163"/>
      <c r="R4377" s="163"/>
      <c r="S4377" s="161"/>
      <c r="T4377" s="161"/>
      <c r="U4377" s="161"/>
      <c r="V4377" s="161"/>
      <c r="W4377" s="161"/>
      <c r="X4377" s="161"/>
      <c r="Y4377" s="161"/>
      <c r="Z4377" s="168"/>
      <c r="AA4377" s="168"/>
      <c r="AB4377" s="168"/>
      <c r="AC4377" s="168"/>
    </row>
    <row r="4378">
      <c r="A4378" s="161"/>
      <c r="B4378" s="161"/>
      <c r="C4378" s="162"/>
      <c r="D4378" s="163"/>
      <c r="E4378" s="164" t="str">
        <f>IFERROR(__xludf.DUMMYFUNCTION("""COMPUTED_VALUE"""),"")</f>
        <v/>
      </c>
      <c r="F4378" s="163"/>
      <c r="G4378" s="163"/>
      <c r="H4378" s="163"/>
      <c r="I4378" s="163"/>
      <c r="J4378" s="165"/>
      <c r="K4378" s="165"/>
      <c r="L4378" s="165"/>
      <c r="M4378" s="166"/>
      <c r="N4378" s="167"/>
      <c r="O4378" s="163"/>
      <c r="P4378" s="163"/>
      <c r="Q4378" s="163"/>
      <c r="R4378" s="163"/>
      <c r="S4378" s="161"/>
      <c r="T4378" s="161"/>
      <c r="U4378" s="161"/>
      <c r="V4378" s="161"/>
      <c r="W4378" s="161"/>
      <c r="X4378" s="161"/>
      <c r="Y4378" s="161"/>
      <c r="Z4378" s="168"/>
      <c r="AA4378" s="168"/>
      <c r="AB4378" s="168"/>
      <c r="AC4378" s="168"/>
    </row>
    <row r="4379">
      <c r="A4379" s="161"/>
      <c r="B4379" s="161"/>
      <c r="C4379" s="162"/>
      <c r="D4379" s="163"/>
      <c r="E4379" s="164" t="str">
        <f>IFERROR(__xludf.DUMMYFUNCTION("""COMPUTED_VALUE"""),"")</f>
        <v/>
      </c>
      <c r="F4379" s="163"/>
      <c r="G4379" s="163"/>
      <c r="H4379" s="163"/>
      <c r="I4379" s="163"/>
      <c r="J4379" s="165"/>
      <c r="K4379" s="165"/>
      <c r="L4379" s="165"/>
      <c r="M4379" s="166"/>
      <c r="N4379" s="167"/>
      <c r="O4379" s="163"/>
      <c r="P4379" s="163"/>
      <c r="Q4379" s="163"/>
      <c r="R4379" s="163"/>
      <c r="S4379" s="161"/>
      <c r="T4379" s="161"/>
      <c r="U4379" s="161"/>
      <c r="V4379" s="161"/>
      <c r="W4379" s="161"/>
      <c r="X4379" s="161"/>
      <c r="Y4379" s="161"/>
      <c r="Z4379" s="168"/>
      <c r="AA4379" s="168"/>
      <c r="AB4379" s="168"/>
      <c r="AC4379" s="168"/>
    </row>
    <row r="4380">
      <c r="A4380" s="161"/>
      <c r="B4380" s="161"/>
      <c r="C4380" s="162"/>
      <c r="D4380" s="163"/>
      <c r="E4380" s="164" t="str">
        <f>IFERROR(__xludf.DUMMYFUNCTION("""COMPUTED_VALUE"""),"")</f>
        <v/>
      </c>
      <c r="F4380" s="163"/>
      <c r="G4380" s="163"/>
      <c r="H4380" s="163"/>
      <c r="I4380" s="163"/>
      <c r="J4380" s="165"/>
      <c r="K4380" s="165"/>
      <c r="L4380" s="165"/>
      <c r="M4380" s="166"/>
      <c r="N4380" s="167"/>
      <c r="O4380" s="163"/>
      <c r="P4380" s="163"/>
      <c r="Q4380" s="163"/>
      <c r="R4380" s="163"/>
      <c r="S4380" s="161"/>
      <c r="T4380" s="161"/>
      <c r="U4380" s="161"/>
      <c r="V4380" s="161"/>
      <c r="W4380" s="161"/>
      <c r="X4380" s="161"/>
      <c r="Y4380" s="161"/>
      <c r="Z4380" s="168"/>
      <c r="AA4380" s="168"/>
      <c r="AB4380" s="168"/>
      <c r="AC4380" s="168"/>
    </row>
    <row r="4381">
      <c r="A4381" s="161"/>
      <c r="B4381" s="161"/>
      <c r="C4381" s="162"/>
      <c r="D4381" s="163"/>
      <c r="E4381" s="164" t="str">
        <f>IFERROR(__xludf.DUMMYFUNCTION("""COMPUTED_VALUE"""),"")</f>
        <v/>
      </c>
      <c r="F4381" s="163"/>
      <c r="G4381" s="163"/>
      <c r="H4381" s="163"/>
      <c r="I4381" s="163"/>
      <c r="J4381" s="165"/>
      <c r="K4381" s="165"/>
      <c r="L4381" s="165"/>
      <c r="M4381" s="166"/>
      <c r="N4381" s="167"/>
      <c r="O4381" s="163"/>
      <c r="P4381" s="163"/>
      <c r="Q4381" s="163"/>
      <c r="R4381" s="163"/>
      <c r="S4381" s="161"/>
      <c r="T4381" s="161"/>
      <c r="U4381" s="161"/>
      <c r="V4381" s="161"/>
      <c r="W4381" s="161"/>
      <c r="X4381" s="161"/>
      <c r="Y4381" s="161"/>
      <c r="Z4381" s="168"/>
      <c r="AA4381" s="168"/>
      <c r="AB4381" s="168"/>
      <c r="AC4381" s="168"/>
    </row>
    <row r="4382">
      <c r="A4382" s="161"/>
      <c r="B4382" s="161"/>
      <c r="C4382" s="162"/>
      <c r="D4382" s="163"/>
      <c r="E4382" s="164" t="str">
        <f>IFERROR(__xludf.DUMMYFUNCTION("""COMPUTED_VALUE"""),"")</f>
        <v/>
      </c>
      <c r="F4382" s="163"/>
      <c r="G4382" s="163"/>
      <c r="H4382" s="163"/>
      <c r="I4382" s="163"/>
      <c r="J4382" s="165"/>
      <c r="K4382" s="165"/>
      <c r="L4382" s="165"/>
      <c r="M4382" s="166"/>
      <c r="N4382" s="167"/>
      <c r="O4382" s="163"/>
      <c r="P4382" s="163"/>
      <c r="Q4382" s="163"/>
      <c r="R4382" s="163"/>
      <c r="S4382" s="161"/>
      <c r="T4382" s="161"/>
      <c r="U4382" s="161"/>
      <c r="V4382" s="161"/>
      <c r="W4382" s="161"/>
      <c r="X4382" s="161"/>
      <c r="Y4382" s="161"/>
      <c r="Z4382" s="168"/>
      <c r="AA4382" s="168"/>
      <c r="AB4382" s="168"/>
      <c r="AC4382" s="168"/>
    </row>
    <row r="4383">
      <c r="A4383" s="161"/>
      <c r="B4383" s="161"/>
      <c r="C4383" s="162"/>
      <c r="D4383" s="163"/>
      <c r="E4383" s="164" t="str">
        <f>IFERROR(__xludf.DUMMYFUNCTION("""COMPUTED_VALUE"""),"")</f>
        <v/>
      </c>
      <c r="F4383" s="163"/>
      <c r="G4383" s="163"/>
      <c r="H4383" s="163"/>
      <c r="I4383" s="163"/>
      <c r="J4383" s="165"/>
      <c r="K4383" s="165"/>
      <c r="L4383" s="165"/>
      <c r="M4383" s="166"/>
      <c r="N4383" s="167"/>
      <c r="O4383" s="163"/>
      <c r="P4383" s="163"/>
      <c r="Q4383" s="163"/>
      <c r="R4383" s="163"/>
      <c r="S4383" s="161"/>
      <c r="T4383" s="161"/>
      <c r="U4383" s="161"/>
      <c r="V4383" s="161"/>
      <c r="W4383" s="161"/>
      <c r="X4383" s="161"/>
      <c r="Y4383" s="161"/>
      <c r="Z4383" s="168"/>
      <c r="AA4383" s="168"/>
      <c r="AB4383" s="168"/>
      <c r="AC4383" s="168"/>
    </row>
    <row r="4384">
      <c r="A4384" s="161"/>
      <c r="B4384" s="161"/>
      <c r="C4384" s="162"/>
      <c r="D4384" s="163"/>
      <c r="E4384" s="164" t="str">
        <f>IFERROR(__xludf.DUMMYFUNCTION("""COMPUTED_VALUE"""),"")</f>
        <v/>
      </c>
      <c r="F4384" s="163"/>
      <c r="G4384" s="163"/>
      <c r="H4384" s="163"/>
      <c r="I4384" s="163"/>
      <c r="J4384" s="165"/>
      <c r="K4384" s="165"/>
      <c r="L4384" s="165"/>
      <c r="M4384" s="166"/>
      <c r="N4384" s="167"/>
      <c r="O4384" s="163"/>
      <c r="P4384" s="163"/>
      <c r="Q4384" s="163"/>
      <c r="R4384" s="163"/>
      <c r="S4384" s="161"/>
      <c r="T4384" s="161"/>
      <c r="U4384" s="161"/>
      <c r="V4384" s="161"/>
      <c r="W4384" s="161"/>
      <c r="X4384" s="161"/>
      <c r="Y4384" s="161"/>
      <c r="Z4384" s="168"/>
      <c r="AA4384" s="168"/>
      <c r="AB4384" s="168"/>
      <c r="AC4384" s="168"/>
    </row>
    <row r="4385">
      <c r="A4385" s="161"/>
      <c r="B4385" s="161"/>
      <c r="C4385" s="162"/>
      <c r="D4385" s="163"/>
      <c r="E4385" s="164" t="str">
        <f>IFERROR(__xludf.DUMMYFUNCTION("""COMPUTED_VALUE"""),"")</f>
        <v/>
      </c>
      <c r="F4385" s="163"/>
      <c r="G4385" s="163"/>
      <c r="H4385" s="163"/>
      <c r="I4385" s="163"/>
      <c r="J4385" s="165"/>
      <c r="K4385" s="165"/>
      <c r="L4385" s="165"/>
      <c r="M4385" s="166"/>
      <c r="N4385" s="167"/>
      <c r="O4385" s="163"/>
      <c r="P4385" s="163"/>
      <c r="Q4385" s="163"/>
      <c r="R4385" s="163"/>
      <c r="S4385" s="161"/>
      <c r="T4385" s="161"/>
      <c r="U4385" s="161"/>
      <c r="V4385" s="161"/>
      <c r="W4385" s="161"/>
      <c r="X4385" s="161"/>
      <c r="Y4385" s="161"/>
      <c r="Z4385" s="168"/>
      <c r="AA4385" s="168"/>
      <c r="AB4385" s="168"/>
      <c r="AC4385" s="168"/>
    </row>
    <row r="4386">
      <c r="A4386" s="161"/>
      <c r="B4386" s="161"/>
      <c r="C4386" s="162"/>
      <c r="D4386" s="163"/>
      <c r="E4386" s="164" t="str">
        <f>IFERROR(__xludf.DUMMYFUNCTION("""COMPUTED_VALUE"""),"")</f>
        <v/>
      </c>
      <c r="F4386" s="163"/>
      <c r="G4386" s="163"/>
      <c r="H4386" s="163"/>
      <c r="I4386" s="163"/>
      <c r="J4386" s="165"/>
      <c r="K4386" s="165"/>
      <c r="L4386" s="165"/>
      <c r="M4386" s="166"/>
      <c r="N4386" s="167"/>
      <c r="O4386" s="163"/>
      <c r="P4386" s="163"/>
      <c r="Q4386" s="163"/>
      <c r="R4386" s="163"/>
      <c r="S4386" s="161"/>
      <c r="T4386" s="161"/>
      <c r="U4386" s="161"/>
      <c r="V4386" s="161"/>
      <c r="W4386" s="161"/>
      <c r="X4386" s="161"/>
      <c r="Y4386" s="161"/>
      <c r="Z4386" s="168"/>
      <c r="AA4386" s="168"/>
      <c r="AB4386" s="168"/>
      <c r="AC4386" s="168"/>
    </row>
    <row r="4387">
      <c r="A4387" s="161"/>
      <c r="B4387" s="161"/>
      <c r="C4387" s="162"/>
      <c r="D4387" s="163"/>
      <c r="E4387" s="164" t="str">
        <f>IFERROR(__xludf.DUMMYFUNCTION("""COMPUTED_VALUE"""),"")</f>
        <v/>
      </c>
      <c r="F4387" s="163"/>
      <c r="G4387" s="163"/>
      <c r="H4387" s="163"/>
      <c r="I4387" s="163"/>
      <c r="J4387" s="165"/>
      <c r="K4387" s="165"/>
      <c r="L4387" s="165"/>
      <c r="M4387" s="166"/>
      <c r="N4387" s="167"/>
      <c r="O4387" s="163"/>
      <c r="P4387" s="163"/>
      <c r="Q4387" s="163"/>
      <c r="R4387" s="163"/>
      <c r="S4387" s="161"/>
      <c r="T4387" s="161"/>
      <c r="U4387" s="161"/>
      <c r="V4387" s="161"/>
      <c r="W4387" s="161"/>
      <c r="X4387" s="161"/>
      <c r="Y4387" s="161"/>
      <c r="Z4387" s="168"/>
      <c r="AA4387" s="168"/>
      <c r="AB4387" s="168"/>
      <c r="AC4387" s="168"/>
    </row>
    <row r="4388">
      <c r="A4388" s="161"/>
      <c r="B4388" s="161"/>
      <c r="C4388" s="162"/>
      <c r="D4388" s="163"/>
      <c r="E4388" s="164" t="str">
        <f>IFERROR(__xludf.DUMMYFUNCTION("""COMPUTED_VALUE"""),"")</f>
        <v/>
      </c>
      <c r="F4388" s="163"/>
      <c r="G4388" s="163"/>
      <c r="H4388" s="163"/>
      <c r="I4388" s="163"/>
      <c r="J4388" s="165"/>
      <c r="K4388" s="165"/>
      <c r="L4388" s="165"/>
      <c r="M4388" s="166"/>
      <c r="N4388" s="167"/>
      <c r="O4388" s="163"/>
      <c r="P4388" s="163"/>
      <c r="Q4388" s="163"/>
      <c r="R4388" s="163"/>
      <c r="S4388" s="161"/>
      <c r="T4388" s="161"/>
      <c r="U4388" s="161"/>
      <c r="V4388" s="161"/>
      <c r="W4388" s="161"/>
      <c r="X4388" s="161"/>
      <c r="Y4388" s="161"/>
      <c r="Z4388" s="168"/>
      <c r="AA4388" s="168"/>
      <c r="AB4388" s="168"/>
      <c r="AC4388" s="168"/>
    </row>
    <row r="4389">
      <c r="A4389" s="161"/>
      <c r="B4389" s="161"/>
      <c r="C4389" s="162"/>
      <c r="D4389" s="163"/>
      <c r="E4389" s="164" t="str">
        <f>IFERROR(__xludf.DUMMYFUNCTION("""COMPUTED_VALUE"""),"")</f>
        <v/>
      </c>
      <c r="F4389" s="163"/>
      <c r="G4389" s="163"/>
      <c r="H4389" s="163"/>
      <c r="I4389" s="163"/>
      <c r="J4389" s="165"/>
      <c r="K4389" s="165"/>
      <c r="L4389" s="165"/>
      <c r="M4389" s="166"/>
      <c r="N4389" s="167"/>
      <c r="O4389" s="163"/>
      <c r="P4389" s="163"/>
      <c r="Q4389" s="163"/>
      <c r="R4389" s="163"/>
      <c r="S4389" s="161"/>
      <c r="T4389" s="161"/>
      <c r="U4389" s="161"/>
      <c r="V4389" s="161"/>
      <c r="W4389" s="161"/>
      <c r="X4389" s="161"/>
      <c r="Y4389" s="161"/>
      <c r="Z4389" s="168"/>
      <c r="AA4389" s="168"/>
      <c r="AB4389" s="168"/>
      <c r="AC4389" s="168"/>
    </row>
    <row r="4390">
      <c r="A4390" s="161"/>
      <c r="B4390" s="161"/>
      <c r="C4390" s="162"/>
      <c r="D4390" s="163"/>
      <c r="E4390" s="164" t="str">
        <f>IFERROR(__xludf.DUMMYFUNCTION("""COMPUTED_VALUE"""),"")</f>
        <v/>
      </c>
      <c r="F4390" s="163"/>
      <c r="G4390" s="163"/>
      <c r="H4390" s="163"/>
      <c r="I4390" s="163"/>
      <c r="J4390" s="165"/>
      <c r="K4390" s="165"/>
      <c r="L4390" s="165"/>
      <c r="M4390" s="166"/>
      <c r="N4390" s="167"/>
      <c r="O4390" s="163"/>
      <c r="P4390" s="163"/>
      <c r="Q4390" s="163"/>
      <c r="R4390" s="163"/>
      <c r="S4390" s="161"/>
      <c r="T4390" s="161"/>
      <c r="U4390" s="161"/>
      <c r="V4390" s="161"/>
      <c r="W4390" s="161"/>
      <c r="X4390" s="161"/>
      <c r="Y4390" s="161"/>
      <c r="Z4390" s="168"/>
      <c r="AA4390" s="168"/>
      <c r="AB4390" s="168"/>
      <c r="AC4390" s="168"/>
    </row>
    <row r="4391">
      <c r="A4391" s="161"/>
      <c r="B4391" s="161"/>
      <c r="C4391" s="162"/>
      <c r="D4391" s="163"/>
      <c r="E4391" s="164" t="str">
        <f>IFERROR(__xludf.DUMMYFUNCTION("""COMPUTED_VALUE"""),"")</f>
        <v/>
      </c>
      <c r="F4391" s="163"/>
      <c r="G4391" s="163"/>
      <c r="H4391" s="163"/>
      <c r="I4391" s="163"/>
      <c r="J4391" s="165"/>
      <c r="K4391" s="165"/>
      <c r="L4391" s="165"/>
      <c r="M4391" s="166"/>
      <c r="N4391" s="167"/>
      <c r="O4391" s="163"/>
      <c r="P4391" s="163"/>
      <c r="Q4391" s="163"/>
      <c r="R4391" s="163"/>
      <c r="S4391" s="161"/>
      <c r="T4391" s="161"/>
      <c r="U4391" s="161"/>
      <c r="V4391" s="161"/>
      <c r="W4391" s="161"/>
      <c r="X4391" s="161"/>
      <c r="Y4391" s="161"/>
      <c r="Z4391" s="168"/>
      <c r="AA4391" s="168"/>
      <c r="AB4391" s="168"/>
      <c r="AC4391" s="168"/>
    </row>
    <row r="4392">
      <c r="A4392" s="161"/>
      <c r="B4392" s="161"/>
      <c r="C4392" s="162"/>
      <c r="D4392" s="163"/>
      <c r="E4392" s="164" t="str">
        <f>IFERROR(__xludf.DUMMYFUNCTION("""COMPUTED_VALUE"""),"")</f>
        <v/>
      </c>
      <c r="F4392" s="163"/>
      <c r="G4392" s="163"/>
      <c r="H4392" s="163"/>
      <c r="I4392" s="163"/>
      <c r="J4392" s="165"/>
      <c r="K4392" s="165"/>
      <c r="L4392" s="165"/>
      <c r="M4392" s="166"/>
      <c r="N4392" s="167"/>
      <c r="O4392" s="163"/>
      <c r="P4392" s="163"/>
      <c r="Q4392" s="163"/>
      <c r="R4392" s="163"/>
      <c r="S4392" s="161"/>
      <c r="T4392" s="161"/>
      <c r="U4392" s="161"/>
      <c r="V4392" s="161"/>
      <c r="W4392" s="161"/>
      <c r="X4392" s="161"/>
      <c r="Y4392" s="161"/>
      <c r="Z4392" s="168"/>
      <c r="AA4392" s="168"/>
      <c r="AB4392" s="168"/>
      <c r="AC4392" s="168"/>
    </row>
    <row r="4393">
      <c r="A4393" s="161"/>
      <c r="B4393" s="161"/>
      <c r="C4393" s="162"/>
      <c r="D4393" s="163"/>
      <c r="E4393" s="164" t="str">
        <f>IFERROR(__xludf.DUMMYFUNCTION("""COMPUTED_VALUE"""),"")</f>
        <v/>
      </c>
      <c r="F4393" s="163"/>
      <c r="G4393" s="163"/>
      <c r="H4393" s="163"/>
      <c r="I4393" s="163"/>
      <c r="J4393" s="165"/>
      <c r="K4393" s="165"/>
      <c r="L4393" s="165"/>
      <c r="M4393" s="166"/>
      <c r="N4393" s="167"/>
      <c r="O4393" s="163"/>
      <c r="P4393" s="163"/>
      <c r="Q4393" s="163"/>
      <c r="R4393" s="163"/>
      <c r="S4393" s="161"/>
      <c r="T4393" s="161"/>
      <c r="U4393" s="161"/>
      <c r="V4393" s="161"/>
      <c r="W4393" s="161"/>
      <c r="X4393" s="161"/>
      <c r="Y4393" s="161"/>
      <c r="Z4393" s="168"/>
      <c r="AA4393" s="168"/>
      <c r="AB4393" s="168"/>
      <c r="AC4393" s="168"/>
    </row>
    <row r="4394">
      <c r="A4394" s="161"/>
      <c r="B4394" s="161"/>
      <c r="C4394" s="162"/>
      <c r="D4394" s="163"/>
      <c r="E4394" s="164" t="str">
        <f>IFERROR(__xludf.DUMMYFUNCTION("""COMPUTED_VALUE"""),"")</f>
        <v/>
      </c>
      <c r="F4394" s="163"/>
      <c r="G4394" s="163"/>
      <c r="H4394" s="163"/>
      <c r="I4394" s="163"/>
      <c r="J4394" s="165"/>
      <c r="K4394" s="165"/>
      <c r="L4394" s="165"/>
      <c r="M4394" s="166"/>
      <c r="N4394" s="167"/>
      <c r="O4394" s="163"/>
      <c r="P4394" s="163"/>
      <c r="Q4394" s="163"/>
      <c r="R4394" s="163"/>
      <c r="S4394" s="161"/>
      <c r="T4394" s="161"/>
      <c r="U4394" s="161"/>
      <c r="V4394" s="161"/>
      <c r="W4394" s="161"/>
      <c r="X4394" s="161"/>
      <c r="Y4394" s="161"/>
      <c r="Z4394" s="168"/>
      <c r="AA4394" s="168"/>
      <c r="AB4394" s="168"/>
      <c r="AC4394" s="168"/>
    </row>
    <row r="4395">
      <c r="A4395" s="161"/>
      <c r="B4395" s="161"/>
      <c r="C4395" s="162"/>
      <c r="D4395" s="163"/>
      <c r="E4395" s="164" t="str">
        <f>IFERROR(__xludf.DUMMYFUNCTION("""COMPUTED_VALUE"""),"")</f>
        <v/>
      </c>
      <c r="F4395" s="163"/>
      <c r="G4395" s="163"/>
      <c r="H4395" s="163"/>
      <c r="I4395" s="163"/>
      <c r="J4395" s="165"/>
      <c r="K4395" s="165"/>
      <c r="L4395" s="165"/>
      <c r="M4395" s="166"/>
      <c r="N4395" s="167"/>
      <c r="O4395" s="163"/>
      <c r="P4395" s="163"/>
      <c r="Q4395" s="163"/>
      <c r="R4395" s="163"/>
      <c r="S4395" s="161"/>
      <c r="T4395" s="161"/>
      <c r="U4395" s="161"/>
      <c r="V4395" s="161"/>
      <c r="W4395" s="161"/>
      <c r="X4395" s="161"/>
      <c r="Y4395" s="161"/>
      <c r="Z4395" s="168"/>
      <c r="AA4395" s="168"/>
      <c r="AB4395" s="168"/>
      <c r="AC4395" s="168"/>
    </row>
    <row r="4396">
      <c r="A4396" s="161"/>
      <c r="B4396" s="161"/>
      <c r="C4396" s="162"/>
      <c r="D4396" s="163"/>
      <c r="E4396" s="164" t="str">
        <f>IFERROR(__xludf.DUMMYFUNCTION("""COMPUTED_VALUE"""),"")</f>
        <v/>
      </c>
      <c r="F4396" s="163"/>
      <c r="G4396" s="163"/>
      <c r="H4396" s="163"/>
      <c r="I4396" s="163"/>
      <c r="J4396" s="165"/>
      <c r="K4396" s="165"/>
      <c r="L4396" s="165"/>
      <c r="M4396" s="166"/>
      <c r="N4396" s="167"/>
      <c r="O4396" s="163"/>
      <c r="P4396" s="163"/>
      <c r="Q4396" s="163"/>
      <c r="R4396" s="163"/>
      <c r="S4396" s="161"/>
      <c r="T4396" s="161"/>
      <c r="U4396" s="161"/>
      <c r="V4396" s="161"/>
      <c r="W4396" s="161"/>
      <c r="X4396" s="161"/>
      <c r="Y4396" s="161"/>
      <c r="Z4396" s="168"/>
      <c r="AA4396" s="168"/>
      <c r="AB4396" s="168"/>
      <c r="AC4396" s="168"/>
    </row>
    <row r="4397">
      <c r="A4397" s="161"/>
      <c r="B4397" s="161"/>
      <c r="C4397" s="162"/>
      <c r="D4397" s="163"/>
      <c r="E4397" s="164" t="str">
        <f>IFERROR(__xludf.DUMMYFUNCTION("""COMPUTED_VALUE"""),"")</f>
        <v/>
      </c>
      <c r="F4397" s="163"/>
      <c r="G4397" s="163"/>
      <c r="H4397" s="163"/>
      <c r="I4397" s="163"/>
      <c r="J4397" s="165"/>
      <c r="K4397" s="165"/>
      <c r="L4397" s="165"/>
      <c r="M4397" s="166"/>
      <c r="N4397" s="167"/>
      <c r="O4397" s="163"/>
      <c r="P4397" s="163"/>
      <c r="Q4397" s="163"/>
      <c r="R4397" s="163"/>
      <c r="S4397" s="161"/>
      <c r="T4397" s="161"/>
      <c r="U4397" s="161"/>
      <c r="V4397" s="161"/>
      <c r="W4397" s="161"/>
      <c r="X4397" s="161"/>
      <c r="Y4397" s="161"/>
      <c r="Z4397" s="168"/>
      <c r="AA4397" s="168"/>
      <c r="AB4397" s="168"/>
      <c r="AC4397" s="168"/>
    </row>
    <row r="4398">
      <c r="A4398" s="161"/>
      <c r="B4398" s="161"/>
      <c r="C4398" s="162"/>
      <c r="D4398" s="163"/>
      <c r="E4398" s="164" t="str">
        <f>IFERROR(__xludf.DUMMYFUNCTION("""COMPUTED_VALUE"""),"")</f>
        <v/>
      </c>
      <c r="F4398" s="163"/>
      <c r="G4398" s="163"/>
      <c r="H4398" s="163"/>
      <c r="I4398" s="163"/>
      <c r="J4398" s="165"/>
      <c r="K4398" s="165"/>
      <c r="L4398" s="165"/>
      <c r="M4398" s="166"/>
      <c r="N4398" s="167"/>
      <c r="O4398" s="163"/>
      <c r="P4398" s="163"/>
      <c r="Q4398" s="163"/>
      <c r="R4398" s="163"/>
      <c r="S4398" s="161"/>
      <c r="T4398" s="161"/>
      <c r="U4398" s="161"/>
      <c r="V4398" s="161"/>
      <c r="W4398" s="161"/>
      <c r="X4398" s="161"/>
      <c r="Y4398" s="161"/>
      <c r="Z4398" s="168"/>
      <c r="AA4398" s="168"/>
      <c r="AB4398" s="168"/>
      <c r="AC4398" s="168"/>
    </row>
    <row r="4399">
      <c r="A4399" s="161"/>
      <c r="B4399" s="161"/>
      <c r="C4399" s="162"/>
      <c r="D4399" s="163"/>
      <c r="E4399" s="164" t="str">
        <f>IFERROR(__xludf.DUMMYFUNCTION("""COMPUTED_VALUE"""),"")</f>
        <v/>
      </c>
      <c r="F4399" s="163"/>
      <c r="G4399" s="163"/>
      <c r="H4399" s="163"/>
      <c r="I4399" s="163"/>
      <c r="J4399" s="165"/>
      <c r="K4399" s="165"/>
      <c r="L4399" s="165"/>
      <c r="M4399" s="166"/>
      <c r="N4399" s="167"/>
      <c r="O4399" s="163"/>
      <c r="P4399" s="163"/>
      <c r="Q4399" s="163"/>
      <c r="R4399" s="163"/>
      <c r="S4399" s="161"/>
      <c r="T4399" s="161"/>
      <c r="U4399" s="161"/>
      <c r="V4399" s="161"/>
      <c r="W4399" s="161"/>
      <c r="X4399" s="161"/>
      <c r="Y4399" s="161"/>
      <c r="Z4399" s="168"/>
      <c r="AA4399" s="168"/>
      <c r="AB4399" s="168"/>
      <c r="AC4399" s="168"/>
    </row>
    <row r="4400">
      <c r="A4400" s="161"/>
      <c r="B4400" s="161"/>
      <c r="C4400" s="162"/>
      <c r="D4400" s="163"/>
      <c r="E4400" s="164" t="str">
        <f>IFERROR(__xludf.DUMMYFUNCTION("""COMPUTED_VALUE"""),"")</f>
        <v/>
      </c>
      <c r="F4400" s="163"/>
      <c r="G4400" s="163"/>
      <c r="H4400" s="163"/>
      <c r="I4400" s="163"/>
      <c r="J4400" s="165"/>
      <c r="K4400" s="165"/>
      <c r="L4400" s="165"/>
      <c r="M4400" s="166"/>
      <c r="N4400" s="167"/>
      <c r="O4400" s="163"/>
      <c r="P4400" s="163"/>
      <c r="Q4400" s="163"/>
      <c r="R4400" s="163"/>
      <c r="S4400" s="161"/>
      <c r="T4400" s="161"/>
      <c r="U4400" s="161"/>
      <c r="V4400" s="161"/>
      <c r="W4400" s="161"/>
      <c r="X4400" s="161"/>
      <c r="Y4400" s="161"/>
      <c r="Z4400" s="168"/>
      <c r="AA4400" s="168"/>
      <c r="AB4400" s="168"/>
      <c r="AC4400" s="168"/>
    </row>
    <row r="4401">
      <c r="A4401" s="161"/>
      <c r="B4401" s="161"/>
      <c r="C4401" s="162"/>
      <c r="D4401" s="163"/>
      <c r="E4401" s="164" t="str">
        <f>IFERROR(__xludf.DUMMYFUNCTION("""COMPUTED_VALUE"""),"")</f>
        <v/>
      </c>
      <c r="F4401" s="163"/>
      <c r="G4401" s="163"/>
      <c r="H4401" s="163"/>
      <c r="I4401" s="163"/>
      <c r="J4401" s="165"/>
      <c r="K4401" s="165"/>
      <c r="L4401" s="165"/>
      <c r="M4401" s="166"/>
      <c r="N4401" s="167"/>
      <c r="O4401" s="163"/>
      <c r="P4401" s="163"/>
      <c r="Q4401" s="163"/>
      <c r="R4401" s="163"/>
      <c r="S4401" s="161"/>
      <c r="T4401" s="161"/>
      <c r="U4401" s="161"/>
      <c r="V4401" s="161"/>
      <c r="W4401" s="161"/>
      <c r="X4401" s="161"/>
      <c r="Y4401" s="161"/>
      <c r="Z4401" s="168"/>
      <c r="AA4401" s="168"/>
      <c r="AB4401" s="168"/>
      <c r="AC4401" s="168"/>
    </row>
    <row r="4402">
      <c r="A4402" s="161"/>
      <c r="B4402" s="161"/>
      <c r="C4402" s="162"/>
      <c r="D4402" s="163"/>
      <c r="E4402" s="164" t="str">
        <f>IFERROR(__xludf.DUMMYFUNCTION("""COMPUTED_VALUE"""),"")</f>
        <v/>
      </c>
      <c r="F4402" s="163"/>
      <c r="G4402" s="163"/>
      <c r="H4402" s="163"/>
      <c r="I4402" s="163"/>
      <c r="J4402" s="165"/>
      <c r="K4402" s="165"/>
      <c r="L4402" s="165"/>
      <c r="M4402" s="166"/>
      <c r="N4402" s="167"/>
      <c r="O4402" s="163"/>
      <c r="P4402" s="163"/>
      <c r="Q4402" s="163"/>
      <c r="R4402" s="163"/>
      <c r="S4402" s="161"/>
      <c r="T4402" s="161"/>
      <c r="U4402" s="161"/>
      <c r="V4402" s="161"/>
      <c r="W4402" s="161"/>
      <c r="X4402" s="161"/>
      <c r="Y4402" s="161"/>
      <c r="Z4402" s="168"/>
      <c r="AA4402" s="168"/>
      <c r="AB4402" s="168"/>
      <c r="AC4402" s="168"/>
    </row>
    <row r="4403">
      <c r="A4403" s="161"/>
      <c r="B4403" s="161"/>
      <c r="C4403" s="162"/>
      <c r="D4403" s="163"/>
      <c r="E4403" s="164" t="str">
        <f>IFERROR(__xludf.DUMMYFUNCTION("""COMPUTED_VALUE"""),"")</f>
        <v/>
      </c>
      <c r="F4403" s="163"/>
      <c r="G4403" s="163"/>
      <c r="H4403" s="163"/>
      <c r="I4403" s="163"/>
      <c r="J4403" s="165"/>
      <c r="K4403" s="165"/>
      <c r="L4403" s="165"/>
      <c r="M4403" s="166"/>
      <c r="N4403" s="167"/>
      <c r="O4403" s="163"/>
      <c r="P4403" s="163"/>
      <c r="Q4403" s="163"/>
      <c r="R4403" s="163"/>
      <c r="S4403" s="161"/>
      <c r="T4403" s="161"/>
      <c r="U4403" s="161"/>
      <c r="V4403" s="161"/>
      <c r="W4403" s="161"/>
      <c r="X4403" s="161"/>
      <c r="Y4403" s="161"/>
      <c r="Z4403" s="168"/>
      <c r="AA4403" s="168"/>
      <c r="AB4403" s="168"/>
      <c r="AC4403" s="168"/>
    </row>
    <row r="4404">
      <c r="A4404" s="161"/>
      <c r="B4404" s="161"/>
      <c r="C4404" s="162"/>
      <c r="D4404" s="163"/>
      <c r="E4404" s="164" t="str">
        <f>IFERROR(__xludf.DUMMYFUNCTION("""COMPUTED_VALUE"""),"")</f>
        <v/>
      </c>
      <c r="F4404" s="163"/>
      <c r="G4404" s="163"/>
      <c r="H4404" s="163"/>
      <c r="I4404" s="163"/>
      <c r="J4404" s="165"/>
      <c r="K4404" s="165"/>
      <c r="L4404" s="165"/>
      <c r="M4404" s="166"/>
      <c r="N4404" s="167"/>
      <c r="O4404" s="163"/>
      <c r="P4404" s="163"/>
      <c r="Q4404" s="163"/>
      <c r="R4404" s="163"/>
      <c r="S4404" s="161"/>
      <c r="T4404" s="161"/>
      <c r="U4404" s="161"/>
      <c r="V4404" s="161"/>
      <c r="W4404" s="161"/>
      <c r="X4404" s="161"/>
      <c r="Y4404" s="161"/>
      <c r="Z4404" s="168"/>
      <c r="AA4404" s="168"/>
      <c r="AB4404" s="168"/>
      <c r="AC4404" s="168"/>
    </row>
    <row r="4405">
      <c r="A4405" s="161"/>
      <c r="B4405" s="161"/>
      <c r="C4405" s="162"/>
      <c r="D4405" s="163"/>
      <c r="E4405" s="164" t="str">
        <f>IFERROR(__xludf.DUMMYFUNCTION("""COMPUTED_VALUE"""),"")</f>
        <v/>
      </c>
      <c r="F4405" s="163"/>
      <c r="G4405" s="163"/>
      <c r="H4405" s="163"/>
      <c r="I4405" s="163"/>
      <c r="J4405" s="165"/>
      <c r="K4405" s="165"/>
      <c r="L4405" s="165"/>
      <c r="M4405" s="166"/>
      <c r="N4405" s="167"/>
      <c r="O4405" s="163"/>
      <c r="P4405" s="163"/>
      <c r="Q4405" s="163"/>
      <c r="R4405" s="163"/>
      <c r="S4405" s="161"/>
      <c r="T4405" s="161"/>
      <c r="U4405" s="161"/>
      <c r="V4405" s="161"/>
      <c r="W4405" s="161"/>
      <c r="X4405" s="161"/>
      <c r="Y4405" s="161"/>
      <c r="Z4405" s="168"/>
      <c r="AA4405" s="168"/>
      <c r="AB4405" s="168"/>
      <c r="AC4405" s="168"/>
    </row>
    <row r="4406">
      <c r="A4406" s="161"/>
      <c r="B4406" s="161"/>
      <c r="C4406" s="162"/>
      <c r="D4406" s="163"/>
      <c r="E4406" s="164" t="str">
        <f>IFERROR(__xludf.DUMMYFUNCTION("""COMPUTED_VALUE"""),"")</f>
        <v/>
      </c>
      <c r="F4406" s="163"/>
      <c r="G4406" s="163"/>
      <c r="H4406" s="163"/>
      <c r="I4406" s="163"/>
      <c r="J4406" s="165"/>
      <c r="K4406" s="165"/>
      <c r="L4406" s="165"/>
      <c r="M4406" s="166"/>
      <c r="N4406" s="167"/>
      <c r="O4406" s="163"/>
      <c r="P4406" s="163"/>
      <c r="Q4406" s="163"/>
      <c r="R4406" s="163"/>
      <c r="S4406" s="161"/>
      <c r="T4406" s="161"/>
      <c r="U4406" s="161"/>
      <c r="V4406" s="161"/>
      <c r="W4406" s="161"/>
      <c r="X4406" s="161"/>
      <c r="Y4406" s="161"/>
      <c r="Z4406" s="168"/>
      <c r="AA4406" s="168"/>
      <c r="AB4406" s="168"/>
      <c r="AC4406" s="168"/>
    </row>
    <row r="4407">
      <c r="A4407" s="161"/>
      <c r="B4407" s="161"/>
      <c r="C4407" s="162"/>
      <c r="D4407" s="163"/>
      <c r="E4407" s="164" t="str">
        <f>IFERROR(__xludf.DUMMYFUNCTION("""COMPUTED_VALUE"""),"")</f>
        <v/>
      </c>
      <c r="F4407" s="163"/>
      <c r="G4407" s="163"/>
      <c r="H4407" s="163"/>
      <c r="I4407" s="163"/>
      <c r="J4407" s="165"/>
      <c r="K4407" s="165"/>
      <c r="L4407" s="165"/>
      <c r="M4407" s="166"/>
      <c r="N4407" s="167"/>
      <c r="O4407" s="163"/>
      <c r="P4407" s="163"/>
      <c r="Q4407" s="163"/>
      <c r="R4407" s="163"/>
      <c r="S4407" s="161"/>
      <c r="T4407" s="161"/>
      <c r="U4407" s="161"/>
      <c r="V4407" s="161"/>
      <c r="W4407" s="161"/>
      <c r="X4407" s="161"/>
      <c r="Y4407" s="161"/>
      <c r="Z4407" s="168"/>
      <c r="AA4407" s="168"/>
      <c r="AB4407" s="168"/>
      <c r="AC4407" s="168"/>
    </row>
    <row r="4408">
      <c r="A4408" s="161"/>
      <c r="B4408" s="161"/>
      <c r="C4408" s="162"/>
      <c r="D4408" s="163"/>
      <c r="E4408" s="164" t="str">
        <f>IFERROR(__xludf.DUMMYFUNCTION("""COMPUTED_VALUE"""),"")</f>
        <v/>
      </c>
      <c r="F4408" s="163"/>
      <c r="G4408" s="163"/>
      <c r="H4408" s="163"/>
      <c r="I4408" s="163"/>
      <c r="J4408" s="165"/>
      <c r="K4408" s="165"/>
      <c r="L4408" s="165"/>
      <c r="M4408" s="166"/>
      <c r="N4408" s="167"/>
      <c r="O4408" s="163"/>
      <c r="P4408" s="163"/>
      <c r="Q4408" s="163"/>
      <c r="R4408" s="163"/>
      <c r="S4408" s="161"/>
      <c r="T4408" s="161"/>
      <c r="U4408" s="161"/>
      <c r="V4408" s="161"/>
      <c r="W4408" s="161"/>
      <c r="X4408" s="161"/>
      <c r="Y4408" s="161"/>
      <c r="Z4408" s="168"/>
      <c r="AA4408" s="168"/>
      <c r="AB4408" s="168"/>
      <c r="AC4408" s="168"/>
    </row>
    <row r="4409">
      <c r="A4409" s="161"/>
      <c r="B4409" s="161"/>
      <c r="C4409" s="162"/>
      <c r="D4409" s="163"/>
      <c r="E4409" s="164" t="str">
        <f>IFERROR(__xludf.DUMMYFUNCTION("""COMPUTED_VALUE"""),"")</f>
        <v/>
      </c>
      <c r="F4409" s="163"/>
      <c r="G4409" s="163"/>
      <c r="H4409" s="163"/>
      <c r="I4409" s="163"/>
      <c r="J4409" s="165"/>
      <c r="K4409" s="165"/>
      <c r="L4409" s="165"/>
      <c r="M4409" s="166"/>
      <c r="N4409" s="167"/>
      <c r="O4409" s="163"/>
      <c r="P4409" s="163"/>
      <c r="Q4409" s="163"/>
      <c r="R4409" s="163"/>
      <c r="S4409" s="161"/>
      <c r="T4409" s="161"/>
      <c r="U4409" s="161"/>
      <c r="V4409" s="161"/>
      <c r="W4409" s="161"/>
      <c r="X4409" s="161"/>
      <c r="Y4409" s="161"/>
      <c r="Z4409" s="168"/>
      <c r="AA4409" s="168"/>
      <c r="AB4409" s="168"/>
      <c r="AC4409" s="168"/>
    </row>
    <row r="4410">
      <c r="A4410" s="161"/>
      <c r="B4410" s="161"/>
      <c r="C4410" s="162"/>
      <c r="D4410" s="163"/>
      <c r="E4410" s="164" t="str">
        <f>IFERROR(__xludf.DUMMYFUNCTION("""COMPUTED_VALUE"""),"")</f>
        <v/>
      </c>
      <c r="F4410" s="163"/>
      <c r="G4410" s="163"/>
      <c r="H4410" s="163"/>
      <c r="I4410" s="163"/>
      <c r="J4410" s="165"/>
      <c r="K4410" s="165"/>
      <c r="L4410" s="165"/>
      <c r="M4410" s="166"/>
      <c r="N4410" s="167"/>
      <c r="O4410" s="163"/>
      <c r="P4410" s="163"/>
      <c r="Q4410" s="163"/>
      <c r="R4410" s="163"/>
      <c r="S4410" s="161"/>
      <c r="T4410" s="161"/>
      <c r="U4410" s="161"/>
      <c r="V4410" s="161"/>
      <c r="W4410" s="161"/>
      <c r="X4410" s="161"/>
      <c r="Y4410" s="161"/>
      <c r="Z4410" s="168"/>
      <c r="AA4410" s="168"/>
      <c r="AB4410" s="168"/>
      <c r="AC4410" s="168"/>
    </row>
    <row r="4411">
      <c r="A4411" s="161"/>
      <c r="B4411" s="161"/>
      <c r="C4411" s="162"/>
      <c r="D4411" s="163"/>
      <c r="E4411" s="164" t="str">
        <f>IFERROR(__xludf.DUMMYFUNCTION("""COMPUTED_VALUE"""),"")</f>
        <v/>
      </c>
      <c r="F4411" s="163"/>
      <c r="G4411" s="163"/>
      <c r="H4411" s="163"/>
      <c r="I4411" s="163"/>
      <c r="J4411" s="165"/>
      <c r="K4411" s="165"/>
      <c r="L4411" s="165"/>
      <c r="M4411" s="166"/>
      <c r="N4411" s="167"/>
      <c r="O4411" s="163"/>
      <c r="P4411" s="163"/>
      <c r="Q4411" s="163"/>
      <c r="R4411" s="163"/>
      <c r="S4411" s="161"/>
      <c r="T4411" s="161"/>
      <c r="U4411" s="161"/>
      <c r="V4411" s="161"/>
      <c r="W4411" s="161"/>
      <c r="X4411" s="161"/>
      <c r="Y4411" s="161"/>
      <c r="Z4411" s="168"/>
      <c r="AA4411" s="168"/>
      <c r="AB4411" s="168"/>
      <c r="AC4411" s="168"/>
    </row>
    <row r="4412">
      <c r="A4412" s="161"/>
      <c r="B4412" s="161"/>
      <c r="C4412" s="162"/>
      <c r="D4412" s="163"/>
      <c r="E4412" s="164" t="str">
        <f>IFERROR(__xludf.DUMMYFUNCTION("""COMPUTED_VALUE"""),"")</f>
        <v/>
      </c>
      <c r="F4412" s="163"/>
      <c r="G4412" s="163"/>
      <c r="H4412" s="163"/>
      <c r="I4412" s="163"/>
      <c r="J4412" s="165"/>
      <c r="K4412" s="165"/>
      <c r="L4412" s="165"/>
      <c r="M4412" s="166"/>
      <c r="N4412" s="167"/>
      <c r="O4412" s="163"/>
      <c r="P4412" s="163"/>
      <c r="Q4412" s="163"/>
      <c r="R4412" s="163"/>
      <c r="S4412" s="161"/>
      <c r="T4412" s="161"/>
      <c r="U4412" s="161"/>
      <c r="V4412" s="161"/>
      <c r="W4412" s="161"/>
      <c r="X4412" s="161"/>
      <c r="Y4412" s="161"/>
      <c r="Z4412" s="168"/>
      <c r="AA4412" s="168"/>
      <c r="AB4412" s="168"/>
      <c r="AC4412" s="168"/>
    </row>
    <row r="4413">
      <c r="A4413" s="161"/>
      <c r="B4413" s="161"/>
      <c r="C4413" s="162"/>
      <c r="D4413" s="163"/>
      <c r="E4413" s="164" t="str">
        <f>IFERROR(__xludf.DUMMYFUNCTION("""COMPUTED_VALUE"""),"")</f>
        <v/>
      </c>
      <c r="F4413" s="163"/>
      <c r="G4413" s="163"/>
      <c r="H4413" s="163"/>
      <c r="I4413" s="163"/>
      <c r="J4413" s="165"/>
      <c r="K4413" s="165"/>
      <c r="L4413" s="165"/>
      <c r="M4413" s="166"/>
      <c r="N4413" s="167"/>
      <c r="O4413" s="163"/>
      <c r="P4413" s="163"/>
      <c r="Q4413" s="163"/>
      <c r="R4413" s="163"/>
      <c r="S4413" s="161"/>
      <c r="T4413" s="161"/>
      <c r="U4413" s="161"/>
      <c r="V4413" s="161"/>
      <c r="W4413" s="161"/>
      <c r="X4413" s="161"/>
      <c r="Y4413" s="161"/>
      <c r="Z4413" s="168"/>
      <c r="AA4413" s="168"/>
      <c r="AB4413" s="168"/>
      <c r="AC4413" s="168"/>
    </row>
    <row r="4414">
      <c r="A4414" s="161"/>
      <c r="B4414" s="161"/>
      <c r="C4414" s="162"/>
      <c r="D4414" s="163"/>
      <c r="E4414" s="164" t="str">
        <f>IFERROR(__xludf.DUMMYFUNCTION("""COMPUTED_VALUE"""),"")</f>
        <v/>
      </c>
      <c r="F4414" s="163"/>
      <c r="G4414" s="163"/>
      <c r="H4414" s="163"/>
      <c r="I4414" s="163"/>
      <c r="J4414" s="165"/>
      <c r="K4414" s="165"/>
      <c r="L4414" s="165"/>
      <c r="M4414" s="166"/>
      <c r="N4414" s="167"/>
      <c r="O4414" s="163"/>
      <c r="P4414" s="163"/>
      <c r="Q4414" s="163"/>
      <c r="R4414" s="163"/>
      <c r="S4414" s="161"/>
      <c r="T4414" s="161"/>
      <c r="U4414" s="161"/>
      <c r="V4414" s="161"/>
      <c r="W4414" s="161"/>
      <c r="X4414" s="161"/>
      <c r="Y4414" s="161"/>
      <c r="Z4414" s="168"/>
      <c r="AA4414" s="168"/>
      <c r="AB4414" s="168"/>
      <c r="AC4414" s="168"/>
    </row>
    <row r="4415">
      <c r="A4415" s="161"/>
      <c r="B4415" s="161"/>
      <c r="C4415" s="162"/>
      <c r="D4415" s="163"/>
      <c r="E4415" s="164" t="str">
        <f>IFERROR(__xludf.DUMMYFUNCTION("""COMPUTED_VALUE"""),"")</f>
        <v/>
      </c>
      <c r="F4415" s="163"/>
      <c r="G4415" s="163"/>
      <c r="H4415" s="163"/>
      <c r="I4415" s="163"/>
      <c r="J4415" s="165"/>
      <c r="K4415" s="165"/>
      <c r="L4415" s="165"/>
      <c r="M4415" s="166"/>
      <c r="N4415" s="167"/>
      <c r="O4415" s="163"/>
      <c r="P4415" s="163"/>
      <c r="Q4415" s="163"/>
      <c r="R4415" s="163"/>
      <c r="S4415" s="161"/>
      <c r="T4415" s="161"/>
      <c r="U4415" s="161"/>
      <c r="V4415" s="161"/>
      <c r="W4415" s="161"/>
      <c r="X4415" s="161"/>
      <c r="Y4415" s="161"/>
      <c r="Z4415" s="168"/>
      <c r="AA4415" s="168"/>
      <c r="AB4415" s="168"/>
      <c r="AC4415" s="168"/>
    </row>
    <row r="4416">
      <c r="A4416" s="161"/>
      <c r="B4416" s="161"/>
      <c r="C4416" s="162"/>
      <c r="D4416" s="163"/>
      <c r="E4416" s="164" t="str">
        <f>IFERROR(__xludf.DUMMYFUNCTION("""COMPUTED_VALUE"""),"")</f>
        <v/>
      </c>
      <c r="F4416" s="163"/>
      <c r="G4416" s="163"/>
      <c r="H4416" s="163"/>
      <c r="I4416" s="163"/>
      <c r="J4416" s="165"/>
      <c r="K4416" s="165"/>
      <c r="L4416" s="165"/>
      <c r="M4416" s="166"/>
      <c r="N4416" s="167"/>
      <c r="O4416" s="163"/>
      <c r="P4416" s="163"/>
      <c r="Q4416" s="163"/>
      <c r="R4416" s="163"/>
      <c r="S4416" s="161"/>
      <c r="T4416" s="161"/>
      <c r="U4416" s="161"/>
      <c r="V4416" s="161"/>
      <c r="W4416" s="161"/>
      <c r="X4416" s="161"/>
      <c r="Y4416" s="161"/>
      <c r="Z4416" s="168"/>
      <c r="AA4416" s="168"/>
      <c r="AB4416" s="168"/>
      <c r="AC4416" s="168"/>
    </row>
    <row r="4417">
      <c r="A4417" s="161"/>
      <c r="B4417" s="161"/>
      <c r="C4417" s="162"/>
      <c r="D4417" s="163"/>
      <c r="E4417" s="164" t="str">
        <f>IFERROR(__xludf.DUMMYFUNCTION("""COMPUTED_VALUE"""),"")</f>
        <v/>
      </c>
      <c r="F4417" s="163"/>
      <c r="G4417" s="163"/>
      <c r="H4417" s="163"/>
      <c r="I4417" s="163"/>
      <c r="J4417" s="165"/>
      <c r="K4417" s="165"/>
      <c r="L4417" s="165"/>
      <c r="M4417" s="166"/>
      <c r="N4417" s="167"/>
      <c r="O4417" s="163"/>
      <c r="P4417" s="163"/>
      <c r="Q4417" s="163"/>
      <c r="R4417" s="163"/>
      <c r="S4417" s="161"/>
      <c r="T4417" s="161"/>
      <c r="U4417" s="161"/>
      <c r="V4417" s="161"/>
      <c r="W4417" s="161"/>
      <c r="X4417" s="161"/>
      <c r="Y4417" s="161"/>
      <c r="Z4417" s="168"/>
      <c r="AA4417" s="168"/>
      <c r="AB4417" s="168"/>
      <c r="AC4417" s="168"/>
    </row>
    <row r="4418">
      <c r="A4418" s="161"/>
      <c r="B4418" s="161"/>
      <c r="C4418" s="162"/>
      <c r="D4418" s="163"/>
      <c r="E4418" s="164" t="str">
        <f>IFERROR(__xludf.DUMMYFUNCTION("""COMPUTED_VALUE"""),"")</f>
        <v/>
      </c>
      <c r="F4418" s="163"/>
      <c r="G4418" s="163"/>
      <c r="H4418" s="163"/>
      <c r="I4418" s="163"/>
      <c r="J4418" s="165"/>
      <c r="K4418" s="165"/>
      <c r="L4418" s="165"/>
      <c r="M4418" s="166"/>
      <c r="N4418" s="167"/>
      <c r="O4418" s="163"/>
      <c r="P4418" s="163"/>
      <c r="Q4418" s="163"/>
      <c r="R4418" s="163"/>
      <c r="S4418" s="161"/>
      <c r="T4418" s="161"/>
      <c r="U4418" s="161"/>
      <c r="V4418" s="161"/>
      <c r="W4418" s="161"/>
      <c r="X4418" s="161"/>
      <c r="Y4418" s="161"/>
      <c r="Z4418" s="168"/>
      <c r="AA4418" s="168"/>
      <c r="AB4418" s="168"/>
      <c r="AC4418" s="168"/>
    </row>
    <row r="4419">
      <c r="A4419" s="161"/>
      <c r="B4419" s="161"/>
      <c r="C4419" s="162"/>
      <c r="D4419" s="163"/>
      <c r="E4419" s="164" t="str">
        <f>IFERROR(__xludf.DUMMYFUNCTION("""COMPUTED_VALUE"""),"")</f>
        <v/>
      </c>
      <c r="F4419" s="163"/>
      <c r="G4419" s="163"/>
      <c r="H4419" s="163"/>
      <c r="I4419" s="163"/>
      <c r="J4419" s="165"/>
      <c r="K4419" s="165"/>
      <c r="L4419" s="165"/>
      <c r="M4419" s="166"/>
      <c r="N4419" s="167"/>
      <c r="O4419" s="163"/>
      <c r="P4419" s="163"/>
      <c r="Q4419" s="163"/>
      <c r="R4419" s="163"/>
      <c r="S4419" s="161"/>
      <c r="T4419" s="161"/>
      <c r="U4419" s="161"/>
      <c r="V4419" s="161"/>
      <c r="W4419" s="161"/>
      <c r="X4419" s="161"/>
      <c r="Y4419" s="161"/>
      <c r="Z4419" s="168"/>
      <c r="AA4419" s="168"/>
      <c r="AB4419" s="168"/>
      <c r="AC4419" s="168"/>
    </row>
    <row r="4420">
      <c r="A4420" s="161"/>
      <c r="B4420" s="161"/>
      <c r="C4420" s="162"/>
      <c r="D4420" s="163"/>
      <c r="E4420" s="164" t="str">
        <f>IFERROR(__xludf.DUMMYFUNCTION("""COMPUTED_VALUE"""),"")</f>
        <v/>
      </c>
      <c r="F4420" s="163"/>
      <c r="G4420" s="163"/>
      <c r="H4420" s="163"/>
      <c r="I4420" s="163"/>
      <c r="J4420" s="165"/>
      <c r="K4420" s="165"/>
      <c r="L4420" s="165"/>
      <c r="M4420" s="166"/>
      <c r="N4420" s="167"/>
      <c r="O4420" s="163"/>
      <c r="P4420" s="163"/>
      <c r="Q4420" s="163"/>
      <c r="R4420" s="163"/>
      <c r="S4420" s="161"/>
      <c r="T4420" s="161"/>
      <c r="U4420" s="161"/>
      <c r="V4420" s="161"/>
      <c r="W4420" s="161"/>
      <c r="X4420" s="161"/>
      <c r="Y4420" s="161"/>
      <c r="Z4420" s="168"/>
      <c r="AA4420" s="168"/>
      <c r="AB4420" s="168"/>
      <c r="AC4420" s="168"/>
    </row>
    <row r="4421">
      <c r="A4421" s="161"/>
      <c r="B4421" s="161"/>
      <c r="C4421" s="162"/>
      <c r="D4421" s="163"/>
      <c r="E4421" s="164" t="str">
        <f>IFERROR(__xludf.DUMMYFUNCTION("""COMPUTED_VALUE"""),"")</f>
        <v/>
      </c>
      <c r="F4421" s="163"/>
      <c r="G4421" s="163"/>
      <c r="H4421" s="163"/>
      <c r="I4421" s="163"/>
      <c r="J4421" s="165"/>
      <c r="K4421" s="165"/>
      <c r="L4421" s="165"/>
      <c r="M4421" s="166"/>
      <c r="N4421" s="167"/>
      <c r="O4421" s="163"/>
      <c r="P4421" s="163"/>
      <c r="Q4421" s="163"/>
      <c r="R4421" s="163"/>
      <c r="S4421" s="161"/>
      <c r="T4421" s="161"/>
      <c r="U4421" s="161"/>
      <c r="V4421" s="161"/>
      <c r="W4421" s="161"/>
      <c r="X4421" s="161"/>
      <c r="Y4421" s="161"/>
      <c r="Z4421" s="168"/>
      <c r="AA4421" s="168"/>
      <c r="AB4421" s="168"/>
      <c r="AC4421" s="168"/>
    </row>
    <row r="4422">
      <c r="A4422" s="161"/>
      <c r="B4422" s="161"/>
      <c r="C4422" s="162"/>
      <c r="D4422" s="163"/>
      <c r="E4422" s="164" t="str">
        <f>IFERROR(__xludf.DUMMYFUNCTION("""COMPUTED_VALUE"""),"")</f>
        <v/>
      </c>
      <c r="F4422" s="163"/>
      <c r="G4422" s="163"/>
      <c r="H4422" s="163"/>
      <c r="I4422" s="163"/>
      <c r="J4422" s="165"/>
      <c r="K4422" s="165"/>
      <c r="L4422" s="165"/>
      <c r="M4422" s="166"/>
      <c r="N4422" s="167"/>
      <c r="O4422" s="163"/>
      <c r="P4422" s="163"/>
      <c r="Q4422" s="163"/>
      <c r="R4422" s="163"/>
      <c r="S4422" s="161"/>
      <c r="T4422" s="161"/>
      <c r="U4422" s="161"/>
      <c r="V4422" s="161"/>
      <c r="W4422" s="161"/>
      <c r="X4422" s="161"/>
      <c r="Y4422" s="161"/>
      <c r="Z4422" s="168"/>
      <c r="AA4422" s="168"/>
      <c r="AB4422" s="168"/>
      <c r="AC4422" s="168"/>
    </row>
    <row r="4423">
      <c r="A4423" s="161"/>
      <c r="B4423" s="161"/>
      <c r="C4423" s="162"/>
      <c r="D4423" s="163"/>
      <c r="E4423" s="164" t="str">
        <f>IFERROR(__xludf.DUMMYFUNCTION("""COMPUTED_VALUE"""),"")</f>
        <v/>
      </c>
      <c r="F4423" s="163"/>
      <c r="G4423" s="163"/>
      <c r="H4423" s="163"/>
      <c r="I4423" s="163"/>
      <c r="J4423" s="165"/>
      <c r="K4423" s="165"/>
      <c r="L4423" s="165"/>
      <c r="M4423" s="166"/>
      <c r="N4423" s="167"/>
      <c r="O4423" s="163"/>
      <c r="P4423" s="163"/>
      <c r="Q4423" s="163"/>
      <c r="R4423" s="163"/>
      <c r="S4423" s="161"/>
      <c r="T4423" s="161"/>
      <c r="U4423" s="161"/>
      <c r="V4423" s="161"/>
      <c r="W4423" s="161"/>
      <c r="X4423" s="161"/>
      <c r="Y4423" s="161"/>
      <c r="Z4423" s="168"/>
      <c r="AA4423" s="168"/>
      <c r="AB4423" s="168"/>
      <c r="AC4423" s="168"/>
    </row>
    <row r="4424">
      <c r="A4424" s="161"/>
      <c r="B4424" s="161"/>
      <c r="C4424" s="162"/>
      <c r="D4424" s="163"/>
      <c r="E4424" s="164" t="str">
        <f>IFERROR(__xludf.DUMMYFUNCTION("""COMPUTED_VALUE"""),"")</f>
        <v/>
      </c>
      <c r="F4424" s="163"/>
      <c r="G4424" s="163"/>
      <c r="H4424" s="163"/>
      <c r="I4424" s="163"/>
      <c r="J4424" s="165"/>
      <c r="K4424" s="165"/>
      <c r="L4424" s="165"/>
      <c r="M4424" s="166"/>
      <c r="N4424" s="167"/>
      <c r="O4424" s="163"/>
      <c r="P4424" s="163"/>
      <c r="Q4424" s="163"/>
      <c r="R4424" s="163"/>
      <c r="S4424" s="161"/>
      <c r="T4424" s="161"/>
      <c r="U4424" s="161"/>
      <c r="V4424" s="161"/>
      <c r="W4424" s="161"/>
      <c r="X4424" s="161"/>
      <c r="Y4424" s="161"/>
      <c r="Z4424" s="168"/>
      <c r="AA4424" s="168"/>
      <c r="AB4424" s="168"/>
      <c r="AC4424" s="168"/>
    </row>
    <row r="4425">
      <c r="A4425" s="161"/>
      <c r="B4425" s="161"/>
      <c r="C4425" s="162"/>
      <c r="D4425" s="163"/>
      <c r="E4425" s="164" t="str">
        <f>IFERROR(__xludf.DUMMYFUNCTION("""COMPUTED_VALUE"""),"")</f>
        <v/>
      </c>
      <c r="F4425" s="163"/>
      <c r="G4425" s="163"/>
      <c r="H4425" s="163"/>
      <c r="I4425" s="163"/>
      <c r="J4425" s="165"/>
      <c r="K4425" s="165"/>
      <c r="L4425" s="165"/>
      <c r="M4425" s="166"/>
      <c r="N4425" s="167"/>
      <c r="O4425" s="163"/>
      <c r="P4425" s="163"/>
      <c r="Q4425" s="163"/>
      <c r="R4425" s="163"/>
      <c r="S4425" s="161"/>
      <c r="T4425" s="161"/>
      <c r="U4425" s="161"/>
      <c r="V4425" s="161"/>
      <c r="W4425" s="161"/>
      <c r="X4425" s="161"/>
      <c r="Y4425" s="161"/>
      <c r="Z4425" s="168"/>
      <c r="AA4425" s="168"/>
      <c r="AB4425" s="168"/>
      <c r="AC4425" s="168"/>
    </row>
    <row r="4426">
      <c r="A4426" s="161"/>
      <c r="B4426" s="161"/>
      <c r="C4426" s="162"/>
      <c r="D4426" s="163"/>
      <c r="E4426" s="164" t="str">
        <f>IFERROR(__xludf.DUMMYFUNCTION("""COMPUTED_VALUE"""),"")</f>
        <v/>
      </c>
      <c r="F4426" s="163"/>
      <c r="G4426" s="163"/>
      <c r="H4426" s="163"/>
      <c r="I4426" s="163"/>
      <c r="J4426" s="165"/>
      <c r="K4426" s="165"/>
      <c r="L4426" s="165"/>
      <c r="M4426" s="166"/>
      <c r="N4426" s="167"/>
      <c r="O4426" s="163"/>
      <c r="P4426" s="163"/>
      <c r="Q4426" s="163"/>
      <c r="R4426" s="163"/>
      <c r="S4426" s="161"/>
      <c r="T4426" s="161"/>
      <c r="U4426" s="161"/>
      <c r="V4426" s="161"/>
      <c r="W4426" s="161"/>
      <c r="X4426" s="161"/>
      <c r="Y4426" s="161"/>
      <c r="Z4426" s="168"/>
      <c r="AA4426" s="168"/>
      <c r="AB4426" s="168"/>
      <c r="AC4426" s="168"/>
    </row>
    <row r="4427">
      <c r="A4427" s="161"/>
      <c r="B4427" s="161"/>
      <c r="C4427" s="162"/>
      <c r="D4427" s="163"/>
      <c r="E4427" s="164" t="str">
        <f>IFERROR(__xludf.DUMMYFUNCTION("""COMPUTED_VALUE"""),"")</f>
        <v/>
      </c>
      <c r="F4427" s="163"/>
      <c r="G4427" s="163"/>
      <c r="H4427" s="163"/>
      <c r="I4427" s="163"/>
      <c r="J4427" s="165"/>
      <c r="K4427" s="165"/>
      <c r="L4427" s="165"/>
      <c r="M4427" s="166"/>
      <c r="N4427" s="167"/>
      <c r="O4427" s="163"/>
      <c r="P4427" s="163"/>
      <c r="Q4427" s="163"/>
      <c r="R4427" s="163"/>
      <c r="S4427" s="161"/>
      <c r="T4427" s="161"/>
      <c r="U4427" s="161"/>
      <c r="V4427" s="161"/>
      <c r="W4427" s="161"/>
      <c r="X4427" s="161"/>
      <c r="Y4427" s="161"/>
      <c r="Z4427" s="168"/>
      <c r="AA4427" s="168"/>
      <c r="AB4427" s="168"/>
      <c r="AC4427" s="168"/>
    </row>
    <row r="4428">
      <c r="A4428" s="161"/>
      <c r="B4428" s="161"/>
      <c r="C4428" s="162"/>
      <c r="D4428" s="163"/>
      <c r="E4428" s="164" t="str">
        <f>IFERROR(__xludf.DUMMYFUNCTION("""COMPUTED_VALUE"""),"")</f>
        <v/>
      </c>
      <c r="F4428" s="163"/>
      <c r="G4428" s="163"/>
      <c r="H4428" s="163"/>
      <c r="I4428" s="163"/>
      <c r="J4428" s="165"/>
      <c r="K4428" s="165"/>
      <c r="L4428" s="165"/>
      <c r="M4428" s="166"/>
      <c r="N4428" s="167"/>
      <c r="O4428" s="163"/>
      <c r="P4428" s="163"/>
      <c r="Q4428" s="163"/>
      <c r="R4428" s="163"/>
      <c r="S4428" s="161"/>
      <c r="T4428" s="161"/>
      <c r="U4428" s="161"/>
      <c r="V4428" s="161"/>
      <c r="W4428" s="161"/>
      <c r="X4428" s="161"/>
      <c r="Y4428" s="161"/>
      <c r="Z4428" s="168"/>
      <c r="AA4428" s="168"/>
      <c r="AB4428" s="168"/>
      <c r="AC4428" s="168"/>
    </row>
    <row r="4429">
      <c r="A4429" s="161"/>
      <c r="B4429" s="161"/>
      <c r="C4429" s="162"/>
      <c r="D4429" s="163"/>
      <c r="E4429" s="164" t="str">
        <f>IFERROR(__xludf.DUMMYFUNCTION("""COMPUTED_VALUE"""),"")</f>
        <v/>
      </c>
      <c r="F4429" s="163"/>
      <c r="G4429" s="163"/>
      <c r="H4429" s="163"/>
      <c r="I4429" s="163"/>
      <c r="J4429" s="165"/>
      <c r="K4429" s="165"/>
      <c r="L4429" s="165"/>
      <c r="M4429" s="166"/>
      <c r="N4429" s="167"/>
      <c r="O4429" s="163"/>
      <c r="P4429" s="163"/>
      <c r="Q4429" s="163"/>
      <c r="R4429" s="163"/>
      <c r="S4429" s="161"/>
      <c r="T4429" s="161"/>
      <c r="U4429" s="161"/>
      <c r="V4429" s="161"/>
      <c r="W4429" s="161"/>
      <c r="X4429" s="161"/>
      <c r="Y4429" s="161"/>
      <c r="Z4429" s="168"/>
      <c r="AA4429" s="168"/>
      <c r="AB4429" s="168"/>
      <c r="AC4429" s="168"/>
    </row>
    <row r="4430">
      <c r="A4430" s="161"/>
      <c r="B4430" s="161"/>
      <c r="C4430" s="162"/>
      <c r="D4430" s="163"/>
      <c r="E4430" s="164" t="str">
        <f>IFERROR(__xludf.DUMMYFUNCTION("""COMPUTED_VALUE"""),"")</f>
        <v/>
      </c>
      <c r="F4430" s="163"/>
      <c r="G4430" s="163"/>
      <c r="H4430" s="163"/>
      <c r="I4430" s="163"/>
      <c r="J4430" s="165"/>
      <c r="K4430" s="165"/>
      <c r="L4430" s="165"/>
      <c r="M4430" s="166"/>
      <c r="N4430" s="167"/>
      <c r="O4430" s="163"/>
      <c r="P4430" s="163"/>
      <c r="Q4430" s="163"/>
      <c r="R4430" s="163"/>
      <c r="S4430" s="161"/>
      <c r="T4430" s="161"/>
      <c r="U4430" s="161"/>
      <c r="V4430" s="161"/>
      <c r="W4430" s="161"/>
      <c r="X4430" s="161"/>
      <c r="Y4430" s="161"/>
      <c r="Z4430" s="168"/>
      <c r="AA4430" s="168"/>
      <c r="AB4430" s="168"/>
      <c r="AC4430" s="168"/>
    </row>
    <row r="4431">
      <c r="A4431" s="161"/>
      <c r="B4431" s="161"/>
      <c r="C4431" s="162"/>
      <c r="D4431" s="163"/>
      <c r="E4431" s="164" t="str">
        <f>IFERROR(__xludf.DUMMYFUNCTION("""COMPUTED_VALUE"""),"")</f>
        <v/>
      </c>
      <c r="F4431" s="163"/>
      <c r="G4431" s="163"/>
      <c r="H4431" s="163"/>
      <c r="I4431" s="163"/>
      <c r="J4431" s="165"/>
      <c r="K4431" s="165"/>
      <c r="L4431" s="165"/>
      <c r="M4431" s="166"/>
      <c r="N4431" s="167"/>
      <c r="O4431" s="163"/>
      <c r="P4431" s="163"/>
      <c r="Q4431" s="163"/>
      <c r="R4431" s="163"/>
      <c r="S4431" s="161"/>
      <c r="T4431" s="161"/>
      <c r="U4431" s="161"/>
      <c r="V4431" s="161"/>
      <c r="W4431" s="161"/>
      <c r="X4431" s="161"/>
      <c r="Y4431" s="161"/>
      <c r="Z4431" s="168"/>
      <c r="AA4431" s="168"/>
      <c r="AB4431" s="168"/>
      <c r="AC4431" s="168"/>
    </row>
    <row r="4432">
      <c r="A4432" s="161"/>
      <c r="B4432" s="161"/>
      <c r="C4432" s="162"/>
      <c r="D4432" s="163"/>
      <c r="E4432" s="164" t="str">
        <f>IFERROR(__xludf.DUMMYFUNCTION("""COMPUTED_VALUE"""),"")</f>
        <v/>
      </c>
      <c r="F4432" s="163"/>
      <c r="G4432" s="163"/>
      <c r="H4432" s="163"/>
      <c r="I4432" s="163"/>
      <c r="J4432" s="165"/>
      <c r="K4432" s="165"/>
      <c r="L4432" s="165"/>
      <c r="M4432" s="166"/>
      <c r="N4432" s="167"/>
      <c r="O4432" s="163"/>
      <c r="P4432" s="163"/>
      <c r="Q4432" s="163"/>
      <c r="R4432" s="163"/>
      <c r="S4432" s="161"/>
      <c r="T4432" s="161"/>
      <c r="U4432" s="161"/>
      <c r="V4432" s="161"/>
      <c r="W4432" s="161"/>
      <c r="X4432" s="161"/>
      <c r="Y4432" s="161"/>
      <c r="Z4432" s="168"/>
      <c r="AA4432" s="168"/>
      <c r="AB4432" s="168"/>
      <c r="AC4432" s="168"/>
    </row>
    <row r="4433">
      <c r="A4433" s="161"/>
      <c r="B4433" s="161"/>
      <c r="C4433" s="162"/>
      <c r="D4433" s="163"/>
      <c r="E4433" s="164" t="str">
        <f>IFERROR(__xludf.DUMMYFUNCTION("""COMPUTED_VALUE"""),"")</f>
        <v/>
      </c>
      <c r="F4433" s="163"/>
      <c r="G4433" s="163"/>
      <c r="H4433" s="163"/>
      <c r="I4433" s="163"/>
      <c r="J4433" s="165"/>
      <c r="K4433" s="165"/>
      <c r="L4433" s="165"/>
      <c r="M4433" s="166"/>
      <c r="N4433" s="167"/>
      <c r="O4433" s="163"/>
      <c r="P4433" s="163"/>
      <c r="Q4433" s="163"/>
      <c r="R4433" s="163"/>
      <c r="S4433" s="161"/>
      <c r="T4433" s="161"/>
      <c r="U4433" s="161"/>
      <c r="V4433" s="161"/>
      <c r="W4433" s="161"/>
      <c r="X4433" s="161"/>
      <c r="Y4433" s="161"/>
      <c r="Z4433" s="168"/>
      <c r="AA4433" s="168"/>
      <c r="AB4433" s="168"/>
      <c r="AC4433" s="168"/>
    </row>
    <row r="4434">
      <c r="A4434" s="161"/>
      <c r="B4434" s="161"/>
      <c r="C4434" s="162"/>
      <c r="D4434" s="163"/>
      <c r="E4434" s="164" t="str">
        <f>IFERROR(__xludf.DUMMYFUNCTION("""COMPUTED_VALUE"""),"")</f>
        <v/>
      </c>
      <c r="F4434" s="163"/>
      <c r="G4434" s="163"/>
      <c r="H4434" s="163"/>
      <c r="I4434" s="163"/>
      <c r="J4434" s="165"/>
      <c r="K4434" s="165"/>
      <c r="L4434" s="165"/>
      <c r="M4434" s="166"/>
      <c r="N4434" s="167"/>
      <c r="O4434" s="163"/>
      <c r="P4434" s="163"/>
      <c r="Q4434" s="163"/>
      <c r="R4434" s="163"/>
      <c r="S4434" s="161"/>
      <c r="T4434" s="161"/>
      <c r="U4434" s="161"/>
      <c r="V4434" s="161"/>
      <c r="W4434" s="161"/>
      <c r="X4434" s="161"/>
      <c r="Y4434" s="161"/>
      <c r="Z4434" s="168"/>
      <c r="AA4434" s="168"/>
      <c r="AB4434" s="168"/>
      <c r="AC4434" s="168"/>
    </row>
    <row r="4435">
      <c r="A4435" s="161"/>
      <c r="B4435" s="161"/>
      <c r="C4435" s="162"/>
      <c r="D4435" s="163"/>
      <c r="E4435" s="164" t="str">
        <f>IFERROR(__xludf.DUMMYFUNCTION("""COMPUTED_VALUE"""),"")</f>
        <v/>
      </c>
      <c r="F4435" s="163"/>
      <c r="G4435" s="163"/>
      <c r="H4435" s="163"/>
      <c r="I4435" s="163"/>
      <c r="J4435" s="165"/>
      <c r="K4435" s="165"/>
      <c r="L4435" s="165"/>
      <c r="M4435" s="166"/>
      <c r="N4435" s="167"/>
      <c r="O4435" s="163"/>
      <c r="P4435" s="163"/>
      <c r="Q4435" s="163"/>
      <c r="R4435" s="163"/>
      <c r="S4435" s="161"/>
      <c r="T4435" s="161"/>
      <c r="U4435" s="161"/>
      <c r="V4435" s="161"/>
      <c r="W4435" s="161"/>
      <c r="X4435" s="161"/>
      <c r="Y4435" s="161"/>
      <c r="Z4435" s="168"/>
      <c r="AA4435" s="168"/>
      <c r="AB4435" s="168"/>
      <c r="AC4435" s="168"/>
    </row>
    <row r="4436">
      <c r="A4436" s="161"/>
      <c r="B4436" s="161"/>
      <c r="C4436" s="162"/>
      <c r="D4436" s="163"/>
      <c r="E4436" s="164" t="str">
        <f>IFERROR(__xludf.DUMMYFUNCTION("""COMPUTED_VALUE"""),"")</f>
        <v/>
      </c>
      <c r="F4436" s="163"/>
      <c r="G4436" s="163"/>
      <c r="H4436" s="163"/>
      <c r="I4436" s="163"/>
      <c r="J4436" s="165"/>
      <c r="K4436" s="165"/>
      <c r="L4436" s="165"/>
      <c r="M4436" s="166"/>
      <c r="N4436" s="167"/>
      <c r="O4436" s="163"/>
      <c r="P4436" s="163"/>
      <c r="Q4436" s="163"/>
      <c r="R4436" s="163"/>
      <c r="S4436" s="161"/>
      <c r="T4436" s="161"/>
      <c r="U4436" s="161"/>
      <c r="V4436" s="161"/>
      <c r="W4436" s="161"/>
      <c r="X4436" s="161"/>
      <c r="Y4436" s="161"/>
      <c r="Z4436" s="168"/>
      <c r="AA4436" s="168"/>
      <c r="AB4436" s="168"/>
      <c r="AC4436" s="168"/>
    </row>
    <row r="4437">
      <c r="A4437" s="161"/>
      <c r="B4437" s="161"/>
      <c r="C4437" s="162"/>
      <c r="D4437" s="163"/>
      <c r="E4437" s="164" t="str">
        <f>IFERROR(__xludf.DUMMYFUNCTION("""COMPUTED_VALUE"""),"")</f>
        <v/>
      </c>
      <c r="F4437" s="163"/>
      <c r="G4437" s="163"/>
      <c r="H4437" s="163"/>
      <c r="I4437" s="163"/>
      <c r="J4437" s="165"/>
      <c r="K4437" s="165"/>
      <c r="L4437" s="165"/>
      <c r="M4437" s="166"/>
      <c r="N4437" s="167"/>
      <c r="O4437" s="163"/>
      <c r="P4437" s="163"/>
      <c r="Q4437" s="163"/>
      <c r="R4437" s="163"/>
      <c r="S4437" s="161"/>
      <c r="T4437" s="161"/>
      <c r="U4437" s="161"/>
      <c r="V4437" s="161"/>
      <c r="W4437" s="161"/>
      <c r="X4437" s="161"/>
      <c r="Y4437" s="161"/>
      <c r="Z4437" s="168"/>
      <c r="AA4437" s="168"/>
      <c r="AB4437" s="168"/>
      <c r="AC4437" s="168"/>
    </row>
    <row r="4438">
      <c r="A4438" s="161"/>
      <c r="B4438" s="161"/>
      <c r="C4438" s="162"/>
      <c r="D4438" s="163"/>
      <c r="E4438" s="164" t="str">
        <f>IFERROR(__xludf.DUMMYFUNCTION("""COMPUTED_VALUE"""),"")</f>
        <v/>
      </c>
      <c r="F4438" s="163"/>
      <c r="G4438" s="163"/>
      <c r="H4438" s="163"/>
      <c r="I4438" s="163"/>
      <c r="J4438" s="165"/>
      <c r="K4438" s="165"/>
      <c r="L4438" s="165"/>
      <c r="M4438" s="166"/>
      <c r="N4438" s="167"/>
      <c r="O4438" s="163"/>
      <c r="P4438" s="163"/>
      <c r="Q4438" s="163"/>
      <c r="R4438" s="163"/>
      <c r="S4438" s="161"/>
      <c r="T4438" s="161"/>
      <c r="U4438" s="161"/>
      <c r="V4438" s="161"/>
      <c r="W4438" s="161"/>
      <c r="X4438" s="161"/>
      <c r="Y4438" s="161"/>
      <c r="Z4438" s="168"/>
      <c r="AA4438" s="168"/>
      <c r="AB4438" s="168"/>
      <c r="AC4438" s="168"/>
    </row>
    <row r="4439">
      <c r="A4439" s="161"/>
      <c r="B4439" s="161"/>
      <c r="C4439" s="162"/>
      <c r="D4439" s="163"/>
      <c r="E4439" s="164" t="str">
        <f>IFERROR(__xludf.DUMMYFUNCTION("""COMPUTED_VALUE"""),"")</f>
        <v/>
      </c>
      <c r="F4439" s="163"/>
      <c r="G4439" s="163"/>
      <c r="H4439" s="163"/>
      <c r="I4439" s="163"/>
      <c r="J4439" s="165"/>
      <c r="K4439" s="165"/>
      <c r="L4439" s="165"/>
      <c r="M4439" s="166"/>
      <c r="N4439" s="167"/>
      <c r="O4439" s="163"/>
      <c r="P4439" s="163"/>
      <c r="Q4439" s="163"/>
      <c r="R4439" s="163"/>
      <c r="S4439" s="161"/>
      <c r="T4439" s="161"/>
      <c r="U4439" s="161"/>
      <c r="V4439" s="161"/>
      <c r="W4439" s="161"/>
      <c r="X4439" s="161"/>
      <c r="Y4439" s="161"/>
      <c r="Z4439" s="168"/>
      <c r="AA4439" s="168"/>
      <c r="AB4439" s="168"/>
      <c r="AC4439" s="168"/>
    </row>
    <row r="4440">
      <c r="A4440" s="161"/>
      <c r="B4440" s="161"/>
      <c r="C4440" s="162"/>
      <c r="D4440" s="163"/>
      <c r="E4440" s="164" t="str">
        <f>IFERROR(__xludf.DUMMYFUNCTION("""COMPUTED_VALUE"""),"")</f>
        <v/>
      </c>
      <c r="F4440" s="163"/>
      <c r="G4440" s="163"/>
      <c r="H4440" s="163"/>
      <c r="I4440" s="163"/>
      <c r="J4440" s="165"/>
      <c r="K4440" s="165"/>
      <c r="L4440" s="165"/>
      <c r="M4440" s="166"/>
      <c r="N4440" s="167"/>
      <c r="O4440" s="163"/>
      <c r="P4440" s="163"/>
      <c r="Q4440" s="163"/>
      <c r="R4440" s="163"/>
      <c r="S4440" s="161"/>
      <c r="T4440" s="161"/>
      <c r="U4440" s="161"/>
      <c r="V4440" s="161"/>
      <c r="W4440" s="161"/>
      <c r="X4440" s="161"/>
      <c r="Y4440" s="161"/>
      <c r="Z4440" s="168"/>
      <c r="AA4440" s="168"/>
      <c r="AB4440" s="168"/>
      <c r="AC4440" s="168"/>
    </row>
    <row r="4441">
      <c r="A4441" s="161"/>
      <c r="B4441" s="161"/>
      <c r="C4441" s="162"/>
      <c r="D4441" s="163"/>
      <c r="E4441" s="164" t="str">
        <f>IFERROR(__xludf.DUMMYFUNCTION("""COMPUTED_VALUE"""),"")</f>
        <v/>
      </c>
      <c r="F4441" s="163"/>
      <c r="G4441" s="163"/>
      <c r="H4441" s="163"/>
      <c r="I4441" s="163"/>
      <c r="J4441" s="165"/>
      <c r="K4441" s="165"/>
      <c r="L4441" s="165"/>
      <c r="M4441" s="166"/>
      <c r="N4441" s="167"/>
      <c r="O4441" s="163"/>
      <c r="P4441" s="163"/>
      <c r="Q4441" s="163"/>
      <c r="R4441" s="163"/>
      <c r="S4441" s="161"/>
      <c r="T4441" s="161"/>
      <c r="U4441" s="161"/>
      <c r="V4441" s="161"/>
      <c r="W4441" s="161"/>
      <c r="X4441" s="161"/>
      <c r="Y4441" s="161"/>
      <c r="Z4441" s="168"/>
      <c r="AA4441" s="168"/>
      <c r="AB4441" s="168"/>
      <c r="AC4441" s="168"/>
    </row>
    <row r="4442">
      <c r="A4442" s="161"/>
      <c r="B4442" s="161"/>
      <c r="C4442" s="162"/>
      <c r="D4442" s="163"/>
      <c r="E4442" s="164" t="str">
        <f>IFERROR(__xludf.DUMMYFUNCTION("""COMPUTED_VALUE"""),"")</f>
        <v/>
      </c>
      <c r="F4442" s="163"/>
      <c r="G4442" s="163"/>
      <c r="H4442" s="163"/>
      <c r="I4442" s="163"/>
      <c r="J4442" s="165"/>
      <c r="K4442" s="165"/>
      <c r="L4442" s="165"/>
      <c r="M4442" s="166"/>
      <c r="N4442" s="167"/>
      <c r="O4442" s="163"/>
      <c r="P4442" s="163"/>
      <c r="Q4442" s="163"/>
      <c r="R4442" s="163"/>
      <c r="S4442" s="161"/>
      <c r="T4442" s="161"/>
      <c r="U4442" s="161"/>
      <c r="V4442" s="161"/>
      <c r="W4442" s="161"/>
      <c r="X4442" s="161"/>
      <c r="Y4442" s="161"/>
      <c r="Z4442" s="168"/>
      <c r="AA4442" s="168"/>
      <c r="AB4442" s="168"/>
      <c r="AC4442" s="168"/>
    </row>
    <row r="4443">
      <c r="A4443" s="161"/>
      <c r="B4443" s="161"/>
      <c r="C4443" s="162"/>
      <c r="D4443" s="163"/>
      <c r="E4443" s="164" t="str">
        <f>IFERROR(__xludf.DUMMYFUNCTION("""COMPUTED_VALUE"""),"")</f>
        <v/>
      </c>
      <c r="F4443" s="163"/>
      <c r="G4443" s="163"/>
      <c r="H4443" s="163"/>
      <c r="I4443" s="163"/>
      <c r="J4443" s="165"/>
      <c r="K4443" s="165"/>
      <c r="L4443" s="165"/>
      <c r="M4443" s="166"/>
      <c r="N4443" s="167"/>
      <c r="O4443" s="163"/>
      <c r="P4443" s="163"/>
      <c r="Q4443" s="163"/>
      <c r="R4443" s="163"/>
      <c r="S4443" s="161"/>
      <c r="T4443" s="161"/>
      <c r="U4443" s="161"/>
      <c r="V4443" s="161"/>
      <c r="W4443" s="161"/>
      <c r="X4443" s="161"/>
      <c r="Y4443" s="161"/>
      <c r="Z4443" s="168"/>
      <c r="AA4443" s="168"/>
      <c r="AB4443" s="168"/>
      <c r="AC4443" s="168"/>
    </row>
    <row r="4444">
      <c r="A4444" s="161"/>
      <c r="B4444" s="161"/>
      <c r="C4444" s="162"/>
      <c r="D4444" s="163"/>
      <c r="E4444" s="164" t="str">
        <f>IFERROR(__xludf.DUMMYFUNCTION("""COMPUTED_VALUE"""),"")</f>
        <v/>
      </c>
      <c r="F4444" s="163"/>
      <c r="G4444" s="163"/>
      <c r="H4444" s="163"/>
      <c r="I4444" s="163"/>
      <c r="J4444" s="165"/>
      <c r="K4444" s="165"/>
      <c r="L4444" s="165"/>
      <c r="M4444" s="166"/>
      <c r="N4444" s="167"/>
      <c r="O4444" s="163"/>
      <c r="P4444" s="163"/>
      <c r="Q4444" s="163"/>
      <c r="R4444" s="163"/>
      <c r="S4444" s="161"/>
      <c r="T4444" s="161"/>
      <c r="U4444" s="161"/>
      <c r="V4444" s="161"/>
      <c r="W4444" s="161"/>
      <c r="X4444" s="161"/>
      <c r="Y4444" s="161"/>
      <c r="Z4444" s="168"/>
      <c r="AA4444" s="168"/>
      <c r="AB4444" s="168"/>
      <c r="AC4444" s="168"/>
    </row>
    <row r="4445">
      <c r="A4445" s="161"/>
      <c r="B4445" s="161"/>
      <c r="C4445" s="162"/>
      <c r="D4445" s="163"/>
      <c r="E4445" s="164" t="str">
        <f>IFERROR(__xludf.DUMMYFUNCTION("""COMPUTED_VALUE"""),"")</f>
        <v/>
      </c>
      <c r="F4445" s="163"/>
      <c r="G4445" s="163"/>
      <c r="H4445" s="163"/>
      <c r="I4445" s="163"/>
      <c r="J4445" s="165"/>
      <c r="K4445" s="165"/>
      <c r="L4445" s="165"/>
      <c r="M4445" s="166"/>
      <c r="N4445" s="167"/>
      <c r="O4445" s="163"/>
      <c r="P4445" s="163"/>
      <c r="Q4445" s="163"/>
      <c r="R4445" s="163"/>
      <c r="S4445" s="161"/>
      <c r="T4445" s="161"/>
      <c r="U4445" s="161"/>
      <c r="V4445" s="161"/>
      <c r="W4445" s="161"/>
      <c r="X4445" s="161"/>
      <c r="Y4445" s="161"/>
      <c r="Z4445" s="168"/>
      <c r="AA4445" s="168"/>
      <c r="AB4445" s="168"/>
      <c r="AC4445" s="168"/>
    </row>
    <row r="4446">
      <c r="A4446" s="161"/>
      <c r="B4446" s="161"/>
      <c r="C4446" s="162"/>
      <c r="D4446" s="163"/>
      <c r="E4446" s="164" t="str">
        <f>IFERROR(__xludf.DUMMYFUNCTION("""COMPUTED_VALUE"""),"")</f>
        <v/>
      </c>
      <c r="F4446" s="163"/>
      <c r="G4446" s="163"/>
      <c r="H4446" s="163"/>
      <c r="I4446" s="163"/>
      <c r="J4446" s="165"/>
      <c r="K4446" s="165"/>
      <c r="L4446" s="165"/>
      <c r="M4446" s="166"/>
      <c r="N4446" s="167"/>
      <c r="O4446" s="163"/>
      <c r="P4446" s="163"/>
      <c r="Q4446" s="163"/>
      <c r="R4446" s="163"/>
      <c r="S4446" s="161"/>
      <c r="T4446" s="161"/>
      <c r="U4446" s="161"/>
      <c r="V4446" s="161"/>
      <c r="W4446" s="161"/>
      <c r="X4446" s="161"/>
      <c r="Y4446" s="161"/>
      <c r="Z4446" s="168"/>
      <c r="AA4446" s="168"/>
      <c r="AB4446" s="168"/>
      <c r="AC4446" s="168"/>
    </row>
    <row r="4447">
      <c r="A4447" s="161"/>
      <c r="B4447" s="161"/>
      <c r="C4447" s="162"/>
      <c r="D4447" s="163"/>
      <c r="E4447" s="164" t="str">
        <f>IFERROR(__xludf.DUMMYFUNCTION("""COMPUTED_VALUE"""),"")</f>
        <v/>
      </c>
      <c r="F4447" s="163"/>
      <c r="G4447" s="163"/>
      <c r="H4447" s="163"/>
      <c r="I4447" s="163"/>
      <c r="J4447" s="165"/>
      <c r="K4447" s="165"/>
      <c r="L4447" s="165"/>
      <c r="M4447" s="166"/>
      <c r="N4447" s="167"/>
      <c r="O4447" s="163"/>
      <c r="P4447" s="163"/>
      <c r="Q4447" s="163"/>
      <c r="R4447" s="163"/>
      <c r="S4447" s="161"/>
      <c r="T4447" s="161"/>
      <c r="U4447" s="161"/>
      <c r="V4447" s="161"/>
      <c r="W4447" s="161"/>
      <c r="X4447" s="161"/>
      <c r="Y4447" s="161"/>
      <c r="Z4447" s="168"/>
      <c r="AA4447" s="168"/>
      <c r="AB4447" s="168"/>
      <c r="AC4447" s="168"/>
    </row>
    <row r="4448">
      <c r="A4448" s="161"/>
      <c r="B4448" s="161"/>
      <c r="C4448" s="162"/>
      <c r="D4448" s="163"/>
      <c r="E4448" s="164" t="str">
        <f>IFERROR(__xludf.DUMMYFUNCTION("""COMPUTED_VALUE"""),"")</f>
        <v/>
      </c>
      <c r="F4448" s="163"/>
      <c r="G4448" s="163"/>
      <c r="H4448" s="163"/>
      <c r="I4448" s="163"/>
      <c r="J4448" s="165"/>
      <c r="K4448" s="165"/>
      <c r="L4448" s="165"/>
      <c r="M4448" s="166"/>
      <c r="N4448" s="167"/>
      <c r="O4448" s="163"/>
      <c r="P4448" s="163"/>
      <c r="Q4448" s="163"/>
      <c r="R4448" s="163"/>
      <c r="S4448" s="161"/>
      <c r="T4448" s="161"/>
      <c r="U4448" s="161"/>
      <c r="V4448" s="161"/>
      <c r="W4448" s="161"/>
      <c r="X4448" s="161"/>
      <c r="Y4448" s="161"/>
      <c r="Z4448" s="168"/>
      <c r="AA4448" s="168"/>
      <c r="AB4448" s="168"/>
      <c r="AC4448" s="168"/>
    </row>
    <row r="4449">
      <c r="A4449" s="161"/>
      <c r="B4449" s="161"/>
      <c r="C4449" s="162"/>
      <c r="D4449" s="163"/>
      <c r="E4449" s="164" t="str">
        <f>IFERROR(__xludf.DUMMYFUNCTION("""COMPUTED_VALUE"""),"")</f>
        <v/>
      </c>
      <c r="F4449" s="163"/>
      <c r="G4449" s="163"/>
      <c r="H4449" s="163"/>
      <c r="I4449" s="163"/>
      <c r="J4449" s="165"/>
      <c r="K4449" s="165"/>
      <c r="L4449" s="165"/>
      <c r="M4449" s="166"/>
      <c r="N4449" s="167"/>
      <c r="O4449" s="163"/>
      <c r="P4449" s="163"/>
      <c r="Q4449" s="163"/>
      <c r="R4449" s="163"/>
      <c r="S4449" s="161"/>
      <c r="T4449" s="161"/>
      <c r="U4449" s="161"/>
      <c r="V4449" s="161"/>
      <c r="W4449" s="161"/>
      <c r="X4449" s="161"/>
      <c r="Y4449" s="161"/>
      <c r="Z4449" s="168"/>
      <c r="AA4449" s="168"/>
      <c r="AB4449" s="168"/>
      <c r="AC4449" s="168"/>
    </row>
    <row r="4450">
      <c r="A4450" s="161"/>
      <c r="B4450" s="161"/>
      <c r="C4450" s="162"/>
      <c r="D4450" s="163"/>
      <c r="E4450" s="164" t="str">
        <f>IFERROR(__xludf.DUMMYFUNCTION("""COMPUTED_VALUE"""),"")</f>
        <v/>
      </c>
      <c r="F4450" s="163"/>
      <c r="G4450" s="163"/>
      <c r="H4450" s="163"/>
      <c r="I4450" s="163"/>
      <c r="J4450" s="165"/>
      <c r="K4450" s="165"/>
      <c r="L4450" s="165"/>
      <c r="M4450" s="166"/>
      <c r="N4450" s="167"/>
      <c r="O4450" s="163"/>
      <c r="P4450" s="163"/>
      <c r="Q4450" s="163"/>
      <c r="R4450" s="163"/>
      <c r="S4450" s="161"/>
      <c r="T4450" s="161"/>
      <c r="U4450" s="161"/>
      <c r="V4450" s="161"/>
      <c r="W4450" s="161"/>
      <c r="X4450" s="161"/>
      <c r="Y4450" s="161"/>
      <c r="Z4450" s="168"/>
      <c r="AA4450" s="168"/>
      <c r="AB4450" s="168"/>
      <c r="AC4450" s="168"/>
    </row>
    <row r="4451">
      <c r="A4451" s="161"/>
      <c r="B4451" s="161"/>
      <c r="C4451" s="162"/>
      <c r="D4451" s="163"/>
      <c r="E4451" s="164" t="str">
        <f>IFERROR(__xludf.DUMMYFUNCTION("""COMPUTED_VALUE"""),"")</f>
        <v/>
      </c>
      <c r="F4451" s="163"/>
      <c r="G4451" s="163"/>
      <c r="H4451" s="163"/>
      <c r="I4451" s="163"/>
      <c r="J4451" s="165"/>
      <c r="K4451" s="165"/>
      <c r="L4451" s="165"/>
      <c r="M4451" s="166"/>
      <c r="N4451" s="167"/>
      <c r="O4451" s="163"/>
      <c r="P4451" s="163"/>
      <c r="Q4451" s="163"/>
      <c r="R4451" s="163"/>
      <c r="S4451" s="161"/>
      <c r="T4451" s="161"/>
      <c r="U4451" s="161"/>
      <c r="V4451" s="161"/>
      <c r="W4451" s="161"/>
      <c r="X4451" s="161"/>
      <c r="Y4451" s="161"/>
      <c r="Z4451" s="168"/>
      <c r="AA4451" s="168"/>
      <c r="AB4451" s="168"/>
      <c r="AC4451" s="168"/>
    </row>
    <row r="4452">
      <c r="A4452" s="161"/>
      <c r="B4452" s="161"/>
      <c r="C4452" s="162"/>
      <c r="D4452" s="163"/>
      <c r="E4452" s="164" t="str">
        <f>IFERROR(__xludf.DUMMYFUNCTION("""COMPUTED_VALUE"""),"")</f>
        <v/>
      </c>
      <c r="F4452" s="163"/>
      <c r="G4452" s="163"/>
      <c r="H4452" s="163"/>
      <c r="I4452" s="163"/>
      <c r="J4452" s="165"/>
      <c r="K4452" s="165"/>
      <c r="L4452" s="165"/>
      <c r="M4452" s="166"/>
      <c r="N4452" s="167"/>
      <c r="O4452" s="163"/>
      <c r="P4452" s="163"/>
      <c r="Q4452" s="163"/>
      <c r="R4452" s="163"/>
      <c r="S4452" s="161"/>
      <c r="T4452" s="161"/>
      <c r="U4452" s="161"/>
      <c r="V4452" s="161"/>
      <c r="W4452" s="161"/>
      <c r="X4452" s="161"/>
      <c r="Y4452" s="161"/>
      <c r="Z4452" s="168"/>
      <c r="AA4452" s="168"/>
      <c r="AB4452" s="168"/>
      <c r="AC4452" s="168"/>
    </row>
    <row r="4453">
      <c r="A4453" s="161"/>
      <c r="B4453" s="161"/>
      <c r="C4453" s="162"/>
      <c r="D4453" s="163"/>
      <c r="E4453" s="164" t="str">
        <f>IFERROR(__xludf.DUMMYFUNCTION("""COMPUTED_VALUE"""),"")</f>
        <v/>
      </c>
      <c r="F4453" s="163"/>
      <c r="G4453" s="163"/>
      <c r="H4453" s="163"/>
      <c r="I4453" s="163"/>
      <c r="J4453" s="165"/>
      <c r="K4453" s="165"/>
      <c r="L4453" s="165"/>
      <c r="M4453" s="166"/>
      <c r="N4453" s="167"/>
      <c r="O4453" s="163"/>
      <c r="P4453" s="163"/>
      <c r="Q4453" s="163"/>
      <c r="R4453" s="163"/>
      <c r="S4453" s="161"/>
      <c r="T4453" s="161"/>
      <c r="U4453" s="161"/>
      <c r="V4453" s="161"/>
      <c r="W4453" s="161"/>
      <c r="X4453" s="161"/>
      <c r="Y4453" s="161"/>
      <c r="Z4453" s="168"/>
      <c r="AA4453" s="168"/>
      <c r="AB4453" s="168"/>
      <c r="AC4453" s="168"/>
    </row>
    <row r="4454">
      <c r="A4454" s="161"/>
      <c r="B4454" s="161"/>
      <c r="C4454" s="162"/>
      <c r="D4454" s="163"/>
      <c r="E4454" s="164" t="str">
        <f>IFERROR(__xludf.DUMMYFUNCTION("""COMPUTED_VALUE"""),"")</f>
        <v/>
      </c>
      <c r="F4454" s="163"/>
      <c r="G4454" s="163"/>
      <c r="H4454" s="163"/>
      <c r="I4454" s="163"/>
      <c r="J4454" s="165"/>
      <c r="K4454" s="165"/>
      <c r="L4454" s="165"/>
      <c r="M4454" s="166"/>
      <c r="N4454" s="167"/>
      <c r="O4454" s="163"/>
      <c r="P4454" s="163"/>
      <c r="Q4454" s="163"/>
      <c r="R4454" s="163"/>
      <c r="S4454" s="161"/>
      <c r="T4454" s="161"/>
      <c r="U4454" s="161"/>
      <c r="V4454" s="161"/>
      <c r="W4454" s="161"/>
      <c r="X4454" s="161"/>
      <c r="Y4454" s="161"/>
      <c r="Z4454" s="168"/>
      <c r="AA4454" s="168"/>
      <c r="AB4454" s="168"/>
      <c r="AC4454" s="168"/>
    </row>
    <row r="4455">
      <c r="A4455" s="161"/>
      <c r="B4455" s="161"/>
      <c r="C4455" s="162"/>
      <c r="D4455" s="163"/>
      <c r="E4455" s="164" t="str">
        <f>IFERROR(__xludf.DUMMYFUNCTION("""COMPUTED_VALUE"""),"")</f>
        <v/>
      </c>
      <c r="F4455" s="163"/>
      <c r="G4455" s="163"/>
      <c r="H4455" s="163"/>
      <c r="I4455" s="163"/>
      <c r="J4455" s="165"/>
      <c r="K4455" s="165"/>
      <c r="L4455" s="165"/>
      <c r="M4455" s="166"/>
      <c r="N4455" s="167"/>
      <c r="O4455" s="163"/>
      <c r="P4455" s="163"/>
      <c r="Q4455" s="163"/>
      <c r="R4455" s="163"/>
      <c r="S4455" s="161"/>
      <c r="T4455" s="161"/>
      <c r="U4455" s="161"/>
      <c r="V4455" s="161"/>
      <c r="W4455" s="161"/>
      <c r="X4455" s="161"/>
      <c r="Y4455" s="161"/>
      <c r="Z4455" s="168"/>
      <c r="AA4455" s="168"/>
      <c r="AB4455" s="168"/>
      <c r="AC4455" s="168"/>
    </row>
    <row r="4456">
      <c r="A4456" s="161"/>
      <c r="B4456" s="161"/>
      <c r="C4456" s="162"/>
      <c r="D4456" s="163"/>
      <c r="E4456" s="164" t="str">
        <f>IFERROR(__xludf.DUMMYFUNCTION("""COMPUTED_VALUE"""),"")</f>
        <v/>
      </c>
      <c r="F4456" s="163"/>
      <c r="G4456" s="163"/>
      <c r="H4456" s="163"/>
      <c r="I4456" s="163"/>
      <c r="J4456" s="165"/>
      <c r="K4456" s="165"/>
      <c r="L4456" s="165"/>
      <c r="M4456" s="166"/>
      <c r="N4456" s="167"/>
      <c r="O4456" s="163"/>
      <c r="P4456" s="163"/>
      <c r="Q4456" s="163"/>
      <c r="R4456" s="163"/>
      <c r="S4456" s="161"/>
      <c r="T4456" s="161"/>
      <c r="U4456" s="161"/>
      <c r="V4456" s="161"/>
      <c r="W4456" s="161"/>
      <c r="X4456" s="161"/>
      <c r="Y4456" s="161"/>
      <c r="Z4456" s="168"/>
      <c r="AA4456" s="168"/>
      <c r="AB4456" s="168"/>
      <c r="AC4456" s="168"/>
    </row>
    <row r="4457">
      <c r="A4457" s="161"/>
      <c r="B4457" s="161"/>
      <c r="C4457" s="162"/>
      <c r="D4457" s="163"/>
      <c r="E4457" s="164" t="str">
        <f>IFERROR(__xludf.DUMMYFUNCTION("""COMPUTED_VALUE"""),"")</f>
        <v/>
      </c>
      <c r="F4457" s="163"/>
      <c r="G4457" s="163"/>
      <c r="H4457" s="163"/>
      <c r="I4457" s="163"/>
      <c r="J4457" s="165"/>
      <c r="K4457" s="165"/>
      <c r="L4457" s="165"/>
      <c r="M4457" s="166"/>
      <c r="N4457" s="167"/>
      <c r="O4457" s="163"/>
      <c r="P4457" s="163"/>
      <c r="Q4457" s="163"/>
      <c r="R4457" s="163"/>
      <c r="S4457" s="161"/>
      <c r="T4457" s="161"/>
      <c r="U4457" s="161"/>
      <c r="V4457" s="161"/>
      <c r="W4457" s="161"/>
      <c r="X4457" s="161"/>
      <c r="Y4457" s="161"/>
      <c r="Z4457" s="168"/>
      <c r="AA4457" s="168"/>
      <c r="AB4457" s="168"/>
      <c r="AC4457" s="168"/>
    </row>
    <row r="4458">
      <c r="A4458" s="161"/>
      <c r="B4458" s="161"/>
      <c r="C4458" s="162"/>
      <c r="D4458" s="163"/>
      <c r="E4458" s="164" t="str">
        <f>IFERROR(__xludf.DUMMYFUNCTION("""COMPUTED_VALUE"""),"")</f>
        <v/>
      </c>
      <c r="F4458" s="163"/>
      <c r="G4458" s="163"/>
      <c r="H4458" s="163"/>
      <c r="I4458" s="163"/>
      <c r="J4458" s="165"/>
      <c r="K4458" s="165"/>
      <c r="L4458" s="165"/>
      <c r="M4458" s="166"/>
      <c r="N4458" s="167"/>
      <c r="O4458" s="163"/>
      <c r="P4458" s="163"/>
      <c r="Q4458" s="163"/>
      <c r="R4458" s="163"/>
      <c r="S4458" s="161"/>
      <c r="T4458" s="161"/>
      <c r="U4458" s="161"/>
      <c r="V4458" s="161"/>
      <c r="W4458" s="161"/>
      <c r="X4458" s="161"/>
      <c r="Y4458" s="161"/>
      <c r="Z4458" s="168"/>
      <c r="AA4458" s="168"/>
      <c r="AB4458" s="168"/>
      <c r="AC4458" s="168"/>
    </row>
    <row r="4459">
      <c r="A4459" s="161"/>
      <c r="B4459" s="161"/>
      <c r="C4459" s="162"/>
      <c r="D4459" s="163"/>
      <c r="E4459" s="164" t="str">
        <f>IFERROR(__xludf.DUMMYFUNCTION("""COMPUTED_VALUE"""),"")</f>
        <v/>
      </c>
      <c r="F4459" s="163"/>
      <c r="G4459" s="163"/>
      <c r="H4459" s="163"/>
      <c r="I4459" s="163"/>
      <c r="J4459" s="165"/>
      <c r="K4459" s="165"/>
      <c r="L4459" s="165"/>
      <c r="M4459" s="166"/>
      <c r="N4459" s="167"/>
      <c r="O4459" s="163"/>
      <c r="P4459" s="163"/>
      <c r="Q4459" s="163"/>
      <c r="R4459" s="163"/>
      <c r="S4459" s="161"/>
      <c r="T4459" s="161"/>
      <c r="U4459" s="161"/>
      <c r="V4459" s="161"/>
      <c r="W4459" s="161"/>
      <c r="X4459" s="161"/>
      <c r="Y4459" s="161"/>
      <c r="Z4459" s="168"/>
      <c r="AA4459" s="168"/>
      <c r="AB4459" s="168"/>
      <c r="AC4459" s="168"/>
    </row>
    <row r="4460">
      <c r="A4460" s="161"/>
      <c r="B4460" s="161"/>
      <c r="C4460" s="162"/>
      <c r="D4460" s="163"/>
      <c r="E4460" s="164" t="str">
        <f>IFERROR(__xludf.DUMMYFUNCTION("""COMPUTED_VALUE"""),"")</f>
        <v/>
      </c>
      <c r="F4460" s="163"/>
      <c r="G4460" s="163"/>
      <c r="H4460" s="163"/>
      <c r="I4460" s="163"/>
      <c r="J4460" s="165"/>
      <c r="K4460" s="165"/>
      <c r="L4460" s="165"/>
      <c r="M4460" s="166"/>
      <c r="N4460" s="167"/>
      <c r="O4460" s="163"/>
      <c r="P4460" s="163"/>
      <c r="Q4460" s="163"/>
      <c r="R4460" s="163"/>
      <c r="S4460" s="161"/>
      <c r="T4460" s="161"/>
      <c r="U4460" s="161"/>
      <c r="V4460" s="161"/>
      <c r="W4460" s="161"/>
      <c r="X4460" s="161"/>
      <c r="Y4460" s="161"/>
      <c r="Z4460" s="168"/>
      <c r="AA4460" s="168"/>
      <c r="AB4460" s="168"/>
      <c r="AC4460" s="168"/>
    </row>
    <row r="4461">
      <c r="A4461" s="161"/>
      <c r="B4461" s="161"/>
      <c r="C4461" s="162"/>
      <c r="D4461" s="163"/>
      <c r="E4461" s="164" t="str">
        <f>IFERROR(__xludf.DUMMYFUNCTION("""COMPUTED_VALUE"""),"")</f>
        <v/>
      </c>
      <c r="F4461" s="163"/>
      <c r="G4461" s="163"/>
      <c r="H4461" s="163"/>
      <c r="I4461" s="163"/>
      <c r="J4461" s="165"/>
      <c r="K4461" s="165"/>
      <c r="L4461" s="165"/>
      <c r="M4461" s="166"/>
      <c r="N4461" s="167"/>
      <c r="O4461" s="163"/>
      <c r="P4461" s="163"/>
      <c r="Q4461" s="163"/>
      <c r="R4461" s="163"/>
      <c r="S4461" s="161"/>
      <c r="T4461" s="161"/>
      <c r="U4461" s="161"/>
      <c r="V4461" s="161"/>
      <c r="W4461" s="161"/>
      <c r="X4461" s="161"/>
      <c r="Y4461" s="161"/>
      <c r="Z4461" s="168"/>
      <c r="AA4461" s="168"/>
      <c r="AB4461" s="168"/>
      <c r="AC4461" s="168"/>
    </row>
    <row r="4462">
      <c r="A4462" s="161"/>
      <c r="B4462" s="161"/>
      <c r="C4462" s="162"/>
      <c r="D4462" s="163"/>
      <c r="E4462" s="164" t="str">
        <f>IFERROR(__xludf.DUMMYFUNCTION("""COMPUTED_VALUE"""),"")</f>
        <v/>
      </c>
      <c r="F4462" s="163"/>
      <c r="G4462" s="163"/>
      <c r="H4462" s="163"/>
      <c r="I4462" s="163"/>
      <c r="J4462" s="165"/>
      <c r="K4462" s="165"/>
      <c r="L4462" s="165"/>
      <c r="M4462" s="166"/>
      <c r="N4462" s="167"/>
      <c r="O4462" s="163"/>
      <c r="P4462" s="163"/>
      <c r="Q4462" s="163"/>
      <c r="R4462" s="163"/>
      <c r="S4462" s="161"/>
      <c r="T4462" s="161"/>
      <c r="U4462" s="161"/>
      <c r="V4462" s="161"/>
      <c r="W4462" s="161"/>
      <c r="X4462" s="161"/>
      <c r="Y4462" s="161"/>
      <c r="Z4462" s="168"/>
      <c r="AA4462" s="168"/>
      <c r="AB4462" s="168"/>
      <c r="AC4462" s="168"/>
    </row>
    <row r="4463">
      <c r="A4463" s="161"/>
      <c r="B4463" s="161"/>
      <c r="C4463" s="162"/>
      <c r="D4463" s="163"/>
      <c r="E4463" s="164" t="str">
        <f>IFERROR(__xludf.DUMMYFUNCTION("""COMPUTED_VALUE"""),"")</f>
        <v/>
      </c>
      <c r="F4463" s="163"/>
      <c r="G4463" s="163"/>
      <c r="H4463" s="163"/>
      <c r="I4463" s="163"/>
      <c r="J4463" s="165"/>
      <c r="K4463" s="165"/>
      <c r="L4463" s="165"/>
      <c r="M4463" s="166"/>
      <c r="N4463" s="167"/>
      <c r="O4463" s="163"/>
      <c r="P4463" s="163"/>
      <c r="Q4463" s="163"/>
      <c r="R4463" s="163"/>
      <c r="S4463" s="161"/>
      <c r="T4463" s="161"/>
      <c r="U4463" s="161"/>
      <c r="V4463" s="161"/>
      <c r="W4463" s="161"/>
      <c r="X4463" s="161"/>
      <c r="Y4463" s="161"/>
      <c r="Z4463" s="168"/>
      <c r="AA4463" s="168"/>
      <c r="AB4463" s="168"/>
      <c r="AC4463" s="168"/>
    </row>
    <row r="4464">
      <c r="A4464" s="161"/>
      <c r="B4464" s="161"/>
      <c r="C4464" s="162"/>
      <c r="D4464" s="163"/>
      <c r="E4464" s="164" t="str">
        <f>IFERROR(__xludf.DUMMYFUNCTION("""COMPUTED_VALUE"""),"")</f>
        <v/>
      </c>
      <c r="F4464" s="163"/>
      <c r="G4464" s="163"/>
      <c r="H4464" s="163"/>
      <c r="I4464" s="163"/>
      <c r="J4464" s="165"/>
      <c r="K4464" s="165"/>
      <c r="L4464" s="165"/>
      <c r="M4464" s="166"/>
      <c r="N4464" s="167"/>
      <c r="O4464" s="163"/>
      <c r="P4464" s="163"/>
      <c r="Q4464" s="163"/>
      <c r="R4464" s="163"/>
      <c r="S4464" s="161"/>
      <c r="T4464" s="161"/>
      <c r="U4464" s="161"/>
      <c r="V4464" s="161"/>
      <c r="W4464" s="161"/>
      <c r="X4464" s="161"/>
      <c r="Y4464" s="161"/>
      <c r="Z4464" s="168"/>
      <c r="AA4464" s="168"/>
      <c r="AB4464" s="168"/>
      <c r="AC4464" s="168"/>
    </row>
    <row r="4465">
      <c r="A4465" s="161"/>
      <c r="B4465" s="161"/>
      <c r="C4465" s="162"/>
      <c r="D4465" s="163"/>
      <c r="E4465" s="164" t="str">
        <f>IFERROR(__xludf.DUMMYFUNCTION("""COMPUTED_VALUE"""),"")</f>
        <v/>
      </c>
      <c r="F4465" s="163"/>
      <c r="G4465" s="163"/>
      <c r="H4465" s="163"/>
      <c r="I4465" s="163"/>
      <c r="J4465" s="165"/>
      <c r="K4465" s="165"/>
      <c r="L4465" s="165"/>
      <c r="M4465" s="166"/>
      <c r="N4465" s="167"/>
      <c r="O4465" s="163"/>
      <c r="P4465" s="163"/>
      <c r="Q4465" s="163"/>
      <c r="R4465" s="163"/>
      <c r="S4465" s="161"/>
      <c r="T4465" s="161"/>
      <c r="U4465" s="161"/>
      <c r="V4465" s="161"/>
      <c r="W4465" s="161"/>
      <c r="X4465" s="161"/>
      <c r="Y4465" s="161"/>
      <c r="Z4465" s="168"/>
      <c r="AA4465" s="168"/>
      <c r="AB4465" s="168"/>
      <c r="AC4465" s="168"/>
    </row>
    <row r="4466">
      <c r="A4466" s="161"/>
      <c r="B4466" s="161"/>
      <c r="C4466" s="162"/>
      <c r="D4466" s="163"/>
      <c r="E4466" s="164" t="str">
        <f>IFERROR(__xludf.DUMMYFUNCTION("""COMPUTED_VALUE"""),"")</f>
        <v/>
      </c>
      <c r="F4466" s="163"/>
      <c r="G4466" s="163"/>
      <c r="H4466" s="163"/>
      <c r="I4466" s="163"/>
      <c r="J4466" s="165"/>
      <c r="K4466" s="165"/>
      <c r="L4466" s="165"/>
      <c r="M4466" s="166"/>
      <c r="N4466" s="167"/>
      <c r="O4466" s="163"/>
      <c r="P4466" s="163"/>
      <c r="Q4466" s="163"/>
      <c r="R4466" s="163"/>
      <c r="S4466" s="161"/>
      <c r="T4466" s="161"/>
      <c r="U4466" s="161"/>
      <c r="V4466" s="161"/>
      <c r="W4466" s="161"/>
      <c r="X4466" s="161"/>
      <c r="Y4466" s="161"/>
      <c r="Z4466" s="168"/>
      <c r="AA4466" s="168"/>
      <c r="AB4466" s="168"/>
      <c r="AC4466" s="168"/>
    </row>
    <row r="4467">
      <c r="A4467" s="161"/>
      <c r="B4467" s="161"/>
      <c r="C4467" s="162"/>
      <c r="D4467" s="163"/>
      <c r="E4467" s="164" t="str">
        <f>IFERROR(__xludf.DUMMYFUNCTION("""COMPUTED_VALUE"""),"")</f>
        <v/>
      </c>
      <c r="F4467" s="163"/>
      <c r="G4467" s="163"/>
      <c r="H4467" s="163"/>
      <c r="I4467" s="163"/>
      <c r="J4467" s="165"/>
      <c r="K4467" s="165"/>
      <c r="L4467" s="165"/>
      <c r="M4467" s="166"/>
      <c r="N4467" s="167"/>
      <c r="O4467" s="163"/>
      <c r="P4467" s="163"/>
      <c r="Q4467" s="163"/>
      <c r="R4467" s="163"/>
      <c r="S4467" s="161"/>
      <c r="T4467" s="161"/>
      <c r="U4467" s="161"/>
      <c r="V4467" s="161"/>
      <c r="W4467" s="161"/>
      <c r="X4467" s="161"/>
      <c r="Y4467" s="161"/>
      <c r="Z4467" s="168"/>
      <c r="AA4467" s="168"/>
      <c r="AB4467" s="168"/>
      <c r="AC4467" s="168"/>
    </row>
    <row r="4468">
      <c r="A4468" s="161"/>
      <c r="B4468" s="161"/>
      <c r="C4468" s="162"/>
      <c r="D4468" s="163"/>
      <c r="E4468" s="164" t="str">
        <f>IFERROR(__xludf.DUMMYFUNCTION("""COMPUTED_VALUE"""),"")</f>
        <v/>
      </c>
      <c r="F4468" s="163"/>
      <c r="G4468" s="163"/>
      <c r="H4468" s="163"/>
      <c r="I4468" s="163"/>
      <c r="J4468" s="165"/>
      <c r="K4468" s="165"/>
      <c r="L4468" s="165"/>
      <c r="M4468" s="166"/>
      <c r="N4468" s="167"/>
      <c r="O4468" s="163"/>
      <c r="P4468" s="163"/>
      <c r="Q4468" s="163"/>
      <c r="R4468" s="163"/>
      <c r="S4468" s="161"/>
      <c r="T4468" s="161"/>
      <c r="U4468" s="161"/>
      <c r="V4468" s="161"/>
      <c r="W4468" s="161"/>
      <c r="X4468" s="161"/>
      <c r="Y4468" s="161"/>
      <c r="Z4468" s="168"/>
      <c r="AA4468" s="168"/>
      <c r="AB4468" s="168"/>
      <c r="AC4468" s="168"/>
    </row>
    <row r="4469">
      <c r="A4469" s="161"/>
      <c r="B4469" s="161"/>
      <c r="C4469" s="162"/>
      <c r="D4469" s="163"/>
      <c r="E4469" s="164" t="str">
        <f>IFERROR(__xludf.DUMMYFUNCTION("""COMPUTED_VALUE"""),"")</f>
        <v/>
      </c>
      <c r="F4469" s="163"/>
      <c r="G4469" s="163"/>
      <c r="H4469" s="163"/>
      <c r="I4469" s="163"/>
      <c r="J4469" s="165"/>
      <c r="K4469" s="165"/>
      <c r="L4469" s="165"/>
      <c r="M4469" s="166"/>
      <c r="N4469" s="167"/>
      <c r="O4469" s="163"/>
      <c r="P4469" s="163"/>
      <c r="Q4469" s="163"/>
      <c r="R4469" s="163"/>
      <c r="S4469" s="161"/>
      <c r="T4469" s="161"/>
      <c r="U4469" s="161"/>
      <c r="V4469" s="161"/>
      <c r="W4469" s="161"/>
      <c r="X4469" s="161"/>
      <c r="Y4469" s="161"/>
      <c r="Z4469" s="168"/>
      <c r="AA4469" s="168"/>
      <c r="AB4469" s="168"/>
      <c r="AC4469" s="168"/>
    </row>
    <row r="4470">
      <c r="A4470" s="161"/>
      <c r="B4470" s="161"/>
      <c r="C4470" s="162"/>
      <c r="D4470" s="163"/>
      <c r="E4470" s="164" t="str">
        <f>IFERROR(__xludf.DUMMYFUNCTION("""COMPUTED_VALUE"""),"")</f>
        <v/>
      </c>
      <c r="F4470" s="163"/>
      <c r="G4470" s="163"/>
      <c r="H4470" s="163"/>
      <c r="I4470" s="163"/>
      <c r="J4470" s="165"/>
      <c r="K4470" s="165"/>
      <c r="L4470" s="165"/>
      <c r="M4470" s="166"/>
      <c r="N4470" s="167"/>
      <c r="O4470" s="163"/>
      <c r="P4470" s="163"/>
      <c r="Q4470" s="163"/>
      <c r="R4470" s="163"/>
      <c r="S4470" s="161"/>
      <c r="T4470" s="161"/>
      <c r="U4470" s="161"/>
      <c r="V4470" s="161"/>
      <c r="W4470" s="161"/>
      <c r="X4470" s="161"/>
      <c r="Y4470" s="161"/>
      <c r="Z4470" s="168"/>
      <c r="AA4470" s="168"/>
      <c r="AB4470" s="168"/>
      <c r="AC4470" s="168"/>
    </row>
    <row r="4471">
      <c r="A4471" s="161"/>
      <c r="B4471" s="161"/>
      <c r="C4471" s="162"/>
      <c r="D4471" s="163"/>
      <c r="E4471" s="164" t="str">
        <f>IFERROR(__xludf.DUMMYFUNCTION("""COMPUTED_VALUE"""),"")</f>
        <v/>
      </c>
      <c r="F4471" s="163"/>
      <c r="G4471" s="163"/>
      <c r="H4471" s="163"/>
      <c r="I4471" s="163"/>
      <c r="J4471" s="165"/>
      <c r="K4471" s="165"/>
      <c r="L4471" s="165"/>
      <c r="M4471" s="166"/>
      <c r="N4471" s="167"/>
      <c r="O4471" s="163"/>
      <c r="P4471" s="163"/>
      <c r="Q4471" s="163"/>
      <c r="R4471" s="163"/>
      <c r="S4471" s="161"/>
      <c r="T4471" s="161"/>
      <c r="U4471" s="161"/>
      <c r="V4471" s="161"/>
      <c r="W4471" s="161"/>
      <c r="X4471" s="161"/>
      <c r="Y4471" s="161"/>
      <c r="Z4471" s="168"/>
      <c r="AA4471" s="168"/>
      <c r="AB4471" s="168"/>
      <c r="AC4471" s="168"/>
    </row>
    <row r="4472">
      <c r="A4472" s="161"/>
      <c r="B4472" s="161"/>
      <c r="C4472" s="162"/>
      <c r="D4472" s="163"/>
      <c r="E4472" s="164" t="str">
        <f>IFERROR(__xludf.DUMMYFUNCTION("""COMPUTED_VALUE"""),"")</f>
        <v/>
      </c>
      <c r="F4472" s="163"/>
      <c r="G4472" s="163"/>
      <c r="H4472" s="163"/>
      <c r="I4472" s="163"/>
      <c r="J4472" s="165"/>
      <c r="K4472" s="165"/>
      <c r="L4472" s="165"/>
      <c r="M4472" s="166"/>
      <c r="N4472" s="167"/>
      <c r="O4472" s="163"/>
      <c r="P4472" s="163"/>
      <c r="Q4472" s="163"/>
      <c r="R4472" s="163"/>
      <c r="S4472" s="161"/>
      <c r="T4472" s="161"/>
      <c r="U4472" s="161"/>
      <c r="V4472" s="161"/>
      <c r="W4472" s="161"/>
      <c r="X4472" s="161"/>
      <c r="Y4472" s="161"/>
      <c r="Z4472" s="168"/>
      <c r="AA4472" s="168"/>
      <c r="AB4472" s="168"/>
      <c r="AC4472" s="168"/>
    </row>
    <row r="4473">
      <c r="A4473" s="161"/>
      <c r="B4473" s="161"/>
      <c r="C4473" s="162"/>
      <c r="D4473" s="163"/>
      <c r="E4473" s="164" t="str">
        <f>IFERROR(__xludf.DUMMYFUNCTION("""COMPUTED_VALUE"""),"")</f>
        <v/>
      </c>
      <c r="F4473" s="163"/>
      <c r="G4473" s="163"/>
      <c r="H4473" s="163"/>
      <c r="I4473" s="163"/>
      <c r="J4473" s="165"/>
      <c r="K4473" s="165"/>
      <c r="L4473" s="165"/>
      <c r="M4473" s="166"/>
      <c r="N4473" s="167"/>
      <c r="O4473" s="163"/>
      <c r="P4473" s="163"/>
      <c r="Q4473" s="163"/>
      <c r="R4473" s="163"/>
      <c r="S4473" s="161"/>
      <c r="T4473" s="161"/>
      <c r="U4473" s="161"/>
      <c r="V4473" s="161"/>
      <c r="W4473" s="161"/>
      <c r="X4473" s="161"/>
      <c r="Y4473" s="161"/>
      <c r="Z4473" s="168"/>
      <c r="AA4473" s="168"/>
      <c r="AB4473" s="168"/>
      <c r="AC4473" s="168"/>
    </row>
    <row r="4474">
      <c r="A4474" s="161"/>
      <c r="B4474" s="161"/>
      <c r="C4474" s="162"/>
      <c r="D4474" s="163"/>
      <c r="E4474" s="164" t="str">
        <f>IFERROR(__xludf.DUMMYFUNCTION("""COMPUTED_VALUE"""),"")</f>
        <v/>
      </c>
      <c r="F4474" s="163"/>
      <c r="G4474" s="163"/>
      <c r="H4474" s="163"/>
      <c r="I4474" s="163"/>
      <c r="J4474" s="165"/>
      <c r="K4474" s="165"/>
      <c r="L4474" s="165"/>
      <c r="M4474" s="166"/>
      <c r="N4474" s="167"/>
      <c r="O4474" s="163"/>
      <c r="P4474" s="163"/>
      <c r="Q4474" s="163"/>
      <c r="R4474" s="163"/>
      <c r="S4474" s="161"/>
      <c r="T4474" s="161"/>
      <c r="U4474" s="161"/>
      <c r="V4474" s="161"/>
      <c r="W4474" s="161"/>
      <c r="X4474" s="161"/>
      <c r="Y4474" s="161"/>
      <c r="Z4474" s="168"/>
      <c r="AA4474" s="168"/>
      <c r="AB4474" s="168"/>
      <c r="AC4474" s="168"/>
    </row>
    <row r="4475">
      <c r="A4475" s="161"/>
      <c r="B4475" s="161"/>
      <c r="C4475" s="162"/>
      <c r="D4475" s="163"/>
      <c r="E4475" s="164" t="str">
        <f>IFERROR(__xludf.DUMMYFUNCTION("""COMPUTED_VALUE"""),"")</f>
        <v/>
      </c>
      <c r="F4475" s="163"/>
      <c r="G4475" s="163"/>
      <c r="H4475" s="163"/>
      <c r="I4475" s="163"/>
      <c r="J4475" s="165"/>
      <c r="K4475" s="165"/>
      <c r="L4475" s="165"/>
      <c r="M4475" s="166"/>
      <c r="N4475" s="167"/>
      <c r="O4475" s="163"/>
      <c r="P4475" s="163"/>
      <c r="Q4475" s="163"/>
      <c r="R4475" s="163"/>
      <c r="S4475" s="161"/>
      <c r="T4475" s="161"/>
      <c r="U4475" s="161"/>
      <c r="V4475" s="161"/>
      <c r="W4475" s="161"/>
      <c r="X4475" s="161"/>
      <c r="Y4475" s="161"/>
      <c r="Z4475" s="168"/>
      <c r="AA4475" s="168"/>
      <c r="AB4475" s="168"/>
      <c r="AC4475" s="168"/>
    </row>
    <row r="4476">
      <c r="A4476" s="161"/>
      <c r="B4476" s="161"/>
      <c r="C4476" s="162"/>
      <c r="D4476" s="163"/>
      <c r="E4476" s="164" t="str">
        <f>IFERROR(__xludf.DUMMYFUNCTION("""COMPUTED_VALUE"""),"")</f>
        <v/>
      </c>
      <c r="F4476" s="163"/>
      <c r="G4476" s="163"/>
      <c r="H4476" s="163"/>
      <c r="I4476" s="163"/>
      <c r="J4476" s="165"/>
      <c r="K4476" s="165"/>
      <c r="L4476" s="165"/>
      <c r="M4476" s="166"/>
      <c r="N4476" s="167"/>
      <c r="O4476" s="163"/>
      <c r="P4476" s="163"/>
      <c r="Q4476" s="163"/>
      <c r="R4476" s="163"/>
      <c r="S4476" s="161"/>
      <c r="T4476" s="161"/>
      <c r="U4476" s="161"/>
      <c r="V4476" s="161"/>
      <c r="W4476" s="161"/>
      <c r="X4476" s="161"/>
      <c r="Y4476" s="161"/>
      <c r="Z4476" s="168"/>
      <c r="AA4476" s="168"/>
      <c r="AB4476" s="168"/>
      <c r="AC4476" s="168"/>
    </row>
    <row r="4477">
      <c r="A4477" s="161"/>
      <c r="B4477" s="161"/>
      <c r="C4477" s="162"/>
      <c r="D4477" s="163"/>
      <c r="E4477" s="164" t="str">
        <f>IFERROR(__xludf.DUMMYFUNCTION("""COMPUTED_VALUE"""),"")</f>
        <v/>
      </c>
      <c r="F4477" s="163"/>
      <c r="G4477" s="163"/>
      <c r="H4477" s="163"/>
      <c r="I4477" s="163"/>
      <c r="J4477" s="165"/>
      <c r="K4477" s="165"/>
      <c r="L4477" s="165"/>
      <c r="M4477" s="166"/>
      <c r="N4477" s="167"/>
      <c r="O4477" s="163"/>
      <c r="P4477" s="163"/>
      <c r="Q4477" s="163"/>
      <c r="R4477" s="163"/>
      <c r="S4477" s="161"/>
      <c r="T4477" s="161"/>
      <c r="U4477" s="161"/>
      <c r="V4477" s="161"/>
      <c r="W4477" s="161"/>
      <c r="X4477" s="161"/>
      <c r="Y4477" s="161"/>
      <c r="Z4477" s="168"/>
      <c r="AA4477" s="168"/>
      <c r="AB4477" s="168"/>
      <c r="AC4477" s="168"/>
    </row>
    <row r="4478">
      <c r="A4478" s="161"/>
      <c r="B4478" s="161"/>
      <c r="C4478" s="162"/>
      <c r="D4478" s="163"/>
      <c r="E4478" s="164" t="str">
        <f>IFERROR(__xludf.DUMMYFUNCTION("""COMPUTED_VALUE"""),"")</f>
        <v/>
      </c>
      <c r="F4478" s="163"/>
      <c r="G4478" s="163"/>
      <c r="H4478" s="163"/>
      <c r="I4478" s="163"/>
      <c r="J4478" s="165"/>
      <c r="K4478" s="165"/>
      <c r="L4478" s="165"/>
      <c r="M4478" s="166"/>
      <c r="N4478" s="167"/>
      <c r="O4478" s="163"/>
      <c r="P4478" s="163"/>
      <c r="Q4478" s="163"/>
      <c r="R4478" s="163"/>
      <c r="S4478" s="161"/>
      <c r="T4478" s="161"/>
      <c r="U4478" s="161"/>
      <c r="V4478" s="161"/>
      <c r="W4478" s="161"/>
      <c r="X4478" s="161"/>
      <c r="Y4478" s="161"/>
      <c r="Z4478" s="168"/>
      <c r="AA4478" s="168"/>
      <c r="AB4478" s="168"/>
      <c r="AC4478" s="168"/>
    </row>
    <row r="4479">
      <c r="A4479" s="161"/>
      <c r="B4479" s="161"/>
      <c r="C4479" s="162"/>
      <c r="D4479" s="163"/>
      <c r="E4479" s="164" t="str">
        <f>IFERROR(__xludf.DUMMYFUNCTION("""COMPUTED_VALUE"""),"")</f>
        <v/>
      </c>
      <c r="F4479" s="163"/>
      <c r="G4479" s="163"/>
      <c r="H4479" s="163"/>
      <c r="I4479" s="163"/>
      <c r="J4479" s="165"/>
      <c r="K4479" s="165"/>
      <c r="L4479" s="165"/>
      <c r="M4479" s="166"/>
      <c r="N4479" s="167"/>
      <c r="O4479" s="163"/>
      <c r="P4479" s="163"/>
      <c r="Q4479" s="163"/>
      <c r="R4479" s="163"/>
      <c r="S4479" s="161"/>
      <c r="T4479" s="161"/>
      <c r="U4479" s="161"/>
      <c r="V4479" s="161"/>
      <c r="W4479" s="161"/>
      <c r="X4479" s="161"/>
      <c r="Y4479" s="161"/>
      <c r="Z4479" s="168"/>
      <c r="AA4479" s="168"/>
      <c r="AB4479" s="168"/>
      <c r="AC4479" s="168"/>
    </row>
    <row r="4480">
      <c r="A4480" s="161"/>
      <c r="B4480" s="161"/>
      <c r="C4480" s="162"/>
      <c r="D4480" s="163"/>
      <c r="E4480" s="164" t="str">
        <f>IFERROR(__xludf.DUMMYFUNCTION("""COMPUTED_VALUE"""),"")</f>
        <v/>
      </c>
      <c r="F4480" s="163"/>
      <c r="G4480" s="163"/>
      <c r="H4480" s="163"/>
      <c r="I4480" s="163"/>
      <c r="J4480" s="165"/>
      <c r="K4480" s="165"/>
      <c r="L4480" s="165"/>
      <c r="M4480" s="166"/>
      <c r="N4480" s="167"/>
      <c r="O4480" s="163"/>
      <c r="P4480" s="163"/>
      <c r="Q4480" s="163"/>
      <c r="R4480" s="163"/>
      <c r="S4480" s="161"/>
      <c r="T4480" s="161"/>
      <c r="U4480" s="161"/>
      <c r="V4480" s="161"/>
      <c r="W4480" s="161"/>
      <c r="X4480" s="161"/>
      <c r="Y4480" s="161"/>
      <c r="Z4480" s="168"/>
      <c r="AA4480" s="168"/>
      <c r="AB4480" s="168"/>
      <c r="AC4480" s="168"/>
    </row>
    <row r="4481">
      <c r="A4481" s="161"/>
      <c r="B4481" s="161"/>
      <c r="C4481" s="162"/>
      <c r="D4481" s="163"/>
      <c r="E4481" s="164" t="str">
        <f>IFERROR(__xludf.DUMMYFUNCTION("""COMPUTED_VALUE"""),"")</f>
        <v/>
      </c>
      <c r="F4481" s="163"/>
      <c r="G4481" s="163"/>
      <c r="H4481" s="163"/>
      <c r="I4481" s="163"/>
      <c r="J4481" s="165"/>
      <c r="K4481" s="165"/>
      <c r="L4481" s="165"/>
      <c r="M4481" s="166"/>
      <c r="N4481" s="167"/>
      <c r="O4481" s="163"/>
      <c r="P4481" s="163"/>
      <c r="Q4481" s="163"/>
      <c r="R4481" s="163"/>
      <c r="S4481" s="161"/>
      <c r="T4481" s="161"/>
      <c r="U4481" s="161"/>
      <c r="V4481" s="161"/>
      <c r="W4481" s="161"/>
      <c r="X4481" s="161"/>
      <c r="Y4481" s="161"/>
      <c r="Z4481" s="168"/>
      <c r="AA4481" s="168"/>
      <c r="AB4481" s="168"/>
      <c r="AC4481" s="168"/>
    </row>
    <row r="4482">
      <c r="A4482" s="161"/>
      <c r="B4482" s="161"/>
      <c r="C4482" s="162"/>
      <c r="D4482" s="163"/>
      <c r="E4482" s="164" t="str">
        <f>IFERROR(__xludf.DUMMYFUNCTION("""COMPUTED_VALUE"""),"")</f>
        <v/>
      </c>
      <c r="F4482" s="163"/>
      <c r="G4482" s="163"/>
      <c r="H4482" s="163"/>
      <c r="I4482" s="163"/>
      <c r="J4482" s="165"/>
      <c r="K4482" s="165"/>
      <c r="L4482" s="165"/>
      <c r="M4482" s="166"/>
      <c r="N4482" s="167"/>
      <c r="O4482" s="163"/>
      <c r="P4482" s="163"/>
      <c r="Q4482" s="163"/>
      <c r="R4482" s="163"/>
      <c r="S4482" s="161"/>
      <c r="T4482" s="161"/>
      <c r="U4482" s="161"/>
      <c r="V4482" s="161"/>
      <c r="W4482" s="161"/>
      <c r="X4482" s="161"/>
      <c r="Y4482" s="161"/>
      <c r="Z4482" s="168"/>
      <c r="AA4482" s="168"/>
      <c r="AB4482" s="168"/>
      <c r="AC4482" s="168"/>
    </row>
    <row r="4483">
      <c r="A4483" s="161"/>
      <c r="B4483" s="161"/>
      <c r="C4483" s="162"/>
      <c r="D4483" s="163"/>
      <c r="E4483" s="164" t="str">
        <f>IFERROR(__xludf.DUMMYFUNCTION("""COMPUTED_VALUE"""),"")</f>
        <v/>
      </c>
      <c r="F4483" s="163"/>
      <c r="G4483" s="163"/>
      <c r="H4483" s="163"/>
      <c r="I4483" s="163"/>
      <c r="J4483" s="165"/>
      <c r="K4483" s="165"/>
      <c r="L4483" s="165"/>
      <c r="M4483" s="166"/>
      <c r="N4483" s="167"/>
      <c r="O4483" s="163"/>
      <c r="P4483" s="163"/>
      <c r="Q4483" s="163"/>
      <c r="R4483" s="163"/>
      <c r="S4483" s="161"/>
      <c r="T4483" s="161"/>
      <c r="U4483" s="161"/>
      <c r="V4483" s="161"/>
      <c r="W4483" s="161"/>
      <c r="X4483" s="161"/>
      <c r="Y4483" s="161"/>
      <c r="Z4483" s="168"/>
      <c r="AA4483" s="168"/>
      <c r="AB4483" s="168"/>
      <c r="AC4483" s="168"/>
    </row>
    <row r="4484">
      <c r="A4484" s="161"/>
      <c r="B4484" s="161"/>
      <c r="C4484" s="162"/>
      <c r="D4484" s="163"/>
      <c r="E4484" s="164" t="str">
        <f>IFERROR(__xludf.DUMMYFUNCTION("""COMPUTED_VALUE"""),"")</f>
        <v/>
      </c>
      <c r="F4484" s="163"/>
      <c r="G4484" s="163"/>
      <c r="H4484" s="163"/>
      <c r="I4484" s="163"/>
      <c r="J4484" s="165"/>
      <c r="K4484" s="165"/>
      <c r="L4484" s="165"/>
      <c r="M4484" s="166"/>
      <c r="N4484" s="167"/>
      <c r="O4484" s="163"/>
      <c r="P4484" s="163"/>
      <c r="Q4484" s="163"/>
      <c r="R4484" s="163"/>
      <c r="S4484" s="161"/>
      <c r="T4484" s="161"/>
      <c r="U4484" s="161"/>
      <c r="V4484" s="161"/>
      <c r="W4484" s="161"/>
      <c r="X4484" s="161"/>
      <c r="Y4484" s="161"/>
      <c r="Z4484" s="168"/>
      <c r="AA4484" s="168"/>
      <c r="AB4484" s="168"/>
      <c r="AC4484" s="168"/>
    </row>
    <row r="4485">
      <c r="A4485" s="161"/>
      <c r="B4485" s="161"/>
      <c r="C4485" s="162"/>
      <c r="D4485" s="163"/>
      <c r="E4485" s="164" t="str">
        <f>IFERROR(__xludf.DUMMYFUNCTION("""COMPUTED_VALUE"""),"")</f>
        <v/>
      </c>
      <c r="F4485" s="163"/>
      <c r="G4485" s="163"/>
      <c r="H4485" s="163"/>
      <c r="I4485" s="163"/>
      <c r="J4485" s="165"/>
      <c r="K4485" s="165"/>
      <c r="L4485" s="165"/>
      <c r="M4485" s="166"/>
      <c r="N4485" s="167"/>
      <c r="O4485" s="163"/>
      <c r="P4485" s="163"/>
      <c r="Q4485" s="163"/>
      <c r="R4485" s="163"/>
      <c r="S4485" s="161"/>
      <c r="T4485" s="161"/>
      <c r="U4485" s="161"/>
      <c r="V4485" s="161"/>
      <c r="W4485" s="161"/>
      <c r="X4485" s="161"/>
      <c r="Y4485" s="161"/>
      <c r="Z4485" s="168"/>
      <c r="AA4485" s="168"/>
      <c r="AB4485" s="168"/>
      <c r="AC4485" s="168"/>
    </row>
    <row r="4486">
      <c r="A4486" s="161"/>
      <c r="B4486" s="161"/>
      <c r="C4486" s="162"/>
      <c r="D4486" s="163"/>
      <c r="E4486" s="164" t="str">
        <f>IFERROR(__xludf.DUMMYFUNCTION("""COMPUTED_VALUE"""),"")</f>
        <v/>
      </c>
      <c r="F4486" s="163"/>
      <c r="G4486" s="163"/>
      <c r="H4486" s="163"/>
      <c r="I4486" s="163"/>
      <c r="J4486" s="165"/>
      <c r="K4486" s="165"/>
      <c r="L4486" s="165"/>
      <c r="M4486" s="166"/>
      <c r="N4486" s="167"/>
      <c r="O4486" s="163"/>
      <c r="P4486" s="163"/>
      <c r="Q4486" s="163"/>
      <c r="R4486" s="163"/>
      <c r="S4486" s="161"/>
      <c r="T4486" s="161"/>
      <c r="U4486" s="161"/>
      <c r="V4486" s="161"/>
      <c r="W4486" s="161"/>
      <c r="X4486" s="161"/>
      <c r="Y4486" s="161"/>
      <c r="Z4486" s="168"/>
      <c r="AA4486" s="168"/>
      <c r="AB4486" s="168"/>
      <c r="AC4486" s="168"/>
    </row>
    <row r="4487">
      <c r="A4487" s="161"/>
      <c r="B4487" s="161"/>
      <c r="C4487" s="162"/>
      <c r="D4487" s="163"/>
      <c r="E4487" s="164" t="str">
        <f>IFERROR(__xludf.DUMMYFUNCTION("""COMPUTED_VALUE"""),"")</f>
        <v/>
      </c>
      <c r="F4487" s="163"/>
      <c r="G4487" s="163"/>
      <c r="H4487" s="163"/>
      <c r="I4487" s="163"/>
      <c r="J4487" s="165"/>
      <c r="K4487" s="165"/>
      <c r="L4487" s="165"/>
      <c r="M4487" s="166"/>
      <c r="N4487" s="167"/>
      <c r="O4487" s="163"/>
      <c r="P4487" s="163"/>
      <c r="Q4487" s="163"/>
      <c r="R4487" s="163"/>
      <c r="S4487" s="161"/>
      <c r="T4487" s="161"/>
      <c r="U4487" s="161"/>
      <c r="V4487" s="161"/>
      <c r="W4487" s="161"/>
      <c r="X4487" s="161"/>
      <c r="Y4487" s="161"/>
      <c r="Z4487" s="168"/>
      <c r="AA4487" s="168"/>
      <c r="AB4487" s="168"/>
      <c r="AC4487" s="168"/>
    </row>
    <row r="4488">
      <c r="A4488" s="161"/>
      <c r="B4488" s="161"/>
      <c r="C4488" s="162"/>
      <c r="D4488" s="163"/>
      <c r="E4488" s="164" t="str">
        <f>IFERROR(__xludf.DUMMYFUNCTION("""COMPUTED_VALUE"""),"")</f>
        <v/>
      </c>
      <c r="F4488" s="163"/>
      <c r="G4488" s="163"/>
      <c r="H4488" s="163"/>
      <c r="I4488" s="163"/>
      <c r="J4488" s="165"/>
      <c r="K4488" s="165"/>
      <c r="L4488" s="165"/>
      <c r="M4488" s="166"/>
      <c r="N4488" s="167"/>
      <c r="O4488" s="163"/>
      <c r="P4488" s="163"/>
      <c r="Q4488" s="163"/>
      <c r="R4488" s="163"/>
      <c r="S4488" s="161"/>
      <c r="T4488" s="161"/>
      <c r="U4488" s="161"/>
      <c r="V4488" s="161"/>
      <c r="W4488" s="161"/>
      <c r="X4488" s="161"/>
      <c r="Y4488" s="161"/>
      <c r="Z4488" s="168"/>
      <c r="AA4488" s="168"/>
      <c r="AB4488" s="168"/>
      <c r="AC4488" s="168"/>
    </row>
    <row r="4489">
      <c r="A4489" s="161"/>
      <c r="B4489" s="161"/>
      <c r="C4489" s="162"/>
      <c r="D4489" s="163"/>
      <c r="E4489" s="164" t="str">
        <f>IFERROR(__xludf.DUMMYFUNCTION("""COMPUTED_VALUE"""),"")</f>
        <v/>
      </c>
      <c r="F4489" s="163"/>
      <c r="G4489" s="163"/>
      <c r="H4489" s="163"/>
      <c r="I4489" s="163"/>
      <c r="J4489" s="165"/>
      <c r="K4489" s="165"/>
      <c r="L4489" s="165"/>
      <c r="M4489" s="166"/>
      <c r="N4489" s="167"/>
      <c r="O4489" s="163"/>
      <c r="P4489" s="163"/>
      <c r="Q4489" s="163"/>
      <c r="R4489" s="163"/>
      <c r="S4489" s="161"/>
      <c r="T4489" s="161"/>
      <c r="U4489" s="161"/>
      <c r="V4489" s="161"/>
      <c r="W4489" s="161"/>
      <c r="X4489" s="161"/>
      <c r="Y4489" s="161"/>
      <c r="Z4489" s="168"/>
      <c r="AA4489" s="168"/>
      <c r="AB4489" s="168"/>
      <c r="AC4489" s="168"/>
    </row>
    <row r="4490">
      <c r="A4490" s="161"/>
      <c r="B4490" s="161"/>
      <c r="C4490" s="162"/>
      <c r="D4490" s="163"/>
      <c r="E4490" s="164" t="str">
        <f>IFERROR(__xludf.DUMMYFUNCTION("""COMPUTED_VALUE"""),"")</f>
        <v/>
      </c>
      <c r="F4490" s="163"/>
      <c r="G4490" s="163"/>
      <c r="H4490" s="163"/>
      <c r="I4490" s="163"/>
      <c r="J4490" s="165"/>
      <c r="K4490" s="165"/>
      <c r="L4490" s="165"/>
      <c r="M4490" s="166"/>
      <c r="N4490" s="167"/>
      <c r="O4490" s="163"/>
      <c r="P4490" s="163"/>
      <c r="Q4490" s="163"/>
      <c r="R4490" s="163"/>
      <c r="S4490" s="161"/>
      <c r="T4490" s="161"/>
      <c r="U4490" s="161"/>
      <c r="V4490" s="161"/>
      <c r="W4490" s="161"/>
      <c r="X4490" s="161"/>
      <c r="Y4490" s="161"/>
      <c r="Z4490" s="168"/>
      <c r="AA4490" s="168"/>
      <c r="AB4490" s="168"/>
      <c r="AC4490" s="168"/>
    </row>
    <row r="4491">
      <c r="A4491" s="161"/>
      <c r="B4491" s="161"/>
      <c r="C4491" s="162"/>
      <c r="D4491" s="163"/>
      <c r="E4491" s="164" t="str">
        <f>IFERROR(__xludf.DUMMYFUNCTION("""COMPUTED_VALUE"""),"")</f>
        <v/>
      </c>
      <c r="F4491" s="163"/>
      <c r="G4491" s="163"/>
      <c r="H4491" s="163"/>
      <c r="I4491" s="163"/>
      <c r="J4491" s="165"/>
      <c r="K4491" s="165"/>
      <c r="L4491" s="165"/>
      <c r="M4491" s="166"/>
      <c r="N4491" s="167"/>
      <c r="O4491" s="163"/>
      <c r="P4491" s="163"/>
      <c r="Q4491" s="163"/>
      <c r="R4491" s="163"/>
      <c r="S4491" s="161"/>
      <c r="T4491" s="161"/>
      <c r="U4491" s="161"/>
      <c r="V4491" s="161"/>
      <c r="W4491" s="161"/>
      <c r="X4491" s="161"/>
      <c r="Y4491" s="161"/>
      <c r="Z4491" s="168"/>
      <c r="AA4491" s="168"/>
      <c r="AB4491" s="168"/>
      <c r="AC4491" s="168"/>
    </row>
    <row r="4492">
      <c r="A4492" s="161"/>
      <c r="B4492" s="161"/>
      <c r="C4492" s="162"/>
      <c r="D4492" s="163"/>
      <c r="E4492" s="164" t="str">
        <f>IFERROR(__xludf.DUMMYFUNCTION("""COMPUTED_VALUE"""),"")</f>
        <v/>
      </c>
      <c r="F4492" s="163"/>
      <c r="G4492" s="163"/>
      <c r="H4492" s="163"/>
      <c r="I4492" s="163"/>
      <c r="J4492" s="165"/>
      <c r="K4492" s="165"/>
      <c r="L4492" s="165"/>
      <c r="M4492" s="166"/>
      <c r="N4492" s="167"/>
      <c r="O4492" s="163"/>
      <c r="P4492" s="163"/>
      <c r="Q4492" s="163"/>
      <c r="R4492" s="163"/>
      <c r="S4492" s="161"/>
      <c r="T4492" s="161"/>
      <c r="U4492" s="161"/>
      <c r="V4492" s="161"/>
      <c r="W4492" s="161"/>
      <c r="X4492" s="161"/>
      <c r="Y4492" s="161"/>
      <c r="Z4492" s="168"/>
      <c r="AA4492" s="168"/>
      <c r="AB4492" s="168"/>
      <c r="AC4492" s="168"/>
    </row>
    <row r="4493">
      <c r="A4493" s="161"/>
      <c r="B4493" s="161"/>
      <c r="C4493" s="162"/>
      <c r="D4493" s="163"/>
      <c r="E4493" s="164" t="str">
        <f>IFERROR(__xludf.DUMMYFUNCTION("""COMPUTED_VALUE"""),"")</f>
        <v/>
      </c>
      <c r="F4493" s="163"/>
      <c r="G4493" s="163"/>
      <c r="H4493" s="163"/>
      <c r="I4493" s="163"/>
      <c r="J4493" s="165"/>
      <c r="K4493" s="165"/>
      <c r="L4493" s="165"/>
      <c r="M4493" s="166"/>
      <c r="N4493" s="167"/>
      <c r="O4493" s="163"/>
      <c r="P4493" s="163"/>
      <c r="Q4493" s="163"/>
      <c r="R4493" s="163"/>
      <c r="S4493" s="161"/>
      <c r="T4493" s="161"/>
      <c r="U4493" s="161"/>
      <c r="V4493" s="161"/>
      <c r="W4493" s="161"/>
      <c r="X4493" s="161"/>
      <c r="Y4493" s="161"/>
      <c r="Z4493" s="168"/>
      <c r="AA4493" s="168"/>
      <c r="AB4493" s="168"/>
      <c r="AC4493" s="168"/>
    </row>
    <row r="4494">
      <c r="A4494" s="161"/>
      <c r="B4494" s="161"/>
      <c r="C4494" s="162"/>
      <c r="D4494" s="163"/>
      <c r="E4494" s="164" t="str">
        <f>IFERROR(__xludf.DUMMYFUNCTION("""COMPUTED_VALUE"""),"")</f>
        <v/>
      </c>
      <c r="F4494" s="163"/>
      <c r="G4494" s="163"/>
      <c r="H4494" s="163"/>
      <c r="I4494" s="163"/>
      <c r="J4494" s="165"/>
      <c r="K4494" s="165"/>
      <c r="L4494" s="165"/>
      <c r="M4494" s="166"/>
      <c r="N4494" s="167"/>
      <c r="O4494" s="163"/>
      <c r="P4494" s="163"/>
      <c r="Q4494" s="163"/>
      <c r="R4494" s="163"/>
      <c r="S4494" s="161"/>
      <c r="T4494" s="161"/>
      <c r="U4494" s="161"/>
      <c r="V4494" s="161"/>
      <c r="W4494" s="161"/>
      <c r="X4494" s="161"/>
      <c r="Y4494" s="161"/>
      <c r="Z4494" s="168"/>
      <c r="AA4494" s="168"/>
      <c r="AB4494" s="168"/>
      <c r="AC4494" s="168"/>
    </row>
    <row r="4495">
      <c r="A4495" s="161"/>
      <c r="B4495" s="161"/>
      <c r="C4495" s="162"/>
      <c r="D4495" s="163"/>
      <c r="E4495" s="164" t="str">
        <f>IFERROR(__xludf.DUMMYFUNCTION("""COMPUTED_VALUE"""),"")</f>
        <v/>
      </c>
      <c r="F4495" s="163"/>
      <c r="G4495" s="163"/>
      <c r="H4495" s="163"/>
      <c r="I4495" s="163"/>
      <c r="J4495" s="165"/>
      <c r="K4495" s="165"/>
      <c r="L4495" s="165"/>
      <c r="M4495" s="166"/>
      <c r="N4495" s="167"/>
      <c r="O4495" s="163"/>
      <c r="P4495" s="163"/>
      <c r="Q4495" s="163"/>
      <c r="R4495" s="163"/>
      <c r="S4495" s="161"/>
      <c r="T4495" s="161"/>
      <c r="U4495" s="161"/>
      <c r="V4495" s="161"/>
      <c r="W4495" s="161"/>
      <c r="X4495" s="161"/>
      <c r="Y4495" s="161"/>
      <c r="Z4495" s="168"/>
      <c r="AA4495" s="168"/>
      <c r="AB4495" s="168"/>
      <c r="AC4495" s="168"/>
    </row>
    <row r="4496">
      <c r="A4496" s="161"/>
      <c r="B4496" s="161"/>
      <c r="C4496" s="162"/>
      <c r="D4496" s="163"/>
      <c r="E4496" s="164" t="str">
        <f>IFERROR(__xludf.DUMMYFUNCTION("""COMPUTED_VALUE"""),"")</f>
        <v/>
      </c>
      <c r="F4496" s="163"/>
      <c r="G4496" s="163"/>
      <c r="H4496" s="163"/>
      <c r="I4496" s="163"/>
      <c r="J4496" s="165"/>
      <c r="K4496" s="165"/>
      <c r="L4496" s="165"/>
      <c r="M4496" s="166"/>
      <c r="N4496" s="167"/>
      <c r="O4496" s="163"/>
      <c r="P4496" s="163"/>
      <c r="Q4496" s="163"/>
      <c r="R4496" s="163"/>
      <c r="S4496" s="161"/>
      <c r="T4496" s="161"/>
      <c r="U4496" s="161"/>
      <c r="V4496" s="161"/>
      <c r="W4496" s="161"/>
      <c r="X4496" s="161"/>
      <c r="Y4496" s="161"/>
      <c r="Z4496" s="168"/>
      <c r="AA4496" s="168"/>
      <c r="AB4496" s="168"/>
      <c r="AC4496" s="168"/>
    </row>
    <row r="4497">
      <c r="A4497" s="161"/>
      <c r="B4497" s="161"/>
      <c r="C4497" s="162"/>
      <c r="D4497" s="163"/>
      <c r="E4497" s="164" t="str">
        <f>IFERROR(__xludf.DUMMYFUNCTION("""COMPUTED_VALUE"""),"")</f>
        <v/>
      </c>
      <c r="F4497" s="163"/>
      <c r="G4497" s="163"/>
      <c r="H4497" s="163"/>
      <c r="I4497" s="163"/>
      <c r="J4497" s="165"/>
      <c r="K4497" s="165"/>
      <c r="L4497" s="165"/>
      <c r="M4497" s="166"/>
      <c r="N4497" s="167"/>
      <c r="O4497" s="163"/>
      <c r="P4497" s="163"/>
      <c r="Q4497" s="163"/>
      <c r="R4497" s="163"/>
      <c r="S4497" s="161"/>
      <c r="T4497" s="161"/>
      <c r="U4497" s="161"/>
      <c r="V4497" s="161"/>
      <c r="W4497" s="161"/>
      <c r="X4497" s="161"/>
      <c r="Y4497" s="161"/>
      <c r="Z4497" s="168"/>
      <c r="AA4497" s="168"/>
      <c r="AB4497" s="168"/>
      <c r="AC4497" s="168"/>
    </row>
    <row r="4498">
      <c r="A4498" s="161"/>
      <c r="B4498" s="161"/>
      <c r="C4498" s="162"/>
      <c r="D4498" s="163"/>
      <c r="E4498" s="164" t="str">
        <f>IFERROR(__xludf.DUMMYFUNCTION("""COMPUTED_VALUE"""),"")</f>
        <v/>
      </c>
      <c r="F4498" s="163"/>
      <c r="G4498" s="163"/>
      <c r="H4498" s="163"/>
      <c r="I4498" s="163"/>
      <c r="J4498" s="165"/>
      <c r="K4498" s="165"/>
      <c r="L4498" s="165"/>
      <c r="M4498" s="166"/>
      <c r="N4498" s="167"/>
      <c r="O4498" s="163"/>
      <c r="P4498" s="163"/>
      <c r="Q4498" s="163"/>
      <c r="R4498" s="163"/>
      <c r="S4498" s="161"/>
      <c r="T4498" s="161"/>
      <c r="U4498" s="161"/>
      <c r="V4498" s="161"/>
      <c r="W4498" s="161"/>
      <c r="X4498" s="161"/>
      <c r="Y4498" s="161"/>
      <c r="Z4498" s="168"/>
      <c r="AA4498" s="168"/>
      <c r="AB4498" s="168"/>
      <c r="AC4498" s="168"/>
    </row>
    <row r="4499">
      <c r="A4499" s="161"/>
      <c r="B4499" s="161"/>
      <c r="C4499" s="162"/>
      <c r="D4499" s="163"/>
      <c r="E4499" s="164" t="str">
        <f>IFERROR(__xludf.DUMMYFUNCTION("""COMPUTED_VALUE"""),"")</f>
        <v/>
      </c>
      <c r="F4499" s="163"/>
      <c r="G4499" s="163"/>
      <c r="H4499" s="163"/>
      <c r="I4499" s="163"/>
      <c r="J4499" s="165"/>
      <c r="K4499" s="165"/>
      <c r="L4499" s="165"/>
      <c r="M4499" s="166"/>
      <c r="N4499" s="167"/>
      <c r="O4499" s="163"/>
      <c r="P4499" s="163"/>
      <c r="Q4499" s="163"/>
      <c r="R4499" s="163"/>
      <c r="S4499" s="161"/>
      <c r="T4499" s="161"/>
      <c r="U4499" s="161"/>
      <c r="V4499" s="161"/>
      <c r="W4499" s="161"/>
      <c r="X4499" s="161"/>
      <c r="Y4499" s="161"/>
      <c r="Z4499" s="168"/>
      <c r="AA4499" s="168"/>
      <c r="AB4499" s="168"/>
      <c r="AC4499" s="168"/>
    </row>
    <row r="4500">
      <c r="A4500" s="161"/>
      <c r="B4500" s="161"/>
      <c r="C4500" s="162"/>
      <c r="D4500" s="163"/>
      <c r="E4500" s="164" t="str">
        <f>IFERROR(__xludf.DUMMYFUNCTION("""COMPUTED_VALUE"""),"")</f>
        <v/>
      </c>
      <c r="F4500" s="163"/>
      <c r="G4500" s="163"/>
      <c r="H4500" s="163"/>
      <c r="I4500" s="163"/>
      <c r="J4500" s="165"/>
      <c r="K4500" s="165"/>
      <c r="L4500" s="165"/>
      <c r="M4500" s="166"/>
      <c r="N4500" s="167"/>
      <c r="O4500" s="163"/>
      <c r="P4500" s="163"/>
      <c r="Q4500" s="163"/>
      <c r="R4500" s="163"/>
      <c r="S4500" s="161"/>
      <c r="T4500" s="161"/>
      <c r="U4500" s="161"/>
      <c r="V4500" s="161"/>
      <c r="W4500" s="161"/>
      <c r="X4500" s="161"/>
      <c r="Y4500" s="161"/>
      <c r="Z4500" s="168"/>
      <c r="AA4500" s="168"/>
      <c r="AB4500" s="168"/>
      <c r="AC4500" s="168"/>
    </row>
    <row r="4501">
      <c r="A4501" s="161"/>
      <c r="B4501" s="161"/>
      <c r="C4501" s="162"/>
      <c r="D4501" s="163"/>
      <c r="E4501" s="164" t="str">
        <f>IFERROR(__xludf.DUMMYFUNCTION("""COMPUTED_VALUE"""),"")</f>
        <v/>
      </c>
      <c r="F4501" s="163"/>
      <c r="G4501" s="163"/>
      <c r="H4501" s="163"/>
      <c r="I4501" s="163"/>
      <c r="J4501" s="165"/>
      <c r="K4501" s="165"/>
      <c r="L4501" s="165"/>
      <c r="M4501" s="166"/>
      <c r="N4501" s="167"/>
      <c r="O4501" s="163"/>
      <c r="P4501" s="163"/>
      <c r="Q4501" s="163"/>
      <c r="R4501" s="163"/>
      <c r="S4501" s="161"/>
      <c r="T4501" s="161"/>
      <c r="U4501" s="161"/>
      <c r="V4501" s="161"/>
      <c r="W4501" s="161"/>
      <c r="X4501" s="161"/>
      <c r="Y4501" s="161"/>
      <c r="Z4501" s="168"/>
      <c r="AA4501" s="168"/>
      <c r="AB4501" s="168"/>
      <c r="AC4501" s="168"/>
    </row>
    <row r="4502">
      <c r="A4502" s="161"/>
      <c r="B4502" s="161"/>
      <c r="C4502" s="162"/>
      <c r="D4502" s="163"/>
      <c r="E4502" s="164" t="str">
        <f>IFERROR(__xludf.DUMMYFUNCTION("""COMPUTED_VALUE"""),"")</f>
        <v/>
      </c>
      <c r="F4502" s="163"/>
      <c r="G4502" s="163"/>
      <c r="H4502" s="163"/>
      <c r="I4502" s="163"/>
      <c r="J4502" s="165"/>
      <c r="K4502" s="165"/>
      <c r="L4502" s="165"/>
      <c r="M4502" s="166"/>
      <c r="N4502" s="167"/>
      <c r="O4502" s="163"/>
      <c r="P4502" s="163"/>
      <c r="Q4502" s="163"/>
      <c r="R4502" s="163"/>
      <c r="S4502" s="161"/>
      <c r="T4502" s="161"/>
      <c r="U4502" s="161"/>
      <c r="V4502" s="161"/>
      <c r="W4502" s="161"/>
      <c r="X4502" s="161"/>
      <c r="Y4502" s="161"/>
      <c r="Z4502" s="168"/>
      <c r="AA4502" s="168"/>
      <c r="AB4502" s="168"/>
      <c r="AC4502" s="168"/>
    </row>
    <row r="4503">
      <c r="A4503" s="161"/>
      <c r="B4503" s="161"/>
      <c r="C4503" s="162"/>
      <c r="D4503" s="163"/>
      <c r="E4503" s="164" t="str">
        <f>IFERROR(__xludf.DUMMYFUNCTION("""COMPUTED_VALUE"""),"")</f>
        <v/>
      </c>
      <c r="F4503" s="163"/>
      <c r="G4503" s="163"/>
      <c r="H4503" s="163"/>
      <c r="I4503" s="163"/>
      <c r="J4503" s="165"/>
      <c r="K4503" s="165"/>
      <c r="L4503" s="165"/>
      <c r="M4503" s="166"/>
      <c r="N4503" s="167"/>
      <c r="O4503" s="163"/>
      <c r="P4503" s="163"/>
      <c r="Q4503" s="163"/>
      <c r="R4503" s="163"/>
      <c r="S4503" s="161"/>
      <c r="T4503" s="161"/>
      <c r="U4503" s="161"/>
      <c r="V4503" s="161"/>
      <c r="W4503" s="161"/>
      <c r="X4503" s="161"/>
      <c r="Y4503" s="161"/>
      <c r="Z4503" s="168"/>
      <c r="AA4503" s="168"/>
      <c r="AB4503" s="168"/>
      <c r="AC4503" s="168"/>
    </row>
    <row r="4504">
      <c r="A4504" s="161"/>
      <c r="B4504" s="161"/>
      <c r="C4504" s="162"/>
      <c r="D4504" s="163"/>
      <c r="E4504" s="164" t="str">
        <f>IFERROR(__xludf.DUMMYFUNCTION("""COMPUTED_VALUE"""),"")</f>
        <v/>
      </c>
      <c r="F4504" s="163"/>
      <c r="G4504" s="163"/>
      <c r="H4504" s="163"/>
      <c r="I4504" s="163"/>
      <c r="J4504" s="165"/>
      <c r="K4504" s="165"/>
      <c r="L4504" s="165"/>
      <c r="M4504" s="166"/>
      <c r="N4504" s="167"/>
      <c r="O4504" s="163"/>
      <c r="P4504" s="163"/>
      <c r="Q4504" s="163"/>
      <c r="R4504" s="163"/>
      <c r="S4504" s="161"/>
      <c r="T4504" s="161"/>
      <c r="U4504" s="161"/>
      <c r="V4504" s="161"/>
      <c r="W4504" s="161"/>
      <c r="X4504" s="161"/>
      <c r="Y4504" s="161"/>
      <c r="Z4504" s="168"/>
      <c r="AA4504" s="168"/>
      <c r="AB4504" s="168"/>
      <c r="AC4504" s="168"/>
    </row>
    <row r="4505">
      <c r="A4505" s="161"/>
      <c r="B4505" s="161"/>
      <c r="C4505" s="162"/>
      <c r="D4505" s="163"/>
      <c r="E4505" s="164" t="str">
        <f>IFERROR(__xludf.DUMMYFUNCTION("""COMPUTED_VALUE"""),"")</f>
        <v/>
      </c>
      <c r="F4505" s="163"/>
      <c r="G4505" s="163"/>
      <c r="H4505" s="163"/>
      <c r="I4505" s="163"/>
      <c r="J4505" s="165"/>
      <c r="K4505" s="165"/>
      <c r="L4505" s="165"/>
      <c r="M4505" s="166"/>
      <c r="N4505" s="167"/>
      <c r="O4505" s="163"/>
      <c r="P4505" s="163"/>
      <c r="Q4505" s="163"/>
      <c r="R4505" s="163"/>
      <c r="S4505" s="161"/>
      <c r="T4505" s="161"/>
      <c r="U4505" s="161"/>
      <c r="V4505" s="161"/>
      <c r="W4505" s="161"/>
      <c r="X4505" s="161"/>
      <c r="Y4505" s="161"/>
      <c r="Z4505" s="168"/>
      <c r="AA4505" s="168"/>
      <c r="AB4505" s="168"/>
      <c r="AC4505" s="168"/>
    </row>
    <row r="4506">
      <c r="A4506" s="161"/>
      <c r="B4506" s="161"/>
      <c r="C4506" s="162"/>
      <c r="D4506" s="163"/>
      <c r="E4506" s="164" t="str">
        <f>IFERROR(__xludf.DUMMYFUNCTION("""COMPUTED_VALUE"""),"")</f>
        <v/>
      </c>
      <c r="F4506" s="163"/>
      <c r="G4506" s="163"/>
      <c r="H4506" s="163"/>
      <c r="I4506" s="163"/>
      <c r="J4506" s="165"/>
      <c r="K4506" s="165"/>
      <c r="L4506" s="165"/>
      <c r="M4506" s="166"/>
      <c r="N4506" s="167"/>
      <c r="O4506" s="163"/>
      <c r="P4506" s="163"/>
      <c r="Q4506" s="163"/>
      <c r="R4506" s="163"/>
      <c r="S4506" s="161"/>
      <c r="T4506" s="161"/>
      <c r="U4506" s="161"/>
      <c r="V4506" s="161"/>
      <c r="W4506" s="161"/>
      <c r="X4506" s="161"/>
      <c r="Y4506" s="161"/>
      <c r="Z4506" s="168"/>
      <c r="AA4506" s="168"/>
      <c r="AB4506" s="168"/>
      <c r="AC4506" s="168"/>
    </row>
    <row r="4507">
      <c r="A4507" s="161"/>
      <c r="B4507" s="161"/>
      <c r="C4507" s="162"/>
      <c r="D4507" s="163"/>
      <c r="E4507" s="164" t="str">
        <f>IFERROR(__xludf.DUMMYFUNCTION("""COMPUTED_VALUE"""),"")</f>
        <v/>
      </c>
      <c r="F4507" s="163"/>
      <c r="G4507" s="163"/>
      <c r="H4507" s="163"/>
      <c r="I4507" s="163"/>
      <c r="J4507" s="165"/>
      <c r="K4507" s="165"/>
      <c r="L4507" s="165"/>
      <c r="M4507" s="166"/>
      <c r="N4507" s="167"/>
      <c r="O4507" s="163"/>
      <c r="P4507" s="163"/>
      <c r="Q4507" s="163"/>
      <c r="R4507" s="163"/>
      <c r="S4507" s="161"/>
      <c r="T4507" s="161"/>
      <c r="U4507" s="161"/>
      <c r="V4507" s="161"/>
      <c r="W4507" s="161"/>
      <c r="X4507" s="161"/>
      <c r="Y4507" s="161"/>
      <c r="Z4507" s="168"/>
      <c r="AA4507" s="168"/>
      <c r="AB4507" s="168"/>
      <c r="AC4507" s="168"/>
    </row>
    <row r="4508">
      <c r="A4508" s="161"/>
      <c r="B4508" s="161"/>
      <c r="C4508" s="162"/>
      <c r="D4508" s="163"/>
      <c r="E4508" s="164" t="str">
        <f>IFERROR(__xludf.DUMMYFUNCTION("""COMPUTED_VALUE"""),"")</f>
        <v/>
      </c>
      <c r="F4508" s="163"/>
      <c r="G4508" s="163"/>
      <c r="H4508" s="163"/>
      <c r="I4508" s="163"/>
      <c r="J4508" s="165"/>
      <c r="K4508" s="165"/>
      <c r="L4508" s="165"/>
      <c r="M4508" s="166"/>
      <c r="N4508" s="167"/>
      <c r="O4508" s="163"/>
      <c r="P4508" s="163"/>
      <c r="Q4508" s="163"/>
      <c r="R4508" s="163"/>
      <c r="S4508" s="161"/>
      <c r="T4508" s="161"/>
      <c r="U4508" s="161"/>
      <c r="V4508" s="161"/>
      <c r="W4508" s="161"/>
      <c r="X4508" s="161"/>
      <c r="Y4508" s="161"/>
      <c r="Z4508" s="168"/>
      <c r="AA4508" s="168"/>
      <c r="AB4508" s="168"/>
      <c r="AC4508" s="168"/>
    </row>
    <row r="4509">
      <c r="A4509" s="161"/>
      <c r="B4509" s="161"/>
      <c r="C4509" s="162"/>
      <c r="D4509" s="163"/>
      <c r="E4509" s="164" t="str">
        <f>IFERROR(__xludf.DUMMYFUNCTION("""COMPUTED_VALUE"""),"")</f>
        <v/>
      </c>
      <c r="F4509" s="163"/>
      <c r="G4509" s="163"/>
      <c r="H4509" s="163"/>
      <c r="I4509" s="163"/>
      <c r="J4509" s="165"/>
      <c r="K4509" s="165"/>
      <c r="L4509" s="165"/>
      <c r="M4509" s="166"/>
      <c r="N4509" s="167"/>
      <c r="O4509" s="163"/>
      <c r="P4509" s="163"/>
      <c r="Q4509" s="163"/>
      <c r="R4509" s="163"/>
      <c r="S4509" s="161"/>
      <c r="T4509" s="161"/>
      <c r="U4509" s="161"/>
      <c r="V4509" s="161"/>
      <c r="W4509" s="161"/>
      <c r="X4509" s="161"/>
      <c r="Y4509" s="161"/>
      <c r="Z4509" s="168"/>
      <c r="AA4509" s="168"/>
      <c r="AB4509" s="168"/>
      <c r="AC4509" s="168"/>
    </row>
    <row r="4510">
      <c r="A4510" s="161"/>
      <c r="B4510" s="161"/>
      <c r="C4510" s="162"/>
      <c r="D4510" s="163"/>
      <c r="E4510" s="164" t="str">
        <f>IFERROR(__xludf.DUMMYFUNCTION("""COMPUTED_VALUE"""),"")</f>
        <v/>
      </c>
      <c r="F4510" s="163"/>
      <c r="G4510" s="163"/>
      <c r="H4510" s="163"/>
      <c r="I4510" s="163"/>
      <c r="J4510" s="165"/>
      <c r="K4510" s="165"/>
      <c r="L4510" s="165"/>
      <c r="M4510" s="166"/>
      <c r="N4510" s="167"/>
      <c r="O4510" s="163"/>
      <c r="P4510" s="163"/>
      <c r="Q4510" s="163"/>
      <c r="R4510" s="163"/>
      <c r="S4510" s="161"/>
      <c r="T4510" s="161"/>
      <c r="U4510" s="161"/>
      <c r="V4510" s="161"/>
      <c r="W4510" s="161"/>
      <c r="X4510" s="161"/>
      <c r="Y4510" s="161"/>
      <c r="Z4510" s="168"/>
      <c r="AA4510" s="168"/>
      <c r="AB4510" s="168"/>
      <c r="AC4510" s="168"/>
    </row>
    <row r="4511">
      <c r="A4511" s="161"/>
      <c r="B4511" s="161"/>
      <c r="C4511" s="162"/>
      <c r="D4511" s="163"/>
      <c r="E4511" s="164" t="str">
        <f>IFERROR(__xludf.DUMMYFUNCTION("""COMPUTED_VALUE"""),"")</f>
        <v/>
      </c>
      <c r="F4511" s="163"/>
      <c r="G4511" s="163"/>
      <c r="H4511" s="163"/>
      <c r="I4511" s="163"/>
      <c r="J4511" s="165"/>
      <c r="K4511" s="165"/>
      <c r="L4511" s="165"/>
      <c r="M4511" s="166"/>
      <c r="N4511" s="167"/>
      <c r="O4511" s="163"/>
      <c r="P4511" s="163"/>
      <c r="Q4511" s="163"/>
      <c r="R4511" s="163"/>
      <c r="S4511" s="161"/>
      <c r="T4511" s="161"/>
      <c r="U4511" s="161"/>
      <c r="V4511" s="161"/>
      <c r="W4511" s="161"/>
      <c r="X4511" s="161"/>
      <c r="Y4511" s="161"/>
      <c r="Z4511" s="168"/>
      <c r="AA4511" s="168"/>
      <c r="AB4511" s="168"/>
      <c r="AC4511" s="168"/>
    </row>
    <row r="4512">
      <c r="A4512" s="161"/>
      <c r="B4512" s="161"/>
      <c r="C4512" s="162"/>
      <c r="D4512" s="163"/>
      <c r="E4512" s="164" t="str">
        <f>IFERROR(__xludf.DUMMYFUNCTION("""COMPUTED_VALUE"""),"")</f>
        <v/>
      </c>
      <c r="F4512" s="163"/>
      <c r="G4512" s="163"/>
      <c r="H4512" s="163"/>
      <c r="I4512" s="163"/>
      <c r="J4512" s="165"/>
      <c r="K4512" s="165"/>
      <c r="L4512" s="165"/>
      <c r="M4512" s="166"/>
      <c r="N4512" s="167"/>
      <c r="O4512" s="163"/>
      <c r="P4512" s="163"/>
      <c r="Q4512" s="163"/>
      <c r="R4512" s="163"/>
      <c r="S4512" s="161"/>
      <c r="T4512" s="161"/>
      <c r="U4512" s="161"/>
      <c r="V4512" s="161"/>
      <c r="W4512" s="161"/>
      <c r="X4512" s="161"/>
      <c r="Y4512" s="161"/>
      <c r="Z4512" s="168"/>
      <c r="AA4512" s="168"/>
      <c r="AB4512" s="168"/>
      <c r="AC4512" s="168"/>
    </row>
    <row r="4513">
      <c r="A4513" s="161"/>
      <c r="B4513" s="161"/>
      <c r="C4513" s="162"/>
      <c r="D4513" s="163"/>
      <c r="E4513" s="164" t="str">
        <f>IFERROR(__xludf.DUMMYFUNCTION("""COMPUTED_VALUE"""),"")</f>
        <v/>
      </c>
      <c r="F4513" s="163"/>
      <c r="G4513" s="163"/>
      <c r="H4513" s="163"/>
      <c r="I4513" s="163"/>
      <c r="J4513" s="165"/>
      <c r="K4513" s="165"/>
      <c r="L4513" s="165"/>
      <c r="M4513" s="166"/>
      <c r="N4513" s="167"/>
      <c r="O4513" s="163"/>
      <c r="P4513" s="163"/>
      <c r="Q4513" s="163"/>
      <c r="R4513" s="163"/>
      <c r="S4513" s="161"/>
      <c r="T4513" s="161"/>
      <c r="U4513" s="161"/>
      <c r="V4513" s="161"/>
      <c r="W4513" s="161"/>
      <c r="X4513" s="161"/>
      <c r="Y4513" s="161"/>
      <c r="Z4513" s="168"/>
      <c r="AA4513" s="168"/>
      <c r="AB4513" s="168"/>
      <c r="AC4513" s="168"/>
    </row>
    <row r="4514">
      <c r="A4514" s="161"/>
      <c r="B4514" s="161"/>
      <c r="C4514" s="162"/>
      <c r="D4514" s="163"/>
      <c r="E4514" s="164" t="str">
        <f>IFERROR(__xludf.DUMMYFUNCTION("""COMPUTED_VALUE"""),"")</f>
        <v/>
      </c>
      <c r="F4514" s="163"/>
      <c r="G4514" s="163"/>
      <c r="H4514" s="163"/>
      <c r="I4514" s="163"/>
      <c r="J4514" s="165"/>
      <c r="K4514" s="165"/>
      <c r="L4514" s="165"/>
      <c r="M4514" s="166"/>
      <c r="N4514" s="167"/>
      <c r="O4514" s="163"/>
      <c r="P4514" s="163"/>
      <c r="Q4514" s="163"/>
      <c r="R4514" s="163"/>
      <c r="S4514" s="161"/>
      <c r="T4514" s="161"/>
      <c r="U4514" s="161"/>
      <c r="V4514" s="161"/>
      <c r="W4514" s="161"/>
      <c r="X4514" s="161"/>
      <c r="Y4514" s="161"/>
      <c r="Z4514" s="168"/>
      <c r="AA4514" s="168"/>
      <c r="AB4514" s="168"/>
      <c r="AC4514" s="168"/>
    </row>
    <row r="4515">
      <c r="A4515" s="161"/>
      <c r="B4515" s="161"/>
      <c r="C4515" s="162"/>
      <c r="D4515" s="163"/>
      <c r="E4515" s="164" t="str">
        <f>IFERROR(__xludf.DUMMYFUNCTION("""COMPUTED_VALUE"""),"")</f>
        <v/>
      </c>
      <c r="F4515" s="163"/>
      <c r="G4515" s="163"/>
      <c r="H4515" s="163"/>
      <c r="I4515" s="163"/>
      <c r="J4515" s="165"/>
      <c r="K4515" s="165"/>
      <c r="L4515" s="165"/>
      <c r="M4515" s="166"/>
      <c r="N4515" s="167"/>
      <c r="O4515" s="163"/>
      <c r="P4515" s="163"/>
      <c r="Q4515" s="163"/>
      <c r="R4515" s="163"/>
      <c r="S4515" s="161"/>
      <c r="T4515" s="161"/>
      <c r="U4515" s="161"/>
      <c r="V4515" s="161"/>
      <c r="W4515" s="161"/>
      <c r="X4515" s="161"/>
      <c r="Y4515" s="161"/>
      <c r="Z4515" s="168"/>
      <c r="AA4515" s="168"/>
      <c r="AB4515" s="168"/>
      <c r="AC4515" s="168"/>
    </row>
    <row r="4516">
      <c r="A4516" s="161"/>
      <c r="B4516" s="161"/>
      <c r="C4516" s="162"/>
      <c r="D4516" s="163"/>
      <c r="E4516" s="164" t="str">
        <f>IFERROR(__xludf.DUMMYFUNCTION("""COMPUTED_VALUE"""),"")</f>
        <v/>
      </c>
      <c r="F4516" s="163"/>
      <c r="G4516" s="163"/>
      <c r="H4516" s="163"/>
      <c r="I4516" s="163"/>
      <c r="J4516" s="165"/>
      <c r="K4516" s="165"/>
      <c r="L4516" s="165"/>
      <c r="M4516" s="166"/>
      <c r="N4516" s="167"/>
      <c r="O4516" s="163"/>
      <c r="P4516" s="163"/>
      <c r="Q4516" s="163"/>
      <c r="R4516" s="163"/>
      <c r="S4516" s="161"/>
      <c r="T4516" s="161"/>
      <c r="U4516" s="161"/>
      <c r="V4516" s="161"/>
      <c r="W4516" s="161"/>
      <c r="X4516" s="161"/>
      <c r="Y4516" s="161"/>
      <c r="Z4516" s="168"/>
      <c r="AA4516" s="168"/>
      <c r="AB4516" s="168"/>
      <c r="AC4516" s="168"/>
    </row>
    <row r="4517">
      <c r="A4517" s="161"/>
      <c r="B4517" s="161"/>
      <c r="C4517" s="162"/>
      <c r="D4517" s="163"/>
      <c r="E4517" s="164" t="str">
        <f>IFERROR(__xludf.DUMMYFUNCTION("""COMPUTED_VALUE"""),"")</f>
        <v/>
      </c>
      <c r="F4517" s="163"/>
      <c r="G4517" s="163"/>
      <c r="H4517" s="163"/>
      <c r="I4517" s="163"/>
      <c r="J4517" s="165"/>
      <c r="K4517" s="165"/>
      <c r="L4517" s="165"/>
      <c r="M4517" s="166"/>
      <c r="N4517" s="167"/>
      <c r="O4517" s="163"/>
      <c r="P4517" s="163"/>
      <c r="Q4517" s="163"/>
      <c r="R4517" s="163"/>
      <c r="S4517" s="161"/>
      <c r="T4517" s="161"/>
      <c r="U4517" s="161"/>
      <c r="V4517" s="161"/>
      <c r="W4517" s="161"/>
      <c r="X4517" s="161"/>
      <c r="Y4517" s="161"/>
      <c r="Z4517" s="168"/>
      <c r="AA4517" s="168"/>
      <c r="AB4517" s="168"/>
      <c r="AC4517" s="168"/>
    </row>
    <row r="4518">
      <c r="A4518" s="161"/>
      <c r="B4518" s="161"/>
      <c r="C4518" s="162"/>
      <c r="D4518" s="163"/>
      <c r="E4518" s="164" t="str">
        <f>IFERROR(__xludf.DUMMYFUNCTION("""COMPUTED_VALUE"""),"")</f>
        <v/>
      </c>
      <c r="F4518" s="163"/>
      <c r="G4518" s="163"/>
      <c r="H4518" s="163"/>
      <c r="I4518" s="163"/>
      <c r="J4518" s="165"/>
      <c r="K4518" s="165"/>
      <c r="L4518" s="165"/>
      <c r="M4518" s="166"/>
      <c r="N4518" s="167"/>
      <c r="O4518" s="163"/>
      <c r="P4518" s="163"/>
      <c r="Q4518" s="163"/>
      <c r="R4518" s="163"/>
      <c r="S4518" s="161"/>
      <c r="T4518" s="161"/>
      <c r="U4518" s="161"/>
      <c r="V4518" s="161"/>
      <c r="W4518" s="161"/>
      <c r="X4518" s="161"/>
      <c r="Y4518" s="161"/>
      <c r="Z4518" s="168"/>
      <c r="AA4518" s="168"/>
      <c r="AB4518" s="168"/>
      <c r="AC4518" s="168"/>
    </row>
    <row r="4519">
      <c r="A4519" s="161"/>
      <c r="B4519" s="161"/>
      <c r="C4519" s="162"/>
      <c r="D4519" s="163"/>
      <c r="E4519" s="164" t="str">
        <f>IFERROR(__xludf.DUMMYFUNCTION("""COMPUTED_VALUE"""),"")</f>
        <v/>
      </c>
      <c r="F4519" s="163"/>
      <c r="G4519" s="163"/>
      <c r="H4519" s="163"/>
      <c r="I4519" s="163"/>
      <c r="J4519" s="165"/>
      <c r="K4519" s="165"/>
      <c r="L4519" s="165"/>
      <c r="M4519" s="166"/>
      <c r="N4519" s="167"/>
      <c r="O4519" s="163"/>
      <c r="P4519" s="163"/>
      <c r="Q4519" s="163"/>
      <c r="R4519" s="163"/>
      <c r="S4519" s="161"/>
      <c r="T4519" s="161"/>
      <c r="U4519" s="161"/>
      <c r="V4519" s="161"/>
      <c r="W4519" s="161"/>
      <c r="X4519" s="161"/>
      <c r="Y4519" s="161"/>
      <c r="Z4519" s="168"/>
      <c r="AA4519" s="168"/>
      <c r="AB4519" s="168"/>
      <c r="AC4519" s="168"/>
    </row>
    <row r="4520">
      <c r="A4520" s="161"/>
      <c r="B4520" s="161"/>
      <c r="C4520" s="162"/>
      <c r="D4520" s="163"/>
      <c r="E4520" s="164" t="str">
        <f>IFERROR(__xludf.DUMMYFUNCTION("""COMPUTED_VALUE"""),"")</f>
        <v/>
      </c>
      <c r="F4520" s="163"/>
      <c r="G4520" s="163"/>
      <c r="H4520" s="163"/>
      <c r="I4520" s="163"/>
      <c r="J4520" s="165"/>
      <c r="K4520" s="165"/>
      <c r="L4520" s="165"/>
      <c r="M4520" s="166"/>
      <c r="N4520" s="167"/>
      <c r="O4520" s="163"/>
      <c r="P4520" s="163"/>
      <c r="Q4520" s="163"/>
      <c r="R4520" s="163"/>
      <c r="S4520" s="161"/>
      <c r="T4520" s="161"/>
      <c r="U4520" s="161"/>
      <c r="V4520" s="161"/>
      <c r="W4520" s="161"/>
      <c r="X4520" s="161"/>
      <c r="Y4520" s="161"/>
      <c r="Z4520" s="168"/>
      <c r="AA4520" s="168"/>
      <c r="AB4520" s="168"/>
      <c r="AC4520" s="168"/>
    </row>
    <row r="4521">
      <c r="A4521" s="161"/>
      <c r="B4521" s="161"/>
      <c r="C4521" s="162"/>
      <c r="D4521" s="163"/>
      <c r="E4521" s="164" t="str">
        <f>IFERROR(__xludf.DUMMYFUNCTION("""COMPUTED_VALUE"""),"")</f>
        <v/>
      </c>
      <c r="F4521" s="163"/>
      <c r="G4521" s="163"/>
      <c r="H4521" s="163"/>
      <c r="I4521" s="163"/>
      <c r="J4521" s="165"/>
      <c r="K4521" s="165"/>
      <c r="L4521" s="165"/>
      <c r="M4521" s="166"/>
      <c r="N4521" s="167"/>
      <c r="O4521" s="163"/>
      <c r="P4521" s="163"/>
      <c r="Q4521" s="163"/>
      <c r="R4521" s="163"/>
      <c r="S4521" s="161"/>
      <c r="T4521" s="161"/>
      <c r="U4521" s="161"/>
      <c r="V4521" s="161"/>
      <c r="W4521" s="161"/>
      <c r="X4521" s="161"/>
      <c r="Y4521" s="161"/>
      <c r="Z4521" s="168"/>
      <c r="AA4521" s="168"/>
      <c r="AB4521" s="168"/>
      <c r="AC4521" s="168"/>
    </row>
    <row r="4522">
      <c r="A4522" s="161"/>
      <c r="B4522" s="161"/>
      <c r="C4522" s="162"/>
      <c r="D4522" s="163"/>
      <c r="E4522" s="164" t="str">
        <f>IFERROR(__xludf.DUMMYFUNCTION("""COMPUTED_VALUE"""),"")</f>
        <v/>
      </c>
      <c r="F4522" s="163"/>
      <c r="G4522" s="163"/>
      <c r="H4522" s="163"/>
      <c r="I4522" s="163"/>
      <c r="J4522" s="165"/>
      <c r="K4522" s="165"/>
      <c r="L4522" s="165"/>
      <c r="M4522" s="166"/>
      <c r="N4522" s="167"/>
      <c r="O4522" s="163"/>
      <c r="P4522" s="163"/>
      <c r="Q4522" s="163"/>
      <c r="R4522" s="163"/>
      <c r="S4522" s="161"/>
      <c r="T4522" s="161"/>
      <c r="U4522" s="161"/>
      <c r="V4522" s="161"/>
      <c r="W4522" s="161"/>
      <c r="X4522" s="161"/>
      <c r="Y4522" s="161"/>
      <c r="Z4522" s="168"/>
      <c r="AA4522" s="168"/>
      <c r="AB4522" s="168"/>
      <c r="AC4522" s="168"/>
    </row>
    <row r="4523">
      <c r="A4523" s="161"/>
      <c r="B4523" s="161"/>
      <c r="C4523" s="162"/>
      <c r="D4523" s="163"/>
      <c r="E4523" s="164" t="str">
        <f>IFERROR(__xludf.DUMMYFUNCTION("""COMPUTED_VALUE"""),"")</f>
        <v/>
      </c>
      <c r="F4523" s="163"/>
      <c r="G4523" s="163"/>
      <c r="H4523" s="163"/>
      <c r="I4523" s="163"/>
      <c r="J4523" s="165"/>
      <c r="K4523" s="165"/>
      <c r="L4523" s="165"/>
      <c r="M4523" s="166"/>
      <c r="N4523" s="167"/>
      <c r="O4523" s="163"/>
      <c r="P4523" s="163"/>
      <c r="Q4523" s="163"/>
      <c r="R4523" s="163"/>
      <c r="S4523" s="161"/>
      <c r="T4523" s="161"/>
      <c r="U4523" s="161"/>
      <c r="V4523" s="161"/>
      <c r="W4523" s="161"/>
      <c r="X4523" s="161"/>
      <c r="Y4523" s="161"/>
      <c r="Z4523" s="168"/>
      <c r="AA4523" s="168"/>
      <c r="AB4523" s="168"/>
      <c r="AC4523" s="168"/>
    </row>
    <row r="4524">
      <c r="A4524" s="161"/>
      <c r="B4524" s="161"/>
      <c r="C4524" s="162"/>
      <c r="D4524" s="163"/>
      <c r="E4524" s="164" t="str">
        <f>IFERROR(__xludf.DUMMYFUNCTION("""COMPUTED_VALUE"""),"")</f>
        <v/>
      </c>
      <c r="F4524" s="163"/>
      <c r="G4524" s="163"/>
      <c r="H4524" s="163"/>
      <c r="I4524" s="163"/>
      <c r="J4524" s="165"/>
      <c r="K4524" s="165"/>
      <c r="L4524" s="165"/>
      <c r="M4524" s="166"/>
      <c r="N4524" s="167"/>
      <c r="O4524" s="163"/>
      <c r="P4524" s="163"/>
      <c r="Q4524" s="163"/>
      <c r="R4524" s="163"/>
      <c r="S4524" s="161"/>
      <c r="T4524" s="161"/>
      <c r="U4524" s="161"/>
      <c r="V4524" s="161"/>
      <c r="W4524" s="161"/>
      <c r="X4524" s="161"/>
      <c r="Y4524" s="161"/>
      <c r="Z4524" s="168"/>
      <c r="AA4524" s="168"/>
      <c r="AB4524" s="168"/>
      <c r="AC4524" s="168"/>
    </row>
    <row r="4525">
      <c r="A4525" s="161"/>
      <c r="B4525" s="161"/>
      <c r="C4525" s="162"/>
      <c r="D4525" s="163"/>
      <c r="E4525" s="164" t="str">
        <f>IFERROR(__xludf.DUMMYFUNCTION("""COMPUTED_VALUE"""),"")</f>
        <v/>
      </c>
      <c r="F4525" s="163"/>
      <c r="G4525" s="163"/>
      <c r="H4525" s="163"/>
      <c r="I4525" s="163"/>
      <c r="J4525" s="165"/>
      <c r="K4525" s="165"/>
      <c r="L4525" s="165"/>
      <c r="M4525" s="166"/>
      <c r="N4525" s="167"/>
      <c r="O4525" s="163"/>
      <c r="P4525" s="163"/>
      <c r="Q4525" s="163"/>
      <c r="R4525" s="163"/>
      <c r="S4525" s="161"/>
      <c r="T4525" s="161"/>
      <c r="U4525" s="161"/>
      <c r="V4525" s="161"/>
      <c r="W4525" s="161"/>
      <c r="X4525" s="161"/>
      <c r="Y4525" s="161"/>
      <c r="Z4525" s="168"/>
      <c r="AA4525" s="168"/>
      <c r="AB4525" s="168"/>
      <c r="AC4525" s="168"/>
    </row>
    <row r="4526">
      <c r="A4526" s="161"/>
      <c r="B4526" s="161"/>
      <c r="C4526" s="162"/>
      <c r="D4526" s="163"/>
      <c r="E4526" s="164" t="str">
        <f>IFERROR(__xludf.DUMMYFUNCTION("""COMPUTED_VALUE"""),"")</f>
        <v/>
      </c>
      <c r="F4526" s="163"/>
      <c r="G4526" s="163"/>
      <c r="H4526" s="163"/>
      <c r="I4526" s="163"/>
      <c r="J4526" s="165"/>
      <c r="K4526" s="165"/>
      <c r="L4526" s="165"/>
      <c r="M4526" s="166"/>
      <c r="N4526" s="167"/>
      <c r="O4526" s="163"/>
      <c r="P4526" s="163"/>
      <c r="Q4526" s="163"/>
      <c r="R4526" s="163"/>
      <c r="S4526" s="161"/>
      <c r="T4526" s="161"/>
      <c r="U4526" s="161"/>
      <c r="V4526" s="161"/>
      <c r="W4526" s="161"/>
      <c r="X4526" s="161"/>
      <c r="Y4526" s="161"/>
      <c r="Z4526" s="168"/>
      <c r="AA4526" s="168"/>
      <c r="AB4526" s="168"/>
      <c r="AC4526" s="168"/>
    </row>
    <row r="4527">
      <c r="A4527" s="161"/>
      <c r="B4527" s="161"/>
      <c r="C4527" s="162"/>
      <c r="D4527" s="163"/>
      <c r="E4527" s="164" t="str">
        <f>IFERROR(__xludf.DUMMYFUNCTION("""COMPUTED_VALUE"""),"")</f>
        <v/>
      </c>
      <c r="F4527" s="163"/>
      <c r="G4527" s="163"/>
      <c r="H4527" s="163"/>
      <c r="I4527" s="163"/>
      <c r="J4527" s="165"/>
      <c r="K4527" s="165"/>
      <c r="L4527" s="165"/>
      <c r="M4527" s="166"/>
      <c r="N4527" s="167"/>
      <c r="O4527" s="163"/>
      <c r="P4527" s="163"/>
      <c r="Q4527" s="163"/>
      <c r="R4527" s="163"/>
      <c r="S4527" s="161"/>
      <c r="T4527" s="161"/>
      <c r="U4527" s="161"/>
      <c r="V4527" s="161"/>
      <c r="W4527" s="161"/>
      <c r="X4527" s="161"/>
      <c r="Y4527" s="161"/>
      <c r="Z4527" s="168"/>
      <c r="AA4527" s="168"/>
      <c r="AB4527" s="168"/>
      <c r="AC4527" s="168"/>
    </row>
    <row r="4528">
      <c r="A4528" s="161"/>
      <c r="B4528" s="161"/>
      <c r="C4528" s="162"/>
      <c r="D4528" s="163"/>
      <c r="E4528" s="164" t="str">
        <f>IFERROR(__xludf.DUMMYFUNCTION("""COMPUTED_VALUE"""),"")</f>
        <v/>
      </c>
      <c r="F4528" s="163"/>
      <c r="G4528" s="163"/>
      <c r="H4528" s="163"/>
      <c r="I4528" s="163"/>
      <c r="J4528" s="165"/>
      <c r="K4528" s="165"/>
      <c r="L4528" s="165"/>
      <c r="M4528" s="166"/>
      <c r="N4528" s="167"/>
      <c r="O4528" s="163"/>
      <c r="P4528" s="163"/>
      <c r="Q4528" s="163"/>
      <c r="R4528" s="163"/>
      <c r="S4528" s="161"/>
      <c r="T4528" s="161"/>
      <c r="U4528" s="161"/>
      <c r="V4528" s="161"/>
      <c r="W4528" s="161"/>
      <c r="X4528" s="161"/>
      <c r="Y4528" s="161"/>
      <c r="Z4528" s="168"/>
      <c r="AA4528" s="168"/>
      <c r="AB4528" s="168"/>
      <c r="AC4528" s="168"/>
    </row>
    <row r="4529">
      <c r="A4529" s="161"/>
      <c r="B4529" s="161"/>
      <c r="C4529" s="162"/>
      <c r="D4529" s="163"/>
      <c r="E4529" s="164" t="str">
        <f>IFERROR(__xludf.DUMMYFUNCTION("""COMPUTED_VALUE"""),"")</f>
        <v/>
      </c>
      <c r="F4529" s="163"/>
      <c r="G4529" s="163"/>
      <c r="H4529" s="163"/>
      <c r="I4529" s="163"/>
      <c r="J4529" s="165"/>
      <c r="K4529" s="165"/>
      <c r="L4529" s="165"/>
      <c r="M4529" s="166"/>
      <c r="N4529" s="167"/>
      <c r="O4529" s="163"/>
      <c r="P4529" s="163"/>
      <c r="Q4529" s="163"/>
      <c r="R4529" s="163"/>
      <c r="S4529" s="161"/>
      <c r="T4529" s="161"/>
      <c r="U4529" s="161"/>
      <c r="V4529" s="161"/>
      <c r="W4529" s="161"/>
      <c r="X4529" s="161"/>
      <c r="Y4529" s="161"/>
      <c r="Z4529" s="168"/>
      <c r="AA4529" s="168"/>
      <c r="AB4529" s="168"/>
      <c r="AC4529" s="168"/>
    </row>
    <row r="4530">
      <c r="A4530" s="161"/>
      <c r="B4530" s="161"/>
      <c r="C4530" s="162"/>
      <c r="D4530" s="163"/>
      <c r="E4530" s="164" t="str">
        <f>IFERROR(__xludf.DUMMYFUNCTION("""COMPUTED_VALUE"""),"")</f>
        <v/>
      </c>
      <c r="F4530" s="163"/>
      <c r="G4530" s="163"/>
      <c r="H4530" s="163"/>
      <c r="I4530" s="163"/>
      <c r="J4530" s="165"/>
      <c r="K4530" s="165"/>
      <c r="L4530" s="165"/>
      <c r="M4530" s="166"/>
      <c r="N4530" s="167"/>
      <c r="O4530" s="163"/>
      <c r="P4530" s="163"/>
      <c r="Q4530" s="163"/>
      <c r="R4530" s="163"/>
      <c r="S4530" s="161"/>
      <c r="T4530" s="161"/>
      <c r="U4530" s="161"/>
      <c r="V4530" s="161"/>
      <c r="W4530" s="161"/>
      <c r="X4530" s="161"/>
      <c r="Y4530" s="161"/>
      <c r="Z4530" s="168"/>
      <c r="AA4530" s="168"/>
      <c r="AB4530" s="168"/>
      <c r="AC4530" s="168"/>
    </row>
    <row r="4531">
      <c r="A4531" s="161"/>
      <c r="B4531" s="161"/>
      <c r="C4531" s="162"/>
      <c r="D4531" s="163"/>
      <c r="E4531" s="164" t="str">
        <f>IFERROR(__xludf.DUMMYFUNCTION("""COMPUTED_VALUE"""),"")</f>
        <v/>
      </c>
      <c r="F4531" s="163"/>
      <c r="G4531" s="163"/>
      <c r="H4531" s="163"/>
      <c r="I4531" s="163"/>
      <c r="J4531" s="165"/>
      <c r="K4531" s="165"/>
      <c r="L4531" s="165"/>
      <c r="M4531" s="166"/>
      <c r="N4531" s="167"/>
      <c r="O4531" s="163"/>
      <c r="P4531" s="163"/>
      <c r="Q4531" s="163"/>
      <c r="R4531" s="163"/>
      <c r="S4531" s="161"/>
      <c r="T4531" s="161"/>
      <c r="U4531" s="161"/>
      <c r="V4531" s="161"/>
      <c r="W4531" s="161"/>
      <c r="X4531" s="161"/>
      <c r="Y4531" s="161"/>
      <c r="Z4531" s="168"/>
      <c r="AA4531" s="168"/>
      <c r="AB4531" s="168"/>
      <c r="AC4531" s="168"/>
    </row>
    <row r="4532">
      <c r="A4532" s="161"/>
      <c r="B4532" s="161"/>
      <c r="C4532" s="162"/>
      <c r="D4532" s="163"/>
      <c r="E4532" s="164" t="str">
        <f>IFERROR(__xludf.DUMMYFUNCTION("""COMPUTED_VALUE"""),"")</f>
        <v/>
      </c>
      <c r="F4532" s="163"/>
      <c r="G4532" s="163"/>
      <c r="H4532" s="163"/>
      <c r="I4532" s="163"/>
      <c r="J4532" s="165"/>
      <c r="K4532" s="165"/>
      <c r="L4532" s="165"/>
      <c r="M4532" s="166"/>
      <c r="N4532" s="167"/>
      <c r="O4532" s="163"/>
      <c r="P4532" s="163"/>
      <c r="Q4532" s="163"/>
      <c r="R4532" s="163"/>
      <c r="S4532" s="161"/>
      <c r="T4532" s="161"/>
      <c r="U4532" s="161"/>
      <c r="V4532" s="161"/>
      <c r="W4532" s="161"/>
      <c r="X4532" s="161"/>
      <c r="Y4532" s="161"/>
      <c r="Z4532" s="168"/>
      <c r="AA4532" s="168"/>
      <c r="AB4532" s="168"/>
      <c r="AC4532" s="168"/>
    </row>
    <row r="4533">
      <c r="A4533" s="161"/>
      <c r="B4533" s="161"/>
      <c r="C4533" s="162"/>
      <c r="D4533" s="163"/>
      <c r="E4533" s="164" t="str">
        <f>IFERROR(__xludf.DUMMYFUNCTION("""COMPUTED_VALUE"""),"")</f>
        <v/>
      </c>
      <c r="F4533" s="163"/>
      <c r="G4533" s="163"/>
      <c r="H4533" s="163"/>
      <c r="I4533" s="163"/>
      <c r="J4533" s="165"/>
      <c r="K4533" s="165"/>
      <c r="L4533" s="165"/>
      <c r="M4533" s="166"/>
      <c r="N4533" s="167"/>
      <c r="O4533" s="163"/>
      <c r="P4533" s="163"/>
      <c r="Q4533" s="163"/>
      <c r="R4533" s="163"/>
      <c r="S4533" s="161"/>
      <c r="T4533" s="161"/>
      <c r="U4533" s="161"/>
      <c r="V4533" s="161"/>
      <c r="W4533" s="161"/>
      <c r="X4533" s="161"/>
      <c r="Y4533" s="161"/>
      <c r="Z4533" s="168"/>
      <c r="AA4533" s="168"/>
      <c r="AB4533" s="168"/>
      <c r="AC4533" s="168"/>
    </row>
    <row r="4534">
      <c r="A4534" s="161"/>
      <c r="B4534" s="161"/>
      <c r="C4534" s="162"/>
      <c r="D4534" s="163"/>
      <c r="E4534" s="164" t="str">
        <f>IFERROR(__xludf.DUMMYFUNCTION("""COMPUTED_VALUE"""),"")</f>
        <v/>
      </c>
      <c r="F4534" s="163"/>
      <c r="G4534" s="163"/>
      <c r="H4534" s="163"/>
      <c r="I4534" s="163"/>
      <c r="J4534" s="165"/>
      <c r="K4534" s="165"/>
      <c r="L4534" s="165"/>
      <c r="M4534" s="166"/>
      <c r="N4534" s="167"/>
      <c r="O4534" s="163"/>
      <c r="P4534" s="163"/>
      <c r="Q4534" s="163"/>
      <c r="R4534" s="163"/>
      <c r="S4534" s="161"/>
      <c r="T4534" s="161"/>
      <c r="U4534" s="161"/>
      <c r="V4534" s="161"/>
      <c r="W4534" s="161"/>
      <c r="X4534" s="161"/>
      <c r="Y4534" s="161"/>
      <c r="Z4534" s="168"/>
      <c r="AA4534" s="168"/>
      <c r="AB4534" s="168"/>
      <c r="AC4534" s="168"/>
    </row>
    <row r="4535">
      <c r="A4535" s="161"/>
      <c r="B4535" s="161"/>
      <c r="C4535" s="162"/>
      <c r="D4535" s="163"/>
      <c r="E4535" s="164" t="str">
        <f>IFERROR(__xludf.DUMMYFUNCTION("""COMPUTED_VALUE"""),"")</f>
        <v/>
      </c>
      <c r="F4535" s="163"/>
      <c r="G4535" s="163"/>
      <c r="H4535" s="163"/>
      <c r="I4535" s="163"/>
      <c r="J4535" s="165"/>
      <c r="K4535" s="165"/>
      <c r="L4535" s="165"/>
      <c r="M4535" s="166"/>
      <c r="N4535" s="167"/>
      <c r="O4535" s="163"/>
      <c r="P4535" s="163"/>
      <c r="Q4535" s="163"/>
      <c r="R4535" s="163"/>
      <c r="S4535" s="161"/>
      <c r="T4535" s="161"/>
      <c r="U4535" s="161"/>
      <c r="V4535" s="161"/>
      <c r="W4535" s="161"/>
      <c r="X4535" s="161"/>
      <c r="Y4535" s="161"/>
      <c r="Z4535" s="168"/>
      <c r="AA4535" s="168"/>
      <c r="AB4535" s="168"/>
      <c r="AC4535" s="168"/>
    </row>
    <row r="4536">
      <c r="A4536" s="161"/>
      <c r="B4536" s="161"/>
      <c r="C4536" s="162"/>
      <c r="D4536" s="163"/>
      <c r="E4536" s="164" t="str">
        <f>IFERROR(__xludf.DUMMYFUNCTION("""COMPUTED_VALUE"""),"")</f>
        <v/>
      </c>
      <c r="F4536" s="163"/>
      <c r="G4536" s="163"/>
      <c r="H4536" s="163"/>
      <c r="I4536" s="163"/>
      <c r="J4536" s="165"/>
      <c r="K4536" s="165"/>
      <c r="L4536" s="165"/>
      <c r="M4536" s="166"/>
      <c r="N4536" s="167"/>
      <c r="O4536" s="163"/>
      <c r="P4536" s="163"/>
      <c r="Q4536" s="163"/>
      <c r="R4536" s="163"/>
      <c r="S4536" s="161"/>
      <c r="T4536" s="161"/>
      <c r="U4536" s="161"/>
      <c r="V4536" s="161"/>
      <c r="W4536" s="161"/>
      <c r="X4536" s="161"/>
      <c r="Y4536" s="161"/>
      <c r="Z4536" s="168"/>
      <c r="AA4536" s="168"/>
      <c r="AB4536" s="168"/>
      <c r="AC4536" s="168"/>
    </row>
    <row r="4537">
      <c r="A4537" s="161"/>
      <c r="B4537" s="161"/>
      <c r="C4537" s="162"/>
      <c r="D4537" s="163"/>
      <c r="E4537" s="164" t="str">
        <f>IFERROR(__xludf.DUMMYFUNCTION("""COMPUTED_VALUE"""),"")</f>
        <v/>
      </c>
      <c r="F4537" s="163"/>
      <c r="G4537" s="163"/>
      <c r="H4537" s="163"/>
      <c r="I4537" s="163"/>
      <c r="J4537" s="165"/>
      <c r="K4537" s="165"/>
      <c r="L4537" s="165"/>
      <c r="M4537" s="166"/>
      <c r="N4537" s="167"/>
      <c r="O4537" s="163"/>
      <c r="P4537" s="163"/>
      <c r="Q4537" s="163"/>
      <c r="R4537" s="163"/>
      <c r="S4537" s="161"/>
      <c r="T4537" s="161"/>
      <c r="U4537" s="161"/>
      <c r="V4537" s="161"/>
      <c r="W4537" s="161"/>
      <c r="X4537" s="161"/>
      <c r="Y4537" s="161"/>
      <c r="Z4537" s="168"/>
      <c r="AA4537" s="168"/>
      <c r="AB4537" s="168"/>
      <c r="AC4537" s="168"/>
    </row>
    <row r="4538">
      <c r="A4538" s="161"/>
      <c r="B4538" s="161"/>
      <c r="C4538" s="162"/>
      <c r="D4538" s="163"/>
      <c r="E4538" s="164" t="str">
        <f>IFERROR(__xludf.DUMMYFUNCTION("""COMPUTED_VALUE"""),"")</f>
        <v/>
      </c>
      <c r="F4538" s="163"/>
      <c r="G4538" s="163"/>
      <c r="H4538" s="163"/>
      <c r="I4538" s="163"/>
      <c r="J4538" s="165"/>
      <c r="K4538" s="165"/>
      <c r="L4538" s="165"/>
      <c r="M4538" s="166"/>
      <c r="N4538" s="167"/>
      <c r="O4538" s="163"/>
      <c r="P4538" s="163"/>
      <c r="Q4538" s="163"/>
      <c r="R4538" s="163"/>
      <c r="S4538" s="161"/>
      <c r="T4538" s="161"/>
      <c r="U4538" s="161"/>
      <c r="V4538" s="161"/>
      <c r="W4538" s="161"/>
      <c r="X4538" s="161"/>
      <c r="Y4538" s="161"/>
      <c r="Z4538" s="168"/>
      <c r="AA4538" s="168"/>
      <c r="AB4538" s="168"/>
      <c r="AC4538" s="168"/>
    </row>
    <row r="4539">
      <c r="A4539" s="161"/>
      <c r="B4539" s="161"/>
      <c r="C4539" s="162"/>
      <c r="D4539" s="163"/>
      <c r="E4539" s="164" t="str">
        <f>IFERROR(__xludf.DUMMYFUNCTION("""COMPUTED_VALUE"""),"")</f>
        <v/>
      </c>
      <c r="F4539" s="163"/>
      <c r="G4539" s="163"/>
      <c r="H4539" s="163"/>
      <c r="I4539" s="163"/>
      <c r="J4539" s="165"/>
      <c r="K4539" s="165"/>
      <c r="L4539" s="165"/>
      <c r="M4539" s="166"/>
      <c r="N4539" s="167"/>
      <c r="O4539" s="163"/>
      <c r="P4539" s="163"/>
      <c r="Q4539" s="163"/>
      <c r="R4539" s="163"/>
      <c r="S4539" s="161"/>
      <c r="T4539" s="161"/>
      <c r="U4539" s="161"/>
      <c r="V4539" s="161"/>
      <c r="W4539" s="161"/>
      <c r="X4539" s="161"/>
      <c r="Y4539" s="161"/>
      <c r="Z4539" s="168"/>
      <c r="AA4539" s="168"/>
      <c r="AB4539" s="168"/>
      <c r="AC4539" s="168"/>
    </row>
    <row r="4540">
      <c r="A4540" s="161"/>
      <c r="B4540" s="161"/>
      <c r="C4540" s="162"/>
      <c r="D4540" s="163"/>
      <c r="E4540" s="164" t="str">
        <f>IFERROR(__xludf.DUMMYFUNCTION("""COMPUTED_VALUE"""),"")</f>
        <v/>
      </c>
      <c r="F4540" s="163"/>
      <c r="G4540" s="163"/>
      <c r="H4540" s="163"/>
      <c r="I4540" s="163"/>
      <c r="J4540" s="165"/>
      <c r="K4540" s="165"/>
      <c r="L4540" s="165"/>
      <c r="M4540" s="166"/>
      <c r="N4540" s="167"/>
      <c r="O4540" s="163"/>
      <c r="P4540" s="163"/>
      <c r="Q4540" s="163"/>
      <c r="R4540" s="163"/>
      <c r="S4540" s="161"/>
      <c r="T4540" s="161"/>
      <c r="U4540" s="161"/>
      <c r="V4540" s="161"/>
      <c r="W4540" s="161"/>
      <c r="X4540" s="161"/>
      <c r="Y4540" s="161"/>
      <c r="Z4540" s="168"/>
      <c r="AA4540" s="168"/>
      <c r="AB4540" s="168"/>
      <c r="AC4540" s="168"/>
    </row>
    <row r="4541">
      <c r="A4541" s="161"/>
      <c r="B4541" s="161"/>
      <c r="C4541" s="162"/>
      <c r="D4541" s="163"/>
      <c r="E4541" s="164" t="str">
        <f>IFERROR(__xludf.DUMMYFUNCTION("""COMPUTED_VALUE"""),"")</f>
        <v/>
      </c>
      <c r="F4541" s="163"/>
      <c r="G4541" s="163"/>
      <c r="H4541" s="163"/>
      <c r="I4541" s="163"/>
      <c r="J4541" s="165"/>
      <c r="K4541" s="165"/>
      <c r="L4541" s="165"/>
      <c r="M4541" s="166"/>
      <c r="N4541" s="167"/>
      <c r="O4541" s="163"/>
      <c r="P4541" s="163"/>
      <c r="Q4541" s="163"/>
      <c r="R4541" s="163"/>
      <c r="S4541" s="161"/>
      <c r="T4541" s="161"/>
      <c r="U4541" s="161"/>
      <c r="V4541" s="161"/>
      <c r="W4541" s="161"/>
      <c r="X4541" s="161"/>
      <c r="Y4541" s="161"/>
      <c r="Z4541" s="168"/>
      <c r="AA4541" s="168"/>
      <c r="AB4541" s="168"/>
      <c r="AC4541" s="168"/>
    </row>
    <row r="4542">
      <c r="A4542" s="161"/>
      <c r="B4542" s="161"/>
      <c r="C4542" s="162"/>
      <c r="D4542" s="163"/>
      <c r="E4542" s="164" t="str">
        <f>IFERROR(__xludf.DUMMYFUNCTION("""COMPUTED_VALUE"""),"")</f>
        <v/>
      </c>
      <c r="F4542" s="163"/>
      <c r="G4542" s="163"/>
      <c r="H4542" s="163"/>
      <c r="I4542" s="163"/>
      <c r="J4542" s="165"/>
      <c r="K4542" s="165"/>
      <c r="L4542" s="165"/>
      <c r="M4542" s="166"/>
      <c r="N4542" s="167"/>
      <c r="O4542" s="163"/>
      <c r="P4542" s="163"/>
      <c r="Q4542" s="163"/>
      <c r="R4542" s="163"/>
      <c r="S4542" s="161"/>
      <c r="T4542" s="161"/>
      <c r="U4542" s="161"/>
      <c r="V4542" s="161"/>
      <c r="W4542" s="161"/>
      <c r="X4542" s="161"/>
      <c r="Y4542" s="161"/>
      <c r="Z4542" s="168"/>
      <c r="AA4542" s="168"/>
      <c r="AB4542" s="168"/>
      <c r="AC4542" s="168"/>
    </row>
    <row r="4543">
      <c r="A4543" s="161"/>
      <c r="B4543" s="161"/>
      <c r="C4543" s="162"/>
      <c r="D4543" s="163"/>
      <c r="E4543" s="164" t="str">
        <f>IFERROR(__xludf.DUMMYFUNCTION("""COMPUTED_VALUE"""),"")</f>
        <v/>
      </c>
      <c r="F4543" s="163"/>
      <c r="G4543" s="163"/>
      <c r="H4543" s="163"/>
      <c r="I4543" s="163"/>
      <c r="J4543" s="165"/>
      <c r="K4543" s="165"/>
      <c r="L4543" s="165"/>
      <c r="M4543" s="166"/>
      <c r="N4543" s="167"/>
      <c r="O4543" s="163"/>
      <c r="P4543" s="163"/>
      <c r="Q4543" s="163"/>
      <c r="R4543" s="163"/>
      <c r="S4543" s="161"/>
      <c r="T4543" s="161"/>
      <c r="U4543" s="161"/>
      <c r="V4543" s="161"/>
      <c r="W4543" s="161"/>
      <c r="X4543" s="161"/>
      <c r="Y4543" s="161"/>
      <c r="Z4543" s="168"/>
      <c r="AA4543" s="168"/>
      <c r="AB4543" s="168"/>
      <c r="AC4543" s="168"/>
    </row>
    <row r="4544">
      <c r="A4544" s="161"/>
      <c r="B4544" s="161"/>
      <c r="C4544" s="162"/>
      <c r="D4544" s="163"/>
      <c r="E4544" s="164" t="str">
        <f>IFERROR(__xludf.DUMMYFUNCTION("""COMPUTED_VALUE"""),"")</f>
        <v/>
      </c>
      <c r="F4544" s="163"/>
      <c r="G4544" s="163"/>
      <c r="H4544" s="163"/>
      <c r="I4544" s="163"/>
      <c r="J4544" s="165"/>
      <c r="K4544" s="165"/>
      <c r="L4544" s="165"/>
      <c r="M4544" s="166"/>
      <c r="N4544" s="167"/>
      <c r="O4544" s="163"/>
      <c r="P4544" s="163"/>
      <c r="Q4544" s="163"/>
      <c r="R4544" s="163"/>
      <c r="S4544" s="161"/>
      <c r="T4544" s="161"/>
      <c r="U4544" s="161"/>
      <c r="V4544" s="161"/>
      <c r="W4544" s="161"/>
      <c r="X4544" s="161"/>
      <c r="Y4544" s="161"/>
      <c r="Z4544" s="168"/>
      <c r="AA4544" s="168"/>
      <c r="AB4544" s="168"/>
      <c r="AC4544" s="168"/>
    </row>
    <row r="4545">
      <c r="A4545" s="161"/>
      <c r="B4545" s="161"/>
      <c r="C4545" s="162"/>
      <c r="D4545" s="163"/>
      <c r="E4545" s="164" t="str">
        <f>IFERROR(__xludf.DUMMYFUNCTION("""COMPUTED_VALUE"""),"")</f>
        <v/>
      </c>
      <c r="F4545" s="163"/>
      <c r="G4545" s="163"/>
      <c r="H4545" s="163"/>
      <c r="I4545" s="163"/>
      <c r="J4545" s="165"/>
      <c r="K4545" s="165"/>
      <c r="L4545" s="165"/>
      <c r="M4545" s="166"/>
      <c r="N4545" s="167"/>
      <c r="O4545" s="163"/>
      <c r="P4545" s="163"/>
      <c r="Q4545" s="163"/>
      <c r="R4545" s="163"/>
      <c r="S4545" s="161"/>
      <c r="T4545" s="161"/>
      <c r="U4545" s="161"/>
      <c r="V4545" s="161"/>
      <c r="W4545" s="161"/>
      <c r="X4545" s="161"/>
      <c r="Y4545" s="161"/>
      <c r="Z4545" s="168"/>
      <c r="AA4545" s="168"/>
      <c r="AB4545" s="168"/>
      <c r="AC4545" s="168"/>
    </row>
    <row r="4546">
      <c r="A4546" s="161"/>
      <c r="B4546" s="161"/>
      <c r="C4546" s="162"/>
      <c r="D4546" s="163"/>
      <c r="E4546" s="164" t="str">
        <f>IFERROR(__xludf.DUMMYFUNCTION("""COMPUTED_VALUE"""),"")</f>
        <v/>
      </c>
      <c r="F4546" s="163"/>
      <c r="G4546" s="163"/>
      <c r="H4546" s="163"/>
      <c r="I4546" s="163"/>
      <c r="J4546" s="165"/>
      <c r="K4546" s="165"/>
      <c r="L4546" s="165"/>
      <c r="M4546" s="166"/>
      <c r="N4546" s="167"/>
      <c r="O4546" s="163"/>
      <c r="P4546" s="163"/>
      <c r="Q4546" s="163"/>
      <c r="R4546" s="163"/>
      <c r="S4546" s="161"/>
      <c r="T4546" s="161"/>
      <c r="U4546" s="161"/>
      <c r="V4546" s="161"/>
      <c r="W4546" s="161"/>
      <c r="X4546" s="161"/>
      <c r="Y4546" s="161"/>
      <c r="Z4546" s="168"/>
      <c r="AA4546" s="168"/>
      <c r="AB4546" s="168"/>
      <c r="AC4546" s="168"/>
    </row>
    <row r="4547">
      <c r="A4547" s="161"/>
      <c r="B4547" s="161"/>
      <c r="C4547" s="162"/>
      <c r="D4547" s="163"/>
      <c r="E4547" s="164" t="str">
        <f>IFERROR(__xludf.DUMMYFUNCTION("""COMPUTED_VALUE"""),"")</f>
        <v/>
      </c>
      <c r="F4547" s="163"/>
      <c r="G4547" s="163"/>
      <c r="H4547" s="163"/>
      <c r="I4547" s="163"/>
      <c r="J4547" s="165"/>
      <c r="K4547" s="165"/>
      <c r="L4547" s="165"/>
      <c r="M4547" s="166"/>
      <c r="N4547" s="167"/>
      <c r="O4547" s="163"/>
      <c r="P4547" s="163"/>
      <c r="Q4547" s="163"/>
      <c r="R4547" s="163"/>
      <c r="S4547" s="161"/>
      <c r="T4547" s="161"/>
      <c r="U4547" s="161"/>
      <c r="V4547" s="161"/>
      <c r="W4547" s="161"/>
      <c r="X4547" s="161"/>
      <c r="Y4547" s="161"/>
      <c r="Z4547" s="168"/>
      <c r="AA4547" s="168"/>
      <c r="AB4547" s="168"/>
      <c r="AC4547" s="168"/>
    </row>
    <row r="4548">
      <c r="A4548" s="161"/>
      <c r="B4548" s="161"/>
      <c r="C4548" s="162"/>
      <c r="D4548" s="163"/>
      <c r="E4548" s="164" t="str">
        <f>IFERROR(__xludf.DUMMYFUNCTION("""COMPUTED_VALUE"""),"")</f>
        <v/>
      </c>
      <c r="F4548" s="163"/>
      <c r="G4548" s="163"/>
      <c r="H4548" s="163"/>
      <c r="I4548" s="163"/>
      <c r="J4548" s="165"/>
      <c r="K4548" s="165"/>
      <c r="L4548" s="165"/>
      <c r="M4548" s="166"/>
      <c r="N4548" s="167"/>
      <c r="O4548" s="163"/>
      <c r="P4548" s="163"/>
      <c r="Q4548" s="163"/>
      <c r="R4548" s="163"/>
      <c r="S4548" s="161"/>
      <c r="T4548" s="161"/>
      <c r="U4548" s="161"/>
      <c r="V4548" s="161"/>
      <c r="W4548" s="161"/>
      <c r="X4548" s="161"/>
      <c r="Y4548" s="161"/>
      <c r="Z4548" s="168"/>
      <c r="AA4548" s="168"/>
      <c r="AB4548" s="168"/>
      <c r="AC4548" s="168"/>
    </row>
    <row r="4549">
      <c r="A4549" s="161"/>
      <c r="B4549" s="161"/>
      <c r="C4549" s="162"/>
      <c r="D4549" s="163"/>
      <c r="E4549" s="164" t="str">
        <f>IFERROR(__xludf.DUMMYFUNCTION("""COMPUTED_VALUE"""),"")</f>
        <v/>
      </c>
      <c r="F4549" s="163"/>
      <c r="G4549" s="163"/>
      <c r="H4549" s="163"/>
      <c r="I4549" s="163"/>
      <c r="J4549" s="165"/>
      <c r="K4549" s="165"/>
      <c r="L4549" s="165"/>
      <c r="M4549" s="166"/>
      <c r="N4549" s="167"/>
      <c r="O4549" s="163"/>
      <c r="P4549" s="163"/>
      <c r="Q4549" s="163"/>
      <c r="R4549" s="163"/>
      <c r="S4549" s="161"/>
      <c r="T4549" s="161"/>
      <c r="U4549" s="161"/>
      <c r="V4549" s="161"/>
      <c r="W4549" s="161"/>
      <c r="X4549" s="161"/>
      <c r="Y4549" s="161"/>
      <c r="Z4549" s="168"/>
      <c r="AA4549" s="168"/>
      <c r="AB4549" s="168"/>
      <c r="AC4549" s="168"/>
    </row>
    <row r="4550">
      <c r="A4550" s="161"/>
      <c r="B4550" s="161"/>
      <c r="C4550" s="162"/>
      <c r="D4550" s="163"/>
      <c r="E4550" s="164" t="str">
        <f>IFERROR(__xludf.DUMMYFUNCTION("""COMPUTED_VALUE"""),"")</f>
        <v/>
      </c>
      <c r="F4550" s="163"/>
      <c r="G4550" s="163"/>
      <c r="H4550" s="163"/>
      <c r="I4550" s="163"/>
      <c r="J4550" s="165"/>
      <c r="K4550" s="165"/>
      <c r="L4550" s="165"/>
      <c r="M4550" s="166"/>
      <c r="N4550" s="167"/>
      <c r="O4550" s="163"/>
      <c r="P4550" s="163"/>
      <c r="Q4550" s="163"/>
      <c r="R4550" s="163"/>
      <c r="S4550" s="161"/>
      <c r="T4550" s="161"/>
      <c r="U4550" s="161"/>
      <c r="V4550" s="161"/>
      <c r="W4550" s="161"/>
      <c r="X4550" s="161"/>
      <c r="Y4550" s="161"/>
      <c r="Z4550" s="168"/>
      <c r="AA4550" s="168"/>
      <c r="AB4550" s="168"/>
      <c r="AC4550" s="168"/>
    </row>
    <row r="4551">
      <c r="A4551" s="161"/>
      <c r="B4551" s="161"/>
      <c r="C4551" s="162"/>
      <c r="D4551" s="163"/>
      <c r="E4551" s="164" t="str">
        <f>IFERROR(__xludf.DUMMYFUNCTION("""COMPUTED_VALUE"""),"")</f>
        <v/>
      </c>
      <c r="F4551" s="163"/>
      <c r="G4551" s="163"/>
      <c r="H4551" s="163"/>
      <c r="I4551" s="163"/>
      <c r="J4551" s="165"/>
      <c r="K4551" s="165"/>
      <c r="L4551" s="165"/>
      <c r="M4551" s="166"/>
      <c r="N4551" s="167"/>
      <c r="O4551" s="163"/>
      <c r="P4551" s="163"/>
      <c r="Q4551" s="163"/>
      <c r="R4551" s="163"/>
      <c r="S4551" s="161"/>
      <c r="T4551" s="161"/>
      <c r="U4551" s="161"/>
      <c r="V4551" s="161"/>
      <c r="W4551" s="161"/>
      <c r="X4551" s="161"/>
      <c r="Y4551" s="161"/>
      <c r="Z4551" s="168"/>
      <c r="AA4551" s="168"/>
      <c r="AB4551" s="168"/>
      <c r="AC4551" s="168"/>
    </row>
    <row r="4552">
      <c r="A4552" s="161"/>
      <c r="B4552" s="161"/>
      <c r="C4552" s="162"/>
      <c r="D4552" s="163"/>
      <c r="E4552" s="164" t="str">
        <f>IFERROR(__xludf.DUMMYFUNCTION("""COMPUTED_VALUE"""),"")</f>
        <v/>
      </c>
      <c r="F4552" s="163"/>
      <c r="G4552" s="163"/>
      <c r="H4552" s="163"/>
      <c r="I4552" s="163"/>
      <c r="J4552" s="165"/>
      <c r="K4552" s="165"/>
      <c r="L4552" s="165"/>
      <c r="M4552" s="166"/>
      <c r="N4552" s="167"/>
      <c r="O4552" s="163"/>
      <c r="P4552" s="163"/>
      <c r="Q4552" s="163"/>
      <c r="R4552" s="163"/>
      <c r="S4552" s="161"/>
      <c r="T4552" s="161"/>
      <c r="U4552" s="161"/>
      <c r="V4552" s="161"/>
      <c r="W4552" s="161"/>
      <c r="X4552" s="161"/>
      <c r="Y4552" s="161"/>
      <c r="Z4552" s="168"/>
      <c r="AA4552" s="168"/>
      <c r="AB4552" s="168"/>
      <c r="AC4552" s="168"/>
    </row>
    <row r="4553">
      <c r="A4553" s="161"/>
      <c r="B4553" s="161"/>
      <c r="C4553" s="162"/>
      <c r="D4553" s="163"/>
      <c r="E4553" s="164" t="str">
        <f>IFERROR(__xludf.DUMMYFUNCTION("""COMPUTED_VALUE"""),"")</f>
        <v/>
      </c>
      <c r="F4553" s="163"/>
      <c r="G4553" s="163"/>
      <c r="H4553" s="163"/>
      <c r="I4553" s="163"/>
      <c r="J4553" s="165"/>
      <c r="K4553" s="165"/>
      <c r="L4553" s="165"/>
      <c r="M4553" s="166"/>
      <c r="N4553" s="167"/>
      <c r="O4553" s="163"/>
      <c r="P4553" s="163"/>
      <c r="Q4553" s="163"/>
      <c r="R4553" s="163"/>
      <c r="S4553" s="161"/>
      <c r="T4553" s="161"/>
      <c r="U4553" s="161"/>
      <c r="V4553" s="161"/>
      <c r="W4553" s="161"/>
      <c r="X4553" s="161"/>
      <c r="Y4553" s="161"/>
      <c r="Z4553" s="168"/>
      <c r="AA4553" s="168"/>
      <c r="AB4553" s="168"/>
      <c r="AC4553" s="168"/>
    </row>
    <row r="4554">
      <c r="A4554" s="161"/>
      <c r="B4554" s="161"/>
      <c r="C4554" s="162"/>
      <c r="D4554" s="163"/>
      <c r="E4554" s="164" t="str">
        <f>IFERROR(__xludf.DUMMYFUNCTION("""COMPUTED_VALUE"""),"")</f>
        <v/>
      </c>
      <c r="F4554" s="163"/>
      <c r="G4554" s="163"/>
      <c r="H4554" s="163"/>
      <c r="I4554" s="163"/>
      <c r="J4554" s="165"/>
      <c r="K4554" s="165"/>
      <c r="L4554" s="165"/>
      <c r="M4554" s="166"/>
      <c r="N4554" s="167"/>
      <c r="O4554" s="163"/>
      <c r="P4554" s="163"/>
      <c r="Q4554" s="163"/>
      <c r="R4554" s="163"/>
      <c r="S4554" s="161"/>
      <c r="T4554" s="161"/>
      <c r="U4554" s="161"/>
      <c r="V4554" s="161"/>
      <c r="W4554" s="161"/>
      <c r="X4554" s="161"/>
      <c r="Y4554" s="161"/>
      <c r="Z4554" s="168"/>
      <c r="AA4554" s="168"/>
      <c r="AB4554" s="168"/>
      <c r="AC4554" s="168"/>
    </row>
    <row r="4555">
      <c r="A4555" s="161"/>
      <c r="B4555" s="161"/>
      <c r="C4555" s="162"/>
      <c r="D4555" s="163"/>
      <c r="E4555" s="164" t="str">
        <f>IFERROR(__xludf.DUMMYFUNCTION("""COMPUTED_VALUE"""),"")</f>
        <v/>
      </c>
      <c r="F4555" s="163"/>
      <c r="G4555" s="163"/>
      <c r="H4555" s="163"/>
      <c r="I4555" s="163"/>
      <c r="J4555" s="165"/>
      <c r="K4555" s="165"/>
      <c r="L4555" s="165"/>
      <c r="M4555" s="166"/>
      <c r="N4555" s="167"/>
      <c r="O4555" s="163"/>
      <c r="P4555" s="163"/>
      <c r="Q4555" s="163"/>
      <c r="R4555" s="163"/>
      <c r="S4555" s="161"/>
      <c r="T4555" s="161"/>
      <c r="U4555" s="161"/>
      <c r="V4555" s="161"/>
      <c r="W4555" s="161"/>
      <c r="X4555" s="161"/>
      <c r="Y4555" s="161"/>
      <c r="Z4555" s="168"/>
      <c r="AA4555" s="168"/>
      <c r="AB4555" s="168"/>
      <c r="AC4555" s="168"/>
    </row>
    <row r="4556">
      <c r="A4556" s="161"/>
      <c r="B4556" s="161"/>
      <c r="C4556" s="162"/>
      <c r="D4556" s="163"/>
      <c r="E4556" s="164" t="str">
        <f>IFERROR(__xludf.DUMMYFUNCTION("""COMPUTED_VALUE"""),"")</f>
        <v/>
      </c>
      <c r="F4556" s="163"/>
      <c r="G4556" s="163"/>
      <c r="H4556" s="163"/>
      <c r="I4556" s="163"/>
      <c r="J4556" s="165"/>
      <c r="K4556" s="165"/>
      <c r="L4556" s="165"/>
      <c r="M4556" s="166"/>
      <c r="N4556" s="167"/>
      <c r="O4556" s="163"/>
      <c r="P4556" s="163"/>
      <c r="Q4556" s="163"/>
      <c r="R4556" s="163"/>
      <c r="S4556" s="161"/>
      <c r="T4556" s="161"/>
      <c r="U4556" s="161"/>
      <c r="V4556" s="161"/>
      <c r="W4556" s="161"/>
      <c r="X4556" s="161"/>
      <c r="Y4556" s="161"/>
      <c r="Z4556" s="168"/>
      <c r="AA4556" s="168"/>
      <c r="AB4556" s="168"/>
      <c r="AC4556" s="168"/>
    </row>
    <row r="4557">
      <c r="A4557" s="161"/>
      <c r="B4557" s="161"/>
      <c r="C4557" s="162"/>
      <c r="D4557" s="163"/>
      <c r="E4557" s="164" t="str">
        <f>IFERROR(__xludf.DUMMYFUNCTION("""COMPUTED_VALUE"""),"")</f>
        <v/>
      </c>
      <c r="F4557" s="163"/>
      <c r="G4557" s="163"/>
      <c r="H4557" s="163"/>
      <c r="I4557" s="163"/>
      <c r="J4557" s="165"/>
      <c r="K4557" s="165"/>
      <c r="L4557" s="165"/>
      <c r="M4557" s="166"/>
      <c r="N4557" s="167"/>
      <c r="O4557" s="163"/>
      <c r="P4557" s="163"/>
      <c r="Q4557" s="163"/>
      <c r="R4557" s="163"/>
      <c r="S4557" s="161"/>
      <c r="T4557" s="161"/>
      <c r="U4557" s="161"/>
      <c r="V4557" s="161"/>
      <c r="W4557" s="161"/>
      <c r="X4557" s="161"/>
      <c r="Y4557" s="161"/>
      <c r="Z4557" s="168"/>
      <c r="AA4557" s="168"/>
      <c r="AB4557" s="168"/>
      <c r="AC4557" s="168"/>
    </row>
    <row r="4558">
      <c r="A4558" s="161"/>
      <c r="B4558" s="161"/>
      <c r="C4558" s="162"/>
      <c r="D4558" s="163"/>
      <c r="E4558" s="164" t="str">
        <f>IFERROR(__xludf.DUMMYFUNCTION("""COMPUTED_VALUE"""),"")</f>
        <v/>
      </c>
      <c r="F4558" s="163"/>
      <c r="G4558" s="163"/>
      <c r="H4558" s="163"/>
      <c r="I4558" s="163"/>
      <c r="J4558" s="165"/>
      <c r="K4558" s="165"/>
      <c r="L4558" s="165"/>
      <c r="M4558" s="166"/>
      <c r="N4558" s="167"/>
      <c r="O4558" s="163"/>
      <c r="P4558" s="163"/>
      <c r="Q4558" s="163"/>
      <c r="R4558" s="163"/>
      <c r="S4558" s="161"/>
      <c r="T4558" s="161"/>
      <c r="U4558" s="161"/>
      <c r="V4558" s="161"/>
      <c r="W4558" s="161"/>
      <c r="X4558" s="161"/>
      <c r="Y4558" s="161"/>
      <c r="Z4558" s="168"/>
      <c r="AA4558" s="168"/>
      <c r="AB4558" s="168"/>
      <c r="AC4558" s="168"/>
    </row>
    <row r="4559">
      <c r="A4559" s="161"/>
      <c r="B4559" s="161"/>
      <c r="C4559" s="162"/>
      <c r="D4559" s="163"/>
      <c r="E4559" s="164" t="str">
        <f>IFERROR(__xludf.DUMMYFUNCTION("""COMPUTED_VALUE"""),"")</f>
        <v/>
      </c>
      <c r="F4559" s="163"/>
      <c r="G4559" s="163"/>
      <c r="H4559" s="163"/>
      <c r="I4559" s="163"/>
      <c r="J4559" s="165"/>
      <c r="K4559" s="165"/>
      <c r="L4559" s="165"/>
      <c r="M4559" s="166"/>
      <c r="N4559" s="167"/>
      <c r="O4559" s="163"/>
      <c r="P4559" s="163"/>
      <c r="Q4559" s="163"/>
      <c r="R4559" s="163"/>
      <c r="S4559" s="161"/>
      <c r="T4559" s="161"/>
      <c r="U4559" s="161"/>
      <c r="V4559" s="161"/>
      <c r="W4559" s="161"/>
      <c r="X4559" s="161"/>
      <c r="Y4559" s="161"/>
      <c r="Z4559" s="168"/>
      <c r="AA4559" s="168"/>
      <c r="AB4559" s="168"/>
      <c r="AC4559" s="168"/>
    </row>
    <row r="4560">
      <c r="A4560" s="161"/>
      <c r="B4560" s="161"/>
      <c r="C4560" s="162"/>
      <c r="D4560" s="163"/>
      <c r="E4560" s="164" t="str">
        <f>IFERROR(__xludf.DUMMYFUNCTION("""COMPUTED_VALUE"""),"")</f>
        <v/>
      </c>
      <c r="F4560" s="163"/>
      <c r="G4560" s="163"/>
      <c r="H4560" s="163"/>
      <c r="I4560" s="163"/>
      <c r="J4560" s="165"/>
      <c r="K4560" s="165"/>
      <c r="L4560" s="165"/>
      <c r="M4560" s="166"/>
      <c r="N4560" s="167"/>
      <c r="O4560" s="163"/>
      <c r="P4560" s="163"/>
      <c r="Q4560" s="163"/>
      <c r="R4560" s="163"/>
      <c r="S4560" s="161"/>
      <c r="T4560" s="161"/>
      <c r="U4560" s="161"/>
      <c r="V4560" s="161"/>
      <c r="W4560" s="161"/>
      <c r="X4560" s="161"/>
      <c r="Y4560" s="161"/>
      <c r="Z4560" s="168"/>
      <c r="AA4560" s="168"/>
      <c r="AB4560" s="168"/>
      <c r="AC4560" s="168"/>
    </row>
    <row r="4561">
      <c r="A4561" s="161"/>
      <c r="B4561" s="161"/>
      <c r="C4561" s="162"/>
      <c r="D4561" s="163"/>
      <c r="E4561" s="164" t="str">
        <f>IFERROR(__xludf.DUMMYFUNCTION("""COMPUTED_VALUE"""),"")</f>
        <v/>
      </c>
      <c r="F4561" s="163"/>
      <c r="G4561" s="163"/>
      <c r="H4561" s="163"/>
      <c r="I4561" s="163"/>
      <c r="J4561" s="165"/>
      <c r="K4561" s="165"/>
      <c r="L4561" s="165"/>
      <c r="M4561" s="166"/>
      <c r="N4561" s="167"/>
      <c r="O4561" s="163"/>
      <c r="P4561" s="163"/>
      <c r="Q4561" s="163"/>
      <c r="R4561" s="163"/>
      <c r="S4561" s="161"/>
      <c r="T4561" s="161"/>
      <c r="U4561" s="161"/>
      <c r="V4561" s="161"/>
      <c r="W4561" s="161"/>
      <c r="X4561" s="161"/>
      <c r="Y4561" s="161"/>
      <c r="Z4561" s="168"/>
      <c r="AA4561" s="168"/>
      <c r="AB4561" s="168"/>
      <c r="AC4561" s="168"/>
    </row>
    <row r="4562">
      <c r="A4562" s="161"/>
      <c r="B4562" s="161"/>
      <c r="C4562" s="162"/>
      <c r="D4562" s="163"/>
      <c r="E4562" s="164" t="str">
        <f>IFERROR(__xludf.DUMMYFUNCTION("""COMPUTED_VALUE"""),"")</f>
        <v/>
      </c>
      <c r="F4562" s="163"/>
      <c r="G4562" s="163"/>
      <c r="H4562" s="163"/>
      <c r="I4562" s="163"/>
      <c r="J4562" s="165"/>
      <c r="K4562" s="165"/>
      <c r="L4562" s="165"/>
      <c r="M4562" s="166"/>
      <c r="N4562" s="167"/>
      <c r="O4562" s="163"/>
      <c r="P4562" s="163"/>
      <c r="Q4562" s="163"/>
      <c r="R4562" s="163"/>
      <c r="S4562" s="161"/>
      <c r="T4562" s="161"/>
      <c r="U4562" s="161"/>
      <c r="V4562" s="161"/>
      <c r="W4562" s="161"/>
      <c r="X4562" s="161"/>
      <c r="Y4562" s="161"/>
      <c r="Z4562" s="168"/>
      <c r="AA4562" s="168"/>
      <c r="AB4562" s="168"/>
      <c r="AC4562" s="168"/>
    </row>
    <row r="4563">
      <c r="A4563" s="161"/>
      <c r="B4563" s="161"/>
      <c r="C4563" s="162"/>
      <c r="D4563" s="163"/>
      <c r="E4563" s="164" t="str">
        <f>IFERROR(__xludf.DUMMYFUNCTION("""COMPUTED_VALUE"""),"")</f>
        <v/>
      </c>
      <c r="F4563" s="163"/>
      <c r="G4563" s="163"/>
      <c r="H4563" s="163"/>
      <c r="I4563" s="163"/>
      <c r="J4563" s="165"/>
      <c r="K4563" s="165"/>
      <c r="L4563" s="165"/>
      <c r="M4563" s="166"/>
      <c r="N4563" s="167"/>
      <c r="O4563" s="163"/>
      <c r="P4563" s="163"/>
      <c r="Q4563" s="163"/>
      <c r="R4563" s="163"/>
      <c r="S4563" s="161"/>
      <c r="T4563" s="161"/>
      <c r="U4563" s="161"/>
      <c r="V4563" s="161"/>
      <c r="W4563" s="161"/>
      <c r="X4563" s="161"/>
      <c r="Y4563" s="161"/>
      <c r="Z4563" s="168"/>
      <c r="AA4563" s="168"/>
      <c r="AB4563" s="168"/>
      <c r="AC4563" s="168"/>
    </row>
    <row r="4564">
      <c r="A4564" s="161"/>
      <c r="B4564" s="161"/>
      <c r="C4564" s="162"/>
      <c r="D4564" s="163"/>
      <c r="E4564" s="164" t="str">
        <f>IFERROR(__xludf.DUMMYFUNCTION("""COMPUTED_VALUE"""),"")</f>
        <v/>
      </c>
      <c r="F4564" s="163"/>
      <c r="G4564" s="163"/>
      <c r="H4564" s="163"/>
      <c r="I4564" s="163"/>
      <c r="J4564" s="165"/>
      <c r="K4564" s="165"/>
      <c r="L4564" s="165"/>
      <c r="M4564" s="166"/>
      <c r="N4564" s="167"/>
      <c r="O4564" s="163"/>
      <c r="P4564" s="163"/>
      <c r="Q4564" s="163"/>
      <c r="R4564" s="163"/>
      <c r="S4564" s="161"/>
      <c r="T4564" s="161"/>
      <c r="U4564" s="161"/>
      <c r="V4564" s="161"/>
      <c r="W4564" s="161"/>
      <c r="X4564" s="161"/>
      <c r="Y4564" s="161"/>
      <c r="Z4564" s="168"/>
      <c r="AA4564" s="168"/>
      <c r="AB4564" s="168"/>
      <c r="AC4564" s="168"/>
    </row>
    <row r="4565">
      <c r="A4565" s="161"/>
      <c r="B4565" s="161"/>
      <c r="C4565" s="162"/>
      <c r="D4565" s="163"/>
      <c r="E4565" s="164" t="str">
        <f>IFERROR(__xludf.DUMMYFUNCTION("""COMPUTED_VALUE"""),"")</f>
        <v/>
      </c>
      <c r="F4565" s="163"/>
      <c r="G4565" s="163"/>
      <c r="H4565" s="163"/>
      <c r="I4565" s="163"/>
      <c r="J4565" s="165"/>
      <c r="K4565" s="165"/>
      <c r="L4565" s="165"/>
      <c r="M4565" s="166"/>
      <c r="N4565" s="167"/>
      <c r="O4565" s="163"/>
      <c r="P4565" s="163"/>
      <c r="Q4565" s="163"/>
      <c r="R4565" s="163"/>
      <c r="S4565" s="161"/>
      <c r="T4565" s="161"/>
      <c r="U4565" s="161"/>
      <c r="V4565" s="161"/>
      <c r="W4565" s="161"/>
      <c r="X4565" s="161"/>
      <c r="Y4565" s="161"/>
      <c r="Z4565" s="168"/>
      <c r="AA4565" s="168"/>
      <c r="AB4565" s="168"/>
      <c r="AC4565" s="168"/>
    </row>
    <row r="4566">
      <c r="A4566" s="161"/>
      <c r="B4566" s="161"/>
      <c r="C4566" s="162"/>
      <c r="D4566" s="163"/>
      <c r="E4566" s="164" t="str">
        <f>IFERROR(__xludf.DUMMYFUNCTION("""COMPUTED_VALUE"""),"")</f>
        <v/>
      </c>
      <c r="F4566" s="163"/>
      <c r="G4566" s="163"/>
      <c r="H4566" s="163"/>
      <c r="I4566" s="163"/>
      <c r="J4566" s="165"/>
      <c r="K4566" s="165"/>
      <c r="L4566" s="165"/>
      <c r="M4566" s="166"/>
      <c r="N4566" s="167"/>
      <c r="O4566" s="163"/>
      <c r="P4566" s="163"/>
      <c r="Q4566" s="163"/>
      <c r="R4566" s="163"/>
      <c r="S4566" s="161"/>
      <c r="T4566" s="161"/>
      <c r="U4566" s="161"/>
      <c r="V4566" s="161"/>
      <c r="W4566" s="161"/>
      <c r="X4566" s="161"/>
      <c r="Y4566" s="161"/>
      <c r="Z4566" s="168"/>
      <c r="AA4566" s="168"/>
      <c r="AB4566" s="168"/>
      <c r="AC4566" s="168"/>
    </row>
    <row r="4567">
      <c r="A4567" s="161"/>
      <c r="B4567" s="161"/>
      <c r="C4567" s="162"/>
      <c r="D4567" s="163"/>
      <c r="E4567" s="164" t="str">
        <f>IFERROR(__xludf.DUMMYFUNCTION("""COMPUTED_VALUE"""),"")</f>
        <v/>
      </c>
      <c r="F4567" s="163"/>
      <c r="G4567" s="163"/>
      <c r="H4567" s="163"/>
      <c r="I4567" s="163"/>
      <c r="J4567" s="165"/>
      <c r="K4567" s="165"/>
      <c r="L4567" s="165"/>
      <c r="M4567" s="166"/>
      <c r="N4567" s="167"/>
      <c r="O4567" s="163"/>
      <c r="P4567" s="163"/>
      <c r="Q4567" s="163"/>
      <c r="R4567" s="163"/>
      <c r="S4567" s="161"/>
      <c r="T4567" s="161"/>
      <c r="U4567" s="161"/>
      <c r="V4567" s="161"/>
      <c r="W4567" s="161"/>
      <c r="X4567" s="161"/>
      <c r="Y4567" s="161"/>
      <c r="Z4567" s="168"/>
      <c r="AA4567" s="168"/>
      <c r="AB4567" s="168"/>
      <c r="AC4567" s="168"/>
    </row>
    <row r="4568">
      <c r="A4568" s="161"/>
      <c r="B4568" s="161"/>
      <c r="C4568" s="162"/>
      <c r="D4568" s="163"/>
      <c r="E4568" s="164" t="str">
        <f>IFERROR(__xludf.DUMMYFUNCTION("""COMPUTED_VALUE"""),"")</f>
        <v/>
      </c>
      <c r="F4568" s="163"/>
      <c r="G4568" s="163"/>
      <c r="H4568" s="163"/>
      <c r="I4568" s="163"/>
      <c r="J4568" s="165"/>
      <c r="K4568" s="165"/>
      <c r="L4568" s="165"/>
      <c r="M4568" s="166"/>
      <c r="N4568" s="167"/>
      <c r="O4568" s="163"/>
      <c r="P4568" s="163"/>
      <c r="Q4568" s="163"/>
      <c r="R4568" s="163"/>
      <c r="S4568" s="161"/>
      <c r="T4568" s="161"/>
      <c r="U4568" s="161"/>
      <c r="V4568" s="161"/>
      <c r="W4568" s="161"/>
      <c r="X4568" s="161"/>
      <c r="Y4568" s="161"/>
      <c r="Z4568" s="168"/>
      <c r="AA4568" s="168"/>
      <c r="AB4568" s="168"/>
      <c r="AC4568" s="168"/>
    </row>
    <row r="4569">
      <c r="A4569" s="161"/>
      <c r="B4569" s="161"/>
      <c r="C4569" s="162"/>
      <c r="D4569" s="163"/>
      <c r="E4569" s="164" t="str">
        <f>IFERROR(__xludf.DUMMYFUNCTION("""COMPUTED_VALUE"""),"")</f>
        <v/>
      </c>
      <c r="F4569" s="163"/>
      <c r="G4569" s="163"/>
      <c r="H4569" s="163"/>
      <c r="I4569" s="163"/>
      <c r="J4569" s="165"/>
      <c r="K4569" s="165"/>
      <c r="L4569" s="165"/>
      <c r="M4569" s="166"/>
      <c r="N4569" s="167"/>
      <c r="O4569" s="163"/>
      <c r="P4569" s="163"/>
      <c r="Q4569" s="163"/>
      <c r="R4569" s="163"/>
      <c r="S4569" s="161"/>
      <c r="T4569" s="161"/>
      <c r="U4569" s="161"/>
      <c r="V4569" s="161"/>
      <c r="W4569" s="161"/>
      <c r="X4569" s="161"/>
      <c r="Y4569" s="161"/>
      <c r="Z4569" s="168"/>
      <c r="AA4569" s="168"/>
      <c r="AB4569" s="168"/>
      <c r="AC4569" s="168"/>
    </row>
    <row r="4570">
      <c r="A4570" s="161"/>
      <c r="B4570" s="161"/>
      <c r="C4570" s="162"/>
      <c r="D4570" s="163"/>
      <c r="E4570" s="164" t="str">
        <f>IFERROR(__xludf.DUMMYFUNCTION("""COMPUTED_VALUE"""),"")</f>
        <v/>
      </c>
      <c r="F4570" s="163"/>
      <c r="G4570" s="163"/>
      <c r="H4570" s="163"/>
      <c r="I4570" s="163"/>
      <c r="J4570" s="165"/>
      <c r="K4570" s="165"/>
      <c r="L4570" s="165"/>
      <c r="M4570" s="166"/>
      <c r="N4570" s="167"/>
      <c r="O4570" s="163"/>
      <c r="P4570" s="163"/>
      <c r="Q4570" s="163"/>
      <c r="R4570" s="163"/>
      <c r="S4570" s="161"/>
      <c r="T4570" s="161"/>
      <c r="U4570" s="161"/>
      <c r="V4570" s="161"/>
      <c r="W4570" s="161"/>
      <c r="X4570" s="161"/>
      <c r="Y4570" s="161"/>
      <c r="Z4570" s="168"/>
      <c r="AA4570" s="168"/>
      <c r="AB4570" s="168"/>
      <c r="AC4570" s="168"/>
    </row>
    <row r="4571">
      <c r="A4571" s="161"/>
      <c r="B4571" s="161"/>
      <c r="C4571" s="162"/>
      <c r="D4571" s="163"/>
      <c r="E4571" s="164" t="str">
        <f>IFERROR(__xludf.DUMMYFUNCTION("""COMPUTED_VALUE"""),"")</f>
        <v/>
      </c>
      <c r="F4571" s="163"/>
      <c r="G4571" s="163"/>
      <c r="H4571" s="163"/>
      <c r="I4571" s="163"/>
      <c r="J4571" s="165"/>
      <c r="K4571" s="165"/>
      <c r="L4571" s="165"/>
      <c r="M4571" s="166"/>
      <c r="N4571" s="167"/>
      <c r="O4571" s="163"/>
      <c r="P4571" s="163"/>
      <c r="Q4571" s="163"/>
      <c r="R4571" s="163"/>
      <c r="S4571" s="161"/>
      <c r="T4571" s="161"/>
      <c r="U4571" s="161"/>
      <c r="V4571" s="161"/>
      <c r="W4571" s="161"/>
      <c r="X4571" s="161"/>
      <c r="Y4571" s="161"/>
      <c r="Z4571" s="168"/>
      <c r="AA4571" s="168"/>
      <c r="AB4571" s="168"/>
      <c r="AC4571" s="168"/>
    </row>
    <row r="4572">
      <c r="A4572" s="161"/>
      <c r="B4572" s="161"/>
      <c r="C4572" s="162"/>
      <c r="D4572" s="163"/>
      <c r="E4572" s="164" t="str">
        <f>IFERROR(__xludf.DUMMYFUNCTION("""COMPUTED_VALUE"""),"")</f>
        <v/>
      </c>
      <c r="F4572" s="163"/>
      <c r="G4572" s="163"/>
      <c r="H4572" s="163"/>
      <c r="I4572" s="163"/>
      <c r="J4572" s="165"/>
      <c r="K4572" s="165"/>
      <c r="L4572" s="165"/>
      <c r="M4572" s="166"/>
      <c r="N4572" s="167"/>
      <c r="O4572" s="163"/>
      <c r="P4572" s="163"/>
      <c r="Q4572" s="163"/>
      <c r="R4572" s="163"/>
      <c r="S4572" s="161"/>
      <c r="T4572" s="161"/>
      <c r="U4572" s="161"/>
      <c r="V4572" s="161"/>
      <c r="W4572" s="161"/>
      <c r="X4572" s="161"/>
      <c r="Y4572" s="161"/>
      <c r="Z4572" s="168"/>
      <c r="AA4572" s="168"/>
      <c r="AB4572" s="168"/>
      <c r="AC4572" s="168"/>
    </row>
    <row r="4573">
      <c r="A4573" s="161"/>
      <c r="B4573" s="161"/>
      <c r="C4573" s="162"/>
      <c r="D4573" s="163"/>
      <c r="E4573" s="164" t="str">
        <f>IFERROR(__xludf.DUMMYFUNCTION("""COMPUTED_VALUE"""),"")</f>
        <v/>
      </c>
      <c r="F4573" s="163"/>
      <c r="G4573" s="163"/>
      <c r="H4573" s="163"/>
      <c r="I4573" s="163"/>
      <c r="J4573" s="165"/>
      <c r="K4573" s="165"/>
      <c r="L4573" s="165"/>
      <c r="M4573" s="166"/>
      <c r="N4573" s="167"/>
      <c r="O4573" s="163"/>
      <c r="P4573" s="163"/>
      <c r="Q4573" s="163"/>
      <c r="R4573" s="163"/>
      <c r="S4573" s="161"/>
      <c r="T4573" s="161"/>
      <c r="U4573" s="161"/>
      <c r="V4573" s="161"/>
      <c r="W4573" s="161"/>
      <c r="X4573" s="161"/>
      <c r="Y4573" s="161"/>
      <c r="Z4573" s="168"/>
      <c r="AA4573" s="168"/>
      <c r="AB4573" s="168"/>
      <c r="AC4573" s="168"/>
    </row>
    <row r="4574">
      <c r="A4574" s="161"/>
      <c r="B4574" s="161"/>
      <c r="C4574" s="162"/>
      <c r="D4574" s="163"/>
      <c r="E4574" s="164" t="str">
        <f>IFERROR(__xludf.DUMMYFUNCTION("""COMPUTED_VALUE"""),"")</f>
        <v/>
      </c>
      <c r="F4574" s="163"/>
      <c r="G4574" s="163"/>
      <c r="H4574" s="163"/>
      <c r="I4574" s="163"/>
      <c r="J4574" s="165"/>
      <c r="K4574" s="165"/>
      <c r="L4574" s="165"/>
      <c r="M4574" s="166"/>
      <c r="N4574" s="167"/>
      <c r="O4574" s="163"/>
      <c r="P4574" s="163"/>
      <c r="Q4574" s="163"/>
      <c r="R4574" s="163"/>
      <c r="S4574" s="161"/>
      <c r="T4574" s="161"/>
      <c r="U4574" s="161"/>
      <c r="V4574" s="161"/>
      <c r="W4574" s="161"/>
      <c r="X4574" s="161"/>
      <c r="Y4574" s="161"/>
      <c r="Z4574" s="168"/>
      <c r="AA4574" s="168"/>
      <c r="AB4574" s="168"/>
      <c r="AC4574" s="168"/>
    </row>
    <row r="4575">
      <c r="A4575" s="161"/>
      <c r="B4575" s="161"/>
      <c r="C4575" s="162"/>
      <c r="D4575" s="163"/>
      <c r="E4575" s="164" t="str">
        <f>IFERROR(__xludf.DUMMYFUNCTION("""COMPUTED_VALUE"""),"")</f>
        <v/>
      </c>
      <c r="F4575" s="163"/>
      <c r="G4575" s="163"/>
      <c r="H4575" s="163"/>
      <c r="I4575" s="163"/>
      <c r="J4575" s="165"/>
      <c r="K4575" s="165"/>
      <c r="L4575" s="165"/>
      <c r="M4575" s="166"/>
      <c r="N4575" s="167"/>
      <c r="O4575" s="163"/>
      <c r="P4575" s="163"/>
      <c r="Q4575" s="163"/>
      <c r="R4575" s="163"/>
      <c r="S4575" s="161"/>
      <c r="T4575" s="161"/>
      <c r="U4575" s="161"/>
      <c r="V4575" s="161"/>
      <c r="W4575" s="161"/>
      <c r="X4575" s="161"/>
      <c r="Y4575" s="161"/>
      <c r="Z4575" s="168"/>
      <c r="AA4575" s="168"/>
      <c r="AB4575" s="168"/>
      <c r="AC4575" s="168"/>
    </row>
    <row r="4576">
      <c r="A4576" s="161"/>
      <c r="B4576" s="161"/>
      <c r="C4576" s="162"/>
      <c r="D4576" s="163"/>
      <c r="E4576" s="164" t="str">
        <f>IFERROR(__xludf.DUMMYFUNCTION("""COMPUTED_VALUE"""),"")</f>
        <v/>
      </c>
      <c r="F4576" s="163"/>
      <c r="G4576" s="163"/>
      <c r="H4576" s="163"/>
      <c r="I4576" s="163"/>
      <c r="J4576" s="165"/>
      <c r="K4576" s="165"/>
      <c r="L4576" s="165"/>
      <c r="M4576" s="166"/>
      <c r="N4576" s="167"/>
      <c r="O4576" s="163"/>
      <c r="P4576" s="163"/>
      <c r="Q4576" s="163"/>
      <c r="R4576" s="163"/>
      <c r="S4576" s="161"/>
      <c r="T4576" s="161"/>
      <c r="U4576" s="161"/>
      <c r="V4576" s="161"/>
      <c r="W4576" s="161"/>
      <c r="X4576" s="161"/>
      <c r="Y4576" s="161"/>
      <c r="Z4576" s="168"/>
      <c r="AA4576" s="168"/>
      <c r="AB4576" s="168"/>
      <c r="AC4576" s="168"/>
    </row>
    <row r="4577">
      <c r="A4577" s="161"/>
      <c r="B4577" s="161"/>
      <c r="C4577" s="162"/>
      <c r="D4577" s="163"/>
      <c r="E4577" s="164" t="str">
        <f>IFERROR(__xludf.DUMMYFUNCTION("""COMPUTED_VALUE"""),"")</f>
        <v/>
      </c>
      <c r="F4577" s="163"/>
      <c r="G4577" s="163"/>
      <c r="H4577" s="163"/>
      <c r="I4577" s="163"/>
      <c r="J4577" s="165"/>
      <c r="K4577" s="165"/>
      <c r="L4577" s="165"/>
      <c r="M4577" s="166"/>
      <c r="N4577" s="167"/>
      <c r="O4577" s="163"/>
      <c r="P4577" s="163"/>
      <c r="Q4577" s="163"/>
      <c r="R4577" s="163"/>
      <c r="S4577" s="161"/>
      <c r="T4577" s="161"/>
      <c r="U4577" s="161"/>
      <c r="V4577" s="161"/>
      <c r="W4577" s="161"/>
      <c r="X4577" s="161"/>
      <c r="Y4577" s="161"/>
      <c r="Z4577" s="168"/>
      <c r="AA4577" s="168"/>
      <c r="AB4577" s="168"/>
      <c r="AC4577" s="168"/>
    </row>
    <row r="4578">
      <c r="A4578" s="161"/>
      <c r="B4578" s="161"/>
      <c r="C4578" s="162"/>
      <c r="D4578" s="163"/>
      <c r="E4578" s="164" t="str">
        <f>IFERROR(__xludf.DUMMYFUNCTION("""COMPUTED_VALUE"""),"")</f>
        <v/>
      </c>
      <c r="F4578" s="163"/>
      <c r="G4578" s="163"/>
      <c r="H4578" s="163"/>
      <c r="I4578" s="163"/>
      <c r="J4578" s="165"/>
      <c r="K4578" s="165"/>
      <c r="L4578" s="165"/>
      <c r="M4578" s="166"/>
      <c r="N4578" s="167"/>
      <c r="O4578" s="163"/>
      <c r="P4578" s="163"/>
      <c r="Q4578" s="163"/>
      <c r="R4578" s="163"/>
      <c r="S4578" s="161"/>
      <c r="T4578" s="161"/>
      <c r="U4578" s="161"/>
      <c r="V4578" s="161"/>
      <c r="W4578" s="161"/>
      <c r="X4578" s="161"/>
      <c r="Y4578" s="161"/>
      <c r="Z4578" s="168"/>
      <c r="AA4578" s="168"/>
      <c r="AB4578" s="168"/>
      <c r="AC4578" s="168"/>
    </row>
    <row r="4579">
      <c r="A4579" s="161"/>
      <c r="B4579" s="161"/>
      <c r="C4579" s="162"/>
      <c r="D4579" s="163"/>
      <c r="E4579" s="164" t="str">
        <f>IFERROR(__xludf.DUMMYFUNCTION("""COMPUTED_VALUE"""),"")</f>
        <v/>
      </c>
      <c r="F4579" s="163"/>
      <c r="G4579" s="163"/>
      <c r="H4579" s="163"/>
      <c r="I4579" s="163"/>
      <c r="J4579" s="165"/>
      <c r="K4579" s="165"/>
      <c r="L4579" s="165"/>
      <c r="M4579" s="166"/>
      <c r="N4579" s="167"/>
      <c r="O4579" s="163"/>
      <c r="P4579" s="163"/>
      <c r="Q4579" s="163"/>
      <c r="R4579" s="163"/>
      <c r="S4579" s="161"/>
      <c r="T4579" s="161"/>
      <c r="U4579" s="161"/>
      <c r="V4579" s="161"/>
      <c r="W4579" s="161"/>
      <c r="X4579" s="161"/>
      <c r="Y4579" s="161"/>
      <c r="Z4579" s="168"/>
      <c r="AA4579" s="168"/>
      <c r="AB4579" s="168"/>
      <c r="AC4579" s="168"/>
    </row>
    <row r="4580">
      <c r="A4580" s="161"/>
      <c r="B4580" s="161"/>
      <c r="C4580" s="162"/>
      <c r="D4580" s="163"/>
      <c r="E4580" s="164" t="str">
        <f>IFERROR(__xludf.DUMMYFUNCTION("""COMPUTED_VALUE"""),"")</f>
        <v/>
      </c>
      <c r="F4580" s="163"/>
      <c r="G4580" s="163"/>
      <c r="H4580" s="163"/>
      <c r="I4580" s="163"/>
      <c r="J4580" s="165"/>
      <c r="K4580" s="165"/>
      <c r="L4580" s="165"/>
      <c r="M4580" s="166"/>
      <c r="N4580" s="167"/>
      <c r="O4580" s="163"/>
      <c r="P4580" s="163"/>
      <c r="Q4580" s="163"/>
      <c r="R4580" s="163"/>
      <c r="S4580" s="161"/>
      <c r="T4580" s="161"/>
      <c r="U4580" s="161"/>
      <c r="V4580" s="161"/>
      <c r="W4580" s="161"/>
      <c r="X4580" s="161"/>
      <c r="Y4580" s="161"/>
      <c r="Z4580" s="168"/>
      <c r="AA4580" s="168"/>
      <c r="AB4580" s="168"/>
      <c r="AC4580" s="168"/>
    </row>
    <row r="4581">
      <c r="A4581" s="161"/>
      <c r="B4581" s="161"/>
      <c r="C4581" s="162"/>
      <c r="D4581" s="163"/>
      <c r="E4581" s="164" t="str">
        <f>IFERROR(__xludf.DUMMYFUNCTION("""COMPUTED_VALUE"""),"")</f>
        <v/>
      </c>
      <c r="F4581" s="163"/>
      <c r="G4581" s="163"/>
      <c r="H4581" s="163"/>
      <c r="I4581" s="163"/>
      <c r="J4581" s="165"/>
      <c r="K4581" s="165"/>
      <c r="L4581" s="165"/>
      <c r="M4581" s="166"/>
      <c r="N4581" s="167"/>
      <c r="O4581" s="163"/>
      <c r="P4581" s="163"/>
      <c r="Q4581" s="163"/>
      <c r="R4581" s="163"/>
      <c r="S4581" s="161"/>
      <c r="T4581" s="161"/>
      <c r="U4581" s="161"/>
      <c r="V4581" s="161"/>
      <c r="W4581" s="161"/>
      <c r="X4581" s="161"/>
      <c r="Y4581" s="161"/>
      <c r="Z4581" s="168"/>
      <c r="AA4581" s="168"/>
      <c r="AB4581" s="168"/>
      <c r="AC4581" s="168"/>
    </row>
    <row r="4582">
      <c r="A4582" s="161"/>
      <c r="B4582" s="161"/>
      <c r="C4582" s="162"/>
      <c r="D4582" s="163"/>
      <c r="E4582" s="164" t="str">
        <f>IFERROR(__xludf.DUMMYFUNCTION("""COMPUTED_VALUE"""),"")</f>
        <v/>
      </c>
      <c r="F4582" s="163"/>
      <c r="G4582" s="163"/>
      <c r="H4582" s="163"/>
      <c r="I4582" s="163"/>
      <c r="J4582" s="165"/>
      <c r="K4582" s="165"/>
      <c r="L4582" s="165"/>
      <c r="M4582" s="166"/>
      <c r="N4582" s="167"/>
      <c r="O4582" s="163"/>
      <c r="P4582" s="163"/>
      <c r="Q4582" s="163"/>
      <c r="R4582" s="163"/>
      <c r="S4582" s="161"/>
      <c r="T4582" s="161"/>
      <c r="U4582" s="161"/>
      <c r="V4582" s="161"/>
      <c r="W4582" s="161"/>
      <c r="X4582" s="161"/>
      <c r="Y4582" s="161"/>
      <c r="Z4582" s="168"/>
      <c r="AA4582" s="168"/>
      <c r="AB4582" s="168"/>
      <c r="AC4582" s="168"/>
    </row>
    <row r="4583">
      <c r="A4583" s="161"/>
      <c r="B4583" s="161"/>
      <c r="C4583" s="162"/>
      <c r="D4583" s="163"/>
      <c r="E4583" s="164" t="str">
        <f>IFERROR(__xludf.DUMMYFUNCTION("""COMPUTED_VALUE"""),"")</f>
        <v/>
      </c>
      <c r="F4583" s="163"/>
      <c r="G4583" s="163"/>
      <c r="H4583" s="163"/>
      <c r="I4583" s="163"/>
      <c r="J4583" s="165"/>
      <c r="K4583" s="165"/>
      <c r="L4583" s="165"/>
      <c r="M4583" s="166"/>
      <c r="N4583" s="167"/>
      <c r="O4583" s="163"/>
      <c r="P4583" s="163"/>
      <c r="Q4583" s="163"/>
      <c r="R4583" s="163"/>
      <c r="S4583" s="161"/>
      <c r="T4583" s="161"/>
      <c r="U4583" s="161"/>
      <c r="V4583" s="161"/>
      <c r="W4583" s="161"/>
      <c r="X4583" s="161"/>
      <c r="Y4583" s="161"/>
      <c r="Z4583" s="168"/>
      <c r="AA4583" s="168"/>
      <c r="AB4583" s="168"/>
      <c r="AC4583" s="168"/>
    </row>
    <row r="4584">
      <c r="A4584" s="161"/>
      <c r="B4584" s="161"/>
      <c r="C4584" s="162"/>
      <c r="D4584" s="163"/>
      <c r="E4584" s="164" t="str">
        <f>IFERROR(__xludf.DUMMYFUNCTION("""COMPUTED_VALUE"""),"")</f>
        <v/>
      </c>
      <c r="F4584" s="163"/>
      <c r="G4584" s="163"/>
      <c r="H4584" s="163"/>
      <c r="I4584" s="163"/>
      <c r="J4584" s="165"/>
      <c r="K4584" s="165"/>
      <c r="L4584" s="165"/>
      <c r="M4584" s="166"/>
      <c r="N4584" s="167"/>
      <c r="O4584" s="163"/>
      <c r="P4584" s="163"/>
      <c r="Q4584" s="163"/>
      <c r="R4584" s="163"/>
      <c r="S4584" s="161"/>
      <c r="T4584" s="161"/>
      <c r="U4584" s="161"/>
      <c r="V4584" s="161"/>
      <c r="W4584" s="161"/>
      <c r="X4584" s="161"/>
      <c r="Y4584" s="161"/>
      <c r="Z4584" s="168"/>
      <c r="AA4584" s="168"/>
      <c r="AB4584" s="168"/>
      <c r="AC4584" s="168"/>
    </row>
    <row r="4585">
      <c r="A4585" s="161"/>
      <c r="B4585" s="161"/>
      <c r="C4585" s="162"/>
      <c r="D4585" s="163"/>
      <c r="E4585" s="164" t="str">
        <f>IFERROR(__xludf.DUMMYFUNCTION("""COMPUTED_VALUE"""),"")</f>
        <v/>
      </c>
      <c r="F4585" s="163"/>
      <c r="G4585" s="163"/>
      <c r="H4585" s="163"/>
      <c r="I4585" s="163"/>
      <c r="J4585" s="165"/>
      <c r="K4585" s="165"/>
      <c r="L4585" s="165"/>
      <c r="M4585" s="166"/>
      <c r="N4585" s="167"/>
      <c r="O4585" s="163"/>
      <c r="P4585" s="163"/>
      <c r="Q4585" s="163"/>
      <c r="R4585" s="163"/>
      <c r="S4585" s="161"/>
      <c r="T4585" s="161"/>
      <c r="U4585" s="161"/>
      <c r="V4585" s="161"/>
      <c r="W4585" s="161"/>
      <c r="X4585" s="161"/>
      <c r="Y4585" s="161"/>
      <c r="Z4585" s="168"/>
      <c r="AA4585" s="168"/>
      <c r="AB4585" s="168"/>
      <c r="AC4585" s="168"/>
    </row>
    <row r="4586">
      <c r="A4586" s="161"/>
      <c r="B4586" s="161"/>
      <c r="C4586" s="162"/>
      <c r="D4586" s="163"/>
      <c r="E4586" s="164" t="str">
        <f>IFERROR(__xludf.DUMMYFUNCTION("""COMPUTED_VALUE"""),"")</f>
        <v/>
      </c>
      <c r="F4586" s="163"/>
      <c r="G4586" s="163"/>
      <c r="H4586" s="163"/>
      <c r="I4586" s="163"/>
      <c r="J4586" s="165"/>
      <c r="K4586" s="165"/>
      <c r="L4586" s="165"/>
      <c r="M4586" s="166"/>
      <c r="N4586" s="167"/>
      <c r="O4586" s="163"/>
      <c r="P4586" s="163"/>
      <c r="Q4586" s="163"/>
      <c r="R4586" s="163"/>
      <c r="S4586" s="161"/>
      <c r="T4586" s="161"/>
      <c r="U4586" s="161"/>
      <c r="V4586" s="161"/>
      <c r="W4586" s="161"/>
      <c r="X4586" s="161"/>
      <c r="Y4586" s="161"/>
      <c r="Z4586" s="168"/>
      <c r="AA4586" s="168"/>
      <c r="AB4586" s="168"/>
      <c r="AC4586" s="168"/>
    </row>
    <row r="4587">
      <c r="A4587" s="161"/>
      <c r="B4587" s="161"/>
      <c r="C4587" s="162"/>
      <c r="D4587" s="163"/>
      <c r="E4587" s="164" t="str">
        <f>IFERROR(__xludf.DUMMYFUNCTION("""COMPUTED_VALUE"""),"")</f>
        <v/>
      </c>
      <c r="F4587" s="163"/>
      <c r="G4587" s="163"/>
      <c r="H4587" s="163"/>
      <c r="I4587" s="163"/>
      <c r="J4587" s="165"/>
      <c r="K4587" s="165"/>
      <c r="L4587" s="165"/>
      <c r="M4587" s="166"/>
      <c r="N4587" s="167"/>
      <c r="O4587" s="163"/>
      <c r="P4587" s="163"/>
      <c r="Q4587" s="163"/>
      <c r="R4587" s="163"/>
      <c r="S4587" s="161"/>
      <c r="T4587" s="161"/>
      <c r="U4587" s="161"/>
      <c r="V4587" s="161"/>
      <c r="W4587" s="161"/>
      <c r="X4587" s="161"/>
      <c r="Y4587" s="161"/>
      <c r="Z4587" s="168"/>
      <c r="AA4587" s="168"/>
      <c r="AB4587" s="168"/>
      <c r="AC4587" s="168"/>
    </row>
    <row r="4588">
      <c r="A4588" s="161"/>
      <c r="B4588" s="161"/>
      <c r="C4588" s="162"/>
      <c r="D4588" s="163"/>
      <c r="E4588" s="164" t="str">
        <f>IFERROR(__xludf.DUMMYFUNCTION("""COMPUTED_VALUE"""),"")</f>
        <v/>
      </c>
      <c r="F4588" s="163"/>
      <c r="G4588" s="163"/>
      <c r="H4588" s="163"/>
      <c r="I4588" s="163"/>
      <c r="J4588" s="165"/>
      <c r="K4588" s="165"/>
      <c r="L4588" s="165"/>
      <c r="M4588" s="166"/>
      <c r="N4588" s="167"/>
      <c r="O4588" s="163"/>
      <c r="P4588" s="163"/>
      <c r="Q4588" s="163"/>
      <c r="R4588" s="163"/>
      <c r="S4588" s="161"/>
      <c r="T4588" s="161"/>
      <c r="U4588" s="161"/>
      <c r="V4588" s="161"/>
      <c r="W4588" s="161"/>
      <c r="X4588" s="161"/>
      <c r="Y4588" s="161"/>
      <c r="Z4588" s="168"/>
      <c r="AA4588" s="168"/>
      <c r="AB4588" s="168"/>
      <c r="AC4588" s="168"/>
    </row>
    <row r="4589">
      <c r="A4589" s="161"/>
      <c r="B4589" s="161"/>
      <c r="C4589" s="162"/>
      <c r="D4589" s="163"/>
      <c r="E4589" s="164" t="str">
        <f>IFERROR(__xludf.DUMMYFUNCTION("""COMPUTED_VALUE"""),"")</f>
        <v/>
      </c>
      <c r="F4589" s="163"/>
      <c r="G4589" s="163"/>
      <c r="H4589" s="163"/>
      <c r="I4589" s="163"/>
      <c r="J4589" s="165"/>
      <c r="K4589" s="165"/>
      <c r="L4589" s="165"/>
      <c r="M4589" s="166"/>
      <c r="N4589" s="167"/>
      <c r="O4589" s="163"/>
      <c r="P4589" s="163"/>
      <c r="Q4589" s="163"/>
      <c r="R4589" s="163"/>
      <c r="S4589" s="161"/>
      <c r="T4589" s="161"/>
      <c r="U4589" s="161"/>
      <c r="V4589" s="161"/>
      <c r="W4589" s="161"/>
      <c r="X4589" s="161"/>
      <c r="Y4589" s="161"/>
      <c r="Z4589" s="168"/>
      <c r="AA4589" s="168"/>
      <c r="AB4589" s="168"/>
      <c r="AC4589" s="168"/>
    </row>
    <row r="4590">
      <c r="A4590" s="161"/>
      <c r="B4590" s="161"/>
      <c r="C4590" s="162"/>
      <c r="D4590" s="163"/>
      <c r="E4590" s="164" t="str">
        <f>IFERROR(__xludf.DUMMYFUNCTION("""COMPUTED_VALUE"""),"")</f>
        <v/>
      </c>
      <c r="F4590" s="163"/>
      <c r="G4590" s="163"/>
      <c r="H4590" s="163"/>
      <c r="I4590" s="163"/>
      <c r="J4590" s="165"/>
      <c r="K4590" s="165"/>
      <c r="L4590" s="165"/>
      <c r="M4590" s="166"/>
      <c r="N4590" s="167"/>
      <c r="O4590" s="163"/>
      <c r="P4590" s="163"/>
      <c r="Q4590" s="163"/>
      <c r="R4590" s="163"/>
      <c r="S4590" s="161"/>
      <c r="T4590" s="161"/>
      <c r="U4590" s="161"/>
      <c r="V4590" s="161"/>
      <c r="W4590" s="161"/>
      <c r="X4590" s="161"/>
      <c r="Y4590" s="161"/>
      <c r="Z4590" s="168"/>
      <c r="AA4590" s="168"/>
      <c r="AB4590" s="168"/>
      <c r="AC4590" s="168"/>
    </row>
    <row r="4591">
      <c r="A4591" s="161"/>
      <c r="B4591" s="161"/>
      <c r="C4591" s="162"/>
      <c r="D4591" s="163"/>
      <c r="E4591" s="164" t="str">
        <f>IFERROR(__xludf.DUMMYFUNCTION("""COMPUTED_VALUE"""),"")</f>
        <v/>
      </c>
      <c r="F4591" s="163"/>
      <c r="G4591" s="163"/>
      <c r="H4591" s="163"/>
      <c r="I4591" s="163"/>
      <c r="J4591" s="165"/>
      <c r="K4591" s="165"/>
      <c r="L4591" s="165"/>
      <c r="M4591" s="166"/>
      <c r="N4591" s="167"/>
      <c r="O4591" s="163"/>
      <c r="P4591" s="163"/>
      <c r="Q4591" s="163"/>
      <c r="R4591" s="163"/>
      <c r="S4591" s="161"/>
      <c r="T4591" s="161"/>
      <c r="U4591" s="161"/>
      <c r="V4591" s="161"/>
      <c r="W4591" s="161"/>
      <c r="X4591" s="161"/>
      <c r="Y4591" s="161"/>
      <c r="Z4591" s="168"/>
      <c r="AA4591" s="168"/>
      <c r="AB4591" s="168"/>
      <c r="AC4591" s="168"/>
    </row>
    <row r="4592">
      <c r="A4592" s="161"/>
      <c r="B4592" s="161"/>
      <c r="C4592" s="162"/>
      <c r="D4592" s="163"/>
      <c r="E4592" s="164" t="str">
        <f>IFERROR(__xludf.DUMMYFUNCTION("""COMPUTED_VALUE"""),"")</f>
        <v/>
      </c>
      <c r="F4592" s="163"/>
      <c r="G4592" s="163"/>
      <c r="H4592" s="163"/>
      <c r="I4592" s="163"/>
      <c r="J4592" s="165"/>
      <c r="K4592" s="165"/>
      <c r="L4592" s="165"/>
      <c r="M4592" s="166"/>
      <c r="N4592" s="167"/>
      <c r="O4592" s="163"/>
      <c r="P4592" s="163"/>
      <c r="Q4592" s="163"/>
      <c r="R4592" s="163"/>
      <c r="S4592" s="161"/>
      <c r="T4592" s="161"/>
      <c r="U4592" s="161"/>
      <c r="V4592" s="161"/>
      <c r="W4592" s="161"/>
      <c r="X4592" s="161"/>
      <c r="Y4592" s="161"/>
      <c r="Z4592" s="168"/>
      <c r="AA4592" s="168"/>
      <c r="AB4592" s="168"/>
      <c r="AC4592" s="168"/>
    </row>
    <row r="4593">
      <c r="A4593" s="161"/>
      <c r="B4593" s="161"/>
      <c r="C4593" s="162"/>
      <c r="D4593" s="163"/>
      <c r="E4593" s="164" t="str">
        <f>IFERROR(__xludf.DUMMYFUNCTION("""COMPUTED_VALUE"""),"")</f>
        <v/>
      </c>
      <c r="F4593" s="163"/>
      <c r="G4593" s="163"/>
      <c r="H4593" s="163"/>
      <c r="I4593" s="163"/>
      <c r="J4593" s="165"/>
      <c r="K4593" s="165"/>
      <c r="L4593" s="165"/>
      <c r="M4593" s="166"/>
      <c r="N4593" s="167"/>
      <c r="O4593" s="163"/>
      <c r="P4593" s="163"/>
      <c r="Q4593" s="163"/>
      <c r="R4593" s="163"/>
      <c r="S4593" s="161"/>
      <c r="T4593" s="161"/>
      <c r="U4593" s="161"/>
      <c r="V4593" s="161"/>
      <c r="W4593" s="161"/>
      <c r="X4593" s="161"/>
      <c r="Y4593" s="161"/>
      <c r="Z4593" s="168"/>
      <c r="AA4593" s="168"/>
      <c r="AB4593" s="168"/>
      <c r="AC4593" s="168"/>
    </row>
    <row r="4594">
      <c r="A4594" s="161"/>
      <c r="B4594" s="161"/>
      <c r="C4594" s="162"/>
      <c r="D4594" s="163"/>
      <c r="E4594" s="164" t="str">
        <f>IFERROR(__xludf.DUMMYFUNCTION("""COMPUTED_VALUE"""),"")</f>
        <v/>
      </c>
      <c r="F4594" s="163"/>
      <c r="G4594" s="163"/>
      <c r="H4594" s="163"/>
      <c r="I4594" s="163"/>
      <c r="J4594" s="165"/>
      <c r="K4594" s="165"/>
      <c r="L4594" s="165"/>
      <c r="M4594" s="166"/>
      <c r="N4594" s="167"/>
      <c r="O4594" s="163"/>
      <c r="P4594" s="163"/>
      <c r="Q4594" s="163"/>
      <c r="R4594" s="163"/>
      <c r="S4594" s="161"/>
      <c r="T4594" s="161"/>
      <c r="U4594" s="161"/>
      <c r="V4594" s="161"/>
      <c r="W4594" s="161"/>
      <c r="X4594" s="161"/>
      <c r="Y4594" s="161"/>
      <c r="Z4594" s="168"/>
      <c r="AA4594" s="168"/>
      <c r="AB4594" s="168"/>
      <c r="AC4594" s="168"/>
    </row>
    <row r="4595">
      <c r="A4595" s="161"/>
      <c r="B4595" s="161"/>
      <c r="C4595" s="162"/>
      <c r="D4595" s="163"/>
      <c r="E4595" s="164" t="str">
        <f>IFERROR(__xludf.DUMMYFUNCTION("""COMPUTED_VALUE"""),"")</f>
        <v/>
      </c>
      <c r="F4595" s="163"/>
      <c r="G4595" s="163"/>
      <c r="H4595" s="163"/>
      <c r="I4595" s="163"/>
      <c r="J4595" s="165"/>
      <c r="K4595" s="165"/>
      <c r="L4595" s="165"/>
      <c r="M4595" s="166"/>
      <c r="N4595" s="167"/>
      <c r="O4595" s="163"/>
      <c r="P4595" s="163"/>
      <c r="Q4595" s="163"/>
      <c r="R4595" s="163"/>
      <c r="S4595" s="161"/>
      <c r="T4595" s="161"/>
      <c r="U4595" s="161"/>
      <c r="V4595" s="161"/>
      <c r="W4595" s="161"/>
      <c r="X4595" s="161"/>
      <c r="Y4595" s="161"/>
      <c r="Z4595" s="168"/>
      <c r="AA4595" s="168"/>
      <c r="AB4595" s="168"/>
      <c r="AC4595" s="168"/>
    </row>
    <row r="4596">
      <c r="A4596" s="161"/>
      <c r="B4596" s="161"/>
      <c r="C4596" s="162"/>
      <c r="D4596" s="163"/>
      <c r="E4596" s="164" t="str">
        <f>IFERROR(__xludf.DUMMYFUNCTION("""COMPUTED_VALUE"""),"")</f>
        <v/>
      </c>
      <c r="F4596" s="163"/>
      <c r="G4596" s="163"/>
      <c r="H4596" s="163"/>
      <c r="I4596" s="163"/>
      <c r="J4596" s="165"/>
      <c r="K4596" s="165"/>
      <c r="L4596" s="165"/>
      <c r="M4596" s="166"/>
      <c r="N4596" s="167"/>
      <c r="O4596" s="163"/>
      <c r="P4596" s="163"/>
      <c r="Q4596" s="163"/>
      <c r="R4596" s="163"/>
      <c r="S4596" s="161"/>
      <c r="T4596" s="161"/>
      <c r="U4596" s="161"/>
      <c r="V4596" s="161"/>
      <c r="W4596" s="161"/>
      <c r="X4596" s="161"/>
      <c r="Y4596" s="161"/>
      <c r="Z4596" s="168"/>
      <c r="AA4596" s="168"/>
      <c r="AB4596" s="168"/>
      <c r="AC4596" s="168"/>
    </row>
    <row r="4597">
      <c r="A4597" s="161"/>
      <c r="B4597" s="161"/>
      <c r="C4597" s="162"/>
      <c r="D4597" s="163"/>
      <c r="E4597" s="164" t="str">
        <f>IFERROR(__xludf.DUMMYFUNCTION("""COMPUTED_VALUE"""),"")</f>
        <v/>
      </c>
      <c r="F4597" s="163"/>
      <c r="G4597" s="163"/>
      <c r="H4597" s="163"/>
      <c r="I4597" s="163"/>
      <c r="J4597" s="165"/>
      <c r="K4597" s="165"/>
      <c r="L4597" s="165"/>
      <c r="M4597" s="166"/>
      <c r="N4597" s="167"/>
      <c r="O4597" s="163"/>
      <c r="P4597" s="163"/>
      <c r="Q4597" s="163"/>
      <c r="R4597" s="163"/>
      <c r="S4597" s="161"/>
      <c r="T4597" s="161"/>
      <c r="U4597" s="161"/>
      <c r="V4597" s="161"/>
      <c r="W4597" s="161"/>
      <c r="X4597" s="161"/>
      <c r="Y4597" s="161"/>
      <c r="Z4597" s="168"/>
      <c r="AA4597" s="168"/>
      <c r="AB4597" s="168"/>
      <c r="AC4597" s="168"/>
    </row>
    <row r="4598">
      <c r="A4598" s="161"/>
      <c r="B4598" s="161"/>
      <c r="C4598" s="162"/>
      <c r="D4598" s="163"/>
      <c r="E4598" s="164" t="str">
        <f>IFERROR(__xludf.DUMMYFUNCTION("""COMPUTED_VALUE"""),"")</f>
        <v/>
      </c>
      <c r="F4598" s="163"/>
      <c r="G4598" s="163"/>
      <c r="H4598" s="163"/>
      <c r="I4598" s="163"/>
      <c r="J4598" s="165"/>
      <c r="K4598" s="165"/>
      <c r="L4598" s="165"/>
      <c r="M4598" s="166"/>
      <c r="N4598" s="167"/>
      <c r="O4598" s="163"/>
      <c r="P4598" s="163"/>
      <c r="Q4598" s="163"/>
      <c r="R4598" s="163"/>
      <c r="S4598" s="161"/>
      <c r="T4598" s="161"/>
      <c r="U4598" s="161"/>
      <c r="V4598" s="161"/>
      <c r="W4598" s="161"/>
      <c r="X4598" s="161"/>
      <c r="Y4598" s="161"/>
      <c r="Z4598" s="168"/>
      <c r="AA4598" s="168"/>
      <c r="AB4598" s="168"/>
      <c r="AC4598" s="168"/>
    </row>
    <row r="4599">
      <c r="A4599" s="161"/>
      <c r="B4599" s="161"/>
      <c r="C4599" s="162"/>
      <c r="D4599" s="163"/>
      <c r="E4599" s="164" t="str">
        <f>IFERROR(__xludf.DUMMYFUNCTION("""COMPUTED_VALUE"""),"")</f>
        <v/>
      </c>
      <c r="F4599" s="163"/>
      <c r="G4599" s="163"/>
      <c r="H4599" s="163"/>
      <c r="I4599" s="163"/>
      <c r="J4599" s="165"/>
      <c r="K4599" s="165"/>
      <c r="L4599" s="165"/>
      <c r="M4599" s="166"/>
      <c r="N4599" s="167"/>
      <c r="O4599" s="163"/>
      <c r="P4599" s="163"/>
      <c r="Q4599" s="163"/>
      <c r="R4599" s="163"/>
      <c r="S4599" s="161"/>
      <c r="T4599" s="161"/>
      <c r="U4599" s="161"/>
      <c r="V4599" s="161"/>
      <c r="W4599" s="161"/>
      <c r="X4599" s="161"/>
      <c r="Y4599" s="161"/>
      <c r="Z4599" s="168"/>
      <c r="AA4599" s="168"/>
      <c r="AB4599" s="168"/>
      <c r="AC4599" s="168"/>
    </row>
    <row r="4600">
      <c r="A4600" s="161"/>
      <c r="B4600" s="161"/>
      <c r="C4600" s="162"/>
      <c r="D4600" s="163"/>
      <c r="E4600" s="164" t="str">
        <f>IFERROR(__xludf.DUMMYFUNCTION("""COMPUTED_VALUE"""),"")</f>
        <v/>
      </c>
      <c r="F4600" s="163"/>
      <c r="G4600" s="163"/>
      <c r="H4600" s="163"/>
      <c r="I4600" s="163"/>
      <c r="J4600" s="165"/>
      <c r="K4600" s="165"/>
      <c r="L4600" s="165"/>
      <c r="M4600" s="166"/>
      <c r="N4600" s="167"/>
      <c r="O4600" s="163"/>
      <c r="P4600" s="163"/>
      <c r="Q4600" s="163"/>
      <c r="R4600" s="163"/>
      <c r="S4600" s="161"/>
      <c r="T4600" s="161"/>
      <c r="U4600" s="161"/>
      <c r="V4600" s="161"/>
      <c r="W4600" s="161"/>
      <c r="X4600" s="161"/>
      <c r="Y4600" s="161"/>
      <c r="Z4600" s="168"/>
      <c r="AA4600" s="168"/>
      <c r="AB4600" s="168"/>
      <c r="AC4600" s="168"/>
    </row>
    <row r="4601">
      <c r="A4601" s="161"/>
      <c r="B4601" s="161"/>
      <c r="C4601" s="162"/>
      <c r="D4601" s="163"/>
      <c r="E4601" s="164" t="str">
        <f>IFERROR(__xludf.DUMMYFUNCTION("""COMPUTED_VALUE"""),"")</f>
        <v/>
      </c>
      <c r="F4601" s="163"/>
      <c r="G4601" s="163"/>
      <c r="H4601" s="163"/>
      <c r="I4601" s="163"/>
      <c r="J4601" s="165"/>
      <c r="K4601" s="165"/>
      <c r="L4601" s="165"/>
      <c r="M4601" s="166"/>
      <c r="N4601" s="167"/>
      <c r="O4601" s="163"/>
      <c r="P4601" s="163"/>
      <c r="Q4601" s="163"/>
      <c r="R4601" s="163"/>
      <c r="S4601" s="161"/>
      <c r="T4601" s="161"/>
      <c r="U4601" s="161"/>
      <c r="V4601" s="161"/>
      <c r="W4601" s="161"/>
      <c r="X4601" s="161"/>
      <c r="Y4601" s="161"/>
      <c r="Z4601" s="168"/>
      <c r="AA4601" s="168"/>
      <c r="AB4601" s="168"/>
      <c r="AC4601" s="168"/>
    </row>
    <row r="4602">
      <c r="A4602" s="161"/>
      <c r="B4602" s="161"/>
      <c r="C4602" s="162"/>
      <c r="D4602" s="163"/>
      <c r="E4602" s="164" t="str">
        <f>IFERROR(__xludf.DUMMYFUNCTION("""COMPUTED_VALUE"""),"")</f>
        <v/>
      </c>
      <c r="F4602" s="163"/>
      <c r="G4602" s="163"/>
      <c r="H4602" s="163"/>
      <c r="I4602" s="163"/>
      <c r="J4602" s="165"/>
      <c r="K4602" s="165"/>
      <c r="L4602" s="165"/>
      <c r="M4602" s="166"/>
      <c r="N4602" s="167"/>
      <c r="O4602" s="163"/>
      <c r="P4602" s="163"/>
      <c r="Q4602" s="163"/>
      <c r="R4602" s="163"/>
      <c r="S4602" s="161"/>
      <c r="T4602" s="161"/>
      <c r="U4602" s="161"/>
      <c r="V4602" s="161"/>
      <c r="W4602" s="161"/>
      <c r="X4602" s="161"/>
      <c r="Y4602" s="161"/>
      <c r="Z4602" s="168"/>
      <c r="AA4602" s="168"/>
      <c r="AB4602" s="168"/>
      <c r="AC4602" s="168"/>
    </row>
    <row r="4603">
      <c r="A4603" s="161"/>
      <c r="B4603" s="161"/>
      <c r="C4603" s="162"/>
      <c r="D4603" s="163"/>
      <c r="E4603" s="164" t="str">
        <f>IFERROR(__xludf.DUMMYFUNCTION("""COMPUTED_VALUE"""),"")</f>
        <v/>
      </c>
      <c r="F4603" s="163"/>
      <c r="G4603" s="163"/>
      <c r="H4603" s="163"/>
      <c r="I4603" s="163"/>
      <c r="J4603" s="165"/>
      <c r="K4603" s="165"/>
      <c r="L4603" s="165"/>
      <c r="M4603" s="166"/>
      <c r="N4603" s="167"/>
      <c r="O4603" s="163"/>
      <c r="P4603" s="163"/>
      <c r="Q4603" s="163"/>
      <c r="R4603" s="163"/>
      <c r="S4603" s="161"/>
      <c r="T4603" s="161"/>
      <c r="U4603" s="161"/>
      <c r="V4603" s="161"/>
      <c r="W4603" s="161"/>
      <c r="X4603" s="161"/>
      <c r="Y4603" s="161"/>
      <c r="Z4603" s="168"/>
      <c r="AA4603" s="168"/>
      <c r="AB4603" s="168"/>
      <c r="AC4603" s="168"/>
    </row>
    <row r="4604">
      <c r="A4604" s="161"/>
      <c r="B4604" s="161"/>
      <c r="C4604" s="162"/>
      <c r="D4604" s="163"/>
      <c r="E4604" s="164" t="str">
        <f>IFERROR(__xludf.DUMMYFUNCTION("""COMPUTED_VALUE"""),"")</f>
        <v/>
      </c>
      <c r="F4604" s="163"/>
      <c r="G4604" s="163"/>
      <c r="H4604" s="163"/>
      <c r="I4604" s="163"/>
      <c r="J4604" s="165"/>
      <c r="K4604" s="165"/>
      <c r="L4604" s="165"/>
      <c r="M4604" s="166"/>
      <c r="N4604" s="167"/>
      <c r="O4604" s="163"/>
      <c r="P4604" s="163"/>
      <c r="Q4604" s="163"/>
      <c r="R4604" s="163"/>
      <c r="S4604" s="161"/>
      <c r="T4604" s="161"/>
      <c r="U4604" s="161"/>
      <c r="V4604" s="161"/>
      <c r="W4604" s="161"/>
      <c r="X4604" s="161"/>
      <c r="Y4604" s="161"/>
      <c r="Z4604" s="168"/>
      <c r="AA4604" s="168"/>
      <c r="AB4604" s="168"/>
      <c r="AC4604" s="168"/>
    </row>
    <row r="4605">
      <c r="A4605" s="161"/>
      <c r="B4605" s="161"/>
      <c r="C4605" s="162"/>
      <c r="D4605" s="163"/>
      <c r="E4605" s="164" t="str">
        <f>IFERROR(__xludf.DUMMYFUNCTION("""COMPUTED_VALUE"""),"")</f>
        <v/>
      </c>
      <c r="F4605" s="163"/>
      <c r="G4605" s="163"/>
      <c r="H4605" s="163"/>
      <c r="I4605" s="163"/>
      <c r="J4605" s="165"/>
      <c r="K4605" s="165"/>
      <c r="L4605" s="165"/>
      <c r="M4605" s="166"/>
      <c r="N4605" s="167"/>
      <c r="O4605" s="163"/>
      <c r="P4605" s="163"/>
      <c r="Q4605" s="163"/>
      <c r="R4605" s="163"/>
      <c r="S4605" s="161"/>
      <c r="T4605" s="161"/>
      <c r="U4605" s="161"/>
      <c r="V4605" s="161"/>
      <c r="W4605" s="161"/>
      <c r="X4605" s="161"/>
      <c r="Y4605" s="161"/>
      <c r="Z4605" s="168"/>
      <c r="AA4605" s="168"/>
      <c r="AB4605" s="168"/>
      <c r="AC4605" s="168"/>
    </row>
    <row r="4606">
      <c r="A4606" s="161"/>
      <c r="B4606" s="161"/>
      <c r="C4606" s="162"/>
      <c r="D4606" s="163"/>
      <c r="E4606" s="164" t="str">
        <f>IFERROR(__xludf.DUMMYFUNCTION("""COMPUTED_VALUE"""),"")</f>
        <v/>
      </c>
      <c r="F4606" s="163"/>
      <c r="G4606" s="163"/>
      <c r="H4606" s="163"/>
      <c r="I4606" s="163"/>
      <c r="J4606" s="165"/>
      <c r="K4606" s="165"/>
      <c r="L4606" s="165"/>
      <c r="M4606" s="166"/>
      <c r="N4606" s="167"/>
      <c r="O4606" s="163"/>
      <c r="P4606" s="163"/>
      <c r="Q4606" s="163"/>
      <c r="R4606" s="163"/>
      <c r="S4606" s="161"/>
      <c r="T4606" s="161"/>
      <c r="U4606" s="161"/>
      <c r="V4606" s="161"/>
      <c r="W4606" s="161"/>
      <c r="X4606" s="161"/>
      <c r="Y4606" s="161"/>
      <c r="Z4606" s="168"/>
      <c r="AA4606" s="168"/>
      <c r="AB4606" s="168"/>
      <c r="AC4606" s="168"/>
    </row>
    <row r="4607">
      <c r="A4607" s="161"/>
      <c r="B4607" s="161"/>
      <c r="C4607" s="162"/>
      <c r="D4607" s="163"/>
      <c r="E4607" s="164" t="str">
        <f>IFERROR(__xludf.DUMMYFUNCTION("""COMPUTED_VALUE"""),"")</f>
        <v/>
      </c>
      <c r="F4607" s="163"/>
      <c r="G4607" s="163"/>
      <c r="H4607" s="163"/>
      <c r="I4607" s="163"/>
      <c r="J4607" s="165"/>
      <c r="K4607" s="165"/>
      <c r="L4607" s="165"/>
      <c r="M4607" s="166"/>
      <c r="N4607" s="167"/>
      <c r="O4607" s="163"/>
      <c r="P4607" s="163"/>
      <c r="Q4607" s="163"/>
      <c r="R4607" s="163"/>
      <c r="S4607" s="161"/>
      <c r="T4607" s="161"/>
      <c r="U4607" s="161"/>
      <c r="V4607" s="161"/>
      <c r="W4607" s="161"/>
      <c r="X4607" s="161"/>
      <c r="Y4607" s="161"/>
      <c r="Z4607" s="168"/>
      <c r="AA4607" s="168"/>
      <c r="AB4607" s="168"/>
      <c r="AC4607" s="168"/>
    </row>
    <row r="4608">
      <c r="A4608" s="161"/>
      <c r="B4608" s="161"/>
      <c r="C4608" s="162"/>
      <c r="D4608" s="163"/>
      <c r="E4608" s="164" t="str">
        <f>IFERROR(__xludf.DUMMYFUNCTION("""COMPUTED_VALUE"""),"")</f>
        <v/>
      </c>
      <c r="F4608" s="163"/>
      <c r="G4608" s="163"/>
      <c r="H4608" s="163"/>
      <c r="I4608" s="163"/>
      <c r="J4608" s="165"/>
      <c r="K4608" s="165"/>
      <c r="L4608" s="165"/>
      <c r="M4608" s="166"/>
      <c r="N4608" s="167"/>
      <c r="O4608" s="163"/>
      <c r="P4608" s="163"/>
      <c r="Q4608" s="163"/>
      <c r="R4608" s="163"/>
      <c r="S4608" s="161"/>
      <c r="T4608" s="161"/>
      <c r="U4608" s="161"/>
      <c r="V4608" s="161"/>
      <c r="W4608" s="161"/>
      <c r="X4608" s="161"/>
      <c r="Y4608" s="161"/>
      <c r="Z4608" s="168"/>
      <c r="AA4608" s="168"/>
      <c r="AB4608" s="168"/>
      <c r="AC4608" s="168"/>
    </row>
    <row r="4609">
      <c r="A4609" s="161"/>
      <c r="B4609" s="161"/>
      <c r="C4609" s="162"/>
      <c r="D4609" s="163"/>
      <c r="E4609" s="164" t="str">
        <f>IFERROR(__xludf.DUMMYFUNCTION("""COMPUTED_VALUE"""),"")</f>
        <v/>
      </c>
      <c r="F4609" s="163"/>
      <c r="G4609" s="163"/>
      <c r="H4609" s="163"/>
      <c r="I4609" s="163"/>
      <c r="J4609" s="165"/>
      <c r="K4609" s="165"/>
      <c r="L4609" s="165"/>
      <c r="M4609" s="166"/>
      <c r="N4609" s="167"/>
      <c r="O4609" s="163"/>
      <c r="P4609" s="163"/>
      <c r="Q4609" s="163"/>
      <c r="R4609" s="163"/>
      <c r="S4609" s="161"/>
      <c r="T4609" s="161"/>
      <c r="U4609" s="161"/>
      <c r="V4609" s="161"/>
      <c r="W4609" s="161"/>
      <c r="X4609" s="161"/>
      <c r="Y4609" s="161"/>
      <c r="Z4609" s="168"/>
      <c r="AA4609" s="168"/>
      <c r="AB4609" s="168"/>
      <c r="AC4609" s="168"/>
    </row>
    <row r="4610">
      <c r="A4610" s="161"/>
      <c r="B4610" s="161"/>
      <c r="C4610" s="162"/>
      <c r="D4610" s="163"/>
      <c r="E4610" s="164" t="str">
        <f>IFERROR(__xludf.DUMMYFUNCTION("""COMPUTED_VALUE"""),"")</f>
        <v/>
      </c>
      <c r="F4610" s="163"/>
      <c r="G4610" s="163"/>
      <c r="H4610" s="163"/>
      <c r="I4610" s="163"/>
      <c r="J4610" s="165"/>
      <c r="K4610" s="165"/>
      <c r="L4610" s="165"/>
      <c r="M4610" s="166"/>
      <c r="N4610" s="167"/>
      <c r="O4610" s="163"/>
      <c r="P4610" s="163"/>
      <c r="Q4610" s="163"/>
      <c r="R4610" s="163"/>
      <c r="S4610" s="161"/>
      <c r="T4610" s="161"/>
      <c r="U4610" s="161"/>
      <c r="V4610" s="161"/>
      <c r="W4610" s="161"/>
      <c r="X4610" s="161"/>
      <c r="Y4610" s="161"/>
      <c r="Z4610" s="168"/>
      <c r="AA4610" s="168"/>
      <c r="AB4610" s="168"/>
      <c r="AC4610" s="168"/>
    </row>
    <row r="4611">
      <c r="A4611" s="161"/>
      <c r="B4611" s="161"/>
      <c r="C4611" s="162"/>
      <c r="D4611" s="163"/>
      <c r="E4611" s="164" t="str">
        <f>IFERROR(__xludf.DUMMYFUNCTION("""COMPUTED_VALUE"""),"")</f>
        <v/>
      </c>
      <c r="F4611" s="163"/>
      <c r="G4611" s="163"/>
      <c r="H4611" s="163"/>
      <c r="I4611" s="163"/>
      <c r="J4611" s="165"/>
      <c r="K4611" s="165"/>
      <c r="L4611" s="165"/>
      <c r="M4611" s="166"/>
      <c r="N4611" s="167"/>
      <c r="O4611" s="163"/>
      <c r="P4611" s="163"/>
      <c r="Q4611" s="163"/>
      <c r="R4611" s="163"/>
      <c r="S4611" s="161"/>
      <c r="T4611" s="161"/>
      <c r="U4611" s="161"/>
      <c r="V4611" s="161"/>
      <c r="W4611" s="161"/>
      <c r="X4611" s="161"/>
      <c r="Y4611" s="161"/>
      <c r="Z4611" s="168"/>
      <c r="AA4611" s="168"/>
      <c r="AB4611" s="168"/>
      <c r="AC4611" s="168"/>
    </row>
    <row r="4612">
      <c r="A4612" s="161"/>
      <c r="B4612" s="161"/>
      <c r="C4612" s="162"/>
      <c r="D4612" s="163"/>
      <c r="E4612" s="164" t="str">
        <f>IFERROR(__xludf.DUMMYFUNCTION("""COMPUTED_VALUE"""),"")</f>
        <v/>
      </c>
      <c r="F4612" s="163"/>
      <c r="G4612" s="163"/>
      <c r="H4612" s="163"/>
      <c r="I4612" s="163"/>
      <c r="J4612" s="165"/>
      <c r="K4612" s="165"/>
      <c r="L4612" s="165"/>
      <c r="M4612" s="166"/>
      <c r="N4612" s="167"/>
      <c r="O4612" s="163"/>
      <c r="P4612" s="163"/>
      <c r="Q4612" s="163"/>
      <c r="R4612" s="163"/>
      <c r="S4612" s="161"/>
      <c r="T4612" s="161"/>
      <c r="U4612" s="161"/>
      <c r="V4612" s="161"/>
      <c r="W4612" s="161"/>
      <c r="X4612" s="161"/>
      <c r="Y4612" s="161"/>
      <c r="Z4612" s="168"/>
      <c r="AA4612" s="168"/>
      <c r="AB4612" s="168"/>
      <c r="AC4612" s="168"/>
    </row>
    <row r="4613">
      <c r="A4613" s="161"/>
      <c r="B4613" s="161"/>
      <c r="C4613" s="162"/>
      <c r="D4613" s="163"/>
      <c r="E4613" s="164" t="str">
        <f>IFERROR(__xludf.DUMMYFUNCTION("""COMPUTED_VALUE"""),"")</f>
        <v/>
      </c>
      <c r="F4613" s="163"/>
      <c r="G4613" s="163"/>
      <c r="H4613" s="163"/>
      <c r="I4613" s="163"/>
      <c r="J4613" s="165"/>
      <c r="K4613" s="165"/>
      <c r="L4613" s="165"/>
      <c r="M4613" s="166"/>
      <c r="N4613" s="167"/>
      <c r="O4613" s="163"/>
      <c r="P4613" s="163"/>
      <c r="Q4613" s="163"/>
      <c r="R4613" s="163"/>
      <c r="S4613" s="161"/>
      <c r="T4613" s="161"/>
      <c r="U4613" s="161"/>
      <c r="V4613" s="161"/>
      <c r="W4613" s="161"/>
      <c r="X4613" s="161"/>
      <c r="Y4613" s="161"/>
      <c r="Z4613" s="168"/>
      <c r="AA4613" s="168"/>
      <c r="AB4613" s="168"/>
      <c r="AC4613" s="168"/>
    </row>
    <row r="4614">
      <c r="A4614" s="161"/>
      <c r="B4614" s="161"/>
      <c r="C4614" s="162"/>
      <c r="D4614" s="163"/>
      <c r="E4614" s="164" t="str">
        <f>IFERROR(__xludf.DUMMYFUNCTION("""COMPUTED_VALUE"""),"")</f>
        <v/>
      </c>
      <c r="F4614" s="163"/>
      <c r="G4614" s="163"/>
      <c r="H4614" s="163"/>
      <c r="I4614" s="163"/>
      <c r="J4614" s="165"/>
      <c r="K4614" s="165"/>
      <c r="L4614" s="165"/>
      <c r="M4614" s="166"/>
      <c r="N4614" s="167"/>
      <c r="O4614" s="163"/>
      <c r="P4614" s="163"/>
      <c r="Q4614" s="163"/>
      <c r="R4614" s="163"/>
      <c r="S4614" s="161"/>
      <c r="T4614" s="161"/>
      <c r="U4614" s="161"/>
      <c r="V4614" s="161"/>
      <c r="W4614" s="161"/>
      <c r="X4614" s="161"/>
      <c r="Y4614" s="161"/>
      <c r="Z4614" s="168"/>
      <c r="AA4614" s="168"/>
      <c r="AB4614" s="168"/>
      <c r="AC4614" s="168"/>
    </row>
    <row r="4615">
      <c r="A4615" s="161"/>
      <c r="B4615" s="161"/>
      <c r="C4615" s="162"/>
      <c r="D4615" s="163"/>
      <c r="E4615" s="164" t="str">
        <f>IFERROR(__xludf.DUMMYFUNCTION("""COMPUTED_VALUE"""),"")</f>
        <v/>
      </c>
      <c r="F4615" s="163"/>
      <c r="G4615" s="163"/>
      <c r="H4615" s="163"/>
      <c r="I4615" s="163"/>
      <c r="J4615" s="165"/>
      <c r="K4615" s="165"/>
      <c r="L4615" s="165"/>
      <c r="M4615" s="166"/>
      <c r="N4615" s="167"/>
      <c r="O4615" s="163"/>
      <c r="P4615" s="163"/>
      <c r="Q4615" s="163"/>
      <c r="R4615" s="163"/>
      <c r="S4615" s="161"/>
      <c r="T4615" s="161"/>
      <c r="U4615" s="161"/>
      <c r="V4615" s="161"/>
      <c r="W4615" s="161"/>
      <c r="X4615" s="161"/>
      <c r="Y4615" s="161"/>
      <c r="Z4615" s="168"/>
      <c r="AA4615" s="168"/>
      <c r="AB4615" s="168"/>
      <c r="AC4615" s="168"/>
    </row>
    <row r="4616">
      <c r="A4616" s="161"/>
      <c r="B4616" s="161"/>
      <c r="C4616" s="162"/>
      <c r="D4616" s="163"/>
      <c r="E4616" s="164" t="str">
        <f>IFERROR(__xludf.DUMMYFUNCTION("""COMPUTED_VALUE"""),"")</f>
        <v/>
      </c>
      <c r="F4616" s="163"/>
      <c r="G4616" s="163"/>
      <c r="H4616" s="163"/>
      <c r="I4616" s="163"/>
      <c r="J4616" s="165"/>
      <c r="K4616" s="165"/>
      <c r="L4616" s="165"/>
      <c r="M4616" s="166"/>
      <c r="N4616" s="167"/>
      <c r="O4616" s="163"/>
      <c r="P4616" s="163"/>
      <c r="Q4616" s="163"/>
      <c r="R4616" s="163"/>
      <c r="S4616" s="161"/>
      <c r="T4616" s="161"/>
      <c r="U4616" s="161"/>
      <c r="V4616" s="161"/>
      <c r="W4616" s="161"/>
      <c r="X4616" s="161"/>
      <c r="Y4616" s="161"/>
      <c r="Z4616" s="168"/>
      <c r="AA4616" s="168"/>
      <c r="AB4616" s="168"/>
      <c r="AC4616" s="168"/>
    </row>
    <row r="4617">
      <c r="A4617" s="161"/>
      <c r="B4617" s="161"/>
      <c r="C4617" s="162"/>
      <c r="D4617" s="163"/>
      <c r="E4617" s="164" t="str">
        <f>IFERROR(__xludf.DUMMYFUNCTION("""COMPUTED_VALUE"""),"")</f>
        <v/>
      </c>
      <c r="F4617" s="163"/>
      <c r="G4617" s="163"/>
      <c r="H4617" s="163"/>
      <c r="I4617" s="163"/>
      <c r="J4617" s="165"/>
      <c r="K4617" s="165"/>
      <c r="L4617" s="165"/>
      <c r="M4617" s="166"/>
      <c r="N4617" s="167"/>
      <c r="O4617" s="163"/>
      <c r="P4617" s="163"/>
      <c r="Q4617" s="163"/>
      <c r="R4617" s="163"/>
      <c r="S4617" s="161"/>
      <c r="T4617" s="161"/>
      <c r="U4617" s="161"/>
      <c r="V4617" s="161"/>
      <c r="W4617" s="161"/>
      <c r="X4617" s="161"/>
      <c r="Y4617" s="161"/>
      <c r="Z4617" s="168"/>
      <c r="AA4617" s="168"/>
      <c r="AB4617" s="168"/>
      <c r="AC4617" s="168"/>
    </row>
    <row r="4618">
      <c r="A4618" s="161"/>
      <c r="B4618" s="161"/>
      <c r="C4618" s="162"/>
      <c r="D4618" s="163"/>
      <c r="E4618" s="164" t="str">
        <f>IFERROR(__xludf.DUMMYFUNCTION("""COMPUTED_VALUE"""),"")</f>
        <v/>
      </c>
      <c r="F4618" s="163"/>
      <c r="G4618" s="163"/>
      <c r="H4618" s="163"/>
      <c r="I4618" s="163"/>
      <c r="J4618" s="165"/>
      <c r="K4618" s="165"/>
      <c r="L4618" s="165"/>
      <c r="M4618" s="166"/>
      <c r="N4618" s="167"/>
      <c r="O4618" s="163"/>
      <c r="P4618" s="163"/>
      <c r="Q4618" s="163"/>
      <c r="R4618" s="163"/>
      <c r="S4618" s="161"/>
      <c r="T4618" s="161"/>
      <c r="U4618" s="161"/>
      <c r="V4618" s="161"/>
      <c r="W4618" s="161"/>
      <c r="X4618" s="161"/>
      <c r="Y4618" s="161"/>
      <c r="Z4618" s="168"/>
      <c r="AA4618" s="168"/>
      <c r="AB4618" s="168"/>
      <c r="AC4618" s="168"/>
    </row>
    <row r="4619">
      <c r="A4619" s="161"/>
      <c r="B4619" s="161"/>
      <c r="C4619" s="162"/>
      <c r="D4619" s="163"/>
      <c r="E4619" s="164" t="str">
        <f>IFERROR(__xludf.DUMMYFUNCTION("""COMPUTED_VALUE"""),"")</f>
        <v/>
      </c>
      <c r="F4619" s="163"/>
      <c r="G4619" s="163"/>
      <c r="H4619" s="163"/>
      <c r="I4619" s="163"/>
      <c r="J4619" s="165"/>
      <c r="K4619" s="165"/>
      <c r="L4619" s="165"/>
      <c r="M4619" s="166"/>
      <c r="N4619" s="167"/>
      <c r="O4619" s="163"/>
      <c r="P4619" s="163"/>
      <c r="Q4619" s="163"/>
      <c r="R4619" s="163"/>
      <c r="S4619" s="161"/>
      <c r="T4619" s="161"/>
      <c r="U4619" s="161"/>
      <c r="V4619" s="161"/>
      <c r="W4619" s="161"/>
      <c r="X4619" s="161"/>
      <c r="Y4619" s="161"/>
      <c r="Z4619" s="168"/>
      <c r="AA4619" s="168"/>
      <c r="AB4619" s="168"/>
      <c r="AC4619" s="168"/>
    </row>
    <row r="4620">
      <c r="A4620" s="161"/>
      <c r="B4620" s="161"/>
      <c r="C4620" s="162"/>
      <c r="D4620" s="163"/>
      <c r="E4620" s="164" t="str">
        <f>IFERROR(__xludf.DUMMYFUNCTION("""COMPUTED_VALUE"""),"")</f>
        <v/>
      </c>
      <c r="F4620" s="163"/>
      <c r="G4620" s="163"/>
      <c r="H4620" s="163"/>
      <c r="I4620" s="163"/>
      <c r="J4620" s="165"/>
      <c r="K4620" s="165"/>
      <c r="L4620" s="165"/>
      <c r="M4620" s="166"/>
      <c r="N4620" s="167"/>
      <c r="O4620" s="163"/>
      <c r="P4620" s="163"/>
      <c r="Q4620" s="163"/>
      <c r="R4620" s="163"/>
      <c r="S4620" s="161"/>
      <c r="T4620" s="161"/>
      <c r="U4620" s="161"/>
      <c r="V4620" s="161"/>
      <c r="W4620" s="161"/>
      <c r="X4620" s="161"/>
      <c r="Y4620" s="161"/>
      <c r="Z4620" s="168"/>
      <c r="AA4620" s="168"/>
      <c r="AB4620" s="168"/>
      <c r="AC4620" s="168"/>
    </row>
    <row r="4621">
      <c r="A4621" s="161"/>
      <c r="B4621" s="161"/>
      <c r="C4621" s="162"/>
      <c r="D4621" s="163"/>
      <c r="E4621" s="164" t="str">
        <f>IFERROR(__xludf.DUMMYFUNCTION("""COMPUTED_VALUE"""),"")</f>
        <v/>
      </c>
      <c r="F4621" s="163"/>
      <c r="G4621" s="163"/>
      <c r="H4621" s="163"/>
      <c r="I4621" s="163"/>
      <c r="J4621" s="165"/>
      <c r="K4621" s="165"/>
      <c r="L4621" s="165"/>
      <c r="M4621" s="166"/>
      <c r="N4621" s="167"/>
      <c r="O4621" s="163"/>
      <c r="P4621" s="163"/>
      <c r="Q4621" s="163"/>
      <c r="R4621" s="163"/>
      <c r="S4621" s="161"/>
      <c r="T4621" s="161"/>
      <c r="U4621" s="161"/>
      <c r="V4621" s="161"/>
      <c r="W4621" s="161"/>
      <c r="X4621" s="161"/>
      <c r="Y4621" s="161"/>
      <c r="Z4621" s="168"/>
      <c r="AA4621" s="168"/>
      <c r="AB4621" s="168"/>
      <c r="AC4621" s="168"/>
    </row>
    <row r="4622">
      <c r="A4622" s="161"/>
      <c r="B4622" s="161"/>
      <c r="C4622" s="162"/>
      <c r="D4622" s="163"/>
      <c r="E4622" s="164" t="str">
        <f>IFERROR(__xludf.DUMMYFUNCTION("""COMPUTED_VALUE"""),"")</f>
        <v/>
      </c>
      <c r="F4622" s="163"/>
      <c r="G4622" s="163"/>
      <c r="H4622" s="163"/>
      <c r="I4622" s="163"/>
      <c r="J4622" s="165"/>
      <c r="K4622" s="165"/>
      <c r="L4622" s="165"/>
      <c r="M4622" s="166"/>
      <c r="N4622" s="167"/>
      <c r="O4622" s="163"/>
      <c r="P4622" s="163"/>
      <c r="Q4622" s="163"/>
      <c r="R4622" s="163"/>
      <c r="S4622" s="161"/>
      <c r="T4622" s="161"/>
      <c r="U4622" s="161"/>
      <c r="V4622" s="161"/>
      <c r="W4622" s="161"/>
      <c r="X4622" s="161"/>
      <c r="Y4622" s="161"/>
      <c r="Z4622" s="168"/>
      <c r="AA4622" s="168"/>
      <c r="AB4622" s="168"/>
      <c r="AC4622" s="168"/>
    </row>
    <row r="4623">
      <c r="A4623" s="161"/>
      <c r="B4623" s="161"/>
      <c r="C4623" s="162"/>
      <c r="D4623" s="163"/>
      <c r="E4623" s="164" t="str">
        <f>IFERROR(__xludf.DUMMYFUNCTION("""COMPUTED_VALUE"""),"")</f>
        <v/>
      </c>
      <c r="F4623" s="163"/>
      <c r="G4623" s="163"/>
      <c r="H4623" s="163"/>
      <c r="I4623" s="163"/>
      <c r="J4623" s="165"/>
      <c r="K4623" s="165"/>
      <c r="L4623" s="165"/>
      <c r="M4623" s="166"/>
      <c r="N4623" s="167"/>
      <c r="O4623" s="163"/>
      <c r="P4623" s="163"/>
      <c r="Q4623" s="163"/>
      <c r="R4623" s="163"/>
      <c r="S4623" s="161"/>
      <c r="T4623" s="161"/>
      <c r="U4623" s="161"/>
      <c r="V4623" s="161"/>
      <c r="W4623" s="161"/>
      <c r="X4623" s="161"/>
      <c r="Y4623" s="161"/>
      <c r="Z4623" s="168"/>
      <c r="AA4623" s="168"/>
      <c r="AB4623" s="168"/>
      <c r="AC4623" s="168"/>
    </row>
    <row r="4624">
      <c r="A4624" s="161"/>
      <c r="B4624" s="161"/>
      <c r="C4624" s="162"/>
      <c r="D4624" s="163"/>
      <c r="E4624" s="164" t="str">
        <f>IFERROR(__xludf.DUMMYFUNCTION("""COMPUTED_VALUE"""),"")</f>
        <v/>
      </c>
      <c r="F4624" s="163"/>
      <c r="G4624" s="163"/>
      <c r="H4624" s="163"/>
      <c r="I4624" s="163"/>
      <c r="J4624" s="165"/>
      <c r="K4624" s="165"/>
      <c r="L4624" s="165"/>
      <c r="M4624" s="166"/>
      <c r="N4624" s="167"/>
      <c r="O4624" s="163"/>
      <c r="P4624" s="163"/>
      <c r="Q4624" s="163"/>
      <c r="R4624" s="163"/>
      <c r="S4624" s="161"/>
      <c r="T4624" s="161"/>
      <c r="U4624" s="161"/>
      <c r="V4624" s="161"/>
      <c r="W4624" s="161"/>
      <c r="X4624" s="161"/>
      <c r="Y4624" s="161"/>
      <c r="Z4624" s="168"/>
      <c r="AA4624" s="168"/>
      <c r="AB4624" s="168"/>
      <c r="AC4624" s="168"/>
    </row>
    <row r="4625">
      <c r="A4625" s="161"/>
      <c r="B4625" s="161"/>
      <c r="C4625" s="162"/>
      <c r="D4625" s="163"/>
      <c r="E4625" s="164" t="str">
        <f>IFERROR(__xludf.DUMMYFUNCTION("""COMPUTED_VALUE"""),"")</f>
        <v/>
      </c>
      <c r="F4625" s="163"/>
      <c r="G4625" s="163"/>
      <c r="H4625" s="163"/>
      <c r="I4625" s="163"/>
      <c r="J4625" s="165"/>
      <c r="K4625" s="165"/>
      <c r="L4625" s="165"/>
      <c r="M4625" s="166"/>
      <c r="N4625" s="167"/>
      <c r="O4625" s="163"/>
      <c r="P4625" s="163"/>
      <c r="Q4625" s="163"/>
      <c r="R4625" s="163"/>
      <c r="S4625" s="161"/>
      <c r="T4625" s="161"/>
      <c r="U4625" s="161"/>
      <c r="V4625" s="161"/>
      <c r="W4625" s="161"/>
      <c r="X4625" s="161"/>
      <c r="Y4625" s="161"/>
      <c r="Z4625" s="168"/>
      <c r="AA4625" s="168"/>
      <c r="AB4625" s="168"/>
      <c r="AC4625" s="168"/>
    </row>
    <row r="4626">
      <c r="A4626" s="161"/>
      <c r="B4626" s="161"/>
      <c r="C4626" s="162"/>
      <c r="D4626" s="163"/>
      <c r="E4626" s="164" t="str">
        <f>IFERROR(__xludf.DUMMYFUNCTION("""COMPUTED_VALUE"""),"")</f>
        <v/>
      </c>
      <c r="F4626" s="163"/>
      <c r="G4626" s="163"/>
      <c r="H4626" s="163"/>
      <c r="I4626" s="163"/>
      <c r="J4626" s="165"/>
      <c r="K4626" s="165"/>
      <c r="L4626" s="165"/>
      <c r="M4626" s="166"/>
      <c r="N4626" s="167"/>
      <c r="O4626" s="163"/>
      <c r="P4626" s="163"/>
      <c r="Q4626" s="163"/>
      <c r="R4626" s="163"/>
      <c r="S4626" s="161"/>
      <c r="T4626" s="161"/>
      <c r="U4626" s="161"/>
      <c r="V4626" s="161"/>
      <c r="W4626" s="161"/>
      <c r="X4626" s="161"/>
      <c r="Y4626" s="161"/>
      <c r="Z4626" s="168"/>
      <c r="AA4626" s="168"/>
      <c r="AB4626" s="168"/>
      <c r="AC4626" s="168"/>
    </row>
    <row r="4627">
      <c r="A4627" s="161"/>
      <c r="B4627" s="161"/>
      <c r="C4627" s="162"/>
      <c r="D4627" s="163"/>
      <c r="E4627" s="164" t="str">
        <f>IFERROR(__xludf.DUMMYFUNCTION("""COMPUTED_VALUE"""),"")</f>
        <v/>
      </c>
      <c r="F4627" s="163"/>
      <c r="G4627" s="163"/>
      <c r="H4627" s="163"/>
      <c r="I4627" s="163"/>
      <c r="J4627" s="165"/>
      <c r="K4627" s="165"/>
      <c r="L4627" s="165"/>
      <c r="M4627" s="166"/>
      <c r="N4627" s="167"/>
      <c r="O4627" s="163"/>
      <c r="P4627" s="163"/>
      <c r="Q4627" s="163"/>
      <c r="R4627" s="163"/>
      <c r="S4627" s="161"/>
      <c r="T4627" s="161"/>
      <c r="U4627" s="161"/>
      <c r="V4627" s="161"/>
      <c r="W4627" s="161"/>
      <c r="X4627" s="161"/>
      <c r="Y4627" s="161"/>
      <c r="Z4627" s="168"/>
      <c r="AA4627" s="168"/>
      <c r="AB4627" s="168"/>
      <c r="AC4627" s="168"/>
    </row>
    <row r="4628">
      <c r="A4628" s="161"/>
      <c r="B4628" s="161"/>
      <c r="C4628" s="162"/>
      <c r="D4628" s="163"/>
      <c r="E4628" s="164" t="str">
        <f>IFERROR(__xludf.DUMMYFUNCTION("""COMPUTED_VALUE"""),"")</f>
        <v/>
      </c>
      <c r="F4628" s="163"/>
      <c r="G4628" s="163"/>
      <c r="H4628" s="163"/>
      <c r="I4628" s="163"/>
      <c r="J4628" s="165"/>
      <c r="K4628" s="165"/>
      <c r="L4628" s="165"/>
      <c r="M4628" s="166"/>
      <c r="N4628" s="167"/>
      <c r="O4628" s="163"/>
      <c r="P4628" s="163"/>
      <c r="Q4628" s="163"/>
      <c r="R4628" s="163"/>
      <c r="S4628" s="161"/>
      <c r="T4628" s="161"/>
      <c r="U4628" s="161"/>
      <c r="V4628" s="161"/>
      <c r="W4628" s="161"/>
      <c r="X4628" s="161"/>
      <c r="Y4628" s="161"/>
      <c r="Z4628" s="168"/>
      <c r="AA4628" s="168"/>
      <c r="AB4628" s="168"/>
      <c r="AC4628" s="168"/>
    </row>
    <row r="4629">
      <c r="A4629" s="161"/>
      <c r="B4629" s="161"/>
      <c r="C4629" s="162"/>
      <c r="D4629" s="163"/>
      <c r="E4629" s="164" t="str">
        <f>IFERROR(__xludf.DUMMYFUNCTION("""COMPUTED_VALUE"""),"")</f>
        <v/>
      </c>
      <c r="F4629" s="163"/>
      <c r="G4629" s="163"/>
      <c r="H4629" s="163"/>
      <c r="I4629" s="163"/>
      <c r="J4629" s="165"/>
      <c r="K4629" s="165"/>
      <c r="L4629" s="165"/>
      <c r="M4629" s="166"/>
      <c r="N4629" s="167"/>
      <c r="O4629" s="163"/>
      <c r="P4629" s="163"/>
      <c r="Q4629" s="163"/>
      <c r="R4629" s="163"/>
      <c r="S4629" s="161"/>
      <c r="T4629" s="161"/>
      <c r="U4629" s="161"/>
      <c r="V4629" s="161"/>
      <c r="W4629" s="161"/>
      <c r="X4629" s="161"/>
      <c r="Y4629" s="161"/>
      <c r="Z4629" s="168"/>
      <c r="AA4629" s="168"/>
      <c r="AB4629" s="168"/>
      <c r="AC4629" s="168"/>
    </row>
    <row r="4630">
      <c r="A4630" s="161"/>
      <c r="B4630" s="161"/>
      <c r="C4630" s="162"/>
      <c r="D4630" s="163"/>
      <c r="E4630" s="164" t="str">
        <f>IFERROR(__xludf.DUMMYFUNCTION("""COMPUTED_VALUE"""),"")</f>
        <v/>
      </c>
      <c r="F4630" s="163"/>
      <c r="G4630" s="163"/>
      <c r="H4630" s="163"/>
      <c r="I4630" s="163"/>
      <c r="J4630" s="165"/>
      <c r="K4630" s="165"/>
      <c r="L4630" s="165"/>
      <c r="M4630" s="166"/>
      <c r="N4630" s="167"/>
      <c r="O4630" s="163"/>
      <c r="P4630" s="163"/>
      <c r="Q4630" s="163"/>
      <c r="R4630" s="163"/>
      <c r="S4630" s="161"/>
      <c r="T4630" s="161"/>
      <c r="U4630" s="161"/>
      <c r="V4630" s="161"/>
      <c r="W4630" s="161"/>
      <c r="X4630" s="161"/>
      <c r="Y4630" s="161"/>
      <c r="Z4630" s="168"/>
      <c r="AA4630" s="168"/>
      <c r="AB4630" s="168"/>
      <c r="AC4630" s="168"/>
    </row>
    <row r="4631">
      <c r="A4631" s="161"/>
      <c r="B4631" s="161"/>
      <c r="C4631" s="162"/>
      <c r="D4631" s="163"/>
      <c r="E4631" s="164" t="str">
        <f>IFERROR(__xludf.DUMMYFUNCTION("""COMPUTED_VALUE"""),"")</f>
        <v/>
      </c>
      <c r="F4631" s="163"/>
      <c r="G4631" s="163"/>
      <c r="H4631" s="163"/>
      <c r="I4631" s="163"/>
      <c r="J4631" s="165"/>
      <c r="K4631" s="165"/>
      <c r="L4631" s="165"/>
      <c r="M4631" s="166"/>
      <c r="N4631" s="167"/>
      <c r="O4631" s="163"/>
      <c r="P4631" s="163"/>
      <c r="Q4631" s="163"/>
      <c r="R4631" s="163"/>
      <c r="S4631" s="161"/>
      <c r="T4631" s="161"/>
      <c r="U4631" s="161"/>
      <c r="V4631" s="161"/>
      <c r="W4631" s="161"/>
      <c r="X4631" s="161"/>
      <c r="Y4631" s="161"/>
      <c r="Z4631" s="168"/>
      <c r="AA4631" s="168"/>
      <c r="AB4631" s="168"/>
      <c r="AC4631" s="168"/>
    </row>
    <row r="4632">
      <c r="A4632" s="161"/>
      <c r="B4632" s="161"/>
      <c r="C4632" s="162"/>
      <c r="D4632" s="163"/>
      <c r="E4632" s="164" t="str">
        <f>IFERROR(__xludf.DUMMYFUNCTION("""COMPUTED_VALUE"""),"")</f>
        <v/>
      </c>
      <c r="F4632" s="163"/>
      <c r="G4632" s="163"/>
      <c r="H4632" s="163"/>
      <c r="I4632" s="163"/>
      <c r="J4632" s="165"/>
      <c r="K4632" s="165"/>
      <c r="L4632" s="165"/>
      <c r="M4632" s="166"/>
      <c r="N4632" s="167"/>
      <c r="O4632" s="163"/>
      <c r="P4632" s="163"/>
      <c r="Q4632" s="163"/>
      <c r="R4632" s="163"/>
      <c r="S4632" s="161"/>
      <c r="T4632" s="161"/>
      <c r="U4632" s="161"/>
      <c r="V4632" s="161"/>
      <c r="W4632" s="161"/>
      <c r="X4632" s="161"/>
      <c r="Y4632" s="161"/>
      <c r="Z4632" s="168"/>
      <c r="AA4632" s="168"/>
      <c r="AB4632" s="168"/>
      <c r="AC4632" s="168"/>
    </row>
    <row r="4633">
      <c r="A4633" s="161"/>
      <c r="B4633" s="161"/>
      <c r="C4633" s="162"/>
      <c r="D4633" s="163"/>
      <c r="E4633" s="164" t="str">
        <f>IFERROR(__xludf.DUMMYFUNCTION("""COMPUTED_VALUE"""),"")</f>
        <v/>
      </c>
      <c r="F4633" s="163"/>
      <c r="G4633" s="163"/>
      <c r="H4633" s="163"/>
      <c r="I4633" s="163"/>
      <c r="J4633" s="165"/>
      <c r="K4633" s="165"/>
      <c r="L4633" s="165"/>
      <c r="M4633" s="166"/>
      <c r="N4633" s="167"/>
      <c r="O4633" s="163"/>
      <c r="P4633" s="163"/>
      <c r="Q4633" s="163"/>
      <c r="R4633" s="163"/>
      <c r="S4633" s="161"/>
      <c r="T4633" s="161"/>
      <c r="U4633" s="161"/>
      <c r="V4633" s="161"/>
      <c r="W4633" s="161"/>
      <c r="X4633" s="161"/>
      <c r="Y4633" s="161"/>
      <c r="Z4633" s="168"/>
      <c r="AA4633" s="168"/>
      <c r="AB4633" s="168"/>
      <c r="AC4633" s="168"/>
    </row>
    <row r="4634">
      <c r="A4634" s="161"/>
      <c r="B4634" s="161"/>
      <c r="C4634" s="162"/>
      <c r="D4634" s="163"/>
      <c r="E4634" s="164" t="str">
        <f>IFERROR(__xludf.DUMMYFUNCTION("""COMPUTED_VALUE"""),"")</f>
        <v/>
      </c>
      <c r="F4634" s="163"/>
      <c r="G4634" s="163"/>
      <c r="H4634" s="163"/>
      <c r="I4634" s="163"/>
      <c r="J4634" s="165"/>
      <c r="K4634" s="165"/>
      <c r="L4634" s="165"/>
      <c r="M4634" s="166"/>
      <c r="N4634" s="167"/>
      <c r="O4634" s="163"/>
      <c r="P4634" s="163"/>
      <c r="Q4634" s="163"/>
      <c r="R4634" s="163"/>
      <c r="S4634" s="161"/>
      <c r="T4634" s="161"/>
      <c r="U4634" s="161"/>
      <c r="V4634" s="161"/>
      <c r="W4634" s="161"/>
      <c r="X4634" s="161"/>
      <c r="Y4634" s="161"/>
      <c r="Z4634" s="168"/>
      <c r="AA4634" s="168"/>
      <c r="AB4634" s="168"/>
      <c r="AC4634" s="168"/>
    </row>
    <row r="4635">
      <c r="A4635" s="161"/>
      <c r="B4635" s="161"/>
      <c r="C4635" s="162"/>
      <c r="D4635" s="163"/>
      <c r="E4635" s="164" t="str">
        <f>IFERROR(__xludf.DUMMYFUNCTION("""COMPUTED_VALUE"""),"")</f>
        <v/>
      </c>
      <c r="F4635" s="163"/>
      <c r="G4635" s="163"/>
      <c r="H4635" s="163"/>
      <c r="I4635" s="163"/>
      <c r="J4635" s="165"/>
      <c r="K4635" s="165"/>
      <c r="L4635" s="165"/>
      <c r="M4635" s="166"/>
      <c r="N4635" s="167"/>
      <c r="O4635" s="163"/>
      <c r="P4635" s="163"/>
      <c r="Q4635" s="163"/>
      <c r="R4635" s="163"/>
      <c r="S4635" s="161"/>
      <c r="T4635" s="161"/>
      <c r="U4635" s="161"/>
      <c r="V4635" s="161"/>
      <c r="W4635" s="161"/>
      <c r="X4635" s="161"/>
      <c r="Y4635" s="161"/>
      <c r="Z4635" s="168"/>
      <c r="AA4635" s="168"/>
      <c r="AB4635" s="168"/>
      <c r="AC4635" s="168"/>
    </row>
    <row r="4636">
      <c r="A4636" s="161"/>
      <c r="B4636" s="161"/>
      <c r="C4636" s="162"/>
      <c r="D4636" s="163"/>
      <c r="E4636" s="164" t="str">
        <f>IFERROR(__xludf.DUMMYFUNCTION("""COMPUTED_VALUE"""),"")</f>
        <v/>
      </c>
      <c r="F4636" s="163"/>
      <c r="G4636" s="163"/>
      <c r="H4636" s="163"/>
      <c r="I4636" s="163"/>
      <c r="J4636" s="165"/>
      <c r="K4636" s="165"/>
      <c r="L4636" s="165"/>
      <c r="M4636" s="166"/>
      <c r="N4636" s="167"/>
      <c r="O4636" s="163"/>
      <c r="P4636" s="163"/>
      <c r="Q4636" s="163"/>
      <c r="R4636" s="163"/>
      <c r="S4636" s="161"/>
      <c r="T4636" s="161"/>
      <c r="U4636" s="161"/>
      <c r="V4636" s="161"/>
      <c r="W4636" s="161"/>
      <c r="X4636" s="161"/>
      <c r="Y4636" s="161"/>
      <c r="Z4636" s="168"/>
      <c r="AA4636" s="168"/>
      <c r="AB4636" s="168"/>
      <c r="AC4636" s="168"/>
    </row>
    <row r="4637">
      <c r="A4637" s="161"/>
      <c r="B4637" s="161"/>
      <c r="C4637" s="162"/>
      <c r="D4637" s="163"/>
      <c r="E4637" s="164" t="str">
        <f>IFERROR(__xludf.DUMMYFUNCTION("""COMPUTED_VALUE"""),"")</f>
        <v/>
      </c>
      <c r="F4637" s="163"/>
      <c r="G4637" s="163"/>
      <c r="H4637" s="163"/>
      <c r="I4637" s="163"/>
      <c r="J4637" s="165"/>
      <c r="K4637" s="165"/>
      <c r="L4637" s="165"/>
      <c r="M4637" s="166"/>
      <c r="N4637" s="167"/>
      <c r="O4637" s="163"/>
      <c r="P4637" s="163"/>
      <c r="Q4637" s="163"/>
      <c r="R4637" s="163"/>
      <c r="S4637" s="161"/>
      <c r="T4637" s="161"/>
      <c r="U4637" s="161"/>
      <c r="V4637" s="161"/>
      <c r="W4637" s="161"/>
      <c r="X4637" s="161"/>
      <c r="Y4637" s="161"/>
      <c r="Z4637" s="168"/>
      <c r="AA4637" s="168"/>
      <c r="AB4637" s="168"/>
      <c r="AC4637" s="168"/>
    </row>
    <row r="4638">
      <c r="A4638" s="161"/>
      <c r="B4638" s="161"/>
      <c r="C4638" s="162"/>
      <c r="D4638" s="163"/>
      <c r="E4638" s="164" t="str">
        <f>IFERROR(__xludf.DUMMYFUNCTION("""COMPUTED_VALUE"""),"")</f>
        <v/>
      </c>
      <c r="F4638" s="163"/>
      <c r="G4638" s="163"/>
      <c r="H4638" s="163"/>
      <c r="I4638" s="163"/>
      <c r="J4638" s="165"/>
      <c r="K4638" s="165"/>
      <c r="L4638" s="165"/>
      <c r="M4638" s="166"/>
      <c r="N4638" s="167"/>
      <c r="O4638" s="163"/>
      <c r="P4638" s="163"/>
      <c r="Q4638" s="163"/>
      <c r="R4638" s="163"/>
      <c r="S4638" s="161"/>
      <c r="T4638" s="161"/>
      <c r="U4638" s="161"/>
      <c r="V4638" s="161"/>
      <c r="W4638" s="161"/>
      <c r="X4638" s="161"/>
      <c r="Y4638" s="161"/>
      <c r="Z4638" s="168"/>
      <c r="AA4638" s="168"/>
      <c r="AB4638" s="168"/>
      <c r="AC4638" s="168"/>
    </row>
    <row r="4639">
      <c r="A4639" s="161"/>
      <c r="B4639" s="161"/>
      <c r="C4639" s="162"/>
      <c r="D4639" s="163"/>
      <c r="E4639" s="164" t="str">
        <f>IFERROR(__xludf.DUMMYFUNCTION("""COMPUTED_VALUE"""),"")</f>
        <v/>
      </c>
      <c r="F4639" s="163"/>
      <c r="G4639" s="163"/>
      <c r="H4639" s="163"/>
      <c r="I4639" s="163"/>
      <c r="J4639" s="165"/>
      <c r="K4639" s="165"/>
      <c r="L4639" s="165"/>
      <c r="M4639" s="166"/>
      <c r="N4639" s="167"/>
      <c r="O4639" s="163"/>
      <c r="P4639" s="163"/>
      <c r="Q4639" s="163"/>
      <c r="R4639" s="163"/>
      <c r="S4639" s="161"/>
      <c r="T4639" s="161"/>
      <c r="U4639" s="161"/>
      <c r="V4639" s="161"/>
      <c r="W4639" s="161"/>
      <c r="X4639" s="161"/>
      <c r="Y4639" s="161"/>
      <c r="Z4639" s="168"/>
      <c r="AA4639" s="168"/>
      <c r="AB4639" s="168"/>
      <c r="AC4639" s="168"/>
    </row>
    <row r="4640">
      <c r="A4640" s="161"/>
      <c r="B4640" s="161"/>
      <c r="C4640" s="162"/>
      <c r="D4640" s="163"/>
      <c r="E4640" s="164" t="str">
        <f>IFERROR(__xludf.DUMMYFUNCTION("""COMPUTED_VALUE"""),"")</f>
        <v/>
      </c>
      <c r="F4640" s="163"/>
      <c r="G4640" s="163"/>
      <c r="H4640" s="163"/>
      <c r="I4640" s="163"/>
      <c r="J4640" s="165"/>
      <c r="K4640" s="165"/>
      <c r="L4640" s="165"/>
      <c r="M4640" s="166"/>
      <c r="N4640" s="167"/>
      <c r="O4640" s="163"/>
      <c r="P4640" s="163"/>
      <c r="Q4640" s="163"/>
      <c r="R4640" s="163"/>
      <c r="S4640" s="161"/>
      <c r="T4640" s="161"/>
      <c r="U4640" s="161"/>
      <c r="V4640" s="161"/>
      <c r="W4640" s="161"/>
      <c r="X4640" s="161"/>
      <c r="Y4640" s="161"/>
      <c r="Z4640" s="168"/>
      <c r="AA4640" s="168"/>
      <c r="AB4640" s="168"/>
      <c r="AC4640" s="168"/>
    </row>
    <row r="4641">
      <c r="A4641" s="161"/>
      <c r="B4641" s="161"/>
      <c r="C4641" s="162"/>
      <c r="D4641" s="163"/>
      <c r="E4641" s="164" t="str">
        <f>IFERROR(__xludf.DUMMYFUNCTION("""COMPUTED_VALUE"""),"")</f>
        <v/>
      </c>
      <c r="F4641" s="163"/>
      <c r="G4641" s="163"/>
      <c r="H4641" s="163"/>
      <c r="I4641" s="163"/>
      <c r="J4641" s="165"/>
      <c r="K4641" s="165"/>
      <c r="L4641" s="165"/>
      <c r="M4641" s="166"/>
      <c r="N4641" s="167"/>
      <c r="O4641" s="163"/>
      <c r="P4641" s="163"/>
      <c r="Q4641" s="163"/>
      <c r="R4641" s="163"/>
      <c r="S4641" s="161"/>
      <c r="T4641" s="161"/>
      <c r="U4641" s="161"/>
      <c r="V4641" s="161"/>
      <c r="W4641" s="161"/>
      <c r="X4641" s="161"/>
      <c r="Y4641" s="161"/>
      <c r="Z4641" s="168"/>
      <c r="AA4641" s="168"/>
      <c r="AB4641" s="168"/>
      <c r="AC4641" s="168"/>
    </row>
    <row r="4642">
      <c r="A4642" s="161"/>
      <c r="B4642" s="161"/>
      <c r="C4642" s="162"/>
      <c r="D4642" s="163"/>
      <c r="E4642" s="164" t="str">
        <f>IFERROR(__xludf.DUMMYFUNCTION("""COMPUTED_VALUE"""),"")</f>
        <v/>
      </c>
      <c r="F4642" s="163"/>
      <c r="G4642" s="163"/>
      <c r="H4642" s="163"/>
      <c r="I4642" s="163"/>
      <c r="J4642" s="165"/>
      <c r="K4642" s="165"/>
      <c r="L4642" s="165"/>
      <c r="M4642" s="166"/>
      <c r="N4642" s="167"/>
      <c r="O4642" s="163"/>
      <c r="P4642" s="163"/>
      <c r="Q4642" s="163"/>
      <c r="R4642" s="163"/>
      <c r="S4642" s="161"/>
      <c r="T4642" s="161"/>
      <c r="U4642" s="161"/>
      <c r="V4642" s="161"/>
      <c r="W4642" s="161"/>
      <c r="X4642" s="161"/>
      <c r="Y4642" s="161"/>
      <c r="Z4642" s="168"/>
      <c r="AA4642" s="168"/>
      <c r="AB4642" s="168"/>
      <c r="AC4642" s="168"/>
    </row>
    <row r="4643">
      <c r="A4643" s="161"/>
      <c r="B4643" s="161"/>
      <c r="C4643" s="162"/>
      <c r="D4643" s="163"/>
      <c r="E4643" s="164" t="str">
        <f>IFERROR(__xludf.DUMMYFUNCTION("""COMPUTED_VALUE"""),"")</f>
        <v/>
      </c>
      <c r="F4643" s="163"/>
      <c r="G4643" s="163"/>
      <c r="H4643" s="163"/>
      <c r="I4643" s="163"/>
      <c r="J4643" s="165"/>
      <c r="K4643" s="165"/>
      <c r="L4643" s="165"/>
      <c r="M4643" s="166"/>
      <c r="N4643" s="167"/>
      <c r="O4643" s="163"/>
      <c r="P4643" s="163"/>
      <c r="Q4643" s="163"/>
      <c r="R4643" s="163"/>
      <c r="S4643" s="161"/>
      <c r="T4643" s="161"/>
      <c r="U4643" s="161"/>
      <c r="V4643" s="161"/>
      <c r="W4643" s="161"/>
      <c r="X4643" s="161"/>
      <c r="Y4643" s="161"/>
      <c r="Z4643" s="168"/>
      <c r="AA4643" s="168"/>
      <c r="AB4643" s="168"/>
      <c r="AC4643" s="168"/>
    </row>
    <row r="4644">
      <c r="A4644" s="161"/>
      <c r="B4644" s="161"/>
      <c r="C4644" s="162"/>
      <c r="D4644" s="163"/>
      <c r="E4644" s="164" t="str">
        <f>IFERROR(__xludf.DUMMYFUNCTION("""COMPUTED_VALUE"""),"")</f>
        <v/>
      </c>
      <c r="F4644" s="163"/>
      <c r="G4644" s="163"/>
      <c r="H4644" s="163"/>
      <c r="I4644" s="163"/>
      <c r="J4644" s="165"/>
      <c r="K4644" s="165"/>
      <c r="L4644" s="165"/>
      <c r="M4644" s="166"/>
      <c r="N4644" s="167"/>
      <c r="O4644" s="163"/>
      <c r="P4644" s="163"/>
      <c r="Q4644" s="163"/>
      <c r="R4644" s="163"/>
      <c r="S4644" s="161"/>
      <c r="T4644" s="161"/>
      <c r="U4644" s="161"/>
      <c r="V4644" s="161"/>
      <c r="W4644" s="161"/>
      <c r="X4644" s="161"/>
      <c r="Y4644" s="161"/>
      <c r="Z4644" s="168"/>
      <c r="AA4644" s="168"/>
      <c r="AB4644" s="168"/>
      <c r="AC4644" s="168"/>
    </row>
    <row r="4645">
      <c r="A4645" s="161"/>
      <c r="B4645" s="161"/>
      <c r="C4645" s="162"/>
      <c r="D4645" s="163"/>
      <c r="E4645" s="164" t="str">
        <f>IFERROR(__xludf.DUMMYFUNCTION("""COMPUTED_VALUE"""),"")</f>
        <v/>
      </c>
      <c r="F4645" s="163"/>
      <c r="G4645" s="163"/>
      <c r="H4645" s="163"/>
      <c r="I4645" s="163"/>
      <c r="J4645" s="165"/>
      <c r="K4645" s="165"/>
      <c r="L4645" s="165"/>
      <c r="M4645" s="166"/>
      <c r="N4645" s="167"/>
      <c r="O4645" s="163"/>
      <c r="P4645" s="163"/>
      <c r="Q4645" s="163"/>
      <c r="R4645" s="163"/>
      <c r="S4645" s="161"/>
      <c r="T4645" s="161"/>
      <c r="U4645" s="161"/>
      <c r="V4645" s="161"/>
      <c r="W4645" s="161"/>
      <c r="X4645" s="161"/>
      <c r="Y4645" s="161"/>
      <c r="Z4645" s="168"/>
      <c r="AA4645" s="168"/>
      <c r="AB4645" s="168"/>
      <c r="AC4645" s="168"/>
    </row>
    <row r="4646">
      <c r="A4646" s="161"/>
      <c r="B4646" s="161"/>
      <c r="C4646" s="162"/>
      <c r="D4646" s="163"/>
      <c r="E4646" s="164" t="str">
        <f>IFERROR(__xludf.DUMMYFUNCTION("""COMPUTED_VALUE"""),"")</f>
        <v/>
      </c>
      <c r="F4646" s="163"/>
      <c r="G4646" s="163"/>
      <c r="H4646" s="163"/>
      <c r="I4646" s="163"/>
      <c r="J4646" s="165"/>
      <c r="K4646" s="165"/>
      <c r="L4646" s="165"/>
      <c r="M4646" s="166"/>
      <c r="N4646" s="167"/>
      <c r="O4646" s="163"/>
      <c r="P4646" s="163"/>
      <c r="Q4646" s="163"/>
      <c r="R4646" s="163"/>
      <c r="S4646" s="161"/>
      <c r="T4646" s="161"/>
      <c r="U4646" s="161"/>
      <c r="V4646" s="161"/>
      <c r="W4646" s="161"/>
      <c r="X4646" s="161"/>
      <c r="Y4646" s="161"/>
      <c r="Z4646" s="168"/>
      <c r="AA4646" s="168"/>
      <c r="AB4646" s="168"/>
      <c r="AC4646" s="168"/>
    </row>
    <row r="4647">
      <c r="A4647" s="161"/>
      <c r="B4647" s="161"/>
      <c r="C4647" s="162"/>
      <c r="D4647" s="163"/>
      <c r="E4647" s="164" t="str">
        <f>IFERROR(__xludf.DUMMYFUNCTION("""COMPUTED_VALUE"""),"")</f>
        <v/>
      </c>
      <c r="F4647" s="163"/>
      <c r="G4647" s="163"/>
      <c r="H4647" s="163"/>
      <c r="I4647" s="163"/>
      <c r="J4647" s="165"/>
      <c r="K4647" s="165"/>
      <c r="L4647" s="165"/>
      <c r="M4647" s="166"/>
      <c r="N4647" s="167"/>
      <c r="O4647" s="163"/>
      <c r="P4647" s="163"/>
      <c r="Q4647" s="163"/>
      <c r="R4647" s="163"/>
      <c r="S4647" s="161"/>
      <c r="T4647" s="161"/>
      <c r="U4647" s="161"/>
      <c r="V4647" s="161"/>
      <c r="W4647" s="161"/>
      <c r="X4647" s="161"/>
      <c r="Y4647" s="161"/>
      <c r="Z4647" s="168"/>
      <c r="AA4647" s="168"/>
      <c r="AB4647" s="168"/>
      <c r="AC4647" s="168"/>
    </row>
    <row r="4648">
      <c r="A4648" s="161"/>
      <c r="B4648" s="161"/>
      <c r="C4648" s="162"/>
      <c r="D4648" s="163"/>
      <c r="E4648" s="164" t="str">
        <f>IFERROR(__xludf.DUMMYFUNCTION("""COMPUTED_VALUE"""),"")</f>
        <v/>
      </c>
      <c r="F4648" s="163"/>
      <c r="G4648" s="163"/>
      <c r="H4648" s="163"/>
      <c r="I4648" s="163"/>
      <c r="J4648" s="165"/>
      <c r="K4648" s="165"/>
      <c r="L4648" s="165"/>
      <c r="M4648" s="166"/>
      <c r="N4648" s="167"/>
      <c r="O4648" s="163"/>
      <c r="P4648" s="163"/>
      <c r="Q4648" s="163"/>
      <c r="R4648" s="163"/>
      <c r="S4648" s="161"/>
      <c r="T4648" s="161"/>
      <c r="U4648" s="161"/>
      <c r="V4648" s="161"/>
      <c r="W4648" s="161"/>
      <c r="X4648" s="161"/>
      <c r="Y4648" s="161"/>
      <c r="Z4648" s="168"/>
      <c r="AA4648" s="168"/>
      <c r="AB4648" s="168"/>
      <c r="AC4648" s="168"/>
    </row>
    <row r="4649">
      <c r="A4649" s="161"/>
      <c r="B4649" s="161"/>
      <c r="C4649" s="162"/>
      <c r="D4649" s="163"/>
      <c r="E4649" s="164" t="str">
        <f>IFERROR(__xludf.DUMMYFUNCTION("""COMPUTED_VALUE"""),"")</f>
        <v/>
      </c>
      <c r="F4649" s="163"/>
      <c r="G4649" s="163"/>
      <c r="H4649" s="163"/>
      <c r="I4649" s="163"/>
      <c r="J4649" s="165"/>
      <c r="K4649" s="165"/>
      <c r="L4649" s="165"/>
      <c r="M4649" s="166"/>
      <c r="N4649" s="167"/>
      <c r="O4649" s="163"/>
      <c r="P4649" s="163"/>
      <c r="Q4649" s="163"/>
      <c r="R4649" s="163"/>
      <c r="S4649" s="161"/>
      <c r="T4649" s="161"/>
      <c r="U4649" s="161"/>
      <c r="V4649" s="161"/>
      <c r="W4649" s="161"/>
      <c r="X4649" s="161"/>
      <c r="Y4649" s="161"/>
      <c r="Z4649" s="168"/>
      <c r="AA4649" s="168"/>
      <c r="AB4649" s="168"/>
      <c r="AC4649" s="168"/>
    </row>
    <row r="4650">
      <c r="A4650" s="161"/>
      <c r="B4650" s="161"/>
      <c r="C4650" s="162"/>
      <c r="D4650" s="163"/>
      <c r="E4650" s="164" t="str">
        <f>IFERROR(__xludf.DUMMYFUNCTION("""COMPUTED_VALUE"""),"")</f>
        <v/>
      </c>
      <c r="F4650" s="163"/>
      <c r="G4650" s="163"/>
      <c r="H4650" s="163"/>
      <c r="I4650" s="163"/>
      <c r="J4650" s="165"/>
      <c r="K4650" s="165"/>
      <c r="L4650" s="165"/>
      <c r="M4650" s="166"/>
      <c r="N4650" s="167"/>
      <c r="O4650" s="163"/>
      <c r="P4650" s="163"/>
      <c r="Q4650" s="163"/>
      <c r="R4650" s="163"/>
      <c r="S4650" s="161"/>
      <c r="T4650" s="161"/>
      <c r="U4650" s="161"/>
      <c r="V4650" s="161"/>
      <c r="W4650" s="161"/>
      <c r="X4650" s="161"/>
      <c r="Y4650" s="161"/>
      <c r="Z4650" s="168"/>
      <c r="AA4650" s="168"/>
      <c r="AB4650" s="168"/>
      <c r="AC4650" s="168"/>
    </row>
    <row r="4651">
      <c r="A4651" s="161"/>
      <c r="B4651" s="161"/>
      <c r="C4651" s="162"/>
      <c r="D4651" s="163"/>
      <c r="E4651" s="164" t="str">
        <f>IFERROR(__xludf.DUMMYFUNCTION("""COMPUTED_VALUE"""),"")</f>
        <v/>
      </c>
      <c r="F4651" s="163"/>
      <c r="G4651" s="163"/>
      <c r="H4651" s="163"/>
      <c r="I4651" s="163"/>
      <c r="J4651" s="165"/>
      <c r="K4651" s="165"/>
      <c r="L4651" s="165"/>
      <c r="M4651" s="166"/>
      <c r="N4651" s="167"/>
      <c r="O4651" s="163"/>
      <c r="P4651" s="163"/>
      <c r="Q4651" s="163"/>
      <c r="R4651" s="163"/>
      <c r="S4651" s="161"/>
      <c r="T4651" s="161"/>
      <c r="U4651" s="161"/>
      <c r="V4651" s="161"/>
      <c r="W4651" s="161"/>
      <c r="X4651" s="161"/>
      <c r="Y4651" s="161"/>
      <c r="Z4651" s="168"/>
      <c r="AA4651" s="168"/>
      <c r="AB4651" s="168"/>
      <c r="AC4651" s="168"/>
    </row>
    <row r="4652">
      <c r="A4652" s="161"/>
      <c r="B4652" s="161"/>
      <c r="C4652" s="162"/>
      <c r="D4652" s="163"/>
      <c r="E4652" s="164" t="str">
        <f>IFERROR(__xludf.DUMMYFUNCTION("""COMPUTED_VALUE"""),"")</f>
        <v/>
      </c>
      <c r="F4652" s="163"/>
      <c r="G4652" s="163"/>
      <c r="H4652" s="163"/>
      <c r="I4652" s="163"/>
      <c r="J4652" s="165"/>
      <c r="K4652" s="165"/>
      <c r="L4652" s="165"/>
      <c r="M4652" s="166"/>
      <c r="N4652" s="167"/>
      <c r="O4652" s="163"/>
      <c r="P4652" s="163"/>
      <c r="Q4652" s="163"/>
      <c r="R4652" s="163"/>
      <c r="S4652" s="161"/>
      <c r="T4652" s="161"/>
      <c r="U4652" s="161"/>
      <c r="V4652" s="161"/>
      <c r="W4652" s="161"/>
      <c r="X4652" s="161"/>
      <c r="Y4652" s="161"/>
      <c r="Z4652" s="168"/>
      <c r="AA4652" s="168"/>
      <c r="AB4652" s="168"/>
      <c r="AC4652" s="168"/>
    </row>
    <row r="4653">
      <c r="A4653" s="161"/>
      <c r="B4653" s="161"/>
      <c r="C4653" s="162"/>
      <c r="D4653" s="163"/>
      <c r="E4653" s="164" t="str">
        <f>IFERROR(__xludf.DUMMYFUNCTION("""COMPUTED_VALUE"""),"")</f>
        <v/>
      </c>
      <c r="F4653" s="163"/>
      <c r="G4653" s="163"/>
      <c r="H4653" s="163"/>
      <c r="I4653" s="163"/>
      <c r="J4653" s="165"/>
      <c r="K4653" s="165"/>
      <c r="L4653" s="165"/>
      <c r="M4653" s="166"/>
      <c r="N4653" s="167"/>
      <c r="O4653" s="163"/>
      <c r="P4653" s="163"/>
      <c r="Q4653" s="163"/>
      <c r="R4653" s="163"/>
      <c r="S4653" s="161"/>
      <c r="T4653" s="161"/>
      <c r="U4653" s="161"/>
      <c r="V4653" s="161"/>
      <c r="W4653" s="161"/>
      <c r="X4653" s="161"/>
      <c r="Y4653" s="161"/>
      <c r="Z4653" s="168"/>
      <c r="AA4653" s="168"/>
      <c r="AB4653" s="168"/>
      <c r="AC4653" s="168"/>
    </row>
    <row r="4654">
      <c r="A4654" s="161"/>
      <c r="B4654" s="161"/>
      <c r="C4654" s="162"/>
      <c r="D4654" s="163"/>
      <c r="E4654" s="164" t="str">
        <f>IFERROR(__xludf.DUMMYFUNCTION("""COMPUTED_VALUE"""),"")</f>
        <v/>
      </c>
      <c r="F4654" s="163"/>
      <c r="G4654" s="163"/>
      <c r="H4654" s="163"/>
      <c r="I4654" s="163"/>
      <c r="J4654" s="165"/>
      <c r="K4654" s="165"/>
      <c r="L4654" s="165"/>
      <c r="M4654" s="166"/>
      <c r="N4654" s="167"/>
      <c r="O4654" s="163"/>
      <c r="P4654" s="163"/>
      <c r="Q4654" s="163"/>
      <c r="R4654" s="163"/>
      <c r="S4654" s="161"/>
      <c r="T4654" s="161"/>
      <c r="U4654" s="161"/>
      <c r="V4654" s="161"/>
      <c r="W4654" s="161"/>
      <c r="X4654" s="161"/>
      <c r="Y4654" s="161"/>
      <c r="Z4654" s="168"/>
      <c r="AA4654" s="168"/>
      <c r="AB4654" s="168"/>
      <c r="AC4654" s="168"/>
    </row>
    <row r="4655">
      <c r="A4655" s="161"/>
      <c r="B4655" s="161"/>
      <c r="C4655" s="162"/>
      <c r="D4655" s="163"/>
      <c r="E4655" s="164" t="str">
        <f>IFERROR(__xludf.DUMMYFUNCTION("""COMPUTED_VALUE"""),"")</f>
        <v/>
      </c>
      <c r="F4655" s="163"/>
      <c r="G4655" s="163"/>
      <c r="H4655" s="163"/>
      <c r="I4655" s="163"/>
      <c r="J4655" s="165"/>
      <c r="K4655" s="165"/>
      <c r="L4655" s="165"/>
      <c r="M4655" s="166"/>
      <c r="N4655" s="167"/>
      <c r="O4655" s="163"/>
      <c r="P4655" s="163"/>
      <c r="Q4655" s="163"/>
      <c r="R4655" s="163"/>
      <c r="S4655" s="161"/>
      <c r="T4655" s="161"/>
      <c r="U4655" s="161"/>
      <c r="V4655" s="161"/>
      <c r="W4655" s="161"/>
      <c r="X4655" s="161"/>
      <c r="Y4655" s="161"/>
      <c r="Z4655" s="168"/>
      <c r="AA4655" s="168"/>
      <c r="AB4655" s="168"/>
      <c r="AC4655" s="168"/>
    </row>
    <row r="4656">
      <c r="A4656" s="161"/>
      <c r="B4656" s="161"/>
      <c r="C4656" s="162"/>
      <c r="D4656" s="163"/>
      <c r="E4656" s="164" t="str">
        <f>IFERROR(__xludf.DUMMYFUNCTION("""COMPUTED_VALUE"""),"")</f>
        <v/>
      </c>
      <c r="F4656" s="163"/>
      <c r="G4656" s="163"/>
      <c r="H4656" s="163"/>
      <c r="I4656" s="163"/>
      <c r="J4656" s="165"/>
      <c r="K4656" s="165"/>
      <c r="L4656" s="165"/>
      <c r="M4656" s="166"/>
      <c r="N4656" s="167"/>
      <c r="O4656" s="163"/>
      <c r="P4656" s="163"/>
      <c r="Q4656" s="163"/>
      <c r="R4656" s="163"/>
      <c r="S4656" s="161"/>
      <c r="T4656" s="161"/>
      <c r="U4656" s="161"/>
      <c r="V4656" s="161"/>
      <c r="W4656" s="161"/>
      <c r="X4656" s="161"/>
      <c r="Y4656" s="161"/>
      <c r="Z4656" s="168"/>
      <c r="AA4656" s="168"/>
      <c r="AB4656" s="168"/>
      <c r="AC4656" s="168"/>
    </row>
    <row r="4657">
      <c r="A4657" s="161"/>
      <c r="B4657" s="161"/>
      <c r="C4657" s="162"/>
      <c r="D4657" s="163"/>
      <c r="E4657" s="164" t="str">
        <f>IFERROR(__xludf.DUMMYFUNCTION("""COMPUTED_VALUE"""),"")</f>
        <v/>
      </c>
      <c r="F4657" s="163"/>
      <c r="G4657" s="163"/>
      <c r="H4657" s="163"/>
      <c r="I4657" s="163"/>
      <c r="J4657" s="165"/>
      <c r="K4657" s="165"/>
      <c r="L4657" s="165"/>
      <c r="M4657" s="166"/>
      <c r="N4657" s="167"/>
      <c r="O4657" s="163"/>
      <c r="P4657" s="163"/>
      <c r="Q4657" s="163"/>
      <c r="R4657" s="163"/>
      <c r="S4657" s="161"/>
      <c r="T4657" s="161"/>
      <c r="U4657" s="161"/>
      <c r="V4657" s="161"/>
      <c r="W4657" s="161"/>
      <c r="X4657" s="161"/>
      <c r="Y4657" s="161"/>
      <c r="Z4657" s="168"/>
      <c r="AA4657" s="168"/>
      <c r="AB4657" s="168"/>
      <c r="AC4657" s="168"/>
    </row>
    <row r="4658">
      <c r="A4658" s="161"/>
      <c r="B4658" s="161"/>
      <c r="C4658" s="162"/>
      <c r="D4658" s="163"/>
      <c r="E4658" s="164" t="str">
        <f>IFERROR(__xludf.DUMMYFUNCTION("""COMPUTED_VALUE"""),"")</f>
        <v/>
      </c>
      <c r="F4658" s="163"/>
      <c r="G4658" s="163"/>
      <c r="H4658" s="163"/>
      <c r="I4658" s="163"/>
      <c r="J4658" s="165"/>
      <c r="K4658" s="165"/>
      <c r="L4658" s="165"/>
      <c r="M4658" s="166"/>
      <c r="N4658" s="167"/>
      <c r="O4658" s="163"/>
      <c r="P4658" s="163"/>
      <c r="Q4658" s="163"/>
      <c r="R4658" s="163"/>
      <c r="S4658" s="161"/>
      <c r="T4658" s="161"/>
      <c r="U4658" s="161"/>
      <c r="V4658" s="161"/>
      <c r="W4658" s="161"/>
      <c r="X4658" s="161"/>
      <c r="Y4658" s="161"/>
      <c r="Z4658" s="168"/>
      <c r="AA4658" s="168"/>
      <c r="AB4658" s="168"/>
      <c r="AC4658" s="168"/>
    </row>
    <row r="4659">
      <c r="A4659" s="161"/>
      <c r="B4659" s="161"/>
      <c r="C4659" s="162"/>
      <c r="D4659" s="163"/>
      <c r="E4659" s="164" t="str">
        <f>IFERROR(__xludf.DUMMYFUNCTION("""COMPUTED_VALUE"""),"")</f>
        <v/>
      </c>
      <c r="F4659" s="163"/>
      <c r="G4659" s="163"/>
      <c r="H4659" s="163"/>
      <c r="I4659" s="163"/>
      <c r="J4659" s="165"/>
      <c r="K4659" s="165"/>
      <c r="L4659" s="165"/>
      <c r="M4659" s="166"/>
      <c r="N4659" s="167"/>
      <c r="O4659" s="163"/>
      <c r="P4659" s="163"/>
      <c r="Q4659" s="163"/>
      <c r="R4659" s="163"/>
      <c r="S4659" s="161"/>
      <c r="T4659" s="161"/>
      <c r="U4659" s="161"/>
      <c r="V4659" s="161"/>
      <c r="W4659" s="161"/>
      <c r="X4659" s="161"/>
      <c r="Y4659" s="161"/>
      <c r="Z4659" s="168"/>
      <c r="AA4659" s="168"/>
      <c r="AB4659" s="168"/>
      <c r="AC4659" s="168"/>
    </row>
    <row r="4660">
      <c r="A4660" s="161"/>
      <c r="B4660" s="161"/>
      <c r="C4660" s="162"/>
      <c r="D4660" s="163"/>
      <c r="E4660" s="164" t="str">
        <f>IFERROR(__xludf.DUMMYFUNCTION("""COMPUTED_VALUE"""),"")</f>
        <v/>
      </c>
      <c r="F4660" s="163"/>
      <c r="G4660" s="163"/>
      <c r="H4660" s="163"/>
      <c r="I4660" s="163"/>
      <c r="J4660" s="165"/>
      <c r="K4660" s="165"/>
      <c r="L4660" s="165"/>
      <c r="M4660" s="166"/>
      <c r="N4660" s="167"/>
      <c r="O4660" s="163"/>
      <c r="P4660" s="163"/>
      <c r="Q4660" s="163"/>
      <c r="R4660" s="163"/>
      <c r="S4660" s="161"/>
      <c r="T4660" s="161"/>
      <c r="U4660" s="161"/>
      <c r="V4660" s="161"/>
      <c r="W4660" s="161"/>
      <c r="X4660" s="161"/>
      <c r="Y4660" s="161"/>
      <c r="Z4660" s="168"/>
      <c r="AA4660" s="168"/>
      <c r="AB4660" s="168"/>
      <c r="AC4660" s="168"/>
    </row>
    <row r="4661">
      <c r="A4661" s="161"/>
      <c r="B4661" s="161"/>
      <c r="C4661" s="162"/>
      <c r="D4661" s="163"/>
      <c r="E4661" s="164" t="str">
        <f>IFERROR(__xludf.DUMMYFUNCTION("""COMPUTED_VALUE"""),"")</f>
        <v/>
      </c>
      <c r="F4661" s="163"/>
      <c r="G4661" s="163"/>
      <c r="H4661" s="163"/>
      <c r="I4661" s="163"/>
      <c r="J4661" s="165"/>
      <c r="K4661" s="165"/>
      <c r="L4661" s="165"/>
      <c r="M4661" s="166"/>
      <c r="N4661" s="167"/>
      <c r="O4661" s="163"/>
      <c r="P4661" s="163"/>
      <c r="Q4661" s="163"/>
      <c r="R4661" s="163"/>
      <c r="S4661" s="161"/>
      <c r="T4661" s="161"/>
      <c r="U4661" s="161"/>
      <c r="V4661" s="161"/>
      <c r="W4661" s="161"/>
      <c r="X4661" s="161"/>
      <c r="Y4661" s="161"/>
      <c r="Z4661" s="168"/>
      <c r="AA4661" s="168"/>
      <c r="AB4661" s="168"/>
      <c r="AC4661" s="168"/>
    </row>
    <row r="4662">
      <c r="A4662" s="161"/>
      <c r="B4662" s="161"/>
      <c r="C4662" s="162"/>
      <c r="D4662" s="163"/>
      <c r="E4662" s="164" t="str">
        <f>IFERROR(__xludf.DUMMYFUNCTION("""COMPUTED_VALUE"""),"")</f>
        <v/>
      </c>
      <c r="F4662" s="163"/>
      <c r="G4662" s="163"/>
      <c r="H4662" s="163"/>
      <c r="I4662" s="163"/>
      <c r="J4662" s="165"/>
      <c r="K4662" s="165"/>
      <c r="L4662" s="165"/>
      <c r="M4662" s="166"/>
      <c r="N4662" s="167"/>
      <c r="O4662" s="163"/>
      <c r="P4662" s="163"/>
      <c r="Q4662" s="163"/>
      <c r="R4662" s="163"/>
      <c r="S4662" s="161"/>
      <c r="T4662" s="161"/>
      <c r="U4662" s="161"/>
      <c r="V4662" s="161"/>
      <c r="W4662" s="161"/>
      <c r="X4662" s="161"/>
      <c r="Y4662" s="161"/>
      <c r="Z4662" s="168"/>
      <c r="AA4662" s="168"/>
      <c r="AB4662" s="168"/>
      <c r="AC4662" s="168"/>
    </row>
    <row r="4663">
      <c r="A4663" s="161"/>
      <c r="B4663" s="161"/>
      <c r="C4663" s="162"/>
      <c r="D4663" s="163"/>
      <c r="E4663" s="164" t="str">
        <f>IFERROR(__xludf.DUMMYFUNCTION("""COMPUTED_VALUE"""),"")</f>
        <v/>
      </c>
      <c r="F4663" s="163"/>
      <c r="G4663" s="163"/>
      <c r="H4663" s="163"/>
      <c r="I4663" s="163"/>
      <c r="J4663" s="165"/>
      <c r="K4663" s="165"/>
      <c r="L4663" s="165"/>
      <c r="M4663" s="166"/>
      <c r="N4663" s="167"/>
      <c r="O4663" s="163"/>
      <c r="P4663" s="163"/>
      <c r="Q4663" s="163"/>
      <c r="R4663" s="163"/>
      <c r="S4663" s="161"/>
      <c r="T4663" s="161"/>
      <c r="U4663" s="161"/>
      <c r="V4663" s="161"/>
      <c r="W4663" s="161"/>
      <c r="X4663" s="161"/>
      <c r="Y4663" s="161"/>
      <c r="Z4663" s="168"/>
      <c r="AA4663" s="168"/>
      <c r="AB4663" s="168"/>
      <c r="AC4663" s="168"/>
    </row>
    <row r="4664">
      <c r="A4664" s="161"/>
      <c r="B4664" s="161"/>
      <c r="C4664" s="162"/>
      <c r="D4664" s="163"/>
      <c r="E4664" s="164" t="str">
        <f>IFERROR(__xludf.DUMMYFUNCTION("""COMPUTED_VALUE"""),"")</f>
        <v/>
      </c>
      <c r="F4664" s="163"/>
      <c r="G4664" s="163"/>
      <c r="H4664" s="163"/>
      <c r="I4664" s="163"/>
      <c r="J4664" s="165"/>
      <c r="K4664" s="165"/>
      <c r="L4664" s="165"/>
      <c r="M4664" s="166"/>
      <c r="N4664" s="167"/>
      <c r="O4664" s="163"/>
      <c r="P4664" s="163"/>
      <c r="Q4664" s="163"/>
      <c r="R4664" s="163"/>
      <c r="S4664" s="161"/>
      <c r="T4664" s="161"/>
      <c r="U4664" s="161"/>
      <c r="V4664" s="161"/>
      <c r="W4664" s="161"/>
      <c r="X4664" s="161"/>
      <c r="Y4664" s="161"/>
      <c r="Z4664" s="168"/>
      <c r="AA4664" s="168"/>
      <c r="AB4664" s="168"/>
      <c r="AC4664" s="168"/>
    </row>
    <row r="4665">
      <c r="A4665" s="161"/>
      <c r="B4665" s="161"/>
      <c r="C4665" s="162"/>
      <c r="D4665" s="163"/>
      <c r="E4665" s="164" t="str">
        <f>IFERROR(__xludf.DUMMYFUNCTION("""COMPUTED_VALUE"""),"")</f>
        <v/>
      </c>
      <c r="F4665" s="163"/>
      <c r="G4665" s="163"/>
      <c r="H4665" s="163"/>
      <c r="I4665" s="163"/>
      <c r="J4665" s="165"/>
      <c r="K4665" s="165"/>
      <c r="L4665" s="165"/>
      <c r="M4665" s="166"/>
      <c r="N4665" s="167"/>
      <c r="O4665" s="163"/>
      <c r="P4665" s="163"/>
      <c r="Q4665" s="163"/>
      <c r="R4665" s="163"/>
      <c r="S4665" s="161"/>
      <c r="T4665" s="161"/>
      <c r="U4665" s="161"/>
      <c r="V4665" s="161"/>
      <c r="W4665" s="161"/>
      <c r="X4665" s="161"/>
      <c r="Y4665" s="161"/>
      <c r="Z4665" s="168"/>
      <c r="AA4665" s="168"/>
      <c r="AB4665" s="168"/>
      <c r="AC4665" s="168"/>
    </row>
    <row r="4666">
      <c r="A4666" s="161"/>
      <c r="B4666" s="161"/>
      <c r="C4666" s="162"/>
      <c r="D4666" s="163"/>
      <c r="E4666" s="164" t="str">
        <f>IFERROR(__xludf.DUMMYFUNCTION("""COMPUTED_VALUE"""),"")</f>
        <v/>
      </c>
      <c r="F4666" s="163"/>
      <c r="G4666" s="163"/>
      <c r="H4666" s="163"/>
      <c r="I4666" s="163"/>
      <c r="J4666" s="165"/>
      <c r="K4666" s="165"/>
      <c r="L4666" s="165"/>
      <c r="M4666" s="166"/>
      <c r="N4666" s="167"/>
      <c r="O4666" s="163"/>
      <c r="P4666" s="163"/>
      <c r="Q4666" s="163"/>
      <c r="R4666" s="163"/>
      <c r="S4666" s="161"/>
      <c r="T4666" s="161"/>
      <c r="U4666" s="161"/>
      <c r="V4666" s="161"/>
      <c r="W4666" s="161"/>
      <c r="X4666" s="161"/>
      <c r="Y4666" s="161"/>
      <c r="Z4666" s="168"/>
      <c r="AA4666" s="168"/>
      <c r="AB4666" s="168"/>
      <c r="AC4666" s="168"/>
    </row>
    <row r="4667">
      <c r="A4667" s="161"/>
      <c r="B4667" s="161"/>
      <c r="C4667" s="162"/>
      <c r="D4667" s="163"/>
      <c r="E4667" s="164" t="str">
        <f>IFERROR(__xludf.DUMMYFUNCTION("""COMPUTED_VALUE"""),"")</f>
        <v/>
      </c>
      <c r="F4667" s="163"/>
      <c r="G4667" s="163"/>
      <c r="H4667" s="163"/>
      <c r="I4667" s="163"/>
      <c r="J4667" s="165"/>
      <c r="K4667" s="165"/>
      <c r="L4667" s="165"/>
      <c r="M4667" s="166"/>
      <c r="N4667" s="167"/>
      <c r="O4667" s="163"/>
      <c r="P4667" s="163"/>
      <c r="Q4667" s="163"/>
      <c r="R4667" s="163"/>
      <c r="S4667" s="161"/>
      <c r="T4667" s="161"/>
      <c r="U4667" s="161"/>
      <c r="V4667" s="161"/>
      <c r="W4667" s="161"/>
      <c r="X4667" s="161"/>
      <c r="Y4667" s="161"/>
      <c r="Z4667" s="168"/>
      <c r="AA4667" s="168"/>
      <c r="AB4667" s="168"/>
      <c r="AC4667" s="168"/>
    </row>
    <row r="4668">
      <c r="A4668" s="161"/>
      <c r="B4668" s="161"/>
      <c r="C4668" s="162"/>
      <c r="D4668" s="163"/>
      <c r="E4668" s="164" t="str">
        <f>IFERROR(__xludf.DUMMYFUNCTION("""COMPUTED_VALUE"""),"")</f>
        <v/>
      </c>
      <c r="F4668" s="163"/>
      <c r="G4668" s="163"/>
      <c r="H4668" s="163"/>
      <c r="I4668" s="163"/>
      <c r="J4668" s="165"/>
      <c r="K4668" s="165"/>
      <c r="L4668" s="165"/>
      <c r="M4668" s="166"/>
      <c r="N4668" s="167"/>
      <c r="O4668" s="163"/>
      <c r="P4668" s="163"/>
      <c r="Q4668" s="163"/>
      <c r="R4668" s="163"/>
      <c r="S4668" s="161"/>
      <c r="T4668" s="161"/>
      <c r="U4668" s="161"/>
      <c r="V4668" s="161"/>
      <c r="W4668" s="161"/>
      <c r="X4668" s="161"/>
      <c r="Y4668" s="161"/>
      <c r="Z4668" s="168"/>
      <c r="AA4668" s="168"/>
      <c r="AB4668" s="168"/>
      <c r="AC4668" s="168"/>
    </row>
    <row r="4669">
      <c r="A4669" s="161"/>
      <c r="B4669" s="161"/>
      <c r="C4669" s="162"/>
      <c r="D4669" s="163"/>
      <c r="E4669" s="164" t="str">
        <f>IFERROR(__xludf.DUMMYFUNCTION("""COMPUTED_VALUE"""),"")</f>
        <v/>
      </c>
      <c r="F4669" s="163"/>
      <c r="G4669" s="163"/>
      <c r="H4669" s="163"/>
      <c r="I4669" s="163"/>
      <c r="J4669" s="165"/>
      <c r="K4669" s="165"/>
      <c r="L4669" s="165"/>
      <c r="M4669" s="166"/>
      <c r="N4669" s="167"/>
      <c r="O4669" s="163"/>
      <c r="P4669" s="163"/>
      <c r="Q4669" s="163"/>
      <c r="R4669" s="163"/>
      <c r="S4669" s="161"/>
      <c r="T4669" s="161"/>
      <c r="U4669" s="161"/>
      <c r="V4669" s="161"/>
      <c r="W4669" s="161"/>
      <c r="X4669" s="161"/>
      <c r="Y4669" s="161"/>
      <c r="Z4669" s="168"/>
      <c r="AA4669" s="168"/>
      <c r="AB4669" s="168"/>
      <c r="AC4669" s="168"/>
    </row>
    <row r="4670">
      <c r="A4670" s="161"/>
      <c r="B4670" s="161"/>
      <c r="C4670" s="162"/>
      <c r="D4670" s="163"/>
      <c r="E4670" s="164" t="str">
        <f>IFERROR(__xludf.DUMMYFUNCTION("""COMPUTED_VALUE"""),"")</f>
        <v/>
      </c>
      <c r="F4670" s="163"/>
      <c r="G4670" s="163"/>
      <c r="H4670" s="163"/>
      <c r="I4670" s="163"/>
      <c r="J4670" s="165"/>
      <c r="K4670" s="165"/>
      <c r="L4670" s="165"/>
      <c r="M4670" s="166"/>
      <c r="N4670" s="167"/>
      <c r="O4670" s="163"/>
      <c r="P4670" s="163"/>
      <c r="Q4670" s="163"/>
      <c r="R4670" s="163"/>
      <c r="S4670" s="161"/>
      <c r="T4670" s="161"/>
      <c r="U4670" s="161"/>
      <c r="V4670" s="161"/>
      <c r="W4670" s="161"/>
      <c r="X4670" s="161"/>
      <c r="Y4670" s="161"/>
      <c r="Z4670" s="168"/>
      <c r="AA4670" s="168"/>
      <c r="AB4670" s="168"/>
      <c r="AC4670" s="168"/>
    </row>
    <row r="4671">
      <c r="A4671" s="161"/>
      <c r="B4671" s="161"/>
      <c r="C4671" s="162"/>
      <c r="D4671" s="163"/>
      <c r="E4671" s="164" t="str">
        <f>IFERROR(__xludf.DUMMYFUNCTION("""COMPUTED_VALUE"""),"")</f>
        <v/>
      </c>
      <c r="F4671" s="163"/>
      <c r="G4671" s="163"/>
      <c r="H4671" s="163"/>
      <c r="I4671" s="163"/>
      <c r="J4671" s="165"/>
      <c r="K4671" s="165"/>
      <c r="L4671" s="165"/>
      <c r="M4671" s="166"/>
      <c r="N4671" s="167"/>
      <c r="O4671" s="163"/>
      <c r="P4671" s="163"/>
      <c r="Q4671" s="163"/>
      <c r="R4671" s="163"/>
      <c r="S4671" s="161"/>
      <c r="T4671" s="161"/>
      <c r="U4671" s="161"/>
      <c r="V4671" s="161"/>
      <c r="W4671" s="161"/>
      <c r="X4671" s="161"/>
      <c r="Y4671" s="161"/>
      <c r="Z4671" s="168"/>
      <c r="AA4671" s="168"/>
      <c r="AB4671" s="168"/>
      <c r="AC4671" s="168"/>
    </row>
    <row r="4672">
      <c r="A4672" s="161"/>
      <c r="B4672" s="161"/>
      <c r="C4672" s="162"/>
      <c r="D4672" s="163"/>
      <c r="E4672" s="164" t="str">
        <f>IFERROR(__xludf.DUMMYFUNCTION("""COMPUTED_VALUE"""),"")</f>
        <v/>
      </c>
      <c r="F4672" s="163"/>
      <c r="G4672" s="163"/>
      <c r="H4672" s="163"/>
      <c r="I4672" s="163"/>
      <c r="J4672" s="165"/>
      <c r="K4672" s="165"/>
      <c r="L4672" s="165"/>
      <c r="M4672" s="166"/>
      <c r="N4672" s="167"/>
      <c r="O4672" s="163"/>
      <c r="P4672" s="163"/>
      <c r="Q4672" s="163"/>
      <c r="R4672" s="163"/>
      <c r="S4672" s="161"/>
      <c r="T4672" s="161"/>
      <c r="U4672" s="161"/>
      <c r="V4672" s="161"/>
      <c r="W4672" s="161"/>
      <c r="X4672" s="161"/>
      <c r="Y4672" s="161"/>
      <c r="Z4672" s="168"/>
      <c r="AA4672" s="168"/>
      <c r="AB4672" s="168"/>
      <c r="AC4672" s="168"/>
    </row>
    <row r="4673">
      <c r="A4673" s="161"/>
      <c r="B4673" s="161"/>
      <c r="C4673" s="162"/>
      <c r="D4673" s="163"/>
      <c r="E4673" s="164" t="str">
        <f>IFERROR(__xludf.DUMMYFUNCTION("""COMPUTED_VALUE"""),"")</f>
        <v/>
      </c>
      <c r="F4673" s="163"/>
      <c r="G4673" s="163"/>
      <c r="H4673" s="163"/>
      <c r="I4673" s="163"/>
      <c r="J4673" s="165"/>
      <c r="K4673" s="165"/>
      <c r="L4673" s="165"/>
      <c r="M4673" s="166"/>
      <c r="N4673" s="167"/>
      <c r="O4673" s="163"/>
      <c r="P4673" s="163"/>
      <c r="Q4673" s="163"/>
      <c r="R4673" s="163"/>
      <c r="S4673" s="161"/>
      <c r="T4673" s="161"/>
      <c r="U4673" s="161"/>
      <c r="V4673" s="161"/>
      <c r="W4673" s="161"/>
      <c r="X4673" s="161"/>
      <c r="Y4673" s="161"/>
      <c r="Z4673" s="168"/>
      <c r="AA4673" s="168"/>
      <c r="AB4673" s="168"/>
      <c r="AC4673" s="168"/>
    </row>
    <row r="4674">
      <c r="A4674" s="161"/>
      <c r="B4674" s="161"/>
      <c r="C4674" s="162"/>
      <c r="D4674" s="163"/>
      <c r="E4674" s="164" t="str">
        <f>IFERROR(__xludf.DUMMYFUNCTION("""COMPUTED_VALUE"""),"")</f>
        <v/>
      </c>
      <c r="F4674" s="163"/>
      <c r="G4674" s="163"/>
      <c r="H4674" s="163"/>
      <c r="I4674" s="163"/>
      <c r="J4674" s="165"/>
      <c r="K4674" s="165"/>
      <c r="L4674" s="165"/>
      <c r="M4674" s="166"/>
      <c r="N4674" s="167"/>
      <c r="O4674" s="163"/>
      <c r="P4674" s="163"/>
      <c r="Q4674" s="163"/>
      <c r="R4674" s="163"/>
      <c r="S4674" s="161"/>
      <c r="T4674" s="161"/>
      <c r="U4674" s="161"/>
      <c r="V4674" s="161"/>
      <c r="W4674" s="161"/>
      <c r="X4674" s="161"/>
      <c r="Y4674" s="161"/>
      <c r="Z4674" s="168"/>
      <c r="AA4674" s="168"/>
      <c r="AB4674" s="168"/>
      <c r="AC4674" s="168"/>
    </row>
    <row r="4675">
      <c r="A4675" s="161"/>
      <c r="B4675" s="161"/>
      <c r="C4675" s="162"/>
      <c r="D4675" s="163"/>
      <c r="E4675" s="164" t="str">
        <f>IFERROR(__xludf.DUMMYFUNCTION("""COMPUTED_VALUE"""),"")</f>
        <v/>
      </c>
      <c r="F4675" s="163"/>
      <c r="G4675" s="163"/>
      <c r="H4675" s="163"/>
      <c r="I4675" s="163"/>
      <c r="J4675" s="165"/>
      <c r="K4675" s="165"/>
      <c r="L4675" s="165"/>
      <c r="M4675" s="166"/>
      <c r="N4675" s="167"/>
      <c r="O4675" s="163"/>
      <c r="P4675" s="163"/>
      <c r="Q4675" s="163"/>
      <c r="R4675" s="163"/>
      <c r="S4675" s="161"/>
      <c r="T4675" s="161"/>
      <c r="U4675" s="161"/>
      <c r="V4675" s="161"/>
      <c r="W4675" s="161"/>
      <c r="X4675" s="161"/>
      <c r="Y4675" s="161"/>
      <c r="Z4675" s="168"/>
      <c r="AA4675" s="168"/>
      <c r="AB4675" s="168"/>
      <c r="AC4675" s="168"/>
    </row>
    <row r="4676">
      <c r="A4676" s="161"/>
      <c r="B4676" s="161"/>
      <c r="C4676" s="162"/>
      <c r="D4676" s="163"/>
      <c r="E4676" s="164" t="str">
        <f>IFERROR(__xludf.DUMMYFUNCTION("""COMPUTED_VALUE"""),"")</f>
        <v/>
      </c>
      <c r="F4676" s="163"/>
      <c r="G4676" s="163"/>
      <c r="H4676" s="163"/>
      <c r="I4676" s="163"/>
      <c r="J4676" s="165"/>
      <c r="K4676" s="165"/>
      <c r="L4676" s="165"/>
      <c r="M4676" s="166"/>
      <c r="N4676" s="167"/>
      <c r="O4676" s="163"/>
      <c r="P4676" s="163"/>
      <c r="Q4676" s="163"/>
      <c r="R4676" s="163"/>
      <c r="S4676" s="161"/>
      <c r="T4676" s="161"/>
      <c r="U4676" s="161"/>
      <c r="V4676" s="161"/>
      <c r="W4676" s="161"/>
      <c r="X4676" s="161"/>
      <c r="Y4676" s="161"/>
      <c r="Z4676" s="168"/>
      <c r="AA4676" s="168"/>
      <c r="AB4676" s="168"/>
      <c r="AC4676" s="168"/>
    </row>
    <row r="4677">
      <c r="A4677" s="161"/>
      <c r="B4677" s="161"/>
      <c r="C4677" s="162"/>
      <c r="D4677" s="163"/>
      <c r="E4677" s="164" t="str">
        <f>IFERROR(__xludf.DUMMYFUNCTION("""COMPUTED_VALUE"""),"")</f>
        <v/>
      </c>
      <c r="F4677" s="163"/>
      <c r="G4677" s="163"/>
      <c r="H4677" s="163"/>
      <c r="I4677" s="163"/>
      <c r="J4677" s="165"/>
      <c r="K4677" s="165"/>
      <c r="L4677" s="165"/>
      <c r="M4677" s="166"/>
      <c r="N4677" s="167"/>
      <c r="O4677" s="163"/>
      <c r="P4677" s="163"/>
      <c r="Q4677" s="163"/>
      <c r="R4677" s="163"/>
      <c r="S4677" s="161"/>
      <c r="T4677" s="161"/>
      <c r="U4677" s="161"/>
      <c r="V4677" s="161"/>
      <c r="W4677" s="161"/>
      <c r="X4677" s="161"/>
      <c r="Y4677" s="161"/>
      <c r="Z4677" s="168"/>
      <c r="AA4677" s="168"/>
      <c r="AB4677" s="168"/>
      <c r="AC4677" s="168"/>
    </row>
    <row r="4678">
      <c r="A4678" s="161"/>
      <c r="B4678" s="161"/>
      <c r="C4678" s="162"/>
      <c r="D4678" s="163"/>
      <c r="E4678" s="164" t="str">
        <f>IFERROR(__xludf.DUMMYFUNCTION("""COMPUTED_VALUE"""),"")</f>
        <v/>
      </c>
      <c r="F4678" s="163"/>
      <c r="G4678" s="163"/>
      <c r="H4678" s="163"/>
      <c r="I4678" s="163"/>
      <c r="J4678" s="165"/>
      <c r="K4678" s="165"/>
      <c r="L4678" s="165"/>
      <c r="M4678" s="166"/>
      <c r="N4678" s="167"/>
      <c r="O4678" s="163"/>
      <c r="P4678" s="163"/>
      <c r="Q4678" s="163"/>
      <c r="R4678" s="163"/>
      <c r="S4678" s="161"/>
      <c r="T4678" s="161"/>
      <c r="U4678" s="161"/>
      <c r="V4678" s="161"/>
      <c r="W4678" s="161"/>
      <c r="X4678" s="161"/>
      <c r="Y4678" s="161"/>
      <c r="Z4678" s="168"/>
      <c r="AA4678" s="168"/>
      <c r="AB4678" s="168"/>
      <c r="AC4678" s="168"/>
    </row>
    <row r="4679">
      <c r="A4679" s="161"/>
      <c r="B4679" s="161"/>
      <c r="C4679" s="162"/>
      <c r="D4679" s="163"/>
      <c r="E4679" s="164" t="str">
        <f>IFERROR(__xludf.DUMMYFUNCTION("""COMPUTED_VALUE"""),"")</f>
        <v/>
      </c>
      <c r="F4679" s="163"/>
      <c r="G4679" s="163"/>
      <c r="H4679" s="163"/>
      <c r="I4679" s="163"/>
      <c r="J4679" s="165"/>
      <c r="K4679" s="165"/>
      <c r="L4679" s="165"/>
      <c r="M4679" s="166"/>
      <c r="N4679" s="167"/>
      <c r="O4679" s="163"/>
      <c r="P4679" s="163"/>
      <c r="Q4679" s="163"/>
      <c r="R4679" s="163"/>
      <c r="S4679" s="161"/>
      <c r="T4679" s="161"/>
      <c r="U4679" s="161"/>
      <c r="V4679" s="161"/>
      <c r="W4679" s="161"/>
      <c r="X4679" s="161"/>
      <c r="Y4679" s="161"/>
      <c r="Z4679" s="168"/>
      <c r="AA4679" s="168"/>
      <c r="AB4679" s="168"/>
      <c r="AC4679" s="168"/>
    </row>
    <row r="4680">
      <c r="A4680" s="161"/>
      <c r="B4680" s="161"/>
      <c r="C4680" s="162"/>
      <c r="D4680" s="163"/>
      <c r="E4680" s="164" t="str">
        <f>IFERROR(__xludf.DUMMYFUNCTION("""COMPUTED_VALUE"""),"")</f>
        <v/>
      </c>
      <c r="F4680" s="163"/>
      <c r="G4680" s="163"/>
      <c r="H4680" s="163"/>
      <c r="I4680" s="163"/>
      <c r="J4680" s="165"/>
      <c r="K4680" s="165"/>
      <c r="L4680" s="165"/>
      <c r="M4680" s="166"/>
      <c r="N4680" s="167"/>
      <c r="O4680" s="163"/>
      <c r="P4680" s="163"/>
      <c r="Q4680" s="163"/>
      <c r="R4680" s="163"/>
      <c r="S4680" s="161"/>
      <c r="T4680" s="161"/>
      <c r="U4680" s="161"/>
      <c r="V4680" s="161"/>
      <c r="W4680" s="161"/>
      <c r="X4680" s="161"/>
      <c r="Y4680" s="161"/>
      <c r="Z4680" s="168"/>
      <c r="AA4680" s="168"/>
      <c r="AB4680" s="168"/>
      <c r="AC4680" s="168"/>
    </row>
    <row r="4681">
      <c r="A4681" s="161"/>
      <c r="B4681" s="161"/>
      <c r="C4681" s="162"/>
      <c r="D4681" s="163"/>
      <c r="E4681" s="164" t="str">
        <f>IFERROR(__xludf.DUMMYFUNCTION("""COMPUTED_VALUE"""),"")</f>
        <v/>
      </c>
      <c r="F4681" s="163"/>
      <c r="G4681" s="163"/>
      <c r="H4681" s="163"/>
      <c r="I4681" s="163"/>
      <c r="J4681" s="165"/>
      <c r="K4681" s="165"/>
      <c r="L4681" s="165"/>
      <c r="M4681" s="166"/>
      <c r="N4681" s="167"/>
      <c r="O4681" s="163"/>
      <c r="P4681" s="163"/>
      <c r="Q4681" s="163"/>
      <c r="R4681" s="163"/>
      <c r="S4681" s="161"/>
      <c r="T4681" s="161"/>
      <c r="U4681" s="161"/>
      <c r="V4681" s="161"/>
      <c r="W4681" s="161"/>
      <c r="X4681" s="161"/>
      <c r="Y4681" s="161"/>
      <c r="Z4681" s="168"/>
      <c r="AA4681" s="168"/>
      <c r="AB4681" s="168"/>
      <c r="AC4681" s="168"/>
    </row>
    <row r="4682">
      <c r="A4682" s="161"/>
      <c r="B4682" s="161"/>
      <c r="C4682" s="162"/>
      <c r="D4682" s="163"/>
      <c r="E4682" s="164" t="str">
        <f>IFERROR(__xludf.DUMMYFUNCTION("""COMPUTED_VALUE"""),"")</f>
        <v/>
      </c>
      <c r="F4682" s="163"/>
      <c r="G4682" s="163"/>
      <c r="H4682" s="163"/>
      <c r="I4682" s="163"/>
      <c r="J4682" s="165"/>
      <c r="K4682" s="165"/>
      <c r="L4682" s="165"/>
      <c r="M4682" s="166"/>
      <c r="N4682" s="167"/>
      <c r="O4682" s="163"/>
      <c r="P4682" s="163"/>
      <c r="Q4682" s="163"/>
      <c r="R4682" s="163"/>
      <c r="S4682" s="161"/>
      <c r="T4682" s="161"/>
      <c r="U4682" s="161"/>
      <c r="V4682" s="161"/>
      <c r="W4682" s="161"/>
      <c r="X4682" s="161"/>
      <c r="Y4682" s="161"/>
      <c r="Z4682" s="168"/>
      <c r="AA4682" s="168"/>
      <c r="AB4682" s="168"/>
      <c r="AC4682" s="168"/>
    </row>
    <row r="4683">
      <c r="A4683" s="161"/>
      <c r="B4683" s="161"/>
      <c r="C4683" s="162"/>
      <c r="D4683" s="163"/>
      <c r="E4683" s="164" t="str">
        <f>IFERROR(__xludf.DUMMYFUNCTION("""COMPUTED_VALUE"""),"")</f>
        <v/>
      </c>
      <c r="F4683" s="163"/>
      <c r="G4683" s="163"/>
      <c r="H4683" s="163"/>
      <c r="I4683" s="163"/>
      <c r="J4683" s="165"/>
      <c r="K4683" s="165"/>
      <c r="L4683" s="165"/>
      <c r="M4683" s="166"/>
      <c r="N4683" s="167"/>
      <c r="O4683" s="163"/>
      <c r="P4683" s="163"/>
      <c r="Q4683" s="163"/>
      <c r="R4683" s="163"/>
      <c r="S4683" s="161"/>
      <c r="T4683" s="161"/>
      <c r="U4683" s="161"/>
      <c r="V4683" s="161"/>
      <c r="W4683" s="161"/>
      <c r="X4683" s="161"/>
      <c r="Y4683" s="161"/>
      <c r="Z4683" s="168"/>
      <c r="AA4683" s="168"/>
      <c r="AB4683" s="168"/>
      <c r="AC4683" s="168"/>
    </row>
    <row r="4684">
      <c r="A4684" s="161"/>
      <c r="B4684" s="161"/>
      <c r="C4684" s="162"/>
      <c r="D4684" s="163"/>
      <c r="E4684" s="164" t="str">
        <f>IFERROR(__xludf.DUMMYFUNCTION("""COMPUTED_VALUE"""),"")</f>
        <v/>
      </c>
      <c r="F4684" s="163"/>
      <c r="G4684" s="163"/>
      <c r="H4684" s="163"/>
      <c r="I4684" s="163"/>
      <c r="J4684" s="165"/>
      <c r="K4684" s="165"/>
      <c r="L4684" s="165"/>
      <c r="M4684" s="166"/>
      <c r="N4684" s="167"/>
      <c r="O4684" s="163"/>
      <c r="P4684" s="163"/>
      <c r="Q4684" s="163"/>
      <c r="R4684" s="163"/>
      <c r="S4684" s="161"/>
      <c r="T4684" s="161"/>
      <c r="U4684" s="161"/>
      <c r="V4684" s="161"/>
      <c r="W4684" s="161"/>
      <c r="X4684" s="161"/>
      <c r="Y4684" s="161"/>
      <c r="Z4684" s="168"/>
      <c r="AA4684" s="168"/>
      <c r="AB4684" s="168"/>
      <c r="AC4684" s="168"/>
    </row>
    <row r="4685">
      <c r="A4685" s="161"/>
      <c r="B4685" s="161"/>
      <c r="C4685" s="162"/>
      <c r="D4685" s="163"/>
      <c r="E4685" s="164" t="str">
        <f>IFERROR(__xludf.DUMMYFUNCTION("""COMPUTED_VALUE"""),"")</f>
        <v/>
      </c>
      <c r="F4685" s="163"/>
      <c r="G4685" s="163"/>
      <c r="H4685" s="163"/>
      <c r="I4685" s="163"/>
      <c r="J4685" s="165"/>
      <c r="K4685" s="165"/>
      <c r="L4685" s="165"/>
      <c r="M4685" s="166"/>
      <c r="N4685" s="167"/>
      <c r="O4685" s="163"/>
      <c r="P4685" s="163"/>
      <c r="Q4685" s="163"/>
      <c r="R4685" s="163"/>
      <c r="S4685" s="161"/>
      <c r="T4685" s="161"/>
      <c r="U4685" s="161"/>
      <c r="V4685" s="161"/>
      <c r="W4685" s="161"/>
      <c r="X4685" s="161"/>
      <c r="Y4685" s="161"/>
      <c r="Z4685" s="168"/>
      <c r="AA4685" s="168"/>
      <c r="AB4685" s="168"/>
      <c r="AC4685" s="168"/>
    </row>
    <row r="4686">
      <c r="A4686" s="161"/>
      <c r="B4686" s="161"/>
      <c r="C4686" s="162"/>
      <c r="D4686" s="163"/>
      <c r="E4686" s="164" t="str">
        <f>IFERROR(__xludf.DUMMYFUNCTION("""COMPUTED_VALUE"""),"")</f>
        <v/>
      </c>
      <c r="F4686" s="163"/>
      <c r="G4686" s="163"/>
      <c r="H4686" s="163"/>
      <c r="I4686" s="163"/>
      <c r="J4686" s="165"/>
      <c r="K4686" s="165"/>
      <c r="L4686" s="165"/>
      <c r="M4686" s="166"/>
      <c r="N4686" s="167"/>
      <c r="O4686" s="163"/>
      <c r="P4686" s="163"/>
      <c r="Q4686" s="163"/>
      <c r="R4686" s="163"/>
      <c r="S4686" s="161"/>
      <c r="T4686" s="161"/>
      <c r="U4686" s="161"/>
      <c r="V4686" s="161"/>
      <c r="W4686" s="161"/>
      <c r="X4686" s="161"/>
      <c r="Y4686" s="161"/>
      <c r="Z4686" s="168"/>
      <c r="AA4686" s="168"/>
      <c r="AB4686" s="168"/>
      <c r="AC4686" s="168"/>
    </row>
    <row r="4687">
      <c r="A4687" s="161"/>
      <c r="B4687" s="161"/>
      <c r="C4687" s="162"/>
      <c r="D4687" s="163"/>
      <c r="E4687" s="164" t="str">
        <f>IFERROR(__xludf.DUMMYFUNCTION("""COMPUTED_VALUE"""),"")</f>
        <v/>
      </c>
      <c r="F4687" s="163"/>
      <c r="G4687" s="163"/>
      <c r="H4687" s="163"/>
      <c r="I4687" s="163"/>
      <c r="J4687" s="165"/>
      <c r="K4687" s="165"/>
      <c r="L4687" s="165"/>
      <c r="M4687" s="166"/>
      <c r="N4687" s="167"/>
      <c r="O4687" s="163"/>
      <c r="P4687" s="163"/>
      <c r="Q4687" s="163"/>
      <c r="R4687" s="163"/>
      <c r="S4687" s="161"/>
      <c r="T4687" s="161"/>
      <c r="U4687" s="161"/>
      <c r="V4687" s="161"/>
      <c r="W4687" s="161"/>
      <c r="X4687" s="161"/>
      <c r="Y4687" s="161"/>
      <c r="Z4687" s="168"/>
      <c r="AA4687" s="168"/>
      <c r="AB4687" s="168"/>
      <c r="AC4687" s="168"/>
    </row>
    <row r="4688">
      <c r="A4688" s="161"/>
      <c r="B4688" s="161"/>
      <c r="C4688" s="162"/>
      <c r="D4688" s="163"/>
      <c r="E4688" s="164" t="str">
        <f>IFERROR(__xludf.DUMMYFUNCTION("""COMPUTED_VALUE"""),"")</f>
        <v/>
      </c>
      <c r="F4688" s="163"/>
      <c r="G4688" s="163"/>
      <c r="H4688" s="163"/>
      <c r="I4688" s="163"/>
      <c r="J4688" s="165"/>
      <c r="K4688" s="165"/>
      <c r="L4688" s="165"/>
      <c r="M4688" s="166"/>
      <c r="N4688" s="167"/>
      <c r="O4688" s="163"/>
      <c r="P4688" s="163"/>
      <c r="Q4688" s="163"/>
      <c r="R4688" s="163"/>
      <c r="S4688" s="161"/>
      <c r="T4688" s="161"/>
      <c r="U4688" s="161"/>
      <c r="V4688" s="161"/>
      <c r="W4688" s="161"/>
      <c r="X4688" s="161"/>
      <c r="Y4688" s="161"/>
      <c r="Z4688" s="168"/>
      <c r="AA4688" s="168"/>
      <c r="AB4688" s="168"/>
      <c r="AC4688" s="168"/>
    </row>
    <row r="4689">
      <c r="A4689" s="161"/>
      <c r="B4689" s="161"/>
      <c r="C4689" s="162"/>
      <c r="D4689" s="163"/>
      <c r="E4689" s="164" t="str">
        <f>IFERROR(__xludf.DUMMYFUNCTION("""COMPUTED_VALUE"""),"")</f>
        <v/>
      </c>
      <c r="F4689" s="163"/>
      <c r="G4689" s="163"/>
      <c r="H4689" s="163"/>
      <c r="I4689" s="163"/>
      <c r="J4689" s="165"/>
      <c r="K4689" s="165"/>
      <c r="L4689" s="165"/>
      <c r="M4689" s="166"/>
      <c r="N4689" s="167"/>
      <c r="O4689" s="163"/>
      <c r="P4689" s="163"/>
      <c r="Q4689" s="163"/>
      <c r="R4689" s="163"/>
      <c r="S4689" s="161"/>
      <c r="T4689" s="161"/>
      <c r="U4689" s="161"/>
      <c r="V4689" s="161"/>
      <c r="W4689" s="161"/>
      <c r="X4689" s="161"/>
      <c r="Y4689" s="161"/>
      <c r="Z4689" s="168"/>
      <c r="AA4689" s="168"/>
      <c r="AB4689" s="168"/>
      <c r="AC4689" s="168"/>
    </row>
    <row r="4690">
      <c r="A4690" s="161"/>
      <c r="B4690" s="161"/>
      <c r="C4690" s="162"/>
      <c r="D4690" s="163"/>
      <c r="E4690" s="164" t="str">
        <f>IFERROR(__xludf.DUMMYFUNCTION("""COMPUTED_VALUE"""),"")</f>
        <v/>
      </c>
      <c r="F4690" s="163"/>
      <c r="G4690" s="163"/>
      <c r="H4690" s="163"/>
      <c r="I4690" s="163"/>
      <c r="J4690" s="165"/>
      <c r="K4690" s="165"/>
      <c r="L4690" s="165"/>
      <c r="M4690" s="166"/>
      <c r="N4690" s="167"/>
      <c r="O4690" s="163"/>
      <c r="P4690" s="163"/>
      <c r="Q4690" s="163"/>
      <c r="R4690" s="163"/>
      <c r="S4690" s="161"/>
      <c r="T4690" s="161"/>
      <c r="U4690" s="161"/>
      <c r="V4690" s="161"/>
      <c r="W4690" s="161"/>
      <c r="X4690" s="161"/>
      <c r="Y4690" s="161"/>
      <c r="Z4690" s="168"/>
      <c r="AA4690" s="168"/>
      <c r="AB4690" s="168"/>
      <c r="AC4690" s="168"/>
    </row>
    <row r="4691">
      <c r="A4691" s="161"/>
      <c r="B4691" s="161"/>
      <c r="C4691" s="162"/>
      <c r="D4691" s="163"/>
      <c r="E4691" s="164" t="str">
        <f>IFERROR(__xludf.DUMMYFUNCTION("""COMPUTED_VALUE"""),"")</f>
        <v/>
      </c>
      <c r="F4691" s="163"/>
      <c r="G4691" s="163"/>
      <c r="H4691" s="163"/>
      <c r="I4691" s="163"/>
      <c r="J4691" s="165"/>
      <c r="K4691" s="165"/>
      <c r="L4691" s="165"/>
      <c r="M4691" s="166"/>
      <c r="N4691" s="167"/>
      <c r="O4691" s="163"/>
      <c r="P4691" s="163"/>
      <c r="Q4691" s="163"/>
      <c r="R4691" s="163"/>
      <c r="S4691" s="161"/>
      <c r="T4691" s="161"/>
      <c r="U4691" s="161"/>
      <c r="V4691" s="161"/>
      <c r="W4691" s="161"/>
      <c r="X4691" s="161"/>
      <c r="Y4691" s="161"/>
      <c r="Z4691" s="168"/>
      <c r="AA4691" s="168"/>
      <c r="AB4691" s="168"/>
      <c r="AC4691" s="168"/>
    </row>
    <row r="4692">
      <c r="A4692" s="161"/>
      <c r="B4692" s="161"/>
      <c r="C4692" s="162"/>
      <c r="D4692" s="163"/>
      <c r="E4692" s="164" t="str">
        <f>IFERROR(__xludf.DUMMYFUNCTION("""COMPUTED_VALUE"""),"")</f>
        <v/>
      </c>
      <c r="F4692" s="163"/>
      <c r="G4692" s="163"/>
      <c r="H4692" s="163"/>
      <c r="I4692" s="163"/>
      <c r="J4692" s="165"/>
      <c r="K4692" s="165"/>
      <c r="L4692" s="165"/>
      <c r="M4692" s="166"/>
      <c r="N4692" s="167"/>
      <c r="O4692" s="163"/>
      <c r="P4692" s="163"/>
      <c r="Q4692" s="163"/>
      <c r="R4692" s="163"/>
      <c r="S4692" s="161"/>
      <c r="T4692" s="161"/>
      <c r="U4692" s="161"/>
      <c r="V4692" s="161"/>
      <c r="W4692" s="161"/>
      <c r="X4692" s="161"/>
      <c r="Y4692" s="161"/>
      <c r="Z4692" s="168"/>
      <c r="AA4692" s="168"/>
      <c r="AB4692" s="168"/>
      <c r="AC4692" s="168"/>
    </row>
    <row r="4693">
      <c r="A4693" s="161"/>
      <c r="B4693" s="161"/>
      <c r="C4693" s="162"/>
      <c r="D4693" s="163"/>
      <c r="E4693" s="164" t="str">
        <f>IFERROR(__xludf.DUMMYFUNCTION("""COMPUTED_VALUE"""),"")</f>
        <v/>
      </c>
      <c r="F4693" s="163"/>
      <c r="G4693" s="163"/>
      <c r="H4693" s="163"/>
      <c r="I4693" s="163"/>
      <c r="J4693" s="165"/>
      <c r="K4693" s="165"/>
      <c r="L4693" s="165"/>
      <c r="M4693" s="166"/>
      <c r="N4693" s="167"/>
      <c r="O4693" s="163"/>
      <c r="P4693" s="163"/>
      <c r="Q4693" s="163"/>
      <c r="R4693" s="163"/>
      <c r="S4693" s="161"/>
      <c r="T4693" s="161"/>
      <c r="U4693" s="161"/>
      <c r="V4693" s="161"/>
      <c r="W4693" s="161"/>
      <c r="X4693" s="161"/>
      <c r="Y4693" s="161"/>
      <c r="Z4693" s="168"/>
      <c r="AA4693" s="168"/>
      <c r="AB4693" s="168"/>
      <c r="AC4693" s="168"/>
    </row>
    <row r="4694">
      <c r="A4694" s="161"/>
      <c r="B4694" s="161"/>
      <c r="C4694" s="162"/>
      <c r="D4694" s="163"/>
      <c r="E4694" s="164" t="str">
        <f>IFERROR(__xludf.DUMMYFUNCTION("""COMPUTED_VALUE"""),"")</f>
        <v/>
      </c>
      <c r="F4694" s="163"/>
      <c r="G4694" s="163"/>
      <c r="H4694" s="163"/>
      <c r="I4694" s="163"/>
      <c r="J4694" s="165"/>
      <c r="K4694" s="165"/>
      <c r="L4694" s="165"/>
      <c r="M4694" s="166"/>
      <c r="N4694" s="167"/>
      <c r="O4694" s="163"/>
      <c r="P4694" s="163"/>
      <c r="Q4694" s="163"/>
      <c r="R4694" s="163"/>
      <c r="S4694" s="161"/>
      <c r="T4694" s="161"/>
      <c r="U4694" s="161"/>
      <c r="V4694" s="161"/>
      <c r="W4694" s="161"/>
      <c r="X4694" s="161"/>
      <c r="Y4694" s="161"/>
      <c r="Z4694" s="168"/>
      <c r="AA4694" s="168"/>
      <c r="AB4694" s="168"/>
      <c r="AC4694" s="168"/>
    </row>
    <row r="4695">
      <c r="A4695" s="161"/>
      <c r="B4695" s="161"/>
      <c r="C4695" s="162"/>
      <c r="D4695" s="163"/>
      <c r="E4695" s="164" t="str">
        <f>IFERROR(__xludf.DUMMYFUNCTION("""COMPUTED_VALUE"""),"")</f>
        <v/>
      </c>
      <c r="F4695" s="163"/>
      <c r="G4695" s="163"/>
      <c r="H4695" s="163"/>
      <c r="I4695" s="163"/>
      <c r="J4695" s="165"/>
      <c r="K4695" s="165"/>
      <c r="L4695" s="165"/>
      <c r="M4695" s="166"/>
      <c r="N4695" s="167"/>
      <c r="O4695" s="163"/>
      <c r="P4695" s="163"/>
      <c r="Q4695" s="163"/>
      <c r="R4695" s="163"/>
      <c r="S4695" s="161"/>
      <c r="T4695" s="161"/>
      <c r="U4695" s="161"/>
      <c r="V4695" s="161"/>
      <c r="W4695" s="161"/>
      <c r="X4695" s="161"/>
      <c r="Y4695" s="161"/>
      <c r="Z4695" s="168"/>
      <c r="AA4695" s="168"/>
      <c r="AB4695" s="168"/>
      <c r="AC4695" s="168"/>
    </row>
    <row r="4696">
      <c r="A4696" s="161"/>
      <c r="B4696" s="161"/>
      <c r="C4696" s="162"/>
      <c r="D4696" s="163"/>
      <c r="E4696" s="164" t="str">
        <f>IFERROR(__xludf.DUMMYFUNCTION("""COMPUTED_VALUE"""),"")</f>
        <v/>
      </c>
      <c r="F4696" s="163"/>
      <c r="G4696" s="163"/>
      <c r="H4696" s="163"/>
      <c r="I4696" s="163"/>
      <c r="J4696" s="165"/>
      <c r="K4696" s="165"/>
      <c r="L4696" s="165"/>
      <c r="M4696" s="166"/>
      <c r="N4696" s="167"/>
      <c r="O4696" s="163"/>
      <c r="P4696" s="163"/>
      <c r="Q4696" s="163"/>
      <c r="R4696" s="163"/>
      <c r="S4696" s="161"/>
      <c r="T4696" s="161"/>
      <c r="U4696" s="161"/>
      <c r="V4696" s="161"/>
      <c r="W4696" s="161"/>
      <c r="X4696" s="161"/>
      <c r="Y4696" s="161"/>
      <c r="Z4696" s="168"/>
      <c r="AA4696" s="168"/>
      <c r="AB4696" s="168"/>
      <c r="AC4696" s="168"/>
    </row>
    <row r="4697">
      <c r="A4697" s="161"/>
      <c r="B4697" s="161"/>
      <c r="C4697" s="162"/>
      <c r="D4697" s="163"/>
      <c r="E4697" s="164" t="str">
        <f>IFERROR(__xludf.DUMMYFUNCTION("""COMPUTED_VALUE"""),"")</f>
        <v/>
      </c>
      <c r="F4697" s="163"/>
      <c r="G4697" s="163"/>
      <c r="H4697" s="163"/>
      <c r="I4697" s="163"/>
      <c r="J4697" s="165"/>
      <c r="K4697" s="165"/>
      <c r="L4697" s="165"/>
      <c r="M4697" s="166"/>
      <c r="N4697" s="167"/>
      <c r="O4697" s="163"/>
      <c r="P4697" s="163"/>
      <c r="Q4697" s="163"/>
      <c r="R4697" s="163"/>
      <c r="S4697" s="161"/>
      <c r="T4697" s="161"/>
      <c r="U4697" s="161"/>
      <c r="V4697" s="161"/>
      <c r="W4697" s="161"/>
      <c r="X4697" s="161"/>
      <c r="Y4697" s="161"/>
      <c r="Z4697" s="168"/>
      <c r="AA4697" s="168"/>
      <c r="AB4697" s="168"/>
      <c r="AC4697" s="168"/>
    </row>
    <row r="4698">
      <c r="A4698" s="161"/>
      <c r="B4698" s="161"/>
      <c r="C4698" s="162"/>
      <c r="D4698" s="163"/>
      <c r="E4698" s="164" t="str">
        <f>IFERROR(__xludf.DUMMYFUNCTION("""COMPUTED_VALUE"""),"")</f>
        <v/>
      </c>
      <c r="F4698" s="163"/>
      <c r="G4698" s="163"/>
      <c r="H4698" s="163"/>
      <c r="I4698" s="163"/>
      <c r="J4698" s="165"/>
      <c r="K4698" s="165"/>
      <c r="L4698" s="165"/>
      <c r="M4698" s="166"/>
      <c r="N4698" s="167"/>
      <c r="O4698" s="163"/>
      <c r="P4698" s="163"/>
      <c r="Q4698" s="163"/>
      <c r="R4698" s="163"/>
      <c r="S4698" s="161"/>
      <c r="T4698" s="161"/>
      <c r="U4698" s="161"/>
      <c r="V4698" s="161"/>
      <c r="W4698" s="161"/>
      <c r="X4698" s="161"/>
      <c r="Y4698" s="161"/>
      <c r="Z4698" s="168"/>
      <c r="AA4698" s="168"/>
      <c r="AB4698" s="168"/>
      <c r="AC4698" s="168"/>
    </row>
    <row r="4699">
      <c r="A4699" s="161"/>
      <c r="B4699" s="161"/>
      <c r="C4699" s="162"/>
      <c r="D4699" s="163"/>
      <c r="E4699" s="164" t="str">
        <f>IFERROR(__xludf.DUMMYFUNCTION("""COMPUTED_VALUE"""),"")</f>
        <v/>
      </c>
      <c r="F4699" s="163"/>
      <c r="G4699" s="163"/>
      <c r="H4699" s="163"/>
      <c r="I4699" s="163"/>
      <c r="J4699" s="165"/>
      <c r="K4699" s="165"/>
      <c r="L4699" s="165"/>
      <c r="M4699" s="166"/>
      <c r="N4699" s="167"/>
      <c r="O4699" s="163"/>
      <c r="P4699" s="163"/>
      <c r="Q4699" s="163"/>
      <c r="R4699" s="163"/>
      <c r="S4699" s="161"/>
      <c r="T4699" s="161"/>
      <c r="U4699" s="161"/>
      <c r="V4699" s="161"/>
      <c r="W4699" s="161"/>
      <c r="X4699" s="161"/>
      <c r="Y4699" s="161"/>
      <c r="Z4699" s="168"/>
      <c r="AA4699" s="168"/>
      <c r="AB4699" s="168"/>
      <c r="AC4699" s="168"/>
    </row>
    <row r="4700">
      <c r="A4700" s="161"/>
      <c r="B4700" s="161"/>
      <c r="C4700" s="162"/>
      <c r="D4700" s="163"/>
      <c r="E4700" s="164" t="str">
        <f>IFERROR(__xludf.DUMMYFUNCTION("""COMPUTED_VALUE"""),"")</f>
        <v/>
      </c>
      <c r="F4700" s="163"/>
      <c r="G4700" s="163"/>
      <c r="H4700" s="163"/>
      <c r="I4700" s="163"/>
      <c r="J4700" s="165"/>
      <c r="K4700" s="165"/>
      <c r="L4700" s="165"/>
      <c r="M4700" s="166"/>
      <c r="N4700" s="167"/>
      <c r="O4700" s="163"/>
      <c r="P4700" s="163"/>
      <c r="Q4700" s="163"/>
      <c r="R4700" s="163"/>
      <c r="S4700" s="161"/>
      <c r="T4700" s="161"/>
      <c r="U4700" s="161"/>
      <c r="V4700" s="161"/>
      <c r="W4700" s="161"/>
      <c r="X4700" s="161"/>
      <c r="Y4700" s="161"/>
      <c r="Z4700" s="168"/>
      <c r="AA4700" s="168"/>
      <c r="AB4700" s="168"/>
      <c r="AC4700" s="168"/>
    </row>
    <row r="4701">
      <c r="A4701" s="161"/>
      <c r="B4701" s="161"/>
      <c r="C4701" s="162"/>
      <c r="D4701" s="163"/>
      <c r="E4701" s="164" t="str">
        <f>IFERROR(__xludf.DUMMYFUNCTION("""COMPUTED_VALUE"""),"")</f>
        <v/>
      </c>
      <c r="F4701" s="163"/>
      <c r="G4701" s="163"/>
      <c r="H4701" s="163"/>
      <c r="I4701" s="163"/>
      <c r="J4701" s="165"/>
      <c r="K4701" s="165"/>
      <c r="L4701" s="165"/>
      <c r="M4701" s="166"/>
      <c r="N4701" s="167"/>
      <c r="O4701" s="163"/>
      <c r="P4701" s="163"/>
      <c r="Q4701" s="163"/>
      <c r="R4701" s="163"/>
      <c r="S4701" s="161"/>
      <c r="T4701" s="161"/>
      <c r="U4701" s="161"/>
      <c r="V4701" s="161"/>
      <c r="W4701" s="161"/>
      <c r="X4701" s="161"/>
      <c r="Y4701" s="161"/>
      <c r="Z4701" s="168"/>
      <c r="AA4701" s="168"/>
      <c r="AB4701" s="168"/>
      <c r="AC4701" s="168"/>
    </row>
    <row r="4702">
      <c r="A4702" s="161"/>
      <c r="B4702" s="161"/>
      <c r="C4702" s="162"/>
      <c r="D4702" s="163"/>
      <c r="E4702" s="164" t="str">
        <f>IFERROR(__xludf.DUMMYFUNCTION("""COMPUTED_VALUE"""),"")</f>
        <v/>
      </c>
      <c r="F4702" s="163"/>
      <c r="G4702" s="163"/>
      <c r="H4702" s="163"/>
      <c r="I4702" s="163"/>
      <c r="J4702" s="165"/>
      <c r="K4702" s="165"/>
      <c r="L4702" s="165"/>
      <c r="M4702" s="166"/>
      <c r="N4702" s="167"/>
      <c r="O4702" s="163"/>
      <c r="P4702" s="163"/>
      <c r="Q4702" s="163"/>
      <c r="R4702" s="163"/>
      <c r="S4702" s="161"/>
      <c r="T4702" s="161"/>
      <c r="U4702" s="161"/>
      <c r="V4702" s="161"/>
      <c r="W4702" s="161"/>
      <c r="X4702" s="161"/>
      <c r="Y4702" s="161"/>
      <c r="Z4702" s="168"/>
      <c r="AA4702" s="168"/>
      <c r="AB4702" s="168"/>
      <c r="AC4702" s="168"/>
    </row>
    <row r="4703">
      <c r="A4703" s="161"/>
      <c r="B4703" s="161"/>
      <c r="C4703" s="162"/>
      <c r="D4703" s="163"/>
      <c r="E4703" s="164" t="str">
        <f>IFERROR(__xludf.DUMMYFUNCTION("""COMPUTED_VALUE"""),"")</f>
        <v/>
      </c>
      <c r="F4703" s="163"/>
      <c r="G4703" s="163"/>
      <c r="H4703" s="163"/>
      <c r="I4703" s="163"/>
      <c r="J4703" s="165"/>
      <c r="K4703" s="165"/>
      <c r="L4703" s="165"/>
      <c r="M4703" s="166"/>
      <c r="N4703" s="167"/>
      <c r="O4703" s="163"/>
      <c r="P4703" s="163"/>
      <c r="Q4703" s="163"/>
      <c r="R4703" s="163"/>
      <c r="S4703" s="161"/>
      <c r="T4703" s="161"/>
      <c r="U4703" s="161"/>
      <c r="V4703" s="161"/>
      <c r="W4703" s="161"/>
      <c r="X4703" s="161"/>
      <c r="Y4703" s="161"/>
      <c r="Z4703" s="168"/>
      <c r="AA4703" s="168"/>
      <c r="AB4703" s="168"/>
      <c r="AC4703" s="168"/>
    </row>
    <row r="4704">
      <c r="A4704" s="161"/>
      <c r="B4704" s="161"/>
      <c r="C4704" s="162"/>
      <c r="D4704" s="163"/>
      <c r="E4704" s="164" t="str">
        <f>IFERROR(__xludf.DUMMYFUNCTION("""COMPUTED_VALUE"""),"")</f>
        <v/>
      </c>
      <c r="F4704" s="163"/>
      <c r="G4704" s="163"/>
      <c r="H4704" s="163"/>
      <c r="I4704" s="163"/>
      <c r="J4704" s="165"/>
      <c r="K4704" s="165"/>
      <c r="L4704" s="165"/>
      <c r="M4704" s="166"/>
      <c r="N4704" s="167"/>
      <c r="O4704" s="163"/>
      <c r="P4704" s="163"/>
      <c r="Q4704" s="163"/>
      <c r="R4704" s="163"/>
      <c r="S4704" s="161"/>
      <c r="T4704" s="161"/>
      <c r="U4704" s="161"/>
      <c r="V4704" s="161"/>
      <c r="W4704" s="161"/>
      <c r="X4704" s="161"/>
      <c r="Y4704" s="161"/>
      <c r="Z4704" s="168"/>
      <c r="AA4704" s="168"/>
      <c r="AB4704" s="168"/>
      <c r="AC4704" s="168"/>
    </row>
    <row r="4705">
      <c r="A4705" s="161"/>
      <c r="B4705" s="161"/>
      <c r="C4705" s="162"/>
      <c r="D4705" s="163"/>
      <c r="E4705" s="164" t="str">
        <f>IFERROR(__xludf.DUMMYFUNCTION("""COMPUTED_VALUE"""),"")</f>
        <v/>
      </c>
      <c r="F4705" s="163"/>
      <c r="G4705" s="163"/>
      <c r="H4705" s="163"/>
      <c r="I4705" s="163"/>
      <c r="J4705" s="165"/>
      <c r="K4705" s="165"/>
      <c r="L4705" s="165"/>
      <c r="M4705" s="166"/>
      <c r="N4705" s="167"/>
      <c r="O4705" s="163"/>
      <c r="P4705" s="163"/>
      <c r="Q4705" s="163"/>
      <c r="R4705" s="163"/>
      <c r="S4705" s="161"/>
      <c r="T4705" s="161"/>
      <c r="U4705" s="161"/>
      <c r="V4705" s="161"/>
      <c r="W4705" s="161"/>
      <c r="X4705" s="161"/>
      <c r="Y4705" s="161"/>
      <c r="Z4705" s="168"/>
      <c r="AA4705" s="168"/>
      <c r="AB4705" s="168"/>
      <c r="AC4705" s="168"/>
    </row>
    <row r="4706">
      <c r="A4706" s="161"/>
      <c r="B4706" s="161"/>
      <c r="C4706" s="162"/>
      <c r="D4706" s="163"/>
      <c r="E4706" s="164" t="str">
        <f>IFERROR(__xludf.DUMMYFUNCTION("""COMPUTED_VALUE"""),"")</f>
        <v/>
      </c>
      <c r="F4706" s="163"/>
      <c r="G4706" s="163"/>
      <c r="H4706" s="163"/>
      <c r="I4706" s="163"/>
      <c r="J4706" s="165"/>
      <c r="K4706" s="165"/>
      <c r="L4706" s="165"/>
      <c r="M4706" s="166"/>
      <c r="N4706" s="167"/>
      <c r="O4706" s="163"/>
      <c r="P4706" s="163"/>
      <c r="Q4706" s="163"/>
      <c r="R4706" s="163"/>
      <c r="S4706" s="161"/>
      <c r="T4706" s="161"/>
      <c r="U4706" s="161"/>
      <c r="V4706" s="161"/>
      <c r="W4706" s="161"/>
      <c r="X4706" s="161"/>
      <c r="Y4706" s="161"/>
      <c r="Z4706" s="168"/>
      <c r="AA4706" s="168"/>
      <c r="AB4706" s="168"/>
      <c r="AC4706" s="168"/>
    </row>
    <row r="4707">
      <c r="A4707" s="161"/>
      <c r="B4707" s="161"/>
      <c r="C4707" s="162"/>
      <c r="D4707" s="163"/>
      <c r="E4707" s="164" t="str">
        <f>IFERROR(__xludf.DUMMYFUNCTION("""COMPUTED_VALUE"""),"")</f>
        <v/>
      </c>
      <c r="F4707" s="163"/>
      <c r="G4707" s="163"/>
      <c r="H4707" s="163"/>
      <c r="I4707" s="163"/>
      <c r="J4707" s="165"/>
      <c r="K4707" s="165"/>
      <c r="L4707" s="165"/>
      <c r="M4707" s="166"/>
      <c r="N4707" s="167"/>
      <c r="O4707" s="163"/>
      <c r="P4707" s="163"/>
      <c r="Q4707" s="163"/>
      <c r="R4707" s="163"/>
      <c r="S4707" s="161"/>
      <c r="T4707" s="161"/>
      <c r="U4707" s="161"/>
      <c r="V4707" s="161"/>
      <c r="W4707" s="161"/>
      <c r="X4707" s="161"/>
      <c r="Y4707" s="161"/>
      <c r="Z4707" s="168"/>
      <c r="AA4707" s="168"/>
      <c r="AB4707" s="168"/>
      <c r="AC4707" s="168"/>
    </row>
    <row r="4708">
      <c r="A4708" s="161"/>
      <c r="B4708" s="161"/>
      <c r="C4708" s="162"/>
      <c r="D4708" s="163"/>
      <c r="E4708" s="164" t="str">
        <f>IFERROR(__xludf.DUMMYFUNCTION("""COMPUTED_VALUE"""),"")</f>
        <v/>
      </c>
      <c r="F4708" s="163"/>
      <c r="G4708" s="163"/>
      <c r="H4708" s="163"/>
      <c r="I4708" s="163"/>
      <c r="J4708" s="165"/>
      <c r="K4708" s="165"/>
      <c r="L4708" s="165"/>
      <c r="M4708" s="166"/>
      <c r="N4708" s="167"/>
      <c r="O4708" s="163"/>
      <c r="P4708" s="163"/>
      <c r="Q4708" s="163"/>
      <c r="R4708" s="163"/>
      <c r="S4708" s="161"/>
      <c r="T4708" s="161"/>
      <c r="U4708" s="161"/>
      <c r="V4708" s="161"/>
      <c r="W4708" s="161"/>
      <c r="X4708" s="161"/>
      <c r="Y4708" s="161"/>
      <c r="Z4708" s="168"/>
      <c r="AA4708" s="168"/>
      <c r="AB4708" s="168"/>
      <c r="AC4708" s="168"/>
    </row>
    <row r="4709">
      <c r="A4709" s="161"/>
      <c r="B4709" s="161"/>
      <c r="C4709" s="162"/>
      <c r="D4709" s="163"/>
      <c r="E4709" s="164" t="str">
        <f>IFERROR(__xludf.DUMMYFUNCTION("""COMPUTED_VALUE"""),"")</f>
        <v/>
      </c>
      <c r="F4709" s="163"/>
      <c r="G4709" s="163"/>
      <c r="H4709" s="163"/>
      <c r="I4709" s="163"/>
      <c r="J4709" s="165"/>
      <c r="K4709" s="165"/>
      <c r="L4709" s="165"/>
      <c r="M4709" s="166"/>
      <c r="N4709" s="167"/>
      <c r="O4709" s="163"/>
      <c r="P4709" s="163"/>
      <c r="Q4709" s="163"/>
      <c r="R4709" s="163"/>
      <c r="S4709" s="161"/>
      <c r="T4709" s="161"/>
      <c r="U4709" s="161"/>
      <c r="V4709" s="161"/>
      <c r="W4709" s="161"/>
      <c r="X4709" s="161"/>
      <c r="Y4709" s="161"/>
      <c r="Z4709" s="168"/>
      <c r="AA4709" s="168"/>
      <c r="AB4709" s="168"/>
      <c r="AC4709" s="168"/>
    </row>
    <row r="4710">
      <c r="A4710" s="161"/>
      <c r="B4710" s="161"/>
      <c r="C4710" s="162"/>
      <c r="D4710" s="163"/>
      <c r="E4710" s="164" t="str">
        <f>IFERROR(__xludf.DUMMYFUNCTION("""COMPUTED_VALUE"""),"")</f>
        <v/>
      </c>
      <c r="F4710" s="163"/>
      <c r="G4710" s="163"/>
      <c r="H4710" s="163"/>
      <c r="I4710" s="163"/>
      <c r="J4710" s="165"/>
      <c r="K4710" s="165"/>
      <c r="L4710" s="165"/>
      <c r="M4710" s="166"/>
      <c r="N4710" s="167"/>
      <c r="O4710" s="163"/>
      <c r="P4710" s="163"/>
      <c r="Q4710" s="163"/>
      <c r="R4710" s="163"/>
      <c r="S4710" s="161"/>
      <c r="T4710" s="161"/>
      <c r="U4710" s="161"/>
      <c r="V4710" s="161"/>
      <c r="W4710" s="161"/>
      <c r="X4710" s="161"/>
      <c r="Y4710" s="161"/>
      <c r="Z4710" s="168"/>
      <c r="AA4710" s="168"/>
      <c r="AB4710" s="168"/>
      <c r="AC4710" s="168"/>
    </row>
    <row r="4711">
      <c r="A4711" s="161"/>
      <c r="B4711" s="161"/>
      <c r="C4711" s="162"/>
      <c r="D4711" s="163"/>
      <c r="E4711" s="164" t="str">
        <f>IFERROR(__xludf.DUMMYFUNCTION("""COMPUTED_VALUE"""),"")</f>
        <v/>
      </c>
      <c r="F4711" s="163"/>
      <c r="G4711" s="163"/>
      <c r="H4711" s="163"/>
      <c r="I4711" s="163"/>
      <c r="J4711" s="165"/>
      <c r="K4711" s="165"/>
      <c r="L4711" s="165"/>
      <c r="M4711" s="166"/>
      <c r="N4711" s="167"/>
      <c r="O4711" s="163"/>
      <c r="P4711" s="163"/>
      <c r="Q4711" s="163"/>
      <c r="R4711" s="163"/>
      <c r="S4711" s="161"/>
      <c r="T4711" s="161"/>
      <c r="U4711" s="161"/>
      <c r="V4711" s="161"/>
      <c r="W4711" s="161"/>
      <c r="X4711" s="161"/>
      <c r="Y4711" s="161"/>
      <c r="Z4711" s="168"/>
      <c r="AA4711" s="168"/>
      <c r="AB4711" s="168"/>
      <c r="AC4711" s="168"/>
    </row>
    <row r="4712">
      <c r="A4712" s="161"/>
      <c r="B4712" s="161"/>
      <c r="C4712" s="162"/>
      <c r="D4712" s="163"/>
      <c r="E4712" s="164" t="str">
        <f>IFERROR(__xludf.DUMMYFUNCTION("""COMPUTED_VALUE"""),"")</f>
        <v/>
      </c>
      <c r="F4712" s="163"/>
      <c r="G4712" s="163"/>
      <c r="H4712" s="163"/>
      <c r="I4712" s="163"/>
      <c r="J4712" s="165"/>
      <c r="K4712" s="165"/>
      <c r="L4712" s="165"/>
      <c r="M4712" s="166"/>
      <c r="N4712" s="167"/>
      <c r="O4712" s="163"/>
      <c r="P4712" s="163"/>
      <c r="Q4712" s="163"/>
      <c r="R4712" s="163"/>
      <c r="S4712" s="161"/>
      <c r="T4712" s="161"/>
      <c r="U4712" s="161"/>
      <c r="V4712" s="161"/>
      <c r="W4712" s="161"/>
      <c r="X4712" s="161"/>
      <c r="Y4712" s="161"/>
      <c r="Z4712" s="168"/>
      <c r="AA4712" s="168"/>
      <c r="AB4712" s="168"/>
      <c r="AC4712" s="168"/>
    </row>
    <row r="4713">
      <c r="A4713" s="161"/>
      <c r="B4713" s="161"/>
      <c r="C4713" s="162"/>
      <c r="D4713" s="163"/>
      <c r="E4713" s="164" t="str">
        <f>IFERROR(__xludf.DUMMYFUNCTION("""COMPUTED_VALUE"""),"")</f>
        <v/>
      </c>
      <c r="F4713" s="163"/>
      <c r="G4713" s="163"/>
      <c r="H4713" s="163"/>
      <c r="I4713" s="163"/>
      <c r="J4713" s="165"/>
      <c r="K4713" s="165"/>
      <c r="L4713" s="165"/>
      <c r="M4713" s="166"/>
      <c r="N4713" s="167"/>
      <c r="O4713" s="163"/>
      <c r="P4713" s="163"/>
      <c r="Q4713" s="163"/>
      <c r="R4713" s="163"/>
      <c r="S4713" s="161"/>
      <c r="T4713" s="161"/>
      <c r="U4713" s="161"/>
      <c r="V4713" s="161"/>
      <c r="W4713" s="161"/>
      <c r="X4713" s="161"/>
      <c r="Y4713" s="161"/>
      <c r="Z4713" s="168"/>
      <c r="AA4713" s="168"/>
      <c r="AB4713" s="168"/>
      <c r="AC4713" s="168"/>
    </row>
    <row r="4714">
      <c r="A4714" s="161"/>
      <c r="B4714" s="161"/>
      <c r="C4714" s="162"/>
      <c r="D4714" s="163"/>
      <c r="E4714" s="164" t="str">
        <f>IFERROR(__xludf.DUMMYFUNCTION("""COMPUTED_VALUE"""),"")</f>
        <v/>
      </c>
      <c r="F4714" s="163"/>
      <c r="G4714" s="163"/>
      <c r="H4714" s="163"/>
      <c r="I4714" s="163"/>
      <c r="J4714" s="165"/>
      <c r="K4714" s="165"/>
      <c r="L4714" s="165"/>
      <c r="M4714" s="166"/>
      <c r="N4714" s="167"/>
      <c r="O4714" s="163"/>
      <c r="P4714" s="163"/>
      <c r="Q4714" s="163"/>
      <c r="R4714" s="163"/>
      <c r="S4714" s="161"/>
      <c r="T4714" s="161"/>
      <c r="U4714" s="161"/>
      <c r="V4714" s="161"/>
      <c r="W4714" s="161"/>
      <c r="X4714" s="161"/>
      <c r="Y4714" s="161"/>
      <c r="Z4714" s="168"/>
      <c r="AA4714" s="168"/>
      <c r="AB4714" s="168"/>
      <c r="AC4714" s="168"/>
    </row>
    <row r="4715">
      <c r="A4715" s="161"/>
      <c r="B4715" s="161"/>
      <c r="C4715" s="162"/>
      <c r="D4715" s="163"/>
      <c r="E4715" s="164" t="str">
        <f>IFERROR(__xludf.DUMMYFUNCTION("""COMPUTED_VALUE"""),"")</f>
        <v/>
      </c>
      <c r="F4715" s="163"/>
      <c r="G4715" s="163"/>
      <c r="H4715" s="163"/>
      <c r="I4715" s="163"/>
      <c r="J4715" s="165"/>
      <c r="K4715" s="165"/>
      <c r="L4715" s="165"/>
      <c r="M4715" s="166"/>
      <c r="N4715" s="167"/>
      <c r="O4715" s="163"/>
      <c r="P4715" s="163"/>
      <c r="Q4715" s="163"/>
      <c r="R4715" s="163"/>
      <c r="S4715" s="161"/>
      <c r="T4715" s="161"/>
      <c r="U4715" s="161"/>
      <c r="V4715" s="161"/>
      <c r="W4715" s="161"/>
      <c r="X4715" s="161"/>
      <c r="Y4715" s="161"/>
      <c r="Z4715" s="168"/>
      <c r="AA4715" s="168"/>
      <c r="AB4715" s="168"/>
      <c r="AC4715" s="168"/>
    </row>
    <row r="4716">
      <c r="A4716" s="161"/>
      <c r="B4716" s="161"/>
      <c r="C4716" s="162"/>
      <c r="D4716" s="163"/>
      <c r="E4716" s="164" t="str">
        <f>IFERROR(__xludf.DUMMYFUNCTION("""COMPUTED_VALUE"""),"")</f>
        <v/>
      </c>
      <c r="F4716" s="163"/>
      <c r="G4716" s="163"/>
      <c r="H4716" s="163"/>
      <c r="I4716" s="163"/>
      <c r="J4716" s="165"/>
      <c r="K4716" s="165"/>
      <c r="L4716" s="165"/>
      <c r="M4716" s="166"/>
      <c r="N4716" s="167"/>
      <c r="O4716" s="163"/>
      <c r="P4716" s="163"/>
      <c r="Q4716" s="163"/>
      <c r="R4716" s="163"/>
      <c r="S4716" s="161"/>
      <c r="T4716" s="161"/>
      <c r="U4716" s="161"/>
      <c r="V4716" s="161"/>
      <c r="W4716" s="161"/>
      <c r="X4716" s="161"/>
      <c r="Y4716" s="161"/>
      <c r="Z4716" s="168"/>
      <c r="AA4716" s="168"/>
      <c r="AB4716" s="168"/>
      <c r="AC4716" s="168"/>
    </row>
    <row r="4717">
      <c r="A4717" s="161"/>
      <c r="B4717" s="161"/>
      <c r="C4717" s="162"/>
      <c r="D4717" s="163"/>
      <c r="E4717" s="164" t="str">
        <f>IFERROR(__xludf.DUMMYFUNCTION("""COMPUTED_VALUE"""),"")</f>
        <v/>
      </c>
      <c r="F4717" s="163"/>
      <c r="G4717" s="163"/>
      <c r="H4717" s="163"/>
      <c r="I4717" s="163"/>
      <c r="J4717" s="165"/>
      <c r="K4717" s="165"/>
      <c r="L4717" s="165"/>
      <c r="M4717" s="166"/>
      <c r="N4717" s="167"/>
      <c r="O4717" s="163"/>
      <c r="P4717" s="163"/>
      <c r="Q4717" s="163"/>
      <c r="R4717" s="163"/>
      <c r="S4717" s="161"/>
      <c r="T4717" s="161"/>
      <c r="U4717" s="161"/>
      <c r="V4717" s="161"/>
      <c r="W4717" s="161"/>
      <c r="X4717" s="161"/>
      <c r="Y4717" s="161"/>
      <c r="Z4717" s="168"/>
      <c r="AA4717" s="168"/>
      <c r="AB4717" s="168"/>
      <c r="AC4717" s="168"/>
    </row>
    <row r="4718">
      <c r="A4718" s="161"/>
      <c r="B4718" s="161"/>
      <c r="C4718" s="162"/>
      <c r="D4718" s="163"/>
      <c r="E4718" s="164" t="str">
        <f>IFERROR(__xludf.DUMMYFUNCTION("""COMPUTED_VALUE"""),"")</f>
        <v/>
      </c>
      <c r="F4718" s="163"/>
      <c r="G4718" s="163"/>
      <c r="H4718" s="163"/>
      <c r="I4718" s="163"/>
      <c r="J4718" s="165"/>
      <c r="K4718" s="165"/>
      <c r="L4718" s="165"/>
      <c r="M4718" s="166"/>
      <c r="N4718" s="167"/>
      <c r="O4718" s="163"/>
      <c r="P4718" s="163"/>
      <c r="Q4718" s="163"/>
      <c r="R4718" s="163"/>
      <c r="S4718" s="161"/>
      <c r="T4718" s="161"/>
      <c r="U4718" s="161"/>
      <c r="V4718" s="161"/>
      <c r="W4718" s="161"/>
      <c r="X4718" s="161"/>
      <c r="Y4718" s="161"/>
      <c r="Z4718" s="168"/>
      <c r="AA4718" s="168"/>
      <c r="AB4718" s="168"/>
      <c r="AC4718" s="168"/>
    </row>
    <row r="4719">
      <c r="A4719" s="161"/>
      <c r="B4719" s="161"/>
      <c r="C4719" s="162"/>
      <c r="D4719" s="163"/>
      <c r="E4719" s="164" t="str">
        <f>IFERROR(__xludf.DUMMYFUNCTION("""COMPUTED_VALUE"""),"")</f>
        <v/>
      </c>
      <c r="F4719" s="163"/>
      <c r="G4719" s="163"/>
      <c r="H4719" s="163"/>
      <c r="I4719" s="163"/>
      <c r="J4719" s="165"/>
      <c r="K4719" s="165"/>
      <c r="L4719" s="165"/>
      <c r="M4719" s="166"/>
      <c r="N4719" s="167"/>
      <c r="O4719" s="163"/>
      <c r="P4719" s="163"/>
      <c r="Q4719" s="163"/>
      <c r="R4719" s="163"/>
      <c r="S4719" s="161"/>
      <c r="T4719" s="161"/>
      <c r="U4719" s="161"/>
      <c r="V4719" s="161"/>
      <c r="W4719" s="161"/>
      <c r="X4719" s="161"/>
      <c r="Y4719" s="161"/>
      <c r="Z4719" s="168"/>
      <c r="AA4719" s="168"/>
      <c r="AB4719" s="168"/>
      <c r="AC4719" s="168"/>
    </row>
    <row r="4720">
      <c r="A4720" s="161"/>
      <c r="B4720" s="161"/>
      <c r="C4720" s="162"/>
      <c r="D4720" s="163"/>
      <c r="E4720" s="164" t="str">
        <f>IFERROR(__xludf.DUMMYFUNCTION("""COMPUTED_VALUE"""),"")</f>
        <v/>
      </c>
      <c r="F4720" s="163"/>
      <c r="G4720" s="163"/>
      <c r="H4720" s="163"/>
      <c r="I4720" s="163"/>
      <c r="J4720" s="165"/>
      <c r="K4720" s="165"/>
      <c r="L4720" s="165"/>
      <c r="M4720" s="166"/>
      <c r="N4720" s="167"/>
      <c r="O4720" s="163"/>
      <c r="P4720" s="163"/>
      <c r="Q4720" s="163"/>
      <c r="R4720" s="163"/>
      <c r="S4720" s="161"/>
      <c r="T4720" s="161"/>
      <c r="U4720" s="161"/>
      <c r="V4720" s="161"/>
      <c r="W4720" s="161"/>
      <c r="X4720" s="161"/>
      <c r="Y4720" s="161"/>
      <c r="Z4720" s="168"/>
      <c r="AA4720" s="168"/>
      <c r="AB4720" s="168"/>
      <c r="AC4720" s="168"/>
    </row>
    <row r="4721">
      <c r="A4721" s="161"/>
      <c r="B4721" s="161"/>
      <c r="C4721" s="162"/>
      <c r="D4721" s="163"/>
      <c r="E4721" s="164" t="str">
        <f>IFERROR(__xludf.DUMMYFUNCTION("""COMPUTED_VALUE"""),"")</f>
        <v/>
      </c>
      <c r="F4721" s="163"/>
      <c r="G4721" s="163"/>
      <c r="H4721" s="163"/>
      <c r="I4721" s="163"/>
      <c r="J4721" s="165"/>
      <c r="K4721" s="165"/>
      <c r="L4721" s="165"/>
      <c r="M4721" s="166"/>
      <c r="N4721" s="167"/>
      <c r="O4721" s="163"/>
      <c r="P4721" s="163"/>
      <c r="Q4721" s="163"/>
      <c r="R4721" s="163"/>
      <c r="S4721" s="161"/>
      <c r="T4721" s="161"/>
      <c r="U4721" s="161"/>
      <c r="V4721" s="161"/>
      <c r="W4721" s="161"/>
      <c r="X4721" s="161"/>
      <c r="Y4721" s="161"/>
      <c r="Z4721" s="168"/>
      <c r="AA4721" s="168"/>
      <c r="AB4721" s="168"/>
      <c r="AC4721" s="168"/>
    </row>
    <row r="4722">
      <c r="A4722" s="161"/>
      <c r="B4722" s="161"/>
      <c r="C4722" s="162"/>
      <c r="D4722" s="163"/>
      <c r="E4722" s="164" t="str">
        <f>IFERROR(__xludf.DUMMYFUNCTION("""COMPUTED_VALUE"""),"")</f>
        <v/>
      </c>
      <c r="F4722" s="163"/>
      <c r="G4722" s="163"/>
      <c r="H4722" s="163"/>
      <c r="I4722" s="163"/>
      <c r="J4722" s="165"/>
      <c r="K4722" s="165"/>
      <c r="L4722" s="165"/>
      <c r="M4722" s="166"/>
      <c r="N4722" s="167"/>
      <c r="O4722" s="163"/>
      <c r="P4722" s="163"/>
      <c r="Q4722" s="163"/>
      <c r="R4722" s="163"/>
      <c r="S4722" s="161"/>
      <c r="T4722" s="161"/>
      <c r="U4722" s="161"/>
      <c r="V4722" s="161"/>
      <c r="W4722" s="161"/>
      <c r="X4722" s="161"/>
      <c r="Y4722" s="161"/>
      <c r="Z4722" s="168"/>
      <c r="AA4722" s="168"/>
      <c r="AB4722" s="168"/>
      <c r="AC4722" s="168"/>
    </row>
    <row r="4723">
      <c r="A4723" s="161"/>
      <c r="B4723" s="161"/>
      <c r="C4723" s="162"/>
      <c r="D4723" s="163"/>
      <c r="E4723" s="164" t="str">
        <f>IFERROR(__xludf.DUMMYFUNCTION("""COMPUTED_VALUE"""),"")</f>
        <v/>
      </c>
      <c r="F4723" s="163"/>
      <c r="G4723" s="163"/>
      <c r="H4723" s="163"/>
      <c r="I4723" s="163"/>
      <c r="J4723" s="165"/>
      <c r="K4723" s="165"/>
      <c r="L4723" s="165"/>
      <c r="M4723" s="166"/>
      <c r="N4723" s="167"/>
      <c r="O4723" s="163"/>
      <c r="P4723" s="163"/>
      <c r="Q4723" s="163"/>
      <c r="R4723" s="163"/>
      <c r="S4723" s="161"/>
      <c r="T4723" s="161"/>
      <c r="U4723" s="161"/>
      <c r="V4723" s="161"/>
      <c r="W4723" s="161"/>
      <c r="X4723" s="161"/>
      <c r="Y4723" s="161"/>
      <c r="Z4723" s="168"/>
      <c r="AA4723" s="168"/>
      <c r="AB4723" s="168"/>
      <c r="AC4723" s="168"/>
    </row>
    <row r="4724">
      <c r="A4724" s="161"/>
      <c r="B4724" s="161"/>
      <c r="C4724" s="162"/>
      <c r="D4724" s="163"/>
      <c r="E4724" s="164" t="str">
        <f>IFERROR(__xludf.DUMMYFUNCTION("""COMPUTED_VALUE"""),"")</f>
        <v/>
      </c>
      <c r="F4724" s="163"/>
      <c r="G4724" s="163"/>
      <c r="H4724" s="163"/>
      <c r="I4724" s="163"/>
      <c r="J4724" s="165"/>
      <c r="K4724" s="165"/>
      <c r="L4724" s="165"/>
      <c r="M4724" s="166"/>
      <c r="N4724" s="167"/>
      <c r="O4724" s="163"/>
      <c r="P4724" s="163"/>
      <c r="Q4724" s="163"/>
      <c r="R4724" s="163"/>
      <c r="S4724" s="161"/>
      <c r="T4724" s="161"/>
      <c r="U4724" s="161"/>
      <c r="V4724" s="161"/>
      <c r="W4724" s="161"/>
      <c r="X4724" s="161"/>
      <c r="Y4724" s="161"/>
      <c r="Z4724" s="168"/>
      <c r="AA4724" s="168"/>
      <c r="AB4724" s="168"/>
      <c r="AC4724" s="168"/>
    </row>
    <row r="4725">
      <c r="A4725" s="161"/>
      <c r="B4725" s="161"/>
      <c r="C4725" s="162"/>
      <c r="D4725" s="163"/>
      <c r="E4725" s="164" t="str">
        <f>IFERROR(__xludf.DUMMYFUNCTION("""COMPUTED_VALUE"""),"")</f>
        <v/>
      </c>
      <c r="F4725" s="163"/>
      <c r="G4725" s="163"/>
      <c r="H4725" s="163"/>
      <c r="I4725" s="163"/>
      <c r="J4725" s="165"/>
      <c r="K4725" s="165"/>
      <c r="L4725" s="165"/>
      <c r="M4725" s="166"/>
      <c r="N4725" s="167"/>
      <c r="O4725" s="163"/>
      <c r="P4725" s="163"/>
      <c r="Q4725" s="163"/>
      <c r="R4725" s="163"/>
      <c r="S4725" s="161"/>
      <c r="T4725" s="161"/>
      <c r="U4725" s="161"/>
      <c r="V4725" s="161"/>
      <c r="W4725" s="161"/>
      <c r="X4725" s="161"/>
      <c r="Y4725" s="161"/>
      <c r="Z4725" s="168"/>
      <c r="AA4725" s="168"/>
      <c r="AB4725" s="168"/>
      <c r="AC4725" s="168"/>
    </row>
    <row r="4726">
      <c r="A4726" s="161"/>
      <c r="B4726" s="161"/>
      <c r="C4726" s="162"/>
      <c r="D4726" s="163"/>
      <c r="E4726" s="164" t="str">
        <f>IFERROR(__xludf.DUMMYFUNCTION("""COMPUTED_VALUE"""),"")</f>
        <v/>
      </c>
      <c r="F4726" s="163"/>
      <c r="G4726" s="163"/>
      <c r="H4726" s="163"/>
      <c r="I4726" s="163"/>
      <c r="J4726" s="165"/>
      <c r="K4726" s="165"/>
      <c r="L4726" s="165"/>
      <c r="M4726" s="166"/>
      <c r="N4726" s="167"/>
      <c r="O4726" s="163"/>
      <c r="P4726" s="163"/>
      <c r="Q4726" s="163"/>
      <c r="R4726" s="163"/>
      <c r="S4726" s="161"/>
      <c r="T4726" s="161"/>
      <c r="U4726" s="161"/>
      <c r="V4726" s="161"/>
      <c r="W4726" s="161"/>
      <c r="X4726" s="161"/>
      <c r="Y4726" s="161"/>
      <c r="Z4726" s="168"/>
      <c r="AA4726" s="168"/>
      <c r="AB4726" s="168"/>
      <c r="AC4726" s="168"/>
    </row>
    <row r="4727">
      <c r="A4727" s="161"/>
      <c r="B4727" s="161"/>
      <c r="C4727" s="162"/>
      <c r="D4727" s="163"/>
      <c r="E4727" s="164" t="str">
        <f>IFERROR(__xludf.DUMMYFUNCTION("""COMPUTED_VALUE"""),"")</f>
        <v/>
      </c>
      <c r="F4727" s="163"/>
      <c r="G4727" s="163"/>
      <c r="H4727" s="163"/>
      <c r="I4727" s="163"/>
      <c r="J4727" s="165"/>
      <c r="K4727" s="165"/>
      <c r="L4727" s="165"/>
      <c r="M4727" s="166"/>
      <c r="N4727" s="167"/>
      <c r="O4727" s="163"/>
      <c r="P4727" s="163"/>
      <c r="Q4727" s="163"/>
      <c r="R4727" s="163"/>
      <c r="S4727" s="161"/>
      <c r="T4727" s="161"/>
      <c r="U4727" s="161"/>
      <c r="V4727" s="161"/>
      <c r="W4727" s="161"/>
      <c r="X4727" s="161"/>
      <c r="Y4727" s="161"/>
      <c r="Z4727" s="168"/>
      <c r="AA4727" s="168"/>
      <c r="AB4727" s="168"/>
      <c r="AC4727" s="168"/>
    </row>
    <row r="4728">
      <c r="A4728" s="161"/>
      <c r="B4728" s="161"/>
      <c r="C4728" s="162"/>
      <c r="D4728" s="163"/>
      <c r="E4728" s="164" t="str">
        <f>IFERROR(__xludf.DUMMYFUNCTION("""COMPUTED_VALUE"""),"")</f>
        <v/>
      </c>
      <c r="F4728" s="163"/>
      <c r="G4728" s="163"/>
      <c r="H4728" s="163"/>
      <c r="I4728" s="163"/>
      <c r="J4728" s="165"/>
      <c r="K4728" s="165"/>
      <c r="L4728" s="165"/>
      <c r="M4728" s="166"/>
      <c r="N4728" s="167"/>
      <c r="O4728" s="163"/>
      <c r="P4728" s="163"/>
      <c r="Q4728" s="163"/>
      <c r="R4728" s="163"/>
      <c r="S4728" s="161"/>
      <c r="T4728" s="161"/>
      <c r="U4728" s="161"/>
      <c r="V4728" s="161"/>
      <c r="W4728" s="161"/>
      <c r="X4728" s="161"/>
      <c r="Y4728" s="161"/>
      <c r="Z4728" s="168"/>
      <c r="AA4728" s="168"/>
      <c r="AB4728" s="168"/>
      <c r="AC4728" s="168"/>
    </row>
    <row r="4729">
      <c r="A4729" s="161"/>
      <c r="B4729" s="161"/>
      <c r="C4729" s="162"/>
      <c r="D4729" s="163"/>
      <c r="E4729" s="164" t="str">
        <f>IFERROR(__xludf.DUMMYFUNCTION("""COMPUTED_VALUE"""),"")</f>
        <v/>
      </c>
      <c r="F4729" s="163"/>
      <c r="G4729" s="163"/>
      <c r="H4729" s="163"/>
      <c r="I4729" s="163"/>
      <c r="J4729" s="165"/>
      <c r="K4729" s="165"/>
      <c r="L4729" s="165"/>
      <c r="M4729" s="166"/>
      <c r="N4729" s="167"/>
      <c r="O4729" s="163"/>
      <c r="P4729" s="163"/>
      <c r="Q4729" s="163"/>
      <c r="R4729" s="163"/>
      <c r="S4729" s="161"/>
      <c r="T4729" s="161"/>
      <c r="U4729" s="161"/>
      <c r="V4729" s="161"/>
      <c r="W4729" s="161"/>
      <c r="X4729" s="161"/>
      <c r="Y4729" s="161"/>
      <c r="Z4729" s="168"/>
      <c r="AA4729" s="168"/>
      <c r="AB4729" s="168"/>
      <c r="AC4729" s="168"/>
    </row>
    <row r="4730">
      <c r="A4730" s="161"/>
      <c r="B4730" s="161"/>
      <c r="C4730" s="162"/>
      <c r="D4730" s="163"/>
      <c r="E4730" s="164" t="str">
        <f>IFERROR(__xludf.DUMMYFUNCTION("""COMPUTED_VALUE"""),"")</f>
        <v/>
      </c>
      <c r="F4730" s="163"/>
      <c r="G4730" s="163"/>
      <c r="H4730" s="163"/>
      <c r="I4730" s="163"/>
      <c r="J4730" s="165"/>
      <c r="K4730" s="165"/>
      <c r="L4730" s="165"/>
      <c r="M4730" s="166"/>
      <c r="N4730" s="167"/>
      <c r="O4730" s="163"/>
      <c r="P4730" s="163"/>
      <c r="Q4730" s="163"/>
      <c r="R4730" s="163"/>
      <c r="S4730" s="161"/>
      <c r="T4730" s="161"/>
      <c r="U4730" s="161"/>
      <c r="V4730" s="161"/>
      <c r="W4730" s="161"/>
      <c r="X4730" s="161"/>
      <c r="Y4730" s="161"/>
      <c r="Z4730" s="168"/>
      <c r="AA4730" s="168"/>
      <c r="AB4730" s="168"/>
      <c r="AC4730" s="168"/>
    </row>
    <row r="4731">
      <c r="A4731" s="161"/>
      <c r="B4731" s="161"/>
      <c r="C4731" s="162"/>
      <c r="D4731" s="163"/>
      <c r="E4731" s="164" t="str">
        <f>IFERROR(__xludf.DUMMYFUNCTION("""COMPUTED_VALUE"""),"")</f>
        <v/>
      </c>
      <c r="F4731" s="163"/>
      <c r="G4731" s="163"/>
      <c r="H4731" s="163"/>
      <c r="I4731" s="163"/>
      <c r="J4731" s="165"/>
      <c r="K4731" s="165"/>
      <c r="L4731" s="165"/>
      <c r="M4731" s="166"/>
      <c r="N4731" s="167"/>
      <c r="O4731" s="163"/>
      <c r="P4731" s="163"/>
      <c r="Q4731" s="163"/>
      <c r="R4731" s="163"/>
      <c r="S4731" s="161"/>
      <c r="T4731" s="161"/>
      <c r="U4731" s="161"/>
      <c r="V4731" s="161"/>
      <c r="W4731" s="161"/>
      <c r="X4731" s="161"/>
      <c r="Y4731" s="161"/>
      <c r="Z4731" s="168"/>
      <c r="AA4731" s="168"/>
      <c r="AB4731" s="168"/>
      <c r="AC4731" s="168"/>
    </row>
    <row r="4732">
      <c r="A4732" s="161"/>
      <c r="B4732" s="161"/>
      <c r="C4732" s="162"/>
      <c r="D4732" s="163"/>
      <c r="E4732" s="164" t="str">
        <f>IFERROR(__xludf.DUMMYFUNCTION("""COMPUTED_VALUE"""),"")</f>
        <v/>
      </c>
      <c r="F4732" s="163"/>
      <c r="G4732" s="163"/>
      <c r="H4732" s="163"/>
      <c r="I4732" s="163"/>
      <c r="J4732" s="165"/>
      <c r="K4732" s="165"/>
      <c r="L4732" s="165"/>
      <c r="M4732" s="166"/>
      <c r="N4732" s="167"/>
      <c r="O4732" s="163"/>
      <c r="P4732" s="163"/>
      <c r="Q4732" s="163"/>
      <c r="R4732" s="163"/>
      <c r="S4732" s="161"/>
      <c r="T4732" s="161"/>
      <c r="U4732" s="161"/>
      <c r="V4732" s="161"/>
      <c r="W4732" s="161"/>
      <c r="X4732" s="161"/>
      <c r="Y4732" s="161"/>
      <c r="Z4732" s="168"/>
      <c r="AA4732" s="168"/>
      <c r="AB4732" s="168"/>
      <c r="AC4732" s="168"/>
    </row>
    <row r="4733">
      <c r="A4733" s="161"/>
      <c r="B4733" s="161"/>
      <c r="C4733" s="162"/>
      <c r="D4733" s="163"/>
      <c r="E4733" s="164" t="str">
        <f>IFERROR(__xludf.DUMMYFUNCTION("""COMPUTED_VALUE"""),"")</f>
        <v/>
      </c>
      <c r="F4733" s="163"/>
      <c r="G4733" s="163"/>
      <c r="H4733" s="163"/>
      <c r="I4733" s="163"/>
      <c r="J4733" s="165"/>
      <c r="K4733" s="165"/>
      <c r="L4733" s="165"/>
      <c r="M4733" s="166"/>
      <c r="N4733" s="167"/>
      <c r="O4733" s="163"/>
      <c r="P4733" s="163"/>
      <c r="Q4733" s="163"/>
      <c r="R4733" s="163"/>
      <c r="S4733" s="161"/>
      <c r="T4733" s="161"/>
      <c r="U4733" s="161"/>
      <c r="V4733" s="161"/>
      <c r="W4733" s="161"/>
      <c r="X4733" s="161"/>
      <c r="Y4733" s="161"/>
      <c r="Z4733" s="168"/>
      <c r="AA4733" s="168"/>
      <c r="AB4733" s="168"/>
      <c r="AC4733" s="168"/>
    </row>
    <row r="4734">
      <c r="A4734" s="161"/>
      <c r="B4734" s="161"/>
      <c r="C4734" s="162"/>
      <c r="D4734" s="163"/>
      <c r="E4734" s="164" t="str">
        <f>IFERROR(__xludf.DUMMYFUNCTION("""COMPUTED_VALUE"""),"")</f>
        <v/>
      </c>
      <c r="F4734" s="163"/>
      <c r="G4734" s="163"/>
      <c r="H4734" s="163"/>
      <c r="I4734" s="163"/>
      <c r="J4734" s="165"/>
      <c r="K4734" s="165"/>
      <c r="L4734" s="165"/>
      <c r="M4734" s="166"/>
      <c r="N4734" s="167"/>
      <c r="O4734" s="163"/>
      <c r="P4734" s="163"/>
      <c r="Q4734" s="163"/>
      <c r="R4734" s="163"/>
      <c r="S4734" s="161"/>
      <c r="T4734" s="161"/>
      <c r="U4734" s="161"/>
      <c r="V4734" s="161"/>
      <c r="W4734" s="161"/>
      <c r="X4734" s="161"/>
      <c r="Y4734" s="161"/>
      <c r="Z4734" s="168"/>
      <c r="AA4734" s="168"/>
      <c r="AB4734" s="168"/>
      <c r="AC4734" s="168"/>
    </row>
    <row r="4735">
      <c r="A4735" s="161"/>
      <c r="B4735" s="161"/>
      <c r="C4735" s="162"/>
      <c r="D4735" s="163"/>
      <c r="E4735" s="164" t="str">
        <f>IFERROR(__xludf.DUMMYFUNCTION("""COMPUTED_VALUE"""),"")</f>
        <v/>
      </c>
      <c r="F4735" s="163"/>
      <c r="G4735" s="163"/>
      <c r="H4735" s="163"/>
      <c r="I4735" s="163"/>
      <c r="J4735" s="165"/>
      <c r="K4735" s="165"/>
      <c r="L4735" s="165"/>
      <c r="M4735" s="166"/>
      <c r="N4735" s="167"/>
      <c r="O4735" s="163"/>
      <c r="P4735" s="163"/>
      <c r="Q4735" s="163"/>
      <c r="R4735" s="163"/>
      <c r="S4735" s="161"/>
      <c r="T4735" s="161"/>
      <c r="U4735" s="161"/>
      <c r="V4735" s="161"/>
      <c r="W4735" s="161"/>
      <c r="X4735" s="161"/>
      <c r="Y4735" s="161"/>
      <c r="Z4735" s="168"/>
      <c r="AA4735" s="168"/>
      <c r="AB4735" s="168"/>
      <c r="AC4735" s="168"/>
    </row>
    <row r="4736">
      <c r="A4736" s="161"/>
      <c r="B4736" s="161"/>
      <c r="C4736" s="162"/>
      <c r="D4736" s="163"/>
      <c r="E4736" s="164" t="str">
        <f>IFERROR(__xludf.DUMMYFUNCTION("""COMPUTED_VALUE"""),"")</f>
        <v/>
      </c>
      <c r="F4736" s="163"/>
      <c r="G4736" s="163"/>
      <c r="H4736" s="163"/>
      <c r="I4736" s="163"/>
      <c r="J4736" s="165"/>
      <c r="K4736" s="165"/>
      <c r="L4736" s="165"/>
      <c r="M4736" s="166"/>
      <c r="N4736" s="167"/>
      <c r="O4736" s="163"/>
      <c r="P4736" s="163"/>
      <c r="Q4736" s="163"/>
      <c r="R4736" s="163"/>
      <c r="S4736" s="161"/>
      <c r="T4736" s="161"/>
      <c r="U4736" s="161"/>
      <c r="V4736" s="161"/>
      <c r="W4736" s="161"/>
      <c r="X4736" s="161"/>
      <c r="Y4736" s="161"/>
      <c r="Z4736" s="168"/>
      <c r="AA4736" s="168"/>
      <c r="AB4736" s="168"/>
      <c r="AC4736" s="168"/>
    </row>
    <row r="4737">
      <c r="A4737" s="161"/>
      <c r="B4737" s="161"/>
      <c r="C4737" s="162"/>
      <c r="D4737" s="163"/>
      <c r="E4737" s="164" t="str">
        <f>IFERROR(__xludf.DUMMYFUNCTION("""COMPUTED_VALUE"""),"")</f>
        <v/>
      </c>
      <c r="F4737" s="163"/>
      <c r="G4737" s="163"/>
      <c r="H4737" s="163"/>
      <c r="I4737" s="163"/>
      <c r="J4737" s="165"/>
      <c r="K4737" s="165"/>
      <c r="L4737" s="165"/>
      <c r="M4737" s="166"/>
      <c r="N4737" s="167"/>
      <c r="O4737" s="163"/>
      <c r="P4737" s="163"/>
      <c r="Q4737" s="163"/>
      <c r="R4737" s="163"/>
      <c r="S4737" s="161"/>
      <c r="T4737" s="161"/>
      <c r="U4737" s="161"/>
      <c r="V4737" s="161"/>
      <c r="W4737" s="161"/>
      <c r="X4737" s="161"/>
      <c r="Y4737" s="161"/>
      <c r="Z4737" s="168"/>
      <c r="AA4737" s="168"/>
      <c r="AB4737" s="168"/>
      <c r="AC4737" s="168"/>
    </row>
    <row r="4738">
      <c r="A4738" s="161"/>
      <c r="B4738" s="161"/>
      <c r="C4738" s="162"/>
      <c r="D4738" s="163"/>
      <c r="E4738" s="164" t="str">
        <f>IFERROR(__xludf.DUMMYFUNCTION("""COMPUTED_VALUE"""),"")</f>
        <v/>
      </c>
      <c r="F4738" s="163"/>
      <c r="G4738" s="163"/>
      <c r="H4738" s="163"/>
      <c r="I4738" s="163"/>
      <c r="J4738" s="165"/>
      <c r="K4738" s="165"/>
      <c r="L4738" s="165"/>
      <c r="M4738" s="166"/>
      <c r="N4738" s="167"/>
      <c r="O4738" s="163"/>
      <c r="P4738" s="163"/>
      <c r="Q4738" s="163"/>
      <c r="R4738" s="163"/>
      <c r="S4738" s="161"/>
      <c r="T4738" s="161"/>
      <c r="U4738" s="161"/>
      <c r="V4738" s="161"/>
      <c r="W4738" s="161"/>
      <c r="X4738" s="161"/>
      <c r="Y4738" s="161"/>
      <c r="Z4738" s="168"/>
      <c r="AA4738" s="168"/>
      <c r="AB4738" s="168"/>
      <c r="AC4738" s="168"/>
    </row>
    <row r="4739">
      <c r="A4739" s="161"/>
      <c r="B4739" s="161"/>
      <c r="C4739" s="162"/>
      <c r="D4739" s="163"/>
      <c r="E4739" s="164" t="str">
        <f>IFERROR(__xludf.DUMMYFUNCTION("""COMPUTED_VALUE"""),"")</f>
        <v/>
      </c>
      <c r="F4739" s="163"/>
      <c r="G4739" s="163"/>
      <c r="H4739" s="163"/>
      <c r="I4739" s="163"/>
      <c r="J4739" s="165"/>
      <c r="K4739" s="165"/>
      <c r="L4739" s="165"/>
      <c r="M4739" s="166"/>
      <c r="N4739" s="167"/>
      <c r="O4739" s="163"/>
      <c r="P4739" s="163"/>
      <c r="Q4739" s="163"/>
      <c r="R4739" s="163"/>
      <c r="S4739" s="161"/>
      <c r="T4739" s="161"/>
      <c r="U4739" s="161"/>
      <c r="V4739" s="161"/>
      <c r="W4739" s="161"/>
      <c r="X4739" s="161"/>
      <c r="Y4739" s="161"/>
      <c r="Z4739" s="168"/>
      <c r="AA4739" s="168"/>
      <c r="AB4739" s="168"/>
      <c r="AC4739" s="168"/>
    </row>
    <row r="4740">
      <c r="A4740" s="161"/>
      <c r="B4740" s="161"/>
      <c r="C4740" s="162"/>
      <c r="D4740" s="163"/>
      <c r="E4740" s="164" t="str">
        <f>IFERROR(__xludf.DUMMYFUNCTION("""COMPUTED_VALUE"""),"")</f>
        <v/>
      </c>
      <c r="F4740" s="163"/>
      <c r="G4740" s="163"/>
      <c r="H4740" s="163"/>
      <c r="I4740" s="163"/>
      <c r="J4740" s="165"/>
      <c r="K4740" s="165"/>
      <c r="L4740" s="165"/>
      <c r="M4740" s="166"/>
      <c r="N4740" s="167"/>
      <c r="O4740" s="163"/>
      <c r="P4740" s="163"/>
      <c r="Q4740" s="163"/>
      <c r="R4740" s="163"/>
      <c r="S4740" s="161"/>
      <c r="T4740" s="161"/>
      <c r="U4740" s="161"/>
      <c r="V4740" s="161"/>
      <c r="W4740" s="161"/>
      <c r="X4740" s="161"/>
      <c r="Y4740" s="161"/>
      <c r="Z4740" s="168"/>
      <c r="AA4740" s="168"/>
      <c r="AB4740" s="168"/>
      <c r="AC4740" s="168"/>
    </row>
    <row r="4741">
      <c r="A4741" s="161"/>
      <c r="B4741" s="161"/>
      <c r="C4741" s="162"/>
      <c r="D4741" s="163"/>
      <c r="E4741" s="164" t="str">
        <f>IFERROR(__xludf.DUMMYFUNCTION("""COMPUTED_VALUE"""),"")</f>
        <v/>
      </c>
      <c r="F4741" s="163"/>
      <c r="G4741" s="163"/>
      <c r="H4741" s="163"/>
      <c r="I4741" s="163"/>
      <c r="J4741" s="165"/>
      <c r="K4741" s="165"/>
      <c r="L4741" s="165"/>
      <c r="M4741" s="166"/>
      <c r="N4741" s="167"/>
      <c r="O4741" s="163"/>
      <c r="P4741" s="163"/>
      <c r="Q4741" s="163"/>
      <c r="R4741" s="163"/>
      <c r="S4741" s="161"/>
      <c r="T4741" s="161"/>
      <c r="U4741" s="161"/>
      <c r="V4741" s="161"/>
      <c r="W4741" s="161"/>
      <c r="X4741" s="161"/>
      <c r="Y4741" s="161"/>
      <c r="Z4741" s="168"/>
      <c r="AA4741" s="168"/>
      <c r="AB4741" s="168"/>
      <c r="AC4741" s="168"/>
    </row>
    <row r="4742">
      <c r="A4742" s="161"/>
      <c r="B4742" s="161"/>
      <c r="C4742" s="162"/>
      <c r="D4742" s="163"/>
      <c r="E4742" s="164" t="str">
        <f>IFERROR(__xludf.DUMMYFUNCTION("""COMPUTED_VALUE"""),"")</f>
        <v/>
      </c>
      <c r="F4742" s="163"/>
      <c r="G4742" s="163"/>
      <c r="H4742" s="163"/>
      <c r="I4742" s="163"/>
      <c r="J4742" s="165"/>
      <c r="K4742" s="165"/>
      <c r="L4742" s="165"/>
      <c r="M4742" s="166"/>
      <c r="N4742" s="167"/>
      <c r="O4742" s="163"/>
      <c r="P4742" s="163"/>
      <c r="Q4742" s="163"/>
      <c r="R4742" s="163"/>
      <c r="S4742" s="161"/>
      <c r="T4742" s="161"/>
      <c r="U4742" s="161"/>
      <c r="V4742" s="161"/>
      <c r="W4742" s="161"/>
      <c r="X4742" s="161"/>
      <c r="Y4742" s="161"/>
      <c r="Z4742" s="168"/>
      <c r="AA4742" s="168"/>
      <c r="AB4742" s="168"/>
      <c r="AC4742" s="168"/>
    </row>
    <row r="4743">
      <c r="A4743" s="161"/>
      <c r="B4743" s="161"/>
      <c r="C4743" s="162"/>
      <c r="D4743" s="163"/>
      <c r="E4743" s="164" t="str">
        <f>IFERROR(__xludf.DUMMYFUNCTION("""COMPUTED_VALUE"""),"")</f>
        <v/>
      </c>
      <c r="F4743" s="163"/>
      <c r="G4743" s="163"/>
      <c r="H4743" s="163"/>
      <c r="I4743" s="163"/>
      <c r="J4743" s="165"/>
      <c r="K4743" s="165"/>
      <c r="L4743" s="165"/>
      <c r="M4743" s="166"/>
      <c r="N4743" s="167"/>
      <c r="O4743" s="163"/>
      <c r="P4743" s="163"/>
      <c r="Q4743" s="163"/>
      <c r="R4743" s="163"/>
      <c r="S4743" s="161"/>
      <c r="T4743" s="161"/>
      <c r="U4743" s="161"/>
      <c r="V4743" s="161"/>
      <c r="W4743" s="161"/>
      <c r="X4743" s="161"/>
      <c r="Y4743" s="161"/>
      <c r="Z4743" s="168"/>
      <c r="AA4743" s="168"/>
      <c r="AB4743" s="168"/>
      <c r="AC4743" s="168"/>
    </row>
    <row r="4744">
      <c r="A4744" s="161"/>
      <c r="B4744" s="161"/>
      <c r="C4744" s="162"/>
      <c r="D4744" s="163"/>
      <c r="E4744" s="164" t="str">
        <f>IFERROR(__xludf.DUMMYFUNCTION("""COMPUTED_VALUE"""),"")</f>
        <v/>
      </c>
      <c r="F4744" s="163"/>
      <c r="G4744" s="163"/>
      <c r="H4744" s="163"/>
      <c r="I4744" s="163"/>
      <c r="J4744" s="165"/>
      <c r="K4744" s="165"/>
      <c r="L4744" s="165"/>
      <c r="M4744" s="166"/>
      <c r="N4744" s="167"/>
      <c r="O4744" s="163"/>
      <c r="P4744" s="163"/>
      <c r="Q4744" s="163"/>
      <c r="R4744" s="163"/>
      <c r="S4744" s="161"/>
      <c r="T4744" s="161"/>
      <c r="U4744" s="161"/>
      <c r="V4744" s="161"/>
      <c r="W4744" s="161"/>
      <c r="X4744" s="161"/>
      <c r="Y4744" s="161"/>
      <c r="Z4744" s="168"/>
      <c r="AA4744" s="168"/>
      <c r="AB4744" s="168"/>
      <c r="AC4744" s="168"/>
    </row>
    <row r="4745">
      <c r="A4745" s="161"/>
      <c r="B4745" s="161"/>
      <c r="C4745" s="162"/>
      <c r="D4745" s="163"/>
      <c r="E4745" s="164" t="str">
        <f>IFERROR(__xludf.DUMMYFUNCTION("""COMPUTED_VALUE"""),"")</f>
        <v/>
      </c>
      <c r="F4745" s="163"/>
      <c r="G4745" s="163"/>
      <c r="H4745" s="163"/>
      <c r="I4745" s="163"/>
      <c r="J4745" s="165"/>
      <c r="K4745" s="165"/>
      <c r="L4745" s="165"/>
      <c r="M4745" s="166"/>
      <c r="N4745" s="167"/>
      <c r="O4745" s="163"/>
      <c r="P4745" s="163"/>
      <c r="Q4745" s="163"/>
      <c r="R4745" s="163"/>
      <c r="S4745" s="161"/>
      <c r="T4745" s="161"/>
      <c r="U4745" s="161"/>
      <c r="V4745" s="161"/>
      <c r="W4745" s="161"/>
      <c r="X4745" s="161"/>
      <c r="Y4745" s="161"/>
      <c r="Z4745" s="168"/>
      <c r="AA4745" s="168"/>
      <c r="AB4745" s="168"/>
      <c r="AC4745" s="168"/>
    </row>
    <row r="4746">
      <c r="A4746" s="161"/>
      <c r="B4746" s="161"/>
      <c r="C4746" s="162"/>
      <c r="D4746" s="163"/>
      <c r="E4746" s="164" t="str">
        <f>IFERROR(__xludf.DUMMYFUNCTION("""COMPUTED_VALUE"""),"")</f>
        <v/>
      </c>
      <c r="F4746" s="163"/>
      <c r="G4746" s="163"/>
      <c r="H4746" s="163"/>
      <c r="I4746" s="163"/>
      <c r="J4746" s="165"/>
      <c r="K4746" s="165"/>
      <c r="L4746" s="165"/>
      <c r="M4746" s="166"/>
      <c r="N4746" s="167"/>
      <c r="O4746" s="163"/>
      <c r="P4746" s="163"/>
      <c r="Q4746" s="163"/>
      <c r="R4746" s="163"/>
      <c r="S4746" s="161"/>
      <c r="T4746" s="161"/>
      <c r="U4746" s="161"/>
      <c r="V4746" s="161"/>
      <c r="W4746" s="161"/>
      <c r="X4746" s="161"/>
      <c r="Y4746" s="161"/>
      <c r="Z4746" s="168"/>
      <c r="AA4746" s="168"/>
      <c r="AB4746" s="168"/>
      <c r="AC4746" s="168"/>
    </row>
    <row r="4747">
      <c r="A4747" s="161"/>
      <c r="B4747" s="161"/>
      <c r="C4747" s="162"/>
      <c r="D4747" s="163"/>
      <c r="E4747" s="164" t="str">
        <f>IFERROR(__xludf.DUMMYFUNCTION("""COMPUTED_VALUE"""),"")</f>
        <v/>
      </c>
      <c r="F4747" s="163"/>
      <c r="G4747" s="163"/>
      <c r="H4747" s="163"/>
      <c r="I4747" s="163"/>
      <c r="J4747" s="165"/>
      <c r="K4747" s="165"/>
      <c r="L4747" s="165"/>
      <c r="M4747" s="166"/>
      <c r="N4747" s="167"/>
      <c r="O4747" s="163"/>
      <c r="P4747" s="163"/>
      <c r="Q4747" s="163"/>
      <c r="R4747" s="163"/>
      <c r="S4747" s="161"/>
      <c r="T4747" s="161"/>
      <c r="U4747" s="161"/>
      <c r="V4747" s="161"/>
      <c r="W4747" s="161"/>
      <c r="X4747" s="161"/>
      <c r="Y4747" s="161"/>
      <c r="Z4747" s="168"/>
      <c r="AA4747" s="168"/>
      <c r="AB4747" s="168"/>
      <c r="AC4747" s="168"/>
    </row>
    <row r="4748">
      <c r="A4748" s="161"/>
      <c r="B4748" s="161"/>
      <c r="C4748" s="162"/>
      <c r="D4748" s="163"/>
      <c r="E4748" s="164" t="str">
        <f>IFERROR(__xludf.DUMMYFUNCTION("""COMPUTED_VALUE"""),"")</f>
        <v/>
      </c>
      <c r="F4748" s="163"/>
      <c r="G4748" s="163"/>
      <c r="H4748" s="163"/>
      <c r="I4748" s="163"/>
      <c r="J4748" s="165"/>
      <c r="K4748" s="165"/>
      <c r="L4748" s="165"/>
      <c r="M4748" s="166"/>
      <c r="N4748" s="167"/>
      <c r="O4748" s="163"/>
      <c r="P4748" s="163"/>
      <c r="Q4748" s="163"/>
      <c r="R4748" s="163"/>
      <c r="S4748" s="161"/>
      <c r="T4748" s="161"/>
      <c r="U4748" s="161"/>
      <c r="V4748" s="161"/>
      <c r="W4748" s="161"/>
      <c r="X4748" s="161"/>
      <c r="Y4748" s="161"/>
      <c r="Z4748" s="168"/>
      <c r="AA4748" s="168"/>
      <c r="AB4748" s="168"/>
      <c r="AC4748" s="168"/>
    </row>
    <row r="4749">
      <c r="A4749" s="161"/>
      <c r="B4749" s="161"/>
      <c r="C4749" s="162"/>
      <c r="D4749" s="163"/>
      <c r="E4749" s="164" t="str">
        <f>IFERROR(__xludf.DUMMYFUNCTION("""COMPUTED_VALUE"""),"")</f>
        <v/>
      </c>
      <c r="F4749" s="163"/>
      <c r="G4749" s="163"/>
      <c r="H4749" s="163"/>
      <c r="I4749" s="163"/>
      <c r="J4749" s="165"/>
      <c r="K4749" s="165"/>
      <c r="L4749" s="165"/>
      <c r="M4749" s="166"/>
      <c r="N4749" s="167"/>
      <c r="O4749" s="163"/>
      <c r="P4749" s="163"/>
      <c r="Q4749" s="163"/>
      <c r="R4749" s="163"/>
      <c r="S4749" s="161"/>
      <c r="T4749" s="161"/>
      <c r="U4749" s="161"/>
      <c r="V4749" s="161"/>
      <c r="W4749" s="161"/>
      <c r="X4749" s="161"/>
      <c r="Y4749" s="161"/>
      <c r="Z4749" s="168"/>
      <c r="AA4749" s="168"/>
      <c r="AB4749" s="168"/>
      <c r="AC4749" s="168"/>
    </row>
    <row r="4750">
      <c r="A4750" s="161"/>
      <c r="B4750" s="161"/>
      <c r="C4750" s="162"/>
      <c r="D4750" s="163"/>
      <c r="E4750" s="164" t="str">
        <f>IFERROR(__xludf.DUMMYFUNCTION("""COMPUTED_VALUE"""),"")</f>
        <v/>
      </c>
      <c r="F4750" s="163"/>
      <c r="G4750" s="163"/>
      <c r="H4750" s="163"/>
      <c r="I4750" s="163"/>
      <c r="J4750" s="165"/>
      <c r="K4750" s="165"/>
      <c r="L4750" s="165"/>
      <c r="M4750" s="166"/>
      <c r="N4750" s="167"/>
      <c r="O4750" s="163"/>
      <c r="P4750" s="163"/>
      <c r="Q4750" s="163"/>
      <c r="R4750" s="163"/>
      <c r="S4750" s="161"/>
      <c r="T4750" s="161"/>
      <c r="U4750" s="161"/>
      <c r="V4750" s="161"/>
      <c r="W4750" s="161"/>
      <c r="X4750" s="161"/>
      <c r="Y4750" s="161"/>
      <c r="Z4750" s="168"/>
      <c r="AA4750" s="168"/>
      <c r="AB4750" s="168"/>
      <c r="AC4750" s="168"/>
    </row>
    <row r="4751">
      <c r="A4751" s="161"/>
      <c r="B4751" s="161"/>
      <c r="C4751" s="162"/>
      <c r="D4751" s="163"/>
      <c r="E4751" s="164" t="str">
        <f>IFERROR(__xludf.DUMMYFUNCTION("""COMPUTED_VALUE"""),"")</f>
        <v/>
      </c>
      <c r="F4751" s="163"/>
      <c r="G4751" s="163"/>
      <c r="H4751" s="163"/>
      <c r="I4751" s="163"/>
      <c r="J4751" s="165"/>
      <c r="K4751" s="165"/>
      <c r="L4751" s="165"/>
      <c r="M4751" s="166"/>
      <c r="N4751" s="167"/>
      <c r="O4751" s="163"/>
      <c r="P4751" s="163"/>
      <c r="Q4751" s="163"/>
      <c r="R4751" s="163"/>
      <c r="S4751" s="161"/>
      <c r="T4751" s="161"/>
      <c r="U4751" s="161"/>
      <c r="V4751" s="161"/>
      <c r="W4751" s="161"/>
      <c r="X4751" s="161"/>
      <c r="Y4751" s="161"/>
      <c r="Z4751" s="168"/>
      <c r="AA4751" s="168"/>
      <c r="AB4751" s="168"/>
      <c r="AC4751" s="168"/>
    </row>
    <row r="4752">
      <c r="A4752" s="161"/>
      <c r="B4752" s="161"/>
      <c r="C4752" s="162"/>
      <c r="D4752" s="163"/>
      <c r="E4752" s="164" t="str">
        <f>IFERROR(__xludf.DUMMYFUNCTION("""COMPUTED_VALUE"""),"")</f>
        <v/>
      </c>
      <c r="F4752" s="163"/>
      <c r="G4752" s="163"/>
      <c r="H4752" s="163"/>
      <c r="I4752" s="163"/>
      <c r="J4752" s="165"/>
      <c r="K4752" s="165"/>
      <c r="L4752" s="165"/>
      <c r="M4752" s="166"/>
      <c r="N4752" s="167"/>
      <c r="O4752" s="163"/>
      <c r="P4752" s="163"/>
      <c r="Q4752" s="163"/>
      <c r="R4752" s="163"/>
      <c r="S4752" s="161"/>
      <c r="T4752" s="161"/>
      <c r="U4752" s="161"/>
      <c r="V4752" s="161"/>
      <c r="W4752" s="161"/>
      <c r="X4752" s="161"/>
      <c r="Y4752" s="161"/>
      <c r="Z4752" s="168"/>
      <c r="AA4752" s="168"/>
      <c r="AB4752" s="168"/>
      <c r="AC4752" s="168"/>
    </row>
    <row r="4753">
      <c r="A4753" s="161"/>
      <c r="B4753" s="161"/>
      <c r="C4753" s="162"/>
      <c r="D4753" s="163"/>
      <c r="E4753" s="164" t="str">
        <f>IFERROR(__xludf.DUMMYFUNCTION("""COMPUTED_VALUE"""),"")</f>
        <v/>
      </c>
      <c r="F4753" s="163"/>
      <c r="G4753" s="163"/>
      <c r="H4753" s="163"/>
      <c r="I4753" s="163"/>
      <c r="J4753" s="165"/>
      <c r="K4753" s="165"/>
      <c r="L4753" s="165"/>
      <c r="M4753" s="166"/>
      <c r="N4753" s="167"/>
      <c r="O4753" s="163"/>
      <c r="P4753" s="163"/>
      <c r="Q4753" s="163"/>
      <c r="R4753" s="163"/>
      <c r="S4753" s="161"/>
      <c r="T4753" s="161"/>
      <c r="U4753" s="161"/>
      <c r="V4753" s="161"/>
      <c r="W4753" s="161"/>
      <c r="X4753" s="161"/>
      <c r="Y4753" s="161"/>
      <c r="Z4753" s="168"/>
      <c r="AA4753" s="168"/>
      <c r="AB4753" s="168"/>
      <c r="AC4753" s="168"/>
    </row>
    <row r="4754">
      <c r="A4754" s="161"/>
      <c r="B4754" s="161"/>
      <c r="C4754" s="162"/>
      <c r="D4754" s="163"/>
      <c r="E4754" s="164" t="str">
        <f>IFERROR(__xludf.DUMMYFUNCTION("""COMPUTED_VALUE"""),"")</f>
        <v/>
      </c>
      <c r="F4754" s="163"/>
      <c r="G4754" s="163"/>
      <c r="H4754" s="163"/>
      <c r="I4754" s="163"/>
      <c r="J4754" s="165"/>
      <c r="K4754" s="165"/>
      <c r="L4754" s="165"/>
      <c r="M4754" s="166"/>
      <c r="N4754" s="167"/>
      <c r="O4754" s="163"/>
      <c r="P4754" s="163"/>
      <c r="Q4754" s="163"/>
      <c r="R4754" s="163"/>
      <c r="S4754" s="161"/>
      <c r="T4754" s="161"/>
      <c r="U4754" s="161"/>
      <c r="V4754" s="161"/>
      <c r="W4754" s="161"/>
      <c r="X4754" s="161"/>
      <c r="Y4754" s="161"/>
      <c r="Z4754" s="168"/>
      <c r="AA4754" s="168"/>
      <c r="AB4754" s="168"/>
      <c r="AC4754" s="168"/>
    </row>
    <row r="4755">
      <c r="A4755" s="161"/>
      <c r="B4755" s="161"/>
      <c r="C4755" s="162"/>
      <c r="D4755" s="163"/>
      <c r="E4755" s="164" t="str">
        <f>IFERROR(__xludf.DUMMYFUNCTION("""COMPUTED_VALUE"""),"")</f>
        <v/>
      </c>
      <c r="F4755" s="163"/>
      <c r="G4755" s="163"/>
      <c r="H4755" s="163"/>
      <c r="I4755" s="163"/>
      <c r="J4755" s="165"/>
      <c r="K4755" s="165"/>
      <c r="L4755" s="165"/>
      <c r="M4755" s="166"/>
      <c r="N4755" s="167"/>
      <c r="O4755" s="163"/>
      <c r="P4755" s="163"/>
      <c r="Q4755" s="163"/>
      <c r="R4755" s="163"/>
      <c r="S4755" s="161"/>
      <c r="T4755" s="161"/>
      <c r="U4755" s="161"/>
      <c r="V4755" s="161"/>
      <c r="W4755" s="161"/>
      <c r="X4755" s="161"/>
      <c r="Y4755" s="161"/>
      <c r="Z4755" s="168"/>
      <c r="AA4755" s="168"/>
      <c r="AB4755" s="168"/>
      <c r="AC4755" s="168"/>
    </row>
    <row r="4756">
      <c r="A4756" s="161"/>
      <c r="B4756" s="161"/>
      <c r="C4756" s="162"/>
      <c r="D4756" s="163"/>
      <c r="E4756" s="164" t="str">
        <f>IFERROR(__xludf.DUMMYFUNCTION("""COMPUTED_VALUE"""),"")</f>
        <v/>
      </c>
      <c r="F4756" s="163"/>
      <c r="G4756" s="163"/>
      <c r="H4756" s="163"/>
      <c r="I4756" s="163"/>
      <c r="J4756" s="165"/>
      <c r="K4756" s="165"/>
      <c r="L4756" s="165"/>
      <c r="M4756" s="166"/>
      <c r="N4756" s="167"/>
      <c r="O4756" s="163"/>
      <c r="P4756" s="163"/>
      <c r="Q4756" s="163"/>
      <c r="R4756" s="163"/>
      <c r="S4756" s="161"/>
      <c r="T4756" s="161"/>
      <c r="U4756" s="161"/>
      <c r="V4756" s="161"/>
      <c r="W4756" s="161"/>
      <c r="X4756" s="161"/>
      <c r="Y4756" s="161"/>
      <c r="Z4756" s="168"/>
      <c r="AA4756" s="168"/>
      <c r="AB4756" s="168"/>
      <c r="AC4756" s="168"/>
    </row>
    <row r="4757">
      <c r="A4757" s="161"/>
      <c r="B4757" s="161"/>
      <c r="C4757" s="162"/>
      <c r="D4757" s="163"/>
      <c r="E4757" s="164" t="str">
        <f>IFERROR(__xludf.DUMMYFUNCTION("""COMPUTED_VALUE"""),"")</f>
        <v/>
      </c>
      <c r="F4757" s="163"/>
      <c r="G4757" s="163"/>
      <c r="H4757" s="163"/>
      <c r="I4757" s="163"/>
      <c r="J4757" s="165"/>
      <c r="K4757" s="165"/>
      <c r="L4757" s="165"/>
      <c r="M4757" s="166"/>
      <c r="N4757" s="167"/>
      <c r="O4757" s="163"/>
      <c r="P4757" s="163"/>
      <c r="Q4757" s="163"/>
      <c r="R4757" s="163"/>
      <c r="S4757" s="161"/>
      <c r="T4757" s="161"/>
      <c r="U4757" s="161"/>
      <c r="V4757" s="161"/>
      <c r="W4757" s="161"/>
      <c r="X4757" s="161"/>
      <c r="Y4757" s="161"/>
      <c r="Z4757" s="168"/>
      <c r="AA4757" s="168"/>
      <c r="AB4757" s="168"/>
      <c r="AC4757" s="168"/>
    </row>
    <row r="4758">
      <c r="A4758" s="161"/>
      <c r="B4758" s="161"/>
      <c r="C4758" s="162"/>
      <c r="D4758" s="163"/>
      <c r="E4758" s="164" t="str">
        <f>IFERROR(__xludf.DUMMYFUNCTION("""COMPUTED_VALUE"""),"")</f>
        <v/>
      </c>
      <c r="F4758" s="163"/>
      <c r="G4758" s="163"/>
      <c r="H4758" s="163"/>
      <c r="I4758" s="163"/>
      <c r="J4758" s="165"/>
      <c r="K4758" s="165"/>
      <c r="L4758" s="165"/>
      <c r="M4758" s="166"/>
      <c r="N4758" s="167"/>
      <c r="O4758" s="163"/>
      <c r="P4758" s="163"/>
      <c r="Q4758" s="163"/>
      <c r="R4758" s="163"/>
      <c r="S4758" s="161"/>
      <c r="T4758" s="161"/>
      <c r="U4758" s="161"/>
      <c r="V4758" s="161"/>
      <c r="W4758" s="161"/>
      <c r="X4758" s="161"/>
      <c r="Y4758" s="161"/>
      <c r="Z4758" s="168"/>
      <c r="AA4758" s="168"/>
      <c r="AB4758" s="168"/>
      <c r="AC4758" s="168"/>
    </row>
    <row r="4759">
      <c r="A4759" s="161"/>
      <c r="B4759" s="161"/>
      <c r="C4759" s="162"/>
      <c r="D4759" s="163"/>
      <c r="E4759" s="164" t="str">
        <f>IFERROR(__xludf.DUMMYFUNCTION("""COMPUTED_VALUE"""),"")</f>
        <v/>
      </c>
      <c r="F4759" s="163"/>
      <c r="G4759" s="163"/>
      <c r="H4759" s="163"/>
      <c r="I4759" s="163"/>
      <c r="J4759" s="165"/>
      <c r="K4759" s="165"/>
      <c r="L4759" s="165"/>
      <c r="M4759" s="166"/>
      <c r="N4759" s="167"/>
      <c r="O4759" s="163"/>
      <c r="P4759" s="163"/>
      <c r="Q4759" s="163"/>
      <c r="R4759" s="163"/>
      <c r="S4759" s="161"/>
      <c r="T4759" s="161"/>
      <c r="U4759" s="161"/>
      <c r="V4759" s="161"/>
      <c r="W4759" s="161"/>
      <c r="X4759" s="161"/>
      <c r="Y4759" s="161"/>
      <c r="Z4759" s="168"/>
      <c r="AA4759" s="168"/>
      <c r="AB4759" s="168"/>
      <c r="AC4759" s="168"/>
    </row>
    <row r="4760">
      <c r="A4760" s="161"/>
      <c r="B4760" s="161"/>
      <c r="C4760" s="162"/>
      <c r="D4760" s="163"/>
      <c r="E4760" s="164" t="str">
        <f>IFERROR(__xludf.DUMMYFUNCTION("""COMPUTED_VALUE"""),"")</f>
        <v/>
      </c>
      <c r="F4760" s="163"/>
      <c r="G4760" s="163"/>
      <c r="H4760" s="163"/>
      <c r="I4760" s="163"/>
      <c r="J4760" s="165"/>
      <c r="K4760" s="165"/>
      <c r="L4760" s="165"/>
      <c r="M4760" s="166"/>
      <c r="N4760" s="167"/>
      <c r="O4760" s="163"/>
      <c r="P4760" s="163"/>
      <c r="Q4760" s="163"/>
      <c r="R4760" s="163"/>
      <c r="S4760" s="161"/>
      <c r="T4760" s="161"/>
      <c r="U4760" s="161"/>
      <c r="V4760" s="161"/>
      <c r="W4760" s="161"/>
      <c r="X4760" s="161"/>
      <c r="Y4760" s="161"/>
      <c r="Z4760" s="168"/>
      <c r="AA4760" s="168"/>
      <c r="AB4760" s="168"/>
      <c r="AC4760" s="168"/>
    </row>
    <row r="4761">
      <c r="A4761" s="161"/>
      <c r="B4761" s="161"/>
      <c r="C4761" s="162"/>
      <c r="D4761" s="163"/>
      <c r="E4761" s="164" t="str">
        <f>IFERROR(__xludf.DUMMYFUNCTION("""COMPUTED_VALUE"""),"")</f>
        <v/>
      </c>
      <c r="F4761" s="163"/>
      <c r="G4761" s="163"/>
      <c r="H4761" s="163"/>
      <c r="I4761" s="163"/>
      <c r="J4761" s="165"/>
      <c r="K4761" s="165"/>
      <c r="L4761" s="165"/>
      <c r="M4761" s="166"/>
      <c r="N4761" s="167"/>
      <c r="O4761" s="163"/>
      <c r="P4761" s="163"/>
      <c r="Q4761" s="163"/>
      <c r="R4761" s="163"/>
      <c r="S4761" s="161"/>
      <c r="T4761" s="161"/>
      <c r="U4761" s="161"/>
      <c r="V4761" s="161"/>
      <c r="W4761" s="161"/>
      <c r="X4761" s="161"/>
      <c r="Y4761" s="161"/>
      <c r="Z4761" s="168"/>
      <c r="AA4761" s="168"/>
      <c r="AB4761" s="168"/>
      <c r="AC4761" s="168"/>
    </row>
    <row r="4762">
      <c r="A4762" s="161"/>
      <c r="B4762" s="161"/>
      <c r="C4762" s="162"/>
      <c r="D4762" s="163"/>
      <c r="E4762" s="164" t="str">
        <f>IFERROR(__xludf.DUMMYFUNCTION("""COMPUTED_VALUE"""),"")</f>
        <v/>
      </c>
      <c r="F4762" s="163"/>
      <c r="G4762" s="163"/>
      <c r="H4762" s="163"/>
      <c r="I4762" s="163"/>
      <c r="J4762" s="165"/>
      <c r="K4762" s="165"/>
      <c r="L4762" s="165"/>
      <c r="M4762" s="166"/>
      <c r="N4762" s="167"/>
      <c r="O4762" s="163"/>
      <c r="P4762" s="163"/>
      <c r="Q4762" s="163"/>
      <c r="R4762" s="163"/>
      <c r="S4762" s="161"/>
      <c r="T4762" s="161"/>
      <c r="U4762" s="161"/>
      <c r="V4762" s="161"/>
      <c r="W4762" s="161"/>
      <c r="X4762" s="161"/>
      <c r="Y4762" s="161"/>
      <c r="Z4762" s="168"/>
      <c r="AA4762" s="168"/>
      <c r="AB4762" s="168"/>
      <c r="AC4762" s="168"/>
    </row>
    <row r="4763">
      <c r="A4763" s="161"/>
      <c r="B4763" s="161"/>
      <c r="C4763" s="162"/>
      <c r="D4763" s="163"/>
      <c r="E4763" s="164" t="str">
        <f>IFERROR(__xludf.DUMMYFUNCTION("""COMPUTED_VALUE"""),"")</f>
        <v/>
      </c>
      <c r="F4763" s="163"/>
      <c r="G4763" s="163"/>
      <c r="H4763" s="163"/>
      <c r="I4763" s="163"/>
      <c r="J4763" s="165"/>
      <c r="K4763" s="165"/>
      <c r="L4763" s="165"/>
      <c r="M4763" s="166"/>
      <c r="N4763" s="167"/>
      <c r="O4763" s="163"/>
      <c r="P4763" s="163"/>
      <c r="Q4763" s="163"/>
      <c r="R4763" s="163"/>
      <c r="S4763" s="161"/>
      <c r="T4763" s="161"/>
      <c r="U4763" s="161"/>
      <c r="V4763" s="161"/>
      <c r="W4763" s="161"/>
      <c r="X4763" s="161"/>
      <c r="Y4763" s="161"/>
      <c r="Z4763" s="168"/>
      <c r="AA4763" s="168"/>
      <c r="AB4763" s="168"/>
      <c r="AC4763" s="168"/>
    </row>
    <row r="4764">
      <c r="A4764" s="161"/>
      <c r="B4764" s="161"/>
      <c r="C4764" s="162"/>
      <c r="D4764" s="163"/>
      <c r="E4764" s="164" t="str">
        <f>IFERROR(__xludf.DUMMYFUNCTION("""COMPUTED_VALUE"""),"")</f>
        <v/>
      </c>
      <c r="F4764" s="163"/>
      <c r="G4764" s="163"/>
      <c r="H4764" s="163"/>
      <c r="I4764" s="163"/>
      <c r="J4764" s="165"/>
      <c r="K4764" s="165"/>
      <c r="L4764" s="165"/>
      <c r="M4764" s="166"/>
      <c r="N4764" s="167"/>
      <c r="O4764" s="163"/>
      <c r="P4764" s="163"/>
      <c r="Q4764" s="163"/>
      <c r="R4764" s="163"/>
      <c r="S4764" s="161"/>
      <c r="T4764" s="161"/>
      <c r="U4764" s="161"/>
      <c r="V4764" s="161"/>
      <c r="W4764" s="161"/>
      <c r="X4764" s="161"/>
      <c r="Y4764" s="161"/>
      <c r="Z4764" s="168"/>
      <c r="AA4764" s="168"/>
      <c r="AB4764" s="168"/>
      <c r="AC4764" s="168"/>
    </row>
    <row r="4765">
      <c r="A4765" s="161"/>
      <c r="B4765" s="161"/>
      <c r="C4765" s="162"/>
      <c r="D4765" s="163"/>
      <c r="E4765" s="164" t="str">
        <f>IFERROR(__xludf.DUMMYFUNCTION("""COMPUTED_VALUE"""),"")</f>
        <v/>
      </c>
      <c r="F4765" s="163"/>
      <c r="G4765" s="163"/>
      <c r="H4765" s="163"/>
      <c r="I4765" s="163"/>
      <c r="J4765" s="165"/>
      <c r="K4765" s="165"/>
      <c r="L4765" s="165"/>
      <c r="M4765" s="166"/>
      <c r="N4765" s="167"/>
      <c r="O4765" s="163"/>
      <c r="P4765" s="163"/>
      <c r="Q4765" s="163"/>
      <c r="R4765" s="163"/>
      <c r="S4765" s="161"/>
      <c r="T4765" s="161"/>
      <c r="U4765" s="161"/>
      <c r="V4765" s="161"/>
      <c r="W4765" s="161"/>
      <c r="X4765" s="161"/>
      <c r="Y4765" s="161"/>
      <c r="Z4765" s="168"/>
      <c r="AA4765" s="168"/>
      <c r="AB4765" s="168"/>
      <c r="AC4765" s="168"/>
    </row>
    <row r="4766">
      <c r="A4766" s="161"/>
      <c r="B4766" s="161"/>
      <c r="C4766" s="162"/>
      <c r="D4766" s="163"/>
      <c r="E4766" s="164" t="str">
        <f>IFERROR(__xludf.DUMMYFUNCTION("""COMPUTED_VALUE"""),"")</f>
        <v/>
      </c>
      <c r="F4766" s="163"/>
      <c r="G4766" s="163"/>
      <c r="H4766" s="163"/>
      <c r="I4766" s="163"/>
      <c r="J4766" s="165"/>
      <c r="K4766" s="165"/>
      <c r="L4766" s="165"/>
      <c r="M4766" s="166"/>
      <c r="N4766" s="167"/>
      <c r="O4766" s="163"/>
      <c r="P4766" s="163"/>
      <c r="Q4766" s="163"/>
      <c r="R4766" s="163"/>
      <c r="S4766" s="161"/>
      <c r="T4766" s="161"/>
      <c r="U4766" s="161"/>
      <c r="V4766" s="161"/>
      <c r="W4766" s="161"/>
      <c r="X4766" s="161"/>
      <c r="Y4766" s="161"/>
      <c r="Z4766" s="168"/>
      <c r="AA4766" s="168"/>
      <c r="AB4766" s="168"/>
      <c r="AC4766" s="168"/>
    </row>
    <row r="4767">
      <c r="A4767" s="161"/>
      <c r="B4767" s="161"/>
      <c r="C4767" s="162"/>
      <c r="D4767" s="163"/>
      <c r="E4767" s="164" t="str">
        <f>IFERROR(__xludf.DUMMYFUNCTION("""COMPUTED_VALUE"""),"")</f>
        <v/>
      </c>
      <c r="F4767" s="163"/>
      <c r="G4767" s="163"/>
      <c r="H4767" s="163"/>
      <c r="I4767" s="163"/>
      <c r="J4767" s="165"/>
      <c r="K4767" s="165"/>
      <c r="L4767" s="165"/>
      <c r="M4767" s="166"/>
      <c r="N4767" s="167"/>
      <c r="O4767" s="163"/>
      <c r="P4767" s="163"/>
      <c r="Q4767" s="163"/>
      <c r="R4767" s="163"/>
      <c r="S4767" s="161"/>
      <c r="T4767" s="161"/>
      <c r="U4767" s="161"/>
      <c r="V4767" s="161"/>
      <c r="W4767" s="161"/>
      <c r="X4767" s="161"/>
      <c r="Y4767" s="161"/>
      <c r="Z4767" s="168"/>
      <c r="AA4767" s="168"/>
      <c r="AB4767" s="168"/>
      <c r="AC4767" s="168"/>
    </row>
    <row r="4768">
      <c r="A4768" s="161"/>
      <c r="B4768" s="161"/>
      <c r="C4768" s="162"/>
      <c r="D4768" s="163"/>
      <c r="E4768" s="164" t="str">
        <f>IFERROR(__xludf.DUMMYFUNCTION("""COMPUTED_VALUE"""),"")</f>
        <v/>
      </c>
      <c r="F4768" s="163"/>
      <c r="G4768" s="163"/>
      <c r="H4768" s="163"/>
      <c r="I4768" s="163"/>
      <c r="J4768" s="165"/>
      <c r="K4768" s="165"/>
      <c r="L4768" s="165"/>
      <c r="M4768" s="166"/>
      <c r="N4768" s="167"/>
      <c r="O4768" s="163"/>
      <c r="P4768" s="163"/>
      <c r="Q4768" s="163"/>
      <c r="R4768" s="163"/>
      <c r="S4768" s="161"/>
      <c r="T4768" s="161"/>
      <c r="U4768" s="161"/>
      <c r="V4768" s="161"/>
      <c r="W4768" s="161"/>
      <c r="X4768" s="161"/>
      <c r="Y4768" s="161"/>
      <c r="Z4768" s="168"/>
      <c r="AA4768" s="168"/>
      <c r="AB4768" s="168"/>
      <c r="AC4768" s="168"/>
    </row>
    <row r="4769">
      <c r="A4769" s="161"/>
      <c r="B4769" s="161"/>
      <c r="C4769" s="162"/>
      <c r="D4769" s="163"/>
      <c r="E4769" s="164" t="str">
        <f>IFERROR(__xludf.DUMMYFUNCTION("""COMPUTED_VALUE"""),"")</f>
        <v/>
      </c>
      <c r="F4769" s="163"/>
      <c r="G4769" s="163"/>
      <c r="H4769" s="163"/>
      <c r="I4769" s="163"/>
      <c r="J4769" s="165"/>
      <c r="K4769" s="165"/>
      <c r="L4769" s="165"/>
      <c r="M4769" s="166"/>
      <c r="N4769" s="167"/>
      <c r="O4769" s="163"/>
      <c r="P4769" s="163"/>
      <c r="Q4769" s="163"/>
      <c r="R4769" s="163"/>
      <c r="S4769" s="161"/>
      <c r="T4769" s="161"/>
      <c r="U4769" s="161"/>
      <c r="V4769" s="161"/>
      <c r="W4769" s="161"/>
      <c r="X4769" s="161"/>
      <c r="Y4769" s="161"/>
      <c r="Z4769" s="168"/>
      <c r="AA4769" s="168"/>
      <c r="AB4769" s="168"/>
      <c r="AC4769" s="168"/>
    </row>
    <row r="4770">
      <c r="A4770" s="161"/>
      <c r="B4770" s="161"/>
      <c r="C4770" s="162"/>
      <c r="D4770" s="163"/>
      <c r="E4770" s="164" t="str">
        <f>IFERROR(__xludf.DUMMYFUNCTION("""COMPUTED_VALUE"""),"")</f>
        <v/>
      </c>
      <c r="F4770" s="163"/>
      <c r="G4770" s="163"/>
      <c r="H4770" s="163"/>
      <c r="I4770" s="163"/>
      <c r="J4770" s="165"/>
      <c r="K4770" s="165"/>
      <c r="L4770" s="165"/>
      <c r="M4770" s="166"/>
      <c r="N4770" s="167"/>
      <c r="O4770" s="163"/>
      <c r="P4770" s="163"/>
      <c r="Q4770" s="163"/>
      <c r="R4770" s="163"/>
      <c r="S4770" s="161"/>
      <c r="T4770" s="161"/>
      <c r="U4770" s="161"/>
      <c r="V4770" s="161"/>
      <c r="W4770" s="161"/>
      <c r="X4770" s="161"/>
      <c r="Y4770" s="161"/>
      <c r="Z4770" s="168"/>
      <c r="AA4770" s="168"/>
      <c r="AB4770" s="168"/>
      <c r="AC4770" s="168"/>
    </row>
    <row r="4771">
      <c r="A4771" s="161"/>
      <c r="B4771" s="161"/>
      <c r="C4771" s="162"/>
      <c r="D4771" s="163"/>
      <c r="E4771" s="164" t="str">
        <f>IFERROR(__xludf.DUMMYFUNCTION("""COMPUTED_VALUE"""),"")</f>
        <v/>
      </c>
      <c r="F4771" s="163"/>
      <c r="G4771" s="163"/>
      <c r="H4771" s="163"/>
      <c r="I4771" s="163"/>
      <c r="J4771" s="165"/>
      <c r="K4771" s="165"/>
      <c r="L4771" s="165"/>
      <c r="M4771" s="166"/>
      <c r="N4771" s="167"/>
      <c r="O4771" s="163"/>
      <c r="P4771" s="163"/>
      <c r="Q4771" s="163"/>
      <c r="R4771" s="163"/>
      <c r="S4771" s="161"/>
      <c r="T4771" s="161"/>
      <c r="U4771" s="161"/>
      <c r="V4771" s="161"/>
      <c r="W4771" s="161"/>
      <c r="X4771" s="161"/>
      <c r="Y4771" s="161"/>
      <c r="Z4771" s="168"/>
      <c r="AA4771" s="168"/>
      <c r="AB4771" s="168"/>
      <c r="AC4771" s="168"/>
    </row>
    <row r="4772">
      <c r="A4772" s="161"/>
      <c r="B4772" s="161"/>
      <c r="C4772" s="162"/>
      <c r="D4772" s="163"/>
      <c r="E4772" s="164" t="str">
        <f>IFERROR(__xludf.DUMMYFUNCTION("""COMPUTED_VALUE"""),"")</f>
        <v/>
      </c>
      <c r="F4772" s="163"/>
      <c r="G4772" s="163"/>
      <c r="H4772" s="163"/>
      <c r="I4772" s="163"/>
      <c r="J4772" s="165"/>
      <c r="K4772" s="165"/>
      <c r="L4772" s="165"/>
      <c r="M4772" s="166"/>
      <c r="N4772" s="167"/>
      <c r="O4772" s="163"/>
      <c r="P4772" s="163"/>
      <c r="Q4772" s="163"/>
      <c r="R4772" s="163"/>
      <c r="S4772" s="161"/>
      <c r="T4772" s="161"/>
      <c r="U4772" s="161"/>
      <c r="V4772" s="161"/>
      <c r="W4772" s="161"/>
      <c r="X4772" s="161"/>
      <c r="Y4772" s="161"/>
      <c r="Z4772" s="168"/>
      <c r="AA4772" s="168"/>
      <c r="AB4772" s="168"/>
      <c r="AC4772" s="168"/>
    </row>
    <row r="4773">
      <c r="A4773" s="161"/>
      <c r="B4773" s="161"/>
      <c r="C4773" s="162"/>
      <c r="D4773" s="163"/>
      <c r="E4773" s="164" t="str">
        <f>IFERROR(__xludf.DUMMYFUNCTION("""COMPUTED_VALUE"""),"")</f>
        <v/>
      </c>
      <c r="F4773" s="163"/>
      <c r="G4773" s="163"/>
      <c r="H4773" s="163"/>
      <c r="I4773" s="163"/>
      <c r="J4773" s="165"/>
      <c r="K4773" s="165"/>
      <c r="L4773" s="165"/>
      <c r="M4773" s="166"/>
      <c r="N4773" s="167"/>
      <c r="O4773" s="163"/>
      <c r="P4773" s="163"/>
      <c r="Q4773" s="163"/>
      <c r="R4773" s="163"/>
      <c r="S4773" s="161"/>
      <c r="T4773" s="161"/>
      <c r="U4773" s="161"/>
      <c r="V4773" s="161"/>
      <c r="W4773" s="161"/>
      <c r="X4773" s="161"/>
      <c r="Y4773" s="161"/>
      <c r="Z4773" s="168"/>
      <c r="AA4773" s="168"/>
      <c r="AB4773" s="168"/>
      <c r="AC4773" s="168"/>
    </row>
    <row r="4774">
      <c r="A4774" s="161"/>
      <c r="B4774" s="161"/>
      <c r="C4774" s="162"/>
      <c r="D4774" s="163"/>
      <c r="E4774" s="164" t="str">
        <f>IFERROR(__xludf.DUMMYFUNCTION("""COMPUTED_VALUE"""),"")</f>
        <v/>
      </c>
      <c r="F4774" s="163"/>
      <c r="G4774" s="163"/>
      <c r="H4774" s="163"/>
      <c r="I4774" s="163"/>
      <c r="J4774" s="165"/>
      <c r="K4774" s="165"/>
      <c r="L4774" s="165"/>
      <c r="M4774" s="166"/>
      <c r="N4774" s="167"/>
      <c r="O4774" s="163"/>
      <c r="P4774" s="163"/>
      <c r="Q4774" s="163"/>
      <c r="R4774" s="163"/>
      <c r="S4774" s="161"/>
      <c r="T4774" s="161"/>
      <c r="U4774" s="161"/>
      <c r="V4774" s="161"/>
      <c r="W4774" s="161"/>
      <c r="X4774" s="161"/>
      <c r="Y4774" s="161"/>
      <c r="Z4774" s="168"/>
      <c r="AA4774" s="168"/>
      <c r="AB4774" s="168"/>
      <c r="AC4774" s="168"/>
    </row>
    <row r="4775">
      <c r="A4775" s="161"/>
      <c r="B4775" s="161"/>
      <c r="C4775" s="162"/>
      <c r="D4775" s="163"/>
      <c r="E4775" s="164" t="str">
        <f>IFERROR(__xludf.DUMMYFUNCTION("""COMPUTED_VALUE"""),"")</f>
        <v/>
      </c>
      <c r="F4775" s="163"/>
      <c r="G4775" s="163"/>
      <c r="H4775" s="163"/>
      <c r="I4775" s="163"/>
      <c r="J4775" s="165"/>
      <c r="K4775" s="165"/>
      <c r="L4775" s="165"/>
      <c r="M4775" s="166"/>
      <c r="N4775" s="167"/>
      <c r="O4775" s="163"/>
      <c r="P4775" s="163"/>
      <c r="Q4775" s="163"/>
      <c r="R4775" s="163"/>
      <c r="S4775" s="161"/>
      <c r="T4775" s="161"/>
      <c r="U4775" s="161"/>
      <c r="V4775" s="161"/>
      <c r="W4775" s="161"/>
      <c r="X4775" s="161"/>
      <c r="Y4775" s="161"/>
      <c r="Z4775" s="168"/>
      <c r="AA4775" s="168"/>
      <c r="AB4775" s="168"/>
      <c r="AC4775" s="168"/>
    </row>
    <row r="4776">
      <c r="A4776" s="161"/>
      <c r="B4776" s="161"/>
      <c r="C4776" s="162"/>
      <c r="D4776" s="163"/>
      <c r="E4776" s="164" t="str">
        <f>IFERROR(__xludf.DUMMYFUNCTION("""COMPUTED_VALUE"""),"")</f>
        <v/>
      </c>
      <c r="F4776" s="163"/>
      <c r="G4776" s="163"/>
      <c r="H4776" s="163"/>
      <c r="I4776" s="163"/>
      <c r="J4776" s="165"/>
      <c r="K4776" s="165"/>
      <c r="L4776" s="165"/>
      <c r="M4776" s="166"/>
      <c r="N4776" s="167"/>
      <c r="O4776" s="163"/>
      <c r="P4776" s="163"/>
      <c r="Q4776" s="163"/>
      <c r="R4776" s="163"/>
      <c r="S4776" s="161"/>
      <c r="T4776" s="161"/>
      <c r="U4776" s="161"/>
      <c r="V4776" s="161"/>
      <c r="W4776" s="161"/>
      <c r="X4776" s="161"/>
      <c r="Y4776" s="161"/>
      <c r="Z4776" s="168"/>
      <c r="AA4776" s="168"/>
      <c r="AB4776" s="168"/>
      <c r="AC4776" s="168"/>
    </row>
    <row r="4777">
      <c r="A4777" s="161"/>
      <c r="B4777" s="161"/>
      <c r="C4777" s="162"/>
      <c r="D4777" s="163"/>
      <c r="E4777" s="164" t="str">
        <f>IFERROR(__xludf.DUMMYFUNCTION("""COMPUTED_VALUE"""),"")</f>
        <v/>
      </c>
      <c r="F4777" s="163"/>
      <c r="G4777" s="163"/>
      <c r="H4777" s="163"/>
      <c r="I4777" s="163"/>
      <c r="J4777" s="165"/>
      <c r="K4777" s="165"/>
      <c r="L4777" s="165"/>
      <c r="M4777" s="166"/>
      <c r="N4777" s="167"/>
      <c r="O4777" s="163"/>
      <c r="P4777" s="163"/>
      <c r="Q4777" s="163"/>
      <c r="R4777" s="163"/>
      <c r="S4777" s="161"/>
      <c r="T4777" s="161"/>
      <c r="U4777" s="161"/>
      <c r="V4777" s="161"/>
      <c r="W4777" s="161"/>
      <c r="X4777" s="161"/>
      <c r="Y4777" s="161"/>
      <c r="Z4777" s="168"/>
      <c r="AA4777" s="168"/>
      <c r="AB4777" s="168"/>
      <c r="AC4777" s="168"/>
    </row>
    <row r="4778">
      <c r="A4778" s="161"/>
      <c r="B4778" s="161"/>
      <c r="C4778" s="162"/>
      <c r="D4778" s="163"/>
      <c r="E4778" s="164" t="str">
        <f>IFERROR(__xludf.DUMMYFUNCTION("""COMPUTED_VALUE"""),"")</f>
        <v/>
      </c>
      <c r="F4778" s="163"/>
      <c r="G4778" s="163"/>
      <c r="H4778" s="163"/>
      <c r="I4778" s="163"/>
      <c r="J4778" s="165"/>
      <c r="K4778" s="165"/>
      <c r="L4778" s="165"/>
      <c r="M4778" s="166"/>
      <c r="N4778" s="167"/>
      <c r="O4778" s="163"/>
      <c r="P4778" s="163"/>
      <c r="Q4778" s="163"/>
      <c r="R4778" s="163"/>
      <c r="S4778" s="161"/>
      <c r="T4778" s="161"/>
      <c r="U4778" s="161"/>
      <c r="V4778" s="161"/>
      <c r="W4778" s="161"/>
      <c r="X4778" s="161"/>
      <c r="Y4778" s="161"/>
      <c r="Z4778" s="168"/>
      <c r="AA4778" s="168"/>
      <c r="AB4778" s="168"/>
      <c r="AC4778" s="168"/>
    </row>
    <row r="4779">
      <c r="A4779" s="161"/>
      <c r="B4779" s="161"/>
      <c r="C4779" s="162"/>
      <c r="D4779" s="163"/>
      <c r="E4779" s="164" t="str">
        <f>IFERROR(__xludf.DUMMYFUNCTION("""COMPUTED_VALUE"""),"")</f>
        <v/>
      </c>
      <c r="F4779" s="163"/>
      <c r="G4779" s="163"/>
      <c r="H4779" s="163"/>
      <c r="I4779" s="163"/>
      <c r="J4779" s="165"/>
      <c r="K4779" s="165"/>
      <c r="L4779" s="165"/>
      <c r="M4779" s="166"/>
      <c r="N4779" s="167"/>
      <c r="O4779" s="163"/>
      <c r="P4779" s="163"/>
      <c r="Q4779" s="163"/>
      <c r="R4779" s="163"/>
      <c r="S4779" s="161"/>
      <c r="T4779" s="161"/>
      <c r="U4779" s="161"/>
      <c r="V4779" s="161"/>
      <c r="W4779" s="161"/>
      <c r="X4779" s="161"/>
      <c r="Y4779" s="161"/>
      <c r="Z4779" s="168"/>
      <c r="AA4779" s="168"/>
      <c r="AB4779" s="168"/>
      <c r="AC4779" s="168"/>
    </row>
    <row r="4780">
      <c r="A4780" s="161"/>
      <c r="B4780" s="161"/>
      <c r="C4780" s="162"/>
      <c r="D4780" s="163"/>
      <c r="E4780" s="164" t="str">
        <f>IFERROR(__xludf.DUMMYFUNCTION("""COMPUTED_VALUE"""),"")</f>
        <v/>
      </c>
      <c r="F4780" s="163"/>
      <c r="G4780" s="163"/>
      <c r="H4780" s="163"/>
      <c r="I4780" s="163"/>
      <c r="J4780" s="165"/>
      <c r="K4780" s="165"/>
      <c r="L4780" s="165"/>
      <c r="M4780" s="166"/>
      <c r="N4780" s="167"/>
      <c r="O4780" s="163"/>
      <c r="P4780" s="163"/>
      <c r="Q4780" s="163"/>
      <c r="R4780" s="163"/>
      <c r="S4780" s="161"/>
      <c r="T4780" s="161"/>
      <c r="U4780" s="161"/>
      <c r="V4780" s="161"/>
      <c r="W4780" s="161"/>
      <c r="X4780" s="161"/>
      <c r="Y4780" s="161"/>
      <c r="Z4780" s="168"/>
      <c r="AA4780" s="168"/>
      <c r="AB4780" s="168"/>
      <c r="AC4780" s="168"/>
    </row>
    <row r="4781">
      <c r="A4781" s="161"/>
      <c r="B4781" s="161"/>
      <c r="C4781" s="162"/>
      <c r="D4781" s="163"/>
      <c r="E4781" s="164" t="str">
        <f>IFERROR(__xludf.DUMMYFUNCTION("""COMPUTED_VALUE"""),"")</f>
        <v/>
      </c>
      <c r="F4781" s="163"/>
      <c r="G4781" s="163"/>
      <c r="H4781" s="163"/>
      <c r="I4781" s="163"/>
      <c r="J4781" s="165"/>
      <c r="K4781" s="165"/>
      <c r="L4781" s="165"/>
      <c r="M4781" s="166"/>
      <c r="N4781" s="167"/>
      <c r="O4781" s="163"/>
      <c r="P4781" s="163"/>
      <c r="Q4781" s="163"/>
      <c r="R4781" s="163"/>
      <c r="S4781" s="161"/>
      <c r="T4781" s="161"/>
      <c r="U4781" s="161"/>
      <c r="V4781" s="161"/>
      <c r="W4781" s="161"/>
      <c r="X4781" s="161"/>
      <c r="Y4781" s="161"/>
      <c r="Z4781" s="168"/>
      <c r="AA4781" s="168"/>
      <c r="AB4781" s="168"/>
      <c r="AC4781" s="168"/>
    </row>
    <row r="4782">
      <c r="A4782" s="161"/>
      <c r="B4782" s="161"/>
      <c r="C4782" s="162"/>
      <c r="D4782" s="163"/>
      <c r="E4782" s="164" t="str">
        <f>IFERROR(__xludf.DUMMYFUNCTION("""COMPUTED_VALUE"""),"")</f>
        <v/>
      </c>
      <c r="F4782" s="163"/>
      <c r="G4782" s="163"/>
      <c r="H4782" s="163"/>
      <c r="I4782" s="163"/>
      <c r="J4782" s="165"/>
      <c r="K4782" s="165"/>
      <c r="L4782" s="165"/>
      <c r="M4782" s="166"/>
      <c r="N4782" s="167"/>
      <c r="O4782" s="163"/>
      <c r="P4782" s="163"/>
      <c r="Q4782" s="163"/>
      <c r="R4782" s="163"/>
      <c r="S4782" s="161"/>
      <c r="T4782" s="161"/>
      <c r="U4782" s="161"/>
      <c r="V4782" s="161"/>
      <c r="W4782" s="161"/>
      <c r="X4782" s="161"/>
      <c r="Y4782" s="161"/>
      <c r="Z4782" s="168"/>
      <c r="AA4782" s="168"/>
      <c r="AB4782" s="168"/>
      <c r="AC4782" s="168"/>
    </row>
    <row r="4783">
      <c r="A4783" s="161"/>
      <c r="B4783" s="161"/>
      <c r="C4783" s="162"/>
      <c r="D4783" s="163"/>
      <c r="E4783" s="164" t="str">
        <f>IFERROR(__xludf.DUMMYFUNCTION("""COMPUTED_VALUE"""),"")</f>
        <v/>
      </c>
      <c r="F4783" s="163"/>
      <c r="G4783" s="163"/>
      <c r="H4783" s="163"/>
      <c r="I4783" s="163"/>
      <c r="J4783" s="165"/>
      <c r="K4783" s="165"/>
      <c r="L4783" s="165"/>
      <c r="M4783" s="166"/>
      <c r="N4783" s="167"/>
      <c r="O4783" s="163"/>
      <c r="P4783" s="163"/>
      <c r="Q4783" s="163"/>
      <c r="R4783" s="163"/>
      <c r="S4783" s="161"/>
      <c r="T4783" s="161"/>
      <c r="U4783" s="161"/>
      <c r="V4783" s="161"/>
      <c r="W4783" s="161"/>
      <c r="X4783" s="161"/>
      <c r="Y4783" s="161"/>
      <c r="Z4783" s="168"/>
      <c r="AA4783" s="168"/>
      <c r="AB4783" s="168"/>
      <c r="AC4783" s="168"/>
    </row>
    <row r="4784">
      <c r="A4784" s="161"/>
      <c r="B4784" s="161"/>
      <c r="C4784" s="162"/>
      <c r="D4784" s="163"/>
      <c r="E4784" s="164" t="str">
        <f>IFERROR(__xludf.DUMMYFUNCTION("""COMPUTED_VALUE"""),"")</f>
        <v/>
      </c>
      <c r="F4784" s="163"/>
      <c r="G4784" s="163"/>
      <c r="H4784" s="163"/>
      <c r="I4784" s="163"/>
      <c r="J4784" s="165"/>
      <c r="K4784" s="165"/>
      <c r="L4784" s="165"/>
      <c r="M4784" s="166"/>
      <c r="N4784" s="167"/>
      <c r="O4784" s="163"/>
      <c r="P4784" s="163"/>
      <c r="Q4784" s="163"/>
      <c r="R4784" s="163"/>
      <c r="S4784" s="161"/>
      <c r="T4784" s="161"/>
      <c r="U4784" s="161"/>
      <c r="V4784" s="161"/>
      <c r="W4784" s="161"/>
      <c r="X4784" s="161"/>
      <c r="Y4784" s="161"/>
      <c r="Z4784" s="168"/>
      <c r="AA4784" s="168"/>
      <c r="AB4784" s="168"/>
      <c r="AC4784" s="168"/>
    </row>
    <row r="4785">
      <c r="A4785" s="161"/>
      <c r="B4785" s="161"/>
      <c r="C4785" s="162"/>
      <c r="D4785" s="163"/>
      <c r="E4785" s="164" t="str">
        <f>IFERROR(__xludf.DUMMYFUNCTION("""COMPUTED_VALUE"""),"")</f>
        <v/>
      </c>
      <c r="F4785" s="163"/>
      <c r="G4785" s="163"/>
      <c r="H4785" s="163"/>
      <c r="I4785" s="163"/>
      <c r="J4785" s="165"/>
      <c r="K4785" s="165"/>
      <c r="L4785" s="165"/>
      <c r="M4785" s="166"/>
      <c r="N4785" s="167"/>
      <c r="O4785" s="163"/>
      <c r="P4785" s="163"/>
      <c r="Q4785" s="163"/>
      <c r="R4785" s="163"/>
      <c r="S4785" s="161"/>
      <c r="T4785" s="161"/>
      <c r="U4785" s="161"/>
      <c r="V4785" s="161"/>
      <c r="W4785" s="161"/>
      <c r="X4785" s="161"/>
      <c r="Y4785" s="161"/>
      <c r="Z4785" s="168"/>
      <c r="AA4785" s="168"/>
      <c r="AB4785" s="168"/>
      <c r="AC4785" s="168"/>
    </row>
    <row r="4786">
      <c r="A4786" s="161"/>
      <c r="B4786" s="161"/>
      <c r="C4786" s="162"/>
      <c r="D4786" s="163"/>
      <c r="E4786" s="164" t="str">
        <f>IFERROR(__xludf.DUMMYFUNCTION("""COMPUTED_VALUE"""),"")</f>
        <v/>
      </c>
      <c r="F4786" s="163"/>
      <c r="G4786" s="163"/>
      <c r="H4786" s="163"/>
      <c r="I4786" s="163"/>
      <c r="J4786" s="165"/>
      <c r="K4786" s="165"/>
      <c r="L4786" s="165"/>
      <c r="M4786" s="166"/>
      <c r="N4786" s="167"/>
      <c r="O4786" s="163"/>
      <c r="P4786" s="163"/>
      <c r="Q4786" s="163"/>
      <c r="R4786" s="163"/>
      <c r="S4786" s="161"/>
      <c r="T4786" s="161"/>
      <c r="U4786" s="161"/>
      <c r="V4786" s="161"/>
      <c r="W4786" s="161"/>
      <c r="X4786" s="161"/>
      <c r="Y4786" s="161"/>
      <c r="Z4786" s="168"/>
      <c r="AA4786" s="168"/>
      <c r="AB4786" s="168"/>
      <c r="AC4786" s="168"/>
    </row>
    <row r="4787">
      <c r="A4787" s="161"/>
      <c r="B4787" s="161"/>
      <c r="C4787" s="162"/>
      <c r="D4787" s="163"/>
      <c r="E4787" s="164" t="str">
        <f>IFERROR(__xludf.DUMMYFUNCTION("""COMPUTED_VALUE"""),"")</f>
        <v/>
      </c>
      <c r="F4787" s="163"/>
      <c r="G4787" s="163"/>
      <c r="H4787" s="163"/>
      <c r="I4787" s="163"/>
      <c r="J4787" s="165"/>
      <c r="K4787" s="165"/>
      <c r="L4787" s="165"/>
      <c r="M4787" s="166"/>
      <c r="N4787" s="167"/>
      <c r="O4787" s="163"/>
      <c r="P4787" s="163"/>
      <c r="Q4787" s="163"/>
      <c r="R4787" s="163"/>
      <c r="S4787" s="161"/>
      <c r="T4787" s="161"/>
      <c r="U4787" s="161"/>
      <c r="V4787" s="161"/>
      <c r="W4787" s="161"/>
      <c r="X4787" s="161"/>
      <c r="Y4787" s="161"/>
      <c r="Z4787" s="168"/>
      <c r="AA4787" s="168"/>
      <c r="AB4787" s="168"/>
      <c r="AC4787" s="168"/>
    </row>
    <row r="4788">
      <c r="A4788" s="161"/>
      <c r="B4788" s="161"/>
      <c r="C4788" s="162"/>
      <c r="D4788" s="163"/>
      <c r="E4788" s="164" t="str">
        <f>IFERROR(__xludf.DUMMYFUNCTION("""COMPUTED_VALUE"""),"")</f>
        <v/>
      </c>
      <c r="F4788" s="163"/>
      <c r="G4788" s="163"/>
      <c r="H4788" s="163"/>
      <c r="I4788" s="163"/>
      <c r="J4788" s="165"/>
      <c r="K4788" s="165"/>
      <c r="L4788" s="165"/>
      <c r="M4788" s="166"/>
      <c r="N4788" s="167"/>
      <c r="O4788" s="163"/>
      <c r="P4788" s="163"/>
      <c r="Q4788" s="163"/>
      <c r="R4788" s="163"/>
      <c r="S4788" s="161"/>
      <c r="T4788" s="161"/>
      <c r="U4788" s="161"/>
      <c r="V4788" s="161"/>
      <c r="W4788" s="161"/>
      <c r="X4788" s="161"/>
      <c r="Y4788" s="161"/>
      <c r="Z4788" s="168"/>
      <c r="AA4788" s="168"/>
      <c r="AB4788" s="168"/>
      <c r="AC4788" s="168"/>
    </row>
    <row r="4789">
      <c r="A4789" s="161"/>
      <c r="B4789" s="161"/>
      <c r="C4789" s="162"/>
      <c r="D4789" s="163"/>
      <c r="E4789" s="164" t="str">
        <f>IFERROR(__xludf.DUMMYFUNCTION("""COMPUTED_VALUE"""),"")</f>
        <v/>
      </c>
      <c r="F4789" s="163"/>
      <c r="G4789" s="163"/>
      <c r="H4789" s="163"/>
      <c r="I4789" s="163"/>
      <c r="J4789" s="165"/>
      <c r="K4789" s="165"/>
      <c r="L4789" s="165"/>
      <c r="M4789" s="166"/>
      <c r="N4789" s="167"/>
      <c r="O4789" s="163"/>
      <c r="P4789" s="163"/>
      <c r="Q4789" s="163"/>
      <c r="R4789" s="163"/>
      <c r="S4789" s="161"/>
      <c r="T4789" s="161"/>
      <c r="U4789" s="161"/>
      <c r="V4789" s="161"/>
      <c r="W4789" s="161"/>
      <c r="X4789" s="161"/>
      <c r="Y4789" s="161"/>
      <c r="Z4789" s="168"/>
      <c r="AA4789" s="168"/>
      <c r="AB4789" s="168"/>
      <c r="AC4789" s="168"/>
    </row>
    <row r="4790">
      <c r="A4790" s="161"/>
      <c r="B4790" s="161"/>
      <c r="C4790" s="162"/>
      <c r="D4790" s="163"/>
      <c r="E4790" s="164" t="str">
        <f>IFERROR(__xludf.DUMMYFUNCTION("""COMPUTED_VALUE"""),"")</f>
        <v/>
      </c>
      <c r="F4790" s="163"/>
      <c r="G4790" s="163"/>
      <c r="H4790" s="163"/>
      <c r="I4790" s="163"/>
      <c r="J4790" s="165"/>
      <c r="K4790" s="165"/>
      <c r="L4790" s="165"/>
      <c r="M4790" s="166"/>
      <c r="N4790" s="167"/>
      <c r="O4790" s="163"/>
      <c r="P4790" s="163"/>
      <c r="Q4790" s="163"/>
      <c r="R4790" s="163"/>
      <c r="S4790" s="161"/>
      <c r="T4790" s="161"/>
      <c r="U4790" s="161"/>
      <c r="V4790" s="161"/>
      <c r="W4790" s="161"/>
      <c r="X4790" s="161"/>
      <c r="Y4790" s="161"/>
      <c r="Z4790" s="168"/>
      <c r="AA4790" s="168"/>
      <c r="AB4790" s="168"/>
      <c r="AC4790" s="168"/>
    </row>
    <row r="4791">
      <c r="A4791" s="161"/>
      <c r="B4791" s="161"/>
      <c r="C4791" s="162"/>
      <c r="D4791" s="163"/>
      <c r="E4791" s="164" t="str">
        <f>IFERROR(__xludf.DUMMYFUNCTION("""COMPUTED_VALUE"""),"")</f>
        <v/>
      </c>
      <c r="F4791" s="163"/>
      <c r="G4791" s="163"/>
      <c r="H4791" s="163"/>
      <c r="I4791" s="163"/>
      <c r="J4791" s="165"/>
      <c r="K4791" s="165"/>
      <c r="L4791" s="165"/>
      <c r="M4791" s="166"/>
      <c r="N4791" s="167"/>
      <c r="O4791" s="163"/>
      <c r="P4791" s="163"/>
      <c r="Q4791" s="163"/>
      <c r="R4791" s="163"/>
      <c r="S4791" s="161"/>
      <c r="T4791" s="161"/>
      <c r="U4791" s="161"/>
      <c r="V4791" s="161"/>
      <c r="W4791" s="161"/>
      <c r="X4791" s="161"/>
      <c r="Y4791" s="161"/>
      <c r="Z4791" s="168"/>
      <c r="AA4791" s="168"/>
      <c r="AB4791" s="168"/>
      <c r="AC4791" s="168"/>
    </row>
    <row r="4792">
      <c r="A4792" s="161"/>
      <c r="B4792" s="161"/>
      <c r="C4792" s="162"/>
      <c r="D4792" s="163"/>
      <c r="E4792" s="164" t="str">
        <f>IFERROR(__xludf.DUMMYFUNCTION("""COMPUTED_VALUE"""),"")</f>
        <v/>
      </c>
      <c r="F4792" s="163"/>
      <c r="G4792" s="163"/>
      <c r="H4792" s="163"/>
      <c r="I4792" s="163"/>
      <c r="J4792" s="165"/>
      <c r="K4792" s="165"/>
      <c r="L4792" s="165"/>
      <c r="M4792" s="166"/>
      <c r="N4792" s="167"/>
      <c r="O4792" s="163"/>
      <c r="P4792" s="163"/>
      <c r="Q4792" s="163"/>
      <c r="R4792" s="163"/>
      <c r="S4792" s="161"/>
      <c r="T4792" s="161"/>
      <c r="U4792" s="161"/>
      <c r="V4792" s="161"/>
      <c r="W4792" s="161"/>
      <c r="X4792" s="161"/>
      <c r="Y4792" s="161"/>
      <c r="Z4792" s="168"/>
      <c r="AA4792" s="168"/>
      <c r="AB4792" s="168"/>
      <c r="AC4792" s="168"/>
    </row>
    <row r="4793">
      <c r="A4793" s="161"/>
      <c r="B4793" s="161"/>
      <c r="C4793" s="162"/>
      <c r="D4793" s="163"/>
      <c r="E4793" s="164" t="str">
        <f>IFERROR(__xludf.DUMMYFUNCTION("""COMPUTED_VALUE"""),"")</f>
        <v/>
      </c>
      <c r="F4793" s="163"/>
      <c r="G4793" s="163"/>
      <c r="H4793" s="163"/>
      <c r="I4793" s="163"/>
      <c r="J4793" s="165"/>
      <c r="K4793" s="165"/>
      <c r="L4793" s="165"/>
      <c r="M4793" s="166"/>
      <c r="N4793" s="167"/>
      <c r="O4793" s="163"/>
      <c r="P4793" s="163"/>
      <c r="Q4793" s="163"/>
      <c r="R4793" s="163"/>
      <c r="S4793" s="161"/>
      <c r="T4793" s="161"/>
      <c r="U4793" s="161"/>
      <c r="V4793" s="161"/>
      <c r="W4793" s="161"/>
      <c r="X4793" s="161"/>
      <c r="Y4793" s="161"/>
      <c r="Z4793" s="168"/>
      <c r="AA4793" s="168"/>
      <c r="AB4793" s="168"/>
      <c r="AC4793" s="168"/>
    </row>
    <row r="4794">
      <c r="A4794" s="161"/>
      <c r="B4794" s="161"/>
      <c r="C4794" s="162"/>
      <c r="D4794" s="163"/>
      <c r="E4794" s="164" t="str">
        <f>IFERROR(__xludf.DUMMYFUNCTION("""COMPUTED_VALUE"""),"")</f>
        <v/>
      </c>
      <c r="F4794" s="163"/>
      <c r="G4794" s="163"/>
      <c r="H4794" s="163"/>
      <c r="I4794" s="163"/>
      <c r="J4794" s="165"/>
      <c r="K4794" s="165"/>
      <c r="L4794" s="165"/>
      <c r="M4794" s="166"/>
      <c r="N4794" s="167"/>
      <c r="O4794" s="163"/>
      <c r="P4794" s="163"/>
      <c r="Q4794" s="163"/>
      <c r="R4794" s="163"/>
      <c r="S4794" s="161"/>
      <c r="T4794" s="161"/>
      <c r="U4794" s="161"/>
      <c r="V4794" s="161"/>
      <c r="W4794" s="161"/>
      <c r="X4794" s="161"/>
      <c r="Y4794" s="161"/>
      <c r="Z4794" s="168"/>
      <c r="AA4794" s="168"/>
      <c r="AB4794" s="168"/>
      <c r="AC4794" s="168"/>
    </row>
    <row r="4795">
      <c r="A4795" s="161"/>
      <c r="B4795" s="161"/>
      <c r="C4795" s="162"/>
      <c r="D4795" s="163"/>
      <c r="E4795" s="164" t="str">
        <f>IFERROR(__xludf.DUMMYFUNCTION("""COMPUTED_VALUE"""),"")</f>
        <v/>
      </c>
      <c r="F4795" s="163"/>
      <c r="G4795" s="163"/>
      <c r="H4795" s="163"/>
      <c r="I4795" s="163"/>
      <c r="J4795" s="165"/>
      <c r="K4795" s="165"/>
      <c r="L4795" s="165"/>
      <c r="M4795" s="166"/>
      <c r="N4795" s="167"/>
      <c r="O4795" s="163"/>
      <c r="P4795" s="163"/>
      <c r="Q4795" s="163"/>
      <c r="R4795" s="163"/>
      <c r="S4795" s="161"/>
      <c r="T4795" s="161"/>
      <c r="U4795" s="161"/>
      <c r="V4795" s="161"/>
      <c r="W4795" s="161"/>
      <c r="X4795" s="161"/>
      <c r="Y4795" s="161"/>
      <c r="Z4795" s="168"/>
      <c r="AA4795" s="168"/>
      <c r="AB4795" s="168"/>
      <c r="AC4795" s="168"/>
    </row>
    <row r="4796">
      <c r="A4796" s="161"/>
      <c r="B4796" s="161"/>
      <c r="C4796" s="162"/>
      <c r="D4796" s="163"/>
      <c r="E4796" s="164" t="str">
        <f>IFERROR(__xludf.DUMMYFUNCTION("""COMPUTED_VALUE"""),"")</f>
        <v/>
      </c>
      <c r="F4796" s="163"/>
      <c r="G4796" s="163"/>
      <c r="H4796" s="163"/>
      <c r="I4796" s="163"/>
      <c r="J4796" s="165"/>
      <c r="K4796" s="165"/>
      <c r="L4796" s="165"/>
      <c r="M4796" s="166"/>
      <c r="N4796" s="167"/>
      <c r="O4796" s="163"/>
      <c r="P4796" s="163"/>
      <c r="Q4796" s="163"/>
      <c r="R4796" s="163"/>
      <c r="S4796" s="161"/>
      <c r="T4796" s="161"/>
      <c r="U4796" s="161"/>
      <c r="V4796" s="161"/>
      <c r="W4796" s="161"/>
      <c r="X4796" s="161"/>
      <c r="Y4796" s="161"/>
      <c r="Z4796" s="168"/>
      <c r="AA4796" s="168"/>
      <c r="AB4796" s="168"/>
      <c r="AC4796" s="168"/>
    </row>
    <row r="4797">
      <c r="A4797" s="161"/>
      <c r="B4797" s="161"/>
      <c r="C4797" s="162"/>
      <c r="D4797" s="163"/>
      <c r="E4797" s="164" t="str">
        <f>IFERROR(__xludf.DUMMYFUNCTION("""COMPUTED_VALUE"""),"")</f>
        <v/>
      </c>
      <c r="F4797" s="163"/>
      <c r="G4797" s="163"/>
      <c r="H4797" s="163"/>
      <c r="I4797" s="163"/>
      <c r="J4797" s="165"/>
      <c r="K4797" s="165"/>
      <c r="L4797" s="165"/>
      <c r="M4797" s="166"/>
      <c r="N4797" s="167"/>
      <c r="O4797" s="163"/>
      <c r="P4797" s="163"/>
      <c r="Q4797" s="163"/>
      <c r="R4797" s="163"/>
      <c r="S4797" s="161"/>
      <c r="T4797" s="161"/>
      <c r="U4797" s="161"/>
      <c r="V4797" s="161"/>
      <c r="W4797" s="161"/>
      <c r="X4797" s="161"/>
      <c r="Y4797" s="161"/>
      <c r="Z4797" s="168"/>
      <c r="AA4797" s="168"/>
      <c r="AB4797" s="168"/>
      <c r="AC4797" s="168"/>
    </row>
    <row r="4798">
      <c r="A4798" s="161"/>
      <c r="B4798" s="161"/>
      <c r="C4798" s="162"/>
      <c r="D4798" s="163"/>
      <c r="E4798" s="164" t="str">
        <f>IFERROR(__xludf.DUMMYFUNCTION("""COMPUTED_VALUE"""),"")</f>
        <v/>
      </c>
      <c r="F4798" s="163"/>
      <c r="G4798" s="163"/>
      <c r="H4798" s="163"/>
      <c r="I4798" s="163"/>
      <c r="J4798" s="165"/>
      <c r="K4798" s="165"/>
      <c r="L4798" s="165"/>
      <c r="M4798" s="166"/>
      <c r="N4798" s="167"/>
      <c r="O4798" s="163"/>
      <c r="P4798" s="163"/>
      <c r="Q4798" s="163"/>
      <c r="R4798" s="163"/>
      <c r="S4798" s="161"/>
      <c r="T4798" s="161"/>
      <c r="U4798" s="161"/>
      <c r="V4798" s="161"/>
      <c r="W4798" s="161"/>
      <c r="X4798" s="161"/>
      <c r="Y4798" s="161"/>
      <c r="Z4798" s="168"/>
      <c r="AA4798" s="168"/>
      <c r="AB4798" s="168"/>
      <c r="AC4798" s="168"/>
    </row>
    <row r="4799">
      <c r="A4799" s="161"/>
      <c r="B4799" s="161"/>
      <c r="C4799" s="162"/>
      <c r="D4799" s="163"/>
      <c r="E4799" s="164" t="str">
        <f>IFERROR(__xludf.DUMMYFUNCTION("""COMPUTED_VALUE"""),"")</f>
        <v/>
      </c>
      <c r="F4799" s="163"/>
      <c r="G4799" s="163"/>
      <c r="H4799" s="163"/>
      <c r="I4799" s="163"/>
      <c r="J4799" s="165"/>
      <c r="K4799" s="165"/>
      <c r="L4799" s="165"/>
      <c r="M4799" s="166"/>
      <c r="N4799" s="167"/>
      <c r="O4799" s="163"/>
      <c r="P4799" s="163"/>
      <c r="Q4799" s="163"/>
      <c r="R4799" s="163"/>
      <c r="S4799" s="161"/>
      <c r="T4799" s="161"/>
      <c r="U4799" s="161"/>
      <c r="V4799" s="161"/>
      <c r="W4799" s="161"/>
      <c r="X4799" s="161"/>
      <c r="Y4799" s="161"/>
      <c r="Z4799" s="168"/>
      <c r="AA4799" s="168"/>
      <c r="AB4799" s="168"/>
      <c r="AC4799" s="168"/>
    </row>
    <row r="4800">
      <c r="A4800" s="161"/>
      <c r="B4800" s="161"/>
      <c r="C4800" s="162"/>
      <c r="D4800" s="163"/>
      <c r="E4800" s="164" t="str">
        <f>IFERROR(__xludf.DUMMYFUNCTION("""COMPUTED_VALUE"""),"")</f>
        <v/>
      </c>
      <c r="F4800" s="163"/>
      <c r="G4800" s="163"/>
      <c r="H4800" s="163"/>
      <c r="I4800" s="163"/>
      <c r="J4800" s="165"/>
      <c r="K4800" s="165"/>
      <c r="L4800" s="165"/>
      <c r="M4800" s="166"/>
      <c r="N4800" s="167"/>
      <c r="O4800" s="163"/>
      <c r="P4800" s="163"/>
      <c r="Q4800" s="163"/>
      <c r="R4800" s="163"/>
      <c r="S4800" s="161"/>
      <c r="T4800" s="161"/>
      <c r="U4800" s="161"/>
      <c r="V4800" s="161"/>
      <c r="W4800" s="161"/>
      <c r="X4800" s="161"/>
      <c r="Y4800" s="161"/>
      <c r="Z4800" s="168"/>
      <c r="AA4800" s="168"/>
      <c r="AB4800" s="168"/>
      <c r="AC4800" s="168"/>
    </row>
    <row r="4801">
      <c r="A4801" s="161"/>
      <c r="B4801" s="161"/>
      <c r="C4801" s="162"/>
      <c r="D4801" s="163"/>
      <c r="E4801" s="164" t="str">
        <f>IFERROR(__xludf.DUMMYFUNCTION("""COMPUTED_VALUE"""),"")</f>
        <v/>
      </c>
      <c r="F4801" s="163"/>
      <c r="G4801" s="163"/>
      <c r="H4801" s="163"/>
      <c r="I4801" s="163"/>
      <c r="J4801" s="165"/>
      <c r="K4801" s="165"/>
      <c r="L4801" s="165"/>
      <c r="M4801" s="166"/>
      <c r="N4801" s="167"/>
      <c r="O4801" s="163"/>
      <c r="P4801" s="163"/>
      <c r="Q4801" s="163"/>
      <c r="R4801" s="163"/>
      <c r="S4801" s="161"/>
      <c r="T4801" s="161"/>
      <c r="U4801" s="161"/>
      <c r="V4801" s="161"/>
      <c r="W4801" s="161"/>
      <c r="X4801" s="161"/>
      <c r="Y4801" s="161"/>
      <c r="Z4801" s="168"/>
      <c r="AA4801" s="168"/>
      <c r="AB4801" s="168"/>
      <c r="AC4801" s="168"/>
    </row>
    <row r="4802">
      <c r="A4802" s="161"/>
      <c r="B4802" s="161"/>
      <c r="C4802" s="162"/>
      <c r="D4802" s="163"/>
      <c r="E4802" s="164" t="str">
        <f>IFERROR(__xludf.DUMMYFUNCTION("""COMPUTED_VALUE"""),"")</f>
        <v/>
      </c>
      <c r="F4802" s="163"/>
      <c r="G4802" s="163"/>
      <c r="H4802" s="163"/>
      <c r="I4802" s="163"/>
      <c r="J4802" s="165"/>
      <c r="K4802" s="165"/>
      <c r="L4802" s="165"/>
      <c r="M4802" s="166"/>
      <c r="N4802" s="167"/>
      <c r="O4802" s="163"/>
      <c r="P4802" s="163"/>
      <c r="Q4802" s="163"/>
      <c r="R4802" s="163"/>
      <c r="S4802" s="161"/>
      <c r="T4802" s="161"/>
      <c r="U4802" s="161"/>
      <c r="V4802" s="161"/>
      <c r="W4802" s="161"/>
      <c r="X4802" s="161"/>
      <c r="Y4802" s="161"/>
      <c r="Z4802" s="168"/>
      <c r="AA4802" s="168"/>
      <c r="AB4802" s="168"/>
      <c r="AC4802" s="168"/>
    </row>
    <row r="4803">
      <c r="A4803" s="161"/>
      <c r="B4803" s="161"/>
      <c r="C4803" s="162"/>
      <c r="D4803" s="163"/>
      <c r="E4803" s="164" t="str">
        <f>IFERROR(__xludf.DUMMYFUNCTION("""COMPUTED_VALUE"""),"")</f>
        <v/>
      </c>
      <c r="F4803" s="163"/>
      <c r="G4803" s="163"/>
      <c r="H4803" s="163"/>
      <c r="I4803" s="163"/>
      <c r="J4803" s="165"/>
      <c r="K4803" s="165"/>
      <c r="L4803" s="165"/>
      <c r="M4803" s="166"/>
      <c r="N4803" s="167"/>
      <c r="O4803" s="163"/>
      <c r="P4803" s="163"/>
      <c r="Q4803" s="163"/>
      <c r="R4803" s="163"/>
      <c r="S4803" s="161"/>
      <c r="T4803" s="161"/>
      <c r="U4803" s="161"/>
      <c r="V4803" s="161"/>
      <c r="W4803" s="161"/>
      <c r="X4803" s="161"/>
      <c r="Y4803" s="161"/>
      <c r="Z4803" s="168"/>
      <c r="AA4803" s="168"/>
      <c r="AB4803" s="168"/>
      <c r="AC4803" s="168"/>
    </row>
    <row r="4804">
      <c r="A4804" s="161"/>
      <c r="B4804" s="161"/>
      <c r="C4804" s="162"/>
      <c r="D4804" s="163"/>
      <c r="E4804" s="164" t="str">
        <f>IFERROR(__xludf.DUMMYFUNCTION("""COMPUTED_VALUE"""),"")</f>
        <v/>
      </c>
      <c r="F4804" s="163"/>
      <c r="G4804" s="163"/>
      <c r="H4804" s="163"/>
      <c r="I4804" s="163"/>
      <c r="J4804" s="165"/>
      <c r="K4804" s="165"/>
      <c r="L4804" s="165"/>
      <c r="M4804" s="166"/>
      <c r="N4804" s="167"/>
      <c r="O4804" s="163"/>
      <c r="P4804" s="163"/>
      <c r="Q4804" s="163"/>
      <c r="R4804" s="163"/>
      <c r="S4804" s="161"/>
      <c r="T4804" s="161"/>
      <c r="U4804" s="161"/>
      <c r="V4804" s="161"/>
      <c r="W4804" s="161"/>
      <c r="X4804" s="161"/>
      <c r="Y4804" s="161"/>
      <c r="Z4804" s="168"/>
      <c r="AA4804" s="168"/>
      <c r="AB4804" s="168"/>
      <c r="AC4804" s="168"/>
    </row>
    <row r="4805">
      <c r="A4805" s="161"/>
      <c r="B4805" s="161"/>
      <c r="C4805" s="162"/>
      <c r="D4805" s="163"/>
      <c r="E4805" s="164" t="str">
        <f>IFERROR(__xludf.DUMMYFUNCTION("""COMPUTED_VALUE"""),"")</f>
        <v/>
      </c>
      <c r="F4805" s="163"/>
      <c r="G4805" s="163"/>
      <c r="H4805" s="163"/>
      <c r="I4805" s="163"/>
      <c r="J4805" s="165"/>
      <c r="K4805" s="165"/>
      <c r="L4805" s="165"/>
      <c r="M4805" s="166"/>
      <c r="N4805" s="167"/>
      <c r="O4805" s="163"/>
      <c r="P4805" s="163"/>
      <c r="Q4805" s="163"/>
      <c r="R4805" s="163"/>
      <c r="S4805" s="161"/>
      <c r="T4805" s="161"/>
      <c r="U4805" s="161"/>
      <c r="V4805" s="161"/>
      <c r="W4805" s="161"/>
      <c r="X4805" s="161"/>
      <c r="Y4805" s="161"/>
      <c r="Z4805" s="168"/>
      <c r="AA4805" s="168"/>
      <c r="AB4805" s="168"/>
      <c r="AC4805" s="168"/>
    </row>
    <row r="4806">
      <c r="A4806" s="161"/>
      <c r="B4806" s="161"/>
      <c r="C4806" s="162"/>
      <c r="D4806" s="163"/>
      <c r="E4806" s="164" t="str">
        <f>IFERROR(__xludf.DUMMYFUNCTION("""COMPUTED_VALUE"""),"")</f>
        <v/>
      </c>
      <c r="F4806" s="163"/>
      <c r="G4806" s="163"/>
      <c r="H4806" s="163"/>
      <c r="I4806" s="163"/>
      <c r="J4806" s="165"/>
      <c r="K4806" s="165"/>
      <c r="L4806" s="165"/>
      <c r="M4806" s="166"/>
      <c r="N4806" s="167"/>
      <c r="O4806" s="163"/>
      <c r="P4806" s="163"/>
      <c r="Q4806" s="163"/>
      <c r="R4806" s="163"/>
      <c r="S4806" s="161"/>
      <c r="T4806" s="161"/>
      <c r="U4806" s="161"/>
      <c r="V4806" s="161"/>
      <c r="W4806" s="161"/>
      <c r="X4806" s="161"/>
      <c r="Y4806" s="161"/>
      <c r="Z4806" s="168"/>
      <c r="AA4806" s="168"/>
      <c r="AB4806" s="168"/>
      <c r="AC4806" s="168"/>
    </row>
    <row r="4807">
      <c r="A4807" s="161"/>
      <c r="B4807" s="161"/>
      <c r="C4807" s="162"/>
      <c r="D4807" s="163"/>
      <c r="E4807" s="164" t="str">
        <f>IFERROR(__xludf.DUMMYFUNCTION("""COMPUTED_VALUE"""),"")</f>
        <v/>
      </c>
      <c r="F4807" s="163"/>
      <c r="G4807" s="163"/>
      <c r="H4807" s="163"/>
      <c r="I4807" s="163"/>
      <c r="J4807" s="165"/>
      <c r="K4807" s="165"/>
      <c r="L4807" s="165"/>
      <c r="M4807" s="166"/>
      <c r="N4807" s="167"/>
      <c r="O4807" s="163"/>
      <c r="P4807" s="163"/>
      <c r="Q4807" s="163"/>
      <c r="R4807" s="163"/>
      <c r="S4807" s="161"/>
      <c r="T4807" s="161"/>
      <c r="U4807" s="161"/>
      <c r="V4807" s="161"/>
      <c r="W4807" s="161"/>
      <c r="X4807" s="161"/>
      <c r="Y4807" s="161"/>
      <c r="Z4807" s="168"/>
      <c r="AA4807" s="168"/>
      <c r="AB4807" s="168"/>
      <c r="AC4807" s="168"/>
    </row>
    <row r="4808">
      <c r="A4808" s="161"/>
      <c r="B4808" s="161"/>
      <c r="C4808" s="162"/>
      <c r="D4808" s="163"/>
      <c r="E4808" s="164" t="str">
        <f>IFERROR(__xludf.DUMMYFUNCTION("""COMPUTED_VALUE"""),"")</f>
        <v/>
      </c>
      <c r="F4808" s="163"/>
      <c r="G4808" s="163"/>
      <c r="H4808" s="163"/>
      <c r="I4808" s="163"/>
      <c r="J4808" s="165"/>
      <c r="K4808" s="165"/>
      <c r="L4808" s="165"/>
      <c r="M4808" s="166"/>
      <c r="N4808" s="167"/>
      <c r="O4808" s="163"/>
      <c r="P4808" s="163"/>
      <c r="Q4808" s="163"/>
      <c r="R4808" s="163"/>
      <c r="S4808" s="161"/>
      <c r="T4808" s="161"/>
      <c r="U4808" s="161"/>
      <c r="V4808" s="161"/>
      <c r="W4808" s="161"/>
      <c r="X4808" s="161"/>
      <c r="Y4808" s="161"/>
      <c r="Z4808" s="168"/>
      <c r="AA4808" s="168"/>
      <c r="AB4808" s="168"/>
      <c r="AC4808" s="168"/>
    </row>
    <row r="4809">
      <c r="A4809" s="161"/>
      <c r="B4809" s="161"/>
      <c r="C4809" s="162"/>
      <c r="D4809" s="163"/>
      <c r="E4809" s="164" t="str">
        <f>IFERROR(__xludf.DUMMYFUNCTION("""COMPUTED_VALUE"""),"")</f>
        <v/>
      </c>
      <c r="F4809" s="163"/>
      <c r="G4809" s="163"/>
      <c r="H4809" s="163"/>
      <c r="I4809" s="163"/>
      <c r="J4809" s="165"/>
      <c r="K4809" s="165"/>
      <c r="L4809" s="165"/>
      <c r="M4809" s="166"/>
      <c r="N4809" s="167"/>
      <c r="O4809" s="163"/>
      <c r="P4809" s="163"/>
      <c r="Q4809" s="163"/>
      <c r="R4809" s="163"/>
      <c r="S4809" s="161"/>
      <c r="T4809" s="161"/>
      <c r="U4809" s="161"/>
      <c r="V4809" s="161"/>
      <c r="W4809" s="161"/>
      <c r="X4809" s="161"/>
      <c r="Y4809" s="161"/>
      <c r="Z4809" s="168"/>
      <c r="AA4809" s="168"/>
      <c r="AB4809" s="168"/>
      <c r="AC4809" s="168"/>
    </row>
    <row r="4810">
      <c r="A4810" s="161"/>
      <c r="B4810" s="161"/>
      <c r="C4810" s="162"/>
      <c r="D4810" s="163"/>
      <c r="E4810" s="164" t="str">
        <f>IFERROR(__xludf.DUMMYFUNCTION("""COMPUTED_VALUE"""),"")</f>
        <v/>
      </c>
      <c r="F4810" s="163"/>
      <c r="G4810" s="163"/>
      <c r="H4810" s="163"/>
      <c r="I4810" s="163"/>
      <c r="J4810" s="165"/>
      <c r="K4810" s="165"/>
      <c r="L4810" s="165"/>
      <c r="M4810" s="166"/>
      <c r="N4810" s="167"/>
      <c r="O4810" s="163"/>
      <c r="P4810" s="163"/>
      <c r="Q4810" s="163"/>
      <c r="R4810" s="163"/>
      <c r="S4810" s="161"/>
      <c r="T4810" s="161"/>
      <c r="U4810" s="161"/>
      <c r="V4810" s="161"/>
      <c r="W4810" s="161"/>
      <c r="X4810" s="161"/>
      <c r="Y4810" s="161"/>
      <c r="Z4810" s="168"/>
      <c r="AA4810" s="168"/>
      <c r="AB4810" s="168"/>
      <c r="AC4810" s="168"/>
    </row>
    <row r="4811">
      <c r="A4811" s="161"/>
      <c r="B4811" s="161"/>
      <c r="C4811" s="162"/>
      <c r="D4811" s="163"/>
      <c r="E4811" s="164" t="str">
        <f>IFERROR(__xludf.DUMMYFUNCTION("""COMPUTED_VALUE"""),"")</f>
        <v/>
      </c>
      <c r="F4811" s="163"/>
      <c r="G4811" s="163"/>
      <c r="H4811" s="163"/>
      <c r="I4811" s="163"/>
      <c r="J4811" s="165"/>
      <c r="K4811" s="165"/>
      <c r="L4811" s="165"/>
      <c r="M4811" s="166"/>
      <c r="N4811" s="167"/>
      <c r="O4811" s="163"/>
      <c r="P4811" s="163"/>
      <c r="Q4811" s="163"/>
      <c r="R4811" s="163"/>
      <c r="S4811" s="161"/>
      <c r="T4811" s="161"/>
      <c r="U4811" s="161"/>
      <c r="V4811" s="161"/>
      <c r="W4811" s="161"/>
      <c r="X4811" s="161"/>
      <c r="Y4811" s="161"/>
      <c r="Z4811" s="168"/>
      <c r="AA4811" s="168"/>
      <c r="AB4811" s="168"/>
      <c r="AC4811" s="168"/>
    </row>
    <row r="4812">
      <c r="A4812" s="161"/>
      <c r="B4812" s="161"/>
      <c r="C4812" s="162"/>
      <c r="D4812" s="163"/>
      <c r="E4812" s="164" t="str">
        <f>IFERROR(__xludf.DUMMYFUNCTION("""COMPUTED_VALUE"""),"")</f>
        <v/>
      </c>
      <c r="F4812" s="163"/>
      <c r="G4812" s="163"/>
      <c r="H4812" s="163"/>
      <c r="I4812" s="163"/>
      <c r="J4812" s="165"/>
      <c r="K4812" s="165"/>
      <c r="L4812" s="165"/>
      <c r="M4812" s="166"/>
      <c r="N4812" s="167"/>
      <c r="O4812" s="163"/>
      <c r="P4812" s="163"/>
      <c r="Q4812" s="163"/>
      <c r="R4812" s="163"/>
      <c r="S4812" s="161"/>
      <c r="T4812" s="161"/>
      <c r="U4812" s="161"/>
      <c r="V4812" s="161"/>
      <c r="W4812" s="161"/>
      <c r="X4812" s="161"/>
      <c r="Y4812" s="161"/>
      <c r="Z4812" s="168"/>
      <c r="AA4812" s="168"/>
      <c r="AB4812" s="168"/>
      <c r="AC4812" s="168"/>
    </row>
    <row r="4813">
      <c r="A4813" s="161"/>
      <c r="B4813" s="161"/>
      <c r="C4813" s="162"/>
      <c r="D4813" s="163"/>
      <c r="E4813" s="164" t="str">
        <f>IFERROR(__xludf.DUMMYFUNCTION("""COMPUTED_VALUE"""),"")</f>
        <v/>
      </c>
      <c r="F4813" s="163"/>
      <c r="G4813" s="163"/>
      <c r="H4813" s="163"/>
      <c r="I4813" s="163"/>
      <c r="J4813" s="165"/>
      <c r="K4813" s="165"/>
      <c r="L4813" s="165"/>
      <c r="M4813" s="166"/>
      <c r="N4813" s="167"/>
      <c r="O4813" s="163"/>
      <c r="P4813" s="163"/>
      <c r="Q4813" s="163"/>
      <c r="R4813" s="163"/>
      <c r="S4813" s="161"/>
      <c r="T4813" s="161"/>
      <c r="U4813" s="161"/>
      <c r="V4813" s="161"/>
      <c r="W4813" s="161"/>
      <c r="X4813" s="161"/>
      <c r="Y4813" s="161"/>
      <c r="Z4813" s="168"/>
      <c r="AA4813" s="168"/>
      <c r="AB4813" s="168"/>
      <c r="AC4813" s="168"/>
    </row>
    <row r="4814">
      <c r="A4814" s="161"/>
      <c r="B4814" s="161"/>
      <c r="C4814" s="162"/>
      <c r="D4814" s="163"/>
      <c r="E4814" s="164" t="str">
        <f>IFERROR(__xludf.DUMMYFUNCTION("""COMPUTED_VALUE"""),"")</f>
        <v/>
      </c>
      <c r="F4814" s="163"/>
      <c r="G4814" s="163"/>
      <c r="H4814" s="163"/>
      <c r="I4814" s="163"/>
      <c r="J4814" s="165"/>
      <c r="K4814" s="165"/>
      <c r="L4814" s="165"/>
      <c r="M4814" s="166"/>
      <c r="N4814" s="167"/>
      <c r="O4814" s="163"/>
      <c r="P4814" s="163"/>
      <c r="Q4814" s="163"/>
      <c r="R4814" s="163"/>
      <c r="S4814" s="161"/>
      <c r="T4814" s="161"/>
      <c r="U4814" s="161"/>
      <c r="V4814" s="161"/>
      <c r="W4814" s="161"/>
      <c r="X4814" s="161"/>
      <c r="Y4814" s="161"/>
      <c r="Z4814" s="168"/>
      <c r="AA4814" s="168"/>
      <c r="AB4814" s="168"/>
      <c r="AC4814" s="168"/>
    </row>
    <row r="4815">
      <c r="A4815" s="161"/>
      <c r="B4815" s="161"/>
      <c r="C4815" s="162"/>
      <c r="D4815" s="163"/>
      <c r="E4815" s="164" t="str">
        <f>IFERROR(__xludf.DUMMYFUNCTION("""COMPUTED_VALUE"""),"")</f>
        <v/>
      </c>
      <c r="F4815" s="163"/>
      <c r="G4815" s="163"/>
      <c r="H4815" s="163"/>
      <c r="I4815" s="163"/>
      <c r="J4815" s="165"/>
      <c r="K4815" s="165"/>
      <c r="L4815" s="165"/>
      <c r="M4815" s="166"/>
      <c r="N4815" s="167"/>
      <c r="O4815" s="163"/>
      <c r="P4815" s="163"/>
      <c r="Q4815" s="163"/>
      <c r="R4815" s="163"/>
      <c r="S4815" s="161"/>
      <c r="T4815" s="161"/>
      <c r="U4815" s="161"/>
      <c r="V4815" s="161"/>
      <c r="W4815" s="161"/>
      <c r="X4815" s="161"/>
      <c r="Y4815" s="161"/>
      <c r="Z4815" s="168"/>
      <c r="AA4815" s="168"/>
      <c r="AB4815" s="168"/>
      <c r="AC4815" s="168"/>
    </row>
    <row r="4816">
      <c r="A4816" s="161"/>
      <c r="B4816" s="161"/>
      <c r="C4816" s="162"/>
      <c r="D4816" s="163"/>
      <c r="E4816" s="164" t="str">
        <f>IFERROR(__xludf.DUMMYFUNCTION("""COMPUTED_VALUE"""),"")</f>
        <v/>
      </c>
      <c r="F4816" s="163"/>
      <c r="G4816" s="163"/>
      <c r="H4816" s="163"/>
      <c r="I4816" s="163"/>
      <c r="J4816" s="165"/>
      <c r="K4816" s="165"/>
      <c r="L4816" s="165"/>
      <c r="M4816" s="166"/>
      <c r="N4816" s="167"/>
      <c r="O4816" s="163"/>
      <c r="P4816" s="163"/>
      <c r="Q4816" s="163"/>
      <c r="R4816" s="163"/>
      <c r="S4816" s="161"/>
      <c r="T4816" s="161"/>
      <c r="U4816" s="161"/>
      <c r="V4816" s="161"/>
      <c r="W4816" s="161"/>
      <c r="X4816" s="161"/>
      <c r="Y4816" s="161"/>
      <c r="Z4816" s="168"/>
      <c r="AA4816" s="168"/>
      <c r="AB4816" s="168"/>
      <c r="AC4816" s="168"/>
    </row>
    <row r="4817">
      <c r="A4817" s="161"/>
      <c r="B4817" s="161"/>
      <c r="C4817" s="162"/>
      <c r="D4817" s="163"/>
      <c r="E4817" s="164" t="str">
        <f>IFERROR(__xludf.DUMMYFUNCTION("""COMPUTED_VALUE"""),"")</f>
        <v/>
      </c>
      <c r="F4817" s="163"/>
      <c r="G4817" s="163"/>
      <c r="H4817" s="163"/>
      <c r="I4817" s="163"/>
      <c r="J4817" s="165"/>
      <c r="K4817" s="165"/>
      <c r="L4817" s="165"/>
      <c r="M4817" s="166"/>
      <c r="N4817" s="167"/>
      <c r="O4817" s="163"/>
      <c r="P4817" s="163"/>
      <c r="Q4817" s="163"/>
      <c r="R4817" s="163"/>
      <c r="S4817" s="161"/>
      <c r="T4817" s="161"/>
      <c r="U4817" s="161"/>
      <c r="V4817" s="161"/>
      <c r="W4817" s="161"/>
      <c r="X4817" s="161"/>
      <c r="Y4817" s="161"/>
      <c r="Z4817" s="168"/>
      <c r="AA4817" s="168"/>
      <c r="AB4817" s="168"/>
      <c r="AC4817" s="168"/>
    </row>
    <row r="4818">
      <c r="A4818" s="161"/>
      <c r="B4818" s="161"/>
      <c r="C4818" s="162"/>
      <c r="D4818" s="163"/>
      <c r="E4818" s="164" t="str">
        <f>IFERROR(__xludf.DUMMYFUNCTION("""COMPUTED_VALUE"""),"")</f>
        <v/>
      </c>
      <c r="F4818" s="163"/>
      <c r="G4818" s="163"/>
      <c r="H4818" s="163"/>
      <c r="I4818" s="163"/>
      <c r="J4818" s="165"/>
      <c r="K4818" s="165"/>
      <c r="L4818" s="165"/>
      <c r="M4818" s="166"/>
      <c r="N4818" s="167"/>
      <c r="O4818" s="163"/>
      <c r="P4818" s="163"/>
      <c r="Q4818" s="163"/>
      <c r="R4818" s="163"/>
      <c r="S4818" s="161"/>
      <c r="T4818" s="161"/>
      <c r="U4818" s="161"/>
      <c r="V4818" s="161"/>
      <c r="W4818" s="161"/>
      <c r="X4818" s="161"/>
      <c r="Y4818" s="161"/>
      <c r="Z4818" s="168"/>
      <c r="AA4818" s="168"/>
      <c r="AB4818" s="168"/>
      <c r="AC4818" s="168"/>
    </row>
    <row r="4819">
      <c r="A4819" s="161"/>
      <c r="B4819" s="161"/>
      <c r="C4819" s="162"/>
      <c r="D4819" s="163"/>
      <c r="E4819" s="164" t="str">
        <f>IFERROR(__xludf.DUMMYFUNCTION("""COMPUTED_VALUE"""),"")</f>
        <v/>
      </c>
      <c r="F4819" s="163"/>
      <c r="G4819" s="163"/>
      <c r="H4819" s="163"/>
      <c r="I4819" s="163"/>
      <c r="J4819" s="165"/>
      <c r="K4819" s="165"/>
      <c r="L4819" s="165"/>
      <c r="M4819" s="166"/>
      <c r="N4819" s="167"/>
      <c r="O4819" s="163"/>
      <c r="P4819" s="163"/>
      <c r="Q4819" s="163"/>
      <c r="R4819" s="163"/>
      <c r="S4819" s="161"/>
      <c r="T4819" s="161"/>
      <c r="U4819" s="161"/>
      <c r="V4819" s="161"/>
      <c r="W4819" s="161"/>
      <c r="X4819" s="161"/>
      <c r="Y4819" s="161"/>
      <c r="Z4819" s="168"/>
      <c r="AA4819" s="168"/>
      <c r="AB4819" s="168"/>
      <c r="AC4819" s="168"/>
    </row>
    <row r="4820">
      <c r="A4820" s="161"/>
      <c r="B4820" s="161"/>
      <c r="C4820" s="162"/>
      <c r="D4820" s="163"/>
      <c r="E4820" s="164" t="str">
        <f>IFERROR(__xludf.DUMMYFUNCTION("""COMPUTED_VALUE"""),"")</f>
        <v/>
      </c>
      <c r="F4820" s="163"/>
      <c r="G4820" s="163"/>
      <c r="H4820" s="163"/>
      <c r="I4820" s="163"/>
      <c r="J4820" s="165"/>
      <c r="K4820" s="165"/>
      <c r="L4820" s="165"/>
      <c r="M4820" s="166"/>
      <c r="N4820" s="167"/>
      <c r="O4820" s="163"/>
      <c r="P4820" s="163"/>
      <c r="Q4820" s="163"/>
      <c r="R4820" s="163"/>
      <c r="S4820" s="161"/>
      <c r="T4820" s="161"/>
      <c r="U4820" s="161"/>
      <c r="V4820" s="161"/>
      <c r="W4820" s="161"/>
      <c r="X4820" s="161"/>
      <c r="Y4820" s="161"/>
      <c r="Z4820" s="168"/>
      <c r="AA4820" s="168"/>
      <c r="AB4820" s="168"/>
      <c r="AC4820" s="168"/>
    </row>
    <row r="4821">
      <c r="A4821" s="161"/>
      <c r="B4821" s="161"/>
      <c r="C4821" s="162"/>
      <c r="D4821" s="163"/>
      <c r="E4821" s="164" t="str">
        <f>IFERROR(__xludf.DUMMYFUNCTION("""COMPUTED_VALUE"""),"")</f>
        <v/>
      </c>
      <c r="F4821" s="163"/>
      <c r="G4821" s="163"/>
      <c r="H4821" s="163"/>
      <c r="I4821" s="163"/>
      <c r="J4821" s="165"/>
      <c r="K4821" s="165"/>
      <c r="L4821" s="165"/>
      <c r="M4821" s="166"/>
      <c r="N4821" s="167"/>
      <c r="O4821" s="163"/>
      <c r="P4821" s="163"/>
      <c r="Q4821" s="163"/>
      <c r="R4821" s="163"/>
      <c r="S4821" s="161"/>
      <c r="T4821" s="161"/>
      <c r="U4821" s="161"/>
      <c r="V4821" s="161"/>
      <c r="W4821" s="161"/>
      <c r="X4821" s="161"/>
      <c r="Y4821" s="161"/>
      <c r="Z4821" s="168"/>
      <c r="AA4821" s="168"/>
      <c r="AB4821" s="168"/>
      <c r="AC4821" s="168"/>
    </row>
    <row r="4822">
      <c r="A4822" s="161"/>
      <c r="B4822" s="161"/>
      <c r="C4822" s="162"/>
      <c r="D4822" s="163"/>
      <c r="E4822" s="164" t="str">
        <f>IFERROR(__xludf.DUMMYFUNCTION("""COMPUTED_VALUE"""),"")</f>
        <v/>
      </c>
      <c r="F4822" s="163"/>
      <c r="G4822" s="163"/>
      <c r="H4822" s="163"/>
      <c r="I4822" s="163"/>
      <c r="J4822" s="165"/>
      <c r="K4822" s="165"/>
      <c r="L4822" s="165"/>
      <c r="M4822" s="166"/>
      <c r="N4822" s="167"/>
      <c r="O4822" s="163"/>
      <c r="P4822" s="163"/>
      <c r="Q4822" s="163"/>
      <c r="R4822" s="163"/>
      <c r="S4822" s="161"/>
      <c r="T4822" s="161"/>
      <c r="U4822" s="161"/>
      <c r="V4822" s="161"/>
      <c r="W4822" s="161"/>
      <c r="X4822" s="161"/>
      <c r="Y4822" s="161"/>
      <c r="Z4822" s="168"/>
      <c r="AA4822" s="168"/>
      <c r="AB4822" s="168"/>
      <c r="AC4822" s="168"/>
    </row>
    <row r="4823">
      <c r="A4823" s="161"/>
      <c r="B4823" s="161"/>
      <c r="C4823" s="162"/>
      <c r="D4823" s="163"/>
      <c r="E4823" s="164" t="str">
        <f>IFERROR(__xludf.DUMMYFUNCTION("""COMPUTED_VALUE"""),"")</f>
        <v/>
      </c>
      <c r="F4823" s="163"/>
      <c r="G4823" s="163"/>
      <c r="H4823" s="163"/>
      <c r="I4823" s="163"/>
      <c r="J4823" s="165"/>
      <c r="K4823" s="165"/>
      <c r="L4823" s="165"/>
      <c r="M4823" s="166"/>
      <c r="N4823" s="167"/>
      <c r="O4823" s="163"/>
      <c r="P4823" s="163"/>
      <c r="Q4823" s="163"/>
      <c r="R4823" s="163"/>
      <c r="S4823" s="161"/>
      <c r="T4823" s="161"/>
      <c r="U4823" s="161"/>
      <c r="V4823" s="161"/>
      <c r="W4823" s="161"/>
      <c r="X4823" s="161"/>
      <c r="Y4823" s="161"/>
      <c r="Z4823" s="168"/>
      <c r="AA4823" s="168"/>
      <c r="AB4823" s="168"/>
      <c r="AC4823" s="168"/>
    </row>
    <row r="4824">
      <c r="A4824" s="161"/>
      <c r="B4824" s="161"/>
      <c r="C4824" s="162"/>
      <c r="D4824" s="163"/>
      <c r="E4824" s="164" t="str">
        <f>IFERROR(__xludf.DUMMYFUNCTION("""COMPUTED_VALUE"""),"")</f>
        <v/>
      </c>
      <c r="F4824" s="163"/>
      <c r="G4824" s="163"/>
      <c r="H4824" s="163"/>
      <c r="I4824" s="163"/>
      <c r="J4824" s="165"/>
      <c r="K4824" s="165"/>
      <c r="L4824" s="165"/>
      <c r="M4824" s="166"/>
      <c r="N4824" s="167"/>
      <c r="O4824" s="163"/>
      <c r="P4824" s="163"/>
      <c r="Q4824" s="163"/>
      <c r="R4824" s="163"/>
      <c r="S4824" s="161"/>
      <c r="T4824" s="161"/>
      <c r="U4824" s="161"/>
      <c r="V4824" s="161"/>
      <c r="W4824" s="161"/>
      <c r="X4824" s="161"/>
      <c r="Y4824" s="161"/>
      <c r="Z4824" s="168"/>
      <c r="AA4824" s="168"/>
      <c r="AB4824" s="168"/>
      <c r="AC4824" s="168"/>
    </row>
    <row r="4825">
      <c r="A4825" s="161"/>
      <c r="B4825" s="161"/>
      <c r="C4825" s="162"/>
      <c r="D4825" s="163"/>
      <c r="E4825" s="164" t="str">
        <f>IFERROR(__xludf.DUMMYFUNCTION("""COMPUTED_VALUE"""),"")</f>
        <v/>
      </c>
      <c r="F4825" s="163"/>
      <c r="G4825" s="163"/>
      <c r="H4825" s="163"/>
      <c r="I4825" s="163"/>
      <c r="J4825" s="165"/>
      <c r="K4825" s="165"/>
      <c r="L4825" s="165"/>
      <c r="M4825" s="166"/>
      <c r="N4825" s="167"/>
      <c r="O4825" s="163"/>
      <c r="P4825" s="163"/>
      <c r="Q4825" s="163"/>
      <c r="R4825" s="163"/>
      <c r="S4825" s="161"/>
      <c r="T4825" s="161"/>
      <c r="U4825" s="161"/>
      <c r="V4825" s="161"/>
      <c r="W4825" s="161"/>
      <c r="X4825" s="161"/>
      <c r="Y4825" s="161"/>
      <c r="Z4825" s="168"/>
      <c r="AA4825" s="168"/>
      <c r="AB4825" s="168"/>
      <c r="AC4825" s="168"/>
    </row>
    <row r="4826">
      <c r="A4826" s="161"/>
      <c r="B4826" s="161"/>
      <c r="C4826" s="162"/>
      <c r="D4826" s="163"/>
      <c r="E4826" s="164" t="str">
        <f>IFERROR(__xludf.DUMMYFUNCTION("""COMPUTED_VALUE"""),"")</f>
        <v/>
      </c>
      <c r="F4826" s="163"/>
      <c r="G4826" s="163"/>
      <c r="H4826" s="163"/>
      <c r="I4826" s="163"/>
      <c r="J4826" s="165"/>
      <c r="K4826" s="165"/>
      <c r="L4826" s="165"/>
      <c r="M4826" s="166"/>
      <c r="N4826" s="167"/>
      <c r="O4826" s="163"/>
      <c r="P4826" s="163"/>
      <c r="Q4826" s="163"/>
      <c r="R4826" s="163"/>
      <c r="S4826" s="161"/>
      <c r="T4826" s="161"/>
      <c r="U4826" s="161"/>
      <c r="V4826" s="161"/>
      <c r="W4826" s="161"/>
      <c r="X4826" s="161"/>
      <c r="Y4826" s="161"/>
      <c r="Z4826" s="168"/>
      <c r="AA4826" s="168"/>
      <c r="AB4826" s="168"/>
      <c r="AC4826" s="168"/>
    </row>
    <row r="4827">
      <c r="A4827" s="161"/>
      <c r="B4827" s="161"/>
      <c r="C4827" s="162"/>
      <c r="D4827" s="163"/>
      <c r="E4827" s="164" t="str">
        <f>IFERROR(__xludf.DUMMYFUNCTION("""COMPUTED_VALUE"""),"")</f>
        <v/>
      </c>
      <c r="F4827" s="163"/>
      <c r="G4827" s="163"/>
      <c r="H4827" s="163"/>
      <c r="I4827" s="163"/>
      <c r="J4827" s="165"/>
      <c r="K4827" s="165"/>
      <c r="L4827" s="165"/>
      <c r="M4827" s="166"/>
      <c r="N4827" s="167"/>
      <c r="O4827" s="163"/>
      <c r="P4827" s="163"/>
      <c r="Q4827" s="163"/>
      <c r="R4827" s="163"/>
      <c r="S4827" s="161"/>
      <c r="T4827" s="161"/>
      <c r="U4827" s="161"/>
      <c r="V4827" s="161"/>
      <c r="W4827" s="161"/>
      <c r="X4827" s="161"/>
      <c r="Y4827" s="161"/>
      <c r="Z4827" s="168"/>
      <c r="AA4827" s="168"/>
      <c r="AB4827" s="168"/>
      <c r="AC4827" s="168"/>
    </row>
    <row r="4828">
      <c r="A4828" s="161"/>
      <c r="B4828" s="161"/>
      <c r="C4828" s="162"/>
      <c r="D4828" s="163"/>
      <c r="E4828" s="164" t="str">
        <f>IFERROR(__xludf.DUMMYFUNCTION("""COMPUTED_VALUE"""),"")</f>
        <v/>
      </c>
      <c r="F4828" s="163"/>
      <c r="G4828" s="163"/>
      <c r="H4828" s="163"/>
      <c r="I4828" s="163"/>
      <c r="J4828" s="165"/>
      <c r="K4828" s="165"/>
      <c r="L4828" s="165"/>
      <c r="M4828" s="166"/>
      <c r="N4828" s="167"/>
      <c r="O4828" s="163"/>
      <c r="P4828" s="163"/>
      <c r="Q4828" s="163"/>
      <c r="R4828" s="163"/>
      <c r="S4828" s="161"/>
      <c r="T4828" s="161"/>
      <c r="U4828" s="161"/>
      <c r="V4828" s="161"/>
      <c r="W4828" s="161"/>
      <c r="X4828" s="161"/>
      <c r="Y4828" s="161"/>
      <c r="Z4828" s="168"/>
      <c r="AA4828" s="168"/>
      <c r="AB4828" s="168"/>
      <c r="AC4828" s="168"/>
    </row>
    <row r="4829">
      <c r="A4829" s="161"/>
      <c r="B4829" s="161"/>
      <c r="C4829" s="162"/>
      <c r="D4829" s="163"/>
      <c r="E4829" s="164" t="str">
        <f>IFERROR(__xludf.DUMMYFUNCTION("""COMPUTED_VALUE"""),"")</f>
        <v/>
      </c>
      <c r="F4829" s="163"/>
      <c r="G4829" s="163"/>
      <c r="H4829" s="163"/>
      <c r="I4829" s="163"/>
      <c r="J4829" s="165"/>
      <c r="K4829" s="165"/>
      <c r="L4829" s="165"/>
      <c r="M4829" s="166"/>
      <c r="N4829" s="167"/>
      <c r="O4829" s="163"/>
      <c r="P4829" s="163"/>
      <c r="Q4829" s="163"/>
      <c r="R4829" s="163"/>
      <c r="S4829" s="161"/>
      <c r="T4829" s="161"/>
      <c r="U4829" s="161"/>
      <c r="V4829" s="161"/>
      <c r="W4829" s="161"/>
      <c r="X4829" s="161"/>
      <c r="Y4829" s="161"/>
      <c r="Z4829" s="168"/>
      <c r="AA4829" s="168"/>
      <c r="AB4829" s="168"/>
      <c r="AC4829" s="168"/>
    </row>
    <row r="4830">
      <c r="A4830" s="161"/>
      <c r="B4830" s="161"/>
      <c r="C4830" s="162"/>
      <c r="D4830" s="163"/>
      <c r="E4830" s="164" t="str">
        <f>IFERROR(__xludf.DUMMYFUNCTION("""COMPUTED_VALUE"""),"")</f>
        <v/>
      </c>
      <c r="F4830" s="163"/>
      <c r="G4830" s="163"/>
      <c r="H4830" s="163"/>
      <c r="I4830" s="163"/>
      <c r="J4830" s="165"/>
      <c r="K4830" s="165"/>
      <c r="L4830" s="165"/>
      <c r="M4830" s="166"/>
      <c r="N4830" s="167"/>
      <c r="O4830" s="163"/>
      <c r="P4830" s="163"/>
      <c r="Q4830" s="163"/>
      <c r="R4830" s="163"/>
      <c r="S4830" s="161"/>
      <c r="T4830" s="161"/>
      <c r="U4830" s="161"/>
      <c r="V4830" s="161"/>
      <c r="W4830" s="161"/>
      <c r="X4830" s="161"/>
      <c r="Y4830" s="161"/>
      <c r="Z4830" s="168"/>
      <c r="AA4830" s="168"/>
      <c r="AB4830" s="168"/>
      <c r="AC4830" s="168"/>
    </row>
    <row r="4831">
      <c r="A4831" s="161"/>
      <c r="B4831" s="161"/>
      <c r="C4831" s="162"/>
      <c r="D4831" s="163"/>
      <c r="E4831" s="164" t="str">
        <f>IFERROR(__xludf.DUMMYFUNCTION("""COMPUTED_VALUE"""),"")</f>
        <v/>
      </c>
      <c r="F4831" s="163"/>
      <c r="G4831" s="163"/>
      <c r="H4831" s="163"/>
      <c r="I4831" s="163"/>
      <c r="J4831" s="165"/>
      <c r="K4831" s="165"/>
      <c r="L4831" s="165"/>
      <c r="M4831" s="166"/>
      <c r="N4831" s="167"/>
      <c r="O4831" s="163"/>
      <c r="P4831" s="163"/>
      <c r="Q4831" s="163"/>
      <c r="R4831" s="163"/>
      <c r="S4831" s="161"/>
      <c r="T4831" s="161"/>
      <c r="U4831" s="161"/>
      <c r="V4831" s="161"/>
      <c r="W4831" s="161"/>
      <c r="X4831" s="161"/>
      <c r="Y4831" s="161"/>
      <c r="Z4831" s="168"/>
      <c r="AA4831" s="168"/>
      <c r="AB4831" s="168"/>
      <c r="AC4831" s="168"/>
    </row>
    <row r="4832">
      <c r="A4832" s="161"/>
      <c r="B4832" s="161"/>
      <c r="C4832" s="162"/>
      <c r="D4832" s="163"/>
      <c r="E4832" s="164" t="str">
        <f>IFERROR(__xludf.DUMMYFUNCTION("""COMPUTED_VALUE"""),"")</f>
        <v/>
      </c>
      <c r="F4832" s="163"/>
      <c r="G4832" s="163"/>
      <c r="H4832" s="163"/>
      <c r="I4832" s="163"/>
      <c r="J4832" s="165"/>
      <c r="K4832" s="165"/>
      <c r="L4832" s="165"/>
      <c r="M4832" s="166"/>
      <c r="N4832" s="167"/>
      <c r="O4832" s="163"/>
      <c r="P4832" s="163"/>
      <c r="Q4832" s="163"/>
      <c r="R4832" s="163"/>
      <c r="S4832" s="161"/>
      <c r="T4832" s="161"/>
      <c r="U4832" s="161"/>
      <c r="V4832" s="161"/>
      <c r="W4832" s="161"/>
      <c r="X4832" s="161"/>
      <c r="Y4832" s="161"/>
      <c r="Z4832" s="168"/>
      <c r="AA4832" s="168"/>
      <c r="AB4832" s="168"/>
      <c r="AC4832" s="168"/>
    </row>
    <row r="4833">
      <c r="A4833" s="161"/>
      <c r="B4833" s="161"/>
      <c r="C4833" s="162"/>
      <c r="D4833" s="163"/>
      <c r="E4833" s="164" t="str">
        <f>IFERROR(__xludf.DUMMYFUNCTION("""COMPUTED_VALUE"""),"")</f>
        <v/>
      </c>
      <c r="F4833" s="163"/>
      <c r="G4833" s="163"/>
      <c r="H4833" s="163"/>
      <c r="I4833" s="163"/>
      <c r="J4833" s="165"/>
      <c r="K4833" s="165"/>
      <c r="L4833" s="165"/>
      <c r="M4833" s="166"/>
      <c r="N4833" s="167"/>
      <c r="O4833" s="163"/>
      <c r="P4833" s="163"/>
      <c r="Q4833" s="163"/>
      <c r="R4833" s="163"/>
      <c r="S4833" s="161"/>
      <c r="T4833" s="161"/>
      <c r="U4833" s="161"/>
      <c r="V4833" s="161"/>
      <c r="W4833" s="161"/>
      <c r="X4833" s="161"/>
      <c r="Y4833" s="161"/>
      <c r="Z4833" s="168"/>
      <c r="AA4833" s="168"/>
      <c r="AB4833" s="168"/>
      <c r="AC4833" s="168"/>
    </row>
    <row r="4834">
      <c r="A4834" s="161"/>
      <c r="B4834" s="161"/>
      <c r="C4834" s="162"/>
      <c r="D4834" s="163"/>
      <c r="E4834" s="164" t="str">
        <f>IFERROR(__xludf.DUMMYFUNCTION("""COMPUTED_VALUE"""),"")</f>
        <v/>
      </c>
      <c r="F4834" s="163"/>
      <c r="G4834" s="163"/>
      <c r="H4834" s="163"/>
      <c r="I4834" s="163"/>
      <c r="J4834" s="165"/>
      <c r="K4834" s="165"/>
      <c r="L4834" s="165"/>
      <c r="M4834" s="166"/>
      <c r="N4834" s="167"/>
      <c r="O4834" s="163"/>
      <c r="P4834" s="163"/>
      <c r="Q4834" s="163"/>
      <c r="R4834" s="163"/>
      <c r="S4834" s="161"/>
      <c r="T4834" s="161"/>
      <c r="U4834" s="161"/>
      <c r="V4834" s="161"/>
      <c r="W4834" s="161"/>
      <c r="X4834" s="161"/>
      <c r="Y4834" s="161"/>
      <c r="Z4834" s="168"/>
      <c r="AA4834" s="168"/>
      <c r="AB4834" s="168"/>
      <c r="AC4834" s="168"/>
    </row>
    <row r="4835">
      <c r="A4835" s="161"/>
      <c r="B4835" s="161"/>
      <c r="C4835" s="162"/>
      <c r="D4835" s="163"/>
      <c r="E4835" s="164" t="str">
        <f>IFERROR(__xludf.DUMMYFUNCTION("""COMPUTED_VALUE"""),"")</f>
        <v/>
      </c>
      <c r="F4835" s="163"/>
      <c r="G4835" s="163"/>
      <c r="H4835" s="163"/>
      <c r="I4835" s="163"/>
      <c r="J4835" s="165"/>
      <c r="K4835" s="165"/>
      <c r="L4835" s="165"/>
      <c r="M4835" s="166"/>
      <c r="N4835" s="167"/>
      <c r="O4835" s="163"/>
      <c r="P4835" s="163"/>
      <c r="Q4835" s="163"/>
      <c r="R4835" s="163"/>
      <c r="S4835" s="161"/>
      <c r="T4835" s="161"/>
      <c r="U4835" s="161"/>
      <c r="V4835" s="161"/>
      <c r="W4835" s="161"/>
      <c r="X4835" s="161"/>
      <c r="Y4835" s="161"/>
      <c r="Z4835" s="168"/>
      <c r="AA4835" s="168"/>
      <c r="AB4835" s="168"/>
      <c r="AC4835" s="168"/>
    </row>
    <row r="4836">
      <c r="A4836" s="161"/>
      <c r="B4836" s="161"/>
      <c r="C4836" s="162"/>
      <c r="D4836" s="163"/>
      <c r="E4836" s="164" t="str">
        <f>IFERROR(__xludf.DUMMYFUNCTION("""COMPUTED_VALUE"""),"")</f>
        <v/>
      </c>
      <c r="F4836" s="163"/>
      <c r="G4836" s="163"/>
      <c r="H4836" s="163"/>
      <c r="I4836" s="163"/>
      <c r="J4836" s="165"/>
      <c r="K4836" s="165"/>
      <c r="L4836" s="165"/>
      <c r="M4836" s="166"/>
      <c r="N4836" s="167"/>
      <c r="O4836" s="163"/>
      <c r="P4836" s="163"/>
      <c r="Q4836" s="163"/>
      <c r="R4836" s="163"/>
      <c r="S4836" s="161"/>
      <c r="T4836" s="161"/>
      <c r="U4836" s="161"/>
      <c r="V4836" s="161"/>
      <c r="W4836" s="161"/>
      <c r="X4836" s="161"/>
      <c r="Y4836" s="161"/>
      <c r="Z4836" s="168"/>
      <c r="AA4836" s="168"/>
      <c r="AB4836" s="168"/>
      <c r="AC4836" s="168"/>
    </row>
    <row r="4837">
      <c r="A4837" s="161"/>
      <c r="B4837" s="161"/>
      <c r="C4837" s="162"/>
      <c r="D4837" s="163"/>
      <c r="E4837" s="164" t="str">
        <f>IFERROR(__xludf.DUMMYFUNCTION("""COMPUTED_VALUE"""),"")</f>
        <v/>
      </c>
      <c r="F4837" s="163"/>
      <c r="G4837" s="163"/>
      <c r="H4837" s="163"/>
      <c r="I4837" s="163"/>
      <c r="J4837" s="165"/>
      <c r="K4837" s="165"/>
      <c r="L4837" s="165"/>
      <c r="M4837" s="166"/>
      <c r="N4837" s="167"/>
      <c r="O4837" s="163"/>
      <c r="P4837" s="163"/>
      <c r="Q4837" s="163"/>
      <c r="R4837" s="163"/>
      <c r="S4837" s="161"/>
      <c r="T4837" s="161"/>
      <c r="U4837" s="161"/>
      <c r="V4837" s="161"/>
      <c r="W4837" s="161"/>
      <c r="X4837" s="161"/>
      <c r="Y4837" s="161"/>
      <c r="Z4837" s="168"/>
      <c r="AA4837" s="168"/>
      <c r="AB4837" s="168"/>
      <c r="AC4837" s="168"/>
    </row>
    <row r="4838">
      <c r="A4838" s="161"/>
      <c r="B4838" s="161"/>
      <c r="C4838" s="162"/>
      <c r="D4838" s="163"/>
      <c r="E4838" s="164" t="str">
        <f>IFERROR(__xludf.DUMMYFUNCTION("""COMPUTED_VALUE"""),"")</f>
        <v/>
      </c>
      <c r="F4838" s="163"/>
      <c r="G4838" s="163"/>
      <c r="H4838" s="163"/>
      <c r="I4838" s="163"/>
      <c r="J4838" s="165"/>
      <c r="K4838" s="165"/>
      <c r="L4838" s="165"/>
      <c r="M4838" s="166"/>
      <c r="N4838" s="167"/>
      <c r="O4838" s="163"/>
      <c r="P4838" s="163"/>
      <c r="Q4838" s="163"/>
      <c r="R4838" s="163"/>
      <c r="S4838" s="161"/>
      <c r="T4838" s="161"/>
      <c r="U4838" s="161"/>
      <c r="V4838" s="161"/>
      <c r="W4838" s="161"/>
      <c r="X4838" s="161"/>
      <c r="Y4838" s="161"/>
      <c r="Z4838" s="168"/>
      <c r="AA4838" s="168"/>
      <c r="AB4838" s="168"/>
      <c r="AC4838" s="168"/>
    </row>
    <row r="4839">
      <c r="A4839" s="161"/>
      <c r="B4839" s="161"/>
      <c r="C4839" s="162"/>
      <c r="D4839" s="163"/>
      <c r="E4839" s="164" t="str">
        <f>IFERROR(__xludf.DUMMYFUNCTION("""COMPUTED_VALUE"""),"")</f>
        <v/>
      </c>
      <c r="F4839" s="163"/>
      <c r="G4839" s="163"/>
      <c r="H4839" s="163"/>
      <c r="I4839" s="163"/>
      <c r="J4839" s="165"/>
      <c r="K4839" s="165"/>
      <c r="L4839" s="165"/>
      <c r="M4839" s="166"/>
      <c r="N4839" s="167"/>
      <c r="O4839" s="163"/>
      <c r="P4839" s="163"/>
      <c r="Q4839" s="163"/>
      <c r="R4839" s="163"/>
      <c r="S4839" s="161"/>
      <c r="T4839" s="161"/>
      <c r="U4839" s="161"/>
      <c r="V4839" s="161"/>
      <c r="W4839" s="161"/>
      <c r="X4839" s="161"/>
      <c r="Y4839" s="161"/>
      <c r="Z4839" s="168"/>
      <c r="AA4839" s="168"/>
      <c r="AB4839" s="168"/>
      <c r="AC4839" s="168"/>
    </row>
    <row r="4840">
      <c r="A4840" s="161"/>
      <c r="B4840" s="161"/>
      <c r="C4840" s="162"/>
      <c r="D4840" s="163"/>
      <c r="E4840" s="164" t="str">
        <f>IFERROR(__xludf.DUMMYFUNCTION("""COMPUTED_VALUE"""),"")</f>
        <v/>
      </c>
      <c r="F4840" s="163"/>
      <c r="G4840" s="163"/>
      <c r="H4840" s="163"/>
      <c r="I4840" s="163"/>
      <c r="J4840" s="165"/>
      <c r="K4840" s="165"/>
      <c r="L4840" s="165"/>
      <c r="M4840" s="166"/>
      <c r="N4840" s="167"/>
      <c r="O4840" s="163"/>
      <c r="P4840" s="163"/>
      <c r="Q4840" s="163"/>
      <c r="R4840" s="163"/>
      <c r="S4840" s="161"/>
      <c r="T4840" s="161"/>
      <c r="U4840" s="161"/>
      <c r="V4840" s="161"/>
      <c r="W4840" s="161"/>
      <c r="X4840" s="161"/>
      <c r="Y4840" s="161"/>
      <c r="Z4840" s="168"/>
      <c r="AA4840" s="168"/>
      <c r="AB4840" s="168"/>
      <c r="AC4840" s="168"/>
    </row>
    <row r="4841">
      <c r="A4841" s="161"/>
      <c r="B4841" s="161"/>
      <c r="C4841" s="162"/>
      <c r="D4841" s="163"/>
      <c r="E4841" s="164" t="str">
        <f>IFERROR(__xludf.DUMMYFUNCTION("""COMPUTED_VALUE"""),"")</f>
        <v/>
      </c>
      <c r="F4841" s="163"/>
      <c r="G4841" s="163"/>
      <c r="H4841" s="163"/>
      <c r="I4841" s="163"/>
      <c r="J4841" s="165"/>
      <c r="K4841" s="165"/>
      <c r="L4841" s="165"/>
      <c r="M4841" s="166"/>
      <c r="N4841" s="167"/>
      <c r="O4841" s="163"/>
      <c r="P4841" s="163"/>
      <c r="Q4841" s="163"/>
      <c r="R4841" s="163"/>
      <c r="S4841" s="161"/>
      <c r="T4841" s="161"/>
      <c r="U4841" s="161"/>
      <c r="V4841" s="161"/>
      <c r="W4841" s="161"/>
      <c r="X4841" s="161"/>
      <c r="Y4841" s="161"/>
      <c r="Z4841" s="168"/>
      <c r="AA4841" s="168"/>
      <c r="AB4841" s="168"/>
      <c r="AC4841" s="168"/>
    </row>
    <row r="4842">
      <c r="A4842" s="161"/>
      <c r="B4842" s="161"/>
      <c r="C4842" s="162"/>
      <c r="D4842" s="163"/>
      <c r="E4842" s="164" t="str">
        <f>IFERROR(__xludf.DUMMYFUNCTION("""COMPUTED_VALUE"""),"")</f>
        <v/>
      </c>
      <c r="F4842" s="163"/>
      <c r="G4842" s="163"/>
      <c r="H4842" s="163"/>
      <c r="I4842" s="163"/>
      <c r="J4842" s="165"/>
      <c r="K4842" s="165"/>
      <c r="L4842" s="165"/>
      <c r="M4842" s="166"/>
      <c r="N4842" s="167"/>
      <c r="O4842" s="163"/>
      <c r="P4842" s="163"/>
      <c r="Q4842" s="163"/>
      <c r="R4842" s="163"/>
      <c r="S4842" s="161"/>
      <c r="T4842" s="161"/>
      <c r="U4842" s="161"/>
      <c r="V4842" s="161"/>
      <c r="W4842" s="161"/>
      <c r="X4842" s="161"/>
      <c r="Y4842" s="161"/>
      <c r="Z4842" s="168"/>
      <c r="AA4842" s="168"/>
      <c r="AB4842" s="168"/>
      <c r="AC4842" s="168"/>
    </row>
    <row r="4843">
      <c r="A4843" s="161"/>
      <c r="B4843" s="161"/>
      <c r="C4843" s="162"/>
      <c r="D4843" s="163"/>
      <c r="E4843" s="164" t="str">
        <f>IFERROR(__xludf.DUMMYFUNCTION("""COMPUTED_VALUE"""),"")</f>
        <v/>
      </c>
      <c r="F4843" s="163"/>
      <c r="G4843" s="163"/>
      <c r="H4843" s="163"/>
      <c r="I4843" s="163"/>
      <c r="J4843" s="165"/>
      <c r="K4843" s="165"/>
      <c r="L4843" s="165"/>
      <c r="M4843" s="166"/>
      <c r="N4843" s="167"/>
      <c r="O4843" s="163"/>
      <c r="P4843" s="163"/>
      <c r="Q4843" s="163"/>
      <c r="R4843" s="163"/>
      <c r="S4843" s="161"/>
      <c r="T4843" s="161"/>
      <c r="U4843" s="161"/>
      <c r="V4843" s="161"/>
      <c r="W4843" s="161"/>
      <c r="X4843" s="161"/>
      <c r="Y4843" s="161"/>
      <c r="Z4843" s="168"/>
      <c r="AA4843" s="168"/>
      <c r="AB4843" s="168"/>
      <c r="AC4843" s="168"/>
    </row>
    <row r="4844">
      <c r="A4844" s="161"/>
      <c r="B4844" s="161"/>
      <c r="C4844" s="162"/>
      <c r="D4844" s="163"/>
      <c r="E4844" s="164" t="str">
        <f>IFERROR(__xludf.DUMMYFUNCTION("""COMPUTED_VALUE"""),"")</f>
        <v/>
      </c>
      <c r="F4844" s="163"/>
      <c r="G4844" s="163"/>
      <c r="H4844" s="163"/>
      <c r="I4844" s="163"/>
      <c r="J4844" s="165"/>
      <c r="K4844" s="165"/>
      <c r="L4844" s="165"/>
      <c r="M4844" s="166"/>
      <c r="N4844" s="167"/>
      <c r="O4844" s="163"/>
      <c r="P4844" s="163"/>
      <c r="Q4844" s="163"/>
      <c r="R4844" s="163"/>
      <c r="S4844" s="161"/>
      <c r="T4844" s="161"/>
      <c r="U4844" s="161"/>
      <c r="V4844" s="161"/>
      <c r="W4844" s="161"/>
      <c r="X4844" s="161"/>
      <c r="Y4844" s="161"/>
      <c r="Z4844" s="168"/>
      <c r="AA4844" s="168"/>
      <c r="AB4844" s="168"/>
      <c r="AC4844" s="168"/>
    </row>
    <row r="4845">
      <c r="A4845" s="161"/>
      <c r="B4845" s="161"/>
      <c r="C4845" s="162"/>
      <c r="D4845" s="163"/>
      <c r="E4845" s="164" t="str">
        <f>IFERROR(__xludf.DUMMYFUNCTION("""COMPUTED_VALUE"""),"")</f>
        <v/>
      </c>
      <c r="F4845" s="163"/>
      <c r="G4845" s="163"/>
      <c r="H4845" s="163"/>
      <c r="I4845" s="163"/>
      <c r="J4845" s="165"/>
      <c r="K4845" s="165"/>
      <c r="L4845" s="165"/>
      <c r="M4845" s="166"/>
      <c r="N4845" s="167"/>
      <c r="O4845" s="163"/>
      <c r="P4845" s="163"/>
      <c r="Q4845" s="163"/>
      <c r="R4845" s="163"/>
      <c r="S4845" s="161"/>
      <c r="T4845" s="161"/>
      <c r="U4845" s="161"/>
      <c r="V4845" s="161"/>
      <c r="W4845" s="161"/>
      <c r="X4845" s="161"/>
      <c r="Y4845" s="161"/>
      <c r="Z4845" s="168"/>
      <c r="AA4845" s="168"/>
      <c r="AB4845" s="168"/>
      <c r="AC4845" s="168"/>
    </row>
    <row r="4846">
      <c r="A4846" s="161"/>
      <c r="B4846" s="161"/>
      <c r="C4846" s="162"/>
      <c r="D4846" s="163"/>
      <c r="E4846" s="164" t="str">
        <f>IFERROR(__xludf.DUMMYFUNCTION("""COMPUTED_VALUE"""),"")</f>
        <v/>
      </c>
      <c r="F4846" s="163"/>
      <c r="G4846" s="163"/>
      <c r="H4846" s="163"/>
      <c r="I4846" s="163"/>
      <c r="J4846" s="165"/>
      <c r="K4846" s="165"/>
      <c r="L4846" s="165"/>
      <c r="M4846" s="166"/>
      <c r="N4846" s="167"/>
      <c r="O4846" s="163"/>
      <c r="P4846" s="163"/>
      <c r="Q4846" s="163"/>
      <c r="R4846" s="163"/>
      <c r="S4846" s="161"/>
      <c r="T4846" s="161"/>
      <c r="U4846" s="161"/>
      <c r="V4846" s="161"/>
      <c r="W4846" s="161"/>
      <c r="X4846" s="161"/>
      <c r="Y4846" s="161"/>
      <c r="Z4846" s="168"/>
      <c r="AA4846" s="168"/>
      <c r="AB4846" s="168"/>
      <c r="AC4846" s="168"/>
    </row>
    <row r="4847">
      <c r="A4847" s="161"/>
      <c r="B4847" s="161"/>
      <c r="C4847" s="162"/>
      <c r="D4847" s="163"/>
      <c r="E4847" s="164" t="str">
        <f>IFERROR(__xludf.DUMMYFUNCTION("""COMPUTED_VALUE"""),"")</f>
        <v/>
      </c>
      <c r="F4847" s="163"/>
      <c r="G4847" s="163"/>
      <c r="H4847" s="163"/>
      <c r="I4847" s="163"/>
      <c r="J4847" s="165"/>
      <c r="K4847" s="165"/>
      <c r="L4847" s="165"/>
      <c r="M4847" s="166"/>
      <c r="N4847" s="167"/>
      <c r="O4847" s="163"/>
      <c r="P4847" s="163"/>
      <c r="Q4847" s="163"/>
      <c r="R4847" s="163"/>
      <c r="S4847" s="161"/>
      <c r="T4847" s="161"/>
      <c r="U4847" s="161"/>
      <c r="V4847" s="161"/>
      <c r="W4847" s="161"/>
      <c r="X4847" s="161"/>
      <c r="Y4847" s="161"/>
      <c r="Z4847" s="168"/>
      <c r="AA4847" s="168"/>
      <c r="AB4847" s="168"/>
      <c r="AC4847" s="168"/>
    </row>
    <row r="4848">
      <c r="A4848" s="161"/>
      <c r="B4848" s="161"/>
      <c r="C4848" s="162"/>
      <c r="D4848" s="163"/>
      <c r="E4848" s="164" t="str">
        <f>IFERROR(__xludf.DUMMYFUNCTION("""COMPUTED_VALUE"""),"")</f>
        <v/>
      </c>
      <c r="F4848" s="163"/>
      <c r="G4848" s="163"/>
      <c r="H4848" s="163"/>
      <c r="I4848" s="163"/>
      <c r="J4848" s="165"/>
      <c r="K4848" s="165"/>
      <c r="L4848" s="165"/>
      <c r="M4848" s="166"/>
      <c r="N4848" s="167"/>
      <c r="O4848" s="163"/>
      <c r="P4848" s="163"/>
      <c r="Q4848" s="163"/>
      <c r="R4848" s="163"/>
      <c r="S4848" s="161"/>
      <c r="T4848" s="161"/>
      <c r="U4848" s="161"/>
      <c r="V4848" s="161"/>
      <c r="W4848" s="161"/>
      <c r="X4848" s="161"/>
      <c r="Y4848" s="161"/>
      <c r="Z4848" s="168"/>
      <c r="AA4848" s="168"/>
      <c r="AB4848" s="168"/>
      <c r="AC4848" s="168"/>
    </row>
    <row r="4849">
      <c r="A4849" s="161"/>
      <c r="B4849" s="161"/>
      <c r="C4849" s="162"/>
      <c r="D4849" s="163"/>
      <c r="E4849" s="164" t="str">
        <f>IFERROR(__xludf.DUMMYFUNCTION("""COMPUTED_VALUE"""),"")</f>
        <v/>
      </c>
      <c r="F4849" s="163"/>
      <c r="G4849" s="163"/>
      <c r="H4849" s="163"/>
      <c r="I4849" s="163"/>
      <c r="J4849" s="165"/>
      <c r="K4849" s="165"/>
      <c r="L4849" s="165"/>
      <c r="M4849" s="166"/>
      <c r="N4849" s="167"/>
      <c r="O4849" s="163"/>
      <c r="P4849" s="163"/>
      <c r="Q4849" s="163"/>
      <c r="R4849" s="163"/>
      <c r="S4849" s="161"/>
      <c r="T4849" s="161"/>
      <c r="U4849" s="161"/>
      <c r="V4849" s="161"/>
      <c r="W4849" s="161"/>
      <c r="X4849" s="161"/>
      <c r="Y4849" s="161"/>
      <c r="Z4849" s="168"/>
      <c r="AA4849" s="168"/>
      <c r="AB4849" s="168"/>
      <c r="AC4849" s="168"/>
    </row>
    <row r="4850">
      <c r="A4850" s="161"/>
      <c r="B4850" s="161"/>
      <c r="C4850" s="162"/>
      <c r="D4850" s="163"/>
      <c r="E4850" s="164" t="str">
        <f>IFERROR(__xludf.DUMMYFUNCTION("""COMPUTED_VALUE"""),"")</f>
        <v/>
      </c>
      <c r="F4850" s="163"/>
      <c r="G4850" s="163"/>
      <c r="H4850" s="163"/>
      <c r="I4850" s="163"/>
      <c r="J4850" s="165"/>
      <c r="K4850" s="165"/>
      <c r="L4850" s="165"/>
      <c r="M4850" s="166"/>
      <c r="N4850" s="167"/>
      <c r="O4850" s="163"/>
      <c r="P4850" s="163"/>
      <c r="Q4850" s="163"/>
      <c r="R4850" s="163"/>
      <c r="S4850" s="161"/>
      <c r="T4850" s="161"/>
      <c r="U4850" s="161"/>
      <c r="V4850" s="161"/>
      <c r="W4850" s="161"/>
      <c r="X4850" s="161"/>
      <c r="Y4850" s="161"/>
      <c r="Z4850" s="168"/>
      <c r="AA4850" s="168"/>
      <c r="AB4850" s="168"/>
      <c r="AC4850" s="168"/>
    </row>
    <row r="4851">
      <c r="A4851" s="161"/>
      <c r="B4851" s="161"/>
      <c r="C4851" s="162"/>
      <c r="D4851" s="163"/>
      <c r="E4851" s="164" t="str">
        <f>IFERROR(__xludf.DUMMYFUNCTION("""COMPUTED_VALUE"""),"")</f>
        <v/>
      </c>
      <c r="F4851" s="163"/>
      <c r="G4851" s="163"/>
      <c r="H4851" s="163"/>
      <c r="I4851" s="163"/>
      <c r="J4851" s="165"/>
      <c r="K4851" s="165"/>
      <c r="L4851" s="165"/>
      <c r="M4851" s="166"/>
      <c r="N4851" s="167"/>
      <c r="O4851" s="163"/>
      <c r="P4851" s="163"/>
      <c r="Q4851" s="163"/>
      <c r="R4851" s="163"/>
      <c r="S4851" s="161"/>
      <c r="T4851" s="161"/>
      <c r="U4851" s="161"/>
      <c r="V4851" s="161"/>
      <c r="W4851" s="161"/>
      <c r="X4851" s="161"/>
      <c r="Y4851" s="161"/>
      <c r="Z4851" s="168"/>
      <c r="AA4851" s="168"/>
      <c r="AB4851" s="168"/>
      <c r="AC4851" s="168"/>
    </row>
    <row r="4852">
      <c r="A4852" s="161"/>
      <c r="B4852" s="161"/>
      <c r="C4852" s="162"/>
      <c r="D4852" s="163"/>
      <c r="E4852" s="164" t="str">
        <f>IFERROR(__xludf.DUMMYFUNCTION("""COMPUTED_VALUE"""),"")</f>
        <v/>
      </c>
      <c r="F4852" s="163"/>
      <c r="G4852" s="163"/>
      <c r="H4852" s="163"/>
      <c r="I4852" s="163"/>
      <c r="J4852" s="165"/>
      <c r="K4852" s="165"/>
      <c r="L4852" s="165"/>
      <c r="M4852" s="166"/>
      <c r="N4852" s="167"/>
      <c r="O4852" s="163"/>
      <c r="P4852" s="163"/>
      <c r="Q4852" s="163"/>
      <c r="R4852" s="163"/>
      <c r="S4852" s="161"/>
      <c r="T4852" s="161"/>
      <c r="U4852" s="161"/>
      <c r="V4852" s="161"/>
      <c r="W4852" s="161"/>
      <c r="X4852" s="161"/>
      <c r="Y4852" s="161"/>
      <c r="Z4852" s="168"/>
      <c r="AA4852" s="168"/>
      <c r="AB4852" s="168"/>
      <c r="AC4852" s="168"/>
    </row>
    <row r="4853">
      <c r="A4853" s="161"/>
      <c r="B4853" s="161"/>
      <c r="C4853" s="162"/>
      <c r="D4853" s="163"/>
      <c r="E4853" s="164" t="str">
        <f>IFERROR(__xludf.DUMMYFUNCTION("""COMPUTED_VALUE"""),"")</f>
        <v/>
      </c>
      <c r="F4853" s="163"/>
      <c r="G4853" s="163"/>
      <c r="H4853" s="163"/>
      <c r="I4853" s="163"/>
      <c r="J4853" s="165"/>
      <c r="K4853" s="165"/>
      <c r="L4853" s="165"/>
      <c r="M4853" s="166"/>
      <c r="N4853" s="167"/>
      <c r="O4853" s="163"/>
      <c r="P4853" s="163"/>
      <c r="Q4853" s="163"/>
      <c r="R4853" s="163"/>
      <c r="S4853" s="161"/>
      <c r="T4853" s="161"/>
      <c r="U4853" s="161"/>
      <c r="V4853" s="161"/>
      <c r="W4853" s="161"/>
      <c r="X4853" s="161"/>
      <c r="Y4853" s="161"/>
      <c r="Z4853" s="168"/>
      <c r="AA4853" s="168"/>
      <c r="AB4853" s="168"/>
      <c r="AC4853" s="168"/>
    </row>
    <row r="4854">
      <c r="A4854" s="161"/>
      <c r="B4854" s="161"/>
      <c r="C4854" s="162"/>
      <c r="D4854" s="163"/>
      <c r="E4854" s="164" t="str">
        <f>IFERROR(__xludf.DUMMYFUNCTION("""COMPUTED_VALUE"""),"")</f>
        <v/>
      </c>
      <c r="F4854" s="163"/>
      <c r="G4854" s="163"/>
      <c r="H4854" s="163"/>
      <c r="I4854" s="163"/>
      <c r="J4854" s="165"/>
      <c r="K4854" s="165"/>
      <c r="L4854" s="165"/>
      <c r="M4854" s="166"/>
      <c r="N4854" s="167"/>
      <c r="O4854" s="163"/>
      <c r="P4854" s="163"/>
      <c r="Q4854" s="163"/>
      <c r="R4854" s="163"/>
      <c r="S4854" s="161"/>
      <c r="T4854" s="161"/>
      <c r="U4854" s="161"/>
      <c r="V4854" s="161"/>
      <c r="W4854" s="161"/>
      <c r="X4854" s="161"/>
      <c r="Y4854" s="161"/>
      <c r="Z4854" s="168"/>
      <c r="AA4854" s="168"/>
      <c r="AB4854" s="168"/>
      <c r="AC4854" s="168"/>
    </row>
    <row r="4855">
      <c r="A4855" s="161"/>
      <c r="B4855" s="161"/>
      <c r="C4855" s="162"/>
      <c r="D4855" s="163"/>
      <c r="E4855" s="164" t="str">
        <f>IFERROR(__xludf.DUMMYFUNCTION("""COMPUTED_VALUE"""),"")</f>
        <v/>
      </c>
      <c r="F4855" s="163"/>
      <c r="G4855" s="163"/>
      <c r="H4855" s="163"/>
      <c r="I4855" s="163"/>
      <c r="J4855" s="165"/>
      <c r="K4855" s="165"/>
      <c r="L4855" s="165"/>
      <c r="M4855" s="166"/>
      <c r="N4855" s="167"/>
      <c r="O4855" s="163"/>
      <c r="P4855" s="163"/>
      <c r="Q4855" s="163"/>
      <c r="R4855" s="163"/>
      <c r="S4855" s="161"/>
      <c r="T4855" s="161"/>
      <c r="U4855" s="161"/>
      <c r="V4855" s="161"/>
      <c r="W4855" s="161"/>
      <c r="X4855" s="161"/>
      <c r="Y4855" s="161"/>
      <c r="Z4855" s="168"/>
      <c r="AA4855" s="168"/>
      <c r="AB4855" s="168"/>
      <c r="AC4855" s="168"/>
    </row>
    <row r="4856">
      <c r="A4856" s="161"/>
      <c r="B4856" s="161"/>
      <c r="C4856" s="162"/>
      <c r="D4856" s="163"/>
      <c r="E4856" s="164" t="str">
        <f>IFERROR(__xludf.DUMMYFUNCTION("""COMPUTED_VALUE"""),"")</f>
        <v/>
      </c>
      <c r="F4856" s="163"/>
      <c r="G4856" s="163"/>
      <c r="H4856" s="163"/>
      <c r="I4856" s="163"/>
      <c r="J4856" s="165"/>
      <c r="K4856" s="165"/>
      <c r="L4856" s="165"/>
      <c r="M4856" s="166"/>
      <c r="N4856" s="167"/>
      <c r="O4856" s="163"/>
      <c r="P4856" s="163"/>
      <c r="Q4856" s="163"/>
      <c r="R4856" s="163"/>
      <c r="S4856" s="161"/>
      <c r="T4856" s="161"/>
      <c r="U4856" s="161"/>
      <c r="V4856" s="161"/>
      <c r="W4856" s="161"/>
      <c r="X4856" s="161"/>
      <c r="Y4856" s="161"/>
      <c r="Z4856" s="168"/>
      <c r="AA4856" s="168"/>
      <c r="AB4856" s="168"/>
      <c r="AC4856" s="168"/>
    </row>
    <row r="4857">
      <c r="A4857" s="161"/>
      <c r="B4857" s="161"/>
      <c r="C4857" s="162"/>
      <c r="D4857" s="163"/>
      <c r="E4857" s="164" t="str">
        <f>IFERROR(__xludf.DUMMYFUNCTION("""COMPUTED_VALUE"""),"")</f>
        <v/>
      </c>
      <c r="F4857" s="163"/>
      <c r="G4857" s="163"/>
      <c r="H4857" s="163"/>
      <c r="I4857" s="163"/>
      <c r="J4857" s="165"/>
      <c r="K4857" s="165"/>
      <c r="L4857" s="165"/>
      <c r="M4857" s="166"/>
      <c r="N4857" s="167"/>
      <c r="O4857" s="163"/>
      <c r="P4857" s="163"/>
      <c r="Q4857" s="163"/>
      <c r="R4857" s="163"/>
      <c r="S4857" s="161"/>
      <c r="T4857" s="161"/>
      <c r="U4857" s="161"/>
      <c r="V4857" s="161"/>
      <c r="W4857" s="161"/>
      <c r="X4857" s="161"/>
      <c r="Y4857" s="161"/>
      <c r="Z4857" s="168"/>
      <c r="AA4857" s="168"/>
      <c r="AB4857" s="168"/>
      <c r="AC4857" s="168"/>
    </row>
    <row r="4858">
      <c r="A4858" s="161"/>
      <c r="B4858" s="161"/>
      <c r="C4858" s="162"/>
      <c r="D4858" s="163"/>
      <c r="E4858" s="164" t="str">
        <f>IFERROR(__xludf.DUMMYFUNCTION("""COMPUTED_VALUE"""),"")</f>
        <v/>
      </c>
      <c r="F4858" s="163"/>
      <c r="G4858" s="163"/>
      <c r="H4858" s="163"/>
      <c r="I4858" s="163"/>
      <c r="J4858" s="165"/>
      <c r="K4858" s="165"/>
      <c r="L4858" s="165"/>
      <c r="M4858" s="166"/>
      <c r="N4858" s="167"/>
      <c r="O4858" s="163"/>
      <c r="P4858" s="163"/>
      <c r="Q4858" s="163"/>
      <c r="R4858" s="163"/>
      <c r="S4858" s="161"/>
      <c r="T4858" s="161"/>
      <c r="U4858" s="161"/>
      <c r="V4858" s="161"/>
      <c r="W4858" s="161"/>
      <c r="X4858" s="161"/>
      <c r="Y4858" s="161"/>
      <c r="Z4858" s="168"/>
      <c r="AA4858" s="168"/>
      <c r="AB4858" s="168"/>
      <c r="AC4858" s="168"/>
    </row>
    <row r="4859">
      <c r="A4859" s="161"/>
      <c r="B4859" s="161"/>
      <c r="C4859" s="162"/>
      <c r="D4859" s="163"/>
      <c r="E4859" s="164" t="str">
        <f>IFERROR(__xludf.DUMMYFUNCTION("""COMPUTED_VALUE"""),"")</f>
        <v/>
      </c>
      <c r="F4859" s="163"/>
      <c r="G4859" s="163"/>
      <c r="H4859" s="163"/>
      <c r="I4859" s="163"/>
      <c r="J4859" s="165"/>
      <c r="K4859" s="165"/>
      <c r="L4859" s="165"/>
      <c r="M4859" s="166"/>
      <c r="N4859" s="167"/>
      <c r="O4859" s="163"/>
      <c r="P4859" s="163"/>
      <c r="Q4859" s="163"/>
      <c r="R4859" s="163"/>
      <c r="S4859" s="161"/>
      <c r="T4859" s="161"/>
      <c r="U4859" s="161"/>
      <c r="V4859" s="161"/>
      <c r="W4859" s="161"/>
      <c r="X4859" s="161"/>
      <c r="Y4859" s="161"/>
      <c r="Z4859" s="168"/>
      <c r="AA4859" s="168"/>
      <c r="AB4859" s="168"/>
      <c r="AC4859" s="168"/>
    </row>
    <row r="4860">
      <c r="A4860" s="161"/>
      <c r="B4860" s="161"/>
      <c r="C4860" s="162"/>
      <c r="D4860" s="163"/>
      <c r="E4860" s="164" t="str">
        <f>IFERROR(__xludf.DUMMYFUNCTION("""COMPUTED_VALUE"""),"")</f>
        <v/>
      </c>
      <c r="F4860" s="163"/>
      <c r="G4860" s="163"/>
      <c r="H4860" s="163"/>
      <c r="I4860" s="163"/>
      <c r="J4860" s="165"/>
      <c r="K4860" s="165"/>
      <c r="L4860" s="165"/>
      <c r="M4860" s="166"/>
      <c r="N4860" s="167"/>
      <c r="O4860" s="163"/>
      <c r="P4860" s="163"/>
      <c r="Q4860" s="163"/>
      <c r="R4860" s="163"/>
      <c r="S4860" s="161"/>
      <c r="T4860" s="161"/>
      <c r="U4860" s="161"/>
      <c r="V4860" s="161"/>
      <c r="W4860" s="161"/>
      <c r="X4860" s="161"/>
      <c r="Y4860" s="161"/>
      <c r="Z4860" s="168"/>
      <c r="AA4860" s="168"/>
      <c r="AB4860" s="168"/>
      <c r="AC4860" s="168"/>
    </row>
    <row r="4861">
      <c r="A4861" s="161"/>
      <c r="B4861" s="161"/>
      <c r="C4861" s="162"/>
      <c r="D4861" s="163"/>
      <c r="E4861" s="164" t="str">
        <f>IFERROR(__xludf.DUMMYFUNCTION("""COMPUTED_VALUE"""),"")</f>
        <v/>
      </c>
      <c r="F4861" s="163"/>
      <c r="G4861" s="163"/>
      <c r="H4861" s="163"/>
      <c r="I4861" s="163"/>
      <c r="J4861" s="165"/>
      <c r="K4861" s="165"/>
      <c r="L4861" s="165"/>
      <c r="M4861" s="166"/>
      <c r="N4861" s="167"/>
      <c r="O4861" s="163"/>
      <c r="P4861" s="163"/>
      <c r="Q4861" s="163"/>
      <c r="R4861" s="163"/>
      <c r="S4861" s="161"/>
      <c r="T4861" s="161"/>
      <c r="U4861" s="161"/>
      <c r="V4861" s="161"/>
      <c r="W4861" s="161"/>
      <c r="X4861" s="161"/>
      <c r="Y4861" s="161"/>
      <c r="Z4861" s="168"/>
      <c r="AA4861" s="168"/>
      <c r="AB4861" s="168"/>
      <c r="AC4861" s="168"/>
    </row>
    <row r="4862">
      <c r="A4862" s="161"/>
      <c r="B4862" s="161"/>
      <c r="C4862" s="162"/>
      <c r="D4862" s="163"/>
      <c r="E4862" s="164" t="str">
        <f>IFERROR(__xludf.DUMMYFUNCTION("""COMPUTED_VALUE"""),"")</f>
        <v/>
      </c>
      <c r="F4862" s="163"/>
      <c r="G4862" s="163"/>
      <c r="H4862" s="163"/>
      <c r="I4862" s="163"/>
      <c r="J4862" s="165"/>
      <c r="K4862" s="165"/>
      <c r="L4862" s="165"/>
      <c r="M4862" s="166"/>
      <c r="N4862" s="167"/>
      <c r="O4862" s="163"/>
      <c r="P4862" s="163"/>
      <c r="Q4862" s="163"/>
      <c r="R4862" s="163"/>
      <c r="S4862" s="161"/>
      <c r="T4862" s="161"/>
      <c r="U4862" s="161"/>
      <c r="V4862" s="161"/>
      <c r="W4862" s="161"/>
      <c r="X4862" s="161"/>
      <c r="Y4862" s="161"/>
      <c r="Z4862" s="168"/>
      <c r="AA4862" s="168"/>
      <c r="AB4862" s="168"/>
      <c r="AC4862" s="168"/>
    </row>
    <row r="4863">
      <c r="A4863" s="161"/>
      <c r="B4863" s="161"/>
      <c r="C4863" s="162"/>
      <c r="D4863" s="163"/>
      <c r="E4863" s="164" t="str">
        <f>IFERROR(__xludf.DUMMYFUNCTION("""COMPUTED_VALUE"""),"")</f>
        <v/>
      </c>
      <c r="F4863" s="163"/>
      <c r="G4863" s="163"/>
      <c r="H4863" s="163"/>
      <c r="I4863" s="163"/>
      <c r="J4863" s="165"/>
      <c r="K4863" s="165"/>
      <c r="L4863" s="165"/>
      <c r="M4863" s="166"/>
      <c r="N4863" s="167"/>
      <c r="O4863" s="163"/>
      <c r="P4863" s="163"/>
      <c r="Q4863" s="163"/>
      <c r="R4863" s="163"/>
      <c r="S4863" s="161"/>
      <c r="T4863" s="161"/>
      <c r="U4863" s="161"/>
      <c r="V4863" s="161"/>
      <c r="W4863" s="161"/>
      <c r="X4863" s="161"/>
      <c r="Y4863" s="161"/>
      <c r="Z4863" s="168"/>
      <c r="AA4863" s="168"/>
      <c r="AB4863" s="168"/>
      <c r="AC4863" s="168"/>
    </row>
    <row r="4864">
      <c r="A4864" s="161"/>
      <c r="B4864" s="161"/>
      <c r="C4864" s="162"/>
      <c r="D4864" s="163"/>
      <c r="E4864" s="164" t="str">
        <f>IFERROR(__xludf.DUMMYFUNCTION("""COMPUTED_VALUE"""),"")</f>
        <v/>
      </c>
      <c r="F4864" s="163"/>
      <c r="G4864" s="163"/>
      <c r="H4864" s="163"/>
      <c r="I4864" s="163"/>
      <c r="J4864" s="165"/>
      <c r="K4864" s="165"/>
      <c r="L4864" s="165"/>
      <c r="M4864" s="166"/>
      <c r="N4864" s="167"/>
      <c r="O4864" s="163"/>
      <c r="P4864" s="163"/>
      <c r="Q4864" s="163"/>
      <c r="R4864" s="163"/>
      <c r="S4864" s="161"/>
      <c r="T4864" s="161"/>
      <c r="U4864" s="161"/>
      <c r="V4864" s="161"/>
      <c r="W4864" s="161"/>
      <c r="X4864" s="161"/>
      <c r="Y4864" s="161"/>
      <c r="Z4864" s="168"/>
      <c r="AA4864" s="168"/>
      <c r="AB4864" s="168"/>
      <c r="AC4864" s="168"/>
    </row>
    <row r="4865">
      <c r="A4865" s="161"/>
      <c r="B4865" s="161"/>
      <c r="C4865" s="162"/>
      <c r="D4865" s="163"/>
      <c r="E4865" s="164" t="str">
        <f>IFERROR(__xludf.DUMMYFUNCTION("""COMPUTED_VALUE"""),"")</f>
        <v/>
      </c>
      <c r="F4865" s="163"/>
      <c r="G4865" s="163"/>
      <c r="H4865" s="163"/>
      <c r="I4865" s="163"/>
      <c r="J4865" s="165"/>
      <c r="K4865" s="165"/>
      <c r="L4865" s="165"/>
      <c r="M4865" s="166"/>
      <c r="N4865" s="167"/>
      <c r="O4865" s="163"/>
      <c r="P4865" s="163"/>
      <c r="Q4865" s="163"/>
      <c r="R4865" s="163"/>
      <c r="S4865" s="161"/>
      <c r="T4865" s="161"/>
      <c r="U4865" s="161"/>
      <c r="V4865" s="161"/>
      <c r="W4865" s="161"/>
      <c r="X4865" s="161"/>
      <c r="Y4865" s="161"/>
      <c r="Z4865" s="168"/>
      <c r="AA4865" s="168"/>
      <c r="AB4865" s="168"/>
      <c r="AC4865" s="168"/>
    </row>
    <row r="4866">
      <c r="A4866" s="161"/>
      <c r="B4866" s="161"/>
      <c r="C4866" s="162"/>
      <c r="D4866" s="163"/>
      <c r="E4866" s="164" t="str">
        <f>IFERROR(__xludf.DUMMYFUNCTION("""COMPUTED_VALUE"""),"")</f>
        <v/>
      </c>
      <c r="F4866" s="163"/>
      <c r="G4866" s="163"/>
      <c r="H4866" s="163"/>
      <c r="I4866" s="163"/>
      <c r="J4866" s="165"/>
      <c r="K4866" s="165"/>
      <c r="L4866" s="165"/>
      <c r="M4866" s="166"/>
      <c r="N4866" s="167"/>
      <c r="O4866" s="163"/>
      <c r="P4866" s="163"/>
      <c r="Q4866" s="163"/>
      <c r="R4866" s="163"/>
      <c r="S4866" s="161"/>
      <c r="T4866" s="161"/>
      <c r="U4866" s="161"/>
      <c r="V4866" s="161"/>
      <c r="W4866" s="161"/>
      <c r="X4866" s="161"/>
      <c r="Y4866" s="161"/>
      <c r="Z4866" s="168"/>
      <c r="AA4866" s="168"/>
      <c r="AB4866" s="168"/>
      <c r="AC4866" s="168"/>
    </row>
    <row r="4867">
      <c r="A4867" s="161"/>
      <c r="B4867" s="161"/>
      <c r="C4867" s="162"/>
      <c r="D4867" s="163"/>
      <c r="E4867" s="164" t="str">
        <f>IFERROR(__xludf.DUMMYFUNCTION("""COMPUTED_VALUE"""),"")</f>
        <v/>
      </c>
      <c r="F4867" s="163"/>
      <c r="G4867" s="163"/>
      <c r="H4867" s="163"/>
      <c r="I4867" s="163"/>
      <c r="J4867" s="165"/>
      <c r="K4867" s="165"/>
      <c r="L4867" s="165"/>
      <c r="M4867" s="166"/>
      <c r="N4867" s="167"/>
      <c r="O4867" s="163"/>
      <c r="P4867" s="163"/>
      <c r="Q4867" s="163"/>
      <c r="R4867" s="163"/>
      <c r="S4867" s="161"/>
      <c r="T4867" s="161"/>
      <c r="U4867" s="161"/>
      <c r="V4867" s="161"/>
      <c r="W4867" s="161"/>
      <c r="X4867" s="161"/>
      <c r="Y4867" s="161"/>
      <c r="Z4867" s="168"/>
      <c r="AA4867" s="168"/>
      <c r="AB4867" s="168"/>
      <c r="AC4867" s="168"/>
    </row>
    <row r="4868">
      <c r="A4868" s="161"/>
      <c r="B4868" s="161"/>
      <c r="C4868" s="162"/>
      <c r="D4868" s="163"/>
      <c r="E4868" s="164" t="str">
        <f>IFERROR(__xludf.DUMMYFUNCTION("""COMPUTED_VALUE"""),"")</f>
        <v/>
      </c>
      <c r="F4868" s="163"/>
      <c r="G4868" s="163"/>
      <c r="H4868" s="163"/>
      <c r="I4868" s="163"/>
      <c r="J4868" s="165"/>
      <c r="K4868" s="165"/>
      <c r="L4868" s="165"/>
      <c r="M4868" s="166"/>
      <c r="N4868" s="167"/>
      <c r="O4868" s="163"/>
      <c r="P4868" s="163"/>
      <c r="Q4868" s="163"/>
      <c r="R4868" s="163"/>
      <c r="S4868" s="161"/>
      <c r="T4868" s="161"/>
      <c r="U4868" s="161"/>
      <c r="V4868" s="161"/>
      <c r="W4868" s="161"/>
      <c r="X4868" s="161"/>
      <c r="Y4868" s="161"/>
      <c r="Z4868" s="168"/>
      <c r="AA4868" s="168"/>
      <c r="AB4868" s="168"/>
      <c r="AC4868" s="168"/>
    </row>
    <row r="4869">
      <c r="A4869" s="161"/>
      <c r="B4869" s="161"/>
      <c r="C4869" s="162"/>
      <c r="D4869" s="163"/>
      <c r="E4869" s="164" t="str">
        <f>IFERROR(__xludf.DUMMYFUNCTION("""COMPUTED_VALUE"""),"")</f>
        <v/>
      </c>
      <c r="F4869" s="163"/>
      <c r="G4869" s="163"/>
      <c r="H4869" s="163"/>
      <c r="I4869" s="163"/>
      <c r="J4869" s="165"/>
      <c r="K4869" s="165"/>
      <c r="L4869" s="165"/>
      <c r="M4869" s="166"/>
      <c r="N4869" s="167"/>
      <c r="O4869" s="163"/>
      <c r="P4869" s="163"/>
      <c r="Q4869" s="163"/>
      <c r="R4869" s="163"/>
      <c r="S4869" s="161"/>
      <c r="T4869" s="161"/>
      <c r="U4869" s="161"/>
      <c r="V4869" s="161"/>
      <c r="W4869" s="161"/>
      <c r="X4869" s="161"/>
      <c r="Y4869" s="161"/>
      <c r="Z4869" s="168"/>
      <c r="AA4869" s="168"/>
      <c r="AB4869" s="168"/>
      <c r="AC4869" s="168"/>
    </row>
    <row r="4870">
      <c r="A4870" s="161"/>
      <c r="B4870" s="161"/>
      <c r="C4870" s="162"/>
      <c r="D4870" s="163"/>
      <c r="E4870" s="164" t="str">
        <f>IFERROR(__xludf.DUMMYFUNCTION("""COMPUTED_VALUE"""),"")</f>
        <v/>
      </c>
      <c r="F4870" s="163"/>
      <c r="G4870" s="163"/>
      <c r="H4870" s="163"/>
      <c r="I4870" s="163"/>
      <c r="J4870" s="165"/>
      <c r="K4870" s="165"/>
      <c r="L4870" s="165"/>
      <c r="M4870" s="166"/>
      <c r="N4870" s="167"/>
      <c r="O4870" s="163"/>
      <c r="P4870" s="163"/>
      <c r="Q4870" s="163"/>
      <c r="R4870" s="163"/>
      <c r="S4870" s="161"/>
      <c r="T4870" s="161"/>
      <c r="U4870" s="161"/>
      <c r="V4870" s="161"/>
      <c r="W4870" s="161"/>
      <c r="X4870" s="161"/>
      <c r="Y4870" s="161"/>
      <c r="Z4870" s="168"/>
      <c r="AA4870" s="168"/>
      <c r="AB4870" s="168"/>
      <c r="AC4870" s="168"/>
    </row>
    <row r="4871">
      <c r="A4871" s="161"/>
      <c r="B4871" s="161"/>
      <c r="C4871" s="162"/>
      <c r="D4871" s="163"/>
      <c r="E4871" s="164" t="str">
        <f>IFERROR(__xludf.DUMMYFUNCTION("""COMPUTED_VALUE"""),"")</f>
        <v/>
      </c>
      <c r="F4871" s="163"/>
      <c r="G4871" s="163"/>
      <c r="H4871" s="163"/>
      <c r="I4871" s="163"/>
      <c r="J4871" s="165"/>
      <c r="K4871" s="165"/>
      <c r="L4871" s="165"/>
      <c r="M4871" s="166"/>
      <c r="N4871" s="167"/>
      <c r="O4871" s="163"/>
      <c r="P4871" s="163"/>
      <c r="Q4871" s="163"/>
      <c r="R4871" s="163"/>
      <c r="S4871" s="161"/>
      <c r="T4871" s="161"/>
      <c r="U4871" s="161"/>
      <c r="V4871" s="161"/>
      <c r="W4871" s="161"/>
      <c r="X4871" s="161"/>
      <c r="Y4871" s="161"/>
      <c r="Z4871" s="168"/>
      <c r="AA4871" s="168"/>
      <c r="AB4871" s="168"/>
      <c r="AC4871" s="168"/>
    </row>
    <row r="4872">
      <c r="A4872" s="161"/>
      <c r="B4872" s="161"/>
      <c r="C4872" s="162"/>
      <c r="D4872" s="163"/>
      <c r="E4872" s="164" t="str">
        <f>IFERROR(__xludf.DUMMYFUNCTION("""COMPUTED_VALUE"""),"")</f>
        <v/>
      </c>
      <c r="F4872" s="163"/>
      <c r="G4872" s="163"/>
      <c r="H4872" s="163"/>
      <c r="I4872" s="163"/>
      <c r="J4872" s="165"/>
      <c r="K4872" s="165"/>
      <c r="L4872" s="165"/>
      <c r="M4872" s="166"/>
      <c r="N4872" s="167"/>
      <c r="O4872" s="163"/>
      <c r="P4872" s="163"/>
      <c r="Q4872" s="163"/>
      <c r="R4872" s="163"/>
      <c r="S4872" s="161"/>
      <c r="T4872" s="161"/>
      <c r="U4872" s="161"/>
      <c r="V4872" s="161"/>
      <c r="W4872" s="161"/>
      <c r="X4872" s="161"/>
      <c r="Y4872" s="161"/>
      <c r="Z4872" s="168"/>
      <c r="AA4872" s="168"/>
      <c r="AB4872" s="168"/>
      <c r="AC4872" s="168"/>
    </row>
    <row r="4873">
      <c r="A4873" s="161"/>
      <c r="B4873" s="161"/>
      <c r="C4873" s="162"/>
      <c r="D4873" s="163"/>
      <c r="E4873" s="164" t="str">
        <f>IFERROR(__xludf.DUMMYFUNCTION("""COMPUTED_VALUE"""),"")</f>
        <v/>
      </c>
      <c r="F4873" s="163"/>
      <c r="G4873" s="163"/>
      <c r="H4873" s="163"/>
      <c r="I4873" s="163"/>
      <c r="J4873" s="165"/>
      <c r="K4873" s="165"/>
      <c r="L4873" s="165"/>
      <c r="M4873" s="166"/>
      <c r="N4873" s="167"/>
      <c r="O4873" s="163"/>
      <c r="P4873" s="163"/>
      <c r="Q4873" s="163"/>
      <c r="R4873" s="163"/>
      <c r="S4873" s="161"/>
      <c r="T4873" s="161"/>
      <c r="U4873" s="161"/>
      <c r="V4873" s="161"/>
      <c r="W4873" s="161"/>
      <c r="X4873" s="161"/>
      <c r="Y4873" s="161"/>
      <c r="Z4873" s="168"/>
      <c r="AA4873" s="168"/>
      <c r="AB4873" s="168"/>
      <c r="AC4873" s="168"/>
    </row>
    <row r="4874">
      <c r="A4874" s="161"/>
      <c r="B4874" s="161"/>
      <c r="C4874" s="162"/>
      <c r="D4874" s="163"/>
      <c r="E4874" s="164" t="str">
        <f>IFERROR(__xludf.DUMMYFUNCTION("""COMPUTED_VALUE"""),"")</f>
        <v/>
      </c>
      <c r="F4874" s="163"/>
      <c r="G4874" s="163"/>
      <c r="H4874" s="163"/>
      <c r="I4874" s="163"/>
      <c r="J4874" s="165"/>
      <c r="K4874" s="165"/>
      <c r="L4874" s="165"/>
      <c r="M4874" s="166"/>
      <c r="N4874" s="167"/>
      <c r="O4874" s="163"/>
      <c r="P4874" s="163"/>
      <c r="Q4874" s="163"/>
      <c r="R4874" s="163"/>
      <c r="S4874" s="161"/>
      <c r="T4874" s="161"/>
      <c r="U4874" s="161"/>
      <c r="V4874" s="161"/>
      <c r="W4874" s="161"/>
      <c r="X4874" s="161"/>
      <c r="Y4874" s="161"/>
      <c r="Z4874" s="168"/>
      <c r="AA4874" s="168"/>
      <c r="AB4874" s="168"/>
      <c r="AC4874" s="168"/>
    </row>
    <row r="4875">
      <c r="A4875" s="161"/>
      <c r="B4875" s="161"/>
      <c r="C4875" s="162"/>
      <c r="D4875" s="163"/>
      <c r="E4875" s="164" t="str">
        <f>IFERROR(__xludf.DUMMYFUNCTION("""COMPUTED_VALUE"""),"")</f>
        <v/>
      </c>
      <c r="F4875" s="163"/>
      <c r="G4875" s="163"/>
      <c r="H4875" s="163"/>
      <c r="I4875" s="163"/>
      <c r="J4875" s="165"/>
      <c r="K4875" s="165"/>
      <c r="L4875" s="165"/>
      <c r="M4875" s="166"/>
      <c r="N4875" s="167"/>
      <c r="O4875" s="163"/>
      <c r="P4875" s="163"/>
      <c r="Q4875" s="163"/>
      <c r="R4875" s="163"/>
      <c r="S4875" s="161"/>
      <c r="T4875" s="161"/>
      <c r="U4875" s="161"/>
      <c r="V4875" s="161"/>
      <c r="W4875" s="161"/>
      <c r="X4875" s="161"/>
      <c r="Y4875" s="161"/>
      <c r="Z4875" s="168"/>
      <c r="AA4875" s="168"/>
      <c r="AB4875" s="168"/>
      <c r="AC4875" s="168"/>
    </row>
    <row r="4876">
      <c r="A4876" s="161"/>
      <c r="B4876" s="161"/>
      <c r="C4876" s="162"/>
      <c r="D4876" s="163"/>
      <c r="E4876" s="164" t="str">
        <f>IFERROR(__xludf.DUMMYFUNCTION("""COMPUTED_VALUE"""),"")</f>
        <v/>
      </c>
      <c r="F4876" s="163"/>
      <c r="G4876" s="163"/>
      <c r="H4876" s="163"/>
      <c r="I4876" s="163"/>
      <c r="J4876" s="165"/>
      <c r="K4876" s="165"/>
      <c r="L4876" s="165"/>
      <c r="M4876" s="166"/>
      <c r="N4876" s="167"/>
      <c r="O4876" s="163"/>
      <c r="P4876" s="163"/>
      <c r="Q4876" s="163"/>
      <c r="R4876" s="163"/>
      <c r="S4876" s="161"/>
      <c r="T4876" s="161"/>
      <c r="U4876" s="161"/>
      <c r="V4876" s="161"/>
      <c r="W4876" s="161"/>
      <c r="X4876" s="161"/>
      <c r="Y4876" s="161"/>
      <c r="Z4876" s="168"/>
      <c r="AA4876" s="168"/>
      <c r="AB4876" s="168"/>
      <c r="AC4876" s="168"/>
    </row>
    <row r="4877">
      <c r="A4877" s="161"/>
      <c r="B4877" s="161"/>
      <c r="C4877" s="162"/>
      <c r="D4877" s="163"/>
      <c r="E4877" s="164" t="str">
        <f>IFERROR(__xludf.DUMMYFUNCTION("""COMPUTED_VALUE"""),"")</f>
        <v/>
      </c>
      <c r="F4877" s="163"/>
      <c r="G4877" s="163"/>
      <c r="H4877" s="163"/>
      <c r="I4877" s="163"/>
      <c r="J4877" s="165"/>
      <c r="K4877" s="165"/>
      <c r="L4877" s="165"/>
      <c r="M4877" s="166"/>
      <c r="N4877" s="167"/>
      <c r="O4877" s="163"/>
      <c r="P4877" s="163"/>
      <c r="Q4877" s="163"/>
      <c r="R4877" s="163"/>
      <c r="S4877" s="161"/>
      <c r="T4877" s="161"/>
      <c r="U4877" s="161"/>
      <c r="V4877" s="161"/>
      <c r="W4877" s="161"/>
      <c r="X4877" s="161"/>
      <c r="Y4877" s="161"/>
      <c r="Z4877" s="168"/>
      <c r="AA4877" s="168"/>
      <c r="AB4877" s="168"/>
      <c r="AC4877" s="168"/>
    </row>
    <row r="4878">
      <c r="A4878" s="161"/>
      <c r="B4878" s="161"/>
      <c r="C4878" s="162"/>
      <c r="D4878" s="163"/>
      <c r="E4878" s="164" t="str">
        <f>IFERROR(__xludf.DUMMYFUNCTION("""COMPUTED_VALUE"""),"")</f>
        <v/>
      </c>
      <c r="F4878" s="163"/>
      <c r="G4878" s="163"/>
      <c r="H4878" s="163"/>
      <c r="I4878" s="163"/>
      <c r="J4878" s="165"/>
      <c r="K4878" s="165"/>
      <c r="L4878" s="165"/>
      <c r="M4878" s="166"/>
      <c r="N4878" s="167"/>
      <c r="O4878" s="163"/>
      <c r="P4878" s="163"/>
      <c r="Q4878" s="163"/>
      <c r="R4878" s="163"/>
      <c r="S4878" s="161"/>
      <c r="T4878" s="161"/>
      <c r="U4878" s="161"/>
      <c r="V4878" s="161"/>
      <c r="W4878" s="161"/>
      <c r="X4878" s="161"/>
      <c r="Y4878" s="161"/>
      <c r="Z4878" s="168"/>
      <c r="AA4878" s="168"/>
      <c r="AB4878" s="168"/>
      <c r="AC4878" s="168"/>
    </row>
    <row r="4879">
      <c r="A4879" s="161"/>
      <c r="B4879" s="161"/>
      <c r="C4879" s="162"/>
      <c r="D4879" s="163"/>
      <c r="E4879" s="164" t="str">
        <f>IFERROR(__xludf.DUMMYFUNCTION("""COMPUTED_VALUE"""),"")</f>
        <v/>
      </c>
      <c r="F4879" s="163"/>
      <c r="G4879" s="163"/>
      <c r="H4879" s="163"/>
      <c r="I4879" s="163"/>
      <c r="J4879" s="165"/>
      <c r="K4879" s="165"/>
      <c r="L4879" s="165"/>
      <c r="M4879" s="166"/>
      <c r="N4879" s="167"/>
      <c r="O4879" s="163"/>
      <c r="P4879" s="163"/>
      <c r="Q4879" s="163"/>
      <c r="R4879" s="163"/>
      <c r="S4879" s="161"/>
      <c r="T4879" s="161"/>
      <c r="U4879" s="161"/>
      <c r="V4879" s="161"/>
      <c r="W4879" s="161"/>
      <c r="X4879" s="161"/>
      <c r="Y4879" s="161"/>
      <c r="Z4879" s="168"/>
      <c r="AA4879" s="168"/>
      <c r="AB4879" s="168"/>
      <c r="AC4879" s="168"/>
    </row>
    <row r="4880">
      <c r="A4880" s="161"/>
      <c r="B4880" s="161"/>
      <c r="C4880" s="162"/>
      <c r="D4880" s="163"/>
      <c r="E4880" s="164" t="str">
        <f>IFERROR(__xludf.DUMMYFUNCTION("""COMPUTED_VALUE"""),"")</f>
        <v/>
      </c>
      <c r="F4880" s="163"/>
      <c r="G4880" s="163"/>
      <c r="H4880" s="163"/>
      <c r="I4880" s="163"/>
      <c r="J4880" s="165"/>
      <c r="K4880" s="165"/>
      <c r="L4880" s="165"/>
      <c r="M4880" s="166"/>
      <c r="N4880" s="167"/>
      <c r="O4880" s="163"/>
      <c r="P4880" s="163"/>
      <c r="Q4880" s="163"/>
      <c r="R4880" s="163"/>
      <c r="S4880" s="161"/>
      <c r="T4880" s="161"/>
      <c r="U4880" s="161"/>
      <c r="V4880" s="161"/>
      <c r="W4880" s="161"/>
      <c r="X4880" s="161"/>
      <c r="Y4880" s="161"/>
      <c r="Z4880" s="168"/>
      <c r="AA4880" s="168"/>
      <c r="AB4880" s="168"/>
      <c r="AC4880" s="168"/>
    </row>
    <row r="4881">
      <c r="A4881" s="161"/>
      <c r="B4881" s="161"/>
      <c r="C4881" s="162"/>
      <c r="D4881" s="163"/>
      <c r="E4881" s="164" t="str">
        <f>IFERROR(__xludf.DUMMYFUNCTION("""COMPUTED_VALUE"""),"")</f>
        <v/>
      </c>
      <c r="F4881" s="163"/>
      <c r="G4881" s="163"/>
      <c r="H4881" s="163"/>
      <c r="I4881" s="163"/>
      <c r="J4881" s="165"/>
      <c r="K4881" s="165"/>
      <c r="L4881" s="165"/>
      <c r="M4881" s="166"/>
      <c r="N4881" s="167"/>
      <c r="O4881" s="163"/>
      <c r="P4881" s="163"/>
      <c r="Q4881" s="163"/>
      <c r="R4881" s="163"/>
      <c r="S4881" s="161"/>
      <c r="T4881" s="161"/>
      <c r="U4881" s="161"/>
      <c r="V4881" s="161"/>
      <c r="W4881" s="161"/>
      <c r="X4881" s="161"/>
      <c r="Y4881" s="161"/>
      <c r="Z4881" s="168"/>
      <c r="AA4881" s="168"/>
      <c r="AB4881" s="168"/>
      <c r="AC4881" s="168"/>
    </row>
    <row r="4882">
      <c r="A4882" s="161"/>
      <c r="B4882" s="161"/>
      <c r="C4882" s="162"/>
      <c r="D4882" s="163"/>
      <c r="E4882" s="164" t="str">
        <f>IFERROR(__xludf.DUMMYFUNCTION("""COMPUTED_VALUE"""),"")</f>
        <v/>
      </c>
      <c r="F4882" s="163"/>
      <c r="G4882" s="163"/>
      <c r="H4882" s="163"/>
      <c r="I4882" s="163"/>
      <c r="J4882" s="165"/>
      <c r="K4882" s="165"/>
      <c r="L4882" s="165"/>
      <c r="M4882" s="166"/>
      <c r="N4882" s="167"/>
      <c r="O4882" s="163"/>
      <c r="P4882" s="163"/>
      <c r="Q4882" s="163"/>
      <c r="R4882" s="163"/>
      <c r="S4882" s="161"/>
      <c r="T4882" s="161"/>
      <c r="U4882" s="161"/>
      <c r="V4882" s="161"/>
      <c r="W4882" s="161"/>
      <c r="X4882" s="161"/>
      <c r="Y4882" s="161"/>
      <c r="Z4882" s="168"/>
      <c r="AA4882" s="168"/>
      <c r="AB4882" s="168"/>
      <c r="AC4882" s="168"/>
    </row>
    <row r="4883">
      <c r="A4883" s="161"/>
      <c r="B4883" s="161"/>
      <c r="C4883" s="162"/>
      <c r="D4883" s="163"/>
      <c r="E4883" s="164" t="str">
        <f>IFERROR(__xludf.DUMMYFUNCTION("""COMPUTED_VALUE"""),"")</f>
        <v/>
      </c>
      <c r="F4883" s="163"/>
      <c r="G4883" s="163"/>
      <c r="H4883" s="163"/>
      <c r="I4883" s="163"/>
      <c r="J4883" s="165"/>
      <c r="K4883" s="165"/>
      <c r="L4883" s="165"/>
      <c r="M4883" s="166"/>
      <c r="N4883" s="167"/>
      <c r="O4883" s="163"/>
      <c r="P4883" s="163"/>
      <c r="Q4883" s="163"/>
      <c r="R4883" s="163"/>
      <c r="S4883" s="161"/>
      <c r="T4883" s="161"/>
      <c r="U4883" s="161"/>
      <c r="V4883" s="161"/>
      <c r="W4883" s="161"/>
      <c r="X4883" s="161"/>
      <c r="Y4883" s="161"/>
      <c r="Z4883" s="168"/>
      <c r="AA4883" s="168"/>
      <c r="AB4883" s="168"/>
      <c r="AC4883" s="168"/>
    </row>
    <row r="4884">
      <c r="A4884" s="161"/>
      <c r="B4884" s="161"/>
      <c r="C4884" s="162"/>
      <c r="D4884" s="163"/>
      <c r="E4884" s="164" t="str">
        <f>IFERROR(__xludf.DUMMYFUNCTION("""COMPUTED_VALUE"""),"")</f>
        <v/>
      </c>
      <c r="F4884" s="163"/>
      <c r="G4884" s="163"/>
      <c r="H4884" s="163"/>
      <c r="I4884" s="163"/>
      <c r="J4884" s="165"/>
      <c r="K4884" s="165"/>
      <c r="L4884" s="165"/>
      <c r="M4884" s="166"/>
      <c r="N4884" s="167"/>
      <c r="O4884" s="163"/>
      <c r="P4884" s="163"/>
      <c r="Q4884" s="163"/>
      <c r="R4884" s="163"/>
      <c r="S4884" s="161"/>
      <c r="T4884" s="161"/>
      <c r="U4884" s="161"/>
      <c r="V4884" s="161"/>
      <c r="W4884" s="161"/>
      <c r="X4884" s="161"/>
      <c r="Y4884" s="161"/>
      <c r="Z4884" s="168"/>
      <c r="AA4884" s="168"/>
      <c r="AB4884" s="168"/>
      <c r="AC4884" s="168"/>
    </row>
    <row r="4885">
      <c r="A4885" s="161"/>
      <c r="B4885" s="161"/>
      <c r="C4885" s="162"/>
      <c r="D4885" s="163"/>
      <c r="E4885" s="164" t="str">
        <f>IFERROR(__xludf.DUMMYFUNCTION("""COMPUTED_VALUE"""),"")</f>
        <v/>
      </c>
      <c r="F4885" s="163"/>
      <c r="G4885" s="163"/>
      <c r="H4885" s="163"/>
      <c r="I4885" s="163"/>
      <c r="J4885" s="165"/>
      <c r="K4885" s="165"/>
      <c r="L4885" s="165"/>
      <c r="M4885" s="166"/>
      <c r="N4885" s="167"/>
      <c r="O4885" s="163"/>
      <c r="P4885" s="163"/>
      <c r="Q4885" s="163"/>
      <c r="R4885" s="163"/>
      <c r="S4885" s="161"/>
      <c r="T4885" s="161"/>
      <c r="U4885" s="161"/>
      <c r="V4885" s="161"/>
      <c r="W4885" s="161"/>
      <c r="X4885" s="161"/>
      <c r="Y4885" s="161"/>
      <c r="Z4885" s="168"/>
      <c r="AA4885" s="168"/>
      <c r="AB4885" s="168"/>
      <c r="AC4885" s="168"/>
    </row>
    <row r="4886">
      <c r="A4886" s="161"/>
      <c r="B4886" s="161"/>
      <c r="C4886" s="162"/>
      <c r="D4886" s="163"/>
      <c r="E4886" s="164" t="str">
        <f>IFERROR(__xludf.DUMMYFUNCTION("""COMPUTED_VALUE"""),"")</f>
        <v/>
      </c>
      <c r="F4886" s="163"/>
      <c r="G4886" s="163"/>
      <c r="H4886" s="163"/>
      <c r="I4886" s="163"/>
      <c r="J4886" s="165"/>
      <c r="K4886" s="165"/>
      <c r="L4886" s="165"/>
      <c r="M4886" s="166"/>
      <c r="N4886" s="167"/>
      <c r="O4886" s="163"/>
      <c r="P4886" s="163"/>
      <c r="Q4886" s="163"/>
      <c r="R4886" s="163"/>
      <c r="S4886" s="161"/>
      <c r="T4886" s="161"/>
      <c r="U4886" s="161"/>
      <c r="V4886" s="161"/>
      <c r="W4886" s="161"/>
      <c r="X4886" s="161"/>
      <c r="Y4886" s="161"/>
      <c r="Z4886" s="168"/>
      <c r="AA4886" s="168"/>
      <c r="AB4886" s="168"/>
      <c r="AC4886" s="168"/>
    </row>
    <row r="4887">
      <c r="A4887" s="161"/>
      <c r="B4887" s="161"/>
      <c r="C4887" s="162"/>
      <c r="D4887" s="163"/>
      <c r="E4887" s="164" t="str">
        <f>IFERROR(__xludf.DUMMYFUNCTION("""COMPUTED_VALUE"""),"")</f>
        <v/>
      </c>
      <c r="F4887" s="163"/>
      <c r="G4887" s="163"/>
      <c r="H4887" s="163"/>
      <c r="I4887" s="163"/>
      <c r="J4887" s="165"/>
      <c r="K4887" s="165"/>
      <c r="L4887" s="165"/>
      <c r="M4887" s="166"/>
      <c r="N4887" s="167"/>
      <c r="O4887" s="163"/>
      <c r="P4887" s="163"/>
      <c r="Q4887" s="163"/>
      <c r="R4887" s="163"/>
      <c r="S4887" s="161"/>
      <c r="T4887" s="161"/>
      <c r="U4887" s="161"/>
      <c r="V4887" s="161"/>
      <c r="W4887" s="161"/>
      <c r="X4887" s="161"/>
      <c r="Y4887" s="161"/>
      <c r="Z4887" s="168"/>
      <c r="AA4887" s="168"/>
      <c r="AB4887" s="168"/>
      <c r="AC4887" s="168"/>
    </row>
    <row r="4888">
      <c r="A4888" s="161"/>
      <c r="B4888" s="161"/>
      <c r="C4888" s="162"/>
      <c r="D4888" s="163"/>
      <c r="E4888" s="164" t="str">
        <f>IFERROR(__xludf.DUMMYFUNCTION("""COMPUTED_VALUE"""),"")</f>
        <v/>
      </c>
      <c r="F4888" s="163"/>
      <c r="G4888" s="163"/>
      <c r="H4888" s="163"/>
      <c r="I4888" s="163"/>
      <c r="J4888" s="165"/>
      <c r="K4888" s="165"/>
      <c r="L4888" s="165"/>
      <c r="M4888" s="166"/>
      <c r="N4888" s="167"/>
      <c r="O4888" s="163"/>
      <c r="P4888" s="163"/>
      <c r="Q4888" s="163"/>
      <c r="R4888" s="163"/>
      <c r="S4888" s="161"/>
      <c r="T4888" s="161"/>
      <c r="U4888" s="161"/>
      <c r="V4888" s="161"/>
      <c r="W4888" s="161"/>
      <c r="X4888" s="161"/>
      <c r="Y4888" s="161"/>
      <c r="Z4888" s="168"/>
      <c r="AA4888" s="168"/>
      <c r="AB4888" s="168"/>
      <c r="AC4888" s="168"/>
    </row>
    <row r="4889">
      <c r="A4889" s="161"/>
      <c r="B4889" s="161"/>
      <c r="C4889" s="162"/>
      <c r="D4889" s="163"/>
      <c r="E4889" s="164" t="str">
        <f>IFERROR(__xludf.DUMMYFUNCTION("""COMPUTED_VALUE"""),"")</f>
        <v/>
      </c>
      <c r="F4889" s="163"/>
      <c r="G4889" s="163"/>
      <c r="H4889" s="163"/>
      <c r="I4889" s="163"/>
      <c r="J4889" s="165"/>
      <c r="K4889" s="165"/>
      <c r="L4889" s="165"/>
      <c r="M4889" s="166"/>
      <c r="N4889" s="167"/>
      <c r="O4889" s="163"/>
      <c r="P4889" s="163"/>
      <c r="Q4889" s="163"/>
      <c r="R4889" s="163"/>
      <c r="S4889" s="161"/>
      <c r="T4889" s="161"/>
      <c r="U4889" s="161"/>
      <c r="V4889" s="161"/>
      <c r="W4889" s="161"/>
      <c r="X4889" s="161"/>
      <c r="Y4889" s="161"/>
      <c r="Z4889" s="168"/>
      <c r="AA4889" s="168"/>
      <c r="AB4889" s="168"/>
      <c r="AC4889" s="168"/>
    </row>
    <row r="4890">
      <c r="A4890" s="161"/>
      <c r="B4890" s="161"/>
      <c r="C4890" s="162"/>
      <c r="D4890" s="163"/>
      <c r="E4890" s="164" t="str">
        <f>IFERROR(__xludf.DUMMYFUNCTION("""COMPUTED_VALUE"""),"")</f>
        <v/>
      </c>
      <c r="F4890" s="163"/>
      <c r="G4890" s="163"/>
      <c r="H4890" s="163"/>
      <c r="I4890" s="163"/>
      <c r="J4890" s="165"/>
      <c r="K4890" s="165"/>
      <c r="L4890" s="165"/>
      <c r="M4890" s="166"/>
      <c r="N4890" s="167"/>
      <c r="O4890" s="163"/>
      <c r="P4890" s="163"/>
      <c r="Q4890" s="163"/>
      <c r="R4890" s="163"/>
      <c r="S4890" s="161"/>
      <c r="T4890" s="161"/>
      <c r="U4890" s="161"/>
      <c r="V4890" s="161"/>
      <c r="W4890" s="161"/>
      <c r="X4890" s="161"/>
      <c r="Y4890" s="161"/>
      <c r="Z4890" s="168"/>
      <c r="AA4890" s="168"/>
      <c r="AB4890" s="168"/>
      <c r="AC4890" s="168"/>
    </row>
    <row r="4891">
      <c r="A4891" s="161"/>
      <c r="B4891" s="161"/>
      <c r="C4891" s="162"/>
      <c r="D4891" s="163"/>
      <c r="E4891" s="164" t="str">
        <f>IFERROR(__xludf.DUMMYFUNCTION("""COMPUTED_VALUE"""),"")</f>
        <v/>
      </c>
      <c r="F4891" s="163"/>
      <c r="G4891" s="163"/>
      <c r="H4891" s="163"/>
      <c r="I4891" s="163"/>
      <c r="J4891" s="165"/>
      <c r="K4891" s="165"/>
      <c r="L4891" s="165"/>
      <c r="M4891" s="166"/>
      <c r="N4891" s="167"/>
      <c r="O4891" s="163"/>
      <c r="P4891" s="163"/>
      <c r="Q4891" s="163"/>
      <c r="R4891" s="163"/>
      <c r="S4891" s="161"/>
      <c r="T4891" s="161"/>
      <c r="U4891" s="161"/>
      <c r="V4891" s="161"/>
      <c r="W4891" s="161"/>
      <c r="X4891" s="161"/>
      <c r="Y4891" s="161"/>
      <c r="Z4891" s="168"/>
      <c r="AA4891" s="168"/>
      <c r="AB4891" s="168"/>
      <c r="AC4891" s="168"/>
    </row>
    <row r="4892">
      <c r="A4892" s="161"/>
      <c r="B4892" s="161"/>
      <c r="C4892" s="162"/>
      <c r="D4892" s="163"/>
      <c r="E4892" s="164" t="str">
        <f>IFERROR(__xludf.DUMMYFUNCTION("""COMPUTED_VALUE"""),"")</f>
        <v/>
      </c>
      <c r="F4892" s="163"/>
      <c r="G4892" s="163"/>
      <c r="H4892" s="163"/>
      <c r="I4892" s="163"/>
      <c r="J4892" s="165"/>
      <c r="K4892" s="165"/>
      <c r="L4892" s="165"/>
      <c r="M4892" s="166"/>
      <c r="N4892" s="167"/>
      <c r="O4892" s="163"/>
      <c r="P4892" s="163"/>
      <c r="Q4892" s="163"/>
      <c r="R4892" s="163"/>
      <c r="S4892" s="161"/>
      <c r="T4892" s="161"/>
      <c r="U4892" s="161"/>
      <c r="V4892" s="161"/>
      <c r="W4892" s="161"/>
      <c r="X4892" s="161"/>
      <c r="Y4892" s="161"/>
      <c r="Z4892" s="168"/>
      <c r="AA4892" s="168"/>
      <c r="AB4892" s="168"/>
      <c r="AC4892" s="168"/>
    </row>
    <row r="4893">
      <c r="A4893" s="161"/>
      <c r="B4893" s="161"/>
      <c r="C4893" s="162"/>
      <c r="D4893" s="163"/>
      <c r="E4893" s="164" t="str">
        <f>IFERROR(__xludf.DUMMYFUNCTION("""COMPUTED_VALUE"""),"")</f>
        <v/>
      </c>
      <c r="F4893" s="163"/>
      <c r="G4893" s="163"/>
      <c r="H4893" s="163"/>
      <c r="I4893" s="163"/>
      <c r="J4893" s="165"/>
      <c r="K4893" s="165"/>
      <c r="L4893" s="165"/>
      <c r="M4893" s="166"/>
      <c r="N4893" s="167"/>
      <c r="O4893" s="163"/>
      <c r="P4893" s="163"/>
      <c r="Q4893" s="163"/>
      <c r="R4893" s="163"/>
      <c r="S4893" s="161"/>
      <c r="T4893" s="161"/>
      <c r="U4893" s="161"/>
      <c r="V4893" s="161"/>
      <c r="W4893" s="161"/>
      <c r="X4893" s="161"/>
      <c r="Y4893" s="161"/>
      <c r="Z4893" s="168"/>
      <c r="AA4893" s="168"/>
      <c r="AB4893" s="168"/>
      <c r="AC4893" s="168"/>
    </row>
    <row r="4894">
      <c r="A4894" s="161"/>
      <c r="B4894" s="161"/>
      <c r="C4894" s="162"/>
      <c r="D4894" s="163"/>
      <c r="E4894" s="164" t="str">
        <f>IFERROR(__xludf.DUMMYFUNCTION("""COMPUTED_VALUE"""),"")</f>
        <v/>
      </c>
      <c r="F4894" s="163"/>
      <c r="G4894" s="163"/>
      <c r="H4894" s="163"/>
      <c r="I4894" s="163"/>
      <c r="J4894" s="165"/>
      <c r="K4894" s="165"/>
      <c r="L4894" s="165"/>
      <c r="M4894" s="166"/>
      <c r="N4894" s="167"/>
      <c r="O4894" s="163"/>
      <c r="P4894" s="163"/>
      <c r="Q4894" s="163"/>
      <c r="R4894" s="163"/>
      <c r="S4894" s="161"/>
      <c r="T4894" s="161"/>
      <c r="U4894" s="161"/>
      <c r="V4894" s="161"/>
      <c r="W4894" s="161"/>
      <c r="X4894" s="161"/>
      <c r="Y4894" s="161"/>
      <c r="Z4894" s="168"/>
      <c r="AA4894" s="168"/>
      <c r="AB4894" s="168"/>
      <c r="AC4894" s="168"/>
    </row>
    <row r="4895">
      <c r="A4895" s="161"/>
      <c r="B4895" s="161"/>
      <c r="C4895" s="162"/>
      <c r="D4895" s="163"/>
      <c r="E4895" s="164" t="str">
        <f>IFERROR(__xludf.DUMMYFUNCTION("""COMPUTED_VALUE"""),"")</f>
        <v/>
      </c>
      <c r="F4895" s="163"/>
      <c r="G4895" s="163"/>
      <c r="H4895" s="163"/>
      <c r="I4895" s="163"/>
      <c r="J4895" s="165"/>
      <c r="K4895" s="165"/>
      <c r="L4895" s="165"/>
      <c r="M4895" s="166"/>
      <c r="N4895" s="167"/>
      <c r="O4895" s="163"/>
      <c r="P4895" s="163"/>
      <c r="Q4895" s="163"/>
      <c r="R4895" s="163"/>
      <c r="S4895" s="161"/>
      <c r="T4895" s="161"/>
      <c r="U4895" s="161"/>
      <c r="V4895" s="161"/>
      <c r="W4895" s="161"/>
      <c r="X4895" s="161"/>
      <c r="Y4895" s="161"/>
      <c r="Z4895" s="168"/>
      <c r="AA4895" s="168"/>
      <c r="AB4895" s="168"/>
      <c r="AC4895" s="168"/>
    </row>
    <row r="4896">
      <c r="A4896" s="161"/>
      <c r="B4896" s="161"/>
      <c r="C4896" s="162"/>
      <c r="D4896" s="163"/>
      <c r="E4896" s="164" t="str">
        <f>IFERROR(__xludf.DUMMYFUNCTION("""COMPUTED_VALUE"""),"")</f>
        <v/>
      </c>
      <c r="F4896" s="163"/>
      <c r="G4896" s="163"/>
      <c r="H4896" s="163"/>
      <c r="I4896" s="163"/>
      <c r="J4896" s="165"/>
      <c r="K4896" s="165"/>
      <c r="L4896" s="165"/>
      <c r="M4896" s="166"/>
      <c r="N4896" s="167"/>
      <c r="O4896" s="163"/>
      <c r="P4896" s="163"/>
      <c r="Q4896" s="163"/>
      <c r="R4896" s="163"/>
      <c r="S4896" s="161"/>
      <c r="T4896" s="161"/>
      <c r="U4896" s="161"/>
      <c r="V4896" s="161"/>
      <c r="W4896" s="161"/>
      <c r="X4896" s="161"/>
      <c r="Y4896" s="161"/>
      <c r="Z4896" s="168"/>
      <c r="AA4896" s="168"/>
      <c r="AB4896" s="168"/>
      <c r="AC4896" s="168"/>
    </row>
    <row r="4897">
      <c r="A4897" s="161"/>
      <c r="B4897" s="161"/>
      <c r="C4897" s="162"/>
      <c r="D4897" s="163"/>
      <c r="E4897" s="164" t="str">
        <f>IFERROR(__xludf.DUMMYFUNCTION("""COMPUTED_VALUE"""),"")</f>
        <v/>
      </c>
      <c r="F4897" s="163"/>
      <c r="G4897" s="163"/>
      <c r="H4897" s="163"/>
      <c r="I4897" s="163"/>
      <c r="J4897" s="165"/>
      <c r="K4897" s="165"/>
      <c r="L4897" s="165"/>
      <c r="M4897" s="166"/>
      <c r="N4897" s="167"/>
      <c r="O4897" s="163"/>
      <c r="P4897" s="163"/>
      <c r="Q4897" s="163"/>
      <c r="R4897" s="163"/>
      <c r="S4897" s="161"/>
      <c r="T4897" s="161"/>
      <c r="U4897" s="161"/>
      <c r="V4897" s="161"/>
      <c r="W4897" s="161"/>
      <c r="X4897" s="161"/>
      <c r="Y4897" s="161"/>
      <c r="Z4897" s="168"/>
      <c r="AA4897" s="168"/>
      <c r="AB4897" s="168"/>
      <c r="AC4897" s="168"/>
    </row>
    <row r="4898">
      <c r="A4898" s="161"/>
      <c r="B4898" s="161"/>
      <c r="C4898" s="162"/>
      <c r="D4898" s="163"/>
      <c r="E4898" s="164" t="str">
        <f>IFERROR(__xludf.DUMMYFUNCTION("""COMPUTED_VALUE"""),"")</f>
        <v/>
      </c>
      <c r="F4898" s="163"/>
      <c r="G4898" s="163"/>
      <c r="H4898" s="163"/>
      <c r="I4898" s="163"/>
      <c r="J4898" s="165"/>
      <c r="K4898" s="165"/>
      <c r="L4898" s="165"/>
      <c r="M4898" s="166"/>
      <c r="N4898" s="167"/>
      <c r="O4898" s="163"/>
      <c r="P4898" s="163"/>
      <c r="Q4898" s="163"/>
      <c r="R4898" s="163"/>
      <c r="S4898" s="161"/>
      <c r="T4898" s="161"/>
      <c r="U4898" s="161"/>
      <c r="V4898" s="161"/>
      <c r="W4898" s="161"/>
      <c r="X4898" s="161"/>
      <c r="Y4898" s="161"/>
      <c r="Z4898" s="168"/>
      <c r="AA4898" s="168"/>
      <c r="AB4898" s="168"/>
      <c r="AC4898" s="168"/>
    </row>
    <row r="4899">
      <c r="A4899" s="161"/>
      <c r="B4899" s="161"/>
      <c r="C4899" s="162"/>
      <c r="D4899" s="163"/>
      <c r="E4899" s="164" t="str">
        <f>IFERROR(__xludf.DUMMYFUNCTION("""COMPUTED_VALUE"""),"")</f>
        <v/>
      </c>
      <c r="F4899" s="163"/>
      <c r="G4899" s="163"/>
      <c r="H4899" s="163"/>
      <c r="I4899" s="163"/>
      <c r="J4899" s="165"/>
      <c r="K4899" s="165"/>
      <c r="L4899" s="165"/>
      <c r="M4899" s="166"/>
      <c r="N4899" s="167"/>
      <c r="O4899" s="163"/>
      <c r="P4899" s="163"/>
      <c r="Q4899" s="163"/>
      <c r="R4899" s="163"/>
      <c r="S4899" s="161"/>
      <c r="T4899" s="161"/>
      <c r="U4899" s="161"/>
      <c r="V4899" s="161"/>
      <c r="W4899" s="161"/>
      <c r="X4899" s="161"/>
      <c r="Y4899" s="161"/>
      <c r="Z4899" s="168"/>
      <c r="AA4899" s="168"/>
      <c r="AB4899" s="168"/>
      <c r="AC4899" s="168"/>
    </row>
    <row r="4900">
      <c r="A4900" s="161"/>
      <c r="B4900" s="161"/>
      <c r="C4900" s="162"/>
      <c r="D4900" s="163"/>
      <c r="E4900" s="164" t="str">
        <f>IFERROR(__xludf.DUMMYFUNCTION("""COMPUTED_VALUE"""),"")</f>
        <v/>
      </c>
      <c r="F4900" s="163"/>
      <c r="G4900" s="163"/>
      <c r="H4900" s="163"/>
      <c r="I4900" s="163"/>
      <c r="J4900" s="165"/>
      <c r="K4900" s="165"/>
      <c r="L4900" s="165"/>
      <c r="M4900" s="166"/>
      <c r="N4900" s="167"/>
      <c r="O4900" s="163"/>
      <c r="P4900" s="163"/>
      <c r="Q4900" s="163"/>
      <c r="R4900" s="163"/>
      <c r="S4900" s="161"/>
      <c r="T4900" s="161"/>
      <c r="U4900" s="161"/>
      <c r="V4900" s="161"/>
      <c r="W4900" s="161"/>
      <c r="X4900" s="161"/>
      <c r="Y4900" s="161"/>
      <c r="Z4900" s="168"/>
      <c r="AA4900" s="168"/>
      <c r="AB4900" s="168"/>
      <c r="AC4900" s="168"/>
    </row>
    <row r="4901">
      <c r="A4901" s="161"/>
      <c r="B4901" s="161"/>
      <c r="C4901" s="162"/>
      <c r="D4901" s="163"/>
      <c r="E4901" s="164" t="str">
        <f>IFERROR(__xludf.DUMMYFUNCTION("""COMPUTED_VALUE"""),"")</f>
        <v/>
      </c>
      <c r="F4901" s="163"/>
      <c r="G4901" s="163"/>
      <c r="H4901" s="163"/>
      <c r="I4901" s="163"/>
      <c r="J4901" s="165"/>
      <c r="K4901" s="165"/>
      <c r="L4901" s="165"/>
      <c r="M4901" s="166"/>
      <c r="N4901" s="167"/>
      <c r="O4901" s="163"/>
      <c r="P4901" s="163"/>
      <c r="Q4901" s="163"/>
      <c r="R4901" s="163"/>
      <c r="S4901" s="161"/>
      <c r="T4901" s="161"/>
      <c r="U4901" s="161"/>
      <c r="V4901" s="161"/>
      <c r="W4901" s="161"/>
      <c r="X4901" s="161"/>
      <c r="Y4901" s="161"/>
      <c r="Z4901" s="168"/>
      <c r="AA4901" s="168"/>
      <c r="AB4901" s="168"/>
      <c r="AC4901" s="168"/>
    </row>
    <row r="4902">
      <c r="A4902" s="161"/>
      <c r="B4902" s="161"/>
      <c r="C4902" s="162"/>
      <c r="D4902" s="163"/>
      <c r="E4902" s="164" t="str">
        <f>IFERROR(__xludf.DUMMYFUNCTION("""COMPUTED_VALUE"""),"")</f>
        <v/>
      </c>
      <c r="F4902" s="163"/>
      <c r="G4902" s="163"/>
      <c r="H4902" s="163"/>
      <c r="I4902" s="163"/>
      <c r="J4902" s="165"/>
      <c r="K4902" s="165"/>
      <c r="L4902" s="165"/>
      <c r="M4902" s="166"/>
      <c r="N4902" s="167"/>
      <c r="O4902" s="163"/>
      <c r="P4902" s="163"/>
      <c r="Q4902" s="163"/>
      <c r="R4902" s="163"/>
      <c r="S4902" s="161"/>
      <c r="T4902" s="161"/>
      <c r="U4902" s="161"/>
      <c r="V4902" s="161"/>
      <c r="W4902" s="161"/>
      <c r="X4902" s="161"/>
      <c r="Y4902" s="161"/>
      <c r="Z4902" s="168"/>
      <c r="AA4902" s="168"/>
      <c r="AB4902" s="168"/>
      <c r="AC4902" s="168"/>
    </row>
    <row r="4903">
      <c r="A4903" s="161"/>
      <c r="B4903" s="161"/>
      <c r="C4903" s="162"/>
      <c r="D4903" s="163"/>
      <c r="E4903" s="164" t="str">
        <f>IFERROR(__xludf.DUMMYFUNCTION("""COMPUTED_VALUE"""),"")</f>
        <v/>
      </c>
      <c r="F4903" s="163"/>
      <c r="G4903" s="163"/>
      <c r="H4903" s="163"/>
      <c r="I4903" s="163"/>
      <c r="J4903" s="165"/>
      <c r="K4903" s="165"/>
      <c r="L4903" s="165"/>
      <c r="M4903" s="166"/>
      <c r="N4903" s="167"/>
      <c r="O4903" s="163"/>
      <c r="P4903" s="163"/>
      <c r="Q4903" s="163"/>
      <c r="R4903" s="163"/>
      <c r="S4903" s="161"/>
      <c r="T4903" s="161"/>
      <c r="U4903" s="161"/>
      <c r="V4903" s="161"/>
      <c r="W4903" s="161"/>
      <c r="X4903" s="161"/>
      <c r="Y4903" s="161"/>
      <c r="Z4903" s="168"/>
      <c r="AA4903" s="168"/>
      <c r="AB4903" s="168"/>
      <c r="AC4903" s="168"/>
    </row>
    <row r="4904">
      <c r="A4904" s="161"/>
      <c r="B4904" s="161"/>
      <c r="C4904" s="162"/>
      <c r="D4904" s="163"/>
      <c r="E4904" s="164" t="str">
        <f>IFERROR(__xludf.DUMMYFUNCTION("""COMPUTED_VALUE"""),"")</f>
        <v/>
      </c>
      <c r="F4904" s="163"/>
      <c r="G4904" s="163"/>
      <c r="H4904" s="163"/>
      <c r="I4904" s="163"/>
      <c r="J4904" s="165"/>
      <c r="K4904" s="165"/>
      <c r="L4904" s="165"/>
      <c r="M4904" s="166"/>
      <c r="N4904" s="167"/>
      <c r="O4904" s="163"/>
      <c r="P4904" s="163"/>
      <c r="Q4904" s="163"/>
      <c r="R4904" s="163"/>
      <c r="S4904" s="161"/>
      <c r="T4904" s="161"/>
      <c r="U4904" s="161"/>
      <c r="V4904" s="161"/>
      <c r="W4904" s="161"/>
      <c r="X4904" s="161"/>
      <c r="Y4904" s="161"/>
      <c r="Z4904" s="168"/>
      <c r="AA4904" s="168"/>
      <c r="AB4904" s="168"/>
      <c r="AC4904" s="168"/>
    </row>
    <row r="4905">
      <c r="A4905" s="161"/>
      <c r="B4905" s="161"/>
      <c r="C4905" s="162"/>
      <c r="D4905" s="163"/>
      <c r="E4905" s="164" t="str">
        <f>IFERROR(__xludf.DUMMYFUNCTION("""COMPUTED_VALUE"""),"")</f>
        <v/>
      </c>
      <c r="F4905" s="163"/>
      <c r="G4905" s="163"/>
      <c r="H4905" s="163"/>
      <c r="I4905" s="163"/>
      <c r="J4905" s="165"/>
      <c r="K4905" s="165"/>
      <c r="L4905" s="165"/>
      <c r="M4905" s="166"/>
      <c r="N4905" s="167"/>
      <c r="O4905" s="163"/>
      <c r="P4905" s="163"/>
      <c r="Q4905" s="163"/>
      <c r="R4905" s="163"/>
      <c r="S4905" s="161"/>
      <c r="T4905" s="161"/>
      <c r="U4905" s="161"/>
      <c r="V4905" s="161"/>
      <c r="W4905" s="161"/>
      <c r="X4905" s="161"/>
      <c r="Y4905" s="161"/>
      <c r="Z4905" s="168"/>
      <c r="AA4905" s="168"/>
      <c r="AB4905" s="168"/>
      <c r="AC4905" s="168"/>
    </row>
    <row r="4906">
      <c r="A4906" s="161"/>
      <c r="B4906" s="161"/>
      <c r="C4906" s="162"/>
      <c r="D4906" s="163"/>
      <c r="E4906" s="164" t="str">
        <f>IFERROR(__xludf.DUMMYFUNCTION("""COMPUTED_VALUE"""),"")</f>
        <v/>
      </c>
      <c r="F4906" s="163"/>
      <c r="G4906" s="163"/>
      <c r="H4906" s="163"/>
      <c r="I4906" s="163"/>
      <c r="J4906" s="165"/>
      <c r="K4906" s="165"/>
      <c r="L4906" s="165"/>
      <c r="M4906" s="166"/>
      <c r="N4906" s="167"/>
      <c r="O4906" s="163"/>
      <c r="P4906" s="163"/>
      <c r="Q4906" s="163"/>
      <c r="R4906" s="163"/>
      <c r="S4906" s="161"/>
      <c r="T4906" s="161"/>
      <c r="U4906" s="161"/>
      <c r="V4906" s="161"/>
      <c r="W4906" s="161"/>
      <c r="X4906" s="161"/>
      <c r="Y4906" s="161"/>
      <c r="Z4906" s="168"/>
      <c r="AA4906" s="168"/>
      <c r="AB4906" s="168"/>
      <c r="AC4906" s="168"/>
    </row>
    <row r="4907">
      <c r="A4907" s="161"/>
      <c r="B4907" s="161"/>
      <c r="C4907" s="162"/>
      <c r="D4907" s="163"/>
      <c r="E4907" s="164" t="str">
        <f>IFERROR(__xludf.DUMMYFUNCTION("""COMPUTED_VALUE"""),"")</f>
        <v/>
      </c>
      <c r="F4907" s="163"/>
      <c r="G4907" s="163"/>
      <c r="H4907" s="163"/>
      <c r="I4907" s="163"/>
      <c r="J4907" s="165"/>
      <c r="K4907" s="165"/>
      <c r="L4907" s="165"/>
      <c r="M4907" s="166"/>
      <c r="N4907" s="167"/>
      <c r="O4907" s="163"/>
      <c r="P4907" s="163"/>
      <c r="Q4907" s="163"/>
      <c r="R4907" s="163"/>
      <c r="S4907" s="161"/>
      <c r="T4907" s="161"/>
      <c r="U4907" s="161"/>
      <c r="V4907" s="161"/>
      <c r="W4907" s="161"/>
      <c r="X4907" s="161"/>
      <c r="Y4907" s="161"/>
      <c r="Z4907" s="168"/>
      <c r="AA4907" s="168"/>
      <c r="AB4907" s="168"/>
      <c r="AC4907" s="168"/>
    </row>
    <row r="4908">
      <c r="A4908" s="161"/>
      <c r="B4908" s="161"/>
      <c r="C4908" s="162"/>
      <c r="D4908" s="163"/>
      <c r="E4908" s="164" t="str">
        <f>IFERROR(__xludf.DUMMYFUNCTION("""COMPUTED_VALUE"""),"")</f>
        <v/>
      </c>
      <c r="F4908" s="163"/>
      <c r="G4908" s="163"/>
      <c r="H4908" s="163"/>
      <c r="I4908" s="163"/>
      <c r="J4908" s="165"/>
      <c r="K4908" s="165"/>
      <c r="L4908" s="165"/>
      <c r="M4908" s="166"/>
      <c r="N4908" s="167"/>
      <c r="O4908" s="163"/>
      <c r="P4908" s="163"/>
      <c r="Q4908" s="163"/>
      <c r="R4908" s="163"/>
      <c r="S4908" s="161"/>
      <c r="T4908" s="161"/>
      <c r="U4908" s="161"/>
      <c r="V4908" s="161"/>
      <c r="W4908" s="161"/>
      <c r="X4908" s="161"/>
      <c r="Y4908" s="161"/>
      <c r="Z4908" s="168"/>
      <c r="AA4908" s="168"/>
      <c r="AB4908" s="168"/>
      <c r="AC4908" s="168"/>
    </row>
    <row r="4909">
      <c r="A4909" s="161"/>
      <c r="B4909" s="161"/>
      <c r="C4909" s="162"/>
      <c r="D4909" s="163"/>
      <c r="E4909" s="164" t="str">
        <f>IFERROR(__xludf.DUMMYFUNCTION("""COMPUTED_VALUE"""),"")</f>
        <v/>
      </c>
      <c r="F4909" s="163"/>
      <c r="G4909" s="163"/>
      <c r="H4909" s="163"/>
      <c r="I4909" s="163"/>
      <c r="J4909" s="165"/>
      <c r="K4909" s="165"/>
      <c r="L4909" s="165"/>
      <c r="M4909" s="166"/>
      <c r="N4909" s="167"/>
      <c r="O4909" s="163"/>
      <c r="P4909" s="163"/>
      <c r="Q4909" s="163"/>
      <c r="R4909" s="163"/>
      <c r="S4909" s="161"/>
      <c r="T4909" s="161"/>
      <c r="U4909" s="161"/>
      <c r="V4909" s="161"/>
      <c r="W4909" s="161"/>
      <c r="X4909" s="161"/>
      <c r="Y4909" s="161"/>
      <c r="Z4909" s="168"/>
      <c r="AA4909" s="168"/>
      <c r="AB4909" s="168"/>
      <c r="AC4909" s="168"/>
    </row>
    <row r="4910">
      <c r="A4910" s="161"/>
      <c r="B4910" s="161"/>
      <c r="C4910" s="162"/>
      <c r="D4910" s="163"/>
      <c r="E4910" s="164" t="str">
        <f>IFERROR(__xludf.DUMMYFUNCTION("""COMPUTED_VALUE"""),"")</f>
        <v/>
      </c>
      <c r="F4910" s="163"/>
      <c r="G4910" s="163"/>
      <c r="H4910" s="163"/>
      <c r="I4910" s="163"/>
      <c r="J4910" s="165"/>
      <c r="K4910" s="165"/>
      <c r="L4910" s="165"/>
      <c r="M4910" s="166"/>
      <c r="N4910" s="167"/>
      <c r="O4910" s="163"/>
      <c r="P4910" s="163"/>
      <c r="Q4910" s="163"/>
      <c r="R4910" s="163"/>
      <c r="S4910" s="161"/>
      <c r="T4910" s="161"/>
      <c r="U4910" s="161"/>
      <c r="V4910" s="161"/>
      <c r="W4910" s="161"/>
      <c r="X4910" s="161"/>
      <c r="Y4910" s="161"/>
      <c r="Z4910" s="168"/>
      <c r="AA4910" s="168"/>
      <c r="AB4910" s="168"/>
      <c r="AC4910" s="168"/>
    </row>
    <row r="4911">
      <c r="A4911" s="161"/>
      <c r="B4911" s="161"/>
      <c r="C4911" s="162"/>
      <c r="D4911" s="163"/>
      <c r="E4911" s="164" t="str">
        <f>IFERROR(__xludf.DUMMYFUNCTION("""COMPUTED_VALUE"""),"")</f>
        <v/>
      </c>
      <c r="F4911" s="163"/>
      <c r="G4911" s="163"/>
      <c r="H4911" s="163"/>
      <c r="I4911" s="163"/>
      <c r="J4911" s="165"/>
      <c r="K4911" s="165"/>
      <c r="L4911" s="165"/>
      <c r="M4911" s="166"/>
      <c r="N4911" s="167"/>
      <c r="O4911" s="163"/>
      <c r="P4911" s="163"/>
      <c r="Q4911" s="163"/>
      <c r="R4911" s="163"/>
      <c r="S4911" s="161"/>
      <c r="T4911" s="161"/>
      <c r="U4911" s="161"/>
      <c r="V4911" s="161"/>
      <c r="W4911" s="161"/>
      <c r="X4911" s="161"/>
      <c r="Y4911" s="161"/>
      <c r="Z4911" s="168"/>
      <c r="AA4911" s="168"/>
      <c r="AB4911" s="168"/>
      <c r="AC4911" s="168"/>
    </row>
    <row r="4912">
      <c r="A4912" s="161"/>
      <c r="B4912" s="161"/>
      <c r="C4912" s="162"/>
      <c r="D4912" s="163"/>
      <c r="E4912" s="164" t="str">
        <f>IFERROR(__xludf.DUMMYFUNCTION("""COMPUTED_VALUE"""),"")</f>
        <v/>
      </c>
      <c r="F4912" s="163"/>
      <c r="G4912" s="163"/>
      <c r="H4912" s="163"/>
      <c r="I4912" s="163"/>
      <c r="J4912" s="165"/>
      <c r="K4912" s="165"/>
      <c r="L4912" s="165"/>
      <c r="M4912" s="166"/>
      <c r="N4912" s="167"/>
      <c r="O4912" s="163"/>
      <c r="P4912" s="163"/>
      <c r="Q4912" s="163"/>
      <c r="R4912" s="163"/>
      <c r="S4912" s="161"/>
      <c r="T4912" s="161"/>
      <c r="U4912" s="161"/>
      <c r="V4912" s="161"/>
      <c r="W4912" s="161"/>
      <c r="X4912" s="161"/>
      <c r="Y4912" s="161"/>
      <c r="Z4912" s="168"/>
      <c r="AA4912" s="168"/>
      <c r="AB4912" s="168"/>
      <c r="AC4912" s="168"/>
    </row>
    <row r="4913">
      <c r="A4913" s="161"/>
      <c r="B4913" s="161"/>
      <c r="C4913" s="162"/>
      <c r="D4913" s="163"/>
      <c r="E4913" s="164" t="str">
        <f>IFERROR(__xludf.DUMMYFUNCTION("""COMPUTED_VALUE"""),"")</f>
        <v/>
      </c>
      <c r="F4913" s="163"/>
      <c r="G4913" s="163"/>
      <c r="H4913" s="163"/>
      <c r="I4913" s="163"/>
      <c r="J4913" s="165"/>
      <c r="K4913" s="165"/>
      <c r="L4913" s="165"/>
      <c r="M4913" s="166"/>
      <c r="N4913" s="167"/>
      <c r="O4913" s="163"/>
      <c r="P4913" s="163"/>
      <c r="Q4913" s="163"/>
      <c r="R4913" s="163"/>
      <c r="S4913" s="161"/>
      <c r="T4913" s="161"/>
      <c r="U4913" s="161"/>
      <c r="V4913" s="161"/>
      <c r="W4913" s="161"/>
      <c r="X4913" s="161"/>
      <c r="Y4913" s="161"/>
      <c r="Z4913" s="168"/>
      <c r="AA4913" s="168"/>
      <c r="AB4913" s="168"/>
      <c r="AC4913" s="168"/>
    </row>
    <row r="4914">
      <c r="A4914" s="161"/>
      <c r="B4914" s="161"/>
      <c r="C4914" s="162"/>
      <c r="D4914" s="163"/>
      <c r="E4914" s="164" t="str">
        <f>IFERROR(__xludf.DUMMYFUNCTION("""COMPUTED_VALUE"""),"")</f>
        <v/>
      </c>
      <c r="F4914" s="163"/>
      <c r="G4914" s="163"/>
      <c r="H4914" s="163"/>
      <c r="I4914" s="163"/>
      <c r="J4914" s="165"/>
      <c r="K4914" s="165"/>
      <c r="L4914" s="165"/>
      <c r="M4914" s="166"/>
      <c r="N4914" s="167"/>
      <c r="O4914" s="163"/>
      <c r="P4914" s="163"/>
      <c r="Q4914" s="163"/>
      <c r="R4914" s="163"/>
      <c r="S4914" s="161"/>
      <c r="T4914" s="161"/>
      <c r="U4914" s="161"/>
      <c r="V4914" s="161"/>
      <c r="W4914" s="161"/>
      <c r="X4914" s="161"/>
      <c r="Y4914" s="161"/>
      <c r="Z4914" s="168"/>
      <c r="AA4914" s="168"/>
      <c r="AB4914" s="168"/>
      <c r="AC4914" s="168"/>
    </row>
    <row r="4915">
      <c r="A4915" s="161"/>
      <c r="B4915" s="161"/>
      <c r="C4915" s="162"/>
      <c r="D4915" s="163"/>
      <c r="E4915" s="164" t="str">
        <f>IFERROR(__xludf.DUMMYFUNCTION("""COMPUTED_VALUE"""),"")</f>
        <v/>
      </c>
      <c r="F4915" s="163"/>
      <c r="G4915" s="163"/>
      <c r="H4915" s="163"/>
      <c r="I4915" s="163"/>
      <c r="J4915" s="165"/>
      <c r="K4915" s="165"/>
      <c r="L4915" s="165"/>
      <c r="M4915" s="166"/>
      <c r="N4915" s="167"/>
      <c r="O4915" s="163"/>
      <c r="P4915" s="163"/>
      <c r="Q4915" s="163"/>
      <c r="R4915" s="163"/>
      <c r="S4915" s="161"/>
      <c r="T4915" s="161"/>
      <c r="U4915" s="161"/>
      <c r="V4915" s="161"/>
      <c r="W4915" s="161"/>
      <c r="X4915" s="161"/>
      <c r="Y4915" s="161"/>
      <c r="Z4915" s="168"/>
      <c r="AA4915" s="168"/>
      <c r="AB4915" s="168"/>
      <c r="AC4915" s="168"/>
    </row>
    <row r="4916">
      <c r="A4916" s="161"/>
      <c r="B4916" s="161"/>
      <c r="C4916" s="162"/>
      <c r="D4916" s="163"/>
      <c r="E4916" s="164" t="str">
        <f>IFERROR(__xludf.DUMMYFUNCTION("""COMPUTED_VALUE"""),"")</f>
        <v/>
      </c>
      <c r="F4916" s="163"/>
      <c r="G4916" s="163"/>
      <c r="H4916" s="163"/>
      <c r="I4916" s="163"/>
      <c r="J4916" s="165"/>
      <c r="K4916" s="165"/>
      <c r="L4916" s="165"/>
      <c r="M4916" s="166"/>
      <c r="N4916" s="167"/>
      <c r="O4916" s="163"/>
      <c r="P4916" s="163"/>
      <c r="Q4916" s="163"/>
      <c r="R4916" s="163"/>
      <c r="S4916" s="161"/>
      <c r="T4916" s="161"/>
      <c r="U4916" s="161"/>
      <c r="V4916" s="161"/>
      <c r="W4916" s="161"/>
      <c r="X4916" s="161"/>
      <c r="Y4916" s="161"/>
      <c r="Z4916" s="168"/>
      <c r="AA4916" s="168"/>
      <c r="AB4916" s="168"/>
      <c r="AC4916" s="168"/>
    </row>
    <row r="4917">
      <c r="A4917" s="161"/>
      <c r="B4917" s="161"/>
      <c r="C4917" s="162"/>
      <c r="D4917" s="163"/>
      <c r="E4917" s="164" t="str">
        <f>IFERROR(__xludf.DUMMYFUNCTION("""COMPUTED_VALUE"""),"")</f>
        <v/>
      </c>
      <c r="F4917" s="163"/>
      <c r="G4917" s="163"/>
      <c r="H4917" s="163"/>
      <c r="I4917" s="163"/>
      <c r="J4917" s="165"/>
      <c r="K4917" s="165"/>
      <c r="L4917" s="165"/>
      <c r="M4917" s="166"/>
      <c r="N4917" s="167"/>
      <c r="O4917" s="163"/>
      <c r="P4917" s="163"/>
      <c r="Q4917" s="163"/>
      <c r="R4917" s="163"/>
      <c r="S4917" s="161"/>
      <c r="T4917" s="161"/>
      <c r="U4917" s="161"/>
      <c r="V4917" s="161"/>
      <c r="W4917" s="161"/>
      <c r="X4917" s="161"/>
      <c r="Y4917" s="161"/>
      <c r="Z4917" s="168"/>
      <c r="AA4917" s="168"/>
      <c r="AB4917" s="168"/>
      <c r="AC4917" s="168"/>
    </row>
    <row r="4918">
      <c r="A4918" s="161"/>
      <c r="B4918" s="161"/>
      <c r="C4918" s="162"/>
      <c r="D4918" s="163"/>
      <c r="E4918" s="164" t="str">
        <f>IFERROR(__xludf.DUMMYFUNCTION("""COMPUTED_VALUE"""),"")</f>
        <v/>
      </c>
      <c r="F4918" s="163"/>
      <c r="G4918" s="163"/>
      <c r="H4918" s="163"/>
      <c r="I4918" s="163"/>
      <c r="J4918" s="165"/>
      <c r="K4918" s="165"/>
      <c r="L4918" s="165"/>
      <c r="M4918" s="166"/>
      <c r="N4918" s="167"/>
      <c r="O4918" s="163"/>
      <c r="P4918" s="163"/>
      <c r="Q4918" s="163"/>
      <c r="R4918" s="163"/>
      <c r="S4918" s="161"/>
      <c r="T4918" s="161"/>
      <c r="U4918" s="161"/>
      <c r="V4918" s="161"/>
      <c r="W4918" s="161"/>
      <c r="X4918" s="161"/>
      <c r="Y4918" s="161"/>
      <c r="Z4918" s="168"/>
      <c r="AA4918" s="168"/>
      <c r="AB4918" s="168"/>
      <c r="AC4918" s="168"/>
    </row>
    <row r="4919">
      <c r="A4919" s="161"/>
      <c r="B4919" s="161"/>
      <c r="C4919" s="162"/>
      <c r="D4919" s="163"/>
      <c r="E4919" s="164" t="str">
        <f>IFERROR(__xludf.DUMMYFUNCTION("""COMPUTED_VALUE"""),"")</f>
        <v/>
      </c>
      <c r="F4919" s="163"/>
      <c r="G4919" s="163"/>
      <c r="H4919" s="163"/>
      <c r="I4919" s="163"/>
      <c r="J4919" s="165"/>
      <c r="K4919" s="165"/>
      <c r="L4919" s="165"/>
      <c r="M4919" s="166"/>
      <c r="N4919" s="167"/>
      <c r="O4919" s="163"/>
      <c r="P4919" s="163"/>
      <c r="Q4919" s="163"/>
      <c r="R4919" s="163"/>
      <c r="S4919" s="161"/>
      <c r="T4919" s="161"/>
      <c r="U4919" s="161"/>
      <c r="V4919" s="161"/>
      <c r="W4919" s="161"/>
      <c r="X4919" s="161"/>
      <c r="Y4919" s="161"/>
      <c r="Z4919" s="168"/>
      <c r="AA4919" s="168"/>
      <c r="AB4919" s="168"/>
      <c r="AC4919" s="168"/>
    </row>
    <row r="4920">
      <c r="A4920" s="161"/>
      <c r="B4920" s="161"/>
      <c r="C4920" s="162"/>
      <c r="D4920" s="163"/>
      <c r="E4920" s="164" t="str">
        <f>IFERROR(__xludf.DUMMYFUNCTION("""COMPUTED_VALUE"""),"")</f>
        <v/>
      </c>
      <c r="F4920" s="163"/>
      <c r="G4920" s="163"/>
      <c r="H4920" s="163"/>
      <c r="I4920" s="163"/>
      <c r="J4920" s="165"/>
      <c r="K4920" s="165"/>
      <c r="L4920" s="165"/>
      <c r="M4920" s="166"/>
      <c r="N4920" s="167"/>
      <c r="O4920" s="163"/>
      <c r="P4920" s="163"/>
      <c r="Q4920" s="163"/>
      <c r="R4920" s="163"/>
      <c r="S4920" s="161"/>
      <c r="T4920" s="161"/>
      <c r="U4920" s="161"/>
      <c r="V4920" s="161"/>
      <c r="W4920" s="161"/>
      <c r="X4920" s="161"/>
      <c r="Y4920" s="161"/>
      <c r="Z4920" s="168"/>
      <c r="AA4920" s="168"/>
      <c r="AB4920" s="168"/>
      <c r="AC4920" s="168"/>
    </row>
    <row r="4921">
      <c r="A4921" s="161"/>
      <c r="B4921" s="161"/>
      <c r="C4921" s="162"/>
      <c r="D4921" s="163"/>
      <c r="E4921" s="164" t="str">
        <f>IFERROR(__xludf.DUMMYFUNCTION("""COMPUTED_VALUE"""),"")</f>
        <v/>
      </c>
      <c r="F4921" s="163"/>
      <c r="G4921" s="163"/>
      <c r="H4921" s="163"/>
      <c r="I4921" s="163"/>
      <c r="J4921" s="165"/>
      <c r="K4921" s="165"/>
      <c r="L4921" s="165"/>
      <c r="M4921" s="166"/>
      <c r="N4921" s="167"/>
      <c r="O4921" s="163"/>
      <c r="P4921" s="163"/>
      <c r="Q4921" s="163"/>
      <c r="R4921" s="163"/>
      <c r="S4921" s="161"/>
      <c r="T4921" s="161"/>
      <c r="U4921" s="161"/>
      <c r="V4921" s="161"/>
      <c r="W4921" s="161"/>
      <c r="X4921" s="161"/>
      <c r="Y4921" s="161"/>
      <c r="Z4921" s="168"/>
      <c r="AA4921" s="168"/>
      <c r="AB4921" s="168"/>
      <c r="AC4921" s="168"/>
    </row>
    <row r="4922">
      <c r="A4922" s="161"/>
      <c r="B4922" s="161"/>
      <c r="C4922" s="162"/>
      <c r="D4922" s="163"/>
      <c r="E4922" s="164" t="str">
        <f>IFERROR(__xludf.DUMMYFUNCTION("""COMPUTED_VALUE"""),"")</f>
        <v/>
      </c>
      <c r="F4922" s="163"/>
      <c r="G4922" s="163"/>
      <c r="H4922" s="163"/>
      <c r="I4922" s="163"/>
      <c r="J4922" s="165"/>
      <c r="K4922" s="165"/>
      <c r="L4922" s="165"/>
      <c r="M4922" s="166"/>
      <c r="N4922" s="167"/>
      <c r="O4922" s="163"/>
      <c r="P4922" s="163"/>
      <c r="Q4922" s="163"/>
      <c r="R4922" s="163"/>
      <c r="S4922" s="161"/>
      <c r="T4922" s="161"/>
      <c r="U4922" s="161"/>
      <c r="V4922" s="161"/>
      <c r="W4922" s="161"/>
      <c r="X4922" s="161"/>
      <c r="Y4922" s="161"/>
      <c r="Z4922" s="168"/>
      <c r="AA4922" s="168"/>
      <c r="AB4922" s="168"/>
      <c r="AC4922" s="168"/>
    </row>
    <row r="4923">
      <c r="A4923" s="161"/>
      <c r="B4923" s="161"/>
      <c r="C4923" s="162"/>
      <c r="D4923" s="163"/>
      <c r="E4923" s="164" t="str">
        <f>IFERROR(__xludf.DUMMYFUNCTION("""COMPUTED_VALUE"""),"")</f>
        <v/>
      </c>
      <c r="F4923" s="163"/>
      <c r="G4923" s="163"/>
      <c r="H4923" s="163"/>
      <c r="I4923" s="163"/>
      <c r="J4923" s="165"/>
      <c r="K4923" s="165"/>
      <c r="L4923" s="165"/>
      <c r="M4923" s="166"/>
      <c r="N4923" s="167"/>
      <c r="O4923" s="163"/>
      <c r="P4923" s="163"/>
      <c r="Q4923" s="163"/>
      <c r="R4923" s="163"/>
      <c r="S4923" s="161"/>
      <c r="T4923" s="161"/>
      <c r="U4923" s="161"/>
      <c r="V4923" s="161"/>
      <c r="W4923" s="161"/>
      <c r="X4923" s="161"/>
      <c r="Y4923" s="161"/>
      <c r="Z4923" s="168"/>
      <c r="AA4923" s="168"/>
      <c r="AB4923" s="168"/>
      <c r="AC4923" s="168"/>
    </row>
    <row r="4924">
      <c r="A4924" s="161"/>
      <c r="B4924" s="161"/>
      <c r="C4924" s="162"/>
      <c r="D4924" s="163"/>
      <c r="E4924" s="164" t="str">
        <f>IFERROR(__xludf.DUMMYFUNCTION("""COMPUTED_VALUE"""),"")</f>
        <v/>
      </c>
      <c r="F4924" s="163"/>
      <c r="G4924" s="163"/>
      <c r="H4924" s="163"/>
      <c r="I4924" s="163"/>
      <c r="J4924" s="165"/>
      <c r="K4924" s="165"/>
      <c r="L4924" s="165"/>
      <c r="M4924" s="166"/>
      <c r="N4924" s="167"/>
      <c r="O4924" s="163"/>
      <c r="P4924" s="163"/>
      <c r="Q4924" s="163"/>
      <c r="R4924" s="163"/>
      <c r="S4924" s="161"/>
      <c r="T4924" s="161"/>
      <c r="U4924" s="161"/>
      <c r="V4924" s="161"/>
      <c r="W4924" s="161"/>
      <c r="X4924" s="161"/>
      <c r="Y4924" s="161"/>
      <c r="Z4924" s="168"/>
      <c r="AA4924" s="168"/>
      <c r="AB4924" s="168"/>
      <c r="AC4924" s="168"/>
    </row>
    <row r="4925">
      <c r="A4925" s="161"/>
      <c r="B4925" s="161"/>
      <c r="C4925" s="162"/>
      <c r="D4925" s="163"/>
      <c r="E4925" s="164" t="str">
        <f>IFERROR(__xludf.DUMMYFUNCTION("""COMPUTED_VALUE"""),"")</f>
        <v/>
      </c>
      <c r="F4925" s="163"/>
      <c r="G4925" s="163"/>
      <c r="H4925" s="163"/>
      <c r="I4925" s="163"/>
      <c r="J4925" s="165"/>
      <c r="K4925" s="165"/>
      <c r="L4925" s="165"/>
      <c r="M4925" s="166"/>
      <c r="N4925" s="167"/>
      <c r="O4925" s="163"/>
      <c r="P4925" s="163"/>
      <c r="Q4925" s="163"/>
      <c r="R4925" s="163"/>
      <c r="S4925" s="161"/>
      <c r="T4925" s="161"/>
      <c r="U4925" s="161"/>
      <c r="V4925" s="161"/>
      <c r="W4925" s="161"/>
      <c r="X4925" s="161"/>
      <c r="Y4925" s="161"/>
      <c r="Z4925" s="168"/>
      <c r="AA4925" s="168"/>
      <c r="AB4925" s="168"/>
      <c r="AC4925" s="168"/>
    </row>
    <row r="4926">
      <c r="A4926" s="161"/>
      <c r="B4926" s="161"/>
      <c r="C4926" s="162"/>
      <c r="D4926" s="163"/>
      <c r="E4926" s="164" t="str">
        <f>IFERROR(__xludf.DUMMYFUNCTION("""COMPUTED_VALUE"""),"")</f>
        <v/>
      </c>
      <c r="F4926" s="163"/>
      <c r="G4926" s="163"/>
      <c r="H4926" s="163"/>
      <c r="I4926" s="163"/>
      <c r="J4926" s="165"/>
      <c r="K4926" s="165"/>
      <c r="L4926" s="165"/>
      <c r="M4926" s="166"/>
      <c r="N4926" s="167"/>
      <c r="O4926" s="163"/>
      <c r="P4926" s="163"/>
      <c r="Q4926" s="163"/>
      <c r="R4926" s="163"/>
      <c r="S4926" s="161"/>
      <c r="T4926" s="161"/>
      <c r="U4926" s="161"/>
      <c r="V4926" s="161"/>
      <c r="W4926" s="161"/>
      <c r="X4926" s="161"/>
      <c r="Y4926" s="161"/>
      <c r="Z4926" s="168"/>
      <c r="AA4926" s="168"/>
      <c r="AB4926" s="168"/>
      <c r="AC4926" s="168"/>
    </row>
    <row r="4927">
      <c r="A4927" s="161"/>
      <c r="B4927" s="161"/>
      <c r="C4927" s="162"/>
      <c r="D4927" s="163"/>
      <c r="E4927" s="164" t="str">
        <f>IFERROR(__xludf.DUMMYFUNCTION("""COMPUTED_VALUE"""),"")</f>
        <v/>
      </c>
      <c r="F4927" s="163"/>
      <c r="G4927" s="163"/>
      <c r="H4927" s="163"/>
      <c r="I4927" s="163"/>
      <c r="J4927" s="165"/>
      <c r="K4927" s="165"/>
      <c r="L4927" s="165"/>
      <c r="M4927" s="166"/>
      <c r="N4927" s="167"/>
      <c r="O4927" s="163"/>
      <c r="P4927" s="163"/>
      <c r="Q4927" s="163"/>
      <c r="R4927" s="163"/>
      <c r="S4927" s="161"/>
      <c r="T4927" s="161"/>
      <c r="U4927" s="161"/>
      <c r="V4927" s="161"/>
      <c r="W4927" s="161"/>
      <c r="X4927" s="161"/>
      <c r="Y4927" s="161"/>
      <c r="Z4927" s="168"/>
      <c r="AA4927" s="168"/>
      <c r="AB4927" s="168"/>
      <c r="AC4927" s="168"/>
    </row>
    <row r="4928">
      <c r="A4928" s="161"/>
      <c r="B4928" s="161"/>
      <c r="C4928" s="162"/>
      <c r="D4928" s="163"/>
      <c r="E4928" s="164" t="str">
        <f>IFERROR(__xludf.DUMMYFUNCTION("""COMPUTED_VALUE"""),"")</f>
        <v/>
      </c>
      <c r="F4928" s="163"/>
      <c r="G4928" s="163"/>
      <c r="H4928" s="163"/>
      <c r="I4928" s="163"/>
      <c r="J4928" s="165"/>
      <c r="K4928" s="165"/>
      <c r="L4928" s="165"/>
      <c r="M4928" s="166"/>
      <c r="N4928" s="167"/>
      <c r="O4928" s="163"/>
      <c r="P4928" s="163"/>
      <c r="Q4928" s="163"/>
      <c r="R4928" s="163"/>
      <c r="S4928" s="161"/>
      <c r="T4928" s="161"/>
      <c r="U4928" s="161"/>
      <c r="V4928" s="161"/>
      <c r="W4928" s="161"/>
      <c r="X4928" s="161"/>
      <c r="Y4928" s="161"/>
      <c r="Z4928" s="168"/>
      <c r="AA4928" s="168"/>
      <c r="AB4928" s="168"/>
      <c r="AC4928" s="168"/>
    </row>
    <row r="4929">
      <c r="A4929" s="161"/>
      <c r="B4929" s="161"/>
      <c r="C4929" s="162"/>
      <c r="D4929" s="163"/>
      <c r="E4929" s="164" t="str">
        <f>IFERROR(__xludf.DUMMYFUNCTION("""COMPUTED_VALUE"""),"")</f>
        <v/>
      </c>
      <c r="F4929" s="163"/>
      <c r="G4929" s="163"/>
      <c r="H4929" s="163"/>
      <c r="I4929" s="163"/>
      <c r="J4929" s="165"/>
      <c r="K4929" s="165"/>
      <c r="L4929" s="165"/>
      <c r="M4929" s="166"/>
      <c r="N4929" s="167"/>
      <c r="O4929" s="163"/>
      <c r="P4929" s="163"/>
      <c r="Q4929" s="163"/>
      <c r="R4929" s="163"/>
      <c r="S4929" s="161"/>
      <c r="T4929" s="161"/>
      <c r="U4929" s="161"/>
      <c r="V4929" s="161"/>
      <c r="W4929" s="161"/>
      <c r="X4929" s="161"/>
      <c r="Y4929" s="161"/>
      <c r="Z4929" s="168"/>
      <c r="AA4929" s="168"/>
      <c r="AB4929" s="168"/>
      <c r="AC4929" s="168"/>
    </row>
    <row r="4930">
      <c r="A4930" s="161"/>
      <c r="B4930" s="161"/>
      <c r="C4930" s="162"/>
      <c r="D4930" s="163"/>
      <c r="E4930" s="164" t="str">
        <f>IFERROR(__xludf.DUMMYFUNCTION("""COMPUTED_VALUE"""),"")</f>
        <v/>
      </c>
      <c r="F4930" s="163"/>
      <c r="G4930" s="163"/>
      <c r="H4930" s="163"/>
      <c r="I4930" s="163"/>
      <c r="J4930" s="165"/>
      <c r="K4930" s="165"/>
      <c r="L4930" s="165"/>
      <c r="M4930" s="166"/>
      <c r="N4930" s="167"/>
      <c r="O4930" s="163"/>
      <c r="P4930" s="163"/>
      <c r="Q4930" s="163"/>
      <c r="R4930" s="163"/>
      <c r="S4930" s="161"/>
      <c r="T4930" s="161"/>
      <c r="U4930" s="161"/>
      <c r="V4930" s="161"/>
      <c r="W4930" s="161"/>
      <c r="X4930" s="161"/>
      <c r="Y4930" s="161"/>
      <c r="Z4930" s="168"/>
      <c r="AA4930" s="168"/>
      <c r="AB4930" s="168"/>
      <c r="AC4930" s="168"/>
    </row>
    <row r="4931">
      <c r="A4931" s="161"/>
      <c r="B4931" s="161"/>
      <c r="C4931" s="162"/>
      <c r="D4931" s="163"/>
      <c r="E4931" s="164" t="str">
        <f>IFERROR(__xludf.DUMMYFUNCTION("""COMPUTED_VALUE"""),"")</f>
        <v/>
      </c>
      <c r="F4931" s="163"/>
      <c r="G4931" s="163"/>
      <c r="H4931" s="163"/>
      <c r="I4931" s="163"/>
      <c r="J4931" s="165"/>
      <c r="K4931" s="165"/>
      <c r="L4931" s="165"/>
      <c r="M4931" s="166"/>
      <c r="N4931" s="167"/>
      <c r="O4931" s="163"/>
      <c r="P4931" s="163"/>
      <c r="Q4931" s="163"/>
      <c r="R4931" s="163"/>
      <c r="S4931" s="161"/>
      <c r="T4931" s="161"/>
      <c r="U4931" s="161"/>
      <c r="V4931" s="161"/>
      <c r="W4931" s="161"/>
      <c r="X4931" s="161"/>
      <c r="Y4931" s="161"/>
      <c r="Z4931" s="168"/>
      <c r="AA4931" s="168"/>
      <c r="AB4931" s="168"/>
      <c r="AC4931" s="168"/>
    </row>
    <row r="4932">
      <c r="A4932" s="161"/>
      <c r="B4932" s="161"/>
      <c r="C4932" s="162"/>
      <c r="D4932" s="163"/>
      <c r="E4932" s="164" t="str">
        <f>IFERROR(__xludf.DUMMYFUNCTION("""COMPUTED_VALUE"""),"")</f>
        <v/>
      </c>
      <c r="F4932" s="163"/>
      <c r="G4932" s="163"/>
      <c r="H4932" s="163"/>
      <c r="I4932" s="163"/>
      <c r="J4932" s="165"/>
      <c r="K4932" s="165"/>
      <c r="L4932" s="165"/>
      <c r="M4932" s="166"/>
      <c r="N4932" s="167"/>
      <c r="O4932" s="163"/>
      <c r="P4932" s="163"/>
      <c r="Q4932" s="163"/>
      <c r="R4932" s="163"/>
      <c r="S4932" s="161"/>
      <c r="T4932" s="161"/>
      <c r="U4932" s="161"/>
      <c r="V4932" s="161"/>
      <c r="W4932" s="161"/>
      <c r="X4932" s="161"/>
      <c r="Y4932" s="161"/>
      <c r="Z4932" s="168"/>
      <c r="AA4932" s="168"/>
      <c r="AB4932" s="168"/>
      <c r="AC4932" s="168"/>
    </row>
    <row r="4933">
      <c r="A4933" s="161"/>
      <c r="B4933" s="161"/>
      <c r="C4933" s="162"/>
      <c r="D4933" s="163"/>
      <c r="E4933" s="164" t="str">
        <f>IFERROR(__xludf.DUMMYFUNCTION("""COMPUTED_VALUE"""),"")</f>
        <v/>
      </c>
      <c r="F4933" s="163"/>
      <c r="G4933" s="163"/>
      <c r="H4933" s="163"/>
      <c r="I4933" s="163"/>
      <c r="J4933" s="165"/>
      <c r="K4933" s="165"/>
      <c r="L4933" s="165"/>
      <c r="M4933" s="166"/>
      <c r="N4933" s="167"/>
      <c r="O4933" s="163"/>
      <c r="P4933" s="163"/>
      <c r="Q4933" s="163"/>
      <c r="R4933" s="163"/>
      <c r="S4933" s="161"/>
      <c r="T4933" s="161"/>
      <c r="U4933" s="161"/>
      <c r="V4933" s="161"/>
      <c r="W4933" s="161"/>
      <c r="X4933" s="161"/>
      <c r="Y4933" s="161"/>
      <c r="Z4933" s="168"/>
      <c r="AA4933" s="168"/>
      <c r="AB4933" s="168"/>
      <c r="AC4933" s="168"/>
    </row>
    <row r="4934">
      <c r="A4934" s="161"/>
      <c r="B4934" s="161"/>
      <c r="C4934" s="162"/>
      <c r="D4934" s="163"/>
      <c r="E4934" s="164" t="str">
        <f>IFERROR(__xludf.DUMMYFUNCTION("""COMPUTED_VALUE"""),"")</f>
        <v/>
      </c>
      <c r="F4934" s="163"/>
      <c r="G4934" s="163"/>
      <c r="H4934" s="163"/>
      <c r="I4934" s="163"/>
      <c r="J4934" s="165"/>
      <c r="K4934" s="165"/>
      <c r="L4934" s="165"/>
      <c r="M4934" s="166"/>
      <c r="N4934" s="167"/>
      <c r="O4934" s="163"/>
      <c r="P4934" s="163"/>
      <c r="Q4934" s="163"/>
      <c r="R4934" s="163"/>
      <c r="S4934" s="161"/>
      <c r="T4934" s="161"/>
      <c r="U4934" s="161"/>
      <c r="V4934" s="161"/>
      <c r="W4934" s="161"/>
      <c r="X4934" s="161"/>
      <c r="Y4934" s="161"/>
      <c r="Z4934" s="168"/>
      <c r="AA4934" s="168"/>
      <c r="AB4934" s="168"/>
      <c r="AC4934" s="168"/>
    </row>
    <row r="4935">
      <c r="A4935" s="161"/>
      <c r="B4935" s="161"/>
      <c r="C4935" s="162"/>
      <c r="D4935" s="163"/>
      <c r="E4935" s="164" t="str">
        <f>IFERROR(__xludf.DUMMYFUNCTION("""COMPUTED_VALUE"""),"")</f>
        <v/>
      </c>
      <c r="F4935" s="163"/>
      <c r="G4935" s="163"/>
      <c r="H4935" s="163"/>
      <c r="I4935" s="163"/>
      <c r="J4935" s="165"/>
      <c r="K4935" s="165"/>
      <c r="L4935" s="165"/>
      <c r="M4935" s="166"/>
      <c r="N4935" s="167"/>
      <c r="O4935" s="163"/>
      <c r="P4935" s="163"/>
      <c r="Q4935" s="163"/>
      <c r="R4935" s="163"/>
      <c r="S4935" s="161"/>
      <c r="T4935" s="161"/>
      <c r="U4935" s="161"/>
      <c r="V4935" s="161"/>
      <c r="W4935" s="161"/>
      <c r="X4935" s="161"/>
      <c r="Y4935" s="161"/>
      <c r="Z4935" s="168"/>
      <c r="AA4935" s="168"/>
      <c r="AB4935" s="168"/>
      <c r="AC4935" s="168"/>
    </row>
    <row r="4936">
      <c r="A4936" s="161"/>
      <c r="B4936" s="161"/>
      <c r="C4936" s="162"/>
      <c r="D4936" s="163"/>
      <c r="E4936" s="164" t="str">
        <f>IFERROR(__xludf.DUMMYFUNCTION("""COMPUTED_VALUE"""),"")</f>
        <v/>
      </c>
      <c r="F4936" s="163"/>
      <c r="G4936" s="163"/>
      <c r="H4936" s="163"/>
      <c r="I4936" s="163"/>
      <c r="J4936" s="165"/>
      <c r="K4936" s="165"/>
      <c r="L4936" s="165"/>
      <c r="M4936" s="166"/>
      <c r="N4936" s="167"/>
      <c r="O4936" s="163"/>
      <c r="P4936" s="163"/>
      <c r="Q4936" s="163"/>
      <c r="R4936" s="163"/>
      <c r="S4936" s="161"/>
      <c r="T4936" s="161"/>
      <c r="U4936" s="161"/>
      <c r="V4936" s="161"/>
      <c r="W4936" s="161"/>
      <c r="X4936" s="161"/>
      <c r="Y4936" s="161"/>
      <c r="Z4936" s="168"/>
      <c r="AA4936" s="168"/>
      <c r="AB4936" s="168"/>
      <c r="AC4936" s="168"/>
    </row>
    <row r="4937">
      <c r="A4937" s="161"/>
      <c r="B4937" s="161"/>
      <c r="C4937" s="162"/>
      <c r="D4937" s="163"/>
      <c r="E4937" s="164" t="str">
        <f>IFERROR(__xludf.DUMMYFUNCTION("""COMPUTED_VALUE"""),"")</f>
        <v/>
      </c>
      <c r="F4937" s="163"/>
      <c r="G4937" s="163"/>
      <c r="H4937" s="163"/>
      <c r="I4937" s="163"/>
      <c r="J4937" s="165"/>
      <c r="K4937" s="165"/>
      <c r="L4937" s="165"/>
      <c r="M4937" s="166"/>
      <c r="N4937" s="167"/>
      <c r="O4937" s="163"/>
      <c r="P4937" s="163"/>
      <c r="Q4937" s="163"/>
      <c r="R4937" s="163"/>
      <c r="S4937" s="161"/>
      <c r="T4937" s="161"/>
      <c r="U4937" s="161"/>
      <c r="V4937" s="161"/>
      <c r="W4937" s="161"/>
      <c r="X4937" s="161"/>
      <c r="Y4937" s="161"/>
      <c r="Z4937" s="168"/>
      <c r="AA4937" s="168"/>
      <c r="AB4937" s="168"/>
      <c r="AC4937" s="168"/>
    </row>
    <row r="4938">
      <c r="A4938" s="161"/>
      <c r="B4938" s="161"/>
      <c r="C4938" s="162"/>
      <c r="D4938" s="163"/>
      <c r="E4938" s="164" t="str">
        <f>IFERROR(__xludf.DUMMYFUNCTION("""COMPUTED_VALUE"""),"")</f>
        <v/>
      </c>
      <c r="F4938" s="163"/>
      <c r="G4938" s="163"/>
      <c r="H4938" s="163"/>
      <c r="I4938" s="163"/>
      <c r="J4938" s="165"/>
      <c r="K4938" s="165"/>
      <c r="L4938" s="165"/>
      <c r="M4938" s="166"/>
      <c r="N4938" s="167"/>
      <c r="O4938" s="163"/>
      <c r="P4938" s="163"/>
      <c r="Q4938" s="163"/>
      <c r="R4938" s="163"/>
      <c r="S4938" s="161"/>
      <c r="T4938" s="161"/>
      <c r="U4938" s="161"/>
      <c r="V4938" s="161"/>
      <c r="W4938" s="161"/>
      <c r="X4938" s="161"/>
      <c r="Y4938" s="161"/>
      <c r="Z4938" s="168"/>
      <c r="AA4938" s="168"/>
      <c r="AB4938" s="168"/>
      <c r="AC4938" s="168"/>
    </row>
    <row r="4939">
      <c r="A4939" s="161"/>
      <c r="B4939" s="161"/>
      <c r="C4939" s="162"/>
      <c r="D4939" s="163"/>
      <c r="E4939" s="164" t="str">
        <f>IFERROR(__xludf.DUMMYFUNCTION("""COMPUTED_VALUE"""),"")</f>
        <v/>
      </c>
      <c r="F4939" s="163"/>
      <c r="G4939" s="163"/>
      <c r="H4939" s="163"/>
      <c r="I4939" s="163"/>
      <c r="J4939" s="165"/>
      <c r="K4939" s="165"/>
      <c r="L4939" s="165"/>
      <c r="M4939" s="166"/>
      <c r="N4939" s="167"/>
      <c r="O4939" s="163"/>
      <c r="P4939" s="163"/>
      <c r="Q4939" s="163"/>
      <c r="R4939" s="163"/>
      <c r="S4939" s="161"/>
      <c r="T4939" s="161"/>
      <c r="U4939" s="161"/>
      <c r="V4939" s="161"/>
      <c r="W4939" s="161"/>
      <c r="X4939" s="161"/>
      <c r="Y4939" s="161"/>
      <c r="Z4939" s="168"/>
      <c r="AA4939" s="168"/>
      <c r="AB4939" s="168"/>
      <c r="AC4939" s="168"/>
    </row>
    <row r="4940">
      <c r="A4940" s="161"/>
      <c r="B4940" s="161"/>
      <c r="C4940" s="162"/>
      <c r="D4940" s="163"/>
      <c r="E4940" s="164" t="str">
        <f>IFERROR(__xludf.DUMMYFUNCTION("""COMPUTED_VALUE"""),"")</f>
        <v/>
      </c>
      <c r="F4940" s="163"/>
      <c r="G4940" s="163"/>
      <c r="H4940" s="163"/>
      <c r="I4940" s="163"/>
      <c r="J4940" s="165"/>
      <c r="K4940" s="165"/>
      <c r="L4940" s="165"/>
      <c r="M4940" s="166"/>
      <c r="N4940" s="167"/>
      <c r="O4940" s="163"/>
      <c r="P4940" s="163"/>
      <c r="Q4940" s="163"/>
      <c r="R4940" s="163"/>
      <c r="S4940" s="161"/>
      <c r="T4940" s="161"/>
      <c r="U4940" s="161"/>
      <c r="V4940" s="161"/>
      <c r="W4940" s="161"/>
      <c r="X4940" s="161"/>
      <c r="Y4940" s="161"/>
      <c r="Z4940" s="168"/>
      <c r="AA4940" s="168"/>
      <c r="AB4940" s="168"/>
      <c r="AC4940" s="168"/>
    </row>
    <row r="4941">
      <c r="A4941" s="161"/>
      <c r="B4941" s="161"/>
      <c r="C4941" s="162"/>
      <c r="D4941" s="163"/>
      <c r="E4941" s="164" t="str">
        <f>IFERROR(__xludf.DUMMYFUNCTION("""COMPUTED_VALUE"""),"")</f>
        <v/>
      </c>
      <c r="F4941" s="163"/>
      <c r="G4941" s="163"/>
      <c r="H4941" s="163"/>
      <c r="I4941" s="163"/>
      <c r="J4941" s="165"/>
      <c r="K4941" s="165"/>
      <c r="L4941" s="165"/>
      <c r="M4941" s="166"/>
      <c r="N4941" s="167"/>
      <c r="O4941" s="163"/>
      <c r="P4941" s="163"/>
      <c r="Q4941" s="163"/>
      <c r="R4941" s="163"/>
      <c r="S4941" s="161"/>
      <c r="T4941" s="161"/>
      <c r="U4941" s="161"/>
      <c r="V4941" s="161"/>
      <c r="W4941" s="161"/>
      <c r="X4941" s="161"/>
      <c r="Y4941" s="161"/>
      <c r="Z4941" s="168"/>
      <c r="AA4941" s="168"/>
      <c r="AB4941" s="168"/>
      <c r="AC4941" s="168"/>
    </row>
    <row r="4942">
      <c r="A4942" s="161"/>
      <c r="B4942" s="161"/>
      <c r="C4942" s="162"/>
      <c r="D4942" s="163"/>
      <c r="E4942" s="164" t="str">
        <f>IFERROR(__xludf.DUMMYFUNCTION("""COMPUTED_VALUE"""),"")</f>
        <v/>
      </c>
      <c r="F4942" s="163"/>
      <c r="G4942" s="163"/>
      <c r="H4942" s="163"/>
      <c r="I4942" s="163"/>
      <c r="J4942" s="165"/>
      <c r="K4942" s="165"/>
      <c r="L4942" s="165"/>
      <c r="M4942" s="166"/>
      <c r="N4942" s="167"/>
      <c r="O4942" s="163"/>
      <c r="P4942" s="163"/>
      <c r="Q4942" s="163"/>
      <c r="R4942" s="163"/>
      <c r="S4942" s="161"/>
      <c r="T4942" s="161"/>
      <c r="U4942" s="161"/>
      <c r="V4942" s="161"/>
      <c r="W4942" s="161"/>
      <c r="X4942" s="161"/>
      <c r="Y4942" s="161"/>
      <c r="Z4942" s="168"/>
      <c r="AA4942" s="168"/>
      <c r="AB4942" s="168"/>
      <c r="AC4942" s="168"/>
    </row>
    <row r="4943">
      <c r="A4943" s="161"/>
      <c r="B4943" s="161"/>
      <c r="C4943" s="162"/>
      <c r="D4943" s="163"/>
      <c r="E4943" s="164" t="str">
        <f>IFERROR(__xludf.DUMMYFUNCTION("""COMPUTED_VALUE"""),"")</f>
        <v/>
      </c>
      <c r="F4943" s="163"/>
      <c r="G4943" s="163"/>
      <c r="H4943" s="163"/>
      <c r="I4943" s="163"/>
      <c r="J4943" s="165"/>
      <c r="K4943" s="165"/>
      <c r="L4943" s="165"/>
      <c r="M4943" s="166"/>
      <c r="N4943" s="167"/>
      <c r="O4943" s="163"/>
      <c r="P4943" s="163"/>
      <c r="Q4943" s="163"/>
      <c r="R4943" s="163"/>
      <c r="S4943" s="161"/>
      <c r="T4943" s="161"/>
      <c r="U4943" s="161"/>
      <c r="V4943" s="161"/>
      <c r="W4943" s="161"/>
      <c r="X4943" s="161"/>
      <c r="Y4943" s="161"/>
      <c r="Z4943" s="168"/>
      <c r="AA4943" s="168"/>
      <c r="AB4943" s="168"/>
      <c r="AC4943" s="168"/>
    </row>
    <row r="4944">
      <c r="A4944" s="161"/>
      <c r="B4944" s="161"/>
      <c r="C4944" s="162"/>
      <c r="D4944" s="163"/>
      <c r="E4944" s="164" t="str">
        <f>IFERROR(__xludf.DUMMYFUNCTION("""COMPUTED_VALUE"""),"")</f>
        <v/>
      </c>
      <c r="F4944" s="163"/>
      <c r="G4944" s="163"/>
      <c r="H4944" s="163"/>
      <c r="I4944" s="163"/>
      <c r="J4944" s="165"/>
      <c r="K4944" s="165"/>
      <c r="L4944" s="165"/>
      <c r="M4944" s="166"/>
      <c r="N4944" s="167"/>
      <c r="O4944" s="163"/>
      <c r="P4944" s="163"/>
      <c r="Q4944" s="163"/>
      <c r="R4944" s="163"/>
      <c r="S4944" s="161"/>
      <c r="T4944" s="161"/>
      <c r="U4944" s="161"/>
      <c r="V4944" s="161"/>
      <c r="W4944" s="161"/>
      <c r="X4944" s="161"/>
      <c r="Y4944" s="161"/>
      <c r="Z4944" s="168"/>
      <c r="AA4944" s="168"/>
      <c r="AB4944" s="168"/>
      <c r="AC4944" s="168"/>
    </row>
    <row r="4945">
      <c r="A4945" s="161"/>
      <c r="B4945" s="161"/>
      <c r="C4945" s="162"/>
      <c r="D4945" s="163"/>
      <c r="E4945" s="164" t="str">
        <f>IFERROR(__xludf.DUMMYFUNCTION("""COMPUTED_VALUE"""),"")</f>
        <v/>
      </c>
      <c r="F4945" s="163"/>
      <c r="G4945" s="163"/>
      <c r="H4945" s="163"/>
      <c r="I4945" s="163"/>
      <c r="J4945" s="165"/>
      <c r="K4945" s="165"/>
      <c r="L4945" s="165"/>
      <c r="M4945" s="166"/>
      <c r="N4945" s="167"/>
      <c r="O4945" s="163"/>
      <c r="P4945" s="163"/>
      <c r="Q4945" s="163"/>
      <c r="R4945" s="163"/>
      <c r="S4945" s="161"/>
      <c r="T4945" s="161"/>
      <c r="U4945" s="161"/>
      <c r="V4945" s="161"/>
      <c r="W4945" s="161"/>
      <c r="X4945" s="161"/>
      <c r="Y4945" s="161"/>
      <c r="Z4945" s="168"/>
      <c r="AA4945" s="168"/>
      <c r="AB4945" s="168"/>
      <c r="AC4945" s="168"/>
    </row>
    <row r="4946">
      <c r="A4946" s="161"/>
      <c r="B4946" s="161"/>
      <c r="C4946" s="162"/>
      <c r="D4946" s="163"/>
      <c r="E4946" s="164" t="str">
        <f>IFERROR(__xludf.DUMMYFUNCTION("""COMPUTED_VALUE"""),"")</f>
        <v/>
      </c>
      <c r="F4946" s="163"/>
      <c r="G4946" s="163"/>
      <c r="H4946" s="163"/>
      <c r="I4946" s="163"/>
      <c r="J4946" s="165"/>
      <c r="K4946" s="165"/>
      <c r="L4946" s="165"/>
      <c r="M4946" s="166"/>
      <c r="N4946" s="167"/>
      <c r="O4946" s="163"/>
      <c r="P4946" s="163"/>
      <c r="Q4946" s="163"/>
      <c r="R4946" s="163"/>
      <c r="S4946" s="161"/>
      <c r="T4946" s="161"/>
      <c r="U4946" s="161"/>
      <c r="V4946" s="161"/>
      <c r="W4946" s="161"/>
      <c r="X4946" s="161"/>
      <c r="Y4946" s="161"/>
      <c r="Z4946" s="168"/>
      <c r="AA4946" s="168"/>
      <c r="AB4946" s="168"/>
      <c r="AC4946" s="168"/>
    </row>
    <row r="4947">
      <c r="A4947" s="161"/>
      <c r="B4947" s="161"/>
      <c r="C4947" s="162"/>
      <c r="D4947" s="163"/>
      <c r="E4947" s="164" t="str">
        <f>IFERROR(__xludf.DUMMYFUNCTION("""COMPUTED_VALUE"""),"")</f>
        <v/>
      </c>
      <c r="F4947" s="163"/>
      <c r="G4947" s="163"/>
      <c r="H4947" s="163"/>
      <c r="I4947" s="163"/>
      <c r="J4947" s="165"/>
      <c r="K4947" s="165"/>
      <c r="L4947" s="165"/>
      <c r="M4947" s="166"/>
      <c r="N4947" s="167"/>
      <c r="O4947" s="163"/>
      <c r="P4947" s="163"/>
      <c r="Q4947" s="163"/>
      <c r="R4947" s="163"/>
      <c r="S4947" s="161"/>
      <c r="T4947" s="161"/>
      <c r="U4947" s="161"/>
      <c r="V4947" s="161"/>
      <c r="W4947" s="161"/>
      <c r="X4947" s="161"/>
      <c r="Y4947" s="161"/>
      <c r="Z4947" s="168"/>
      <c r="AA4947" s="168"/>
      <c r="AB4947" s="168"/>
      <c r="AC4947" s="168"/>
    </row>
    <row r="4948">
      <c r="A4948" s="161"/>
      <c r="B4948" s="161"/>
      <c r="C4948" s="162"/>
      <c r="D4948" s="163"/>
      <c r="E4948" s="164" t="str">
        <f>IFERROR(__xludf.DUMMYFUNCTION("""COMPUTED_VALUE"""),"")</f>
        <v/>
      </c>
      <c r="F4948" s="163"/>
      <c r="G4948" s="163"/>
      <c r="H4948" s="163"/>
      <c r="I4948" s="163"/>
      <c r="J4948" s="165"/>
      <c r="K4948" s="165"/>
      <c r="L4948" s="165"/>
      <c r="M4948" s="166"/>
      <c r="N4948" s="167"/>
      <c r="O4948" s="163"/>
      <c r="P4948" s="163"/>
      <c r="Q4948" s="163"/>
      <c r="R4948" s="163"/>
      <c r="S4948" s="161"/>
      <c r="T4948" s="161"/>
      <c r="U4948" s="161"/>
      <c r="V4948" s="161"/>
      <c r="W4948" s="161"/>
      <c r="X4948" s="161"/>
      <c r="Y4948" s="161"/>
      <c r="Z4948" s="168"/>
      <c r="AA4948" s="168"/>
      <c r="AB4948" s="168"/>
      <c r="AC4948" s="168"/>
    </row>
    <row r="4949">
      <c r="A4949" s="161"/>
      <c r="B4949" s="161"/>
      <c r="C4949" s="162"/>
      <c r="D4949" s="163"/>
      <c r="E4949" s="164" t="str">
        <f>IFERROR(__xludf.DUMMYFUNCTION("""COMPUTED_VALUE"""),"")</f>
        <v/>
      </c>
      <c r="F4949" s="163"/>
      <c r="G4949" s="163"/>
      <c r="H4949" s="163"/>
      <c r="I4949" s="163"/>
      <c r="J4949" s="165"/>
      <c r="K4949" s="165"/>
      <c r="L4949" s="165"/>
      <c r="M4949" s="166"/>
      <c r="N4949" s="167"/>
      <c r="O4949" s="163"/>
      <c r="P4949" s="163"/>
      <c r="Q4949" s="163"/>
      <c r="R4949" s="163"/>
      <c r="S4949" s="161"/>
      <c r="T4949" s="161"/>
      <c r="U4949" s="161"/>
      <c r="V4949" s="161"/>
      <c r="W4949" s="161"/>
      <c r="X4949" s="161"/>
      <c r="Y4949" s="161"/>
      <c r="Z4949" s="168"/>
      <c r="AA4949" s="168"/>
      <c r="AB4949" s="168"/>
      <c r="AC4949" s="168"/>
    </row>
    <row r="4950">
      <c r="A4950" s="161"/>
      <c r="B4950" s="161"/>
      <c r="C4950" s="162"/>
      <c r="D4950" s="163"/>
      <c r="E4950" s="164" t="str">
        <f>IFERROR(__xludf.DUMMYFUNCTION("""COMPUTED_VALUE"""),"")</f>
        <v/>
      </c>
      <c r="F4950" s="163"/>
      <c r="G4950" s="163"/>
      <c r="H4950" s="163"/>
      <c r="I4950" s="163"/>
      <c r="J4950" s="165"/>
      <c r="K4950" s="165"/>
      <c r="L4950" s="165"/>
      <c r="M4950" s="166"/>
      <c r="N4950" s="167"/>
      <c r="O4950" s="163"/>
      <c r="P4950" s="163"/>
      <c r="Q4950" s="163"/>
      <c r="R4950" s="163"/>
      <c r="S4950" s="161"/>
      <c r="T4950" s="161"/>
      <c r="U4950" s="161"/>
      <c r="V4950" s="161"/>
      <c r="W4950" s="161"/>
      <c r="X4950" s="161"/>
      <c r="Y4950" s="161"/>
      <c r="Z4950" s="168"/>
      <c r="AA4950" s="168"/>
      <c r="AB4950" s="168"/>
      <c r="AC4950" s="168"/>
    </row>
    <row r="4951">
      <c r="A4951" s="161"/>
      <c r="B4951" s="161"/>
      <c r="C4951" s="162"/>
      <c r="D4951" s="163"/>
      <c r="E4951" s="164" t="str">
        <f>IFERROR(__xludf.DUMMYFUNCTION("""COMPUTED_VALUE"""),"")</f>
        <v/>
      </c>
      <c r="F4951" s="163"/>
      <c r="G4951" s="163"/>
      <c r="H4951" s="163"/>
      <c r="I4951" s="163"/>
      <c r="J4951" s="165"/>
      <c r="K4951" s="165"/>
      <c r="L4951" s="165"/>
      <c r="M4951" s="166"/>
      <c r="N4951" s="167"/>
      <c r="O4951" s="163"/>
      <c r="P4951" s="163"/>
      <c r="Q4951" s="163"/>
      <c r="R4951" s="163"/>
      <c r="S4951" s="161"/>
      <c r="T4951" s="161"/>
      <c r="U4951" s="161"/>
      <c r="V4951" s="161"/>
      <c r="W4951" s="161"/>
      <c r="X4951" s="161"/>
      <c r="Y4951" s="161"/>
      <c r="Z4951" s="168"/>
      <c r="AA4951" s="168"/>
      <c r="AB4951" s="168"/>
      <c r="AC4951" s="168"/>
    </row>
    <row r="4952">
      <c r="A4952" s="161"/>
      <c r="B4952" s="161"/>
      <c r="C4952" s="162"/>
      <c r="D4952" s="163"/>
      <c r="E4952" s="164" t="str">
        <f>IFERROR(__xludf.DUMMYFUNCTION("""COMPUTED_VALUE"""),"")</f>
        <v/>
      </c>
      <c r="F4952" s="163"/>
      <c r="G4952" s="163"/>
      <c r="H4952" s="163"/>
      <c r="I4952" s="163"/>
      <c r="J4952" s="165"/>
      <c r="K4952" s="165"/>
      <c r="L4952" s="165"/>
      <c r="M4952" s="166"/>
      <c r="N4952" s="167"/>
      <c r="O4952" s="163"/>
      <c r="P4952" s="163"/>
      <c r="Q4952" s="163"/>
      <c r="R4952" s="163"/>
      <c r="S4952" s="161"/>
      <c r="T4952" s="161"/>
      <c r="U4952" s="161"/>
      <c r="V4952" s="161"/>
      <c r="W4952" s="161"/>
      <c r="X4952" s="161"/>
      <c r="Y4952" s="161"/>
      <c r="Z4952" s="168"/>
      <c r="AA4952" s="168"/>
      <c r="AB4952" s="168"/>
      <c r="AC4952" s="168"/>
    </row>
    <row r="4953">
      <c r="A4953" s="161"/>
      <c r="B4953" s="161"/>
      <c r="C4953" s="162"/>
      <c r="D4953" s="163"/>
      <c r="E4953" s="164" t="str">
        <f>IFERROR(__xludf.DUMMYFUNCTION("""COMPUTED_VALUE"""),"")</f>
        <v/>
      </c>
      <c r="F4953" s="163"/>
      <c r="G4953" s="163"/>
      <c r="H4953" s="163"/>
      <c r="I4953" s="163"/>
      <c r="J4953" s="165"/>
      <c r="K4953" s="165"/>
      <c r="L4953" s="165"/>
      <c r="M4953" s="166"/>
      <c r="N4953" s="167"/>
      <c r="O4953" s="163"/>
      <c r="P4953" s="163"/>
      <c r="Q4953" s="163"/>
      <c r="R4953" s="163"/>
      <c r="S4953" s="161"/>
      <c r="T4953" s="161"/>
      <c r="U4953" s="161"/>
      <c r="V4953" s="161"/>
      <c r="W4953" s="161"/>
      <c r="X4953" s="161"/>
      <c r="Y4953" s="161"/>
      <c r="Z4953" s="168"/>
      <c r="AA4953" s="168"/>
      <c r="AB4953" s="168"/>
      <c r="AC4953" s="168"/>
    </row>
    <row r="4954">
      <c r="A4954" s="161"/>
      <c r="B4954" s="161"/>
      <c r="C4954" s="162"/>
      <c r="D4954" s="163"/>
      <c r="E4954" s="164" t="str">
        <f>IFERROR(__xludf.DUMMYFUNCTION("""COMPUTED_VALUE"""),"")</f>
        <v/>
      </c>
      <c r="F4954" s="163"/>
      <c r="G4954" s="163"/>
      <c r="H4954" s="163"/>
      <c r="I4954" s="163"/>
      <c r="J4954" s="165"/>
      <c r="K4954" s="165"/>
      <c r="L4954" s="165"/>
      <c r="M4954" s="166"/>
      <c r="N4954" s="167"/>
      <c r="O4954" s="163"/>
      <c r="P4954" s="163"/>
      <c r="Q4954" s="163"/>
      <c r="R4954" s="163"/>
      <c r="S4954" s="161"/>
      <c r="T4954" s="161"/>
      <c r="U4954" s="161"/>
      <c r="V4954" s="161"/>
      <c r="W4954" s="161"/>
      <c r="X4954" s="161"/>
      <c r="Y4954" s="161"/>
      <c r="Z4954" s="168"/>
      <c r="AA4954" s="168"/>
      <c r="AB4954" s="168"/>
      <c r="AC4954" s="168"/>
    </row>
    <row r="4955">
      <c r="A4955" s="161"/>
      <c r="B4955" s="161"/>
      <c r="C4955" s="162"/>
      <c r="D4955" s="163"/>
      <c r="E4955" s="164" t="str">
        <f>IFERROR(__xludf.DUMMYFUNCTION("""COMPUTED_VALUE"""),"")</f>
        <v/>
      </c>
      <c r="F4955" s="163"/>
      <c r="G4955" s="163"/>
      <c r="H4955" s="163"/>
      <c r="I4955" s="163"/>
      <c r="J4955" s="165"/>
      <c r="K4955" s="165"/>
      <c r="L4955" s="165"/>
      <c r="M4955" s="166"/>
      <c r="N4955" s="167"/>
      <c r="O4955" s="163"/>
      <c r="P4955" s="163"/>
      <c r="Q4955" s="163"/>
      <c r="R4955" s="163"/>
      <c r="S4955" s="161"/>
      <c r="T4955" s="161"/>
      <c r="U4955" s="161"/>
      <c r="V4955" s="161"/>
      <c r="W4955" s="161"/>
      <c r="X4955" s="161"/>
      <c r="Y4955" s="161"/>
      <c r="Z4955" s="168"/>
      <c r="AA4955" s="168"/>
      <c r="AB4955" s="168"/>
      <c r="AC4955" s="168"/>
    </row>
    <row r="4956">
      <c r="A4956" s="161"/>
      <c r="B4956" s="161"/>
      <c r="C4956" s="162"/>
      <c r="D4956" s="163"/>
      <c r="E4956" s="164" t="str">
        <f>IFERROR(__xludf.DUMMYFUNCTION("""COMPUTED_VALUE"""),"")</f>
        <v/>
      </c>
      <c r="F4956" s="163"/>
      <c r="G4956" s="163"/>
      <c r="H4956" s="163"/>
      <c r="I4956" s="163"/>
      <c r="J4956" s="165"/>
      <c r="K4956" s="165"/>
      <c r="L4956" s="165"/>
      <c r="M4956" s="166"/>
      <c r="N4956" s="167"/>
      <c r="O4956" s="163"/>
      <c r="P4956" s="163"/>
      <c r="Q4956" s="163"/>
      <c r="R4956" s="163"/>
      <c r="S4956" s="161"/>
      <c r="T4956" s="161"/>
      <c r="U4956" s="161"/>
      <c r="V4956" s="161"/>
      <c r="W4956" s="161"/>
      <c r="X4956" s="161"/>
      <c r="Y4956" s="161"/>
      <c r="Z4956" s="168"/>
      <c r="AA4956" s="168"/>
      <c r="AB4956" s="168"/>
      <c r="AC4956" s="168"/>
    </row>
    <row r="4957">
      <c r="A4957" s="161"/>
      <c r="B4957" s="161"/>
      <c r="C4957" s="162"/>
      <c r="D4957" s="163"/>
      <c r="E4957" s="164" t="str">
        <f>IFERROR(__xludf.DUMMYFUNCTION("""COMPUTED_VALUE"""),"")</f>
        <v/>
      </c>
      <c r="F4957" s="163"/>
      <c r="G4957" s="163"/>
      <c r="H4957" s="163"/>
      <c r="I4957" s="163"/>
      <c r="J4957" s="165"/>
      <c r="K4957" s="165"/>
      <c r="L4957" s="165"/>
      <c r="M4957" s="166"/>
      <c r="N4957" s="167"/>
      <c r="O4957" s="163"/>
      <c r="P4957" s="163"/>
      <c r="Q4957" s="163"/>
      <c r="R4957" s="163"/>
      <c r="S4957" s="161"/>
      <c r="T4957" s="161"/>
      <c r="U4957" s="161"/>
      <c r="V4957" s="161"/>
      <c r="W4957" s="161"/>
      <c r="X4957" s="161"/>
      <c r="Y4957" s="161"/>
      <c r="Z4957" s="168"/>
      <c r="AA4957" s="168"/>
      <c r="AB4957" s="168"/>
      <c r="AC4957" s="168"/>
    </row>
    <row r="4958">
      <c r="A4958" s="161"/>
      <c r="B4958" s="161"/>
      <c r="C4958" s="162"/>
      <c r="D4958" s="163"/>
      <c r="E4958" s="164" t="str">
        <f>IFERROR(__xludf.DUMMYFUNCTION("""COMPUTED_VALUE"""),"")</f>
        <v/>
      </c>
      <c r="F4958" s="163"/>
      <c r="G4958" s="163"/>
      <c r="H4958" s="163"/>
      <c r="I4958" s="163"/>
      <c r="J4958" s="165"/>
      <c r="K4958" s="165"/>
      <c r="L4958" s="165"/>
      <c r="M4958" s="166"/>
      <c r="N4958" s="167"/>
      <c r="O4958" s="163"/>
      <c r="P4958" s="163"/>
      <c r="Q4958" s="163"/>
      <c r="R4958" s="163"/>
      <c r="S4958" s="161"/>
      <c r="T4958" s="161"/>
      <c r="U4958" s="161"/>
      <c r="V4958" s="161"/>
      <c r="W4958" s="161"/>
      <c r="X4958" s="161"/>
      <c r="Y4958" s="161"/>
      <c r="Z4958" s="168"/>
      <c r="AA4958" s="168"/>
      <c r="AB4958" s="168"/>
      <c r="AC4958" s="168"/>
    </row>
    <row r="4959">
      <c r="A4959" s="161"/>
      <c r="B4959" s="161"/>
      <c r="C4959" s="162"/>
      <c r="D4959" s="163"/>
      <c r="E4959" s="164" t="str">
        <f>IFERROR(__xludf.DUMMYFUNCTION("""COMPUTED_VALUE"""),"")</f>
        <v/>
      </c>
      <c r="F4959" s="163"/>
      <c r="G4959" s="163"/>
      <c r="H4959" s="163"/>
      <c r="I4959" s="163"/>
      <c r="J4959" s="165"/>
      <c r="K4959" s="165"/>
      <c r="L4959" s="165"/>
      <c r="M4959" s="166"/>
      <c r="N4959" s="167"/>
      <c r="O4959" s="163"/>
      <c r="P4959" s="163"/>
      <c r="Q4959" s="163"/>
      <c r="R4959" s="163"/>
      <c r="S4959" s="161"/>
      <c r="T4959" s="161"/>
      <c r="U4959" s="161"/>
      <c r="V4959" s="161"/>
      <c r="W4959" s="161"/>
      <c r="X4959" s="161"/>
      <c r="Y4959" s="161"/>
      <c r="Z4959" s="168"/>
      <c r="AA4959" s="168"/>
      <c r="AB4959" s="168"/>
      <c r="AC4959" s="168"/>
    </row>
    <row r="4960">
      <c r="A4960" s="161"/>
      <c r="B4960" s="161"/>
      <c r="C4960" s="162"/>
      <c r="D4960" s="163"/>
      <c r="E4960" s="164" t="str">
        <f>IFERROR(__xludf.DUMMYFUNCTION("""COMPUTED_VALUE"""),"")</f>
        <v/>
      </c>
      <c r="F4960" s="163"/>
      <c r="G4960" s="163"/>
      <c r="H4960" s="163"/>
      <c r="I4960" s="163"/>
      <c r="J4960" s="165"/>
      <c r="K4960" s="165"/>
      <c r="L4960" s="165"/>
      <c r="M4960" s="166"/>
      <c r="N4960" s="167"/>
      <c r="O4960" s="163"/>
      <c r="P4960" s="163"/>
      <c r="Q4960" s="163"/>
      <c r="R4960" s="163"/>
      <c r="S4960" s="161"/>
      <c r="T4960" s="161"/>
      <c r="U4960" s="161"/>
      <c r="V4960" s="161"/>
      <c r="W4960" s="161"/>
      <c r="X4960" s="161"/>
      <c r="Y4960" s="161"/>
      <c r="Z4960" s="168"/>
      <c r="AA4960" s="168"/>
      <c r="AB4960" s="168"/>
      <c r="AC4960" s="168"/>
    </row>
    <row r="4961">
      <c r="A4961" s="161"/>
      <c r="B4961" s="161"/>
      <c r="C4961" s="162"/>
      <c r="D4961" s="163"/>
      <c r="E4961" s="164" t="str">
        <f>IFERROR(__xludf.DUMMYFUNCTION("""COMPUTED_VALUE"""),"")</f>
        <v/>
      </c>
      <c r="F4961" s="163"/>
      <c r="G4961" s="163"/>
      <c r="H4961" s="163"/>
      <c r="I4961" s="163"/>
      <c r="J4961" s="165"/>
      <c r="K4961" s="165"/>
      <c r="L4961" s="165"/>
      <c r="M4961" s="166"/>
      <c r="N4961" s="167"/>
      <c r="O4961" s="163"/>
      <c r="P4961" s="163"/>
      <c r="Q4961" s="163"/>
      <c r="R4961" s="163"/>
      <c r="S4961" s="161"/>
      <c r="T4961" s="161"/>
      <c r="U4961" s="161"/>
      <c r="V4961" s="161"/>
      <c r="W4961" s="161"/>
      <c r="X4961" s="161"/>
      <c r="Y4961" s="161"/>
      <c r="Z4961" s="168"/>
      <c r="AA4961" s="168"/>
      <c r="AB4961" s="168"/>
      <c r="AC4961" s="168"/>
    </row>
    <row r="4962">
      <c r="A4962" s="161"/>
      <c r="B4962" s="161"/>
      <c r="C4962" s="162"/>
      <c r="D4962" s="163"/>
      <c r="E4962" s="164" t="str">
        <f>IFERROR(__xludf.DUMMYFUNCTION("""COMPUTED_VALUE"""),"")</f>
        <v/>
      </c>
      <c r="F4962" s="163"/>
      <c r="G4962" s="163"/>
      <c r="H4962" s="163"/>
      <c r="I4962" s="163"/>
      <c r="J4962" s="165"/>
      <c r="K4962" s="165"/>
      <c r="L4962" s="165"/>
      <c r="M4962" s="166"/>
      <c r="N4962" s="167"/>
      <c r="O4962" s="163"/>
      <c r="P4962" s="163"/>
      <c r="Q4962" s="163"/>
      <c r="R4962" s="163"/>
      <c r="S4962" s="161"/>
      <c r="T4962" s="161"/>
      <c r="U4962" s="161"/>
      <c r="V4962" s="161"/>
      <c r="W4962" s="161"/>
      <c r="X4962" s="161"/>
      <c r="Y4962" s="161"/>
      <c r="Z4962" s="168"/>
      <c r="AA4962" s="168"/>
      <c r="AB4962" s="168"/>
      <c r="AC4962" s="168"/>
    </row>
    <row r="4963">
      <c r="A4963" s="161"/>
      <c r="B4963" s="161"/>
      <c r="C4963" s="162"/>
      <c r="D4963" s="163"/>
      <c r="E4963" s="164" t="str">
        <f>IFERROR(__xludf.DUMMYFUNCTION("""COMPUTED_VALUE"""),"")</f>
        <v/>
      </c>
      <c r="F4963" s="163"/>
      <c r="G4963" s="163"/>
      <c r="H4963" s="163"/>
      <c r="I4963" s="163"/>
      <c r="J4963" s="165"/>
      <c r="K4963" s="165"/>
      <c r="L4963" s="165"/>
      <c r="M4963" s="166"/>
      <c r="N4963" s="167"/>
      <c r="O4963" s="163"/>
      <c r="P4963" s="163"/>
      <c r="Q4963" s="163"/>
      <c r="R4963" s="163"/>
      <c r="S4963" s="161"/>
      <c r="T4963" s="161"/>
      <c r="U4963" s="161"/>
      <c r="V4963" s="161"/>
      <c r="W4963" s="161"/>
      <c r="X4963" s="161"/>
      <c r="Y4963" s="161"/>
      <c r="Z4963" s="168"/>
      <c r="AA4963" s="168"/>
      <c r="AB4963" s="168"/>
      <c r="AC4963" s="168"/>
    </row>
    <row r="4964">
      <c r="A4964" s="161"/>
      <c r="B4964" s="161"/>
      <c r="C4964" s="162"/>
      <c r="D4964" s="163"/>
      <c r="E4964" s="164" t="str">
        <f>IFERROR(__xludf.DUMMYFUNCTION("""COMPUTED_VALUE"""),"")</f>
        <v/>
      </c>
      <c r="F4964" s="163"/>
      <c r="G4964" s="163"/>
      <c r="H4964" s="163"/>
      <c r="I4964" s="163"/>
      <c r="J4964" s="165"/>
      <c r="K4964" s="165"/>
      <c r="L4964" s="165"/>
      <c r="M4964" s="166"/>
      <c r="N4964" s="167"/>
      <c r="O4964" s="163"/>
      <c r="P4964" s="163"/>
      <c r="Q4964" s="163"/>
      <c r="R4964" s="163"/>
      <c r="S4964" s="161"/>
      <c r="T4964" s="161"/>
      <c r="U4964" s="161"/>
      <c r="V4964" s="161"/>
      <c r="W4964" s="161"/>
      <c r="X4964" s="161"/>
      <c r="Y4964" s="161"/>
      <c r="Z4964" s="168"/>
      <c r="AA4964" s="168"/>
      <c r="AB4964" s="168"/>
      <c r="AC4964" s="168"/>
    </row>
    <row r="4965">
      <c r="A4965" s="161"/>
      <c r="B4965" s="161"/>
      <c r="C4965" s="162"/>
      <c r="D4965" s="163"/>
      <c r="E4965" s="164" t="str">
        <f>IFERROR(__xludf.DUMMYFUNCTION("""COMPUTED_VALUE"""),"")</f>
        <v/>
      </c>
      <c r="F4965" s="163"/>
      <c r="G4965" s="163"/>
      <c r="H4965" s="163"/>
      <c r="I4965" s="163"/>
      <c r="J4965" s="165"/>
      <c r="K4965" s="165"/>
      <c r="L4965" s="165"/>
      <c r="M4965" s="166"/>
      <c r="N4965" s="167"/>
      <c r="O4965" s="163"/>
      <c r="P4965" s="163"/>
      <c r="Q4965" s="163"/>
      <c r="R4965" s="163"/>
      <c r="S4965" s="161"/>
      <c r="T4965" s="161"/>
      <c r="U4965" s="161"/>
      <c r="V4965" s="161"/>
      <c r="W4965" s="161"/>
      <c r="X4965" s="161"/>
      <c r="Y4965" s="161"/>
      <c r="Z4965" s="168"/>
      <c r="AA4965" s="168"/>
      <c r="AB4965" s="168"/>
      <c r="AC4965" s="168"/>
    </row>
    <row r="4966">
      <c r="A4966" s="161"/>
      <c r="B4966" s="161"/>
      <c r="C4966" s="162"/>
      <c r="D4966" s="163"/>
      <c r="E4966" s="164" t="str">
        <f>IFERROR(__xludf.DUMMYFUNCTION("""COMPUTED_VALUE"""),"")</f>
        <v/>
      </c>
      <c r="F4966" s="163"/>
      <c r="G4966" s="163"/>
      <c r="H4966" s="163"/>
      <c r="I4966" s="163"/>
      <c r="J4966" s="165"/>
      <c r="K4966" s="165"/>
      <c r="L4966" s="165"/>
      <c r="M4966" s="166"/>
      <c r="N4966" s="167"/>
      <c r="O4966" s="163"/>
      <c r="P4966" s="163"/>
      <c r="Q4966" s="163"/>
      <c r="R4966" s="163"/>
      <c r="S4966" s="161"/>
      <c r="T4966" s="161"/>
      <c r="U4966" s="161"/>
      <c r="V4966" s="161"/>
      <c r="W4966" s="161"/>
      <c r="X4966" s="161"/>
      <c r="Y4966" s="161"/>
      <c r="Z4966" s="168"/>
      <c r="AA4966" s="168"/>
      <c r="AB4966" s="168"/>
      <c r="AC4966" s="168"/>
    </row>
    <row r="4967">
      <c r="A4967" s="161"/>
      <c r="B4967" s="161"/>
      <c r="C4967" s="162"/>
      <c r="D4967" s="163"/>
      <c r="E4967" s="164" t="str">
        <f>IFERROR(__xludf.DUMMYFUNCTION("""COMPUTED_VALUE"""),"")</f>
        <v/>
      </c>
      <c r="F4967" s="163"/>
      <c r="G4967" s="163"/>
      <c r="H4967" s="163"/>
      <c r="I4967" s="163"/>
      <c r="J4967" s="165"/>
      <c r="K4967" s="165"/>
      <c r="L4967" s="165"/>
      <c r="M4967" s="166"/>
      <c r="N4967" s="167"/>
      <c r="O4967" s="163"/>
      <c r="P4967" s="163"/>
      <c r="Q4967" s="163"/>
      <c r="R4967" s="163"/>
      <c r="S4967" s="161"/>
      <c r="T4967" s="161"/>
      <c r="U4967" s="161"/>
      <c r="V4967" s="161"/>
      <c r="W4967" s="161"/>
      <c r="X4967" s="161"/>
      <c r="Y4967" s="161"/>
      <c r="Z4967" s="168"/>
      <c r="AA4967" s="168"/>
      <c r="AB4967" s="168"/>
      <c r="AC4967" s="168"/>
    </row>
    <row r="4968">
      <c r="A4968" s="161"/>
      <c r="B4968" s="161"/>
      <c r="C4968" s="162"/>
      <c r="D4968" s="163"/>
      <c r="E4968" s="164" t="str">
        <f>IFERROR(__xludf.DUMMYFUNCTION("""COMPUTED_VALUE"""),"")</f>
        <v/>
      </c>
      <c r="F4968" s="163"/>
      <c r="G4968" s="163"/>
      <c r="H4968" s="163"/>
      <c r="I4968" s="163"/>
      <c r="J4968" s="165"/>
      <c r="K4968" s="165"/>
      <c r="L4968" s="165"/>
      <c r="M4968" s="166"/>
      <c r="N4968" s="167"/>
      <c r="O4968" s="163"/>
      <c r="P4968" s="163"/>
      <c r="Q4968" s="163"/>
      <c r="R4968" s="163"/>
      <c r="S4968" s="161"/>
      <c r="T4968" s="161"/>
      <c r="U4968" s="161"/>
      <c r="V4968" s="161"/>
      <c r="W4968" s="161"/>
      <c r="X4968" s="161"/>
      <c r="Y4968" s="161"/>
      <c r="Z4968" s="168"/>
      <c r="AA4968" s="168"/>
      <c r="AB4968" s="168"/>
      <c r="AC4968" s="168"/>
    </row>
    <row r="4969">
      <c r="A4969" s="161"/>
      <c r="B4969" s="161"/>
      <c r="C4969" s="162"/>
      <c r="D4969" s="163"/>
      <c r="E4969" s="164" t="str">
        <f>IFERROR(__xludf.DUMMYFUNCTION("""COMPUTED_VALUE"""),"")</f>
        <v/>
      </c>
      <c r="F4969" s="163"/>
      <c r="G4969" s="163"/>
      <c r="H4969" s="163"/>
      <c r="I4969" s="163"/>
      <c r="J4969" s="165"/>
      <c r="K4969" s="165"/>
      <c r="L4969" s="165"/>
      <c r="M4969" s="166"/>
      <c r="N4969" s="167"/>
      <c r="O4969" s="163"/>
      <c r="P4969" s="163"/>
      <c r="Q4969" s="163"/>
      <c r="R4969" s="163"/>
      <c r="S4969" s="161"/>
      <c r="T4969" s="161"/>
      <c r="U4969" s="161"/>
      <c r="V4969" s="161"/>
      <c r="W4969" s="161"/>
      <c r="X4969" s="161"/>
      <c r="Y4969" s="161"/>
      <c r="Z4969" s="168"/>
      <c r="AA4969" s="168"/>
      <c r="AB4969" s="168"/>
      <c r="AC4969" s="168"/>
    </row>
    <row r="4970">
      <c r="A4970" s="161"/>
      <c r="B4970" s="161"/>
      <c r="C4970" s="162"/>
      <c r="D4970" s="163"/>
      <c r="E4970" s="164" t="str">
        <f>IFERROR(__xludf.DUMMYFUNCTION("""COMPUTED_VALUE"""),"")</f>
        <v/>
      </c>
      <c r="F4970" s="163"/>
      <c r="G4970" s="163"/>
      <c r="H4970" s="163"/>
      <c r="I4970" s="163"/>
      <c r="J4970" s="165"/>
      <c r="K4970" s="165"/>
      <c r="L4970" s="165"/>
      <c r="M4970" s="166"/>
      <c r="N4970" s="167"/>
      <c r="O4970" s="163"/>
      <c r="P4970" s="163"/>
      <c r="Q4970" s="163"/>
      <c r="R4970" s="163"/>
      <c r="S4970" s="161"/>
      <c r="T4970" s="161"/>
      <c r="U4970" s="161"/>
      <c r="V4970" s="161"/>
      <c r="W4970" s="161"/>
      <c r="X4970" s="161"/>
      <c r="Y4970" s="161"/>
      <c r="Z4970" s="168"/>
      <c r="AA4970" s="168"/>
      <c r="AB4970" s="168"/>
      <c r="AC4970" s="168"/>
    </row>
    <row r="4971">
      <c r="A4971" s="161"/>
      <c r="B4971" s="161"/>
      <c r="C4971" s="162"/>
      <c r="D4971" s="163"/>
      <c r="E4971" s="164" t="str">
        <f>IFERROR(__xludf.DUMMYFUNCTION("""COMPUTED_VALUE"""),"")</f>
        <v/>
      </c>
      <c r="F4971" s="163"/>
      <c r="G4971" s="163"/>
      <c r="H4971" s="163"/>
      <c r="I4971" s="163"/>
      <c r="J4971" s="165"/>
      <c r="K4971" s="165"/>
      <c r="L4971" s="165"/>
      <c r="M4971" s="166"/>
      <c r="N4971" s="167"/>
      <c r="O4971" s="163"/>
      <c r="P4971" s="163"/>
      <c r="Q4971" s="163"/>
      <c r="R4971" s="163"/>
      <c r="S4971" s="161"/>
      <c r="T4971" s="161"/>
      <c r="U4971" s="161"/>
      <c r="V4971" s="161"/>
      <c r="W4971" s="161"/>
      <c r="X4971" s="161"/>
      <c r="Y4971" s="161"/>
      <c r="Z4971" s="168"/>
      <c r="AA4971" s="168"/>
      <c r="AB4971" s="168"/>
      <c r="AC4971" s="168"/>
    </row>
    <row r="4972">
      <c r="A4972" s="161"/>
      <c r="B4972" s="161"/>
      <c r="C4972" s="162"/>
      <c r="D4972" s="163"/>
      <c r="E4972" s="164" t="str">
        <f>IFERROR(__xludf.DUMMYFUNCTION("""COMPUTED_VALUE"""),"")</f>
        <v/>
      </c>
      <c r="F4972" s="163"/>
      <c r="G4972" s="163"/>
      <c r="H4972" s="163"/>
      <c r="I4972" s="163"/>
      <c r="J4972" s="165"/>
      <c r="K4972" s="165"/>
      <c r="L4972" s="165"/>
      <c r="M4972" s="166"/>
      <c r="N4972" s="167"/>
      <c r="O4972" s="163"/>
      <c r="P4972" s="163"/>
      <c r="Q4972" s="163"/>
      <c r="R4972" s="163"/>
      <c r="S4972" s="161"/>
      <c r="T4972" s="161"/>
      <c r="U4972" s="161"/>
      <c r="V4972" s="161"/>
      <c r="W4972" s="161"/>
      <c r="X4972" s="161"/>
      <c r="Y4972" s="161"/>
      <c r="Z4972" s="168"/>
      <c r="AA4972" s="168"/>
      <c r="AB4972" s="168"/>
      <c r="AC4972" s="168"/>
    </row>
    <row r="4973">
      <c r="A4973" s="161"/>
      <c r="B4973" s="161"/>
      <c r="C4973" s="162"/>
      <c r="D4973" s="163"/>
      <c r="E4973" s="164" t="str">
        <f>IFERROR(__xludf.DUMMYFUNCTION("""COMPUTED_VALUE"""),"")</f>
        <v/>
      </c>
      <c r="F4973" s="163"/>
      <c r="G4973" s="163"/>
      <c r="H4973" s="163"/>
      <c r="I4973" s="163"/>
      <c r="J4973" s="165"/>
      <c r="K4973" s="165"/>
      <c r="L4973" s="165"/>
      <c r="M4973" s="166"/>
      <c r="N4973" s="167"/>
      <c r="O4973" s="163"/>
      <c r="P4973" s="163"/>
      <c r="Q4973" s="163"/>
      <c r="R4973" s="163"/>
      <c r="S4973" s="161"/>
      <c r="T4973" s="161"/>
      <c r="U4973" s="161"/>
      <c r="V4973" s="161"/>
      <c r="W4973" s="161"/>
      <c r="X4973" s="161"/>
      <c r="Y4973" s="161"/>
      <c r="Z4973" s="168"/>
      <c r="AA4973" s="168"/>
      <c r="AB4973" s="168"/>
      <c r="AC4973" s="168"/>
    </row>
    <row r="4974">
      <c r="A4974" s="161"/>
      <c r="B4974" s="161"/>
      <c r="C4974" s="162"/>
      <c r="D4974" s="163"/>
      <c r="E4974" s="164" t="str">
        <f>IFERROR(__xludf.DUMMYFUNCTION("""COMPUTED_VALUE"""),"")</f>
        <v/>
      </c>
      <c r="F4974" s="163"/>
      <c r="G4974" s="163"/>
      <c r="H4974" s="163"/>
      <c r="I4974" s="163"/>
      <c r="J4974" s="165"/>
      <c r="K4974" s="165"/>
      <c r="L4974" s="165"/>
      <c r="M4974" s="166"/>
      <c r="N4974" s="167"/>
      <c r="O4974" s="163"/>
      <c r="P4974" s="163"/>
      <c r="Q4974" s="163"/>
      <c r="R4974" s="163"/>
      <c r="S4974" s="161"/>
      <c r="T4974" s="161"/>
      <c r="U4974" s="161"/>
      <c r="V4974" s="161"/>
      <c r="W4974" s="161"/>
      <c r="X4974" s="161"/>
      <c r="Y4974" s="161"/>
      <c r="Z4974" s="168"/>
      <c r="AA4974" s="168"/>
      <c r="AB4974" s="168"/>
      <c r="AC4974" s="168"/>
    </row>
    <row r="4975">
      <c r="A4975" s="161"/>
      <c r="B4975" s="161"/>
      <c r="C4975" s="162"/>
      <c r="D4975" s="163"/>
      <c r="E4975" s="164" t="str">
        <f>IFERROR(__xludf.DUMMYFUNCTION("""COMPUTED_VALUE"""),"")</f>
        <v/>
      </c>
      <c r="F4975" s="163"/>
      <c r="G4975" s="163"/>
      <c r="H4975" s="163"/>
      <c r="I4975" s="163"/>
      <c r="J4975" s="165"/>
      <c r="K4975" s="165"/>
      <c r="L4975" s="165"/>
      <c r="M4975" s="166"/>
      <c r="N4975" s="167"/>
      <c r="O4975" s="163"/>
      <c r="P4975" s="163"/>
      <c r="Q4975" s="163"/>
      <c r="R4975" s="163"/>
      <c r="S4975" s="161"/>
      <c r="T4975" s="161"/>
      <c r="U4975" s="161"/>
      <c r="V4975" s="161"/>
      <c r="W4975" s="161"/>
      <c r="X4975" s="161"/>
      <c r="Y4975" s="161"/>
      <c r="Z4975" s="168"/>
      <c r="AA4975" s="168"/>
      <c r="AB4975" s="168"/>
      <c r="AC4975" s="168"/>
    </row>
    <row r="4976">
      <c r="A4976" s="161"/>
      <c r="B4976" s="161"/>
      <c r="C4976" s="162"/>
      <c r="D4976" s="163"/>
      <c r="E4976" s="164" t="str">
        <f>IFERROR(__xludf.DUMMYFUNCTION("""COMPUTED_VALUE"""),"")</f>
        <v/>
      </c>
      <c r="F4976" s="163"/>
      <c r="G4976" s="163"/>
      <c r="H4976" s="163"/>
      <c r="I4976" s="163"/>
      <c r="J4976" s="165"/>
      <c r="K4976" s="165"/>
      <c r="L4976" s="165"/>
      <c r="M4976" s="166"/>
      <c r="N4976" s="167"/>
      <c r="O4976" s="163"/>
      <c r="P4976" s="163"/>
      <c r="Q4976" s="163"/>
      <c r="R4976" s="163"/>
      <c r="S4976" s="161"/>
      <c r="T4976" s="161"/>
      <c r="U4976" s="161"/>
      <c r="V4976" s="161"/>
      <c r="W4976" s="161"/>
      <c r="X4976" s="161"/>
      <c r="Y4976" s="161"/>
      <c r="Z4976" s="168"/>
      <c r="AA4976" s="168"/>
      <c r="AB4976" s="168"/>
      <c r="AC4976" s="168"/>
    </row>
    <row r="4977">
      <c r="A4977" s="161"/>
      <c r="B4977" s="161"/>
      <c r="C4977" s="162"/>
      <c r="D4977" s="163"/>
      <c r="E4977" s="164" t="str">
        <f>IFERROR(__xludf.DUMMYFUNCTION("""COMPUTED_VALUE"""),"")</f>
        <v/>
      </c>
      <c r="F4977" s="163"/>
      <c r="G4977" s="163"/>
      <c r="H4977" s="163"/>
      <c r="I4977" s="163"/>
      <c r="J4977" s="165"/>
      <c r="K4977" s="165"/>
      <c r="L4977" s="165"/>
      <c r="M4977" s="166"/>
      <c r="N4977" s="167"/>
      <c r="O4977" s="163"/>
      <c r="P4977" s="163"/>
      <c r="Q4977" s="163"/>
      <c r="R4977" s="163"/>
      <c r="S4977" s="161"/>
      <c r="T4977" s="161"/>
      <c r="U4977" s="161"/>
      <c r="V4977" s="161"/>
      <c r="W4977" s="161"/>
      <c r="X4977" s="161"/>
      <c r="Y4977" s="161"/>
      <c r="Z4977" s="168"/>
      <c r="AA4977" s="168"/>
      <c r="AB4977" s="168"/>
      <c r="AC4977" s="168"/>
    </row>
    <row r="4978">
      <c r="A4978" s="161"/>
      <c r="B4978" s="161"/>
      <c r="C4978" s="162"/>
      <c r="D4978" s="163"/>
      <c r="E4978" s="164" t="str">
        <f>IFERROR(__xludf.DUMMYFUNCTION("""COMPUTED_VALUE"""),"")</f>
        <v/>
      </c>
      <c r="F4978" s="163"/>
      <c r="G4978" s="163"/>
      <c r="H4978" s="163"/>
      <c r="I4978" s="163"/>
      <c r="J4978" s="165"/>
      <c r="K4978" s="165"/>
      <c r="L4978" s="165"/>
      <c r="M4978" s="166"/>
      <c r="N4978" s="167"/>
      <c r="O4978" s="163"/>
      <c r="P4978" s="163"/>
      <c r="Q4978" s="163"/>
      <c r="R4978" s="163"/>
      <c r="S4978" s="161"/>
      <c r="T4978" s="161"/>
      <c r="U4978" s="161"/>
      <c r="V4978" s="161"/>
      <c r="W4978" s="161"/>
      <c r="X4978" s="161"/>
      <c r="Y4978" s="161"/>
      <c r="Z4978" s="168"/>
      <c r="AA4978" s="168"/>
      <c r="AB4978" s="168"/>
      <c r="AC4978" s="168"/>
    </row>
    <row r="4979">
      <c r="A4979" s="161"/>
      <c r="B4979" s="161"/>
      <c r="C4979" s="162"/>
      <c r="D4979" s="163"/>
      <c r="E4979" s="164" t="str">
        <f>IFERROR(__xludf.DUMMYFUNCTION("""COMPUTED_VALUE"""),"")</f>
        <v/>
      </c>
      <c r="F4979" s="163"/>
      <c r="G4979" s="163"/>
      <c r="H4979" s="163"/>
      <c r="I4979" s="163"/>
      <c r="J4979" s="165"/>
      <c r="K4979" s="165"/>
      <c r="L4979" s="165"/>
      <c r="M4979" s="166"/>
      <c r="N4979" s="167"/>
      <c r="O4979" s="163"/>
      <c r="P4979" s="163"/>
      <c r="Q4979" s="163"/>
      <c r="R4979" s="163"/>
      <c r="S4979" s="161"/>
      <c r="T4979" s="161"/>
      <c r="U4979" s="161"/>
      <c r="V4979" s="161"/>
      <c r="W4979" s="161"/>
      <c r="X4979" s="161"/>
      <c r="Y4979" s="161"/>
      <c r="Z4979" s="168"/>
      <c r="AA4979" s="168"/>
      <c r="AB4979" s="168"/>
      <c r="AC4979" s="168"/>
    </row>
    <row r="4980">
      <c r="A4980" s="161"/>
      <c r="B4980" s="161"/>
      <c r="C4980" s="162"/>
      <c r="D4980" s="163"/>
      <c r="E4980" s="164" t="str">
        <f>IFERROR(__xludf.DUMMYFUNCTION("""COMPUTED_VALUE"""),"")</f>
        <v/>
      </c>
      <c r="F4980" s="163"/>
      <c r="G4980" s="163"/>
      <c r="H4980" s="163"/>
      <c r="I4980" s="163"/>
      <c r="J4980" s="165"/>
      <c r="K4980" s="165"/>
      <c r="L4980" s="165"/>
      <c r="M4980" s="166"/>
      <c r="N4980" s="167"/>
      <c r="O4980" s="163"/>
      <c r="P4980" s="163"/>
      <c r="Q4980" s="163"/>
      <c r="R4980" s="163"/>
      <c r="S4980" s="161"/>
      <c r="T4980" s="161"/>
      <c r="U4980" s="161"/>
      <c r="V4980" s="161"/>
      <c r="W4980" s="161"/>
      <c r="X4980" s="161"/>
      <c r="Y4980" s="161"/>
      <c r="Z4980" s="168"/>
      <c r="AA4980" s="168"/>
      <c r="AB4980" s="168"/>
      <c r="AC4980" s="168"/>
    </row>
    <row r="4981">
      <c r="A4981" s="161"/>
      <c r="B4981" s="161"/>
      <c r="C4981" s="162"/>
      <c r="D4981" s="163"/>
      <c r="E4981" s="164" t="str">
        <f>IFERROR(__xludf.DUMMYFUNCTION("""COMPUTED_VALUE"""),"")</f>
        <v/>
      </c>
      <c r="F4981" s="163"/>
      <c r="G4981" s="163"/>
      <c r="H4981" s="163"/>
      <c r="I4981" s="163"/>
      <c r="J4981" s="165"/>
      <c r="K4981" s="165"/>
      <c r="L4981" s="165"/>
      <c r="M4981" s="166"/>
      <c r="N4981" s="167"/>
      <c r="O4981" s="163"/>
      <c r="P4981" s="163"/>
      <c r="Q4981" s="163"/>
      <c r="R4981" s="163"/>
      <c r="S4981" s="161"/>
      <c r="T4981" s="161"/>
      <c r="U4981" s="161"/>
      <c r="V4981" s="161"/>
      <c r="W4981" s="161"/>
      <c r="X4981" s="161"/>
      <c r="Y4981" s="161"/>
      <c r="Z4981" s="168"/>
      <c r="AA4981" s="168"/>
      <c r="AB4981" s="168"/>
      <c r="AC4981" s="168"/>
    </row>
    <row r="4982">
      <c r="A4982" s="161"/>
      <c r="B4982" s="161"/>
      <c r="C4982" s="162"/>
      <c r="D4982" s="163"/>
      <c r="E4982" s="164" t="str">
        <f>IFERROR(__xludf.DUMMYFUNCTION("""COMPUTED_VALUE"""),"")</f>
        <v/>
      </c>
      <c r="F4982" s="163"/>
      <c r="G4982" s="163"/>
      <c r="H4982" s="163"/>
      <c r="I4982" s="163"/>
      <c r="J4982" s="165"/>
      <c r="K4982" s="165"/>
      <c r="L4982" s="165"/>
      <c r="M4982" s="166"/>
      <c r="N4982" s="167"/>
      <c r="O4982" s="163"/>
      <c r="P4982" s="163"/>
      <c r="Q4982" s="163"/>
      <c r="R4982" s="163"/>
      <c r="S4982" s="161"/>
      <c r="T4982" s="161"/>
      <c r="U4982" s="161"/>
      <c r="V4982" s="161"/>
      <c r="W4982" s="161"/>
      <c r="X4982" s="161"/>
      <c r="Y4982" s="161"/>
      <c r="Z4982" s="168"/>
      <c r="AA4982" s="168"/>
      <c r="AB4982" s="168"/>
      <c r="AC4982" s="168"/>
    </row>
    <row r="4983">
      <c r="A4983" s="161"/>
      <c r="B4983" s="161"/>
      <c r="C4983" s="162"/>
      <c r="D4983" s="163"/>
      <c r="E4983" s="164" t="str">
        <f>IFERROR(__xludf.DUMMYFUNCTION("""COMPUTED_VALUE"""),"")</f>
        <v/>
      </c>
      <c r="F4983" s="163"/>
      <c r="G4983" s="163"/>
      <c r="H4983" s="163"/>
      <c r="I4983" s="163"/>
      <c r="J4983" s="165"/>
      <c r="K4983" s="165"/>
      <c r="L4983" s="165"/>
      <c r="M4983" s="166"/>
      <c r="N4983" s="167"/>
      <c r="O4983" s="163"/>
      <c r="P4983" s="163"/>
      <c r="Q4983" s="163"/>
      <c r="R4983" s="163"/>
      <c r="S4983" s="161"/>
      <c r="T4983" s="161"/>
      <c r="U4983" s="161"/>
      <c r="V4983" s="161"/>
      <c r="W4983" s="161"/>
      <c r="X4983" s="161"/>
      <c r="Y4983" s="161"/>
      <c r="Z4983" s="168"/>
      <c r="AA4983" s="168"/>
      <c r="AB4983" s="168"/>
      <c r="AC4983" s="168"/>
    </row>
    <row r="4984">
      <c r="A4984" s="161"/>
      <c r="B4984" s="161"/>
      <c r="C4984" s="162"/>
      <c r="D4984" s="163"/>
      <c r="E4984" s="164" t="str">
        <f>IFERROR(__xludf.DUMMYFUNCTION("""COMPUTED_VALUE"""),"")</f>
        <v/>
      </c>
      <c r="F4984" s="163"/>
      <c r="G4984" s="163"/>
      <c r="H4984" s="163"/>
      <c r="I4984" s="163"/>
      <c r="J4984" s="165"/>
      <c r="K4984" s="165"/>
      <c r="L4984" s="165"/>
      <c r="M4984" s="166"/>
      <c r="N4984" s="167"/>
      <c r="O4984" s="163"/>
      <c r="P4984" s="163"/>
      <c r="Q4984" s="163"/>
      <c r="R4984" s="163"/>
      <c r="S4984" s="161"/>
      <c r="T4984" s="161"/>
      <c r="U4984" s="161"/>
      <c r="V4984" s="161"/>
      <c r="W4984" s="161"/>
      <c r="X4984" s="161"/>
      <c r="Y4984" s="161"/>
      <c r="Z4984" s="168"/>
      <c r="AA4984" s="168"/>
      <c r="AB4984" s="168"/>
      <c r="AC4984" s="168"/>
    </row>
    <row r="4985">
      <c r="A4985" s="161"/>
      <c r="B4985" s="161"/>
      <c r="C4985" s="162"/>
      <c r="D4985" s="163"/>
      <c r="E4985" s="164" t="str">
        <f>IFERROR(__xludf.DUMMYFUNCTION("""COMPUTED_VALUE"""),"")</f>
        <v/>
      </c>
      <c r="F4985" s="163"/>
      <c r="G4985" s="163"/>
      <c r="H4985" s="163"/>
      <c r="I4985" s="163"/>
      <c r="J4985" s="165"/>
      <c r="K4985" s="165"/>
      <c r="L4985" s="165"/>
      <c r="M4985" s="166"/>
      <c r="N4985" s="167"/>
      <c r="O4985" s="163"/>
      <c r="P4985" s="163"/>
      <c r="Q4985" s="163"/>
      <c r="R4985" s="163"/>
      <c r="S4985" s="161"/>
      <c r="T4985" s="161"/>
      <c r="U4985" s="161"/>
      <c r="V4985" s="161"/>
      <c r="W4985" s="161"/>
      <c r="X4985" s="161"/>
      <c r="Y4985" s="161"/>
      <c r="Z4985" s="168"/>
      <c r="AA4985" s="168"/>
      <c r="AB4985" s="168"/>
      <c r="AC4985" s="168"/>
    </row>
    <row r="4986">
      <c r="A4986" s="161"/>
      <c r="B4986" s="161"/>
      <c r="C4986" s="162"/>
      <c r="D4986" s="163"/>
      <c r="E4986" s="164" t="str">
        <f>IFERROR(__xludf.DUMMYFUNCTION("""COMPUTED_VALUE"""),"")</f>
        <v/>
      </c>
      <c r="F4986" s="163"/>
      <c r="G4986" s="163"/>
      <c r="H4986" s="163"/>
      <c r="I4986" s="163"/>
      <c r="J4986" s="165"/>
      <c r="K4986" s="165"/>
      <c r="L4986" s="165"/>
      <c r="M4986" s="166"/>
      <c r="N4986" s="167"/>
      <c r="O4986" s="163"/>
      <c r="P4986" s="163"/>
      <c r="Q4986" s="163"/>
      <c r="R4986" s="163"/>
      <c r="S4986" s="161"/>
      <c r="T4986" s="161"/>
      <c r="U4986" s="161"/>
      <c r="V4986" s="161"/>
      <c r="W4986" s="161"/>
      <c r="X4986" s="161"/>
      <c r="Y4986" s="161"/>
      <c r="Z4986" s="168"/>
      <c r="AA4986" s="168"/>
      <c r="AB4986" s="168"/>
      <c r="AC4986" s="168"/>
    </row>
    <row r="4987">
      <c r="A4987" s="161"/>
      <c r="B4987" s="161"/>
      <c r="C4987" s="162"/>
      <c r="D4987" s="163"/>
      <c r="E4987" s="164" t="str">
        <f>IFERROR(__xludf.DUMMYFUNCTION("""COMPUTED_VALUE"""),"")</f>
        <v/>
      </c>
      <c r="F4987" s="163"/>
      <c r="G4987" s="163"/>
      <c r="H4987" s="163"/>
      <c r="I4987" s="163"/>
      <c r="J4987" s="165"/>
      <c r="K4987" s="165"/>
      <c r="L4987" s="165"/>
      <c r="M4987" s="166"/>
      <c r="N4987" s="167"/>
      <c r="O4987" s="163"/>
      <c r="P4987" s="163"/>
      <c r="Q4987" s="163"/>
      <c r="R4987" s="163"/>
      <c r="S4987" s="161"/>
      <c r="T4987" s="161"/>
      <c r="U4987" s="161"/>
      <c r="V4987" s="161"/>
      <c r="W4987" s="161"/>
      <c r="X4987" s="161"/>
      <c r="Y4987" s="161"/>
      <c r="Z4987" s="168"/>
      <c r="AA4987" s="168"/>
      <c r="AB4987" s="168"/>
      <c r="AC4987" s="168"/>
    </row>
    <row r="4988">
      <c r="A4988" s="161"/>
      <c r="B4988" s="161"/>
      <c r="C4988" s="162"/>
      <c r="D4988" s="163"/>
      <c r="E4988" s="164" t="str">
        <f>IFERROR(__xludf.DUMMYFUNCTION("""COMPUTED_VALUE"""),"")</f>
        <v/>
      </c>
      <c r="F4988" s="163"/>
      <c r="G4988" s="163"/>
      <c r="H4988" s="163"/>
      <c r="I4988" s="163"/>
      <c r="J4988" s="165"/>
      <c r="K4988" s="165"/>
      <c r="L4988" s="165"/>
      <c r="M4988" s="166"/>
      <c r="N4988" s="167"/>
      <c r="O4988" s="163"/>
      <c r="P4988" s="163"/>
      <c r="Q4988" s="163"/>
      <c r="R4988" s="163"/>
      <c r="S4988" s="161"/>
      <c r="T4988" s="161"/>
      <c r="U4988" s="161"/>
      <c r="V4988" s="161"/>
      <c r="W4988" s="161"/>
      <c r="X4988" s="161"/>
      <c r="Y4988" s="161"/>
      <c r="Z4988" s="168"/>
      <c r="AA4988" s="168"/>
      <c r="AB4988" s="168"/>
      <c r="AC4988" s="168"/>
    </row>
    <row r="4989">
      <c r="A4989" s="161"/>
      <c r="B4989" s="161"/>
      <c r="C4989" s="162"/>
      <c r="D4989" s="163"/>
      <c r="E4989" s="164" t="str">
        <f>IFERROR(__xludf.DUMMYFUNCTION("""COMPUTED_VALUE"""),"")</f>
        <v/>
      </c>
      <c r="F4989" s="163"/>
      <c r="G4989" s="163"/>
      <c r="H4989" s="163"/>
      <c r="I4989" s="163"/>
      <c r="J4989" s="165"/>
      <c r="K4989" s="165"/>
      <c r="L4989" s="165"/>
      <c r="M4989" s="166"/>
      <c r="N4989" s="167"/>
      <c r="O4989" s="163"/>
      <c r="P4989" s="163"/>
      <c r="Q4989" s="163"/>
      <c r="R4989" s="163"/>
      <c r="S4989" s="161"/>
      <c r="T4989" s="161"/>
      <c r="U4989" s="161"/>
      <c r="V4989" s="161"/>
      <c r="W4989" s="161"/>
      <c r="X4989" s="161"/>
      <c r="Y4989" s="161"/>
      <c r="Z4989" s="168"/>
      <c r="AA4989" s="168"/>
      <c r="AB4989" s="168"/>
      <c r="AC4989" s="168"/>
    </row>
    <row r="4990">
      <c r="A4990" s="161"/>
      <c r="B4990" s="161"/>
      <c r="C4990" s="162"/>
      <c r="D4990" s="163"/>
      <c r="E4990" s="164" t="str">
        <f>IFERROR(__xludf.DUMMYFUNCTION("""COMPUTED_VALUE"""),"")</f>
        <v/>
      </c>
      <c r="F4990" s="163"/>
      <c r="G4990" s="163"/>
      <c r="H4990" s="163"/>
      <c r="I4990" s="163"/>
      <c r="J4990" s="165"/>
      <c r="K4990" s="165"/>
      <c r="L4990" s="165"/>
      <c r="M4990" s="166"/>
      <c r="N4990" s="167"/>
      <c r="O4990" s="163"/>
      <c r="P4990" s="163"/>
      <c r="Q4990" s="163"/>
      <c r="R4990" s="163"/>
      <c r="S4990" s="161"/>
      <c r="T4990" s="161"/>
      <c r="U4990" s="161"/>
      <c r="V4990" s="161"/>
      <c r="W4990" s="161"/>
      <c r="X4990" s="161"/>
      <c r="Y4990" s="161"/>
      <c r="Z4990" s="168"/>
      <c r="AA4990" s="168"/>
      <c r="AB4990" s="168"/>
      <c r="AC4990" s="168"/>
    </row>
    <row r="4991">
      <c r="A4991" s="161"/>
      <c r="B4991" s="161"/>
      <c r="C4991" s="162"/>
      <c r="D4991" s="163"/>
      <c r="E4991" s="164" t="str">
        <f>IFERROR(__xludf.DUMMYFUNCTION("""COMPUTED_VALUE"""),"")</f>
        <v/>
      </c>
      <c r="F4991" s="163"/>
      <c r="G4991" s="163"/>
      <c r="H4991" s="163"/>
      <c r="I4991" s="163"/>
      <c r="J4991" s="165"/>
      <c r="K4991" s="165"/>
      <c r="L4991" s="165"/>
      <c r="M4991" s="166"/>
      <c r="N4991" s="167"/>
      <c r="O4991" s="163"/>
      <c r="P4991" s="163"/>
      <c r="Q4991" s="163"/>
      <c r="R4991" s="163"/>
      <c r="S4991" s="161"/>
      <c r="T4991" s="161"/>
      <c r="U4991" s="161"/>
      <c r="V4991" s="161"/>
      <c r="W4991" s="161"/>
      <c r="X4991" s="161"/>
      <c r="Y4991" s="161"/>
      <c r="Z4991" s="168"/>
      <c r="AA4991" s="168"/>
      <c r="AB4991" s="168"/>
      <c r="AC4991" s="168"/>
    </row>
    <row r="4992">
      <c r="A4992" s="161"/>
      <c r="B4992" s="161"/>
      <c r="C4992" s="162"/>
      <c r="D4992" s="163"/>
      <c r="E4992" s="164" t="str">
        <f>IFERROR(__xludf.DUMMYFUNCTION("""COMPUTED_VALUE"""),"")</f>
        <v/>
      </c>
      <c r="F4992" s="163"/>
      <c r="G4992" s="163"/>
      <c r="H4992" s="163"/>
      <c r="I4992" s="163"/>
      <c r="J4992" s="165"/>
      <c r="K4992" s="165"/>
      <c r="L4992" s="165"/>
      <c r="M4992" s="166"/>
      <c r="N4992" s="167"/>
      <c r="O4992" s="163"/>
      <c r="P4992" s="163"/>
      <c r="Q4992" s="163"/>
      <c r="R4992" s="163"/>
      <c r="S4992" s="161"/>
      <c r="T4992" s="161"/>
      <c r="U4992" s="161"/>
      <c r="V4992" s="161"/>
      <c r="W4992" s="161"/>
      <c r="X4992" s="161"/>
      <c r="Y4992" s="161"/>
      <c r="Z4992" s="168"/>
      <c r="AA4992" s="168"/>
      <c r="AB4992" s="168"/>
      <c r="AC4992" s="168"/>
    </row>
    <row r="4993">
      <c r="A4993" s="161"/>
      <c r="B4993" s="161"/>
      <c r="C4993" s="162"/>
      <c r="D4993" s="163"/>
      <c r="E4993" s="164" t="str">
        <f>IFERROR(__xludf.DUMMYFUNCTION("""COMPUTED_VALUE"""),"")</f>
        <v/>
      </c>
      <c r="F4993" s="163"/>
      <c r="G4993" s="163"/>
      <c r="H4993" s="163"/>
      <c r="I4993" s="163"/>
      <c r="J4993" s="165"/>
      <c r="K4993" s="165"/>
      <c r="L4993" s="165"/>
      <c r="M4993" s="166"/>
      <c r="N4993" s="167"/>
      <c r="O4993" s="163"/>
      <c r="P4993" s="163"/>
      <c r="Q4993" s="163"/>
      <c r="R4993" s="163"/>
      <c r="S4993" s="161"/>
      <c r="T4993" s="161"/>
      <c r="U4993" s="161"/>
      <c r="V4993" s="161"/>
      <c r="W4993" s="161"/>
      <c r="X4993" s="161"/>
      <c r="Y4993" s="161"/>
      <c r="Z4993" s="168"/>
      <c r="AA4993" s="168"/>
      <c r="AB4993" s="168"/>
      <c r="AC4993" s="168"/>
    </row>
    <row r="4994">
      <c r="A4994" s="161"/>
      <c r="B4994" s="161"/>
      <c r="C4994" s="162"/>
      <c r="D4994" s="163"/>
      <c r="E4994" s="164" t="str">
        <f>IFERROR(__xludf.DUMMYFUNCTION("""COMPUTED_VALUE"""),"")</f>
        <v/>
      </c>
      <c r="F4994" s="163"/>
      <c r="G4994" s="163"/>
      <c r="H4994" s="163"/>
      <c r="I4994" s="163"/>
      <c r="J4994" s="165"/>
      <c r="K4994" s="165"/>
      <c r="L4994" s="165"/>
      <c r="M4994" s="166"/>
      <c r="N4994" s="167"/>
      <c r="O4994" s="163"/>
      <c r="P4994" s="163"/>
      <c r="Q4994" s="163"/>
      <c r="R4994" s="163"/>
      <c r="S4994" s="161"/>
      <c r="T4994" s="161"/>
      <c r="U4994" s="161"/>
      <c r="V4994" s="161"/>
      <c r="W4994" s="161"/>
      <c r="X4994" s="161"/>
      <c r="Y4994" s="161"/>
      <c r="Z4994" s="168"/>
      <c r="AA4994" s="168"/>
      <c r="AB4994" s="168"/>
      <c r="AC4994" s="168"/>
    </row>
    <row r="4995">
      <c r="A4995" s="161"/>
      <c r="B4995" s="161"/>
      <c r="C4995" s="162"/>
      <c r="D4995" s="163"/>
      <c r="E4995" s="164" t="str">
        <f>IFERROR(__xludf.DUMMYFUNCTION("""COMPUTED_VALUE"""),"")</f>
        <v/>
      </c>
      <c r="F4995" s="163"/>
      <c r="G4995" s="163"/>
      <c r="H4995" s="163"/>
      <c r="I4995" s="163"/>
      <c r="J4995" s="165"/>
      <c r="K4995" s="165"/>
      <c r="L4995" s="165"/>
      <c r="M4995" s="166"/>
      <c r="N4995" s="167"/>
      <c r="O4995" s="163"/>
      <c r="P4995" s="163"/>
      <c r="Q4995" s="163"/>
      <c r="R4995" s="163"/>
      <c r="S4995" s="161"/>
      <c r="T4995" s="161"/>
      <c r="U4995" s="161"/>
      <c r="V4995" s="161"/>
      <c r="W4995" s="161"/>
      <c r="X4995" s="161"/>
      <c r="Y4995" s="161"/>
      <c r="Z4995" s="168"/>
      <c r="AA4995" s="168"/>
      <c r="AB4995" s="168"/>
      <c r="AC4995" s="168"/>
    </row>
    <row r="4996">
      <c r="A4996" s="161"/>
      <c r="B4996" s="161"/>
      <c r="C4996" s="162"/>
      <c r="D4996" s="163"/>
      <c r="E4996" s="164" t="str">
        <f>IFERROR(__xludf.DUMMYFUNCTION("""COMPUTED_VALUE"""),"")</f>
        <v/>
      </c>
      <c r="F4996" s="163"/>
      <c r="G4996" s="163"/>
      <c r="H4996" s="163"/>
      <c r="I4996" s="163"/>
      <c r="J4996" s="165"/>
      <c r="K4996" s="165"/>
      <c r="L4996" s="165"/>
      <c r="M4996" s="166"/>
      <c r="N4996" s="167"/>
      <c r="O4996" s="163"/>
      <c r="P4996" s="163"/>
      <c r="Q4996" s="163"/>
      <c r="R4996" s="163"/>
      <c r="S4996" s="161"/>
      <c r="T4996" s="161"/>
      <c r="U4996" s="161"/>
      <c r="V4996" s="161"/>
      <c r="W4996" s="161"/>
      <c r="X4996" s="161"/>
      <c r="Y4996" s="161"/>
      <c r="Z4996" s="168"/>
      <c r="AA4996" s="168"/>
      <c r="AB4996" s="168"/>
      <c r="AC4996" s="168"/>
    </row>
    <row r="4997">
      <c r="A4997" s="161"/>
      <c r="B4997" s="161"/>
      <c r="C4997" s="162"/>
      <c r="D4997" s="163"/>
      <c r="E4997" s="164" t="str">
        <f>IFERROR(__xludf.DUMMYFUNCTION("""COMPUTED_VALUE"""),"")</f>
        <v/>
      </c>
      <c r="F4997" s="163"/>
      <c r="G4997" s="163"/>
      <c r="H4997" s="163"/>
      <c r="I4997" s="163"/>
      <c r="J4997" s="165"/>
      <c r="K4997" s="165"/>
      <c r="L4997" s="165"/>
      <c r="M4997" s="166"/>
      <c r="N4997" s="167"/>
      <c r="O4997" s="163"/>
      <c r="P4997" s="163"/>
      <c r="Q4997" s="163"/>
      <c r="R4997" s="163"/>
      <c r="S4997" s="161"/>
      <c r="T4997" s="161"/>
      <c r="U4997" s="161"/>
      <c r="V4997" s="161"/>
      <c r="W4997" s="161"/>
      <c r="X4997" s="161"/>
      <c r="Y4997" s="161"/>
      <c r="Z4997" s="168"/>
      <c r="AA4997" s="168"/>
      <c r="AB4997" s="168"/>
      <c r="AC4997" s="168"/>
    </row>
    <row r="4998">
      <c r="A4998" s="161"/>
      <c r="B4998" s="161"/>
      <c r="C4998" s="162"/>
      <c r="D4998" s="163"/>
      <c r="E4998" s="164" t="str">
        <f>IFERROR(__xludf.DUMMYFUNCTION("""COMPUTED_VALUE"""),"")</f>
        <v/>
      </c>
      <c r="F4998" s="163"/>
      <c r="G4998" s="163"/>
      <c r="H4998" s="163"/>
      <c r="I4998" s="163"/>
      <c r="J4998" s="165"/>
      <c r="K4998" s="165"/>
      <c r="L4998" s="165"/>
      <c r="M4998" s="166"/>
      <c r="N4998" s="167"/>
      <c r="O4998" s="163"/>
      <c r="P4998" s="163"/>
      <c r="Q4998" s="163"/>
      <c r="R4998" s="163"/>
      <c r="S4998" s="161"/>
      <c r="T4998" s="161"/>
      <c r="U4998" s="161"/>
      <c r="V4998" s="161"/>
      <c r="W4998" s="161"/>
      <c r="X4998" s="161"/>
      <c r="Y4998" s="161"/>
      <c r="Z4998" s="168"/>
      <c r="AA4998" s="168"/>
      <c r="AB4998" s="168"/>
      <c r="AC4998" s="168"/>
    </row>
    <row r="4999">
      <c r="A4999" s="161"/>
      <c r="B4999" s="161"/>
      <c r="C4999" s="162"/>
      <c r="D4999" s="163"/>
      <c r="E4999" s="164" t="str">
        <f>IFERROR(__xludf.DUMMYFUNCTION("""COMPUTED_VALUE"""),"")</f>
        <v/>
      </c>
      <c r="F4999" s="163"/>
      <c r="G4999" s="163"/>
      <c r="H4999" s="163"/>
      <c r="I4999" s="163"/>
      <c r="J4999" s="165"/>
      <c r="K4999" s="165"/>
      <c r="L4999" s="165"/>
      <c r="M4999" s="166"/>
      <c r="N4999" s="167"/>
      <c r="O4999" s="163"/>
      <c r="P4999" s="163"/>
      <c r="Q4999" s="163"/>
      <c r="R4999" s="163"/>
      <c r="S4999" s="161"/>
      <c r="T4999" s="161"/>
      <c r="U4999" s="161"/>
      <c r="V4999" s="161"/>
      <c r="W4999" s="161"/>
      <c r="X4999" s="161"/>
      <c r="Y4999" s="161"/>
      <c r="Z4999" s="168"/>
      <c r="AA4999" s="168"/>
      <c r="AB4999" s="168"/>
      <c r="AC4999" s="168"/>
    </row>
    <row r="5000">
      <c r="A5000" s="161"/>
      <c r="B5000" s="161"/>
      <c r="C5000" s="162"/>
      <c r="D5000" s="163"/>
      <c r="E5000" s="164" t="str">
        <f>IFERROR(__xludf.DUMMYFUNCTION("""COMPUTED_VALUE"""),"")</f>
        <v/>
      </c>
      <c r="F5000" s="163"/>
      <c r="G5000" s="163"/>
      <c r="H5000" s="163"/>
      <c r="I5000" s="163"/>
      <c r="J5000" s="165"/>
      <c r="K5000" s="165"/>
      <c r="L5000" s="165"/>
      <c r="M5000" s="166"/>
      <c r="N5000" s="167"/>
      <c r="O5000" s="163"/>
      <c r="P5000" s="163"/>
      <c r="Q5000" s="163"/>
      <c r="R5000" s="163"/>
      <c r="S5000" s="161"/>
      <c r="T5000" s="161"/>
      <c r="U5000" s="161"/>
      <c r="V5000" s="161"/>
      <c r="W5000" s="161"/>
      <c r="X5000" s="161"/>
      <c r="Y5000" s="161"/>
      <c r="Z5000" s="168"/>
      <c r="AA5000" s="168"/>
      <c r="AB5000" s="168"/>
      <c r="AC5000" s="168"/>
    </row>
    <row r="5001">
      <c r="A5001" s="161"/>
      <c r="B5001" s="161"/>
      <c r="C5001" s="162"/>
      <c r="D5001" s="163"/>
      <c r="E5001" s="164" t="str">
        <f>IFERROR(__xludf.DUMMYFUNCTION("""COMPUTED_VALUE"""),"")</f>
        <v/>
      </c>
      <c r="F5001" s="163"/>
      <c r="G5001" s="163"/>
      <c r="H5001" s="163"/>
      <c r="I5001" s="163"/>
      <c r="J5001" s="165"/>
      <c r="K5001" s="165"/>
      <c r="L5001" s="165"/>
      <c r="M5001" s="166"/>
      <c r="N5001" s="167"/>
      <c r="O5001" s="163"/>
      <c r="P5001" s="163"/>
      <c r="Q5001" s="163"/>
      <c r="R5001" s="163"/>
      <c r="S5001" s="161"/>
      <c r="T5001" s="161"/>
      <c r="U5001" s="161"/>
      <c r="V5001" s="161"/>
      <c r="W5001" s="161"/>
      <c r="X5001" s="161"/>
      <c r="Y5001" s="161"/>
      <c r="Z5001" s="168"/>
      <c r="AA5001" s="168"/>
      <c r="AB5001" s="168"/>
      <c r="AC5001" s="168"/>
    </row>
    <row r="5002">
      <c r="A5002" s="161"/>
      <c r="B5002" s="161"/>
      <c r="C5002" s="162"/>
      <c r="D5002" s="163"/>
      <c r="E5002" s="164" t="str">
        <f>IFERROR(__xludf.DUMMYFUNCTION("""COMPUTED_VALUE"""),"")</f>
        <v/>
      </c>
      <c r="F5002" s="163"/>
      <c r="G5002" s="163"/>
      <c r="H5002" s="163"/>
      <c r="I5002" s="163"/>
      <c r="J5002" s="165"/>
      <c r="K5002" s="165"/>
      <c r="L5002" s="165"/>
      <c r="M5002" s="166"/>
      <c r="N5002" s="167"/>
      <c r="O5002" s="163"/>
      <c r="P5002" s="163"/>
      <c r="Q5002" s="163"/>
      <c r="R5002" s="163"/>
      <c r="S5002" s="161"/>
      <c r="T5002" s="161"/>
      <c r="U5002" s="161"/>
      <c r="V5002" s="161"/>
      <c r="W5002" s="161"/>
      <c r="X5002" s="161"/>
      <c r="Y5002" s="161"/>
      <c r="Z5002" s="168"/>
      <c r="AA5002" s="168"/>
      <c r="AB5002" s="168"/>
      <c r="AC5002" s="168"/>
    </row>
    <row r="5003">
      <c r="A5003" s="161"/>
      <c r="B5003" s="161"/>
      <c r="C5003" s="162"/>
      <c r="D5003" s="163"/>
      <c r="E5003" s="164" t="str">
        <f>IFERROR(__xludf.DUMMYFUNCTION("""COMPUTED_VALUE"""),"")</f>
        <v/>
      </c>
      <c r="F5003" s="163"/>
      <c r="G5003" s="163"/>
      <c r="H5003" s="163"/>
      <c r="I5003" s="163"/>
      <c r="J5003" s="165"/>
      <c r="K5003" s="165"/>
      <c r="L5003" s="165"/>
      <c r="M5003" s="166"/>
      <c r="N5003" s="167"/>
      <c r="O5003" s="163"/>
      <c r="P5003" s="163"/>
      <c r="Q5003" s="163"/>
      <c r="R5003" s="163"/>
      <c r="S5003" s="161"/>
      <c r="T5003" s="161"/>
      <c r="U5003" s="161"/>
      <c r="V5003" s="161"/>
      <c r="W5003" s="161"/>
      <c r="X5003" s="161"/>
      <c r="Y5003" s="161"/>
      <c r="Z5003" s="168"/>
      <c r="AA5003" s="168"/>
      <c r="AB5003" s="168"/>
      <c r="AC5003" s="168"/>
    </row>
    <row r="5004">
      <c r="A5004" s="161"/>
      <c r="B5004" s="161"/>
      <c r="C5004" s="162"/>
      <c r="D5004" s="163"/>
      <c r="E5004" s="164" t="str">
        <f>IFERROR(__xludf.DUMMYFUNCTION("""COMPUTED_VALUE"""),"")</f>
        <v/>
      </c>
      <c r="F5004" s="163"/>
      <c r="G5004" s="163"/>
      <c r="H5004" s="163"/>
      <c r="I5004" s="163"/>
      <c r="J5004" s="165"/>
      <c r="K5004" s="165"/>
      <c r="L5004" s="165"/>
      <c r="M5004" s="166"/>
      <c r="N5004" s="167"/>
      <c r="O5004" s="163"/>
      <c r="P5004" s="163"/>
      <c r="Q5004" s="163"/>
      <c r="R5004" s="163"/>
      <c r="S5004" s="161"/>
      <c r="T5004" s="161"/>
      <c r="U5004" s="161"/>
      <c r="V5004" s="161"/>
      <c r="W5004" s="161"/>
      <c r="X5004" s="161"/>
      <c r="Y5004" s="161"/>
      <c r="Z5004" s="168"/>
      <c r="AA5004" s="168"/>
      <c r="AB5004" s="168"/>
      <c r="AC5004" s="168"/>
    </row>
    <row r="5005">
      <c r="A5005" s="161"/>
      <c r="B5005" s="161"/>
      <c r="C5005" s="162"/>
      <c r="D5005" s="163"/>
      <c r="E5005" s="164" t="str">
        <f>IFERROR(__xludf.DUMMYFUNCTION("""COMPUTED_VALUE"""),"")</f>
        <v/>
      </c>
      <c r="F5005" s="163"/>
      <c r="G5005" s="163"/>
      <c r="H5005" s="163"/>
      <c r="I5005" s="163"/>
      <c r="J5005" s="165"/>
      <c r="K5005" s="165"/>
      <c r="L5005" s="165"/>
      <c r="M5005" s="166"/>
      <c r="N5005" s="167"/>
      <c r="O5005" s="163"/>
      <c r="P5005" s="163"/>
      <c r="Q5005" s="163"/>
      <c r="R5005" s="163"/>
      <c r="S5005" s="161"/>
      <c r="T5005" s="161"/>
      <c r="U5005" s="161"/>
      <c r="V5005" s="161"/>
      <c r="W5005" s="161"/>
      <c r="X5005" s="161"/>
      <c r="Y5005" s="161"/>
      <c r="Z5005" s="168"/>
      <c r="AA5005" s="168"/>
      <c r="AB5005" s="168"/>
      <c r="AC5005" s="168"/>
    </row>
    <row r="5006">
      <c r="A5006" s="161"/>
      <c r="B5006" s="161"/>
      <c r="C5006" s="162"/>
      <c r="D5006" s="163"/>
      <c r="E5006" s="164" t="str">
        <f>IFERROR(__xludf.DUMMYFUNCTION("""COMPUTED_VALUE"""),"")</f>
        <v/>
      </c>
      <c r="F5006" s="163"/>
      <c r="G5006" s="163"/>
      <c r="H5006" s="163"/>
      <c r="I5006" s="163"/>
      <c r="J5006" s="165"/>
      <c r="K5006" s="165"/>
      <c r="L5006" s="165"/>
      <c r="M5006" s="166"/>
      <c r="N5006" s="167"/>
      <c r="O5006" s="163"/>
      <c r="P5006" s="163"/>
      <c r="Q5006" s="163"/>
      <c r="R5006" s="163"/>
      <c r="S5006" s="161"/>
      <c r="T5006" s="161"/>
      <c r="U5006" s="161"/>
      <c r="V5006" s="161"/>
      <c r="W5006" s="161"/>
      <c r="X5006" s="161"/>
      <c r="Y5006" s="161"/>
      <c r="Z5006" s="168"/>
      <c r="AA5006" s="168"/>
      <c r="AB5006" s="168"/>
      <c r="AC5006" s="168"/>
    </row>
    <row r="5007">
      <c r="A5007" s="161"/>
      <c r="B5007" s="161"/>
      <c r="C5007" s="162"/>
      <c r="D5007" s="163"/>
      <c r="E5007" s="164" t="str">
        <f>IFERROR(__xludf.DUMMYFUNCTION("""COMPUTED_VALUE"""),"")</f>
        <v/>
      </c>
      <c r="F5007" s="163"/>
      <c r="G5007" s="163"/>
      <c r="H5007" s="163"/>
      <c r="I5007" s="163"/>
      <c r="J5007" s="165"/>
      <c r="K5007" s="165"/>
      <c r="L5007" s="165"/>
      <c r="M5007" s="166"/>
      <c r="N5007" s="167"/>
      <c r="O5007" s="163"/>
      <c r="P5007" s="163"/>
      <c r="Q5007" s="163"/>
      <c r="R5007" s="163"/>
      <c r="S5007" s="161"/>
      <c r="T5007" s="161"/>
      <c r="U5007" s="161"/>
      <c r="V5007" s="161"/>
      <c r="W5007" s="161"/>
      <c r="X5007" s="161"/>
      <c r="Y5007" s="161"/>
      <c r="Z5007" s="168"/>
      <c r="AA5007" s="168"/>
      <c r="AB5007" s="168"/>
      <c r="AC5007" s="168"/>
    </row>
    <row r="5008">
      <c r="A5008" s="161"/>
      <c r="B5008" s="161"/>
      <c r="C5008" s="162"/>
      <c r="D5008" s="163"/>
      <c r="E5008" s="164" t="str">
        <f>IFERROR(__xludf.DUMMYFUNCTION("""COMPUTED_VALUE"""),"")</f>
        <v/>
      </c>
      <c r="F5008" s="163"/>
      <c r="G5008" s="163"/>
      <c r="H5008" s="163"/>
      <c r="I5008" s="163"/>
      <c r="J5008" s="165"/>
      <c r="K5008" s="165"/>
      <c r="L5008" s="165"/>
      <c r="M5008" s="166"/>
      <c r="N5008" s="167"/>
      <c r="O5008" s="163"/>
      <c r="P5008" s="163"/>
      <c r="Q5008" s="163"/>
      <c r="R5008" s="163"/>
      <c r="S5008" s="161"/>
      <c r="T5008" s="161"/>
      <c r="U5008" s="161"/>
      <c r="V5008" s="161"/>
      <c r="W5008" s="161"/>
      <c r="X5008" s="161"/>
      <c r="Y5008" s="161"/>
      <c r="Z5008" s="168"/>
      <c r="AA5008" s="168"/>
      <c r="AB5008" s="168"/>
      <c r="AC5008" s="168"/>
    </row>
    <row r="5009">
      <c r="A5009" s="161"/>
      <c r="B5009" s="161"/>
      <c r="C5009" s="162"/>
      <c r="D5009" s="163"/>
      <c r="E5009" s="164" t="str">
        <f>IFERROR(__xludf.DUMMYFUNCTION("""COMPUTED_VALUE"""),"")</f>
        <v/>
      </c>
      <c r="F5009" s="163"/>
      <c r="G5009" s="163"/>
      <c r="H5009" s="163"/>
      <c r="I5009" s="163"/>
      <c r="J5009" s="165"/>
      <c r="K5009" s="165"/>
      <c r="L5009" s="165"/>
      <c r="M5009" s="166"/>
      <c r="N5009" s="167"/>
      <c r="O5009" s="163"/>
      <c r="P5009" s="163"/>
      <c r="Q5009" s="163"/>
      <c r="R5009" s="163"/>
      <c r="S5009" s="161"/>
      <c r="T5009" s="161"/>
      <c r="U5009" s="161"/>
      <c r="V5009" s="161"/>
      <c r="W5009" s="161"/>
      <c r="X5009" s="161"/>
      <c r="Y5009" s="161"/>
      <c r="Z5009" s="168"/>
      <c r="AA5009" s="168"/>
      <c r="AB5009" s="168"/>
      <c r="AC5009" s="168"/>
    </row>
    <row r="5010">
      <c r="A5010" s="161"/>
      <c r="B5010" s="161"/>
      <c r="C5010" s="162"/>
      <c r="D5010" s="163"/>
      <c r="E5010" s="164" t="str">
        <f>IFERROR(__xludf.DUMMYFUNCTION("""COMPUTED_VALUE"""),"")</f>
        <v/>
      </c>
      <c r="F5010" s="163"/>
      <c r="G5010" s="163"/>
      <c r="H5010" s="163"/>
      <c r="I5010" s="163"/>
      <c r="J5010" s="165"/>
      <c r="K5010" s="165"/>
      <c r="L5010" s="165"/>
      <c r="M5010" s="166"/>
      <c r="N5010" s="167"/>
      <c r="O5010" s="163"/>
      <c r="P5010" s="163"/>
      <c r="Q5010" s="163"/>
      <c r="R5010" s="163"/>
      <c r="S5010" s="161"/>
      <c r="T5010" s="161"/>
      <c r="U5010" s="161"/>
      <c r="V5010" s="161"/>
      <c r="W5010" s="161"/>
      <c r="X5010" s="161"/>
      <c r="Y5010" s="161"/>
      <c r="Z5010" s="168"/>
      <c r="AA5010" s="168"/>
      <c r="AB5010" s="168"/>
      <c r="AC5010" s="168"/>
    </row>
    <row r="5011">
      <c r="A5011" s="161"/>
      <c r="B5011" s="161"/>
      <c r="C5011" s="162"/>
      <c r="D5011" s="163"/>
      <c r="E5011" s="164" t="str">
        <f>IFERROR(__xludf.DUMMYFUNCTION("""COMPUTED_VALUE"""),"")</f>
        <v/>
      </c>
      <c r="F5011" s="163"/>
      <c r="G5011" s="163"/>
      <c r="H5011" s="163"/>
      <c r="I5011" s="163"/>
      <c r="J5011" s="165"/>
      <c r="K5011" s="165"/>
      <c r="L5011" s="165"/>
      <c r="M5011" s="166"/>
      <c r="N5011" s="167"/>
      <c r="O5011" s="163"/>
      <c r="P5011" s="163"/>
      <c r="Q5011" s="163"/>
      <c r="R5011" s="163"/>
      <c r="S5011" s="161"/>
      <c r="T5011" s="161"/>
      <c r="U5011" s="161"/>
      <c r="V5011" s="161"/>
      <c r="W5011" s="161"/>
      <c r="X5011" s="161"/>
      <c r="Y5011" s="161"/>
      <c r="Z5011" s="168"/>
      <c r="AA5011" s="168"/>
      <c r="AB5011" s="168"/>
      <c r="AC5011" s="168"/>
    </row>
    <row r="5012">
      <c r="A5012" s="161"/>
      <c r="B5012" s="161"/>
      <c r="C5012" s="162"/>
      <c r="D5012" s="163"/>
      <c r="E5012" s="164" t="str">
        <f>IFERROR(__xludf.DUMMYFUNCTION("""COMPUTED_VALUE"""),"")</f>
        <v/>
      </c>
      <c r="F5012" s="163"/>
      <c r="G5012" s="163"/>
      <c r="H5012" s="163"/>
      <c r="I5012" s="163"/>
      <c r="J5012" s="165"/>
      <c r="K5012" s="165"/>
      <c r="L5012" s="165"/>
      <c r="M5012" s="166"/>
      <c r="N5012" s="167"/>
      <c r="O5012" s="163"/>
      <c r="P5012" s="163"/>
      <c r="Q5012" s="163"/>
      <c r="R5012" s="163"/>
      <c r="S5012" s="161"/>
      <c r="T5012" s="161"/>
      <c r="U5012" s="161"/>
      <c r="V5012" s="161"/>
      <c r="W5012" s="161"/>
      <c r="X5012" s="161"/>
      <c r="Y5012" s="161"/>
      <c r="Z5012" s="168"/>
      <c r="AA5012" s="168"/>
      <c r="AB5012" s="168"/>
      <c r="AC5012" s="168"/>
    </row>
    <row r="5013">
      <c r="A5013" s="161"/>
      <c r="B5013" s="161"/>
      <c r="C5013" s="162"/>
      <c r="D5013" s="163"/>
      <c r="E5013" s="164" t="str">
        <f>IFERROR(__xludf.DUMMYFUNCTION("""COMPUTED_VALUE"""),"")</f>
        <v/>
      </c>
      <c r="F5013" s="163"/>
      <c r="G5013" s="163"/>
      <c r="H5013" s="163"/>
      <c r="I5013" s="163"/>
      <c r="J5013" s="165"/>
      <c r="K5013" s="165"/>
      <c r="L5013" s="165"/>
      <c r="M5013" s="166"/>
      <c r="N5013" s="167"/>
      <c r="O5013" s="163"/>
      <c r="P5013" s="163"/>
      <c r="Q5013" s="163"/>
      <c r="R5013" s="163"/>
      <c r="S5013" s="161"/>
      <c r="T5013" s="161"/>
      <c r="U5013" s="161"/>
      <c r="V5013" s="161"/>
      <c r="W5013" s="161"/>
      <c r="X5013" s="161"/>
      <c r="Y5013" s="161"/>
      <c r="Z5013" s="168"/>
      <c r="AA5013" s="168"/>
      <c r="AB5013" s="168"/>
      <c r="AC5013" s="168"/>
    </row>
    <row r="5014">
      <c r="A5014" s="161"/>
      <c r="B5014" s="161"/>
      <c r="C5014" s="162"/>
      <c r="D5014" s="163"/>
      <c r="E5014" s="164" t="str">
        <f>IFERROR(__xludf.DUMMYFUNCTION("""COMPUTED_VALUE"""),"")</f>
        <v/>
      </c>
      <c r="F5014" s="163"/>
      <c r="G5014" s="163"/>
      <c r="H5014" s="163"/>
      <c r="I5014" s="163"/>
      <c r="J5014" s="165"/>
      <c r="K5014" s="165"/>
      <c r="L5014" s="165"/>
      <c r="M5014" s="166"/>
      <c r="N5014" s="167"/>
      <c r="O5014" s="163"/>
      <c r="P5014" s="163"/>
      <c r="Q5014" s="163"/>
      <c r="R5014" s="163"/>
      <c r="S5014" s="161"/>
      <c r="T5014" s="161"/>
      <c r="U5014" s="161"/>
      <c r="V5014" s="161"/>
      <c r="W5014" s="161"/>
      <c r="X5014" s="161"/>
      <c r="Y5014" s="161"/>
      <c r="Z5014" s="168"/>
      <c r="AA5014" s="168"/>
      <c r="AB5014" s="168"/>
      <c r="AC5014" s="168"/>
    </row>
    <row r="5015">
      <c r="A5015" s="161"/>
      <c r="B5015" s="161"/>
      <c r="C5015" s="162"/>
      <c r="D5015" s="163"/>
      <c r="E5015" s="164" t="str">
        <f>IFERROR(__xludf.DUMMYFUNCTION("""COMPUTED_VALUE"""),"")</f>
        <v/>
      </c>
      <c r="F5015" s="163"/>
      <c r="G5015" s="163"/>
      <c r="H5015" s="163"/>
      <c r="I5015" s="163"/>
      <c r="J5015" s="165"/>
      <c r="K5015" s="165"/>
      <c r="L5015" s="165"/>
      <c r="M5015" s="166"/>
      <c r="N5015" s="167"/>
      <c r="O5015" s="163"/>
      <c r="P5015" s="163"/>
      <c r="Q5015" s="163"/>
      <c r="R5015" s="163"/>
      <c r="S5015" s="161"/>
      <c r="T5015" s="161"/>
      <c r="U5015" s="161"/>
      <c r="V5015" s="161"/>
      <c r="W5015" s="161"/>
      <c r="X5015" s="161"/>
      <c r="Y5015" s="161"/>
      <c r="Z5015" s="168"/>
      <c r="AA5015" s="168"/>
      <c r="AB5015" s="168"/>
      <c r="AC5015" s="168"/>
    </row>
    <row r="5016">
      <c r="A5016" s="161"/>
      <c r="B5016" s="161"/>
      <c r="C5016" s="162"/>
      <c r="D5016" s="163"/>
      <c r="E5016" s="164" t="str">
        <f>IFERROR(__xludf.DUMMYFUNCTION("""COMPUTED_VALUE"""),"")</f>
        <v/>
      </c>
      <c r="F5016" s="163"/>
      <c r="G5016" s="163"/>
      <c r="H5016" s="163"/>
      <c r="I5016" s="163"/>
      <c r="J5016" s="165"/>
      <c r="K5016" s="165"/>
      <c r="L5016" s="165"/>
      <c r="M5016" s="166"/>
      <c r="N5016" s="167"/>
      <c r="O5016" s="163"/>
      <c r="P5016" s="163"/>
      <c r="Q5016" s="163"/>
      <c r="R5016" s="163"/>
      <c r="S5016" s="161"/>
      <c r="T5016" s="161"/>
      <c r="U5016" s="161"/>
      <c r="V5016" s="161"/>
      <c r="W5016" s="161"/>
      <c r="X5016" s="161"/>
      <c r="Y5016" s="161"/>
      <c r="Z5016" s="168"/>
      <c r="AA5016" s="168"/>
      <c r="AB5016" s="168"/>
      <c r="AC5016" s="168"/>
    </row>
    <row r="5017">
      <c r="A5017" s="161"/>
      <c r="B5017" s="161"/>
      <c r="C5017" s="162"/>
      <c r="D5017" s="163"/>
      <c r="E5017" s="164" t="str">
        <f>IFERROR(__xludf.DUMMYFUNCTION("""COMPUTED_VALUE"""),"")</f>
        <v/>
      </c>
      <c r="F5017" s="163"/>
      <c r="G5017" s="163"/>
      <c r="H5017" s="163"/>
      <c r="I5017" s="163"/>
      <c r="J5017" s="165"/>
      <c r="K5017" s="165"/>
      <c r="L5017" s="165"/>
      <c r="M5017" s="166"/>
      <c r="N5017" s="167"/>
      <c r="O5017" s="163"/>
      <c r="P5017" s="163"/>
      <c r="Q5017" s="163"/>
      <c r="R5017" s="163"/>
      <c r="S5017" s="161"/>
      <c r="T5017" s="161"/>
      <c r="U5017" s="161"/>
      <c r="V5017" s="161"/>
      <c r="W5017" s="161"/>
      <c r="X5017" s="161"/>
      <c r="Y5017" s="161"/>
      <c r="Z5017" s="168"/>
      <c r="AA5017" s="168"/>
      <c r="AB5017" s="168"/>
      <c r="AC5017" s="168"/>
    </row>
    <row r="5018">
      <c r="A5018" s="161"/>
      <c r="B5018" s="161"/>
      <c r="C5018" s="162"/>
      <c r="D5018" s="163"/>
      <c r="E5018" s="164" t="str">
        <f>IFERROR(__xludf.DUMMYFUNCTION("""COMPUTED_VALUE"""),"")</f>
        <v/>
      </c>
      <c r="F5018" s="163"/>
      <c r="G5018" s="163"/>
      <c r="H5018" s="163"/>
      <c r="I5018" s="163"/>
      <c r="J5018" s="165"/>
      <c r="K5018" s="165"/>
      <c r="L5018" s="165"/>
      <c r="M5018" s="166"/>
      <c r="N5018" s="167"/>
      <c r="O5018" s="163"/>
      <c r="P5018" s="163"/>
      <c r="Q5018" s="163"/>
      <c r="R5018" s="163"/>
      <c r="S5018" s="161"/>
      <c r="T5018" s="161"/>
      <c r="U5018" s="161"/>
      <c r="V5018" s="161"/>
      <c r="W5018" s="161"/>
      <c r="X5018" s="161"/>
      <c r="Y5018" s="161"/>
      <c r="Z5018" s="168"/>
      <c r="AA5018" s="168"/>
      <c r="AB5018" s="168"/>
      <c r="AC5018" s="168"/>
    </row>
    <row r="5019">
      <c r="A5019" s="161"/>
      <c r="B5019" s="161"/>
      <c r="C5019" s="162"/>
      <c r="D5019" s="163"/>
      <c r="E5019" s="164" t="str">
        <f>IFERROR(__xludf.DUMMYFUNCTION("""COMPUTED_VALUE"""),"")</f>
        <v/>
      </c>
      <c r="F5019" s="163"/>
      <c r="G5019" s="163"/>
      <c r="H5019" s="163"/>
      <c r="I5019" s="163"/>
      <c r="J5019" s="165"/>
      <c r="K5019" s="165"/>
      <c r="L5019" s="165"/>
      <c r="M5019" s="166"/>
      <c r="N5019" s="167"/>
      <c r="O5019" s="163"/>
      <c r="P5019" s="163"/>
      <c r="Q5019" s="163"/>
      <c r="R5019" s="163"/>
      <c r="S5019" s="161"/>
      <c r="T5019" s="161"/>
      <c r="U5019" s="161"/>
      <c r="V5019" s="161"/>
      <c r="W5019" s="161"/>
      <c r="X5019" s="161"/>
      <c r="Y5019" s="161"/>
      <c r="Z5019" s="168"/>
      <c r="AA5019" s="168"/>
      <c r="AB5019" s="168"/>
      <c r="AC5019" s="168"/>
    </row>
    <row r="5020">
      <c r="A5020" s="161"/>
      <c r="B5020" s="161"/>
      <c r="C5020" s="162"/>
      <c r="D5020" s="163"/>
      <c r="E5020" s="164" t="str">
        <f>IFERROR(__xludf.DUMMYFUNCTION("""COMPUTED_VALUE"""),"")</f>
        <v/>
      </c>
      <c r="F5020" s="163"/>
      <c r="G5020" s="163"/>
      <c r="H5020" s="163"/>
      <c r="I5020" s="163"/>
      <c r="J5020" s="165"/>
      <c r="K5020" s="165"/>
      <c r="L5020" s="165"/>
      <c r="M5020" s="166"/>
      <c r="N5020" s="167"/>
      <c r="O5020" s="163"/>
      <c r="P5020" s="163"/>
      <c r="Q5020" s="163"/>
      <c r="R5020" s="163"/>
      <c r="S5020" s="161"/>
      <c r="T5020" s="161"/>
      <c r="U5020" s="161"/>
      <c r="V5020" s="161"/>
      <c r="W5020" s="161"/>
      <c r="X5020" s="161"/>
      <c r="Y5020" s="161"/>
      <c r="Z5020" s="168"/>
      <c r="AA5020" s="168"/>
      <c r="AB5020" s="168"/>
      <c r="AC5020" s="168"/>
    </row>
    <row r="5021">
      <c r="A5021" s="161"/>
      <c r="B5021" s="161"/>
      <c r="C5021" s="162"/>
      <c r="D5021" s="163"/>
      <c r="E5021" s="164" t="str">
        <f>IFERROR(__xludf.DUMMYFUNCTION("""COMPUTED_VALUE"""),"")</f>
        <v/>
      </c>
      <c r="F5021" s="163"/>
      <c r="G5021" s="163"/>
      <c r="H5021" s="163"/>
      <c r="I5021" s="163"/>
      <c r="J5021" s="165"/>
      <c r="K5021" s="165"/>
      <c r="L5021" s="165"/>
      <c r="M5021" s="166"/>
      <c r="N5021" s="167"/>
      <c r="O5021" s="163"/>
      <c r="P5021" s="163"/>
      <c r="Q5021" s="163"/>
      <c r="R5021" s="163"/>
      <c r="S5021" s="161"/>
      <c r="T5021" s="161"/>
      <c r="U5021" s="161"/>
      <c r="V5021" s="161"/>
      <c r="W5021" s="161"/>
      <c r="X5021" s="161"/>
      <c r="Y5021" s="161"/>
      <c r="Z5021" s="168"/>
      <c r="AA5021" s="168"/>
      <c r="AB5021" s="168"/>
      <c r="AC5021" s="168"/>
    </row>
    <row r="5022">
      <c r="A5022" s="161"/>
      <c r="B5022" s="161"/>
      <c r="C5022" s="162"/>
      <c r="D5022" s="163"/>
      <c r="E5022" s="164" t="str">
        <f>IFERROR(__xludf.DUMMYFUNCTION("""COMPUTED_VALUE"""),"")</f>
        <v/>
      </c>
      <c r="F5022" s="163"/>
      <c r="G5022" s="163"/>
      <c r="H5022" s="163"/>
      <c r="I5022" s="163"/>
      <c r="J5022" s="165"/>
      <c r="K5022" s="165"/>
      <c r="L5022" s="165"/>
      <c r="M5022" s="166"/>
      <c r="N5022" s="167"/>
      <c r="O5022" s="163"/>
      <c r="P5022" s="163"/>
      <c r="Q5022" s="163"/>
      <c r="R5022" s="163"/>
      <c r="S5022" s="161"/>
      <c r="T5022" s="161"/>
      <c r="U5022" s="161"/>
      <c r="V5022" s="161"/>
      <c r="W5022" s="161"/>
      <c r="X5022" s="161"/>
      <c r="Y5022" s="161"/>
      <c r="Z5022" s="168"/>
      <c r="AA5022" s="168"/>
      <c r="AB5022" s="168"/>
      <c r="AC5022" s="168"/>
    </row>
    <row r="5023">
      <c r="A5023" s="161"/>
      <c r="B5023" s="161"/>
      <c r="C5023" s="162"/>
      <c r="D5023" s="163"/>
      <c r="E5023" s="164" t="str">
        <f>IFERROR(__xludf.DUMMYFUNCTION("""COMPUTED_VALUE"""),"")</f>
        <v/>
      </c>
      <c r="F5023" s="163"/>
      <c r="G5023" s="163"/>
      <c r="H5023" s="163"/>
      <c r="I5023" s="163"/>
      <c r="J5023" s="165"/>
      <c r="K5023" s="165"/>
      <c r="L5023" s="165"/>
      <c r="M5023" s="166"/>
      <c r="N5023" s="167"/>
      <c r="O5023" s="163"/>
      <c r="P5023" s="163"/>
      <c r="Q5023" s="163"/>
      <c r="R5023" s="163"/>
      <c r="S5023" s="161"/>
      <c r="T5023" s="161"/>
      <c r="U5023" s="161"/>
      <c r="V5023" s="161"/>
      <c r="W5023" s="161"/>
      <c r="X5023" s="161"/>
      <c r="Y5023" s="161"/>
      <c r="Z5023" s="168"/>
      <c r="AA5023" s="168"/>
      <c r="AB5023" s="168"/>
      <c r="AC5023" s="168"/>
    </row>
    <row r="5024">
      <c r="A5024" s="161"/>
      <c r="B5024" s="161"/>
      <c r="C5024" s="162"/>
      <c r="D5024" s="163"/>
      <c r="E5024" s="164" t="str">
        <f>IFERROR(__xludf.DUMMYFUNCTION("""COMPUTED_VALUE"""),"")</f>
        <v/>
      </c>
      <c r="F5024" s="163"/>
      <c r="G5024" s="163"/>
      <c r="H5024" s="163"/>
      <c r="I5024" s="163"/>
      <c r="J5024" s="165"/>
      <c r="K5024" s="165"/>
      <c r="L5024" s="165"/>
      <c r="M5024" s="166"/>
      <c r="N5024" s="167"/>
      <c r="O5024" s="163"/>
      <c r="P5024" s="163"/>
      <c r="Q5024" s="163"/>
      <c r="R5024" s="163"/>
      <c r="S5024" s="161"/>
      <c r="T5024" s="161"/>
      <c r="U5024" s="161"/>
      <c r="V5024" s="161"/>
      <c r="W5024" s="161"/>
      <c r="X5024" s="161"/>
      <c r="Y5024" s="161"/>
      <c r="Z5024" s="168"/>
      <c r="AA5024" s="168"/>
      <c r="AB5024" s="168"/>
      <c r="AC5024" s="168"/>
    </row>
    <row r="5025">
      <c r="A5025" s="161"/>
      <c r="B5025" s="161"/>
      <c r="C5025" s="162"/>
      <c r="D5025" s="163"/>
      <c r="E5025" s="164" t="str">
        <f>IFERROR(__xludf.DUMMYFUNCTION("""COMPUTED_VALUE"""),"")</f>
        <v/>
      </c>
      <c r="F5025" s="163"/>
      <c r="G5025" s="163"/>
      <c r="H5025" s="163"/>
      <c r="I5025" s="163"/>
      <c r="J5025" s="165"/>
      <c r="K5025" s="165"/>
      <c r="L5025" s="165"/>
      <c r="M5025" s="166"/>
      <c r="N5025" s="167"/>
      <c r="O5025" s="163"/>
      <c r="P5025" s="163"/>
      <c r="Q5025" s="163"/>
      <c r="R5025" s="163"/>
      <c r="S5025" s="161"/>
      <c r="T5025" s="161"/>
      <c r="U5025" s="161"/>
      <c r="V5025" s="161"/>
      <c r="W5025" s="161"/>
      <c r="X5025" s="161"/>
      <c r="Y5025" s="161"/>
      <c r="Z5025" s="168"/>
      <c r="AA5025" s="168"/>
      <c r="AB5025" s="168"/>
      <c r="AC5025" s="168"/>
    </row>
    <row r="5026">
      <c r="A5026" s="161"/>
      <c r="B5026" s="161"/>
      <c r="C5026" s="162"/>
      <c r="D5026" s="163"/>
      <c r="E5026" s="164" t="str">
        <f>IFERROR(__xludf.DUMMYFUNCTION("""COMPUTED_VALUE"""),"")</f>
        <v/>
      </c>
      <c r="F5026" s="163"/>
      <c r="G5026" s="163"/>
      <c r="H5026" s="163"/>
      <c r="I5026" s="163"/>
      <c r="J5026" s="165"/>
      <c r="K5026" s="165"/>
      <c r="L5026" s="165"/>
      <c r="M5026" s="166"/>
      <c r="N5026" s="167"/>
      <c r="O5026" s="163"/>
      <c r="P5026" s="163"/>
      <c r="Q5026" s="163"/>
      <c r="R5026" s="163"/>
      <c r="S5026" s="161"/>
      <c r="T5026" s="161"/>
      <c r="U5026" s="161"/>
      <c r="V5026" s="161"/>
      <c r="W5026" s="161"/>
      <c r="X5026" s="161"/>
      <c r="Y5026" s="161"/>
      <c r="Z5026" s="168"/>
      <c r="AA5026" s="168"/>
      <c r="AB5026" s="168"/>
      <c r="AC5026" s="168"/>
    </row>
    <row r="5027">
      <c r="A5027" s="161"/>
      <c r="B5027" s="161"/>
      <c r="C5027" s="162"/>
      <c r="D5027" s="163"/>
      <c r="E5027" s="164" t="str">
        <f>IFERROR(__xludf.DUMMYFUNCTION("""COMPUTED_VALUE"""),"")</f>
        <v/>
      </c>
      <c r="F5027" s="163"/>
      <c r="G5027" s="163"/>
      <c r="H5027" s="163"/>
      <c r="I5027" s="163"/>
      <c r="J5027" s="165"/>
      <c r="K5027" s="165"/>
      <c r="L5027" s="165"/>
      <c r="M5027" s="166"/>
      <c r="N5027" s="167"/>
      <c r="O5027" s="163"/>
      <c r="P5027" s="163"/>
      <c r="Q5027" s="163"/>
      <c r="R5027" s="163"/>
      <c r="S5027" s="161"/>
      <c r="T5027" s="161"/>
      <c r="U5027" s="161"/>
      <c r="V5027" s="161"/>
      <c r="W5027" s="161"/>
      <c r="X5027" s="161"/>
      <c r="Y5027" s="161"/>
      <c r="Z5027" s="168"/>
      <c r="AA5027" s="168"/>
      <c r="AB5027" s="168"/>
      <c r="AC5027" s="168"/>
    </row>
    <row r="5028">
      <c r="A5028" s="161"/>
      <c r="B5028" s="161"/>
      <c r="C5028" s="162"/>
      <c r="D5028" s="163"/>
      <c r="E5028" s="164" t="str">
        <f>IFERROR(__xludf.DUMMYFUNCTION("""COMPUTED_VALUE"""),"")</f>
        <v/>
      </c>
      <c r="F5028" s="163"/>
      <c r="G5028" s="163"/>
      <c r="H5028" s="163"/>
      <c r="I5028" s="163"/>
      <c r="J5028" s="165"/>
      <c r="K5028" s="165"/>
      <c r="L5028" s="165"/>
      <c r="M5028" s="166"/>
      <c r="N5028" s="167"/>
      <c r="O5028" s="163"/>
      <c r="P5028" s="163"/>
      <c r="Q5028" s="163"/>
      <c r="R5028" s="163"/>
      <c r="S5028" s="161"/>
      <c r="T5028" s="161"/>
      <c r="U5028" s="161"/>
      <c r="V5028" s="161"/>
      <c r="W5028" s="161"/>
      <c r="X5028" s="161"/>
      <c r="Y5028" s="161"/>
      <c r="Z5028" s="168"/>
      <c r="AA5028" s="168"/>
      <c r="AB5028" s="168"/>
      <c r="AC5028" s="168"/>
    </row>
    <row r="5029">
      <c r="A5029" s="161"/>
      <c r="B5029" s="161"/>
      <c r="C5029" s="162"/>
      <c r="D5029" s="163"/>
      <c r="E5029" s="164" t="str">
        <f>IFERROR(__xludf.DUMMYFUNCTION("""COMPUTED_VALUE"""),"")</f>
        <v/>
      </c>
      <c r="F5029" s="163"/>
      <c r="G5029" s="163"/>
      <c r="H5029" s="163"/>
      <c r="I5029" s="163"/>
      <c r="J5029" s="165"/>
      <c r="K5029" s="165"/>
      <c r="L5029" s="165"/>
      <c r="M5029" s="166"/>
      <c r="N5029" s="167"/>
      <c r="O5029" s="163"/>
      <c r="P5029" s="163"/>
      <c r="Q5029" s="163"/>
      <c r="R5029" s="163"/>
      <c r="S5029" s="161"/>
      <c r="T5029" s="161"/>
      <c r="U5029" s="161"/>
      <c r="V5029" s="161"/>
      <c r="W5029" s="161"/>
      <c r="X5029" s="161"/>
      <c r="Y5029" s="161"/>
      <c r="Z5029" s="168"/>
      <c r="AA5029" s="168"/>
      <c r="AB5029" s="168"/>
      <c r="AC5029" s="168"/>
    </row>
    <row r="5030">
      <c r="A5030" s="161"/>
      <c r="B5030" s="161"/>
      <c r="C5030" s="162"/>
      <c r="D5030" s="163"/>
      <c r="E5030" s="164" t="str">
        <f>IFERROR(__xludf.DUMMYFUNCTION("""COMPUTED_VALUE"""),"")</f>
        <v/>
      </c>
      <c r="F5030" s="163"/>
      <c r="G5030" s="163"/>
      <c r="H5030" s="163"/>
      <c r="I5030" s="163"/>
      <c r="J5030" s="165"/>
      <c r="K5030" s="165"/>
      <c r="L5030" s="165"/>
      <c r="M5030" s="166"/>
      <c r="N5030" s="167"/>
      <c r="O5030" s="163"/>
      <c r="P5030" s="163"/>
      <c r="Q5030" s="163"/>
      <c r="R5030" s="163"/>
      <c r="S5030" s="161"/>
      <c r="T5030" s="161"/>
      <c r="U5030" s="161"/>
      <c r="V5030" s="161"/>
      <c r="W5030" s="161"/>
      <c r="X5030" s="161"/>
      <c r="Y5030" s="161"/>
      <c r="Z5030" s="168"/>
      <c r="AA5030" s="168"/>
      <c r="AB5030" s="168"/>
      <c r="AC5030" s="168"/>
    </row>
    <row r="5031">
      <c r="A5031" s="161"/>
      <c r="B5031" s="161"/>
      <c r="C5031" s="162"/>
      <c r="D5031" s="163"/>
      <c r="E5031" s="164" t="str">
        <f>IFERROR(__xludf.DUMMYFUNCTION("""COMPUTED_VALUE"""),"")</f>
        <v/>
      </c>
      <c r="F5031" s="163"/>
      <c r="G5031" s="163"/>
      <c r="H5031" s="163"/>
      <c r="I5031" s="163"/>
      <c r="J5031" s="165"/>
      <c r="K5031" s="165"/>
      <c r="L5031" s="165"/>
      <c r="M5031" s="166"/>
      <c r="N5031" s="167"/>
      <c r="O5031" s="163"/>
      <c r="P5031" s="163"/>
      <c r="Q5031" s="163"/>
      <c r="R5031" s="163"/>
      <c r="S5031" s="161"/>
      <c r="T5031" s="161"/>
      <c r="U5031" s="161"/>
      <c r="V5031" s="161"/>
      <c r="W5031" s="161"/>
      <c r="X5031" s="161"/>
      <c r="Y5031" s="161"/>
      <c r="Z5031" s="168"/>
      <c r="AA5031" s="168"/>
      <c r="AB5031" s="168"/>
      <c r="AC5031" s="168"/>
    </row>
    <row r="5032">
      <c r="A5032" s="161"/>
      <c r="B5032" s="161"/>
      <c r="C5032" s="162"/>
      <c r="D5032" s="163"/>
      <c r="E5032" s="164" t="str">
        <f>IFERROR(__xludf.DUMMYFUNCTION("""COMPUTED_VALUE"""),"")</f>
        <v/>
      </c>
      <c r="F5032" s="163"/>
      <c r="G5032" s="163"/>
      <c r="H5032" s="163"/>
      <c r="I5032" s="163"/>
      <c r="J5032" s="165"/>
      <c r="K5032" s="165"/>
      <c r="L5032" s="165"/>
      <c r="M5032" s="166"/>
      <c r="N5032" s="167"/>
      <c r="O5032" s="163"/>
      <c r="P5032" s="163"/>
      <c r="Q5032" s="163"/>
      <c r="R5032" s="163"/>
      <c r="S5032" s="161"/>
      <c r="T5032" s="161"/>
      <c r="U5032" s="161"/>
      <c r="V5032" s="161"/>
      <c r="W5032" s="161"/>
      <c r="X5032" s="161"/>
      <c r="Y5032" s="161"/>
      <c r="Z5032" s="168"/>
      <c r="AA5032" s="168"/>
      <c r="AB5032" s="168"/>
      <c r="AC5032" s="168"/>
    </row>
    <row r="5033">
      <c r="A5033" s="161"/>
      <c r="B5033" s="161"/>
      <c r="C5033" s="162"/>
      <c r="D5033" s="163"/>
      <c r="E5033" s="164" t="str">
        <f>IFERROR(__xludf.DUMMYFUNCTION("""COMPUTED_VALUE"""),"")</f>
        <v/>
      </c>
      <c r="F5033" s="163"/>
      <c r="G5033" s="163"/>
      <c r="H5033" s="163"/>
      <c r="I5033" s="163"/>
      <c r="J5033" s="165"/>
      <c r="K5033" s="165"/>
      <c r="L5033" s="165"/>
      <c r="M5033" s="166"/>
      <c r="N5033" s="167"/>
      <c r="O5033" s="163"/>
      <c r="P5033" s="163"/>
      <c r="Q5033" s="163"/>
      <c r="R5033" s="163"/>
      <c r="S5033" s="161"/>
      <c r="T5033" s="161"/>
      <c r="U5033" s="161"/>
      <c r="V5033" s="161"/>
      <c r="W5033" s="161"/>
      <c r="X5033" s="161"/>
      <c r="Y5033" s="161"/>
      <c r="Z5033" s="168"/>
      <c r="AA5033" s="168"/>
      <c r="AB5033" s="168"/>
      <c r="AC5033" s="168"/>
    </row>
    <row r="5034">
      <c r="A5034" s="161"/>
      <c r="B5034" s="161"/>
      <c r="C5034" s="162"/>
      <c r="D5034" s="163"/>
      <c r="E5034" s="164" t="str">
        <f>IFERROR(__xludf.DUMMYFUNCTION("""COMPUTED_VALUE"""),"")</f>
        <v/>
      </c>
      <c r="F5034" s="163"/>
      <c r="G5034" s="163"/>
      <c r="H5034" s="163"/>
      <c r="I5034" s="163"/>
      <c r="J5034" s="165"/>
      <c r="K5034" s="165"/>
      <c r="L5034" s="165"/>
      <c r="M5034" s="166"/>
      <c r="N5034" s="167"/>
      <c r="O5034" s="163"/>
      <c r="P5034" s="163"/>
      <c r="Q5034" s="163"/>
      <c r="R5034" s="163"/>
      <c r="S5034" s="161"/>
      <c r="T5034" s="161"/>
      <c r="U5034" s="161"/>
      <c r="V5034" s="161"/>
      <c r="W5034" s="161"/>
      <c r="X5034" s="161"/>
      <c r="Y5034" s="161"/>
      <c r="Z5034" s="168"/>
      <c r="AA5034" s="168"/>
      <c r="AB5034" s="168"/>
      <c r="AC5034" s="168"/>
    </row>
    <row r="5035">
      <c r="A5035" s="161"/>
      <c r="B5035" s="161"/>
      <c r="C5035" s="162"/>
      <c r="D5035" s="163"/>
      <c r="E5035" s="164" t="str">
        <f>IFERROR(__xludf.DUMMYFUNCTION("""COMPUTED_VALUE"""),"")</f>
        <v/>
      </c>
      <c r="F5035" s="163"/>
      <c r="G5035" s="163"/>
      <c r="H5035" s="163"/>
      <c r="I5035" s="163"/>
      <c r="J5035" s="165"/>
      <c r="K5035" s="165"/>
      <c r="L5035" s="165"/>
      <c r="M5035" s="166"/>
      <c r="N5035" s="167"/>
      <c r="O5035" s="163"/>
      <c r="P5035" s="163"/>
      <c r="Q5035" s="163"/>
      <c r="R5035" s="163"/>
      <c r="S5035" s="161"/>
      <c r="T5035" s="161"/>
      <c r="U5035" s="161"/>
      <c r="V5035" s="161"/>
      <c r="W5035" s="161"/>
      <c r="X5035" s="161"/>
      <c r="Y5035" s="161"/>
      <c r="Z5035" s="168"/>
      <c r="AA5035" s="168"/>
      <c r="AB5035" s="168"/>
      <c r="AC5035" s="168"/>
    </row>
    <row r="5036">
      <c r="A5036" s="161"/>
      <c r="B5036" s="161"/>
      <c r="C5036" s="162"/>
      <c r="D5036" s="163"/>
      <c r="E5036" s="164" t="str">
        <f>IFERROR(__xludf.DUMMYFUNCTION("""COMPUTED_VALUE"""),"")</f>
        <v/>
      </c>
      <c r="F5036" s="163"/>
      <c r="G5036" s="163"/>
      <c r="H5036" s="163"/>
      <c r="I5036" s="163"/>
      <c r="J5036" s="165"/>
      <c r="K5036" s="165"/>
      <c r="L5036" s="165"/>
      <c r="M5036" s="166"/>
      <c r="N5036" s="167"/>
      <c r="O5036" s="163"/>
      <c r="P5036" s="163"/>
      <c r="Q5036" s="163"/>
      <c r="R5036" s="163"/>
      <c r="S5036" s="161"/>
      <c r="T5036" s="161"/>
      <c r="U5036" s="161"/>
      <c r="V5036" s="161"/>
      <c r="W5036" s="161"/>
      <c r="X5036" s="161"/>
      <c r="Y5036" s="161"/>
      <c r="Z5036" s="168"/>
      <c r="AA5036" s="168"/>
      <c r="AB5036" s="168"/>
      <c r="AC5036" s="168"/>
    </row>
    <row r="5037">
      <c r="A5037" s="161"/>
      <c r="B5037" s="161"/>
      <c r="C5037" s="162"/>
      <c r="D5037" s="163"/>
      <c r="E5037" s="164" t="str">
        <f>IFERROR(__xludf.DUMMYFUNCTION("""COMPUTED_VALUE"""),"")</f>
        <v/>
      </c>
      <c r="F5037" s="163"/>
      <c r="G5037" s="163"/>
      <c r="H5037" s="163"/>
      <c r="I5037" s="163"/>
      <c r="J5037" s="165"/>
      <c r="K5037" s="165"/>
      <c r="L5037" s="165"/>
      <c r="M5037" s="166"/>
      <c r="N5037" s="167"/>
      <c r="O5037" s="163"/>
      <c r="P5037" s="163"/>
      <c r="Q5037" s="163"/>
      <c r="R5037" s="163"/>
      <c r="S5037" s="161"/>
      <c r="T5037" s="161"/>
      <c r="U5037" s="161"/>
      <c r="V5037" s="161"/>
      <c r="W5037" s="161"/>
      <c r="X5037" s="161"/>
      <c r="Y5037" s="161"/>
      <c r="Z5037" s="168"/>
      <c r="AA5037" s="168"/>
      <c r="AB5037" s="168"/>
      <c r="AC5037" s="168"/>
    </row>
    <row r="5038">
      <c r="A5038" s="161"/>
      <c r="B5038" s="161"/>
      <c r="C5038" s="162"/>
      <c r="D5038" s="163"/>
      <c r="E5038" s="164" t="str">
        <f>IFERROR(__xludf.DUMMYFUNCTION("""COMPUTED_VALUE"""),"")</f>
        <v/>
      </c>
      <c r="F5038" s="163"/>
      <c r="G5038" s="163"/>
      <c r="H5038" s="163"/>
      <c r="I5038" s="163"/>
      <c r="J5038" s="165"/>
      <c r="K5038" s="165"/>
      <c r="L5038" s="165"/>
      <c r="M5038" s="166"/>
      <c r="N5038" s="167"/>
      <c r="O5038" s="163"/>
      <c r="P5038" s="163"/>
      <c r="Q5038" s="163"/>
      <c r="R5038" s="163"/>
      <c r="S5038" s="161"/>
      <c r="T5038" s="161"/>
      <c r="U5038" s="161"/>
      <c r="V5038" s="161"/>
      <c r="W5038" s="161"/>
      <c r="X5038" s="161"/>
      <c r="Y5038" s="161"/>
      <c r="Z5038" s="168"/>
      <c r="AA5038" s="168"/>
      <c r="AB5038" s="168"/>
      <c r="AC5038" s="168"/>
    </row>
    <row r="5039">
      <c r="A5039" s="161"/>
      <c r="B5039" s="161"/>
      <c r="C5039" s="162"/>
      <c r="D5039" s="163"/>
      <c r="E5039" s="164" t="str">
        <f>IFERROR(__xludf.DUMMYFUNCTION("""COMPUTED_VALUE"""),"")</f>
        <v/>
      </c>
      <c r="F5039" s="163"/>
      <c r="G5039" s="163"/>
      <c r="H5039" s="163"/>
      <c r="I5039" s="163"/>
      <c r="J5039" s="165"/>
      <c r="K5039" s="165"/>
      <c r="L5039" s="165"/>
      <c r="M5039" s="166"/>
      <c r="N5039" s="167"/>
      <c r="O5039" s="163"/>
      <c r="P5039" s="163"/>
      <c r="Q5039" s="163"/>
      <c r="R5039" s="163"/>
      <c r="S5039" s="161"/>
      <c r="T5039" s="161"/>
      <c r="U5039" s="161"/>
      <c r="V5039" s="161"/>
      <c r="W5039" s="161"/>
      <c r="X5039" s="161"/>
      <c r="Y5039" s="161"/>
      <c r="Z5039" s="168"/>
      <c r="AA5039" s="168"/>
      <c r="AB5039" s="168"/>
      <c r="AC5039" s="168"/>
    </row>
    <row r="5040">
      <c r="A5040" s="161"/>
      <c r="B5040" s="161"/>
      <c r="C5040" s="162"/>
      <c r="D5040" s="163"/>
      <c r="E5040" s="164" t="str">
        <f>IFERROR(__xludf.DUMMYFUNCTION("""COMPUTED_VALUE"""),"")</f>
        <v/>
      </c>
      <c r="F5040" s="163"/>
      <c r="G5040" s="163"/>
      <c r="H5040" s="163"/>
      <c r="I5040" s="163"/>
      <c r="J5040" s="165"/>
      <c r="K5040" s="165"/>
      <c r="L5040" s="165"/>
      <c r="M5040" s="166"/>
      <c r="N5040" s="167"/>
      <c r="O5040" s="163"/>
      <c r="P5040" s="163"/>
      <c r="Q5040" s="163"/>
      <c r="R5040" s="163"/>
      <c r="S5040" s="161"/>
      <c r="T5040" s="161"/>
      <c r="U5040" s="161"/>
      <c r="V5040" s="161"/>
      <c r="W5040" s="161"/>
      <c r="X5040" s="161"/>
      <c r="Y5040" s="161"/>
      <c r="Z5040" s="168"/>
      <c r="AA5040" s="168"/>
      <c r="AB5040" s="168"/>
      <c r="AC5040" s="168"/>
    </row>
    <row r="5041">
      <c r="A5041" s="161"/>
      <c r="B5041" s="161"/>
      <c r="C5041" s="162"/>
      <c r="D5041" s="163"/>
      <c r="E5041" s="164" t="str">
        <f>IFERROR(__xludf.DUMMYFUNCTION("""COMPUTED_VALUE"""),"")</f>
        <v/>
      </c>
      <c r="F5041" s="163"/>
      <c r="G5041" s="163"/>
      <c r="H5041" s="163"/>
      <c r="I5041" s="163"/>
      <c r="J5041" s="165"/>
      <c r="K5041" s="165"/>
      <c r="L5041" s="165"/>
      <c r="M5041" s="166"/>
      <c r="N5041" s="167"/>
      <c r="O5041" s="163"/>
      <c r="P5041" s="163"/>
      <c r="Q5041" s="163"/>
      <c r="R5041" s="163"/>
      <c r="S5041" s="161"/>
      <c r="T5041" s="161"/>
      <c r="U5041" s="161"/>
      <c r="V5041" s="161"/>
      <c r="W5041" s="161"/>
      <c r="X5041" s="161"/>
      <c r="Y5041" s="161"/>
      <c r="Z5041" s="168"/>
      <c r="AA5041" s="168"/>
      <c r="AB5041" s="168"/>
      <c r="AC5041" s="168"/>
    </row>
    <row r="5042">
      <c r="A5042" s="161"/>
      <c r="B5042" s="161"/>
      <c r="C5042" s="162"/>
      <c r="D5042" s="163"/>
      <c r="E5042" s="164" t="str">
        <f>IFERROR(__xludf.DUMMYFUNCTION("""COMPUTED_VALUE"""),"")</f>
        <v/>
      </c>
      <c r="F5042" s="163"/>
      <c r="G5042" s="163"/>
      <c r="H5042" s="163"/>
      <c r="I5042" s="163"/>
      <c r="J5042" s="165"/>
      <c r="K5042" s="165"/>
      <c r="L5042" s="165"/>
      <c r="M5042" s="166"/>
      <c r="N5042" s="167"/>
      <c r="O5042" s="163"/>
      <c r="P5042" s="163"/>
      <c r="Q5042" s="163"/>
      <c r="R5042" s="163"/>
      <c r="S5042" s="161"/>
      <c r="T5042" s="161"/>
      <c r="U5042" s="161"/>
      <c r="V5042" s="161"/>
      <c r="W5042" s="161"/>
      <c r="X5042" s="161"/>
      <c r="Y5042" s="161"/>
      <c r="Z5042" s="168"/>
      <c r="AA5042" s="168"/>
      <c r="AB5042" s="168"/>
      <c r="AC5042" s="168"/>
    </row>
    <row r="5043">
      <c r="A5043" s="161"/>
      <c r="B5043" s="161"/>
      <c r="C5043" s="162"/>
      <c r="D5043" s="163"/>
      <c r="E5043" s="164" t="str">
        <f>IFERROR(__xludf.DUMMYFUNCTION("""COMPUTED_VALUE"""),"")</f>
        <v/>
      </c>
      <c r="F5043" s="163"/>
      <c r="G5043" s="163"/>
      <c r="H5043" s="163"/>
      <c r="I5043" s="163"/>
      <c r="J5043" s="165"/>
      <c r="K5043" s="165"/>
      <c r="L5043" s="165"/>
      <c r="M5043" s="166"/>
      <c r="N5043" s="167"/>
      <c r="O5043" s="163"/>
      <c r="P5043" s="163"/>
      <c r="Q5043" s="163"/>
      <c r="R5043" s="163"/>
      <c r="S5043" s="161"/>
      <c r="T5043" s="161"/>
      <c r="U5043" s="161"/>
      <c r="V5043" s="161"/>
      <c r="W5043" s="161"/>
      <c r="X5043" s="161"/>
      <c r="Y5043" s="161"/>
      <c r="Z5043" s="168"/>
      <c r="AA5043" s="168"/>
      <c r="AB5043" s="168"/>
      <c r="AC5043" s="168"/>
    </row>
    <row r="5044">
      <c r="A5044" s="161"/>
      <c r="B5044" s="161"/>
      <c r="C5044" s="162"/>
      <c r="D5044" s="163"/>
      <c r="E5044" s="164" t="str">
        <f>IFERROR(__xludf.DUMMYFUNCTION("""COMPUTED_VALUE"""),"")</f>
        <v/>
      </c>
      <c r="F5044" s="163"/>
      <c r="G5044" s="163"/>
      <c r="H5044" s="163"/>
      <c r="I5044" s="163"/>
      <c r="J5044" s="165"/>
      <c r="K5044" s="165"/>
      <c r="L5044" s="165"/>
      <c r="M5044" s="166"/>
      <c r="N5044" s="167"/>
      <c r="O5044" s="163"/>
      <c r="P5044" s="163"/>
      <c r="Q5044" s="163"/>
      <c r="R5044" s="163"/>
      <c r="S5044" s="161"/>
      <c r="T5044" s="161"/>
      <c r="U5044" s="161"/>
      <c r="V5044" s="161"/>
      <c r="W5044" s="161"/>
      <c r="X5044" s="161"/>
      <c r="Y5044" s="161"/>
      <c r="Z5044" s="168"/>
      <c r="AA5044" s="168"/>
      <c r="AB5044" s="168"/>
      <c r="AC5044" s="168"/>
    </row>
    <row r="5045">
      <c r="A5045" s="161"/>
      <c r="B5045" s="161"/>
      <c r="C5045" s="162"/>
      <c r="D5045" s="163"/>
      <c r="E5045" s="164" t="str">
        <f>IFERROR(__xludf.DUMMYFUNCTION("""COMPUTED_VALUE"""),"")</f>
        <v/>
      </c>
      <c r="F5045" s="163"/>
      <c r="G5045" s="163"/>
      <c r="H5045" s="163"/>
      <c r="I5045" s="163"/>
      <c r="J5045" s="165"/>
      <c r="K5045" s="165"/>
      <c r="L5045" s="165"/>
      <c r="M5045" s="166"/>
      <c r="N5045" s="167"/>
      <c r="O5045" s="163"/>
      <c r="P5045" s="163"/>
      <c r="Q5045" s="163"/>
      <c r="R5045" s="163"/>
      <c r="S5045" s="161"/>
      <c r="T5045" s="161"/>
      <c r="U5045" s="161"/>
      <c r="V5045" s="161"/>
      <c r="W5045" s="161"/>
      <c r="X5045" s="161"/>
      <c r="Y5045" s="161"/>
      <c r="Z5045" s="168"/>
      <c r="AA5045" s="168"/>
      <c r="AB5045" s="168"/>
      <c r="AC5045" s="168"/>
    </row>
    <row r="5046">
      <c r="A5046" s="161"/>
      <c r="B5046" s="161"/>
      <c r="C5046" s="162"/>
      <c r="D5046" s="163"/>
      <c r="E5046" s="164" t="str">
        <f>IFERROR(__xludf.DUMMYFUNCTION("""COMPUTED_VALUE"""),"")</f>
        <v/>
      </c>
      <c r="F5046" s="163"/>
      <c r="G5046" s="163"/>
      <c r="H5046" s="163"/>
      <c r="I5046" s="163"/>
      <c r="J5046" s="165"/>
      <c r="K5046" s="165"/>
      <c r="L5046" s="165"/>
      <c r="M5046" s="166"/>
      <c r="N5046" s="167"/>
      <c r="O5046" s="163"/>
      <c r="P5046" s="163"/>
      <c r="Q5046" s="163"/>
      <c r="R5046" s="163"/>
      <c r="S5046" s="161"/>
      <c r="T5046" s="161"/>
      <c r="U5046" s="161"/>
      <c r="V5046" s="161"/>
      <c r="W5046" s="161"/>
      <c r="X5046" s="161"/>
      <c r="Y5046" s="161"/>
      <c r="Z5046" s="168"/>
      <c r="AA5046" s="168"/>
      <c r="AB5046" s="168"/>
      <c r="AC5046" s="168"/>
    </row>
    <row r="5047">
      <c r="A5047" s="161"/>
      <c r="B5047" s="161"/>
      <c r="C5047" s="162"/>
      <c r="D5047" s="163"/>
      <c r="E5047" s="164" t="str">
        <f>IFERROR(__xludf.DUMMYFUNCTION("""COMPUTED_VALUE"""),"")</f>
        <v/>
      </c>
      <c r="F5047" s="163"/>
      <c r="G5047" s="163"/>
      <c r="H5047" s="163"/>
      <c r="I5047" s="163"/>
      <c r="J5047" s="165"/>
      <c r="K5047" s="165"/>
      <c r="L5047" s="165"/>
      <c r="M5047" s="166"/>
      <c r="N5047" s="167"/>
      <c r="O5047" s="163"/>
      <c r="P5047" s="163"/>
      <c r="Q5047" s="163"/>
      <c r="R5047" s="163"/>
      <c r="S5047" s="161"/>
      <c r="T5047" s="161"/>
      <c r="U5047" s="161"/>
      <c r="V5047" s="161"/>
      <c r="W5047" s="161"/>
      <c r="X5047" s="161"/>
      <c r="Y5047" s="161"/>
      <c r="Z5047" s="168"/>
      <c r="AA5047" s="168"/>
      <c r="AB5047" s="168"/>
      <c r="AC5047" s="168"/>
    </row>
    <row r="5048">
      <c r="A5048" s="161"/>
      <c r="B5048" s="161"/>
      <c r="C5048" s="162"/>
      <c r="D5048" s="163"/>
      <c r="E5048" s="164" t="str">
        <f>IFERROR(__xludf.DUMMYFUNCTION("""COMPUTED_VALUE"""),"")</f>
        <v/>
      </c>
      <c r="F5048" s="163"/>
      <c r="G5048" s="163"/>
      <c r="H5048" s="163"/>
      <c r="I5048" s="163"/>
      <c r="J5048" s="165"/>
      <c r="K5048" s="165"/>
      <c r="L5048" s="165"/>
      <c r="M5048" s="166"/>
      <c r="N5048" s="167"/>
      <c r="O5048" s="163"/>
      <c r="P5048" s="163"/>
      <c r="Q5048" s="163"/>
      <c r="R5048" s="163"/>
      <c r="S5048" s="161"/>
      <c r="T5048" s="161"/>
      <c r="U5048" s="161"/>
      <c r="V5048" s="161"/>
      <c r="W5048" s="161"/>
      <c r="X5048" s="161"/>
      <c r="Y5048" s="161"/>
      <c r="Z5048" s="168"/>
      <c r="AA5048" s="168"/>
      <c r="AB5048" s="168"/>
      <c r="AC5048" s="168"/>
    </row>
    <row r="5049">
      <c r="A5049" s="161"/>
      <c r="B5049" s="161"/>
      <c r="C5049" s="162"/>
      <c r="D5049" s="163"/>
      <c r="E5049" s="164" t="str">
        <f>IFERROR(__xludf.DUMMYFUNCTION("""COMPUTED_VALUE"""),"")</f>
        <v/>
      </c>
      <c r="F5049" s="163"/>
      <c r="G5049" s="163"/>
      <c r="H5049" s="163"/>
      <c r="I5049" s="163"/>
      <c r="J5049" s="165"/>
      <c r="K5049" s="165"/>
      <c r="L5049" s="165"/>
      <c r="M5049" s="166"/>
      <c r="N5049" s="167"/>
      <c r="O5049" s="163"/>
      <c r="P5049" s="163"/>
      <c r="Q5049" s="163"/>
      <c r="R5049" s="163"/>
      <c r="S5049" s="161"/>
      <c r="T5049" s="161"/>
      <c r="U5049" s="161"/>
      <c r="V5049" s="161"/>
      <c r="W5049" s="161"/>
      <c r="X5049" s="161"/>
      <c r="Y5049" s="161"/>
      <c r="Z5049" s="168"/>
      <c r="AA5049" s="168"/>
      <c r="AB5049" s="168"/>
      <c r="AC5049" s="168"/>
    </row>
    <row r="5050">
      <c r="A5050" s="161"/>
      <c r="B5050" s="161"/>
      <c r="C5050" s="162"/>
      <c r="D5050" s="163"/>
      <c r="E5050" s="164" t="str">
        <f>IFERROR(__xludf.DUMMYFUNCTION("""COMPUTED_VALUE"""),"")</f>
        <v/>
      </c>
      <c r="F5050" s="163"/>
      <c r="G5050" s="163"/>
      <c r="H5050" s="163"/>
      <c r="I5050" s="163"/>
      <c r="J5050" s="165"/>
      <c r="K5050" s="165"/>
      <c r="L5050" s="165"/>
      <c r="M5050" s="166"/>
      <c r="N5050" s="167"/>
      <c r="O5050" s="163"/>
      <c r="P5050" s="163"/>
      <c r="Q5050" s="163"/>
      <c r="R5050" s="163"/>
      <c r="S5050" s="161"/>
      <c r="T5050" s="161"/>
      <c r="U5050" s="161"/>
      <c r="V5050" s="161"/>
      <c r="W5050" s="161"/>
      <c r="X5050" s="161"/>
      <c r="Y5050" s="161"/>
      <c r="Z5050" s="168"/>
      <c r="AA5050" s="168"/>
      <c r="AB5050" s="168"/>
      <c r="AC5050" s="168"/>
    </row>
    <row r="5051">
      <c r="A5051" s="161"/>
      <c r="B5051" s="161"/>
      <c r="C5051" s="162"/>
      <c r="D5051" s="163"/>
      <c r="E5051" s="164" t="str">
        <f>IFERROR(__xludf.DUMMYFUNCTION("""COMPUTED_VALUE"""),"")</f>
        <v/>
      </c>
      <c r="F5051" s="163"/>
      <c r="G5051" s="163"/>
      <c r="H5051" s="163"/>
      <c r="I5051" s="163"/>
      <c r="J5051" s="165"/>
      <c r="K5051" s="165"/>
      <c r="L5051" s="165"/>
      <c r="M5051" s="166"/>
      <c r="N5051" s="167"/>
      <c r="O5051" s="163"/>
      <c r="P5051" s="163"/>
      <c r="Q5051" s="163"/>
      <c r="R5051" s="163"/>
      <c r="S5051" s="161"/>
      <c r="T5051" s="161"/>
      <c r="U5051" s="161"/>
      <c r="V5051" s="161"/>
      <c r="W5051" s="161"/>
      <c r="X5051" s="161"/>
      <c r="Y5051" s="161"/>
      <c r="Z5051" s="168"/>
      <c r="AA5051" s="168"/>
      <c r="AB5051" s="168"/>
      <c r="AC5051" s="168"/>
    </row>
    <row r="5052">
      <c r="A5052" s="161"/>
      <c r="B5052" s="161"/>
      <c r="C5052" s="162"/>
      <c r="D5052" s="163"/>
      <c r="E5052" s="164" t="str">
        <f>IFERROR(__xludf.DUMMYFUNCTION("""COMPUTED_VALUE"""),"")</f>
        <v/>
      </c>
      <c r="F5052" s="163"/>
      <c r="G5052" s="163"/>
      <c r="H5052" s="163"/>
      <c r="I5052" s="163"/>
      <c r="J5052" s="165"/>
      <c r="K5052" s="165"/>
      <c r="L5052" s="165"/>
      <c r="M5052" s="166"/>
      <c r="N5052" s="167"/>
      <c r="O5052" s="163"/>
      <c r="P5052" s="163"/>
      <c r="Q5052" s="163"/>
      <c r="R5052" s="163"/>
      <c r="S5052" s="161"/>
      <c r="T5052" s="161"/>
      <c r="U5052" s="161"/>
      <c r="V5052" s="161"/>
      <c r="W5052" s="161"/>
      <c r="X5052" s="161"/>
      <c r="Y5052" s="161"/>
      <c r="Z5052" s="168"/>
      <c r="AA5052" s="168"/>
      <c r="AB5052" s="168"/>
      <c r="AC5052" s="168"/>
    </row>
    <row r="5053">
      <c r="A5053" s="161"/>
      <c r="B5053" s="161"/>
      <c r="C5053" s="162"/>
      <c r="D5053" s="163"/>
      <c r="E5053" s="164" t="str">
        <f>IFERROR(__xludf.DUMMYFUNCTION("""COMPUTED_VALUE"""),"")</f>
        <v/>
      </c>
      <c r="F5053" s="163"/>
      <c r="G5053" s="163"/>
      <c r="H5053" s="163"/>
      <c r="I5053" s="163"/>
      <c r="J5053" s="165"/>
      <c r="K5053" s="165"/>
      <c r="L5053" s="165"/>
      <c r="M5053" s="166"/>
      <c r="N5053" s="167"/>
      <c r="O5053" s="163"/>
      <c r="P5053" s="163"/>
      <c r="Q5053" s="163"/>
      <c r="R5053" s="163"/>
      <c r="S5053" s="161"/>
      <c r="T5053" s="161"/>
      <c r="U5053" s="161"/>
      <c r="V5053" s="161"/>
      <c r="W5053" s="161"/>
      <c r="X5053" s="161"/>
      <c r="Y5053" s="161"/>
      <c r="Z5053" s="168"/>
      <c r="AA5053" s="168"/>
      <c r="AB5053" s="168"/>
      <c r="AC5053" s="168"/>
    </row>
    <row r="5054">
      <c r="A5054" s="161"/>
      <c r="B5054" s="161"/>
      <c r="C5054" s="162"/>
      <c r="D5054" s="163"/>
      <c r="E5054" s="164" t="str">
        <f>IFERROR(__xludf.DUMMYFUNCTION("""COMPUTED_VALUE"""),"")</f>
        <v/>
      </c>
      <c r="F5054" s="163"/>
      <c r="G5054" s="163"/>
      <c r="H5054" s="163"/>
      <c r="I5054" s="163"/>
      <c r="J5054" s="165"/>
      <c r="K5054" s="165"/>
      <c r="L5054" s="165"/>
      <c r="M5054" s="166"/>
      <c r="N5054" s="167"/>
      <c r="O5054" s="163"/>
      <c r="P5054" s="163"/>
      <c r="Q5054" s="163"/>
      <c r="R5054" s="163"/>
      <c r="S5054" s="161"/>
      <c r="T5054" s="161"/>
      <c r="U5054" s="161"/>
      <c r="V5054" s="161"/>
      <c r="W5054" s="161"/>
      <c r="X5054" s="161"/>
      <c r="Y5054" s="161"/>
      <c r="Z5054" s="168"/>
      <c r="AA5054" s="168"/>
      <c r="AB5054" s="168"/>
      <c r="AC5054" s="168"/>
    </row>
    <row r="5055">
      <c r="A5055" s="161"/>
      <c r="B5055" s="161"/>
      <c r="C5055" s="162"/>
      <c r="D5055" s="163"/>
      <c r="E5055" s="164" t="str">
        <f>IFERROR(__xludf.DUMMYFUNCTION("""COMPUTED_VALUE"""),"")</f>
        <v/>
      </c>
      <c r="F5055" s="163"/>
      <c r="G5055" s="163"/>
      <c r="H5055" s="163"/>
      <c r="I5055" s="163"/>
      <c r="J5055" s="165"/>
      <c r="K5055" s="165"/>
      <c r="L5055" s="165"/>
      <c r="M5055" s="166"/>
      <c r="N5055" s="167"/>
      <c r="O5055" s="163"/>
      <c r="P5055" s="163"/>
      <c r="Q5055" s="163"/>
      <c r="R5055" s="163"/>
      <c r="S5055" s="161"/>
      <c r="T5055" s="161"/>
      <c r="U5055" s="161"/>
      <c r="V5055" s="161"/>
      <c r="W5055" s="161"/>
      <c r="X5055" s="161"/>
      <c r="Y5055" s="161"/>
      <c r="Z5055" s="168"/>
      <c r="AA5055" s="168"/>
      <c r="AB5055" s="168"/>
      <c r="AC5055" s="168"/>
    </row>
    <row r="5056">
      <c r="A5056" s="161"/>
      <c r="B5056" s="161"/>
      <c r="C5056" s="162"/>
      <c r="D5056" s="163"/>
      <c r="E5056" s="164" t="str">
        <f>IFERROR(__xludf.DUMMYFUNCTION("""COMPUTED_VALUE"""),"")</f>
        <v/>
      </c>
      <c r="F5056" s="163"/>
      <c r="G5056" s="163"/>
      <c r="H5056" s="163"/>
      <c r="I5056" s="163"/>
      <c r="J5056" s="165"/>
      <c r="K5056" s="165"/>
      <c r="L5056" s="165"/>
      <c r="M5056" s="166"/>
      <c r="N5056" s="167"/>
      <c r="O5056" s="163"/>
      <c r="P5056" s="163"/>
      <c r="Q5056" s="163"/>
      <c r="R5056" s="163"/>
      <c r="S5056" s="161"/>
      <c r="T5056" s="161"/>
      <c r="U5056" s="161"/>
      <c r="V5056" s="161"/>
      <c r="W5056" s="161"/>
      <c r="X5056" s="161"/>
      <c r="Y5056" s="161"/>
      <c r="Z5056" s="168"/>
      <c r="AA5056" s="168"/>
      <c r="AB5056" s="168"/>
      <c r="AC5056" s="168"/>
    </row>
    <row r="5057">
      <c r="A5057" s="161"/>
      <c r="B5057" s="161"/>
      <c r="C5057" s="162"/>
      <c r="D5057" s="163"/>
      <c r="E5057" s="164" t="str">
        <f>IFERROR(__xludf.DUMMYFUNCTION("""COMPUTED_VALUE"""),"")</f>
        <v/>
      </c>
      <c r="F5057" s="163"/>
      <c r="G5057" s="163"/>
      <c r="H5057" s="163"/>
      <c r="I5057" s="163"/>
      <c r="J5057" s="165"/>
      <c r="K5057" s="165"/>
      <c r="L5057" s="165"/>
      <c r="M5057" s="166"/>
      <c r="N5057" s="167"/>
      <c r="O5057" s="163"/>
      <c r="P5057" s="163"/>
      <c r="Q5057" s="163"/>
      <c r="R5057" s="163"/>
      <c r="S5057" s="161"/>
      <c r="T5057" s="161"/>
      <c r="U5057" s="161"/>
      <c r="V5057" s="161"/>
      <c r="W5057" s="161"/>
      <c r="X5057" s="161"/>
      <c r="Y5057" s="161"/>
      <c r="Z5057" s="168"/>
      <c r="AA5057" s="168"/>
      <c r="AB5057" s="168"/>
      <c r="AC5057" s="168"/>
    </row>
    <row r="5058">
      <c r="A5058" s="161"/>
      <c r="B5058" s="161"/>
      <c r="C5058" s="162"/>
      <c r="D5058" s="163"/>
      <c r="E5058" s="164" t="str">
        <f>IFERROR(__xludf.DUMMYFUNCTION("""COMPUTED_VALUE"""),"")</f>
        <v/>
      </c>
      <c r="F5058" s="163"/>
      <c r="G5058" s="163"/>
      <c r="H5058" s="163"/>
      <c r="I5058" s="163"/>
      <c r="J5058" s="165"/>
      <c r="K5058" s="165"/>
      <c r="L5058" s="165"/>
      <c r="M5058" s="166"/>
      <c r="N5058" s="167"/>
      <c r="O5058" s="163"/>
      <c r="P5058" s="163"/>
      <c r="Q5058" s="163"/>
      <c r="R5058" s="163"/>
      <c r="S5058" s="161"/>
      <c r="T5058" s="161"/>
      <c r="U5058" s="161"/>
      <c r="V5058" s="161"/>
      <c r="W5058" s="161"/>
      <c r="X5058" s="161"/>
      <c r="Y5058" s="161"/>
      <c r="Z5058" s="168"/>
      <c r="AA5058" s="168"/>
      <c r="AB5058" s="168"/>
      <c r="AC5058" s="168"/>
    </row>
    <row r="5059">
      <c r="A5059" s="161"/>
      <c r="B5059" s="161"/>
      <c r="C5059" s="162"/>
      <c r="D5059" s="163"/>
      <c r="E5059" s="164" t="str">
        <f>IFERROR(__xludf.DUMMYFUNCTION("""COMPUTED_VALUE"""),"")</f>
        <v/>
      </c>
      <c r="F5059" s="163"/>
      <c r="G5059" s="163"/>
      <c r="H5059" s="163"/>
      <c r="I5059" s="163"/>
      <c r="J5059" s="165"/>
      <c r="K5059" s="165"/>
      <c r="L5059" s="165"/>
      <c r="M5059" s="166"/>
      <c r="N5059" s="167"/>
      <c r="O5059" s="163"/>
      <c r="P5059" s="163"/>
      <c r="Q5059" s="163"/>
      <c r="R5059" s="163"/>
      <c r="S5059" s="161"/>
      <c r="T5059" s="161"/>
      <c r="U5059" s="161"/>
      <c r="V5059" s="161"/>
      <c r="W5059" s="161"/>
      <c r="X5059" s="161"/>
      <c r="Y5059" s="161"/>
      <c r="Z5059" s="168"/>
      <c r="AA5059" s="168"/>
      <c r="AB5059" s="168"/>
      <c r="AC5059" s="168"/>
    </row>
    <row r="5060">
      <c r="A5060" s="161"/>
      <c r="B5060" s="161"/>
      <c r="C5060" s="162"/>
      <c r="D5060" s="163"/>
      <c r="E5060" s="164" t="str">
        <f>IFERROR(__xludf.DUMMYFUNCTION("""COMPUTED_VALUE"""),"")</f>
        <v/>
      </c>
      <c r="F5060" s="163"/>
      <c r="G5060" s="163"/>
      <c r="H5060" s="163"/>
      <c r="I5060" s="163"/>
      <c r="J5060" s="165"/>
      <c r="K5060" s="165"/>
      <c r="L5060" s="165"/>
      <c r="M5060" s="166"/>
      <c r="N5060" s="167"/>
      <c r="O5060" s="163"/>
      <c r="P5060" s="163"/>
      <c r="Q5060" s="163"/>
      <c r="R5060" s="163"/>
      <c r="S5060" s="161"/>
      <c r="T5060" s="161"/>
      <c r="U5060" s="161"/>
      <c r="V5060" s="161"/>
      <c r="W5060" s="161"/>
      <c r="X5060" s="161"/>
      <c r="Y5060" s="161"/>
      <c r="Z5060" s="168"/>
      <c r="AA5060" s="168"/>
      <c r="AB5060" s="168"/>
      <c r="AC5060" s="168"/>
    </row>
    <row r="5061">
      <c r="A5061" s="161"/>
      <c r="B5061" s="161"/>
      <c r="C5061" s="162"/>
      <c r="D5061" s="163"/>
      <c r="E5061" s="164" t="str">
        <f>IFERROR(__xludf.DUMMYFUNCTION("""COMPUTED_VALUE"""),"")</f>
        <v/>
      </c>
      <c r="F5061" s="163"/>
      <c r="G5061" s="163"/>
      <c r="H5061" s="163"/>
      <c r="I5061" s="163"/>
      <c r="J5061" s="165"/>
      <c r="K5061" s="165"/>
      <c r="L5061" s="165"/>
      <c r="M5061" s="166"/>
      <c r="N5061" s="167"/>
      <c r="O5061" s="163"/>
      <c r="P5061" s="163"/>
      <c r="Q5061" s="163"/>
      <c r="R5061" s="163"/>
      <c r="S5061" s="161"/>
      <c r="T5061" s="161"/>
      <c r="U5061" s="161"/>
      <c r="V5061" s="161"/>
      <c r="W5061" s="161"/>
      <c r="X5061" s="161"/>
      <c r="Y5061" s="161"/>
      <c r="Z5061" s="168"/>
      <c r="AA5061" s="168"/>
      <c r="AB5061" s="168"/>
      <c r="AC5061" s="168"/>
    </row>
    <row r="5062">
      <c r="A5062" s="161"/>
      <c r="B5062" s="161"/>
      <c r="C5062" s="162"/>
      <c r="D5062" s="163"/>
      <c r="E5062" s="164" t="str">
        <f>IFERROR(__xludf.DUMMYFUNCTION("""COMPUTED_VALUE"""),"")</f>
        <v/>
      </c>
      <c r="F5062" s="163"/>
      <c r="G5062" s="163"/>
      <c r="H5062" s="163"/>
      <c r="I5062" s="163"/>
      <c r="J5062" s="165"/>
      <c r="K5062" s="165"/>
      <c r="L5062" s="165"/>
      <c r="M5062" s="166"/>
      <c r="N5062" s="167"/>
      <c r="O5062" s="163"/>
      <c r="P5062" s="163"/>
      <c r="Q5062" s="163"/>
      <c r="R5062" s="163"/>
      <c r="S5062" s="161"/>
      <c r="T5062" s="161"/>
      <c r="U5062" s="161"/>
      <c r="V5062" s="161"/>
      <c r="W5062" s="161"/>
      <c r="X5062" s="161"/>
      <c r="Y5062" s="161"/>
      <c r="Z5062" s="168"/>
      <c r="AA5062" s="168"/>
      <c r="AB5062" s="168"/>
      <c r="AC5062" s="168"/>
    </row>
    <row r="5063">
      <c r="A5063" s="161"/>
      <c r="B5063" s="161"/>
      <c r="C5063" s="162"/>
      <c r="D5063" s="163"/>
      <c r="E5063" s="164" t="str">
        <f>IFERROR(__xludf.DUMMYFUNCTION("""COMPUTED_VALUE"""),"")</f>
        <v/>
      </c>
      <c r="F5063" s="163"/>
      <c r="G5063" s="163"/>
      <c r="H5063" s="163"/>
      <c r="I5063" s="163"/>
      <c r="J5063" s="165"/>
      <c r="K5063" s="165"/>
      <c r="L5063" s="165"/>
      <c r="M5063" s="166"/>
      <c r="N5063" s="167"/>
      <c r="O5063" s="163"/>
      <c r="P5063" s="163"/>
      <c r="Q5063" s="163"/>
      <c r="R5063" s="163"/>
      <c r="S5063" s="161"/>
      <c r="T5063" s="161"/>
      <c r="U5063" s="161"/>
      <c r="V5063" s="161"/>
      <c r="W5063" s="161"/>
      <c r="X5063" s="161"/>
      <c r="Y5063" s="161"/>
      <c r="Z5063" s="168"/>
      <c r="AA5063" s="168"/>
      <c r="AB5063" s="168"/>
      <c r="AC5063" s="168"/>
    </row>
    <row r="5064">
      <c r="A5064" s="161"/>
      <c r="B5064" s="161"/>
      <c r="C5064" s="162"/>
      <c r="D5064" s="163"/>
      <c r="E5064" s="164" t="str">
        <f>IFERROR(__xludf.DUMMYFUNCTION("""COMPUTED_VALUE"""),"")</f>
        <v/>
      </c>
      <c r="F5064" s="163"/>
      <c r="G5064" s="163"/>
      <c r="H5064" s="163"/>
      <c r="I5064" s="163"/>
      <c r="J5064" s="165"/>
      <c r="K5064" s="165"/>
      <c r="L5064" s="165"/>
      <c r="M5064" s="166"/>
      <c r="N5064" s="167"/>
      <c r="O5064" s="163"/>
      <c r="P5064" s="163"/>
      <c r="Q5064" s="163"/>
      <c r="R5064" s="163"/>
      <c r="S5064" s="161"/>
      <c r="T5064" s="161"/>
      <c r="U5064" s="161"/>
      <c r="V5064" s="161"/>
      <c r="W5064" s="161"/>
      <c r="X5064" s="161"/>
      <c r="Y5064" s="161"/>
      <c r="Z5064" s="168"/>
      <c r="AA5064" s="168"/>
      <c r="AB5064" s="168"/>
      <c r="AC5064" s="168"/>
    </row>
    <row r="5065">
      <c r="A5065" s="161"/>
      <c r="B5065" s="161"/>
      <c r="C5065" s="162"/>
      <c r="D5065" s="163"/>
      <c r="E5065" s="164" t="str">
        <f>IFERROR(__xludf.DUMMYFUNCTION("""COMPUTED_VALUE"""),"")</f>
        <v/>
      </c>
      <c r="F5065" s="163"/>
      <c r="G5065" s="163"/>
      <c r="H5065" s="163"/>
      <c r="I5065" s="163"/>
      <c r="J5065" s="165"/>
      <c r="K5065" s="165"/>
      <c r="L5065" s="165"/>
      <c r="M5065" s="166"/>
      <c r="N5065" s="167"/>
      <c r="O5065" s="163"/>
      <c r="P5065" s="163"/>
      <c r="Q5065" s="163"/>
      <c r="R5065" s="163"/>
      <c r="S5065" s="161"/>
      <c r="T5065" s="161"/>
      <c r="U5065" s="161"/>
      <c r="V5065" s="161"/>
      <c r="W5065" s="161"/>
      <c r="X5065" s="161"/>
      <c r="Y5065" s="161"/>
      <c r="Z5065" s="168"/>
      <c r="AA5065" s="168"/>
      <c r="AB5065" s="168"/>
      <c r="AC5065" s="168"/>
    </row>
    <row r="5066">
      <c r="A5066" s="161"/>
      <c r="B5066" s="161"/>
      <c r="C5066" s="162"/>
      <c r="D5066" s="163"/>
      <c r="E5066" s="164" t="str">
        <f>IFERROR(__xludf.DUMMYFUNCTION("""COMPUTED_VALUE"""),"")</f>
        <v/>
      </c>
      <c r="F5066" s="163"/>
      <c r="G5066" s="163"/>
      <c r="H5066" s="163"/>
      <c r="I5066" s="163"/>
      <c r="J5066" s="165"/>
      <c r="K5066" s="165"/>
      <c r="L5066" s="165"/>
      <c r="M5066" s="166"/>
      <c r="N5066" s="167"/>
      <c r="O5066" s="163"/>
      <c r="P5066" s="163"/>
      <c r="Q5066" s="163"/>
      <c r="R5066" s="163"/>
      <c r="S5066" s="161"/>
      <c r="T5066" s="161"/>
      <c r="U5066" s="161"/>
      <c r="V5066" s="161"/>
      <c r="W5066" s="161"/>
      <c r="X5066" s="161"/>
      <c r="Y5066" s="161"/>
      <c r="Z5066" s="168"/>
      <c r="AA5066" s="168"/>
      <c r="AB5066" s="168"/>
      <c r="AC5066" s="168"/>
    </row>
    <row r="5067">
      <c r="A5067" s="161"/>
      <c r="B5067" s="161"/>
      <c r="C5067" s="162"/>
      <c r="D5067" s="163"/>
      <c r="E5067" s="164" t="str">
        <f>IFERROR(__xludf.DUMMYFUNCTION("""COMPUTED_VALUE"""),"")</f>
        <v/>
      </c>
      <c r="F5067" s="163"/>
      <c r="G5067" s="163"/>
      <c r="H5067" s="163"/>
      <c r="I5067" s="163"/>
      <c r="J5067" s="165"/>
      <c r="K5067" s="165"/>
      <c r="L5067" s="165"/>
      <c r="M5067" s="166"/>
      <c r="N5067" s="167"/>
      <c r="O5067" s="163"/>
      <c r="P5067" s="163"/>
      <c r="Q5067" s="163"/>
      <c r="R5067" s="163"/>
      <c r="S5067" s="161"/>
      <c r="T5067" s="161"/>
      <c r="U5067" s="161"/>
      <c r="V5067" s="161"/>
      <c r="W5067" s="161"/>
      <c r="X5067" s="161"/>
      <c r="Y5067" s="161"/>
      <c r="Z5067" s="168"/>
      <c r="AA5067" s="168"/>
      <c r="AB5067" s="168"/>
      <c r="AC5067" s="168"/>
    </row>
    <row r="5068">
      <c r="A5068" s="161"/>
      <c r="B5068" s="161"/>
      <c r="C5068" s="162"/>
      <c r="D5068" s="163"/>
      <c r="E5068" s="164" t="str">
        <f>IFERROR(__xludf.DUMMYFUNCTION("""COMPUTED_VALUE"""),"")</f>
        <v/>
      </c>
      <c r="F5068" s="163"/>
      <c r="G5068" s="163"/>
      <c r="H5068" s="163"/>
      <c r="I5068" s="163"/>
      <c r="J5068" s="165"/>
      <c r="K5068" s="165"/>
      <c r="L5068" s="165"/>
      <c r="M5068" s="166"/>
      <c r="N5068" s="167"/>
      <c r="O5068" s="163"/>
      <c r="P5068" s="163"/>
      <c r="Q5068" s="163"/>
      <c r="R5068" s="163"/>
      <c r="S5068" s="161"/>
      <c r="T5068" s="161"/>
      <c r="U5068" s="161"/>
      <c r="V5068" s="161"/>
      <c r="W5068" s="161"/>
      <c r="X5068" s="161"/>
      <c r="Y5068" s="161"/>
      <c r="Z5068" s="168"/>
      <c r="AA5068" s="168"/>
      <c r="AB5068" s="168"/>
      <c r="AC5068" s="168"/>
    </row>
    <row r="5069">
      <c r="A5069" s="161"/>
      <c r="B5069" s="161"/>
      <c r="C5069" s="162"/>
      <c r="D5069" s="163"/>
      <c r="E5069" s="164" t="str">
        <f>IFERROR(__xludf.DUMMYFUNCTION("""COMPUTED_VALUE"""),"")</f>
        <v/>
      </c>
      <c r="F5069" s="163"/>
      <c r="G5069" s="163"/>
      <c r="H5069" s="163"/>
      <c r="I5069" s="163"/>
      <c r="J5069" s="165"/>
      <c r="K5069" s="165"/>
      <c r="L5069" s="165"/>
      <c r="M5069" s="166"/>
      <c r="N5069" s="167"/>
      <c r="O5069" s="163"/>
      <c r="P5069" s="163"/>
      <c r="Q5069" s="163"/>
      <c r="R5069" s="163"/>
      <c r="S5069" s="161"/>
      <c r="T5069" s="161"/>
      <c r="U5069" s="161"/>
      <c r="V5069" s="161"/>
      <c r="W5069" s="161"/>
      <c r="X5069" s="161"/>
      <c r="Y5069" s="161"/>
      <c r="Z5069" s="168"/>
      <c r="AA5069" s="168"/>
      <c r="AB5069" s="168"/>
      <c r="AC5069" s="168"/>
    </row>
    <row r="5070">
      <c r="A5070" s="161"/>
      <c r="B5070" s="161"/>
      <c r="C5070" s="162"/>
      <c r="D5070" s="163"/>
      <c r="E5070" s="164" t="str">
        <f>IFERROR(__xludf.DUMMYFUNCTION("""COMPUTED_VALUE"""),"")</f>
        <v/>
      </c>
      <c r="F5070" s="163"/>
      <c r="G5070" s="163"/>
      <c r="H5070" s="163"/>
      <c r="I5070" s="163"/>
      <c r="J5070" s="165"/>
      <c r="K5070" s="165"/>
      <c r="L5070" s="165"/>
      <c r="M5070" s="166"/>
      <c r="N5070" s="167"/>
      <c r="O5070" s="163"/>
      <c r="P5070" s="163"/>
      <c r="Q5070" s="163"/>
      <c r="R5070" s="163"/>
      <c r="S5070" s="161"/>
      <c r="T5070" s="161"/>
      <c r="U5070" s="161"/>
      <c r="V5070" s="161"/>
      <c r="W5070" s="161"/>
      <c r="X5070" s="161"/>
      <c r="Y5070" s="161"/>
      <c r="Z5070" s="168"/>
      <c r="AA5070" s="168"/>
      <c r="AB5070" s="168"/>
      <c r="AC5070" s="168"/>
    </row>
    <row r="5071">
      <c r="A5071" s="161"/>
      <c r="B5071" s="161"/>
      <c r="C5071" s="162"/>
      <c r="D5071" s="163"/>
      <c r="E5071" s="164" t="str">
        <f>IFERROR(__xludf.DUMMYFUNCTION("""COMPUTED_VALUE"""),"")</f>
        <v/>
      </c>
      <c r="F5071" s="163"/>
      <c r="G5071" s="163"/>
      <c r="H5071" s="163"/>
      <c r="I5071" s="163"/>
      <c r="J5071" s="165"/>
      <c r="K5071" s="165"/>
      <c r="L5071" s="165"/>
      <c r="M5071" s="166"/>
      <c r="N5071" s="167"/>
      <c r="O5071" s="163"/>
      <c r="P5071" s="163"/>
      <c r="Q5071" s="163"/>
      <c r="R5071" s="163"/>
      <c r="S5071" s="161"/>
      <c r="T5071" s="161"/>
      <c r="U5071" s="161"/>
      <c r="V5071" s="161"/>
      <c r="W5071" s="161"/>
      <c r="X5071" s="161"/>
      <c r="Y5071" s="161"/>
      <c r="Z5071" s="168"/>
      <c r="AA5071" s="168"/>
      <c r="AB5071" s="168"/>
      <c r="AC5071" s="168"/>
    </row>
    <row r="5072">
      <c r="A5072" s="161"/>
      <c r="B5072" s="161"/>
      <c r="C5072" s="162"/>
      <c r="D5072" s="163"/>
      <c r="E5072" s="164" t="str">
        <f>IFERROR(__xludf.DUMMYFUNCTION("""COMPUTED_VALUE"""),"")</f>
        <v/>
      </c>
      <c r="F5072" s="163"/>
      <c r="G5072" s="163"/>
      <c r="H5072" s="163"/>
      <c r="I5072" s="163"/>
      <c r="J5072" s="165"/>
      <c r="K5072" s="165"/>
      <c r="L5072" s="165"/>
      <c r="M5072" s="166"/>
      <c r="N5072" s="167"/>
      <c r="O5072" s="163"/>
      <c r="P5072" s="163"/>
      <c r="Q5072" s="163"/>
      <c r="R5072" s="163"/>
      <c r="S5072" s="161"/>
      <c r="T5072" s="161"/>
      <c r="U5072" s="161"/>
      <c r="V5072" s="161"/>
      <c r="W5072" s="161"/>
      <c r="X5072" s="161"/>
      <c r="Y5072" s="161"/>
      <c r="Z5072" s="168"/>
      <c r="AA5072" s="168"/>
      <c r="AB5072" s="168"/>
      <c r="AC5072" s="168"/>
    </row>
    <row r="5073">
      <c r="A5073" s="161"/>
      <c r="B5073" s="161"/>
      <c r="C5073" s="162"/>
      <c r="D5073" s="163"/>
      <c r="E5073" s="164" t="str">
        <f>IFERROR(__xludf.DUMMYFUNCTION("""COMPUTED_VALUE"""),"")</f>
        <v/>
      </c>
      <c r="F5073" s="163"/>
      <c r="G5073" s="163"/>
      <c r="H5073" s="163"/>
      <c r="I5073" s="163"/>
      <c r="J5073" s="165"/>
      <c r="K5073" s="165"/>
      <c r="L5073" s="165"/>
      <c r="M5073" s="166"/>
      <c r="N5073" s="167"/>
      <c r="O5073" s="163"/>
      <c r="P5073" s="163"/>
      <c r="Q5073" s="163"/>
      <c r="R5073" s="163"/>
      <c r="S5073" s="161"/>
      <c r="T5073" s="161"/>
      <c r="U5073" s="161"/>
      <c r="V5073" s="161"/>
      <c r="W5073" s="161"/>
      <c r="X5073" s="161"/>
      <c r="Y5073" s="161"/>
      <c r="Z5073" s="168"/>
      <c r="AA5073" s="168"/>
      <c r="AB5073" s="168"/>
      <c r="AC5073" s="168"/>
    </row>
    <row r="5074">
      <c r="A5074" s="161"/>
      <c r="B5074" s="161"/>
      <c r="C5074" s="162"/>
      <c r="D5074" s="163"/>
      <c r="E5074" s="164" t="str">
        <f>IFERROR(__xludf.DUMMYFUNCTION("""COMPUTED_VALUE"""),"")</f>
        <v/>
      </c>
      <c r="F5074" s="163"/>
      <c r="G5074" s="163"/>
      <c r="H5074" s="163"/>
      <c r="I5074" s="163"/>
      <c r="J5074" s="165"/>
      <c r="K5074" s="165"/>
      <c r="L5074" s="165"/>
      <c r="M5074" s="166"/>
      <c r="N5074" s="167"/>
      <c r="O5074" s="163"/>
      <c r="P5074" s="163"/>
      <c r="Q5074" s="163"/>
      <c r="R5074" s="163"/>
      <c r="S5074" s="161"/>
      <c r="T5074" s="161"/>
      <c r="U5074" s="161"/>
      <c r="V5074" s="161"/>
      <c r="W5074" s="161"/>
      <c r="X5074" s="161"/>
      <c r="Y5074" s="161"/>
      <c r="Z5074" s="168"/>
      <c r="AA5074" s="168"/>
      <c r="AB5074" s="168"/>
      <c r="AC5074" s="168"/>
    </row>
    <row r="5075">
      <c r="A5075" s="161"/>
      <c r="B5075" s="161"/>
      <c r="C5075" s="162"/>
      <c r="D5075" s="163"/>
      <c r="E5075" s="164" t="str">
        <f>IFERROR(__xludf.DUMMYFUNCTION("""COMPUTED_VALUE"""),"")</f>
        <v/>
      </c>
      <c r="F5075" s="163"/>
      <c r="G5075" s="163"/>
      <c r="H5075" s="163"/>
      <c r="I5075" s="163"/>
      <c r="J5075" s="165"/>
      <c r="K5075" s="165"/>
      <c r="L5075" s="165"/>
      <c r="M5075" s="166"/>
      <c r="N5075" s="167"/>
      <c r="O5075" s="163"/>
      <c r="P5075" s="163"/>
      <c r="Q5075" s="163"/>
      <c r="R5075" s="163"/>
      <c r="S5075" s="161"/>
      <c r="T5075" s="161"/>
      <c r="U5075" s="161"/>
      <c r="V5075" s="161"/>
      <c r="W5075" s="161"/>
      <c r="X5075" s="161"/>
      <c r="Y5075" s="161"/>
      <c r="Z5075" s="168"/>
      <c r="AA5075" s="168"/>
      <c r="AB5075" s="168"/>
      <c r="AC5075" s="168"/>
    </row>
    <row r="5076">
      <c r="A5076" s="161"/>
      <c r="B5076" s="161"/>
      <c r="C5076" s="162"/>
      <c r="D5076" s="163"/>
      <c r="E5076" s="164" t="str">
        <f>IFERROR(__xludf.DUMMYFUNCTION("""COMPUTED_VALUE"""),"")</f>
        <v/>
      </c>
      <c r="F5076" s="163"/>
      <c r="G5076" s="163"/>
      <c r="H5076" s="163"/>
      <c r="I5076" s="163"/>
      <c r="J5076" s="165"/>
      <c r="K5076" s="165"/>
      <c r="L5076" s="165"/>
      <c r="M5076" s="166"/>
      <c r="N5076" s="167"/>
      <c r="O5076" s="163"/>
      <c r="P5076" s="163"/>
      <c r="Q5076" s="163"/>
      <c r="R5076" s="163"/>
      <c r="S5076" s="161"/>
      <c r="T5076" s="161"/>
      <c r="U5076" s="161"/>
      <c r="V5076" s="161"/>
      <c r="W5076" s="161"/>
      <c r="X5076" s="161"/>
      <c r="Y5076" s="161"/>
      <c r="Z5076" s="168"/>
      <c r="AA5076" s="168"/>
      <c r="AB5076" s="168"/>
      <c r="AC5076" s="168"/>
    </row>
    <row r="5077">
      <c r="A5077" s="161"/>
      <c r="B5077" s="161"/>
      <c r="C5077" s="162"/>
      <c r="D5077" s="163"/>
      <c r="E5077" s="164" t="str">
        <f>IFERROR(__xludf.DUMMYFUNCTION("""COMPUTED_VALUE"""),"")</f>
        <v/>
      </c>
      <c r="F5077" s="163"/>
      <c r="G5077" s="163"/>
      <c r="H5077" s="163"/>
      <c r="I5077" s="163"/>
      <c r="J5077" s="165"/>
      <c r="K5077" s="165"/>
      <c r="L5077" s="165"/>
      <c r="M5077" s="166"/>
      <c r="N5077" s="167"/>
      <c r="O5077" s="163"/>
      <c r="P5077" s="163"/>
      <c r="Q5077" s="163"/>
      <c r="R5077" s="163"/>
      <c r="S5077" s="161"/>
      <c r="T5077" s="161"/>
      <c r="U5077" s="161"/>
      <c r="V5077" s="161"/>
      <c r="W5077" s="161"/>
      <c r="X5077" s="161"/>
      <c r="Y5077" s="161"/>
      <c r="Z5077" s="168"/>
      <c r="AA5077" s="168"/>
      <c r="AB5077" s="168"/>
      <c r="AC5077" s="168"/>
    </row>
    <row r="5078">
      <c r="A5078" s="161"/>
      <c r="B5078" s="161"/>
      <c r="C5078" s="162"/>
      <c r="D5078" s="163"/>
      <c r="E5078" s="164" t="str">
        <f>IFERROR(__xludf.DUMMYFUNCTION("""COMPUTED_VALUE"""),"")</f>
        <v/>
      </c>
      <c r="F5078" s="163"/>
      <c r="G5078" s="163"/>
      <c r="H5078" s="163"/>
      <c r="I5078" s="163"/>
      <c r="J5078" s="165"/>
      <c r="K5078" s="165"/>
      <c r="L5078" s="165"/>
      <c r="M5078" s="166"/>
      <c r="N5078" s="167"/>
      <c r="O5078" s="163"/>
      <c r="P5078" s="163"/>
      <c r="Q5078" s="163"/>
      <c r="R5078" s="163"/>
      <c r="S5078" s="161"/>
      <c r="T5078" s="161"/>
      <c r="U5078" s="161"/>
      <c r="V5078" s="161"/>
      <c r="W5078" s="161"/>
      <c r="X5078" s="161"/>
      <c r="Y5078" s="161"/>
      <c r="Z5078" s="168"/>
      <c r="AA5078" s="168"/>
      <c r="AB5078" s="168"/>
      <c r="AC5078" s="168"/>
    </row>
    <row r="5079">
      <c r="A5079" s="161"/>
      <c r="B5079" s="161"/>
      <c r="C5079" s="162"/>
      <c r="D5079" s="163"/>
      <c r="E5079" s="164" t="str">
        <f>IFERROR(__xludf.DUMMYFUNCTION("""COMPUTED_VALUE"""),"")</f>
        <v/>
      </c>
      <c r="F5079" s="163"/>
      <c r="G5079" s="163"/>
      <c r="H5079" s="163"/>
      <c r="I5079" s="163"/>
      <c r="J5079" s="165"/>
      <c r="K5079" s="165"/>
      <c r="L5079" s="165"/>
      <c r="M5079" s="166"/>
      <c r="N5079" s="167"/>
      <c r="O5079" s="163"/>
      <c r="P5079" s="163"/>
      <c r="Q5079" s="163"/>
      <c r="R5079" s="163"/>
      <c r="S5079" s="161"/>
      <c r="T5079" s="161"/>
      <c r="U5079" s="161"/>
      <c r="V5079" s="161"/>
      <c r="W5079" s="161"/>
      <c r="X5079" s="161"/>
      <c r="Y5079" s="161"/>
      <c r="Z5079" s="168"/>
      <c r="AA5079" s="168"/>
      <c r="AB5079" s="168"/>
      <c r="AC5079" s="168"/>
    </row>
    <row r="5080">
      <c r="A5080" s="161"/>
      <c r="B5080" s="161"/>
      <c r="C5080" s="162"/>
      <c r="D5080" s="163"/>
      <c r="E5080" s="164" t="str">
        <f>IFERROR(__xludf.DUMMYFUNCTION("""COMPUTED_VALUE"""),"")</f>
        <v/>
      </c>
      <c r="F5080" s="163"/>
      <c r="G5080" s="163"/>
      <c r="H5080" s="163"/>
      <c r="I5080" s="163"/>
      <c r="J5080" s="165"/>
      <c r="K5080" s="165"/>
      <c r="L5080" s="165"/>
      <c r="M5080" s="166"/>
      <c r="N5080" s="167"/>
      <c r="O5080" s="163"/>
      <c r="P5080" s="163"/>
      <c r="Q5080" s="163"/>
      <c r="R5080" s="163"/>
      <c r="S5080" s="161"/>
      <c r="T5080" s="161"/>
      <c r="U5080" s="161"/>
      <c r="V5080" s="161"/>
      <c r="W5080" s="161"/>
      <c r="X5080" s="161"/>
      <c r="Y5080" s="161"/>
      <c r="Z5080" s="168"/>
      <c r="AA5080" s="168"/>
      <c r="AB5080" s="168"/>
      <c r="AC5080" s="168"/>
    </row>
    <row r="5081">
      <c r="A5081" s="161"/>
      <c r="B5081" s="161"/>
      <c r="C5081" s="162"/>
      <c r="D5081" s="163"/>
      <c r="E5081" s="164" t="str">
        <f>IFERROR(__xludf.DUMMYFUNCTION("""COMPUTED_VALUE"""),"")</f>
        <v/>
      </c>
      <c r="F5081" s="163"/>
      <c r="G5081" s="163"/>
      <c r="H5081" s="163"/>
      <c r="I5081" s="163"/>
      <c r="J5081" s="165"/>
      <c r="K5081" s="165"/>
      <c r="L5081" s="165"/>
      <c r="M5081" s="166"/>
      <c r="N5081" s="167"/>
      <c r="O5081" s="163"/>
      <c r="P5081" s="163"/>
      <c r="Q5081" s="163"/>
      <c r="R5081" s="163"/>
      <c r="S5081" s="161"/>
      <c r="T5081" s="161"/>
      <c r="U5081" s="161"/>
      <c r="V5081" s="161"/>
      <c r="W5081" s="161"/>
      <c r="X5081" s="161"/>
      <c r="Y5081" s="161"/>
      <c r="Z5081" s="168"/>
      <c r="AA5081" s="168"/>
      <c r="AB5081" s="168"/>
      <c r="AC5081" s="168"/>
    </row>
    <row r="5082">
      <c r="A5082" s="161"/>
      <c r="B5082" s="161"/>
      <c r="C5082" s="162"/>
      <c r="D5082" s="163"/>
      <c r="E5082" s="164" t="str">
        <f>IFERROR(__xludf.DUMMYFUNCTION("""COMPUTED_VALUE"""),"")</f>
        <v/>
      </c>
      <c r="F5082" s="163"/>
      <c r="G5082" s="163"/>
      <c r="H5082" s="163"/>
      <c r="I5082" s="163"/>
      <c r="J5082" s="165"/>
      <c r="K5082" s="165"/>
      <c r="L5082" s="165"/>
      <c r="M5082" s="166"/>
      <c r="N5082" s="167"/>
      <c r="O5082" s="163"/>
      <c r="P5082" s="163"/>
      <c r="Q5082" s="163"/>
      <c r="R5082" s="163"/>
      <c r="S5082" s="161"/>
      <c r="T5082" s="161"/>
      <c r="U5082" s="161"/>
      <c r="V5082" s="161"/>
      <c r="W5082" s="161"/>
      <c r="X5082" s="161"/>
      <c r="Y5082" s="161"/>
      <c r="Z5082" s="168"/>
      <c r="AA5082" s="168"/>
      <c r="AB5082" s="168"/>
      <c r="AC5082" s="168"/>
    </row>
    <row r="5083">
      <c r="A5083" s="161"/>
      <c r="B5083" s="161"/>
      <c r="C5083" s="162"/>
      <c r="D5083" s="163"/>
      <c r="E5083" s="164" t="str">
        <f>IFERROR(__xludf.DUMMYFUNCTION("""COMPUTED_VALUE"""),"")</f>
        <v/>
      </c>
      <c r="F5083" s="163"/>
      <c r="G5083" s="163"/>
      <c r="H5083" s="163"/>
      <c r="I5083" s="163"/>
      <c r="J5083" s="165"/>
      <c r="K5083" s="165"/>
      <c r="L5083" s="165"/>
      <c r="M5083" s="166"/>
      <c r="N5083" s="167"/>
      <c r="O5083" s="163"/>
      <c r="P5083" s="163"/>
      <c r="Q5083" s="163"/>
      <c r="R5083" s="163"/>
      <c r="S5083" s="161"/>
      <c r="T5083" s="161"/>
      <c r="U5083" s="161"/>
      <c r="V5083" s="161"/>
      <c r="W5083" s="161"/>
      <c r="X5083" s="161"/>
      <c r="Y5083" s="161"/>
      <c r="Z5083" s="168"/>
      <c r="AA5083" s="168"/>
      <c r="AB5083" s="168"/>
      <c r="AC5083" s="168"/>
    </row>
    <row r="5084">
      <c r="A5084" s="161"/>
      <c r="B5084" s="161"/>
      <c r="C5084" s="162"/>
      <c r="D5084" s="163"/>
      <c r="E5084" s="164" t="str">
        <f>IFERROR(__xludf.DUMMYFUNCTION("""COMPUTED_VALUE"""),"")</f>
        <v/>
      </c>
      <c r="F5084" s="163"/>
      <c r="G5084" s="163"/>
      <c r="H5084" s="163"/>
      <c r="I5084" s="163"/>
      <c r="J5084" s="165"/>
      <c r="K5084" s="165"/>
      <c r="L5084" s="165"/>
      <c r="M5084" s="166"/>
      <c r="N5084" s="167"/>
      <c r="O5084" s="163"/>
      <c r="P5084" s="163"/>
      <c r="Q5084" s="163"/>
      <c r="R5084" s="163"/>
      <c r="S5084" s="161"/>
      <c r="T5084" s="161"/>
      <c r="U5084" s="161"/>
      <c r="V5084" s="161"/>
      <c r="W5084" s="161"/>
      <c r="X5084" s="161"/>
      <c r="Y5084" s="161"/>
      <c r="Z5084" s="168"/>
      <c r="AA5084" s="168"/>
      <c r="AB5084" s="168"/>
      <c r="AC5084" s="168"/>
    </row>
    <row r="5085">
      <c r="A5085" s="161"/>
      <c r="B5085" s="161"/>
      <c r="C5085" s="162"/>
      <c r="D5085" s="163"/>
      <c r="E5085" s="164" t="str">
        <f>IFERROR(__xludf.DUMMYFUNCTION("""COMPUTED_VALUE"""),"")</f>
        <v/>
      </c>
      <c r="F5085" s="163"/>
      <c r="G5085" s="163"/>
      <c r="H5085" s="163"/>
      <c r="I5085" s="163"/>
      <c r="J5085" s="165"/>
      <c r="K5085" s="165"/>
      <c r="L5085" s="165"/>
      <c r="M5085" s="166"/>
      <c r="N5085" s="167"/>
      <c r="O5085" s="163"/>
      <c r="P5085" s="163"/>
      <c r="Q5085" s="163"/>
      <c r="R5085" s="163"/>
      <c r="S5085" s="161"/>
      <c r="T5085" s="161"/>
      <c r="U5085" s="161"/>
      <c r="V5085" s="161"/>
      <c r="W5085" s="161"/>
      <c r="X5085" s="161"/>
      <c r="Y5085" s="161"/>
      <c r="Z5085" s="168"/>
      <c r="AA5085" s="168"/>
      <c r="AB5085" s="168"/>
      <c r="AC5085" s="168"/>
    </row>
    <row r="5086">
      <c r="A5086" s="161"/>
      <c r="B5086" s="161"/>
      <c r="C5086" s="162"/>
      <c r="D5086" s="163"/>
      <c r="E5086" s="164" t="str">
        <f>IFERROR(__xludf.DUMMYFUNCTION("""COMPUTED_VALUE"""),"")</f>
        <v/>
      </c>
      <c r="F5086" s="163"/>
      <c r="G5086" s="163"/>
      <c r="H5086" s="163"/>
      <c r="I5086" s="163"/>
      <c r="J5086" s="165"/>
      <c r="K5086" s="165"/>
      <c r="L5086" s="165"/>
      <c r="M5086" s="166"/>
      <c r="N5086" s="167"/>
      <c r="O5086" s="163"/>
      <c r="P5086" s="163"/>
      <c r="Q5086" s="163"/>
      <c r="R5086" s="163"/>
      <c r="S5086" s="161"/>
      <c r="T5086" s="161"/>
      <c r="U5086" s="161"/>
      <c r="V5086" s="161"/>
      <c r="W5086" s="161"/>
      <c r="X5086" s="161"/>
      <c r="Y5086" s="161"/>
      <c r="Z5086" s="168"/>
      <c r="AA5086" s="168"/>
      <c r="AB5086" s="168"/>
      <c r="AC5086" s="168"/>
    </row>
    <row r="5087">
      <c r="A5087" s="161"/>
      <c r="B5087" s="161"/>
      <c r="C5087" s="162"/>
      <c r="D5087" s="163"/>
      <c r="E5087" s="164" t="str">
        <f>IFERROR(__xludf.DUMMYFUNCTION("""COMPUTED_VALUE"""),"")</f>
        <v/>
      </c>
      <c r="F5087" s="163"/>
      <c r="G5087" s="163"/>
      <c r="H5087" s="163"/>
      <c r="I5087" s="163"/>
      <c r="J5087" s="165"/>
      <c r="K5087" s="165"/>
      <c r="L5087" s="165"/>
      <c r="M5087" s="166"/>
      <c r="N5087" s="167"/>
      <c r="O5087" s="163"/>
      <c r="P5087" s="163"/>
      <c r="Q5087" s="163"/>
      <c r="R5087" s="163"/>
      <c r="S5087" s="161"/>
      <c r="T5087" s="161"/>
      <c r="U5087" s="161"/>
      <c r="V5087" s="161"/>
      <c r="W5087" s="161"/>
      <c r="X5087" s="161"/>
      <c r="Y5087" s="161"/>
      <c r="Z5087" s="168"/>
      <c r="AA5087" s="168"/>
      <c r="AB5087" s="168"/>
      <c r="AC5087" s="168"/>
    </row>
    <row r="5088">
      <c r="A5088" s="161"/>
      <c r="B5088" s="161"/>
      <c r="C5088" s="162"/>
      <c r="D5088" s="163"/>
      <c r="E5088" s="164" t="str">
        <f>IFERROR(__xludf.DUMMYFUNCTION("""COMPUTED_VALUE"""),"")</f>
        <v/>
      </c>
      <c r="F5088" s="163"/>
      <c r="G5088" s="163"/>
      <c r="H5088" s="163"/>
      <c r="I5088" s="163"/>
      <c r="J5088" s="165"/>
      <c r="K5088" s="165"/>
      <c r="L5088" s="165"/>
      <c r="M5088" s="166"/>
      <c r="N5088" s="167"/>
      <c r="O5088" s="163"/>
      <c r="P5088" s="163"/>
      <c r="Q5088" s="163"/>
      <c r="R5088" s="163"/>
      <c r="S5088" s="161"/>
      <c r="T5088" s="161"/>
      <c r="U5088" s="161"/>
      <c r="V5088" s="161"/>
      <c r="W5088" s="161"/>
      <c r="X5088" s="161"/>
      <c r="Y5088" s="161"/>
      <c r="Z5088" s="168"/>
      <c r="AA5088" s="168"/>
      <c r="AB5088" s="168"/>
      <c r="AC5088" s="168"/>
    </row>
    <row r="5089">
      <c r="A5089" s="161"/>
      <c r="B5089" s="161"/>
      <c r="C5089" s="162"/>
      <c r="D5089" s="163"/>
      <c r="E5089" s="164" t="str">
        <f>IFERROR(__xludf.DUMMYFUNCTION("""COMPUTED_VALUE"""),"")</f>
        <v/>
      </c>
      <c r="F5089" s="163"/>
      <c r="G5089" s="163"/>
      <c r="H5089" s="163"/>
      <c r="I5089" s="163"/>
      <c r="J5089" s="165"/>
      <c r="K5089" s="165"/>
      <c r="L5089" s="165"/>
      <c r="M5089" s="166"/>
      <c r="N5089" s="167"/>
      <c r="O5089" s="163"/>
      <c r="P5089" s="163"/>
      <c r="Q5089" s="163"/>
      <c r="R5089" s="163"/>
      <c r="S5089" s="161"/>
      <c r="T5089" s="161"/>
      <c r="U5089" s="161"/>
      <c r="V5089" s="161"/>
      <c r="W5089" s="161"/>
      <c r="X5089" s="161"/>
      <c r="Y5089" s="161"/>
      <c r="Z5089" s="168"/>
      <c r="AA5089" s="168"/>
      <c r="AB5089" s="168"/>
      <c r="AC5089" s="168"/>
    </row>
    <row r="5090">
      <c r="A5090" s="161"/>
      <c r="B5090" s="161"/>
      <c r="C5090" s="162"/>
      <c r="D5090" s="163"/>
      <c r="E5090" s="164" t="str">
        <f>IFERROR(__xludf.DUMMYFUNCTION("""COMPUTED_VALUE"""),"")</f>
        <v/>
      </c>
      <c r="F5090" s="163"/>
      <c r="G5090" s="163"/>
      <c r="H5090" s="163"/>
      <c r="I5090" s="163"/>
      <c r="J5090" s="165"/>
      <c r="K5090" s="165"/>
      <c r="L5090" s="165"/>
      <c r="M5090" s="166"/>
      <c r="N5090" s="167"/>
      <c r="O5090" s="163"/>
      <c r="P5090" s="163"/>
      <c r="Q5090" s="163"/>
      <c r="R5090" s="163"/>
      <c r="S5090" s="161"/>
      <c r="T5090" s="161"/>
      <c r="U5090" s="161"/>
      <c r="V5090" s="161"/>
      <c r="W5090" s="161"/>
      <c r="X5090" s="161"/>
      <c r="Y5090" s="161"/>
      <c r="Z5090" s="168"/>
      <c r="AA5090" s="168"/>
      <c r="AB5090" s="168"/>
      <c r="AC5090" s="168"/>
    </row>
    <row r="5091">
      <c r="A5091" s="161"/>
      <c r="B5091" s="161"/>
      <c r="C5091" s="162"/>
      <c r="D5091" s="163"/>
      <c r="E5091" s="164" t="str">
        <f>IFERROR(__xludf.DUMMYFUNCTION("""COMPUTED_VALUE"""),"")</f>
        <v/>
      </c>
      <c r="F5091" s="163"/>
      <c r="G5091" s="163"/>
      <c r="H5091" s="163"/>
      <c r="I5091" s="163"/>
      <c r="J5091" s="165"/>
      <c r="K5091" s="165"/>
      <c r="L5091" s="165"/>
      <c r="M5091" s="166"/>
      <c r="N5091" s="167"/>
      <c r="O5091" s="163"/>
      <c r="P5091" s="163"/>
      <c r="Q5091" s="163"/>
      <c r="R5091" s="163"/>
      <c r="S5091" s="161"/>
      <c r="T5091" s="161"/>
      <c r="U5091" s="161"/>
      <c r="V5091" s="161"/>
      <c r="W5091" s="161"/>
      <c r="X5091" s="161"/>
      <c r="Y5091" s="161"/>
      <c r="Z5091" s="168"/>
      <c r="AA5091" s="168"/>
      <c r="AB5091" s="168"/>
      <c r="AC5091" s="168"/>
    </row>
    <row r="5092">
      <c r="A5092" s="161"/>
      <c r="B5092" s="161"/>
      <c r="C5092" s="162"/>
      <c r="D5092" s="163"/>
      <c r="E5092" s="164" t="str">
        <f>IFERROR(__xludf.DUMMYFUNCTION("""COMPUTED_VALUE"""),"")</f>
        <v/>
      </c>
      <c r="F5092" s="163"/>
      <c r="G5092" s="163"/>
      <c r="H5092" s="163"/>
      <c r="I5092" s="163"/>
      <c r="J5092" s="165"/>
      <c r="K5092" s="165"/>
      <c r="L5092" s="165"/>
      <c r="M5092" s="166"/>
      <c r="N5092" s="167"/>
      <c r="O5092" s="163"/>
      <c r="P5092" s="163"/>
      <c r="Q5092" s="163"/>
      <c r="R5092" s="163"/>
      <c r="S5092" s="161"/>
      <c r="T5092" s="161"/>
      <c r="U5092" s="161"/>
      <c r="V5092" s="161"/>
      <c r="W5092" s="161"/>
      <c r="X5092" s="161"/>
      <c r="Y5092" s="161"/>
      <c r="Z5092" s="168"/>
      <c r="AA5092" s="168"/>
      <c r="AB5092" s="168"/>
      <c r="AC5092" s="168"/>
    </row>
    <row r="5093">
      <c r="A5093" s="161"/>
      <c r="B5093" s="161"/>
      <c r="C5093" s="162"/>
      <c r="D5093" s="163"/>
      <c r="E5093" s="164" t="str">
        <f>IFERROR(__xludf.DUMMYFUNCTION("""COMPUTED_VALUE"""),"")</f>
        <v/>
      </c>
      <c r="F5093" s="163"/>
      <c r="G5093" s="163"/>
      <c r="H5093" s="163"/>
      <c r="I5093" s="163"/>
      <c r="J5093" s="165"/>
      <c r="K5093" s="165"/>
      <c r="L5093" s="165"/>
      <c r="M5093" s="166"/>
      <c r="N5093" s="167"/>
      <c r="O5093" s="163"/>
      <c r="P5093" s="163"/>
      <c r="Q5093" s="163"/>
      <c r="R5093" s="163"/>
      <c r="S5093" s="161"/>
      <c r="T5093" s="161"/>
      <c r="U5093" s="161"/>
      <c r="V5093" s="161"/>
      <c r="W5093" s="161"/>
      <c r="X5093" s="161"/>
      <c r="Y5093" s="161"/>
      <c r="Z5093" s="168"/>
      <c r="AA5093" s="168"/>
      <c r="AB5093" s="168"/>
      <c r="AC5093" s="168"/>
    </row>
    <row r="5094">
      <c r="A5094" s="161"/>
      <c r="B5094" s="161"/>
      <c r="C5094" s="162"/>
      <c r="D5094" s="163"/>
      <c r="E5094" s="164" t="str">
        <f>IFERROR(__xludf.DUMMYFUNCTION("""COMPUTED_VALUE"""),"")</f>
        <v/>
      </c>
      <c r="F5094" s="163"/>
      <c r="G5094" s="163"/>
      <c r="H5094" s="163"/>
      <c r="I5094" s="163"/>
      <c r="J5094" s="165"/>
      <c r="K5094" s="165"/>
      <c r="L5094" s="165"/>
      <c r="M5094" s="166"/>
      <c r="N5094" s="167"/>
      <c r="O5094" s="163"/>
      <c r="P5094" s="163"/>
      <c r="Q5094" s="163"/>
      <c r="R5094" s="163"/>
      <c r="S5094" s="161"/>
      <c r="T5094" s="161"/>
      <c r="U5094" s="161"/>
      <c r="V5094" s="161"/>
      <c r="W5094" s="161"/>
      <c r="X5094" s="161"/>
      <c r="Y5094" s="161"/>
      <c r="Z5094" s="168"/>
      <c r="AA5094" s="168"/>
      <c r="AB5094" s="168"/>
      <c r="AC5094" s="168"/>
    </row>
    <row r="5095">
      <c r="A5095" s="161"/>
      <c r="B5095" s="161"/>
      <c r="C5095" s="162"/>
      <c r="D5095" s="163"/>
      <c r="E5095" s="164" t="str">
        <f>IFERROR(__xludf.DUMMYFUNCTION("""COMPUTED_VALUE"""),"")</f>
        <v/>
      </c>
      <c r="F5095" s="163"/>
      <c r="G5095" s="163"/>
      <c r="H5095" s="163"/>
      <c r="I5095" s="163"/>
      <c r="J5095" s="165"/>
      <c r="K5095" s="165"/>
      <c r="L5095" s="165"/>
      <c r="M5095" s="166"/>
      <c r="N5095" s="167"/>
      <c r="O5095" s="163"/>
      <c r="P5095" s="163"/>
      <c r="Q5095" s="163"/>
      <c r="R5095" s="163"/>
      <c r="S5095" s="161"/>
      <c r="T5095" s="161"/>
      <c r="U5095" s="161"/>
      <c r="V5095" s="161"/>
      <c r="W5095" s="161"/>
      <c r="X5095" s="161"/>
      <c r="Y5095" s="161"/>
      <c r="Z5095" s="168"/>
      <c r="AA5095" s="168"/>
      <c r="AB5095" s="168"/>
      <c r="AC5095" s="168"/>
    </row>
    <row r="5096">
      <c r="A5096" s="161"/>
      <c r="B5096" s="161"/>
      <c r="C5096" s="162"/>
      <c r="D5096" s="163"/>
      <c r="E5096" s="164" t="str">
        <f>IFERROR(__xludf.DUMMYFUNCTION("""COMPUTED_VALUE"""),"")</f>
        <v/>
      </c>
      <c r="F5096" s="163"/>
      <c r="G5096" s="163"/>
      <c r="H5096" s="163"/>
      <c r="I5096" s="163"/>
      <c r="J5096" s="165"/>
      <c r="K5096" s="165"/>
      <c r="L5096" s="165"/>
      <c r="M5096" s="166"/>
      <c r="N5096" s="167"/>
      <c r="O5096" s="163"/>
      <c r="P5096" s="163"/>
      <c r="Q5096" s="163"/>
      <c r="R5096" s="163"/>
      <c r="S5096" s="161"/>
      <c r="T5096" s="161"/>
      <c r="U5096" s="161"/>
      <c r="V5096" s="161"/>
      <c r="W5096" s="161"/>
      <c r="X5096" s="161"/>
      <c r="Y5096" s="161"/>
      <c r="Z5096" s="168"/>
      <c r="AA5096" s="168"/>
      <c r="AB5096" s="168"/>
      <c r="AC5096" s="168"/>
    </row>
    <row r="5097">
      <c r="A5097" s="161"/>
      <c r="B5097" s="161"/>
      <c r="C5097" s="162"/>
      <c r="D5097" s="163"/>
      <c r="E5097" s="164" t="str">
        <f>IFERROR(__xludf.DUMMYFUNCTION("""COMPUTED_VALUE"""),"")</f>
        <v/>
      </c>
      <c r="F5097" s="163"/>
      <c r="G5097" s="163"/>
      <c r="H5097" s="163"/>
      <c r="I5097" s="163"/>
      <c r="J5097" s="165"/>
      <c r="K5097" s="165"/>
      <c r="L5097" s="165"/>
      <c r="M5097" s="166"/>
      <c r="N5097" s="167"/>
      <c r="O5097" s="163"/>
      <c r="P5097" s="163"/>
      <c r="Q5097" s="163"/>
      <c r="R5097" s="163"/>
      <c r="S5097" s="161"/>
      <c r="T5097" s="161"/>
      <c r="U5097" s="161"/>
      <c r="V5097" s="161"/>
      <c r="W5097" s="161"/>
      <c r="X5097" s="161"/>
      <c r="Y5097" s="161"/>
      <c r="Z5097" s="168"/>
      <c r="AA5097" s="168"/>
      <c r="AB5097" s="168"/>
      <c r="AC5097" s="168"/>
    </row>
    <row r="5098">
      <c r="A5098" s="161"/>
      <c r="B5098" s="161"/>
      <c r="C5098" s="162"/>
      <c r="D5098" s="163"/>
      <c r="E5098" s="164" t="str">
        <f>IFERROR(__xludf.DUMMYFUNCTION("""COMPUTED_VALUE"""),"")</f>
        <v/>
      </c>
      <c r="F5098" s="163"/>
      <c r="G5098" s="163"/>
      <c r="H5098" s="163"/>
      <c r="I5098" s="163"/>
      <c r="J5098" s="165"/>
      <c r="K5098" s="165"/>
      <c r="L5098" s="165"/>
      <c r="M5098" s="166"/>
      <c r="N5098" s="167"/>
      <c r="O5098" s="163"/>
      <c r="P5098" s="163"/>
      <c r="Q5098" s="163"/>
      <c r="R5098" s="163"/>
      <c r="S5098" s="161"/>
      <c r="T5098" s="161"/>
      <c r="U5098" s="161"/>
      <c r="V5098" s="161"/>
      <c r="W5098" s="161"/>
      <c r="X5098" s="161"/>
      <c r="Y5098" s="161"/>
      <c r="Z5098" s="168"/>
      <c r="AA5098" s="168"/>
      <c r="AB5098" s="168"/>
      <c r="AC5098" s="168"/>
    </row>
    <row r="5099">
      <c r="A5099" s="161"/>
      <c r="B5099" s="161"/>
      <c r="C5099" s="162"/>
      <c r="D5099" s="163"/>
      <c r="E5099" s="164" t="str">
        <f>IFERROR(__xludf.DUMMYFUNCTION("""COMPUTED_VALUE"""),"")</f>
        <v/>
      </c>
      <c r="F5099" s="163"/>
      <c r="G5099" s="163"/>
      <c r="H5099" s="163"/>
      <c r="I5099" s="163"/>
      <c r="J5099" s="165"/>
      <c r="K5099" s="165"/>
      <c r="L5099" s="165"/>
      <c r="M5099" s="166"/>
      <c r="N5099" s="167"/>
      <c r="O5099" s="163"/>
      <c r="P5099" s="163"/>
      <c r="Q5099" s="163"/>
      <c r="R5099" s="163"/>
      <c r="S5099" s="161"/>
      <c r="T5099" s="161"/>
      <c r="U5099" s="161"/>
      <c r="V5099" s="161"/>
      <c r="W5099" s="161"/>
      <c r="X5099" s="161"/>
      <c r="Y5099" s="161"/>
      <c r="Z5099" s="168"/>
      <c r="AA5099" s="168"/>
      <c r="AB5099" s="168"/>
      <c r="AC5099" s="168"/>
    </row>
    <row r="5100">
      <c r="A5100" s="161"/>
      <c r="B5100" s="161"/>
      <c r="C5100" s="162"/>
      <c r="D5100" s="163"/>
      <c r="E5100" s="164" t="str">
        <f>IFERROR(__xludf.DUMMYFUNCTION("""COMPUTED_VALUE"""),"")</f>
        <v/>
      </c>
      <c r="F5100" s="163"/>
      <c r="G5100" s="163"/>
      <c r="H5100" s="163"/>
      <c r="I5100" s="163"/>
      <c r="J5100" s="165"/>
      <c r="K5100" s="165"/>
      <c r="L5100" s="165"/>
      <c r="M5100" s="166"/>
      <c r="N5100" s="167"/>
      <c r="O5100" s="163"/>
      <c r="P5100" s="163"/>
      <c r="Q5100" s="163"/>
      <c r="R5100" s="163"/>
      <c r="S5100" s="161"/>
      <c r="T5100" s="161"/>
      <c r="U5100" s="161"/>
      <c r="V5100" s="161"/>
      <c r="W5100" s="161"/>
      <c r="X5100" s="161"/>
      <c r="Y5100" s="161"/>
      <c r="Z5100" s="168"/>
      <c r="AA5100" s="168"/>
      <c r="AB5100" s="168"/>
      <c r="AC5100" s="168"/>
    </row>
    <row r="5101">
      <c r="A5101" s="161"/>
      <c r="B5101" s="161"/>
      <c r="C5101" s="162"/>
      <c r="D5101" s="163"/>
      <c r="E5101" s="164" t="str">
        <f>IFERROR(__xludf.DUMMYFUNCTION("""COMPUTED_VALUE"""),"")</f>
        <v/>
      </c>
      <c r="F5101" s="163"/>
      <c r="G5101" s="163"/>
      <c r="H5101" s="163"/>
      <c r="I5101" s="163"/>
      <c r="J5101" s="165"/>
      <c r="K5101" s="165"/>
      <c r="L5101" s="165"/>
      <c r="M5101" s="166"/>
      <c r="N5101" s="167"/>
      <c r="O5101" s="163"/>
      <c r="P5101" s="163"/>
      <c r="Q5101" s="163"/>
      <c r="R5101" s="163"/>
      <c r="S5101" s="161"/>
      <c r="T5101" s="161"/>
      <c r="U5101" s="161"/>
      <c r="V5101" s="161"/>
      <c r="W5101" s="161"/>
      <c r="X5101" s="161"/>
      <c r="Y5101" s="161"/>
      <c r="Z5101" s="168"/>
      <c r="AA5101" s="168"/>
      <c r="AB5101" s="168"/>
      <c r="AC5101" s="168"/>
    </row>
    <row r="5102">
      <c r="A5102" s="161"/>
      <c r="B5102" s="161"/>
      <c r="C5102" s="162"/>
      <c r="D5102" s="163"/>
      <c r="E5102" s="164" t="str">
        <f>IFERROR(__xludf.DUMMYFUNCTION("""COMPUTED_VALUE"""),"")</f>
        <v/>
      </c>
      <c r="F5102" s="163"/>
      <c r="G5102" s="163"/>
      <c r="H5102" s="163"/>
      <c r="I5102" s="163"/>
      <c r="J5102" s="165"/>
      <c r="K5102" s="165"/>
      <c r="L5102" s="165"/>
      <c r="M5102" s="166"/>
      <c r="N5102" s="167"/>
      <c r="O5102" s="163"/>
      <c r="P5102" s="163"/>
      <c r="Q5102" s="163"/>
      <c r="R5102" s="163"/>
      <c r="S5102" s="161"/>
      <c r="T5102" s="161"/>
      <c r="U5102" s="161"/>
      <c r="V5102" s="161"/>
      <c r="W5102" s="161"/>
      <c r="X5102" s="161"/>
      <c r="Y5102" s="161"/>
      <c r="Z5102" s="168"/>
      <c r="AA5102" s="168"/>
      <c r="AB5102" s="168"/>
      <c r="AC5102" s="168"/>
    </row>
    <row r="5103">
      <c r="A5103" s="161"/>
      <c r="B5103" s="161"/>
      <c r="C5103" s="162"/>
      <c r="D5103" s="163"/>
      <c r="E5103" s="164" t="str">
        <f>IFERROR(__xludf.DUMMYFUNCTION("""COMPUTED_VALUE"""),"")</f>
        <v/>
      </c>
      <c r="F5103" s="163"/>
      <c r="G5103" s="163"/>
      <c r="H5103" s="163"/>
      <c r="I5103" s="163"/>
      <c r="J5103" s="165"/>
      <c r="K5103" s="165"/>
      <c r="L5103" s="165"/>
      <c r="M5103" s="166"/>
      <c r="N5103" s="167"/>
      <c r="O5103" s="163"/>
      <c r="P5103" s="163"/>
      <c r="Q5103" s="163"/>
      <c r="R5103" s="163"/>
      <c r="S5103" s="161"/>
      <c r="T5103" s="161"/>
      <c r="U5103" s="161"/>
      <c r="V5103" s="161"/>
      <c r="W5103" s="161"/>
      <c r="X5103" s="161"/>
      <c r="Y5103" s="161"/>
      <c r="Z5103" s="168"/>
      <c r="AA5103" s="168"/>
      <c r="AB5103" s="168"/>
      <c r="AC5103" s="168"/>
    </row>
    <row r="5104">
      <c r="A5104" s="161"/>
      <c r="B5104" s="161"/>
      <c r="C5104" s="162"/>
      <c r="D5104" s="163"/>
      <c r="E5104" s="164" t="str">
        <f>IFERROR(__xludf.DUMMYFUNCTION("""COMPUTED_VALUE"""),"")</f>
        <v/>
      </c>
      <c r="F5104" s="163"/>
      <c r="G5104" s="163"/>
      <c r="H5104" s="163"/>
      <c r="I5104" s="163"/>
      <c r="J5104" s="165"/>
      <c r="K5104" s="165"/>
      <c r="L5104" s="165"/>
      <c r="M5104" s="166"/>
      <c r="N5104" s="167"/>
      <c r="O5104" s="163"/>
      <c r="P5104" s="163"/>
      <c r="Q5104" s="163"/>
      <c r="R5104" s="163"/>
      <c r="S5104" s="161"/>
      <c r="T5104" s="161"/>
      <c r="U5104" s="161"/>
      <c r="V5104" s="161"/>
      <c r="W5104" s="161"/>
      <c r="X5104" s="161"/>
      <c r="Y5104" s="161"/>
      <c r="Z5104" s="168"/>
      <c r="AA5104" s="168"/>
      <c r="AB5104" s="168"/>
      <c r="AC5104" s="168"/>
    </row>
    <row r="5105">
      <c r="A5105" s="161"/>
      <c r="B5105" s="161"/>
      <c r="C5105" s="162"/>
      <c r="D5105" s="163"/>
      <c r="E5105" s="164" t="str">
        <f>IFERROR(__xludf.DUMMYFUNCTION("""COMPUTED_VALUE"""),"")</f>
        <v/>
      </c>
      <c r="F5105" s="163"/>
      <c r="G5105" s="163"/>
      <c r="H5105" s="163"/>
      <c r="I5105" s="163"/>
      <c r="J5105" s="165"/>
      <c r="K5105" s="165"/>
      <c r="L5105" s="165"/>
      <c r="M5105" s="166"/>
      <c r="N5105" s="167"/>
      <c r="O5105" s="163"/>
      <c r="P5105" s="163"/>
      <c r="Q5105" s="163"/>
      <c r="R5105" s="163"/>
      <c r="S5105" s="161"/>
      <c r="T5105" s="161"/>
      <c r="U5105" s="161"/>
      <c r="V5105" s="161"/>
      <c r="W5105" s="161"/>
      <c r="X5105" s="161"/>
      <c r="Y5105" s="161"/>
      <c r="Z5105" s="168"/>
      <c r="AA5105" s="168"/>
      <c r="AB5105" s="168"/>
      <c r="AC5105" s="168"/>
    </row>
    <row r="5106">
      <c r="A5106" s="161"/>
      <c r="B5106" s="161"/>
      <c r="C5106" s="162"/>
      <c r="D5106" s="163"/>
      <c r="E5106" s="164" t="str">
        <f>IFERROR(__xludf.DUMMYFUNCTION("""COMPUTED_VALUE"""),"")</f>
        <v/>
      </c>
      <c r="F5106" s="163"/>
      <c r="G5106" s="163"/>
      <c r="H5106" s="163"/>
      <c r="I5106" s="163"/>
      <c r="J5106" s="165"/>
      <c r="K5106" s="165"/>
      <c r="L5106" s="165"/>
      <c r="M5106" s="166"/>
      <c r="N5106" s="167"/>
      <c r="O5106" s="163"/>
      <c r="P5106" s="163"/>
      <c r="Q5106" s="163"/>
      <c r="R5106" s="163"/>
      <c r="S5106" s="161"/>
      <c r="T5106" s="161"/>
      <c r="U5106" s="161"/>
      <c r="V5106" s="161"/>
      <c r="W5106" s="161"/>
      <c r="X5106" s="161"/>
      <c r="Y5106" s="161"/>
      <c r="Z5106" s="168"/>
      <c r="AA5106" s="168"/>
      <c r="AB5106" s="168"/>
      <c r="AC5106" s="168"/>
    </row>
    <row r="5107">
      <c r="A5107" s="161"/>
      <c r="B5107" s="161"/>
      <c r="C5107" s="162"/>
      <c r="D5107" s="163"/>
      <c r="E5107" s="164" t="str">
        <f>IFERROR(__xludf.DUMMYFUNCTION("""COMPUTED_VALUE"""),"")</f>
        <v/>
      </c>
      <c r="F5107" s="163"/>
      <c r="G5107" s="163"/>
      <c r="H5107" s="163"/>
      <c r="I5107" s="163"/>
      <c r="J5107" s="165"/>
      <c r="K5107" s="165"/>
      <c r="L5107" s="165"/>
      <c r="M5107" s="166"/>
      <c r="N5107" s="167"/>
      <c r="O5107" s="163"/>
      <c r="P5107" s="163"/>
      <c r="Q5107" s="163"/>
      <c r="R5107" s="163"/>
      <c r="S5107" s="161"/>
      <c r="T5107" s="161"/>
      <c r="U5107" s="161"/>
      <c r="V5107" s="161"/>
      <c r="W5107" s="161"/>
      <c r="X5107" s="161"/>
      <c r="Y5107" s="161"/>
      <c r="Z5107" s="168"/>
      <c r="AA5107" s="168"/>
      <c r="AB5107" s="168"/>
      <c r="AC5107" s="168"/>
    </row>
    <row r="5108">
      <c r="A5108" s="161"/>
      <c r="B5108" s="161"/>
      <c r="C5108" s="162"/>
      <c r="D5108" s="163"/>
      <c r="E5108" s="164" t="str">
        <f>IFERROR(__xludf.DUMMYFUNCTION("""COMPUTED_VALUE"""),"")</f>
        <v/>
      </c>
      <c r="F5108" s="163"/>
      <c r="G5108" s="163"/>
      <c r="H5108" s="163"/>
      <c r="I5108" s="163"/>
      <c r="J5108" s="165"/>
      <c r="K5108" s="165"/>
      <c r="L5108" s="165"/>
      <c r="M5108" s="166"/>
      <c r="N5108" s="167"/>
      <c r="O5108" s="163"/>
      <c r="P5108" s="163"/>
      <c r="Q5108" s="163"/>
      <c r="R5108" s="163"/>
      <c r="S5108" s="161"/>
      <c r="T5108" s="161"/>
      <c r="U5108" s="161"/>
      <c r="V5108" s="161"/>
      <c r="W5108" s="161"/>
      <c r="X5108" s="161"/>
      <c r="Y5108" s="161"/>
      <c r="Z5108" s="168"/>
      <c r="AA5108" s="168"/>
      <c r="AB5108" s="168"/>
      <c r="AC5108" s="168"/>
    </row>
    <row r="5109">
      <c r="A5109" s="161"/>
      <c r="B5109" s="161"/>
      <c r="C5109" s="162"/>
      <c r="D5109" s="163"/>
      <c r="E5109" s="164" t="str">
        <f>IFERROR(__xludf.DUMMYFUNCTION("""COMPUTED_VALUE"""),"")</f>
        <v/>
      </c>
      <c r="F5109" s="163"/>
      <c r="G5109" s="163"/>
      <c r="H5109" s="163"/>
      <c r="I5109" s="163"/>
      <c r="J5109" s="165"/>
      <c r="K5109" s="165"/>
      <c r="L5109" s="165"/>
      <c r="M5109" s="166"/>
      <c r="N5109" s="167"/>
      <c r="O5109" s="163"/>
      <c r="P5109" s="163"/>
      <c r="Q5109" s="163"/>
      <c r="R5109" s="163"/>
      <c r="S5109" s="161"/>
      <c r="T5109" s="161"/>
      <c r="U5109" s="161"/>
      <c r="V5109" s="161"/>
      <c r="W5109" s="161"/>
      <c r="X5109" s="161"/>
      <c r="Y5109" s="161"/>
      <c r="Z5109" s="168"/>
      <c r="AA5109" s="168"/>
      <c r="AB5109" s="168"/>
      <c r="AC5109" s="168"/>
    </row>
    <row r="5110">
      <c r="A5110" s="161"/>
      <c r="B5110" s="161"/>
      <c r="C5110" s="162"/>
      <c r="D5110" s="163"/>
      <c r="E5110" s="164" t="str">
        <f>IFERROR(__xludf.DUMMYFUNCTION("""COMPUTED_VALUE"""),"")</f>
        <v/>
      </c>
      <c r="F5110" s="163"/>
      <c r="G5110" s="163"/>
      <c r="H5110" s="163"/>
      <c r="I5110" s="163"/>
      <c r="J5110" s="165"/>
      <c r="K5110" s="165"/>
      <c r="L5110" s="165"/>
      <c r="M5110" s="166"/>
      <c r="N5110" s="167"/>
      <c r="O5110" s="163"/>
      <c r="P5110" s="163"/>
      <c r="Q5110" s="163"/>
      <c r="R5110" s="163"/>
      <c r="S5110" s="161"/>
      <c r="T5110" s="161"/>
      <c r="U5110" s="161"/>
      <c r="V5110" s="161"/>
      <c r="W5110" s="161"/>
      <c r="X5110" s="161"/>
      <c r="Y5110" s="161"/>
      <c r="Z5110" s="168"/>
      <c r="AA5110" s="168"/>
      <c r="AB5110" s="168"/>
      <c r="AC5110" s="168"/>
    </row>
    <row r="5111">
      <c r="A5111" s="161"/>
      <c r="B5111" s="161"/>
      <c r="C5111" s="162"/>
      <c r="D5111" s="163"/>
      <c r="E5111" s="164" t="str">
        <f>IFERROR(__xludf.DUMMYFUNCTION("""COMPUTED_VALUE"""),"")</f>
        <v/>
      </c>
      <c r="F5111" s="163"/>
      <c r="G5111" s="163"/>
      <c r="H5111" s="163"/>
      <c r="I5111" s="163"/>
      <c r="J5111" s="165"/>
      <c r="K5111" s="165"/>
      <c r="L5111" s="165"/>
      <c r="M5111" s="166"/>
      <c r="N5111" s="167"/>
      <c r="O5111" s="163"/>
      <c r="P5111" s="163"/>
      <c r="Q5111" s="163"/>
      <c r="R5111" s="163"/>
      <c r="S5111" s="161"/>
      <c r="T5111" s="161"/>
      <c r="U5111" s="161"/>
      <c r="V5111" s="161"/>
      <c r="W5111" s="161"/>
      <c r="X5111" s="161"/>
      <c r="Y5111" s="161"/>
      <c r="Z5111" s="168"/>
      <c r="AA5111" s="168"/>
      <c r="AB5111" s="168"/>
      <c r="AC5111" s="168"/>
    </row>
    <row r="5112">
      <c r="A5112" s="161"/>
      <c r="B5112" s="161"/>
      <c r="C5112" s="162"/>
      <c r="D5112" s="163"/>
      <c r="E5112" s="164" t="str">
        <f>IFERROR(__xludf.DUMMYFUNCTION("""COMPUTED_VALUE"""),"")</f>
        <v/>
      </c>
      <c r="F5112" s="163"/>
      <c r="G5112" s="163"/>
      <c r="H5112" s="163"/>
      <c r="I5112" s="163"/>
      <c r="J5112" s="165"/>
      <c r="K5112" s="165"/>
      <c r="L5112" s="165"/>
      <c r="M5112" s="166"/>
      <c r="N5112" s="167"/>
      <c r="O5112" s="163"/>
      <c r="P5112" s="163"/>
      <c r="Q5112" s="163"/>
      <c r="R5112" s="163"/>
      <c r="S5112" s="161"/>
      <c r="T5112" s="161"/>
      <c r="U5112" s="161"/>
      <c r="V5112" s="161"/>
      <c r="W5112" s="161"/>
      <c r="X5112" s="161"/>
      <c r="Y5112" s="161"/>
      <c r="Z5112" s="168"/>
      <c r="AA5112" s="168"/>
      <c r="AB5112" s="168"/>
      <c r="AC5112" s="168"/>
    </row>
    <row r="5113">
      <c r="A5113" s="161"/>
      <c r="B5113" s="161"/>
      <c r="C5113" s="162"/>
      <c r="D5113" s="163"/>
      <c r="E5113" s="164" t="str">
        <f>IFERROR(__xludf.DUMMYFUNCTION("""COMPUTED_VALUE"""),"")</f>
        <v/>
      </c>
      <c r="F5113" s="163"/>
      <c r="G5113" s="163"/>
      <c r="H5113" s="163"/>
      <c r="I5113" s="163"/>
      <c r="J5113" s="165"/>
      <c r="K5113" s="165"/>
      <c r="L5113" s="165"/>
      <c r="M5113" s="166"/>
      <c r="N5113" s="167"/>
      <c r="O5113" s="163"/>
      <c r="P5113" s="163"/>
      <c r="Q5113" s="163"/>
      <c r="R5113" s="163"/>
      <c r="S5113" s="161"/>
      <c r="T5113" s="161"/>
      <c r="U5113" s="161"/>
      <c r="V5113" s="161"/>
      <c r="W5113" s="161"/>
      <c r="X5113" s="161"/>
      <c r="Y5113" s="161"/>
      <c r="Z5113" s="168"/>
      <c r="AA5113" s="168"/>
      <c r="AB5113" s="168"/>
      <c r="AC5113" s="168"/>
    </row>
    <row r="5114">
      <c r="A5114" s="161"/>
      <c r="B5114" s="161"/>
      <c r="C5114" s="162"/>
      <c r="D5114" s="163"/>
      <c r="E5114" s="164" t="str">
        <f>IFERROR(__xludf.DUMMYFUNCTION("""COMPUTED_VALUE"""),"")</f>
        <v/>
      </c>
      <c r="F5114" s="163"/>
      <c r="G5114" s="163"/>
      <c r="H5114" s="163"/>
      <c r="I5114" s="163"/>
      <c r="J5114" s="165"/>
      <c r="K5114" s="165"/>
      <c r="L5114" s="165"/>
      <c r="M5114" s="166"/>
      <c r="N5114" s="167"/>
      <c r="O5114" s="163"/>
      <c r="P5114" s="163"/>
      <c r="Q5114" s="163"/>
      <c r="R5114" s="163"/>
      <c r="S5114" s="161"/>
      <c r="T5114" s="161"/>
      <c r="U5114" s="161"/>
      <c r="V5114" s="161"/>
      <c r="W5114" s="161"/>
      <c r="X5114" s="161"/>
      <c r="Y5114" s="161"/>
      <c r="Z5114" s="168"/>
      <c r="AA5114" s="168"/>
      <c r="AB5114" s="168"/>
      <c r="AC5114" s="168"/>
    </row>
    <row r="5115">
      <c r="A5115" s="161"/>
      <c r="B5115" s="161"/>
      <c r="C5115" s="162"/>
      <c r="D5115" s="163"/>
      <c r="E5115" s="164" t="str">
        <f>IFERROR(__xludf.DUMMYFUNCTION("""COMPUTED_VALUE"""),"")</f>
        <v/>
      </c>
      <c r="F5115" s="163"/>
      <c r="G5115" s="163"/>
      <c r="H5115" s="163"/>
      <c r="I5115" s="163"/>
      <c r="J5115" s="165"/>
      <c r="K5115" s="165"/>
      <c r="L5115" s="165"/>
      <c r="M5115" s="166"/>
      <c r="N5115" s="167"/>
      <c r="O5115" s="163"/>
      <c r="P5115" s="163"/>
      <c r="Q5115" s="163"/>
      <c r="R5115" s="163"/>
      <c r="S5115" s="161"/>
      <c r="T5115" s="161"/>
      <c r="U5115" s="161"/>
      <c r="V5115" s="161"/>
      <c r="W5115" s="161"/>
      <c r="X5115" s="161"/>
      <c r="Y5115" s="161"/>
      <c r="Z5115" s="168"/>
      <c r="AA5115" s="168"/>
      <c r="AB5115" s="168"/>
      <c r="AC5115" s="168"/>
    </row>
    <row r="5116">
      <c r="A5116" s="161"/>
      <c r="B5116" s="161"/>
      <c r="C5116" s="162"/>
      <c r="D5116" s="163"/>
      <c r="E5116" s="164" t="str">
        <f>IFERROR(__xludf.DUMMYFUNCTION("""COMPUTED_VALUE"""),"")</f>
        <v/>
      </c>
      <c r="F5116" s="163"/>
      <c r="G5116" s="163"/>
      <c r="H5116" s="163"/>
      <c r="I5116" s="163"/>
      <c r="J5116" s="165"/>
      <c r="K5116" s="165"/>
      <c r="L5116" s="165"/>
      <c r="M5116" s="166"/>
      <c r="N5116" s="167"/>
      <c r="O5116" s="163"/>
      <c r="P5116" s="163"/>
      <c r="Q5116" s="163"/>
      <c r="R5116" s="163"/>
      <c r="S5116" s="161"/>
      <c r="T5116" s="161"/>
      <c r="U5116" s="161"/>
      <c r="V5116" s="161"/>
      <c r="W5116" s="161"/>
      <c r="X5116" s="161"/>
      <c r="Y5116" s="161"/>
      <c r="Z5116" s="168"/>
      <c r="AA5116" s="168"/>
      <c r="AB5116" s="168"/>
      <c r="AC5116" s="168"/>
    </row>
    <row r="5117">
      <c r="A5117" s="161"/>
      <c r="B5117" s="161"/>
      <c r="C5117" s="162"/>
      <c r="D5117" s="163"/>
      <c r="E5117" s="164" t="str">
        <f>IFERROR(__xludf.DUMMYFUNCTION("""COMPUTED_VALUE"""),"")</f>
        <v/>
      </c>
      <c r="F5117" s="163"/>
      <c r="G5117" s="163"/>
      <c r="H5117" s="163"/>
      <c r="I5117" s="163"/>
      <c r="J5117" s="165"/>
      <c r="K5117" s="165"/>
      <c r="L5117" s="165"/>
      <c r="M5117" s="166"/>
      <c r="N5117" s="167"/>
      <c r="O5117" s="163"/>
      <c r="P5117" s="163"/>
      <c r="Q5117" s="163"/>
      <c r="R5117" s="163"/>
      <c r="S5117" s="161"/>
      <c r="T5117" s="161"/>
      <c r="U5117" s="161"/>
      <c r="V5117" s="161"/>
      <c r="W5117" s="161"/>
      <c r="X5117" s="161"/>
      <c r="Y5117" s="161"/>
      <c r="Z5117" s="168"/>
      <c r="AA5117" s="168"/>
      <c r="AB5117" s="168"/>
      <c r="AC5117" s="168"/>
    </row>
    <row r="5118">
      <c r="A5118" s="161"/>
      <c r="B5118" s="161"/>
      <c r="C5118" s="162"/>
      <c r="D5118" s="163"/>
      <c r="E5118" s="164" t="str">
        <f>IFERROR(__xludf.DUMMYFUNCTION("""COMPUTED_VALUE"""),"")</f>
        <v/>
      </c>
      <c r="F5118" s="163"/>
      <c r="G5118" s="163"/>
      <c r="H5118" s="163"/>
      <c r="I5118" s="163"/>
      <c r="J5118" s="165"/>
      <c r="K5118" s="165"/>
      <c r="L5118" s="165"/>
      <c r="M5118" s="166"/>
      <c r="N5118" s="167"/>
      <c r="O5118" s="163"/>
      <c r="P5118" s="163"/>
      <c r="Q5118" s="163"/>
      <c r="R5118" s="163"/>
      <c r="S5118" s="161"/>
      <c r="T5118" s="161"/>
      <c r="U5118" s="161"/>
      <c r="V5118" s="161"/>
      <c r="W5118" s="161"/>
      <c r="X5118" s="161"/>
      <c r="Y5118" s="161"/>
      <c r="Z5118" s="168"/>
      <c r="AA5118" s="168"/>
      <c r="AB5118" s="168"/>
      <c r="AC5118" s="168"/>
    </row>
    <row r="5119">
      <c r="A5119" s="161"/>
      <c r="B5119" s="161"/>
      <c r="C5119" s="162"/>
      <c r="D5119" s="163"/>
      <c r="E5119" s="164" t="str">
        <f>IFERROR(__xludf.DUMMYFUNCTION("""COMPUTED_VALUE"""),"")</f>
        <v/>
      </c>
      <c r="F5119" s="163"/>
      <c r="G5119" s="163"/>
      <c r="H5119" s="163"/>
      <c r="I5119" s="163"/>
      <c r="J5119" s="165"/>
      <c r="K5119" s="165"/>
      <c r="L5119" s="165"/>
      <c r="M5119" s="166"/>
      <c r="N5119" s="167"/>
      <c r="O5119" s="163"/>
      <c r="P5119" s="163"/>
      <c r="Q5119" s="163"/>
      <c r="R5119" s="163"/>
      <c r="S5119" s="161"/>
      <c r="T5119" s="161"/>
      <c r="U5119" s="161"/>
      <c r="V5119" s="161"/>
      <c r="W5119" s="161"/>
      <c r="X5119" s="161"/>
      <c r="Y5119" s="161"/>
      <c r="Z5119" s="168"/>
      <c r="AA5119" s="168"/>
      <c r="AB5119" s="168"/>
      <c r="AC5119" s="168"/>
    </row>
    <row r="5120">
      <c r="A5120" s="161"/>
      <c r="B5120" s="161"/>
      <c r="C5120" s="162"/>
      <c r="D5120" s="163"/>
      <c r="E5120" s="164" t="str">
        <f>IFERROR(__xludf.DUMMYFUNCTION("""COMPUTED_VALUE"""),"")</f>
        <v/>
      </c>
      <c r="F5120" s="163"/>
      <c r="G5120" s="163"/>
      <c r="H5120" s="163"/>
      <c r="I5120" s="163"/>
      <c r="J5120" s="165"/>
      <c r="K5120" s="165"/>
      <c r="L5120" s="165"/>
      <c r="M5120" s="166"/>
      <c r="N5120" s="167"/>
      <c r="O5120" s="163"/>
      <c r="P5120" s="163"/>
      <c r="Q5120" s="163"/>
      <c r="R5120" s="163"/>
      <c r="S5120" s="161"/>
      <c r="T5120" s="161"/>
      <c r="U5120" s="161"/>
      <c r="V5120" s="161"/>
      <c r="W5120" s="161"/>
      <c r="X5120" s="161"/>
      <c r="Y5120" s="161"/>
      <c r="Z5120" s="168"/>
      <c r="AA5120" s="168"/>
      <c r="AB5120" s="168"/>
      <c r="AC5120" s="168"/>
    </row>
    <row r="5121">
      <c r="A5121" s="161"/>
      <c r="B5121" s="161"/>
      <c r="C5121" s="162"/>
      <c r="D5121" s="163"/>
      <c r="E5121" s="164" t="str">
        <f>IFERROR(__xludf.DUMMYFUNCTION("""COMPUTED_VALUE"""),"")</f>
        <v/>
      </c>
      <c r="F5121" s="163"/>
      <c r="G5121" s="163"/>
      <c r="H5121" s="163"/>
      <c r="I5121" s="163"/>
      <c r="J5121" s="165"/>
      <c r="K5121" s="165"/>
      <c r="L5121" s="165"/>
      <c r="M5121" s="166"/>
      <c r="N5121" s="167"/>
      <c r="O5121" s="163"/>
      <c r="P5121" s="163"/>
      <c r="Q5121" s="163"/>
      <c r="R5121" s="163"/>
      <c r="S5121" s="161"/>
      <c r="T5121" s="161"/>
      <c r="U5121" s="161"/>
      <c r="V5121" s="161"/>
      <c r="W5121" s="161"/>
      <c r="X5121" s="161"/>
      <c r="Y5121" s="161"/>
      <c r="Z5121" s="168"/>
      <c r="AA5121" s="168"/>
      <c r="AB5121" s="168"/>
      <c r="AC5121" s="168"/>
    </row>
    <row r="5122">
      <c r="A5122" s="161"/>
      <c r="B5122" s="161"/>
      <c r="C5122" s="162"/>
      <c r="D5122" s="163"/>
      <c r="E5122" s="164" t="str">
        <f>IFERROR(__xludf.DUMMYFUNCTION("""COMPUTED_VALUE"""),"")</f>
        <v/>
      </c>
      <c r="F5122" s="163"/>
      <c r="G5122" s="163"/>
      <c r="H5122" s="163"/>
      <c r="I5122" s="163"/>
      <c r="J5122" s="165"/>
      <c r="K5122" s="165"/>
      <c r="L5122" s="165"/>
      <c r="M5122" s="166"/>
      <c r="N5122" s="167"/>
      <c r="O5122" s="163"/>
      <c r="P5122" s="163"/>
      <c r="Q5122" s="163"/>
      <c r="R5122" s="163"/>
      <c r="S5122" s="161"/>
      <c r="T5122" s="161"/>
      <c r="U5122" s="161"/>
      <c r="V5122" s="161"/>
      <c r="W5122" s="161"/>
      <c r="X5122" s="161"/>
      <c r="Y5122" s="161"/>
      <c r="Z5122" s="168"/>
      <c r="AA5122" s="168"/>
      <c r="AB5122" s="168"/>
      <c r="AC5122" s="168"/>
    </row>
    <row r="5123">
      <c r="A5123" s="161"/>
      <c r="B5123" s="161"/>
      <c r="C5123" s="162"/>
      <c r="D5123" s="163"/>
      <c r="E5123" s="164" t="str">
        <f>IFERROR(__xludf.DUMMYFUNCTION("""COMPUTED_VALUE"""),"")</f>
        <v/>
      </c>
      <c r="F5123" s="163"/>
      <c r="G5123" s="163"/>
      <c r="H5123" s="163"/>
      <c r="I5123" s="163"/>
      <c r="J5123" s="165"/>
      <c r="K5123" s="165"/>
      <c r="L5123" s="165"/>
      <c r="M5123" s="166"/>
      <c r="N5123" s="167"/>
      <c r="O5123" s="163"/>
      <c r="P5123" s="163"/>
      <c r="Q5123" s="163"/>
      <c r="R5123" s="163"/>
      <c r="S5123" s="161"/>
      <c r="T5123" s="161"/>
      <c r="U5123" s="161"/>
      <c r="V5123" s="161"/>
      <c r="W5123" s="161"/>
      <c r="X5123" s="161"/>
      <c r="Y5123" s="161"/>
      <c r="Z5123" s="168"/>
      <c r="AA5123" s="168"/>
      <c r="AB5123" s="168"/>
      <c r="AC5123" s="168"/>
    </row>
    <row r="5124">
      <c r="A5124" s="161"/>
      <c r="B5124" s="161"/>
      <c r="C5124" s="162"/>
      <c r="D5124" s="163"/>
      <c r="E5124" s="164" t="str">
        <f>IFERROR(__xludf.DUMMYFUNCTION("""COMPUTED_VALUE"""),"")</f>
        <v/>
      </c>
      <c r="F5124" s="163"/>
      <c r="G5124" s="163"/>
      <c r="H5124" s="163"/>
      <c r="I5124" s="163"/>
      <c r="J5124" s="165"/>
      <c r="K5124" s="165"/>
      <c r="L5124" s="165"/>
      <c r="M5124" s="166"/>
      <c r="N5124" s="167"/>
      <c r="O5124" s="163"/>
      <c r="P5124" s="163"/>
      <c r="Q5124" s="163"/>
      <c r="R5124" s="163"/>
      <c r="S5124" s="161"/>
      <c r="T5124" s="161"/>
      <c r="U5124" s="161"/>
      <c r="V5124" s="161"/>
      <c r="W5124" s="161"/>
      <c r="X5124" s="161"/>
      <c r="Y5124" s="161"/>
      <c r="Z5124" s="168"/>
      <c r="AA5124" s="168"/>
      <c r="AB5124" s="168"/>
      <c r="AC5124" s="168"/>
    </row>
    <row r="5125">
      <c r="A5125" s="161"/>
      <c r="B5125" s="161"/>
      <c r="C5125" s="162"/>
      <c r="D5125" s="163"/>
      <c r="E5125" s="164" t="str">
        <f>IFERROR(__xludf.DUMMYFUNCTION("""COMPUTED_VALUE"""),"")</f>
        <v/>
      </c>
      <c r="F5125" s="163"/>
      <c r="G5125" s="163"/>
      <c r="H5125" s="163"/>
      <c r="I5125" s="163"/>
      <c r="J5125" s="165"/>
      <c r="K5125" s="165"/>
      <c r="L5125" s="165"/>
      <c r="M5125" s="166"/>
      <c r="N5125" s="167"/>
      <c r="O5125" s="163"/>
      <c r="P5125" s="163"/>
      <c r="Q5125" s="163"/>
      <c r="R5125" s="163"/>
      <c r="S5125" s="161"/>
      <c r="T5125" s="161"/>
      <c r="U5125" s="161"/>
      <c r="V5125" s="161"/>
      <c r="W5125" s="161"/>
      <c r="X5125" s="161"/>
      <c r="Y5125" s="161"/>
      <c r="Z5125" s="168"/>
      <c r="AA5125" s="168"/>
      <c r="AB5125" s="168"/>
      <c r="AC5125" s="168"/>
    </row>
    <row r="5126">
      <c r="A5126" s="161"/>
      <c r="B5126" s="161"/>
      <c r="C5126" s="162"/>
      <c r="D5126" s="163"/>
      <c r="E5126" s="164" t="str">
        <f>IFERROR(__xludf.DUMMYFUNCTION("""COMPUTED_VALUE"""),"")</f>
        <v/>
      </c>
      <c r="F5126" s="163"/>
      <c r="G5126" s="163"/>
      <c r="H5126" s="163"/>
      <c r="I5126" s="163"/>
      <c r="J5126" s="165"/>
      <c r="K5126" s="165"/>
      <c r="L5126" s="165"/>
      <c r="M5126" s="166"/>
      <c r="N5126" s="167"/>
      <c r="O5126" s="163"/>
      <c r="P5126" s="163"/>
      <c r="Q5126" s="163"/>
      <c r="R5126" s="163"/>
      <c r="S5126" s="161"/>
      <c r="T5126" s="161"/>
      <c r="U5126" s="161"/>
      <c r="V5126" s="161"/>
      <c r="W5126" s="161"/>
      <c r="X5126" s="161"/>
      <c r="Y5126" s="161"/>
      <c r="Z5126" s="168"/>
      <c r="AA5126" s="168"/>
      <c r="AB5126" s="168"/>
      <c r="AC5126" s="168"/>
    </row>
    <row r="5127">
      <c r="A5127" s="161"/>
      <c r="B5127" s="161"/>
      <c r="C5127" s="162"/>
      <c r="D5127" s="163"/>
      <c r="E5127" s="164" t="str">
        <f>IFERROR(__xludf.DUMMYFUNCTION("""COMPUTED_VALUE"""),"")</f>
        <v/>
      </c>
      <c r="F5127" s="163"/>
      <c r="G5127" s="163"/>
      <c r="H5127" s="163"/>
      <c r="I5127" s="163"/>
      <c r="J5127" s="165"/>
      <c r="K5127" s="165"/>
      <c r="L5127" s="165"/>
      <c r="M5127" s="166"/>
      <c r="N5127" s="167"/>
      <c r="O5127" s="163"/>
      <c r="P5127" s="163"/>
      <c r="Q5127" s="163"/>
      <c r="R5127" s="163"/>
      <c r="S5127" s="161"/>
      <c r="T5127" s="161"/>
      <c r="U5127" s="161"/>
      <c r="V5127" s="161"/>
      <c r="W5127" s="161"/>
      <c r="X5127" s="161"/>
      <c r="Y5127" s="161"/>
      <c r="Z5127" s="168"/>
      <c r="AA5127" s="168"/>
      <c r="AB5127" s="168"/>
      <c r="AC5127" s="168"/>
    </row>
    <row r="5128">
      <c r="A5128" s="161"/>
      <c r="B5128" s="161"/>
      <c r="C5128" s="162"/>
      <c r="D5128" s="163"/>
      <c r="E5128" s="164" t="str">
        <f>IFERROR(__xludf.DUMMYFUNCTION("""COMPUTED_VALUE"""),"")</f>
        <v/>
      </c>
      <c r="F5128" s="163"/>
      <c r="G5128" s="163"/>
      <c r="H5128" s="163"/>
      <c r="I5128" s="163"/>
      <c r="J5128" s="165"/>
      <c r="K5128" s="165"/>
      <c r="L5128" s="165"/>
      <c r="M5128" s="166"/>
      <c r="N5128" s="167"/>
      <c r="O5128" s="163"/>
      <c r="P5128" s="163"/>
      <c r="Q5128" s="163"/>
      <c r="R5128" s="163"/>
      <c r="S5128" s="161"/>
      <c r="T5128" s="161"/>
      <c r="U5128" s="161"/>
      <c r="V5128" s="161"/>
      <c r="W5128" s="161"/>
      <c r="X5128" s="161"/>
      <c r="Y5128" s="161"/>
      <c r="Z5128" s="168"/>
      <c r="AA5128" s="168"/>
      <c r="AB5128" s="168"/>
      <c r="AC5128" s="168"/>
    </row>
    <row r="5129">
      <c r="A5129" s="161"/>
      <c r="B5129" s="161"/>
      <c r="C5129" s="162"/>
      <c r="D5129" s="163"/>
      <c r="E5129" s="164" t="str">
        <f>IFERROR(__xludf.DUMMYFUNCTION("""COMPUTED_VALUE"""),"")</f>
        <v/>
      </c>
      <c r="F5129" s="163"/>
      <c r="G5129" s="163"/>
      <c r="H5129" s="163"/>
      <c r="I5129" s="163"/>
      <c r="J5129" s="165"/>
      <c r="K5129" s="165"/>
      <c r="L5129" s="165"/>
      <c r="M5129" s="166"/>
      <c r="N5129" s="167"/>
      <c r="O5129" s="163"/>
      <c r="P5129" s="163"/>
      <c r="Q5129" s="163"/>
      <c r="R5129" s="163"/>
      <c r="S5129" s="161"/>
      <c r="T5129" s="161"/>
      <c r="U5129" s="161"/>
      <c r="V5129" s="161"/>
      <c r="W5129" s="161"/>
      <c r="X5129" s="161"/>
      <c r="Y5129" s="161"/>
      <c r="Z5129" s="168"/>
      <c r="AA5129" s="168"/>
      <c r="AB5129" s="168"/>
      <c r="AC5129" s="168"/>
    </row>
    <row r="5130">
      <c r="A5130" s="161"/>
      <c r="B5130" s="161"/>
      <c r="C5130" s="162"/>
      <c r="D5130" s="163"/>
      <c r="E5130" s="164" t="str">
        <f>IFERROR(__xludf.DUMMYFUNCTION("""COMPUTED_VALUE"""),"")</f>
        <v/>
      </c>
      <c r="F5130" s="163"/>
      <c r="G5130" s="163"/>
      <c r="H5130" s="163"/>
      <c r="I5130" s="163"/>
      <c r="J5130" s="165"/>
      <c r="K5130" s="165"/>
      <c r="L5130" s="165"/>
      <c r="M5130" s="166"/>
      <c r="N5130" s="167"/>
      <c r="O5130" s="163"/>
      <c r="P5130" s="163"/>
      <c r="Q5130" s="163"/>
      <c r="R5130" s="163"/>
      <c r="S5130" s="161"/>
      <c r="T5130" s="161"/>
      <c r="U5130" s="161"/>
      <c r="V5130" s="161"/>
      <c r="W5130" s="161"/>
      <c r="X5130" s="161"/>
      <c r="Y5130" s="161"/>
      <c r="Z5130" s="168"/>
      <c r="AA5130" s="168"/>
      <c r="AB5130" s="168"/>
      <c r="AC5130" s="168"/>
    </row>
    <row r="5131">
      <c r="A5131" s="161"/>
      <c r="B5131" s="161"/>
      <c r="C5131" s="162"/>
      <c r="D5131" s="163"/>
      <c r="E5131" s="164" t="str">
        <f>IFERROR(__xludf.DUMMYFUNCTION("""COMPUTED_VALUE"""),"")</f>
        <v/>
      </c>
      <c r="F5131" s="163"/>
      <c r="G5131" s="163"/>
      <c r="H5131" s="163"/>
      <c r="I5131" s="163"/>
      <c r="J5131" s="165"/>
      <c r="K5131" s="165"/>
      <c r="L5131" s="165"/>
      <c r="M5131" s="166"/>
      <c r="N5131" s="167"/>
      <c r="O5131" s="163"/>
      <c r="P5131" s="163"/>
      <c r="Q5131" s="163"/>
      <c r="R5131" s="163"/>
      <c r="S5131" s="161"/>
      <c r="T5131" s="161"/>
      <c r="U5131" s="161"/>
      <c r="V5131" s="161"/>
      <c r="W5131" s="161"/>
      <c r="X5131" s="161"/>
      <c r="Y5131" s="161"/>
      <c r="Z5131" s="168"/>
      <c r="AA5131" s="168"/>
      <c r="AB5131" s="168"/>
      <c r="AC5131" s="168"/>
    </row>
    <row r="5132">
      <c r="A5132" s="161"/>
      <c r="B5132" s="161"/>
      <c r="C5132" s="162"/>
      <c r="D5132" s="163"/>
      <c r="E5132" s="164" t="str">
        <f>IFERROR(__xludf.DUMMYFUNCTION("""COMPUTED_VALUE"""),"")</f>
        <v/>
      </c>
      <c r="F5132" s="163"/>
      <c r="G5132" s="163"/>
      <c r="H5132" s="163"/>
      <c r="I5132" s="163"/>
      <c r="J5132" s="165"/>
      <c r="K5132" s="165"/>
      <c r="L5132" s="165"/>
      <c r="M5132" s="166"/>
      <c r="N5132" s="167"/>
      <c r="O5132" s="163"/>
      <c r="P5132" s="163"/>
      <c r="Q5132" s="163"/>
      <c r="R5132" s="163"/>
      <c r="S5132" s="161"/>
      <c r="T5132" s="161"/>
      <c r="U5132" s="161"/>
      <c r="V5132" s="161"/>
      <c r="W5132" s="161"/>
      <c r="X5132" s="161"/>
      <c r="Y5132" s="161"/>
      <c r="Z5132" s="168"/>
      <c r="AA5132" s="168"/>
      <c r="AB5132" s="168"/>
      <c r="AC5132" s="168"/>
    </row>
    <row r="5133">
      <c r="A5133" s="161"/>
      <c r="B5133" s="161"/>
      <c r="C5133" s="162"/>
      <c r="D5133" s="163"/>
      <c r="E5133" s="164" t="str">
        <f>IFERROR(__xludf.DUMMYFUNCTION("""COMPUTED_VALUE"""),"")</f>
        <v/>
      </c>
      <c r="F5133" s="163"/>
      <c r="G5133" s="163"/>
      <c r="H5133" s="163"/>
      <c r="I5133" s="163"/>
      <c r="J5133" s="165"/>
      <c r="K5133" s="165"/>
      <c r="L5133" s="165"/>
      <c r="M5133" s="166"/>
      <c r="N5133" s="167"/>
      <c r="O5133" s="163"/>
      <c r="P5133" s="163"/>
      <c r="Q5133" s="163"/>
      <c r="R5133" s="163"/>
      <c r="S5133" s="161"/>
      <c r="T5133" s="161"/>
      <c r="U5133" s="161"/>
      <c r="V5133" s="161"/>
      <c r="W5133" s="161"/>
      <c r="X5133" s="161"/>
      <c r="Y5133" s="161"/>
      <c r="Z5133" s="168"/>
      <c r="AA5133" s="168"/>
      <c r="AB5133" s="168"/>
      <c r="AC5133" s="168"/>
    </row>
    <row r="5134">
      <c r="A5134" s="161"/>
      <c r="B5134" s="161"/>
      <c r="C5134" s="162"/>
      <c r="D5134" s="163"/>
      <c r="E5134" s="164" t="str">
        <f>IFERROR(__xludf.DUMMYFUNCTION("""COMPUTED_VALUE"""),"")</f>
        <v/>
      </c>
      <c r="F5134" s="163"/>
      <c r="G5134" s="163"/>
      <c r="H5134" s="163"/>
      <c r="I5134" s="163"/>
      <c r="J5134" s="165"/>
      <c r="K5134" s="165"/>
      <c r="L5134" s="165"/>
      <c r="M5134" s="166"/>
      <c r="N5134" s="167"/>
      <c r="O5134" s="163"/>
      <c r="P5134" s="163"/>
      <c r="Q5134" s="163"/>
      <c r="R5134" s="163"/>
      <c r="S5134" s="161"/>
      <c r="T5134" s="161"/>
      <c r="U5134" s="161"/>
      <c r="V5134" s="161"/>
      <c r="W5134" s="161"/>
      <c r="X5134" s="161"/>
      <c r="Y5134" s="161"/>
      <c r="Z5134" s="168"/>
      <c r="AA5134" s="168"/>
      <c r="AB5134" s="168"/>
      <c r="AC5134" s="168"/>
    </row>
    <row r="5135">
      <c r="A5135" s="161"/>
      <c r="B5135" s="161"/>
      <c r="C5135" s="162"/>
      <c r="D5135" s="163"/>
      <c r="E5135" s="164" t="str">
        <f>IFERROR(__xludf.DUMMYFUNCTION("""COMPUTED_VALUE"""),"")</f>
        <v/>
      </c>
      <c r="F5135" s="163"/>
      <c r="G5135" s="163"/>
      <c r="H5135" s="163"/>
      <c r="I5135" s="163"/>
      <c r="J5135" s="165"/>
      <c r="K5135" s="165"/>
      <c r="L5135" s="165"/>
      <c r="M5135" s="166"/>
      <c r="N5135" s="167"/>
      <c r="O5135" s="163"/>
      <c r="P5135" s="163"/>
      <c r="Q5135" s="163"/>
      <c r="R5135" s="163"/>
      <c r="S5135" s="161"/>
      <c r="T5135" s="161"/>
      <c r="U5135" s="161"/>
      <c r="V5135" s="161"/>
      <c r="W5135" s="161"/>
      <c r="X5135" s="161"/>
      <c r="Y5135" s="161"/>
      <c r="Z5135" s="168"/>
      <c r="AA5135" s="168"/>
      <c r="AB5135" s="168"/>
      <c r="AC5135" s="168"/>
    </row>
    <row r="5136">
      <c r="A5136" s="161"/>
      <c r="B5136" s="161"/>
      <c r="C5136" s="162"/>
      <c r="D5136" s="163"/>
      <c r="E5136" s="164" t="str">
        <f>IFERROR(__xludf.DUMMYFUNCTION("""COMPUTED_VALUE"""),"")</f>
        <v/>
      </c>
      <c r="F5136" s="163"/>
      <c r="G5136" s="163"/>
      <c r="H5136" s="163"/>
      <c r="I5136" s="163"/>
      <c r="J5136" s="165"/>
      <c r="K5136" s="165"/>
      <c r="L5136" s="165"/>
      <c r="M5136" s="166"/>
      <c r="N5136" s="167"/>
      <c r="O5136" s="163"/>
      <c r="P5136" s="163"/>
      <c r="Q5136" s="163"/>
      <c r="R5136" s="163"/>
      <c r="S5136" s="161"/>
      <c r="T5136" s="161"/>
      <c r="U5136" s="161"/>
      <c r="V5136" s="161"/>
      <c r="W5136" s="161"/>
      <c r="X5136" s="161"/>
      <c r="Y5136" s="161"/>
      <c r="Z5136" s="168"/>
      <c r="AA5136" s="168"/>
      <c r="AB5136" s="168"/>
      <c r="AC5136" s="168"/>
    </row>
    <row r="5137">
      <c r="A5137" s="161"/>
      <c r="B5137" s="161"/>
      <c r="C5137" s="162"/>
      <c r="D5137" s="163"/>
      <c r="E5137" s="164" t="str">
        <f>IFERROR(__xludf.DUMMYFUNCTION("""COMPUTED_VALUE"""),"")</f>
        <v/>
      </c>
      <c r="F5137" s="163"/>
      <c r="G5137" s="163"/>
      <c r="H5137" s="163"/>
      <c r="I5137" s="163"/>
      <c r="J5137" s="165"/>
      <c r="K5137" s="165"/>
      <c r="L5137" s="165"/>
      <c r="M5137" s="166"/>
      <c r="N5137" s="167"/>
      <c r="O5137" s="163"/>
      <c r="P5137" s="163"/>
      <c r="Q5137" s="163"/>
      <c r="R5137" s="163"/>
      <c r="S5137" s="161"/>
      <c r="T5137" s="161"/>
      <c r="U5137" s="161"/>
      <c r="V5137" s="161"/>
      <c r="W5137" s="161"/>
      <c r="X5137" s="161"/>
      <c r="Y5137" s="161"/>
      <c r="Z5137" s="168"/>
      <c r="AA5137" s="168"/>
      <c r="AB5137" s="168"/>
      <c r="AC5137" s="168"/>
    </row>
    <row r="5138">
      <c r="A5138" s="161"/>
      <c r="B5138" s="161"/>
      <c r="C5138" s="162"/>
      <c r="D5138" s="163"/>
      <c r="E5138" s="164" t="str">
        <f>IFERROR(__xludf.DUMMYFUNCTION("""COMPUTED_VALUE"""),"")</f>
        <v/>
      </c>
      <c r="F5138" s="163"/>
      <c r="G5138" s="163"/>
      <c r="H5138" s="163"/>
      <c r="I5138" s="163"/>
      <c r="J5138" s="165"/>
      <c r="K5138" s="165"/>
      <c r="L5138" s="165"/>
      <c r="M5138" s="166"/>
      <c r="N5138" s="167"/>
      <c r="O5138" s="163"/>
      <c r="P5138" s="163"/>
      <c r="Q5138" s="163"/>
      <c r="R5138" s="163"/>
      <c r="S5138" s="161"/>
      <c r="T5138" s="161"/>
      <c r="U5138" s="161"/>
      <c r="V5138" s="161"/>
      <c r="W5138" s="161"/>
      <c r="X5138" s="161"/>
      <c r="Y5138" s="161"/>
      <c r="Z5138" s="168"/>
      <c r="AA5138" s="168"/>
      <c r="AB5138" s="168"/>
      <c r="AC5138" s="168"/>
    </row>
    <row r="5139">
      <c r="A5139" s="161"/>
      <c r="B5139" s="161"/>
      <c r="C5139" s="162"/>
      <c r="D5139" s="163"/>
      <c r="E5139" s="164" t="str">
        <f>IFERROR(__xludf.DUMMYFUNCTION("""COMPUTED_VALUE"""),"")</f>
        <v/>
      </c>
      <c r="F5139" s="163"/>
      <c r="G5139" s="163"/>
      <c r="H5139" s="163"/>
      <c r="I5139" s="163"/>
      <c r="J5139" s="165"/>
      <c r="K5139" s="165"/>
      <c r="L5139" s="165"/>
      <c r="M5139" s="166"/>
      <c r="N5139" s="167"/>
      <c r="O5139" s="163"/>
      <c r="P5139" s="163"/>
      <c r="Q5139" s="163"/>
      <c r="R5139" s="163"/>
      <c r="S5139" s="161"/>
      <c r="T5139" s="161"/>
      <c r="U5139" s="161"/>
      <c r="V5139" s="161"/>
      <c r="W5139" s="161"/>
      <c r="X5139" s="161"/>
      <c r="Y5139" s="161"/>
      <c r="Z5139" s="168"/>
      <c r="AA5139" s="168"/>
      <c r="AB5139" s="168"/>
      <c r="AC5139" s="168"/>
    </row>
    <row r="5140">
      <c r="A5140" s="161"/>
      <c r="B5140" s="161"/>
      <c r="C5140" s="162"/>
      <c r="D5140" s="163"/>
      <c r="E5140" s="164" t="str">
        <f>IFERROR(__xludf.DUMMYFUNCTION("""COMPUTED_VALUE"""),"")</f>
        <v/>
      </c>
      <c r="F5140" s="163"/>
      <c r="G5140" s="163"/>
      <c r="H5140" s="163"/>
      <c r="I5140" s="163"/>
      <c r="J5140" s="165"/>
      <c r="K5140" s="165"/>
      <c r="L5140" s="165"/>
      <c r="M5140" s="166"/>
      <c r="N5140" s="167"/>
      <c r="O5140" s="163"/>
      <c r="P5140" s="163"/>
      <c r="Q5140" s="163"/>
      <c r="R5140" s="163"/>
      <c r="S5140" s="161"/>
      <c r="T5140" s="161"/>
      <c r="U5140" s="161"/>
      <c r="V5140" s="161"/>
      <c r="W5140" s="161"/>
      <c r="X5140" s="161"/>
      <c r="Y5140" s="161"/>
      <c r="Z5140" s="168"/>
      <c r="AA5140" s="168"/>
      <c r="AB5140" s="168"/>
      <c r="AC5140" s="168"/>
    </row>
    <row r="5141">
      <c r="A5141" s="161"/>
      <c r="B5141" s="161"/>
      <c r="C5141" s="162"/>
      <c r="D5141" s="163"/>
      <c r="E5141" s="164" t="str">
        <f>IFERROR(__xludf.DUMMYFUNCTION("""COMPUTED_VALUE"""),"")</f>
        <v/>
      </c>
      <c r="F5141" s="163"/>
      <c r="G5141" s="163"/>
      <c r="H5141" s="163"/>
      <c r="I5141" s="163"/>
      <c r="J5141" s="165"/>
      <c r="K5141" s="165"/>
      <c r="L5141" s="165"/>
      <c r="M5141" s="166"/>
      <c r="N5141" s="167"/>
      <c r="O5141" s="163"/>
      <c r="P5141" s="163"/>
      <c r="Q5141" s="163"/>
      <c r="R5141" s="163"/>
      <c r="S5141" s="161"/>
      <c r="T5141" s="161"/>
      <c r="U5141" s="161"/>
      <c r="V5141" s="161"/>
      <c r="W5141" s="161"/>
      <c r="X5141" s="161"/>
      <c r="Y5141" s="161"/>
      <c r="Z5141" s="168"/>
      <c r="AA5141" s="168"/>
      <c r="AB5141" s="168"/>
      <c r="AC5141" s="168"/>
    </row>
    <row r="5142">
      <c r="A5142" s="161"/>
      <c r="B5142" s="161"/>
      <c r="C5142" s="162"/>
      <c r="D5142" s="163"/>
      <c r="E5142" s="164" t="str">
        <f>IFERROR(__xludf.DUMMYFUNCTION("""COMPUTED_VALUE"""),"")</f>
        <v/>
      </c>
      <c r="F5142" s="163"/>
      <c r="G5142" s="163"/>
      <c r="H5142" s="163"/>
      <c r="I5142" s="163"/>
      <c r="J5142" s="165"/>
      <c r="K5142" s="165"/>
      <c r="L5142" s="165"/>
      <c r="M5142" s="166"/>
      <c r="N5142" s="167"/>
      <c r="O5142" s="163"/>
      <c r="P5142" s="163"/>
      <c r="Q5142" s="163"/>
      <c r="R5142" s="163"/>
      <c r="S5142" s="161"/>
      <c r="T5142" s="161"/>
      <c r="U5142" s="161"/>
      <c r="V5142" s="161"/>
      <c r="W5142" s="161"/>
      <c r="X5142" s="161"/>
      <c r="Y5142" s="161"/>
      <c r="Z5142" s="168"/>
      <c r="AA5142" s="168"/>
      <c r="AB5142" s="168"/>
      <c r="AC5142" s="168"/>
    </row>
    <row r="5143">
      <c r="A5143" s="161"/>
      <c r="B5143" s="161"/>
      <c r="C5143" s="162"/>
      <c r="D5143" s="163"/>
      <c r="E5143" s="164" t="str">
        <f>IFERROR(__xludf.DUMMYFUNCTION("""COMPUTED_VALUE"""),"")</f>
        <v/>
      </c>
      <c r="F5143" s="163"/>
      <c r="G5143" s="163"/>
      <c r="H5143" s="163"/>
      <c r="I5143" s="163"/>
      <c r="J5143" s="165"/>
      <c r="K5143" s="165"/>
      <c r="L5143" s="165"/>
      <c r="M5143" s="166"/>
      <c r="N5143" s="167"/>
      <c r="O5143" s="163"/>
      <c r="P5143" s="163"/>
      <c r="Q5143" s="163"/>
      <c r="R5143" s="163"/>
      <c r="S5143" s="161"/>
      <c r="T5143" s="161"/>
      <c r="U5143" s="161"/>
      <c r="V5143" s="161"/>
      <c r="W5143" s="161"/>
      <c r="X5143" s="161"/>
      <c r="Y5143" s="161"/>
      <c r="Z5143" s="168"/>
      <c r="AA5143" s="168"/>
      <c r="AB5143" s="168"/>
      <c r="AC5143" s="168"/>
    </row>
    <row r="5144">
      <c r="A5144" s="161"/>
      <c r="B5144" s="161"/>
      <c r="C5144" s="162"/>
      <c r="D5144" s="163"/>
      <c r="E5144" s="164" t="str">
        <f>IFERROR(__xludf.DUMMYFUNCTION("""COMPUTED_VALUE"""),"")</f>
        <v/>
      </c>
      <c r="F5144" s="163"/>
      <c r="G5144" s="163"/>
      <c r="H5144" s="163"/>
      <c r="I5144" s="163"/>
      <c r="J5144" s="165"/>
      <c r="K5144" s="165"/>
      <c r="L5144" s="165"/>
      <c r="M5144" s="166"/>
      <c r="N5144" s="167"/>
      <c r="O5144" s="163"/>
      <c r="P5144" s="163"/>
      <c r="Q5144" s="163"/>
      <c r="R5144" s="163"/>
      <c r="S5144" s="161"/>
      <c r="T5144" s="161"/>
      <c r="U5144" s="161"/>
      <c r="V5144" s="161"/>
      <c r="W5144" s="161"/>
      <c r="X5144" s="161"/>
      <c r="Y5144" s="161"/>
      <c r="Z5144" s="168"/>
      <c r="AA5144" s="168"/>
      <c r="AB5144" s="168"/>
      <c r="AC5144" s="168"/>
    </row>
    <row r="5145">
      <c r="A5145" s="161"/>
      <c r="B5145" s="161"/>
      <c r="C5145" s="162"/>
      <c r="D5145" s="163"/>
      <c r="E5145" s="164" t="str">
        <f>IFERROR(__xludf.DUMMYFUNCTION("""COMPUTED_VALUE"""),"")</f>
        <v/>
      </c>
      <c r="F5145" s="163"/>
      <c r="G5145" s="163"/>
      <c r="H5145" s="163"/>
      <c r="I5145" s="163"/>
      <c r="J5145" s="165"/>
      <c r="K5145" s="165"/>
      <c r="L5145" s="165"/>
      <c r="M5145" s="166"/>
      <c r="N5145" s="167"/>
      <c r="O5145" s="163"/>
      <c r="P5145" s="163"/>
      <c r="Q5145" s="163"/>
      <c r="R5145" s="163"/>
      <c r="S5145" s="161"/>
      <c r="T5145" s="161"/>
      <c r="U5145" s="161"/>
      <c r="V5145" s="161"/>
      <c r="W5145" s="161"/>
      <c r="X5145" s="161"/>
      <c r="Y5145" s="161"/>
      <c r="Z5145" s="168"/>
      <c r="AA5145" s="168"/>
      <c r="AB5145" s="168"/>
      <c r="AC5145" s="168"/>
    </row>
    <row r="5146">
      <c r="A5146" s="161"/>
      <c r="B5146" s="161"/>
      <c r="C5146" s="162"/>
      <c r="D5146" s="163"/>
      <c r="E5146" s="164" t="str">
        <f>IFERROR(__xludf.DUMMYFUNCTION("""COMPUTED_VALUE"""),"")</f>
        <v/>
      </c>
      <c r="F5146" s="163"/>
      <c r="G5146" s="163"/>
      <c r="H5146" s="163"/>
      <c r="I5146" s="163"/>
      <c r="J5146" s="165"/>
      <c r="K5146" s="165"/>
      <c r="L5146" s="165"/>
      <c r="M5146" s="166"/>
      <c r="N5146" s="167"/>
      <c r="O5146" s="163"/>
      <c r="P5146" s="163"/>
      <c r="Q5146" s="163"/>
      <c r="R5146" s="163"/>
      <c r="S5146" s="161"/>
      <c r="T5146" s="161"/>
      <c r="U5146" s="161"/>
      <c r="V5146" s="161"/>
      <c r="W5146" s="161"/>
      <c r="X5146" s="161"/>
      <c r="Y5146" s="161"/>
      <c r="Z5146" s="168"/>
      <c r="AA5146" s="168"/>
      <c r="AB5146" s="168"/>
      <c r="AC5146" s="168"/>
    </row>
    <row r="5147">
      <c r="A5147" s="161"/>
      <c r="B5147" s="161"/>
      <c r="C5147" s="162"/>
      <c r="D5147" s="163"/>
      <c r="E5147" s="164" t="str">
        <f>IFERROR(__xludf.DUMMYFUNCTION("""COMPUTED_VALUE"""),"")</f>
        <v/>
      </c>
      <c r="F5147" s="163"/>
      <c r="G5147" s="163"/>
      <c r="H5147" s="163"/>
      <c r="I5147" s="163"/>
      <c r="J5147" s="165"/>
      <c r="K5147" s="165"/>
      <c r="L5147" s="165"/>
      <c r="M5147" s="166"/>
      <c r="N5147" s="167"/>
      <c r="O5147" s="163"/>
      <c r="P5147" s="163"/>
      <c r="Q5147" s="163"/>
      <c r="R5147" s="163"/>
      <c r="S5147" s="161"/>
      <c r="T5147" s="161"/>
      <c r="U5147" s="161"/>
      <c r="V5147" s="161"/>
      <c r="W5147" s="161"/>
      <c r="X5147" s="161"/>
      <c r="Y5147" s="161"/>
      <c r="Z5147" s="168"/>
      <c r="AA5147" s="168"/>
      <c r="AB5147" s="168"/>
      <c r="AC5147" s="168"/>
    </row>
    <row r="5148">
      <c r="A5148" s="161"/>
      <c r="B5148" s="161"/>
      <c r="C5148" s="162"/>
      <c r="D5148" s="163"/>
      <c r="E5148" s="164" t="str">
        <f>IFERROR(__xludf.DUMMYFUNCTION("""COMPUTED_VALUE"""),"")</f>
        <v/>
      </c>
      <c r="F5148" s="163"/>
      <c r="G5148" s="163"/>
      <c r="H5148" s="163"/>
      <c r="I5148" s="163"/>
      <c r="J5148" s="165"/>
      <c r="K5148" s="165"/>
      <c r="L5148" s="165"/>
      <c r="M5148" s="166"/>
      <c r="N5148" s="167"/>
      <c r="O5148" s="163"/>
      <c r="P5148" s="163"/>
      <c r="Q5148" s="163"/>
      <c r="R5148" s="163"/>
      <c r="S5148" s="161"/>
      <c r="T5148" s="161"/>
      <c r="U5148" s="161"/>
      <c r="V5148" s="161"/>
      <c r="W5148" s="161"/>
      <c r="X5148" s="161"/>
      <c r="Y5148" s="161"/>
      <c r="Z5148" s="168"/>
      <c r="AA5148" s="168"/>
      <c r="AB5148" s="168"/>
      <c r="AC5148" s="168"/>
    </row>
    <row r="5149">
      <c r="A5149" s="161"/>
      <c r="B5149" s="161"/>
      <c r="C5149" s="162"/>
      <c r="D5149" s="163"/>
      <c r="E5149" s="164" t="str">
        <f>IFERROR(__xludf.DUMMYFUNCTION("""COMPUTED_VALUE"""),"")</f>
        <v/>
      </c>
      <c r="F5149" s="163"/>
      <c r="G5149" s="163"/>
      <c r="H5149" s="163"/>
      <c r="I5149" s="163"/>
      <c r="J5149" s="165"/>
      <c r="K5149" s="165"/>
      <c r="L5149" s="165"/>
      <c r="M5149" s="166"/>
      <c r="N5149" s="167"/>
      <c r="O5149" s="163"/>
      <c r="P5149" s="163"/>
      <c r="Q5149" s="163"/>
      <c r="R5149" s="163"/>
      <c r="S5149" s="161"/>
      <c r="T5149" s="161"/>
      <c r="U5149" s="161"/>
      <c r="V5149" s="161"/>
      <c r="W5149" s="161"/>
      <c r="X5149" s="161"/>
      <c r="Y5149" s="161"/>
      <c r="Z5149" s="168"/>
      <c r="AA5149" s="168"/>
      <c r="AB5149" s="168"/>
      <c r="AC5149" s="168"/>
    </row>
    <row r="5150">
      <c r="A5150" s="161"/>
      <c r="B5150" s="161"/>
      <c r="C5150" s="162"/>
      <c r="D5150" s="163"/>
      <c r="E5150" s="164" t="str">
        <f>IFERROR(__xludf.DUMMYFUNCTION("""COMPUTED_VALUE"""),"")</f>
        <v/>
      </c>
      <c r="F5150" s="163"/>
      <c r="G5150" s="163"/>
      <c r="H5150" s="163"/>
      <c r="I5150" s="163"/>
      <c r="J5150" s="165"/>
      <c r="K5150" s="165"/>
      <c r="L5150" s="165"/>
      <c r="M5150" s="166"/>
      <c r="N5150" s="167"/>
      <c r="O5150" s="163"/>
      <c r="P5150" s="163"/>
      <c r="Q5150" s="163"/>
      <c r="R5150" s="163"/>
      <c r="S5150" s="161"/>
      <c r="T5150" s="161"/>
      <c r="U5150" s="161"/>
      <c r="V5150" s="161"/>
      <c r="W5150" s="161"/>
      <c r="X5150" s="161"/>
      <c r="Y5150" s="161"/>
      <c r="Z5150" s="168"/>
      <c r="AA5150" s="168"/>
      <c r="AB5150" s="168"/>
      <c r="AC5150" s="168"/>
    </row>
    <row r="5151">
      <c r="A5151" s="161"/>
      <c r="B5151" s="161"/>
      <c r="C5151" s="162"/>
      <c r="D5151" s="163"/>
      <c r="E5151" s="164" t="str">
        <f>IFERROR(__xludf.DUMMYFUNCTION("""COMPUTED_VALUE"""),"")</f>
        <v/>
      </c>
      <c r="F5151" s="163"/>
      <c r="G5151" s="163"/>
      <c r="H5151" s="163"/>
      <c r="I5151" s="163"/>
      <c r="J5151" s="165"/>
      <c r="K5151" s="165"/>
      <c r="L5151" s="165"/>
      <c r="M5151" s="166"/>
      <c r="N5151" s="167"/>
      <c r="O5151" s="163"/>
      <c r="P5151" s="163"/>
      <c r="Q5151" s="163"/>
      <c r="R5151" s="163"/>
      <c r="S5151" s="161"/>
      <c r="T5151" s="161"/>
      <c r="U5151" s="161"/>
      <c r="V5151" s="161"/>
      <c r="W5151" s="161"/>
      <c r="X5151" s="161"/>
      <c r="Y5151" s="161"/>
      <c r="Z5151" s="168"/>
      <c r="AA5151" s="168"/>
      <c r="AB5151" s="168"/>
      <c r="AC5151" s="168"/>
    </row>
    <row r="5152">
      <c r="A5152" s="161"/>
      <c r="B5152" s="161"/>
      <c r="C5152" s="162"/>
      <c r="D5152" s="163"/>
      <c r="E5152" s="164" t="str">
        <f>IFERROR(__xludf.DUMMYFUNCTION("""COMPUTED_VALUE"""),"")</f>
        <v/>
      </c>
      <c r="F5152" s="163"/>
      <c r="G5152" s="163"/>
      <c r="H5152" s="163"/>
      <c r="I5152" s="163"/>
      <c r="J5152" s="165"/>
      <c r="K5152" s="165"/>
      <c r="L5152" s="165"/>
      <c r="M5152" s="166"/>
      <c r="N5152" s="167"/>
      <c r="O5152" s="163"/>
      <c r="P5152" s="163"/>
      <c r="Q5152" s="163"/>
      <c r="R5152" s="163"/>
      <c r="S5152" s="161"/>
      <c r="T5152" s="161"/>
      <c r="U5152" s="161"/>
      <c r="V5152" s="161"/>
      <c r="W5152" s="161"/>
      <c r="X5152" s="161"/>
      <c r="Y5152" s="161"/>
      <c r="Z5152" s="168"/>
      <c r="AA5152" s="168"/>
      <c r="AB5152" s="168"/>
      <c r="AC5152" s="168"/>
    </row>
    <row r="5153">
      <c r="A5153" s="161"/>
      <c r="B5153" s="161"/>
      <c r="C5153" s="162"/>
      <c r="D5153" s="163"/>
      <c r="E5153" s="164" t="str">
        <f>IFERROR(__xludf.DUMMYFUNCTION("""COMPUTED_VALUE"""),"")</f>
        <v/>
      </c>
      <c r="F5153" s="163"/>
      <c r="G5153" s="163"/>
      <c r="H5153" s="163"/>
      <c r="I5153" s="163"/>
      <c r="J5153" s="165"/>
      <c r="K5153" s="165"/>
      <c r="L5153" s="165"/>
      <c r="M5153" s="166"/>
      <c r="N5153" s="167"/>
      <c r="O5153" s="163"/>
      <c r="P5153" s="163"/>
      <c r="Q5153" s="163"/>
      <c r="R5153" s="163"/>
      <c r="S5153" s="161"/>
      <c r="T5153" s="161"/>
      <c r="U5153" s="161"/>
      <c r="V5153" s="161"/>
      <c r="W5153" s="161"/>
      <c r="X5153" s="161"/>
      <c r="Y5153" s="161"/>
      <c r="Z5153" s="168"/>
      <c r="AA5153" s="168"/>
      <c r="AB5153" s="168"/>
      <c r="AC5153" s="168"/>
    </row>
    <row r="5154">
      <c r="A5154" s="161"/>
      <c r="B5154" s="161"/>
      <c r="C5154" s="162"/>
      <c r="D5154" s="163"/>
      <c r="E5154" s="164" t="str">
        <f>IFERROR(__xludf.DUMMYFUNCTION("""COMPUTED_VALUE"""),"")</f>
        <v/>
      </c>
      <c r="F5154" s="163"/>
      <c r="G5154" s="163"/>
      <c r="H5154" s="163"/>
      <c r="I5154" s="163"/>
      <c r="J5154" s="165"/>
      <c r="K5154" s="165"/>
      <c r="L5154" s="165"/>
      <c r="M5154" s="166"/>
      <c r="N5154" s="167"/>
      <c r="O5154" s="163"/>
      <c r="P5154" s="163"/>
      <c r="Q5154" s="163"/>
      <c r="R5154" s="163"/>
      <c r="S5154" s="161"/>
      <c r="T5154" s="161"/>
      <c r="U5154" s="161"/>
      <c r="V5154" s="161"/>
      <c r="W5154" s="161"/>
      <c r="X5154" s="161"/>
      <c r="Y5154" s="161"/>
      <c r="Z5154" s="168"/>
      <c r="AA5154" s="168"/>
      <c r="AB5154" s="168"/>
      <c r="AC5154" s="168"/>
    </row>
    <row r="5155">
      <c r="A5155" s="161"/>
      <c r="B5155" s="161"/>
      <c r="C5155" s="162"/>
      <c r="D5155" s="163"/>
      <c r="E5155" s="164" t="str">
        <f>IFERROR(__xludf.DUMMYFUNCTION("""COMPUTED_VALUE"""),"")</f>
        <v/>
      </c>
      <c r="F5155" s="163"/>
      <c r="G5155" s="163"/>
      <c r="H5155" s="163"/>
      <c r="I5155" s="163"/>
      <c r="J5155" s="165"/>
      <c r="K5155" s="165"/>
      <c r="L5155" s="165"/>
      <c r="M5155" s="166"/>
      <c r="N5155" s="167"/>
      <c r="O5155" s="163"/>
      <c r="P5155" s="163"/>
      <c r="Q5155" s="163"/>
      <c r="R5155" s="163"/>
      <c r="S5155" s="161"/>
      <c r="T5155" s="161"/>
      <c r="U5155" s="161"/>
      <c r="V5155" s="161"/>
      <c r="W5155" s="161"/>
      <c r="X5155" s="161"/>
      <c r="Y5155" s="161"/>
      <c r="Z5155" s="168"/>
      <c r="AA5155" s="168"/>
      <c r="AB5155" s="168"/>
      <c r="AC5155" s="168"/>
    </row>
    <row r="5156">
      <c r="A5156" s="161"/>
      <c r="B5156" s="161"/>
      <c r="C5156" s="162"/>
      <c r="D5156" s="163"/>
      <c r="E5156" s="164" t="str">
        <f>IFERROR(__xludf.DUMMYFUNCTION("""COMPUTED_VALUE"""),"")</f>
        <v/>
      </c>
      <c r="F5156" s="163"/>
      <c r="G5156" s="163"/>
      <c r="H5156" s="163"/>
      <c r="I5156" s="163"/>
      <c r="J5156" s="165"/>
      <c r="K5156" s="165"/>
      <c r="L5156" s="165"/>
      <c r="M5156" s="166"/>
      <c r="N5156" s="167"/>
      <c r="O5156" s="163"/>
      <c r="P5156" s="163"/>
      <c r="Q5156" s="163"/>
      <c r="R5156" s="163"/>
      <c r="S5156" s="161"/>
      <c r="T5156" s="161"/>
      <c r="U5156" s="161"/>
      <c r="V5156" s="161"/>
      <c r="W5156" s="161"/>
      <c r="X5156" s="161"/>
      <c r="Y5156" s="161"/>
      <c r="Z5156" s="168"/>
      <c r="AA5156" s="168"/>
      <c r="AB5156" s="168"/>
      <c r="AC5156" s="168"/>
    </row>
    <row r="5157">
      <c r="A5157" s="161"/>
      <c r="B5157" s="161"/>
      <c r="C5157" s="162"/>
      <c r="D5157" s="163"/>
      <c r="E5157" s="164" t="str">
        <f>IFERROR(__xludf.DUMMYFUNCTION("""COMPUTED_VALUE"""),"")</f>
        <v/>
      </c>
      <c r="F5157" s="163"/>
      <c r="G5157" s="163"/>
      <c r="H5157" s="163"/>
      <c r="I5157" s="163"/>
      <c r="J5157" s="165"/>
      <c r="K5157" s="165"/>
      <c r="L5157" s="165"/>
      <c r="M5157" s="166"/>
      <c r="N5157" s="167"/>
      <c r="O5157" s="163"/>
      <c r="P5157" s="163"/>
      <c r="Q5157" s="163"/>
      <c r="R5157" s="163"/>
      <c r="S5157" s="161"/>
      <c r="T5157" s="161"/>
      <c r="U5157" s="161"/>
      <c r="V5157" s="161"/>
      <c r="W5157" s="161"/>
      <c r="X5157" s="161"/>
      <c r="Y5157" s="161"/>
      <c r="Z5157" s="168"/>
      <c r="AA5157" s="168"/>
      <c r="AB5157" s="168"/>
      <c r="AC5157" s="168"/>
    </row>
    <row r="5158">
      <c r="A5158" s="161"/>
      <c r="B5158" s="161"/>
      <c r="C5158" s="162"/>
      <c r="D5158" s="163"/>
      <c r="E5158" s="164" t="str">
        <f>IFERROR(__xludf.DUMMYFUNCTION("""COMPUTED_VALUE"""),"")</f>
        <v/>
      </c>
      <c r="F5158" s="163"/>
      <c r="G5158" s="163"/>
      <c r="H5158" s="163"/>
      <c r="I5158" s="163"/>
      <c r="J5158" s="165"/>
      <c r="K5158" s="165"/>
      <c r="L5158" s="165"/>
      <c r="M5158" s="166"/>
      <c r="N5158" s="167"/>
      <c r="O5158" s="163"/>
      <c r="P5158" s="163"/>
      <c r="Q5158" s="163"/>
      <c r="R5158" s="163"/>
      <c r="S5158" s="161"/>
      <c r="T5158" s="161"/>
      <c r="U5158" s="161"/>
      <c r="V5158" s="161"/>
      <c r="W5158" s="161"/>
      <c r="X5158" s="161"/>
      <c r="Y5158" s="161"/>
      <c r="Z5158" s="168"/>
      <c r="AA5158" s="168"/>
      <c r="AB5158" s="168"/>
      <c r="AC5158" s="168"/>
    </row>
    <row r="5159">
      <c r="A5159" s="161"/>
      <c r="B5159" s="161"/>
      <c r="C5159" s="162"/>
      <c r="D5159" s="163"/>
      <c r="E5159" s="164" t="str">
        <f>IFERROR(__xludf.DUMMYFUNCTION("""COMPUTED_VALUE"""),"")</f>
        <v/>
      </c>
      <c r="F5159" s="163"/>
      <c r="G5159" s="163"/>
      <c r="H5159" s="163"/>
      <c r="I5159" s="163"/>
      <c r="J5159" s="165"/>
      <c r="K5159" s="165"/>
      <c r="L5159" s="165"/>
      <c r="M5159" s="166"/>
      <c r="N5159" s="167"/>
      <c r="O5159" s="163"/>
      <c r="P5159" s="163"/>
      <c r="Q5159" s="163"/>
      <c r="R5159" s="163"/>
      <c r="S5159" s="161"/>
      <c r="T5159" s="161"/>
      <c r="U5159" s="161"/>
      <c r="V5159" s="161"/>
      <c r="W5159" s="161"/>
      <c r="X5159" s="161"/>
      <c r="Y5159" s="161"/>
      <c r="Z5159" s="168"/>
      <c r="AA5159" s="168"/>
      <c r="AB5159" s="168"/>
      <c r="AC5159" s="168"/>
    </row>
    <row r="5160">
      <c r="A5160" s="161"/>
      <c r="B5160" s="161"/>
      <c r="C5160" s="162"/>
      <c r="D5160" s="163"/>
      <c r="E5160" s="164" t="str">
        <f>IFERROR(__xludf.DUMMYFUNCTION("""COMPUTED_VALUE"""),"")</f>
        <v/>
      </c>
      <c r="F5160" s="163"/>
      <c r="G5160" s="163"/>
      <c r="H5160" s="163"/>
      <c r="I5160" s="163"/>
      <c r="J5160" s="165"/>
      <c r="K5160" s="165"/>
      <c r="L5160" s="165"/>
      <c r="M5160" s="166"/>
      <c r="N5160" s="167"/>
      <c r="O5160" s="163"/>
      <c r="P5160" s="163"/>
      <c r="Q5160" s="163"/>
      <c r="R5160" s="163"/>
      <c r="S5160" s="161"/>
      <c r="T5160" s="161"/>
      <c r="U5160" s="161"/>
      <c r="V5160" s="161"/>
      <c r="W5160" s="161"/>
      <c r="X5160" s="161"/>
      <c r="Y5160" s="161"/>
      <c r="Z5160" s="168"/>
      <c r="AA5160" s="168"/>
      <c r="AB5160" s="168"/>
      <c r="AC5160" s="168"/>
    </row>
    <row r="5161">
      <c r="A5161" s="161"/>
      <c r="B5161" s="161"/>
      <c r="C5161" s="162"/>
      <c r="D5161" s="163"/>
      <c r="E5161" s="164" t="str">
        <f>IFERROR(__xludf.DUMMYFUNCTION("""COMPUTED_VALUE"""),"")</f>
        <v/>
      </c>
      <c r="F5161" s="163"/>
      <c r="G5161" s="163"/>
      <c r="H5161" s="163"/>
      <c r="I5161" s="163"/>
      <c r="J5161" s="165"/>
      <c r="K5161" s="165"/>
      <c r="L5161" s="165"/>
      <c r="M5161" s="166"/>
      <c r="N5161" s="167"/>
      <c r="O5161" s="163"/>
      <c r="P5161" s="163"/>
      <c r="Q5161" s="163"/>
      <c r="R5161" s="163"/>
      <c r="S5161" s="161"/>
      <c r="T5161" s="161"/>
      <c r="U5161" s="161"/>
      <c r="V5161" s="161"/>
      <c r="W5161" s="161"/>
      <c r="X5161" s="161"/>
      <c r="Y5161" s="161"/>
      <c r="Z5161" s="168"/>
      <c r="AA5161" s="168"/>
      <c r="AB5161" s="168"/>
      <c r="AC5161" s="168"/>
    </row>
    <row r="5162">
      <c r="A5162" s="161"/>
      <c r="B5162" s="161"/>
      <c r="C5162" s="162"/>
      <c r="D5162" s="163"/>
      <c r="E5162" s="164" t="str">
        <f>IFERROR(__xludf.DUMMYFUNCTION("""COMPUTED_VALUE"""),"")</f>
        <v/>
      </c>
      <c r="F5162" s="163"/>
      <c r="G5162" s="163"/>
      <c r="H5162" s="163"/>
      <c r="I5162" s="163"/>
      <c r="J5162" s="165"/>
      <c r="K5162" s="165"/>
      <c r="L5162" s="165"/>
      <c r="M5162" s="166"/>
      <c r="N5162" s="167"/>
      <c r="O5162" s="163"/>
      <c r="P5162" s="163"/>
      <c r="Q5162" s="163"/>
      <c r="R5162" s="163"/>
      <c r="S5162" s="161"/>
      <c r="T5162" s="161"/>
      <c r="U5162" s="161"/>
      <c r="V5162" s="161"/>
      <c r="W5162" s="161"/>
      <c r="X5162" s="161"/>
      <c r="Y5162" s="161"/>
      <c r="Z5162" s="168"/>
      <c r="AA5162" s="168"/>
      <c r="AB5162" s="168"/>
      <c r="AC5162" s="168"/>
    </row>
    <row r="5163">
      <c r="A5163" s="161"/>
      <c r="B5163" s="161"/>
      <c r="C5163" s="162"/>
      <c r="D5163" s="163"/>
      <c r="E5163" s="164" t="str">
        <f>IFERROR(__xludf.DUMMYFUNCTION("""COMPUTED_VALUE"""),"")</f>
        <v/>
      </c>
      <c r="F5163" s="163"/>
      <c r="G5163" s="163"/>
      <c r="H5163" s="163"/>
      <c r="I5163" s="163"/>
      <c r="J5163" s="165"/>
      <c r="K5163" s="165"/>
      <c r="L5163" s="165"/>
      <c r="M5163" s="166"/>
      <c r="N5163" s="167"/>
      <c r="O5163" s="163"/>
      <c r="P5163" s="163"/>
      <c r="Q5163" s="163"/>
      <c r="R5163" s="163"/>
      <c r="S5163" s="161"/>
      <c r="T5163" s="161"/>
      <c r="U5163" s="161"/>
      <c r="V5163" s="161"/>
      <c r="W5163" s="161"/>
      <c r="X5163" s="161"/>
      <c r="Y5163" s="161"/>
      <c r="Z5163" s="168"/>
      <c r="AA5163" s="168"/>
      <c r="AB5163" s="168"/>
      <c r="AC5163" s="168"/>
    </row>
    <row r="5164">
      <c r="A5164" s="161"/>
      <c r="B5164" s="161"/>
      <c r="C5164" s="162"/>
      <c r="D5164" s="163"/>
      <c r="E5164" s="164" t="str">
        <f>IFERROR(__xludf.DUMMYFUNCTION("""COMPUTED_VALUE"""),"")</f>
        <v/>
      </c>
      <c r="F5164" s="163"/>
      <c r="G5164" s="163"/>
      <c r="H5164" s="163"/>
      <c r="I5164" s="163"/>
      <c r="J5164" s="165"/>
      <c r="K5164" s="165"/>
      <c r="L5164" s="165"/>
      <c r="M5164" s="166"/>
      <c r="N5164" s="167"/>
      <c r="O5164" s="163"/>
      <c r="P5164" s="163"/>
      <c r="Q5164" s="163"/>
      <c r="R5164" s="163"/>
      <c r="S5164" s="161"/>
      <c r="T5164" s="161"/>
      <c r="U5164" s="161"/>
      <c r="V5164" s="161"/>
      <c r="W5164" s="161"/>
      <c r="X5164" s="161"/>
      <c r="Y5164" s="161"/>
      <c r="Z5164" s="168"/>
      <c r="AA5164" s="168"/>
      <c r="AB5164" s="168"/>
      <c r="AC5164" s="168"/>
    </row>
    <row r="5165">
      <c r="A5165" s="161"/>
      <c r="B5165" s="161"/>
      <c r="C5165" s="162"/>
      <c r="D5165" s="163"/>
      <c r="E5165" s="164" t="str">
        <f>IFERROR(__xludf.DUMMYFUNCTION("""COMPUTED_VALUE"""),"")</f>
        <v/>
      </c>
      <c r="F5165" s="163"/>
      <c r="G5165" s="163"/>
      <c r="H5165" s="163"/>
      <c r="I5165" s="163"/>
      <c r="J5165" s="165"/>
      <c r="K5165" s="165"/>
      <c r="L5165" s="165"/>
      <c r="M5165" s="166"/>
      <c r="N5165" s="167"/>
      <c r="O5165" s="163"/>
      <c r="P5165" s="163"/>
      <c r="Q5165" s="163"/>
      <c r="R5165" s="163"/>
      <c r="S5165" s="161"/>
      <c r="T5165" s="161"/>
      <c r="U5165" s="161"/>
      <c r="V5165" s="161"/>
      <c r="W5165" s="161"/>
      <c r="X5165" s="161"/>
      <c r="Y5165" s="161"/>
      <c r="Z5165" s="168"/>
      <c r="AA5165" s="168"/>
      <c r="AB5165" s="168"/>
      <c r="AC5165" s="168"/>
    </row>
    <row r="5166">
      <c r="A5166" s="161"/>
      <c r="B5166" s="161"/>
      <c r="C5166" s="162"/>
      <c r="D5166" s="163"/>
      <c r="E5166" s="164" t="str">
        <f>IFERROR(__xludf.DUMMYFUNCTION("""COMPUTED_VALUE"""),"")</f>
        <v/>
      </c>
      <c r="F5166" s="163"/>
      <c r="G5166" s="163"/>
      <c r="H5166" s="163"/>
      <c r="I5166" s="163"/>
      <c r="J5166" s="165"/>
      <c r="K5166" s="165"/>
      <c r="L5166" s="165"/>
      <c r="M5166" s="166"/>
      <c r="N5166" s="167"/>
      <c r="O5166" s="163"/>
      <c r="P5166" s="163"/>
      <c r="Q5166" s="163"/>
      <c r="R5166" s="163"/>
      <c r="S5166" s="161"/>
      <c r="T5166" s="161"/>
      <c r="U5166" s="161"/>
      <c r="V5166" s="161"/>
      <c r="W5166" s="161"/>
      <c r="X5166" s="161"/>
      <c r="Y5166" s="161"/>
      <c r="Z5166" s="168"/>
      <c r="AA5166" s="168"/>
      <c r="AB5166" s="168"/>
      <c r="AC5166" s="168"/>
    </row>
    <row r="5167">
      <c r="A5167" s="161"/>
      <c r="B5167" s="161"/>
      <c r="C5167" s="162"/>
      <c r="D5167" s="163"/>
      <c r="E5167" s="164" t="str">
        <f>IFERROR(__xludf.DUMMYFUNCTION("""COMPUTED_VALUE"""),"")</f>
        <v/>
      </c>
      <c r="F5167" s="163"/>
      <c r="G5167" s="163"/>
      <c r="H5167" s="163"/>
      <c r="I5167" s="163"/>
      <c r="J5167" s="165"/>
      <c r="K5167" s="165"/>
      <c r="L5167" s="165"/>
      <c r="M5167" s="166"/>
      <c r="N5167" s="167"/>
      <c r="O5167" s="163"/>
      <c r="P5167" s="163"/>
      <c r="Q5167" s="163"/>
      <c r="R5167" s="163"/>
      <c r="S5167" s="161"/>
      <c r="T5167" s="161"/>
      <c r="U5167" s="161"/>
      <c r="V5167" s="161"/>
      <c r="W5167" s="161"/>
      <c r="X5167" s="161"/>
      <c r="Y5167" s="161"/>
      <c r="Z5167" s="168"/>
      <c r="AA5167" s="168"/>
      <c r="AB5167" s="168"/>
      <c r="AC5167" s="168"/>
    </row>
    <row r="5168">
      <c r="A5168" s="161"/>
      <c r="B5168" s="161"/>
      <c r="C5168" s="162"/>
      <c r="D5168" s="163"/>
      <c r="E5168" s="164" t="str">
        <f>IFERROR(__xludf.DUMMYFUNCTION("""COMPUTED_VALUE"""),"")</f>
        <v/>
      </c>
      <c r="F5168" s="163"/>
      <c r="G5168" s="163"/>
      <c r="H5168" s="163"/>
      <c r="I5168" s="163"/>
      <c r="J5168" s="165"/>
      <c r="K5168" s="165"/>
      <c r="L5168" s="165"/>
      <c r="M5168" s="166"/>
      <c r="N5168" s="167"/>
      <c r="O5168" s="163"/>
      <c r="P5168" s="163"/>
      <c r="Q5168" s="163"/>
      <c r="R5168" s="163"/>
      <c r="S5168" s="161"/>
      <c r="T5168" s="161"/>
      <c r="U5168" s="161"/>
      <c r="V5168" s="161"/>
      <c r="W5168" s="161"/>
      <c r="X5168" s="161"/>
      <c r="Y5168" s="161"/>
      <c r="Z5168" s="168"/>
      <c r="AA5168" s="168"/>
      <c r="AB5168" s="168"/>
      <c r="AC5168" s="168"/>
    </row>
    <row r="5169">
      <c r="A5169" s="161"/>
      <c r="B5169" s="161"/>
      <c r="C5169" s="162"/>
      <c r="D5169" s="163"/>
      <c r="E5169" s="164" t="str">
        <f>IFERROR(__xludf.DUMMYFUNCTION("""COMPUTED_VALUE"""),"")</f>
        <v/>
      </c>
      <c r="F5169" s="163"/>
      <c r="G5169" s="163"/>
      <c r="H5169" s="163"/>
      <c r="I5169" s="163"/>
      <c r="J5169" s="165"/>
      <c r="K5169" s="165"/>
      <c r="L5169" s="165"/>
      <c r="M5169" s="166"/>
      <c r="N5169" s="167"/>
      <c r="O5169" s="163"/>
      <c r="P5169" s="163"/>
      <c r="Q5169" s="163"/>
      <c r="R5169" s="163"/>
      <c r="S5169" s="161"/>
      <c r="T5169" s="161"/>
      <c r="U5169" s="161"/>
      <c r="V5169" s="161"/>
      <c r="W5169" s="161"/>
      <c r="X5169" s="161"/>
      <c r="Y5169" s="161"/>
      <c r="Z5169" s="168"/>
      <c r="AA5169" s="168"/>
      <c r="AB5169" s="168"/>
      <c r="AC5169" s="168"/>
    </row>
    <row r="5170">
      <c r="A5170" s="161"/>
      <c r="B5170" s="161"/>
      <c r="C5170" s="162"/>
      <c r="D5170" s="163"/>
      <c r="E5170" s="164" t="str">
        <f>IFERROR(__xludf.DUMMYFUNCTION("""COMPUTED_VALUE"""),"")</f>
        <v/>
      </c>
      <c r="F5170" s="163"/>
      <c r="G5170" s="163"/>
      <c r="H5170" s="163"/>
      <c r="I5170" s="163"/>
      <c r="J5170" s="165"/>
      <c r="K5170" s="165"/>
      <c r="L5170" s="165"/>
      <c r="M5170" s="166"/>
      <c r="N5170" s="167"/>
      <c r="O5170" s="163"/>
      <c r="P5170" s="163"/>
      <c r="Q5170" s="163"/>
      <c r="R5170" s="163"/>
      <c r="S5170" s="161"/>
      <c r="T5170" s="161"/>
      <c r="U5170" s="161"/>
      <c r="V5170" s="161"/>
      <c r="W5170" s="161"/>
      <c r="X5170" s="161"/>
      <c r="Y5170" s="161"/>
      <c r="Z5170" s="168"/>
      <c r="AA5170" s="168"/>
      <c r="AB5170" s="168"/>
      <c r="AC5170" s="168"/>
    </row>
    <row r="5171">
      <c r="A5171" s="161"/>
      <c r="B5171" s="161"/>
      <c r="C5171" s="162"/>
      <c r="D5171" s="163"/>
      <c r="E5171" s="164" t="str">
        <f>IFERROR(__xludf.DUMMYFUNCTION("""COMPUTED_VALUE"""),"")</f>
        <v/>
      </c>
      <c r="F5171" s="163"/>
      <c r="G5171" s="163"/>
      <c r="H5171" s="163"/>
      <c r="I5171" s="163"/>
      <c r="J5171" s="165"/>
      <c r="K5171" s="165"/>
      <c r="L5171" s="165"/>
      <c r="M5171" s="166"/>
      <c r="N5171" s="167"/>
      <c r="O5171" s="163"/>
      <c r="P5171" s="163"/>
      <c r="Q5171" s="163"/>
      <c r="R5171" s="163"/>
      <c r="S5171" s="161"/>
      <c r="T5171" s="161"/>
      <c r="U5171" s="161"/>
      <c r="V5171" s="161"/>
      <c r="W5171" s="161"/>
      <c r="X5171" s="161"/>
      <c r="Y5171" s="161"/>
      <c r="Z5171" s="168"/>
      <c r="AA5171" s="168"/>
      <c r="AB5171" s="168"/>
      <c r="AC5171" s="168"/>
    </row>
    <row r="5172">
      <c r="A5172" s="161"/>
      <c r="B5172" s="161"/>
      <c r="C5172" s="162"/>
      <c r="D5172" s="163"/>
      <c r="E5172" s="164" t="str">
        <f>IFERROR(__xludf.DUMMYFUNCTION("""COMPUTED_VALUE"""),"")</f>
        <v/>
      </c>
      <c r="F5172" s="163"/>
      <c r="G5172" s="163"/>
      <c r="H5172" s="163"/>
      <c r="I5172" s="163"/>
      <c r="J5172" s="165"/>
      <c r="K5172" s="165"/>
      <c r="L5172" s="165"/>
      <c r="M5172" s="166"/>
      <c r="N5172" s="167"/>
      <c r="O5172" s="163"/>
      <c r="P5172" s="163"/>
      <c r="Q5172" s="163"/>
      <c r="R5172" s="163"/>
      <c r="S5172" s="161"/>
      <c r="T5172" s="161"/>
      <c r="U5172" s="161"/>
      <c r="V5172" s="161"/>
      <c r="W5172" s="161"/>
      <c r="X5172" s="161"/>
      <c r="Y5172" s="161"/>
      <c r="Z5172" s="168"/>
      <c r="AA5172" s="168"/>
      <c r="AB5172" s="168"/>
      <c r="AC5172" s="168"/>
    </row>
    <row r="5173">
      <c r="A5173" s="161"/>
      <c r="B5173" s="161"/>
      <c r="C5173" s="162"/>
      <c r="D5173" s="163"/>
      <c r="E5173" s="164" t="str">
        <f>IFERROR(__xludf.DUMMYFUNCTION("""COMPUTED_VALUE"""),"")</f>
        <v/>
      </c>
      <c r="F5173" s="163"/>
      <c r="G5173" s="163"/>
      <c r="H5173" s="163"/>
      <c r="I5173" s="163"/>
      <c r="J5173" s="165"/>
      <c r="K5173" s="165"/>
      <c r="L5173" s="165"/>
      <c r="M5173" s="166"/>
      <c r="N5173" s="167"/>
      <c r="O5173" s="163"/>
      <c r="P5173" s="163"/>
      <c r="Q5173" s="163"/>
      <c r="R5173" s="163"/>
      <c r="S5173" s="161"/>
      <c r="T5173" s="161"/>
      <c r="U5173" s="161"/>
      <c r="V5173" s="161"/>
      <c r="W5173" s="161"/>
      <c r="X5173" s="161"/>
      <c r="Y5173" s="161"/>
      <c r="Z5173" s="168"/>
      <c r="AA5173" s="168"/>
      <c r="AB5173" s="168"/>
      <c r="AC5173" s="168"/>
    </row>
    <row r="5174">
      <c r="A5174" s="161"/>
      <c r="B5174" s="161"/>
      <c r="C5174" s="162"/>
      <c r="D5174" s="163"/>
      <c r="E5174" s="164" t="str">
        <f>IFERROR(__xludf.DUMMYFUNCTION("""COMPUTED_VALUE"""),"")</f>
        <v/>
      </c>
      <c r="F5174" s="163"/>
      <c r="G5174" s="163"/>
      <c r="H5174" s="163"/>
      <c r="I5174" s="163"/>
      <c r="J5174" s="165"/>
      <c r="K5174" s="165"/>
      <c r="L5174" s="165"/>
      <c r="M5174" s="166"/>
      <c r="N5174" s="167"/>
      <c r="O5174" s="163"/>
      <c r="P5174" s="163"/>
      <c r="Q5174" s="163"/>
      <c r="R5174" s="163"/>
      <c r="S5174" s="161"/>
      <c r="T5174" s="161"/>
      <c r="U5174" s="161"/>
      <c r="V5174" s="161"/>
      <c r="W5174" s="161"/>
      <c r="X5174" s="161"/>
      <c r="Y5174" s="161"/>
      <c r="Z5174" s="168"/>
      <c r="AA5174" s="168"/>
      <c r="AB5174" s="168"/>
      <c r="AC5174" s="168"/>
    </row>
    <row r="5175">
      <c r="A5175" s="161"/>
      <c r="B5175" s="161"/>
      <c r="C5175" s="162"/>
      <c r="D5175" s="163"/>
      <c r="E5175" s="164" t="str">
        <f>IFERROR(__xludf.DUMMYFUNCTION("""COMPUTED_VALUE"""),"")</f>
        <v/>
      </c>
      <c r="F5175" s="163"/>
      <c r="G5175" s="163"/>
      <c r="H5175" s="163"/>
      <c r="I5175" s="163"/>
      <c r="J5175" s="165"/>
      <c r="K5175" s="165"/>
      <c r="L5175" s="165"/>
      <c r="M5175" s="166"/>
      <c r="N5175" s="167"/>
      <c r="O5175" s="163"/>
      <c r="P5175" s="163"/>
      <c r="Q5175" s="163"/>
      <c r="R5175" s="163"/>
      <c r="S5175" s="161"/>
      <c r="T5175" s="161"/>
      <c r="U5175" s="161"/>
      <c r="V5175" s="161"/>
      <c r="W5175" s="161"/>
      <c r="X5175" s="161"/>
      <c r="Y5175" s="161"/>
      <c r="Z5175" s="168"/>
      <c r="AA5175" s="168"/>
      <c r="AB5175" s="168"/>
      <c r="AC5175" s="168"/>
    </row>
    <row r="5176">
      <c r="A5176" s="161"/>
      <c r="B5176" s="161"/>
      <c r="C5176" s="162"/>
      <c r="D5176" s="163"/>
      <c r="E5176" s="164" t="str">
        <f>IFERROR(__xludf.DUMMYFUNCTION("""COMPUTED_VALUE"""),"")</f>
        <v/>
      </c>
      <c r="F5176" s="163"/>
      <c r="G5176" s="163"/>
      <c r="H5176" s="163"/>
      <c r="I5176" s="163"/>
      <c r="J5176" s="165"/>
      <c r="K5176" s="165"/>
      <c r="L5176" s="165"/>
      <c r="M5176" s="166"/>
      <c r="N5176" s="167"/>
      <c r="O5176" s="163"/>
      <c r="P5176" s="163"/>
      <c r="Q5176" s="163"/>
      <c r="R5176" s="163"/>
      <c r="S5176" s="161"/>
      <c r="T5176" s="161"/>
      <c r="U5176" s="161"/>
      <c r="V5176" s="161"/>
      <c r="W5176" s="161"/>
      <c r="X5176" s="161"/>
      <c r="Y5176" s="161"/>
      <c r="Z5176" s="168"/>
      <c r="AA5176" s="168"/>
      <c r="AB5176" s="168"/>
      <c r="AC5176" s="168"/>
    </row>
    <row r="5177">
      <c r="A5177" s="161"/>
      <c r="B5177" s="161"/>
      <c r="C5177" s="162"/>
      <c r="D5177" s="163"/>
      <c r="E5177" s="164" t="str">
        <f>IFERROR(__xludf.DUMMYFUNCTION("""COMPUTED_VALUE"""),"")</f>
        <v/>
      </c>
      <c r="F5177" s="163"/>
      <c r="G5177" s="163"/>
      <c r="H5177" s="163"/>
      <c r="I5177" s="163"/>
      <c r="J5177" s="165"/>
      <c r="K5177" s="165"/>
      <c r="L5177" s="165"/>
      <c r="M5177" s="166"/>
      <c r="N5177" s="167"/>
      <c r="O5177" s="163"/>
      <c r="P5177" s="163"/>
      <c r="Q5177" s="163"/>
      <c r="R5177" s="163"/>
      <c r="S5177" s="161"/>
      <c r="T5177" s="161"/>
      <c r="U5177" s="161"/>
      <c r="V5177" s="161"/>
      <c r="W5177" s="161"/>
      <c r="X5177" s="161"/>
      <c r="Y5177" s="161"/>
      <c r="Z5177" s="168"/>
      <c r="AA5177" s="168"/>
      <c r="AB5177" s="168"/>
      <c r="AC5177" s="168"/>
    </row>
    <row r="5178">
      <c r="A5178" s="161"/>
      <c r="B5178" s="161"/>
      <c r="C5178" s="162"/>
      <c r="D5178" s="163"/>
      <c r="E5178" s="164" t="str">
        <f>IFERROR(__xludf.DUMMYFUNCTION("""COMPUTED_VALUE"""),"")</f>
        <v/>
      </c>
      <c r="F5178" s="163"/>
      <c r="G5178" s="163"/>
      <c r="H5178" s="163"/>
      <c r="I5178" s="163"/>
      <c r="J5178" s="165"/>
      <c r="K5178" s="165"/>
      <c r="L5178" s="165"/>
      <c r="M5178" s="166"/>
      <c r="N5178" s="167"/>
      <c r="O5178" s="163"/>
      <c r="P5178" s="163"/>
      <c r="Q5178" s="163"/>
      <c r="R5178" s="163"/>
      <c r="S5178" s="161"/>
      <c r="T5178" s="161"/>
      <c r="U5178" s="161"/>
      <c r="V5178" s="161"/>
      <c r="W5178" s="161"/>
      <c r="X5178" s="161"/>
      <c r="Y5178" s="161"/>
      <c r="Z5178" s="168"/>
      <c r="AA5178" s="168"/>
      <c r="AB5178" s="168"/>
      <c r="AC5178" s="168"/>
    </row>
    <row r="5179">
      <c r="A5179" s="161"/>
      <c r="B5179" s="161"/>
      <c r="C5179" s="162"/>
      <c r="D5179" s="163"/>
      <c r="E5179" s="164" t="str">
        <f>IFERROR(__xludf.DUMMYFUNCTION("""COMPUTED_VALUE"""),"")</f>
        <v/>
      </c>
      <c r="F5179" s="163"/>
      <c r="G5179" s="163"/>
      <c r="H5179" s="163"/>
      <c r="I5179" s="163"/>
      <c r="J5179" s="165"/>
      <c r="K5179" s="165"/>
      <c r="L5179" s="165"/>
      <c r="M5179" s="166"/>
      <c r="N5179" s="167"/>
      <c r="O5179" s="163"/>
      <c r="P5179" s="163"/>
      <c r="Q5179" s="163"/>
      <c r="R5179" s="163"/>
      <c r="S5179" s="161"/>
      <c r="T5179" s="161"/>
      <c r="U5179" s="161"/>
      <c r="V5179" s="161"/>
      <c r="W5179" s="161"/>
      <c r="X5179" s="161"/>
      <c r="Y5179" s="161"/>
      <c r="Z5179" s="168"/>
      <c r="AA5179" s="168"/>
      <c r="AB5179" s="168"/>
      <c r="AC5179" s="168"/>
    </row>
    <row r="5180">
      <c r="A5180" s="161"/>
      <c r="B5180" s="161"/>
      <c r="C5180" s="162"/>
      <c r="D5180" s="163"/>
      <c r="E5180" s="164" t="str">
        <f>IFERROR(__xludf.DUMMYFUNCTION("""COMPUTED_VALUE"""),"")</f>
        <v/>
      </c>
      <c r="F5180" s="163"/>
      <c r="G5180" s="163"/>
      <c r="H5180" s="163"/>
      <c r="I5180" s="163"/>
      <c r="J5180" s="165"/>
      <c r="K5180" s="165"/>
      <c r="L5180" s="165"/>
      <c r="M5180" s="166"/>
      <c r="N5180" s="167"/>
      <c r="O5180" s="163"/>
      <c r="P5180" s="163"/>
      <c r="Q5180" s="163"/>
      <c r="R5180" s="163"/>
      <c r="S5180" s="161"/>
      <c r="T5180" s="161"/>
      <c r="U5180" s="161"/>
      <c r="V5180" s="161"/>
      <c r="W5180" s="161"/>
      <c r="X5180" s="161"/>
      <c r="Y5180" s="161"/>
      <c r="Z5180" s="168"/>
      <c r="AA5180" s="168"/>
      <c r="AB5180" s="168"/>
      <c r="AC5180" s="168"/>
    </row>
    <row r="5181">
      <c r="A5181" s="161"/>
      <c r="B5181" s="161"/>
      <c r="C5181" s="162"/>
      <c r="D5181" s="163"/>
      <c r="E5181" s="164" t="str">
        <f>IFERROR(__xludf.DUMMYFUNCTION("""COMPUTED_VALUE"""),"")</f>
        <v/>
      </c>
      <c r="F5181" s="163"/>
      <c r="G5181" s="163"/>
      <c r="H5181" s="163"/>
      <c r="I5181" s="163"/>
      <c r="J5181" s="165"/>
      <c r="K5181" s="165"/>
      <c r="L5181" s="165"/>
      <c r="M5181" s="166"/>
      <c r="N5181" s="167"/>
      <c r="O5181" s="163"/>
      <c r="P5181" s="163"/>
      <c r="Q5181" s="163"/>
      <c r="R5181" s="163"/>
      <c r="S5181" s="161"/>
      <c r="T5181" s="161"/>
      <c r="U5181" s="161"/>
      <c r="V5181" s="161"/>
      <c r="W5181" s="161"/>
      <c r="X5181" s="161"/>
      <c r="Y5181" s="161"/>
      <c r="Z5181" s="168"/>
      <c r="AA5181" s="168"/>
      <c r="AB5181" s="168"/>
      <c r="AC5181" s="168"/>
    </row>
    <row r="5182">
      <c r="A5182" s="161"/>
      <c r="B5182" s="161"/>
      <c r="C5182" s="162"/>
      <c r="D5182" s="163"/>
      <c r="E5182" s="164" t="str">
        <f>IFERROR(__xludf.DUMMYFUNCTION("""COMPUTED_VALUE"""),"")</f>
        <v/>
      </c>
      <c r="F5182" s="163"/>
      <c r="G5182" s="163"/>
      <c r="H5182" s="163"/>
      <c r="I5182" s="163"/>
      <c r="J5182" s="165"/>
      <c r="K5182" s="165"/>
      <c r="L5182" s="165"/>
      <c r="M5182" s="166"/>
      <c r="N5182" s="167"/>
      <c r="O5182" s="163"/>
      <c r="P5182" s="163"/>
      <c r="Q5182" s="163"/>
      <c r="R5182" s="163"/>
      <c r="S5182" s="161"/>
      <c r="T5182" s="161"/>
      <c r="U5182" s="161"/>
      <c r="V5182" s="161"/>
      <c r="W5182" s="161"/>
      <c r="X5182" s="161"/>
      <c r="Y5182" s="161"/>
      <c r="Z5182" s="168"/>
      <c r="AA5182" s="168"/>
      <c r="AB5182" s="168"/>
      <c r="AC5182" s="168"/>
    </row>
    <row r="5183">
      <c r="A5183" s="161"/>
      <c r="B5183" s="161"/>
      <c r="C5183" s="162"/>
      <c r="D5183" s="163"/>
      <c r="E5183" s="164" t="str">
        <f>IFERROR(__xludf.DUMMYFUNCTION("""COMPUTED_VALUE"""),"")</f>
        <v/>
      </c>
      <c r="F5183" s="163"/>
      <c r="G5183" s="163"/>
      <c r="H5183" s="163"/>
      <c r="I5183" s="163"/>
      <c r="J5183" s="165"/>
      <c r="K5183" s="165"/>
      <c r="L5183" s="165"/>
      <c r="M5183" s="166"/>
      <c r="N5183" s="167"/>
      <c r="O5183" s="163"/>
      <c r="P5183" s="163"/>
      <c r="Q5183" s="163"/>
      <c r="R5183" s="163"/>
      <c r="S5183" s="161"/>
      <c r="T5183" s="161"/>
      <c r="U5183" s="161"/>
      <c r="V5183" s="161"/>
      <c r="W5183" s="161"/>
      <c r="X5183" s="161"/>
      <c r="Y5183" s="161"/>
      <c r="Z5183" s="168"/>
      <c r="AA5183" s="168"/>
      <c r="AB5183" s="168"/>
      <c r="AC5183" s="168"/>
    </row>
    <row r="5184">
      <c r="A5184" s="161"/>
      <c r="B5184" s="161"/>
      <c r="C5184" s="162"/>
      <c r="D5184" s="163"/>
      <c r="E5184" s="164" t="str">
        <f>IFERROR(__xludf.DUMMYFUNCTION("""COMPUTED_VALUE"""),"")</f>
        <v/>
      </c>
      <c r="F5184" s="163"/>
      <c r="G5184" s="163"/>
      <c r="H5184" s="163"/>
      <c r="I5184" s="163"/>
      <c r="J5184" s="165"/>
      <c r="K5184" s="165"/>
      <c r="L5184" s="165"/>
      <c r="M5184" s="166"/>
      <c r="N5184" s="167"/>
      <c r="O5184" s="163"/>
      <c r="P5184" s="163"/>
      <c r="Q5184" s="163"/>
      <c r="R5184" s="163"/>
      <c r="S5184" s="161"/>
      <c r="T5184" s="161"/>
      <c r="U5184" s="161"/>
      <c r="V5184" s="161"/>
      <c r="W5184" s="161"/>
      <c r="X5184" s="161"/>
      <c r="Y5184" s="161"/>
      <c r="Z5184" s="168"/>
      <c r="AA5184" s="168"/>
      <c r="AB5184" s="168"/>
      <c r="AC5184" s="168"/>
    </row>
    <row r="5185">
      <c r="A5185" s="161"/>
      <c r="B5185" s="161"/>
      <c r="C5185" s="162"/>
      <c r="D5185" s="163"/>
      <c r="E5185" s="164" t="str">
        <f>IFERROR(__xludf.DUMMYFUNCTION("""COMPUTED_VALUE"""),"")</f>
        <v/>
      </c>
      <c r="F5185" s="163"/>
      <c r="G5185" s="163"/>
      <c r="H5185" s="163"/>
      <c r="I5185" s="163"/>
      <c r="J5185" s="165"/>
      <c r="K5185" s="165"/>
      <c r="L5185" s="165"/>
      <c r="M5185" s="166"/>
      <c r="N5185" s="167"/>
      <c r="O5185" s="163"/>
      <c r="P5185" s="163"/>
      <c r="Q5185" s="163"/>
      <c r="R5185" s="163"/>
      <c r="S5185" s="161"/>
      <c r="T5185" s="161"/>
      <c r="U5185" s="161"/>
      <c r="V5185" s="161"/>
      <c r="W5185" s="161"/>
      <c r="X5185" s="161"/>
      <c r="Y5185" s="161"/>
      <c r="Z5185" s="168"/>
      <c r="AA5185" s="168"/>
      <c r="AB5185" s="168"/>
      <c r="AC5185" s="168"/>
    </row>
    <row r="5186">
      <c r="A5186" s="161"/>
      <c r="B5186" s="161"/>
      <c r="C5186" s="162"/>
      <c r="D5186" s="163"/>
      <c r="E5186" s="164" t="str">
        <f>IFERROR(__xludf.DUMMYFUNCTION("""COMPUTED_VALUE"""),"")</f>
        <v/>
      </c>
      <c r="F5186" s="163"/>
      <c r="G5186" s="163"/>
      <c r="H5186" s="163"/>
      <c r="I5186" s="163"/>
      <c r="J5186" s="165"/>
      <c r="K5186" s="165"/>
      <c r="L5186" s="165"/>
      <c r="M5186" s="166"/>
      <c r="N5186" s="167"/>
      <c r="O5186" s="163"/>
      <c r="P5186" s="163"/>
      <c r="Q5186" s="163"/>
      <c r="R5186" s="163"/>
      <c r="S5186" s="161"/>
      <c r="T5186" s="161"/>
      <c r="U5186" s="161"/>
      <c r="V5186" s="161"/>
      <c r="W5186" s="161"/>
      <c r="X5186" s="161"/>
      <c r="Y5186" s="161"/>
      <c r="Z5186" s="168"/>
      <c r="AA5186" s="168"/>
      <c r="AB5186" s="168"/>
      <c r="AC5186" s="168"/>
    </row>
    <row r="5187">
      <c r="A5187" s="161"/>
      <c r="B5187" s="161"/>
      <c r="C5187" s="162"/>
      <c r="D5187" s="163"/>
      <c r="E5187" s="164" t="str">
        <f>IFERROR(__xludf.DUMMYFUNCTION("""COMPUTED_VALUE"""),"")</f>
        <v/>
      </c>
      <c r="F5187" s="163"/>
      <c r="G5187" s="163"/>
      <c r="H5187" s="163"/>
      <c r="I5187" s="163"/>
      <c r="J5187" s="165"/>
      <c r="K5187" s="165"/>
      <c r="L5187" s="165"/>
      <c r="M5187" s="166"/>
      <c r="N5187" s="167"/>
      <c r="O5187" s="163"/>
      <c r="P5187" s="163"/>
      <c r="Q5187" s="163"/>
      <c r="R5187" s="163"/>
      <c r="S5187" s="161"/>
      <c r="T5187" s="161"/>
      <c r="U5187" s="161"/>
      <c r="V5187" s="161"/>
      <c r="W5187" s="161"/>
      <c r="X5187" s="161"/>
      <c r="Y5187" s="161"/>
      <c r="Z5187" s="168"/>
      <c r="AA5187" s="168"/>
      <c r="AB5187" s="168"/>
      <c r="AC5187" s="168"/>
    </row>
    <row r="5188">
      <c r="A5188" s="161"/>
      <c r="B5188" s="161"/>
      <c r="C5188" s="162"/>
      <c r="D5188" s="163"/>
      <c r="E5188" s="164" t="str">
        <f>IFERROR(__xludf.DUMMYFUNCTION("""COMPUTED_VALUE"""),"")</f>
        <v/>
      </c>
      <c r="F5188" s="163"/>
      <c r="G5188" s="163"/>
      <c r="H5188" s="163"/>
      <c r="I5188" s="163"/>
      <c r="J5188" s="165"/>
      <c r="K5188" s="165"/>
      <c r="L5188" s="165"/>
      <c r="M5188" s="166"/>
      <c r="N5188" s="167"/>
      <c r="O5188" s="163"/>
      <c r="P5188" s="163"/>
      <c r="Q5188" s="163"/>
      <c r="R5188" s="163"/>
      <c r="S5188" s="161"/>
      <c r="T5188" s="161"/>
      <c r="U5188" s="161"/>
      <c r="V5188" s="161"/>
      <c r="W5188" s="161"/>
      <c r="X5188" s="161"/>
      <c r="Y5188" s="161"/>
      <c r="Z5188" s="168"/>
      <c r="AA5188" s="168"/>
      <c r="AB5188" s="168"/>
      <c r="AC5188" s="168"/>
    </row>
    <row r="5189">
      <c r="A5189" s="161"/>
      <c r="B5189" s="161"/>
      <c r="C5189" s="162"/>
      <c r="D5189" s="163"/>
      <c r="E5189" s="164" t="str">
        <f>IFERROR(__xludf.DUMMYFUNCTION("""COMPUTED_VALUE"""),"")</f>
        <v/>
      </c>
      <c r="F5189" s="163"/>
      <c r="G5189" s="163"/>
      <c r="H5189" s="163"/>
      <c r="I5189" s="163"/>
      <c r="J5189" s="165"/>
      <c r="K5189" s="165"/>
      <c r="L5189" s="165"/>
      <c r="M5189" s="166"/>
      <c r="N5189" s="167"/>
      <c r="O5189" s="163"/>
      <c r="P5189" s="163"/>
      <c r="Q5189" s="163"/>
      <c r="R5189" s="163"/>
      <c r="S5189" s="161"/>
      <c r="T5189" s="161"/>
      <c r="U5189" s="161"/>
      <c r="V5189" s="161"/>
      <c r="W5189" s="161"/>
      <c r="X5189" s="161"/>
      <c r="Y5189" s="161"/>
      <c r="Z5189" s="168"/>
      <c r="AA5189" s="168"/>
      <c r="AB5189" s="168"/>
      <c r="AC5189" s="168"/>
    </row>
    <row r="5190">
      <c r="A5190" s="161"/>
      <c r="B5190" s="161"/>
      <c r="C5190" s="162"/>
      <c r="D5190" s="163"/>
      <c r="E5190" s="164" t="str">
        <f>IFERROR(__xludf.DUMMYFUNCTION("""COMPUTED_VALUE"""),"")</f>
        <v/>
      </c>
      <c r="F5190" s="163"/>
      <c r="G5190" s="163"/>
      <c r="H5190" s="163"/>
      <c r="I5190" s="163"/>
      <c r="J5190" s="165"/>
      <c r="K5190" s="165"/>
      <c r="L5190" s="165"/>
      <c r="M5190" s="166"/>
      <c r="N5190" s="167"/>
      <c r="O5190" s="163"/>
      <c r="P5190" s="163"/>
      <c r="Q5190" s="163"/>
      <c r="R5190" s="163"/>
      <c r="S5190" s="161"/>
      <c r="T5190" s="161"/>
      <c r="U5190" s="161"/>
      <c r="V5190" s="161"/>
      <c r="W5190" s="161"/>
      <c r="X5190" s="161"/>
      <c r="Y5190" s="161"/>
      <c r="Z5190" s="168"/>
      <c r="AA5190" s="168"/>
      <c r="AB5190" s="168"/>
      <c r="AC5190" s="168"/>
    </row>
    <row r="5191">
      <c r="A5191" s="161"/>
      <c r="B5191" s="161"/>
      <c r="C5191" s="162"/>
      <c r="D5191" s="163"/>
      <c r="E5191" s="164" t="str">
        <f>IFERROR(__xludf.DUMMYFUNCTION("""COMPUTED_VALUE"""),"")</f>
        <v/>
      </c>
      <c r="F5191" s="163"/>
      <c r="G5191" s="163"/>
      <c r="H5191" s="163"/>
      <c r="I5191" s="163"/>
      <c r="J5191" s="165"/>
      <c r="K5191" s="165"/>
      <c r="L5191" s="165"/>
      <c r="M5191" s="166"/>
      <c r="N5191" s="167"/>
      <c r="O5191" s="163"/>
      <c r="P5191" s="163"/>
      <c r="Q5191" s="163"/>
      <c r="R5191" s="163"/>
      <c r="S5191" s="161"/>
      <c r="T5191" s="161"/>
      <c r="U5191" s="161"/>
      <c r="V5191" s="161"/>
      <c r="W5191" s="161"/>
      <c r="X5191" s="161"/>
      <c r="Y5191" s="161"/>
      <c r="Z5191" s="168"/>
      <c r="AA5191" s="168"/>
      <c r="AB5191" s="168"/>
      <c r="AC5191" s="168"/>
    </row>
    <row r="5192">
      <c r="A5192" s="161"/>
      <c r="B5192" s="161"/>
      <c r="C5192" s="162"/>
      <c r="D5192" s="163"/>
      <c r="E5192" s="164" t="str">
        <f>IFERROR(__xludf.DUMMYFUNCTION("""COMPUTED_VALUE"""),"")</f>
        <v/>
      </c>
      <c r="F5192" s="163"/>
      <c r="G5192" s="163"/>
      <c r="H5192" s="163"/>
      <c r="I5192" s="163"/>
      <c r="J5192" s="165"/>
      <c r="K5192" s="165"/>
      <c r="L5192" s="165"/>
      <c r="M5192" s="166"/>
      <c r="N5192" s="167"/>
      <c r="O5192" s="163"/>
      <c r="P5192" s="163"/>
      <c r="Q5192" s="163"/>
      <c r="R5192" s="163"/>
      <c r="S5192" s="161"/>
      <c r="T5192" s="161"/>
      <c r="U5192" s="161"/>
      <c r="V5192" s="161"/>
      <c r="W5192" s="161"/>
      <c r="X5192" s="161"/>
      <c r="Y5192" s="161"/>
      <c r="Z5192" s="168"/>
      <c r="AA5192" s="168"/>
      <c r="AB5192" s="168"/>
      <c r="AC5192" s="168"/>
    </row>
    <row r="5193">
      <c r="A5193" s="161"/>
      <c r="B5193" s="161"/>
      <c r="C5193" s="162"/>
      <c r="D5193" s="163"/>
      <c r="E5193" s="164" t="str">
        <f>IFERROR(__xludf.DUMMYFUNCTION("""COMPUTED_VALUE"""),"")</f>
        <v/>
      </c>
      <c r="F5193" s="163"/>
      <c r="G5193" s="163"/>
      <c r="H5193" s="163"/>
      <c r="I5193" s="163"/>
      <c r="J5193" s="165"/>
      <c r="K5193" s="165"/>
      <c r="L5193" s="165"/>
      <c r="M5193" s="166"/>
      <c r="N5193" s="167"/>
      <c r="O5193" s="163"/>
      <c r="P5193" s="163"/>
      <c r="Q5193" s="163"/>
      <c r="R5193" s="163"/>
      <c r="S5193" s="161"/>
      <c r="T5193" s="161"/>
      <c r="U5193" s="161"/>
      <c r="V5193" s="161"/>
      <c r="W5193" s="161"/>
      <c r="X5193" s="161"/>
      <c r="Y5193" s="161"/>
      <c r="Z5193" s="168"/>
      <c r="AA5193" s="168"/>
      <c r="AB5193" s="168"/>
      <c r="AC5193" s="168"/>
    </row>
    <row r="5194">
      <c r="A5194" s="161"/>
      <c r="B5194" s="161"/>
      <c r="C5194" s="162"/>
      <c r="D5194" s="163"/>
      <c r="E5194" s="164" t="str">
        <f>IFERROR(__xludf.DUMMYFUNCTION("""COMPUTED_VALUE"""),"")</f>
        <v/>
      </c>
      <c r="F5194" s="163"/>
      <c r="G5194" s="163"/>
      <c r="H5194" s="163"/>
      <c r="I5194" s="163"/>
      <c r="J5194" s="165"/>
      <c r="K5194" s="165"/>
      <c r="L5194" s="165"/>
      <c r="M5194" s="166"/>
      <c r="N5194" s="167"/>
      <c r="O5194" s="163"/>
      <c r="P5194" s="163"/>
      <c r="Q5194" s="163"/>
      <c r="R5194" s="163"/>
      <c r="S5194" s="161"/>
      <c r="T5194" s="161"/>
      <c r="U5194" s="161"/>
      <c r="V5194" s="161"/>
      <c r="W5194" s="161"/>
      <c r="X5194" s="161"/>
      <c r="Y5194" s="161"/>
      <c r="Z5194" s="168"/>
      <c r="AA5194" s="168"/>
      <c r="AB5194" s="168"/>
      <c r="AC5194" s="168"/>
    </row>
    <row r="5195">
      <c r="A5195" s="161"/>
      <c r="B5195" s="161"/>
      <c r="C5195" s="162"/>
      <c r="D5195" s="163"/>
      <c r="E5195" s="164" t="str">
        <f>IFERROR(__xludf.DUMMYFUNCTION("""COMPUTED_VALUE"""),"")</f>
        <v/>
      </c>
      <c r="F5195" s="163"/>
      <c r="G5195" s="163"/>
      <c r="H5195" s="163"/>
      <c r="I5195" s="163"/>
      <c r="J5195" s="165"/>
      <c r="K5195" s="165"/>
      <c r="L5195" s="165"/>
      <c r="M5195" s="166"/>
      <c r="N5195" s="167"/>
      <c r="O5195" s="163"/>
      <c r="P5195" s="163"/>
      <c r="Q5195" s="163"/>
      <c r="R5195" s="163"/>
      <c r="S5195" s="161"/>
      <c r="T5195" s="161"/>
      <c r="U5195" s="161"/>
      <c r="V5195" s="161"/>
      <c r="W5195" s="161"/>
      <c r="X5195" s="161"/>
      <c r="Y5195" s="161"/>
      <c r="Z5195" s="168"/>
      <c r="AA5195" s="168"/>
      <c r="AB5195" s="168"/>
      <c r="AC5195" s="168"/>
    </row>
    <row r="5196">
      <c r="A5196" s="161"/>
      <c r="B5196" s="161"/>
      <c r="C5196" s="162"/>
      <c r="D5196" s="163"/>
      <c r="E5196" s="164" t="str">
        <f>IFERROR(__xludf.DUMMYFUNCTION("""COMPUTED_VALUE"""),"")</f>
        <v/>
      </c>
      <c r="F5196" s="163"/>
      <c r="G5196" s="163"/>
      <c r="H5196" s="163"/>
      <c r="I5196" s="163"/>
      <c r="J5196" s="165"/>
      <c r="K5196" s="165"/>
      <c r="L5196" s="165"/>
      <c r="M5196" s="166"/>
      <c r="N5196" s="167"/>
      <c r="O5196" s="163"/>
      <c r="P5196" s="163"/>
      <c r="Q5196" s="163"/>
      <c r="R5196" s="163"/>
      <c r="S5196" s="161"/>
      <c r="T5196" s="161"/>
      <c r="U5196" s="161"/>
      <c r="V5196" s="161"/>
      <c r="W5196" s="161"/>
      <c r="X5196" s="161"/>
      <c r="Y5196" s="161"/>
      <c r="Z5196" s="168"/>
      <c r="AA5196" s="168"/>
      <c r="AB5196" s="168"/>
      <c r="AC5196" s="168"/>
    </row>
    <row r="5197">
      <c r="A5197" s="161"/>
      <c r="B5197" s="161"/>
      <c r="C5197" s="162"/>
      <c r="D5197" s="163"/>
      <c r="E5197" s="164" t="str">
        <f>IFERROR(__xludf.DUMMYFUNCTION("""COMPUTED_VALUE"""),"")</f>
        <v/>
      </c>
      <c r="F5197" s="163"/>
      <c r="G5197" s="163"/>
      <c r="H5197" s="163"/>
      <c r="I5197" s="163"/>
      <c r="J5197" s="165"/>
      <c r="K5197" s="165"/>
      <c r="L5197" s="165"/>
      <c r="M5197" s="166"/>
      <c r="N5197" s="167"/>
      <c r="O5197" s="163"/>
      <c r="P5197" s="163"/>
      <c r="Q5197" s="163"/>
      <c r="R5197" s="163"/>
      <c r="S5197" s="161"/>
      <c r="T5197" s="161"/>
      <c r="U5197" s="161"/>
      <c r="V5197" s="161"/>
      <c r="W5197" s="161"/>
      <c r="X5197" s="161"/>
      <c r="Y5197" s="161"/>
      <c r="Z5197" s="168"/>
      <c r="AA5197" s="168"/>
      <c r="AB5197" s="168"/>
      <c r="AC5197" s="168"/>
    </row>
    <row r="5198">
      <c r="A5198" s="161"/>
      <c r="B5198" s="161"/>
      <c r="C5198" s="162"/>
      <c r="D5198" s="163"/>
      <c r="E5198" s="164" t="str">
        <f>IFERROR(__xludf.DUMMYFUNCTION("""COMPUTED_VALUE"""),"")</f>
        <v/>
      </c>
      <c r="F5198" s="163"/>
      <c r="G5198" s="163"/>
      <c r="H5198" s="163"/>
      <c r="I5198" s="163"/>
      <c r="J5198" s="165"/>
      <c r="K5198" s="165"/>
      <c r="L5198" s="165"/>
      <c r="M5198" s="166"/>
      <c r="N5198" s="167"/>
      <c r="O5198" s="163"/>
      <c r="P5198" s="163"/>
      <c r="Q5198" s="163"/>
      <c r="R5198" s="163"/>
      <c r="S5198" s="161"/>
      <c r="T5198" s="161"/>
      <c r="U5198" s="161"/>
      <c r="V5198" s="161"/>
      <c r="W5198" s="161"/>
      <c r="X5198" s="161"/>
      <c r="Y5198" s="161"/>
      <c r="Z5198" s="168"/>
      <c r="AA5198" s="168"/>
      <c r="AB5198" s="168"/>
      <c r="AC5198" s="168"/>
    </row>
    <row r="5199">
      <c r="A5199" s="161"/>
      <c r="B5199" s="161"/>
      <c r="C5199" s="162"/>
      <c r="D5199" s="163"/>
      <c r="E5199" s="164" t="str">
        <f>IFERROR(__xludf.DUMMYFUNCTION("""COMPUTED_VALUE"""),"")</f>
        <v/>
      </c>
      <c r="F5199" s="163"/>
      <c r="G5199" s="163"/>
      <c r="H5199" s="163"/>
      <c r="I5199" s="163"/>
      <c r="J5199" s="165"/>
      <c r="K5199" s="165"/>
      <c r="L5199" s="165"/>
      <c r="M5199" s="166"/>
      <c r="N5199" s="167"/>
      <c r="O5199" s="163"/>
      <c r="P5199" s="163"/>
      <c r="Q5199" s="163"/>
      <c r="R5199" s="163"/>
      <c r="S5199" s="161"/>
      <c r="T5199" s="161"/>
      <c r="U5199" s="161"/>
      <c r="V5199" s="161"/>
      <c r="W5199" s="161"/>
      <c r="X5199" s="161"/>
      <c r="Y5199" s="161"/>
      <c r="Z5199" s="168"/>
      <c r="AA5199" s="168"/>
      <c r="AB5199" s="168"/>
      <c r="AC5199" s="168"/>
    </row>
    <row r="5200">
      <c r="A5200" s="161"/>
      <c r="B5200" s="161"/>
      <c r="C5200" s="162"/>
      <c r="D5200" s="163"/>
      <c r="E5200" s="164" t="str">
        <f>IFERROR(__xludf.DUMMYFUNCTION("""COMPUTED_VALUE"""),"")</f>
        <v/>
      </c>
      <c r="F5200" s="163"/>
      <c r="G5200" s="163"/>
      <c r="H5200" s="163"/>
      <c r="I5200" s="163"/>
      <c r="J5200" s="165"/>
      <c r="K5200" s="165"/>
      <c r="L5200" s="165"/>
      <c r="M5200" s="166"/>
      <c r="N5200" s="167"/>
      <c r="O5200" s="163"/>
      <c r="P5200" s="163"/>
      <c r="Q5200" s="163"/>
      <c r="R5200" s="163"/>
      <c r="S5200" s="161"/>
      <c r="T5200" s="161"/>
      <c r="U5200" s="161"/>
      <c r="V5200" s="161"/>
      <c r="W5200" s="161"/>
      <c r="X5200" s="161"/>
      <c r="Y5200" s="161"/>
      <c r="Z5200" s="168"/>
      <c r="AA5200" s="168"/>
      <c r="AB5200" s="168"/>
      <c r="AC5200" s="168"/>
    </row>
    <row r="5201">
      <c r="A5201" s="161"/>
      <c r="B5201" s="161"/>
      <c r="C5201" s="162"/>
      <c r="D5201" s="163"/>
      <c r="E5201" s="164" t="str">
        <f>IFERROR(__xludf.DUMMYFUNCTION("""COMPUTED_VALUE"""),"")</f>
        <v/>
      </c>
      <c r="F5201" s="163"/>
      <c r="G5201" s="163"/>
      <c r="H5201" s="163"/>
      <c r="I5201" s="163"/>
      <c r="J5201" s="165"/>
      <c r="K5201" s="165"/>
      <c r="L5201" s="165"/>
      <c r="M5201" s="166"/>
      <c r="N5201" s="167"/>
      <c r="O5201" s="163"/>
      <c r="P5201" s="163"/>
      <c r="Q5201" s="163"/>
      <c r="R5201" s="163"/>
      <c r="S5201" s="161"/>
      <c r="T5201" s="161"/>
      <c r="U5201" s="161"/>
      <c r="V5201" s="161"/>
      <c r="W5201" s="161"/>
      <c r="X5201" s="161"/>
      <c r="Y5201" s="161"/>
      <c r="Z5201" s="168"/>
      <c r="AA5201" s="168"/>
      <c r="AB5201" s="168"/>
      <c r="AC5201" s="168"/>
    </row>
    <row r="5202">
      <c r="A5202" s="161"/>
      <c r="B5202" s="161"/>
      <c r="C5202" s="162"/>
      <c r="D5202" s="163"/>
      <c r="E5202" s="164" t="str">
        <f>IFERROR(__xludf.DUMMYFUNCTION("""COMPUTED_VALUE"""),"")</f>
        <v/>
      </c>
      <c r="F5202" s="163"/>
      <c r="G5202" s="163"/>
      <c r="H5202" s="163"/>
      <c r="I5202" s="163"/>
      <c r="J5202" s="165"/>
      <c r="K5202" s="165"/>
      <c r="L5202" s="165"/>
      <c r="M5202" s="166"/>
      <c r="N5202" s="167"/>
      <c r="O5202" s="163"/>
      <c r="P5202" s="163"/>
      <c r="Q5202" s="163"/>
      <c r="R5202" s="163"/>
      <c r="S5202" s="161"/>
      <c r="T5202" s="161"/>
      <c r="U5202" s="161"/>
      <c r="V5202" s="161"/>
      <c r="W5202" s="161"/>
      <c r="X5202" s="161"/>
      <c r="Y5202" s="161"/>
      <c r="Z5202" s="168"/>
      <c r="AA5202" s="168"/>
      <c r="AB5202" s="168"/>
      <c r="AC5202" s="168"/>
    </row>
    <row r="5203">
      <c r="A5203" s="161"/>
      <c r="B5203" s="161"/>
      <c r="C5203" s="162"/>
      <c r="D5203" s="163"/>
      <c r="E5203" s="164" t="str">
        <f>IFERROR(__xludf.DUMMYFUNCTION("""COMPUTED_VALUE"""),"")</f>
        <v/>
      </c>
      <c r="F5203" s="163"/>
      <c r="G5203" s="163"/>
      <c r="H5203" s="163"/>
      <c r="I5203" s="163"/>
      <c r="J5203" s="165"/>
      <c r="K5203" s="165"/>
      <c r="L5203" s="165"/>
      <c r="M5203" s="166"/>
      <c r="N5203" s="167"/>
      <c r="O5203" s="163"/>
      <c r="P5203" s="163"/>
      <c r="Q5203" s="163"/>
      <c r="R5203" s="163"/>
      <c r="S5203" s="161"/>
      <c r="T5203" s="161"/>
      <c r="U5203" s="161"/>
      <c r="V5203" s="161"/>
      <c r="W5203" s="161"/>
      <c r="X5203" s="161"/>
      <c r="Y5203" s="161"/>
      <c r="Z5203" s="168"/>
      <c r="AA5203" s="168"/>
      <c r="AB5203" s="168"/>
      <c r="AC5203" s="168"/>
    </row>
    <row r="5204">
      <c r="A5204" s="161"/>
      <c r="B5204" s="161"/>
      <c r="C5204" s="162"/>
      <c r="D5204" s="163"/>
      <c r="E5204" s="164" t="str">
        <f>IFERROR(__xludf.DUMMYFUNCTION("""COMPUTED_VALUE"""),"")</f>
        <v/>
      </c>
      <c r="F5204" s="163"/>
      <c r="G5204" s="163"/>
      <c r="H5204" s="163"/>
      <c r="I5204" s="163"/>
      <c r="J5204" s="165"/>
      <c r="K5204" s="165"/>
      <c r="L5204" s="165"/>
      <c r="M5204" s="166"/>
      <c r="N5204" s="167"/>
      <c r="O5204" s="163"/>
      <c r="P5204" s="163"/>
      <c r="Q5204" s="163"/>
      <c r="R5204" s="163"/>
      <c r="S5204" s="161"/>
      <c r="T5204" s="161"/>
      <c r="U5204" s="161"/>
      <c r="V5204" s="161"/>
      <c r="W5204" s="161"/>
      <c r="X5204" s="161"/>
      <c r="Y5204" s="161"/>
      <c r="Z5204" s="168"/>
      <c r="AA5204" s="168"/>
      <c r="AB5204" s="168"/>
      <c r="AC5204" s="168"/>
    </row>
    <row r="5205">
      <c r="A5205" s="161"/>
      <c r="B5205" s="161"/>
      <c r="C5205" s="162"/>
      <c r="D5205" s="163"/>
      <c r="E5205" s="164" t="str">
        <f>IFERROR(__xludf.DUMMYFUNCTION("""COMPUTED_VALUE"""),"")</f>
        <v/>
      </c>
      <c r="F5205" s="163"/>
      <c r="G5205" s="163"/>
      <c r="H5205" s="163"/>
      <c r="I5205" s="163"/>
      <c r="J5205" s="165"/>
      <c r="K5205" s="165"/>
      <c r="L5205" s="165"/>
      <c r="M5205" s="166"/>
      <c r="N5205" s="167"/>
      <c r="O5205" s="163"/>
      <c r="P5205" s="163"/>
      <c r="Q5205" s="163"/>
      <c r="R5205" s="163"/>
      <c r="S5205" s="161"/>
      <c r="T5205" s="161"/>
      <c r="U5205" s="161"/>
      <c r="V5205" s="161"/>
      <c r="W5205" s="161"/>
      <c r="X5205" s="161"/>
      <c r="Y5205" s="161"/>
      <c r="Z5205" s="168"/>
      <c r="AA5205" s="168"/>
      <c r="AB5205" s="168"/>
      <c r="AC5205" s="168"/>
    </row>
    <row r="5206">
      <c r="A5206" s="161"/>
      <c r="B5206" s="161"/>
      <c r="C5206" s="162"/>
      <c r="D5206" s="163"/>
      <c r="E5206" s="164" t="str">
        <f>IFERROR(__xludf.DUMMYFUNCTION("""COMPUTED_VALUE"""),"")</f>
        <v/>
      </c>
      <c r="F5206" s="163"/>
      <c r="G5206" s="163"/>
      <c r="H5206" s="163"/>
      <c r="I5206" s="163"/>
      <c r="J5206" s="165"/>
      <c r="K5206" s="165"/>
      <c r="L5206" s="165"/>
      <c r="M5206" s="166"/>
      <c r="N5206" s="167"/>
      <c r="O5206" s="163"/>
      <c r="P5206" s="163"/>
      <c r="Q5206" s="163"/>
      <c r="R5206" s="163"/>
      <c r="S5206" s="161"/>
      <c r="T5206" s="161"/>
      <c r="U5206" s="161"/>
      <c r="V5206" s="161"/>
      <c r="W5206" s="161"/>
      <c r="X5206" s="161"/>
      <c r="Y5206" s="161"/>
      <c r="Z5206" s="168"/>
      <c r="AA5206" s="168"/>
      <c r="AB5206" s="168"/>
      <c r="AC5206" s="168"/>
    </row>
    <row r="5207">
      <c r="A5207" s="161"/>
      <c r="B5207" s="161"/>
      <c r="C5207" s="162"/>
      <c r="D5207" s="163"/>
      <c r="E5207" s="164" t="str">
        <f>IFERROR(__xludf.DUMMYFUNCTION("""COMPUTED_VALUE"""),"")</f>
        <v/>
      </c>
      <c r="F5207" s="163"/>
      <c r="G5207" s="163"/>
      <c r="H5207" s="163"/>
      <c r="I5207" s="163"/>
      <c r="J5207" s="165"/>
      <c r="K5207" s="165"/>
      <c r="L5207" s="165"/>
      <c r="M5207" s="166"/>
      <c r="N5207" s="167"/>
      <c r="O5207" s="163"/>
      <c r="P5207" s="163"/>
      <c r="Q5207" s="163"/>
      <c r="R5207" s="163"/>
      <c r="S5207" s="161"/>
      <c r="T5207" s="161"/>
      <c r="U5207" s="161"/>
      <c r="V5207" s="161"/>
      <c r="W5207" s="161"/>
      <c r="X5207" s="161"/>
      <c r="Y5207" s="161"/>
      <c r="Z5207" s="168"/>
      <c r="AA5207" s="168"/>
      <c r="AB5207" s="168"/>
      <c r="AC5207" s="168"/>
    </row>
    <row r="5208">
      <c r="A5208" s="161"/>
      <c r="B5208" s="161"/>
      <c r="C5208" s="162"/>
      <c r="D5208" s="163"/>
      <c r="E5208" s="164" t="str">
        <f>IFERROR(__xludf.DUMMYFUNCTION("""COMPUTED_VALUE"""),"")</f>
        <v/>
      </c>
      <c r="F5208" s="163"/>
      <c r="G5208" s="163"/>
      <c r="H5208" s="163"/>
      <c r="I5208" s="163"/>
      <c r="J5208" s="165"/>
      <c r="K5208" s="165"/>
      <c r="L5208" s="165"/>
      <c r="M5208" s="166"/>
      <c r="N5208" s="167"/>
      <c r="O5208" s="163"/>
      <c r="P5208" s="163"/>
      <c r="Q5208" s="163"/>
      <c r="R5208" s="163"/>
      <c r="S5208" s="161"/>
      <c r="T5208" s="161"/>
      <c r="U5208" s="161"/>
      <c r="V5208" s="161"/>
      <c r="W5208" s="161"/>
      <c r="X5208" s="161"/>
      <c r="Y5208" s="161"/>
      <c r="Z5208" s="168"/>
      <c r="AA5208" s="168"/>
      <c r="AB5208" s="168"/>
      <c r="AC5208" s="168"/>
    </row>
    <row r="5209">
      <c r="A5209" s="161"/>
      <c r="B5209" s="161"/>
      <c r="C5209" s="162"/>
      <c r="D5209" s="163"/>
      <c r="E5209" s="164" t="str">
        <f>IFERROR(__xludf.DUMMYFUNCTION("""COMPUTED_VALUE"""),"")</f>
        <v/>
      </c>
      <c r="F5209" s="163"/>
      <c r="G5209" s="163"/>
      <c r="H5209" s="163"/>
      <c r="I5209" s="163"/>
      <c r="J5209" s="165"/>
      <c r="K5209" s="165"/>
      <c r="L5209" s="165"/>
      <c r="M5209" s="166"/>
      <c r="N5209" s="167"/>
      <c r="O5209" s="163"/>
      <c r="P5209" s="163"/>
      <c r="Q5209" s="163"/>
      <c r="R5209" s="163"/>
      <c r="S5209" s="161"/>
      <c r="T5209" s="161"/>
      <c r="U5209" s="161"/>
      <c r="V5209" s="161"/>
      <c r="W5209" s="161"/>
      <c r="X5209" s="161"/>
      <c r="Y5209" s="161"/>
      <c r="Z5209" s="168"/>
      <c r="AA5209" s="168"/>
      <c r="AB5209" s="168"/>
      <c r="AC5209" s="168"/>
    </row>
    <row r="5210">
      <c r="A5210" s="161"/>
      <c r="B5210" s="161"/>
      <c r="C5210" s="162"/>
      <c r="D5210" s="163"/>
      <c r="E5210" s="164" t="str">
        <f>IFERROR(__xludf.DUMMYFUNCTION("""COMPUTED_VALUE"""),"")</f>
        <v/>
      </c>
      <c r="F5210" s="163"/>
      <c r="G5210" s="163"/>
      <c r="H5210" s="163"/>
      <c r="I5210" s="163"/>
      <c r="J5210" s="165"/>
      <c r="K5210" s="165"/>
      <c r="L5210" s="165"/>
      <c r="M5210" s="166"/>
      <c r="N5210" s="167"/>
      <c r="O5210" s="163"/>
      <c r="P5210" s="163"/>
      <c r="Q5210" s="163"/>
      <c r="R5210" s="163"/>
      <c r="S5210" s="161"/>
      <c r="T5210" s="161"/>
      <c r="U5210" s="161"/>
      <c r="V5210" s="161"/>
      <c r="W5210" s="161"/>
      <c r="X5210" s="161"/>
      <c r="Y5210" s="161"/>
      <c r="Z5210" s="168"/>
      <c r="AA5210" s="168"/>
      <c r="AB5210" s="168"/>
      <c r="AC5210" s="168"/>
    </row>
    <row r="5211">
      <c r="A5211" s="161"/>
      <c r="B5211" s="161"/>
      <c r="C5211" s="162"/>
      <c r="D5211" s="163"/>
      <c r="E5211" s="164" t="str">
        <f>IFERROR(__xludf.DUMMYFUNCTION("""COMPUTED_VALUE"""),"")</f>
        <v/>
      </c>
      <c r="F5211" s="163"/>
      <c r="G5211" s="163"/>
      <c r="H5211" s="163"/>
      <c r="I5211" s="163"/>
      <c r="J5211" s="165"/>
      <c r="K5211" s="165"/>
      <c r="L5211" s="165"/>
      <c r="M5211" s="166"/>
      <c r="N5211" s="167"/>
      <c r="O5211" s="163"/>
      <c r="P5211" s="163"/>
      <c r="Q5211" s="163"/>
      <c r="R5211" s="163"/>
      <c r="S5211" s="161"/>
      <c r="T5211" s="161"/>
      <c r="U5211" s="161"/>
      <c r="V5211" s="161"/>
      <c r="W5211" s="161"/>
      <c r="X5211" s="161"/>
      <c r="Y5211" s="161"/>
      <c r="Z5211" s="168"/>
      <c r="AA5211" s="168"/>
      <c r="AB5211" s="168"/>
      <c r="AC5211" s="168"/>
    </row>
    <row r="5212">
      <c r="A5212" s="161"/>
      <c r="B5212" s="161"/>
      <c r="C5212" s="162"/>
      <c r="D5212" s="163"/>
      <c r="E5212" s="164" t="str">
        <f>IFERROR(__xludf.DUMMYFUNCTION("""COMPUTED_VALUE"""),"")</f>
        <v/>
      </c>
      <c r="F5212" s="163"/>
      <c r="G5212" s="163"/>
      <c r="H5212" s="163"/>
      <c r="I5212" s="163"/>
      <c r="J5212" s="165"/>
      <c r="K5212" s="165"/>
      <c r="L5212" s="165"/>
      <c r="M5212" s="166"/>
      <c r="N5212" s="167"/>
      <c r="O5212" s="163"/>
      <c r="P5212" s="163"/>
      <c r="Q5212" s="163"/>
      <c r="R5212" s="163"/>
      <c r="S5212" s="161"/>
      <c r="T5212" s="161"/>
      <c r="U5212" s="161"/>
      <c r="V5212" s="161"/>
      <c r="W5212" s="161"/>
      <c r="X5212" s="161"/>
      <c r="Y5212" s="161"/>
      <c r="Z5212" s="168"/>
      <c r="AA5212" s="168"/>
      <c r="AB5212" s="168"/>
      <c r="AC5212" s="168"/>
    </row>
    <row r="5213">
      <c r="A5213" s="161"/>
      <c r="B5213" s="161"/>
      <c r="C5213" s="162"/>
      <c r="D5213" s="163"/>
      <c r="E5213" s="164" t="str">
        <f>IFERROR(__xludf.DUMMYFUNCTION("""COMPUTED_VALUE"""),"")</f>
        <v/>
      </c>
      <c r="F5213" s="163"/>
      <c r="G5213" s="163"/>
      <c r="H5213" s="163"/>
      <c r="I5213" s="163"/>
      <c r="J5213" s="165"/>
      <c r="K5213" s="165"/>
      <c r="L5213" s="165"/>
      <c r="M5213" s="166"/>
      <c r="N5213" s="167"/>
      <c r="O5213" s="163"/>
      <c r="P5213" s="163"/>
      <c r="Q5213" s="163"/>
      <c r="R5213" s="163"/>
      <c r="S5213" s="161"/>
      <c r="T5213" s="161"/>
      <c r="U5213" s="161"/>
      <c r="V5213" s="161"/>
      <c r="W5213" s="161"/>
      <c r="X5213" s="161"/>
      <c r="Y5213" s="161"/>
      <c r="Z5213" s="168"/>
      <c r="AA5213" s="168"/>
      <c r="AB5213" s="168"/>
      <c r="AC5213" s="168"/>
    </row>
    <row r="5214">
      <c r="A5214" s="161"/>
      <c r="B5214" s="161"/>
      <c r="C5214" s="162"/>
      <c r="D5214" s="163"/>
      <c r="E5214" s="164" t="str">
        <f>IFERROR(__xludf.DUMMYFUNCTION("""COMPUTED_VALUE"""),"")</f>
        <v/>
      </c>
      <c r="F5214" s="163"/>
      <c r="G5214" s="163"/>
      <c r="H5214" s="163"/>
      <c r="I5214" s="163"/>
      <c r="J5214" s="165"/>
      <c r="K5214" s="165"/>
      <c r="L5214" s="165"/>
      <c r="M5214" s="166"/>
      <c r="N5214" s="167"/>
      <c r="O5214" s="163"/>
      <c r="P5214" s="163"/>
      <c r="Q5214" s="163"/>
      <c r="R5214" s="163"/>
      <c r="S5214" s="161"/>
      <c r="T5214" s="161"/>
      <c r="U5214" s="161"/>
      <c r="V5214" s="161"/>
      <c r="W5214" s="161"/>
      <c r="X5214" s="161"/>
      <c r="Y5214" s="161"/>
      <c r="Z5214" s="168"/>
      <c r="AA5214" s="168"/>
      <c r="AB5214" s="168"/>
      <c r="AC5214" s="168"/>
    </row>
    <row r="5215">
      <c r="A5215" s="161"/>
      <c r="B5215" s="161"/>
      <c r="C5215" s="162"/>
      <c r="D5215" s="163"/>
      <c r="E5215" s="164" t="str">
        <f>IFERROR(__xludf.DUMMYFUNCTION("""COMPUTED_VALUE"""),"")</f>
        <v/>
      </c>
      <c r="F5215" s="163"/>
      <c r="G5215" s="163"/>
      <c r="H5215" s="163"/>
      <c r="I5215" s="163"/>
      <c r="J5215" s="165"/>
      <c r="K5215" s="165"/>
      <c r="L5215" s="165"/>
      <c r="M5215" s="166"/>
      <c r="N5215" s="167"/>
      <c r="O5215" s="163"/>
      <c r="P5215" s="163"/>
      <c r="Q5215" s="163"/>
      <c r="R5215" s="163"/>
      <c r="S5215" s="161"/>
      <c r="T5215" s="161"/>
      <c r="U5215" s="161"/>
      <c r="V5215" s="161"/>
      <c r="W5215" s="161"/>
      <c r="X5215" s="161"/>
      <c r="Y5215" s="161"/>
      <c r="Z5215" s="168"/>
      <c r="AA5215" s="168"/>
      <c r="AB5215" s="168"/>
      <c r="AC5215" s="168"/>
    </row>
    <row r="5216">
      <c r="A5216" s="161"/>
      <c r="B5216" s="161"/>
      <c r="C5216" s="162"/>
      <c r="D5216" s="163"/>
      <c r="E5216" s="164" t="str">
        <f>IFERROR(__xludf.DUMMYFUNCTION("""COMPUTED_VALUE"""),"")</f>
        <v/>
      </c>
      <c r="F5216" s="163"/>
      <c r="G5216" s="163"/>
      <c r="H5216" s="163"/>
      <c r="I5216" s="163"/>
      <c r="J5216" s="165"/>
      <c r="K5216" s="165"/>
      <c r="L5216" s="165"/>
      <c r="M5216" s="166"/>
      <c r="N5216" s="167"/>
      <c r="O5216" s="163"/>
      <c r="P5216" s="163"/>
      <c r="Q5216" s="163"/>
      <c r="R5216" s="163"/>
      <c r="S5216" s="161"/>
      <c r="T5216" s="161"/>
      <c r="U5216" s="161"/>
      <c r="V5216" s="161"/>
      <c r="W5216" s="161"/>
      <c r="X5216" s="161"/>
      <c r="Y5216" s="161"/>
      <c r="Z5216" s="168"/>
      <c r="AA5216" s="168"/>
      <c r="AB5216" s="168"/>
      <c r="AC5216" s="168"/>
    </row>
    <row r="5217">
      <c r="A5217" s="161"/>
      <c r="B5217" s="161"/>
      <c r="C5217" s="162"/>
      <c r="D5217" s="163"/>
      <c r="E5217" s="164" t="str">
        <f>IFERROR(__xludf.DUMMYFUNCTION("""COMPUTED_VALUE"""),"")</f>
        <v/>
      </c>
      <c r="F5217" s="163"/>
      <c r="G5217" s="163"/>
      <c r="H5217" s="163"/>
      <c r="I5217" s="163"/>
      <c r="J5217" s="165"/>
      <c r="K5217" s="165"/>
      <c r="L5217" s="165"/>
      <c r="M5217" s="166"/>
      <c r="N5217" s="167"/>
      <c r="O5217" s="163"/>
      <c r="P5217" s="163"/>
      <c r="Q5217" s="163"/>
      <c r="R5217" s="163"/>
      <c r="S5217" s="161"/>
      <c r="T5217" s="161"/>
      <c r="U5217" s="161"/>
      <c r="V5217" s="161"/>
      <c r="W5217" s="161"/>
      <c r="X5217" s="161"/>
      <c r="Y5217" s="161"/>
      <c r="Z5217" s="168"/>
      <c r="AA5217" s="168"/>
      <c r="AB5217" s="168"/>
      <c r="AC5217" s="168"/>
    </row>
    <row r="5218">
      <c r="A5218" s="161"/>
      <c r="B5218" s="161"/>
      <c r="C5218" s="162"/>
      <c r="D5218" s="163"/>
      <c r="E5218" s="164" t="str">
        <f>IFERROR(__xludf.DUMMYFUNCTION("""COMPUTED_VALUE"""),"")</f>
        <v/>
      </c>
      <c r="F5218" s="163"/>
      <c r="G5218" s="163"/>
      <c r="H5218" s="163"/>
      <c r="I5218" s="163"/>
      <c r="J5218" s="165"/>
      <c r="K5218" s="165"/>
      <c r="L5218" s="165"/>
      <c r="M5218" s="166"/>
      <c r="N5218" s="167"/>
      <c r="O5218" s="163"/>
      <c r="P5218" s="163"/>
      <c r="Q5218" s="163"/>
      <c r="R5218" s="163"/>
      <c r="S5218" s="161"/>
      <c r="T5218" s="161"/>
      <c r="U5218" s="161"/>
      <c r="V5218" s="161"/>
      <c r="W5218" s="161"/>
      <c r="X5218" s="161"/>
      <c r="Y5218" s="161"/>
      <c r="Z5218" s="168"/>
      <c r="AA5218" s="168"/>
      <c r="AB5218" s="168"/>
      <c r="AC5218" s="168"/>
    </row>
    <row r="5219">
      <c r="A5219" s="161"/>
      <c r="B5219" s="161"/>
      <c r="C5219" s="162"/>
      <c r="D5219" s="163"/>
      <c r="E5219" s="164" t="str">
        <f>IFERROR(__xludf.DUMMYFUNCTION("""COMPUTED_VALUE"""),"")</f>
        <v/>
      </c>
      <c r="F5219" s="163"/>
      <c r="G5219" s="163"/>
      <c r="H5219" s="163"/>
      <c r="I5219" s="163"/>
      <c r="J5219" s="165"/>
      <c r="K5219" s="165"/>
      <c r="L5219" s="165"/>
      <c r="M5219" s="166"/>
      <c r="N5219" s="167"/>
      <c r="O5219" s="163"/>
      <c r="P5219" s="163"/>
      <c r="Q5219" s="163"/>
      <c r="R5219" s="163"/>
      <c r="S5219" s="161"/>
      <c r="T5219" s="161"/>
      <c r="U5219" s="161"/>
      <c r="V5219" s="161"/>
      <c r="W5219" s="161"/>
      <c r="X5219" s="161"/>
      <c r="Y5219" s="161"/>
      <c r="Z5219" s="168"/>
      <c r="AA5219" s="168"/>
      <c r="AB5219" s="168"/>
      <c r="AC5219" s="168"/>
    </row>
    <row r="5220">
      <c r="A5220" s="161"/>
      <c r="B5220" s="161"/>
      <c r="C5220" s="162"/>
      <c r="D5220" s="163"/>
      <c r="E5220" s="164" t="str">
        <f>IFERROR(__xludf.DUMMYFUNCTION("""COMPUTED_VALUE"""),"")</f>
        <v/>
      </c>
      <c r="F5220" s="163"/>
      <c r="G5220" s="163"/>
      <c r="H5220" s="163"/>
      <c r="I5220" s="163"/>
      <c r="J5220" s="165"/>
      <c r="K5220" s="165"/>
      <c r="L5220" s="165"/>
      <c r="M5220" s="166"/>
      <c r="N5220" s="167"/>
      <c r="O5220" s="163"/>
      <c r="P5220" s="163"/>
      <c r="Q5220" s="163"/>
      <c r="R5220" s="163"/>
      <c r="S5220" s="161"/>
      <c r="T5220" s="161"/>
      <c r="U5220" s="161"/>
      <c r="V5220" s="161"/>
      <c r="W5220" s="161"/>
      <c r="X5220" s="161"/>
      <c r="Y5220" s="161"/>
      <c r="Z5220" s="168"/>
      <c r="AA5220" s="168"/>
      <c r="AB5220" s="168"/>
      <c r="AC5220" s="168"/>
    </row>
    <row r="5221">
      <c r="A5221" s="161"/>
      <c r="B5221" s="161"/>
      <c r="C5221" s="162"/>
      <c r="D5221" s="163"/>
      <c r="E5221" s="164" t="str">
        <f>IFERROR(__xludf.DUMMYFUNCTION("""COMPUTED_VALUE"""),"")</f>
        <v/>
      </c>
      <c r="F5221" s="163"/>
      <c r="G5221" s="163"/>
      <c r="H5221" s="163"/>
      <c r="I5221" s="163"/>
      <c r="J5221" s="165"/>
      <c r="K5221" s="165"/>
      <c r="L5221" s="165"/>
      <c r="M5221" s="166"/>
      <c r="N5221" s="167"/>
      <c r="O5221" s="163"/>
      <c r="P5221" s="163"/>
      <c r="Q5221" s="163"/>
      <c r="R5221" s="163"/>
      <c r="S5221" s="161"/>
      <c r="T5221" s="161"/>
      <c r="U5221" s="161"/>
      <c r="V5221" s="161"/>
      <c r="W5221" s="161"/>
      <c r="X5221" s="161"/>
      <c r="Y5221" s="161"/>
      <c r="Z5221" s="168"/>
      <c r="AA5221" s="168"/>
      <c r="AB5221" s="168"/>
      <c r="AC5221" s="168"/>
    </row>
    <row r="5222">
      <c r="A5222" s="161"/>
      <c r="B5222" s="161"/>
      <c r="C5222" s="162"/>
      <c r="D5222" s="163"/>
      <c r="E5222" s="164" t="str">
        <f>IFERROR(__xludf.DUMMYFUNCTION("""COMPUTED_VALUE"""),"")</f>
        <v/>
      </c>
      <c r="F5222" s="163"/>
      <c r="G5222" s="163"/>
      <c r="H5222" s="163"/>
      <c r="I5222" s="163"/>
      <c r="J5222" s="165"/>
      <c r="K5222" s="165"/>
      <c r="L5222" s="165"/>
      <c r="M5222" s="166"/>
      <c r="N5222" s="167"/>
      <c r="O5222" s="163"/>
      <c r="P5222" s="163"/>
      <c r="Q5222" s="163"/>
      <c r="R5222" s="163"/>
      <c r="S5222" s="161"/>
      <c r="T5222" s="161"/>
      <c r="U5222" s="161"/>
      <c r="V5222" s="161"/>
      <c r="W5222" s="161"/>
      <c r="X5222" s="161"/>
      <c r="Y5222" s="161"/>
      <c r="Z5222" s="168"/>
      <c r="AA5222" s="168"/>
      <c r="AB5222" s="168"/>
      <c r="AC5222" s="168"/>
    </row>
    <row r="5223">
      <c r="A5223" s="161"/>
      <c r="B5223" s="161"/>
      <c r="C5223" s="162"/>
      <c r="D5223" s="163"/>
      <c r="E5223" s="164" t="str">
        <f>IFERROR(__xludf.DUMMYFUNCTION("""COMPUTED_VALUE"""),"")</f>
        <v/>
      </c>
      <c r="F5223" s="163"/>
      <c r="G5223" s="163"/>
      <c r="H5223" s="163"/>
      <c r="I5223" s="163"/>
      <c r="J5223" s="165"/>
      <c r="K5223" s="165"/>
      <c r="L5223" s="165"/>
      <c r="M5223" s="166"/>
      <c r="N5223" s="167"/>
      <c r="O5223" s="163"/>
      <c r="P5223" s="163"/>
      <c r="Q5223" s="163"/>
      <c r="R5223" s="163"/>
      <c r="S5223" s="161"/>
      <c r="T5223" s="161"/>
      <c r="U5223" s="161"/>
      <c r="V5223" s="161"/>
      <c r="W5223" s="161"/>
      <c r="X5223" s="161"/>
      <c r="Y5223" s="161"/>
      <c r="Z5223" s="168"/>
      <c r="AA5223" s="168"/>
      <c r="AB5223" s="168"/>
      <c r="AC5223" s="168"/>
    </row>
    <row r="5224">
      <c r="A5224" s="161"/>
      <c r="B5224" s="161"/>
      <c r="C5224" s="162"/>
      <c r="D5224" s="163"/>
      <c r="E5224" s="164" t="str">
        <f>IFERROR(__xludf.DUMMYFUNCTION("""COMPUTED_VALUE"""),"")</f>
        <v/>
      </c>
      <c r="F5224" s="163"/>
      <c r="G5224" s="163"/>
      <c r="H5224" s="163"/>
      <c r="I5224" s="163"/>
      <c r="J5224" s="165"/>
      <c r="K5224" s="165"/>
      <c r="L5224" s="165"/>
      <c r="M5224" s="166"/>
      <c r="N5224" s="167"/>
      <c r="O5224" s="163"/>
      <c r="P5224" s="163"/>
      <c r="Q5224" s="163"/>
      <c r="R5224" s="163"/>
      <c r="S5224" s="161"/>
      <c r="T5224" s="161"/>
      <c r="U5224" s="161"/>
      <c r="V5224" s="161"/>
      <c r="W5224" s="161"/>
      <c r="X5224" s="161"/>
      <c r="Y5224" s="161"/>
      <c r="Z5224" s="168"/>
      <c r="AA5224" s="168"/>
      <c r="AB5224" s="168"/>
      <c r="AC5224" s="168"/>
    </row>
    <row r="5225">
      <c r="A5225" s="161"/>
      <c r="B5225" s="161"/>
      <c r="C5225" s="162"/>
      <c r="D5225" s="163"/>
      <c r="E5225" s="164" t="str">
        <f>IFERROR(__xludf.DUMMYFUNCTION("""COMPUTED_VALUE"""),"")</f>
        <v/>
      </c>
      <c r="F5225" s="163"/>
      <c r="G5225" s="163"/>
      <c r="H5225" s="163"/>
      <c r="I5225" s="163"/>
      <c r="J5225" s="165"/>
      <c r="K5225" s="165"/>
      <c r="L5225" s="165"/>
      <c r="M5225" s="166"/>
      <c r="N5225" s="167"/>
      <c r="O5225" s="163"/>
      <c r="P5225" s="163"/>
      <c r="Q5225" s="163"/>
      <c r="R5225" s="163"/>
      <c r="S5225" s="161"/>
      <c r="T5225" s="161"/>
      <c r="U5225" s="161"/>
      <c r="V5225" s="161"/>
      <c r="W5225" s="161"/>
      <c r="X5225" s="161"/>
      <c r="Y5225" s="161"/>
      <c r="Z5225" s="168"/>
      <c r="AA5225" s="168"/>
      <c r="AB5225" s="168"/>
      <c r="AC5225" s="168"/>
    </row>
    <row r="5226">
      <c r="A5226" s="161"/>
      <c r="B5226" s="161"/>
      <c r="C5226" s="162"/>
      <c r="D5226" s="163"/>
      <c r="E5226" s="164" t="str">
        <f>IFERROR(__xludf.DUMMYFUNCTION("""COMPUTED_VALUE"""),"")</f>
        <v/>
      </c>
      <c r="F5226" s="163"/>
      <c r="G5226" s="163"/>
      <c r="H5226" s="163"/>
      <c r="I5226" s="163"/>
      <c r="J5226" s="165"/>
      <c r="K5226" s="165"/>
      <c r="L5226" s="165"/>
      <c r="M5226" s="166"/>
      <c r="N5226" s="167"/>
      <c r="O5226" s="163"/>
      <c r="P5226" s="163"/>
      <c r="Q5226" s="163"/>
      <c r="R5226" s="163"/>
      <c r="S5226" s="161"/>
      <c r="T5226" s="161"/>
      <c r="U5226" s="161"/>
      <c r="V5226" s="161"/>
      <c r="W5226" s="161"/>
      <c r="X5226" s="161"/>
      <c r="Y5226" s="161"/>
      <c r="Z5226" s="168"/>
      <c r="AA5226" s="168"/>
      <c r="AB5226" s="168"/>
      <c r="AC5226" s="168"/>
    </row>
    <row r="5227">
      <c r="A5227" s="161"/>
      <c r="B5227" s="161"/>
      <c r="C5227" s="162"/>
      <c r="D5227" s="163"/>
      <c r="E5227" s="164" t="str">
        <f>IFERROR(__xludf.DUMMYFUNCTION("""COMPUTED_VALUE"""),"")</f>
        <v/>
      </c>
      <c r="F5227" s="163"/>
      <c r="G5227" s="163"/>
      <c r="H5227" s="163"/>
      <c r="I5227" s="163"/>
      <c r="J5227" s="165"/>
      <c r="K5227" s="165"/>
      <c r="L5227" s="165"/>
      <c r="M5227" s="166"/>
      <c r="N5227" s="167"/>
      <c r="O5227" s="163"/>
      <c r="P5227" s="163"/>
      <c r="Q5227" s="163"/>
      <c r="R5227" s="163"/>
      <c r="S5227" s="161"/>
      <c r="T5227" s="161"/>
      <c r="U5227" s="161"/>
      <c r="V5227" s="161"/>
      <c r="W5227" s="161"/>
      <c r="X5227" s="161"/>
      <c r="Y5227" s="161"/>
      <c r="Z5227" s="168"/>
      <c r="AA5227" s="168"/>
      <c r="AB5227" s="168"/>
      <c r="AC5227" s="168"/>
    </row>
    <row r="5228">
      <c r="A5228" s="161"/>
      <c r="B5228" s="161"/>
      <c r="C5228" s="162"/>
      <c r="D5228" s="163"/>
      <c r="E5228" s="164" t="str">
        <f>IFERROR(__xludf.DUMMYFUNCTION("""COMPUTED_VALUE"""),"")</f>
        <v/>
      </c>
      <c r="F5228" s="163"/>
      <c r="G5228" s="163"/>
      <c r="H5228" s="163"/>
      <c r="I5228" s="163"/>
      <c r="J5228" s="165"/>
      <c r="K5228" s="165"/>
      <c r="L5228" s="165"/>
      <c r="M5228" s="166"/>
      <c r="N5228" s="167"/>
      <c r="O5228" s="163"/>
      <c r="P5228" s="163"/>
      <c r="Q5228" s="163"/>
      <c r="R5228" s="163"/>
      <c r="S5228" s="161"/>
      <c r="T5228" s="161"/>
      <c r="U5228" s="161"/>
      <c r="V5228" s="161"/>
      <c r="W5228" s="161"/>
      <c r="X5228" s="161"/>
      <c r="Y5228" s="161"/>
      <c r="Z5228" s="168"/>
      <c r="AA5228" s="168"/>
      <c r="AB5228" s="168"/>
      <c r="AC5228" s="168"/>
    </row>
    <row r="5229">
      <c r="A5229" s="161"/>
      <c r="B5229" s="161"/>
      <c r="C5229" s="162"/>
      <c r="D5229" s="163"/>
      <c r="E5229" s="164" t="str">
        <f>IFERROR(__xludf.DUMMYFUNCTION("""COMPUTED_VALUE"""),"")</f>
        <v/>
      </c>
      <c r="F5229" s="163"/>
      <c r="G5229" s="163"/>
      <c r="H5229" s="163"/>
      <c r="I5229" s="163"/>
      <c r="J5229" s="165"/>
      <c r="K5229" s="165"/>
      <c r="L5229" s="165"/>
      <c r="M5229" s="166"/>
      <c r="N5229" s="167"/>
      <c r="O5229" s="163"/>
      <c r="P5229" s="163"/>
      <c r="Q5229" s="163"/>
      <c r="R5229" s="163"/>
      <c r="S5229" s="161"/>
      <c r="T5229" s="161"/>
      <c r="U5229" s="161"/>
      <c r="V5229" s="161"/>
      <c r="W5229" s="161"/>
      <c r="X5229" s="161"/>
      <c r="Y5229" s="161"/>
      <c r="Z5229" s="168"/>
      <c r="AA5229" s="168"/>
      <c r="AB5229" s="168"/>
      <c r="AC5229" s="168"/>
    </row>
    <row r="5230">
      <c r="A5230" s="161"/>
      <c r="B5230" s="161"/>
      <c r="C5230" s="162"/>
      <c r="D5230" s="163"/>
      <c r="E5230" s="164" t="str">
        <f>IFERROR(__xludf.DUMMYFUNCTION("""COMPUTED_VALUE"""),"")</f>
        <v/>
      </c>
      <c r="F5230" s="163"/>
      <c r="G5230" s="163"/>
      <c r="H5230" s="163"/>
      <c r="I5230" s="163"/>
      <c r="J5230" s="165"/>
      <c r="K5230" s="165"/>
      <c r="L5230" s="165"/>
      <c r="M5230" s="166"/>
      <c r="N5230" s="167"/>
      <c r="O5230" s="163"/>
      <c r="P5230" s="163"/>
      <c r="Q5230" s="163"/>
      <c r="R5230" s="163"/>
      <c r="S5230" s="161"/>
      <c r="T5230" s="161"/>
      <c r="U5230" s="161"/>
      <c r="V5230" s="161"/>
      <c r="W5230" s="161"/>
      <c r="X5230" s="161"/>
      <c r="Y5230" s="161"/>
      <c r="Z5230" s="168"/>
      <c r="AA5230" s="168"/>
      <c r="AB5230" s="168"/>
      <c r="AC5230" s="168"/>
    </row>
    <row r="5231">
      <c r="A5231" s="161"/>
      <c r="B5231" s="161"/>
      <c r="C5231" s="162"/>
      <c r="D5231" s="163"/>
      <c r="E5231" s="164" t="str">
        <f>IFERROR(__xludf.DUMMYFUNCTION("""COMPUTED_VALUE"""),"")</f>
        <v/>
      </c>
      <c r="F5231" s="163"/>
      <c r="G5231" s="163"/>
      <c r="H5231" s="163"/>
      <c r="I5231" s="163"/>
      <c r="J5231" s="165"/>
      <c r="K5231" s="165"/>
      <c r="L5231" s="165"/>
      <c r="M5231" s="166"/>
      <c r="N5231" s="167"/>
      <c r="O5231" s="163"/>
      <c r="P5231" s="163"/>
      <c r="Q5231" s="163"/>
      <c r="R5231" s="163"/>
      <c r="S5231" s="161"/>
      <c r="T5231" s="161"/>
      <c r="U5231" s="161"/>
      <c r="V5231" s="161"/>
      <c r="W5231" s="161"/>
      <c r="X5231" s="161"/>
      <c r="Y5231" s="161"/>
      <c r="Z5231" s="168"/>
      <c r="AA5231" s="168"/>
      <c r="AB5231" s="168"/>
      <c r="AC5231" s="168"/>
    </row>
    <row r="5232">
      <c r="A5232" s="161"/>
      <c r="B5232" s="161"/>
      <c r="C5232" s="162"/>
      <c r="D5232" s="163"/>
      <c r="E5232" s="164" t="str">
        <f>IFERROR(__xludf.DUMMYFUNCTION("""COMPUTED_VALUE"""),"")</f>
        <v/>
      </c>
      <c r="F5232" s="163"/>
      <c r="G5232" s="163"/>
      <c r="H5232" s="163"/>
      <c r="I5232" s="163"/>
      <c r="J5232" s="165"/>
      <c r="K5232" s="165"/>
      <c r="L5232" s="165"/>
      <c r="M5232" s="166"/>
      <c r="N5232" s="167"/>
      <c r="O5232" s="163"/>
      <c r="P5232" s="163"/>
      <c r="Q5232" s="163"/>
      <c r="R5232" s="163"/>
      <c r="S5232" s="161"/>
      <c r="T5232" s="161"/>
      <c r="U5232" s="161"/>
      <c r="V5232" s="161"/>
      <c r="W5232" s="161"/>
      <c r="X5232" s="161"/>
      <c r="Y5232" s="161"/>
      <c r="Z5232" s="168"/>
      <c r="AA5232" s="168"/>
      <c r="AB5232" s="168"/>
      <c r="AC5232" s="168"/>
    </row>
    <row r="5233">
      <c r="A5233" s="161"/>
      <c r="B5233" s="161"/>
      <c r="C5233" s="162"/>
      <c r="D5233" s="163"/>
      <c r="E5233" s="164" t="str">
        <f>IFERROR(__xludf.DUMMYFUNCTION("""COMPUTED_VALUE"""),"")</f>
        <v/>
      </c>
      <c r="F5233" s="163"/>
      <c r="G5233" s="163"/>
      <c r="H5233" s="163"/>
      <c r="I5233" s="163"/>
      <c r="J5233" s="165"/>
      <c r="K5233" s="165"/>
      <c r="L5233" s="165"/>
      <c r="M5233" s="166"/>
      <c r="N5233" s="167"/>
      <c r="O5233" s="163"/>
      <c r="P5233" s="163"/>
      <c r="Q5233" s="163"/>
      <c r="R5233" s="163"/>
      <c r="S5233" s="161"/>
      <c r="T5233" s="161"/>
      <c r="U5233" s="161"/>
      <c r="V5233" s="161"/>
      <c r="W5233" s="161"/>
      <c r="X5233" s="161"/>
      <c r="Y5233" s="161"/>
      <c r="Z5233" s="168"/>
      <c r="AA5233" s="168"/>
      <c r="AB5233" s="168"/>
      <c r="AC5233" s="168"/>
    </row>
    <row r="5234">
      <c r="A5234" s="161"/>
      <c r="B5234" s="161"/>
      <c r="C5234" s="162"/>
      <c r="D5234" s="163"/>
      <c r="E5234" s="164" t="str">
        <f>IFERROR(__xludf.DUMMYFUNCTION("""COMPUTED_VALUE"""),"")</f>
        <v/>
      </c>
      <c r="F5234" s="163"/>
      <c r="G5234" s="163"/>
      <c r="H5234" s="163"/>
      <c r="I5234" s="163"/>
      <c r="J5234" s="165"/>
      <c r="K5234" s="165"/>
      <c r="L5234" s="165"/>
      <c r="M5234" s="166"/>
      <c r="N5234" s="167"/>
      <c r="O5234" s="163"/>
      <c r="P5234" s="163"/>
      <c r="Q5234" s="163"/>
      <c r="R5234" s="163"/>
      <c r="S5234" s="161"/>
      <c r="T5234" s="161"/>
      <c r="U5234" s="161"/>
      <c r="V5234" s="161"/>
      <c r="W5234" s="161"/>
      <c r="X5234" s="161"/>
      <c r="Y5234" s="161"/>
      <c r="Z5234" s="168"/>
      <c r="AA5234" s="168"/>
      <c r="AB5234" s="168"/>
      <c r="AC5234" s="168"/>
    </row>
    <row r="5235">
      <c r="A5235" s="161"/>
      <c r="B5235" s="161"/>
      <c r="C5235" s="162"/>
      <c r="D5235" s="163"/>
      <c r="E5235" s="164" t="str">
        <f>IFERROR(__xludf.DUMMYFUNCTION("""COMPUTED_VALUE"""),"")</f>
        <v/>
      </c>
      <c r="F5235" s="163"/>
      <c r="G5235" s="163"/>
      <c r="H5235" s="163"/>
      <c r="I5235" s="163"/>
      <c r="J5235" s="165"/>
      <c r="K5235" s="165"/>
      <c r="L5235" s="165"/>
      <c r="M5235" s="166"/>
      <c r="N5235" s="167"/>
      <c r="O5235" s="163"/>
      <c r="P5235" s="163"/>
      <c r="Q5235" s="163"/>
      <c r="R5235" s="163"/>
      <c r="S5235" s="161"/>
      <c r="T5235" s="161"/>
      <c r="U5235" s="161"/>
      <c r="V5235" s="161"/>
      <c r="W5235" s="161"/>
      <c r="X5235" s="161"/>
      <c r="Y5235" s="161"/>
      <c r="Z5235" s="168"/>
      <c r="AA5235" s="168"/>
      <c r="AB5235" s="168"/>
      <c r="AC5235" s="168"/>
    </row>
    <row r="5236">
      <c r="A5236" s="161"/>
      <c r="B5236" s="161"/>
      <c r="C5236" s="162"/>
      <c r="D5236" s="163"/>
      <c r="E5236" s="164" t="str">
        <f>IFERROR(__xludf.DUMMYFUNCTION("""COMPUTED_VALUE"""),"")</f>
        <v/>
      </c>
      <c r="F5236" s="163"/>
      <c r="G5236" s="163"/>
      <c r="H5236" s="163"/>
      <c r="I5236" s="163"/>
      <c r="J5236" s="165"/>
      <c r="K5236" s="165"/>
      <c r="L5236" s="165"/>
      <c r="M5236" s="166"/>
      <c r="N5236" s="167"/>
      <c r="O5236" s="163"/>
      <c r="P5236" s="163"/>
      <c r="Q5236" s="163"/>
      <c r="R5236" s="163"/>
      <c r="S5236" s="161"/>
      <c r="T5236" s="161"/>
      <c r="U5236" s="161"/>
      <c r="V5236" s="161"/>
      <c r="W5236" s="161"/>
      <c r="X5236" s="161"/>
      <c r="Y5236" s="161"/>
      <c r="Z5236" s="168"/>
      <c r="AA5236" s="168"/>
      <c r="AB5236" s="168"/>
      <c r="AC5236" s="168"/>
    </row>
    <row r="5237">
      <c r="A5237" s="161"/>
      <c r="B5237" s="161"/>
      <c r="C5237" s="162"/>
      <c r="D5237" s="163"/>
      <c r="E5237" s="164" t="str">
        <f>IFERROR(__xludf.DUMMYFUNCTION("""COMPUTED_VALUE"""),"")</f>
        <v/>
      </c>
      <c r="F5237" s="163"/>
      <c r="G5237" s="163"/>
      <c r="H5237" s="163"/>
      <c r="I5237" s="163"/>
      <c r="J5237" s="165"/>
      <c r="K5237" s="165"/>
      <c r="L5237" s="165"/>
      <c r="M5237" s="166"/>
      <c r="N5237" s="167"/>
      <c r="O5237" s="163"/>
      <c r="P5237" s="163"/>
      <c r="Q5237" s="163"/>
      <c r="R5237" s="163"/>
      <c r="S5237" s="161"/>
      <c r="T5237" s="161"/>
      <c r="U5237" s="161"/>
      <c r="V5237" s="161"/>
      <c r="W5237" s="161"/>
      <c r="X5237" s="161"/>
      <c r="Y5237" s="161"/>
      <c r="Z5237" s="168"/>
      <c r="AA5237" s="168"/>
      <c r="AB5237" s="168"/>
      <c r="AC5237" s="168"/>
    </row>
    <row r="5238">
      <c r="A5238" s="161"/>
      <c r="B5238" s="161"/>
      <c r="C5238" s="162"/>
      <c r="D5238" s="163"/>
      <c r="E5238" s="164" t="str">
        <f>IFERROR(__xludf.DUMMYFUNCTION("""COMPUTED_VALUE"""),"")</f>
        <v/>
      </c>
      <c r="F5238" s="163"/>
      <c r="G5238" s="163"/>
      <c r="H5238" s="163"/>
      <c r="I5238" s="163"/>
      <c r="J5238" s="165"/>
      <c r="K5238" s="165"/>
      <c r="L5238" s="165"/>
      <c r="M5238" s="166"/>
      <c r="N5238" s="167"/>
      <c r="O5238" s="163"/>
      <c r="P5238" s="163"/>
      <c r="Q5238" s="163"/>
      <c r="R5238" s="163"/>
      <c r="S5238" s="161"/>
      <c r="T5238" s="161"/>
      <c r="U5238" s="161"/>
      <c r="V5238" s="161"/>
      <c r="W5238" s="161"/>
      <c r="X5238" s="161"/>
      <c r="Y5238" s="161"/>
      <c r="Z5238" s="168"/>
      <c r="AA5238" s="168"/>
      <c r="AB5238" s="168"/>
      <c r="AC5238" s="168"/>
    </row>
    <row r="5239">
      <c r="A5239" s="161"/>
      <c r="B5239" s="161"/>
      <c r="C5239" s="162"/>
      <c r="D5239" s="163"/>
      <c r="E5239" s="164" t="str">
        <f>IFERROR(__xludf.DUMMYFUNCTION("""COMPUTED_VALUE"""),"")</f>
        <v/>
      </c>
      <c r="F5239" s="163"/>
      <c r="G5239" s="163"/>
      <c r="H5239" s="163"/>
      <c r="I5239" s="163"/>
      <c r="J5239" s="165"/>
      <c r="K5239" s="165"/>
      <c r="L5239" s="165"/>
      <c r="M5239" s="166"/>
      <c r="N5239" s="167"/>
      <c r="O5239" s="163"/>
      <c r="P5239" s="163"/>
      <c r="Q5239" s="163"/>
      <c r="R5239" s="163"/>
      <c r="S5239" s="161"/>
      <c r="T5239" s="161"/>
      <c r="U5239" s="161"/>
      <c r="V5239" s="161"/>
      <c r="W5239" s="161"/>
      <c r="X5239" s="161"/>
      <c r="Y5239" s="161"/>
      <c r="Z5239" s="168"/>
      <c r="AA5239" s="168"/>
      <c r="AB5239" s="168"/>
      <c r="AC5239" s="168"/>
    </row>
    <row r="5240">
      <c r="A5240" s="161"/>
      <c r="B5240" s="161"/>
      <c r="C5240" s="162"/>
      <c r="D5240" s="163"/>
      <c r="E5240" s="164" t="str">
        <f>IFERROR(__xludf.DUMMYFUNCTION("""COMPUTED_VALUE"""),"")</f>
        <v/>
      </c>
      <c r="F5240" s="163"/>
      <c r="G5240" s="163"/>
      <c r="H5240" s="163"/>
      <c r="I5240" s="163"/>
      <c r="J5240" s="165"/>
      <c r="K5240" s="165"/>
      <c r="L5240" s="165"/>
      <c r="M5240" s="166"/>
      <c r="N5240" s="167"/>
      <c r="O5240" s="163"/>
      <c r="P5240" s="163"/>
      <c r="Q5240" s="163"/>
      <c r="R5240" s="163"/>
      <c r="S5240" s="161"/>
      <c r="T5240" s="161"/>
      <c r="U5240" s="161"/>
      <c r="V5240" s="161"/>
      <c r="W5240" s="161"/>
      <c r="X5240" s="161"/>
      <c r="Y5240" s="161"/>
      <c r="Z5240" s="168"/>
      <c r="AA5240" s="168"/>
      <c r="AB5240" s="168"/>
      <c r="AC5240" s="168"/>
    </row>
    <row r="5241">
      <c r="A5241" s="161"/>
      <c r="B5241" s="161"/>
      <c r="C5241" s="162"/>
      <c r="D5241" s="163"/>
      <c r="E5241" s="164" t="str">
        <f>IFERROR(__xludf.DUMMYFUNCTION("""COMPUTED_VALUE"""),"")</f>
        <v/>
      </c>
      <c r="F5241" s="163"/>
      <c r="G5241" s="163"/>
      <c r="H5241" s="163"/>
      <c r="I5241" s="163"/>
      <c r="J5241" s="165"/>
      <c r="K5241" s="165"/>
      <c r="L5241" s="165"/>
      <c r="M5241" s="166"/>
      <c r="N5241" s="167"/>
      <c r="O5241" s="163"/>
      <c r="P5241" s="163"/>
      <c r="Q5241" s="163"/>
      <c r="R5241" s="163"/>
      <c r="S5241" s="161"/>
      <c r="T5241" s="161"/>
      <c r="U5241" s="161"/>
      <c r="V5241" s="161"/>
      <c r="W5241" s="161"/>
      <c r="X5241" s="161"/>
      <c r="Y5241" s="161"/>
      <c r="Z5241" s="168"/>
      <c r="AA5241" s="168"/>
      <c r="AB5241" s="168"/>
      <c r="AC5241" s="168"/>
    </row>
    <row r="5242">
      <c r="A5242" s="161"/>
      <c r="B5242" s="161"/>
      <c r="C5242" s="162"/>
      <c r="D5242" s="163"/>
      <c r="E5242" s="164" t="str">
        <f>IFERROR(__xludf.DUMMYFUNCTION("""COMPUTED_VALUE"""),"")</f>
        <v/>
      </c>
      <c r="F5242" s="163"/>
      <c r="G5242" s="163"/>
      <c r="H5242" s="163"/>
      <c r="I5242" s="163"/>
      <c r="J5242" s="165"/>
      <c r="K5242" s="165"/>
      <c r="L5242" s="165"/>
      <c r="M5242" s="166"/>
      <c r="N5242" s="167"/>
      <c r="O5242" s="163"/>
      <c r="P5242" s="163"/>
      <c r="Q5242" s="163"/>
      <c r="R5242" s="163"/>
      <c r="S5242" s="161"/>
      <c r="T5242" s="161"/>
      <c r="U5242" s="161"/>
      <c r="V5242" s="161"/>
      <c r="W5242" s="161"/>
      <c r="X5242" s="161"/>
      <c r="Y5242" s="161"/>
      <c r="Z5242" s="168"/>
      <c r="AA5242" s="168"/>
      <c r="AB5242" s="168"/>
      <c r="AC5242" s="168"/>
    </row>
    <row r="5243">
      <c r="A5243" s="161"/>
      <c r="B5243" s="161"/>
      <c r="C5243" s="162"/>
      <c r="D5243" s="163"/>
      <c r="E5243" s="164" t="str">
        <f>IFERROR(__xludf.DUMMYFUNCTION("""COMPUTED_VALUE"""),"")</f>
        <v/>
      </c>
      <c r="F5243" s="163"/>
      <c r="G5243" s="163"/>
      <c r="H5243" s="163"/>
      <c r="I5243" s="163"/>
      <c r="J5243" s="165"/>
      <c r="K5243" s="165"/>
      <c r="L5243" s="165"/>
      <c r="M5243" s="166"/>
      <c r="N5243" s="167"/>
      <c r="O5243" s="163"/>
      <c r="P5243" s="163"/>
      <c r="Q5243" s="163"/>
      <c r="R5243" s="163"/>
      <c r="S5243" s="161"/>
      <c r="T5243" s="161"/>
      <c r="U5243" s="161"/>
      <c r="V5243" s="161"/>
      <c r="W5243" s="161"/>
      <c r="X5243" s="161"/>
      <c r="Y5243" s="161"/>
      <c r="Z5243" s="168"/>
      <c r="AA5243" s="168"/>
      <c r="AB5243" s="168"/>
      <c r="AC5243" s="168"/>
    </row>
    <row r="5244">
      <c r="A5244" s="161"/>
      <c r="B5244" s="161"/>
      <c r="C5244" s="162"/>
      <c r="D5244" s="163"/>
      <c r="E5244" s="164" t="str">
        <f>IFERROR(__xludf.DUMMYFUNCTION("""COMPUTED_VALUE"""),"")</f>
        <v/>
      </c>
      <c r="F5244" s="163"/>
      <c r="G5244" s="163"/>
      <c r="H5244" s="163"/>
      <c r="I5244" s="163"/>
      <c r="J5244" s="165"/>
      <c r="K5244" s="165"/>
      <c r="L5244" s="165"/>
      <c r="M5244" s="166"/>
      <c r="N5244" s="167"/>
      <c r="O5244" s="163"/>
      <c r="P5244" s="163"/>
      <c r="Q5244" s="163"/>
      <c r="R5244" s="163"/>
      <c r="S5244" s="161"/>
      <c r="T5244" s="161"/>
      <c r="U5244" s="161"/>
      <c r="V5244" s="161"/>
      <c r="W5244" s="161"/>
      <c r="X5244" s="161"/>
      <c r="Y5244" s="161"/>
      <c r="Z5244" s="168"/>
      <c r="AA5244" s="168"/>
      <c r="AB5244" s="168"/>
      <c r="AC5244" s="168"/>
    </row>
    <row r="5245">
      <c r="A5245" s="161"/>
      <c r="B5245" s="161"/>
      <c r="C5245" s="162"/>
      <c r="D5245" s="163"/>
      <c r="E5245" s="164" t="str">
        <f>IFERROR(__xludf.DUMMYFUNCTION("""COMPUTED_VALUE"""),"")</f>
        <v/>
      </c>
      <c r="F5245" s="163"/>
      <c r="G5245" s="163"/>
      <c r="H5245" s="163"/>
      <c r="I5245" s="163"/>
      <c r="J5245" s="165"/>
      <c r="K5245" s="165"/>
      <c r="L5245" s="165"/>
      <c r="M5245" s="166"/>
      <c r="N5245" s="167"/>
      <c r="O5245" s="163"/>
      <c r="P5245" s="163"/>
      <c r="Q5245" s="163"/>
      <c r="R5245" s="163"/>
      <c r="S5245" s="161"/>
      <c r="T5245" s="161"/>
      <c r="U5245" s="161"/>
      <c r="V5245" s="161"/>
      <c r="W5245" s="161"/>
      <c r="X5245" s="161"/>
      <c r="Y5245" s="161"/>
      <c r="Z5245" s="168"/>
      <c r="AA5245" s="168"/>
      <c r="AB5245" s="168"/>
      <c r="AC5245" s="168"/>
    </row>
    <row r="5246">
      <c r="A5246" s="161"/>
      <c r="B5246" s="161"/>
      <c r="C5246" s="162"/>
      <c r="D5246" s="163"/>
      <c r="E5246" s="164" t="str">
        <f>IFERROR(__xludf.DUMMYFUNCTION("""COMPUTED_VALUE"""),"")</f>
        <v/>
      </c>
      <c r="F5246" s="163"/>
      <c r="G5246" s="163"/>
      <c r="H5246" s="163"/>
      <c r="I5246" s="163"/>
      <c r="J5246" s="165"/>
      <c r="K5246" s="165"/>
      <c r="L5246" s="165"/>
      <c r="M5246" s="166"/>
      <c r="N5246" s="167"/>
      <c r="O5246" s="163"/>
      <c r="P5246" s="163"/>
      <c r="Q5246" s="163"/>
      <c r="R5246" s="163"/>
      <c r="S5246" s="161"/>
      <c r="T5246" s="161"/>
      <c r="U5246" s="161"/>
      <c r="V5246" s="161"/>
      <c r="W5246" s="161"/>
      <c r="X5246" s="161"/>
      <c r="Y5246" s="161"/>
      <c r="Z5246" s="168"/>
      <c r="AA5246" s="168"/>
      <c r="AB5246" s="168"/>
      <c r="AC5246" s="168"/>
    </row>
    <row r="5247">
      <c r="A5247" s="161"/>
      <c r="B5247" s="161"/>
      <c r="C5247" s="162"/>
      <c r="D5247" s="163"/>
      <c r="E5247" s="164" t="str">
        <f>IFERROR(__xludf.DUMMYFUNCTION("""COMPUTED_VALUE"""),"")</f>
        <v/>
      </c>
      <c r="F5247" s="163"/>
      <c r="G5247" s="163"/>
      <c r="H5247" s="163"/>
      <c r="I5247" s="163"/>
      <c r="J5247" s="165"/>
      <c r="K5247" s="165"/>
      <c r="L5247" s="165"/>
      <c r="M5247" s="166"/>
      <c r="N5247" s="167"/>
      <c r="O5247" s="163"/>
      <c r="P5247" s="163"/>
      <c r="Q5247" s="163"/>
      <c r="R5247" s="163"/>
      <c r="S5247" s="161"/>
      <c r="T5247" s="161"/>
      <c r="U5247" s="161"/>
      <c r="V5247" s="161"/>
      <c r="W5247" s="161"/>
      <c r="X5247" s="161"/>
      <c r="Y5247" s="161"/>
      <c r="Z5247" s="168"/>
      <c r="AA5247" s="168"/>
      <c r="AB5247" s="168"/>
      <c r="AC5247" s="168"/>
    </row>
    <row r="5248">
      <c r="A5248" s="161"/>
      <c r="B5248" s="161"/>
      <c r="C5248" s="162"/>
      <c r="D5248" s="163"/>
      <c r="E5248" s="164" t="str">
        <f>IFERROR(__xludf.DUMMYFUNCTION("""COMPUTED_VALUE"""),"")</f>
        <v/>
      </c>
      <c r="F5248" s="163"/>
      <c r="G5248" s="163"/>
      <c r="H5248" s="163"/>
      <c r="I5248" s="163"/>
      <c r="J5248" s="165"/>
      <c r="K5248" s="165"/>
      <c r="L5248" s="165"/>
      <c r="M5248" s="166"/>
      <c r="N5248" s="167"/>
      <c r="O5248" s="163"/>
      <c r="P5248" s="163"/>
      <c r="Q5248" s="163"/>
      <c r="R5248" s="163"/>
      <c r="S5248" s="161"/>
      <c r="T5248" s="161"/>
      <c r="U5248" s="161"/>
      <c r="V5248" s="161"/>
      <c r="W5248" s="161"/>
      <c r="X5248" s="161"/>
      <c r="Y5248" s="161"/>
      <c r="Z5248" s="168"/>
      <c r="AA5248" s="168"/>
      <c r="AB5248" s="168"/>
      <c r="AC5248" s="168"/>
    </row>
    <row r="5249">
      <c r="A5249" s="161"/>
      <c r="B5249" s="161"/>
      <c r="C5249" s="162"/>
      <c r="D5249" s="163"/>
      <c r="E5249" s="164" t="str">
        <f>IFERROR(__xludf.DUMMYFUNCTION("""COMPUTED_VALUE"""),"")</f>
        <v/>
      </c>
      <c r="F5249" s="163"/>
      <c r="G5249" s="163"/>
      <c r="H5249" s="163"/>
      <c r="I5249" s="163"/>
      <c r="J5249" s="165"/>
      <c r="K5249" s="165"/>
      <c r="L5249" s="165"/>
      <c r="M5249" s="166"/>
      <c r="N5249" s="167"/>
      <c r="O5249" s="163"/>
      <c r="P5249" s="163"/>
      <c r="Q5249" s="163"/>
      <c r="R5249" s="163"/>
      <c r="S5249" s="161"/>
      <c r="T5249" s="161"/>
      <c r="U5249" s="161"/>
      <c r="V5249" s="161"/>
      <c r="W5249" s="161"/>
      <c r="X5249" s="161"/>
      <c r="Y5249" s="161"/>
      <c r="Z5249" s="168"/>
      <c r="AA5249" s="168"/>
      <c r="AB5249" s="168"/>
      <c r="AC5249" s="168"/>
    </row>
    <row r="5250">
      <c r="A5250" s="161"/>
      <c r="B5250" s="161"/>
      <c r="C5250" s="162"/>
      <c r="D5250" s="163"/>
      <c r="E5250" s="164" t="str">
        <f>IFERROR(__xludf.DUMMYFUNCTION("""COMPUTED_VALUE"""),"")</f>
        <v/>
      </c>
      <c r="F5250" s="163"/>
      <c r="G5250" s="163"/>
      <c r="H5250" s="163"/>
      <c r="I5250" s="163"/>
      <c r="J5250" s="165"/>
      <c r="K5250" s="165"/>
      <c r="L5250" s="165"/>
      <c r="M5250" s="166"/>
      <c r="N5250" s="167"/>
      <c r="O5250" s="163"/>
      <c r="P5250" s="163"/>
      <c r="Q5250" s="163"/>
      <c r="R5250" s="163"/>
      <c r="S5250" s="161"/>
      <c r="T5250" s="161"/>
      <c r="U5250" s="161"/>
      <c r="V5250" s="161"/>
      <c r="W5250" s="161"/>
      <c r="X5250" s="161"/>
      <c r="Y5250" s="161"/>
      <c r="Z5250" s="168"/>
      <c r="AA5250" s="168"/>
      <c r="AB5250" s="168"/>
      <c r="AC5250" s="168"/>
    </row>
    <row r="5251">
      <c r="A5251" s="161"/>
      <c r="B5251" s="161"/>
      <c r="C5251" s="162"/>
      <c r="D5251" s="163"/>
      <c r="E5251" s="164" t="str">
        <f>IFERROR(__xludf.DUMMYFUNCTION("""COMPUTED_VALUE"""),"")</f>
        <v/>
      </c>
      <c r="F5251" s="163"/>
      <c r="G5251" s="163"/>
      <c r="H5251" s="163"/>
      <c r="I5251" s="163"/>
      <c r="J5251" s="165"/>
      <c r="K5251" s="165"/>
      <c r="L5251" s="165"/>
      <c r="M5251" s="166"/>
      <c r="N5251" s="167"/>
      <c r="O5251" s="163"/>
      <c r="P5251" s="163"/>
      <c r="Q5251" s="163"/>
      <c r="R5251" s="163"/>
      <c r="S5251" s="161"/>
      <c r="T5251" s="161"/>
      <c r="U5251" s="161"/>
      <c r="V5251" s="161"/>
      <c r="W5251" s="161"/>
      <c r="X5251" s="161"/>
      <c r="Y5251" s="161"/>
      <c r="Z5251" s="168"/>
      <c r="AA5251" s="168"/>
      <c r="AB5251" s="168"/>
      <c r="AC5251" s="168"/>
    </row>
    <row r="5252">
      <c r="A5252" s="161"/>
      <c r="B5252" s="161"/>
      <c r="C5252" s="162"/>
      <c r="D5252" s="163"/>
      <c r="E5252" s="164" t="str">
        <f>IFERROR(__xludf.DUMMYFUNCTION("""COMPUTED_VALUE"""),"")</f>
        <v/>
      </c>
      <c r="F5252" s="163"/>
      <c r="G5252" s="163"/>
      <c r="H5252" s="163"/>
      <c r="I5252" s="163"/>
      <c r="J5252" s="165"/>
      <c r="K5252" s="165"/>
      <c r="L5252" s="165"/>
      <c r="M5252" s="166"/>
      <c r="N5252" s="167"/>
      <c r="O5252" s="163"/>
      <c r="P5252" s="163"/>
      <c r="Q5252" s="163"/>
      <c r="R5252" s="163"/>
      <c r="S5252" s="161"/>
      <c r="T5252" s="161"/>
      <c r="U5252" s="161"/>
      <c r="V5252" s="161"/>
      <c r="W5252" s="161"/>
      <c r="X5252" s="161"/>
      <c r="Y5252" s="161"/>
      <c r="Z5252" s="168"/>
      <c r="AA5252" s="168"/>
      <c r="AB5252" s="168"/>
      <c r="AC5252" s="168"/>
    </row>
    <row r="5253">
      <c r="A5253" s="161"/>
      <c r="B5253" s="161"/>
      <c r="C5253" s="162"/>
      <c r="D5253" s="163"/>
      <c r="E5253" s="164" t="str">
        <f>IFERROR(__xludf.DUMMYFUNCTION("""COMPUTED_VALUE"""),"")</f>
        <v/>
      </c>
      <c r="F5253" s="163"/>
      <c r="G5253" s="163"/>
      <c r="H5253" s="163"/>
      <c r="I5253" s="163"/>
      <c r="J5253" s="165"/>
      <c r="K5253" s="165"/>
      <c r="L5253" s="165"/>
      <c r="M5253" s="166"/>
      <c r="N5253" s="167"/>
      <c r="O5253" s="163"/>
      <c r="P5253" s="163"/>
      <c r="Q5253" s="163"/>
      <c r="R5253" s="163"/>
      <c r="S5253" s="161"/>
      <c r="T5253" s="161"/>
      <c r="U5253" s="161"/>
      <c r="V5253" s="161"/>
      <c r="W5253" s="161"/>
      <c r="X5253" s="161"/>
      <c r="Y5253" s="161"/>
      <c r="Z5253" s="168"/>
      <c r="AA5253" s="168"/>
      <c r="AB5253" s="168"/>
      <c r="AC5253" s="168"/>
    </row>
    <row r="5254">
      <c r="A5254" s="161"/>
      <c r="B5254" s="161"/>
      <c r="C5254" s="162"/>
      <c r="D5254" s="163"/>
      <c r="E5254" s="164" t="str">
        <f>IFERROR(__xludf.DUMMYFUNCTION("""COMPUTED_VALUE"""),"")</f>
        <v/>
      </c>
      <c r="F5254" s="163"/>
      <c r="G5254" s="163"/>
      <c r="H5254" s="163"/>
      <c r="I5254" s="163"/>
      <c r="J5254" s="165"/>
      <c r="K5254" s="165"/>
      <c r="L5254" s="165"/>
      <c r="M5254" s="166"/>
      <c r="N5254" s="167"/>
      <c r="O5254" s="163"/>
      <c r="P5254" s="163"/>
      <c r="Q5254" s="163"/>
      <c r="R5254" s="163"/>
      <c r="S5254" s="161"/>
      <c r="T5254" s="161"/>
      <c r="U5254" s="161"/>
      <c r="V5254" s="161"/>
      <c r="W5254" s="161"/>
      <c r="X5254" s="161"/>
      <c r="Y5254" s="161"/>
      <c r="Z5254" s="168"/>
      <c r="AA5254" s="168"/>
      <c r="AB5254" s="168"/>
      <c r="AC5254" s="168"/>
    </row>
    <row r="5255">
      <c r="A5255" s="161"/>
      <c r="B5255" s="161"/>
      <c r="C5255" s="162"/>
      <c r="D5255" s="163"/>
      <c r="E5255" s="164" t="str">
        <f>IFERROR(__xludf.DUMMYFUNCTION("""COMPUTED_VALUE"""),"")</f>
        <v/>
      </c>
      <c r="F5255" s="163"/>
      <c r="G5255" s="163"/>
      <c r="H5255" s="163"/>
      <c r="I5255" s="163"/>
      <c r="J5255" s="165"/>
      <c r="K5255" s="165"/>
      <c r="L5255" s="165"/>
      <c r="M5255" s="166"/>
      <c r="N5255" s="167"/>
      <c r="O5255" s="163"/>
      <c r="P5255" s="163"/>
      <c r="Q5255" s="163"/>
      <c r="R5255" s="163"/>
      <c r="S5255" s="161"/>
      <c r="T5255" s="161"/>
      <c r="U5255" s="161"/>
      <c r="V5255" s="161"/>
      <c r="W5255" s="161"/>
      <c r="X5255" s="161"/>
      <c r="Y5255" s="161"/>
      <c r="Z5255" s="168"/>
      <c r="AA5255" s="168"/>
      <c r="AB5255" s="168"/>
      <c r="AC5255" s="168"/>
    </row>
    <row r="5256">
      <c r="A5256" s="161"/>
      <c r="B5256" s="161"/>
      <c r="C5256" s="162"/>
      <c r="D5256" s="163"/>
      <c r="E5256" s="164" t="str">
        <f>IFERROR(__xludf.DUMMYFUNCTION("""COMPUTED_VALUE"""),"")</f>
        <v/>
      </c>
      <c r="F5256" s="163"/>
      <c r="G5256" s="163"/>
      <c r="H5256" s="163"/>
      <c r="I5256" s="163"/>
      <c r="J5256" s="165"/>
      <c r="K5256" s="165"/>
      <c r="L5256" s="165"/>
      <c r="M5256" s="166"/>
      <c r="N5256" s="167"/>
      <c r="O5256" s="163"/>
      <c r="P5256" s="163"/>
      <c r="Q5256" s="163"/>
      <c r="R5256" s="163"/>
      <c r="S5256" s="161"/>
      <c r="T5256" s="161"/>
      <c r="U5256" s="161"/>
      <c r="V5256" s="161"/>
      <c r="W5256" s="161"/>
      <c r="X5256" s="161"/>
      <c r="Y5256" s="161"/>
      <c r="Z5256" s="168"/>
      <c r="AA5256" s="168"/>
      <c r="AB5256" s="168"/>
      <c r="AC5256" s="168"/>
    </row>
    <row r="5257">
      <c r="A5257" s="161"/>
      <c r="B5257" s="161"/>
      <c r="C5257" s="162"/>
      <c r="D5257" s="163"/>
      <c r="E5257" s="164" t="str">
        <f>IFERROR(__xludf.DUMMYFUNCTION("""COMPUTED_VALUE"""),"")</f>
        <v/>
      </c>
      <c r="F5257" s="163"/>
      <c r="G5257" s="163"/>
      <c r="H5257" s="163"/>
      <c r="I5257" s="163"/>
      <c r="J5257" s="165"/>
      <c r="K5257" s="165"/>
      <c r="L5257" s="165"/>
      <c r="M5257" s="166"/>
      <c r="N5257" s="167"/>
      <c r="O5257" s="163"/>
      <c r="P5257" s="163"/>
      <c r="Q5257" s="163"/>
      <c r="R5257" s="163"/>
      <c r="S5257" s="161"/>
      <c r="T5257" s="161"/>
      <c r="U5257" s="161"/>
      <c r="V5257" s="161"/>
      <c r="W5257" s="161"/>
      <c r="X5257" s="161"/>
      <c r="Y5257" s="161"/>
      <c r="Z5257" s="168"/>
      <c r="AA5257" s="168"/>
      <c r="AB5257" s="168"/>
      <c r="AC5257" s="168"/>
    </row>
    <row r="5258">
      <c r="A5258" s="161"/>
      <c r="B5258" s="161"/>
      <c r="C5258" s="162"/>
      <c r="D5258" s="163"/>
      <c r="E5258" s="164" t="str">
        <f>IFERROR(__xludf.DUMMYFUNCTION("""COMPUTED_VALUE"""),"")</f>
        <v/>
      </c>
      <c r="F5258" s="163"/>
      <c r="G5258" s="163"/>
      <c r="H5258" s="163"/>
      <c r="I5258" s="163"/>
      <c r="J5258" s="165"/>
      <c r="K5258" s="165"/>
      <c r="L5258" s="165"/>
      <c r="M5258" s="166"/>
      <c r="N5258" s="167"/>
      <c r="O5258" s="163"/>
      <c r="P5258" s="163"/>
      <c r="Q5258" s="163"/>
      <c r="R5258" s="163"/>
      <c r="S5258" s="161"/>
      <c r="T5258" s="161"/>
      <c r="U5258" s="161"/>
      <c r="V5258" s="161"/>
      <c r="W5258" s="161"/>
      <c r="X5258" s="161"/>
      <c r="Y5258" s="161"/>
      <c r="Z5258" s="168"/>
      <c r="AA5258" s="168"/>
      <c r="AB5258" s="168"/>
      <c r="AC5258" s="168"/>
    </row>
    <row r="5259">
      <c r="A5259" s="161"/>
      <c r="B5259" s="161"/>
      <c r="C5259" s="162"/>
      <c r="D5259" s="163"/>
      <c r="E5259" s="164" t="str">
        <f>IFERROR(__xludf.DUMMYFUNCTION("""COMPUTED_VALUE"""),"")</f>
        <v/>
      </c>
      <c r="F5259" s="163"/>
      <c r="G5259" s="163"/>
      <c r="H5259" s="163"/>
      <c r="I5259" s="163"/>
      <c r="J5259" s="165"/>
      <c r="K5259" s="165"/>
      <c r="L5259" s="165"/>
      <c r="M5259" s="166"/>
      <c r="N5259" s="167"/>
      <c r="O5259" s="163"/>
      <c r="P5259" s="163"/>
      <c r="Q5259" s="163"/>
      <c r="R5259" s="163"/>
      <c r="S5259" s="161"/>
      <c r="T5259" s="161"/>
      <c r="U5259" s="161"/>
      <c r="V5259" s="161"/>
      <c r="W5259" s="161"/>
      <c r="X5259" s="161"/>
      <c r="Y5259" s="161"/>
      <c r="Z5259" s="168"/>
      <c r="AA5259" s="168"/>
      <c r="AB5259" s="168"/>
      <c r="AC5259" s="168"/>
    </row>
    <row r="5260">
      <c r="A5260" s="161"/>
      <c r="B5260" s="161"/>
      <c r="C5260" s="162"/>
      <c r="D5260" s="163"/>
      <c r="E5260" s="164" t="str">
        <f>IFERROR(__xludf.DUMMYFUNCTION("""COMPUTED_VALUE"""),"")</f>
        <v/>
      </c>
      <c r="F5260" s="163"/>
      <c r="G5260" s="163"/>
      <c r="H5260" s="163"/>
      <c r="I5260" s="163"/>
      <c r="J5260" s="165"/>
      <c r="K5260" s="165"/>
      <c r="L5260" s="165"/>
      <c r="M5260" s="166"/>
      <c r="N5260" s="167"/>
      <c r="O5260" s="163"/>
      <c r="P5260" s="163"/>
      <c r="Q5260" s="163"/>
      <c r="R5260" s="163"/>
      <c r="S5260" s="161"/>
      <c r="T5260" s="161"/>
      <c r="U5260" s="161"/>
      <c r="V5260" s="161"/>
      <c r="W5260" s="161"/>
      <c r="X5260" s="161"/>
      <c r="Y5260" s="161"/>
      <c r="Z5260" s="168"/>
      <c r="AA5260" s="168"/>
      <c r="AB5260" s="168"/>
      <c r="AC5260" s="168"/>
    </row>
    <row r="5261">
      <c r="A5261" s="161"/>
      <c r="B5261" s="161"/>
      <c r="C5261" s="162"/>
      <c r="D5261" s="163"/>
      <c r="E5261" s="164" t="str">
        <f>IFERROR(__xludf.DUMMYFUNCTION("""COMPUTED_VALUE"""),"")</f>
        <v/>
      </c>
      <c r="F5261" s="163"/>
      <c r="G5261" s="163"/>
      <c r="H5261" s="163"/>
      <c r="I5261" s="163"/>
      <c r="J5261" s="165"/>
      <c r="K5261" s="165"/>
      <c r="L5261" s="165"/>
      <c r="M5261" s="166"/>
      <c r="N5261" s="167"/>
      <c r="O5261" s="163"/>
      <c r="P5261" s="163"/>
      <c r="Q5261" s="163"/>
      <c r="R5261" s="163"/>
      <c r="S5261" s="161"/>
      <c r="T5261" s="161"/>
      <c r="U5261" s="161"/>
      <c r="V5261" s="161"/>
      <c r="W5261" s="161"/>
      <c r="X5261" s="161"/>
      <c r="Y5261" s="161"/>
      <c r="Z5261" s="168"/>
      <c r="AA5261" s="168"/>
      <c r="AB5261" s="168"/>
      <c r="AC5261" s="168"/>
    </row>
    <row r="5262">
      <c r="A5262" s="161"/>
      <c r="B5262" s="161"/>
      <c r="C5262" s="162"/>
      <c r="D5262" s="163"/>
      <c r="E5262" s="164" t="str">
        <f>IFERROR(__xludf.DUMMYFUNCTION("""COMPUTED_VALUE"""),"")</f>
        <v/>
      </c>
      <c r="F5262" s="163"/>
      <c r="G5262" s="163"/>
      <c r="H5262" s="163"/>
      <c r="I5262" s="163"/>
      <c r="J5262" s="165"/>
      <c r="K5262" s="165"/>
      <c r="L5262" s="165"/>
      <c r="M5262" s="166"/>
      <c r="N5262" s="167"/>
      <c r="O5262" s="163"/>
      <c r="P5262" s="163"/>
      <c r="Q5262" s="163"/>
      <c r="R5262" s="163"/>
      <c r="S5262" s="161"/>
      <c r="T5262" s="161"/>
      <c r="U5262" s="161"/>
      <c r="V5262" s="161"/>
      <c r="W5262" s="161"/>
      <c r="X5262" s="161"/>
      <c r="Y5262" s="161"/>
      <c r="Z5262" s="168"/>
      <c r="AA5262" s="168"/>
      <c r="AB5262" s="168"/>
      <c r="AC5262" s="168"/>
    </row>
    <row r="5263">
      <c r="A5263" s="161"/>
      <c r="B5263" s="161"/>
      <c r="C5263" s="162"/>
      <c r="D5263" s="163"/>
      <c r="E5263" s="164" t="str">
        <f>IFERROR(__xludf.DUMMYFUNCTION("""COMPUTED_VALUE"""),"")</f>
        <v/>
      </c>
      <c r="F5263" s="163"/>
      <c r="G5263" s="163"/>
      <c r="H5263" s="163"/>
      <c r="I5263" s="163"/>
      <c r="J5263" s="165"/>
      <c r="K5263" s="165"/>
      <c r="L5263" s="165"/>
      <c r="M5263" s="166"/>
      <c r="N5263" s="167"/>
      <c r="O5263" s="163"/>
      <c r="P5263" s="163"/>
      <c r="Q5263" s="163"/>
      <c r="R5263" s="163"/>
      <c r="S5263" s="161"/>
      <c r="T5263" s="161"/>
      <c r="U5263" s="161"/>
      <c r="V5263" s="161"/>
      <c r="W5263" s="161"/>
      <c r="X5263" s="161"/>
      <c r="Y5263" s="161"/>
      <c r="Z5263" s="168"/>
      <c r="AA5263" s="168"/>
      <c r="AB5263" s="168"/>
      <c r="AC5263" s="168"/>
    </row>
    <row r="5264">
      <c r="A5264" s="161"/>
      <c r="B5264" s="161"/>
      <c r="C5264" s="162"/>
      <c r="D5264" s="163"/>
      <c r="E5264" s="164" t="str">
        <f>IFERROR(__xludf.DUMMYFUNCTION("""COMPUTED_VALUE"""),"")</f>
        <v/>
      </c>
      <c r="F5264" s="163"/>
      <c r="G5264" s="163"/>
      <c r="H5264" s="163"/>
      <c r="I5264" s="163"/>
      <c r="J5264" s="165"/>
      <c r="K5264" s="165"/>
      <c r="L5264" s="165"/>
      <c r="M5264" s="166"/>
      <c r="N5264" s="167"/>
      <c r="O5264" s="163"/>
      <c r="P5264" s="163"/>
      <c r="Q5264" s="163"/>
      <c r="R5264" s="163"/>
      <c r="S5264" s="161"/>
      <c r="T5264" s="161"/>
      <c r="U5264" s="161"/>
      <c r="V5264" s="161"/>
      <c r="W5264" s="161"/>
      <c r="X5264" s="161"/>
      <c r="Y5264" s="161"/>
      <c r="Z5264" s="168"/>
      <c r="AA5264" s="168"/>
      <c r="AB5264" s="168"/>
      <c r="AC5264" s="168"/>
    </row>
    <row r="5265">
      <c r="A5265" s="161"/>
      <c r="B5265" s="161"/>
      <c r="C5265" s="162"/>
      <c r="D5265" s="163"/>
      <c r="E5265" s="164" t="str">
        <f>IFERROR(__xludf.DUMMYFUNCTION("""COMPUTED_VALUE"""),"")</f>
        <v/>
      </c>
      <c r="F5265" s="163"/>
      <c r="G5265" s="163"/>
      <c r="H5265" s="163"/>
      <c r="I5265" s="163"/>
      <c r="J5265" s="165"/>
      <c r="K5265" s="165"/>
      <c r="L5265" s="165"/>
      <c r="M5265" s="166"/>
      <c r="N5265" s="167"/>
      <c r="O5265" s="163"/>
      <c r="P5265" s="163"/>
      <c r="Q5265" s="163"/>
      <c r="R5265" s="163"/>
      <c r="S5265" s="161"/>
      <c r="T5265" s="161"/>
      <c r="U5265" s="161"/>
      <c r="V5265" s="161"/>
      <c r="W5265" s="161"/>
      <c r="X5265" s="161"/>
      <c r="Y5265" s="161"/>
      <c r="Z5265" s="168"/>
      <c r="AA5265" s="168"/>
      <c r="AB5265" s="168"/>
      <c r="AC5265" s="168"/>
    </row>
    <row r="5266">
      <c r="A5266" s="161"/>
      <c r="B5266" s="161"/>
      <c r="C5266" s="162"/>
      <c r="D5266" s="163"/>
      <c r="E5266" s="164" t="str">
        <f>IFERROR(__xludf.DUMMYFUNCTION("""COMPUTED_VALUE"""),"")</f>
        <v/>
      </c>
      <c r="F5266" s="163"/>
      <c r="G5266" s="163"/>
      <c r="H5266" s="163"/>
      <c r="I5266" s="163"/>
      <c r="J5266" s="165"/>
      <c r="K5266" s="165"/>
      <c r="L5266" s="165"/>
      <c r="M5266" s="166"/>
      <c r="N5266" s="167"/>
      <c r="O5266" s="163"/>
      <c r="P5266" s="163"/>
      <c r="Q5266" s="163"/>
      <c r="R5266" s="163"/>
      <c r="S5266" s="161"/>
      <c r="T5266" s="161"/>
      <c r="U5266" s="161"/>
      <c r="V5266" s="161"/>
      <c r="W5266" s="161"/>
      <c r="X5266" s="161"/>
      <c r="Y5266" s="161"/>
      <c r="Z5266" s="168"/>
      <c r="AA5266" s="168"/>
      <c r="AB5266" s="168"/>
      <c r="AC5266" s="168"/>
    </row>
    <row r="5267">
      <c r="A5267" s="161"/>
      <c r="B5267" s="161"/>
      <c r="C5267" s="162"/>
      <c r="D5267" s="163"/>
      <c r="E5267" s="164" t="str">
        <f>IFERROR(__xludf.DUMMYFUNCTION("""COMPUTED_VALUE"""),"")</f>
        <v/>
      </c>
      <c r="F5267" s="163"/>
      <c r="G5267" s="163"/>
      <c r="H5267" s="163"/>
      <c r="I5267" s="163"/>
      <c r="J5267" s="165"/>
      <c r="K5267" s="165"/>
      <c r="L5267" s="165"/>
      <c r="M5267" s="166"/>
      <c r="N5267" s="167"/>
      <c r="O5267" s="163"/>
      <c r="P5267" s="163"/>
      <c r="Q5267" s="163"/>
      <c r="R5267" s="163"/>
      <c r="S5267" s="161"/>
      <c r="T5267" s="161"/>
      <c r="U5267" s="161"/>
      <c r="V5267" s="161"/>
      <c r="W5267" s="161"/>
      <c r="X5267" s="161"/>
      <c r="Y5267" s="161"/>
      <c r="Z5267" s="168"/>
      <c r="AA5267" s="168"/>
      <c r="AB5267" s="168"/>
      <c r="AC5267" s="168"/>
    </row>
    <row r="5268">
      <c r="A5268" s="161"/>
      <c r="B5268" s="161"/>
      <c r="C5268" s="162"/>
      <c r="D5268" s="163"/>
      <c r="E5268" s="164" t="str">
        <f>IFERROR(__xludf.DUMMYFUNCTION("""COMPUTED_VALUE"""),"")</f>
        <v/>
      </c>
      <c r="F5268" s="163"/>
      <c r="G5268" s="163"/>
      <c r="H5268" s="163"/>
      <c r="I5268" s="163"/>
      <c r="J5268" s="165"/>
      <c r="K5268" s="165"/>
      <c r="L5268" s="165"/>
      <c r="M5268" s="166"/>
      <c r="N5268" s="167"/>
      <c r="O5268" s="163"/>
      <c r="P5268" s="163"/>
      <c r="Q5268" s="163"/>
      <c r="R5268" s="163"/>
      <c r="S5268" s="161"/>
      <c r="T5268" s="161"/>
      <c r="U5268" s="161"/>
      <c r="V5268" s="161"/>
      <c r="W5268" s="161"/>
      <c r="X5268" s="161"/>
      <c r="Y5268" s="161"/>
      <c r="Z5268" s="168"/>
      <c r="AA5268" s="168"/>
      <c r="AB5268" s="168"/>
      <c r="AC5268" s="168"/>
    </row>
    <row r="5269">
      <c r="A5269" s="161"/>
      <c r="B5269" s="161"/>
      <c r="C5269" s="162"/>
      <c r="D5269" s="163"/>
      <c r="E5269" s="164" t="str">
        <f>IFERROR(__xludf.DUMMYFUNCTION("""COMPUTED_VALUE"""),"")</f>
        <v/>
      </c>
      <c r="F5269" s="163"/>
      <c r="G5269" s="163"/>
      <c r="H5269" s="163"/>
      <c r="I5269" s="163"/>
      <c r="J5269" s="165"/>
      <c r="K5269" s="165"/>
      <c r="L5269" s="165"/>
      <c r="M5269" s="166"/>
      <c r="N5269" s="167"/>
      <c r="O5269" s="163"/>
      <c r="P5269" s="163"/>
      <c r="Q5269" s="163"/>
      <c r="R5269" s="163"/>
      <c r="S5269" s="161"/>
      <c r="T5269" s="161"/>
      <c r="U5269" s="161"/>
      <c r="V5269" s="161"/>
      <c r="W5269" s="161"/>
      <c r="X5269" s="161"/>
      <c r="Y5269" s="161"/>
      <c r="Z5269" s="168"/>
      <c r="AA5269" s="168"/>
      <c r="AB5269" s="168"/>
      <c r="AC5269" s="168"/>
    </row>
    <row r="5270">
      <c r="A5270" s="161"/>
      <c r="B5270" s="161"/>
      <c r="C5270" s="162"/>
      <c r="D5270" s="163"/>
      <c r="E5270" s="164" t="str">
        <f>IFERROR(__xludf.DUMMYFUNCTION("""COMPUTED_VALUE"""),"")</f>
        <v/>
      </c>
      <c r="F5270" s="163"/>
      <c r="G5270" s="163"/>
      <c r="H5270" s="163"/>
      <c r="I5270" s="163"/>
      <c r="J5270" s="165"/>
      <c r="K5270" s="165"/>
      <c r="L5270" s="165"/>
      <c r="M5270" s="166"/>
      <c r="N5270" s="167"/>
      <c r="O5270" s="163"/>
      <c r="P5270" s="163"/>
      <c r="Q5270" s="163"/>
      <c r="R5270" s="163"/>
      <c r="S5270" s="161"/>
      <c r="T5270" s="161"/>
      <c r="U5270" s="161"/>
      <c r="V5270" s="161"/>
      <c r="W5270" s="161"/>
      <c r="X5270" s="161"/>
      <c r="Y5270" s="161"/>
      <c r="Z5270" s="168"/>
      <c r="AA5270" s="168"/>
      <c r="AB5270" s="168"/>
      <c r="AC5270" s="168"/>
    </row>
    <row r="5271">
      <c r="A5271" s="161"/>
      <c r="B5271" s="161"/>
      <c r="C5271" s="162"/>
      <c r="D5271" s="163"/>
      <c r="E5271" s="164" t="str">
        <f>IFERROR(__xludf.DUMMYFUNCTION("""COMPUTED_VALUE"""),"")</f>
        <v/>
      </c>
      <c r="F5271" s="163"/>
      <c r="G5271" s="163"/>
      <c r="H5271" s="163"/>
      <c r="I5271" s="163"/>
      <c r="J5271" s="165"/>
      <c r="K5271" s="165"/>
      <c r="L5271" s="165"/>
      <c r="M5271" s="166"/>
      <c r="N5271" s="167"/>
      <c r="O5271" s="163"/>
      <c r="P5271" s="163"/>
      <c r="Q5271" s="163"/>
      <c r="R5271" s="163"/>
      <c r="S5271" s="161"/>
      <c r="T5271" s="161"/>
      <c r="U5271" s="161"/>
      <c r="V5271" s="161"/>
      <c r="W5271" s="161"/>
      <c r="X5271" s="161"/>
      <c r="Y5271" s="161"/>
      <c r="Z5271" s="168"/>
      <c r="AA5271" s="168"/>
      <c r="AB5271" s="168"/>
      <c r="AC5271" s="168"/>
    </row>
    <row r="5272">
      <c r="A5272" s="161"/>
      <c r="B5272" s="161"/>
      <c r="C5272" s="162"/>
      <c r="D5272" s="163"/>
      <c r="E5272" s="164" t="str">
        <f>IFERROR(__xludf.DUMMYFUNCTION("""COMPUTED_VALUE"""),"")</f>
        <v/>
      </c>
      <c r="F5272" s="163"/>
      <c r="G5272" s="163"/>
      <c r="H5272" s="163"/>
      <c r="I5272" s="163"/>
      <c r="J5272" s="165"/>
      <c r="K5272" s="165"/>
      <c r="L5272" s="165"/>
      <c r="M5272" s="166"/>
      <c r="N5272" s="167"/>
      <c r="O5272" s="163"/>
      <c r="P5272" s="163"/>
      <c r="Q5272" s="163"/>
      <c r="R5272" s="163"/>
      <c r="S5272" s="161"/>
      <c r="T5272" s="161"/>
      <c r="U5272" s="161"/>
      <c r="V5272" s="161"/>
      <c r="W5272" s="161"/>
      <c r="X5272" s="161"/>
      <c r="Y5272" s="161"/>
      <c r="Z5272" s="168"/>
      <c r="AA5272" s="168"/>
      <c r="AB5272" s="168"/>
      <c r="AC5272" s="168"/>
    </row>
    <row r="5273">
      <c r="A5273" s="161"/>
      <c r="B5273" s="161"/>
      <c r="C5273" s="162"/>
      <c r="D5273" s="163"/>
      <c r="E5273" s="164" t="str">
        <f>IFERROR(__xludf.DUMMYFUNCTION("""COMPUTED_VALUE"""),"")</f>
        <v/>
      </c>
      <c r="F5273" s="163"/>
      <c r="G5273" s="163"/>
      <c r="H5273" s="163"/>
      <c r="I5273" s="163"/>
      <c r="J5273" s="165"/>
      <c r="K5273" s="165"/>
      <c r="L5273" s="165"/>
      <c r="M5273" s="166"/>
      <c r="N5273" s="167"/>
      <c r="O5273" s="163"/>
      <c r="P5273" s="163"/>
      <c r="Q5273" s="163"/>
      <c r="R5273" s="163"/>
      <c r="S5273" s="161"/>
      <c r="T5273" s="161"/>
      <c r="U5273" s="161"/>
      <c r="V5273" s="161"/>
      <c r="W5273" s="161"/>
      <c r="X5273" s="161"/>
      <c r="Y5273" s="161"/>
      <c r="Z5273" s="168"/>
      <c r="AA5273" s="168"/>
      <c r="AB5273" s="168"/>
      <c r="AC5273" s="168"/>
    </row>
    <row r="5274">
      <c r="A5274" s="161"/>
      <c r="B5274" s="161"/>
      <c r="C5274" s="162"/>
      <c r="D5274" s="163"/>
      <c r="E5274" s="164" t="str">
        <f>IFERROR(__xludf.DUMMYFUNCTION("""COMPUTED_VALUE"""),"")</f>
        <v/>
      </c>
      <c r="F5274" s="163"/>
      <c r="G5274" s="163"/>
      <c r="H5274" s="163"/>
      <c r="I5274" s="163"/>
      <c r="J5274" s="165"/>
      <c r="K5274" s="165"/>
      <c r="L5274" s="165"/>
      <c r="M5274" s="166"/>
      <c r="N5274" s="167"/>
      <c r="O5274" s="163"/>
      <c r="P5274" s="163"/>
      <c r="Q5274" s="163"/>
      <c r="R5274" s="163"/>
      <c r="S5274" s="161"/>
      <c r="T5274" s="161"/>
      <c r="U5274" s="161"/>
      <c r="V5274" s="161"/>
      <c r="W5274" s="161"/>
      <c r="X5274" s="161"/>
      <c r="Y5274" s="161"/>
      <c r="Z5274" s="168"/>
      <c r="AA5274" s="168"/>
      <c r="AB5274" s="168"/>
      <c r="AC5274" s="168"/>
    </row>
    <row r="5275">
      <c r="A5275" s="161"/>
      <c r="B5275" s="161"/>
      <c r="C5275" s="162"/>
      <c r="D5275" s="163"/>
      <c r="E5275" s="164" t="str">
        <f>IFERROR(__xludf.DUMMYFUNCTION("""COMPUTED_VALUE"""),"")</f>
        <v/>
      </c>
      <c r="F5275" s="163"/>
      <c r="G5275" s="163"/>
      <c r="H5275" s="163"/>
      <c r="I5275" s="163"/>
      <c r="J5275" s="165"/>
      <c r="K5275" s="165"/>
      <c r="L5275" s="165"/>
      <c r="M5275" s="166"/>
      <c r="N5275" s="167"/>
      <c r="O5275" s="163"/>
      <c r="P5275" s="163"/>
      <c r="Q5275" s="163"/>
      <c r="R5275" s="163"/>
      <c r="S5275" s="161"/>
      <c r="T5275" s="161"/>
      <c r="U5275" s="161"/>
      <c r="V5275" s="161"/>
      <c r="W5275" s="161"/>
      <c r="X5275" s="161"/>
      <c r="Y5275" s="161"/>
      <c r="Z5275" s="168"/>
      <c r="AA5275" s="168"/>
      <c r="AB5275" s="168"/>
      <c r="AC5275" s="168"/>
    </row>
    <row r="5276">
      <c r="A5276" s="161"/>
      <c r="B5276" s="161"/>
      <c r="C5276" s="162"/>
      <c r="D5276" s="163"/>
      <c r="E5276" s="164" t="str">
        <f>IFERROR(__xludf.DUMMYFUNCTION("""COMPUTED_VALUE"""),"")</f>
        <v/>
      </c>
      <c r="F5276" s="163"/>
      <c r="G5276" s="163"/>
      <c r="H5276" s="163"/>
      <c r="I5276" s="163"/>
      <c r="J5276" s="165"/>
      <c r="K5276" s="165"/>
      <c r="L5276" s="165"/>
      <c r="M5276" s="166"/>
      <c r="N5276" s="167"/>
      <c r="O5276" s="163"/>
      <c r="P5276" s="163"/>
      <c r="Q5276" s="163"/>
      <c r="R5276" s="163"/>
      <c r="S5276" s="161"/>
      <c r="T5276" s="161"/>
      <c r="U5276" s="161"/>
      <c r="V5276" s="161"/>
      <c r="W5276" s="161"/>
      <c r="X5276" s="161"/>
      <c r="Y5276" s="161"/>
      <c r="Z5276" s="168"/>
      <c r="AA5276" s="168"/>
      <c r="AB5276" s="168"/>
      <c r="AC5276" s="168"/>
    </row>
    <row r="5277">
      <c r="A5277" s="161"/>
      <c r="B5277" s="161"/>
      <c r="C5277" s="162"/>
      <c r="D5277" s="163"/>
      <c r="E5277" s="164" t="str">
        <f>IFERROR(__xludf.DUMMYFUNCTION("""COMPUTED_VALUE"""),"")</f>
        <v/>
      </c>
      <c r="F5277" s="163"/>
      <c r="G5277" s="163"/>
      <c r="H5277" s="163"/>
      <c r="I5277" s="163"/>
      <c r="J5277" s="165"/>
      <c r="K5277" s="165"/>
      <c r="L5277" s="165"/>
      <c r="M5277" s="166"/>
      <c r="N5277" s="167"/>
      <c r="O5277" s="163"/>
      <c r="P5277" s="163"/>
      <c r="Q5277" s="163"/>
      <c r="R5277" s="163"/>
      <c r="S5277" s="161"/>
      <c r="T5277" s="161"/>
      <c r="U5277" s="161"/>
      <c r="V5277" s="161"/>
      <c r="W5277" s="161"/>
      <c r="X5277" s="161"/>
      <c r="Y5277" s="161"/>
      <c r="Z5277" s="168"/>
      <c r="AA5277" s="168"/>
      <c r="AB5277" s="168"/>
      <c r="AC5277" s="168"/>
    </row>
    <row r="5278">
      <c r="A5278" s="161"/>
      <c r="B5278" s="161"/>
      <c r="C5278" s="162"/>
      <c r="D5278" s="163"/>
      <c r="E5278" s="164" t="str">
        <f>IFERROR(__xludf.DUMMYFUNCTION("""COMPUTED_VALUE"""),"")</f>
        <v/>
      </c>
      <c r="F5278" s="163"/>
      <c r="G5278" s="163"/>
      <c r="H5278" s="163"/>
      <c r="I5278" s="163"/>
      <c r="J5278" s="165"/>
      <c r="K5278" s="165"/>
      <c r="L5278" s="165"/>
      <c r="M5278" s="166"/>
      <c r="N5278" s="167"/>
      <c r="O5278" s="163"/>
      <c r="P5278" s="163"/>
      <c r="Q5278" s="163"/>
      <c r="R5278" s="163"/>
      <c r="S5278" s="161"/>
      <c r="T5278" s="161"/>
      <c r="U5278" s="161"/>
      <c r="V5278" s="161"/>
      <c r="W5278" s="161"/>
      <c r="X5278" s="161"/>
      <c r="Y5278" s="161"/>
      <c r="Z5278" s="168"/>
      <c r="AA5278" s="168"/>
      <c r="AB5278" s="168"/>
      <c r="AC5278" s="168"/>
    </row>
    <row r="5279">
      <c r="A5279" s="161"/>
      <c r="B5279" s="161"/>
      <c r="C5279" s="162"/>
      <c r="D5279" s="163"/>
      <c r="E5279" s="164" t="str">
        <f>IFERROR(__xludf.DUMMYFUNCTION("""COMPUTED_VALUE"""),"")</f>
        <v/>
      </c>
      <c r="F5279" s="163"/>
      <c r="G5279" s="163"/>
      <c r="H5279" s="163"/>
      <c r="I5279" s="163"/>
      <c r="J5279" s="165"/>
      <c r="K5279" s="165"/>
      <c r="L5279" s="165"/>
      <c r="M5279" s="166"/>
      <c r="N5279" s="167"/>
      <c r="O5279" s="163"/>
      <c r="P5279" s="163"/>
      <c r="Q5279" s="163"/>
      <c r="R5279" s="163"/>
      <c r="S5279" s="161"/>
      <c r="T5279" s="161"/>
      <c r="U5279" s="161"/>
      <c r="V5279" s="161"/>
      <c r="W5279" s="161"/>
      <c r="X5279" s="161"/>
      <c r="Y5279" s="161"/>
      <c r="Z5279" s="168"/>
      <c r="AA5279" s="168"/>
      <c r="AB5279" s="168"/>
      <c r="AC5279" s="168"/>
    </row>
    <row r="5280">
      <c r="A5280" s="161"/>
      <c r="B5280" s="161"/>
      <c r="C5280" s="162"/>
      <c r="D5280" s="163"/>
      <c r="E5280" s="164" t="str">
        <f>IFERROR(__xludf.DUMMYFUNCTION("""COMPUTED_VALUE"""),"")</f>
        <v/>
      </c>
      <c r="F5280" s="163"/>
      <c r="G5280" s="163"/>
      <c r="H5280" s="163"/>
      <c r="I5280" s="163"/>
      <c r="J5280" s="165"/>
      <c r="K5280" s="165"/>
      <c r="L5280" s="165"/>
      <c r="M5280" s="166"/>
      <c r="N5280" s="167"/>
      <c r="O5280" s="163"/>
      <c r="P5280" s="163"/>
      <c r="Q5280" s="163"/>
      <c r="R5280" s="163"/>
      <c r="S5280" s="161"/>
      <c r="T5280" s="161"/>
      <c r="U5280" s="161"/>
      <c r="V5280" s="161"/>
      <c r="W5280" s="161"/>
      <c r="X5280" s="161"/>
      <c r="Y5280" s="161"/>
      <c r="Z5280" s="168"/>
      <c r="AA5280" s="168"/>
      <c r="AB5280" s="168"/>
      <c r="AC5280" s="168"/>
    </row>
    <row r="5281">
      <c r="A5281" s="161"/>
      <c r="B5281" s="161"/>
      <c r="C5281" s="162"/>
      <c r="D5281" s="163"/>
      <c r="E5281" s="164" t="str">
        <f>IFERROR(__xludf.DUMMYFUNCTION("""COMPUTED_VALUE"""),"")</f>
        <v/>
      </c>
      <c r="F5281" s="163"/>
      <c r="G5281" s="163"/>
      <c r="H5281" s="163"/>
      <c r="I5281" s="163"/>
      <c r="J5281" s="165"/>
      <c r="K5281" s="165"/>
      <c r="L5281" s="165"/>
      <c r="M5281" s="166"/>
      <c r="N5281" s="167"/>
      <c r="O5281" s="163"/>
      <c r="P5281" s="163"/>
      <c r="Q5281" s="163"/>
      <c r="R5281" s="163"/>
      <c r="S5281" s="161"/>
      <c r="T5281" s="161"/>
      <c r="U5281" s="161"/>
      <c r="V5281" s="161"/>
      <c r="W5281" s="161"/>
      <c r="X5281" s="161"/>
      <c r="Y5281" s="161"/>
      <c r="Z5281" s="168"/>
      <c r="AA5281" s="168"/>
      <c r="AB5281" s="168"/>
      <c r="AC5281" s="168"/>
    </row>
    <row r="5282">
      <c r="A5282" s="161"/>
      <c r="B5282" s="161"/>
      <c r="C5282" s="162"/>
      <c r="D5282" s="163"/>
      <c r="E5282" s="164" t="str">
        <f>IFERROR(__xludf.DUMMYFUNCTION("""COMPUTED_VALUE"""),"")</f>
        <v/>
      </c>
      <c r="F5282" s="163"/>
      <c r="G5282" s="163"/>
      <c r="H5282" s="163"/>
      <c r="I5282" s="163"/>
      <c r="J5282" s="165"/>
      <c r="K5282" s="165"/>
      <c r="L5282" s="165"/>
      <c r="M5282" s="166"/>
      <c r="N5282" s="167"/>
      <c r="O5282" s="163"/>
      <c r="P5282" s="163"/>
      <c r="Q5282" s="163"/>
      <c r="R5282" s="163"/>
      <c r="S5282" s="161"/>
      <c r="T5282" s="161"/>
      <c r="U5282" s="161"/>
      <c r="V5282" s="161"/>
      <c r="W5282" s="161"/>
      <c r="X5282" s="161"/>
      <c r="Y5282" s="161"/>
      <c r="Z5282" s="168"/>
      <c r="AA5282" s="168"/>
      <c r="AB5282" s="168"/>
      <c r="AC5282" s="168"/>
    </row>
    <row r="5283">
      <c r="A5283" s="161"/>
      <c r="B5283" s="161"/>
      <c r="C5283" s="162"/>
      <c r="D5283" s="163"/>
      <c r="E5283" s="164" t="str">
        <f>IFERROR(__xludf.DUMMYFUNCTION("""COMPUTED_VALUE"""),"")</f>
        <v/>
      </c>
      <c r="F5283" s="163"/>
      <c r="G5283" s="163"/>
      <c r="H5283" s="163"/>
      <c r="I5283" s="163"/>
      <c r="J5283" s="165"/>
      <c r="K5283" s="165"/>
      <c r="L5283" s="165"/>
      <c r="M5283" s="166"/>
      <c r="N5283" s="167"/>
      <c r="O5283" s="163"/>
      <c r="P5283" s="163"/>
      <c r="Q5283" s="163"/>
      <c r="R5283" s="163"/>
      <c r="S5283" s="161"/>
      <c r="T5283" s="161"/>
      <c r="U5283" s="161"/>
      <c r="V5283" s="161"/>
      <c r="W5283" s="161"/>
      <c r="X5283" s="161"/>
      <c r="Y5283" s="161"/>
      <c r="Z5283" s="168"/>
      <c r="AA5283" s="168"/>
      <c r="AB5283" s="168"/>
      <c r="AC5283" s="168"/>
    </row>
    <row r="5284">
      <c r="A5284" s="161"/>
      <c r="B5284" s="161"/>
      <c r="C5284" s="162"/>
      <c r="D5284" s="163"/>
      <c r="E5284" s="164" t="str">
        <f>IFERROR(__xludf.DUMMYFUNCTION("""COMPUTED_VALUE"""),"")</f>
        <v/>
      </c>
      <c r="F5284" s="163"/>
      <c r="G5284" s="163"/>
      <c r="H5284" s="163"/>
      <c r="I5284" s="163"/>
      <c r="J5284" s="165"/>
      <c r="K5284" s="165"/>
      <c r="L5284" s="165"/>
      <c r="M5284" s="166"/>
      <c r="N5284" s="167"/>
      <c r="O5284" s="163"/>
      <c r="P5284" s="163"/>
      <c r="Q5284" s="163"/>
      <c r="R5284" s="163"/>
      <c r="S5284" s="161"/>
      <c r="T5284" s="161"/>
      <c r="U5284" s="161"/>
      <c r="V5284" s="161"/>
      <c r="W5284" s="161"/>
      <c r="X5284" s="161"/>
      <c r="Y5284" s="161"/>
      <c r="Z5284" s="168"/>
      <c r="AA5284" s="168"/>
      <c r="AB5284" s="168"/>
      <c r="AC5284" s="168"/>
    </row>
    <row r="5285">
      <c r="A5285" s="161"/>
      <c r="B5285" s="161"/>
      <c r="C5285" s="162"/>
      <c r="D5285" s="163"/>
      <c r="E5285" s="164" t="str">
        <f>IFERROR(__xludf.DUMMYFUNCTION("""COMPUTED_VALUE"""),"")</f>
        <v/>
      </c>
      <c r="F5285" s="163"/>
      <c r="G5285" s="163"/>
      <c r="H5285" s="163"/>
      <c r="I5285" s="163"/>
      <c r="J5285" s="165"/>
      <c r="K5285" s="165"/>
      <c r="L5285" s="165"/>
      <c r="M5285" s="166"/>
      <c r="N5285" s="167"/>
      <c r="O5285" s="163"/>
      <c r="P5285" s="163"/>
      <c r="Q5285" s="163"/>
      <c r="R5285" s="163"/>
      <c r="S5285" s="161"/>
      <c r="T5285" s="161"/>
      <c r="U5285" s="161"/>
      <c r="V5285" s="161"/>
      <c r="W5285" s="161"/>
      <c r="X5285" s="161"/>
      <c r="Y5285" s="161"/>
      <c r="Z5285" s="168"/>
      <c r="AA5285" s="168"/>
      <c r="AB5285" s="168"/>
      <c r="AC5285" s="168"/>
    </row>
    <row r="5286">
      <c r="A5286" s="161"/>
      <c r="B5286" s="161"/>
      <c r="C5286" s="162"/>
      <c r="D5286" s="163"/>
      <c r="E5286" s="164" t="str">
        <f>IFERROR(__xludf.DUMMYFUNCTION("""COMPUTED_VALUE"""),"")</f>
        <v/>
      </c>
      <c r="F5286" s="163"/>
      <c r="G5286" s="163"/>
      <c r="H5286" s="163"/>
      <c r="I5286" s="163"/>
      <c r="J5286" s="165"/>
      <c r="K5286" s="165"/>
      <c r="L5286" s="165"/>
      <c r="M5286" s="166"/>
      <c r="N5286" s="167"/>
      <c r="O5286" s="163"/>
      <c r="P5286" s="163"/>
      <c r="Q5286" s="163"/>
      <c r="R5286" s="163"/>
      <c r="S5286" s="161"/>
      <c r="T5286" s="161"/>
      <c r="U5286" s="161"/>
      <c r="V5286" s="161"/>
      <c r="W5286" s="161"/>
      <c r="X5286" s="161"/>
      <c r="Y5286" s="161"/>
      <c r="Z5286" s="168"/>
      <c r="AA5286" s="168"/>
      <c r="AB5286" s="168"/>
      <c r="AC5286" s="168"/>
    </row>
    <row r="5287">
      <c r="A5287" s="161"/>
      <c r="B5287" s="161"/>
      <c r="C5287" s="162"/>
      <c r="D5287" s="163"/>
      <c r="E5287" s="164" t="str">
        <f>IFERROR(__xludf.DUMMYFUNCTION("""COMPUTED_VALUE"""),"")</f>
        <v/>
      </c>
      <c r="F5287" s="163"/>
      <c r="G5287" s="163"/>
      <c r="H5287" s="163"/>
      <c r="I5287" s="163"/>
      <c r="J5287" s="165"/>
      <c r="K5287" s="165"/>
      <c r="L5287" s="165"/>
      <c r="M5287" s="166"/>
      <c r="N5287" s="167"/>
      <c r="O5287" s="163"/>
      <c r="P5287" s="163"/>
      <c r="Q5287" s="163"/>
      <c r="R5287" s="163"/>
      <c r="S5287" s="161"/>
      <c r="T5287" s="161"/>
      <c r="U5287" s="161"/>
      <c r="V5287" s="161"/>
      <c r="W5287" s="161"/>
      <c r="X5287" s="161"/>
      <c r="Y5287" s="161"/>
      <c r="Z5287" s="168"/>
      <c r="AA5287" s="168"/>
      <c r="AB5287" s="168"/>
      <c r="AC5287" s="168"/>
    </row>
    <row r="5288">
      <c r="A5288" s="161"/>
      <c r="B5288" s="161"/>
      <c r="C5288" s="162"/>
      <c r="D5288" s="163"/>
      <c r="E5288" s="164" t="str">
        <f>IFERROR(__xludf.DUMMYFUNCTION("""COMPUTED_VALUE"""),"")</f>
        <v/>
      </c>
      <c r="F5288" s="163"/>
      <c r="G5288" s="163"/>
      <c r="H5288" s="163"/>
      <c r="I5288" s="163"/>
      <c r="J5288" s="165"/>
      <c r="K5288" s="165"/>
      <c r="L5288" s="165"/>
      <c r="M5288" s="166"/>
      <c r="N5288" s="167"/>
      <c r="O5288" s="163"/>
      <c r="P5288" s="163"/>
      <c r="Q5288" s="163"/>
      <c r="R5288" s="163"/>
      <c r="S5288" s="161"/>
      <c r="T5288" s="161"/>
      <c r="U5288" s="161"/>
      <c r="V5288" s="161"/>
      <c r="W5288" s="161"/>
      <c r="X5288" s="161"/>
      <c r="Y5288" s="161"/>
      <c r="Z5288" s="168"/>
      <c r="AA5288" s="168"/>
      <c r="AB5288" s="168"/>
      <c r="AC5288" s="168"/>
    </row>
    <row r="5289">
      <c r="A5289" s="161"/>
      <c r="B5289" s="161"/>
      <c r="C5289" s="162"/>
      <c r="D5289" s="163"/>
      <c r="E5289" s="164" t="str">
        <f>IFERROR(__xludf.DUMMYFUNCTION("""COMPUTED_VALUE"""),"")</f>
        <v/>
      </c>
      <c r="F5289" s="163"/>
      <c r="G5289" s="163"/>
      <c r="H5289" s="163"/>
      <c r="I5289" s="163"/>
      <c r="J5289" s="165"/>
      <c r="K5289" s="165"/>
      <c r="L5289" s="165"/>
      <c r="M5289" s="166"/>
      <c r="N5289" s="167"/>
      <c r="O5289" s="163"/>
      <c r="P5289" s="163"/>
      <c r="Q5289" s="163"/>
      <c r="R5289" s="163"/>
      <c r="S5289" s="161"/>
      <c r="T5289" s="161"/>
      <c r="U5289" s="161"/>
      <c r="V5289" s="161"/>
      <c r="W5289" s="161"/>
      <c r="X5289" s="161"/>
      <c r="Y5289" s="161"/>
      <c r="Z5289" s="168"/>
      <c r="AA5289" s="168"/>
      <c r="AB5289" s="168"/>
      <c r="AC5289" s="168"/>
    </row>
    <row r="5290">
      <c r="A5290" s="161"/>
      <c r="B5290" s="161"/>
      <c r="C5290" s="162"/>
      <c r="D5290" s="163"/>
      <c r="E5290" s="164" t="str">
        <f>IFERROR(__xludf.DUMMYFUNCTION("""COMPUTED_VALUE"""),"")</f>
        <v/>
      </c>
      <c r="F5290" s="163"/>
      <c r="G5290" s="163"/>
      <c r="H5290" s="163"/>
      <c r="I5290" s="163"/>
      <c r="J5290" s="165"/>
      <c r="K5290" s="165"/>
      <c r="L5290" s="165"/>
      <c r="M5290" s="166"/>
      <c r="N5290" s="167"/>
      <c r="O5290" s="163"/>
      <c r="P5290" s="163"/>
      <c r="Q5290" s="163"/>
      <c r="R5290" s="163"/>
      <c r="S5290" s="161"/>
      <c r="T5290" s="161"/>
      <c r="U5290" s="161"/>
      <c r="V5290" s="161"/>
      <c r="W5290" s="161"/>
      <c r="X5290" s="161"/>
      <c r="Y5290" s="161"/>
      <c r="Z5290" s="168"/>
      <c r="AA5290" s="168"/>
      <c r="AB5290" s="168"/>
      <c r="AC5290" s="168"/>
    </row>
    <row r="5291">
      <c r="A5291" s="161"/>
      <c r="B5291" s="161"/>
      <c r="C5291" s="162"/>
      <c r="D5291" s="163"/>
      <c r="E5291" s="164" t="str">
        <f>IFERROR(__xludf.DUMMYFUNCTION("""COMPUTED_VALUE"""),"")</f>
        <v/>
      </c>
      <c r="F5291" s="163"/>
      <c r="G5291" s="163"/>
      <c r="H5291" s="163"/>
      <c r="I5291" s="163"/>
      <c r="J5291" s="165"/>
      <c r="K5291" s="165"/>
      <c r="L5291" s="165"/>
      <c r="M5291" s="166"/>
      <c r="N5291" s="167"/>
      <c r="O5291" s="163"/>
      <c r="P5291" s="163"/>
      <c r="Q5291" s="163"/>
      <c r="R5291" s="163"/>
      <c r="S5291" s="161"/>
      <c r="T5291" s="161"/>
      <c r="U5291" s="161"/>
      <c r="V5291" s="161"/>
      <c r="W5291" s="161"/>
      <c r="X5291" s="161"/>
      <c r="Y5291" s="161"/>
      <c r="Z5291" s="168"/>
      <c r="AA5291" s="168"/>
      <c r="AB5291" s="168"/>
      <c r="AC5291" s="168"/>
    </row>
    <row r="5292">
      <c r="A5292" s="161"/>
      <c r="B5292" s="161"/>
      <c r="C5292" s="162"/>
      <c r="D5292" s="163"/>
      <c r="E5292" s="164" t="str">
        <f>IFERROR(__xludf.DUMMYFUNCTION("""COMPUTED_VALUE"""),"")</f>
        <v/>
      </c>
      <c r="F5292" s="163"/>
      <c r="G5292" s="163"/>
      <c r="H5292" s="163"/>
      <c r="I5292" s="163"/>
      <c r="J5292" s="165"/>
      <c r="K5292" s="165"/>
      <c r="L5292" s="165"/>
      <c r="M5292" s="166"/>
      <c r="N5292" s="167"/>
      <c r="O5292" s="163"/>
      <c r="P5292" s="163"/>
      <c r="Q5292" s="163"/>
      <c r="R5292" s="163"/>
      <c r="S5292" s="161"/>
      <c r="T5292" s="161"/>
      <c r="U5292" s="161"/>
      <c r="V5292" s="161"/>
      <c r="W5292" s="161"/>
      <c r="X5292" s="161"/>
      <c r="Y5292" s="161"/>
      <c r="Z5292" s="168"/>
      <c r="AA5292" s="168"/>
      <c r="AB5292" s="168"/>
      <c r="AC5292" s="168"/>
    </row>
    <row r="5293">
      <c r="A5293" s="161"/>
      <c r="B5293" s="161"/>
      <c r="C5293" s="162"/>
      <c r="D5293" s="163"/>
      <c r="E5293" s="164" t="str">
        <f>IFERROR(__xludf.DUMMYFUNCTION("""COMPUTED_VALUE"""),"")</f>
        <v/>
      </c>
      <c r="F5293" s="163"/>
      <c r="G5293" s="163"/>
      <c r="H5293" s="163"/>
      <c r="I5293" s="163"/>
      <c r="J5293" s="165"/>
      <c r="K5293" s="165"/>
      <c r="L5293" s="165"/>
      <c r="M5293" s="166"/>
      <c r="N5293" s="167"/>
      <c r="O5293" s="163"/>
      <c r="P5293" s="163"/>
      <c r="Q5293" s="163"/>
      <c r="R5293" s="163"/>
      <c r="S5293" s="161"/>
      <c r="T5293" s="161"/>
      <c r="U5293" s="161"/>
      <c r="V5293" s="161"/>
      <c r="W5293" s="161"/>
      <c r="X5293" s="161"/>
      <c r="Y5293" s="161"/>
      <c r="Z5293" s="168"/>
      <c r="AA5293" s="168"/>
      <c r="AB5293" s="168"/>
      <c r="AC5293" s="168"/>
    </row>
    <row r="5294">
      <c r="A5294" s="161"/>
      <c r="B5294" s="161"/>
      <c r="C5294" s="162"/>
      <c r="D5294" s="163"/>
      <c r="E5294" s="164" t="str">
        <f>IFERROR(__xludf.DUMMYFUNCTION("""COMPUTED_VALUE"""),"")</f>
        <v/>
      </c>
      <c r="F5294" s="163"/>
      <c r="G5294" s="163"/>
      <c r="H5294" s="163"/>
      <c r="I5294" s="163"/>
      <c r="J5294" s="165"/>
      <c r="K5294" s="165"/>
      <c r="L5294" s="165"/>
      <c r="M5294" s="166"/>
      <c r="N5294" s="167"/>
      <c r="O5294" s="163"/>
      <c r="P5294" s="163"/>
      <c r="Q5294" s="163"/>
      <c r="R5294" s="163"/>
      <c r="S5294" s="161"/>
      <c r="T5294" s="161"/>
      <c r="U5294" s="161"/>
      <c r="V5294" s="161"/>
      <c r="W5294" s="161"/>
      <c r="X5294" s="161"/>
      <c r="Y5294" s="161"/>
      <c r="Z5294" s="168"/>
      <c r="AA5294" s="168"/>
      <c r="AB5294" s="168"/>
      <c r="AC5294" s="168"/>
    </row>
    <row r="5295">
      <c r="A5295" s="161"/>
      <c r="B5295" s="161"/>
      <c r="C5295" s="162"/>
      <c r="D5295" s="163"/>
      <c r="E5295" s="164" t="str">
        <f>IFERROR(__xludf.DUMMYFUNCTION("""COMPUTED_VALUE"""),"")</f>
        <v/>
      </c>
      <c r="F5295" s="163"/>
      <c r="G5295" s="163"/>
      <c r="H5295" s="163"/>
      <c r="I5295" s="163"/>
      <c r="J5295" s="165"/>
      <c r="K5295" s="165"/>
      <c r="L5295" s="165"/>
      <c r="M5295" s="166"/>
      <c r="N5295" s="167"/>
      <c r="O5295" s="163"/>
      <c r="P5295" s="163"/>
      <c r="Q5295" s="163"/>
      <c r="R5295" s="163"/>
      <c r="S5295" s="161"/>
      <c r="T5295" s="161"/>
      <c r="U5295" s="161"/>
      <c r="V5295" s="161"/>
      <c r="W5295" s="161"/>
      <c r="X5295" s="161"/>
      <c r="Y5295" s="161"/>
      <c r="Z5295" s="168"/>
      <c r="AA5295" s="168"/>
      <c r="AB5295" s="168"/>
      <c r="AC5295" s="168"/>
    </row>
    <row r="5296">
      <c r="A5296" s="161"/>
      <c r="B5296" s="161"/>
      <c r="C5296" s="162"/>
      <c r="D5296" s="163"/>
      <c r="E5296" s="164" t="str">
        <f>IFERROR(__xludf.DUMMYFUNCTION("""COMPUTED_VALUE"""),"")</f>
        <v/>
      </c>
      <c r="F5296" s="163"/>
      <c r="G5296" s="163"/>
      <c r="H5296" s="163"/>
      <c r="I5296" s="163"/>
      <c r="J5296" s="165"/>
      <c r="K5296" s="165"/>
      <c r="L5296" s="165"/>
      <c r="M5296" s="166"/>
      <c r="N5296" s="167"/>
      <c r="O5296" s="163"/>
      <c r="P5296" s="163"/>
      <c r="Q5296" s="163"/>
      <c r="R5296" s="163"/>
      <c r="S5296" s="161"/>
      <c r="T5296" s="161"/>
      <c r="U5296" s="161"/>
      <c r="V5296" s="161"/>
      <c r="W5296" s="161"/>
      <c r="X5296" s="161"/>
      <c r="Y5296" s="161"/>
      <c r="Z5296" s="168"/>
      <c r="AA5296" s="168"/>
      <c r="AB5296" s="168"/>
      <c r="AC5296" s="168"/>
    </row>
    <row r="5297">
      <c r="A5297" s="161"/>
      <c r="B5297" s="161"/>
      <c r="C5297" s="162"/>
      <c r="D5297" s="163"/>
      <c r="E5297" s="164" t="str">
        <f>IFERROR(__xludf.DUMMYFUNCTION("""COMPUTED_VALUE"""),"")</f>
        <v/>
      </c>
      <c r="F5297" s="163"/>
      <c r="G5297" s="163"/>
      <c r="H5297" s="163"/>
      <c r="I5297" s="163"/>
      <c r="J5297" s="165"/>
      <c r="K5297" s="165"/>
      <c r="L5297" s="165"/>
      <c r="M5297" s="166"/>
      <c r="N5297" s="167"/>
      <c r="O5297" s="163"/>
      <c r="P5297" s="163"/>
      <c r="Q5297" s="163"/>
      <c r="R5297" s="163"/>
      <c r="S5297" s="161"/>
      <c r="T5297" s="161"/>
      <c r="U5297" s="161"/>
      <c r="V5297" s="161"/>
      <c r="W5297" s="161"/>
      <c r="X5297" s="161"/>
      <c r="Y5297" s="161"/>
      <c r="Z5297" s="168"/>
      <c r="AA5297" s="168"/>
      <c r="AB5297" s="168"/>
      <c r="AC5297" s="168"/>
    </row>
    <row r="5298">
      <c r="A5298" s="161"/>
      <c r="B5298" s="161"/>
      <c r="C5298" s="162"/>
      <c r="D5298" s="163"/>
      <c r="E5298" s="164" t="str">
        <f>IFERROR(__xludf.DUMMYFUNCTION("""COMPUTED_VALUE"""),"")</f>
        <v/>
      </c>
      <c r="F5298" s="163"/>
      <c r="G5298" s="163"/>
      <c r="H5298" s="163"/>
      <c r="I5298" s="163"/>
      <c r="J5298" s="165"/>
      <c r="K5298" s="165"/>
      <c r="L5298" s="165"/>
      <c r="M5298" s="166"/>
      <c r="N5298" s="167"/>
      <c r="O5298" s="163"/>
      <c r="P5298" s="163"/>
      <c r="Q5298" s="163"/>
      <c r="R5298" s="163"/>
      <c r="S5298" s="161"/>
      <c r="T5298" s="161"/>
      <c r="U5298" s="161"/>
      <c r="V5298" s="161"/>
      <c r="W5298" s="161"/>
      <c r="X5298" s="161"/>
      <c r="Y5298" s="161"/>
      <c r="Z5298" s="168"/>
      <c r="AA5298" s="168"/>
      <c r="AB5298" s="168"/>
      <c r="AC5298" s="168"/>
    </row>
    <row r="5299">
      <c r="A5299" s="161"/>
      <c r="B5299" s="161"/>
      <c r="C5299" s="162"/>
      <c r="D5299" s="163"/>
      <c r="E5299" s="164" t="str">
        <f>IFERROR(__xludf.DUMMYFUNCTION("""COMPUTED_VALUE"""),"")</f>
        <v/>
      </c>
      <c r="F5299" s="163"/>
      <c r="G5299" s="163"/>
      <c r="H5299" s="163"/>
      <c r="I5299" s="163"/>
      <c r="J5299" s="165"/>
      <c r="K5299" s="165"/>
      <c r="L5299" s="165"/>
      <c r="M5299" s="166"/>
      <c r="N5299" s="167"/>
      <c r="O5299" s="163"/>
      <c r="P5299" s="163"/>
      <c r="Q5299" s="163"/>
      <c r="R5299" s="163"/>
      <c r="S5299" s="161"/>
      <c r="T5299" s="161"/>
      <c r="U5299" s="161"/>
      <c r="V5299" s="161"/>
      <c r="W5299" s="161"/>
      <c r="X5299" s="161"/>
      <c r="Y5299" s="161"/>
      <c r="Z5299" s="168"/>
      <c r="AA5299" s="168"/>
      <c r="AB5299" s="168"/>
      <c r="AC5299" s="168"/>
    </row>
    <row r="5300">
      <c r="A5300" s="161"/>
      <c r="B5300" s="161"/>
      <c r="C5300" s="162"/>
      <c r="D5300" s="163"/>
      <c r="E5300" s="164" t="str">
        <f>IFERROR(__xludf.DUMMYFUNCTION("""COMPUTED_VALUE"""),"")</f>
        <v/>
      </c>
      <c r="F5300" s="163"/>
      <c r="G5300" s="163"/>
      <c r="H5300" s="163"/>
      <c r="I5300" s="163"/>
      <c r="J5300" s="165"/>
      <c r="K5300" s="165"/>
      <c r="L5300" s="165"/>
      <c r="M5300" s="166"/>
      <c r="N5300" s="167"/>
      <c r="O5300" s="163"/>
      <c r="P5300" s="163"/>
      <c r="Q5300" s="163"/>
      <c r="R5300" s="163"/>
      <c r="S5300" s="161"/>
      <c r="T5300" s="161"/>
      <c r="U5300" s="161"/>
      <c r="V5300" s="161"/>
      <c r="W5300" s="161"/>
      <c r="X5300" s="161"/>
      <c r="Y5300" s="161"/>
      <c r="Z5300" s="168"/>
      <c r="AA5300" s="168"/>
      <c r="AB5300" s="168"/>
      <c r="AC5300" s="168"/>
    </row>
    <row r="5301">
      <c r="A5301" s="161"/>
      <c r="B5301" s="161"/>
      <c r="C5301" s="162"/>
      <c r="D5301" s="163"/>
      <c r="E5301" s="164" t="str">
        <f>IFERROR(__xludf.DUMMYFUNCTION("""COMPUTED_VALUE"""),"")</f>
        <v/>
      </c>
      <c r="F5301" s="163"/>
      <c r="G5301" s="163"/>
      <c r="H5301" s="163"/>
      <c r="I5301" s="163"/>
      <c r="J5301" s="165"/>
      <c r="K5301" s="165"/>
      <c r="L5301" s="165"/>
      <c r="M5301" s="166"/>
      <c r="N5301" s="167"/>
      <c r="O5301" s="163"/>
      <c r="P5301" s="163"/>
      <c r="Q5301" s="163"/>
      <c r="R5301" s="163"/>
      <c r="S5301" s="161"/>
      <c r="T5301" s="161"/>
      <c r="U5301" s="161"/>
      <c r="V5301" s="161"/>
      <c r="W5301" s="161"/>
      <c r="X5301" s="161"/>
      <c r="Y5301" s="161"/>
      <c r="Z5301" s="168"/>
      <c r="AA5301" s="168"/>
      <c r="AB5301" s="168"/>
      <c r="AC5301" s="168"/>
    </row>
    <row r="5302">
      <c r="A5302" s="161"/>
      <c r="B5302" s="161"/>
      <c r="C5302" s="162"/>
      <c r="D5302" s="163"/>
      <c r="E5302" s="164" t="str">
        <f>IFERROR(__xludf.DUMMYFUNCTION("""COMPUTED_VALUE"""),"")</f>
        <v/>
      </c>
      <c r="F5302" s="163"/>
      <c r="G5302" s="163"/>
      <c r="H5302" s="163"/>
      <c r="I5302" s="163"/>
      <c r="J5302" s="165"/>
      <c r="K5302" s="165"/>
      <c r="L5302" s="165"/>
      <c r="M5302" s="166"/>
      <c r="N5302" s="167"/>
      <c r="O5302" s="163"/>
      <c r="P5302" s="163"/>
      <c r="Q5302" s="163"/>
      <c r="R5302" s="163"/>
      <c r="S5302" s="161"/>
      <c r="T5302" s="161"/>
      <c r="U5302" s="161"/>
      <c r="V5302" s="161"/>
      <c r="W5302" s="161"/>
      <c r="X5302" s="161"/>
      <c r="Y5302" s="161"/>
      <c r="Z5302" s="168"/>
      <c r="AA5302" s="168"/>
      <c r="AB5302" s="168"/>
      <c r="AC5302" s="168"/>
    </row>
    <row r="5303">
      <c r="A5303" s="161"/>
      <c r="B5303" s="161"/>
      <c r="C5303" s="162"/>
      <c r="D5303" s="163"/>
      <c r="E5303" s="164" t="str">
        <f>IFERROR(__xludf.DUMMYFUNCTION("""COMPUTED_VALUE"""),"")</f>
        <v/>
      </c>
      <c r="F5303" s="163"/>
      <c r="G5303" s="163"/>
      <c r="H5303" s="163"/>
      <c r="I5303" s="163"/>
      <c r="J5303" s="165"/>
      <c r="K5303" s="165"/>
      <c r="L5303" s="165"/>
      <c r="M5303" s="166"/>
      <c r="N5303" s="167"/>
      <c r="O5303" s="163"/>
      <c r="P5303" s="163"/>
      <c r="Q5303" s="163"/>
      <c r="R5303" s="163"/>
      <c r="S5303" s="161"/>
      <c r="T5303" s="161"/>
      <c r="U5303" s="161"/>
      <c r="V5303" s="161"/>
      <c r="W5303" s="161"/>
      <c r="X5303" s="161"/>
      <c r="Y5303" s="161"/>
      <c r="Z5303" s="168"/>
      <c r="AA5303" s="168"/>
      <c r="AB5303" s="168"/>
      <c r="AC5303" s="168"/>
    </row>
    <row r="5304">
      <c r="A5304" s="161"/>
      <c r="B5304" s="161"/>
      <c r="C5304" s="162"/>
      <c r="D5304" s="163"/>
      <c r="E5304" s="164" t="str">
        <f>IFERROR(__xludf.DUMMYFUNCTION("""COMPUTED_VALUE"""),"")</f>
        <v/>
      </c>
      <c r="F5304" s="163"/>
      <c r="G5304" s="163"/>
      <c r="H5304" s="163"/>
      <c r="I5304" s="163"/>
      <c r="J5304" s="165"/>
      <c r="K5304" s="165"/>
      <c r="L5304" s="165"/>
      <c r="M5304" s="166"/>
      <c r="N5304" s="167"/>
      <c r="O5304" s="163"/>
      <c r="P5304" s="163"/>
      <c r="Q5304" s="163"/>
      <c r="R5304" s="163"/>
      <c r="S5304" s="161"/>
      <c r="T5304" s="161"/>
      <c r="U5304" s="161"/>
      <c r="V5304" s="161"/>
      <c r="W5304" s="161"/>
      <c r="X5304" s="161"/>
      <c r="Y5304" s="161"/>
      <c r="Z5304" s="168"/>
      <c r="AA5304" s="168"/>
      <c r="AB5304" s="168"/>
      <c r="AC5304" s="168"/>
    </row>
    <row r="5305">
      <c r="A5305" s="161"/>
      <c r="B5305" s="161"/>
      <c r="C5305" s="162"/>
      <c r="D5305" s="163"/>
      <c r="E5305" s="164" t="str">
        <f>IFERROR(__xludf.DUMMYFUNCTION("""COMPUTED_VALUE"""),"")</f>
        <v/>
      </c>
      <c r="F5305" s="163"/>
      <c r="G5305" s="163"/>
      <c r="H5305" s="163"/>
      <c r="I5305" s="163"/>
      <c r="J5305" s="165"/>
      <c r="K5305" s="165"/>
      <c r="L5305" s="165"/>
      <c r="M5305" s="166"/>
      <c r="N5305" s="167"/>
      <c r="O5305" s="163"/>
      <c r="P5305" s="163"/>
      <c r="Q5305" s="163"/>
      <c r="R5305" s="163"/>
      <c r="S5305" s="161"/>
      <c r="T5305" s="161"/>
      <c r="U5305" s="161"/>
      <c r="V5305" s="161"/>
      <c r="W5305" s="161"/>
      <c r="X5305" s="161"/>
      <c r="Y5305" s="161"/>
      <c r="Z5305" s="168"/>
      <c r="AA5305" s="168"/>
      <c r="AB5305" s="168"/>
      <c r="AC5305" s="168"/>
    </row>
    <row r="5306">
      <c r="A5306" s="161"/>
      <c r="B5306" s="161"/>
      <c r="C5306" s="162"/>
      <c r="D5306" s="163"/>
      <c r="E5306" s="164" t="str">
        <f>IFERROR(__xludf.DUMMYFUNCTION("""COMPUTED_VALUE"""),"")</f>
        <v/>
      </c>
      <c r="F5306" s="163"/>
      <c r="G5306" s="163"/>
      <c r="H5306" s="163"/>
      <c r="I5306" s="163"/>
      <c r="J5306" s="165"/>
      <c r="K5306" s="165"/>
      <c r="L5306" s="165"/>
      <c r="M5306" s="166"/>
      <c r="N5306" s="167"/>
      <c r="O5306" s="163"/>
      <c r="P5306" s="163"/>
      <c r="Q5306" s="163"/>
      <c r="R5306" s="163"/>
      <c r="S5306" s="161"/>
      <c r="T5306" s="161"/>
      <c r="U5306" s="161"/>
      <c r="V5306" s="161"/>
      <c r="W5306" s="161"/>
      <c r="X5306" s="161"/>
      <c r="Y5306" s="161"/>
      <c r="Z5306" s="168"/>
      <c r="AA5306" s="168"/>
      <c r="AB5306" s="168"/>
      <c r="AC5306" s="168"/>
    </row>
    <row r="5307">
      <c r="A5307" s="161"/>
      <c r="B5307" s="161"/>
      <c r="C5307" s="162"/>
      <c r="D5307" s="163"/>
      <c r="E5307" s="164" t="str">
        <f>IFERROR(__xludf.DUMMYFUNCTION("""COMPUTED_VALUE"""),"")</f>
        <v/>
      </c>
      <c r="F5307" s="163"/>
      <c r="G5307" s="163"/>
      <c r="H5307" s="163"/>
      <c r="I5307" s="163"/>
      <c r="J5307" s="165"/>
      <c r="K5307" s="165"/>
      <c r="L5307" s="165"/>
      <c r="M5307" s="166"/>
      <c r="N5307" s="167"/>
      <c r="O5307" s="163"/>
      <c r="P5307" s="163"/>
      <c r="Q5307" s="163"/>
      <c r="R5307" s="163"/>
      <c r="S5307" s="161"/>
      <c r="T5307" s="161"/>
      <c r="U5307" s="161"/>
      <c r="V5307" s="161"/>
      <c r="W5307" s="161"/>
      <c r="X5307" s="161"/>
      <c r="Y5307" s="161"/>
      <c r="Z5307" s="168"/>
      <c r="AA5307" s="168"/>
      <c r="AB5307" s="168"/>
      <c r="AC5307" s="168"/>
    </row>
    <row r="5308">
      <c r="A5308" s="161"/>
      <c r="B5308" s="161"/>
      <c r="C5308" s="162"/>
      <c r="D5308" s="163"/>
      <c r="E5308" s="164" t="str">
        <f>IFERROR(__xludf.DUMMYFUNCTION("""COMPUTED_VALUE"""),"")</f>
        <v/>
      </c>
      <c r="F5308" s="163"/>
      <c r="G5308" s="163"/>
      <c r="H5308" s="163"/>
      <c r="I5308" s="163"/>
      <c r="J5308" s="165"/>
      <c r="K5308" s="165"/>
      <c r="L5308" s="165"/>
      <c r="M5308" s="166"/>
      <c r="N5308" s="167"/>
      <c r="O5308" s="163"/>
      <c r="P5308" s="163"/>
      <c r="Q5308" s="163"/>
      <c r="R5308" s="163"/>
      <c r="S5308" s="161"/>
      <c r="T5308" s="161"/>
      <c r="U5308" s="161"/>
      <c r="V5308" s="161"/>
      <c r="W5308" s="161"/>
      <c r="X5308" s="161"/>
      <c r="Y5308" s="161"/>
      <c r="Z5308" s="168"/>
      <c r="AA5308" s="168"/>
      <c r="AB5308" s="168"/>
      <c r="AC5308" s="168"/>
    </row>
    <row r="5309">
      <c r="A5309" s="161"/>
      <c r="B5309" s="161"/>
      <c r="C5309" s="162"/>
      <c r="D5309" s="163"/>
      <c r="E5309" s="164" t="str">
        <f>IFERROR(__xludf.DUMMYFUNCTION("""COMPUTED_VALUE"""),"")</f>
        <v/>
      </c>
      <c r="F5309" s="163"/>
      <c r="G5309" s="163"/>
      <c r="H5309" s="163"/>
      <c r="I5309" s="163"/>
      <c r="J5309" s="165"/>
      <c r="K5309" s="165"/>
      <c r="L5309" s="165"/>
      <c r="M5309" s="166"/>
      <c r="N5309" s="167"/>
      <c r="O5309" s="163"/>
      <c r="P5309" s="163"/>
      <c r="Q5309" s="163"/>
      <c r="R5309" s="163"/>
      <c r="S5309" s="161"/>
      <c r="T5309" s="161"/>
      <c r="U5309" s="161"/>
      <c r="V5309" s="161"/>
      <c r="W5309" s="161"/>
      <c r="X5309" s="161"/>
      <c r="Y5309" s="161"/>
      <c r="Z5309" s="168"/>
      <c r="AA5309" s="168"/>
      <c r="AB5309" s="168"/>
      <c r="AC5309" s="168"/>
    </row>
    <row r="5310">
      <c r="A5310" s="161"/>
      <c r="B5310" s="161"/>
      <c r="C5310" s="162"/>
      <c r="D5310" s="163"/>
      <c r="E5310" s="164" t="str">
        <f>IFERROR(__xludf.DUMMYFUNCTION("""COMPUTED_VALUE"""),"")</f>
        <v/>
      </c>
      <c r="F5310" s="163"/>
      <c r="G5310" s="163"/>
      <c r="H5310" s="163"/>
      <c r="I5310" s="163"/>
      <c r="J5310" s="165"/>
      <c r="K5310" s="165"/>
      <c r="L5310" s="165"/>
      <c r="M5310" s="166"/>
      <c r="N5310" s="167"/>
      <c r="O5310" s="163"/>
      <c r="P5310" s="163"/>
      <c r="Q5310" s="163"/>
      <c r="R5310" s="163"/>
      <c r="S5310" s="161"/>
      <c r="T5310" s="161"/>
      <c r="U5310" s="161"/>
      <c r="V5310" s="161"/>
      <c r="W5310" s="161"/>
      <c r="X5310" s="161"/>
      <c r="Y5310" s="161"/>
      <c r="Z5310" s="168"/>
      <c r="AA5310" s="168"/>
      <c r="AB5310" s="168"/>
      <c r="AC5310" s="168"/>
    </row>
    <row r="5311">
      <c r="A5311" s="161"/>
      <c r="B5311" s="161"/>
      <c r="C5311" s="162"/>
      <c r="D5311" s="163"/>
      <c r="E5311" s="164" t="str">
        <f>IFERROR(__xludf.DUMMYFUNCTION("""COMPUTED_VALUE"""),"")</f>
        <v/>
      </c>
      <c r="F5311" s="163"/>
      <c r="G5311" s="163"/>
      <c r="H5311" s="163"/>
      <c r="I5311" s="163"/>
      <c r="J5311" s="165"/>
      <c r="K5311" s="165"/>
      <c r="L5311" s="165"/>
      <c r="M5311" s="166"/>
      <c r="N5311" s="167"/>
      <c r="O5311" s="163"/>
      <c r="P5311" s="163"/>
      <c r="Q5311" s="163"/>
      <c r="R5311" s="163"/>
      <c r="S5311" s="161"/>
      <c r="T5311" s="161"/>
      <c r="U5311" s="161"/>
      <c r="V5311" s="161"/>
      <c r="W5311" s="161"/>
      <c r="X5311" s="161"/>
      <c r="Y5311" s="161"/>
      <c r="Z5311" s="168"/>
      <c r="AA5311" s="168"/>
      <c r="AB5311" s="168"/>
      <c r="AC5311" s="168"/>
    </row>
    <row r="5312">
      <c r="A5312" s="161"/>
      <c r="B5312" s="161"/>
      <c r="C5312" s="162"/>
      <c r="D5312" s="163"/>
      <c r="E5312" s="164" t="str">
        <f>IFERROR(__xludf.DUMMYFUNCTION("""COMPUTED_VALUE"""),"")</f>
        <v/>
      </c>
      <c r="F5312" s="163"/>
      <c r="G5312" s="163"/>
      <c r="H5312" s="163"/>
      <c r="I5312" s="163"/>
      <c r="J5312" s="165"/>
      <c r="K5312" s="165"/>
      <c r="L5312" s="165"/>
      <c r="M5312" s="166"/>
      <c r="N5312" s="167"/>
      <c r="O5312" s="163"/>
      <c r="P5312" s="163"/>
      <c r="Q5312" s="163"/>
      <c r="R5312" s="163"/>
      <c r="S5312" s="161"/>
      <c r="T5312" s="161"/>
      <c r="U5312" s="161"/>
      <c r="V5312" s="161"/>
      <c r="W5312" s="161"/>
      <c r="X5312" s="161"/>
      <c r="Y5312" s="161"/>
      <c r="Z5312" s="168"/>
      <c r="AA5312" s="168"/>
      <c r="AB5312" s="168"/>
      <c r="AC5312" s="168"/>
    </row>
    <row r="5313">
      <c r="A5313" s="161"/>
      <c r="B5313" s="161"/>
      <c r="C5313" s="162"/>
      <c r="D5313" s="163"/>
      <c r="E5313" s="164" t="str">
        <f>IFERROR(__xludf.DUMMYFUNCTION("""COMPUTED_VALUE"""),"")</f>
        <v/>
      </c>
      <c r="F5313" s="163"/>
      <c r="G5313" s="163"/>
      <c r="H5313" s="163"/>
      <c r="I5313" s="163"/>
      <c r="J5313" s="165"/>
      <c r="K5313" s="165"/>
      <c r="L5313" s="165"/>
      <c r="M5313" s="166"/>
      <c r="N5313" s="167"/>
      <c r="O5313" s="163"/>
      <c r="P5313" s="163"/>
      <c r="Q5313" s="163"/>
      <c r="R5313" s="163"/>
      <c r="S5313" s="161"/>
      <c r="T5313" s="161"/>
      <c r="U5313" s="161"/>
      <c r="V5313" s="161"/>
      <c r="W5313" s="161"/>
      <c r="X5313" s="161"/>
      <c r="Y5313" s="161"/>
      <c r="Z5313" s="168"/>
      <c r="AA5313" s="168"/>
      <c r="AB5313" s="168"/>
      <c r="AC5313" s="168"/>
    </row>
    <row r="5314">
      <c r="A5314" s="161"/>
      <c r="B5314" s="161"/>
      <c r="C5314" s="162"/>
      <c r="D5314" s="163"/>
      <c r="E5314" s="164" t="str">
        <f>IFERROR(__xludf.DUMMYFUNCTION("""COMPUTED_VALUE"""),"")</f>
        <v/>
      </c>
      <c r="F5314" s="163"/>
      <c r="G5314" s="163"/>
      <c r="H5314" s="163"/>
      <c r="I5314" s="163"/>
      <c r="J5314" s="165"/>
      <c r="K5314" s="165"/>
      <c r="L5314" s="165"/>
      <c r="M5314" s="166"/>
      <c r="N5314" s="167"/>
      <c r="O5314" s="163"/>
      <c r="P5314" s="163"/>
      <c r="Q5314" s="163"/>
      <c r="R5314" s="163"/>
      <c r="S5314" s="161"/>
      <c r="T5314" s="161"/>
      <c r="U5314" s="161"/>
      <c r="V5314" s="161"/>
      <c r="W5314" s="161"/>
      <c r="X5314" s="161"/>
      <c r="Y5314" s="161"/>
      <c r="Z5314" s="168"/>
      <c r="AA5314" s="168"/>
      <c r="AB5314" s="168"/>
      <c r="AC5314" s="168"/>
    </row>
    <row r="5315">
      <c r="A5315" s="161"/>
      <c r="B5315" s="161"/>
      <c r="C5315" s="162"/>
      <c r="D5315" s="163"/>
      <c r="E5315" s="164" t="str">
        <f>IFERROR(__xludf.DUMMYFUNCTION("""COMPUTED_VALUE"""),"")</f>
        <v/>
      </c>
      <c r="F5315" s="163"/>
      <c r="G5315" s="163"/>
      <c r="H5315" s="163"/>
      <c r="I5315" s="163"/>
      <c r="J5315" s="165"/>
      <c r="K5315" s="165"/>
      <c r="L5315" s="165"/>
      <c r="M5315" s="166"/>
      <c r="N5315" s="167"/>
      <c r="O5315" s="163"/>
      <c r="P5315" s="163"/>
      <c r="Q5315" s="163"/>
      <c r="R5315" s="163"/>
      <c r="S5315" s="161"/>
      <c r="T5315" s="161"/>
      <c r="U5315" s="161"/>
      <c r="V5315" s="161"/>
      <c r="W5315" s="161"/>
      <c r="X5315" s="161"/>
      <c r="Y5315" s="161"/>
      <c r="Z5315" s="168"/>
      <c r="AA5315" s="168"/>
      <c r="AB5315" s="168"/>
      <c r="AC5315" s="168"/>
    </row>
    <row r="5316">
      <c r="A5316" s="161"/>
      <c r="B5316" s="161"/>
      <c r="C5316" s="162"/>
      <c r="D5316" s="163"/>
      <c r="E5316" s="164" t="str">
        <f>IFERROR(__xludf.DUMMYFUNCTION("""COMPUTED_VALUE"""),"")</f>
        <v/>
      </c>
      <c r="F5316" s="163"/>
      <c r="G5316" s="163"/>
      <c r="H5316" s="163"/>
      <c r="I5316" s="163"/>
      <c r="J5316" s="165"/>
      <c r="K5316" s="165"/>
      <c r="L5316" s="165"/>
      <c r="M5316" s="166"/>
      <c r="N5316" s="167"/>
      <c r="O5316" s="163"/>
      <c r="P5316" s="163"/>
      <c r="Q5316" s="163"/>
      <c r="R5316" s="163"/>
      <c r="S5316" s="161"/>
      <c r="T5316" s="161"/>
      <c r="U5316" s="161"/>
      <c r="V5316" s="161"/>
      <c r="W5316" s="161"/>
      <c r="X5316" s="161"/>
      <c r="Y5316" s="161"/>
      <c r="Z5316" s="168"/>
      <c r="AA5316" s="168"/>
      <c r="AB5316" s="168"/>
      <c r="AC5316" s="168"/>
    </row>
    <row r="5317">
      <c r="A5317" s="161"/>
      <c r="B5317" s="161"/>
      <c r="C5317" s="162"/>
      <c r="D5317" s="163"/>
      <c r="E5317" s="164" t="str">
        <f>IFERROR(__xludf.DUMMYFUNCTION("""COMPUTED_VALUE"""),"")</f>
        <v/>
      </c>
      <c r="F5317" s="163"/>
      <c r="G5317" s="163"/>
      <c r="H5317" s="163"/>
      <c r="I5317" s="163"/>
      <c r="J5317" s="165"/>
      <c r="K5317" s="165"/>
      <c r="L5317" s="165"/>
      <c r="M5317" s="166"/>
      <c r="N5317" s="167"/>
      <c r="O5317" s="163"/>
      <c r="P5317" s="163"/>
      <c r="Q5317" s="163"/>
      <c r="R5317" s="163"/>
      <c r="S5317" s="161"/>
      <c r="T5317" s="161"/>
      <c r="U5317" s="161"/>
      <c r="V5317" s="161"/>
      <c r="W5317" s="161"/>
      <c r="X5317" s="161"/>
      <c r="Y5317" s="161"/>
      <c r="Z5317" s="168"/>
      <c r="AA5317" s="168"/>
      <c r="AB5317" s="168"/>
      <c r="AC5317" s="168"/>
    </row>
    <row r="5318">
      <c r="A5318" s="161"/>
      <c r="B5318" s="161"/>
      <c r="C5318" s="162"/>
      <c r="D5318" s="163"/>
      <c r="E5318" s="164" t="str">
        <f>IFERROR(__xludf.DUMMYFUNCTION("""COMPUTED_VALUE"""),"")</f>
        <v/>
      </c>
      <c r="F5318" s="163"/>
      <c r="G5318" s="163"/>
      <c r="H5318" s="163"/>
      <c r="I5318" s="163"/>
      <c r="J5318" s="165"/>
      <c r="K5318" s="165"/>
      <c r="L5318" s="165"/>
      <c r="M5318" s="166"/>
      <c r="N5318" s="167"/>
      <c r="O5318" s="163"/>
      <c r="P5318" s="163"/>
      <c r="Q5318" s="163"/>
      <c r="R5318" s="163"/>
      <c r="S5318" s="161"/>
      <c r="T5318" s="161"/>
      <c r="U5318" s="161"/>
      <c r="V5318" s="161"/>
      <c r="W5318" s="161"/>
      <c r="X5318" s="161"/>
      <c r="Y5318" s="161"/>
      <c r="Z5318" s="168"/>
      <c r="AA5318" s="168"/>
      <c r="AB5318" s="168"/>
      <c r="AC5318" s="168"/>
    </row>
    <row r="5319">
      <c r="A5319" s="161"/>
      <c r="B5319" s="161"/>
      <c r="C5319" s="162"/>
      <c r="D5319" s="163"/>
      <c r="E5319" s="164" t="str">
        <f>IFERROR(__xludf.DUMMYFUNCTION("""COMPUTED_VALUE"""),"")</f>
        <v/>
      </c>
      <c r="F5319" s="163"/>
      <c r="G5319" s="163"/>
      <c r="H5319" s="163"/>
      <c r="I5319" s="163"/>
      <c r="J5319" s="165"/>
      <c r="K5319" s="165"/>
      <c r="L5319" s="165"/>
      <c r="M5319" s="166"/>
      <c r="N5319" s="167"/>
      <c r="O5319" s="163"/>
      <c r="P5319" s="163"/>
      <c r="Q5319" s="163"/>
      <c r="R5319" s="163"/>
      <c r="S5319" s="161"/>
      <c r="T5319" s="161"/>
      <c r="U5319" s="161"/>
      <c r="V5319" s="161"/>
      <c r="W5319" s="161"/>
      <c r="X5319" s="161"/>
      <c r="Y5319" s="161"/>
      <c r="Z5319" s="168"/>
      <c r="AA5319" s="168"/>
      <c r="AB5319" s="168"/>
      <c r="AC5319" s="168"/>
    </row>
    <row r="5320">
      <c r="A5320" s="161"/>
      <c r="B5320" s="161"/>
      <c r="C5320" s="162"/>
      <c r="D5320" s="163"/>
      <c r="E5320" s="164" t="str">
        <f>IFERROR(__xludf.DUMMYFUNCTION("""COMPUTED_VALUE"""),"")</f>
        <v/>
      </c>
      <c r="F5320" s="163"/>
      <c r="G5320" s="163"/>
      <c r="H5320" s="163"/>
      <c r="I5320" s="163"/>
      <c r="J5320" s="165"/>
      <c r="K5320" s="165"/>
      <c r="L5320" s="165"/>
      <c r="M5320" s="166"/>
      <c r="N5320" s="167"/>
      <c r="O5320" s="163"/>
      <c r="P5320" s="163"/>
      <c r="Q5320" s="163"/>
      <c r="R5320" s="163"/>
      <c r="S5320" s="161"/>
      <c r="T5320" s="161"/>
      <c r="U5320" s="161"/>
      <c r="V5320" s="161"/>
      <c r="W5320" s="161"/>
      <c r="X5320" s="161"/>
      <c r="Y5320" s="161"/>
      <c r="Z5320" s="168"/>
      <c r="AA5320" s="168"/>
      <c r="AB5320" s="168"/>
      <c r="AC5320" s="168"/>
    </row>
    <row r="5321">
      <c r="A5321" s="161"/>
      <c r="B5321" s="161"/>
      <c r="C5321" s="162"/>
      <c r="D5321" s="163"/>
      <c r="E5321" s="164" t="str">
        <f>IFERROR(__xludf.DUMMYFUNCTION("""COMPUTED_VALUE"""),"")</f>
        <v/>
      </c>
      <c r="F5321" s="163"/>
      <c r="G5321" s="163"/>
      <c r="H5321" s="163"/>
      <c r="I5321" s="163"/>
      <c r="J5321" s="165"/>
      <c r="K5321" s="165"/>
      <c r="L5321" s="165"/>
      <c r="M5321" s="166"/>
      <c r="N5321" s="167"/>
      <c r="O5321" s="163"/>
      <c r="P5321" s="163"/>
      <c r="Q5321" s="163"/>
      <c r="R5321" s="163"/>
      <c r="S5321" s="161"/>
      <c r="T5321" s="161"/>
      <c r="U5321" s="161"/>
      <c r="V5321" s="161"/>
      <c r="W5321" s="161"/>
      <c r="X5321" s="161"/>
      <c r="Y5321" s="161"/>
      <c r="Z5321" s="168"/>
      <c r="AA5321" s="168"/>
      <c r="AB5321" s="168"/>
      <c r="AC5321" s="168"/>
    </row>
    <row r="5322">
      <c r="A5322" s="161"/>
      <c r="B5322" s="161"/>
      <c r="C5322" s="162"/>
      <c r="D5322" s="163"/>
      <c r="E5322" s="164" t="str">
        <f>IFERROR(__xludf.DUMMYFUNCTION("""COMPUTED_VALUE"""),"")</f>
        <v/>
      </c>
      <c r="F5322" s="163"/>
      <c r="G5322" s="163"/>
      <c r="H5322" s="163"/>
      <c r="I5322" s="163"/>
      <c r="J5322" s="165"/>
      <c r="K5322" s="165"/>
      <c r="L5322" s="165"/>
      <c r="M5322" s="166"/>
      <c r="N5322" s="167"/>
      <c r="O5322" s="163"/>
      <c r="P5322" s="163"/>
      <c r="Q5322" s="163"/>
      <c r="R5322" s="163"/>
      <c r="S5322" s="161"/>
      <c r="T5322" s="161"/>
      <c r="U5322" s="161"/>
      <c r="V5322" s="161"/>
      <c r="W5322" s="161"/>
      <c r="X5322" s="161"/>
      <c r="Y5322" s="161"/>
      <c r="Z5322" s="168"/>
      <c r="AA5322" s="168"/>
      <c r="AB5322" s="168"/>
      <c r="AC5322" s="168"/>
    </row>
    <row r="5323">
      <c r="A5323" s="161"/>
      <c r="B5323" s="161"/>
      <c r="C5323" s="162"/>
      <c r="D5323" s="163"/>
      <c r="E5323" s="164" t="str">
        <f>IFERROR(__xludf.DUMMYFUNCTION("""COMPUTED_VALUE"""),"")</f>
        <v/>
      </c>
      <c r="F5323" s="163"/>
      <c r="G5323" s="163"/>
      <c r="H5323" s="163"/>
      <c r="I5323" s="163"/>
      <c r="J5323" s="165"/>
      <c r="K5323" s="165"/>
      <c r="L5323" s="165"/>
      <c r="M5323" s="166"/>
      <c r="N5323" s="167"/>
      <c r="O5323" s="163"/>
      <c r="P5323" s="163"/>
      <c r="Q5323" s="163"/>
      <c r="R5323" s="163"/>
      <c r="S5323" s="161"/>
      <c r="T5323" s="161"/>
      <c r="U5323" s="161"/>
      <c r="V5323" s="161"/>
      <c r="W5323" s="161"/>
      <c r="X5323" s="161"/>
      <c r="Y5323" s="161"/>
      <c r="Z5323" s="168"/>
      <c r="AA5323" s="168"/>
      <c r="AB5323" s="168"/>
      <c r="AC5323" s="168"/>
    </row>
    <row r="5324">
      <c r="A5324" s="161"/>
      <c r="B5324" s="161"/>
      <c r="C5324" s="162"/>
      <c r="D5324" s="163"/>
      <c r="E5324" s="164" t="str">
        <f>IFERROR(__xludf.DUMMYFUNCTION("""COMPUTED_VALUE"""),"")</f>
        <v/>
      </c>
      <c r="F5324" s="163"/>
      <c r="G5324" s="163"/>
      <c r="H5324" s="163"/>
      <c r="I5324" s="163"/>
      <c r="J5324" s="165"/>
      <c r="K5324" s="165"/>
      <c r="L5324" s="165"/>
      <c r="M5324" s="166"/>
      <c r="N5324" s="167"/>
      <c r="O5324" s="163"/>
      <c r="P5324" s="163"/>
      <c r="Q5324" s="163"/>
      <c r="R5324" s="163"/>
      <c r="S5324" s="161"/>
      <c r="T5324" s="161"/>
      <c r="U5324" s="161"/>
      <c r="V5324" s="161"/>
      <c r="W5324" s="161"/>
      <c r="X5324" s="161"/>
      <c r="Y5324" s="161"/>
      <c r="Z5324" s="168"/>
      <c r="AA5324" s="168"/>
      <c r="AB5324" s="168"/>
      <c r="AC5324" s="168"/>
    </row>
    <row r="5325">
      <c r="A5325" s="161"/>
      <c r="B5325" s="161"/>
      <c r="C5325" s="162"/>
      <c r="D5325" s="163"/>
      <c r="E5325" s="164" t="str">
        <f>IFERROR(__xludf.DUMMYFUNCTION("""COMPUTED_VALUE"""),"")</f>
        <v/>
      </c>
      <c r="F5325" s="163"/>
      <c r="G5325" s="163"/>
      <c r="H5325" s="163"/>
      <c r="I5325" s="163"/>
      <c r="J5325" s="165"/>
      <c r="K5325" s="165"/>
      <c r="L5325" s="165"/>
      <c r="M5325" s="166"/>
      <c r="N5325" s="167"/>
      <c r="O5325" s="163"/>
      <c r="P5325" s="163"/>
      <c r="Q5325" s="163"/>
      <c r="R5325" s="163"/>
      <c r="S5325" s="161"/>
      <c r="T5325" s="161"/>
      <c r="U5325" s="161"/>
      <c r="V5325" s="161"/>
      <c r="W5325" s="161"/>
      <c r="X5325" s="161"/>
      <c r="Y5325" s="161"/>
      <c r="Z5325" s="168"/>
      <c r="AA5325" s="168"/>
      <c r="AB5325" s="168"/>
      <c r="AC5325" s="168"/>
    </row>
    <row r="5326">
      <c r="A5326" s="161"/>
      <c r="B5326" s="161"/>
      <c r="C5326" s="162"/>
      <c r="D5326" s="163"/>
      <c r="E5326" s="164" t="str">
        <f>IFERROR(__xludf.DUMMYFUNCTION("""COMPUTED_VALUE"""),"")</f>
        <v/>
      </c>
      <c r="F5326" s="163"/>
      <c r="G5326" s="163"/>
      <c r="H5326" s="163"/>
      <c r="I5326" s="163"/>
      <c r="J5326" s="165"/>
      <c r="K5326" s="165"/>
      <c r="L5326" s="165"/>
      <c r="M5326" s="166"/>
      <c r="N5326" s="167"/>
      <c r="O5326" s="163"/>
      <c r="P5326" s="163"/>
      <c r="Q5326" s="163"/>
      <c r="R5326" s="163"/>
      <c r="S5326" s="161"/>
      <c r="T5326" s="161"/>
      <c r="U5326" s="161"/>
      <c r="V5326" s="161"/>
      <c r="W5326" s="161"/>
      <c r="X5326" s="161"/>
      <c r="Y5326" s="161"/>
      <c r="Z5326" s="168"/>
      <c r="AA5326" s="168"/>
      <c r="AB5326" s="168"/>
      <c r="AC5326" s="168"/>
    </row>
    <row r="5327">
      <c r="A5327" s="161"/>
      <c r="B5327" s="161"/>
      <c r="C5327" s="162"/>
      <c r="D5327" s="163"/>
      <c r="E5327" s="164" t="str">
        <f>IFERROR(__xludf.DUMMYFUNCTION("""COMPUTED_VALUE"""),"")</f>
        <v/>
      </c>
      <c r="F5327" s="163"/>
      <c r="G5327" s="163"/>
      <c r="H5327" s="163"/>
      <c r="I5327" s="163"/>
      <c r="J5327" s="165"/>
      <c r="K5327" s="165"/>
      <c r="L5327" s="165"/>
      <c r="M5327" s="166"/>
      <c r="N5327" s="167"/>
      <c r="O5327" s="163"/>
      <c r="P5327" s="163"/>
      <c r="Q5327" s="163"/>
      <c r="R5327" s="163"/>
      <c r="S5327" s="161"/>
      <c r="T5327" s="161"/>
      <c r="U5327" s="161"/>
      <c r="V5327" s="161"/>
      <c r="W5327" s="161"/>
      <c r="X5327" s="161"/>
      <c r="Y5327" s="161"/>
      <c r="Z5327" s="168"/>
      <c r="AA5327" s="168"/>
      <c r="AB5327" s="168"/>
      <c r="AC5327" s="168"/>
    </row>
    <row r="5328">
      <c r="A5328" s="161"/>
      <c r="B5328" s="161"/>
      <c r="C5328" s="162"/>
      <c r="D5328" s="163"/>
      <c r="E5328" s="164" t="str">
        <f>IFERROR(__xludf.DUMMYFUNCTION("""COMPUTED_VALUE"""),"")</f>
        <v/>
      </c>
      <c r="F5328" s="163"/>
      <c r="G5328" s="163"/>
      <c r="H5328" s="163"/>
      <c r="I5328" s="163"/>
      <c r="J5328" s="165"/>
      <c r="K5328" s="165"/>
      <c r="L5328" s="165"/>
      <c r="M5328" s="166"/>
      <c r="N5328" s="167"/>
      <c r="O5328" s="163"/>
      <c r="P5328" s="163"/>
      <c r="Q5328" s="163"/>
      <c r="R5328" s="163"/>
      <c r="S5328" s="161"/>
      <c r="T5328" s="161"/>
      <c r="U5328" s="161"/>
      <c r="V5328" s="161"/>
      <c r="W5328" s="161"/>
      <c r="X5328" s="161"/>
      <c r="Y5328" s="161"/>
      <c r="Z5328" s="168"/>
      <c r="AA5328" s="168"/>
      <c r="AB5328" s="168"/>
      <c r="AC5328" s="168"/>
    </row>
    <row r="5329">
      <c r="A5329" s="161"/>
      <c r="B5329" s="161"/>
      <c r="C5329" s="162"/>
      <c r="D5329" s="163"/>
      <c r="E5329" s="164" t="str">
        <f>IFERROR(__xludf.DUMMYFUNCTION("""COMPUTED_VALUE"""),"")</f>
        <v/>
      </c>
      <c r="F5329" s="163"/>
      <c r="G5329" s="163"/>
      <c r="H5329" s="163"/>
      <c r="I5329" s="163"/>
      <c r="J5329" s="165"/>
      <c r="K5329" s="165"/>
      <c r="L5329" s="165"/>
      <c r="M5329" s="166"/>
      <c r="N5329" s="167"/>
      <c r="O5329" s="163"/>
      <c r="P5329" s="163"/>
      <c r="Q5329" s="163"/>
      <c r="R5329" s="163"/>
      <c r="S5329" s="161"/>
      <c r="T5329" s="161"/>
      <c r="U5329" s="161"/>
      <c r="V5329" s="161"/>
      <c r="W5329" s="161"/>
      <c r="X5329" s="161"/>
      <c r="Y5329" s="161"/>
      <c r="Z5329" s="168"/>
      <c r="AA5329" s="168"/>
      <c r="AB5329" s="168"/>
      <c r="AC5329" s="168"/>
    </row>
    <row r="5330">
      <c r="A5330" s="161"/>
      <c r="B5330" s="161"/>
      <c r="C5330" s="162"/>
      <c r="D5330" s="163"/>
      <c r="E5330" s="164" t="str">
        <f>IFERROR(__xludf.DUMMYFUNCTION("""COMPUTED_VALUE"""),"")</f>
        <v/>
      </c>
      <c r="F5330" s="163"/>
      <c r="G5330" s="163"/>
      <c r="H5330" s="163"/>
      <c r="I5330" s="163"/>
      <c r="J5330" s="165"/>
      <c r="K5330" s="165"/>
      <c r="L5330" s="165"/>
      <c r="M5330" s="166"/>
      <c r="N5330" s="167"/>
      <c r="O5330" s="163"/>
      <c r="P5330" s="163"/>
      <c r="Q5330" s="163"/>
      <c r="R5330" s="163"/>
      <c r="S5330" s="161"/>
      <c r="T5330" s="161"/>
      <c r="U5330" s="161"/>
      <c r="V5330" s="161"/>
      <c r="W5330" s="161"/>
      <c r="X5330" s="161"/>
      <c r="Y5330" s="161"/>
      <c r="Z5330" s="168"/>
      <c r="AA5330" s="168"/>
      <c r="AB5330" s="168"/>
      <c r="AC5330" s="168"/>
    </row>
    <row r="5331">
      <c r="A5331" s="161"/>
      <c r="B5331" s="161"/>
      <c r="C5331" s="162"/>
      <c r="D5331" s="163"/>
      <c r="E5331" s="164" t="str">
        <f>IFERROR(__xludf.DUMMYFUNCTION("""COMPUTED_VALUE"""),"")</f>
        <v/>
      </c>
      <c r="F5331" s="163"/>
      <c r="G5331" s="163"/>
      <c r="H5331" s="163"/>
      <c r="I5331" s="163"/>
      <c r="J5331" s="165"/>
      <c r="K5331" s="165"/>
      <c r="L5331" s="165"/>
      <c r="M5331" s="166"/>
      <c r="N5331" s="167"/>
      <c r="O5331" s="163"/>
      <c r="P5331" s="163"/>
      <c r="Q5331" s="163"/>
      <c r="R5331" s="163"/>
      <c r="S5331" s="161"/>
      <c r="T5331" s="161"/>
      <c r="U5331" s="161"/>
      <c r="V5331" s="161"/>
      <c r="W5331" s="161"/>
      <c r="X5331" s="161"/>
      <c r="Y5331" s="161"/>
      <c r="Z5331" s="168"/>
      <c r="AA5331" s="168"/>
      <c r="AB5331" s="168"/>
      <c r="AC5331" s="168"/>
    </row>
    <row r="5332">
      <c r="A5332" s="161"/>
      <c r="B5332" s="161"/>
      <c r="C5332" s="162"/>
      <c r="D5332" s="163"/>
      <c r="E5332" s="164" t="str">
        <f>IFERROR(__xludf.DUMMYFUNCTION("""COMPUTED_VALUE"""),"")</f>
        <v/>
      </c>
      <c r="F5332" s="163"/>
      <c r="G5332" s="163"/>
      <c r="H5332" s="163"/>
      <c r="I5332" s="163"/>
      <c r="J5332" s="165"/>
      <c r="K5332" s="165"/>
      <c r="L5332" s="165"/>
      <c r="M5332" s="166"/>
      <c r="N5332" s="167"/>
      <c r="O5332" s="163"/>
      <c r="P5332" s="163"/>
      <c r="Q5332" s="163"/>
      <c r="R5332" s="163"/>
      <c r="S5332" s="161"/>
      <c r="T5332" s="161"/>
      <c r="U5332" s="161"/>
      <c r="V5332" s="161"/>
      <c r="W5332" s="161"/>
      <c r="X5332" s="161"/>
      <c r="Y5332" s="161"/>
      <c r="Z5332" s="168"/>
      <c r="AA5332" s="168"/>
      <c r="AB5332" s="168"/>
      <c r="AC5332" s="168"/>
    </row>
    <row r="5333">
      <c r="A5333" s="161"/>
      <c r="B5333" s="161"/>
      <c r="C5333" s="162"/>
      <c r="D5333" s="163"/>
      <c r="E5333" s="164" t="str">
        <f>IFERROR(__xludf.DUMMYFUNCTION("""COMPUTED_VALUE"""),"")</f>
        <v/>
      </c>
      <c r="F5333" s="163"/>
      <c r="G5333" s="163"/>
      <c r="H5333" s="163"/>
      <c r="I5333" s="163"/>
      <c r="J5333" s="165"/>
      <c r="K5333" s="165"/>
      <c r="L5333" s="165"/>
      <c r="M5333" s="166"/>
      <c r="N5333" s="167"/>
      <c r="O5333" s="163"/>
      <c r="P5333" s="163"/>
      <c r="Q5333" s="163"/>
      <c r="R5333" s="163"/>
      <c r="S5333" s="161"/>
      <c r="T5333" s="161"/>
      <c r="U5333" s="161"/>
      <c r="V5333" s="161"/>
      <c r="W5333" s="161"/>
      <c r="X5333" s="161"/>
      <c r="Y5333" s="161"/>
      <c r="Z5333" s="168"/>
      <c r="AA5333" s="168"/>
      <c r="AB5333" s="168"/>
      <c r="AC5333" s="168"/>
    </row>
    <row r="5334">
      <c r="A5334" s="161"/>
      <c r="B5334" s="161"/>
      <c r="C5334" s="162"/>
      <c r="D5334" s="163"/>
      <c r="E5334" s="164" t="str">
        <f>IFERROR(__xludf.DUMMYFUNCTION("""COMPUTED_VALUE"""),"")</f>
        <v/>
      </c>
      <c r="F5334" s="163"/>
      <c r="G5334" s="163"/>
      <c r="H5334" s="163"/>
      <c r="I5334" s="163"/>
      <c r="J5334" s="165"/>
      <c r="K5334" s="165"/>
      <c r="L5334" s="165"/>
      <c r="M5334" s="166"/>
      <c r="N5334" s="167"/>
      <c r="O5334" s="163"/>
      <c r="P5334" s="163"/>
      <c r="Q5334" s="163"/>
      <c r="R5334" s="163"/>
      <c r="S5334" s="161"/>
      <c r="T5334" s="161"/>
      <c r="U5334" s="161"/>
      <c r="V5334" s="161"/>
      <c r="W5334" s="161"/>
      <c r="X5334" s="161"/>
      <c r="Y5334" s="161"/>
      <c r="Z5334" s="168"/>
      <c r="AA5334" s="168"/>
      <c r="AB5334" s="168"/>
      <c r="AC5334" s="168"/>
    </row>
    <row r="5335">
      <c r="A5335" s="161"/>
      <c r="B5335" s="161"/>
      <c r="C5335" s="162"/>
      <c r="D5335" s="163"/>
      <c r="E5335" s="164" t="str">
        <f>IFERROR(__xludf.DUMMYFUNCTION("""COMPUTED_VALUE"""),"")</f>
        <v/>
      </c>
      <c r="F5335" s="163"/>
      <c r="G5335" s="163"/>
      <c r="H5335" s="163"/>
      <c r="I5335" s="163"/>
      <c r="J5335" s="165"/>
      <c r="K5335" s="165"/>
      <c r="L5335" s="165"/>
      <c r="M5335" s="166"/>
      <c r="N5335" s="167"/>
      <c r="O5335" s="163"/>
      <c r="P5335" s="163"/>
      <c r="Q5335" s="163"/>
      <c r="R5335" s="163"/>
      <c r="S5335" s="161"/>
      <c r="T5335" s="161"/>
      <c r="U5335" s="161"/>
      <c r="V5335" s="161"/>
      <c r="W5335" s="161"/>
      <c r="X5335" s="161"/>
      <c r="Y5335" s="161"/>
      <c r="Z5335" s="168"/>
      <c r="AA5335" s="168"/>
      <c r="AB5335" s="168"/>
      <c r="AC5335" s="168"/>
    </row>
    <row r="5336">
      <c r="A5336" s="161"/>
      <c r="B5336" s="161"/>
      <c r="C5336" s="162"/>
      <c r="D5336" s="163"/>
      <c r="E5336" s="164" t="str">
        <f>IFERROR(__xludf.DUMMYFUNCTION("""COMPUTED_VALUE"""),"")</f>
        <v/>
      </c>
      <c r="F5336" s="163"/>
      <c r="G5336" s="163"/>
      <c r="H5336" s="163"/>
      <c r="I5336" s="163"/>
      <c r="J5336" s="165"/>
      <c r="K5336" s="165"/>
      <c r="L5336" s="165"/>
      <c r="M5336" s="166"/>
      <c r="N5336" s="167"/>
      <c r="O5336" s="163"/>
      <c r="P5336" s="163"/>
      <c r="Q5336" s="163"/>
      <c r="R5336" s="163"/>
      <c r="S5336" s="161"/>
      <c r="T5336" s="161"/>
      <c r="U5336" s="161"/>
      <c r="V5336" s="161"/>
      <c r="W5336" s="161"/>
      <c r="X5336" s="161"/>
      <c r="Y5336" s="161"/>
      <c r="Z5336" s="168"/>
      <c r="AA5336" s="168"/>
      <c r="AB5336" s="168"/>
      <c r="AC5336" s="168"/>
    </row>
    <row r="5337">
      <c r="A5337" s="161"/>
      <c r="B5337" s="161"/>
      <c r="C5337" s="162"/>
      <c r="D5337" s="163"/>
      <c r="E5337" s="164" t="str">
        <f>IFERROR(__xludf.DUMMYFUNCTION("""COMPUTED_VALUE"""),"")</f>
        <v/>
      </c>
      <c r="F5337" s="163"/>
      <c r="G5337" s="163"/>
      <c r="H5337" s="163"/>
      <c r="I5337" s="163"/>
      <c r="J5337" s="165"/>
      <c r="K5337" s="165"/>
      <c r="L5337" s="165"/>
      <c r="M5337" s="166"/>
      <c r="N5337" s="167"/>
      <c r="O5337" s="163"/>
      <c r="P5337" s="163"/>
      <c r="Q5337" s="163"/>
      <c r="R5337" s="163"/>
      <c r="S5337" s="161"/>
      <c r="T5337" s="161"/>
      <c r="U5337" s="161"/>
      <c r="V5337" s="161"/>
      <c r="W5337" s="161"/>
      <c r="X5337" s="161"/>
      <c r="Y5337" s="161"/>
      <c r="Z5337" s="168"/>
      <c r="AA5337" s="168"/>
      <c r="AB5337" s="168"/>
      <c r="AC5337" s="168"/>
    </row>
    <row r="5338">
      <c r="A5338" s="161"/>
      <c r="B5338" s="161"/>
      <c r="C5338" s="162"/>
      <c r="D5338" s="163"/>
      <c r="E5338" s="164" t="str">
        <f>IFERROR(__xludf.DUMMYFUNCTION("""COMPUTED_VALUE"""),"")</f>
        <v/>
      </c>
      <c r="F5338" s="163"/>
      <c r="G5338" s="163"/>
      <c r="H5338" s="163"/>
      <c r="I5338" s="163"/>
      <c r="J5338" s="165"/>
      <c r="K5338" s="165"/>
      <c r="L5338" s="165"/>
      <c r="M5338" s="166"/>
      <c r="N5338" s="167"/>
      <c r="O5338" s="163"/>
      <c r="P5338" s="163"/>
      <c r="Q5338" s="163"/>
      <c r="R5338" s="163"/>
      <c r="S5338" s="161"/>
      <c r="T5338" s="161"/>
      <c r="U5338" s="161"/>
      <c r="V5338" s="161"/>
      <c r="W5338" s="161"/>
      <c r="X5338" s="161"/>
      <c r="Y5338" s="161"/>
      <c r="Z5338" s="168"/>
      <c r="AA5338" s="168"/>
      <c r="AB5338" s="168"/>
      <c r="AC5338" s="168"/>
    </row>
    <row r="5339">
      <c r="A5339" s="161"/>
      <c r="B5339" s="161"/>
      <c r="C5339" s="162"/>
      <c r="D5339" s="163"/>
      <c r="E5339" s="164" t="str">
        <f>IFERROR(__xludf.DUMMYFUNCTION("""COMPUTED_VALUE"""),"")</f>
        <v/>
      </c>
      <c r="F5339" s="163"/>
      <c r="G5339" s="163"/>
      <c r="H5339" s="163"/>
      <c r="I5339" s="163"/>
      <c r="J5339" s="165"/>
      <c r="K5339" s="165"/>
      <c r="L5339" s="165"/>
      <c r="M5339" s="166"/>
      <c r="N5339" s="167"/>
      <c r="O5339" s="163"/>
      <c r="P5339" s="163"/>
      <c r="Q5339" s="163"/>
      <c r="R5339" s="163"/>
      <c r="S5339" s="161"/>
      <c r="T5339" s="161"/>
      <c r="U5339" s="161"/>
      <c r="V5339" s="161"/>
      <c r="W5339" s="161"/>
      <c r="X5339" s="161"/>
      <c r="Y5339" s="161"/>
      <c r="Z5339" s="168"/>
      <c r="AA5339" s="168"/>
      <c r="AB5339" s="168"/>
      <c r="AC5339" s="168"/>
    </row>
    <row r="5340">
      <c r="A5340" s="161"/>
      <c r="B5340" s="161"/>
      <c r="C5340" s="162"/>
      <c r="D5340" s="163"/>
      <c r="E5340" s="164" t="str">
        <f>IFERROR(__xludf.DUMMYFUNCTION("""COMPUTED_VALUE"""),"")</f>
        <v/>
      </c>
      <c r="F5340" s="163"/>
      <c r="G5340" s="163"/>
      <c r="H5340" s="163"/>
      <c r="I5340" s="163"/>
      <c r="J5340" s="165"/>
      <c r="K5340" s="165"/>
      <c r="L5340" s="165"/>
      <c r="M5340" s="166"/>
      <c r="N5340" s="167"/>
      <c r="O5340" s="163"/>
      <c r="P5340" s="163"/>
      <c r="Q5340" s="163"/>
      <c r="R5340" s="163"/>
      <c r="S5340" s="161"/>
      <c r="T5340" s="161"/>
      <c r="U5340" s="161"/>
      <c r="V5340" s="161"/>
      <c r="W5340" s="161"/>
      <c r="X5340" s="161"/>
      <c r="Y5340" s="161"/>
      <c r="Z5340" s="168"/>
      <c r="AA5340" s="168"/>
      <c r="AB5340" s="168"/>
      <c r="AC5340" s="168"/>
    </row>
    <row r="5341">
      <c r="A5341" s="161"/>
      <c r="B5341" s="161"/>
      <c r="C5341" s="162"/>
      <c r="D5341" s="163"/>
      <c r="E5341" s="164" t="str">
        <f>IFERROR(__xludf.DUMMYFUNCTION("""COMPUTED_VALUE"""),"")</f>
        <v/>
      </c>
      <c r="F5341" s="163"/>
      <c r="G5341" s="163"/>
      <c r="H5341" s="163"/>
      <c r="I5341" s="163"/>
      <c r="J5341" s="165"/>
      <c r="K5341" s="165"/>
      <c r="L5341" s="165"/>
      <c r="M5341" s="166"/>
      <c r="N5341" s="167"/>
      <c r="O5341" s="163"/>
      <c r="P5341" s="163"/>
      <c r="Q5341" s="163"/>
      <c r="R5341" s="163"/>
      <c r="S5341" s="161"/>
      <c r="T5341" s="161"/>
      <c r="U5341" s="161"/>
      <c r="V5341" s="161"/>
      <c r="W5341" s="161"/>
      <c r="X5341" s="161"/>
      <c r="Y5341" s="161"/>
      <c r="Z5341" s="168"/>
      <c r="AA5341" s="168"/>
      <c r="AB5341" s="168"/>
      <c r="AC5341" s="168"/>
    </row>
    <row r="5342">
      <c r="A5342" s="161"/>
      <c r="B5342" s="161"/>
      <c r="C5342" s="162"/>
      <c r="D5342" s="163"/>
      <c r="E5342" s="164" t="str">
        <f>IFERROR(__xludf.DUMMYFUNCTION("""COMPUTED_VALUE"""),"")</f>
        <v/>
      </c>
      <c r="F5342" s="163"/>
      <c r="G5342" s="163"/>
      <c r="H5342" s="163"/>
      <c r="I5342" s="163"/>
      <c r="J5342" s="165"/>
      <c r="K5342" s="165"/>
      <c r="L5342" s="165"/>
      <c r="M5342" s="166"/>
      <c r="N5342" s="167"/>
      <c r="O5342" s="163"/>
      <c r="P5342" s="163"/>
      <c r="Q5342" s="163"/>
      <c r="R5342" s="163"/>
      <c r="S5342" s="161"/>
      <c r="T5342" s="161"/>
      <c r="U5342" s="161"/>
      <c r="V5342" s="161"/>
      <c r="W5342" s="161"/>
      <c r="X5342" s="161"/>
      <c r="Y5342" s="161"/>
      <c r="Z5342" s="168"/>
      <c r="AA5342" s="168"/>
      <c r="AB5342" s="168"/>
      <c r="AC5342" s="168"/>
    </row>
    <row r="5343">
      <c r="A5343" s="161"/>
      <c r="B5343" s="161"/>
      <c r="C5343" s="162"/>
      <c r="D5343" s="163"/>
      <c r="E5343" s="164" t="str">
        <f>IFERROR(__xludf.DUMMYFUNCTION("""COMPUTED_VALUE"""),"")</f>
        <v/>
      </c>
      <c r="F5343" s="163"/>
      <c r="G5343" s="163"/>
      <c r="H5343" s="163"/>
      <c r="I5343" s="163"/>
      <c r="J5343" s="165"/>
      <c r="K5343" s="165"/>
      <c r="L5343" s="165"/>
      <c r="M5343" s="166"/>
      <c r="N5343" s="167"/>
      <c r="O5343" s="163"/>
      <c r="P5343" s="163"/>
      <c r="Q5343" s="163"/>
      <c r="R5343" s="163"/>
      <c r="S5343" s="161"/>
      <c r="T5343" s="161"/>
      <c r="U5343" s="161"/>
      <c r="V5343" s="161"/>
      <c r="W5343" s="161"/>
      <c r="X5343" s="161"/>
      <c r="Y5343" s="161"/>
      <c r="Z5343" s="168"/>
      <c r="AA5343" s="168"/>
      <c r="AB5343" s="168"/>
      <c r="AC5343" s="168"/>
    </row>
    <row r="5344">
      <c r="A5344" s="161"/>
      <c r="B5344" s="161"/>
      <c r="C5344" s="162"/>
      <c r="D5344" s="163"/>
      <c r="E5344" s="164" t="str">
        <f>IFERROR(__xludf.DUMMYFUNCTION("""COMPUTED_VALUE"""),"")</f>
        <v/>
      </c>
      <c r="F5344" s="163"/>
      <c r="G5344" s="163"/>
      <c r="H5344" s="163"/>
      <c r="I5344" s="163"/>
      <c r="J5344" s="165"/>
      <c r="K5344" s="165"/>
      <c r="L5344" s="165"/>
      <c r="M5344" s="166"/>
      <c r="N5344" s="167"/>
      <c r="O5344" s="163"/>
      <c r="P5344" s="163"/>
      <c r="Q5344" s="163"/>
      <c r="R5344" s="163"/>
      <c r="S5344" s="161"/>
      <c r="T5344" s="161"/>
      <c r="U5344" s="161"/>
      <c r="V5344" s="161"/>
      <c r="W5344" s="161"/>
      <c r="X5344" s="161"/>
      <c r="Y5344" s="161"/>
      <c r="Z5344" s="168"/>
      <c r="AA5344" s="168"/>
      <c r="AB5344" s="168"/>
      <c r="AC5344" s="168"/>
    </row>
    <row r="5345">
      <c r="A5345" s="161"/>
      <c r="B5345" s="161"/>
      <c r="C5345" s="162"/>
      <c r="D5345" s="163"/>
      <c r="E5345" s="164" t="str">
        <f>IFERROR(__xludf.DUMMYFUNCTION("""COMPUTED_VALUE"""),"")</f>
        <v/>
      </c>
      <c r="F5345" s="163"/>
      <c r="G5345" s="163"/>
      <c r="H5345" s="163"/>
      <c r="I5345" s="163"/>
      <c r="J5345" s="165"/>
      <c r="K5345" s="165"/>
      <c r="L5345" s="165"/>
      <c r="M5345" s="166"/>
      <c r="N5345" s="167"/>
      <c r="O5345" s="163"/>
      <c r="P5345" s="163"/>
      <c r="Q5345" s="163"/>
      <c r="R5345" s="163"/>
      <c r="S5345" s="161"/>
      <c r="T5345" s="161"/>
      <c r="U5345" s="161"/>
      <c r="V5345" s="161"/>
      <c r="W5345" s="161"/>
      <c r="X5345" s="161"/>
      <c r="Y5345" s="161"/>
      <c r="Z5345" s="168"/>
      <c r="AA5345" s="168"/>
      <c r="AB5345" s="168"/>
      <c r="AC5345" s="168"/>
    </row>
    <row r="5346">
      <c r="A5346" s="161"/>
      <c r="B5346" s="161"/>
      <c r="C5346" s="162"/>
      <c r="D5346" s="163"/>
      <c r="E5346" s="164" t="str">
        <f>IFERROR(__xludf.DUMMYFUNCTION("""COMPUTED_VALUE"""),"")</f>
        <v/>
      </c>
      <c r="F5346" s="163"/>
      <c r="G5346" s="163"/>
      <c r="H5346" s="163"/>
      <c r="I5346" s="163"/>
      <c r="J5346" s="165"/>
      <c r="K5346" s="165"/>
      <c r="L5346" s="165"/>
      <c r="M5346" s="166"/>
      <c r="N5346" s="167"/>
      <c r="O5346" s="163"/>
      <c r="P5346" s="163"/>
      <c r="Q5346" s="163"/>
      <c r="R5346" s="163"/>
      <c r="S5346" s="161"/>
      <c r="T5346" s="161"/>
      <c r="U5346" s="161"/>
      <c r="V5346" s="161"/>
      <c r="W5346" s="161"/>
      <c r="X5346" s="161"/>
      <c r="Y5346" s="161"/>
      <c r="Z5346" s="168"/>
      <c r="AA5346" s="168"/>
      <c r="AB5346" s="168"/>
      <c r="AC5346" s="168"/>
    </row>
    <row r="5347">
      <c r="A5347" s="161"/>
      <c r="B5347" s="161"/>
      <c r="C5347" s="162"/>
      <c r="D5347" s="163"/>
      <c r="E5347" s="164" t="str">
        <f>IFERROR(__xludf.DUMMYFUNCTION("""COMPUTED_VALUE"""),"")</f>
        <v/>
      </c>
      <c r="F5347" s="163"/>
      <c r="G5347" s="163"/>
      <c r="H5347" s="163"/>
      <c r="I5347" s="163"/>
      <c r="J5347" s="165"/>
      <c r="K5347" s="165"/>
      <c r="L5347" s="165"/>
      <c r="M5347" s="166"/>
      <c r="N5347" s="167"/>
      <c r="O5347" s="163"/>
      <c r="P5347" s="163"/>
      <c r="Q5347" s="163"/>
      <c r="R5347" s="163"/>
      <c r="S5347" s="161"/>
      <c r="T5347" s="161"/>
      <c r="U5347" s="161"/>
      <c r="V5347" s="161"/>
      <c r="W5347" s="161"/>
      <c r="X5347" s="161"/>
      <c r="Y5347" s="161"/>
      <c r="Z5347" s="168"/>
      <c r="AA5347" s="168"/>
      <c r="AB5347" s="168"/>
      <c r="AC5347" s="168"/>
    </row>
    <row r="5348">
      <c r="A5348" s="161"/>
      <c r="B5348" s="161"/>
      <c r="C5348" s="162"/>
      <c r="D5348" s="163"/>
      <c r="E5348" s="164" t="str">
        <f>IFERROR(__xludf.DUMMYFUNCTION("""COMPUTED_VALUE"""),"")</f>
        <v/>
      </c>
      <c r="F5348" s="163"/>
      <c r="G5348" s="163"/>
      <c r="H5348" s="163"/>
      <c r="I5348" s="163"/>
      <c r="J5348" s="165"/>
      <c r="K5348" s="165"/>
      <c r="L5348" s="165"/>
      <c r="M5348" s="166"/>
      <c r="N5348" s="167"/>
      <c r="O5348" s="163"/>
      <c r="P5348" s="163"/>
      <c r="Q5348" s="163"/>
      <c r="R5348" s="163"/>
      <c r="S5348" s="161"/>
      <c r="T5348" s="161"/>
      <c r="U5348" s="161"/>
      <c r="V5348" s="161"/>
      <c r="W5348" s="161"/>
      <c r="X5348" s="161"/>
      <c r="Y5348" s="161"/>
      <c r="Z5348" s="168"/>
      <c r="AA5348" s="168"/>
      <c r="AB5348" s="168"/>
      <c r="AC5348" s="168"/>
    </row>
    <row r="5349">
      <c r="A5349" s="161"/>
      <c r="B5349" s="161"/>
      <c r="C5349" s="162"/>
      <c r="D5349" s="163"/>
      <c r="E5349" s="164" t="str">
        <f>IFERROR(__xludf.DUMMYFUNCTION("""COMPUTED_VALUE"""),"")</f>
        <v/>
      </c>
      <c r="F5349" s="163"/>
      <c r="G5349" s="163"/>
      <c r="H5349" s="163"/>
      <c r="I5349" s="163"/>
      <c r="J5349" s="165"/>
      <c r="K5349" s="165"/>
      <c r="L5349" s="165"/>
      <c r="M5349" s="166"/>
      <c r="N5349" s="167"/>
      <c r="O5349" s="163"/>
      <c r="P5349" s="163"/>
      <c r="Q5349" s="163"/>
      <c r="R5349" s="163"/>
      <c r="S5349" s="161"/>
      <c r="T5349" s="161"/>
      <c r="U5349" s="161"/>
      <c r="V5349" s="161"/>
      <c r="W5349" s="161"/>
      <c r="X5349" s="161"/>
      <c r="Y5349" s="161"/>
      <c r="Z5349" s="168"/>
      <c r="AA5349" s="168"/>
      <c r="AB5349" s="168"/>
      <c r="AC5349" s="168"/>
    </row>
    <row r="5350">
      <c r="A5350" s="161"/>
      <c r="B5350" s="161"/>
      <c r="C5350" s="162"/>
      <c r="D5350" s="163"/>
      <c r="E5350" s="164" t="str">
        <f>IFERROR(__xludf.DUMMYFUNCTION("""COMPUTED_VALUE"""),"")</f>
        <v/>
      </c>
      <c r="F5350" s="163"/>
      <c r="G5350" s="163"/>
      <c r="H5350" s="163"/>
      <c r="I5350" s="163"/>
      <c r="J5350" s="165"/>
      <c r="K5350" s="165"/>
      <c r="L5350" s="165"/>
      <c r="M5350" s="166"/>
      <c r="N5350" s="167"/>
      <c r="O5350" s="163"/>
      <c r="P5350" s="163"/>
      <c r="Q5350" s="163"/>
      <c r="R5350" s="163"/>
      <c r="S5350" s="161"/>
      <c r="T5350" s="161"/>
      <c r="U5350" s="161"/>
      <c r="V5350" s="161"/>
      <c r="W5350" s="161"/>
      <c r="X5350" s="161"/>
      <c r="Y5350" s="161"/>
      <c r="Z5350" s="168"/>
      <c r="AA5350" s="168"/>
      <c r="AB5350" s="168"/>
      <c r="AC5350" s="168"/>
    </row>
    <row r="5351">
      <c r="A5351" s="161"/>
      <c r="B5351" s="161"/>
      <c r="C5351" s="162"/>
      <c r="D5351" s="163"/>
      <c r="E5351" s="164" t="str">
        <f>IFERROR(__xludf.DUMMYFUNCTION("""COMPUTED_VALUE"""),"")</f>
        <v/>
      </c>
      <c r="F5351" s="163"/>
      <c r="G5351" s="163"/>
      <c r="H5351" s="163"/>
      <c r="I5351" s="163"/>
      <c r="J5351" s="165"/>
      <c r="K5351" s="165"/>
      <c r="L5351" s="165"/>
      <c r="M5351" s="166"/>
      <c r="N5351" s="167"/>
      <c r="O5351" s="163"/>
      <c r="P5351" s="163"/>
      <c r="Q5351" s="163"/>
      <c r="R5351" s="163"/>
      <c r="S5351" s="161"/>
      <c r="T5351" s="161"/>
      <c r="U5351" s="161"/>
      <c r="V5351" s="161"/>
      <c r="W5351" s="161"/>
      <c r="X5351" s="161"/>
      <c r="Y5351" s="161"/>
      <c r="Z5351" s="168"/>
      <c r="AA5351" s="168"/>
      <c r="AB5351" s="168"/>
      <c r="AC5351" s="168"/>
    </row>
    <row r="5352">
      <c r="A5352" s="161"/>
      <c r="B5352" s="161"/>
      <c r="C5352" s="162"/>
      <c r="D5352" s="163"/>
      <c r="E5352" s="164" t="str">
        <f>IFERROR(__xludf.DUMMYFUNCTION("""COMPUTED_VALUE"""),"")</f>
        <v/>
      </c>
      <c r="F5352" s="163"/>
      <c r="G5352" s="163"/>
      <c r="H5352" s="163"/>
      <c r="I5352" s="163"/>
      <c r="J5352" s="165"/>
      <c r="K5352" s="165"/>
      <c r="L5352" s="165"/>
      <c r="M5352" s="166"/>
      <c r="N5352" s="167"/>
      <c r="O5352" s="163"/>
      <c r="P5352" s="163"/>
      <c r="Q5352" s="163"/>
      <c r="R5352" s="163"/>
      <c r="S5352" s="161"/>
      <c r="T5352" s="161"/>
      <c r="U5352" s="161"/>
      <c r="V5352" s="161"/>
      <c r="W5352" s="161"/>
      <c r="X5352" s="161"/>
      <c r="Y5352" s="161"/>
      <c r="Z5352" s="168"/>
      <c r="AA5352" s="168"/>
      <c r="AB5352" s="168"/>
      <c r="AC5352" s="168"/>
    </row>
    <row r="5353">
      <c r="A5353" s="161"/>
      <c r="B5353" s="161"/>
      <c r="C5353" s="162"/>
      <c r="D5353" s="163"/>
      <c r="E5353" s="164" t="str">
        <f>IFERROR(__xludf.DUMMYFUNCTION("""COMPUTED_VALUE"""),"")</f>
        <v/>
      </c>
      <c r="F5353" s="163"/>
      <c r="G5353" s="163"/>
      <c r="H5353" s="163"/>
      <c r="I5353" s="163"/>
      <c r="J5353" s="165"/>
      <c r="K5353" s="165"/>
      <c r="L5353" s="165"/>
      <c r="M5353" s="166"/>
      <c r="N5353" s="167"/>
      <c r="O5353" s="163"/>
      <c r="P5353" s="163"/>
      <c r="Q5353" s="163"/>
      <c r="R5353" s="163"/>
      <c r="S5353" s="161"/>
      <c r="T5353" s="161"/>
      <c r="U5353" s="161"/>
      <c r="V5353" s="161"/>
      <c r="W5353" s="161"/>
      <c r="X5353" s="161"/>
      <c r="Y5353" s="161"/>
      <c r="Z5353" s="168"/>
      <c r="AA5353" s="168"/>
      <c r="AB5353" s="168"/>
      <c r="AC5353" s="168"/>
    </row>
    <row r="5354">
      <c r="A5354" s="161"/>
      <c r="B5354" s="161"/>
      <c r="C5354" s="162"/>
      <c r="D5354" s="163"/>
      <c r="E5354" s="164" t="str">
        <f>IFERROR(__xludf.DUMMYFUNCTION("""COMPUTED_VALUE"""),"")</f>
        <v/>
      </c>
      <c r="F5354" s="163"/>
      <c r="G5354" s="163"/>
      <c r="H5354" s="163"/>
      <c r="I5354" s="163"/>
      <c r="J5354" s="165"/>
      <c r="K5354" s="165"/>
      <c r="L5354" s="165"/>
      <c r="M5354" s="166"/>
      <c r="N5354" s="167"/>
      <c r="O5354" s="163"/>
      <c r="P5354" s="163"/>
      <c r="Q5354" s="163"/>
      <c r="R5354" s="163"/>
      <c r="S5354" s="161"/>
      <c r="T5354" s="161"/>
      <c r="U5354" s="161"/>
      <c r="V5354" s="161"/>
      <c r="W5354" s="161"/>
      <c r="X5354" s="161"/>
      <c r="Y5354" s="161"/>
      <c r="Z5354" s="168"/>
      <c r="AA5354" s="168"/>
      <c r="AB5354" s="168"/>
      <c r="AC5354" s="168"/>
    </row>
    <row r="5355">
      <c r="A5355" s="161"/>
      <c r="B5355" s="161"/>
      <c r="C5355" s="162"/>
      <c r="D5355" s="163"/>
      <c r="E5355" s="164" t="str">
        <f>IFERROR(__xludf.DUMMYFUNCTION("""COMPUTED_VALUE"""),"")</f>
        <v/>
      </c>
      <c r="F5355" s="163"/>
      <c r="G5355" s="163"/>
      <c r="H5355" s="163"/>
      <c r="I5355" s="163"/>
      <c r="J5355" s="165"/>
      <c r="K5355" s="165"/>
      <c r="L5355" s="165"/>
      <c r="M5355" s="166"/>
      <c r="N5355" s="167"/>
      <c r="O5355" s="163"/>
      <c r="P5355" s="163"/>
      <c r="Q5355" s="163"/>
      <c r="R5355" s="163"/>
      <c r="S5355" s="161"/>
      <c r="T5355" s="161"/>
      <c r="U5355" s="161"/>
      <c r="V5355" s="161"/>
      <c r="W5355" s="161"/>
      <c r="X5355" s="161"/>
      <c r="Y5355" s="161"/>
      <c r="Z5355" s="168"/>
      <c r="AA5355" s="168"/>
      <c r="AB5355" s="168"/>
      <c r="AC5355" s="168"/>
    </row>
    <row r="5356">
      <c r="A5356" s="161"/>
      <c r="B5356" s="161"/>
      <c r="C5356" s="162"/>
      <c r="D5356" s="163"/>
      <c r="E5356" s="164" t="str">
        <f>IFERROR(__xludf.DUMMYFUNCTION("""COMPUTED_VALUE"""),"")</f>
        <v/>
      </c>
      <c r="F5356" s="163"/>
      <c r="G5356" s="163"/>
      <c r="H5356" s="163"/>
      <c r="I5356" s="163"/>
      <c r="J5356" s="165"/>
      <c r="K5356" s="165"/>
      <c r="L5356" s="165"/>
      <c r="M5356" s="166"/>
      <c r="N5356" s="167"/>
      <c r="O5356" s="163"/>
      <c r="P5356" s="163"/>
      <c r="Q5356" s="163"/>
      <c r="R5356" s="163"/>
      <c r="S5356" s="161"/>
      <c r="T5356" s="161"/>
      <c r="U5356" s="161"/>
      <c r="V5356" s="161"/>
      <c r="W5356" s="161"/>
      <c r="X5356" s="161"/>
      <c r="Y5356" s="161"/>
      <c r="Z5356" s="168"/>
      <c r="AA5356" s="168"/>
      <c r="AB5356" s="168"/>
      <c r="AC5356" s="168"/>
    </row>
    <row r="5357">
      <c r="A5357" s="161"/>
      <c r="B5357" s="161"/>
      <c r="C5357" s="162"/>
      <c r="D5357" s="163"/>
      <c r="E5357" s="164" t="str">
        <f>IFERROR(__xludf.DUMMYFUNCTION("""COMPUTED_VALUE"""),"")</f>
        <v/>
      </c>
      <c r="F5357" s="163"/>
      <c r="G5357" s="163"/>
      <c r="H5357" s="163"/>
      <c r="I5357" s="163"/>
      <c r="J5357" s="165"/>
      <c r="K5357" s="165"/>
      <c r="L5357" s="165"/>
      <c r="M5357" s="166"/>
      <c r="N5357" s="167"/>
      <c r="O5357" s="163"/>
      <c r="P5357" s="163"/>
      <c r="Q5357" s="163"/>
      <c r="R5357" s="163"/>
      <c r="S5357" s="161"/>
      <c r="T5357" s="161"/>
      <c r="U5357" s="161"/>
      <c r="V5357" s="161"/>
      <c r="W5357" s="161"/>
      <c r="X5357" s="161"/>
      <c r="Y5357" s="161"/>
      <c r="Z5357" s="168"/>
      <c r="AA5357" s="168"/>
      <c r="AB5357" s="168"/>
      <c r="AC5357" s="168"/>
    </row>
    <row r="5358">
      <c r="A5358" s="161"/>
      <c r="B5358" s="161"/>
      <c r="C5358" s="162"/>
      <c r="D5358" s="163"/>
      <c r="E5358" s="164" t="str">
        <f>IFERROR(__xludf.DUMMYFUNCTION("""COMPUTED_VALUE"""),"")</f>
        <v/>
      </c>
      <c r="F5358" s="163"/>
      <c r="G5358" s="163"/>
      <c r="H5358" s="163"/>
      <c r="I5358" s="163"/>
      <c r="J5358" s="165"/>
      <c r="K5358" s="165"/>
      <c r="L5358" s="165"/>
      <c r="M5358" s="166"/>
      <c r="N5358" s="167"/>
      <c r="O5358" s="163"/>
      <c r="P5358" s="163"/>
      <c r="Q5358" s="163"/>
      <c r="R5358" s="163"/>
      <c r="S5358" s="161"/>
      <c r="T5358" s="161"/>
      <c r="U5358" s="161"/>
      <c r="V5358" s="161"/>
      <c r="W5358" s="161"/>
      <c r="X5358" s="161"/>
      <c r="Y5358" s="161"/>
      <c r="Z5358" s="168"/>
      <c r="AA5358" s="168"/>
      <c r="AB5358" s="168"/>
      <c r="AC5358" s="168"/>
    </row>
    <row r="5359">
      <c r="A5359" s="161"/>
      <c r="B5359" s="161"/>
      <c r="C5359" s="162"/>
      <c r="D5359" s="163"/>
      <c r="E5359" s="164" t="str">
        <f>IFERROR(__xludf.DUMMYFUNCTION("""COMPUTED_VALUE"""),"")</f>
        <v/>
      </c>
      <c r="F5359" s="163"/>
      <c r="G5359" s="163"/>
      <c r="H5359" s="163"/>
      <c r="I5359" s="163"/>
      <c r="J5359" s="165"/>
      <c r="K5359" s="165"/>
      <c r="L5359" s="165"/>
      <c r="M5359" s="166"/>
      <c r="N5359" s="167"/>
      <c r="O5359" s="163"/>
      <c r="P5359" s="163"/>
      <c r="Q5359" s="163"/>
      <c r="R5359" s="163"/>
      <c r="S5359" s="161"/>
      <c r="T5359" s="161"/>
      <c r="U5359" s="161"/>
      <c r="V5359" s="161"/>
      <c r="W5359" s="161"/>
      <c r="X5359" s="161"/>
      <c r="Y5359" s="161"/>
      <c r="Z5359" s="168"/>
      <c r="AA5359" s="168"/>
      <c r="AB5359" s="168"/>
      <c r="AC5359" s="168"/>
    </row>
    <row r="5360">
      <c r="A5360" s="161"/>
      <c r="B5360" s="161"/>
      <c r="C5360" s="162"/>
      <c r="D5360" s="163"/>
      <c r="E5360" s="164" t="str">
        <f>IFERROR(__xludf.DUMMYFUNCTION("""COMPUTED_VALUE"""),"")</f>
        <v/>
      </c>
      <c r="F5360" s="163"/>
      <c r="G5360" s="163"/>
      <c r="H5360" s="163"/>
      <c r="I5360" s="163"/>
      <c r="J5360" s="165"/>
      <c r="K5360" s="165"/>
      <c r="L5360" s="165"/>
      <c r="M5360" s="166"/>
      <c r="N5360" s="167"/>
      <c r="O5360" s="163"/>
      <c r="P5360" s="163"/>
      <c r="Q5360" s="163"/>
      <c r="R5360" s="163"/>
      <c r="S5360" s="161"/>
      <c r="T5360" s="161"/>
      <c r="U5360" s="161"/>
      <c r="V5360" s="161"/>
      <c r="W5360" s="161"/>
      <c r="X5360" s="161"/>
      <c r="Y5360" s="161"/>
      <c r="Z5360" s="168"/>
      <c r="AA5360" s="168"/>
      <c r="AB5360" s="168"/>
      <c r="AC5360" s="168"/>
    </row>
    <row r="5361">
      <c r="A5361" s="161"/>
      <c r="B5361" s="161"/>
      <c r="C5361" s="162"/>
      <c r="D5361" s="163"/>
      <c r="E5361" s="164" t="str">
        <f>IFERROR(__xludf.DUMMYFUNCTION("""COMPUTED_VALUE"""),"")</f>
        <v/>
      </c>
      <c r="F5361" s="163"/>
      <c r="G5361" s="163"/>
      <c r="H5361" s="163"/>
      <c r="I5361" s="163"/>
      <c r="J5361" s="165"/>
      <c r="K5361" s="165"/>
      <c r="L5361" s="165"/>
      <c r="M5361" s="166"/>
      <c r="N5361" s="167"/>
      <c r="O5361" s="163"/>
      <c r="P5361" s="163"/>
      <c r="Q5361" s="163"/>
      <c r="R5361" s="163"/>
      <c r="S5361" s="161"/>
      <c r="T5361" s="161"/>
      <c r="U5361" s="161"/>
      <c r="V5361" s="161"/>
      <c r="W5361" s="161"/>
      <c r="X5361" s="161"/>
      <c r="Y5361" s="161"/>
      <c r="Z5361" s="168"/>
      <c r="AA5361" s="168"/>
      <c r="AB5361" s="168"/>
      <c r="AC5361" s="168"/>
    </row>
    <row r="5362">
      <c r="A5362" s="161"/>
      <c r="B5362" s="161"/>
      <c r="C5362" s="162"/>
      <c r="D5362" s="163"/>
      <c r="E5362" s="164" t="str">
        <f>IFERROR(__xludf.DUMMYFUNCTION("""COMPUTED_VALUE"""),"")</f>
        <v/>
      </c>
      <c r="F5362" s="163"/>
      <c r="G5362" s="163"/>
      <c r="H5362" s="163"/>
      <c r="I5362" s="163"/>
      <c r="J5362" s="165"/>
      <c r="K5362" s="165"/>
      <c r="L5362" s="165"/>
      <c r="M5362" s="166"/>
      <c r="N5362" s="167"/>
      <c r="O5362" s="163"/>
      <c r="P5362" s="163"/>
      <c r="Q5362" s="163"/>
      <c r="R5362" s="163"/>
      <c r="S5362" s="161"/>
      <c r="T5362" s="161"/>
      <c r="U5362" s="161"/>
      <c r="V5362" s="161"/>
      <c r="W5362" s="161"/>
      <c r="X5362" s="161"/>
      <c r="Y5362" s="161"/>
      <c r="Z5362" s="168"/>
      <c r="AA5362" s="168"/>
      <c r="AB5362" s="168"/>
      <c r="AC5362" s="168"/>
    </row>
    <row r="5363">
      <c r="A5363" s="161"/>
      <c r="B5363" s="161"/>
      <c r="C5363" s="162"/>
      <c r="D5363" s="163"/>
      <c r="E5363" s="164" t="str">
        <f>IFERROR(__xludf.DUMMYFUNCTION("""COMPUTED_VALUE"""),"")</f>
        <v/>
      </c>
      <c r="F5363" s="163"/>
      <c r="G5363" s="163"/>
      <c r="H5363" s="163"/>
      <c r="I5363" s="163"/>
      <c r="J5363" s="165"/>
      <c r="K5363" s="165"/>
      <c r="L5363" s="165"/>
      <c r="M5363" s="166"/>
      <c r="N5363" s="167"/>
      <c r="O5363" s="163"/>
      <c r="P5363" s="163"/>
      <c r="Q5363" s="163"/>
      <c r="R5363" s="163"/>
      <c r="S5363" s="161"/>
      <c r="T5363" s="161"/>
      <c r="U5363" s="161"/>
      <c r="V5363" s="161"/>
      <c r="W5363" s="161"/>
      <c r="X5363" s="161"/>
      <c r="Y5363" s="161"/>
      <c r="Z5363" s="168"/>
      <c r="AA5363" s="168"/>
      <c r="AB5363" s="168"/>
      <c r="AC5363" s="168"/>
    </row>
    <row r="5364">
      <c r="A5364" s="161"/>
      <c r="B5364" s="161"/>
      <c r="C5364" s="162"/>
      <c r="D5364" s="163"/>
      <c r="E5364" s="164" t="str">
        <f>IFERROR(__xludf.DUMMYFUNCTION("""COMPUTED_VALUE"""),"")</f>
        <v/>
      </c>
      <c r="F5364" s="163"/>
      <c r="G5364" s="163"/>
      <c r="H5364" s="163"/>
      <c r="I5364" s="163"/>
      <c r="J5364" s="165"/>
      <c r="K5364" s="165"/>
      <c r="L5364" s="165"/>
      <c r="M5364" s="166"/>
      <c r="N5364" s="167"/>
      <c r="O5364" s="163"/>
      <c r="P5364" s="163"/>
      <c r="Q5364" s="163"/>
      <c r="R5364" s="163"/>
      <c r="S5364" s="161"/>
      <c r="T5364" s="161"/>
      <c r="U5364" s="161"/>
      <c r="V5364" s="161"/>
      <c r="W5364" s="161"/>
      <c r="X5364" s="161"/>
      <c r="Y5364" s="161"/>
      <c r="Z5364" s="168"/>
      <c r="AA5364" s="168"/>
      <c r="AB5364" s="168"/>
      <c r="AC5364" s="168"/>
    </row>
    <row r="5365">
      <c r="A5365" s="161"/>
      <c r="B5365" s="161"/>
      <c r="C5365" s="162"/>
      <c r="D5365" s="163"/>
      <c r="E5365" s="164" t="str">
        <f>IFERROR(__xludf.DUMMYFUNCTION("""COMPUTED_VALUE"""),"")</f>
        <v/>
      </c>
      <c r="F5365" s="163"/>
      <c r="G5365" s="163"/>
      <c r="H5365" s="163"/>
      <c r="I5365" s="163"/>
      <c r="J5365" s="165"/>
      <c r="K5365" s="165"/>
      <c r="L5365" s="165"/>
      <c r="M5365" s="166"/>
      <c r="N5365" s="167"/>
      <c r="O5365" s="163"/>
      <c r="P5365" s="163"/>
      <c r="Q5365" s="163"/>
      <c r="R5365" s="163"/>
      <c r="S5365" s="161"/>
      <c r="T5365" s="161"/>
      <c r="U5365" s="161"/>
      <c r="V5365" s="161"/>
      <c r="W5365" s="161"/>
      <c r="X5365" s="161"/>
      <c r="Y5365" s="161"/>
      <c r="Z5365" s="168"/>
      <c r="AA5365" s="168"/>
      <c r="AB5365" s="168"/>
      <c r="AC5365" s="168"/>
    </row>
    <row r="5366">
      <c r="A5366" s="161"/>
      <c r="B5366" s="161"/>
      <c r="C5366" s="162"/>
      <c r="D5366" s="163"/>
      <c r="E5366" s="164" t="str">
        <f>IFERROR(__xludf.DUMMYFUNCTION("""COMPUTED_VALUE"""),"")</f>
        <v/>
      </c>
      <c r="F5366" s="163"/>
      <c r="G5366" s="163"/>
      <c r="H5366" s="163"/>
      <c r="I5366" s="163"/>
      <c r="J5366" s="165"/>
      <c r="K5366" s="165"/>
      <c r="L5366" s="165"/>
      <c r="M5366" s="166"/>
      <c r="N5366" s="167"/>
      <c r="O5366" s="163"/>
      <c r="P5366" s="163"/>
      <c r="Q5366" s="163"/>
      <c r="R5366" s="163"/>
      <c r="S5366" s="161"/>
      <c r="T5366" s="161"/>
      <c r="U5366" s="161"/>
      <c r="V5366" s="161"/>
      <c r="W5366" s="161"/>
      <c r="X5366" s="161"/>
      <c r="Y5366" s="161"/>
      <c r="Z5366" s="168"/>
      <c r="AA5366" s="168"/>
      <c r="AB5366" s="168"/>
      <c r="AC5366" s="168"/>
    </row>
    <row r="5367">
      <c r="A5367" s="161"/>
      <c r="B5367" s="161"/>
      <c r="C5367" s="162"/>
      <c r="D5367" s="163"/>
      <c r="E5367" s="164" t="str">
        <f>IFERROR(__xludf.DUMMYFUNCTION("""COMPUTED_VALUE"""),"")</f>
        <v/>
      </c>
      <c r="F5367" s="163"/>
      <c r="G5367" s="163"/>
      <c r="H5367" s="163"/>
      <c r="I5367" s="163"/>
      <c r="J5367" s="165"/>
      <c r="K5367" s="165"/>
      <c r="L5367" s="165"/>
      <c r="M5367" s="166"/>
      <c r="N5367" s="167"/>
      <c r="O5367" s="163"/>
      <c r="P5367" s="163"/>
      <c r="Q5367" s="163"/>
      <c r="R5367" s="163"/>
      <c r="S5367" s="161"/>
      <c r="T5367" s="161"/>
      <c r="U5367" s="161"/>
      <c r="V5367" s="161"/>
      <c r="W5367" s="161"/>
      <c r="X5367" s="161"/>
      <c r="Y5367" s="161"/>
      <c r="Z5367" s="168"/>
      <c r="AA5367" s="168"/>
      <c r="AB5367" s="168"/>
      <c r="AC5367" s="168"/>
    </row>
    <row r="5368">
      <c r="A5368" s="161"/>
      <c r="B5368" s="161"/>
      <c r="C5368" s="162"/>
      <c r="D5368" s="163"/>
      <c r="E5368" s="164" t="str">
        <f>IFERROR(__xludf.DUMMYFUNCTION("""COMPUTED_VALUE"""),"")</f>
        <v/>
      </c>
      <c r="F5368" s="163"/>
      <c r="G5368" s="163"/>
      <c r="H5368" s="163"/>
      <c r="I5368" s="163"/>
      <c r="J5368" s="165"/>
      <c r="K5368" s="165"/>
      <c r="L5368" s="165"/>
      <c r="M5368" s="166"/>
      <c r="N5368" s="167"/>
      <c r="O5368" s="163"/>
      <c r="P5368" s="163"/>
      <c r="Q5368" s="163"/>
      <c r="R5368" s="163"/>
      <c r="S5368" s="161"/>
      <c r="T5368" s="161"/>
      <c r="U5368" s="161"/>
      <c r="V5368" s="161"/>
      <c r="W5368" s="161"/>
      <c r="X5368" s="161"/>
      <c r="Y5368" s="161"/>
      <c r="Z5368" s="168"/>
      <c r="AA5368" s="168"/>
      <c r="AB5368" s="168"/>
      <c r="AC5368" s="168"/>
    </row>
    <row r="5369">
      <c r="A5369" s="161"/>
      <c r="B5369" s="161"/>
      <c r="C5369" s="162"/>
      <c r="D5369" s="163"/>
      <c r="E5369" s="164" t="str">
        <f>IFERROR(__xludf.DUMMYFUNCTION("""COMPUTED_VALUE"""),"")</f>
        <v/>
      </c>
      <c r="F5369" s="163"/>
      <c r="G5369" s="163"/>
      <c r="H5369" s="163"/>
      <c r="I5369" s="163"/>
      <c r="J5369" s="165"/>
      <c r="K5369" s="165"/>
      <c r="L5369" s="165"/>
      <c r="M5369" s="166"/>
      <c r="N5369" s="167"/>
      <c r="O5369" s="163"/>
      <c r="P5369" s="163"/>
      <c r="Q5369" s="163"/>
      <c r="R5369" s="163"/>
      <c r="S5369" s="161"/>
      <c r="T5369" s="161"/>
      <c r="U5369" s="161"/>
      <c r="V5369" s="161"/>
      <c r="W5369" s="161"/>
      <c r="X5369" s="161"/>
      <c r="Y5369" s="161"/>
      <c r="Z5369" s="168"/>
      <c r="AA5369" s="168"/>
      <c r="AB5369" s="168"/>
      <c r="AC5369" s="168"/>
    </row>
    <row r="5370">
      <c r="A5370" s="161"/>
      <c r="B5370" s="161"/>
      <c r="C5370" s="162"/>
      <c r="D5370" s="163"/>
      <c r="E5370" s="164" t="str">
        <f>IFERROR(__xludf.DUMMYFUNCTION("""COMPUTED_VALUE"""),"")</f>
        <v/>
      </c>
      <c r="F5370" s="163"/>
      <c r="G5370" s="163"/>
      <c r="H5370" s="163"/>
      <c r="I5370" s="163"/>
      <c r="J5370" s="165"/>
      <c r="K5370" s="165"/>
      <c r="L5370" s="165"/>
      <c r="M5370" s="166"/>
      <c r="N5370" s="167"/>
      <c r="O5370" s="163"/>
      <c r="P5370" s="163"/>
      <c r="Q5370" s="163"/>
      <c r="R5370" s="163"/>
      <c r="S5370" s="161"/>
      <c r="T5370" s="161"/>
      <c r="U5370" s="161"/>
      <c r="V5370" s="161"/>
      <c r="W5370" s="161"/>
      <c r="X5370" s="161"/>
      <c r="Y5370" s="161"/>
      <c r="Z5370" s="168"/>
      <c r="AA5370" s="168"/>
      <c r="AB5370" s="168"/>
      <c r="AC5370" s="168"/>
    </row>
    <row r="5371">
      <c r="A5371" s="161"/>
      <c r="B5371" s="161"/>
      <c r="C5371" s="162"/>
      <c r="D5371" s="163"/>
      <c r="E5371" s="164" t="str">
        <f>IFERROR(__xludf.DUMMYFUNCTION("""COMPUTED_VALUE"""),"")</f>
        <v/>
      </c>
      <c r="F5371" s="163"/>
      <c r="G5371" s="163"/>
      <c r="H5371" s="163"/>
      <c r="I5371" s="163"/>
      <c r="J5371" s="165"/>
      <c r="K5371" s="165"/>
      <c r="L5371" s="165"/>
      <c r="M5371" s="166"/>
      <c r="N5371" s="167"/>
      <c r="O5371" s="163"/>
      <c r="P5371" s="163"/>
      <c r="Q5371" s="163"/>
      <c r="R5371" s="163"/>
      <c r="S5371" s="161"/>
      <c r="T5371" s="161"/>
      <c r="U5371" s="161"/>
      <c r="V5371" s="161"/>
      <c r="W5371" s="161"/>
      <c r="X5371" s="161"/>
      <c r="Y5371" s="161"/>
      <c r="Z5371" s="168"/>
      <c r="AA5371" s="168"/>
      <c r="AB5371" s="168"/>
      <c r="AC5371" s="168"/>
    </row>
    <row r="5372">
      <c r="A5372" s="161"/>
      <c r="B5372" s="161"/>
      <c r="C5372" s="162"/>
      <c r="D5372" s="163"/>
      <c r="E5372" s="164" t="str">
        <f>IFERROR(__xludf.DUMMYFUNCTION("""COMPUTED_VALUE"""),"")</f>
        <v/>
      </c>
      <c r="F5372" s="163"/>
      <c r="G5372" s="163"/>
      <c r="H5372" s="163"/>
      <c r="I5372" s="163"/>
      <c r="J5372" s="165"/>
      <c r="K5372" s="165"/>
      <c r="L5372" s="165"/>
      <c r="M5372" s="166"/>
      <c r="N5372" s="167"/>
      <c r="O5372" s="163"/>
      <c r="P5372" s="163"/>
      <c r="Q5372" s="163"/>
      <c r="R5372" s="163"/>
      <c r="S5372" s="161"/>
      <c r="T5372" s="161"/>
      <c r="U5372" s="161"/>
      <c r="V5372" s="161"/>
      <c r="W5372" s="161"/>
      <c r="X5372" s="161"/>
      <c r="Y5372" s="161"/>
      <c r="Z5372" s="168"/>
      <c r="AA5372" s="168"/>
      <c r="AB5372" s="168"/>
      <c r="AC5372" s="168"/>
    </row>
    <row r="5373">
      <c r="A5373" s="161"/>
      <c r="B5373" s="161"/>
      <c r="C5373" s="162"/>
      <c r="D5373" s="163"/>
      <c r="E5373" s="164" t="str">
        <f>IFERROR(__xludf.DUMMYFUNCTION("""COMPUTED_VALUE"""),"")</f>
        <v/>
      </c>
      <c r="F5373" s="163"/>
      <c r="G5373" s="163"/>
      <c r="H5373" s="163"/>
      <c r="I5373" s="163"/>
      <c r="J5373" s="165"/>
      <c r="K5373" s="165"/>
      <c r="L5373" s="165"/>
      <c r="M5373" s="166"/>
      <c r="N5373" s="167"/>
      <c r="O5373" s="163"/>
      <c r="P5373" s="163"/>
      <c r="Q5373" s="163"/>
      <c r="R5373" s="163"/>
      <c r="S5373" s="161"/>
      <c r="T5373" s="161"/>
      <c r="U5373" s="161"/>
      <c r="V5373" s="161"/>
      <c r="W5373" s="161"/>
      <c r="X5373" s="161"/>
      <c r="Y5373" s="161"/>
      <c r="Z5373" s="168"/>
      <c r="AA5373" s="168"/>
      <c r="AB5373" s="168"/>
      <c r="AC5373" s="168"/>
    </row>
    <row r="5374">
      <c r="A5374" s="161"/>
      <c r="B5374" s="161"/>
      <c r="C5374" s="162"/>
      <c r="D5374" s="163"/>
      <c r="E5374" s="164" t="str">
        <f>IFERROR(__xludf.DUMMYFUNCTION("""COMPUTED_VALUE"""),"")</f>
        <v/>
      </c>
      <c r="F5374" s="163"/>
      <c r="G5374" s="163"/>
      <c r="H5374" s="163"/>
      <c r="I5374" s="163"/>
      <c r="J5374" s="165"/>
      <c r="K5374" s="165"/>
      <c r="L5374" s="165"/>
      <c r="M5374" s="166"/>
      <c r="N5374" s="167"/>
      <c r="O5374" s="163"/>
      <c r="P5374" s="163"/>
      <c r="Q5374" s="163"/>
      <c r="R5374" s="163"/>
      <c r="S5374" s="161"/>
      <c r="T5374" s="161"/>
      <c r="U5374" s="161"/>
      <c r="V5374" s="161"/>
      <c r="W5374" s="161"/>
      <c r="X5374" s="161"/>
      <c r="Y5374" s="161"/>
      <c r="Z5374" s="168"/>
      <c r="AA5374" s="168"/>
      <c r="AB5374" s="168"/>
      <c r="AC5374" s="168"/>
    </row>
    <row r="5375">
      <c r="A5375" s="161"/>
      <c r="B5375" s="161"/>
      <c r="C5375" s="162"/>
      <c r="D5375" s="163"/>
      <c r="E5375" s="164" t="str">
        <f>IFERROR(__xludf.DUMMYFUNCTION("""COMPUTED_VALUE"""),"")</f>
        <v/>
      </c>
      <c r="F5375" s="163"/>
      <c r="G5375" s="163"/>
      <c r="H5375" s="163"/>
      <c r="I5375" s="163"/>
      <c r="J5375" s="165"/>
      <c r="K5375" s="165"/>
      <c r="L5375" s="165"/>
      <c r="M5375" s="166"/>
      <c r="N5375" s="167"/>
      <c r="O5375" s="163"/>
      <c r="P5375" s="163"/>
      <c r="Q5375" s="163"/>
      <c r="R5375" s="163"/>
      <c r="S5375" s="161"/>
      <c r="T5375" s="161"/>
      <c r="U5375" s="161"/>
      <c r="V5375" s="161"/>
      <c r="W5375" s="161"/>
      <c r="X5375" s="161"/>
      <c r="Y5375" s="161"/>
      <c r="Z5375" s="168"/>
      <c r="AA5375" s="168"/>
      <c r="AB5375" s="168"/>
      <c r="AC5375" s="168"/>
    </row>
    <row r="5376">
      <c r="A5376" s="161"/>
      <c r="B5376" s="161"/>
      <c r="C5376" s="162"/>
      <c r="D5376" s="163"/>
      <c r="E5376" s="164" t="str">
        <f>IFERROR(__xludf.DUMMYFUNCTION("""COMPUTED_VALUE"""),"")</f>
        <v/>
      </c>
      <c r="F5376" s="163"/>
      <c r="G5376" s="163"/>
      <c r="H5376" s="163"/>
      <c r="I5376" s="163"/>
      <c r="J5376" s="165"/>
      <c r="K5376" s="165"/>
      <c r="L5376" s="165"/>
      <c r="M5376" s="166"/>
      <c r="N5376" s="167"/>
      <c r="O5376" s="163"/>
      <c r="P5376" s="163"/>
      <c r="Q5376" s="163"/>
      <c r="R5376" s="163"/>
      <c r="S5376" s="161"/>
      <c r="T5376" s="161"/>
      <c r="U5376" s="161"/>
      <c r="V5376" s="161"/>
      <c r="W5376" s="161"/>
      <c r="X5376" s="161"/>
      <c r="Y5376" s="161"/>
      <c r="Z5376" s="168"/>
      <c r="AA5376" s="168"/>
      <c r="AB5376" s="168"/>
      <c r="AC5376" s="168"/>
    </row>
    <row r="5377">
      <c r="A5377" s="161"/>
      <c r="B5377" s="161"/>
      <c r="C5377" s="162"/>
      <c r="D5377" s="163"/>
      <c r="E5377" s="164" t="str">
        <f>IFERROR(__xludf.DUMMYFUNCTION("""COMPUTED_VALUE"""),"")</f>
        <v/>
      </c>
      <c r="F5377" s="163"/>
      <c r="G5377" s="163"/>
      <c r="H5377" s="163"/>
      <c r="I5377" s="163"/>
      <c r="J5377" s="165"/>
      <c r="K5377" s="165"/>
      <c r="L5377" s="165"/>
      <c r="M5377" s="166"/>
      <c r="N5377" s="167"/>
      <c r="O5377" s="163"/>
      <c r="P5377" s="163"/>
      <c r="Q5377" s="163"/>
      <c r="R5377" s="163"/>
      <c r="S5377" s="161"/>
      <c r="T5377" s="161"/>
      <c r="U5377" s="161"/>
      <c r="V5377" s="161"/>
      <c r="W5377" s="161"/>
      <c r="X5377" s="161"/>
      <c r="Y5377" s="161"/>
      <c r="Z5377" s="168"/>
      <c r="AA5377" s="168"/>
      <c r="AB5377" s="168"/>
      <c r="AC5377" s="168"/>
    </row>
    <row r="5378">
      <c r="A5378" s="161"/>
      <c r="B5378" s="161"/>
      <c r="C5378" s="162"/>
      <c r="D5378" s="163"/>
      <c r="E5378" s="164" t="str">
        <f>IFERROR(__xludf.DUMMYFUNCTION("""COMPUTED_VALUE"""),"")</f>
        <v/>
      </c>
      <c r="F5378" s="163"/>
      <c r="G5378" s="163"/>
      <c r="H5378" s="163"/>
      <c r="I5378" s="163"/>
      <c r="J5378" s="165"/>
      <c r="K5378" s="165"/>
      <c r="L5378" s="165"/>
      <c r="M5378" s="166"/>
      <c r="N5378" s="167"/>
      <c r="O5378" s="163"/>
      <c r="P5378" s="163"/>
      <c r="Q5378" s="163"/>
      <c r="R5378" s="163"/>
      <c r="S5378" s="161"/>
      <c r="T5378" s="161"/>
      <c r="U5378" s="161"/>
      <c r="V5378" s="161"/>
      <c r="W5378" s="161"/>
      <c r="X5378" s="161"/>
      <c r="Y5378" s="161"/>
      <c r="Z5378" s="168"/>
      <c r="AA5378" s="168"/>
      <c r="AB5378" s="168"/>
      <c r="AC5378" s="168"/>
    </row>
    <row r="5379">
      <c r="A5379" s="161"/>
      <c r="B5379" s="161"/>
      <c r="C5379" s="162"/>
      <c r="D5379" s="163"/>
      <c r="E5379" s="164" t="str">
        <f>IFERROR(__xludf.DUMMYFUNCTION("""COMPUTED_VALUE"""),"")</f>
        <v/>
      </c>
      <c r="F5379" s="163"/>
      <c r="G5379" s="163"/>
      <c r="H5379" s="163"/>
      <c r="I5379" s="163"/>
      <c r="J5379" s="165"/>
      <c r="K5379" s="165"/>
      <c r="L5379" s="165"/>
      <c r="M5379" s="166"/>
      <c r="N5379" s="167"/>
      <c r="O5379" s="163"/>
      <c r="P5379" s="163"/>
      <c r="Q5379" s="163"/>
      <c r="R5379" s="163"/>
      <c r="S5379" s="161"/>
      <c r="T5379" s="161"/>
      <c r="U5379" s="161"/>
      <c r="V5379" s="161"/>
      <c r="W5379" s="161"/>
      <c r="X5379" s="161"/>
      <c r="Y5379" s="161"/>
      <c r="Z5379" s="168"/>
      <c r="AA5379" s="168"/>
      <c r="AB5379" s="168"/>
      <c r="AC5379" s="168"/>
    </row>
    <row r="5380">
      <c r="A5380" s="161"/>
      <c r="B5380" s="161"/>
      <c r="C5380" s="162"/>
      <c r="D5380" s="163"/>
      <c r="E5380" s="164" t="str">
        <f>IFERROR(__xludf.DUMMYFUNCTION("""COMPUTED_VALUE"""),"")</f>
        <v/>
      </c>
      <c r="F5380" s="163"/>
      <c r="G5380" s="163"/>
      <c r="H5380" s="163"/>
      <c r="I5380" s="163"/>
      <c r="J5380" s="165"/>
      <c r="K5380" s="165"/>
      <c r="L5380" s="165"/>
      <c r="M5380" s="166"/>
      <c r="N5380" s="167"/>
      <c r="O5380" s="163"/>
      <c r="P5380" s="163"/>
      <c r="Q5380" s="163"/>
      <c r="R5380" s="163"/>
      <c r="S5380" s="161"/>
      <c r="T5380" s="161"/>
      <c r="U5380" s="161"/>
      <c r="V5380" s="161"/>
      <c r="W5380" s="161"/>
      <c r="X5380" s="161"/>
      <c r="Y5380" s="161"/>
      <c r="Z5380" s="168"/>
      <c r="AA5380" s="168"/>
      <c r="AB5380" s="168"/>
      <c r="AC5380" s="168"/>
    </row>
    <row r="5381">
      <c r="A5381" s="161"/>
      <c r="B5381" s="161"/>
      <c r="C5381" s="162"/>
      <c r="D5381" s="163"/>
      <c r="E5381" s="164" t="str">
        <f>IFERROR(__xludf.DUMMYFUNCTION("""COMPUTED_VALUE"""),"")</f>
        <v/>
      </c>
      <c r="F5381" s="163"/>
      <c r="G5381" s="163"/>
      <c r="H5381" s="163"/>
      <c r="I5381" s="163"/>
      <c r="J5381" s="165"/>
      <c r="K5381" s="165"/>
      <c r="L5381" s="165"/>
      <c r="M5381" s="166"/>
      <c r="N5381" s="167"/>
      <c r="O5381" s="163"/>
      <c r="P5381" s="163"/>
      <c r="Q5381" s="163"/>
      <c r="R5381" s="163"/>
      <c r="S5381" s="161"/>
      <c r="T5381" s="161"/>
      <c r="U5381" s="161"/>
      <c r="V5381" s="161"/>
      <c r="W5381" s="161"/>
      <c r="X5381" s="161"/>
      <c r="Y5381" s="161"/>
      <c r="Z5381" s="168"/>
      <c r="AA5381" s="168"/>
      <c r="AB5381" s="168"/>
      <c r="AC5381" s="168"/>
    </row>
    <row r="5382">
      <c r="A5382" s="161"/>
      <c r="B5382" s="161"/>
      <c r="C5382" s="162"/>
      <c r="D5382" s="163"/>
      <c r="E5382" s="164" t="str">
        <f>IFERROR(__xludf.DUMMYFUNCTION("""COMPUTED_VALUE"""),"")</f>
        <v/>
      </c>
      <c r="F5382" s="163"/>
      <c r="G5382" s="163"/>
      <c r="H5382" s="163"/>
      <c r="I5382" s="163"/>
      <c r="J5382" s="165"/>
      <c r="K5382" s="165"/>
      <c r="L5382" s="165"/>
      <c r="M5382" s="166"/>
      <c r="N5382" s="167"/>
      <c r="O5382" s="163"/>
      <c r="P5382" s="163"/>
      <c r="Q5382" s="163"/>
      <c r="R5382" s="163"/>
      <c r="S5382" s="161"/>
      <c r="T5382" s="161"/>
      <c r="U5382" s="161"/>
      <c r="V5382" s="161"/>
      <c r="W5382" s="161"/>
      <c r="X5382" s="161"/>
      <c r="Y5382" s="161"/>
      <c r="Z5382" s="168"/>
      <c r="AA5382" s="168"/>
      <c r="AB5382" s="168"/>
      <c r="AC5382" s="168"/>
    </row>
    <row r="5383">
      <c r="A5383" s="161"/>
      <c r="B5383" s="161"/>
      <c r="C5383" s="162"/>
      <c r="D5383" s="163"/>
      <c r="E5383" s="164" t="str">
        <f>IFERROR(__xludf.DUMMYFUNCTION("""COMPUTED_VALUE"""),"")</f>
        <v/>
      </c>
      <c r="F5383" s="163"/>
      <c r="G5383" s="163"/>
      <c r="H5383" s="163"/>
      <c r="I5383" s="163"/>
      <c r="J5383" s="165"/>
      <c r="K5383" s="165"/>
      <c r="L5383" s="165"/>
      <c r="M5383" s="166"/>
      <c r="N5383" s="167"/>
      <c r="O5383" s="163"/>
      <c r="P5383" s="163"/>
      <c r="Q5383" s="163"/>
      <c r="R5383" s="163"/>
      <c r="S5383" s="161"/>
      <c r="T5383" s="161"/>
      <c r="U5383" s="161"/>
      <c r="V5383" s="161"/>
      <c r="W5383" s="161"/>
      <c r="X5383" s="161"/>
      <c r="Y5383" s="161"/>
      <c r="Z5383" s="168"/>
      <c r="AA5383" s="168"/>
      <c r="AB5383" s="168"/>
      <c r="AC5383" s="168"/>
    </row>
    <row r="5384">
      <c r="A5384" s="161"/>
      <c r="B5384" s="161"/>
      <c r="C5384" s="162"/>
      <c r="D5384" s="163"/>
      <c r="E5384" s="164" t="str">
        <f>IFERROR(__xludf.DUMMYFUNCTION("""COMPUTED_VALUE"""),"")</f>
        <v/>
      </c>
      <c r="F5384" s="163"/>
      <c r="G5384" s="163"/>
      <c r="H5384" s="163"/>
      <c r="I5384" s="163"/>
      <c r="J5384" s="165"/>
      <c r="K5384" s="165"/>
      <c r="L5384" s="165"/>
      <c r="M5384" s="166"/>
      <c r="N5384" s="167"/>
      <c r="O5384" s="163"/>
      <c r="P5384" s="163"/>
      <c r="Q5384" s="163"/>
      <c r="R5384" s="163"/>
      <c r="S5384" s="161"/>
      <c r="T5384" s="161"/>
      <c r="U5384" s="161"/>
      <c r="V5384" s="161"/>
      <c r="W5384" s="161"/>
      <c r="X5384" s="161"/>
      <c r="Y5384" s="161"/>
      <c r="Z5384" s="168"/>
      <c r="AA5384" s="168"/>
      <c r="AB5384" s="168"/>
      <c r="AC5384" s="168"/>
    </row>
    <row r="5385">
      <c r="A5385" s="161"/>
      <c r="B5385" s="161"/>
      <c r="C5385" s="162"/>
      <c r="D5385" s="163"/>
      <c r="E5385" s="164" t="str">
        <f>IFERROR(__xludf.DUMMYFUNCTION("""COMPUTED_VALUE"""),"")</f>
        <v/>
      </c>
      <c r="F5385" s="163"/>
      <c r="G5385" s="163"/>
      <c r="H5385" s="163"/>
      <c r="I5385" s="163"/>
      <c r="J5385" s="165"/>
      <c r="K5385" s="165"/>
      <c r="L5385" s="165"/>
      <c r="M5385" s="166"/>
      <c r="N5385" s="167"/>
      <c r="O5385" s="163"/>
      <c r="P5385" s="163"/>
      <c r="Q5385" s="163"/>
      <c r="R5385" s="163"/>
      <c r="S5385" s="161"/>
      <c r="T5385" s="161"/>
      <c r="U5385" s="161"/>
      <c r="V5385" s="161"/>
      <c r="W5385" s="161"/>
      <c r="X5385" s="161"/>
      <c r="Y5385" s="161"/>
      <c r="Z5385" s="168"/>
      <c r="AA5385" s="168"/>
      <c r="AB5385" s="168"/>
      <c r="AC5385" s="168"/>
    </row>
    <row r="5386">
      <c r="A5386" s="161"/>
      <c r="B5386" s="161"/>
      <c r="C5386" s="162"/>
      <c r="D5386" s="163"/>
      <c r="E5386" s="164" t="str">
        <f>IFERROR(__xludf.DUMMYFUNCTION("""COMPUTED_VALUE"""),"")</f>
        <v/>
      </c>
      <c r="F5386" s="163"/>
      <c r="G5386" s="163"/>
      <c r="H5386" s="163"/>
      <c r="I5386" s="163"/>
      <c r="J5386" s="165"/>
      <c r="K5386" s="165"/>
      <c r="L5386" s="165"/>
      <c r="M5386" s="166"/>
      <c r="N5386" s="167"/>
      <c r="O5386" s="163"/>
      <c r="P5386" s="163"/>
      <c r="Q5386" s="163"/>
      <c r="R5386" s="163"/>
      <c r="S5386" s="161"/>
      <c r="T5386" s="161"/>
      <c r="U5386" s="161"/>
      <c r="V5386" s="161"/>
      <c r="W5386" s="161"/>
      <c r="X5386" s="161"/>
      <c r="Y5386" s="161"/>
      <c r="Z5386" s="168"/>
      <c r="AA5386" s="168"/>
      <c r="AB5386" s="168"/>
      <c r="AC5386" s="168"/>
    </row>
    <row r="5387">
      <c r="A5387" s="161"/>
      <c r="B5387" s="161"/>
      <c r="C5387" s="162"/>
      <c r="D5387" s="163"/>
      <c r="E5387" s="164" t="str">
        <f>IFERROR(__xludf.DUMMYFUNCTION("""COMPUTED_VALUE"""),"")</f>
        <v/>
      </c>
      <c r="F5387" s="163"/>
      <c r="G5387" s="163"/>
      <c r="H5387" s="163"/>
      <c r="I5387" s="163"/>
      <c r="J5387" s="165"/>
      <c r="K5387" s="165"/>
      <c r="L5387" s="165"/>
      <c r="M5387" s="166"/>
      <c r="N5387" s="167"/>
      <c r="O5387" s="163"/>
      <c r="P5387" s="163"/>
      <c r="Q5387" s="163"/>
      <c r="R5387" s="163"/>
      <c r="S5387" s="161"/>
      <c r="T5387" s="161"/>
      <c r="U5387" s="161"/>
      <c r="V5387" s="161"/>
      <c r="W5387" s="161"/>
      <c r="X5387" s="161"/>
      <c r="Y5387" s="161"/>
      <c r="Z5387" s="168"/>
      <c r="AA5387" s="168"/>
      <c r="AB5387" s="168"/>
      <c r="AC5387" s="168"/>
    </row>
    <row r="5388">
      <c r="A5388" s="161"/>
      <c r="B5388" s="161"/>
      <c r="C5388" s="162"/>
      <c r="D5388" s="163"/>
      <c r="E5388" s="164" t="str">
        <f>IFERROR(__xludf.DUMMYFUNCTION("""COMPUTED_VALUE"""),"")</f>
        <v/>
      </c>
      <c r="F5388" s="163"/>
      <c r="G5388" s="163"/>
      <c r="H5388" s="163"/>
      <c r="I5388" s="163"/>
      <c r="J5388" s="165"/>
      <c r="K5388" s="165"/>
      <c r="L5388" s="165"/>
      <c r="M5388" s="166"/>
      <c r="N5388" s="167"/>
      <c r="O5388" s="163"/>
      <c r="P5388" s="163"/>
      <c r="Q5388" s="163"/>
      <c r="R5388" s="163"/>
      <c r="S5388" s="161"/>
      <c r="T5388" s="161"/>
      <c r="U5388" s="161"/>
      <c r="V5388" s="161"/>
      <c r="W5388" s="161"/>
      <c r="X5388" s="161"/>
      <c r="Y5388" s="161"/>
      <c r="Z5388" s="168"/>
      <c r="AA5388" s="168"/>
      <c r="AB5388" s="168"/>
      <c r="AC5388" s="168"/>
    </row>
    <row r="5389">
      <c r="A5389" s="161"/>
      <c r="B5389" s="161"/>
      <c r="C5389" s="162"/>
      <c r="D5389" s="163"/>
      <c r="E5389" s="164" t="str">
        <f>IFERROR(__xludf.DUMMYFUNCTION("""COMPUTED_VALUE"""),"")</f>
        <v/>
      </c>
      <c r="F5389" s="163"/>
      <c r="G5389" s="163"/>
      <c r="H5389" s="163"/>
      <c r="I5389" s="163"/>
      <c r="J5389" s="165"/>
      <c r="K5389" s="165"/>
      <c r="L5389" s="165"/>
      <c r="M5389" s="166"/>
      <c r="N5389" s="167"/>
      <c r="O5389" s="163"/>
      <c r="P5389" s="163"/>
      <c r="Q5389" s="163"/>
      <c r="R5389" s="163"/>
      <c r="S5389" s="161"/>
      <c r="T5389" s="161"/>
      <c r="U5389" s="161"/>
      <c r="V5389" s="161"/>
      <c r="W5389" s="161"/>
      <c r="X5389" s="161"/>
      <c r="Y5389" s="161"/>
      <c r="Z5389" s="168"/>
      <c r="AA5389" s="168"/>
      <c r="AB5389" s="168"/>
      <c r="AC5389" s="168"/>
    </row>
    <row r="5390">
      <c r="A5390" s="161"/>
      <c r="B5390" s="161"/>
      <c r="C5390" s="162"/>
      <c r="D5390" s="163"/>
      <c r="E5390" s="164" t="str">
        <f>IFERROR(__xludf.DUMMYFUNCTION("""COMPUTED_VALUE"""),"")</f>
        <v/>
      </c>
      <c r="F5390" s="163"/>
      <c r="G5390" s="163"/>
      <c r="H5390" s="163"/>
      <c r="I5390" s="163"/>
      <c r="J5390" s="165"/>
      <c r="K5390" s="165"/>
      <c r="L5390" s="165"/>
      <c r="M5390" s="166"/>
      <c r="N5390" s="167"/>
      <c r="O5390" s="163"/>
      <c r="P5390" s="163"/>
      <c r="Q5390" s="163"/>
      <c r="R5390" s="163"/>
      <c r="S5390" s="161"/>
      <c r="T5390" s="161"/>
      <c r="U5390" s="161"/>
      <c r="V5390" s="161"/>
      <c r="W5390" s="161"/>
      <c r="X5390" s="161"/>
      <c r="Y5390" s="161"/>
      <c r="Z5390" s="168"/>
      <c r="AA5390" s="168"/>
      <c r="AB5390" s="168"/>
      <c r="AC5390" s="168"/>
    </row>
    <row r="5391">
      <c r="A5391" s="161"/>
      <c r="B5391" s="161"/>
      <c r="C5391" s="162"/>
      <c r="D5391" s="163"/>
      <c r="E5391" s="164" t="str">
        <f>IFERROR(__xludf.DUMMYFUNCTION("""COMPUTED_VALUE"""),"")</f>
        <v/>
      </c>
      <c r="F5391" s="163"/>
      <c r="G5391" s="163"/>
      <c r="H5391" s="163"/>
      <c r="I5391" s="163"/>
      <c r="J5391" s="165"/>
      <c r="K5391" s="165"/>
      <c r="L5391" s="165"/>
      <c r="M5391" s="166"/>
      <c r="N5391" s="167"/>
      <c r="O5391" s="163"/>
      <c r="P5391" s="163"/>
      <c r="Q5391" s="163"/>
      <c r="R5391" s="163"/>
      <c r="S5391" s="161"/>
      <c r="T5391" s="161"/>
      <c r="U5391" s="161"/>
      <c r="V5391" s="161"/>
      <c r="W5391" s="161"/>
      <c r="X5391" s="161"/>
      <c r="Y5391" s="161"/>
      <c r="Z5391" s="168"/>
      <c r="AA5391" s="168"/>
      <c r="AB5391" s="168"/>
      <c r="AC5391" s="168"/>
    </row>
    <row r="5392">
      <c r="A5392" s="161"/>
      <c r="B5392" s="161"/>
      <c r="C5392" s="162"/>
      <c r="D5392" s="163"/>
      <c r="E5392" s="164" t="str">
        <f>IFERROR(__xludf.DUMMYFUNCTION("""COMPUTED_VALUE"""),"")</f>
        <v/>
      </c>
      <c r="F5392" s="163"/>
      <c r="G5392" s="163"/>
      <c r="H5392" s="163"/>
      <c r="I5392" s="163"/>
      <c r="J5392" s="165"/>
      <c r="K5392" s="165"/>
      <c r="L5392" s="165"/>
      <c r="M5392" s="166"/>
      <c r="N5392" s="167"/>
      <c r="O5392" s="163"/>
      <c r="P5392" s="163"/>
      <c r="Q5392" s="163"/>
      <c r="R5392" s="163"/>
      <c r="S5392" s="161"/>
      <c r="T5392" s="161"/>
      <c r="U5392" s="161"/>
      <c r="V5392" s="161"/>
      <c r="W5392" s="161"/>
      <c r="X5392" s="161"/>
      <c r="Y5392" s="161"/>
      <c r="Z5392" s="168"/>
      <c r="AA5392" s="168"/>
      <c r="AB5392" s="168"/>
      <c r="AC5392" s="168"/>
    </row>
    <row r="5393">
      <c r="A5393" s="161"/>
      <c r="B5393" s="161"/>
      <c r="C5393" s="162"/>
      <c r="D5393" s="163"/>
      <c r="E5393" s="164" t="str">
        <f>IFERROR(__xludf.DUMMYFUNCTION("""COMPUTED_VALUE"""),"")</f>
        <v/>
      </c>
      <c r="F5393" s="163"/>
      <c r="G5393" s="163"/>
      <c r="H5393" s="163"/>
      <c r="I5393" s="163"/>
      <c r="J5393" s="165"/>
      <c r="K5393" s="165"/>
      <c r="L5393" s="165"/>
      <c r="M5393" s="166"/>
      <c r="N5393" s="167"/>
      <c r="O5393" s="163"/>
      <c r="P5393" s="163"/>
      <c r="Q5393" s="163"/>
      <c r="R5393" s="163"/>
      <c r="S5393" s="161"/>
      <c r="T5393" s="161"/>
      <c r="U5393" s="161"/>
      <c r="V5393" s="161"/>
      <c r="W5393" s="161"/>
      <c r="X5393" s="161"/>
      <c r="Y5393" s="161"/>
      <c r="Z5393" s="168"/>
      <c r="AA5393" s="168"/>
      <c r="AB5393" s="168"/>
      <c r="AC5393" s="168"/>
    </row>
    <row r="5394">
      <c r="A5394" s="161"/>
      <c r="B5394" s="161"/>
      <c r="C5394" s="162"/>
      <c r="D5394" s="163"/>
      <c r="E5394" s="164" t="str">
        <f>IFERROR(__xludf.DUMMYFUNCTION("""COMPUTED_VALUE"""),"")</f>
        <v/>
      </c>
      <c r="F5394" s="163"/>
      <c r="G5394" s="163"/>
      <c r="H5394" s="163"/>
      <c r="I5394" s="163"/>
      <c r="J5394" s="165"/>
      <c r="K5394" s="165"/>
      <c r="L5394" s="165"/>
      <c r="M5394" s="166"/>
      <c r="N5394" s="167"/>
      <c r="O5394" s="163"/>
      <c r="P5394" s="163"/>
      <c r="Q5394" s="163"/>
      <c r="R5394" s="163"/>
      <c r="S5394" s="161"/>
      <c r="T5394" s="161"/>
      <c r="U5394" s="161"/>
      <c r="V5394" s="161"/>
      <c r="W5394" s="161"/>
      <c r="X5394" s="161"/>
      <c r="Y5394" s="161"/>
      <c r="Z5394" s="168"/>
      <c r="AA5394" s="168"/>
      <c r="AB5394" s="168"/>
      <c r="AC5394" s="168"/>
    </row>
    <row r="5395">
      <c r="A5395" s="161"/>
      <c r="B5395" s="161"/>
      <c r="C5395" s="162"/>
      <c r="D5395" s="163"/>
      <c r="E5395" s="164" t="str">
        <f>IFERROR(__xludf.DUMMYFUNCTION("""COMPUTED_VALUE"""),"")</f>
        <v/>
      </c>
      <c r="F5395" s="163"/>
      <c r="G5395" s="163"/>
      <c r="H5395" s="163"/>
      <c r="I5395" s="163"/>
      <c r="J5395" s="165"/>
      <c r="K5395" s="165"/>
      <c r="L5395" s="165"/>
      <c r="M5395" s="166"/>
      <c r="N5395" s="167"/>
      <c r="O5395" s="163"/>
      <c r="P5395" s="163"/>
      <c r="Q5395" s="163"/>
      <c r="R5395" s="163"/>
      <c r="S5395" s="161"/>
      <c r="T5395" s="161"/>
      <c r="U5395" s="161"/>
      <c r="V5395" s="161"/>
      <c r="W5395" s="161"/>
      <c r="X5395" s="161"/>
      <c r="Y5395" s="161"/>
      <c r="Z5395" s="168"/>
      <c r="AA5395" s="168"/>
      <c r="AB5395" s="168"/>
      <c r="AC5395" s="168"/>
    </row>
    <row r="5396">
      <c r="A5396" s="161"/>
      <c r="B5396" s="161"/>
      <c r="C5396" s="162"/>
      <c r="D5396" s="163"/>
      <c r="E5396" s="164" t="str">
        <f>IFERROR(__xludf.DUMMYFUNCTION("""COMPUTED_VALUE"""),"")</f>
        <v/>
      </c>
      <c r="F5396" s="163"/>
      <c r="G5396" s="163"/>
      <c r="H5396" s="163"/>
      <c r="I5396" s="163"/>
      <c r="J5396" s="165"/>
      <c r="K5396" s="165"/>
      <c r="L5396" s="165"/>
      <c r="M5396" s="166"/>
      <c r="N5396" s="167"/>
      <c r="O5396" s="163"/>
      <c r="P5396" s="163"/>
      <c r="Q5396" s="163"/>
      <c r="R5396" s="163"/>
      <c r="S5396" s="161"/>
      <c r="T5396" s="161"/>
      <c r="U5396" s="161"/>
      <c r="V5396" s="161"/>
      <c r="W5396" s="161"/>
      <c r="X5396" s="161"/>
      <c r="Y5396" s="161"/>
      <c r="Z5396" s="168"/>
      <c r="AA5396" s="168"/>
      <c r="AB5396" s="168"/>
      <c r="AC5396" s="168"/>
    </row>
    <row r="5397">
      <c r="A5397" s="161"/>
      <c r="B5397" s="161"/>
      <c r="C5397" s="162"/>
      <c r="D5397" s="163"/>
      <c r="E5397" s="164" t="str">
        <f>IFERROR(__xludf.DUMMYFUNCTION("""COMPUTED_VALUE"""),"")</f>
        <v/>
      </c>
      <c r="F5397" s="163"/>
      <c r="G5397" s="163"/>
      <c r="H5397" s="163"/>
      <c r="I5397" s="163"/>
      <c r="J5397" s="165"/>
      <c r="K5397" s="165"/>
      <c r="L5397" s="165"/>
      <c r="M5397" s="166"/>
      <c r="N5397" s="167"/>
      <c r="O5397" s="163"/>
      <c r="P5397" s="163"/>
      <c r="Q5397" s="163"/>
      <c r="R5397" s="163"/>
      <c r="S5397" s="161"/>
      <c r="T5397" s="161"/>
      <c r="U5397" s="161"/>
      <c r="V5397" s="161"/>
      <c r="W5397" s="161"/>
      <c r="X5397" s="161"/>
      <c r="Y5397" s="161"/>
      <c r="Z5397" s="168"/>
      <c r="AA5397" s="168"/>
      <c r="AB5397" s="168"/>
      <c r="AC5397" s="168"/>
    </row>
    <row r="5398">
      <c r="A5398" s="161"/>
      <c r="B5398" s="161"/>
      <c r="C5398" s="162"/>
      <c r="D5398" s="163"/>
      <c r="E5398" s="164" t="str">
        <f>IFERROR(__xludf.DUMMYFUNCTION("""COMPUTED_VALUE"""),"")</f>
        <v/>
      </c>
      <c r="F5398" s="163"/>
      <c r="G5398" s="163"/>
      <c r="H5398" s="163"/>
      <c r="I5398" s="163"/>
      <c r="J5398" s="165"/>
      <c r="K5398" s="165"/>
      <c r="L5398" s="165"/>
      <c r="M5398" s="166"/>
      <c r="N5398" s="167"/>
      <c r="O5398" s="163"/>
      <c r="P5398" s="163"/>
      <c r="Q5398" s="163"/>
      <c r="R5398" s="163"/>
      <c r="S5398" s="161"/>
      <c r="T5398" s="161"/>
      <c r="U5398" s="161"/>
      <c r="V5398" s="161"/>
      <c r="W5398" s="161"/>
      <c r="X5398" s="161"/>
      <c r="Y5398" s="161"/>
      <c r="Z5398" s="168"/>
      <c r="AA5398" s="168"/>
      <c r="AB5398" s="168"/>
      <c r="AC5398" s="168"/>
    </row>
    <row r="5399">
      <c r="A5399" s="161"/>
      <c r="B5399" s="161"/>
      <c r="C5399" s="162"/>
      <c r="D5399" s="163"/>
      <c r="E5399" s="164" t="str">
        <f>IFERROR(__xludf.DUMMYFUNCTION("""COMPUTED_VALUE"""),"")</f>
        <v/>
      </c>
      <c r="F5399" s="163"/>
      <c r="G5399" s="163"/>
      <c r="H5399" s="163"/>
      <c r="I5399" s="163"/>
      <c r="J5399" s="165"/>
      <c r="K5399" s="165"/>
      <c r="L5399" s="165"/>
      <c r="M5399" s="166"/>
      <c r="N5399" s="167"/>
      <c r="O5399" s="163"/>
      <c r="P5399" s="163"/>
      <c r="Q5399" s="163"/>
      <c r="R5399" s="163"/>
      <c r="S5399" s="161"/>
      <c r="T5399" s="161"/>
      <c r="U5399" s="161"/>
      <c r="V5399" s="161"/>
      <c r="W5399" s="161"/>
      <c r="X5399" s="161"/>
      <c r="Y5399" s="161"/>
      <c r="Z5399" s="168"/>
      <c r="AA5399" s="168"/>
      <c r="AB5399" s="168"/>
      <c r="AC5399" s="168"/>
    </row>
    <row r="5400">
      <c r="A5400" s="161"/>
      <c r="B5400" s="161"/>
      <c r="C5400" s="162"/>
      <c r="D5400" s="163"/>
      <c r="E5400" s="164" t="str">
        <f>IFERROR(__xludf.DUMMYFUNCTION("""COMPUTED_VALUE"""),"")</f>
        <v/>
      </c>
      <c r="F5400" s="163"/>
      <c r="G5400" s="163"/>
      <c r="H5400" s="163"/>
      <c r="I5400" s="163"/>
      <c r="J5400" s="165"/>
      <c r="K5400" s="165"/>
      <c r="L5400" s="165"/>
      <c r="M5400" s="166"/>
      <c r="N5400" s="167"/>
      <c r="O5400" s="163"/>
      <c r="P5400" s="163"/>
      <c r="Q5400" s="163"/>
      <c r="R5400" s="163"/>
      <c r="S5400" s="161"/>
      <c r="T5400" s="161"/>
      <c r="U5400" s="161"/>
      <c r="V5400" s="161"/>
      <c r="W5400" s="161"/>
      <c r="X5400" s="161"/>
      <c r="Y5400" s="161"/>
      <c r="Z5400" s="168"/>
      <c r="AA5400" s="168"/>
      <c r="AB5400" s="168"/>
      <c r="AC5400" s="168"/>
    </row>
    <row r="5401">
      <c r="A5401" s="161"/>
      <c r="B5401" s="161"/>
      <c r="C5401" s="162"/>
      <c r="D5401" s="163"/>
      <c r="E5401" s="164" t="str">
        <f>IFERROR(__xludf.DUMMYFUNCTION("""COMPUTED_VALUE"""),"")</f>
        <v/>
      </c>
      <c r="F5401" s="163"/>
      <c r="G5401" s="163"/>
      <c r="H5401" s="163"/>
      <c r="I5401" s="163"/>
      <c r="J5401" s="165"/>
      <c r="K5401" s="165"/>
      <c r="L5401" s="165"/>
      <c r="M5401" s="166"/>
      <c r="N5401" s="167"/>
      <c r="O5401" s="163"/>
      <c r="P5401" s="163"/>
      <c r="Q5401" s="163"/>
      <c r="R5401" s="163"/>
      <c r="S5401" s="161"/>
      <c r="T5401" s="161"/>
      <c r="U5401" s="161"/>
      <c r="V5401" s="161"/>
      <c r="W5401" s="161"/>
      <c r="X5401" s="161"/>
      <c r="Y5401" s="161"/>
      <c r="Z5401" s="168"/>
      <c r="AA5401" s="168"/>
      <c r="AB5401" s="168"/>
      <c r="AC5401" s="168"/>
    </row>
    <row r="5402">
      <c r="A5402" s="161"/>
      <c r="B5402" s="161"/>
      <c r="C5402" s="162"/>
      <c r="D5402" s="163"/>
      <c r="E5402" s="164" t="str">
        <f>IFERROR(__xludf.DUMMYFUNCTION("""COMPUTED_VALUE"""),"")</f>
        <v/>
      </c>
      <c r="F5402" s="163"/>
      <c r="G5402" s="163"/>
      <c r="H5402" s="163"/>
      <c r="I5402" s="163"/>
      <c r="J5402" s="165"/>
      <c r="K5402" s="165"/>
      <c r="L5402" s="165"/>
      <c r="M5402" s="166"/>
      <c r="N5402" s="167"/>
      <c r="O5402" s="163"/>
      <c r="P5402" s="163"/>
      <c r="Q5402" s="163"/>
      <c r="R5402" s="163"/>
      <c r="S5402" s="161"/>
      <c r="T5402" s="161"/>
      <c r="U5402" s="161"/>
      <c r="V5402" s="161"/>
      <c r="W5402" s="161"/>
      <c r="X5402" s="161"/>
      <c r="Y5402" s="161"/>
      <c r="Z5402" s="168"/>
      <c r="AA5402" s="168"/>
      <c r="AB5402" s="168"/>
      <c r="AC5402" s="168"/>
    </row>
    <row r="5403">
      <c r="A5403" s="161"/>
      <c r="B5403" s="161"/>
      <c r="C5403" s="162"/>
      <c r="D5403" s="163"/>
      <c r="E5403" s="164" t="str">
        <f>IFERROR(__xludf.DUMMYFUNCTION("""COMPUTED_VALUE"""),"")</f>
        <v/>
      </c>
      <c r="F5403" s="163"/>
      <c r="G5403" s="163"/>
      <c r="H5403" s="163"/>
      <c r="I5403" s="163"/>
      <c r="J5403" s="165"/>
      <c r="K5403" s="165"/>
      <c r="L5403" s="165"/>
      <c r="M5403" s="166"/>
      <c r="N5403" s="167"/>
      <c r="O5403" s="163"/>
      <c r="P5403" s="163"/>
      <c r="Q5403" s="163"/>
      <c r="R5403" s="163"/>
      <c r="S5403" s="161"/>
      <c r="T5403" s="161"/>
      <c r="U5403" s="161"/>
      <c r="V5403" s="161"/>
      <c r="W5403" s="161"/>
      <c r="X5403" s="161"/>
      <c r="Y5403" s="161"/>
      <c r="Z5403" s="168"/>
      <c r="AA5403" s="168"/>
      <c r="AB5403" s="168"/>
      <c r="AC5403" s="168"/>
    </row>
    <row r="5404">
      <c r="A5404" s="161"/>
      <c r="B5404" s="161"/>
      <c r="C5404" s="162"/>
      <c r="D5404" s="163"/>
      <c r="E5404" s="164" t="str">
        <f>IFERROR(__xludf.DUMMYFUNCTION("""COMPUTED_VALUE"""),"")</f>
        <v/>
      </c>
      <c r="F5404" s="163"/>
      <c r="G5404" s="163"/>
      <c r="H5404" s="163"/>
      <c r="I5404" s="163"/>
      <c r="J5404" s="165"/>
      <c r="K5404" s="165"/>
      <c r="L5404" s="165"/>
      <c r="M5404" s="166"/>
      <c r="N5404" s="167"/>
      <c r="O5404" s="163"/>
      <c r="P5404" s="163"/>
      <c r="Q5404" s="163"/>
      <c r="R5404" s="163"/>
      <c r="S5404" s="161"/>
      <c r="T5404" s="161"/>
      <c r="U5404" s="161"/>
      <c r="V5404" s="161"/>
      <c r="W5404" s="161"/>
      <c r="X5404" s="161"/>
      <c r="Y5404" s="161"/>
      <c r="Z5404" s="168"/>
      <c r="AA5404" s="168"/>
      <c r="AB5404" s="168"/>
      <c r="AC5404" s="168"/>
    </row>
    <row r="5405">
      <c r="A5405" s="161"/>
      <c r="B5405" s="161"/>
      <c r="C5405" s="162"/>
      <c r="D5405" s="163"/>
      <c r="E5405" s="164" t="str">
        <f>IFERROR(__xludf.DUMMYFUNCTION("""COMPUTED_VALUE"""),"")</f>
        <v/>
      </c>
      <c r="F5405" s="163"/>
      <c r="G5405" s="163"/>
      <c r="H5405" s="163"/>
      <c r="I5405" s="163"/>
      <c r="J5405" s="165"/>
      <c r="K5405" s="165"/>
      <c r="L5405" s="165"/>
      <c r="M5405" s="166"/>
      <c r="N5405" s="167"/>
      <c r="O5405" s="163"/>
      <c r="P5405" s="163"/>
      <c r="Q5405" s="163"/>
      <c r="R5405" s="163"/>
      <c r="S5405" s="161"/>
      <c r="T5405" s="161"/>
      <c r="U5405" s="161"/>
      <c r="V5405" s="161"/>
      <c r="W5405" s="161"/>
      <c r="X5405" s="161"/>
      <c r="Y5405" s="161"/>
      <c r="Z5405" s="168"/>
      <c r="AA5405" s="168"/>
      <c r="AB5405" s="168"/>
      <c r="AC5405" s="168"/>
    </row>
    <row r="5406">
      <c r="A5406" s="161"/>
      <c r="B5406" s="161"/>
      <c r="C5406" s="162"/>
      <c r="D5406" s="163"/>
      <c r="E5406" s="164" t="str">
        <f>IFERROR(__xludf.DUMMYFUNCTION("""COMPUTED_VALUE"""),"")</f>
        <v/>
      </c>
      <c r="F5406" s="163"/>
      <c r="G5406" s="163"/>
      <c r="H5406" s="163"/>
      <c r="I5406" s="163"/>
      <c r="J5406" s="165"/>
      <c r="K5406" s="165"/>
      <c r="L5406" s="165"/>
      <c r="M5406" s="166"/>
      <c r="N5406" s="167"/>
      <c r="O5406" s="163"/>
      <c r="P5406" s="163"/>
      <c r="Q5406" s="163"/>
      <c r="R5406" s="163"/>
      <c r="S5406" s="161"/>
      <c r="T5406" s="161"/>
      <c r="U5406" s="161"/>
      <c r="V5406" s="161"/>
      <c r="W5406" s="161"/>
      <c r="X5406" s="161"/>
      <c r="Y5406" s="161"/>
      <c r="Z5406" s="168"/>
      <c r="AA5406" s="168"/>
      <c r="AB5406" s="168"/>
      <c r="AC5406" s="168"/>
    </row>
    <row r="5407">
      <c r="A5407" s="161"/>
      <c r="B5407" s="161"/>
      <c r="C5407" s="162"/>
      <c r="D5407" s="163"/>
      <c r="E5407" s="164" t="str">
        <f>IFERROR(__xludf.DUMMYFUNCTION("""COMPUTED_VALUE"""),"")</f>
        <v/>
      </c>
      <c r="F5407" s="163"/>
      <c r="G5407" s="163"/>
      <c r="H5407" s="163"/>
      <c r="I5407" s="163"/>
      <c r="J5407" s="165"/>
      <c r="K5407" s="165"/>
      <c r="L5407" s="165"/>
      <c r="M5407" s="166"/>
      <c r="N5407" s="167"/>
      <c r="O5407" s="163"/>
      <c r="P5407" s="163"/>
      <c r="Q5407" s="163"/>
      <c r="R5407" s="163"/>
      <c r="S5407" s="161"/>
      <c r="T5407" s="161"/>
      <c r="U5407" s="161"/>
      <c r="V5407" s="161"/>
      <c r="W5407" s="161"/>
      <c r="X5407" s="161"/>
      <c r="Y5407" s="161"/>
      <c r="Z5407" s="168"/>
      <c r="AA5407" s="168"/>
      <c r="AB5407" s="168"/>
      <c r="AC5407" s="168"/>
    </row>
    <row r="5408">
      <c r="A5408" s="161"/>
      <c r="B5408" s="161"/>
      <c r="C5408" s="162"/>
      <c r="D5408" s="163"/>
      <c r="E5408" s="164" t="str">
        <f>IFERROR(__xludf.DUMMYFUNCTION("""COMPUTED_VALUE"""),"")</f>
        <v/>
      </c>
      <c r="F5408" s="163"/>
      <c r="G5408" s="163"/>
      <c r="H5408" s="163"/>
      <c r="I5408" s="163"/>
      <c r="J5408" s="165"/>
      <c r="K5408" s="165"/>
      <c r="L5408" s="165"/>
      <c r="M5408" s="166"/>
      <c r="N5408" s="167"/>
      <c r="O5408" s="163"/>
      <c r="P5408" s="163"/>
      <c r="Q5408" s="163"/>
      <c r="R5408" s="163"/>
      <c r="S5408" s="161"/>
      <c r="T5408" s="161"/>
      <c r="U5408" s="161"/>
      <c r="V5408" s="161"/>
      <c r="W5408" s="161"/>
      <c r="X5408" s="161"/>
      <c r="Y5408" s="161"/>
      <c r="Z5408" s="168"/>
      <c r="AA5408" s="168"/>
      <c r="AB5408" s="168"/>
      <c r="AC5408" s="168"/>
    </row>
    <row r="5409">
      <c r="A5409" s="161"/>
      <c r="B5409" s="161"/>
      <c r="C5409" s="162"/>
      <c r="D5409" s="163"/>
      <c r="E5409" s="164" t="str">
        <f>IFERROR(__xludf.DUMMYFUNCTION("""COMPUTED_VALUE"""),"")</f>
        <v/>
      </c>
      <c r="F5409" s="163"/>
      <c r="G5409" s="163"/>
      <c r="H5409" s="163"/>
      <c r="I5409" s="163"/>
      <c r="J5409" s="165"/>
      <c r="K5409" s="165"/>
      <c r="L5409" s="165"/>
      <c r="M5409" s="166"/>
      <c r="N5409" s="167"/>
      <c r="O5409" s="163"/>
      <c r="P5409" s="163"/>
      <c r="Q5409" s="163"/>
      <c r="R5409" s="163"/>
      <c r="S5409" s="161"/>
      <c r="T5409" s="161"/>
      <c r="U5409" s="161"/>
      <c r="V5409" s="161"/>
      <c r="W5409" s="161"/>
      <c r="X5409" s="161"/>
      <c r="Y5409" s="161"/>
      <c r="Z5409" s="168"/>
      <c r="AA5409" s="168"/>
      <c r="AB5409" s="168"/>
      <c r="AC5409" s="168"/>
    </row>
    <row r="5410">
      <c r="A5410" s="161"/>
      <c r="B5410" s="161"/>
      <c r="C5410" s="162"/>
      <c r="D5410" s="163"/>
      <c r="E5410" s="164" t="str">
        <f>IFERROR(__xludf.DUMMYFUNCTION("""COMPUTED_VALUE"""),"")</f>
        <v/>
      </c>
      <c r="F5410" s="163"/>
      <c r="G5410" s="163"/>
      <c r="H5410" s="163"/>
      <c r="I5410" s="163"/>
      <c r="J5410" s="165"/>
      <c r="K5410" s="165"/>
      <c r="L5410" s="165"/>
      <c r="M5410" s="166"/>
      <c r="N5410" s="167"/>
      <c r="O5410" s="163"/>
      <c r="P5410" s="163"/>
      <c r="Q5410" s="163"/>
      <c r="R5410" s="163"/>
      <c r="S5410" s="161"/>
      <c r="T5410" s="161"/>
      <c r="U5410" s="161"/>
      <c r="V5410" s="161"/>
      <c r="W5410" s="161"/>
      <c r="X5410" s="161"/>
      <c r="Y5410" s="161"/>
      <c r="Z5410" s="168"/>
      <c r="AA5410" s="168"/>
      <c r="AB5410" s="168"/>
      <c r="AC5410" s="168"/>
    </row>
    <row r="5411">
      <c r="A5411" s="161"/>
      <c r="B5411" s="161"/>
      <c r="C5411" s="162"/>
      <c r="D5411" s="163"/>
      <c r="E5411" s="164" t="str">
        <f>IFERROR(__xludf.DUMMYFUNCTION("""COMPUTED_VALUE"""),"")</f>
        <v/>
      </c>
      <c r="F5411" s="163"/>
      <c r="G5411" s="163"/>
      <c r="H5411" s="163"/>
      <c r="I5411" s="163"/>
      <c r="J5411" s="165"/>
      <c r="K5411" s="165"/>
      <c r="L5411" s="165"/>
      <c r="M5411" s="166"/>
      <c r="N5411" s="167"/>
      <c r="O5411" s="163"/>
      <c r="P5411" s="163"/>
      <c r="Q5411" s="163"/>
      <c r="R5411" s="163"/>
      <c r="S5411" s="161"/>
      <c r="T5411" s="161"/>
      <c r="U5411" s="161"/>
      <c r="V5411" s="161"/>
      <c r="W5411" s="161"/>
      <c r="X5411" s="161"/>
      <c r="Y5411" s="161"/>
      <c r="Z5411" s="168"/>
      <c r="AA5411" s="168"/>
      <c r="AB5411" s="168"/>
      <c r="AC5411" s="168"/>
    </row>
    <row r="5412">
      <c r="A5412" s="161"/>
      <c r="B5412" s="161"/>
      <c r="C5412" s="162"/>
      <c r="D5412" s="163"/>
      <c r="E5412" s="164" t="str">
        <f>IFERROR(__xludf.DUMMYFUNCTION("""COMPUTED_VALUE"""),"")</f>
        <v/>
      </c>
      <c r="F5412" s="163"/>
      <c r="G5412" s="163"/>
      <c r="H5412" s="163"/>
      <c r="I5412" s="163"/>
      <c r="J5412" s="165"/>
      <c r="K5412" s="165"/>
      <c r="L5412" s="165"/>
      <c r="M5412" s="166"/>
      <c r="N5412" s="167"/>
      <c r="O5412" s="163"/>
      <c r="P5412" s="163"/>
      <c r="Q5412" s="163"/>
      <c r="R5412" s="163"/>
      <c r="S5412" s="161"/>
      <c r="T5412" s="161"/>
      <c r="U5412" s="161"/>
      <c r="V5412" s="161"/>
      <c r="W5412" s="161"/>
      <c r="X5412" s="161"/>
      <c r="Y5412" s="161"/>
      <c r="Z5412" s="168"/>
      <c r="AA5412" s="168"/>
      <c r="AB5412" s="168"/>
      <c r="AC5412" s="168"/>
    </row>
    <row r="5413">
      <c r="A5413" s="161"/>
      <c r="B5413" s="161"/>
      <c r="C5413" s="162"/>
      <c r="D5413" s="163"/>
      <c r="E5413" s="164" t="str">
        <f>IFERROR(__xludf.DUMMYFUNCTION("""COMPUTED_VALUE"""),"")</f>
        <v/>
      </c>
      <c r="F5413" s="163"/>
      <c r="G5413" s="163"/>
      <c r="H5413" s="163"/>
      <c r="I5413" s="163"/>
      <c r="J5413" s="165"/>
      <c r="K5413" s="165"/>
      <c r="L5413" s="165"/>
      <c r="M5413" s="166"/>
      <c r="N5413" s="167"/>
      <c r="O5413" s="163"/>
      <c r="P5413" s="163"/>
      <c r="Q5413" s="163"/>
      <c r="R5413" s="163"/>
      <c r="S5413" s="161"/>
      <c r="T5413" s="161"/>
      <c r="U5413" s="161"/>
      <c r="V5413" s="161"/>
      <c r="W5413" s="161"/>
      <c r="X5413" s="161"/>
      <c r="Y5413" s="161"/>
      <c r="Z5413" s="168"/>
      <c r="AA5413" s="168"/>
      <c r="AB5413" s="168"/>
      <c r="AC5413" s="168"/>
    </row>
    <row r="5414">
      <c r="A5414" s="161"/>
      <c r="B5414" s="161"/>
      <c r="C5414" s="162"/>
      <c r="D5414" s="163"/>
      <c r="E5414" s="164" t="str">
        <f>IFERROR(__xludf.DUMMYFUNCTION("""COMPUTED_VALUE"""),"")</f>
        <v/>
      </c>
      <c r="F5414" s="163"/>
      <c r="G5414" s="163"/>
      <c r="H5414" s="163"/>
      <c r="I5414" s="163"/>
      <c r="J5414" s="165"/>
      <c r="K5414" s="165"/>
      <c r="L5414" s="165"/>
      <c r="M5414" s="166"/>
      <c r="N5414" s="167"/>
      <c r="O5414" s="163"/>
      <c r="P5414" s="163"/>
      <c r="Q5414" s="163"/>
      <c r="R5414" s="163"/>
      <c r="S5414" s="161"/>
      <c r="T5414" s="161"/>
      <c r="U5414" s="161"/>
      <c r="V5414" s="161"/>
      <c r="W5414" s="161"/>
      <c r="X5414" s="161"/>
      <c r="Y5414" s="161"/>
      <c r="Z5414" s="168"/>
      <c r="AA5414" s="168"/>
      <c r="AB5414" s="168"/>
      <c r="AC5414" s="168"/>
    </row>
    <row r="5415">
      <c r="A5415" s="161"/>
      <c r="B5415" s="161"/>
      <c r="C5415" s="162"/>
      <c r="D5415" s="163"/>
      <c r="E5415" s="164" t="str">
        <f>IFERROR(__xludf.DUMMYFUNCTION("""COMPUTED_VALUE"""),"")</f>
        <v/>
      </c>
      <c r="F5415" s="163"/>
      <c r="G5415" s="163"/>
      <c r="H5415" s="163"/>
      <c r="I5415" s="163"/>
      <c r="J5415" s="165"/>
      <c r="K5415" s="165"/>
      <c r="L5415" s="165"/>
      <c r="M5415" s="166"/>
      <c r="N5415" s="167"/>
      <c r="O5415" s="163"/>
      <c r="P5415" s="163"/>
      <c r="Q5415" s="163"/>
      <c r="R5415" s="163"/>
      <c r="S5415" s="161"/>
      <c r="T5415" s="161"/>
      <c r="U5415" s="161"/>
      <c r="V5415" s="161"/>
      <c r="W5415" s="161"/>
      <c r="X5415" s="161"/>
      <c r="Y5415" s="161"/>
      <c r="Z5415" s="168"/>
      <c r="AA5415" s="168"/>
      <c r="AB5415" s="168"/>
      <c r="AC5415" s="168"/>
    </row>
    <row r="5416">
      <c r="A5416" s="161"/>
      <c r="B5416" s="161"/>
      <c r="C5416" s="162"/>
      <c r="D5416" s="163"/>
      <c r="E5416" s="164" t="str">
        <f>IFERROR(__xludf.DUMMYFUNCTION("""COMPUTED_VALUE"""),"")</f>
        <v/>
      </c>
      <c r="F5416" s="163"/>
      <c r="G5416" s="163"/>
      <c r="H5416" s="163"/>
      <c r="I5416" s="163"/>
      <c r="J5416" s="165"/>
      <c r="K5416" s="165"/>
      <c r="L5416" s="165"/>
      <c r="M5416" s="166"/>
      <c r="N5416" s="167"/>
      <c r="O5416" s="163"/>
      <c r="P5416" s="163"/>
      <c r="Q5416" s="163"/>
      <c r="R5416" s="163"/>
      <c r="S5416" s="161"/>
      <c r="T5416" s="161"/>
      <c r="U5416" s="161"/>
      <c r="V5416" s="161"/>
      <c r="W5416" s="161"/>
      <c r="X5416" s="161"/>
      <c r="Y5416" s="161"/>
      <c r="Z5416" s="168"/>
      <c r="AA5416" s="168"/>
      <c r="AB5416" s="168"/>
      <c r="AC5416" s="168"/>
    </row>
    <row r="5417">
      <c r="A5417" s="161"/>
      <c r="B5417" s="161"/>
      <c r="C5417" s="162"/>
      <c r="D5417" s="163"/>
      <c r="E5417" s="164" t="str">
        <f>IFERROR(__xludf.DUMMYFUNCTION("""COMPUTED_VALUE"""),"")</f>
        <v/>
      </c>
      <c r="F5417" s="163"/>
      <c r="G5417" s="163"/>
      <c r="H5417" s="163"/>
      <c r="I5417" s="163"/>
      <c r="J5417" s="165"/>
      <c r="K5417" s="165"/>
      <c r="L5417" s="165"/>
      <c r="M5417" s="166"/>
      <c r="N5417" s="167"/>
      <c r="O5417" s="163"/>
      <c r="P5417" s="163"/>
      <c r="Q5417" s="163"/>
      <c r="R5417" s="163"/>
      <c r="S5417" s="161"/>
      <c r="T5417" s="161"/>
      <c r="U5417" s="161"/>
      <c r="V5417" s="161"/>
      <c r="W5417" s="161"/>
      <c r="X5417" s="161"/>
      <c r="Y5417" s="161"/>
      <c r="Z5417" s="168"/>
      <c r="AA5417" s="168"/>
      <c r="AB5417" s="168"/>
      <c r="AC5417" s="168"/>
    </row>
    <row r="5418">
      <c r="A5418" s="161"/>
      <c r="B5418" s="161"/>
      <c r="C5418" s="162"/>
      <c r="D5418" s="163"/>
      <c r="E5418" s="164" t="str">
        <f>IFERROR(__xludf.DUMMYFUNCTION("""COMPUTED_VALUE"""),"")</f>
        <v/>
      </c>
      <c r="F5418" s="163"/>
      <c r="G5418" s="163"/>
      <c r="H5418" s="163"/>
      <c r="I5418" s="163"/>
      <c r="J5418" s="165"/>
      <c r="K5418" s="165"/>
      <c r="L5418" s="165"/>
      <c r="M5418" s="166"/>
      <c r="N5418" s="167"/>
      <c r="O5418" s="163"/>
      <c r="P5418" s="163"/>
      <c r="Q5418" s="163"/>
      <c r="R5418" s="163"/>
      <c r="S5418" s="161"/>
      <c r="T5418" s="161"/>
      <c r="U5418" s="161"/>
      <c r="V5418" s="161"/>
      <c r="W5418" s="161"/>
      <c r="X5418" s="161"/>
      <c r="Y5418" s="161"/>
      <c r="Z5418" s="168"/>
      <c r="AA5418" s="168"/>
      <c r="AB5418" s="168"/>
      <c r="AC5418" s="168"/>
    </row>
    <row r="5419">
      <c r="A5419" s="161"/>
      <c r="B5419" s="161"/>
      <c r="C5419" s="162"/>
      <c r="D5419" s="163"/>
      <c r="E5419" s="164" t="str">
        <f>IFERROR(__xludf.DUMMYFUNCTION("""COMPUTED_VALUE"""),"")</f>
        <v/>
      </c>
      <c r="F5419" s="163"/>
      <c r="G5419" s="163"/>
      <c r="H5419" s="163"/>
      <c r="I5419" s="163"/>
      <c r="J5419" s="165"/>
      <c r="K5419" s="165"/>
      <c r="L5419" s="165"/>
      <c r="M5419" s="166"/>
      <c r="N5419" s="167"/>
      <c r="O5419" s="163"/>
      <c r="P5419" s="163"/>
      <c r="Q5419" s="163"/>
      <c r="R5419" s="163"/>
      <c r="S5419" s="161"/>
      <c r="T5419" s="161"/>
      <c r="U5419" s="161"/>
      <c r="V5419" s="161"/>
      <c r="W5419" s="161"/>
      <c r="X5419" s="161"/>
      <c r="Y5419" s="161"/>
      <c r="Z5419" s="168"/>
      <c r="AA5419" s="168"/>
      <c r="AB5419" s="168"/>
      <c r="AC5419" s="168"/>
    </row>
    <row r="5420">
      <c r="A5420" s="161"/>
      <c r="B5420" s="161"/>
      <c r="C5420" s="162"/>
      <c r="D5420" s="163"/>
      <c r="E5420" s="164" t="str">
        <f>IFERROR(__xludf.DUMMYFUNCTION("""COMPUTED_VALUE"""),"")</f>
        <v/>
      </c>
      <c r="F5420" s="163"/>
      <c r="G5420" s="163"/>
      <c r="H5420" s="163"/>
      <c r="I5420" s="163"/>
      <c r="J5420" s="165"/>
      <c r="K5420" s="165"/>
      <c r="L5420" s="165"/>
      <c r="M5420" s="166"/>
      <c r="N5420" s="167"/>
      <c r="O5420" s="163"/>
      <c r="P5420" s="163"/>
      <c r="Q5420" s="163"/>
      <c r="R5420" s="163"/>
      <c r="S5420" s="161"/>
      <c r="T5420" s="161"/>
      <c r="U5420" s="161"/>
      <c r="V5420" s="161"/>
      <c r="W5420" s="161"/>
      <c r="X5420" s="161"/>
      <c r="Y5420" s="161"/>
      <c r="Z5420" s="168"/>
      <c r="AA5420" s="168"/>
      <c r="AB5420" s="168"/>
      <c r="AC5420" s="168"/>
    </row>
    <row r="5421">
      <c r="A5421" s="161"/>
      <c r="B5421" s="161"/>
      <c r="C5421" s="162"/>
      <c r="D5421" s="163"/>
      <c r="E5421" s="164" t="str">
        <f>IFERROR(__xludf.DUMMYFUNCTION("""COMPUTED_VALUE"""),"")</f>
        <v/>
      </c>
      <c r="F5421" s="163"/>
      <c r="G5421" s="163"/>
      <c r="H5421" s="163"/>
      <c r="I5421" s="163"/>
      <c r="J5421" s="165"/>
      <c r="K5421" s="165"/>
      <c r="L5421" s="165"/>
      <c r="M5421" s="166"/>
      <c r="N5421" s="167"/>
      <c r="O5421" s="163"/>
      <c r="P5421" s="163"/>
      <c r="Q5421" s="163"/>
      <c r="R5421" s="163"/>
      <c r="S5421" s="161"/>
      <c r="T5421" s="161"/>
      <c r="U5421" s="161"/>
      <c r="V5421" s="161"/>
      <c r="W5421" s="161"/>
      <c r="X5421" s="161"/>
      <c r="Y5421" s="161"/>
      <c r="Z5421" s="168"/>
      <c r="AA5421" s="168"/>
      <c r="AB5421" s="168"/>
      <c r="AC5421" s="168"/>
    </row>
    <row r="5422">
      <c r="A5422" s="161"/>
      <c r="B5422" s="161"/>
      <c r="C5422" s="162"/>
      <c r="D5422" s="163"/>
      <c r="E5422" s="164" t="str">
        <f>IFERROR(__xludf.DUMMYFUNCTION("""COMPUTED_VALUE"""),"")</f>
        <v/>
      </c>
      <c r="F5422" s="163"/>
      <c r="G5422" s="163"/>
      <c r="H5422" s="163"/>
      <c r="I5422" s="163"/>
      <c r="J5422" s="165"/>
      <c r="K5422" s="165"/>
      <c r="L5422" s="165"/>
      <c r="M5422" s="166"/>
      <c r="N5422" s="167"/>
      <c r="O5422" s="163"/>
      <c r="P5422" s="163"/>
      <c r="Q5422" s="163"/>
      <c r="R5422" s="163"/>
      <c r="S5422" s="161"/>
      <c r="T5422" s="161"/>
      <c r="U5422" s="161"/>
      <c r="V5422" s="161"/>
      <c r="W5422" s="161"/>
      <c r="X5422" s="161"/>
      <c r="Y5422" s="161"/>
      <c r="Z5422" s="168"/>
      <c r="AA5422" s="168"/>
      <c r="AB5422" s="168"/>
      <c r="AC5422" s="168"/>
    </row>
    <row r="5423">
      <c r="A5423" s="161"/>
      <c r="B5423" s="161"/>
      <c r="C5423" s="162"/>
      <c r="D5423" s="163"/>
      <c r="E5423" s="164" t="str">
        <f>IFERROR(__xludf.DUMMYFUNCTION("""COMPUTED_VALUE"""),"")</f>
        <v/>
      </c>
      <c r="F5423" s="163"/>
      <c r="G5423" s="163"/>
      <c r="H5423" s="163"/>
      <c r="I5423" s="163"/>
      <c r="J5423" s="165"/>
      <c r="K5423" s="165"/>
      <c r="L5423" s="165"/>
      <c r="M5423" s="166"/>
      <c r="N5423" s="167"/>
      <c r="O5423" s="163"/>
      <c r="P5423" s="163"/>
      <c r="Q5423" s="163"/>
      <c r="R5423" s="163"/>
      <c r="S5423" s="161"/>
      <c r="T5423" s="161"/>
      <c r="U5423" s="161"/>
      <c r="V5423" s="161"/>
      <c r="W5423" s="161"/>
      <c r="X5423" s="161"/>
      <c r="Y5423" s="161"/>
      <c r="Z5423" s="168"/>
      <c r="AA5423" s="168"/>
      <c r="AB5423" s="168"/>
      <c r="AC5423" s="168"/>
    </row>
    <row r="5424">
      <c r="A5424" s="161"/>
      <c r="B5424" s="161"/>
      <c r="C5424" s="162"/>
      <c r="D5424" s="163"/>
      <c r="E5424" s="164" t="str">
        <f>IFERROR(__xludf.DUMMYFUNCTION("""COMPUTED_VALUE"""),"")</f>
        <v/>
      </c>
      <c r="F5424" s="163"/>
      <c r="G5424" s="163"/>
      <c r="H5424" s="163"/>
      <c r="I5424" s="163"/>
      <c r="J5424" s="165"/>
      <c r="K5424" s="165"/>
      <c r="L5424" s="165"/>
      <c r="M5424" s="166"/>
      <c r="N5424" s="167"/>
      <c r="O5424" s="163"/>
      <c r="P5424" s="163"/>
      <c r="Q5424" s="163"/>
      <c r="R5424" s="163"/>
      <c r="S5424" s="161"/>
      <c r="T5424" s="161"/>
      <c r="U5424" s="161"/>
      <c r="V5424" s="161"/>
      <c r="W5424" s="161"/>
      <c r="X5424" s="161"/>
      <c r="Y5424" s="161"/>
      <c r="Z5424" s="168"/>
      <c r="AA5424" s="168"/>
      <c r="AB5424" s="168"/>
      <c r="AC5424" s="168"/>
    </row>
    <row r="5425">
      <c r="A5425" s="161"/>
      <c r="B5425" s="161"/>
      <c r="C5425" s="162"/>
      <c r="D5425" s="163"/>
      <c r="E5425" s="164" t="str">
        <f>IFERROR(__xludf.DUMMYFUNCTION("""COMPUTED_VALUE"""),"")</f>
        <v/>
      </c>
      <c r="F5425" s="163"/>
      <c r="G5425" s="163"/>
      <c r="H5425" s="163"/>
      <c r="I5425" s="163"/>
      <c r="J5425" s="165"/>
      <c r="K5425" s="165"/>
      <c r="L5425" s="165"/>
      <c r="M5425" s="166"/>
      <c r="N5425" s="167"/>
      <c r="O5425" s="163"/>
      <c r="P5425" s="163"/>
      <c r="Q5425" s="163"/>
      <c r="R5425" s="163"/>
      <c r="S5425" s="161"/>
      <c r="T5425" s="161"/>
      <c r="U5425" s="161"/>
      <c r="V5425" s="161"/>
      <c r="W5425" s="161"/>
      <c r="X5425" s="161"/>
      <c r="Y5425" s="161"/>
      <c r="Z5425" s="168"/>
      <c r="AA5425" s="168"/>
      <c r="AB5425" s="168"/>
      <c r="AC5425" s="168"/>
    </row>
    <row r="5426">
      <c r="A5426" s="161"/>
      <c r="B5426" s="161"/>
      <c r="C5426" s="162"/>
      <c r="D5426" s="163"/>
      <c r="E5426" s="164" t="str">
        <f>IFERROR(__xludf.DUMMYFUNCTION("""COMPUTED_VALUE"""),"")</f>
        <v/>
      </c>
      <c r="F5426" s="163"/>
      <c r="G5426" s="163"/>
      <c r="H5426" s="163"/>
      <c r="I5426" s="163"/>
      <c r="J5426" s="165"/>
      <c r="K5426" s="165"/>
      <c r="L5426" s="165"/>
      <c r="M5426" s="166"/>
      <c r="N5426" s="167"/>
      <c r="O5426" s="163"/>
      <c r="P5426" s="163"/>
      <c r="Q5426" s="163"/>
      <c r="R5426" s="163"/>
      <c r="S5426" s="161"/>
      <c r="T5426" s="161"/>
      <c r="U5426" s="161"/>
      <c r="V5426" s="161"/>
      <c r="W5426" s="161"/>
      <c r="X5426" s="161"/>
      <c r="Y5426" s="161"/>
      <c r="Z5426" s="168"/>
      <c r="AA5426" s="168"/>
      <c r="AB5426" s="168"/>
      <c r="AC5426" s="168"/>
    </row>
    <row r="5427">
      <c r="A5427" s="161"/>
      <c r="B5427" s="161"/>
      <c r="C5427" s="162"/>
      <c r="D5427" s="163"/>
      <c r="E5427" s="164" t="str">
        <f>IFERROR(__xludf.DUMMYFUNCTION("""COMPUTED_VALUE"""),"")</f>
        <v/>
      </c>
      <c r="F5427" s="163"/>
      <c r="G5427" s="163"/>
      <c r="H5427" s="163"/>
      <c r="I5427" s="163"/>
      <c r="J5427" s="165"/>
      <c r="K5427" s="165"/>
      <c r="L5427" s="165"/>
      <c r="M5427" s="166"/>
      <c r="N5427" s="167"/>
      <c r="O5427" s="163"/>
      <c r="P5427" s="163"/>
      <c r="Q5427" s="163"/>
      <c r="R5427" s="163"/>
      <c r="S5427" s="161"/>
      <c r="T5427" s="161"/>
      <c r="U5427" s="161"/>
      <c r="V5427" s="161"/>
      <c r="W5427" s="161"/>
      <c r="X5427" s="161"/>
      <c r="Y5427" s="161"/>
      <c r="Z5427" s="168"/>
      <c r="AA5427" s="168"/>
      <c r="AB5427" s="168"/>
      <c r="AC5427" s="168"/>
    </row>
    <row r="5428">
      <c r="A5428" s="161"/>
      <c r="B5428" s="161"/>
      <c r="C5428" s="162"/>
      <c r="D5428" s="163"/>
      <c r="E5428" s="164" t="str">
        <f>IFERROR(__xludf.DUMMYFUNCTION("""COMPUTED_VALUE"""),"")</f>
        <v/>
      </c>
      <c r="F5428" s="163"/>
      <c r="G5428" s="163"/>
      <c r="H5428" s="163"/>
      <c r="I5428" s="163"/>
      <c r="J5428" s="165"/>
      <c r="K5428" s="165"/>
      <c r="L5428" s="165"/>
      <c r="M5428" s="166"/>
      <c r="N5428" s="167"/>
      <c r="O5428" s="163"/>
      <c r="P5428" s="163"/>
      <c r="Q5428" s="163"/>
      <c r="R5428" s="163"/>
      <c r="S5428" s="161"/>
      <c r="T5428" s="161"/>
      <c r="U5428" s="161"/>
      <c r="V5428" s="161"/>
      <c r="W5428" s="161"/>
      <c r="X5428" s="161"/>
      <c r="Y5428" s="161"/>
      <c r="Z5428" s="168"/>
      <c r="AA5428" s="168"/>
      <c r="AB5428" s="168"/>
      <c r="AC5428" s="168"/>
    </row>
    <row r="5429">
      <c r="A5429" s="161"/>
      <c r="B5429" s="161"/>
      <c r="C5429" s="162"/>
      <c r="D5429" s="163"/>
      <c r="E5429" s="164" t="str">
        <f>IFERROR(__xludf.DUMMYFUNCTION("""COMPUTED_VALUE"""),"")</f>
        <v/>
      </c>
      <c r="F5429" s="163"/>
      <c r="G5429" s="163"/>
      <c r="H5429" s="163"/>
      <c r="I5429" s="163"/>
      <c r="J5429" s="165"/>
      <c r="K5429" s="165"/>
      <c r="L5429" s="165"/>
      <c r="M5429" s="166"/>
      <c r="N5429" s="167"/>
      <c r="O5429" s="163"/>
      <c r="P5429" s="163"/>
      <c r="Q5429" s="163"/>
      <c r="R5429" s="163"/>
      <c r="S5429" s="161"/>
      <c r="T5429" s="161"/>
      <c r="U5429" s="161"/>
      <c r="V5429" s="161"/>
      <c r="W5429" s="161"/>
      <c r="X5429" s="161"/>
      <c r="Y5429" s="161"/>
      <c r="Z5429" s="168"/>
      <c r="AA5429" s="168"/>
      <c r="AB5429" s="168"/>
      <c r="AC5429" s="168"/>
    </row>
    <row r="5430">
      <c r="A5430" s="161"/>
      <c r="B5430" s="161"/>
      <c r="C5430" s="162"/>
      <c r="D5430" s="163"/>
      <c r="E5430" s="164" t="str">
        <f>IFERROR(__xludf.DUMMYFUNCTION("""COMPUTED_VALUE"""),"")</f>
        <v/>
      </c>
      <c r="F5430" s="163"/>
      <c r="G5430" s="163"/>
      <c r="H5430" s="163"/>
      <c r="I5430" s="163"/>
      <c r="J5430" s="165"/>
      <c r="K5430" s="165"/>
      <c r="L5430" s="165"/>
      <c r="M5430" s="166"/>
      <c r="N5430" s="167"/>
      <c r="O5430" s="163"/>
      <c r="P5430" s="163"/>
      <c r="Q5430" s="163"/>
      <c r="R5430" s="163"/>
      <c r="S5430" s="161"/>
      <c r="T5430" s="161"/>
      <c r="U5430" s="161"/>
      <c r="V5430" s="161"/>
      <c r="W5430" s="161"/>
      <c r="X5430" s="161"/>
      <c r="Y5430" s="161"/>
      <c r="Z5430" s="168"/>
      <c r="AA5430" s="168"/>
      <c r="AB5430" s="168"/>
      <c r="AC5430" s="168"/>
    </row>
    <row r="5431">
      <c r="A5431" s="161"/>
      <c r="B5431" s="161"/>
      <c r="C5431" s="162"/>
      <c r="D5431" s="163"/>
      <c r="E5431" s="164" t="str">
        <f>IFERROR(__xludf.DUMMYFUNCTION("""COMPUTED_VALUE"""),"")</f>
        <v/>
      </c>
      <c r="F5431" s="163"/>
      <c r="G5431" s="163"/>
      <c r="H5431" s="163"/>
      <c r="I5431" s="163"/>
      <c r="J5431" s="165"/>
      <c r="K5431" s="165"/>
      <c r="L5431" s="165"/>
      <c r="M5431" s="166"/>
      <c r="N5431" s="167"/>
      <c r="O5431" s="163"/>
      <c r="P5431" s="163"/>
      <c r="Q5431" s="163"/>
      <c r="R5431" s="163"/>
      <c r="S5431" s="161"/>
      <c r="T5431" s="161"/>
      <c r="U5431" s="161"/>
      <c r="V5431" s="161"/>
      <c r="W5431" s="161"/>
      <c r="X5431" s="161"/>
      <c r="Y5431" s="161"/>
      <c r="Z5431" s="168"/>
      <c r="AA5431" s="168"/>
      <c r="AB5431" s="168"/>
      <c r="AC5431" s="168"/>
    </row>
    <row r="5432">
      <c r="A5432" s="161"/>
      <c r="B5432" s="161"/>
      <c r="C5432" s="162"/>
      <c r="D5432" s="163"/>
      <c r="E5432" s="164" t="str">
        <f>IFERROR(__xludf.DUMMYFUNCTION("""COMPUTED_VALUE"""),"")</f>
        <v/>
      </c>
      <c r="F5432" s="163"/>
      <c r="G5432" s="163"/>
      <c r="H5432" s="163"/>
      <c r="I5432" s="163"/>
      <c r="J5432" s="165"/>
      <c r="K5432" s="165"/>
      <c r="L5432" s="165"/>
      <c r="M5432" s="166"/>
      <c r="N5432" s="167"/>
      <c r="O5432" s="163"/>
      <c r="P5432" s="163"/>
      <c r="Q5432" s="163"/>
      <c r="R5432" s="163"/>
      <c r="S5432" s="161"/>
      <c r="T5432" s="161"/>
      <c r="U5432" s="161"/>
      <c r="V5432" s="161"/>
      <c r="W5432" s="161"/>
      <c r="X5432" s="161"/>
      <c r="Y5432" s="161"/>
      <c r="Z5432" s="168"/>
      <c r="AA5432" s="168"/>
      <c r="AB5432" s="168"/>
      <c r="AC5432" s="168"/>
    </row>
    <row r="5433">
      <c r="A5433" s="161"/>
      <c r="B5433" s="161"/>
      <c r="C5433" s="162"/>
      <c r="D5433" s="163"/>
      <c r="E5433" s="164" t="str">
        <f>IFERROR(__xludf.DUMMYFUNCTION("""COMPUTED_VALUE"""),"")</f>
        <v/>
      </c>
      <c r="F5433" s="163"/>
      <c r="G5433" s="163"/>
      <c r="H5433" s="163"/>
      <c r="I5433" s="163"/>
      <c r="J5433" s="165"/>
      <c r="K5433" s="165"/>
      <c r="L5433" s="165"/>
      <c r="M5433" s="166"/>
      <c r="N5433" s="167"/>
      <c r="O5433" s="163"/>
      <c r="P5433" s="163"/>
      <c r="Q5433" s="163"/>
      <c r="R5433" s="163"/>
      <c r="S5433" s="161"/>
      <c r="T5433" s="161"/>
      <c r="U5433" s="161"/>
      <c r="V5433" s="161"/>
      <c r="W5433" s="161"/>
      <c r="X5433" s="161"/>
      <c r="Y5433" s="161"/>
      <c r="Z5433" s="168"/>
      <c r="AA5433" s="168"/>
      <c r="AB5433" s="168"/>
      <c r="AC5433" s="168"/>
    </row>
    <row r="5434">
      <c r="A5434" s="161"/>
      <c r="B5434" s="161"/>
      <c r="C5434" s="162"/>
      <c r="D5434" s="163"/>
      <c r="E5434" s="164" t="str">
        <f>IFERROR(__xludf.DUMMYFUNCTION("""COMPUTED_VALUE"""),"")</f>
        <v/>
      </c>
      <c r="F5434" s="163"/>
      <c r="G5434" s="163"/>
      <c r="H5434" s="163"/>
      <c r="I5434" s="163"/>
      <c r="J5434" s="165"/>
      <c r="K5434" s="165"/>
      <c r="L5434" s="165"/>
      <c r="M5434" s="166"/>
      <c r="N5434" s="167"/>
      <c r="O5434" s="163"/>
      <c r="P5434" s="163"/>
      <c r="Q5434" s="163"/>
      <c r="R5434" s="163"/>
      <c r="S5434" s="161"/>
      <c r="T5434" s="161"/>
      <c r="U5434" s="161"/>
      <c r="V5434" s="161"/>
      <c r="W5434" s="161"/>
      <c r="X5434" s="161"/>
      <c r="Y5434" s="161"/>
      <c r="Z5434" s="168"/>
      <c r="AA5434" s="168"/>
      <c r="AB5434" s="168"/>
      <c r="AC5434" s="168"/>
    </row>
    <row r="5435">
      <c r="A5435" s="161"/>
      <c r="B5435" s="161"/>
      <c r="C5435" s="162"/>
      <c r="D5435" s="163"/>
      <c r="E5435" s="164" t="str">
        <f>IFERROR(__xludf.DUMMYFUNCTION("""COMPUTED_VALUE"""),"")</f>
        <v/>
      </c>
      <c r="F5435" s="163"/>
      <c r="G5435" s="163"/>
      <c r="H5435" s="163"/>
      <c r="I5435" s="163"/>
      <c r="J5435" s="165"/>
      <c r="K5435" s="165"/>
      <c r="L5435" s="165"/>
      <c r="M5435" s="166"/>
      <c r="N5435" s="167"/>
      <c r="O5435" s="163"/>
      <c r="P5435" s="163"/>
      <c r="Q5435" s="163"/>
      <c r="R5435" s="163"/>
      <c r="S5435" s="161"/>
      <c r="T5435" s="161"/>
      <c r="U5435" s="161"/>
      <c r="V5435" s="161"/>
      <c r="W5435" s="161"/>
      <c r="X5435" s="161"/>
      <c r="Y5435" s="161"/>
      <c r="Z5435" s="168"/>
      <c r="AA5435" s="168"/>
      <c r="AB5435" s="168"/>
      <c r="AC5435" s="168"/>
    </row>
    <row r="5436">
      <c r="A5436" s="161"/>
      <c r="B5436" s="161"/>
      <c r="C5436" s="162"/>
      <c r="D5436" s="163"/>
      <c r="E5436" s="164" t="str">
        <f>IFERROR(__xludf.DUMMYFUNCTION("""COMPUTED_VALUE"""),"")</f>
        <v/>
      </c>
      <c r="F5436" s="163"/>
      <c r="G5436" s="163"/>
      <c r="H5436" s="163"/>
      <c r="I5436" s="163"/>
      <c r="J5436" s="165"/>
      <c r="K5436" s="165"/>
      <c r="L5436" s="165"/>
      <c r="M5436" s="166"/>
      <c r="N5436" s="167"/>
      <c r="O5436" s="163"/>
      <c r="P5436" s="163"/>
      <c r="Q5436" s="163"/>
      <c r="R5436" s="163"/>
      <c r="S5436" s="161"/>
      <c r="T5436" s="161"/>
      <c r="U5436" s="161"/>
      <c r="V5436" s="161"/>
      <c r="W5436" s="161"/>
      <c r="X5436" s="161"/>
      <c r="Y5436" s="161"/>
      <c r="Z5436" s="168"/>
      <c r="AA5436" s="168"/>
      <c r="AB5436" s="168"/>
      <c r="AC5436" s="168"/>
    </row>
    <row r="5437">
      <c r="A5437" s="161"/>
      <c r="B5437" s="161"/>
      <c r="C5437" s="162"/>
      <c r="D5437" s="163"/>
      <c r="E5437" s="164" t="str">
        <f>IFERROR(__xludf.DUMMYFUNCTION("""COMPUTED_VALUE"""),"")</f>
        <v/>
      </c>
      <c r="F5437" s="163"/>
      <c r="G5437" s="163"/>
      <c r="H5437" s="163"/>
      <c r="I5437" s="163"/>
      <c r="J5437" s="165"/>
      <c r="K5437" s="165"/>
      <c r="L5437" s="165"/>
      <c r="M5437" s="166"/>
      <c r="N5437" s="167"/>
      <c r="O5437" s="163"/>
      <c r="P5437" s="163"/>
      <c r="Q5437" s="163"/>
      <c r="R5437" s="163"/>
      <c r="S5437" s="161"/>
      <c r="T5437" s="161"/>
      <c r="U5437" s="161"/>
      <c r="V5437" s="161"/>
      <c r="W5437" s="161"/>
      <c r="X5437" s="161"/>
      <c r="Y5437" s="161"/>
      <c r="Z5437" s="168"/>
      <c r="AA5437" s="168"/>
      <c r="AB5437" s="168"/>
      <c r="AC5437" s="168"/>
    </row>
    <row r="5438">
      <c r="A5438" s="161"/>
      <c r="B5438" s="161"/>
      <c r="C5438" s="162"/>
      <c r="D5438" s="163"/>
      <c r="E5438" s="164" t="str">
        <f>IFERROR(__xludf.DUMMYFUNCTION("""COMPUTED_VALUE"""),"")</f>
        <v/>
      </c>
      <c r="F5438" s="163"/>
      <c r="G5438" s="163"/>
      <c r="H5438" s="163"/>
      <c r="I5438" s="163"/>
      <c r="J5438" s="165"/>
      <c r="K5438" s="165"/>
      <c r="L5438" s="165"/>
      <c r="M5438" s="166"/>
      <c r="N5438" s="167"/>
      <c r="O5438" s="163"/>
      <c r="P5438" s="163"/>
      <c r="Q5438" s="163"/>
      <c r="R5438" s="163"/>
      <c r="S5438" s="161"/>
      <c r="T5438" s="161"/>
      <c r="U5438" s="161"/>
      <c r="V5438" s="161"/>
      <c r="W5438" s="161"/>
      <c r="X5438" s="161"/>
      <c r="Y5438" s="161"/>
      <c r="Z5438" s="168"/>
      <c r="AA5438" s="168"/>
      <c r="AB5438" s="168"/>
      <c r="AC5438" s="168"/>
    </row>
    <row r="5439">
      <c r="A5439" s="161"/>
      <c r="B5439" s="161"/>
      <c r="C5439" s="162"/>
      <c r="D5439" s="163"/>
      <c r="E5439" s="164" t="str">
        <f>IFERROR(__xludf.DUMMYFUNCTION("""COMPUTED_VALUE"""),"")</f>
        <v/>
      </c>
      <c r="F5439" s="163"/>
      <c r="G5439" s="163"/>
      <c r="H5439" s="163"/>
      <c r="I5439" s="163"/>
      <c r="J5439" s="165"/>
      <c r="K5439" s="165"/>
      <c r="L5439" s="165"/>
      <c r="M5439" s="166"/>
      <c r="N5439" s="167"/>
      <c r="O5439" s="163"/>
      <c r="P5439" s="163"/>
      <c r="Q5439" s="163"/>
      <c r="R5439" s="163"/>
      <c r="S5439" s="161"/>
      <c r="T5439" s="161"/>
      <c r="U5439" s="161"/>
      <c r="V5439" s="161"/>
      <c r="W5439" s="161"/>
      <c r="X5439" s="161"/>
      <c r="Y5439" s="161"/>
      <c r="Z5439" s="168"/>
      <c r="AA5439" s="168"/>
      <c r="AB5439" s="168"/>
      <c r="AC5439" s="168"/>
    </row>
    <row r="5440">
      <c r="A5440" s="161"/>
      <c r="B5440" s="161"/>
      <c r="C5440" s="162"/>
      <c r="D5440" s="163"/>
      <c r="E5440" s="164" t="str">
        <f>IFERROR(__xludf.DUMMYFUNCTION("""COMPUTED_VALUE"""),"")</f>
        <v/>
      </c>
      <c r="F5440" s="163"/>
      <c r="G5440" s="163"/>
      <c r="H5440" s="163"/>
      <c r="I5440" s="163"/>
      <c r="J5440" s="165"/>
      <c r="K5440" s="165"/>
      <c r="L5440" s="165"/>
      <c r="M5440" s="166"/>
      <c r="N5440" s="167"/>
      <c r="O5440" s="163"/>
      <c r="P5440" s="163"/>
      <c r="Q5440" s="163"/>
      <c r="R5440" s="163"/>
      <c r="S5440" s="161"/>
      <c r="T5440" s="161"/>
      <c r="U5440" s="161"/>
      <c r="V5440" s="161"/>
      <c r="W5440" s="161"/>
      <c r="X5440" s="161"/>
      <c r="Y5440" s="161"/>
      <c r="Z5440" s="168"/>
      <c r="AA5440" s="168"/>
      <c r="AB5440" s="168"/>
      <c r="AC5440" s="168"/>
    </row>
    <row r="5441">
      <c r="A5441" s="161"/>
      <c r="B5441" s="161"/>
      <c r="C5441" s="162"/>
      <c r="D5441" s="163"/>
      <c r="E5441" s="164" t="str">
        <f>IFERROR(__xludf.DUMMYFUNCTION("""COMPUTED_VALUE"""),"")</f>
        <v/>
      </c>
      <c r="F5441" s="163"/>
      <c r="G5441" s="163"/>
      <c r="H5441" s="163"/>
      <c r="I5441" s="163"/>
      <c r="J5441" s="165"/>
      <c r="K5441" s="165"/>
      <c r="L5441" s="165"/>
      <c r="M5441" s="166"/>
      <c r="N5441" s="167"/>
      <c r="O5441" s="163"/>
      <c r="P5441" s="163"/>
      <c r="Q5441" s="163"/>
      <c r="R5441" s="163"/>
      <c r="S5441" s="161"/>
      <c r="T5441" s="161"/>
      <c r="U5441" s="161"/>
      <c r="V5441" s="161"/>
      <c r="W5441" s="161"/>
      <c r="X5441" s="161"/>
      <c r="Y5441" s="161"/>
      <c r="Z5441" s="168"/>
      <c r="AA5441" s="168"/>
      <c r="AB5441" s="168"/>
      <c r="AC5441" s="168"/>
    </row>
    <row r="5442">
      <c r="A5442" s="161"/>
      <c r="B5442" s="161"/>
      <c r="C5442" s="162"/>
      <c r="D5442" s="163"/>
      <c r="E5442" s="164" t="str">
        <f>IFERROR(__xludf.DUMMYFUNCTION("""COMPUTED_VALUE"""),"")</f>
        <v/>
      </c>
      <c r="F5442" s="163"/>
      <c r="G5442" s="163"/>
      <c r="H5442" s="163"/>
      <c r="I5442" s="163"/>
      <c r="J5442" s="165"/>
      <c r="K5442" s="165"/>
      <c r="L5442" s="165"/>
      <c r="M5442" s="166"/>
      <c r="N5442" s="167"/>
      <c r="O5442" s="163"/>
      <c r="P5442" s="163"/>
      <c r="Q5442" s="163"/>
      <c r="R5442" s="163"/>
      <c r="S5442" s="161"/>
      <c r="T5442" s="161"/>
      <c r="U5442" s="161"/>
      <c r="V5442" s="161"/>
      <c r="W5442" s="161"/>
      <c r="X5442" s="161"/>
      <c r="Y5442" s="161"/>
      <c r="Z5442" s="168"/>
      <c r="AA5442" s="168"/>
      <c r="AB5442" s="168"/>
      <c r="AC5442" s="168"/>
    </row>
    <row r="5443">
      <c r="A5443" s="161"/>
      <c r="B5443" s="161"/>
      <c r="C5443" s="162"/>
      <c r="D5443" s="163"/>
      <c r="E5443" s="164" t="str">
        <f>IFERROR(__xludf.DUMMYFUNCTION("""COMPUTED_VALUE"""),"")</f>
        <v/>
      </c>
      <c r="F5443" s="163"/>
      <c r="G5443" s="163"/>
      <c r="H5443" s="163"/>
      <c r="I5443" s="163"/>
      <c r="J5443" s="165"/>
      <c r="K5443" s="165"/>
      <c r="L5443" s="165"/>
      <c r="M5443" s="166"/>
      <c r="N5443" s="167"/>
      <c r="O5443" s="163"/>
      <c r="P5443" s="163"/>
      <c r="Q5443" s="163"/>
      <c r="R5443" s="163"/>
      <c r="S5443" s="161"/>
      <c r="T5443" s="161"/>
      <c r="U5443" s="161"/>
      <c r="V5443" s="161"/>
      <c r="W5443" s="161"/>
      <c r="X5443" s="161"/>
      <c r="Y5443" s="161"/>
      <c r="Z5443" s="168"/>
      <c r="AA5443" s="168"/>
      <c r="AB5443" s="168"/>
      <c r="AC5443" s="168"/>
    </row>
    <row r="5444">
      <c r="A5444" s="161"/>
      <c r="B5444" s="161"/>
      <c r="C5444" s="162"/>
      <c r="D5444" s="163"/>
      <c r="E5444" s="164" t="str">
        <f>IFERROR(__xludf.DUMMYFUNCTION("""COMPUTED_VALUE"""),"")</f>
        <v/>
      </c>
      <c r="F5444" s="163"/>
      <c r="G5444" s="163"/>
      <c r="H5444" s="163"/>
      <c r="I5444" s="163"/>
      <c r="J5444" s="165"/>
      <c r="K5444" s="165"/>
      <c r="L5444" s="165"/>
      <c r="M5444" s="166"/>
      <c r="N5444" s="167"/>
      <c r="O5444" s="163"/>
      <c r="P5444" s="163"/>
      <c r="Q5444" s="163"/>
      <c r="R5444" s="163"/>
      <c r="S5444" s="161"/>
      <c r="T5444" s="161"/>
      <c r="U5444" s="161"/>
      <c r="V5444" s="161"/>
      <c r="W5444" s="161"/>
      <c r="X5444" s="161"/>
      <c r="Y5444" s="161"/>
      <c r="Z5444" s="168"/>
      <c r="AA5444" s="168"/>
      <c r="AB5444" s="168"/>
      <c r="AC5444" s="168"/>
    </row>
    <row r="5445">
      <c r="A5445" s="161"/>
      <c r="B5445" s="161"/>
      <c r="C5445" s="162"/>
      <c r="D5445" s="163"/>
      <c r="E5445" s="164" t="str">
        <f>IFERROR(__xludf.DUMMYFUNCTION("""COMPUTED_VALUE"""),"")</f>
        <v/>
      </c>
      <c r="F5445" s="163"/>
      <c r="G5445" s="163"/>
      <c r="H5445" s="163"/>
      <c r="I5445" s="163"/>
      <c r="J5445" s="165"/>
      <c r="K5445" s="165"/>
      <c r="L5445" s="165"/>
      <c r="M5445" s="166"/>
      <c r="N5445" s="167"/>
      <c r="O5445" s="163"/>
      <c r="P5445" s="163"/>
      <c r="Q5445" s="163"/>
      <c r="R5445" s="163"/>
      <c r="S5445" s="161"/>
      <c r="T5445" s="161"/>
      <c r="U5445" s="161"/>
      <c r="V5445" s="161"/>
      <c r="W5445" s="161"/>
      <c r="X5445" s="161"/>
      <c r="Y5445" s="161"/>
      <c r="Z5445" s="168"/>
      <c r="AA5445" s="168"/>
      <c r="AB5445" s="168"/>
      <c r="AC5445" s="168"/>
    </row>
    <row r="5446">
      <c r="A5446" s="161"/>
      <c r="B5446" s="161"/>
      <c r="C5446" s="162"/>
      <c r="D5446" s="163"/>
      <c r="E5446" s="164" t="str">
        <f>IFERROR(__xludf.DUMMYFUNCTION("""COMPUTED_VALUE"""),"")</f>
        <v/>
      </c>
      <c r="F5446" s="163"/>
      <c r="G5446" s="163"/>
      <c r="H5446" s="163"/>
      <c r="I5446" s="163"/>
      <c r="J5446" s="165"/>
      <c r="K5446" s="165"/>
      <c r="L5446" s="165"/>
      <c r="M5446" s="166"/>
      <c r="N5446" s="167"/>
      <c r="O5446" s="163"/>
      <c r="P5446" s="163"/>
      <c r="Q5446" s="163"/>
      <c r="R5446" s="163"/>
      <c r="S5446" s="161"/>
      <c r="T5446" s="161"/>
      <c r="U5446" s="161"/>
      <c r="V5446" s="161"/>
      <c r="W5446" s="161"/>
      <c r="X5446" s="161"/>
      <c r="Y5446" s="161"/>
      <c r="Z5446" s="168"/>
      <c r="AA5446" s="168"/>
      <c r="AB5446" s="168"/>
      <c r="AC5446" s="168"/>
    </row>
    <row r="5447">
      <c r="A5447" s="161"/>
      <c r="B5447" s="161"/>
      <c r="C5447" s="162"/>
      <c r="D5447" s="163"/>
      <c r="E5447" s="164" t="str">
        <f>IFERROR(__xludf.DUMMYFUNCTION("""COMPUTED_VALUE"""),"")</f>
        <v/>
      </c>
      <c r="F5447" s="163"/>
      <c r="G5447" s="163"/>
      <c r="H5447" s="163"/>
      <c r="I5447" s="163"/>
      <c r="J5447" s="165"/>
      <c r="K5447" s="165"/>
      <c r="L5447" s="165"/>
      <c r="M5447" s="166"/>
      <c r="N5447" s="167"/>
      <c r="O5447" s="163"/>
      <c r="P5447" s="163"/>
      <c r="Q5447" s="163"/>
      <c r="R5447" s="163"/>
      <c r="S5447" s="161"/>
      <c r="T5447" s="161"/>
      <c r="U5447" s="161"/>
      <c r="V5447" s="161"/>
      <c r="W5447" s="161"/>
      <c r="X5447" s="161"/>
      <c r="Y5447" s="161"/>
      <c r="Z5447" s="168"/>
      <c r="AA5447" s="168"/>
      <c r="AB5447" s="168"/>
      <c r="AC5447" s="168"/>
    </row>
    <row r="5448">
      <c r="A5448" s="161"/>
      <c r="B5448" s="161"/>
      <c r="C5448" s="162"/>
      <c r="D5448" s="163"/>
      <c r="E5448" s="164" t="str">
        <f>IFERROR(__xludf.DUMMYFUNCTION("""COMPUTED_VALUE"""),"")</f>
        <v/>
      </c>
      <c r="F5448" s="163"/>
      <c r="G5448" s="163"/>
      <c r="H5448" s="163"/>
      <c r="I5448" s="163"/>
      <c r="J5448" s="165"/>
      <c r="K5448" s="165"/>
      <c r="L5448" s="165"/>
      <c r="M5448" s="166"/>
      <c r="N5448" s="167"/>
      <c r="O5448" s="163"/>
      <c r="P5448" s="163"/>
      <c r="Q5448" s="163"/>
      <c r="R5448" s="163"/>
      <c r="S5448" s="161"/>
      <c r="T5448" s="161"/>
      <c r="U5448" s="161"/>
      <c r="V5448" s="161"/>
      <c r="W5448" s="161"/>
      <c r="X5448" s="161"/>
      <c r="Y5448" s="161"/>
      <c r="Z5448" s="168"/>
      <c r="AA5448" s="168"/>
      <c r="AB5448" s="168"/>
      <c r="AC5448" s="168"/>
    </row>
    <row r="5449">
      <c r="A5449" s="161"/>
      <c r="B5449" s="161"/>
      <c r="C5449" s="162"/>
      <c r="D5449" s="163"/>
      <c r="E5449" s="164" t="str">
        <f>IFERROR(__xludf.DUMMYFUNCTION("""COMPUTED_VALUE"""),"")</f>
        <v/>
      </c>
      <c r="F5449" s="163"/>
      <c r="G5449" s="163"/>
      <c r="H5449" s="163"/>
      <c r="I5449" s="163"/>
      <c r="J5449" s="165"/>
      <c r="K5449" s="165"/>
      <c r="L5449" s="165"/>
      <c r="M5449" s="166"/>
      <c r="N5449" s="167"/>
      <c r="O5449" s="163"/>
      <c r="P5449" s="163"/>
      <c r="Q5449" s="163"/>
      <c r="R5449" s="163"/>
      <c r="S5449" s="161"/>
      <c r="T5449" s="161"/>
      <c r="U5449" s="161"/>
      <c r="V5449" s="161"/>
      <c r="W5449" s="161"/>
      <c r="X5449" s="161"/>
      <c r="Y5449" s="161"/>
      <c r="Z5449" s="168"/>
      <c r="AA5449" s="168"/>
      <c r="AB5449" s="168"/>
      <c r="AC5449" s="168"/>
    </row>
    <row r="5450">
      <c r="A5450" s="161"/>
      <c r="B5450" s="161"/>
      <c r="C5450" s="162"/>
      <c r="D5450" s="163"/>
      <c r="E5450" s="164" t="str">
        <f>IFERROR(__xludf.DUMMYFUNCTION("""COMPUTED_VALUE"""),"")</f>
        <v/>
      </c>
      <c r="F5450" s="163"/>
      <c r="G5450" s="163"/>
      <c r="H5450" s="163"/>
      <c r="I5450" s="163"/>
      <c r="J5450" s="165"/>
      <c r="K5450" s="165"/>
      <c r="L5450" s="165"/>
      <c r="M5450" s="166"/>
      <c r="N5450" s="167"/>
      <c r="O5450" s="163"/>
      <c r="P5450" s="163"/>
      <c r="Q5450" s="163"/>
      <c r="R5450" s="163"/>
      <c r="S5450" s="161"/>
      <c r="T5450" s="161"/>
      <c r="U5450" s="161"/>
      <c r="V5450" s="161"/>
      <c r="W5450" s="161"/>
      <c r="X5450" s="161"/>
      <c r="Y5450" s="161"/>
      <c r="Z5450" s="168"/>
      <c r="AA5450" s="168"/>
      <c r="AB5450" s="168"/>
      <c r="AC5450" s="168"/>
    </row>
    <row r="5451">
      <c r="A5451" s="161"/>
      <c r="B5451" s="161"/>
      <c r="C5451" s="162"/>
      <c r="D5451" s="163"/>
      <c r="E5451" s="164" t="str">
        <f>IFERROR(__xludf.DUMMYFUNCTION("""COMPUTED_VALUE"""),"")</f>
        <v/>
      </c>
      <c r="F5451" s="163"/>
      <c r="G5451" s="163"/>
      <c r="H5451" s="163"/>
      <c r="I5451" s="163"/>
      <c r="J5451" s="165"/>
      <c r="K5451" s="165"/>
      <c r="L5451" s="165"/>
      <c r="M5451" s="166"/>
      <c r="N5451" s="167"/>
      <c r="O5451" s="163"/>
      <c r="P5451" s="163"/>
      <c r="Q5451" s="163"/>
      <c r="R5451" s="163"/>
      <c r="S5451" s="161"/>
      <c r="T5451" s="161"/>
      <c r="U5451" s="161"/>
      <c r="V5451" s="161"/>
      <c r="W5451" s="161"/>
      <c r="X5451" s="161"/>
      <c r="Y5451" s="161"/>
      <c r="Z5451" s="168"/>
      <c r="AA5451" s="168"/>
      <c r="AB5451" s="168"/>
      <c r="AC5451" s="168"/>
    </row>
    <row r="5452">
      <c r="A5452" s="161"/>
      <c r="B5452" s="161"/>
      <c r="C5452" s="162"/>
      <c r="D5452" s="163"/>
      <c r="E5452" s="164" t="str">
        <f>IFERROR(__xludf.DUMMYFUNCTION("""COMPUTED_VALUE"""),"")</f>
        <v/>
      </c>
      <c r="F5452" s="163"/>
      <c r="G5452" s="163"/>
      <c r="H5452" s="163"/>
      <c r="I5452" s="163"/>
      <c r="J5452" s="165"/>
      <c r="K5452" s="165"/>
      <c r="L5452" s="165"/>
      <c r="M5452" s="166"/>
      <c r="N5452" s="167"/>
      <c r="O5452" s="163"/>
      <c r="P5452" s="163"/>
      <c r="Q5452" s="163"/>
      <c r="R5452" s="163"/>
      <c r="S5452" s="161"/>
      <c r="T5452" s="161"/>
      <c r="U5452" s="161"/>
      <c r="V5452" s="161"/>
      <c r="W5452" s="161"/>
      <c r="X5452" s="161"/>
      <c r="Y5452" s="161"/>
      <c r="Z5452" s="168"/>
      <c r="AA5452" s="168"/>
      <c r="AB5452" s="168"/>
      <c r="AC5452" s="168"/>
    </row>
    <row r="5453">
      <c r="A5453" s="161"/>
      <c r="B5453" s="161"/>
      <c r="C5453" s="162"/>
      <c r="D5453" s="163"/>
      <c r="E5453" s="164" t="str">
        <f>IFERROR(__xludf.DUMMYFUNCTION("""COMPUTED_VALUE"""),"")</f>
        <v/>
      </c>
      <c r="F5453" s="163"/>
      <c r="G5453" s="163"/>
      <c r="H5453" s="163"/>
      <c r="I5453" s="163"/>
      <c r="J5453" s="165"/>
      <c r="K5453" s="165"/>
      <c r="L5453" s="165"/>
      <c r="M5453" s="166"/>
      <c r="N5453" s="167"/>
      <c r="O5453" s="163"/>
      <c r="P5453" s="163"/>
      <c r="Q5453" s="163"/>
      <c r="R5453" s="163"/>
      <c r="S5453" s="161"/>
      <c r="T5453" s="161"/>
      <c r="U5453" s="161"/>
      <c r="V5453" s="161"/>
      <c r="W5453" s="161"/>
      <c r="X5453" s="161"/>
      <c r="Y5453" s="161"/>
      <c r="Z5453" s="168"/>
      <c r="AA5453" s="168"/>
      <c r="AB5453" s="168"/>
      <c r="AC5453" s="168"/>
    </row>
    <row r="5454">
      <c r="A5454" s="161"/>
      <c r="B5454" s="161"/>
      <c r="C5454" s="162"/>
      <c r="D5454" s="163"/>
      <c r="E5454" s="164" t="str">
        <f>IFERROR(__xludf.DUMMYFUNCTION("""COMPUTED_VALUE"""),"")</f>
        <v/>
      </c>
      <c r="F5454" s="163"/>
      <c r="G5454" s="163"/>
      <c r="H5454" s="163"/>
      <c r="I5454" s="163"/>
      <c r="J5454" s="165"/>
      <c r="K5454" s="165"/>
      <c r="L5454" s="165"/>
      <c r="M5454" s="166"/>
      <c r="N5454" s="167"/>
      <c r="O5454" s="163"/>
      <c r="P5454" s="163"/>
      <c r="Q5454" s="163"/>
      <c r="R5454" s="163"/>
      <c r="S5454" s="161"/>
      <c r="T5454" s="161"/>
      <c r="U5454" s="161"/>
      <c r="V5454" s="161"/>
      <c r="W5454" s="161"/>
      <c r="X5454" s="161"/>
      <c r="Y5454" s="161"/>
      <c r="Z5454" s="168"/>
      <c r="AA5454" s="168"/>
      <c r="AB5454" s="168"/>
      <c r="AC5454" s="168"/>
    </row>
    <row r="5455">
      <c r="A5455" s="161"/>
      <c r="B5455" s="161"/>
      <c r="C5455" s="162"/>
      <c r="D5455" s="163"/>
      <c r="E5455" s="164" t="str">
        <f>IFERROR(__xludf.DUMMYFUNCTION("""COMPUTED_VALUE"""),"")</f>
        <v/>
      </c>
      <c r="F5455" s="163"/>
      <c r="G5455" s="163"/>
      <c r="H5455" s="163"/>
      <c r="I5455" s="163"/>
      <c r="J5455" s="165"/>
      <c r="K5455" s="165"/>
      <c r="L5455" s="165"/>
      <c r="M5455" s="166"/>
      <c r="N5455" s="167"/>
      <c r="O5455" s="163"/>
      <c r="P5455" s="163"/>
      <c r="Q5455" s="163"/>
      <c r="R5455" s="163"/>
      <c r="S5455" s="161"/>
      <c r="T5455" s="161"/>
      <c r="U5455" s="161"/>
      <c r="V5455" s="161"/>
      <c r="W5455" s="161"/>
      <c r="X5455" s="161"/>
      <c r="Y5455" s="161"/>
      <c r="Z5455" s="168"/>
      <c r="AA5455" s="168"/>
      <c r="AB5455" s="168"/>
      <c r="AC5455" s="168"/>
    </row>
    <row r="5456">
      <c r="A5456" s="161"/>
      <c r="B5456" s="161"/>
      <c r="C5456" s="162"/>
      <c r="D5456" s="163"/>
      <c r="E5456" s="164" t="str">
        <f>IFERROR(__xludf.DUMMYFUNCTION("""COMPUTED_VALUE"""),"")</f>
        <v/>
      </c>
      <c r="F5456" s="163"/>
      <c r="G5456" s="163"/>
      <c r="H5456" s="163"/>
      <c r="I5456" s="163"/>
      <c r="J5456" s="165"/>
      <c r="K5456" s="165"/>
      <c r="L5456" s="165"/>
      <c r="M5456" s="166"/>
      <c r="N5456" s="167"/>
      <c r="O5456" s="163"/>
      <c r="P5456" s="163"/>
      <c r="Q5456" s="163"/>
      <c r="R5456" s="163"/>
      <c r="S5456" s="161"/>
      <c r="T5456" s="161"/>
      <c r="U5456" s="161"/>
      <c r="V5456" s="161"/>
      <c r="W5456" s="161"/>
      <c r="X5456" s="161"/>
      <c r="Y5456" s="161"/>
      <c r="Z5456" s="168"/>
      <c r="AA5456" s="168"/>
      <c r="AB5456" s="168"/>
      <c r="AC5456" s="168"/>
    </row>
    <row r="5457">
      <c r="A5457" s="161"/>
      <c r="B5457" s="161"/>
      <c r="C5457" s="162"/>
      <c r="D5457" s="163"/>
      <c r="E5457" s="164" t="str">
        <f>IFERROR(__xludf.DUMMYFUNCTION("""COMPUTED_VALUE"""),"")</f>
        <v/>
      </c>
      <c r="F5457" s="163"/>
      <c r="G5457" s="163"/>
      <c r="H5457" s="163"/>
      <c r="I5457" s="163"/>
      <c r="J5457" s="165"/>
      <c r="K5457" s="165"/>
      <c r="L5457" s="165"/>
      <c r="M5457" s="166"/>
      <c r="N5457" s="167"/>
      <c r="O5457" s="163"/>
      <c r="P5457" s="163"/>
      <c r="Q5457" s="163"/>
      <c r="R5457" s="163"/>
      <c r="S5457" s="161"/>
      <c r="T5457" s="161"/>
      <c r="U5457" s="161"/>
      <c r="V5457" s="161"/>
      <c r="W5457" s="161"/>
      <c r="X5457" s="161"/>
      <c r="Y5457" s="161"/>
      <c r="Z5457" s="168"/>
      <c r="AA5457" s="168"/>
      <c r="AB5457" s="168"/>
      <c r="AC5457" s="168"/>
    </row>
    <row r="5458">
      <c r="A5458" s="161"/>
      <c r="B5458" s="161"/>
      <c r="C5458" s="162"/>
      <c r="D5458" s="163"/>
      <c r="E5458" s="164" t="str">
        <f>IFERROR(__xludf.DUMMYFUNCTION("""COMPUTED_VALUE"""),"")</f>
        <v/>
      </c>
      <c r="F5458" s="163"/>
      <c r="G5458" s="163"/>
      <c r="H5458" s="163"/>
      <c r="I5458" s="163"/>
      <c r="J5458" s="165"/>
      <c r="K5458" s="165"/>
      <c r="L5458" s="165"/>
      <c r="M5458" s="166"/>
      <c r="N5458" s="167"/>
      <c r="O5458" s="163"/>
      <c r="P5458" s="163"/>
      <c r="Q5458" s="163"/>
      <c r="R5458" s="163"/>
      <c r="S5458" s="161"/>
      <c r="T5458" s="161"/>
      <c r="U5458" s="161"/>
      <c r="V5458" s="161"/>
      <c r="W5458" s="161"/>
      <c r="X5458" s="161"/>
      <c r="Y5458" s="161"/>
      <c r="Z5458" s="168"/>
      <c r="AA5458" s="168"/>
      <c r="AB5458" s="168"/>
      <c r="AC5458" s="168"/>
    </row>
    <row r="5459">
      <c r="A5459" s="161"/>
      <c r="B5459" s="161"/>
      <c r="C5459" s="162"/>
      <c r="D5459" s="163"/>
      <c r="E5459" s="164" t="str">
        <f>IFERROR(__xludf.DUMMYFUNCTION("""COMPUTED_VALUE"""),"")</f>
        <v/>
      </c>
      <c r="F5459" s="163"/>
      <c r="G5459" s="163"/>
      <c r="H5459" s="163"/>
      <c r="I5459" s="163"/>
      <c r="J5459" s="165"/>
      <c r="K5459" s="165"/>
      <c r="L5459" s="165"/>
      <c r="M5459" s="166"/>
      <c r="N5459" s="167"/>
      <c r="O5459" s="163"/>
      <c r="P5459" s="163"/>
      <c r="Q5459" s="163"/>
      <c r="R5459" s="163"/>
      <c r="S5459" s="161"/>
      <c r="T5459" s="161"/>
      <c r="U5459" s="161"/>
      <c r="V5459" s="161"/>
      <c r="W5459" s="161"/>
      <c r="X5459" s="161"/>
      <c r="Y5459" s="161"/>
      <c r="Z5459" s="168"/>
      <c r="AA5459" s="168"/>
      <c r="AB5459" s="168"/>
      <c r="AC5459" s="168"/>
    </row>
    <row r="5460">
      <c r="A5460" s="161"/>
      <c r="B5460" s="161"/>
      <c r="C5460" s="162"/>
      <c r="D5460" s="163"/>
      <c r="E5460" s="164" t="str">
        <f>IFERROR(__xludf.DUMMYFUNCTION("""COMPUTED_VALUE"""),"")</f>
        <v/>
      </c>
      <c r="F5460" s="163"/>
      <c r="G5460" s="163"/>
      <c r="H5460" s="163"/>
      <c r="I5460" s="163"/>
      <c r="J5460" s="165"/>
      <c r="K5460" s="165"/>
      <c r="L5460" s="165"/>
      <c r="M5460" s="166"/>
      <c r="N5460" s="167"/>
      <c r="O5460" s="163"/>
      <c r="P5460" s="163"/>
      <c r="Q5460" s="163"/>
      <c r="R5460" s="163"/>
      <c r="S5460" s="161"/>
      <c r="T5460" s="161"/>
      <c r="U5460" s="161"/>
      <c r="V5460" s="161"/>
      <c r="W5460" s="161"/>
      <c r="X5460" s="161"/>
      <c r="Y5460" s="161"/>
      <c r="Z5460" s="168"/>
      <c r="AA5460" s="168"/>
      <c r="AB5460" s="168"/>
      <c r="AC5460" s="168"/>
    </row>
    <row r="5461">
      <c r="A5461" s="161"/>
      <c r="B5461" s="161"/>
      <c r="C5461" s="162"/>
      <c r="D5461" s="163"/>
      <c r="E5461" s="164" t="str">
        <f>IFERROR(__xludf.DUMMYFUNCTION("""COMPUTED_VALUE"""),"")</f>
        <v/>
      </c>
      <c r="F5461" s="163"/>
      <c r="G5461" s="163"/>
      <c r="H5461" s="163"/>
      <c r="I5461" s="163"/>
      <c r="J5461" s="165"/>
      <c r="K5461" s="165"/>
      <c r="L5461" s="165"/>
      <c r="M5461" s="166"/>
      <c r="N5461" s="167"/>
      <c r="O5461" s="163"/>
      <c r="P5461" s="163"/>
      <c r="Q5461" s="163"/>
      <c r="R5461" s="163"/>
      <c r="S5461" s="161"/>
      <c r="T5461" s="161"/>
      <c r="U5461" s="161"/>
      <c r="V5461" s="161"/>
      <c r="W5461" s="161"/>
      <c r="X5461" s="161"/>
      <c r="Y5461" s="161"/>
      <c r="Z5461" s="168"/>
      <c r="AA5461" s="168"/>
      <c r="AB5461" s="168"/>
      <c r="AC5461" s="168"/>
    </row>
    <row r="5462">
      <c r="A5462" s="161"/>
      <c r="B5462" s="161"/>
      <c r="C5462" s="162"/>
      <c r="D5462" s="163"/>
      <c r="E5462" s="164" t="str">
        <f>IFERROR(__xludf.DUMMYFUNCTION("""COMPUTED_VALUE"""),"")</f>
        <v/>
      </c>
      <c r="F5462" s="163"/>
      <c r="G5462" s="163"/>
      <c r="H5462" s="163"/>
      <c r="I5462" s="163"/>
      <c r="J5462" s="165"/>
      <c r="K5462" s="165"/>
      <c r="L5462" s="165"/>
      <c r="M5462" s="166"/>
      <c r="N5462" s="167"/>
      <c r="O5462" s="163"/>
      <c r="P5462" s="163"/>
      <c r="Q5462" s="163"/>
      <c r="R5462" s="163"/>
      <c r="S5462" s="161"/>
      <c r="T5462" s="161"/>
      <c r="U5462" s="161"/>
      <c r="V5462" s="161"/>
      <c r="W5462" s="161"/>
      <c r="X5462" s="161"/>
      <c r="Y5462" s="161"/>
      <c r="Z5462" s="168"/>
      <c r="AA5462" s="168"/>
      <c r="AB5462" s="168"/>
      <c r="AC5462" s="168"/>
    </row>
    <row r="5463">
      <c r="A5463" s="161"/>
      <c r="B5463" s="161"/>
      <c r="C5463" s="162"/>
      <c r="D5463" s="163"/>
      <c r="E5463" s="164" t="str">
        <f>IFERROR(__xludf.DUMMYFUNCTION("""COMPUTED_VALUE"""),"")</f>
        <v/>
      </c>
      <c r="F5463" s="163"/>
      <c r="G5463" s="163"/>
      <c r="H5463" s="163"/>
      <c r="I5463" s="163"/>
      <c r="J5463" s="165"/>
      <c r="K5463" s="165"/>
      <c r="L5463" s="165"/>
      <c r="M5463" s="166"/>
      <c r="N5463" s="167"/>
      <c r="O5463" s="163"/>
      <c r="P5463" s="163"/>
      <c r="Q5463" s="163"/>
      <c r="R5463" s="163"/>
      <c r="S5463" s="161"/>
      <c r="T5463" s="161"/>
      <c r="U5463" s="161"/>
      <c r="V5463" s="161"/>
      <c r="W5463" s="161"/>
      <c r="X5463" s="161"/>
      <c r="Y5463" s="161"/>
      <c r="Z5463" s="168"/>
      <c r="AA5463" s="168"/>
      <c r="AB5463" s="168"/>
      <c r="AC5463" s="168"/>
    </row>
    <row r="5464">
      <c r="A5464" s="161"/>
      <c r="B5464" s="161"/>
      <c r="C5464" s="162"/>
      <c r="D5464" s="163"/>
      <c r="E5464" s="164" t="str">
        <f>IFERROR(__xludf.DUMMYFUNCTION("""COMPUTED_VALUE"""),"")</f>
        <v/>
      </c>
      <c r="F5464" s="163"/>
      <c r="G5464" s="163"/>
      <c r="H5464" s="163"/>
      <c r="I5464" s="163"/>
      <c r="J5464" s="165"/>
      <c r="K5464" s="165"/>
      <c r="L5464" s="165"/>
      <c r="M5464" s="166"/>
      <c r="N5464" s="167"/>
      <c r="O5464" s="163"/>
      <c r="P5464" s="163"/>
      <c r="Q5464" s="163"/>
      <c r="R5464" s="163"/>
      <c r="S5464" s="161"/>
      <c r="T5464" s="161"/>
      <c r="U5464" s="161"/>
      <c r="V5464" s="161"/>
      <c r="W5464" s="161"/>
      <c r="X5464" s="161"/>
      <c r="Y5464" s="161"/>
      <c r="Z5464" s="168"/>
      <c r="AA5464" s="168"/>
      <c r="AB5464" s="168"/>
      <c r="AC5464" s="168"/>
    </row>
    <row r="5465">
      <c r="A5465" s="161"/>
      <c r="B5465" s="161"/>
      <c r="C5465" s="162"/>
      <c r="D5465" s="163"/>
      <c r="E5465" s="164" t="str">
        <f>IFERROR(__xludf.DUMMYFUNCTION("""COMPUTED_VALUE"""),"")</f>
        <v/>
      </c>
      <c r="F5465" s="163"/>
      <c r="G5465" s="163"/>
      <c r="H5465" s="163"/>
      <c r="I5465" s="163"/>
      <c r="J5465" s="165"/>
      <c r="K5465" s="165"/>
      <c r="L5465" s="165"/>
      <c r="M5465" s="166"/>
      <c r="N5465" s="167"/>
      <c r="O5465" s="163"/>
      <c r="P5465" s="163"/>
      <c r="Q5465" s="163"/>
      <c r="R5465" s="163"/>
      <c r="S5465" s="161"/>
      <c r="T5465" s="161"/>
      <c r="U5465" s="161"/>
      <c r="V5465" s="161"/>
      <c r="W5465" s="161"/>
      <c r="X5465" s="161"/>
      <c r="Y5465" s="161"/>
      <c r="Z5465" s="168"/>
      <c r="AA5465" s="168"/>
      <c r="AB5465" s="168"/>
      <c r="AC5465" s="168"/>
    </row>
    <row r="5466">
      <c r="A5466" s="161"/>
      <c r="B5466" s="161"/>
      <c r="C5466" s="162"/>
      <c r="D5466" s="163"/>
      <c r="E5466" s="164" t="str">
        <f>IFERROR(__xludf.DUMMYFUNCTION("""COMPUTED_VALUE"""),"")</f>
        <v/>
      </c>
      <c r="F5466" s="163"/>
      <c r="G5466" s="163"/>
      <c r="H5466" s="163"/>
      <c r="I5466" s="163"/>
      <c r="J5466" s="165"/>
      <c r="K5466" s="165"/>
      <c r="L5466" s="165"/>
      <c r="M5466" s="166"/>
      <c r="N5466" s="167"/>
      <c r="O5466" s="163"/>
      <c r="P5466" s="163"/>
      <c r="Q5466" s="163"/>
      <c r="R5466" s="163"/>
      <c r="S5466" s="161"/>
      <c r="T5466" s="161"/>
      <c r="U5466" s="161"/>
      <c r="V5466" s="161"/>
      <c r="W5466" s="161"/>
      <c r="X5466" s="161"/>
      <c r="Y5466" s="161"/>
      <c r="Z5466" s="168"/>
      <c r="AA5466" s="168"/>
      <c r="AB5466" s="168"/>
      <c r="AC5466" s="168"/>
    </row>
    <row r="5467">
      <c r="A5467" s="161"/>
      <c r="B5467" s="161"/>
      <c r="C5467" s="162"/>
      <c r="D5467" s="163"/>
      <c r="E5467" s="164" t="str">
        <f>IFERROR(__xludf.DUMMYFUNCTION("""COMPUTED_VALUE"""),"")</f>
        <v/>
      </c>
      <c r="F5467" s="163"/>
      <c r="G5467" s="163"/>
      <c r="H5467" s="163"/>
      <c r="I5467" s="163"/>
      <c r="J5467" s="165"/>
      <c r="K5467" s="165"/>
      <c r="L5467" s="165"/>
      <c r="M5467" s="166"/>
      <c r="N5467" s="167"/>
      <c r="O5467" s="163"/>
      <c r="P5467" s="163"/>
      <c r="Q5467" s="163"/>
      <c r="R5467" s="163"/>
      <c r="S5467" s="161"/>
      <c r="T5467" s="161"/>
      <c r="U5467" s="161"/>
      <c r="V5467" s="161"/>
      <c r="W5467" s="161"/>
      <c r="X5467" s="161"/>
      <c r="Y5467" s="161"/>
      <c r="Z5467" s="168"/>
      <c r="AA5467" s="168"/>
      <c r="AB5467" s="168"/>
      <c r="AC5467" s="168"/>
    </row>
    <row r="5468">
      <c r="A5468" s="161"/>
      <c r="B5468" s="161"/>
      <c r="C5468" s="162"/>
      <c r="D5468" s="163"/>
      <c r="E5468" s="164" t="str">
        <f>IFERROR(__xludf.DUMMYFUNCTION("""COMPUTED_VALUE"""),"")</f>
        <v/>
      </c>
      <c r="F5468" s="163"/>
      <c r="G5468" s="163"/>
      <c r="H5468" s="163"/>
      <c r="I5468" s="163"/>
      <c r="J5468" s="165"/>
      <c r="K5468" s="165"/>
      <c r="L5468" s="165"/>
      <c r="M5468" s="166"/>
      <c r="N5468" s="167"/>
      <c r="O5468" s="163"/>
      <c r="P5468" s="163"/>
      <c r="Q5468" s="163"/>
      <c r="R5468" s="163"/>
      <c r="S5468" s="161"/>
      <c r="T5468" s="161"/>
      <c r="U5468" s="161"/>
      <c r="V5468" s="161"/>
      <c r="W5468" s="161"/>
      <c r="X5468" s="161"/>
      <c r="Y5468" s="161"/>
      <c r="Z5468" s="168"/>
      <c r="AA5468" s="168"/>
      <c r="AB5468" s="168"/>
      <c r="AC5468" s="168"/>
    </row>
    <row r="5469">
      <c r="A5469" s="161"/>
      <c r="B5469" s="161"/>
      <c r="C5469" s="162"/>
      <c r="D5469" s="163"/>
      <c r="E5469" s="164" t="str">
        <f>IFERROR(__xludf.DUMMYFUNCTION("""COMPUTED_VALUE"""),"")</f>
        <v/>
      </c>
      <c r="F5469" s="163"/>
      <c r="G5469" s="163"/>
      <c r="H5469" s="163"/>
      <c r="I5469" s="163"/>
      <c r="J5469" s="165"/>
      <c r="K5469" s="165"/>
      <c r="L5469" s="165"/>
      <c r="M5469" s="166"/>
      <c r="N5469" s="167"/>
      <c r="O5469" s="163"/>
      <c r="P5469" s="163"/>
      <c r="Q5469" s="163"/>
      <c r="R5469" s="163"/>
      <c r="S5469" s="161"/>
      <c r="T5469" s="161"/>
      <c r="U5469" s="161"/>
      <c r="V5469" s="161"/>
      <c r="W5469" s="161"/>
      <c r="X5469" s="161"/>
      <c r="Y5469" s="161"/>
      <c r="Z5469" s="168"/>
      <c r="AA5469" s="168"/>
      <c r="AB5469" s="168"/>
      <c r="AC5469" s="168"/>
    </row>
    <row r="5470">
      <c r="A5470" s="161"/>
      <c r="B5470" s="161"/>
      <c r="C5470" s="162"/>
      <c r="D5470" s="163"/>
      <c r="E5470" s="164" t="str">
        <f>IFERROR(__xludf.DUMMYFUNCTION("""COMPUTED_VALUE"""),"")</f>
        <v/>
      </c>
      <c r="F5470" s="163"/>
      <c r="G5470" s="163"/>
      <c r="H5470" s="163"/>
      <c r="I5470" s="163"/>
      <c r="J5470" s="165"/>
      <c r="K5470" s="165"/>
      <c r="L5470" s="165"/>
      <c r="M5470" s="166"/>
      <c r="N5470" s="167"/>
      <c r="O5470" s="163"/>
      <c r="P5470" s="163"/>
      <c r="Q5470" s="163"/>
      <c r="R5470" s="163"/>
      <c r="S5470" s="161"/>
      <c r="T5470" s="161"/>
      <c r="U5470" s="161"/>
      <c r="V5470" s="161"/>
      <c r="W5470" s="161"/>
      <c r="X5470" s="161"/>
      <c r="Y5470" s="161"/>
      <c r="Z5470" s="168"/>
      <c r="AA5470" s="168"/>
      <c r="AB5470" s="168"/>
      <c r="AC5470" s="168"/>
    </row>
    <row r="5471">
      <c r="A5471" s="161"/>
      <c r="B5471" s="161"/>
      <c r="C5471" s="162"/>
      <c r="D5471" s="163"/>
      <c r="E5471" s="164" t="str">
        <f>IFERROR(__xludf.DUMMYFUNCTION("""COMPUTED_VALUE"""),"")</f>
        <v/>
      </c>
      <c r="F5471" s="163"/>
      <c r="G5471" s="163"/>
      <c r="H5471" s="163"/>
      <c r="I5471" s="163"/>
      <c r="J5471" s="165"/>
      <c r="K5471" s="165"/>
      <c r="L5471" s="165"/>
      <c r="M5471" s="166"/>
      <c r="N5471" s="167"/>
      <c r="O5471" s="163"/>
      <c r="P5471" s="163"/>
      <c r="Q5471" s="163"/>
      <c r="R5471" s="163"/>
      <c r="S5471" s="161"/>
      <c r="T5471" s="161"/>
      <c r="U5471" s="161"/>
      <c r="V5471" s="161"/>
      <c r="W5471" s="161"/>
      <c r="X5471" s="161"/>
      <c r="Y5471" s="161"/>
      <c r="Z5471" s="168"/>
      <c r="AA5471" s="168"/>
      <c r="AB5471" s="168"/>
      <c r="AC5471" s="168"/>
    </row>
    <row r="5472">
      <c r="A5472" s="161"/>
      <c r="B5472" s="161"/>
      <c r="C5472" s="162"/>
      <c r="D5472" s="163"/>
      <c r="E5472" s="164" t="str">
        <f>IFERROR(__xludf.DUMMYFUNCTION("""COMPUTED_VALUE"""),"")</f>
        <v/>
      </c>
      <c r="F5472" s="163"/>
      <c r="G5472" s="163"/>
      <c r="H5472" s="163"/>
      <c r="I5472" s="163"/>
      <c r="J5472" s="165"/>
      <c r="K5472" s="165"/>
      <c r="L5472" s="165"/>
      <c r="M5472" s="166"/>
      <c r="N5472" s="167"/>
      <c r="O5472" s="163"/>
      <c r="P5472" s="163"/>
      <c r="Q5472" s="163"/>
      <c r="R5472" s="163"/>
      <c r="S5472" s="161"/>
      <c r="T5472" s="161"/>
      <c r="U5472" s="161"/>
      <c r="V5472" s="161"/>
      <c r="W5472" s="161"/>
      <c r="X5472" s="161"/>
      <c r="Y5472" s="161"/>
      <c r="Z5472" s="168"/>
      <c r="AA5472" s="168"/>
      <c r="AB5472" s="168"/>
      <c r="AC5472" s="168"/>
    </row>
    <row r="5473">
      <c r="A5473" s="161"/>
      <c r="B5473" s="161"/>
      <c r="C5473" s="162"/>
      <c r="D5473" s="163"/>
      <c r="E5473" s="164" t="str">
        <f>IFERROR(__xludf.DUMMYFUNCTION("""COMPUTED_VALUE"""),"")</f>
        <v/>
      </c>
      <c r="F5473" s="163"/>
      <c r="G5473" s="163"/>
      <c r="H5473" s="163"/>
      <c r="I5473" s="163"/>
      <c r="J5473" s="165"/>
      <c r="K5473" s="165"/>
      <c r="L5473" s="165"/>
      <c r="M5473" s="166"/>
      <c r="N5473" s="167"/>
      <c r="O5473" s="163"/>
      <c r="P5473" s="163"/>
      <c r="Q5473" s="163"/>
      <c r="R5473" s="163"/>
      <c r="S5473" s="161"/>
      <c r="T5473" s="161"/>
      <c r="U5473" s="161"/>
      <c r="V5473" s="161"/>
      <c r="W5473" s="161"/>
      <c r="X5473" s="161"/>
      <c r="Y5473" s="161"/>
      <c r="Z5473" s="168"/>
      <c r="AA5473" s="168"/>
      <c r="AB5473" s="168"/>
      <c r="AC5473" s="168"/>
    </row>
    <row r="5474">
      <c r="A5474" s="161"/>
      <c r="B5474" s="161"/>
      <c r="C5474" s="162"/>
      <c r="D5474" s="163"/>
      <c r="E5474" s="164" t="str">
        <f>IFERROR(__xludf.DUMMYFUNCTION("""COMPUTED_VALUE"""),"")</f>
        <v/>
      </c>
      <c r="F5474" s="163"/>
      <c r="G5474" s="163"/>
      <c r="H5474" s="163"/>
      <c r="I5474" s="163"/>
      <c r="J5474" s="165"/>
      <c r="K5474" s="165"/>
      <c r="L5474" s="165"/>
      <c r="M5474" s="166"/>
      <c r="N5474" s="167"/>
      <c r="O5474" s="163"/>
      <c r="P5474" s="163"/>
      <c r="Q5474" s="163"/>
      <c r="R5474" s="163"/>
      <c r="S5474" s="161"/>
      <c r="T5474" s="161"/>
      <c r="U5474" s="161"/>
      <c r="V5474" s="161"/>
      <c r="W5474" s="161"/>
      <c r="X5474" s="161"/>
      <c r="Y5474" s="161"/>
      <c r="Z5474" s="168"/>
      <c r="AA5474" s="168"/>
      <c r="AB5474" s="168"/>
      <c r="AC5474" s="168"/>
    </row>
    <row r="5475">
      <c r="A5475" s="161"/>
      <c r="B5475" s="161"/>
      <c r="C5475" s="162"/>
      <c r="D5475" s="163"/>
      <c r="E5475" s="164" t="str">
        <f>IFERROR(__xludf.DUMMYFUNCTION("""COMPUTED_VALUE"""),"")</f>
        <v/>
      </c>
      <c r="F5475" s="163"/>
      <c r="G5475" s="163"/>
      <c r="H5475" s="163"/>
      <c r="I5475" s="163"/>
      <c r="J5475" s="165"/>
      <c r="K5475" s="165"/>
      <c r="L5475" s="165"/>
      <c r="M5475" s="166"/>
      <c r="N5475" s="167"/>
      <c r="O5475" s="163"/>
      <c r="P5475" s="163"/>
      <c r="Q5475" s="163"/>
      <c r="R5475" s="163"/>
      <c r="S5475" s="161"/>
      <c r="T5475" s="161"/>
      <c r="U5475" s="161"/>
      <c r="V5475" s="161"/>
      <c r="W5475" s="161"/>
      <c r="X5475" s="161"/>
      <c r="Y5475" s="161"/>
      <c r="Z5475" s="168"/>
      <c r="AA5475" s="168"/>
      <c r="AB5475" s="168"/>
      <c r="AC5475" s="168"/>
    </row>
    <row r="5476">
      <c r="A5476" s="161"/>
      <c r="B5476" s="161"/>
      <c r="C5476" s="162"/>
      <c r="D5476" s="163"/>
      <c r="E5476" s="164" t="str">
        <f>IFERROR(__xludf.DUMMYFUNCTION("""COMPUTED_VALUE"""),"")</f>
        <v/>
      </c>
      <c r="F5476" s="163"/>
      <c r="G5476" s="163"/>
      <c r="H5476" s="163"/>
      <c r="I5476" s="163"/>
      <c r="J5476" s="165"/>
      <c r="K5476" s="165"/>
      <c r="L5476" s="165"/>
      <c r="M5476" s="166"/>
      <c r="N5476" s="167"/>
      <c r="O5476" s="163"/>
      <c r="P5476" s="163"/>
      <c r="Q5476" s="163"/>
      <c r="R5476" s="163"/>
      <c r="S5476" s="161"/>
      <c r="T5476" s="161"/>
      <c r="U5476" s="161"/>
      <c r="V5476" s="161"/>
      <c r="W5476" s="161"/>
      <c r="X5476" s="161"/>
      <c r="Y5476" s="161"/>
      <c r="Z5476" s="168"/>
      <c r="AA5476" s="168"/>
      <c r="AB5476" s="168"/>
      <c r="AC5476" s="168"/>
    </row>
    <row r="5477">
      <c r="A5477" s="161"/>
      <c r="B5477" s="161"/>
      <c r="C5477" s="162"/>
      <c r="D5477" s="163"/>
      <c r="E5477" s="164" t="str">
        <f>IFERROR(__xludf.DUMMYFUNCTION("""COMPUTED_VALUE"""),"")</f>
        <v/>
      </c>
      <c r="F5477" s="163"/>
      <c r="G5477" s="163"/>
      <c r="H5477" s="163"/>
      <c r="I5477" s="163"/>
      <c r="J5477" s="165"/>
      <c r="K5477" s="165"/>
      <c r="L5477" s="165"/>
      <c r="M5477" s="166"/>
      <c r="N5477" s="167"/>
      <c r="O5477" s="163"/>
      <c r="P5477" s="163"/>
      <c r="Q5477" s="163"/>
      <c r="R5477" s="163"/>
      <c r="S5477" s="161"/>
      <c r="T5477" s="161"/>
      <c r="U5477" s="161"/>
      <c r="V5477" s="161"/>
      <c r="W5477" s="161"/>
      <c r="X5477" s="161"/>
      <c r="Y5477" s="161"/>
      <c r="Z5477" s="168"/>
      <c r="AA5477" s="168"/>
      <c r="AB5477" s="168"/>
      <c r="AC5477" s="168"/>
    </row>
    <row r="5478">
      <c r="A5478" s="161"/>
      <c r="B5478" s="161"/>
      <c r="C5478" s="162"/>
      <c r="D5478" s="163"/>
      <c r="E5478" s="164" t="str">
        <f>IFERROR(__xludf.DUMMYFUNCTION("""COMPUTED_VALUE"""),"")</f>
        <v/>
      </c>
      <c r="F5478" s="163"/>
      <c r="G5478" s="163"/>
      <c r="H5478" s="163"/>
      <c r="I5478" s="163"/>
      <c r="J5478" s="165"/>
      <c r="K5478" s="165"/>
      <c r="L5478" s="165"/>
      <c r="M5478" s="166"/>
      <c r="N5478" s="167"/>
      <c r="O5478" s="163"/>
      <c r="P5478" s="163"/>
      <c r="Q5478" s="163"/>
      <c r="R5478" s="163"/>
      <c r="S5478" s="161"/>
      <c r="T5478" s="161"/>
      <c r="U5478" s="161"/>
      <c r="V5478" s="161"/>
      <c r="W5478" s="161"/>
      <c r="X5478" s="161"/>
      <c r="Y5478" s="161"/>
      <c r="Z5478" s="168"/>
      <c r="AA5478" s="168"/>
      <c r="AB5478" s="168"/>
      <c r="AC5478" s="168"/>
    </row>
    <row r="5479">
      <c r="A5479" s="161"/>
      <c r="B5479" s="161"/>
      <c r="C5479" s="162"/>
      <c r="D5479" s="163"/>
      <c r="E5479" s="164" t="str">
        <f>IFERROR(__xludf.DUMMYFUNCTION("""COMPUTED_VALUE"""),"")</f>
        <v/>
      </c>
      <c r="F5479" s="163"/>
      <c r="G5479" s="163"/>
      <c r="H5479" s="163"/>
      <c r="I5479" s="163"/>
      <c r="J5479" s="165"/>
      <c r="K5479" s="165"/>
      <c r="L5479" s="165"/>
      <c r="M5479" s="166"/>
      <c r="N5479" s="167"/>
      <c r="O5479" s="163"/>
      <c r="P5479" s="163"/>
      <c r="Q5479" s="163"/>
      <c r="R5479" s="163"/>
      <c r="S5479" s="161"/>
      <c r="T5479" s="161"/>
      <c r="U5479" s="161"/>
      <c r="V5479" s="161"/>
      <c r="W5479" s="161"/>
      <c r="X5479" s="161"/>
      <c r="Y5479" s="161"/>
      <c r="Z5479" s="168"/>
      <c r="AA5479" s="168"/>
      <c r="AB5479" s="168"/>
      <c r="AC5479" s="168"/>
    </row>
    <row r="5480">
      <c r="A5480" s="161"/>
      <c r="B5480" s="161"/>
      <c r="C5480" s="162"/>
      <c r="D5480" s="163"/>
      <c r="E5480" s="164" t="str">
        <f>IFERROR(__xludf.DUMMYFUNCTION("""COMPUTED_VALUE"""),"")</f>
        <v/>
      </c>
      <c r="F5480" s="163"/>
      <c r="G5480" s="163"/>
      <c r="H5480" s="163"/>
      <c r="I5480" s="163"/>
      <c r="J5480" s="165"/>
      <c r="K5480" s="165"/>
      <c r="L5480" s="165"/>
      <c r="M5480" s="166"/>
      <c r="N5480" s="167"/>
      <c r="O5480" s="163"/>
      <c r="P5480" s="163"/>
      <c r="Q5480" s="163"/>
      <c r="R5480" s="163"/>
      <c r="S5480" s="161"/>
      <c r="T5480" s="161"/>
      <c r="U5480" s="161"/>
      <c r="V5480" s="161"/>
      <c r="W5480" s="161"/>
      <c r="X5480" s="161"/>
      <c r="Y5480" s="161"/>
      <c r="Z5480" s="168"/>
      <c r="AA5480" s="168"/>
      <c r="AB5480" s="168"/>
      <c r="AC5480" s="168"/>
    </row>
    <row r="5481">
      <c r="A5481" s="161"/>
      <c r="B5481" s="161"/>
      <c r="C5481" s="162"/>
      <c r="D5481" s="163"/>
      <c r="E5481" s="164" t="str">
        <f>IFERROR(__xludf.DUMMYFUNCTION("""COMPUTED_VALUE"""),"")</f>
        <v/>
      </c>
      <c r="F5481" s="163"/>
      <c r="G5481" s="163"/>
      <c r="H5481" s="163"/>
      <c r="I5481" s="163"/>
      <c r="J5481" s="165"/>
      <c r="K5481" s="165"/>
      <c r="L5481" s="165"/>
      <c r="M5481" s="166"/>
      <c r="N5481" s="167"/>
      <c r="O5481" s="163"/>
      <c r="P5481" s="163"/>
      <c r="Q5481" s="163"/>
      <c r="R5481" s="163"/>
      <c r="S5481" s="161"/>
      <c r="T5481" s="161"/>
      <c r="U5481" s="161"/>
      <c r="V5481" s="161"/>
      <c r="W5481" s="161"/>
      <c r="X5481" s="161"/>
      <c r="Y5481" s="161"/>
      <c r="Z5481" s="168"/>
      <c r="AA5481" s="168"/>
      <c r="AB5481" s="168"/>
      <c r="AC5481" s="168"/>
    </row>
    <row r="5482">
      <c r="A5482" s="161"/>
      <c r="B5482" s="161"/>
      <c r="C5482" s="162"/>
      <c r="D5482" s="163"/>
      <c r="E5482" s="164" t="str">
        <f>IFERROR(__xludf.DUMMYFUNCTION("""COMPUTED_VALUE"""),"")</f>
        <v/>
      </c>
      <c r="F5482" s="163"/>
      <c r="G5482" s="163"/>
      <c r="H5482" s="163"/>
      <c r="I5482" s="163"/>
      <c r="J5482" s="165"/>
      <c r="K5482" s="165"/>
      <c r="L5482" s="165"/>
      <c r="M5482" s="166"/>
      <c r="N5482" s="167"/>
      <c r="O5482" s="163"/>
      <c r="P5482" s="163"/>
      <c r="Q5482" s="163"/>
      <c r="R5482" s="163"/>
      <c r="S5482" s="161"/>
      <c r="T5482" s="161"/>
      <c r="U5482" s="161"/>
      <c r="V5482" s="161"/>
      <c r="W5482" s="161"/>
      <c r="X5482" s="161"/>
      <c r="Y5482" s="161"/>
      <c r="Z5482" s="168"/>
      <c r="AA5482" s="168"/>
      <c r="AB5482" s="168"/>
      <c r="AC5482" s="168"/>
    </row>
    <row r="5483">
      <c r="A5483" s="161"/>
      <c r="B5483" s="161"/>
      <c r="C5483" s="162"/>
      <c r="D5483" s="163"/>
      <c r="E5483" s="164" t="str">
        <f>IFERROR(__xludf.DUMMYFUNCTION("""COMPUTED_VALUE"""),"")</f>
        <v/>
      </c>
      <c r="F5483" s="163"/>
      <c r="G5483" s="163"/>
      <c r="H5483" s="163"/>
      <c r="I5483" s="163"/>
      <c r="J5483" s="165"/>
      <c r="K5483" s="165"/>
      <c r="L5483" s="165"/>
      <c r="M5483" s="166"/>
      <c r="N5483" s="167"/>
      <c r="O5483" s="163"/>
      <c r="P5483" s="163"/>
      <c r="Q5483" s="163"/>
      <c r="R5483" s="163"/>
      <c r="S5483" s="161"/>
      <c r="T5483" s="161"/>
      <c r="U5483" s="161"/>
      <c r="V5483" s="161"/>
      <c r="W5483" s="161"/>
      <c r="X5483" s="161"/>
      <c r="Y5483" s="161"/>
      <c r="Z5483" s="168"/>
      <c r="AA5483" s="168"/>
      <c r="AB5483" s="168"/>
      <c r="AC5483" s="168"/>
    </row>
    <row r="5484">
      <c r="A5484" s="161"/>
      <c r="B5484" s="161"/>
      <c r="C5484" s="162"/>
      <c r="D5484" s="163"/>
      <c r="E5484" s="164" t="str">
        <f>IFERROR(__xludf.DUMMYFUNCTION("""COMPUTED_VALUE"""),"")</f>
        <v/>
      </c>
      <c r="F5484" s="163"/>
      <c r="G5484" s="163"/>
      <c r="H5484" s="163"/>
      <c r="I5484" s="163"/>
      <c r="J5484" s="165"/>
      <c r="K5484" s="165"/>
      <c r="L5484" s="165"/>
      <c r="M5484" s="166"/>
      <c r="N5484" s="167"/>
      <c r="O5484" s="163"/>
      <c r="P5484" s="163"/>
      <c r="Q5484" s="163"/>
      <c r="R5484" s="163"/>
      <c r="S5484" s="161"/>
      <c r="T5484" s="161"/>
      <c r="U5484" s="161"/>
      <c r="V5484" s="161"/>
      <c r="W5484" s="161"/>
      <c r="X5484" s="161"/>
      <c r="Y5484" s="161"/>
      <c r="Z5484" s="168"/>
      <c r="AA5484" s="168"/>
      <c r="AB5484" s="168"/>
      <c r="AC5484" s="168"/>
    </row>
    <row r="5485">
      <c r="A5485" s="161"/>
      <c r="B5485" s="161"/>
      <c r="C5485" s="162"/>
      <c r="D5485" s="163"/>
      <c r="E5485" s="164" t="str">
        <f>IFERROR(__xludf.DUMMYFUNCTION("""COMPUTED_VALUE"""),"")</f>
        <v/>
      </c>
      <c r="F5485" s="163"/>
      <c r="G5485" s="163"/>
      <c r="H5485" s="163"/>
      <c r="I5485" s="163"/>
      <c r="J5485" s="165"/>
      <c r="K5485" s="165"/>
      <c r="L5485" s="165"/>
      <c r="M5485" s="166"/>
      <c r="N5485" s="167"/>
      <c r="O5485" s="163"/>
      <c r="P5485" s="163"/>
      <c r="Q5485" s="163"/>
      <c r="R5485" s="163"/>
      <c r="S5485" s="161"/>
      <c r="T5485" s="161"/>
      <c r="U5485" s="161"/>
      <c r="V5485" s="161"/>
      <c r="W5485" s="161"/>
      <c r="X5485" s="161"/>
      <c r="Y5485" s="161"/>
      <c r="Z5485" s="168"/>
      <c r="AA5485" s="168"/>
      <c r="AB5485" s="168"/>
      <c r="AC5485" s="168"/>
    </row>
    <row r="5486">
      <c r="A5486" s="161"/>
      <c r="B5486" s="161"/>
      <c r="C5486" s="162"/>
      <c r="D5486" s="163"/>
      <c r="E5486" s="164" t="str">
        <f>IFERROR(__xludf.DUMMYFUNCTION("""COMPUTED_VALUE"""),"")</f>
        <v/>
      </c>
      <c r="F5486" s="163"/>
      <c r="G5486" s="163"/>
      <c r="H5486" s="163"/>
      <c r="I5486" s="163"/>
      <c r="J5486" s="165"/>
      <c r="K5486" s="165"/>
      <c r="L5486" s="165"/>
      <c r="M5486" s="166"/>
      <c r="N5486" s="167"/>
      <c r="O5486" s="163"/>
      <c r="P5486" s="163"/>
      <c r="Q5486" s="163"/>
      <c r="R5486" s="163"/>
      <c r="S5486" s="161"/>
      <c r="T5486" s="161"/>
      <c r="U5486" s="161"/>
      <c r="V5486" s="161"/>
      <c r="W5486" s="161"/>
      <c r="X5486" s="161"/>
      <c r="Y5486" s="161"/>
      <c r="Z5486" s="168"/>
      <c r="AA5486" s="168"/>
      <c r="AB5486" s="168"/>
      <c r="AC5486" s="168"/>
    </row>
    <row r="5487">
      <c r="A5487" s="161"/>
      <c r="B5487" s="161"/>
      <c r="C5487" s="162"/>
      <c r="D5487" s="163"/>
      <c r="E5487" s="164" t="str">
        <f>IFERROR(__xludf.DUMMYFUNCTION("""COMPUTED_VALUE"""),"")</f>
        <v/>
      </c>
      <c r="F5487" s="163"/>
      <c r="G5487" s="163"/>
      <c r="H5487" s="163"/>
      <c r="I5487" s="163"/>
      <c r="J5487" s="165"/>
      <c r="K5487" s="165"/>
      <c r="L5487" s="165"/>
      <c r="M5487" s="166"/>
      <c r="N5487" s="167"/>
      <c r="O5487" s="163"/>
      <c r="P5487" s="163"/>
      <c r="Q5487" s="163"/>
      <c r="R5487" s="163"/>
      <c r="S5487" s="161"/>
      <c r="T5487" s="161"/>
      <c r="U5487" s="161"/>
      <c r="V5487" s="161"/>
      <c r="W5487" s="161"/>
      <c r="X5487" s="161"/>
      <c r="Y5487" s="161"/>
      <c r="Z5487" s="168"/>
      <c r="AA5487" s="168"/>
      <c r="AB5487" s="168"/>
      <c r="AC5487" s="168"/>
    </row>
    <row r="5488">
      <c r="A5488" s="161"/>
      <c r="B5488" s="161"/>
      <c r="C5488" s="162"/>
      <c r="D5488" s="163"/>
      <c r="E5488" s="164" t="str">
        <f>IFERROR(__xludf.DUMMYFUNCTION("""COMPUTED_VALUE"""),"")</f>
        <v/>
      </c>
      <c r="F5488" s="163"/>
      <c r="G5488" s="163"/>
      <c r="H5488" s="163"/>
      <c r="I5488" s="163"/>
      <c r="J5488" s="165"/>
      <c r="K5488" s="165"/>
      <c r="L5488" s="165"/>
      <c r="M5488" s="166"/>
      <c r="N5488" s="167"/>
      <c r="O5488" s="163"/>
      <c r="P5488" s="163"/>
      <c r="Q5488" s="163"/>
      <c r="R5488" s="163"/>
      <c r="S5488" s="161"/>
      <c r="T5488" s="161"/>
      <c r="U5488" s="161"/>
      <c r="V5488" s="161"/>
      <c r="W5488" s="161"/>
      <c r="X5488" s="161"/>
      <c r="Y5488" s="161"/>
      <c r="Z5488" s="168"/>
      <c r="AA5488" s="168"/>
      <c r="AB5488" s="168"/>
      <c r="AC5488" s="168"/>
    </row>
    <row r="5489">
      <c r="A5489" s="161"/>
      <c r="B5489" s="161"/>
      <c r="C5489" s="162"/>
      <c r="D5489" s="163"/>
      <c r="E5489" s="164" t="str">
        <f>IFERROR(__xludf.DUMMYFUNCTION("""COMPUTED_VALUE"""),"")</f>
        <v/>
      </c>
      <c r="F5489" s="163"/>
      <c r="G5489" s="163"/>
      <c r="H5489" s="163"/>
      <c r="I5489" s="163"/>
      <c r="J5489" s="165"/>
      <c r="K5489" s="165"/>
      <c r="L5489" s="165"/>
      <c r="M5489" s="166"/>
      <c r="N5489" s="167"/>
      <c r="O5489" s="163"/>
      <c r="P5489" s="163"/>
      <c r="Q5489" s="163"/>
      <c r="R5489" s="163"/>
      <c r="S5489" s="161"/>
      <c r="T5489" s="161"/>
      <c r="U5489" s="161"/>
      <c r="V5489" s="161"/>
      <c r="W5489" s="161"/>
      <c r="X5489" s="161"/>
      <c r="Y5489" s="161"/>
      <c r="Z5489" s="168"/>
      <c r="AA5489" s="168"/>
      <c r="AB5489" s="168"/>
      <c r="AC5489" s="168"/>
    </row>
    <row r="5490">
      <c r="A5490" s="161"/>
      <c r="B5490" s="161"/>
      <c r="C5490" s="162"/>
      <c r="D5490" s="163"/>
      <c r="E5490" s="164" t="str">
        <f>IFERROR(__xludf.DUMMYFUNCTION("""COMPUTED_VALUE"""),"")</f>
        <v/>
      </c>
      <c r="F5490" s="163"/>
      <c r="G5490" s="163"/>
      <c r="H5490" s="163"/>
      <c r="I5490" s="163"/>
      <c r="J5490" s="165"/>
      <c r="K5490" s="165"/>
      <c r="L5490" s="165"/>
      <c r="M5490" s="166"/>
      <c r="N5490" s="167"/>
      <c r="O5490" s="163"/>
      <c r="P5490" s="163"/>
      <c r="Q5490" s="163"/>
      <c r="R5490" s="163"/>
      <c r="S5490" s="161"/>
      <c r="T5490" s="161"/>
      <c r="U5490" s="161"/>
      <c r="V5490" s="161"/>
      <c r="W5490" s="161"/>
      <c r="X5490" s="161"/>
      <c r="Y5490" s="161"/>
      <c r="Z5490" s="168"/>
      <c r="AA5490" s="168"/>
      <c r="AB5490" s="168"/>
      <c r="AC5490" s="168"/>
    </row>
    <row r="5491">
      <c r="A5491" s="161"/>
      <c r="B5491" s="161"/>
      <c r="C5491" s="162"/>
      <c r="D5491" s="163"/>
      <c r="E5491" s="164" t="str">
        <f>IFERROR(__xludf.DUMMYFUNCTION("""COMPUTED_VALUE"""),"")</f>
        <v/>
      </c>
      <c r="F5491" s="163"/>
      <c r="G5491" s="163"/>
      <c r="H5491" s="163"/>
      <c r="I5491" s="163"/>
      <c r="J5491" s="165"/>
      <c r="K5491" s="165"/>
      <c r="L5491" s="165"/>
      <c r="M5491" s="166"/>
      <c r="N5491" s="167"/>
      <c r="O5491" s="163"/>
      <c r="P5491" s="163"/>
      <c r="Q5491" s="163"/>
      <c r="R5491" s="163"/>
      <c r="S5491" s="161"/>
      <c r="T5491" s="161"/>
      <c r="U5491" s="161"/>
      <c r="V5491" s="161"/>
      <c r="W5491" s="161"/>
      <c r="X5491" s="161"/>
      <c r="Y5491" s="161"/>
      <c r="Z5491" s="168"/>
      <c r="AA5491" s="168"/>
      <c r="AB5491" s="168"/>
      <c r="AC5491" s="168"/>
    </row>
    <row r="5492">
      <c r="A5492" s="161"/>
      <c r="B5492" s="161"/>
      <c r="C5492" s="162"/>
      <c r="D5492" s="163"/>
      <c r="E5492" s="164" t="str">
        <f>IFERROR(__xludf.DUMMYFUNCTION("""COMPUTED_VALUE"""),"")</f>
        <v/>
      </c>
      <c r="F5492" s="163"/>
      <c r="G5492" s="163"/>
      <c r="H5492" s="163"/>
      <c r="I5492" s="163"/>
      <c r="J5492" s="165"/>
      <c r="K5492" s="165"/>
      <c r="L5492" s="165"/>
      <c r="M5492" s="166"/>
      <c r="N5492" s="167"/>
      <c r="O5492" s="163"/>
      <c r="P5492" s="163"/>
      <c r="Q5492" s="163"/>
      <c r="R5492" s="163"/>
      <c r="S5492" s="161"/>
      <c r="T5492" s="161"/>
      <c r="U5492" s="161"/>
      <c r="V5492" s="161"/>
      <c r="W5492" s="161"/>
      <c r="X5492" s="161"/>
      <c r="Y5492" s="161"/>
      <c r="Z5492" s="168"/>
      <c r="AA5492" s="168"/>
      <c r="AB5492" s="168"/>
      <c r="AC5492" s="168"/>
    </row>
    <row r="5493">
      <c r="A5493" s="161"/>
      <c r="B5493" s="161"/>
      <c r="C5493" s="162"/>
      <c r="D5493" s="163"/>
      <c r="E5493" s="164" t="str">
        <f>IFERROR(__xludf.DUMMYFUNCTION("""COMPUTED_VALUE"""),"")</f>
        <v/>
      </c>
      <c r="F5493" s="163"/>
      <c r="G5493" s="163"/>
      <c r="H5493" s="163"/>
      <c r="I5493" s="163"/>
      <c r="J5493" s="165"/>
      <c r="K5493" s="165"/>
      <c r="L5493" s="165"/>
      <c r="M5493" s="166"/>
      <c r="N5493" s="167"/>
      <c r="O5493" s="163"/>
      <c r="P5493" s="163"/>
      <c r="Q5493" s="163"/>
      <c r="R5493" s="163"/>
      <c r="S5493" s="161"/>
      <c r="T5493" s="161"/>
      <c r="U5493" s="161"/>
      <c r="V5493" s="161"/>
      <c r="W5493" s="161"/>
      <c r="X5493" s="161"/>
      <c r="Y5493" s="161"/>
      <c r="Z5493" s="168"/>
      <c r="AA5493" s="168"/>
      <c r="AB5493" s="168"/>
      <c r="AC5493" s="168"/>
    </row>
    <row r="5494">
      <c r="A5494" s="161"/>
      <c r="B5494" s="161"/>
      <c r="C5494" s="162"/>
      <c r="D5494" s="163"/>
      <c r="E5494" s="164" t="str">
        <f>IFERROR(__xludf.DUMMYFUNCTION("""COMPUTED_VALUE"""),"")</f>
        <v/>
      </c>
      <c r="F5494" s="163"/>
      <c r="G5494" s="163"/>
      <c r="H5494" s="163"/>
      <c r="I5494" s="163"/>
      <c r="J5494" s="165"/>
      <c r="K5494" s="165"/>
      <c r="L5494" s="165"/>
      <c r="M5494" s="166"/>
      <c r="N5494" s="167"/>
      <c r="O5494" s="163"/>
      <c r="P5494" s="163"/>
      <c r="Q5494" s="163"/>
      <c r="R5494" s="163"/>
      <c r="S5494" s="161"/>
      <c r="T5494" s="161"/>
      <c r="U5494" s="161"/>
      <c r="V5494" s="161"/>
      <c r="W5494" s="161"/>
      <c r="X5494" s="161"/>
      <c r="Y5494" s="161"/>
      <c r="Z5494" s="168"/>
      <c r="AA5494" s="168"/>
      <c r="AB5494" s="168"/>
      <c r="AC5494" s="168"/>
    </row>
    <row r="5495">
      <c r="A5495" s="161"/>
      <c r="B5495" s="161"/>
      <c r="C5495" s="162"/>
      <c r="D5495" s="163"/>
      <c r="E5495" s="164" t="str">
        <f>IFERROR(__xludf.DUMMYFUNCTION("""COMPUTED_VALUE"""),"")</f>
        <v/>
      </c>
      <c r="F5495" s="163"/>
      <c r="G5495" s="163"/>
      <c r="H5495" s="163"/>
      <c r="I5495" s="163"/>
      <c r="J5495" s="165"/>
      <c r="K5495" s="165"/>
      <c r="L5495" s="165"/>
      <c r="M5495" s="166"/>
      <c r="N5495" s="167"/>
      <c r="O5495" s="163"/>
      <c r="P5495" s="163"/>
      <c r="Q5495" s="163"/>
      <c r="R5495" s="163"/>
      <c r="S5495" s="161"/>
      <c r="T5495" s="161"/>
      <c r="U5495" s="161"/>
      <c r="V5495" s="161"/>
      <c r="W5495" s="161"/>
      <c r="X5495" s="161"/>
      <c r="Y5495" s="161"/>
      <c r="Z5495" s="168"/>
      <c r="AA5495" s="168"/>
      <c r="AB5495" s="168"/>
      <c r="AC5495" s="168"/>
    </row>
    <row r="5496">
      <c r="A5496" s="161"/>
      <c r="B5496" s="161"/>
      <c r="C5496" s="162"/>
      <c r="D5496" s="163"/>
      <c r="E5496" s="164" t="str">
        <f>IFERROR(__xludf.DUMMYFUNCTION("""COMPUTED_VALUE"""),"")</f>
        <v/>
      </c>
      <c r="F5496" s="163"/>
      <c r="G5496" s="163"/>
      <c r="H5496" s="163"/>
      <c r="I5496" s="163"/>
      <c r="J5496" s="165"/>
      <c r="K5496" s="165"/>
      <c r="L5496" s="165"/>
      <c r="M5496" s="166"/>
      <c r="N5496" s="167"/>
      <c r="O5496" s="163"/>
      <c r="P5496" s="163"/>
      <c r="Q5496" s="163"/>
      <c r="R5496" s="163"/>
      <c r="S5496" s="161"/>
      <c r="T5496" s="161"/>
      <c r="U5496" s="161"/>
      <c r="V5496" s="161"/>
      <c r="W5496" s="161"/>
      <c r="X5496" s="161"/>
      <c r="Y5496" s="161"/>
      <c r="Z5496" s="168"/>
      <c r="AA5496" s="168"/>
      <c r="AB5496" s="168"/>
      <c r="AC5496" s="168"/>
    </row>
    <row r="5497">
      <c r="A5497" s="161"/>
      <c r="B5497" s="161"/>
      <c r="C5497" s="162"/>
      <c r="D5497" s="163"/>
      <c r="E5497" s="164" t="str">
        <f>IFERROR(__xludf.DUMMYFUNCTION("""COMPUTED_VALUE"""),"")</f>
        <v/>
      </c>
      <c r="F5497" s="163"/>
      <c r="G5497" s="163"/>
      <c r="H5497" s="163"/>
      <c r="I5497" s="163"/>
      <c r="J5497" s="165"/>
      <c r="K5497" s="165"/>
      <c r="L5497" s="165"/>
      <c r="M5497" s="166"/>
      <c r="N5497" s="167"/>
      <c r="O5497" s="163"/>
      <c r="P5497" s="163"/>
      <c r="Q5497" s="163"/>
      <c r="R5497" s="163"/>
      <c r="S5497" s="161"/>
      <c r="T5497" s="161"/>
      <c r="U5497" s="161"/>
      <c r="V5497" s="161"/>
      <c r="W5497" s="161"/>
      <c r="X5497" s="161"/>
      <c r="Y5497" s="161"/>
      <c r="Z5497" s="168"/>
      <c r="AA5497" s="168"/>
      <c r="AB5497" s="168"/>
      <c r="AC5497" s="168"/>
    </row>
    <row r="5498">
      <c r="A5498" s="161"/>
      <c r="B5498" s="161"/>
      <c r="C5498" s="162"/>
      <c r="D5498" s="163"/>
      <c r="E5498" s="164" t="str">
        <f>IFERROR(__xludf.DUMMYFUNCTION("""COMPUTED_VALUE"""),"")</f>
        <v/>
      </c>
      <c r="F5498" s="163"/>
      <c r="G5498" s="163"/>
      <c r="H5498" s="163"/>
      <c r="I5498" s="163"/>
      <c r="J5498" s="165"/>
      <c r="K5498" s="165"/>
      <c r="L5498" s="165"/>
      <c r="M5498" s="166"/>
      <c r="N5498" s="167"/>
      <c r="O5498" s="163"/>
      <c r="P5498" s="163"/>
      <c r="Q5498" s="163"/>
      <c r="R5498" s="163"/>
      <c r="S5498" s="161"/>
      <c r="T5498" s="161"/>
      <c r="U5498" s="161"/>
      <c r="V5498" s="161"/>
      <c r="W5498" s="161"/>
      <c r="X5498" s="161"/>
      <c r="Y5498" s="161"/>
      <c r="Z5498" s="168"/>
      <c r="AA5498" s="168"/>
      <c r="AB5498" s="168"/>
      <c r="AC5498" s="168"/>
    </row>
    <row r="5499">
      <c r="A5499" s="161"/>
      <c r="B5499" s="161"/>
      <c r="C5499" s="162"/>
      <c r="D5499" s="163"/>
      <c r="E5499" s="164" t="str">
        <f>IFERROR(__xludf.DUMMYFUNCTION("""COMPUTED_VALUE"""),"")</f>
        <v/>
      </c>
      <c r="F5499" s="163"/>
      <c r="G5499" s="163"/>
      <c r="H5499" s="163"/>
      <c r="I5499" s="163"/>
      <c r="J5499" s="165"/>
      <c r="K5499" s="165"/>
      <c r="L5499" s="165"/>
      <c r="M5499" s="166"/>
      <c r="N5499" s="167"/>
      <c r="O5499" s="163"/>
      <c r="P5499" s="163"/>
      <c r="Q5499" s="163"/>
      <c r="R5499" s="163"/>
      <c r="S5499" s="161"/>
      <c r="T5499" s="161"/>
      <c r="U5499" s="161"/>
      <c r="V5499" s="161"/>
      <c r="W5499" s="161"/>
      <c r="X5499" s="161"/>
      <c r="Y5499" s="161"/>
      <c r="Z5499" s="168"/>
      <c r="AA5499" s="168"/>
      <c r="AB5499" s="168"/>
      <c r="AC5499" s="168"/>
    </row>
    <row r="5500">
      <c r="A5500" s="161"/>
      <c r="B5500" s="161"/>
      <c r="C5500" s="162"/>
      <c r="D5500" s="163"/>
      <c r="E5500" s="164" t="str">
        <f>IFERROR(__xludf.DUMMYFUNCTION("""COMPUTED_VALUE"""),"")</f>
        <v/>
      </c>
      <c r="F5500" s="163"/>
      <c r="G5500" s="163"/>
      <c r="H5500" s="163"/>
      <c r="I5500" s="163"/>
      <c r="J5500" s="165"/>
      <c r="K5500" s="165"/>
      <c r="L5500" s="165"/>
      <c r="M5500" s="166"/>
      <c r="N5500" s="167"/>
      <c r="O5500" s="163"/>
      <c r="P5500" s="163"/>
      <c r="Q5500" s="163"/>
      <c r="R5500" s="163"/>
      <c r="S5500" s="161"/>
      <c r="T5500" s="161"/>
      <c r="U5500" s="161"/>
      <c r="V5500" s="161"/>
      <c r="W5500" s="161"/>
      <c r="X5500" s="161"/>
      <c r="Y5500" s="161"/>
      <c r="Z5500" s="168"/>
      <c r="AA5500" s="168"/>
      <c r="AB5500" s="168"/>
      <c r="AC5500" s="168"/>
    </row>
    <row r="5501">
      <c r="A5501" s="161"/>
      <c r="B5501" s="161"/>
      <c r="C5501" s="162"/>
      <c r="D5501" s="163"/>
      <c r="E5501" s="164" t="str">
        <f>IFERROR(__xludf.DUMMYFUNCTION("""COMPUTED_VALUE"""),"")</f>
        <v/>
      </c>
      <c r="F5501" s="163"/>
      <c r="G5501" s="163"/>
      <c r="H5501" s="163"/>
      <c r="I5501" s="163"/>
      <c r="J5501" s="165"/>
      <c r="K5501" s="165"/>
      <c r="L5501" s="165"/>
      <c r="M5501" s="166"/>
      <c r="N5501" s="167"/>
      <c r="O5501" s="163"/>
      <c r="P5501" s="163"/>
      <c r="Q5501" s="163"/>
      <c r="R5501" s="163"/>
      <c r="S5501" s="161"/>
      <c r="T5501" s="161"/>
      <c r="U5501" s="161"/>
      <c r="V5501" s="161"/>
      <c r="W5501" s="161"/>
      <c r="X5501" s="161"/>
      <c r="Y5501" s="161"/>
      <c r="Z5501" s="168"/>
      <c r="AA5501" s="168"/>
      <c r="AB5501" s="168"/>
      <c r="AC5501" s="168"/>
    </row>
    <row r="5502">
      <c r="A5502" s="161"/>
      <c r="B5502" s="161"/>
      <c r="C5502" s="162"/>
      <c r="D5502" s="163"/>
      <c r="E5502" s="164" t="str">
        <f>IFERROR(__xludf.DUMMYFUNCTION("""COMPUTED_VALUE"""),"")</f>
        <v/>
      </c>
      <c r="F5502" s="163"/>
      <c r="G5502" s="163"/>
      <c r="H5502" s="163"/>
      <c r="I5502" s="163"/>
      <c r="J5502" s="165"/>
      <c r="K5502" s="165"/>
      <c r="L5502" s="165"/>
      <c r="M5502" s="166"/>
      <c r="N5502" s="167"/>
      <c r="O5502" s="163"/>
      <c r="P5502" s="163"/>
      <c r="Q5502" s="163"/>
      <c r="R5502" s="163"/>
      <c r="S5502" s="161"/>
      <c r="T5502" s="161"/>
      <c r="U5502" s="161"/>
      <c r="V5502" s="161"/>
      <c r="W5502" s="161"/>
      <c r="X5502" s="161"/>
      <c r="Y5502" s="161"/>
      <c r="Z5502" s="168"/>
      <c r="AA5502" s="168"/>
      <c r="AB5502" s="168"/>
      <c r="AC5502" s="168"/>
    </row>
    <row r="5503">
      <c r="A5503" s="161"/>
      <c r="B5503" s="161"/>
      <c r="C5503" s="162"/>
      <c r="D5503" s="163"/>
      <c r="E5503" s="164" t="str">
        <f>IFERROR(__xludf.DUMMYFUNCTION("""COMPUTED_VALUE"""),"")</f>
        <v/>
      </c>
      <c r="F5503" s="163"/>
      <c r="G5503" s="163"/>
      <c r="H5503" s="163"/>
      <c r="I5503" s="163"/>
      <c r="J5503" s="165"/>
      <c r="K5503" s="165"/>
      <c r="L5503" s="165"/>
      <c r="M5503" s="166"/>
      <c r="N5503" s="167"/>
      <c r="O5503" s="163"/>
      <c r="P5503" s="163"/>
      <c r="Q5503" s="163"/>
      <c r="R5503" s="163"/>
      <c r="S5503" s="161"/>
      <c r="T5503" s="161"/>
      <c r="U5503" s="161"/>
      <c r="V5503" s="161"/>
      <c r="W5503" s="161"/>
      <c r="X5503" s="161"/>
      <c r="Y5503" s="161"/>
      <c r="Z5503" s="168"/>
      <c r="AA5503" s="168"/>
      <c r="AB5503" s="168"/>
      <c r="AC5503" s="168"/>
    </row>
    <row r="5504">
      <c r="A5504" s="161"/>
      <c r="B5504" s="161"/>
      <c r="C5504" s="162"/>
      <c r="D5504" s="163"/>
      <c r="E5504" s="164" t="str">
        <f>IFERROR(__xludf.DUMMYFUNCTION("""COMPUTED_VALUE"""),"")</f>
        <v/>
      </c>
      <c r="F5504" s="163"/>
      <c r="G5504" s="163"/>
      <c r="H5504" s="163"/>
      <c r="I5504" s="163"/>
      <c r="J5504" s="165"/>
      <c r="K5504" s="165"/>
      <c r="L5504" s="165"/>
      <c r="M5504" s="166"/>
      <c r="N5504" s="167"/>
      <c r="O5504" s="163"/>
      <c r="P5504" s="163"/>
      <c r="Q5504" s="163"/>
      <c r="R5504" s="163"/>
      <c r="S5504" s="161"/>
      <c r="T5504" s="161"/>
      <c r="U5504" s="161"/>
      <c r="V5504" s="161"/>
      <c r="W5504" s="161"/>
      <c r="X5504" s="161"/>
      <c r="Y5504" s="161"/>
      <c r="Z5504" s="168"/>
      <c r="AA5504" s="168"/>
      <c r="AB5504" s="168"/>
      <c r="AC5504" s="168"/>
    </row>
    <row r="5505">
      <c r="A5505" s="161"/>
      <c r="B5505" s="161"/>
      <c r="C5505" s="162"/>
      <c r="D5505" s="163"/>
      <c r="E5505" s="164" t="str">
        <f>IFERROR(__xludf.DUMMYFUNCTION("""COMPUTED_VALUE"""),"")</f>
        <v/>
      </c>
      <c r="F5505" s="163"/>
      <c r="G5505" s="163"/>
      <c r="H5505" s="163"/>
      <c r="I5505" s="163"/>
      <c r="J5505" s="165"/>
      <c r="K5505" s="165"/>
      <c r="L5505" s="165"/>
      <c r="M5505" s="166"/>
      <c r="N5505" s="167"/>
      <c r="O5505" s="163"/>
      <c r="P5505" s="163"/>
      <c r="Q5505" s="163"/>
      <c r="R5505" s="163"/>
      <c r="S5505" s="161"/>
      <c r="T5505" s="161"/>
      <c r="U5505" s="161"/>
      <c r="V5505" s="161"/>
      <c r="W5505" s="161"/>
      <c r="X5505" s="161"/>
      <c r="Y5505" s="161"/>
      <c r="Z5505" s="168"/>
      <c r="AA5505" s="168"/>
      <c r="AB5505" s="168"/>
      <c r="AC5505" s="168"/>
    </row>
    <row r="5506">
      <c r="A5506" s="161"/>
      <c r="B5506" s="161"/>
      <c r="C5506" s="162"/>
      <c r="D5506" s="163"/>
      <c r="E5506" s="164" t="str">
        <f>IFERROR(__xludf.DUMMYFUNCTION("""COMPUTED_VALUE"""),"")</f>
        <v/>
      </c>
      <c r="F5506" s="163"/>
      <c r="G5506" s="163"/>
      <c r="H5506" s="163"/>
      <c r="I5506" s="163"/>
      <c r="J5506" s="165"/>
      <c r="K5506" s="165"/>
      <c r="L5506" s="165"/>
      <c r="M5506" s="166"/>
      <c r="N5506" s="167"/>
      <c r="O5506" s="163"/>
      <c r="P5506" s="163"/>
      <c r="Q5506" s="163"/>
      <c r="R5506" s="163"/>
      <c r="S5506" s="161"/>
      <c r="T5506" s="161"/>
      <c r="U5506" s="161"/>
      <c r="V5506" s="161"/>
      <c r="W5506" s="161"/>
      <c r="X5506" s="161"/>
      <c r="Y5506" s="161"/>
      <c r="Z5506" s="168"/>
      <c r="AA5506" s="168"/>
      <c r="AB5506" s="168"/>
      <c r="AC5506" s="168"/>
    </row>
    <row r="5507">
      <c r="A5507" s="161"/>
      <c r="B5507" s="161"/>
      <c r="C5507" s="162"/>
      <c r="D5507" s="163"/>
      <c r="E5507" s="164" t="str">
        <f>IFERROR(__xludf.DUMMYFUNCTION("""COMPUTED_VALUE"""),"")</f>
        <v/>
      </c>
      <c r="F5507" s="163"/>
      <c r="G5507" s="163"/>
      <c r="H5507" s="163"/>
      <c r="I5507" s="163"/>
      <c r="J5507" s="165"/>
      <c r="K5507" s="165"/>
      <c r="L5507" s="165"/>
      <c r="M5507" s="166"/>
      <c r="N5507" s="167"/>
      <c r="O5507" s="163"/>
      <c r="P5507" s="163"/>
      <c r="Q5507" s="163"/>
      <c r="R5507" s="163"/>
      <c r="S5507" s="161"/>
      <c r="T5507" s="161"/>
      <c r="U5507" s="161"/>
      <c r="V5507" s="161"/>
      <c r="W5507" s="161"/>
      <c r="X5507" s="161"/>
      <c r="Y5507" s="161"/>
      <c r="Z5507" s="168"/>
      <c r="AA5507" s="168"/>
      <c r="AB5507" s="168"/>
      <c r="AC5507" s="168"/>
    </row>
    <row r="5508">
      <c r="A5508" s="161"/>
      <c r="B5508" s="161"/>
      <c r="C5508" s="162"/>
      <c r="D5508" s="163"/>
      <c r="E5508" s="164" t="str">
        <f>IFERROR(__xludf.DUMMYFUNCTION("""COMPUTED_VALUE"""),"")</f>
        <v/>
      </c>
      <c r="F5508" s="163"/>
      <c r="G5508" s="163"/>
      <c r="H5508" s="163"/>
      <c r="I5508" s="163"/>
      <c r="J5508" s="165"/>
      <c r="K5508" s="165"/>
      <c r="L5508" s="165"/>
      <c r="M5508" s="166"/>
      <c r="N5508" s="167"/>
      <c r="O5508" s="163"/>
      <c r="P5508" s="163"/>
      <c r="Q5508" s="163"/>
      <c r="R5508" s="163"/>
      <c r="S5508" s="161"/>
      <c r="T5508" s="161"/>
      <c r="U5508" s="161"/>
      <c r="V5508" s="161"/>
      <c r="W5508" s="161"/>
      <c r="X5508" s="161"/>
      <c r="Y5508" s="161"/>
      <c r="Z5508" s="168"/>
      <c r="AA5508" s="168"/>
      <c r="AB5508" s="168"/>
      <c r="AC5508" s="168"/>
    </row>
    <row r="5509">
      <c r="A5509" s="161"/>
      <c r="B5509" s="161"/>
      <c r="C5509" s="162"/>
      <c r="D5509" s="163"/>
      <c r="E5509" s="164" t="str">
        <f>IFERROR(__xludf.DUMMYFUNCTION("""COMPUTED_VALUE"""),"")</f>
        <v/>
      </c>
      <c r="F5509" s="163"/>
      <c r="G5509" s="163"/>
      <c r="H5509" s="163"/>
      <c r="I5509" s="163"/>
      <c r="J5509" s="165"/>
      <c r="K5509" s="165"/>
      <c r="L5509" s="165"/>
      <c r="M5509" s="166"/>
      <c r="N5509" s="167"/>
      <c r="O5509" s="163"/>
      <c r="P5509" s="163"/>
      <c r="Q5509" s="163"/>
      <c r="R5509" s="163"/>
      <c r="S5509" s="161"/>
      <c r="T5509" s="161"/>
      <c r="U5509" s="161"/>
      <c r="V5509" s="161"/>
      <c r="W5509" s="161"/>
      <c r="X5509" s="161"/>
      <c r="Y5509" s="161"/>
      <c r="Z5509" s="168"/>
      <c r="AA5509" s="168"/>
      <c r="AB5509" s="168"/>
      <c r="AC5509" s="168"/>
    </row>
    <row r="5510">
      <c r="A5510" s="161"/>
      <c r="B5510" s="161"/>
      <c r="C5510" s="162"/>
      <c r="D5510" s="163"/>
      <c r="E5510" s="164" t="str">
        <f>IFERROR(__xludf.DUMMYFUNCTION("""COMPUTED_VALUE"""),"")</f>
        <v/>
      </c>
      <c r="F5510" s="163"/>
      <c r="G5510" s="163"/>
      <c r="H5510" s="163"/>
      <c r="I5510" s="163"/>
      <c r="J5510" s="165"/>
      <c r="K5510" s="165"/>
      <c r="L5510" s="165"/>
      <c r="M5510" s="166"/>
      <c r="N5510" s="167"/>
      <c r="O5510" s="163"/>
      <c r="P5510" s="163"/>
      <c r="Q5510" s="163"/>
      <c r="R5510" s="163"/>
      <c r="S5510" s="161"/>
      <c r="T5510" s="161"/>
      <c r="U5510" s="161"/>
      <c r="V5510" s="161"/>
      <c r="W5510" s="161"/>
      <c r="X5510" s="161"/>
      <c r="Y5510" s="161"/>
      <c r="Z5510" s="168"/>
      <c r="AA5510" s="168"/>
      <c r="AB5510" s="168"/>
      <c r="AC5510" s="168"/>
    </row>
    <row r="5511">
      <c r="A5511" s="161"/>
      <c r="B5511" s="161"/>
      <c r="C5511" s="162"/>
      <c r="D5511" s="163"/>
      <c r="E5511" s="164" t="str">
        <f>IFERROR(__xludf.DUMMYFUNCTION("""COMPUTED_VALUE"""),"")</f>
        <v/>
      </c>
      <c r="F5511" s="163"/>
      <c r="G5511" s="163"/>
      <c r="H5511" s="163"/>
      <c r="I5511" s="163"/>
      <c r="J5511" s="165"/>
      <c r="K5511" s="165"/>
      <c r="L5511" s="165"/>
      <c r="M5511" s="166"/>
      <c r="N5511" s="167"/>
      <c r="O5511" s="163"/>
      <c r="P5511" s="163"/>
      <c r="Q5511" s="163"/>
      <c r="R5511" s="163"/>
      <c r="S5511" s="161"/>
      <c r="T5511" s="161"/>
      <c r="U5511" s="161"/>
      <c r="V5511" s="161"/>
      <c r="W5511" s="161"/>
      <c r="X5511" s="161"/>
      <c r="Y5511" s="161"/>
      <c r="Z5511" s="168"/>
      <c r="AA5511" s="168"/>
      <c r="AB5511" s="168"/>
      <c r="AC5511" s="168"/>
    </row>
    <row r="5512">
      <c r="A5512" s="161"/>
      <c r="B5512" s="161"/>
      <c r="C5512" s="162"/>
      <c r="D5512" s="163"/>
      <c r="E5512" s="164" t="str">
        <f>IFERROR(__xludf.DUMMYFUNCTION("""COMPUTED_VALUE"""),"")</f>
        <v/>
      </c>
      <c r="F5512" s="163"/>
      <c r="G5512" s="163"/>
      <c r="H5512" s="163"/>
      <c r="I5512" s="163"/>
      <c r="J5512" s="165"/>
      <c r="K5512" s="165"/>
      <c r="L5512" s="165"/>
      <c r="M5512" s="166"/>
      <c r="N5512" s="167"/>
      <c r="O5512" s="163"/>
      <c r="P5512" s="163"/>
      <c r="Q5512" s="163"/>
      <c r="R5512" s="163"/>
      <c r="S5512" s="161"/>
      <c r="T5512" s="161"/>
      <c r="U5512" s="161"/>
      <c r="V5512" s="161"/>
      <c r="W5512" s="161"/>
      <c r="X5512" s="161"/>
      <c r="Y5512" s="161"/>
      <c r="Z5512" s="168"/>
      <c r="AA5512" s="168"/>
      <c r="AB5512" s="168"/>
      <c r="AC5512" s="168"/>
    </row>
    <row r="5513">
      <c r="A5513" s="161"/>
      <c r="B5513" s="161"/>
      <c r="C5513" s="162"/>
      <c r="D5513" s="163"/>
      <c r="E5513" s="164" t="str">
        <f>IFERROR(__xludf.DUMMYFUNCTION("""COMPUTED_VALUE"""),"")</f>
        <v/>
      </c>
      <c r="F5513" s="163"/>
      <c r="G5513" s="163"/>
      <c r="H5513" s="163"/>
      <c r="I5513" s="163"/>
      <c r="J5513" s="165"/>
      <c r="K5513" s="165"/>
      <c r="L5513" s="165"/>
      <c r="M5513" s="166"/>
      <c r="N5513" s="167"/>
      <c r="O5513" s="163"/>
      <c r="P5513" s="163"/>
      <c r="Q5513" s="163"/>
      <c r="R5513" s="163"/>
      <c r="S5513" s="161"/>
      <c r="T5513" s="161"/>
      <c r="U5513" s="161"/>
      <c r="V5513" s="161"/>
      <c r="W5513" s="161"/>
      <c r="X5513" s="161"/>
      <c r="Y5513" s="161"/>
      <c r="Z5513" s="168"/>
      <c r="AA5513" s="168"/>
      <c r="AB5513" s="168"/>
      <c r="AC5513" s="168"/>
    </row>
    <row r="5514">
      <c r="A5514" s="161"/>
      <c r="B5514" s="161"/>
      <c r="C5514" s="162"/>
      <c r="D5514" s="163"/>
      <c r="E5514" s="164" t="str">
        <f>IFERROR(__xludf.DUMMYFUNCTION("""COMPUTED_VALUE"""),"")</f>
        <v/>
      </c>
      <c r="F5514" s="163"/>
      <c r="G5514" s="163"/>
      <c r="H5514" s="163"/>
      <c r="I5514" s="163"/>
      <c r="J5514" s="165"/>
      <c r="K5514" s="165"/>
      <c r="L5514" s="165"/>
      <c r="M5514" s="166"/>
      <c r="N5514" s="167"/>
      <c r="O5514" s="163"/>
      <c r="P5514" s="163"/>
      <c r="Q5514" s="163"/>
      <c r="R5514" s="163"/>
      <c r="S5514" s="161"/>
      <c r="T5514" s="161"/>
      <c r="U5514" s="161"/>
      <c r="V5514" s="161"/>
      <c r="W5514" s="161"/>
      <c r="X5514" s="161"/>
      <c r="Y5514" s="161"/>
      <c r="Z5514" s="168"/>
      <c r="AA5514" s="168"/>
      <c r="AB5514" s="168"/>
      <c r="AC5514" s="168"/>
    </row>
    <row r="5515">
      <c r="A5515" s="161"/>
      <c r="B5515" s="161"/>
      <c r="C5515" s="162"/>
      <c r="D5515" s="163"/>
      <c r="E5515" s="164" t="str">
        <f>IFERROR(__xludf.DUMMYFUNCTION("""COMPUTED_VALUE"""),"")</f>
        <v/>
      </c>
      <c r="F5515" s="163"/>
      <c r="G5515" s="163"/>
      <c r="H5515" s="163"/>
      <c r="I5515" s="163"/>
      <c r="J5515" s="165"/>
      <c r="K5515" s="165"/>
      <c r="L5515" s="165"/>
      <c r="M5515" s="166"/>
      <c r="N5515" s="167"/>
      <c r="O5515" s="163"/>
      <c r="P5515" s="163"/>
      <c r="Q5515" s="163"/>
      <c r="R5515" s="163"/>
      <c r="S5515" s="161"/>
      <c r="T5515" s="161"/>
      <c r="U5515" s="161"/>
      <c r="V5515" s="161"/>
      <c r="W5515" s="161"/>
      <c r="X5515" s="161"/>
      <c r="Y5515" s="161"/>
      <c r="Z5515" s="168"/>
      <c r="AA5515" s="168"/>
      <c r="AB5515" s="168"/>
      <c r="AC5515" s="168"/>
    </row>
    <row r="5516">
      <c r="A5516" s="161"/>
      <c r="B5516" s="161"/>
      <c r="C5516" s="162"/>
      <c r="D5516" s="163"/>
      <c r="E5516" s="164" t="str">
        <f>IFERROR(__xludf.DUMMYFUNCTION("""COMPUTED_VALUE"""),"")</f>
        <v/>
      </c>
      <c r="F5516" s="163"/>
      <c r="G5516" s="163"/>
      <c r="H5516" s="163"/>
      <c r="I5516" s="163"/>
      <c r="J5516" s="165"/>
      <c r="K5516" s="165"/>
      <c r="L5516" s="165"/>
      <c r="M5516" s="166"/>
      <c r="N5516" s="167"/>
      <c r="O5516" s="163"/>
      <c r="P5516" s="163"/>
      <c r="Q5516" s="163"/>
      <c r="R5516" s="163"/>
      <c r="S5516" s="161"/>
      <c r="T5516" s="161"/>
      <c r="U5516" s="161"/>
      <c r="V5516" s="161"/>
      <c r="W5516" s="161"/>
      <c r="X5516" s="161"/>
      <c r="Y5516" s="161"/>
      <c r="Z5516" s="168"/>
      <c r="AA5516" s="168"/>
      <c r="AB5516" s="168"/>
      <c r="AC5516" s="168"/>
    </row>
    <row r="5517">
      <c r="A5517" s="161"/>
      <c r="B5517" s="161"/>
      <c r="C5517" s="162"/>
      <c r="D5517" s="163"/>
      <c r="E5517" s="164" t="str">
        <f>IFERROR(__xludf.DUMMYFUNCTION("""COMPUTED_VALUE"""),"")</f>
        <v/>
      </c>
      <c r="F5517" s="163"/>
      <c r="G5517" s="163"/>
      <c r="H5517" s="163"/>
      <c r="I5517" s="163"/>
      <c r="J5517" s="165"/>
      <c r="K5517" s="165"/>
      <c r="L5517" s="165"/>
      <c r="M5517" s="166"/>
      <c r="N5517" s="167"/>
      <c r="O5517" s="163"/>
      <c r="P5517" s="163"/>
      <c r="Q5517" s="163"/>
      <c r="R5517" s="163"/>
      <c r="S5517" s="161"/>
      <c r="T5517" s="161"/>
      <c r="U5517" s="161"/>
      <c r="V5517" s="161"/>
      <c r="W5517" s="161"/>
      <c r="X5517" s="161"/>
      <c r="Y5517" s="161"/>
      <c r="Z5517" s="168"/>
      <c r="AA5517" s="168"/>
      <c r="AB5517" s="168"/>
      <c r="AC5517" s="168"/>
    </row>
    <row r="5518">
      <c r="A5518" s="161"/>
      <c r="B5518" s="161"/>
      <c r="C5518" s="162"/>
      <c r="D5518" s="163"/>
      <c r="E5518" s="164" t="str">
        <f>IFERROR(__xludf.DUMMYFUNCTION("""COMPUTED_VALUE"""),"")</f>
        <v/>
      </c>
      <c r="F5518" s="163"/>
      <c r="G5518" s="163"/>
      <c r="H5518" s="163"/>
      <c r="I5518" s="163"/>
      <c r="J5518" s="165"/>
      <c r="K5518" s="165"/>
      <c r="L5518" s="165"/>
      <c r="M5518" s="166"/>
      <c r="N5518" s="167"/>
      <c r="O5518" s="163"/>
      <c r="P5518" s="163"/>
      <c r="Q5518" s="163"/>
      <c r="R5518" s="163"/>
      <c r="S5518" s="161"/>
      <c r="T5518" s="161"/>
      <c r="U5518" s="161"/>
      <c r="V5518" s="161"/>
      <c r="W5518" s="161"/>
      <c r="X5518" s="161"/>
      <c r="Y5518" s="161"/>
      <c r="Z5518" s="168"/>
      <c r="AA5518" s="168"/>
      <c r="AB5518" s="168"/>
      <c r="AC5518" s="168"/>
    </row>
    <row r="5519">
      <c r="A5519" s="161"/>
      <c r="B5519" s="161"/>
      <c r="C5519" s="162"/>
      <c r="D5519" s="163"/>
      <c r="E5519" s="164" t="str">
        <f>IFERROR(__xludf.DUMMYFUNCTION("""COMPUTED_VALUE"""),"")</f>
        <v/>
      </c>
      <c r="F5519" s="163"/>
      <c r="G5519" s="163"/>
      <c r="H5519" s="163"/>
      <c r="I5519" s="163"/>
      <c r="J5519" s="165"/>
      <c r="K5519" s="165"/>
      <c r="L5519" s="165"/>
      <c r="M5519" s="166"/>
      <c r="N5519" s="167"/>
      <c r="O5519" s="163"/>
      <c r="P5519" s="163"/>
      <c r="Q5519" s="163"/>
      <c r="R5519" s="163"/>
      <c r="S5519" s="161"/>
      <c r="T5519" s="161"/>
      <c r="U5519" s="161"/>
      <c r="V5519" s="161"/>
      <c r="W5519" s="161"/>
      <c r="X5519" s="161"/>
      <c r="Y5519" s="161"/>
      <c r="Z5519" s="168"/>
      <c r="AA5519" s="168"/>
      <c r="AB5519" s="168"/>
      <c r="AC5519" s="168"/>
    </row>
    <row r="5520">
      <c r="A5520" s="161"/>
      <c r="B5520" s="161"/>
      <c r="C5520" s="162"/>
      <c r="D5520" s="163"/>
      <c r="E5520" s="164" t="str">
        <f>IFERROR(__xludf.DUMMYFUNCTION("""COMPUTED_VALUE"""),"")</f>
        <v/>
      </c>
      <c r="F5520" s="163"/>
      <c r="G5520" s="163"/>
      <c r="H5520" s="163"/>
      <c r="I5520" s="163"/>
      <c r="J5520" s="165"/>
      <c r="K5520" s="165"/>
      <c r="L5520" s="165"/>
      <c r="M5520" s="166"/>
      <c r="N5520" s="167"/>
      <c r="O5520" s="163"/>
      <c r="P5520" s="163"/>
      <c r="Q5520" s="163"/>
      <c r="R5520" s="163"/>
      <c r="S5520" s="161"/>
      <c r="T5520" s="161"/>
      <c r="U5520" s="161"/>
      <c r="V5520" s="161"/>
      <c r="W5520" s="161"/>
      <c r="X5520" s="161"/>
      <c r="Y5520" s="161"/>
      <c r="Z5520" s="168"/>
      <c r="AA5520" s="168"/>
      <c r="AB5520" s="168"/>
      <c r="AC5520" s="168"/>
    </row>
    <row r="5521">
      <c r="A5521" s="161"/>
      <c r="B5521" s="161"/>
      <c r="C5521" s="162"/>
      <c r="D5521" s="163"/>
      <c r="E5521" s="164" t="str">
        <f>IFERROR(__xludf.DUMMYFUNCTION("""COMPUTED_VALUE"""),"")</f>
        <v/>
      </c>
      <c r="F5521" s="163"/>
      <c r="G5521" s="163"/>
      <c r="H5521" s="163"/>
      <c r="I5521" s="163"/>
      <c r="J5521" s="165"/>
      <c r="K5521" s="165"/>
      <c r="L5521" s="165"/>
      <c r="M5521" s="166"/>
      <c r="N5521" s="167"/>
      <c r="O5521" s="163"/>
      <c r="P5521" s="163"/>
      <c r="Q5521" s="163"/>
      <c r="R5521" s="163"/>
      <c r="S5521" s="161"/>
      <c r="T5521" s="161"/>
      <c r="U5521" s="161"/>
      <c r="V5521" s="161"/>
      <c r="W5521" s="161"/>
      <c r="X5521" s="161"/>
      <c r="Y5521" s="161"/>
      <c r="Z5521" s="168"/>
      <c r="AA5521" s="168"/>
      <c r="AB5521" s="168"/>
      <c r="AC5521" s="168"/>
    </row>
    <row r="5522">
      <c r="A5522" s="161"/>
      <c r="B5522" s="161"/>
      <c r="C5522" s="162"/>
      <c r="D5522" s="163"/>
      <c r="E5522" s="164" t="str">
        <f>IFERROR(__xludf.DUMMYFUNCTION("""COMPUTED_VALUE"""),"")</f>
        <v/>
      </c>
      <c r="F5522" s="163"/>
      <c r="G5522" s="163"/>
      <c r="H5522" s="163"/>
      <c r="I5522" s="163"/>
      <c r="J5522" s="165"/>
      <c r="K5522" s="165"/>
      <c r="L5522" s="165"/>
      <c r="M5522" s="166"/>
      <c r="N5522" s="167"/>
      <c r="O5522" s="163"/>
      <c r="P5522" s="163"/>
      <c r="Q5522" s="163"/>
      <c r="R5522" s="163"/>
      <c r="S5522" s="161"/>
      <c r="T5522" s="161"/>
      <c r="U5522" s="161"/>
      <c r="V5522" s="161"/>
      <c r="W5522" s="161"/>
      <c r="X5522" s="161"/>
      <c r="Y5522" s="161"/>
      <c r="Z5522" s="168"/>
      <c r="AA5522" s="168"/>
      <c r="AB5522" s="168"/>
      <c r="AC5522" s="168"/>
    </row>
    <row r="5523">
      <c r="A5523" s="161"/>
      <c r="B5523" s="161"/>
      <c r="C5523" s="162"/>
      <c r="D5523" s="163"/>
      <c r="E5523" s="164" t="str">
        <f>IFERROR(__xludf.DUMMYFUNCTION("""COMPUTED_VALUE"""),"")</f>
        <v/>
      </c>
      <c r="F5523" s="163"/>
      <c r="G5523" s="163"/>
      <c r="H5523" s="163"/>
      <c r="I5523" s="163"/>
      <c r="J5523" s="165"/>
      <c r="K5523" s="165"/>
      <c r="L5523" s="165"/>
      <c r="M5523" s="166"/>
      <c r="N5523" s="167"/>
      <c r="O5523" s="163"/>
      <c r="P5523" s="163"/>
      <c r="Q5523" s="163"/>
      <c r="R5523" s="163"/>
      <c r="S5523" s="161"/>
      <c r="T5523" s="161"/>
      <c r="U5523" s="161"/>
      <c r="V5523" s="161"/>
      <c r="W5523" s="161"/>
      <c r="X5523" s="161"/>
      <c r="Y5523" s="161"/>
      <c r="Z5523" s="168"/>
      <c r="AA5523" s="168"/>
      <c r="AB5523" s="168"/>
      <c r="AC5523" s="168"/>
    </row>
    <row r="5524">
      <c r="A5524" s="161"/>
      <c r="B5524" s="161"/>
      <c r="C5524" s="162"/>
      <c r="D5524" s="163"/>
      <c r="E5524" s="164" t="str">
        <f>IFERROR(__xludf.DUMMYFUNCTION("""COMPUTED_VALUE"""),"")</f>
        <v/>
      </c>
      <c r="F5524" s="163"/>
      <c r="G5524" s="163"/>
      <c r="H5524" s="163"/>
      <c r="I5524" s="163"/>
      <c r="J5524" s="165"/>
      <c r="K5524" s="165"/>
      <c r="L5524" s="165"/>
      <c r="M5524" s="166"/>
      <c r="N5524" s="167"/>
      <c r="O5524" s="163"/>
      <c r="P5524" s="163"/>
      <c r="Q5524" s="163"/>
      <c r="R5524" s="163"/>
      <c r="S5524" s="161"/>
      <c r="T5524" s="161"/>
      <c r="U5524" s="161"/>
      <c r="V5524" s="161"/>
      <c r="W5524" s="161"/>
      <c r="X5524" s="161"/>
      <c r="Y5524" s="161"/>
      <c r="Z5524" s="168"/>
      <c r="AA5524" s="168"/>
      <c r="AB5524" s="168"/>
      <c r="AC5524" s="168"/>
    </row>
    <row r="5525">
      <c r="A5525" s="161"/>
      <c r="B5525" s="161"/>
      <c r="C5525" s="162"/>
      <c r="D5525" s="163"/>
      <c r="E5525" s="164" t="str">
        <f>IFERROR(__xludf.DUMMYFUNCTION("""COMPUTED_VALUE"""),"")</f>
        <v/>
      </c>
      <c r="F5525" s="163"/>
      <c r="G5525" s="163"/>
      <c r="H5525" s="163"/>
      <c r="I5525" s="163"/>
      <c r="J5525" s="165"/>
      <c r="K5525" s="165"/>
      <c r="L5525" s="165"/>
      <c r="M5525" s="166"/>
      <c r="N5525" s="167"/>
      <c r="O5525" s="163"/>
      <c r="P5525" s="163"/>
      <c r="Q5525" s="163"/>
      <c r="R5525" s="163"/>
      <c r="S5525" s="161"/>
      <c r="T5525" s="161"/>
      <c r="U5525" s="161"/>
      <c r="V5525" s="161"/>
      <c r="W5525" s="161"/>
      <c r="X5525" s="161"/>
      <c r="Y5525" s="161"/>
      <c r="Z5525" s="168"/>
      <c r="AA5525" s="168"/>
      <c r="AB5525" s="168"/>
      <c r="AC5525" s="168"/>
    </row>
    <row r="5526">
      <c r="A5526" s="161"/>
      <c r="B5526" s="161"/>
      <c r="C5526" s="162"/>
      <c r="D5526" s="163"/>
      <c r="E5526" s="164" t="str">
        <f>IFERROR(__xludf.DUMMYFUNCTION("""COMPUTED_VALUE"""),"")</f>
        <v/>
      </c>
      <c r="F5526" s="163"/>
      <c r="G5526" s="163"/>
      <c r="H5526" s="163"/>
      <c r="I5526" s="163"/>
      <c r="J5526" s="165"/>
      <c r="K5526" s="165"/>
      <c r="L5526" s="165"/>
      <c r="M5526" s="166"/>
      <c r="N5526" s="167"/>
      <c r="O5526" s="163"/>
      <c r="P5526" s="163"/>
      <c r="Q5526" s="163"/>
      <c r="R5526" s="163"/>
      <c r="S5526" s="161"/>
      <c r="T5526" s="161"/>
      <c r="U5526" s="161"/>
      <c r="V5526" s="161"/>
      <c r="W5526" s="161"/>
      <c r="X5526" s="161"/>
      <c r="Y5526" s="161"/>
      <c r="Z5526" s="168"/>
      <c r="AA5526" s="168"/>
      <c r="AB5526" s="168"/>
      <c r="AC5526" s="168"/>
    </row>
    <row r="5527">
      <c r="A5527" s="161"/>
      <c r="B5527" s="161"/>
      <c r="C5527" s="162"/>
      <c r="D5527" s="163"/>
      <c r="E5527" s="164" t="str">
        <f>IFERROR(__xludf.DUMMYFUNCTION("""COMPUTED_VALUE"""),"")</f>
        <v/>
      </c>
      <c r="F5527" s="163"/>
      <c r="G5527" s="163"/>
      <c r="H5527" s="163"/>
      <c r="I5527" s="163"/>
      <c r="J5527" s="165"/>
      <c r="K5527" s="165"/>
      <c r="L5527" s="165"/>
      <c r="M5527" s="166"/>
      <c r="N5527" s="167"/>
      <c r="O5527" s="163"/>
      <c r="P5527" s="163"/>
      <c r="Q5527" s="163"/>
      <c r="R5527" s="163"/>
      <c r="S5527" s="161"/>
      <c r="T5527" s="161"/>
      <c r="U5527" s="161"/>
      <c r="V5527" s="161"/>
      <c r="W5527" s="161"/>
      <c r="X5527" s="161"/>
      <c r="Y5527" s="161"/>
      <c r="Z5527" s="168"/>
      <c r="AA5527" s="168"/>
      <c r="AB5527" s="168"/>
      <c r="AC5527" s="168"/>
    </row>
    <row r="5528">
      <c r="A5528" s="161"/>
      <c r="B5528" s="161"/>
      <c r="C5528" s="162"/>
      <c r="D5528" s="163"/>
      <c r="E5528" s="164" t="str">
        <f>IFERROR(__xludf.DUMMYFUNCTION("""COMPUTED_VALUE"""),"")</f>
        <v/>
      </c>
      <c r="F5528" s="163"/>
      <c r="G5528" s="163"/>
      <c r="H5528" s="163"/>
      <c r="I5528" s="163"/>
      <c r="J5528" s="165"/>
      <c r="K5528" s="165"/>
      <c r="L5528" s="165"/>
      <c r="M5528" s="166"/>
      <c r="N5528" s="167"/>
      <c r="O5528" s="163"/>
      <c r="P5528" s="163"/>
      <c r="Q5528" s="163"/>
      <c r="R5528" s="163"/>
      <c r="S5528" s="161"/>
      <c r="T5528" s="161"/>
      <c r="U5528" s="161"/>
      <c r="V5528" s="161"/>
      <c r="W5528" s="161"/>
      <c r="X5528" s="161"/>
      <c r="Y5528" s="161"/>
      <c r="Z5528" s="168"/>
      <c r="AA5528" s="168"/>
      <c r="AB5528" s="168"/>
      <c r="AC5528" s="168"/>
    </row>
    <row r="5529">
      <c r="A5529" s="161"/>
      <c r="B5529" s="161"/>
      <c r="C5529" s="162"/>
      <c r="D5529" s="163"/>
      <c r="E5529" s="164" t="str">
        <f>IFERROR(__xludf.DUMMYFUNCTION("""COMPUTED_VALUE"""),"")</f>
        <v/>
      </c>
      <c r="F5529" s="163"/>
      <c r="G5529" s="163"/>
      <c r="H5529" s="163"/>
      <c r="I5529" s="163"/>
      <c r="J5529" s="165"/>
      <c r="K5529" s="165"/>
      <c r="L5529" s="165"/>
      <c r="M5529" s="166"/>
      <c r="N5529" s="167"/>
      <c r="O5529" s="163"/>
      <c r="P5529" s="163"/>
      <c r="Q5529" s="163"/>
      <c r="R5529" s="163"/>
      <c r="S5529" s="161"/>
      <c r="T5529" s="161"/>
      <c r="U5529" s="161"/>
      <c r="V5529" s="161"/>
      <c r="W5529" s="161"/>
      <c r="X5529" s="161"/>
      <c r="Y5529" s="161"/>
      <c r="Z5529" s="168"/>
      <c r="AA5529" s="168"/>
      <c r="AB5529" s="168"/>
      <c r="AC5529" s="168"/>
    </row>
    <row r="5530">
      <c r="A5530" s="161"/>
      <c r="B5530" s="161"/>
      <c r="C5530" s="162"/>
      <c r="D5530" s="163"/>
      <c r="E5530" s="164" t="str">
        <f>IFERROR(__xludf.DUMMYFUNCTION("""COMPUTED_VALUE"""),"")</f>
        <v/>
      </c>
      <c r="F5530" s="163"/>
      <c r="G5530" s="163"/>
      <c r="H5530" s="163"/>
      <c r="I5530" s="163"/>
      <c r="J5530" s="165"/>
      <c r="K5530" s="165"/>
      <c r="L5530" s="165"/>
      <c r="M5530" s="166"/>
      <c r="N5530" s="167"/>
      <c r="O5530" s="163"/>
      <c r="P5530" s="163"/>
      <c r="Q5530" s="163"/>
      <c r="R5530" s="163"/>
      <c r="S5530" s="161"/>
      <c r="T5530" s="161"/>
      <c r="U5530" s="161"/>
      <c r="V5530" s="161"/>
      <c r="W5530" s="161"/>
      <c r="X5530" s="161"/>
      <c r="Y5530" s="161"/>
      <c r="Z5530" s="168"/>
      <c r="AA5530" s="168"/>
      <c r="AB5530" s="168"/>
      <c r="AC5530" s="168"/>
    </row>
    <row r="5531">
      <c r="A5531" s="161"/>
      <c r="B5531" s="161"/>
      <c r="C5531" s="162"/>
      <c r="D5531" s="163"/>
      <c r="E5531" s="164" t="str">
        <f>IFERROR(__xludf.DUMMYFUNCTION("""COMPUTED_VALUE"""),"")</f>
        <v/>
      </c>
      <c r="F5531" s="163"/>
      <c r="G5531" s="163"/>
      <c r="H5531" s="163"/>
      <c r="I5531" s="163"/>
      <c r="J5531" s="165"/>
      <c r="K5531" s="165"/>
      <c r="L5531" s="165"/>
      <c r="M5531" s="166"/>
      <c r="N5531" s="167"/>
      <c r="O5531" s="163"/>
      <c r="P5531" s="163"/>
      <c r="Q5531" s="163"/>
      <c r="R5531" s="163"/>
      <c r="S5531" s="161"/>
      <c r="T5531" s="161"/>
      <c r="U5531" s="161"/>
      <c r="V5531" s="161"/>
      <c r="W5531" s="161"/>
      <c r="X5531" s="161"/>
      <c r="Y5531" s="161"/>
      <c r="Z5531" s="168"/>
      <c r="AA5531" s="168"/>
      <c r="AB5531" s="168"/>
      <c r="AC5531" s="168"/>
    </row>
    <row r="5532">
      <c r="A5532" s="161"/>
      <c r="B5532" s="161"/>
      <c r="C5532" s="162"/>
      <c r="D5532" s="163"/>
      <c r="E5532" s="164" t="str">
        <f>IFERROR(__xludf.DUMMYFUNCTION("""COMPUTED_VALUE"""),"")</f>
        <v/>
      </c>
      <c r="F5532" s="163"/>
      <c r="G5532" s="163"/>
      <c r="H5532" s="163"/>
      <c r="I5532" s="163"/>
      <c r="J5532" s="165"/>
      <c r="K5532" s="165"/>
      <c r="L5532" s="165"/>
      <c r="M5532" s="166"/>
      <c r="N5532" s="167"/>
      <c r="O5532" s="163"/>
      <c r="P5532" s="163"/>
      <c r="Q5532" s="163"/>
      <c r="R5532" s="163"/>
      <c r="S5532" s="161"/>
      <c r="T5532" s="161"/>
      <c r="U5532" s="161"/>
      <c r="V5532" s="161"/>
      <c r="W5532" s="161"/>
      <c r="X5532" s="161"/>
      <c r="Y5532" s="161"/>
      <c r="Z5532" s="168"/>
      <c r="AA5532" s="168"/>
      <c r="AB5532" s="168"/>
      <c r="AC5532" s="168"/>
    </row>
    <row r="5533">
      <c r="A5533" s="161"/>
      <c r="B5533" s="161"/>
      <c r="C5533" s="162"/>
      <c r="D5533" s="163"/>
      <c r="E5533" s="164" t="str">
        <f>IFERROR(__xludf.DUMMYFUNCTION("""COMPUTED_VALUE"""),"")</f>
        <v/>
      </c>
      <c r="F5533" s="163"/>
      <c r="G5533" s="163"/>
      <c r="H5533" s="163"/>
      <c r="I5533" s="163"/>
      <c r="J5533" s="165"/>
      <c r="K5533" s="165"/>
      <c r="L5533" s="165"/>
      <c r="M5533" s="166"/>
      <c r="N5533" s="167"/>
      <c r="O5533" s="163"/>
      <c r="P5533" s="163"/>
      <c r="Q5533" s="163"/>
      <c r="R5533" s="163"/>
      <c r="S5533" s="161"/>
      <c r="T5533" s="161"/>
      <c r="U5533" s="161"/>
      <c r="V5533" s="161"/>
      <c r="W5533" s="161"/>
      <c r="X5533" s="161"/>
      <c r="Y5533" s="161"/>
      <c r="Z5533" s="168"/>
      <c r="AA5533" s="168"/>
      <c r="AB5533" s="168"/>
      <c r="AC5533" s="168"/>
    </row>
    <row r="5534">
      <c r="A5534" s="161"/>
      <c r="B5534" s="161"/>
      <c r="C5534" s="162"/>
      <c r="D5534" s="163"/>
      <c r="E5534" s="164" t="str">
        <f>IFERROR(__xludf.DUMMYFUNCTION("""COMPUTED_VALUE"""),"")</f>
        <v/>
      </c>
      <c r="F5534" s="163"/>
      <c r="G5534" s="163"/>
      <c r="H5534" s="163"/>
      <c r="I5534" s="163"/>
      <c r="J5534" s="165"/>
      <c r="K5534" s="165"/>
      <c r="L5534" s="165"/>
      <c r="M5534" s="166"/>
      <c r="N5534" s="167"/>
      <c r="O5534" s="163"/>
      <c r="P5534" s="163"/>
      <c r="Q5534" s="163"/>
      <c r="R5534" s="163"/>
      <c r="S5534" s="161"/>
      <c r="T5534" s="161"/>
      <c r="U5534" s="161"/>
      <c r="V5534" s="161"/>
      <c r="W5534" s="161"/>
      <c r="X5534" s="161"/>
      <c r="Y5534" s="161"/>
      <c r="Z5534" s="168"/>
      <c r="AA5534" s="168"/>
      <c r="AB5534" s="168"/>
      <c r="AC5534" s="168"/>
    </row>
    <row r="5535">
      <c r="A5535" s="161"/>
      <c r="B5535" s="161"/>
      <c r="C5535" s="162"/>
      <c r="D5535" s="163"/>
      <c r="E5535" s="164" t="str">
        <f>IFERROR(__xludf.DUMMYFUNCTION("""COMPUTED_VALUE"""),"")</f>
        <v/>
      </c>
      <c r="F5535" s="163"/>
      <c r="G5535" s="163"/>
      <c r="H5535" s="163"/>
      <c r="I5535" s="163"/>
      <c r="J5535" s="165"/>
      <c r="K5535" s="165"/>
      <c r="L5535" s="165"/>
      <c r="M5535" s="166"/>
      <c r="N5535" s="167"/>
      <c r="O5535" s="163"/>
      <c r="P5535" s="163"/>
      <c r="Q5535" s="163"/>
      <c r="R5535" s="163"/>
      <c r="S5535" s="161"/>
      <c r="T5535" s="161"/>
      <c r="U5535" s="161"/>
      <c r="V5535" s="161"/>
      <c r="W5535" s="161"/>
      <c r="X5535" s="161"/>
      <c r="Y5535" s="161"/>
      <c r="Z5535" s="168"/>
      <c r="AA5535" s="168"/>
      <c r="AB5535" s="168"/>
      <c r="AC5535" s="168"/>
    </row>
    <row r="5536">
      <c r="A5536" s="161"/>
      <c r="B5536" s="161"/>
      <c r="C5536" s="162"/>
      <c r="D5536" s="163"/>
      <c r="E5536" s="164" t="str">
        <f>IFERROR(__xludf.DUMMYFUNCTION("""COMPUTED_VALUE"""),"")</f>
        <v/>
      </c>
      <c r="F5536" s="163"/>
      <c r="G5536" s="163"/>
      <c r="H5536" s="163"/>
      <c r="I5536" s="163"/>
      <c r="J5536" s="165"/>
      <c r="K5536" s="165"/>
      <c r="L5536" s="165"/>
      <c r="M5536" s="166"/>
      <c r="N5536" s="167"/>
      <c r="O5536" s="163"/>
      <c r="P5536" s="163"/>
      <c r="Q5536" s="163"/>
      <c r="R5536" s="163"/>
      <c r="S5536" s="161"/>
      <c r="T5536" s="161"/>
      <c r="U5536" s="161"/>
      <c r="V5536" s="161"/>
      <c r="W5536" s="161"/>
      <c r="X5536" s="161"/>
      <c r="Y5536" s="161"/>
      <c r="Z5536" s="168"/>
      <c r="AA5536" s="168"/>
      <c r="AB5536" s="168"/>
      <c r="AC5536" s="168"/>
    </row>
    <row r="5537">
      <c r="A5537" s="161"/>
      <c r="B5537" s="161"/>
      <c r="C5537" s="162"/>
      <c r="D5537" s="163"/>
      <c r="E5537" s="164" t="str">
        <f>IFERROR(__xludf.DUMMYFUNCTION("""COMPUTED_VALUE"""),"")</f>
        <v/>
      </c>
      <c r="F5537" s="163"/>
      <c r="G5537" s="163"/>
      <c r="H5537" s="163"/>
      <c r="I5537" s="163"/>
      <c r="J5537" s="165"/>
      <c r="K5537" s="165"/>
      <c r="L5537" s="165"/>
      <c r="M5537" s="166"/>
      <c r="N5537" s="167"/>
      <c r="O5537" s="163"/>
      <c r="P5537" s="163"/>
      <c r="Q5537" s="163"/>
      <c r="R5537" s="163"/>
      <c r="S5537" s="161"/>
      <c r="T5537" s="161"/>
      <c r="U5537" s="161"/>
      <c r="V5537" s="161"/>
      <c r="W5537" s="161"/>
      <c r="X5537" s="161"/>
      <c r="Y5537" s="161"/>
      <c r="Z5537" s="168"/>
      <c r="AA5537" s="168"/>
      <c r="AB5537" s="168"/>
      <c r="AC5537" s="168"/>
    </row>
    <row r="5538">
      <c r="A5538" s="161"/>
      <c r="B5538" s="161"/>
      <c r="C5538" s="162"/>
      <c r="D5538" s="163"/>
      <c r="E5538" s="164" t="str">
        <f>IFERROR(__xludf.DUMMYFUNCTION("""COMPUTED_VALUE"""),"")</f>
        <v/>
      </c>
      <c r="F5538" s="163"/>
      <c r="G5538" s="163"/>
      <c r="H5538" s="163"/>
      <c r="I5538" s="163"/>
      <c r="J5538" s="165"/>
      <c r="K5538" s="165"/>
      <c r="L5538" s="165"/>
      <c r="M5538" s="166"/>
      <c r="N5538" s="167"/>
      <c r="O5538" s="163"/>
      <c r="P5538" s="163"/>
      <c r="Q5538" s="163"/>
      <c r="R5538" s="163"/>
      <c r="S5538" s="161"/>
      <c r="T5538" s="161"/>
      <c r="U5538" s="161"/>
      <c r="V5538" s="161"/>
      <c r="W5538" s="161"/>
      <c r="X5538" s="161"/>
      <c r="Y5538" s="161"/>
      <c r="Z5538" s="168"/>
      <c r="AA5538" s="168"/>
      <c r="AB5538" s="168"/>
      <c r="AC5538" s="168"/>
    </row>
    <row r="5539">
      <c r="A5539" s="161"/>
      <c r="B5539" s="161"/>
      <c r="C5539" s="162"/>
      <c r="D5539" s="163"/>
      <c r="E5539" s="164" t="str">
        <f>IFERROR(__xludf.DUMMYFUNCTION("""COMPUTED_VALUE"""),"")</f>
        <v/>
      </c>
      <c r="F5539" s="163"/>
      <c r="G5539" s="163"/>
      <c r="H5539" s="163"/>
      <c r="I5539" s="163"/>
      <c r="J5539" s="165"/>
      <c r="K5539" s="165"/>
      <c r="L5539" s="165"/>
      <c r="M5539" s="166"/>
      <c r="N5539" s="167"/>
      <c r="O5539" s="163"/>
      <c r="P5539" s="163"/>
      <c r="Q5539" s="163"/>
      <c r="R5539" s="163"/>
      <c r="S5539" s="161"/>
      <c r="T5539" s="161"/>
      <c r="U5539" s="161"/>
      <c r="V5539" s="161"/>
      <c r="W5539" s="161"/>
      <c r="X5539" s="161"/>
      <c r="Y5539" s="161"/>
      <c r="Z5539" s="168"/>
      <c r="AA5539" s="168"/>
      <c r="AB5539" s="168"/>
      <c r="AC5539" s="168"/>
    </row>
    <row r="5540">
      <c r="A5540" s="161"/>
      <c r="B5540" s="161"/>
      <c r="C5540" s="162"/>
      <c r="D5540" s="163"/>
      <c r="E5540" s="164" t="str">
        <f>IFERROR(__xludf.DUMMYFUNCTION("""COMPUTED_VALUE"""),"")</f>
        <v/>
      </c>
      <c r="F5540" s="163"/>
      <c r="G5540" s="163"/>
      <c r="H5540" s="163"/>
      <c r="I5540" s="163"/>
      <c r="J5540" s="165"/>
      <c r="K5540" s="165"/>
      <c r="L5540" s="165"/>
      <c r="M5540" s="166"/>
      <c r="N5540" s="167"/>
      <c r="O5540" s="163"/>
      <c r="P5540" s="163"/>
      <c r="Q5540" s="163"/>
      <c r="R5540" s="163"/>
      <c r="S5540" s="161"/>
      <c r="T5540" s="161"/>
      <c r="U5540" s="161"/>
      <c r="V5540" s="161"/>
      <c r="W5540" s="161"/>
      <c r="X5540" s="161"/>
      <c r="Y5540" s="161"/>
      <c r="Z5540" s="168"/>
      <c r="AA5540" s="168"/>
      <c r="AB5540" s="168"/>
      <c r="AC5540" s="168"/>
    </row>
    <row r="5541">
      <c r="A5541" s="161"/>
      <c r="B5541" s="161"/>
      <c r="C5541" s="162"/>
      <c r="D5541" s="163"/>
      <c r="E5541" s="164" t="str">
        <f>IFERROR(__xludf.DUMMYFUNCTION("""COMPUTED_VALUE"""),"")</f>
        <v/>
      </c>
      <c r="F5541" s="163"/>
      <c r="G5541" s="163"/>
      <c r="H5541" s="163"/>
      <c r="I5541" s="163"/>
      <c r="J5541" s="165"/>
      <c r="K5541" s="165"/>
      <c r="L5541" s="165"/>
      <c r="M5541" s="166"/>
      <c r="N5541" s="167"/>
      <c r="O5541" s="163"/>
      <c r="P5541" s="163"/>
      <c r="Q5541" s="163"/>
      <c r="R5541" s="163"/>
      <c r="S5541" s="161"/>
      <c r="T5541" s="161"/>
      <c r="U5541" s="161"/>
      <c r="V5541" s="161"/>
      <c r="W5541" s="161"/>
      <c r="X5541" s="161"/>
      <c r="Y5541" s="161"/>
      <c r="Z5541" s="168"/>
      <c r="AA5541" s="168"/>
      <c r="AB5541" s="168"/>
      <c r="AC5541" s="168"/>
    </row>
    <row r="5542">
      <c r="A5542" s="161"/>
      <c r="B5542" s="161"/>
      <c r="C5542" s="162"/>
      <c r="D5542" s="163"/>
      <c r="E5542" s="164" t="str">
        <f>IFERROR(__xludf.DUMMYFUNCTION("""COMPUTED_VALUE"""),"")</f>
        <v/>
      </c>
      <c r="F5542" s="163"/>
      <c r="G5542" s="163"/>
      <c r="H5542" s="163"/>
      <c r="I5542" s="163"/>
      <c r="J5542" s="165"/>
      <c r="K5542" s="165"/>
      <c r="L5542" s="165"/>
      <c r="M5542" s="166"/>
      <c r="N5542" s="167"/>
      <c r="O5542" s="163"/>
      <c r="P5542" s="163"/>
      <c r="Q5542" s="163"/>
      <c r="R5542" s="163"/>
      <c r="S5542" s="161"/>
      <c r="T5542" s="161"/>
      <c r="U5542" s="161"/>
      <c r="V5542" s="161"/>
      <c r="W5542" s="161"/>
      <c r="X5542" s="161"/>
      <c r="Y5542" s="161"/>
      <c r="Z5542" s="168"/>
      <c r="AA5542" s="168"/>
      <c r="AB5542" s="168"/>
      <c r="AC5542" s="168"/>
    </row>
    <row r="5543">
      <c r="A5543" s="161"/>
      <c r="B5543" s="161"/>
      <c r="C5543" s="162"/>
      <c r="D5543" s="163"/>
      <c r="E5543" s="164" t="str">
        <f>IFERROR(__xludf.DUMMYFUNCTION("""COMPUTED_VALUE"""),"")</f>
        <v/>
      </c>
      <c r="F5543" s="163"/>
      <c r="G5543" s="163"/>
      <c r="H5543" s="163"/>
      <c r="I5543" s="163"/>
      <c r="J5543" s="165"/>
      <c r="K5543" s="165"/>
      <c r="L5543" s="165"/>
      <c r="M5543" s="166"/>
      <c r="N5543" s="167"/>
      <c r="O5543" s="163"/>
      <c r="P5543" s="163"/>
      <c r="Q5543" s="163"/>
      <c r="R5543" s="163"/>
      <c r="S5543" s="161"/>
      <c r="T5543" s="161"/>
      <c r="U5543" s="161"/>
      <c r="V5543" s="161"/>
      <c r="W5543" s="161"/>
      <c r="X5543" s="161"/>
      <c r="Y5543" s="161"/>
      <c r="Z5543" s="168"/>
      <c r="AA5543" s="168"/>
      <c r="AB5543" s="168"/>
      <c r="AC5543" s="168"/>
    </row>
    <row r="5544">
      <c r="A5544" s="161"/>
      <c r="B5544" s="161"/>
      <c r="C5544" s="162"/>
      <c r="D5544" s="163"/>
      <c r="E5544" s="164" t="str">
        <f>IFERROR(__xludf.DUMMYFUNCTION("""COMPUTED_VALUE"""),"")</f>
        <v/>
      </c>
      <c r="F5544" s="163"/>
      <c r="G5544" s="163"/>
      <c r="H5544" s="163"/>
      <c r="I5544" s="163"/>
      <c r="J5544" s="165"/>
      <c r="K5544" s="165"/>
      <c r="L5544" s="165"/>
      <c r="M5544" s="166"/>
      <c r="N5544" s="167"/>
      <c r="O5544" s="163"/>
      <c r="P5544" s="163"/>
      <c r="Q5544" s="163"/>
      <c r="R5544" s="163"/>
      <c r="S5544" s="161"/>
      <c r="T5544" s="161"/>
      <c r="U5544" s="161"/>
      <c r="V5544" s="161"/>
      <c r="W5544" s="161"/>
      <c r="X5544" s="161"/>
      <c r="Y5544" s="161"/>
      <c r="Z5544" s="168"/>
      <c r="AA5544" s="168"/>
      <c r="AB5544" s="168"/>
      <c r="AC5544" s="168"/>
    </row>
    <row r="5545">
      <c r="A5545" s="161"/>
      <c r="B5545" s="161"/>
      <c r="C5545" s="162"/>
      <c r="D5545" s="163"/>
      <c r="E5545" s="164" t="str">
        <f>IFERROR(__xludf.DUMMYFUNCTION("""COMPUTED_VALUE"""),"")</f>
        <v/>
      </c>
      <c r="F5545" s="163"/>
      <c r="G5545" s="163"/>
      <c r="H5545" s="163"/>
      <c r="I5545" s="163"/>
      <c r="J5545" s="165"/>
      <c r="K5545" s="165"/>
      <c r="L5545" s="165"/>
      <c r="M5545" s="166"/>
      <c r="N5545" s="167"/>
      <c r="O5545" s="163"/>
      <c r="P5545" s="163"/>
      <c r="Q5545" s="163"/>
      <c r="R5545" s="163"/>
      <c r="S5545" s="161"/>
      <c r="T5545" s="161"/>
      <c r="U5545" s="161"/>
      <c r="V5545" s="161"/>
      <c r="W5545" s="161"/>
      <c r="X5545" s="161"/>
      <c r="Y5545" s="161"/>
      <c r="Z5545" s="168"/>
      <c r="AA5545" s="168"/>
      <c r="AB5545" s="168"/>
      <c r="AC5545" s="168"/>
    </row>
    <row r="5546">
      <c r="A5546" s="161"/>
      <c r="B5546" s="161"/>
      <c r="C5546" s="162"/>
      <c r="D5546" s="163"/>
      <c r="E5546" s="164" t="str">
        <f>IFERROR(__xludf.DUMMYFUNCTION("""COMPUTED_VALUE"""),"")</f>
        <v/>
      </c>
      <c r="F5546" s="163"/>
      <c r="G5546" s="163"/>
      <c r="H5546" s="163"/>
      <c r="I5546" s="163"/>
      <c r="J5546" s="165"/>
      <c r="K5546" s="165"/>
      <c r="L5546" s="165"/>
      <c r="M5546" s="166"/>
      <c r="N5546" s="167"/>
      <c r="O5546" s="163"/>
      <c r="P5546" s="163"/>
      <c r="Q5546" s="163"/>
      <c r="R5546" s="163"/>
      <c r="S5546" s="161"/>
      <c r="T5546" s="161"/>
      <c r="U5546" s="161"/>
      <c r="V5546" s="161"/>
      <c r="W5546" s="161"/>
      <c r="X5546" s="161"/>
      <c r="Y5546" s="161"/>
      <c r="Z5546" s="168"/>
      <c r="AA5546" s="168"/>
      <c r="AB5546" s="168"/>
      <c r="AC5546" s="168"/>
    </row>
    <row r="5547">
      <c r="A5547" s="161"/>
      <c r="B5547" s="161"/>
      <c r="C5547" s="162"/>
      <c r="D5547" s="163"/>
      <c r="E5547" s="164" t="str">
        <f>IFERROR(__xludf.DUMMYFUNCTION("""COMPUTED_VALUE"""),"")</f>
        <v/>
      </c>
      <c r="F5547" s="163"/>
      <c r="G5547" s="163"/>
      <c r="H5547" s="163"/>
      <c r="I5547" s="163"/>
      <c r="J5547" s="165"/>
      <c r="K5547" s="165"/>
      <c r="L5547" s="165"/>
      <c r="M5547" s="166"/>
      <c r="N5547" s="167"/>
      <c r="O5547" s="163"/>
      <c r="P5547" s="163"/>
      <c r="Q5547" s="163"/>
      <c r="R5547" s="163"/>
      <c r="S5547" s="161"/>
      <c r="T5547" s="161"/>
      <c r="U5547" s="161"/>
      <c r="V5547" s="161"/>
      <c r="W5547" s="161"/>
      <c r="X5547" s="161"/>
      <c r="Y5547" s="161"/>
      <c r="Z5547" s="168"/>
      <c r="AA5547" s="168"/>
      <c r="AB5547" s="168"/>
      <c r="AC5547" s="168"/>
    </row>
    <row r="5548">
      <c r="A5548" s="161"/>
      <c r="B5548" s="161"/>
      <c r="C5548" s="162"/>
      <c r="D5548" s="163"/>
      <c r="E5548" s="164" t="str">
        <f>IFERROR(__xludf.DUMMYFUNCTION("""COMPUTED_VALUE"""),"")</f>
        <v/>
      </c>
      <c r="F5548" s="163"/>
      <c r="G5548" s="163"/>
      <c r="H5548" s="163"/>
      <c r="I5548" s="163"/>
      <c r="J5548" s="165"/>
      <c r="K5548" s="165"/>
      <c r="L5548" s="165"/>
      <c r="M5548" s="166"/>
      <c r="N5548" s="167"/>
      <c r="O5548" s="163"/>
      <c r="P5548" s="163"/>
      <c r="Q5548" s="163"/>
      <c r="R5548" s="163"/>
      <c r="S5548" s="161"/>
      <c r="T5548" s="161"/>
      <c r="U5548" s="161"/>
      <c r="V5548" s="161"/>
      <c r="W5548" s="161"/>
      <c r="X5548" s="161"/>
      <c r="Y5548" s="161"/>
      <c r="Z5548" s="168"/>
      <c r="AA5548" s="168"/>
      <c r="AB5548" s="168"/>
      <c r="AC5548" s="168"/>
    </row>
    <row r="5549">
      <c r="A5549" s="161"/>
      <c r="B5549" s="161"/>
      <c r="C5549" s="162"/>
      <c r="D5549" s="163"/>
      <c r="E5549" s="164" t="str">
        <f>IFERROR(__xludf.DUMMYFUNCTION("""COMPUTED_VALUE"""),"")</f>
        <v/>
      </c>
      <c r="F5549" s="163"/>
      <c r="G5549" s="163"/>
      <c r="H5549" s="163"/>
      <c r="I5549" s="163"/>
      <c r="J5549" s="165"/>
      <c r="K5549" s="165"/>
      <c r="L5549" s="165"/>
      <c r="M5549" s="166"/>
      <c r="N5549" s="167"/>
      <c r="O5549" s="163"/>
      <c r="P5549" s="163"/>
      <c r="Q5549" s="163"/>
      <c r="R5549" s="163"/>
      <c r="S5549" s="161"/>
      <c r="T5549" s="161"/>
      <c r="U5549" s="161"/>
      <c r="V5549" s="161"/>
      <c r="W5549" s="161"/>
      <c r="X5549" s="161"/>
      <c r="Y5549" s="161"/>
      <c r="Z5549" s="168"/>
      <c r="AA5549" s="168"/>
      <c r="AB5549" s="168"/>
      <c r="AC5549" s="168"/>
    </row>
    <row r="5550">
      <c r="A5550" s="161"/>
      <c r="B5550" s="161"/>
      <c r="C5550" s="162"/>
      <c r="D5550" s="163"/>
      <c r="E5550" s="164" t="str">
        <f>IFERROR(__xludf.DUMMYFUNCTION("""COMPUTED_VALUE"""),"")</f>
        <v/>
      </c>
      <c r="F5550" s="163"/>
      <c r="G5550" s="163"/>
      <c r="H5550" s="163"/>
      <c r="I5550" s="163"/>
      <c r="J5550" s="165"/>
      <c r="K5550" s="165"/>
      <c r="L5550" s="165"/>
      <c r="M5550" s="166"/>
      <c r="N5550" s="167"/>
      <c r="O5550" s="163"/>
      <c r="P5550" s="163"/>
      <c r="Q5550" s="163"/>
      <c r="R5550" s="163"/>
      <c r="S5550" s="161"/>
      <c r="T5550" s="161"/>
      <c r="U5550" s="161"/>
      <c r="V5550" s="161"/>
      <c r="W5550" s="161"/>
      <c r="X5550" s="161"/>
      <c r="Y5550" s="161"/>
      <c r="Z5550" s="168"/>
      <c r="AA5550" s="168"/>
      <c r="AB5550" s="168"/>
      <c r="AC5550" s="168"/>
    </row>
    <row r="5551">
      <c r="A5551" s="161"/>
      <c r="B5551" s="161"/>
      <c r="C5551" s="162"/>
      <c r="D5551" s="163"/>
      <c r="E5551" s="164" t="str">
        <f>IFERROR(__xludf.DUMMYFUNCTION("""COMPUTED_VALUE"""),"")</f>
        <v/>
      </c>
      <c r="F5551" s="163"/>
      <c r="G5551" s="163"/>
      <c r="H5551" s="163"/>
      <c r="I5551" s="163"/>
      <c r="J5551" s="165"/>
      <c r="K5551" s="165"/>
      <c r="L5551" s="165"/>
      <c r="M5551" s="166"/>
      <c r="N5551" s="167"/>
      <c r="O5551" s="163"/>
      <c r="P5551" s="163"/>
      <c r="Q5551" s="163"/>
      <c r="R5551" s="163"/>
      <c r="S5551" s="161"/>
      <c r="T5551" s="161"/>
      <c r="U5551" s="161"/>
      <c r="V5551" s="161"/>
      <c r="W5551" s="161"/>
      <c r="X5551" s="161"/>
      <c r="Y5551" s="161"/>
      <c r="Z5551" s="168"/>
      <c r="AA5551" s="168"/>
      <c r="AB5551" s="168"/>
      <c r="AC5551" s="168"/>
    </row>
    <row r="5552">
      <c r="A5552" s="161"/>
      <c r="B5552" s="161"/>
      <c r="C5552" s="162"/>
      <c r="D5552" s="163"/>
      <c r="E5552" s="164" t="str">
        <f>IFERROR(__xludf.DUMMYFUNCTION("""COMPUTED_VALUE"""),"")</f>
        <v/>
      </c>
      <c r="F5552" s="163"/>
      <c r="G5552" s="163"/>
      <c r="H5552" s="163"/>
      <c r="I5552" s="163"/>
      <c r="J5552" s="165"/>
      <c r="K5552" s="165"/>
      <c r="L5552" s="165"/>
      <c r="M5552" s="166"/>
      <c r="N5552" s="167"/>
      <c r="O5552" s="163"/>
      <c r="P5552" s="163"/>
      <c r="Q5552" s="163"/>
      <c r="R5552" s="163"/>
      <c r="S5552" s="161"/>
      <c r="T5552" s="161"/>
      <c r="U5552" s="161"/>
      <c r="V5552" s="161"/>
      <c r="W5552" s="161"/>
      <c r="X5552" s="161"/>
      <c r="Y5552" s="161"/>
      <c r="Z5552" s="168"/>
      <c r="AA5552" s="168"/>
      <c r="AB5552" s="168"/>
      <c r="AC5552" s="168"/>
    </row>
    <row r="5553">
      <c r="A5553" s="161"/>
      <c r="B5553" s="161"/>
      <c r="C5553" s="162"/>
      <c r="D5553" s="163"/>
      <c r="E5553" s="164" t="str">
        <f>IFERROR(__xludf.DUMMYFUNCTION("""COMPUTED_VALUE"""),"")</f>
        <v/>
      </c>
      <c r="F5553" s="163"/>
      <c r="G5553" s="163"/>
      <c r="H5553" s="163"/>
      <c r="I5553" s="163"/>
      <c r="J5553" s="165"/>
      <c r="K5553" s="165"/>
      <c r="L5553" s="165"/>
      <c r="M5553" s="166"/>
      <c r="N5553" s="167"/>
      <c r="O5553" s="163"/>
      <c r="P5553" s="163"/>
      <c r="Q5553" s="163"/>
      <c r="R5553" s="163"/>
      <c r="S5553" s="161"/>
      <c r="T5553" s="161"/>
      <c r="U5553" s="161"/>
      <c r="V5553" s="161"/>
      <c r="W5553" s="161"/>
      <c r="X5553" s="161"/>
      <c r="Y5553" s="161"/>
      <c r="Z5553" s="168"/>
      <c r="AA5553" s="168"/>
      <c r="AB5553" s="168"/>
      <c r="AC5553" s="168"/>
    </row>
    <row r="5554">
      <c r="A5554" s="161"/>
      <c r="B5554" s="161"/>
      <c r="C5554" s="162"/>
      <c r="D5554" s="163"/>
      <c r="E5554" s="164" t="str">
        <f>IFERROR(__xludf.DUMMYFUNCTION("""COMPUTED_VALUE"""),"")</f>
        <v/>
      </c>
      <c r="F5554" s="163"/>
      <c r="G5554" s="163"/>
      <c r="H5554" s="163"/>
      <c r="I5554" s="163"/>
      <c r="J5554" s="165"/>
      <c r="K5554" s="165"/>
      <c r="L5554" s="165"/>
      <c r="M5554" s="166"/>
      <c r="N5554" s="167"/>
      <c r="O5554" s="163"/>
      <c r="P5554" s="163"/>
      <c r="Q5554" s="163"/>
      <c r="R5554" s="163"/>
      <c r="S5554" s="161"/>
      <c r="T5554" s="161"/>
      <c r="U5554" s="161"/>
      <c r="V5554" s="161"/>
      <c r="W5554" s="161"/>
      <c r="X5554" s="161"/>
      <c r="Y5554" s="161"/>
      <c r="Z5554" s="168"/>
      <c r="AA5554" s="168"/>
      <c r="AB5554" s="168"/>
      <c r="AC5554" s="168"/>
    </row>
    <row r="5555">
      <c r="A5555" s="161"/>
      <c r="B5555" s="161"/>
      <c r="C5555" s="162"/>
      <c r="D5555" s="163"/>
      <c r="E5555" s="164" t="str">
        <f>IFERROR(__xludf.DUMMYFUNCTION("""COMPUTED_VALUE"""),"")</f>
        <v/>
      </c>
      <c r="F5555" s="163"/>
      <c r="G5555" s="163"/>
      <c r="H5555" s="163"/>
      <c r="I5555" s="163"/>
      <c r="J5555" s="165"/>
      <c r="K5555" s="165"/>
      <c r="L5555" s="165"/>
      <c r="M5555" s="166"/>
      <c r="N5555" s="167"/>
      <c r="O5555" s="163"/>
      <c r="P5555" s="163"/>
      <c r="Q5555" s="163"/>
      <c r="R5555" s="163"/>
      <c r="S5555" s="161"/>
      <c r="T5555" s="161"/>
      <c r="U5555" s="161"/>
      <c r="V5555" s="161"/>
      <c r="W5555" s="161"/>
      <c r="X5555" s="161"/>
      <c r="Y5555" s="161"/>
      <c r="Z5555" s="168"/>
      <c r="AA5555" s="168"/>
      <c r="AB5555" s="168"/>
      <c r="AC5555" s="168"/>
    </row>
    <row r="5556">
      <c r="A5556" s="161"/>
      <c r="B5556" s="161"/>
      <c r="C5556" s="162"/>
      <c r="D5556" s="163"/>
      <c r="E5556" s="164" t="str">
        <f>IFERROR(__xludf.DUMMYFUNCTION("""COMPUTED_VALUE"""),"")</f>
        <v/>
      </c>
      <c r="F5556" s="163"/>
      <c r="G5556" s="163"/>
      <c r="H5556" s="163"/>
      <c r="I5556" s="163"/>
      <c r="J5556" s="165"/>
      <c r="K5556" s="165"/>
      <c r="L5556" s="165"/>
      <c r="M5556" s="166"/>
      <c r="N5556" s="167"/>
      <c r="O5556" s="163"/>
      <c r="P5556" s="163"/>
      <c r="Q5556" s="163"/>
      <c r="R5556" s="163"/>
      <c r="S5556" s="161"/>
      <c r="T5556" s="161"/>
      <c r="U5556" s="161"/>
      <c r="V5556" s="161"/>
      <c r="W5556" s="161"/>
      <c r="X5556" s="161"/>
      <c r="Y5556" s="161"/>
      <c r="Z5556" s="168"/>
      <c r="AA5556" s="168"/>
      <c r="AB5556" s="168"/>
      <c r="AC5556" s="168"/>
    </row>
    <row r="5557">
      <c r="A5557" s="161"/>
      <c r="B5557" s="161"/>
      <c r="C5557" s="162"/>
      <c r="D5557" s="163"/>
      <c r="E5557" s="164" t="str">
        <f>IFERROR(__xludf.DUMMYFUNCTION("""COMPUTED_VALUE"""),"")</f>
        <v/>
      </c>
      <c r="F5557" s="163"/>
      <c r="G5557" s="163"/>
      <c r="H5557" s="163"/>
      <c r="I5557" s="163"/>
      <c r="J5557" s="165"/>
      <c r="K5557" s="165"/>
      <c r="L5557" s="165"/>
      <c r="M5557" s="166"/>
      <c r="N5557" s="167"/>
      <c r="O5557" s="163"/>
      <c r="P5557" s="163"/>
      <c r="Q5557" s="163"/>
      <c r="R5557" s="163"/>
      <c r="S5557" s="161"/>
      <c r="T5557" s="161"/>
      <c r="U5557" s="161"/>
      <c r="V5557" s="161"/>
      <c r="W5557" s="161"/>
      <c r="X5557" s="161"/>
      <c r="Y5557" s="161"/>
      <c r="Z5557" s="168"/>
      <c r="AA5557" s="168"/>
      <c r="AB5557" s="168"/>
      <c r="AC5557" s="168"/>
    </row>
    <row r="5558">
      <c r="A5558" s="161"/>
      <c r="B5558" s="161"/>
      <c r="C5558" s="162"/>
      <c r="D5558" s="163"/>
      <c r="E5558" s="164" t="str">
        <f>IFERROR(__xludf.DUMMYFUNCTION("""COMPUTED_VALUE"""),"")</f>
        <v/>
      </c>
      <c r="F5558" s="163"/>
      <c r="G5558" s="163"/>
      <c r="H5558" s="163"/>
      <c r="I5558" s="163"/>
      <c r="J5558" s="165"/>
      <c r="K5558" s="165"/>
      <c r="L5558" s="165"/>
      <c r="M5558" s="166"/>
      <c r="N5558" s="167"/>
      <c r="O5558" s="163"/>
      <c r="P5558" s="163"/>
      <c r="Q5558" s="163"/>
      <c r="R5558" s="163"/>
      <c r="S5558" s="161"/>
      <c r="T5558" s="161"/>
      <c r="U5558" s="161"/>
      <c r="V5558" s="161"/>
      <c r="W5558" s="161"/>
      <c r="X5558" s="161"/>
      <c r="Y5558" s="161"/>
      <c r="Z5558" s="168"/>
      <c r="AA5558" s="168"/>
      <c r="AB5558" s="168"/>
      <c r="AC5558" s="168"/>
    </row>
    <row r="5559">
      <c r="A5559" s="161"/>
      <c r="B5559" s="161"/>
      <c r="C5559" s="162"/>
      <c r="D5559" s="163"/>
      <c r="E5559" s="164" t="str">
        <f>IFERROR(__xludf.DUMMYFUNCTION("""COMPUTED_VALUE"""),"")</f>
        <v/>
      </c>
      <c r="F5559" s="163"/>
      <c r="G5559" s="163"/>
      <c r="H5559" s="163"/>
      <c r="I5559" s="163"/>
      <c r="J5559" s="165"/>
      <c r="K5559" s="165"/>
      <c r="L5559" s="165"/>
      <c r="M5559" s="166"/>
      <c r="N5559" s="167"/>
      <c r="O5559" s="163"/>
      <c r="P5559" s="163"/>
      <c r="Q5559" s="163"/>
      <c r="R5559" s="163"/>
      <c r="S5559" s="161"/>
      <c r="T5559" s="161"/>
      <c r="U5559" s="161"/>
      <c r="V5559" s="161"/>
      <c r="W5559" s="161"/>
      <c r="X5559" s="161"/>
      <c r="Y5559" s="161"/>
      <c r="Z5559" s="168"/>
      <c r="AA5559" s="168"/>
      <c r="AB5559" s="168"/>
      <c r="AC5559" s="168"/>
    </row>
    <row r="5560">
      <c r="A5560" s="161"/>
      <c r="B5560" s="161"/>
      <c r="C5560" s="162"/>
      <c r="D5560" s="163"/>
      <c r="E5560" s="164" t="str">
        <f>IFERROR(__xludf.DUMMYFUNCTION("""COMPUTED_VALUE"""),"")</f>
        <v/>
      </c>
      <c r="F5560" s="163"/>
      <c r="G5560" s="163"/>
      <c r="H5560" s="163"/>
      <c r="I5560" s="163"/>
      <c r="J5560" s="165"/>
      <c r="K5560" s="165"/>
      <c r="L5560" s="165"/>
      <c r="M5560" s="166"/>
      <c r="N5560" s="167"/>
      <c r="O5560" s="163"/>
      <c r="P5560" s="163"/>
      <c r="Q5560" s="163"/>
      <c r="R5560" s="163"/>
      <c r="S5560" s="161"/>
      <c r="T5560" s="161"/>
      <c r="U5560" s="161"/>
      <c r="V5560" s="161"/>
      <c r="W5560" s="161"/>
      <c r="X5560" s="161"/>
      <c r="Y5560" s="161"/>
      <c r="Z5560" s="168"/>
      <c r="AA5560" s="168"/>
      <c r="AB5560" s="168"/>
      <c r="AC5560" s="168"/>
    </row>
    <row r="5561">
      <c r="A5561" s="161"/>
      <c r="B5561" s="161"/>
      <c r="C5561" s="162"/>
      <c r="D5561" s="163"/>
      <c r="E5561" s="164" t="str">
        <f>IFERROR(__xludf.DUMMYFUNCTION("""COMPUTED_VALUE"""),"")</f>
        <v/>
      </c>
      <c r="F5561" s="163"/>
      <c r="G5561" s="163"/>
      <c r="H5561" s="163"/>
      <c r="I5561" s="163"/>
      <c r="J5561" s="165"/>
      <c r="K5561" s="165"/>
      <c r="L5561" s="165"/>
      <c r="M5561" s="166"/>
      <c r="N5561" s="167"/>
      <c r="O5561" s="163"/>
      <c r="P5561" s="163"/>
      <c r="Q5561" s="163"/>
      <c r="R5561" s="163"/>
      <c r="S5561" s="161"/>
      <c r="T5561" s="161"/>
      <c r="U5561" s="161"/>
      <c r="V5561" s="161"/>
      <c r="W5561" s="161"/>
      <c r="X5561" s="161"/>
      <c r="Y5561" s="161"/>
      <c r="Z5561" s="168"/>
      <c r="AA5561" s="168"/>
      <c r="AB5561" s="168"/>
      <c r="AC5561" s="168"/>
    </row>
    <row r="5562">
      <c r="A5562" s="161"/>
      <c r="B5562" s="161"/>
      <c r="C5562" s="162"/>
      <c r="D5562" s="163"/>
      <c r="E5562" s="164" t="str">
        <f>IFERROR(__xludf.DUMMYFUNCTION("""COMPUTED_VALUE"""),"")</f>
        <v/>
      </c>
      <c r="F5562" s="163"/>
      <c r="G5562" s="163"/>
      <c r="H5562" s="163"/>
      <c r="I5562" s="163"/>
      <c r="J5562" s="165"/>
      <c r="K5562" s="165"/>
      <c r="L5562" s="165"/>
      <c r="M5562" s="166"/>
      <c r="N5562" s="167"/>
      <c r="O5562" s="163"/>
      <c r="P5562" s="163"/>
      <c r="Q5562" s="163"/>
      <c r="R5562" s="163"/>
      <c r="S5562" s="161"/>
      <c r="T5562" s="161"/>
      <c r="U5562" s="161"/>
      <c r="V5562" s="161"/>
      <c r="W5562" s="161"/>
      <c r="X5562" s="161"/>
      <c r="Y5562" s="161"/>
      <c r="Z5562" s="168"/>
      <c r="AA5562" s="168"/>
      <c r="AB5562" s="168"/>
      <c r="AC5562" s="168"/>
    </row>
    <row r="5563">
      <c r="A5563" s="161"/>
      <c r="B5563" s="161"/>
      <c r="C5563" s="162"/>
      <c r="D5563" s="163"/>
      <c r="E5563" s="164" t="str">
        <f>IFERROR(__xludf.DUMMYFUNCTION("""COMPUTED_VALUE"""),"")</f>
        <v/>
      </c>
      <c r="F5563" s="163"/>
      <c r="G5563" s="163"/>
      <c r="H5563" s="163"/>
      <c r="I5563" s="163"/>
      <c r="J5563" s="165"/>
      <c r="K5563" s="165"/>
      <c r="L5563" s="165"/>
      <c r="M5563" s="166"/>
      <c r="N5563" s="167"/>
      <c r="O5563" s="163"/>
      <c r="P5563" s="163"/>
      <c r="Q5563" s="163"/>
      <c r="R5563" s="163"/>
      <c r="S5563" s="161"/>
      <c r="T5563" s="161"/>
      <c r="U5563" s="161"/>
      <c r="V5563" s="161"/>
      <c r="W5563" s="161"/>
      <c r="X5563" s="161"/>
      <c r="Y5563" s="161"/>
      <c r="Z5563" s="168"/>
      <c r="AA5563" s="168"/>
      <c r="AB5563" s="168"/>
      <c r="AC5563" s="168"/>
    </row>
    <row r="5564">
      <c r="A5564" s="161"/>
      <c r="B5564" s="161"/>
      <c r="C5564" s="162"/>
      <c r="D5564" s="163"/>
      <c r="E5564" s="164" t="str">
        <f>IFERROR(__xludf.DUMMYFUNCTION("""COMPUTED_VALUE"""),"")</f>
        <v/>
      </c>
      <c r="F5564" s="163"/>
      <c r="G5564" s="163"/>
      <c r="H5564" s="163"/>
      <c r="I5564" s="163"/>
      <c r="J5564" s="165"/>
      <c r="K5564" s="165"/>
      <c r="L5564" s="165"/>
      <c r="M5564" s="166"/>
      <c r="N5564" s="167"/>
      <c r="O5564" s="163"/>
      <c r="P5564" s="163"/>
      <c r="Q5564" s="163"/>
      <c r="R5564" s="163"/>
      <c r="S5564" s="161"/>
      <c r="T5564" s="161"/>
      <c r="U5564" s="161"/>
      <c r="V5564" s="161"/>
      <c r="W5564" s="161"/>
      <c r="X5564" s="161"/>
      <c r="Y5564" s="161"/>
      <c r="Z5564" s="168"/>
      <c r="AA5564" s="168"/>
      <c r="AB5564" s="168"/>
      <c r="AC5564" s="168"/>
    </row>
    <row r="5565">
      <c r="A5565" s="161"/>
      <c r="B5565" s="161"/>
      <c r="C5565" s="162"/>
      <c r="D5565" s="163"/>
      <c r="E5565" s="164" t="str">
        <f>IFERROR(__xludf.DUMMYFUNCTION("""COMPUTED_VALUE"""),"")</f>
        <v/>
      </c>
      <c r="F5565" s="163"/>
      <c r="G5565" s="163"/>
      <c r="H5565" s="163"/>
      <c r="I5565" s="163"/>
      <c r="J5565" s="165"/>
      <c r="K5565" s="165"/>
      <c r="L5565" s="165"/>
      <c r="M5565" s="166"/>
      <c r="N5565" s="167"/>
      <c r="O5565" s="163"/>
      <c r="P5565" s="163"/>
      <c r="Q5565" s="163"/>
      <c r="R5565" s="163"/>
      <c r="S5565" s="161"/>
      <c r="T5565" s="161"/>
      <c r="U5565" s="161"/>
      <c r="V5565" s="161"/>
      <c r="W5565" s="161"/>
      <c r="X5565" s="161"/>
      <c r="Y5565" s="161"/>
      <c r="Z5565" s="168"/>
      <c r="AA5565" s="168"/>
      <c r="AB5565" s="168"/>
      <c r="AC5565" s="168"/>
    </row>
    <row r="5566">
      <c r="A5566" s="161"/>
      <c r="B5566" s="161"/>
      <c r="C5566" s="162"/>
      <c r="D5566" s="163"/>
      <c r="E5566" s="164" t="str">
        <f>IFERROR(__xludf.DUMMYFUNCTION("""COMPUTED_VALUE"""),"")</f>
        <v/>
      </c>
      <c r="F5566" s="163"/>
      <c r="G5566" s="163"/>
      <c r="H5566" s="163"/>
      <c r="I5566" s="163"/>
      <c r="J5566" s="165"/>
      <c r="K5566" s="165"/>
      <c r="L5566" s="165"/>
      <c r="M5566" s="166"/>
      <c r="N5566" s="167"/>
      <c r="O5566" s="163"/>
      <c r="P5566" s="163"/>
      <c r="Q5566" s="163"/>
      <c r="R5566" s="163"/>
      <c r="S5566" s="161"/>
      <c r="T5566" s="161"/>
      <c r="U5566" s="161"/>
      <c r="V5566" s="161"/>
      <c r="W5566" s="161"/>
      <c r="X5566" s="161"/>
      <c r="Y5566" s="161"/>
      <c r="Z5566" s="168"/>
      <c r="AA5566" s="168"/>
      <c r="AB5566" s="168"/>
      <c r="AC5566" s="168"/>
    </row>
    <row r="5567">
      <c r="A5567" s="161"/>
      <c r="B5567" s="161"/>
      <c r="C5567" s="162"/>
      <c r="D5567" s="163"/>
      <c r="E5567" s="164" t="str">
        <f>IFERROR(__xludf.DUMMYFUNCTION("""COMPUTED_VALUE"""),"")</f>
        <v/>
      </c>
      <c r="F5567" s="163"/>
      <c r="G5567" s="163"/>
      <c r="H5567" s="163"/>
      <c r="I5567" s="163"/>
      <c r="J5567" s="165"/>
      <c r="K5567" s="165"/>
      <c r="L5567" s="165"/>
      <c r="M5567" s="166"/>
      <c r="N5567" s="167"/>
      <c r="O5567" s="163"/>
      <c r="P5567" s="163"/>
      <c r="Q5567" s="163"/>
      <c r="R5567" s="163"/>
      <c r="S5567" s="161"/>
      <c r="T5567" s="161"/>
      <c r="U5567" s="161"/>
      <c r="V5567" s="161"/>
      <c r="W5567" s="161"/>
      <c r="X5567" s="161"/>
      <c r="Y5567" s="161"/>
      <c r="Z5567" s="168"/>
      <c r="AA5567" s="168"/>
      <c r="AB5567" s="168"/>
      <c r="AC5567" s="168"/>
    </row>
    <row r="5568">
      <c r="A5568" s="161"/>
      <c r="B5568" s="161"/>
      <c r="C5568" s="162"/>
      <c r="D5568" s="163"/>
      <c r="E5568" s="164" t="str">
        <f>IFERROR(__xludf.DUMMYFUNCTION("""COMPUTED_VALUE"""),"")</f>
        <v/>
      </c>
      <c r="F5568" s="163"/>
      <c r="G5568" s="163"/>
      <c r="H5568" s="163"/>
      <c r="I5568" s="163"/>
      <c r="J5568" s="165"/>
      <c r="K5568" s="165"/>
      <c r="L5568" s="165"/>
      <c r="M5568" s="166"/>
      <c r="N5568" s="167"/>
      <c r="O5568" s="163"/>
      <c r="P5568" s="163"/>
      <c r="Q5568" s="163"/>
      <c r="R5568" s="163"/>
      <c r="S5568" s="161"/>
      <c r="T5568" s="161"/>
      <c r="U5568" s="161"/>
      <c r="V5568" s="161"/>
      <c r="W5568" s="161"/>
      <c r="X5568" s="161"/>
      <c r="Y5568" s="161"/>
      <c r="Z5568" s="168"/>
      <c r="AA5568" s="168"/>
      <c r="AB5568" s="168"/>
      <c r="AC5568" s="168"/>
    </row>
    <row r="5569">
      <c r="A5569" s="161"/>
      <c r="B5569" s="161"/>
      <c r="C5569" s="162"/>
      <c r="D5569" s="163"/>
      <c r="E5569" s="164" t="str">
        <f>IFERROR(__xludf.DUMMYFUNCTION("""COMPUTED_VALUE"""),"")</f>
        <v/>
      </c>
      <c r="F5569" s="163"/>
      <c r="G5569" s="163"/>
      <c r="H5569" s="163"/>
      <c r="I5569" s="163"/>
      <c r="J5569" s="165"/>
      <c r="K5569" s="165"/>
      <c r="L5569" s="165"/>
      <c r="M5569" s="166"/>
      <c r="N5569" s="167"/>
      <c r="O5569" s="163"/>
      <c r="P5569" s="163"/>
      <c r="Q5569" s="163"/>
      <c r="R5569" s="163"/>
      <c r="S5569" s="161"/>
      <c r="T5569" s="161"/>
      <c r="U5569" s="161"/>
      <c r="V5569" s="161"/>
      <c r="W5569" s="161"/>
      <c r="X5569" s="161"/>
      <c r="Y5569" s="161"/>
      <c r="Z5569" s="168"/>
      <c r="AA5569" s="168"/>
      <c r="AB5569" s="168"/>
      <c r="AC5569" s="168"/>
    </row>
    <row r="5570">
      <c r="A5570" s="161"/>
      <c r="B5570" s="161"/>
      <c r="C5570" s="162"/>
      <c r="D5570" s="163"/>
      <c r="E5570" s="164" t="str">
        <f>IFERROR(__xludf.DUMMYFUNCTION("""COMPUTED_VALUE"""),"")</f>
        <v/>
      </c>
      <c r="F5570" s="163"/>
      <c r="G5570" s="163"/>
      <c r="H5570" s="163"/>
      <c r="I5570" s="163"/>
      <c r="J5570" s="165"/>
      <c r="K5570" s="165"/>
      <c r="L5570" s="165"/>
      <c r="M5570" s="166"/>
      <c r="N5570" s="167"/>
      <c r="O5570" s="163"/>
      <c r="P5570" s="163"/>
      <c r="Q5570" s="163"/>
      <c r="R5570" s="163"/>
      <c r="S5570" s="161"/>
      <c r="T5570" s="161"/>
      <c r="U5570" s="161"/>
      <c r="V5570" s="161"/>
      <c r="W5570" s="161"/>
      <c r="X5570" s="161"/>
      <c r="Y5570" s="161"/>
      <c r="Z5570" s="168"/>
      <c r="AA5570" s="168"/>
      <c r="AB5570" s="168"/>
      <c r="AC5570" s="168"/>
    </row>
    <row r="5571">
      <c r="A5571" s="161"/>
      <c r="B5571" s="161"/>
      <c r="C5571" s="162"/>
      <c r="D5571" s="163"/>
      <c r="E5571" s="164" t="str">
        <f>IFERROR(__xludf.DUMMYFUNCTION("""COMPUTED_VALUE"""),"")</f>
        <v/>
      </c>
      <c r="F5571" s="163"/>
      <c r="G5571" s="163"/>
      <c r="H5571" s="163"/>
      <c r="I5571" s="163"/>
      <c r="J5571" s="165"/>
      <c r="K5571" s="165"/>
      <c r="L5571" s="165"/>
      <c r="M5571" s="166"/>
      <c r="N5571" s="167"/>
      <c r="O5571" s="163"/>
      <c r="P5571" s="163"/>
      <c r="Q5571" s="163"/>
      <c r="R5571" s="163"/>
      <c r="S5571" s="161"/>
      <c r="T5571" s="161"/>
      <c r="U5571" s="161"/>
      <c r="V5571" s="161"/>
      <c r="W5571" s="161"/>
      <c r="X5571" s="161"/>
      <c r="Y5571" s="161"/>
      <c r="Z5571" s="168"/>
      <c r="AA5571" s="168"/>
      <c r="AB5571" s="168"/>
      <c r="AC5571" s="168"/>
    </row>
    <row r="5572">
      <c r="A5572" s="161"/>
      <c r="B5572" s="161"/>
      <c r="C5572" s="162"/>
      <c r="D5572" s="163"/>
      <c r="E5572" s="164" t="str">
        <f>IFERROR(__xludf.DUMMYFUNCTION("""COMPUTED_VALUE"""),"")</f>
        <v/>
      </c>
      <c r="F5572" s="163"/>
      <c r="G5572" s="163"/>
      <c r="H5572" s="163"/>
      <c r="I5572" s="163"/>
      <c r="J5572" s="165"/>
      <c r="K5572" s="165"/>
      <c r="L5572" s="165"/>
      <c r="M5572" s="166"/>
      <c r="N5572" s="167"/>
      <c r="O5572" s="163"/>
      <c r="P5572" s="163"/>
      <c r="Q5572" s="163"/>
      <c r="R5572" s="163"/>
      <c r="S5572" s="161"/>
      <c r="T5572" s="161"/>
      <c r="U5572" s="161"/>
      <c r="V5572" s="161"/>
      <c r="W5572" s="161"/>
      <c r="X5572" s="161"/>
      <c r="Y5572" s="161"/>
      <c r="Z5572" s="168"/>
      <c r="AA5572" s="168"/>
      <c r="AB5572" s="168"/>
      <c r="AC5572" s="168"/>
    </row>
    <row r="5573">
      <c r="A5573" s="161"/>
      <c r="B5573" s="161"/>
      <c r="C5573" s="162"/>
      <c r="D5573" s="163"/>
      <c r="E5573" s="164" t="str">
        <f>IFERROR(__xludf.DUMMYFUNCTION("""COMPUTED_VALUE"""),"")</f>
        <v/>
      </c>
      <c r="F5573" s="163"/>
      <c r="G5573" s="163"/>
      <c r="H5573" s="163"/>
      <c r="I5573" s="163"/>
      <c r="J5573" s="165"/>
      <c r="K5573" s="165"/>
      <c r="L5573" s="165"/>
      <c r="M5573" s="166"/>
      <c r="N5573" s="167"/>
      <c r="O5573" s="163"/>
      <c r="P5573" s="163"/>
      <c r="Q5573" s="163"/>
      <c r="R5573" s="163"/>
      <c r="S5573" s="161"/>
      <c r="T5573" s="161"/>
      <c r="U5573" s="161"/>
      <c r="V5573" s="161"/>
      <c r="W5573" s="161"/>
      <c r="X5573" s="161"/>
      <c r="Y5573" s="161"/>
      <c r="Z5573" s="168"/>
      <c r="AA5573" s="168"/>
      <c r="AB5573" s="168"/>
      <c r="AC5573" s="168"/>
    </row>
    <row r="5574">
      <c r="A5574" s="161"/>
      <c r="B5574" s="161"/>
      <c r="C5574" s="162"/>
      <c r="D5574" s="163"/>
      <c r="E5574" s="164" t="str">
        <f>IFERROR(__xludf.DUMMYFUNCTION("""COMPUTED_VALUE"""),"")</f>
        <v/>
      </c>
      <c r="F5574" s="163"/>
      <c r="G5574" s="163"/>
      <c r="H5574" s="163"/>
      <c r="I5574" s="163"/>
      <c r="J5574" s="165"/>
      <c r="K5574" s="165"/>
      <c r="L5574" s="165"/>
      <c r="M5574" s="166"/>
      <c r="N5574" s="167"/>
      <c r="O5574" s="163"/>
      <c r="P5574" s="163"/>
      <c r="Q5574" s="163"/>
      <c r="R5574" s="163"/>
      <c r="S5574" s="161"/>
      <c r="T5574" s="161"/>
      <c r="U5574" s="161"/>
      <c r="V5574" s="161"/>
      <c r="W5574" s="161"/>
      <c r="X5574" s="161"/>
      <c r="Y5574" s="161"/>
      <c r="Z5574" s="168"/>
      <c r="AA5574" s="168"/>
      <c r="AB5574" s="168"/>
      <c r="AC5574" s="168"/>
    </row>
    <row r="5575">
      <c r="A5575" s="161"/>
      <c r="B5575" s="161"/>
      <c r="C5575" s="162"/>
      <c r="D5575" s="163"/>
      <c r="E5575" s="164" t="str">
        <f>IFERROR(__xludf.DUMMYFUNCTION("""COMPUTED_VALUE"""),"")</f>
        <v/>
      </c>
      <c r="F5575" s="163"/>
      <c r="G5575" s="163"/>
      <c r="H5575" s="163"/>
      <c r="I5575" s="163"/>
      <c r="J5575" s="165"/>
      <c r="K5575" s="165"/>
      <c r="L5575" s="165"/>
      <c r="M5575" s="166"/>
      <c r="N5575" s="167"/>
      <c r="O5575" s="163"/>
      <c r="P5575" s="163"/>
      <c r="Q5575" s="163"/>
      <c r="R5575" s="163"/>
      <c r="S5575" s="161"/>
      <c r="T5575" s="161"/>
      <c r="U5575" s="161"/>
      <c r="V5575" s="161"/>
      <c r="W5575" s="161"/>
      <c r="X5575" s="161"/>
      <c r="Y5575" s="161"/>
      <c r="Z5575" s="168"/>
      <c r="AA5575" s="168"/>
      <c r="AB5575" s="168"/>
      <c r="AC5575" s="168"/>
    </row>
    <row r="5576">
      <c r="A5576" s="161"/>
      <c r="B5576" s="161"/>
      <c r="C5576" s="162"/>
      <c r="D5576" s="163"/>
      <c r="E5576" s="164" t="str">
        <f>IFERROR(__xludf.DUMMYFUNCTION("""COMPUTED_VALUE"""),"")</f>
        <v/>
      </c>
      <c r="F5576" s="163"/>
      <c r="G5576" s="163"/>
      <c r="H5576" s="163"/>
      <c r="I5576" s="163"/>
      <c r="J5576" s="165"/>
      <c r="K5576" s="165"/>
      <c r="L5576" s="165"/>
      <c r="M5576" s="166"/>
      <c r="N5576" s="167"/>
      <c r="O5576" s="163"/>
      <c r="P5576" s="163"/>
      <c r="Q5576" s="163"/>
      <c r="R5576" s="163"/>
      <c r="S5576" s="161"/>
      <c r="T5576" s="161"/>
      <c r="U5576" s="161"/>
      <c r="V5576" s="161"/>
      <c r="W5576" s="161"/>
      <c r="X5576" s="161"/>
      <c r="Y5576" s="161"/>
      <c r="Z5576" s="168"/>
      <c r="AA5576" s="168"/>
      <c r="AB5576" s="168"/>
      <c r="AC5576" s="168"/>
    </row>
    <row r="5577">
      <c r="A5577" s="161"/>
      <c r="B5577" s="161"/>
      <c r="C5577" s="162"/>
      <c r="D5577" s="163"/>
      <c r="E5577" s="164" t="str">
        <f>IFERROR(__xludf.DUMMYFUNCTION("""COMPUTED_VALUE"""),"")</f>
        <v/>
      </c>
      <c r="F5577" s="163"/>
      <c r="G5577" s="163"/>
      <c r="H5577" s="163"/>
      <c r="I5577" s="163"/>
      <c r="J5577" s="165"/>
      <c r="K5577" s="165"/>
      <c r="L5577" s="165"/>
      <c r="M5577" s="166"/>
      <c r="N5577" s="167"/>
      <c r="O5577" s="163"/>
      <c r="P5577" s="163"/>
      <c r="Q5577" s="163"/>
      <c r="R5577" s="163"/>
      <c r="S5577" s="161"/>
      <c r="T5577" s="161"/>
      <c r="U5577" s="161"/>
      <c r="V5577" s="161"/>
      <c r="W5577" s="161"/>
      <c r="X5577" s="161"/>
      <c r="Y5577" s="161"/>
      <c r="Z5577" s="168"/>
      <c r="AA5577" s="168"/>
      <c r="AB5577" s="168"/>
      <c r="AC5577" s="168"/>
    </row>
    <row r="5578">
      <c r="A5578" s="161"/>
      <c r="B5578" s="161"/>
      <c r="C5578" s="162"/>
      <c r="D5578" s="163"/>
      <c r="E5578" s="164" t="str">
        <f>IFERROR(__xludf.DUMMYFUNCTION("""COMPUTED_VALUE"""),"")</f>
        <v/>
      </c>
      <c r="F5578" s="163"/>
      <c r="G5578" s="163"/>
      <c r="H5578" s="163"/>
      <c r="I5578" s="163"/>
      <c r="J5578" s="165"/>
      <c r="K5578" s="165"/>
      <c r="L5578" s="165"/>
      <c r="M5578" s="166"/>
      <c r="N5578" s="167"/>
      <c r="O5578" s="163"/>
      <c r="P5578" s="163"/>
      <c r="Q5578" s="163"/>
      <c r="R5578" s="163"/>
      <c r="S5578" s="161"/>
      <c r="T5578" s="161"/>
      <c r="U5578" s="161"/>
      <c r="V5578" s="161"/>
      <c r="W5578" s="161"/>
      <c r="X5578" s="161"/>
      <c r="Y5578" s="161"/>
      <c r="Z5578" s="168"/>
      <c r="AA5578" s="168"/>
      <c r="AB5578" s="168"/>
      <c r="AC5578" s="168"/>
    </row>
    <row r="5579">
      <c r="A5579" s="161"/>
      <c r="B5579" s="161"/>
      <c r="C5579" s="162"/>
      <c r="D5579" s="163"/>
      <c r="E5579" s="164" t="str">
        <f>IFERROR(__xludf.DUMMYFUNCTION("""COMPUTED_VALUE"""),"")</f>
        <v/>
      </c>
      <c r="F5579" s="163"/>
      <c r="G5579" s="163"/>
      <c r="H5579" s="163"/>
      <c r="I5579" s="163"/>
      <c r="J5579" s="165"/>
      <c r="K5579" s="165"/>
      <c r="L5579" s="165"/>
      <c r="M5579" s="166"/>
      <c r="N5579" s="167"/>
      <c r="O5579" s="163"/>
      <c r="P5579" s="163"/>
      <c r="Q5579" s="163"/>
      <c r="R5579" s="163"/>
      <c r="S5579" s="161"/>
      <c r="T5579" s="161"/>
      <c r="U5579" s="161"/>
      <c r="V5579" s="161"/>
      <c r="W5579" s="161"/>
      <c r="X5579" s="161"/>
      <c r="Y5579" s="161"/>
      <c r="Z5579" s="168"/>
      <c r="AA5579" s="168"/>
      <c r="AB5579" s="168"/>
      <c r="AC5579" s="168"/>
    </row>
    <row r="5580">
      <c r="A5580" s="161"/>
      <c r="B5580" s="161"/>
      <c r="C5580" s="162"/>
      <c r="D5580" s="163"/>
      <c r="E5580" s="164" t="str">
        <f>IFERROR(__xludf.DUMMYFUNCTION("""COMPUTED_VALUE"""),"")</f>
        <v/>
      </c>
      <c r="F5580" s="163"/>
      <c r="G5580" s="163"/>
      <c r="H5580" s="163"/>
      <c r="I5580" s="163"/>
      <c r="J5580" s="165"/>
      <c r="K5580" s="165"/>
      <c r="L5580" s="165"/>
      <c r="M5580" s="166"/>
      <c r="N5580" s="167"/>
      <c r="O5580" s="163"/>
      <c r="P5580" s="163"/>
      <c r="Q5580" s="163"/>
      <c r="R5580" s="163"/>
      <c r="S5580" s="161"/>
      <c r="T5580" s="161"/>
      <c r="U5580" s="161"/>
      <c r="V5580" s="161"/>
      <c r="W5580" s="161"/>
      <c r="X5580" s="161"/>
      <c r="Y5580" s="161"/>
      <c r="Z5580" s="168"/>
      <c r="AA5580" s="168"/>
      <c r="AB5580" s="168"/>
      <c r="AC5580" s="168"/>
    </row>
    <row r="5581">
      <c r="A5581" s="161"/>
      <c r="B5581" s="161"/>
      <c r="C5581" s="162"/>
      <c r="D5581" s="163"/>
      <c r="E5581" s="164" t="str">
        <f>IFERROR(__xludf.DUMMYFUNCTION("""COMPUTED_VALUE"""),"")</f>
        <v/>
      </c>
      <c r="F5581" s="163"/>
      <c r="G5581" s="163"/>
      <c r="H5581" s="163"/>
      <c r="I5581" s="163"/>
      <c r="J5581" s="165"/>
      <c r="K5581" s="165"/>
      <c r="L5581" s="165"/>
      <c r="M5581" s="166"/>
      <c r="N5581" s="167"/>
      <c r="O5581" s="163"/>
      <c r="P5581" s="163"/>
      <c r="Q5581" s="163"/>
      <c r="R5581" s="163"/>
      <c r="S5581" s="161"/>
      <c r="T5581" s="161"/>
      <c r="U5581" s="161"/>
      <c r="V5581" s="161"/>
      <c r="W5581" s="161"/>
      <c r="X5581" s="161"/>
      <c r="Y5581" s="161"/>
      <c r="Z5581" s="168"/>
      <c r="AA5581" s="168"/>
      <c r="AB5581" s="168"/>
      <c r="AC5581" s="168"/>
    </row>
    <row r="5582">
      <c r="A5582" s="161"/>
      <c r="B5582" s="161"/>
      <c r="C5582" s="162"/>
      <c r="D5582" s="163"/>
      <c r="E5582" s="164" t="str">
        <f>IFERROR(__xludf.DUMMYFUNCTION("""COMPUTED_VALUE"""),"")</f>
        <v/>
      </c>
      <c r="F5582" s="163"/>
      <c r="G5582" s="163"/>
      <c r="H5582" s="163"/>
      <c r="I5582" s="163"/>
      <c r="J5582" s="165"/>
      <c r="K5582" s="165"/>
      <c r="L5582" s="165"/>
      <c r="M5582" s="166"/>
      <c r="N5582" s="167"/>
      <c r="O5582" s="163"/>
      <c r="P5582" s="163"/>
      <c r="Q5582" s="163"/>
      <c r="R5582" s="163"/>
      <c r="S5582" s="161"/>
      <c r="T5582" s="161"/>
      <c r="U5582" s="161"/>
      <c r="V5582" s="161"/>
      <c r="W5582" s="161"/>
      <c r="X5582" s="161"/>
      <c r="Y5582" s="161"/>
      <c r="Z5582" s="168"/>
      <c r="AA5582" s="168"/>
      <c r="AB5582" s="168"/>
      <c r="AC5582" s="168"/>
    </row>
    <row r="5583">
      <c r="A5583" s="161"/>
      <c r="B5583" s="161"/>
      <c r="C5583" s="162"/>
      <c r="D5583" s="163"/>
      <c r="E5583" s="164" t="str">
        <f>IFERROR(__xludf.DUMMYFUNCTION("""COMPUTED_VALUE"""),"")</f>
        <v/>
      </c>
      <c r="F5583" s="163"/>
      <c r="G5583" s="163"/>
      <c r="H5583" s="163"/>
      <c r="I5583" s="163"/>
      <c r="J5583" s="165"/>
      <c r="K5583" s="165"/>
      <c r="L5583" s="165"/>
      <c r="M5583" s="166"/>
      <c r="N5583" s="167"/>
      <c r="O5583" s="163"/>
      <c r="P5583" s="163"/>
      <c r="Q5583" s="163"/>
      <c r="R5583" s="163"/>
      <c r="S5583" s="161"/>
      <c r="T5583" s="161"/>
      <c r="U5583" s="161"/>
      <c r="V5583" s="161"/>
      <c r="W5583" s="161"/>
      <c r="X5583" s="161"/>
      <c r="Y5583" s="161"/>
      <c r="Z5583" s="168"/>
      <c r="AA5583" s="168"/>
      <c r="AB5583" s="168"/>
      <c r="AC5583" s="168"/>
    </row>
    <row r="5584">
      <c r="A5584" s="161"/>
      <c r="B5584" s="161"/>
      <c r="C5584" s="162"/>
      <c r="D5584" s="163"/>
      <c r="E5584" s="164" t="str">
        <f>IFERROR(__xludf.DUMMYFUNCTION("""COMPUTED_VALUE"""),"")</f>
        <v/>
      </c>
      <c r="F5584" s="163"/>
      <c r="G5584" s="163"/>
      <c r="H5584" s="163"/>
      <c r="I5584" s="163"/>
      <c r="J5584" s="165"/>
      <c r="K5584" s="165"/>
      <c r="L5584" s="165"/>
      <c r="M5584" s="166"/>
      <c r="N5584" s="167"/>
      <c r="O5584" s="163"/>
      <c r="P5584" s="163"/>
      <c r="Q5584" s="163"/>
      <c r="R5584" s="163"/>
      <c r="S5584" s="161"/>
      <c r="T5584" s="161"/>
      <c r="U5584" s="161"/>
      <c r="V5584" s="161"/>
      <c r="W5584" s="161"/>
      <c r="X5584" s="161"/>
      <c r="Y5584" s="161"/>
      <c r="Z5584" s="168"/>
      <c r="AA5584" s="168"/>
      <c r="AB5584" s="168"/>
      <c r="AC5584" s="168"/>
    </row>
    <row r="5585">
      <c r="A5585" s="161"/>
      <c r="B5585" s="161"/>
      <c r="C5585" s="162"/>
      <c r="D5585" s="163"/>
      <c r="E5585" s="164" t="str">
        <f>IFERROR(__xludf.DUMMYFUNCTION("""COMPUTED_VALUE"""),"")</f>
        <v/>
      </c>
      <c r="F5585" s="163"/>
      <c r="G5585" s="163"/>
      <c r="H5585" s="163"/>
      <c r="I5585" s="163"/>
      <c r="J5585" s="165"/>
      <c r="K5585" s="165"/>
      <c r="L5585" s="165"/>
      <c r="M5585" s="166"/>
      <c r="N5585" s="167"/>
      <c r="O5585" s="163"/>
      <c r="P5585" s="163"/>
      <c r="Q5585" s="163"/>
      <c r="R5585" s="163"/>
      <c r="S5585" s="161"/>
      <c r="T5585" s="161"/>
      <c r="U5585" s="161"/>
      <c r="V5585" s="161"/>
      <c r="W5585" s="161"/>
      <c r="X5585" s="161"/>
      <c r="Y5585" s="161"/>
      <c r="Z5585" s="168"/>
      <c r="AA5585" s="168"/>
      <c r="AB5585" s="168"/>
      <c r="AC5585" s="168"/>
    </row>
    <row r="5586">
      <c r="A5586" s="161"/>
      <c r="B5586" s="161"/>
      <c r="C5586" s="162"/>
      <c r="D5586" s="163"/>
      <c r="E5586" s="164" t="str">
        <f>IFERROR(__xludf.DUMMYFUNCTION("""COMPUTED_VALUE"""),"")</f>
        <v/>
      </c>
      <c r="F5586" s="163"/>
      <c r="G5586" s="163"/>
      <c r="H5586" s="163"/>
      <c r="I5586" s="163"/>
      <c r="J5586" s="165"/>
      <c r="K5586" s="165"/>
      <c r="L5586" s="165"/>
      <c r="M5586" s="166"/>
      <c r="N5586" s="167"/>
      <c r="O5586" s="163"/>
      <c r="P5586" s="163"/>
      <c r="Q5586" s="163"/>
      <c r="R5586" s="163"/>
      <c r="S5586" s="161"/>
      <c r="T5586" s="161"/>
      <c r="U5586" s="161"/>
      <c r="V5586" s="161"/>
      <c r="W5586" s="161"/>
      <c r="X5586" s="161"/>
      <c r="Y5586" s="161"/>
      <c r="Z5586" s="168"/>
      <c r="AA5586" s="168"/>
      <c r="AB5586" s="168"/>
      <c r="AC5586" s="168"/>
    </row>
    <row r="5587">
      <c r="A5587" s="161"/>
      <c r="B5587" s="161"/>
      <c r="C5587" s="162"/>
      <c r="D5587" s="163"/>
      <c r="E5587" s="164" t="str">
        <f>IFERROR(__xludf.DUMMYFUNCTION("""COMPUTED_VALUE"""),"")</f>
        <v/>
      </c>
      <c r="F5587" s="163"/>
      <c r="G5587" s="163"/>
      <c r="H5587" s="163"/>
      <c r="I5587" s="163"/>
      <c r="J5587" s="165"/>
      <c r="K5587" s="165"/>
      <c r="L5587" s="165"/>
      <c r="M5587" s="166"/>
      <c r="N5587" s="167"/>
      <c r="O5587" s="163"/>
      <c r="P5587" s="163"/>
      <c r="Q5587" s="163"/>
      <c r="R5587" s="163"/>
      <c r="S5587" s="161"/>
      <c r="T5587" s="161"/>
      <c r="U5587" s="161"/>
      <c r="V5587" s="161"/>
      <c r="W5587" s="161"/>
      <c r="X5587" s="161"/>
      <c r="Y5587" s="161"/>
      <c r="Z5587" s="168"/>
      <c r="AA5587" s="168"/>
      <c r="AB5587" s="168"/>
      <c r="AC5587" s="168"/>
    </row>
    <row r="5588">
      <c r="A5588" s="161"/>
      <c r="B5588" s="161"/>
      <c r="C5588" s="162"/>
      <c r="D5588" s="163"/>
      <c r="E5588" s="164" t="str">
        <f>IFERROR(__xludf.DUMMYFUNCTION("""COMPUTED_VALUE"""),"")</f>
        <v/>
      </c>
      <c r="F5588" s="163"/>
      <c r="G5588" s="163"/>
      <c r="H5588" s="163"/>
      <c r="I5588" s="163"/>
      <c r="J5588" s="165"/>
      <c r="K5588" s="165"/>
      <c r="L5588" s="165"/>
      <c r="M5588" s="166"/>
      <c r="N5588" s="167"/>
      <c r="O5588" s="163"/>
      <c r="P5588" s="163"/>
      <c r="Q5588" s="163"/>
      <c r="R5588" s="163"/>
      <c r="S5588" s="161"/>
      <c r="T5588" s="161"/>
      <c r="U5588" s="161"/>
      <c r="V5588" s="161"/>
      <c r="W5588" s="161"/>
      <c r="X5588" s="161"/>
      <c r="Y5588" s="161"/>
      <c r="Z5588" s="168"/>
      <c r="AA5588" s="168"/>
      <c r="AB5588" s="168"/>
      <c r="AC5588" s="168"/>
    </row>
    <row r="5589">
      <c r="A5589" s="161"/>
      <c r="B5589" s="161"/>
      <c r="C5589" s="162"/>
      <c r="D5589" s="163"/>
      <c r="E5589" s="164" t="str">
        <f>IFERROR(__xludf.DUMMYFUNCTION("""COMPUTED_VALUE"""),"")</f>
        <v/>
      </c>
      <c r="F5589" s="163"/>
      <c r="G5589" s="163"/>
      <c r="H5589" s="163"/>
      <c r="I5589" s="163"/>
      <c r="J5589" s="165"/>
      <c r="K5589" s="165"/>
      <c r="L5589" s="165"/>
      <c r="M5589" s="166"/>
      <c r="N5589" s="167"/>
      <c r="O5589" s="163"/>
      <c r="P5589" s="163"/>
      <c r="Q5589" s="163"/>
      <c r="R5589" s="163"/>
      <c r="S5589" s="161"/>
      <c r="T5589" s="161"/>
      <c r="U5589" s="161"/>
      <c r="V5589" s="161"/>
      <c r="W5589" s="161"/>
      <c r="X5589" s="161"/>
      <c r="Y5589" s="161"/>
      <c r="Z5589" s="168"/>
      <c r="AA5589" s="168"/>
      <c r="AB5589" s="168"/>
      <c r="AC5589" s="168"/>
    </row>
    <row r="5590">
      <c r="A5590" s="161"/>
      <c r="B5590" s="161"/>
      <c r="C5590" s="162"/>
      <c r="D5590" s="163"/>
      <c r="E5590" s="164" t="str">
        <f>IFERROR(__xludf.DUMMYFUNCTION("""COMPUTED_VALUE"""),"")</f>
        <v/>
      </c>
      <c r="F5590" s="163"/>
      <c r="G5590" s="163"/>
      <c r="H5590" s="163"/>
      <c r="I5590" s="163"/>
      <c r="J5590" s="165"/>
      <c r="K5590" s="165"/>
      <c r="L5590" s="165"/>
      <c r="M5590" s="166"/>
      <c r="N5590" s="167"/>
      <c r="O5590" s="163"/>
      <c r="P5590" s="163"/>
      <c r="Q5590" s="163"/>
      <c r="R5590" s="163"/>
      <c r="S5590" s="161"/>
      <c r="T5590" s="161"/>
      <c r="U5590" s="161"/>
      <c r="V5590" s="161"/>
      <c r="W5590" s="161"/>
      <c r="X5590" s="161"/>
      <c r="Y5590" s="161"/>
      <c r="Z5590" s="168"/>
      <c r="AA5590" s="168"/>
      <c r="AB5590" s="168"/>
      <c r="AC5590" s="168"/>
    </row>
    <row r="5591">
      <c r="A5591" s="161"/>
      <c r="B5591" s="161"/>
      <c r="C5591" s="162"/>
      <c r="D5591" s="163"/>
      <c r="E5591" s="164" t="str">
        <f>IFERROR(__xludf.DUMMYFUNCTION("""COMPUTED_VALUE"""),"")</f>
        <v/>
      </c>
      <c r="F5591" s="163"/>
      <c r="G5591" s="163"/>
      <c r="H5591" s="163"/>
      <c r="I5591" s="163"/>
      <c r="J5591" s="165"/>
      <c r="K5591" s="165"/>
      <c r="L5591" s="165"/>
      <c r="M5591" s="166"/>
      <c r="N5591" s="167"/>
      <c r="O5591" s="163"/>
      <c r="P5591" s="163"/>
      <c r="Q5591" s="163"/>
      <c r="R5591" s="163"/>
      <c r="S5591" s="161"/>
      <c r="T5591" s="161"/>
      <c r="U5591" s="161"/>
      <c r="V5591" s="161"/>
      <c r="W5591" s="161"/>
      <c r="X5591" s="161"/>
      <c r="Y5591" s="161"/>
      <c r="Z5591" s="168"/>
      <c r="AA5591" s="168"/>
      <c r="AB5591" s="168"/>
      <c r="AC5591" s="168"/>
    </row>
    <row r="5592">
      <c r="A5592" s="161"/>
      <c r="B5592" s="161"/>
      <c r="C5592" s="162"/>
      <c r="D5592" s="163"/>
      <c r="E5592" s="164" t="str">
        <f>IFERROR(__xludf.DUMMYFUNCTION("""COMPUTED_VALUE"""),"")</f>
        <v/>
      </c>
      <c r="F5592" s="163"/>
      <c r="G5592" s="163"/>
      <c r="H5592" s="163"/>
      <c r="I5592" s="163"/>
      <c r="J5592" s="165"/>
      <c r="K5592" s="165"/>
      <c r="L5592" s="165"/>
      <c r="M5592" s="166"/>
      <c r="N5592" s="167"/>
      <c r="O5592" s="163"/>
      <c r="P5592" s="163"/>
      <c r="Q5592" s="163"/>
      <c r="R5592" s="163"/>
      <c r="S5592" s="161"/>
      <c r="T5592" s="161"/>
      <c r="U5592" s="161"/>
      <c r="V5592" s="161"/>
      <c r="W5592" s="161"/>
      <c r="X5592" s="161"/>
      <c r="Y5592" s="161"/>
      <c r="Z5592" s="168"/>
      <c r="AA5592" s="168"/>
      <c r="AB5592" s="168"/>
      <c r="AC5592" s="168"/>
    </row>
    <row r="5593">
      <c r="A5593" s="161"/>
      <c r="B5593" s="161"/>
      <c r="C5593" s="162"/>
      <c r="D5593" s="163"/>
      <c r="E5593" s="164" t="str">
        <f>IFERROR(__xludf.DUMMYFUNCTION("""COMPUTED_VALUE"""),"")</f>
        <v/>
      </c>
      <c r="F5593" s="163"/>
      <c r="G5593" s="163"/>
      <c r="H5593" s="163"/>
      <c r="I5593" s="163"/>
      <c r="J5593" s="165"/>
      <c r="K5593" s="165"/>
      <c r="L5593" s="165"/>
      <c r="M5593" s="166"/>
      <c r="N5593" s="167"/>
      <c r="O5593" s="163"/>
      <c r="P5593" s="163"/>
      <c r="Q5593" s="163"/>
      <c r="R5593" s="163"/>
      <c r="S5593" s="161"/>
      <c r="T5593" s="161"/>
      <c r="U5593" s="161"/>
      <c r="V5593" s="161"/>
      <c r="W5593" s="161"/>
      <c r="X5593" s="161"/>
      <c r="Y5593" s="161"/>
      <c r="Z5593" s="168"/>
      <c r="AA5593" s="168"/>
      <c r="AB5593" s="168"/>
      <c r="AC5593" s="168"/>
    </row>
    <row r="5594">
      <c r="A5594" s="161"/>
      <c r="B5594" s="161"/>
      <c r="C5594" s="162"/>
      <c r="D5594" s="163"/>
      <c r="E5594" s="164" t="str">
        <f>IFERROR(__xludf.DUMMYFUNCTION("""COMPUTED_VALUE"""),"")</f>
        <v/>
      </c>
      <c r="F5594" s="163"/>
      <c r="G5594" s="163"/>
      <c r="H5594" s="163"/>
      <c r="I5594" s="163"/>
      <c r="J5594" s="165"/>
      <c r="K5594" s="165"/>
      <c r="L5594" s="165"/>
      <c r="M5594" s="166"/>
      <c r="N5594" s="167"/>
      <c r="O5594" s="163"/>
      <c r="P5594" s="163"/>
      <c r="Q5594" s="163"/>
      <c r="R5594" s="163"/>
      <c r="S5594" s="161"/>
      <c r="T5594" s="161"/>
      <c r="U5594" s="161"/>
      <c r="V5594" s="161"/>
      <c r="W5594" s="161"/>
      <c r="X5594" s="161"/>
      <c r="Y5594" s="161"/>
      <c r="Z5594" s="168"/>
      <c r="AA5594" s="168"/>
      <c r="AB5594" s="168"/>
      <c r="AC5594" s="168"/>
    </row>
    <row r="5595">
      <c r="A5595" s="161"/>
      <c r="B5595" s="161"/>
      <c r="C5595" s="162"/>
      <c r="D5595" s="163"/>
      <c r="E5595" s="164" t="str">
        <f>IFERROR(__xludf.DUMMYFUNCTION("""COMPUTED_VALUE"""),"")</f>
        <v/>
      </c>
      <c r="F5595" s="163"/>
      <c r="G5595" s="163"/>
      <c r="H5595" s="163"/>
      <c r="I5595" s="163"/>
      <c r="J5595" s="165"/>
      <c r="K5595" s="165"/>
      <c r="L5595" s="165"/>
      <c r="M5595" s="166"/>
      <c r="N5595" s="167"/>
      <c r="O5595" s="163"/>
      <c r="P5595" s="163"/>
      <c r="Q5595" s="163"/>
      <c r="R5595" s="163"/>
      <c r="S5595" s="161"/>
      <c r="T5595" s="161"/>
      <c r="U5595" s="161"/>
      <c r="V5595" s="161"/>
      <c r="W5595" s="161"/>
      <c r="X5595" s="161"/>
      <c r="Y5595" s="161"/>
      <c r="Z5595" s="168"/>
      <c r="AA5595" s="168"/>
      <c r="AB5595" s="168"/>
      <c r="AC5595" s="168"/>
    </row>
    <row r="5596">
      <c r="A5596" s="161"/>
      <c r="B5596" s="161"/>
      <c r="C5596" s="162"/>
      <c r="D5596" s="163"/>
      <c r="E5596" s="164" t="str">
        <f>IFERROR(__xludf.DUMMYFUNCTION("""COMPUTED_VALUE"""),"")</f>
        <v/>
      </c>
      <c r="F5596" s="163"/>
      <c r="G5596" s="163"/>
      <c r="H5596" s="163"/>
      <c r="I5596" s="163"/>
      <c r="J5596" s="165"/>
      <c r="K5596" s="165"/>
      <c r="L5596" s="165"/>
      <c r="M5596" s="166"/>
      <c r="N5596" s="167"/>
      <c r="O5596" s="163"/>
      <c r="P5596" s="163"/>
      <c r="Q5596" s="163"/>
      <c r="R5596" s="163"/>
      <c r="S5596" s="161"/>
      <c r="T5596" s="161"/>
      <c r="U5596" s="161"/>
      <c r="V5596" s="161"/>
      <c r="W5596" s="161"/>
      <c r="X5596" s="161"/>
      <c r="Y5596" s="161"/>
      <c r="Z5596" s="168"/>
      <c r="AA5596" s="168"/>
      <c r="AB5596" s="168"/>
      <c r="AC5596" s="168"/>
    </row>
    <row r="5597">
      <c r="A5597" s="161"/>
      <c r="B5597" s="161"/>
      <c r="C5597" s="162"/>
      <c r="D5597" s="163"/>
      <c r="E5597" s="164" t="str">
        <f>IFERROR(__xludf.DUMMYFUNCTION("""COMPUTED_VALUE"""),"")</f>
        <v/>
      </c>
      <c r="F5597" s="163"/>
      <c r="G5597" s="163"/>
      <c r="H5597" s="163"/>
      <c r="I5597" s="163"/>
      <c r="J5597" s="165"/>
      <c r="K5597" s="165"/>
      <c r="L5597" s="165"/>
      <c r="M5597" s="166"/>
      <c r="N5597" s="167"/>
      <c r="O5597" s="163"/>
      <c r="P5597" s="163"/>
      <c r="Q5597" s="163"/>
      <c r="R5597" s="163"/>
      <c r="S5597" s="161"/>
      <c r="T5597" s="161"/>
      <c r="U5597" s="161"/>
      <c r="V5597" s="161"/>
      <c r="W5597" s="161"/>
      <c r="X5597" s="161"/>
      <c r="Y5597" s="161"/>
      <c r="Z5597" s="168"/>
      <c r="AA5597" s="168"/>
      <c r="AB5597" s="168"/>
      <c r="AC5597" s="168"/>
    </row>
    <row r="5598">
      <c r="A5598" s="161"/>
      <c r="B5598" s="161"/>
      <c r="C5598" s="162"/>
      <c r="D5598" s="163"/>
      <c r="E5598" s="164" t="str">
        <f>IFERROR(__xludf.DUMMYFUNCTION("""COMPUTED_VALUE"""),"")</f>
        <v/>
      </c>
      <c r="F5598" s="163"/>
      <c r="G5598" s="163"/>
      <c r="H5598" s="163"/>
      <c r="I5598" s="163"/>
      <c r="J5598" s="165"/>
      <c r="K5598" s="165"/>
      <c r="L5598" s="165"/>
      <c r="M5598" s="166"/>
      <c r="N5598" s="167"/>
      <c r="O5598" s="163"/>
      <c r="P5598" s="163"/>
      <c r="Q5598" s="163"/>
      <c r="R5598" s="163"/>
      <c r="S5598" s="161"/>
      <c r="T5598" s="161"/>
      <c r="U5598" s="161"/>
      <c r="V5598" s="161"/>
      <c r="W5598" s="161"/>
      <c r="X5598" s="161"/>
      <c r="Y5598" s="161"/>
      <c r="Z5598" s="168"/>
      <c r="AA5598" s="168"/>
      <c r="AB5598" s="168"/>
      <c r="AC5598" s="168"/>
    </row>
    <row r="5599">
      <c r="A5599" s="161"/>
      <c r="B5599" s="161"/>
      <c r="C5599" s="162"/>
      <c r="D5599" s="163"/>
      <c r="E5599" s="164" t="str">
        <f>IFERROR(__xludf.DUMMYFUNCTION("""COMPUTED_VALUE"""),"")</f>
        <v/>
      </c>
      <c r="F5599" s="163"/>
      <c r="G5599" s="163"/>
      <c r="H5599" s="163"/>
      <c r="I5599" s="163"/>
      <c r="J5599" s="165"/>
      <c r="K5599" s="165"/>
      <c r="L5599" s="165"/>
      <c r="M5599" s="166"/>
      <c r="N5599" s="167"/>
      <c r="O5599" s="163"/>
      <c r="P5599" s="163"/>
      <c r="Q5599" s="163"/>
      <c r="R5599" s="163"/>
      <c r="S5599" s="161"/>
      <c r="T5599" s="161"/>
      <c r="U5599" s="161"/>
      <c r="V5599" s="161"/>
      <c r="W5599" s="161"/>
      <c r="X5599" s="161"/>
      <c r="Y5599" s="161"/>
      <c r="Z5599" s="168"/>
      <c r="AA5599" s="168"/>
      <c r="AB5599" s="168"/>
      <c r="AC5599" s="168"/>
    </row>
    <row r="5600">
      <c r="A5600" s="161"/>
      <c r="B5600" s="161"/>
      <c r="C5600" s="162"/>
      <c r="D5600" s="163"/>
      <c r="E5600" s="164" t="str">
        <f>IFERROR(__xludf.DUMMYFUNCTION("""COMPUTED_VALUE"""),"")</f>
        <v/>
      </c>
      <c r="F5600" s="163"/>
      <c r="G5600" s="163"/>
      <c r="H5600" s="163"/>
      <c r="I5600" s="163"/>
      <c r="J5600" s="165"/>
      <c r="K5600" s="165"/>
      <c r="L5600" s="165"/>
      <c r="M5600" s="166"/>
      <c r="N5600" s="167"/>
      <c r="O5600" s="163"/>
      <c r="P5600" s="163"/>
      <c r="Q5600" s="163"/>
      <c r="R5600" s="163"/>
      <c r="S5600" s="161"/>
      <c r="T5600" s="161"/>
      <c r="U5600" s="161"/>
      <c r="V5600" s="161"/>
      <c r="W5600" s="161"/>
      <c r="X5600" s="161"/>
      <c r="Y5600" s="161"/>
      <c r="Z5600" s="168"/>
      <c r="AA5600" s="168"/>
      <c r="AB5600" s="168"/>
      <c r="AC5600" s="168"/>
    </row>
    <row r="5601">
      <c r="A5601" s="161"/>
      <c r="B5601" s="161"/>
      <c r="C5601" s="162"/>
      <c r="D5601" s="163"/>
      <c r="E5601" s="164" t="str">
        <f>IFERROR(__xludf.DUMMYFUNCTION("""COMPUTED_VALUE"""),"")</f>
        <v/>
      </c>
      <c r="F5601" s="163"/>
      <c r="G5601" s="163"/>
      <c r="H5601" s="163"/>
      <c r="I5601" s="163"/>
      <c r="J5601" s="165"/>
      <c r="K5601" s="165"/>
      <c r="L5601" s="165"/>
      <c r="M5601" s="166"/>
      <c r="N5601" s="167"/>
      <c r="O5601" s="163"/>
      <c r="P5601" s="163"/>
      <c r="Q5601" s="163"/>
      <c r="R5601" s="163"/>
      <c r="S5601" s="161"/>
      <c r="T5601" s="161"/>
      <c r="U5601" s="161"/>
      <c r="V5601" s="161"/>
      <c r="W5601" s="161"/>
      <c r="X5601" s="161"/>
      <c r="Y5601" s="161"/>
      <c r="Z5601" s="168"/>
      <c r="AA5601" s="168"/>
      <c r="AB5601" s="168"/>
      <c r="AC5601" s="168"/>
    </row>
    <row r="5602">
      <c r="A5602" s="161"/>
      <c r="B5602" s="161"/>
      <c r="C5602" s="162"/>
      <c r="D5602" s="163"/>
      <c r="E5602" s="164" t="str">
        <f>IFERROR(__xludf.DUMMYFUNCTION("""COMPUTED_VALUE"""),"")</f>
        <v/>
      </c>
      <c r="F5602" s="163"/>
      <c r="G5602" s="163"/>
      <c r="H5602" s="163"/>
      <c r="I5602" s="163"/>
      <c r="J5602" s="165"/>
      <c r="K5602" s="165"/>
      <c r="L5602" s="165"/>
      <c r="M5602" s="166"/>
      <c r="N5602" s="167"/>
      <c r="O5602" s="163"/>
      <c r="P5602" s="163"/>
      <c r="Q5602" s="163"/>
      <c r="R5602" s="163"/>
      <c r="S5602" s="161"/>
      <c r="T5602" s="161"/>
      <c r="U5602" s="161"/>
      <c r="V5602" s="161"/>
      <c r="W5602" s="161"/>
      <c r="X5602" s="161"/>
      <c r="Y5602" s="161"/>
      <c r="Z5602" s="168"/>
      <c r="AA5602" s="168"/>
      <c r="AB5602" s="168"/>
      <c r="AC5602" s="168"/>
    </row>
    <row r="5603">
      <c r="A5603" s="161"/>
      <c r="B5603" s="161"/>
      <c r="C5603" s="162"/>
      <c r="D5603" s="163"/>
      <c r="E5603" s="164" t="str">
        <f>IFERROR(__xludf.DUMMYFUNCTION("""COMPUTED_VALUE"""),"")</f>
        <v/>
      </c>
      <c r="F5603" s="163"/>
      <c r="G5603" s="163"/>
      <c r="H5603" s="163"/>
      <c r="I5603" s="163"/>
      <c r="J5603" s="165"/>
      <c r="K5603" s="165"/>
      <c r="L5603" s="165"/>
      <c r="M5603" s="166"/>
      <c r="N5603" s="167"/>
      <c r="O5603" s="163"/>
      <c r="P5603" s="163"/>
      <c r="Q5603" s="163"/>
      <c r="R5603" s="163"/>
      <c r="S5603" s="161"/>
      <c r="T5603" s="161"/>
      <c r="U5603" s="161"/>
      <c r="V5603" s="161"/>
      <c r="W5603" s="161"/>
      <c r="X5603" s="161"/>
      <c r="Y5603" s="161"/>
      <c r="Z5603" s="168"/>
      <c r="AA5603" s="168"/>
      <c r="AB5603" s="168"/>
      <c r="AC5603" s="168"/>
    </row>
    <row r="5604">
      <c r="A5604" s="161"/>
      <c r="B5604" s="161"/>
      <c r="C5604" s="162"/>
      <c r="D5604" s="163"/>
      <c r="E5604" s="164" t="str">
        <f>IFERROR(__xludf.DUMMYFUNCTION("""COMPUTED_VALUE"""),"")</f>
        <v/>
      </c>
      <c r="F5604" s="163"/>
      <c r="G5604" s="163"/>
      <c r="H5604" s="163"/>
      <c r="I5604" s="163"/>
      <c r="J5604" s="165"/>
      <c r="K5604" s="165"/>
      <c r="L5604" s="165"/>
      <c r="M5604" s="166"/>
      <c r="N5604" s="167"/>
      <c r="O5604" s="163"/>
      <c r="P5604" s="163"/>
      <c r="Q5604" s="163"/>
      <c r="R5604" s="163"/>
      <c r="S5604" s="161"/>
      <c r="T5604" s="161"/>
      <c r="U5604" s="161"/>
      <c r="V5604" s="161"/>
      <c r="W5604" s="161"/>
      <c r="X5604" s="161"/>
      <c r="Y5604" s="161"/>
      <c r="Z5604" s="168"/>
      <c r="AA5604" s="168"/>
      <c r="AB5604" s="168"/>
      <c r="AC5604" s="168"/>
    </row>
    <row r="5605">
      <c r="A5605" s="161"/>
      <c r="B5605" s="161"/>
      <c r="C5605" s="162"/>
      <c r="D5605" s="163"/>
      <c r="E5605" s="164" t="str">
        <f>IFERROR(__xludf.DUMMYFUNCTION("""COMPUTED_VALUE"""),"")</f>
        <v/>
      </c>
      <c r="F5605" s="163"/>
      <c r="G5605" s="163"/>
      <c r="H5605" s="163"/>
      <c r="I5605" s="163"/>
      <c r="J5605" s="165"/>
      <c r="K5605" s="165"/>
      <c r="L5605" s="165"/>
      <c r="M5605" s="166"/>
      <c r="N5605" s="167"/>
      <c r="O5605" s="163"/>
      <c r="P5605" s="163"/>
      <c r="Q5605" s="163"/>
      <c r="R5605" s="163"/>
      <c r="S5605" s="161"/>
      <c r="T5605" s="161"/>
      <c r="U5605" s="161"/>
      <c r="V5605" s="161"/>
      <c r="W5605" s="161"/>
      <c r="X5605" s="161"/>
      <c r="Y5605" s="161"/>
      <c r="Z5605" s="168"/>
      <c r="AA5605" s="168"/>
      <c r="AB5605" s="168"/>
      <c r="AC5605" s="168"/>
    </row>
    <row r="5606">
      <c r="A5606" s="161"/>
      <c r="B5606" s="161"/>
      <c r="C5606" s="162"/>
      <c r="D5606" s="163"/>
      <c r="E5606" s="164" t="str">
        <f>IFERROR(__xludf.DUMMYFUNCTION("""COMPUTED_VALUE"""),"")</f>
        <v/>
      </c>
      <c r="F5606" s="163"/>
      <c r="G5606" s="163"/>
      <c r="H5606" s="163"/>
      <c r="I5606" s="163"/>
      <c r="J5606" s="165"/>
      <c r="K5606" s="165"/>
      <c r="L5606" s="165"/>
      <c r="M5606" s="166"/>
      <c r="N5606" s="167"/>
      <c r="O5606" s="163"/>
      <c r="P5606" s="163"/>
      <c r="Q5606" s="163"/>
      <c r="R5606" s="163"/>
      <c r="S5606" s="161"/>
      <c r="T5606" s="161"/>
      <c r="U5606" s="161"/>
      <c r="V5606" s="161"/>
      <c r="W5606" s="161"/>
      <c r="X5606" s="161"/>
      <c r="Y5606" s="161"/>
      <c r="Z5606" s="168"/>
      <c r="AA5606" s="168"/>
      <c r="AB5606" s="168"/>
      <c r="AC5606" s="168"/>
    </row>
    <row r="5607">
      <c r="A5607" s="161"/>
      <c r="B5607" s="161"/>
      <c r="C5607" s="162"/>
      <c r="D5607" s="163"/>
      <c r="E5607" s="164" t="str">
        <f>IFERROR(__xludf.DUMMYFUNCTION("""COMPUTED_VALUE"""),"")</f>
        <v/>
      </c>
      <c r="F5607" s="163"/>
      <c r="G5607" s="163"/>
      <c r="H5607" s="163"/>
      <c r="I5607" s="163"/>
      <c r="J5607" s="165"/>
      <c r="K5607" s="165"/>
      <c r="L5607" s="165"/>
      <c r="M5607" s="166"/>
      <c r="N5607" s="167"/>
      <c r="O5607" s="163"/>
      <c r="P5607" s="163"/>
      <c r="Q5607" s="163"/>
      <c r="R5607" s="163"/>
      <c r="S5607" s="161"/>
      <c r="T5607" s="161"/>
      <c r="U5607" s="161"/>
      <c r="V5607" s="161"/>
      <c r="W5607" s="161"/>
      <c r="X5607" s="161"/>
      <c r="Y5607" s="161"/>
      <c r="Z5607" s="168"/>
      <c r="AA5607" s="168"/>
      <c r="AB5607" s="168"/>
      <c r="AC5607" s="168"/>
    </row>
    <row r="5608">
      <c r="A5608" s="161"/>
      <c r="B5608" s="161"/>
      <c r="C5608" s="162"/>
      <c r="D5608" s="163"/>
      <c r="E5608" s="164" t="str">
        <f>IFERROR(__xludf.DUMMYFUNCTION("""COMPUTED_VALUE"""),"")</f>
        <v/>
      </c>
      <c r="F5608" s="163"/>
      <c r="G5608" s="163"/>
      <c r="H5608" s="163"/>
      <c r="I5608" s="163"/>
      <c r="J5608" s="165"/>
      <c r="K5608" s="165"/>
      <c r="L5608" s="165"/>
      <c r="M5608" s="166"/>
      <c r="N5608" s="167"/>
      <c r="O5608" s="163"/>
      <c r="P5608" s="163"/>
      <c r="Q5608" s="163"/>
      <c r="R5608" s="163"/>
      <c r="S5608" s="161"/>
      <c r="T5608" s="161"/>
      <c r="U5608" s="161"/>
      <c r="V5608" s="161"/>
      <c r="W5608" s="161"/>
      <c r="X5608" s="161"/>
      <c r="Y5608" s="161"/>
      <c r="Z5608" s="168"/>
      <c r="AA5608" s="168"/>
      <c r="AB5608" s="168"/>
      <c r="AC5608" s="168"/>
    </row>
    <row r="5609">
      <c r="A5609" s="161"/>
      <c r="B5609" s="161"/>
      <c r="C5609" s="162"/>
      <c r="D5609" s="163"/>
      <c r="E5609" s="164" t="str">
        <f>IFERROR(__xludf.DUMMYFUNCTION("""COMPUTED_VALUE"""),"")</f>
        <v/>
      </c>
      <c r="F5609" s="163"/>
      <c r="G5609" s="163"/>
      <c r="H5609" s="163"/>
      <c r="I5609" s="163"/>
      <c r="J5609" s="165"/>
      <c r="K5609" s="165"/>
      <c r="L5609" s="165"/>
      <c r="M5609" s="166"/>
      <c r="N5609" s="167"/>
      <c r="O5609" s="163"/>
      <c r="P5609" s="163"/>
      <c r="Q5609" s="163"/>
      <c r="R5609" s="163"/>
      <c r="S5609" s="161"/>
      <c r="T5609" s="161"/>
      <c r="U5609" s="161"/>
      <c r="V5609" s="161"/>
      <c r="W5609" s="161"/>
      <c r="X5609" s="161"/>
      <c r="Y5609" s="161"/>
      <c r="Z5609" s="168"/>
      <c r="AA5609" s="168"/>
      <c r="AB5609" s="168"/>
      <c r="AC5609" s="168"/>
    </row>
    <row r="5610">
      <c r="A5610" s="161"/>
      <c r="B5610" s="161"/>
      <c r="C5610" s="162"/>
      <c r="D5610" s="163"/>
      <c r="E5610" s="164" t="str">
        <f>IFERROR(__xludf.DUMMYFUNCTION("""COMPUTED_VALUE"""),"")</f>
        <v/>
      </c>
      <c r="F5610" s="163"/>
      <c r="G5610" s="163"/>
      <c r="H5610" s="163"/>
      <c r="I5610" s="163"/>
      <c r="J5610" s="165"/>
      <c r="K5610" s="165"/>
      <c r="L5610" s="165"/>
      <c r="M5610" s="166"/>
      <c r="N5610" s="167"/>
      <c r="O5610" s="163"/>
      <c r="P5610" s="163"/>
      <c r="Q5610" s="163"/>
      <c r="R5610" s="163"/>
      <c r="S5610" s="161"/>
      <c r="T5610" s="161"/>
      <c r="U5610" s="161"/>
      <c r="V5610" s="161"/>
      <c r="W5610" s="161"/>
      <c r="X5610" s="161"/>
      <c r="Y5610" s="161"/>
      <c r="Z5610" s="168"/>
      <c r="AA5610" s="168"/>
      <c r="AB5610" s="168"/>
      <c r="AC5610" s="168"/>
    </row>
    <row r="5611">
      <c r="A5611" s="161"/>
      <c r="B5611" s="161"/>
      <c r="C5611" s="162"/>
      <c r="D5611" s="163"/>
      <c r="E5611" s="164" t="str">
        <f>IFERROR(__xludf.DUMMYFUNCTION("""COMPUTED_VALUE"""),"")</f>
        <v/>
      </c>
      <c r="F5611" s="163"/>
      <c r="G5611" s="163"/>
      <c r="H5611" s="163"/>
      <c r="I5611" s="163"/>
      <c r="J5611" s="165"/>
      <c r="K5611" s="165"/>
      <c r="L5611" s="165"/>
      <c r="M5611" s="166"/>
      <c r="N5611" s="167"/>
      <c r="O5611" s="163"/>
      <c r="P5611" s="163"/>
      <c r="Q5611" s="163"/>
      <c r="R5611" s="163"/>
      <c r="S5611" s="161"/>
      <c r="T5611" s="161"/>
      <c r="U5611" s="161"/>
      <c r="V5611" s="161"/>
      <c r="W5611" s="161"/>
      <c r="X5611" s="161"/>
      <c r="Y5611" s="161"/>
      <c r="Z5611" s="168"/>
      <c r="AA5611" s="168"/>
      <c r="AB5611" s="168"/>
      <c r="AC5611" s="168"/>
    </row>
    <row r="5612">
      <c r="A5612" s="161"/>
      <c r="B5612" s="161"/>
      <c r="C5612" s="162"/>
      <c r="D5612" s="163"/>
      <c r="E5612" s="164" t="str">
        <f>IFERROR(__xludf.DUMMYFUNCTION("""COMPUTED_VALUE"""),"")</f>
        <v/>
      </c>
      <c r="F5612" s="163"/>
      <c r="G5612" s="163"/>
      <c r="H5612" s="163"/>
      <c r="I5612" s="163"/>
      <c r="J5612" s="165"/>
      <c r="K5612" s="165"/>
      <c r="L5612" s="165"/>
      <c r="M5612" s="166"/>
      <c r="N5612" s="167"/>
      <c r="O5612" s="163"/>
      <c r="P5612" s="163"/>
      <c r="Q5612" s="163"/>
      <c r="R5612" s="163"/>
      <c r="S5612" s="161"/>
      <c r="T5612" s="161"/>
      <c r="U5612" s="161"/>
      <c r="V5612" s="161"/>
      <c r="W5612" s="161"/>
      <c r="X5612" s="161"/>
      <c r="Y5612" s="161"/>
      <c r="Z5612" s="168"/>
      <c r="AA5612" s="168"/>
      <c r="AB5612" s="168"/>
      <c r="AC5612" s="168"/>
    </row>
    <row r="5613">
      <c r="A5613" s="161"/>
      <c r="B5613" s="161"/>
      <c r="C5613" s="162"/>
      <c r="D5613" s="163"/>
      <c r="E5613" s="164" t="str">
        <f>IFERROR(__xludf.DUMMYFUNCTION("""COMPUTED_VALUE"""),"")</f>
        <v/>
      </c>
      <c r="F5613" s="163"/>
      <c r="G5613" s="163"/>
      <c r="H5613" s="163"/>
      <c r="I5613" s="163"/>
      <c r="J5613" s="165"/>
      <c r="K5613" s="165"/>
      <c r="L5613" s="165"/>
      <c r="M5613" s="166"/>
      <c r="N5613" s="167"/>
      <c r="O5613" s="163"/>
      <c r="P5613" s="163"/>
      <c r="Q5613" s="163"/>
      <c r="R5613" s="163"/>
      <c r="S5613" s="161"/>
      <c r="T5613" s="161"/>
      <c r="U5613" s="161"/>
      <c r="V5613" s="161"/>
      <c r="W5613" s="161"/>
      <c r="X5613" s="161"/>
      <c r="Y5613" s="161"/>
      <c r="Z5613" s="168"/>
      <c r="AA5613" s="168"/>
      <c r="AB5613" s="168"/>
      <c r="AC5613" s="168"/>
    </row>
    <row r="5614">
      <c r="A5614" s="161"/>
      <c r="B5614" s="161"/>
      <c r="C5614" s="162"/>
      <c r="D5614" s="163"/>
      <c r="E5614" s="164" t="str">
        <f>IFERROR(__xludf.DUMMYFUNCTION("""COMPUTED_VALUE"""),"")</f>
        <v/>
      </c>
      <c r="F5614" s="163"/>
      <c r="G5614" s="163"/>
      <c r="H5614" s="163"/>
      <c r="I5614" s="163"/>
      <c r="J5614" s="165"/>
      <c r="K5614" s="165"/>
      <c r="L5614" s="165"/>
      <c r="M5614" s="166"/>
      <c r="N5614" s="167"/>
      <c r="O5614" s="163"/>
      <c r="P5614" s="163"/>
      <c r="Q5614" s="163"/>
      <c r="R5614" s="163"/>
      <c r="S5614" s="161"/>
      <c r="T5614" s="161"/>
      <c r="U5614" s="161"/>
      <c r="V5614" s="161"/>
      <c r="W5614" s="161"/>
      <c r="X5614" s="161"/>
      <c r="Y5614" s="161"/>
      <c r="Z5614" s="168"/>
      <c r="AA5614" s="168"/>
      <c r="AB5614" s="168"/>
      <c r="AC5614" s="168"/>
    </row>
    <row r="5615">
      <c r="A5615" s="161"/>
      <c r="B5615" s="161"/>
      <c r="C5615" s="162"/>
      <c r="D5615" s="163"/>
      <c r="E5615" s="164" t="str">
        <f>IFERROR(__xludf.DUMMYFUNCTION("""COMPUTED_VALUE"""),"")</f>
        <v/>
      </c>
      <c r="F5615" s="163"/>
      <c r="G5615" s="163"/>
      <c r="H5615" s="163"/>
      <c r="I5615" s="163"/>
      <c r="J5615" s="165"/>
      <c r="K5615" s="165"/>
      <c r="L5615" s="165"/>
      <c r="M5615" s="166"/>
      <c r="N5615" s="167"/>
      <c r="O5615" s="163"/>
      <c r="P5615" s="163"/>
      <c r="Q5615" s="163"/>
      <c r="R5615" s="163"/>
      <c r="S5615" s="161"/>
      <c r="T5615" s="161"/>
      <c r="U5615" s="161"/>
      <c r="V5615" s="161"/>
      <c r="W5615" s="161"/>
      <c r="X5615" s="161"/>
      <c r="Y5615" s="161"/>
      <c r="Z5615" s="168"/>
      <c r="AA5615" s="168"/>
      <c r="AB5615" s="168"/>
      <c r="AC5615" s="168"/>
    </row>
    <row r="5616">
      <c r="A5616" s="161"/>
      <c r="B5616" s="161"/>
      <c r="C5616" s="162"/>
      <c r="D5616" s="163"/>
      <c r="E5616" s="164" t="str">
        <f>IFERROR(__xludf.DUMMYFUNCTION("""COMPUTED_VALUE"""),"")</f>
        <v/>
      </c>
      <c r="F5616" s="163"/>
      <c r="G5616" s="163"/>
      <c r="H5616" s="163"/>
      <c r="I5616" s="163"/>
      <c r="J5616" s="165"/>
      <c r="K5616" s="165"/>
      <c r="L5616" s="165"/>
      <c r="M5616" s="166"/>
      <c r="N5616" s="167"/>
      <c r="O5616" s="163"/>
      <c r="P5616" s="163"/>
      <c r="Q5616" s="163"/>
      <c r="R5616" s="163"/>
      <c r="S5616" s="161"/>
      <c r="T5616" s="161"/>
      <c r="U5616" s="161"/>
      <c r="V5616" s="161"/>
      <c r="W5616" s="161"/>
      <c r="X5616" s="161"/>
      <c r="Y5616" s="161"/>
      <c r="Z5616" s="168"/>
      <c r="AA5616" s="168"/>
      <c r="AB5616" s="168"/>
      <c r="AC5616" s="168"/>
    </row>
    <row r="5617">
      <c r="A5617" s="161"/>
      <c r="B5617" s="161"/>
      <c r="C5617" s="162"/>
      <c r="D5617" s="163"/>
      <c r="E5617" s="164" t="str">
        <f>IFERROR(__xludf.DUMMYFUNCTION("""COMPUTED_VALUE"""),"")</f>
        <v/>
      </c>
      <c r="F5617" s="163"/>
      <c r="G5617" s="163"/>
      <c r="H5617" s="163"/>
      <c r="I5617" s="163"/>
      <c r="J5617" s="165"/>
      <c r="K5617" s="165"/>
      <c r="L5617" s="165"/>
      <c r="M5617" s="166"/>
      <c r="N5617" s="167"/>
      <c r="O5617" s="163"/>
      <c r="P5617" s="163"/>
      <c r="Q5617" s="163"/>
      <c r="R5617" s="163"/>
      <c r="S5617" s="161"/>
      <c r="T5617" s="161"/>
      <c r="U5617" s="161"/>
      <c r="V5617" s="161"/>
      <c r="W5617" s="161"/>
      <c r="X5617" s="161"/>
      <c r="Y5617" s="161"/>
      <c r="Z5617" s="168"/>
      <c r="AA5617" s="168"/>
      <c r="AB5617" s="168"/>
      <c r="AC5617" s="168"/>
    </row>
    <row r="5618">
      <c r="A5618" s="161"/>
      <c r="B5618" s="161"/>
      <c r="C5618" s="162"/>
      <c r="D5618" s="163"/>
      <c r="E5618" s="164" t="str">
        <f>IFERROR(__xludf.DUMMYFUNCTION("""COMPUTED_VALUE"""),"")</f>
        <v/>
      </c>
      <c r="F5618" s="163"/>
      <c r="G5618" s="163"/>
      <c r="H5618" s="163"/>
      <c r="I5618" s="163"/>
      <c r="J5618" s="165"/>
      <c r="K5618" s="165"/>
      <c r="L5618" s="165"/>
      <c r="M5618" s="166"/>
      <c r="N5618" s="167"/>
      <c r="O5618" s="163"/>
      <c r="P5618" s="163"/>
      <c r="Q5618" s="163"/>
      <c r="R5618" s="163"/>
      <c r="S5618" s="161"/>
      <c r="T5618" s="161"/>
      <c r="U5618" s="161"/>
      <c r="V5618" s="161"/>
      <c r="W5618" s="161"/>
      <c r="X5618" s="161"/>
      <c r="Y5618" s="161"/>
      <c r="Z5618" s="168"/>
      <c r="AA5618" s="168"/>
      <c r="AB5618" s="168"/>
      <c r="AC5618" s="168"/>
    </row>
    <row r="5619">
      <c r="A5619" s="161"/>
      <c r="B5619" s="161"/>
      <c r="C5619" s="162"/>
      <c r="D5619" s="163"/>
      <c r="E5619" s="164" t="str">
        <f>IFERROR(__xludf.DUMMYFUNCTION("""COMPUTED_VALUE"""),"")</f>
        <v/>
      </c>
      <c r="F5619" s="163"/>
      <c r="G5619" s="163"/>
      <c r="H5619" s="163"/>
      <c r="I5619" s="163"/>
      <c r="J5619" s="165"/>
      <c r="K5619" s="165"/>
      <c r="L5619" s="165"/>
      <c r="M5619" s="166"/>
      <c r="N5619" s="167"/>
      <c r="O5619" s="163"/>
      <c r="P5619" s="163"/>
      <c r="Q5619" s="163"/>
      <c r="R5619" s="163"/>
      <c r="S5619" s="161"/>
      <c r="T5619" s="161"/>
      <c r="U5619" s="161"/>
      <c r="V5619" s="161"/>
      <c r="W5619" s="161"/>
      <c r="X5619" s="161"/>
      <c r="Y5619" s="161"/>
      <c r="Z5619" s="168"/>
      <c r="AA5619" s="168"/>
      <c r="AB5619" s="168"/>
      <c r="AC5619" s="168"/>
    </row>
    <row r="5620">
      <c r="A5620" s="161"/>
      <c r="B5620" s="161"/>
      <c r="C5620" s="162"/>
      <c r="D5620" s="163"/>
      <c r="E5620" s="164" t="str">
        <f>IFERROR(__xludf.DUMMYFUNCTION("""COMPUTED_VALUE"""),"")</f>
        <v/>
      </c>
      <c r="F5620" s="163"/>
      <c r="G5620" s="163"/>
      <c r="H5620" s="163"/>
      <c r="I5620" s="163"/>
      <c r="J5620" s="165"/>
      <c r="K5620" s="165"/>
      <c r="L5620" s="165"/>
      <c r="M5620" s="166"/>
      <c r="N5620" s="167"/>
      <c r="O5620" s="163"/>
      <c r="P5620" s="163"/>
      <c r="Q5620" s="163"/>
      <c r="R5620" s="163"/>
      <c r="S5620" s="161"/>
      <c r="T5620" s="161"/>
      <c r="U5620" s="161"/>
      <c r="V5620" s="161"/>
      <c r="W5620" s="161"/>
      <c r="X5620" s="161"/>
      <c r="Y5620" s="161"/>
      <c r="Z5620" s="168"/>
      <c r="AA5620" s="168"/>
      <c r="AB5620" s="168"/>
      <c r="AC5620" s="168"/>
    </row>
    <row r="5621">
      <c r="A5621" s="161"/>
      <c r="B5621" s="161"/>
      <c r="C5621" s="162"/>
      <c r="D5621" s="163"/>
      <c r="E5621" s="164" t="str">
        <f>IFERROR(__xludf.DUMMYFUNCTION("""COMPUTED_VALUE"""),"")</f>
        <v/>
      </c>
      <c r="F5621" s="163"/>
      <c r="G5621" s="163"/>
      <c r="H5621" s="163"/>
      <c r="I5621" s="163"/>
      <c r="J5621" s="165"/>
      <c r="K5621" s="165"/>
      <c r="L5621" s="165"/>
      <c r="M5621" s="166"/>
      <c r="N5621" s="167"/>
      <c r="O5621" s="163"/>
      <c r="P5621" s="163"/>
      <c r="Q5621" s="163"/>
      <c r="R5621" s="163"/>
      <c r="S5621" s="161"/>
      <c r="T5621" s="161"/>
      <c r="U5621" s="161"/>
      <c r="V5621" s="161"/>
      <c r="W5621" s="161"/>
      <c r="X5621" s="161"/>
      <c r="Y5621" s="161"/>
      <c r="Z5621" s="168"/>
      <c r="AA5621" s="168"/>
      <c r="AB5621" s="168"/>
      <c r="AC5621" s="168"/>
    </row>
    <row r="5622">
      <c r="A5622" s="161"/>
      <c r="B5622" s="161"/>
      <c r="C5622" s="162"/>
      <c r="D5622" s="163"/>
      <c r="E5622" s="164" t="str">
        <f>IFERROR(__xludf.DUMMYFUNCTION("""COMPUTED_VALUE"""),"")</f>
        <v/>
      </c>
      <c r="F5622" s="163"/>
      <c r="G5622" s="163"/>
      <c r="H5622" s="163"/>
      <c r="I5622" s="163"/>
      <c r="J5622" s="165"/>
      <c r="K5622" s="165"/>
      <c r="L5622" s="165"/>
      <c r="M5622" s="166"/>
      <c r="N5622" s="167"/>
      <c r="O5622" s="163"/>
      <c r="P5622" s="163"/>
      <c r="Q5622" s="163"/>
      <c r="R5622" s="163"/>
      <c r="S5622" s="161"/>
      <c r="T5622" s="161"/>
      <c r="U5622" s="161"/>
      <c r="V5622" s="161"/>
      <c r="W5622" s="161"/>
      <c r="X5622" s="161"/>
      <c r="Y5622" s="161"/>
      <c r="Z5622" s="168"/>
      <c r="AA5622" s="168"/>
      <c r="AB5622" s="168"/>
      <c r="AC5622" s="168"/>
    </row>
    <row r="5623">
      <c r="A5623" s="161"/>
      <c r="B5623" s="161"/>
      <c r="C5623" s="162"/>
      <c r="D5623" s="163"/>
      <c r="E5623" s="164" t="str">
        <f>IFERROR(__xludf.DUMMYFUNCTION("""COMPUTED_VALUE"""),"")</f>
        <v/>
      </c>
      <c r="F5623" s="163"/>
      <c r="G5623" s="163"/>
      <c r="H5623" s="163"/>
      <c r="I5623" s="163"/>
      <c r="J5623" s="165"/>
      <c r="K5623" s="165"/>
      <c r="L5623" s="165"/>
      <c r="M5623" s="166"/>
      <c r="N5623" s="167"/>
      <c r="O5623" s="163"/>
      <c r="P5623" s="163"/>
      <c r="Q5623" s="163"/>
      <c r="R5623" s="163"/>
      <c r="S5623" s="161"/>
      <c r="T5623" s="161"/>
      <c r="U5623" s="161"/>
      <c r="V5623" s="161"/>
      <c r="W5623" s="161"/>
      <c r="X5623" s="161"/>
      <c r="Y5623" s="161"/>
      <c r="Z5623" s="168"/>
      <c r="AA5623" s="168"/>
      <c r="AB5623" s="168"/>
      <c r="AC5623" s="168"/>
    </row>
    <row r="5624">
      <c r="A5624" s="161"/>
      <c r="B5624" s="161"/>
      <c r="C5624" s="162"/>
      <c r="D5624" s="163"/>
      <c r="E5624" s="164" t="str">
        <f>IFERROR(__xludf.DUMMYFUNCTION("""COMPUTED_VALUE"""),"")</f>
        <v/>
      </c>
      <c r="F5624" s="163"/>
      <c r="G5624" s="163"/>
      <c r="H5624" s="163"/>
      <c r="I5624" s="163"/>
      <c r="J5624" s="165"/>
      <c r="K5624" s="165"/>
      <c r="L5624" s="165"/>
      <c r="M5624" s="166"/>
      <c r="N5624" s="167"/>
      <c r="O5624" s="163"/>
      <c r="P5624" s="163"/>
      <c r="Q5624" s="163"/>
      <c r="R5624" s="163"/>
      <c r="S5624" s="161"/>
      <c r="T5624" s="161"/>
      <c r="U5624" s="161"/>
      <c r="V5624" s="161"/>
      <c r="W5624" s="161"/>
      <c r="X5624" s="161"/>
      <c r="Y5624" s="161"/>
      <c r="Z5624" s="168"/>
      <c r="AA5624" s="168"/>
      <c r="AB5624" s="168"/>
      <c r="AC5624" s="168"/>
    </row>
    <row r="5625">
      <c r="A5625" s="161"/>
      <c r="B5625" s="161"/>
      <c r="C5625" s="162"/>
      <c r="D5625" s="163"/>
      <c r="E5625" s="164" t="str">
        <f>IFERROR(__xludf.DUMMYFUNCTION("""COMPUTED_VALUE"""),"")</f>
        <v/>
      </c>
      <c r="F5625" s="163"/>
      <c r="G5625" s="163"/>
      <c r="H5625" s="163"/>
      <c r="I5625" s="163"/>
      <c r="J5625" s="165"/>
      <c r="K5625" s="165"/>
      <c r="L5625" s="165"/>
      <c r="M5625" s="166"/>
      <c r="N5625" s="167"/>
      <c r="O5625" s="163"/>
      <c r="P5625" s="163"/>
      <c r="Q5625" s="163"/>
      <c r="R5625" s="163"/>
      <c r="S5625" s="161"/>
      <c r="T5625" s="161"/>
      <c r="U5625" s="161"/>
      <c r="V5625" s="161"/>
      <c r="W5625" s="161"/>
      <c r="X5625" s="161"/>
      <c r="Y5625" s="161"/>
      <c r="Z5625" s="168"/>
      <c r="AA5625" s="168"/>
      <c r="AB5625" s="168"/>
      <c r="AC5625" s="168"/>
    </row>
    <row r="5626">
      <c r="A5626" s="161"/>
      <c r="B5626" s="161"/>
      <c r="C5626" s="162"/>
      <c r="D5626" s="163"/>
      <c r="E5626" s="164" t="str">
        <f>IFERROR(__xludf.DUMMYFUNCTION("""COMPUTED_VALUE"""),"")</f>
        <v/>
      </c>
      <c r="F5626" s="163"/>
      <c r="G5626" s="163"/>
      <c r="H5626" s="163"/>
      <c r="I5626" s="163"/>
      <c r="J5626" s="165"/>
      <c r="K5626" s="165"/>
      <c r="L5626" s="165"/>
      <c r="M5626" s="166"/>
      <c r="N5626" s="167"/>
      <c r="O5626" s="163"/>
      <c r="P5626" s="163"/>
      <c r="Q5626" s="163"/>
      <c r="R5626" s="163"/>
      <c r="S5626" s="161"/>
      <c r="T5626" s="161"/>
      <c r="U5626" s="161"/>
      <c r="V5626" s="161"/>
      <c r="W5626" s="161"/>
      <c r="X5626" s="161"/>
      <c r="Y5626" s="161"/>
      <c r="Z5626" s="168"/>
      <c r="AA5626" s="168"/>
      <c r="AB5626" s="168"/>
      <c r="AC5626" s="168"/>
    </row>
    <row r="5627">
      <c r="A5627" s="161"/>
      <c r="B5627" s="161"/>
      <c r="C5627" s="162"/>
      <c r="D5627" s="163"/>
      <c r="E5627" s="164" t="str">
        <f>IFERROR(__xludf.DUMMYFUNCTION("""COMPUTED_VALUE"""),"")</f>
        <v/>
      </c>
      <c r="F5627" s="163"/>
      <c r="G5627" s="163"/>
      <c r="H5627" s="163"/>
      <c r="I5627" s="163"/>
      <c r="J5627" s="165"/>
      <c r="K5627" s="165"/>
      <c r="L5627" s="165"/>
      <c r="M5627" s="166"/>
      <c r="N5627" s="167"/>
      <c r="O5627" s="163"/>
      <c r="P5627" s="163"/>
      <c r="Q5627" s="163"/>
      <c r="R5627" s="163"/>
      <c r="S5627" s="161"/>
      <c r="T5627" s="161"/>
      <c r="U5627" s="161"/>
      <c r="V5627" s="161"/>
      <c r="W5627" s="161"/>
      <c r="X5627" s="161"/>
      <c r="Y5627" s="161"/>
      <c r="Z5627" s="168"/>
      <c r="AA5627" s="168"/>
      <c r="AB5627" s="168"/>
      <c r="AC5627" s="168"/>
    </row>
    <row r="5628">
      <c r="A5628" s="161"/>
      <c r="B5628" s="161"/>
      <c r="C5628" s="162"/>
      <c r="D5628" s="163"/>
      <c r="E5628" s="164" t="str">
        <f>IFERROR(__xludf.DUMMYFUNCTION("""COMPUTED_VALUE"""),"")</f>
        <v/>
      </c>
      <c r="F5628" s="163"/>
      <c r="G5628" s="163"/>
      <c r="H5628" s="163"/>
      <c r="I5628" s="163"/>
      <c r="J5628" s="165"/>
      <c r="K5628" s="165"/>
      <c r="L5628" s="165"/>
      <c r="M5628" s="166"/>
      <c r="N5628" s="167"/>
      <c r="O5628" s="163"/>
      <c r="P5628" s="163"/>
      <c r="Q5628" s="163"/>
      <c r="R5628" s="163"/>
      <c r="S5628" s="161"/>
      <c r="T5628" s="161"/>
      <c r="U5628" s="161"/>
      <c r="V5628" s="161"/>
      <c r="W5628" s="161"/>
      <c r="X5628" s="161"/>
      <c r="Y5628" s="161"/>
      <c r="Z5628" s="168"/>
      <c r="AA5628" s="168"/>
      <c r="AB5628" s="168"/>
      <c r="AC5628" s="168"/>
    </row>
    <row r="5629">
      <c r="A5629" s="161"/>
      <c r="B5629" s="161"/>
      <c r="C5629" s="162"/>
      <c r="D5629" s="163"/>
      <c r="E5629" s="164" t="str">
        <f>IFERROR(__xludf.DUMMYFUNCTION("""COMPUTED_VALUE"""),"")</f>
        <v/>
      </c>
      <c r="F5629" s="163"/>
      <c r="G5629" s="163"/>
      <c r="H5629" s="163"/>
      <c r="I5629" s="163"/>
      <c r="J5629" s="165"/>
      <c r="K5629" s="165"/>
      <c r="L5629" s="165"/>
      <c r="M5629" s="166"/>
      <c r="N5629" s="167"/>
      <c r="O5629" s="163"/>
      <c r="P5629" s="163"/>
      <c r="Q5629" s="163"/>
      <c r="R5629" s="163"/>
      <c r="S5629" s="161"/>
      <c r="T5629" s="161"/>
      <c r="U5629" s="161"/>
      <c r="V5629" s="161"/>
      <c r="W5629" s="161"/>
      <c r="X5629" s="161"/>
      <c r="Y5629" s="161"/>
      <c r="Z5629" s="168"/>
      <c r="AA5629" s="168"/>
      <c r="AB5629" s="168"/>
      <c r="AC5629" s="168"/>
    </row>
    <row r="5630">
      <c r="A5630" s="161"/>
      <c r="B5630" s="161"/>
      <c r="C5630" s="162"/>
      <c r="D5630" s="163"/>
      <c r="E5630" s="164" t="str">
        <f>IFERROR(__xludf.DUMMYFUNCTION("""COMPUTED_VALUE"""),"")</f>
        <v/>
      </c>
      <c r="F5630" s="163"/>
      <c r="G5630" s="163"/>
      <c r="H5630" s="163"/>
      <c r="I5630" s="163"/>
      <c r="J5630" s="165"/>
      <c r="K5630" s="165"/>
      <c r="L5630" s="165"/>
      <c r="M5630" s="166"/>
      <c r="N5630" s="167"/>
      <c r="O5630" s="163"/>
      <c r="P5630" s="163"/>
      <c r="Q5630" s="163"/>
      <c r="R5630" s="163"/>
      <c r="S5630" s="161"/>
      <c r="T5630" s="161"/>
      <c r="U5630" s="161"/>
      <c r="V5630" s="161"/>
      <c r="W5630" s="161"/>
      <c r="X5630" s="161"/>
      <c r="Y5630" s="161"/>
      <c r="Z5630" s="168"/>
      <c r="AA5630" s="168"/>
      <c r="AB5630" s="168"/>
      <c r="AC5630" s="168"/>
    </row>
    <row r="5631">
      <c r="A5631" s="161"/>
      <c r="B5631" s="161"/>
      <c r="C5631" s="162"/>
      <c r="D5631" s="163"/>
      <c r="E5631" s="164" t="str">
        <f>IFERROR(__xludf.DUMMYFUNCTION("""COMPUTED_VALUE"""),"")</f>
        <v/>
      </c>
      <c r="F5631" s="163"/>
      <c r="G5631" s="163"/>
      <c r="H5631" s="163"/>
      <c r="I5631" s="163"/>
      <c r="J5631" s="165"/>
      <c r="K5631" s="165"/>
      <c r="L5631" s="165"/>
      <c r="M5631" s="166"/>
      <c r="N5631" s="167"/>
      <c r="O5631" s="163"/>
      <c r="P5631" s="163"/>
      <c r="Q5631" s="163"/>
      <c r="R5631" s="163"/>
      <c r="S5631" s="161"/>
      <c r="T5631" s="161"/>
      <c r="U5631" s="161"/>
      <c r="V5631" s="161"/>
      <c r="W5631" s="161"/>
      <c r="X5631" s="161"/>
      <c r="Y5631" s="161"/>
      <c r="Z5631" s="168"/>
      <c r="AA5631" s="168"/>
      <c r="AB5631" s="168"/>
      <c r="AC5631" s="168"/>
    </row>
    <row r="5632">
      <c r="A5632" s="161"/>
      <c r="B5632" s="161"/>
      <c r="C5632" s="162"/>
      <c r="D5632" s="163"/>
      <c r="E5632" s="164" t="str">
        <f>IFERROR(__xludf.DUMMYFUNCTION("""COMPUTED_VALUE"""),"")</f>
        <v/>
      </c>
      <c r="F5632" s="163"/>
      <c r="G5632" s="163"/>
      <c r="H5632" s="163"/>
      <c r="I5632" s="163"/>
      <c r="J5632" s="165"/>
      <c r="K5632" s="165"/>
      <c r="L5632" s="165"/>
      <c r="M5632" s="166"/>
      <c r="N5632" s="167"/>
      <c r="O5632" s="163"/>
      <c r="P5632" s="163"/>
      <c r="Q5632" s="163"/>
      <c r="R5632" s="163"/>
      <c r="S5632" s="161"/>
      <c r="T5632" s="161"/>
      <c r="U5632" s="161"/>
      <c r="V5632" s="161"/>
      <c r="W5632" s="161"/>
      <c r="X5632" s="161"/>
      <c r="Y5632" s="161"/>
      <c r="Z5632" s="168"/>
      <c r="AA5632" s="168"/>
      <c r="AB5632" s="168"/>
      <c r="AC5632" s="168"/>
    </row>
    <row r="5633">
      <c r="A5633" s="161"/>
      <c r="B5633" s="161"/>
      <c r="C5633" s="162"/>
      <c r="D5633" s="163"/>
      <c r="E5633" s="164" t="str">
        <f>IFERROR(__xludf.DUMMYFUNCTION("""COMPUTED_VALUE"""),"")</f>
        <v/>
      </c>
      <c r="F5633" s="163"/>
      <c r="G5633" s="163"/>
      <c r="H5633" s="163"/>
      <c r="I5633" s="163"/>
      <c r="J5633" s="165"/>
      <c r="K5633" s="165"/>
      <c r="L5633" s="165"/>
      <c r="M5633" s="166"/>
      <c r="N5633" s="167"/>
      <c r="O5633" s="163"/>
      <c r="P5633" s="163"/>
      <c r="Q5633" s="163"/>
      <c r="R5633" s="163"/>
      <c r="S5633" s="161"/>
      <c r="T5633" s="161"/>
      <c r="U5633" s="161"/>
      <c r="V5633" s="161"/>
      <c r="W5633" s="161"/>
      <c r="X5633" s="161"/>
      <c r="Y5633" s="161"/>
      <c r="Z5633" s="168"/>
      <c r="AA5633" s="168"/>
      <c r="AB5633" s="168"/>
      <c r="AC5633" s="168"/>
    </row>
    <row r="5634">
      <c r="A5634" s="161"/>
      <c r="B5634" s="161"/>
      <c r="C5634" s="162"/>
      <c r="D5634" s="163"/>
      <c r="E5634" s="164" t="str">
        <f>IFERROR(__xludf.DUMMYFUNCTION("""COMPUTED_VALUE"""),"")</f>
        <v/>
      </c>
      <c r="F5634" s="163"/>
      <c r="G5634" s="163"/>
      <c r="H5634" s="163"/>
      <c r="I5634" s="163"/>
      <c r="J5634" s="165"/>
      <c r="K5634" s="165"/>
      <c r="L5634" s="165"/>
      <c r="M5634" s="166"/>
      <c r="N5634" s="167"/>
      <c r="O5634" s="163"/>
      <c r="P5634" s="163"/>
      <c r="Q5634" s="163"/>
      <c r="R5634" s="163"/>
      <c r="S5634" s="161"/>
      <c r="T5634" s="161"/>
      <c r="U5634" s="161"/>
      <c r="V5634" s="161"/>
      <c r="W5634" s="161"/>
      <c r="X5634" s="161"/>
      <c r="Y5634" s="161"/>
      <c r="Z5634" s="168"/>
      <c r="AA5634" s="168"/>
      <c r="AB5634" s="168"/>
      <c r="AC5634" s="168"/>
    </row>
    <row r="5635">
      <c r="A5635" s="161"/>
      <c r="B5635" s="161"/>
      <c r="C5635" s="162"/>
      <c r="D5635" s="163"/>
      <c r="E5635" s="164" t="str">
        <f>IFERROR(__xludf.DUMMYFUNCTION("""COMPUTED_VALUE"""),"")</f>
        <v/>
      </c>
      <c r="F5635" s="163"/>
      <c r="G5635" s="163"/>
      <c r="H5635" s="163"/>
      <c r="I5635" s="163"/>
      <c r="J5635" s="165"/>
      <c r="K5635" s="165"/>
      <c r="L5635" s="165"/>
      <c r="M5635" s="166"/>
      <c r="N5635" s="167"/>
      <c r="O5635" s="163"/>
      <c r="P5635" s="163"/>
      <c r="Q5635" s="163"/>
      <c r="R5635" s="163"/>
      <c r="S5635" s="161"/>
      <c r="T5635" s="161"/>
      <c r="U5635" s="161"/>
      <c r="V5635" s="161"/>
      <c r="W5635" s="161"/>
      <c r="X5635" s="161"/>
      <c r="Y5635" s="161"/>
      <c r="Z5635" s="168"/>
      <c r="AA5635" s="168"/>
      <c r="AB5635" s="168"/>
      <c r="AC5635" s="168"/>
    </row>
    <row r="5636">
      <c r="A5636" s="161"/>
      <c r="B5636" s="161"/>
      <c r="C5636" s="162"/>
      <c r="D5636" s="163"/>
      <c r="E5636" s="164" t="str">
        <f>IFERROR(__xludf.DUMMYFUNCTION("""COMPUTED_VALUE"""),"")</f>
        <v/>
      </c>
      <c r="F5636" s="163"/>
      <c r="G5636" s="163"/>
      <c r="H5636" s="163"/>
      <c r="I5636" s="163"/>
      <c r="J5636" s="165"/>
      <c r="K5636" s="165"/>
      <c r="L5636" s="165"/>
      <c r="M5636" s="166"/>
      <c r="N5636" s="167"/>
      <c r="O5636" s="163"/>
      <c r="P5636" s="163"/>
      <c r="Q5636" s="163"/>
      <c r="R5636" s="163"/>
      <c r="S5636" s="161"/>
      <c r="T5636" s="161"/>
      <c r="U5636" s="161"/>
      <c r="V5636" s="161"/>
      <c r="W5636" s="161"/>
      <c r="X5636" s="161"/>
      <c r="Y5636" s="161"/>
      <c r="Z5636" s="168"/>
      <c r="AA5636" s="168"/>
      <c r="AB5636" s="168"/>
      <c r="AC5636" s="168"/>
    </row>
    <row r="5637">
      <c r="A5637" s="161"/>
      <c r="B5637" s="161"/>
      <c r="C5637" s="162"/>
      <c r="D5637" s="163"/>
      <c r="E5637" s="164" t="str">
        <f>IFERROR(__xludf.DUMMYFUNCTION("""COMPUTED_VALUE"""),"")</f>
        <v/>
      </c>
      <c r="F5637" s="163"/>
      <c r="G5637" s="163"/>
      <c r="H5637" s="163"/>
      <c r="I5637" s="163"/>
      <c r="J5637" s="165"/>
      <c r="K5637" s="165"/>
      <c r="L5637" s="165"/>
      <c r="M5637" s="166"/>
      <c r="N5637" s="167"/>
      <c r="O5637" s="163"/>
      <c r="P5637" s="163"/>
      <c r="Q5637" s="163"/>
      <c r="R5637" s="163"/>
      <c r="S5637" s="161"/>
      <c r="T5637" s="161"/>
      <c r="U5637" s="161"/>
      <c r="V5637" s="161"/>
      <c r="W5637" s="161"/>
      <c r="X5637" s="161"/>
      <c r="Y5637" s="161"/>
      <c r="Z5637" s="168"/>
      <c r="AA5637" s="168"/>
      <c r="AB5637" s="168"/>
      <c r="AC5637" s="168"/>
    </row>
    <row r="5638">
      <c r="A5638" s="161"/>
      <c r="B5638" s="161"/>
      <c r="C5638" s="162"/>
      <c r="D5638" s="163"/>
      <c r="E5638" s="164" t="str">
        <f>IFERROR(__xludf.DUMMYFUNCTION("""COMPUTED_VALUE"""),"")</f>
        <v/>
      </c>
      <c r="F5638" s="163"/>
      <c r="G5638" s="163"/>
      <c r="H5638" s="163"/>
      <c r="I5638" s="163"/>
      <c r="J5638" s="165"/>
      <c r="K5638" s="165"/>
      <c r="L5638" s="165"/>
      <c r="M5638" s="166"/>
      <c r="N5638" s="167"/>
      <c r="O5638" s="163"/>
      <c r="P5638" s="163"/>
      <c r="Q5638" s="163"/>
      <c r="R5638" s="163"/>
      <c r="S5638" s="161"/>
      <c r="T5638" s="161"/>
      <c r="U5638" s="161"/>
      <c r="V5638" s="161"/>
      <c r="W5638" s="161"/>
      <c r="X5638" s="161"/>
      <c r="Y5638" s="161"/>
      <c r="Z5638" s="168"/>
      <c r="AA5638" s="168"/>
      <c r="AB5638" s="168"/>
      <c r="AC5638" s="168"/>
    </row>
    <row r="5639">
      <c r="A5639" s="161"/>
      <c r="B5639" s="161"/>
      <c r="C5639" s="162"/>
      <c r="D5639" s="163"/>
      <c r="E5639" s="164" t="str">
        <f>IFERROR(__xludf.DUMMYFUNCTION("""COMPUTED_VALUE"""),"")</f>
        <v/>
      </c>
      <c r="F5639" s="163"/>
      <c r="G5639" s="163"/>
      <c r="H5639" s="163"/>
      <c r="I5639" s="163"/>
      <c r="J5639" s="165"/>
      <c r="K5639" s="165"/>
      <c r="L5639" s="165"/>
      <c r="M5639" s="166"/>
      <c r="N5639" s="167"/>
      <c r="O5639" s="163"/>
      <c r="P5639" s="163"/>
      <c r="Q5639" s="163"/>
      <c r="R5639" s="163"/>
      <c r="S5639" s="161"/>
      <c r="T5639" s="161"/>
      <c r="U5639" s="161"/>
      <c r="V5639" s="161"/>
      <c r="W5639" s="161"/>
      <c r="X5639" s="161"/>
      <c r="Y5639" s="161"/>
      <c r="Z5639" s="168"/>
      <c r="AA5639" s="168"/>
      <c r="AB5639" s="168"/>
      <c r="AC5639" s="168"/>
    </row>
    <row r="5640">
      <c r="A5640" s="161"/>
      <c r="B5640" s="161"/>
      <c r="C5640" s="162"/>
      <c r="D5640" s="163"/>
      <c r="E5640" s="164" t="str">
        <f>IFERROR(__xludf.DUMMYFUNCTION("""COMPUTED_VALUE"""),"")</f>
        <v/>
      </c>
      <c r="F5640" s="163"/>
      <c r="G5640" s="163"/>
      <c r="H5640" s="163"/>
      <c r="I5640" s="163"/>
      <c r="J5640" s="165"/>
      <c r="K5640" s="165"/>
      <c r="L5640" s="165"/>
      <c r="M5640" s="166"/>
      <c r="N5640" s="167"/>
      <c r="O5640" s="163"/>
      <c r="P5640" s="163"/>
      <c r="Q5640" s="163"/>
      <c r="R5640" s="163"/>
      <c r="S5640" s="161"/>
      <c r="T5640" s="161"/>
      <c r="U5640" s="161"/>
      <c r="V5640" s="161"/>
      <c r="W5640" s="161"/>
      <c r="X5640" s="161"/>
      <c r="Y5640" s="161"/>
      <c r="Z5640" s="168"/>
      <c r="AA5640" s="168"/>
      <c r="AB5640" s="168"/>
      <c r="AC5640" s="168"/>
    </row>
    <row r="5641">
      <c r="A5641" s="161"/>
      <c r="B5641" s="161"/>
      <c r="C5641" s="162"/>
      <c r="D5641" s="163"/>
      <c r="E5641" s="164" t="str">
        <f>IFERROR(__xludf.DUMMYFUNCTION("""COMPUTED_VALUE"""),"")</f>
        <v/>
      </c>
      <c r="F5641" s="163"/>
      <c r="G5641" s="163"/>
      <c r="H5641" s="163"/>
      <c r="I5641" s="163"/>
      <c r="J5641" s="165"/>
      <c r="K5641" s="165"/>
      <c r="L5641" s="165"/>
      <c r="M5641" s="166"/>
      <c r="N5641" s="167"/>
      <c r="O5641" s="163"/>
      <c r="P5641" s="163"/>
      <c r="Q5641" s="163"/>
      <c r="R5641" s="163"/>
      <c r="S5641" s="161"/>
      <c r="T5641" s="161"/>
      <c r="U5641" s="161"/>
      <c r="V5641" s="161"/>
      <c r="W5641" s="161"/>
      <c r="X5641" s="161"/>
      <c r="Y5641" s="161"/>
      <c r="Z5641" s="168"/>
      <c r="AA5641" s="168"/>
      <c r="AB5641" s="168"/>
      <c r="AC5641" s="168"/>
    </row>
    <row r="5642">
      <c r="A5642" s="161"/>
      <c r="B5642" s="161"/>
      <c r="C5642" s="162"/>
      <c r="D5642" s="163"/>
      <c r="E5642" s="164" t="str">
        <f>IFERROR(__xludf.DUMMYFUNCTION("""COMPUTED_VALUE"""),"")</f>
        <v/>
      </c>
      <c r="F5642" s="163"/>
      <c r="G5642" s="163"/>
      <c r="H5642" s="163"/>
      <c r="I5642" s="163"/>
      <c r="J5642" s="165"/>
      <c r="K5642" s="165"/>
      <c r="L5642" s="165"/>
      <c r="M5642" s="166"/>
      <c r="N5642" s="167"/>
      <c r="O5642" s="163"/>
      <c r="P5642" s="163"/>
      <c r="Q5642" s="163"/>
      <c r="R5642" s="163"/>
      <c r="S5642" s="161"/>
      <c r="T5642" s="161"/>
      <c r="U5642" s="161"/>
      <c r="V5642" s="161"/>
      <c r="W5642" s="161"/>
      <c r="X5642" s="161"/>
      <c r="Y5642" s="161"/>
      <c r="Z5642" s="168"/>
      <c r="AA5642" s="168"/>
      <c r="AB5642" s="168"/>
      <c r="AC5642" s="168"/>
    </row>
    <row r="5643">
      <c r="A5643" s="161"/>
      <c r="B5643" s="161"/>
      <c r="C5643" s="162"/>
      <c r="D5643" s="163"/>
      <c r="E5643" s="164" t="str">
        <f>IFERROR(__xludf.DUMMYFUNCTION("""COMPUTED_VALUE"""),"")</f>
        <v/>
      </c>
      <c r="F5643" s="163"/>
      <c r="G5643" s="163"/>
      <c r="H5643" s="163"/>
      <c r="I5643" s="163"/>
      <c r="J5643" s="165"/>
      <c r="K5643" s="165"/>
      <c r="L5643" s="165"/>
      <c r="M5643" s="166"/>
      <c r="N5643" s="167"/>
      <c r="O5643" s="163"/>
      <c r="P5643" s="163"/>
      <c r="Q5643" s="163"/>
      <c r="R5643" s="163"/>
      <c r="S5643" s="161"/>
      <c r="T5643" s="161"/>
      <c r="U5643" s="161"/>
      <c r="V5643" s="161"/>
      <c r="W5643" s="161"/>
      <c r="X5643" s="161"/>
      <c r="Y5643" s="161"/>
      <c r="Z5643" s="168"/>
      <c r="AA5643" s="168"/>
      <c r="AB5643" s="168"/>
      <c r="AC5643" s="168"/>
    </row>
    <row r="5644">
      <c r="A5644" s="161"/>
      <c r="B5644" s="161"/>
      <c r="C5644" s="162"/>
      <c r="D5644" s="163"/>
      <c r="E5644" s="164" t="str">
        <f>IFERROR(__xludf.DUMMYFUNCTION("""COMPUTED_VALUE"""),"")</f>
        <v/>
      </c>
      <c r="F5644" s="163"/>
      <c r="G5644" s="163"/>
      <c r="H5644" s="163"/>
      <c r="I5644" s="163"/>
      <c r="J5644" s="165"/>
      <c r="K5644" s="165"/>
      <c r="L5644" s="165"/>
      <c r="M5644" s="166"/>
      <c r="N5644" s="167"/>
      <c r="O5644" s="163"/>
      <c r="P5644" s="163"/>
      <c r="Q5644" s="163"/>
      <c r="R5644" s="163"/>
      <c r="S5644" s="161"/>
      <c r="T5644" s="161"/>
      <c r="U5644" s="161"/>
      <c r="V5644" s="161"/>
      <c r="W5644" s="161"/>
      <c r="X5644" s="161"/>
      <c r="Y5644" s="161"/>
      <c r="Z5644" s="168"/>
      <c r="AA5644" s="168"/>
      <c r="AB5644" s="168"/>
      <c r="AC5644" s="168"/>
    </row>
    <row r="5645">
      <c r="A5645" s="161"/>
      <c r="B5645" s="161"/>
      <c r="C5645" s="162"/>
      <c r="D5645" s="163"/>
      <c r="E5645" s="164" t="str">
        <f>IFERROR(__xludf.DUMMYFUNCTION("""COMPUTED_VALUE"""),"")</f>
        <v/>
      </c>
      <c r="F5645" s="163"/>
      <c r="G5645" s="163"/>
      <c r="H5645" s="163"/>
      <c r="I5645" s="163"/>
      <c r="J5645" s="165"/>
      <c r="K5645" s="165"/>
      <c r="L5645" s="165"/>
      <c r="M5645" s="166"/>
      <c r="N5645" s="167"/>
      <c r="O5645" s="163"/>
      <c r="P5645" s="163"/>
      <c r="Q5645" s="163"/>
      <c r="R5645" s="163"/>
      <c r="S5645" s="161"/>
      <c r="T5645" s="161"/>
      <c r="U5645" s="161"/>
      <c r="V5645" s="161"/>
      <c r="W5645" s="161"/>
      <c r="X5645" s="161"/>
      <c r="Y5645" s="161"/>
      <c r="Z5645" s="168"/>
      <c r="AA5645" s="168"/>
      <c r="AB5645" s="168"/>
      <c r="AC5645" s="168"/>
    </row>
    <row r="5646">
      <c r="A5646" s="161"/>
      <c r="B5646" s="161"/>
      <c r="C5646" s="162"/>
      <c r="D5646" s="163"/>
      <c r="E5646" s="164" t="str">
        <f>IFERROR(__xludf.DUMMYFUNCTION("""COMPUTED_VALUE"""),"")</f>
        <v/>
      </c>
      <c r="F5646" s="163"/>
      <c r="G5646" s="163"/>
      <c r="H5646" s="163"/>
      <c r="I5646" s="163"/>
      <c r="J5646" s="165"/>
      <c r="K5646" s="165"/>
      <c r="L5646" s="165"/>
      <c r="M5646" s="166"/>
      <c r="N5646" s="167"/>
      <c r="O5646" s="163"/>
      <c r="P5646" s="163"/>
      <c r="Q5646" s="163"/>
      <c r="R5646" s="163"/>
      <c r="S5646" s="161"/>
      <c r="T5646" s="161"/>
      <c r="U5646" s="161"/>
      <c r="V5646" s="161"/>
      <c r="W5646" s="161"/>
      <c r="X5646" s="161"/>
      <c r="Y5646" s="161"/>
      <c r="Z5646" s="168"/>
      <c r="AA5646" s="168"/>
      <c r="AB5646" s="168"/>
      <c r="AC5646" s="168"/>
    </row>
    <row r="5647">
      <c r="A5647" s="161"/>
      <c r="B5647" s="161"/>
      <c r="C5647" s="162"/>
      <c r="D5647" s="163"/>
      <c r="E5647" s="164" t="str">
        <f>IFERROR(__xludf.DUMMYFUNCTION("""COMPUTED_VALUE"""),"")</f>
        <v/>
      </c>
      <c r="F5647" s="163"/>
      <c r="G5647" s="163"/>
      <c r="H5647" s="163"/>
      <c r="I5647" s="163"/>
      <c r="J5647" s="165"/>
      <c r="K5647" s="165"/>
      <c r="L5647" s="165"/>
      <c r="M5647" s="166"/>
      <c r="N5647" s="167"/>
      <c r="O5647" s="163"/>
      <c r="P5647" s="163"/>
      <c r="Q5647" s="163"/>
      <c r="R5647" s="163"/>
      <c r="S5647" s="161"/>
      <c r="T5647" s="161"/>
      <c r="U5647" s="161"/>
      <c r="V5647" s="161"/>
      <c r="W5647" s="161"/>
      <c r="X5647" s="161"/>
      <c r="Y5647" s="161"/>
      <c r="Z5647" s="168"/>
      <c r="AA5647" s="168"/>
      <c r="AB5647" s="168"/>
      <c r="AC5647" s="168"/>
    </row>
    <row r="5648">
      <c r="A5648" s="161"/>
      <c r="B5648" s="161"/>
      <c r="C5648" s="162"/>
      <c r="D5648" s="163"/>
      <c r="E5648" s="164" t="str">
        <f>IFERROR(__xludf.DUMMYFUNCTION("""COMPUTED_VALUE"""),"")</f>
        <v/>
      </c>
      <c r="F5648" s="163"/>
      <c r="G5648" s="163"/>
      <c r="H5648" s="163"/>
      <c r="I5648" s="163"/>
      <c r="J5648" s="165"/>
      <c r="K5648" s="165"/>
      <c r="L5648" s="165"/>
      <c r="M5648" s="166"/>
      <c r="N5648" s="167"/>
      <c r="O5648" s="163"/>
      <c r="P5648" s="163"/>
      <c r="Q5648" s="163"/>
      <c r="R5648" s="163"/>
      <c r="S5648" s="161"/>
      <c r="T5648" s="161"/>
      <c r="U5648" s="161"/>
      <c r="V5648" s="161"/>
      <c r="W5648" s="161"/>
      <c r="X5648" s="161"/>
      <c r="Y5648" s="161"/>
      <c r="Z5648" s="168"/>
      <c r="AA5648" s="168"/>
      <c r="AB5648" s="168"/>
      <c r="AC5648" s="168"/>
    </row>
    <row r="5649">
      <c r="A5649" s="161"/>
      <c r="B5649" s="161"/>
      <c r="C5649" s="162"/>
      <c r="D5649" s="163"/>
      <c r="E5649" s="164" t="str">
        <f>IFERROR(__xludf.DUMMYFUNCTION("""COMPUTED_VALUE"""),"")</f>
        <v/>
      </c>
      <c r="F5649" s="163"/>
      <c r="G5649" s="163"/>
      <c r="H5649" s="163"/>
      <c r="I5649" s="163"/>
      <c r="J5649" s="165"/>
      <c r="K5649" s="165"/>
      <c r="L5649" s="165"/>
      <c r="M5649" s="166"/>
      <c r="N5649" s="167"/>
      <c r="O5649" s="163"/>
      <c r="P5649" s="163"/>
      <c r="Q5649" s="163"/>
      <c r="R5649" s="163"/>
      <c r="S5649" s="161"/>
      <c r="T5649" s="161"/>
      <c r="U5649" s="161"/>
      <c r="V5649" s="161"/>
      <c r="W5649" s="161"/>
      <c r="X5649" s="161"/>
      <c r="Y5649" s="161"/>
      <c r="Z5649" s="168"/>
      <c r="AA5649" s="168"/>
      <c r="AB5649" s="168"/>
      <c r="AC5649" s="168"/>
    </row>
    <row r="5650">
      <c r="A5650" s="161"/>
      <c r="B5650" s="161"/>
      <c r="C5650" s="162"/>
      <c r="D5650" s="163"/>
      <c r="E5650" s="164" t="str">
        <f>IFERROR(__xludf.DUMMYFUNCTION("""COMPUTED_VALUE"""),"")</f>
        <v/>
      </c>
      <c r="F5650" s="163"/>
      <c r="G5650" s="163"/>
      <c r="H5650" s="163"/>
      <c r="I5650" s="163"/>
      <c r="J5650" s="165"/>
      <c r="K5650" s="165"/>
      <c r="L5650" s="165"/>
      <c r="M5650" s="166"/>
      <c r="N5650" s="167"/>
      <c r="O5650" s="163"/>
      <c r="P5650" s="163"/>
      <c r="Q5650" s="163"/>
      <c r="R5650" s="163"/>
      <c r="S5650" s="161"/>
      <c r="T5650" s="161"/>
      <c r="U5650" s="161"/>
      <c r="V5650" s="161"/>
      <c r="W5650" s="161"/>
      <c r="X5650" s="161"/>
      <c r="Y5650" s="161"/>
      <c r="Z5650" s="168"/>
      <c r="AA5650" s="168"/>
      <c r="AB5650" s="168"/>
      <c r="AC5650" s="168"/>
    </row>
    <row r="5651">
      <c r="A5651" s="161"/>
      <c r="B5651" s="161"/>
      <c r="C5651" s="162"/>
      <c r="D5651" s="163"/>
      <c r="E5651" s="164" t="str">
        <f>IFERROR(__xludf.DUMMYFUNCTION("""COMPUTED_VALUE"""),"")</f>
        <v/>
      </c>
      <c r="F5651" s="163"/>
      <c r="G5651" s="163"/>
      <c r="H5651" s="163"/>
      <c r="I5651" s="163"/>
      <c r="J5651" s="165"/>
      <c r="K5651" s="165"/>
      <c r="L5651" s="165"/>
      <c r="M5651" s="166"/>
      <c r="N5651" s="167"/>
      <c r="O5651" s="163"/>
      <c r="P5651" s="163"/>
      <c r="Q5651" s="163"/>
      <c r="R5651" s="163"/>
      <c r="S5651" s="161"/>
      <c r="T5651" s="161"/>
      <c r="U5651" s="161"/>
      <c r="V5651" s="161"/>
      <c r="W5651" s="161"/>
      <c r="X5651" s="161"/>
      <c r="Y5651" s="161"/>
      <c r="Z5651" s="168"/>
      <c r="AA5651" s="168"/>
      <c r="AB5651" s="168"/>
      <c r="AC5651" s="168"/>
    </row>
    <row r="5652">
      <c r="A5652" s="161"/>
      <c r="B5652" s="161"/>
      <c r="C5652" s="162"/>
      <c r="D5652" s="163"/>
      <c r="E5652" s="164" t="str">
        <f>IFERROR(__xludf.DUMMYFUNCTION("""COMPUTED_VALUE"""),"")</f>
        <v/>
      </c>
      <c r="F5652" s="163"/>
      <c r="G5652" s="163"/>
      <c r="H5652" s="163"/>
      <c r="I5652" s="163"/>
      <c r="J5652" s="165"/>
      <c r="K5652" s="165"/>
      <c r="L5652" s="165"/>
      <c r="M5652" s="166"/>
      <c r="N5652" s="167"/>
      <c r="O5652" s="163"/>
      <c r="P5652" s="163"/>
      <c r="Q5652" s="163"/>
      <c r="R5652" s="163"/>
      <c r="S5652" s="161"/>
      <c r="T5652" s="161"/>
      <c r="U5652" s="161"/>
      <c r="V5652" s="161"/>
      <c r="W5652" s="161"/>
      <c r="X5652" s="161"/>
      <c r="Y5652" s="161"/>
      <c r="Z5652" s="168"/>
      <c r="AA5652" s="168"/>
      <c r="AB5652" s="168"/>
      <c r="AC5652" s="168"/>
    </row>
    <row r="5653">
      <c r="A5653" s="161"/>
      <c r="B5653" s="161"/>
      <c r="C5653" s="162"/>
      <c r="D5653" s="163"/>
      <c r="E5653" s="164" t="str">
        <f>IFERROR(__xludf.DUMMYFUNCTION("""COMPUTED_VALUE"""),"")</f>
        <v/>
      </c>
      <c r="F5653" s="163"/>
      <c r="G5653" s="163"/>
      <c r="H5653" s="163"/>
      <c r="I5653" s="163"/>
      <c r="J5653" s="165"/>
      <c r="K5653" s="165"/>
      <c r="L5653" s="165"/>
      <c r="M5653" s="166"/>
      <c r="N5653" s="167"/>
      <c r="O5653" s="163"/>
      <c r="P5653" s="163"/>
      <c r="Q5653" s="163"/>
      <c r="R5653" s="163"/>
      <c r="S5653" s="161"/>
      <c r="T5653" s="161"/>
      <c r="U5653" s="161"/>
      <c r="V5653" s="161"/>
      <c r="W5653" s="161"/>
      <c r="X5653" s="161"/>
      <c r="Y5653" s="161"/>
      <c r="Z5653" s="168"/>
      <c r="AA5653" s="168"/>
      <c r="AB5653" s="168"/>
      <c r="AC5653" s="168"/>
    </row>
    <row r="5654">
      <c r="A5654" s="161"/>
      <c r="B5654" s="161"/>
      <c r="C5654" s="162"/>
      <c r="D5654" s="163"/>
      <c r="E5654" s="164" t="str">
        <f>IFERROR(__xludf.DUMMYFUNCTION("""COMPUTED_VALUE"""),"")</f>
        <v/>
      </c>
      <c r="F5654" s="163"/>
      <c r="G5654" s="163"/>
      <c r="H5654" s="163"/>
      <c r="I5654" s="163"/>
      <c r="J5654" s="165"/>
      <c r="K5654" s="165"/>
      <c r="L5654" s="165"/>
      <c r="M5654" s="166"/>
      <c r="N5654" s="167"/>
      <c r="O5654" s="163"/>
      <c r="P5654" s="163"/>
      <c r="Q5654" s="163"/>
      <c r="R5654" s="163"/>
      <c r="S5654" s="161"/>
      <c r="T5654" s="161"/>
      <c r="U5654" s="161"/>
      <c r="V5654" s="161"/>
      <c r="W5654" s="161"/>
      <c r="X5654" s="161"/>
      <c r="Y5654" s="161"/>
      <c r="Z5654" s="168"/>
      <c r="AA5654" s="168"/>
      <c r="AB5654" s="168"/>
      <c r="AC5654" s="168"/>
    </row>
    <row r="5655">
      <c r="A5655" s="161"/>
      <c r="B5655" s="161"/>
      <c r="C5655" s="162"/>
      <c r="D5655" s="163"/>
      <c r="E5655" s="164" t="str">
        <f>IFERROR(__xludf.DUMMYFUNCTION("""COMPUTED_VALUE"""),"")</f>
        <v/>
      </c>
      <c r="F5655" s="163"/>
      <c r="G5655" s="163"/>
      <c r="H5655" s="163"/>
      <c r="I5655" s="163"/>
      <c r="J5655" s="165"/>
      <c r="K5655" s="165"/>
      <c r="L5655" s="165"/>
      <c r="M5655" s="166"/>
      <c r="N5655" s="167"/>
      <c r="O5655" s="163"/>
      <c r="P5655" s="163"/>
      <c r="Q5655" s="163"/>
      <c r="R5655" s="163"/>
      <c r="S5655" s="161"/>
      <c r="T5655" s="161"/>
      <c r="U5655" s="161"/>
      <c r="V5655" s="161"/>
      <c r="W5655" s="161"/>
      <c r="X5655" s="161"/>
      <c r="Y5655" s="161"/>
      <c r="Z5655" s="168"/>
      <c r="AA5655" s="168"/>
      <c r="AB5655" s="168"/>
      <c r="AC5655" s="168"/>
    </row>
    <row r="5656">
      <c r="A5656" s="161"/>
      <c r="B5656" s="161"/>
      <c r="C5656" s="162"/>
      <c r="D5656" s="163"/>
      <c r="E5656" s="164" t="str">
        <f>IFERROR(__xludf.DUMMYFUNCTION("""COMPUTED_VALUE"""),"")</f>
        <v/>
      </c>
      <c r="F5656" s="163"/>
      <c r="G5656" s="163"/>
      <c r="H5656" s="163"/>
      <c r="I5656" s="163"/>
      <c r="J5656" s="165"/>
      <c r="K5656" s="165"/>
      <c r="L5656" s="165"/>
      <c r="M5656" s="166"/>
      <c r="N5656" s="167"/>
      <c r="O5656" s="163"/>
      <c r="P5656" s="163"/>
      <c r="Q5656" s="163"/>
      <c r="R5656" s="163"/>
      <c r="S5656" s="161"/>
      <c r="T5656" s="161"/>
      <c r="U5656" s="161"/>
      <c r="V5656" s="161"/>
      <c r="W5656" s="161"/>
      <c r="X5656" s="161"/>
      <c r="Y5656" s="161"/>
      <c r="Z5656" s="168"/>
      <c r="AA5656" s="168"/>
      <c r="AB5656" s="168"/>
      <c r="AC5656" s="168"/>
    </row>
    <row r="5657">
      <c r="A5657" s="161"/>
      <c r="B5657" s="161"/>
      <c r="C5657" s="162"/>
      <c r="D5657" s="163"/>
      <c r="E5657" s="164" t="str">
        <f>IFERROR(__xludf.DUMMYFUNCTION("""COMPUTED_VALUE"""),"")</f>
        <v/>
      </c>
      <c r="F5657" s="163"/>
      <c r="G5657" s="163"/>
      <c r="H5657" s="163"/>
      <c r="I5657" s="163"/>
      <c r="J5657" s="165"/>
      <c r="K5657" s="165"/>
      <c r="L5657" s="165"/>
      <c r="M5657" s="166"/>
      <c r="N5657" s="167"/>
      <c r="O5657" s="163"/>
      <c r="P5657" s="163"/>
      <c r="Q5657" s="163"/>
      <c r="R5657" s="163"/>
      <c r="S5657" s="161"/>
      <c r="T5657" s="161"/>
      <c r="U5657" s="161"/>
      <c r="V5657" s="161"/>
      <c r="W5657" s="161"/>
      <c r="X5657" s="161"/>
      <c r="Y5657" s="161"/>
      <c r="Z5657" s="168"/>
      <c r="AA5657" s="168"/>
      <c r="AB5657" s="168"/>
      <c r="AC5657" s="168"/>
    </row>
    <row r="5658">
      <c r="A5658" s="161"/>
      <c r="B5658" s="161"/>
      <c r="C5658" s="162"/>
      <c r="D5658" s="163"/>
      <c r="E5658" s="164" t="str">
        <f>IFERROR(__xludf.DUMMYFUNCTION("""COMPUTED_VALUE"""),"")</f>
        <v/>
      </c>
      <c r="F5658" s="163"/>
      <c r="G5658" s="163"/>
      <c r="H5658" s="163"/>
      <c r="I5658" s="163"/>
      <c r="J5658" s="165"/>
      <c r="K5658" s="165"/>
      <c r="L5658" s="165"/>
      <c r="M5658" s="166"/>
      <c r="N5658" s="167"/>
      <c r="O5658" s="163"/>
      <c r="P5658" s="163"/>
      <c r="Q5658" s="163"/>
      <c r="R5658" s="163"/>
      <c r="S5658" s="161"/>
      <c r="T5658" s="161"/>
      <c r="U5658" s="161"/>
      <c r="V5658" s="161"/>
      <c r="W5658" s="161"/>
      <c r="X5658" s="161"/>
      <c r="Y5658" s="161"/>
      <c r="Z5658" s="168"/>
      <c r="AA5658" s="168"/>
      <c r="AB5658" s="168"/>
      <c r="AC5658" s="168"/>
    </row>
    <row r="5659">
      <c r="A5659" s="161"/>
      <c r="B5659" s="161"/>
      <c r="C5659" s="162"/>
      <c r="D5659" s="163"/>
      <c r="E5659" s="164" t="str">
        <f>IFERROR(__xludf.DUMMYFUNCTION("""COMPUTED_VALUE"""),"")</f>
        <v/>
      </c>
      <c r="F5659" s="163"/>
      <c r="G5659" s="163"/>
      <c r="H5659" s="163"/>
      <c r="I5659" s="163"/>
      <c r="J5659" s="165"/>
      <c r="K5659" s="165"/>
      <c r="L5659" s="165"/>
      <c r="M5659" s="166"/>
      <c r="N5659" s="167"/>
      <c r="O5659" s="163"/>
      <c r="P5659" s="163"/>
      <c r="Q5659" s="163"/>
      <c r="R5659" s="163"/>
      <c r="S5659" s="161"/>
      <c r="T5659" s="161"/>
      <c r="U5659" s="161"/>
      <c r="V5659" s="161"/>
      <c r="W5659" s="161"/>
      <c r="X5659" s="161"/>
      <c r="Y5659" s="161"/>
      <c r="Z5659" s="168"/>
      <c r="AA5659" s="168"/>
      <c r="AB5659" s="168"/>
      <c r="AC5659" s="168"/>
    </row>
    <row r="5660">
      <c r="A5660" s="161"/>
      <c r="B5660" s="161"/>
      <c r="C5660" s="162"/>
      <c r="D5660" s="163"/>
      <c r="E5660" s="164" t="str">
        <f>IFERROR(__xludf.DUMMYFUNCTION("""COMPUTED_VALUE"""),"")</f>
        <v/>
      </c>
      <c r="F5660" s="163"/>
      <c r="G5660" s="163"/>
      <c r="H5660" s="163"/>
      <c r="I5660" s="163"/>
      <c r="J5660" s="165"/>
      <c r="K5660" s="165"/>
      <c r="L5660" s="165"/>
      <c r="M5660" s="166"/>
      <c r="N5660" s="167"/>
      <c r="O5660" s="163"/>
      <c r="P5660" s="163"/>
      <c r="Q5660" s="163"/>
      <c r="R5660" s="163"/>
      <c r="S5660" s="161"/>
      <c r="T5660" s="161"/>
      <c r="U5660" s="161"/>
      <c r="V5660" s="161"/>
      <c r="W5660" s="161"/>
      <c r="X5660" s="161"/>
      <c r="Y5660" s="161"/>
      <c r="Z5660" s="168"/>
      <c r="AA5660" s="168"/>
      <c r="AB5660" s="168"/>
      <c r="AC5660" s="168"/>
    </row>
    <row r="5661">
      <c r="A5661" s="161"/>
      <c r="B5661" s="161"/>
      <c r="C5661" s="162"/>
      <c r="D5661" s="163"/>
      <c r="E5661" s="164" t="str">
        <f>IFERROR(__xludf.DUMMYFUNCTION("""COMPUTED_VALUE"""),"")</f>
        <v/>
      </c>
      <c r="F5661" s="163"/>
      <c r="G5661" s="163"/>
      <c r="H5661" s="163"/>
      <c r="I5661" s="163"/>
      <c r="J5661" s="165"/>
      <c r="K5661" s="165"/>
      <c r="L5661" s="165"/>
      <c r="M5661" s="166"/>
      <c r="N5661" s="167"/>
      <c r="O5661" s="163"/>
      <c r="P5661" s="163"/>
      <c r="Q5661" s="163"/>
      <c r="R5661" s="163"/>
      <c r="S5661" s="161"/>
      <c r="T5661" s="161"/>
      <c r="U5661" s="161"/>
      <c r="V5661" s="161"/>
      <c r="W5661" s="161"/>
      <c r="X5661" s="161"/>
      <c r="Y5661" s="161"/>
      <c r="Z5661" s="168"/>
      <c r="AA5661" s="168"/>
      <c r="AB5661" s="168"/>
      <c r="AC5661" s="168"/>
    </row>
    <row r="5662">
      <c r="A5662" s="161"/>
      <c r="B5662" s="161"/>
      <c r="C5662" s="162"/>
      <c r="D5662" s="163"/>
      <c r="E5662" s="164" t="str">
        <f>IFERROR(__xludf.DUMMYFUNCTION("""COMPUTED_VALUE"""),"")</f>
        <v/>
      </c>
      <c r="F5662" s="163"/>
      <c r="G5662" s="163"/>
      <c r="H5662" s="163"/>
      <c r="I5662" s="163"/>
      <c r="J5662" s="165"/>
      <c r="K5662" s="165"/>
      <c r="L5662" s="165"/>
      <c r="M5662" s="166"/>
      <c r="N5662" s="167"/>
      <c r="O5662" s="163"/>
      <c r="P5662" s="163"/>
      <c r="Q5662" s="163"/>
      <c r="R5662" s="163"/>
      <c r="S5662" s="161"/>
      <c r="T5662" s="161"/>
      <c r="U5662" s="161"/>
      <c r="V5662" s="161"/>
      <c r="W5662" s="161"/>
      <c r="X5662" s="161"/>
      <c r="Y5662" s="161"/>
      <c r="Z5662" s="168"/>
      <c r="AA5662" s="168"/>
      <c r="AB5662" s="168"/>
      <c r="AC5662" s="168"/>
    </row>
    <row r="5663">
      <c r="A5663" s="161"/>
      <c r="B5663" s="161"/>
      <c r="C5663" s="162"/>
      <c r="D5663" s="163"/>
      <c r="E5663" s="164" t="str">
        <f>IFERROR(__xludf.DUMMYFUNCTION("""COMPUTED_VALUE"""),"")</f>
        <v/>
      </c>
      <c r="F5663" s="163"/>
      <c r="G5663" s="163"/>
      <c r="H5663" s="163"/>
      <c r="I5663" s="163"/>
      <c r="J5663" s="165"/>
      <c r="K5663" s="165"/>
      <c r="L5663" s="165"/>
      <c r="M5663" s="166"/>
      <c r="N5663" s="167"/>
      <c r="O5663" s="163"/>
      <c r="P5663" s="163"/>
      <c r="Q5663" s="163"/>
      <c r="R5663" s="163"/>
      <c r="S5663" s="161"/>
      <c r="T5663" s="161"/>
      <c r="U5663" s="161"/>
      <c r="V5663" s="161"/>
      <c r="W5663" s="161"/>
      <c r="X5663" s="161"/>
      <c r="Y5663" s="161"/>
      <c r="Z5663" s="168"/>
      <c r="AA5663" s="168"/>
      <c r="AB5663" s="168"/>
      <c r="AC5663" s="168"/>
    </row>
    <row r="5664">
      <c r="A5664" s="161"/>
      <c r="B5664" s="161"/>
      <c r="C5664" s="162"/>
      <c r="D5664" s="163"/>
      <c r="E5664" s="164" t="str">
        <f>IFERROR(__xludf.DUMMYFUNCTION("""COMPUTED_VALUE"""),"")</f>
        <v/>
      </c>
      <c r="F5664" s="163"/>
      <c r="G5664" s="163"/>
      <c r="H5664" s="163"/>
      <c r="I5664" s="163"/>
      <c r="J5664" s="165"/>
      <c r="K5664" s="165"/>
      <c r="L5664" s="165"/>
      <c r="M5664" s="166"/>
      <c r="N5664" s="167"/>
      <c r="O5664" s="163"/>
      <c r="P5664" s="163"/>
      <c r="Q5664" s="163"/>
      <c r="R5664" s="163"/>
      <c r="S5664" s="161"/>
      <c r="T5664" s="161"/>
      <c r="U5664" s="161"/>
      <c r="V5664" s="161"/>
      <c r="W5664" s="161"/>
      <c r="X5664" s="161"/>
      <c r="Y5664" s="161"/>
      <c r="Z5664" s="168"/>
      <c r="AA5664" s="168"/>
      <c r="AB5664" s="168"/>
      <c r="AC5664" s="168"/>
    </row>
    <row r="5665">
      <c r="A5665" s="161"/>
      <c r="B5665" s="161"/>
      <c r="C5665" s="162"/>
      <c r="D5665" s="163"/>
      <c r="E5665" s="164" t="str">
        <f>IFERROR(__xludf.DUMMYFUNCTION("""COMPUTED_VALUE"""),"")</f>
        <v/>
      </c>
      <c r="F5665" s="163"/>
      <c r="G5665" s="163"/>
      <c r="H5665" s="163"/>
      <c r="I5665" s="163"/>
      <c r="J5665" s="165"/>
      <c r="K5665" s="165"/>
      <c r="L5665" s="165"/>
      <c r="M5665" s="166"/>
      <c r="N5665" s="167"/>
      <c r="O5665" s="163"/>
      <c r="P5665" s="163"/>
      <c r="Q5665" s="163"/>
      <c r="R5665" s="163"/>
      <c r="S5665" s="161"/>
      <c r="T5665" s="161"/>
      <c r="U5665" s="161"/>
      <c r="V5665" s="161"/>
      <c r="W5665" s="161"/>
      <c r="X5665" s="161"/>
      <c r="Y5665" s="161"/>
      <c r="Z5665" s="168"/>
      <c r="AA5665" s="168"/>
      <c r="AB5665" s="168"/>
      <c r="AC5665" s="168"/>
    </row>
    <row r="5666">
      <c r="A5666" s="161"/>
      <c r="B5666" s="161"/>
      <c r="C5666" s="162"/>
      <c r="D5666" s="163"/>
      <c r="E5666" s="164" t="str">
        <f>IFERROR(__xludf.DUMMYFUNCTION("""COMPUTED_VALUE"""),"")</f>
        <v/>
      </c>
      <c r="F5666" s="163"/>
      <c r="G5666" s="163"/>
      <c r="H5666" s="163"/>
      <c r="I5666" s="163"/>
      <c r="J5666" s="165"/>
      <c r="K5666" s="165"/>
      <c r="L5666" s="165"/>
      <c r="M5666" s="166"/>
      <c r="N5666" s="167"/>
      <c r="O5666" s="163"/>
      <c r="P5666" s="163"/>
      <c r="Q5666" s="163"/>
      <c r="R5666" s="163"/>
      <c r="S5666" s="161"/>
      <c r="T5666" s="161"/>
      <c r="U5666" s="161"/>
      <c r="V5666" s="161"/>
      <c r="W5666" s="161"/>
      <c r="X5666" s="161"/>
      <c r="Y5666" s="161"/>
      <c r="Z5666" s="168"/>
      <c r="AA5666" s="168"/>
      <c r="AB5666" s="168"/>
      <c r="AC5666" s="168"/>
    </row>
    <row r="5667">
      <c r="A5667" s="161"/>
      <c r="B5667" s="161"/>
      <c r="C5667" s="162"/>
      <c r="D5667" s="163"/>
      <c r="E5667" s="164" t="str">
        <f>IFERROR(__xludf.DUMMYFUNCTION("""COMPUTED_VALUE"""),"")</f>
        <v/>
      </c>
      <c r="F5667" s="163"/>
      <c r="G5667" s="163"/>
      <c r="H5667" s="163"/>
      <c r="I5667" s="163"/>
      <c r="J5667" s="165"/>
      <c r="K5667" s="165"/>
      <c r="L5667" s="165"/>
      <c r="M5667" s="166"/>
      <c r="N5667" s="167"/>
      <c r="O5667" s="163"/>
      <c r="P5667" s="163"/>
      <c r="Q5667" s="163"/>
      <c r="R5667" s="163"/>
      <c r="S5667" s="161"/>
      <c r="T5667" s="161"/>
      <c r="U5667" s="161"/>
      <c r="V5667" s="161"/>
      <c r="W5667" s="161"/>
      <c r="X5667" s="161"/>
      <c r="Y5667" s="161"/>
      <c r="Z5667" s="168"/>
      <c r="AA5667" s="168"/>
      <c r="AB5667" s="168"/>
      <c r="AC5667" s="168"/>
    </row>
    <row r="5668">
      <c r="A5668" s="161"/>
      <c r="B5668" s="161"/>
      <c r="C5668" s="162"/>
      <c r="D5668" s="163"/>
      <c r="E5668" s="164" t="str">
        <f>IFERROR(__xludf.DUMMYFUNCTION("""COMPUTED_VALUE"""),"")</f>
        <v/>
      </c>
      <c r="F5668" s="163"/>
      <c r="G5668" s="163"/>
      <c r="H5668" s="163"/>
      <c r="I5668" s="163"/>
      <c r="J5668" s="165"/>
      <c r="K5668" s="165"/>
      <c r="L5668" s="165"/>
      <c r="M5668" s="166"/>
      <c r="N5668" s="167"/>
      <c r="O5668" s="163"/>
      <c r="P5668" s="163"/>
      <c r="Q5668" s="163"/>
      <c r="R5668" s="163"/>
      <c r="S5668" s="161"/>
      <c r="T5668" s="161"/>
      <c r="U5668" s="161"/>
      <c r="V5668" s="161"/>
      <c r="W5668" s="161"/>
      <c r="X5668" s="161"/>
      <c r="Y5668" s="161"/>
      <c r="Z5668" s="168"/>
      <c r="AA5668" s="168"/>
      <c r="AB5668" s="168"/>
      <c r="AC5668" s="168"/>
    </row>
    <row r="5669">
      <c r="A5669" s="161"/>
      <c r="B5669" s="161"/>
      <c r="C5669" s="162"/>
      <c r="D5669" s="163"/>
      <c r="E5669" s="164" t="str">
        <f>IFERROR(__xludf.DUMMYFUNCTION("""COMPUTED_VALUE"""),"")</f>
        <v/>
      </c>
      <c r="F5669" s="163"/>
      <c r="G5669" s="163"/>
      <c r="H5669" s="163"/>
      <c r="I5669" s="163"/>
      <c r="J5669" s="165"/>
      <c r="K5669" s="165"/>
      <c r="L5669" s="165"/>
      <c r="M5669" s="166"/>
      <c r="N5669" s="167"/>
      <c r="O5669" s="163"/>
      <c r="P5669" s="163"/>
      <c r="Q5669" s="163"/>
      <c r="R5669" s="163"/>
      <c r="S5669" s="161"/>
      <c r="T5669" s="161"/>
      <c r="U5669" s="161"/>
      <c r="V5669" s="161"/>
      <c r="W5669" s="161"/>
      <c r="X5669" s="161"/>
      <c r="Y5669" s="161"/>
      <c r="Z5669" s="168"/>
      <c r="AA5669" s="168"/>
      <c r="AB5669" s="168"/>
      <c r="AC5669" s="168"/>
    </row>
    <row r="5670">
      <c r="A5670" s="161"/>
      <c r="B5670" s="161"/>
      <c r="C5670" s="162"/>
      <c r="D5670" s="163"/>
      <c r="E5670" s="164" t="str">
        <f>IFERROR(__xludf.DUMMYFUNCTION("""COMPUTED_VALUE"""),"")</f>
        <v/>
      </c>
      <c r="F5670" s="163"/>
      <c r="G5670" s="163"/>
      <c r="H5670" s="163"/>
      <c r="I5670" s="163"/>
      <c r="J5670" s="165"/>
      <c r="K5670" s="165"/>
      <c r="L5670" s="165"/>
      <c r="M5670" s="166"/>
      <c r="N5670" s="167"/>
      <c r="O5670" s="163"/>
      <c r="P5670" s="163"/>
      <c r="Q5670" s="163"/>
      <c r="R5670" s="163"/>
      <c r="S5670" s="161"/>
      <c r="T5670" s="161"/>
      <c r="U5670" s="161"/>
      <c r="V5670" s="161"/>
      <c r="W5670" s="161"/>
      <c r="X5670" s="161"/>
      <c r="Y5670" s="161"/>
      <c r="Z5670" s="168"/>
      <c r="AA5670" s="168"/>
      <c r="AB5670" s="168"/>
      <c r="AC5670" s="168"/>
    </row>
    <row r="5671">
      <c r="A5671" s="161"/>
      <c r="B5671" s="161"/>
      <c r="C5671" s="162"/>
      <c r="D5671" s="163"/>
      <c r="E5671" s="164" t="str">
        <f>IFERROR(__xludf.DUMMYFUNCTION("""COMPUTED_VALUE"""),"")</f>
        <v/>
      </c>
      <c r="F5671" s="163"/>
      <c r="G5671" s="163"/>
      <c r="H5671" s="163"/>
      <c r="I5671" s="163"/>
      <c r="J5671" s="165"/>
      <c r="K5671" s="165"/>
      <c r="L5671" s="165"/>
      <c r="M5671" s="166"/>
      <c r="N5671" s="167"/>
      <c r="O5671" s="163"/>
      <c r="P5671" s="163"/>
      <c r="Q5671" s="163"/>
      <c r="R5671" s="163"/>
      <c r="S5671" s="161"/>
      <c r="T5671" s="161"/>
      <c r="U5671" s="161"/>
      <c r="V5671" s="161"/>
      <c r="W5671" s="161"/>
      <c r="X5671" s="161"/>
      <c r="Y5671" s="161"/>
      <c r="Z5671" s="168"/>
      <c r="AA5671" s="168"/>
      <c r="AB5671" s="168"/>
      <c r="AC5671" s="168"/>
    </row>
    <row r="5672">
      <c r="A5672" s="161"/>
      <c r="B5672" s="161"/>
      <c r="C5672" s="162"/>
      <c r="D5672" s="163"/>
      <c r="E5672" s="164" t="str">
        <f>IFERROR(__xludf.DUMMYFUNCTION("""COMPUTED_VALUE"""),"")</f>
        <v/>
      </c>
      <c r="F5672" s="163"/>
      <c r="G5672" s="163"/>
      <c r="H5672" s="163"/>
      <c r="I5672" s="163"/>
      <c r="J5672" s="165"/>
      <c r="K5672" s="165"/>
      <c r="L5672" s="165"/>
      <c r="M5672" s="166"/>
      <c r="N5672" s="167"/>
      <c r="O5672" s="163"/>
      <c r="P5672" s="163"/>
      <c r="Q5672" s="163"/>
      <c r="R5672" s="163"/>
      <c r="S5672" s="161"/>
      <c r="T5672" s="161"/>
      <c r="U5672" s="161"/>
      <c r="V5672" s="161"/>
      <c r="W5672" s="161"/>
      <c r="X5672" s="161"/>
      <c r="Y5672" s="161"/>
      <c r="Z5672" s="168"/>
      <c r="AA5672" s="168"/>
      <c r="AB5672" s="168"/>
      <c r="AC5672" s="168"/>
    </row>
    <row r="5673">
      <c r="A5673" s="161"/>
      <c r="B5673" s="161"/>
      <c r="C5673" s="162"/>
      <c r="D5673" s="163"/>
      <c r="E5673" s="164" t="str">
        <f>IFERROR(__xludf.DUMMYFUNCTION("""COMPUTED_VALUE"""),"")</f>
        <v/>
      </c>
      <c r="F5673" s="163"/>
      <c r="G5673" s="163"/>
      <c r="H5673" s="163"/>
      <c r="I5673" s="163"/>
      <c r="J5673" s="165"/>
      <c r="K5673" s="165"/>
      <c r="L5673" s="165"/>
      <c r="M5673" s="166"/>
      <c r="N5673" s="167"/>
      <c r="O5673" s="163"/>
      <c r="P5673" s="163"/>
      <c r="Q5673" s="163"/>
      <c r="R5673" s="163"/>
      <c r="S5673" s="161"/>
      <c r="T5673" s="161"/>
      <c r="U5673" s="161"/>
      <c r="V5673" s="161"/>
      <c r="W5673" s="161"/>
      <c r="X5673" s="161"/>
      <c r="Y5673" s="161"/>
      <c r="Z5673" s="168"/>
      <c r="AA5673" s="168"/>
      <c r="AB5673" s="168"/>
      <c r="AC5673" s="168"/>
    </row>
    <row r="5674">
      <c r="A5674" s="161"/>
      <c r="B5674" s="161"/>
      <c r="C5674" s="162"/>
      <c r="D5674" s="163"/>
      <c r="E5674" s="164" t="str">
        <f>IFERROR(__xludf.DUMMYFUNCTION("""COMPUTED_VALUE"""),"")</f>
        <v/>
      </c>
      <c r="F5674" s="163"/>
      <c r="G5674" s="163"/>
      <c r="H5674" s="163"/>
      <c r="I5674" s="163"/>
      <c r="J5674" s="165"/>
      <c r="K5674" s="165"/>
      <c r="L5674" s="165"/>
      <c r="M5674" s="166"/>
      <c r="N5674" s="167"/>
      <c r="O5674" s="163"/>
      <c r="P5674" s="163"/>
      <c r="Q5674" s="163"/>
      <c r="R5674" s="163"/>
      <c r="S5674" s="161"/>
      <c r="T5674" s="161"/>
      <c r="U5674" s="161"/>
      <c r="V5674" s="161"/>
      <c r="W5674" s="161"/>
      <c r="X5674" s="161"/>
      <c r="Y5674" s="161"/>
      <c r="Z5674" s="168"/>
      <c r="AA5674" s="168"/>
      <c r="AB5674" s="168"/>
      <c r="AC5674" s="168"/>
    </row>
    <row r="5675">
      <c r="A5675" s="161"/>
      <c r="B5675" s="161"/>
      <c r="C5675" s="162"/>
      <c r="D5675" s="163"/>
      <c r="E5675" s="164" t="str">
        <f>IFERROR(__xludf.DUMMYFUNCTION("""COMPUTED_VALUE"""),"")</f>
        <v/>
      </c>
      <c r="F5675" s="163"/>
      <c r="G5675" s="163"/>
      <c r="H5675" s="163"/>
      <c r="I5675" s="163"/>
      <c r="J5675" s="165"/>
      <c r="K5675" s="165"/>
      <c r="L5675" s="165"/>
      <c r="M5675" s="166"/>
      <c r="N5675" s="167"/>
      <c r="O5675" s="163"/>
      <c r="P5675" s="163"/>
      <c r="Q5675" s="163"/>
      <c r="R5675" s="163"/>
      <c r="S5675" s="161"/>
      <c r="T5675" s="161"/>
      <c r="U5675" s="161"/>
      <c r="V5675" s="161"/>
      <c r="W5675" s="161"/>
      <c r="X5675" s="161"/>
      <c r="Y5675" s="161"/>
      <c r="Z5675" s="168"/>
      <c r="AA5675" s="168"/>
      <c r="AB5675" s="168"/>
      <c r="AC5675" s="168"/>
    </row>
    <row r="5676">
      <c r="A5676" s="161"/>
      <c r="B5676" s="161"/>
      <c r="C5676" s="162"/>
      <c r="D5676" s="163"/>
      <c r="E5676" s="164" t="str">
        <f>IFERROR(__xludf.DUMMYFUNCTION("""COMPUTED_VALUE"""),"")</f>
        <v/>
      </c>
      <c r="F5676" s="163"/>
      <c r="G5676" s="163"/>
      <c r="H5676" s="163"/>
      <c r="I5676" s="163"/>
      <c r="J5676" s="165"/>
      <c r="K5676" s="165"/>
      <c r="L5676" s="165"/>
      <c r="M5676" s="166"/>
      <c r="N5676" s="167"/>
      <c r="O5676" s="163"/>
      <c r="P5676" s="163"/>
      <c r="Q5676" s="163"/>
      <c r="R5676" s="163"/>
      <c r="S5676" s="161"/>
      <c r="T5676" s="161"/>
      <c r="U5676" s="161"/>
      <c r="V5676" s="161"/>
      <c r="W5676" s="161"/>
      <c r="X5676" s="161"/>
      <c r="Y5676" s="161"/>
      <c r="Z5676" s="168"/>
      <c r="AA5676" s="168"/>
      <c r="AB5676" s="168"/>
      <c r="AC5676" s="168"/>
    </row>
    <row r="5677">
      <c r="A5677" s="161"/>
      <c r="B5677" s="161"/>
      <c r="C5677" s="162"/>
      <c r="D5677" s="163"/>
      <c r="E5677" s="164" t="str">
        <f>IFERROR(__xludf.DUMMYFUNCTION("""COMPUTED_VALUE"""),"")</f>
        <v/>
      </c>
      <c r="F5677" s="163"/>
      <c r="G5677" s="163"/>
      <c r="H5677" s="163"/>
      <c r="I5677" s="163"/>
      <c r="J5677" s="165"/>
      <c r="K5677" s="165"/>
      <c r="L5677" s="165"/>
      <c r="M5677" s="166"/>
      <c r="N5677" s="167"/>
      <c r="O5677" s="163"/>
      <c r="P5677" s="163"/>
      <c r="Q5677" s="163"/>
      <c r="R5677" s="163"/>
      <c r="S5677" s="161"/>
      <c r="T5677" s="161"/>
      <c r="U5677" s="161"/>
      <c r="V5677" s="161"/>
      <c r="W5677" s="161"/>
      <c r="X5677" s="161"/>
      <c r="Y5677" s="161"/>
      <c r="Z5677" s="168"/>
      <c r="AA5677" s="168"/>
      <c r="AB5677" s="168"/>
      <c r="AC5677" s="168"/>
    </row>
    <row r="5678">
      <c r="A5678" s="161"/>
      <c r="B5678" s="161"/>
      <c r="C5678" s="162"/>
      <c r="D5678" s="163"/>
      <c r="E5678" s="164" t="str">
        <f>IFERROR(__xludf.DUMMYFUNCTION("""COMPUTED_VALUE"""),"")</f>
        <v/>
      </c>
      <c r="F5678" s="163"/>
      <c r="G5678" s="163"/>
      <c r="H5678" s="163"/>
      <c r="I5678" s="163"/>
      <c r="J5678" s="165"/>
      <c r="K5678" s="165"/>
      <c r="L5678" s="165"/>
      <c r="M5678" s="166"/>
      <c r="N5678" s="167"/>
      <c r="O5678" s="163"/>
      <c r="P5678" s="163"/>
      <c r="Q5678" s="163"/>
      <c r="R5678" s="163"/>
      <c r="S5678" s="161"/>
      <c r="T5678" s="161"/>
      <c r="U5678" s="161"/>
      <c r="V5678" s="161"/>
      <c r="W5678" s="161"/>
      <c r="X5678" s="161"/>
      <c r="Y5678" s="161"/>
      <c r="Z5678" s="168"/>
      <c r="AA5678" s="168"/>
      <c r="AB5678" s="168"/>
      <c r="AC5678" s="168"/>
    </row>
    <row r="5679">
      <c r="A5679" s="161"/>
      <c r="B5679" s="161"/>
      <c r="C5679" s="162"/>
      <c r="D5679" s="163"/>
      <c r="E5679" s="164" t="str">
        <f>IFERROR(__xludf.DUMMYFUNCTION("""COMPUTED_VALUE"""),"")</f>
        <v/>
      </c>
      <c r="F5679" s="163"/>
      <c r="G5679" s="163"/>
      <c r="H5679" s="163"/>
      <c r="I5679" s="163"/>
      <c r="J5679" s="165"/>
      <c r="K5679" s="165"/>
      <c r="L5679" s="165"/>
      <c r="M5679" s="166"/>
      <c r="N5679" s="167"/>
      <c r="O5679" s="163"/>
      <c r="P5679" s="163"/>
      <c r="Q5679" s="163"/>
      <c r="R5679" s="163"/>
      <c r="S5679" s="161"/>
      <c r="T5679" s="161"/>
      <c r="U5679" s="161"/>
      <c r="V5679" s="161"/>
      <c r="W5679" s="161"/>
      <c r="X5679" s="161"/>
      <c r="Y5679" s="161"/>
      <c r="Z5679" s="168"/>
      <c r="AA5679" s="168"/>
      <c r="AB5679" s="168"/>
      <c r="AC5679" s="168"/>
    </row>
    <row r="5680">
      <c r="A5680" s="161"/>
      <c r="B5680" s="161"/>
      <c r="C5680" s="162"/>
      <c r="D5680" s="163"/>
      <c r="E5680" s="164" t="str">
        <f>IFERROR(__xludf.DUMMYFUNCTION("""COMPUTED_VALUE"""),"")</f>
        <v/>
      </c>
      <c r="F5680" s="163"/>
      <c r="G5680" s="163"/>
      <c r="H5680" s="163"/>
      <c r="I5680" s="163"/>
      <c r="J5680" s="165"/>
      <c r="K5680" s="165"/>
      <c r="L5680" s="165"/>
      <c r="M5680" s="166"/>
      <c r="N5680" s="167"/>
      <c r="O5680" s="163"/>
      <c r="P5680" s="163"/>
      <c r="Q5680" s="163"/>
      <c r="R5680" s="163"/>
      <c r="S5680" s="161"/>
      <c r="T5680" s="161"/>
      <c r="U5680" s="161"/>
      <c r="V5680" s="161"/>
      <c r="W5680" s="161"/>
      <c r="X5680" s="161"/>
      <c r="Y5680" s="161"/>
      <c r="Z5680" s="168"/>
      <c r="AA5680" s="168"/>
      <c r="AB5680" s="168"/>
      <c r="AC5680" s="168"/>
    </row>
    <row r="5681">
      <c r="A5681" s="161"/>
      <c r="B5681" s="161"/>
      <c r="C5681" s="162"/>
      <c r="D5681" s="163"/>
      <c r="E5681" s="164" t="str">
        <f>IFERROR(__xludf.DUMMYFUNCTION("""COMPUTED_VALUE"""),"")</f>
        <v/>
      </c>
      <c r="F5681" s="163"/>
      <c r="G5681" s="163"/>
      <c r="H5681" s="163"/>
      <c r="I5681" s="163"/>
      <c r="J5681" s="165"/>
      <c r="K5681" s="165"/>
      <c r="L5681" s="165"/>
      <c r="M5681" s="166"/>
      <c r="N5681" s="167"/>
      <c r="O5681" s="163"/>
      <c r="P5681" s="163"/>
      <c r="Q5681" s="163"/>
      <c r="R5681" s="163"/>
      <c r="S5681" s="161"/>
      <c r="T5681" s="161"/>
      <c r="U5681" s="161"/>
      <c r="V5681" s="161"/>
      <c r="W5681" s="161"/>
      <c r="X5681" s="161"/>
      <c r="Y5681" s="161"/>
      <c r="Z5681" s="168"/>
      <c r="AA5681" s="168"/>
      <c r="AB5681" s="168"/>
      <c r="AC5681" s="168"/>
    </row>
    <row r="5682">
      <c r="A5682" s="161"/>
      <c r="B5682" s="161"/>
      <c r="C5682" s="162"/>
      <c r="D5682" s="163"/>
      <c r="E5682" s="164" t="str">
        <f>IFERROR(__xludf.DUMMYFUNCTION("""COMPUTED_VALUE"""),"")</f>
        <v/>
      </c>
      <c r="F5682" s="163"/>
      <c r="G5682" s="163"/>
      <c r="H5682" s="163"/>
      <c r="I5682" s="163"/>
      <c r="J5682" s="165"/>
      <c r="K5682" s="165"/>
      <c r="L5682" s="165"/>
      <c r="M5682" s="166"/>
      <c r="N5682" s="167"/>
      <c r="O5682" s="163"/>
      <c r="P5682" s="163"/>
      <c r="Q5682" s="163"/>
      <c r="R5682" s="163"/>
      <c r="S5682" s="161"/>
      <c r="T5682" s="161"/>
      <c r="U5682" s="161"/>
      <c r="V5682" s="161"/>
      <c r="W5682" s="161"/>
      <c r="X5682" s="161"/>
      <c r="Y5682" s="161"/>
      <c r="Z5682" s="168"/>
      <c r="AA5682" s="168"/>
      <c r="AB5682" s="168"/>
      <c r="AC5682" s="168"/>
    </row>
    <row r="5683">
      <c r="A5683" s="161"/>
      <c r="B5683" s="161"/>
      <c r="C5683" s="162"/>
      <c r="D5683" s="163"/>
      <c r="E5683" s="164" t="str">
        <f>IFERROR(__xludf.DUMMYFUNCTION("""COMPUTED_VALUE"""),"")</f>
        <v/>
      </c>
      <c r="F5683" s="163"/>
      <c r="G5683" s="163"/>
      <c r="H5683" s="163"/>
      <c r="I5683" s="163"/>
      <c r="J5683" s="165"/>
      <c r="K5683" s="165"/>
      <c r="L5683" s="165"/>
      <c r="M5683" s="166"/>
      <c r="N5683" s="167"/>
      <c r="O5683" s="163"/>
      <c r="P5683" s="163"/>
      <c r="Q5683" s="163"/>
      <c r="R5683" s="163"/>
      <c r="S5683" s="161"/>
      <c r="T5683" s="161"/>
      <c r="U5683" s="161"/>
      <c r="V5683" s="161"/>
      <c r="W5683" s="161"/>
      <c r="X5683" s="161"/>
      <c r="Y5683" s="161"/>
      <c r="Z5683" s="168"/>
      <c r="AA5683" s="168"/>
      <c r="AB5683" s="168"/>
      <c r="AC5683" s="168"/>
    </row>
    <row r="5684">
      <c r="A5684" s="161"/>
      <c r="B5684" s="161"/>
      <c r="C5684" s="162"/>
      <c r="D5684" s="163"/>
      <c r="E5684" s="164" t="str">
        <f>IFERROR(__xludf.DUMMYFUNCTION("""COMPUTED_VALUE"""),"")</f>
        <v/>
      </c>
      <c r="F5684" s="163"/>
      <c r="G5684" s="163"/>
      <c r="H5684" s="163"/>
      <c r="I5684" s="163"/>
      <c r="J5684" s="165"/>
      <c r="K5684" s="165"/>
      <c r="L5684" s="165"/>
      <c r="M5684" s="166"/>
      <c r="N5684" s="167"/>
      <c r="O5684" s="163"/>
      <c r="P5684" s="163"/>
      <c r="Q5684" s="163"/>
      <c r="R5684" s="163"/>
      <c r="S5684" s="161"/>
      <c r="T5684" s="161"/>
      <c r="U5684" s="161"/>
      <c r="V5684" s="161"/>
      <c r="W5684" s="161"/>
      <c r="X5684" s="161"/>
      <c r="Y5684" s="161"/>
      <c r="Z5684" s="168"/>
      <c r="AA5684" s="168"/>
      <c r="AB5684" s="168"/>
      <c r="AC5684" s="168"/>
    </row>
    <row r="5685">
      <c r="A5685" s="161"/>
      <c r="B5685" s="161"/>
      <c r="C5685" s="162"/>
      <c r="D5685" s="163"/>
      <c r="E5685" s="164" t="str">
        <f>IFERROR(__xludf.DUMMYFUNCTION("""COMPUTED_VALUE"""),"")</f>
        <v/>
      </c>
      <c r="F5685" s="163"/>
      <c r="G5685" s="163"/>
      <c r="H5685" s="163"/>
      <c r="I5685" s="163"/>
      <c r="J5685" s="165"/>
      <c r="K5685" s="165"/>
      <c r="L5685" s="165"/>
      <c r="M5685" s="166"/>
      <c r="N5685" s="167"/>
      <c r="O5685" s="163"/>
      <c r="P5685" s="163"/>
      <c r="Q5685" s="163"/>
      <c r="R5685" s="163"/>
      <c r="S5685" s="161"/>
      <c r="T5685" s="161"/>
      <c r="U5685" s="161"/>
      <c r="V5685" s="161"/>
      <c r="W5685" s="161"/>
      <c r="X5685" s="161"/>
      <c r="Y5685" s="161"/>
      <c r="Z5685" s="168"/>
      <c r="AA5685" s="168"/>
      <c r="AB5685" s="168"/>
      <c r="AC5685" s="168"/>
    </row>
    <row r="5686">
      <c r="A5686" s="161"/>
      <c r="B5686" s="161"/>
      <c r="C5686" s="162"/>
      <c r="D5686" s="163"/>
      <c r="E5686" s="164" t="str">
        <f>IFERROR(__xludf.DUMMYFUNCTION("""COMPUTED_VALUE"""),"")</f>
        <v/>
      </c>
      <c r="F5686" s="163"/>
      <c r="G5686" s="163"/>
      <c r="H5686" s="163"/>
      <c r="I5686" s="163"/>
      <c r="J5686" s="165"/>
      <c r="K5686" s="165"/>
      <c r="L5686" s="165"/>
      <c r="M5686" s="166"/>
      <c r="N5686" s="167"/>
      <c r="O5686" s="163"/>
      <c r="P5686" s="163"/>
      <c r="Q5686" s="163"/>
      <c r="R5686" s="163"/>
      <c r="S5686" s="161"/>
      <c r="T5686" s="161"/>
      <c r="U5686" s="161"/>
      <c r="V5686" s="161"/>
      <c r="W5686" s="161"/>
      <c r="X5686" s="161"/>
      <c r="Y5686" s="161"/>
      <c r="Z5686" s="168"/>
      <c r="AA5686" s="168"/>
      <c r="AB5686" s="168"/>
      <c r="AC5686" s="168"/>
    </row>
    <row r="5687">
      <c r="A5687" s="161"/>
      <c r="B5687" s="161"/>
      <c r="C5687" s="162"/>
      <c r="D5687" s="163"/>
      <c r="E5687" s="164" t="str">
        <f>IFERROR(__xludf.DUMMYFUNCTION("""COMPUTED_VALUE"""),"")</f>
        <v/>
      </c>
      <c r="F5687" s="163"/>
      <c r="G5687" s="163"/>
      <c r="H5687" s="163"/>
      <c r="I5687" s="163"/>
      <c r="J5687" s="165"/>
      <c r="K5687" s="165"/>
      <c r="L5687" s="165"/>
      <c r="M5687" s="166"/>
      <c r="N5687" s="167"/>
      <c r="O5687" s="163"/>
      <c r="P5687" s="163"/>
      <c r="Q5687" s="163"/>
      <c r="R5687" s="163"/>
      <c r="S5687" s="161"/>
      <c r="T5687" s="161"/>
      <c r="U5687" s="161"/>
      <c r="V5687" s="161"/>
      <c r="W5687" s="161"/>
      <c r="X5687" s="161"/>
      <c r="Y5687" s="161"/>
      <c r="Z5687" s="168"/>
      <c r="AA5687" s="168"/>
      <c r="AB5687" s="168"/>
      <c r="AC5687" s="168"/>
    </row>
    <row r="5688">
      <c r="A5688" s="161"/>
      <c r="B5688" s="161"/>
      <c r="C5688" s="162"/>
      <c r="D5688" s="163"/>
      <c r="E5688" s="164" t="str">
        <f>IFERROR(__xludf.DUMMYFUNCTION("""COMPUTED_VALUE"""),"")</f>
        <v/>
      </c>
      <c r="F5688" s="163"/>
      <c r="G5688" s="163"/>
      <c r="H5688" s="163"/>
      <c r="I5688" s="163"/>
      <c r="J5688" s="165"/>
      <c r="K5688" s="165"/>
      <c r="L5688" s="165"/>
      <c r="M5688" s="166"/>
      <c r="N5688" s="167"/>
      <c r="O5688" s="163"/>
      <c r="P5688" s="163"/>
      <c r="Q5688" s="163"/>
      <c r="R5688" s="163"/>
      <c r="S5688" s="161"/>
      <c r="T5688" s="161"/>
      <c r="U5688" s="161"/>
      <c r="V5688" s="161"/>
      <c r="W5688" s="161"/>
      <c r="X5688" s="161"/>
      <c r="Y5688" s="161"/>
      <c r="Z5688" s="168"/>
      <c r="AA5688" s="168"/>
      <c r="AB5688" s="168"/>
      <c r="AC5688" s="168"/>
    </row>
    <row r="5689">
      <c r="A5689" s="161"/>
      <c r="B5689" s="161"/>
      <c r="C5689" s="162"/>
      <c r="D5689" s="163"/>
      <c r="E5689" s="164" t="str">
        <f>IFERROR(__xludf.DUMMYFUNCTION("""COMPUTED_VALUE"""),"")</f>
        <v/>
      </c>
      <c r="F5689" s="163"/>
      <c r="G5689" s="163"/>
      <c r="H5689" s="163"/>
      <c r="I5689" s="163"/>
      <c r="J5689" s="165"/>
      <c r="K5689" s="165"/>
      <c r="L5689" s="165"/>
      <c r="M5689" s="166"/>
      <c r="N5689" s="167"/>
      <c r="O5689" s="163"/>
      <c r="P5689" s="163"/>
      <c r="Q5689" s="163"/>
      <c r="R5689" s="163"/>
      <c r="S5689" s="161"/>
      <c r="T5689" s="161"/>
      <c r="U5689" s="161"/>
      <c r="V5689" s="161"/>
      <c r="W5689" s="161"/>
      <c r="X5689" s="161"/>
      <c r="Y5689" s="161"/>
      <c r="Z5689" s="168"/>
      <c r="AA5689" s="168"/>
      <c r="AB5689" s="168"/>
      <c r="AC5689" s="168"/>
    </row>
    <row r="5690">
      <c r="A5690" s="161"/>
      <c r="B5690" s="161"/>
      <c r="C5690" s="162"/>
      <c r="D5690" s="163"/>
      <c r="E5690" s="164" t="str">
        <f>IFERROR(__xludf.DUMMYFUNCTION("""COMPUTED_VALUE"""),"")</f>
        <v/>
      </c>
      <c r="F5690" s="163"/>
      <c r="G5690" s="163"/>
      <c r="H5690" s="163"/>
      <c r="I5690" s="163"/>
      <c r="J5690" s="165"/>
      <c r="K5690" s="165"/>
      <c r="L5690" s="165"/>
      <c r="M5690" s="166"/>
      <c r="N5690" s="167"/>
      <c r="O5690" s="163"/>
      <c r="P5690" s="163"/>
      <c r="Q5690" s="163"/>
      <c r="R5690" s="163"/>
      <c r="S5690" s="161"/>
      <c r="T5690" s="161"/>
      <c r="U5690" s="161"/>
      <c r="V5690" s="161"/>
      <c r="W5690" s="161"/>
      <c r="X5690" s="161"/>
      <c r="Y5690" s="161"/>
      <c r="Z5690" s="168"/>
      <c r="AA5690" s="168"/>
      <c r="AB5690" s="168"/>
      <c r="AC5690" s="168"/>
    </row>
    <row r="5691">
      <c r="A5691" s="161"/>
      <c r="B5691" s="161"/>
      <c r="C5691" s="162"/>
      <c r="D5691" s="163"/>
      <c r="E5691" s="163"/>
      <c r="F5691" s="163"/>
      <c r="G5691" s="163"/>
      <c r="H5691" s="163"/>
      <c r="I5691" s="163"/>
      <c r="J5691" s="165"/>
      <c r="K5691" s="165"/>
      <c r="L5691" s="165"/>
      <c r="M5691" s="166"/>
      <c r="N5691" s="167"/>
      <c r="O5691" s="163"/>
      <c r="P5691" s="163"/>
      <c r="Q5691" s="163"/>
      <c r="R5691" s="163"/>
      <c r="S5691" s="161"/>
      <c r="T5691" s="161"/>
      <c r="U5691" s="161"/>
      <c r="V5691" s="161"/>
      <c r="W5691" s="161"/>
      <c r="X5691" s="161"/>
      <c r="Y5691" s="161"/>
      <c r="Z5691" s="168"/>
      <c r="AA5691" s="168"/>
      <c r="AB5691" s="168"/>
      <c r="AC5691" s="168"/>
    </row>
    <row r="5692">
      <c r="A5692" s="161"/>
      <c r="B5692" s="161"/>
      <c r="C5692" s="162"/>
      <c r="D5692" s="163"/>
      <c r="E5692" s="163"/>
      <c r="F5692" s="163"/>
      <c r="G5692" s="163"/>
      <c r="H5692" s="163"/>
      <c r="I5692" s="163"/>
      <c r="J5692" s="165"/>
      <c r="K5692" s="165"/>
      <c r="L5692" s="165"/>
      <c r="M5692" s="166"/>
      <c r="N5692" s="167"/>
      <c r="O5692" s="163"/>
      <c r="P5692" s="163"/>
      <c r="Q5692" s="163"/>
      <c r="R5692" s="163"/>
      <c r="S5692" s="161"/>
      <c r="T5692" s="161"/>
      <c r="U5692" s="161"/>
      <c r="V5692" s="161"/>
      <c r="W5692" s="161"/>
      <c r="X5692" s="161"/>
      <c r="Y5692" s="161"/>
      <c r="Z5692" s="168"/>
      <c r="AA5692" s="168"/>
      <c r="AB5692" s="168"/>
      <c r="AC5692" s="168"/>
    </row>
    <row r="5693">
      <c r="A5693" s="161"/>
      <c r="B5693" s="161"/>
      <c r="C5693" s="162"/>
      <c r="D5693" s="163"/>
      <c r="E5693" s="163"/>
      <c r="F5693" s="163"/>
      <c r="G5693" s="163"/>
      <c r="H5693" s="163"/>
      <c r="I5693" s="163"/>
      <c r="J5693" s="165"/>
      <c r="K5693" s="165"/>
      <c r="L5693" s="165"/>
      <c r="M5693" s="166"/>
      <c r="N5693" s="167"/>
      <c r="O5693" s="163"/>
      <c r="P5693" s="163"/>
      <c r="Q5693" s="163"/>
      <c r="R5693" s="163"/>
      <c r="S5693" s="161"/>
      <c r="T5693" s="161"/>
      <c r="U5693" s="161"/>
      <c r="V5693" s="161"/>
      <c r="W5693" s="161"/>
      <c r="X5693" s="161"/>
      <c r="Y5693" s="161"/>
      <c r="Z5693" s="168"/>
      <c r="AA5693" s="168"/>
      <c r="AB5693" s="168"/>
      <c r="AC5693" s="168"/>
    </row>
    <row r="5694">
      <c r="A5694" s="161"/>
      <c r="B5694" s="161"/>
      <c r="C5694" s="162"/>
      <c r="D5694" s="163"/>
      <c r="E5694" s="163"/>
      <c r="F5694" s="163"/>
      <c r="G5694" s="163"/>
      <c r="H5694" s="163"/>
      <c r="I5694" s="163"/>
      <c r="J5694" s="165"/>
      <c r="K5694" s="165"/>
      <c r="L5694" s="165"/>
      <c r="M5694" s="166"/>
      <c r="N5694" s="167"/>
      <c r="O5694" s="163"/>
      <c r="P5694" s="163"/>
      <c r="Q5694" s="163"/>
      <c r="R5694" s="163"/>
      <c r="S5694" s="161"/>
      <c r="T5694" s="161"/>
      <c r="U5694" s="161"/>
      <c r="V5694" s="161"/>
      <c r="W5694" s="161"/>
      <c r="X5694" s="161"/>
      <c r="Y5694" s="161"/>
      <c r="Z5694" s="168"/>
      <c r="AA5694" s="168"/>
      <c r="AB5694" s="168"/>
      <c r="AC5694" s="168"/>
    </row>
    <row r="5695">
      <c r="A5695" s="161"/>
      <c r="B5695" s="161"/>
      <c r="C5695" s="162"/>
      <c r="D5695" s="163"/>
      <c r="E5695" s="163"/>
      <c r="F5695" s="163"/>
      <c r="G5695" s="163"/>
      <c r="H5695" s="163"/>
      <c r="I5695" s="163"/>
      <c r="J5695" s="165"/>
      <c r="K5695" s="165"/>
      <c r="L5695" s="165"/>
      <c r="M5695" s="166"/>
      <c r="N5695" s="167"/>
      <c r="O5695" s="163"/>
      <c r="P5695" s="163"/>
      <c r="Q5695" s="163"/>
      <c r="R5695" s="163"/>
      <c r="S5695" s="161"/>
      <c r="T5695" s="161"/>
      <c r="U5695" s="161"/>
      <c r="V5695" s="161"/>
      <c r="W5695" s="161"/>
      <c r="X5695" s="161"/>
      <c r="Y5695" s="161"/>
      <c r="Z5695" s="168"/>
      <c r="AA5695" s="168"/>
      <c r="AB5695" s="168"/>
      <c r="AC5695" s="168"/>
    </row>
    <row r="5696">
      <c r="A5696" s="161"/>
      <c r="B5696" s="161"/>
      <c r="C5696" s="162"/>
      <c r="D5696" s="163"/>
      <c r="E5696" s="163"/>
      <c r="F5696" s="163"/>
      <c r="G5696" s="163"/>
      <c r="H5696" s="163"/>
      <c r="I5696" s="163"/>
      <c r="J5696" s="165"/>
      <c r="K5696" s="165"/>
      <c r="L5696" s="165"/>
      <c r="M5696" s="166"/>
      <c r="N5696" s="167"/>
      <c r="O5696" s="163"/>
      <c r="P5696" s="163"/>
      <c r="Q5696" s="163"/>
      <c r="R5696" s="163"/>
      <c r="S5696" s="161"/>
      <c r="T5696" s="161"/>
      <c r="U5696" s="161"/>
      <c r="V5696" s="161"/>
      <c r="W5696" s="161"/>
      <c r="X5696" s="161"/>
      <c r="Y5696" s="161"/>
      <c r="Z5696" s="168"/>
      <c r="AA5696" s="168"/>
      <c r="AB5696" s="168"/>
      <c r="AC5696" s="168"/>
    </row>
    <row r="5697">
      <c r="A5697" s="161"/>
      <c r="B5697" s="161"/>
      <c r="C5697" s="162"/>
      <c r="D5697" s="163"/>
      <c r="E5697" s="163"/>
      <c r="F5697" s="163"/>
      <c r="G5697" s="163"/>
      <c r="H5697" s="163"/>
      <c r="I5697" s="163"/>
      <c r="J5697" s="165"/>
      <c r="K5697" s="165"/>
      <c r="L5697" s="165"/>
      <c r="M5697" s="166"/>
      <c r="N5697" s="167"/>
      <c r="O5697" s="163"/>
      <c r="P5697" s="163"/>
      <c r="Q5697" s="163"/>
      <c r="R5697" s="163"/>
      <c r="S5697" s="161"/>
      <c r="T5697" s="161"/>
      <c r="U5697" s="161"/>
      <c r="V5697" s="161"/>
      <c r="W5697" s="161"/>
      <c r="X5697" s="161"/>
      <c r="Y5697" s="161"/>
      <c r="Z5697" s="168"/>
      <c r="AA5697" s="168"/>
      <c r="AB5697" s="168"/>
      <c r="AC5697" s="168"/>
    </row>
    <row r="5698">
      <c r="A5698" s="161"/>
      <c r="B5698" s="161"/>
      <c r="C5698" s="162"/>
      <c r="D5698" s="163"/>
      <c r="E5698" s="163"/>
      <c r="F5698" s="163"/>
      <c r="G5698" s="163"/>
      <c r="H5698" s="163"/>
      <c r="I5698" s="163"/>
      <c r="J5698" s="165"/>
      <c r="K5698" s="165"/>
      <c r="L5698" s="165"/>
      <c r="M5698" s="166"/>
      <c r="N5698" s="167"/>
      <c r="O5698" s="163"/>
      <c r="P5698" s="163"/>
      <c r="Q5698" s="163"/>
      <c r="R5698" s="163"/>
      <c r="S5698" s="161"/>
      <c r="T5698" s="161"/>
      <c r="U5698" s="161"/>
      <c r="V5698" s="161"/>
      <c r="W5698" s="161"/>
      <c r="X5698" s="161"/>
      <c r="Y5698" s="161"/>
      <c r="Z5698" s="168"/>
      <c r="AA5698" s="168"/>
      <c r="AB5698" s="168"/>
      <c r="AC5698" s="168"/>
    </row>
    <row r="5699">
      <c r="A5699" s="161"/>
      <c r="B5699" s="161"/>
      <c r="C5699" s="162"/>
      <c r="D5699" s="163"/>
      <c r="E5699" s="163"/>
      <c r="F5699" s="163"/>
      <c r="G5699" s="163"/>
      <c r="H5699" s="163"/>
      <c r="I5699" s="163"/>
      <c r="J5699" s="165"/>
      <c r="K5699" s="165"/>
      <c r="L5699" s="165"/>
      <c r="M5699" s="166"/>
      <c r="N5699" s="167"/>
      <c r="O5699" s="163"/>
      <c r="P5699" s="163"/>
      <c r="Q5699" s="163"/>
      <c r="R5699" s="163"/>
      <c r="S5699" s="161"/>
      <c r="T5699" s="161"/>
      <c r="U5699" s="161"/>
      <c r="V5699" s="161"/>
      <c r="W5699" s="161"/>
      <c r="X5699" s="161"/>
      <c r="Y5699" s="161"/>
      <c r="Z5699" s="168"/>
      <c r="AA5699" s="168"/>
      <c r="AB5699" s="168"/>
      <c r="AC5699" s="168"/>
    </row>
    <row r="5700">
      <c r="A5700" s="161"/>
      <c r="B5700" s="161"/>
      <c r="C5700" s="162"/>
      <c r="D5700" s="163"/>
      <c r="E5700" s="163"/>
      <c r="F5700" s="163"/>
      <c r="G5700" s="163"/>
      <c r="H5700" s="163"/>
      <c r="I5700" s="163"/>
      <c r="J5700" s="165"/>
      <c r="K5700" s="165"/>
      <c r="L5700" s="165"/>
      <c r="M5700" s="166"/>
      <c r="N5700" s="167"/>
      <c r="O5700" s="163"/>
      <c r="P5700" s="163"/>
      <c r="Q5700" s="163"/>
      <c r="R5700" s="163"/>
      <c r="S5700" s="161"/>
      <c r="T5700" s="161"/>
      <c r="U5700" s="161"/>
      <c r="V5700" s="161"/>
      <c r="W5700" s="161"/>
      <c r="X5700" s="161"/>
      <c r="Y5700" s="161"/>
      <c r="Z5700" s="168"/>
      <c r="AA5700" s="168"/>
      <c r="AB5700" s="168"/>
      <c r="AC5700" s="168"/>
    </row>
    <row r="5701">
      <c r="A5701" s="161"/>
      <c r="B5701" s="161"/>
      <c r="C5701" s="162"/>
      <c r="D5701" s="163"/>
      <c r="E5701" s="163"/>
      <c r="F5701" s="163"/>
      <c r="G5701" s="163"/>
      <c r="H5701" s="163"/>
      <c r="I5701" s="163"/>
      <c r="J5701" s="165"/>
      <c r="K5701" s="165"/>
      <c r="L5701" s="165"/>
      <c r="M5701" s="166"/>
      <c r="N5701" s="167"/>
      <c r="O5701" s="163"/>
      <c r="P5701" s="163"/>
      <c r="Q5701" s="163"/>
      <c r="R5701" s="163"/>
      <c r="S5701" s="161"/>
      <c r="T5701" s="161"/>
      <c r="U5701" s="161"/>
      <c r="V5701" s="161"/>
      <c r="W5701" s="161"/>
      <c r="X5701" s="161"/>
      <c r="Y5701" s="161"/>
      <c r="Z5701" s="168"/>
      <c r="AA5701" s="168"/>
      <c r="AB5701" s="168"/>
      <c r="AC5701" s="168"/>
    </row>
    <row r="5702">
      <c r="A5702" s="161"/>
      <c r="B5702" s="161"/>
      <c r="C5702" s="162"/>
      <c r="D5702" s="163"/>
      <c r="E5702" s="163"/>
      <c r="F5702" s="163"/>
      <c r="G5702" s="163"/>
      <c r="H5702" s="163"/>
      <c r="I5702" s="163"/>
      <c r="J5702" s="165"/>
      <c r="K5702" s="165"/>
      <c r="L5702" s="165"/>
      <c r="M5702" s="166"/>
      <c r="N5702" s="167"/>
      <c r="O5702" s="163"/>
      <c r="P5702" s="163"/>
      <c r="Q5702" s="163"/>
      <c r="R5702" s="163"/>
      <c r="S5702" s="161"/>
      <c r="T5702" s="161"/>
      <c r="U5702" s="161"/>
      <c r="V5702" s="161"/>
      <c r="W5702" s="161"/>
      <c r="X5702" s="161"/>
      <c r="Y5702" s="161"/>
      <c r="Z5702" s="168"/>
      <c r="AA5702" s="168"/>
      <c r="AB5702" s="168"/>
      <c r="AC5702" s="168"/>
    </row>
    <row r="5703">
      <c r="A5703" s="161"/>
      <c r="B5703" s="161"/>
      <c r="C5703" s="162"/>
      <c r="D5703" s="163"/>
      <c r="E5703" s="163"/>
      <c r="F5703" s="163"/>
      <c r="G5703" s="163"/>
      <c r="H5703" s="163"/>
      <c r="I5703" s="163"/>
      <c r="J5703" s="165"/>
      <c r="K5703" s="165"/>
      <c r="L5703" s="165"/>
      <c r="M5703" s="166"/>
      <c r="N5703" s="167"/>
      <c r="O5703" s="163"/>
      <c r="P5703" s="163"/>
      <c r="Q5703" s="163"/>
      <c r="R5703" s="163"/>
      <c r="S5703" s="161"/>
      <c r="T5703" s="161"/>
      <c r="U5703" s="161"/>
      <c r="V5703" s="161"/>
      <c r="W5703" s="161"/>
      <c r="X5703" s="161"/>
      <c r="Y5703" s="161"/>
      <c r="Z5703" s="168"/>
      <c r="AA5703" s="168"/>
      <c r="AB5703" s="168"/>
      <c r="AC5703" s="168"/>
    </row>
    <row r="5704">
      <c r="A5704" s="161"/>
      <c r="B5704" s="161"/>
      <c r="C5704" s="162"/>
      <c r="D5704" s="163"/>
      <c r="E5704" s="163"/>
      <c r="F5704" s="163"/>
      <c r="G5704" s="163"/>
      <c r="H5704" s="163"/>
      <c r="I5704" s="163"/>
      <c r="J5704" s="165"/>
      <c r="K5704" s="165"/>
      <c r="L5704" s="165"/>
      <c r="M5704" s="166"/>
      <c r="N5704" s="167"/>
      <c r="O5704" s="163"/>
      <c r="P5704" s="163"/>
      <c r="Q5704" s="163"/>
      <c r="R5704" s="163"/>
      <c r="S5704" s="161"/>
      <c r="T5704" s="161"/>
      <c r="U5704" s="161"/>
      <c r="V5704" s="161"/>
      <c r="W5704" s="161"/>
      <c r="X5704" s="161"/>
      <c r="Y5704" s="161"/>
      <c r="Z5704" s="168"/>
      <c r="AA5704" s="168"/>
      <c r="AB5704" s="168"/>
      <c r="AC5704" s="168"/>
    </row>
    <row r="5705">
      <c r="A5705" s="161"/>
      <c r="B5705" s="161"/>
      <c r="C5705" s="162"/>
      <c r="D5705" s="163"/>
      <c r="E5705" s="163"/>
      <c r="F5705" s="163"/>
      <c r="G5705" s="163"/>
      <c r="H5705" s="163"/>
      <c r="I5705" s="163"/>
      <c r="J5705" s="165"/>
      <c r="K5705" s="165"/>
      <c r="L5705" s="165"/>
      <c r="M5705" s="166"/>
      <c r="N5705" s="167"/>
      <c r="O5705" s="163"/>
      <c r="P5705" s="163"/>
      <c r="Q5705" s="163"/>
      <c r="R5705" s="163"/>
      <c r="S5705" s="161"/>
      <c r="T5705" s="161"/>
      <c r="U5705" s="161"/>
      <c r="V5705" s="161"/>
      <c r="W5705" s="161"/>
      <c r="X5705" s="161"/>
      <c r="Y5705" s="161"/>
      <c r="Z5705" s="168"/>
      <c r="AA5705" s="168"/>
      <c r="AB5705" s="168"/>
      <c r="AC5705" s="168"/>
    </row>
    <row r="5706">
      <c r="A5706" s="161"/>
      <c r="B5706" s="161"/>
      <c r="C5706" s="162"/>
      <c r="D5706" s="163"/>
      <c r="E5706" s="163"/>
      <c r="F5706" s="163"/>
      <c r="G5706" s="163"/>
      <c r="H5706" s="163"/>
      <c r="I5706" s="163"/>
      <c r="J5706" s="165"/>
      <c r="K5706" s="165"/>
      <c r="L5706" s="165"/>
      <c r="M5706" s="166"/>
      <c r="N5706" s="167"/>
      <c r="O5706" s="163"/>
      <c r="P5706" s="163"/>
      <c r="Q5706" s="163"/>
      <c r="R5706" s="163"/>
      <c r="S5706" s="161"/>
      <c r="T5706" s="161"/>
      <c r="U5706" s="161"/>
      <c r="V5706" s="161"/>
      <c r="W5706" s="161"/>
      <c r="X5706" s="161"/>
      <c r="Y5706" s="161"/>
      <c r="Z5706" s="168"/>
      <c r="AA5706" s="168"/>
      <c r="AB5706" s="168"/>
      <c r="AC5706" s="168"/>
    </row>
    <row r="5707">
      <c r="A5707" s="161"/>
      <c r="B5707" s="161"/>
      <c r="C5707" s="162"/>
      <c r="D5707" s="163"/>
      <c r="E5707" s="163"/>
      <c r="F5707" s="163"/>
      <c r="G5707" s="163"/>
      <c r="H5707" s="163"/>
      <c r="I5707" s="163"/>
      <c r="J5707" s="165"/>
      <c r="K5707" s="165"/>
      <c r="L5707" s="165"/>
      <c r="M5707" s="166"/>
      <c r="N5707" s="167"/>
      <c r="O5707" s="163"/>
      <c r="P5707" s="163"/>
      <c r="Q5707" s="163"/>
      <c r="R5707" s="163"/>
      <c r="S5707" s="161"/>
      <c r="T5707" s="161"/>
      <c r="U5707" s="161"/>
      <c r="V5707" s="161"/>
      <c r="W5707" s="161"/>
      <c r="X5707" s="161"/>
      <c r="Y5707" s="161"/>
      <c r="Z5707" s="168"/>
      <c r="AA5707" s="168"/>
      <c r="AB5707" s="168"/>
      <c r="AC5707" s="168"/>
    </row>
    <row r="5708">
      <c r="A5708" s="161"/>
      <c r="B5708" s="161"/>
      <c r="C5708" s="162"/>
      <c r="D5708" s="163"/>
      <c r="E5708" s="163"/>
      <c r="F5708" s="163"/>
      <c r="G5708" s="163"/>
      <c r="H5708" s="163"/>
      <c r="I5708" s="163"/>
      <c r="J5708" s="165"/>
      <c r="K5708" s="165"/>
      <c r="L5708" s="165"/>
      <c r="M5708" s="166"/>
      <c r="N5708" s="167"/>
      <c r="O5708" s="163"/>
      <c r="P5708" s="163"/>
      <c r="Q5708" s="163"/>
      <c r="R5708" s="163"/>
      <c r="S5708" s="161"/>
      <c r="T5708" s="161"/>
      <c r="U5708" s="161"/>
      <c r="V5708" s="161"/>
      <c r="W5708" s="161"/>
      <c r="X5708" s="161"/>
      <c r="Y5708" s="161"/>
      <c r="Z5708" s="168"/>
      <c r="AA5708" s="168"/>
      <c r="AB5708" s="168"/>
      <c r="AC5708" s="168"/>
    </row>
    <row r="5709">
      <c r="A5709" s="161"/>
      <c r="B5709" s="161"/>
      <c r="C5709" s="162"/>
      <c r="D5709" s="163"/>
      <c r="E5709" s="163"/>
      <c r="F5709" s="163"/>
      <c r="G5709" s="163"/>
      <c r="H5709" s="163"/>
      <c r="I5709" s="163"/>
      <c r="J5709" s="165"/>
      <c r="K5709" s="165"/>
      <c r="L5709" s="165"/>
      <c r="M5709" s="166"/>
      <c r="N5709" s="167"/>
      <c r="O5709" s="163"/>
      <c r="P5709" s="163"/>
      <c r="Q5709" s="163"/>
      <c r="R5709" s="163"/>
      <c r="S5709" s="161"/>
      <c r="T5709" s="161"/>
      <c r="U5709" s="161"/>
      <c r="V5709" s="161"/>
      <c r="W5709" s="161"/>
      <c r="X5709" s="161"/>
      <c r="Y5709" s="161"/>
      <c r="Z5709" s="168"/>
      <c r="AA5709" s="168"/>
      <c r="AB5709" s="168"/>
      <c r="AC5709" s="168"/>
    </row>
    <row r="5710">
      <c r="A5710" s="161"/>
      <c r="B5710" s="161"/>
      <c r="C5710" s="162"/>
      <c r="D5710" s="163"/>
      <c r="E5710" s="163"/>
      <c r="F5710" s="163"/>
      <c r="G5710" s="163"/>
      <c r="H5710" s="163"/>
      <c r="I5710" s="163"/>
      <c r="J5710" s="165"/>
      <c r="K5710" s="165"/>
      <c r="L5710" s="165"/>
      <c r="M5710" s="166"/>
      <c r="N5710" s="167"/>
      <c r="O5710" s="163"/>
      <c r="P5710" s="163"/>
      <c r="Q5710" s="163"/>
      <c r="R5710" s="163"/>
      <c r="S5710" s="161"/>
      <c r="T5710" s="161"/>
      <c r="U5710" s="161"/>
      <c r="V5710" s="161"/>
      <c r="W5710" s="161"/>
      <c r="X5710" s="161"/>
      <c r="Y5710" s="161"/>
      <c r="Z5710" s="168"/>
      <c r="AA5710" s="168"/>
      <c r="AB5710" s="168"/>
      <c r="AC5710" s="168"/>
    </row>
    <row r="5711">
      <c r="A5711" s="161"/>
      <c r="B5711" s="161"/>
      <c r="C5711" s="162"/>
      <c r="D5711" s="163"/>
      <c r="E5711" s="163"/>
      <c r="F5711" s="163"/>
      <c r="G5711" s="163"/>
      <c r="H5711" s="163"/>
      <c r="I5711" s="163"/>
      <c r="J5711" s="165"/>
      <c r="K5711" s="165"/>
      <c r="L5711" s="165"/>
      <c r="M5711" s="166"/>
      <c r="N5711" s="167"/>
      <c r="O5711" s="163"/>
      <c r="P5711" s="163"/>
      <c r="Q5711" s="163"/>
      <c r="R5711" s="163"/>
      <c r="S5711" s="161"/>
      <c r="T5711" s="161"/>
      <c r="U5711" s="161"/>
      <c r="V5711" s="161"/>
      <c r="W5711" s="161"/>
      <c r="X5711" s="161"/>
      <c r="Y5711" s="161"/>
      <c r="Z5711" s="168"/>
      <c r="AA5711" s="168"/>
      <c r="AB5711" s="168"/>
      <c r="AC5711" s="168"/>
    </row>
    <row r="5712">
      <c r="A5712" s="161"/>
      <c r="B5712" s="161"/>
      <c r="C5712" s="162"/>
      <c r="D5712" s="163"/>
      <c r="E5712" s="163"/>
      <c r="F5712" s="163"/>
      <c r="G5712" s="163"/>
      <c r="H5712" s="163"/>
      <c r="I5712" s="163"/>
      <c r="J5712" s="165"/>
      <c r="K5712" s="165"/>
      <c r="L5712" s="165"/>
      <c r="M5712" s="166"/>
      <c r="N5712" s="167"/>
      <c r="O5712" s="163"/>
      <c r="P5712" s="163"/>
      <c r="Q5712" s="163"/>
      <c r="R5712" s="163"/>
      <c r="S5712" s="161"/>
      <c r="T5712" s="161"/>
      <c r="U5712" s="161"/>
      <c r="V5712" s="161"/>
      <c r="W5712" s="161"/>
      <c r="X5712" s="161"/>
      <c r="Y5712" s="161"/>
      <c r="Z5712" s="168"/>
      <c r="AA5712" s="168"/>
      <c r="AB5712" s="168"/>
      <c r="AC5712" s="168"/>
    </row>
    <row r="5713">
      <c r="A5713" s="161"/>
      <c r="B5713" s="161"/>
      <c r="C5713" s="162"/>
      <c r="D5713" s="163"/>
      <c r="E5713" s="163"/>
      <c r="F5713" s="163"/>
      <c r="G5713" s="163"/>
      <c r="H5713" s="163"/>
      <c r="I5713" s="163"/>
      <c r="J5713" s="165"/>
      <c r="K5713" s="165"/>
      <c r="L5713" s="165"/>
      <c r="M5713" s="166"/>
      <c r="N5713" s="167"/>
      <c r="O5713" s="163"/>
      <c r="P5713" s="163"/>
      <c r="Q5713" s="163"/>
      <c r="R5713" s="163"/>
      <c r="S5713" s="161"/>
      <c r="T5713" s="161"/>
      <c r="U5713" s="161"/>
      <c r="V5713" s="161"/>
      <c r="W5713" s="161"/>
      <c r="X5713" s="161"/>
      <c r="Y5713" s="161"/>
      <c r="Z5713" s="168"/>
      <c r="AA5713" s="168"/>
      <c r="AB5713" s="168"/>
      <c r="AC5713" s="168"/>
    </row>
    <row r="5714">
      <c r="A5714" s="161"/>
      <c r="B5714" s="161"/>
      <c r="C5714" s="162"/>
      <c r="D5714" s="163"/>
      <c r="E5714" s="163"/>
      <c r="F5714" s="163"/>
      <c r="G5714" s="163"/>
      <c r="H5714" s="163"/>
      <c r="I5714" s="163"/>
      <c r="J5714" s="165"/>
      <c r="K5714" s="165"/>
      <c r="L5714" s="165"/>
      <c r="M5714" s="166"/>
      <c r="N5714" s="167"/>
      <c r="O5714" s="163"/>
      <c r="P5714" s="163"/>
      <c r="Q5714" s="163"/>
      <c r="R5714" s="163"/>
      <c r="S5714" s="161"/>
      <c r="T5714" s="161"/>
      <c r="U5714" s="161"/>
      <c r="V5714" s="161"/>
      <c r="W5714" s="161"/>
      <c r="X5714" s="161"/>
      <c r="Y5714" s="161"/>
      <c r="Z5714" s="168"/>
      <c r="AA5714" s="168"/>
      <c r="AB5714" s="168"/>
      <c r="AC5714" s="168"/>
    </row>
    <row r="5715">
      <c r="A5715" s="161"/>
      <c r="B5715" s="161"/>
      <c r="C5715" s="162"/>
      <c r="D5715" s="163"/>
      <c r="E5715" s="163"/>
      <c r="F5715" s="163"/>
      <c r="G5715" s="163"/>
      <c r="H5715" s="163"/>
      <c r="I5715" s="163"/>
      <c r="J5715" s="165"/>
      <c r="K5715" s="165"/>
      <c r="L5715" s="165"/>
      <c r="M5715" s="166"/>
      <c r="N5715" s="167"/>
      <c r="O5715" s="163"/>
      <c r="P5715" s="163"/>
      <c r="Q5715" s="163"/>
      <c r="R5715" s="163"/>
      <c r="S5715" s="161"/>
      <c r="T5715" s="161"/>
      <c r="U5715" s="161"/>
      <c r="V5715" s="161"/>
      <c r="W5715" s="161"/>
      <c r="X5715" s="161"/>
      <c r="Y5715" s="161"/>
      <c r="Z5715" s="168"/>
      <c r="AA5715" s="168"/>
      <c r="AB5715" s="168"/>
      <c r="AC5715" s="168"/>
    </row>
    <row r="5716">
      <c r="A5716" s="161"/>
      <c r="B5716" s="161"/>
      <c r="C5716" s="162"/>
      <c r="D5716" s="163"/>
      <c r="E5716" s="163"/>
      <c r="F5716" s="163"/>
      <c r="G5716" s="163"/>
      <c r="H5716" s="163"/>
      <c r="I5716" s="163"/>
      <c r="J5716" s="165"/>
      <c r="K5716" s="165"/>
      <c r="L5716" s="165"/>
      <c r="M5716" s="166"/>
      <c r="N5716" s="167"/>
      <c r="O5716" s="163"/>
      <c r="P5716" s="163"/>
      <c r="Q5716" s="163"/>
      <c r="R5716" s="163"/>
      <c r="S5716" s="161"/>
      <c r="T5716" s="161"/>
      <c r="U5716" s="161"/>
      <c r="V5716" s="161"/>
      <c r="W5716" s="161"/>
      <c r="X5716" s="161"/>
      <c r="Y5716" s="161"/>
      <c r="Z5716" s="168"/>
      <c r="AA5716" s="168"/>
      <c r="AB5716" s="168"/>
      <c r="AC5716" s="168"/>
    </row>
    <row r="5717">
      <c r="A5717" s="161"/>
      <c r="B5717" s="161"/>
      <c r="C5717" s="162"/>
      <c r="D5717" s="163"/>
      <c r="E5717" s="163"/>
      <c r="F5717" s="163"/>
      <c r="G5717" s="163"/>
      <c r="H5717" s="163"/>
      <c r="I5717" s="163"/>
      <c r="J5717" s="165"/>
      <c r="K5717" s="165"/>
      <c r="L5717" s="165"/>
      <c r="M5717" s="166"/>
      <c r="N5717" s="167"/>
      <c r="O5717" s="163"/>
      <c r="P5717" s="163"/>
      <c r="Q5717" s="163"/>
      <c r="R5717" s="163"/>
      <c r="S5717" s="161"/>
      <c r="T5717" s="161"/>
      <c r="U5717" s="161"/>
      <c r="V5717" s="161"/>
      <c r="W5717" s="161"/>
      <c r="X5717" s="161"/>
      <c r="Y5717" s="161"/>
      <c r="Z5717" s="168"/>
      <c r="AA5717" s="168"/>
      <c r="AB5717" s="168"/>
      <c r="AC5717" s="168"/>
    </row>
    <row r="5718">
      <c r="A5718" s="161"/>
      <c r="B5718" s="161"/>
      <c r="C5718" s="162"/>
      <c r="D5718" s="163"/>
      <c r="E5718" s="163"/>
      <c r="F5718" s="163"/>
      <c r="G5718" s="163"/>
      <c r="H5718" s="163"/>
      <c r="I5718" s="163"/>
      <c r="J5718" s="165"/>
      <c r="K5718" s="165"/>
      <c r="L5718" s="165"/>
      <c r="M5718" s="166"/>
      <c r="N5718" s="167"/>
      <c r="O5718" s="163"/>
      <c r="P5718" s="163"/>
      <c r="Q5718" s="163"/>
      <c r="R5718" s="163"/>
      <c r="S5718" s="161"/>
      <c r="T5718" s="161"/>
      <c r="U5718" s="161"/>
      <c r="V5718" s="161"/>
      <c r="W5718" s="161"/>
      <c r="X5718" s="161"/>
      <c r="Y5718" s="161"/>
      <c r="Z5718" s="168"/>
      <c r="AA5718" s="168"/>
      <c r="AB5718" s="168"/>
      <c r="AC5718" s="168"/>
    </row>
    <row r="5719">
      <c r="A5719" s="161"/>
      <c r="B5719" s="161"/>
      <c r="C5719" s="162"/>
      <c r="D5719" s="163"/>
      <c r="E5719" s="163"/>
      <c r="F5719" s="163"/>
      <c r="G5719" s="163"/>
      <c r="H5719" s="163"/>
      <c r="I5719" s="163"/>
      <c r="J5719" s="165"/>
      <c r="K5719" s="165"/>
      <c r="L5719" s="165"/>
      <c r="M5719" s="166"/>
      <c r="N5719" s="167"/>
      <c r="O5719" s="163"/>
      <c r="P5719" s="163"/>
      <c r="Q5719" s="163"/>
      <c r="R5719" s="163"/>
      <c r="S5719" s="161"/>
      <c r="T5719" s="161"/>
      <c r="U5719" s="161"/>
      <c r="V5719" s="161"/>
      <c r="W5719" s="161"/>
      <c r="X5719" s="161"/>
      <c r="Y5719" s="161"/>
      <c r="Z5719" s="168"/>
      <c r="AA5719" s="168"/>
      <c r="AB5719" s="168"/>
      <c r="AC5719" s="168"/>
    </row>
    <row r="5720">
      <c r="A5720" s="161"/>
      <c r="B5720" s="161"/>
      <c r="C5720" s="162"/>
      <c r="D5720" s="163"/>
      <c r="E5720" s="163"/>
      <c r="F5720" s="163"/>
      <c r="G5720" s="163"/>
      <c r="H5720" s="163"/>
      <c r="I5720" s="163"/>
      <c r="J5720" s="165"/>
      <c r="K5720" s="165"/>
      <c r="L5720" s="165"/>
      <c r="M5720" s="166"/>
      <c r="N5720" s="167"/>
      <c r="O5720" s="163"/>
      <c r="P5720" s="163"/>
      <c r="Q5720" s="163"/>
      <c r="R5720" s="163"/>
      <c r="S5720" s="161"/>
      <c r="T5720" s="161"/>
      <c r="U5720" s="161"/>
      <c r="V5720" s="161"/>
      <c r="W5720" s="161"/>
      <c r="X5720" s="161"/>
      <c r="Y5720" s="161"/>
      <c r="Z5720" s="168"/>
      <c r="AA5720" s="168"/>
      <c r="AB5720" s="168"/>
      <c r="AC5720" s="168"/>
    </row>
    <row r="5721">
      <c r="A5721" s="161"/>
      <c r="B5721" s="161"/>
      <c r="C5721" s="162"/>
      <c r="D5721" s="163"/>
      <c r="E5721" s="163"/>
      <c r="F5721" s="163"/>
      <c r="G5721" s="163"/>
      <c r="H5721" s="163"/>
      <c r="I5721" s="163"/>
      <c r="J5721" s="165"/>
      <c r="K5721" s="165"/>
      <c r="L5721" s="165"/>
      <c r="M5721" s="166"/>
      <c r="N5721" s="167"/>
      <c r="O5721" s="163"/>
      <c r="P5721" s="163"/>
      <c r="Q5721" s="163"/>
      <c r="R5721" s="163"/>
      <c r="S5721" s="161"/>
      <c r="T5721" s="161"/>
      <c r="U5721" s="161"/>
      <c r="V5721" s="161"/>
      <c r="W5721" s="161"/>
      <c r="X5721" s="161"/>
      <c r="Y5721" s="161"/>
      <c r="Z5721" s="168"/>
      <c r="AA5721" s="168"/>
      <c r="AB5721" s="168"/>
      <c r="AC5721" s="168"/>
    </row>
    <row r="5722">
      <c r="A5722" s="161"/>
      <c r="B5722" s="161"/>
      <c r="C5722" s="162"/>
      <c r="D5722" s="163"/>
      <c r="E5722" s="163"/>
      <c r="F5722" s="163"/>
      <c r="G5722" s="163"/>
      <c r="H5722" s="163"/>
      <c r="I5722" s="163"/>
      <c r="J5722" s="165"/>
      <c r="K5722" s="165"/>
      <c r="L5722" s="165"/>
      <c r="M5722" s="166"/>
      <c r="N5722" s="167"/>
      <c r="O5722" s="163"/>
      <c r="P5722" s="163"/>
      <c r="Q5722" s="163"/>
      <c r="R5722" s="163"/>
      <c r="S5722" s="161"/>
      <c r="T5722" s="161"/>
      <c r="U5722" s="161"/>
      <c r="V5722" s="161"/>
      <c r="W5722" s="161"/>
      <c r="X5722" s="161"/>
      <c r="Y5722" s="161"/>
      <c r="Z5722" s="168"/>
      <c r="AA5722" s="168"/>
      <c r="AB5722" s="168"/>
      <c r="AC5722" s="168"/>
    </row>
    <row r="5723">
      <c r="A5723" s="161"/>
      <c r="B5723" s="161"/>
      <c r="C5723" s="162"/>
      <c r="D5723" s="163"/>
      <c r="E5723" s="163"/>
      <c r="F5723" s="163"/>
      <c r="G5723" s="163"/>
      <c r="H5723" s="163"/>
      <c r="I5723" s="163"/>
      <c r="J5723" s="165"/>
      <c r="K5723" s="165"/>
      <c r="L5723" s="165"/>
      <c r="M5723" s="166"/>
      <c r="N5723" s="167"/>
      <c r="O5723" s="163"/>
      <c r="P5723" s="163"/>
      <c r="Q5723" s="163"/>
      <c r="R5723" s="163"/>
      <c r="S5723" s="161"/>
      <c r="T5723" s="161"/>
      <c r="U5723" s="161"/>
      <c r="V5723" s="161"/>
      <c r="W5723" s="161"/>
      <c r="X5723" s="161"/>
      <c r="Y5723" s="161"/>
      <c r="Z5723" s="168"/>
      <c r="AA5723" s="168"/>
      <c r="AB5723" s="168"/>
      <c r="AC5723" s="168"/>
    </row>
    <row r="5724">
      <c r="A5724" s="161"/>
      <c r="B5724" s="161"/>
      <c r="C5724" s="162"/>
      <c r="D5724" s="163"/>
      <c r="E5724" s="163"/>
      <c r="F5724" s="163"/>
      <c r="G5724" s="163"/>
      <c r="H5724" s="163"/>
      <c r="I5724" s="163"/>
      <c r="J5724" s="165"/>
      <c r="K5724" s="165"/>
      <c r="L5724" s="165"/>
      <c r="M5724" s="166"/>
      <c r="N5724" s="167"/>
      <c r="O5724" s="163"/>
      <c r="P5724" s="163"/>
      <c r="Q5724" s="163"/>
      <c r="R5724" s="163"/>
      <c r="S5724" s="161"/>
      <c r="T5724" s="161"/>
      <c r="U5724" s="161"/>
      <c r="V5724" s="161"/>
      <c r="W5724" s="161"/>
      <c r="X5724" s="161"/>
      <c r="Y5724" s="161"/>
      <c r="Z5724" s="168"/>
      <c r="AA5724" s="168"/>
      <c r="AB5724" s="168"/>
      <c r="AC5724" s="168"/>
    </row>
    <row r="5725">
      <c r="A5725" s="161"/>
      <c r="B5725" s="161"/>
      <c r="C5725" s="162"/>
      <c r="D5725" s="163"/>
      <c r="E5725" s="163"/>
      <c r="F5725" s="163"/>
      <c r="G5725" s="163"/>
      <c r="H5725" s="163"/>
      <c r="I5725" s="163"/>
      <c r="J5725" s="165"/>
      <c r="K5725" s="165"/>
      <c r="L5725" s="165"/>
      <c r="M5725" s="166"/>
      <c r="N5725" s="167"/>
      <c r="O5725" s="163"/>
      <c r="P5725" s="163"/>
      <c r="Q5725" s="163"/>
      <c r="R5725" s="163"/>
      <c r="S5725" s="161"/>
      <c r="T5725" s="161"/>
      <c r="U5725" s="161"/>
      <c r="V5725" s="161"/>
      <c r="W5725" s="161"/>
      <c r="X5725" s="161"/>
      <c r="Y5725" s="161"/>
      <c r="Z5725" s="168"/>
      <c r="AA5725" s="168"/>
      <c r="AB5725" s="168"/>
      <c r="AC5725" s="168"/>
    </row>
    <row r="5726">
      <c r="A5726" s="161"/>
      <c r="B5726" s="161"/>
      <c r="C5726" s="162"/>
      <c r="D5726" s="163"/>
      <c r="E5726" s="163"/>
      <c r="F5726" s="163"/>
      <c r="G5726" s="163"/>
      <c r="H5726" s="163"/>
      <c r="I5726" s="163"/>
      <c r="J5726" s="165"/>
      <c r="K5726" s="165"/>
      <c r="L5726" s="165"/>
      <c r="M5726" s="166"/>
      <c r="N5726" s="167"/>
      <c r="O5726" s="163"/>
      <c r="P5726" s="163"/>
      <c r="Q5726" s="163"/>
      <c r="R5726" s="163"/>
      <c r="S5726" s="161"/>
      <c r="T5726" s="161"/>
      <c r="U5726" s="161"/>
      <c r="V5726" s="161"/>
      <c r="W5726" s="161"/>
      <c r="X5726" s="161"/>
      <c r="Y5726" s="161"/>
      <c r="Z5726" s="168"/>
      <c r="AA5726" s="168"/>
      <c r="AB5726" s="168"/>
      <c r="AC5726" s="168"/>
    </row>
    <row r="5727">
      <c r="A5727" s="161"/>
      <c r="B5727" s="161"/>
      <c r="C5727" s="162"/>
      <c r="D5727" s="163"/>
      <c r="E5727" s="163"/>
      <c r="F5727" s="163"/>
      <c r="G5727" s="163"/>
      <c r="H5727" s="163"/>
      <c r="I5727" s="163"/>
      <c r="J5727" s="165"/>
      <c r="K5727" s="165"/>
      <c r="L5727" s="165"/>
      <c r="M5727" s="166"/>
      <c r="N5727" s="167"/>
      <c r="O5727" s="163"/>
      <c r="P5727" s="163"/>
      <c r="Q5727" s="163"/>
      <c r="R5727" s="163"/>
      <c r="S5727" s="161"/>
      <c r="T5727" s="161"/>
      <c r="U5727" s="161"/>
      <c r="V5727" s="161"/>
      <c r="W5727" s="161"/>
      <c r="X5727" s="161"/>
      <c r="Y5727" s="161"/>
      <c r="Z5727" s="168"/>
      <c r="AA5727" s="168"/>
      <c r="AB5727" s="168"/>
      <c r="AC5727" s="168"/>
    </row>
    <row r="5728">
      <c r="A5728" s="161"/>
      <c r="B5728" s="161"/>
      <c r="C5728" s="162"/>
      <c r="D5728" s="163"/>
      <c r="E5728" s="163"/>
      <c r="F5728" s="163"/>
      <c r="G5728" s="163"/>
      <c r="H5728" s="163"/>
      <c r="I5728" s="163"/>
      <c r="J5728" s="165"/>
      <c r="K5728" s="165"/>
      <c r="L5728" s="165"/>
      <c r="M5728" s="166"/>
      <c r="N5728" s="167"/>
      <c r="O5728" s="163"/>
      <c r="P5728" s="163"/>
      <c r="Q5728" s="163"/>
      <c r="R5728" s="163"/>
      <c r="S5728" s="161"/>
      <c r="T5728" s="161"/>
      <c r="U5728" s="161"/>
      <c r="V5728" s="161"/>
      <c r="W5728" s="161"/>
      <c r="X5728" s="161"/>
      <c r="Y5728" s="161"/>
      <c r="Z5728" s="168"/>
      <c r="AA5728" s="168"/>
      <c r="AB5728" s="168"/>
      <c r="AC5728" s="168"/>
    </row>
    <row r="5729">
      <c r="A5729" s="161"/>
      <c r="B5729" s="161"/>
      <c r="C5729" s="162"/>
      <c r="D5729" s="163"/>
      <c r="E5729" s="163"/>
      <c r="F5729" s="163"/>
      <c r="G5729" s="163"/>
      <c r="H5729" s="163"/>
      <c r="I5729" s="163"/>
      <c r="J5729" s="165"/>
      <c r="K5729" s="165"/>
      <c r="L5729" s="165"/>
      <c r="M5729" s="166"/>
      <c r="N5729" s="167"/>
      <c r="O5729" s="163"/>
      <c r="P5729" s="163"/>
      <c r="Q5729" s="163"/>
      <c r="R5729" s="163"/>
      <c r="S5729" s="161"/>
      <c r="T5729" s="161"/>
      <c r="U5729" s="161"/>
      <c r="V5729" s="161"/>
      <c r="W5729" s="161"/>
      <c r="X5729" s="161"/>
      <c r="Y5729" s="161"/>
      <c r="Z5729" s="168"/>
      <c r="AA5729" s="168"/>
      <c r="AB5729" s="168"/>
      <c r="AC5729" s="168"/>
    </row>
    <row r="5730">
      <c r="A5730" s="161"/>
      <c r="B5730" s="161"/>
      <c r="C5730" s="162"/>
      <c r="D5730" s="163"/>
      <c r="E5730" s="163"/>
      <c r="F5730" s="163"/>
      <c r="G5730" s="163"/>
      <c r="H5730" s="163"/>
      <c r="I5730" s="163"/>
      <c r="J5730" s="165"/>
      <c r="K5730" s="165"/>
      <c r="L5730" s="165"/>
      <c r="M5730" s="166"/>
      <c r="N5730" s="167"/>
      <c r="O5730" s="163"/>
      <c r="P5730" s="163"/>
      <c r="Q5730" s="163"/>
      <c r="R5730" s="163"/>
      <c r="S5730" s="161"/>
      <c r="T5730" s="161"/>
      <c r="U5730" s="161"/>
      <c r="V5730" s="161"/>
      <c r="W5730" s="161"/>
      <c r="X5730" s="161"/>
      <c r="Y5730" s="161"/>
      <c r="Z5730" s="168"/>
      <c r="AA5730" s="168"/>
      <c r="AB5730" s="168"/>
      <c r="AC5730" s="168"/>
    </row>
    <row r="5731">
      <c r="A5731" s="161"/>
      <c r="B5731" s="161"/>
      <c r="C5731" s="162"/>
      <c r="D5731" s="163"/>
      <c r="E5731" s="163"/>
      <c r="F5731" s="163"/>
      <c r="G5731" s="163"/>
      <c r="H5731" s="163"/>
      <c r="I5731" s="163"/>
      <c r="J5731" s="165"/>
      <c r="K5731" s="165"/>
      <c r="L5731" s="165"/>
      <c r="M5731" s="166"/>
      <c r="N5731" s="167"/>
      <c r="O5731" s="163"/>
      <c r="P5731" s="163"/>
      <c r="Q5731" s="163"/>
      <c r="R5731" s="163"/>
      <c r="S5731" s="161"/>
      <c r="T5731" s="161"/>
      <c r="U5731" s="161"/>
      <c r="V5731" s="161"/>
      <c r="W5731" s="161"/>
      <c r="X5731" s="161"/>
      <c r="Y5731" s="161"/>
      <c r="Z5731" s="168"/>
      <c r="AA5731" s="168"/>
      <c r="AB5731" s="168"/>
      <c r="AC5731" s="168"/>
    </row>
    <row r="5732">
      <c r="A5732" s="161"/>
      <c r="B5732" s="161"/>
      <c r="C5732" s="162"/>
      <c r="D5732" s="163"/>
      <c r="E5732" s="163"/>
      <c r="F5732" s="163"/>
      <c r="G5732" s="163"/>
      <c r="H5732" s="163"/>
      <c r="I5732" s="163"/>
      <c r="J5732" s="165"/>
      <c r="K5732" s="165"/>
      <c r="L5732" s="165"/>
      <c r="M5732" s="166"/>
      <c r="N5732" s="167"/>
      <c r="O5732" s="163"/>
      <c r="P5732" s="163"/>
      <c r="Q5732" s="163"/>
      <c r="R5732" s="163"/>
      <c r="S5732" s="161"/>
      <c r="T5732" s="161"/>
      <c r="U5732" s="161"/>
      <c r="V5732" s="161"/>
      <c r="W5732" s="161"/>
      <c r="X5732" s="161"/>
      <c r="Y5732" s="161"/>
      <c r="Z5732" s="168"/>
      <c r="AA5732" s="168"/>
      <c r="AB5732" s="168"/>
      <c r="AC5732" s="168"/>
    </row>
    <row r="5733">
      <c r="A5733" s="161"/>
      <c r="B5733" s="161"/>
      <c r="C5733" s="162"/>
      <c r="D5733" s="163"/>
      <c r="E5733" s="163"/>
      <c r="F5733" s="163"/>
      <c r="G5733" s="163"/>
      <c r="H5733" s="163"/>
      <c r="I5733" s="163"/>
      <c r="J5733" s="165"/>
      <c r="K5733" s="165"/>
      <c r="L5733" s="165"/>
      <c r="M5733" s="166"/>
      <c r="N5733" s="167"/>
      <c r="O5733" s="163"/>
      <c r="P5733" s="163"/>
      <c r="Q5733" s="163"/>
      <c r="R5733" s="163"/>
      <c r="S5733" s="161"/>
      <c r="T5733" s="161"/>
      <c r="U5733" s="161"/>
      <c r="V5733" s="161"/>
      <c r="W5733" s="161"/>
      <c r="X5733" s="161"/>
      <c r="Y5733" s="161"/>
      <c r="Z5733" s="168"/>
      <c r="AA5733" s="168"/>
      <c r="AB5733" s="168"/>
      <c r="AC5733" s="168"/>
    </row>
    <row r="5734">
      <c r="A5734" s="161"/>
      <c r="B5734" s="161"/>
      <c r="C5734" s="162"/>
      <c r="D5734" s="163"/>
      <c r="E5734" s="163"/>
      <c r="F5734" s="163"/>
      <c r="G5734" s="163"/>
      <c r="H5734" s="163"/>
      <c r="I5734" s="163"/>
      <c r="J5734" s="165"/>
      <c r="K5734" s="165"/>
      <c r="L5734" s="165"/>
      <c r="M5734" s="166"/>
      <c r="N5734" s="167"/>
      <c r="O5734" s="163"/>
      <c r="P5734" s="163"/>
      <c r="Q5734" s="163"/>
      <c r="R5734" s="163"/>
      <c r="S5734" s="161"/>
      <c r="T5734" s="161"/>
      <c r="U5734" s="161"/>
      <c r="V5734" s="161"/>
      <c r="W5734" s="161"/>
      <c r="X5734" s="161"/>
      <c r="Y5734" s="161"/>
      <c r="Z5734" s="168"/>
      <c r="AA5734" s="168"/>
      <c r="AB5734" s="168"/>
      <c r="AC5734" s="168"/>
    </row>
    <row r="5735">
      <c r="A5735" s="161"/>
      <c r="B5735" s="161"/>
      <c r="C5735" s="162"/>
      <c r="D5735" s="163"/>
      <c r="E5735" s="163"/>
      <c r="F5735" s="163"/>
      <c r="G5735" s="163"/>
      <c r="H5735" s="163"/>
      <c r="I5735" s="163"/>
      <c r="J5735" s="165"/>
      <c r="K5735" s="165"/>
      <c r="L5735" s="165"/>
      <c r="M5735" s="166"/>
      <c r="N5735" s="167"/>
      <c r="O5735" s="163"/>
      <c r="P5735" s="163"/>
      <c r="Q5735" s="163"/>
      <c r="R5735" s="163"/>
      <c r="S5735" s="161"/>
      <c r="T5735" s="161"/>
      <c r="U5735" s="161"/>
      <c r="V5735" s="161"/>
      <c r="W5735" s="161"/>
      <c r="X5735" s="161"/>
      <c r="Y5735" s="161"/>
      <c r="Z5735" s="168"/>
      <c r="AA5735" s="168"/>
      <c r="AB5735" s="168"/>
      <c r="AC5735" s="168"/>
    </row>
    <row r="5736">
      <c r="A5736" s="161"/>
      <c r="B5736" s="161"/>
      <c r="C5736" s="162"/>
      <c r="D5736" s="163"/>
      <c r="E5736" s="163"/>
      <c r="F5736" s="163"/>
      <c r="G5736" s="163"/>
      <c r="H5736" s="163"/>
      <c r="I5736" s="163"/>
      <c r="J5736" s="165"/>
      <c r="K5736" s="165"/>
      <c r="L5736" s="165"/>
      <c r="M5736" s="166"/>
      <c r="N5736" s="167"/>
      <c r="O5736" s="163"/>
      <c r="P5736" s="163"/>
      <c r="Q5736" s="163"/>
      <c r="R5736" s="163"/>
      <c r="S5736" s="161"/>
      <c r="T5736" s="161"/>
      <c r="U5736" s="161"/>
      <c r="V5736" s="161"/>
      <c r="W5736" s="161"/>
      <c r="X5736" s="161"/>
      <c r="Y5736" s="161"/>
      <c r="Z5736" s="168"/>
      <c r="AA5736" s="168"/>
      <c r="AB5736" s="168"/>
      <c r="AC5736" s="168"/>
    </row>
    <row r="5737">
      <c r="A5737" s="161"/>
      <c r="B5737" s="161"/>
      <c r="C5737" s="162"/>
      <c r="D5737" s="163"/>
      <c r="E5737" s="163"/>
      <c r="F5737" s="163"/>
      <c r="G5737" s="163"/>
      <c r="H5737" s="163"/>
      <c r="I5737" s="163"/>
      <c r="J5737" s="165"/>
      <c r="K5737" s="165"/>
      <c r="L5737" s="165"/>
      <c r="M5737" s="166"/>
      <c r="N5737" s="167"/>
      <c r="O5737" s="163"/>
      <c r="P5737" s="163"/>
      <c r="Q5737" s="163"/>
      <c r="R5737" s="163"/>
      <c r="S5737" s="161"/>
      <c r="T5737" s="161"/>
      <c r="U5737" s="161"/>
      <c r="V5737" s="161"/>
      <c r="W5737" s="161"/>
      <c r="X5737" s="161"/>
      <c r="Y5737" s="161"/>
      <c r="Z5737" s="168"/>
      <c r="AA5737" s="168"/>
      <c r="AB5737" s="168"/>
      <c r="AC5737" s="168"/>
    </row>
    <row r="5738">
      <c r="A5738" s="161"/>
      <c r="B5738" s="161"/>
      <c r="C5738" s="162"/>
      <c r="D5738" s="163"/>
      <c r="E5738" s="163"/>
      <c r="F5738" s="163"/>
      <c r="G5738" s="163"/>
      <c r="H5738" s="163"/>
      <c r="I5738" s="163"/>
      <c r="J5738" s="165"/>
      <c r="K5738" s="165"/>
      <c r="L5738" s="165"/>
      <c r="M5738" s="166"/>
      <c r="N5738" s="167"/>
      <c r="O5738" s="163"/>
      <c r="P5738" s="163"/>
      <c r="Q5738" s="163"/>
      <c r="R5738" s="163"/>
      <c r="S5738" s="161"/>
      <c r="T5738" s="161"/>
      <c r="U5738" s="161"/>
      <c r="V5738" s="161"/>
      <c r="W5738" s="161"/>
      <c r="X5738" s="161"/>
      <c r="Y5738" s="161"/>
      <c r="Z5738" s="168"/>
      <c r="AA5738" s="168"/>
      <c r="AB5738" s="168"/>
      <c r="AC5738" s="168"/>
    </row>
    <row r="5739">
      <c r="A5739" s="161"/>
      <c r="B5739" s="161"/>
      <c r="C5739" s="162"/>
      <c r="D5739" s="163"/>
      <c r="E5739" s="163"/>
      <c r="F5739" s="163"/>
      <c r="G5739" s="163"/>
      <c r="H5739" s="163"/>
      <c r="I5739" s="163"/>
      <c r="J5739" s="165"/>
      <c r="K5739" s="165"/>
      <c r="L5739" s="165"/>
      <c r="M5739" s="166"/>
      <c r="N5739" s="167"/>
      <c r="O5739" s="163"/>
      <c r="P5739" s="163"/>
      <c r="Q5739" s="163"/>
      <c r="R5739" s="163"/>
      <c r="S5739" s="161"/>
      <c r="T5739" s="161"/>
      <c r="U5739" s="161"/>
      <c r="V5739" s="161"/>
      <c r="W5739" s="161"/>
      <c r="X5739" s="161"/>
      <c r="Y5739" s="161"/>
      <c r="Z5739" s="168"/>
      <c r="AA5739" s="168"/>
      <c r="AB5739" s="168"/>
      <c r="AC5739" s="168"/>
    </row>
    <row r="5740">
      <c r="A5740" s="161"/>
      <c r="B5740" s="161"/>
      <c r="C5740" s="162"/>
      <c r="D5740" s="163"/>
      <c r="E5740" s="163"/>
      <c r="F5740" s="163"/>
      <c r="G5740" s="163"/>
      <c r="H5740" s="163"/>
      <c r="I5740" s="163"/>
      <c r="J5740" s="165"/>
      <c r="K5740" s="165"/>
      <c r="L5740" s="165"/>
      <c r="M5740" s="166"/>
      <c r="N5740" s="167"/>
      <c r="O5740" s="163"/>
      <c r="P5740" s="163"/>
      <c r="Q5740" s="163"/>
      <c r="R5740" s="163"/>
      <c r="S5740" s="161"/>
      <c r="T5740" s="161"/>
      <c r="U5740" s="161"/>
      <c r="V5740" s="161"/>
      <c r="W5740" s="161"/>
      <c r="X5740" s="161"/>
      <c r="Y5740" s="161"/>
      <c r="Z5740" s="168"/>
      <c r="AA5740" s="168"/>
      <c r="AB5740" s="168"/>
      <c r="AC5740" s="168"/>
    </row>
    <row r="5741">
      <c r="A5741" s="161"/>
      <c r="B5741" s="161"/>
      <c r="C5741" s="162"/>
      <c r="D5741" s="163"/>
      <c r="E5741" s="163"/>
      <c r="F5741" s="163"/>
      <c r="G5741" s="163"/>
      <c r="H5741" s="163"/>
      <c r="I5741" s="163"/>
      <c r="J5741" s="165"/>
      <c r="K5741" s="165"/>
      <c r="L5741" s="165"/>
      <c r="M5741" s="166"/>
      <c r="N5741" s="167"/>
      <c r="O5741" s="163"/>
      <c r="P5741" s="163"/>
      <c r="Q5741" s="163"/>
      <c r="R5741" s="163"/>
      <c r="S5741" s="161"/>
      <c r="T5741" s="161"/>
      <c r="U5741" s="161"/>
      <c r="V5741" s="161"/>
      <c r="W5741" s="161"/>
      <c r="X5741" s="161"/>
      <c r="Y5741" s="161"/>
      <c r="Z5741" s="168"/>
      <c r="AA5741" s="168"/>
      <c r="AB5741" s="168"/>
      <c r="AC5741" s="168"/>
    </row>
    <row r="5742">
      <c r="A5742" s="161"/>
      <c r="B5742" s="161"/>
      <c r="C5742" s="162"/>
      <c r="D5742" s="163"/>
      <c r="E5742" s="163"/>
      <c r="F5742" s="163"/>
      <c r="G5742" s="163"/>
      <c r="H5742" s="163"/>
      <c r="I5742" s="163"/>
      <c r="J5742" s="165"/>
      <c r="K5742" s="165"/>
      <c r="L5742" s="165"/>
      <c r="M5742" s="166"/>
      <c r="N5742" s="167"/>
      <c r="O5742" s="163"/>
      <c r="P5742" s="163"/>
      <c r="Q5742" s="163"/>
      <c r="R5742" s="163"/>
      <c r="S5742" s="161"/>
      <c r="T5742" s="161"/>
      <c r="U5742" s="161"/>
      <c r="V5742" s="161"/>
      <c r="W5742" s="161"/>
      <c r="X5742" s="161"/>
      <c r="Y5742" s="161"/>
      <c r="Z5742" s="168"/>
      <c r="AA5742" s="168"/>
      <c r="AB5742" s="168"/>
      <c r="AC5742" s="168"/>
    </row>
    <row r="5743">
      <c r="A5743" s="161"/>
      <c r="B5743" s="161"/>
      <c r="C5743" s="162"/>
      <c r="D5743" s="163"/>
      <c r="E5743" s="163"/>
      <c r="F5743" s="163"/>
      <c r="G5743" s="163"/>
      <c r="H5743" s="163"/>
      <c r="I5743" s="163"/>
      <c r="J5743" s="165"/>
      <c r="K5743" s="165"/>
      <c r="L5743" s="165"/>
      <c r="M5743" s="166"/>
      <c r="N5743" s="167"/>
      <c r="O5743" s="163"/>
      <c r="P5743" s="163"/>
      <c r="Q5743" s="163"/>
      <c r="R5743" s="163"/>
      <c r="S5743" s="161"/>
      <c r="T5743" s="161"/>
      <c r="U5743" s="161"/>
      <c r="V5743" s="161"/>
      <c r="W5743" s="161"/>
      <c r="X5743" s="161"/>
      <c r="Y5743" s="161"/>
      <c r="Z5743" s="168"/>
      <c r="AA5743" s="168"/>
      <c r="AB5743" s="168"/>
      <c r="AC5743" s="168"/>
    </row>
    <row r="5744">
      <c r="A5744" s="161"/>
      <c r="B5744" s="161"/>
      <c r="C5744" s="162"/>
      <c r="D5744" s="163"/>
      <c r="E5744" s="163"/>
      <c r="F5744" s="163"/>
      <c r="G5744" s="163"/>
      <c r="H5744" s="163"/>
      <c r="I5744" s="163"/>
      <c r="J5744" s="165"/>
      <c r="K5744" s="165"/>
      <c r="L5744" s="165"/>
      <c r="M5744" s="166"/>
      <c r="N5744" s="167"/>
      <c r="O5744" s="163"/>
      <c r="P5744" s="163"/>
      <c r="Q5744" s="163"/>
      <c r="R5744" s="163"/>
      <c r="S5744" s="161"/>
      <c r="T5744" s="161"/>
      <c r="U5744" s="161"/>
      <c r="V5744" s="161"/>
      <c r="W5744" s="161"/>
      <c r="X5744" s="161"/>
      <c r="Y5744" s="161"/>
      <c r="Z5744" s="168"/>
      <c r="AA5744" s="168"/>
      <c r="AB5744" s="168"/>
      <c r="AC5744" s="168"/>
    </row>
    <row r="5745">
      <c r="A5745" s="161"/>
      <c r="B5745" s="161"/>
      <c r="C5745" s="162"/>
      <c r="D5745" s="163"/>
      <c r="E5745" s="163"/>
      <c r="F5745" s="163"/>
      <c r="G5745" s="163"/>
      <c r="H5745" s="163"/>
      <c r="I5745" s="163"/>
      <c r="J5745" s="165"/>
      <c r="K5745" s="165"/>
      <c r="L5745" s="165"/>
      <c r="M5745" s="166"/>
      <c r="N5745" s="167"/>
      <c r="O5745" s="163"/>
      <c r="P5745" s="163"/>
      <c r="Q5745" s="163"/>
      <c r="R5745" s="163"/>
      <c r="S5745" s="161"/>
      <c r="T5745" s="161"/>
      <c r="U5745" s="161"/>
      <c r="V5745" s="161"/>
      <c r="W5745" s="161"/>
      <c r="X5745" s="161"/>
      <c r="Y5745" s="161"/>
      <c r="Z5745" s="168"/>
      <c r="AA5745" s="168"/>
      <c r="AB5745" s="168"/>
      <c r="AC5745" s="168"/>
    </row>
    <row r="5746">
      <c r="A5746" s="161"/>
      <c r="B5746" s="161"/>
      <c r="C5746" s="162"/>
      <c r="D5746" s="163"/>
      <c r="E5746" s="163"/>
      <c r="F5746" s="163"/>
      <c r="G5746" s="163"/>
      <c r="H5746" s="163"/>
      <c r="I5746" s="163"/>
      <c r="J5746" s="165"/>
      <c r="K5746" s="165"/>
      <c r="L5746" s="165"/>
      <c r="M5746" s="166"/>
      <c r="N5746" s="167"/>
      <c r="O5746" s="163"/>
      <c r="P5746" s="163"/>
      <c r="Q5746" s="163"/>
      <c r="R5746" s="163"/>
      <c r="S5746" s="161"/>
      <c r="T5746" s="161"/>
      <c r="U5746" s="161"/>
      <c r="V5746" s="161"/>
      <c r="W5746" s="161"/>
      <c r="X5746" s="161"/>
      <c r="Y5746" s="161"/>
      <c r="Z5746" s="168"/>
      <c r="AA5746" s="168"/>
      <c r="AB5746" s="168"/>
      <c r="AC5746" s="168"/>
    </row>
    <row r="5747">
      <c r="A5747" s="161"/>
      <c r="B5747" s="161"/>
      <c r="C5747" s="162"/>
      <c r="D5747" s="163"/>
      <c r="E5747" s="163"/>
      <c r="F5747" s="163"/>
      <c r="G5747" s="163"/>
      <c r="H5747" s="163"/>
      <c r="I5747" s="163"/>
      <c r="J5747" s="165"/>
      <c r="K5747" s="165"/>
      <c r="L5747" s="165"/>
      <c r="M5747" s="166"/>
      <c r="N5747" s="167"/>
      <c r="O5747" s="163"/>
      <c r="P5747" s="163"/>
      <c r="Q5747" s="163"/>
      <c r="R5747" s="163"/>
      <c r="S5747" s="161"/>
      <c r="T5747" s="161"/>
      <c r="U5747" s="161"/>
      <c r="V5747" s="161"/>
      <c r="W5747" s="161"/>
      <c r="X5747" s="161"/>
      <c r="Y5747" s="161"/>
      <c r="Z5747" s="168"/>
      <c r="AA5747" s="168"/>
      <c r="AB5747" s="168"/>
      <c r="AC5747" s="168"/>
    </row>
    <row r="5748">
      <c r="A5748" s="161"/>
      <c r="B5748" s="161"/>
      <c r="C5748" s="162"/>
      <c r="D5748" s="163"/>
      <c r="E5748" s="163"/>
      <c r="F5748" s="163"/>
      <c r="G5748" s="163"/>
      <c r="H5748" s="163"/>
      <c r="I5748" s="163"/>
      <c r="J5748" s="165"/>
      <c r="K5748" s="165"/>
      <c r="L5748" s="165"/>
      <c r="M5748" s="166"/>
      <c r="N5748" s="167"/>
      <c r="O5748" s="163"/>
      <c r="P5748" s="163"/>
      <c r="Q5748" s="163"/>
      <c r="R5748" s="163"/>
      <c r="S5748" s="161"/>
      <c r="T5748" s="161"/>
      <c r="U5748" s="161"/>
      <c r="V5748" s="161"/>
      <c r="W5748" s="161"/>
      <c r="X5748" s="161"/>
      <c r="Y5748" s="161"/>
      <c r="Z5748" s="168"/>
      <c r="AA5748" s="168"/>
      <c r="AB5748" s="168"/>
      <c r="AC5748" s="168"/>
    </row>
    <row r="5749">
      <c r="A5749" s="161"/>
      <c r="B5749" s="161"/>
      <c r="C5749" s="162"/>
      <c r="D5749" s="163"/>
      <c r="E5749" s="163"/>
      <c r="F5749" s="163"/>
      <c r="G5749" s="163"/>
      <c r="H5749" s="163"/>
      <c r="I5749" s="163"/>
      <c r="J5749" s="165"/>
      <c r="K5749" s="165"/>
      <c r="L5749" s="165"/>
      <c r="M5749" s="166"/>
      <c r="N5749" s="167"/>
      <c r="O5749" s="163"/>
      <c r="P5749" s="163"/>
      <c r="Q5749" s="163"/>
      <c r="R5749" s="163"/>
      <c r="S5749" s="161"/>
      <c r="T5749" s="161"/>
      <c r="U5749" s="161"/>
      <c r="V5749" s="161"/>
      <c r="W5749" s="161"/>
      <c r="X5749" s="161"/>
      <c r="Y5749" s="161"/>
      <c r="Z5749" s="168"/>
      <c r="AA5749" s="168"/>
      <c r="AB5749" s="168"/>
      <c r="AC5749" s="168"/>
    </row>
    <row r="5750">
      <c r="A5750" s="161"/>
      <c r="B5750" s="161"/>
      <c r="C5750" s="162"/>
      <c r="D5750" s="163"/>
      <c r="E5750" s="163"/>
      <c r="F5750" s="163"/>
      <c r="G5750" s="163"/>
      <c r="H5750" s="163"/>
      <c r="I5750" s="163"/>
      <c r="J5750" s="165"/>
      <c r="K5750" s="165"/>
      <c r="L5750" s="165"/>
      <c r="M5750" s="166"/>
      <c r="N5750" s="167"/>
      <c r="O5750" s="163"/>
      <c r="P5750" s="163"/>
      <c r="Q5750" s="163"/>
      <c r="R5750" s="163"/>
      <c r="S5750" s="161"/>
      <c r="T5750" s="161"/>
      <c r="U5750" s="161"/>
      <c r="V5750" s="161"/>
      <c r="W5750" s="161"/>
      <c r="X5750" s="161"/>
      <c r="Y5750" s="161"/>
      <c r="Z5750" s="168"/>
      <c r="AA5750" s="168"/>
      <c r="AB5750" s="168"/>
      <c r="AC5750" s="168"/>
    </row>
    <row r="5751">
      <c r="A5751" s="161"/>
      <c r="B5751" s="161"/>
      <c r="C5751" s="162"/>
      <c r="D5751" s="163"/>
      <c r="E5751" s="163"/>
      <c r="F5751" s="163"/>
      <c r="G5751" s="163"/>
      <c r="H5751" s="163"/>
      <c r="I5751" s="163"/>
      <c r="J5751" s="165"/>
      <c r="K5751" s="165"/>
      <c r="L5751" s="165"/>
      <c r="M5751" s="166"/>
      <c r="N5751" s="167"/>
      <c r="O5751" s="163"/>
      <c r="P5751" s="163"/>
      <c r="Q5751" s="163"/>
      <c r="R5751" s="163"/>
      <c r="S5751" s="161"/>
      <c r="T5751" s="161"/>
      <c r="U5751" s="161"/>
      <c r="V5751" s="161"/>
      <c r="W5751" s="161"/>
      <c r="X5751" s="161"/>
      <c r="Y5751" s="161"/>
      <c r="Z5751" s="168"/>
      <c r="AA5751" s="168"/>
      <c r="AB5751" s="168"/>
      <c r="AC5751" s="168"/>
    </row>
    <row r="5752">
      <c r="A5752" s="161"/>
      <c r="B5752" s="161"/>
      <c r="C5752" s="162"/>
      <c r="D5752" s="163"/>
      <c r="E5752" s="163"/>
      <c r="F5752" s="163"/>
      <c r="G5752" s="163"/>
      <c r="H5752" s="163"/>
      <c r="I5752" s="163"/>
      <c r="J5752" s="165"/>
      <c r="K5752" s="165"/>
      <c r="L5752" s="165"/>
      <c r="M5752" s="166"/>
      <c r="N5752" s="167"/>
      <c r="O5752" s="163"/>
      <c r="P5752" s="163"/>
      <c r="Q5752" s="163"/>
      <c r="R5752" s="163"/>
      <c r="S5752" s="161"/>
      <c r="T5752" s="161"/>
      <c r="U5752" s="161"/>
      <c r="V5752" s="161"/>
      <c r="W5752" s="161"/>
      <c r="X5752" s="161"/>
      <c r="Y5752" s="161"/>
      <c r="Z5752" s="168"/>
      <c r="AA5752" s="168"/>
      <c r="AB5752" s="168"/>
      <c r="AC5752" s="168"/>
    </row>
    <row r="5753">
      <c r="A5753" s="161"/>
      <c r="B5753" s="161"/>
      <c r="C5753" s="162"/>
      <c r="D5753" s="163"/>
      <c r="E5753" s="163"/>
      <c r="F5753" s="163"/>
      <c r="G5753" s="163"/>
      <c r="H5753" s="163"/>
      <c r="I5753" s="163"/>
      <c r="J5753" s="165"/>
      <c r="K5753" s="165"/>
      <c r="L5753" s="165"/>
      <c r="M5753" s="166"/>
      <c r="N5753" s="167"/>
      <c r="O5753" s="163"/>
      <c r="P5753" s="163"/>
      <c r="Q5753" s="163"/>
      <c r="R5753" s="163"/>
      <c r="S5753" s="161"/>
      <c r="T5753" s="161"/>
      <c r="U5753" s="161"/>
      <c r="V5753" s="161"/>
      <c r="W5753" s="161"/>
      <c r="X5753" s="161"/>
      <c r="Y5753" s="161"/>
      <c r="Z5753" s="168"/>
      <c r="AA5753" s="168"/>
      <c r="AB5753" s="168"/>
      <c r="AC5753" s="168"/>
    </row>
    <row r="5754">
      <c r="A5754" s="161"/>
      <c r="B5754" s="161"/>
      <c r="C5754" s="162"/>
      <c r="D5754" s="163"/>
      <c r="E5754" s="163"/>
      <c r="F5754" s="163"/>
      <c r="G5754" s="163"/>
      <c r="H5754" s="163"/>
      <c r="I5754" s="163"/>
      <c r="J5754" s="165"/>
      <c r="K5754" s="165"/>
      <c r="L5754" s="165"/>
      <c r="M5754" s="166"/>
      <c r="N5754" s="167"/>
      <c r="O5754" s="163"/>
      <c r="P5754" s="163"/>
      <c r="Q5754" s="163"/>
      <c r="R5754" s="163"/>
      <c r="S5754" s="161"/>
      <c r="T5754" s="161"/>
      <c r="U5754" s="161"/>
      <c r="V5754" s="161"/>
      <c r="W5754" s="161"/>
      <c r="X5754" s="161"/>
      <c r="Y5754" s="161"/>
      <c r="Z5754" s="168"/>
      <c r="AA5754" s="168"/>
      <c r="AB5754" s="168"/>
      <c r="AC5754" s="168"/>
    </row>
    <row r="5755">
      <c r="A5755" s="161"/>
      <c r="B5755" s="161"/>
      <c r="C5755" s="162"/>
      <c r="D5755" s="163"/>
      <c r="E5755" s="163"/>
      <c r="F5755" s="163"/>
      <c r="G5755" s="163"/>
      <c r="H5755" s="163"/>
      <c r="I5755" s="163"/>
      <c r="J5755" s="165"/>
      <c r="K5755" s="165"/>
      <c r="L5755" s="165"/>
      <c r="M5755" s="166"/>
      <c r="N5755" s="167"/>
      <c r="O5755" s="163"/>
      <c r="P5755" s="163"/>
      <c r="Q5755" s="163"/>
      <c r="R5755" s="163"/>
      <c r="S5755" s="161"/>
      <c r="T5755" s="161"/>
      <c r="U5755" s="161"/>
      <c r="V5755" s="161"/>
      <c r="W5755" s="161"/>
      <c r="X5755" s="161"/>
      <c r="Y5755" s="161"/>
      <c r="Z5755" s="168"/>
      <c r="AA5755" s="168"/>
      <c r="AB5755" s="168"/>
      <c r="AC5755" s="168"/>
    </row>
    <row r="5756">
      <c r="A5756" s="161"/>
      <c r="B5756" s="161"/>
      <c r="C5756" s="162"/>
      <c r="D5756" s="163"/>
      <c r="E5756" s="163"/>
      <c r="F5756" s="163"/>
      <c r="G5756" s="163"/>
      <c r="H5756" s="163"/>
      <c r="I5756" s="163"/>
      <c r="J5756" s="165"/>
      <c r="K5756" s="165"/>
      <c r="L5756" s="165"/>
      <c r="M5756" s="166"/>
      <c r="N5756" s="167"/>
      <c r="O5756" s="163"/>
      <c r="P5756" s="163"/>
      <c r="Q5756" s="163"/>
      <c r="R5756" s="163"/>
      <c r="S5756" s="161"/>
      <c r="T5756" s="161"/>
      <c r="U5756" s="161"/>
      <c r="V5756" s="161"/>
      <c r="W5756" s="161"/>
      <c r="X5756" s="161"/>
      <c r="Y5756" s="161"/>
      <c r="Z5756" s="168"/>
      <c r="AA5756" s="168"/>
      <c r="AB5756" s="168"/>
      <c r="AC5756" s="168"/>
    </row>
    <row r="5757">
      <c r="A5757" s="161"/>
      <c r="B5757" s="161"/>
      <c r="C5757" s="162"/>
      <c r="D5757" s="163"/>
      <c r="E5757" s="163"/>
      <c r="F5757" s="163"/>
      <c r="G5757" s="163"/>
      <c r="H5757" s="163"/>
      <c r="I5757" s="163"/>
      <c r="J5757" s="165"/>
      <c r="K5757" s="165"/>
      <c r="L5757" s="165"/>
      <c r="M5757" s="166"/>
      <c r="N5757" s="167"/>
      <c r="O5757" s="163"/>
      <c r="P5757" s="163"/>
      <c r="Q5757" s="163"/>
      <c r="R5757" s="163"/>
      <c r="S5757" s="161"/>
      <c r="T5757" s="161"/>
      <c r="U5757" s="161"/>
      <c r="V5757" s="161"/>
      <c r="W5757" s="161"/>
      <c r="X5757" s="161"/>
      <c r="Y5757" s="161"/>
      <c r="Z5757" s="168"/>
      <c r="AA5757" s="168"/>
      <c r="AB5757" s="168"/>
      <c r="AC5757" s="168"/>
    </row>
    <row r="5758">
      <c r="A5758" s="161"/>
      <c r="B5758" s="161"/>
      <c r="C5758" s="162"/>
      <c r="D5758" s="163"/>
      <c r="E5758" s="163"/>
      <c r="F5758" s="163"/>
      <c r="G5758" s="163"/>
      <c r="H5758" s="163"/>
      <c r="I5758" s="163"/>
      <c r="J5758" s="165"/>
      <c r="K5758" s="165"/>
      <c r="L5758" s="165"/>
      <c r="M5758" s="166"/>
      <c r="N5758" s="167"/>
      <c r="O5758" s="163"/>
      <c r="P5758" s="163"/>
      <c r="Q5758" s="163"/>
      <c r="R5758" s="163"/>
      <c r="S5758" s="161"/>
      <c r="T5758" s="161"/>
      <c r="U5758" s="161"/>
      <c r="V5758" s="161"/>
      <c r="W5758" s="161"/>
      <c r="X5758" s="161"/>
      <c r="Y5758" s="161"/>
      <c r="Z5758" s="168"/>
      <c r="AA5758" s="168"/>
      <c r="AB5758" s="168"/>
      <c r="AC5758" s="168"/>
    </row>
    <row r="5759">
      <c r="A5759" s="161"/>
      <c r="B5759" s="161"/>
      <c r="C5759" s="162"/>
      <c r="D5759" s="163"/>
      <c r="E5759" s="163"/>
      <c r="F5759" s="163"/>
      <c r="G5759" s="163"/>
      <c r="H5759" s="163"/>
      <c r="I5759" s="163"/>
      <c r="J5759" s="165"/>
      <c r="K5759" s="165"/>
      <c r="L5759" s="165"/>
      <c r="M5759" s="166"/>
      <c r="N5759" s="167"/>
      <c r="O5759" s="163"/>
      <c r="P5759" s="163"/>
      <c r="Q5759" s="163"/>
      <c r="R5759" s="163"/>
      <c r="S5759" s="161"/>
      <c r="T5759" s="161"/>
      <c r="U5759" s="161"/>
      <c r="V5759" s="161"/>
      <c r="W5759" s="161"/>
      <c r="X5759" s="161"/>
      <c r="Y5759" s="161"/>
      <c r="Z5759" s="168"/>
      <c r="AA5759" s="168"/>
      <c r="AB5759" s="168"/>
      <c r="AC5759" s="168"/>
    </row>
    <row r="5760">
      <c r="A5760" s="161"/>
      <c r="B5760" s="161"/>
      <c r="C5760" s="162"/>
      <c r="D5760" s="163"/>
      <c r="E5760" s="163"/>
      <c r="F5760" s="163"/>
      <c r="G5760" s="163"/>
      <c r="H5760" s="163"/>
      <c r="I5760" s="163"/>
      <c r="J5760" s="165"/>
      <c r="K5760" s="165"/>
      <c r="L5760" s="165"/>
      <c r="M5760" s="166"/>
      <c r="N5760" s="167"/>
      <c r="O5760" s="163"/>
      <c r="P5760" s="163"/>
      <c r="Q5760" s="163"/>
      <c r="R5760" s="163"/>
      <c r="S5760" s="161"/>
      <c r="T5760" s="161"/>
      <c r="U5760" s="161"/>
      <c r="V5760" s="161"/>
      <c r="W5760" s="161"/>
      <c r="X5760" s="161"/>
      <c r="Y5760" s="161"/>
      <c r="Z5760" s="168"/>
      <c r="AA5760" s="168"/>
      <c r="AB5760" s="168"/>
      <c r="AC5760" s="168"/>
    </row>
    <row r="5761">
      <c r="A5761" s="161"/>
      <c r="B5761" s="161"/>
      <c r="C5761" s="162"/>
      <c r="D5761" s="163"/>
      <c r="E5761" s="163"/>
      <c r="F5761" s="163"/>
      <c r="G5761" s="163"/>
      <c r="H5761" s="163"/>
      <c r="I5761" s="163"/>
      <c r="J5761" s="165"/>
      <c r="K5761" s="165"/>
      <c r="L5761" s="165"/>
      <c r="M5761" s="166"/>
      <c r="N5761" s="167"/>
      <c r="O5761" s="163"/>
      <c r="P5761" s="163"/>
      <c r="Q5761" s="163"/>
      <c r="R5761" s="163"/>
      <c r="S5761" s="161"/>
      <c r="T5761" s="161"/>
      <c r="U5761" s="161"/>
      <c r="V5761" s="161"/>
      <c r="W5761" s="161"/>
      <c r="X5761" s="161"/>
      <c r="Y5761" s="161"/>
      <c r="Z5761" s="168"/>
      <c r="AA5761" s="168"/>
      <c r="AB5761" s="168"/>
      <c r="AC5761" s="168"/>
    </row>
    <row r="5762">
      <c r="A5762" s="161"/>
      <c r="B5762" s="161"/>
      <c r="C5762" s="162"/>
      <c r="D5762" s="163"/>
      <c r="E5762" s="163"/>
      <c r="F5762" s="163"/>
      <c r="G5762" s="163"/>
      <c r="H5762" s="163"/>
      <c r="I5762" s="163"/>
      <c r="J5762" s="165"/>
      <c r="K5762" s="165"/>
      <c r="L5762" s="165"/>
      <c r="M5762" s="166"/>
      <c r="N5762" s="167"/>
      <c r="O5762" s="163"/>
      <c r="P5762" s="163"/>
      <c r="Q5762" s="163"/>
      <c r="R5762" s="163"/>
      <c r="S5762" s="161"/>
      <c r="T5762" s="161"/>
      <c r="U5762" s="161"/>
      <c r="V5762" s="161"/>
      <c r="W5762" s="161"/>
      <c r="X5762" s="161"/>
      <c r="Y5762" s="161"/>
      <c r="Z5762" s="168"/>
      <c r="AA5762" s="168"/>
      <c r="AB5762" s="168"/>
      <c r="AC5762" s="168"/>
    </row>
    <row r="5763">
      <c r="A5763" s="161"/>
      <c r="B5763" s="161"/>
      <c r="C5763" s="162"/>
      <c r="D5763" s="163"/>
      <c r="E5763" s="163"/>
      <c r="F5763" s="163"/>
      <c r="G5763" s="163"/>
      <c r="H5763" s="163"/>
      <c r="I5763" s="163"/>
      <c r="J5763" s="165"/>
      <c r="K5763" s="165"/>
      <c r="L5763" s="165"/>
      <c r="M5763" s="166"/>
      <c r="N5763" s="167"/>
      <c r="O5763" s="163"/>
      <c r="P5763" s="163"/>
      <c r="Q5763" s="163"/>
      <c r="R5763" s="163"/>
      <c r="S5763" s="161"/>
      <c r="T5763" s="161"/>
      <c r="U5763" s="161"/>
      <c r="V5763" s="161"/>
      <c r="W5763" s="161"/>
      <c r="X5763" s="161"/>
      <c r="Y5763" s="161"/>
      <c r="Z5763" s="168"/>
      <c r="AA5763" s="168"/>
      <c r="AB5763" s="168"/>
      <c r="AC5763" s="168"/>
    </row>
    <row r="5764">
      <c r="A5764" s="161"/>
      <c r="B5764" s="161"/>
      <c r="C5764" s="162"/>
      <c r="D5764" s="163"/>
      <c r="E5764" s="163"/>
      <c r="F5764" s="163"/>
      <c r="G5764" s="163"/>
      <c r="H5764" s="163"/>
      <c r="I5764" s="163"/>
      <c r="J5764" s="165"/>
      <c r="K5764" s="165"/>
      <c r="L5764" s="165"/>
      <c r="M5764" s="166"/>
      <c r="N5764" s="167"/>
      <c r="O5764" s="163"/>
      <c r="P5764" s="163"/>
      <c r="Q5764" s="163"/>
      <c r="R5764" s="163"/>
      <c r="S5764" s="161"/>
      <c r="T5764" s="161"/>
      <c r="U5764" s="161"/>
      <c r="V5764" s="161"/>
      <c r="W5764" s="161"/>
      <c r="X5764" s="161"/>
      <c r="Y5764" s="161"/>
      <c r="Z5764" s="168"/>
      <c r="AA5764" s="168"/>
      <c r="AB5764" s="168"/>
      <c r="AC5764" s="168"/>
    </row>
    <row r="5765">
      <c r="A5765" s="161"/>
      <c r="B5765" s="161"/>
      <c r="C5765" s="162"/>
      <c r="D5765" s="163"/>
      <c r="E5765" s="163"/>
      <c r="F5765" s="163"/>
      <c r="G5765" s="163"/>
      <c r="H5765" s="163"/>
      <c r="I5765" s="163"/>
      <c r="J5765" s="165"/>
      <c r="K5765" s="165"/>
      <c r="L5765" s="165"/>
      <c r="M5765" s="166"/>
      <c r="N5765" s="167"/>
      <c r="O5765" s="163"/>
      <c r="P5765" s="163"/>
      <c r="Q5765" s="163"/>
      <c r="R5765" s="163"/>
      <c r="S5765" s="161"/>
      <c r="T5765" s="161"/>
      <c r="U5765" s="161"/>
      <c r="V5765" s="161"/>
      <c r="W5765" s="161"/>
      <c r="X5765" s="161"/>
      <c r="Y5765" s="161"/>
      <c r="Z5765" s="168"/>
      <c r="AA5765" s="168"/>
      <c r="AB5765" s="168"/>
      <c r="AC5765" s="168"/>
    </row>
    <row r="5766">
      <c r="A5766" s="161"/>
      <c r="B5766" s="161"/>
      <c r="C5766" s="162"/>
      <c r="D5766" s="163"/>
      <c r="E5766" s="163"/>
      <c r="F5766" s="163"/>
      <c r="G5766" s="163"/>
      <c r="H5766" s="163"/>
      <c r="I5766" s="163"/>
      <c r="J5766" s="165"/>
      <c r="K5766" s="165"/>
      <c r="L5766" s="165"/>
      <c r="M5766" s="166"/>
      <c r="N5766" s="167"/>
      <c r="O5766" s="163"/>
      <c r="P5766" s="163"/>
      <c r="Q5766" s="163"/>
      <c r="R5766" s="163"/>
      <c r="S5766" s="161"/>
      <c r="T5766" s="161"/>
      <c r="U5766" s="161"/>
      <c r="V5766" s="161"/>
      <c r="W5766" s="161"/>
      <c r="X5766" s="161"/>
      <c r="Y5766" s="161"/>
      <c r="Z5766" s="168"/>
      <c r="AA5766" s="168"/>
      <c r="AB5766" s="168"/>
      <c r="AC5766" s="168"/>
    </row>
    <row r="5767">
      <c r="A5767" s="161"/>
      <c r="B5767" s="161"/>
      <c r="C5767" s="162"/>
      <c r="D5767" s="163"/>
      <c r="E5767" s="163"/>
      <c r="F5767" s="163"/>
      <c r="G5767" s="163"/>
      <c r="H5767" s="163"/>
      <c r="I5767" s="163"/>
      <c r="J5767" s="165"/>
      <c r="K5767" s="165"/>
      <c r="L5767" s="165"/>
      <c r="M5767" s="166"/>
      <c r="N5767" s="167"/>
      <c r="O5767" s="163"/>
      <c r="P5767" s="163"/>
      <c r="Q5767" s="163"/>
      <c r="R5767" s="163"/>
      <c r="S5767" s="161"/>
      <c r="T5767" s="161"/>
      <c r="U5767" s="161"/>
      <c r="V5767" s="161"/>
      <c r="W5767" s="161"/>
      <c r="X5767" s="161"/>
      <c r="Y5767" s="161"/>
      <c r="Z5767" s="168"/>
      <c r="AA5767" s="168"/>
      <c r="AB5767" s="168"/>
      <c r="AC5767" s="168"/>
    </row>
    <row r="5768">
      <c r="A5768" s="161"/>
      <c r="B5768" s="161"/>
      <c r="C5768" s="162"/>
      <c r="D5768" s="163"/>
      <c r="E5768" s="163"/>
      <c r="F5768" s="163"/>
      <c r="G5768" s="163"/>
      <c r="H5768" s="163"/>
      <c r="I5768" s="163"/>
      <c r="J5768" s="165"/>
      <c r="K5768" s="165"/>
      <c r="L5768" s="165"/>
      <c r="M5768" s="166"/>
      <c r="N5768" s="167"/>
      <c r="O5768" s="163"/>
      <c r="P5768" s="163"/>
      <c r="Q5768" s="163"/>
      <c r="R5768" s="163"/>
      <c r="S5768" s="161"/>
      <c r="T5768" s="161"/>
      <c r="U5768" s="161"/>
      <c r="V5768" s="161"/>
      <c r="W5768" s="161"/>
      <c r="X5768" s="161"/>
      <c r="Y5768" s="161"/>
      <c r="Z5768" s="168"/>
      <c r="AA5768" s="168"/>
      <c r="AB5768" s="168"/>
      <c r="AC5768" s="168"/>
    </row>
    <row r="5769">
      <c r="A5769" s="161"/>
      <c r="B5769" s="161"/>
      <c r="C5769" s="162"/>
      <c r="D5769" s="163"/>
      <c r="E5769" s="163"/>
      <c r="F5769" s="163"/>
      <c r="G5769" s="163"/>
      <c r="H5769" s="163"/>
      <c r="I5769" s="163"/>
      <c r="J5769" s="165"/>
      <c r="K5769" s="165"/>
      <c r="L5769" s="165"/>
      <c r="M5769" s="166"/>
      <c r="N5769" s="167"/>
      <c r="O5769" s="163"/>
      <c r="P5769" s="163"/>
      <c r="Q5769" s="163"/>
      <c r="R5769" s="163"/>
      <c r="S5769" s="161"/>
      <c r="T5769" s="161"/>
      <c r="U5769" s="161"/>
      <c r="V5769" s="161"/>
      <c r="W5769" s="161"/>
      <c r="X5769" s="161"/>
      <c r="Y5769" s="161"/>
      <c r="Z5769" s="168"/>
      <c r="AA5769" s="168"/>
      <c r="AB5769" s="168"/>
      <c r="AC5769" s="168"/>
    </row>
    <row r="5770">
      <c r="A5770" s="161"/>
      <c r="B5770" s="161"/>
      <c r="C5770" s="162"/>
      <c r="D5770" s="163"/>
      <c r="E5770" s="163"/>
      <c r="F5770" s="163"/>
      <c r="G5770" s="163"/>
      <c r="H5770" s="163"/>
      <c r="I5770" s="163"/>
      <c r="J5770" s="165"/>
      <c r="K5770" s="165"/>
      <c r="L5770" s="165"/>
      <c r="M5770" s="166"/>
      <c r="N5770" s="167"/>
      <c r="O5770" s="163"/>
      <c r="P5770" s="163"/>
      <c r="Q5770" s="163"/>
      <c r="R5770" s="163"/>
      <c r="S5770" s="161"/>
      <c r="T5770" s="161"/>
      <c r="U5770" s="161"/>
      <c r="V5770" s="161"/>
      <c r="W5770" s="161"/>
      <c r="X5770" s="161"/>
      <c r="Y5770" s="161"/>
      <c r="Z5770" s="168"/>
      <c r="AA5770" s="168"/>
      <c r="AB5770" s="168"/>
      <c r="AC5770" s="168"/>
    </row>
    <row r="5771">
      <c r="A5771" s="161"/>
      <c r="B5771" s="161"/>
      <c r="C5771" s="162"/>
      <c r="D5771" s="163"/>
      <c r="E5771" s="163"/>
      <c r="F5771" s="163"/>
      <c r="G5771" s="163"/>
      <c r="H5771" s="163"/>
      <c r="I5771" s="163"/>
      <c r="J5771" s="165"/>
      <c r="K5771" s="165"/>
      <c r="L5771" s="165"/>
      <c r="M5771" s="166"/>
      <c r="N5771" s="167"/>
      <c r="O5771" s="163"/>
      <c r="P5771" s="163"/>
      <c r="Q5771" s="163"/>
      <c r="R5771" s="163"/>
      <c r="S5771" s="161"/>
      <c r="T5771" s="161"/>
      <c r="U5771" s="161"/>
      <c r="V5771" s="161"/>
      <c r="W5771" s="161"/>
      <c r="X5771" s="161"/>
      <c r="Y5771" s="161"/>
      <c r="Z5771" s="168"/>
      <c r="AA5771" s="168"/>
      <c r="AB5771" s="168"/>
      <c r="AC5771" s="168"/>
    </row>
    <row r="5772">
      <c r="A5772" s="161"/>
      <c r="B5772" s="161"/>
      <c r="C5772" s="162"/>
      <c r="D5772" s="163"/>
      <c r="E5772" s="163"/>
      <c r="F5772" s="163"/>
      <c r="G5772" s="163"/>
      <c r="H5772" s="163"/>
      <c r="I5772" s="163"/>
      <c r="J5772" s="165"/>
      <c r="K5772" s="165"/>
      <c r="L5772" s="165"/>
      <c r="M5772" s="166"/>
      <c r="N5772" s="167"/>
      <c r="O5772" s="163"/>
      <c r="P5772" s="163"/>
      <c r="Q5772" s="163"/>
      <c r="R5772" s="163"/>
      <c r="S5772" s="161"/>
      <c r="T5772" s="161"/>
      <c r="U5772" s="161"/>
      <c r="V5772" s="161"/>
      <c r="W5772" s="161"/>
      <c r="X5772" s="161"/>
      <c r="Y5772" s="161"/>
      <c r="Z5772" s="168"/>
      <c r="AA5772" s="168"/>
      <c r="AB5772" s="168"/>
      <c r="AC5772" s="168"/>
    </row>
    <row r="5773">
      <c r="A5773" s="161"/>
      <c r="B5773" s="161"/>
      <c r="C5773" s="162"/>
      <c r="D5773" s="163"/>
      <c r="E5773" s="163"/>
      <c r="F5773" s="163"/>
      <c r="G5773" s="163"/>
      <c r="H5773" s="163"/>
      <c r="I5773" s="163"/>
      <c r="J5773" s="165"/>
      <c r="K5773" s="165"/>
      <c r="L5773" s="165"/>
      <c r="M5773" s="166"/>
      <c r="N5773" s="167"/>
      <c r="O5773" s="163"/>
      <c r="P5773" s="163"/>
      <c r="Q5773" s="163"/>
      <c r="R5773" s="163"/>
      <c r="S5773" s="161"/>
      <c r="T5773" s="161"/>
      <c r="U5773" s="161"/>
      <c r="V5773" s="161"/>
      <c r="W5773" s="161"/>
      <c r="X5773" s="161"/>
      <c r="Y5773" s="161"/>
      <c r="Z5773" s="168"/>
      <c r="AA5773" s="168"/>
      <c r="AB5773" s="168"/>
      <c r="AC5773" s="168"/>
    </row>
    <row r="5774">
      <c r="A5774" s="161"/>
      <c r="B5774" s="161"/>
      <c r="C5774" s="162"/>
      <c r="D5774" s="163"/>
      <c r="E5774" s="163"/>
      <c r="F5774" s="163"/>
      <c r="G5774" s="163"/>
      <c r="H5774" s="163"/>
      <c r="I5774" s="163"/>
      <c r="J5774" s="165"/>
      <c r="K5774" s="165"/>
      <c r="L5774" s="165"/>
      <c r="M5774" s="166"/>
      <c r="N5774" s="167"/>
      <c r="O5774" s="163"/>
      <c r="P5774" s="163"/>
      <c r="Q5774" s="163"/>
      <c r="R5774" s="163"/>
      <c r="S5774" s="161"/>
      <c r="T5774" s="161"/>
      <c r="U5774" s="161"/>
      <c r="V5774" s="161"/>
      <c r="W5774" s="161"/>
      <c r="X5774" s="161"/>
      <c r="Y5774" s="161"/>
      <c r="Z5774" s="168"/>
      <c r="AA5774" s="168"/>
      <c r="AB5774" s="168"/>
      <c r="AC5774" s="168"/>
    </row>
    <row r="5775">
      <c r="A5775" s="161"/>
      <c r="B5775" s="161"/>
      <c r="C5775" s="162"/>
      <c r="D5775" s="163"/>
      <c r="E5775" s="163"/>
      <c r="F5775" s="163"/>
      <c r="G5775" s="163"/>
      <c r="H5775" s="163"/>
      <c r="I5775" s="163"/>
      <c r="J5775" s="165"/>
      <c r="K5775" s="165"/>
      <c r="L5775" s="165"/>
      <c r="M5775" s="166"/>
      <c r="N5775" s="167"/>
      <c r="O5775" s="163"/>
      <c r="P5775" s="163"/>
      <c r="Q5775" s="163"/>
      <c r="R5775" s="163"/>
      <c r="S5775" s="161"/>
      <c r="T5775" s="161"/>
      <c r="U5775" s="161"/>
      <c r="V5775" s="161"/>
      <c r="W5775" s="161"/>
      <c r="X5775" s="161"/>
      <c r="Y5775" s="161"/>
      <c r="Z5775" s="168"/>
      <c r="AA5775" s="168"/>
      <c r="AB5775" s="168"/>
      <c r="AC5775" s="168"/>
    </row>
    <row r="5776">
      <c r="A5776" s="161"/>
      <c r="B5776" s="161"/>
      <c r="C5776" s="162"/>
      <c r="D5776" s="163"/>
      <c r="E5776" s="163"/>
      <c r="F5776" s="163"/>
      <c r="G5776" s="163"/>
      <c r="H5776" s="163"/>
      <c r="I5776" s="163"/>
      <c r="J5776" s="165"/>
      <c r="K5776" s="165"/>
      <c r="L5776" s="165"/>
      <c r="M5776" s="166"/>
      <c r="N5776" s="167"/>
      <c r="O5776" s="163"/>
      <c r="P5776" s="163"/>
      <c r="Q5776" s="163"/>
      <c r="R5776" s="163"/>
      <c r="S5776" s="161"/>
      <c r="T5776" s="161"/>
      <c r="U5776" s="161"/>
      <c r="V5776" s="161"/>
      <c r="W5776" s="161"/>
      <c r="X5776" s="161"/>
      <c r="Y5776" s="161"/>
      <c r="Z5776" s="168"/>
      <c r="AA5776" s="168"/>
      <c r="AB5776" s="168"/>
      <c r="AC5776" s="168"/>
    </row>
    <row r="5777">
      <c r="A5777" s="161"/>
      <c r="B5777" s="161"/>
      <c r="C5777" s="162"/>
      <c r="D5777" s="163"/>
      <c r="E5777" s="163"/>
      <c r="F5777" s="163"/>
      <c r="G5777" s="163"/>
      <c r="H5777" s="163"/>
      <c r="I5777" s="163"/>
      <c r="J5777" s="165"/>
      <c r="K5777" s="165"/>
      <c r="L5777" s="165"/>
      <c r="M5777" s="166"/>
      <c r="N5777" s="167"/>
      <c r="O5777" s="163"/>
      <c r="P5777" s="163"/>
      <c r="Q5777" s="163"/>
      <c r="R5777" s="163"/>
      <c r="S5777" s="161"/>
      <c r="T5777" s="161"/>
      <c r="U5777" s="161"/>
      <c r="V5777" s="161"/>
      <c r="W5777" s="161"/>
      <c r="X5777" s="161"/>
      <c r="Y5777" s="161"/>
      <c r="Z5777" s="168"/>
      <c r="AA5777" s="168"/>
      <c r="AB5777" s="168"/>
      <c r="AC5777" s="168"/>
    </row>
    <row r="5778">
      <c r="A5778" s="161"/>
      <c r="B5778" s="161"/>
      <c r="C5778" s="162"/>
      <c r="D5778" s="163"/>
      <c r="E5778" s="163"/>
      <c r="F5778" s="163"/>
      <c r="G5778" s="163"/>
      <c r="H5778" s="163"/>
      <c r="I5778" s="163"/>
      <c r="J5778" s="165"/>
      <c r="K5778" s="165"/>
      <c r="L5778" s="165"/>
      <c r="M5778" s="166"/>
      <c r="N5778" s="167"/>
      <c r="O5778" s="163"/>
      <c r="P5778" s="163"/>
      <c r="Q5778" s="163"/>
      <c r="R5778" s="163"/>
      <c r="S5778" s="161"/>
      <c r="T5778" s="161"/>
      <c r="U5778" s="161"/>
      <c r="V5778" s="161"/>
      <c r="W5778" s="161"/>
      <c r="X5778" s="161"/>
      <c r="Y5778" s="161"/>
      <c r="Z5778" s="168"/>
      <c r="AA5778" s="168"/>
      <c r="AB5778" s="168"/>
      <c r="AC5778" s="168"/>
    </row>
    <row r="5779">
      <c r="A5779" s="161"/>
      <c r="B5779" s="161"/>
      <c r="C5779" s="162"/>
      <c r="D5779" s="163"/>
      <c r="E5779" s="163"/>
      <c r="F5779" s="163"/>
      <c r="G5779" s="163"/>
      <c r="H5779" s="163"/>
      <c r="I5779" s="163"/>
      <c r="J5779" s="165"/>
      <c r="K5779" s="165"/>
      <c r="L5779" s="165"/>
      <c r="M5779" s="166"/>
      <c r="N5779" s="167"/>
      <c r="O5779" s="163"/>
      <c r="P5779" s="163"/>
      <c r="Q5779" s="163"/>
      <c r="R5779" s="163"/>
      <c r="S5779" s="161"/>
      <c r="T5779" s="161"/>
      <c r="U5779" s="161"/>
      <c r="V5779" s="161"/>
      <c r="W5779" s="161"/>
      <c r="X5779" s="161"/>
      <c r="Y5779" s="161"/>
      <c r="Z5779" s="168"/>
      <c r="AA5779" s="168"/>
      <c r="AB5779" s="168"/>
      <c r="AC5779" s="168"/>
    </row>
    <row r="5780">
      <c r="A5780" s="161"/>
      <c r="B5780" s="161"/>
      <c r="C5780" s="162"/>
      <c r="D5780" s="163"/>
      <c r="E5780" s="163"/>
      <c r="F5780" s="163"/>
      <c r="G5780" s="163"/>
      <c r="H5780" s="163"/>
      <c r="I5780" s="163"/>
      <c r="J5780" s="165"/>
      <c r="K5780" s="165"/>
      <c r="L5780" s="165"/>
      <c r="M5780" s="166"/>
      <c r="N5780" s="167"/>
      <c r="O5780" s="163"/>
      <c r="P5780" s="163"/>
      <c r="Q5780" s="163"/>
      <c r="R5780" s="163"/>
      <c r="S5780" s="161"/>
      <c r="T5780" s="161"/>
      <c r="U5780" s="161"/>
      <c r="V5780" s="161"/>
      <c r="W5780" s="161"/>
      <c r="X5780" s="161"/>
      <c r="Y5780" s="161"/>
      <c r="Z5780" s="168"/>
      <c r="AA5780" s="168"/>
      <c r="AB5780" s="168"/>
      <c r="AC5780" s="168"/>
    </row>
    <row r="5781">
      <c r="A5781" s="161"/>
      <c r="B5781" s="161"/>
      <c r="C5781" s="162"/>
      <c r="D5781" s="163"/>
      <c r="E5781" s="163"/>
      <c r="F5781" s="163"/>
      <c r="G5781" s="163"/>
      <c r="H5781" s="163"/>
      <c r="I5781" s="163"/>
      <c r="J5781" s="165"/>
      <c r="K5781" s="165"/>
      <c r="L5781" s="165"/>
      <c r="M5781" s="166"/>
      <c r="N5781" s="167"/>
      <c r="O5781" s="163"/>
      <c r="P5781" s="163"/>
      <c r="Q5781" s="163"/>
      <c r="R5781" s="163"/>
      <c r="S5781" s="161"/>
      <c r="T5781" s="161"/>
      <c r="U5781" s="161"/>
      <c r="V5781" s="161"/>
      <c r="W5781" s="161"/>
      <c r="X5781" s="161"/>
      <c r="Y5781" s="161"/>
      <c r="Z5781" s="168"/>
      <c r="AA5781" s="168"/>
      <c r="AB5781" s="168"/>
      <c r="AC5781" s="168"/>
    </row>
    <row r="5782">
      <c r="A5782" s="161"/>
      <c r="B5782" s="161"/>
      <c r="C5782" s="162"/>
      <c r="D5782" s="163"/>
      <c r="E5782" s="163"/>
      <c r="F5782" s="163"/>
      <c r="G5782" s="163"/>
      <c r="H5782" s="163"/>
      <c r="I5782" s="163"/>
      <c r="J5782" s="165"/>
      <c r="K5782" s="165"/>
      <c r="L5782" s="165"/>
      <c r="M5782" s="166"/>
      <c r="N5782" s="167"/>
      <c r="O5782" s="163"/>
      <c r="P5782" s="163"/>
      <c r="Q5782" s="163"/>
      <c r="R5782" s="163"/>
      <c r="S5782" s="161"/>
      <c r="T5782" s="161"/>
      <c r="U5782" s="161"/>
      <c r="V5782" s="161"/>
      <c r="W5782" s="161"/>
      <c r="X5782" s="161"/>
      <c r="Y5782" s="161"/>
      <c r="Z5782" s="168"/>
      <c r="AA5782" s="168"/>
      <c r="AB5782" s="168"/>
      <c r="AC5782" s="168"/>
    </row>
    <row r="5783">
      <c r="A5783" s="161"/>
      <c r="B5783" s="161"/>
      <c r="C5783" s="162"/>
      <c r="D5783" s="163"/>
      <c r="E5783" s="163"/>
      <c r="F5783" s="163"/>
      <c r="G5783" s="163"/>
      <c r="H5783" s="163"/>
      <c r="I5783" s="163"/>
      <c r="J5783" s="165"/>
      <c r="K5783" s="165"/>
      <c r="L5783" s="165"/>
      <c r="M5783" s="166"/>
      <c r="N5783" s="167"/>
      <c r="O5783" s="163"/>
      <c r="P5783" s="163"/>
      <c r="Q5783" s="163"/>
      <c r="R5783" s="163"/>
      <c r="S5783" s="161"/>
      <c r="T5783" s="161"/>
      <c r="U5783" s="161"/>
      <c r="V5783" s="161"/>
      <c r="W5783" s="161"/>
      <c r="X5783" s="161"/>
      <c r="Y5783" s="161"/>
      <c r="Z5783" s="168"/>
      <c r="AA5783" s="168"/>
      <c r="AB5783" s="168"/>
      <c r="AC5783" s="168"/>
    </row>
    <row r="5784">
      <c r="A5784" s="161"/>
      <c r="B5784" s="161"/>
      <c r="C5784" s="162"/>
      <c r="D5784" s="163"/>
      <c r="E5784" s="163"/>
      <c r="F5784" s="163"/>
      <c r="G5784" s="163"/>
      <c r="H5784" s="163"/>
      <c r="I5784" s="163"/>
      <c r="J5784" s="165"/>
      <c r="K5784" s="165"/>
      <c r="L5784" s="165"/>
      <c r="M5784" s="166"/>
      <c r="N5784" s="167"/>
      <c r="O5784" s="163"/>
      <c r="P5784" s="163"/>
      <c r="Q5784" s="163"/>
      <c r="R5784" s="163"/>
      <c r="S5784" s="161"/>
      <c r="T5784" s="161"/>
      <c r="U5784" s="161"/>
      <c r="V5784" s="161"/>
      <c r="W5784" s="161"/>
      <c r="X5784" s="161"/>
      <c r="Y5784" s="161"/>
      <c r="Z5784" s="168"/>
      <c r="AA5784" s="168"/>
      <c r="AB5784" s="168"/>
      <c r="AC5784" s="168"/>
    </row>
    <row r="5785">
      <c r="A5785" s="161"/>
      <c r="B5785" s="161"/>
      <c r="C5785" s="162"/>
      <c r="D5785" s="163"/>
      <c r="E5785" s="163"/>
      <c r="F5785" s="163"/>
      <c r="G5785" s="163"/>
      <c r="H5785" s="163"/>
      <c r="I5785" s="163"/>
      <c r="J5785" s="165"/>
      <c r="K5785" s="165"/>
      <c r="L5785" s="165"/>
      <c r="M5785" s="166"/>
      <c r="N5785" s="167"/>
      <c r="O5785" s="163"/>
      <c r="P5785" s="163"/>
      <c r="Q5785" s="163"/>
      <c r="R5785" s="163"/>
      <c r="S5785" s="161"/>
      <c r="T5785" s="161"/>
      <c r="U5785" s="161"/>
      <c r="V5785" s="161"/>
      <c r="W5785" s="161"/>
      <c r="X5785" s="161"/>
      <c r="Y5785" s="161"/>
      <c r="Z5785" s="168"/>
      <c r="AA5785" s="168"/>
      <c r="AB5785" s="168"/>
      <c r="AC5785" s="168"/>
    </row>
    <row r="5786">
      <c r="A5786" s="161"/>
      <c r="B5786" s="161"/>
      <c r="C5786" s="162"/>
      <c r="D5786" s="163"/>
      <c r="E5786" s="163"/>
      <c r="F5786" s="163"/>
      <c r="G5786" s="163"/>
      <c r="H5786" s="163"/>
      <c r="I5786" s="163"/>
      <c r="J5786" s="165"/>
      <c r="K5786" s="165"/>
      <c r="L5786" s="165"/>
      <c r="M5786" s="166"/>
      <c r="N5786" s="167"/>
      <c r="O5786" s="163"/>
      <c r="P5786" s="163"/>
      <c r="Q5786" s="163"/>
      <c r="R5786" s="163"/>
      <c r="S5786" s="161"/>
      <c r="T5786" s="161"/>
      <c r="U5786" s="161"/>
      <c r="V5786" s="161"/>
      <c r="W5786" s="161"/>
      <c r="X5786" s="161"/>
      <c r="Y5786" s="161"/>
      <c r="Z5786" s="168"/>
      <c r="AA5786" s="168"/>
      <c r="AB5786" s="168"/>
      <c r="AC5786" s="168"/>
    </row>
    <row r="5787">
      <c r="A5787" s="161"/>
      <c r="B5787" s="161"/>
      <c r="C5787" s="162"/>
      <c r="D5787" s="163"/>
      <c r="E5787" s="163"/>
      <c r="F5787" s="163"/>
      <c r="G5787" s="163"/>
      <c r="H5787" s="163"/>
      <c r="I5787" s="163"/>
      <c r="J5787" s="165"/>
      <c r="K5787" s="165"/>
      <c r="L5787" s="165"/>
      <c r="M5787" s="166"/>
      <c r="N5787" s="167"/>
      <c r="O5787" s="163"/>
      <c r="P5787" s="163"/>
      <c r="Q5787" s="163"/>
      <c r="R5787" s="163"/>
      <c r="S5787" s="161"/>
      <c r="T5787" s="161"/>
      <c r="U5787" s="161"/>
      <c r="V5787" s="161"/>
      <c r="W5787" s="161"/>
      <c r="X5787" s="161"/>
      <c r="Y5787" s="161"/>
      <c r="Z5787" s="168"/>
      <c r="AA5787" s="168"/>
      <c r="AB5787" s="168"/>
      <c r="AC5787" s="168"/>
    </row>
    <row r="5788">
      <c r="A5788" s="161"/>
      <c r="B5788" s="161"/>
      <c r="C5788" s="162"/>
      <c r="D5788" s="163"/>
      <c r="E5788" s="163"/>
      <c r="F5788" s="163"/>
      <c r="G5788" s="163"/>
      <c r="H5788" s="163"/>
      <c r="I5788" s="163"/>
      <c r="J5788" s="165"/>
      <c r="K5788" s="165"/>
      <c r="L5788" s="165"/>
      <c r="M5788" s="166"/>
      <c r="N5788" s="167"/>
      <c r="O5788" s="163"/>
      <c r="P5788" s="163"/>
      <c r="Q5788" s="163"/>
      <c r="R5788" s="163"/>
      <c r="S5788" s="161"/>
      <c r="T5788" s="161"/>
      <c r="U5788" s="161"/>
      <c r="V5788" s="161"/>
      <c r="W5788" s="161"/>
      <c r="X5788" s="161"/>
      <c r="Y5788" s="161"/>
      <c r="Z5788" s="168"/>
      <c r="AA5788" s="168"/>
      <c r="AB5788" s="168"/>
      <c r="AC5788" s="168"/>
    </row>
    <row r="5789">
      <c r="A5789" s="161"/>
      <c r="B5789" s="161"/>
      <c r="C5789" s="162"/>
      <c r="D5789" s="163"/>
      <c r="E5789" s="163"/>
      <c r="F5789" s="163"/>
      <c r="G5789" s="163"/>
      <c r="H5789" s="163"/>
      <c r="I5789" s="163"/>
      <c r="J5789" s="165"/>
      <c r="K5789" s="165"/>
      <c r="L5789" s="165"/>
      <c r="M5789" s="166"/>
      <c r="N5789" s="167"/>
      <c r="O5789" s="163"/>
      <c r="P5789" s="163"/>
      <c r="Q5789" s="163"/>
      <c r="R5789" s="163"/>
      <c r="S5789" s="161"/>
      <c r="T5789" s="161"/>
      <c r="U5789" s="161"/>
      <c r="V5789" s="161"/>
      <c r="W5789" s="161"/>
      <c r="X5789" s="161"/>
      <c r="Y5789" s="161"/>
      <c r="Z5789" s="168"/>
      <c r="AA5789" s="168"/>
      <c r="AB5789" s="168"/>
      <c r="AC5789" s="168"/>
    </row>
    <row r="5790">
      <c r="A5790" s="161"/>
      <c r="B5790" s="161"/>
      <c r="C5790" s="162"/>
      <c r="D5790" s="163"/>
      <c r="E5790" s="163"/>
      <c r="F5790" s="163"/>
      <c r="G5790" s="163"/>
      <c r="H5790" s="163"/>
      <c r="I5790" s="163"/>
      <c r="J5790" s="165"/>
      <c r="K5790" s="165"/>
      <c r="L5790" s="165"/>
      <c r="M5790" s="166"/>
      <c r="N5790" s="167"/>
      <c r="O5790" s="163"/>
      <c r="P5790" s="163"/>
      <c r="Q5790" s="163"/>
      <c r="R5790" s="163"/>
      <c r="S5790" s="161"/>
      <c r="T5790" s="161"/>
      <c r="U5790" s="161"/>
      <c r="V5790" s="161"/>
      <c r="W5790" s="161"/>
      <c r="X5790" s="161"/>
      <c r="Y5790" s="161"/>
      <c r="Z5790" s="168"/>
      <c r="AA5790" s="168"/>
      <c r="AB5790" s="168"/>
      <c r="AC5790" s="168"/>
    </row>
    <row r="5791">
      <c r="A5791" s="161"/>
      <c r="B5791" s="161"/>
      <c r="C5791" s="162"/>
      <c r="D5791" s="163"/>
      <c r="E5791" s="163"/>
      <c r="F5791" s="163"/>
      <c r="G5791" s="163"/>
      <c r="H5791" s="163"/>
      <c r="I5791" s="163"/>
      <c r="J5791" s="165"/>
      <c r="K5791" s="165"/>
      <c r="L5791" s="165"/>
      <c r="M5791" s="166"/>
      <c r="N5791" s="167"/>
      <c r="O5791" s="163"/>
      <c r="P5791" s="163"/>
      <c r="Q5791" s="163"/>
      <c r="R5791" s="163"/>
      <c r="S5791" s="161"/>
      <c r="T5791" s="161"/>
      <c r="U5791" s="161"/>
      <c r="V5791" s="161"/>
      <c r="W5791" s="161"/>
      <c r="X5791" s="161"/>
      <c r="Y5791" s="161"/>
      <c r="Z5791" s="168"/>
      <c r="AA5791" s="168"/>
      <c r="AB5791" s="168"/>
      <c r="AC5791" s="168"/>
    </row>
    <row r="5792">
      <c r="A5792" s="161"/>
      <c r="B5792" s="161"/>
      <c r="C5792" s="162"/>
      <c r="D5792" s="163"/>
      <c r="E5792" s="163"/>
      <c r="F5792" s="163"/>
      <c r="G5792" s="163"/>
      <c r="H5792" s="163"/>
      <c r="I5792" s="163"/>
      <c r="J5792" s="165"/>
      <c r="K5792" s="165"/>
      <c r="L5792" s="165"/>
      <c r="M5792" s="166"/>
      <c r="N5792" s="167"/>
      <c r="O5792" s="163"/>
      <c r="P5792" s="163"/>
      <c r="Q5792" s="163"/>
      <c r="R5792" s="163"/>
      <c r="S5792" s="161"/>
      <c r="T5792" s="161"/>
      <c r="U5792" s="161"/>
      <c r="V5792" s="161"/>
      <c r="W5792" s="161"/>
      <c r="X5792" s="161"/>
      <c r="Y5792" s="161"/>
      <c r="Z5792" s="168"/>
      <c r="AA5792" s="168"/>
      <c r="AB5792" s="168"/>
      <c r="AC5792" s="168"/>
    </row>
    <row r="5793">
      <c r="A5793" s="161"/>
      <c r="B5793" s="161"/>
      <c r="C5793" s="162"/>
      <c r="D5793" s="163"/>
      <c r="E5793" s="163"/>
      <c r="F5793" s="163"/>
      <c r="G5793" s="163"/>
      <c r="H5793" s="163"/>
      <c r="I5793" s="163"/>
      <c r="J5793" s="165"/>
      <c r="K5793" s="165"/>
      <c r="L5793" s="165"/>
      <c r="M5793" s="166"/>
      <c r="N5793" s="167"/>
      <c r="O5793" s="163"/>
      <c r="P5793" s="163"/>
      <c r="Q5793" s="163"/>
      <c r="R5793" s="163"/>
      <c r="S5793" s="161"/>
      <c r="T5793" s="161"/>
      <c r="U5793" s="161"/>
      <c r="V5793" s="161"/>
      <c r="W5793" s="161"/>
      <c r="X5793" s="161"/>
      <c r="Y5793" s="161"/>
      <c r="Z5793" s="168"/>
      <c r="AA5793" s="168"/>
      <c r="AB5793" s="168"/>
      <c r="AC5793" s="168"/>
    </row>
    <row r="5794">
      <c r="A5794" s="161"/>
      <c r="B5794" s="161"/>
      <c r="C5794" s="162"/>
      <c r="D5794" s="163"/>
      <c r="E5794" s="163"/>
      <c r="F5794" s="163"/>
      <c r="G5794" s="163"/>
      <c r="H5794" s="163"/>
      <c r="I5794" s="163"/>
      <c r="J5794" s="165"/>
      <c r="K5794" s="165"/>
      <c r="L5794" s="165"/>
      <c r="M5794" s="166"/>
      <c r="N5794" s="167"/>
      <c r="O5794" s="163"/>
      <c r="P5794" s="163"/>
      <c r="Q5794" s="163"/>
      <c r="R5794" s="163"/>
      <c r="S5794" s="161"/>
      <c r="T5794" s="161"/>
      <c r="U5794" s="161"/>
      <c r="V5794" s="161"/>
      <c r="W5794" s="161"/>
      <c r="X5794" s="161"/>
      <c r="Y5794" s="161"/>
      <c r="Z5794" s="168"/>
      <c r="AA5794" s="168"/>
      <c r="AB5794" s="168"/>
      <c r="AC5794" s="168"/>
    </row>
    <row r="5795">
      <c r="A5795" s="161"/>
      <c r="B5795" s="161"/>
      <c r="C5795" s="162"/>
      <c r="D5795" s="163"/>
      <c r="E5795" s="163"/>
      <c r="F5795" s="163"/>
      <c r="G5795" s="163"/>
      <c r="H5795" s="163"/>
      <c r="I5795" s="163"/>
      <c r="J5795" s="165"/>
      <c r="K5795" s="165"/>
      <c r="L5795" s="165"/>
      <c r="M5795" s="166"/>
      <c r="N5795" s="167"/>
      <c r="O5795" s="163"/>
      <c r="P5795" s="163"/>
      <c r="Q5795" s="163"/>
      <c r="R5795" s="163"/>
      <c r="S5795" s="161"/>
      <c r="T5795" s="161"/>
      <c r="U5795" s="161"/>
      <c r="V5795" s="161"/>
      <c r="W5795" s="161"/>
      <c r="X5795" s="161"/>
      <c r="Y5795" s="161"/>
      <c r="Z5795" s="168"/>
      <c r="AA5795" s="168"/>
      <c r="AB5795" s="168"/>
      <c r="AC5795" s="168"/>
    </row>
    <row r="5796">
      <c r="A5796" s="161"/>
      <c r="B5796" s="161"/>
      <c r="C5796" s="162"/>
      <c r="D5796" s="163"/>
      <c r="E5796" s="163"/>
      <c r="F5796" s="163"/>
      <c r="G5796" s="163"/>
      <c r="H5796" s="163"/>
      <c r="I5796" s="163"/>
      <c r="J5796" s="165"/>
      <c r="K5796" s="165"/>
      <c r="L5796" s="165"/>
      <c r="M5796" s="166"/>
      <c r="N5796" s="167"/>
      <c r="O5796" s="163"/>
      <c r="P5796" s="163"/>
      <c r="Q5796" s="163"/>
      <c r="R5796" s="163"/>
      <c r="S5796" s="161"/>
      <c r="T5796" s="161"/>
      <c r="U5796" s="161"/>
      <c r="V5796" s="161"/>
      <c r="W5796" s="161"/>
      <c r="X5796" s="161"/>
      <c r="Y5796" s="161"/>
      <c r="Z5796" s="168"/>
      <c r="AA5796" s="168"/>
      <c r="AB5796" s="168"/>
      <c r="AC5796" s="168"/>
    </row>
    <row r="5797">
      <c r="A5797" s="161"/>
      <c r="B5797" s="161"/>
      <c r="C5797" s="162"/>
      <c r="D5797" s="163"/>
      <c r="E5797" s="163"/>
      <c r="F5797" s="163"/>
      <c r="G5797" s="163"/>
      <c r="H5797" s="163"/>
      <c r="I5797" s="163"/>
      <c r="J5797" s="165"/>
      <c r="K5797" s="165"/>
      <c r="L5797" s="165"/>
      <c r="M5797" s="166"/>
      <c r="N5797" s="167"/>
      <c r="O5797" s="163"/>
      <c r="P5797" s="163"/>
      <c r="Q5797" s="163"/>
      <c r="R5797" s="163"/>
      <c r="S5797" s="161"/>
      <c r="T5797" s="161"/>
      <c r="U5797" s="161"/>
      <c r="V5797" s="161"/>
      <c r="W5797" s="161"/>
      <c r="X5797" s="161"/>
      <c r="Y5797" s="161"/>
      <c r="Z5797" s="168"/>
      <c r="AA5797" s="168"/>
      <c r="AB5797" s="168"/>
      <c r="AC5797" s="168"/>
    </row>
    <row r="5798">
      <c r="A5798" s="161"/>
      <c r="B5798" s="161"/>
      <c r="C5798" s="162"/>
      <c r="D5798" s="163"/>
      <c r="E5798" s="163"/>
      <c r="F5798" s="163"/>
      <c r="G5798" s="163"/>
      <c r="H5798" s="163"/>
      <c r="I5798" s="163"/>
      <c r="J5798" s="165"/>
      <c r="K5798" s="165"/>
      <c r="L5798" s="165"/>
      <c r="M5798" s="166"/>
      <c r="N5798" s="167"/>
      <c r="O5798" s="163"/>
      <c r="P5798" s="163"/>
      <c r="Q5798" s="163"/>
      <c r="R5798" s="163"/>
      <c r="S5798" s="161"/>
      <c r="T5798" s="161"/>
      <c r="U5798" s="161"/>
      <c r="V5798" s="161"/>
      <c r="W5798" s="161"/>
      <c r="X5798" s="161"/>
      <c r="Y5798" s="161"/>
      <c r="Z5798" s="168"/>
      <c r="AA5798" s="168"/>
      <c r="AB5798" s="168"/>
      <c r="AC5798" s="168"/>
    </row>
    <row r="5799">
      <c r="A5799" s="161"/>
      <c r="B5799" s="161"/>
      <c r="C5799" s="162"/>
      <c r="D5799" s="163"/>
      <c r="E5799" s="163"/>
      <c r="F5799" s="163"/>
      <c r="G5799" s="163"/>
      <c r="H5799" s="163"/>
      <c r="I5799" s="163"/>
      <c r="J5799" s="165"/>
      <c r="K5799" s="165"/>
      <c r="L5799" s="165"/>
      <c r="M5799" s="166"/>
      <c r="N5799" s="167"/>
      <c r="O5799" s="163"/>
      <c r="P5799" s="163"/>
      <c r="Q5799" s="163"/>
      <c r="R5799" s="163"/>
      <c r="S5799" s="161"/>
      <c r="T5799" s="161"/>
      <c r="U5799" s="161"/>
      <c r="V5799" s="161"/>
      <c r="W5799" s="161"/>
      <c r="X5799" s="161"/>
      <c r="Y5799" s="161"/>
      <c r="Z5799" s="168"/>
      <c r="AA5799" s="168"/>
      <c r="AB5799" s="168"/>
      <c r="AC5799" s="168"/>
    </row>
    <row r="5800">
      <c r="A5800" s="161"/>
      <c r="B5800" s="161"/>
      <c r="C5800" s="162"/>
      <c r="D5800" s="163"/>
      <c r="E5800" s="163"/>
      <c r="F5800" s="163"/>
      <c r="G5800" s="163"/>
      <c r="H5800" s="163"/>
      <c r="I5800" s="163"/>
      <c r="J5800" s="165"/>
      <c r="K5800" s="165"/>
      <c r="L5800" s="165"/>
      <c r="M5800" s="166"/>
      <c r="N5800" s="167"/>
      <c r="O5800" s="163"/>
      <c r="P5800" s="163"/>
      <c r="Q5800" s="163"/>
      <c r="R5800" s="163"/>
      <c r="S5800" s="161"/>
      <c r="T5800" s="161"/>
      <c r="U5800" s="161"/>
      <c r="V5800" s="161"/>
      <c r="W5800" s="161"/>
      <c r="X5800" s="161"/>
      <c r="Y5800" s="161"/>
      <c r="Z5800" s="168"/>
      <c r="AA5800" s="168"/>
      <c r="AB5800" s="168"/>
      <c r="AC5800" s="168"/>
    </row>
    <row r="5801">
      <c r="A5801" s="161"/>
      <c r="B5801" s="161"/>
      <c r="C5801" s="162"/>
      <c r="D5801" s="163"/>
      <c r="E5801" s="163"/>
      <c r="F5801" s="163"/>
      <c r="G5801" s="163"/>
      <c r="H5801" s="163"/>
      <c r="I5801" s="163"/>
      <c r="J5801" s="165"/>
      <c r="K5801" s="165"/>
      <c r="L5801" s="165"/>
      <c r="M5801" s="166"/>
      <c r="N5801" s="167"/>
      <c r="O5801" s="163"/>
      <c r="P5801" s="163"/>
      <c r="Q5801" s="163"/>
      <c r="R5801" s="163"/>
      <c r="S5801" s="161"/>
      <c r="T5801" s="161"/>
      <c r="U5801" s="161"/>
      <c r="V5801" s="161"/>
      <c r="W5801" s="161"/>
      <c r="X5801" s="161"/>
      <c r="Y5801" s="161"/>
      <c r="Z5801" s="168"/>
      <c r="AA5801" s="168"/>
      <c r="AB5801" s="168"/>
      <c r="AC5801" s="168"/>
    </row>
    <row r="5802">
      <c r="A5802" s="161"/>
      <c r="B5802" s="161"/>
      <c r="C5802" s="162"/>
      <c r="D5802" s="163"/>
      <c r="E5802" s="163"/>
      <c r="F5802" s="163"/>
      <c r="G5802" s="163"/>
      <c r="H5802" s="163"/>
      <c r="I5802" s="163"/>
      <c r="J5802" s="165"/>
      <c r="K5802" s="165"/>
      <c r="L5802" s="165"/>
      <c r="M5802" s="166"/>
      <c r="N5802" s="167"/>
      <c r="O5802" s="163"/>
      <c r="P5802" s="163"/>
      <c r="Q5802" s="163"/>
      <c r="R5802" s="163"/>
      <c r="S5802" s="161"/>
      <c r="T5802" s="161"/>
      <c r="U5802" s="161"/>
      <c r="V5802" s="161"/>
      <c r="W5802" s="161"/>
      <c r="X5802" s="161"/>
      <c r="Y5802" s="161"/>
      <c r="Z5802" s="168"/>
      <c r="AA5802" s="168"/>
      <c r="AB5802" s="168"/>
      <c r="AC5802" s="168"/>
    </row>
    <row r="5803">
      <c r="A5803" s="161"/>
      <c r="B5803" s="161"/>
      <c r="C5803" s="162"/>
      <c r="D5803" s="163"/>
      <c r="E5803" s="163"/>
      <c r="F5803" s="163"/>
      <c r="G5803" s="163"/>
      <c r="H5803" s="163"/>
      <c r="I5803" s="163"/>
      <c r="J5803" s="165"/>
      <c r="K5803" s="165"/>
      <c r="L5803" s="165"/>
      <c r="M5803" s="166"/>
      <c r="N5803" s="167"/>
      <c r="O5803" s="163"/>
      <c r="P5803" s="163"/>
      <c r="Q5803" s="163"/>
      <c r="R5803" s="163"/>
      <c r="S5803" s="161"/>
      <c r="T5803" s="161"/>
      <c r="U5803" s="161"/>
      <c r="V5803" s="161"/>
      <c r="W5803" s="161"/>
      <c r="X5803" s="161"/>
      <c r="Y5803" s="161"/>
      <c r="Z5803" s="168"/>
      <c r="AA5803" s="168"/>
      <c r="AB5803" s="168"/>
      <c r="AC5803" s="168"/>
    </row>
    <row r="5804">
      <c r="A5804" s="161"/>
      <c r="B5804" s="161"/>
      <c r="C5804" s="162"/>
      <c r="D5804" s="163"/>
      <c r="E5804" s="163"/>
      <c r="F5804" s="163"/>
      <c r="G5804" s="163"/>
      <c r="H5804" s="163"/>
      <c r="I5804" s="163"/>
      <c r="J5804" s="165"/>
      <c r="K5804" s="165"/>
      <c r="L5804" s="165"/>
      <c r="M5804" s="166"/>
      <c r="N5804" s="167"/>
      <c r="O5804" s="163"/>
      <c r="P5804" s="163"/>
      <c r="Q5804" s="163"/>
      <c r="R5804" s="163"/>
      <c r="S5804" s="161"/>
      <c r="T5804" s="161"/>
      <c r="U5804" s="161"/>
      <c r="V5804" s="161"/>
      <c r="W5804" s="161"/>
      <c r="X5804" s="161"/>
      <c r="Y5804" s="161"/>
      <c r="Z5804" s="168"/>
      <c r="AA5804" s="168"/>
      <c r="AB5804" s="168"/>
      <c r="AC5804" s="168"/>
    </row>
    <row r="5805">
      <c r="A5805" s="161"/>
      <c r="B5805" s="161"/>
      <c r="C5805" s="162"/>
      <c r="D5805" s="163"/>
      <c r="E5805" s="163"/>
      <c r="F5805" s="163"/>
      <c r="G5805" s="163"/>
      <c r="H5805" s="163"/>
      <c r="I5805" s="163"/>
      <c r="J5805" s="165"/>
      <c r="K5805" s="165"/>
      <c r="L5805" s="165"/>
      <c r="M5805" s="166"/>
      <c r="N5805" s="167"/>
      <c r="O5805" s="163"/>
      <c r="P5805" s="163"/>
      <c r="Q5805" s="163"/>
      <c r="R5805" s="163"/>
      <c r="S5805" s="161"/>
      <c r="T5805" s="161"/>
      <c r="U5805" s="161"/>
      <c r="V5805" s="161"/>
      <c r="W5805" s="161"/>
      <c r="X5805" s="161"/>
      <c r="Y5805" s="161"/>
      <c r="Z5805" s="168"/>
      <c r="AA5805" s="168"/>
      <c r="AB5805" s="168"/>
      <c r="AC5805" s="168"/>
    </row>
    <row r="5806">
      <c r="A5806" s="161"/>
      <c r="B5806" s="161"/>
      <c r="C5806" s="162"/>
      <c r="D5806" s="163"/>
      <c r="E5806" s="163"/>
      <c r="F5806" s="163"/>
      <c r="G5806" s="163"/>
      <c r="H5806" s="163"/>
      <c r="I5806" s="163"/>
      <c r="J5806" s="165"/>
      <c r="K5806" s="165"/>
      <c r="L5806" s="165"/>
      <c r="M5806" s="166"/>
      <c r="N5806" s="167"/>
      <c r="O5806" s="163"/>
      <c r="P5806" s="163"/>
      <c r="Q5806" s="163"/>
      <c r="R5806" s="163"/>
      <c r="S5806" s="161"/>
      <c r="T5806" s="161"/>
      <c r="U5806" s="161"/>
      <c r="V5806" s="161"/>
      <c r="W5806" s="161"/>
      <c r="X5806" s="161"/>
      <c r="Y5806" s="161"/>
      <c r="Z5806" s="168"/>
      <c r="AA5806" s="168"/>
      <c r="AB5806" s="168"/>
      <c r="AC5806" s="168"/>
    </row>
    <row r="5807">
      <c r="A5807" s="161"/>
      <c r="B5807" s="161"/>
      <c r="C5807" s="162"/>
      <c r="D5807" s="163"/>
      <c r="E5807" s="163"/>
      <c r="F5807" s="163"/>
      <c r="G5807" s="163"/>
      <c r="H5807" s="163"/>
      <c r="I5807" s="163"/>
      <c r="J5807" s="165"/>
      <c r="K5807" s="165"/>
      <c r="L5807" s="165"/>
      <c r="M5807" s="166"/>
      <c r="N5807" s="167"/>
      <c r="O5807" s="163"/>
      <c r="P5807" s="163"/>
      <c r="Q5807" s="163"/>
      <c r="R5807" s="163"/>
      <c r="S5807" s="161"/>
      <c r="T5807" s="161"/>
      <c r="U5807" s="161"/>
      <c r="V5807" s="161"/>
      <c r="W5807" s="161"/>
      <c r="X5807" s="161"/>
      <c r="Y5807" s="161"/>
      <c r="Z5807" s="168"/>
      <c r="AA5807" s="168"/>
      <c r="AB5807" s="168"/>
      <c r="AC5807" s="168"/>
    </row>
    <row r="5808">
      <c r="A5808" s="161"/>
      <c r="B5808" s="161"/>
      <c r="C5808" s="162"/>
      <c r="D5808" s="163"/>
      <c r="E5808" s="163"/>
      <c r="F5808" s="163"/>
      <c r="G5808" s="163"/>
      <c r="H5808" s="163"/>
      <c r="I5808" s="163"/>
      <c r="J5808" s="165"/>
      <c r="K5808" s="165"/>
      <c r="L5808" s="165"/>
      <c r="M5808" s="166"/>
      <c r="N5808" s="167"/>
      <c r="O5808" s="163"/>
      <c r="P5808" s="163"/>
      <c r="Q5808" s="163"/>
      <c r="R5808" s="163"/>
      <c r="S5808" s="161"/>
      <c r="T5808" s="161"/>
      <c r="U5808" s="161"/>
      <c r="V5808" s="161"/>
      <c r="W5808" s="161"/>
      <c r="X5808" s="161"/>
      <c r="Y5808" s="161"/>
      <c r="Z5808" s="168"/>
      <c r="AA5808" s="168"/>
      <c r="AB5808" s="168"/>
      <c r="AC5808" s="168"/>
    </row>
    <row r="5809">
      <c r="A5809" s="161"/>
      <c r="B5809" s="161"/>
      <c r="C5809" s="162"/>
      <c r="D5809" s="163"/>
      <c r="E5809" s="163"/>
      <c r="F5809" s="163"/>
      <c r="G5809" s="163"/>
      <c r="H5809" s="163"/>
      <c r="I5809" s="163"/>
      <c r="J5809" s="165"/>
      <c r="K5809" s="165"/>
      <c r="L5809" s="165"/>
      <c r="M5809" s="166"/>
      <c r="N5809" s="167"/>
      <c r="O5809" s="163"/>
      <c r="P5809" s="163"/>
      <c r="Q5809" s="163"/>
      <c r="R5809" s="163"/>
      <c r="S5809" s="161"/>
      <c r="T5809" s="161"/>
      <c r="U5809" s="161"/>
      <c r="V5809" s="161"/>
      <c r="W5809" s="161"/>
      <c r="X5809" s="161"/>
      <c r="Y5809" s="161"/>
      <c r="Z5809" s="168"/>
      <c r="AA5809" s="168"/>
      <c r="AB5809" s="168"/>
      <c r="AC5809" s="168"/>
    </row>
    <row r="5810">
      <c r="A5810" s="161"/>
      <c r="B5810" s="161"/>
      <c r="C5810" s="162"/>
      <c r="D5810" s="163"/>
      <c r="E5810" s="163"/>
      <c r="F5810" s="163"/>
      <c r="G5810" s="163"/>
      <c r="H5810" s="163"/>
      <c r="I5810" s="163"/>
      <c r="J5810" s="165"/>
      <c r="K5810" s="165"/>
      <c r="L5810" s="165"/>
      <c r="M5810" s="166"/>
      <c r="N5810" s="167"/>
      <c r="O5810" s="163"/>
      <c r="P5810" s="163"/>
      <c r="Q5810" s="163"/>
      <c r="R5810" s="163"/>
      <c r="S5810" s="161"/>
      <c r="T5810" s="161"/>
      <c r="U5810" s="161"/>
      <c r="V5810" s="161"/>
      <c r="W5810" s="161"/>
      <c r="X5810" s="161"/>
      <c r="Y5810" s="161"/>
      <c r="Z5810" s="168"/>
      <c r="AA5810" s="168"/>
      <c r="AB5810" s="168"/>
      <c r="AC5810" s="168"/>
    </row>
    <row r="5811">
      <c r="A5811" s="161"/>
      <c r="B5811" s="161"/>
      <c r="C5811" s="162"/>
      <c r="D5811" s="163"/>
      <c r="E5811" s="163"/>
      <c r="F5811" s="163"/>
      <c r="G5811" s="163"/>
      <c r="H5811" s="163"/>
      <c r="I5811" s="163"/>
      <c r="J5811" s="165"/>
      <c r="K5811" s="165"/>
      <c r="L5811" s="165"/>
      <c r="M5811" s="166"/>
      <c r="N5811" s="167"/>
      <c r="O5811" s="163"/>
      <c r="P5811" s="163"/>
      <c r="Q5811" s="163"/>
      <c r="R5811" s="163"/>
      <c r="S5811" s="161"/>
      <c r="T5811" s="161"/>
      <c r="U5811" s="161"/>
      <c r="V5811" s="161"/>
      <c r="W5811" s="161"/>
      <c r="X5811" s="161"/>
      <c r="Y5811" s="161"/>
      <c r="Z5811" s="168"/>
      <c r="AA5811" s="168"/>
      <c r="AB5811" s="168"/>
      <c r="AC5811" s="168"/>
    </row>
    <row r="5812">
      <c r="A5812" s="161"/>
      <c r="B5812" s="161"/>
      <c r="C5812" s="162"/>
      <c r="D5812" s="163"/>
      <c r="E5812" s="163"/>
      <c r="F5812" s="163"/>
      <c r="G5812" s="163"/>
      <c r="H5812" s="163"/>
      <c r="I5812" s="163"/>
      <c r="J5812" s="165"/>
      <c r="K5812" s="165"/>
      <c r="L5812" s="165"/>
      <c r="M5812" s="166"/>
      <c r="N5812" s="167"/>
      <c r="O5812" s="163"/>
      <c r="P5812" s="163"/>
      <c r="Q5812" s="163"/>
      <c r="R5812" s="163"/>
      <c r="S5812" s="161"/>
      <c r="T5812" s="161"/>
      <c r="U5812" s="161"/>
      <c r="V5812" s="161"/>
      <c r="W5812" s="161"/>
      <c r="X5812" s="161"/>
      <c r="Y5812" s="161"/>
      <c r="Z5812" s="168"/>
      <c r="AA5812" s="168"/>
      <c r="AB5812" s="168"/>
      <c r="AC5812" s="168"/>
    </row>
    <row r="5813">
      <c r="A5813" s="161"/>
      <c r="B5813" s="161"/>
      <c r="C5813" s="162"/>
      <c r="D5813" s="163"/>
      <c r="E5813" s="163"/>
      <c r="F5813" s="163"/>
      <c r="G5813" s="163"/>
      <c r="H5813" s="163"/>
      <c r="I5813" s="163"/>
      <c r="J5813" s="165"/>
      <c r="K5813" s="165"/>
      <c r="L5813" s="165"/>
      <c r="M5813" s="166"/>
      <c r="N5813" s="167"/>
      <c r="O5813" s="163"/>
      <c r="P5813" s="163"/>
      <c r="Q5813" s="163"/>
      <c r="R5813" s="163"/>
      <c r="S5813" s="161"/>
      <c r="T5813" s="161"/>
      <c r="U5813" s="161"/>
      <c r="V5813" s="161"/>
      <c r="W5813" s="161"/>
      <c r="X5813" s="161"/>
      <c r="Y5813" s="161"/>
      <c r="Z5813" s="168"/>
      <c r="AA5813" s="168"/>
      <c r="AB5813" s="168"/>
      <c r="AC5813" s="168"/>
    </row>
    <row r="5814">
      <c r="A5814" s="161"/>
      <c r="B5814" s="161"/>
      <c r="C5814" s="162"/>
      <c r="D5814" s="163"/>
      <c r="E5814" s="163"/>
      <c r="F5814" s="163"/>
      <c r="G5814" s="163"/>
      <c r="H5814" s="163"/>
      <c r="I5814" s="163"/>
      <c r="J5814" s="165"/>
      <c r="K5814" s="165"/>
      <c r="L5814" s="165"/>
      <c r="M5814" s="166"/>
      <c r="N5814" s="167"/>
      <c r="O5814" s="163"/>
      <c r="P5814" s="163"/>
      <c r="Q5814" s="163"/>
      <c r="R5814" s="163"/>
      <c r="S5814" s="161"/>
      <c r="T5814" s="161"/>
      <c r="U5814" s="161"/>
      <c r="V5814" s="161"/>
      <c r="W5814" s="161"/>
      <c r="X5814" s="161"/>
      <c r="Y5814" s="161"/>
      <c r="Z5814" s="168"/>
      <c r="AA5814" s="168"/>
      <c r="AB5814" s="168"/>
      <c r="AC5814" s="168"/>
    </row>
    <row r="5815">
      <c r="A5815" s="161"/>
      <c r="B5815" s="161"/>
      <c r="C5815" s="162"/>
      <c r="D5815" s="163"/>
      <c r="E5815" s="163"/>
      <c r="F5815" s="163"/>
      <c r="G5815" s="163"/>
      <c r="H5815" s="163"/>
      <c r="I5815" s="163"/>
      <c r="J5815" s="165"/>
      <c r="K5815" s="165"/>
      <c r="L5815" s="165"/>
      <c r="M5815" s="166"/>
      <c r="N5815" s="167"/>
      <c r="O5815" s="163"/>
      <c r="P5815" s="163"/>
      <c r="Q5815" s="163"/>
      <c r="R5815" s="163"/>
      <c r="S5815" s="161"/>
      <c r="T5815" s="161"/>
      <c r="U5815" s="161"/>
      <c r="V5815" s="161"/>
      <c r="W5815" s="161"/>
      <c r="X5815" s="161"/>
      <c r="Y5815" s="161"/>
      <c r="Z5815" s="168"/>
      <c r="AA5815" s="168"/>
      <c r="AB5815" s="168"/>
      <c r="AC5815" s="168"/>
    </row>
    <row r="5816">
      <c r="A5816" s="161"/>
      <c r="B5816" s="161"/>
      <c r="C5816" s="162"/>
      <c r="D5816" s="163"/>
      <c r="E5816" s="163"/>
      <c r="F5816" s="163"/>
      <c r="G5816" s="163"/>
      <c r="H5816" s="163"/>
      <c r="I5816" s="163"/>
      <c r="J5816" s="165"/>
      <c r="K5816" s="165"/>
      <c r="L5816" s="165"/>
      <c r="M5816" s="166"/>
      <c r="N5816" s="167"/>
      <c r="O5816" s="163"/>
      <c r="P5816" s="163"/>
      <c r="Q5816" s="163"/>
      <c r="R5816" s="163"/>
      <c r="S5816" s="161"/>
      <c r="T5816" s="161"/>
      <c r="U5816" s="161"/>
      <c r="V5816" s="161"/>
      <c r="W5816" s="161"/>
      <c r="X5816" s="161"/>
      <c r="Y5816" s="161"/>
      <c r="Z5816" s="168"/>
      <c r="AA5816" s="168"/>
      <c r="AB5816" s="168"/>
      <c r="AC5816" s="168"/>
    </row>
    <row r="5817">
      <c r="A5817" s="161"/>
      <c r="B5817" s="161"/>
      <c r="C5817" s="162"/>
      <c r="D5817" s="163"/>
      <c r="E5817" s="163"/>
      <c r="F5817" s="163"/>
      <c r="G5817" s="163"/>
      <c r="H5817" s="163"/>
      <c r="I5817" s="163"/>
      <c r="J5817" s="165"/>
      <c r="K5817" s="165"/>
      <c r="L5817" s="165"/>
      <c r="M5817" s="166"/>
      <c r="N5817" s="167"/>
      <c r="O5817" s="163"/>
      <c r="P5817" s="163"/>
      <c r="Q5817" s="163"/>
      <c r="R5817" s="163"/>
      <c r="S5817" s="161"/>
      <c r="T5817" s="161"/>
      <c r="U5817" s="161"/>
      <c r="V5817" s="161"/>
      <c r="W5817" s="161"/>
      <c r="X5817" s="161"/>
      <c r="Y5817" s="161"/>
      <c r="Z5817" s="168"/>
      <c r="AA5817" s="168"/>
      <c r="AB5817" s="168"/>
      <c r="AC5817" s="168"/>
    </row>
    <row r="5818">
      <c r="A5818" s="161"/>
      <c r="B5818" s="161"/>
      <c r="C5818" s="162"/>
      <c r="D5818" s="163"/>
      <c r="E5818" s="163"/>
      <c r="F5818" s="163"/>
      <c r="G5818" s="163"/>
      <c r="H5818" s="163"/>
      <c r="I5818" s="163"/>
      <c r="J5818" s="165"/>
      <c r="K5818" s="165"/>
      <c r="L5818" s="165"/>
      <c r="M5818" s="166"/>
      <c r="N5818" s="167"/>
      <c r="O5818" s="163"/>
      <c r="P5818" s="163"/>
      <c r="Q5818" s="163"/>
      <c r="R5818" s="163"/>
      <c r="S5818" s="161"/>
      <c r="T5818" s="161"/>
      <c r="U5818" s="161"/>
      <c r="V5818" s="161"/>
      <c r="W5818" s="161"/>
      <c r="X5818" s="161"/>
      <c r="Y5818" s="161"/>
      <c r="Z5818" s="168"/>
      <c r="AA5818" s="168"/>
      <c r="AB5818" s="168"/>
      <c r="AC5818" s="168"/>
    </row>
    <row r="5819">
      <c r="A5819" s="161"/>
      <c r="B5819" s="161"/>
      <c r="C5819" s="162"/>
      <c r="D5819" s="163"/>
      <c r="E5819" s="163"/>
      <c r="F5819" s="163"/>
      <c r="G5819" s="163"/>
      <c r="H5819" s="163"/>
      <c r="I5819" s="163"/>
      <c r="J5819" s="165"/>
      <c r="K5819" s="165"/>
      <c r="L5819" s="165"/>
      <c r="M5819" s="166"/>
      <c r="N5819" s="167"/>
      <c r="O5819" s="163"/>
      <c r="P5819" s="163"/>
      <c r="Q5819" s="163"/>
      <c r="R5819" s="163"/>
      <c r="S5819" s="161"/>
      <c r="T5819" s="161"/>
      <c r="U5819" s="161"/>
      <c r="V5819" s="161"/>
      <c r="W5819" s="161"/>
      <c r="X5819" s="161"/>
      <c r="Y5819" s="161"/>
      <c r="Z5819" s="168"/>
      <c r="AA5819" s="168"/>
      <c r="AB5819" s="168"/>
      <c r="AC5819" s="168"/>
    </row>
    <row r="5820">
      <c r="A5820" s="161"/>
      <c r="B5820" s="161"/>
      <c r="C5820" s="162"/>
      <c r="D5820" s="163"/>
      <c r="E5820" s="163"/>
      <c r="F5820" s="163"/>
      <c r="G5820" s="163"/>
      <c r="H5820" s="163"/>
      <c r="I5820" s="163"/>
      <c r="J5820" s="165"/>
      <c r="K5820" s="165"/>
      <c r="L5820" s="165"/>
      <c r="M5820" s="166"/>
      <c r="N5820" s="167"/>
      <c r="O5820" s="163"/>
      <c r="P5820" s="163"/>
      <c r="Q5820" s="163"/>
      <c r="R5820" s="163"/>
      <c r="S5820" s="161"/>
      <c r="T5820" s="161"/>
      <c r="U5820" s="161"/>
      <c r="V5820" s="161"/>
      <c r="W5820" s="161"/>
      <c r="X5820" s="161"/>
      <c r="Y5820" s="161"/>
      <c r="Z5820" s="168"/>
      <c r="AA5820" s="168"/>
      <c r="AB5820" s="168"/>
      <c r="AC5820" s="168"/>
    </row>
    <row r="5821">
      <c r="A5821" s="161"/>
      <c r="B5821" s="161"/>
      <c r="C5821" s="162"/>
      <c r="D5821" s="163"/>
      <c r="E5821" s="163"/>
      <c r="F5821" s="163"/>
      <c r="G5821" s="163"/>
      <c r="H5821" s="163"/>
      <c r="I5821" s="163"/>
      <c r="J5821" s="165"/>
      <c r="K5821" s="165"/>
      <c r="L5821" s="165"/>
      <c r="M5821" s="166"/>
      <c r="N5821" s="167"/>
      <c r="O5821" s="163"/>
      <c r="P5821" s="163"/>
      <c r="Q5821" s="163"/>
      <c r="R5821" s="163"/>
      <c r="S5821" s="161"/>
      <c r="T5821" s="161"/>
      <c r="U5821" s="161"/>
      <c r="V5821" s="161"/>
      <c r="W5821" s="161"/>
      <c r="X5821" s="161"/>
      <c r="Y5821" s="161"/>
      <c r="Z5821" s="168"/>
      <c r="AA5821" s="168"/>
      <c r="AB5821" s="168"/>
      <c r="AC5821" s="168"/>
    </row>
    <row r="5822">
      <c r="A5822" s="161"/>
      <c r="B5822" s="161"/>
      <c r="C5822" s="162"/>
      <c r="D5822" s="163"/>
      <c r="E5822" s="163"/>
      <c r="F5822" s="163"/>
      <c r="G5822" s="163"/>
      <c r="H5822" s="163"/>
      <c r="I5822" s="163"/>
      <c r="J5822" s="165"/>
      <c r="K5822" s="165"/>
      <c r="L5822" s="165"/>
      <c r="M5822" s="166"/>
      <c r="N5822" s="167"/>
      <c r="O5822" s="163"/>
      <c r="P5822" s="163"/>
      <c r="Q5822" s="163"/>
      <c r="R5822" s="163"/>
      <c r="S5822" s="161"/>
      <c r="T5822" s="161"/>
      <c r="U5822" s="161"/>
      <c r="V5822" s="161"/>
      <c r="W5822" s="161"/>
      <c r="X5822" s="161"/>
      <c r="Y5822" s="161"/>
      <c r="Z5822" s="168"/>
      <c r="AA5822" s="168"/>
      <c r="AB5822" s="168"/>
      <c r="AC5822" s="168"/>
    </row>
    <row r="5823">
      <c r="A5823" s="161"/>
      <c r="B5823" s="161"/>
      <c r="C5823" s="162"/>
      <c r="D5823" s="163"/>
      <c r="E5823" s="163"/>
      <c r="F5823" s="163"/>
      <c r="G5823" s="163"/>
      <c r="H5823" s="163"/>
      <c r="I5823" s="163"/>
      <c r="J5823" s="165"/>
      <c r="K5823" s="165"/>
      <c r="L5823" s="165"/>
      <c r="M5823" s="166"/>
      <c r="N5823" s="167"/>
      <c r="O5823" s="163"/>
      <c r="P5823" s="163"/>
      <c r="Q5823" s="163"/>
      <c r="R5823" s="163"/>
      <c r="S5823" s="161"/>
      <c r="T5823" s="161"/>
      <c r="U5823" s="161"/>
      <c r="V5823" s="161"/>
      <c r="W5823" s="161"/>
      <c r="X5823" s="161"/>
      <c r="Y5823" s="161"/>
      <c r="Z5823" s="168"/>
      <c r="AA5823" s="168"/>
      <c r="AB5823" s="168"/>
      <c r="AC5823" s="168"/>
    </row>
    <row r="5824">
      <c r="A5824" s="161"/>
      <c r="B5824" s="161"/>
      <c r="C5824" s="162"/>
      <c r="D5824" s="163"/>
      <c r="E5824" s="163"/>
      <c r="F5824" s="163"/>
      <c r="G5824" s="163"/>
      <c r="H5824" s="163"/>
      <c r="I5824" s="163"/>
      <c r="J5824" s="165"/>
      <c r="K5824" s="165"/>
      <c r="L5824" s="165"/>
      <c r="M5824" s="166"/>
      <c r="N5824" s="167"/>
      <c r="O5824" s="163"/>
      <c r="P5824" s="163"/>
      <c r="Q5824" s="163"/>
      <c r="R5824" s="163"/>
      <c r="S5824" s="161"/>
      <c r="T5824" s="161"/>
      <c r="U5824" s="161"/>
      <c r="V5824" s="161"/>
      <c r="W5824" s="161"/>
      <c r="X5824" s="161"/>
      <c r="Y5824" s="161"/>
      <c r="Z5824" s="168"/>
      <c r="AA5824" s="168"/>
      <c r="AB5824" s="168"/>
      <c r="AC5824" s="168"/>
    </row>
    <row r="5825">
      <c r="A5825" s="161"/>
      <c r="B5825" s="161"/>
      <c r="C5825" s="162"/>
      <c r="D5825" s="163"/>
      <c r="E5825" s="163"/>
      <c r="F5825" s="163"/>
      <c r="G5825" s="163"/>
      <c r="H5825" s="163"/>
      <c r="I5825" s="163"/>
      <c r="J5825" s="165"/>
      <c r="K5825" s="165"/>
      <c r="L5825" s="165"/>
      <c r="M5825" s="166"/>
      <c r="N5825" s="167"/>
      <c r="O5825" s="163"/>
      <c r="P5825" s="163"/>
      <c r="Q5825" s="163"/>
      <c r="R5825" s="163"/>
      <c r="S5825" s="161"/>
      <c r="T5825" s="161"/>
      <c r="U5825" s="161"/>
      <c r="V5825" s="161"/>
      <c r="W5825" s="161"/>
      <c r="X5825" s="161"/>
      <c r="Y5825" s="161"/>
      <c r="Z5825" s="168"/>
      <c r="AA5825" s="168"/>
      <c r="AB5825" s="168"/>
      <c r="AC5825" s="168"/>
    </row>
    <row r="5826">
      <c r="A5826" s="161"/>
      <c r="B5826" s="161"/>
      <c r="C5826" s="162"/>
      <c r="D5826" s="163"/>
      <c r="E5826" s="163"/>
      <c r="F5826" s="163"/>
      <c r="G5826" s="163"/>
      <c r="H5826" s="163"/>
      <c r="I5826" s="163"/>
      <c r="J5826" s="165"/>
      <c r="K5826" s="165"/>
      <c r="L5826" s="165"/>
      <c r="M5826" s="166"/>
      <c r="N5826" s="167"/>
      <c r="O5826" s="163"/>
      <c r="P5826" s="163"/>
      <c r="Q5826" s="163"/>
      <c r="R5826" s="163"/>
      <c r="S5826" s="161"/>
      <c r="T5826" s="161"/>
      <c r="U5826" s="161"/>
      <c r="V5826" s="161"/>
      <c r="W5826" s="161"/>
      <c r="X5826" s="161"/>
      <c r="Y5826" s="161"/>
      <c r="Z5826" s="168"/>
      <c r="AA5826" s="168"/>
      <c r="AB5826" s="168"/>
      <c r="AC5826" s="168"/>
    </row>
    <row r="5827">
      <c r="A5827" s="161"/>
      <c r="B5827" s="161"/>
      <c r="C5827" s="162"/>
      <c r="D5827" s="163"/>
      <c r="E5827" s="163"/>
      <c r="F5827" s="163"/>
      <c r="G5827" s="163"/>
      <c r="H5827" s="163"/>
      <c r="I5827" s="163"/>
      <c r="J5827" s="165"/>
      <c r="K5827" s="165"/>
      <c r="L5827" s="165"/>
      <c r="M5827" s="166"/>
      <c r="N5827" s="167"/>
      <c r="O5827" s="163"/>
      <c r="P5827" s="163"/>
      <c r="Q5827" s="163"/>
      <c r="R5827" s="163"/>
      <c r="S5827" s="161"/>
      <c r="T5827" s="161"/>
      <c r="U5827" s="161"/>
      <c r="V5827" s="161"/>
      <c r="W5827" s="161"/>
      <c r="X5827" s="161"/>
      <c r="Y5827" s="161"/>
      <c r="Z5827" s="168"/>
      <c r="AA5827" s="168"/>
      <c r="AB5827" s="168"/>
      <c r="AC5827" s="168"/>
    </row>
    <row r="5828">
      <c r="A5828" s="161"/>
      <c r="B5828" s="161"/>
      <c r="C5828" s="162"/>
      <c r="D5828" s="163"/>
      <c r="E5828" s="163"/>
      <c r="F5828" s="163"/>
      <c r="G5828" s="163"/>
      <c r="H5828" s="163"/>
      <c r="I5828" s="163"/>
      <c r="J5828" s="165"/>
      <c r="K5828" s="165"/>
      <c r="L5828" s="165"/>
      <c r="M5828" s="166"/>
      <c r="N5828" s="167"/>
      <c r="O5828" s="163"/>
      <c r="P5828" s="163"/>
      <c r="Q5828" s="163"/>
      <c r="R5828" s="163"/>
      <c r="S5828" s="161"/>
      <c r="T5828" s="161"/>
      <c r="U5828" s="161"/>
      <c r="V5828" s="161"/>
      <c r="W5828" s="161"/>
      <c r="X5828" s="161"/>
      <c r="Y5828" s="161"/>
      <c r="Z5828" s="168"/>
      <c r="AA5828" s="168"/>
      <c r="AB5828" s="168"/>
      <c r="AC5828" s="168"/>
    </row>
    <row r="5829">
      <c r="A5829" s="161"/>
      <c r="B5829" s="161"/>
      <c r="C5829" s="162"/>
      <c r="D5829" s="163"/>
      <c r="E5829" s="163"/>
      <c r="F5829" s="163"/>
      <c r="G5829" s="163"/>
      <c r="H5829" s="163"/>
      <c r="I5829" s="163"/>
      <c r="J5829" s="165"/>
      <c r="K5829" s="165"/>
      <c r="L5829" s="165"/>
      <c r="M5829" s="166"/>
      <c r="N5829" s="167"/>
      <c r="O5829" s="163"/>
      <c r="P5829" s="163"/>
      <c r="Q5829" s="163"/>
      <c r="R5829" s="163"/>
      <c r="S5829" s="161"/>
      <c r="T5829" s="161"/>
      <c r="U5829" s="161"/>
      <c r="V5829" s="161"/>
      <c r="W5829" s="161"/>
      <c r="X5829" s="161"/>
      <c r="Y5829" s="161"/>
      <c r="Z5829" s="168"/>
      <c r="AA5829" s="168"/>
      <c r="AB5829" s="168"/>
      <c r="AC5829" s="168"/>
    </row>
    <row r="5830">
      <c r="A5830" s="161"/>
      <c r="B5830" s="161"/>
      <c r="C5830" s="162"/>
      <c r="D5830" s="163"/>
      <c r="E5830" s="163"/>
      <c r="F5830" s="163"/>
      <c r="G5830" s="163"/>
      <c r="H5830" s="163"/>
      <c r="I5830" s="163"/>
      <c r="J5830" s="165"/>
      <c r="K5830" s="165"/>
      <c r="L5830" s="165"/>
      <c r="M5830" s="166"/>
      <c r="N5830" s="167"/>
      <c r="O5830" s="163"/>
      <c r="P5830" s="163"/>
      <c r="Q5830" s="163"/>
      <c r="R5830" s="163"/>
      <c r="S5830" s="161"/>
      <c r="T5830" s="161"/>
      <c r="U5830" s="161"/>
      <c r="V5830" s="161"/>
      <c r="W5830" s="161"/>
      <c r="X5830" s="161"/>
      <c r="Y5830" s="161"/>
      <c r="Z5830" s="168"/>
      <c r="AA5830" s="168"/>
      <c r="AB5830" s="168"/>
      <c r="AC5830" s="168"/>
    </row>
    <row r="5831">
      <c r="A5831" s="161"/>
      <c r="B5831" s="161"/>
      <c r="C5831" s="162"/>
      <c r="D5831" s="163"/>
      <c r="E5831" s="163"/>
      <c r="F5831" s="163"/>
      <c r="G5831" s="163"/>
      <c r="H5831" s="163"/>
      <c r="I5831" s="163"/>
      <c r="J5831" s="165"/>
      <c r="K5831" s="165"/>
      <c r="L5831" s="165"/>
      <c r="M5831" s="166"/>
      <c r="N5831" s="167"/>
      <c r="O5831" s="163"/>
      <c r="P5831" s="163"/>
      <c r="Q5831" s="163"/>
      <c r="R5831" s="163"/>
      <c r="S5831" s="161"/>
      <c r="T5831" s="161"/>
      <c r="U5831" s="161"/>
      <c r="V5831" s="161"/>
      <c r="W5831" s="161"/>
      <c r="X5831" s="161"/>
      <c r="Y5831" s="161"/>
      <c r="Z5831" s="168"/>
      <c r="AA5831" s="168"/>
      <c r="AB5831" s="168"/>
      <c r="AC5831" s="168"/>
    </row>
    <row r="5832">
      <c r="A5832" s="161"/>
      <c r="B5832" s="161"/>
      <c r="C5832" s="162"/>
      <c r="D5832" s="163"/>
      <c r="E5832" s="163"/>
      <c r="F5832" s="163"/>
      <c r="G5832" s="163"/>
      <c r="H5832" s="163"/>
      <c r="I5832" s="163"/>
      <c r="J5832" s="165"/>
      <c r="K5832" s="165"/>
      <c r="L5832" s="165"/>
      <c r="M5832" s="166"/>
      <c r="N5832" s="167"/>
      <c r="O5832" s="163"/>
      <c r="P5832" s="163"/>
      <c r="Q5832" s="163"/>
      <c r="R5832" s="163"/>
      <c r="S5832" s="161"/>
      <c r="T5832" s="161"/>
      <c r="U5832" s="161"/>
      <c r="V5832" s="161"/>
      <c r="W5832" s="161"/>
      <c r="X5832" s="161"/>
      <c r="Y5832" s="161"/>
      <c r="Z5832" s="168"/>
      <c r="AA5832" s="168"/>
      <c r="AB5832" s="168"/>
      <c r="AC5832" s="168"/>
    </row>
    <row r="5833">
      <c r="A5833" s="161"/>
      <c r="B5833" s="161"/>
      <c r="C5833" s="162"/>
      <c r="D5833" s="163"/>
      <c r="E5833" s="163"/>
      <c r="F5833" s="163"/>
      <c r="G5833" s="163"/>
      <c r="H5833" s="163"/>
      <c r="I5833" s="163"/>
      <c r="J5833" s="165"/>
      <c r="K5833" s="165"/>
      <c r="L5833" s="165"/>
      <c r="M5833" s="166"/>
      <c r="N5833" s="167"/>
      <c r="O5833" s="163"/>
      <c r="P5833" s="163"/>
      <c r="Q5833" s="163"/>
      <c r="R5833" s="163"/>
      <c r="S5833" s="161"/>
      <c r="T5833" s="161"/>
      <c r="U5833" s="161"/>
      <c r="V5833" s="161"/>
      <c r="W5833" s="161"/>
      <c r="X5833" s="161"/>
      <c r="Y5833" s="161"/>
      <c r="Z5833" s="168"/>
      <c r="AA5833" s="168"/>
      <c r="AB5833" s="168"/>
      <c r="AC5833" s="168"/>
    </row>
    <row r="5834">
      <c r="A5834" s="161"/>
      <c r="B5834" s="161"/>
      <c r="C5834" s="162"/>
      <c r="D5834" s="163"/>
      <c r="E5834" s="163"/>
      <c r="F5834" s="163"/>
      <c r="G5834" s="163"/>
      <c r="H5834" s="163"/>
      <c r="I5834" s="163"/>
      <c r="J5834" s="165"/>
      <c r="K5834" s="165"/>
      <c r="L5834" s="165"/>
      <c r="M5834" s="166"/>
      <c r="N5834" s="167"/>
      <c r="O5834" s="163"/>
      <c r="P5834" s="163"/>
      <c r="Q5834" s="163"/>
      <c r="R5834" s="163"/>
      <c r="S5834" s="161"/>
      <c r="T5834" s="161"/>
      <c r="U5834" s="161"/>
      <c r="V5834" s="161"/>
      <c r="W5834" s="161"/>
      <c r="X5834" s="161"/>
      <c r="Y5834" s="161"/>
      <c r="Z5834" s="168"/>
      <c r="AA5834" s="168"/>
      <c r="AB5834" s="168"/>
      <c r="AC5834" s="168"/>
    </row>
    <row r="5835">
      <c r="A5835" s="161"/>
      <c r="B5835" s="161"/>
      <c r="C5835" s="162"/>
      <c r="D5835" s="163"/>
      <c r="E5835" s="163"/>
      <c r="F5835" s="163"/>
      <c r="G5835" s="163"/>
      <c r="H5835" s="163"/>
      <c r="I5835" s="163"/>
      <c r="J5835" s="165"/>
      <c r="K5835" s="165"/>
      <c r="L5835" s="165"/>
      <c r="M5835" s="166"/>
      <c r="N5835" s="167"/>
      <c r="O5835" s="163"/>
      <c r="P5835" s="163"/>
      <c r="Q5835" s="163"/>
      <c r="R5835" s="163"/>
      <c r="S5835" s="161"/>
      <c r="T5835" s="161"/>
      <c r="U5835" s="161"/>
      <c r="V5835" s="161"/>
      <c r="W5835" s="161"/>
      <c r="X5835" s="161"/>
      <c r="Y5835" s="161"/>
      <c r="Z5835" s="168"/>
      <c r="AA5835" s="168"/>
      <c r="AB5835" s="168"/>
      <c r="AC5835" s="168"/>
    </row>
    <row r="5836">
      <c r="A5836" s="161"/>
      <c r="B5836" s="161"/>
      <c r="C5836" s="162"/>
      <c r="D5836" s="163"/>
      <c r="E5836" s="163"/>
      <c r="F5836" s="163"/>
      <c r="G5836" s="163"/>
      <c r="H5836" s="163"/>
      <c r="I5836" s="163"/>
      <c r="J5836" s="165"/>
      <c r="K5836" s="165"/>
      <c r="L5836" s="165"/>
      <c r="M5836" s="166"/>
      <c r="N5836" s="167"/>
      <c r="O5836" s="163"/>
      <c r="P5836" s="163"/>
      <c r="Q5836" s="163"/>
      <c r="R5836" s="163"/>
      <c r="S5836" s="161"/>
      <c r="T5836" s="161"/>
      <c r="U5836" s="161"/>
      <c r="V5836" s="161"/>
      <c r="W5836" s="161"/>
      <c r="X5836" s="161"/>
      <c r="Y5836" s="161"/>
      <c r="Z5836" s="168"/>
      <c r="AA5836" s="168"/>
      <c r="AB5836" s="168"/>
      <c r="AC5836" s="168"/>
    </row>
    <row r="5837">
      <c r="A5837" s="161"/>
      <c r="B5837" s="161"/>
      <c r="C5837" s="162"/>
      <c r="D5837" s="163"/>
      <c r="E5837" s="163"/>
      <c r="F5837" s="163"/>
      <c r="G5837" s="163"/>
      <c r="H5837" s="163"/>
      <c r="I5837" s="163"/>
      <c r="J5837" s="165"/>
      <c r="K5837" s="165"/>
      <c r="L5837" s="165"/>
      <c r="M5837" s="166"/>
      <c r="N5837" s="167"/>
      <c r="O5837" s="163"/>
      <c r="P5837" s="163"/>
      <c r="Q5837" s="163"/>
      <c r="R5837" s="163"/>
      <c r="S5837" s="161"/>
      <c r="T5837" s="161"/>
      <c r="U5837" s="161"/>
      <c r="V5837" s="161"/>
      <c r="W5837" s="161"/>
      <c r="X5837" s="161"/>
      <c r="Y5837" s="161"/>
      <c r="Z5837" s="168"/>
      <c r="AA5837" s="168"/>
      <c r="AB5837" s="168"/>
      <c r="AC5837" s="168"/>
    </row>
    <row r="5838">
      <c r="A5838" s="161"/>
      <c r="B5838" s="161"/>
      <c r="C5838" s="162"/>
      <c r="D5838" s="163"/>
      <c r="E5838" s="163"/>
      <c r="F5838" s="163"/>
      <c r="G5838" s="163"/>
      <c r="H5838" s="163"/>
      <c r="I5838" s="163"/>
      <c r="J5838" s="165"/>
      <c r="K5838" s="165"/>
      <c r="L5838" s="165"/>
      <c r="M5838" s="166"/>
      <c r="N5838" s="167"/>
      <c r="O5838" s="163"/>
      <c r="P5838" s="163"/>
      <c r="Q5838" s="163"/>
      <c r="R5838" s="163"/>
      <c r="S5838" s="161"/>
      <c r="T5838" s="161"/>
      <c r="U5838" s="161"/>
      <c r="V5838" s="161"/>
      <c r="W5838" s="161"/>
      <c r="X5838" s="161"/>
      <c r="Y5838" s="161"/>
      <c r="Z5838" s="168"/>
      <c r="AA5838" s="168"/>
      <c r="AB5838" s="168"/>
      <c r="AC5838" s="168"/>
    </row>
    <row r="5839">
      <c r="A5839" s="161"/>
      <c r="B5839" s="161"/>
      <c r="C5839" s="162"/>
      <c r="D5839" s="163"/>
      <c r="E5839" s="163"/>
      <c r="F5839" s="163"/>
      <c r="G5839" s="163"/>
      <c r="H5839" s="163"/>
      <c r="I5839" s="163"/>
      <c r="J5839" s="165"/>
      <c r="K5839" s="165"/>
      <c r="L5839" s="165"/>
      <c r="M5839" s="166"/>
      <c r="N5839" s="167"/>
      <c r="O5839" s="163"/>
      <c r="P5839" s="163"/>
      <c r="Q5839" s="163"/>
      <c r="R5839" s="163"/>
      <c r="S5839" s="161"/>
      <c r="T5839" s="161"/>
      <c r="U5839" s="161"/>
      <c r="V5839" s="161"/>
      <c r="W5839" s="161"/>
      <c r="X5839" s="161"/>
      <c r="Y5839" s="161"/>
      <c r="Z5839" s="168"/>
      <c r="AA5839" s="168"/>
      <c r="AB5839" s="168"/>
      <c r="AC5839" s="168"/>
    </row>
    <row r="5840">
      <c r="A5840" s="161"/>
      <c r="B5840" s="161"/>
      <c r="C5840" s="162"/>
      <c r="D5840" s="163"/>
      <c r="E5840" s="163"/>
      <c r="F5840" s="163"/>
      <c r="G5840" s="163"/>
      <c r="H5840" s="163"/>
      <c r="I5840" s="163"/>
      <c r="J5840" s="165"/>
      <c r="K5840" s="165"/>
      <c r="L5840" s="165"/>
      <c r="M5840" s="166"/>
      <c r="N5840" s="167"/>
      <c r="O5840" s="163"/>
      <c r="P5840" s="163"/>
      <c r="Q5840" s="163"/>
      <c r="R5840" s="163"/>
      <c r="S5840" s="161"/>
      <c r="T5840" s="161"/>
      <c r="U5840" s="161"/>
      <c r="V5840" s="161"/>
      <c r="W5840" s="161"/>
      <c r="X5840" s="161"/>
      <c r="Y5840" s="161"/>
      <c r="Z5840" s="168"/>
      <c r="AA5840" s="168"/>
      <c r="AB5840" s="168"/>
      <c r="AC5840" s="168"/>
    </row>
    <row r="5841">
      <c r="A5841" s="161"/>
      <c r="B5841" s="161"/>
      <c r="C5841" s="162"/>
      <c r="D5841" s="163"/>
      <c r="E5841" s="163"/>
      <c r="F5841" s="163"/>
      <c r="G5841" s="163"/>
      <c r="H5841" s="163"/>
      <c r="I5841" s="163"/>
      <c r="J5841" s="165"/>
      <c r="K5841" s="165"/>
      <c r="L5841" s="165"/>
      <c r="M5841" s="166"/>
      <c r="N5841" s="167"/>
      <c r="O5841" s="163"/>
      <c r="P5841" s="163"/>
      <c r="Q5841" s="163"/>
      <c r="R5841" s="163"/>
      <c r="S5841" s="161"/>
      <c r="T5841" s="161"/>
      <c r="U5841" s="161"/>
      <c r="V5841" s="161"/>
      <c r="W5841" s="161"/>
      <c r="X5841" s="161"/>
      <c r="Y5841" s="161"/>
      <c r="Z5841" s="168"/>
      <c r="AA5841" s="168"/>
      <c r="AB5841" s="168"/>
      <c r="AC5841" s="168"/>
    </row>
    <row r="5842">
      <c r="A5842" s="161"/>
      <c r="B5842" s="161"/>
      <c r="C5842" s="162"/>
      <c r="D5842" s="163"/>
      <c r="E5842" s="163"/>
      <c r="F5842" s="163"/>
      <c r="G5842" s="163"/>
      <c r="H5842" s="163"/>
      <c r="I5842" s="163"/>
      <c r="J5842" s="165"/>
      <c r="K5842" s="165"/>
      <c r="L5842" s="165"/>
      <c r="M5842" s="166"/>
      <c r="N5842" s="167"/>
      <c r="O5842" s="163"/>
      <c r="P5842" s="163"/>
      <c r="Q5842" s="163"/>
      <c r="R5842" s="163"/>
      <c r="S5842" s="161"/>
      <c r="T5842" s="161"/>
      <c r="U5842" s="161"/>
      <c r="V5842" s="161"/>
      <c r="W5842" s="161"/>
      <c r="X5842" s="161"/>
      <c r="Y5842" s="161"/>
      <c r="Z5842" s="168"/>
      <c r="AA5842" s="168"/>
      <c r="AB5842" s="168"/>
      <c r="AC5842" s="168"/>
    </row>
    <row r="5843">
      <c r="A5843" s="161"/>
      <c r="B5843" s="161"/>
      <c r="C5843" s="162"/>
      <c r="D5843" s="163"/>
      <c r="E5843" s="163"/>
      <c r="F5843" s="163"/>
      <c r="G5843" s="163"/>
      <c r="H5843" s="163"/>
      <c r="I5843" s="163"/>
      <c r="J5843" s="165"/>
      <c r="K5843" s="165"/>
      <c r="L5843" s="165"/>
      <c r="M5843" s="166"/>
      <c r="N5843" s="167"/>
      <c r="O5843" s="163"/>
      <c r="P5843" s="163"/>
      <c r="Q5843" s="163"/>
      <c r="R5843" s="163"/>
      <c r="S5843" s="161"/>
      <c r="T5843" s="161"/>
      <c r="U5843" s="161"/>
      <c r="V5843" s="161"/>
      <c r="W5843" s="161"/>
      <c r="X5843" s="161"/>
      <c r="Y5843" s="161"/>
      <c r="Z5843" s="168"/>
      <c r="AA5843" s="168"/>
      <c r="AB5843" s="168"/>
      <c r="AC5843" s="168"/>
    </row>
    <row r="5844">
      <c r="A5844" s="161"/>
      <c r="B5844" s="161"/>
      <c r="C5844" s="162"/>
      <c r="D5844" s="163"/>
      <c r="E5844" s="163"/>
      <c r="F5844" s="163"/>
      <c r="G5844" s="163"/>
      <c r="H5844" s="163"/>
      <c r="I5844" s="163"/>
      <c r="J5844" s="165"/>
      <c r="K5844" s="165"/>
      <c r="L5844" s="165"/>
      <c r="M5844" s="166"/>
      <c r="N5844" s="167"/>
      <c r="O5844" s="163"/>
      <c r="P5844" s="163"/>
      <c r="Q5844" s="163"/>
      <c r="R5844" s="163"/>
      <c r="S5844" s="161"/>
      <c r="T5844" s="161"/>
      <c r="U5844" s="161"/>
      <c r="V5844" s="161"/>
      <c r="W5844" s="161"/>
      <c r="X5844" s="161"/>
      <c r="Y5844" s="161"/>
      <c r="Z5844" s="168"/>
      <c r="AA5844" s="168"/>
      <c r="AB5844" s="168"/>
      <c r="AC5844" s="168"/>
    </row>
    <row r="5845">
      <c r="A5845" s="161"/>
      <c r="B5845" s="161"/>
      <c r="C5845" s="162"/>
      <c r="D5845" s="163"/>
      <c r="E5845" s="163"/>
      <c r="F5845" s="163"/>
      <c r="G5845" s="163"/>
      <c r="H5845" s="163"/>
      <c r="I5845" s="163"/>
      <c r="J5845" s="165"/>
      <c r="K5845" s="165"/>
      <c r="L5845" s="165"/>
      <c r="M5845" s="166"/>
      <c r="N5845" s="167"/>
      <c r="O5845" s="163"/>
      <c r="P5845" s="163"/>
      <c r="Q5845" s="163"/>
      <c r="R5845" s="163"/>
      <c r="S5845" s="161"/>
      <c r="T5845" s="161"/>
      <c r="U5845" s="161"/>
      <c r="V5845" s="161"/>
      <c r="W5845" s="161"/>
      <c r="X5845" s="161"/>
      <c r="Y5845" s="161"/>
      <c r="Z5845" s="168"/>
      <c r="AA5845" s="168"/>
      <c r="AB5845" s="168"/>
      <c r="AC5845" s="168"/>
    </row>
    <row r="5846">
      <c r="A5846" s="161"/>
      <c r="B5846" s="161"/>
      <c r="C5846" s="162"/>
      <c r="D5846" s="163"/>
      <c r="E5846" s="163"/>
      <c r="F5846" s="163"/>
      <c r="G5846" s="163"/>
      <c r="H5846" s="163"/>
      <c r="I5846" s="163"/>
      <c r="J5846" s="165"/>
      <c r="K5846" s="165"/>
      <c r="L5846" s="165"/>
      <c r="M5846" s="166"/>
      <c r="N5846" s="167"/>
      <c r="O5846" s="163"/>
      <c r="P5846" s="163"/>
      <c r="Q5846" s="163"/>
      <c r="R5846" s="163"/>
      <c r="S5846" s="161"/>
      <c r="T5846" s="161"/>
      <c r="U5846" s="161"/>
      <c r="V5846" s="161"/>
      <c r="W5846" s="161"/>
      <c r="X5846" s="161"/>
      <c r="Y5846" s="161"/>
      <c r="Z5846" s="168"/>
      <c r="AA5846" s="168"/>
      <c r="AB5846" s="168"/>
      <c r="AC5846" s="168"/>
    </row>
    <row r="5847">
      <c r="A5847" s="161"/>
      <c r="B5847" s="161"/>
      <c r="C5847" s="162"/>
      <c r="D5847" s="163"/>
      <c r="E5847" s="163"/>
      <c r="F5847" s="163"/>
      <c r="G5847" s="163"/>
      <c r="H5847" s="163"/>
      <c r="I5847" s="163"/>
      <c r="J5847" s="165"/>
      <c r="K5847" s="165"/>
      <c r="L5847" s="165"/>
      <c r="M5847" s="166"/>
      <c r="N5847" s="167"/>
      <c r="O5847" s="163"/>
      <c r="P5847" s="163"/>
      <c r="Q5847" s="163"/>
      <c r="R5847" s="163"/>
      <c r="S5847" s="161"/>
      <c r="T5847" s="161"/>
      <c r="U5847" s="161"/>
      <c r="V5847" s="161"/>
      <c r="W5847" s="161"/>
      <c r="X5847" s="161"/>
      <c r="Y5847" s="161"/>
      <c r="Z5847" s="168"/>
      <c r="AA5847" s="168"/>
      <c r="AB5847" s="168"/>
      <c r="AC5847" s="168"/>
    </row>
    <row r="5848">
      <c r="A5848" s="161"/>
      <c r="B5848" s="161"/>
      <c r="C5848" s="162"/>
      <c r="D5848" s="163"/>
      <c r="E5848" s="163"/>
      <c r="F5848" s="163"/>
      <c r="G5848" s="163"/>
      <c r="H5848" s="163"/>
      <c r="I5848" s="163"/>
      <c r="J5848" s="165"/>
      <c r="K5848" s="165"/>
      <c r="L5848" s="165"/>
      <c r="M5848" s="166"/>
      <c r="N5848" s="167"/>
      <c r="O5848" s="163"/>
      <c r="P5848" s="163"/>
      <c r="Q5848" s="163"/>
      <c r="R5848" s="163"/>
      <c r="S5848" s="161"/>
      <c r="T5848" s="161"/>
      <c r="U5848" s="161"/>
      <c r="V5848" s="161"/>
      <c r="W5848" s="161"/>
      <c r="X5848" s="161"/>
      <c r="Y5848" s="161"/>
      <c r="Z5848" s="168"/>
      <c r="AA5848" s="168"/>
      <c r="AB5848" s="168"/>
      <c r="AC5848" s="168"/>
    </row>
    <row r="5849">
      <c r="A5849" s="161"/>
      <c r="B5849" s="161"/>
      <c r="C5849" s="162"/>
      <c r="D5849" s="163"/>
      <c r="E5849" s="163"/>
      <c r="F5849" s="163"/>
      <c r="G5849" s="163"/>
      <c r="H5849" s="163"/>
      <c r="I5849" s="163"/>
      <c r="J5849" s="165"/>
      <c r="K5849" s="165"/>
      <c r="L5849" s="165"/>
      <c r="M5849" s="166"/>
      <c r="N5849" s="167"/>
      <c r="O5849" s="163"/>
      <c r="P5849" s="163"/>
      <c r="Q5849" s="163"/>
      <c r="R5849" s="163"/>
      <c r="S5849" s="161"/>
      <c r="T5849" s="161"/>
      <c r="U5849" s="161"/>
      <c r="V5849" s="161"/>
      <c r="W5849" s="161"/>
      <c r="X5849" s="161"/>
      <c r="Y5849" s="161"/>
      <c r="Z5849" s="168"/>
      <c r="AA5849" s="168"/>
      <c r="AB5849" s="168"/>
      <c r="AC5849" s="168"/>
    </row>
    <row r="5850">
      <c r="A5850" s="161"/>
      <c r="B5850" s="161"/>
      <c r="C5850" s="162"/>
      <c r="D5850" s="163"/>
      <c r="E5850" s="163"/>
      <c r="F5850" s="163"/>
      <c r="G5850" s="163"/>
      <c r="H5850" s="163"/>
      <c r="I5850" s="163"/>
      <c r="J5850" s="165"/>
      <c r="K5850" s="165"/>
      <c r="L5850" s="165"/>
      <c r="M5850" s="166"/>
      <c r="N5850" s="167"/>
      <c r="O5850" s="163"/>
      <c r="P5850" s="163"/>
      <c r="Q5850" s="163"/>
      <c r="R5850" s="163"/>
      <c r="S5850" s="161"/>
      <c r="T5850" s="161"/>
      <c r="U5850" s="161"/>
      <c r="V5850" s="161"/>
      <c r="W5850" s="161"/>
      <c r="X5850" s="161"/>
      <c r="Y5850" s="161"/>
      <c r="Z5850" s="168"/>
      <c r="AA5850" s="168"/>
      <c r="AB5850" s="168"/>
      <c r="AC5850" s="168"/>
    </row>
    <row r="5851">
      <c r="A5851" s="161"/>
      <c r="B5851" s="161"/>
      <c r="C5851" s="162"/>
      <c r="D5851" s="163"/>
      <c r="E5851" s="163"/>
      <c r="F5851" s="163"/>
      <c r="G5851" s="163"/>
      <c r="H5851" s="163"/>
      <c r="I5851" s="163"/>
      <c r="J5851" s="165"/>
      <c r="K5851" s="165"/>
      <c r="L5851" s="165"/>
      <c r="M5851" s="166"/>
      <c r="N5851" s="167"/>
      <c r="O5851" s="163"/>
      <c r="P5851" s="163"/>
      <c r="Q5851" s="163"/>
      <c r="R5851" s="163"/>
      <c r="S5851" s="161"/>
      <c r="T5851" s="161"/>
      <c r="U5851" s="161"/>
      <c r="V5851" s="161"/>
      <c r="W5851" s="161"/>
      <c r="X5851" s="161"/>
      <c r="Y5851" s="161"/>
      <c r="Z5851" s="168"/>
      <c r="AA5851" s="168"/>
      <c r="AB5851" s="168"/>
      <c r="AC5851" s="168"/>
    </row>
    <row r="5852">
      <c r="A5852" s="161"/>
      <c r="B5852" s="161"/>
      <c r="C5852" s="162"/>
      <c r="D5852" s="163"/>
      <c r="E5852" s="163"/>
      <c r="F5852" s="163"/>
      <c r="G5852" s="163"/>
      <c r="H5852" s="163"/>
      <c r="I5852" s="163"/>
      <c r="J5852" s="165"/>
      <c r="K5852" s="165"/>
      <c r="L5852" s="165"/>
      <c r="M5852" s="166"/>
      <c r="N5852" s="167"/>
      <c r="O5852" s="163"/>
      <c r="P5852" s="163"/>
      <c r="Q5852" s="163"/>
      <c r="R5852" s="163"/>
      <c r="S5852" s="161"/>
      <c r="T5852" s="161"/>
      <c r="U5852" s="161"/>
      <c r="V5852" s="161"/>
      <c r="W5852" s="161"/>
      <c r="X5852" s="161"/>
      <c r="Y5852" s="161"/>
      <c r="Z5852" s="168"/>
      <c r="AA5852" s="168"/>
      <c r="AB5852" s="168"/>
      <c r="AC5852" s="168"/>
    </row>
    <row r="5853">
      <c r="A5853" s="161"/>
      <c r="B5853" s="161"/>
      <c r="C5853" s="162"/>
      <c r="D5853" s="163"/>
      <c r="E5853" s="163"/>
      <c r="F5853" s="163"/>
      <c r="G5853" s="163"/>
      <c r="H5853" s="163"/>
      <c r="I5853" s="163"/>
      <c r="J5853" s="165"/>
      <c r="K5853" s="165"/>
      <c r="L5853" s="165"/>
      <c r="M5853" s="166"/>
      <c r="N5853" s="167"/>
      <c r="O5853" s="163"/>
      <c r="P5853" s="163"/>
      <c r="Q5853" s="163"/>
      <c r="R5853" s="163"/>
      <c r="S5853" s="161"/>
      <c r="T5853" s="161"/>
      <c r="U5853" s="161"/>
      <c r="V5853" s="161"/>
      <c r="W5853" s="161"/>
      <c r="X5853" s="161"/>
      <c r="Y5853" s="161"/>
      <c r="Z5853" s="168"/>
      <c r="AA5853" s="168"/>
      <c r="AB5853" s="168"/>
      <c r="AC5853" s="168"/>
    </row>
    <row r="5854">
      <c r="A5854" s="161"/>
      <c r="B5854" s="161"/>
      <c r="C5854" s="162"/>
      <c r="D5854" s="163"/>
      <c r="E5854" s="163"/>
      <c r="F5854" s="163"/>
      <c r="G5854" s="163"/>
      <c r="H5854" s="163"/>
      <c r="I5854" s="163"/>
      <c r="J5854" s="165"/>
      <c r="K5854" s="165"/>
      <c r="L5854" s="165"/>
      <c r="M5854" s="166"/>
      <c r="N5854" s="167"/>
      <c r="O5854" s="163"/>
      <c r="P5854" s="163"/>
      <c r="Q5854" s="163"/>
      <c r="R5854" s="163"/>
      <c r="S5854" s="161"/>
      <c r="T5854" s="161"/>
      <c r="U5854" s="161"/>
      <c r="V5854" s="161"/>
      <c r="W5854" s="161"/>
      <c r="X5854" s="161"/>
      <c r="Y5854" s="161"/>
      <c r="Z5854" s="168"/>
      <c r="AA5854" s="168"/>
      <c r="AB5854" s="168"/>
      <c r="AC5854" s="168"/>
    </row>
    <row r="5855">
      <c r="A5855" s="161"/>
      <c r="B5855" s="161"/>
      <c r="C5855" s="162"/>
      <c r="D5855" s="163"/>
      <c r="E5855" s="163"/>
      <c r="F5855" s="163"/>
      <c r="G5855" s="163"/>
      <c r="H5855" s="163"/>
      <c r="I5855" s="163"/>
      <c r="J5855" s="165"/>
      <c r="K5855" s="165"/>
      <c r="L5855" s="165"/>
      <c r="M5855" s="166"/>
      <c r="N5855" s="167"/>
      <c r="O5855" s="163"/>
      <c r="P5855" s="163"/>
      <c r="Q5855" s="163"/>
      <c r="R5855" s="163"/>
      <c r="S5855" s="161"/>
      <c r="T5855" s="161"/>
      <c r="U5855" s="161"/>
      <c r="V5855" s="161"/>
      <c r="W5855" s="161"/>
      <c r="X5855" s="161"/>
      <c r="Y5855" s="161"/>
      <c r="Z5855" s="168"/>
      <c r="AA5855" s="168"/>
      <c r="AB5855" s="168"/>
      <c r="AC5855" s="168"/>
    </row>
    <row r="5856">
      <c r="A5856" s="161"/>
      <c r="B5856" s="161"/>
      <c r="C5856" s="162"/>
      <c r="D5856" s="163"/>
      <c r="E5856" s="163"/>
      <c r="F5856" s="163"/>
      <c r="G5856" s="163"/>
      <c r="H5856" s="163"/>
      <c r="I5856" s="163"/>
      <c r="J5856" s="165"/>
      <c r="K5856" s="165"/>
      <c r="L5856" s="165"/>
      <c r="M5856" s="166"/>
      <c r="N5856" s="167"/>
      <c r="O5856" s="163"/>
      <c r="P5856" s="163"/>
      <c r="Q5856" s="163"/>
      <c r="R5856" s="163"/>
      <c r="S5856" s="161"/>
      <c r="T5856" s="161"/>
      <c r="U5856" s="161"/>
      <c r="V5856" s="161"/>
      <c r="W5856" s="161"/>
      <c r="X5856" s="161"/>
      <c r="Y5856" s="161"/>
      <c r="Z5856" s="168"/>
      <c r="AA5856" s="168"/>
      <c r="AB5856" s="168"/>
      <c r="AC5856" s="168"/>
    </row>
    <row r="5857">
      <c r="A5857" s="161"/>
      <c r="B5857" s="161"/>
      <c r="C5857" s="162"/>
      <c r="D5857" s="163"/>
      <c r="E5857" s="163"/>
      <c r="F5857" s="163"/>
      <c r="G5857" s="163"/>
      <c r="H5857" s="163"/>
      <c r="I5857" s="163"/>
      <c r="J5857" s="165"/>
      <c r="K5857" s="165"/>
      <c r="L5857" s="165"/>
      <c r="M5857" s="166"/>
      <c r="N5857" s="167"/>
      <c r="O5857" s="163"/>
      <c r="P5857" s="163"/>
      <c r="Q5857" s="163"/>
      <c r="R5857" s="163"/>
      <c r="S5857" s="161"/>
      <c r="T5857" s="161"/>
      <c r="U5857" s="161"/>
      <c r="V5857" s="161"/>
      <c r="W5857" s="161"/>
      <c r="X5857" s="161"/>
      <c r="Y5857" s="161"/>
      <c r="Z5857" s="168"/>
      <c r="AA5857" s="168"/>
      <c r="AB5857" s="168"/>
      <c r="AC5857" s="168"/>
    </row>
    <row r="5858">
      <c r="A5858" s="161"/>
      <c r="B5858" s="161"/>
      <c r="C5858" s="162"/>
      <c r="D5858" s="163"/>
      <c r="E5858" s="163"/>
      <c r="F5858" s="163"/>
      <c r="G5858" s="163"/>
      <c r="H5858" s="163"/>
      <c r="I5858" s="163"/>
      <c r="J5858" s="165"/>
      <c r="K5858" s="165"/>
      <c r="L5858" s="165"/>
      <c r="M5858" s="166"/>
      <c r="N5858" s="167"/>
      <c r="O5858" s="163"/>
      <c r="P5858" s="163"/>
      <c r="Q5858" s="163"/>
      <c r="R5858" s="163"/>
      <c r="S5858" s="161"/>
      <c r="T5858" s="161"/>
      <c r="U5858" s="161"/>
      <c r="V5858" s="161"/>
      <c r="W5858" s="161"/>
      <c r="X5858" s="161"/>
      <c r="Y5858" s="161"/>
      <c r="Z5858" s="168"/>
      <c r="AA5858" s="168"/>
      <c r="AB5858" s="168"/>
      <c r="AC5858" s="168"/>
    </row>
    <row r="5859">
      <c r="A5859" s="161"/>
      <c r="B5859" s="161"/>
      <c r="C5859" s="162"/>
      <c r="D5859" s="163"/>
      <c r="E5859" s="163"/>
      <c r="F5859" s="163"/>
      <c r="G5859" s="163"/>
      <c r="H5859" s="163"/>
      <c r="I5859" s="163"/>
      <c r="J5859" s="165"/>
      <c r="K5859" s="165"/>
      <c r="L5859" s="165"/>
      <c r="M5859" s="166"/>
      <c r="N5859" s="167"/>
      <c r="O5859" s="163"/>
      <c r="P5859" s="163"/>
      <c r="Q5859" s="163"/>
      <c r="R5859" s="163"/>
      <c r="S5859" s="161"/>
      <c r="T5859" s="161"/>
      <c r="U5859" s="161"/>
      <c r="V5859" s="161"/>
      <c r="W5859" s="161"/>
      <c r="X5859" s="161"/>
      <c r="Y5859" s="161"/>
      <c r="Z5859" s="168"/>
      <c r="AA5859" s="168"/>
      <c r="AB5859" s="168"/>
      <c r="AC5859" s="168"/>
    </row>
    <row r="5860">
      <c r="A5860" s="161"/>
      <c r="B5860" s="161"/>
      <c r="C5860" s="162"/>
      <c r="D5860" s="163"/>
      <c r="E5860" s="163"/>
      <c r="F5860" s="163"/>
      <c r="G5860" s="163"/>
      <c r="H5860" s="163"/>
      <c r="I5860" s="163"/>
      <c r="J5860" s="165"/>
      <c r="K5860" s="165"/>
      <c r="L5860" s="165"/>
      <c r="M5860" s="166"/>
      <c r="N5860" s="167"/>
      <c r="O5860" s="163"/>
      <c r="P5860" s="163"/>
      <c r="Q5860" s="163"/>
      <c r="R5860" s="163"/>
      <c r="S5860" s="161"/>
      <c r="T5860" s="161"/>
      <c r="U5860" s="161"/>
      <c r="V5860" s="161"/>
      <c r="W5860" s="161"/>
      <c r="X5860" s="161"/>
      <c r="Y5860" s="161"/>
      <c r="Z5860" s="168"/>
      <c r="AA5860" s="168"/>
      <c r="AB5860" s="168"/>
      <c r="AC5860" s="168"/>
    </row>
    <row r="5861">
      <c r="A5861" s="161"/>
      <c r="B5861" s="161"/>
      <c r="C5861" s="162"/>
      <c r="D5861" s="163"/>
      <c r="E5861" s="163"/>
      <c r="F5861" s="163"/>
      <c r="G5861" s="163"/>
      <c r="H5861" s="163"/>
      <c r="I5861" s="163"/>
      <c r="J5861" s="165"/>
      <c r="K5861" s="165"/>
      <c r="L5861" s="165"/>
      <c r="M5861" s="166"/>
      <c r="N5861" s="167"/>
      <c r="O5861" s="163"/>
      <c r="P5861" s="163"/>
      <c r="Q5861" s="163"/>
      <c r="R5861" s="163"/>
      <c r="S5861" s="161"/>
      <c r="T5861" s="161"/>
      <c r="U5861" s="161"/>
      <c r="V5861" s="161"/>
      <c r="W5861" s="161"/>
      <c r="X5861" s="161"/>
      <c r="Y5861" s="161"/>
      <c r="Z5861" s="168"/>
      <c r="AA5861" s="168"/>
      <c r="AB5861" s="168"/>
      <c r="AC5861" s="168"/>
    </row>
    <row r="5862">
      <c r="A5862" s="161"/>
      <c r="B5862" s="161"/>
      <c r="C5862" s="162"/>
      <c r="D5862" s="163"/>
      <c r="E5862" s="163"/>
      <c r="F5862" s="163"/>
      <c r="G5862" s="163"/>
      <c r="H5862" s="163"/>
      <c r="I5862" s="163"/>
      <c r="J5862" s="165"/>
      <c r="K5862" s="165"/>
      <c r="L5862" s="165"/>
      <c r="M5862" s="166"/>
      <c r="N5862" s="167"/>
      <c r="O5862" s="163"/>
      <c r="P5862" s="163"/>
      <c r="Q5862" s="163"/>
      <c r="R5862" s="163"/>
      <c r="S5862" s="161"/>
      <c r="T5862" s="161"/>
      <c r="U5862" s="161"/>
      <c r="V5862" s="161"/>
      <c r="W5862" s="161"/>
      <c r="X5862" s="161"/>
      <c r="Y5862" s="161"/>
      <c r="Z5862" s="168"/>
      <c r="AA5862" s="168"/>
      <c r="AB5862" s="168"/>
      <c r="AC5862" s="168"/>
    </row>
    <row r="5863">
      <c r="A5863" s="161"/>
      <c r="B5863" s="161"/>
      <c r="C5863" s="162"/>
      <c r="D5863" s="163"/>
      <c r="E5863" s="163"/>
      <c r="F5863" s="163"/>
      <c r="G5863" s="163"/>
      <c r="H5863" s="163"/>
      <c r="I5863" s="163"/>
      <c r="J5863" s="165"/>
      <c r="K5863" s="165"/>
      <c r="L5863" s="165"/>
      <c r="M5863" s="166"/>
      <c r="N5863" s="167"/>
      <c r="O5863" s="163"/>
      <c r="P5863" s="163"/>
      <c r="Q5863" s="163"/>
      <c r="R5863" s="163"/>
      <c r="S5863" s="161"/>
      <c r="T5863" s="161"/>
      <c r="U5863" s="161"/>
      <c r="V5863" s="161"/>
      <c r="W5863" s="161"/>
      <c r="X5863" s="161"/>
      <c r="Y5863" s="161"/>
      <c r="Z5863" s="168"/>
      <c r="AA5863" s="168"/>
      <c r="AB5863" s="168"/>
      <c r="AC5863" s="168"/>
    </row>
    <row r="5864">
      <c r="A5864" s="161"/>
      <c r="B5864" s="161"/>
      <c r="C5864" s="162"/>
      <c r="D5864" s="163"/>
      <c r="E5864" s="163"/>
      <c r="F5864" s="163"/>
      <c r="G5864" s="163"/>
      <c r="H5864" s="163"/>
      <c r="I5864" s="163"/>
      <c r="J5864" s="165"/>
      <c r="K5864" s="165"/>
      <c r="L5864" s="165"/>
      <c r="M5864" s="166"/>
      <c r="N5864" s="167"/>
      <c r="O5864" s="163"/>
      <c r="P5864" s="163"/>
      <c r="Q5864" s="163"/>
      <c r="R5864" s="163"/>
      <c r="S5864" s="161"/>
      <c r="T5864" s="161"/>
      <c r="U5864" s="161"/>
      <c r="V5864" s="161"/>
      <c r="W5864" s="161"/>
      <c r="X5864" s="161"/>
      <c r="Y5864" s="161"/>
      <c r="Z5864" s="168"/>
      <c r="AA5864" s="168"/>
      <c r="AB5864" s="168"/>
      <c r="AC5864" s="168"/>
    </row>
    <row r="5865">
      <c r="A5865" s="161"/>
      <c r="B5865" s="161"/>
      <c r="C5865" s="162"/>
      <c r="D5865" s="163"/>
      <c r="E5865" s="163"/>
      <c r="F5865" s="163"/>
      <c r="G5865" s="163"/>
      <c r="H5865" s="163"/>
      <c r="I5865" s="163"/>
      <c r="J5865" s="165"/>
      <c r="K5865" s="165"/>
      <c r="L5865" s="165"/>
      <c r="M5865" s="166"/>
      <c r="N5865" s="167"/>
      <c r="O5865" s="163"/>
      <c r="P5865" s="163"/>
      <c r="Q5865" s="163"/>
      <c r="R5865" s="163"/>
      <c r="S5865" s="161"/>
      <c r="T5865" s="161"/>
      <c r="U5865" s="161"/>
      <c r="V5865" s="161"/>
      <c r="W5865" s="161"/>
      <c r="X5865" s="161"/>
      <c r="Y5865" s="161"/>
      <c r="Z5865" s="168"/>
      <c r="AA5865" s="168"/>
      <c r="AB5865" s="168"/>
      <c r="AC5865" s="168"/>
    </row>
    <row r="5866">
      <c r="A5866" s="161"/>
      <c r="B5866" s="161"/>
      <c r="C5866" s="162"/>
      <c r="D5866" s="163"/>
      <c r="E5866" s="163"/>
      <c r="F5866" s="163"/>
      <c r="G5866" s="163"/>
      <c r="H5866" s="163"/>
      <c r="I5866" s="163"/>
      <c r="J5866" s="165"/>
      <c r="K5866" s="165"/>
      <c r="L5866" s="165"/>
      <c r="M5866" s="166"/>
      <c r="N5866" s="167"/>
      <c r="O5866" s="163"/>
      <c r="P5866" s="163"/>
      <c r="Q5866" s="163"/>
      <c r="R5866" s="163"/>
      <c r="S5866" s="161"/>
      <c r="T5866" s="161"/>
      <c r="U5866" s="161"/>
      <c r="V5866" s="161"/>
      <c r="W5866" s="161"/>
      <c r="X5866" s="161"/>
      <c r="Y5866" s="161"/>
      <c r="Z5866" s="168"/>
      <c r="AA5866" s="168"/>
      <c r="AB5866" s="168"/>
      <c r="AC5866" s="168"/>
    </row>
    <row r="5867">
      <c r="A5867" s="161"/>
      <c r="B5867" s="161"/>
      <c r="C5867" s="162"/>
      <c r="D5867" s="163"/>
      <c r="E5867" s="163"/>
      <c r="F5867" s="163"/>
      <c r="G5867" s="163"/>
      <c r="H5867" s="163"/>
      <c r="I5867" s="163"/>
      <c r="J5867" s="165"/>
      <c r="K5867" s="165"/>
      <c r="L5867" s="165"/>
      <c r="M5867" s="166"/>
      <c r="N5867" s="167"/>
      <c r="O5867" s="163"/>
      <c r="P5867" s="163"/>
      <c r="Q5867" s="163"/>
      <c r="R5867" s="163"/>
      <c r="S5867" s="161"/>
      <c r="T5867" s="161"/>
      <c r="U5867" s="161"/>
      <c r="V5867" s="161"/>
      <c r="W5867" s="161"/>
      <c r="X5867" s="161"/>
      <c r="Y5867" s="161"/>
      <c r="Z5867" s="168"/>
      <c r="AA5867" s="168"/>
      <c r="AB5867" s="168"/>
      <c r="AC5867" s="168"/>
    </row>
    <row r="5868">
      <c r="A5868" s="161"/>
      <c r="B5868" s="161"/>
      <c r="C5868" s="162"/>
      <c r="D5868" s="163"/>
      <c r="E5868" s="163"/>
      <c r="F5868" s="163"/>
      <c r="G5868" s="163"/>
      <c r="H5868" s="163"/>
      <c r="I5868" s="163"/>
      <c r="J5868" s="165"/>
      <c r="K5868" s="165"/>
      <c r="L5868" s="165"/>
      <c r="M5868" s="166"/>
      <c r="N5868" s="167"/>
      <c r="O5868" s="163"/>
      <c r="P5868" s="163"/>
      <c r="Q5868" s="163"/>
      <c r="R5868" s="163"/>
      <c r="S5868" s="161"/>
      <c r="T5868" s="161"/>
      <c r="U5868" s="161"/>
      <c r="V5868" s="161"/>
      <c r="W5868" s="161"/>
      <c r="X5868" s="161"/>
      <c r="Y5868" s="161"/>
      <c r="Z5868" s="168"/>
      <c r="AA5868" s="168"/>
      <c r="AB5868" s="168"/>
      <c r="AC5868" s="168"/>
    </row>
    <row r="5869">
      <c r="A5869" s="161"/>
      <c r="B5869" s="161"/>
      <c r="C5869" s="162"/>
      <c r="D5869" s="163"/>
      <c r="E5869" s="163"/>
      <c r="F5869" s="163"/>
      <c r="G5869" s="163"/>
      <c r="H5869" s="163"/>
      <c r="I5869" s="163"/>
      <c r="J5869" s="165"/>
      <c r="K5869" s="165"/>
      <c r="L5869" s="165"/>
      <c r="M5869" s="166"/>
      <c r="N5869" s="167"/>
      <c r="O5869" s="163"/>
      <c r="P5869" s="163"/>
      <c r="Q5869" s="163"/>
      <c r="R5869" s="163"/>
      <c r="S5869" s="161"/>
      <c r="T5869" s="161"/>
      <c r="U5869" s="161"/>
      <c r="V5869" s="161"/>
      <c r="W5869" s="161"/>
      <c r="X5869" s="161"/>
      <c r="Y5869" s="161"/>
      <c r="Z5869" s="168"/>
      <c r="AA5869" s="168"/>
      <c r="AB5869" s="168"/>
      <c r="AC5869" s="168"/>
    </row>
    <row r="5870">
      <c r="A5870" s="161"/>
      <c r="B5870" s="161"/>
      <c r="C5870" s="162"/>
      <c r="D5870" s="163"/>
      <c r="E5870" s="163"/>
      <c r="F5870" s="163"/>
      <c r="G5870" s="163"/>
      <c r="H5870" s="163"/>
      <c r="I5870" s="163"/>
      <c r="J5870" s="165"/>
      <c r="K5870" s="165"/>
      <c r="L5870" s="165"/>
      <c r="M5870" s="166"/>
      <c r="N5870" s="167"/>
      <c r="O5870" s="163"/>
      <c r="P5870" s="163"/>
      <c r="Q5870" s="163"/>
      <c r="R5870" s="163"/>
      <c r="S5870" s="161"/>
      <c r="T5870" s="161"/>
      <c r="U5870" s="161"/>
      <c r="V5870" s="161"/>
      <c r="W5870" s="161"/>
      <c r="X5870" s="161"/>
      <c r="Y5870" s="161"/>
      <c r="Z5870" s="168"/>
      <c r="AA5870" s="168"/>
      <c r="AB5870" s="168"/>
      <c r="AC5870" s="168"/>
    </row>
    <row r="5871">
      <c r="A5871" s="161"/>
      <c r="B5871" s="161"/>
      <c r="C5871" s="162"/>
      <c r="D5871" s="163"/>
      <c r="E5871" s="163"/>
      <c r="F5871" s="163"/>
      <c r="G5871" s="163"/>
      <c r="H5871" s="163"/>
      <c r="I5871" s="163"/>
      <c r="J5871" s="165"/>
      <c r="K5871" s="165"/>
      <c r="L5871" s="165"/>
      <c r="M5871" s="166"/>
      <c r="N5871" s="167"/>
      <c r="O5871" s="163"/>
      <c r="P5871" s="163"/>
      <c r="Q5871" s="163"/>
      <c r="R5871" s="163"/>
      <c r="S5871" s="161"/>
      <c r="T5871" s="161"/>
      <c r="U5871" s="161"/>
      <c r="V5871" s="161"/>
      <c r="W5871" s="161"/>
      <c r="X5871" s="161"/>
      <c r="Y5871" s="161"/>
      <c r="Z5871" s="168"/>
      <c r="AA5871" s="168"/>
      <c r="AB5871" s="168"/>
      <c r="AC5871" s="168"/>
    </row>
    <row r="5872">
      <c r="A5872" s="161"/>
      <c r="B5872" s="161"/>
      <c r="C5872" s="162"/>
      <c r="D5872" s="163"/>
      <c r="E5872" s="163"/>
      <c r="F5872" s="163"/>
      <c r="G5872" s="163"/>
      <c r="H5872" s="163"/>
      <c r="I5872" s="163"/>
      <c r="J5872" s="165"/>
      <c r="K5872" s="165"/>
      <c r="L5872" s="165"/>
      <c r="M5872" s="166"/>
      <c r="N5872" s="167"/>
      <c r="O5872" s="163"/>
      <c r="P5872" s="163"/>
      <c r="Q5872" s="163"/>
      <c r="R5872" s="163"/>
      <c r="S5872" s="161"/>
      <c r="T5872" s="161"/>
      <c r="U5872" s="161"/>
      <c r="V5872" s="161"/>
      <c r="W5872" s="161"/>
      <c r="X5872" s="161"/>
      <c r="Y5872" s="161"/>
      <c r="Z5872" s="168"/>
      <c r="AA5872" s="168"/>
      <c r="AB5872" s="168"/>
      <c r="AC5872" s="168"/>
    </row>
    <row r="5873">
      <c r="A5873" s="161"/>
      <c r="B5873" s="161"/>
      <c r="C5873" s="162"/>
      <c r="D5873" s="163"/>
      <c r="E5873" s="163"/>
      <c r="F5873" s="163"/>
      <c r="G5873" s="163"/>
      <c r="H5873" s="163"/>
      <c r="I5873" s="163"/>
      <c r="J5873" s="165"/>
      <c r="K5873" s="165"/>
      <c r="L5873" s="165"/>
      <c r="M5873" s="166"/>
      <c r="N5873" s="167"/>
      <c r="O5873" s="163"/>
      <c r="P5873" s="163"/>
      <c r="Q5873" s="163"/>
      <c r="R5873" s="163"/>
      <c r="S5873" s="161"/>
      <c r="T5873" s="161"/>
      <c r="U5873" s="161"/>
      <c r="V5873" s="161"/>
      <c r="W5873" s="161"/>
      <c r="X5873" s="161"/>
      <c r="Y5873" s="161"/>
      <c r="Z5873" s="168"/>
      <c r="AA5873" s="168"/>
      <c r="AB5873" s="168"/>
      <c r="AC5873" s="168"/>
    </row>
    <row r="5874">
      <c r="A5874" s="161"/>
      <c r="B5874" s="161"/>
      <c r="C5874" s="162"/>
      <c r="D5874" s="163"/>
      <c r="E5874" s="163"/>
      <c r="F5874" s="163"/>
      <c r="G5874" s="163"/>
      <c r="H5874" s="163"/>
      <c r="I5874" s="163"/>
      <c r="J5874" s="165"/>
      <c r="K5874" s="165"/>
      <c r="L5874" s="165"/>
      <c r="M5874" s="166"/>
      <c r="N5874" s="167"/>
      <c r="O5874" s="163"/>
      <c r="P5874" s="163"/>
      <c r="Q5874" s="163"/>
      <c r="R5874" s="163"/>
      <c r="S5874" s="161"/>
      <c r="T5874" s="161"/>
      <c r="U5874" s="161"/>
      <c r="V5874" s="161"/>
      <c r="W5874" s="161"/>
      <c r="X5874" s="161"/>
      <c r="Y5874" s="161"/>
      <c r="Z5874" s="168"/>
      <c r="AA5874" s="168"/>
      <c r="AB5874" s="168"/>
      <c r="AC5874" s="168"/>
    </row>
    <row r="5875">
      <c r="A5875" s="161"/>
      <c r="B5875" s="161"/>
      <c r="C5875" s="162"/>
      <c r="D5875" s="163"/>
      <c r="E5875" s="163"/>
      <c r="F5875" s="163"/>
      <c r="G5875" s="163"/>
      <c r="H5875" s="163"/>
      <c r="I5875" s="163"/>
      <c r="J5875" s="165"/>
      <c r="K5875" s="165"/>
      <c r="L5875" s="165"/>
      <c r="M5875" s="166"/>
      <c r="N5875" s="167"/>
      <c r="O5875" s="163"/>
      <c r="P5875" s="163"/>
      <c r="Q5875" s="163"/>
      <c r="R5875" s="163"/>
      <c r="S5875" s="161"/>
      <c r="T5875" s="161"/>
      <c r="U5875" s="161"/>
      <c r="V5875" s="161"/>
      <c r="W5875" s="161"/>
      <c r="X5875" s="161"/>
      <c r="Y5875" s="161"/>
      <c r="Z5875" s="168"/>
      <c r="AA5875" s="168"/>
      <c r="AB5875" s="168"/>
      <c r="AC5875" s="168"/>
    </row>
    <row r="5876">
      <c r="A5876" s="161"/>
      <c r="B5876" s="161"/>
      <c r="C5876" s="162"/>
      <c r="D5876" s="163"/>
      <c r="E5876" s="163"/>
      <c r="F5876" s="163"/>
      <c r="G5876" s="163"/>
      <c r="H5876" s="163"/>
      <c r="I5876" s="163"/>
      <c r="J5876" s="165"/>
      <c r="K5876" s="165"/>
      <c r="L5876" s="165"/>
      <c r="M5876" s="166"/>
      <c r="N5876" s="167"/>
      <c r="O5876" s="163"/>
      <c r="P5876" s="163"/>
      <c r="Q5876" s="163"/>
      <c r="R5876" s="163"/>
      <c r="S5876" s="161"/>
      <c r="T5876" s="161"/>
      <c r="U5876" s="161"/>
      <c r="V5876" s="161"/>
      <c r="W5876" s="161"/>
      <c r="X5876" s="161"/>
      <c r="Y5876" s="161"/>
      <c r="Z5876" s="168"/>
      <c r="AA5876" s="168"/>
      <c r="AB5876" s="168"/>
      <c r="AC5876" s="168"/>
    </row>
    <row r="5877">
      <c r="A5877" s="161"/>
      <c r="B5877" s="161"/>
      <c r="C5877" s="162"/>
      <c r="D5877" s="163"/>
      <c r="E5877" s="163"/>
      <c r="F5877" s="163"/>
      <c r="G5877" s="163"/>
      <c r="H5877" s="163"/>
      <c r="I5877" s="163"/>
      <c r="J5877" s="165"/>
      <c r="K5877" s="165"/>
      <c r="L5877" s="165"/>
      <c r="M5877" s="166"/>
      <c r="N5877" s="167"/>
      <c r="O5877" s="163"/>
      <c r="P5877" s="163"/>
      <c r="Q5877" s="163"/>
      <c r="R5877" s="163"/>
      <c r="S5877" s="161"/>
      <c r="T5877" s="161"/>
      <c r="U5877" s="161"/>
      <c r="V5877" s="161"/>
      <c r="W5877" s="161"/>
      <c r="X5877" s="161"/>
      <c r="Y5877" s="161"/>
      <c r="Z5877" s="168"/>
      <c r="AA5877" s="168"/>
      <c r="AB5877" s="168"/>
      <c r="AC5877" s="168"/>
    </row>
    <row r="5878">
      <c r="A5878" s="161"/>
      <c r="B5878" s="161"/>
      <c r="C5878" s="162"/>
      <c r="D5878" s="163"/>
      <c r="E5878" s="163"/>
      <c r="F5878" s="163"/>
      <c r="G5878" s="163"/>
      <c r="H5878" s="163"/>
      <c r="I5878" s="163"/>
      <c r="J5878" s="165"/>
      <c r="K5878" s="165"/>
      <c r="L5878" s="165"/>
      <c r="M5878" s="166"/>
      <c r="N5878" s="167"/>
      <c r="O5878" s="163"/>
      <c r="P5878" s="163"/>
      <c r="Q5878" s="163"/>
      <c r="R5878" s="163"/>
      <c r="S5878" s="161"/>
      <c r="T5878" s="161"/>
      <c r="U5878" s="161"/>
      <c r="V5878" s="161"/>
      <c r="W5878" s="161"/>
      <c r="X5878" s="161"/>
      <c r="Y5878" s="161"/>
      <c r="Z5878" s="168"/>
      <c r="AA5878" s="168"/>
      <c r="AB5878" s="168"/>
      <c r="AC5878" s="168"/>
    </row>
    <row r="5879">
      <c r="A5879" s="161"/>
      <c r="B5879" s="161"/>
      <c r="C5879" s="162"/>
      <c r="D5879" s="163"/>
      <c r="E5879" s="163"/>
      <c r="F5879" s="163"/>
      <c r="G5879" s="163"/>
      <c r="H5879" s="163"/>
      <c r="I5879" s="163"/>
      <c r="J5879" s="165"/>
      <c r="K5879" s="165"/>
      <c r="L5879" s="165"/>
      <c r="M5879" s="166"/>
      <c r="N5879" s="167"/>
      <c r="O5879" s="163"/>
      <c r="P5879" s="163"/>
      <c r="Q5879" s="163"/>
      <c r="R5879" s="163"/>
      <c r="S5879" s="161"/>
      <c r="T5879" s="161"/>
      <c r="U5879" s="161"/>
      <c r="V5879" s="161"/>
      <c r="W5879" s="161"/>
      <c r="X5879" s="161"/>
      <c r="Y5879" s="161"/>
      <c r="Z5879" s="168"/>
      <c r="AA5879" s="168"/>
      <c r="AB5879" s="168"/>
      <c r="AC5879" s="168"/>
    </row>
    <row r="5880">
      <c r="A5880" s="161"/>
      <c r="B5880" s="161"/>
      <c r="C5880" s="162"/>
      <c r="D5880" s="163"/>
      <c r="E5880" s="163"/>
      <c r="F5880" s="163"/>
      <c r="G5880" s="163"/>
      <c r="H5880" s="163"/>
      <c r="I5880" s="163"/>
      <c r="J5880" s="165"/>
      <c r="K5880" s="165"/>
      <c r="L5880" s="165"/>
      <c r="M5880" s="166"/>
      <c r="N5880" s="167"/>
      <c r="O5880" s="163"/>
      <c r="P5880" s="163"/>
      <c r="Q5880" s="163"/>
      <c r="R5880" s="163"/>
      <c r="S5880" s="161"/>
      <c r="T5880" s="161"/>
      <c r="U5880" s="161"/>
      <c r="V5880" s="161"/>
      <c r="W5880" s="161"/>
      <c r="X5880" s="161"/>
      <c r="Y5880" s="161"/>
      <c r="Z5880" s="168"/>
      <c r="AA5880" s="168"/>
      <c r="AB5880" s="168"/>
      <c r="AC5880" s="168"/>
    </row>
    <row r="5881">
      <c r="A5881" s="161"/>
      <c r="B5881" s="161"/>
      <c r="C5881" s="162"/>
      <c r="D5881" s="163"/>
      <c r="E5881" s="163"/>
      <c r="F5881" s="163"/>
      <c r="G5881" s="163"/>
      <c r="H5881" s="163"/>
      <c r="I5881" s="163"/>
      <c r="J5881" s="165"/>
      <c r="K5881" s="165"/>
      <c r="L5881" s="165"/>
      <c r="M5881" s="166"/>
      <c r="N5881" s="167"/>
      <c r="O5881" s="163"/>
      <c r="P5881" s="163"/>
      <c r="Q5881" s="163"/>
      <c r="R5881" s="163"/>
      <c r="S5881" s="161"/>
      <c r="T5881" s="161"/>
      <c r="U5881" s="161"/>
      <c r="V5881" s="161"/>
      <c r="W5881" s="161"/>
      <c r="X5881" s="161"/>
      <c r="Y5881" s="161"/>
      <c r="Z5881" s="168"/>
      <c r="AA5881" s="168"/>
      <c r="AB5881" s="168"/>
      <c r="AC5881" s="168"/>
    </row>
    <row r="5882">
      <c r="A5882" s="161"/>
      <c r="B5882" s="161"/>
      <c r="C5882" s="162"/>
      <c r="D5882" s="163"/>
      <c r="E5882" s="163"/>
      <c r="F5882" s="163"/>
      <c r="G5882" s="163"/>
      <c r="H5882" s="163"/>
      <c r="I5882" s="163"/>
      <c r="J5882" s="165"/>
      <c r="K5882" s="165"/>
      <c r="L5882" s="165"/>
      <c r="M5882" s="166"/>
      <c r="N5882" s="167"/>
      <c r="O5882" s="163"/>
      <c r="P5882" s="163"/>
      <c r="Q5882" s="163"/>
      <c r="R5882" s="163"/>
      <c r="S5882" s="161"/>
      <c r="T5882" s="161"/>
      <c r="U5882" s="161"/>
      <c r="V5882" s="161"/>
      <c r="W5882" s="161"/>
      <c r="X5882" s="161"/>
      <c r="Y5882" s="161"/>
      <c r="Z5882" s="168"/>
      <c r="AA5882" s="168"/>
      <c r="AB5882" s="168"/>
      <c r="AC5882" s="168"/>
    </row>
    <row r="5883">
      <c r="A5883" s="161"/>
      <c r="B5883" s="161"/>
      <c r="C5883" s="162"/>
      <c r="D5883" s="163"/>
      <c r="E5883" s="163"/>
      <c r="F5883" s="163"/>
      <c r="G5883" s="163"/>
      <c r="H5883" s="163"/>
      <c r="I5883" s="163"/>
      <c r="J5883" s="165"/>
      <c r="K5883" s="165"/>
      <c r="L5883" s="165"/>
      <c r="M5883" s="166"/>
      <c r="N5883" s="167"/>
      <c r="O5883" s="163"/>
      <c r="P5883" s="163"/>
      <c r="Q5883" s="163"/>
      <c r="R5883" s="163"/>
      <c r="S5883" s="161"/>
      <c r="T5883" s="161"/>
      <c r="U5883" s="161"/>
      <c r="V5883" s="161"/>
      <c r="W5883" s="161"/>
      <c r="X5883" s="161"/>
      <c r="Y5883" s="161"/>
      <c r="Z5883" s="168"/>
      <c r="AA5883" s="168"/>
      <c r="AB5883" s="168"/>
      <c r="AC5883" s="168"/>
    </row>
    <row r="5884">
      <c r="A5884" s="161"/>
      <c r="B5884" s="161"/>
      <c r="C5884" s="162"/>
      <c r="D5884" s="163"/>
      <c r="E5884" s="163"/>
      <c r="F5884" s="163"/>
      <c r="G5884" s="163"/>
      <c r="H5884" s="163"/>
      <c r="I5884" s="163"/>
      <c r="J5884" s="165"/>
      <c r="K5884" s="165"/>
      <c r="L5884" s="165"/>
      <c r="M5884" s="166"/>
      <c r="N5884" s="167"/>
      <c r="O5884" s="163"/>
      <c r="P5884" s="163"/>
      <c r="Q5884" s="163"/>
      <c r="R5884" s="163"/>
      <c r="S5884" s="161"/>
      <c r="T5884" s="161"/>
      <c r="U5884" s="161"/>
      <c r="V5884" s="161"/>
      <c r="W5884" s="161"/>
      <c r="X5884" s="161"/>
      <c r="Y5884" s="161"/>
      <c r="Z5884" s="168"/>
      <c r="AA5884" s="168"/>
      <c r="AB5884" s="168"/>
      <c r="AC5884" s="168"/>
    </row>
    <row r="5885">
      <c r="A5885" s="161"/>
      <c r="B5885" s="161"/>
      <c r="C5885" s="162"/>
      <c r="D5885" s="163"/>
      <c r="E5885" s="163"/>
      <c r="F5885" s="163"/>
      <c r="G5885" s="163"/>
      <c r="H5885" s="163"/>
      <c r="I5885" s="163"/>
      <c r="J5885" s="165"/>
      <c r="K5885" s="165"/>
      <c r="L5885" s="165"/>
      <c r="M5885" s="166"/>
      <c r="N5885" s="167"/>
      <c r="O5885" s="163"/>
      <c r="P5885" s="163"/>
      <c r="Q5885" s="163"/>
      <c r="R5885" s="163"/>
      <c r="S5885" s="161"/>
      <c r="T5885" s="161"/>
      <c r="U5885" s="161"/>
      <c r="V5885" s="161"/>
      <c r="W5885" s="161"/>
      <c r="X5885" s="161"/>
      <c r="Y5885" s="161"/>
      <c r="Z5885" s="168"/>
      <c r="AA5885" s="168"/>
      <c r="AB5885" s="168"/>
      <c r="AC5885" s="168"/>
    </row>
    <row r="5886">
      <c r="A5886" s="161"/>
      <c r="B5886" s="161"/>
      <c r="C5886" s="162"/>
      <c r="D5886" s="163"/>
      <c r="E5886" s="163"/>
      <c r="F5886" s="163"/>
      <c r="G5886" s="163"/>
      <c r="H5886" s="163"/>
      <c r="I5886" s="163"/>
      <c r="J5886" s="165"/>
      <c r="K5886" s="165"/>
      <c r="L5886" s="165"/>
      <c r="M5886" s="166"/>
      <c r="N5886" s="167"/>
      <c r="O5886" s="163"/>
      <c r="P5886" s="163"/>
      <c r="Q5886" s="163"/>
      <c r="R5886" s="163"/>
      <c r="S5886" s="161"/>
      <c r="T5886" s="161"/>
      <c r="U5886" s="161"/>
      <c r="V5886" s="161"/>
      <c r="W5886" s="161"/>
      <c r="X5886" s="161"/>
      <c r="Y5886" s="161"/>
      <c r="Z5886" s="168"/>
      <c r="AA5886" s="168"/>
      <c r="AB5886" s="168"/>
      <c r="AC5886" s="168"/>
    </row>
    <row r="5887">
      <c r="A5887" s="161"/>
      <c r="B5887" s="161"/>
      <c r="C5887" s="162"/>
      <c r="D5887" s="163"/>
      <c r="E5887" s="163"/>
      <c r="F5887" s="163"/>
      <c r="G5887" s="163"/>
      <c r="H5887" s="163"/>
      <c r="I5887" s="163"/>
      <c r="J5887" s="165"/>
      <c r="K5887" s="165"/>
      <c r="L5887" s="165"/>
      <c r="M5887" s="166"/>
      <c r="N5887" s="167"/>
      <c r="O5887" s="163"/>
      <c r="P5887" s="163"/>
      <c r="Q5887" s="163"/>
      <c r="R5887" s="163"/>
      <c r="S5887" s="161"/>
      <c r="T5887" s="161"/>
      <c r="U5887" s="161"/>
      <c r="V5887" s="161"/>
      <c r="W5887" s="161"/>
      <c r="X5887" s="161"/>
      <c r="Y5887" s="161"/>
      <c r="Z5887" s="168"/>
      <c r="AA5887" s="168"/>
      <c r="AB5887" s="168"/>
      <c r="AC5887" s="168"/>
    </row>
    <row r="5888">
      <c r="A5888" s="161"/>
      <c r="B5888" s="161"/>
      <c r="C5888" s="162"/>
      <c r="D5888" s="163"/>
      <c r="E5888" s="163"/>
      <c r="F5888" s="163"/>
      <c r="G5888" s="163"/>
      <c r="H5888" s="163"/>
      <c r="I5888" s="163"/>
      <c r="J5888" s="165"/>
      <c r="K5888" s="165"/>
      <c r="L5888" s="165"/>
      <c r="M5888" s="166"/>
      <c r="N5888" s="167"/>
      <c r="O5888" s="163"/>
      <c r="P5888" s="163"/>
      <c r="Q5888" s="163"/>
      <c r="R5888" s="163"/>
      <c r="S5888" s="161"/>
      <c r="T5888" s="161"/>
      <c r="U5888" s="161"/>
      <c r="V5888" s="161"/>
      <c r="W5888" s="161"/>
      <c r="X5888" s="161"/>
      <c r="Y5888" s="161"/>
      <c r="Z5888" s="168"/>
      <c r="AA5888" s="168"/>
      <c r="AB5888" s="168"/>
      <c r="AC5888" s="168"/>
    </row>
    <row r="5889">
      <c r="A5889" s="161"/>
      <c r="B5889" s="161"/>
      <c r="C5889" s="162"/>
      <c r="D5889" s="163"/>
      <c r="E5889" s="163"/>
      <c r="F5889" s="163"/>
      <c r="G5889" s="163"/>
      <c r="H5889" s="163"/>
      <c r="I5889" s="163"/>
      <c r="J5889" s="165"/>
      <c r="K5889" s="165"/>
      <c r="L5889" s="165"/>
      <c r="M5889" s="166"/>
      <c r="N5889" s="167"/>
      <c r="O5889" s="163"/>
      <c r="P5889" s="163"/>
      <c r="Q5889" s="163"/>
      <c r="R5889" s="163"/>
      <c r="S5889" s="161"/>
      <c r="T5889" s="161"/>
      <c r="U5889" s="161"/>
      <c r="V5889" s="161"/>
      <c r="W5889" s="161"/>
      <c r="X5889" s="161"/>
      <c r="Y5889" s="161"/>
      <c r="Z5889" s="168"/>
      <c r="AA5889" s="168"/>
      <c r="AB5889" s="168"/>
      <c r="AC5889" s="168"/>
    </row>
    <row r="5890">
      <c r="A5890" s="161"/>
      <c r="B5890" s="161"/>
      <c r="C5890" s="162"/>
      <c r="D5890" s="163"/>
      <c r="E5890" s="163"/>
      <c r="F5890" s="163"/>
      <c r="G5890" s="163"/>
      <c r="H5890" s="163"/>
      <c r="I5890" s="163"/>
      <c r="J5890" s="165"/>
      <c r="K5890" s="165"/>
      <c r="L5890" s="165"/>
      <c r="M5890" s="166"/>
      <c r="N5890" s="167"/>
      <c r="O5890" s="163"/>
      <c r="P5890" s="163"/>
      <c r="Q5890" s="163"/>
      <c r="R5890" s="163"/>
      <c r="S5890" s="161"/>
      <c r="T5890" s="161"/>
      <c r="U5890" s="161"/>
      <c r="V5890" s="161"/>
      <c r="W5890" s="161"/>
      <c r="X5890" s="161"/>
      <c r="Y5890" s="161"/>
      <c r="Z5890" s="168"/>
      <c r="AA5890" s="168"/>
      <c r="AB5890" s="168"/>
      <c r="AC5890" s="168"/>
    </row>
    <row r="5891">
      <c r="A5891" s="161"/>
      <c r="B5891" s="161"/>
      <c r="C5891" s="162"/>
      <c r="D5891" s="163"/>
      <c r="E5891" s="163"/>
      <c r="F5891" s="163"/>
      <c r="G5891" s="163"/>
      <c r="H5891" s="163"/>
      <c r="I5891" s="163"/>
      <c r="J5891" s="165"/>
      <c r="K5891" s="165"/>
      <c r="L5891" s="165"/>
      <c r="M5891" s="166"/>
      <c r="N5891" s="167"/>
      <c r="O5891" s="163"/>
      <c r="P5891" s="163"/>
      <c r="Q5891" s="163"/>
      <c r="R5891" s="163"/>
      <c r="S5891" s="161"/>
      <c r="T5891" s="161"/>
      <c r="U5891" s="161"/>
      <c r="V5891" s="161"/>
      <c r="W5891" s="161"/>
      <c r="X5891" s="161"/>
      <c r="Y5891" s="161"/>
      <c r="Z5891" s="168"/>
      <c r="AA5891" s="168"/>
      <c r="AB5891" s="168"/>
      <c r="AC5891" s="168"/>
    </row>
    <row r="5892">
      <c r="A5892" s="161"/>
      <c r="B5892" s="161"/>
      <c r="C5892" s="162"/>
      <c r="D5892" s="163"/>
      <c r="E5892" s="163"/>
      <c r="F5892" s="163"/>
      <c r="G5892" s="163"/>
      <c r="H5892" s="163"/>
      <c r="I5892" s="163"/>
      <c r="J5892" s="165"/>
      <c r="K5892" s="165"/>
      <c r="L5892" s="165"/>
      <c r="M5892" s="166"/>
      <c r="N5892" s="167"/>
      <c r="O5892" s="163"/>
      <c r="P5892" s="163"/>
      <c r="Q5892" s="163"/>
      <c r="R5892" s="163"/>
      <c r="S5892" s="161"/>
      <c r="T5892" s="161"/>
      <c r="U5892" s="161"/>
      <c r="V5892" s="161"/>
      <c r="W5892" s="161"/>
      <c r="X5892" s="161"/>
      <c r="Y5892" s="161"/>
      <c r="Z5892" s="168"/>
      <c r="AA5892" s="168"/>
      <c r="AB5892" s="168"/>
      <c r="AC5892" s="168"/>
    </row>
    <row r="5893">
      <c r="A5893" s="161"/>
      <c r="B5893" s="161"/>
      <c r="C5893" s="162"/>
      <c r="D5893" s="163"/>
      <c r="E5893" s="163"/>
      <c r="F5893" s="163"/>
      <c r="G5893" s="163"/>
      <c r="H5893" s="163"/>
      <c r="I5893" s="163"/>
      <c r="J5893" s="165"/>
      <c r="K5893" s="165"/>
      <c r="L5893" s="165"/>
      <c r="M5893" s="166"/>
      <c r="N5893" s="167"/>
      <c r="O5893" s="163"/>
      <c r="P5893" s="163"/>
      <c r="Q5893" s="163"/>
      <c r="R5893" s="163"/>
      <c r="S5893" s="161"/>
      <c r="T5893" s="161"/>
      <c r="U5893" s="161"/>
      <c r="V5893" s="161"/>
      <c r="W5893" s="161"/>
      <c r="X5893" s="161"/>
      <c r="Y5893" s="161"/>
      <c r="Z5893" s="168"/>
      <c r="AA5893" s="168"/>
      <c r="AB5893" s="168"/>
      <c r="AC5893" s="168"/>
    </row>
    <row r="5894">
      <c r="A5894" s="161"/>
      <c r="B5894" s="161"/>
      <c r="C5894" s="162"/>
      <c r="D5894" s="163"/>
      <c r="E5894" s="163"/>
      <c r="F5894" s="163"/>
      <c r="G5894" s="163"/>
      <c r="H5894" s="163"/>
      <c r="I5894" s="163"/>
      <c r="J5894" s="165"/>
      <c r="K5894" s="165"/>
      <c r="L5894" s="165"/>
      <c r="M5894" s="166"/>
      <c r="N5894" s="167"/>
      <c r="O5894" s="163"/>
      <c r="P5894" s="163"/>
      <c r="Q5894" s="163"/>
      <c r="R5894" s="163"/>
      <c r="S5894" s="161"/>
      <c r="T5894" s="161"/>
      <c r="U5894" s="161"/>
      <c r="V5894" s="161"/>
      <c r="W5894" s="161"/>
      <c r="X5894" s="161"/>
      <c r="Y5894" s="161"/>
      <c r="Z5894" s="168"/>
      <c r="AA5894" s="168"/>
      <c r="AB5894" s="168"/>
      <c r="AC5894" s="168"/>
    </row>
    <row r="5895">
      <c r="A5895" s="161"/>
      <c r="B5895" s="161"/>
      <c r="C5895" s="162"/>
      <c r="D5895" s="163"/>
      <c r="E5895" s="163"/>
      <c r="F5895" s="163"/>
      <c r="G5895" s="163"/>
      <c r="H5895" s="163"/>
      <c r="I5895" s="163"/>
      <c r="J5895" s="165"/>
      <c r="K5895" s="165"/>
      <c r="L5895" s="165"/>
      <c r="M5895" s="166"/>
      <c r="N5895" s="167"/>
      <c r="O5895" s="163"/>
      <c r="P5895" s="163"/>
      <c r="Q5895" s="163"/>
      <c r="R5895" s="163"/>
      <c r="S5895" s="161"/>
      <c r="T5895" s="161"/>
      <c r="U5895" s="161"/>
      <c r="V5895" s="161"/>
      <c r="W5895" s="161"/>
      <c r="X5895" s="161"/>
      <c r="Y5895" s="161"/>
      <c r="Z5895" s="168"/>
      <c r="AA5895" s="168"/>
      <c r="AB5895" s="168"/>
      <c r="AC5895" s="168"/>
    </row>
    <row r="5896">
      <c r="A5896" s="161"/>
      <c r="B5896" s="161"/>
      <c r="C5896" s="162"/>
      <c r="D5896" s="163"/>
      <c r="E5896" s="163"/>
      <c r="F5896" s="163"/>
      <c r="G5896" s="163"/>
      <c r="H5896" s="163"/>
      <c r="I5896" s="163"/>
      <c r="J5896" s="165"/>
      <c r="K5896" s="165"/>
      <c r="L5896" s="165"/>
      <c r="M5896" s="166"/>
      <c r="N5896" s="167"/>
      <c r="O5896" s="163"/>
      <c r="P5896" s="163"/>
      <c r="Q5896" s="163"/>
      <c r="R5896" s="163"/>
      <c r="S5896" s="161"/>
      <c r="T5896" s="161"/>
      <c r="U5896" s="161"/>
      <c r="V5896" s="161"/>
      <c r="W5896" s="161"/>
      <c r="X5896" s="161"/>
      <c r="Y5896" s="161"/>
      <c r="Z5896" s="168"/>
      <c r="AA5896" s="168"/>
      <c r="AB5896" s="168"/>
      <c r="AC5896" s="168"/>
    </row>
    <row r="5897">
      <c r="A5897" s="161"/>
      <c r="B5897" s="161"/>
      <c r="C5897" s="162"/>
      <c r="D5897" s="163"/>
      <c r="E5897" s="163"/>
      <c r="F5897" s="163"/>
      <c r="G5897" s="163"/>
      <c r="H5897" s="163"/>
      <c r="I5897" s="163"/>
      <c r="J5897" s="165"/>
      <c r="K5897" s="165"/>
      <c r="L5897" s="165"/>
      <c r="M5897" s="166"/>
      <c r="N5897" s="167"/>
      <c r="O5897" s="163"/>
      <c r="P5897" s="163"/>
      <c r="Q5897" s="163"/>
      <c r="R5897" s="163"/>
      <c r="S5897" s="161"/>
      <c r="T5897" s="161"/>
      <c r="U5897" s="161"/>
      <c r="V5897" s="161"/>
      <c r="W5897" s="161"/>
      <c r="X5897" s="161"/>
      <c r="Y5897" s="161"/>
      <c r="Z5897" s="168"/>
      <c r="AA5897" s="168"/>
      <c r="AB5897" s="168"/>
      <c r="AC5897" s="168"/>
    </row>
    <row r="5898">
      <c r="A5898" s="161"/>
      <c r="B5898" s="161"/>
      <c r="C5898" s="162"/>
      <c r="D5898" s="163"/>
      <c r="E5898" s="163"/>
      <c r="F5898" s="163"/>
      <c r="G5898" s="163"/>
      <c r="H5898" s="163"/>
      <c r="I5898" s="163"/>
      <c r="J5898" s="165"/>
      <c r="K5898" s="165"/>
      <c r="L5898" s="165"/>
      <c r="M5898" s="166"/>
      <c r="N5898" s="167"/>
      <c r="O5898" s="163"/>
      <c r="P5898" s="163"/>
      <c r="Q5898" s="163"/>
      <c r="R5898" s="163"/>
      <c r="S5898" s="161"/>
      <c r="T5898" s="161"/>
      <c r="U5898" s="161"/>
      <c r="V5898" s="161"/>
      <c r="W5898" s="161"/>
      <c r="X5898" s="161"/>
      <c r="Y5898" s="161"/>
      <c r="Z5898" s="168"/>
      <c r="AA5898" s="168"/>
      <c r="AB5898" s="168"/>
      <c r="AC5898" s="168"/>
    </row>
    <row r="5899">
      <c r="A5899" s="161"/>
      <c r="B5899" s="161"/>
      <c r="C5899" s="162"/>
      <c r="D5899" s="163"/>
      <c r="E5899" s="163"/>
      <c r="F5899" s="163"/>
      <c r="G5899" s="163"/>
      <c r="H5899" s="163"/>
      <c r="I5899" s="163"/>
      <c r="J5899" s="165"/>
      <c r="K5899" s="165"/>
      <c r="L5899" s="165"/>
      <c r="M5899" s="166"/>
      <c r="N5899" s="167"/>
      <c r="O5899" s="163"/>
      <c r="P5899" s="163"/>
      <c r="Q5899" s="163"/>
      <c r="R5899" s="163"/>
      <c r="S5899" s="161"/>
      <c r="T5899" s="161"/>
      <c r="U5899" s="161"/>
      <c r="V5899" s="161"/>
      <c r="W5899" s="161"/>
      <c r="X5899" s="161"/>
      <c r="Y5899" s="161"/>
      <c r="Z5899" s="168"/>
      <c r="AA5899" s="168"/>
      <c r="AB5899" s="168"/>
      <c r="AC5899" s="168"/>
    </row>
    <row r="5900">
      <c r="A5900" s="161"/>
      <c r="B5900" s="161"/>
      <c r="C5900" s="162"/>
      <c r="D5900" s="163"/>
      <c r="E5900" s="163"/>
      <c r="F5900" s="163"/>
      <c r="G5900" s="163"/>
      <c r="H5900" s="163"/>
      <c r="I5900" s="163"/>
      <c r="J5900" s="165"/>
      <c r="K5900" s="165"/>
      <c r="L5900" s="165"/>
      <c r="M5900" s="166"/>
      <c r="N5900" s="167"/>
      <c r="O5900" s="163"/>
      <c r="P5900" s="163"/>
      <c r="Q5900" s="163"/>
      <c r="R5900" s="163"/>
      <c r="S5900" s="161"/>
      <c r="T5900" s="161"/>
      <c r="U5900" s="161"/>
      <c r="V5900" s="161"/>
      <c r="W5900" s="161"/>
      <c r="X5900" s="161"/>
      <c r="Y5900" s="161"/>
      <c r="Z5900" s="168"/>
      <c r="AA5900" s="168"/>
      <c r="AB5900" s="168"/>
      <c r="AC5900" s="168"/>
    </row>
    <row r="5901">
      <c r="A5901" s="161"/>
      <c r="B5901" s="161"/>
      <c r="C5901" s="162"/>
      <c r="D5901" s="163"/>
      <c r="E5901" s="163"/>
      <c r="F5901" s="163"/>
      <c r="G5901" s="163"/>
      <c r="H5901" s="163"/>
      <c r="I5901" s="163"/>
      <c r="J5901" s="165"/>
      <c r="K5901" s="165"/>
      <c r="L5901" s="165"/>
      <c r="M5901" s="166"/>
      <c r="N5901" s="167"/>
      <c r="O5901" s="163"/>
      <c r="P5901" s="163"/>
      <c r="Q5901" s="163"/>
      <c r="R5901" s="163"/>
      <c r="S5901" s="161"/>
      <c r="T5901" s="161"/>
      <c r="U5901" s="161"/>
      <c r="V5901" s="161"/>
      <c r="W5901" s="161"/>
      <c r="X5901" s="161"/>
      <c r="Y5901" s="161"/>
      <c r="Z5901" s="168"/>
      <c r="AA5901" s="168"/>
      <c r="AB5901" s="168"/>
      <c r="AC5901" s="168"/>
    </row>
    <row r="5902">
      <c r="A5902" s="161"/>
      <c r="B5902" s="161"/>
      <c r="C5902" s="162"/>
      <c r="D5902" s="163"/>
      <c r="E5902" s="163"/>
      <c r="F5902" s="163"/>
      <c r="G5902" s="163"/>
      <c r="H5902" s="163"/>
      <c r="I5902" s="163"/>
      <c r="J5902" s="165"/>
      <c r="K5902" s="165"/>
      <c r="L5902" s="165"/>
      <c r="M5902" s="166"/>
      <c r="N5902" s="167"/>
      <c r="O5902" s="163"/>
      <c r="P5902" s="163"/>
      <c r="Q5902" s="163"/>
      <c r="R5902" s="163"/>
      <c r="S5902" s="161"/>
      <c r="T5902" s="161"/>
      <c r="U5902" s="161"/>
      <c r="V5902" s="161"/>
      <c r="W5902" s="161"/>
      <c r="X5902" s="161"/>
      <c r="Y5902" s="161"/>
      <c r="Z5902" s="168"/>
      <c r="AA5902" s="168"/>
      <c r="AB5902" s="168"/>
      <c r="AC5902" s="168"/>
    </row>
    <row r="5903">
      <c r="A5903" s="161"/>
      <c r="B5903" s="161"/>
      <c r="C5903" s="162"/>
      <c r="D5903" s="163"/>
      <c r="E5903" s="163"/>
      <c r="F5903" s="163"/>
      <c r="G5903" s="163"/>
      <c r="H5903" s="163"/>
      <c r="I5903" s="163"/>
      <c r="J5903" s="165"/>
      <c r="K5903" s="165"/>
      <c r="L5903" s="165"/>
      <c r="M5903" s="166"/>
      <c r="N5903" s="167"/>
      <c r="O5903" s="163"/>
      <c r="P5903" s="163"/>
      <c r="Q5903" s="163"/>
      <c r="R5903" s="163"/>
      <c r="S5903" s="161"/>
      <c r="T5903" s="161"/>
      <c r="U5903" s="161"/>
      <c r="V5903" s="161"/>
      <c r="W5903" s="161"/>
      <c r="X5903" s="161"/>
      <c r="Y5903" s="161"/>
      <c r="Z5903" s="168"/>
      <c r="AA5903" s="168"/>
      <c r="AB5903" s="168"/>
      <c r="AC5903" s="168"/>
    </row>
    <row r="5904">
      <c r="A5904" s="161"/>
      <c r="B5904" s="161"/>
      <c r="C5904" s="162"/>
      <c r="D5904" s="163"/>
      <c r="E5904" s="163"/>
      <c r="F5904" s="163"/>
      <c r="G5904" s="163"/>
      <c r="H5904" s="163"/>
      <c r="I5904" s="163"/>
      <c r="J5904" s="165"/>
      <c r="K5904" s="165"/>
      <c r="L5904" s="165"/>
      <c r="M5904" s="166"/>
      <c r="N5904" s="167"/>
      <c r="O5904" s="163"/>
      <c r="P5904" s="163"/>
      <c r="Q5904" s="163"/>
      <c r="R5904" s="163"/>
      <c r="S5904" s="161"/>
      <c r="T5904" s="161"/>
      <c r="U5904" s="161"/>
      <c r="V5904" s="161"/>
      <c r="W5904" s="161"/>
      <c r="X5904" s="161"/>
      <c r="Y5904" s="161"/>
      <c r="Z5904" s="168"/>
      <c r="AA5904" s="168"/>
      <c r="AB5904" s="168"/>
      <c r="AC5904" s="168"/>
    </row>
    <row r="5905">
      <c r="A5905" s="161"/>
      <c r="B5905" s="161"/>
      <c r="C5905" s="162"/>
      <c r="D5905" s="163"/>
      <c r="E5905" s="163"/>
      <c r="F5905" s="163"/>
      <c r="G5905" s="163"/>
      <c r="H5905" s="163"/>
      <c r="I5905" s="163"/>
      <c r="J5905" s="165"/>
      <c r="K5905" s="165"/>
      <c r="L5905" s="165"/>
      <c r="M5905" s="166"/>
      <c r="N5905" s="167"/>
      <c r="O5905" s="163"/>
      <c r="P5905" s="163"/>
      <c r="Q5905" s="163"/>
      <c r="R5905" s="163"/>
      <c r="S5905" s="161"/>
      <c r="T5905" s="161"/>
      <c r="U5905" s="161"/>
      <c r="V5905" s="161"/>
      <c r="W5905" s="161"/>
      <c r="X5905" s="161"/>
      <c r="Y5905" s="161"/>
      <c r="Z5905" s="168"/>
      <c r="AA5905" s="168"/>
      <c r="AB5905" s="168"/>
      <c r="AC5905" s="168"/>
    </row>
    <row r="5906">
      <c r="A5906" s="161"/>
      <c r="B5906" s="161"/>
      <c r="C5906" s="162"/>
      <c r="D5906" s="163"/>
      <c r="E5906" s="163"/>
      <c r="F5906" s="163"/>
      <c r="G5906" s="163"/>
      <c r="H5906" s="163"/>
      <c r="I5906" s="163"/>
      <c r="J5906" s="165"/>
      <c r="K5906" s="165"/>
      <c r="L5906" s="165"/>
      <c r="M5906" s="166"/>
      <c r="N5906" s="167"/>
      <c r="O5906" s="163"/>
      <c r="P5906" s="163"/>
      <c r="Q5906" s="163"/>
      <c r="R5906" s="163"/>
      <c r="S5906" s="161"/>
      <c r="T5906" s="161"/>
      <c r="U5906" s="161"/>
      <c r="V5906" s="161"/>
      <c r="W5906" s="161"/>
      <c r="X5906" s="161"/>
      <c r="Y5906" s="161"/>
      <c r="Z5906" s="168"/>
      <c r="AA5906" s="168"/>
      <c r="AB5906" s="168"/>
      <c r="AC5906" s="168"/>
    </row>
    <row r="5907">
      <c r="A5907" s="161"/>
      <c r="B5907" s="161"/>
      <c r="C5907" s="162"/>
      <c r="D5907" s="163"/>
      <c r="E5907" s="163"/>
      <c r="F5907" s="163"/>
      <c r="G5907" s="163"/>
      <c r="H5907" s="163"/>
      <c r="I5907" s="163"/>
      <c r="J5907" s="165"/>
      <c r="K5907" s="165"/>
      <c r="L5907" s="165"/>
      <c r="M5907" s="166"/>
      <c r="N5907" s="167"/>
      <c r="O5907" s="163"/>
      <c r="P5907" s="163"/>
      <c r="Q5907" s="163"/>
      <c r="R5907" s="163"/>
      <c r="S5907" s="161"/>
      <c r="T5907" s="161"/>
      <c r="U5907" s="161"/>
      <c r="V5907" s="161"/>
      <c r="W5907" s="161"/>
      <c r="X5907" s="161"/>
      <c r="Y5907" s="161"/>
      <c r="Z5907" s="168"/>
      <c r="AA5907" s="168"/>
      <c r="AB5907" s="168"/>
      <c r="AC5907" s="168"/>
    </row>
    <row r="5908">
      <c r="A5908" s="161"/>
      <c r="B5908" s="161"/>
      <c r="C5908" s="162"/>
      <c r="D5908" s="163"/>
      <c r="E5908" s="163"/>
      <c r="F5908" s="163"/>
      <c r="G5908" s="163"/>
      <c r="H5908" s="163"/>
      <c r="I5908" s="163"/>
      <c r="J5908" s="165"/>
      <c r="K5908" s="165"/>
      <c r="L5908" s="165"/>
      <c r="M5908" s="166"/>
      <c r="N5908" s="167"/>
      <c r="O5908" s="163"/>
      <c r="P5908" s="163"/>
      <c r="Q5908" s="163"/>
      <c r="R5908" s="163"/>
      <c r="S5908" s="161"/>
      <c r="T5908" s="161"/>
      <c r="U5908" s="161"/>
      <c r="V5908" s="161"/>
      <c r="W5908" s="161"/>
      <c r="X5908" s="161"/>
      <c r="Y5908" s="161"/>
      <c r="Z5908" s="168"/>
      <c r="AA5908" s="168"/>
      <c r="AB5908" s="168"/>
      <c r="AC5908" s="168"/>
    </row>
    <row r="5909">
      <c r="A5909" s="161"/>
      <c r="B5909" s="161"/>
      <c r="C5909" s="162"/>
      <c r="D5909" s="163"/>
      <c r="E5909" s="163"/>
      <c r="F5909" s="163"/>
      <c r="G5909" s="163"/>
      <c r="H5909" s="163"/>
      <c r="I5909" s="163"/>
      <c r="J5909" s="165"/>
      <c r="K5909" s="165"/>
      <c r="L5909" s="165"/>
      <c r="M5909" s="166"/>
      <c r="N5909" s="167"/>
      <c r="O5909" s="163"/>
      <c r="P5909" s="163"/>
      <c r="Q5909" s="163"/>
      <c r="R5909" s="163"/>
      <c r="S5909" s="161"/>
      <c r="T5909" s="161"/>
      <c r="U5909" s="161"/>
      <c r="V5909" s="161"/>
      <c r="W5909" s="161"/>
      <c r="X5909" s="161"/>
      <c r="Y5909" s="161"/>
      <c r="Z5909" s="168"/>
      <c r="AA5909" s="168"/>
      <c r="AB5909" s="168"/>
      <c r="AC5909" s="168"/>
    </row>
    <row r="5910">
      <c r="A5910" s="161"/>
      <c r="B5910" s="161"/>
      <c r="C5910" s="162"/>
      <c r="D5910" s="163"/>
      <c r="E5910" s="163"/>
      <c r="F5910" s="163"/>
      <c r="G5910" s="163"/>
      <c r="H5910" s="163"/>
      <c r="I5910" s="163"/>
      <c r="J5910" s="165"/>
      <c r="K5910" s="165"/>
      <c r="L5910" s="165"/>
      <c r="M5910" s="166"/>
      <c r="N5910" s="167"/>
      <c r="O5910" s="163"/>
      <c r="P5910" s="163"/>
      <c r="Q5910" s="163"/>
      <c r="R5910" s="163"/>
      <c r="S5910" s="161"/>
      <c r="T5910" s="161"/>
      <c r="U5910" s="161"/>
      <c r="V5910" s="161"/>
      <c r="W5910" s="161"/>
      <c r="X5910" s="161"/>
      <c r="Y5910" s="161"/>
      <c r="Z5910" s="168"/>
      <c r="AA5910" s="168"/>
      <c r="AB5910" s="168"/>
      <c r="AC5910" s="168"/>
    </row>
    <row r="5911">
      <c r="A5911" s="161"/>
      <c r="B5911" s="161"/>
      <c r="C5911" s="162"/>
      <c r="D5911" s="163"/>
      <c r="E5911" s="163"/>
      <c r="F5911" s="163"/>
      <c r="G5911" s="163"/>
      <c r="H5911" s="163"/>
      <c r="I5911" s="163"/>
      <c r="J5911" s="165"/>
      <c r="K5911" s="165"/>
      <c r="L5911" s="165"/>
      <c r="M5911" s="166"/>
      <c r="N5911" s="167"/>
      <c r="O5911" s="163"/>
      <c r="P5911" s="163"/>
      <c r="Q5911" s="163"/>
      <c r="R5911" s="163"/>
      <c r="S5911" s="161"/>
      <c r="T5911" s="161"/>
      <c r="U5911" s="161"/>
      <c r="V5911" s="161"/>
      <c r="W5911" s="161"/>
      <c r="X5911" s="161"/>
      <c r="Y5911" s="161"/>
      <c r="Z5911" s="168"/>
      <c r="AA5911" s="168"/>
      <c r="AB5911" s="168"/>
      <c r="AC5911" s="168"/>
    </row>
    <row r="5912">
      <c r="A5912" s="161"/>
      <c r="B5912" s="161"/>
      <c r="C5912" s="162"/>
      <c r="D5912" s="163"/>
      <c r="E5912" s="163"/>
      <c r="F5912" s="163"/>
      <c r="G5912" s="163"/>
      <c r="H5912" s="163"/>
      <c r="I5912" s="163"/>
      <c r="J5912" s="165"/>
      <c r="K5912" s="165"/>
      <c r="L5912" s="165"/>
      <c r="M5912" s="166"/>
      <c r="N5912" s="167"/>
      <c r="O5912" s="163"/>
      <c r="P5912" s="163"/>
      <c r="Q5912" s="163"/>
      <c r="R5912" s="163"/>
      <c r="S5912" s="161"/>
      <c r="T5912" s="161"/>
      <c r="U5912" s="161"/>
      <c r="V5912" s="161"/>
      <c r="W5912" s="161"/>
      <c r="X5912" s="161"/>
      <c r="Y5912" s="161"/>
      <c r="Z5912" s="168"/>
      <c r="AA5912" s="168"/>
      <c r="AB5912" s="168"/>
      <c r="AC5912" s="168"/>
    </row>
    <row r="5913">
      <c r="A5913" s="161"/>
      <c r="B5913" s="161"/>
      <c r="C5913" s="162"/>
      <c r="D5913" s="163"/>
      <c r="E5913" s="163"/>
      <c r="F5913" s="163"/>
      <c r="G5913" s="163"/>
      <c r="H5913" s="163"/>
      <c r="I5913" s="163"/>
      <c r="J5913" s="165"/>
      <c r="K5913" s="165"/>
      <c r="L5913" s="165"/>
      <c r="M5913" s="166"/>
      <c r="N5913" s="167"/>
      <c r="O5913" s="163"/>
      <c r="P5913" s="163"/>
      <c r="Q5913" s="163"/>
      <c r="R5913" s="163"/>
      <c r="S5913" s="161"/>
      <c r="T5913" s="161"/>
      <c r="U5913" s="161"/>
      <c r="V5913" s="161"/>
      <c r="W5913" s="161"/>
      <c r="X5913" s="161"/>
      <c r="Y5913" s="161"/>
      <c r="Z5913" s="168"/>
      <c r="AA5913" s="168"/>
      <c r="AB5913" s="168"/>
      <c r="AC5913" s="168"/>
    </row>
    <row r="5914">
      <c r="A5914" s="161"/>
      <c r="B5914" s="161"/>
      <c r="C5914" s="162"/>
      <c r="D5914" s="163"/>
      <c r="E5914" s="163"/>
      <c r="F5914" s="163"/>
      <c r="G5914" s="163"/>
      <c r="H5914" s="163"/>
      <c r="I5914" s="163"/>
      <c r="J5914" s="165"/>
      <c r="K5914" s="165"/>
      <c r="L5914" s="165"/>
      <c r="M5914" s="166"/>
      <c r="N5914" s="167"/>
      <c r="O5914" s="163"/>
      <c r="P5914" s="163"/>
      <c r="Q5914" s="163"/>
      <c r="R5914" s="163"/>
      <c r="S5914" s="161"/>
      <c r="T5914" s="161"/>
      <c r="U5914" s="161"/>
      <c r="V5914" s="161"/>
      <c r="W5914" s="161"/>
      <c r="X5914" s="161"/>
      <c r="Y5914" s="161"/>
      <c r="Z5914" s="168"/>
      <c r="AA5914" s="168"/>
      <c r="AB5914" s="168"/>
      <c r="AC5914" s="168"/>
    </row>
    <row r="5915">
      <c r="A5915" s="161"/>
      <c r="B5915" s="161"/>
      <c r="C5915" s="162"/>
      <c r="D5915" s="163"/>
      <c r="E5915" s="163"/>
      <c r="F5915" s="163"/>
      <c r="G5915" s="163"/>
      <c r="H5915" s="163"/>
      <c r="I5915" s="163"/>
      <c r="J5915" s="165"/>
      <c r="K5915" s="165"/>
      <c r="L5915" s="165"/>
      <c r="M5915" s="166"/>
      <c r="N5915" s="167"/>
      <c r="O5915" s="163"/>
      <c r="P5915" s="163"/>
      <c r="Q5915" s="163"/>
      <c r="R5915" s="163"/>
      <c r="S5915" s="161"/>
      <c r="T5915" s="161"/>
      <c r="U5915" s="161"/>
      <c r="V5915" s="161"/>
      <c r="W5915" s="161"/>
      <c r="X5915" s="161"/>
      <c r="Y5915" s="161"/>
      <c r="Z5915" s="168"/>
      <c r="AA5915" s="168"/>
      <c r="AB5915" s="168"/>
      <c r="AC5915" s="168"/>
    </row>
    <row r="5916">
      <c r="A5916" s="161"/>
      <c r="B5916" s="161"/>
      <c r="C5916" s="162"/>
      <c r="D5916" s="163"/>
      <c r="E5916" s="163"/>
      <c r="F5916" s="163"/>
      <c r="G5916" s="163"/>
      <c r="H5916" s="163"/>
      <c r="I5916" s="163"/>
      <c r="J5916" s="165"/>
      <c r="K5916" s="165"/>
      <c r="L5916" s="165"/>
      <c r="M5916" s="166"/>
      <c r="N5916" s="167"/>
      <c r="O5916" s="163"/>
      <c r="P5916" s="163"/>
      <c r="Q5916" s="163"/>
      <c r="R5916" s="163"/>
      <c r="S5916" s="161"/>
      <c r="T5916" s="161"/>
      <c r="U5916" s="161"/>
      <c r="V5916" s="161"/>
      <c r="W5916" s="161"/>
      <c r="X5916" s="161"/>
      <c r="Y5916" s="161"/>
      <c r="Z5916" s="168"/>
      <c r="AA5916" s="168"/>
      <c r="AB5916" s="168"/>
      <c r="AC5916" s="168"/>
    </row>
    <row r="5917">
      <c r="A5917" s="161"/>
      <c r="B5917" s="161"/>
      <c r="C5917" s="162"/>
      <c r="D5917" s="163"/>
      <c r="E5917" s="163"/>
      <c r="F5917" s="163"/>
      <c r="G5917" s="163"/>
      <c r="H5917" s="163"/>
      <c r="I5917" s="163"/>
      <c r="J5917" s="165"/>
      <c r="K5917" s="165"/>
      <c r="L5917" s="165"/>
      <c r="M5917" s="166"/>
      <c r="N5917" s="167"/>
      <c r="O5917" s="163"/>
      <c r="P5917" s="163"/>
      <c r="Q5917" s="163"/>
      <c r="R5917" s="163"/>
      <c r="S5917" s="161"/>
      <c r="T5917" s="161"/>
      <c r="U5917" s="161"/>
      <c r="V5917" s="161"/>
      <c r="W5917" s="161"/>
      <c r="X5917" s="161"/>
      <c r="Y5917" s="161"/>
      <c r="Z5917" s="168"/>
      <c r="AA5917" s="168"/>
      <c r="AB5917" s="168"/>
      <c r="AC5917" s="168"/>
    </row>
    <row r="5918">
      <c r="A5918" s="161"/>
      <c r="B5918" s="161"/>
      <c r="C5918" s="162"/>
      <c r="D5918" s="163"/>
      <c r="E5918" s="163"/>
      <c r="F5918" s="163"/>
      <c r="G5918" s="163"/>
      <c r="H5918" s="163"/>
      <c r="I5918" s="163"/>
      <c r="J5918" s="165"/>
      <c r="K5918" s="165"/>
      <c r="L5918" s="165"/>
      <c r="M5918" s="166"/>
      <c r="N5918" s="167"/>
      <c r="O5918" s="163"/>
      <c r="P5918" s="163"/>
      <c r="Q5918" s="163"/>
      <c r="R5918" s="163"/>
      <c r="S5918" s="161"/>
      <c r="T5918" s="161"/>
      <c r="U5918" s="161"/>
      <c r="V5918" s="161"/>
      <c r="W5918" s="161"/>
      <c r="X5918" s="161"/>
      <c r="Y5918" s="161"/>
      <c r="Z5918" s="168"/>
      <c r="AA5918" s="168"/>
      <c r="AB5918" s="168"/>
      <c r="AC5918" s="168"/>
    </row>
    <row r="5919">
      <c r="A5919" s="161"/>
      <c r="B5919" s="161"/>
      <c r="C5919" s="162"/>
      <c r="D5919" s="163"/>
      <c r="E5919" s="163"/>
      <c r="F5919" s="163"/>
      <c r="G5919" s="163"/>
      <c r="H5919" s="163"/>
      <c r="I5919" s="163"/>
      <c r="J5919" s="165"/>
      <c r="K5919" s="165"/>
      <c r="L5919" s="165"/>
      <c r="M5919" s="166"/>
      <c r="N5919" s="167"/>
      <c r="O5919" s="163"/>
      <c r="P5919" s="163"/>
      <c r="Q5919" s="163"/>
      <c r="R5919" s="163"/>
      <c r="S5919" s="161"/>
      <c r="T5919" s="161"/>
      <c r="U5919" s="161"/>
      <c r="V5919" s="161"/>
      <c r="W5919" s="161"/>
      <c r="X5919" s="161"/>
      <c r="Y5919" s="161"/>
      <c r="Z5919" s="168"/>
      <c r="AA5919" s="168"/>
      <c r="AB5919" s="168"/>
      <c r="AC5919" s="168"/>
    </row>
    <row r="5920">
      <c r="A5920" s="161"/>
      <c r="B5920" s="161"/>
      <c r="C5920" s="162"/>
      <c r="D5920" s="163"/>
      <c r="E5920" s="163"/>
      <c r="F5920" s="163"/>
      <c r="G5920" s="163"/>
      <c r="H5920" s="163"/>
      <c r="I5920" s="163"/>
      <c r="J5920" s="165"/>
      <c r="K5920" s="165"/>
      <c r="L5920" s="165"/>
      <c r="M5920" s="166"/>
      <c r="N5920" s="167"/>
      <c r="O5920" s="163"/>
      <c r="P5920" s="163"/>
      <c r="Q5920" s="163"/>
      <c r="R5920" s="163"/>
      <c r="S5920" s="161"/>
      <c r="T5920" s="161"/>
      <c r="U5920" s="161"/>
      <c r="V5920" s="161"/>
      <c r="W5920" s="161"/>
      <c r="X5920" s="161"/>
      <c r="Y5920" s="161"/>
      <c r="Z5920" s="168"/>
      <c r="AA5920" s="168"/>
      <c r="AB5920" s="168"/>
      <c r="AC5920" s="168"/>
    </row>
    <row r="5921">
      <c r="A5921" s="161"/>
      <c r="B5921" s="161"/>
      <c r="C5921" s="162"/>
      <c r="D5921" s="163"/>
      <c r="E5921" s="163"/>
      <c r="F5921" s="163"/>
      <c r="G5921" s="163"/>
      <c r="H5921" s="163"/>
      <c r="I5921" s="163"/>
      <c r="J5921" s="165"/>
      <c r="K5921" s="165"/>
      <c r="L5921" s="165"/>
      <c r="M5921" s="166"/>
      <c r="N5921" s="167"/>
      <c r="O5921" s="163"/>
      <c r="P5921" s="163"/>
      <c r="Q5921" s="163"/>
      <c r="R5921" s="163"/>
      <c r="S5921" s="161"/>
      <c r="T5921" s="161"/>
      <c r="U5921" s="161"/>
      <c r="V5921" s="161"/>
      <c r="W5921" s="161"/>
      <c r="X5921" s="161"/>
      <c r="Y5921" s="161"/>
      <c r="Z5921" s="168"/>
      <c r="AA5921" s="168"/>
      <c r="AB5921" s="168"/>
      <c r="AC5921" s="168"/>
    </row>
    <row r="5922">
      <c r="A5922" s="161"/>
      <c r="B5922" s="161"/>
      <c r="C5922" s="162"/>
      <c r="D5922" s="163"/>
      <c r="E5922" s="163"/>
      <c r="F5922" s="163"/>
      <c r="G5922" s="163"/>
      <c r="H5922" s="163"/>
      <c r="I5922" s="163"/>
      <c r="J5922" s="165"/>
      <c r="K5922" s="165"/>
      <c r="L5922" s="165"/>
      <c r="M5922" s="166"/>
      <c r="N5922" s="167"/>
      <c r="O5922" s="163"/>
      <c r="P5922" s="163"/>
      <c r="Q5922" s="163"/>
      <c r="R5922" s="163"/>
      <c r="S5922" s="161"/>
      <c r="T5922" s="161"/>
      <c r="U5922" s="161"/>
      <c r="V5922" s="161"/>
      <c r="W5922" s="161"/>
      <c r="X5922" s="161"/>
      <c r="Y5922" s="161"/>
      <c r="Z5922" s="168"/>
      <c r="AA5922" s="168"/>
      <c r="AB5922" s="168"/>
      <c r="AC5922" s="168"/>
    </row>
    <row r="5923">
      <c r="A5923" s="161"/>
      <c r="B5923" s="161"/>
      <c r="C5923" s="162"/>
      <c r="D5923" s="163"/>
      <c r="E5923" s="163"/>
      <c r="F5923" s="163"/>
      <c r="G5923" s="163"/>
      <c r="H5923" s="163"/>
      <c r="I5923" s="163"/>
      <c r="J5923" s="165"/>
      <c r="K5923" s="165"/>
      <c r="L5923" s="165"/>
      <c r="M5923" s="166"/>
      <c r="N5923" s="167"/>
      <c r="O5923" s="163"/>
      <c r="P5923" s="163"/>
      <c r="Q5923" s="163"/>
      <c r="R5923" s="163"/>
      <c r="S5923" s="161"/>
      <c r="T5923" s="161"/>
      <c r="U5923" s="161"/>
      <c r="V5923" s="161"/>
      <c r="W5923" s="161"/>
      <c r="X5923" s="161"/>
      <c r="Y5923" s="161"/>
      <c r="Z5923" s="168"/>
      <c r="AA5923" s="168"/>
      <c r="AB5923" s="168"/>
      <c r="AC5923" s="168"/>
    </row>
    <row r="5924">
      <c r="A5924" s="161"/>
      <c r="B5924" s="161"/>
      <c r="C5924" s="162"/>
      <c r="D5924" s="163"/>
      <c r="E5924" s="163"/>
      <c r="F5924" s="163"/>
      <c r="G5924" s="163"/>
      <c r="H5924" s="163"/>
      <c r="I5924" s="163"/>
      <c r="J5924" s="165"/>
      <c r="K5924" s="165"/>
      <c r="L5924" s="165"/>
      <c r="M5924" s="166"/>
      <c r="N5924" s="167"/>
      <c r="O5924" s="163"/>
      <c r="P5924" s="163"/>
      <c r="Q5924" s="163"/>
      <c r="R5924" s="163"/>
      <c r="S5924" s="161"/>
      <c r="T5924" s="161"/>
      <c r="U5924" s="161"/>
      <c r="V5924" s="161"/>
      <c r="W5924" s="161"/>
      <c r="X5924" s="161"/>
      <c r="Y5924" s="161"/>
      <c r="Z5924" s="168"/>
      <c r="AA5924" s="168"/>
      <c r="AB5924" s="168"/>
      <c r="AC5924" s="168"/>
    </row>
    <row r="5925">
      <c r="A5925" s="161"/>
      <c r="B5925" s="161"/>
      <c r="C5925" s="162"/>
      <c r="D5925" s="163"/>
      <c r="E5925" s="163"/>
      <c r="F5925" s="163"/>
      <c r="G5925" s="163"/>
      <c r="H5925" s="163"/>
      <c r="I5925" s="163"/>
      <c r="J5925" s="165"/>
      <c r="K5925" s="165"/>
      <c r="L5925" s="165"/>
      <c r="M5925" s="166"/>
      <c r="N5925" s="167"/>
      <c r="O5925" s="163"/>
      <c r="P5925" s="163"/>
      <c r="Q5925" s="163"/>
      <c r="R5925" s="163"/>
      <c r="S5925" s="161"/>
      <c r="T5925" s="161"/>
      <c r="U5925" s="161"/>
      <c r="V5925" s="161"/>
      <c r="W5925" s="161"/>
      <c r="X5925" s="161"/>
      <c r="Y5925" s="161"/>
      <c r="Z5925" s="168"/>
      <c r="AA5925" s="168"/>
      <c r="AB5925" s="168"/>
      <c r="AC5925" s="168"/>
    </row>
    <row r="5926">
      <c r="A5926" s="161"/>
      <c r="B5926" s="161"/>
      <c r="C5926" s="162"/>
      <c r="D5926" s="163"/>
      <c r="E5926" s="163"/>
      <c r="F5926" s="163"/>
      <c r="G5926" s="163"/>
      <c r="H5926" s="163"/>
      <c r="I5926" s="163"/>
      <c r="J5926" s="165"/>
      <c r="K5926" s="165"/>
      <c r="L5926" s="165"/>
      <c r="M5926" s="166"/>
      <c r="N5926" s="167"/>
      <c r="O5926" s="163"/>
      <c r="P5926" s="163"/>
      <c r="Q5926" s="163"/>
      <c r="R5926" s="163"/>
      <c r="S5926" s="161"/>
      <c r="T5926" s="161"/>
      <c r="U5926" s="161"/>
      <c r="V5926" s="161"/>
      <c r="W5926" s="161"/>
      <c r="X5926" s="161"/>
      <c r="Y5926" s="161"/>
      <c r="Z5926" s="168"/>
      <c r="AA5926" s="168"/>
      <c r="AB5926" s="168"/>
      <c r="AC5926" s="168"/>
    </row>
    <row r="5927">
      <c r="A5927" s="161"/>
      <c r="B5927" s="161"/>
      <c r="C5927" s="162"/>
      <c r="D5927" s="163"/>
      <c r="E5927" s="163"/>
      <c r="F5927" s="163"/>
      <c r="G5927" s="163"/>
      <c r="H5927" s="163"/>
      <c r="I5927" s="163"/>
      <c r="J5927" s="165"/>
      <c r="K5927" s="165"/>
      <c r="L5927" s="165"/>
      <c r="M5927" s="166"/>
      <c r="N5927" s="167"/>
      <c r="O5927" s="163"/>
      <c r="P5927" s="163"/>
      <c r="Q5927" s="163"/>
      <c r="R5927" s="163"/>
      <c r="S5927" s="161"/>
      <c r="T5927" s="161"/>
      <c r="U5927" s="161"/>
      <c r="V5927" s="161"/>
      <c r="W5927" s="161"/>
      <c r="X5927" s="161"/>
      <c r="Y5927" s="161"/>
      <c r="Z5927" s="168"/>
      <c r="AA5927" s="168"/>
      <c r="AB5927" s="168"/>
      <c r="AC5927" s="168"/>
    </row>
    <row r="5928">
      <c r="A5928" s="161"/>
      <c r="B5928" s="161"/>
      <c r="C5928" s="162"/>
      <c r="D5928" s="163"/>
      <c r="E5928" s="163"/>
      <c r="F5928" s="163"/>
      <c r="G5928" s="163"/>
      <c r="H5928" s="163"/>
      <c r="I5928" s="163"/>
      <c r="J5928" s="165"/>
      <c r="K5928" s="165"/>
      <c r="L5928" s="165"/>
      <c r="M5928" s="166"/>
      <c r="N5928" s="167"/>
      <c r="O5928" s="163"/>
      <c r="P5928" s="163"/>
      <c r="Q5928" s="163"/>
      <c r="R5928" s="163"/>
      <c r="S5928" s="161"/>
      <c r="T5928" s="161"/>
      <c r="U5928" s="161"/>
      <c r="V5928" s="161"/>
      <c r="W5928" s="161"/>
      <c r="X5928" s="161"/>
      <c r="Y5928" s="161"/>
      <c r="Z5928" s="168"/>
      <c r="AA5928" s="168"/>
      <c r="AB5928" s="168"/>
      <c r="AC5928" s="168"/>
    </row>
    <row r="5929">
      <c r="A5929" s="161"/>
      <c r="B5929" s="161"/>
      <c r="C5929" s="162"/>
      <c r="D5929" s="163"/>
      <c r="E5929" s="163"/>
      <c r="F5929" s="163"/>
      <c r="G5929" s="163"/>
      <c r="H5929" s="163"/>
      <c r="I5929" s="163"/>
      <c r="J5929" s="165"/>
      <c r="K5929" s="165"/>
      <c r="L5929" s="165"/>
      <c r="M5929" s="166"/>
      <c r="N5929" s="167"/>
      <c r="O5929" s="163"/>
      <c r="P5929" s="163"/>
      <c r="Q5929" s="163"/>
      <c r="R5929" s="163"/>
      <c r="S5929" s="161"/>
      <c r="T5929" s="161"/>
      <c r="U5929" s="161"/>
      <c r="V5929" s="161"/>
      <c r="W5929" s="161"/>
      <c r="X5929" s="161"/>
      <c r="Y5929" s="161"/>
      <c r="Z5929" s="168"/>
      <c r="AA5929" s="168"/>
      <c r="AB5929" s="168"/>
      <c r="AC5929" s="168"/>
    </row>
    <row r="5930">
      <c r="A5930" s="161"/>
      <c r="B5930" s="161"/>
      <c r="C5930" s="162"/>
      <c r="D5930" s="163"/>
      <c r="E5930" s="163"/>
      <c r="F5930" s="163"/>
      <c r="G5930" s="163"/>
      <c r="H5930" s="163"/>
      <c r="I5930" s="163"/>
      <c r="J5930" s="165"/>
      <c r="K5930" s="165"/>
      <c r="L5930" s="165"/>
      <c r="M5930" s="166"/>
      <c r="N5930" s="167"/>
      <c r="O5930" s="163"/>
      <c r="P5930" s="163"/>
      <c r="Q5930" s="163"/>
      <c r="R5930" s="163"/>
      <c r="S5930" s="161"/>
      <c r="T5930" s="161"/>
      <c r="U5930" s="161"/>
      <c r="V5930" s="161"/>
      <c r="W5930" s="161"/>
      <c r="X5930" s="161"/>
      <c r="Y5930" s="161"/>
      <c r="Z5930" s="168"/>
      <c r="AA5930" s="168"/>
      <c r="AB5930" s="168"/>
      <c r="AC5930" s="168"/>
    </row>
    <row r="5931">
      <c r="A5931" s="161"/>
      <c r="B5931" s="161"/>
      <c r="C5931" s="162"/>
      <c r="D5931" s="163"/>
      <c r="E5931" s="163"/>
      <c r="F5931" s="163"/>
      <c r="G5931" s="163"/>
      <c r="H5931" s="163"/>
      <c r="I5931" s="163"/>
      <c r="J5931" s="165"/>
      <c r="K5931" s="165"/>
      <c r="L5931" s="165"/>
      <c r="M5931" s="166"/>
      <c r="N5931" s="167"/>
      <c r="O5931" s="163"/>
      <c r="P5931" s="163"/>
      <c r="Q5931" s="163"/>
      <c r="R5931" s="163"/>
      <c r="S5931" s="161"/>
      <c r="T5931" s="161"/>
      <c r="U5931" s="161"/>
      <c r="V5931" s="161"/>
      <c r="W5931" s="161"/>
      <c r="X5931" s="161"/>
      <c r="Y5931" s="161"/>
      <c r="Z5931" s="168"/>
      <c r="AA5931" s="168"/>
      <c r="AB5931" s="168"/>
      <c r="AC5931" s="168"/>
    </row>
    <row r="5932">
      <c r="A5932" s="161"/>
      <c r="B5932" s="161"/>
      <c r="C5932" s="162"/>
      <c r="D5932" s="163"/>
      <c r="E5932" s="163"/>
      <c r="F5932" s="163"/>
      <c r="G5932" s="163"/>
      <c r="H5932" s="163"/>
      <c r="I5932" s="163"/>
      <c r="J5932" s="165"/>
      <c r="K5932" s="165"/>
      <c r="L5932" s="165"/>
      <c r="M5932" s="166"/>
      <c r="N5932" s="167"/>
      <c r="O5932" s="163"/>
      <c r="P5932" s="163"/>
      <c r="Q5932" s="163"/>
      <c r="R5932" s="163"/>
      <c r="S5932" s="161"/>
      <c r="T5932" s="161"/>
      <c r="U5932" s="161"/>
      <c r="V5932" s="161"/>
      <c r="W5932" s="161"/>
      <c r="X5932" s="161"/>
      <c r="Y5932" s="161"/>
      <c r="Z5932" s="168"/>
      <c r="AA5932" s="168"/>
      <c r="AB5932" s="168"/>
      <c r="AC5932" s="168"/>
    </row>
    <row r="5933">
      <c r="A5933" s="161"/>
      <c r="B5933" s="161"/>
      <c r="C5933" s="162"/>
      <c r="D5933" s="163"/>
      <c r="E5933" s="163"/>
      <c r="F5933" s="163"/>
      <c r="G5933" s="163"/>
      <c r="H5933" s="163"/>
      <c r="I5933" s="163"/>
      <c r="J5933" s="165"/>
      <c r="K5933" s="165"/>
      <c r="L5933" s="165"/>
      <c r="M5933" s="166"/>
      <c r="N5933" s="167"/>
      <c r="O5933" s="163"/>
      <c r="P5933" s="163"/>
      <c r="Q5933" s="163"/>
      <c r="R5933" s="163"/>
      <c r="S5933" s="161"/>
      <c r="T5933" s="161"/>
      <c r="U5933" s="161"/>
      <c r="V5933" s="161"/>
      <c r="W5933" s="161"/>
      <c r="X5933" s="161"/>
      <c r="Y5933" s="161"/>
      <c r="Z5933" s="168"/>
      <c r="AA5933" s="168"/>
      <c r="AB5933" s="168"/>
      <c r="AC5933" s="168"/>
    </row>
    <row r="5934">
      <c r="A5934" s="161"/>
      <c r="B5934" s="161"/>
      <c r="C5934" s="162"/>
      <c r="D5934" s="163"/>
      <c r="E5934" s="163"/>
      <c r="F5934" s="163"/>
      <c r="G5934" s="163"/>
      <c r="H5934" s="163"/>
      <c r="I5934" s="163"/>
      <c r="J5934" s="165"/>
      <c r="K5934" s="165"/>
      <c r="L5934" s="165"/>
      <c r="M5934" s="166"/>
      <c r="N5934" s="167"/>
      <c r="O5934" s="163"/>
      <c r="P5934" s="163"/>
      <c r="Q5934" s="163"/>
      <c r="R5934" s="163"/>
      <c r="S5934" s="161"/>
      <c r="T5934" s="161"/>
      <c r="U5934" s="161"/>
      <c r="V5934" s="161"/>
      <c r="W5934" s="161"/>
      <c r="X5934" s="161"/>
      <c r="Y5934" s="161"/>
      <c r="Z5934" s="168"/>
      <c r="AA5934" s="168"/>
      <c r="AB5934" s="168"/>
      <c r="AC5934" s="168"/>
    </row>
    <row r="5935">
      <c r="A5935" s="161"/>
      <c r="B5935" s="161"/>
      <c r="C5935" s="162"/>
      <c r="D5935" s="163"/>
      <c r="E5935" s="163"/>
      <c r="F5935" s="163"/>
      <c r="G5935" s="163"/>
      <c r="H5935" s="163"/>
      <c r="I5935" s="163"/>
      <c r="J5935" s="165"/>
      <c r="K5935" s="165"/>
      <c r="L5935" s="165"/>
      <c r="M5935" s="166"/>
      <c r="N5935" s="167"/>
      <c r="O5935" s="163"/>
      <c r="P5935" s="163"/>
      <c r="Q5935" s="163"/>
      <c r="R5935" s="163"/>
      <c r="S5935" s="161"/>
      <c r="T5935" s="161"/>
      <c r="U5935" s="161"/>
      <c r="V5935" s="161"/>
      <c r="W5935" s="161"/>
      <c r="X5935" s="161"/>
      <c r="Y5935" s="161"/>
      <c r="Z5935" s="168"/>
      <c r="AA5935" s="168"/>
      <c r="AB5935" s="168"/>
      <c r="AC5935" s="168"/>
    </row>
    <row r="5936">
      <c r="A5936" s="161"/>
      <c r="B5936" s="161"/>
      <c r="C5936" s="162"/>
      <c r="D5936" s="163"/>
      <c r="E5936" s="163"/>
      <c r="F5936" s="163"/>
      <c r="G5936" s="163"/>
      <c r="H5936" s="163"/>
      <c r="I5936" s="163"/>
      <c r="J5936" s="165"/>
      <c r="K5936" s="165"/>
      <c r="L5936" s="165"/>
      <c r="M5936" s="166"/>
      <c r="N5936" s="167"/>
      <c r="O5936" s="163"/>
      <c r="P5936" s="163"/>
      <c r="Q5936" s="163"/>
      <c r="R5936" s="163"/>
      <c r="S5936" s="161"/>
      <c r="T5936" s="161"/>
      <c r="U5936" s="161"/>
      <c r="V5936" s="161"/>
      <c r="W5936" s="161"/>
      <c r="X5936" s="161"/>
      <c r="Y5936" s="161"/>
      <c r="Z5936" s="168"/>
      <c r="AA5936" s="168"/>
      <c r="AB5936" s="168"/>
      <c r="AC5936" s="168"/>
    </row>
    <row r="5937">
      <c r="A5937" s="161"/>
      <c r="B5937" s="161"/>
      <c r="C5937" s="162"/>
      <c r="D5937" s="163"/>
      <c r="E5937" s="163"/>
      <c r="F5937" s="163"/>
      <c r="G5937" s="163"/>
      <c r="H5937" s="163"/>
      <c r="I5937" s="163"/>
      <c r="J5937" s="165"/>
      <c r="K5937" s="165"/>
      <c r="L5937" s="165"/>
      <c r="M5937" s="166"/>
      <c r="N5937" s="167"/>
      <c r="O5937" s="163"/>
      <c r="P5937" s="163"/>
      <c r="Q5937" s="163"/>
      <c r="R5937" s="163"/>
      <c r="S5937" s="161"/>
      <c r="T5937" s="161"/>
      <c r="U5937" s="161"/>
      <c r="V5937" s="161"/>
      <c r="W5937" s="161"/>
      <c r="X5937" s="161"/>
      <c r="Y5937" s="161"/>
      <c r="Z5937" s="168"/>
      <c r="AA5937" s="168"/>
      <c r="AB5937" s="168"/>
      <c r="AC5937" s="168"/>
    </row>
    <row r="5938">
      <c r="A5938" s="161"/>
      <c r="B5938" s="161"/>
      <c r="C5938" s="162"/>
      <c r="D5938" s="163"/>
      <c r="E5938" s="163"/>
      <c r="F5938" s="163"/>
      <c r="G5938" s="163"/>
      <c r="H5938" s="163"/>
      <c r="I5938" s="163"/>
      <c r="J5938" s="165"/>
      <c r="K5938" s="165"/>
      <c r="L5938" s="165"/>
      <c r="M5938" s="166"/>
      <c r="N5938" s="167"/>
      <c r="O5938" s="163"/>
      <c r="P5938" s="163"/>
      <c r="Q5938" s="163"/>
      <c r="R5938" s="163"/>
      <c r="S5938" s="161"/>
      <c r="T5938" s="161"/>
      <c r="U5938" s="161"/>
      <c r="V5938" s="161"/>
      <c r="W5938" s="161"/>
      <c r="X5938" s="161"/>
      <c r="Y5938" s="161"/>
      <c r="Z5938" s="168"/>
      <c r="AA5938" s="168"/>
      <c r="AB5938" s="168"/>
      <c r="AC5938" s="168"/>
    </row>
    <row r="5939">
      <c r="A5939" s="161"/>
      <c r="B5939" s="161"/>
      <c r="C5939" s="162"/>
      <c r="D5939" s="163"/>
      <c r="E5939" s="163"/>
      <c r="F5939" s="163"/>
      <c r="G5939" s="163"/>
      <c r="H5939" s="163"/>
      <c r="I5939" s="163"/>
      <c r="J5939" s="165"/>
      <c r="K5939" s="165"/>
      <c r="L5939" s="165"/>
      <c r="M5939" s="166"/>
      <c r="N5939" s="167"/>
      <c r="O5939" s="163"/>
      <c r="P5939" s="163"/>
      <c r="Q5939" s="163"/>
      <c r="R5939" s="163"/>
      <c r="S5939" s="161"/>
      <c r="T5939" s="161"/>
      <c r="U5939" s="161"/>
      <c r="V5939" s="161"/>
      <c r="W5939" s="161"/>
      <c r="X5939" s="161"/>
      <c r="Y5939" s="161"/>
      <c r="Z5939" s="168"/>
      <c r="AA5939" s="168"/>
      <c r="AB5939" s="168"/>
      <c r="AC5939" s="168"/>
    </row>
    <row r="5940">
      <c r="A5940" s="161"/>
      <c r="B5940" s="161"/>
      <c r="C5940" s="162"/>
      <c r="D5940" s="163"/>
      <c r="E5940" s="163"/>
      <c r="F5940" s="163"/>
      <c r="G5940" s="163"/>
      <c r="H5940" s="163"/>
      <c r="I5940" s="163"/>
      <c r="J5940" s="165"/>
      <c r="K5940" s="165"/>
      <c r="L5940" s="165"/>
      <c r="M5940" s="166"/>
      <c r="N5940" s="167"/>
      <c r="O5940" s="163"/>
      <c r="P5940" s="163"/>
      <c r="Q5940" s="163"/>
      <c r="R5940" s="163"/>
      <c r="S5940" s="161"/>
      <c r="T5940" s="161"/>
      <c r="U5940" s="161"/>
      <c r="V5940" s="161"/>
      <c r="W5940" s="161"/>
      <c r="X5940" s="161"/>
      <c r="Y5940" s="161"/>
      <c r="Z5940" s="168"/>
      <c r="AA5940" s="168"/>
      <c r="AB5940" s="168"/>
      <c r="AC5940" s="168"/>
    </row>
    <row r="5941">
      <c r="A5941" s="161"/>
      <c r="B5941" s="161"/>
      <c r="C5941" s="162"/>
      <c r="D5941" s="163"/>
      <c r="E5941" s="163"/>
      <c r="F5941" s="163"/>
      <c r="G5941" s="163"/>
      <c r="H5941" s="163"/>
      <c r="I5941" s="163"/>
      <c r="J5941" s="165"/>
      <c r="K5941" s="165"/>
      <c r="L5941" s="165"/>
      <c r="M5941" s="166"/>
      <c r="N5941" s="167"/>
      <c r="O5941" s="163"/>
      <c r="P5941" s="163"/>
      <c r="Q5941" s="163"/>
      <c r="R5941" s="163"/>
      <c r="S5941" s="161"/>
      <c r="T5941" s="161"/>
      <c r="U5941" s="161"/>
      <c r="V5941" s="161"/>
      <c r="W5941" s="161"/>
      <c r="X5941" s="161"/>
      <c r="Y5941" s="161"/>
      <c r="Z5941" s="168"/>
      <c r="AA5941" s="168"/>
      <c r="AB5941" s="168"/>
      <c r="AC5941" s="168"/>
    </row>
    <row r="5942">
      <c r="A5942" s="161"/>
      <c r="B5942" s="161"/>
      <c r="C5942" s="162"/>
      <c r="D5942" s="163"/>
      <c r="E5942" s="163"/>
      <c r="F5942" s="163"/>
      <c r="G5942" s="163"/>
      <c r="H5942" s="163"/>
      <c r="I5942" s="163"/>
      <c r="J5942" s="165"/>
      <c r="K5942" s="165"/>
      <c r="L5942" s="165"/>
      <c r="M5942" s="166"/>
      <c r="N5942" s="167"/>
      <c r="O5942" s="163"/>
      <c r="P5942" s="163"/>
      <c r="Q5942" s="163"/>
      <c r="R5942" s="163"/>
      <c r="S5942" s="161"/>
      <c r="T5942" s="161"/>
      <c r="U5942" s="161"/>
      <c r="V5942" s="161"/>
      <c r="W5942" s="161"/>
      <c r="X5942" s="161"/>
      <c r="Y5942" s="161"/>
      <c r="Z5942" s="168"/>
      <c r="AA5942" s="168"/>
      <c r="AB5942" s="168"/>
      <c r="AC5942" s="168"/>
    </row>
    <row r="5943">
      <c r="A5943" s="161"/>
      <c r="B5943" s="161"/>
      <c r="C5943" s="162"/>
      <c r="D5943" s="163"/>
      <c r="E5943" s="163"/>
      <c r="F5943" s="163"/>
      <c r="G5943" s="163"/>
      <c r="H5943" s="163"/>
      <c r="I5943" s="163"/>
      <c r="J5943" s="165"/>
      <c r="K5943" s="165"/>
      <c r="L5943" s="165"/>
      <c r="M5943" s="166"/>
      <c r="N5943" s="167"/>
      <c r="O5943" s="163"/>
      <c r="P5943" s="163"/>
      <c r="Q5943" s="163"/>
      <c r="R5943" s="163"/>
      <c r="S5943" s="161"/>
      <c r="T5943" s="161"/>
      <c r="U5943" s="161"/>
      <c r="V5943" s="161"/>
      <c r="W5943" s="161"/>
      <c r="X5943" s="161"/>
      <c r="Y5943" s="161"/>
      <c r="Z5943" s="168"/>
      <c r="AA5943" s="168"/>
      <c r="AB5943" s="168"/>
      <c r="AC5943" s="168"/>
    </row>
    <row r="5944">
      <c r="A5944" s="161"/>
      <c r="B5944" s="161"/>
      <c r="C5944" s="162"/>
      <c r="D5944" s="163"/>
      <c r="E5944" s="163"/>
      <c r="F5944" s="163"/>
      <c r="G5944" s="163"/>
      <c r="H5944" s="163"/>
      <c r="I5944" s="163"/>
      <c r="J5944" s="165"/>
      <c r="K5944" s="165"/>
      <c r="L5944" s="165"/>
      <c r="M5944" s="166"/>
      <c r="N5944" s="167"/>
      <c r="O5944" s="163"/>
      <c r="P5944" s="163"/>
      <c r="Q5944" s="163"/>
      <c r="R5944" s="163"/>
      <c r="S5944" s="161"/>
      <c r="T5944" s="161"/>
      <c r="U5944" s="161"/>
      <c r="V5944" s="161"/>
      <c r="W5944" s="161"/>
      <c r="X5944" s="161"/>
      <c r="Y5944" s="161"/>
      <c r="Z5944" s="168"/>
      <c r="AA5944" s="168"/>
      <c r="AB5944" s="168"/>
      <c r="AC5944" s="168"/>
    </row>
    <row r="5945">
      <c r="A5945" s="161"/>
      <c r="B5945" s="161"/>
      <c r="C5945" s="162"/>
      <c r="D5945" s="163"/>
      <c r="E5945" s="163"/>
      <c r="F5945" s="163"/>
      <c r="G5945" s="163"/>
      <c r="H5945" s="163"/>
      <c r="I5945" s="163"/>
      <c r="J5945" s="165"/>
      <c r="K5945" s="165"/>
      <c r="L5945" s="165"/>
      <c r="M5945" s="166"/>
      <c r="N5945" s="167"/>
      <c r="O5945" s="163"/>
      <c r="P5945" s="163"/>
      <c r="Q5945" s="163"/>
      <c r="R5945" s="163"/>
      <c r="S5945" s="161"/>
      <c r="T5945" s="161"/>
      <c r="U5945" s="161"/>
      <c r="V5945" s="161"/>
      <c r="W5945" s="161"/>
      <c r="X5945" s="161"/>
      <c r="Y5945" s="161"/>
      <c r="Z5945" s="168"/>
      <c r="AA5945" s="168"/>
      <c r="AB5945" s="168"/>
      <c r="AC5945" s="168"/>
    </row>
    <row r="5946">
      <c r="A5946" s="161"/>
      <c r="B5946" s="161"/>
      <c r="C5946" s="162"/>
      <c r="D5946" s="163"/>
      <c r="E5946" s="163"/>
      <c r="F5946" s="163"/>
      <c r="G5946" s="163"/>
      <c r="H5946" s="163"/>
      <c r="I5946" s="163"/>
      <c r="J5946" s="165"/>
      <c r="K5946" s="165"/>
      <c r="L5946" s="165"/>
      <c r="M5946" s="166"/>
      <c r="N5946" s="167"/>
      <c r="O5946" s="163"/>
      <c r="P5946" s="163"/>
      <c r="Q5946" s="163"/>
      <c r="R5946" s="163"/>
      <c r="S5946" s="161"/>
      <c r="T5946" s="161"/>
      <c r="U5946" s="161"/>
      <c r="V5946" s="161"/>
      <c r="W5946" s="161"/>
      <c r="X5946" s="161"/>
      <c r="Y5946" s="161"/>
      <c r="Z5946" s="168"/>
      <c r="AA5946" s="168"/>
      <c r="AB5946" s="168"/>
      <c r="AC5946" s="168"/>
    </row>
    <row r="5947">
      <c r="A5947" s="161"/>
      <c r="B5947" s="161"/>
      <c r="C5947" s="162"/>
      <c r="D5947" s="163"/>
      <c r="E5947" s="163"/>
      <c r="F5947" s="163"/>
      <c r="G5947" s="163"/>
      <c r="H5947" s="163"/>
      <c r="I5947" s="163"/>
      <c r="J5947" s="165"/>
      <c r="K5947" s="165"/>
      <c r="L5947" s="165"/>
      <c r="M5947" s="166"/>
      <c r="N5947" s="167"/>
      <c r="O5947" s="163"/>
      <c r="P5947" s="163"/>
      <c r="Q5947" s="163"/>
      <c r="R5947" s="163"/>
      <c r="S5947" s="161"/>
      <c r="T5947" s="161"/>
      <c r="U5947" s="161"/>
      <c r="V5947" s="161"/>
      <c r="W5947" s="161"/>
      <c r="X5947" s="161"/>
      <c r="Y5947" s="161"/>
      <c r="Z5947" s="168"/>
      <c r="AA5947" s="168"/>
      <c r="AB5947" s="168"/>
      <c r="AC5947" s="168"/>
    </row>
    <row r="5948">
      <c r="A5948" s="161"/>
      <c r="B5948" s="161"/>
      <c r="C5948" s="162"/>
      <c r="D5948" s="163"/>
      <c r="E5948" s="163"/>
      <c r="F5948" s="163"/>
      <c r="G5948" s="163"/>
      <c r="H5948" s="163"/>
      <c r="I5948" s="163"/>
      <c r="J5948" s="165"/>
      <c r="K5948" s="165"/>
      <c r="L5948" s="165"/>
      <c r="M5948" s="166"/>
      <c r="N5948" s="167"/>
      <c r="O5948" s="163"/>
      <c r="P5948" s="163"/>
      <c r="Q5948" s="163"/>
      <c r="R5948" s="163"/>
      <c r="S5948" s="161"/>
      <c r="T5948" s="161"/>
      <c r="U5948" s="161"/>
      <c r="V5948" s="161"/>
      <c r="W5948" s="161"/>
      <c r="X5948" s="161"/>
      <c r="Y5948" s="161"/>
      <c r="Z5948" s="168"/>
      <c r="AA5948" s="168"/>
      <c r="AB5948" s="168"/>
      <c r="AC5948" s="168"/>
    </row>
    <row r="5949">
      <c r="A5949" s="161"/>
      <c r="B5949" s="161"/>
      <c r="C5949" s="162"/>
      <c r="D5949" s="163"/>
      <c r="E5949" s="163"/>
      <c r="F5949" s="163"/>
      <c r="G5949" s="163"/>
      <c r="H5949" s="163"/>
      <c r="I5949" s="163"/>
      <c r="J5949" s="165"/>
      <c r="K5949" s="165"/>
      <c r="L5949" s="165"/>
      <c r="M5949" s="166"/>
      <c r="N5949" s="167"/>
      <c r="O5949" s="163"/>
      <c r="P5949" s="163"/>
      <c r="Q5949" s="163"/>
      <c r="R5949" s="163"/>
      <c r="S5949" s="161"/>
      <c r="T5949" s="161"/>
      <c r="U5949" s="161"/>
      <c r="V5949" s="161"/>
      <c r="W5949" s="161"/>
      <c r="X5949" s="161"/>
      <c r="Y5949" s="161"/>
      <c r="Z5949" s="168"/>
      <c r="AA5949" s="168"/>
      <c r="AB5949" s="168"/>
      <c r="AC5949" s="168"/>
    </row>
    <row r="5950">
      <c r="A5950" s="161"/>
      <c r="B5950" s="161"/>
      <c r="C5950" s="162"/>
      <c r="D5950" s="163"/>
      <c r="E5950" s="163"/>
      <c r="F5950" s="163"/>
      <c r="G5950" s="163"/>
      <c r="H5950" s="163"/>
      <c r="I5950" s="163"/>
      <c r="J5950" s="165"/>
      <c r="K5950" s="165"/>
      <c r="L5950" s="165"/>
      <c r="M5950" s="166"/>
      <c r="N5950" s="167"/>
      <c r="O5950" s="163"/>
      <c r="P5950" s="163"/>
      <c r="Q5950" s="163"/>
      <c r="R5950" s="163"/>
      <c r="S5950" s="161"/>
      <c r="T5950" s="161"/>
      <c r="U5950" s="161"/>
      <c r="V5950" s="161"/>
      <c r="W5950" s="161"/>
      <c r="X5950" s="161"/>
      <c r="Y5950" s="161"/>
      <c r="Z5950" s="168"/>
      <c r="AA5950" s="168"/>
      <c r="AB5950" s="168"/>
      <c r="AC5950" s="168"/>
    </row>
    <row r="5951">
      <c r="A5951" s="161"/>
      <c r="B5951" s="161"/>
      <c r="C5951" s="162"/>
      <c r="D5951" s="163"/>
      <c r="E5951" s="163"/>
      <c r="F5951" s="163"/>
      <c r="G5951" s="163"/>
      <c r="H5951" s="163"/>
      <c r="I5951" s="163"/>
      <c r="J5951" s="165"/>
      <c r="K5951" s="165"/>
      <c r="L5951" s="165"/>
      <c r="M5951" s="166"/>
      <c r="N5951" s="167"/>
      <c r="O5951" s="163"/>
      <c r="P5951" s="163"/>
      <c r="Q5951" s="163"/>
      <c r="R5951" s="163"/>
      <c r="S5951" s="161"/>
      <c r="T5951" s="161"/>
      <c r="U5951" s="161"/>
      <c r="V5951" s="161"/>
      <c r="W5951" s="161"/>
      <c r="X5951" s="161"/>
      <c r="Y5951" s="161"/>
      <c r="Z5951" s="168"/>
      <c r="AA5951" s="168"/>
      <c r="AB5951" s="168"/>
      <c r="AC5951" s="168"/>
    </row>
    <row r="5952">
      <c r="A5952" s="161"/>
      <c r="B5952" s="161"/>
      <c r="C5952" s="162"/>
      <c r="D5952" s="163"/>
      <c r="E5952" s="163"/>
      <c r="F5952" s="163"/>
      <c r="G5952" s="163"/>
      <c r="H5952" s="163"/>
      <c r="I5952" s="163"/>
      <c r="J5952" s="165"/>
      <c r="K5952" s="165"/>
      <c r="L5952" s="165"/>
      <c r="M5952" s="166"/>
      <c r="N5952" s="167"/>
      <c r="O5952" s="163"/>
      <c r="P5952" s="163"/>
      <c r="Q5952" s="163"/>
      <c r="R5952" s="163"/>
      <c r="S5952" s="161"/>
      <c r="T5952" s="161"/>
      <c r="U5952" s="161"/>
      <c r="V5952" s="161"/>
      <c r="W5952" s="161"/>
      <c r="X5952" s="161"/>
      <c r="Y5952" s="161"/>
      <c r="Z5952" s="168"/>
      <c r="AA5952" s="168"/>
      <c r="AB5952" s="168"/>
      <c r="AC5952" s="168"/>
    </row>
    <row r="5953">
      <c r="A5953" s="161"/>
      <c r="B5953" s="161"/>
      <c r="C5953" s="162"/>
      <c r="D5953" s="163"/>
      <c r="E5953" s="163"/>
      <c r="F5953" s="163"/>
      <c r="G5953" s="163"/>
      <c r="H5953" s="163"/>
      <c r="I5953" s="163"/>
      <c r="J5953" s="165"/>
      <c r="K5953" s="165"/>
      <c r="L5953" s="165"/>
      <c r="M5953" s="166"/>
      <c r="N5953" s="167"/>
      <c r="O5953" s="163"/>
      <c r="P5953" s="163"/>
      <c r="Q5953" s="163"/>
      <c r="R5953" s="163"/>
      <c r="S5953" s="161"/>
      <c r="T5953" s="161"/>
      <c r="U5953" s="161"/>
      <c r="V5953" s="161"/>
      <c r="W5953" s="161"/>
      <c r="X5953" s="161"/>
      <c r="Y5953" s="161"/>
      <c r="Z5953" s="168"/>
      <c r="AA5953" s="168"/>
      <c r="AB5953" s="168"/>
      <c r="AC5953" s="168"/>
    </row>
    <row r="5954">
      <c r="A5954" s="161"/>
      <c r="B5954" s="161"/>
      <c r="C5954" s="162"/>
      <c r="D5954" s="163"/>
      <c r="E5954" s="163"/>
      <c r="F5954" s="163"/>
      <c r="G5954" s="163"/>
      <c r="H5954" s="163"/>
      <c r="I5954" s="163"/>
      <c r="J5954" s="165"/>
      <c r="K5954" s="165"/>
      <c r="L5954" s="165"/>
      <c r="M5954" s="166"/>
      <c r="N5954" s="167"/>
      <c r="O5954" s="163"/>
      <c r="P5954" s="163"/>
      <c r="Q5954" s="163"/>
      <c r="R5954" s="163"/>
      <c r="S5954" s="161"/>
      <c r="T5954" s="161"/>
      <c r="U5954" s="161"/>
      <c r="V5954" s="161"/>
      <c r="W5954" s="161"/>
      <c r="X5954" s="161"/>
      <c r="Y5954" s="161"/>
      <c r="Z5954" s="168"/>
      <c r="AA5954" s="168"/>
      <c r="AB5954" s="168"/>
      <c r="AC5954" s="168"/>
    </row>
    <row r="5955">
      <c r="A5955" s="161"/>
      <c r="B5955" s="161"/>
      <c r="C5955" s="162"/>
      <c r="D5955" s="163"/>
      <c r="E5955" s="163"/>
      <c r="F5955" s="163"/>
      <c r="G5955" s="163"/>
      <c r="H5955" s="163"/>
      <c r="I5955" s="163"/>
      <c r="J5955" s="165"/>
      <c r="K5955" s="165"/>
      <c r="L5955" s="165"/>
      <c r="M5955" s="166"/>
      <c r="N5955" s="167"/>
      <c r="O5955" s="163"/>
      <c r="P5955" s="163"/>
      <c r="Q5955" s="163"/>
      <c r="R5955" s="163"/>
      <c r="S5955" s="161"/>
      <c r="T5955" s="161"/>
      <c r="U5955" s="161"/>
      <c r="V5955" s="161"/>
      <c r="W5955" s="161"/>
      <c r="X5955" s="161"/>
      <c r="Y5955" s="161"/>
      <c r="Z5955" s="168"/>
      <c r="AA5955" s="168"/>
      <c r="AB5955" s="168"/>
      <c r="AC5955" s="168"/>
    </row>
    <row r="5956">
      <c r="A5956" s="161"/>
      <c r="B5956" s="161"/>
      <c r="C5956" s="162"/>
      <c r="D5956" s="163"/>
      <c r="E5956" s="163"/>
      <c r="F5956" s="163"/>
      <c r="G5956" s="163"/>
      <c r="H5956" s="163"/>
      <c r="I5956" s="163"/>
      <c r="J5956" s="165"/>
      <c r="K5956" s="165"/>
      <c r="L5956" s="165"/>
      <c r="M5956" s="166"/>
      <c r="N5956" s="167"/>
      <c r="O5956" s="163"/>
      <c r="P5956" s="163"/>
      <c r="Q5956" s="163"/>
      <c r="R5956" s="163"/>
      <c r="S5956" s="161"/>
      <c r="T5956" s="161"/>
      <c r="U5956" s="161"/>
      <c r="V5956" s="161"/>
      <c r="W5956" s="161"/>
      <c r="X5956" s="161"/>
      <c r="Y5956" s="161"/>
      <c r="Z5956" s="168"/>
      <c r="AA5956" s="168"/>
      <c r="AB5956" s="168"/>
      <c r="AC5956" s="168"/>
    </row>
    <row r="5957">
      <c r="A5957" s="161"/>
      <c r="B5957" s="161"/>
      <c r="C5957" s="162"/>
      <c r="D5957" s="163"/>
      <c r="E5957" s="163"/>
      <c r="F5957" s="163"/>
      <c r="G5957" s="163"/>
      <c r="H5957" s="163"/>
      <c r="I5957" s="163"/>
      <c r="J5957" s="165"/>
      <c r="K5957" s="165"/>
      <c r="L5957" s="165"/>
      <c r="M5957" s="166"/>
      <c r="N5957" s="167"/>
      <c r="O5957" s="163"/>
      <c r="P5957" s="163"/>
      <c r="Q5957" s="163"/>
      <c r="R5957" s="163"/>
      <c r="S5957" s="161"/>
      <c r="T5957" s="161"/>
      <c r="U5957" s="161"/>
      <c r="V5957" s="161"/>
      <c r="W5957" s="161"/>
      <c r="X5957" s="161"/>
      <c r="Y5957" s="161"/>
      <c r="Z5957" s="168"/>
      <c r="AA5957" s="168"/>
      <c r="AB5957" s="168"/>
      <c r="AC5957" s="168"/>
    </row>
    <row r="5958">
      <c r="A5958" s="161"/>
      <c r="B5958" s="161"/>
      <c r="C5958" s="162"/>
      <c r="D5958" s="163"/>
      <c r="E5958" s="163"/>
      <c r="F5958" s="163"/>
      <c r="G5958" s="163"/>
      <c r="H5958" s="163"/>
      <c r="I5958" s="163"/>
      <c r="J5958" s="165"/>
      <c r="K5958" s="165"/>
      <c r="L5958" s="165"/>
      <c r="M5958" s="166"/>
      <c r="N5958" s="167"/>
      <c r="O5958" s="163"/>
      <c r="P5958" s="163"/>
      <c r="Q5958" s="163"/>
      <c r="R5958" s="163"/>
      <c r="S5958" s="161"/>
      <c r="T5958" s="161"/>
      <c r="U5958" s="161"/>
      <c r="V5958" s="161"/>
      <c r="W5958" s="161"/>
      <c r="X5958" s="161"/>
      <c r="Y5958" s="161"/>
      <c r="Z5958" s="168"/>
      <c r="AA5958" s="168"/>
      <c r="AB5958" s="168"/>
      <c r="AC5958" s="168"/>
    </row>
    <row r="5959">
      <c r="A5959" s="161"/>
      <c r="B5959" s="161"/>
      <c r="C5959" s="162"/>
      <c r="D5959" s="163"/>
      <c r="E5959" s="163"/>
      <c r="F5959" s="163"/>
      <c r="G5959" s="163"/>
      <c r="H5959" s="163"/>
      <c r="I5959" s="163"/>
      <c r="J5959" s="165"/>
      <c r="K5959" s="165"/>
      <c r="L5959" s="165"/>
      <c r="M5959" s="166"/>
      <c r="N5959" s="167"/>
      <c r="O5959" s="163"/>
      <c r="P5959" s="163"/>
      <c r="Q5959" s="163"/>
      <c r="R5959" s="163"/>
      <c r="S5959" s="161"/>
      <c r="T5959" s="161"/>
      <c r="U5959" s="161"/>
      <c r="V5959" s="161"/>
      <c r="W5959" s="161"/>
      <c r="X5959" s="161"/>
      <c r="Y5959" s="161"/>
      <c r="Z5959" s="168"/>
      <c r="AA5959" s="168"/>
      <c r="AB5959" s="168"/>
      <c r="AC5959" s="168"/>
    </row>
    <row r="5960">
      <c r="A5960" s="161"/>
      <c r="B5960" s="161"/>
      <c r="C5960" s="162"/>
      <c r="D5960" s="163"/>
      <c r="E5960" s="163"/>
      <c r="F5960" s="163"/>
      <c r="G5960" s="163"/>
      <c r="H5960" s="163"/>
      <c r="I5960" s="163"/>
      <c r="J5960" s="165"/>
      <c r="K5960" s="165"/>
      <c r="L5960" s="165"/>
      <c r="M5960" s="166"/>
      <c r="N5960" s="167"/>
      <c r="O5960" s="163"/>
      <c r="P5960" s="163"/>
      <c r="Q5960" s="163"/>
      <c r="R5960" s="163"/>
      <c r="S5960" s="161"/>
      <c r="T5960" s="161"/>
      <c r="U5960" s="161"/>
      <c r="V5960" s="161"/>
      <c r="W5960" s="161"/>
      <c r="X5960" s="161"/>
      <c r="Y5960" s="161"/>
      <c r="Z5960" s="168"/>
      <c r="AA5960" s="168"/>
      <c r="AB5960" s="168"/>
      <c r="AC5960" s="168"/>
    </row>
    <row r="5961">
      <c r="A5961" s="161"/>
      <c r="B5961" s="161"/>
      <c r="C5961" s="162"/>
      <c r="D5961" s="163"/>
      <c r="E5961" s="163"/>
      <c r="F5961" s="163"/>
      <c r="G5961" s="163"/>
      <c r="H5961" s="163"/>
      <c r="I5961" s="163"/>
      <c r="J5961" s="165"/>
      <c r="K5961" s="165"/>
      <c r="L5961" s="165"/>
      <c r="M5961" s="166"/>
      <c r="N5961" s="167"/>
      <c r="O5961" s="163"/>
      <c r="P5961" s="163"/>
      <c r="Q5961" s="163"/>
      <c r="R5961" s="163"/>
      <c r="S5961" s="161"/>
      <c r="T5961" s="161"/>
      <c r="U5961" s="161"/>
      <c r="V5961" s="161"/>
      <c r="W5961" s="161"/>
      <c r="X5961" s="161"/>
      <c r="Y5961" s="161"/>
      <c r="Z5961" s="168"/>
      <c r="AA5961" s="168"/>
      <c r="AB5961" s="168"/>
      <c r="AC5961" s="168"/>
    </row>
    <row r="5962">
      <c r="A5962" s="161"/>
      <c r="B5962" s="161"/>
      <c r="C5962" s="162"/>
      <c r="D5962" s="163"/>
      <c r="E5962" s="163"/>
      <c r="F5962" s="163"/>
      <c r="G5962" s="163"/>
      <c r="H5962" s="163"/>
      <c r="I5962" s="163"/>
      <c r="J5962" s="165"/>
      <c r="K5962" s="165"/>
      <c r="L5962" s="165"/>
      <c r="M5962" s="166"/>
      <c r="N5962" s="167"/>
      <c r="O5962" s="163"/>
      <c r="P5962" s="163"/>
      <c r="Q5962" s="163"/>
      <c r="R5962" s="163"/>
      <c r="S5962" s="161"/>
      <c r="T5962" s="161"/>
      <c r="U5962" s="161"/>
      <c r="V5962" s="161"/>
      <c r="W5962" s="161"/>
      <c r="X5962" s="161"/>
      <c r="Y5962" s="161"/>
      <c r="Z5962" s="168"/>
      <c r="AA5962" s="168"/>
      <c r="AB5962" s="168"/>
      <c r="AC5962" s="168"/>
    </row>
    <row r="5963">
      <c r="A5963" s="161"/>
      <c r="B5963" s="161"/>
      <c r="C5963" s="162"/>
      <c r="D5963" s="163"/>
      <c r="E5963" s="163"/>
      <c r="F5963" s="163"/>
      <c r="G5963" s="163"/>
      <c r="H5963" s="163"/>
      <c r="I5963" s="163"/>
      <c r="J5963" s="165"/>
      <c r="K5963" s="165"/>
      <c r="L5963" s="165"/>
      <c r="M5963" s="166"/>
      <c r="N5963" s="167"/>
      <c r="O5963" s="163"/>
      <c r="P5963" s="163"/>
      <c r="Q5963" s="163"/>
      <c r="R5963" s="163"/>
      <c r="S5963" s="161"/>
      <c r="T5963" s="161"/>
      <c r="U5963" s="161"/>
      <c r="V5963" s="161"/>
      <c r="W5963" s="161"/>
      <c r="X5963" s="161"/>
      <c r="Y5963" s="161"/>
      <c r="Z5963" s="168"/>
      <c r="AA5963" s="168"/>
      <c r="AB5963" s="168"/>
      <c r="AC5963" s="168"/>
    </row>
    <row r="5964">
      <c r="A5964" s="161"/>
      <c r="B5964" s="161"/>
      <c r="C5964" s="162"/>
      <c r="D5964" s="163"/>
      <c r="E5964" s="163"/>
      <c r="F5964" s="163"/>
      <c r="G5964" s="163"/>
      <c r="H5964" s="163"/>
      <c r="I5964" s="163"/>
      <c r="J5964" s="165"/>
      <c r="K5964" s="165"/>
      <c r="L5964" s="165"/>
      <c r="M5964" s="166"/>
      <c r="N5964" s="167"/>
      <c r="O5964" s="163"/>
      <c r="P5964" s="163"/>
      <c r="Q5964" s="163"/>
      <c r="R5964" s="163"/>
      <c r="S5964" s="161"/>
      <c r="T5964" s="161"/>
      <c r="U5964" s="161"/>
      <c r="V5964" s="161"/>
      <c r="W5964" s="161"/>
      <c r="X5964" s="161"/>
      <c r="Y5964" s="161"/>
      <c r="Z5964" s="168"/>
      <c r="AA5964" s="168"/>
      <c r="AB5964" s="168"/>
      <c r="AC5964" s="168"/>
    </row>
    <row r="5965">
      <c r="A5965" s="161"/>
      <c r="B5965" s="161"/>
      <c r="C5965" s="162"/>
      <c r="D5965" s="163"/>
      <c r="E5965" s="163"/>
      <c r="F5965" s="163"/>
      <c r="G5965" s="163"/>
      <c r="H5965" s="163"/>
      <c r="I5965" s="163"/>
      <c r="J5965" s="165"/>
      <c r="K5965" s="165"/>
      <c r="L5965" s="165"/>
      <c r="M5965" s="166"/>
      <c r="N5965" s="167"/>
      <c r="O5965" s="163"/>
      <c r="P5965" s="163"/>
      <c r="Q5965" s="163"/>
      <c r="R5965" s="163"/>
      <c r="S5965" s="161"/>
      <c r="T5965" s="161"/>
      <c r="U5965" s="161"/>
      <c r="V5965" s="161"/>
      <c r="W5965" s="161"/>
      <c r="X5965" s="161"/>
      <c r="Y5965" s="161"/>
      <c r="Z5965" s="168"/>
      <c r="AA5965" s="168"/>
      <c r="AB5965" s="168"/>
      <c r="AC5965" s="168"/>
    </row>
    <row r="5966">
      <c r="A5966" s="161"/>
      <c r="B5966" s="161"/>
      <c r="C5966" s="162"/>
      <c r="D5966" s="163"/>
      <c r="E5966" s="163"/>
      <c r="F5966" s="163"/>
      <c r="G5966" s="163"/>
      <c r="H5966" s="163"/>
      <c r="I5966" s="163"/>
      <c r="J5966" s="165"/>
      <c r="K5966" s="165"/>
      <c r="L5966" s="165"/>
      <c r="M5966" s="166"/>
      <c r="N5966" s="167"/>
      <c r="O5966" s="163"/>
      <c r="P5966" s="163"/>
      <c r="Q5966" s="163"/>
      <c r="R5966" s="163"/>
      <c r="S5966" s="161"/>
      <c r="T5966" s="161"/>
      <c r="U5966" s="161"/>
      <c r="V5966" s="161"/>
      <c r="W5966" s="161"/>
      <c r="X5966" s="161"/>
      <c r="Y5966" s="161"/>
      <c r="Z5966" s="168"/>
      <c r="AA5966" s="168"/>
      <c r="AB5966" s="168"/>
      <c r="AC5966" s="168"/>
    </row>
    <row r="5967">
      <c r="A5967" s="161"/>
      <c r="B5967" s="161"/>
      <c r="C5967" s="162"/>
      <c r="D5967" s="163"/>
      <c r="E5967" s="163"/>
      <c r="F5967" s="163"/>
      <c r="G5967" s="163"/>
      <c r="H5967" s="163"/>
      <c r="I5967" s="163"/>
      <c r="J5967" s="165"/>
      <c r="K5967" s="165"/>
      <c r="L5967" s="165"/>
      <c r="M5967" s="166"/>
      <c r="N5967" s="167"/>
      <c r="O5967" s="163"/>
      <c r="P5967" s="163"/>
      <c r="Q5967" s="163"/>
      <c r="R5967" s="163"/>
      <c r="S5967" s="161"/>
      <c r="T5967" s="161"/>
      <c r="U5967" s="161"/>
      <c r="V5967" s="161"/>
      <c r="W5967" s="161"/>
      <c r="X5967" s="161"/>
      <c r="Y5967" s="161"/>
      <c r="Z5967" s="168"/>
      <c r="AA5967" s="168"/>
      <c r="AB5967" s="168"/>
      <c r="AC5967" s="168"/>
    </row>
    <row r="5968">
      <c r="A5968" s="161"/>
      <c r="B5968" s="161"/>
      <c r="C5968" s="162"/>
      <c r="D5968" s="163"/>
      <c r="E5968" s="163"/>
      <c r="F5968" s="163"/>
      <c r="G5968" s="163"/>
      <c r="H5968" s="163"/>
      <c r="I5968" s="163"/>
      <c r="J5968" s="165"/>
      <c r="K5968" s="165"/>
      <c r="L5968" s="165"/>
      <c r="M5968" s="166"/>
      <c r="N5968" s="167"/>
      <c r="O5968" s="163"/>
      <c r="P5968" s="163"/>
      <c r="Q5968" s="163"/>
      <c r="R5968" s="163"/>
      <c r="S5968" s="161"/>
      <c r="T5968" s="161"/>
      <c r="U5968" s="161"/>
      <c r="V5968" s="161"/>
      <c r="W5968" s="161"/>
      <c r="X5968" s="161"/>
      <c r="Y5968" s="161"/>
      <c r="Z5968" s="168"/>
      <c r="AA5968" s="168"/>
      <c r="AB5968" s="168"/>
      <c r="AC5968" s="168"/>
    </row>
    <row r="5969">
      <c r="A5969" s="161"/>
      <c r="B5969" s="161"/>
      <c r="C5969" s="162"/>
      <c r="D5969" s="163"/>
      <c r="E5969" s="163"/>
      <c r="F5969" s="163"/>
      <c r="G5969" s="163"/>
      <c r="H5969" s="163"/>
      <c r="I5969" s="163"/>
      <c r="J5969" s="165"/>
      <c r="K5969" s="165"/>
      <c r="L5969" s="165"/>
      <c r="M5969" s="166"/>
      <c r="N5969" s="167"/>
      <c r="O5969" s="163"/>
      <c r="P5969" s="163"/>
      <c r="Q5969" s="163"/>
      <c r="R5969" s="163"/>
      <c r="S5969" s="161"/>
      <c r="T5969" s="161"/>
      <c r="U5969" s="161"/>
      <c r="V5969" s="161"/>
      <c r="W5969" s="161"/>
      <c r="X5969" s="161"/>
      <c r="Y5969" s="161"/>
      <c r="Z5969" s="168"/>
      <c r="AA5969" s="168"/>
      <c r="AB5969" s="168"/>
      <c r="AC5969" s="168"/>
    </row>
    <row r="5970">
      <c r="A5970" s="161"/>
      <c r="B5970" s="161"/>
      <c r="C5970" s="162"/>
      <c r="D5970" s="163"/>
      <c r="E5970" s="163"/>
      <c r="F5970" s="163"/>
      <c r="G5970" s="163"/>
      <c r="H5970" s="163"/>
      <c r="I5970" s="163"/>
      <c r="J5970" s="165"/>
      <c r="K5970" s="165"/>
      <c r="L5970" s="165"/>
      <c r="M5970" s="166"/>
      <c r="N5970" s="167"/>
      <c r="O5970" s="163"/>
      <c r="P5970" s="163"/>
      <c r="Q5970" s="163"/>
      <c r="R5970" s="163"/>
      <c r="S5970" s="161"/>
      <c r="T5970" s="161"/>
      <c r="U5970" s="161"/>
      <c r="V5970" s="161"/>
      <c r="W5970" s="161"/>
      <c r="X5970" s="161"/>
      <c r="Y5970" s="161"/>
      <c r="Z5970" s="168"/>
      <c r="AA5970" s="168"/>
      <c r="AB5970" s="168"/>
      <c r="AC5970" s="168"/>
    </row>
    <row r="5971">
      <c r="A5971" s="161"/>
      <c r="B5971" s="161"/>
      <c r="C5971" s="162"/>
      <c r="D5971" s="163"/>
      <c r="E5971" s="163"/>
      <c r="F5971" s="163"/>
      <c r="G5971" s="163"/>
      <c r="H5971" s="163"/>
      <c r="I5971" s="163"/>
      <c r="J5971" s="165"/>
      <c r="K5971" s="165"/>
      <c r="L5971" s="165"/>
      <c r="M5971" s="166"/>
      <c r="N5971" s="167"/>
      <c r="O5971" s="163"/>
      <c r="P5971" s="163"/>
      <c r="Q5971" s="163"/>
      <c r="R5971" s="163"/>
      <c r="S5971" s="161"/>
      <c r="T5971" s="161"/>
      <c r="U5971" s="161"/>
      <c r="V5971" s="161"/>
      <c r="W5971" s="161"/>
      <c r="X5971" s="161"/>
      <c r="Y5971" s="161"/>
      <c r="Z5971" s="168"/>
      <c r="AA5971" s="168"/>
      <c r="AB5971" s="168"/>
      <c r="AC5971" s="168"/>
    </row>
    <row r="5972">
      <c r="A5972" s="161"/>
      <c r="B5972" s="161"/>
      <c r="C5972" s="162"/>
      <c r="D5972" s="163"/>
      <c r="E5972" s="163"/>
      <c r="F5972" s="163"/>
      <c r="G5972" s="163"/>
      <c r="H5972" s="163"/>
      <c r="I5972" s="163"/>
      <c r="J5972" s="165"/>
      <c r="K5972" s="165"/>
      <c r="L5972" s="165"/>
      <c r="M5972" s="166"/>
      <c r="N5972" s="167"/>
      <c r="O5972" s="163"/>
      <c r="P5972" s="163"/>
      <c r="Q5972" s="163"/>
      <c r="R5972" s="163"/>
      <c r="S5972" s="161"/>
      <c r="T5972" s="161"/>
      <c r="U5972" s="161"/>
      <c r="V5972" s="161"/>
      <c r="W5972" s="161"/>
      <c r="X5972" s="161"/>
      <c r="Y5972" s="161"/>
      <c r="Z5972" s="168"/>
      <c r="AA5972" s="168"/>
      <c r="AB5972" s="168"/>
      <c r="AC5972" s="168"/>
    </row>
    <row r="5973">
      <c r="A5973" s="161"/>
      <c r="B5973" s="161"/>
      <c r="C5973" s="162"/>
      <c r="D5973" s="163"/>
      <c r="E5973" s="163"/>
      <c r="F5973" s="163"/>
      <c r="G5973" s="163"/>
      <c r="H5973" s="163"/>
      <c r="I5973" s="163"/>
      <c r="J5973" s="165"/>
      <c r="K5973" s="165"/>
      <c r="L5973" s="165"/>
      <c r="M5973" s="166"/>
      <c r="N5973" s="167"/>
      <c r="O5973" s="163"/>
      <c r="P5973" s="163"/>
      <c r="Q5973" s="163"/>
      <c r="R5973" s="163"/>
      <c r="S5973" s="161"/>
      <c r="T5973" s="161"/>
      <c r="U5973" s="161"/>
      <c r="V5973" s="161"/>
      <c r="W5973" s="161"/>
      <c r="X5973" s="161"/>
      <c r="Y5973" s="161"/>
      <c r="Z5973" s="168"/>
      <c r="AA5973" s="168"/>
      <c r="AB5973" s="168"/>
      <c r="AC5973" s="168"/>
    </row>
    <row r="5974">
      <c r="A5974" s="161"/>
      <c r="B5974" s="161"/>
      <c r="C5974" s="162"/>
      <c r="D5974" s="163"/>
      <c r="E5974" s="163"/>
      <c r="F5974" s="163"/>
      <c r="G5974" s="163"/>
      <c r="H5974" s="163"/>
      <c r="I5974" s="163"/>
      <c r="J5974" s="165"/>
      <c r="K5974" s="165"/>
      <c r="L5974" s="165"/>
      <c r="M5974" s="166"/>
      <c r="N5974" s="167"/>
      <c r="O5974" s="163"/>
      <c r="P5974" s="163"/>
      <c r="Q5974" s="163"/>
      <c r="R5974" s="163"/>
      <c r="S5974" s="161"/>
      <c r="T5974" s="161"/>
      <c r="U5974" s="161"/>
      <c r="V5974" s="161"/>
      <c r="W5974" s="161"/>
      <c r="X5974" s="161"/>
      <c r="Y5974" s="161"/>
      <c r="Z5974" s="168"/>
      <c r="AA5974" s="168"/>
      <c r="AB5974" s="168"/>
      <c r="AC5974" s="168"/>
    </row>
    <row r="5975">
      <c r="A5975" s="161"/>
      <c r="B5975" s="161"/>
      <c r="C5975" s="162"/>
      <c r="D5975" s="163"/>
      <c r="E5975" s="163"/>
      <c r="F5975" s="163"/>
      <c r="G5975" s="163"/>
      <c r="H5975" s="163"/>
      <c r="I5975" s="163"/>
      <c r="J5975" s="165"/>
      <c r="K5975" s="165"/>
      <c r="L5975" s="165"/>
      <c r="M5975" s="166"/>
      <c r="N5975" s="167"/>
      <c r="O5975" s="163"/>
      <c r="P5975" s="163"/>
      <c r="Q5975" s="163"/>
      <c r="R5975" s="163"/>
      <c r="S5975" s="161"/>
      <c r="T5975" s="161"/>
      <c r="U5975" s="161"/>
      <c r="V5975" s="161"/>
      <c r="W5975" s="161"/>
      <c r="X5975" s="161"/>
      <c r="Y5975" s="161"/>
      <c r="Z5975" s="168"/>
      <c r="AA5975" s="168"/>
      <c r="AB5975" s="168"/>
      <c r="AC5975" s="168"/>
    </row>
    <row r="5976">
      <c r="A5976" s="161"/>
      <c r="B5976" s="161"/>
      <c r="C5976" s="162"/>
      <c r="D5976" s="163"/>
      <c r="E5976" s="163"/>
      <c r="F5976" s="163"/>
      <c r="G5976" s="163"/>
      <c r="H5976" s="163"/>
      <c r="I5976" s="163"/>
      <c r="J5976" s="165"/>
      <c r="K5976" s="165"/>
      <c r="L5976" s="165"/>
      <c r="M5976" s="166"/>
      <c r="N5976" s="167"/>
      <c r="O5976" s="163"/>
      <c r="P5976" s="163"/>
      <c r="Q5976" s="163"/>
      <c r="R5976" s="163"/>
      <c r="S5976" s="161"/>
      <c r="T5976" s="161"/>
      <c r="U5976" s="161"/>
      <c r="V5976" s="161"/>
      <c r="W5976" s="161"/>
      <c r="X5976" s="161"/>
      <c r="Y5976" s="161"/>
      <c r="Z5976" s="168"/>
      <c r="AA5976" s="168"/>
      <c r="AB5976" s="168"/>
      <c r="AC5976" s="168"/>
    </row>
    <row r="5977">
      <c r="A5977" s="161"/>
      <c r="B5977" s="161"/>
      <c r="C5977" s="162"/>
      <c r="D5977" s="163"/>
      <c r="E5977" s="163"/>
      <c r="F5977" s="163"/>
      <c r="G5977" s="163"/>
      <c r="H5977" s="163"/>
      <c r="I5977" s="163"/>
      <c r="J5977" s="165"/>
      <c r="K5977" s="165"/>
      <c r="L5977" s="165"/>
      <c r="M5977" s="166"/>
      <c r="N5977" s="167"/>
      <c r="O5977" s="163"/>
      <c r="P5977" s="163"/>
      <c r="Q5977" s="163"/>
      <c r="R5977" s="163"/>
      <c r="S5977" s="161"/>
      <c r="T5977" s="161"/>
      <c r="U5977" s="161"/>
      <c r="V5977" s="161"/>
      <c r="W5977" s="161"/>
      <c r="X5977" s="161"/>
      <c r="Y5977" s="161"/>
      <c r="Z5977" s="168"/>
      <c r="AA5977" s="168"/>
      <c r="AB5977" s="168"/>
      <c r="AC5977" s="168"/>
    </row>
    <row r="5978">
      <c r="A5978" s="161"/>
      <c r="B5978" s="161"/>
      <c r="C5978" s="162"/>
      <c r="D5978" s="163"/>
      <c r="E5978" s="163"/>
      <c r="F5978" s="163"/>
      <c r="G5978" s="163"/>
      <c r="H5978" s="163"/>
      <c r="I5978" s="163"/>
      <c r="J5978" s="165"/>
      <c r="K5978" s="165"/>
      <c r="L5978" s="165"/>
      <c r="M5978" s="166"/>
      <c r="N5978" s="167"/>
      <c r="O5978" s="163"/>
      <c r="P5978" s="163"/>
      <c r="Q5978" s="163"/>
      <c r="R5978" s="163"/>
      <c r="S5978" s="161"/>
      <c r="T5978" s="161"/>
      <c r="U5978" s="161"/>
      <c r="V5978" s="161"/>
      <c r="W5978" s="161"/>
      <c r="X5978" s="161"/>
      <c r="Y5978" s="161"/>
      <c r="Z5978" s="168"/>
      <c r="AA5978" s="168"/>
      <c r="AB5978" s="168"/>
      <c r="AC5978" s="168"/>
    </row>
    <row r="5979">
      <c r="A5979" s="161"/>
      <c r="B5979" s="161"/>
      <c r="C5979" s="162"/>
      <c r="D5979" s="163"/>
      <c r="E5979" s="163"/>
      <c r="F5979" s="163"/>
      <c r="G5979" s="163"/>
      <c r="H5979" s="163"/>
      <c r="I5979" s="163"/>
      <c r="J5979" s="165"/>
      <c r="K5979" s="165"/>
      <c r="L5979" s="165"/>
      <c r="M5979" s="166"/>
      <c r="N5979" s="167"/>
      <c r="O5979" s="163"/>
      <c r="P5979" s="163"/>
      <c r="Q5979" s="163"/>
      <c r="R5979" s="163"/>
      <c r="S5979" s="161"/>
      <c r="T5979" s="161"/>
      <c r="U5979" s="161"/>
      <c r="V5979" s="161"/>
      <c r="W5979" s="161"/>
      <c r="X5979" s="161"/>
      <c r="Y5979" s="161"/>
      <c r="Z5979" s="168"/>
      <c r="AA5979" s="168"/>
      <c r="AB5979" s="168"/>
      <c r="AC5979" s="168"/>
    </row>
    <row r="5980">
      <c r="A5980" s="161"/>
      <c r="B5980" s="161"/>
      <c r="C5980" s="162"/>
      <c r="D5980" s="163"/>
      <c r="E5980" s="163"/>
      <c r="F5980" s="163"/>
      <c r="G5980" s="163"/>
      <c r="H5980" s="163"/>
      <c r="I5980" s="163"/>
      <c r="J5980" s="165"/>
      <c r="K5980" s="165"/>
      <c r="L5980" s="165"/>
      <c r="M5980" s="166"/>
      <c r="N5980" s="167"/>
      <c r="O5980" s="163"/>
      <c r="P5980" s="163"/>
      <c r="Q5980" s="163"/>
      <c r="R5980" s="163"/>
      <c r="S5980" s="161"/>
      <c r="T5980" s="161"/>
      <c r="U5980" s="161"/>
      <c r="V5980" s="161"/>
      <c r="W5980" s="161"/>
      <c r="X5980" s="161"/>
      <c r="Y5980" s="161"/>
      <c r="Z5980" s="168"/>
      <c r="AA5980" s="168"/>
      <c r="AB5980" s="168"/>
      <c r="AC5980" s="168"/>
    </row>
    <row r="5981">
      <c r="A5981" s="161"/>
      <c r="B5981" s="161"/>
      <c r="C5981" s="162"/>
      <c r="D5981" s="163"/>
      <c r="E5981" s="163"/>
      <c r="F5981" s="163"/>
      <c r="G5981" s="163"/>
      <c r="H5981" s="163"/>
      <c r="I5981" s="163"/>
      <c r="J5981" s="165"/>
      <c r="K5981" s="165"/>
      <c r="L5981" s="165"/>
      <c r="M5981" s="166"/>
      <c r="N5981" s="167"/>
      <c r="O5981" s="163"/>
      <c r="P5981" s="163"/>
      <c r="Q5981" s="163"/>
      <c r="R5981" s="163"/>
      <c r="S5981" s="161"/>
      <c r="T5981" s="161"/>
      <c r="U5981" s="161"/>
      <c r="V5981" s="161"/>
      <c r="W5981" s="161"/>
      <c r="X5981" s="161"/>
      <c r="Y5981" s="161"/>
      <c r="Z5981" s="168"/>
      <c r="AA5981" s="168"/>
      <c r="AB5981" s="168"/>
      <c r="AC5981" s="168"/>
    </row>
    <row r="5982">
      <c r="A5982" s="161"/>
      <c r="B5982" s="161"/>
      <c r="C5982" s="162"/>
      <c r="D5982" s="163"/>
      <c r="E5982" s="163"/>
      <c r="F5982" s="163"/>
      <c r="G5982" s="163"/>
      <c r="H5982" s="163"/>
      <c r="I5982" s="163"/>
      <c r="J5982" s="165"/>
      <c r="K5982" s="165"/>
      <c r="L5982" s="165"/>
      <c r="M5982" s="166"/>
      <c r="N5982" s="167"/>
      <c r="O5982" s="163"/>
      <c r="P5982" s="163"/>
      <c r="Q5982" s="163"/>
      <c r="R5982" s="163"/>
      <c r="S5982" s="161"/>
      <c r="T5982" s="161"/>
      <c r="U5982" s="161"/>
      <c r="V5982" s="161"/>
      <c r="W5982" s="161"/>
      <c r="X5982" s="161"/>
      <c r="Y5982" s="161"/>
      <c r="Z5982" s="168"/>
      <c r="AA5982" s="168"/>
      <c r="AB5982" s="168"/>
      <c r="AC5982" s="168"/>
    </row>
    <row r="5983">
      <c r="A5983" s="161"/>
      <c r="B5983" s="161"/>
      <c r="C5983" s="162"/>
      <c r="D5983" s="163"/>
      <c r="E5983" s="163"/>
      <c r="F5983" s="163"/>
      <c r="G5983" s="163"/>
      <c r="H5983" s="163"/>
      <c r="I5983" s="163"/>
      <c r="J5983" s="165"/>
      <c r="K5983" s="165"/>
      <c r="L5983" s="165"/>
      <c r="M5983" s="166"/>
      <c r="N5983" s="167"/>
      <c r="O5983" s="163"/>
      <c r="P5983" s="163"/>
      <c r="Q5983" s="163"/>
      <c r="R5983" s="163"/>
      <c r="S5983" s="161"/>
      <c r="T5983" s="161"/>
      <c r="U5983" s="161"/>
      <c r="V5983" s="161"/>
      <c r="W5983" s="161"/>
      <c r="X5983" s="161"/>
      <c r="Y5983" s="161"/>
      <c r="Z5983" s="168"/>
      <c r="AA5983" s="168"/>
      <c r="AB5983" s="168"/>
      <c r="AC5983" s="168"/>
    </row>
    <row r="5984">
      <c r="A5984" s="161"/>
      <c r="B5984" s="161"/>
      <c r="C5984" s="162"/>
      <c r="D5984" s="163"/>
      <c r="E5984" s="163"/>
      <c r="F5984" s="163"/>
      <c r="G5984" s="163"/>
      <c r="H5984" s="163"/>
      <c r="I5984" s="163"/>
      <c r="J5984" s="165"/>
      <c r="K5984" s="165"/>
      <c r="L5984" s="165"/>
      <c r="M5984" s="166"/>
      <c r="N5984" s="167"/>
      <c r="O5984" s="163"/>
      <c r="P5984" s="163"/>
      <c r="Q5984" s="163"/>
      <c r="R5984" s="163"/>
      <c r="S5984" s="161"/>
      <c r="T5984" s="161"/>
      <c r="U5984" s="161"/>
      <c r="V5984" s="161"/>
      <c r="W5984" s="161"/>
      <c r="X5984" s="161"/>
      <c r="Y5984" s="161"/>
      <c r="Z5984" s="168"/>
      <c r="AA5984" s="168"/>
      <c r="AB5984" s="168"/>
      <c r="AC5984" s="168"/>
    </row>
    <row r="5985">
      <c r="A5985" s="161"/>
      <c r="B5985" s="161"/>
      <c r="C5985" s="162"/>
      <c r="D5985" s="163"/>
      <c r="E5985" s="163"/>
      <c r="F5985" s="163"/>
      <c r="G5985" s="163"/>
      <c r="H5985" s="163"/>
      <c r="I5985" s="163"/>
      <c r="J5985" s="165"/>
      <c r="K5985" s="165"/>
      <c r="L5985" s="165"/>
      <c r="M5985" s="166"/>
      <c r="N5985" s="167"/>
      <c r="O5985" s="163"/>
      <c r="P5985" s="163"/>
      <c r="Q5985" s="163"/>
      <c r="R5985" s="163"/>
      <c r="S5985" s="161"/>
      <c r="T5985" s="161"/>
      <c r="U5985" s="161"/>
      <c r="V5985" s="161"/>
      <c r="W5985" s="161"/>
      <c r="X5985" s="161"/>
      <c r="Y5985" s="161"/>
      <c r="Z5985" s="168"/>
      <c r="AA5985" s="168"/>
      <c r="AB5985" s="168"/>
      <c r="AC5985" s="168"/>
    </row>
    <row r="5986">
      <c r="A5986" s="161"/>
      <c r="B5986" s="161"/>
      <c r="C5986" s="162"/>
      <c r="D5986" s="163"/>
      <c r="E5986" s="163"/>
      <c r="F5986" s="163"/>
      <c r="G5986" s="163"/>
      <c r="H5986" s="163"/>
      <c r="I5986" s="163"/>
      <c r="J5986" s="165"/>
      <c r="K5986" s="165"/>
      <c r="L5986" s="165"/>
      <c r="M5986" s="166"/>
      <c r="N5986" s="167"/>
      <c r="O5986" s="163"/>
      <c r="P5986" s="163"/>
      <c r="Q5986" s="163"/>
      <c r="R5986" s="163"/>
      <c r="S5986" s="161"/>
      <c r="T5986" s="161"/>
      <c r="U5986" s="161"/>
      <c r="V5986" s="161"/>
      <c r="W5986" s="161"/>
      <c r="X5986" s="161"/>
      <c r="Y5986" s="161"/>
      <c r="Z5986" s="168"/>
      <c r="AA5986" s="168"/>
      <c r="AB5986" s="168"/>
      <c r="AC5986" s="168"/>
    </row>
    <row r="5987">
      <c r="A5987" s="161"/>
      <c r="B5987" s="161"/>
      <c r="C5987" s="162"/>
      <c r="D5987" s="163"/>
      <c r="E5987" s="163"/>
      <c r="F5987" s="163"/>
      <c r="G5987" s="163"/>
      <c r="H5987" s="163"/>
      <c r="I5987" s="163"/>
      <c r="J5987" s="165"/>
      <c r="K5987" s="165"/>
      <c r="L5987" s="165"/>
      <c r="M5987" s="166"/>
      <c r="N5987" s="167"/>
      <c r="O5987" s="163"/>
      <c r="P5987" s="163"/>
      <c r="Q5987" s="163"/>
      <c r="R5987" s="163"/>
      <c r="S5987" s="161"/>
      <c r="T5987" s="161"/>
      <c r="U5987" s="161"/>
      <c r="V5987" s="161"/>
      <c r="W5987" s="161"/>
      <c r="X5987" s="161"/>
      <c r="Y5987" s="161"/>
      <c r="Z5987" s="168"/>
      <c r="AA5987" s="168"/>
      <c r="AB5987" s="168"/>
      <c r="AC5987" s="168"/>
    </row>
    <row r="5988">
      <c r="A5988" s="161"/>
      <c r="B5988" s="161"/>
      <c r="C5988" s="162"/>
      <c r="D5988" s="163"/>
      <c r="E5988" s="163"/>
      <c r="F5988" s="163"/>
      <c r="G5988" s="163"/>
      <c r="H5988" s="163"/>
      <c r="I5988" s="163"/>
      <c r="J5988" s="165"/>
      <c r="K5988" s="165"/>
      <c r="L5988" s="165"/>
      <c r="M5988" s="166"/>
      <c r="N5988" s="167"/>
      <c r="O5988" s="163"/>
      <c r="P5988" s="163"/>
      <c r="Q5988" s="163"/>
      <c r="R5988" s="163"/>
      <c r="S5988" s="161"/>
      <c r="T5988" s="161"/>
      <c r="U5988" s="161"/>
      <c r="V5988" s="161"/>
      <c r="W5988" s="161"/>
      <c r="X5988" s="161"/>
      <c r="Y5988" s="161"/>
      <c r="Z5988" s="168"/>
      <c r="AA5988" s="168"/>
      <c r="AB5988" s="168"/>
      <c r="AC5988" s="168"/>
    </row>
    <row r="5989">
      <c r="A5989" s="161"/>
      <c r="B5989" s="161"/>
      <c r="C5989" s="162"/>
      <c r="D5989" s="163"/>
      <c r="E5989" s="163"/>
      <c r="F5989" s="163"/>
      <c r="G5989" s="163"/>
      <c r="H5989" s="163"/>
      <c r="I5989" s="163"/>
      <c r="J5989" s="165"/>
      <c r="K5989" s="165"/>
      <c r="L5989" s="165"/>
      <c r="M5989" s="166"/>
      <c r="N5989" s="167"/>
      <c r="O5989" s="163"/>
      <c r="P5989" s="163"/>
      <c r="Q5989" s="163"/>
      <c r="R5989" s="163"/>
      <c r="S5989" s="161"/>
      <c r="T5989" s="161"/>
      <c r="U5989" s="161"/>
      <c r="V5989" s="161"/>
      <c r="W5989" s="161"/>
      <c r="X5989" s="161"/>
      <c r="Y5989" s="161"/>
      <c r="Z5989" s="168"/>
      <c r="AA5989" s="168"/>
      <c r="AB5989" s="168"/>
      <c r="AC5989" s="168"/>
    </row>
    <row r="5990">
      <c r="A5990" s="161"/>
      <c r="B5990" s="161"/>
      <c r="C5990" s="162"/>
      <c r="D5990" s="163"/>
      <c r="E5990" s="163"/>
      <c r="F5990" s="163"/>
      <c r="G5990" s="163"/>
      <c r="H5990" s="163"/>
      <c r="I5990" s="163"/>
      <c r="J5990" s="165"/>
      <c r="K5990" s="165"/>
      <c r="L5990" s="165"/>
      <c r="M5990" s="166"/>
      <c r="N5990" s="167"/>
      <c r="O5990" s="163"/>
      <c r="P5990" s="163"/>
      <c r="Q5990" s="163"/>
      <c r="R5990" s="163"/>
      <c r="S5990" s="161"/>
      <c r="T5990" s="161"/>
      <c r="U5990" s="161"/>
      <c r="V5990" s="161"/>
      <c r="W5990" s="161"/>
      <c r="X5990" s="161"/>
      <c r="Y5990" s="161"/>
      <c r="Z5990" s="168"/>
      <c r="AA5990" s="168"/>
      <c r="AB5990" s="168"/>
      <c r="AC5990" s="168"/>
    </row>
    <row r="5991">
      <c r="A5991" s="161"/>
      <c r="B5991" s="161"/>
      <c r="C5991" s="162"/>
      <c r="D5991" s="163"/>
      <c r="E5991" s="163"/>
      <c r="F5991" s="163"/>
      <c r="G5991" s="163"/>
      <c r="H5991" s="163"/>
      <c r="I5991" s="163"/>
      <c r="J5991" s="165"/>
      <c r="K5991" s="165"/>
      <c r="L5991" s="165"/>
      <c r="M5991" s="166"/>
      <c r="N5991" s="167"/>
      <c r="O5991" s="163"/>
      <c r="P5991" s="163"/>
      <c r="Q5991" s="163"/>
      <c r="R5991" s="163"/>
      <c r="S5991" s="161"/>
      <c r="T5991" s="161"/>
      <c r="U5991" s="161"/>
      <c r="V5991" s="161"/>
      <c r="W5991" s="161"/>
      <c r="X5991" s="161"/>
      <c r="Y5991" s="161"/>
      <c r="Z5991" s="168"/>
      <c r="AA5991" s="168"/>
      <c r="AB5991" s="168"/>
      <c r="AC5991" s="168"/>
    </row>
    <row r="5992">
      <c r="A5992" s="161"/>
      <c r="B5992" s="161"/>
      <c r="C5992" s="162"/>
      <c r="D5992" s="163"/>
      <c r="E5992" s="163"/>
      <c r="F5992" s="163"/>
      <c r="G5992" s="163"/>
      <c r="H5992" s="163"/>
      <c r="I5992" s="163"/>
      <c r="J5992" s="165"/>
      <c r="K5992" s="165"/>
      <c r="L5992" s="165"/>
      <c r="M5992" s="166"/>
      <c r="N5992" s="167"/>
      <c r="O5992" s="163"/>
      <c r="P5992" s="163"/>
      <c r="Q5992" s="163"/>
      <c r="R5992" s="163"/>
      <c r="S5992" s="161"/>
      <c r="T5992" s="161"/>
      <c r="U5992" s="161"/>
      <c r="V5992" s="161"/>
      <c r="W5992" s="161"/>
      <c r="X5992" s="161"/>
      <c r="Y5992" s="161"/>
      <c r="Z5992" s="168"/>
      <c r="AA5992" s="168"/>
      <c r="AB5992" s="168"/>
      <c r="AC5992" s="168"/>
    </row>
    <row r="5993">
      <c r="A5993" s="161"/>
      <c r="B5993" s="161"/>
      <c r="C5993" s="162"/>
      <c r="D5993" s="163"/>
      <c r="E5993" s="163"/>
      <c r="F5993" s="163"/>
      <c r="G5993" s="163"/>
      <c r="H5993" s="163"/>
      <c r="I5993" s="163"/>
      <c r="J5993" s="165"/>
      <c r="K5993" s="165"/>
      <c r="L5993" s="165"/>
      <c r="M5993" s="166"/>
      <c r="N5993" s="167"/>
      <c r="O5993" s="163"/>
      <c r="P5993" s="163"/>
      <c r="Q5993" s="163"/>
      <c r="R5993" s="163"/>
      <c r="S5993" s="161"/>
      <c r="T5993" s="161"/>
      <c r="U5993" s="161"/>
      <c r="V5993" s="161"/>
      <c r="W5993" s="161"/>
      <c r="X5993" s="161"/>
      <c r="Y5993" s="161"/>
      <c r="Z5993" s="168"/>
      <c r="AA5993" s="168"/>
      <c r="AB5993" s="168"/>
      <c r="AC5993" s="168"/>
    </row>
    <row r="5994">
      <c r="A5994" s="161"/>
      <c r="B5994" s="161"/>
      <c r="C5994" s="162"/>
      <c r="D5994" s="163"/>
      <c r="E5994" s="163"/>
      <c r="F5994" s="163"/>
      <c r="G5994" s="163"/>
      <c r="H5994" s="163"/>
      <c r="I5994" s="163"/>
      <c r="J5994" s="165"/>
      <c r="K5994" s="165"/>
      <c r="L5994" s="165"/>
      <c r="M5994" s="166"/>
      <c r="N5994" s="167"/>
      <c r="O5994" s="163"/>
      <c r="P5994" s="163"/>
      <c r="Q5994" s="163"/>
      <c r="R5994" s="163"/>
      <c r="S5994" s="161"/>
      <c r="T5994" s="161"/>
      <c r="U5994" s="161"/>
      <c r="V5994" s="161"/>
      <c r="W5994" s="161"/>
      <c r="X5994" s="161"/>
      <c r="Y5994" s="161"/>
      <c r="Z5994" s="168"/>
      <c r="AA5994" s="168"/>
      <c r="AB5994" s="168"/>
      <c r="AC5994" s="168"/>
    </row>
    <row r="5995">
      <c r="A5995" s="161"/>
      <c r="B5995" s="161"/>
      <c r="C5995" s="162"/>
      <c r="D5995" s="163"/>
      <c r="E5995" s="163"/>
      <c r="F5995" s="163"/>
      <c r="G5995" s="163"/>
      <c r="H5995" s="163"/>
      <c r="I5995" s="163"/>
      <c r="J5995" s="165"/>
      <c r="K5995" s="165"/>
      <c r="L5995" s="165"/>
      <c r="M5995" s="166"/>
      <c r="N5995" s="167"/>
      <c r="O5995" s="163"/>
      <c r="P5995" s="163"/>
      <c r="Q5995" s="163"/>
      <c r="R5995" s="163"/>
      <c r="S5995" s="161"/>
      <c r="T5995" s="161"/>
      <c r="U5995" s="161"/>
      <c r="V5995" s="161"/>
      <c r="W5995" s="161"/>
      <c r="X5995" s="161"/>
      <c r="Y5995" s="161"/>
      <c r="Z5995" s="168"/>
      <c r="AA5995" s="168"/>
      <c r="AB5995" s="168"/>
      <c r="AC5995" s="168"/>
    </row>
    <row r="5996">
      <c r="A5996" s="161"/>
      <c r="B5996" s="161"/>
      <c r="C5996" s="162"/>
      <c r="D5996" s="163"/>
      <c r="E5996" s="163"/>
      <c r="F5996" s="163"/>
      <c r="G5996" s="163"/>
      <c r="H5996" s="163"/>
      <c r="I5996" s="163"/>
      <c r="J5996" s="165"/>
      <c r="K5996" s="165"/>
      <c r="L5996" s="165"/>
      <c r="M5996" s="166"/>
      <c r="N5996" s="167"/>
      <c r="O5996" s="163"/>
      <c r="P5996" s="163"/>
      <c r="Q5996" s="163"/>
      <c r="R5996" s="163"/>
      <c r="S5996" s="161"/>
      <c r="T5996" s="161"/>
      <c r="U5996" s="161"/>
      <c r="V5996" s="161"/>
      <c r="W5996" s="161"/>
      <c r="X5996" s="161"/>
      <c r="Y5996" s="161"/>
      <c r="Z5996" s="168"/>
      <c r="AA5996" s="168"/>
      <c r="AB5996" s="168"/>
      <c r="AC5996" s="168"/>
    </row>
    <row r="5997">
      <c r="A5997" s="161"/>
      <c r="B5997" s="161"/>
      <c r="C5997" s="162"/>
      <c r="D5997" s="163"/>
      <c r="E5997" s="163"/>
      <c r="F5997" s="163"/>
      <c r="G5997" s="163"/>
      <c r="H5997" s="163"/>
      <c r="I5997" s="163"/>
      <c r="J5997" s="165"/>
      <c r="K5997" s="165"/>
      <c r="L5997" s="165"/>
      <c r="M5997" s="166"/>
      <c r="N5997" s="167"/>
      <c r="O5997" s="163"/>
      <c r="P5997" s="163"/>
      <c r="Q5997" s="163"/>
      <c r="R5997" s="163"/>
      <c r="S5997" s="161"/>
      <c r="T5997" s="161"/>
      <c r="U5997" s="161"/>
      <c r="V5997" s="161"/>
      <c r="W5997" s="161"/>
      <c r="X5997" s="161"/>
      <c r="Y5997" s="161"/>
      <c r="Z5997" s="168"/>
      <c r="AA5997" s="168"/>
      <c r="AB5997" s="168"/>
      <c r="AC5997" s="168"/>
    </row>
    <row r="5998">
      <c r="A5998" s="161"/>
      <c r="B5998" s="161"/>
      <c r="C5998" s="162"/>
      <c r="D5998" s="163"/>
      <c r="E5998" s="163"/>
      <c r="F5998" s="163"/>
      <c r="G5998" s="163"/>
      <c r="H5998" s="163"/>
      <c r="I5998" s="163"/>
      <c r="J5998" s="165"/>
      <c r="K5998" s="165"/>
      <c r="L5998" s="165"/>
      <c r="M5998" s="166"/>
      <c r="N5998" s="167"/>
      <c r="O5998" s="163"/>
      <c r="P5998" s="163"/>
      <c r="Q5998" s="163"/>
      <c r="R5998" s="163"/>
      <c r="S5998" s="161"/>
      <c r="T5998" s="161"/>
      <c r="U5998" s="161"/>
      <c r="V5998" s="161"/>
      <c r="W5998" s="161"/>
      <c r="X5998" s="161"/>
      <c r="Y5998" s="161"/>
      <c r="Z5998" s="168"/>
      <c r="AA5998" s="168"/>
      <c r="AB5998" s="168"/>
      <c r="AC5998" s="168"/>
    </row>
    <row r="5999">
      <c r="A5999" s="161"/>
      <c r="B5999" s="161"/>
      <c r="C5999" s="162"/>
      <c r="D5999" s="163"/>
      <c r="E5999" s="163"/>
      <c r="F5999" s="163"/>
      <c r="G5999" s="163"/>
      <c r="H5999" s="163"/>
      <c r="I5999" s="163"/>
      <c r="J5999" s="165"/>
      <c r="K5999" s="165"/>
      <c r="L5999" s="165"/>
      <c r="M5999" s="166"/>
      <c r="N5999" s="167"/>
      <c r="O5999" s="163"/>
      <c r="P5999" s="163"/>
      <c r="Q5999" s="163"/>
      <c r="R5999" s="163"/>
      <c r="S5999" s="161"/>
      <c r="T5999" s="161"/>
      <c r="U5999" s="161"/>
      <c r="V5999" s="161"/>
      <c r="W5999" s="161"/>
      <c r="X5999" s="161"/>
      <c r="Y5999" s="161"/>
      <c r="Z5999" s="168"/>
      <c r="AA5999" s="168"/>
      <c r="AB5999" s="168"/>
      <c r="AC5999" s="168"/>
    </row>
    <row r="6000">
      <c r="A6000" s="161"/>
      <c r="B6000" s="161"/>
      <c r="C6000" s="162"/>
      <c r="D6000" s="163"/>
      <c r="E6000" s="163"/>
      <c r="F6000" s="163"/>
      <c r="G6000" s="163"/>
      <c r="H6000" s="163"/>
      <c r="I6000" s="163"/>
      <c r="J6000" s="165"/>
      <c r="K6000" s="165"/>
      <c r="L6000" s="165"/>
      <c r="M6000" s="166"/>
      <c r="N6000" s="167"/>
      <c r="O6000" s="163"/>
      <c r="P6000" s="163"/>
      <c r="Q6000" s="163"/>
      <c r="R6000" s="163"/>
      <c r="S6000" s="161"/>
      <c r="T6000" s="161"/>
      <c r="U6000" s="161"/>
      <c r="V6000" s="161"/>
      <c r="W6000" s="161"/>
      <c r="X6000" s="161"/>
      <c r="Y6000" s="161"/>
      <c r="Z6000" s="168"/>
      <c r="AA6000" s="168"/>
      <c r="AB6000" s="168"/>
      <c r="AC6000" s="168"/>
    </row>
    <row r="6001">
      <c r="A6001" s="161"/>
      <c r="B6001" s="161"/>
      <c r="C6001" s="162"/>
      <c r="D6001" s="163"/>
      <c r="E6001" s="163"/>
      <c r="F6001" s="163"/>
      <c r="G6001" s="163"/>
      <c r="H6001" s="163"/>
      <c r="I6001" s="163"/>
      <c r="J6001" s="165"/>
      <c r="K6001" s="165"/>
      <c r="L6001" s="165"/>
      <c r="M6001" s="166"/>
      <c r="N6001" s="167"/>
      <c r="O6001" s="163"/>
      <c r="P6001" s="163"/>
      <c r="Q6001" s="163"/>
      <c r="R6001" s="163"/>
      <c r="S6001" s="161"/>
      <c r="T6001" s="161"/>
      <c r="U6001" s="161"/>
      <c r="V6001" s="161"/>
      <c r="W6001" s="161"/>
      <c r="X6001" s="161"/>
      <c r="Y6001" s="161"/>
      <c r="Z6001" s="168"/>
      <c r="AA6001" s="168"/>
      <c r="AB6001" s="168"/>
      <c r="AC6001" s="168"/>
    </row>
    <row r="6002">
      <c r="A6002" s="161"/>
      <c r="B6002" s="161"/>
      <c r="C6002" s="162"/>
      <c r="D6002" s="163"/>
      <c r="E6002" s="163"/>
      <c r="F6002" s="163"/>
      <c r="G6002" s="163"/>
      <c r="H6002" s="163"/>
      <c r="I6002" s="163"/>
      <c r="J6002" s="165"/>
      <c r="K6002" s="165"/>
      <c r="L6002" s="165"/>
      <c r="M6002" s="166"/>
      <c r="N6002" s="167"/>
      <c r="O6002" s="163"/>
      <c r="P6002" s="163"/>
      <c r="Q6002" s="163"/>
      <c r="R6002" s="163"/>
      <c r="S6002" s="161"/>
      <c r="T6002" s="161"/>
      <c r="U6002" s="161"/>
      <c r="V6002" s="161"/>
      <c r="W6002" s="161"/>
      <c r="X6002" s="161"/>
      <c r="Y6002" s="161"/>
      <c r="Z6002" s="168"/>
      <c r="AA6002" s="168"/>
      <c r="AB6002" s="168"/>
      <c r="AC6002" s="168"/>
    </row>
    <row r="6003">
      <c r="A6003" s="161"/>
      <c r="B6003" s="161"/>
      <c r="C6003" s="162"/>
      <c r="D6003" s="163"/>
      <c r="E6003" s="163"/>
      <c r="F6003" s="163"/>
      <c r="G6003" s="163"/>
      <c r="H6003" s="163"/>
      <c r="I6003" s="163"/>
      <c r="J6003" s="165"/>
      <c r="K6003" s="165"/>
      <c r="L6003" s="165"/>
      <c r="M6003" s="166"/>
      <c r="N6003" s="167"/>
      <c r="O6003" s="163"/>
      <c r="P6003" s="163"/>
      <c r="Q6003" s="163"/>
      <c r="R6003" s="163"/>
      <c r="S6003" s="161"/>
      <c r="T6003" s="161"/>
      <c r="U6003" s="161"/>
      <c r="V6003" s="161"/>
      <c r="W6003" s="161"/>
      <c r="X6003" s="161"/>
      <c r="Y6003" s="161"/>
      <c r="Z6003" s="168"/>
      <c r="AA6003" s="168"/>
      <c r="AB6003" s="168"/>
      <c r="AC6003" s="168"/>
    </row>
    <row r="6004">
      <c r="A6004" s="161"/>
      <c r="B6004" s="161"/>
      <c r="C6004" s="162"/>
      <c r="D6004" s="163"/>
      <c r="E6004" s="163"/>
      <c r="F6004" s="163"/>
      <c r="G6004" s="163"/>
      <c r="H6004" s="163"/>
      <c r="I6004" s="163"/>
      <c r="J6004" s="165"/>
      <c r="K6004" s="165"/>
      <c r="L6004" s="165"/>
      <c r="M6004" s="166"/>
      <c r="N6004" s="167"/>
      <c r="O6004" s="163"/>
      <c r="P6004" s="163"/>
      <c r="Q6004" s="163"/>
      <c r="R6004" s="163"/>
      <c r="S6004" s="161"/>
      <c r="T6004" s="161"/>
      <c r="U6004" s="161"/>
      <c r="V6004" s="161"/>
      <c r="W6004" s="161"/>
      <c r="X6004" s="161"/>
      <c r="Y6004" s="161"/>
      <c r="Z6004" s="168"/>
      <c r="AA6004" s="168"/>
      <c r="AB6004" s="168"/>
      <c r="AC6004" s="168"/>
    </row>
    <row r="6005">
      <c r="A6005" s="161"/>
      <c r="B6005" s="161"/>
      <c r="C6005" s="162"/>
      <c r="D6005" s="163"/>
      <c r="E6005" s="163"/>
      <c r="F6005" s="163"/>
      <c r="G6005" s="163"/>
      <c r="H6005" s="163"/>
      <c r="I6005" s="163"/>
      <c r="J6005" s="165"/>
      <c r="K6005" s="165"/>
      <c r="L6005" s="165"/>
      <c r="M6005" s="166"/>
      <c r="N6005" s="167"/>
      <c r="O6005" s="163"/>
      <c r="P6005" s="163"/>
      <c r="Q6005" s="163"/>
      <c r="R6005" s="163"/>
      <c r="S6005" s="161"/>
      <c r="T6005" s="161"/>
      <c r="U6005" s="161"/>
      <c r="V6005" s="161"/>
      <c r="W6005" s="161"/>
      <c r="X6005" s="161"/>
      <c r="Y6005" s="161"/>
      <c r="Z6005" s="168"/>
      <c r="AA6005" s="168"/>
      <c r="AB6005" s="168"/>
      <c r="AC6005" s="168"/>
    </row>
    <row r="6006">
      <c r="A6006" s="161"/>
      <c r="B6006" s="161"/>
      <c r="C6006" s="162"/>
      <c r="D6006" s="163"/>
      <c r="E6006" s="163"/>
      <c r="F6006" s="163"/>
      <c r="G6006" s="163"/>
      <c r="H6006" s="163"/>
      <c r="I6006" s="163"/>
      <c r="J6006" s="165"/>
      <c r="K6006" s="165"/>
      <c r="L6006" s="165"/>
      <c r="M6006" s="166"/>
      <c r="N6006" s="167"/>
      <c r="O6006" s="163"/>
      <c r="P6006" s="163"/>
      <c r="Q6006" s="163"/>
      <c r="R6006" s="163"/>
      <c r="S6006" s="161"/>
      <c r="T6006" s="161"/>
      <c r="U6006" s="161"/>
      <c r="V6006" s="161"/>
      <c r="W6006" s="161"/>
      <c r="X6006" s="161"/>
      <c r="Y6006" s="161"/>
      <c r="Z6006" s="168"/>
      <c r="AA6006" s="168"/>
      <c r="AB6006" s="168"/>
      <c r="AC6006" s="168"/>
    </row>
    <row r="6007">
      <c r="A6007" s="161"/>
      <c r="B6007" s="161"/>
      <c r="C6007" s="162"/>
      <c r="D6007" s="163"/>
      <c r="E6007" s="163"/>
      <c r="F6007" s="163"/>
      <c r="G6007" s="163"/>
      <c r="H6007" s="163"/>
      <c r="I6007" s="163"/>
      <c r="J6007" s="165"/>
      <c r="K6007" s="165"/>
      <c r="L6007" s="165"/>
      <c r="M6007" s="166"/>
      <c r="N6007" s="167"/>
      <c r="O6007" s="163"/>
      <c r="P6007" s="163"/>
      <c r="Q6007" s="163"/>
      <c r="R6007" s="163"/>
      <c r="S6007" s="161"/>
      <c r="T6007" s="161"/>
      <c r="U6007" s="161"/>
      <c r="V6007" s="161"/>
      <c r="W6007" s="161"/>
      <c r="X6007" s="161"/>
      <c r="Y6007" s="161"/>
      <c r="Z6007" s="168"/>
      <c r="AA6007" s="168"/>
      <c r="AB6007" s="168"/>
      <c r="AC6007" s="168"/>
    </row>
    <row r="6008">
      <c r="A6008" s="161"/>
      <c r="B6008" s="161"/>
      <c r="C6008" s="162"/>
      <c r="D6008" s="163"/>
      <c r="E6008" s="163"/>
      <c r="F6008" s="163"/>
      <c r="G6008" s="163"/>
      <c r="H6008" s="163"/>
      <c r="I6008" s="163"/>
      <c r="J6008" s="165"/>
      <c r="K6008" s="165"/>
      <c r="L6008" s="165"/>
      <c r="M6008" s="166"/>
      <c r="N6008" s="167"/>
      <c r="O6008" s="163"/>
      <c r="P6008" s="163"/>
      <c r="Q6008" s="163"/>
      <c r="R6008" s="163"/>
      <c r="S6008" s="161"/>
      <c r="T6008" s="161"/>
      <c r="U6008" s="161"/>
      <c r="V6008" s="161"/>
      <c r="W6008" s="161"/>
      <c r="X6008" s="161"/>
      <c r="Y6008" s="161"/>
      <c r="Z6008" s="168"/>
      <c r="AA6008" s="168"/>
      <c r="AB6008" s="168"/>
      <c r="AC6008" s="168"/>
    </row>
    <row r="6009">
      <c r="A6009" s="161"/>
      <c r="B6009" s="161"/>
      <c r="C6009" s="162"/>
      <c r="D6009" s="163"/>
      <c r="E6009" s="163"/>
      <c r="F6009" s="163"/>
      <c r="G6009" s="163"/>
      <c r="H6009" s="163"/>
      <c r="I6009" s="163"/>
      <c r="J6009" s="165"/>
      <c r="K6009" s="165"/>
      <c r="L6009" s="165"/>
      <c r="M6009" s="166"/>
      <c r="N6009" s="167"/>
      <c r="O6009" s="163"/>
      <c r="P6009" s="163"/>
      <c r="Q6009" s="163"/>
      <c r="R6009" s="163"/>
      <c r="S6009" s="161"/>
      <c r="T6009" s="161"/>
      <c r="U6009" s="161"/>
      <c r="V6009" s="161"/>
      <c r="W6009" s="161"/>
      <c r="X6009" s="161"/>
      <c r="Y6009" s="161"/>
      <c r="Z6009" s="168"/>
      <c r="AA6009" s="168"/>
      <c r="AB6009" s="168"/>
      <c r="AC6009" s="168"/>
    </row>
    <row r="6010">
      <c r="A6010" s="161"/>
      <c r="B6010" s="161"/>
      <c r="C6010" s="162"/>
      <c r="D6010" s="163"/>
      <c r="E6010" s="163"/>
      <c r="F6010" s="163"/>
      <c r="G6010" s="163"/>
      <c r="H6010" s="163"/>
      <c r="I6010" s="163"/>
      <c r="J6010" s="165"/>
      <c r="K6010" s="165"/>
      <c r="L6010" s="165"/>
      <c r="M6010" s="166"/>
      <c r="N6010" s="167"/>
      <c r="O6010" s="163"/>
      <c r="P6010" s="163"/>
      <c r="Q6010" s="163"/>
      <c r="R6010" s="163"/>
      <c r="S6010" s="161"/>
      <c r="T6010" s="161"/>
      <c r="U6010" s="161"/>
      <c r="V6010" s="161"/>
      <c r="W6010" s="161"/>
      <c r="X6010" s="161"/>
      <c r="Y6010" s="161"/>
      <c r="Z6010" s="168"/>
      <c r="AA6010" s="168"/>
      <c r="AB6010" s="168"/>
      <c r="AC6010" s="168"/>
    </row>
    <row r="6011">
      <c r="A6011" s="161"/>
      <c r="B6011" s="161"/>
      <c r="C6011" s="162"/>
      <c r="D6011" s="163"/>
      <c r="E6011" s="163"/>
      <c r="F6011" s="163"/>
      <c r="G6011" s="163"/>
      <c r="H6011" s="163"/>
      <c r="I6011" s="163"/>
      <c r="J6011" s="165"/>
      <c r="K6011" s="165"/>
      <c r="L6011" s="165"/>
      <c r="M6011" s="166"/>
      <c r="N6011" s="167"/>
      <c r="O6011" s="163"/>
      <c r="P6011" s="163"/>
      <c r="Q6011" s="163"/>
      <c r="R6011" s="163"/>
      <c r="S6011" s="161"/>
      <c r="T6011" s="161"/>
      <c r="U6011" s="161"/>
      <c r="V6011" s="161"/>
      <c r="W6011" s="161"/>
      <c r="X6011" s="161"/>
      <c r="Y6011" s="161"/>
      <c r="Z6011" s="168"/>
      <c r="AA6011" s="168"/>
      <c r="AB6011" s="168"/>
      <c r="AC6011" s="168"/>
    </row>
    <row r="6012">
      <c r="A6012" s="161"/>
      <c r="B6012" s="161"/>
      <c r="C6012" s="162"/>
      <c r="D6012" s="163"/>
      <c r="E6012" s="163"/>
      <c r="F6012" s="163"/>
      <c r="G6012" s="163"/>
      <c r="H6012" s="163"/>
      <c r="I6012" s="163"/>
      <c r="J6012" s="165"/>
      <c r="K6012" s="165"/>
      <c r="L6012" s="165"/>
      <c r="M6012" s="166"/>
      <c r="N6012" s="167"/>
      <c r="O6012" s="163"/>
      <c r="P6012" s="163"/>
      <c r="Q6012" s="163"/>
      <c r="R6012" s="163"/>
      <c r="S6012" s="161"/>
      <c r="T6012" s="161"/>
      <c r="U6012" s="161"/>
      <c r="V6012" s="161"/>
      <c r="W6012" s="161"/>
      <c r="X6012" s="161"/>
      <c r="Y6012" s="161"/>
      <c r="Z6012" s="168"/>
      <c r="AA6012" s="168"/>
      <c r="AB6012" s="168"/>
      <c r="AC6012" s="168"/>
    </row>
    <row r="6013">
      <c r="A6013" s="161"/>
      <c r="B6013" s="161"/>
      <c r="C6013" s="162"/>
      <c r="D6013" s="163"/>
      <c r="E6013" s="163"/>
      <c r="F6013" s="163"/>
      <c r="G6013" s="163"/>
      <c r="H6013" s="163"/>
      <c r="I6013" s="163"/>
      <c r="J6013" s="165"/>
      <c r="K6013" s="165"/>
      <c r="L6013" s="165"/>
      <c r="M6013" s="166"/>
      <c r="N6013" s="167"/>
      <c r="O6013" s="163"/>
      <c r="P6013" s="163"/>
      <c r="Q6013" s="163"/>
      <c r="R6013" s="163"/>
      <c r="S6013" s="161"/>
      <c r="T6013" s="161"/>
      <c r="U6013" s="161"/>
      <c r="V6013" s="161"/>
      <c r="W6013" s="161"/>
      <c r="X6013" s="161"/>
      <c r="Y6013" s="161"/>
      <c r="Z6013" s="168"/>
      <c r="AA6013" s="168"/>
      <c r="AB6013" s="168"/>
      <c r="AC6013" s="168"/>
    </row>
    <row r="6014">
      <c r="A6014" s="161"/>
      <c r="B6014" s="161"/>
      <c r="C6014" s="162"/>
      <c r="D6014" s="163"/>
      <c r="E6014" s="163"/>
      <c r="F6014" s="163"/>
      <c r="G6014" s="163"/>
      <c r="H6014" s="163"/>
      <c r="I6014" s="163"/>
      <c r="J6014" s="165"/>
      <c r="K6014" s="165"/>
      <c r="L6014" s="165"/>
      <c r="M6014" s="166"/>
      <c r="N6014" s="167"/>
      <c r="O6014" s="163"/>
      <c r="P6014" s="163"/>
      <c r="Q6014" s="163"/>
      <c r="R6014" s="163"/>
      <c r="S6014" s="161"/>
      <c r="T6014" s="161"/>
      <c r="U6014" s="161"/>
      <c r="V6014" s="161"/>
      <c r="W6014" s="161"/>
      <c r="X6014" s="161"/>
      <c r="Y6014" s="161"/>
      <c r="Z6014" s="168"/>
      <c r="AA6014" s="168"/>
      <c r="AB6014" s="168"/>
      <c r="AC6014" s="168"/>
    </row>
    <row r="6015">
      <c r="A6015" s="161"/>
      <c r="B6015" s="161"/>
      <c r="C6015" s="162"/>
      <c r="D6015" s="163"/>
      <c r="E6015" s="163"/>
      <c r="F6015" s="163"/>
      <c r="G6015" s="163"/>
      <c r="H6015" s="163"/>
      <c r="I6015" s="163"/>
      <c r="J6015" s="165"/>
      <c r="K6015" s="165"/>
      <c r="L6015" s="165"/>
      <c r="M6015" s="166"/>
      <c r="N6015" s="167"/>
      <c r="O6015" s="163"/>
      <c r="P6015" s="163"/>
      <c r="Q6015" s="163"/>
      <c r="R6015" s="163"/>
      <c r="S6015" s="161"/>
      <c r="T6015" s="161"/>
      <c r="U6015" s="161"/>
      <c r="V6015" s="161"/>
      <c r="W6015" s="161"/>
      <c r="X6015" s="161"/>
      <c r="Y6015" s="161"/>
      <c r="Z6015" s="168"/>
      <c r="AA6015" s="168"/>
      <c r="AB6015" s="168"/>
      <c r="AC6015" s="168"/>
    </row>
    <row r="6016">
      <c r="A6016" s="161"/>
      <c r="B6016" s="161"/>
      <c r="C6016" s="162"/>
      <c r="D6016" s="163"/>
      <c r="E6016" s="163"/>
      <c r="F6016" s="163"/>
      <c r="G6016" s="163"/>
      <c r="H6016" s="163"/>
      <c r="I6016" s="163"/>
      <c r="J6016" s="165"/>
      <c r="K6016" s="165"/>
      <c r="L6016" s="165"/>
      <c r="M6016" s="166"/>
      <c r="N6016" s="167"/>
      <c r="O6016" s="163"/>
      <c r="P6016" s="163"/>
      <c r="Q6016" s="163"/>
      <c r="R6016" s="163"/>
      <c r="S6016" s="161"/>
      <c r="T6016" s="161"/>
      <c r="U6016" s="161"/>
      <c r="V6016" s="161"/>
      <c r="W6016" s="161"/>
      <c r="X6016" s="161"/>
      <c r="Y6016" s="161"/>
      <c r="Z6016" s="168"/>
      <c r="AA6016" s="168"/>
      <c r="AB6016" s="168"/>
      <c r="AC6016" s="168"/>
    </row>
    <row r="6017">
      <c r="A6017" s="161"/>
      <c r="B6017" s="161"/>
      <c r="C6017" s="162"/>
      <c r="D6017" s="163"/>
      <c r="E6017" s="163"/>
      <c r="F6017" s="163"/>
      <c r="G6017" s="163"/>
      <c r="H6017" s="163"/>
      <c r="I6017" s="163"/>
      <c r="J6017" s="165"/>
      <c r="K6017" s="165"/>
      <c r="L6017" s="165"/>
      <c r="M6017" s="166"/>
      <c r="N6017" s="167"/>
      <c r="O6017" s="163"/>
      <c r="P6017" s="163"/>
      <c r="Q6017" s="163"/>
      <c r="R6017" s="163"/>
      <c r="S6017" s="161"/>
      <c r="T6017" s="161"/>
      <c r="U6017" s="161"/>
      <c r="V6017" s="161"/>
      <c r="W6017" s="161"/>
      <c r="X6017" s="161"/>
      <c r="Y6017" s="161"/>
      <c r="Z6017" s="168"/>
      <c r="AA6017" s="168"/>
      <c r="AB6017" s="168"/>
      <c r="AC6017" s="168"/>
    </row>
    <row r="6018">
      <c r="A6018" s="161"/>
      <c r="B6018" s="161"/>
      <c r="C6018" s="162"/>
      <c r="D6018" s="163"/>
      <c r="E6018" s="163"/>
      <c r="F6018" s="163"/>
      <c r="G6018" s="163"/>
      <c r="H6018" s="163"/>
      <c r="I6018" s="163"/>
      <c r="J6018" s="165"/>
      <c r="K6018" s="165"/>
      <c r="L6018" s="165"/>
      <c r="M6018" s="166"/>
      <c r="N6018" s="167"/>
      <c r="O6018" s="163"/>
      <c r="P6018" s="163"/>
      <c r="Q6018" s="163"/>
      <c r="R6018" s="163"/>
      <c r="S6018" s="161"/>
      <c r="T6018" s="161"/>
      <c r="U6018" s="161"/>
      <c r="V6018" s="161"/>
      <c r="W6018" s="161"/>
      <c r="X6018" s="161"/>
      <c r="Y6018" s="161"/>
      <c r="Z6018" s="168"/>
      <c r="AA6018" s="168"/>
      <c r="AB6018" s="168"/>
      <c r="AC6018" s="168"/>
    </row>
    <row r="6019">
      <c r="A6019" s="161"/>
      <c r="B6019" s="161"/>
      <c r="C6019" s="162"/>
      <c r="D6019" s="163"/>
      <c r="E6019" s="163"/>
      <c r="F6019" s="163"/>
      <c r="G6019" s="163"/>
      <c r="H6019" s="163"/>
      <c r="I6019" s="163"/>
      <c r="J6019" s="165"/>
      <c r="K6019" s="165"/>
      <c r="L6019" s="165"/>
      <c r="M6019" s="166"/>
      <c r="N6019" s="167"/>
      <c r="O6019" s="163"/>
      <c r="P6019" s="163"/>
      <c r="Q6019" s="163"/>
      <c r="R6019" s="163"/>
      <c r="S6019" s="161"/>
      <c r="T6019" s="161"/>
      <c r="U6019" s="161"/>
      <c r="V6019" s="161"/>
      <c r="W6019" s="161"/>
      <c r="X6019" s="161"/>
      <c r="Y6019" s="161"/>
      <c r="Z6019" s="168"/>
      <c r="AA6019" s="168"/>
      <c r="AB6019" s="168"/>
      <c r="AC6019" s="168"/>
    </row>
    <row r="6020">
      <c r="A6020" s="161"/>
      <c r="B6020" s="161"/>
      <c r="C6020" s="162"/>
      <c r="D6020" s="163"/>
      <c r="E6020" s="163"/>
      <c r="F6020" s="163"/>
      <c r="G6020" s="163"/>
      <c r="H6020" s="163"/>
      <c r="I6020" s="163"/>
      <c r="J6020" s="165"/>
      <c r="K6020" s="165"/>
      <c r="L6020" s="165"/>
      <c r="M6020" s="166"/>
      <c r="N6020" s="167"/>
      <c r="O6020" s="163"/>
      <c r="P6020" s="163"/>
      <c r="Q6020" s="163"/>
      <c r="R6020" s="163"/>
      <c r="S6020" s="161"/>
      <c r="T6020" s="161"/>
      <c r="U6020" s="161"/>
      <c r="V6020" s="161"/>
      <c r="W6020" s="161"/>
      <c r="X6020" s="161"/>
      <c r="Y6020" s="161"/>
      <c r="Z6020" s="168"/>
      <c r="AA6020" s="168"/>
      <c r="AB6020" s="168"/>
      <c r="AC6020" s="168"/>
    </row>
    <row r="6021">
      <c r="A6021" s="161"/>
      <c r="B6021" s="161"/>
      <c r="C6021" s="162"/>
      <c r="D6021" s="163"/>
      <c r="E6021" s="163"/>
      <c r="F6021" s="163"/>
      <c r="G6021" s="163"/>
      <c r="H6021" s="163"/>
      <c r="I6021" s="163"/>
      <c r="J6021" s="165"/>
      <c r="K6021" s="165"/>
      <c r="L6021" s="165"/>
      <c r="M6021" s="166"/>
      <c r="N6021" s="167"/>
      <c r="O6021" s="163"/>
      <c r="P6021" s="163"/>
      <c r="Q6021" s="163"/>
      <c r="R6021" s="163"/>
      <c r="S6021" s="161"/>
      <c r="T6021" s="161"/>
      <c r="U6021" s="161"/>
      <c r="V6021" s="161"/>
      <c r="W6021" s="161"/>
      <c r="X6021" s="161"/>
      <c r="Y6021" s="161"/>
      <c r="Z6021" s="168"/>
      <c r="AA6021" s="168"/>
      <c r="AB6021" s="168"/>
      <c r="AC6021" s="168"/>
    </row>
    <row r="6022">
      <c r="A6022" s="161"/>
      <c r="B6022" s="161"/>
      <c r="C6022" s="162"/>
      <c r="D6022" s="163"/>
      <c r="E6022" s="163"/>
      <c r="F6022" s="163"/>
      <c r="G6022" s="163"/>
      <c r="H6022" s="163"/>
      <c r="I6022" s="163"/>
      <c r="J6022" s="165"/>
      <c r="K6022" s="165"/>
      <c r="L6022" s="165"/>
      <c r="M6022" s="166"/>
      <c r="N6022" s="167"/>
      <c r="O6022" s="163"/>
      <c r="P6022" s="163"/>
      <c r="Q6022" s="163"/>
      <c r="R6022" s="163"/>
      <c r="S6022" s="161"/>
      <c r="T6022" s="161"/>
      <c r="U6022" s="161"/>
      <c r="V6022" s="161"/>
      <c r="W6022" s="161"/>
      <c r="X6022" s="161"/>
      <c r="Y6022" s="161"/>
      <c r="Z6022" s="168"/>
      <c r="AA6022" s="168"/>
      <c r="AB6022" s="168"/>
      <c r="AC6022" s="168"/>
    </row>
    <row r="6023">
      <c r="A6023" s="161"/>
      <c r="B6023" s="161"/>
      <c r="C6023" s="162"/>
      <c r="D6023" s="163"/>
      <c r="E6023" s="163"/>
      <c r="F6023" s="163"/>
      <c r="G6023" s="163"/>
      <c r="H6023" s="163"/>
      <c r="I6023" s="163"/>
      <c r="J6023" s="165"/>
      <c r="K6023" s="165"/>
      <c r="L6023" s="165"/>
      <c r="M6023" s="166"/>
      <c r="N6023" s="167"/>
      <c r="O6023" s="163"/>
      <c r="P6023" s="163"/>
      <c r="Q6023" s="163"/>
      <c r="R6023" s="163"/>
      <c r="S6023" s="161"/>
      <c r="T6023" s="161"/>
      <c r="U6023" s="161"/>
      <c r="V6023" s="161"/>
      <c r="W6023" s="161"/>
      <c r="X6023" s="161"/>
      <c r="Y6023" s="161"/>
      <c r="Z6023" s="168"/>
      <c r="AA6023" s="168"/>
      <c r="AB6023" s="168"/>
      <c r="AC6023" s="168"/>
    </row>
    <row r="6024">
      <c r="A6024" s="161"/>
      <c r="B6024" s="161"/>
      <c r="C6024" s="162"/>
      <c r="D6024" s="163"/>
      <c r="E6024" s="163"/>
      <c r="F6024" s="163"/>
      <c r="G6024" s="163"/>
      <c r="H6024" s="163"/>
      <c r="I6024" s="163"/>
      <c r="J6024" s="165"/>
      <c r="K6024" s="165"/>
      <c r="L6024" s="165"/>
      <c r="M6024" s="166"/>
      <c r="N6024" s="167"/>
      <c r="O6024" s="163"/>
      <c r="P6024" s="163"/>
      <c r="Q6024" s="163"/>
      <c r="R6024" s="163"/>
      <c r="S6024" s="161"/>
      <c r="T6024" s="161"/>
      <c r="U6024" s="161"/>
      <c r="V6024" s="161"/>
      <c r="W6024" s="161"/>
      <c r="X6024" s="161"/>
      <c r="Y6024" s="161"/>
      <c r="Z6024" s="168"/>
      <c r="AA6024" s="168"/>
      <c r="AB6024" s="168"/>
      <c r="AC6024" s="168"/>
    </row>
    <row r="6025">
      <c r="A6025" s="161"/>
      <c r="B6025" s="161"/>
      <c r="C6025" s="162"/>
      <c r="D6025" s="163"/>
      <c r="E6025" s="163"/>
      <c r="F6025" s="163"/>
      <c r="G6025" s="163"/>
      <c r="H6025" s="163"/>
      <c r="I6025" s="163"/>
      <c r="J6025" s="165"/>
      <c r="K6025" s="165"/>
      <c r="L6025" s="165"/>
      <c r="M6025" s="166"/>
      <c r="N6025" s="167"/>
      <c r="O6025" s="163"/>
      <c r="P6025" s="163"/>
      <c r="Q6025" s="163"/>
      <c r="R6025" s="163"/>
      <c r="S6025" s="161"/>
      <c r="T6025" s="161"/>
      <c r="U6025" s="161"/>
      <c r="V6025" s="161"/>
      <c r="W6025" s="161"/>
      <c r="X6025" s="161"/>
      <c r="Y6025" s="161"/>
      <c r="Z6025" s="168"/>
      <c r="AA6025" s="168"/>
      <c r="AB6025" s="168"/>
      <c r="AC6025" s="168"/>
    </row>
    <row r="6026">
      <c r="A6026" s="161"/>
      <c r="B6026" s="161"/>
      <c r="C6026" s="162"/>
      <c r="D6026" s="163"/>
      <c r="E6026" s="163"/>
      <c r="F6026" s="163"/>
      <c r="G6026" s="163"/>
      <c r="H6026" s="163"/>
      <c r="I6026" s="163"/>
      <c r="J6026" s="165"/>
      <c r="K6026" s="165"/>
      <c r="L6026" s="165"/>
      <c r="M6026" s="166"/>
      <c r="N6026" s="167"/>
      <c r="O6026" s="163"/>
      <c r="P6026" s="163"/>
      <c r="Q6026" s="163"/>
      <c r="R6026" s="163"/>
      <c r="S6026" s="161"/>
      <c r="T6026" s="161"/>
      <c r="U6026" s="161"/>
      <c r="V6026" s="161"/>
      <c r="W6026" s="161"/>
      <c r="X6026" s="161"/>
      <c r="Y6026" s="161"/>
      <c r="Z6026" s="168"/>
      <c r="AA6026" s="168"/>
      <c r="AB6026" s="168"/>
      <c r="AC6026" s="168"/>
    </row>
    <row r="6027">
      <c r="A6027" s="161"/>
      <c r="B6027" s="161"/>
      <c r="C6027" s="162"/>
      <c r="D6027" s="163"/>
      <c r="E6027" s="163"/>
      <c r="F6027" s="163"/>
      <c r="G6027" s="163"/>
      <c r="H6027" s="163"/>
      <c r="I6027" s="163"/>
      <c r="J6027" s="165"/>
      <c r="K6027" s="165"/>
      <c r="L6027" s="165"/>
      <c r="M6027" s="166"/>
      <c r="N6027" s="167"/>
      <c r="O6027" s="163"/>
      <c r="P6027" s="163"/>
      <c r="Q6027" s="163"/>
      <c r="R6027" s="163"/>
      <c r="S6027" s="161"/>
      <c r="T6027" s="161"/>
      <c r="U6027" s="161"/>
      <c r="V6027" s="161"/>
      <c r="W6027" s="161"/>
      <c r="X6027" s="161"/>
      <c r="Y6027" s="161"/>
      <c r="Z6027" s="168"/>
      <c r="AA6027" s="168"/>
      <c r="AB6027" s="168"/>
      <c r="AC6027" s="168"/>
    </row>
    <row r="6028">
      <c r="A6028" s="161"/>
      <c r="B6028" s="161"/>
      <c r="C6028" s="162"/>
      <c r="D6028" s="163"/>
      <c r="E6028" s="163"/>
      <c r="F6028" s="163"/>
      <c r="G6028" s="163"/>
      <c r="H6028" s="163"/>
      <c r="I6028" s="163"/>
      <c r="J6028" s="165"/>
      <c r="K6028" s="165"/>
      <c r="L6028" s="165"/>
      <c r="M6028" s="166"/>
      <c r="N6028" s="167"/>
      <c r="O6028" s="163"/>
      <c r="P6028" s="163"/>
      <c r="Q6028" s="163"/>
      <c r="R6028" s="163"/>
      <c r="S6028" s="161"/>
      <c r="T6028" s="161"/>
      <c r="U6028" s="161"/>
      <c r="V6028" s="161"/>
      <c r="W6028" s="161"/>
      <c r="X6028" s="161"/>
      <c r="Y6028" s="161"/>
      <c r="Z6028" s="168"/>
      <c r="AA6028" s="168"/>
      <c r="AB6028" s="168"/>
      <c r="AC6028" s="168"/>
    </row>
    <row r="6029">
      <c r="A6029" s="161"/>
      <c r="B6029" s="161"/>
      <c r="C6029" s="162"/>
      <c r="D6029" s="163"/>
      <c r="E6029" s="163"/>
      <c r="F6029" s="163"/>
      <c r="G6029" s="163"/>
      <c r="H6029" s="163"/>
      <c r="I6029" s="163"/>
      <c r="J6029" s="165"/>
      <c r="K6029" s="165"/>
      <c r="L6029" s="165"/>
      <c r="M6029" s="166"/>
      <c r="N6029" s="167"/>
      <c r="O6029" s="163"/>
      <c r="P6029" s="163"/>
      <c r="Q6029" s="163"/>
      <c r="R6029" s="163"/>
      <c r="S6029" s="161"/>
      <c r="T6029" s="161"/>
      <c r="U6029" s="161"/>
      <c r="V6029" s="161"/>
      <c r="W6029" s="161"/>
      <c r="X6029" s="161"/>
      <c r="Y6029" s="161"/>
      <c r="Z6029" s="168"/>
      <c r="AA6029" s="168"/>
      <c r="AB6029" s="168"/>
      <c r="AC6029" s="168"/>
    </row>
    <row r="6030">
      <c r="A6030" s="161"/>
      <c r="B6030" s="161"/>
      <c r="C6030" s="162"/>
      <c r="D6030" s="163"/>
      <c r="E6030" s="163"/>
      <c r="F6030" s="163"/>
      <c r="G6030" s="163"/>
      <c r="H6030" s="163"/>
      <c r="I6030" s="163"/>
      <c r="J6030" s="165"/>
      <c r="K6030" s="165"/>
      <c r="L6030" s="165"/>
      <c r="M6030" s="166"/>
      <c r="N6030" s="167"/>
      <c r="O6030" s="163"/>
      <c r="P6030" s="163"/>
      <c r="Q6030" s="163"/>
      <c r="R6030" s="163"/>
      <c r="S6030" s="161"/>
      <c r="T6030" s="161"/>
      <c r="U6030" s="161"/>
      <c r="V6030" s="161"/>
      <c r="W6030" s="161"/>
      <c r="X6030" s="161"/>
      <c r="Y6030" s="161"/>
      <c r="Z6030" s="168"/>
      <c r="AA6030" s="168"/>
      <c r="AB6030" s="168"/>
      <c r="AC6030" s="168"/>
    </row>
    <row r="6031">
      <c r="A6031" s="161"/>
      <c r="B6031" s="161"/>
      <c r="C6031" s="162"/>
      <c r="D6031" s="163"/>
      <c r="E6031" s="163"/>
      <c r="F6031" s="163"/>
      <c r="G6031" s="163"/>
      <c r="H6031" s="163"/>
      <c r="I6031" s="163"/>
      <c r="J6031" s="165"/>
      <c r="K6031" s="165"/>
      <c r="L6031" s="165"/>
      <c r="M6031" s="166"/>
      <c r="N6031" s="167"/>
      <c r="O6031" s="163"/>
      <c r="P6031" s="163"/>
      <c r="Q6031" s="163"/>
      <c r="R6031" s="163"/>
      <c r="S6031" s="161"/>
      <c r="T6031" s="161"/>
      <c r="U6031" s="161"/>
      <c r="V6031" s="161"/>
      <c r="W6031" s="161"/>
      <c r="X6031" s="161"/>
      <c r="Y6031" s="161"/>
      <c r="Z6031" s="168"/>
      <c r="AA6031" s="168"/>
      <c r="AB6031" s="168"/>
      <c r="AC6031" s="168"/>
    </row>
    <row r="6032">
      <c r="A6032" s="161"/>
      <c r="B6032" s="161"/>
      <c r="C6032" s="162"/>
      <c r="D6032" s="163"/>
      <c r="E6032" s="163"/>
      <c r="F6032" s="163"/>
      <c r="G6032" s="163"/>
      <c r="H6032" s="163"/>
      <c r="I6032" s="163"/>
      <c r="J6032" s="165"/>
      <c r="K6032" s="165"/>
      <c r="L6032" s="165"/>
      <c r="M6032" s="166"/>
      <c r="N6032" s="167"/>
      <c r="O6032" s="163"/>
      <c r="P6032" s="163"/>
      <c r="Q6032" s="163"/>
      <c r="R6032" s="163"/>
      <c r="S6032" s="161"/>
      <c r="T6032" s="161"/>
      <c r="U6032" s="161"/>
      <c r="V6032" s="161"/>
      <c r="W6032" s="161"/>
      <c r="X6032" s="161"/>
      <c r="Y6032" s="161"/>
      <c r="Z6032" s="168"/>
      <c r="AA6032" s="168"/>
      <c r="AB6032" s="168"/>
      <c r="AC6032" s="168"/>
    </row>
    <row r="6033">
      <c r="A6033" s="161"/>
      <c r="B6033" s="161"/>
      <c r="C6033" s="162"/>
      <c r="D6033" s="163"/>
      <c r="E6033" s="163"/>
      <c r="F6033" s="163"/>
      <c r="G6033" s="163"/>
      <c r="H6033" s="163"/>
      <c r="I6033" s="163"/>
      <c r="J6033" s="165"/>
      <c r="K6033" s="165"/>
      <c r="L6033" s="165"/>
      <c r="M6033" s="166"/>
      <c r="N6033" s="167"/>
      <c r="O6033" s="163"/>
      <c r="P6033" s="163"/>
      <c r="Q6033" s="163"/>
      <c r="R6033" s="163"/>
      <c r="S6033" s="161"/>
      <c r="T6033" s="161"/>
      <c r="U6033" s="161"/>
      <c r="V6033" s="161"/>
      <c r="W6033" s="161"/>
      <c r="X6033" s="161"/>
      <c r="Y6033" s="161"/>
      <c r="Z6033" s="168"/>
      <c r="AA6033" s="168"/>
      <c r="AB6033" s="168"/>
      <c r="AC6033" s="168"/>
    </row>
    <row r="6034">
      <c r="A6034" s="161"/>
      <c r="B6034" s="161"/>
      <c r="C6034" s="162"/>
      <c r="D6034" s="163"/>
      <c r="E6034" s="163"/>
      <c r="F6034" s="163"/>
      <c r="G6034" s="163"/>
      <c r="H6034" s="163"/>
      <c r="I6034" s="163"/>
      <c r="J6034" s="165"/>
      <c r="K6034" s="165"/>
      <c r="L6034" s="165"/>
      <c r="M6034" s="166"/>
      <c r="N6034" s="167"/>
      <c r="O6034" s="163"/>
      <c r="P6034" s="163"/>
      <c r="Q6034" s="163"/>
      <c r="R6034" s="163"/>
      <c r="S6034" s="161"/>
      <c r="T6034" s="161"/>
      <c r="U6034" s="161"/>
      <c r="V6034" s="161"/>
      <c r="W6034" s="161"/>
      <c r="X6034" s="161"/>
      <c r="Y6034" s="161"/>
      <c r="Z6034" s="168"/>
      <c r="AA6034" s="168"/>
      <c r="AB6034" s="168"/>
      <c r="AC6034" s="168"/>
    </row>
    <row r="6035">
      <c r="A6035" s="161"/>
      <c r="B6035" s="161"/>
      <c r="C6035" s="162"/>
      <c r="D6035" s="163"/>
      <c r="E6035" s="163"/>
      <c r="F6035" s="163"/>
      <c r="G6035" s="163"/>
      <c r="H6035" s="163"/>
      <c r="I6035" s="163"/>
      <c r="J6035" s="165"/>
      <c r="K6035" s="165"/>
      <c r="L6035" s="165"/>
      <c r="M6035" s="166"/>
      <c r="N6035" s="167"/>
      <c r="O6035" s="163"/>
      <c r="P6035" s="163"/>
      <c r="Q6035" s="163"/>
      <c r="R6035" s="163"/>
      <c r="S6035" s="161"/>
      <c r="T6035" s="161"/>
      <c r="U6035" s="161"/>
      <c r="V6035" s="161"/>
      <c r="W6035" s="161"/>
      <c r="X6035" s="161"/>
      <c r="Y6035" s="161"/>
      <c r="Z6035" s="168"/>
      <c r="AA6035" s="168"/>
      <c r="AB6035" s="168"/>
      <c r="AC6035" s="168"/>
    </row>
    <row r="6036">
      <c r="A6036" s="161"/>
      <c r="B6036" s="161"/>
      <c r="C6036" s="162"/>
      <c r="D6036" s="163"/>
      <c r="E6036" s="163"/>
      <c r="F6036" s="163"/>
      <c r="G6036" s="163"/>
      <c r="H6036" s="163"/>
      <c r="I6036" s="163"/>
      <c r="J6036" s="165"/>
      <c r="K6036" s="165"/>
      <c r="L6036" s="165"/>
      <c r="M6036" s="166"/>
      <c r="N6036" s="167"/>
      <c r="O6036" s="163"/>
      <c r="P6036" s="163"/>
      <c r="Q6036" s="163"/>
      <c r="R6036" s="163"/>
      <c r="S6036" s="161"/>
      <c r="T6036" s="161"/>
      <c r="U6036" s="161"/>
      <c r="V6036" s="161"/>
      <c r="W6036" s="161"/>
      <c r="X6036" s="161"/>
      <c r="Y6036" s="161"/>
      <c r="Z6036" s="168"/>
      <c r="AA6036" s="168"/>
      <c r="AB6036" s="168"/>
      <c r="AC6036" s="168"/>
    </row>
    <row r="6037">
      <c r="A6037" s="161"/>
      <c r="B6037" s="161"/>
      <c r="C6037" s="162"/>
      <c r="D6037" s="163"/>
      <c r="E6037" s="163"/>
      <c r="F6037" s="163"/>
      <c r="G6037" s="163"/>
      <c r="H6037" s="163"/>
      <c r="I6037" s="163"/>
      <c r="J6037" s="165"/>
      <c r="K6037" s="165"/>
      <c r="L6037" s="165"/>
      <c r="M6037" s="166"/>
      <c r="N6037" s="167"/>
      <c r="O6037" s="163"/>
      <c r="P6037" s="163"/>
      <c r="Q6037" s="163"/>
      <c r="R6037" s="163"/>
      <c r="S6037" s="161"/>
      <c r="T6037" s="161"/>
      <c r="U6037" s="161"/>
      <c r="V6037" s="161"/>
      <c r="W6037" s="161"/>
      <c r="X6037" s="161"/>
      <c r="Y6037" s="161"/>
      <c r="Z6037" s="168"/>
      <c r="AA6037" s="168"/>
      <c r="AB6037" s="168"/>
      <c r="AC6037" s="168"/>
    </row>
    <row r="6038">
      <c r="A6038" s="161"/>
      <c r="B6038" s="161"/>
      <c r="C6038" s="162"/>
      <c r="D6038" s="163"/>
      <c r="E6038" s="163"/>
      <c r="F6038" s="163"/>
      <c r="G6038" s="163"/>
      <c r="H6038" s="163"/>
      <c r="I6038" s="163"/>
      <c r="J6038" s="165"/>
      <c r="K6038" s="165"/>
      <c r="L6038" s="165"/>
      <c r="M6038" s="166"/>
      <c r="N6038" s="167"/>
      <c r="O6038" s="163"/>
      <c r="P6038" s="163"/>
      <c r="Q6038" s="163"/>
      <c r="R6038" s="163"/>
      <c r="S6038" s="161"/>
      <c r="T6038" s="161"/>
      <c r="U6038" s="161"/>
      <c r="V6038" s="161"/>
      <c r="W6038" s="161"/>
      <c r="X6038" s="161"/>
      <c r="Y6038" s="161"/>
      <c r="Z6038" s="168"/>
      <c r="AA6038" s="168"/>
      <c r="AB6038" s="168"/>
      <c r="AC6038" s="168"/>
    </row>
    <row r="6039">
      <c r="A6039" s="161"/>
      <c r="B6039" s="161"/>
      <c r="C6039" s="162"/>
      <c r="D6039" s="163"/>
      <c r="E6039" s="163"/>
      <c r="F6039" s="163"/>
      <c r="G6039" s="163"/>
      <c r="H6039" s="163"/>
      <c r="I6039" s="163"/>
      <c r="J6039" s="165"/>
      <c r="K6039" s="165"/>
      <c r="L6039" s="165"/>
      <c r="M6039" s="166"/>
      <c r="N6039" s="167"/>
      <c r="O6039" s="163"/>
      <c r="P6039" s="163"/>
      <c r="Q6039" s="163"/>
      <c r="R6039" s="163"/>
      <c r="S6039" s="161"/>
      <c r="T6039" s="161"/>
      <c r="U6039" s="161"/>
      <c r="V6039" s="161"/>
      <c r="W6039" s="161"/>
      <c r="X6039" s="161"/>
      <c r="Y6039" s="161"/>
      <c r="Z6039" s="168"/>
      <c r="AA6039" s="168"/>
      <c r="AB6039" s="168"/>
      <c r="AC6039" s="168"/>
    </row>
    <row r="6040">
      <c r="A6040" s="161"/>
      <c r="B6040" s="161"/>
      <c r="C6040" s="162"/>
      <c r="D6040" s="163"/>
      <c r="E6040" s="163"/>
      <c r="F6040" s="163"/>
      <c r="G6040" s="163"/>
      <c r="H6040" s="163"/>
      <c r="I6040" s="163"/>
      <c r="J6040" s="165"/>
      <c r="K6040" s="165"/>
      <c r="L6040" s="165"/>
      <c r="M6040" s="166"/>
      <c r="N6040" s="167"/>
      <c r="O6040" s="163"/>
      <c r="P6040" s="163"/>
      <c r="Q6040" s="163"/>
      <c r="R6040" s="163"/>
      <c r="S6040" s="161"/>
      <c r="T6040" s="161"/>
      <c r="U6040" s="161"/>
      <c r="V6040" s="161"/>
      <c r="W6040" s="161"/>
      <c r="X6040" s="161"/>
      <c r="Y6040" s="161"/>
      <c r="Z6040" s="168"/>
      <c r="AA6040" s="168"/>
      <c r="AB6040" s="168"/>
      <c r="AC6040" s="168"/>
    </row>
    <row r="6041">
      <c r="A6041" s="161"/>
      <c r="B6041" s="161"/>
      <c r="C6041" s="162"/>
      <c r="D6041" s="163"/>
      <c r="E6041" s="163"/>
      <c r="F6041" s="163"/>
      <c r="G6041" s="163"/>
      <c r="H6041" s="163"/>
      <c r="I6041" s="163"/>
      <c r="J6041" s="165"/>
      <c r="K6041" s="165"/>
      <c r="L6041" s="165"/>
      <c r="M6041" s="166"/>
      <c r="N6041" s="167"/>
      <c r="O6041" s="163"/>
      <c r="P6041" s="163"/>
      <c r="Q6041" s="163"/>
      <c r="R6041" s="163"/>
      <c r="S6041" s="161"/>
      <c r="T6041" s="161"/>
      <c r="U6041" s="161"/>
      <c r="V6041" s="161"/>
      <c r="W6041" s="161"/>
      <c r="X6041" s="161"/>
      <c r="Y6041" s="161"/>
      <c r="Z6041" s="168"/>
      <c r="AA6041" s="168"/>
      <c r="AB6041" s="168"/>
      <c r="AC6041" s="168"/>
    </row>
    <row r="6042">
      <c r="A6042" s="161"/>
      <c r="B6042" s="161"/>
      <c r="C6042" s="162"/>
      <c r="D6042" s="163"/>
      <c r="E6042" s="163"/>
      <c r="F6042" s="163"/>
      <c r="G6042" s="163"/>
      <c r="H6042" s="163"/>
      <c r="I6042" s="163"/>
      <c r="J6042" s="165"/>
      <c r="K6042" s="165"/>
      <c r="L6042" s="165"/>
      <c r="M6042" s="166"/>
      <c r="N6042" s="167"/>
      <c r="O6042" s="163"/>
      <c r="P6042" s="163"/>
      <c r="Q6042" s="163"/>
      <c r="R6042" s="163"/>
      <c r="S6042" s="161"/>
      <c r="T6042" s="161"/>
      <c r="U6042" s="161"/>
      <c r="V6042" s="161"/>
      <c r="W6042" s="161"/>
      <c r="X6042" s="161"/>
      <c r="Y6042" s="161"/>
      <c r="Z6042" s="168"/>
      <c r="AA6042" s="168"/>
      <c r="AB6042" s="168"/>
      <c r="AC6042" s="168"/>
    </row>
    <row r="6043">
      <c r="A6043" s="161"/>
      <c r="B6043" s="161"/>
      <c r="C6043" s="162"/>
      <c r="D6043" s="163"/>
      <c r="E6043" s="163"/>
      <c r="F6043" s="163"/>
      <c r="G6043" s="163"/>
      <c r="H6043" s="163"/>
      <c r="I6043" s="163"/>
      <c r="J6043" s="165"/>
      <c r="K6043" s="165"/>
      <c r="L6043" s="165"/>
      <c r="M6043" s="166"/>
      <c r="N6043" s="167"/>
      <c r="O6043" s="163"/>
      <c r="P6043" s="163"/>
      <c r="Q6043" s="163"/>
      <c r="R6043" s="163"/>
      <c r="S6043" s="161"/>
      <c r="T6043" s="161"/>
      <c r="U6043" s="161"/>
      <c r="V6043" s="161"/>
      <c r="W6043" s="161"/>
      <c r="X6043" s="161"/>
      <c r="Y6043" s="161"/>
      <c r="Z6043" s="168"/>
      <c r="AA6043" s="168"/>
      <c r="AB6043" s="168"/>
      <c r="AC6043" s="168"/>
    </row>
    <row r="6044">
      <c r="A6044" s="161"/>
      <c r="B6044" s="161"/>
      <c r="C6044" s="162"/>
      <c r="D6044" s="163"/>
      <c r="E6044" s="163"/>
      <c r="F6044" s="163"/>
      <c r="G6044" s="163"/>
      <c r="H6044" s="163"/>
      <c r="I6044" s="163"/>
      <c r="J6044" s="165"/>
      <c r="K6044" s="165"/>
      <c r="L6044" s="165"/>
      <c r="M6044" s="166"/>
      <c r="N6044" s="167"/>
      <c r="O6044" s="163"/>
      <c r="P6044" s="163"/>
      <c r="Q6044" s="163"/>
      <c r="R6044" s="163"/>
      <c r="S6044" s="161"/>
      <c r="T6044" s="161"/>
      <c r="U6044" s="161"/>
      <c r="V6044" s="161"/>
      <c r="W6044" s="161"/>
      <c r="X6044" s="161"/>
      <c r="Y6044" s="161"/>
      <c r="Z6044" s="168"/>
      <c r="AA6044" s="168"/>
      <c r="AB6044" s="168"/>
      <c r="AC6044" s="168"/>
    </row>
    <row r="6045">
      <c r="A6045" s="161"/>
      <c r="B6045" s="161"/>
      <c r="C6045" s="162"/>
      <c r="D6045" s="163"/>
      <c r="E6045" s="163"/>
      <c r="F6045" s="163"/>
      <c r="G6045" s="163"/>
      <c r="H6045" s="163"/>
      <c r="I6045" s="163"/>
      <c r="J6045" s="165"/>
      <c r="K6045" s="165"/>
      <c r="L6045" s="165"/>
      <c r="M6045" s="166"/>
      <c r="N6045" s="167"/>
      <c r="O6045" s="163"/>
      <c r="P6045" s="163"/>
      <c r="Q6045" s="163"/>
      <c r="R6045" s="163"/>
      <c r="S6045" s="161"/>
      <c r="T6045" s="161"/>
      <c r="U6045" s="161"/>
      <c r="V6045" s="161"/>
      <c r="W6045" s="161"/>
      <c r="X6045" s="161"/>
      <c r="Y6045" s="161"/>
      <c r="Z6045" s="168"/>
      <c r="AA6045" s="168"/>
      <c r="AB6045" s="168"/>
      <c r="AC6045" s="168"/>
    </row>
    <row r="6046">
      <c r="A6046" s="161"/>
      <c r="B6046" s="161"/>
      <c r="C6046" s="162"/>
      <c r="D6046" s="163"/>
      <c r="E6046" s="163"/>
      <c r="F6046" s="163"/>
      <c r="G6046" s="163"/>
      <c r="H6046" s="163"/>
      <c r="I6046" s="163"/>
      <c r="J6046" s="165"/>
      <c r="K6046" s="165"/>
      <c r="L6046" s="165"/>
      <c r="M6046" s="166"/>
      <c r="N6046" s="167"/>
      <c r="O6046" s="163"/>
      <c r="P6046" s="163"/>
      <c r="Q6046" s="163"/>
      <c r="R6046" s="163"/>
      <c r="S6046" s="161"/>
      <c r="T6046" s="161"/>
      <c r="U6046" s="161"/>
      <c r="V6046" s="161"/>
      <c r="W6046" s="161"/>
      <c r="X6046" s="161"/>
      <c r="Y6046" s="161"/>
      <c r="Z6046" s="168"/>
      <c r="AA6046" s="168"/>
      <c r="AB6046" s="168"/>
      <c r="AC6046" s="168"/>
    </row>
    <row r="6047">
      <c r="A6047" s="161"/>
      <c r="B6047" s="161"/>
      <c r="C6047" s="162"/>
      <c r="D6047" s="163"/>
      <c r="E6047" s="163"/>
      <c r="F6047" s="163"/>
      <c r="G6047" s="163"/>
      <c r="H6047" s="163"/>
      <c r="I6047" s="163"/>
      <c r="J6047" s="165"/>
      <c r="K6047" s="165"/>
      <c r="L6047" s="165"/>
      <c r="M6047" s="166"/>
      <c r="N6047" s="167"/>
      <c r="O6047" s="163"/>
      <c r="P6047" s="163"/>
      <c r="Q6047" s="163"/>
      <c r="R6047" s="163"/>
      <c r="S6047" s="161"/>
      <c r="T6047" s="161"/>
      <c r="U6047" s="161"/>
      <c r="V6047" s="161"/>
      <c r="W6047" s="161"/>
      <c r="X6047" s="161"/>
      <c r="Y6047" s="161"/>
      <c r="Z6047" s="168"/>
      <c r="AA6047" s="168"/>
      <c r="AB6047" s="168"/>
      <c r="AC6047" s="168"/>
    </row>
    <row r="6048">
      <c r="A6048" s="161"/>
      <c r="B6048" s="161"/>
      <c r="C6048" s="162"/>
      <c r="D6048" s="163"/>
      <c r="E6048" s="163"/>
      <c r="F6048" s="163"/>
      <c r="G6048" s="163"/>
      <c r="H6048" s="163"/>
      <c r="I6048" s="163"/>
      <c r="J6048" s="165"/>
      <c r="K6048" s="165"/>
      <c r="L6048" s="165"/>
      <c r="M6048" s="166"/>
      <c r="N6048" s="167"/>
      <c r="O6048" s="163"/>
      <c r="P6048" s="163"/>
      <c r="Q6048" s="163"/>
      <c r="R6048" s="163"/>
      <c r="S6048" s="161"/>
      <c r="T6048" s="161"/>
      <c r="U6048" s="161"/>
      <c r="V6048" s="161"/>
      <c r="W6048" s="161"/>
      <c r="X6048" s="161"/>
      <c r="Y6048" s="161"/>
      <c r="Z6048" s="168"/>
      <c r="AA6048" s="168"/>
      <c r="AB6048" s="168"/>
      <c r="AC6048" s="168"/>
    </row>
    <row r="6049">
      <c r="A6049" s="161"/>
      <c r="B6049" s="161"/>
      <c r="C6049" s="162"/>
      <c r="D6049" s="163"/>
      <c r="E6049" s="163"/>
      <c r="F6049" s="163"/>
      <c r="G6049" s="163"/>
      <c r="H6049" s="163"/>
      <c r="I6049" s="163"/>
      <c r="J6049" s="165"/>
      <c r="K6049" s="165"/>
      <c r="L6049" s="165"/>
      <c r="M6049" s="166"/>
      <c r="N6049" s="167"/>
      <c r="O6049" s="163"/>
      <c r="P6049" s="163"/>
      <c r="Q6049" s="163"/>
      <c r="R6049" s="163"/>
      <c r="S6049" s="161"/>
      <c r="T6049" s="161"/>
      <c r="U6049" s="161"/>
      <c r="V6049" s="161"/>
      <c r="W6049" s="161"/>
      <c r="X6049" s="161"/>
      <c r="Y6049" s="161"/>
      <c r="Z6049" s="168"/>
      <c r="AA6049" s="168"/>
      <c r="AB6049" s="168"/>
      <c r="AC6049" s="168"/>
    </row>
    <row r="6050">
      <c r="A6050" s="161"/>
      <c r="B6050" s="161"/>
      <c r="C6050" s="162"/>
      <c r="D6050" s="163"/>
      <c r="E6050" s="163"/>
      <c r="F6050" s="163"/>
      <c r="G6050" s="163"/>
      <c r="H6050" s="163"/>
      <c r="I6050" s="163"/>
      <c r="J6050" s="165"/>
      <c r="K6050" s="165"/>
      <c r="L6050" s="165"/>
      <c r="M6050" s="166"/>
      <c r="N6050" s="167"/>
      <c r="O6050" s="163"/>
      <c r="P6050" s="163"/>
      <c r="Q6050" s="163"/>
      <c r="R6050" s="163"/>
      <c r="S6050" s="161"/>
      <c r="T6050" s="161"/>
      <c r="U6050" s="161"/>
      <c r="V6050" s="161"/>
      <c r="W6050" s="161"/>
      <c r="X6050" s="161"/>
      <c r="Y6050" s="161"/>
      <c r="Z6050" s="168"/>
      <c r="AA6050" s="168"/>
      <c r="AB6050" s="168"/>
      <c r="AC6050" s="168"/>
    </row>
    <row r="6051">
      <c r="A6051" s="161"/>
      <c r="B6051" s="161"/>
      <c r="C6051" s="162"/>
      <c r="D6051" s="163"/>
      <c r="E6051" s="163"/>
      <c r="F6051" s="163"/>
      <c r="G6051" s="163"/>
      <c r="H6051" s="163"/>
      <c r="I6051" s="163"/>
      <c r="J6051" s="165"/>
      <c r="K6051" s="165"/>
      <c r="L6051" s="165"/>
      <c r="M6051" s="166"/>
      <c r="N6051" s="167"/>
      <c r="O6051" s="163"/>
      <c r="P6051" s="163"/>
      <c r="Q6051" s="163"/>
      <c r="R6051" s="163"/>
      <c r="S6051" s="161"/>
      <c r="T6051" s="161"/>
      <c r="U6051" s="161"/>
      <c r="V6051" s="161"/>
      <c r="W6051" s="161"/>
      <c r="X6051" s="161"/>
      <c r="Y6051" s="161"/>
      <c r="Z6051" s="168"/>
      <c r="AA6051" s="168"/>
      <c r="AB6051" s="168"/>
      <c r="AC6051" s="168"/>
    </row>
    <row r="6052">
      <c r="A6052" s="161"/>
      <c r="B6052" s="161"/>
      <c r="C6052" s="162"/>
      <c r="D6052" s="163"/>
      <c r="E6052" s="163"/>
      <c r="F6052" s="163"/>
      <c r="G6052" s="163"/>
      <c r="H6052" s="163"/>
      <c r="I6052" s="163"/>
      <c r="J6052" s="165"/>
      <c r="K6052" s="165"/>
      <c r="L6052" s="165"/>
      <c r="M6052" s="166"/>
      <c r="N6052" s="167"/>
      <c r="O6052" s="163"/>
      <c r="P6052" s="163"/>
      <c r="Q6052" s="163"/>
      <c r="R6052" s="163"/>
      <c r="S6052" s="161"/>
      <c r="T6052" s="161"/>
      <c r="U6052" s="161"/>
      <c r="V6052" s="161"/>
      <c r="W6052" s="161"/>
      <c r="X6052" s="161"/>
      <c r="Y6052" s="161"/>
      <c r="Z6052" s="168"/>
      <c r="AA6052" s="168"/>
      <c r="AB6052" s="168"/>
      <c r="AC6052" s="168"/>
    </row>
    <row r="6053">
      <c r="A6053" s="161"/>
      <c r="B6053" s="161"/>
      <c r="C6053" s="162"/>
      <c r="D6053" s="163"/>
      <c r="E6053" s="163"/>
      <c r="F6053" s="163"/>
      <c r="G6053" s="163"/>
      <c r="H6053" s="163"/>
      <c r="I6053" s="163"/>
      <c r="J6053" s="165"/>
      <c r="K6053" s="165"/>
      <c r="L6053" s="165"/>
      <c r="M6053" s="166"/>
      <c r="N6053" s="167"/>
      <c r="O6053" s="163"/>
      <c r="P6053" s="163"/>
      <c r="Q6053" s="163"/>
      <c r="R6053" s="163"/>
      <c r="S6053" s="161"/>
      <c r="T6053" s="161"/>
      <c r="U6053" s="161"/>
      <c r="V6053" s="161"/>
      <c r="W6053" s="161"/>
      <c r="X6053" s="161"/>
      <c r="Y6053" s="161"/>
      <c r="Z6053" s="168"/>
      <c r="AA6053" s="168"/>
      <c r="AB6053" s="168"/>
      <c r="AC6053" s="168"/>
    </row>
    <row r="6054">
      <c r="A6054" s="161"/>
      <c r="B6054" s="161"/>
      <c r="C6054" s="162"/>
      <c r="D6054" s="163"/>
      <c r="E6054" s="163"/>
      <c r="F6054" s="163"/>
      <c r="G6054" s="163"/>
      <c r="H6054" s="163"/>
      <c r="I6054" s="163"/>
      <c r="J6054" s="165"/>
      <c r="K6054" s="165"/>
      <c r="L6054" s="165"/>
      <c r="M6054" s="166"/>
      <c r="N6054" s="167"/>
      <c r="O6054" s="163"/>
      <c r="P6054" s="163"/>
      <c r="Q6054" s="163"/>
      <c r="R6054" s="163"/>
      <c r="S6054" s="161"/>
      <c r="T6054" s="161"/>
      <c r="U6054" s="161"/>
      <c r="V6054" s="161"/>
      <c r="W6054" s="161"/>
      <c r="X6054" s="161"/>
      <c r="Y6054" s="161"/>
      <c r="Z6054" s="168"/>
      <c r="AA6054" s="168"/>
      <c r="AB6054" s="168"/>
      <c r="AC6054" s="168"/>
    </row>
    <row r="6055">
      <c r="A6055" s="161"/>
      <c r="B6055" s="161"/>
      <c r="C6055" s="162"/>
      <c r="D6055" s="163"/>
      <c r="E6055" s="163"/>
      <c r="F6055" s="163"/>
      <c r="G6055" s="163"/>
      <c r="H6055" s="163"/>
      <c r="I6055" s="163"/>
      <c r="J6055" s="165"/>
      <c r="K6055" s="165"/>
      <c r="L6055" s="165"/>
      <c r="M6055" s="166"/>
      <c r="N6055" s="167"/>
      <c r="O6055" s="163"/>
      <c r="P6055" s="163"/>
      <c r="Q6055" s="163"/>
      <c r="R6055" s="163"/>
      <c r="S6055" s="161"/>
      <c r="T6055" s="161"/>
      <c r="U6055" s="161"/>
      <c r="V6055" s="161"/>
      <c r="W6055" s="161"/>
      <c r="X6055" s="161"/>
      <c r="Y6055" s="161"/>
      <c r="Z6055" s="168"/>
      <c r="AA6055" s="168"/>
      <c r="AB6055" s="168"/>
      <c r="AC6055" s="168"/>
    </row>
    <row r="6056">
      <c r="A6056" s="161"/>
      <c r="B6056" s="161"/>
      <c r="C6056" s="162"/>
      <c r="D6056" s="163"/>
      <c r="E6056" s="163"/>
      <c r="F6056" s="163"/>
      <c r="G6056" s="163"/>
      <c r="H6056" s="163"/>
      <c r="I6056" s="163"/>
      <c r="J6056" s="165"/>
      <c r="K6056" s="165"/>
      <c r="L6056" s="165"/>
      <c r="M6056" s="166"/>
      <c r="N6056" s="167"/>
      <c r="O6056" s="163"/>
      <c r="P6056" s="163"/>
      <c r="Q6056" s="163"/>
      <c r="R6056" s="163"/>
      <c r="S6056" s="161"/>
      <c r="T6056" s="161"/>
      <c r="U6056" s="161"/>
      <c r="V6056" s="161"/>
      <c r="W6056" s="161"/>
      <c r="X6056" s="161"/>
      <c r="Y6056" s="161"/>
      <c r="Z6056" s="168"/>
      <c r="AA6056" s="168"/>
      <c r="AB6056" s="168"/>
      <c r="AC6056" s="168"/>
    </row>
    <row r="6057">
      <c r="A6057" s="161"/>
      <c r="B6057" s="161"/>
      <c r="C6057" s="162"/>
      <c r="D6057" s="163"/>
      <c r="E6057" s="163"/>
      <c r="F6057" s="163"/>
      <c r="G6057" s="163"/>
      <c r="H6057" s="163"/>
      <c r="I6057" s="163"/>
      <c r="J6057" s="165"/>
      <c r="K6057" s="165"/>
      <c r="L6057" s="165"/>
      <c r="M6057" s="166"/>
      <c r="N6057" s="167"/>
      <c r="O6057" s="163"/>
      <c r="P6057" s="163"/>
      <c r="Q6057" s="163"/>
      <c r="R6057" s="163"/>
      <c r="S6057" s="161"/>
      <c r="T6057" s="161"/>
      <c r="U6057" s="161"/>
      <c r="V6057" s="161"/>
      <c r="W6057" s="161"/>
      <c r="X6057" s="161"/>
      <c r="Y6057" s="161"/>
      <c r="Z6057" s="168"/>
      <c r="AA6057" s="168"/>
      <c r="AB6057" s="168"/>
      <c r="AC6057" s="168"/>
    </row>
    <row r="6058">
      <c r="A6058" s="161"/>
      <c r="B6058" s="161"/>
      <c r="C6058" s="162"/>
      <c r="D6058" s="163"/>
      <c r="E6058" s="163"/>
      <c r="F6058" s="163"/>
      <c r="G6058" s="163"/>
      <c r="H6058" s="163"/>
      <c r="I6058" s="163"/>
      <c r="J6058" s="165"/>
      <c r="K6058" s="165"/>
      <c r="L6058" s="165"/>
      <c r="M6058" s="166"/>
      <c r="N6058" s="167"/>
      <c r="O6058" s="163"/>
      <c r="P6058" s="163"/>
      <c r="Q6058" s="163"/>
      <c r="R6058" s="163"/>
      <c r="S6058" s="161"/>
      <c r="T6058" s="161"/>
      <c r="U6058" s="161"/>
      <c r="V6058" s="161"/>
      <c r="W6058" s="161"/>
      <c r="X6058" s="161"/>
      <c r="Y6058" s="161"/>
      <c r="Z6058" s="168"/>
      <c r="AA6058" s="168"/>
      <c r="AB6058" s="168"/>
      <c r="AC6058" s="168"/>
    </row>
    <row r="6059">
      <c r="A6059" s="161"/>
      <c r="B6059" s="161"/>
      <c r="C6059" s="162"/>
      <c r="D6059" s="163"/>
      <c r="E6059" s="163"/>
      <c r="F6059" s="163"/>
      <c r="G6059" s="163"/>
      <c r="H6059" s="163"/>
      <c r="I6059" s="163"/>
      <c r="J6059" s="165"/>
      <c r="K6059" s="165"/>
      <c r="L6059" s="165"/>
      <c r="M6059" s="166"/>
      <c r="N6059" s="167"/>
      <c r="O6059" s="163"/>
      <c r="P6059" s="163"/>
      <c r="Q6059" s="163"/>
      <c r="R6059" s="163"/>
      <c r="S6059" s="161"/>
      <c r="T6059" s="161"/>
      <c r="U6059" s="161"/>
      <c r="V6059" s="161"/>
      <c r="W6059" s="161"/>
      <c r="X6059" s="161"/>
      <c r="Y6059" s="161"/>
      <c r="Z6059" s="168"/>
      <c r="AA6059" s="168"/>
      <c r="AB6059" s="168"/>
      <c r="AC6059" s="168"/>
    </row>
    <row r="6060">
      <c r="A6060" s="161"/>
      <c r="B6060" s="161"/>
      <c r="C6060" s="162"/>
      <c r="D6060" s="163"/>
      <c r="E6060" s="163"/>
      <c r="F6060" s="163"/>
      <c r="G6060" s="163"/>
      <c r="H6060" s="163"/>
      <c r="I6060" s="163"/>
      <c r="J6060" s="165"/>
      <c r="K6060" s="165"/>
      <c r="L6060" s="165"/>
      <c r="M6060" s="166"/>
      <c r="N6060" s="167"/>
      <c r="O6060" s="163"/>
      <c r="P6060" s="163"/>
      <c r="Q6060" s="163"/>
      <c r="R6060" s="163"/>
      <c r="S6060" s="161"/>
      <c r="T6060" s="161"/>
      <c r="U6060" s="161"/>
      <c r="V6060" s="161"/>
      <c r="W6060" s="161"/>
      <c r="X6060" s="161"/>
      <c r="Y6060" s="161"/>
      <c r="Z6060" s="168"/>
      <c r="AA6060" s="168"/>
      <c r="AB6060" s="168"/>
      <c r="AC6060" s="168"/>
    </row>
    <row r="6061">
      <c r="A6061" s="161"/>
      <c r="B6061" s="161"/>
      <c r="C6061" s="162"/>
      <c r="D6061" s="163"/>
      <c r="E6061" s="163"/>
      <c r="F6061" s="163"/>
      <c r="G6061" s="163"/>
      <c r="H6061" s="163"/>
      <c r="I6061" s="163"/>
      <c r="J6061" s="165"/>
      <c r="K6061" s="165"/>
      <c r="L6061" s="165"/>
      <c r="M6061" s="166"/>
      <c r="N6061" s="167"/>
      <c r="O6061" s="163"/>
      <c r="P6061" s="163"/>
      <c r="Q6061" s="163"/>
      <c r="R6061" s="163"/>
      <c r="S6061" s="161"/>
      <c r="T6061" s="161"/>
      <c r="U6061" s="161"/>
      <c r="V6061" s="161"/>
      <c r="W6061" s="161"/>
      <c r="X6061" s="161"/>
      <c r="Y6061" s="161"/>
      <c r="Z6061" s="168"/>
      <c r="AA6061" s="168"/>
      <c r="AB6061" s="168"/>
      <c r="AC6061" s="168"/>
    </row>
    <row r="6062">
      <c r="A6062" s="161"/>
      <c r="B6062" s="161"/>
      <c r="C6062" s="162"/>
      <c r="D6062" s="163"/>
      <c r="E6062" s="163"/>
      <c r="F6062" s="163"/>
      <c r="G6062" s="163"/>
      <c r="H6062" s="163"/>
      <c r="I6062" s="163"/>
      <c r="J6062" s="165"/>
      <c r="K6062" s="165"/>
      <c r="L6062" s="165"/>
      <c r="M6062" s="166"/>
      <c r="N6062" s="167"/>
      <c r="O6062" s="163"/>
      <c r="P6062" s="163"/>
      <c r="Q6062" s="163"/>
      <c r="R6062" s="163"/>
      <c r="S6062" s="161"/>
      <c r="T6062" s="161"/>
      <c r="U6062" s="161"/>
      <c r="V6062" s="161"/>
      <c r="W6062" s="161"/>
      <c r="X6062" s="161"/>
      <c r="Y6062" s="161"/>
      <c r="Z6062" s="168"/>
      <c r="AA6062" s="168"/>
      <c r="AB6062" s="168"/>
      <c r="AC6062" s="168"/>
    </row>
    <row r="6063">
      <c r="A6063" s="161"/>
      <c r="B6063" s="161"/>
      <c r="C6063" s="162"/>
      <c r="D6063" s="163"/>
      <c r="E6063" s="163"/>
      <c r="F6063" s="163"/>
      <c r="G6063" s="163"/>
      <c r="H6063" s="163"/>
      <c r="I6063" s="163"/>
      <c r="J6063" s="165"/>
      <c r="K6063" s="165"/>
      <c r="L6063" s="165"/>
      <c r="M6063" s="166"/>
      <c r="N6063" s="167"/>
      <c r="O6063" s="163"/>
      <c r="P6063" s="163"/>
      <c r="Q6063" s="163"/>
      <c r="R6063" s="163"/>
      <c r="S6063" s="161"/>
      <c r="T6063" s="161"/>
      <c r="U6063" s="161"/>
      <c r="V6063" s="161"/>
      <c r="W6063" s="161"/>
      <c r="X6063" s="161"/>
      <c r="Y6063" s="161"/>
      <c r="Z6063" s="168"/>
      <c r="AA6063" s="168"/>
      <c r="AB6063" s="168"/>
      <c r="AC6063" s="168"/>
    </row>
    <row r="6064">
      <c r="A6064" s="161"/>
      <c r="B6064" s="161"/>
      <c r="C6064" s="162"/>
      <c r="D6064" s="163"/>
      <c r="E6064" s="163"/>
      <c r="F6064" s="163"/>
      <c r="G6064" s="163"/>
      <c r="H6064" s="163"/>
      <c r="I6064" s="163"/>
      <c r="J6064" s="165"/>
      <c r="K6064" s="165"/>
      <c r="L6064" s="165"/>
      <c r="M6064" s="166"/>
      <c r="N6064" s="167"/>
      <c r="O6064" s="163"/>
      <c r="P6064" s="163"/>
      <c r="Q6064" s="163"/>
      <c r="R6064" s="163"/>
      <c r="S6064" s="161"/>
      <c r="T6064" s="161"/>
      <c r="U6064" s="161"/>
      <c r="V6064" s="161"/>
      <c r="W6064" s="161"/>
      <c r="X6064" s="161"/>
      <c r="Y6064" s="161"/>
      <c r="Z6064" s="168"/>
      <c r="AA6064" s="168"/>
      <c r="AB6064" s="168"/>
      <c r="AC6064" s="168"/>
    </row>
    <row r="6065">
      <c r="A6065" s="161"/>
      <c r="B6065" s="161"/>
      <c r="C6065" s="162"/>
      <c r="D6065" s="163"/>
      <c r="E6065" s="163"/>
      <c r="F6065" s="163"/>
      <c r="G6065" s="163"/>
      <c r="H6065" s="163"/>
      <c r="I6065" s="163"/>
      <c r="J6065" s="165"/>
      <c r="K6065" s="165"/>
      <c r="L6065" s="165"/>
      <c r="M6065" s="166"/>
      <c r="N6065" s="167"/>
      <c r="O6065" s="163"/>
      <c r="P6065" s="163"/>
      <c r="Q6065" s="163"/>
      <c r="R6065" s="163"/>
      <c r="S6065" s="161"/>
      <c r="T6065" s="161"/>
      <c r="U6065" s="161"/>
      <c r="V6065" s="161"/>
      <c r="W6065" s="161"/>
      <c r="X6065" s="161"/>
      <c r="Y6065" s="161"/>
      <c r="Z6065" s="168"/>
      <c r="AA6065" s="168"/>
      <c r="AB6065" s="168"/>
      <c r="AC6065" s="168"/>
    </row>
    <row r="6066">
      <c r="A6066" s="161"/>
      <c r="B6066" s="161"/>
      <c r="C6066" s="162"/>
      <c r="D6066" s="163"/>
      <c r="E6066" s="163"/>
      <c r="F6066" s="163"/>
      <c r="G6066" s="163"/>
      <c r="H6066" s="163"/>
      <c r="I6066" s="163"/>
      <c r="J6066" s="165"/>
      <c r="K6066" s="165"/>
      <c r="L6066" s="165"/>
      <c r="M6066" s="166"/>
      <c r="N6066" s="167"/>
      <c r="O6066" s="163"/>
      <c r="P6066" s="163"/>
      <c r="Q6066" s="163"/>
      <c r="R6066" s="163"/>
      <c r="S6066" s="161"/>
      <c r="T6066" s="161"/>
      <c r="U6066" s="161"/>
      <c r="V6066" s="161"/>
      <c r="W6066" s="161"/>
      <c r="X6066" s="161"/>
      <c r="Y6066" s="161"/>
      <c r="Z6066" s="168"/>
      <c r="AA6066" s="168"/>
      <c r="AB6066" s="168"/>
      <c r="AC6066" s="168"/>
    </row>
    <row r="6067">
      <c r="A6067" s="161"/>
      <c r="B6067" s="161"/>
      <c r="C6067" s="162"/>
      <c r="D6067" s="163"/>
      <c r="E6067" s="163"/>
      <c r="F6067" s="163"/>
      <c r="G6067" s="163"/>
      <c r="H6067" s="163"/>
      <c r="I6067" s="163"/>
      <c r="J6067" s="165"/>
      <c r="K6067" s="165"/>
      <c r="L6067" s="165"/>
      <c r="M6067" s="166"/>
      <c r="N6067" s="167"/>
      <c r="O6067" s="163"/>
      <c r="P6067" s="163"/>
      <c r="Q6067" s="163"/>
      <c r="R6067" s="163"/>
      <c r="S6067" s="161"/>
      <c r="T6067" s="161"/>
      <c r="U6067" s="161"/>
      <c r="V6067" s="161"/>
      <c r="W6067" s="161"/>
      <c r="X6067" s="161"/>
      <c r="Y6067" s="161"/>
      <c r="Z6067" s="168"/>
      <c r="AA6067" s="168"/>
      <c r="AB6067" s="168"/>
      <c r="AC6067" s="168"/>
    </row>
    <row r="6068">
      <c r="A6068" s="161"/>
      <c r="B6068" s="161"/>
      <c r="C6068" s="162"/>
      <c r="D6068" s="163"/>
      <c r="E6068" s="163"/>
      <c r="F6068" s="163"/>
      <c r="G6068" s="163"/>
      <c r="H6068" s="163"/>
      <c r="I6068" s="163"/>
      <c r="J6068" s="165"/>
      <c r="K6068" s="165"/>
      <c r="L6068" s="165"/>
      <c r="M6068" s="166"/>
      <c r="N6068" s="167"/>
      <c r="O6068" s="163"/>
      <c r="P6068" s="163"/>
      <c r="Q6068" s="163"/>
      <c r="R6068" s="163"/>
      <c r="S6068" s="161"/>
      <c r="T6068" s="161"/>
      <c r="U6068" s="161"/>
      <c r="V6068" s="161"/>
      <c r="W6068" s="161"/>
      <c r="X6068" s="161"/>
      <c r="Y6068" s="161"/>
      <c r="Z6068" s="168"/>
      <c r="AA6068" s="168"/>
      <c r="AB6068" s="168"/>
      <c r="AC6068" s="168"/>
    </row>
    <row r="6069">
      <c r="A6069" s="161"/>
      <c r="B6069" s="161"/>
      <c r="C6069" s="162"/>
      <c r="D6069" s="163"/>
      <c r="E6069" s="163"/>
      <c r="F6069" s="163"/>
      <c r="G6069" s="163"/>
      <c r="H6069" s="163"/>
      <c r="I6069" s="163"/>
      <c r="J6069" s="165"/>
      <c r="K6069" s="165"/>
      <c r="L6069" s="165"/>
      <c r="M6069" s="166"/>
      <c r="N6069" s="167"/>
      <c r="O6069" s="163"/>
      <c r="P6069" s="163"/>
      <c r="Q6069" s="163"/>
      <c r="R6069" s="163"/>
      <c r="S6069" s="161"/>
      <c r="T6069" s="161"/>
      <c r="U6069" s="161"/>
      <c r="V6069" s="161"/>
      <c r="W6069" s="161"/>
      <c r="X6069" s="161"/>
      <c r="Y6069" s="161"/>
      <c r="Z6069" s="168"/>
      <c r="AA6069" s="168"/>
      <c r="AB6069" s="168"/>
      <c r="AC6069" s="168"/>
    </row>
    <row r="6070">
      <c r="A6070" s="161"/>
      <c r="B6070" s="161"/>
      <c r="C6070" s="162"/>
      <c r="D6070" s="163"/>
      <c r="E6070" s="163"/>
      <c r="F6070" s="163"/>
      <c r="G6070" s="163"/>
      <c r="H6070" s="163"/>
      <c r="I6070" s="163"/>
      <c r="J6070" s="165"/>
      <c r="K6070" s="165"/>
      <c r="L6070" s="165"/>
      <c r="M6070" s="166"/>
      <c r="N6070" s="167"/>
      <c r="O6070" s="163"/>
      <c r="P6070" s="163"/>
      <c r="Q6070" s="163"/>
      <c r="R6070" s="163"/>
      <c r="S6070" s="161"/>
      <c r="T6070" s="161"/>
      <c r="U6070" s="161"/>
      <c r="V6070" s="161"/>
      <c r="W6070" s="161"/>
      <c r="X6070" s="161"/>
      <c r="Y6070" s="161"/>
      <c r="Z6070" s="168"/>
      <c r="AA6070" s="168"/>
      <c r="AB6070" s="168"/>
      <c r="AC6070" s="168"/>
    </row>
    <row r="6071">
      <c r="A6071" s="161"/>
      <c r="B6071" s="161"/>
      <c r="C6071" s="162"/>
      <c r="D6071" s="163"/>
      <c r="E6071" s="163"/>
      <c r="F6071" s="163"/>
      <c r="G6071" s="163"/>
      <c r="H6071" s="163"/>
      <c r="I6071" s="163"/>
      <c r="J6071" s="165"/>
      <c r="K6071" s="165"/>
      <c r="L6071" s="165"/>
      <c r="M6071" s="166"/>
      <c r="N6071" s="167"/>
      <c r="O6071" s="163"/>
      <c r="P6071" s="163"/>
      <c r="Q6071" s="163"/>
      <c r="R6071" s="163"/>
      <c r="S6071" s="161"/>
      <c r="T6071" s="161"/>
      <c r="U6071" s="161"/>
      <c r="V6071" s="161"/>
      <c r="W6071" s="161"/>
      <c r="X6071" s="161"/>
      <c r="Y6071" s="161"/>
      <c r="Z6071" s="168"/>
      <c r="AA6071" s="168"/>
      <c r="AB6071" s="168"/>
      <c r="AC6071" s="168"/>
    </row>
    <row r="6072">
      <c r="A6072" s="161"/>
      <c r="B6072" s="161"/>
      <c r="C6072" s="162"/>
      <c r="D6072" s="163"/>
      <c r="E6072" s="163"/>
      <c r="F6072" s="163"/>
      <c r="G6072" s="163"/>
      <c r="H6072" s="163"/>
      <c r="I6072" s="163"/>
      <c r="J6072" s="165"/>
      <c r="K6072" s="165"/>
      <c r="L6072" s="165"/>
      <c r="M6072" s="166"/>
      <c r="N6072" s="167"/>
      <c r="O6072" s="163"/>
      <c r="P6072" s="163"/>
      <c r="Q6072" s="163"/>
      <c r="R6072" s="163"/>
      <c r="S6072" s="161"/>
      <c r="T6072" s="161"/>
      <c r="U6072" s="161"/>
      <c r="V6072" s="161"/>
      <c r="W6072" s="161"/>
      <c r="X6072" s="161"/>
      <c r="Y6072" s="161"/>
      <c r="Z6072" s="168"/>
      <c r="AA6072" s="168"/>
      <c r="AB6072" s="168"/>
      <c r="AC6072" s="168"/>
    </row>
    <row r="6073">
      <c r="A6073" s="161"/>
      <c r="B6073" s="161"/>
      <c r="C6073" s="162"/>
      <c r="D6073" s="163"/>
      <c r="E6073" s="163"/>
      <c r="F6073" s="163"/>
      <c r="G6073" s="163"/>
      <c r="H6073" s="163"/>
      <c r="I6073" s="163"/>
      <c r="J6073" s="165"/>
      <c r="K6073" s="165"/>
      <c r="L6073" s="165"/>
      <c r="M6073" s="166"/>
      <c r="N6073" s="167"/>
      <c r="O6073" s="163"/>
      <c r="P6073" s="163"/>
      <c r="Q6073" s="163"/>
      <c r="R6073" s="163"/>
      <c r="S6073" s="161"/>
      <c r="T6073" s="161"/>
      <c r="U6073" s="161"/>
      <c r="V6073" s="161"/>
      <c r="W6073" s="161"/>
      <c r="X6073" s="161"/>
      <c r="Y6073" s="161"/>
      <c r="Z6073" s="168"/>
      <c r="AA6073" s="168"/>
      <c r="AB6073" s="168"/>
      <c r="AC6073" s="168"/>
    </row>
    <row r="6074">
      <c r="A6074" s="161"/>
      <c r="B6074" s="161"/>
      <c r="C6074" s="162"/>
      <c r="D6074" s="163"/>
      <c r="E6074" s="163"/>
      <c r="F6074" s="163"/>
      <c r="G6074" s="163"/>
      <c r="H6074" s="163"/>
      <c r="I6074" s="163"/>
      <c r="J6074" s="165"/>
      <c r="K6074" s="165"/>
      <c r="L6074" s="165"/>
      <c r="M6074" s="166"/>
      <c r="N6074" s="167"/>
      <c r="O6074" s="163"/>
      <c r="P6074" s="163"/>
      <c r="Q6074" s="163"/>
      <c r="R6074" s="163"/>
      <c r="S6074" s="161"/>
      <c r="T6074" s="161"/>
      <c r="U6074" s="161"/>
      <c r="V6074" s="161"/>
      <c r="W6074" s="161"/>
      <c r="X6074" s="161"/>
      <c r="Y6074" s="161"/>
      <c r="Z6074" s="168"/>
      <c r="AA6074" s="168"/>
      <c r="AB6074" s="168"/>
      <c r="AC6074" s="168"/>
    </row>
    <row r="6075">
      <c r="A6075" s="161"/>
      <c r="B6075" s="161"/>
      <c r="C6075" s="162"/>
      <c r="D6075" s="163"/>
      <c r="E6075" s="163"/>
      <c r="F6075" s="163"/>
      <c r="G6075" s="163"/>
      <c r="H6075" s="163"/>
      <c r="I6075" s="163"/>
      <c r="J6075" s="165"/>
      <c r="K6075" s="165"/>
      <c r="L6075" s="165"/>
      <c r="M6075" s="166"/>
      <c r="N6075" s="167"/>
      <c r="O6075" s="163"/>
      <c r="P6075" s="163"/>
      <c r="Q6075" s="163"/>
      <c r="R6075" s="163"/>
      <c r="S6075" s="161"/>
      <c r="T6075" s="161"/>
      <c r="U6075" s="161"/>
      <c r="V6075" s="161"/>
      <c r="W6075" s="161"/>
      <c r="X6075" s="161"/>
      <c r="Y6075" s="161"/>
      <c r="Z6075" s="168"/>
      <c r="AA6075" s="168"/>
      <c r="AB6075" s="168"/>
      <c r="AC6075" s="168"/>
    </row>
    <row r="6076">
      <c r="A6076" s="161"/>
      <c r="B6076" s="161"/>
      <c r="C6076" s="162"/>
      <c r="D6076" s="163"/>
      <c r="E6076" s="163"/>
      <c r="F6076" s="163"/>
      <c r="G6076" s="163"/>
      <c r="H6076" s="163"/>
      <c r="I6076" s="163"/>
      <c r="J6076" s="165"/>
      <c r="K6076" s="165"/>
      <c r="L6076" s="165"/>
      <c r="M6076" s="166"/>
      <c r="N6076" s="167"/>
      <c r="O6076" s="163"/>
      <c r="P6076" s="163"/>
      <c r="Q6076" s="163"/>
      <c r="R6076" s="163"/>
      <c r="S6076" s="161"/>
      <c r="T6076" s="161"/>
      <c r="U6076" s="161"/>
      <c r="V6076" s="161"/>
      <c r="W6076" s="161"/>
      <c r="X6076" s="161"/>
      <c r="Y6076" s="161"/>
      <c r="Z6076" s="168"/>
      <c r="AA6076" s="168"/>
      <c r="AB6076" s="168"/>
      <c r="AC6076" s="168"/>
    </row>
    <row r="6077">
      <c r="A6077" s="161"/>
      <c r="B6077" s="161"/>
      <c r="C6077" s="162"/>
      <c r="D6077" s="163"/>
      <c r="E6077" s="163"/>
      <c r="F6077" s="163"/>
      <c r="G6077" s="163"/>
      <c r="H6077" s="163"/>
      <c r="I6077" s="163"/>
      <c r="J6077" s="165"/>
      <c r="K6077" s="165"/>
      <c r="L6077" s="165"/>
      <c r="M6077" s="166"/>
      <c r="N6077" s="167"/>
      <c r="O6077" s="163"/>
      <c r="P6077" s="163"/>
      <c r="Q6077" s="163"/>
      <c r="R6077" s="163"/>
      <c r="S6077" s="161"/>
      <c r="T6077" s="161"/>
      <c r="U6077" s="161"/>
      <c r="V6077" s="161"/>
      <c r="W6077" s="161"/>
      <c r="X6077" s="161"/>
      <c r="Y6077" s="161"/>
      <c r="Z6077" s="168"/>
      <c r="AA6077" s="168"/>
      <c r="AB6077" s="168"/>
      <c r="AC6077" s="168"/>
    </row>
    <row r="6078">
      <c r="A6078" s="161"/>
      <c r="B6078" s="161"/>
      <c r="C6078" s="162"/>
      <c r="D6078" s="163"/>
      <c r="E6078" s="163"/>
      <c r="F6078" s="163"/>
      <c r="G6078" s="163"/>
      <c r="H6078" s="163"/>
      <c r="I6078" s="163"/>
      <c r="J6078" s="165"/>
      <c r="K6078" s="165"/>
      <c r="L6078" s="165"/>
      <c r="M6078" s="166"/>
      <c r="N6078" s="167"/>
      <c r="O6078" s="163"/>
      <c r="P6078" s="163"/>
      <c r="Q6078" s="163"/>
      <c r="R6078" s="163"/>
      <c r="S6078" s="161"/>
      <c r="T6078" s="161"/>
      <c r="U6078" s="161"/>
      <c r="V6078" s="161"/>
      <c r="W6078" s="161"/>
      <c r="X6078" s="161"/>
      <c r="Y6078" s="161"/>
      <c r="Z6078" s="168"/>
      <c r="AA6078" s="168"/>
      <c r="AB6078" s="168"/>
      <c r="AC6078" s="168"/>
    </row>
    <row r="6079">
      <c r="A6079" s="161"/>
      <c r="B6079" s="161"/>
      <c r="C6079" s="162"/>
      <c r="D6079" s="163"/>
      <c r="E6079" s="163"/>
      <c r="F6079" s="163"/>
      <c r="G6079" s="163"/>
      <c r="H6079" s="163"/>
      <c r="I6079" s="163"/>
      <c r="J6079" s="165"/>
      <c r="K6079" s="165"/>
      <c r="L6079" s="165"/>
      <c r="M6079" s="166"/>
      <c r="N6079" s="167"/>
      <c r="O6079" s="163"/>
      <c r="P6079" s="163"/>
      <c r="Q6079" s="163"/>
      <c r="R6079" s="163"/>
      <c r="S6079" s="161"/>
      <c r="T6079" s="161"/>
      <c r="U6079" s="161"/>
      <c r="V6079" s="161"/>
      <c r="W6079" s="161"/>
      <c r="X6079" s="161"/>
      <c r="Y6079" s="161"/>
      <c r="Z6079" s="168"/>
      <c r="AA6079" s="168"/>
      <c r="AB6079" s="168"/>
      <c r="AC6079" s="168"/>
    </row>
    <row r="6080">
      <c r="A6080" s="161"/>
      <c r="B6080" s="161"/>
      <c r="C6080" s="162"/>
      <c r="D6080" s="163"/>
      <c r="E6080" s="163"/>
      <c r="F6080" s="163"/>
      <c r="G6080" s="163"/>
      <c r="H6080" s="163"/>
      <c r="I6080" s="163"/>
      <c r="J6080" s="165"/>
      <c r="K6080" s="165"/>
      <c r="L6080" s="165"/>
      <c r="M6080" s="166"/>
      <c r="N6080" s="167"/>
      <c r="O6080" s="163"/>
      <c r="P6080" s="163"/>
      <c r="Q6080" s="163"/>
      <c r="R6080" s="163"/>
      <c r="S6080" s="161"/>
      <c r="T6080" s="161"/>
      <c r="U6080" s="161"/>
      <c r="V6080" s="161"/>
      <c r="W6080" s="161"/>
      <c r="X6080" s="161"/>
      <c r="Y6080" s="161"/>
      <c r="Z6080" s="168"/>
      <c r="AA6080" s="168"/>
      <c r="AB6080" s="168"/>
      <c r="AC6080" s="168"/>
    </row>
    <row r="6081">
      <c r="A6081" s="161"/>
      <c r="B6081" s="161"/>
      <c r="C6081" s="162"/>
      <c r="D6081" s="163"/>
      <c r="E6081" s="163"/>
      <c r="F6081" s="163"/>
      <c r="G6081" s="163"/>
      <c r="H6081" s="163"/>
      <c r="I6081" s="163"/>
      <c r="J6081" s="165"/>
      <c r="K6081" s="165"/>
      <c r="L6081" s="165"/>
      <c r="M6081" s="166"/>
      <c r="N6081" s="167"/>
      <c r="O6081" s="163"/>
      <c r="P6081" s="163"/>
      <c r="Q6081" s="163"/>
      <c r="R6081" s="163"/>
      <c r="S6081" s="161"/>
      <c r="T6081" s="161"/>
      <c r="U6081" s="161"/>
      <c r="V6081" s="161"/>
      <c r="W6081" s="161"/>
      <c r="X6081" s="161"/>
      <c r="Y6081" s="161"/>
      <c r="Z6081" s="168"/>
      <c r="AA6081" s="168"/>
      <c r="AB6081" s="168"/>
      <c r="AC6081" s="168"/>
    </row>
    <row r="6082">
      <c r="A6082" s="161"/>
      <c r="B6082" s="161"/>
      <c r="C6082" s="162"/>
      <c r="D6082" s="163"/>
      <c r="E6082" s="163"/>
      <c r="F6082" s="163"/>
      <c r="G6082" s="163"/>
      <c r="H6082" s="163"/>
      <c r="I6082" s="163"/>
      <c r="J6082" s="165"/>
      <c r="K6082" s="165"/>
      <c r="L6082" s="165"/>
      <c r="M6082" s="166"/>
      <c r="N6082" s="167"/>
      <c r="O6082" s="163"/>
      <c r="P6082" s="163"/>
      <c r="Q6082" s="163"/>
      <c r="R6082" s="163"/>
      <c r="S6082" s="161"/>
      <c r="T6082" s="161"/>
      <c r="U6082" s="161"/>
      <c r="V6082" s="161"/>
      <c r="W6082" s="161"/>
      <c r="X6082" s="161"/>
      <c r="Y6082" s="161"/>
      <c r="Z6082" s="168"/>
      <c r="AA6082" s="168"/>
      <c r="AB6082" s="168"/>
      <c r="AC6082" s="168"/>
    </row>
    <row r="6083">
      <c r="A6083" s="161"/>
      <c r="B6083" s="161"/>
      <c r="C6083" s="162"/>
      <c r="D6083" s="163"/>
      <c r="E6083" s="163"/>
      <c r="F6083" s="163"/>
      <c r="G6083" s="163"/>
      <c r="H6083" s="163"/>
      <c r="I6083" s="163"/>
      <c r="J6083" s="165"/>
      <c r="K6083" s="165"/>
      <c r="L6083" s="165"/>
      <c r="M6083" s="166"/>
      <c r="N6083" s="167"/>
      <c r="O6083" s="163"/>
      <c r="P6083" s="163"/>
      <c r="Q6083" s="163"/>
      <c r="R6083" s="163"/>
      <c r="S6083" s="161"/>
      <c r="T6083" s="161"/>
      <c r="U6083" s="161"/>
      <c r="V6083" s="161"/>
      <c r="W6083" s="161"/>
      <c r="X6083" s="161"/>
      <c r="Y6083" s="161"/>
      <c r="Z6083" s="168"/>
      <c r="AA6083" s="168"/>
      <c r="AB6083" s="168"/>
      <c r="AC6083" s="168"/>
    </row>
    <row r="6084">
      <c r="A6084" s="161"/>
      <c r="B6084" s="161"/>
      <c r="C6084" s="162"/>
      <c r="D6084" s="163"/>
      <c r="E6084" s="163"/>
      <c r="F6084" s="163"/>
      <c r="G6084" s="163"/>
      <c r="H6084" s="163"/>
      <c r="I6084" s="163"/>
      <c r="J6084" s="165"/>
      <c r="K6084" s="165"/>
      <c r="L6084" s="165"/>
      <c r="M6084" s="166"/>
      <c r="N6084" s="167"/>
      <c r="O6084" s="163"/>
      <c r="P6084" s="163"/>
      <c r="Q6084" s="163"/>
      <c r="R6084" s="163"/>
      <c r="S6084" s="161"/>
      <c r="T6084" s="161"/>
      <c r="U6084" s="161"/>
      <c r="V6084" s="161"/>
      <c r="W6084" s="161"/>
      <c r="X6084" s="161"/>
      <c r="Y6084" s="161"/>
      <c r="Z6084" s="168"/>
      <c r="AA6084" s="168"/>
      <c r="AB6084" s="168"/>
      <c r="AC6084" s="168"/>
    </row>
    <row r="6085">
      <c r="A6085" s="161"/>
      <c r="B6085" s="161"/>
      <c r="C6085" s="162"/>
      <c r="D6085" s="163"/>
      <c r="E6085" s="163"/>
      <c r="F6085" s="163"/>
      <c r="G6085" s="163"/>
      <c r="H6085" s="163"/>
      <c r="I6085" s="163"/>
      <c r="J6085" s="165"/>
      <c r="K6085" s="165"/>
      <c r="L6085" s="165"/>
      <c r="M6085" s="166"/>
      <c r="N6085" s="167"/>
      <c r="O6085" s="163"/>
      <c r="P6085" s="163"/>
      <c r="Q6085" s="163"/>
      <c r="R6085" s="163"/>
      <c r="S6085" s="161"/>
      <c r="T6085" s="161"/>
      <c r="U6085" s="161"/>
      <c r="V6085" s="161"/>
      <c r="W6085" s="161"/>
      <c r="X6085" s="161"/>
      <c r="Y6085" s="161"/>
      <c r="Z6085" s="168"/>
      <c r="AA6085" s="168"/>
      <c r="AB6085" s="168"/>
      <c r="AC6085" s="168"/>
    </row>
    <row r="6086">
      <c r="A6086" s="161"/>
      <c r="B6086" s="161"/>
      <c r="C6086" s="162"/>
      <c r="D6086" s="163"/>
      <c r="E6086" s="163"/>
      <c r="F6086" s="163"/>
      <c r="G6086" s="163"/>
      <c r="H6086" s="163"/>
      <c r="I6086" s="163"/>
      <c r="J6086" s="165"/>
      <c r="K6086" s="165"/>
      <c r="L6086" s="165"/>
      <c r="M6086" s="166"/>
      <c r="N6086" s="167"/>
      <c r="O6086" s="163"/>
      <c r="P6086" s="163"/>
      <c r="Q6086" s="163"/>
      <c r="R6086" s="163"/>
      <c r="S6086" s="161"/>
      <c r="T6086" s="161"/>
      <c r="U6086" s="161"/>
      <c r="V6086" s="161"/>
      <c r="W6086" s="161"/>
      <c r="X6086" s="161"/>
      <c r="Y6086" s="161"/>
      <c r="Z6086" s="168"/>
      <c r="AA6086" s="168"/>
      <c r="AB6086" s="168"/>
      <c r="AC6086" s="168"/>
    </row>
    <row r="6087">
      <c r="A6087" s="161"/>
      <c r="B6087" s="161"/>
      <c r="C6087" s="162"/>
      <c r="D6087" s="163"/>
      <c r="E6087" s="163"/>
      <c r="F6087" s="163"/>
      <c r="G6087" s="163"/>
      <c r="H6087" s="163"/>
      <c r="I6087" s="163"/>
      <c r="J6087" s="165"/>
      <c r="K6087" s="165"/>
      <c r="L6087" s="165"/>
      <c r="M6087" s="166"/>
      <c r="N6087" s="167"/>
      <c r="O6087" s="163"/>
      <c r="P6087" s="163"/>
      <c r="Q6087" s="163"/>
      <c r="R6087" s="163"/>
      <c r="S6087" s="161"/>
      <c r="T6087" s="161"/>
      <c r="U6087" s="161"/>
      <c r="V6087" s="161"/>
      <c r="W6087" s="161"/>
      <c r="X6087" s="161"/>
      <c r="Y6087" s="161"/>
      <c r="Z6087" s="168"/>
      <c r="AA6087" s="168"/>
      <c r="AB6087" s="168"/>
      <c r="AC6087" s="168"/>
    </row>
    <row r="6088">
      <c r="A6088" s="161"/>
      <c r="B6088" s="161"/>
      <c r="C6088" s="162"/>
      <c r="D6088" s="163"/>
      <c r="E6088" s="163"/>
      <c r="F6088" s="163"/>
      <c r="G6088" s="163"/>
      <c r="H6088" s="163"/>
      <c r="I6088" s="163"/>
      <c r="J6088" s="165"/>
      <c r="K6088" s="165"/>
      <c r="L6088" s="165"/>
      <c r="M6088" s="166"/>
      <c r="N6088" s="167"/>
      <c r="O6088" s="163"/>
      <c r="P6088" s="163"/>
      <c r="Q6088" s="163"/>
      <c r="R6088" s="163"/>
      <c r="S6088" s="161"/>
      <c r="T6088" s="161"/>
      <c r="U6088" s="161"/>
      <c r="V6088" s="161"/>
      <c r="W6088" s="161"/>
      <c r="X6088" s="161"/>
      <c r="Y6088" s="161"/>
      <c r="Z6088" s="168"/>
      <c r="AA6088" s="168"/>
      <c r="AB6088" s="168"/>
      <c r="AC6088" s="168"/>
    </row>
    <row r="6089">
      <c r="A6089" s="161"/>
      <c r="B6089" s="161"/>
      <c r="C6089" s="162"/>
      <c r="D6089" s="163"/>
      <c r="E6089" s="163"/>
      <c r="F6089" s="163"/>
      <c r="G6089" s="163"/>
      <c r="H6089" s="163"/>
      <c r="I6089" s="163"/>
      <c r="J6089" s="165"/>
      <c r="K6089" s="165"/>
      <c r="L6089" s="165"/>
      <c r="M6089" s="166"/>
      <c r="N6089" s="167"/>
      <c r="O6089" s="163"/>
      <c r="P6089" s="163"/>
      <c r="Q6089" s="163"/>
      <c r="R6089" s="163"/>
      <c r="S6089" s="161"/>
      <c r="T6089" s="161"/>
      <c r="U6089" s="161"/>
      <c r="V6089" s="161"/>
      <c r="W6089" s="161"/>
      <c r="X6089" s="161"/>
      <c r="Y6089" s="161"/>
      <c r="Z6089" s="168"/>
      <c r="AA6089" s="168"/>
      <c r="AB6089" s="168"/>
      <c r="AC6089" s="168"/>
    </row>
    <row r="6090">
      <c r="A6090" s="161"/>
      <c r="B6090" s="161"/>
      <c r="C6090" s="162"/>
      <c r="D6090" s="163"/>
      <c r="E6090" s="163"/>
      <c r="F6090" s="163"/>
      <c r="G6090" s="163"/>
      <c r="H6090" s="163"/>
      <c r="I6090" s="163"/>
      <c r="J6090" s="165"/>
      <c r="K6090" s="165"/>
      <c r="L6090" s="165"/>
      <c r="M6090" s="166"/>
      <c r="N6090" s="167"/>
      <c r="O6090" s="163"/>
      <c r="P6090" s="163"/>
      <c r="Q6090" s="163"/>
      <c r="R6090" s="163"/>
      <c r="S6090" s="161"/>
      <c r="T6090" s="161"/>
      <c r="U6090" s="161"/>
      <c r="V6090" s="161"/>
      <c r="W6090" s="161"/>
      <c r="X6090" s="161"/>
      <c r="Y6090" s="161"/>
      <c r="Z6090" s="168"/>
      <c r="AA6090" s="168"/>
      <c r="AB6090" s="168"/>
      <c r="AC6090" s="168"/>
    </row>
    <row r="6091">
      <c r="A6091" s="161"/>
      <c r="B6091" s="161"/>
      <c r="C6091" s="162"/>
      <c r="D6091" s="163"/>
      <c r="E6091" s="163"/>
      <c r="F6091" s="163"/>
      <c r="G6091" s="163"/>
      <c r="H6091" s="163"/>
      <c r="I6091" s="163"/>
      <c r="J6091" s="165"/>
      <c r="K6091" s="165"/>
      <c r="L6091" s="165"/>
      <c r="M6091" s="166"/>
      <c r="N6091" s="167"/>
      <c r="O6091" s="163"/>
      <c r="P6091" s="163"/>
      <c r="Q6091" s="163"/>
      <c r="R6091" s="163"/>
      <c r="S6091" s="161"/>
      <c r="T6091" s="161"/>
      <c r="U6091" s="161"/>
      <c r="V6091" s="161"/>
      <c r="W6091" s="161"/>
      <c r="X6091" s="161"/>
      <c r="Y6091" s="161"/>
      <c r="Z6091" s="168"/>
      <c r="AA6091" s="168"/>
      <c r="AB6091" s="168"/>
      <c r="AC6091" s="168"/>
    </row>
    <row r="6092">
      <c r="A6092" s="161"/>
      <c r="B6092" s="161"/>
      <c r="C6092" s="162"/>
      <c r="D6092" s="163"/>
      <c r="E6092" s="163"/>
      <c r="F6092" s="163"/>
      <c r="G6092" s="163"/>
      <c r="H6092" s="163"/>
      <c r="I6092" s="163"/>
      <c r="J6092" s="165"/>
      <c r="K6092" s="165"/>
      <c r="L6092" s="165"/>
      <c r="M6092" s="166"/>
      <c r="N6092" s="167"/>
      <c r="O6092" s="163"/>
      <c r="P6092" s="163"/>
      <c r="Q6092" s="163"/>
      <c r="R6092" s="163"/>
      <c r="S6092" s="161"/>
      <c r="T6092" s="161"/>
      <c r="U6092" s="161"/>
      <c r="V6092" s="161"/>
      <c r="W6092" s="161"/>
      <c r="X6092" s="161"/>
      <c r="Y6092" s="161"/>
      <c r="Z6092" s="168"/>
      <c r="AA6092" s="168"/>
      <c r="AB6092" s="168"/>
      <c r="AC6092" s="168"/>
    </row>
    <row r="6093">
      <c r="A6093" s="161"/>
      <c r="B6093" s="161"/>
      <c r="C6093" s="162"/>
      <c r="D6093" s="163"/>
      <c r="E6093" s="163"/>
      <c r="F6093" s="163"/>
      <c r="G6093" s="163"/>
      <c r="H6093" s="163"/>
      <c r="I6093" s="163"/>
      <c r="J6093" s="165"/>
      <c r="K6093" s="165"/>
      <c r="L6093" s="165"/>
      <c r="M6093" s="166"/>
      <c r="N6093" s="167"/>
      <c r="O6093" s="163"/>
      <c r="P6093" s="163"/>
      <c r="Q6093" s="163"/>
      <c r="R6093" s="163"/>
      <c r="S6093" s="161"/>
      <c r="T6093" s="161"/>
      <c r="U6093" s="161"/>
      <c r="V6093" s="161"/>
      <c r="W6093" s="161"/>
      <c r="X6093" s="161"/>
      <c r="Y6093" s="161"/>
      <c r="Z6093" s="168"/>
      <c r="AA6093" s="168"/>
      <c r="AB6093" s="168"/>
      <c r="AC6093" s="168"/>
    </row>
    <row r="6094">
      <c r="A6094" s="161"/>
      <c r="B6094" s="161"/>
      <c r="C6094" s="162"/>
      <c r="D6094" s="163"/>
      <c r="E6094" s="163"/>
      <c r="F6094" s="163"/>
      <c r="G6094" s="163"/>
      <c r="H6094" s="163"/>
      <c r="I6094" s="163"/>
      <c r="J6094" s="165"/>
      <c r="K6094" s="165"/>
      <c r="L6094" s="165"/>
      <c r="M6094" s="166"/>
      <c r="N6094" s="167"/>
      <c r="O6094" s="163"/>
      <c r="P6094" s="163"/>
      <c r="Q6094" s="163"/>
      <c r="R6094" s="163"/>
      <c r="S6094" s="161"/>
      <c r="T6094" s="161"/>
      <c r="U6094" s="161"/>
      <c r="V6094" s="161"/>
      <c r="W6094" s="161"/>
      <c r="X6094" s="161"/>
      <c r="Y6094" s="161"/>
      <c r="Z6094" s="168"/>
      <c r="AA6094" s="168"/>
      <c r="AB6094" s="168"/>
      <c r="AC6094" s="168"/>
    </row>
    <row r="6095">
      <c r="A6095" s="161"/>
      <c r="B6095" s="161"/>
      <c r="C6095" s="162"/>
      <c r="D6095" s="163"/>
      <c r="E6095" s="163"/>
      <c r="F6095" s="163"/>
      <c r="G6095" s="163"/>
      <c r="H6095" s="163"/>
      <c r="I6095" s="163"/>
      <c r="J6095" s="165"/>
      <c r="K6095" s="165"/>
      <c r="L6095" s="165"/>
      <c r="M6095" s="166"/>
      <c r="N6095" s="167"/>
      <c r="O6095" s="163"/>
      <c r="P6095" s="163"/>
      <c r="Q6095" s="163"/>
      <c r="R6095" s="163"/>
      <c r="S6095" s="161"/>
      <c r="T6095" s="161"/>
      <c r="U6095" s="161"/>
      <c r="V6095" s="161"/>
      <c r="W6095" s="161"/>
      <c r="X6095" s="161"/>
      <c r="Y6095" s="161"/>
      <c r="Z6095" s="168"/>
      <c r="AA6095" s="168"/>
      <c r="AB6095" s="168"/>
      <c r="AC6095" s="168"/>
    </row>
    <row r="6096">
      <c r="A6096" s="161"/>
      <c r="B6096" s="161"/>
      <c r="C6096" s="162"/>
      <c r="D6096" s="163"/>
      <c r="E6096" s="163"/>
      <c r="F6096" s="163"/>
      <c r="G6096" s="163"/>
      <c r="H6096" s="163"/>
      <c r="I6096" s="163"/>
      <c r="J6096" s="165"/>
      <c r="K6096" s="165"/>
      <c r="L6096" s="165"/>
      <c r="M6096" s="166"/>
      <c r="N6096" s="167"/>
      <c r="O6096" s="163"/>
      <c r="P6096" s="163"/>
      <c r="Q6096" s="163"/>
      <c r="R6096" s="163"/>
      <c r="S6096" s="161"/>
      <c r="T6096" s="161"/>
      <c r="U6096" s="161"/>
      <c r="V6096" s="161"/>
      <c r="W6096" s="161"/>
      <c r="X6096" s="161"/>
      <c r="Y6096" s="161"/>
      <c r="Z6096" s="168"/>
      <c r="AA6096" s="168"/>
      <c r="AB6096" s="168"/>
      <c r="AC6096" s="168"/>
    </row>
    <row r="6097">
      <c r="A6097" s="161"/>
      <c r="B6097" s="161"/>
      <c r="C6097" s="162"/>
      <c r="D6097" s="163"/>
      <c r="E6097" s="163"/>
      <c r="F6097" s="163"/>
      <c r="G6097" s="163"/>
      <c r="H6097" s="163"/>
      <c r="I6097" s="163"/>
      <c r="J6097" s="165"/>
      <c r="K6097" s="165"/>
      <c r="L6097" s="165"/>
      <c r="M6097" s="166"/>
      <c r="N6097" s="167"/>
      <c r="O6097" s="163"/>
      <c r="P6097" s="163"/>
      <c r="Q6097" s="163"/>
      <c r="R6097" s="163"/>
      <c r="S6097" s="161"/>
      <c r="T6097" s="161"/>
      <c r="U6097" s="161"/>
      <c r="V6097" s="161"/>
      <c r="W6097" s="161"/>
      <c r="X6097" s="161"/>
      <c r="Y6097" s="161"/>
      <c r="Z6097" s="168"/>
      <c r="AA6097" s="168"/>
      <c r="AB6097" s="168"/>
      <c r="AC6097" s="168"/>
    </row>
    <row r="6098">
      <c r="A6098" s="161"/>
      <c r="B6098" s="161"/>
      <c r="C6098" s="162"/>
      <c r="D6098" s="163"/>
      <c r="E6098" s="163"/>
      <c r="F6098" s="163"/>
      <c r="G6098" s="163"/>
      <c r="H6098" s="163"/>
      <c r="I6098" s="163"/>
      <c r="J6098" s="165"/>
      <c r="K6098" s="165"/>
      <c r="L6098" s="165"/>
      <c r="M6098" s="166"/>
      <c r="N6098" s="167"/>
      <c r="O6098" s="163"/>
      <c r="P6098" s="163"/>
      <c r="Q6098" s="163"/>
      <c r="R6098" s="163"/>
      <c r="S6098" s="161"/>
      <c r="T6098" s="161"/>
      <c r="U6098" s="161"/>
      <c r="V6098" s="161"/>
      <c r="W6098" s="161"/>
      <c r="X6098" s="161"/>
      <c r="Y6098" s="161"/>
      <c r="Z6098" s="168"/>
      <c r="AA6098" s="168"/>
      <c r="AB6098" s="168"/>
      <c r="AC6098" s="168"/>
    </row>
    <row r="6099">
      <c r="A6099" s="161"/>
      <c r="B6099" s="161"/>
      <c r="C6099" s="162"/>
      <c r="D6099" s="163"/>
      <c r="E6099" s="163"/>
      <c r="F6099" s="163"/>
      <c r="G6099" s="163"/>
      <c r="H6099" s="163"/>
      <c r="I6099" s="163"/>
      <c r="J6099" s="165"/>
      <c r="K6099" s="165"/>
      <c r="L6099" s="165"/>
      <c r="M6099" s="166"/>
      <c r="N6099" s="167"/>
      <c r="O6099" s="163"/>
      <c r="P6099" s="163"/>
      <c r="Q6099" s="163"/>
      <c r="R6099" s="163"/>
      <c r="S6099" s="161"/>
      <c r="T6099" s="161"/>
      <c r="U6099" s="161"/>
      <c r="V6099" s="161"/>
      <c r="W6099" s="161"/>
      <c r="X6099" s="161"/>
      <c r="Y6099" s="161"/>
      <c r="Z6099" s="168"/>
      <c r="AA6099" s="168"/>
      <c r="AB6099" s="168"/>
      <c r="AC6099" s="168"/>
    </row>
    <row r="6100">
      <c r="A6100" s="161"/>
      <c r="B6100" s="161"/>
      <c r="C6100" s="162"/>
      <c r="D6100" s="163"/>
      <c r="E6100" s="163"/>
      <c r="F6100" s="163"/>
      <c r="G6100" s="163"/>
      <c r="H6100" s="163"/>
      <c r="I6100" s="163"/>
      <c r="J6100" s="165"/>
      <c r="K6100" s="165"/>
      <c r="L6100" s="165"/>
      <c r="M6100" s="166"/>
      <c r="N6100" s="167"/>
      <c r="O6100" s="163"/>
      <c r="P6100" s="163"/>
      <c r="Q6100" s="163"/>
      <c r="R6100" s="163"/>
      <c r="S6100" s="161"/>
      <c r="T6100" s="161"/>
      <c r="U6100" s="161"/>
      <c r="V6100" s="161"/>
      <c r="W6100" s="161"/>
      <c r="X6100" s="161"/>
      <c r="Y6100" s="161"/>
      <c r="Z6100" s="168"/>
      <c r="AA6100" s="168"/>
      <c r="AB6100" s="168"/>
      <c r="AC6100" s="168"/>
    </row>
    <row r="6101">
      <c r="A6101" s="161"/>
      <c r="B6101" s="161"/>
      <c r="C6101" s="162"/>
      <c r="D6101" s="163"/>
      <c r="E6101" s="163"/>
      <c r="F6101" s="163"/>
      <c r="G6101" s="163"/>
      <c r="H6101" s="163"/>
      <c r="I6101" s="163"/>
      <c r="J6101" s="165"/>
      <c r="K6101" s="165"/>
      <c r="L6101" s="165"/>
      <c r="M6101" s="166"/>
      <c r="N6101" s="167"/>
      <c r="O6101" s="163"/>
      <c r="P6101" s="163"/>
      <c r="Q6101" s="163"/>
      <c r="R6101" s="163"/>
      <c r="S6101" s="161"/>
      <c r="T6101" s="161"/>
      <c r="U6101" s="161"/>
      <c r="V6101" s="161"/>
      <c r="W6101" s="161"/>
      <c r="X6101" s="161"/>
      <c r="Y6101" s="161"/>
      <c r="Z6101" s="168"/>
      <c r="AA6101" s="168"/>
      <c r="AB6101" s="168"/>
      <c r="AC6101" s="168"/>
    </row>
    <row r="6102">
      <c r="A6102" s="161"/>
      <c r="B6102" s="161"/>
      <c r="C6102" s="162"/>
      <c r="D6102" s="163"/>
      <c r="E6102" s="163"/>
      <c r="F6102" s="163"/>
      <c r="G6102" s="163"/>
      <c r="H6102" s="163"/>
      <c r="I6102" s="163"/>
      <c r="J6102" s="165"/>
      <c r="K6102" s="165"/>
      <c r="L6102" s="165"/>
      <c r="M6102" s="166"/>
      <c r="N6102" s="167"/>
      <c r="O6102" s="163"/>
      <c r="P6102" s="163"/>
      <c r="Q6102" s="163"/>
      <c r="R6102" s="163"/>
      <c r="S6102" s="161"/>
      <c r="T6102" s="161"/>
      <c r="U6102" s="161"/>
      <c r="V6102" s="161"/>
      <c r="W6102" s="161"/>
      <c r="X6102" s="161"/>
      <c r="Y6102" s="161"/>
      <c r="Z6102" s="168"/>
      <c r="AA6102" s="168"/>
      <c r="AB6102" s="168"/>
      <c r="AC6102" s="168"/>
    </row>
    <row r="6103">
      <c r="A6103" s="161"/>
      <c r="B6103" s="161"/>
      <c r="C6103" s="162"/>
      <c r="D6103" s="163"/>
      <c r="E6103" s="163"/>
      <c r="F6103" s="163"/>
      <c r="G6103" s="163"/>
      <c r="H6103" s="163"/>
      <c r="I6103" s="163"/>
      <c r="J6103" s="165"/>
      <c r="K6103" s="165"/>
      <c r="L6103" s="165"/>
      <c r="M6103" s="166"/>
      <c r="N6103" s="167"/>
      <c r="O6103" s="163"/>
      <c r="P6103" s="163"/>
      <c r="Q6103" s="163"/>
      <c r="R6103" s="163"/>
      <c r="S6103" s="161"/>
      <c r="T6103" s="161"/>
      <c r="U6103" s="161"/>
      <c r="V6103" s="161"/>
      <c r="W6103" s="161"/>
      <c r="X6103" s="161"/>
      <c r="Y6103" s="161"/>
      <c r="Z6103" s="168"/>
      <c r="AA6103" s="168"/>
      <c r="AB6103" s="168"/>
      <c r="AC6103" s="168"/>
    </row>
    <row r="6104">
      <c r="A6104" s="161"/>
      <c r="B6104" s="161"/>
      <c r="C6104" s="162"/>
      <c r="D6104" s="163"/>
      <c r="E6104" s="163"/>
      <c r="F6104" s="163"/>
      <c r="G6104" s="163"/>
      <c r="H6104" s="163"/>
      <c r="I6104" s="163"/>
      <c r="J6104" s="165"/>
      <c r="K6104" s="165"/>
      <c r="L6104" s="165"/>
      <c r="M6104" s="166"/>
      <c r="N6104" s="167"/>
      <c r="O6104" s="163"/>
      <c r="P6104" s="163"/>
      <c r="Q6104" s="163"/>
      <c r="R6104" s="163"/>
      <c r="S6104" s="161"/>
      <c r="T6104" s="161"/>
      <c r="U6104" s="161"/>
      <c r="V6104" s="161"/>
      <c r="W6104" s="161"/>
      <c r="X6104" s="161"/>
      <c r="Y6104" s="161"/>
      <c r="Z6104" s="168"/>
      <c r="AA6104" s="168"/>
      <c r="AB6104" s="168"/>
      <c r="AC6104" s="168"/>
    </row>
    <row r="6105">
      <c r="A6105" s="161"/>
      <c r="B6105" s="161"/>
      <c r="C6105" s="162"/>
      <c r="D6105" s="163"/>
      <c r="E6105" s="163"/>
      <c r="F6105" s="163"/>
      <c r="G6105" s="163"/>
      <c r="H6105" s="163"/>
      <c r="I6105" s="163"/>
      <c r="J6105" s="165"/>
      <c r="K6105" s="165"/>
      <c r="L6105" s="165"/>
      <c r="M6105" s="166"/>
      <c r="N6105" s="167"/>
      <c r="O6105" s="163"/>
      <c r="P6105" s="163"/>
      <c r="Q6105" s="163"/>
      <c r="R6105" s="163"/>
      <c r="S6105" s="161"/>
      <c r="T6105" s="161"/>
      <c r="U6105" s="161"/>
      <c r="V6105" s="161"/>
      <c r="W6105" s="161"/>
      <c r="X6105" s="161"/>
      <c r="Y6105" s="161"/>
      <c r="Z6105" s="168"/>
      <c r="AA6105" s="168"/>
      <c r="AB6105" s="168"/>
      <c r="AC6105" s="168"/>
    </row>
    <row r="6106">
      <c r="A6106" s="161"/>
      <c r="B6106" s="161"/>
      <c r="C6106" s="162"/>
      <c r="D6106" s="163"/>
      <c r="E6106" s="163"/>
      <c r="F6106" s="163"/>
      <c r="G6106" s="163"/>
      <c r="H6106" s="163"/>
      <c r="I6106" s="163"/>
      <c r="J6106" s="165"/>
      <c r="K6106" s="165"/>
      <c r="L6106" s="165"/>
      <c r="M6106" s="166"/>
      <c r="N6106" s="167"/>
      <c r="O6106" s="163"/>
      <c r="P6106" s="163"/>
      <c r="Q6106" s="163"/>
      <c r="R6106" s="163"/>
      <c r="S6106" s="161"/>
      <c r="T6106" s="161"/>
      <c r="U6106" s="161"/>
      <c r="V6106" s="161"/>
      <c r="W6106" s="161"/>
      <c r="X6106" s="161"/>
      <c r="Y6106" s="161"/>
      <c r="Z6106" s="168"/>
      <c r="AA6106" s="168"/>
      <c r="AB6106" s="168"/>
      <c r="AC6106" s="168"/>
    </row>
    <row r="6107">
      <c r="A6107" s="161"/>
      <c r="B6107" s="161"/>
      <c r="C6107" s="162"/>
      <c r="D6107" s="163"/>
      <c r="E6107" s="163"/>
      <c r="F6107" s="163"/>
      <c r="G6107" s="163"/>
      <c r="H6107" s="163"/>
      <c r="I6107" s="163"/>
      <c r="J6107" s="165"/>
      <c r="K6107" s="165"/>
      <c r="L6107" s="165"/>
      <c r="M6107" s="166"/>
      <c r="N6107" s="167"/>
      <c r="O6107" s="163"/>
      <c r="P6107" s="163"/>
      <c r="Q6107" s="163"/>
      <c r="R6107" s="163"/>
      <c r="S6107" s="161"/>
      <c r="T6107" s="161"/>
      <c r="U6107" s="161"/>
      <c r="V6107" s="161"/>
      <c r="W6107" s="161"/>
      <c r="X6107" s="161"/>
      <c r="Y6107" s="161"/>
      <c r="Z6107" s="168"/>
      <c r="AA6107" s="168"/>
      <c r="AB6107" s="168"/>
      <c r="AC6107" s="168"/>
    </row>
    <row r="6108">
      <c r="A6108" s="161"/>
      <c r="B6108" s="161"/>
      <c r="C6108" s="162"/>
      <c r="D6108" s="163"/>
      <c r="E6108" s="163"/>
      <c r="F6108" s="163"/>
      <c r="G6108" s="163"/>
      <c r="H6108" s="163"/>
      <c r="I6108" s="163"/>
      <c r="J6108" s="165"/>
      <c r="K6108" s="165"/>
      <c r="L6108" s="165"/>
      <c r="M6108" s="166"/>
      <c r="N6108" s="167"/>
      <c r="O6108" s="163"/>
      <c r="P6108" s="163"/>
      <c r="Q6108" s="163"/>
      <c r="R6108" s="163"/>
      <c r="S6108" s="161"/>
      <c r="T6108" s="161"/>
      <c r="U6108" s="161"/>
      <c r="V6108" s="161"/>
      <c r="W6108" s="161"/>
      <c r="X6108" s="161"/>
      <c r="Y6108" s="161"/>
      <c r="Z6108" s="168"/>
      <c r="AA6108" s="168"/>
      <c r="AB6108" s="168"/>
      <c r="AC6108" s="168"/>
    </row>
    <row r="6109">
      <c r="A6109" s="161"/>
      <c r="B6109" s="161"/>
      <c r="C6109" s="162"/>
      <c r="D6109" s="163"/>
      <c r="E6109" s="163"/>
      <c r="F6109" s="163"/>
      <c r="G6109" s="163"/>
      <c r="H6109" s="163"/>
      <c r="I6109" s="163"/>
      <c r="J6109" s="165"/>
      <c r="K6109" s="165"/>
      <c r="L6109" s="165"/>
      <c r="M6109" s="166"/>
      <c r="N6109" s="167"/>
      <c r="O6109" s="163"/>
      <c r="P6109" s="163"/>
      <c r="Q6109" s="163"/>
      <c r="R6109" s="163"/>
      <c r="S6109" s="161"/>
      <c r="T6109" s="161"/>
      <c r="U6109" s="161"/>
      <c r="V6109" s="161"/>
      <c r="W6109" s="161"/>
      <c r="X6109" s="161"/>
      <c r="Y6109" s="161"/>
      <c r="Z6109" s="168"/>
      <c r="AA6109" s="168"/>
      <c r="AB6109" s="168"/>
      <c r="AC6109" s="168"/>
    </row>
    <row r="6110">
      <c r="A6110" s="161"/>
      <c r="B6110" s="161"/>
      <c r="C6110" s="162"/>
      <c r="D6110" s="163"/>
      <c r="E6110" s="163"/>
      <c r="F6110" s="163"/>
      <c r="G6110" s="163"/>
      <c r="H6110" s="163"/>
      <c r="I6110" s="163"/>
      <c r="J6110" s="165"/>
      <c r="K6110" s="165"/>
      <c r="L6110" s="165"/>
      <c r="M6110" s="166"/>
      <c r="N6110" s="167"/>
      <c r="O6110" s="163"/>
      <c r="P6110" s="163"/>
      <c r="Q6110" s="163"/>
      <c r="R6110" s="163"/>
      <c r="S6110" s="161"/>
      <c r="T6110" s="161"/>
      <c r="U6110" s="161"/>
      <c r="V6110" s="161"/>
      <c r="W6110" s="161"/>
      <c r="X6110" s="161"/>
      <c r="Y6110" s="161"/>
      <c r="Z6110" s="168"/>
      <c r="AA6110" s="168"/>
      <c r="AB6110" s="168"/>
      <c r="AC6110" s="168"/>
    </row>
    <row r="6111">
      <c r="A6111" s="161"/>
      <c r="B6111" s="161"/>
      <c r="C6111" s="162"/>
      <c r="D6111" s="163"/>
      <c r="E6111" s="163"/>
      <c r="F6111" s="163"/>
      <c r="G6111" s="163"/>
      <c r="H6111" s="163"/>
      <c r="I6111" s="163"/>
      <c r="J6111" s="165"/>
      <c r="K6111" s="165"/>
      <c r="L6111" s="165"/>
      <c r="M6111" s="166"/>
      <c r="N6111" s="167"/>
      <c r="O6111" s="163"/>
      <c r="P6111" s="163"/>
      <c r="Q6111" s="163"/>
      <c r="R6111" s="163"/>
      <c r="S6111" s="161"/>
      <c r="T6111" s="161"/>
      <c r="U6111" s="161"/>
      <c r="V6111" s="161"/>
      <c r="W6111" s="161"/>
      <c r="X6111" s="161"/>
      <c r="Y6111" s="161"/>
      <c r="Z6111" s="168"/>
      <c r="AA6111" s="168"/>
      <c r="AB6111" s="168"/>
      <c r="AC6111" s="168"/>
    </row>
    <row r="6112">
      <c r="A6112" s="161"/>
      <c r="B6112" s="161"/>
      <c r="C6112" s="162"/>
      <c r="D6112" s="163"/>
      <c r="E6112" s="163"/>
      <c r="F6112" s="163"/>
      <c r="G6112" s="163"/>
      <c r="H6112" s="163"/>
      <c r="I6112" s="163"/>
      <c r="J6112" s="165"/>
      <c r="K6112" s="165"/>
      <c r="L6112" s="165"/>
      <c r="M6112" s="166"/>
      <c r="N6112" s="167"/>
      <c r="O6112" s="163"/>
      <c r="P6112" s="163"/>
      <c r="Q6112" s="163"/>
      <c r="R6112" s="163"/>
      <c r="S6112" s="161"/>
      <c r="T6112" s="161"/>
      <c r="U6112" s="161"/>
      <c r="V6112" s="161"/>
      <c r="W6112" s="161"/>
      <c r="X6112" s="161"/>
      <c r="Y6112" s="161"/>
      <c r="Z6112" s="168"/>
      <c r="AA6112" s="168"/>
      <c r="AB6112" s="168"/>
      <c r="AC6112" s="168"/>
    </row>
    <row r="6113">
      <c r="A6113" s="161"/>
      <c r="B6113" s="161"/>
      <c r="C6113" s="162"/>
      <c r="D6113" s="163"/>
      <c r="E6113" s="163"/>
      <c r="F6113" s="163"/>
      <c r="G6113" s="163"/>
      <c r="H6113" s="163"/>
      <c r="I6113" s="163"/>
      <c r="J6113" s="165"/>
      <c r="K6113" s="165"/>
      <c r="L6113" s="165"/>
      <c r="M6113" s="166"/>
      <c r="N6113" s="167"/>
      <c r="O6113" s="163"/>
      <c r="P6113" s="163"/>
      <c r="Q6113" s="163"/>
      <c r="R6113" s="163"/>
      <c r="S6113" s="161"/>
      <c r="T6113" s="161"/>
      <c r="U6113" s="161"/>
      <c r="V6113" s="161"/>
      <c r="W6113" s="161"/>
      <c r="X6113" s="161"/>
      <c r="Y6113" s="161"/>
      <c r="Z6113" s="168"/>
      <c r="AA6113" s="168"/>
      <c r="AB6113" s="168"/>
      <c r="AC6113" s="168"/>
    </row>
    <row r="6114">
      <c r="A6114" s="161"/>
      <c r="B6114" s="161"/>
      <c r="C6114" s="162"/>
      <c r="D6114" s="163"/>
      <c r="E6114" s="163"/>
      <c r="F6114" s="163"/>
      <c r="G6114" s="163"/>
      <c r="H6114" s="163"/>
      <c r="I6114" s="163"/>
      <c r="J6114" s="165"/>
      <c r="K6114" s="165"/>
      <c r="L6114" s="165"/>
      <c r="M6114" s="166"/>
      <c r="N6114" s="167"/>
      <c r="O6114" s="163"/>
      <c r="P6114" s="163"/>
      <c r="Q6114" s="163"/>
      <c r="R6114" s="163"/>
      <c r="S6114" s="161"/>
      <c r="T6114" s="161"/>
      <c r="U6114" s="161"/>
      <c r="V6114" s="161"/>
      <c r="W6114" s="161"/>
      <c r="X6114" s="161"/>
      <c r="Y6114" s="161"/>
      <c r="Z6114" s="168"/>
      <c r="AA6114" s="168"/>
      <c r="AB6114" s="168"/>
      <c r="AC6114" s="168"/>
    </row>
    <row r="6115">
      <c r="A6115" s="161"/>
      <c r="B6115" s="161"/>
      <c r="C6115" s="162"/>
      <c r="D6115" s="163"/>
      <c r="E6115" s="163"/>
      <c r="F6115" s="163"/>
      <c r="G6115" s="163"/>
      <c r="H6115" s="163"/>
      <c r="I6115" s="163"/>
      <c r="J6115" s="165"/>
      <c r="K6115" s="165"/>
      <c r="L6115" s="165"/>
      <c r="M6115" s="166"/>
      <c r="N6115" s="167"/>
      <c r="O6115" s="163"/>
      <c r="P6115" s="163"/>
      <c r="Q6115" s="163"/>
      <c r="R6115" s="163"/>
      <c r="S6115" s="161"/>
      <c r="T6115" s="161"/>
      <c r="U6115" s="161"/>
      <c r="V6115" s="161"/>
      <c r="W6115" s="161"/>
      <c r="X6115" s="161"/>
      <c r="Y6115" s="161"/>
      <c r="Z6115" s="168"/>
      <c r="AA6115" s="168"/>
      <c r="AB6115" s="168"/>
      <c r="AC6115" s="168"/>
    </row>
    <row r="6116">
      <c r="A6116" s="161"/>
      <c r="B6116" s="161"/>
      <c r="C6116" s="162"/>
      <c r="D6116" s="163"/>
      <c r="E6116" s="163"/>
      <c r="F6116" s="163"/>
      <c r="G6116" s="163"/>
      <c r="H6116" s="163"/>
      <c r="I6116" s="163"/>
      <c r="J6116" s="165"/>
      <c r="K6116" s="165"/>
      <c r="L6116" s="165"/>
      <c r="M6116" s="166"/>
      <c r="N6116" s="167"/>
      <c r="O6116" s="163"/>
      <c r="P6116" s="163"/>
      <c r="Q6116" s="163"/>
      <c r="R6116" s="163"/>
      <c r="S6116" s="161"/>
      <c r="T6116" s="161"/>
      <c r="U6116" s="161"/>
      <c r="V6116" s="161"/>
      <c r="W6116" s="161"/>
      <c r="X6116" s="161"/>
      <c r="Y6116" s="161"/>
      <c r="Z6116" s="168"/>
      <c r="AA6116" s="168"/>
      <c r="AB6116" s="168"/>
      <c r="AC6116" s="168"/>
    </row>
    <row r="6117">
      <c r="A6117" s="161"/>
      <c r="B6117" s="161"/>
      <c r="C6117" s="162"/>
      <c r="D6117" s="163"/>
      <c r="E6117" s="163"/>
      <c r="F6117" s="163"/>
      <c r="G6117" s="163"/>
      <c r="H6117" s="163"/>
      <c r="I6117" s="163"/>
      <c r="J6117" s="165"/>
      <c r="K6117" s="165"/>
      <c r="L6117" s="165"/>
      <c r="M6117" s="166"/>
      <c r="N6117" s="167"/>
      <c r="O6117" s="163"/>
      <c r="P6117" s="163"/>
      <c r="Q6117" s="163"/>
      <c r="R6117" s="163"/>
      <c r="S6117" s="161"/>
      <c r="T6117" s="161"/>
      <c r="U6117" s="161"/>
      <c r="V6117" s="161"/>
      <c r="W6117" s="161"/>
      <c r="X6117" s="161"/>
      <c r="Y6117" s="161"/>
      <c r="Z6117" s="168"/>
      <c r="AA6117" s="168"/>
      <c r="AB6117" s="168"/>
      <c r="AC6117" s="168"/>
    </row>
    <row r="6118">
      <c r="A6118" s="161"/>
      <c r="B6118" s="161"/>
      <c r="C6118" s="162"/>
      <c r="D6118" s="163"/>
      <c r="E6118" s="163"/>
      <c r="F6118" s="163"/>
      <c r="G6118" s="163"/>
      <c r="H6118" s="163"/>
      <c r="I6118" s="163"/>
      <c r="J6118" s="165"/>
      <c r="K6118" s="165"/>
      <c r="L6118" s="165"/>
      <c r="M6118" s="166"/>
      <c r="N6118" s="167"/>
      <c r="O6118" s="163"/>
      <c r="P6118" s="163"/>
      <c r="Q6118" s="163"/>
      <c r="R6118" s="163"/>
      <c r="S6118" s="161"/>
      <c r="T6118" s="161"/>
      <c r="U6118" s="161"/>
      <c r="V6118" s="161"/>
      <c r="W6118" s="161"/>
      <c r="X6118" s="161"/>
      <c r="Y6118" s="161"/>
      <c r="Z6118" s="168"/>
      <c r="AA6118" s="168"/>
      <c r="AB6118" s="168"/>
      <c r="AC6118" s="168"/>
    </row>
    <row r="6119">
      <c r="A6119" s="161"/>
      <c r="B6119" s="161"/>
      <c r="C6119" s="162"/>
      <c r="D6119" s="163"/>
      <c r="E6119" s="163"/>
      <c r="F6119" s="163"/>
      <c r="G6119" s="163"/>
      <c r="H6119" s="163"/>
      <c r="I6119" s="163"/>
      <c r="J6119" s="165"/>
      <c r="K6119" s="165"/>
      <c r="L6119" s="165"/>
      <c r="M6119" s="166"/>
      <c r="N6119" s="167"/>
      <c r="O6119" s="163"/>
      <c r="P6119" s="163"/>
      <c r="Q6119" s="163"/>
      <c r="R6119" s="163"/>
      <c r="S6119" s="161"/>
      <c r="T6119" s="161"/>
      <c r="U6119" s="161"/>
      <c r="V6119" s="161"/>
      <c r="W6119" s="161"/>
      <c r="X6119" s="161"/>
      <c r="Y6119" s="161"/>
      <c r="Z6119" s="168"/>
      <c r="AA6119" s="168"/>
      <c r="AB6119" s="168"/>
      <c r="AC6119" s="168"/>
    </row>
    <row r="6120">
      <c r="A6120" s="161"/>
      <c r="B6120" s="161"/>
      <c r="C6120" s="162"/>
      <c r="D6120" s="163"/>
      <c r="E6120" s="163"/>
      <c r="F6120" s="163"/>
      <c r="G6120" s="163"/>
      <c r="H6120" s="163"/>
      <c r="I6120" s="163"/>
      <c r="J6120" s="165"/>
      <c r="K6120" s="165"/>
      <c r="L6120" s="165"/>
      <c r="M6120" s="166"/>
      <c r="N6120" s="167"/>
      <c r="O6120" s="163"/>
      <c r="P6120" s="163"/>
      <c r="Q6120" s="163"/>
      <c r="R6120" s="163"/>
      <c r="S6120" s="161"/>
      <c r="T6120" s="161"/>
      <c r="U6120" s="161"/>
      <c r="V6120" s="161"/>
      <c r="W6120" s="161"/>
      <c r="X6120" s="161"/>
      <c r="Y6120" s="161"/>
      <c r="Z6120" s="168"/>
      <c r="AA6120" s="168"/>
      <c r="AB6120" s="168"/>
      <c r="AC6120" s="168"/>
    </row>
    <row r="6121">
      <c r="A6121" s="161"/>
      <c r="B6121" s="161"/>
      <c r="C6121" s="162"/>
      <c r="D6121" s="163"/>
      <c r="E6121" s="163"/>
      <c r="F6121" s="163"/>
      <c r="G6121" s="163"/>
      <c r="H6121" s="163"/>
      <c r="I6121" s="163"/>
      <c r="J6121" s="165"/>
      <c r="K6121" s="165"/>
      <c r="L6121" s="165"/>
      <c r="M6121" s="166"/>
      <c r="N6121" s="167"/>
      <c r="O6121" s="163"/>
      <c r="P6121" s="163"/>
      <c r="Q6121" s="163"/>
      <c r="R6121" s="163"/>
      <c r="S6121" s="161"/>
      <c r="T6121" s="161"/>
      <c r="U6121" s="161"/>
      <c r="V6121" s="161"/>
      <c r="W6121" s="161"/>
      <c r="X6121" s="161"/>
      <c r="Y6121" s="161"/>
      <c r="Z6121" s="168"/>
      <c r="AA6121" s="168"/>
      <c r="AB6121" s="168"/>
      <c r="AC6121" s="168"/>
    </row>
    <row r="6122">
      <c r="A6122" s="161"/>
      <c r="B6122" s="161"/>
      <c r="C6122" s="162"/>
      <c r="D6122" s="163"/>
      <c r="E6122" s="163"/>
      <c r="F6122" s="163"/>
      <c r="G6122" s="163"/>
      <c r="H6122" s="163"/>
      <c r="I6122" s="163"/>
      <c r="J6122" s="165"/>
      <c r="K6122" s="165"/>
      <c r="L6122" s="165"/>
      <c r="M6122" s="166"/>
      <c r="N6122" s="167"/>
      <c r="O6122" s="163"/>
      <c r="P6122" s="163"/>
      <c r="Q6122" s="163"/>
      <c r="R6122" s="163"/>
      <c r="S6122" s="161"/>
      <c r="T6122" s="161"/>
      <c r="U6122" s="161"/>
      <c r="V6122" s="161"/>
      <c r="W6122" s="161"/>
      <c r="X6122" s="161"/>
      <c r="Y6122" s="161"/>
      <c r="Z6122" s="168"/>
      <c r="AA6122" s="168"/>
      <c r="AB6122" s="168"/>
      <c r="AC6122" s="168"/>
    </row>
    <row r="6123">
      <c r="A6123" s="161"/>
      <c r="B6123" s="161"/>
      <c r="C6123" s="162"/>
      <c r="D6123" s="163"/>
      <c r="E6123" s="163"/>
      <c r="F6123" s="163"/>
      <c r="G6123" s="163"/>
      <c r="H6123" s="163"/>
      <c r="I6123" s="163"/>
      <c r="J6123" s="165"/>
      <c r="K6123" s="165"/>
      <c r="L6123" s="165"/>
      <c r="M6123" s="166"/>
      <c r="N6123" s="167"/>
      <c r="O6123" s="163"/>
      <c r="P6123" s="163"/>
      <c r="Q6123" s="163"/>
      <c r="R6123" s="163"/>
      <c r="S6123" s="161"/>
      <c r="T6123" s="161"/>
      <c r="U6123" s="161"/>
      <c r="V6123" s="161"/>
      <c r="W6123" s="161"/>
      <c r="X6123" s="161"/>
      <c r="Y6123" s="161"/>
      <c r="Z6123" s="168"/>
      <c r="AA6123" s="168"/>
      <c r="AB6123" s="168"/>
      <c r="AC6123" s="168"/>
    </row>
    <row r="6124">
      <c r="A6124" s="161"/>
      <c r="B6124" s="161"/>
      <c r="C6124" s="162"/>
      <c r="D6124" s="163"/>
      <c r="E6124" s="163"/>
      <c r="F6124" s="163"/>
      <c r="G6124" s="163"/>
      <c r="H6124" s="163"/>
      <c r="I6124" s="163"/>
      <c r="J6124" s="165"/>
      <c r="K6124" s="165"/>
      <c r="L6124" s="165"/>
      <c r="M6124" s="166"/>
      <c r="N6124" s="167"/>
      <c r="O6124" s="163"/>
      <c r="P6124" s="163"/>
      <c r="Q6124" s="163"/>
      <c r="R6124" s="163"/>
      <c r="S6124" s="161"/>
      <c r="T6124" s="161"/>
      <c r="U6124" s="161"/>
      <c r="V6124" s="161"/>
      <c r="W6124" s="161"/>
      <c r="X6124" s="161"/>
      <c r="Y6124" s="161"/>
      <c r="Z6124" s="168"/>
      <c r="AA6124" s="168"/>
      <c r="AB6124" s="168"/>
      <c r="AC6124" s="168"/>
    </row>
    <row r="6125">
      <c r="A6125" s="161"/>
      <c r="B6125" s="161"/>
      <c r="C6125" s="162"/>
      <c r="D6125" s="163"/>
      <c r="E6125" s="163"/>
      <c r="F6125" s="163"/>
      <c r="G6125" s="163"/>
      <c r="H6125" s="163"/>
      <c r="I6125" s="163"/>
      <c r="J6125" s="165"/>
      <c r="K6125" s="165"/>
      <c r="L6125" s="165"/>
      <c r="M6125" s="166"/>
      <c r="N6125" s="167"/>
      <c r="O6125" s="163"/>
      <c r="P6125" s="163"/>
      <c r="Q6125" s="163"/>
      <c r="R6125" s="163"/>
      <c r="S6125" s="161"/>
      <c r="T6125" s="161"/>
      <c r="U6125" s="161"/>
      <c r="V6125" s="161"/>
      <c r="W6125" s="161"/>
      <c r="X6125" s="161"/>
      <c r="Y6125" s="161"/>
      <c r="Z6125" s="168"/>
      <c r="AA6125" s="168"/>
      <c r="AB6125" s="168"/>
      <c r="AC6125" s="168"/>
    </row>
    <row r="6126">
      <c r="A6126" s="161"/>
      <c r="B6126" s="161"/>
      <c r="C6126" s="162"/>
      <c r="D6126" s="163"/>
      <c r="E6126" s="163"/>
      <c r="F6126" s="163"/>
      <c r="G6126" s="163"/>
      <c r="H6126" s="163"/>
      <c r="I6126" s="163"/>
      <c r="J6126" s="165"/>
      <c r="K6126" s="165"/>
      <c r="L6126" s="165"/>
      <c r="M6126" s="166"/>
      <c r="N6126" s="167"/>
      <c r="O6126" s="163"/>
      <c r="P6126" s="163"/>
      <c r="Q6126" s="163"/>
      <c r="R6126" s="163"/>
      <c r="S6126" s="161"/>
      <c r="T6126" s="161"/>
      <c r="U6126" s="161"/>
      <c r="V6126" s="161"/>
      <c r="W6126" s="161"/>
      <c r="X6126" s="161"/>
      <c r="Y6126" s="161"/>
      <c r="Z6126" s="168"/>
      <c r="AA6126" s="168"/>
      <c r="AB6126" s="168"/>
      <c r="AC6126" s="168"/>
    </row>
    <row r="6127">
      <c r="A6127" s="161"/>
      <c r="B6127" s="161"/>
      <c r="C6127" s="162"/>
      <c r="D6127" s="163"/>
      <c r="E6127" s="163"/>
      <c r="F6127" s="163"/>
      <c r="G6127" s="163"/>
      <c r="H6127" s="163"/>
      <c r="I6127" s="163"/>
      <c r="J6127" s="165"/>
      <c r="K6127" s="165"/>
      <c r="L6127" s="165"/>
      <c r="M6127" s="166"/>
      <c r="N6127" s="167"/>
      <c r="O6127" s="163"/>
      <c r="P6127" s="163"/>
      <c r="Q6127" s="163"/>
      <c r="R6127" s="163"/>
      <c r="S6127" s="161"/>
      <c r="T6127" s="161"/>
      <c r="U6127" s="161"/>
      <c r="V6127" s="161"/>
      <c r="W6127" s="161"/>
      <c r="X6127" s="161"/>
      <c r="Y6127" s="161"/>
      <c r="Z6127" s="168"/>
      <c r="AA6127" s="168"/>
      <c r="AB6127" s="168"/>
      <c r="AC6127" s="168"/>
    </row>
    <row r="6128">
      <c r="A6128" s="161"/>
      <c r="B6128" s="161"/>
      <c r="C6128" s="162"/>
      <c r="D6128" s="163"/>
      <c r="E6128" s="163"/>
      <c r="F6128" s="163"/>
      <c r="G6128" s="163"/>
      <c r="H6128" s="163"/>
      <c r="I6128" s="163"/>
      <c r="J6128" s="165"/>
      <c r="K6128" s="165"/>
      <c r="L6128" s="165"/>
      <c r="M6128" s="166"/>
      <c r="N6128" s="167"/>
      <c r="O6128" s="163"/>
      <c r="P6128" s="163"/>
      <c r="Q6128" s="163"/>
      <c r="R6128" s="163"/>
      <c r="S6128" s="161"/>
      <c r="T6128" s="161"/>
      <c r="U6128" s="161"/>
      <c r="V6128" s="161"/>
      <c r="W6128" s="161"/>
      <c r="X6128" s="161"/>
      <c r="Y6128" s="161"/>
      <c r="Z6128" s="168"/>
      <c r="AA6128" s="168"/>
      <c r="AB6128" s="168"/>
      <c r="AC6128" s="168"/>
    </row>
    <row r="6129">
      <c r="A6129" s="161"/>
      <c r="B6129" s="161"/>
      <c r="C6129" s="162"/>
      <c r="D6129" s="163"/>
      <c r="E6129" s="163"/>
      <c r="F6129" s="163"/>
      <c r="G6129" s="163"/>
      <c r="H6129" s="163"/>
      <c r="I6129" s="163"/>
      <c r="J6129" s="165"/>
      <c r="K6129" s="165"/>
      <c r="L6129" s="165"/>
      <c r="M6129" s="166"/>
      <c r="N6129" s="167"/>
      <c r="O6129" s="163"/>
      <c r="P6129" s="163"/>
      <c r="Q6129" s="163"/>
      <c r="R6129" s="163"/>
      <c r="S6129" s="161"/>
      <c r="T6129" s="161"/>
      <c r="U6129" s="161"/>
      <c r="V6129" s="161"/>
      <c r="W6129" s="161"/>
      <c r="X6129" s="161"/>
      <c r="Y6129" s="161"/>
      <c r="Z6129" s="168"/>
      <c r="AA6129" s="168"/>
      <c r="AB6129" s="168"/>
      <c r="AC6129" s="168"/>
    </row>
    <row r="6130">
      <c r="A6130" s="161"/>
      <c r="B6130" s="161"/>
      <c r="C6130" s="162"/>
      <c r="D6130" s="163"/>
      <c r="E6130" s="163"/>
      <c r="F6130" s="163"/>
      <c r="G6130" s="163"/>
      <c r="H6130" s="163"/>
      <c r="I6130" s="163"/>
      <c r="J6130" s="165"/>
      <c r="K6130" s="165"/>
      <c r="L6130" s="165"/>
      <c r="M6130" s="166"/>
      <c r="N6130" s="167"/>
      <c r="O6130" s="163"/>
      <c r="P6130" s="163"/>
      <c r="Q6130" s="163"/>
      <c r="R6130" s="163"/>
      <c r="S6130" s="161"/>
      <c r="T6130" s="161"/>
      <c r="U6130" s="161"/>
      <c r="V6130" s="161"/>
      <c r="W6130" s="161"/>
      <c r="X6130" s="161"/>
      <c r="Y6130" s="161"/>
      <c r="Z6130" s="168"/>
      <c r="AA6130" s="168"/>
      <c r="AB6130" s="168"/>
      <c r="AC6130" s="168"/>
    </row>
    <row r="6131">
      <c r="A6131" s="161"/>
      <c r="B6131" s="161"/>
      <c r="C6131" s="162"/>
      <c r="D6131" s="163"/>
      <c r="E6131" s="163"/>
      <c r="F6131" s="163"/>
      <c r="G6131" s="163"/>
      <c r="H6131" s="163"/>
      <c r="I6131" s="163"/>
      <c r="J6131" s="165"/>
      <c r="K6131" s="165"/>
      <c r="L6131" s="165"/>
      <c r="M6131" s="166"/>
      <c r="N6131" s="167"/>
      <c r="O6131" s="163"/>
      <c r="P6131" s="163"/>
      <c r="Q6131" s="163"/>
      <c r="R6131" s="163"/>
      <c r="S6131" s="161"/>
      <c r="T6131" s="161"/>
      <c r="U6131" s="161"/>
      <c r="V6131" s="161"/>
      <c r="W6131" s="161"/>
      <c r="X6131" s="161"/>
      <c r="Y6131" s="161"/>
      <c r="Z6131" s="168"/>
      <c r="AA6131" s="168"/>
      <c r="AB6131" s="168"/>
      <c r="AC6131" s="168"/>
    </row>
    <row r="6132">
      <c r="A6132" s="161"/>
      <c r="B6132" s="161"/>
      <c r="C6132" s="162"/>
      <c r="D6132" s="163"/>
      <c r="E6132" s="163"/>
      <c r="F6132" s="163"/>
      <c r="G6132" s="163"/>
      <c r="H6132" s="163"/>
      <c r="I6132" s="163"/>
      <c r="J6132" s="165"/>
      <c r="K6132" s="165"/>
      <c r="L6132" s="165"/>
      <c r="M6132" s="166"/>
      <c r="N6132" s="167"/>
      <c r="O6132" s="163"/>
      <c r="P6132" s="163"/>
      <c r="Q6132" s="163"/>
      <c r="R6132" s="163"/>
      <c r="S6132" s="161"/>
      <c r="T6132" s="161"/>
      <c r="U6132" s="161"/>
      <c r="V6132" s="161"/>
      <c r="W6132" s="161"/>
      <c r="X6132" s="161"/>
      <c r="Y6132" s="161"/>
      <c r="Z6132" s="168"/>
      <c r="AA6132" s="168"/>
      <c r="AB6132" s="168"/>
      <c r="AC6132" s="168"/>
    </row>
    <row r="6133">
      <c r="A6133" s="161"/>
      <c r="B6133" s="161"/>
      <c r="C6133" s="162"/>
      <c r="D6133" s="163"/>
      <c r="E6133" s="163"/>
      <c r="F6133" s="163"/>
      <c r="G6133" s="163"/>
      <c r="H6133" s="163"/>
      <c r="I6133" s="163"/>
      <c r="J6133" s="165"/>
      <c r="K6133" s="165"/>
      <c r="L6133" s="165"/>
      <c r="M6133" s="166"/>
      <c r="N6133" s="167"/>
      <c r="O6133" s="163"/>
      <c r="P6133" s="163"/>
      <c r="Q6133" s="163"/>
      <c r="R6133" s="163"/>
      <c r="S6133" s="161"/>
      <c r="T6133" s="161"/>
      <c r="U6133" s="161"/>
      <c r="V6133" s="161"/>
      <c r="W6133" s="161"/>
      <c r="X6133" s="161"/>
      <c r="Y6133" s="161"/>
      <c r="Z6133" s="168"/>
      <c r="AA6133" s="168"/>
      <c r="AB6133" s="168"/>
      <c r="AC6133" s="168"/>
    </row>
    <row r="6134">
      <c r="A6134" s="161"/>
      <c r="B6134" s="161"/>
      <c r="C6134" s="162"/>
      <c r="D6134" s="163"/>
      <c r="E6134" s="163"/>
      <c r="F6134" s="163"/>
      <c r="G6134" s="163"/>
      <c r="H6134" s="163"/>
      <c r="I6134" s="163"/>
      <c r="J6134" s="165"/>
      <c r="K6134" s="165"/>
      <c r="L6134" s="165"/>
      <c r="M6134" s="166"/>
      <c r="N6134" s="167"/>
      <c r="O6134" s="163"/>
      <c r="P6134" s="163"/>
      <c r="Q6134" s="163"/>
      <c r="R6134" s="163"/>
      <c r="S6134" s="161"/>
      <c r="T6134" s="161"/>
      <c r="U6134" s="161"/>
      <c r="V6134" s="161"/>
      <c r="W6134" s="161"/>
      <c r="X6134" s="161"/>
      <c r="Y6134" s="161"/>
      <c r="Z6134" s="168"/>
      <c r="AA6134" s="168"/>
      <c r="AB6134" s="168"/>
      <c r="AC6134" s="168"/>
    </row>
    <row r="6135">
      <c r="A6135" s="161"/>
      <c r="B6135" s="161"/>
      <c r="C6135" s="162"/>
      <c r="D6135" s="163"/>
      <c r="E6135" s="163"/>
      <c r="F6135" s="163"/>
      <c r="G6135" s="163"/>
      <c r="H6135" s="163"/>
      <c r="I6135" s="163"/>
      <c r="J6135" s="165"/>
      <c r="K6135" s="165"/>
      <c r="L6135" s="165"/>
      <c r="M6135" s="166"/>
      <c r="N6135" s="167"/>
      <c r="O6135" s="163"/>
      <c r="P6135" s="163"/>
      <c r="Q6135" s="163"/>
      <c r="R6135" s="163"/>
      <c r="S6135" s="161"/>
      <c r="T6135" s="161"/>
      <c r="U6135" s="161"/>
      <c r="V6135" s="161"/>
      <c r="W6135" s="161"/>
      <c r="X6135" s="161"/>
      <c r="Y6135" s="161"/>
      <c r="Z6135" s="168"/>
      <c r="AA6135" s="168"/>
      <c r="AB6135" s="168"/>
      <c r="AC6135" s="168"/>
    </row>
    <row r="6136">
      <c r="A6136" s="161"/>
      <c r="B6136" s="161"/>
      <c r="C6136" s="162"/>
      <c r="D6136" s="163"/>
      <c r="E6136" s="163"/>
      <c r="F6136" s="163"/>
      <c r="G6136" s="163"/>
      <c r="H6136" s="163"/>
      <c r="I6136" s="163"/>
      <c r="J6136" s="165"/>
      <c r="K6136" s="165"/>
      <c r="L6136" s="165"/>
      <c r="M6136" s="166"/>
      <c r="N6136" s="167"/>
      <c r="O6136" s="163"/>
      <c r="P6136" s="163"/>
      <c r="Q6136" s="163"/>
      <c r="R6136" s="163"/>
      <c r="S6136" s="161"/>
      <c r="T6136" s="161"/>
      <c r="U6136" s="161"/>
      <c r="V6136" s="161"/>
      <c r="W6136" s="161"/>
      <c r="X6136" s="161"/>
      <c r="Y6136" s="161"/>
      <c r="Z6136" s="168"/>
      <c r="AA6136" s="168"/>
      <c r="AB6136" s="168"/>
      <c r="AC6136" s="168"/>
    </row>
    <row r="6137">
      <c r="A6137" s="161"/>
      <c r="B6137" s="161"/>
      <c r="C6137" s="162"/>
      <c r="D6137" s="163"/>
      <c r="E6137" s="163"/>
      <c r="F6137" s="163"/>
      <c r="G6137" s="163"/>
      <c r="H6137" s="163"/>
      <c r="I6137" s="163"/>
      <c r="J6137" s="165"/>
      <c r="K6137" s="165"/>
      <c r="L6137" s="165"/>
      <c r="M6137" s="166"/>
      <c r="N6137" s="167"/>
      <c r="O6137" s="163"/>
      <c r="P6137" s="163"/>
      <c r="Q6137" s="163"/>
      <c r="R6137" s="163"/>
      <c r="S6137" s="161"/>
      <c r="T6137" s="161"/>
      <c r="U6137" s="161"/>
      <c r="V6137" s="161"/>
      <c r="W6137" s="161"/>
      <c r="X6137" s="161"/>
      <c r="Y6137" s="161"/>
      <c r="Z6137" s="168"/>
      <c r="AA6137" s="168"/>
      <c r="AB6137" s="168"/>
      <c r="AC6137" s="168"/>
    </row>
    <row r="6138">
      <c r="A6138" s="161"/>
      <c r="B6138" s="161"/>
      <c r="C6138" s="162"/>
      <c r="D6138" s="163"/>
      <c r="E6138" s="163"/>
      <c r="F6138" s="163"/>
      <c r="G6138" s="163"/>
      <c r="H6138" s="163"/>
      <c r="I6138" s="163"/>
      <c r="J6138" s="165"/>
      <c r="K6138" s="165"/>
      <c r="L6138" s="165"/>
      <c r="M6138" s="166"/>
      <c r="N6138" s="167"/>
      <c r="O6138" s="163"/>
      <c r="P6138" s="163"/>
      <c r="Q6138" s="163"/>
      <c r="R6138" s="163"/>
      <c r="S6138" s="161"/>
      <c r="T6138" s="161"/>
      <c r="U6138" s="161"/>
      <c r="V6138" s="161"/>
      <c r="W6138" s="161"/>
      <c r="X6138" s="161"/>
      <c r="Y6138" s="161"/>
      <c r="Z6138" s="168"/>
      <c r="AA6138" s="168"/>
      <c r="AB6138" s="168"/>
      <c r="AC6138" s="168"/>
    </row>
    <row r="6139">
      <c r="A6139" s="161"/>
      <c r="B6139" s="161"/>
      <c r="C6139" s="162"/>
      <c r="D6139" s="163"/>
      <c r="E6139" s="163"/>
      <c r="F6139" s="163"/>
      <c r="G6139" s="163"/>
      <c r="H6139" s="163"/>
      <c r="I6139" s="163"/>
      <c r="J6139" s="165"/>
      <c r="K6139" s="165"/>
      <c r="L6139" s="165"/>
      <c r="M6139" s="166"/>
      <c r="N6139" s="167"/>
      <c r="O6139" s="163"/>
      <c r="P6139" s="163"/>
      <c r="Q6139" s="163"/>
      <c r="R6139" s="163"/>
      <c r="S6139" s="161"/>
      <c r="T6139" s="161"/>
      <c r="U6139" s="161"/>
      <c r="V6139" s="161"/>
      <c r="W6139" s="161"/>
      <c r="X6139" s="161"/>
      <c r="Y6139" s="161"/>
      <c r="Z6139" s="168"/>
      <c r="AA6139" s="168"/>
      <c r="AB6139" s="168"/>
      <c r="AC6139" s="168"/>
    </row>
    <row r="6140">
      <c r="A6140" s="161"/>
      <c r="B6140" s="161"/>
      <c r="C6140" s="162"/>
      <c r="D6140" s="163"/>
      <c r="E6140" s="163"/>
      <c r="F6140" s="163"/>
      <c r="G6140" s="163"/>
      <c r="H6140" s="163"/>
      <c r="I6140" s="163"/>
      <c r="J6140" s="165"/>
      <c r="K6140" s="165"/>
      <c r="L6140" s="165"/>
      <c r="M6140" s="166"/>
      <c r="N6140" s="167"/>
      <c r="O6140" s="163"/>
      <c r="P6140" s="163"/>
      <c r="Q6140" s="163"/>
      <c r="R6140" s="163"/>
      <c r="S6140" s="161"/>
      <c r="T6140" s="161"/>
      <c r="U6140" s="161"/>
      <c r="V6140" s="161"/>
      <c r="W6140" s="161"/>
      <c r="X6140" s="161"/>
      <c r="Y6140" s="161"/>
      <c r="Z6140" s="168"/>
      <c r="AA6140" s="168"/>
      <c r="AB6140" s="168"/>
      <c r="AC6140" s="168"/>
    </row>
    <row r="6141">
      <c r="A6141" s="161"/>
      <c r="B6141" s="161"/>
      <c r="C6141" s="162"/>
      <c r="D6141" s="163"/>
      <c r="E6141" s="163"/>
      <c r="F6141" s="163"/>
      <c r="G6141" s="163"/>
      <c r="H6141" s="163"/>
      <c r="I6141" s="163"/>
      <c r="J6141" s="165"/>
      <c r="K6141" s="165"/>
      <c r="L6141" s="165"/>
      <c r="M6141" s="166"/>
      <c r="N6141" s="167"/>
      <c r="O6141" s="163"/>
      <c r="P6141" s="163"/>
      <c r="Q6141" s="163"/>
      <c r="R6141" s="163"/>
      <c r="S6141" s="161"/>
      <c r="T6141" s="161"/>
      <c r="U6141" s="161"/>
      <c r="V6141" s="161"/>
      <c r="W6141" s="161"/>
      <c r="X6141" s="161"/>
      <c r="Y6141" s="161"/>
      <c r="Z6141" s="168"/>
      <c r="AA6141" s="168"/>
      <c r="AB6141" s="168"/>
      <c r="AC6141" s="168"/>
    </row>
    <row r="6142">
      <c r="A6142" s="161"/>
      <c r="B6142" s="161"/>
      <c r="C6142" s="162"/>
      <c r="D6142" s="163"/>
      <c r="E6142" s="163"/>
      <c r="F6142" s="163"/>
      <c r="G6142" s="163"/>
      <c r="H6142" s="163"/>
      <c r="I6142" s="163"/>
      <c r="J6142" s="165"/>
      <c r="K6142" s="165"/>
      <c r="L6142" s="165"/>
      <c r="M6142" s="166"/>
      <c r="N6142" s="167"/>
      <c r="O6142" s="163"/>
      <c r="P6142" s="163"/>
      <c r="Q6142" s="163"/>
      <c r="R6142" s="163"/>
      <c r="S6142" s="161"/>
      <c r="T6142" s="161"/>
      <c r="U6142" s="161"/>
      <c r="V6142" s="161"/>
      <c r="W6142" s="161"/>
      <c r="X6142" s="161"/>
      <c r="Y6142" s="161"/>
      <c r="Z6142" s="168"/>
      <c r="AA6142" s="168"/>
      <c r="AB6142" s="168"/>
      <c r="AC6142" s="168"/>
    </row>
    <row r="6143">
      <c r="A6143" s="161"/>
      <c r="B6143" s="161"/>
      <c r="C6143" s="162"/>
      <c r="D6143" s="163"/>
      <c r="E6143" s="163"/>
      <c r="F6143" s="163"/>
      <c r="G6143" s="163"/>
      <c r="H6143" s="163"/>
      <c r="I6143" s="163"/>
      <c r="J6143" s="165"/>
      <c r="K6143" s="165"/>
      <c r="L6143" s="165"/>
      <c r="M6143" s="166"/>
      <c r="N6143" s="167"/>
      <c r="O6143" s="163"/>
      <c r="P6143" s="163"/>
      <c r="Q6143" s="163"/>
      <c r="R6143" s="163"/>
      <c r="S6143" s="161"/>
      <c r="T6143" s="161"/>
      <c r="U6143" s="161"/>
      <c r="V6143" s="161"/>
      <c r="W6143" s="161"/>
      <c r="X6143" s="161"/>
      <c r="Y6143" s="161"/>
      <c r="Z6143" s="168"/>
      <c r="AA6143" s="168"/>
      <c r="AB6143" s="168"/>
      <c r="AC6143" s="168"/>
    </row>
    <row r="6144">
      <c r="A6144" s="161"/>
      <c r="B6144" s="161"/>
      <c r="C6144" s="162"/>
      <c r="D6144" s="163"/>
      <c r="E6144" s="163"/>
      <c r="F6144" s="163"/>
      <c r="G6144" s="163"/>
      <c r="H6144" s="163"/>
      <c r="I6144" s="163"/>
      <c r="J6144" s="165"/>
      <c r="K6144" s="165"/>
      <c r="L6144" s="165"/>
      <c r="M6144" s="166"/>
      <c r="N6144" s="167"/>
      <c r="O6144" s="163"/>
      <c r="P6144" s="163"/>
      <c r="Q6144" s="163"/>
      <c r="R6144" s="163"/>
      <c r="S6144" s="161"/>
      <c r="T6144" s="161"/>
      <c r="U6144" s="161"/>
      <c r="V6144" s="161"/>
      <c r="W6144" s="161"/>
      <c r="X6144" s="161"/>
      <c r="Y6144" s="161"/>
      <c r="Z6144" s="168"/>
      <c r="AA6144" s="168"/>
      <c r="AB6144" s="168"/>
      <c r="AC6144" s="168"/>
    </row>
    <row r="6145">
      <c r="A6145" s="161"/>
      <c r="B6145" s="161"/>
      <c r="C6145" s="162"/>
      <c r="D6145" s="163"/>
      <c r="E6145" s="163"/>
      <c r="F6145" s="163"/>
      <c r="G6145" s="163"/>
      <c r="H6145" s="163"/>
      <c r="I6145" s="163"/>
      <c r="J6145" s="165"/>
      <c r="K6145" s="165"/>
      <c r="L6145" s="165"/>
      <c r="M6145" s="166"/>
      <c r="N6145" s="167"/>
      <c r="O6145" s="163"/>
      <c r="P6145" s="163"/>
      <c r="Q6145" s="163"/>
      <c r="R6145" s="163"/>
      <c r="S6145" s="161"/>
      <c r="T6145" s="161"/>
      <c r="U6145" s="161"/>
      <c r="V6145" s="161"/>
      <c r="W6145" s="161"/>
      <c r="X6145" s="161"/>
      <c r="Y6145" s="161"/>
      <c r="Z6145" s="168"/>
      <c r="AA6145" s="168"/>
      <c r="AB6145" s="168"/>
      <c r="AC6145" s="168"/>
    </row>
    <row r="6146">
      <c r="A6146" s="161"/>
      <c r="B6146" s="161"/>
      <c r="C6146" s="162"/>
      <c r="D6146" s="163"/>
      <c r="E6146" s="163"/>
      <c r="F6146" s="163"/>
      <c r="G6146" s="163"/>
      <c r="H6146" s="163"/>
      <c r="I6146" s="163"/>
      <c r="J6146" s="165"/>
      <c r="K6146" s="165"/>
      <c r="L6146" s="165"/>
      <c r="M6146" s="166"/>
      <c r="N6146" s="167"/>
      <c r="O6146" s="163"/>
      <c r="P6146" s="163"/>
      <c r="Q6146" s="163"/>
      <c r="R6146" s="163"/>
      <c r="S6146" s="161"/>
      <c r="T6146" s="161"/>
      <c r="U6146" s="161"/>
      <c r="V6146" s="161"/>
      <c r="W6146" s="161"/>
      <c r="X6146" s="161"/>
      <c r="Y6146" s="161"/>
      <c r="Z6146" s="168"/>
      <c r="AA6146" s="168"/>
      <c r="AB6146" s="168"/>
      <c r="AC6146" s="168"/>
    </row>
    <row r="6147">
      <c r="A6147" s="161"/>
      <c r="B6147" s="161"/>
      <c r="C6147" s="162"/>
      <c r="D6147" s="163"/>
      <c r="E6147" s="163"/>
      <c r="F6147" s="163"/>
      <c r="G6147" s="163"/>
      <c r="H6147" s="163"/>
      <c r="I6147" s="163"/>
      <c r="J6147" s="165"/>
      <c r="K6147" s="165"/>
      <c r="L6147" s="165"/>
      <c r="M6147" s="166"/>
      <c r="N6147" s="167"/>
      <c r="O6147" s="163"/>
      <c r="P6147" s="163"/>
      <c r="Q6147" s="163"/>
      <c r="R6147" s="163"/>
      <c r="S6147" s="161"/>
      <c r="T6147" s="161"/>
      <c r="U6147" s="161"/>
      <c r="V6147" s="161"/>
      <c r="W6147" s="161"/>
      <c r="X6147" s="161"/>
      <c r="Y6147" s="161"/>
      <c r="Z6147" s="168"/>
      <c r="AA6147" s="168"/>
      <c r="AB6147" s="168"/>
      <c r="AC6147" s="168"/>
    </row>
    <row r="6148">
      <c r="A6148" s="161"/>
      <c r="B6148" s="161"/>
      <c r="C6148" s="162"/>
      <c r="D6148" s="163"/>
      <c r="E6148" s="163"/>
      <c r="F6148" s="163"/>
      <c r="G6148" s="163"/>
      <c r="H6148" s="163"/>
      <c r="I6148" s="163"/>
      <c r="J6148" s="165"/>
      <c r="K6148" s="165"/>
      <c r="L6148" s="165"/>
      <c r="M6148" s="166"/>
      <c r="N6148" s="167"/>
      <c r="O6148" s="163"/>
      <c r="P6148" s="163"/>
      <c r="Q6148" s="163"/>
      <c r="R6148" s="163"/>
      <c r="S6148" s="161"/>
      <c r="T6148" s="161"/>
      <c r="U6148" s="161"/>
      <c r="V6148" s="161"/>
      <c r="W6148" s="161"/>
      <c r="X6148" s="161"/>
      <c r="Y6148" s="161"/>
      <c r="Z6148" s="168"/>
      <c r="AA6148" s="168"/>
      <c r="AB6148" s="168"/>
      <c r="AC6148" s="168"/>
    </row>
    <row r="6149">
      <c r="A6149" s="161"/>
      <c r="B6149" s="161"/>
      <c r="C6149" s="162"/>
      <c r="D6149" s="163"/>
      <c r="E6149" s="163"/>
      <c r="F6149" s="163"/>
      <c r="G6149" s="163"/>
      <c r="H6149" s="163"/>
      <c r="I6149" s="163"/>
      <c r="J6149" s="165"/>
      <c r="K6149" s="165"/>
      <c r="L6149" s="165"/>
      <c r="M6149" s="166"/>
      <c r="N6149" s="167"/>
      <c r="O6149" s="163"/>
      <c r="P6149" s="163"/>
      <c r="Q6149" s="163"/>
      <c r="R6149" s="163"/>
      <c r="S6149" s="161"/>
      <c r="T6149" s="161"/>
      <c r="U6149" s="161"/>
      <c r="V6149" s="161"/>
      <c r="W6149" s="161"/>
      <c r="X6149" s="161"/>
      <c r="Y6149" s="161"/>
      <c r="Z6149" s="168"/>
      <c r="AA6149" s="168"/>
      <c r="AB6149" s="168"/>
      <c r="AC6149" s="168"/>
    </row>
    <row r="6150">
      <c r="A6150" s="161"/>
      <c r="B6150" s="161"/>
      <c r="C6150" s="162"/>
      <c r="D6150" s="163"/>
      <c r="E6150" s="163"/>
      <c r="F6150" s="163"/>
      <c r="G6150" s="163"/>
      <c r="H6150" s="163"/>
      <c r="I6150" s="163"/>
      <c r="J6150" s="165"/>
      <c r="K6150" s="165"/>
      <c r="L6150" s="165"/>
      <c r="M6150" s="166"/>
      <c r="N6150" s="167"/>
      <c r="O6150" s="163"/>
      <c r="P6150" s="163"/>
      <c r="Q6150" s="163"/>
      <c r="R6150" s="163"/>
      <c r="S6150" s="161"/>
      <c r="T6150" s="161"/>
      <c r="U6150" s="161"/>
      <c r="V6150" s="161"/>
      <c r="W6150" s="161"/>
      <c r="X6150" s="161"/>
      <c r="Y6150" s="161"/>
      <c r="Z6150" s="168"/>
      <c r="AA6150" s="168"/>
      <c r="AB6150" s="168"/>
      <c r="AC6150" s="168"/>
    </row>
    <row r="6151">
      <c r="A6151" s="161"/>
      <c r="B6151" s="161"/>
      <c r="C6151" s="162"/>
      <c r="D6151" s="163"/>
      <c r="E6151" s="163"/>
      <c r="F6151" s="163"/>
      <c r="G6151" s="163"/>
      <c r="H6151" s="163"/>
      <c r="I6151" s="163"/>
      <c r="J6151" s="165"/>
      <c r="K6151" s="165"/>
      <c r="L6151" s="165"/>
      <c r="M6151" s="166"/>
      <c r="N6151" s="167"/>
      <c r="O6151" s="163"/>
      <c r="P6151" s="163"/>
      <c r="Q6151" s="163"/>
      <c r="R6151" s="163"/>
      <c r="S6151" s="161"/>
      <c r="T6151" s="161"/>
      <c r="U6151" s="161"/>
      <c r="V6151" s="161"/>
      <c r="W6151" s="161"/>
      <c r="X6151" s="161"/>
      <c r="Y6151" s="161"/>
      <c r="Z6151" s="168"/>
      <c r="AA6151" s="168"/>
      <c r="AB6151" s="168"/>
      <c r="AC6151" s="168"/>
    </row>
    <row r="6152">
      <c r="A6152" s="161"/>
      <c r="B6152" s="161"/>
      <c r="C6152" s="162"/>
      <c r="D6152" s="163"/>
      <c r="E6152" s="163"/>
      <c r="F6152" s="163"/>
      <c r="G6152" s="163"/>
      <c r="H6152" s="163"/>
      <c r="I6152" s="163"/>
      <c r="J6152" s="165"/>
      <c r="K6152" s="165"/>
      <c r="L6152" s="165"/>
      <c r="M6152" s="166"/>
      <c r="N6152" s="167"/>
      <c r="O6152" s="163"/>
      <c r="P6152" s="163"/>
      <c r="Q6152" s="163"/>
      <c r="R6152" s="163"/>
      <c r="S6152" s="161"/>
      <c r="T6152" s="161"/>
      <c r="U6152" s="161"/>
      <c r="V6152" s="161"/>
      <c r="W6152" s="161"/>
      <c r="X6152" s="161"/>
      <c r="Y6152" s="161"/>
      <c r="Z6152" s="168"/>
      <c r="AA6152" s="168"/>
      <c r="AB6152" s="168"/>
      <c r="AC6152" s="168"/>
    </row>
    <row r="6153">
      <c r="A6153" s="161"/>
      <c r="B6153" s="161"/>
      <c r="C6153" s="162"/>
      <c r="D6153" s="163"/>
      <c r="E6153" s="163"/>
      <c r="F6153" s="163"/>
      <c r="G6153" s="163"/>
      <c r="H6153" s="163"/>
      <c r="I6153" s="163"/>
      <c r="J6153" s="165"/>
      <c r="K6153" s="165"/>
      <c r="L6153" s="165"/>
      <c r="M6153" s="166"/>
      <c r="N6153" s="167"/>
      <c r="O6153" s="163"/>
      <c r="P6153" s="163"/>
      <c r="Q6153" s="163"/>
      <c r="R6153" s="163"/>
      <c r="S6153" s="161"/>
      <c r="T6153" s="161"/>
      <c r="U6153" s="161"/>
      <c r="V6153" s="161"/>
      <c r="W6153" s="161"/>
      <c r="X6153" s="161"/>
      <c r="Y6153" s="161"/>
      <c r="Z6153" s="168"/>
      <c r="AA6153" s="168"/>
      <c r="AB6153" s="168"/>
      <c r="AC6153" s="168"/>
    </row>
    <row r="6154">
      <c r="A6154" s="161"/>
      <c r="B6154" s="161"/>
      <c r="C6154" s="162"/>
      <c r="D6154" s="163"/>
      <c r="E6154" s="163"/>
      <c r="F6154" s="163"/>
      <c r="G6154" s="163"/>
      <c r="H6154" s="163"/>
      <c r="I6154" s="163"/>
      <c r="J6154" s="165"/>
      <c r="K6154" s="165"/>
      <c r="L6154" s="165"/>
      <c r="M6154" s="166"/>
      <c r="N6154" s="167"/>
      <c r="O6154" s="163"/>
      <c r="P6154" s="163"/>
      <c r="Q6154" s="163"/>
      <c r="R6154" s="163"/>
      <c r="S6154" s="161"/>
      <c r="T6154" s="161"/>
      <c r="U6154" s="161"/>
      <c r="V6154" s="161"/>
      <c r="W6154" s="161"/>
      <c r="X6154" s="161"/>
      <c r="Y6154" s="161"/>
      <c r="Z6154" s="168"/>
      <c r="AA6154" s="168"/>
      <c r="AB6154" s="168"/>
      <c r="AC6154" s="168"/>
    </row>
    <row r="6155">
      <c r="A6155" s="161"/>
      <c r="B6155" s="161"/>
      <c r="C6155" s="162"/>
      <c r="D6155" s="163"/>
      <c r="E6155" s="163"/>
      <c r="F6155" s="163"/>
      <c r="G6155" s="163"/>
      <c r="H6155" s="163"/>
      <c r="I6155" s="163"/>
      <c r="J6155" s="165"/>
      <c r="K6155" s="165"/>
      <c r="L6155" s="165"/>
      <c r="M6155" s="166"/>
      <c r="N6155" s="167"/>
      <c r="O6155" s="163"/>
      <c r="P6155" s="163"/>
      <c r="Q6155" s="163"/>
      <c r="R6155" s="163"/>
      <c r="S6155" s="161"/>
      <c r="T6155" s="161"/>
      <c r="U6155" s="161"/>
      <c r="V6155" s="161"/>
      <c r="W6155" s="161"/>
      <c r="X6155" s="161"/>
      <c r="Y6155" s="161"/>
      <c r="Z6155" s="168"/>
      <c r="AA6155" s="168"/>
      <c r="AB6155" s="168"/>
      <c r="AC6155" s="168"/>
    </row>
    <row r="6156">
      <c r="A6156" s="161"/>
      <c r="B6156" s="161"/>
      <c r="C6156" s="162"/>
      <c r="D6156" s="163"/>
      <c r="E6156" s="163"/>
      <c r="F6156" s="163"/>
      <c r="G6156" s="163"/>
      <c r="H6156" s="163"/>
      <c r="I6156" s="163"/>
      <c r="J6156" s="165"/>
      <c r="K6156" s="165"/>
      <c r="L6156" s="165"/>
      <c r="M6156" s="166"/>
      <c r="N6156" s="167"/>
      <c r="O6156" s="163"/>
      <c r="P6156" s="163"/>
      <c r="Q6156" s="163"/>
      <c r="R6156" s="163"/>
      <c r="S6156" s="161"/>
      <c r="T6156" s="161"/>
      <c r="U6156" s="161"/>
      <c r="V6156" s="161"/>
      <c r="W6156" s="161"/>
      <c r="X6156" s="161"/>
      <c r="Y6156" s="161"/>
      <c r="Z6156" s="168"/>
      <c r="AA6156" s="168"/>
      <c r="AB6156" s="168"/>
      <c r="AC6156" s="168"/>
    </row>
    <row r="6157">
      <c r="A6157" s="161"/>
      <c r="B6157" s="161"/>
      <c r="C6157" s="162"/>
      <c r="D6157" s="163"/>
      <c r="E6157" s="163"/>
      <c r="F6157" s="163"/>
      <c r="G6157" s="163"/>
      <c r="H6157" s="163"/>
      <c r="I6157" s="163"/>
      <c r="J6157" s="165"/>
      <c r="K6157" s="165"/>
      <c r="L6157" s="165"/>
      <c r="M6157" s="166"/>
      <c r="N6157" s="167"/>
      <c r="O6157" s="163"/>
      <c r="P6157" s="163"/>
      <c r="Q6157" s="163"/>
      <c r="R6157" s="163"/>
      <c r="S6157" s="161"/>
      <c r="T6157" s="161"/>
      <c r="U6157" s="161"/>
      <c r="V6157" s="161"/>
      <c r="W6157" s="161"/>
      <c r="X6157" s="161"/>
      <c r="Y6157" s="161"/>
      <c r="Z6157" s="168"/>
      <c r="AA6157" s="168"/>
      <c r="AB6157" s="168"/>
      <c r="AC6157" s="168"/>
    </row>
    <row r="6158">
      <c r="A6158" s="161"/>
      <c r="B6158" s="161"/>
      <c r="C6158" s="162"/>
      <c r="D6158" s="163"/>
      <c r="E6158" s="163"/>
      <c r="F6158" s="163"/>
      <c r="G6158" s="163"/>
      <c r="H6158" s="163"/>
      <c r="I6158" s="163"/>
      <c r="J6158" s="165"/>
      <c r="K6158" s="165"/>
      <c r="L6158" s="165"/>
      <c r="M6158" s="166"/>
      <c r="N6158" s="167"/>
      <c r="O6158" s="163"/>
      <c r="P6158" s="163"/>
      <c r="Q6158" s="163"/>
      <c r="R6158" s="163"/>
      <c r="S6158" s="161"/>
      <c r="T6158" s="161"/>
      <c r="U6158" s="161"/>
      <c r="V6158" s="161"/>
      <c r="W6158" s="161"/>
      <c r="X6158" s="161"/>
      <c r="Y6158" s="161"/>
      <c r="Z6158" s="168"/>
      <c r="AA6158" s="168"/>
      <c r="AB6158" s="168"/>
      <c r="AC6158" s="168"/>
    </row>
    <row r="6159">
      <c r="A6159" s="161"/>
      <c r="B6159" s="161"/>
      <c r="C6159" s="162"/>
      <c r="D6159" s="163"/>
      <c r="E6159" s="163"/>
      <c r="F6159" s="163"/>
      <c r="G6159" s="163"/>
      <c r="H6159" s="163"/>
      <c r="I6159" s="163"/>
      <c r="J6159" s="165"/>
      <c r="K6159" s="165"/>
      <c r="L6159" s="165"/>
      <c r="M6159" s="166"/>
      <c r="N6159" s="167"/>
      <c r="O6159" s="163"/>
      <c r="P6159" s="163"/>
      <c r="Q6159" s="163"/>
      <c r="R6159" s="163"/>
      <c r="S6159" s="161"/>
      <c r="T6159" s="161"/>
      <c r="U6159" s="161"/>
      <c r="V6159" s="161"/>
      <c r="W6159" s="161"/>
      <c r="X6159" s="161"/>
      <c r="Y6159" s="161"/>
      <c r="Z6159" s="168"/>
      <c r="AA6159" s="168"/>
      <c r="AB6159" s="168"/>
      <c r="AC6159" s="168"/>
    </row>
    <row r="6160">
      <c r="A6160" s="161"/>
      <c r="B6160" s="161"/>
      <c r="C6160" s="162"/>
      <c r="D6160" s="163"/>
      <c r="E6160" s="163"/>
      <c r="F6160" s="163"/>
      <c r="G6160" s="163"/>
      <c r="H6160" s="163"/>
      <c r="I6160" s="163"/>
      <c r="J6160" s="165"/>
      <c r="K6160" s="165"/>
      <c r="L6160" s="165"/>
      <c r="M6160" s="166"/>
      <c r="N6160" s="167"/>
      <c r="O6160" s="163"/>
      <c r="P6160" s="163"/>
      <c r="Q6160" s="163"/>
      <c r="R6160" s="163"/>
      <c r="S6160" s="161"/>
      <c r="T6160" s="161"/>
      <c r="U6160" s="161"/>
      <c r="V6160" s="161"/>
      <c r="W6160" s="161"/>
      <c r="X6160" s="161"/>
      <c r="Y6160" s="161"/>
      <c r="Z6160" s="168"/>
      <c r="AA6160" s="168"/>
      <c r="AB6160" s="168"/>
      <c r="AC6160" s="168"/>
    </row>
    <row r="6161">
      <c r="A6161" s="161"/>
      <c r="B6161" s="161"/>
      <c r="C6161" s="162"/>
      <c r="D6161" s="163"/>
      <c r="E6161" s="163"/>
      <c r="F6161" s="163"/>
      <c r="G6161" s="163"/>
      <c r="H6161" s="163"/>
      <c r="I6161" s="163"/>
      <c r="J6161" s="165"/>
      <c r="K6161" s="165"/>
      <c r="L6161" s="165"/>
      <c r="M6161" s="166"/>
      <c r="N6161" s="167"/>
      <c r="O6161" s="163"/>
      <c r="P6161" s="163"/>
      <c r="Q6161" s="163"/>
      <c r="R6161" s="163"/>
      <c r="S6161" s="161"/>
      <c r="T6161" s="161"/>
      <c r="U6161" s="161"/>
      <c r="V6161" s="161"/>
      <c r="W6161" s="161"/>
      <c r="X6161" s="161"/>
      <c r="Y6161" s="161"/>
      <c r="Z6161" s="168"/>
      <c r="AA6161" s="168"/>
      <c r="AB6161" s="168"/>
      <c r="AC6161" s="168"/>
    </row>
    <row r="6162">
      <c r="A6162" s="161"/>
      <c r="B6162" s="161"/>
      <c r="C6162" s="162"/>
      <c r="D6162" s="163"/>
      <c r="E6162" s="163"/>
      <c r="F6162" s="163"/>
      <c r="G6162" s="163"/>
      <c r="H6162" s="163"/>
      <c r="I6162" s="163"/>
      <c r="J6162" s="165"/>
      <c r="K6162" s="165"/>
      <c r="L6162" s="165"/>
      <c r="M6162" s="166"/>
      <c r="N6162" s="167"/>
      <c r="O6162" s="163"/>
      <c r="P6162" s="163"/>
      <c r="Q6162" s="163"/>
      <c r="R6162" s="163"/>
      <c r="S6162" s="161"/>
      <c r="T6162" s="161"/>
      <c r="U6162" s="161"/>
      <c r="V6162" s="161"/>
      <c r="W6162" s="161"/>
      <c r="X6162" s="161"/>
      <c r="Y6162" s="161"/>
      <c r="Z6162" s="168"/>
      <c r="AA6162" s="168"/>
      <c r="AB6162" s="168"/>
      <c r="AC6162" s="168"/>
    </row>
    <row r="6163">
      <c r="A6163" s="161"/>
      <c r="B6163" s="161"/>
      <c r="C6163" s="162"/>
      <c r="D6163" s="163"/>
      <c r="E6163" s="163"/>
      <c r="F6163" s="163"/>
      <c r="G6163" s="163"/>
      <c r="H6163" s="163"/>
      <c r="I6163" s="163"/>
      <c r="J6163" s="165"/>
      <c r="K6163" s="165"/>
      <c r="L6163" s="165"/>
      <c r="M6163" s="166"/>
      <c r="N6163" s="167"/>
      <c r="O6163" s="163"/>
      <c r="P6163" s="163"/>
      <c r="Q6163" s="163"/>
      <c r="R6163" s="163"/>
      <c r="S6163" s="161"/>
      <c r="T6163" s="161"/>
      <c r="U6163" s="161"/>
      <c r="V6163" s="161"/>
      <c r="W6163" s="161"/>
      <c r="X6163" s="161"/>
      <c r="Y6163" s="161"/>
      <c r="Z6163" s="168"/>
      <c r="AA6163" s="168"/>
      <c r="AB6163" s="168"/>
      <c r="AC6163" s="168"/>
    </row>
    <row r="6164">
      <c r="A6164" s="161"/>
      <c r="B6164" s="161"/>
      <c r="C6164" s="162"/>
      <c r="D6164" s="163"/>
      <c r="E6164" s="163"/>
      <c r="F6164" s="163"/>
      <c r="G6164" s="163"/>
      <c r="H6164" s="163"/>
      <c r="I6164" s="163"/>
      <c r="J6164" s="165"/>
      <c r="K6164" s="165"/>
      <c r="L6164" s="165"/>
      <c r="M6164" s="166"/>
      <c r="N6164" s="167"/>
      <c r="O6164" s="163"/>
      <c r="P6164" s="163"/>
      <c r="Q6164" s="163"/>
      <c r="R6164" s="163"/>
      <c r="S6164" s="161"/>
      <c r="T6164" s="161"/>
      <c r="U6164" s="161"/>
      <c r="V6164" s="161"/>
      <c r="W6164" s="161"/>
      <c r="X6164" s="161"/>
      <c r="Y6164" s="161"/>
      <c r="Z6164" s="168"/>
      <c r="AA6164" s="168"/>
      <c r="AB6164" s="168"/>
      <c r="AC6164" s="168"/>
    </row>
    <row r="6165">
      <c r="A6165" s="161"/>
      <c r="B6165" s="161"/>
      <c r="C6165" s="162"/>
      <c r="D6165" s="163"/>
      <c r="E6165" s="163"/>
      <c r="F6165" s="163"/>
      <c r="G6165" s="163"/>
      <c r="H6165" s="163"/>
      <c r="I6165" s="163"/>
      <c r="J6165" s="165"/>
      <c r="K6165" s="165"/>
      <c r="L6165" s="165"/>
      <c r="M6165" s="166"/>
      <c r="N6165" s="167"/>
      <c r="O6165" s="163"/>
      <c r="P6165" s="163"/>
      <c r="Q6165" s="163"/>
      <c r="R6165" s="163"/>
      <c r="S6165" s="161"/>
      <c r="T6165" s="161"/>
      <c r="U6165" s="161"/>
      <c r="V6165" s="161"/>
      <c r="W6165" s="161"/>
      <c r="X6165" s="161"/>
      <c r="Y6165" s="161"/>
      <c r="Z6165" s="168"/>
      <c r="AA6165" s="168"/>
      <c r="AB6165" s="168"/>
      <c r="AC6165" s="168"/>
    </row>
    <row r="6166">
      <c r="A6166" s="161"/>
      <c r="B6166" s="161"/>
      <c r="C6166" s="162"/>
      <c r="D6166" s="163"/>
      <c r="E6166" s="163"/>
      <c r="F6166" s="163"/>
      <c r="G6166" s="163"/>
      <c r="H6166" s="163"/>
      <c r="I6166" s="163"/>
      <c r="J6166" s="165"/>
      <c r="K6166" s="165"/>
      <c r="L6166" s="165"/>
      <c r="M6166" s="166"/>
      <c r="N6166" s="167"/>
      <c r="O6166" s="163"/>
      <c r="P6166" s="163"/>
      <c r="Q6166" s="163"/>
      <c r="R6166" s="163"/>
      <c r="S6166" s="161"/>
      <c r="T6166" s="161"/>
      <c r="U6166" s="161"/>
      <c r="V6166" s="161"/>
      <c r="W6166" s="161"/>
      <c r="X6166" s="161"/>
      <c r="Y6166" s="161"/>
      <c r="Z6166" s="168"/>
      <c r="AA6166" s="168"/>
      <c r="AB6166" s="168"/>
      <c r="AC6166" s="168"/>
    </row>
    <row r="6167">
      <c r="A6167" s="161"/>
      <c r="B6167" s="161"/>
      <c r="C6167" s="162"/>
      <c r="D6167" s="163"/>
      <c r="E6167" s="163"/>
      <c r="F6167" s="163"/>
      <c r="G6167" s="163"/>
      <c r="H6167" s="163"/>
      <c r="I6167" s="163"/>
      <c r="J6167" s="165"/>
      <c r="K6167" s="165"/>
      <c r="L6167" s="165"/>
      <c r="M6167" s="166"/>
      <c r="N6167" s="167"/>
      <c r="O6167" s="163"/>
      <c r="P6167" s="163"/>
      <c r="Q6167" s="163"/>
      <c r="R6167" s="163"/>
      <c r="S6167" s="161"/>
      <c r="T6167" s="161"/>
      <c r="U6167" s="161"/>
      <c r="V6167" s="161"/>
      <c r="W6167" s="161"/>
      <c r="X6167" s="161"/>
      <c r="Y6167" s="161"/>
      <c r="Z6167" s="168"/>
      <c r="AA6167" s="168"/>
      <c r="AB6167" s="168"/>
      <c r="AC6167" s="168"/>
    </row>
    <row r="6168">
      <c r="A6168" s="161"/>
      <c r="B6168" s="161"/>
      <c r="C6168" s="162"/>
      <c r="D6168" s="163"/>
      <c r="E6168" s="163"/>
      <c r="F6168" s="163"/>
      <c r="G6168" s="163"/>
      <c r="H6168" s="163"/>
      <c r="I6168" s="163"/>
      <c r="J6168" s="165"/>
      <c r="K6168" s="165"/>
      <c r="L6168" s="165"/>
      <c r="M6168" s="166"/>
      <c r="N6168" s="167"/>
      <c r="O6168" s="163"/>
      <c r="P6168" s="163"/>
      <c r="Q6168" s="163"/>
      <c r="R6168" s="163"/>
      <c r="S6168" s="161"/>
      <c r="T6168" s="161"/>
      <c r="U6168" s="161"/>
      <c r="V6168" s="161"/>
      <c r="W6168" s="161"/>
      <c r="X6168" s="161"/>
      <c r="Y6168" s="161"/>
      <c r="Z6168" s="168"/>
      <c r="AA6168" s="168"/>
      <c r="AB6168" s="168"/>
      <c r="AC6168" s="168"/>
    </row>
    <row r="6169">
      <c r="A6169" s="161"/>
      <c r="B6169" s="161"/>
      <c r="C6169" s="162"/>
      <c r="D6169" s="163"/>
      <c r="E6169" s="163"/>
      <c r="F6169" s="163"/>
      <c r="G6169" s="163"/>
      <c r="H6169" s="163"/>
      <c r="I6169" s="163"/>
      <c r="J6169" s="165"/>
      <c r="K6169" s="165"/>
      <c r="L6169" s="165"/>
      <c r="M6169" s="166"/>
      <c r="N6169" s="167"/>
      <c r="O6169" s="163"/>
      <c r="P6169" s="163"/>
      <c r="Q6169" s="163"/>
      <c r="R6169" s="163"/>
      <c r="S6169" s="161"/>
      <c r="T6169" s="161"/>
      <c r="U6169" s="161"/>
      <c r="V6169" s="161"/>
      <c r="W6169" s="161"/>
      <c r="X6169" s="161"/>
      <c r="Y6169" s="161"/>
      <c r="Z6169" s="168"/>
      <c r="AA6169" s="168"/>
      <c r="AB6169" s="168"/>
      <c r="AC6169" s="168"/>
    </row>
    <row r="6170">
      <c r="A6170" s="161"/>
      <c r="B6170" s="161"/>
      <c r="C6170" s="162"/>
      <c r="D6170" s="163"/>
      <c r="E6170" s="163"/>
      <c r="F6170" s="163"/>
      <c r="G6170" s="163"/>
      <c r="H6170" s="163"/>
      <c r="I6170" s="163"/>
      <c r="J6170" s="165"/>
      <c r="K6170" s="165"/>
      <c r="L6170" s="165"/>
      <c r="M6170" s="166"/>
      <c r="N6170" s="167"/>
      <c r="O6170" s="163"/>
      <c r="P6170" s="163"/>
      <c r="Q6170" s="163"/>
      <c r="R6170" s="163"/>
      <c r="S6170" s="161"/>
      <c r="T6170" s="161"/>
      <c r="U6170" s="161"/>
      <c r="V6170" s="161"/>
      <c r="W6170" s="161"/>
      <c r="X6170" s="161"/>
      <c r="Y6170" s="161"/>
      <c r="Z6170" s="168"/>
      <c r="AA6170" s="168"/>
      <c r="AB6170" s="168"/>
      <c r="AC6170" s="168"/>
    </row>
    <row r="6171">
      <c r="A6171" s="161"/>
      <c r="B6171" s="161"/>
      <c r="C6171" s="162"/>
      <c r="D6171" s="163"/>
      <c r="E6171" s="163"/>
      <c r="F6171" s="163"/>
      <c r="G6171" s="163"/>
      <c r="H6171" s="163"/>
      <c r="I6171" s="163"/>
      <c r="J6171" s="165"/>
      <c r="K6171" s="165"/>
      <c r="L6171" s="165"/>
      <c r="M6171" s="166"/>
      <c r="N6171" s="167"/>
      <c r="O6171" s="163"/>
      <c r="P6171" s="163"/>
      <c r="Q6171" s="163"/>
      <c r="R6171" s="163"/>
      <c r="S6171" s="161"/>
      <c r="T6171" s="161"/>
      <c r="U6171" s="161"/>
      <c r="V6171" s="161"/>
      <c r="W6171" s="161"/>
      <c r="X6171" s="161"/>
      <c r="Y6171" s="161"/>
      <c r="Z6171" s="168"/>
      <c r="AA6171" s="168"/>
      <c r="AB6171" s="168"/>
      <c r="AC6171" s="168"/>
    </row>
    <row r="6172">
      <c r="A6172" s="161"/>
      <c r="B6172" s="161"/>
      <c r="C6172" s="162"/>
      <c r="D6172" s="163"/>
      <c r="E6172" s="163"/>
      <c r="F6172" s="163"/>
      <c r="G6172" s="163"/>
      <c r="H6172" s="163"/>
      <c r="I6172" s="163"/>
      <c r="J6172" s="165"/>
      <c r="K6172" s="165"/>
      <c r="L6172" s="165"/>
      <c r="M6172" s="166"/>
      <c r="N6172" s="167"/>
      <c r="O6172" s="163"/>
      <c r="P6172" s="163"/>
      <c r="Q6172" s="163"/>
      <c r="R6172" s="163"/>
      <c r="S6172" s="161"/>
      <c r="T6172" s="161"/>
      <c r="U6172" s="161"/>
      <c r="V6172" s="161"/>
      <c r="W6172" s="161"/>
      <c r="X6172" s="161"/>
      <c r="Y6172" s="161"/>
      <c r="Z6172" s="168"/>
      <c r="AA6172" s="168"/>
      <c r="AB6172" s="168"/>
      <c r="AC6172" s="168"/>
    </row>
    <row r="6173">
      <c r="A6173" s="161"/>
      <c r="B6173" s="161"/>
      <c r="C6173" s="162"/>
      <c r="D6173" s="163"/>
      <c r="E6173" s="163"/>
      <c r="F6173" s="163"/>
      <c r="G6173" s="163"/>
      <c r="H6173" s="163"/>
      <c r="I6173" s="163"/>
      <c r="J6173" s="165"/>
      <c r="K6173" s="165"/>
      <c r="L6173" s="165"/>
      <c r="M6173" s="166"/>
      <c r="N6173" s="167"/>
      <c r="O6173" s="163"/>
      <c r="P6173" s="163"/>
      <c r="Q6173" s="163"/>
      <c r="R6173" s="163"/>
      <c r="S6173" s="161"/>
      <c r="T6173" s="161"/>
      <c r="U6173" s="161"/>
      <c r="V6173" s="161"/>
      <c r="W6173" s="161"/>
      <c r="X6173" s="161"/>
      <c r="Y6173" s="161"/>
      <c r="Z6173" s="168"/>
      <c r="AA6173" s="168"/>
      <c r="AB6173" s="168"/>
      <c r="AC6173" s="168"/>
    </row>
    <row r="6174">
      <c r="A6174" s="161"/>
      <c r="B6174" s="161"/>
      <c r="C6174" s="162"/>
      <c r="D6174" s="163"/>
      <c r="E6174" s="163"/>
      <c r="F6174" s="163"/>
      <c r="G6174" s="163"/>
      <c r="H6174" s="163"/>
      <c r="I6174" s="163"/>
      <c r="J6174" s="165"/>
      <c r="K6174" s="165"/>
      <c r="L6174" s="165"/>
      <c r="M6174" s="166"/>
      <c r="N6174" s="167"/>
      <c r="O6174" s="163"/>
      <c r="P6174" s="163"/>
      <c r="Q6174" s="163"/>
      <c r="R6174" s="163"/>
      <c r="S6174" s="161"/>
      <c r="T6174" s="161"/>
      <c r="U6174" s="161"/>
      <c r="V6174" s="161"/>
      <c r="W6174" s="161"/>
      <c r="X6174" s="161"/>
      <c r="Y6174" s="161"/>
      <c r="Z6174" s="168"/>
      <c r="AA6174" s="168"/>
      <c r="AB6174" s="168"/>
      <c r="AC6174" s="168"/>
    </row>
    <row r="6175">
      <c r="A6175" s="161"/>
      <c r="B6175" s="161"/>
      <c r="C6175" s="162"/>
      <c r="D6175" s="163"/>
      <c r="E6175" s="163"/>
      <c r="F6175" s="163"/>
      <c r="G6175" s="163"/>
      <c r="H6175" s="163"/>
      <c r="I6175" s="163"/>
      <c r="J6175" s="165"/>
      <c r="K6175" s="165"/>
      <c r="L6175" s="165"/>
      <c r="M6175" s="166"/>
      <c r="N6175" s="167"/>
      <c r="O6175" s="163"/>
      <c r="P6175" s="163"/>
      <c r="Q6175" s="163"/>
      <c r="R6175" s="163"/>
      <c r="S6175" s="161"/>
      <c r="T6175" s="161"/>
      <c r="U6175" s="161"/>
      <c r="V6175" s="161"/>
      <c r="W6175" s="161"/>
      <c r="X6175" s="161"/>
      <c r="Y6175" s="161"/>
      <c r="Z6175" s="168"/>
      <c r="AA6175" s="168"/>
      <c r="AB6175" s="168"/>
      <c r="AC6175" s="168"/>
    </row>
    <row r="6176">
      <c r="A6176" s="161"/>
      <c r="B6176" s="161"/>
      <c r="C6176" s="162"/>
      <c r="D6176" s="163"/>
      <c r="E6176" s="163"/>
      <c r="F6176" s="163"/>
      <c r="G6176" s="163"/>
      <c r="H6176" s="163"/>
      <c r="I6176" s="163"/>
      <c r="J6176" s="165"/>
      <c r="K6176" s="165"/>
      <c r="L6176" s="165"/>
      <c r="M6176" s="166"/>
      <c r="N6176" s="167"/>
      <c r="O6176" s="163"/>
      <c r="P6176" s="163"/>
      <c r="Q6176" s="163"/>
      <c r="R6176" s="163"/>
      <c r="S6176" s="161"/>
      <c r="T6176" s="161"/>
      <c r="U6176" s="161"/>
      <c r="V6176" s="161"/>
      <c r="W6176" s="161"/>
      <c r="X6176" s="161"/>
      <c r="Y6176" s="161"/>
      <c r="Z6176" s="168"/>
      <c r="AA6176" s="168"/>
      <c r="AB6176" s="168"/>
      <c r="AC6176" s="168"/>
    </row>
    <row r="6177">
      <c r="A6177" s="161"/>
      <c r="B6177" s="161"/>
      <c r="C6177" s="162"/>
      <c r="D6177" s="163"/>
      <c r="E6177" s="163"/>
      <c r="F6177" s="163"/>
      <c r="G6177" s="163"/>
      <c r="H6177" s="163"/>
      <c r="I6177" s="163"/>
      <c r="J6177" s="165"/>
      <c r="K6177" s="165"/>
      <c r="L6177" s="165"/>
      <c r="M6177" s="166"/>
      <c r="N6177" s="167"/>
      <c r="O6177" s="163"/>
      <c r="P6177" s="163"/>
      <c r="Q6177" s="163"/>
      <c r="R6177" s="163"/>
      <c r="S6177" s="161"/>
      <c r="T6177" s="161"/>
      <c r="U6177" s="161"/>
      <c r="V6177" s="161"/>
      <c r="W6177" s="161"/>
      <c r="X6177" s="161"/>
      <c r="Y6177" s="161"/>
      <c r="Z6177" s="168"/>
      <c r="AA6177" s="168"/>
      <c r="AB6177" s="168"/>
      <c r="AC6177" s="168"/>
    </row>
    <row r="6178">
      <c r="A6178" s="161"/>
      <c r="B6178" s="161"/>
      <c r="C6178" s="162"/>
      <c r="D6178" s="163"/>
      <c r="E6178" s="163"/>
      <c r="F6178" s="163"/>
      <c r="G6178" s="163"/>
      <c r="H6178" s="163"/>
      <c r="I6178" s="163"/>
      <c r="J6178" s="165"/>
      <c r="K6178" s="165"/>
      <c r="L6178" s="165"/>
      <c r="M6178" s="166"/>
      <c r="N6178" s="167"/>
      <c r="O6178" s="163"/>
      <c r="P6178" s="163"/>
      <c r="Q6178" s="163"/>
      <c r="R6178" s="163"/>
      <c r="S6178" s="161"/>
      <c r="T6178" s="161"/>
      <c r="U6178" s="161"/>
      <c r="V6178" s="161"/>
      <c r="W6178" s="161"/>
      <c r="X6178" s="161"/>
      <c r="Y6178" s="161"/>
      <c r="Z6178" s="168"/>
      <c r="AA6178" s="168"/>
      <c r="AB6178" s="168"/>
      <c r="AC6178" s="168"/>
    </row>
    <row r="6179">
      <c r="A6179" s="161"/>
      <c r="B6179" s="161"/>
      <c r="C6179" s="162"/>
      <c r="D6179" s="163"/>
      <c r="E6179" s="163"/>
      <c r="F6179" s="163"/>
      <c r="G6179" s="163"/>
      <c r="H6179" s="163"/>
      <c r="I6179" s="163"/>
      <c r="J6179" s="165"/>
      <c r="K6179" s="165"/>
      <c r="L6179" s="165"/>
      <c r="M6179" s="166"/>
      <c r="N6179" s="167"/>
      <c r="O6179" s="163"/>
      <c r="P6179" s="163"/>
      <c r="Q6179" s="163"/>
      <c r="R6179" s="163"/>
      <c r="S6179" s="161"/>
      <c r="T6179" s="161"/>
      <c r="U6179" s="161"/>
      <c r="V6179" s="161"/>
      <c r="W6179" s="161"/>
      <c r="X6179" s="161"/>
      <c r="Y6179" s="161"/>
      <c r="Z6179" s="168"/>
      <c r="AA6179" s="168"/>
      <c r="AB6179" s="168"/>
      <c r="AC6179" s="168"/>
    </row>
    <row r="6180">
      <c r="A6180" s="161"/>
      <c r="B6180" s="161"/>
      <c r="C6180" s="162"/>
      <c r="D6180" s="163"/>
      <c r="E6180" s="163"/>
      <c r="F6180" s="163"/>
      <c r="G6180" s="163"/>
      <c r="H6180" s="163"/>
      <c r="I6180" s="163"/>
      <c r="J6180" s="165"/>
      <c r="K6180" s="165"/>
      <c r="L6180" s="165"/>
      <c r="M6180" s="166"/>
      <c r="N6180" s="167"/>
      <c r="O6180" s="163"/>
      <c r="P6180" s="163"/>
      <c r="Q6180" s="163"/>
      <c r="R6180" s="163"/>
      <c r="S6180" s="161"/>
      <c r="T6180" s="161"/>
      <c r="U6180" s="161"/>
      <c r="V6180" s="161"/>
      <c r="W6180" s="161"/>
      <c r="X6180" s="161"/>
      <c r="Y6180" s="161"/>
      <c r="Z6180" s="168"/>
      <c r="AA6180" s="168"/>
      <c r="AB6180" s="168"/>
      <c r="AC6180" s="168"/>
    </row>
    <row r="6181">
      <c r="A6181" s="161"/>
      <c r="B6181" s="161"/>
      <c r="C6181" s="162"/>
      <c r="D6181" s="163"/>
      <c r="E6181" s="163"/>
      <c r="F6181" s="163"/>
      <c r="G6181" s="163"/>
      <c r="H6181" s="163"/>
      <c r="I6181" s="163"/>
      <c r="J6181" s="165"/>
      <c r="K6181" s="165"/>
      <c r="L6181" s="165"/>
      <c r="M6181" s="166"/>
      <c r="N6181" s="167"/>
      <c r="O6181" s="163"/>
      <c r="P6181" s="163"/>
      <c r="Q6181" s="163"/>
      <c r="R6181" s="163"/>
      <c r="S6181" s="161"/>
      <c r="T6181" s="161"/>
      <c r="U6181" s="161"/>
      <c r="V6181" s="161"/>
      <c r="W6181" s="161"/>
      <c r="X6181" s="161"/>
      <c r="Y6181" s="161"/>
      <c r="Z6181" s="168"/>
      <c r="AA6181" s="168"/>
      <c r="AB6181" s="168"/>
      <c r="AC6181" s="168"/>
    </row>
    <row r="6182">
      <c r="A6182" s="161"/>
      <c r="B6182" s="161"/>
      <c r="C6182" s="162"/>
      <c r="D6182" s="163"/>
      <c r="E6182" s="163"/>
      <c r="F6182" s="163"/>
      <c r="G6182" s="163"/>
      <c r="H6182" s="163"/>
      <c r="I6182" s="163"/>
      <c r="J6182" s="165"/>
      <c r="K6182" s="165"/>
      <c r="L6182" s="165"/>
      <c r="M6182" s="166"/>
      <c r="N6182" s="167"/>
      <c r="O6182" s="163"/>
      <c r="P6182" s="163"/>
      <c r="Q6182" s="163"/>
      <c r="R6182" s="163"/>
      <c r="S6182" s="161"/>
      <c r="T6182" s="161"/>
      <c r="U6182" s="161"/>
      <c r="V6182" s="161"/>
      <c r="W6182" s="161"/>
      <c r="X6182" s="161"/>
      <c r="Y6182" s="161"/>
      <c r="Z6182" s="168"/>
      <c r="AA6182" s="168"/>
      <c r="AB6182" s="168"/>
      <c r="AC6182" s="168"/>
    </row>
    <row r="6183">
      <c r="A6183" s="161"/>
      <c r="B6183" s="161"/>
      <c r="C6183" s="162"/>
      <c r="D6183" s="163"/>
      <c r="E6183" s="163"/>
      <c r="F6183" s="163"/>
      <c r="G6183" s="163"/>
      <c r="H6183" s="163"/>
      <c r="I6183" s="163"/>
      <c r="J6183" s="165"/>
      <c r="K6183" s="165"/>
      <c r="L6183" s="165"/>
      <c r="M6183" s="166"/>
      <c r="N6183" s="167"/>
      <c r="O6183" s="163"/>
      <c r="P6183" s="163"/>
      <c r="Q6183" s="163"/>
      <c r="R6183" s="163"/>
      <c r="S6183" s="161"/>
      <c r="T6183" s="161"/>
      <c r="U6183" s="161"/>
      <c r="V6183" s="161"/>
      <c r="W6183" s="161"/>
      <c r="X6183" s="161"/>
      <c r="Y6183" s="161"/>
      <c r="Z6183" s="168"/>
      <c r="AA6183" s="168"/>
      <c r="AB6183" s="168"/>
      <c r="AC6183" s="168"/>
    </row>
    <row r="6184">
      <c r="A6184" s="161"/>
      <c r="B6184" s="161"/>
      <c r="C6184" s="162"/>
      <c r="D6184" s="163"/>
      <c r="E6184" s="163"/>
      <c r="F6184" s="163"/>
      <c r="G6184" s="163"/>
      <c r="H6184" s="163"/>
      <c r="I6184" s="163"/>
      <c r="J6184" s="165"/>
      <c r="K6184" s="165"/>
      <c r="L6184" s="165"/>
      <c r="M6184" s="166"/>
      <c r="N6184" s="167"/>
      <c r="O6184" s="163"/>
      <c r="P6184" s="163"/>
      <c r="Q6184" s="163"/>
      <c r="R6184" s="163"/>
      <c r="S6184" s="161"/>
      <c r="T6184" s="161"/>
      <c r="U6184" s="161"/>
      <c r="V6184" s="161"/>
      <c r="W6184" s="161"/>
      <c r="X6184" s="161"/>
      <c r="Y6184" s="161"/>
      <c r="Z6184" s="168"/>
      <c r="AA6184" s="168"/>
      <c r="AB6184" s="168"/>
      <c r="AC6184" s="168"/>
    </row>
    <row r="6185">
      <c r="A6185" s="161"/>
      <c r="B6185" s="161"/>
      <c r="C6185" s="162"/>
      <c r="D6185" s="163"/>
      <c r="E6185" s="163"/>
      <c r="F6185" s="163"/>
      <c r="G6185" s="163"/>
      <c r="H6185" s="163"/>
      <c r="I6185" s="163"/>
      <c r="J6185" s="165"/>
      <c r="K6185" s="165"/>
      <c r="L6185" s="165"/>
      <c r="M6185" s="166"/>
      <c r="N6185" s="167"/>
      <c r="O6185" s="163"/>
      <c r="P6185" s="163"/>
      <c r="Q6185" s="163"/>
      <c r="R6185" s="163"/>
      <c r="S6185" s="161"/>
      <c r="T6185" s="161"/>
      <c r="U6185" s="161"/>
      <c r="V6185" s="161"/>
      <c r="W6185" s="161"/>
      <c r="X6185" s="161"/>
      <c r="Y6185" s="161"/>
      <c r="Z6185" s="168"/>
      <c r="AA6185" s="168"/>
      <c r="AB6185" s="168"/>
      <c r="AC6185" s="168"/>
    </row>
    <row r="6186">
      <c r="A6186" s="161"/>
      <c r="B6186" s="161"/>
      <c r="C6186" s="162"/>
      <c r="D6186" s="163"/>
      <c r="E6186" s="163"/>
      <c r="F6186" s="163"/>
      <c r="G6186" s="163"/>
      <c r="H6186" s="163"/>
      <c r="I6186" s="163"/>
      <c r="J6186" s="165"/>
      <c r="K6186" s="165"/>
      <c r="L6186" s="165"/>
      <c r="M6186" s="166"/>
      <c r="N6186" s="167"/>
      <c r="O6186" s="163"/>
      <c r="P6186" s="163"/>
      <c r="Q6186" s="163"/>
      <c r="R6186" s="163"/>
      <c r="S6186" s="161"/>
      <c r="T6186" s="161"/>
      <c r="U6186" s="161"/>
      <c r="V6186" s="161"/>
      <c r="W6186" s="161"/>
      <c r="X6186" s="161"/>
      <c r="Y6186" s="161"/>
      <c r="Z6186" s="168"/>
      <c r="AA6186" s="168"/>
      <c r="AB6186" s="168"/>
      <c r="AC6186" s="168"/>
    </row>
    <row r="6187">
      <c r="A6187" s="161"/>
      <c r="B6187" s="161"/>
      <c r="C6187" s="162"/>
      <c r="D6187" s="163"/>
      <c r="E6187" s="163"/>
      <c r="F6187" s="163"/>
      <c r="G6187" s="163"/>
      <c r="H6187" s="163"/>
      <c r="I6187" s="163"/>
      <c r="J6187" s="165"/>
      <c r="K6187" s="165"/>
      <c r="L6187" s="165"/>
      <c r="M6187" s="166"/>
      <c r="N6187" s="167"/>
      <c r="O6187" s="163"/>
      <c r="P6187" s="163"/>
      <c r="Q6187" s="163"/>
      <c r="R6187" s="163"/>
      <c r="S6187" s="161"/>
      <c r="T6187" s="161"/>
      <c r="U6187" s="161"/>
      <c r="V6187" s="161"/>
      <c r="W6187" s="161"/>
      <c r="X6187" s="161"/>
      <c r="Y6187" s="161"/>
      <c r="Z6187" s="168"/>
      <c r="AA6187" s="168"/>
      <c r="AB6187" s="168"/>
      <c r="AC6187" s="168"/>
    </row>
    <row r="6188">
      <c r="A6188" s="161"/>
      <c r="B6188" s="161"/>
      <c r="C6188" s="162"/>
      <c r="D6188" s="163"/>
      <c r="E6188" s="163"/>
      <c r="F6188" s="163"/>
      <c r="G6188" s="163"/>
      <c r="H6188" s="163"/>
      <c r="I6188" s="163"/>
      <c r="J6188" s="165"/>
      <c r="K6188" s="165"/>
      <c r="L6188" s="165"/>
      <c r="M6188" s="166"/>
      <c r="N6188" s="167"/>
      <c r="O6188" s="163"/>
      <c r="P6188" s="163"/>
      <c r="Q6188" s="163"/>
      <c r="R6188" s="163"/>
      <c r="S6188" s="161"/>
      <c r="T6188" s="161"/>
      <c r="U6188" s="161"/>
      <c r="V6188" s="161"/>
      <c r="W6188" s="161"/>
      <c r="X6188" s="161"/>
      <c r="Y6188" s="161"/>
      <c r="Z6188" s="168"/>
      <c r="AA6188" s="168"/>
      <c r="AB6188" s="168"/>
      <c r="AC6188" s="168"/>
    </row>
    <row r="6189">
      <c r="A6189" s="161"/>
      <c r="B6189" s="161"/>
      <c r="C6189" s="162"/>
      <c r="D6189" s="163"/>
      <c r="E6189" s="163"/>
      <c r="F6189" s="163"/>
      <c r="G6189" s="163"/>
      <c r="H6189" s="163"/>
      <c r="I6189" s="163"/>
      <c r="J6189" s="165"/>
      <c r="K6189" s="165"/>
      <c r="L6189" s="165"/>
      <c r="M6189" s="166"/>
      <c r="N6189" s="167"/>
      <c r="O6189" s="163"/>
      <c r="P6189" s="163"/>
      <c r="Q6189" s="163"/>
      <c r="R6189" s="163"/>
      <c r="S6189" s="161"/>
      <c r="T6189" s="161"/>
      <c r="U6189" s="161"/>
      <c r="V6189" s="161"/>
      <c r="W6189" s="161"/>
      <c r="X6189" s="161"/>
      <c r="Y6189" s="161"/>
      <c r="Z6189" s="168"/>
      <c r="AA6189" s="168"/>
      <c r="AB6189" s="168"/>
      <c r="AC6189" s="168"/>
    </row>
    <row r="6190">
      <c r="A6190" s="161"/>
      <c r="B6190" s="161"/>
      <c r="C6190" s="162"/>
      <c r="D6190" s="163"/>
      <c r="E6190" s="163"/>
      <c r="F6190" s="163"/>
      <c r="G6190" s="163"/>
      <c r="H6190" s="163"/>
      <c r="I6190" s="163"/>
      <c r="J6190" s="165"/>
      <c r="K6190" s="165"/>
      <c r="L6190" s="165"/>
      <c r="M6190" s="166"/>
      <c r="N6190" s="167"/>
      <c r="O6190" s="163"/>
      <c r="P6190" s="163"/>
      <c r="Q6190" s="163"/>
      <c r="R6190" s="163"/>
      <c r="S6190" s="161"/>
      <c r="T6190" s="161"/>
      <c r="U6190" s="161"/>
      <c r="V6190" s="161"/>
      <c r="W6190" s="161"/>
      <c r="X6190" s="161"/>
      <c r="Y6190" s="161"/>
      <c r="Z6190" s="168"/>
      <c r="AA6190" s="168"/>
      <c r="AB6190" s="168"/>
      <c r="AC6190" s="168"/>
    </row>
    <row r="6191">
      <c r="A6191" s="161"/>
      <c r="B6191" s="161"/>
      <c r="C6191" s="162"/>
      <c r="D6191" s="163"/>
      <c r="E6191" s="163"/>
      <c r="F6191" s="163"/>
      <c r="G6191" s="163"/>
      <c r="H6191" s="163"/>
      <c r="I6191" s="163"/>
      <c r="J6191" s="165"/>
      <c r="K6191" s="165"/>
      <c r="L6191" s="165"/>
      <c r="M6191" s="166"/>
      <c r="N6191" s="167"/>
      <c r="O6191" s="163"/>
      <c r="P6191" s="163"/>
      <c r="Q6191" s="163"/>
      <c r="R6191" s="163"/>
      <c r="S6191" s="161"/>
      <c r="T6191" s="161"/>
      <c r="U6191" s="161"/>
      <c r="V6191" s="161"/>
      <c r="W6191" s="161"/>
      <c r="X6191" s="161"/>
      <c r="Y6191" s="161"/>
      <c r="Z6191" s="168"/>
      <c r="AA6191" s="168"/>
      <c r="AB6191" s="168"/>
      <c r="AC6191" s="168"/>
    </row>
    <row r="6192">
      <c r="A6192" s="161"/>
      <c r="B6192" s="161"/>
      <c r="C6192" s="162"/>
      <c r="D6192" s="163"/>
      <c r="E6192" s="163"/>
      <c r="F6192" s="163"/>
      <c r="G6192" s="163"/>
      <c r="H6192" s="163"/>
      <c r="I6192" s="163"/>
      <c r="J6192" s="165"/>
      <c r="K6192" s="165"/>
      <c r="L6192" s="165"/>
      <c r="M6192" s="166"/>
      <c r="N6192" s="167"/>
      <c r="O6192" s="163"/>
      <c r="P6192" s="163"/>
      <c r="Q6192" s="163"/>
      <c r="R6192" s="163"/>
      <c r="S6192" s="161"/>
      <c r="T6192" s="161"/>
      <c r="U6192" s="161"/>
      <c r="V6192" s="161"/>
      <c r="W6192" s="161"/>
      <c r="X6192" s="161"/>
      <c r="Y6192" s="161"/>
      <c r="Z6192" s="168"/>
      <c r="AA6192" s="168"/>
      <c r="AB6192" s="168"/>
      <c r="AC6192" s="168"/>
    </row>
    <row r="6193">
      <c r="A6193" s="161"/>
      <c r="B6193" s="161"/>
      <c r="C6193" s="162"/>
      <c r="D6193" s="163"/>
      <c r="E6193" s="163"/>
      <c r="F6193" s="163"/>
      <c r="G6193" s="163"/>
      <c r="H6193" s="163"/>
      <c r="I6193" s="163"/>
      <c r="J6193" s="165"/>
      <c r="K6193" s="165"/>
      <c r="L6193" s="165"/>
      <c r="M6193" s="166"/>
      <c r="N6193" s="167"/>
      <c r="O6193" s="163"/>
      <c r="P6193" s="163"/>
      <c r="Q6193" s="163"/>
      <c r="R6193" s="163"/>
      <c r="S6193" s="161"/>
      <c r="T6193" s="161"/>
      <c r="U6193" s="161"/>
      <c r="V6193" s="161"/>
      <c r="W6193" s="161"/>
      <c r="X6193" s="161"/>
      <c r="Y6193" s="161"/>
      <c r="Z6193" s="168"/>
      <c r="AA6193" s="168"/>
      <c r="AB6193" s="168"/>
      <c r="AC6193" s="168"/>
    </row>
    <row r="6194">
      <c r="A6194" s="161"/>
      <c r="B6194" s="161"/>
      <c r="C6194" s="162"/>
      <c r="D6194" s="163"/>
      <c r="E6194" s="163"/>
      <c r="F6194" s="163"/>
      <c r="G6194" s="163"/>
      <c r="H6194" s="163"/>
      <c r="I6194" s="163"/>
      <c r="J6194" s="165"/>
      <c r="K6194" s="165"/>
      <c r="L6194" s="165"/>
      <c r="M6194" s="166"/>
      <c r="N6194" s="167"/>
      <c r="O6194" s="163"/>
      <c r="P6194" s="163"/>
      <c r="Q6194" s="163"/>
      <c r="R6194" s="163"/>
      <c r="S6194" s="161"/>
      <c r="T6194" s="161"/>
      <c r="U6194" s="161"/>
      <c r="V6194" s="161"/>
      <c r="W6194" s="161"/>
      <c r="X6194" s="161"/>
      <c r="Y6194" s="161"/>
      <c r="Z6194" s="168"/>
      <c r="AA6194" s="168"/>
      <c r="AB6194" s="168"/>
      <c r="AC6194" s="168"/>
    </row>
    <row r="6195">
      <c r="A6195" s="161"/>
      <c r="B6195" s="161"/>
      <c r="C6195" s="162"/>
      <c r="D6195" s="163"/>
      <c r="E6195" s="163"/>
      <c r="F6195" s="163"/>
      <c r="G6195" s="163"/>
      <c r="H6195" s="163"/>
      <c r="I6195" s="163"/>
      <c r="J6195" s="165"/>
      <c r="K6195" s="165"/>
      <c r="L6195" s="165"/>
      <c r="M6195" s="166"/>
      <c r="N6195" s="167"/>
      <c r="O6195" s="163"/>
      <c r="P6195" s="163"/>
      <c r="Q6195" s="163"/>
      <c r="R6195" s="163"/>
      <c r="S6195" s="161"/>
      <c r="T6195" s="161"/>
      <c r="U6195" s="161"/>
      <c r="V6195" s="161"/>
      <c r="W6195" s="161"/>
      <c r="X6195" s="161"/>
      <c r="Y6195" s="161"/>
      <c r="Z6195" s="168"/>
      <c r="AA6195" s="168"/>
      <c r="AB6195" s="168"/>
      <c r="AC6195" s="168"/>
    </row>
    <row r="6196">
      <c r="A6196" s="161"/>
      <c r="B6196" s="161"/>
      <c r="C6196" s="162"/>
      <c r="D6196" s="163"/>
      <c r="E6196" s="163"/>
      <c r="F6196" s="163"/>
      <c r="G6196" s="163"/>
      <c r="H6196" s="163"/>
      <c r="I6196" s="163"/>
      <c r="J6196" s="165"/>
      <c r="K6196" s="165"/>
      <c r="L6196" s="165"/>
      <c r="M6196" s="166"/>
      <c r="N6196" s="167"/>
      <c r="O6196" s="163"/>
      <c r="P6196" s="163"/>
      <c r="Q6196" s="163"/>
      <c r="R6196" s="163"/>
      <c r="S6196" s="161"/>
      <c r="T6196" s="161"/>
      <c r="U6196" s="161"/>
      <c r="V6196" s="161"/>
      <c r="W6196" s="161"/>
      <c r="X6196" s="161"/>
      <c r="Y6196" s="161"/>
      <c r="Z6196" s="168"/>
      <c r="AA6196" s="168"/>
      <c r="AB6196" s="168"/>
      <c r="AC6196" s="168"/>
    </row>
    <row r="6197">
      <c r="A6197" s="161"/>
      <c r="B6197" s="161"/>
      <c r="C6197" s="162"/>
      <c r="D6197" s="163"/>
      <c r="E6197" s="163"/>
      <c r="F6197" s="163"/>
      <c r="G6197" s="163"/>
      <c r="H6197" s="163"/>
      <c r="I6197" s="163"/>
      <c r="J6197" s="165"/>
      <c r="K6197" s="165"/>
      <c r="L6197" s="165"/>
      <c r="M6197" s="166"/>
      <c r="N6197" s="167"/>
      <c r="O6197" s="163"/>
      <c r="P6197" s="163"/>
      <c r="Q6197" s="163"/>
      <c r="R6197" s="163"/>
      <c r="S6197" s="161"/>
      <c r="T6197" s="161"/>
      <c r="U6197" s="161"/>
      <c r="V6197" s="161"/>
      <c r="W6197" s="161"/>
      <c r="X6197" s="161"/>
      <c r="Y6197" s="161"/>
      <c r="Z6197" s="168"/>
      <c r="AA6197" s="168"/>
      <c r="AB6197" s="168"/>
      <c r="AC6197" s="168"/>
    </row>
    <row r="6198">
      <c r="A6198" s="161"/>
      <c r="B6198" s="161"/>
      <c r="C6198" s="162"/>
      <c r="D6198" s="163"/>
      <c r="E6198" s="163"/>
      <c r="F6198" s="163"/>
      <c r="G6198" s="163"/>
      <c r="H6198" s="163"/>
      <c r="I6198" s="163"/>
      <c r="J6198" s="165"/>
      <c r="K6198" s="165"/>
      <c r="L6198" s="165"/>
      <c r="M6198" s="166"/>
      <c r="N6198" s="167"/>
      <c r="O6198" s="163"/>
      <c r="P6198" s="163"/>
      <c r="Q6198" s="163"/>
      <c r="R6198" s="163"/>
      <c r="S6198" s="161"/>
      <c r="T6198" s="161"/>
      <c r="U6198" s="161"/>
      <c r="V6198" s="161"/>
      <c r="W6198" s="161"/>
      <c r="X6198" s="161"/>
      <c r="Y6198" s="161"/>
      <c r="Z6198" s="168"/>
      <c r="AA6198" s="168"/>
      <c r="AB6198" s="168"/>
      <c r="AC6198" s="168"/>
    </row>
    <row r="6199">
      <c r="A6199" s="161"/>
      <c r="B6199" s="161"/>
      <c r="C6199" s="162"/>
      <c r="D6199" s="163"/>
      <c r="E6199" s="163"/>
      <c r="F6199" s="163"/>
      <c r="G6199" s="163"/>
      <c r="H6199" s="163"/>
      <c r="I6199" s="163"/>
      <c r="J6199" s="165"/>
      <c r="K6199" s="165"/>
      <c r="L6199" s="165"/>
      <c r="M6199" s="166"/>
      <c r="N6199" s="167"/>
      <c r="O6199" s="163"/>
      <c r="P6199" s="163"/>
      <c r="Q6199" s="163"/>
      <c r="R6199" s="163"/>
      <c r="S6199" s="161"/>
      <c r="T6199" s="161"/>
      <c r="U6199" s="161"/>
      <c r="V6199" s="161"/>
      <c r="W6199" s="161"/>
      <c r="X6199" s="161"/>
      <c r="Y6199" s="161"/>
      <c r="Z6199" s="168"/>
      <c r="AA6199" s="168"/>
      <c r="AB6199" s="168"/>
      <c r="AC6199" s="168"/>
    </row>
    <row r="6200">
      <c r="A6200" s="161"/>
      <c r="B6200" s="161"/>
      <c r="C6200" s="162"/>
      <c r="D6200" s="163"/>
      <c r="E6200" s="163"/>
      <c r="F6200" s="163"/>
      <c r="G6200" s="163"/>
      <c r="H6200" s="163"/>
      <c r="I6200" s="163"/>
      <c r="J6200" s="165"/>
      <c r="K6200" s="165"/>
      <c r="L6200" s="165"/>
      <c r="M6200" s="166"/>
      <c r="N6200" s="167"/>
      <c r="O6200" s="163"/>
      <c r="P6200" s="163"/>
      <c r="Q6200" s="163"/>
      <c r="R6200" s="163"/>
      <c r="S6200" s="161"/>
      <c r="T6200" s="161"/>
      <c r="U6200" s="161"/>
      <c r="V6200" s="161"/>
      <c r="W6200" s="161"/>
      <c r="X6200" s="161"/>
      <c r="Y6200" s="161"/>
      <c r="Z6200" s="168"/>
      <c r="AA6200" s="168"/>
      <c r="AB6200" s="168"/>
      <c r="AC6200" s="168"/>
    </row>
    <row r="6201">
      <c r="A6201" s="161"/>
      <c r="B6201" s="161"/>
      <c r="C6201" s="162"/>
      <c r="D6201" s="163"/>
      <c r="E6201" s="163"/>
      <c r="F6201" s="163"/>
      <c r="G6201" s="163"/>
      <c r="H6201" s="163"/>
      <c r="I6201" s="163"/>
      <c r="J6201" s="165"/>
      <c r="K6201" s="165"/>
      <c r="L6201" s="165"/>
      <c r="M6201" s="166"/>
      <c r="N6201" s="167"/>
      <c r="O6201" s="163"/>
      <c r="P6201" s="163"/>
      <c r="Q6201" s="163"/>
      <c r="R6201" s="163"/>
      <c r="S6201" s="161"/>
      <c r="T6201" s="161"/>
      <c r="U6201" s="161"/>
      <c r="V6201" s="161"/>
      <c r="W6201" s="161"/>
      <c r="X6201" s="161"/>
      <c r="Y6201" s="161"/>
      <c r="Z6201" s="168"/>
      <c r="AA6201" s="168"/>
      <c r="AB6201" s="168"/>
      <c r="AC6201" s="168"/>
    </row>
    <row r="6202">
      <c r="A6202" s="161"/>
      <c r="B6202" s="161"/>
      <c r="C6202" s="162"/>
      <c r="D6202" s="163"/>
      <c r="E6202" s="163"/>
      <c r="F6202" s="163"/>
      <c r="G6202" s="163"/>
      <c r="H6202" s="163"/>
      <c r="I6202" s="163"/>
      <c r="J6202" s="165"/>
      <c r="K6202" s="165"/>
      <c r="L6202" s="165"/>
      <c r="M6202" s="166"/>
      <c r="N6202" s="167"/>
      <c r="O6202" s="163"/>
      <c r="P6202" s="163"/>
      <c r="Q6202" s="163"/>
      <c r="R6202" s="163"/>
      <c r="S6202" s="161"/>
      <c r="T6202" s="161"/>
      <c r="U6202" s="161"/>
      <c r="V6202" s="161"/>
      <c r="W6202" s="161"/>
      <c r="X6202" s="161"/>
      <c r="Y6202" s="161"/>
      <c r="Z6202" s="168"/>
      <c r="AA6202" s="168"/>
      <c r="AB6202" s="168"/>
      <c r="AC6202" s="168"/>
    </row>
    <row r="6203">
      <c r="A6203" s="161"/>
      <c r="B6203" s="161"/>
      <c r="C6203" s="162"/>
      <c r="D6203" s="163"/>
      <c r="E6203" s="163"/>
      <c r="F6203" s="163"/>
      <c r="G6203" s="163"/>
      <c r="H6203" s="163"/>
      <c r="I6203" s="163"/>
      <c r="J6203" s="165"/>
      <c r="K6203" s="165"/>
      <c r="L6203" s="165"/>
      <c r="M6203" s="166"/>
      <c r="N6203" s="167"/>
      <c r="O6203" s="163"/>
      <c r="P6203" s="163"/>
      <c r="Q6203" s="163"/>
      <c r="R6203" s="163"/>
      <c r="S6203" s="161"/>
      <c r="T6203" s="161"/>
      <c r="U6203" s="161"/>
      <c r="V6203" s="161"/>
      <c r="W6203" s="161"/>
      <c r="X6203" s="161"/>
      <c r="Y6203" s="161"/>
      <c r="Z6203" s="168"/>
      <c r="AA6203" s="168"/>
      <c r="AB6203" s="168"/>
      <c r="AC6203" s="168"/>
    </row>
    <row r="6204">
      <c r="A6204" s="161"/>
      <c r="B6204" s="161"/>
      <c r="C6204" s="162"/>
      <c r="D6204" s="163"/>
      <c r="E6204" s="163"/>
      <c r="F6204" s="163"/>
      <c r="G6204" s="163"/>
      <c r="H6204" s="163"/>
      <c r="I6204" s="163"/>
      <c r="J6204" s="165"/>
      <c r="K6204" s="165"/>
      <c r="L6204" s="165"/>
      <c r="M6204" s="166"/>
      <c r="N6204" s="167"/>
      <c r="O6204" s="163"/>
      <c r="P6204" s="163"/>
      <c r="Q6204" s="163"/>
      <c r="R6204" s="163"/>
      <c r="S6204" s="161"/>
      <c r="T6204" s="161"/>
      <c r="U6204" s="161"/>
      <c r="V6204" s="161"/>
      <c r="W6204" s="161"/>
      <c r="X6204" s="161"/>
      <c r="Y6204" s="161"/>
      <c r="Z6204" s="168"/>
      <c r="AA6204" s="168"/>
      <c r="AB6204" s="168"/>
      <c r="AC6204" s="168"/>
    </row>
    <row r="6205">
      <c r="A6205" s="161"/>
      <c r="B6205" s="161"/>
      <c r="C6205" s="162"/>
      <c r="D6205" s="163"/>
      <c r="E6205" s="163"/>
      <c r="F6205" s="163"/>
      <c r="G6205" s="163"/>
      <c r="H6205" s="163"/>
      <c r="I6205" s="163"/>
      <c r="J6205" s="165"/>
      <c r="K6205" s="165"/>
      <c r="L6205" s="165"/>
      <c r="M6205" s="166"/>
      <c r="N6205" s="167"/>
      <c r="O6205" s="163"/>
      <c r="P6205" s="163"/>
      <c r="Q6205" s="163"/>
      <c r="R6205" s="163"/>
      <c r="S6205" s="161"/>
      <c r="T6205" s="161"/>
      <c r="U6205" s="161"/>
      <c r="V6205" s="161"/>
      <c r="W6205" s="161"/>
      <c r="X6205" s="161"/>
      <c r="Y6205" s="161"/>
      <c r="Z6205" s="168"/>
      <c r="AA6205" s="168"/>
      <c r="AB6205" s="168"/>
      <c r="AC6205" s="168"/>
    </row>
    <row r="6206">
      <c r="A6206" s="161"/>
      <c r="B6206" s="161"/>
      <c r="C6206" s="162"/>
      <c r="D6206" s="163"/>
      <c r="E6206" s="163"/>
      <c r="F6206" s="163"/>
      <c r="G6206" s="163"/>
      <c r="H6206" s="163"/>
      <c r="I6206" s="163"/>
      <c r="J6206" s="165"/>
      <c r="K6206" s="165"/>
      <c r="L6206" s="165"/>
      <c r="M6206" s="166"/>
      <c r="N6206" s="167"/>
      <c r="O6206" s="163"/>
      <c r="P6206" s="163"/>
      <c r="Q6206" s="163"/>
      <c r="R6206" s="163"/>
      <c r="S6206" s="161"/>
      <c r="T6206" s="161"/>
      <c r="U6206" s="161"/>
      <c r="V6206" s="161"/>
      <c r="W6206" s="161"/>
      <c r="X6206" s="161"/>
      <c r="Y6206" s="161"/>
      <c r="Z6206" s="168"/>
      <c r="AA6206" s="168"/>
      <c r="AB6206" s="168"/>
      <c r="AC6206" s="168"/>
    </row>
    <row r="6207">
      <c r="A6207" s="161"/>
      <c r="B6207" s="161"/>
      <c r="C6207" s="162"/>
      <c r="D6207" s="163"/>
      <c r="E6207" s="163"/>
      <c r="F6207" s="163"/>
      <c r="G6207" s="163"/>
      <c r="H6207" s="163"/>
      <c r="I6207" s="163"/>
      <c r="J6207" s="165"/>
      <c r="K6207" s="165"/>
      <c r="L6207" s="165"/>
      <c r="M6207" s="166"/>
      <c r="N6207" s="167"/>
      <c r="O6207" s="163"/>
      <c r="P6207" s="163"/>
      <c r="Q6207" s="163"/>
      <c r="R6207" s="163"/>
      <c r="S6207" s="161"/>
      <c r="T6207" s="161"/>
      <c r="U6207" s="161"/>
      <c r="V6207" s="161"/>
      <c r="W6207" s="161"/>
      <c r="X6207" s="161"/>
      <c r="Y6207" s="161"/>
      <c r="Z6207" s="168"/>
      <c r="AA6207" s="168"/>
      <c r="AB6207" s="168"/>
      <c r="AC6207" s="168"/>
    </row>
    <row r="6208">
      <c r="A6208" s="161"/>
      <c r="B6208" s="161"/>
      <c r="C6208" s="162"/>
      <c r="D6208" s="163"/>
      <c r="E6208" s="163"/>
      <c r="F6208" s="163"/>
      <c r="G6208" s="163"/>
      <c r="H6208" s="163"/>
      <c r="I6208" s="163"/>
      <c r="J6208" s="165"/>
      <c r="K6208" s="165"/>
      <c r="L6208" s="165"/>
      <c r="M6208" s="166"/>
      <c r="N6208" s="167"/>
      <c r="O6208" s="163"/>
      <c r="P6208" s="163"/>
      <c r="Q6208" s="163"/>
      <c r="R6208" s="163"/>
      <c r="S6208" s="161"/>
      <c r="T6208" s="161"/>
      <c r="U6208" s="161"/>
      <c r="V6208" s="161"/>
      <c r="W6208" s="161"/>
      <c r="X6208" s="161"/>
      <c r="Y6208" s="161"/>
      <c r="Z6208" s="168"/>
      <c r="AA6208" s="168"/>
      <c r="AB6208" s="168"/>
      <c r="AC6208" s="168"/>
    </row>
    <row r="6209">
      <c r="A6209" s="161"/>
      <c r="B6209" s="161"/>
      <c r="C6209" s="162"/>
      <c r="D6209" s="163"/>
      <c r="E6209" s="163"/>
      <c r="F6209" s="163"/>
      <c r="G6209" s="163"/>
      <c r="H6209" s="163"/>
      <c r="I6209" s="163"/>
      <c r="J6209" s="165"/>
      <c r="K6209" s="165"/>
      <c r="L6209" s="165"/>
      <c r="M6209" s="166"/>
      <c r="N6209" s="167"/>
      <c r="O6209" s="163"/>
      <c r="P6209" s="163"/>
      <c r="Q6209" s="163"/>
      <c r="R6209" s="163"/>
      <c r="S6209" s="161"/>
      <c r="T6209" s="161"/>
      <c r="U6209" s="161"/>
      <c r="V6209" s="161"/>
      <c r="W6209" s="161"/>
      <c r="X6209" s="161"/>
      <c r="Y6209" s="161"/>
      <c r="Z6209" s="168"/>
      <c r="AA6209" s="168"/>
      <c r="AB6209" s="168"/>
      <c r="AC6209" s="168"/>
    </row>
    <row r="6210">
      <c r="A6210" s="161"/>
      <c r="B6210" s="161"/>
      <c r="C6210" s="162"/>
      <c r="D6210" s="163"/>
      <c r="E6210" s="163"/>
      <c r="F6210" s="163"/>
      <c r="G6210" s="163"/>
      <c r="H6210" s="163"/>
      <c r="I6210" s="163"/>
      <c r="J6210" s="165"/>
      <c r="K6210" s="165"/>
      <c r="L6210" s="165"/>
      <c r="M6210" s="166"/>
      <c r="N6210" s="167"/>
      <c r="O6210" s="163"/>
      <c r="P6210" s="163"/>
      <c r="Q6210" s="163"/>
      <c r="R6210" s="163"/>
      <c r="S6210" s="161"/>
      <c r="T6210" s="161"/>
      <c r="U6210" s="161"/>
      <c r="V6210" s="161"/>
      <c r="W6210" s="161"/>
      <c r="X6210" s="161"/>
      <c r="Y6210" s="161"/>
      <c r="Z6210" s="168"/>
      <c r="AA6210" s="168"/>
      <c r="AB6210" s="168"/>
      <c r="AC6210" s="168"/>
    </row>
    <row r="6211">
      <c r="A6211" s="161"/>
      <c r="B6211" s="161"/>
      <c r="C6211" s="162"/>
      <c r="D6211" s="163"/>
      <c r="E6211" s="163"/>
      <c r="F6211" s="163"/>
      <c r="G6211" s="163"/>
      <c r="H6211" s="163"/>
      <c r="I6211" s="163"/>
      <c r="J6211" s="165"/>
      <c r="K6211" s="165"/>
      <c r="L6211" s="165"/>
      <c r="M6211" s="166"/>
      <c r="N6211" s="167"/>
      <c r="O6211" s="163"/>
      <c r="P6211" s="163"/>
      <c r="Q6211" s="163"/>
      <c r="R6211" s="163"/>
      <c r="S6211" s="161"/>
      <c r="T6211" s="161"/>
      <c r="U6211" s="161"/>
      <c r="V6211" s="161"/>
      <c r="W6211" s="161"/>
      <c r="X6211" s="161"/>
      <c r="Y6211" s="161"/>
      <c r="Z6211" s="168"/>
      <c r="AA6211" s="168"/>
      <c r="AB6211" s="168"/>
      <c r="AC6211" s="168"/>
    </row>
    <row r="6212">
      <c r="A6212" s="161"/>
      <c r="B6212" s="161"/>
      <c r="C6212" s="162"/>
      <c r="D6212" s="163"/>
      <c r="E6212" s="163"/>
      <c r="F6212" s="163"/>
      <c r="G6212" s="163"/>
      <c r="H6212" s="163"/>
      <c r="I6212" s="163"/>
      <c r="J6212" s="165"/>
      <c r="K6212" s="165"/>
      <c r="L6212" s="165"/>
      <c r="M6212" s="166"/>
      <c r="N6212" s="167"/>
      <c r="O6212" s="163"/>
      <c r="P6212" s="163"/>
      <c r="Q6212" s="163"/>
      <c r="R6212" s="163"/>
      <c r="S6212" s="161"/>
      <c r="T6212" s="161"/>
      <c r="U6212" s="161"/>
      <c r="V6212" s="161"/>
      <c r="W6212" s="161"/>
      <c r="X6212" s="161"/>
      <c r="Y6212" s="161"/>
      <c r="Z6212" s="168"/>
      <c r="AA6212" s="168"/>
      <c r="AB6212" s="168"/>
      <c r="AC6212" s="168"/>
    </row>
    <row r="6213">
      <c r="A6213" s="161"/>
      <c r="B6213" s="161"/>
      <c r="C6213" s="162"/>
      <c r="D6213" s="163"/>
      <c r="E6213" s="163"/>
      <c r="F6213" s="163"/>
      <c r="G6213" s="163"/>
      <c r="H6213" s="163"/>
      <c r="I6213" s="163"/>
      <c r="J6213" s="165"/>
      <c r="K6213" s="165"/>
      <c r="L6213" s="165"/>
      <c r="M6213" s="166"/>
      <c r="N6213" s="167"/>
      <c r="O6213" s="163"/>
      <c r="P6213" s="163"/>
      <c r="Q6213" s="163"/>
      <c r="R6213" s="163"/>
      <c r="S6213" s="161"/>
      <c r="T6213" s="161"/>
      <c r="U6213" s="161"/>
      <c r="V6213" s="161"/>
      <c r="W6213" s="161"/>
      <c r="X6213" s="161"/>
      <c r="Y6213" s="161"/>
      <c r="Z6213" s="168"/>
      <c r="AA6213" s="168"/>
      <c r="AB6213" s="168"/>
      <c r="AC6213" s="168"/>
    </row>
    <row r="6214">
      <c r="A6214" s="161"/>
      <c r="B6214" s="161"/>
      <c r="C6214" s="162"/>
      <c r="D6214" s="163"/>
      <c r="E6214" s="163"/>
      <c r="F6214" s="163"/>
      <c r="G6214" s="163"/>
      <c r="H6214" s="163"/>
      <c r="I6214" s="163"/>
      <c r="J6214" s="165"/>
      <c r="K6214" s="165"/>
      <c r="L6214" s="165"/>
      <c r="M6214" s="166"/>
      <c r="N6214" s="167"/>
      <c r="O6214" s="163"/>
      <c r="P6214" s="163"/>
      <c r="Q6214" s="163"/>
      <c r="R6214" s="163"/>
      <c r="S6214" s="161"/>
      <c r="T6214" s="161"/>
      <c r="U6214" s="161"/>
      <c r="V6214" s="161"/>
      <c r="W6214" s="161"/>
      <c r="X6214" s="161"/>
      <c r="Y6214" s="161"/>
      <c r="Z6214" s="168"/>
      <c r="AA6214" s="168"/>
      <c r="AB6214" s="168"/>
      <c r="AC6214" s="168"/>
    </row>
    <row r="6215">
      <c r="A6215" s="161"/>
      <c r="B6215" s="161"/>
      <c r="C6215" s="162"/>
      <c r="D6215" s="163"/>
      <c r="E6215" s="163"/>
      <c r="F6215" s="163"/>
      <c r="G6215" s="163"/>
      <c r="H6215" s="163"/>
      <c r="I6215" s="163"/>
      <c r="J6215" s="165"/>
      <c r="K6215" s="165"/>
      <c r="L6215" s="165"/>
      <c r="M6215" s="166"/>
      <c r="N6215" s="167"/>
      <c r="O6215" s="163"/>
      <c r="P6215" s="163"/>
      <c r="Q6215" s="163"/>
      <c r="R6215" s="163"/>
      <c r="S6215" s="161"/>
      <c r="T6215" s="161"/>
      <c r="U6215" s="161"/>
      <c r="V6215" s="161"/>
      <c r="W6215" s="161"/>
      <c r="X6215" s="161"/>
      <c r="Y6215" s="161"/>
      <c r="Z6215" s="168"/>
      <c r="AA6215" s="168"/>
      <c r="AB6215" s="168"/>
      <c r="AC6215" s="168"/>
    </row>
    <row r="6216">
      <c r="A6216" s="161"/>
      <c r="B6216" s="161"/>
      <c r="C6216" s="162"/>
      <c r="D6216" s="163"/>
      <c r="E6216" s="163"/>
      <c r="F6216" s="163"/>
      <c r="G6216" s="163"/>
      <c r="H6216" s="163"/>
      <c r="I6216" s="163"/>
      <c r="J6216" s="165"/>
      <c r="K6216" s="165"/>
      <c r="L6216" s="165"/>
      <c r="M6216" s="166"/>
      <c r="N6216" s="167"/>
      <c r="O6216" s="163"/>
      <c r="P6216" s="163"/>
      <c r="Q6216" s="163"/>
      <c r="R6216" s="163"/>
      <c r="S6216" s="161"/>
      <c r="T6216" s="161"/>
      <c r="U6216" s="161"/>
      <c r="V6216" s="161"/>
      <c r="W6216" s="161"/>
      <c r="X6216" s="161"/>
      <c r="Y6216" s="161"/>
      <c r="Z6216" s="168"/>
      <c r="AA6216" s="168"/>
      <c r="AB6216" s="168"/>
      <c r="AC6216" s="168"/>
    </row>
    <row r="6217">
      <c r="A6217" s="161"/>
      <c r="B6217" s="161"/>
      <c r="C6217" s="162"/>
      <c r="D6217" s="163"/>
      <c r="E6217" s="163"/>
      <c r="F6217" s="163"/>
      <c r="G6217" s="163"/>
      <c r="H6217" s="163"/>
      <c r="I6217" s="163"/>
      <c r="J6217" s="165"/>
      <c r="K6217" s="165"/>
      <c r="L6217" s="165"/>
      <c r="M6217" s="166"/>
      <c r="N6217" s="167"/>
      <c r="O6217" s="163"/>
      <c r="P6217" s="163"/>
      <c r="Q6217" s="163"/>
      <c r="R6217" s="163"/>
      <c r="S6217" s="161"/>
      <c r="T6217" s="161"/>
      <c r="U6217" s="161"/>
      <c r="V6217" s="161"/>
      <c r="W6217" s="161"/>
      <c r="X6217" s="161"/>
      <c r="Y6217" s="161"/>
      <c r="Z6217" s="168"/>
      <c r="AA6217" s="168"/>
      <c r="AB6217" s="168"/>
      <c r="AC6217" s="168"/>
    </row>
    <row r="6218">
      <c r="A6218" s="161"/>
      <c r="B6218" s="161"/>
      <c r="C6218" s="162"/>
      <c r="D6218" s="163"/>
      <c r="E6218" s="163"/>
      <c r="F6218" s="163"/>
      <c r="G6218" s="163"/>
      <c r="H6218" s="163"/>
      <c r="I6218" s="163"/>
      <c r="J6218" s="165"/>
      <c r="K6218" s="165"/>
      <c r="L6218" s="165"/>
      <c r="M6218" s="166"/>
      <c r="N6218" s="167"/>
      <c r="O6218" s="163"/>
      <c r="P6218" s="163"/>
      <c r="Q6218" s="163"/>
      <c r="R6218" s="163"/>
      <c r="S6218" s="161"/>
      <c r="T6218" s="161"/>
      <c r="U6218" s="161"/>
      <c r="V6218" s="161"/>
      <c r="W6218" s="161"/>
      <c r="X6218" s="161"/>
      <c r="Y6218" s="161"/>
      <c r="Z6218" s="168"/>
      <c r="AA6218" s="168"/>
      <c r="AB6218" s="168"/>
      <c r="AC6218" s="168"/>
    </row>
    <row r="6219">
      <c r="A6219" s="161"/>
      <c r="B6219" s="161"/>
      <c r="C6219" s="162"/>
      <c r="D6219" s="163"/>
      <c r="E6219" s="163"/>
      <c r="F6219" s="163"/>
      <c r="G6219" s="163"/>
      <c r="H6219" s="163"/>
      <c r="I6219" s="163"/>
      <c r="J6219" s="165"/>
      <c r="K6219" s="165"/>
      <c r="L6219" s="165"/>
      <c r="M6219" s="166"/>
      <c r="N6219" s="167"/>
      <c r="O6219" s="163"/>
      <c r="P6219" s="163"/>
      <c r="Q6219" s="163"/>
      <c r="R6219" s="163"/>
      <c r="S6219" s="161"/>
      <c r="T6219" s="161"/>
      <c r="U6219" s="161"/>
      <c r="V6219" s="161"/>
      <c r="W6219" s="161"/>
      <c r="X6219" s="161"/>
      <c r="Y6219" s="161"/>
      <c r="Z6219" s="168"/>
      <c r="AA6219" s="168"/>
      <c r="AB6219" s="168"/>
      <c r="AC6219" s="168"/>
    </row>
    <row r="6220">
      <c r="A6220" s="161"/>
      <c r="B6220" s="161"/>
      <c r="C6220" s="162"/>
      <c r="D6220" s="163"/>
      <c r="E6220" s="163"/>
      <c r="F6220" s="163"/>
      <c r="G6220" s="163"/>
      <c r="H6220" s="163"/>
      <c r="I6220" s="163"/>
      <c r="J6220" s="165"/>
      <c r="K6220" s="165"/>
      <c r="L6220" s="165"/>
      <c r="M6220" s="166"/>
      <c r="N6220" s="167"/>
      <c r="O6220" s="163"/>
      <c r="P6220" s="163"/>
      <c r="Q6220" s="163"/>
      <c r="R6220" s="163"/>
      <c r="S6220" s="161"/>
      <c r="T6220" s="161"/>
      <c r="U6220" s="161"/>
      <c r="V6220" s="161"/>
      <c r="W6220" s="161"/>
      <c r="X6220" s="161"/>
      <c r="Y6220" s="161"/>
      <c r="Z6220" s="168"/>
      <c r="AA6220" s="168"/>
      <c r="AB6220" s="168"/>
      <c r="AC6220" s="168"/>
    </row>
    <row r="6221">
      <c r="A6221" s="161"/>
      <c r="B6221" s="161"/>
      <c r="C6221" s="162"/>
      <c r="D6221" s="163"/>
      <c r="E6221" s="163"/>
      <c r="F6221" s="163"/>
      <c r="G6221" s="163"/>
      <c r="H6221" s="163"/>
      <c r="I6221" s="163"/>
      <c r="J6221" s="165"/>
      <c r="K6221" s="165"/>
      <c r="L6221" s="165"/>
      <c r="M6221" s="166"/>
      <c r="N6221" s="167"/>
      <c r="O6221" s="163"/>
      <c r="P6221" s="163"/>
      <c r="Q6221" s="163"/>
      <c r="R6221" s="163"/>
      <c r="S6221" s="161"/>
      <c r="T6221" s="161"/>
      <c r="U6221" s="161"/>
      <c r="V6221" s="161"/>
      <c r="W6221" s="161"/>
      <c r="X6221" s="161"/>
      <c r="Y6221" s="161"/>
      <c r="Z6221" s="168"/>
      <c r="AA6221" s="168"/>
      <c r="AB6221" s="168"/>
      <c r="AC6221" s="168"/>
    </row>
    <row r="6222">
      <c r="A6222" s="161"/>
      <c r="B6222" s="161"/>
      <c r="C6222" s="162"/>
      <c r="D6222" s="163"/>
      <c r="E6222" s="163"/>
      <c r="F6222" s="163"/>
      <c r="G6222" s="163"/>
      <c r="H6222" s="163"/>
      <c r="I6222" s="163"/>
      <c r="J6222" s="165"/>
      <c r="K6222" s="165"/>
      <c r="L6222" s="165"/>
      <c r="M6222" s="166"/>
      <c r="N6222" s="167"/>
      <c r="O6222" s="163"/>
      <c r="P6222" s="163"/>
      <c r="Q6222" s="163"/>
      <c r="R6222" s="163"/>
      <c r="S6222" s="161"/>
      <c r="T6222" s="161"/>
      <c r="U6222" s="161"/>
      <c r="V6222" s="161"/>
      <c r="W6222" s="161"/>
      <c r="X6222" s="161"/>
      <c r="Y6222" s="161"/>
      <c r="Z6222" s="168"/>
      <c r="AA6222" s="168"/>
      <c r="AB6222" s="168"/>
      <c r="AC6222" s="168"/>
    </row>
    <row r="6223">
      <c r="A6223" s="161"/>
      <c r="B6223" s="161"/>
      <c r="C6223" s="162"/>
      <c r="D6223" s="163"/>
      <c r="E6223" s="163"/>
      <c r="F6223" s="163"/>
      <c r="G6223" s="163"/>
      <c r="H6223" s="163"/>
      <c r="I6223" s="163"/>
      <c r="J6223" s="165"/>
      <c r="K6223" s="165"/>
      <c r="L6223" s="165"/>
      <c r="M6223" s="166"/>
      <c r="N6223" s="167"/>
      <c r="O6223" s="163"/>
      <c r="P6223" s="163"/>
      <c r="Q6223" s="163"/>
      <c r="R6223" s="163"/>
      <c r="S6223" s="161"/>
      <c r="T6223" s="161"/>
      <c r="U6223" s="161"/>
      <c r="V6223" s="161"/>
      <c r="W6223" s="161"/>
      <c r="X6223" s="161"/>
      <c r="Y6223" s="161"/>
      <c r="Z6223" s="168"/>
      <c r="AA6223" s="168"/>
      <c r="AB6223" s="168"/>
      <c r="AC6223" s="168"/>
    </row>
    <row r="6224">
      <c r="A6224" s="161"/>
      <c r="B6224" s="161"/>
      <c r="C6224" s="162"/>
      <c r="D6224" s="163"/>
      <c r="E6224" s="163"/>
      <c r="F6224" s="163"/>
      <c r="G6224" s="163"/>
      <c r="H6224" s="163"/>
      <c r="I6224" s="163"/>
      <c r="J6224" s="165"/>
      <c r="K6224" s="165"/>
      <c r="L6224" s="165"/>
      <c r="M6224" s="166"/>
      <c r="N6224" s="167"/>
      <c r="O6224" s="163"/>
      <c r="P6224" s="163"/>
      <c r="Q6224" s="163"/>
      <c r="R6224" s="163"/>
      <c r="S6224" s="161"/>
      <c r="T6224" s="161"/>
      <c r="U6224" s="161"/>
      <c r="V6224" s="161"/>
      <c r="W6224" s="161"/>
      <c r="X6224" s="161"/>
      <c r="Y6224" s="161"/>
      <c r="Z6224" s="168"/>
      <c r="AA6224" s="168"/>
      <c r="AB6224" s="168"/>
      <c r="AC6224" s="168"/>
    </row>
    <row r="6225">
      <c r="A6225" s="161"/>
      <c r="B6225" s="161"/>
      <c r="C6225" s="162"/>
      <c r="D6225" s="163"/>
      <c r="E6225" s="163"/>
      <c r="F6225" s="163"/>
      <c r="G6225" s="163"/>
      <c r="H6225" s="163"/>
      <c r="I6225" s="163"/>
      <c r="J6225" s="165"/>
      <c r="K6225" s="165"/>
      <c r="L6225" s="165"/>
      <c r="M6225" s="166"/>
      <c r="N6225" s="167"/>
      <c r="O6225" s="163"/>
      <c r="P6225" s="163"/>
      <c r="Q6225" s="163"/>
      <c r="R6225" s="163"/>
      <c r="S6225" s="161"/>
      <c r="T6225" s="161"/>
      <c r="U6225" s="161"/>
      <c r="V6225" s="161"/>
      <c r="W6225" s="161"/>
      <c r="X6225" s="161"/>
      <c r="Y6225" s="161"/>
      <c r="Z6225" s="168"/>
      <c r="AA6225" s="168"/>
      <c r="AB6225" s="168"/>
      <c r="AC6225" s="168"/>
    </row>
    <row r="6226">
      <c r="A6226" s="161"/>
      <c r="B6226" s="161"/>
      <c r="C6226" s="162"/>
      <c r="D6226" s="163"/>
      <c r="E6226" s="163"/>
      <c r="F6226" s="163"/>
      <c r="G6226" s="163"/>
      <c r="H6226" s="163"/>
      <c r="I6226" s="163"/>
      <c r="J6226" s="165"/>
      <c r="K6226" s="165"/>
      <c r="L6226" s="165"/>
      <c r="M6226" s="166"/>
      <c r="N6226" s="167"/>
      <c r="O6226" s="163"/>
      <c r="P6226" s="163"/>
      <c r="Q6226" s="163"/>
      <c r="R6226" s="163"/>
      <c r="S6226" s="161"/>
      <c r="T6226" s="161"/>
      <c r="U6226" s="161"/>
      <c r="V6226" s="161"/>
      <c r="W6226" s="161"/>
      <c r="X6226" s="161"/>
      <c r="Y6226" s="161"/>
      <c r="Z6226" s="168"/>
      <c r="AA6226" s="168"/>
      <c r="AB6226" s="168"/>
      <c r="AC6226" s="168"/>
    </row>
    <row r="6227">
      <c r="A6227" s="161"/>
      <c r="B6227" s="161"/>
      <c r="C6227" s="162"/>
      <c r="D6227" s="163"/>
      <c r="E6227" s="163"/>
      <c r="F6227" s="163"/>
      <c r="G6227" s="163"/>
      <c r="H6227" s="163"/>
      <c r="I6227" s="163"/>
      <c r="J6227" s="165"/>
      <c r="K6227" s="165"/>
      <c r="L6227" s="165"/>
      <c r="M6227" s="166"/>
      <c r="N6227" s="167"/>
      <c r="O6227" s="163"/>
      <c r="P6227" s="163"/>
      <c r="Q6227" s="163"/>
      <c r="R6227" s="163"/>
      <c r="S6227" s="161"/>
      <c r="T6227" s="161"/>
      <c r="U6227" s="161"/>
      <c r="V6227" s="161"/>
      <c r="W6227" s="161"/>
      <c r="X6227" s="161"/>
      <c r="Y6227" s="161"/>
      <c r="Z6227" s="168"/>
      <c r="AA6227" s="168"/>
      <c r="AB6227" s="168"/>
      <c r="AC6227" s="168"/>
    </row>
    <row r="6228">
      <c r="A6228" s="161"/>
      <c r="B6228" s="161"/>
      <c r="C6228" s="162"/>
      <c r="D6228" s="163"/>
      <c r="E6228" s="163"/>
      <c r="F6228" s="163"/>
      <c r="G6228" s="163"/>
      <c r="H6228" s="163"/>
      <c r="I6228" s="163"/>
      <c r="J6228" s="165"/>
      <c r="K6228" s="165"/>
      <c r="L6228" s="165"/>
      <c r="M6228" s="166"/>
      <c r="N6228" s="167"/>
      <c r="O6228" s="163"/>
      <c r="P6228" s="163"/>
      <c r="Q6228" s="163"/>
      <c r="R6228" s="163"/>
      <c r="S6228" s="161"/>
      <c r="T6228" s="161"/>
      <c r="U6228" s="161"/>
      <c r="V6228" s="161"/>
      <c r="W6228" s="161"/>
      <c r="X6228" s="161"/>
      <c r="Y6228" s="161"/>
      <c r="Z6228" s="168"/>
      <c r="AA6228" s="168"/>
      <c r="AB6228" s="168"/>
      <c r="AC6228" s="168"/>
    </row>
    <row r="6229">
      <c r="A6229" s="161"/>
      <c r="B6229" s="161"/>
      <c r="C6229" s="162"/>
      <c r="D6229" s="163"/>
      <c r="E6229" s="163"/>
      <c r="F6229" s="163"/>
      <c r="G6229" s="163"/>
      <c r="H6229" s="163"/>
      <c r="I6229" s="163"/>
      <c r="J6229" s="165"/>
      <c r="K6229" s="165"/>
      <c r="L6229" s="165"/>
      <c r="M6229" s="166"/>
      <c r="N6229" s="167"/>
      <c r="O6229" s="163"/>
      <c r="P6229" s="163"/>
      <c r="Q6229" s="163"/>
      <c r="R6229" s="163"/>
      <c r="S6229" s="161"/>
      <c r="T6229" s="161"/>
      <c r="U6229" s="161"/>
      <c r="V6229" s="161"/>
      <c r="W6229" s="161"/>
      <c r="X6229" s="161"/>
      <c r="Y6229" s="161"/>
      <c r="Z6229" s="168"/>
      <c r="AA6229" s="168"/>
      <c r="AB6229" s="168"/>
      <c r="AC6229" s="168"/>
    </row>
    <row r="6230">
      <c r="A6230" s="161"/>
      <c r="B6230" s="161"/>
      <c r="C6230" s="162"/>
      <c r="D6230" s="163"/>
      <c r="E6230" s="163"/>
      <c r="F6230" s="163"/>
      <c r="G6230" s="163"/>
      <c r="H6230" s="163"/>
      <c r="I6230" s="163"/>
      <c r="J6230" s="165"/>
      <c r="K6230" s="165"/>
      <c r="L6230" s="165"/>
      <c r="M6230" s="166"/>
      <c r="N6230" s="167"/>
      <c r="O6230" s="163"/>
      <c r="P6230" s="163"/>
      <c r="Q6230" s="163"/>
      <c r="R6230" s="163"/>
      <c r="S6230" s="161"/>
      <c r="T6230" s="161"/>
      <c r="U6230" s="161"/>
      <c r="V6230" s="161"/>
      <c r="W6230" s="161"/>
      <c r="X6230" s="161"/>
      <c r="Y6230" s="161"/>
      <c r="Z6230" s="168"/>
      <c r="AA6230" s="168"/>
      <c r="AB6230" s="168"/>
      <c r="AC6230" s="168"/>
    </row>
    <row r="6231">
      <c r="A6231" s="161"/>
      <c r="B6231" s="161"/>
      <c r="C6231" s="162"/>
      <c r="D6231" s="163"/>
      <c r="E6231" s="163"/>
      <c r="F6231" s="163"/>
      <c r="G6231" s="163"/>
      <c r="H6231" s="163"/>
      <c r="I6231" s="163"/>
      <c r="J6231" s="165"/>
      <c r="K6231" s="165"/>
      <c r="L6231" s="165"/>
      <c r="M6231" s="166"/>
      <c r="N6231" s="167"/>
      <c r="O6231" s="163"/>
      <c r="P6231" s="163"/>
      <c r="Q6231" s="163"/>
      <c r="R6231" s="163"/>
      <c r="S6231" s="161"/>
      <c r="T6231" s="161"/>
      <c r="U6231" s="161"/>
      <c r="V6231" s="161"/>
      <c r="W6231" s="161"/>
      <c r="X6231" s="161"/>
      <c r="Y6231" s="161"/>
      <c r="Z6231" s="168"/>
      <c r="AA6231" s="168"/>
      <c r="AB6231" s="168"/>
      <c r="AC6231" s="168"/>
    </row>
    <row r="6232">
      <c r="A6232" s="161"/>
      <c r="B6232" s="161"/>
      <c r="C6232" s="162"/>
      <c r="D6232" s="163"/>
      <c r="E6232" s="163"/>
      <c r="F6232" s="163"/>
      <c r="G6232" s="163"/>
      <c r="H6232" s="163"/>
      <c r="I6232" s="163"/>
      <c r="J6232" s="165"/>
      <c r="K6232" s="165"/>
      <c r="L6232" s="165"/>
      <c r="M6232" s="166"/>
      <c r="N6232" s="167"/>
      <c r="O6232" s="163"/>
      <c r="P6232" s="163"/>
      <c r="Q6232" s="163"/>
      <c r="R6232" s="163"/>
      <c r="S6232" s="161"/>
      <c r="T6232" s="161"/>
      <c r="U6232" s="161"/>
      <c r="V6232" s="161"/>
      <c r="W6232" s="161"/>
      <c r="X6232" s="161"/>
      <c r="Y6232" s="161"/>
      <c r="Z6232" s="168"/>
      <c r="AA6232" s="168"/>
      <c r="AB6232" s="168"/>
      <c r="AC6232" s="168"/>
    </row>
    <row r="6233">
      <c r="A6233" s="161"/>
      <c r="B6233" s="161"/>
      <c r="C6233" s="162"/>
      <c r="D6233" s="163"/>
      <c r="E6233" s="163"/>
      <c r="F6233" s="163"/>
      <c r="G6233" s="163"/>
      <c r="H6233" s="163"/>
      <c r="I6233" s="163"/>
      <c r="J6233" s="165"/>
      <c r="K6233" s="165"/>
      <c r="L6233" s="165"/>
      <c r="M6233" s="166"/>
      <c r="N6233" s="167"/>
      <c r="O6233" s="163"/>
      <c r="P6233" s="163"/>
      <c r="Q6233" s="163"/>
      <c r="R6233" s="163"/>
      <c r="S6233" s="161"/>
      <c r="T6233" s="161"/>
      <c r="U6233" s="161"/>
      <c r="V6233" s="161"/>
      <c r="W6233" s="161"/>
      <c r="X6233" s="161"/>
      <c r="Y6233" s="161"/>
      <c r="Z6233" s="168"/>
      <c r="AA6233" s="168"/>
      <c r="AB6233" s="168"/>
      <c r="AC6233" s="168"/>
    </row>
    <row r="6234">
      <c r="A6234" s="161"/>
      <c r="B6234" s="161"/>
      <c r="C6234" s="162"/>
      <c r="D6234" s="163"/>
      <c r="E6234" s="163"/>
      <c r="F6234" s="163"/>
      <c r="G6234" s="163"/>
      <c r="H6234" s="163"/>
      <c r="I6234" s="163"/>
      <c r="J6234" s="165"/>
      <c r="K6234" s="165"/>
      <c r="L6234" s="165"/>
      <c r="M6234" s="166"/>
      <c r="N6234" s="167"/>
      <c r="O6234" s="163"/>
      <c r="P6234" s="163"/>
      <c r="Q6234" s="163"/>
      <c r="R6234" s="163"/>
      <c r="S6234" s="161"/>
      <c r="T6234" s="161"/>
      <c r="U6234" s="161"/>
      <c r="V6234" s="161"/>
      <c r="W6234" s="161"/>
      <c r="X6234" s="161"/>
      <c r="Y6234" s="161"/>
      <c r="Z6234" s="168"/>
      <c r="AA6234" s="168"/>
      <c r="AB6234" s="168"/>
      <c r="AC6234" s="168"/>
    </row>
    <row r="6235">
      <c r="A6235" s="161"/>
      <c r="B6235" s="161"/>
      <c r="C6235" s="162"/>
      <c r="D6235" s="163"/>
      <c r="E6235" s="163"/>
      <c r="F6235" s="163"/>
      <c r="G6235" s="163"/>
      <c r="H6235" s="163"/>
      <c r="I6235" s="163"/>
      <c r="J6235" s="165"/>
      <c r="K6235" s="165"/>
      <c r="L6235" s="165"/>
      <c r="M6235" s="166"/>
      <c r="N6235" s="167"/>
      <c r="O6235" s="163"/>
      <c r="P6235" s="163"/>
      <c r="Q6235" s="163"/>
      <c r="R6235" s="163"/>
      <c r="S6235" s="161"/>
      <c r="T6235" s="161"/>
      <c r="U6235" s="161"/>
      <c r="V6235" s="161"/>
      <c r="W6235" s="161"/>
      <c r="X6235" s="161"/>
      <c r="Y6235" s="161"/>
      <c r="Z6235" s="168"/>
      <c r="AA6235" s="168"/>
      <c r="AB6235" s="168"/>
      <c r="AC6235" s="168"/>
    </row>
    <row r="6236">
      <c r="A6236" s="161"/>
      <c r="B6236" s="161"/>
      <c r="C6236" s="162"/>
      <c r="D6236" s="163"/>
      <c r="E6236" s="163"/>
      <c r="F6236" s="163"/>
      <c r="G6236" s="163"/>
      <c r="H6236" s="163"/>
      <c r="I6236" s="163"/>
      <c r="J6236" s="165"/>
      <c r="K6236" s="165"/>
      <c r="L6236" s="165"/>
      <c r="M6236" s="166"/>
      <c r="N6236" s="167"/>
      <c r="O6236" s="163"/>
      <c r="P6236" s="163"/>
      <c r="Q6236" s="163"/>
      <c r="R6236" s="163"/>
      <c r="S6236" s="161"/>
      <c r="T6236" s="161"/>
      <c r="U6236" s="161"/>
      <c r="V6236" s="161"/>
      <c r="W6236" s="161"/>
      <c r="X6236" s="161"/>
      <c r="Y6236" s="161"/>
      <c r="Z6236" s="168"/>
      <c r="AA6236" s="168"/>
      <c r="AB6236" s="168"/>
      <c r="AC6236" s="168"/>
    </row>
    <row r="6237">
      <c r="A6237" s="161"/>
      <c r="B6237" s="161"/>
      <c r="C6237" s="162"/>
      <c r="D6237" s="163"/>
      <c r="E6237" s="163"/>
      <c r="F6237" s="163"/>
      <c r="G6237" s="163"/>
      <c r="H6237" s="163"/>
      <c r="I6237" s="163"/>
      <c r="J6237" s="165"/>
      <c r="K6237" s="165"/>
      <c r="L6237" s="165"/>
      <c r="M6237" s="166"/>
      <c r="N6237" s="167"/>
      <c r="O6237" s="163"/>
      <c r="P6237" s="163"/>
      <c r="Q6237" s="163"/>
      <c r="R6237" s="163"/>
      <c r="S6237" s="161"/>
      <c r="T6237" s="161"/>
      <c r="U6237" s="161"/>
      <c r="V6237" s="161"/>
      <c r="W6237" s="161"/>
      <c r="X6237" s="161"/>
      <c r="Y6237" s="161"/>
      <c r="Z6237" s="168"/>
      <c r="AA6237" s="168"/>
      <c r="AB6237" s="168"/>
      <c r="AC6237" s="168"/>
    </row>
    <row r="6238">
      <c r="A6238" s="161"/>
      <c r="B6238" s="161"/>
      <c r="C6238" s="162"/>
      <c r="D6238" s="163"/>
      <c r="E6238" s="163"/>
      <c r="F6238" s="163"/>
      <c r="G6238" s="163"/>
      <c r="H6238" s="163"/>
      <c r="I6238" s="163"/>
      <c r="J6238" s="165"/>
      <c r="K6238" s="165"/>
      <c r="L6238" s="165"/>
      <c r="M6238" s="166"/>
      <c r="N6238" s="167"/>
      <c r="O6238" s="163"/>
      <c r="P6238" s="163"/>
      <c r="Q6238" s="163"/>
      <c r="R6238" s="163"/>
      <c r="S6238" s="161"/>
      <c r="T6238" s="161"/>
      <c r="U6238" s="161"/>
      <c r="V6238" s="161"/>
      <c r="W6238" s="161"/>
      <c r="X6238" s="161"/>
      <c r="Y6238" s="161"/>
      <c r="Z6238" s="168"/>
      <c r="AA6238" s="168"/>
      <c r="AB6238" s="168"/>
      <c r="AC6238" s="168"/>
    </row>
    <row r="6239">
      <c r="A6239" s="161"/>
      <c r="B6239" s="161"/>
      <c r="C6239" s="162"/>
      <c r="D6239" s="163"/>
      <c r="E6239" s="163"/>
      <c r="F6239" s="163"/>
      <c r="G6239" s="163"/>
      <c r="H6239" s="163"/>
      <c r="I6239" s="163"/>
      <c r="J6239" s="165"/>
      <c r="K6239" s="165"/>
      <c r="L6239" s="165"/>
      <c r="M6239" s="166"/>
      <c r="N6239" s="167"/>
      <c r="O6239" s="163"/>
      <c r="P6239" s="163"/>
      <c r="Q6239" s="163"/>
      <c r="R6239" s="163"/>
      <c r="S6239" s="161"/>
      <c r="T6239" s="161"/>
      <c r="U6239" s="161"/>
      <c r="V6239" s="161"/>
      <c r="W6239" s="161"/>
      <c r="X6239" s="161"/>
      <c r="Y6239" s="161"/>
      <c r="Z6239" s="168"/>
      <c r="AA6239" s="168"/>
      <c r="AB6239" s="168"/>
      <c r="AC6239" s="168"/>
    </row>
    <row r="6240">
      <c r="A6240" s="161"/>
      <c r="B6240" s="161"/>
      <c r="C6240" s="162"/>
      <c r="D6240" s="163"/>
      <c r="E6240" s="163"/>
      <c r="F6240" s="163"/>
      <c r="G6240" s="163"/>
      <c r="H6240" s="163"/>
      <c r="I6240" s="163"/>
      <c r="J6240" s="165"/>
      <c r="K6240" s="165"/>
      <c r="L6240" s="165"/>
      <c r="M6240" s="166"/>
      <c r="N6240" s="167"/>
      <c r="O6240" s="163"/>
      <c r="P6240" s="163"/>
      <c r="Q6240" s="163"/>
      <c r="R6240" s="163"/>
      <c r="S6240" s="161"/>
      <c r="T6240" s="161"/>
      <c r="U6240" s="161"/>
      <c r="V6240" s="161"/>
      <c r="W6240" s="161"/>
      <c r="X6240" s="161"/>
      <c r="Y6240" s="161"/>
      <c r="Z6240" s="168"/>
      <c r="AA6240" s="168"/>
      <c r="AB6240" s="168"/>
      <c r="AC6240" s="168"/>
    </row>
    <row r="6241">
      <c r="A6241" s="161"/>
      <c r="B6241" s="161"/>
      <c r="C6241" s="162"/>
      <c r="D6241" s="163"/>
      <c r="E6241" s="163"/>
      <c r="F6241" s="163"/>
      <c r="G6241" s="163"/>
      <c r="H6241" s="163"/>
      <c r="I6241" s="163"/>
      <c r="J6241" s="165"/>
      <c r="K6241" s="165"/>
      <c r="L6241" s="165"/>
      <c r="M6241" s="166"/>
      <c r="N6241" s="167"/>
      <c r="O6241" s="163"/>
      <c r="P6241" s="163"/>
      <c r="Q6241" s="163"/>
      <c r="R6241" s="163"/>
      <c r="S6241" s="161"/>
      <c r="T6241" s="161"/>
      <c r="U6241" s="161"/>
      <c r="V6241" s="161"/>
      <c r="W6241" s="161"/>
      <c r="X6241" s="161"/>
      <c r="Y6241" s="161"/>
      <c r="Z6241" s="168"/>
      <c r="AA6241" s="168"/>
      <c r="AB6241" s="168"/>
      <c r="AC6241" s="168"/>
    </row>
    <row r="6242">
      <c r="A6242" s="161"/>
      <c r="B6242" s="161"/>
      <c r="C6242" s="162"/>
      <c r="D6242" s="163"/>
      <c r="E6242" s="163"/>
      <c r="F6242" s="163"/>
      <c r="G6242" s="163"/>
      <c r="H6242" s="163"/>
      <c r="I6242" s="163"/>
      <c r="J6242" s="165"/>
      <c r="K6242" s="165"/>
      <c r="L6242" s="165"/>
      <c r="M6242" s="166"/>
      <c r="N6242" s="167"/>
      <c r="O6242" s="163"/>
      <c r="P6242" s="163"/>
      <c r="Q6242" s="163"/>
      <c r="R6242" s="163"/>
      <c r="S6242" s="161"/>
      <c r="T6242" s="161"/>
      <c r="U6242" s="161"/>
      <c r="V6242" s="161"/>
      <c r="W6242" s="161"/>
      <c r="X6242" s="161"/>
      <c r="Y6242" s="161"/>
      <c r="Z6242" s="168"/>
      <c r="AA6242" s="168"/>
      <c r="AB6242" s="168"/>
      <c r="AC6242" s="168"/>
    </row>
    <row r="6243">
      <c r="A6243" s="161"/>
      <c r="B6243" s="161"/>
      <c r="C6243" s="162"/>
      <c r="D6243" s="163"/>
      <c r="E6243" s="163"/>
      <c r="F6243" s="163"/>
      <c r="G6243" s="163"/>
      <c r="H6243" s="163"/>
      <c r="I6243" s="163"/>
      <c r="J6243" s="165"/>
      <c r="K6243" s="165"/>
      <c r="L6243" s="165"/>
      <c r="M6243" s="166"/>
      <c r="N6243" s="167"/>
      <c r="O6243" s="163"/>
      <c r="P6243" s="163"/>
      <c r="Q6243" s="163"/>
      <c r="R6243" s="163"/>
      <c r="S6243" s="161"/>
      <c r="T6243" s="161"/>
      <c r="U6243" s="161"/>
      <c r="V6243" s="161"/>
      <c r="W6243" s="161"/>
      <c r="X6243" s="161"/>
      <c r="Y6243" s="161"/>
      <c r="Z6243" s="168"/>
      <c r="AA6243" s="168"/>
      <c r="AB6243" s="168"/>
      <c r="AC6243" s="168"/>
    </row>
    <row r="6244">
      <c r="A6244" s="161"/>
      <c r="B6244" s="161"/>
      <c r="C6244" s="162"/>
      <c r="D6244" s="163"/>
      <c r="E6244" s="163"/>
      <c r="F6244" s="163"/>
      <c r="G6244" s="163"/>
      <c r="H6244" s="163"/>
      <c r="I6244" s="163"/>
      <c r="J6244" s="165"/>
      <c r="K6244" s="165"/>
      <c r="L6244" s="165"/>
      <c r="M6244" s="166"/>
      <c r="N6244" s="167"/>
      <c r="O6244" s="163"/>
      <c r="P6244" s="163"/>
      <c r="Q6244" s="163"/>
      <c r="R6244" s="163"/>
      <c r="S6244" s="161"/>
      <c r="T6244" s="161"/>
      <c r="U6244" s="161"/>
      <c r="V6244" s="161"/>
      <c r="W6244" s="161"/>
      <c r="X6244" s="161"/>
      <c r="Y6244" s="161"/>
      <c r="Z6244" s="168"/>
      <c r="AA6244" s="168"/>
      <c r="AB6244" s="168"/>
      <c r="AC6244" s="168"/>
    </row>
    <row r="6245">
      <c r="A6245" s="161"/>
      <c r="B6245" s="161"/>
      <c r="C6245" s="162"/>
      <c r="D6245" s="163"/>
      <c r="E6245" s="163"/>
      <c r="F6245" s="163"/>
      <c r="G6245" s="163"/>
      <c r="H6245" s="163"/>
      <c r="I6245" s="163"/>
      <c r="J6245" s="165"/>
      <c r="K6245" s="165"/>
      <c r="L6245" s="165"/>
      <c r="M6245" s="166"/>
      <c r="N6245" s="167"/>
      <c r="O6245" s="163"/>
      <c r="P6245" s="163"/>
      <c r="Q6245" s="163"/>
      <c r="R6245" s="163"/>
      <c r="S6245" s="161"/>
      <c r="T6245" s="161"/>
      <c r="U6245" s="161"/>
      <c r="V6245" s="161"/>
      <c r="W6245" s="161"/>
      <c r="X6245" s="161"/>
      <c r="Y6245" s="161"/>
      <c r="Z6245" s="168"/>
      <c r="AA6245" s="168"/>
      <c r="AB6245" s="168"/>
      <c r="AC6245" s="168"/>
    </row>
    <row r="6246">
      <c r="A6246" s="161"/>
      <c r="B6246" s="161"/>
      <c r="C6246" s="162"/>
      <c r="D6246" s="163"/>
      <c r="E6246" s="163"/>
      <c r="F6246" s="163"/>
      <c r="G6246" s="163"/>
      <c r="H6246" s="163"/>
      <c r="I6246" s="163"/>
      <c r="J6246" s="165"/>
      <c r="K6246" s="165"/>
      <c r="L6246" s="165"/>
      <c r="M6246" s="166"/>
      <c r="N6246" s="167"/>
      <c r="O6246" s="163"/>
      <c r="P6246" s="163"/>
      <c r="Q6246" s="163"/>
      <c r="R6246" s="163"/>
      <c r="S6246" s="161"/>
      <c r="T6246" s="161"/>
      <c r="U6246" s="161"/>
      <c r="V6246" s="161"/>
      <c r="W6246" s="161"/>
      <c r="X6246" s="161"/>
      <c r="Y6246" s="161"/>
      <c r="Z6246" s="168"/>
      <c r="AA6246" s="168"/>
      <c r="AB6246" s="168"/>
      <c r="AC6246" s="168"/>
    </row>
    <row r="6247">
      <c r="A6247" s="161"/>
      <c r="B6247" s="161"/>
      <c r="C6247" s="162"/>
      <c r="D6247" s="163"/>
      <c r="E6247" s="163"/>
      <c r="F6247" s="163"/>
      <c r="G6247" s="163"/>
      <c r="H6247" s="163"/>
      <c r="I6247" s="163"/>
      <c r="J6247" s="165"/>
      <c r="K6247" s="165"/>
      <c r="L6247" s="165"/>
      <c r="M6247" s="166"/>
      <c r="N6247" s="167"/>
      <c r="O6247" s="163"/>
      <c r="P6247" s="163"/>
      <c r="Q6247" s="163"/>
      <c r="R6247" s="163"/>
      <c r="S6247" s="161"/>
      <c r="T6247" s="161"/>
      <c r="U6247" s="161"/>
      <c r="V6247" s="161"/>
      <c r="W6247" s="161"/>
      <c r="X6247" s="161"/>
      <c r="Y6247" s="161"/>
      <c r="Z6247" s="168"/>
      <c r="AA6247" s="168"/>
      <c r="AB6247" s="168"/>
      <c r="AC6247" s="168"/>
    </row>
    <row r="6248">
      <c r="A6248" s="161"/>
      <c r="B6248" s="161"/>
      <c r="C6248" s="162"/>
      <c r="D6248" s="163"/>
      <c r="E6248" s="163"/>
      <c r="F6248" s="163"/>
      <c r="G6248" s="163"/>
      <c r="H6248" s="163"/>
      <c r="I6248" s="163"/>
      <c r="J6248" s="165"/>
      <c r="K6248" s="165"/>
      <c r="L6248" s="165"/>
      <c r="M6248" s="166"/>
      <c r="N6248" s="167"/>
      <c r="O6248" s="163"/>
      <c r="P6248" s="163"/>
      <c r="Q6248" s="163"/>
      <c r="R6248" s="163"/>
      <c r="S6248" s="161"/>
      <c r="T6248" s="161"/>
      <c r="U6248" s="161"/>
      <c r="V6248" s="161"/>
      <c r="W6248" s="161"/>
      <c r="X6248" s="161"/>
      <c r="Y6248" s="161"/>
      <c r="Z6248" s="168"/>
      <c r="AA6248" s="168"/>
      <c r="AB6248" s="168"/>
      <c r="AC6248" s="168"/>
    </row>
    <row r="6249">
      <c r="A6249" s="161"/>
      <c r="B6249" s="161"/>
      <c r="C6249" s="162"/>
      <c r="D6249" s="163"/>
      <c r="E6249" s="163"/>
      <c r="F6249" s="163"/>
      <c r="G6249" s="163"/>
      <c r="H6249" s="163"/>
      <c r="I6249" s="163"/>
      <c r="J6249" s="165"/>
      <c r="K6249" s="165"/>
      <c r="L6249" s="165"/>
      <c r="M6249" s="166"/>
      <c r="N6249" s="167"/>
      <c r="O6249" s="163"/>
      <c r="P6249" s="163"/>
      <c r="Q6249" s="163"/>
      <c r="R6249" s="163"/>
      <c r="S6249" s="161"/>
      <c r="T6249" s="161"/>
      <c r="U6249" s="161"/>
      <c r="V6249" s="161"/>
      <c r="W6249" s="161"/>
      <c r="X6249" s="161"/>
      <c r="Y6249" s="161"/>
      <c r="Z6249" s="168"/>
      <c r="AA6249" s="168"/>
      <c r="AB6249" s="168"/>
      <c r="AC6249" s="168"/>
    </row>
    <row r="6250">
      <c r="A6250" s="161"/>
      <c r="B6250" s="161"/>
      <c r="C6250" s="162"/>
      <c r="D6250" s="163"/>
      <c r="E6250" s="163"/>
      <c r="F6250" s="163"/>
      <c r="G6250" s="163"/>
      <c r="H6250" s="163"/>
      <c r="I6250" s="163"/>
      <c r="J6250" s="165"/>
      <c r="K6250" s="165"/>
      <c r="L6250" s="165"/>
      <c r="M6250" s="166"/>
      <c r="N6250" s="167"/>
      <c r="O6250" s="163"/>
      <c r="P6250" s="163"/>
      <c r="Q6250" s="163"/>
      <c r="R6250" s="163"/>
      <c r="S6250" s="161"/>
      <c r="T6250" s="161"/>
      <c r="U6250" s="161"/>
      <c r="V6250" s="161"/>
      <c r="W6250" s="161"/>
      <c r="X6250" s="161"/>
      <c r="Y6250" s="161"/>
      <c r="Z6250" s="168"/>
      <c r="AA6250" s="168"/>
      <c r="AB6250" s="168"/>
      <c r="AC6250" s="168"/>
    </row>
    <row r="6251">
      <c r="A6251" s="161"/>
      <c r="B6251" s="161"/>
      <c r="C6251" s="162"/>
      <c r="D6251" s="163"/>
      <c r="E6251" s="163"/>
      <c r="F6251" s="163"/>
      <c r="G6251" s="163"/>
      <c r="H6251" s="163"/>
      <c r="I6251" s="163"/>
      <c r="J6251" s="165"/>
      <c r="K6251" s="165"/>
      <c r="L6251" s="165"/>
      <c r="M6251" s="166"/>
      <c r="N6251" s="167"/>
      <c r="O6251" s="163"/>
      <c r="P6251" s="163"/>
      <c r="Q6251" s="163"/>
      <c r="R6251" s="163"/>
      <c r="S6251" s="161"/>
      <c r="T6251" s="161"/>
      <c r="U6251" s="161"/>
      <c r="V6251" s="161"/>
      <c r="W6251" s="161"/>
      <c r="X6251" s="161"/>
      <c r="Y6251" s="161"/>
      <c r="Z6251" s="168"/>
      <c r="AA6251" s="168"/>
      <c r="AB6251" s="168"/>
      <c r="AC6251" s="168"/>
    </row>
    <row r="6252">
      <c r="A6252" s="161"/>
      <c r="B6252" s="161"/>
      <c r="C6252" s="162"/>
      <c r="D6252" s="163"/>
      <c r="E6252" s="163"/>
      <c r="F6252" s="163"/>
      <c r="G6252" s="163"/>
      <c r="H6252" s="163"/>
      <c r="I6252" s="163"/>
      <c r="J6252" s="165"/>
      <c r="K6252" s="165"/>
      <c r="L6252" s="165"/>
      <c r="M6252" s="166"/>
      <c r="N6252" s="167"/>
      <c r="O6252" s="163"/>
      <c r="P6252" s="163"/>
      <c r="Q6252" s="163"/>
      <c r="R6252" s="163"/>
      <c r="S6252" s="161"/>
      <c r="T6252" s="161"/>
      <c r="U6252" s="161"/>
      <c r="V6252" s="161"/>
      <c r="W6252" s="161"/>
      <c r="X6252" s="161"/>
      <c r="Y6252" s="161"/>
      <c r="Z6252" s="168"/>
      <c r="AA6252" s="168"/>
      <c r="AB6252" s="168"/>
      <c r="AC6252" s="168"/>
    </row>
    <row r="6253">
      <c r="A6253" s="161"/>
      <c r="B6253" s="161"/>
      <c r="C6253" s="162"/>
      <c r="D6253" s="163"/>
      <c r="E6253" s="163"/>
      <c r="F6253" s="163"/>
      <c r="G6253" s="163"/>
      <c r="H6253" s="163"/>
      <c r="I6253" s="163"/>
      <c r="J6253" s="165"/>
      <c r="K6253" s="165"/>
      <c r="L6253" s="165"/>
      <c r="M6253" s="166"/>
      <c r="N6253" s="167"/>
      <c r="O6253" s="163"/>
      <c r="P6253" s="163"/>
      <c r="Q6253" s="163"/>
      <c r="R6253" s="163"/>
      <c r="S6253" s="161"/>
      <c r="T6253" s="161"/>
      <c r="U6253" s="161"/>
      <c r="V6253" s="161"/>
      <c r="W6253" s="161"/>
      <c r="X6253" s="161"/>
      <c r="Y6253" s="161"/>
      <c r="Z6253" s="168"/>
      <c r="AA6253" s="168"/>
      <c r="AB6253" s="168"/>
      <c r="AC6253" s="168"/>
    </row>
    <row r="6254">
      <c r="A6254" s="161"/>
      <c r="B6254" s="161"/>
      <c r="C6254" s="162"/>
      <c r="D6254" s="163"/>
      <c r="E6254" s="163"/>
      <c r="F6254" s="163"/>
      <c r="G6254" s="163"/>
      <c r="H6254" s="163"/>
      <c r="I6254" s="163"/>
      <c r="J6254" s="165"/>
      <c r="K6254" s="165"/>
      <c r="L6254" s="165"/>
      <c r="M6254" s="166"/>
      <c r="N6254" s="167"/>
      <c r="O6254" s="163"/>
      <c r="P6254" s="163"/>
      <c r="Q6254" s="163"/>
      <c r="R6254" s="163"/>
      <c r="S6254" s="161"/>
      <c r="T6254" s="161"/>
      <c r="U6254" s="161"/>
      <c r="V6254" s="161"/>
      <c r="W6254" s="161"/>
      <c r="X6254" s="161"/>
      <c r="Y6254" s="161"/>
      <c r="Z6254" s="168"/>
      <c r="AA6254" s="168"/>
      <c r="AB6254" s="168"/>
      <c r="AC6254" s="168"/>
    </row>
    <row r="6255">
      <c r="A6255" s="161"/>
      <c r="B6255" s="161"/>
      <c r="C6255" s="162"/>
      <c r="D6255" s="163"/>
      <c r="E6255" s="163"/>
      <c r="F6255" s="163"/>
      <c r="G6255" s="163"/>
      <c r="H6255" s="163"/>
      <c r="I6255" s="163"/>
      <c r="J6255" s="165"/>
      <c r="K6255" s="165"/>
      <c r="L6255" s="165"/>
      <c r="M6255" s="166"/>
      <c r="N6255" s="167"/>
      <c r="O6255" s="163"/>
      <c r="P6255" s="163"/>
      <c r="Q6255" s="163"/>
      <c r="R6255" s="163"/>
      <c r="S6255" s="161"/>
      <c r="T6255" s="161"/>
      <c r="U6255" s="161"/>
      <c r="V6255" s="161"/>
      <c r="W6255" s="161"/>
      <c r="X6255" s="161"/>
      <c r="Y6255" s="161"/>
      <c r="Z6255" s="168"/>
      <c r="AA6255" s="168"/>
      <c r="AB6255" s="168"/>
      <c r="AC6255" s="168"/>
    </row>
    <row r="6256">
      <c r="A6256" s="161"/>
      <c r="B6256" s="161"/>
      <c r="C6256" s="162"/>
      <c r="D6256" s="163"/>
      <c r="E6256" s="163"/>
      <c r="F6256" s="163"/>
      <c r="G6256" s="163"/>
      <c r="H6256" s="163"/>
      <c r="I6256" s="163"/>
      <c r="J6256" s="165"/>
      <c r="K6256" s="165"/>
      <c r="L6256" s="165"/>
      <c r="M6256" s="166"/>
      <c r="N6256" s="167"/>
      <c r="O6256" s="163"/>
      <c r="P6256" s="163"/>
      <c r="Q6256" s="163"/>
      <c r="R6256" s="163"/>
      <c r="S6256" s="161"/>
      <c r="T6256" s="161"/>
      <c r="U6256" s="161"/>
      <c r="V6256" s="161"/>
      <c r="W6256" s="161"/>
      <c r="X6256" s="161"/>
      <c r="Y6256" s="161"/>
      <c r="Z6256" s="168"/>
      <c r="AA6256" s="168"/>
      <c r="AB6256" s="168"/>
      <c r="AC6256" s="168"/>
    </row>
    <row r="6257">
      <c r="A6257" s="161"/>
      <c r="B6257" s="161"/>
      <c r="C6257" s="162"/>
      <c r="D6257" s="163"/>
      <c r="E6257" s="163"/>
      <c r="F6257" s="163"/>
      <c r="G6257" s="163"/>
      <c r="H6257" s="163"/>
      <c r="I6257" s="163"/>
      <c r="J6257" s="165"/>
      <c r="K6257" s="165"/>
      <c r="L6257" s="165"/>
      <c r="M6257" s="166"/>
      <c r="N6257" s="167"/>
      <c r="O6257" s="163"/>
      <c r="P6257" s="163"/>
      <c r="Q6257" s="163"/>
      <c r="R6257" s="163"/>
      <c r="S6257" s="161"/>
      <c r="T6257" s="161"/>
      <c r="U6257" s="161"/>
      <c r="V6257" s="161"/>
      <c r="W6257" s="161"/>
      <c r="X6257" s="161"/>
      <c r="Y6257" s="161"/>
      <c r="Z6257" s="168"/>
      <c r="AA6257" s="168"/>
      <c r="AB6257" s="168"/>
      <c r="AC6257" s="168"/>
    </row>
    <row r="6258">
      <c r="A6258" s="161"/>
      <c r="B6258" s="161"/>
      <c r="C6258" s="162"/>
      <c r="D6258" s="163"/>
      <c r="E6258" s="163"/>
      <c r="F6258" s="163"/>
      <c r="G6258" s="163"/>
      <c r="H6258" s="163"/>
      <c r="I6258" s="163"/>
      <c r="J6258" s="165"/>
      <c r="K6258" s="165"/>
      <c r="L6258" s="165"/>
      <c r="M6258" s="166"/>
      <c r="N6258" s="167"/>
      <c r="O6258" s="163"/>
      <c r="P6258" s="163"/>
      <c r="Q6258" s="163"/>
      <c r="R6258" s="163"/>
      <c r="S6258" s="161"/>
      <c r="T6258" s="161"/>
      <c r="U6258" s="161"/>
      <c r="V6258" s="161"/>
      <c r="W6258" s="161"/>
      <c r="X6258" s="161"/>
      <c r="Y6258" s="161"/>
      <c r="Z6258" s="168"/>
      <c r="AA6258" s="168"/>
      <c r="AB6258" s="168"/>
      <c r="AC6258" s="168"/>
    </row>
    <row r="6259">
      <c r="A6259" s="161"/>
      <c r="B6259" s="161"/>
      <c r="C6259" s="162"/>
      <c r="D6259" s="163"/>
      <c r="E6259" s="163"/>
      <c r="F6259" s="163"/>
      <c r="G6259" s="163"/>
      <c r="H6259" s="163"/>
      <c r="I6259" s="163"/>
      <c r="J6259" s="165"/>
      <c r="K6259" s="165"/>
      <c r="L6259" s="165"/>
      <c r="M6259" s="166"/>
      <c r="N6259" s="167"/>
      <c r="O6259" s="163"/>
      <c r="P6259" s="163"/>
      <c r="Q6259" s="163"/>
      <c r="R6259" s="163"/>
      <c r="S6259" s="161"/>
      <c r="T6259" s="161"/>
      <c r="U6259" s="161"/>
      <c r="V6259" s="161"/>
      <c r="W6259" s="161"/>
      <c r="X6259" s="161"/>
      <c r="Y6259" s="161"/>
      <c r="Z6259" s="168"/>
      <c r="AA6259" s="168"/>
      <c r="AB6259" s="168"/>
      <c r="AC6259" s="168"/>
    </row>
    <row r="6260">
      <c r="A6260" s="161"/>
      <c r="B6260" s="161"/>
      <c r="C6260" s="162"/>
      <c r="D6260" s="163"/>
      <c r="E6260" s="163"/>
      <c r="F6260" s="163"/>
      <c r="G6260" s="163"/>
      <c r="H6260" s="163"/>
      <c r="I6260" s="163"/>
      <c r="J6260" s="165"/>
      <c r="K6260" s="165"/>
      <c r="L6260" s="165"/>
      <c r="M6260" s="166"/>
      <c r="N6260" s="167"/>
      <c r="O6260" s="163"/>
      <c r="P6260" s="163"/>
      <c r="Q6260" s="163"/>
      <c r="R6260" s="163"/>
      <c r="S6260" s="161"/>
      <c r="T6260" s="161"/>
      <c r="U6260" s="161"/>
      <c r="V6260" s="161"/>
      <c r="W6260" s="161"/>
      <c r="X6260" s="161"/>
      <c r="Y6260" s="161"/>
      <c r="Z6260" s="168"/>
      <c r="AA6260" s="168"/>
      <c r="AB6260" s="168"/>
      <c r="AC6260" s="168"/>
    </row>
    <row r="6261">
      <c r="A6261" s="161"/>
      <c r="B6261" s="161"/>
      <c r="C6261" s="162"/>
      <c r="D6261" s="163"/>
      <c r="E6261" s="163"/>
      <c r="F6261" s="163"/>
      <c r="G6261" s="163"/>
      <c r="H6261" s="163"/>
      <c r="I6261" s="163"/>
      <c r="J6261" s="165"/>
      <c r="K6261" s="165"/>
      <c r="L6261" s="165"/>
      <c r="M6261" s="166"/>
      <c r="N6261" s="167"/>
      <c r="O6261" s="163"/>
      <c r="P6261" s="163"/>
      <c r="Q6261" s="163"/>
      <c r="R6261" s="163"/>
      <c r="S6261" s="161"/>
      <c r="T6261" s="161"/>
      <c r="U6261" s="161"/>
      <c r="V6261" s="161"/>
      <c r="W6261" s="161"/>
      <c r="X6261" s="161"/>
      <c r="Y6261" s="161"/>
      <c r="Z6261" s="168"/>
      <c r="AA6261" s="168"/>
      <c r="AB6261" s="168"/>
      <c r="AC6261" s="168"/>
    </row>
    <row r="6262">
      <c r="A6262" s="161"/>
      <c r="B6262" s="161"/>
      <c r="C6262" s="162"/>
      <c r="D6262" s="163"/>
      <c r="E6262" s="163"/>
      <c r="F6262" s="163"/>
      <c r="G6262" s="163"/>
      <c r="H6262" s="163"/>
      <c r="I6262" s="163"/>
      <c r="J6262" s="165"/>
      <c r="K6262" s="165"/>
      <c r="L6262" s="165"/>
      <c r="M6262" s="166"/>
      <c r="N6262" s="167"/>
      <c r="O6262" s="163"/>
      <c r="P6262" s="163"/>
      <c r="Q6262" s="163"/>
      <c r="R6262" s="163"/>
      <c r="S6262" s="161"/>
      <c r="T6262" s="161"/>
      <c r="U6262" s="161"/>
      <c r="V6262" s="161"/>
      <c r="W6262" s="161"/>
      <c r="X6262" s="161"/>
      <c r="Y6262" s="161"/>
      <c r="Z6262" s="168"/>
      <c r="AA6262" s="168"/>
      <c r="AB6262" s="168"/>
      <c r="AC6262" s="168"/>
    </row>
    <row r="6263">
      <c r="A6263" s="161"/>
      <c r="B6263" s="161"/>
      <c r="C6263" s="162"/>
      <c r="D6263" s="163"/>
      <c r="E6263" s="163"/>
      <c r="F6263" s="163"/>
      <c r="G6263" s="163"/>
      <c r="H6263" s="163"/>
      <c r="I6263" s="163"/>
      <c r="J6263" s="165"/>
      <c r="K6263" s="165"/>
      <c r="L6263" s="165"/>
      <c r="M6263" s="166"/>
      <c r="N6263" s="167"/>
      <c r="O6263" s="163"/>
      <c r="P6263" s="163"/>
      <c r="Q6263" s="163"/>
      <c r="R6263" s="163"/>
      <c r="S6263" s="161"/>
      <c r="T6263" s="161"/>
      <c r="U6263" s="161"/>
      <c r="V6263" s="161"/>
      <c r="W6263" s="161"/>
      <c r="X6263" s="161"/>
      <c r="Y6263" s="161"/>
      <c r="Z6263" s="168"/>
      <c r="AA6263" s="168"/>
      <c r="AB6263" s="168"/>
      <c r="AC6263" s="168"/>
    </row>
    <row r="6264">
      <c r="A6264" s="161"/>
      <c r="B6264" s="161"/>
      <c r="C6264" s="162"/>
      <c r="D6264" s="163"/>
      <c r="E6264" s="163"/>
      <c r="F6264" s="163"/>
      <c r="G6264" s="163"/>
      <c r="H6264" s="163"/>
      <c r="I6264" s="163"/>
      <c r="J6264" s="165"/>
      <c r="K6264" s="165"/>
      <c r="L6264" s="165"/>
      <c r="M6264" s="166"/>
      <c r="N6264" s="167"/>
      <c r="O6264" s="163"/>
      <c r="P6264" s="163"/>
      <c r="Q6264" s="163"/>
      <c r="R6264" s="163"/>
      <c r="S6264" s="161"/>
      <c r="T6264" s="161"/>
      <c r="U6264" s="161"/>
      <c r="V6264" s="161"/>
      <c r="W6264" s="161"/>
      <c r="X6264" s="161"/>
      <c r="Y6264" s="161"/>
      <c r="Z6264" s="168"/>
      <c r="AA6264" s="168"/>
      <c r="AB6264" s="168"/>
      <c r="AC6264" s="168"/>
    </row>
    <row r="6265">
      <c r="A6265" s="161"/>
      <c r="B6265" s="161"/>
      <c r="C6265" s="162"/>
      <c r="D6265" s="163"/>
      <c r="E6265" s="163"/>
      <c r="F6265" s="163"/>
      <c r="G6265" s="163"/>
      <c r="H6265" s="163"/>
      <c r="I6265" s="163"/>
      <c r="J6265" s="165"/>
      <c r="K6265" s="165"/>
      <c r="L6265" s="165"/>
      <c r="M6265" s="166"/>
      <c r="N6265" s="167"/>
      <c r="O6265" s="163"/>
      <c r="P6265" s="163"/>
      <c r="Q6265" s="163"/>
      <c r="R6265" s="163"/>
      <c r="S6265" s="161"/>
      <c r="T6265" s="161"/>
      <c r="U6265" s="161"/>
      <c r="V6265" s="161"/>
      <c r="W6265" s="161"/>
      <c r="X6265" s="161"/>
      <c r="Y6265" s="161"/>
      <c r="Z6265" s="168"/>
      <c r="AA6265" s="168"/>
      <c r="AB6265" s="168"/>
      <c r="AC6265" s="168"/>
    </row>
    <row r="6266">
      <c r="A6266" s="161"/>
      <c r="B6266" s="161"/>
      <c r="C6266" s="162"/>
      <c r="D6266" s="163"/>
      <c r="E6266" s="163"/>
      <c r="F6266" s="163"/>
      <c r="G6266" s="163"/>
      <c r="H6266" s="163"/>
      <c r="I6266" s="163"/>
      <c r="J6266" s="165"/>
      <c r="K6266" s="165"/>
      <c r="L6266" s="165"/>
      <c r="M6266" s="166"/>
      <c r="N6266" s="167"/>
      <c r="O6266" s="163"/>
      <c r="P6266" s="163"/>
      <c r="Q6266" s="163"/>
      <c r="R6266" s="163"/>
      <c r="S6266" s="161"/>
      <c r="T6266" s="161"/>
      <c r="U6266" s="161"/>
      <c r="V6266" s="161"/>
      <c r="W6266" s="161"/>
      <c r="X6266" s="161"/>
      <c r="Y6266" s="161"/>
      <c r="Z6266" s="168"/>
      <c r="AA6266" s="168"/>
      <c r="AB6266" s="168"/>
      <c r="AC6266" s="168"/>
    </row>
    <row r="6267">
      <c r="A6267" s="161"/>
      <c r="B6267" s="161"/>
      <c r="C6267" s="162"/>
      <c r="D6267" s="163"/>
      <c r="E6267" s="163"/>
      <c r="F6267" s="163"/>
      <c r="G6267" s="163"/>
      <c r="H6267" s="163"/>
      <c r="I6267" s="163"/>
      <c r="J6267" s="165"/>
      <c r="K6267" s="165"/>
      <c r="L6267" s="165"/>
      <c r="M6267" s="166"/>
      <c r="N6267" s="167"/>
      <c r="O6267" s="163"/>
      <c r="P6267" s="163"/>
      <c r="Q6267" s="163"/>
      <c r="R6267" s="163"/>
      <c r="S6267" s="161"/>
      <c r="T6267" s="161"/>
      <c r="U6267" s="161"/>
      <c r="V6267" s="161"/>
      <c r="W6267" s="161"/>
      <c r="X6267" s="161"/>
      <c r="Y6267" s="161"/>
      <c r="Z6267" s="168"/>
      <c r="AA6267" s="168"/>
      <c r="AB6267" s="168"/>
      <c r="AC6267" s="168"/>
    </row>
    <row r="6268">
      <c r="A6268" s="161"/>
      <c r="B6268" s="161"/>
      <c r="C6268" s="162"/>
      <c r="D6268" s="163"/>
      <c r="E6268" s="163"/>
      <c r="F6268" s="163"/>
      <c r="G6268" s="163"/>
      <c r="H6268" s="163"/>
      <c r="I6268" s="163"/>
      <c r="J6268" s="165"/>
      <c r="K6268" s="165"/>
      <c r="L6268" s="165"/>
      <c r="M6268" s="166"/>
      <c r="N6268" s="167"/>
      <c r="O6268" s="163"/>
      <c r="P6268" s="163"/>
      <c r="Q6268" s="163"/>
      <c r="R6268" s="163"/>
      <c r="S6268" s="161"/>
      <c r="T6268" s="161"/>
      <c r="U6268" s="161"/>
      <c r="V6268" s="161"/>
      <c r="W6268" s="161"/>
      <c r="X6268" s="161"/>
      <c r="Y6268" s="161"/>
      <c r="Z6268" s="168"/>
      <c r="AA6268" s="168"/>
      <c r="AB6268" s="168"/>
      <c r="AC6268" s="168"/>
    </row>
    <row r="6269">
      <c r="A6269" s="161"/>
      <c r="B6269" s="161"/>
      <c r="C6269" s="162"/>
      <c r="D6269" s="163"/>
      <c r="E6269" s="163"/>
      <c r="F6269" s="163"/>
      <c r="G6269" s="163"/>
      <c r="H6269" s="163"/>
      <c r="I6269" s="163"/>
      <c r="J6269" s="165"/>
      <c r="K6269" s="165"/>
      <c r="L6269" s="165"/>
      <c r="M6269" s="166"/>
      <c r="N6269" s="167"/>
      <c r="O6269" s="163"/>
      <c r="P6269" s="163"/>
      <c r="Q6269" s="163"/>
      <c r="R6269" s="163"/>
      <c r="S6269" s="161"/>
      <c r="T6269" s="161"/>
      <c r="U6269" s="161"/>
      <c r="V6269" s="161"/>
      <c r="W6269" s="161"/>
      <c r="X6269" s="161"/>
      <c r="Y6269" s="161"/>
      <c r="Z6269" s="168"/>
      <c r="AA6269" s="168"/>
      <c r="AB6269" s="168"/>
      <c r="AC6269" s="168"/>
    </row>
    <row r="6270">
      <c r="A6270" s="161"/>
      <c r="B6270" s="161"/>
      <c r="C6270" s="162"/>
      <c r="D6270" s="163"/>
      <c r="E6270" s="163"/>
      <c r="F6270" s="163"/>
      <c r="G6270" s="163"/>
      <c r="H6270" s="163"/>
      <c r="I6270" s="163"/>
      <c r="J6270" s="165"/>
      <c r="K6270" s="165"/>
      <c r="L6270" s="165"/>
      <c r="M6270" s="166"/>
      <c r="N6270" s="167"/>
      <c r="O6270" s="163"/>
      <c r="P6270" s="163"/>
      <c r="Q6270" s="163"/>
      <c r="R6270" s="163"/>
      <c r="S6270" s="161"/>
      <c r="T6270" s="161"/>
      <c r="U6270" s="161"/>
      <c r="V6270" s="161"/>
      <c r="W6270" s="161"/>
      <c r="X6270" s="161"/>
      <c r="Y6270" s="161"/>
      <c r="Z6270" s="168"/>
      <c r="AA6270" s="168"/>
      <c r="AB6270" s="168"/>
      <c r="AC6270" s="168"/>
    </row>
    <row r="6271">
      <c r="A6271" s="161"/>
      <c r="B6271" s="161"/>
      <c r="C6271" s="162"/>
      <c r="D6271" s="163"/>
      <c r="E6271" s="163"/>
      <c r="F6271" s="163"/>
      <c r="G6271" s="163"/>
      <c r="H6271" s="163"/>
      <c r="I6271" s="163"/>
      <c r="J6271" s="165"/>
      <c r="K6271" s="165"/>
      <c r="L6271" s="165"/>
      <c r="M6271" s="166"/>
      <c r="N6271" s="167"/>
      <c r="O6271" s="163"/>
      <c r="P6271" s="163"/>
      <c r="Q6271" s="163"/>
      <c r="R6271" s="163"/>
      <c r="S6271" s="161"/>
      <c r="T6271" s="161"/>
      <c r="U6271" s="161"/>
      <c r="V6271" s="161"/>
      <c r="W6271" s="161"/>
      <c r="X6271" s="161"/>
      <c r="Y6271" s="161"/>
      <c r="Z6271" s="168"/>
      <c r="AA6271" s="168"/>
      <c r="AB6271" s="168"/>
      <c r="AC6271" s="168"/>
    </row>
    <row r="6272">
      <c r="A6272" s="161"/>
      <c r="B6272" s="161"/>
      <c r="C6272" s="162"/>
      <c r="D6272" s="163"/>
      <c r="E6272" s="163"/>
      <c r="F6272" s="163"/>
      <c r="G6272" s="163"/>
      <c r="H6272" s="163"/>
      <c r="I6272" s="163"/>
      <c r="J6272" s="165"/>
      <c r="K6272" s="165"/>
      <c r="L6272" s="165"/>
      <c r="M6272" s="166"/>
      <c r="N6272" s="167"/>
      <c r="O6272" s="163"/>
      <c r="P6272" s="163"/>
      <c r="Q6272" s="163"/>
      <c r="R6272" s="163"/>
      <c r="S6272" s="161"/>
      <c r="T6272" s="161"/>
      <c r="U6272" s="161"/>
      <c r="V6272" s="161"/>
      <c r="W6272" s="161"/>
      <c r="X6272" s="161"/>
      <c r="Y6272" s="161"/>
      <c r="Z6272" s="168"/>
      <c r="AA6272" s="168"/>
      <c r="AB6272" s="168"/>
      <c r="AC6272" s="168"/>
    </row>
    <row r="6273">
      <c r="A6273" s="161"/>
      <c r="B6273" s="161"/>
      <c r="C6273" s="162"/>
      <c r="D6273" s="163"/>
      <c r="E6273" s="163"/>
      <c r="F6273" s="163"/>
      <c r="G6273" s="163"/>
      <c r="H6273" s="163"/>
      <c r="I6273" s="163"/>
      <c r="J6273" s="165"/>
      <c r="K6273" s="165"/>
      <c r="L6273" s="165"/>
      <c r="M6273" s="166"/>
      <c r="N6273" s="167"/>
      <c r="O6273" s="163"/>
      <c r="P6273" s="163"/>
      <c r="Q6273" s="163"/>
      <c r="R6273" s="163"/>
      <c r="S6273" s="161"/>
      <c r="T6273" s="161"/>
      <c r="U6273" s="161"/>
      <c r="V6273" s="161"/>
      <c r="W6273" s="161"/>
      <c r="X6273" s="161"/>
      <c r="Y6273" s="161"/>
      <c r="Z6273" s="168"/>
      <c r="AA6273" s="168"/>
      <c r="AB6273" s="168"/>
      <c r="AC6273" s="168"/>
    </row>
    <row r="6274">
      <c r="A6274" s="161"/>
      <c r="B6274" s="161"/>
      <c r="C6274" s="162"/>
      <c r="D6274" s="163"/>
      <c r="E6274" s="163"/>
      <c r="F6274" s="163"/>
      <c r="G6274" s="163"/>
      <c r="H6274" s="163"/>
      <c r="I6274" s="163"/>
      <c r="J6274" s="165"/>
      <c r="K6274" s="165"/>
      <c r="L6274" s="165"/>
      <c r="M6274" s="166"/>
      <c r="N6274" s="167"/>
      <c r="O6274" s="163"/>
      <c r="P6274" s="163"/>
      <c r="Q6274" s="163"/>
      <c r="R6274" s="163"/>
      <c r="S6274" s="161"/>
      <c r="T6274" s="161"/>
      <c r="U6274" s="161"/>
      <c r="V6274" s="161"/>
      <c r="W6274" s="161"/>
      <c r="X6274" s="161"/>
      <c r="Y6274" s="161"/>
      <c r="Z6274" s="168"/>
      <c r="AA6274" s="168"/>
      <c r="AB6274" s="168"/>
      <c r="AC6274" s="168"/>
    </row>
    <row r="6275">
      <c r="A6275" s="161"/>
      <c r="B6275" s="161"/>
      <c r="C6275" s="162"/>
      <c r="D6275" s="163"/>
      <c r="E6275" s="163"/>
      <c r="F6275" s="163"/>
      <c r="G6275" s="163"/>
      <c r="H6275" s="163"/>
      <c r="I6275" s="163"/>
      <c r="J6275" s="165"/>
      <c r="K6275" s="165"/>
      <c r="L6275" s="165"/>
      <c r="M6275" s="166"/>
      <c r="N6275" s="167"/>
      <c r="O6275" s="163"/>
      <c r="P6275" s="163"/>
      <c r="Q6275" s="163"/>
      <c r="R6275" s="163"/>
      <c r="S6275" s="161"/>
      <c r="T6275" s="161"/>
      <c r="U6275" s="161"/>
      <c r="V6275" s="161"/>
      <c r="W6275" s="161"/>
      <c r="X6275" s="161"/>
      <c r="Y6275" s="161"/>
      <c r="Z6275" s="168"/>
      <c r="AA6275" s="168"/>
      <c r="AB6275" s="168"/>
      <c r="AC6275" s="168"/>
    </row>
    <row r="6276">
      <c r="A6276" s="161"/>
      <c r="B6276" s="161"/>
      <c r="C6276" s="162"/>
      <c r="D6276" s="163"/>
      <c r="E6276" s="163"/>
      <c r="F6276" s="163"/>
      <c r="G6276" s="163"/>
      <c r="H6276" s="163"/>
      <c r="I6276" s="163"/>
      <c r="J6276" s="165"/>
      <c r="K6276" s="165"/>
      <c r="L6276" s="165"/>
      <c r="M6276" s="166"/>
      <c r="N6276" s="167"/>
      <c r="O6276" s="163"/>
      <c r="P6276" s="163"/>
      <c r="Q6276" s="163"/>
      <c r="R6276" s="163"/>
      <c r="S6276" s="161"/>
      <c r="T6276" s="161"/>
      <c r="U6276" s="161"/>
      <c r="V6276" s="161"/>
      <c r="W6276" s="161"/>
      <c r="X6276" s="161"/>
      <c r="Y6276" s="161"/>
      <c r="Z6276" s="168"/>
      <c r="AA6276" s="168"/>
      <c r="AB6276" s="168"/>
      <c r="AC6276" s="168"/>
    </row>
    <row r="6277">
      <c r="A6277" s="161"/>
      <c r="B6277" s="161"/>
      <c r="C6277" s="162"/>
      <c r="D6277" s="163"/>
      <c r="E6277" s="163"/>
      <c r="F6277" s="163"/>
      <c r="G6277" s="163"/>
      <c r="H6277" s="163"/>
      <c r="I6277" s="163"/>
      <c r="J6277" s="165"/>
      <c r="K6277" s="165"/>
      <c r="L6277" s="165"/>
      <c r="M6277" s="166"/>
      <c r="N6277" s="167"/>
      <c r="O6277" s="163"/>
      <c r="P6277" s="163"/>
      <c r="Q6277" s="163"/>
      <c r="R6277" s="163"/>
      <c r="S6277" s="161"/>
      <c r="T6277" s="161"/>
      <c r="U6277" s="161"/>
      <c r="V6277" s="161"/>
      <c r="W6277" s="161"/>
      <c r="X6277" s="161"/>
      <c r="Y6277" s="161"/>
      <c r="Z6277" s="168"/>
      <c r="AA6277" s="168"/>
      <c r="AB6277" s="168"/>
      <c r="AC6277" s="168"/>
    </row>
    <row r="6278">
      <c r="A6278" s="161"/>
      <c r="B6278" s="161"/>
      <c r="C6278" s="162"/>
      <c r="D6278" s="163"/>
      <c r="E6278" s="163"/>
      <c r="F6278" s="163"/>
      <c r="G6278" s="163"/>
      <c r="H6278" s="163"/>
      <c r="I6278" s="163"/>
      <c r="J6278" s="165"/>
      <c r="K6278" s="165"/>
      <c r="L6278" s="165"/>
      <c r="M6278" s="166"/>
      <c r="N6278" s="167"/>
      <c r="O6278" s="163"/>
      <c r="P6278" s="163"/>
      <c r="Q6278" s="163"/>
      <c r="R6278" s="163"/>
      <c r="S6278" s="161"/>
      <c r="T6278" s="161"/>
      <c r="U6278" s="161"/>
      <c r="V6278" s="161"/>
      <c r="W6278" s="161"/>
      <c r="X6278" s="161"/>
      <c r="Y6278" s="161"/>
      <c r="Z6278" s="168"/>
      <c r="AA6278" s="168"/>
      <c r="AB6278" s="168"/>
      <c r="AC6278" s="168"/>
    </row>
    <row r="6279">
      <c r="A6279" s="161"/>
      <c r="B6279" s="161"/>
      <c r="C6279" s="162"/>
      <c r="D6279" s="163"/>
      <c r="E6279" s="163"/>
      <c r="F6279" s="163"/>
      <c r="G6279" s="163"/>
      <c r="H6279" s="163"/>
      <c r="I6279" s="163"/>
      <c r="J6279" s="165"/>
      <c r="K6279" s="165"/>
      <c r="L6279" s="165"/>
      <c r="M6279" s="166"/>
      <c r="N6279" s="167"/>
      <c r="O6279" s="163"/>
      <c r="P6279" s="163"/>
      <c r="Q6279" s="163"/>
      <c r="R6279" s="163"/>
      <c r="S6279" s="161"/>
      <c r="T6279" s="161"/>
      <c r="U6279" s="161"/>
      <c r="V6279" s="161"/>
      <c r="W6279" s="161"/>
      <c r="X6279" s="161"/>
      <c r="Y6279" s="161"/>
      <c r="Z6279" s="168"/>
      <c r="AA6279" s="168"/>
      <c r="AB6279" s="168"/>
      <c r="AC6279" s="168"/>
    </row>
    <row r="6280">
      <c r="A6280" s="161"/>
      <c r="B6280" s="161"/>
      <c r="C6280" s="162"/>
      <c r="D6280" s="163"/>
      <c r="E6280" s="163"/>
      <c r="F6280" s="163"/>
      <c r="G6280" s="163"/>
      <c r="H6280" s="163"/>
      <c r="I6280" s="163"/>
      <c r="J6280" s="165"/>
      <c r="K6280" s="165"/>
      <c r="L6280" s="165"/>
      <c r="M6280" s="166"/>
      <c r="N6280" s="167"/>
      <c r="O6280" s="163"/>
      <c r="P6280" s="163"/>
      <c r="Q6280" s="163"/>
      <c r="R6280" s="163"/>
      <c r="S6280" s="161"/>
      <c r="T6280" s="161"/>
      <c r="U6280" s="161"/>
      <c r="V6280" s="161"/>
      <c r="W6280" s="161"/>
      <c r="X6280" s="161"/>
      <c r="Y6280" s="161"/>
      <c r="Z6280" s="168"/>
      <c r="AA6280" s="168"/>
      <c r="AB6280" s="168"/>
      <c r="AC6280" s="168"/>
    </row>
    <row r="6281">
      <c r="A6281" s="161"/>
      <c r="B6281" s="161"/>
      <c r="C6281" s="162"/>
      <c r="D6281" s="163"/>
      <c r="E6281" s="163"/>
      <c r="F6281" s="163"/>
      <c r="G6281" s="163"/>
      <c r="H6281" s="163"/>
      <c r="I6281" s="163"/>
      <c r="J6281" s="165"/>
      <c r="K6281" s="165"/>
      <c r="L6281" s="165"/>
      <c r="M6281" s="166"/>
      <c r="N6281" s="167"/>
      <c r="O6281" s="163"/>
      <c r="P6281" s="163"/>
      <c r="Q6281" s="163"/>
      <c r="R6281" s="163"/>
      <c r="S6281" s="161"/>
      <c r="T6281" s="161"/>
      <c r="U6281" s="161"/>
      <c r="V6281" s="161"/>
      <c r="W6281" s="161"/>
      <c r="X6281" s="161"/>
      <c r="Y6281" s="161"/>
      <c r="Z6281" s="168"/>
      <c r="AA6281" s="168"/>
      <c r="AB6281" s="168"/>
      <c r="AC6281" s="168"/>
    </row>
    <row r="6282">
      <c r="A6282" s="161"/>
      <c r="B6282" s="161"/>
      <c r="C6282" s="162"/>
      <c r="D6282" s="163"/>
      <c r="E6282" s="163"/>
      <c r="F6282" s="163"/>
      <c r="G6282" s="163"/>
      <c r="H6282" s="163"/>
      <c r="I6282" s="163"/>
      <c r="J6282" s="165"/>
      <c r="K6282" s="165"/>
      <c r="L6282" s="165"/>
      <c r="M6282" s="166"/>
      <c r="N6282" s="167"/>
      <c r="O6282" s="163"/>
      <c r="P6282" s="163"/>
      <c r="Q6282" s="163"/>
      <c r="R6282" s="163"/>
      <c r="S6282" s="161"/>
      <c r="T6282" s="161"/>
      <c r="U6282" s="161"/>
      <c r="V6282" s="161"/>
      <c r="W6282" s="161"/>
      <c r="X6282" s="161"/>
      <c r="Y6282" s="161"/>
      <c r="Z6282" s="168"/>
      <c r="AA6282" s="168"/>
      <c r="AB6282" s="168"/>
      <c r="AC6282" s="168"/>
    </row>
    <row r="6283">
      <c r="A6283" s="161"/>
      <c r="B6283" s="161"/>
      <c r="C6283" s="162"/>
      <c r="D6283" s="163"/>
      <c r="E6283" s="163"/>
      <c r="F6283" s="163"/>
      <c r="G6283" s="163"/>
      <c r="H6283" s="163"/>
      <c r="I6283" s="163"/>
      <c r="J6283" s="165"/>
      <c r="K6283" s="165"/>
      <c r="L6283" s="165"/>
      <c r="M6283" s="166"/>
      <c r="N6283" s="167"/>
      <c r="O6283" s="163"/>
      <c r="P6283" s="163"/>
      <c r="Q6283" s="163"/>
      <c r="R6283" s="163"/>
      <c r="S6283" s="161"/>
      <c r="T6283" s="161"/>
      <c r="U6283" s="161"/>
      <c r="V6283" s="161"/>
      <c r="W6283" s="161"/>
      <c r="X6283" s="161"/>
      <c r="Y6283" s="161"/>
      <c r="Z6283" s="168"/>
      <c r="AA6283" s="168"/>
      <c r="AB6283" s="168"/>
      <c r="AC6283" s="168"/>
    </row>
    <row r="6284">
      <c r="A6284" s="161"/>
      <c r="B6284" s="161"/>
      <c r="C6284" s="162"/>
      <c r="D6284" s="163"/>
      <c r="E6284" s="163"/>
      <c r="F6284" s="163"/>
      <c r="G6284" s="163"/>
      <c r="H6284" s="163"/>
      <c r="I6284" s="163"/>
      <c r="J6284" s="165"/>
      <c r="K6284" s="165"/>
      <c r="L6284" s="165"/>
      <c r="M6284" s="166"/>
      <c r="N6284" s="167"/>
      <c r="O6284" s="163"/>
      <c r="P6284" s="163"/>
      <c r="Q6284" s="163"/>
      <c r="R6284" s="163"/>
      <c r="S6284" s="161"/>
      <c r="T6284" s="161"/>
      <c r="U6284" s="161"/>
      <c r="V6284" s="161"/>
      <c r="W6284" s="161"/>
      <c r="X6284" s="161"/>
      <c r="Y6284" s="161"/>
      <c r="Z6284" s="168"/>
      <c r="AA6284" s="168"/>
      <c r="AB6284" s="168"/>
      <c r="AC6284" s="168"/>
    </row>
    <row r="6285">
      <c r="A6285" s="161"/>
      <c r="B6285" s="161"/>
      <c r="C6285" s="162"/>
      <c r="D6285" s="163"/>
      <c r="E6285" s="163"/>
      <c r="F6285" s="163"/>
      <c r="G6285" s="163"/>
      <c r="H6285" s="163"/>
      <c r="I6285" s="163"/>
      <c r="J6285" s="165"/>
      <c r="K6285" s="165"/>
      <c r="L6285" s="165"/>
      <c r="M6285" s="166"/>
      <c r="N6285" s="167"/>
      <c r="O6285" s="163"/>
      <c r="P6285" s="163"/>
      <c r="Q6285" s="163"/>
      <c r="R6285" s="163"/>
      <c r="S6285" s="161"/>
      <c r="T6285" s="161"/>
      <c r="U6285" s="161"/>
      <c r="V6285" s="161"/>
      <c r="W6285" s="161"/>
      <c r="X6285" s="161"/>
      <c r="Y6285" s="161"/>
      <c r="Z6285" s="168"/>
      <c r="AA6285" s="168"/>
      <c r="AB6285" s="168"/>
      <c r="AC6285" s="168"/>
    </row>
    <row r="6286">
      <c r="A6286" s="161"/>
      <c r="B6286" s="161"/>
      <c r="C6286" s="162"/>
      <c r="D6286" s="163"/>
      <c r="E6286" s="163"/>
      <c r="F6286" s="163"/>
      <c r="G6286" s="163"/>
      <c r="H6286" s="163"/>
      <c r="I6286" s="163"/>
      <c r="J6286" s="165"/>
      <c r="K6286" s="165"/>
      <c r="L6286" s="165"/>
      <c r="M6286" s="166"/>
      <c r="N6286" s="167"/>
      <c r="O6286" s="163"/>
      <c r="P6286" s="163"/>
      <c r="Q6286" s="163"/>
      <c r="R6286" s="163"/>
      <c r="S6286" s="161"/>
      <c r="T6286" s="161"/>
      <c r="U6286" s="161"/>
      <c r="V6286" s="161"/>
      <c r="W6286" s="161"/>
      <c r="X6286" s="161"/>
      <c r="Y6286" s="161"/>
      <c r="Z6286" s="168"/>
      <c r="AA6286" s="168"/>
      <c r="AB6286" s="168"/>
      <c r="AC6286" s="168"/>
    </row>
    <row r="6287">
      <c r="A6287" s="161"/>
      <c r="B6287" s="161"/>
      <c r="C6287" s="162"/>
      <c r="D6287" s="163"/>
      <c r="E6287" s="163"/>
      <c r="F6287" s="163"/>
      <c r="G6287" s="163"/>
      <c r="H6287" s="163"/>
      <c r="I6287" s="163"/>
      <c r="J6287" s="165"/>
      <c r="K6287" s="165"/>
      <c r="L6287" s="165"/>
      <c r="M6287" s="166"/>
      <c r="N6287" s="167"/>
      <c r="O6287" s="163"/>
      <c r="P6287" s="163"/>
      <c r="Q6287" s="163"/>
      <c r="R6287" s="163"/>
      <c r="S6287" s="161"/>
      <c r="T6287" s="161"/>
      <c r="U6287" s="161"/>
      <c r="V6287" s="161"/>
      <c r="W6287" s="161"/>
      <c r="X6287" s="161"/>
      <c r="Y6287" s="161"/>
      <c r="Z6287" s="168"/>
      <c r="AA6287" s="168"/>
      <c r="AB6287" s="168"/>
      <c r="AC6287" s="168"/>
    </row>
    <row r="6288">
      <c r="A6288" s="161"/>
      <c r="B6288" s="161"/>
      <c r="C6288" s="162"/>
      <c r="D6288" s="163"/>
      <c r="E6288" s="163"/>
      <c r="F6288" s="163"/>
      <c r="G6288" s="163"/>
      <c r="H6288" s="163"/>
      <c r="I6288" s="163"/>
      <c r="J6288" s="165"/>
      <c r="K6288" s="165"/>
      <c r="L6288" s="165"/>
      <c r="M6288" s="166"/>
      <c r="N6288" s="167"/>
      <c r="O6288" s="163"/>
      <c r="P6288" s="163"/>
      <c r="Q6288" s="163"/>
      <c r="R6288" s="163"/>
      <c r="S6288" s="161"/>
      <c r="T6288" s="161"/>
      <c r="U6288" s="161"/>
      <c r="V6288" s="161"/>
      <c r="W6288" s="161"/>
      <c r="X6288" s="161"/>
      <c r="Y6288" s="161"/>
      <c r="Z6288" s="168"/>
      <c r="AA6288" s="168"/>
      <c r="AB6288" s="168"/>
      <c r="AC6288" s="168"/>
    </row>
    <row r="6289">
      <c r="A6289" s="161"/>
      <c r="B6289" s="161"/>
      <c r="C6289" s="162"/>
      <c r="D6289" s="163"/>
      <c r="E6289" s="163"/>
      <c r="F6289" s="163"/>
      <c r="G6289" s="163"/>
      <c r="H6289" s="163"/>
      <c r="I6289" s="163"/>
      <c r="J6289" s="165"/>
      <c r="K6289" s="165"/>
      <c r="L6289" s="165"/>
      <c r="M6289" s="166"/>
      <c r="N6289" s="167"/>
      <c r="O6289" s="163"/>
      <c r="P6289" s="163"/>
      <c r="Q6289" s="163"/>
      <c r="R6289" s="163"/>
      <c r="S6289" s="161"/>
      <c r="T6289" s="161"/>
      <c r="U6289" s="161"/>
      <c r="V6289" s="161"/>
      <c r="W6289" s="161"/>
      <c r="X6289" s="161"/>
      <c r="Y6289" s="161"/>
      <c r="Z6289" s="168"/>
      <c r="AA6289" s="168"/>
      <c r="AB6289" s="168"/>
      <c r="AC6289" s="168"/>
    </row>
    <row r="6290">
      <c r="A6290" s="161"/>
      <c r="B6290" s="161"/>
      <c r="C6290" s="162"/>
      <c r="D6290" s="163"/>
      <c r="E6290" s="163"/>
      <c r="F6290" s="163"/>
      <c r="G6290" s="163"/>
      <c r="H6290" s="163"/>
      <c r="I6290" s="163"/>
      <c r="J6290" s="165"/>
      <c r="K6290" s="165"/>
      <c r="L6290" s="165"/>
      <c r="M6290" s="166"/>
      <c r="N6290" s="167"/>
      <c r="O6290" s="163"/>
      <c r="P6290" s="163"/>
      <c r="Q6290" s="163"/>
      <c r="R6290" s="163"/>
      <c r="S6290" s="161"/>
      <c r="T6290" s="161"/>
      <c r="U6290" s="161"/>
      <c r="V6290" s="161"/>
      <c r="W6290" s="161"/>
      <c r="X6290" s="161"/>
      <c r="Y6290" s="161"/>
      <c r="Z6290" s="168"/>
      <c r="AA6290" s="168"/>
      <c r="AB6290" s="168"/>
      <c r="AC6290" s="168"/>
    </row>
    <row r="6291">
      <c r="A6291" s="161"/>
      <c r="B6291" s="161"/>
      <c r="C6291" s="162"/>
      <c r="D6291" s="163"/>
      <c r="E6291" s="163"/>
      <c r="F6291" s="163"/>
      <c r="G6291" s="163"/>
      <c r="H6291" s="163"/>
      <c r="I6291" s="163"/>
      <c r="J6291" s="165"/>
      <c r="K6291" s="165"/>
      <c r="L6291" s="165"/>
      <c r="M6291" s="166"/>
      <c r="N6291" s="167"/>
      <c r="O6291" s="163"/>
      <c r="P6291" s="163"/>
      <c r="Q6291" s="163"/>
      <c r="R6291" s="163"/>
      <c r="S6291" s="161"/>
      <c r="T6291" s="161"/>
      <c r="U6291" s="161"/>
      <c r="V6291" s="161"/>
      <c r="W6291" s="161"/>
      <c r="X6291" s="161"/>
      <c r="Y6291" s="161"/>
      <c r="Z6291" s="168"/>
      <c r="AA6291" s="168"/>
      <c r="AB6291" s="168"/>
      <c r="AC6291" s="168"/>
    </row>
    <row r="6292">
      <c r="A6292" s="161"/>
      <c r="B6292" s="161"/>
      <c r="C6292" s="162"/>
      <c r="D6292" s="163"/>
      <c r="E6292" s="163"/>
      <c r="F6292" s="163"/>
      <c r="G6292" s="163"/>
      <c r="H6292" s="163"/>
      <c r="I6292" s="163"/>
      <c r="J6292" s="165"/>
      <c r="K6292" s="165"/>
      <c r="L6292" s="165"/>
      <c r="M6292" s="166"/>
      <c r="N6292" s="167"/>
      <c r="O6292" s="163"/>
      <c r="P6292" s="163"/>
      <c r="Q6292" s="163"/>
      <c r="R6292" s="163"/>
      <c r="S6292" s="161"/>
      <c r="T6292" s="161"/>
      <c r="U6292" s="161"/>
      <c r="V6292" s="161"/>
      <c r="W6292" s="161"/>
      <c r="X6292" s="161"/>
      <c r="Y6292" s="161"/>
      <c r="Z6292" s="168"/>
      <c r="AA6292" s="168"/>
      <c r="AB6292" s="168"/>
      <c r="AC6292" s="168"/>
    </row>
    <row r="6293">
      <c r="A6293" s="161"/>
      <c r="B6293" s="161"/>
      <c r="C6293" s="162"/>
      <c r="D6293" s="163"/>
      <c r="E6293" s="163"/>
      <c r="F6293" s="163"/>
      <c r="G6293" s="163"/>
      <c r="H6293" s="163"/>
      <c r="I6293" s="163"/>
      <c r="J6293" s="165"/>
      <c r="K6293" s="165"/>
      <c r="L6293" s="165"/>
      <c r="M6293" s="166"/>
      <c r="N6293" s="167"/>
      <c r="O6293" s="163"/>
      <c r="P6293" s="163"/>
      <c r="Q6293" s="163"/>
      <c r="R6293" s="163"/>
      <c r="S6293" s="161"/>
      <c r="T6293" s="161"/>
      <c r="U6293" s="161"/>
      <c r="V6293" s="161"/>
      <c r="W6293" s="161"/>
      <c r="X6293" s="161"/>
      <c r="Y6293" s="161"/>
      <c r="Z6293" s="168"/>
      <c r="AA6293" s="168"/>
      <c r="AB6293" s="168"/>
      <c r="AC6293" s="168"/>
    </row>
    <row r="6294">
      <c r="A6294" s="161"/>
      <c r="B6294" s="161"/>
      <c r="C6294" s="162"/>
      <c r="D6294" s="163"/>
      <c r="E6294" s="163"/>
      <c r="F6294" s="163"/>
      <c r="G6294" s="163"/>
      <c r="H6294" s="163"/>
      <c r="I6294" s="163"/>
      <c r="J6294" s="165"/>
      <c r="K6294" s="165"/>
      <c r="L6294" s="165"/>
      <c r="M6294" s="166"/>
      <c r="N6294" s="167"/>
      <c r="O6294" s="163"/>
      <c r="P6294" s="163"/>
      <c r="Q6294" s="163"/>
      <c r="R6294" s="163"/>
      <c r="S6294" s="161"/>
      <c r="T6294" s="161"/>
      <c r="U6294" s="161"/>
      <c r="V6294" s="161"/>
      <c r="W6294" s="161"/>
      <c r="X6294" s="161"/>
      <c r="Y6294" s="161"/>
      <c r="Z6294" s="168"/>
      <c r="AA6294" s="168"/>
      <c r="AB6294" s="168"/>
      <c r="AC6294" s="168"/>
    </row>
    <row r="6295">
      <c r="A6295" s="161"/>
      <c r="B6295" s="161"/>
      <c r="C6295" s="162"/>
      <c r="D6295" s="163"/>
      <c r="E6295" s="163"/>
      <c r="F6295" s="163"/>
      <c r="G6295" s="163"/>
      <c r="H6295" s="163"/>
      <c r="I6295" s="163"/>
      <c r="J6295" s="165"/>
      <c r="K6295" s="165"/>
      <c r="L6295" s="165"/>
      <c r="M6295" s="166"/>
      <c r="N6295" s="167"/>
      <c r="O6295" s="163"/>
      <c r="P6295" s="163"/>
      <c r="Q6295" s="163"/>
      <c r="R6295" s="163"/>
      <c r="S6295" s="161"/>
      <c r="T6295" s="161"/>
      <c r="U6295" s="161"/>
      <c r="V6295" s="161"/>
      <c r="W6295" s="161"/>
      <c r="X6295" s="161"/>
      <c r="Y6295" s="161"/>
      <c r="Z6295" s="168"/>
      <c r="AA6295" s="168"/>
      <c r="AB6295" s="168"/>
      <c r="AC6295" s="168"/>
    </row>
    <row r="6296">
      <c r="A6296" s="161"/>
      <c r="B6296" s="161"/>
      <c r="C6296" s="162"/>
      <c r="D6296" s="163"/>
      <c r="E6296" s="163"/>
      <c r="F6296" s="163"/>
      <c r="G6296" s="163"/>
      <c r="H6296" s="163"/>
      <c r="I6296" s="163"/>
      <c r="J6296" s="165"/>
      <c r="K6296" s="165"/>
      <c r="L6296" s="165"/>
      <c r="M6296" s="166"/>
      <c r="N6296" s="167"/>
      <c r="O6296" s="163"/>
      <c r="P6296" s="163"/>
      <c r="Q6296" s="163"/>
      <c r="R6296" s="163"/>
      <c r="S6296" s="161"/>
      <c r="T6296" s="161"/>
      <c r="U6296" s="161"/>
      <c r="V6296" s="161"/>
      <c r="W6296" s="161"/>
      <c r="X6296" s="161"/>
      <c r="Y6296" s="161"/>
      <c r="Z6296" s="168"/>
      <c r="AA6296" s="168"/>
      <c r="AB6296" s="168"/>
      <c r="AC6296" s="168"/>
    </row>
    <row r="6297">
      <c r="A6297" s="161"/>
      <c r="B6297" s="161"/>
      <c r="C6297" s="162"/>
      <c r="D6297" s="163"/>
      <c r="E6297" s="163"/>
      <c r="F6297" s="163"/>
      <c r="G6297" s="163"/>
      <c r="H6297" s="163"/>
      <c r="I6297" s="163"/>
      <c r="J6297" s="165"/>
      <c r="K6297" s="165"/>
      <c r="L6297" s="165"/>
      <c r="M6297" s="166"/>
      <c r="N6297" s="167"/>
      <c r="O6297" s="163"/>
      <c r="P6297" s="163"/>
      <c r="Q6297" s="163"/>
      <c r="R6297" s="163"/>
      <c r="S6297" s="161"/>
      <c r="T6297" s="161"/>
      <c r="U6297" s="161"/>
      <c r="V6297" s="161"/>
      <c r="W6297" s="161"/>
      <c r="X6297" s="161"/>
      <c r="Y6297" s="161"/>
      <c r="Z6297" s="168"/>
      <c r="AA6297" s="168"/>
      <c r="AB6297" s="168"/>
      <c r="AC6297" s="168"/>
    </row>
    <row r="6298">
      <c r="A6298" s="161"/>
      <c r="B6298" s="161"/>
      <c r="C6298" s="162"/>
      <c r="D6298" s="163"/>
      <c r="E6298" s="163"/>
      <c r="F6298" s="163"/>
      <c r="G6298" s="163"/>
      <c r="H6298" s="163"/>
      <c r="I6298" s="163"/>
      <c r="J6298" s="165"/>
      <c r="K6298" s="165"/>
      <c r="L6298" s="165"/>
      <c r="M6298" s="166"/>
      <c r="N6298" s="167"/>
      <c r="O6298" s="163"/>
      <c r="P6298" s="163"/>
      <c r="Q6298" s="163"/>
      <c r="R6298" s="163"/>
      <c r="S6298" s="161"/>
      <c r="T6298" s="161"/>
      <c r="U6298" s="161"/>
      <c r="V6298" s="161"/>
      <c r="W6298" s="161"/>
      <c r="X6298" s="161"/>
      <c r="Y6298" s="161"/>
      <c r="Z6298" s="168"/>
      <c r="AA6298" s="168"/>
      <c r="AB6298" s="168"/>
      <c r="AC6298" s="168"/>
    </row>
    <row r="6299">
      <c r="A6299" s="161"/>
      <c r="B6299" s="161"/>
      <c r="C6299" s="162"/>
      <c r="D6299" s="163"/>
      <c r="E6299" s="163"/>
      <c r="F6299" s="163"/>
      <c r="G6299" s="163"/>
      <c r="H6299" s="163"/>
      <c r="I6299" s="163"/>
      <c r="J6299" s="165"/>
      <c r="K6299" s="165"/>
      <c r="L6299" s="165"/>
      <c r="M6299" s="166"/>
      <c r="N6299" s="167"/>
      <c r="O6299" s="163"/>
      <c r="P6299" s="163"/>
      <c r="Q6299" s="163"/>
      <c r="R6299" s="163"/>
      <c r="S6299" s="161"/>
      <c r="T6299" s="161"/>
      <c r="U6299" s="161"/>
      <c r="V6299" s="161"/>
      <c r="W6299" s="161"/>
      <c r="X6299" s="161"/>
      <c r="Y6299" s="161"/>
      <c r="Z6299" s="168"/>
      <c r="AA6299" s="168"/>
      <c r="AB6299" s="168"/>
      <c r="AC6299" s="168"/>
    </row>
    <row r="6300">
      <c r="A6300" s="161"/>
      <c r="B6300" s="161"/>
      <c r="C6300" s="162"/>
      <c r="D6300" s="163"/>
      <c r="E6300" s="163"/>
      <c r="F6300" s="163"/>
      <c r="G6300" s="163"/>
      <c r="H6300" s="163"/>
      <c r="I6300" s="163"/>
      <c r="J6300" s="165"/>
      <c r="K6300" s="165"/>
      <c r="L6300" s="165"/>
      <c r="M6300" s="166"/>
      <c r="N6300" s="167"/>
      <c r="O6300" s="163"/>
      <c r="P6300" s="163"/>
      <c r="Q6300" s="163"/>
      <c r="R6300" s="163"/>
      <c r="S6300" s="161"/>
      <c r="T6300" s="161"/>
      <c r="U6300" s="161"/>
      <c r="V6300" s="161"/>
      <c r="W6300" s="161"/>
      <c r="X6300" s="161"/>
      <c r="Y6300" s="161"/>
      <c r="Z6300" s="168"/>
      <c r="AA6300" s="168"/>
      <c r="AB6300" s="168"/>
      <c r="AC6300" s="168"/>
    </row>
    <row r="6301">
      <c r="A6301" s="161"/>
      <c r="B6301" s="161"/>
      <c r="C6301" s="162"/>
      <c r="D6301" s="163"/>
      <c r="E6301" s="163"/>
      <c r="F6301" s="163"/>
      <c r="G6301" s="163"/>
      <c r="H6301" s="163"/>
      <c r="I6301" s="163"/>
      <c r="J6301" s="165"/>
      <c r="K6301" s="165"/>
      <c r="L6301" s="165"/>
      <c r="M6301" s="166"/>
      <c r="N6301" s="167"/>
      <c r="O6301" s="163"/>
      <c r="P6301" s="163"/>
      <c r="Q6301" s="163"/>
      <c r="R6301" s="163"/>
      <c r="S6301" s="161"/>
      <c r="T6301" s="161"/>
      <c r="U6301" s="161"/>
      <c r="V6301" s="161"/>
      <c r="W6301" s="161"/>
      <c r="X6301" s="161"/>
      <c r="Y6301" s="161"/>
      <c r="Z6301" s="168"/>
      <c r="AA6301" s="168"/>
      <c r="AB6301" s="168"/>
      <c r="AC6301" s="168"/>
    </row>
    <row r="6302">
      <c r="A6302" s="161"/>
      <c r="B6302" s="161"/>
      <c r="C6302" s="162"/>
      <c r="D6302" s="163"/>
      <c r="E6302" s="163"/>
      <c r="F6302" s="163"/>
      <c r="G6302" s="163"/>
      <c r="H6302" s="163"/>
      <c r="I6302" s="163"/>
      <c r="J6302" s="165"/>
      <c r="K6302" s="165"/>
      <c r="L6302" s="165"/>
      <c r="M6302" s="166"/>
      <c r="N6302" s="167"/>
      <c r="O6302" s="163"/>
      <c r="P6302" s="163"/>
      <c r="Q6302" s="163"/>
      <c r="R6302" s="163"/>
      <c r="S6302" s="161"/>
      <c r="T6302" s="161"/>
      <c r="U6302" s="161"/>
      <c r="V6302" s="161"/>
      <c r="W6302" s="161"/>
      <c r="X6302" s="161"/>
      <c r="Y6302" s="161"/>
      <c r="Z6302" s="168"/>
      <c r="AA6302" s="168"/>
      <c r="AB6302" s="168"/>
      <c r="AC6302" s="168"/>
    </row>
    <row r="6303">
      <c r="A6303" s="161"/>
      <c r="B6303" s="161"/>
      <c r="C6303" s="162"/>
      <c r="D6303" s="163"/>
      <c r="E6303" s="163"/>
      <c r="F6303" s="163"/>
      <c r="G6303" s="163"/>
      <c r="H6303" s="163"/>
      <c r="I6303" s="163"/>
      <c r="J6303" s="165"/>
      <c r="K6303" s="165"/>
      <c r="L6303" s="165"/>
      <c r="M6303" s="166"/>
      <c r="N6303" s="167"/>
      <c r="O6303" s="163"/>
      <c r="P6303" s="163"/>
      <c r="Q6303" s="163"/>
      <c r="R6303" s="163"/>
      <c r="S6303" s="161"/>
      <c r="T6303" s="161"/>
      <c r="U6303" s="161"/>
      <c r="V6303" s="161"/>
      <c r="W6303" s="161"/>
      <c r="X6303" s="161"/>
      <c r="Y6303" s="161"/>
      <c r="Z6303" s="168"/>
      <c r="AA6303" s="168"/>
      <c r="AB6303" s="168"/>
      <c r="AC6303" s="168"/>
    </row>
    <row r="6304">
      <c r="A6304" s="161"/>
      <c r="B6304" s="161"/>
      <c r="C6304" s="162"/>
      <c r="D6304" s="163"/>
      <c r="E6304" s="163"/>
      <c r="F6304" s="163"/>
      <c r="G6304" s="163"/>
      <c r="H6304" s="163"/>
      <c r="I6304" s="163"/>
      <c r="J6304" s="165"/>
      <c r="K6304" s="165"/>
      <c r="L6304" s="165"/>
      <c r="M6304" s="166"/>
      <c r="N6304" s="167"/>
      <c r="O6304" s="163"/>
      <c r="P6304" s="163"/>
      <c r="Q6304" s="163"/>
      <c r="R6304" s="163"/>
      <c r="S6304" s="161"/>
      <c r="T6304" s="161"/>
      <c r="U6304" s="161"/>
      <c r="V6304" s="161"/>
      <c r="W6304" s="161"/>
      <c r="X6304" s="161"/>
      <c r="Y6304" s="161"/>
      <c r="Z6304" s="168"/>
      <c r="AA6304" s="168"/>
      <c r="AB6304" s="168"/>
      <c r="AC6304" s="168"/>
    </row>
    <row r="6305">
      <c r="A6305" s="161"/>
      <c r="B6305" s="161"/>
      <c r="C6305" s="162"/>
      <c r="D6305" s="163"/>
      <c r="E6305" s="163"/>
      <c r="F6305" s="163"/>
      <c r="G6305" s="163"/>
      <c r="H6305" s="163"/>
      <c r="I6305" s="163"/>
      <c r="J6305" s="165"/>
      <c r="K6305" s="165"/>
      <c r="L6305" s="165"/>
      <c r="M6305" s="166"/>
      <c r="N6305" s="167"/>
      <c r="O6305" s="163"/>
      <c r="P6305" s="163"/>
      <c r="Q6305" s="163"/>
      <c r="R6305" s="163"/>
      <c r="S6305" s="161"/>
      <c r="T6305" s="161"/>
      <c r="U6305" s="161"/>
      <c r="V6305" s="161"/>
      <c r="W6305" s="161"/>
      <c r="X6305" s="161"/>
      <c r="Y6305" s="161"/>
      <c r="Z6305" s="168"/>
      <c r="AA6305" s="168"/>
      <c r="AB6305" s="168"/>
      <c r="AC6305" s="168"/>
    </row>
    <row r="6306">
      <c r="A6306" s="161"/>
      <c r="B6306" s="161"/>
      <c r="C6306" s="162"/>
      <c r="D6306" s="163"/>
      <c r="E6306" s="163"/>
      <c r="F6306" s="163"/>
      <c r="G6306" s="163"/>
      <c r="H6306" s="163"/>
      <c r="I6306" s="163"/>
      <c r="J6306" s="165"/>
      <c r="K6306" s="165"/>
      <c r="L6306" s="165"/>
      <c r="M6306" s="166"/>
      <c r="N6306" s="167"/>
      <c r="O6306" s="163"/>
      <c r="P6306" s="163"/>
      <c r="Q6306" s="163"/>
      <c r="R6306" s="163"/>
      <c r="S6306" s="161"/>
      <c r="T6306" s="161"/>
      <c r="U6306" s="161"/>
      <c r="V6306" s="161"/>
      <c r="W6306" s="161"/>
      <c r="X6306" s="161"/>
      <c r="Y6306" s="161"/>
      <c r="Z6306" s="168"/>
      <c r="AA6306" s="168"/>
      <c r="AB6306" s="168"/>
      <c r="AC6306" s="168"/>
    </row>
    <row r="6307">
      <c r="A6307" s="161"/>
      <c r="B6307" s="161"/>
      <c r="C6307" s="162"/>
      <c r="D6307" s="163"/>
      <c r="E6307" s="163"/>
      <c r="F6307" s="163"/>
      <c r="G6307" s="163"/>
      <c r="H6307" s="163"/>
      <c r="I6307" s="163"/>
      <c r="J6307" s="165"/>
      <c r="K6307" s="165"/>
      <c r="L6307" s="165"/>
      <c r="M6307" s="166"/>
      <c r="N6307" s="167"/>
      <c r="O6307" s="163"/>
      <c r="P6307" s="163"/>
      <c r="Q6307" s="163"/>
      <c r="R6307" s="163"/>
      <c r="S6307" s="161"/>
      <c r="T6307" s="161"/>
      <c r="U6307" s="161"/>
      <c r="V6307" s="161"/>
      <c r="W6307" s="161"/>
      <c r="X6307" s="161"/>
      <c r="Y6307" s="161"/>
      <c r="Z6307" s="168"/>
      <c r="AA6307" s="168"/>
      <c r="AB6307" s="168"/>
      <c r="AC6307" s="168"/>
    </row>
    <row r="6308">
      <c r="A6308" s="161"/>
      <c r="B6308" s="161"/>
      <c r="C6308" s="162"/>
      <c r="D6308" s="163"/>
      <c r="E6308" s="163"/>
      <c r="F6308" s="163"/>
      <c r="G6308" s="163"/>
      <c r="H6308" s="163"/>
      <c r="I6308" s="163"/>
      <c r="J6308" s="165"/>
      <c r="K6308" s="165"/>
      <c r="L6308" s="165"/>
      <c r="M6308" s="166"/>
      <c r="N6308" s="167"/>
      <c r="O6308" s="163"/>
      <c r="P6308" s="163"/>
      <c r="Q6308" s="163"/>
      <c r="R6308" s="163"/>
      <c r="S6308" s="161"/>
      <c r="T6308" s="161"/>
      <c r="U6308" s="161"/>
      <c r="V6308" s="161"/>
      <c r="W6308" s="161"/>
      <c r="X6308" s="161"/>
      <c r="Y6308" s="161"/>
      <c r="Z6308" s="168"/>
      <c r="AA6308" s="168"/>
      <c r="AB6308" s="168"/>
      <c r="AC6308" s="168"/>
    </row>
    <row r="6309">
      <c r="A6309" s="161"/>
      <c r="B6309" s="161"/>
      <c r="C6309" s="162"/>
      <c r="D6309" s="163"/>
      <c r="E6309" s="163"/>
      <c r="F6309" s="163"/>
      <c r="G6309" s="163"/>
      <c r="H6309" s="163"/>
      <c r="I6309" s="163"/>
      <c r="J6309" s="165"/>
      <c r="K6309" s="165"/>
      <c r="L6309" s="165"/>
      <c r="M6309" s="166"/>
      <c r="N6309" s="167"/>
      <c r="O6309" s="163"/>
      <c r="P6309" s="163"/>
      <c r="Q6309" s="163"/>
      <c r="R6309" s="163"/>
      <c r="S6309" s="161"/>
      <c r="T6309" s="161"/>
      <c r="U6309" s="161"/>
      <c r="V6309" s="161"/>
      <c r="W6309" s="161"/>
      <c r="X6309" s="161"/>
      <c r="Y6309" s="161"/>
      <c r="Z6309" s="168"/>
      <c r="AA6309" s="168"/>
      <c r="AB6309" s="168"/>
      <c r="AC6309" s="168"/>
    </row>
    <row r="6310">
      <c r="A6310" s="161"/>
      <c r="B6310" s="161"/>
      <c r="C6310" s="162"/>
      <c r="D6310" s="163"/>
      <c r="E6310" s="163"/>
      <c r="F6310" s="163"/>
      <c r="G6310" s="163"/>
      <c r="H6310" s="163"/>
      <c r="I6310" s="163"/>
      <c r="J6310" s="165"/>
      <c r="K6310" s="165"/>
      <c r="L6310" s="165"/>
      <c r="M6310" s="166"/>
      <c r="N6310" s="167"/>
      <c r="O6310" s="163"/>
      <c r="P6310" s="163"/>
      <c r="Q6310" s="163"/>
      <c r="R6310" s="163"/>
      <c r="S6310" s="161"/>
      <c r="T6310" s="161"/>
      <c r="U6310" s="161"/>
      <c r="V6310" s="161"/>
      <c r="W6310" s="161"/>
      <c r="X6310" s="161"/>
      <c r="Y6310" s="161"/>
      <c r="Z6310" s="168"/>
      <c r="AA6310" s="168"/>
      <c r="AB6310" s="168"/>
      <c r="AC6310" s="168"/>
    </row>
    <row r="6311">
      <c r="A6311" s="161"/>
      <c r="B6311" s="161"/>
      <c r="C6311" s="162"/>
      <c r="D6311" s="163"/>
      <c r="E6311" s="163"/>
      <c r="F6311" s="163"/>
      <c r="G6311" s="163"/>
      <c r="H6311" s="163"/>
      <c r="I6311" s="163"/>
      <c r="J6311" s="165"/>
      <c r="K6311" s="165"/>
      <c r="L6311" s="165"/>
      <c r="M6311" s="166"/>
      <c r="N6311" s="167"/>
      <c r="O6311" s="163"/>
      <c r="P6311" s="163"/>
      <c r="Q6311" s="163"/>
      <c r="R6311" s="163"/>
      <c r="S6311" s="161"/>
      <c r="T6311" s="161"/>
      <c r="U6311" s="161"/>
      <c r="V6311" s="161"/>
      <c r="W6311" s="161"/>
      <c r="X6311" s="161"/>
      <c r="Y6311" s="161"/>
      <c r="Z6311" s="168"/>
      <c r="AA6311" s="168"/>
      <c r="AB6311" s="168"/>
      <c r="AC6311" s="168"/>
    </row>
    <row r="6312">
      <c r="A6312" s="161"/>
      <c r="B6312" s="161"/>
      <c r="C6312" s="162"/>
      <c r="D6312" s="163"/>
      <c r="E6312" s="163"/>
      <c r="F6312" s="163"/>
      <c r="G6312" s="163"/>
      <c r="H6312" s="163"/>
      <c r="I6312" s="163"/>
      <c r="J6312" s="165"/>
      <c r="K6312" s="165"/>
      <c r="L6312" s="165"/>
      <c r="M6312" s="166"/>
      <c r="N6312" s="167"/>
      <c r="O6312" s="163"/>
      <c r="P6312" s="163"/>
      <c r="Q6312" s="163"/>
      <c r="R6312" s="163"/>
      <c r="S6312" s="161"/>
      <c r="T6312" s="161"/>
      <c r="U6312" s="161"/>
      <c r="V6312" s="161"/>
      <c r="W6312" s="161"/>
      <c r="X6312" s="161"/>
      <c r="Y6312" s="161"/>
      <c r="Z6312" s="168"/>
      <c r="AA6312" s="168"/>
      <c r="AB6312" s="168"/>
      <c r="AC6312" s="168"/>
    </row>
    <row r="6313">
      <c r="A6313" s="161"/>
      <c r="B6313" s="161"/>
      <c r="C6313" s="162"/>
      <c r="D6313" s="163"/>
      <c r="E6313" s="163"/>
      <c r="F6313" s="163"/>
      <c r="G6313" s="163"/>
      <c r="H6313" s="163"/>
      <c r="I6313" s="163"/>
      <c r="J6313" s="165"/>
      <c r="K6313" s="165"/>
      <c r="L6313" s="165"/>
      <c r="M6313" s="166"/>
      <c r="N6313" s="167"/>
      <c r="O6313" s="163"/>
      <c r="P6313" s="163"/>
      <c r="Q6313" s="163"/>
      <c r="R6313" s="163"/>
      <c r="S6313" s="161"/>
      <c r="T6313" s="161"/>
      <c r="U6313" s="161"/>
      <c r="V6313" s="161"/>
      <c r="W6313" s="161"/>
      <c r="X6313" s="161"/>
      <c r="Y6313" s="161"/>
      <c r="Z6313" s="168"/>
      <c r="AA6313" s="168"/>
      <c r="AB6313" s="168"/>
      <c r="AC6313" s="168"/>
    </row>
    <row r="6314">
      <c r="A6314" s="161"/>
      <c r="B6314" s="161"/>
      <c r="C6314" s="162"/>
      <c r="D6314" s="163"/>
      <c r="E6314" s="163"/>
      <c r="F6314" s="163"/>
      <c r="G6314" s="163"/>
      <c r="H6314" s="163"/>
      <c r="I6314" s="163"/>
      <c r="J6314" s="165"/>
      <c r="K6314" s="165"/>
      <c r="L6314" s="165"/>
      <c r="M6314" s="166"/>
      <c r="N6314" s="167"/>
      <c r="O6314" s="163"/>
      <c r="P6314" s="163"/>
      <c r="Q6314" s="163"/>
      <c r="R6314" s="163"/>
      <c r="S6314" s="161"/>
      <c r="T6314" s="161"/>
      <c r="U6314" s="161"/>
      <c r="V6314" s="161"/>
      <c r="W6314" s="161"/>
      <c r="X6314" s="161"/>
      <c r="Y6314" s="161"/>
      <c r="Z6314" s="168"/>
      <c r="AA6314" s="168"/>
      <c r="AB6314" s="168"/>
      <c r="AC6314" s="168"/>
    </row>
    <row r="6315">
      <c r="A6315" s="161"/>
      <c r="B6315" s="161"/>
      <c r="C6315" s="162"/>
      <c r="D6315" s="163"/>
      <c r="E6315" s="163"/>
      <c r="F6315" s="163"/>
      <c r="G6315" s="163"/>
      <c r="H6315" s="163"/>
      <c r="I6315" s="163"/>
      <c r="J6315" s="165"/>
      <c r="K6315" s="165"/>
      <c r="L6315" s="165"/>
      <c r="M6315" s="166"/>
      <c r="N6315" s="167"/>
      <c r="O6315" s="163"/>
      <c r="P6315" s="163"/>
      <c r="Q6315" s="163"/>
      <c r="R6315" s="163"/>
      <c r="S6315" s="161"/>
      <c r="T6315" s="161"/>
      <c r="U6315" s="161"/>
      <c r="V6315" s="161"/>
      <c r="W6315" s="161"/>
      <c r="X6315" s="161"/>
      <c r="Y6315" s="161"/>
      <c r="Z6315" s="168"/>
      <c r="AA6315" s="168"/>
      <c r="AB6315" s="168"/>
      <c r="AC6315" s="168"/>
    </row>
    <row r="6316">
      <c r="A6316" s="161"/>
      <c r="B6316" s="161"/>
      <c r="C6316" s="162"/>
      <c r="D6316" s="163"/>
      <c r="E6316" s="163"/>
      <c r="F6316" s="163"/>
      <c r="G6316" s="163"/>
      <c r="H6316" s="163"/>
      <c r="I6316" s="163"/>
      <c r="J6316" s="165"/>
      <c r="K6316" s="165"/>
      <c r="L6316" s="165"/>
      <c r="M6316" s="166"/>
      <c r="N6316" s="167"/>
      <c r="O6316" s="163"/>
      <c r="P6316" s="163"/>
      <c r="Q6316" s="163"/>
      <c r="R6316" s="163"/>
      <c r="S6316" s="161"/>
      <c r="T6316" s="161"/>
      <c r="U6316" s="161"/>
      <c r="V6316" s="161"/>
      <c r="W6316" s="161"/>
      <c r="X6316" s="161"/>
      <c r="Y6316" s="161"/>
      <c r="Z6316" s="168"/>
      <c r="AA6316" s="168"/>
      <c r="AB6316" s="168"/>
      <c r="AC6316" s="168"/>
    </row>
    <row r="6317">
      <c r="A6317" s="161"/>
      <c r="B6317" s="161"/>
      <c r="C6317" s="162"/>
      <c r="D6317" s="163"/>
      <c r="E6317" s="163"/>
      <c r="F6317" s="163"/>
      <c r="G6317" s="163"/>
      <c r="H6317" s="163"/>
      <c r="I6317" s="163"/>
      <c r="J6317" s="165"/>
      <c r="K6317" s="165"/>
      <c r="L6317" s="165"/>
      <c r="M6317" s="166"/>
      <c r="N6317" s="167"/>
      <c r="O6317" s="163"/>
      <c r="P6317" s="163"/>
      <c r="Q6317" s="163"/>
      <c r="R6317" s="163"/>
      <c r="S6317" s="161"/>
      <c r="T6317" s="161"/>
      <c r="U6317" s="161"/>
      <c r="V6317" s="161"/>
      <c r="W6317" s="161"/>
      <c r="X6317" s="161"/>
      <c r="Y6317" s="161"/>
      <c r="Z6317" s="168"/>
      <c r="AA6317" s="168"/>
      <c r="AB6317" s="168"/>
      <c r="AC6317" s="168"/>
    </row>
    <row r="6318">
      <c r="A6318" s="161"/>
      <c r="B6318" s="161"/>
      <c r="C6318" s="162"/>
      <c r="D6318" s="163"/>
      <c r="E6318" s="163"/>
      <c r="F6318" s="163"/>
      <c r="G6318" s="163"/>
      <c r="H6318" s="163"/>
      <c r="I6318" s="163"/>
      <c r="J6318" s="165"/>
      <c r="K6318" s="165"/>
      <c r="L6318" s="165"/>
      <c r="M6318" s="166"/>
      <c r="N6318" s="167"/>
      <c r="O6318" s="163"/>
      <c r="P6318" s="163"/>
      <c r="Q6318" s="163"/>
      <c r="R6318" s="163"/>
      <c r="S6318" s="161"/>
      <c r="T6318" s="161"/>
      <c r="U6318" s="161"/>
      <c r="V6318" s="161"/>
      <c r="W6318" s="161"/>
      <c r="X6318" s="161"/>
      <c r="Y6318" s="161"/>
      <c r="Z6318" s="168"/>
      <c r="AA6318" s="168"/>
      <c r="AB6318" s="168"/>
      <c r="AC6318" s="168"/>
    </row>
    <row r="6319">
      <c r="A6319" s="161"/>
      <c r="B6319" s="161"/>
      <c r="C6319" s="162"/>
      <c r="D6319" s="163"/>
      <c r="E6319" s="163"/>
      <c r="F6319" s="163"/>
      <c r="G6319" s="163"/>
      <c r="H6319" s="163"/>
      <c r="I6319" s="163"/>
      <c r="J6319" s="165"/>
      <c r="K6319" s="165"/>
      <c r="L6319" s="165"/>
      <c r="M6319" s="166"/>
      <c r="N6319" s="167"/>
      <c r="O6319" s="163"/>
      <c r="P6319" s="163"/>
      <c r="Q6319" s="163"/>
      <c r="R6319" s="163"/>
      <c r="S6319" s="161"/>
      <c r="T6319" s="161"/>
      <c r="U6319" s="161"/>
      <c r="V6319" s="161"/>
      <c r="W6319" s="161"/>
      <c r="X6319" s="161"/>
      <c r="Y6319" s="161"/>
      <c r="Z6319" s="168"/>
      <c r="AA6319" s="168"/>
      <c r="AB6319" s="168"/>
      <c r="AC6319" s="168"/>
    </row>
    <row r="6320">
      <c r="A6320" s="161"/>
      <c r="B6320" s="161"/>
      <c r="C6320" s="162"/>
      <c r="D6320" s="163"/>
      <c r="E6320" s="163"/>
      <c r="F6320" s="163"/>
      <c r="G6320" s="163"/>
      <c r="H6320" s="163"/>
      <c r="I6320" s="163"/>
      <c r="J6320" s="165"/>
      <c r="K6320" s="165"/>
      <c r="L6320" s="165"/>
      <c r="M6320" s="166"/>
      <c r="N6320" s="167"/>
      <c r="O6320" s="163"/>
      <c r="P6320" s="163"/>
      <c r="Q6320" s="163"/>
      <c r="R6320" s="163"/>
      <c r="S6320" s="161"/>
      <c r="T6320" s="161"/>
      <c r="U6320" s="161"/>
      <c r="V6320" s="161"/>
      <c r="W6320" s="161"/>
      <c r="X6320" s="161"/>
      <c r="Y6320" s="161"/>
      <c r="Z6320" s="168"/>
      <c r="AA6320" s="168"/>
      <c r="AB6320" s="168"/>
      <c r="AC6320" s="168"/>
    </row>
    <row r="6321">
      <c r="A6321" s="161"/>
      <c r="B6321" s="161"/>
      <c r="C6321" s="162"/>
      <c r="D6321" s="163"/>
      <c r="E6321" s="163"/>
      <c r="F6321" s="163"/>
      <c r="G6321" s="163"/>
      <c r="H6321" s="163"/>
      <c r="I6321" s="163"/>
      <c r="J6321" s="165"/>
      <c r="K6321" s="165"/>
      <c r="L6321" s="165"/>
      <c r="M6321" s="166"/>
      <c r="N6321" s="167"/>
      <c r="O6321" s="163"/>
      <c r="P6321" s="163"/>
      <c r="Q6321" s="163"/>
      <c r="R6321" s="163"/>
      <c r="S6321" s="161"/>
      <c r="T6321" s="161"/>
      <c r="U6321" s="161"/>
      <c r="V6321" s="161"/>
      <c r="W6321" s="161"/>
      <c r="X6321" s="161"/>
      <c r="Y6321" s="161"/>
      <c r="Z6321" s="168"/>
      <c r="AA6321" s="168"/>
      <c r="AB6321" s="168"/>
      <c r="AC6321" s="168"/>
    </row>
    <row r="6322">
      <c r="A6322" s="161"/>
      <c r="B6322" s="161"/>
      <c r="C6322" s="162"/>
      <c r="D6322" s="163"/>
      <c r="E6322" s="163"/>
      <c r="F6322" s="163"/>
      <c r="G6322" s="163"/>
      <c r="H6322" s="163"/>
      <c r="I6322" s="163"/>
      <c r="J6322" s="165"/>
      <c r="K6322" s="165"/>
      <c r="L6322" s="165"/>
      <c r="M6322" s="166"/>
      <c r="N6322" s="167"/>
      <c r="O6322" s="163"/>
      <c r="P6322" s="163"/>
      <c r="Q6322" s="163"/>
      <c r="R6322" s="163"/>
      <c r="S6322" s="161"/>
      <c r="T6322" s="161"/>
      <c r="U6322" s="161"/>
      <c r="V6322" s="161"/>
      <c r="W6322" s="161"/>
      <c r="X6322" s="161"/>
      <c r="Y6322" s="161"/>
      <c r="Z6322" s="168"/>
      <c r="AA6322" s="168"/>
      <c r="AB6322" s="168"/>
      <c r="AC6322" s="168"/>
    </row>
    <row r="6323">
      <c r="A6323" s="161"/>
      <c r="B6323" s="161"/>
      <c r="C6323" s="162"/>
      <c r="D6323" s="163"/>
      <c r="E6323" s="163"/>
      <c r="F6323" s="163"/>
      <c r="G6323" s="163"/>
      <c r="H6323" s="163"/>
      <c r="I6323" s="163"/>
      <c r="J6323" s="165"/>
      <c r="K6323" s="165"/>
      <c r="L6323" s="165"/>
      <c r="M6323" s="166"/>
      <c r="N6323" s="167"/>
      <c r="O6323" s="163"/>
      <c r="P6323" s="163"/>
      <c r="Q6323" s="163"/>
      <c r="R6323" s="163"/>
      <c r="S6323" s="161"/>
      <c r="T6323" s="161"/>
      <c r="U6323" s="161"/>
      <c r="V6323" s="161"/>
      <c r="W6323" s="161"/>
      <c r="X6323" s="161"/>
      <c r="Y6323" s="161"/>
      <c r="Z6323" s="168"/>
      <c r="AA6323" s="168"/>
      <c r="AB6323" s="168"/>
      <c r="AC6323" s="168"/>
    </row>
    <row r="6324">
      <c r="A6324" s="161"/>
      <c r="B6324" s="161"/>
      <c r="C6324" s="162"/>
      <c r="D6324" s="163"/>
      <c r="E6324" s="163"/>
      <c r="F6324" s="163"/>
      <c r="G6324" s="163"/>
      <c r="H6324" s="163"/>
      <c r="I6324" s="163"/>
      <c r="J6324" s="165"/>
      <c r="K6324" s="165"/>
      <c r="L6324" s="165"/>
      <c r="M6324" s="166"/>
      <c r="N6324" s="167"/>
      <c r="O6324" s="163"/>
      <c r="P6324" s="163"/>
      <c r="Q6324" s="163"/>
      <c r="R6324" s="163"/>
      <c r="S6324" s="161"/>
      <c r="T6324" s="161"/>
      <c r="U6324" s="161"/>
      <c r="V6324" s="161"/>
      <c r="W6324" s="161"/>
      <c r="X6324" s="161"/>
      <c r="Y6324" s="161"/>
      <c r="Z6324" s="168"/>
      <c r="AA6324" s="168"/>
      <c r="AB6324" s="168"/>
      <c r="AC6324" s="168"/>
    </row>
    <row r="6325">
      <c r="A6325" s="161"/>
      <c r="B6325" s="161"/>
      <c r="C6325" s="162"/>
      <c r="D6325" s="163"/>
      <c r="E6325" s="163"/>
      <c r="F6325" s="163"/>
      <c r="G6325" s="163"/>
      <c r="H6325" s="163"/>
      <c r="I6325" s="163"/>
      <c r="J6325" s="165"/>
      <c r="K6325" s="165"/>
      <c r="L6325" s="165"/>
      <c r="M6325" s="166"/>
      <c r="N6325" s="167"/>
      <c r="O6325" s="163"/>
      <c r="P6325" s="163"/>
      <c r="Q6325" s="163"/>
      <c r="R6325" s="163"/>
      <c r="S6325" s="161"/>
      <c r="T6325" s="161"/>
      <c r="U6325" s="161"/>
      <c r="V6325" s="161"/>
      <c r="W6325" s="161"/>
      <c r="X6325" s="161"/>
      <c r="Y6325" s="161"/>
      <c r="Z6325" s="168"/>
      <c r="AA6325" s="168"/>
      <c r="AB6325" s="168"/>
      <c r="AC6325" s="168"/>
    </row>
    <row r="6326">
      <c r="A6326" s="161"/>
      <c r="B6326" s="161"/>
      <c r="C6326" s="162"/>
      <c r="D6326" s="163"/>
      <c r="E6326" s="163"/>
      <c r="F6326" s="163"/>
      <c r="G6326" s="163"/>
      <c r="H6326" s="163"/>
      <c r="I6326" s="163"/>
      <c r="J6326" s="165"/>
      <c r="K6326" s="165"/>
      <c r="L6326" s="165"/>
      <c r="M6326" s="166"/>
      <c r="N6326" s="167"/>
      <c r="O6326" s="163"/>
      <c r="P6326" s="163"/>
      <c r="Q6326" s="163"/>
      <c r="R6326" s="163"/>
      <c r="S6326" s="161"/>
      <c r="T6326" s="161"/>
      <c r="U6326" s="161"/>
      <c r="V6326" s="161"/>
      <c r="W6326" s="161"/>
      <c r="X6326" s="161"/>
      <c r="Y6326" s="161"/>
      <c r="Z6326" s="168"/>
      <c r="AA6326" s="168"/>
      <c r="AB6326" s="168"/>
      <c r="AC6326" s="168"/>
    </row>
    <row r="6327">
      <c r="A6327" s="161"/>
      <c r="B6327" s="161"/>
      <c r="C6327" s="162"/>
      <c r="D6327" s="163"/>
      <c r="E6327" s="163"/>
      <c r="F6327" s="163"/>
      <c r="G6327" s="163"/>
      <c r="H6327" s="163"/>
      <c r="I6327" s="163"/>
      <c r="J6327" s="165"/>
      <c r="K6327" s="165"/>
      <c r="L6327" s="165"/>
      <c r="M6327" s="166"/>
      <c r="N6327" s="167"/>
      <c r="O6327" s="163"/>
      <c r="P6327" s="163"/>
      <c r="Q6327" s="163"/>
      <c r="R6327" s="163"/>
      <c r="S6327" s="161"/>
      <c r="T6327" s="161"/>
      <c r="U6327" s="161"/>
      <c r="V6327" s="161"/>
      <c r="W6327" s="161"/>
      <c r="X6327" s="161"/>
      <c r="Y6327" s="161"/>
      <c r="Z6327" s="168"/>
      <c r="AA6327" s="168"/>
      <c r="AB6327" s="168"/>
      <c r="AC6327" s="168"/>
    </row>
    <row r="6328">
      <c r="A6328" s="161"/>
      <c r="B6328" s="161"/>
      <c r="C6328" s="162"/>
      <c r="D6328" s="163"/>
      <c r="E6328" s="163"/>
      <c r="F6328" s="163"/>
      <c r="G6328" s="163"/>
      <c r="H6328" s="163"/>
      <c r="I6328" s="163"/>
      <c r="J6328" s="165"/>
      <c r="K6328" s="165"/>
      <c r="L6328" s="165"/>
      <c r="M6328" s="166"/>
      <c r="N6328" s="167"/>
      <c r="O6328" s="163"/>
      <c r="P6328" s="163"/>
      <c r="Q6328" s="163"/>
      <c r="R6328" s="163"/>
      <c r="S6328" s="161"/>
      <c r="T6328" s="161"/>
      <c r="U6328" s="161"/>
      <c r="V6328" s="161"/>
      <c r="W6328" s="161"/>
      <c r="X6328" s="161"/>
      <c r="Y6328" s="161"/>
      <c r="Z6328" s="168"/>
      <c r="AA6328" s="168"/>
      <c r="AB6328" s="168"/>
      <c r="AC6328" s="168"/>
    </row>
    <row r="6329">
      <c r="A6329" s="161"/>
      <c r="B6329" s="161"/>
      <c r="C6329" s="162"/>
      <c r="D6329" s="163"/>
      <c r="E6329" s="163"/>
      <c r="F6329" s="163"/>
      <c r="G6329" s="163"/>
      <c r="H6329" s="163"/>
      <c r="I6329" s="163"/>
      <c r="J6329" s="165"/>
      <c r="K6329" s="165"/>
      <c r="L6329" s="165"/>
      <c r="M6329" s="166"/>
      <c r="N6329" s="167"/>
      <c r="O6329" s="163"/>
      <c r="P6329" s="163"/>
      <c r="Q6329" s="163"/>
      <c r="R6329" s="163"/>
      <c r="S6329" s="161"/>
      <c r="T6329" s="161"/>
      <c r="U6329" s="161"/>
      <c r="V6329" s="161"/>
      <c r="W6329" s="161"/>
      <c r="X6329" s="161"/>
      <c r="Y6329" s="161"/>
      <c r="Z6329" s="168"/>
      <c r="AA6329" s="168"/>
      <c r="AB6329" s="168"/>
      <c r="AC6329" s="168"/>
    </row>
    <row r="6330">
      <c r="A6330" s="161"/>
      <c r="B6330" s="161"/>
      <c r="C6330" s="162"/>
      <c r="D6330" s="163"/>
      <c r="E6330" s="163"/>
      <c r="F6330" s="163"/>
      <c r="G6330" s="163"/>
      <c r="H6330" s="163"/>
      <c r="I6330" s="163"/>
      <c r="J6330" s="165"/>
      <c r="K6330" s="165"/>
      <c r="L6330" s="165"/>
      <c r="M6330" s="166"/>
      <c r="N6330" s="167"/>
      <c r="O6330" s="163"/>
      <c r="P6330" s="163"/>
      <c r="Q6330" s="163"/>
      <c r="R6330" s="163"/>
      <c r="S6330" s="161"/>
      <c r="T6330" s="161"/>
      <c r="U6330" s="161"/>
      <c r="V6330" s="161"/>
      <c r="W6330" s="161"/>
      <c r="X6330" s="161"/>
      <c r="Y6330" s="161"/>
      <c r="Z6330" s="168"/>
      <c r="AA6330" s="168"/>
      <c r="AB6330" s="168"/>
      <c r="AC6330" s="168"/>
    </row>
    <row r="6331">
      <c r="A6331" s="161"/>
      <c r="B6331" s="161"/>
      <c r="C6331" s="162"/>
      <c r="D6331" s="163"/>
      <c r="E6331" s="163"/>
      <c r="F6331" s="163"/>
      <c r="G6331" s="163"/>
      <c r="H6331" s="163"/>
      <c r="I6331" s="163"/>
      <c r="J6331" s="165"/>
      <c r="K6331" s="165"/>
      <c r="L6331" s="165"/>
      <c r="M6331" s="166"/>
      <c r="N6331" s="167"/>
      <c r="O6331" s="163"/>
      <c r="P6331" s="163"/>
      <c r="Q6331" s="163"/>
      <c r="R6331" s="163"/>
      <c r="S6331" s="161"/>
      <c r="T6331" s="161"/>
      <c r="U6331" s="161"/>
      <c r="V6331" s="161"/>
      <c r="W6331" s="161"/>
      <c r="X6331" s="161"/>
      <c r="Y6331" s="161"/>
      <c r="Z6331" s="168"/>
      <c r="AA6331" s="168"/>
      <c r="AB6331" s="168"/>
      <c r="AC6331" s="168"/>
    </row>
    <row r="6332">
      <c r="A6332" s="161"/>
      <c r="B6332" s="161"/>
      <c r="C6332" s="162"/>
      <c r="D6332" s="163"/>
      <c r="E6332" s="163"/>
      <c r="F6332" s="163"/>
      <c r="G6332" s="163"/>
      <c r="H6332" s="163"/>
      <c r="I6332" s="163"/>
      <c r="J6332" s="165"/>
      <c r="K6332" s="165"/>
      <c r="L6332" s="165"/>
      <c r="M6332" s="166"/>
      <c r="N6332" s="167"/>
      <c r="O6332" s="163"/>
      <c r="P6332" s="163"/>
      <c r="Q6332" s="163"/>
      <c r="R6332" s="163"/>
      <c r="S6332" s="161"/>
      <c r="T6332" s="161"/>
      <c r="U6332" s="161"/>
      <c r="V6332" s="161"/>
      <c r="W6332" s="161"/>
      <c r="X6332" s="161"/>
      <c r="Y6332" s="161"/>
      <c r="Z6332" s="168"/>
      <c r="AA6332" s="168"/>
      <c r="AB6332" s="168"/>
      <c r="AC6332" s="168"/>
    </row>
    <row r="6333">
      <c r="A6333" s="161"/>
      <c r="B6333" s="161"/>
      <c r="C6333" s="162"/>
      <c r="D6333" s="163"/>
      <c r="E6333" s="163"/>
      <c r="F6333" s="163"/>
      <c r="G6333" s="163"/>
      <c r="H6333" s="163"/>
      <c r="I6333" s="163"/>
      <c r="J6333" s="165"/>
      <c r="K6333" s="165"/>
      <c r="L6333" s="165"/>
      <c r="M6333" s="166"/>
      <c r="N6333" s="167"/>
      <c r="O6333" s="163"/>
      <c r="P6333" s="163"/>
      <c r="Q6333" s="163"/>
      <c r="R6333" s="163"/>
      <c r="S6333" s="161"/>
      <c r="T6333" s="161"/>
      <c r="U6333" s="161"/>
      <c r="V6333" s="161"/>
      <c r="W6333" s="161"/>
      <c r="X6333" s="161"/>
      <c r="Y6333" s="161"/>
      <c r="Z6333" s="168"/>
      <c r="AA6333" s="168"/>
      <c r="AB6333" s="168"/>
      <c r="AC6333" s="168"/>
    </row>
    <row r="6334">
      <c r="A6334" s="161"/>
      <c r="B6334" s="161"/>
      <c r="C6334" s="162"/>
      <c r="D6334" s="163"/>
      <c r="E6334" s="163"/>
      <c r="F6334" s="163"/>
      <c r="G6334" s="163"/>
      <c r="H6334" s="163"/>
      <c r="I6334" s="163"/>
      <c r="J6334" s="165"/>
      <c r="K6334" s="165"/>
      <c r="L6334" s="165"/>
      <c r="M6334" s="166"/>
      <c r="N6334" s="167"/>
      <c r="O6334" s="163"/>
      <c r="P6334" s="163"/>
      <c r="Q6334" s="163"/>
      <c r="R6334" s="163"/>
      <c r="S6334" s="161"/>
      <c r="T6334" s="161"/>
      <c r="U6334" s="161"/>
      <c r="V6334" s="161"/>
      <c r="W6334" s="161"/>
      <c r="X6334" s="161"/>
      <c r="Y6334" s="161"/>
      <c r="Z6334" s="168"/>
      <c r="AA6334" s="168"/>
      <c r="AB6334" s="168"/>
      <c r="AC6334" s="168"/>
    </row>
    <row r="6335">
      <c r="A6335" s="161"/>
      <c r="B6335" s="161"/>
      <c r="C6335" s="162"/>
      <c r="D6335" s="163"/>
      <c r="E6335" s="163"/>
      <c r="F6335" s="163"/>
      <c r="G6335" s="163"/>
      <c r="H6335" s="163"/>
      <c r="I6335" s="163"/>
      <c r="J6335" s="165"/>
      <c r="K6335" s="165"/>
      <c r="L6335" s="165"/>
      <c r="M6335" s="166"/>
      <c r="N6335" s="167"/>
      <c r="O6335" s="163"/>
      <c r="P6335" s="163"/>
      <c r="Q6335" s="163"/>
      <c r="R6335" s="163"/>
      <c r="S6335" s="161"/>
      <c r="T6335" s="161"/>
      <c r="U6335" s="161"/>
      <c r="V6335" s="161"/>
      <c r="W6335" s="161"/>
      <c r="X6335" s="161"/>
      <c r="Y6335" s="161"/>
      <c r="Z6335" s="168"/>
      <c r="AA6335" s="168"/>
      <c r="AB6335" s="168"/>
      <c r="AC6335" s="168"/>
    </row>
    <row r="6336">
      <c r="A6336" s="161"/>
      <c r="B6336" s="161"/>
      <c r="C6336" s="162"/>
      <c r="D6336" s="163"/>
      <c r="E6336" s="163"/>
      <c r="F6336" s="163"/>
      <c r="G6336" s="163"/>
      <c r="H6336" s="163"/>
      <c r="I6336" s="163"/>
      <c r="J6336" s="165"/>
      <c r="K6336" s="165"/>
      <c r="L6336" s="165"/>
      <c r="M6336" s="166"/>
      <c r="N6336" s="167"/>
      <c r="O6336" s="163"/>
      <c r="P6336" s="163"/>
      <c r="Q6336" s="163"/>
      <c r="R6336" s="163"/>
      <c r="S6336" s="161"/>
      <c r="T6336" s="161"/>
      <c r="U6336" s="161"/>
      <c r="V6336" s="161"/>
      <c r="W6336" s="161"/>
      <c r="X6336" s="161"/>
      <c r="Y6336" s="161"/>
      <c r="Z6336" s="168"/>
      <c r="AA6336" s="168"/>
      <c r="AB6336" s="168"/>
      <c r="AC6336" s="168"/>
    </row>
    <row r="6337">
      <c r="A6337" s="161"/>
      <c r="B6337" s="161"/>
      <c r="C6337" s="162"/>
      <c r="D6337" s="163"/>
      <c r="E6337" s="163"/>
      <c r="F6337" s="163"/>
      <c r="G6337" s="163"/>
      <c r="H6337" s="163"/>
      <c r="I6337" s="163"/>
      <c r="J6337" s="165"/>
      <c r="K6337" s="165"/>
      <c r="L6337" s="165"/>
      <c r="M6337" s="166"/>
      <c r="N6337" s="167"/>
      <c r="O6337" s="163"/>
      <c r="P6337" s="163"/>
      <c r="Q6337" s="163"/>
      <c r="R6337" s="163"/>
      <c r="S6337" s="161"/>
      <c r="T6337" s="161"/>
      <c r="U6337" s="161"/>
      <c r="V6337" s="161"/>
      <c r="W6337" s="161"/>
      <c r="X6337" s="161"/>
      <c r="Y6337" s="161"/>
      <c r="Z6337" s="168"/>
      <c r="AA6337" s="168"/>
      <c r="AB6337" s="168"/>
      <c r="AC6337" s="168"/>
    </row>
    <row r="6338">
      <c r="A6338" s="161"/>
      <c r="B6338" s="161"/>
      <c r="C6338" s="162"/>
      <c r="D6338" s="163"/>
      <c r="E6338" s="163"/>
      <c r="F6338" s="163"/>
      <c r="G6338" s="163"/>
      <c r="H6338" s="163"/>
      <c r="I6338" s="163"/>
      <c r="J6338" s="165"/>
      <c r="K6338" s="165"/>
      <c r="L6338" s="165"/>
      <c r="M6338" s="166"/>
      <c r="N6338" s="167"/>
      <c r="O6338" s="163"/>
      <c r="P6338" s="163"/>
      <c r="Q6338" s="163"/>
      <c r="R6338" s="163"/>
      <c r="S6338" s="161"/>
      <c r="T6338" s="161"/>
      <c r="U6338" s="161"/>
      <c r="V6338" s="161"/>
      <c r="W6338" s="161"/>
      <c r="X6338" s="161"/>
      <c r="Y6338" s="161"/>
      <c r="Z6338" s="168"/>
      <c r="AA6338" s="168"/>
      <c r="AB6338" s="168"/>
      <c r="AC6338" s="168"/>
    </row>
    <row r="6339">
      <c r="A6339" s="161"/>
      <c r="B6339" s="161"/>
      <c r="C6339" s="162"/>
      <c r="D6339" s="163"/>
      <c r="E6339" s="163"/>
      <c r="F6339" s="163"/>
      <c r="G6339" s="163"/>
      <c r="H6339" s="163"/>
      <c r="I6339" s="163"/>
      <c r="J6339" s="165"/>
      <c r="K6339" s="165"/>
      <c r="L6339" s="165"/>
      <c r="M6339" s="166"/>
      <c r="N6339" s="167"/>
      <c r="O6339" s="163"/>
      <c r="P6339" s="163"/>
      <c r="Q6339" s="163"/>
      <c r="R6339" s="163"/>
      <c r="S6339" s="161"/>
      <c r="T6339" s="161"/>
      <c r="U6339" s="161"/>
      <c r="V6339" s="161"/>
      <c r="W6339" s="161"/>
      <c r="X6339" s="161"/>
      <c r="Y6339" s="161"/>
      <c r="Z6339" s="168"/>
      <c r="AA6339" s="168"/>
      <c r="AB6339" s="168"/>
      <c r="AC6339" s="168"/>
    </row>
    <row r="6340">
      <c r="A6340" s="161"/>
      <c r="B6340" s="161"/>
      <c r="C6340" s="162"/>
      <c r="D6340" s="163"/>
      <c r="E6340" s="163"/>
      <c r="F6340" s="163"/>
      <c r="G6340" s="163"/>
      <c r="H6340" s="163"/>
      <c r="I6340" s="163"/>
      <c r="J6340" s="165"/>
      <c r="K6340" s="165"/>
      <c r="L6340" s="165"/>
      <c r="M6340" s="166"/>
      <c r="N6340" s="167"/>
      <c r="O6340" s="163"/>
      <c r="P6340" s="163"/>
      <c r="Q6340" s="163"/>
      <c r="R6340" s="163"/>
      <c r="S6340" s="161"/>
      <c r="T6340" s="161"/>
      <c r="U6340" s="161"/>
      <c r="V6340" s="161"/>
      <c r="W6340" s="161"/>
      <c r="X6340" s="161"/>
      <c r="Y6340" s="161"/>
      <c r="Z6340" s="168"/>
      <c r="AA6340" s="168"/>
      <c r="AB6340" s="168"/>
      <c r="AC6340" s="168"/>
    </row>
    <row r="6341">
      <c r="A6341" s="161"/>
      <c r="B6341" s="161"/>
      <c r="C6341" s="162"/>
      <c r="D6341" s="163"/>
      <c r="E6341" s="163"/>
      <c r="F6341" s="163"/>
      <c r="G6341" s="163"/>
      <c r="H6341" s="163"/>
      <c r="I6341" s="163"/>
      <c r="J6341" s="165"/>
      <c r="K6341" s="165"/>
      <c r="L6341" s="165"/>
      <c r="M6341" s="166"/>
      <c r="N6341" s="167"/>
      <c r="O6341" s="163"/>
      <c r="P6341" s="163"/>
      <c r="Q6341" s="163"/>
      <c r="R6341" s="163"/>
      <c r="S6341" s="161"/>
      <c r="T6341" s="161"/>
      <c r="U6341" s="161"/>
      <c r="V6341" s="161"/>
      <c r="W6341" s="161"/>
      <c r="X6341" s="161"/>
      <c r="Y6341" s="161"/>
      <c r="Z6341" s="168"/>
      <c r="AA6341" s="168"/>
      <c r="AB6341" s="168"/>
      <c r="AC6341" s="168"/>
    </row>
    <row r="6342">
      <c r="A6342" s="161"/>
      <c r="B6342" s="161"/>
      <c r="C6342" s="162"/>
      <c r="D6342" s="163"/>
      <c r="E6342" s="163"/>
      <c r="F6342" s="163"/>
      <c r="G6342" s="163"/>
      <c r="H6342" s="163"/>
      <c r="I6342" s="163"/>
      <c r="J6342" s="165"/>
      <c r="K6342" s="165"/>
      <c r="L6342" s="165"/>
      <c r="M6342" s="166"/>
      <c r="N6342" s="167"/>
      <c r="O6342" s="163"/>
      <c r="P6342" s="163"/>
      <c r="Q6342" s="163"/>
      <c r="R6342" s="163"/>
      <c r="S6342" s="161"/>
      <c r="T6342" s="161"/>
      <c r="U6342" s="161"/>
      <c r="V6342" s="161"/>
      <c r="W6342" s="161"/>
      <c r="X6342" s="161"/>
      <c r="Y6342" s="161"/>
      <c r="Z6342" s="168"/>
      <c r="AA6342" s="168"/>
      <c r="AB6342" s="168"/>
      <c r="AC6342" s="168"/>
    </row>
    <row r="6343">
      <c r="A6343" s="161"/>
      <c r="B6343" s="161"/>
      <c r="C6343" s="162"/>
      <c r="D6343" s="163"/>
      <c r="E6343" s="163"/>
      <c r="F6343" s="163"/>
      <c r="G6343" s="163"/>
      <c r="H6343" s="163"/>
      <c r="I6343" s="163"/>
      <c r="J6343" s="165"/>
      <c r="K6343" s="165"/>
      <c r="L6343" s="165"/>
      <c r="M6343" s="166"/>
      <c r="N6343" s="167"/>
      <c r="O6343" s="163"/>
      <c r="P6343" s="163"/>
      <c r="Q6343" s="163"/>
      <c r="R6343" s="163"/>
      <c r="S6343" s="161"/>
      <c r="T6343" s="161"/>
      <c r="U6343" s="161"/>
      <c r="V6343" s="161"/>
      <c r="W6343" s="161"/>
      <c r="X6343" s="161"/>
      <c r="Y6343" s="161"/>
      <c r="Z6343" s="168"/>
      <c r="AA6343" s="168"/>
      <c r="AB6343" s="168"/>
      <c r="AC6343" s="168"/>
    </row>
    <row r="6344">
      <c r="A6344" s="161"/>
      <c r="B6344" s="161"/>
      <c r="C6344" s="162"/>
      <c r="D6344" s="163"/>
      <c r="E6344" s="163"/>
      <c r="F6344" s="163"/>
      <c r="G6344" s="163"/>
      <c r="H6344" s="163"/>
      <c r="I6344" s="163"/>
      <c r="J6344" s="165"/>
      <c r="K6344" s="165"/>
      <c r="L6344" s="165"/>
      <c r="M6344" s="166"/>
      <c r="N6344" s="167"/>
      <c r="O6344" s="163"/>
      <c r="P6344" s="163"/>
      <c r="Q6344" s="163"/>
      <c r="R6344" s="163"/>
      <c r="S6344" s="161"/>
      <c r="T6344" s="161"/>
      <c r="U6344" s="161"/>
      <c r="V6344" s="161"/>
      <c r="W6344" s="161"/>
      <c r="X6344" s="161"/>
      <c r="Y6344" s="161"/>
      <c r="Z6344" s="168"/>
      <c r="AA6344" s="168"/>
      <c r="AB6344" s="168"/>
      <c r="AC6344" s="168"/>
    </row>
    <row r="6345">
      <c r="A6345" s="161"/>
      <c r="B6345" s="161"/>
      <c r="C6345" s="162"/>
      <c r="D6345" s="163"/>
      <c r="E6345" s="163"/>
      <c r="F6345" s="163"/>
      <c r="G6345" s="163"/>
      <c r="H6345" s="163"/>
      <c r="I6345" s="163"/>
      <c r="J6345" s="165"/>
      <c r="K6345" s="165"/>
      <c r="L6345" s="165"/>
      <c r="M6345" s="166"/>
      <c r="N6345" s="167"/>
      <c r="O6345" s="163"/>
      <c r="P6345" s="163"/>
      <c r="Q6345" s="163"/>
      <c r="R6345" s="163"/>
      <c r="S6345" s="161"/>
      <c r="T6345" s="161"/>
      <c r="U6345" s="161"/>
      <c r="V6345" s="161"/>
      <c r="W6345" s="161"/>
      <c r="X6345" s="161"/>
      <c r="Y6345" s="161"/>
      <c r="Z6345" s="168"/>
      <c r="AA6345" s="168"/>
      <c r="AB6345" s="168"/>
      <c r="AC6345" s="168"/>
    </row>
    <row r="6346">
      <c r="A6346" s="161"/>
      <c r="B6346" s="161"/>
      <c r="C6346" s="162"/>
      <c r="D6346" s="163"/>
      <c r="E6346" s="163"/>
      <c r="F6346" s="163"/>
      <c r="G6346" s="163"/>
      <c r="H6346" s="163"/>
      <c r="I6346" s="163"/>
      <c r="J6346" s="165"/>
      <c r="K6346" s="165"/>
      <c r="L6346" s="165"/>
      <c r="M6346" s="166"/>
      <c r="N6346" s="167"/>
      <c r="O6346" s="163"/>
      <c r="P6346" s="163"/>
      <c r="Q6346" s="163"/>
      <c r="R6346" s="163"/>
      <c r="S6346" s="161"/>
      <c r="T6346" s="161"/>
      <c r="U6346" s="161"/>
      <c r="V6346" s="161"/>
      <c r="W6346" s="161"/>
      <c r="X6346" s="161"/>
      <c r="Y6346" s="161"/>
      <c r="Z6346" s="168"/>
      <c r="AA6346" s="168"/>
      <c r="AB6346" s="168"/>
      <c r="AC6346" s="168"/>
    </row>
    <row r="6347">
      <c r="A6347" s="161"/>
      <c r="B6347" s="161"/>
      <c r="C6347" s="162"/>
      <c r="D6347" s="163"/>
      <c r="E6347" s="163"/>
      <c r="F6347" s="163"/>
      <c r="G6347" s="163"/>
      <c r="H6347" s="163"/>
      <c r="I6347" s="163"/>
      <c r="J6347" s="165"/>
      <c r="K6347" s="165"/>
      <c r="L6347" s="165"/>
      <c r="M6347" s="166"/>
      <c r="N6347" s="167"/>
      <c r="O6347" s="163"/>
      <c r="P6347" s="163"/>
      <c r="Q6347" s="163"/>
      <c r="R6347" s="163"/>
      <c r="S6347" s="161"/>
      <c r="T6347" s="161"/>
      <c r="U6347" s="161"/>
      <c r="V6347" s="161"/>
      <c r="W6347" s="161"/>
      <c r="X6347" s="161"/>
      <c r="Y6347" s="161"/>
      <c r="Z6347" s="168"/>
      <c r="AA6347" s="168"/>
      <c r="AB6347" s="168"/>
      <c r="AC6347" s="168"/>
    </row>
    <row r="6348">
      <c r="A6348" s="161"/>
      <c r="B6348" s="161"/>
      <c r="C6348" s="162"/>
      <c r="D6348" s="163"/>
      <c r="E6348" s="163"/>
      <c r="F6348" s="163"/>
      <c r="G6348" s="163"/>
      <c r="H6348" s="163"/>
      <c r="I6348" s="163"/>
      <c r="J6348" s="165"/>
      <c r="K6348" s="165"/>
      <c r="L6348" s="165"/>
      <c r="M6348" s="166"/>
      <c r="N6348" s="167"/>
      <c r="O6348" s="163"/>
      <c r="P6348" s="163"/>
      <c r="Q6348" s="163"/>
      <c r="R6348" s="163"/>
      <c r="S6348" s="161"/>
      <c r="T6348" s="161"/>
      <c r="U6348" s="161"/>
      <c r="V6348" s="161"/>
      <c r="W6348" s="161"/>
      <c r="X6348" s="161"/>
      <c r="Y6348" s="161"/>
      <c r="Z6348" s="168"/>
      <c r="AA6348" s="168"/>
      <c r="AB6348" s="168"/>
      <c r="AC6348" s="168"/>
    </row>
    <row r="6349">
      <c r="A6349" s="161"/>
      <c r="B6349" s="161"/>
      <c r="C6349" s="162"/>
      <c r="D6349" s="163"/>
      <c r="E6349" s="163"/>
      <c r="F6349" s="163"/>
      <c r="G6349" s="163"/>
      <c r="H6349" s="163"/>
      <c r="I6349" s="163"/>
      <c r="J6349" s="165"/>
      <c r="K6349" s="165"/>
      <c r="L6349" s="165"/>
      <c r="M6349" s="166"/>
      <c r="N6349" s="167"/>
      <c r="O6349" s="163"/>
      <c r="P6349" s="163"/>
      <c r="Q6349" s="163"/>
      <c r="R6349" s="163"/>
      <c r="S6349" s="161"/>
      <c r="T6349" s="161"/>
      <c r="U6349" s="161"/>
      <c r="V6349" s="161"/>
      <c r="W6349" s="161"/>
      <c r="X6349" s="161"/>
      <c r="Y6349" s="161"/>
      <c r="Z6349" s="168"/>
      <c r="AA6349" s="168"/>
      <c r="AB6349" s="168"/>
      <c r="AC6349" s="168"/>
    </row>
    <row r="6350">
      <c r="A6350" s="161"/>
      <c r="B6350" s="161"/>
      <c r="C6350" s="162"/>
      <c r="D6350" s="163"/>
      <c r="E6350" s="163"/>
      <c r="F6350" s="163"/>
      <c r="G6350" s="163"/>
      <c r="H6350" s="163"/>
      <c r="I6350" s="163"/>
      <c r="J6350" s="165"/>
      <c r="K6350" s="165"/>
      <c r="L6350" s="165"/>
      <c r="M6350" s="166"/>
      <c r="N6350" s="167"/>
      <c r="O6350" s="163"/>
      <c r="P6350" s="163"/>
      <c r="Q6350" s="163"/>
      <c r="R6350" s="163"/>
      <c r="S6350" s="161"/>
      <c r="T6350" s="161"/>
      <c r="U6350" s="161"/>
      <c r="V6350" s="161"/>
      <c r="W6350" s="161"/>
      <c r="X6350" s="161"/>
      <c r="Y6350" s="161"/>
      <c r="Z6350" s="168"/>
      <c r="AA6350" s="168"/>
      <c r="AB6350" s="168"/>
      <c r="AC6350" s="168"/>
    </row>
    <row r="6351">
      <c r="A6351" s="161"/>
      <c r="B6351" s="161"/>
      <c r="C6351" s="162"/>
      <c r="D6351" s="163"/>
      <c r="E6351" s="163"/>
      <c r="F6351" s="163"/>
      <c r="G6351" s="163"/>
      <c r="H6351" s="163"/>
      <c r="I6351" s="163"/>
      <c r="J6351" s="165"/>
      <c r="K6351" s="165"/>
      <c r="L6351" s="165"/>
      <c r="M6351" s="166"/>
      <c r="N6351" s="167"/>
      <c r="O6351" s="163"/>
      <c r="P6351" s="163"/>
      <c r="Q6351" s="163"/>
      <c r="R6351" s="163"/>
      <c r="S6351" s="161"/>
      <c r="T6351" s="161"/>
      <c r="U6351" s="161"/>
      <c r="V6351" s="161"/>
      <c r="W6351" s="161"/>
      <c r="X6351" s="161"/>
      <c r="Y6351" s="161"/>
      <c r="Z6351" s="168"/>
      <c r="AA6351" s="168"/>
      <c r="AB6351" s="168"/>
      <c r="AC6351" s="168"/>
    </row>
    <row r="6352">
      <c r="A6352" s="161"/>
      <c r="B6352" s="161"/>
      <c r="C6352" s="162"/>
      <c r="D6352" s="163"/>
      <c r="E6352" s="163"/>
      <c r="F6352" s="163"/>
      <c r="G6352" s="163"/>
      <c r="H6352" s="163"/>
      <c r="I6352" s="163"/>
      <c r="J6352" s="165"/>
      <c r="K6352" s="165"/>
      <c r="L6352" s="165"/>
      <c r="M6352" s="166"/>
      <c r="N6352" s="167"/>
      <c r="O6352" s="163"/>
      <c r="P6352" s="163"/>
      <c r="Q6352" s="163"/>
      <c r="R6352" s="163"/>
      <c r="S6352" s="161"/>
      <c r="T6352" s="161"/>
      <c r="U6352" s="161"/>
      <c r="V6352" s="161"/>
      <c r="W6352" s="161"/>
      <c r="X6352" s="161"/>
      <c r="Y6352" s="161"/>
      <c r="Z6352" s="168"/>
      <c r="AA6352" s="168"/>
      <c r="AB6352" s="168"/>
      <c r="AC6352" s="168"/>
    </row>
    <row r="6353">
      <c r="A6353" s="161"/>
      <c r="B6353" s="161"/>
      <c r="C6353" s="162"/>
      <c r="D6353" s="163"/>
      <c r="E6353" s="163"/>
      <c r="F6353" s="163"/>
      <c r="G6353" s="163"/>
      <c r="H6353" s="163"/>
      <c r="I6353" s="163"/>
      <c r="J6353" s="165"/>
      <c r="K6353" s="165"/>
      <c r="L6353" s="165"/>
      <c r="M6353" s="166"/>
      <c r="N6353" s="167"/>
      <c r="O6353" s="163"/>
      <c r="P6353" s="163"/>
      <c r="Q6353" s="163"/>
      <c r="R6353" s="163"/>
      <c r="S6353" s="161"/>
      <c r="T6353" s="161"/>
      <c r="U6353" s="161"/>
      <c r="V6353" s="161"/>
      <c r="W6353" s="161"/>
      <c r="X6353" s="161"/>
      <c r="Y6353" s="161"/>
      <c r="Z6353" s="168"/>
      <c r="AA6353" s="168"/>
      <c r="AB6353" s="168"/>
      <c r="AC6353" s="168"/>
    </row>
    <row r="6354">
      <c r="A6354" s="161"/>
      <c r="B6354" s="161"/>
      <c r="C6354" s="162"/>
      <c r="D6354" s="163"/>
      <c r="E6354" s="163"/>
      <c r="F6354" s="163"/>
      <c r="G6354" s="163"/>
      <c r="H6354" s="163"/>
      <c r="I6354" s="163"/>
      <c r="J6354" s="165"/>
      <c r="K6354" s="165"/>
      <c r="L6354" s="165"/>
      <c r="M6354" s="166"/>
      <c r="N6354" s="167"/>
      <c r="O6354" s="163"/>
      <c r="P6354" s="163"/>
      <c r="Q6354" s="163"/>
      <c r="R6354" s="163"/>
      <c r="S6354" s="161"/>
      <c r="T6354" s="161"/>
      <c r="U6354" s="161"/>
      <c r="V6354" s="161"/>
      <c r="W6354" s="161"/>
      <c r="X6354" s="161"/>
      <c r="Y6354" s="161"/>
      <c r="Z6354" s="168"/>
      <c r="AA6354" s="168"/>
      <c r="AB6354" s="168"/>
      <c r="AC6354" s="168"/>
    </row>
    <row r="6355">
      <c r="A6355" s="161"/>
      <c r="B6355" s="161"/>
      <c r="C6355" s="162"/>
      <c r="D6355" s="163"/>
      <c r="E6355" s="163"/>
      <c r="F6355" s="163"/>
      <c r="G6355" s="163"/>
      <c r="H6355" s="163"/>
      <c r="I6355" s="163"/>
      <c r="J6355" s="165"/>
      <c r="K6355" s="165"/>
      <c r="L6355" s="165"/>
      <c r="M6355" s="166"/>
      <c r="N6355" s="167"/>
      <c r="O6355" s="163"/>
      <c r="P6355" s="163"/>
      <c r="Q6355" s="163"/>
      <c r="R6355" s="163"/>
      <c r="S6355" s="161"/>
      <c r="T6355" s="161"/>
      <c r="U6355" s="161"/>
      <c r="V6355" s="161"/>
      <c r="W6355" s="161"/>
      <c r="X6355" s="161"/>
      <c r="Y6355" s="161"/>
      <c r="Z6355" s="168"/>
      <c r="AA6355" s="168"/>
      <c r="AB6355" s="168"/>
      <c r="AC6355" s="168"/>
    </row>
    <row r="6356">
      <c r="A6356" s="161"/>
      <c r="B6356" s="161"/>
      <c r="C6356" s="162"/>
      <c r="D6356" s="163"/>
      <c r="E6356" s="163"/>
      <c r="F6356" s="163"/>
      <c r="G6356" s="163"/>
      <c r="H6356" s="163"/>
      <c r="I6356" s="163"/>
      <c r="J6356" s="165"/>
      <c r="K6356" s="165"/>
      <c r="L6356" s="165"/>
      <c r="M6356" s="166"/>
      <c r="N6356" s="167"/>
      <c r="O6356" s="163"/>
      <c r="P6356" s="163"/>
      <c r="Q6356" s="163"/>
      <c r="R6356" s="163"/>
      <c r="S6356" s="161"/>
      <c r="T6356" s="161"/>
      <c r="U6356" s="161"/>
      <c r="V6356" s="161"/>
      <c r="W6356" s="161"/>
      <c r="X6356" s="161"/>
      <c r="Y6356" s="161"/>
      <c r="Z6356" s="168"/>
      <c r="AA6356" s="168"/>
      <c r="AB6356" s="168"/>
      <c r="AC6356" s="168"/>
    </row>
    <row r="6357">
      <c r="A6357" s="161"/>
      <c r="B6357" s="161"/>
      <c r="C6357" s="162"/>
      <c r="D6357" s="163"/>
      <c r="E6357" s="163"/>
      <c r="F6357" s="163"/>
      <c r="G6357" s="163"/>
      <c r="H6357" s="163"/>
      <c r="I6357" s="163"/>
      <c r="J6357" s="165"/>
      <c r="K6357" s="165"/>
      <c r="L6357" s="165"/>
      <c r="M6357" s="166"/>
      <c r="N6357" s="167"/>
      <c r="O6357" s="163"/>
      <c r="P6357" s="163"/>
      <c r="Q6357" s="163"/>
      <c r="R6357" s="163"/>
      <c r="S6357" s="161"/>
      <c r="T6357" s="161"/>
      <c r="U6357" s="161"/>
      <c r="V6357" s="161"/>
      <c r="W6357" s="161"/>
      <c r="X6357" s="161"/>
      <c r="Y6357" s="161"/>
      <c r="Z6357" s="168"/>
      <c r="AA6357" s="168"/>
      <c r="AB6357" s="168"/>
      <c r="AC6357" s="168"/>
    </row>
    <row r="6358">
      <c r="A6358" s="161"/>
      <c r="B6358" s="161"/>
      <c r="C6358" s="162"/>
      <c r="D6358" s="163"/>
      <c r="E6358" s="163"/>
      <c r="F6358" s="163"/>
      <c r="G6358" s="163"/>
      <c r="H6358" s="163"/>
      <c r="I6358" s="163"/>
      <c r="J6358" s="165"/>
      <c r="K6358" s="165"/>
      <c r="L6358" s="165"/>
      <c r="M6358" s="166"/>
      <c r="N6358" s="167"/>
      <c r="O6358" s="163"/>
      <c r="P6358" s="163"/>
      <c r="Q6358" s="163"/>
      <c r="R6358" s="163"/>
      <c r="S6358" s="161"/>
      <c r="T6358" s="161"/>
      <c r="U6358" s="161"/>
      <c r="V6358" s="161"/>
      <c r="W6358" s="161"/>
      <c r="X6358" s="161"/>
      <c r="Y6358" s="161"/>
      <c r="Z6358" s="168"/>
      <c r="AA6358" s="168"/>
      <c r="AB6358" s="168"/>
      <c r="AC6358" s="168"/>
    </row>
    <row r="6359">
      <c r="A6359" s="161"/>
      <c r="B6359" s="161"/>
      <c r="C6359" s="162"/>
      <c r="D6359" s="163"/>
      <c r="E6359" s="163"/>
      <c r="F6359" s="163"/>
      <c r="G6359" s="163"/>
      <c r="H6359" s="163"/>
      <c r="I6359" s="163"/>
      <c r="J6359" s="165"/>
      <c r="K6359" s="165"/>
      <c r="L6359" s="165"/>
      <c r="M6359" s="166"/>
      <c r="N6359" s="167"/>
      <c r="O6359" s="163"/>
      <c r="P6359" s="163"/>
      <c r="Q6359" s="163"/>
      <c r="R6359" s="163"/>
      <c r="S6359" s="161"/>
      <c r="T6359" s="161"/>
      <c r="U6359" s="161"/>
      <c r="V6359" s="161"/>
      <c r="W6359" s="161"/>
      <c r="X6359" s="161"/>
      <c r="Y6359" s="161"/>
      <c r="Z6359" s="168"/>
      <c r="AA6359" s="168"/>
      <c r="AB6359" s="168"/>
      <c r="AC6359" s="168"/>
    </row>
    <row r="6360">
      <c r="A6360" s="161"/>
      <c r="B6360" s="161"/>
      <c r="C6360" s="162"/>
      <c r="D6360" s="163"/>
      <c r="E6360" s="163"/>
      <c r="F6360" s="163"/>
      <c r="G6360" s="163"/>
      <c r="H6360" s="163"/>
      <c r="I6360" s="163"/>
      <c r="J6360" s="165"/>
      <c r="K6360" s="165"/>
      <c r="L6360" s="165"/>
      <c r="M6360" s="166"/>
      <c r="N6360" s="167"/>
      <c r="O6360" s="163"/>
      <c r="P6360" s="163"/>
      <c r="Q6360" s="163"/>
      <c r="R6360" s="163"/>
      <c r="S6360" s="161"/>
      <c r="T6360" s="161"/>
      <c r="U6360" s="161"/>
      <c r="V6360" s="161"/>
      <c r="W6360" s="161"/>
      <c r="X6360" s="161"/>
      <c r="Y6360" s="161"/>
      <c r="Z6360" s="168"/>
      <c r="AA6360" s="168"/>
      <c r="AB6360" s="168"/>
      <c r="AC6360" s="168"/>
    </row>
    <row r="6361">
      <c r="A6361" s="161"/>
      <c r="B6361" s="161"/>
      <c r="C6361" s="162"/>
      <c r="D6361" s="163"/>
      <c r="E6361" s="163"/>
      <c r="F6361" s="163"/>
      <c r="G6361" s="163"/>
      <c r="H6361" s="163"/>
      <c r="I6361" s="163"/>
      <c r="J6361" s="165"/>
      <c r="K6361" s="165"/>
      <c r="L6361" s="165"/>
      <c r="M6361" s="166"/>
      <c r="N6361" s="167"/>
      <c r="O6361" s="163"/>
      <c r="P6361" s="163"/>
      <c r="Q6361" s="163"/>
      <c r="R6361" s="163"/>
      <c r="S6361" s="161"/>
      <c r="T6361" s="161"/>
      <c r="U6361" s="161"/>
      <c r="V6361" s="161"/>
      <c r="W6361" s="161"/>
      <c r="X6361" s="161"/>
      <c r="Y6361" s="161"/>
      <c r="Z6361" s="168"/>
      <c r="AA6361" s="168"/>
      <c r="AB6361" s="168"/>
      <c r="AC6361" s="168"/>
    </row>
    <row r="6362">
      <c r="A6362" s="161"/>
      <c r="B6362" s="161"/>
      <c r="C6362" s="162"/>
      <c r="D6362" s="163"/>
      <c r="E6362" s="163"/>
      <c r="F6362" s="163"/>
      <c r="G6362" s="163"/>
      <c r="H6362" s="163"/>
      <c r="I6362" s="163"/>
      <c r="J6362" s="165"/>
      <c r="K6362" s="165"/>
      <c r="L6362" s="165"/>
      <c r="M6362" s="166"/>
      <c r="N6362" s="167"/>
      <c r="O6362" s="163"/>
      <c r="P6362" s="163"/>
      <c r="Q6362" s="163"/>
      <c r="R6362" s="163"/>
      <c r="S6362" s="161"/>
      <c r="T6362" s="161"/>
      <c r="U6362" s="161"/>
      <c r="V6362" s="161"/>
      <c r="W6362" s="161"/>
      <c r="X6362" s="161"/>
      <c r="Y6362" s="161"/>
      <c r="Z6362" s="168"/>
      <c r="AA6362" s="168"/>
      <c r="AB6362" s="168"/>
      <c r="AC6362" s="168"/>
    </row>
    <row r="6363">
      <c r="A6363" s="161"/>
      <c r="B6363" s="161"/>
      <c r="C6363" s="162"/>
      <c r="D6363" s="163"/>
      <c r="E6363" s="163"/>
      <c r="F6363" s="163"/>
      <c r="G6363" s="163"/>
      <c r="H6363" s="163"/>
      <c r="I6363" s="163"/>
      <c r="J6363" s="165"/>
      <c r="K6363" s="165"/>
      <c r="L6363" s="165"/>
      <c r="M6363" s="166"/>
      <c r="N6363" s="167"/>
      <c r="O6363" s="163"/>
      <c r="P6363" s="163"/>
      <c r="Q6363" s="163"/>
      <c r="R6363" s="163"/>
      <c r="S6363" s="161"/>
      <c r="T6363" s="161"/>
      <c r="U6363" s="161"/>
      <c r="V6363" s="161"/>
      <c r="W6363" s="161"/>
      <c r="X6363" s="161"/>
      <c r="Y6363" s="161"/>
      <c r="Z6363" s="168"/>
      <c r="AA6363" s="168"/>
      <c r="AB6363" s="168"/>
      <c r="AC6363" s="168"/>
    </row>
    <row r="6364">
      <c r="A6364" s="161"/>
      <c r="B6364" s="161"/>
      <c r="C6364" s="162"/>
      <c r="D6364" s="163"/>
      <c r="E6364" s="163"/>
      <c r="F6364" s="163"/>
      <c r="G6364" s="163"/>
      <c r="H6364" s="163"/>
      <c r="I6364" s="163"/>
      <c r="J6364" s="165"/>
      <c r="K6364" s="165"/>
      <c r="L6364" s="165"/>
      <c r="M6364" s="166"/>
      <c r="N6364" s="167"/>
      <c r="O6364" s="163"/>
      <c r="P6364" s="163"/>
      <c r="Q6364" s="163"/>
      <c r="R6364" s="163"/>
      <c r="S6364" s="161"/>
      <c r="T6364" s="161"/>
      <c r="U6364" s="161"/>
      <c r="V6364" s="161"/>
      <c r="W6364" s="161"/>
      <c r="X6364" s="161"/>
      <c r="Y6364" s="161"/>
      <c r="Z6364" s="168"/>
      <c r="AA6364" s="168"/>
      <c r="AB6364" s="168"/>
      <c r="AC6364" s="168"/>
    </row>
    <row r="6365">
      <c r="A6365" s="161"/>
      <c r="B6365" s="161"/>
      <c r="C6365" s="162"/>
      <c r="D6365" s="163"/>
      <c r="E6365" s="163"/>
      <c r="F6365" s="163"/>
      <c r="G6365" s="163"/>
      <c r="H6365" s="163"/>
      <c r="I6365" s="163"/>
      <c r="J6365" s="165"/>
      <c r="K6365" s="165"/>
      <c r="L6365" s="165"/>
      <c r="M6365" s="166"/>
      <c r="N6365" s="167"/>
      <c r="O6365" s="163"/>
      <c r="P6365" s="163"/>
      <c r="Q6365" s="163"/>
      <c r="R6365" s="163"/>
      <c r="S6365" s="161"/>
      <c r="T6365" s="161"/>
      <c r="U6365" s="161"/>
      <c r="V6365" s="161"/>
      <c r="W6365" s="161"/>
      <c r="X6365" s="161"/>
      <c r="Y6365" s="161"/>
      <c r="Z6365" s="168"/>
      <c r="AA6365" s="168"/>
      <c r="AB6365" s="168"/>
      <c r="AC6365" s="168"/>
    </row>
    <row r="6366">
      <c r="A6366" s="161"/>
      <c r="B6366" s="161"/>
      <c r="C6366" s="162"/>
      <c r="D6366" s="163"/>
      <c r="E6366" s="163"/>
      <c r="F6366" s="163"/>
      <c r="G6366" s="163"/>
      <c r="H6366" s="163"/>
      <c r="I6366" s="163"/>
      <c r="J6366" s="165"/>
      <c r="K6366" s="165"/>
      <c r="L6366" s="165"/>
      <c r="M6366" s="166"/>
      <c r="N6366" s="167"/>
      <c r="O6366" s="163"/>
      <c r="P6366" s="163"/>
      <c r="Q6366" s="163"/>
      <c r="R6366" s="163"/>
      <c r="S6366" s="161"/>
      <c r="T6366" s="161"/>
      <c r="U6366" s="161"/>
      <c r="V6366" s="161"/>
      <c r="W6366" s="161"/>
      <c r="X6366" s="161"/>
      <c r="Y6366" s="161"/>
      <c r="Z6366" s="168"/>
      <c r="AA6366" s="168"/>
      <c r="AB6366" s="168"/>
      <c r="AC6366" s="168"/>
    </row>
    <row r="6367">
      <c r="A6367" s="161"/>
      <c r="B6367" s="161"/>
      <c r="C6367" s="162"/>
      <c r="D6367" s="163"/>
      <c r="E6367" s="163"/>
      <c r="F6367" s="163"/>
      <c r="G6367" s="163"/>
      <c r="H6367" s="163"/>
      <c r="I6367" s="163"/>
      <c r="J6367" s="165"/>
      <c r="K6367" s="165"/>
      <c r="L6367" s="165"/>
      <c r="M6367" s="166"/>
      <c r="N6367" s="167"/>
      <c r="O6367" s="163"/>
      <c r="P6367" s="163"/>
      <c r="Q6367" s="163"/>
      <c r="R6367" s="163"/>
      <c r="S6367" s="161"/>
      <c r="T6367" s="161"/>
      <c r="U6367" s="161"/>
      <c r="V6367" s="161"/>
      <c r="W6367" s="161"/>
      <c r="X6367" s="161"/>
      <c r="Y6367" s="161"/>
      <c r="Z6367" s="168"/>
      <c r="AA6367" s="168"/>
      <c r="AB6367" s="168"/>
      <c r="AC6367" s="168"/>
    </row>
    <row r="6368">
      <c r="A6368" s="161"/>
      <c r="B6368" s="161"/>
      <c r="C6368" s="162"/>
      <c r="D6368" s="163"/>
      <c r="E6368" s="163"/>
      <c r="F6368" s="163"/>
      <c r="G6368" s="163"/>
      <c r="H6368" s="163"/>
      <c r="I6368" s="163"/>
      <c r="J6368" s="165"/>
      <c r="K6368" s="165"/>
      <c r="L6368" s="165"/>
      <c r="M6368" s="166"/>
      <c r="N6368" s="167"/>
      <c r="O6368" s="163"/>
      <c r="P6368" s="163"/>
      <c r="Q6368" s="163"/>
      <c r="R6368" s="163"/>
      <c r="S6368" s="161"/>
      <c r="T6368" s="161"/>
      <c r="U6368" s="161"/>
      <c r="V6368" s="161"/>
      <c r="W6368" s="161"/>
      <c r="X6368" s="161"/>
      <c r="Y6368" s="161"/>
      <c r="Z6368" s="168"/>
      <c r="AA6368" s="168"/>
      <c r="AB6368" s="168"/>
      <c r="AC6368" s="168"/>
    </row>
    <row r="6369">
      <c r="A6369" s="161"/>
      <c r="B6369" s="161"/>
      <c r="C6369" s="162"/>
      <c r="D6369" s="163"/>
      <c r="E6369" s="163"/>
      <c r="F6369" s="163"/>
      <c r="G6369" s="163"/>
      <c r="H6369" s="163"/>
      <c r="I6369" s="163"/>
      <c r="J6369" s="165"/>
      <c r="K6369" s="165"/>
      <c r="L6369" s="165"/>
      <c r="M6369" s="166"/>
      <c r="N6369" s="167"/>
      <c r="O6369" s="163"/>
      <c r="P6369" s="163"/>
      <c r="Q6369" s="163"/>
      <c r="R6369" s="163"/>
      <c r="S6369" s="161"/>
      <c r="T6369" s="161"/>
      <c r="U6369" s="161"/>
      <c r="V6369" s="161"/>
      <c r="W6369" s="161"/>
      <c r="X6369" s="161"/>
      <c r="Y6369" s="161"/>
      <c r="Z6369" s="168"/>
      <c r="AA6369" s="168"/>
      <c r="AB6369" s="168"/>
      <c r="AC6369" s="168"/>
    </row>
    <row r="6370">
      <c r="A6370" s="161"/>
      <c r="B6370" s="161"/>
      <c r="C6370" s="162"/>
      <c r="D6370" s="163"/>
      <c r="E6370" s="163"/>
      <c r="F6370" s="163"/>
      <c r="G6370" s="163"/>
      <c r="H6370" s="163"/>
      <c r="I6370" s="163"/>
      <c r="J6370" s="165"/>
      <c r="K6370" s="165"/>
      <c r="L6370" s="165"/>
      <c r="M6370" s="166"/>
      <c r="N6370" s="167"/>
      <c r="O6370" s="163"/>
      <c r="P6370" s="163"/>
      <c r="Q6370" s="163"/>
      <c r="R6370" s="163"/>
      <c r="S6370" s="161"/>
      <c r="T6370" s="161"/>
      <c r="U6370" s="161"/>
      <c r="V6370" s="161"/>
      <c r="W6370" s="161"/>
      <c r="X6370" s="161"/>
      <c r="Y6370" s="161"/>
      <c r="Z6370" s="168"/>
      <c r="AA6370" s="168"/>
      <c r="AB6370" s="168"/>
      <c r="AC6370" s="168"/>
    </row>
  </sheetData>
  <conditionalFormatting sqref="E1:E6370">
    <cfRule type="colorScale" priority="1">
      <colorScale>
        <cfvo type="min"/>
        <cfvo type="max"/>
        <color rgb="FFFFFFFF"/>
        <color rgb="FFFFD666"/>
      </colorScale>
    </cfRule>
  </conditionalFormatting>
  <conditionalFormatting sqref="H1:H6370">
    <cfRule type="colorScale" priority="2">
      <colorScale>
        <cfvo type="min"/>
        <cfvo type="max"/>
        <color rgb="FFFFFFFF"/>
        <color rgb="FFFFD666"/>
      </colorScale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6.86"/>
    <col customWidth="1" min="2" max="2" width="18.14"/>
    <col customWidth="1" min="3" max="3" width="22.57"/>
    <col customWidth="1" min="4" max="4" width="6.86"/>
    <col customWidth="1" min="5" max="5" width="34.43"/>
    <col customWidth="1" min="6" max="6" width="7.86"/>
    <col customWidth="1" min="7" max="7" width="12.0"/>
    <col customWidth="1" min="8" max="8" width="10.71"/>
    <col customWidth="1" min="9" max="9" width="12.29"/>
    <col customWidth="1" min="10" max="10" width="6.43"/>
    <col customWidth="1" min="11" max="14" width="17.57"/>
    <col customWidth="1" min="15" max="15" width="6.86"/>
    <col hidden="1" min="16" max="17" width="14.43"/>
  </cols>
  <sheetData>
    <row r="1">
      <c r="A1" s="1"/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1"/>
      <c r="P1" s="1"/>
      <c r="Q1" s="1"/>
    </row>
    <row r="2">
      <c r="A2" s="1"/>
      <c r="B2" s="3" t="s">
        <v>0</v>
      </c>
      <c r="C2" s="4" t="s">
        <v>27</v>
      </c>
      <c r="D2" s="1"/>
      <c r="E2" s="5" t="s">
        <v>2</v>
      </c>
      <c r="F2" s="6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6" t="s">
        <v>8</v>
      </c>
      <c r="L2" s="6" t="s">
        <v>9</v>
      </c>
      <c r="M2" s="6" t="s">
        <v>10</v>
      </c>
      <c r="N2" s="6" t="s">
        <v>11</v>
      </c>
      <c r="O2" s="1"/>
      <c r="P2" s="1"/>
      <c r="Q2" s="1"/>
    </row>
    <row r="3">
      <c r="A3" s="1"/>
      <c r="B3" s="3" t="s">
        <v>12</v>
      </c>
      <c r="C3" s="4" t="s">
        <v>13</v>
      </c>
      <c r="D3" s="1"/>
      <c r="E3" s="1" t="str">
        <f>IFERROR(__xludf.DUMMYFUNCTION("sort(filter(Data!B:B,Data!C:C=C3,Data!D:D=C2),filter(Data!N:N,Data!C:C=C3,Data!D:D=C2),FALSE)"),"DeMar DeRozan")</f>
        <v>DeMar DeRozan</v>
      </c>
      <c r="F3" s="8">
        <f t="shared" ref="F3:F23" si="1">if(H3&lt;&gt;"",G3/H3,"")</f>
        <v>33.38973333</v>
      </c>
      <c r="G3" s="9">
        <f>IFERROR(__xludf.DUMMYFUNCTION("sort(filter(Data!F:M,Data!C:C=C3,Data!D:D=C2),filter(Data!N:N,Data!C:C=C3,Data!D:D=C2),FALSE)"),834.743333333333)</f>
        <v>834.7433333</v>
      </c>
      <c r="H3" s="2">
        <f>IFERROR(__xludf.DUMMYFUNCTION("""COMPUTED_VALUE"""),25.0)</f>
        <v>25</v>
      </c>
      <c r="I3" s="2" t="str">
        <f>IFERROR(__xludf.DUMMYFUNCTION("""COMPUTED_VALUE"""),"PF")</f>
        <v>PF</v>
      </c>
      <c r="J3" s="2">
        <f>IFERROR(__xludf.DUMMYFUNCTION("""COMPUTED_VALUE"""),31.0)</f>
        <v>31</v>
      </c>
      <c r="K3" s="10">
        <f>IFERROR(__xludf.DUMMYFUNCTION("""COMPUTED_VALUE"""),2.08706212298078)</f>
        <v>2.087062123</v>
      </c>
      <c r="L3" s="10">
        <f>IFERROR(__xludf.DUMMYFUNCTION("""COMPUTED_VALUE"""),2.50881621414672)</f>
        <v>2.508816214</v>
      </c>
      <c r="M3" s="10">
        <f>IFERROR(__xludf.DUMMYFUNCTION("""COMPUTED_VALUE"""),-0.421754091165939)</f>
        <v>-0.4217540912</v>
      </c>
      <c r="N3" s="11">
        <f>IFERROR(__xludf.DUMMYFUNCTION("""COMPUTED_VALUE"""),2.454387196647161)</f>
        <v>2.454387197</v>
      </c>
      <c r="O3" s="1"/>
      <c r="P3" s="1" t="s">
        <v>14</v>
      </c>
      <c r="Q3" s="12">
        <f>IFERROR(__xludf.DUMMYFUNCTION("iferror(round(correl(filter(Data!J:J,Data!C:C=C$3,Data!D:D=P3,Data!F:F&gt;=250),filter(Data!N:N,Data!C:C=C$3,Data!D:D=P3,Data!F:F&gt;=250)),2),"""")"),-0.14)</f>
        <v>-0.14</v>
      </c>
    </row>
    <row r="4">
      <c r="A4" s="1"/>
      <c r="B4" s="1"/>
      <c r="C4" s="1"/>
      <c r="D4" s="1"/>
      <c r="E4" s="1" t="str">
        <f>IFERROR(__xludf.DUMMYFUNCTION("""COMPUTED_VALUE"""),"Dejounte Murray")</f>
        <v>Dejounte Murray</v>
      </c>
      <c r="F4" s="8">
        <f t="shared" si="1"/>
        <v>30.40876543</v>
      </c>
      <c r="G4" s="9">
        <f>IFERROR(__xludf.DUMMYFUNCTION("""COMPUTED_VALUE"""),821.036666666667)</f>
        <v>821.0366667</v>
      </c>
      <c r="H4" s="2">
        <f>IFERROR(__xludf.DUMMYFUNCTION("""COMPUTED_VALUE"""),27.0)</f>
        <v>27</v>
      </c>
      <c r="I4" s="2" t="str">
        <f>IFERROR(__xludf.DUMMYFUNCTION("""COMPUTED_VALUE"""),"PG")</f>
        <v>PG</v>
      </c>
      <c r="J4" s="2">
        <f>IFERROR(__xludf.DUMMYFUNCTION("""COMPUTED_VALUE"""),24.0)</f>
        <v>24</v>
      </c>
      <c r="K4" s="10">
        <f>IFERROR(__xludf.DUMMYFUNCTION("""COMPUTED_VALUE"""),2.35856510955178)</f>
        <v>2.35856511</v>
      </c>
      <c r="L4" s="10">
        <f>IFERROR(__xludf.DUMMYFUNCTION("""COMPUTED_VALUE"""),0.704662893474262)</f>
        <v>0.7046628935</v>
      </c>
      <c r="M4" s="10">
        <f>IFERROR(__xludf.DUMMYFUNCTION("""COMPUTED_VALUE"""),1.65390221607752)</f>
        <v>1.653902216</v>
      </c>
      <c r="N4" s="11">
        <f>IFERROR(__xludf.DUMMYFUNCTION("""COMPUTED_VALUE"""),2.561315656776687)</f>
        <v>2.561315657</v>
      </c>
      <c r="O4" s="1"/>
      <c r="P4" s="1" t="s">
        <v>15</v>
      </c>
      <c r="Q4" s="12">
        <f>IFERROR(__xludf.DUMMYFUNCTION("iferror(round(correl(filter(Data!J:J,Data!C:C=C$3,Data!D:D=P4,Data!F:F&gt;=250),filter(Data!N:N,Data!C:C=C$3,Data!D:D=P4,Data!F:F&gt;=250)),2),"""")"),0.88)</f>
        <v>0.88</v>
      </c>
    </row>
    <row r="5">
      <c r="A5" s="1"/>
      <c r="B5" s="13" t="s">
        <v>16</v>
      </c>
      <c r="D5" s="1"/>
      <c r="E5" s="1" t="str">
        <f>IFERROR(__xludf.DUMMYFUNCTION("""COMPUTED_VALUE"""),"Keldon Johnson")</f>
        <v>Keldon Johnson</v>
      </c>
      <c r="F5" s="8">
        <f t="shared" si="1"/>
        <v>30.08654321</v>
      </c>
      <c r="G5" s="9">
        <f>IFERROR(__xludf.DUMMYFUNCTION("""COMPUTED_VALUE"""),812.336666666666)</f>
        <v>812.3366667</v>
      </c>
      <c r="H5" s="2">
        <f>IFERROR(__xludf.DUMMYFUNCTION("""COMPUTED_VALUE"""),27.0)</f>
        <v>27</v>
      </c>
      <c r="I5" s="2" t="str">
        <f>IFERROR(__xludf.DUMMYFUNCTION("""COMPUTED_VALUE"""),"SF")</f>
        <v>SF</v>
      </c>
      <c r="J5" s="2">
        <f>IFERROR(__xludf.DUMMYFUNCTION("""COMPUTED_VALUE"""),21.0)</f>
        <v>21</v>
      </c>
      <c r="K5" s="10">
        <f>IFERROR(__xludf.DUMMYFUNCTION("""COMPUTED_VALUE"""),-0.182657156357084)</f>
        <v>-0.1826571564</v>
      </c>
      <c r="L5" s="10">
        <f>IFERROR(__xludf.DUMMYFUNCTION("""COMPUTED_VALUE"""),-0.288569358875948)</f>
        <v>-0.2885693589</v>
      </c>
      <c r="M5" s="10">
        <f>IFERROR(__xludf.DUMMYFUNCTION("""COMPUTED_VALUE"""),0.105912202518864)</f>
        <v>0.1059122025</v>
      </c>
      <c r="N5" s="11">
        <f>IFERROR(__xludf.DUMMYFUNCTION("""COMPUTED_VALUE"""),1.152321315624125)</f>
        <v>1.152321316</v>
      </c>
      <c r="O5" s="1"/>
      <c r="P5" s="1" t="s">
        <v>17</v>
      </c>
      <c r="Q5" s="12">
        <f>IFERROR(__xludf.DUMMYFUNCTION("iferror(round(correl(filter(Data!J:J,Data!C:C=C$3,Data!D:D=P5,Data!F:F&gt;=250),filter(Data!N:N,Data!C:C=C$3,Data!D:D=P5,Data!F:F&gt;=250)),2),"""")"),0.42)</f>
        <v>0.42</v>
      </c>
    </row>
    <row r="6">
      <c r="A6" s="1"/>
      <c r="B6" s="12">
        <f>IFERROR(__xludf.DUMMYFUNCTION("round(correl(filter(F:F,G:G&gt;=250),filter(K:K,G:G&gt;=250)),2)"),0.25)</f>
        <v>0.25</v>
      </c>
      <c r="D6" s="1"/>
      <c r="E6" s="1" t="str">
        <f>IFERROR(__xludf.DUMMYFUNCTION("""COMPUTED_VALUE"""),"LaMarcus Aldridge")</f>
        <v>LaMarcus Aldridge</v>
      </c>
      <c r="F6" s="8">
        <f t="shared" si="1"/>
        <v>26.6712963</v>
      </c>
      <c r="G6" s="9">
        <f>IFERROR(__xludf.DUMMYFUNCTION("""COMPUTED_VALUE"""),480.083333333333)</f>
        <v>480.0833333</v>
      </c>
      <c r="H6" s="2">
        <f>IFERROR(__xludf.DUMMYFUNCTION("""COMPUTED_VALUE"""),18.0)</f>
        <v>18</v>
      </c>
      <c r="I6" s="2" t="str">
        <f>IFERROR(__xludf.DUMMYFUNCTION("""COMPUTED_VALUE"""),"C")</f>
        <v>C</v>
      </c>
      <c r="J6" s="2">
        <f>IFERROR(__xludf.DUMMYFUNCTION("""COMPUTED_VALUE"""),35.0)</f>
        <v>35</v>
      </c>
      <c r="K6" s="10">
        <f>IFERROR(__xludf.DUMMYFUNCTION("""COMPUTED_VALUE"""),-1.07208055362507)</f>
        <v>-1.072080554</v>
      </c>
      <c r="L6" s="10">
        <f>IFERROR(__xludf.DUMMYFUNCTION("""COMPUTED_VALUE"""),0.116488619640866)</f>
        <v>0.1164886196</v>
      </c>
      <c r="M6" s="10">
        <f>IFERROR(__xludf.DUMMYFUNCTION("""COMPUTED_VALUE"""),-1.18856917326593)</f>
        <v>-1.188569173</v>
      </c>
      <c r="N6" s="11">
        <f>IFERROR(__xludf.DUMMYFUNCTION("""COMPUTED_VALUE"""),0.39368404122076867)</f>
        <v>0.3936840412</v>
      </c>
      <c r="O6" s="1"/>
      <c r="P6" s="1" t="s">
        <v>18</v>
      </c>
      <c r="Q6" s="12">
        <f>IFERROR(__xludf.DUMMYFUNCTION("iferror(round(correl(filter(Data!J:J,Data!C:C=C$3,Data!D:D=P6,Data!F:F&gt;=250),filter(Data!N:N,Data!C:C=C$3,Data!D:D=P6,Data!F:F&gt;=250)),2),"""")"),0.4)</f>
        <v>0.4</v>
      </c>
    </row>
    <row r="7">
      <c r="A7" s="1"/>
      <c r="B7" s="14" t="str">
        <f>"'"&amp;right(C3,5)&amp;" Rank:"</f>
        <v>'20-21 Rank:</v>
      </c>
      <c r="C7" s="2">
        <f>rank(B6,C11:C40)</f>
        <v>24</v>
      </c>
      <c r="D7" s="1"/>
      <c r="E7" s="1" t="str">
        <f>IFERROR(__xludf.DUMMYFUNCTION("""COMPUTED_VALUE"""),"Lonnie Walker IV")</f>
        <v>Lonnie Walker IV</v>
      </c>
      <c r="F7" s="8">
        <f t="shared" si="1"/>
        <v>26.65273333</v>
      </c>
      <c r="G7" s="9">
        <f>IFERROR(__xludf.DUMMYFUNCTION("""COMPUTED_VALUE"""),666.318333333333)</f>
        <v>666.3183333</v>
      </c>
      <c r="H7" s="2">
        <f>IFERROR(__xludf.DUMMYFUNCTION("""COMPUTED_VALUE"""),25.0)</f>
        <v>25</v>
      </c>
      <c r="I7" s="2" t="str">
        <f>IFERROR(__xludf.DUMMYFUNCTION("""COMPUTED_VALUE"""),"SG")</f>
        <v>SG</v>
      </c>
      <c r="J7" s="2">
        <f>IFERROR(__xludf.DUMMYFUNCTION("""COMPUTED_VALUE"""),22.0)</f>
        <v>22</v>
      </c>
      <c r="K7" s="10">
        <f>IFERROR(__xludf.DUMMYFUNCTION("""COMPUTED_VALUE"""),-3.10997816406423)</f>
        <v>-3.109978164</v>
      </c>
      <c r="L7" s="10">
        <f>IFERROR(__xludf.DUMMYFUNCTION("""COMPUTED_VALUE"""),-1.41890379568719)</f>
        <v>-1.418903796</v>
      </c>
      <c r="M7" s="10">
        <f>IFERROR(__xludf.DUMMYFUNCTION("""COMPUTED_VALUE"""),-1.69107436837704)</f>
        <v>-1.691074368</v>
      </c>
      <c r="N7" s="11">
        <f>IFERROR(__xludf.DUMMYFUNCTION("""COMPUTED_VALUE"""),-0.3513650546774763)</f>
        <v>-0.3513650547</v>
      </c>
      <c r="O7" s="1"/>
      <c r="P7" s="1" t="s">
        <v>19</v>
      </c>
      <c r="Q7" s="12">
        <f>IFERROR(__xludf.DUMMYFUNCTION("iferror(round(correl(filter(Data!J:J,Data!C:C=C$3,Data!D:D=P7,Data!F:F&gt;=250),filter(Data!N:N,Data!C:C=C$3,Data!D:D=P7,Data!F:F&gt;=250)),2),"""")"),0.68)</f>
        <v>0.68</v>
      </c>
    </row>
    <row r="8">
      <c r="A8" s="1"/>
      <c r="B8" s="1"/>
      <c r="C8" s="1"/>
      <c r="D8" s="1"/>
      <c r="E8" s="1" t="str">
        <f>IFERROR(__xludf.DUMMYFUNCTION("""COMPUTED_VALUE"""),"Patty Mills")</f>
        <v>Patty Mills</v>
      </c>
      <c r="F8" s="8">
        <f t="shared" si="1"/>
        <v>25.45055556</v>
      </c>
      <c r="G8" s="9">
        <f>IFERROR(__xludf.DUMMYFUNCTION("""COMPUTED_VALUE"""),687.165)</f>
        <v>687.165</v>
      </c>
      <c r="H8" s="2">
        <f>IFERROR(__xludf.DUMMYFUNCTION("""COMPUTED_VALUE"""),27.0)</f>
        <v>27</v>
      </c>
      <c r="I8" s="2" t="str">
        <f>IFERROR(__xludf.DUMMYFUNCTION("""COMPUTED_VALUE"""),"PG")</f>
        <v>PG</v>
      </c>
      <c r="J8" s="2">
        <f>IFERROR(__xludf.DUMMYFUNCTION("""COMPUTED_VALUE"""),32.0)</f>
        <v>32</v>
      </c>
      <c r="K8" s="10">
        <f>IFERROR(__xludf.DUMMYFUNCTION("""COMPUTED_VALUE"""),-0.298089575496258)</f>
        <v>-0.2980895755</v>
      </c>
      <c r="L8" s="10">
        <f>IFERROR(__xludf.DUMMYFUNCTION("""COMPUTED_VALUE"""),0.642306129070907)</f>
        <v>0.6423061291</v>
      </c>
      <c r="M8" s="10">
        <f>IFERROR(__xludf.DUMMYFUNCTION("""COMPUTED_VALUE"""),-0.940395704567165)</f>
        <v>-0.9403957046</v>
      </c>
      <c r="N8" s="11">
        <f>IFERROR(__xludf.DUMMYFUNCTION("""COMPUTED_VALUE"""),0.9212975867766261)</f>
        <v>0.9212975868</v>
      </c>
      <c r="O8" s="1"/>
      <c r="P8" s="1" t="s">
        <v>20</v>
      </c>
      <c r="Q8" s="12" t="str">
        <f>IFERROR(__xludf.DUMMYFUNCTION("iferror(round(correl(filter(Data!J:J,Data!C:C=C$3,Data!D:D=P8,Data!F:F&gt;=250),filter(Data!N:N,Data!C:C=C$3,Data!D:D=P8,Data!F:F&gt;=250)),2),"""")"),"")</f>
        <v/>
      </c>
    </row>
    <row r="9">
      <c r="A9" s="1"/>
      <c r="B9" s="14" t="str">
        <f>"Other "&amp;C3&amp;" Teams:"</f>
        <v>Other 2020-21 Teams:</v>
      </c>
      <c r="D9" s="1"/>
      <c r="E9" s="1" t="str">
        <f>IFERROR(__xludf.DUMMYFUNCTION("""COMPUTED_VALUE"""),"Derrick White")</f>
        <v>Derrick White</v>
      </c>
      <c r="F9" s="8">
        <f t="shared" si="1"/>
        <v>23.60104167</v>
      </c>
      <c r="G9" s="9">
        <f>IFERROR(__xludf.DUMMYFUNCTION("""COMPUTED_VALUE"""),188.808333333334)</f>
        <v>188.8083333</v>
      </c>
      <c r="H9" s="2">
        <f>IFERROR(__xludf.DUMMYFUNCTION("""COMPUTED_VALUE"""),8.0)</f>
        <v>8</v>
      </c>
      <c r="I9" s="2" t="str">
        <f>IFERROR(__xludf.DUMMYFUNCTION("""COMPUTED_VALUE"""),"SG")</f>
        <v>SG</v>
      </c>
      <c r="J9" s="2">
        <f>IFERROR(__xludf.DUMMYFUNCTION("""COMPUTED_VALUE"""),26.0)</f>
        <v>26</v>
      </c>
      <c r="K9" s="10">
        <f>IFERROR(__xludf.DUMMYFUNCTION("""COMPUTED_VALUE"""),1.08967752056357)</f>
        <v>1.089677521</v>
      </c>
      <c r="L9" s="10">
        <f>IFERROR(__xludf.DUMMYFUNCTION("""COMPUTED_VALUE"""),0.617159693535627)</f>
        <v>0.6171596935</v>
      </c>
      <c r="M9" s="10">
        <f>IFERROR(__xludf.DUMMYFUNCTION("""COMPUTED_VALUE"""),0.472517827027948)</f>
        <v>0.472517827</v>
      </c>
      <c r="N9" s="11">
        <f>IFERROR(__xludf.DUMMYFUNCTION("""COMPUTED_VALUE"""),0.429559110209466)</f>
        <v>0.4295591102</v>
      </c>
      <c r="O9" s="1"/>
      <c r="P9" s="1" t="s">
        <v>21</v>
      </c>
      <c r="Q9" s="12">
        <f>IFERROR(__xludf.DUMMYFUNCTION("iferror(round(correl(filter(Data!J:J,Data!C:C=C$3,Data!D:D=P9,Data!F:F&gt;=250),filter(Data!N:N,Data!C:C=C$3,Data!D:D=P9,Data!F:F&gt;=250)),2),"""")"),0.6)</f>
        <v>0.6</v>
      </c>
    </row>
    <row r="10">
      <c r="A10" s="1"/>
      <c r="B10" s="15" t="s">
        <v>22</v>
      </c>
      <c r="C10" s="15" t="s">
        <v>23</v>
      </c>
      <c r="D10" s="1"/>
      <c r="E10" s="1" t="str">
        <f>IFERROR(__xludf.DUMMYFUNCTION("""COMPUTED_VALUE"""),"Jakob Poeltl")</f>
        <v>Jakob Poeltl</v>
      </c>
      <c r="F10" s="8">
        <f t="shared" si="1"/>
        <v>22.22839506</v>
      </c>
      <c r="G10" s="9">
        <f>IFERROR(__xludf.DUMMYFUNCTION("""COMPUTED_VALUE"""),600.166666666667)</f>
        <v>600.1666667</v>
      </c>
      <c r="H10" s="2">
        <f>IFERROR(__xludf.DUMMYFUNCTION("""COMPUTED_VALUE"""),27.0)</f>
        <v>27</v>
      </c>
      <c r="I10" s="2" t="str">
        <f>IFERROR(__xludf.DUMMYFUNCTION("""COMPUTED_VALUE"""),"C")</f>
        <v>C</v>
      </c>
      <c r="J10" s="2">
        <f>IFERROR(__xludf.DUMMYFUNCTION("""COMPUTED_VALUE"""),25.0)</f>
        <v>25</v>
      </c>
      <c r="K10" s="10">
        <f>IFERROR(__xludf.DUMMYFUNCTION("""COMPUTED_VALUE"""),1.79075206485046)</f>
        <v>1.790752065</v>
      </c>
      <c r="L10" s="10">
        <f>IFERROR(__xludf.DUMMYFUNCTION("""COMPUTED_VALUE"""),-1.15950606475041)</f>
        <v>-1.159506065</v>
      </c>
      <c r="M10" s="10">
        <f>IFERROR(__xludf.DUMMYFUNCTION("""COMPUTED_VALUE"""),2.95025812960087)</f>
        <v>2.95025813</v>
      </c>
      <c r="N10" s="11">
        <f>IFERROR(__xludf.DUMMYFUNCTION("""COMPUTED_VALUE"""),1.6466314768703982)</f>
        <v>1.646631477</v>
      </c>
      <c r="O10" s="1"/>
      <c r="P10" s="1" t="s">
        <v>24</v>
      </c>
      <c r="Q10" s="12">
        <f>IFERROR(__xludf.DUMMYFUNCTION("iferror(round(correl(filter(Data!J:J,Data!C:C=C$3,Data!D:D=P10,Data!F:F&gt;=250),filter(Data!N:N,Data!C:C=C$3,Data!D:D=P10,Data!F:F&gt;=250)),2),"""")"),0.2)</f>
        <v>0.2</v>
      </c>
    </row>
    <row r="11">
      <c r="A11" s="1"/>
      <c r="B11" s="2" t="str">
        <f>IFERROR(__xludf.DUMMYFUNCTION("sort(filter(P:Q,Q:Q&lt;&gt;"""",P:P&lt;&gt;""TOT""),filter(Q:Q,Q:Q&lt;&gt;"""",P:P&lt;&gt;""TOT""),FALSE)"),"MIL")</f>
        <v>MIL</v>
      </c>
      <c r="C11" s="12">
        <f>IFERROR(__xludf.DUMMYFUNCTION("""COMPUTED_VALUE"""),0.88)</f>
        <v>0.88</v>
      </c>
      <c r="D11" s="1"/>
      <c r="E11" s="1" t="str">
        <f>IFERROR(__xludf.DUMMYFUNCTION("""COMPUTED_VALUE"""),"Rudy Gay")</f>
        <v>Rudy Gay</v>
      </c>
      <c r="F11" s="8">
        <f t="shared" si="1"/>
        <v>21.98141026</v>
      </c>
      <c r="G11" s="9">
        <f>IFERROR(__xludf.DUMMYFUNCTION("""COMPUTED_VALUE"""),571.516666666667)</f>
        <v>571.5166667</v>
      </c>
      <c r="H11" s="2">
        <f>IFERROR(__xludf.DUMMYFUNCTION("""COMPUTED_VALUE"""),26.0)</f>
        <v>26</v>
      </c>
      <c r="I11" s="2" t="str">
        <f>IFERROR(__xludf.DUMMYFUNCTION("""COMPUTED_VALUE"""),"PF")</f>
        <v>PF</v>
      </c>
      <c r="J11" s="2">
        <f>IFERROR(__xludf.DUMMYFUNCTION("""COMPUTED_VALUE"""),34.0)</f>
        <v>34</v>
      </c>
      <c r="K11" s="10">
        <f>IFERROR(__xludf.DUMMYFUNCTION("""COMPUTED_VALUE"""),0.20447377860893)</f>
        <v>0.2044737786</v>
      </c>
      <c r="L11" s="10">
        <f>IFERROR(__xludf.DUMMYFUNCTION("""COMPUTED_VALUE"""),-0.421429991874157)</f>
        <v>-0.4214299919</v>
      </c>
      <c r="M11" s="10">
        <f>IFERROR(__xludf.DUMMYFUNCTION("""COMPUTED_VALUE"""),0.625903770483087)</f>
        <v>0.6259037705</v>
      </c>
      <c r="N11" s="11">
        <f>IFERROR(__xludf.DUMMYFUNCTION("""COMPUTED_VALUE"""),0.9598695567782068)</f>
        <v>0.9598695568</v>
      </c>
      <c r="O11" s="1"/>
      <c r="P11" s="1" t="s">
        <v>25</v>
      </c>
      <c r="Q11" s="12">
        <f>IFERROR(__xludf.DUMMYFUNCTION("iferror(round(correl(filter(Data!J:J,Data!C:C=C$3,Data!D:D=P11,Data!F:F&gt;=250),filter(Data!N:N,Data!C:C=C$3,Data!D:D=P11,Data!F:F&gt;=250)),2),"""")"),0.15)</f>
        <v>0.15</v>
      </c>
    </row>
    <row r="12">
      <c r="A12" s="1"/>
      <c r="B12" s="2" t="str">
        <f>IFERROR(__xludf.DUMMYFUNCTION("""COMPUTED_VALUE"""),"DET")</f>
        <v>DET</v>
      </c>
      <c r="C12" s="12">
        <f>IFERROR(__xludf.DUMMYFUNCTION("""COMPUTED_VALUE"""),0.85)</f>
        <v>0.85</v>
      </c>
      <c r="D12" s="1"/>
      <c r="E12" s="1" t="str">
        <f>IFERROR(__xludf.DUMMYFUNCTION("""COMPUTED_VALUE"""),"Devin Vassell")</f>
        <v>Devin Vassell</v>
      </c>
      <c r="F12" s="8">
        <f t="shared" si="1"/>
        <v>17.34480769</v>
      </c>
      <c r="G12" s="9">
        <f>IFERROR(__xludf.DUMMYFUNCTION("""COMPUTED_VALUE"""),450.965)</f>
        <v>450.965</v>
      </c>
      <c r="H12" s="2">
        <f>IFERROR(__xludf.DUMMYFUNCTION("""COMPUTED_VALUE"""),26.0)</f>
        <v>26</v>
      </c>
      <c r="I12" s="2" t="str">
        <f>IFERROR(__xludf.DUMMYFUNCTION("""COMPUTED_VALUE"""),"SF")</f>
        <v>SF</v>
      </c>
      <c r="J12" s="2">
        <f>IFERROR(__xludf.DUMMYFUNCTION("""COMPUTED_VALUE"""),20.0)</f>
        <v>20</v>
      </c>
      <c r="K12" s="10">
        <f>IFERROR(__xludf.DUMMYFUNCTION("""COMPUTED_VALUE"""),-0.290684297830943)</f>
        <v>-0.2906842978</v>
      </c>
      <c r="L12" s="10">
        <f>IFERROR(__xludf.DUMMYFUNCTION("""COMPUTED_VALUE"""),-1.50423144017967)</f>
        <v>-1.50423144</v>
      </c>
      <c r="M12" s="10">
        <f>IFERROR(__xludf.DUMMYFUNCTION("""COMPUTED_VALUE"""),1.21354714234872)</f>
        <v>1.213547142</v>
      </c>
      <c r="N12" s="11">
        <f>IFERROR(__xludf.DUMMYFUNCTION("""COMPUTED_VALUE"""),0.6068695868707578)</f>
        <v>0.6068695869</v>
      </c>
      <c r="O12" s="1"/>
      <c r="P12" s="1" t="s">
        <v>26</v>
      </c>
      <c r="Q12" s="12">
        <f>IFERROR(__xludf.DUMMYFUNCTION("iferror(round(correl(filter(Data!J:J,Data!C:C=C$3,Data!D:D=P12,Data!F:F&gt;=250),filter(Data!N:N,Data!C:C=C$3,Data!D:D=P12,Data!F:F&gt;=250)),2),"""")"),0.73)</f>
        <v>0.73</v>
      </c>
    </row>
    <row r="13">
      <c r="A13" s="1"/>
      <c r="B13" s="2" t="str">
        <f>IFERROR(__xludf.DUMMYFUNCTION("""COMPUTED_VALUE"""),"BRK")</f>
        <v>BRK</v>
      </c>
      <c r="C13" s="12">
        <f>IFERROR(__xludf.DUMMYFUNCTION("""COMPUTED_VALUE"""),0.81)</f>
        <v>0.81</v>
      </c>
      <c r="D13" s="1"/>
      <c r="E13" s="1" t="str">
        <f>IFERROR(__xludf.DUMMYFUNCTION("""COMPUTED_VALUE"""),"Drew Eubanks")</f>
        <v>Drew Eubanks</v>
      </c>
      <c r="F13" s="8">
        <f t="shared" si="1"/>
        <v>12.62575758</v>
      </c>
      <c r="G13" s="9">
        <f>IFERROR(__xludf.DUMMYFUNCTION("""COMPUTED_VALUE"""),138.883333333333)</f>
        <v>138.8833333</v>
      </c>
      <c r="H13" s="2">
        <f>IFERROR(__xludf.DUMMYFUNCTION("""COMPUTED_VALUE"""),11.0)</f>
        <v>11</v>
      </c>
      <c r="I13" s="2" t="str">
        <f>IFERROR(__xludf.DUMMYFUNCTION("""COMPUTED_VALUE"""),"C")</f>
        <v>C</v>
      </c>
      <c r="J13" s="2">
        <f>IFERROR(__xludf.DUMMYFUNCTION("""COMPUTED_VALUE"""),23.0)</f>
        <v>23</v>
      </c>
      <c r="K13" s="10">
        <f>IFERROR(__xludf.DUMMYFUNCTION("""COMPUTED_VALUE"""),-0.989328158616675)</f>
        <v>-0.9893281586</v>
      </c>
      <c r="L13" s="10">
        <f>IFERROR(__xludf.DUMMYFUNCTION("""COMPUTED_VALUE"""),-1.48748653644427)</f>
        <v>-1.487486536</v>
      </c>
      <c r="M13" s="10">
        <f>IFERROR(__xludf.DUMMYFUNCTION("""COMPUTED_VALUE"""),0.498158377827597)</f>
        <v>0.4981583778</v>
      </c>
      <c r="N13" s="11">
        <f>IFERROR(__xludf.DUMMYFUNCTION("""COMPUTED_VALUE"""),0.1216030702046945)</f>
        <v>0.1216030702</v>
      </c>
      <c r="O13" s="1"/>
      <c r="P13" s="1" t="s">
        <v>27</v>
      </c>
      <c r="Q13" s="12">
        <f>IFERROR(__xludf.DUMMYFUNCTION("iferror(round(correl(filter(Data!J:J,Data!C:C=C$3,Data!D:D=P13,Data!F:F&gt;=250),filter(Data!N:N,Data!C:C=C$3,Data!D:D=P13,Data!F:F&gt;=250)),2),"""")"),0.25)</f>
        <v>0.25</v>
      </c>
    </row>
    <row r="14">
      <c r="A14" s="1"/>
      <c r="B14" s="2" t="str">
        <f>IFERROR(__xludf.DUMMYFUNCTION("""COMPUTED_VALUE"""),"TOR")</f>
        <v>TOR</v>
      </c>
      <c r="C14" s="12">
        <f>IFERROR(__xludf.DUMMYFUNCTION("""COMPUTED_VALUE"""),0.77)</f>
        <v>0.77</v>
      </c>
      <c r="D14" s="1"/>
      <c r="E14" s="1" t="str">
        <f>IFERROR(__xludf.DUMMYFUNCTION("""COMPUTED_VALUE"""),"Trey Lyles")</f>
        <v>Trey Lyles</v>
      </c>
      <c r="F14" s="8">
        <f t="shared" si="1"/>
        <v>11.78214286</v>
      </c>
      <c r="G14" s="9">
        <f>IFERROR(__xludf.DUMMYFUNCTION("""COMPUTED_VALUE"""),164.95)</f>
        <v>164.95</v>
      </c>
      <c r="H14" s="2">
        <f>IFERROR(__xludf.DUMMYFUNCTION("""COMPUTED_VALUE"""),14.0)</f>
        <v>14</v>
      </c>
      <c r="I14" s="2" t="str">
        <f>IFERROR(__xludf.DUMMYFUNCTION("""COMPUTED_VALUE"""),"PF")</f>
        <v>PF</v>
      </c>
      <c r="J14" s="2">
        <f>IFERROR(__xludf.DUMMYFUNCTION("""COMPUTED_VALUE"""),25.0)</f>
        <v>25</v>
      </c>
      <c r="K14" s="10">
        <f>IFERROR(__xludf.DUMMYFUNCTION("""COMPUTED_VALUE"""),-1.26078686592286)</f>
        <v>-1.260786866</v>
      </c>
      <c r="L14" s="10">
        <f>IFERROR(__xludf.DUMMYFUNCTION("""COMPUTED_VALUE"""),-1.27480724664266)</f>
        <v>-1.274807247</v>
      </c>
      <c r="M14" s="10">
        <f>IFERROR(__xludf.DUMMYFUNCTION("""COMPUTED_VALUE"""),0.0140203807197956)</f>
        <v>0.01402038072</v>
      </c>
      <c r="N14" s="11">
        <f>IFERROR(__xludf.DUMMYFUNCTION("""COMPUTED_VALUE"""),0.11439761815394373)</f>
        <v>0.1143976182</v>
      </c>
      <c r="O14" s="1"/>
      <c r="P14" s="1" t="s">
        <v>28</v>
      </c>
      <c r="Q14" s="12">
        <f>IFERROR(__xludf.DUMMYFUNCTION("iferror(round(correl(filter(Data!J:J,Data!C:C=C$3,Data!D:D=P14,Data!F:F&gt;=250),filter(Data!N:N,Data!C:C=C$3,Data!D:D=P14,Data!F:F&gt;=250)),2),"""")"),0.45)</f>
        <v>0.45</v>
      </c>
    </row>
    <row r="15">
      <c r="A15" s="1"/>
      <c r="B15" s="2" t="str">
        <f>IFERROR(__xludf.DUMMYFUNCTION("""COMPUTED_VALUE"""),"LAL")</f>
        <v>LAL</v>
      </c>
      <c r="C15" s="12">
        <f>IFERROR(__xludf.DUMMYFUNCTION("""COMPUTED_VALUE"""),0.76)</f>
        <v>0.76</v>
      </c>
      <c r="D15" s="1"/>
      <c r="E15" s="1" t="str">
        <f>IFERROR(__xludf.DUMMYFUNCTION("""COMPUTED_VALUE"""),"Quinndary Weatherspoon")</f>
        <v>Quinndary Weatherspoon</v>
      </c>
      <c r="F15" s="8">
        <f t="shared" si="1"/>
        <v>4.803666667</v>
      </c>
      <c r="G15" s="9">
        <f>IFERROR(__xludf.DUMMYFUNCTION("""COMPUTED_VALUE"""),24.0183333333333)</f>
        <v>24.01833333</v>
      </c>
      <c r="H15" s="2">
        <f>IFERROR(__xludf.DUMMYFUNCTION("""COMPUTED_VALUE"""),5.0)</f>
        <v>5</v>
      </c>
      <c r="I15" s="2" t="str">
        <f>IFERROR(__xludf.DUMMYFUNCTION("""COMPUTED_VALUE"""),"SG")</f>
        <v>SG</v>
      </c>
      <c r="J15" s="2">
        <f>IFERROR(__xludf.DUMMYFUNCTION("""COMPUTED_VALUE"""),24.0)</f>
        <v>24</v>
      </c>
      <c r="K15" s="10">
        <f>IFERROR(__xludf.DUMMYFUNCTION("""COMPUTED_VALUE"""),-1.2856009143987)</f>
        <v>-1.285600914</v>
      </c>
      <c r="L15" s="10">
        <f>IFERROR(__xludf.DUMMYFUNCTION("""COMPUTED_VALUE"""),-0.790219287135695)</f>
        <v>-0.7902192871</v>
      </c>
      <c r="M15" s="10">
        <f>IFERROR(__xludf.DUMMYFUNCTION("""COMPUTED_VALUE"""),-0.495381627263004)</f>
        <v>-0.4953816273</v>
      </c>
      <c r="N15" s="11">
        <f>IFERROR(__xludf.DUMMYFUNCTION("""COMPUTED_VALUE"""),0.016258302743289984)</f>
        <v>0.01625830274</v>
      </c>
      <c r="O15" s="1"/>
      <c r="P15" s="1" t="s">
        <v>29</v>
      </c>
      <c r="Q15" s="12">
        <f>IFERROR(__xludf.DUMMYFUNCTION("iferror(round(correl(filter(Data!J:J,Data!C:C=C$3,Data!D:D=P15,Data!F:F&gt;=250),filter(Data!N:N,Data!C:C=C$3,Data!D:D=P15,Data!F:F&gt;=250)),2),"""")"),-0.35)</f>
        <v>-0.35</v>
      </c>
    </row>
    <row r="16">
      <c r="A16" s="1"/>
      <c r="B16" s="2" t="str">
        <f>IFERROR(__xludf.DUMMYFUNCTION("""COMPUTED_VALUE"""),"POR")</f>
        <v>POR</v>
      </c>
      <c r="C16" s="12">
        <f>IFERROR(__xludf.DUMMYFUNCTION("""COMPUTED_VALUE"""),0.75)</f>
        <v>0.75</v>
      </c>
      <c r="D16" s="1"/>
      <c r="E16" s="1" t="str">
        <f>IFERROR(__xludf.DUMMYFUNCTION("""COMPUTED_VALUE"""),"Keita Bates-Diop")</f>
        <v>Keita Bates-Diop</v>
      </c>
      <c r="F16" s="8">
        <f t="shared" si="1"/>
        <v>3.342083333</v>
      </c>
      <c r="G16" s="9">
        <f>IFERROR(__xludf.DUMMYFUNCTION("""COMPUTED_VALUE"""),26.7366666666667)</f>
        <v>26.73666667</v>
      </c>
      <c r="H16" s="2">
        <f>IFERROR(__xludf.DUMMYFUNCTION("""COMPUTED_VALUE"""),8.0)</f>
        <v>8</v>
      </c>
      <c r="I16" s="2" t="str">
        <f>IFERROR(__xludf.DUMMYFUNCTION("""COMPUTED_VALUE"""),"SF")</f>
        <v>SF</v>
      </c>
      <c r="J16" s="2">
        <f>IFERROR(__xludf.DUMMYFUNCTION("""COMPUTED_VALUE"""),25.0)</f>
        <v>25</v>
      </c>
      <c r="K16" s="10">
        <f>IFERROR(__xludf.DUMMYFUNCTION("""COMPUTED_VALUE"""),-1.28704606855008)</f>
        <v>-1.287046069</v>
      </c>
      <c r="L16" s="10">
        <f>IFERROR(__xludf.DUMMYFUNCTION("""COMPUTED_VALUE"""),-0.771375926775955)</f>
        <v>-0.7713759268</v>
      </c>
      <c r="M16" s="10">
        <f>IFERROR(__xludf.DUMMYFUNCTION("""COMPUTED_VALUE"""),-0.515670141774129)</f>
        <v>-0.5156701418</v>
      </c>
      <c r="N16" s="11">
        <f>IFERROR(__xludf.DUMMYFUNCTION("""COMPUTED_VALUE"""),0.01807250478485396)</f>
        <v>0.01807250478</v>
      </c>
      <c r="O16" s="1"/>
      <c r="P16" s="1" t="s">
        <v>30</v>
      </c>
      <c r="Q16" s="12">
        <f>IFERROR(__xludf.DUMMYFUNCTION("iferror(round(correl(filter(Data!J:J,Data!C:C=C$3,Data!D:D=P16,Data!F:F&gt;=250),filter(Data!N:N,Data!C:C=C$3,Data!D:D=P16,Data!F:F&gt;=250)),2),"""")"),0.67)</f>
        <v>0.67</v>
      </c>
    </row>
    <row r="17">
      <c r="A17" s="1"/>
      <c r="B17" s="2" t="str">
        <f>IFERROR(__xludf.DUMMYFUNCTION("""COMPUTED_VALUE"""),"LAC")</f>
        <v>LAC</v>
      </c>
      <c r="C17" s="12">
        <f>IFERROR(__xludf.DUMMYFUNCTION("""COMPUTED_VALUE"""),0.73)</f>
        <v>0.73</v>
      </c>
      <c r="D17" s="1"/>
      <c r="E17" s="1" t="str">
        <f>IFERROR(__xludf.DUMMYFUNCTION("""COMPUTED_VALUE"""),"Tre Jones")</f>
        <v>Tre Jones</v>
      </c>
      <c r="F17" s="8">
        <f t="shared" si="1"/>
        <v>2.948518519</v>
      </c>
      <c r="G17" s="9">
        <f>IFERROR(__xludf.DUMMYFUNCTION("""COMPUTED_VALUE"""),26.5366666666667)</f>
        <v>26.53666667</v>
      </c>
      <c r="H17" s="2">
        <f>IFERROR(__xludf.DUMMYFUNCTION("""COMPUTED_VALUE"""),9.0)</f>
        <v>9</v>
      </c>
      <c r="I17" s="2" t="str">
        <f>IFERROR(__xludf.DUMMYFUNCTION("""COMPUTED_VALUE"""),"PG")</f>
        <v>PG</v>
      </c>
      <c r="J17" s="2">
        <f>IFERROR(__xludf.DUMMYFUNCTION("""COMPUTED_VALUE"""),21.0)</f>
        <v>21</v>
      </c>
      <c r="K17" s="10">
        <f>IFERROR(__xludf.DUMMYFUNCTION("""COMPUTED_VALUE"""),-0.60246098001489)</f>
        <v>-0.60246098</v>
      </c>
      <c r="L17" s="10">
        <f>IFERROR(__xludf.DUMMYFUNCTION("""COMPUTED_VALUE"""),-0.204511661590545)</f>
        <v>-0.2045116616</v>
      </c>
      <c r="M17" s="10">
        <f>IFERROR(__xludf.DUMMYFUNCTION("""COMPUTED_VALUE"""),-0.397949318424345)</f>
        <v>-0.3979493184</v>
      </c>
      <c r="N17" s="11">
        <f>IFERROR(__xludf.DUMMYFUNCTION("""COMPUTED_VALUE"""),0.030137646824712094)</f>
        <v>0.03013764682</v>
      </c>
      <c r="O17" s="1"/>
      <c r="P17" s="1" t="s">
        <v>31</v>
      </c>
      <c r="Q17" s="12">
        <f>IFERROR(__xludf.DUMMYFUNCTION("iferror(round(correl(filter(Data!J:J,Data!C:C=C$3,Data!D:D=P17,Data!F:F&gt;=250),filter(Data!N:N,Data!C:C=C$3,Data!D:D=P17,Data!F:F&gt;=250)),2),"""")"),0.77)</f>
        <v>0.77</v>
      </c>
    </row>
    <row r="18">
      <c r="A18" s="1"/>
      <c r="B18" s="2" t="str">
        <f>IFERROR(__xludf.DUMMYFUNCTION("""COMPUTED_VALUE"""),"BOS")</f>
        <v>BOS</v>
      </c>
      <c r="C18" s="12">
        <f>IFERROR(__xludf.DUMMYFUNCTION("""COMPUTED_VALUE"""),0.7)</f>
        <v>0.7</v>
      </c>
      <c r="D18" s="1"/>
      <c r="E18" s="1" t="str">
        <f>IFERROR(__xludf.DUMMYFUNCTION("""COMPUTED_VALUE"""),"Luka Samanic")</f>
        <v>Luka Samanic</v>
      </c>
      <c r="F18" s="8">
        <f t="shared" si="1"/>
        <v>2.68375</v>
      </c>
      <c r="G18" s="9">
        <f>IFERROR(__xludf.DUMMYFUNCTION("""COMPUTED_VALUE"""),10.735)</f>
        <v>10.735</v>
      </c>
      <c r="H18" s="2">
        <f>IFERROR(__xludf.DUMMYFUNCTION("""COMPUTED_VALUE"""),4.0)</f>
        <v>4</v>
      </c>
      <c r="I18" s="2" t="str">
        <f>IFERROR(__xludf.DUMMYFUNCTION("""COMPUTED_VALUE"""),"PF")</f>
        <v>PF</v>
      </c>
      <c r="J18" s="2">
        <f>IFERROR(__xludf.DUMMYFUNCTION("""COMPUTED_VALUE"""),21.0)</f>
        <v>21</v>
      </c>
      <c r="K18" s="10">
        <f>IFERROR(__xludf.DUMMYFUNCTION("""COMPUTED_VALUE"""),-0.598140898492056)</f>
        <v>-0.5981408985</v>
      </c>
      <c r="L18" s="10">
        <f>IFERROR(__xludf.DUMMYFUNCTION("""COMPUTED_VALUE"""),-0.226010157491021)</f>
        <v>-0.2260101575</v>
      </c>
      <c r="M18" s="10">
        <f>IFERROR(__xludf.DUMMYFUNCTION("""COMPUTED_VALUE"""),-0.372130741001035)</f>
        <v>-0.372130741</v>
      </c>
      <c r="N18" s="11">
        <f>IFERROR(__xludf.DUMMYFUNCTION("""COMPUTED_VALUE"""),0.01222294045812367)</f>
        <v>0.01222294046</v>
      </c>
      <c r="O18" s="1"/>
      <c r="P18" s="1" t="s">
        <v>32</v>
      </c>
      <c r="Q18" s="12">
        <f>IFERROR(__xludf.DUMMYFUNCTION("iferror(round(correl(filter(Data!J:J,Data!C:C=C$3,Data!D:D=P18,Data!F:F&gt;=250),filter(Data!N:N,Data!C:C=C$3,Data!D:D=P18,Data!F:F&gt;=250)),2),"""")"),0.76)</f>
        <v>0.76</v>
      </c>
    </row>
    <row r="19">
      <c r="A19" s="1"/>
      <c r="B19" s="2" t="str">
        <f>IFERROR(__xludf.DUMMYFUNCTION("""COMPUTED_VALUE"""),"GSW")</f>
        <v>GSW</v>
      </c>
      <c r="C19" s="12">
        <f>IFERROR(__xludf.DUMMYFUNCTION("""COMPUTED_VALUE"""),0.68)</f>
        <v>0.68</v>
      </c>
      <c r="D19" s="1"/>
      <c r="E19" s="1"/>
      <c r="F19" s="8" t="str">
        <f t="shared" si="1"/>
        <v/>
      </c>
      <c r="G19" s="2"/>
      <c r="H19" s="2"/>
      <c r="I19" s="2"/>
      <c r="J19" s="2"/>
      <c r="K19" s="2"/>
      <c r="L19" s="2"/>
      <c r="M19" s="2"/>
      <c r="N19" s="2"/>
      <c r="O19" s="1"/>
      <c r="P19" s="1" t="s">
        <v>33</v>
      </c>
      <c r="Q19" s="12">
        <f>IFERROR(__xludf.DUMMYFUNCTION("iferror(round(correl(filter(Data!J:J,Data!C:C=C$3,Data!D:D=P19,Data!F:F&gt;=250),filter(Data!N:N,Data!C:C=C$3,Data!D:D=P19,Data!F:F&gt;=250)),2),"""")"),0.34)</f>
        <v>0.34</v>
      </c>
    </row>
    <row r="20">
      <c r="A20" s="1"/>
      <c r="B20" s="2" t="str">
        <f>IFERROR(__xludf.DUMMYFUNCTION("""COMPUTED_VALUE"""),"PHI")</f>
        <v>PHI</v>
      </c>
      <c r="C20" s="12">
        <f>IFERROR(__xludf.DUMMYFUNCTION("""COMPUTED_VALUE"""),0.67)</f>
        <v>0.67</v>
      </c>
      <c r="D20" s="1"/>
      <c r="E20" s="1"/>
      <c r="F20" s="8" t="str">
        <f t="shared" si="1"/>
        <v/>
      </c>
      <c r="G20" s="2"/>
      <c r="H20" s="2"/>
      <c r="I20" s="2"/>
      <c r="J20" s="2"/>
      <c r="K20" s="2"/>
      <c r="L20" s="2"/>
      <c r="M20" s="2"/>
      <c r="N20" s="2"/>
      <c r="O20" s="1"/>
      <c r="P20" s="1" t="s">
        <v>34</v>
      </c>
      <c r="Q20" s="12">
        <f>IFERROR(__xludf.DUMMYFUNCTION("iferror(round(correl(filter(Data!J:J,Data!C:C=C$3,Data!D:D=P20,Data!F:F&gt;=250),filter(Data!N:N,Data!C:C=C$3,Data!D:D=P20,Data!F:F&gt;=250)),2),"""")"),0.66)</f>
        <v>0.66</v>
      </c>
    </row>
    <row r="21">
      <c r="A21" s="1"/>
      <c r="B21" s="2" t="str">
        <f>IFERROR(__xludf.DUMMYFUNCTION("""COMPUTED_VALUE"""),"DEN")</f>
        <v>DEN</v>
      </c>
      <c r="C21" s="12">
        <f>IFERROR(__xludf.DUMMYFUNCTION("""COMPUTED_VALUE"""),0.66)</f>
        <v>0.66</v>
      </c>
      <c r="D21" s="1"/>
      <c r="E21" s="1"/>
      <c r="F21" s="8" t="str">
        <f t="shared" si="1"/>
        <v/>
      </c>
      <c r="G21" s="2"/>
      <c r="H21" s="2"/>
      <c r="I21" s="2"/>
      <c r="J21" s="2"/>
      <c r="K21" s="2"/>
      <c r="L21" s="2"/>
      <c r="M21" s="2"/>
      <c r="N21" s="2"/>
      <c r="O21" s="1"/>
      <c r="P21" s="1" t="s">
        <v>35</v>
      </c>
      <c r="Q21" s="12">
        <f>IFERROR(__xludf.DUMMYFUNCTION("iferror(round(correl(filter(Data!J:J,Data!C:C=C$3,Data!D:D=P21,Data!F:F&gt;=250),filter(Data!N:N,Data!C:C=C$3,Data!D:D=P21,Data!F:F&gt;=250)),2),"""")"),0.7)</f>
        <v>0.7</v>
      </c>
    </row>
    <row r="22">
      <c r="A22" s="1"/>
      <c r="B22" s="2" t="str">
        <f>IFERROR(__xludf.DUMMYFUNCTION("""COMPUTED_VALUE"""),"PHO")</f>
        <v>PHO</v>
      </c>
      <c r="C22" s="12">
        <f>IFERROR(__xludf.DUMMYFUNCTION("""COMPUTED_VALUE"""),0.66)</f>
        <v>0.66</v>
      </c>
      <c r="D22" s="1"/>
      <c r="E22" s="1"/>
      <c r="F22" s="8" t="str">
        <f t="shared" si="1"/>
        <v/>
      </c>
      <c r="G22" s="2"/>
      <c r="H22" s="2"/>
      <c r="I22" s="2"/>
      <c r="J22" s="2"/>
      <c r="K22" s="2"/>
      <c r="L22" s="2"/>
      <c r="M22" s="2"/>
      <c r="N22" s="2"/>
      <c r="O22" s="1"/>
      <c r="P22" s="1" t="s">
        <v>36</v>
      </c>
      <c r="Q22" s="12">
        <f>IFERROR(__xludf.DUMMYFUNCTION("iferror(round(correl(filter(Data!J:J,Data!C:C=C$3,Data!D:D=P22,Data!F:F&gt;=250),filter(Data!N:N,Data!C:C=C$3,Data!D:D=P22,Data!F:F&gt;=250)),2),"""")"),0.75)</f>
        <v>0.75</v>
      </c>
    </row>
    <row r="23">
      <c r="A23" s="1"/>
      <c r="B23" s="2" t="str">
        <f>IFERROR(__xludf.DUMMYFUNCTION("""COMPUTED_VALUE"""),"NOP")</f>
        <v>NOP</v>
      </c>
      <c r="C23" s="12">
        <f>IFERROR(__xludf.DUMMYFUNCTION("""COMPUTED_VALUE"""),0.6)</f>
        <v>0.6</v>
      </c>
      <c r="D23" s="1"/>
      <c r="E23" s="1"/>
      <c r="F23" s="8" t="str">
        <f t="shared" si="1"/>
        <v/>
      </c>
      <c r="G23" s="2"/>
      <c r="H23" s="2"/>
      <c r="I23" s="2"/>
      <c r="J23" s="2"/>
      <c r="K23" s="2"/>
      <c r="L23" s="2"/>
      <c r="M23" s="2"/>
      <c r="N23" s="2"/>
      <c r="O23" s="1"/>
      <c r="P23" s="1" t="s">
        <v>37</v>
      </c>
      <c r="Q23" s="12">
        <f>IFERROR(__xludf.DUMMYFUNCTION("iferror(round(correl(filter(Data!J:J,Data!C:C=C$3,Data!D:D=P23,Data!F:F&gt;=250),filter(Data!N:N,Data!C:C=C$3,Data!D:D=P23,Data!F:F&gt;=250)),2),"""")"),0.16)</f>
        <v>0.16</v>
      </c>
    </row>
    <row r="24">
      <c r="A24" s="1"/>
      <c r="B24" s="2" t="str">
        <f>IFERROR(__xludf.DUMMYFUNCTION("""COMPUTED_VALUE"""),"CHO")</f>
        <v>CHO</v>
      </c>
      <c r="C24" s="12">
        <f>IFERROR(__xludf.DUMMYFUNCTION("""COMPUTED_VALUE"""),0.6)</f>
        <v>0.6</v>
      </c>
      <c r="D24" s="1"/>
      <c r="E24" s="16" t="s">
        <v>38</v>
      </c>
      <c r="F24" s="8"/>
      <c r="G24" s="2"/>
      <c r="H24" s="2"/>
      <c r="I24" s="2"/>
      <c r="J24" s="2"/>
      <c r="K24" s="2"/>
      <c r="L24" s="2"/>
      <c r="M24" s="2"/>
      <c r="N24" s="2"/>
      <c r="O24" s="1"/>
      <c r="P24" s="1" t="s">
        <v>39</v>
      </c>
      <c r="Q24" s="12">
        <f>IFERROR(__xludf.DUMMYFUNCTION("iferror(round(correl(filter(Data!J:J,Data!C:C=C$3,Data!D:D=P24,Data!F:F&gt;=250),filter(Data!N:N,Data!C:C=C$3,Data!D:D=P24,Data!F:F&gt;=250)),2),"""")"),0.59)</f>
        <v>0.59</v>
      </c>
    </row>
    <row r="25">
      <c r="A25" s="1"/>
      <c r="B25" s="2" t="str">
        <f>IFERROR(__xludf.DUMMYFUNCTION("""COMPUTED_VALUE"""),"IND")</f>
        <v>IND</v>
      </c>
      <c r="C25" s="12">
        <f>IFERROR(__xludf.DUMMYFUNCTION("""COMPUTED_VALUE"""),0.59)</f>
        <v>0.59</v>
      </c>
      <c r="D25" s="1"/>
      <c r="E25" s="1"/>
      <c r="F25" s="8" t="str">
        <f t="shared" ref="F25:F35" si="2">if(H25&lt;&gt;"",G25/H25,"")</f>
        <v/>
      </c>
      <c r="G25" s="2"/>
      <c r="H25" s="2"/>
      <c r="I25" s="2"/>
      <c r="J25" s="2"/>
      <c r="K25" s="2"/>
      <c r="L25" s="2"/>
      <c r="M25" s="2"/>
      <c r="N25" s="2"/>
      <c r="O25" s="1"/>
      <c r="P25" s="1" t="s">
        <v>40</v>
      </c>
      <c r="Q25" s="12">
        <f>IFERROR(__xludf.DUMMYFUNCTION("iferror(round(correl(filter(Data!J:J,Data!C:C=C$3,Data!D:D=P25,Data!F:F&gt;=250),filter(Data!N:N,Data!C:C=C$3,Data!D:D=P25,Data!F:F&gt;=250)),2),"""")"),0.19)</f>
        <v>0.19</v>
      </c>
    </row>
    <row r="26">
      <c r="A26" s="1"/>
      <c r="B26" s="2" t="str">
        <f>IFERROR(__xludf.DUMMYFUNCTION("""COMPUTED_VALUE"""),"WAS")</f>
        <v>WAS</v>
      </c>
      <c r="C26" s="12">
        <f>IFERROR(__xludf.DUMMYFUNCTION("""COMPUTED_VALUE"""),0.51)</f>
        <v>0.51</v>
      </c>
      <c r="D26" s="1"/>
      <c r="E26" s="1"/>
      <c r="F26" s="8" t="str">
        <f t="shared" si="2"/>
        <v/>
      </c>
      <c r="G26" s="2"/>
      <c r="H26" s="2"/>
      <c r="I26" s="2"/>
      <c r="J26" s="2"/>
      <c r="K26" s="2"/>
      <c r="L26" s="2"/>
      <c r="M26" s="2"/>
      <c r="N26" s="2"/>
      <c r="O26" s="1"/>
      <c r="P26" s="1" t="s">
        <v>41</v>
      </c>
      <c r="Q26" s="12">
        <f>IFERROR(__xludf.DUMMYFUNCTION("iferror(round(correl(filter(Data!J:J,Data!C:C=C$3,Data!D:D=P26,Data!F:F&gt;=250),filter(Data!N:N,Data!C:C=C$3,Data!D:D=P26,Data!F:F&gt;=250)),2),"""")"),0.46)</f>
        <v>0.46</v>
      </c>
    </row>
    <row r="27">
      <c r="A27" s="1"/>
      <c r="B27" s="2" t="str">
        <f>IFERROR(__xludf.DUMMYFUNCTION("""COMPUTED_VALUE"""),"NYK")</f>
        <v>NYK</v>
      </c>
      <c r="C27" s="12">
        <f>IFERROR(__xludf.DUMMYFUNCTION("""COMPUTED_VALUE"""),0.49)</f>
        <v>0.49</v>
      </c>
      <c r="D27" s="1"/>
      <c r="E27" s="1"/>
      <c r="F27" s="8" t="str">
        <f t="shared" si="2"/>
        <v/>
      </c>
      <c r="G27" s="2"/>
      <c r="H27" s="2"/>
      <c r="I27" s="2"/>
      <c r="J27" s="2"/>
      <c r="K27" s="2"/>
      <c r="L27" s="2"/>
      <c r="M27" s="2"/>
      <c r="N27" s="2"/>
      <c r="O27" s="1"/>
      <c r="P27" s="1" t="s">
        <v>42</v>
      </c>
      <c r="Q27" s="12">
        <f>IFERROR(__xludf.DUMMYFUNCTION("iferror(round(correl(filter(Data!J:J,Data!C:C=C$3,Data!D:D=P27,Data!F:F&gt;=250),filter(Data!N:N,Data!C:C=C$3,Data!D:D=P27,Data!F:F&gt;=250)),2),"""")"),0.48)</f>
        <v>0.48</v>
      </c>
    </row>
    <row r="28">
      <c r="A28" s="1"/>
      <c r="B28" s="2" t="str">
        <f>IFERROR(__xludf.DUMMYFUNCTION("""COMPUTED_VALUE"""),"ATL")</f>
        <v>ATL</v>
      </c>
      <c r="C28" s="12">
        <f>IFERROR(__xludf.DUMMYFUNCTION("""COMPUTED_VALUE"""),0.48)</f>
        <v>0.48</v>
      </c>
      <c r="D28" s="1"/>
      <c r="E28" s="1"/>
      <c r="F28" s="8" t="str">
        <f t="shared" si="2"/>
        <v/>
      </c>
      <c r="G28" s="2"/>
      <c r="H28" s="2"/>
      <c r="I28" s="2"/>
      <c r="J28" s="2"/>
      <c r="K28" s="2"/>
      <c r="L28" s="2"/>
      <c r="M28" s="2"/>
      <c r="N28" s="2"/>
      <c r="O28" s="1"/>
      <c r="P28" s="1" t="s">
        <v>43</v>
      </c>
      <c r="Q28" s="12">
        <f>IFERROR(__xludf.DUMMYFUNCTION("iferror(round(correl(filter(Data!J:J,Data!C:C=C$3,Data!D:D=P28,Data!F:F&gt;=250),filter(Data!N:N,Data!C:C=C$3,Data!D:D=P28,Data!F:F&gt;=250)),2),"""")"),0.85)</f>
        <v>0.85</v>
      </c>
    </row>
    <row r="29">
      <c r="A29" s="1"/>
      <c r="B29" s="2" t="str">
        <f>IFERROR(__xludf.DUMMYFUNCTION("""COMPUTED_VALUE"""),"DAL")</f>
        <v>DAL</v>
      </c>
      <c r="C29" s="12">
        <f>IFERROR(__xludf.DUMMYFUNCTION("""COMPUTED_VALUE"""),0.46)</f>
        <v>0.46</v>
      </c>
      <c r="D29" s="1"/>
      <c r="E29" s="1"/>
      <c r="F29" s="8" t="str">
        <f t="shared" si="2"/>
        <v/>
      </c>
      <c r="G29" s="2"/>
      <c r="H29" s="2"/>
      <c r="I29" s="2"/>
      <c r="J29" s="2"/>
      <c r="K29" s="2"/>
      <c r="L29" s="2"/>
      <c r="M29" s="2"/>
      <c r="N29" s="2"/>
      <c r="O29" s="1"/>
      <c r="P29" s="1" t="s">
        <v>44</v>
      </c>
      <c r="Q29" s="12">
        <f>IFERROR(__xludf.DUMMYFUNCTION("iferror(round(correl(filter(Data!J:J,Data!C:C=C$3,Data!D:D=P29,Data!F:F&gt;=250),filter(Data!N:N,Data!C:C=C$3,Data!D:D=P29,Data!F:F&gt;=250)),2),"""")"),0.66)</f>
        <v>0.66</v>
      </c>
    </row>
    <row r="30">
      <c r="A30" s="1"/>
      <c r="B30" s="2" t="str">
        <f>IFERROR(__xludf.DUMMYFUNCTION("""COMPUTED_VALUE"""),"UTA")</f>
        <v>UTA</v>
      </c>
      <c r="C30" s="12">
        <f>IFERROR(__xludf.DUMMYFUNCTION("""COMPUTED_VALUE"""),0.45)</f>
        <v>0.45</v>
      </c>
      <c r="D30" s="1"/>
      <c r="E30" s="1"/>
      <c r="F30" s="8" t="str">
        <f t="shared" si="2"/>
        <v/>
      </c>
      <c r="G30" s="2"/>
      <c r="H30" s="2"/>
      <c r="I30" s="2"/>
      <c r="J30" s="2"/>
      <c r="K30" s="2"/>
      <c r="L30" s="2"/>
      <c r="M30" s="2"/>
      <c r="N30" s="2"/>
      <c r="O30" s="1"/>
      <c r="P30" s="1" t="s">
        <v>45</v>
      </c>
      <c r="Q30" s="12">
        <f>IFERROR(__xludf.DUMMYFUNCTION("iferror(round(correl(filter(Data!J:J,Data!C:C=C$3,Data!D:D=P30,Data!F:F&gt;=250),filter(Data!N:N,Data!C:C=C$3,Data!D:D=P30,Data!F:F&gt;=250)),2),"""")"),0.6)</f>
        <v>0.6</v>
      </c>
    </row>
    <row r="31">
      <c r="A31" s="1"/>
      <c r="B31" s="2" t="str">
        <f>IFERROR(__xludf.DUMMYFUNCTION("""COMPUTED_VALUE"""),"MIA")</f>
        <v>MIA</v>
      </c>
      <c r="C31" s="12">
        <f>IFERROR(__xludf.DUMMYFUNCTION("""COMPUTED_VALUE"""),0.42)</f>
        <v>0.42</v>
      </c>
      <c r="D31" s="1"/>
      <c r="E31" s="1"/>
      <c r="F31" s="8" t="str">
        <f t="shared" si="2"/>
        <v/>
      </c>
      <c r="G31" s="2"/>
      <c r="H31" s="2"/>
      <c r="I31" s="2"/>
      <c r="J31" s="2"/>
      <c r="K31" s="2"/>
      <c r="L31" s="2"/>
      <c r="M31" s="2"/>
      <c r="N31" s="2"/>
      <c r="O31" s="1"/>
      <c r="P31" s="1" t="s">
        <v>46</v>
      </c>
      <c r="Q31" s="12">
        <f>IFERROR(__xludf.DUMMYFUNCTION("iferror(round(correl(filter(Data!J:J,Data!C:C=C$3,Data!D:D=P31,Data!F:F&gt;=250),filter(Data!N:N,Data!C:C=C$3,Data!D:D=P31,Data!F:F&gt;=250)),2),"""")"),0.89)</f>
        <v>0.89</v>
      </c>
    </row>
    <row r="32">
      <c r="A32" s="1"/>
      <c r="B32" s="2" t="str">
        <f>IFERROR(__xludf.DUMMYFUNCTION("""COMPUTED_VALUE"""),"ORL")</f>
        <v>ORL</v>
      </c>
      <c r="C32" s="12">
        <f>IFERROR(__xludf.DUMMYFUNCTION("""COMPUTED_VALUE"""),0.4)</f>
        <v>0.4</v>
      </c>
      <c r="D32" s="1"/>
      <c r="E32" s="1"/>
      <c r="F32" s="8" t="str">
        <f t="shared" si="2"/>
        <v/>
      </c>
      <c r="G32" s="2"/>
      <c r="H32" s="2"/>
      <c r="I32" s="2"/>
      <c r="J32" s="2"/>
      <c r="K32" s="2"/>
      <c r="L32" s="2"/>
      <c r="M32" s="2"/>
      <c r="N32" s="2"/>
      <c r="O32" s="1"/>
      <c r="P32" s="1" t="s">
        <v>47</v>
      </c>
      <c r="Q32" s="12">
        <f>IFERROR(__xludf.DUMMYFUNCTION("iferror(round(correl(filter(Data!J:J,Data!C:C=C$3,Data!D:D=P32,Data!F:F&gt;=250),filter(Data!N:N,Data!C:C=C$3,Data!D:D=P32,Data!F:F&gt;=250)),2),"""")"),0.51)</f>
        <v>0.51</v>
      </c>
    </row>
    <row r="33">
      <c r="A33" s="1"/>
      <c r="B33" s="2" t="str">
        <f>IFERROR(__xludf.DUMMYFUNCTION("""COMPUTED_VALUE"""),"MEM")</f>
        <v>MEM</v>
      </c>
      <c r="C33" s="12">
        <f>IFERROR(__xludf.DUMMYFUNCTION("""COMPUTED_VALUE"""),0.34)</f>
        <v>0.34</v>
      </c>
      <c r="D33" s="1"/>
      <c r="E33" s="1"/>
      <c r="F33" s="8" t="str">
        <f t="shared" si="2"/>
        <v/>
      </c>
      <c r="G33" s="2"/>
      <c r="H33" s="2"/>
      <c r="I33" s="2"/>
      <c r="J33" s="2"/>
      <c r="K33" s="2"/>
      <c r="L33" s="2"/>
      <c r="M33" s="2"/>
      <c r="N33" s="2"/>
      <c r="O33" s="1"/>
      <c r="P33" s="1" t="s">
        <v>1</v>
      </c>
      <c r="Q33" s="12">
        <f>IFERROR(__xludf.DUMMYFUNCTION("iferror(round(correl(filter(Data!J:J,Data!C:C=C$3,Data!D:D=P33,Data!F:F&gt;=250),filter(Data!N:N,Data!C:C=C$3,Data!D:D=P33,Data!F:F&gt;=250)),2),"""")"),0.81)</f>
        <v>0.81</v>
      </c>
    </row>
    <row r="34">
      <c r="A34" s="1"/>
      <c r="B34" s="2" t="str">
        <f>IFERROR(__xludf.DUMMYFUNCTION("""COMPUTED_VALUE"""),"SAS")</f>
        <v>SAS</v>
      </c>
      <c r="C34" s="12">
        <f>IFERROR(__xludf.DUMMYFUNCTION("""COMPUTED_VALUE"""),0.25)</f>
        <v>0.25</v>
      </c>
      <c r="D34" s="1"/>
      <c r="E34" s="1"/>
      <c r="F34" s="8" t="str">
        <f t="shared" si="2"/>
        <v/>
      </c>
      <c r="G34" s="2"/>
      <c r="H34" s="2"/>
      <c r="I34" s="2"/>
      <c r="J34" s="2"/>
      <c r="K34" s="2"/>
      <c r="L34" s="2"/>
      <c r="M34" s="2"/>
      <c r="N34" s="2"/>
      <c r="O34" s="1"/>
      <c r="P34" s="1" t="s">
        <v>48</v>
      </c>
      <c r="Q34" s="12">
        <f>IFERROR(__xludf.DUMMYFUNCTION("iferror(round(correl(filter(Data!J:J,Data!C:C=C$3,Data!D:D=P34,Data!F:F&gt;=250),filter(Data!N:N,Data!C:C=C$3,Data!D:D=P34,Data!F:F&gt;=250)),2),"""")"),0.49)</f>
        <v>0.49</v>
      </c>
    </row>
    <row r="35">
      <c r="A35" s="1"/>
      <c r="B35" s="2" t="str">
        <f>IFERROR(__xludf.DUMMYFUNCTION("""COMPUTED_VALUE"""),"OKC")</f>
        <v>OKC</v>
      </c>
      <c r="C35" s="12">
        <f>IFERROR(__xludf.DUMMYFUNCTION("""COMPUTED_VALUE"""),0.2)</f>
        <v>0.2</v>
      </c>
      <c r="D35" s="1"/>
      <c r="E35" s="1"/>
      <c r="F35" s="8" t="str">
        <f t="shared" si="2"/>
        <v/>
      </c>
      <c r="G35" s="2"/>
      <c r="H35" s="2"/>
      <c r="I35" s="2"/>
      <c r="J35" s="2"/>
      <c r="K35" s="2"/>
      <c r="L35" s="2"/>
      <c r="M35" s="2"/>
      <c r="N35" s="2"/>
      <c r="O35" s="1"/>
      <c r="P35" s="1" t="s">
        <v>49</v>
      </c>
      <c r="Q35" s="12" t="str">
        <f>IFERROR(__xludf.DUMMYFUNCTION("iferror(round(correl(filter(Data!J:J,Data!C:C=C$3,Data!D:D=P35,Data!F:F&gt;=250),filter(Data!N:N,Data!C:C=C$3,Data!D:D=P35,Data!F:F&gt;=250)),2),"""")"),"")</f>
        <v/>
      </c>
    </row>
    <row r="36">
      <c r="A36" s="1"/>
      <c r="B36" s="2" t="str">
        <f>IFERROR(__xludf.DUMMYFUNCTION("""COMPUTED_VALUE"""),"SAC")</f>
        <v>SAC</v>
      </c>
      <c r="C36" s="12">
        <f>IFERROR(__xludf.DUMMYFUNCTION("""COMPUTED_VALUE"""),0.19)</f>
        <v>0.19</v>
      </c>
      <c r="D36" s="1"/>
      <c r="E36" s="1"/>
      <c r="F36" s="2"/>
      <c r="G36" s="2"/>
      <c r="H36" s="2"/>
      <c r="I36" s="2"/>
      <c r="J36" s="2"/>
      <c r="K36" s="2"/>
      <c r="L36" s="2"/>
      <c r="M36" s="2"/>
      <c r="N36" s="2"/>
      <c r="O36" s="1"/>
      <c r="P36" s="1" t="s">
        <v>50</v>
      </c>
      <c r="Q36" s="12" t="str">
        <f>IFERROR(__xludf.DUMMYFUNCTION("iferror(round(correl(filter(Data!J:J,Data!C:C=C$3,Data!D:D=P36,Data!F:F&gt;=250),filter(Data!N:N,Data!C:C=C$3,Data!D:D=P36,Data!F:F&gt;=250)),2),"""")"),"")</f>
        <v/>
      </c>
    </row>
    <row r="37">
      <c r="A37" s="1"/>
      <c r="B37" s="2" t="str">
        <f>IFERROR(__xludf.DUMMYFUNCTION("""COMPUTED_VALUE"""),"MIN")</f>
        <v>MIN</v>
      </c>
      <c r="C37" s="12">
        <f>IFERROR(__xludf.DUMMYFUNCTION("""COMPUTED_VALUE"""),0.16)</f>
        <v>0.16</v>
      </c>
      <c r="D37" s="1"/>
      <c r="E37" s="1"/>
      <c r="F37" s="2"/>
      <c r="G37" s="2"/>
      <c r="H37" s="2"/>
      <c r="I37" s="2"/>
      <c r="J37" s="2"/>
      <c r="K37" s="2"/>
      <c r="L37" s="2"/>
      <c r="M37" s="2"/>
      <c r="N37" s="2"/>
      <c r="O37" s="1"/>
      <c r="P37" s="1"/>
      <c r="Q37" s="12" t="str">
        <f>IFERROR(__xludf.DUMMYFUNCTION("iferror(round(correl(filter(Data!I:I,Data!C:C=C$3,Data!D:D=P37),filter(Data!N:N,Data!C:C=C$3,Data!D:D=P37)),2),"""")"),"")</f>
        <v/>
      </c>
    </row>
    <row r="38">
      <c r="A38" s="1"/>
      <c r="B38" s="2" t="str">
        <f>IFERROR(__xludf.DUMMYFUNCTION("""COMPUTED_VALUE"""),"HOU")</f>
        <v>HOU</v>
      </c>
      <c r="C38" s="12">
        <f>IFERROR(__xludf.DUMMYFUNCTION("""COMPUTED_VALUE"""),0.15)</f>
        <v>0.15</v>
      </c>
      <c r="D38" s="1"/>
      <c r="E38" s="1"/>
      <c r="F38" s="2"/>
      <c r="G38" s="2"/>
      <c r="H38" s="2"/>
      <c r="I38" s="2"/>
      <c r="J38" s="2"/>
      <c r="K38" s="2"/>
      <c r="L38" s="2"/>
      <c r="M38" s="2"/>
      <c r="N38" s="2"/>
      <c r="O38" s="1"/>
      <c r="P38" s="1"/>
      <c r="Q38" s="12" t="str">
        <f>IFERROR(__xludf.DUMMYFUNCTION("iferror(round(correl(filter(Data!I:I,Data!C:C=C$3,Data!D:D=P38),filter(Data!N:N,Data!C:C=C$3,Data!D:D=P38)),2),"""")"),"")</f>
        <v/>
      </c>
    </row>
    <row r="39">
      <c r="A39" s="1"/>
      <c r="B39" s="2" t="str">
        <f>IFERROR(__xludf.DUMMYFUNCTION("""COMPUTED_VALUE"""),"CLE")</f>
        <v>CLE</v>
      </c>
      <c r="C39" s="12">
        <f>IFERROR(__xludf.DUMMYFUNCTION("""COMPUTED_VALUE"""),-0.14)</f>
        <v>-0.14</v>
      </c>
      <c r="D39" s="1"/>
      <c r="E39" s="1"/>
      <c r="F39" s="2"/>
      <c r="G39" s="2"/>
      <c r="H39" s="2"/>
      <c r="I39" s="2"/>
      <c r="J39" s="2"/>
      <c r="K39" s="2"/>
      <c r="L39" s="2"/>
      <c r="M39" s="2"/>
      <c r="N39" s="2"/>
      <c r="O39" s="1"/>
      <c r="P39" s="1"/>
      <c r="Q39" s="12" t="str">
        <f>IFERROR(__xludf.DUMMYFUNCTION("iferror(round(correl(filter(Data!I:I,Data!C:C=C$3,Data!D:D=P39),filter(Data!N:N,Data!C:C=C$3,Data!D:D=P39)),2),"""")"),"")</f>
        <v/>
      </c>
    </row>
    <row r="40">
      <c r="A40" s="1"/>
      <c r="B40" s="2" t="str">
        <f>IFERROR(__xludf.DUMMYFUNCTION("""COMPUTED_VALUE"""),"CHI")</f>
        <v>CHI</v>
      </c>
      <c r="C40" s="12">
        <f>IFERROR(__xludf.DUMMYFUNCTION("""COMPUTED_VALUE"""),-0.35)</f>
        <v>-0.35</v>
      </c>
      <c r="D40" s="1"/>
      <c r="E40" s="1"/>
      <c r="F40" s="2"/>
      <c r="G40" s="2"/>
      <c r="H40" s="2"/>
      <c r="I40" s="2"/>
      <c r="J40" s="2"/>
      <c r="K40" s="2"/>
      <c r="L40" s="2"/>
      <c r="M40" s="2"/>
      <c r="N40" s="2"/>
      <c r="O40" s="1"/>
      <c r="P40" s="1"/>
      <c r="Q40" s="12" t="str">
        <f>IFERROR(__xludf.DUMMYFUNCTION("iferror(round(correl(filter(Data!I:I,Data!C:C=C$3,Data!D:D=P40),filter(Data!E:E,Data!C:C=C$3,Data!D:D=P40)),2),"""")"),"")</f>
        <v/>
      </c>
    </row>
    <row r="41">
      <c r="A41" s="1"/>
      <c r="B41" s="2"/>
      <c r="C41" s="2"/>
      <c r="D41" s="1"/>
      <c r="E41" s="1"/>
      <c r="F41" s="2"/>
      <c r="G41" s="2"/>
      <c r="H41" s="2"/>
      <c r="I41" s="2"/>
      <c r="J41" s="2"/>
      <c r="K41" s="2"/>
      <c r="L41" s="2"/>
      <c r="M41" s="2"/>
      <c r="N41" s="2"/>
      <c r="O41" s="1"/>
      <c r="P41" s="1"/>
      <c r="Q41" s="12" t="str">
        <f>IFERROR(__xludf.DUMMYFUNCTION("iferror(round(correl(filter(Data!I:I,Data!C:C=C$3,Data!D:D=P41),filter(Data!E:E,Data!C:C=C$3,Data!D:D=P41)),2),"""")"),"")</f>
        <v/>
      </c>
    </row>
    <row r="42">
      <c r="A42" s="1"/>
      <c r="B42" s="1"/>
      <c r="C42" s="1"/>
      <c r="D42" s="1"/>
      <c r="E42" s="1"/>
      <c r="F42" s="2"/>
      <c r="G42" s="2"/>
      <c r="H42" s="2"/>
      <c r="I42" s="2"/>
      <c r="J42" s="2"/>
      <c r="K42" s="2"/>
      <c r="L42" s="2"/>
      <c r="M42" s="2"/>
      <c r="N42" s="2"/>
      <c r="O42" s="1"/>
      <c r="P42" s="1"/>
      <c r="Q42" s="12" t="str">
        <f>IFERROR(__xludf.DUMMYFUNCTION("iferror(round(correl(filter(Data!I:I,Data!C:C=C$3,Data!D:D=P42),filter(Data!E:E,Data!C:C=C$3,Data!D:D=P42)),2),"""")"),"")</f>
        <v/>
      </c>
    </row>
    <row r="43">
      <c r="A43" s="1"/>
      <c r="B43" s="1"/>
      <c r="C43" s="1"/>
      <c r="D43" s="1"/>
      <c r="E43" s="1"/>
      <c r="F43" s="2"/>
      <c r="G43" s="2"/>
      <c r="H43" s="2"/>
      <c r="I43" s="2"/>
      <c r="J43" s="2"/>
      <c r="K43" s="2"/>
      <c r="L43" s="2"/>
      <c r="M43" s="2"/>
      <c r="N43" s="2"/>
      <c r="O43" s="1"/>
      <c r="P43" s="1"/>
      <c r="Q43" s="12" t="str">
        <f>IFERROR(__xludf.DUMMYFUNCTION("iferror(round(correl(filter(Data!I:I,Data!C:C=C$3,Data!D:D=P43),filter(Data!E:E,Data!C:C=C$3,Data!D:D=P43)),2),"""")"),"")</f>
        <v/>
      </c>
    </row>
    <row r="44">
      <c r="A44" s="1"/>
      <c r="B44" s="1"/>
      <c r="C44" s="1"/>
      <c r="D44" s="1"/>
      <c r="E44" s="1"/>
      <c r="F44" s="2"/>
      <c r="G44" s="2"/>
      <c r="H44" s="2"/>
      <c r="I44" s="2"/>
      <c r="J44" s="2"/>
      <c r="K44" s="2"/>
      <c r="L44" s="2"/>
      <c r="M44" s="2"/>
      <c r="N44" s="2"/>
      <c r="O44" s="1"/>
      <c r="P44" s="1"/>
      <c r="Q44" s="12" t="str">
        <f>IFERROR(__xludf.DUMMYFUNCTION("iferror(round(correl(filter(Data!I:I,Data!C:C=C$3,Data!D:D=P44),filter(Data!E:E,Data!C:C=C$3,Data!D:D=P44)),2),"""")"),"")</f>
        <v/>
      </c>
    </row>
    <row r="45">
      <c r="A45" s="1"/>
      <c r="B45" s="1"/>
      <c r="C45" s="1"/>
      <c r="D45" s="1"/>
      <c r="E45" s="1"/>
      <c r="F45" s="2"/>
      <c r="G45" s="2"/>
      <c r="H45" s="2"/>
      <c r="I45" s="2"/>
      <c r="J45" s="2"/>
      <c r="K45" s="2"/>
      <c r="L45" s="2"/>
      <c r="M45" s="2"/>
      <c r="N45" s="2"/>
      <c r="O45" s="1"/>
      <c r="P45" s="1"/>
      <c r="Q45" s="1"/>
    </row>
    <row r="46">
      <c r="A46" s="1"/>
      <c r="B46" s="1"/>
      <c r="C46" s="1"/>
      <c r="D46" s="1"/>
      <c r="E46" s="1"/>
      <c r="F46" s="2"/>
      <c r="G46" s="2"/>
      <c r="H46" s="2"/>
      <c r="I46" s="2"/>
      <c r="J46" s="2"/>
      <c r="K46" s="2"/>
      <c r="L46" s="2"/>
      <c r="M46" s="2"/>
      <c r="N46" s="2"/>
      <c r="O46" s="1"/>
      <c r="P46" s="1"/>
      <c r="Q46" s="1"/>
    </row>
    <row r="47">
      <c r="A47" s="1"/>
      <c r="B47" s="1"/>
      <c r="C47" s="1"/>
      <c r="D47" s="1"/>
      <c r="E47" s="1"/>
      <c r="F47" s="2"/>
      <c r="G47" s="2"/>
      <c r="H47" s="2"/>
      <c r="I47" s="2"/>
      <c r="J47" s="2"/>
      <c r="K47" s="2"/>
      <c r="L47" s="2"/>
      <c r="M47" s="2"/>
      <c r="N47" s="2"/>
      <c r="O47" s="1"/>
      <c r="P47" s="1"/>
      <c r="Q47" s="1"/>
    </row>
    <row r="48">
      <c r="A48" s="1"/>
      <c r="B48" s="1"/>
      <c r="C48" s="1"/>
      <c r="D48" s="1"/>
      <c r="E48" s="1"/>
      <c r="F48" s="2"/>
      <c r="G48" s="2"/>
      <c r="H48" s="2"/>
      <c r="I48" s="2"/>
      <c r="J48" s="2"/>
      <c r="K48" s="2"/>
      <c r="L48" s="2"/>
      <c r="M48" s="2"/>
      <c r="N48" s="2"/>
      <c r="O48" s="1"/>
      <c r="P48" s="1"/>
      <c r="Q48" s="1"/>
    </row>
    <row r="49">
      <c r="A49" s="1"/>
      <c r="B49" s="1"/>
      <c r="C49" s="1"/>
      <c r="D49" s="1"/>
      <c r="E49" s="1"/>
      <c r="F49" s="2"/>
      <c r="G49" s="2"/>
      <c r="H49" s="2"/>
      <c r="I49" s="2"/>
      <c r="J49" s="2"/>
      <c r="K49" s="2"/>
      <c r="L49" s="2"/>
      <c r="M49" s="2"/>
      <c r="N49" s="2"/>
      <c r="O49" s="1"/>
      <c r="P49" s="1"/>
      <c r="Q49" s="1"/>
    </row>
    <row r="50">
      <c r="A50" s="1"/>
      <c r="B50" s="1"/>
      <c r="C50" s="1"/>
      <c r="D50" s="1"/>
      <c r="E50" s="1"/>
      <c r="F50" s="2"/>
      <c r="G50" s="2"/>
      <c r="H50" s="2"/>
      <c r="I50" s="2"/>
      <c r="J50" s="2"/>
      <c r="K50" s="2"/>
      <c r="L50" s="2"/>
      <c r="M50" s="2"/>
      <c r="N50" s="2"/>
      <c r="O50" s="1"/>
      <c r="P50" s="1"/>
      <c r="Q50" s="1"/>
    </row>
    <row r="51">
      <c r="A51" s="1"/>
      <c r="B51" s="1"/>
      <c r="C51" s="1"/>
      <c r="D51" s="1"/>
      <c r="E51" s="1"/>
      <c r="F51" s="2"/>
      <c r="G51" s="2"/>
      <c r="H51" s="2"/>
      <c r="I51" s="2"/>
      <c r="J51" s="2"/>
      <c r="K51" s="2"/>
      <c r="L51" s="2"/>
      <c r="M51" s="2"/>
      <c r="N51" s="2"/>
      <c r="O51" s="1"/>
      <c r="P51" s="1"/>
      <c r="Q51" s="1"/>
    </row>
    <row r="52">
      <c r="A52" s="1"/>
      <c r="B52" s="1"/>
      <c r="C52" s="1"/>
      <c r="D52" s="1"/>
      <c r="E52" s="1"/>
      <c r="F52" s="2"/>
      <c r="G52" s="2"/>
      <c r="H52" s="2"/>
      <c r="I52" s="2"/>
      <c r="J52" s="2"/>
      <c r="K52" s="2"/>
      <c r="L52" s="2"/>
      <c r="M52" s="2"/>
      <c r="N52" s="2"/>
      <c r="O52" s="1"/>
      <c r="P52" s="1"/>
      <c r="Q52" s="1"/>
    </row>
    <row r="53">
      <c r="A53" s="1"/>
      <c r="B53" s="1"/>
      <c r="C53" s="1"/>
      <c r="D53" s="1"/>
      <c r="E53" s="1"/>
      <c r="F53" s="2"/>
      <c r="G53" s="2"/>
      <c r="H53" s="2"/>
      <c r="I53" s="2"/>
      <c r="J53" s="2"/>
      <c r="K53" s="2"/>
      <c r="L53" s="2"/>
      <c r="M53" s="2"/>
      <c r="N53" s="2"/>
      <c r="O53" s="1"/>
      <c r="P53" s="1"/>
      <c r="Q53" s="1"/>
    </row>
    <row r="54">
      <c r="A54" s="1"/>
      <c r="B54" s="1"/>
      <c r="C54" s="1"/>
      <c r="D54" s="1"/>
      <c r="E54" s="1"/>
      <c r="F54" s="2"/>
      <c r="G54" s="2"/>
      <c r="H54" s="2"/>
      <c r="I54" s="2"/>
      <c r="J54" s="2"/>
      <c r="K54" s="2"/>
      <c r="L54" s="2"/>
      <c r="M54" s="2"/>
      <c r="N54" s="2"/>
      <c r="O54" s="1"/>
      <c r="P54" s="1"/>
      <c r="Q54" s="1"/>
    </row>
    <row r="55">
      <c r="A55" s="1"/>
      <c r="B55" s="1"/>
      <c r="C55" s="1"/>
      <c r="D55" s="1"/>
      <c r="E55" s="1"/>
      <c r="F55" s="2"/>
      <c r="G55" s="2"/>
      <c r="H55" s="2"/>
      <c r="I55" s="2"/>
      <c r="J55" s="2"/>
      <c r="K55" s="2"/>
      <c r="L55" s="2"/>
      <c r="M55" s="2"/>
      <c r="N55" s="2"/>
      <c r="O55" s="1"/>
      <c r="P55" s="1"/>
      <c r="Q55" s="1"/>
    </row>
    <row r="56">
      <c r="A56" s="1"/>
      <c r="B56" s="1"/>
      <c r="C56" s="1"/>
      <c r="D56" s="1"/>
      <c r="E56" s="1"/>
      <c r="F56" s="2"/>
      <c r="G56" s="2"/>
      <c r="H56" s="2"/>
      <c r="I56" s="2"/>
      <c r="J56" s="2"/>
      <c r="K56" s="2"/>
      <c r="L56" s="2"/>
      <c r="M56" s="2"/>
      <c r="N56" s="2"/>
      <c r="O56" s="1"/>
      <c r="P56" s="1"/>
      <c r="Q56" s="1"/>
    </row>
    <row r="57">
      <c r="A57" s="1"/>
      <c r="B57" s="1"/>
      <c r="C57" s="1"/>
      <c r="D57" s="1"/>
      <c r="E57" s="1"/>
      <c r="F57" s="2"/>
      <c r="G57" s="2"/>
      <c r="H57" s="2"/>
      <c r="I57" s="2"/>
      <c r="J57" s="2"/>
      <c r="K57" s="2"/>
      <c r="L57" s="2"/>
      <c r="M57" s="2"/>
      <c r="N57" s="2"/>
      <c r="O57" s="1"/>
      <c r="P57" s="1"/>
      <c r="Q57" s="1"/>
    </row>
    <row r="58">
      <c r="A58" s="1"/>
      <c r="B58" s="1"/>
      <c r="C58" s="1"/>
      <c r="D58" s="1"/>
      <c r="E58" s="1"/>
      <c r="F58" s="2"/>
      <c r="G58" s="2"/>
      <c r="H58" s="2"/>
      <c r="I58" s="2"/>
      <c r="J58" s="2"/>
      <c r="K58" s="2"/>
      <c r="L58" s="2"/>
      <c r="M58" s="2"/>
      <c r="N58" s="2"/>
      <c r="O58" s="1"/>
      <c r="P58" s="1"/>
      <c r="Q58" s="1"/>
    </row>
    <row r="59">
      <c r="A59" s="1"/>
      <c r="B59" s="1"/>
      <c r="C59" s="1"/>
      <c r="D59" s="1"/>
      <c r="E59" s="1"/>
      <c r="F59" s="2"/>
      <c r="G59" s="2"/>
      <c r="H59" s="2"/>
      <c r="I59" s="2"/>
      <c r="J59" s="2"/>
      <c r="K59" s="2"/>
      <c r="L59" s="2"/>
      <c r="M59" s="2"/>
      <c r="N59" s="2"/>
      <c r="O59" s="1"/>
      <c r="P59" s="1"/>
      <c r="Q59" s="1"/>
    </row>
    <row r="60">
      <c r="A60" s="1"/>
      <c r="B60" s="1"/>
      <c r="C60" s="1"/>
      <c r="D60" s="1"/>
      <c r="E60" s="1"/>
      <c r="F60" s="2"/>
      <c r="G60" s="2"/>
      <c r="H60" s="2"/>
      <c r="I60" s="2"/>
      <c r="J60" s="2"/>
      <c r="K60" s="2"/>
      <c r="L60" s="2"/>
      <c r="M60" s="2"/>
      <c r="N60" s="2"/>
      <c r="O60" s="1"/>
      <c r="P60" s="1"/>
      <c r="Q60" s="1"/>
    </row>
    <row r="61">
      <c r="A61" s="1"/>
      <c r="B61" s="1"/>
      <c r="C61" s="1"/>
      <c r="D61" s="1"/>
      <c r="E61" s="1"/>
      <c r="F61" s="2"/>
      <c r="G61" s="2"/>
      <c r="H61" s="2"/>
      <c r="I61" s="2"/>
      <c r="J61" s="2"/>
      <c r="K61" s="2"/>
      <c r="L61" s="2"/>
      <c r="M61" s="2"/>
      <c r="N61" s="2"/>
      <c r="O61" s="1"/>
      <c r="P61" s="1"/>
      <c r="Q61" s="1"/>
    </row>
    <row r="62">
      <c r="A62" s="1"/>
      <c r="B62" s="1"/>
      <c r="C62" s="1"/>
      <c r="D62" s="1"/>
      <c r="E62" s="1"/>
      <c r="F62" s="2"/>
      <c r="G62" s="2"/>
      <c r="H62" s="2"/>
      <c r="I62" s="2"/>
      <c r="J62" s="2"/>
      <c r="K62" s="2"/>
      <c r="L62" s="2"/>
      <c r="M62" s="2"/>
      <c r="N62" s="2"/>
      <c r="O62" s="1"/>
      <c r="P62" s="1"/>
      <c r="Q62" s="1"/>
    </row>
    <row r="63">
      <c r="A63" s="1"/>
      <c r="B63" s="1"/>
      <c r="C63" s="1"/>
      <c r="D63" s="1"/>
      <c r="E63" s="1"/>
      <c r="F63" s="2"/>
      <c r="G63" s="2"/>
      <c r="H63" s="2"/>
      <c r="I63" s="2"/>
      <c r="J63" s="2"/>
      <c r="K63" s="2"/>
      <c r="L63" s="2"/>
      <c r="M63" s="2"/>
      <c r="N63" s="2"/>
      <c r="O63" s="1"/>
      <c r="P63" s="1"/>
      <c r="Q63" s="1"/>
    </row>
    <row r="64">
      <c r="A64" s="1"/>
      <c r="B64" s="1"/>
      <c r="C64" s="1"/>
      <c r="D64" s="1"/>
      <c r="E64" s="1"/>
      <c r="F64" s="2"/>
      <c r="G64" s="2"/>
      <c r="H64" s="2"/>
      <c r="I64" s="2"/>
      <c r="J64" s="2"/>
      <c r="K64" s="2"/>
      <c r="L64" s="2"/>
      <c r="M64" s="2"/>
      <c r="N64" s="2"/>
      <c r="O64" s="1"/>
      <c r="P64" s="1"/>
      <c r="Q64" s="1"/>
    </row>
    <row r="65">
      <c r="A65" s="1"/>
      <c r="B65" s="1"/>
      <c r="C65" s="1"/>
      <c r="D65" s="1"/>
      <c r="E65" s="1"/>
      <c r="F65" s="2"/>
      <c r="G65" s="2"/>
      <c r="H65" s="2"/>
      <c r="I65" s="2"/>
      <c r="J65" s="2"/>
      <c r="K65" s="2"/>
      <c r="L65" s="2"/>
      <c r="M65" s="2"/>
      <c r="N65" s="2"/>
      <c r="O65" s="1"/>
      <c r="P65" s="1"/>
      <c r="Q65" s="1"/>
    </row>
    <row r="66">
      <c r="A66" s="1"/>
      <c r="B66" s="1"/>
      <c r="C66" s="1"/>
      <c r="D66" s="1"/>
      <c r="E66" s="1"/>
      <c r="F66" s="2"/>
      <c r="G66" s="2"/>
      <c r="H66" s="2"/>
      <c r="I66" s="2"/>
      <c r="J66" s="2"/>
      <c r="K66" s="2"/>
      <c r="L66" s="2"/>
      <c r="M66" s="2"/>
      <c r="N66" s="2"/>
      <c r="O66" s="1"/>
      <c r="P66" s="1"/>
      <c r="Q66" s="1"/>
    </row>
    <row r="67">
      <c r="A67" s="1"/>
      <c r="B67" s="1"/>
      <c r="C67" s="1"/>
      <c r="D67" s="1"/>
      <c r="E67" s="1"/>
      <c r="F67" s="2"/>
      <c r="G67" s="2"/>
      <c r="H67" s="2"/>
      <c r="I67" s="2"/>
      <c r="J67" s="2"/>
      <c r="K67" s="2"/>
      <c r="L67" s="2"/>
      <c r="M67" s="2"/>
      <c r="N67" s="2"/>
      <c r="O67" s="1"/>
      <c r="P67" s="1"/>
      <c r="Q67" s="1"/>
    </row>
    <row r="68">
      <c r="A68" s="1"/>
      <c r="B68" s="1"/>
      <c r="C68" s="1"/>
      <c r="D68" s="1"/>
      <c r="E68" s="1"/>
      <c r="F68" s="2"/>
      <c r="G68" s="2"/>
      <c r="H68" s="2"/>
      <c r="I68" s="2"/>
      <c r="J68" s="2"/>
      <c r="K68" s="2"/>
      <c r="L68" s="2"/>
      <c r="M68" s="2"/>
      <c r="N68" s="2"/>
      <c r="O68" s="1"/>
      <c r="P68" s="1"/>
      <c r="Q68" s="1"/>
    </row>
    <row r="69">
      <c r="A69" s="1"/>
      <c r="B69" s="1"/>
      <c r="C69" s="1"/>
      <c r="D69" s="1"/>
      <c r="E69" s="1"/>
      <c r="F69" s="2"/>
      <c r="G69" s="2"/>
      <c r="H69" s="2"/>
      <c r="I69" s="2"/>
      <c r="J69" s="2"/>
      <c r="K69" s="2"/>
      <c r="L69" s="2"/>
      <c r="M69" s="2"/>
      <c r="N69" s="2"/>
      <c r="O69" s="1"/>
      <c r="P69" s="1"/>
      <c r="Q69" s="1"/>
    </row>
    <row r="70">
      <c r="A70" s="1"/>
      <c r="B70" s="1"/>
      <c r="C70" s="1"/>
      <c r="D70" s="1"/>
      <c r="E70" s="1"/>
      <c r="F70" s="2"/>
      <c r="G70" s="2"/>
      <c r="H70" s="2"/>
      <c r="I70" s="2"/>
      <c r="J70" s="2"/>
      <c r="K70" s="2"/>
      <c r="L70" s="2"/>
      <c r="M70" s="2"/>
      <c r="N70" s="2"/>
      <c r="O70" s="1"/>
      <c r="P70" s="1"/>
      <c r="Q70" s="1"/>
    </row>
    <row r="71">
      <c r="A71" s="1"/>
      <c r="B71" s="1"/>
      <c r="C71" s="1"/>
      <c r="D71" s="1"/>
      <c r="E71" s="1"/>
      <c r="F71" s="2"/>
      <c r="G71" s="2"/>
      <c r="H71" s="2"/>
      <c r="I71" s="2"/>
      <c r="J71" s="2"/>
      <c r="K71" s="2"/>
      <c r="L71" s="2"/>
      <c r="M71" s="2"/>
      <c r="N71" s="2"/>
      <c r="O71" s="1"/>
      <c r="P71" s="1"/>
      <c r="Q71" s="1"/>
    </row>
    <row r="72">
      <c r="A72" s="1"/>
      <c r="B72" s="1"/>
      <c r="C72" s="1"/>
      <c r="D72" s="1"/>
      <c r="E72" s="1"/>
      <c r="F72" s="2"/>
      <c r="G72" s="2"/>
      <c r="H72" s="2"/>
      <c r="I72" s="2"/>
      <c r="J72" s="2"/>
      <c r="K72" s="2"/>
      <c r="L72" s="2"/>
      <c r="M72" s="2"/>
      <c r="N72" s="2"/>
      <c r="O72" s="1"/>
      <c r="P72" s="1"/>
      <c r="Q72" s="1"/>
    </row>
    <row r="73">
      <c r="A73" s="1"/>
      <c r="B73" s="1"/>
      <c r="C73" s="1"/>
      <c r="D73" s="1"/>
      <c r="E73" s="1"/>
      <c r="F73" s="2"/>
      <c r="G73" s="2"/>
      <c r="H73" s="2"/>
      <c r="I73" s="2"/>
      <c r="J73" s="2"/>
      <c r="K73" s="2"/>
      <c r="L73" s="2"/>
      <c r="M73" s="2"/>
      <c r="N73" s="2"/>
      <c r="O73" s="1"/>
      <c r="P73" s="1"/>
      <c r="Q73" s="1"/>
    </row>
    <row r="74">
      <c r="A74" s="1"/>
      <c r="B74" s="1"/>
      <c r="C74" s="1"/>
      <c r="D74" s="1"/>
      <c r="E74" s="1"/>
      <c r="F74" s="2"/>
      <c r="G74" s="2"/>
      <c r="H74" s="2"/>
      <c r="I74" s="2"/>
      <c r="J74" s="2"/>
      <c r="K74" s="2"/>
      <c r="L74" s="2"/>
      <c r="M74" s="2"/>
      <c r="N74" s="2"/>
      <c r="O74" s="1"/>
      <c r="P74" s="1"/>
      <c r="Q74" s="1"/>
    </row>
    <row r="75">
      <c r="A75" s="1"/>
      <c r="B75" s="1"/>
      <c r="C75" s="1"/>
      <c r="D75" s="1"/>
      <c r="E75" s="1"/>
      <c r="F75" s="2"/>
      <c r="G75" s="2"/>
      <c r="H75" s="2"/>
      <c r="I75" s="2"/>
      <c r="J75" s="2"/>
      <c r="K75" s="2"/>
      <c r="L75" s="2"/>
      <c r="M75" s="2"/>
      <c r="N75" s="2"/>
      <c r="O75" s="1"/>
      <c r="P75" s="1"/>
      <c r="Q75" s="1"/>
    </row>
    <row r="76">
      <c r="A76" s="1"/>
      <c r="B76" s="1"/>
      <c r="C76" s="1"/>
      <c r="D76" s="1"/>
      <c r="E76" s="1"/>
      <c r="F76" s="2"/>
      <c r="G76" s="2"/>
      <c r="H76" s="2"/>
      <c r="I76" s="2"/>
      <c r="J76" s="2"/>
      <c r="K76" s="2"/>
      <c r="L76" s="2"/>
      <c r="M76" s="2"/>
      <c r="N76" s="2"/>
      <c r="O76" s="1"/>
      <c r="P76" s="1"/>
      <c r="Q76" s="1"/>
    </row>
    <row r="77">
      <c r="A77" s="1"/>
      <c r="B77" s="1"/>
      <c r="C77" s="1"/>
      <c r="D77" s="1"/>
      <c r="E77" s="1"/>
      <c r="F77" s="2"/>
      <c r="G77" s="2"/>
      <c r="H77" s="2"/>
      <c r="I77" s="2"/>
      <c r="J77" s="2"/>
      <c r="K77" s="2"/>
      <c r="L77" s="2"/>
      <c r="M77" s="2"/>
      <c r="N77" s="2"/>
      <c r="O77" s="1"/>
      <c r="P77" s="1"/>
      <c r="Q77" s="1"/>
    </row>
    <row r="78">
      <c r="A78" s="1"/>
      <c r="B78" s="1"/>
      <c r="C78" s="1"/>
      <c r="D78" s="1"/>
      <c r="E78" s="1"/>
      <c r="F78" s="2"/>
      <c r="G78" s="2"/>
      <c r="H78" s="2"/>
      <c r="I78" s="2"/>
      <c r="J78" s="2"/>
      <c r="K78" s="2"/>
      <c r="L78" s="2"/>
      <c r="M78" s="2"/>
      <c r="N78" s="2"/>
      <c r="O78" s="1"/>
      <c r="P78" s="1"/>
      <c r="Q78" s="1"/>
    </row>
    <row r="79">
      <c r="A79" s="1"/>
      <c r="B79" s="1"/>
      <c r="C79" s="1"/>
      <c r="D79" s="1"/>
      <c r="E79" s="1"/>
      <c r="F79" s="2"/>
      <c r="G79" s="2"/>
      <c r="H79" s="2"/>
      <c r="I79" s="2"/>
      <c r="J79" s="2"/>
      <c r="K79" s="2"/>
      <c r="L79" s="2"/>
      <c r="M79" s="2"/>
      <c r="N79" s="2"/>
      <c r="O79" s="1"/>
      <c r="P79" s="1"/>
      <c r="Q79" s="1"/>
    </row>
    <row r="80">
      <c r="A80" s="1"/>
      <c r="B80" s="1"/>
      <c r="C80" s="1"/>
      <c r="D80" s="1"/>
      <c r="E80" s="1"/>
      <c r="F80" s="2"/>
      <c r="G80" s="2"/>
      <c r="H80" s="2"/>
      <c r="I80" s="2"/>
      <c r="J80" s="2"/>
      <c r="K80" s="2"/>
      <c r="L80" s="2"/>
      <c r="M80" s="2"/>
      <c r="N80" s="2"/>
      <c r="O80" s="1"/>
      <c r="P80" s="1"/>
      <c r="Q80" s="1"/>
    </row>
    <row r="81">
      <c r="A81" s="1"/>
      <c r="B81" s="1"/>
      <c r="C81" s="1"/>
      <c r="D81" s="1"/>
      <c r="E81" s="1"/>
      <c r="F81" s="2"/>
      <c r="G81" s="2"/>
      <c r="H81" s="2"/>
      <c r="I81" s="2"/>
      <c r="J81" s="2"/>
      <c r="K81" s="2"/>
      <c r="L81" s="2"/>
      <c r="M81" s="2"/>
      <c r="N81" s="2"/>
      <c r="O81" s="1"/>
      <c r="P81" s="1"/>
      <c r="Q81" s="1"/>
    </row>
    <row r="82">
      <c r="A82" s="1"/>
      <c r="B82" s="1"/>
      <c r="C82" s="1"/>
      <c r="D82" s="1"/>
      <c r="E82" s="1"/>
      <c r="F82" s="2"/>
      <c r="G82" s="2"/>
      <c r="H82" s="2"/>
      <c r="I82" s="2"/>
      <c r="J82" s="2"/>
      <c r="K82" s="2"/>
      <c r="L82" s="2"/>
      <c r="M82" s="2"/>
      <c r="N82" s="2"/>
      <c r="O82" s="1"/>
      <c r="P82" s="1"/>
      <c r="Q82" s="1"/>
    </row>
    <row r="83">
      <c r="A83" s="1"/>
      <c r="B83" s="1"/>
      <c r="C83" s="1"/>
      <c r="D83" s="1"/>
      <c r="E83" s="1"/>
      <c r="F83" s="2"/>
      <c r="G83" s="2"/>
      <c r="H83" s="2"/>
      <c r="I83" s="2"/>
      <c r="J83" s="2"/>
      <c r="K83" s="2"/>
      <c r="L83" s="2"/>
      <c r="M83" s="2"/>
      <c r="N83" s="2"/>
      <c r="O83" s="1"/>
      <c r="P83" s="1"/>
      <c r="Q83" s="1"/>
    </row>
    <row r="84">
      <c r="A84" s="1"/>
      <c r="B84" s="1"/>
      <c r="C84" s="1"/>
      <c r="D84" s="1"/>
      <c r="E84" s="1"/>
      <c r="F84" s="2"/>
      <c r="G84" s="2"/>
      <c r="H84" s="2"/>
      <c r="I84" s="2"/>
      <c r="J84" s="2"/>
      <c r="K84" s="2"/>
      <c r="L84" s="2"/>
      <c r="M84" s="2"/>
      <c r="N84" s="2"/>
      <c r="O84" s="1"/>
      <c r="P84" s="1"/>
      <c r="Q84" s="1"/>
    </row>
    <row r="85">
      <c r="A85" s="1"/>
      <c r="B85" s="1"/>
      <c r="C85" s="1"/>
      <c r="D85" s="1"/>
      <c r="E85" s="1"/>
      <c r="F85" s="2"/>
      <c r="G85" s="2"/>
      <c r="H85" s="2"/>
      <c r="I85" s="2"/>
      <c r="J85" s="2"/>
      <c r="K85" s="2"/>
      <c r="L85" s="2"/>
      <c r="M85" s="2"/>
      <c r="N85" s="2"/>
      <c r="O85" s="1"/>
      <c r="P85" s="1"/>
      <c r="Q85" s="1"/>
    </row>
    <row r="86">
      <c r="A86" s="1"/>
      <c r="B86" s="1"/>
      <c r="C86" s="1"/>
      <c r="D86" s="1"/>
      <c r="E86" s="1"/>
      <c r="F86" s="2"/>
      <c r="G86" s="2"/>
      <c r="H86" s="2"/>
      <c r="I86" s="2"/>
      <c r="J86" s="2"/>
      <c r="K86" s="2"/>
      <c r="L86" s="2"/>
      <c r="M86" s="2"/>
      <c r="N86" s="2"/>
      <c r="O86" s="1"/>
      <c r="P86" s="1"/>
      <c r="Q86" s="1"/>
    </row>
    <row r="87">
      <c r="A87" s="1"/>
      <c r="B87" s="1"/>
      <c r="C87" s="1"/>
      <c r="D87" s="1"/>
      <c r="E87" s="1"/>
      <c r="F87" s="2"/>
      <c r="G87" s="2"/>
      <c r="H87" s="2"/>
      <c r="I87" s="2"/>
      <c r="J87" s="2"/>
      <c r="K87" s="2"/>
      <c r="L87" s="2"/>
      <c r="M87" s="2"/>
      <c r="N87" s="2"/>
      <c r="O87" s="1"/>
      <c r="P87" s="1"/>
      <c r="Q87" s="1"/>
    </row>
    <row r="88">
      <c r="A88" s="1"/>
      <c r="B88" s="1"/>
      <c r="C88" s="1"/>
      <c r="D88" s="1"/>
      <c r="E88" s="1"/>
      <c r="F88" s="2"/>
      <c r="G88" s="2"/>
      <c r="H88" s="2"/>
      <c r="I88" s="2"/>
      <c r="J88" s="2"/>
      <c r="K88" s="2"/>
      <c r="L88" s="2"/>
      <c r="M88" s="2"/>
      <c r="N88" s="2"/>
      <c r="O88" s="1"/>
      <c r="P88" s="1"/>
      <c r="Q88" s="1"/>
    </row>
    <row r="89">
      <c r="A89" s="1"/>
      <c r="B89" s="1"/>
      <c r="C89" s="1"/>
      <c r="D89" s="1"/>
      <c r="E89" s="1"/>
      <c r="F89" s="2"/>
      <c r="G89" s="2"/>
      <c r="H89" s="2"/>
      <c r="I89" s="2"/>
      <c r="J89" s="2"/>
      <c r="K89" s="2"/>
      <c r="L89" s="2"/>
      <c r="M89" s="2"/>
      <c r="N89" s="2"/>
      <c r="O89" s="1"/>
      <c r="P89" s="1"/>
      <c r="Q89" s="1"/>
    </row>
    <row r="90">
      <c r="A90" s="1"/>
      <c r="B90" s="1"/>
      <c r="C90" s="1"/>
      <c r="D90" s="1"/>
      <c r="E90" s="1"/>
      <c r="F90" s="2"/>
      <c r="G90" s="2"/>
      <c r="H90" s="2"/>
      <c r="I90" s="2"/>
      <c r="J90" s="2"/>
      <c r="K90" s="2"/>
      <c r="L90" s="2"/>
      <c r="M90" s="2"/>
      <c r="N90" s="2"/>
      <c r="O90" s="1"/>
      <c r="P90" s="1"/>
      <c r="Q90" s="1"/>
    </row>
    <row r="91">
      <c r="A91" s="1"/>
      <c r="B91" s="1"/>
      <c r="C91" s="1"/>
      <c r="D91" s="1"/>
      <c r="E91" s="1"/>
      <c r="F91" s="2"/>
      <c r="G91" s="2"/>
      <c r="H91" s="2"/>
      <c r="I91" s="2"/>
      <c r="J91" s="2"/>
      <c r="K91" s="2"/>
      <c r="L91" s="2"/>
      <c r="M91" s="2"/>
      <c r="N91" s="2"/>
      <c r="O91" s="1"/>
      <c r="P91" s="1"/>
      <c r="Q91" s="1"/>
    </row>
    <row r="92">
      <c r="A92" s="1"/>
      <c r="B92" s="1"/>
      <c r="C92" s="1"/>
      <c r="D92" s="1"/>
      <c r="E92" s="1"/>
      <c r="F92" s="2"/>
      <c r="G92" s="2"/>
      <c r="H92" s="2"/>
      <c r="I92" s="2"/>
      <c r="J92" s="2"/>
      <c r="K92" s="2"/>
      <c r="L92" s="2"/>
      <c r="M92" s="2"/>
      <c r="N92" s="2"/>
      <c r="O92" s="1"/>
      <c r="P92" s="1"/>
      <c r="Q92" s="1"/>
    </row>
    <row r="93">
      <c r="A93" s="1"/>
      <c r="B93" s="1"/>
      <c r="C93" s="1"/>
      <c r="D93" s="1"/>
      <c r="E93" s="1"/>
      <c r="F93" s="2"/>
      <c r="G93" s="2"/>
      <c r="H93" s="2"/>
      <c r="I93" s="2"/>
      <c r="J93" s="2"/>
      <c r="K93" s="2"/>
      <c r="L93" s="2"/>
      <c r="M93" s="2"/>
      <c r="N93" s="2"/>
      <c r="O93" s="1"/>
      <c r="P93" s="1"/>
      <c r="Q93" s="1"/>
    </row>
    <row r="94">
      <c r="A94" s="1"/>
      <c r="B94" s="1"/>
      <c r="C94" s="1"/>
      <c r="D94" s="1"/>
      <c r="E94" s="1"/>
      <c r="F94" s="2"/>
      <c r="G94" s="2"/>
      <c r="H94" s="2"/>
      <c r="I94" s="2"/>
      <c r="J94" s="2"/>
      <c r="K94" s="2"/>
      <c r="L94" s="2"/>
      <c r="M94" s="2"/>
      <c r="N94" s="2"/>
      <c r="O94" s="1"/>
      <c r="P94" s="1"/>
      <c r="Q94" s="1"/>
    </row>
    <row r="95">
      <c r="A95" s="1"/>
      <c r="B95" s="1"/>
      <c r="C95" s="1"/>
      <c r="D95" s="1"/>
      <c r="E95" s="1"/>
      <c r="F95" s="2"/>
      <c r="G95" s="2"/>
      <c r="H95" s="2"/>
      <c r="I95" s="2"/>
      <c r="J95" s="2"/>
      <c r="K95" s="2"/>
      <c r="L95" s="2"/>
      <c r="M95" s="2"/>
      <c r="N95" s="2"/>
      <c r="O95" s="1"/>
      <c r="P95" s="1"/>
      <c r="Q95" s="1"/>
    </row>
    <row r="96">
      <c r="A96" s="1"/>
      <c r="B96" s="1"/>
      <c r="C96" s="1"/>
      <c r="D96" s="1"/>
      <c r="E96" s="1"/>
      <c r="F96" s="2"/>
      <c r="G96" s="2"/>
      <c r="H96" s="2"/>
      <c r="I96" s="2"/>
      <c r="J96" s="2"/>
      <c r="K96" s="2"/>
      <c r="L96" s="2"/>
      <c r="M96" s="2"/>
      <c r="N96" s="2"/>
      <c r="O96" s="1"/>
      <c r="P96" s="1"/>
      <c r="Q96" s="1"/>
    </row>
    <row r="97">
      <c r="A97" s="1"/>
      <c r="B97" s="1"/>
      <c r="C97" s="1"/>
      <c r="D97" s="1"/>
      <c r="E97" s="1"/>
      <c r="F97" s="2"/>
      <c r="G97" s="2"/>
      <c r="H97" s="2"/>
      <c r="I97" s="2"/>
      <c r="J97" s="2"/>
      <c r="K97" s="2"/>
      <c r="L97" s="2"/>
      <c r="M97" s="2"/>
      <c r="N97" s="2"/>
      <c r="O97" s="1"/>
      <c r="P97" s="1"/>
      <c r="Q97" s="1"/>
    </row>
    <row r="98">
      <c r="A98" s="1"/>
      <c r="B98" s="1"/>
      <c r="C98" s="1"/>
      <c r="D98" s="1"/>
      <c r="E98" s="1"/>
      <c r="F98" s="2"/>
      <c r="G98" s="2"/>
      <c r="H98" s="2"/>
      <c r="I98" s="2"/>
      <c r="J98" s="2"/>
      <c r="K98" s="2"/>
      <c r="L98" s="2"/>
      <c r="M98" s="2"/>
      <c r="N98" s="2"/>
      <c r="O98" s="1"/>
      <c r="P98" s="1"/>
      <c r="Q98" s="1"/>
    </row>
    <row r="99">
      <c r="A99" s="1"/>
      <c r="B99" s="1"/>
      <c r="C99" s="1"/>
      <c r="D99" s="1"/>
      <c r="E99" s="1"/>
      <c r="F99" s="2"/>
      <c r="G99" s="2"/>
      <c r="H99" s="2"/>
      <c r="I99" s="2"/>
      <c r="J99" s="2"/>
      <c r="K99" s="2"/>
      <c r="L99" s="2"/>
      <c r="M99" s="2"/>
      <c r="N99" s="2"/>
      <c r="O99" s="1"/>
      <c r="P99" s="1"/>
      <c r="Q99" s="1"/>
    </row>
    <row r="100">
      <c r="A100" s="1"/>
      <c r="B100" s="1"/>
      <c r="C100" s="1"/>
      <c r="D100" s="1"/>
      <c r="E100" s="1"/>
      <c r="F100" s="2"/>
      <c r="G100" s="2"/>
      <c r="H100" s="2"/>
      <c r="I100" s="2"/>
      <c r="J100" s="2"/>
      <c r="K100" s="2"/>
      <c r="L100" s="2"/>
      <c r="M100" s="2"/>
      <c r="N100" s="2"/>
      <c r="O100" s="1"/>
      <c r="P100" s="1"/>
      <c r="Q100" s="1"/>
    </row>
    <row r="101">
      <c r="A101" s="1"/>
      <c r="B101" s="1"/>
      <c r="C101" s="1"/>
      <c r="D101" s="1"/>
      <c r="E101" s="1"/>
      <c r="F101" s="2"/>
      <c r="G101" s="2"/>
      <c r="H101" s="2"/>
      <c r="I101" s="2"/>
      <c r="J101" s="2"/>
      <c r="K101" s="2"/>
      <c r="L101" s="2"/>
      <c r="M101" s="2"/>
      <c r="N101" s="2"/>
      <c r="O101" s="1"/>
      <c r="P101" s="1"/>
      <c r="Q101" s="1"/>
    </row>
    <row r="102">
      <c r="A102" s="1"/>
      <c r="B102" s="1"/>
      <c r="C102" s="1"/>
      <c r="D102" s="1"/>
      <c r="E102" s="1"/>
      <c r="F102" s="2"/>
      <c r="G102" s="2"/>
      <c r="H102" s="2"/>
      <c r="I102" s="2"/>
      <c r="J102" s="2"/>
      <c r="K102" s="2"/>
      <c r="L102" s="2"/>
      <c r="M102" s="2"/>
      <c r="N102" s="2"/>
      <c r="O102" s="1"/>
      <c r="P102" s="1"/>
      <c r="Q102" s="1"/>
    </row>
    <row r="103">
      <c r="A103" s="1"/>
      <c r="B103" s="1"/>
      <c r="C103" s="1"/>
      <c r="D103" s="1"/>
      <c r="E103" s="1"/>
      <c r="F103" s="2"/>
      <c r="G103" s="2"/>
      <c r="H103" s="2"/>
      <c r="I103" s="2"/>
      <c r="J103" s="2"/>
      <c r="K103" s="2"/>
      <c r="L103" s="2"/>
      <c r="M103" s="2"/>
      <c r="N103" s="2"/>
      <c r="O103" s="1"/>
      <c r="P103" s="1"/>
      <c r="Q103" s="1"/>
    </row>
    <row r="104">
      <c r="A104" s="1"/>
      <c r="B104" s="1"/>
      <c r="C104" s="1"/>
      <c r="D104" s="1"/>
      <c r="E104" s="1"/>
      <c r="F104" s="2"/>
      <c r="G104" s="2"/>
      <c r="H104" s="2"/>
      <c r="I104" s="2"/>
      <c r="J104" s="2"/>
      <c r="K104" s="2"/>
      <c r="L104" s="2"/>
      <c r="M104" s="2"/>
      <c r="N104" s="2"/>
      <c r="O104" s="1"/>
      <c r="P104" s="1"/>
      <c r="Q104" s="1"/>
    </row>
    <row r="105">
      <c r="A105" s="1"/>
      <c r="B105" s="1"/>
      <c r="C105" s="1"/>
      <c r="D105" s="1"/>
      <c r="E105" s="1"/>
      <c r="F105" s="2"/>
      <c r="G105" s="2"/>
      <c r="H105" s="2"/>
      <c r="I105" s="2"/>
      <c r="J105" s="2"/>
      <c r="K105" s="2"/>
      <c r="L105" s="2"/>
      <c r="M105" s="2"/>
      <c r="N105" s="2"/>
      <c r="O105" s="1"/>
      <c r="P105" s="1"/>
      <c r="Q105" s="1"/>
    </row>
    <row r="106">
      <c r="A106" s="1"/>
      <c r="B106" s="1"/>
      <c r="C106" s="1"/>
      <c r="D106" s="1"/>
      <c r="E106" s="1"/>
      <c r="F106" s="2"/>
      <c r="G106" s="2"/>
      <c r="H106" s="2"/>
      <c r="I106" s="2"/>
      <c r="J106" s="2"/>
      <c r="K106" s="2"/>
      <c r="L106" s="2"/>
      <c r="M106" s="2"/>
      <c r="N106" s="2"/>
      <c r="O106" s="1"/>
      <c r="P106" s="1"/>
      <c r="Q106" s="1"/>
    </row>
    <row r="107">
      <c r="A107" s="1"/>
      <c r="B107" s="1"/>
      <c r="C107" s="1"/>
      <c r="D107" s="1"/>
      <c r="E107" s="1"/>
      <c r="F107" s="2"/>
      <c r="G107" s="2"/>
      <c r="H107" s="2"/>
      <c r="I107" s="2"/>
      <c r="J107" s="2"/>
      <c r="K107" s="2"/>
      <c r="L107" s="2"/>
      <c r="M107" s="2"/>
      <c r="N107" s="2"/>
      <c r="O107" s="1"/>
      <c r="P107" s="1"/>
      <c r="Q107" s="1"/>
    </row>
    <row r="108">
      <c r="A108" s="1"/>
      <c r="B108" s="1"/>
      <c r="C108" s="1"/>
      <c r="D108" s="1"/>
      <c r="E108" s="1"/>
      <c r="F108" s="2"/>
      <c r="G108" s="2"/>
      <c r="H108" s="2"/>
      <c r="I108" s="2"/>
      <c r="J108" s="2"/>
      <c r="K108" s="2"/>
      <c r="L108" s="2"/>
      <c r="M108" s="2"/>
      <c r="N108" s="2"/>
      <c r="O108" s="1"/>
      <c r="P108" s="1"/>
      <c r="Q108" s="1"/>
    </row>
    <row r="109">
      <c r="A109" s="1"/>
      <c r="B109" s="1"/>
      <c r="C109" s="1"/>
      <c r="D109" s="1"/>
      <c r="E109" s="1"/>
      <c r="F109" s="2"/>
      <c r="G109" s="2"/>
      <c r="H109" s="2"/>
      <c r="I109" s="2"/>
      <c r="J109" s="2"/>
      <c r="K109" s="2"/>
      <c r="L109" s="2"/>
      <c r="M109" s="2"/>
      <c r="N109" s="2"/>
      <c r="O109" s="1"/>
      <c r="P109" s="1"/>
      <c r="Q109" s="1"/>
    </row>
    <row r="110">
      <c r="A110" s="1"/>
      <c r="B110" s="1"/>
      <c r="C110" s="1"/>
      <c r="D110" s="1"/>
      <c r="E110" s="1"/>
      <c r="F110" s="2"/>
      <c r="G110" s="2"/>
      <c r="H110" s="2"/>
      <c r="I110" s="2"/>
      <c r="J110" s="2"/>
      <c r="K110" s="2"/>
      <c r="L110" s="2"/>
      <c r="M110" s="2"/>
      <c r="N110" s="2"/>
      <c r="O110" s="1"/>
      <c r="P110" s="1"/>
      <c r="Q110" s="1"/>
    </row>
    <row r="111">
      <c r="A111" s="1"/>
      <c r="B111" s="1"/>
      <c r="C111" s="1"/>
      <c r="D111" s="1"/>
      <c r="E111" s="1"/>
      <c r="F111" s="2"/>
      <c r="G111" s="2"/>
      <c r="H111" s="2"/>
      <c r="I111" s="2"/>
      <c r="J111" s="2"/>
      <c r="K111" s="2"/>
      <c r="L111" s="2"/>
      <c r="M111" s="2"/>
      <c r="N111" s="2"/>
      <c r="O111" s="1"/>
      <c r="P111" s="1"/>
      <c r="Q111" s="1"/>
    </row>
    <row r="112">
      <c r="A112" s="1"/>
      <c r="B112" s="1"/>
      <c r="C112" s="1"/>
      <c r="D112" s="1"/>
      <c r="E112" s="1"/>
      <c r="F112" s="2"/>
      <c r="G112" s="2"/>
      <c r="H112" s="2"/>
      <c r="I112" s="2"/>
      <c r="J112" s="2"/>
      <c r="K112" s="2"/>
      <c r="L112" s="2"/>
      <c r="M112" s="2"/>
      <c r="N112" s="2"/>
      <c r="O112" s="1"/>
      <c r="P112" s="1"/>
      <c r="Q112" s="1"/>
    </row>
    <row r="113">
      <c r="A113" s="1"/>
      <c r="B113" s="1"/>
      <c r="C113" s="1"/>
      <c r="D113" s="1"/>
      <c r="E113" s="1"/>
      <c r="F113" s="2"/>
      <c r="G113" s="2"/>
      <c r="H113" s="2"/>
      <c r="I113" s="2"/>
      <c r="J113" s="2"/>
      <c r="K113" s="2"/>
      <c r="L113" s="2"/>
      <c r="M113" s="2"/>
      <c r="N113" s="2"/>
      <c r="O113" s="1"/>
      <c r="P113" s="1"/>
      <c r="Q113" s="1"/>
    </row>
    <row r="114">
      <c r="A114" s="1"/>
      <c r="B114" s="1"/>
      <c r="C114" s="1"/>
      <c r="D114" s="1"/>
      <c r="E114" s="1"/>
      <c r="F114" s="2"/>
      <c r="G114" s="2"/>
      <c r="H114" s="2"/>
      <c r="I114" s="2"/>
      <c r="J114" s="2"/>
      <c r="K114" s="2"/>
      <c r="L114" s="2"/>
      <c r="M114" s="2"/>
      <c r="N114" s="2"/>
      <c r="O114" s="1"/>
      <c r="P114" s="1"/>
      <c r="Q114" s="1"/>
    </row>
    <row r="115">
      <c r="A115" s="1"/>
      <c r="B115" s="1"/>
      <c r="C115" s="1"/>
      <c r="D115" s="1"/>
      <c r="E115" s="1"/>
      <c r="F115" s="2"/>
      <c r="G115" s="2"/>
      <c r="H115" s="2"/>
      <c r="I115" s="2"/>
      <c r="J115" s="2"/>
      <c r="K115" s="2"/>
      <c r="L115" s="2"/>
      <c r="M115" s="2"/>
      <c r="N115" s="2"/>
      <c r="O115" s="1"/>
      <c r="P115" s="1"/>
      <c r="Q115" s="1"/>
    </row>
    <row r="116">
      <c r="A116" s="1"/>
      <c r="B116" s="1"/>
      <c r="C116" s="1"/>
      <c r="D116" s="1"/>
      <c r="E116" s="1"/>
      <c r="F116" s="2"/>
      <c r="G116" s="2"/>
      <c r="H116" s="2"/>
      <c r="I116" s="2"/>
      <c r="J116" s="2"/>
      <c r="K116" s="2"/>
      <c r="L116" s="2"/>
      <c r="M116" s="2"/>
      <c r="N116" s="2"/>
      <c r="O116" s="1"/>
      <c r="P116" s="1"/>
      <c r="Q116" s="1"/>
    </row>
    <row r="117">
      <c r="A117" s="1"/>
      <c r="B117" s="1"/>
      <c r="C117" s="1"/>
      <c r="D117" s="1"/>
      <c r="E117" s="1"/>
      <c r="F117" s="2"/>
      <c r="G117" s="2"/>
      <c r="H117" s="2"/>
      <c r="I117" s="2"/>
      <c r="J117" s="2"/>
      <c r="K117" s="2"/>
      <c r="L117" s="2"/>
      <c r="M117" s="2"/>
      <c r="N117" s="2"/>
      <c r="O117" s="1"/>
      <c r="P117" s="1"/>
      <c r="Q117" s="1"/>
    </row>
    <row r="118">
      <c r="A118" s="1"/>
      <c r="B118" s="1"/>
      <c r="C118" s="1"/>
      <c r="D118" s="1"/>
      <c r="E118" s="1"/>
      <c r="F118" s="2"/>
      <c r="G118" s="2"/>
      <c r="H118" s="2"/>
      <c r="I118" s="2"/>
      <c r="J118" s="2"/>
      <c r="K118" s="2"/>
      <c r="L118" s="2"/>
      <c r="M118" s="2"/>
      <c r="N118" s="2"/>
      <c r="O118" s="1"/>
      <c r="P118" s="1"/>
      <c r="Q118" s="1"/>
    </row>
    <row r="119">
      <c r="A119" s="1"/>
      <c r="B119" s="1"/>
      <c r="C119" s="1"/>
      <c r="D119" s="1"/>
      <c r="E119" s="1"/>
      <c r="F119" s="2"/>
      <c r="G119" s="2"/>
      <c r="H119" s="2"/>
      <c r="I119" s="2"/>
      <c r="J119" s="2"/>
      <c r="K119" s="2"/>
      <c r="L119" s="2"/>
      <c r="M119" s="2"/>
      <c r="N119" s="2"/>
      <c r="O119" s="1"/>
      <c r="P119" s="1"/>
      <c r="Q119" s="1"/>
    </row>
    <row r="120">
      <c r="A120" s="1"/>
      <c r="B120" s="1"/>
      <c r="C120" s="1"/>
      <c r="D120" s="1"/>
      <c r="E120" s="1"/>
      <c r="F120" s="2"/>
      <c r="G120" s="2"/>
      <c r="H120" s="2"/>
      <c r="I120" s="2"/>
      <c r="J120" s="2"/>
      <c r="K120" s="2"/>
      <c r="L120" s="2"/>
      <c r="M120" s="2"/>
      <c r="N120" s="2"/>
      <c r="O120" s="1"/>
      <c r="P120" s="1"/>
      <c r="Q120" s="1"/>
    </row>
    <row r="121">
      <c r="A121" s="1"/>
      <c r="B121" s="1"/>
      <c r="C121" s="1"/>
      <c r="D121" s="1"/>
      <c r="E121" s="1"/>
      <c r="F121" s="2"/>
      <c r="G121" s="2"/>
      <c r="H121" s="2"/>
      <c r="I121" s="2"/>
      <c r="J121" s="2"/>
      <c r="K121" s="2"/>
      <c r="L121" s="2"/>
      <c r="M121" s="2"/>
      <c r="N121" s="2"/>
      <c r="O121" s="1"/>
      <c r="P121" s="1"/>
      <c r="Q121" s="1"/>
    </row>
    <row r="122">
      <c r="A122" s="1"/>
      <c r="B122" s="1"/>
      <c r="C122" s="1"/>
      <c r="D122" s="1"/>
      <c r="E122" s="1"/>
      <c r="F122" s="2"/>
      <c r="G122" s="2"/>
      <c r="H122" s="2"/>
      <c r="I122" s="2"/>
      <c r="J122" s="2"/>
      <c r="K122" s="2"/>
      <c r="L122" s="2"/>
      <c r="M122" s="2"/>
      <c r="N122" s="2"/>
      <c r="O122" s="1"/>
      <c r="P122" s="1"/>
      <c r="Q122" s="1"/>
    </row>
    <row r="123">
      <c r="A123" s="1"/>
      <c r="B123" s="1"/>
      <c r="C123" s="1"/>
      <c r="D123" s="1"/>
      <c r="E123" s="1"/>
      <c r="F123" s="2"/>
      <c r="G123" s="2"/>
      <c r="H123" s="2"/>
      <c r="I123" s="2"/>
      <c r="J123" s="2"/>
      <c r="K123" s="2"/>
      <c r="L123" s="2"/>
      <c r="M123" s="2"/>
      <c r="N123" s="2"/>
      <c r="O123" s="1"/>
      <c r="P123" s="1"/>
      <c r="Q123" s="1"/>
    </row>
    <row r="124">
      <c r="A124" s="1"/>
      <c r="B124" s="1"/>
      <c r="C124" s="1"/>
      <c r="D124" s="1"/>
      <c r="E124" s="1"/>
      <c r="F124" s="2"/>
      <c r="G124" s="2"/>
      <c r="H124" s="2"/>
      <c r="I124" s="2"/>
      <c r="J124" s="2"/>
      <c r="K124" s="2"/>
      <c r="L124" s="2"/>
      <c r="M124" s="2"/>
      <c r="N124" s="2"/>
      <c r="O124" s="1"/>
      <c r="P124" s="1"/>
      <c r="Q124" s="1"/>
    </row>
    <row r="125">
      <c r="A125" s="1"/>
      <c r="B125" s="1"/>
      <c r="C125" s="1"/>
      <c r="D125" s="1"/>
      <c r="E125" s="1"/>
      <c r="F125" s="2"/>
      <c r="G125" s="2"/>
      <c r="H125" s="2"/>
      <c r="I125" s="2"/>
      <c r="J125" s="2"/>
      <c r="K125" s="2"/>
      <c r="L125" s="2"/>
      <c r="M125" s="2"/>
      <c r="N125" s="2"/>
      <c r="O125" s="1"/>
      <c r="P125" s="1"/>
      <c r="Q125" s="1"/>
    </row>
    <row r="126">
      <c r="A126" s="1"/>
      <c r="B126" s="1"/>
      <c r="C126" s="1"/>
      <c r="D126" s="1"/>
      <c r="E126" s="1"/>
      <c r="F126" s="2"/>
      <c r="G126" s="2"/>
      <c r="H126" s="2"/>
      <c r="I126" s="2"/>
      <c r="J126" s="2"/>
      <c r="K126" s="2"/>
      <c r="L126" s="2"/>
      <c r="M126" s="2"/>
      <c r="N126" s="2"/>
      <c r="O126" s="1"/>
      <c r="P126" s="1"/>
      <c r="Q126" s="1"/>
    </row>
    <row r="127">
      <c r="A127" s="1"/>
      <c r="B127" s="1"/>
      <c r="C127" s="1"/>
      <c r="D127" s="1"/>
      <c r="E127" s="1"/>
      <c r="F127" s="2"/>
      <c r="G127" s="2"/>
      <c r="H127" s="2"/>
      <c r="I127" s="2"/>
      <c r="J127" s="2"/>
      <c r="K127" s="2"/>
      <c r="L127" s="2"/>
      <c r="M127" s="2"/>
      <c r="N127" s="2"/>
      <c r="O127" s="1"/>
      <c r="P127" s="1"/>
      <c r="Q127" s="1"/>
    </row>
    <row r="128">
      <c r="A128" s="1"/>
      <c r="B128" s="1"/>
      <c r="C128" s="1"/>
      <c r="D128" s="1"/>
      <c r="E128" s="1"/>
      <c r="F128" s="2"/>
      <c r="G128" s="2"/>
      <c r="H128" s="2"/>
      <c r="I128" s="2"/>
      <c r="J128" s="2"/>
      <c r="K128" s="2"/>
      <c r="L128" s="2"/>
      <c r="M128" s="2"/>
      <c r="N128" s="2"/>
      <c r="O128" s="1"/>
      <c r="P128" s="1"/>
      <c r="Q128" s="1"/>
    </row>
    <row r="129">
      <c r="A129" s="1"/>
      <c r="B129" s="1"/>
      <c r="C129" s="1"/>
      <c r="D129" s="1"/>
      <c r="E129" s="1"/>
      <c r="F129" s="2"/>
      <c r="G129" s="2"/>
      <c r="H129" s="2"/>
      <c r="I129" s="2"/>
      <c r="J129" s="2"/>
      <c r="K129" s="2"/>
      <c r="L129" s="2"/>
      <c r="M129" s="2"/>
      <c r="N129" s="2"/>
      <c r="O129" s="1"/>
      <c r="P129" s="1"/>
      <c r="Q129" s="1"/>
    </row>
    <row r="130">
      <c r="A130" s="1"/>
      <c r="B130" s="1"/>
      <c r="C130" s="1"/>
      <c r="D130" s="1"/>
      <c r="E130" s="1"/>
      <c r="F130" s="2"/>
      <c r="G130" s="2"/>
      <c r="H130" s="2"/>
      <c r="I130" s="2"/>
      <c r="J130" s="2"/>
      <c r="K130" s="2"/>
      <c r="L130" s="2"/>
      <c r="M130" s="2"/>
      <c r="N130" s="2"/>
      <c r="O130" s="1"/>
      <c r="P130" s="1"/>
      <c r="Q130" s="1"/>
    </row>
    <row r="131">
      <c r="A131" s="1"/>
      <c r="B131" s="1"/>
      <c r="C131" s="1"/>
      <c r="D131" s="1"/>
      <c r="E131" s="1"/>
      <c r="F131" s="2"/>
      <c r="G131" s="2"/>
      <c r="H131" s="2"/>
      <c r="I131" s="2"/>
      <c r="J131" s="2"/>
      <c r="K131" s="2"/>
      <c r="L131" s="2"/>
      <c r="M131" s="2"/>
      <c r="N131" s="2"/>
      <c r="O131" s="1"/>
      <c r="P131" s="1"/>
      <c r="Q131" s="1"/>
    </row>
    <row r="132">
      <c r="A132" s="1"/>
      <c r="B132" s="1"/>
      <c r="C132" s="1"/>
      <c r="D132" s="1"/>
      <c r="E132" s="1"/>
      <c r="F132" s="2"/>
      <c r="G132" s="2"/>
      <c r="H132" s="2"/>
      <c r="I132" s="2"/>
      <c r="J132" s="2"/>
      <c r="K132" s="2"/>
      <c r="L132" s="2"/>
      <c r="M132" s="2"/>
      <c r="N132" s="2"/>
      <c r="O132" s="1"/>
      <c r="P132" s="1"/>
      <c r="Q132" s="1"/>
    </row>
    <row r="133">
      <c r="A133" s="1"/>
      <c r="B133" s="1"/>
      <c r="C133" s="1"/>
      <c r="D133" s="1"/>
      <c r="E133" s="1"/>
      <c r="F133" s="2"/>
      <c r="G133" s="2"/>
      <c r="H133" s="2"/>
      <c r="I133" s="2"/>
      <c r="J133" s="2"/>
      <c r="K133" s="2"/>
      <c r="L133" s="2"/>
      <c r="M133" s="2"/>
      <c r="N133" s="2"/>
      <c r="O133" s="1"/>
      <c r="P133" s="1"/>
      <c r="Q133" s="1"/>
    </row>
    <row r="134">
      <c r="A134" s="1"/>
      <c r="B134" s="1"/>
      <c r="C134" s="1"/>
      <c r="D134" s="1"/>
      <c r="E134" s="1"/>
      <c r="F134" s="2"/>
      <c r="G134" s="2"/>
      <c r="H134" s="2"/>
      <c r="I134" s="2"/>
      <c r="J134" s="2"/>
      <c r="K134" s="2"/>
      <c r="L134" s="2"/>
      <c r="M134" s="2"/>
      <c r="N134" s="2"/>
      <c r="O134" s="1"/>
      <c r="P134" s="1"/>
      <c r="Q134" s="1"/>
    </row>
    <row r="135">
      <c r="A135" s="1"/>
      <c r="B135" s="1"/>
      <c r="C135" s="1"/>
      <c r="D135" s="1"/>
      <c r="E135" s="1"/>
      <c r="F135" s="2"/>
      <c r="G135" s="2"/>
      <c r="H135" s="2"/>
      <c r="I135" s="2"/>
      <c r="J135" s="2"/>
      <c r="K135" s="2"/>
      <c r="L135" s="2"/>
      <c r="M135" s="2"/>
      <c r="N135" s="2"/>
      <c r="O135" s="1"/>
      <c r="P135" s="1"/>
      <c r="Q135" s="1"/>
    </row>
    <row r="136">
      <c r="A136" s="1"/>
      <c r="B136" s="1"/>
      <c r="C136" s="1"/>
      <c r="D136" s="1"/>
      <c r="E136" s="1"/>
      <c r="F136" s="2"/>
      <c r="G136" s="2"/>
      <c r="H136" s="2"/>
      <c r="I136" s="2"/>
      <c r="J136" s="2"/>
      <c r="K136" s="2"/>
      <c r="L136" s="2"/>
      <c r="M136" s="2"/>
      <c r="N136" s="2"/>
      <c r="O136" s="1"/>
      <c r="P136" s="1"/>
      <c r="Q136" s="1"/>
    </row>
    <row r="137">
      <c r="A137" s="1"/>
      <c r="B137" s="1"/>
      <c r="C137" s="1"/>
      <c r="D137" s="1"/>
      <c r="E137" s="1"/>
      <c r="F137" s="2"/>
      <c r="G137" s="2"/>
      <c r="H137" s="2"/>
      <c r="I137" s="2"/>
      <c r="J137" s="2"/>
      <c r="K137" s="2"/>
      <c r="L137" s="2"/>
      <c r="M137" s="2"/>
      <c r="N137" s="2"/>
      <c r="O137" s="1"/>
      <c r="P137" s="1"/>
      <c r="Q137" s="1"/>
    </row>
    <row r="138">
      <c r="A138" s="1"/>
      <c r="B138" s="1"/>
      <c r="C138" s="1"/>
      <c r="D138" s="1"/>
      <c r="E138" s="1"/>
      <c r="F138" s="2"/>
      <c r="G138" s="2"/>
      <c r="H138" s="2"/>
      <c r="I138" s="2"/>
      <c r="J138" s="2"/>
      <c r="K138" s="2"/>
      <c r="L138" s="2"/>
      <c r="M138" s="2"/>
      <c r="N138" s="2"/>
      <c r="O138" s="1"/>
      <c r="P138" s="1"/>
      <c r="Q138" s="1"/>
    </row>
    <row r="139">
      <c r="A139" s="1"/>
      <c r="B139" s="1"/>
      <c r="C139" s="1"/>
      <c r="D139" s="1"/>
      <c r="E139" s="1"/>
      <c r="F139" s="2"/>
      <c r="G139" s="2"/>
      <c r="H139" s="2"/>
      <c r="I139" s="2"/>
      <c r="J139" s="2"/>
      <c r="K139" s="2"/>
      <c r="L139" s="2"/>
      <c r="M139" s="2"/>
      <c r="N139" s="2"/>
      <c r="O139" s="1"/>
      <c r="P139" s="1"/>
      <c r="Q139" s="1"/>
    </row>
    <row r="140">
      <c r="A140" s="1"/>
      <c r="B140" s="1"/>
      <c r="C140" s="1"/>
      <c r="D140" s="1"/>
      <c r="E140" s="1"/>
      <c r="F140" s="2"/>
      <c r="G140" s="2"/>
      <c r="H140" s="2"/>
      <c r="I140" s="2"/>
      <c r="J140" s="2"/>
      <c r="K140" s="2"/>
      <c r="L140" s="2"/>
      <c r="M140" s="2"/>
      <c r="N140" s="2"/>
      <c r="O140" s="1"/>
      <c r="P140" s="1"/>
      <c r="Q140" s="1"/>
    </row>
    <row r="141">
      <c r="A141" s="1"/>
      <c r="B141" s="1"/>
      <c r="C141" s="1"/>
      <c r="D141" s="1"/>
      <c r="E141" s="1"/>
      <c r="F141" s="2"/>
      <c r="G141" s="2"/>
      <c r="H141" s="2"/>
      <c r="I141" s="2"/>
      <c r="J141" s="2"/>
      <c r="K141" s="2"/>
      <c r="L141" s="2"/>
      <c r="M141" s="2"/>
      <c r="N141" s="2"/>
      <c r="O141" s="1"/>
      <c r="P141" s="1"/>
      <c r="Q141" s="1"/>
    </row>
    <row r="142">
      <c r="A142" s="1"/>
      <c r="B142" s="1"/>
      <c r="C142" s="1"/>
      <c r="D142" s="1"/>
      <c r="E142" s="1"/>
      <c r="F142" s="2"/>
      <c r="G142" s="2"/>
      <c r="H142" s="2"/>
      <c r="I142" s="2"/>
      <c r="J142" s="2"/>
      <c r="K142" s="2"/>
      <c r="L142" s="2"/>
      <c r="M142" s="2"/>
      <c r="N142" s="2"/>
      <c r="O142" s="1"/>
      <c r="P142" s="1"/>
      <c r="Q142" s="1"/>
    </row>
    <row r="143">
      <c r="A143" s="1"/>
      <c r="B143" s="1"/>
      <c r="C143" s="1"/>
      <c r="D143" s="1"/>
      <c r="E143" s="1"/>
      <c r="F143" s="2"/>
      <c r="G143" s="2"/>
      <c r="H143" s="2"/>
      <c r="I143" s="2"/>
      <c r="J143" s="2"/>
      <c r="K143" s="2"/>
      <c r="L143" s="2"/>
      <c r="M143" s="2"/>
      <c r="N143" s="2"/>
      <c r="O143" s="1"/>
      <c r="P143" s="1"/>
      <c r="Q143" s="1"/>
    </row>
    <row r="144">
      <c r="A144" s="1"/>
      <c r="B144" s="1"/>
      <c r="C144" s="1"/>
      <c r="D144" s="1"/>
      <c r="E144" s="1"/>
      <c r="F144" s="2"/>
      <c r="G144" s="2"/>
      <c r="H144" s="2"/>
      <c r="I144" s="2"/>
      <c r="J144" s="2"/>
      <c r="K144" s="2"/>
      <c r="L144" s="2"/>
      <c r="M144" s="2"/>
      <c r="N144" s="2"/>
      <c r="O144" s="1"/>
      <c r="P144" s="1"/>
      <c r="Q144" s="1"/>
    </row>
    <row r="145">
      <c r="A145" s="1"/>
      <c r="B145" s="1"/>
      <c r="C145" s="1"/>
      <c r="D145" s="1"/>
      <c r="E145" s="1"/>
      <c r="F145" s="2"/>
      <c r="G145" s="2"/>
      <c r="H145" s="2"/>
      <c r="I145" s="2"/>
      <c r="J145" s="2"/>
      <c r="K145" s="2"/>
      <c r="L145" s="2"/>
      <c r="M145" s="2"/>
      <c r="N145" s="2"/>
      <c r="O145" s="1"/>
      <c r="P145" s="1"/>
      <c r="Q145" s="1"/>
    </row>
    <row r="146">
      <c r="A146" s="1"/>
      <c r="B146" s="1"/>
      <c r="C146" s="1"/>
      <c r="D146" s="1"/>
      <c r="E146" s="1"/>
      <c r="F146" s="2"/>
      <c r="G146" s="2"/>
      <c r="H146" s="2"/>
      <c r="I146" s="2"/>
      <c r="J146" s="2"/>
      <c r="K146" s="2"/>
      <c r="L146" s="2"/>
      <c r="M146" s="2"/>
      <c r="N146" s="2"/>
      <c r="O146" s="1"/>
      <c r="P146" s="1"/>
      <c r="Q146" s="1"/>
    </row>
    <row r="147">
      <c r="A147" s="1"/>
      <c r="B147" s="1"/>
      <c r="C147" s="1"/>
      <c r="D147" s="1"/>
      <c r="E147" s="1"/>
      <c r="F147" s="2"/>
      <c r="G147" s="2"/>
      <c r="H147" s="2"/>
      <c r="I147" s="2"/>
      <c r="J147" s="2"/>
      <c r="K147" s="2"/>
      <c r="L147" s="2"/>
      <c r="M147" s="2"/>
      <c r="N147" s="2"/>
      <c r="O147" s="1"/>
      <c r="P147" s="1"/>
      <c r="Q147" s="1"/>
    </row>
    <row r="148">
      <c r="A148" s="1"/>
      <c r="B148" s="1"/>
      <c r="C148" s="1"/>
      <c r="D148" s="1"/>
      <c r="E148" s="1"/>
      <c r="F148" s="2"/>
      <c r="G148" s="2"/>
      <c r="H148" s="2"/>
      <c r="I148" s="2"/>
      <c r="J148" s="2"/>
      <c r="K148" s="2"/>
      <c r="L148" s="2"/>
      <c r="M148" s="2"/>
      <c r="N148" s="2"/>
      <c r="O148" s="1"/>
      <c r="P148" s="1"/>
      <c r="Q148" s="1"/>
    </row>
    <row r="149">
      <c r="A149" s="1"/>
      <c r="B149" s="1"/>
      <c r="C149" s="1"/>
      <c r="D149" s="1"/>
      <c r="E149" s="1"/>
      <c r="F149" s="2"/>
      <c r="G149" s="2"/>
      <c r="H149" s="2"/>
      <c r="I149" s="2"/>
      <c r="J149" s="2"/>
      <c r="K149" s="2"/>
      <c r="L149" s="2"/>
      <c r="M149" s="2"/>
      <c r="N149" s="2"/>
      <c r="O149" s="1"/>
      <c r="P149" s="1"/>
      <c r="Q149" s="1"/>
    </row>
    <row r="150">
      <c r="A150" s="1"/>
      <c r="B150" s="1"/>
      <c r="C150" s="1"/>
      <c r="D150" s="1"/>
      <c r="E150" s="1"/>
      <c r="F150" s="2"/>
      <c r="G150" s="2"/>
      <c r="H150" s="2"/>
      <c r="I150" s="2"/>
      <c r="J150" s="2"/>
      <c r="K150" s="2"/>
      <c r="L150" s="2"/>
      <c r="M150" s="2"/>
      <c r="N150" s="2"/>
      <c r="O150" s="1"/>
      <c r="P150" s="1"/>
      <c r="Q150" s="1"/>
    </row>
    <row r="151">
      <c r="A151" s="1"/>
      <c r="B151" s="1"/>
      <c r="C151" s="1"/>
      <c r="D151" s="1"/>
      <c r="E151" s="1"/>
      <c r="F151" s="2"/>
      <c r="G151" s="2"/>
      <c r="H151" s="2"/>
      <c r="I151" s="2"/>
      <c r="J151" s="2"/>
      <c r="K151" s="2"/>
      <c r="L151" s="2"/>
      <c r="M151" s="2"/>
      <c r="N151" s="2"/>
      <c r="O151" s="1"/>
      <c r="P151" s="1"/>
      <c r="Q151" s="1"/>
    </row>
    <row r="152">
      <c r="A152" s="1"/>
      <c r="B152" s="1"/>
      <c r="C152" s="1"/>
      <c r="D152" s="1"/>
      <c r="E152" s="1"/>
      <c r="F152" s="2"/>
      <c r="G152" s="2"/>
      <c r="H152" s="2"/>
      <c r="I152" s="2"/>
      <c r="J152" s="2"/>
      <c r="K152" s="2"/>
      <c r="L152" s="2"/>
      <c r="M152" s="2"/>
      <c r="N152" s="2"/>
      <c r="O152" s="1"/>
      <c r="P152" s="1"/>
      <c r="Q152" s="1"/>
    </row>
    <row r="153">
      <c r="A153" s="1"/>
      <c r="B153" s="1"/>
      <c r="C153" s="1"/>
      <c r="D153" s="1"/>
      <c r="E153" s="1"/>
      <c r="F153" s="2"/>
      <c r="G153" s="2"/>
      <c r="H153" s="2"/>
      <c r="I153" s="2"/>
      <c r="J153" s="2"/>
      <c r="K153" s="2"/>
      <c r="L153" s="2"/>
      <c r="M153" s="2"/>
      <c r="N153" s="2"/>
      <c r="O153" s="1"/>
      <c r="P153" s="1"/>
      <c r="Q153" s="1"/>
    </row>
    <row r="154">
      <c r="A154" s="1"/>
      <c r="B154" s="1"/>
      <c r="C154" s="1"/>
      <c r="D154" s="1"/>
      <c r="E154" s="1"/>
      <c r="F154" s="2"/>
      <c r="G154" s="2"/>
      <c r="H154" s="2"/>
      <c r="I154" s="2"/>
      <c r="J154" s="2"/>
      <c r="K154" s="2"/>
      <c r="L154" s="2"/>
      <c r="M154" s="2"/>
      <c r="N154" s="2"/>
      <c r="O154" s="1"/>
      <c r="P154" s="1"/>
      <c r="Q154" s="1"/>
    </row>
    <row r="155">
      <c r="A155" s="1"/>
      <c r="B155" s="1"/>
      <c r="C155" s="1"/>
      <c r="D155" s="1"/>
      <c r="E155" s="1"/>
      <c r="F155" s="2"/>
      <c r="G155" s="2"/>
      <c r="H155" s="2"/>
      <c r="I155" s="2"/>
      <c r="J155" s="2"/>
      <c r="K155" s="2"/>
      <c r="L155" s="2"/>
      <c r="M155" s="2"/>
      <c r="N155" s="2"/>
      <c r="O155" s="1"/>
      <c r="P155" s="1"/>
      <c r="Q155" s="1"/>
    </row>
    <row r="156">
      <c r="A156" s="1"/>
      <c r="B156" s="1"/>
      <c r="C156" s="1"/>
      <c r="D156" s="1"/>
      <c r="E156" s="1"/>
      <c r="F156" s="2"/>
      <c r="G156" s="2"/>
      <c r="H156" s="2"/>
      <c r="I156" s="2"/>
      <c r="J156" s="2"/>
      <c r="K156" s="2"/>
      <c r="L156" s="2"/>
      <c r="M156" s="2"/>
      <c r="N156" s="2"/>
      <c r="O156" s="1"/>
      <c r="P156" s="1"/>
      <c r="Q156" s="1"/>
    </row>
    <row r="157">
      <c r="A157" s="1"/>
      <c r="B157" s="1"/>
      <c r="C157" s="1"/>
      <c r="D157" s="1"/>
      <c r="E157" s="1"/>
      <c r="F157" s="2"/>
      <c r="G157" s="2"/>
      <c r="H157" s="2"/>
      <c r="I157" s="2"/>
      <c r="J157" s="2"/>
      <c r="K157" s="2"/>
      <c r="L157" s="2"/>
      <c r="M157" s="2"/>
      <c r="N157" s="2"/>
      <c r="O157" s="1"/>
      <c r="P157" s="1"/>
      <c r="Q157" s="1"/>
    </row>
    <row r="158">
      <c r="A158" s="1"/>
      <c r="B158" s="1"/>
      <c r="C158" s="1"/>
      <c r="D158" s="1"/>
      <c r="E158" s="1"/>
      <c r="F158" s="2"/>
      <c r="G158" s="2"/>
      <c r="H158" s="2"/>
      <c r="I158" s="2"/>
      <c r="J158" s="2"/>
      <c r="K158" s="2"/>
      <c r="L158" s="2"/>
      <c r="M158" s="2"/>
      <c r="N158" s="2"/>
      <c r="O158" s="1"/>
      <c r="P158" s="1"/>
      <c r="Q158" s="1"/>
    </row>
    <row r="159">
      <c r="A159" s="1"/>
      <c r="B159" s="1"/>
      <c r="C159" s="1"/>
      <c r="D159" s="1"/>
      <c r="E159" s="1"/>
      <c r="F159" s="2"/>
      <c r="G159" s="2"/>
      <c r="H159" s="2"/>
      <c r="I159" s="2"/>
      <c r="J159" s="2"/>
      <c r="K159" s="2"/>
      <c r="L159" s="2"/>
      <c r="M159" s="2"/>
      <c r="N159" s="2"/>
      <c r="O159" s="1"/>
      <c r="P159" s="1"/>
      <c r="Q159" s="1"/>
    </row>
    <row r="160">
      <c r="A160" s="1"/>
      <c r="B160" s="1"/>
      <c r="C160" s="1"/>
      <c r="D160" s="1"/>
      <c r="E160" s="1"/>
      <c r="F160" s="2"/>
      <c r="G160" s="2"/>
      <c r="H160" s="2"/>
      <c r="I160" s="2"/>
      <c r="J160" s="2"/>
      <c r="K160" s="2"/>
      <c r="L160" s="2"/>
      <c r="M160" s="2"/>
      <c r="N160" s="2"/>
      <c r="O160" s="1"/>
      <c r="P160" s="1"/>
      <c r="Q160" s="1"/>
    </row>
    <row r="161">
      <c r="A161" s="1"/>
      <c r="B161" s="1"/>
      <c r="C161" s="1"/>
      <c r="D161" s="1"/>
      <c r="E161" s="1"/>
      <c r="F161" s="2"/>
      <c r="G161" s="2"/>
      <c r="H161" s="2"/>
      <c r="I161" s="2"/>
      <c r="J161" s="2"/>
      <c r="K161" s="2"/>
      <c r="L161" s="2"/>
      <c r="M161" s="2"/>
      <c r="N161" s="2"/>
      <c r="O161" s="1"/>
      <c r="P161" s="1"/>
      <c r="Q161" s="1"/>
    </row>
    <row r="162">
      <c r="A162" s="1"/>
      <c r="B162" s="1"/>
      <c r="C162" s="1"/>
      <c r="D162" s="1"/>
      <c r="E162" s="1"/>
      <c r="F162" s="2"/>
      <c r="G162" s="2"/>
      <c r="H162" s="2"/>
      <c r="I162" s="2"/>
      <c r="J162" s="2"/>
      <c r="K162" s="2"/>
      <c r="L162" s="2"/>
      <c r="M162" s="2"/>
      <c r="N162" s="2"/>
      <c r="O162" s="1"/>
      <c r="P162" s="1"/>
      <c r="Q162" s="1"/>
    </row>
    <row r="163">
      <c r="A163" s="1"/>
      <c r="B163" s="1"/>
      <c r="C163" s="1"/>
      <c r="D163" s="1"/>
      <c r="E163" s="1"/>
      <c r="F163" s="2"/>
      <c r="G163" s="2"/>
      <c r="H163" s="2"/>
      <c r="I163" s="2"/>
      <c r="J163" s="2"/>
      <c r="K163" s="2"/>
      <c r="L163" s="2"/>
      <c r="M163" s="2"/>
      <c r="N163" s="2"/>
      <c r="O163" s="1"/>
      <c r="P163" s="1"/>
      <c r="Q163" s="1"/>
    </row>
    <row r="164">
      <c r="A164" s="1"/>
      <c r="B164" s="1"/>
      <c r="C164" s="1"/>
      <c r="D164" s="1"/>
      <c r="E164" s="1"/>
      <c r="F164" s="2"/>
      <c r="G164" s="2"/>
      <c r="H164" s="2"/>
      <c r="I164" s="2"/>
      <c r="J164" s="2"/>
      <c r="K164" s="2"/>
      <c r="L164" s="2"/>
      <c r="M164" s="2"/>
      <c r="N164" s="2"/>
      <c r="O164" s="1"/>
      <c r="P164" s="1"/>
      <c r="Q164" s="1"/>
    </row>
    <row r="165">
      <c r="A165" s="1"/>
      <c r="B165" s="1"/>
      <c r="C165" s="1"/>
      <c r="D165" s="1"/>
      <c r="E165" s="1"/>
      <c r="F165" s="2"/>
      <c r="G165" s="2"/>
      <c r="H165" s="2"/>
      <c r="I165" s="2"/>
      <c r="J165" s="2"/>
      <c r="K165" s="2"/>
      <c r="L165" s="2"/>
      <c r="M165" s="2"/>
      <c r="N165" s="2"/>
      <c r="O165" s="1"/>
      <c r="P165" s="1"/>
      <c r="Q165" s="1"/>
    </row>
    <row r="166">
      <c r="A166" s="1"/>
      <c r="B166" s="1"/>
      <c r="C166" s="1"/>
      <c r="D166" s="1"/>
      <c r="E166" s="1"/>
      <c r="F166" s="2"/>
      <c r="G166" s="2"/>
      <c r="H166" s="2"/>
      <c r="I166" s="2"/>
      <c r="J166" s="2"/>
      <c r="K166" s="2"/>
      <c r="L166" s="2"/>
      <c r="M166" s="2"/>
      <c r="N166" s="2"/>
      <c r="O166" s="1"/>
      <c r="P166" s="1"/>
      <c r="Q166" s="1"/>
    </row>
    <row r="167">
      <c r="A167" s="1"/>
      <c r="B167" s="1"/>
      <c r="C167" s="1"/>
      <c r="D167" s="1"/>
      <c r="E167" s="1"/>
      <c r="F167" s="2"/>
      <c r="G167" s="2"/>
      <c r="H167" s="2"/>
      <c r="I167" s="2"/>
      <c r="J167" s="2"/>
      <c r="K167" s="2"/>
      <c r="L167" s="2"/>
      <c r="M167" s="2"/>
      <c r="N167" s="2"/>
      <c r="O167" s="1"/>
      <c r="P167" s="1"/>
      <c r="Q167" s="1"/>
    </row>
    <row r="168">
      <c r="A168" s="1"/>
      <c r="B168" s="1"/>
      <c r="C168" s="1"/>
      <c r="D168" s="1"/>
      <c r="E168" s="1"/>
      <c r="F168" s="2"/>
      <c r="G168" s="2"/>
      <c r="H168" s="2"/>
      <c r="I168" s="2"/>
      <c r="J168" s="2"/>
      <c r="K168" s="2"/>
      <c r="L168" s="2"/>
      <c r="M168" s="2"/>
      <c r="N168" s="2"/>
      <c r="O168" s="1"/>
      <c r="P168" s="1"/>
      <c r="Q168" s="1"/>
    </row>
    <row r="169">
      <c r="A169" s="1"/>
      <c r="B169" s="1"/>
      <c r="C169" s="1"/>
      <c r="D169" s="1"/>
      <c r="E169" s="1"/>
      <c r="F169" s="2"/>
      <c r="G169" s="2"/>
      <c r="H169" s="2"/>
      <c r="I169" s="2"/>
      <c r="J169" s="2"/>
      <c r="K169" s="2"/>
      <c r="L169" s="2"/>
      <c r="M169" s="2"/>
      <c r="N169" s="2"/>
      <c r="O169" s="1"/>
      <c r="P169" s="1"/>
      <c r="Q169" s="1"/>
    </row>
    <row r="170">
      <c r="A170" s="1"/>
      <c r="B170" s="1"/>
      <c r="C170" s="1"/>
      <c r="D170" s="1"/>
      <c r="E170" s="1"/>
      <c r="F170" s="2"/>
      <c r="G170" s="2"/>
      <c r="H170" s="2"/>
      <c r="I170" s="2"/>
      <c r="J170" s="2"/>
      <c r="K170" s="2"/>
      <c r="L170" s="2"/>
      <c r="M170" s="2"/>
      <c r="N170" s="2"/>
      <c r="O170" s="1"/>
      <c r="P170" s="1"/>
      <c r="Q170" s="1"/>
    </row>
    <row r="171">
      <c r="A171" s="1"/>
      <c r="B171" s="1"/>
      <c r="C171" s="1"/>
      <c r="D171" s="1"/>
      <c r="E171" s="1"/>
      <c r="F171" s="2"/>
      <c r="G171" s="2"/>
      <c r="H171" s="2"/>
      <c r="I171" s="2"/>
      <c r="J171" s="2"/>
      <c r="K171" s="2"/>
      <c r="L171" s="2"/>
      <c r="M171" s="2"/>
      <c r="N171" s="2"/>
      <c r="O171" s="1"/>
      <c r="P171" s="1"/>
      <c r="Q171" s="1"/>
    </row>
    <row r="172">
      <c r="A172" s="1"/>
      <c r="B172" s="1"/>
      <c r="C172" s="1"/>
      <c r="D172" s="1"/>
      <c r="E172" s="1"/>
      <c r="F172" s="2"/>
      <c r="G172" s="2"/>
      <c r="H172" s="2"/>
      <c r="I172" s="2"/>
      <c r="J172" s="2"/>
      <c r="K172" s="2"/>
      <c r="L172" s="2"/>
      <c r="M172" s="2"/>
      <c r="N172" s="2"/>
      <c r="O172" s="1"/>
      <c r="P172" s="1"/>
      <c r="Q172" s="1"/>
    </row>
    <row r="173">
      <c r="A173" s="1"/>
      <c r="B173" s="1"/>
      <c r="C173" s="1"/>
      <c r="D173" s="1"/>
      <c r="E173" s="1"/>
      <c r="F173" s="2"/>
      <c r="G173" s="2"/>
      <c r="H173" s="2"/>
      <c r="I173" s="2"/>
      <c r="J173" s="2"/>
      <c r="K173" s="2"/>
      <c r="L173" s="2"/>
      <c r="M173" s="2"/>
      <c r="N173" s="2"/>
      <c r="O173" s="1"/>
      <c r="P173" s="1"/>
      <c r="Q173" s="1"/>
    </row>
    <row r="174">
      <c r="A174" s="1"/>
      <c r="B174" s="1"/>
      <c r="C174" s="1"/>
      <c r="D174" s="1"/>
      <c r="E174" s="1"/>
      <c r="F174" s="2"/>
      <c r="G174" s="2"/>
      <c r="H174" s="2"/>
      <c r="I174" s="2"/>
      <c r="J174" s="2"/>
      <c r="K174" s="2"/>
      <c r="L174" s="2"/>
      <c r="M174" s="2"/>
      <c r="N174" s="2"/>
      <c r="O174" s="1"/>
      <c r="P174" s="1"/>
      <c r="Q174" s="1"/>
    </row>
    <row r="175">
      <c r="A175" s="1"/>
      <c r="B175" s="1"/>
      <c r="C175" s="1"/>
      <c r="D175" s="1"/>
      <c r="E175" s="1"/>
      <c r="F175" s="2"/>
      <c r="G175" s="2"/>
      <c r="H175" s="2"/>
      <c r="I175" s="2"/>
      <c r="J175" s="2"/>
      <c r="K175" s="2"/>
      <c r="L175" s="2"/>
      <c r="M175" s="2"/>
      <c r="N175" s="2"/>
      <c r="O175" s="1"/>
      <c r="P175" s="1"/>
      <c r="Q175" s="1"/>
    </row>
    <row r="176">
      <c r="A176" s="1"/>
      <c r="B176" s="1"/>
      <c r="C176" s="1"/>
      <c r="D176" s="1"/>
      <c r="E176" s="1"/>
      <c r="F176" s="2"/>
      <c r="G176" s="2"/>
      <c r="H176" s="2"/>
      <c r="I176" s="2"/>
      <c r="J176" s="2"/>
      <c r="K176" s="2"/>
      <c r="L176" s="2"/>
      <c r="M176" s="2"/>
      <c r="N176" s="2"/>
      <c r="O176" s="1"/>
      <c r="P176" s="1"/>
      <c r="Q176" s="1"/>
    </row>
    <row r="177">
      <c r="A177" s="1"/>
      <c r="B177" s="1"/>
      <c r="C177" s="1"/>
      <c r="D177" s="1"/>
      <c r="E177" s="1"/>
      <c r="F177" s="2"/>
      <c r="G177" s="2"/>
      <c r="H177" s="2"/>
      <c r="I177" s="2"/>
      <c r="J177" s="2"/>
      <c r="K177" s="2"/>
      <c r="L177" s="2"/>
      <c r="M177" s="2"/>
      <c r="N177" s="2"/>
      <c r="O177" s="1"/>
      <c r="P177" s="1"/>
      <c r="Q177" s="1"/>
    </row>
    <row r="178">
      <c r="A178" s="1"/>
      <c r="B178" s="1"/>
      <c r="C178" s="1"/>
      <c r="D178" s="1"/>
      <c r="E178" s="1"/>
      <c r="F178" s="2"/>
      <c r="G178" s="2"/>
      <c r="H178" s="2"/>
      <c r="I178" s="2"/>
      <c r="J178" s="2"/>
      <c r="K178" s="2"/>
      <c r="L178" s="2"/>
      <c r="M178" s="2"/>
      <c r="N178" s="2"/>
      <c r="O178" s="1"/>
      <c r="P178" s="1"/>
      <c r="Q178" s="1"/>
    </row>
    <row r="179">
      <c r="A179" s="1"/>
      <c r="B179" s="1"/>
      <c r="C179" s="1"/>
      <c r="D179" s="1"/>
      <c r="E179" s="1"/>
      <c r="F179" s="2"/>
      <c r="G179" s="2"/>
      <c r="H179" s="2"/>
      <c r="I179" s="2"/>
      <c r="J179" s="2"/>
      <c r="K179" s="2"/>
      <c r="L179" s="2"/>
      <c r="M179" s="2"/>
      <c r="N179" s="2"/>
      <c r="O179" s="1"/>
      <c r="P179" s="1"/>
      <c r="Q179" s="1"/>
    </row>
    <row r="180">
      <c r="A180" s="1"/>
      <c r="B180" s="1"/>
      <c r="C180" s="1"/>
      <c r="D180" s="1"/>
      <c r="E180" s="1"/>
      <c r="F180" s="2"/>
      <c r="G180" s="2"/>
      <c r="H180" s="2"/>
      <c r="I180" s="2"/>
      <c r="J180" s="2"/>
      <c r="K180" s="2"/>
      <c r="L180" s="2"/>
      <c r="M180" s="2"/>
      <c r="N180" s="2"/>
      <c r="O180" s="1"/>
      <c r="P180" s="1"/>
      <c r="Q180" s="1"/>
    </row>
    <row r="181">
      <c r="A181" s="1"/>
      <c r="B181" s="1"/>
      <c r="C181" s="1"/>
      <c r="D181" s="1"/>
      <c r="E181" s="1"/>
      <c r="F181" s="2"/>
      <c r="G181" s="2"/>
      <c r="H181" s="2"/>
      <c r="I181" s="2"/>
      <c r="J181" s="2"/>
      <c r="K181" s="2"/>
      <c r="L181" s="2"/>
      <c r="M181" s="2"/>
      <c r="N181" s="2"/>
      <c r="O181" s="1"/>
      <c r="P181" s="1"/>
      <c r="Q181" s="1"/>
    </row>
    <row r="182">
      <c r="A182" s="1"/>
      <c r="B182" s="1"/>
      <c r="C182" s="1"/>
      <c r="D182" s="1"/>
      <c r="E182" s="1"/>
      <c r="F182" s="2"/>
      <c r="G182" s="2"/>
      <c r="H182" s="2"/>
      <c r="I182" s="2"/>
      <c r="J182" s="2"/>
      <c r="K182" s="2"/>
      <c r="L182" s="2"/>
      <c r="M182" s="2"/>
      <c r="N182" s="2"/>
      <c r="O182" s="1"/>
      <c r="P182" s="1"/>
      <c r="Q182" s="1"/>
    </row>
    <row r="183">
      <c r="A183" s="1"/>
      <c r="B183" s="1"/>
      <c r="C183" s="1"/>
      <c r="D183" s="1"/>
      <c r="E183" s="1"/>
      <c r="F183" s="2"/>
      <c r="G183" s="2"/>
      <c r="H183" s="2"/>
      <c r="I183" s="2"/>
      <c r="J183" s="2"/>
      <c r="K183" s="2"/>
      <c r="L183" s="2"/>
      <c r="M183" s="2"/>
      <c r="N183" s="2"/>
      <c r="O183" s="1"/>
      <c r="P183" s="1"/>
      <c r="Q183" s="1"/>
    </row>
    <row r="184">
      <c r="A184" s="1"/>
      <c r="B184" s="1"/>
      <c r="C184" s="1"/>
      <c r="D184" s="1"/>
      <c r="E184" s="1"/>
      <c r="F184" s="2"/>
      <c r="G184" s="2"/>
      <c r="H184" s="2"/>
      <c r="I184" s="2"/>
      <c r="J184" s="2"/>
      <c r="K184" s="2"/>
      <c r="L184" s="2"/>
      <c r="M184" s="2"/>
      <c r="N184" s="2"/>
      <c r="O184" s="1"/>
      <c r="P184" s="1"/>
      <c r="Q184" s="1"/>
    </row>
    <row r="185">
      <c r="A185" s="1"/>
      <c r="B185" s="1"/>
      <c r="C185" s="1"/>
      <c r="D185" s="1"/>
      <c r="E185" s="1"/>
      <c r="F185" s="2"/>
      <c r="G185" s="2"/>
      <c r="H185" s="2"/>
      <c r="I185" s="2"/>
      <c r="J185" s="2"/>
      <c r="K185" s="2"/>
      <c r="L185" s="2"/>
      <c r="M185" s="2"/>
      <c r="N185" s="2"/>
      <c r="O185" s="1"/>
      <c r="P185" s="1"/>
      <c r="Q185" s="1"/>
    </row>
    <row r="186">
      <c r="A186" s="1"/>
      <c r="B186" s="1"/>
      <c r="C186" s="1"/>
      <c r="D186" s="1"/>
      <c r="E186" s="1"/>
      <c r="F186" s="2"/>
      <c r="G186" s="2"/>
      <c r="H186" s="2"/>
      <c r="I186" s="2"/>
      <c r="J186" s="2"/>
      <c r="K186" s="2"/>
      <c r="L186" s="2"/>
      <c r="M186" s="2"/>
      <c r="N186" s="2"/>
      <c r="O186" s="1"/>
      <c r="P186" s="1"/>
      <c r="Q186" s="1"/>
    </row>
    <row r="187">
      <c r="A187" s="1"/>
      <c r="B187" s="1"/>
      <c r="C187" s="1"/>
      <c r="D187" s="1"/>
      <c r="E187" s="1"/>
      <c r="F187" s="2"/>
      <c r="G187" s="2"/>
      <c r="H187" s="2"/>
      <c r="I187" s="2"/>
      <c r="J187" s="2"/>
      <c r="K187" s="2"/>
      <c r="L187" s="2"/>
      <c r="M187" s="2"/>
      <c r="N187" s="2"/>
      <c r="O187" s="1"/>
      <c r="P187" s="1"/>
      <c r="Q187" s="1"/>
    </row>
    <row r="188">
      <c r="A188" s="1"/>
      <c r="B188" s="1"/>
      <c r="C188" s="1"/>
      <c r="D188" s="1"/>
      <c r="E188" s="1"/>
      <c r="F188" s="2"/>
      <c r="G188" s="2"/>
      <c r="H188" s="2"/>
      <c r="I188" s="2"/>
      <c r="J188" s="2"/>
      <c r="K188" s="2"/>
      <c r="L188" s="2"/>
      <c r="M188" s="2"/>
      <c r="N188" s="2"/>
      <c r="O188" s="1"/>
      <c r="P188" s="1"/>
      <c r="Q188" s="1"/>
    </row>
    <row r="189">
      <c r="A189" s="1"/>
      <c r="B189" s="1"/>
      <c r="C189" s="1"/>
      <c r="D189" s="1"/>
      <c r="E189" s="1"/>
      <c r="F189" s="2"/>
      <c r="G189" s="2"/>
      <c r="H189" s="2"/>
      <c r="I189" s="2"/>
      <c r="J189" s="2"/>
      <c r="K189" s="2"/>
      <c r="L189" s="2"/>
      <c r="M189" s="2"/>
      <c r="N189" s="2"/>
      <c r="O189" s="1"/>
      <c r="P189" s="1"/>
      <c r="Q189" s="1"/>
    </row>
    <row r="190">
      <c r="A190" s="1"/>
      <c r="B190" s="1"/>
      <c r="C190" s="1"/>
      <c r="D190" s="1"/>
      <c r="E190" s="1"/>
      <c r="F190" s="2"/>
      <c r="G190" s="2"/>
      <c r="H190" s="2"/>
      <c r="I190" s="2"/>
      <c r="J190" s="2"/>
      <c r="K190" s="2"/>
      <c r="L190" s="2"/>
      <c r="M190" s="2"/>
      <c r="N190" s="2"/>
      <c r="O190" s="1"/>
      <c r="P190" s="1"/>
      <c r="Q190" s="1"/>
    </row>
    <row r="191">
      <c r="A191" s="1"/>
      <c r="B191" s="1"/>
      <c r="C191" s="1"/>
      <c r="D191" s="1"/>
      <c r="E191" s="1"/>
      <c r="F191" s="2"/>
      <c r="G191" s="2"/>
      <c r="H191" s="2"/>
      <c r="I191" s="2"/>
      <c r="J191" s="2"/>
      <c r="K191" s="2"/>
      <c r="L191" s="2"/>
      <c r="M191" s="2"/>
      <c r="N191" s="2"/>
      <c r="O191" s="1"/>
      <c r="P191" s="1"/>
      <c r="Q191" s="1"/>
    </row>
    <row r="192">
      <c r="A192" s="1"/>
      <c r="B192" s="1"/>
      <c r="C192" s="1"/>
      <c r="D192" s="1"/>
      <c r="E192" s="1"/>
      <c r="F192" s="2"/>
      <c r="G192" s="2"/>
      <c r="H192" s="2"/>
      <c r="I192" s="2"/>
      <c r="J192" s="2"/>
      <c r="K192" s="2"/>
      <c r="L192" s="2"/>
      <c r="M192" s="2"/>
      <c r="N192" s="2"/>
      <c r="O192" s="1"/>
      <c r="P192" s="1"/>
      <c r="Q192" s="1"/>
    </row>
    <row r="193">
      <c r="A193" s="1"/>
      <c r="B193" s="1"/>
      <c r="C193" s="1"/>
      <c r="D193" s="1"/>
      <c r="E193" s="1"/>
      <c r="F193" s="2"/>
      <c r="G193" s="2"/>
      <c r="H193" s="2"/>
      <c r="I193" s="2"/>
      <c r="J193" s="2"/>
      <c r="K193" s="2"/>
      <c r="L193" s="2"/>
      <c r="M193" s="2"/>
      <c r="N193" s="2"/>
      <c r="O193" s="1"/>
      <c r="P193" s="1"/>
      <c r="Q193" s="1"/>
    </row>
    <row r="194">
      <c r="A194" s="1"/>
      <c r="B194" s="1"/>
      <c r="C194" s="1"/>
      <c r="D194" s="1"/>
      <c r="E194" s="1"/>
      <c r="F194" s="2"/>
      <c r="G194" s="2"/>
      <c r="H194" s="2"/>
      <c r="I194" s="2"/>
      <c r="J194" s="2"/>
      <c r="K194" s="2"/>
      <c r="L194" s="2"/>
      <c r="M194" s="2"/>
      <c r="N194" s="2"/>
      <c r="O194" s="1"/>
      <c r="P194" s="1"/>
      <c r="Q194" s="1"/>
    </row>
    <row r="195">
      <c r="A195" s="1"/>
      <c r="B195" s="1"/>
      <c r="C195" s="1"/>
      <c r="D195" s="1"/>
      <c r="E195" s="1"/>
      <c r="F195" s="2"/>
      <c r="G195" s="2"/>
      <c r="H195" s="2"/>
      <c r="I195" s="2"/>
      <c r="J195" s="2"/>
      <c r="K195" s="2"/>
      <c r="L195" s="2"/>
      <c r="M195" s="2"/>
      <c r="N195" s="2"/>
      <c r="O195" s="1"/>
      <c r="P195" s="1"/>
      <c r="Q195" s="1"/>
    </row>
    <row r="196">
      <c r="A196" s="1"/>
      <c r="B196" s="1"/>
      <c r="C196" s="1"/>
      <c r="D196" s="1"/>
      <c r="E196" s="1"/>
      <c r="F196" s="2"/>
      <c r="G196" s="2"/>
      <c r="H196" s="2"/>
      <c r="I196" s="2"/>
      <c r="J196" s="2"/>
      <c r="K196" s="2"/>
      <c r="L196" s="2"/>
      <c r="M196" s="2"/>
      <c r="N196" s="2"/>
      <c r="O196" s="1"/>
      <c r="P196" s="1"/>
      <c r="Q196" s="1"/>
    </row>
    <row r="197">
      <c r="A197" s="1"/>
      <c r="B197" s="1"/>
      <c r="C197" s="1"/>
      <c r="D197" s="1"/>
      <c r="E197" s="1"/>
      <c r="F197" s="2"/>
      <c r="G197" s="2"/>
      <c r="H197" s="2"/>
      <c r="I197" s="2"/>
      <c r="J197" s="2"/>
      <c r="K197" s="2"/>
      <c r="L197" s="2"/>
      <c r="M197" s="2"/>
      <c r="N197" s="2"/>
      <c r="O197" s="1"/>
      <c r="P197" s="1"/>
      <c r="Q197" s="1"/>
    </row>
    <row r="198">
      <c r="A198" s="1"/>
      <c r="B198" s="1"/>
      <c r="C198" s="1"/>
      <c r="D198" s="1"/>
      <c r="E198" s="1"/>
      <c r="F198" s="2"/>
      <c r="G198" s="2"/>
      <c r="H198" s="2"/>
      <c r="I198" s="2"/>
      <c r="J198" s="2"/>
      <c r="K198" s="2"/>
      <c r="L198" s="2"/>
      <c r="M198" s="2"/>
      <c r="N198" s="2"/>
      <c r="O198" s="1"/>
      <c r="P198" s="1"/>
      <c r="Q198" s="1"/>
    </row>
    <row r="199">
      <c r="A199" s="1"/>
      <c r="B199" s="1"/>
      <c r="C199" s="1"/>
      <c r="D199" s="1"/>
      <c r="E199" s="1"/>
      <c r="F199" s="2"/>
      <c r="G199" s="2"/>
      <c r="H199" s="2"/>
      <c r="I199" s="2"/>
      <c r="J199" s="2"/>
      <c r="K199" s="2"/>
      <c r="L199" s="2"/>
      <c r="M199" s="2"/>
      <c r="N199" s="2"/>
      <c r="O199" s="1"/>
      <c r="P199" s="1"/>
      <c r="Q199" s="1"/>
    </row>
    <row r="200">
      <c r="A200" s="1"/>
      <c r="B200" s="1"/>
      <c r="C200" s="1"/>
      <c r="D200" s="1"/>
      <c r="E200" s="1"/>
      <c r="F200" s="2"/>
      <c r="G200" s="2"/>
      <c r="H200" s="2"/>
      <c r="I200" s="2"/>
      <c r="J200" s="2"/>
      <c r="K200" s="2"/>
      <c r="L200" s="2"/>
      <c r="M200" s="2"/>
      <c r="N200" s="2"/>
      <c r="O200" s="1"/>
      <c r="P200" s="1"/>
      <c r="Q200" s="1"/>
    </row>
    <row r="201">
      <c r="A201" s="1"/>
      <c r="B201" s="1"/>
      <c r="C201" s="1"/>
      <c r="D201" s="1"/>
      <c r="E201" s="1"/>
      <c r="F201" s="2"/>
      <c r="G201" s="2"/>
      <c r="H201" s="2"/>
      <c r="I201" s="2"/>
      <c r="J201" s="2"/>
      <c r="K201" s="2"/>
      <c r="L201" s="2"/>
      <c r="M201" s="2"/>
      <c r="N201" s="2"/>
      <c r="O201" s="1"/>
      <c r="P201" s="1"/>
      <c r="Q201" s="1"/>
    </row>
    <row r="202">
      <c r="A202" s="1"/>
      <c r="B202" s="1"/>
      <c r="C202" s="1"/>
      <c r="D202" s="1"/>
      <c r="E202" s="1"/>
      <c r="F202" s="2"/>
      <c r="G202" s="2"/>
      <c r="H202" s="2"/>
      <c r="I202" s="2"/>
      <c r="J202" s="2"/>
      <c r="K202" s="2"/>
      <c r="L202" s="2"/>
      <c r="M202" s="2"/>
      <c r="N202" s="2"/>
      <c r="O202" s="1"/>
      <c r="P202" s="1"/>
      <c r="Q202" s="1"/>
    </row>
    <row r="203">
      <c r="A203" s="1"/>
      <c r="B203" s="1"/>
      <c r="C203" s="1"/>
      <c r="D203" s="1"/>
      <c r="E203" s="1"/>
      <c r="F203" s="2"/>
      <c r="G203" s="2"/>
      <c r="H203" s="2"/>
      <c r="I203" s="2"/>
      <c r="J203" s="2"/>
      <c r="K203" s="2"/>
      <c r="L203" s="2"/>
      <c r="M203" s="2"/>
      <c r="N203" s="2"/>
      <c r="O203" s="1"/>
      <c r="P203" s="1"/>
      <c r="Q203" s="1"/>
    </row>
    <row r="204">
      <c r="A204" s="1"/>
      <c r="B204" s="1"/>
      <c r="C204" s="1"/>
      <c r="D204" s="1"/>
      <c r="E204" s="1"/>
      <c r="F204" s="2"/>
      <c r="G204" s="2"/>
      <c r="H204" s="2"/>
      <c r="I204" s="2"/>
      <c r="J204" s="2"/>
      <c r="K204" s="2"/>
      <c r="L204" s="2"/>
      <c r="M204" s="2"/>
      <c r="N204" s="2"/>
      <c r="O204" s="1"/>
      <c r="P204" s="1"/>
      <c r="Q204" s="1"/>
    </row>
    <row r="205">
      <c r="A205" s="1"/>
      <c r="B205" s="1"/>
      <c r="C205" s="1"/>
      <c r="D205" s="1"/>
      <c r="E205" s="1"/>
      <c r="F205" s="2"/>
      <c r="G205" s="2"/>
      <c r="H205" s="2"/>
      <c r="I205" s="2"/>
      <c r="J205" s="2"/>
      <c r="K205" s="2"/>
      <c r="L205" s="2"/>
      <c r="M205" s="2"/>
      <c r="N205" s="2"/>
      <c r="O205" s="1"/>
      <c r="P205" s="1"/>
      <c r="Q205" s="1"/>
    </row>
    <row r="206">
      <c r="A206" s="1"/>
      <c r="B206" s="1"/>
      <c r="C206" s="1"/>
      <c r="D206" s="1"/>
      <c r="E206" s="1"/>
      <c r="F206" s="2"/>
      <c r="G206" s="2"/>
      <c r="H206" s="2"/>
      <c r="I206" s="2"/>
      <c r="J206" s="2"/>
      <c r="K206" s="2"/>
      <c r="L206" s="2"/>
      <c r="M206" s="2"/>
      <c r="N206" s="2"/>
      <c r="O206" s="1"/>
      <c r="P206" s="1"/>
      <c r="Q206" s="1"/>
    </row>
    <row r="207">
      <c r="A207" s="1"/>
      <c r="B207" s="1"/>
      <c r="C207" s="1"/>
      <c r="D207" s="1"/>
      <c r="E207" s="1"/>
      <c r="F207" s="2"/>
      <c r="G207" s="2"/>
      <c r="H207" s="2"/>
      <c r="I207" s="2"/>
      <c r="J207" s="2"/>
      <c r="K207" s="2"/>
      <c r="L207" s="2"/>
      <c r="M207" s="2"/>
      <c r="N207" s="2"/>
      <c r="O207" s="1"/>
      <c r="P207" s="1"/>
      <c r="Q207" s="1"/>
    </row>
    <row r="208">
      <c r="A208" s="1"/>
      <c r="B208" s="1"/>
      <c r="C208" s="1"/>
      <c r="D208" s="1"/>
      <c r="E208" s="1"/>
      <c r="F208" s="2"/>
      <c r="G208" s="2"/>
      <c r="H208" s="2"/>
      <c r="I208" s="2"/>
      <c r="J208" s="2"/>
      <c r="K208" s="2"/>
      <c r="L208" s="2"/>
      <c r="M208" s="2"/>
      <c r="N208" s="2"/>
      <c r="O208" s="1"/>
      <c r="P208" s="1"/>
      <c r="Q208" s="1"/>
    </row>
    <row r="209">
      <c r="A209" s="1"/>
      <c r="B209" s="1"/>
      <c r="C209" s="1"/>
      <c r="D209" s="1"/>
      <c r="E209" s="1"/>
      <c r="F209" s="2"/>
      <c r="G209" s="2"/>
      <c r="H209" s="2"/>
      <c r="I209" s="2"/>
      <c r="J209" s="2"/>
      <c r="K209" s="2"/>
      <c r="L209" s="2"/>
      <c r="M209" s="2"/>
      <c r="N209" s="2"/>
      <c r="O209" s="1"/>
      <c r="P209" s="1"/>
      <c r="Q209" s="1"/>
    </row>
    <row r="210">
      <c r="A210" s="1"/>
      <c r="B210" s="1"/>
      <c r="C210" s="1"/>
      <c r="D210" s="1"/>
      <c r="E210" s="1"/>
      <c r="F210" s="2"/>
      <c r="G210" s="2"/>
      <c r="H210" s="2"/>
      <c r="I210" s="2"/>
      <c r="J210" s="2"/>
      <c r="K210" s="2"/>
      <c r="L210" s="2"/>
      <c r="M210" s="2"/>
      <c r="N210" s="2"/>
      <c r="O210" s="1"/>
      <c r="P210" s="1"/>
      <c r="Q210" s="1"/>
    </row>
    <row r="211">
      <c r="A211" s="1"/>
      <c r="B211" s="1"/>
      <c r="C211" s="1"/>
      <c r="D211" s="1"/>
      <c r="E211" s="1"/>
      <c r="F211" s="2"/>
      <c r="G211" s="2"/>
      <c r="H211" s="2"/>
      <c r="I211" s="2"/>
      <c r="J211" s="2"/>
      <c r="K211" s="2"/>
      <c r="L211" s="2"/>
      <c r="M211" s="2"/>
      <c r="N211" s="2"/>
      <c r="O211" s="1"/>
      <c r="P211" s="1"/>
      <c r="Q211" s="1"/>
    </row>
    <row r="212">
      <c r="A212" s="1"/>
      <c r="B212" s="1"/>
      <c r="C212" s="1"/>
      <c r="D212" s="1"/>
      <c r="E212" s="1"/>
      <c r="F212" s="2"/>
      <c r="G212" s="2"/>
      <c r="H212" s="2"/>
      <c r="I212" s="2"/>
      <c r="J212" s="2"/>
      <c r="K212" s="2"/>
      <c r="L212" s="2"/>
      <c r="M212" s="2"/>
      <c r="N212" s="2"/>
      <c r="O212" s="1"/>
      <c r="P212" s="1"/>
      <c r="Q212" s="1"/>
    </row>
    <row r="213">
      <c r="A213" s="1"/>
      <c r="B213" s="1"/>
      <c r="C213" s="1"/>
      <c r="D213" s="1"/>
      <c r="E213" s="1"/>
      <c r="F213" s="2"/>
      <c r="G213" s="2"/>
      <c r="H213" s="2"/>
      <c r="I213" s="2"/>
      <c r="J213" s="2"/>
      <c r="K213" s="2"/>
      <c r="L213" s="2"/>
      <c r="M213" s="2"/>
      <c r="N213" s="2"/>
      <c r="O213" s="1"/>
      <c r="P213" s="1"/>
      <c r="Q213" s="1"/>
    </row>
    <row r="214">
      <c r="A214" s="1"/>
      <c r="B214" s="1"/>
      <c r="C214" s="1"/>
      <c r="D214" s="1"/>
      <c r="E214" s="1"/>
      <c r="F214" s="2"/>
      <c r="G214" s="2"/>
      <c r="H214" s="2"/>
      <c r="I214" s="2"/>
      <c r="J214" s="2"/>
      <c r="K214" s="2"/>
      <c r="L214" s="2"/>
      <c r="M214" s="2"/>
      <c r="N214" s="2"/>
      <c r="O214" s="1"/>
      <c r="P214" s="1"/>
      <c r="Q214" s="1"/>
    </row>
    <row r="215">
      <c r="A215" s="1"/>
      <c r="B215" s="1"/>
      <c r="C215" s="1"/>
      <c r="D215" s="1"/>
      <c r="E215" s="1"/>
      <c r="F215" s="2"/>
      <c r="G215" s="2"/>
      <c r="H215" s="2"/>
      <c r="I215" s="2"/>
      <c r="J215" s="2"/>
      <c r="K215" s="2"/>
      <c r="L215" s="2"/>
      <c r="M215" s="2"/>
      <c r="N215" s="2"/>
      <c r="O215" s="1"/>
      <c r="P215" s="1"/>
      <c r="Q215" s="1"/>
    </row>
    <row r="216">
      <c r="A216" s="1"/>
      <c r="B216" s="1"/>
      <c r="C216" s="1"/>
      <c r="D216" s="1"/>
      <c r="E216" s="1"/>
      <c r="F216" s="2"/>
      <c r="G216" s="2"/>
      <c r="H216" s="2"/>
      <c r="I216" s="2"/>
      <c r="J216" s="2"/>
      <c r="K216" s="2"/>
      <c r="L216" s="2"/>
      <c r="M216" s="2"/>
      <c r="N216" s="2"/>
      <c r="O216" s="1"/>
      <c r="P216" s="1"/>
      <c r="Q216" s="1"/>
    </row>
    <row r="217">
      <c r="A217" s="1"/>
      <c r="B217" s="1"/>
      <c r="C217" s="1"/>
      <c r="D217" s="1"/>
      <c r="E217" s="1"/>
      <c r="F217" s="2"/>
      <c r="G217" s="2"/>
      <c r="H217" s="2"/>
      <c r="I217" s="2"/>
      <c r="J217" s="2"/>
      <c r="K217" s="2"/>
      <c r="L217" s="2"/>
      <c r="M217" s="2"/>
      <c r="N217" s="2"/>
      <c r="O217" s="1"/>
      <c r="P217" s="1"/>
      <c r="Q217" s="1"/>
    </row>
    <row r="218">
      <c r="A218" s="1"/>
      <c r="B218" s="1"/>
      <c r="C218" s="1"/>
      <c r="D218" s="1"/>
      <c r="E218" s="1"/>
      <c r="F218" s="2"/>
      <c r="G218" s="2"/>
      <c r="H218" s="2"/>
      <c r="I218" s="2"/>
      <c r="J218" s="2"/>
      <c r="K218" s="2"/>
      <c r="L218" s="2"/>
      <c r="M218" s="2"/>
      <c r="N218" s="2"/>
      <c r="O218" s="1"/>
      <c r="P218" s="1"/>
      <c r="Q218" s="1"/>
    </row>
    <row r="219">
      <c r="A219" s="1"/>
      <c r="B219" s="1"/>
      <c r="C219" s="1"/>
      <c r="D219" s="1"/>
      <c r="E219" s="1"/>
      <c r="F219" s="2"/>
      <c r="G219" s="2"/>
      <c r="H219" s="2"/>
      <c r="I219" s="2"/>
      <c r="J219" s="2"/>
      <c r="K219" s="2"/>
      <c r="L219" s="2"/>
      <c r="M219" s="2"/>
      <c r="N219" s="2"/>
      <c r="O219" s="1"/>
      <c r="P219" s="1"/>
      <c r="Q219" s="1"/>
    </row>
    <row r="220">
      <c r="A220" s="1"/>
      <c r="B220" s="1"/>
      <c r="C220" s="1"/>
      <c r="D220" s="1"/>
      <c r="E220" s="1"/>
      <c r="F220" s="2"/>
      <c r="G220" s="2"/>
      <c r="H220" s="2"/>
      <c r="I220" s="2"/>
      <c r="J220" s="2"/>
      <c r="K220" s="2"/>
      <c r="L220" s="2"/>
      <c r="M220" s="2"/>
      <c r="N220" s="2"/>
      <c r="O220" s="1"/>
      <c r="P220" s="1"/>
      <c r="Q220" s="1"/>
    </row>
    <row r="221">
      <c r="A221" s="1"/>
      <c r="B221" s="1"/>
      <c r="C221" s="1"/>
      <c r="D221" s="1"/>
      <c r="E221" s="1"/>
      <c r="F221" s="2"/>
      <c r="G221" s="2"/>
      <c r="H221" s="2"/>
      <c r="I221" s="2"/>
      <c r="J221" s="2"/>
      <c r="K221" s="2"/>
      <c r="L221" s="2"/>
      <c r="M221" s="2"/>
      <c r="N221" s="2"/>
      <c r="O221" s="1"/>
      <c r="P221" s="1"/>
      <c r="Q221" s="1"/>
    </row>
    <row r="222">
      <c r="A222" s="1"/>
      <c r="B222" s="1"/>
      <c r="C222" s="1"/>
      <c r="D222" s="1"/>
      <c r="E222" s="1"/>
      <c r="F222" s="2"/>
      <c r="G222" s="2"/>
      <c r="H222" s="2"/>
      <c r="I222" s="2"/>
      <c r="J222" s="2"/>
      <c r="K222" s="2"/>
      <c r="L222" s="2"/>
      <c r="M222" s="2"/>
      <c r="N222" s="2"/>
      <c r="O222" s="1"/>
      <c r="P222" s="1"/>
      <c r="Q222" s="1"/>
    </row>
    <row r="223">
      <c r="A223" s="1"/>
      <c r="B223" s="1"/>
      <c r="C223" s="1"/>
      <c r="D223" s="1"/>
      <c r="E223" s="1"/>
      <c r="F223" s="2"/>
      <c r="G223" s="2"/>
      <c r="H223" s="2"/>
      <c r="I223" s="2"/>
      <c r="J223" s="2"/>
      <c r="K223" s="2"/>
      <c r="L223" s="2"/>
      <c r="M223" s="2"/>
      <c r="N223" s="2"/>
      <c r="O223" s="1"/>
      <c r="P223" s="1"/>
      <c r="Q223" s="1"/>
    </row>
    <row r="224">
      <c r="A224" s="1"/>
      <c r="B224" s="1"/>
      <c r="C224" s="1"/>
      <c r="D224" s="1"/>
      <c r="E224" s="1"/>
      <c r="F224" s="2"/>
      <c r="G224" s="2"/>
      <c r="H224" s="2"/>
      <c r="I224" s="2"/>
      <c r="J224" s="2"/>
      <c r="K224" s="2"/>
      <c r="L224" s="2"/>
      <c r="M224" s="2"/>
      <c r="N224" s="2"/>
      <c r="O224" s="1"/>
      <c r="P224" s="1"/>
      <c r="Q224" s="1"/>
    </row>
    <row r="225">
      <c r="A225" s="1"/>
      <c r="B225" s="1"/>
      <c r="C225" s="1"/>
      <c r="D225" s="1"/>
      <c r="E225" s="1"/>
      <c r="F225" s="2"/>
      <c r="G225" s="2"/>
      <c r="H225" s="2"/>
      <c r="I225" s="2"/>
      <c r="J225" s="2"/>
      <c r="K225" s="2"/>
      <c r="L225" s="2"/>
      <c r="M225" s="2"/>
      <c r="N225" s="2"/>
      <c r="O225" s="1"/>
      <c r="P225" s="1"/>
      <c r="Q225" s="1"/>
    </row>
    <row r="226">
      <c r="A226" s="1"/>
      <c r="B226" s="1"/>
      <c r="C226" s="1"/>
      <c r="D226" s="1"/>
      <c r="E226" s="1"/>
      <c r="F226" s="2"/>
      <c r="G226" s="2"/>
      <c r="H226" s="2"/>
      <c r="I226" s="2"/>
      <c r="J226" s="2"/>
      <c r="K226" s="2"/>
      <c r="L226" s="2"/>
      <c r="M226" s="2"/>
      <c r="N226" s="2"/>
      <c r="O226" s="1"/>
      <c r="P226" s="1"/>
      <c r="Q226" s="1"/>
    </row>
    <row r="227">
      <c r="A227" s="1"/>
      <c r="B227" s="1"/>
      <c r="C227" s="1"/>
      <c r="D227" s="1"/>
      <c r="E227" s="1"/>
      <c r="F227" s="2"/>
      <c r="G227" s="2"/>
      <c r="H227" s="2"/>
      <c r="I227" s="2"/>
      <c r="J227" s="2"/>
      <c r="K227" s="2"/>
      <c r="L227" s="2"/>
      <c r="M227" s="2"/>
      <c r="N227" s="2"/>
      <c r="O227" s="1"/>
      <c r="P227" s="1"/>
      <c r="Q227" s="1"/>
    </row>
    <row r="228">
      <c r="A228" s="1"/>
      <c r="B228" s="1"/>
      <c r="C228" s="1"/>
      <c r="D228" s="1"/>
      <c r="E228" s="1"/>
      <c r="F228" s="2"/>
      <c r="G228" s="2"/>
      <c r="H228" s="2"/>
      <c r="I228" s="2"/>
      <c r="J228" s="2"/>
      <c r="K228" s="2"/>
      <c r="L228" s="2"/>
      <c r="M228" s="2"/>
      <c r="N228" s="2"/>
      <c r="O228" s="1"/>
      <c r="P228" s="1"/>
      <c r="Q228" s="1"/>
    </row>
    <row r="229">
      <c r="A229" s="1"/>
      <c r="B229" s="1"/>
      <c r="C229" s="1"/>
      <c r="D229" s="1"/>
      <c r="E229" s="1"/>
      <c r="F229" s="2"/>
      <c r="G229" s="2"/>
      <c r="H229" s="2"/>
      <c r="I229" s="2"/>
      <c r="J229" s="2"/>
      <c r="K229" s="2"/>
      <c r="L229" s="2"/>
      <c r="M229" s="2"/>
      <c r="N229" s="2"/>
      <c r="O229" s="1"/>
      <c r="P229" s="1"/>
      <c r="Q229" s="1"/>
    </row>
    <row r="230">
      <c r="A230" s="1"/>
      <c r="B230" s="1"/>
      <c r="C230" s="1"/>
      <c r="D230" s="1"/>
      <c r="E230" s="1"/>
      <c r="F230" s="2"/>
      <c r="G230" s="2"/>
      <c r="H230" s="2"/>
      <c r="I230" s="2"/>
      <c r="J230" s="2"/>
      <c r="K230" s="2"/>
      <c r="L230" s="2"/>
      <c r="M230" s="2"/>
      <c r="N230" s="2"/>
      <c r="O230" s="1"/>
      <c r="P230" s="1"/>
      <c r="Q230" s="1"/>
    </row>
    <row r="231">
      <c r="A231" s="1"/>
      <c r="B231" s="1"/>
      <c r="C231" s="1"/>
      <c r="D231" s="1"/>
      <c r="E231" s="1"/>
      <c r="F231" s="2"/>
      <c r="G231" s="2"/>
      <c r="H231" s="2"/>
      <c r="I231" s="2"/>
      <c r="J231" s="2"/>
      <c r="K231" s="2"/>
      <c r="L231" s="2"/>
      <c r="M231" s="2"/>
      <c r="N231" s="2"/>
      <c r="O231" s="1"/>
      <c r="P231" s="1"/>
      <c r="Q231" s="1"/>
    </row>
    <row r="232">
      <c r="A232" s="1"/>
      <c r="B232" s="1"/>
      <c r="C232" s="1"/>
      <c r="D232" s="1"/>
      <c r="E232" s="1"/>
      <c r="F232" s="2"/>
      <c r="G232" s="2"/>
      <c r="H232" s="2"/>
      <c r="I232" s="2"/>
      <c r="J232" s="2"/>
      <c r="K232" s="2"/>
      <c r="L232" s="2"/>
      <c r="M232" s="2"/>
      <c r="N232" s="2"/>
      <c r="O232" s="1"/>
      <c r="P232" s="1"/>
      <c r="Q232" s="1"/>
    </row>
    <row r="233">
      <c r="A233" s="1"/>
      <c r="B233" s="1"/>
      <c r="C233" s="1"/>
      <c r="D233" s="1"/>
      <c r="E233" s="1"/>
      <c r="F233" s="2"/>
      <c r="G233" s="2"/>
      <c r="H233" s="2"/>
      <c r="I233" s="2"/>
      <c r="J233" s="2"/>
      <c r="K233" s="2"/>
      <c r="L233" s="2"/>
      <c r="M233" s="2"/>
      <c r="N233" s="2"/>
      <c r="O233" s="1"/>
      <c r="P233" s="1"/>
      <c r="Q233" s="1"/>
    </row>
    <row r="234">
      <c r="A234" s="1"/>
      <c r="B234" s="1"/>
      <c r="C234" s="1"/>
      <c r="D234" s="1"/>
      <c r="E234" s="1"/>
      <c r="F234" s="2"/>
      <c r="G234" s="2"/>
      <c r="H234" s="2"/>
      <c r="I234" s="2"/>
      <c r="J234" s="2"/>
      <c r="K234" s="2"/>
      <c r="L234" s="2"/>
      <c r="M234" s="2"/>
      <c r="N234" s="2"/>
      <c r="O234" s="1"/>
      <c r="P234" s="1"/>
      <c r="Q234" s="1"/>
    </row>
    <row r="235">
      <c r="A235" s="1"/>
      <c r="B235" s="1"/>
      <c r="C235" s="1"/>
      <c r="D235" s="1"/>
      <c r="E235" s="1"/>
      <c r="F235" s="2"/>
      <c r="G235" s="2"/>
      <c r="H235" s="2"/>
      <c r="I235" s="2"/>
      <c r="J235" s="2"/>
      <c r="K235" s="2"/>
      <c r="L235" s="2"/>
      <c r="M235" s="2"/>
      <c r="N235" s="2"/>
      <c r="O235" s="1"/>
      <c r="P235" s="1"/>
      <c r="Q235" s="1"/>
    </row>
    <row r="236">
      <c r="A236" s="1"/>
      <c r="B236" s="1"/>
      <c r="C236" s="1"/>
      <c r="D236" s="1"/>
      <c r="E236" s="1"/>
      <c r="F236" s="2"/>
      <c r="G236" s="2"/>
      <c r="H236" s="2"/>
      <c r="I236" s="2"/>
      <c r="J236" s="2"/>
      <c r="K236" s="2"/>
      <c r="L236" s="2"/>
      <c r="M236" s="2"/>
      <c r="N236" s="2"/>
      <c r="O236" s="1"/>
      <c r="P236" s="1"/>
      <c r="Q236" s="1"/>
    </row>
    <row r="237">
      <c r="A237" s="1"/>
      <c r="B237" s="1"/>
      <c r="C237" s="1"/>
      <c r="D237" s="1"/>
      <c r="E237" s="1"/>
      <c r="F237" s="2"/>
      <c r="G237" s="2"/>
      <c r="H237" s="2"/>
      <c r="I237" s="2"/>
      <c r="J237" s="2"/>
      <c r="K237" s="2"/>
      <c r="L237" s="2"/>
      <c r="M237" s="2"/>
      <c r="N237" s="2"/>
      <c r="O237" s="1"/>
      <c r="P237" s="1"/>
      <c r="Q237" s="1"/>
    </row>
    <row r="238">
      <c r="A238" s="1"/>
      <c r="B238" s="1"/>
      <c r="C238" s="1"/>
      <c r="D238" s="1"/>
      <c r="E238" s="1"/>
      <c r="F238" s="2"/>
      <c r="G238" s="2"/>
      <c r="H238" s="2"/>
      <c r="I238" s="2"/>
      <c r="J238" s="2"/>
      <c r="K238" s="2"/>
      <c r="L238" s="2"/>
      <c r="M238" s="2"/>
      <c r="N238" s="2"/>
      <c r="O238" s="1"/>
      <c r="P238" s="1"/>
      <c r="Q238" s="1"/>
    </row>
    <row r="239">
      <c r="A239" s="1"/>
      <c r="B239" s="1"/>
      <c r="C239" s="1"/>
      <c r="D239" s="1"/>
      <c r="E239" s="1"/>
      <c r="F239" s="2"/>
      <c r="G239" s="2"/>
      <c r="H239" s="2"/>
      <c r="I239" s="2"/>
      <c r="J239" s="2"/>
      <c r="K239" s="2"/>
      <c r="L239" s="2"/>
      <c r="M239" s="2"/>
      <c r="N239" s="2"/>
      <c r="O239" s="1"/>
      <c r="P239" s="1"/>
      <c r="Q239" s="1"/>
    </row>
    <row r="240">
      <c r="A240" s="1"/>
      <c r="B240" s="1"/>
      <c r="C240" s="1"/>
      <c r="D240" s="1"/>
      <c r="E240" s="1"/>
      <c r="F240" s="2"/>
      <c r="G240" s="2"/>
      <c r="H240" s="2"/>
      <c r="I240" s="2"/>
      <c r="J240" s="2"/>
      <c r="K240" s="2"/>
      <c r="L240" s="2"/>
      <c r="M240" s="2"/>
      <c r="N240" s="2"/>
      <c r="O240" s="1"/>
      <c r="P240" s="1"/>
      <c r="Q240" s="1"/>
    </row>
    <row r="241">
      <c r="A241" s="1"/>
      <c r="B241" s="1"/>
      <c r="C241" s="1"/>
      <c r="D241" s="1"/>
      <c r="E241" s="1"/>
      <c r="F241" s="2"/>
      <c r="G241" s="2"/>
      <c r="H241" s="2"/>
      <c r="I241" s="2"/>
      <c r="J241" s="2"/>
      <c r="K241" s="2"/>
      <c r="L241" s="2"/>
      <c r="M241" s="2"/>
      <c r="N241" s="2"/>
      <c r="O241" s="1"/>
      <c r="P241" s="1"/>
      <c r="Q241" s="1"/>
    </row>
    <row r="242">
      <c r="A242" s="1"/>
      <c r="B242" s="1"/>
      <c r="C242" s="1"/>
      <c r="D242" s="1"/>
      <c r="E242" s="1"/>
      <c r="F242" s="2"/>
      <c r="G242" s="2"/>
      <c r="H242" s="2"/>
      <c r="I242" s="2"/>
      <c r="J242" s="2"/>
      <c r="K242" s="2"/>
      <c r="L242" s="2"/>
      <c r="M242" s="2"/>
      <c r="N242" s="2"/>
      <c r="O242" s="1"/>
      <c r="P242" s="1"/>
      <c r="Q242" s="1"/>
    </row>
    <row r="243">
      <c r="A243" s="1"/>
      <c r="B243" s="1"/>
      <c r="C243" s="1"/>
      <c r="D243" s="1"/>
      <c r="E243" s="1"/>
      <c r="F243" s="2"/>
      <c r="G243" s="2"/>
      <c r="H243" s="2"/>
      <c r="I243" s="2"/>
      <c r="J243" s="2"/>
      <c r="K243" s="2"/>
      <c r="L243" s="2"/>
      <c r="M243" s="2"/>
      <c r="N243" s="2"/>
      <c r="O243" s="1"/>
      <c r="P243" s="1"/>
      <c r="Q243" s="1"/>
    </row>
    <row r="244">
      <c r="A244" s="1"/>
      <c r="B244" s="1"/>
      <c r="C244" s="1"/>
      <c r="D244" s="1"/>
      <c r="E244" s="1"/>
      <c r="F244" s="2"/>
      <c r="G244" s="2"/>
      <c r="H244" s="2"/>
      <c r="I244" s="2"/>
      <c r="J244" s="2"/>
      <c r="K244" s="2"/>
      <c r="L244" s="2"/>
      <c r="M244" s="2"/>
      <c r="N244" s="2"/>
      <c r="O244" s="1"/>
      <c r="P244" s="1"/>
      <c r="Q244" s="1"/>
    </row>
    <row r="245">
      <c r="A245" s="1"/>
      <c r="B245" s="1"/>
      <c r="C245" s="1"/>
      <c r="D245" s="1"/>
      <c r="E245" s="1"/>
      <c r="F245" s="2"/>
      <c r="G245" s="2"/>
      <c r="H245" s="2"/>
      <c r="I245" s="2"/>
      <c r="J245" s="2"/>
      <c r="K245" s="2"/>
      <c r="L245" s="2"/>
      <c r="M245" s="2"/>
      <c r="N245" s="2"/>
      <c r="O245" s="1"/>
      <c r="P245" s="1"/>
      <c r="Q245" s="1"/>
    </row>
    <row r="246">
      <c r="A246" s="1"/>
      <c r="B246" s="1"/>
      <c r="C246" s="1"/>
      <c r="D246" s="1"/>
      <c r="E246" s="1"/>
      <c r="F246" s="2"/>
      <c r="G246" s="2"/>
      <c r="H246" s="2"/>
      <c r="I246" s="2"/>
      <c r="J246" s="2"/>
      <c r="K246" s="2"/>
      <c r="L246" s="2"/>
      <c r="M246" s="2"/>
      <c r="N246" s="2"/>
      <c r="O246" s="1"/>
      <c r="P246" s="1"/>
      <c r="Q246" s="1"/>
    </row>
    <row r="247">
      <c r="A247" s="1"/>
      <c r="B247" s="1"/>
      <c r="C247" s="1"/>
      <c r="D247" s="1"/>
      <c r="E247" s="1"/>
      <c r="F247" s="2"/>
      <c r="G247" s="2"/>
      <c r="H247" s="2"/>
      <c r="I247" s="2"/>
      <c r="J247" s="2"/>
      <c r="K247" s="2"/>
      <c r="L247" s="2"/>
      <c r="M247" s="2"/>
      <c r="N247" s="2"/>
      <c r="O247" s="1"/>
      <c r="P247" s="1"/>
      <c r="Q247" s="1"/>
    </row>
    <row r="248">
      <c r="A248" s="1"/>
      <c r="B248" s="1"/>
      <c r="C248" s="1"/>
      <c r="D248" s="1"/>
      <c r="E248" s="1"/>
      <c r="F248" s="2"/>
      <c r="G248" s="2"/>
      <c r="H248" s="2"/>
      <c r="I248" s="2"/>
      <c r="J248" s="2"/>
      <c r="K248" s="2"/>
      <c r="L248" s="2"/>
      <c r="M248" s="2"/>
      <c r="N248" s="2"/>
      <c r="O248" s="1"/>
      <c r="P248" s="1"/>
      <c r="Q248" s="1"/>
    </row>
    <row r="249">
      <c r="A249" s="1"/>
      <c r="B249" s="1"/>
      <c r="C249" s="1"/>
      <c r="D249" s="1"/>
      <c r="E249" s="1"/>
      <c r="F249" s="2"/>
      <c r="G249" s="2"/>
      <c r="H249" s="2"/>
      <c r="I249" s="2"/>
      <c r="J249" s="2"/>
      <c r="K249" s="2"/>
      <c r="L249" s="2"/>
      <c r="M249" s="2"/>
      <c r="N249" s="2"/>
      <c r="O249" s="1"/>
      <c r="P249" s="1"/>
      <c r="Q249" s="1"/>
    </row>
    <row r="250">
      <c r="A250" s="1"/>
      <c r="B250" s="1"/>
      <c r="C250" s="1"/>
      <c r="D250" s="1"/>
      <c r="E250" s="1"/>
      <c r="F250" s="2"/>
      <c r="G250" s="2"/>
      <c r="H250" s="2"/>
      <c r="I250" s="2"/>
      <c r="J250" s="2"/>
      <c r="K250" s="2"/>
      <c r="L250" s="2"/>
      <c r="M250" s="2"/>
      <c r="N250" s="2"/>
      <c r="O250" s="1"/>
      <c r="P250" s="1"/>
      <c r="Q250" s="1"/>
    </row>
    <row r="251">
      <c r="A251" s="1"/>
      <c r="B251" s="1"/>
      <c r="C251" s="1"/>
      <c r="D251" s="1"/>
      <c r="E251" s="1"/>
      <c r="F251" s="2"/>
      <c r="G251" s="2"/>
      <c r="H251" s="2"/>
      <c r="I251" s="2"/>
      <c r="J251" s="2"/>
      <c r="K251" s="2"/>
      <c r="L251" s="2"/>
      <c r="M251" s="2"/>
      <c r="N251" s="2"/>
      <c r="O251" s="1"/>
      <c r="P251" s="1"/>
      <c r="Q251" s="1"/>
    </row>
    <row r="252">
      <c r="A252" s="1"/>
      <c r="B252" s="1"/>
      <c r="C252" s="1"/>
      <c r="D252" s="1"/>
      <c r="E252" s="1"/>
      <c r="F252" s="2"/>
      <c r="G252" s="2"/>
      <c r="H252" s="2"/>
      <c r="I252" s="2"/>
      <c r="J252" s="2"/>
      <c r="K252" s="2"/>
      <c r="L252" s="2"/>
      <c r="M252" s="2"/>
      <c r="N252" s="2"/>
      <c r="O252" s="1"/>
      <c r="P252" s="1"/>
      <c r="Q252" s="1"/>
    </row>
    <row r="253">
      <c r="A253" s="1"/>
      <c r="B253" s="1"/>
      <c r="C253" s="1"/>
      <c r="D253" s="1"/>
      <c r="E253" s="1"/>
      <c r="F253" s="2"/>
      <c r="G253" s="2"/>
      <c r="H253" s="2"/>
      <c r="I253" s="2"/>
      <c r="J253" s="2"/>
      <c r="K253" s="2"/>
      <c r="L253" s="2"/>
      <c r="M253" s="2"/>
      <c r="N253" s="2"/>
      <c r="O253" s="1"/>
      <c r="P253" s="1"/>
      <c r="Q253" s="1"/>
    </row>
    <row r="254">
      <c r="A254" s="1"/>
      <c r="B254" s="1"/>
      <c r="C254" s="1"/>
      <c r="D254" s="1"/>
      <c r="E254" s="1"/>
      <c r="F254" s="2"/>
      <c r="G254" s="2"/>
      <c r="H254" s="2"/>
      <c r="I254" s="2"/>
      <c r="J254" s="2"/>
      <c r="K254" s="2"/>
      <c r="L254" s="2"/>
      <c r="M254" s="2"/>
      <c r="N254" s="2"/>
      <c r="O254" s="1"/>
      <c r="P254" s="1"/>
      <c r="Q254" s="1"/>
    </row>
    <row r="255">
      <c r="A255" s="1"/>
      <c r="B255" s="1"/>
      <c r="C255" s="1"/>
      <c r="D255" s="1"/>
      <c r="E255" s="1"/>
      <c r="F255" s="2"/>
      <c r="G255" s="2"/>
      <c r="H255" s="2"/>
      <c r="I255" s="2"/>
      <c r="J255" s="2"/>
      <c r="K255" s="2"/>
      <c r="L255" s="2"/>
      <c r="M255" s="2"/>
      <c r="N255" s="2"/>
      <c r="O255" s="1"/>
      <c r="P255" s="1"/>
      <c r="Q255" s="1"/>
    </row>
    <row r="256">
      <c r="A256" s="1"/>
      <c r="B256" s="1"/>
      <c r="C256" s="1"/>
      <c r="D256" s="1"/>
      <c r="E256" s="1"/>
      <c r="F256" s="2"/>
      <c r="G256" s="2"/>
      <c r="H256" s="2"/>
      <c r="I256" s="2"/>
      <c r="J256" s="2"/>
      <c r="K256" s="2"/>
      <c r="L256" s="2"/>
      <c r="M256" s="2"/>
      <c r="N256" s="2"/>
      <c r="O256" s="1"/>
      <c r="P256" s="1"/>
      <c r="Q256" s="1"/>
    </row>
    <row r="257">
      <c r="A257" s="1"/>
      <c r="B257" s="1"/>
      <c r="C257" s="1"/>
      <c r="D257" s="1"/>
      <c r="E257" s="1"/>
      <c r="F257" s="2"/>
      <c r="G257" s="2"/>
      <c r="H257" s="2"/>
      <c r="I257" s="2"/>
      <c r="J257" s="2"/>
      <c r="K257" s="2"/>
      <c r="L257" s="2"/>
      <c r="M257" s="2"/>
      <c r="N257" s="2"/>
      <c r="O257" s="1"/>
      <c r="P257" s="1"/>
      <c r="Q257" s="1"/>
    </row>
    <row r="258">
      <c r="A258" s="1"/>
      <c r="B258" s="1"/>
      <c r="C258" s="1"/>
      <c r="D258" s="1"/>
      <c r="E258" s="1"/>
      <c r="F258" s="2"/>
      <c r="G258" s="2"/>
      <c r="H258" s="2"/>
      <c r="I258" s="2"/>
      <c r="J258" s="2"/>
      <c r="K258" s="2"/>
      <c r="L258" s="2"/>
      <c r="M258" s="2"/>
      <c r="N258" s="2"/>
      <c r="O258" s="1"/>
      <c r="P258" s="1"/>
      <c r="Q258" s="1"/>
    </row>
    <row r="259">
      <c r="A259" s="1"/>
      <c r="B259" s="1"/>
      <c r="C259" s="1"/>
      <c r="D259" s="1"/>
      <c r="E259" s="1"/>
      <c r="F259" s="2"/>
      <c r="G259" s="2"/>
      <c r="H259" s="2"/>
      <c r="I259" s="2"/>
      <c r="J259" s="2"/>
      <c r="K259" s="2"/>
      <c r="L259" s="2"/>
      <c r="M259" s="2"/>
      <c r="N259" s="2"/>
      <c r="O259" s="1"/>
      <c r="P259" s="1"/>
      <c r="Q259" s="1"/>
    </row>
    <row r="260">
      <c r="A260" s="1"/>
      <c r="B260" s="1"/>
      <c r="C260" s="1"/>
      <c r="D260" s="1"/>
      <c r="E260" s="1"/>
      <c r="F260" s="2"/>
      <c r="G260" s="2"/>
      <c r="H260" s="2"/>
      <c r="I260" s="2"/>
      <c r="J260" s="2"/>
      <c r="K260" s="2"/>
      <c r="L260" s="2"/>
      <c r="M260" s="2"/>
      <c r="N260" s="2"/>
      <c r="O260" s="1"/>
      <c r="P260" s="1"/>
      <c r="Q260" s="1"/>
    </row>
    <row r="261">
      <c r="A261" s="1"/>
      <c r="B261" s="1"/>
      <c r="C261" s="1"/>
      <c r="D261" s="1"/>
      <c r="E261" s="1"/>
      <c r="F261" s="2"/>
      <c r="G261" s="2"/>
      <c r="H261" s="2"/>
      <c r="I261" s="2"/>
      <c r="J261" s="2"/>
      <c r="K261" s="2"/>
      <c r="L261" s="2"/>
      <c r="M261" s="2"/>
      <c r="N261" s="2"/>
      <c r="O261" s="1"/>
      <c r="P261" s="1"/>
      <c r="Q261" s="1"/>
    </row>
    <row r="262">
      <c r="A262" s="1"/>
      <c r="B262" s="1"/>
      <c r="C262" s="1"/>
      <c r="D262" s="1"/>
      <c r="E262" s="1"/>
      <c r="F262" s="2"/>
      <c r="G262" s="2"/>
      <c r="H262" s="2"/>
      <c r="I262" s="2"/>
      <c r="J262" s="2"/>
      <c r="K262" s="2"/>
      <c r="L262" s="2"/>
      <c r="M262" s="2"/>
      <c r="N262" s="2"/>
      <c r="O262" s="1"/>
      <c r="P262" s="1"/>
      <c r="Q262" s="1"/>
    </row>
    <row r="263">
      <c r="A263" s="1"/>
      <c r="B263" s="1"/>
      <c r="C263" s="1"/>
      <c r="D263" s="1"/>
      <c r="E263" s="1"/>
      <c r="F263" s="2"/>
      <c r="G263" s="2"/>
      <c r="H263" s="2"/>
      <c r="I263" s="2"/>
      <c r="J263" s="2"/>
      <c r="K263" s="2"/>
      <c r="L263" s="2"/>
      <c r="M263" s="2"/>
      <c r="N263" s="2"/>
      <c r="O263" s="1"/>
      <c r="P263" s="1"/>
      <c r="Q263" s="1"/>
    </row>
    <row r="264">
      <c r="A264" s="1"/>
      <c r="B264" s="1"/>
      <c r="C264" s="1"/>
      <c r="D264" s="1"/>
      <c r="E264" s="1"/>
      <c r="F264" s="2"/>
      <c r="G264" s="2"/>
      <c r="H264" s="2"/>
      <c r="I264" s="2"/>
      <c r="J264" s="2"/>
      <c r="K264" s="2"/>
      <c r="L264" s="2"/>
      <c r="M264" s="2"/>
      <c r="N264" s="2"/>
      <c r="O264" s="1"/>
      <c r="P264" s="1"/>
      <c r="Q264" s="1"/>
    </row>
    <row r="265">
      <c r="A265" s="1"/>
      <c r="B265" s="1"/>
      <c r="C265" s="1"/>
      <c r="D265" s="1"/>
      <c r="E265" s="1"/>
      <c r="F265" s="2"/>
      <c r="G265" s="2"/>
      <c r="H265" s="2"/>
      <c r="I265" s="2"/>
      <c r="J265" s="2"/>
      <c r="K265" s="2"/>
      <c r="L265" s="2"/>
      <c r="M265" s="2"/>
      <c r="N265" s="2"/>
      <c r="O265" s="1"/>
      <c r="P265" s="1"/>
      <c r="Q265" s="1"/>
    </row>
    <row r="266">
      <c r="A266" s="1"/>
      <c r="B266" s="1"/>
      <c r="C266" s="1"/>
      <c r="D266" s="1"/>
      <c r="E266" s="1"/>
      <c r="F266" s="2"/>
      <c r="G266" s="2"/>
      <c r="H266" s="2"/>
      <c r="I266" s="2"/>
      <c r="J266" s="2"/>
      <c r="K266" s="2"/>
      <c r="L266" s="2"/>
      <c r="M266" s="2"/>
      <c r="N266" s="2"/>
      <c r="O266" s="1"/>
      <c r="P266" s="1"/>
      <c r="Q266" s="1"/>
    </row>
    <row r="267">
      <c r="A267" s="1"/>
      <c r="B267" s="1"/>
      <c r="C267" s="1"/>
      <c r="D267" s="1"/>
      <c r="E267" s="1"/>
      <c r="F267" s="2"/>
      <c r="G267" s="2"/>
      <c r="H267" s="2"/>
      <c r="I267" s="2"/>
      <c r="J267" s="2"/>
      <c r="K267" s="2"/>
      <c r="L267" s="2"/>
      <c r="M267" s="2"/>
      <c r="N267" s="2"/>
      <c r="O267" s="1"/>
      <c r="P267" s="1"/>
      <c r="Q267" s="1"/>
    </row>
    <row r="268">
      <c r="A268" s="1"/>
      <c r="B268" s="1"/>
      <c r="C268" s="1"/>
      <c r="D268" s="1"/>
      <c r="E268" s="1"/>
      <c r="F268" s="2"/>
      <c r="G268" s="2"/>
      <c r="H268" s="2"/>
      <c r="I268" s="2"/>
      <c r="J268" s="2"/>
      <c r="K268" s="2"/>
      <c r="L268" s="2"/>
      <c r="M268" s="2"/>
      <c r="N268" s="2"/>
      <c r="O268" s="1"/>
      <c r="P268" s="1"/>
      <c r="Q268" s="1"/>
    </row>
    <row r="269">
      <c r="A269" s="1"/>
      <c r="B269" s="1"/>
      <c r="C269" s="1"/>
      <c r="D269" s="1"/>
      <c r="E269" s="1"/>
      <c r="F269" s="2"/>
      <c r="G269" s="2"/>
      <c r="H269" s="2"/>
      <c r="I269" s="2"/>
      <c r="J269" s="2"/>
      <c r="K269" s="2"/>
      <c r="L269" s="2"/>
      <c r="M269" s="2"/>
      <c r="N269" s="2"/>
      <c r="O269" s="1"/>
      <c r="P269" s="1"/>
      <c r="Q269" s="1"/>
    </row>
    <row r="270">
      <c r="A270" s="1"/>
      <c r="B270" s="1"/>
      <c r="C270" s="1"/>
      <c r="D270" s="1"/>
      <c r="E270" s="1"/>
      <c r="F270" s="2"/>
      <c r="G270" s="2"/>
      <c r="H270" s="2"/>
      <c r="I270" s="2"/>
      <c r="J270" s="2"/>
      <c r="K270" s="2"/>
      <c r="L270" s="2"/>
      <c r="M270" s="2"/>
      <c r="N270" s="2"/>
      <c r="O270" s="1"/>
      <c r="P270" s="1"/>
      <c r="Q270" s="1"/>
    </row>
    <row r="271">
      <c r="A271" s="1"/>
      <c r="B271" s="1"/>
      <c r="C271" s="1"/>
      <c r="D271" s="1"/>
      <c r="E271" s="1"/>
      <c r="F271" s="2"/>
      <c r="G271" s="2"/>
      <c r="H271" s="2"/>
      <c r="I271" s="2"/>
      <c r="J271" s="2"/>
      <c r="K271" s="2"/>
      <c r="L271" s="2"/>
      <c r="M271" s="2"/>
      <c r="N271" s="2"/>
      <c r="O271" s="1"/>
      <c r="P271" s="1"/>
      <c r="Q271" s="1"/>
    </row>
    <row r="272">
      <c r="A272" s="1"/>
      <c r="B272" s="1"/>
      <c r="C272" s="1"/>
      <c r="D272" s="1"/>
      <c r="E272" s="1"/>
      <c r="F272" s="2"/>
      <c r="G272" s="2"/>
      <c r="H272" s="2"/>
      <c r="I272" s="2"/>
      <c r="J272" s="2"/>
      <c r="K272" s="2"/>
      <c r="L272" s="2"/>
      <c r="M272" s="2"/>
      <c r="N272" s="2"/>
      <c r="O272" s="1"/>
      <c r="P272" s="1"/>
      <c r="Q272" s="1"/>
    </row>
    <row r="273">
      <c r="A273" s="1"/>
      <c r="B273" s="1"/>
      <c r="C273" s="1"/>
      <c r="D273" s="1"/>
      <c r="E273" s="1"/>
      <c r="F273" s="2"/>
      <c r="G273" s="2"/>
      <c r="H273" s="2"/>
      <c r="I273" s="2"/>
      <c r="J273" s="2"/>
      <c r="K273" s="2"/>
      <c r="L273" s="2"/>
      <c r="M273" s="2"/>
      <c r="N273" s="2"/>
      <c r="O273" s="1"/>
      <c r="P273" s="1"/>
      <c r="Q273" s="1"/>
    </row>
    <row r="274">
      <c r="A274" s="1"/>
      <c r="B274" s="1"/>
      <c r="C274" s="1"/>
      <c r="D274" s="1"/>
      <c r="E274" s="1"/>
      <c r="F274" s="2"/>
      <c r="G274" s="2"/>
      <c r="H274" s="2"/>
      <c r="I274" s="2"/>
      <c r="J274" s="2"/>
      <c r="K274" s="2"/>
      <c r="L274" s="2"/>
      <c r="M274" s="2"/>
      <c r="N274" s="2"/>
      <c r="O274" s="1"/>
      <c r="P274" s="1"/>
      <c r="Q274" s="1"/>
    </row>
    <row r="275">
      <c r="A275" s="1"/>
      <c r="B275" s="1"/>
      <c r="C275" s="1"/>
      <c r="D275" s="1"/>
      <c r="E275" s="1"/>
      <c r="F275" s="2"/>
      <c r="G275" s="2"/>
      <c r="H275" s="2"/>
      <c r="I275" s="2"/>
      <c r="J275" s="2"/>
      <c r="K275" s="2"/>
      <c r="L275" s="2"/>
      <c r="M275" s="2"/>
      <c r="N275" s="2"/>
      <c r="O275" s="1"/>
      <c r="P275" s="1"/>
      <c r="Q275" s="1"/>
    </row>
    <row r="276">
      <c r="A276" s="1"/>
      <c r="B276" s="1"/>
      <c r="C276" s="1"/>
      <c r="D276" s="1"/>
      <c r="E276" s="1"/>
      <c r="F276" s="2"/>
      <c r="G276" s="2"/>
      <c r="H276" s="2"/>
      <c r="I276" s="2"/>
      <c r="J276" s="2"/>
      <c r="K276" s="2"/>
      <c r="L276" s="2"/>
      <c r="M276" s="2"/>
      <c r="N276" s="2"/>
      <c r="O276" s="1"/>
      <c r="P276" s="1"/>
      <c r="Q276" s="1"/>
    </row>
    <row r="277">
      <c r="A277" s="1"/>
      <c r="B277" s="1"/>
      <c r="C277" s="1"/>
      <c r="D277" s="1"/>
      <c r="E277" s="1"/>
      <c r="F277" s="2"/>
      <c r="G277" s="2"/>
      <c r="H277" s="2"/>
      <c r="I277" s="2"/>
      <c r="J277" s="2"/>
      <c r="K277" s="2"/>
      <c r="L277" s="2"/>
      <c r="M277" s="2"/>
      <c r="N277" s="2"/>
      <c r="O277" s="1"/>
      <c r="P277" s="1"/>
      <c r="Q277" s="1"/>
    </row>
    <row r="278">
      <c r="A278" s="1"/>
      <c r="B278" s="1"/>
      <c r="C278" s="1"/>
      <c r="D278" s="1"/>
      <c r="E278" s="1"/>
      <c r="F278" s="2"/>
      <c r="G278" s="2"/>
      <c r="H278" s="2"/>
      <c r="I278" s="2"/>
      <c r="J278" s="2"/>
      <c r="K278" s="2"/>
      <c r="L278" s="2"/>
      <c r="M278" s="2"/>
      <c r="N278" s="2"/>
      <c r="O278" s="1"/>
      <c r="P278" s="1"/>
      <c r="Q278" s="1"/>
    </row>
    <row r="279">
      <c r="A279" s="1"/>
      <c r="B279" s="1"/>
      <c r="C279" s="1"/>
      <c r="D279" s="1"/>
      <c r="E279" s="1"/>
      <c r="F279" s="2"/>
      <c r="G279" s="2"/>
      <c r="H279" s="2"/>
      <c r="I279" s="2"/>
      <c r="J279" s="2"/>
      <c r="K279" s="2"/>
      <c r="L279" s="2"/>
      <c r="M279" s="2"/>
      <c r="N279" s="2"/>
      <c r="O279" s="1"/>
      <c r="P279" s="1"/>
      <c r="Q279" s="1"/>
    </row>
    <row r="280">
      <c r="A280" s="1"/>
      <c r="B280" s="1"/>
      <c r="C280" s="1"/>
      <c r="D280" s="1"/>
      <c r="E280" s="1"/>
      <c r="F280" s="2"/>
      <c r="G280" s="2"/>
      <c r="H280" s="2"/>
      <c r="I280" s="2"/>
      <c r="J280" s="2"/>
      <c r="K280" s="2"/>
      <c r="L280" s="2"/>
      <c r="M280" s="2"/>
      <c r="N280" s="2"/>
      <c r="O280" s="1"/>
      <c r="P280" s="1"/>
      <c r="Q280" s="1"/>
    </row>
    <row r="281">
      <c r="A281" s="1"/>
      <c r="B281" s="1"/>
      <c r="C281" s="1"/>
      <c r="D281" s="1"/>
      <c r="E281" s="1"/>
      <c r="F281" s="2"/>
      <c r="G281" s="2"/>
      <c r="H281" s="2"/>
      <c r="I281" s="2"/>
      <c r="J281" s="2"/>
      <c r="K281" s="2"/>
      <c r="L281" s="2"/>
      <c r="M281" s="2"/>
      <c r="N281" s="2"/>
      <c r="O281" s="1"/>
      <c r="P281" s="1"/>
      <c r="Q281" s="1"/>
    </row>
    <row r="282">
      <c r="A282" s="1"/>
      <c r="B282" s="1"/>
      <c r="C282" s="1"/>
      <c r="D282" s="1"/>
      <c r="E282" s="1"/>
      <c r="F282" s="2"/>
      <c r="G282" s="2"/>
      <c r="H282" s="2"/>
      <c r="I282" s="2"/>
      <c r="J282" s="2"/>
      <c r="K282" s="2"/>
      <c r="L282" s="2"/>
      <c r="M282" s="2"/>
      <c r="N282" s="2"/>
      <c r="O282" s="1"/>
      <c r="P282" s="1"/>
      <c r="Q282" s="1"/>
    </row>
    <row r="283">
      <c r="A283" s="1"/>
      <c r="B283" s="1"/>
      <c r="C283" s="1"/>
      <c r="D283" s="1"/>
      <c r="E283" s="1"/>
      <c r="F283" s="2"/>
      <c r="G283" s="2"/>
      <c r="H283" s="2"/>
      <c r="I283" s="2"/>
      <c r="J283" s="2"/>
      <c r="K283" s="2"/>
      <c r="L283" s="2"/>
      <c r="M283" s="2"/>
      <c r="N283" s="2"/>
      <c r="O283" s="1"/>
      <c r="P283" s="1"/>
      <c r="Q283" s="1"/>
    </row>
    <row r="284">
      <c r="A284" s="1"/>
      <c r="B284" s="1"/>
      <c r="C284" s="1"/>
      <c r="D284" s="1"/>
      <c r="E284" s="1"/>
      <c r="F284" s="2"/>
      <c r="G284" s="2"/>
      <c r="H284" s="2"/>
      <c r="I284" s="2"/>
      <c r="J284" s="2"/>
      <c r="K284" s="2"/>
      <c r="L284" s="2"/>
      <c r="M284" s="2"/>
      <c r="N284" s="2"/>
      <c r="O284" s="1"/>
      <c r="P284" s="1"/>
      <c r="Q284" s="1"/>
    </row>
    <row r="285">
      <c r="A285" s="1"/>
      <c r="B285" s="1"/>
      <c r="C285" s="1"/>
      <c r="D285" s="1"/>
      <c r="E285" s="1"/>
      <c r="F285" s="2"/>
      <c r="G285" s="2"/>
      <c r="H285" s="2"/>
      <c r="I285" s="2"/>
      <c r="J285" s="2"/>
      <c r="K285" s="2"/>
      <c r="L285" s="2"/>
      <c r="M285" s="2"/>
      <c r="N285" s="2"/>
      <c r="O285" s="1"/>
      <c r="P285" s="1"/>
      <c r="Q285" s="1"/>
    </row>
    <row r="286">
      <c r="A286" s="1"/>
      <c r="B286" s="1"/>
      <c r="C286" s="1"/>
      <c r="D286" s="1"/>
      <c r="E286" s="1"/>
      <c r="F286" s="2"/>
      <c r="G286" s="2"/>
      <c r="H286" s="2"/>
      <c r="I286" s="2"/>
      <c r="J286" s="2"/>
      <c r="K286" s="2"/>
      <c r="L286" s="2"/>
      <c r="M286" s="2"/>
      <c r="N286" s="2"/>
      <c r="O286" s="1"/>
      <c r="P286" s="1"/>
      <c r="Q286" s="1"/>
    </row>
    <row r="287">
      <c r="A287" s="1"/>
      <c r="B287" s="1"/>
      <c r="C287" s="1"/>
      <c r="D287" s="1"/>
      <c r="E287" s="1"/>
      <c r="F287" s="2"/>
      <c r="G287" s="2"/>
      <c r="H287" s="2"/>
      <c r="I287" s="2"/>
      <c r="J287" s="2"/>
      <c r="K287" s="2"/>
      <c r="L287" s="2"/>
      <c r="M287" s="2"/>
      <c r="N287" s="2"/>
      <c r="O287" s="1"/>
      <c r="P287" s="1"/>
      <c r="Q287" s="1"/>
    </row>
    <row r="288">
      <c r="A288" s="1"/>
      <c r="B288" s="1"/>
      <c r="C288" s="1"/>
      <c r="D288" s="1"/>
      <c r="E288" s="1"/>
      <c r="F288" s="2"/>
      <c r="G288" s="2"/>
      <c r="H288" s="2"/>
      <c r="I288" s="2"/>
      <c r="J288" s="2"/>
      <c r="K288" s="2"/>
      <c r="L288" s="2"/>
      <c r="M288" s="2"/>
      <c r="N288" s="2"/>
      <c r="O288" s="1"/>
      <c r="P288" s="1"/>
      <c r="Q288" s="1"/>
    </row>
    <row r="289">
      <c r="A289" s="1"/>
      <c r="B289" s="1"/>
      <c r="C289" s="1"/>
      <c r="D289" s="1"/>
      <c r="E289" s="1"/>
      <c r="F289" s="2"/>
      <c r="G289" s="2"/>
      <c r="H289" s="2"/>
      <c r="I289" s="2"/>
      <c r="J289" s="2"/>
      <c r="K289" s="2"/>
      <c r="L289" s="2"/>
      <c r="M289" s="2"/>
      <c r="N289" s="2"/>
      <c r="O289" s="1"/>
      <c r="P289" s="1"/>
      <c r="Q289" s="1"/>
    </row>
    <row r="290">
      <c r="A290" s="1"/>
      <c r="B290" s="1"/>
      <c r="C290" s="1"/>
      <c r="D290" s="1"/>
      <c r="E290" s="1"/>
      <c r="F290" s="2"/>
      <c r="G290" s="2"/>
      <c r="H290" s="2"/>
      <c r="I290" s="2"/>
      <c r="J290" s="2"/>
      <c r="K290" s="2"/>
      <c r="L290" s="2"/>
      <c r="M290" s="2"/>
      <c r="N290" s="2"/>
      <c r="O290" s="1"/>
      <c r="P290" s="1"/>
      <c r="Q290" s="1"/>
    </row>
    <row r="291">
      <c r="A291" s="1"/>
      <c r="B291" s="1"/>
      <c r="C291" s="1"/>
      <c r="D291" s="1"/>
      <c r="E291" s="1"/>
      <c r="F291" s="2"/>
      <c r="G291" s="2"/>
      <c r="H291" s="2"/>
      <c r="I291" s="2"/>
      <c r="J291" s="2"/>
      <c r="K291" s="2"/>
      <c r="L291" s="2"/>
      <c r="M291" s="2"/>
      <c r="N291" s="2"/>
      <c r="O291" s="1"/>
      <c r="P291" s="1"/>
      <c r="Q291" s="1"/>
    </row>
    <row r="292">
      <c r="A292" s="1"/>
      <c r="B292" s="1"/>
      <c r="C292" s="1"/>
      <c r="D292" s="1"/>
      <c r="E292" s="1"/>
      <c r="F292" s="2"/>
      <c r="G292" s="2"/>
      <c r="H292" s="2"/>
      <c r="I292" s="2"/>
      <c r="J292" s="2"/>
      <c r="K292" s="2"/>
      <c r="L292" s="2"/>
      <c r="M292" s="2"/>
      <c r="N292" s="2"/>
      <c r="O292" s="1"/>
      <c r="P292" s="1"/>
      <c r="Q292" s="1"/>
    </row>
    <row r="293">
      <c r="A293" s="1"/>
      <c r="B293" s="1"/>
      <c r="C293" s="1"/>
      <c r="D293" s="1"/>
      <c r="E293" s="1"/>
      <c r="F293" s="2"/>
      <c r="G293" s="2"/>
      <c r="H293" s="2"/>
      <c r="I293" s="2"/>
      <c r="J293" s="2"/>
      <c r="K293" s="2"/>
      <c r="L293" s="2"/>
      <c r="M293" s="2"/>
      <c r="N293" s="2"/>
      <c r="O293" s="1"/>
      <c r="P293" s="1"/>
      <c r="Q293" s="1"/>
    </row>
    <row r="294">
      <c r="A294" s="1"/>
      <c r="B294" s="1"/>
      <c r="C294" s="1"/>
      <c r="D294" s="1"/>
      <c r="E294" s="1"/>
      <c r="F294" s="2"/>
      <c r="G294" s="2"/>
      <c r="H294" s="2"/>
      <c r="I294" s="2"/>
      <c r="J294" s="2"/>
      <c r="K294" s="2"/>
      <c r="L294" s="2"/>
      <c r="M294" s="2"/>
      <c r="N294" s="2"/>
      <c r="O294" s="1"/>
      <c r="P294" s="1"/>
      <c r="Q294" s="1"/>
    </row>
    <row r="295">
      <c r="A295" s="1"/>
      <c r="B295" s="1"/>
      <c r="C295" s="1"/>
      <c r="D295" s="1"/>
      <c r="E295" s="1"/>
      <c r="F295" s="2"/>
      <c r="G295" s="2"/>
      <c r="H295" s="2"/>
      <c r="I295" s="2"/>
      <c r="J295" s="2"/>
      <c r="K295" s="2"/>
      <c r="L295" s="2"/>
      <c r="M295" s="2"/>
      <c r="N295" s="2"/>
      <c r="O295" s="1"/>
      <c r="P295" s="1"/>
      <c r="Q295" s="1"/>
    </row>
    <row r="296">
      <c r="A296" s="1"/>
      <c r="B296" s="1"/>
      <c r="C296" s="1"/>
      <c r="D296" s="1"/>
      <c r="E296" s="1"/>
      <c r="F296" s="2"/>
      <c r="G296" s="2"/>
      <c r="H296" s="2"/>
      <c r="I296" s="2"/>
      <c r="J296" s="2"/>
      <c r="K296" s="2"/>
      <c r="L296" s="2"/>
      <c r="M296" s="2"/>
      <c r="N296" s="2"/>
      <c r="O296" s="1"/>
      <c r="P296" s="1"/>
      <c r="Q296" s="1"/>
    </row>
    <row r="297">
      <c r="A297" s="1"/>
      <c r="B297" s="1"/>
      <c r="C297" s="1"/>
      <c r="D297" s="1"/>
      <c r="E297" s="1"/>
      <c r="F297" s="2"/>
      <c r="G297" s="2"/>
      <c r="H297" s="2"/>
      <c r="I297" s="2"/>
      <c r="J297" s="2"/>
      <c r="K297" s="2"/>
      <c r="L297" s="2"/>
      <c r="M297" s="2"/>
      <c r="N297" s="2"/>
      <c r="O297" s="1"/>
      <c r="P297" s="1"/>
      <c r="Q297" s="1"/>
    </row>
    <row r="298">
      <c r="A298" s="1"/>
      <c r="B298" s="1"/>
      <c r="C298" s="1"/>
      <c r="D298" s="1"/>
      <c r="E298" s="1"/>
      <c r="F298" s="2"/>
      <c r="G298" s="2"/>
      <c r="H298" s="2"/>
      <c r="I298" s="2"/>
      <c r="J298" s="2"/>
      <c r="K298" s="2"/>
      <c r="L298" s="2"/>
      <c r="M298" s="2"/>
      <c r="N298" s="2"/>
      <c r="O298" s="1"/>
      <c r="P298" s="1"/>
      <c r="Q298" s="1"/>
    </row>
    <row r="299">
      <c r="A299" s="1"/>
      <c r="B299" s="1"/>
      <c r="C299" s="1"/>
      <c r="D299" s="1"/>
      <c r="E299" s="1"/>
      <c r="F299" s="2"/>
      <c r="G299" s="2"/>
      <c r="H299" s="2"/>
      <c r="I299" s="2"/>
      <c r="J299" s="2"/>
      <c r="K299" s="2"/>
      <c r="L299" s="2"/>
      <c r="M299" s="2"/>
      <c r="N299" s="2"/>
      <c r="O299" s="1"/>
      <c r="P299" s="1"/>
      <c r="Q299" s="1"/>
    </row>
    <row r="300">
      <c r="A300" s="1"/>
      <c r="B300" s="1"/>
      <c r="C300" s="1"/>
      <c r="D300" s="1"/>
      <c r="E300" s="1"/>
      <c r="F300" s="2"/>
      <c r="G300" s="2"/>
      <c r="H300" s="2"/>
      <c r="I300" s="2"/>
      <c r="J300" s="2"/>
      <c r="K300" s="2"/>
      <c r="L300" s="2"/>
      <c r="M300" s="2"/>
      <c r="N300" s="2"/>
      <c r="O300" s="1"/>
      <c r="P300" s="1"/>
      <c r="Q300" s="1"/>
    </row>
    <row r="301">
      <c r="A301" s="1"/>
      <c r="B301" s="1"/>
      <c r="C301" s="1"/>
      <c r="D301" s="1"/>
      <c r="E301" s="1"/>
      <c r="F301" s="2"/>
      <c r="G301" s="2"/>
      <c r="H301" s="2"/>
      <c r="I301" s="2"/>
      <c r="J301" s="2"/>
      <c r="K301" s="2"/>
      <c r="L301" s="2"/>
      <c r="M301" s="2"/>
      <c r="N301" s="2"/>
      <c r="O301" s="1"/>
      <c r="P301" s="1"/>
      <c r="Q301" s="1"/>
    </row>
    <row r="302">
      <c r="A302" s="1"/>
      <c r="B302" s="1"/>
      <c r="C302" s="1"/>
      <c r="D302" s="1"/>
      <c r="E302" s="1"/>
      <c r="F302" s="2"/>
      <c r="G302" s="2"/>
      <c r="H302" s="2"/>
      <c r="I302" s="2"/>
      <c r="J302" s="2"/>
      <c r="K302" s="2"/>
      <c r="L302" s="2"/>
      <c r="M302" s="2"/>
      <c r="N302" s="2"/>
      <c r="O302" s="1"/>
      <c r="P302" s="1"/>
      <c r="Q302" s="1"/>
    </row>
    <row r="303">
      <c r="A303" s="1"/>
      <c r="B303" s="1"/>
      <c r="C303" s="1"/>
      <c r="D303" s="1"/>
      <c r="E303" s="1"/>
      <c r="F303" s="2"/>
      <c r="G303" s="2"/>
      <c r="H303" s="2"/>
      <c r="I303" s="2"/>
      <c r="J303" s="2"/>
      <c r="K303" s="2"/>
      <c r="L303" s="2"/>
      <c r="M303" s="2"/>
      <c r="N303" s="2"/>
      <c r="O303" s="1"/>
      <c r="P303" s="1"/>
      <c r="Q303" s="1"/>
    </row>
    <row r="304">
      <c r="A304" s="1"/>
      <c r="B304" s="1"/>
      <c r="C304" s="1"/>
      <c r="D304" s="1"/>
      <c r="E304" s="1"/>
      <c r="F304" s="2"/>
      <c r="G304" s="2"/>
      <c r="H304" s="2"/>
      <c r="I304" s="2"/>
      <c r="J304" s="2"/>
      <c r="K304" s="2"/>
      <c r="L304" s="2"/>
      <c r="M304" s="2"/>
      <c r="N304" s="2"/>
      <c r="O304" s="1"/>
      <c r="P304" s="1"/>
      <c r="Q304" s="1"/>
    </row>
    <row r="305">
      <c r="A305" s="1"/>
      <c r="B305" s="1"/>
      <c r="C305" s="1"/>
      <c r="D305" s="1"/>
      <c r="E305" s="1"/>
      <c r="F305" s="2"/>
      <c r="G305" s="2"/>
      <c r="H305" s="2"/>
      <c r="I305" s="2"/>
      <c r="J305" s="2"/>
      <c r="K305" s="2"/>
      <c r="L305" s="2"/>
      <c r="M305" s="2"/>
      <c r="N305" s="2"/>
      <c r="O305" s="1"/>
      <c r="P305" s="1"/>
      <c r="Q305" s="1"/>
    </row>
    <row r="306">
      <c r="A306" s="1"/>
      <c r="B306" s="1"/>
      <c r="C306" s="1"/>
      <c r="D306" s="1"/>
      <c r="E306" s="1"/>
      <c r="F306" s="2"/>
      <c r="G306" s="2"/>
      <c r="H306" s="2"/>
      <c r="I306" s="2"/>
      <c r="J306" s="2"/>
      <c r="K306" s="2"/>
      <c r="L306" s="2"/>
      <c r="M306" s="2"/>
      <c r="N306" s="2"/>
      <c r="O306" s="1"/>
      <c r="P306" s="1"/>
      <c r="Q306" s="1"/>
    </row>
    <row r="307">
      <c r="A307" s="1"/>
      <c r="B307" s="1"/>
      <c r="C307" s="1"/>
      <c r="D307" s="1"/>
      <c r="E307" s="1"/>
      <c r="F307" s="2"/>
      <c r="G307" s="2"/>
      <c r="H307" s="2"/>
      <c r="I307" s="2"/>
      <c r="J307" s="2"/>
      <c r="K307" s="2"/>
      <c r="L307" s="2"/>
      <c r="M307" s="2"/>
      <c r="N307" s="2"/>
      <c r="O307" s="1"/>
      <c r="P307" s="1"/>
      <c r="Q307" s="1"/>
    </row>
    <row r="308">
      <c r="A308" s="1"/>
      <c r="B308" s="1"/>
      <c r="C308" s="1"/>
      <c r="D308" s="1"/>
      <c r="E308" s="1"/>
      <c r="F308" s="2"/>
      <c r="G308" s="2"/>
      <c r="H308" s="2"/>
      <c r="I308" s="2"/>
      <c r="J308" s="2"/>
      <c r="K308" s="2"/>
      <c r="L308" s="2"/>
      <c r="M308" s="2"/>
      <c r="N308" s="2"/>
      <c r="O308" s="1"/>
      <c r="P308" s="1"/>
      <c r="Q308" s="1"/>
    </row>
    <row r="309">
      <c r="A309" s="1"/>
      <c r="B309" s="1"/>
      <c r="C309" s="1"/>
      <c r="D309" s="1"/>
      <c r="E309" s="1"/>
      <c r="F309" s="2"/>
      <c r="G309" s="2"/>
      <c r="H309" s="2"/>
      <c r="I309" s="2"/>
      <c r="J309" s="2"/>
      <c r="K309" s="2"/>
      <c r="L309" s="2"/>
      <c r="M309" s="2"/>
      <c r="N309" s="2"/>
      <c r="O309" s="1"/>
      <c r="P309" s="1"/>
      <c r="Q309" s="1"/>
    </row>
    <row r="310">
      <c r="A310" s="1"/>
      <c r="B310" s="1"/>
      <c r="C310" s="1"/>
      <c r="D310" s="1"/>
      <c r="E310" s="1"/>
      <c r="F310" s="2"/>
      <c r="G310" s="2"/>
      <c r="H310" s="2"/>
      <c r="I310" s="2"/>
      <c r="J310" s="2"/>
      <c r="K310" s="2"/>
      <c r="L310" s="2"/>
      <c r="M310" s="2"/>
      <c r="N310" s="2"/>
      <c r="O310" s="1"/>
      <c r="P310" s="1"/>
      <c r="Q310" s="1"/>
    </row>
    <row r="311">
      <c r="A311" s="1"/>
      <c r="B311" s="1"/>
      <c r="C311" s="1"/>
      <c r="D311" s="1"/>
      <c r="E311" s="1"/>
      <c r="F311" s="2"/>
      <c r="G311" s="2"/>
      <c r="H311" s="2"/>
      <c r="I311" s="2"/>
      <c r="J311" s="2"/>
      <c r="K311" s="2"/>
      <c r="L311" s="2"/>
      <c r="M311" s="2"/>
      <c r="N311" s="2"/>
      <c r="O311" s="1"/>
      <c r="P311" s="1"/>
      <c r="Q311" s="1"/>
    </row>
    <row r="312">
      <c r="A312" s="1"/>
      <c r="B312" s="1"/>
      <c r="C312" s="1"/>
      <c r="D312" s="1"/>
      <c r="E312" s="1"/>
      <c r="F312" s="2"/>
      <c r="G312" s="2"/>
      <c r="H312" s="2"/>
      <c r="I312" s="2"/>
      <c r="J312" s="2"/>
      <c r="K312" s="2"/>
      <c r="L312" s="2"/>
      <c r="M312" s="2"/>
      <c r="N312" s="2"/>
      <c r="O312" s="1"/>
      <c r="P312" s="1"/>
      <c r="Q312" s="1"/>
    </row>
    <row r="313">
      <c r="A313" s="1"/>
      <c r="B313" s="1"/>
      <c r="C313" s="1"/>
      <c r="D313" s="1"/>
      <c r="E313" s="1"/>
      <c r="F313" s="2"/>
      <c r="G313" s="2"/>
      <c r="H313" s="2"/>
      <c r="I313" s="2"/>
      <c r="J313" s="2"/>
      <c r="K313" s="2"/>
      <c r="L313" s="2"/>
      <c r="M313" s="2"/>
      <c r="N313" s="2"/>
      <c r="O313" s="1"/>
      <c r="P313" s="1"/>
      <c r="Q313" s="1"/>
    </row>
    <row r="314">
      <c r="A314" s="1"/>
      <c r="B314" s="1"/>
      <c r="C314" s="1"/>
      <c r="D314" s="1"/>
      <c r="E314" s="1"/>
      <c r="F314" s="2"/>
      <c r="G314" s="2"/>
      <c r="H314" s="2"/>
      <c r="I314" s="2"/>
      <c r="J314" s="2"/>
      <c r="K314" s="2"/>
      <c r="L314" s="2"/>
      <c r="M314" s="2"/>
      <c r="N314" s="2"/>
      <c r="O314" s="1"/>
      <c r="P314" s="1"/>
      <c r="Q314" s="1"/>
    </row>
    <row r="315">
      <c r="A315" s="1"/>
      <c r="B315" s="1"/>
      <c r="C315" s="1"/>
      <c r="D315" s="1"/>
      <c r="E315" s="1"/>
      <c r="F315" s="2"/>
      <c r="G315" s="2"/>
      <c r="H315" s="2"/>
      <c r="I315" s="2"/>
      <c r="J315" s="2"/>
      <c r="K315" s="2"/>
      <c r="L315" s="2"/>
      <c r="M315" s="2"/>
      <c r="N315" s="2"/>
      <c r="O315" s="1"/>
      <c r="P315" s="1"/>
      <c r="Q315" s="1"/>
    </row>
    <row r="316">
      <c r="A316" s="1"/>
      <c r="B316" s="1"/>
      <c r="C316" s="1"/>
      <c r="D316" s="1"/>
      <c r="E316" s="1"/>
      <c r="F316" s="2"/>
      <c r="G316" s="2"/>
      <c r="H316" s="2"/>
      <c r="I316" s="2"/>
      <c r="J316" s="2"/>
      <c r="K316" s="2"/>
      <c r="L316" s="2"/>
      <c r="M316" s="2"/>
      <c r="N316" s="2"/>
      <c r="O316" s="1"/>
      <c r="P316" s="1"/>
      <c r="Q316" s="1"/>
    </row>
    <row r="317">
      <c r="A317" s="1"/>
      <c r="B317" s="1"/>
      <c r="C317" s="1"/>
      <c r="D317" s="1"/>
      <c r="E317" s="1"/>
      <c r="F317" s="2"/>
      <c r="G317" s="2"/>
      <c r="H317" s="2"/>
      <c r="I317" s="2"/>
      <c r="J317" s="2"/>
      <c r="K317" s="2"/>
      <c r="L317" s="2"/>
      <c r="M317" s="2"/>
      <c r="N317" s="2"/>
      <c r="O317" s="1"/>
      <c r="P317" s="1"/>
      <c r="Q317" s="1"/>
    </row>
    <row r="318">
      <c r="A318" s="1"/>
      <c r="B318" s="1"/>
      <c r="C318" s="1"/>
      <c r="D318" s="1"/>
      <c r="E318" s="1"/>
      <c r="F318" s="2"/>
      <c r="G318" s="2"/>
      <c r="H318" s="2"/>
      <c r="I318" s="2"/>
      <c r="J318" s="2"/>
      <c r="K318" s="2"/>
      <c r="L318" s="2"/>
      <c r="M318" s="2"/>
      <c r="N318" s="2"/>
      <c r="O318" s="1"/>
      <c r="P318" s="1"/>
      <c r="Q318" s="1"/>
    </row>
    <row r="319">
      <c r="A319" s="1"/>
      <c r="B319" s="1"/>
      <c r="C319" s="1"/>
      <c r="D319" s="1"/>
      <c r="E319" s="1"/>
      <c r="F319" s="2"/>
      <c r="G319" s="2"/>
      <c r="H319" s="2"/>
      <c r="I319" s="2"/>
      <c r="J319" s="2"/>
      <c r="K319" s="2"/>
      <c r="L319" s="2"/>
      <c r="M319" s="2"/>
      <c r="N319" s="2"/>
      <c r="O319" s="1"/>
      <c r="P319" s="1"/>
      <c r="Q319" s="1"/>
    </row>
    <row r="320">
      <c r="A320" s="1"/>
      <c r="B320" s="1"/>
      <c r="C320" s="1"/>
      <c r="D320" s="1"/>
      <c r="E320" s="1"/>
      <c r="F320" s="2"/>
      <c r="G320" s="2"/>
      <c r="H320" s="2"/>
      <c r="I320" s="2"/>
      <c r="J320" s="2"/>
      <c r="K320" s="2"/>
      <c r="L320" s="2"/>
      <c r="M320" s="2"/>
      <c r="N320" s="2"/>
      <c r="O320" s="1"/>
      <c r="P320" s="1"/>
      <c r="Q320" s="1"/>
    </row>
    <row r="321">
      <c r="A321" s="1"/>
      <c r="B321" s="1"/>
      <c r="C321" s="1"/>
      <c r="D321" s="1"/>
      <c r="E321" s="1"/>
      <c r="F321" s="2"/>
      <c r="G321" s="2"/>
      <c r="H321" s="2"/>
      <c r="I321" s="2"/>
      <c r="J321" s="2"/>
      <c r="K321" s="2"/>
      <c r="L321" s="2"/>
      <c r="M321" s="2"/>
      <c r="N321" s="2"/>
      <c r="O321" s="1"/>
      <c r="P321" s="1"/>
      <c r="Q321" s="1"/>
    </row>
    <row r="322">
      <c r="A322" s="1"/>
      <c r="B322" s="1"/>
      <c r="C322" s="1"/>
      <c r="D322" s="1"/>
      <c r="E322" s="1"/>
      <c r="F322" s="2"/>
      <c r="G322" s="2"/>
      <c r="H322" s="2"/>
      <c r="I322" s="2"/>
      <c r="J322" s="2"/>
      <c r="K322" s="2"/>
      <c r="L322" s="2"/>
      <c r="M322" s="2"/>
      <c r="N322" s="2"/>
      <c r="O322" s="1"/>
      <c r="P322" s="1"/>
      <c r="Q322" s="1"/>
    </row>
    <row r="323">
      <c r="A323" s="1"/>
      <c r="B323" s="1"/>
      <c r="C323" s="1"/>
      <c r="D323" s="1"/>
      <c r="E323" s="1"/>
      <c r="F323" s="2"/>
      <c r="G323" s="2"/>
      <c r="H323" s="2"/>
      <c r="I323" s="2"/>
      <c r="J323" s="2"/>
      <c r="K323" s="2"/>
      <c r="L323" s="2"/>
      <c r="M323" s="2"/>
      <c r="N323" s="2"/>
      <c r="O323" s="1"/>
      <c r="P323" s="1"/>
      <c r="Q323" s="1"/>
    </row>
    <row r="324">
      <c r="A324" s="1"/>
      <c r="B324" s="1"/>
      <c r="C324" s="1"/>
      <c r="D324" s="1"/>
      <c r="E324" s="1"/>
      <c r="F324" s="2"/>
      <c r="G324" s="2"/>
      <c r="H324" s="2"/>
      <c r="I324" s="2"/>
      <c r="J324" s="2"/>
      <c r="K324" s="2"/>
      <c r="L324" s="2"/>
      <c r="M324" s="2"/>
      <c r="N324" s="2"/>
      <c r="O324" s="1"/>
      <c r="P324" s="1"/>
      <c r="Q324" s="1"/>
    </row>
    <row r="325">
      <c r="A325" s="1"/>
      <c r="B325" s="1"/>
      <c r="C325" s="1"/>
      <c r="D325" s="1"/>
      <c r="E325" s="1"/>
      <c r="F325" s="2"/>
      <c r="G325" s="2"/>
      <c r="H325" s="2"/>
      <c r="I325" s="2"/>
      <c r="J325" s="2"/>
      <c r="K325" s="2"/>
      <c r="L325" s="2"/>
      <c r="M325" s="2"/>
      <c r="N325" s="2"/>
      <c r="O325" s="1"/>
      <c r="P325" s="1"/>
      <c r="Q325" s="1"/>
    </row>
    <row r="326">
      <c r="A326" s="1"/>
      <c r="B326" s="1"/>
      <c r="C326" s="1"/>
      <c r="D326" s="1"/>
      <c r="E326" s="1"/>
      <c r="F326" s="2"/>
      <c r="G326" s="2"/>
      <c r="H326" s="2"/>
      <c r="I326" s="2"/>
      <c r="J326" s="2"/>
      <c r="K326" s="2"/>
      <c r="L326" s="2"/>
      <c r="M326" s="2"/>
      <c r="N326" s="2"/>
      <c r="O326" s="1"/>
      <c r="P326" s="1"/>
      <c r="Q326" s="1"/>
    </row>
    <row r="327">
      <c r="A327" s="1"/>
      <c r="B327" s="1"/>
      <c r="C327" s="1"/>
      <c r="D327" s="1"/>
      <c r="E327" s="1"/>
      <c r="F327" s="2"/>
      <c r="G327" s="2"/>
      <c r="H327" s="2"/>
      <c r="I327" s="2"/>
      <c r="J327" s="2"/>
      <c r="K327" s="2"/>
      <c r="L327" s="2"/>
      <c r="M327" s="2"/>
      <c r="N327" s="2"/>
      <c r="O327" s="1"/>
      <c r="P327" s="1"/>
      <c r="Q327" s="1"/>
    </row>
    <row r="328">
      <c r="A328" s="1"/>
      <c r="B328" s="1"/>
      <c r="C328" s="1"/>
      <c r="D328" s="1"/>
      <c r="E328" s="1"/>
      <c r="F328" s="2"/>
      <c r="G328" s="2"/>
      <c r="H328" s="2"/>
      <c r="I328" s="2"/>
      <c r="J328" s="2"/>
      <c r="K328" s="2"/>
      <c r="L328" s="2"/>
      <c r="M328" s="2"/>
      <c r="N328" s="2"/>
      <c r="O328" s="1"/>
      <c r="P328" s="1"/>
      <c r="Q328" s="1"/>
    </row>
    <row r="329">
      <c r="A329" s="1"/>
      <c r="B329" s="1"/>
      <c r="C329" s="1"/>
      <c r="D329" s="1"/>
      <c r="E329" s="1"/>
      <c r="F329" s="2"/>
      <c r="G329" s="2"/>
      <c r="H329" s="2"/>
      <c r="I329" s="2"/>
      <c r="J329" s="2"/>
      <c r="K329" s="2"/>
      <c r="L329" s="2"/>
      <c r="M329" s="2"/>
      <c r="N329" s="2"/>
      <c r="O329" s="1"/>
      <c r="P329" s="1"/>
      <c r="Q329" s="1"/>
    </row>
    <row r="330">
      <c r="A330" s="1"/>
      <c r="B330" s="1"/>
      <c r="C330" s="1"/>
      <c r="D330" s="1"/>
      <c r="E330" s="1"/>
      <c r="F330" s="2"/>
      <c r="G330" s="2"/>
      <c r="H330" s="2"/>
      <c r="I330" s="2"/>
      <c r="J330" s="2"/>
      <c r="K330" s="2"/>
      <c r="L330" s="2"/>
      <c r="M330" s="2"/>
      <c r="N330" s="2"/>
      <c r="O330" s="1"/>
      <c r="P330" s="1"/>
      <c r="Q330" s="1"/>
    </row>
    <row r="331">
      <c r="A331" s="1"/>
      <c r="B331" s="1"/>
      <c r="C331" s="1"/>
      <c r="D331" s="1"/>
      <c r="E331" s="1"/>
      <c r="F331" s="2"/>
      <c r="G331" s="2"/>
      <c r="H331" s="2"/>
      <c r="I331" s="2"/>
      <c r="J331" s="2"/>
      <c r="K331" s="2"/>
      <c r="L331" s="2"/>
      <c r="M331" s="2"/>
      <c r="N331" s="2"/>
      <c r="O331" s="1"/>
      <c r="P331" s="1"/>
      <c r="Q331" s="1"/>
    </row>
    <row r="332">
      <c r="A332" s="1"/>
      <c r="B332" s="1"/>
      <c r="C332" s="1"/>
      <c r="D332" s="1"/>
      <c r="E332" s="1"/>
      <c r="F332" s="2"/>
      <c r="G332" s="2"/>
      <c r="H332" s="2"/>
      <c r="I332" s="2"/>
      <c r="J332" s="2"/>
      <c r="K332" s="2"/>
      <c r="L332" s="2"/>
      <c r="M332" s="2"/>
      <c r="N332" s="2"/>
      <c r="O332" s="1"/>
      <c r="P332" s="1"/>
      <c r="Q332" s="1"/>
    </row>
    <row r="333">
      <c r="A333" s="1"/>
      <c r="B333" s="1"/>
      <c r="C333" s="1"/>
      <c r="D333" s="1"/>
      <c r="E333" s="1"/>
      <c r="F333" s="2"/>
      <c r="G333" s="2"/>
      <c r="H333" s="2"/>
      <c r="I333" s="2"/>
      <c r="J333" s="2"/>
      <c r="K333" s="2"/>
      <c r="L333" s="2"/>
      <c r="M333" s="2"/>
      <c r="N333" s="2"/>
      <c r="O333" s="1"/>
      <c r="P333" s="1"/>
      <c r="Q333" s="1"/>
    </row>
    <row r="334">
      <c r="A334" s="1"/>
      <c r="B334" s="1"/>
      <c r="C334" s="1"/>
      <c r="D334" s="1"/>
      <c r="E334" s="1"/>
      <c r="F334" s="2"/>
      <c r="G334" s="2"/>
      <c r="H334" s="2"/>
      <c r="I334" s="2"/>
      <c r="J334" s="2"/>
      <c r="K334" s="2"/>
      <c r="L334" s="2"/>
      <c r="M334" s="2"/>
      <c r="N334" s="2"/>
      <c r="O334" s="1"/>
      <c r="P334" s="1"/>
      <c r="Q334" s="1"/>
    </row>
    <row r="335">
      <c r="A335" s="1"/>
      <c r="B335" s="1"/>
      <c r="C335" s="1"/>
      <c r="D335" s="1"/>
      <c r="E335" s="1"/>
      <c r="F335" s="2"/>
      <c r="G335" s="2"/>
      <c r="H335" s="2"/>
      <c r="I335" s="2"/>
      <c r="J335" s="2"/>
      <c r="K335" s="2"/>
      <c r="L335" s="2"/>
      <c r="M335" s="2"/>
      <c r="N335" s="2"/>
      <c r="O335" s="1"/>
      <c r="P335" s="1"/>
      <c r="Q335" s="1"/>
    </row>
    <row r="336">
      <c r="A336" s="1"/>
      <c r="B336" s="1"/>
      <c r="C336" s="1"/>
      <c r="D336" s="1"/>
      <c r="E336" s="1"/>
      <c r="F336" s="2"/>
      <c r="G336" s="2"/>
      <c r="H336" s="2"/>
      <c r="I336" s="2"/>
      <c r="J336" s="2"/>
      <c r="K336" s="2"/>
      <c r="L336" s="2"/>
      <c r="M336" s="2"/>
      <c r="N336" s="2"/>
      <c r="O336" s="1"/>
      <c r="P336" s="1"/>
      <c r="Q336" s="1"/>
    </row>
    <row r="337">
      <c r="A337" s="1"/>
      <c r="B337" s="1"/>
      <c r="C337" s="1"/>
      <c r="D337" s="1"/>
      <c r="E337" s="1"/>
      <c r="F337" s="2"/>
      <c r="G337" s="2"/>
      <c r="H337" s="2"/>
      <c r="I337" s="2"/>
      <c r="J337" s="2"/>
      <c r="K337" s="2"/>
      <c r="L337" s="2"/>
      <c r="M337" s="2"/>
      <c r="N337" s="2"/>
      <c r="O337" s="1"/>
      <c r="P337" s="1"/>
      <c r="Q337" s="1"/>
    </row>
    <row r="338">
      <c r="A338" s="1"/>
      <c r="B338" s="1"/>
      <c r="C338" s="1"/>
      <c r="D338" s="1"/>
      <c r="E338" s="1"/>
      <c r="F338" s="2"/>
      <c r="G338" s="2"/>
      <c r="H338" s="2"/>
      <c r="I338" s="2"/>
      <c r="J338" s="2"/>
      <c r="K338" s="2"/>
      <c r="L338" s="2"/>
      <c r="M338" s="2"/>
      <c r="N338" s="2"/>
      <c r="O338" s="1"/>
      <c r="P338" s="1"/>
      <c r="Q338" s="1"/>
    </row>
    <row r="339">
      <c r="A339" s="1"/>
      <c r="B339" s="1"/>
      <c r="C339" s="1"/>
      <c r="D339" s="1"/>
      <c r="E339" s="1"/>
      <c r="F339" s="2"/>
      <c r="G339" s="2"/>
      <c r="H339" s="2"/>
      <c r="I339" s="2"/>
      <c r="J339" s="2"/>
      <c r="K339" s="2"/>
      <c r="L339" s="2"/>
      <c r="M339" s="2"/>
      <c r="N339" s="2"/>
      <c r="O339" s="1"/>
      <c r="P339" s="1"/>
      <c r="Q339" s="1"/>
    </row>
    <row r="340">
      <c r="A340" s="1"/>
      <c r="B340" s="1"/>
      <c r="C340" s="1"/>
      <c r="D340" s="1"/>
      <c r="E340" s="1"/>
      <c r="F340" s="2"/>
      <c r="G340" s="2"/>
      <c r="H340" s="2"/>
      <c r="I340" s="2"/>
      <c r="J340" s="2"/>
      <c r="K340" s="2"/>
      <c r="L340" s="2"/>
      <c r="M340" s="2"/>
      <c r="N340" s="2"/>
      <c r="O340" s="1"/>
      <c r="P340" s="1"/>
      <c r="Q340" s="1"/>
    </row>
    <row r="341">
      <c r="A341" s="1"/>
      <c r="B341" s="1"/>
      <c r="C341" s="1"/>
      <c r="D341" s="1"/>
      <c r="E341" s="1"/>
      <c r="F341" s="2"/>
      <c r="G341" s="2"/>
      <c r="H341" s="2"/>
      <c r="I341" s="2"/>
      <c r="J341" s="2"/>
      <c r="K341" s="2"/>
      <c r="L341" s="2"/>
      <c r="M341" s="2"/>
      <c r="N341" s="2"/>
      <c r="O341" s="1"/>
      <c r="P341" s="1"/>
      <c r="Q341" s="1"/>
    </row>
    <row r="342">
      <c r="A342" s="1"/>
      <c r="B342" s="1"/>
      <c r="C342" s="1"/>
      <c r="D342" s="1"/>
      <c r="E342" s="1"/>
      <c r="F342" s="2"/>
      <c r="G342" s="2"/>
      <c r="H342" s="2"/>
      <c r="I342" s="2"/>
      <c r="J342" s="2"/>
      <c r="K342" s="2"/>
      <c r="L342" s="2"/>
      <c r="M342" s="2"/>
      <c r="N342" s="2"/>
      <c r="O342" s="1"/>
      <c r="P342" s="1"/>
      <c r="Q342" s="1"/>
    </row>
    <row r="343">
      <c r="A343" s="1"/>
      <c r="B343" s="1"/>
      <c r="C343" s="1"/>
      <c r="D343" s="1"/>
      <c r="E343" s="1"/>
      <c r="F343" s="2"/>
      <c r="G343" s="2"/>
      <c r="H343" s="2"/>
      <c r="I343" s="2"/>
      <c r="J343" s="2"/>
      <c r="K343" s="2"/>
      <c r="L343" s="2"/>
      <c r="M343" s="2"/>
      <c r="N343" s="2"/>
      <c r="O343" s="1"/>
      <c r="P343" s="1"/>
      <c r="Q343" s="1"/>
    </row>
    <row r="344">
      <c r="A344" s="1"/>
      <c r="B344" s="1"/>
      <c r="C344" s="1"/>
      <c r="D344" s="1"/>
      <c r="E344" s="1"/>
      <c r="F344" s="2"/>
      <c r="G344" s="2"/>
      <c r="H344" s="2"/>
      <c r="I344" s="2"/>
      <c r="J344" s="2"/>
      <c r="K344" s="2"/>
      <c r="L344" s="2"/>
      <c r="M344" s="2"/>
      <c r="N344" s="2"/>
      <c r="O344" s="1"/>
      <c r="P344" s="1"/>
      <c r="Q344" s="1"/>
    </row>
    <row r="345">
      <c r="A345" s="1"/>
      <c r="B345" s="1"/>
      <c r="C345" s="1"/>
      <c r="D345" s="1"/>
      <c r="E345" s="1"/>
      <c r="F345" s="2"/>
      <c r="G345" s="2"/>
      <c r="H345" s="2"/>
      <c r="I345" s="2"/>
      <c r="J345" s="2"/>
      <c r="K345" s="2"/>
      <c r="L345" s="2"/>
      <c r="M345" s="2"/>
      <c r="N345" s="2"/>
      <c r="O345" s="1"/>
      <c r="P345" s="1"/>
      <c r="Q345" s="1"/>
    </row>
    <row r="346">
      <c r="A346" s="1"/>
      <c r="B346" s="1"/>
      <c r="C346" s="1"/>
      <c r="D346" s="1"/>
      <c r="E346" s="1"/>
      <c r="F346" s="2"/>
      <c r="G346" s="2"/>
      <c r="H346" s="2"/>
      <c r="I346" s="2"/>
      <c r="J346" s="2"/>
      <c r="K346" s="2"/>
      <c r="L346" s="2"/>
      <c r="M346" s="2"/>
      <c r="N346" s="2"/>
      <c r="O346" s="1"/>
      <c r="P346" s="1"/>
      <c r="Q346" s="1"/>
    </row>
    <row r="347">
      <c r="A347" s="1"/>
      <c r="B347" s="1"/>
      <c r="C347" s="1"/>
      <c r="D347" s="1"/>
      <c r="E347" s="1"/>
      <c r="F347" s="2"/>
      <c r="G347" s="2"/>
      <c r="H347" s="2"/>
      <c r="I347" s="2"/>
      <c r="J347" s="2"/>
      <c r="K347" s="2"/>
      <c r="L347" s="2"/>
      <c r="M347" s="2"/>
      <c r="N347" s="2"/>
      <c r="O347" s="1"/>
      <c r="P347" s="1"/>
      <c r="Q347" s="1"/>
    </row>
    <row r="348">
      <c r="A348" s="1"/>
      <c r="B348" s="1"/>
      <c r="C348" s="1"/>
      <c r="D348" s="1"/>
      <c r="E348" s="1"/>
      <c r="F348" s="2"/>
      <c r="G348" s="2"/>
      <c r="H348" s="2"/>
      <c r="I348" s="2"/>
      <c r="J348" s="2"/>
      <c r="K348" s="2"/>
      <c r="L348" s="2"/>
      <c r="M348" s="2"/>
      <c r="N348" s="2"/>
      <c r="O348" s="1"/>
      <c r="P348" s="1"/>
      <c r="Q348" s="1"/>
    </row>
    <row r="349">
      <c r="A349" s="1"/>
      <c r="B349" s="1"/>
      <c r="C349" s="1"/>
      <c r="D349" s="1"/>
      <c r="E349" s="1"/>
      <c r="F349" s="2"/>
      <c r="G349" s="2"/>
      <c r="H349" s="2"/>
      <c r="I349" s="2"/>
      <c r="J349" s="2"/>
      <c r="K349" s="2"/>
      <c r="L349" s="2"/>
      <c r="M349" s="2"/>
      <c r="N349" s="2"/>
      <c r="O349" s="1"/>
      <c r="P349" s="1"/>
      <c r="Q349" s="1"/>
    </row>
    <row r="350">
      <c r="A350" s="1"/>
      <c r="B350" s="1"/>
      <c r="C350" s="1"/>
      <c r="D350" s="1"/>
      <c r="E350" s="1"/>
      <c r="F350" s="2"/>
      <c r="G350" s="2"/>
      <c r="H350" s="2"/>
      <c r="I350" s="2"/>
      <c r="J350" s="2"/>
      <c r="K350" s="2"/>
      <c r="L350" s="2"/>
      <c r="M350" s="2"/>
      <c r="N350" s="2"/>
      <c r="O350" s="1"/>
      <c r="P350" s="1"/>
      <c r="Q350" s="1"/>
    </row>
    <row r="351">
      <c r="A351" s="1"/>
      <c r="B351" s="1"/>
      <c r="C351" s="1"/>
      <c r="D351" s="1"/>
      <c r="E351" s="1"/>
      <c r="F351" s="2"/>
      <c r="G351" s="2"/>
      <c r="H351" s="2"/>
      <c r="I351" s="2"/>
      <c r="J351" s="2"/>
      <c r="K351" s="2"/>
      <c r="L351" s="2"/>
      <c r="M351" s="2"/>
      <c r="N351" s="2"/>
      <c r="O351" s="1"/>
      <c r="P351" s="1"/>
      <c r="Q351" s="1"/>
    </row>
    <row r="352">
      <c r="A352" s="1"/>
      <c r="B352" s="1"/>
      <c r="C352" s="1"/>
      <c r="D352" s="1"/>
      <c r="E352" s="1"/>
      <c r="F352" s="2"/>
      <c r="G352" s="2"/>
      <c r="H352" s="2"/>
      <c r="I352" s="2"/>
      <c r="J352" s="2"/>
      <c r="K352" s="2"/>
      <c r="L352" s="2"/>
      <c r="M352" s="2"/>
      <c r="N352" s="2"/>
      <c r="O352" s="1"/>
      <c r="P352" s="1"/>
      <c r="Q352" s="1"/>
    </row>
    <row r="353">
      <c r="A353" s="1"/>
      <c r="B353" s="1"/>
      <c r="C353" s="1"/>
      <c r="D353" s="1"/>
      <c r="E353" s="1"/>
      <c r="F353" s="2"/>
      <c r="G353" s="2"/>
      <c r="H353" s="2"/>
      <c r="I353" s="2"/>
      <c r="J353" s="2"/>
      <c r="K353" s="2"/>
      <c r="L353" s="2"/>
      <c r="M353" s="2"/>
      <c r="N353" s="2"/>
      <c r="O353" s="1"/>
      <c r="P353" s="1"/>
      <c r="Q353" s="1"/>
    </row>
    <row r="354">
      <c r="A354" s="1"/>
      <c r="B354" s="1"/>
      <c r="C354" s="1"/>
      <c r="D354" s="1"/>
      <c r="E354" s="1"/>
      <c r="F354" s="2"/>
      <c r="G354" s="2"/>
      <c r="H354" s="2"/>
      <c r="I354" s="2"/>
      <c r="J354" s="2"/>
      <c r="K354" s="2"/>
      <c r="L354" s="2"/>
      <c r="M354" s="2"/>
      <c r="N354" s="2"/>
      <c r="O354" s="1"/>
      <c r="P354" s="1"/>
      <c r="Q354" s="1"/>
    </row>
    <row r="355">
      <c r="A355" s="1"/>
      <c r="B355" s="1"/>
      <c r="C355" s="1"/>
      <c r="D355" s="1"/>
      <c r="E355" s="1"/>
      <c r="F355" s="2"/>
      <c r="G355" s="2"/>
      <c r="H355" s="2"/>
      <c r="I355" s="2"/>
      <c r="J355" s="2"/>
      <c r="K355" s="2"/>
      <c r="L355" s="2"/>
      <c r="M355" s="2"/>
      <c r="N355" s="2"/>
      <c r="O355" s="1"/>
      <c r="P355" s="1"/>
      <c r="Q355" s="1"/>
    </row>
    <row r="356">
      <c r="A356" s="1"/>
      <c r="B356" s="1"/>
      <c r="C356" s="1"/>
      <c r="D356" s="1"/>
      <c r="E356" s="1"/>
      <c r="F356" s="2"/>
      <c r="G356" s="2"/>
      <c r="H356" s="2"/>
      <c r="I356" s="2"/>
      <c r="J356" s="2"/>
      <c r="K356" s="2"/>
      <c r="L356" s="2"/>
      <c r="M356" s="2"/>
      <c r="N356" s="2"/>
      <c r="O356" s="1"/>
      <c r="P356" s="1"/>
      <c r="Q356" s="1"/>
    </row>
    <row r="357">
      <c r="A357" s="1"/>
      <c r="B357" s="1"/>
      <c r="C357" s="1"/>
      <c r="D357" s="1"/>
      <c r="E357" s="1"/>
      <c r="F357" s="2"/>
      <c r="G357" s="2"/>
      <c r="H357" s="2"/>
      <c r="I357" s="2"/>
      <c r="J357" s="2"/>
      <c r="K357" s="2"/>
      <c r="L357" s="2"/>
      <c r="M357" s="2"/>
      <c r="N357" s="2"/>
      <c r="O357" s="1"/>
      <c r="P357" s="1"/>
      <c r="Q357" s="1"/>
    </row>
    <row r="358">
      <c r="A358" s="1"/>
      <c r="B358" s="1"/>
      <c r="C358" s="1"/>
      <c r="D358" s="1"/>
      <c r="E358" s="1"/>
      <c r="F358" s="2"/>
      <c r="G358" s="2"/>
      <c r="H358" s="2"/>
      <c r="I358" s="2"/>
      <c r="J358" s="2"/>
      <c r="K358" s="2"/>
      <c r="L358" s="2"/>
      <c r="M358" s="2"/>
      <c r="N358" s="2"/>
      <c r="O358" s="1"/>
      <c r="P358" s="1"/>
      <c r="Q358" s="1"/>
    </row>
    <row r="359">
      <c r="A359" s="1"/>
      <c r="B359" s="1"/>
      <c r="C359" s="1"/>
      <c r="D359" s="1"/>
      <c r="E359" s="1"/>
      <c r="F359" s="2"/>
      <c r="G359" s="2"/>
      <c r="H359" s="2"/>
      <c r="I359" s="2"/>
      <c r="J359" s="2"/>
      <c r="K359" s="2"/>
      <c r="L359" s="2"/>
      <c r="M359" s="2"/>
      <c r="N359" s="2"/>
      <c r="O359" s="1"/>
      <c r="P359" s="1"/>
      <c r="Q359" s="1"/>
    </row>
    <row r="360">
      <c r="A360" s="1"/>
      <c r="B360" s="1"/>
      <c r="C360" s="1"/>
      <c r="D360" s="1"/>
      <c r="E360" s="1"/>
      <c r="F360" s="2"/>
      <c r="G360" s="2"/>
      <c r="H360" s="2"/>
      <c r="I360" s="2"/>
      <c r="J360" s="2"/>
      <c r="K360" s="2"/>
      <c r="L360" s="2"/>
      <c r="M360" s="2"/>
      <c r="N360" s="2"/>
      <c r="O360" s="1"/>
      <c r="P360" s="1"/>
      <c r="Q360" s="1"/>
    </row>
    <row r="361">
      <c r="A361" s="1"/>
      <c r="B361" s="1"/>
      <c r="C361" s="1"/>
      <c r="D361" s="1"/>
      <c r="E361" s="1"/>
      <c r="F361" s="2"/>
      <c r="G361" s="2"/>
      <c r="H361" s="2"/>
      <c r="I361" s="2"/>
      <c r="J361" s="2"/>
      <c r="K361" s="2"/>
      <c r="L361" s="2"/>
      <c r="M361" s="2"/>
      <c r="N361" s="2"/>
      <c r="O361" s="1"/>
      <c r="P361" s="1"/>
      <c r="Q361" s="1"/>
    </row>
    <row r="362">
      <c r="A362" s="1"/>
      <c r="B362" s="1"/>
      <c r="C362" s="1"/>
      <c r="D362" s="1"/>
      <c r="E362" s="1"/>
      <c r="F362" s="2"/>
      <c r="G362" s="2"/>
      <c r="H362" s="2"/>
      <c r="I362" s="2"/>
      <c r="J362" s="2"/>
      <c r="K362" s="2"/>
      <c r="L362" s="2"/>
      <c r="M362" s="2"/>
      <c r="N362" s="2"/>
      <c r="O362" s="1"/>
      <c r="P362" s="1"/>
      <c r="Q362" s="1"/>
    </row>
    <row r="363">
      <c r="A363" s="1"/>
      <c r="B363" s="1"/>
      <c r="C363" s="1"/>
      <c r="D363" s="1"/>
      <c r="E363" s="1"/>
      <c r="F363" s="2"/>
      <c r="G363" s="2"/>
      <c r="H363" s="2"/>
      <c r="I363" s="2"/>
      <c r="J363" s="2"/>
      <c r="K363" s="2"/>
      <c r="L363" s="2"/>
      <c r="M363" s="2"/>
      <c r="N363" s="2"/>
      <c r="O363" s="1"/>
      <c r="P363" s="1"/>
      <c r="Q363" s="1"/>
    </row>
    <row r="364">
      <c r="A364" s="1"/>
      <c r="B364" s="1"/>
      <c r="C364" s="1"/>
      <c r="D364" s="1"/>
      <c r="E364" s="1"/>
      <c r="F364" s="2"/>
      <c r="G364" s="2"/>
      <c r="H364" s="2"/>
      <c r="I364" s="2"/>
      <c r="J364" s="2"/>
      <c r="K364" s="2"/>
      <c r="L364" s="2"/>
      <c r="M364" s="2"/>
      <c r="N364" s="2"/>
      <c r="O364" s="1"/>
      <c r="P364" s="1"/>
      <c r="Q364" s="1"/>
    </row>
    <row r="365">
      <c r="A365" s="1"/>
      <c r="B365" s="1"/>
      <c r="C365" s="1"/>
      <c r="D365" s="1"/>
      <c r="E365" s="1"/>
      <c r="F365" s="2"/>
      <c r="G365" s="2"/>
      <c r="H365" s="2"/>
      <c r="I365" s="2"/>
      <c r="J365" s="2"/>
      <c r="K365" s="2"/>
      <c r="L365" s="2"/>
      <c r="M365" s="2"/>
      <c r="N365" s="2"/>
      <c r="O365" s="1"/>
      <c r="P365" s="1"/>
      <c r="Q365" s="1"/>
    </row>
    <row r="366">
      <c r="A366" s="1"/>
      <c r="B366" s="1"/>
      <c r="C366" s="1"/>
      <c r="D366" s="1"/>
      <c r="E366" s="1"/>
      <c r="F366" s="2"/>
      <c r="G366" s="2"/>
      <c r="H366" s="2"/>
      <c r="I366" s="2"/>
      <c r="J366" s="2"/>
      <c r="K366" s="2"/>
      <c r="L366" s="2"/>
      <c r="M366" s="2"/>
      <c r="N366" s="2"/>
      <c r="O366" s="1"/>
      <c r="P366" s="1"/>
      <c r="Q366" s="1"/>
    </row>
    <row r="367">
      <c r="A367" s="1"/>
      <c r="B367" s="1"/>
      <c r="C367" s="1"/>
      <c r="D367" s="1"/>
      <c r="E367" s="1"/>
      <c r="F367" s="2"/>
      <c r="G367" s="2"/>
      <c r="H367" s="2"/>
      <c r="I367" s="2"/>
      <c r="J367" s="2"/>
      <c r="K367" s="2"/>
      <c r="L367" s="2"/>
      <c r="M367" s="2"/>
      <c r="N367" s="2"/>
      <c r="O367" s="1"/>
      <c r="P367" s="1"/>
      <c r="Q367" s="1"/>
    </row>
    <row r="368">
      <c r="A368" s="1"/>
      <c r="B368" s="1"/>
      <c r="C368" s="1"/>
      <c r="D368" s="1"/>
      <c r="E368" s="1"/>
      <c r="F368" s="2"/>
      <c r="G368" s="2"/>
      <c r="H368" s="2"/>
      <c r="I368" s="2"/>
      <c r="J368" s="2"/>
      <c r="K368" s="2"/>
      <c r="L368" s="2"/>
      <c r="M368" s="2"/>
      <c r="N368" s="2"/>
      <c r="O368" s="1"/>
      <c r="P368" s="1"/>
      <c r="Q368" s="1"/>
    </row>
    <row r="369">
      <c r="A369" s="1"/>
      <c r="B369" s="1"/>
      <c r="C369" s="1"/>
      <c r="D369" s="1"/>
      <c r="E369" s="1"/>
      <c r="F369" s="2"/>
      <c r="G369" s="2"/>
      <c r="H369" s="2"/>
      <c r="I369" s="2"/>
      <c r="J369" s="2"/>
      <c r="K369" s="2"/>
      <c r="L369" s="2"/>
      <c r="M369" s="2"/>
      <c r="N369" s="2"/>
      <c r="O369" s="1"/>
      <c r="P369" s="1"/>
      <c r="Q369" s="1"/>
    </row>
    <row r="370">
      <c r="A370" s="1"/>
      <c r="B370" s="1"/>
      <c r="C370" s="1"/>
      <c r="D370" s="1"/>
      <c r="E370" s="1"/>
      <c r="F370" s="2"/>
      <c r="G370" s="2"/>
      <c r="H370" s="2"/>
      <c r="I370" s="2"/>
      <c r="J370" s="2"/>
      <c r="K370" s="2"/>
      <c r="L370" s="2"/>
      <c r="M370" s="2"/>
      <c r="N370" s="2"/>
      <c r="O370" s="1"/>
      <c r="P370" s="1"/>
      <c r="Q370" s="1"/>
    </row>
    <row r="371">
      <c r="A371" s="1"/>
      <c r="B371" s="1"/>
      <c r="C371" s="1"/>
      <c r="D371" s="1"/>
      <c r="E371" s="1"/>
      <c r="F371" s="2"/>
      <c r="G371" s="2"/>
      <c r="H371" s="2"/>
      <c r="I371" s="2"/>
      <c r="J371" s="2"/>
      <c r="K371" s="2"/>
      <c r="L371" s="2"/>
      <c r="M371" s="2"/>
      <c r="N371" s="2"/>
      <c r="O371" s="1"/>
      <c r="P371" s="1"/>
      <c r="Q371" s="1"/>
    </row>
    <row r="372">
      <c r="A372" s="1"/>
      <c r="B372" s="1"/>
      <c r="C372" s="1"/>
      <c r="D372" s="1"/>
      <c r="E372" s="1"/>
      <c r="F372" s="2"/>
      <c r="G372" s="2"/>
      <c r="H372" s="2"/>
      <c r="I372" s="2"/>
      <c r="J372" s="2"/>
      <c r="K372" s="2"/>
      <c r="L372" s="2"/>
      <c r="M372" s="2"/>
      <c r="N372" s="2"/>
      <c r="O372" s="1"/>
      <c r="P372" s="1"/>
      <c r="Q372" s="1"/>
    </row>
    <row r="373">
      <c r="A373" s="1"/>
      <c r="B373" s="1"/>
      <c r="C373" s="1"/>
      <c r="D373" s="1"/>
      <c r="E373" s="1"/>
      <c r="F373" s="2"/>
      <c r="G373" s="2"/>
      <c r="H373" s="2"/>
      <c r="I373" s="2"/>
      <c r="J373" s="2"/>
      <c r="K373" s="2"/>
      <c r="L373" s="2"/>
      <c r="M373" s="2"/>
      <c r="N373" s="2"/>
      <c r="O373" s="1"/>
      <c r="P373" s="1"/>
      <c r="Q373" s="1"/>
    </row>
    <row r="374">
      <c r="A374" s="1"/>
      <c r="B374" s="1"/>
      <c r="C374" s="1"/>
      <c r="D374" s="1"/>
      <c r="E374" s="1"/>
      <c r="F374" s="2"/>
      <c r="G374" s="2"/>
      <c r="H374" s="2"/>
      <c r="I374" s="2"/>
      <c r="J374" s="2"/>
      <c r="K374" s="2"/>
      <c r="L374" s="2"/>
      <c r="M374" s="2"/>
      <c r="N374" s="2"/>
      <c r="O374" s="1"/>
      <c r="P374" s="1"/>
      <c r="Q374" s="1"/>
    </row>
    <row r="375">
      <c r="A375" s="1"/>
      <c r="B375" s="1"/>
      <c r="C375" s="1"/>
      <c r="D375" s="1"/>
      <c r="E375" s="1"/>
      <c r="F375" s="2"/>
      <c r="G375" s="2"/>
      <c r="H375" s="2"/>
      <c r="I375" s="2"/>
      <c r="J375" s="2"/>
      <c r="K375" s="2"/>
      <c r="L375" s="2"/>
      <c r="M375" s="2"/>
      <c r="N375" s="2"/>
      <c r="O375" s="1"/>
      <c r="P375" s="1"/>
      <c r="Q375" s="1"/>
    </row>
    <row r="376">
      <c r="A376" s="1"/>
      <c r="B376" s="1"/>
      <c r="C376" s="1"/>
      <c r="D376" s="1"/>
      <c r="E376" s="1"/>
      <c r="F376" s="2"/>
      <c r="G376" s="2"/>
      <c r="H376" s="2"/>
      <c r="I376" s="2"/>
      <c r="J376" s="2"/>
      <c r="K376" s="2"/>
      <c r="L376" s="2"/>
      <c r="M376" s="2"/>
      <c r="N376" s="2"/>
      <c r="O376" s="1"/>
      <c r="P376" s="1"/>
      <c r="Q376" s="1"/>
    </row>
    <row r="377">
      <c r="A377" s="1"/>
      <c r="B377" s="1"/>
      <c r="C377" s="1"/>
      <c r="D377" s="1"/>
      <c r="E377" s="1"/>
      <c r="F377" s="2"/>
      <c r="G377" s="2"/>
      <c r="H377" s="2"/>
      <c r="I377" s="2"/>
      <c r="J377" s="2"/>
      <c r="K377" s="2"/>
      <c r="L377" s="2"/>
      <c r="M377" s="2"/>
      <c r="N377" s="2"/>
      <c r="O377" s="1"/>
      <c r="P377" s="1"/>
      <c r="Q377" s="1"/>
    </row>
    <row r="378">
      <c r="A378" s="1"/>
      <c r="B378" s="1"/>
      <c r="C378" s="1"/>
      <c r="D378" s="1"/>
      <c r="E378" s="1"/>
      <c r="F378" s="2"/>
      <c r="G378" s="2"/>
      <c r="H378" s="2"/>
      <c r="I378" s="2"/>
      <c r="J378" s="2"/>
      <c r="K378" s="2"/>
      <c r="L378" s="2"/>
      <c r="M378" s="2"/>
      <c r="N378" s="2"/>
      <c r="O378" s="1"/>
      <c r="P378" s="1"/>
      <c r="Q378" s="1"/>
    </row>
    <row r="379">
      <c r="A379" s="1"/>
      <c r="B379" s="1"/>
      <c r="C379" s="1"/>
      <c r="D379" s="1"/>
      <c r="E379" s="1"/>
      <c r="F379" s="2"/>
      <c r="G379" s="2"/>
      <c r="H379" s="2"/>
      <c r="I379" s="2"/>
      <c r="J379" s="2"/>
      <c r="K379" s="2"/>
      <c r="L379" s="2"/>
      <c r="M379" s="2"/>
      <c r="N379" s="2"/>
      <c r="O379" s="1"/>
      <c r="P379" s="1"/>
      <c r="Q379" s="1"/>
    </row>
    <row r="380">
      <c r="A380" s="1"/>
      <c r="B380" s="1"/>
      <c r="C380" s="1"/>
      <c r="D380" s="1"/>
      <c r="E380" s="1"/>
      <c r="F380" s="2"/>
      <c r="G380" s="2"/>
      <c r="H380" s="2"/>
      <c r="I380" s="2"/>
      <c r="J380" s="2"/>
      <c r="K380" s="2"/>
      <c r="L380" s="2"/>
      <c r="M380" s="2"/>
      <c r="N380" s="2"/>
      <c r="O380" s="1"/>
      <c r="P380" s="1"/>
      <c r="Q380" s="1"/>
    </row>
    <row r="381">
      <c r="A381" s="1"/>
      <c r="B381" s="1"/>
      <c r="C381" s="1"/>
      <c r="D381" s="1"/>
      <c r="E381" s="1"/>
      <c r="F381" s="2"/>
      <c r="G381" s="2"/>
      <c r="H381" s="2"/>
      <c r="I381" s="2"/>
      <c r="J381" s="2"/>
      <c r="K381" s="2"/>
      <c r="L381" s="2"/>
      <c r="M381" s="2"/>
      <c r="N381" s="2"/>
      <c r="O381" s="1"/>
      <c r="P381" s="1"/>
      <c r="Q381" s="1"/>
    </row>
    <row r="382">
      <c r="A382" s="1"/>
      <c r="B382" s="1"/>
      <c r="C382" s="1"/>
      <c r="D382" s="1"/>
      <c r="E382" s="1"/>
      <c r="F382" s="2"/>
      <c r="G382" s="2"/>
      <c r="H382" s="2"/>
      <c r="I382" s="2"/>
      <c r="J382" s="2"/>
      <c r="K382" s="2"/>
      <c r="L382" s="2"/>
      <c r="M382" s="2"/>
      <c r="N382" s="2"/>
      <c r="O382" s="1"/>
      <c r="P382" s="1"/>
      <c r="Q382" s="1"/>
    </row>
    <row r="383">
      <c r="A383" s="1"/>
      <c r="B383" s="1"/>
      <c r="C383" s="1"/>
      <c r="D383" s="1"/>
      <c r="E383" s="1"/>
      <c r="F383" s="2"/>
      <c r="G383" s="2"/>
      <c r="H383" s="2"/>
      <c r="I383" s="2"/>
      <c r="J383" s="2"/>
      <c r="K383" s="2"/>
      <c r="L383" s="2"/>
      <c r="M383" s="2"/>
      <c r="N383" s="2"/>
      <c r="O383" s="1"/>
      <c r="P383" s="1"/>
      <c r="Q383" s="1"/>
    </row>
    <row r="384">
      <c r="A384" s="1"/>
      <c r="B384" s="1"/>
      <c r="C384" s="1"/>
      <c r="D384" s="1"/>
      <c r="E384" s="1"/>
      <c r="F384" s="2"/>
      <c r="G384" s="2"/>
      <c r="H384" s="2"/>
      <c r="I384" s="2"/>
      <c r="J384" s="2"/>
      <c r="K384" s="2"/>
      <c r="L384" s="2"/>
      <c r="M384" s="2"/>
      <c r="N384" s="2"/>
      <c r="O384" s="1"/>
      <c r="P384" s="1"/>
      <c r="Q384" s="1"/>
    </row>
    <row r="385">
      <c r="A385" s="1"/>
      <c r="B385" s="1"/>
      <c r="C385" s="1"/>
      <c r="D385" s="1"/>
      <c r="E385" s="1"/>
      <c r="F385" s="2"/>
      <c r="G385" s="2"/>
      <c r="H385" s="2"/>
      <c r="I385" s="2"/>
      <c r="J385" s="2"/>
      <c r="K385" s="2"/>
      <c r="L385" s="2"/>
      <c r="M385" s="2"/>
      <c r="N385" s="2"/>
      <c r="O385" s="1"/>
      <c r="P385" s="1"/>
      <c r="Q385" s="1"/>
    </row>
    <row r="386">
      <c r="A386" s="1"/>
      <c r="B386" s="1"/>
      <c r="C386" s="1"/>
      <c r="D386" s="1"/>
      <c r="E386" s="1"/>
      <c r="F386" s="2"/>
      <c r="G386" s="2"/>
      <c r="H386" s="2"/>
      <c r="I386" s="2"/>
      <c r="J386" s="2"/>
      <c r="K386" s="2"/>
      <c r="L386" s="2"/>
      <c r="M386" s="2"/>
      <c r="N386" s="2"/>
      <c r="O386" s="1"/>
      <c r="P386" s="1"/>
      <c r="Q386" s="1"/>
    </row>
    <row r="387">
      <c r="A387" s="1"/>
      <c r="B387" s="1"/>
      <c r="C387" s="1"/>
      <c r="D387" s="1"/>
      <c r="E387" s="1"/>
      <c r="F387" s="2"/>
      <c r="G387" s="2"/>
      <c r="H387" s="2"/>
      <c r="I387" s="2"/>
      <c r="J387" s="2"/>
      <c r="K387" s="2"/>
      <c r="L387" s="2"/>
      <c r="M387" s="2"/>
      <c r="N387" s="2"/>
      <c r="O387" s="1"/>
      <c r="P387" s="1"/>
      <c r="Q387" s="1"/>
    </row>
    <row r="388">
      <c r="A388" s="1"/>
      <c r="B388" s="1"/>
      <c r="C388" s="1"/>
      <c r="D388" s="1"/>
      <c r="E388" s="1"/>
      <c r="F388" s="2"/>
      <c r="G388" s="2"/>
      <c r="H388" s="2"/>
      <c r="I388" s="2"/>
      <c r="J388" s="2"/>
      <c r="K388" s="2"/>
      <c r="L388" s="2"/>
      <c r="M388" s="2"/>
      <c r="N388" s="2"/>
      <c r="O388" s="1"/>
      <c r="P388" s="1"/>
      <c r="Q388" s="1"/>
    </row>
    <row r="389">
      <c r="A389" s="1"/>
      <c r="B389" s="1"/>
      <c r="C389" s="1"/>
      <c r="D389" s="1"/>
      <c r="E389" s="1"/>
      <c r="F389" s="2"/>
      <c r="G389" s="2"/>
      <c r="H389" s="2"/>
      <c r="I389" s="2"/>
      <c r="J389" s="2"/>
      <c r="K389" s="2"/>
      <c r="L389" s="2"/>
      <c r="M389" s="2"/>
      <c r="N389" s="2"/>
      <c r="O389" s="1"/>
      <c r="P389" s="1"/>
      <c r="Q389" s="1"/>
    </row>
    <row r="390">
      <c r="A390" s="1"/>
      <c r="B390" s="1"/>
      <c r="C390" s="1"/>
      <c r="D390" s="1"/>
      <c r="E390" s="1"/>
      <c r="F390" s="2"/>
      <c r="G390" s="2"/>
      <c r="H390" s="2"/>
      <c r="I390" s="2"/>
      <c r="J390" s="2"/>
      <c r="K390" s="2"/>
      <c r="L390" s="2"/>
      <c r="M390" s="2"/>
      <c r="N390" s="2"/>
      <c r="O390" s="1"/>
      <c r="P390" s="1"/>
      <c r="Q390" s="1"/>
    </row>
    <row r="391">
      <c r="A391" s="1"/>
      <c r="B391" s="1"/>
      <c r="C391" s="1"/>
      <c r="D391" s="1"/>
      <c r="E391" s="1"/>
      <c r="F391" s="2"/>
      <c r="G391" s="2"/>
      <c r="H391" s="2"/>
      <c r="I391" s="2"/>
      <c r="J391" s="2"/>
      <c r="K391" s="2"/>
      <c r="L391" s="2"/>
      <c r="M391" s="2"/>
      <c r="N391" s="2"/>
      <c r="O391" s="1"/>
      <c r="P391" s="1"/>
      <c r="Q391" s="1"/>
    </row>
    <row r="392">
      <c r="A392" s="1"/>
      <c r="B392" s="1"/>
      <c r="C392" s="1"/>
      <c r="D392" s="1"/>
      <c r="E392" s="1"/>
      <c r="F392" s="2"/>
      <c r="G392" s="2"/>
      <c r="H392" s="2"/>
      <c r="I392" s="2"/>
      <c r="J392" s="2"/>
      <c r="K392" s="2"/>
      <c r="L392" s="2"/>
      <c r="M392" s="2"/>
      <c r="N392" s="2"/>
      <c r="O392" s="1"/>
      <c r="P392" s="1"/>
      <c r="Q392" s="1"/>
    </row>
    <row r="393">
      <c r="A393" s="1"/>
      <c r="B393" s="1"/>
      <c r="C393" s="1"/>
      <c r="D393" s="1"/>
      <c r="E393" s="1"/>
      <c r="F393" s="2"/>
      <c r="G393" s="2"/>
      <c r="H393" s="2"/>
      <c r="I393" s="2"/>
      <c r="J393" s="2"/>
      <c r="K393" s="2"/>
      <c r="L393" s="2"/>
      <c r="M393" s="2"/>
      <c r="N393" s="2"/>
      <c r="O393" s="1"/>
      <c r="P393" s="1"/>
      <c r="Q393" s="1"/>
    </row>
    <row r="394">
      <c r="A394" s="1"/>
      <c r="B394" s="1"/>
      <c r="C394" s="1"/>
      <c r="D394" s="1"/>
      <c r="E394" s="1"/>
      <c r="F394" s="2"/>
      <c r="G394" s="2"/>
      <c r="H394" s="2"/>
      <c r="I394" s="2"/>
      <c r="J394" s="2"/>
      <c r="K394" s="2"/>
      <c r="L394" s="2"/>
      <c r="M394" s="2"/>
      <c r="N394" s="2"/>
      <c r="O394" s="1"/>
      <c r="P394" s="1"/>
      <c r="Q394" s="1"/>
    </row>
    <row r="395">
      <c r="A395" s="1"/>
      <c r="B395" s="1"/>
      <c r="C395" s="1"/>
      <c r="D395" s="1"/>
      <c r="E395" s="1"/>
      <c r="F395" s="2"/>
      <c r="G395" s="2"/>
      <c r="H395" s="2"/>
      <c r="I395" s="2"/>
      <c r="J395" s="2"/>
      <c r="K395" s="2"/>
      <c r="L395" s="2"/>
      <c r="M395" s="2"/>
      <c r="N395" s="2"/>
      <c r="O395" s="1"/>
      <c r="P395" s="1"/>
      <c r="Q395" s="1"/>
    </row>
    <row r="396">
      <c r="A396" s="1"/>
      <c r="B396" s="1"/>
      <c r="C396" s="1"/>
      <c r="D396" s="1"/>
      <c r="E396" s="1"/>
      <c r="F396" s="2"/>
      <c r="G396" s="2"/>
      <c r="H396" s="2"/>
      <c r="I396" s="2"/>
      <c r="J396" s="2"/>
      <c r="K396" s="2"/>
      <c r="L396" s="2"/>
      <c r="M396" s="2"/>
      <c r="N396" s="2"/>
      <c r="O396" s="1"/>
      <c r="P396" s="1"/>
      <c r="Q396" s="1"/>
    </row>
    <row r="397">
      <c r="A397" s="1"/>
      <c r="B397" s="1"/>
      <c r="C397" s="1"/>
      <c r="D397" s="1"/>
      <c r="E397" s="1"/>
      <c r="F397" s="2"/>
      <c r="G397" s="2"/>
      <c r="H397" s="2"/>
      <c r="I397" s="2"/>
      <c r="J397" s="2"/>
      <c r="K397" s="2"/>
      <c r="L397" s="2"/>
      <c r="M397" s="2"/>
      <c r="N397" s="2"/>
      <c r="O397" s="1"/>
      <c r="P397" s="1"/>
      <c r="Q397" s="1"/>
    </row>
    <row r="398">
      <c r="A398" s="1"/>
      <c r="B398" s="1"/>
      <c r="C398" s="1"/>
      <c r="D398" s="1"/>
      <c r="E398" s="1"/>
      <c r="F398" s="2"/>
      <c r="G398" s="2"/>
      <c r="H398" s="2"/>
      <c r="I398" s="2"/>
      <c r="J398" s="2"/>
      <c r="K398" s="2"/>
      <c r="L398" s="2"/>
      <c r="M398" s="2"/>
      <c r="N398" s="2"/>
      <c r="O398" s="1"/>
      <c r="P398" s="1"/>
      <c r="Q398" s="1"/>
    </row>
    <row r="399">
      <c r="A399" s="1"/>
      <c r="B399" s="1"/>
      <c r="C399" s="1"/>
      <c r="D399" s="1"/>
      <c r="E399" s="1"/>
      <c r="F399" s="2"/>
      <c r="G399" s="2"/>
      <c r="H399" s="2"/>
      <c r="I399" s="2"/>
      <c r="J399" s="2"/>
      <c r="K399" s="2"/>
      <c r="L399" s="2"/>
      <c r="M399" s="2"/>
      <c r="N399" s="2"/>
      <c r="O399" s="1"/>
      <c r="P399" s="1"/>
      <c r="Q399" s="1"/>
    </row>
    <row r="400">
      <c r="A400" s="1"/>
      <c r="B400" s="1"/>
      <c r="C400" s="1"/>
      <c r="D400" s="1"/>
      <c r="E400" s="1"/>
      <c r="F400" s="2"/>
      <c r="G400" s="2"/>
      <c r="H400" s="2"/>
      <c r="I400" s="2"/>
      <c r="J400" s="2"/>
      <c r="K400" s="2"/>
      <c r="L400" s="2"/>
      <c r="M400" s="2"/>
      <c r="N400" s="2"/>
      <c r="O400" s="1"/>
      <c r="P400" s="1"/>
      <c r="Q400" s="1"/>
    </row>
    <row r="401">
      <c r="A401" s="1"/>
      <c r="B401" s="1"/>
      <c r="C401" s="1"/>
      <c r="D401" s="1"/>
      <c r="E401" s="1"/>
      <c r="F401" s="2"/>
      <c r="G401" s="2"/>
      <c r="H401" s="2"/>
      <c r="I401" s="2"/>
      <c r="J401" s="2"/>
      <c r="K401" s="2"/>
      <c r="L401" s="2"/>
      <c r="M401" s="2"/>
      <c r="N401" s="2"/>
      <c r="O401" s="1"/>
      <c r="P401" s="1"/>
      <c r="Q401" s="1"/>
    </row>
    <row r="402">
      <c r="A402" s="1"/>
      <c r="B402" s="1"/>
      <c r="C402" s="1"/>
      <c r="D402" s="1"/>
      <c r="E402" s="1"/>
      <c r="F402" s="2"/>
      <c r="G402" s="2"/>
      <c r="H402" s="2"/>
      <c r="I402" s="2"/>
      <c r="J402" s="2"/>
      <c r="K402" s="2"/>
      <c r="L402" s="2"/>
      <c r="M402" s="2"/>
      <c r="N402" s="2"/>
      <c r="O402" s="1"/>
      <c r="P402" s="1"/>
      <c r="Q402" s="1"/>
    </row>
    <row r="403">
      <c r="A403" s="1"/>
      <c r="B403" s="1"/>
      <c r="C403" s="1"/>
      <c r="D403" s="1"/>
      <c r="E403" s="1"/>
      <c r="F403" s="2"/>
      <c r="G403" s="2"/>
      <c r="H403" s="2"/>
      <c r="I403" s="2"/>
      <c r="J403" s="2"/>
      <c r="K403" s="2"/>
      <c r="L403" s="2"/>
      <c r="M403" s="2"/>
      <c r="N403" s="2"/>
      <c r="O403" s="1"/>
      <c r="P403" s="1"/>
      <c r="Q403" s="1"/>
    </row>
    <row r="404">
      <c r="A404" s="1"/>
      <c r="B404" s="1"/>
      <c r="C404" s="1"/>
      <c r="D404" s="1"/>
      <c r="E404" s="1"/>
      <c r="F404" s="2"/>
      <c r="G404" s="2"/>
      <c r="H404" s="2"/>
      <c r="I404" s="2"/>
      <c r="J404" s="2"/>
      <c r="K404" s="2"/>
      <c r="L404" s="2"/>
      <c r="M404" s="2"/>
      <c r="N404" s="2"/>
      <c r="O404" s="1"/>
      <c r="P404" s="1"/>
      <c r="Q404" s="1"/>
    </row>
    <row r="405">
      <c r="A405" s="1"/>
      <c r="B405" s="1"/>
      <c r="C405" s="1"/>
      <c r="D405" s="1"/>
      <c r="E405" s="1"/>
      <c r="F405" s="2"/>
      <c r="G405" s="2"/>
      <c r="H405" s="2"/>
      <c r="I405" s="2"/>
      <c r="J405" s="2"/>
      <c r="K405" s="2"/>
      <c r="L405" s="2"/>
      <c r="M405" s="2"/>
      <c r="N405" s="2"/>
      <c r="O405" s="1"/>
      <c r="P405" s="1"/>
      <c r="Q405" s="1"/>
    </row>
    <row r="406">
      <c r="A406" s="1"/>
      <c r="B406" s="1"/>
      <c r="C406" s="1"/>
      <c r="D406" s="1"/>
      <c r="E406" s="1"/>
      <c r="F406" s="2"/>
      <c r="G406" s="2"/>
      <c r="H406" s="2"/>
      <c r="I406" s="2"/>
      <c r="J406" s="2"/>
      <c r="K406" s="2"/>
      <c r="L406" s="2"/>
      <c r="M406" s="2"/>
      <c r="N406" s="2"/>
      <c r="O406" s="1"/>
      <c r="P406" s="1"/>
      <c r="Q406" s="1"/>
    </row>
    <row r="407">
      <c r="A407" s="1"/>
      <c r="B407" s="1"/>
      <c r="C407" s="1"/>
      <c r="D407" s="1"/>
      <c r="E407" s="1"/>
      <c r="F407" s="2"/>
      <c r="G407" s="2"/>
      <c r="H407" s="2"/>
      <c r="I407" s="2"/>
      <c r="J407" s="2"/>
      <c r="K407" s="2"/>
      <c r="L407" s="2"/>
      <c r="M407" s="2"/>
      <c r="N407" s="2"/>
      <c r="O407" s="1"/>
      <c r="P407" s="1"/>
      <c r="Q407" s="1"/>
    </row>
    <row r="408">
      <c r="A408" s="1"/>
      <c r="B408" s="1"/>
      <c r="C408" s="1"/>
      <c r="D408" s="1"/>
      <c r="E408" s="1"/>
      <c r="F408" s="2"/>
      <c r="G408" s="2"/>
      <c r="H408" s="2"/>
      <c r="I408" s="2"/>
      <c r="J408" s="2"/>
      <c r="K408" s="2"/>
      <c r="L408" s="2"/>
      <c r="M408" s="2"/>
      <c r="N408" s="2"/>
      <c r="O408" s="1"/>
      <c r="P408" s="1"/>
      <c r="Q408" s="1"/>
    </row>
    <row r="409">
      <c r="A409" s="1"/>
      <c r="B409" s="1"/>
      <c r="C409" s="1"/>
      <c r="D409" s="1"/>
      <c r="E409" s="1"/>
      <c r="F409" s="2"/>
      <c r="G409" s="2"/>
      <c r="H409" s="2"/>
      <c r="I409" s="2"/>
      <c r="J409" s="2"/>
      <c r="K409" s="2"/>
      <c r="L409" s="2"/>
      <c r="M409" s="2"/>
      <c r="N409" s="2"/>
      <c r="O409" s="1"/>
      <c r="P409" s="1"/>
      <c r="Q409" s="1"/>
    </row>
    <row r="410">
      <c r="A410" s="1"/>
      <c r="B410" s="1"/>
      <c r="C410" s="1"/>
      <c r="D410" s="1"/>
      <c r="E410" s="1"/>
      <c r="F410" s="2"/>
      <c r="G410" s="2"/>
      <c r="H410" s="2"/>
      <c r="I410" s="2"/>
      <c r="J410" s="2"/>
      <c r="K410" s="2"/>
      <c r="L410" s="2"/>
      <c r="M410" s="2"/>
      <c r="N410" s="2"/>
      <c r="O410" s="1"/>
      <c r="P410" s="1"/>
      <c r="Q410" s="1"/>
    </row>
    <row r="411">
      <c r="A411" s="1"/>
      <c r="B411" s="1"/>
      <c r="C411" s="1"/>
      <c r="D411" s="1"/>
      <c r="E411" s="1"/>
      <c r="F411" s="2"/>
      <c r="G411" s="2"/>
      <c r="H411" s="2"/>
      <c r="I411" s="2"/>
      <c r="J411" s="2"/>
      <c r="K411" s="2"/>
      <c r="L411" s="2"/>
      <c r="M411" s="2"/>
      <c r="N411" s="2"/>
      <c r="O411" s="1"/>
      <c r="P411" s="1"/>
      <c r="Q411" s="1"/>
    </row>
    <row r="412">
      <c r="A412" s="1"/>
      <c r="B412" s="1"/>
      <c r="C412" s="1"/>
      <c r="D412" s="1"/>
      <c r="E412" s="1"/>
      <c r="F412" s="2"/>
      <c r="G412" s="2"/>
      <c r="H412" s="2"/>
      <c r="I412" s="2"/>
      <c r="J412" s="2"/>
      <c r="K412" s="2"/>
      <c r="L412" s="2"/>
      <c r="M412" s="2"/>
      <c r="N412" s="2"/>
      <c r="O412" s="1"/>
      <c r="P412" s="1"/>
      <c r="Q412" s="1"/>
    </row>
    <row r="413">
      <c r="A413" s="1"/>
      <c r="B413" s="1"/>
      <c r="C413" s="1"/>
      <c r="D413" s="1"/>
      <c r="E413" s="1"/>
      <c r="F413" s="2"/>
      <c r="G413" s="2"/>
      <c r="H413" s="2"/>
      <c r="I413" s="2"/>
      <c r="J413" s="2"/>
      <c r="K413" s="2"/>
      <c r="L413" s="2"/>
      <c r="M413" s="2"/>
      <c r="N413" s="2"/>
      <c r="O413" s="1"/>
      <c r="P413" s="1"/>
      <c r="Q413" s="1"/>
    </row>
    <row r="414">
      <c r="A414" s="1"/>
      <c r="B414" s="1"/>
      <c r="C414" s="1"/>
      <c r="D414" s="1"/>
      <c r="E414" s="1"/>
      <c r="F414" s="2"/>
      <c r="G414" s="2"/>
      <c r="H414" s="2"/>
      <c r="I414" s="2"/>
      <c r="J414" s="2"/>
      <c r="K414" s="2"/>
      <c r="L414" s="2"/>
      <c r="M414" s="2"/>
      <c r="N414" s="2"/>
      <c r="O414" s="1"/>
      <c r="P414" s="1"/>
      <c r="Q414" s="1"/>
    </row>
    <row r="415">
      <c r="A415" s="1"/>
      <c r="B415" s="1"/>
      <c r="C415" s="1"/>
      <c r="D415" s="1"/>
      <c r="E415" s="1"/>
      <c r="F415" s="2"/>
      <c r="G415" s="2"/>
      <c r="H415" s="2"/>
      <c r="I415" s="2"/>
      <c r="J415" s="2"/>
      <c r="K415" s="2"/>
      <c r="L415" s="2"/>
      <c r="M415" s="2"/>
      <c r="N415" s="2"/>
      <c r="O415" s="1"/>
      <c r="P415" s="1"/>
      <c r="Q415" s="1"/>
    </row>
    <row r="416">
      <c r="A416" s="1"/>
      <c r="B416" s="1"/>
      <c r="C416" s="1"/>
      <c r="D416" s="1"/>
      <c r="E416" s="1"/>
      <c r="F416" s="2"/>
      <c r="G416" s="2"/>
      <c r="H416" s="2"/>
      <c r="I416" s="2"/>
      <c r="J416" s="2"/>
      <c r="K416" s="2"/>
      <c r="L416" s="2"/>
      <c r="M416" s="2"/>
      <c r="N416" s="2"/>
      <c r="O416" s="1"/>
      <c r="P416" s="1"/>
      <c r="Q416" s="1"/>
    </row>
    <row r="417">
      <c r="A417" s="1"/>
      <c r="B417" s="1"/>
      <c r="C417" s="1"/>
      <c r="D417" s="1"/>
      <c r="E417" s="1"/>
      <c r="F417" s="2"/>
      <c r="G417" s="2"/>
      <c r="H417" s="2"/>
      <c r="I417" s="2"/>
      <c r="J417" s="2"/>
      <c r="K417" s="2"/>
      <c r="L417" s="2"/>
      <c r="M417" s="2"/>
      <c r="N417" s="2"/>
      <c r="O417" s="1"/>
      <c r="P417" s="1"/>
      <c r="Q417" s="1"/>
    </row>
    <row r="418">
      <c r="A418" s="1"/>
      <c r="B418" s="1"/>
      <c r="C418" s="1"/>
      <c r="D418" s="1"/>
      <c r="E418" s="1"/>
      <c r="F418" s="2"/>
      <c r="G418" s="2"/>
      <c r="H418" s="2"/>
      <c r="I418" s="2"/>
      <c r="J418" s="2"/>
      <c r="K418" s="2"/>
      <c r="L418" s="2"/>
      <c r="M418" s="2"/>
      <c r="N418" s="2"/>
      <c r="O418" s="1"/>
      <c r="P418" s="1"/>
      <c r="Q418" s="1"/>
    </row>
    <row r="419">
      <c r="A419" s="1"/>
      <c r="B419" s="1"/>
      <c r="C419" s="1"/>
      <c r="D419" s="1"/>
      <c r="E419" s="1"/>
      <c r="F419" s="2"/>
      <c r="G419" s="2"/>
      <c r="H419" s="2"/>
      <c r="I419" s="2"/>
      <c r="J419" s="2"/>
      <c r="K419" s="2"/>
      <c r="L419" s="2"/>
      <c r="M419" s="2"/>
      <c r="N419" s="2"/>
      <c r="O419" s="1"/>
      <c r="P419" s="1"/>
      <c r="Q419" s="1"/>
    </row>
    <row r="420">
      <c r="A420" s="1"/>
      <c r="B420" s="1"/>
      <c r="C420" s="1"/>
      <c r="D420" s="1"/>
      <c r="E420" s="1"/>
      <c r="F420" s="2"/>
      <c r="G420" s="2"/>
      <c r="H420" s="2"/>
      <c r="I420" s="2"/>
      <c r="J420" s="2"/>
      <c r="K420" s="2"/>
      <c r="L420" s="2"/>
      <c r="M420" s="2"/>
      <c r="N420" s="2"/>
      <c r="O420" s="1"/>
      <c r="P420" s="1"/>
      <c r="Q420" s="1"/>
    </row>
    <row r="421">
      <c r="A421" s="1"/>
      <c r="B421" s="1"/>
      <c r="C421" s="1"/>
      <c r="D421" s="1"/>
      <c r="E421" s="1"/>
      <c r="F421" s="2"/>
      <c r="G421" s="2"/>
      <c r="H421" s="2"/>
      <c r="I421" s="2"/>
      <c r="J421" s="2"/>
      <c r="K421" s="2"/>
      <c r="L421" s="2"/>
      <c r="M421" s="2"/>
      <c r="N421" s="2"/>
      <c r="O421" s="1"/>
      <c r="P421" s="1"/>
      <c r="Q421" s="1"/>
    </row>
    <row r="422">
      <c r="A422" s="1"/>
      <c r="B422" s="1"/>
      <c r="C422" s="1"/>
      <c r="D422" s="1"/>
      <c r="E422" s="1"/>
      <c r="F422" s="2"/>
      <c r="G422" s="2"/>
      <c r="H422" s="2"/>
      <c r="I422" s="2"/>
      <c r="J422" s="2"/>
      <c r="K422" s="2"/>
      <c r="L422" s="2"/>
      <c r="M422" s="2"/>
      <c r="N422" s="2"/>
      <c r="O422" s="1"/>
      <c r="P422" s="1"/>
      <c r="Q422" s="1"/>
    </row>
    <row r="423">
      <c r="A423" s="1"/>
      <c r="B423" s="1"/>
      <c r="C423" s="1"/>
      <c r="D423" s="1"/>
      <c r="E423" s="1"/>
      <c r="F423" s="2"/>
      <c r="G423" s="2"/>
      <c r="H423" s="2"/>
      <c r="I423" s="2"/>
      <c r="J423" s="2"/>
      <c r="K423" s="2"/>
      <c r="L423" s="2"/>
      <c r="M423" s="2"/>
      <c r="N423" s="2"/>
      <c r="O423" s="1"/>
      <c r="P423" s="1"/>
      <c r="Q423" s="1"/>
    </row>
    <row r="424">
      <c r="A424" s="1"/>
      <c r="B424" s="1"/>
      <c r="C424" s="1"/>
      <c r="D424" s="1"/>
      <c r="E424" s="1"/>
      <c r="F424" s="2"/>
      <c r="G424" s="2"/>
      <c r="H424" s="2"/>
      <c r="I424" s="2"/>
      <c r="J424" s="2"/>
      <c r="K424" s="2"/>
      <c r="L424" s="2"/>
      <c r="M424" s="2"/>
      <c r="N424" s="2"/>
      <c r="O424" s="1"/>
      <c r="P424" s="1"/>
      <c r="Q424" s="1"/>
    </row>
    <row r="425">
      <c r="A425" s="1"/>
      <c r="B425" s="1"/>
      <c r="C425" s="1"/>
      <c r="D425" s="1"/>
      <c r="E425" s="1"/>
      <c r="F425" s="2"/>
      <c r="G425" s="2"/>
      <c r="H425" s="2"/>
      <c r="I425" s="2"/>
      <c r="J425" s="2"/>
      <c r="K425" s="2"/>
      <c r="L425" s="2"/>
      <c r="M425" s="2"/>
      <c r="N425" s="2"/>
      <c r="O425" s="1"/>
      <c r="P425" s="1"/>
      <c r="Q425" s="1"/>
    </row>
    <row r="426">
      <c r="A426" s="1"/>
      <c r="B426" s="1"/>
      <c r="C426" s="1"/>
      <c r="D426" s="1"/>
      <c r="E426" s="1"/>
      <c r="F426" s="2"/>
      <c r="G426" s="2"/>
      <c r="H426" s="2"/>
      <c r="I426" s="2"/>
      <c r="J426" s="2"/>
      <c r="K426" s="2"/>
      <c r="L426" s="2"/>
      <c r="M426" s="2"/>
      <c r="N426" s="2"/>
      <c r="O426" s="1"/>
      <c r="P426" s="1"/>
      <c r="Q426" s="1"/>
    </row>
    <row r="427">
      <c r="A427" s="1"/>
      <c r="B427" s="1"/>
      <c r="C427" s="1"/>
      <c r="D427" s="1"/>
      <c r="E427" s="1"/>
      <c r="F427" s="2"/>
      <c r="G427" s="2"/>
      <c r="H427" s="2"/>
      <c r="I427" s="2"/>
      <c r="J427" s="2"/>
      <c r="K427" s="2"/>
      <c r="L427" s="2"/>
      <c r="M427" s="2"/>
      <c r="N427" s="2"/>
      <c r="O427" s="1"/>
      <c r="P427" s="1"/>
      <c r="Q427" s="1"/>
    </row>
    <row r="428">
      <c r="A428" s="1"/>
      <c r="B428" s="1"/>
      <c r="C428" s="1"/>
      <c r="D428" s="1"/>
      <c r="E428" s="1"/>
      <c r="F428" s="2"/>
      <c r="G428" s="2"/>
      <c r="H428" s="2"/>
      <c r="I428" s="2"/>
      <c r="J428" s="2"/>
      <c r="K428" s="2"/>
      <c r="L428" s="2"/>
      <c r="M428" s="2"/>
      <c r="N428" s="2"/>
      <c r="O428" s="1"/>
      <c r="P428" s="1"/>
      <c r="Q428" s="1"/>
    </row>
    <row r="429">
      <c r="A429" s="1"/>
      <c r="B429" s="1"/>
      <c r="C429" s="1"/>
      <c r="D429" s="1"/>
      <c r="E429" s="1"/>
      <c r="F429" s="2"/>
      <c r="G429" s="2"/>
      <c r="H429" s="2"/>
      <c r="I429" s="2"/>
      <c r="J429" s="2"/>
      <c r="K429" s="2"/>
      <c r="L429" s="2"/>
      <c r="M429" s="2"/>
      <c r="N429" s="2"/>
      <c r="O429" s="1"/>
      <c r="P429" s="1"/>
      <c r="Q429" s="1"/>
    </row>
    <row r="430">
      <c r="A430" s="1"/>
      <c r="B430" s="1"/>
      <c r="C430" s="1"/>
      <c r="D430" s="1"/>
      <c r="E430" s="1"/>
      <c r="F430" s="2"/>
      <c r="G430" s="2"/>
      <c r="H430" s="2"/>
      <c r="I430" s="2"/>
      <c r="J430" s="2"/>
      <c r="K430" s="2"/>
      <c r="L430" s="2"/>
      <c r="M430" s="2"/>
      <c r="N430" s="2"/>
      <c r="O430" s="1"/>
      <c r="P430" s="1"/>
      <c r="Q430" s="1"/>
    </row>
    <row r="431">
      <c r="A431" s="1"/>
      <c r="B431" s="1"/>
      <c r="C431" s="1"/>
      <c r="D431" s="1"/>
      <c r="E431" s="1"/>
      <c r="F431" s="2"/>
      <c r="G431" s="2"/>
      <c r="H431" s="2"/>
      <c r="I431" s="2"/>
      <c r="J431" s="2"/>
      <c r="K431" s="2"/>
      <c r="L431" s="2"/>
      <c r="M431" s="2"/>
      <c r="N431" s="2"/>
      <c r="O431" s="1"/>
      <c r="P431" s="1"/>
      <c r="Q431" s="1"/>
    </row>
    <row r="432">
      <c r="A432" s="1"/>
      <c r="B432" s="1"/>
      <c r="C432" s="1"/>
      <c r="D432" s="1"/>
      <c r="E432" s="1"/>
      <c r="F432" s="2"/>
      <c r="G432" s="2"/>
      <c r="H432" s="2"/>
      <c r="I432" s="2"/>
      <c r="J432" s="2"/>
      <c r="K432" s="2"/>
      <c r="L432" s="2"/>
      <c r="M432" s="2"/>
      <c r="N432" s="2"/>
      <c r="O432" s="1"/>
      <c r="P432" s="1"/>
      <c r="Q432" s="1"/>
    </row>
    <row r="433">
      <c r="A433" s="1"/>
      <c r="B433" s="1"/>
      <c r="C433" s="1"/>
      <c r="D433" s="1"/>
      <c r="E433" s="1"/>
      <c r="F433" s="2"/>
      <c r="G433" s="2"/>
      <c r="H433" s="2"/>
      <c r="I433" s="2"/>
      <c r="J433" s="2"/>
      <c r="K433" s="2"/>
      <c r="L433" s="2"/>
      <c r="M433" s="2"/>
      <c r="N433" s="2"/>
      <c r="O433" s="1"/>
      <c r="P433" s="1"/>
      <c r="Q433" s="1"/>
    </row>
    <row r="434">
      <c r="A434" s="1"/>
      <c r="B434" s="1"/>
      <c r="C434" s="1"/>
      <c r="D434" s="1"/>
      <c r="E434" s="1"/>
      <c r="F434" s="2"/>
      <c r="G434" s="2"/>
      <c r="H434" s="2"/>
      <c r="I434" s="2"/>
      <c r="J434" s="2"/>
      <c r="K434" s="2"/>
      <c r="L434" s="2"/>
      <c r="M434" s="2"/>
      <c r="N434" s="2"/>
      <c r="O434" s="1"/>
      <c r="P434" s="1"/>
      <c r="Q434" s="1"/>
    </row>
    <row r="435">
      <c r="A435" s="1"/>
      <c r="B435" s="1"/>
      <c r="C435" s="1"/>
      <c r="D435" s="1"/>
      <c r="E435" s="1"/>
      <c r="F435" s="2"/>
      <c r="G435" s="2"/>
      <c r="H435" s="2"/>
      <c r="I435" s="2"/>
      <c r="J435" s="2"/>
      <c r="K435" s="2"/>
      <c r="L435" s="2"/>
      <c r="M435" s="2"/>
      <c r="N435" s="2"/>
      <c r="O435" s="1"/>
      <c r="P435" s="1"/>
      <c r="Q435" s="1"/>
    </row>
    <row r="436">
      <c r="A436" s="1"/>
      <c r="B436" s="1"/>
      <c r="C436" s="1"/>
      <c r="D436" s="1"/>
      <c r="E436" s="1"/>
      <c r="F436" s="2"/>
      <c r="G436" s="2"/>
      <c r="H436" s="2"/>
      <c r="I436" s="2"/>
      <c r="J436" s="2"/>
      <c r="K436" s="2"/>
      <c r="L436" s="2"/>
      <c r="M436" s="2"/>
      <c r="N436" s="2"/>
      <c r="O436" s="1"/>
      <c r="P436" s="1"/>
      <c r="Q436" s="1"/>
    </row>
    <row r="437">
      <c r="A437" s="1"/>
      <c r="B437" s="1"/>
      <c r="C437" s="1"/>
      <c r="D437" s="1"/>
      <c r="E437" s="1"/>
      <c r="F437" s="2"/>
      <c r="G437" s="2"/>
      <c r="H437" s="2"/>
      <c r="I437" s="2"/>
      <c r="J437" s="2"/>
      <c r="K437" s="2"/>
      <c r="L437" s="2"/>
      <c r="M437" s="2"/>
      <c r="N437" s="2"/>
      <c r="O437" s="1"/>
      <c r="P437" s="1"/>
      <c r="Q437" s="1"/>
    </row>
    <row r="438">
      <c r="A438" s="1"/>
      <c r="B438" s="1"/>
      <c r="C438" s="1"/>
      <c r="D438" s="1"/>
      <c r="E438" s="1"/>
      <c r="F438" s="2"/>
      <c r="G438" s="2"/>
      <c r="H438" s="2"/>
      <c r="I438" s="2"/>
      <c r="J438" s="2"/>
      <c r="K438" s="2"/>
      <c r="L438" s="2"/>
      <c r="M438" s="2"/>
      <c r="N438" s="2"/>
      <c r="O438" s="1"/>
      <c r="P438" s="1"/>
      <c r="Q438" s="1"/>
    </row>
    <row r="439">
      <c r="A439" s="1"/>
      <c r="B439" s="1"/>
      <c r="C439" s="1"/>
      <c r="D439" s="1"/>
      <c r="E439" s="1"/>
      <c r="F439" s="2"/>
      <c r="G439" s="2"/>
      <c r="H439" s="2"/>
      <c r="I439" s="2"/>
      <c r="J439" s="2"/>
      <c r="K439" s="2"/>
      <c r="L439" s="2"/>
      <c r="M439" s="2"/>
      <c r="N439" s="2"/>
      <c r="O439" s="1"/>
      <c r="P439" s="1"/>
      <c r="Q439" s="1"/>
    </row>
    <row r="440">
      <c r="A440" s="1"/>
      <c r="B440" s="1"/>
      <c r="C440" s="1"/>
      <c r="D440" s="1"/>
      <c r="E440" s="1"/>
      <c r="F440" s="2"/>
      <c r="G440" s="2"/>
      <c r="H440" s="2"/>
      <c r="I440" s="2"/>
      <c r="J440" s="2"/>
      <c r="K440" s="2"/>
      <c r="L440" s="2"/>
      <c r="M440" s="2"/>
      <c r="N440" s="2"/>
      <c r="O440" s="1"/>
      <c r="P440" s="1"/>
      <c r="Q440" s="1"/>
    </row>
    <row r="441">
      <c r="A441" s="1"/>
      <c r="B441" s="1"/>
      <c r="C441" s="1"/>
      <c r="D441" s="1"/>
      <c r="E441" s="1"/>
      <c r="F441" s="2"/>
      <c r="G441" s="2"/>
      <c r="H441" s="2"/>
      <c r="I441" s="2"/>
      <c r="J441" s="2"/>
      <c r="K441" s="2"/>
      <c r="L441" s="2"/>
      <c r="M441" s="2"/>
      <c r="N441" s="2"/>
      <c r="O441" s="1"/>
      <c r="P441" s="1"/>
      <c r="Q441" s="1"/>
    </row>
    <row r="442">
      <c r="A442" s="1"/>
      <c r="B442" s="1"/>
      <c r="C442" s="1"/>
      <c r="D442" s="1"/>
      <c r="E442" s="1"/>
      <c r="F442" s="2"/>
      <c r="G442" s="2"/>
      <c r="H442" s="2"/>
      <c r="I442" s="2"/>
      <c r="J442" s="2"/>
      <c r="K442" s="2"/>
      <c r="L442" s="2"/>
      <c r="M442" s="2"/>
      <c r="N442" s="2"/>
      <c r="O442" s="1"/>
      <c r="P442" s="1"/>
      <c r="Q442" s="1"/>
    </row>
    <row r="443">
      <c r="A443" s="1"/>
      <c r="B443" s="1"/>
      <c r="C443" s="1"/>
      <c r="D443" s="1"/>
      <c r="E443" s="1"/>
      <c r="F443" s="2"/>
      <c r="G443" s="2"/>
      <c r="H443" s="2"/>
      <c r="I443" s="2"/>
      <c r="J443" s="2"/>
      <c r="K443" s="2"/>
      <c r="L443" s="2"/>
      <c r="M443" s="2"/>
      <c r="N443" s="2"/>
      <c r="O443" s="1"/>
      <c r="P443" s="1"/>
      <c r="Q443" s="1"/>
    </row>
    <row r="444">
      <c r="A444" s="1"/>
      <c r="B444" s="1"/>
      <c r="C444" s="1"/>
      <c r="D444" s="1"/>
      <c r="E444" s="1"/>
      <c r="F444" s="2"/>
      <c r="G444" s="2"/>
      <c r="H444" s="2"/>
      <c r="I444" s="2"/>
      <c r="J444" s="2"/>
      <c r="K444" s="2"/>
      <c r="L444" s="2"/>
      <c r="M444" s="2"/>
      <c r="N444" s="2"/>
      <c r="O444" s="1"/>
      <c r="P444" s="1"/>
      <c r="Q444" s="1"/>
    </row>
    <row r="445">
      <c r="A445" s="1"/>
      <c r="B445" s="1"/>
      <c r="C445" s="1"/>
      <c r="D445" s="1"/>
      <c r="E445" s="1"/>
      <c r="F445" s="2"/>
      <c r="G445" s="2"/>
      <c r="H445" s="2"/>
      <c r="I445" s="2"/>
      <c r="J445" s="2"/>
      <c r="K445" s="2"/>
      <c r="L445" s="2"/>
      <c r="M445" s="2"/>
      <c r="N445" s="2"/>
      <c r="O445" s="1"/>
      <c r="P445" s="1"/>
      <c r="Q445" s="1"/>
    </row>
    <row r="446">
      <c r="A446" s="1"/>
      <c r="B446" s="1"/>
      <c r="C446" s="1"/>
      <c r="D446" s="1"/>
      <c r="E446" s="1"/>
      <c r="F446" s="2"/>
      <c r="G446" s="2"/>
      <c r="H446" s="2"/>
      <c r="I446" s="2"/>
      <c r="J446" s="2"/>
      <c r="K446" s="2"/>
      <c r="L446" s="2"/>
      <c r="M446" s="2"/>
      <c r="N446" s="2"/>
      <c r="O446" s="1"/>
      <c r="P446" s="1"/>
      <c r="Q446" s="1"/>
    </row>
    <row r="447">
      <c r="A447" s="1"/>
      <c r="B447" s="1"/>
      <c r="C447" s="1"/>
      <c r="D447" s="1"/>
      <c r="E447" s="1"/>
      <c r="F447" s="2"/>
      <c r="G447" s="2"/>
      <c r="H447" s="2"/>
      <c r="I447" s="2"/>
      <c r="J447" s="2"/>
      <c r="K447" s="2"/>
      <c r="L447" s="2"/>
      <c r="M447" s="2"/>
      <c r="N447" s="2"/>
      <c r="O447" s="1"/>
      <c r="P447" s="1"/>
      <c r="Q447" s="1"/>
    </row>
    <row r="448">
      <c r="A448" s="1"/>
      <c r="B448" s="1"/>
      <c r="C448" s="1"/>
      <c r="D448" s="1"/>
      <c r="E448" s="1"/>
      <c r="F448" s="2"/>
      <c r="G448" s="2"/>
      <c r="H448" s="2"/>
      <c r="I448" s="2"/>
      <c r="J448" s="2"/>
      <c r="K448" s="2"/>
      <c r="L448" s="2"/>
      <c r="M448" s="2"/>
      <c r="N448" s="2"/>
      <c r="O448" s="1"/>
      <c r="P448" s="1"/>
      <c r="Q448" s="1"/>
    </row>
    <row r="449">
      <c r="A449" s="1"/>
      <c r="B449" s="1"/>
      <c r="C449" s="1"/>
      <c r="D449" s="1"/>
      <c r="E449" s="1"/>
      <c r="F449" s="2"/>
      <c r="G449" s="2"/>
      <c r="H449" s="2"/>
      <c r="I449" s="2"/>
      <c r="J449" s="2"/>
      <c r="K449" s="2"/>
      <c r="L449" s="2"/>
      <c r="M449" s="2"/>
      <c r="N449" s="2"/>
      <c r="O449" s="1"/>
      <c r="P449" s="1"/>
      <c r="Q449" s="1"/>
    </row>
    <row r="450">
      <c r="A450" s="1"/>
      <c r="B450" s="1"/>
      <c r="C450" s="1"/>
      <c r="D450" s="1"/>
      <c r="E450" s="1"/>
      <c r="F450" s="2"/>
      <c r="G450" s="2"/>
      <c r="H450" s="2"/>
      <c r="I450" s="2"/>
      <c r="J450" s="2"/>
      <c r="K450" s="2"/>
      <c r="L450" s="2"/>
      <c r="M450" s="2"/>
      <c r="N450" s="2"/>
      <c r="O450" s="1"/>
      <c r="P450" s="1"/>
      <c r="Q450" s="1"/>
    </row>
    <row r="451">
      <c r="A451" s="1"/>
      <c r="B451" s="1"/>
      <c r="C451" s="1"/>
      <c r="D451" s="1"/>
      <c r="E451" s="1"/>
      <c r="F451" s="2"/>
      <c r="G451" s="2"/>
      <c r="H451" s="2"/>
      <c r="I451" s="2"/>
      <c r="J451" s="2"/>
      <c r="K451" s="2"/>
      <c r="L451" s="2"/>
      <c r="M451" s="2"/>
      <c r="N451" s="2"/>
      <c r="O451" s="1"/>
      <c r="P451" s="1"/>
      <c r="Q451" s="1"/>
    </row>
    <row r="452">
      <c r="A452" s="1"/>
      <c r="B452" s="1"/>
      <c r="C452" s="1"/>
      <c r="D452" s="1"/>
      <c r="E452" s="1"/>
      <c r="F452" s="2"/>
      <c r="G452" s="2"/>
      <c r="H452" s="2"/>
      <c r="I452" s="2"/>
      <c r="J452" s="2"/>
      <c r="K452" s="2"/>
      <c r="L452" s="2"/>
      <c r="M452" s="2"/>
      <c r="N452" s="2"/>
      <c r="O452" s="1"/>
      <c r="P452" s="1"/>
      <c r="Q452" s="1"/>
    </row>
    <row r="453">
      <c r="A453" s="1"/>
      <c r="B453" s="1"/>
      <c r="C453" s="1"/>
      <c r="D453" s="1"/>
      <c r="E453" s="1"/>
      <c r="F453" s="2"/>
      <c r="G453" s="2"/>
      <c r="H453" s="2"/>
      <c r="I453" s="2"/>
      <c r="J453" s="2"/>
      <c r="K453" s="2"/>
      <c r="L453" s="2"/>
      <c r="M453" s="2"/>
      <c r="N453" s="2"/>
      <c r="O453" s="1"/>
      <c r="P453" s="1"/>
      <c r="Q453" s="1"/>
    </row>
    <row r="454">
      <c r="A454" s="1"/>
      <c r="B454" s="1"/>
      <c r="C454" s="1"/>
      <c r="D454" s="1"/>
      <c r="E454" s="1"/>
      <c r="F454" s="2"/>
      <c r="G454" s="2"/>
      <c r="H454" s="2"/>
      <c r="I454" s="2"/>
      <c r="J454" s="2"/>
      <c r="K454" s="2"/>
      <c r="L454" s="2"/>
      <c r="M454" s="2"/>
      <c r="N454" s="2"/>
      <c r="O454" s="1"/>
      <c r="P454" s="1"/>
      <c r="Q454" s="1"/>
    </row>
    <row r="455">
      <c r="A455" s="1"/>
      <c r="B455" s="1"/>
      <c r="C455" s="1"/>
      <c r="D455" s="1"/>
      <c r="E455" s="1"/>
      <c r="F455" s="2"/>
      <c r="G455" s="2"/>
      <c r="H455" s="2"/>
      <c r="I455" s="2"/>
      <c r="J455" s="2"/>
      <c r="K455" s="2"/>
      <c r="L455" s="2"/>
      <c r="M455" s="2"/>
      <c r="N455" s="2"/>
      <c r="O455" s="1"/>
      <c r="P455" s="1"/>
      <c r="Q455" s="1"/>
    </row>
    <row r="456">
      <c r="A456" s="1"/>
      <c r="B456" s="1"/>
      <c r="C456" s="1"/>
      <c r="D456" s="1"/>
      <c r="E456" s="1"/>
      <c r="F456" s="2"/>
      <c r="G456" s="2"/>
      <c r="H456" s="2"/>
      <c r="I456" s="2"/>
      <c r="J456" s="2"/>
      <c r="K456" s="2"/>
      <c r="L456" s="2"/>
      <c r="M456" s="2"/>
      <c r="N456" s="2"/>
      <c r="O456" s="1"/>
      <c r="P456" s="1"/>
      <c r="Q456" s="1"/>
    </row>
    <row r="457">
      <c r="A457" s="1"/>
      <c r="B457" s="1"/>
      <c r="C457" s="1"/>
      <c r="D457" s="1"/>
      <c r="E457" s="1"/>
      <c r="F457" s="2"/>
      <c r="G457" s="2"/>
      <c r="H457" s="2"/>
      <c r="I457" s="2"/>
      <c r="J457" s="2"/>
      <c r="K457" s="2"/>
      <c r="L457" s="2"/>
      <c r="M457" s="2"/>
      <c r="N457" s="2"/>
      <c r="O457" s="1"/>
      <c r="P457" s="1"/>
      <c r="Q457" s="1"/>
    </row>
    <row r="458">
      <c r="A458" s="1"/>
      <c r="B458" s="1"/>
      <c r="C458" s="1"/>
      <c r="D458" s="1"/>
      <c r="E458" s="1"/>
      <c r="F458" s="2"/>
      <c r="G458" s="2"/>
      <c r="H458" s="2"/>
      <c r="I458" s="2"/>
      <c r="J458" s="2"/>
      <c r="K458" s="2"/>
      <c r="L458" s="2"/>
      <c r="M458" s="2"/>
      <c r="N458" s="2"/>
      <c r="O458" s="1"/>
      <c r="P458" s="1"/>
      <c r="Q458" s="1"/>
    </row>
    <row r="459">
      <c r="A459" s="1"/>
      <c r="B459" s="1"/>
      <c r="C459" s="1"/>
      <c r="D459" s="1"/>
      <c r="E459" s="1"/>
      <c r="F459" s="2"/>
      <c r="G459" s="2"/>
      <c r="H459" s="2"/>
      <c r="I459" s="2"/>
      <c r="J459" s="2"/>
      <c r="K459" s="2"/>
      <c r="L459" s="2"/>
      <c r="M459" s="2"/>
      <c r="N459" s="2"/>
      <c r="O459" s="1"/>
      <c r="P459" s="1"/>
      <c r="Q459" s="1"/>
    </row>
    <row r="460">
      <c r="A460" s="1"/>
      <c r="B460" s="1"/>
      <c r="C460" s="1"/>
      <c r="D460" s="1"/>
      <c r="E460" s="1"/>
      <c r="F460" s="2"/>
      <c r="G460" s="2"/>
      <c r="H460" s="2"/>
      <c r="I460" s="2"/>
      <c r="J460" s="2"/>
      <c r="K460" s="2"/>
      <c r="L460" s="2"/>
      <c r="M460" s="2"/>
      <c r="N460" s="2"/>
      <c r="O460" s="1"/>
      <c r="P460" s="1"/>
      <c r="Q460" s="1"/>
    </row>
    <row r="461">
      <c r="A461" s="1"/>
      <c r="B461" s="1"/>
      <c r="C461" s="1"/>
      <c r="D461" s="1"/>
      <c r="E461" s="1"/>
      <c r="F461" s="2"/>
      <c r="G461" s="2"/>
      <c r="H461" s="2"/>
      <c r="I461" s="2"/>
      <c r="J461" s="2"/>
      <c r="K461" s="2"/>
      <c r="L461" s="2"/>
      <c r="M461" s="2"/>
      <c r="N461" s="2"/>
      <c r="O461" s="1"/>
      <c r="P461" s="1"/>
      <c r="Q461" s="1"/>
    </row>
    <row r="462">
      <c r="A462" s="1"/>
      <c r="B462" s="1"/>
      <c r="C462" s="1"/>
      <c r="D462" s="1"/>
      <c r="E462" s="1"/>
      <c r="F462" s="2"/>
      <c r="G462" s="2"/>
      <c r="H462" s="2"/>
      <c r="I462" s="2"/>
      <c r="J462" s="2"/>
      <c r="K462" s="2"/>
      <c r="L462" s="2"/>
      <c r="M462" s="2"/>
      <c r="N462" s="2"/>
      <c r="O462" s="1"/>
      <c r="P462" s="1"/>
      <c r="Q462" s="1"/>
    </row>
    <row r="463">
      <c r="A463" s="1"/>
      <c r="B463" s="1"/>
      <c r="C463" s="1"/>
      <c r="D463" s="1"/>
      <c r="E463" s="1"/>
      <c r="F463" s="2"/>
      <c r="G463" s="2"/>
      <c r="H463" s="2"/>
      <c r="I463" s="2"/>
      <c r="J463" s="2"/>
      <c r="K463" s="2"/>
      <c r="L463" s="2"/>
      <c r="M463" s="2"/>
      <c r="N463" s="2"/>
      <c r="O463" s="1"/>
      <c r="P463" s="1"/>
      <c r="Q463" s="1"/>
    </row>
    <row r="464">
      <c r="A464" s="1"/>
      <c r="B464" s="1"/>
      <c r="C464" s="1"/>
      <c r="D464" s="1"/>
      <c r="E464" s="1"/>
      <c r="F464" s="2"/>
      <c r="G464" s="2"/>
      <c r="H464" s="2"/>
      <c r="I464" s="2"/>
      <c r="J464" s="2"/>
      <c r="K464" s="2"/>
      <c r="L464" s="2"/>
      <c r="M464" s="2"/>
      <c r="N464" s="2"/>
      <c r="O464" s="1"/>
      <c r="P464" s="1"/>
      <c r="Q464" s="1"/>
    </row>
    <row r="465">
      <c r="A465" s="1"/>
      <c r="B465" s="1"/>
      <c r="C465" s="1"/>
      <c r="D465" s="1"/>
      <c r="E465" s="1"/>
      <c r="F465" s="2"/>
      <c r="G465" s="2"/>
      <c r="H465" s="2"/>
      <c r="I465" s="2"/>
      <c r="J465" s="2"/>
      <c r="K465" s="2"/>
      <c r="L465" s="2"/>
      <c r="M465" s="2"/>
      <c r="N465" s="2"/>
      <c r="O465" s="1"/>
      <c r="P465" s="1"/>
      <c r="Q465" s="1"/>
    </row>
    <row r="466">
      <c r="A466" s="1"/>
      <c r="B466" s="1"/>
      <c r="C466" s="1"/>
      <c r="D466" s="1"/>
      <c r="E466" s="1"/>
      <c r="F466" s="2"/>
      <c r="G466" s="2"/>
      <c r="H466" s="2"/>
      <c r="I466" s="2"/>
      <c r="J466" s="2"/>
      <c r="K466" s="2"/>
      <c r="L466" s="2"/>
      <c r="M466" s="2"/>
      <c r="N466" s="2"/>
      <c r="O466" s="1"/>
      <c r="P466" s="1"/>
      <c r="Q466" s="1"/>
    </row>
    <row r="467">
      <c r="A467" s="1"/>
      <c r="B467" s="1"/>
      <c r="C467" s="1"/>
      <c r="D467" s="1"/>
      <c r="E467" s="1"/>
      <c r="F467" s="2"/>
      <c r="G467" s="2"/>
      <c r="H467" s="2"/>
      <c r="I467" s="2"/>
      <c r="J467" s="2"/>
      <c r="K467" s="2"/>
      <c r="L467" s="2"/>
      <c r="M467" s="2"/>
      <c r="N467" s="2"/>
      <c r="O467" s="1"/>
      <c r="P467" s="1"/>
      <c r="Q467" s="1"/>
    </row>
    <row r="468">
      <c r="A468" s="1"/>
      <c r="B468" s="1"/>
      <c r="C468" s="1"/>
      <c r="D468" s="1"/>
      <c r="E468" s="1"/>
      <c r="F468" s="2"/>
      <c r="G468" s="2"/>
      <c r="H468" s="2"/>
      <c r="I468" s="2"/>
      <c r="J468" s="2"/>
      <c r="K468" s="2"/>
      <c r="L468" s="2"/>
      <c r="M468" s="2"/>
      <c r="N468" s="2"/>
      <c r="O468" s="1"/>
      <c r="P468" s="1"/>
      <c r="Q468" s="1"/>
    </row>
    <row r="469">
      <c r="A469" s="1"/>
      <c r="B469" s="1"/>
      <c r="C469" s="1"/>
      <c r="D469" s="1"/>
      <c r="E469" s="1"/>
      <c r="F469" s="2"/>
      <c r="G469" s="2"/>
      <c r="H469" s="2"/>
      <c r="I469" s="2"/>
      <c r="J469" s="2"/>
      <c r="K469" s="2"/>
      <c r="L469" s="2"/>
      <c r="M469" s="2"/>
      <c r="N469" s="2"/>
      <c r="O469" s="1"/>
      <c r="P469" s="1"/>
      <c r="Q469" s="1"/>
    </row>
    <row r="470">
      <c r="A470" s="1"/>
      <c r="B470" s="1"/>
      <c r="C470" s="1"/>
      <c r="D470" s="1"/>
      <c r="E470" s="1"/>
      <c r="F470" s="2"/>
      <c r="G470" s="2"/>
      <c r="H470" s="2"/>
      <c r="I470" s="2"/>
      <c r="J470" s="2"/>
      <c r="K470" s="2"/>
      <c r="L470" s="2"/>
      <c r="M470" s="2"/>
      <c r="N470" s="2"/>
      <c r="O470" s="1"/>
      <c r="P470" s="1"/>
      <c r="Q470" s="1"/>
    </row>
    <row r="471">
      <c r="A471" s="1"/>
      <c r="B471" s="1"/>
      <c r="C471" s="1"/>
      <c r="D471" s="1"/>
      <c r="E471" s="1"/>
      <c r="F471" s="2"/>
      <c r="G471" s="2"/>
      <c r="H471" s="2"/>
      <c r="I471" s="2"/>
      <c r="J471" s="2"/>
      <c r="K471" s="2"/>
      <c r="L471" s="2"/>
      <c r="M471" s="2"/>
      <c r="N471" s="2"/>
      <c r="O471" s="1"/>
      <c r="P471" s="1"/>
      <c r="Q471" s="1"/>
    </row>
    <row r="472">
      <c r="A472" s="1"/>
      <c r="B472" s="1"/>
      <c r="C472" s="1"/>
      <c r="D472" s="1"/>
      <c r="E472" s="1"/>
      <c r="F472" s="2"/>
      <c r="G472" s="2"/>
      <c r="H472" s="2"/>
      <c r="I472" s="2"/>
      <c r="J472" s="2"/>
      <c r="K472" s="2"/>
      <c r="L472" s="2"/>
      <c r="M472" s="2"/>
      <c r="N472" s="2"/>
      <c r="O472" s="1"/>
      <c r="P472" s="1"/>
      <c r="Q472" s="1"/>
    </row>
    <row r="473">
      <c r="A473" s="1"/>
      <c r="B473" s="1"/>
      <c r="C473" s="1"/>
      <c r="D473" s="1"/>
      <c r="E473" s="1"/>
      <c r="F473" s="2"/>
      <c r="G473" s="2"/>
      <c r="H473" s="2"/>
      <c r="I473" s="2"/>
      <c r="J473" s="2"/>
      <c r="K473" s="2"/>
      <c r="L473" s="2"/>
      <c r="M473" s="2"/>
      <c r="N473" s="2"/>
      <c r="O473" s="1"/>
      <c r="P473" s="1"/>
      <c r="Q473" s="1"/>
    </row>
    <row r="474">
      <c r="A474" s="1"/>
      <c r="B474" s="1"/>
      <c r="C474" s="1"/>
      <c r="D474" s="1"/>
      <c r="E474" s="1"/>
      <c r="F474" s="2"/>
      <c r="G474" s="2"/>
      <c r="H474" s="2"/>
      <c r="I474" s="2"/>
      <c r="J474" s="2"/>
      <c r="K474" s="2"/>
      <c r="L474" s="2"/>
      <c r="M474" s="2"/>
      <c r="N474" s="2"/>
      <c r="O474" s="1"/>
      <c r="P474" s="1"/>
      <c r="Q474" s="1"/>
    </row>
    <row r="475">
      <c r="A475" s="1"/>
      <c r="B475" s="1"/>
      <c r="C475" s="1"/>
      <c r="D475" s="1"/>
      <c r="E475" s="1"/>
      <c r="F475" s="2"/>
      <c r="G475" s="2"/>
      <c r="H475" s="2"/>
      <c r="I475" s="2"/>
      <c r="J475" s="2"/>
      <c r="K475" s="2"/>
      <c r="L475" s="2"/>
      <c r="M475" s="2"/>
      <c r="N475" s="2"/>
      <c r="O475" s="1"/>
      <c r="P475" s="1"/>
      <c r="Q475" s="1"/>
    </row>
    <row r="476">
      <c r="A476" s="1"/>
      <c r="B476" s="1"/>
      <c r="C476" s="1"/>
      <c r="D476" s="1"/>
      <c r="E476" s="1"/>
      <c r="F476" s="2"/>
      <c r="G476" s="2"/>
      <c r="H476" s="2"/>
      <c r="I476" s="2"/>
      <c r="J476" s="2"/>
      <c r="K476" s="2"/>
      <c r="L476" s="2"/>
      <c r="M476" s="2"/>
      <c r="N476" s="2"/>
      <c r="O476" s="1"/>
      <c r="P476" s="1"/>
      <c r="Q476" s="1"/>
    </row>
    <row r="477">
      <c r="A477" s="1"/>
      <c r="B477" s="1"/>
      <c r="C477" s="1"/>
      <c r="D477" s="1"/>
      <c r="E477" s="1"/>
      <c r="F477" s="2"/>
      <c r="G477" s="2"/>
      <c r="H477" s="2"/>
      <c r="I477" s="2"/>
      <c r="J477" s="2"/>
      <c r="K477" s="2"/>
      <c r="L477" s="2"/>
      <c r="M477" s="2"/>
      <c r="N477" s="2"/>
      <c r="O477" s="1"/>
      <c r="P477" s="1"/>
      <c r="Q477" s="1"/>
    </row>
    <row r="478">
      <c r="A478" s="1"/>
      <c r="B478" s="1"/>
      <c r="C478" s="1"/>
      <c r="D478" s="1"/>
      <c r="E478" s="1"/>
      <c r="F478" s="2"/>
      <c r="G478" s="2"/>
      <c r="H478" s="2"/>
      <c r="I478" s="2"/>
      <c r="J478" s="2"/>
      <c r="K478" s="2"/>
      <c r="L478" s="2"/>
      <c r="M478" s="2"/>
      <c r="N478" s="2"/>
      <c r="O478" s="1"/>
      <c r="P478" s="1"/>
      <c r="Q478" s="1"/>
    </row>
    <row r="479">
      <c r="A479" s="1"/>
      <c r="B479" s="1"/>
      <c r="C479" s="1"/>
      <c r="D479" s="1"/>
      <c r="E479" s="1"/>
      <c r="F479" s="2"/>
      <c r="G479" s="2"/>
      <c r="H479" s="2"/>
      <c r="I479" s="2"/>
      <c r="J479" s="2"/>
      <c r="K479" s="2"/>
      <c r="L479" s="2"/>
      <c r="M479" s="2"/>
      <c r="N479" s="2"/>
      <c r="O479" s="1"/>
      <c r="P479" s="1"/>
      <c r="Q479" s="1"/>
    </row>
    <row r="480">
      <c r="A480" s="1"/>
      <c r="B480" s="1"/>
      <c r="C480" s="1"/>
      <c r="D480" s="1"/>
      <c r="E480" s="1"/>
      <c r="F480" s="2"/>
      <c r="G480" s="2"/>
      <c r="H480" s="2"/>
      <c r="I480" s="2"/>
      <c r="J480" s="2"/>
      <c r="K480" s="2"/>
      <c r="L480" s="2"/>
      <c r="M480" s="2"/>
      <c r="N480" s="2"/>
      <c r="O480" s="1"/>
      <c r="P480" s="1"/>
      <c r="Q480" s="1"/>
    </row>
    <row r="481">
      <c r="A481" s="1"/>
      <c r="B481" s="1"/>
      <c r="C481" s="1"/>
      <c r="D481" s="1"/>
      <c r="E481" s="1"/>
      <c r="F481" s="2"/>
      <c r="G481" s="2"/>
      <c r="H481" s="2"/>
      <c r="I481" s="2"/>
      <c r="J481" s="2"/>
      <c r="K481" s="2"/>
      <c r="L481" s="2"/>
      <c r="M481" s="2"/>
      <c r="N481" s="2"/>
      <c r="O481" s="1"/>
      <c r="P481" s="1"/>
      <c r="Q481" s="1"/>
    </row>
    <row r="482">
      <c r="A482" s="1"/>
      <c r="B482" s="1"/>
      <c r="C482" s="1"/>
      <c r="D482" s="1"/>
      <c r="E482" s="1"/>
      <c r="F482" s="2"/>
      <c r="G482" s="2"/>
      <c r="H482" s="2"/>
      <c r="I482" s="2"/>
      <c r="J482" s="2"/>
      <c r="K482" s="2"/>
      <c r="L482" s="2"/>
      <c r="M482" s="2"/>
      <c r="N482" s="2"/>
      <c r="O482" s="1"/>
      <c r="P482" s="1"/>
      <c r="Q482" s="1"/>
    </row>
    <row r="483">
      <c r="A483" s="1"/>
      <c r="B483" s="1"/>
      <c r="C483" s="1"/>
      <c r="D483" s="1"/>
      <c r="E483" s="1"/>
      <c r="F483" s="2"/>
      <c r="G483" s="2"/>
      <c r="H483" s="2"/>
      <c r="I483" s="2"/>
      <c r="J483" s="2"/>
      <c r="K483" s="2"/>
      <c r="L483" s="2"/>
      <c r="M483" s="2"/>
      <c r="N483" s="2"/>
      <c r="O483" s="1"/>
      <c r="P483" s="1"/>
      <c r="Q483" s="1"/>
    </row>
    <row r="484">
      <c r="A484" s="1"/>
      <c r="B484" s="1"/>
      <c r="C484" s="1"/>
      <c r="D484" s="1"/>
      <c r="E484" s="1"/>
      <c r="F484" s="2"/>
      <c r="G484" s="2"/>
      <c r="H484" s="2"/>
      <c r="I484" s="2"/>
      <c r="J484" s="2"/>
      <c r="K484" s="2"/>
      <c r="L484" s="2"/>
      <c r="M484" s="2"/>
      <c r="N484" s="2"/>
      <c r="O484" s="1"/>
      <c r="P484" s="1"/>
      <c r="Q484" s="1"/>
    </row>
    <row r="485">
      <c r="A485" s="1"/>
      <c r="B485" s="1"/>
      <c r="C485" s="1"/>
      <c r="D485" s="1"/>
      <c r="E485" s="1"/>
      <c r="F485" s="2"/>
      <c r="G485" s="2"/>
      <c r="H485" s="2"/>
      <c r="I485" s="2"/>
      <c r="J485" s="2"/>
      <c r="K485" s="2"/>
      <c r="L485" s="2"/>
      <c r="M485" s="2"/>
      <c r="N485" s="2"/>
      <c r="O485" s="1"/>
      <c r="P485" s="1"/>
      <c r="Q485" s="1"/>
    </row>
    <row r="486">
      <c r="A486" s="1"/>
      <c r="B486" s="1"/>
      <c r="C486" s="1"/>
      <c r="D486" s="1"/>
      <c r="E486" s="1"/>
      <c r="F486" s="2"/>
      <c r="G486" s="2"/>
      <c r="H486" s="2"/>
      <c r="I486" s="2"/>
      <c r="J486" s="2"/>
      <c r="K486" s="2"/>
      <c r="L486" s="2"/>
      <c r="M486" s="2"/>
      <c r="N486" s="2"/>
      <c r="O486" s="1"/>
      <c r="P486" s="1"/>
      <c r="Q486" s="1"/>
    </row>
    <row r="487">
      <c r="A487" s="1"/>
      <c r="B487" s="1"/>
      <c r="C487" s="1"/>
      <c r="D487" s="1"/>
      <c r="E487" s="1"/>
      <c r="F487" s="2"/>
      <c r="G487" s="2"/>
      <c r="H487" s="2"/>
      <c r="I487" s="2"/>
      <c r="J487" s="2"/>
      <c r="K487" s="2"/>
      <c r="L487" s="2"/>
      <c r="M487" s="2"/>
      <c r="N487" s="2"/>
      <c r="O487" s="1"/>
      <c r="P487" s="1"/>
      <c r="Q487" s="1"/>
    </row>
    <row r="488">
      <c r="A488" s="1"/>
      <c r="B488" s="1"/>
      <c r="C488" s="1"/>
      <c r="D488" s="1"/>
      <c r="E488" s="1"/>
      <c r="F488" s="2"/>
      <c r="G488" s="2"/>
      <c r="H488" s="2"/>
      <c r="I488" s="2"/>
      <c r="J488" s="2"/>
      <c r="K488" s="2"/>
      <c r="L488" s="2"/>
      <c r="M488" s="2"/>
      <c r="N488" s="2"/>
      <c r="O488" s="1"/>
      <c r="P488" s="1"/>
      <c r="Q488" s="1"/>
    </row>
    <row r="489">
      <c r="A489" s="1"/>
      <c r="B489" s="1"/>
      <c r="C489" s="1"/>
      <c r="D489" s="1"/>
      <c r="E489" s="1"/>
      <c r="F489" s="2"/>
      <c r="G489" s="2"/>
      <c r="H489" s="2"/>
      <c r="I489" s="2"/>
      <c r="J489" s="2"/>
      <c r="K489" s="2"/>
      <c r="L489" s="2"/>
      <c r="M489" s="2"/>
      <c r="N489" s="2"/>
      <c r="O489" s="1"/>
      <c r="P489" s="1"/>
      <c r="Q489" s="1"/>
    </row>
    <row r="490">
      <c r="A490" s="1"/>
      <c r="B490" s="1"/>
      <c r="C490" s="1"/>
      <c r="D490" s="1"/>
      <c r="E490" s="1"/>
      <c r="F490" s="2"/>
      <c r="G490" s="2"/>
      <c r="H490" s="2"/>
      <c r="I490" s="2"/>
      <c r="J490" s="2"/>
      <c r="K490" s="2"/>
      <c r="L490" s="2"/>
      <c r="M490" s="2"/>
      <c r="N490" s="2"/>
      <c r="O490" s="1"/>
      <c r="P490" s="1"/>
      <c r="Q490" s="1"/>
    </row>
    <row r="491">
      <c r="A491" s="1"/>
      <c r="B491" s="1"/>
      <c r="C491" s="1"/>
      <c r="D491" s="1"/>
      <c r="E491" s="1"/>
      <c r="F491" s="2"/>
      <c r="G491" s="2"/>
      <c r="H491" s="2"/>
      <c r="I491" s="2"/>
      <c r="J491" s="2"/>
      <c r="K491" s="2"/>
      <c r="L491" s="2"/>
      <c r="M491" s="2"/>
      <c r="N491" s="2"/>
      <c r="O491" s="1"/>
      <c r="P491" s="1"/>
      <c r="Q491" s="1"/>
    </row>
    <row r="492">
      <c r="A492" s="1"/>
      <c r="B492" s="1"/>
      <c r="C492" s="1"/>
      <c r="D492" s="1"/>
      <c r="E492" s="1"/>
      <c r="F492" s="2"/>
      <c r="G492" s="2"/>
      <c r="H492" s="2"/>
      <c r="I492" s="2"/>
      <c r="J492" s="2"/>
      <c r="K492" s="2"/>
      <c r="L492" s="2"/>
      <c r="M492" s="2"/>
      <c r="N492" s="2"/>
      <c r="O492" s="1"/>
      <c r="P492" s="1"/>
      <c r="Q492" s="1"/>
    </row>
    <row r="493">
      <c r="A493" s="1"/>
      <c r="B493" s="1"/>
      <c r="C493" s="1"/>
      <c r="D493" s="1"/>
      <c r="E493" s="1"/>
      <c r="F493" s="2"/>
      <c r="G493" s="2"/>
      <c r="H493" s="2"/>
      <c r="I493" s="2"/>
      <c r="J493" s="2"/>
      <c r="K493" s="2"/>
      <c r="L493" s="2"/>
      <c r="M493" s="2"/>
      <c r="N493" s="2"/>
      <c r="O493" s="1"/>
      <c r="P493" s="1"/>
      <c r="Q493" s="1"/>
    </row>
    <row r="494">
      <c r="A494" s="1"/>
      <c r="B494" s="1"/>
      <c r="C494" s="1"/>
      <c r="D494" s="1"/>
      <c r="E494" s="1"/>
      <c r="F494" s="2"/>
      <c r="G494" s="2"/>
      <c r="H494" s="2"/>
      <c r="I494" s="2"/>
      <c r="J494" s="2"/>
      <c r="K494" s="2"/>
      <c r="L494" s="2"/>
      <c r="M494" s="2"/>
      <c r="N494" s="2"/>
      <c r="O494" s="1"/>
      <c r="P494" s="1"/>
      <c r="Q494" s="1"/>
    </row>
    <row r="495">
      <c r="A495" s="1"/>
      <c r="B495" s="1"/>
      <c r="C495" s="1"/>
      <c r="D495" s="1"/>
      <c r="E495" s="1"/>
      <c r="F495" s="2"/>
      <c r="G495" s="2"/>
      <c r="H495" s="2"/>
      <c r="I495" s="2"/>
      <c r="J495" s="2"/>
      <c r="K495" s="2"/>
      <c r="L495" s="2"/>
      <c r="M495" s="2"/>
      <c r="N495" s="2"/>
      <c r="O495" s="1"/>
      <c r="P495" s="1"/>
      <c r="Q495" s="1"/>
    </row>
    <row r="496">
      <c r="A496" s="1"/>
      <c r="B496" s="1"/>
      <c r="C496" s="1"/>
      <c r="D496" s="1"/>
      <c r="E496" s="1"/>
      <c r="F496" s="2"/>
      <c r="G496" s="2"/>
      <c r="H496" s="2"/>
      <c r="I496" s="2"/>
      <c r="J496" s="2"/>
      <c r="K496" s="2"/>
      <c r="L496" s="2"/>
      <c r="M496" s="2"/>
      <c r="N496" s="2"/>
      <c r="O496" s="1"/>
      <c r="P496" s="1"/>
      <c r="Q496" s="1"/>
    </row>
    <row r="497">
      <c r="A497" s="1"/>
      <c r="B497" s="1"/>
      <c r="C497" s="1"/>
      <c r="D497" s="1"/>
      <c r="E497" s="1"/>
      <c r="F497" s="2"/>
      <c r="G497" s="2"/>
      <c r="H497" s="2"/>
      <c r="I497" s="2"/>
      <c r="J497" s="2"/>
      <c r="K497" s="2"/>
      <c r="L497" s="2"/>
      <c r="M497" s="2"/>
      <c r="N497" s="2"/>
      <c r="O497" s="1"/>
      <c r="P497" s="1"/>
      <c r="Q497" s="1"/>
    </row>
    <row r="498">
      <c r="A498" s="1"/>
      <c r="B498" s="1"/>
      <c r="C498" s="1"/>
      <c r="D498" s="1"/>
      <c r="E498" s="1"/>
      <c r="F498" s="2"/>
      <c r="G498" s="2"/>
      <c r="H498" s="2"/>
      <c r="I498" s="2"/>
      <c r="J498" s="2"/>
      <c r="K498" s="2"/>
      <c r="L498" s="2"/>
      <c r="M498" s="2"/>
      <c r="N498" s="2"/>
      <c r="O498" s="1"/>
      <c r="P498" s="1"/>
      <c r="Q498" s="1"/>
    </row>
    <row r="499">
      <c r="A499" s="1"/>
      <c r="B499" s="1"/>
      <c r="C499" s="1"/>
      <c r="D499" s="1"/>
      <c r="E499" s="1"/>
      <c r="F499" s="2"/>
      <c r="G499" s="2"/>
      <c r="H499" s="2"/>
      <c r="I499" s="2"/>
      <c r="J499" s="2"/>
      <c r="K499" s="2"/>
      <c r="L499" s="2"/>
      <c r="M499" s="2"/>
      <c r="N499" s="2"/>
      <c r="O499" s="1"/>
      <c r="P499" s="1"/>
      <c r="Q499" s="1"/>
    </row>
    <row r="500">
      <c r="A500" s="1"/>
      <c r="B500" s="1"/>
      <c r="C500" s="1"/>
      <c r="D500" s="1"/>
      <c r="E500" s="1"/>
      <c r="F500" s="2"/>
      <c r="G500" s="2"/>
      <c r="H500" s="2"/>
      <c r="I500" s="2"/>
      <c r="J500" s="2"/>
      <c r="K500" s="2"/>
      <c r="L500" s="2"/>
      <c r="M500" s="2"/>
      <c r="N500" s="2"/>
      <c r="O500" s="1"/>
      <c r="P500" s="1"/>
      <c r="Q500" s="1"/>
    </row>
    <row r="501">
      <c r="A501" s="1"/>
      <c r="B501" s="1"/>
      <c r="C501" s="1"/>
      <c r="D501" s="1"/>
      <c r="E501" s="1"/>
      <c r="F501" s="2"/>
      <c r="G501" s="2"/>
      <c r="H501" s="2"/>
      <c r="I501" s="2"/>
      <c r="J501" s="2"/>
      <c r="K501" s="2"/>
      <c r="L501" s="2"/>
      <c r="M501" s="2"/>
      <c r="N501" s="2"/>
      <c r="O501" s="1"/>
      <c r="P501" s="1"/>
      <c r="Q501" s="1"/>
    </row>
    <row r="502">
      <c r="A502" s="1"/>
      <c r="B502" s="1"/>
      <c r="C502" s="1"/>
      <c r="D502" s="1"/>
      <c r="E502" s="1"/>
      <c r="F502" s="2"/>
      <c r="G502" s="2"/>
      <c r="H502" s="2"/>
      <c r="I502" s="2"/>
      <c r="J502" s="2"/>
      <c r="K502" s="2"/>
      <c r="L502" s="2"/>
      <c r="M502" s="2"/>
      <c r="N502" s="2"/>
      <c r="O502" s="1"/>
      <c r="P502" s="1"/>
      <c r="Q502" s="1"/>
    </row>
    <row r="503">
      <c r="A503" s="1"/>
      <c r="B503" s="1"/>
      <c r="C503" s="1"/>
      <c r="D503" s="1"/>
      <c r="E503" s="1"/>
      <c r="F503" s="2"/>
      <c r="G503" s="2"/>
      <c r="H503" s="2"/>
      <c r="I503" s="2"/>
      <c r="J503" s="2"/>
      <c r="K503" s="2"/>
      <c r="L503" s="2"/>
      <c r="M503" s="2"/>
      <c r="N503" s="2"/>
      <c r="O503" s="1"/>
      <c r="P503" s="1"/>
      <c r="Q503" s="1"/>
    </row>
    <row r="504">
      <c r="A504" s="1"/>
      <c r="B504" s="1"/>
      <c r="C504" s="1"/>
      <c r="D504" s="1"/>
      <c r="E504" s="1"/>
      <c r="F504" s="2"/>
      <c r="G504" s="2"/>
      <c r="H504" s="2"/>
      <c r="I504" s="2"/>
      <c r="J504" s="2"/>
      <c r="K504" s="2"/>
      <c r="L504" s="2"/>
      <c r="M504" s="2"/>
      <c r="N504" s="2"/>
      <c r="O504" s="1"/>
      <c r="P504" s="1"/>
      <c r="Q504" s="1"/>
    </row>
    <row r="505">
      <c r="A505" s="1"/>
      <c r="B505" s="1"/>
      <c r="C505" s="1"/>
      <c r="D505" s="1"/>
      <c r="E505" s="1"/>
      <c r="F505" s="2"/>
      <c r="G505" s="2"/>
      <c r="H505" s="2"/>
      <c r="I505" s="2"/>
      <c r="J505" s="2"/>
      <c r="K505" s="2"/>
      <c r="L505" s="2"/>
      <c r="M505" s="2"/>
      <c r="N505" s="2"/>
      <c r="O505" s="1"/>
      <c r="P505" s="1"/>
      <c r="Q505" s="1"/>
    </row>
    <row r="506">
      <c r="A506" s="1"/>
      <c r="B506" s="1"/>
      <c r="C506" s="1"/>
      <c r="D506" s="1"/>
      <c r="E506" s="1"/>
      <c r="F506" s="2"/>
      <c r="G506" s="2"/>
      <c r="H506" s="2"/>
      <c r="I506" s="2"/>
      <c r="J506" s="2"/>
      <c r="K506" s="2"/>
      <c r="L506" s="2"/>
      <c r="M506" s="2"/>
      <c r="N506" s="2"/>
      <c r="O506" s="1"/>
      <c r="P506" s="1"/>
      <c r="Q506" s="1"/>
    </row>
    <row r="507">
      <c r="A507" s="1"/>
      <c r="B507" s="1"/>
      <c r="C507" s="1"/>
      <c r="D507" s="1"/>
      <c r="E507" s="1"/>
      <c r="F507" s="2"/>
      <c r="G507" s="2"/>
      <c r="H507" s="2"/>
      <c r="I507" s="2"/>
      <c r="J507" s="2"/>
      <c r="K507" s="2"/>
      <c r="L507" s="2"/>
      <c r="M507" s="2"/>
      <c r="N507" s="2"/>
      <c r="O507" s="1"/>
      <c r="P507" s="1"/>
      <c r="Q507" s="1"/>
    </row>
    <row r="508">
      <c r="A508" s="1"/>
      <c r="B508" s="1"/>
      <c r="C508" s="1"/>
      <c r="D508" s="1"/>
      <c r="E508" s="1"/>
      <c r="F508" s="2"/>
      <c r="G508" s="2"/>
      <c r="H508" s="2"/>
      <c r="I508" s="2"/>
      <c r="J508" s="2"/>
      <c r="K508" s="2"/>
      <c r="L508" s="2"/>
      <c r="M508" s="2"/>
      <c r="N508" s="2"/>
      <c r="O508" s="1"/>
      <c r="P508" s="1"/>
      <c r="Q508" s="1"/>
    </row>
    <row r="509">
      <c r="A509" s="1"/>
      <c r="B509" s="1"/>
      <c r="C509" s="1"/>
      <c r="D509" s="1"/>
      <c r="E509" s="1"/>
      <c r="F509" s="2"/>
      <c r="G509" s="2"/>
      <c r="H509" s="2"/>
      <c r="I509" s="2"/>
      <c r="J509" s="2"/>
      <c r="K509" s="2"/>
      <c r="L509" s="2"/>
      <c r="M509" s="2"/>
      <c r="N509" s="2"/>
      <c r="O509" s="1"/>
      <c r="P509" s="1"/>
      <c r="Q509" s="1"/>
    </row>
    <row r="510">
      <c r="A510" s="1"/>
      <c r="B510" s="1"/>
      <c r="C510" s="1"/>
      <c r="D510" s="1"/>
      <c r="E510" s="1"/>
      <c r="F510" s="2"/>
      <c r="G510" s="2"/>
      <c r="H510" s="2"/>
      <c r="I510" s="2"/>
      <c r="J510" s="2"/>
      <c r="K510" s="2"/>
      <c r="L510" s="2"/>
      <c r="M510" s="2"/>
      <c r="N510" s="2"/>
      <c r="O510" s="1"/>
      <c r="P510" s="1"/>
      <c r="Q510" s="1"/>
    </row>
    <row r="511">
      <c r="A511" s="1"/>
      <c r="B511" s="1"/>
      <c r="C511" s="1"/>
      <c r="D511" s="1"/>
      <c r="E511" s="1"/>
      <c r="F511" s="2"/>
      <c r="G511" s="2"/>
      <c r="H511" s="2"/>
      <c r="I511" s="2"/>
      <c r="J511" s="2"/>
      <c r="K511" s="2"/>
      <c r="L511" s="2"/>
      <c r="M511" s="2"/>
      <c r="N511" s="2"/>
      <c r="O511" s="1"/>
      <c r="P511" s="1"/>
      <c r="Q511" s="1"/>
    </row>
    <row r="512">
      <c r="A512" s="1"/>
      <c r="B512" s="1"/>
      <c r="C512" s="1"/>
      <c r="D512" s="1"/>
      <c r="E512" s="1"/>
      <c r="F512" s="2"/>
      <c r="G512" s="2"/>
      <c r="H512" s="2"/>
      <c r="I512" s="2"/>
      <c r="J512" s="2"/>
      <c r="K512" s="2"/>
      <c r="L512" s="2"/>
      <c r="M512" s="2"/>
      <c r="N512" s="2"/>
      <c r="O512" s="1"/>
      <c r="P512" s="1"/>
      <c r="Q512" s="1"/>
    </row>
    <row r="513">
      <c r="A513" s="1"/>
      <c r="B513" s="1"/>
      <c r="C513" s="1"/>
      <c r="D513" s="1"/>
      <c r="E513" s="1"/>
      <c r="F513" s="2"/>
      <c r="G513" s="2"/>
      <c r="H513" s="2"/>
      <c r="I513" s="2"/>
      <c r="J513" s="2"/>
      <c r="K513" s="2"/>
      <c r="L513" s="2"/>
      <c r="M513" s="2"/>
      <c r="N513" s="2"/>
      <c r="O513" s="1"/>
      <c r="P513" s="1"/>
      <c r="Q513" s="1"/>
    </row>
    <row r="514">
      <c r="A514" s="1"/>
      <c r="B514" s="1"/>
      <c r="C514" s="1"/>
      <c r="D514" s="1"/>
      <c r="E514" s="1"/>
      <c r="F514" s="2"/>
      <c r="G514" s="2"/>
      <c r="H514" s="2"/>
      <c r="I514" s="2"/>
      <c r="J514" s="2"/>
      <c r="K514" s="2"/>
      <c r="L514" s="2"/>
      <c r="M514" s="2"/>
      <c r="N514" s="2"/>
      <c r="O514" s="1"/>
      <c r="P514" s="1"/>
      <c r="Q514" s="1"/>
    </row>
    <row r="515">
      <c r="A515" s="1"/>
      <c r="B515" s="1"/>
      <c r="C515" s="1"/>
      <c r="D515" s="1"/>
      <c r="E515" s="1"/>
      <c r="F515" s="2"/>
      <c r="G515" s="2"/>
      <c r="H515" s="2"/>
      <c r="I515" s="2"/>
      <c r="J515" s="2"/>
      <c r="K515" s="2"/>
      <c r="L515" s="2"/>
      <c r="M515" s="2"/>
      <c r="N515" s="2"/>
      <c r="O515" s="1"/>
      <c r="P515" s="1"/>
      <c r="Q515" s="1"/>
    </row>
    <row r="516">
      <c r="A516" s="1"/>
      <c r="B516" s="1"/>
      <c r="C516" s="1"/>
      <c r="D516" s="1"/>
      <c r="E516" s="1"/>
      <c r="F516" s="2"/>
      <c r="G516" s="2"/>
      <c r="H516" s="2"/>
      <c r="I516" s="2"/>
      <c r="J516" s="2"/>
      <c r="K516" s="2"/>
      <c r="L516" s="2"/>
      <c r="M516" s="2"/>
      <c r="N516" s="2"/>
      <c r="O516" s="1"/>
      <c r="P516" s="1"/>
      <c r="Q516" s="1"/>
    </row>
    <row r="517">
      <c r="A517" s="1"/>
      <c r="B517" s="1"/>
      <c r="C517" s="1"/>
      <c r="D517" s="1"/>
      <c r="E517" s="1"/>
      <c r="F517" s="2"/>
      <c r="G517" s="2"/>
      <c r="H517" s="2"/>
      <c r="I517" s="2"/>
      <c r="J517" s="2"/>
      <c r="K517" s="2"/>
      <c r="L517" s="2"/>
      <c r="M517" s="2"/>
      <c r="N517" s="2"/>
      <c r="O517" s="1"/>
      <c r="P517" s="1"/>
      <c r="Q517" s="1"/>
    </row>
    <row r="518">
      <c r="A518" s="1"/>
      <c r="B518" s="1"/>
      <c r="C518" s="1"/>
      <c r="D518" s="1"/>
      <c r="E518" s="1"/>
      <c r="F518" s="2"/>
      <c r="G518" s="2"/>
      <c r="H518" s="2"/>
      <c r="I518" s="2"/>
      <c r="J518" s="2"/>
      <c r="K518" s="2"/>
      <c r="L518" s="2"/>
      <c r="M518" s="2"/>
      <c r="N518" s="2"/>
      <c r="O518" s="1"/>
      <c r="P518" s="1"/>
      <c r="Q518" s="1"/>
    </row>
    <row r="519">
      <c r="A519" s="1"/>
      <c r="B519" s="1"/>
      <c r="C519" s="1"/>
      <c r="D519" s="1"/>
      <c r="E519" s="1"/>
      <c r="F519" s="2"/>
      <c r="G519" s="2"/>
      <c r="H519" s="2"/>
      <c r="I519" s="2"/>
      <c r="J519" s="2"/>
      <c r="K519" s="2"/>
      <c r="L519" s="2"/>
      <c r="M519" s="2"/>
      <c r="N519" s="2"/>
      <c r="O519" s="1"/>
      <c r="P519" s="1"/>
      <c r="Q519" s="1"/>
    </row>
    <row r="520">
      <c r="A520" s="1"/>
      <c r="B520" s="1"/>
      <c r="C520" s="1"/>
      <c r="D520" s="1"/>
      <c r="E520" s="1"/>
      <c r="F520" s="2"/>
      <c r="G520" s="2"/>
      <c r="H520" s="2"/>
      <c r="I520" s="2"/>
      <c r="J520" s="2"/>
      <c r="K520" s="2"/>
      <c r="L520" s="2"/>
      <c r="M520" s="2"/>
      <c r="N520" s="2"/>
      <c r="O520" s="1"/>
      <c r="P520" s="1"/>
      <c r="Q520" s="1"/>
    </row>
    <row r="521">
      <c r="A521" s="1"/>
      <c r="B521" s="1"/>
      <c r="C521" s="1"/>
      <c r="D521" s="1"/>
      <c r="E521" s="1"/>
      <c r="F521" s="2"/>
      <c r="G521" s="2"/>
      <c r="H521" s="2"/>
      <c r="I521" s="2"/>
      <c r="J521" s="2"/>
      <c r="K521" s="2"/>
      <c r="L521" s="2"/>
      <c r="M521" s="2"/>
      <c r="N521" s="2"/>
      <c r="O521" s="1"/>
      <c r="P521" s="1"/>
      <c r="Q521" s="1"/>
    </row>
    <row r="522">
      <c r="A522" s="1"/>
      <c r="B522" s="1"/>
      <c r="C522" s="1"/>
      <c r="D522" s="1"/>
      <c r="E522" s="1"/>
      <c r="F522" s="2"/>
      <c r="G522" s="2"/>
      <c r="H522" s="2"/>
      <c r="I522" s="2"/>
      <c r="J522" s="2"/>
      <c r="K522" s="2"/>
      <c r="L522" s="2"/>
      <c r="M522" s="2"/>
      <c r="N522" s="2"/>
      <c r="O522" s="1"/>
      <c r="P522" s="1"/>
      <c r="Q522" s="1"/>
    </row>
    <row r="523">
      <c r="A523" s="1"/>
      <c r="B523" s="1"/>
      <c r="C523" s="1"/>
      <c r="D523" s="1"/>
      <c r="E523" s="1"/>
      <c r="F523" s="2"/>
      <c r="G523" s="2"/>
      <c r="H523" s="2"/>
      <c r="I523" s="2"/>
      <c r="J523" s="2"/>
      <c r="K523" s="2"/>
      <c r="L523" s="2"/>
      <c r="M523" s="2"/>
      <c r="N523" s="2"/>
      <c r="O523" s="1"/>
      <c r="P523" s="1"/>
      <c r="Q523" s="1"/>
    </row>
    <row r="524">
      <c r="A524" s="1"/>
      <c r="B524" s="1"/>
      <c r="C524" s="1"/>
      <c r="D524" s="1"/>
      <c r="E524" s="1"/>
      <c r="F524" s="2"/>
      <c r="G524" s="2"/>
      <c r="H524" s="2"/>
      <c r="I524" s="2"/>
      <c r="J524" s="2"/>
      <c r="K524" s="2"/>
      <c r="L524" s="2"/>
      <c r="M524" s="2"/>
      <c r="N524" s="2"/>
      <c r="O524" s="1"/>
      <c r="P524" s="1"/>
      <c r="Q524" s="1"/>
    </row>
    <row r="525">
      <c r="A525" s="1"/>
      <c r="B525" s="1"/>
      <c r="C525" s="1"/>
      <c r="D525" s="1"/>
      <c r="E525" s="1"/>
      <c r="F525" s="2"/>
      <c r="G525" s="2"/>
      <c r="H525" s="2"/>
      <c r="I525" s="2"/>
      <c r="J525" s="2"/>
      <c r="K525" s="2"/>
      <c r="L525" s="2"/>
      <c r="M525" s="2"/>
      <c r="N525" s="2"/>
      <c r="O525" s="1"/>
      <c r="P525" s="1"/>
      <c r="Q525" s="1"/>
    </row>
    <row r="526">
      <c r="A526" s="1"/>
      <c r="B526" s="1"/>
      <c r="C526" s="1"/>
      <c r="D526" s="1"/>
      <c r="E526" s="1"/>
      <c r="F526" s="2"/>
      <c r="G526" s="2"/>
      <c r="H526" s="2"/>
      <c r="I526" s="2"/>
      <c r="J526" s="2"/>
      <c r="K526" s="2"/>
      <c r="L526" s="2"/>
      <c r="M526" s="2"/>
      <c r="N526" s="2"/>
      <c r="O526" s="1"/>
      <c r="P526" s="1"/>
      <c r="Q526" s="1"/>
    </row>
    <row r="527">
      <c r="A527" s="1"/>
      <c r="B527" s="1"/>
      <c r="C527" s="1"/>
      <c r="D527" s="1"/>
      <c r="E527" s="1"/>
      <c r="F527" s="2"/>
      <c r="G527" s="2"/>
      <c r="H527" s="2"/>
      <c r="I527" s="2"/>
      <c r="J527" s="2"/>
      <c r="K527" s="2"/>
      <c r="L527" s="2"/>
      <c r="M527" s="2"/>
      <c r="N527" s="2"/>
      <c r="O527" s="1"/>
      <c r="P527" s="1"/>
      <c r="Q527" s="1"/>
    </row>
    <row r="528">
      <c r="A528" s="1"/>
      <c r="B528" s="1"/>
      <c r="C528" s="1"/>
      <c r="D528" s="1"/>
      <c r="E528" s="1"/>
      <c r="F528" s="2"/>
      <c r="G528" s="2"/>
      <c r="H528" s="2"/>
      <c r="I528" s="2"/>
      <c r="J528" s="2"/>
      <c r="K528" s="2"/>
      <c r="L528" s="2"/>
      <c r="M528" s="2"/>
      <c r="N528" s="2"/>
      <c r="O528" s="1"/>
      <c r="P528" s="1"/>
      <c r="Q528" s="1"/>
    </row>
    <row r="529">
      <c r="A529" s="1"/>
      <c r="B529" s="1"/>
      <c r="C529" s="1"/>
      <c r="D529" s="1"/>
      <c r="E529" s="1"/>
      <c r="F529" s="2"/>
      <c r="G529" s="2"/>
      <c r="H529" s="2"/>
      <c r="I529" s="2"/>
      <c r="J529" s="2"/>
      <c r="K529" s="2"/>
      <c r="L529" s="2"/>
      <c r="M529" s="2"/>
      <c r="N529" s="2"/>
      <c r="O529" s="1"/>
      <c r="P529" s="1"/>
      <c r="Q529" s="1"/>
    </row>
    <row r="530">
      <c r="A530" s="1"/>
      <c r="B530" s="1"/>
      <c r="C530" s="1"/>
      <c r="D530" s="1"/>
      <c r="E530" s="1"/>
      <c r="F530" s="2"/>
      <c r="G530" s="2"/>
      <c r="H530" s="2"/>
      <c r="I530" s="2"/>
      <c r="J530" s="2"/>
      <c r="K530" s="2"/>
      <c r="L530" s="2"/>
      <c r="M530" s="2"/>
      <c r="N530" s="2"/>
      <c r="O530" s="1"/>
      <c r="P530" s="1"/>
      <c r="Q530" s="1"/>
    </row>
    <row r="531">
      <c r="A531" s="1"/>
      <c r="B531" s="1"/>
      <c r="C531" s="1"/>
      <c r="D531" s="1"/>
      <c r="E531" s="1"/>
      <c r="F531" s="2"/>
      <c r="G531" s="2"/>
      <c r="H531" s="2"/>
      <c r="I531" s="2"/>
      <c r="J531" s="2"/>
      <c r="K531" s="2"/>
      <c r="L531" s="2"/>
      <c r="M531" s="2"/>
      <c r="N531" s="2"/>
      <c r="O531" s="1"/>
      <c r="P531" s="1"/>
      <c r="Q531" s="1"/>
    </row>
    <row r="532">
      <c r="A532" s="1"/>
      <c r="B532" s="1"/>
      <c r="C532" s="1"/>
      <c r="D532" s="1"/>
      <c r="E532" s="1"/>
      <c r="F532" s="2"/>
      <c r="G532" s="2"/>
      <c r="H532" s="2"/>
      <c r="I532" s="2"/>
      <c r="J532" s="2"/>
      <c r="K532" s="2"/>
      <c r="L532" s="2"/>
      <c r="M532" s="2"/>
      <c r="N532" s="2"/>
      <c r="O532" s="1"/>
      <c r="P532" s="1"/>
      <c r="Q532" s="1"/>
    </row>
    <row r="533">
      <c r="A533" s="1"/>
      <c r="B533" s="1"/>
      <c r="C533" s="1"/>
      <c r="D533" s="1"/>
      <c r="E533" s="1"/>
      <c r="F533" s="2"/>
      <c r="G533" s="2"/>
      <c r="H533" s="2"/>
      <c r="I533" s="2"/>
      <c r="J533" s="2"/>
      <c r="K533" s="2"/>
      <c r="L533" s="2"/>
      <c r="M533" s="2"/>
      <c r="N533" s="2"/>
      <c r="O533" s="1"/>
      <c r="P533" s="1"/>
      <c r="Q533" s="1"/>
    </row>
    <row r="534">
      <c r="A534" s="1"/>
      <c r="B534" s="1"/>
      <c r="C534" s="1"/>
      <c r="D534" s="1"/>
      <c r="E534" s="1"/>
      <c r="F534" s="2"/>
      <c r="G534" s="2"/>
      <c r="H534" s="2"/>
      <c r="I534" s="2"/>
      <c r="J534" s="2"/>
      <c r="K534" s="2"/>
      <c r="L534" s="2"/>
      <c r="M534" s="2"/>
      <c r="N534" s="2"/>
      <c r="O534" s="1"/>
      <c r="P534" s="1"/>
      <c r="Q534" s="1"/>
    </row>
    <row r="535">
      <c r="A535" s="1"/>
      <c r="B535" s="1"/>
      <c r="C535" s="1"/>
      <c r="D535" s="1"/>
      <c r="E535" s="1"/>
      <c r="F535" s="2"/>
      <c r="G535" s="2"/>
      <c r="H535" s="2"/>
      <c r="I535" s="2"/>
      <c r="J535" s="2"/>
      <c r="K535" s="2"/>
      <c r="L535" s="2"/>
      <c r="M535" s="2"/>
      <c r="N535" s="2"/>
      <c r="O535" s="1"/>
      <c r="P535" s="1"/>
      <c r="Q535" s="1"/>
    </row>
    <row r="536">
      <c r="A536" s="1"/>
      <c r="B536" s="1"/>
      <c r="C536" s="1"/>
      <c r="D536" s="1"/>
      <c r="E536" s="1"/>
      <c r="F536" s="2"/>
      <c r="G536" s="2"/>
      <c r="H536" s="2"/>
      <c r="I536" s="2"/>
      <c r="J536" s="2"/>
      <c r="K536" s="2"/>
      <c r="L536" s="2"/>
      <c r="M536" s="2"/>
      <c r="N536" s="2"/>
      <c r="O536" s="1"/>
      <c r="P536" s="1"/>
      <c r="Q536" s="1"/>
    </row>
    <row r="537">
      <c r="A537" s="1"/>
      <c r="B537" s="1"/>
      <c r="C537" s="1"/>
      <c r="D537" s="1"/>
      <c r="E537" s="1"/>
      <c r="F537" s="2"/>
      <c r="G537" s="2"/>
      <c r="H537" s="2"/>
      <c r="I537" s="2"/>
      <c r="J537" s="2"/>
      <c r="K537" s="2"/>
      <c r="L537" s="2"/>
      <c r="M537" s="2"/>
      <c r="N537" s="2"/>
      <c r="O537" s="1"/>
      <c r="P537" s="1"/>
      <c r="Q537" s="1"/>
    </row>
    <row r="538">
      <c r="A538" s="1"/>
      <c r="B538" s="1"/>
      <c r="C538" s="1"/>
      <c r="D538" s="1"/>
      <c r="E538" s="1"/>
      <c r="F538" s="2"/>
      <c r="G538" s="2"/>
      <c r="H538" s="2"/>
      <c r="I538" s="2"/>
      <c r="J538" s="2"/>
      <c r="K538" s="2"/>
      <c r="L538" s="2"/>
      <c r="M538" s="2"/>
      <c r="N538" s="2"/>
      <c r="O538" s="1"/>
      <c r="P538" s="1"/>
      <c r="Q538" s="1"/>
    </row>
    <row r="539">
      <c r="A539" s="1"/>
      <c r="B539" s="1"/>
      <c r="C539" s="1"/>
      <c r="D539" s="1"/>
      <c r="E539" s="1"/>
      <c r="F539" s="2"/>
      <c r="G539" s="2"/>
      <c r="H539" s="2"/>
      <c r="I539" s="2"/>
      <c r="J539" s="2"/>
      <c r="K539" s="2"/>
      <c r="L539" s="2"/>
      <c r="M539" s="2"/>
      <c r="N539" s="2"/>
      <c r="O539" s="1"/>
      <c r="P539" s="1"/>
      <c r="Q539" s="1"/>
    </row>
    <row r="540">
      <c r="A540" s="1"/>
      <c r="B540" s="1"/>
      <c r="C540" s="1"/>
      <c r="D540" s="1"/>
      <c r="E540" s="1"/>
      <c r="F540" s="2"/>
      <c r="G540" s="2"/>
      <c r="H540" s="2"/>
      <c r="I540" s="2"/>
      <c r="J540" s="2"/>
      <c r="K540" s="2"/>
      <c r="L540" s="2"/>
      <c r="M540" s="2"/>
      <c r="N540" s="2"/>
      <c r="O540" s="1"/>
      <c r="P540" s="1"/>
      <c r="Q540" s="1"/>
    </row>
    <row r="541">
      <c r="A541" s="1"/>
      <c r="B541" s="1"/>
      <c r="C541" s="1"/>
      <c r="D541" s="1"/>
      <c r="E541" s="1"/>
      <c r="F541" s="2"/>
      <c r="G541" s="2"/>
      <c r="H541" s="2"/>
      <c r="I541" s="2"/>
      <c r="J541" s="2"/>
      <c r="K541" s="2"/>
      <c r="L541" s="2"/>
      <c r="M541" s="2"/>
      <c r="N541" s="2"/>
      <c r="O541" s="1"/>
      <c r="P541" s="1"/>
      <c r="Q541" s="1"/>
    </row>
    <row r="542">
      <c r="A542" s="1"/>
      <c r="B542" s="1"/>
      <c r="C542" s="1"/>
      <c r="D542" s="1"/>
      <c r="E542" s="1"/>
      <c r="F542" s="2"/>
      <c r="G542" s="2"/>
      <c r="H542" s="2"/>
      <c r="I542" s="2"/>
      <c r="J542" s="2"/>
      <c r="K542" s="2"/>
      <c r="L542" s="2"/>
      <c r="M542" s="2"/>
      <c r="N542" s="2"/>
      <c r="O542" s="1"/>
      <c r="P542" s="1"/>
      <c r="Q542" s="1"/>
    </row>
  </sheetData>
  <mergeCells count="3">
    <mergeCell ref="B5:C5"/>
    <mergeCell ref="B6:C6"/>
    <mergeCell ref="B9:C9"/>
  </mergeCells>
  <conditionalFormatting sqref="G1:G542">
    <cfRule type="colorScale" priority="1">
      <colorScale>
        <cfvo type="min"/>
        <cfvo type="max"/>
        <color rgb="FFFFFFFF"/>
        <color rgb="FFFFD666"/>
      </colorScale>
    </cfRule>
  </conditionalFormatting>
  <conditionalFormatting sqref="H1:H542">
    <cfRule type="colorScale" priority="2">
      <colorScale>
        <cfvo type="min"/>
        <cfvo type="max"/>
        <color rgb="FFFFFFFF"/>
        <color rgb="FFFFD666"/>
      </colorScale>
    </cfRule>
  </conditionalFormatting>
  <conditionalFormatting sqref="J1:J542">
    <cfRule type="colorScale" priority="3">
      <colorScale>
        <cfvo type="min"/>
        <cfvo type="max"/>
        <color rgb="FFFFFFFF"/>
        <color rgb="FFFFD666"/>
      </colorScale>
    </cfRule>
  </conditionalFormatting>
  <conditionalFormatting sqref="K1:K542">
    <cfRule type="colorScale" priority="4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L1:L542">
    <cfRule type="colorScale" priority="5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M1:M542">
    <cfRule type="colorScale" priority="6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N1:N542">
    <cfRule type="colorScale" priority="7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F1:F542">
    <cfRule type="colorScale" priority="8">
      <colorScale>
        <cfvo type="min"/>
        <cfvo type="max"/>
        <color rgb="FFFFFFFF"/>
        <color rgb="FFFFD666"/>
      </colorScale>
    </cfRule>
  </conditionalFormatting>
  <conditionalFormatting sqref="C11:C40">
    <cfRule type="colorScale" priority="9">
      <colorScale>
        <cfvo type="min"/>
        <cfvo type="percentile" val="50"/>
        <cfvo type="max"/>
        <color rgb="FFE67C73"/>
        <color rgb="FFFFFFFF"/>
        <color rgb="FF57BB8A"/>
      </colorScale>
    </cfRule>
  </conditionalFormatting>
  <dataValidations>
    <dataValidation type="list" allowBlank="1" showErrorMessage="1" sqref="C2">
      <formula1>Data!$D$2:$D542</formula1>
    </dataValidation>
    <dataValidation type="list" allowBlank="1" showErrorMessage="1" sqref="C3">
      <formula1>Data!$C:$C</formula1>
    </dataValidation>
  </dataValidations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6.86"/>
    <col customWidth="1" min="2" max="2" width="18.14"/>
    <col customWidth="1" min="3" max="3" width="22.57"/>
    <col customWidth="1" min="4" max="4" width="6.86"/>
    <col customWidth="1" min="5" max="5" width="34.43"/>
    <col customWidth="1" min="6" max="6" width="7.86"/>
    <col customWidth="1" min="7" max="7" width="12.0"/>
    <col customWidth="1" min="8" max="8" width="10.71"/>
    <col customWidth="1" min="9" max="9" width="12.29"/>
    <col customWidth="1" min="10" max="10" width="6.43"/>
    <col customWidth="1" min="11" max="14" width="17.57"/>
    <col customWidth="1" min="15" max="15" width="6.86"/>
    <col hidden="1" min="16" max="17" width="14.43"/>
  </cols>
  <sheetData>
    <row r="1">
      <c r="A1" s="1"/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1"/>
      <c r="P1" s="1"/>
      <c r="Q1" s="1"/>
    </row>
    <row r="2">
      <c r="A2" s="1"/>
      <c r="B2" s="3" t="s">
        <v>0</v>
      </c>
      <c r="C2" s="4" t="s">
        <v>36</v>
      </c>
      <c r="D2" s="1"/>
      <c r="E2" s="5" t="s">
        <v>2</v>
      </c>
      <c r="F2" s="6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6" t="s">
        <v>8</v>
      </c>
      <c r="L2" s="6" t="s">
        <v>9</v>
      </c>
      <c r="M2" s="6" t="s">
        <v>10</v>
      </c>
      <c r="N2" s="6" t="s">
        <v>11</v>
      </c>
      <c r="O2" s="1"/>
      <c r="P2" s="1"/>
      <c r="Q2" s="1"/>
    </row>
    <row r="3">
      <c r="A3" s="1"/>
      <c r="B3" s="3" t="s">
        <v>12</v>
      </c>
      <c r="C3" s="4" t="s">
        <v>13</v>
      </c>
      <c r="D3" s="1"/>
      <c r="E3" s="1" t="str">
        <f>IFERROR(__xludf.DUMMYFUNCTION("sort(filter(Data!B:B,Data!C:C=C3,Data!D:D=C2),filter(Data!N:N,Data!C:C=C3,Data!D:D=C2),FALSE)"),"Damian Lillard")</f>
        <v>Damian Lillard</v>
      </c>
      <c r="F3" s="8">
        <f t="shared" ref="F3:F23" si="1">if(H3&lt;&gt;"",G3/H3,"")</f>
        <v>36.01238095</v>
      </c>
      <c r="G3" s="9">
        <f>IFERROR(__xludf.DUMMYFUNCTION("sort(filter(Data!F:M,Data!C:C=C3,Data!D:D=C2),filter(Data!N:N,Data!C:C=C3,Data!D:D=C2),FALSE)"),1008.34666666667)</f>
        <v>1008.346667</v>
      </c>
      <c r="H3" s="2">
        <f>IFERROR(__xludf.DUMMYFUNCTION("""COMPUTED_VALUE"""),28.0)</f>
        <v>28</v>
      </c>
      <c r="I3" s="2" t="str">
        <f>IFERROR(__xludf.DUMMYFUNCTION("""COMPUTED_VALUE"""),"PG")</f>
        <v>PG</v>
      </c>
      <c r="J3" s="2">
        <f>IFERROR(__xludf.DUMMYFUNCTION("""COMPUTED_VALUE"""),30.0)</f>
        <v>30</v>
      </c>
      <c r="K3" s="10">
        <f>IFERROR(__xludf.DUMMYFUNCTION("""COMPUTED_VALUE"""),3.57813436839156)</f>
        <v>3.578134368</v>
      </c>
      <c r="L3" s="10">
        <f>IFERROR(__xludf.DUMMYFUNCTION("""COMPUTED_VALUE"""),6.08650474155482)</f>
        <v>6.086504742</v>
      </c>
      <c r="M3" s="10">
        <f>IFERROR(__xludf.DUMMYFUNCTION("""COMPUTED_VALUE"""),-2.50837037316326)</f>
        <v>-2.508370373</v>
      </c>
      <c r="N3" s="11">
        <f>IFERROR(__xludf.DUMMYFUNCTION("""COMPUTED_VALUE"""),3.9446494730144934)</f>
        <v>3.944649473</v>
      </c>
      <c r="O3" s="1"/>
      <c r="P3" s="1" t="s">
        <v>14</v>
      </c>
      <c r="Q3" s="12">
        <f>IFERROR(__xludf.DUMMYFUNCTION("iferror(round(correl(filter(Data!J:J,Data!C:C=C$3,Data!D:D=P3,Data!F:F&gt;=250),filter(Data!N:N,Data!C:C=C$3,Data!D:D=P3,Data!F:F&gt;=250)),2),"""")"),-0.14)</f>
        <v>-0.14</v>
      </c>
    </row>
    <row r="4">
      <c r="A4" s="1"/>
      <c r="B4" s="1"/>
      <c r="C4" s="1"/>
      <c r="D4" s="1"/>
      <c r="E4" s="1" t="str">
        <f>IFERROR(__xludf.DUMMYFUNCTION("""COMPUTED_VALUE"""),"CJ McCollum")</f>
        <v>CJ McCollum</v>
      </c>
      <c r="F4" s="8">
        <f t="shared" si="1"/>
        <v>33.84487179</v>
      </c>
      <c r="G4" s="9">
        <f>IFERROR(__xludf.DUMMYFUNCTION("""COMPUTED_VALUE"""),439.983333333333)</f>
        <v>439.9833333</v>
      </c>
      <c r="H4" s="2">
        <f>IFERROR(__xludf.DUMMYFUNCTION("""COMPUTED_VALUE"""),13.0)</f>
        <v>13</v>
      </c>
      <c r="I4" s="2" t="str">
        <f>IFERROR(__xludf.DUMMYFUNCTION("""COMPUTED_VALUE"""),"SG")</f>
        <v>SG</v>
      </c>
      <c r="J4" s="2">
        <f>IFERROR(__xludf.DUMMYFUNCTION("""COMPUTED_VALUE"""),29.0)</f>
        <v>29</v>
      </c>
      <c r="K4" s="10">
        <f>IFERROR(__xludf.DUMMYFUNCTION("""COMPUTED_VALUE"""),2.83377364136087)</f>
        <v>2.833773641</v>
      </c>
      <c r="L4" s="10">
        <f>IFERROR(__xludf.DUMMYFUNCTION("""COMPUTED_VALUE"""),4.21811845457541)</f>
        <v>4.218118455</v>
      </c>
      <c r="M4" s="10">
        <f>IFERROR(__xludf.DUMMYFUNCTION("""COMPUTED_VALUE"""),-1.38434481321454)</f>
        <v>-1.384344813</v>
      </c>
      <c r="N4" s="11">
        <f>IFERROR(__xludf.DUMMYFUNCTION("""COMPUTED_VALUE"""),1.5096427514910735)</f>
        <v>1.509642751</v>
      </c>
      <c r="O4" s="1"/>
      <c r="P4" s="1" t="s">
        <v>15</v>
      </c>
      <c r="Q4" s="12">
        <f>IFERROR(__xludf.DUMMYFUNCTION("iferror(round(correl(filter(Data!J:J,Data!C:C=C$3,Data!D:D=P4,Data!F:F&gt;=250),filter(Data!N:N,Data!C:C=C$3,Data!D:D=P4,Data!F:F&gt;=250)),2),"""")"),0.88)</f>
        <v>0.88</v>
      </c>
    </row>
    <row r="5">
      <c r="A5" s="1"/>
      <c r="B5" s="13" t="s">
        <v>16</v>
      </c>
      <c r="D5" s="1"/>
      <c r="E5" s="1" t="str">
        <f>IFERROR(__xludf.DUMMYFUNCTION("""COMPUTED_VALUE"""),"Robert Covington")</f>
        <v>Robert Covington</v>
      </c>
      <c r="F5" s="8">
        <f t="shared" si="1"/>
        <v>31.54518519</v>
      </c>
      <c r="G5" s="9">
        <f>IFERROR(__xludf.DUMMYFUNCTION("""COMPUTED_VALUE"""),851.72)</f>
        <v>851.72</v>
      </c>
      <c r="H5" s="2">
        <f>IFERROR(__xludf.DUMMYFUNCTION("""COMPUTED_VALUE"""),27.0)</f>
        <v>27</v>
      </c>
      <c r="I5" s="2" t="str">
        <f>IFERROR(__xludf.DUMMYFUNCTION("""COMPUTED_VALUE"""),"PF")</f>
        <v>PF</v>
      </c>
      <c r="J5" s="2">
        <f>IFERROR(__xludf.DUMMYFUNCTION("""COMPUTED_VALUE"""),30.0)</f>
        <v>30</v>
      </c>
      <c r="K5" s="10">
        <f>IFERROR(__xludf.DUMMYFUNCTION("""COMPUTED_VALUE"""),0.718222166927647)</f>
        <v>0.7182221669</v>
      </c>
      <c r="L5" s="10">
        <f>IFERROR(__xludf.DUMMYFUNCTION("""COMPUTED_VALUE"""),-1.04569808876292)</f>
        <v>-1.045698089</v>
      </c>
      <c r="M5" s="10">
        <f>IFERROR(__xludf.DUMMYFUNCTION("""COMPUTED_VALUE"""),1.76392025569057)</f>
        <v>1.763920256</v>
      </c>
      <c r="N5" s="11">
        <f>IFERROR(__xludf.DUMMYFUNCTION("""COMPUTED_VALUE"""),1.725191263028588)</f>
        <v>1.725191263</v>
      </c>
      <c r="O5" s="1"/>
      <c r="P5" s="1" t="s">
        <v>17</v>
      </c>
      <c r="Q5" s="12">
        <f>IFERROR(__xludf.DUMMYFUNCTION("iferror(round(correl(filter(Data!J:J,Data!C:C=C$3,Data!D:D=P5,Data!F:F&gt;=250),filter(Data!N:N,Data!C:C=C$3,Data!D:D=P5,Data!F:F&gt;=250)),2),"""")"),0.42)</f>
        <v>0.42</v>
      </c>
    </row>
    <row r="6">
      <c r="A6" s="1"/>
      <c r="B6" s="12">
        <f>IFERROR(__xludf.DUMMYFUNCTION("round(correl(filter(F:F,G:G&gt;=250),filter(K:K,G:G&gt;=250)),2)"),0.75)</f>
        <v>0.75</v>
      </c>
      <c r="D6" s="1"/>
      <c r="E6" s="1" t="str">
        <f>IFERROR(__xludf.DUMMYFUNCTION("""COMPUTED_VALUE"""),"Gary Trent Jr.")</f>
        <v>Gary Trent Jr.</v>
      </c>
      <c r="F6" s="8">
        <f t="shared" si="1"/>
        <v>30.51314815</v>
      </c>
      <c r="G6" s="9">
        <f>IFERROR(__xludf.DUMMYFUNCTION("""COMPUTED_VALUE"""),823.855)</f>
        <v>823.855</v>
      </c>
      <c r="H6" s="2">
        <f>IFERROR(__xludf.DUMMYFUNCTION("""COMPUTED_VALUE"""),27.0)</f>
        <v>27</v>
      </c>
      <c r="I6" s="2" t="str">
        <f>IFERROR(__xludf.DUMMYFUNCTION("""COMPUTED_VALUE"""),"SG")</f>
        <v>SG</v>
      </c>
      <c r="J6" s="2">
        <f>IFERROR(__xludf.DUMMYFUNCTION("""COMPUTED_VALUE"""),22.0)</f>
        <v>22</v>
      </c>
      <c r="K6" s="10">
        <f>IFERROR(__xludf.DUMMYFUNCTION("""COMPUTED_VALUE"""),-1.74809810142736)</f>
        <v>-1.748098101</v>
      </c>
      <c r="L6" s="10">
        <f>IFERROR(__xludf.DUMMYFUNCTION("""COMPUTED_VALUE"""),0.183164412027979)</f>
        <v>0.183164412</v>
      </c>
      <c r="M6" s="10">
        <f>IFERROR(__xludf.DUMMYFUNCTION("""COMPUTED_VALUE"""),-1.93126251345534)</f>
        <v>-1.931262513</v>
      </c>
      <c r="N6" s="11">
        <f>IFERROR(__xludf.DUMMYFUNCTION("""COMPUTED_VALUE"""),0.30325651017236094)</f>
        <v>0.3032565102</v>
      </c>
      <c r="O6" s="1"/>
      <c r="P6" s="1" t="s">
        <v>18</v>
      </c>
      <c r="Q6" s="12">
        <f>IFERROR(__xludf.DUMMYFUNCTION("iferror(round(correl(filter(Data!J:J,Data!C:C=C$3,Data!D:D=P6,Data!F:F&gt;=250),filter(Data!N:N,Data!C:C=C$3,Data!D:D=P6,Data!F:F&gt;=250)),2),"""")"),0.4)</f>
        <v>0.4</v>
      </c>
    </row>
    <row r="7">
      <c r="A7" s="1"/>
      <c r="B7" s="14" t="str">
        <f>"'"&amp;right(C3,5)&amp;" Rank:"</f>
        <v>'20-21 Rank:</v>
      </c>
      <c r="C7" s="2">
        <f>rank(B6,C11:C40)</f>
        <v>6</v>
      </c>
      <c r="D7" s="1"/>
      <c r="E7" s="1" t="str">
        <f>IFERROR(__xludf.DUMMYFUNCTION("""COMPUTED_VALUE"""),"Derrick Jones Jr.")</f>
        <v>Derrick Jones Jr.</v>
      </c>
      <c r="F7" s="8">
        <f t="shared" si="1"/>
        <v>27.24573333</v>
      </c>
      <c r="G7" s="9">
        <f>IFERROR(__xludf.DUMMYFUNCTION("""COMPUTED_VALUE"""),681.143333333333)</f>
        <v>681.1433333</v>
      </c>
      <c r="H7" s="2">
        <f>IFERROR(__xludf.DUMMYFUNCTION("""COMPUTED_VALUE"""),25.0)</f>
        <v>25</v>
      </c>
      <c r="I7" s="2" t="str">
        <f>IFERROR(__xludf.DUMMYFUNCTION("""COMPUTED_VALUE"""),"SF")</f>
        <v>SF</v>
      </c>
      <c r="J7" s="2">
        <f>IFERROR(__xludf.DUMMYFUNCTION("""COMPUTED_VALUE"""),23.0)</f>
        <v>23</v>
      </c>
      <c r="K7" s="10">
        <f>IFERROR(__xludf.DUMMYFUNCTION("""COMPUTED_VALUE"""),0.0712180467445223)</f>
        <v>0.07121804674</v>
      </c>
      <c r="L7" s="10">
        <f>IFERROR(__xludf.DUMMYFUNCTION("""COMPUTED_VALUE"""),-0.787126095524666)</f>
        <v>-0.7871260955</v>
      </c>
      <c r="M7" s="10">
        <f>IFERROR(__xludf.DUMMYFUNCTION("""COMPUTED_VALUE"""),0.858344142269188)</f>
        <v>0.8583441423</v>
      </c>
      <c r="N7" s="11">
        <f>IFERROR(__xludf.DUMMYFUNCTION("""COMPUTED_VALUE"""),1.0828004859339218)</f>
        <v>1.082800486</v>
      </c>
      <c r="O7" s="1"/>
      <c r="P7" s="1" t="s">
        <v>19</v>
      </c>
      <c r="Q7" s="12">
        <f>IFERROR(__xludf.DUMMYFUNCTION("iferror(round(correl(filter(Data!J:J,Data!C:C=C$3,Data!D:D=P7,Data!F:F&gt;=250),filter(Data!N:N,Data!C:C=C$3,Data!D:D=P7,Data!F:F&gt;=250)),2),"""")"),0.68)</f>
        <v>0.68</v>
      </c>
    </row>
    <row r="8">
      <c r="A8" s="1"/>
      <c r="B8" s="1"/>
      <c r="C8" s="1"/>
      <c r="D8" s="1"/>
      <c r="E8" s="1" t="str">
        <f>IFERROR(__xludf.DUMMYFUNCTION("""COMPUTED_VALUE"""),"Enes Kanter")</f>
        <v>Enes Kanter</v>
      </c>
      <c r="F8" s="8">
        <f t="shared" si="1"/>
        <v>25.37856322</v>
      </c>
      <c r="G8" s="9">
        <f>IFERROR(__xludf.DUMMYFUNCTION("""COMPUTED_VALUE"""),735.978333333333)</f>
        <v>735.9783333</v>
      </c>
      <c r="H8" s="2">
        <f>IFERROR(__xludf.DUMMYFUNCTION("""COMPUTED_VALUE"""),29.0)</f>
        <v>29</v>
      </c>
      <c r="I8" s="2" t="str">
        <f>IFERROR(__xludf.DUMMYFUNCTION("""COMPUTED_VALUE"""),"C")</f>
        <v>C</v>
      </c>
      <c r="J8" s="2">
        <f>IFERROR(__xludf.DUMMYFUNCTION("""COMPUTED_VALUE"""),28.0)</f>
        <v>28</v>
      </c>
      <c r="K8" s="10">
        <f>IFERROR(__xludf.DUMMYFUNCTION("""COMPUTED_VALUE"""),1.64691452750294)</f>
        <v>1.646914528</v>
      </c>
      <c r="L8" s="10">
        <f>IFERROR(__xludf.DUMMYFUNCTION("""COMPUTED_VALUE"""),1.49519576258738)</f>
        <v>1.495195763</v>
      </c>
      <c r="M8" s="10">
        <f>IFERROR(__xludf.DUMMYFUNCTION("""COMPUTED_VALUE"""),0.151718764915562)</f>
        <v>0.1517187649</v>
      </c>
      <c r="N8" s="11">
        <f>IFERROR(__xludf.DUMMYFUNCTION("""COMPUTED_VALUE"""),1.948749058020691)</f>
        <v>1.948749058</v>
      </c>
      <c r="O8" s="1"/>
      <c r="P8" s="1" t="s">
        <v>20</v>
      </c>
      <c r="Q8" s="12" t="str">
        <f>IFERROR(__xludf.DUMMYFUNCTION("iferror(round(correl(filter(Data!J:J,Data!C:C=C$3,Data!D:D=P8,Data!F:F&gt;=250),filter(Data!N:N,Data!C:C=C$3,Data!D:D=P8,Data!F:F&gt;=250)),2),"""")"),"")</f>
        <v/>
      </c>
    </row>
    <row r="9">
      <c r="A9" s="1"/>
      <c r="B9" s="14" t="str">
        <f>"Other "&amp;C3&amp;" Teams:"</f>
        <v>Other 2020-21 Teams:</v>
      </c>
      <c r="D9" s="1"/>
      <c r="E9" s="1" t="str">
        <f>IFERROR(__xludf.DUMMYFUNCTION("""COMPUTED_VALUE"""),"Carmelo Anthony")</f>
        <v>Carmelo Anthony</v>
      </c>
      <c r="F9" s="8">
        <f t="shared" si="1"/>
        <v>25.28809524</v>
      </c>
      <c r="G9" s="9">
        <f>IFERROR(__xludf.DUMMYFUNCTION("""COMPUTED_VALUE"""),708.066666666666)</f>
        <v>708.0666667</v>
      </c>
      <c r="H9" s="2">
        <f>IFERROR(__xludf.DUMMYFUNCTION("""COMPUTED_VALUE"""),28.0)</f>
        <v>28</v>
      </c>
      <c r="I9" s="2" t="str">
        <f>IFERROR(__xludf.DUMMYFUNCTION("""COMPUTED_VALUE"""),"PF")</f>
        <v>PF</v>
      </c>
      <c r="J9" s="2">
        <f>IFERROR(__xludf.DUMMYFUNCTION("""COMPUTED_VALUE"""),36.0)</f>
        <v>36</v>
      </c>
      <c r="K9" s="10">
        <f>IFERROR(__xludf.DUMMYFUNCTION("""COMPUTED_VALUE"""),-1.87150495770606)</f>
        <v>-1.871504958</v>
      </c>
      <c r="L9" s="10">
        <f>IFERROR(__xludf.DUMMYFUNCTION("""COMPUTED_VALUE"""),-0.753699395408478)</f>
        <v>-0.7536993954</v>
      </c>
      <c r="M9" s="10">
        <f>IFERROR(__xludf.DUMMYFUNCTION("""COMPUTED_VALUE"""),-1.11780556229759)</f>
        <v>-1.117805562</v>
      </c>
      <c r="N9" s="11">
        <f>IFERROR(__xludf.DUMMYFUNCTION("""COMPUTED_VALUE"""),0.20252176431278565)</f>
        <v>0.2025217643</v>
      </c>
      <c r="O9" s="1"/>
      <c r="P9" s="1" t="s">
        <v>21</v>
      </c>
      <c r="Q9" s="12">
        <f>IFERROR(__xludf.DUMMYFUNCTION("iferror(round(correl(filter(Data!J:J,Data!C:C=C$3,Data!D:D=P9,Data!F:F&gt;=250),filter(Data!N:N,Data!C:C=C$3,Data!D:D=P9,Data!F:F&gt;=250)),2),"""")"),0.6)</f>
        <v>0.6</v>
      </c>
    </row>
    <row r="10">
      <c r="A10" s="1"/>
      <c r="B10" s="15" t="s">
        <v>22</v>
      </c>
      <c r="C10" s="15" t="s">
        <v>23</v>
      </c>
      <c r="D10" s="1"/>
      <c r="E10" s="1" t="str">
        <f>IFERROR(__xludf.DUMMYFUNCTION("""COMPUTED_VALUE"""),"Jusuf Nurkic")</f>
        <v>Jusuf Nurkic</v>
      </c>
      <c r="F10" s="8">
        <f t="shared" si="1"/>
        <v>23.35708333</v>
      </c>
      <c r="G10" s="9">
        <f>IFERROR(__xludf.DUMMYFUNCTION("""COMPUTED_VALUE"""),280.285)</f>
        <v>280.285</v>
      </c>
      <c r="H10" s="2">
        <f>IFERROR(__xludf.DUMMYFUNCTION("""COMPUTED_VALUE"""),12.0)</f>
        <v>12</v>
      </c>
      <c r="I10" s="2" t="str">
        <f>IFERROR(__xludf.DUMMYFUNCTION("""COMPUTED_VALUE"""),"C")</f>
        <v>C</v>
      </c>
      <c r="J10" s="2">
        <f>IFERROR(__xludf.DUMMYFUNCTION("""COMPUTED_VALUE"""),26.0)</f>
        <v>26</v>
      </c>
      <c r="K10" s="10">
        <f>IFERROR(__xludf.DUMMYFUNCTION("""COMPUTED_VALUE"""),0.342370392809215)</f>
        <v>0.3423703928</v>
      </c>
      <c r="L10" s="10">
        <f>IFERROR(__xludf.DUMMYFUNCTION("""COMPUTED_VALUE"""),-0.772250027978249)</f>
        <v>-0.772250028</v>
      </c>
      <c r="M10" s="10">
        <f>IFERROR(__xludf.DUMMYFUNCTION("""COMPUTED_VALUE"""),1.11462042078746)</f>
        <v>1.114620421</v>
      </c>
      <c r="N10" s="11">
        <f>IFERROR(__xludf.DUMMYFUNCTION("""COMPUTED_VALUE"""),0.4967916302019127)</f>
        <v>0.4967916302</v>
      </c>
      <c r="O10" s="1"/>
      <c r="P10" s="1" t="s">
        <v>24</v>
      </c>
      <c r="Q10" s="12">
        <f>IFERROR(__xludf.DUMMYFUNCTION("iferror(round(correl(filter(Data!J:J,Data!C:C=C$3,Data!D:D=P10,Data!F:F&gt;=250),filter(Data!N:N,Data!C:C=C$3,Data!D:D=P10,Data!F:F&gt;=250)),2),"""")"),0.2)</f>
        <v>0.2</v>
      </c>
    </row>
    <row r="11">
      <c r="A11" s="1"/>
      <c r="B11" s="2" t="str">
        <f>IFERROR(__xludf.DUMMYFUNCTION("sort(filter(P:Q,Q:Q&lt;&gt;"""",P:P&lt;&gt;""TOT""),filter(Q:Q,Q:Q&lt;&gt;"""",P:P&lt;&gt;""TOT""),FALSE)"),"MIL")</f>
        <v>MIL</v>
      </c>
      <c r="C11" s="12">
        <f>IFERROR(__xludf.DUMMYFUNCTION("""COMPUTED_VALUE"""),0.88)</f>
        <v>0.88</v>
      </c>
      <c r="D11" s="1"/>
      <c r="E11" s="1" t="str">
        <f>IFERROR(__xludf.DUMMYFUNCTION("""COMPUTED_VALUE"""),"Rodney Hood")</f>
        <v>Rodney Hood</v>
      </c>
      <c r="F11" s="8">
        <f t="shared" si="1"/>
        <v>18.85652778</v>
      </c>
      <c r="G11" s="9">
        <f>IFERROR(__xludf.DUMMYFUNCTION("""COMPUTED_VALUE"""),452.556666666667)</f>
        <v>452.5566667</v>
      </c>
      <c r="H11" s="2">
        <f>IFERROR(__xludf.DUMMYFUNCTION("""COMPUTED_VALUE"""),24.0)</f>
        <v>24</v>
      </c>
      <c r="I11" s="2" t="str">
        <f>IFERROR(__xludf.DUMMYFUNCTION("""COMPUTED_VALUE"""),"SF")</f>
        <v>SF</v>
      </c>
      <c r="J11" s="2">
        <f>IFERROR(__xludf.DUMMYFUNCTION("""COMPUTED_VALUE"""),28.0)</f>
        <v>28</v>
      </c>
      <c r="K11" s="10">
        <f>IFERROR(__xludf.DUMMYFUNCTION("""COMPUTED_VALUE"""),-3.93743851685983)</f>
        <v>-3.937438517</v>
      </c>
      <c r="L11" s="10">
        <f>IFERROR(__xludf.DUMMYFUNCTION("""COMPUTED_VALUE"""),-3.28477108583017)</f>
        <v>-3.284771086</v>
      </c>
      <c r="M11" s="10">
        <f>IFERROR(__xludf.DUMMYFUNCTION("""COMPUTED_VALUE"""),-0.652667431029661)</f>
        <v>-0.652667431</v>
      </c>
      <c r="N11" s="11">
        <f>IFERROR(__xludf.DUMMYFUNCTION("""COMPUTED_VALUE"""),-0.47843335014741545)</f>
        <v>-0.4784333501</v>
      </c>
      <c r="O11" s="1"/>
      <c r="P11" s="1" t="s">
        <v>25</v>
      </c>
      <c r="Q11" s="12">
        <f>IFERROR(__xludf.DUMMYFUNCTION("iferror(round(correl(filter(Data!J:J,Data!C:C=C$3,Data!D:D=P11,Data!F:F&gt;=250),filter(Data!N:N,Data!C:C=C$3,Data!D:D=P11,Data!F:F&gt;=250)),2),"""")"),0.15)</f>
        <v>0.15</v>
      </c>
    </row>
    <row r="12">
      <c r="A12" s="1"/>
      <c r="B12" s="2" t="str">
        <f>IFERROR(__xludf.DUMMYFUNCTION("""COMPUTED_VALUE"""),"DET")</f>
        <v>DET</v>
      </c>
      <c r="C12" s="12">
        <f>IFERROR(__xludf.DUMMYFUNCTION("""COMPUTED_VALUE"""),0.85)</f>
        <v>0.85</v>
      </c>
      <c r="D12" s="1"/>
      <c r="E12" s="1" t="str">
        <f>IFERROR(__xludf.DUMMYFUNCTION("""COMPUTED_VALUE"""),"Anfernee Simons")</f>
        <v>Anfernee Simons</v>
      </c>
      <c r="F12" s="8">
        <f t="shared" si="1"/>
        <v>17.80160256</v>
      </c>
      <c r="G12" s="9">
        <f>IFERROR(__xludf.DUMMYFUNCTION("""COMPUTED_VALUE"""),462.841666666667)</f>
        <v>462.8416667</v>
      </c>
      <c r="H12" s="2">
        <f>IFERROR(__xludf.DUMMYFUNCTION("""COMPUTED_VALUE"""),26.0)</f>
        <v>26</v>
      </c>
      <c r="I12" s="2" t="str">
        <f>IFERROR(__xludf.DUMMYFUNCTION("""COMPUTED_VALUE"""),"SG")</f>
        <v>SG</v>
      </c>
      <c r="J12" s="2">
        <f>IFERROR(__xludf.DUMMYFUNCTION("""COMPUTED_VALUE"""),21.0)</f>
        <v>21</v>
      </c>
      <c r="K12" s="10">
        <f>IFERROR(__xludf.DUMMYFUNCTION("""COMPUTED_VALUE"""),-3.4468364758755)</f>
        <v>-3.446836476</v>
      </c>
      <c r="L12" s="10">
        <f>IFERROR(__xludf.DUMMYFUNCTION("""COMPUTED_VALUE"""),-0.895056559672213)</f>
        <v>-0.8950565597</v>
      </c>
      <c r="M12" s="10">
        <f>IFERROR(__xludf.DUMMYFUNCTION("""COMPUTED_VALUE"""),-2.55177991620329)</f>
        <v>-2.551779916</v>
      </c>
      <c r="N12" s="11">
        <f>IFERROR(__xludf.DUMMYFUNCTION("""COMPUTED_VALUE"""),-0.34460642510111755)</f>
        <v>-0.3446064251</v>
      </c>
      <c r="O12" s="1"/>
      <c r="P12" s="1" t="s">
        <v>26</v>
      </c>
      <c r="Q12" s="12">
        <f>IFERROR(__xludf.DUMMYFUNCTION("iferror(round(correl(filter(Data!J:J,Data!C:C=C$3,Data!D:D=P12,Data!F:F&gt;=250),filter(Data!N:N,Data!C:C=C$3,Data!D:D=P12,Data!F:F&gt;=250)),2),"""")"),0.73)</f>
        <v>0.73</v>
      </c>
    </row>
    <row r="13">
      <c r="A13" s="1"/>
      <c r="B13" s="2" t="str">
        <f>IFERROR(__xludf.DUMMYFUNCTION("""COMPUTED_VALUE"""),"BRK")</f>
        <v>BRK</v>
      </c>
      <c r="C13" s="12">
        <f>IFERROR(__xludf.DUMMYFUNCTION("""COMPUTED_VALUE"""),0.81)</f>
        <v>0.81</v>
      </c>
      <c r="D13" s="1"/>
      <c r="E13" s="1" t="str">
        <f>IFERROR(__xludf.DUMMYFUNCTION("""COMPUTED_VALUE"""),"Harry Giles III")</f>
        <v>Harry Giles III</v>
      </c>
      <c r="F13" s="8">
        <f t="shared" si="1"/>
        <v>11.83431818</v>
      </c>
      <c r="G13" s="9">
        <f>IFERROR(__xludf.DUMMYFUNCTION("""COMPUTED_VALUE"""),260.355)</f>
        <v>260.355</v>
      </c>
      <c r="H13" s="2">
        <f>IFERROR(__xludf.DUMMYFUNCTION("""COMPUTED_VALUE"""),22.0)</f>
        <v>22</v>
      </c>
      <c r="I13" s="2" t="str">
        <f>IFERROR(__xludf.DUMMYFUNCTION("""COMPUTED_VALUE"""),"C")</f>
        <v>C</v>
      </c>
      <c r="J13" s="2">
        <f>IFERROR(__xludf.DUMMYFUNCTION("""COMPUTED_VALUE"""),22.0)</f>
        <v>22</v>
      </c>
      <c r="K13" s="10">
        <f>IFERROR(__xludf.DUMMYFUNCTION("""COMPUTED_VALUE"""),-1.83051252636517)</f>
        <v>-1.830512526</v>
      </c>
      <c r="L13" s="10">
        <f>IFERROR(__xludf.DUMMYFUNCTION("""COMPUTED_VALUE"""),-2.53959733210032)</f>
        <v>-2.539597332</v>
      </c>
      <c r="M13" s="10">
        <f>IFERROR(__xludf.DUMMYFUNCTION("""COMPUTED_VALUE"""),0.709084805735142)</f>
        <v>0.7090848057</v>
      </c>
      <c r="N13" s="11">
        <f>IFERROR(__xludf.DUMMYFUNCTION("""COMPUTED_VALUE"""),0.08156050385115281)</f>
        <v>0.08156050385</v>
      </c>
      <c r="O13" s="1"/>
      <c r="P13" s="1" t="s">
        <v>27</v>
      </c>
      <c r="Q13" s="12">
        <f>IFERROR(__xludf.DUMMYFUNCTION("iferror(round(correl(filter(Data!J:J,Data!C:C=C$3,Data!D:D=P13,Data!F:F&gt;=250),filter(Data!N:N,Data!C:C=C$3,Data!D:D=P13,Data!F:F&gt;=250)),2),"""")"),0.25)</f>
        <v>0.25</v>
      </c>
    </row>
    <row r="14">
      <c r="A14" s="1"/>
      <c r="B14" s="2" t="str">
        <f>IFERROR(__xludf.DUMMYFUNCTION("""COMPUTED_VALUE"""),"TOR")</f>
        <v>TOR</v>
      </c>
      <c r="C14" s="12">
        <f>IFERROR(__xludf.DUMMYFUNCTION("""COMPUTED_VALUE"""),0.77)</f>
        <v>0.77</v>
      </c>
      <c r="D14" s="1"/>
      <c r="E14" s="1" t="str">
        <f>IFERROR(__xludf.DUMMYFUNCTION("""COMPUTED_VALUE"""),"Nassir Little")</f>
        <v>Nassir Little</v>
      </c>
      <c r="F14" s="8">
        <f t="shared" si="1"/>
        <v>10.42869048</v>
      </c>
      <c r="G14" s="9">
        <f>IFERROR(__xludf.DUMMYFUNCTION("""COMPUTED_VALUE"""),146.001666666667)</f>
        <v>146.0016667</v>
      </c>
      <c r="H14" s="2">
        <f>IFERROR(__xludf.DUMMYFUNCTION("""COMPUTED_VALUE"""),14.0)</f>
        <v>14</v>
      </c>
      <c r="I14" s="2" t="str">
        <f>IFERROR(__xludf.DUMMYFUNCTION("""COMPUTED_VALUE"""),"PF")</f>
        <v>PF</v>
      </c>
      <c r="J14" s="2">
        <f>IFERROR(__xludf.DUMMYFUNCTION("""COMPUTED_VALUE"""),20.0)</f>
        <v>20</v>
      </c>
      <c r="K14" s="10">
        <f>IFERROR(__xludf.DUMMYFUNCTION("""COMPUTED_VALUE"""),-2.2789822650906)</f>
        <v>-2.278982265</v>
      </c>
      <c r="L14" s="10">
        <f>IFERROR(__xludf.DUMMYFUNCTION("""COMPUTED_VALUE"""),-1.14834319866927)</f>
        <v>-1.148343199</v>
      </c>
      <c r="M14" s="10">
        <f>IFERROR(__xludf.DUMMYFUNCTION("""COMPUTED_VALUE"""),-1.13063906642133)</f>
        <v>-1.130639066</v>
      </c>
      <c r="N14" s="11">
        <f>IFERROR(__xludf.DUMMYFUNCTION("""COMPUTED_VALUE"""),0.0023638869226207506)</f>
        <v>0.002363886923</v>
      </c>
      <c r="O14" s="1"/>
      <c r="P14" s="1" t="s">
        <v>28</v>
      </c>
      <c r="Q14" s="12">
        <f>IFERROR(__xludf.DUMMYFUNCTION("iferror(round(correl(filter(Data!J:J,Data!C:C=C$3,Data!D:D=P14,Data!F:F&gt;=250),filter(Data!N:N,Data!C:C=C$3,Data!D:D=P14,Data!F:F&gt;=250)),2),"""")"),0.45)</f>
        <v>0.45</v>
      </c>
    </row>
    <row r="15">
      <c r="A15" s="1"/>
      <c r="B15" s="2" t="str">
        <f>IFERROR(__xludf.DUMMYFUNCTION("""COMPUTED_VALUE"""),"LAL")</f>
        <v>LAL</v>
      </c>
      <c r="C15" s="12">
        <f>IFERROR(__xludf.DUMMYFUNCTION("""COMPUTED_VALUE"""),0.76)</f>
        <v>0.76</v>
      </c>
      <c r="D15" s="1"/>
      <c r="E15" s="1" t="str">
        <f>IFERROR(__xludf.DUMMYFUNCTION("""COMPUTED_VALUE"""),"CJ Elleby")</f>
        <v>CJ Elleby</v>
      </c>
      <c r="F15" s="8">
        <f t="shared" si="1"/>
        <v>7.984722222</v>
      </c>
      <c r="G15" s="9">
        <f>IFERROR(__xludf.DUMMYFUNCTION("""COMPUTED_VALUE"""),95.8166666666666)</f>
        <v>95.81666667</v>
      </c>
      <c r="H15" s="2">
        <f>IFERROR(__xludf.DUMMYFUNCTION("""COMPUTED_VALUE"""),12.0)</f>
        <v>12</v>
      </c>
      <c r="I15" s="2" t="str">
        <f>IFERROR(__xludf.DUMMYFUNCTION("""COMPUTED_VALUE"""),"SF")</f>
        <v>SF</v>
      </c>
      <c r="J15" s="2">
        <f>IFERROR(__xludf.DUMMYFUNCTION("""COMPUTED_VALUE"""),20.0)</f>
        <v>20</v>
      </c>
      <c r="K15" s="10">
        <f>IFERROR(__xludf.DUMMYFUNCTION("""COMPUTED_VALUE"""),-1.65338988380277)</f>
        <v>-1.653389884</v>
      </c>
      <c r="L15" s="10">
        <f>IFERROR(__xludf.DUMMYFUNCTION("""COMPUTED_VALUE"""),-1.31974673798069)</f>
        <v>-1.319746738</v>
      </c>
      <c r="M15" s="10">
        <f>IFERROR(__xludf.DUMMYFUNCTION("""COMPUTED_VALUE"""),-0.333643145822077)</f>
        <v>-0.3336431458</v>
      </c>
      <c r="N15" s="11">
        <f>IFERROR(__xludf.DUMMYFUNCTION("""COMPUTED_VALUE"""),0.041314428122431475)</f>
        <v>0.04131442812</v>
      </c>
      <c r="O15" s="1"/>
      <c r="P15" s="1" t="s">
        <v>29</v>
      </c>
      <c r="Q15" s="12">
        <f>IFERROR(__xludf.DUMMYFUNCTION("iferror(round(correl(filter(Data!J:J,Data!C:C=C$3,Data!D:D=P15,Data!F:F&gt;=250),filter(Data!N:N,Data!C:C=C$3,Data!D:D=P15,Data!F:F&gt;=250)),2),"""")"),-0.35)</f>
        <v>-0.35</v>
      </c>
    </row>
    <row r="16">
      <c r="A16" s="1"/>
      <c r="B16" s="2" t="str">
        <f>IFERROR(__xludf.DUMMYFUNCTION("""COMPUTED_VALUE"""),"POR")</f>
        <v>POR</v>
      </c>
      <c r="C16" s="12">
        <f>IFERROR(__xludf.DUMMYFUNCTION("""COMPUTED_VALUE"""),0.75)</f>
        <v>0.75</v>
      </c>
      <c r="D16" s="1"/>
      <c r="E16" s="1" t="str">
        <f>IFERROR(__xludf.DUMMYFUNCTION("""COMPUTED_VALUE"""),"Keljin Blevins")</f>
        <v>Keljin Blevins</v>
      </c>
      <c r="F16" s="8">
        <f t="shared" si="1"/>
        <v>4.75625</v>
      </c>
      <c r="G16" s="9">
        <f>IFERROR(__xludf.DUMMYFUNCTION("""COMPUTED_VALUE"""),38.05)</f>
        <v>38.05</v>
      </c>
      <c r="H16" s="2">
        <f>IFERROR(__xludf.DUMMYFUNCTION("""COMPUTED_VALUE"""),8.0)</f>
        <v>8</v>
      </c>
      <c r="I16" s="2" t="str">
        <f>IFERROR(__xludf.DUMMYFUNCTION("""COMPUTED_VALUE"""),"SF")</f>
        <v>SF</v>
      </c>
      <c r="J16" s="2">
        <f>IFERROR(__xludf.DUMMYFUNCTION("""COMPUTED_VALUE"""),25.0)</f>
        <v>25</v>
      </c>
      <c r="K16" s="10">
        <f>IFERROR(__xludf.DUMMYFUNCTION("""COMPUTED_VALUE"""),-1.23174648993419)</f>
        <v>-1.23174649</v>
      </c>
      <c r="L16" s="10">
        <f>IFERROR(__xludf.DUMMYFUNCTION("""COMPUTED_VALUE"""),-1.0665747433271)</f>
        <v>-1.066574743</v>
      </c>
      <c r="M16" s="10">
        <f>IFERROR(__xludf.DUMMYFUNCTION("""COMPUTED_VALUE"""),-0.165171746607087)</f>
        <v>-0.1651717466</v>
      </c>
      <c r="N16" s="11">
        <f>IFERROR(__xludf.DUMMYFUNCTION("""COMPUTED_VALUE"""),0.02712894950319399)</f>
        <v>0.0271289495</v>
      </c>
      <c r="O16" s="1"/>
      <c r="P16" s="1" t="s">
        <v>30</v>
      </c>
      <c r="Q16" s="12">
        <f>IFERROR(__xludf.DUMMYFUNCTION("iferror(round(correl(filter(Data!J:J,Data!C:C=C$3,Data!D:D=P16,Data!F:F&gt;=250),filter(Data!N:N,Data!C:C=C$3,Data!D:D=P16,Data!F:F&gt;=250)),2),"""")"),0.67)</f>
        <v>0.67</v>
      </c>
    </row>
    <row r="17">
      <c r="A17" s="1"/>
      <c r="B17" s="2" t="str">
        <f>IFERROR(__xludf.DUMMYFUNCTION("""COMPUTED_VALUE"""),"LAC")</f>
        <v>LAC</v>
      </c>
      <c r="C17" s="12">
        <f>IFERROR(__xludf.DUMMYFUNCTION("""COMPUTED_VALUE"""),0.73)</f>
        <v>0.73</v>
      </c>
      <c r="D17" s="1"/>
      <c r="E17" s="1"/>
      <c r="F17" s="8" t="str">
        <f t="shared" si="1"/>
        <v/>
      </c>
      <c r="G17" s="2"/>
      <c r="H17" s="2"/>
      <c r="I17" s="2"/>
      <c r="J17" s="2"/>
      <c r="K17" s="2"/>
      <c r="L17" s="2"/>
      <c r="M17" s="10"/>
      <c r="N17" s="2"/>
      <c r="O17" s="1"/>
      <c r="P17" s="1" t="s">
        <v>31</v>
      </c>
      <c r="Q17" s="12">
        <f>IFERROR(__xludf.DUMMYFUNCTION("iferror(round(correl(filter(Data!J:J,Data!C:C=C$3,Data!D:D=P17,Data!F:F&gt;=250),filter(Data!N:N,Data!C:C=C$3,Data!D:D=P17,Data!F:F&gt;=250)),2),"""")"),0.77)</f>
        <v>0.77</v>
      </c>
    </row>
    <row r="18">
      <c r="A18" s="1"/>
      <c r="B18" s="2" t="str">
        <f>IFERROR(__xludf.DUMMYFUNCTION("""COMPUTED_VALUE"""),"BOS")</f>
        <v>BOS</v>
      </c>
      <c r="C18" s="12">
        <f>IFERROR(__xludf.DUMMYFUNCTION("""COMPUTED_VALUE"""),0.7)</f>
        <v>0.7</v>
      </c>
      <c r="D18" s="1"/>
      <c r="E18" s="1"/>
      <c r="F18" s="8" t="str">
        <f t="shared" si="1"/>
        <v/>
      </c>
      <c r="G18" s="2"/>
      <c r="H18" s="2"/>
      <c r="I18" s="2"/>
      <c r="J18" s="2"/>
      <c r="K18" s="2"/>
      <c r="L18" s="2"/>
      <c r="M18" s="2"/>
      <c r="N18" s="2"/>
      <c r="O18" s="1"/>
      <c r="P18" s="1" t="s">
        <v>32</v>
      </c>
      <c r="Q18" s="12">
        <f>IFERROR(__xludf.DUMMYFUNCTION("iferror(round(correl(filter(Data!J:J,Data!C:C=C$3,Data!D:D=P18,Data!F:F&gt;=250),filter(Data!N:N,Data!C:C=C$3,Data!D:D=P18,Data!F:F&gt;=250)),2),"""")"),0.76)</f>
        <v>0.76</v>
      </c>
    </row>
    <row r="19">
      <c r="A19" s="1"/>
      <c r="B19" s="2" t="str">
        <f>IFERROR(__xludf.DUMMYFUNCTION("""COMPUTED_VALUE"""),"GSW")</f>
        <v>GSW</v>
      </c>
      <c r="C19" s="12">
        <f>IFERROR(__xludf.DUMMYFUNCTION("""COMPUTED_VALUE"""),0.68)</f>
        <v>0.68</v>
      </c>
      <c r="D19" s="1"/>
      <c r="E19" s="1"/>
      <c r="F19" s="8" t="str">
        <f t="shared" si="1"/>
        <v/>
      </c>
      <c r="G19" s="2"/>
      <c r="H19" s="2"/>
      <c r="I19" s="2"/>
      <c r="J19" s="2"/>
      <c r="K19" s="2"/>
      <c r="L19" s="2"/>
      <c r="M19" s="2"/>
      <c r="N19" s="2"/>
      <c r="O19" s="1"/>
      <c r="P19" s="1" t="s">
        <v>33</v>
      </c>
      <c r="Q19" s="12">
        <f>IFERROR(__xludf.DUMMYFUNCTION("iferror(round(correl(filter(Data!J:J,Data!C:C=C$3,Data!D:D=P19,Data!F:F&gt;=250),filter(Data!N:N,Data!C:C=C$3,Data!D:D=P19,Data!F:F&gt;=250)),2),"""")"),0.34)</f>
        <v>0.34</v>
      </c>
    </row>
    <row r="20">
      <c r="A20" s="1"/>
      <c r="B20" s="2" t="str">
        <f>IFERROR(__xludf.DUMMYFUNCTION("""COMPUTED_VALUE"""),"PHI")</f>
        <v>PHI</v>
      </c>
      <c r="C20" s="12">
        <f>IFERROR(__xludf.DUMMYFUNCTION("""COMPUTED_VALUE"""),0.67)</f>
        <v>0.67</v>
      </c>
      <c r="D20" s="1"/>
      <c r="E20" s="1"/>
      <c r="F20" s="8" t="str">
        <f t="shared" si="1"/>
        <v/>
      </c>
      <c r="G20" s="2"/>
      <c r="H20" s="2"/>
      <c r="I20" s="2"/>
      <c r="J20" s="2"/>
      <c r="K20" s="2"/>
      <c r="L20" s="2"/>
      <c r="M20" s="2"/>
      <c r="N20" s="2"/>
      <c r="O20" s="1"/>
      <c r="P20" s="1" t="s">
        <v>34</v>
      </c>
      <c r="Q20" s="12">
        <f>IFERROR(__xludf.DUMMYFUNCTION("iferror(round(correl(filter(Data!J:J,Data!C:C=C$3,Data!D:D=P20,Data!F:F&gt;=250),filter(Data!N:N,Data!C:C=C$3,Data!D:D=P20,Data!F:F&gt;=250)),2),"""")"),0.66)</f>
        <v>0.66</v>
      </c>
    </row>
    <row r="21">
      <c r="A21" s="1"/>
      <c r="B21" s="2" t="str">
        <f>IFERROR(__xludf.DUMMYFUNCTION("""COMPUTED_VALUE"""),"DEN")</f>
        <v>DEN</v>
      </c>
      <c r="C21" s="12">
        <f>IFERROR(__xludf.DUMMYFUNCTION("""COMPUTED_VALUE"""),0.66)</f>
        <v>0.66</v>
      </c>
      <c r="D21" s="1"/>
      <c r="E21" s="1"/>
      <c r="F21" s="8" t="str">
        <f t="shared" si="1"/>
        <v/>
      </c>
      <c r="G21" s="2"/>
      <c r="H21" s="2"/>
      <c r="I21" s="2"/>
      <c r="J21" s="2"/>
      <c r="K21" s="2"/>
      <c r="L21" s="2"/>
      <c r="M21" s="2"/>
      <c r="N21" s="2"/>
      <c r="O21" s="1"/>
      <c r="P21" s="1" t="s">
        <v>35</v>
      </c>
      <c r="Q21" s="12">
        <f>IFERROR(__xludf.DUMMYFUNCTION("iferror(round(correl(filter(Data!J:J,Data!C:C=C$3,Data!D:D=P21,Data!F:F&gt;=250),filter(Data!N:N,Data!C:C=C$3,Data!D:D=P21,Data!F:F&gt;=250)),2),"""")"),0.7)</f>
        <v>0.7</v>
      </c>
    </row>
    <row r="22">
      <c r="A22" s="1"/>
      <c r="B22" s="2" t="str">
        <f>IFERROR(__xludf.DUMMYFUNCTION("""COMPUTED_VALUE"""),"PHO")</f>
        <v>PHO</v>
      </c>
      <c r="C22" s="12">
        <f>IFERROR(__xludf.DUMMYFUNCTION("""COMPUTED_VALUE"""),0.66)</f>
        <v>0.66</v>
      </c>
      <c r="D22" s="1"/>
      <c r="E22" s="1"/>
      <c r="F22" s="8" t="str">
        <f t="shared" si="1"/>
        <v/>
      </c>
      <c r="G22" s="2"/>
      <c r="H22" s="2"/>
      <c r="I22" s="2"/>
      <c r="J22" s="2"/>
      <c r="K22" s="2"/>
      <c r="L22" s="2"/>
      <c r="M22" s="2"/>
      <c r="N22" s="2"/>
      <c r="O22" s="1"/>
      <c r="P22" s="1" t="s">
        <v>36</v>
      </c>
      <c r="Q22" s="12">
        <f>IFERROR(__xludf.DUMMYFUNCTION("iferror(round(correl(filter(Data!J:J,Data!C:C=C$3,Data!D:D=P22,Data!F:F&gt;=250),filter(Data!N:N,Data!C:C=C$3,Data!D:D=P22,Data!F:F&gt;=250)),2),"""")"),0.75)</f>
        <v>0.75</v>
      </c>
    </row>
    <row r="23">
      <c r="A23" s="1"/>
      <c r="B23" s="2" t="str">
        <f>IFERROR(__xludf.DUMMYFUNCTION("""COMPUTED_VALUE"""),"NOP")</f>
        <v>NOP</v>
      </c>
      <c r="C23" s="12">
        <f>IFERROR(__xludf.DUMMYFUNCTION("""COMPUTED_VALUE"""),0.6)</f>
        <v>0.6</v>
      </c>
      <c r="D23" s="1"/>
      <c r="E23" s="1"/>
      <c r="F23" s="8" t="str">
        <f t="shared" si="1"/>
        <v/>
      </c>
      <c r="G23" s="2"/>
      <c r="H23" s="2"/>
      <c r="I23" s="2"/>
      <c r="J23" s="2"/>
      <c r="K23" s="2"/>
      <c r="L23" s="2"/>
      <c r="M23" s="2"/>
      <c r="N23" s="2"/>
      <c r="O23" s="1"/>
      <c r="P23" s="1" t="s">
        <v>37</v>
      </c>
      <c r="Q23" s="12">
        <f>IFERROR(__xludf.DUMMYFUNCTION("iferror(round(correl(filter(Data!J:J,Data!C:C=C$3,Data!D:D=P23,Data!F:F&gt;=250),filter(Data!N:N,Data!C:C=C$3,Data!D:D=P23,Data!F:F&gt;=250)),2),"""")"),0.16)</f>
        <v>0.16</v>
      </c>
    </row>
    <row r="24">
      <c r="A24" s="1"/>
      <c r="B24" s="2" t="str">
        <f>IFERROR(__xludf.DUMMYFUNCTION("""COMPUTED_VALUE"""),"CHO")</f>
        <v>CHO</v>
      </c>
      <c r="C24" s="12">
        <f>IFERROR(__xludf.DUMMYFUNCTION("""COMPUTED_VALUE"""),0.6)</f>
        <v>0.6</v>
      </c>
      <c r="D24" s="1"/>
      <c r="E24" s="16" t="s">
        <v>38</v>
      </c>
      <c r="F24" s="8"/>
      <c r="G24" s="2"/>
      <c r="H24" s="2"/>
      <c r="I24" s="2"/>
      <c r="J24" s="2"/>
      <c r="K24" s="2"/>
      <c r="L24" s="2"/>
      <c r="M24" s="2"/>
      <c r="N24" s="2"/>
      <c r="O24" s="1"/>
      <c r="P24" s="1" t="s">
        <v>39</v>
      </c>
      <c r="Q24" s="12">
        <f>IFERROR(__xludf.DUMMYFUNCTION("iferror(round(correl(filter(Data!J:J,Data!C:C=C$3,Data!D:D=P24,Data!F:F&gt;=250),filter(Data!N:N,Data!C:C=C$3,Data!D:D=P24,Data!F:F&gt;=250)),2),"""")"),0.59)</f>
        <v>0.59</v>
      </c>
    </row>
    <row r="25">
      <c r="A25" s="1"/>
      <c r="B25" s="2" t="str">
        <f>IFERROR(__xludf.DUMMYFUNCTION("""COMPUTED_VALUE"""),"IND")</f>
        <v>IND</v>
      </c>
      <c r="C25" s="12">
        <f>IFERROR(__xludf.DUMMYFUNCTION("""COMPUTED_VALUE"""),0.59)</f>
        <v>0.59</v>
      </c>
      <c r="D25" s="1"/>
      <c r="E25" s="1"/>
      <c r="F25" s="8" t="str">
        <f t="shared" ref="F25:F35" si="2">if(H25&lt;&gt;"",G25/H25,"")</f>
        <v/>
      </c>
      <c r="G25" s="2"/>
      <c r="H25" s="2"/>
      <c r="I25" s="2"/>
      <c r="J25" s="2"/>
      <c r="K25" s="2"/>
      <c r="L25" s="2"/>
      <c r="M25" s="2"/>
      <c r="N25" s="2"/>
      <c r="O25" s="1"/>
      <c r="P25" s="1" t="s">
        <v>40</v>
      </c>
      <c r="Q25" s="12">
        <f>IFERROR(__xludf.DUMMYFUNCTION("iferror(round(correl(filter(Data!J:J,Data!C:C=C$3,Data!D:D=P25,Data!F:F&gt;=250),filter(Data!N:N,Data!C:C=C$3,Data!D:D=P25,Data!F:F&gt;=250)),2),"""")"),0.19)</f>
        <v>0.19</v>
      </c>
    </row>
    <row r="26">
      <c r="A26" s="1"/>
      <c r="B26" s="2" t="str">
        <f>IFERROR(__xludf.DUMMYFUNCTION("""COMPUTED_VALUE"""),"WAS")</f>
        <v>WAS</v>
      </c>
      <c r="C26" s="12">
        <f>IFERROR(__xludf.DUMMYFUNCTION("""COMPUTED_VALUE"""),0.51)</f>
        <v>0.51</v>
      </c>
      <c r="D26" s="1"/>
      <c r="E26" s="1"/>
      <c r="F26" s="8" t="str">
        <f t="shared" si="2"/>
        <v/>
      </c>
      <c r="G26" s="2"/>
      <c r="H26" s="2"/>
      <c r="I26" s="2"/>
      <c r="J26" s="2"/>
      <c r="K26" s="2"/>
      <c r="L26" s="2"/>
      <c r="M26" s="2"/>
      <c r="N26" s="2"/>
      <c r="O26" s="1"/>
      <c r="P26" s="1" t="s">
        <v>41</v>
      </c>
      <c r="Q26" s="12">
        <f>IFERROR(__xludf.DUMMYFUNCTION("iferror(round(correl(filter(Data!J:J,Data!C:C=C$3,Data!D:D=P26,Data!F:F&gt;=250),filter(Data!N:N,Data!C:C=C$3,Data!D:D=P26,Data!F:F&gt;=250)),2),"""")"),0.46)</f>
        <v>0.46</v>
      </c>
    </row>
    <row r="27">
      <c r="A27" s="1"/>
      <c r="B27" s="2" t="str">
        <f>IFERROR(__xludf.DUMMYFUNCTION("""COMPUTED_VALUE"""),"NYK")</f>
        <v>NYK</v>
      </c>
      <c r="C27" s="12">
        <f>IFERROR(__xludf.DUMMYFUNCTION("""COMPUTED_VALUE"""),0.49)</f>
        <v>0.49</v>
      </c>
      <c r="D27" s="1"/>
      <c r="E27" s="1"/>
      <c r="F27" s="8" t="str">
        <f t="shared" si="2"/>
        <v/>
      </c>
      <c r="G27" s="2"/>
      <c r="H27" s="2"/>
      <c r="I27" s="2"/>
      <c r="J27" s="2"/>
      <c r="K27" s="2"/>
      <c r="L27" s="2"/>
      <c r="M27" s="2"/>
      <c r="N27" s="2"/>
      <c r="O27" s="1"/>
      <c r="P27" s="1" t="s">
        <v>42</v>
      </c>
      <c r="Q27" s="12">
        <f>IFERROR(__xludf.DUMMYFUNCTION("iferror(round(correl(filter(Data!J:J,Data!C:C=C$3,Data!D:D=P27,Data!F:F&gt;=250),filter(Data!N:N,Data!C:C=C$3,Data!D:D=P27,Data!F:F&gt;=250)),2),"""")"),0.48)</f>
        <v>0.48</v>
      </c>
    </row>
    <row r="28">
      <c r="A28" s="1"/>
      <c r="B28" s="2" t="str">
        <f>IFERROR(__xludf.DUMMYFUNCTION("""COMPUTED_VALUE"""),"ATL")</f>
        <v>ATL</v>
      </c>
      <c r="C28" s="12">
        <f>IFERROR(__xludf.DUMMYFUNCTION("""COMPUTED_VALUE"""),0.48)</f>
        <v>0.48</v>
      </c>
      <c r="D28" s="1"/>
      <c r="E28" s="1"/>
      <c r="F28" s="8" t="str">
        <f t="shared" si="2"/>
        <v/>
      </c>
      <c r="G28" s="2"/>
      <c r="H28" s="2"/>
      <c r="I28" s="2"/>
      <c r="J28" s="2"/>
      <c r="K28" s="2"/>
      <c r="L28" s="2"/>
      <c r="M28" s="2"/>
      <c r="N28" s="2"/>
      <c r="O28" s="1"/>
      <c r="P28" s="1" t="s">
        <v>43</v>
      </c>
      <c r="Q28" s="12">
        <f>IFERROR(__xludf.DUMMYFUNCTION("iferror(round(correl(filter(Data!J:J,Data!C:C=C$3,Data!D:D=P28,Data!F:F&gt;=250),filter(Data!N:N,Data!C:C=C$3,Data!D:D=P28,Data!F:F&gt;=250)),2),"""")"),0.85)</f>
        <v>0.85</v>
      </c>
    </row>
    <row r="29">
      <c r="A29" s="1"/>
      <c r="B29" s="2" t="str">
        <f>IFERROR(__xludf.DUMMYFUNCTION("""COMPUTED_VALUE"""),"DAL")</f>
        <v>DAL</v>
      </c>
      <c r="C29" s="12">
        <f>IFERROR(__xludf.DUMMYFUNCTION("""COMPUTED_VALUE"""),0.46)</f>
        <v>0.46</v>
      </c>
      <c r="D29" s="1"/>
      <c r="E29" s="1"/>
      <c r="F29" s="8" t="str">
        <f t="shared" si="2"/>
        <v/>
      </c>
      <c r="G29" s="2"/>
      <c r="H29" s="2"/>
      <c r="I29" s="2"/>
      <c r="J29" s="2"/>
      <c r="K29" s="2"/>
      <c r="L29" s="2"/>
      <c r="M29" s="2"/>
      <c r="N29" s="2"/>
      <c r="O29" s="1"/>
      <c r="P29" s="1" t="s">
        <v>44</v>
      </c>
      <c r="Q29" s="12">
        <f>IFERROR(__xludf.DUMMYFUNCTION("iferror(round(correl(filter(Data!J:J,Data!C:C=C$3,Data!D:D=P29,Data!F:F&gt;=250),filter(Data!N:N,Data!C:C=C$3,Data!D:D=P29,Data!F:F&gt;=250)),2),"""")"),0.66)</f>
        <v>0.66</v>
      </c>
    </row>
    <row r="30">
      <c r="A30" s="1"/>
      <c r="B30" s="2" t="str">
        <f>IFERROR(__xludf.DUMMYFUNCTION("""COMPUTED_VALUE"""),"UTA")</f>
        <v>UTA</v>
      </c>
      <c r="C30" s="12">
        <f>IFERROR(__xludf.DUMMYFUNCTION("""COMPUTED_VALUE"""),0.45)</f>
        <v>0.45</v>
      </c>
      <c r="D30" s="1"/>
      <c r="E30" s="1"/>
      <c r="F30" s="8" t="str">
        <f t="shared" si="2"/>
        <v/>
      </c>
      <c r="G30" s="2"/>
      <c r="H30" s="2"/>
      <c r="I30" s="2"/>
      <c r="J30" s="2"/>
      <c r="K30" s="2"/>
      <c r="L30" s="2"/>
      <c r="M30" s="2"/>
      <c r="N30" s="2"/>
      <c r="O30" s="1"/>
      <c r="P30" s="1" t="s">
        <v>45</v>
      </c>
      <c r="Q30" s="12">
        <f>IFERROR(__xludf.DUMMYFUNCTION("iferror(round(correl(filter(Data!J:J,Data!C:C=C$3,Data!D:D=P30,Data!F:F&gt;=250),filter(Data!N:N,Data!C:C=C$3,Data!D:D=P30,Data!F:F&gt;=250)),2),"""")"),0.6)</f>
        <v>0.6</v>
      </c>
    </row>
    <row r="31">
      <c r="A31" s="1"/>
      <c r="B31" s="2" t="str">
        <f>IFERROR(__xludf.DUMMYFUNCTION("""COMPUTED_VALUE"""),"MIA")</f>
        <v>MIA</v>
      </c>
      <c r="C31" s="12">
        <f>IFERROR(__xludf.DUMMYFUNCTION("""COMPUTED_VALUE"""),0.42)</f>
        <v>0.42</v>
      </c>
      <c r="D31" s="1"/>
      <c r="E31" s="1"/>
      <c r="F31" s="8" t="str">
        <f t="shared" si="2"/>
        <v/>
      </c>
      <c r="G31" s="2"/>
      <c r="H31" s="2"/>
      <c r="I31" s="2"/>
      <c r="J31" s="2"/>
      <c r="K31" s="2"/>
      <c r="L31" s="2"/>
      <c r="M31" s="2"/>
      <c r="N31" s="2"/>
      <c r="O31" s="1"/>
      <c r="P31" s="1" t="s">
        <v>46</v>
      </c>
      <c r="Q31" s="12">
        <f>IFERROR(__xludf.DUMMYFUNCTION("iferror(round(correl(filter(Data!J:J,Data!C:C=C$3,Data!D:D=P31,Data!F:F&gt;=250),filter(Data!N:N,Data!C:C=C$3,Data!D:D=P31,Data!F:F&gt;=250)),2),"""")"),0.89)</f>
        <v>0.89</v>
      </c>
    </row>
    <row r="32">
      <c r="A32" s="1"/>
      <c r="B32" s="2" t="str">
        <f>IFERROR(__xludf.DUMMYFUNCTION("""COMPUTED_VALUE"""),"ORL")</f>
        <v>ORL</v>
      </c>
      <c r="C32" s="12">
        <f>IFERROR(__xludf.DUMMYFUNCTION("""COMPUTED_VALUE"""),0.4)</f>
        <v>0.4</v>
      </c>
      <c r="D32" s="1"/>
      <c r="E32" s="1"/>
      <c r="F32" s="8" t="str">
        <f t="shared" si="2"/>
        <v/>
      </c>
      <c r="G32" s="2"/>
      <c r="H32" s="2"/>
      <c r="I32" s="2"/>
      <c r="J32" s="2"/>
      <c r="K32" s="2"/>
      <c r="L32" s="2"/>
      <c r="M32" s="2"/>
      <c r="N32" s="2"/>
      <c r="O32" s="1"/>
      <c r="P32" s="1" t="s">
        <v>47</v>
      </c>
      <c r="Q32" s="12">
        <f>IFERROR(__xludf.DUMMYFUNCTION("iferror(round(correl(filter(Data!J:J,Data!C:C=C$3,Data!D:D=P32,Data!F:F&gt;=250),filter(Data!N:N,Data!C:C=C$3,Data!D:D=P32,Data!F:F&gt;=250)),2),"""")"),0.51)</f>
        <v>0.51</v>
      </c>
    </row>
    <row r="33">
      <c r="A33" s="1"/>
      <c r="B33" s="2" t="str">
        <f>IFERROR(__xludf.DUMMYFUNCTION("""COMPUTED_VALUE"""),"MEM")</f>
        <v>MEM</v>
      </c>
      <c r="C33" s="12">
        <f>IFERROR(__xludf.DUMMYFUNCTION("""COMPUTED_VALUE"""),0.34)</f>
        <v>0.34</v>
      </c>
      <c r="D33" s="1"/>
      <c r="E33" s="1"/>
      <c r="F33" s="8" t="str">
        <f t="shared" si="2"/>
        <v/>
      </c>
      <c r="G33" s="2"/>
      <c r="H33" s="2"/>
      <c r="I33" s="2"/>
      <c r="J33" s="2"/>
      <c r="K33" s="2"/>
      <c r="L33" s="2"/>
      <c r="M33" s="2"/>
      <c r="N33" s="2"/>
      <c r="O33" s="1"/>
      <c r="P33" s="1" t="s">
        <v>1</v>
      </c>
      <c r="Q33" s="12">
        <f>IFERROR(__xludf.DUMMYFUNCTION("iferror(round(correl(filter(Data!J:J,Data!C:C=C$3,Data!D:D=P33,Data!F:F&gt;=250),filter(Data!N:N,Data!C:C=C$3,Data!D:D=P33,Data!F:F&gt;=250)),2),"""")"),0.81)</f>
        <v>0.81</v>
      </c>
    </row>
    <row r="34">
      <c r="A34" s="1"/>
      <c r="B34" s="2" t="str">
        <f>IFERROR(__xludf.DUMMYFUNCTION("""COMPUTED_VALUE"""),"SAS")</f>
        <v>SAS</v>
      </c>
      <c r="C34" s="12">
        <f>IFERROR(__xludf.DUMMYFUNCTION("""COMPUTED_VALUE"""),0.25)</f>
        <v>0.25</v>
      </c>
      <c r="D34" s="1"/>
      <c r="E34" s="1"/>
      <c r="F34" s="8" t="str">
        <f t="shared" si="2"/>
        <v/>
      </c>
      <c r="G34" s="2"/>
      <c r="H34" s="2"/>
      <c r="I34" s="2"/>
      <c r="J34" s="2"/>
      <c r="K34" s="2"/>
      <c r="L34" s="2"/>
      <c r="M34" s="2"/>
      <c r="N34" s="2"/>
      <c r="O34" s="1"/>
      <c r="P34" s="1" t="s">
        <v>48</v>
      </c>
      <c r="Q34" s="12">
        <f>IFERROR(__xludf.DUMMYFUNCTION("iferror(round(correl(filter(Data!J:J,Data!C:C=C$3,Data!D:D=P34,Data!F:F&gt;=250),filter(Data!N:N,Data!C:C=C$3,Data!D:D=P34,Data!F:F&gt;=250)),2),"""")"),0.49)</f>
        <v>0.49</v>
      </c>
    </row>
    <row r="35">
      <c r="A35" s="1"/>
      <c r="B35" s="2" t="str">
        <f>IFERROR(__xludf.DUMMYFUNCTION("""COMPUTED_VALUE"""),"OKC")</f>
        <v>OKC</v>
      </c>
      <c r="C35" s="12">
        <f>IFERROR(__xludf.DUMMYFUNCTION("""COMPUTED_VALUE"""),0.2)</f>
        <v>0.2</v>
      </c>
      <c r="D35" s="1"/>
      <c r="E35" s="1"/>
      <c r="F35" s="8" t="str">
        <f t="shared" si="2"/>
        <v/>
      </c>
      <c r="G35" s="2"/>
      <c r="H35" s="2"/>
      <c r="I35" s="2"/>
      <c r="J35" s="2"/>
      <c r="K35" s="2"/>
      <c r="L35" s="2"/>
      <c r="M35" s="2"/>
      <c r="N35" s="2"/>
      <c r="O35" s="1"/>
      <c r="P35" s="1" t="s">
        <v>49</v>
      </c>
      <c r="Q35" s="12" t="str">
        <f>IFERROR(__xludf.DUMMYFUNCTION("iferror(round(correl(filter(Data!J:J,Data!C:C=C$3,Data!D:D=P35,Data!F:F&gt;=250),filter(Data!N:N,Data!C:C=C$3,Data!D:D=P35,Data!F:F&gt;=250)),2),"""")"),"")</f>
        <v/>
      </c>
    </row>
    <row r="36">
      <c r="A36" s="1"/>
      <c r="B36" s="2" t="str">
        <f>IFERROR(__xludf.DUMMYFUNCTION("""COMPUTED_VALUE"""),"SAC")</f>
        <v>SAC</v>
      </c>
      <c r="C36" s="12">
        <f>IFERROR(__xludf.DUMMYFUNCTION("""COMPUTED_VALUE"""),0.19)</f>
        <v>0.19</v>
      </c>
      <c r="D36" s="1"/>
      <c r="E36" s="1"/>
      <c r="F36" s="2"/>
      <c r="G36" s="2"/>
      <c r="H36" s="2"/>
      <c r="I36" s="2"/>
      <c r="J36" s="2"/>
      <c r="K36" s="2"/>
      <c r="L36" s="2"/>
      <c r="M36" s="2"/>
      <c r="N36" s="2"/>
      <c r="O36" s="1"/>
      <c r="P36" s="1" t="s">
        <v>50</v>
      </c>
      <c r="Q36" s="12" t="str">
        <f>IFERROR(__xludf.DUMMYFUNCTION("iferror(round(correl(filter(Data!J:J,Data!C:C=C$3,Data!D:D=P36,Data!F:F&gt;=250),filter(Data!N:N,Data!C:C=C$3,Data!D:D=P36,Data!F:F&gt;=250)),2),"""")"),"")</f>
        <v/>
      </c>
    </row>
    <row r="37">
      <c r="A37" s="1"/>
      <c r="B37" s="2" t="str">
        <f>IFERROR(__xludf.DUMMYFUNCTION("""COMPUTED_VALUE"""),"MIN")</f>
        <v>MIN</v>
      </c>
      <c r="C37" s="12">
        <f>IFERROR(__xludf.DUMMYFUNCTION("""COMPUTED_VALUE"""),0.16)</f>
        <v>0.16</v>
      </c>
      <c r="D37" s="1"/>
      <c r="E37" s="1"/>
      <c r="F37" s="2"/>
      <c r="G37" s="2"/>
      <c r="H37" s="2"/>
      <c r="I37" s="2"/>
      <c r="J37" s="2"/>
      <c r="K37" s="2"/>
      <c r="L37" s="2"/>
      <c r="M37" s="2"/>
      <c r="N37" s="2"/>
      <c r="O37" s="1"/>
      <c r="P37" s="1"/>
      <c r="Q37" s="12" t="str">
        <f>IFERROR(__xludf.DUMMYFUNCTION("iferror(round(correl(filter(Data!I:I,Data!C:C=C$3,Data!D:D=P37),filter(Data!N:N,Data!C:C=C$3,Data!D:D=P37)),2),"""")"),"")</f>
        <v/>
      </c>
    </row>
    <row r="38">
      <c r="A38" s="1"/>
      <c r="B38" s="2" t="str">
        <f>IFERROR(__xludf.DUMMYFUNCTION("""COMPUTED_VALUE"""),"HOU")</f>
        <v>HOU</v>
      </c>
      <c r="C38" s="12">
        <f>IFERROR(__xludf.DUMMYFUNCTION("""COMPUTED_VALUE"""),0.15)</f>
        <v>0.15</v>
      </c>
      <c r="D38" s="1"/>
      <c r="E38" s="1"/>
      <c r="F38" s="2"/>
      <c r="G38" s="2"/>
      <c r="H38" s="2"/>
      <c r="I38" s="2"/>
      <c r="J38" s="2"/>
      <c r="K38" s="2"/>
      <c r="L38" s="2"/>
      <c r="M38" s="2"/>
      <c r="N38" s="2"/>
      <c r="O38" s="1"/>
      <c r="P38" s="1"/>
      <c r="Q38" s="12" t="str">
        <f>IFERROR(__xludf.DUMMYFUNCTION("iferror(round(correl(filter(Data!I:I,Data!C:C=C$3,Data!D:D=P38),filter(Data!N:N,Data!C:C=C$3,Data!D:D=P38)),2),"""")"),"")</f>
        <v/>
      </c>
    </row>
    <row r="39">
      <c r="A39" s="1"/>
      <c r="B39" s="2" t="str">
        <f>IFERROR(__xludf.DUMMYFUNCTION("""COMPUTED_VALUE"""),"CLE")</f>
        <v>CLE</v>
      </c>
      <c r="C39" s="12">
        <f>IFERROR(__xludf.DUMMYFUNCTION("""COMPUTED_VALUE"""),-0.14)</f>
        <v>-0.14</v>
      </c>
      <c r="D39" s="1"/>
      <c r="E39" s="1"/>
      <c r="F39" s="2"/>
      <c r="G39" s="2"/>
      <c r="H39" s="2"/>
      <c r="I39" s="2"/>
      <c r="J39" s="2"/>
      <c r="K39" s="2"/>
      <c r="L39" s="2"/>
      <c r="M39" s="2"/>
      <c r="N39" s="2"/>
      <c r="O39" s="1"/>
      <c r="P39" s="1"/>
      <c r="Q39" s="12" t="str">
        <f>IFERROR(__xludf.DUMMYFUNCTION("iferror(round(correl(filter(Data!I:I,Data!C:C=C$3,Data!D:D=P39),filter(Data!N:N,Data!C:C=C$3,Data!D:D=P39)),2),"""")"),"")</f>
        <v/>
      </c>
    </row>
    <row r="40">
      <c r="A40" s="1"/>
      <c r="B40" s="2" t="str">
        <f>IFERROR(__xludf.DUMMYFUNCTION("""COMPUTED_VALUE"""),"CHI")</f>
        <v>CHI</v>
      </c>
      <c r="C40" s="12">
        <f>IFERROR(__xludf.DUMMYFUNCTION("""COMPUTED_VALUE"""),-0.35)</f>
        <v>-0.35</v>
      </c>
      <c r="D40" s="1"/>
      <c r="E40" s="1"/>
      <c r="F40" s="2"/>
      <c r="G40" s="2"/>
      <c r="H40" s="2"/>
      <c r="I40" s="2"/>
      <c r="J40" s="2"/>
      <c r="K40" s="2"/>
      <c r="L40" s="2"/>
      <c r="M40" s="2"/>
      <c r="N40" s="2"/>
      <c r="O40" s="1"/>
      <c r="P40" s="1"/>
      <c r="Q40" s="12" t="str">
        <f>IFERROR(__xludf.DUMMYFUNCTION("iferror(round(correl(filter(Data!I:I,Data!C:C=C$3,Data!D:D=P40),filter(Data!E:E,Data!C:C=C$3,Data!D:D=P40)),2),"""")"),"")</f>
        <v/>
      </c>
    </row>
    <row r="41">
      <c r="A41" s="1"/>
      <c r="B41" s="2"/>
      <c r="C41" s="2"/>
      <c r="D41" s="1"/>
      <c r="E41" s="1"/>
      <c r="F41" s="2"/>
      <c r="G41" s="2"/>
      <c r="H41" s="2"/>
      <c r="I41" s="2"/>
      <c r="J41" s="2"/>
      <c r="K41" s="2"/>
      <c r="L41" s="2"/>
      <c r="M41" s="2"/>
      <c r="N41" s="2"/>
      <c r="O41" s="1"/>
      <c r="P41" s="1"/>
      <c r="Q41" s="12" t="str">
        <f>IFERROR(__xludf.DUMMYFUNCTION("iferror(round(correl(filter(Data!I:I,Data!C:C=C$3,Data!D:D=P41),filter(Data!E:E,Data!C:C=C$3,Data!D:D=P41)),2),"""")"),"")</f>
        <v/>
      </c>
    </row>
    <row r="42">
      <c r="A42" s="1"/>
      <c r="B42" s="1"/>
      <c r="C42" s="1"/>
      <c r="D42" s="1"/>
      <c r="E42" s="1"/>
      <c r="F42" s="2"/>
      <c r="G42" s="2"/>
      <c r="H42" s="2"/>
      <c r="I42" s="2"/>
      <c r="J42" s="2"/>
      <c r="K42" s="2"/>
      <c r="L42" s="2"/>
      <c r="M42" s="2"/>
      <c r="N42" s="2"/>
      <c r="O42" s="1"/>
      <c r="P42" s="1"/>
      <c r="Q42" s="12" t="str">
        <f>IFERROR(__xludf.DUMMYFUNCTION("iferror(round(correl(filter(Data!I:I,Data!C:C=C$3,Data!D:D=P42),filter(Data!E:E,Data!C:C=C$3,Data!D:D=P42)),2),"""")"),"")</f>
        <v/>
      </c>
    </row>
    <row r="43">
      <c r="A43" s="1"/>
      <c r="B43" s="1"/>
      <c r="C43" s="1"/>
      <c r="D43" s="1"/>
      <c r="E43" s="1"/>
      <c r="F43" s="2"/>
      <c r="G43" s="2"/>
      <c r="H43" s="2"/>
      <c r="I43" s="2"/>
      <c r="J43" s="2"/>
      <c r="K43" s="2"/>
      <c r="L43" s="2"/>
      <c r="M43" s="2"/>
      <c r="N43" s="2"/>
      <c r="O43" s="1"/>
      <c r="P43" s="1"/>
      <c r="Q43" s="12" t="str">
        <f>IFERROR(__xludf.DUMMYFUNCTION("iferror(round(correl(filter(Data!I:I,Data!C:C=C$3,Data!D:D=P43),filter(Data!E:E,Data!C:C=C$3,Data!D:D=P43)),2),"""")"),"")</f>
        <v/>
      </c>
    </row>
    <row r="44">
      <c r="A44" s="1"/>
      <c r="B44" s="1"/>
      <c r="C44" s="1"/>
      <c r="D44" s="1"/>
      <c r="E44" s="1"/>
      <c r="F44" s="2"/>
      <c r="G44" s="2"/>
      <c r="H44" s="2"/>
      <c r="I44" s="2"/>
      <c r="J44" s="2"/>
      <c r="K44" s="2"/>
      <c r="L44" s="2"/>
      <c r="M44" s="2"/>
      <c r="N44" s="2"/>
      <c r="O44" s="1"/>
      <c r="P44" s="1"/>
      <c r="Q44" s="12" t="str">
        <f>IFERROR(__xludf.DUMMYFUNCTION("iferror(round(correl(filter(Data!I:I,Data!C:C=C$3,Data!D:D=P44),filter(Data!E:E,Data!C:C=C$3,Data!D:D=P44)),2),"""")"),"")</f>
        <v/>
      </c>
    </row>
    <row r="45">
      <c r="A45" s="1"/>
      <c r="B45" s="1"/>
      <c r="C45" s="1"/>
      <c r="D45" s="1"/>
      <c r="E45" s="1"/>
      <c r="F45" s="2"/>
      <c r="G45" s="2"/>
      <c r="H45" s="2"/>
      <c r="I45" s="2"/>
      <c r="J45" s="2"/>
      <c r="K45" s="2"/>
      <c r="L45" s="2"/>
      <c r="M45" s="2"/>
      <c r="N45" s="2"/>
      <c r="O45" s="1"/>
      <c r="P45" s="1"/>
      <c r="Q45" s="1"/>
    </row>
    <row r="46">
      <c r="A46" s="1"/>
      <c r="B46" s="1"/>
      <c r="C46" s="1"/>
      <c r="D46" s="1"/>
      <c r="E46" s="1"/>
      <c r="F46" s="2"/>
      <c r="G46" s="2"/>
      <c r="H46" s="2"/>
      <c r="I46" s="2"/>
      <c r="J46" s="2"/>
      <c r="K46" s="2"/>
      <c r="L46" s="2"/>
      <c r="M46" s="2"/>
      <c r="N46" s="2"/>
      <c r="O46" s="1"/>
      <c r="P46" s="1"/>
      <c r="Q46" s="1"/>
    </row>
    <row r="47">
      <c r="A47" s="1"/>
      <c r="B47" s="1"/>
      <c r="C47" s="1"/>
      <c r="D47" s="1"/>
      <c r="E47" s="1"/>
      <c r="F47" s="2"/>
      <c r="G47" s="2"/>
      <c r="H47" s="2"/>
      <c r="I47" s="2"/>
      <c r="J47" s="2"/>
      <c r="K47" s="2"/>
      <c r="L47" s="2"/>
      <c r="M47" s="2"/>
      <c r="N47" s="2"/>
      <c r="O47" s="1"/>
      <c r="P47" s="1"/>
      <c r="Q47" s="1"/>
    </row>
    <row r="48">
      <c r="A48" s="1"/>
      <c r="B48" s="1"/>
      <c r="C48" s="1"/>
      <c r="D48" s="1"/>
      <c r="E48" s="1"/>
      <c r="F48" s="2"/>
      <c r="G48" s="2"/>
      <c r="H48" s="2"/>
      <c r="I48" s="2"/>
      <c r="J48" s="2"/>
      <c r="K48" s="2"/>
      <c r="L48" s="2"/>
      <c r="M48" s="2"/>
      <c r="N48" s="2"/>
      <c r="O48" s="1"/>
      <c r="P48" s="1"/>
      <c r="Q48" s="1"/>
    </row>
    <row r="49">
      <c r="A49" s="1"/>
      <c r="B49" s="1"/>
      <c r="C49" s="1"/>
      <c r="D49" s="1"/>
      <c r="E49" s="1"/>
      <c r="F49" s="2"/>
      <c r="G49" s="2"/>
      <c r="H49" s="2"/>
      <c r="I49" s="2"/>
      <c r="J49" s="2"/>
      <c r="K49" s="2"/>
      <c r="L49" s="2"/>
      <c r="M49" s="2"/>
      <c r="N49" s="2"/>
      <c r="O49" s="1"/>
      <c r="P49" s="1"/>
      <c r="Q49" s="1"/>
    </row>
    <row r="50">
      <c r="A50" s="1"/>
      <c r="B50" s="1"/>
      <c r="C50" s="1"/>
      <c r="D50" s="1"/>
      <c r="E50" s="1"/>
      <c r="F50" s="2"/>
      <c r="G50" s="2"/>
      <c r="H50" s="2"/>
      <c r="I50" s="2"/>
      <c r="J50" s="2"/>
      <c r="K50" s="2"/>
      <c r="L50" s="2"/>
      <c r="M50" s="2"/>
      <c r="N50" s="2"/>
      <c r="O50" s="1"/>
      <c r="P50" s="1"/>
      <c r="Q50" s="1"/>
    </row>
    <row r="51">
      <c r="A51" s="1"/>
      <c r="B51" s="1"/>
      <c r="C51" s="1"/>
      <c r="D51" s="1"/>
      <c r="E51" s="1"/>
      <c r="F51" s="2"/>
      <c r="G51" s="2"/>
      <c r="H51" s="2"/>
      <c r="I51" s="2"/>
      <c r="J51" s="2"/>
      <c r="K51" s="2"/>
      <c r="L51" s="2"/>
      <c r="M51" s="2"/>
      <c r="N51" s="2"/>
      <c r="O51" s="1"/>
      <c r="P51" s="1"/>
      <c r="Q51" s="1"/>
    </row>
    <row r="52">
      <c r="A52" s="1"/>
      <c r="B52" s="1"/>
      <c r="C52" s="1"/>
      <c r="D52" s="1"/>
      <c r="E52" s="1"/>
      <c r="F52" s="2"/>
      <c r="G52" s="2"/>
      <c r="H52" s="2"/>
      <c r="I52" s="2"/>
      <c r="J52" s="2"/>
      <c r="K52" s="2"/>
      <c r="L52" s="2"/>
      <c r="M52" s="2"/>
      <c r="N52" s="2"/>
      <c r="O52" s="1"/>
      <c r="P52" s="1"/>
      <c r="Q52" s="1"/>
    </row>
    <row r="53">
      <c r="A53" s="1"/>
      <c r="B53" s="1"/>
      <c r="C53" s="1"/>
      <c r="D53" s="1"/>
      <c r="E53" s="1"/>
      <c r="F53" s="2"/>
      <c r="G53" s="2"/>
      <c r="H53" s="2"/>
      <c r="I53" s="2"/>
      <c r="J53" s="2"/>
      <c r="K53" s="2"/>
      <c r="L53" s="2"/>
      <c r="M53" s="2"/>
      <c r="N53" s="2"/>
      <c r="O53" s="1"/>
      <c r="P53" s="1"/>
      <c r="Q53" s="1"/>
    </row>
    <row r="54">
      <c r="A54" s="1"/>
      <c r="B54" s="1"/>
      <c r="C54" s="1"/>
      <c r="D54" s="1"/>
      <c r="E54" s="1"/>
      <c r="F54" s="2"/>
      <c r="G54" s="2"/>
      <c r="H54" s="2"/>
      <c r="I54" s="2"/>
      <c r="J54" s="2"/>
      <c r="K54" s="2"/>
      <c r="L54" s="2"/>
      <c r="M54" s="2"/>
      <c r="N54" s="2"/>
      <c r="O54" s="1"/>
      <c r="P54" s="1"/>
      <c r="Q54" s="1"/>
    </row>
    <row r="55">
      <c r="A55" s="1"/>
      <c r="B55" s="1"/>
      <c r="C55" s="1"/>
      <c r="D55" s="1"/>
      <c r="E55" s="1"/>
      <c r="F55" s="2"/>
      <c r="G55" s="2"/>
      <c r="H55" s="2"/>
      <c r="I55" s="2"/>
      <c r="J55" s="2"/>
      <c r="K55" s="2"/>
      <c r="L55" s="2"/>
      <c r="M55" s="2"/>
      <c r="N55" s="2"/>
      <c r="O55" s="1"/>
      <c r="P55" s="1"/>
      <c r="Q55" s="1"/>
    </row>
    <row r="56">
      <c r="A56" s="1"/>
      <c r="B56" s="1"/>
      <c r="C56" s="1"/>
      <c r="D56" s="1"/>
      <c r="E56" s="1"/>
      <c r="F56" s="2"/>
      <c r="G56" s="2"/>
      <c r="H56" s="2"/>
      <c r="I56" s="2"/>
      <c r="J56" s="2"/>
      <c r="K56" s="2"/>
      <c r="L56" s="2"/>
      <c r="M56" s="2"/>
      <c r="N56" s="2"/>
      <c r="O56" s="1"/>
      <c r="P56" s="1"/>
      <c r="Q56" s="1"/>
    </row>
    <row r="57">
      <c r="A57" s="1"/>
      <c r="B57" s="1"/>
      <c r="C57" s="1"/>
      <c r="D57" s="1"/>
      <c r="E57" s="1"/>
      <c r="F57" s="2"/>
      <c r="G57" s="2"/>
      <c r="H57" s="2"/>
      <c r="I57" s="2"/>
      <c r="J57" s="2"/>
      <c r="K57" s="2"/>
      <c r="L57" s="2"/>
      <c r="M57" s="2"/>
      <c r="N57" s="2"/>
      <c r="O57" s="1"/>
      <c r="P57" s="1"/>
      <c r="Q57" s="1"/>
    </row>
    <row r="58">
      <c r="A58" s="1"/>
      <c r="B58" s="1"/>
      <c r="C58" s="1"/>
      <c r="D58" s="1"/>
      <c r="E58" s="1"/>
      <c r="F58" s="2"/>
      <c r="G58" s="2"/>
      <c r="H58" s="2"/>
      <c r="I58" s="2"/>
      <c r="J58" s="2"/>
      <c r="K58" s="2"/>
      <c r="L58" s="2"/>
      <c r="M58" s="2"/>
      <c r="N58" s="2"/>
      <c r="O58" s="1"/>
      <c r="P58" s="1"/>
      <c r="Q58" s="1"/>
    </row>
    <row r="59">
      <c r="A59" s="1"/>
      <c r="B59" s="1"/>
      <c r="C59" s="1"/>
      <c r="D59" s="1"/>
      <c r="E59" s="1"/>
      <c r="F59" s="2"/>
      <c r="G59" s="2"/>
      <c r="H59" s="2"/>
      <c r="I59" s="2"/>
      <c r="J59" s="2"/>
      <c r="K59" s="2"/>
      <c r="L59" s="2"/>
      <c r="M59" s="2"/>
      <c r="N59" s="2"/>
      <c r="O59" s="1"/>
      <c r="P59" s="1"/>
      <c r="Q59" s="1"/>
    </row>
    <row r="60">
      <c r="A60" s="1"/>
      <c r="B60" s="1"/>
      <c r="C60" s="1"/>
      <c r="D60" s="1"/>
      <c r="E60" s="1"/>
      <c r="F60" s="2"/>
      <c r="G60" s="2"/>
      <c r="H60" s="2"/>
      <c r="I60" s="2"/>
      <c r="J60" s="2"/>
      <c r="K60" s="2"/>
      <c r="L60" s="2"/>
      <c r="M60" s="2"/>
      <c r="N60" s="2"/>
      <c r="O60" s="1"/>
      <c r="P60" s="1"/>
      <c r="Q60" s="1"/>
    </row>
    <row r="61">
      <c r="A61" s="1"/>
      <c r="B61" s="1"/>
      <c r="C61" s="1"/>
      <c r="D61" s="1"/>
      <c r="E61" s="1"/>
      <c r="F61" s="2"/>
      <c r="G61" s="2"/>
      <c r="H61" s="2"/>
      <c r="I61" s="2"/>
      <c r="J61" s="2"/>
      <c r="K61" s="2"/>
      <c r="L61" s="2"/>
      <c r="M61" s="2"/>
      <c r="N61" s="2"/>
      <c r="O61" s="1"/>
      <c r="P61" s="1"/>
      <c r="Q61" s="1"/>
    </row>
    <row r="62">
      <c r="A62" s="1"/>
      <c r="B62" s="1"/>
      <c r="C62" s="1"/>
      <c r="D62" s="1"/>
      <c r="E62" s="1"/>
      <c r="F62" s="2"/>
      <c r="G62" s="2"/>
      <c r="H62" s="2"/>
      <c r="I62" s="2"/>
      <c r="J62" s="2"/>
      <c r="K62" s="2"/>
      <c r="L62" s="2"/>
      <c r="M62" s="2"/>
      <c r="N62" s="2"/>
      <c r="O62" s="1"/>
      <c r="P62" s="1"/>
      <c r="Q62" s="1"/>
    </row>
    <row r="63">
      <c r="A63" s="1"/>
      <c r="B63" s="1"/>
      <c r="C63" s="1"/>
      <c r="D63" s="1"/>
      <c r="E63" s="1"/>
      <c r="F63" s="2"/>
      <c r="G63" s="2"/>
      <c r="H63" s="2"/>
      <c r="I63" s="2"/>
      <c r="J63" s="2"/>
      <c r="K63" s="2"/>
      <c r="L63" s="2"/>
      <c r="M63" s="2"/>
      <c r="N63" s="2"/>
      <c r="O63" s="1"/>
      <c r="P63" s="1"/>
      <c r="Q63" s="1"/>
    </row>
    <row r="64">
      <c r="A64" s="1"/>
      <c r="B64" s="1"/>
      <c r="C64" s="1"/>
      <c r="D64" s="1"/>
      <c r="E64" s="1"/>
      <c r="F64" s="2"/>
      <c r="G64" s="2"/>
      <c r="H64" s="2"/>
      <c r="I64" s="2"/>
      <c r="J64" s="2"/>
      <c r="K64" s="2"/>
      <c r="L64" s="2"/>
      <c r="M64" s="2"/>
      <c r="N64" s="2"/>
      <c r="O64" s="1"/>
      <c r="P64" s="1"/>
      <c r="Q64" s="1"/>
    </row>
    <row r="65">
      <c r="A65" s="1"/>
      <c r="B65" s="1"/>
      <c r="C65" s="1"/>
      <c r="D65" s="1"/>
      <c r="E65" s="1"/>
      <c r="F65" s="2"/>
      <c r="G65" s="2"/>
      <c r="H65" s="2"/>
      <c r="I65" s="2"/>
      <c r="J65" s="2"/>
      <c r="K65" s="2"/>
      <c r="L65" s="2"/>
      <c r="M65" s="2"/>
      <c r="N65" s="2"/>
      <c r="O65" s="1"/>
      <c r="P65" s="1"/>
      <c r="Q65" s="1"/>
    </row>
    <row r="66">
      <c r="A66" s="1"/>
      <c r="B66" s="1"/>
      <c r="C66" s="1"/>
      <c r="D66" s="1"/>
      <c r="E66" s="1"/>
      <c r="F66" s="2"/>
      <c r="G66" s="2"/>
      <c r="H66" s="2"/>
      <c r="I66" s="2"/>
      <c r="J66" s="2"/>
      <c r="K66" s="2"/>
      <c r="L66" s="2"/>
      <c r="M66" s="2"/>
      <c r="N66" s="2"/>
      <c r="O66" s="1"/>
      <c r="P66" s="1"/>
      <c r="Q66" s="1"/>
    </row>
    <row r="67">
      <c r="A67" s="1"/>
      <c r="B67" s="1"/>
      <c r="C67" s="1"/>
      <c r="D67" s="1"/>
      <c r="E67" s="1"/>
      <c r="F67" s="2"/>
      <c r="G67" s="2"/>
      <c r="H67" s="2"/>
      <c r="I67" s="2"/>
      <c r="J67" s="2"/>
      <c r="K67" s="2"/>
      <c r="L67" s="2"/>
      <c r="M67" s="2"/>
      <c r="N67" s="2"/>
      <c r="O67" s="1"/>
      <c r="P67" s="1"/>
      <c r="Q67" s="1"/>
    </row>
    <row r="68">
      <c r="A68" s="1"/>
      <c r="B68" s="1"/>
      <c r="C68" s="1"/>
      <c r="D68" s="1"/>
      <c r="E68" s="1"/>
      <c r="F68" s="2"/>
      <c r="G68" s="2"/>
      <c r="H68" s="2"/>
      <c r="I68" s="2"/>
      <c r="J68" s="2"/>
      <c r="K68" s="2"/>
      <c r="L68" s="2"/>
      <c r="M68" s="2"/>
      <c r="N68" s="2"/>
      <c r="O68" s="1"/>
      <c r="P68" s="1"/>
      <c r="Q68" s="1"/>
    </row>
    <row r="69">
      <c r="A69" s="1"/>
      <c r="B69" s="1"/>
      <c r="C69" s="1"/>
      <c r="D69" s="1"/>
      <c r="E69" s="1"/>
      <c r="F69" s="2"/>
      <c r="G69" s="2"/>
      <c r="H69" s="2"/>
      <c r="I69" s="2"/>
      <c r="J69" s="2"/>
      <c r="K69" s="2"/>
      <c r="L69" s="2"/>
      <c r="M69" s="2"/>
      <c r="N69" s="2"/>
      <c r="O69" s="1"/>
      <c r="P69" s="1"/>
      <c r="Q69" s="1"/>
    </row>
    <row r="70">
      <c r="A70" s="1"/>
      <c r="B70" s="1"/>
      <c r="C70" s="1"/>
      <c r="D70" s="1"/>
      <c r="E70" s="1"/>
      <c r="F70" s="2"/>
      <c r="G70" s="2"/>
      <c r="H70" s="2"/>
      <c r="I70" s="2"/>
      <c r="J70" s="2"/>
      <c r="K70" s="2"/>
      <c r="L70" s="2"/>
      <c r="M70" s="2"/>
      <c r="N70" s="2"/>
      <c r="O70" s="1"/>
      <c r="P70" s="1"/>
      <c r="Q70" s="1"/>
    </row>
    <row r="71">
      <c r="A71" s="1"/>
      <c r="B71" s="1"/>
      <c r="C71" s="1"/>
      <c r="D71" s="1"/>
      <c r="E71" s="1"/>
      <c r="F71" s="2"/>
      <c r="G71" s="2"/>
      <c r="H71" s="2"/>
      <c r="I71" s="2"/>
      <c r="J71" s="2"/>
      <c r="K71" s="2"/>
      <c r="L71" s="2"/>
      <c r="M71" s="2"/>
      <c r="N71" s="2"/>
      <c r="O71" s="1"/>
      <c r="P71" s="1"/>
      <c r="Q71" s="1"/>
    </row>
    <row r="72">
      <c r="A72" s="1"/>
      <c r="B72" s="1"/>
      <c r="C72" s="1"/>
      <c r="D72" s="1"/>
      <c r="E72" s="1"/>
      <c r="F72" s="2"/>
      <c r="G72" s="2"/>
      <c r="H72" s="2"/>
      <c r="I72" s="2"/>
      <c r="J72" s="2"/>
      <c r="K72" s="2"/>
      <c r="L72" s="2"/>
      <c r="M72" s="2"/>
      <c r="N72" s="2"/>
      <c r="O72" s="1"/>
      <c r="P72" s="1"/>
      <c r="Q72" s="1"/>
    </row>
    <row r="73">
      <c r="A73" s="1"/>
      <c r="B73" s="1"/>
      <c r="C73" s="1"/>
      <c r="D73" s="1"/>
      <c r="E73" s="1"/>
      <c r="F73" s="2"/>
      <c r="G73" s="2"/>
      <c r="H73" s="2"/>
      <c r="I73" s="2"/>
      <c r="J73" s="2"/>
      <c r="K73" s="2"/>
      <c r="L73" s="2"/>
      <c r="M73" s="2"/>
      <c r="N73" s="2"/>
      <c r="O73" s="1"/>
      <c r="P73" s="1"/>
      <c r="Q73" s="1"/>
    </row>
    <row r="74">
      <c r="A74" s="1"/>
      <c r="B74" s="1"/>
      <c r="C74" s="1"/>
      <c r="D74" s="1"/>
      <c r="E74" s="1"/>
      <c r="F74" s="2"/>
      <c r="G74" s="2"/>
      <c r="H74" s="2"/>
      <c r="I74" s="2"/>
      <c r="J74" s="2"/>
      <c r="K74" s="2"/>
      <c r="L74" s="2"/>
      <c r="M74" s="2"/>
      <c r="N74" s="2"/>
      <c r="O74" s="1"/>
      <c r="P74" s="1"/>
      <c r="Q74" s="1"/>
    </row>
    <row r="75">
      <c r="A75" s="1"/>
      <c r="B75" s="1"/>
      <c r="C75" s="1"/>
      <c r="D75" s="1"/>
      <c r="E75" s="1"/>
      <c r="F75" s="2"/>
      <c r="G75" s="2"/>
      <c r="H75" s="2"/>
      <c r="I75" s="2"/>
      <c r="J75" s="2"/>
      <c r="K75" s="2"/>
      <c r="L75" s="2"/>
      <c r="M75" s="2"/>
      <c r="N75" s="2"/>
      <c r="O75" s="1"/>
      <c r="P75" s="1"/>
      <c r="Q75" s="1"/>
    </row>
    <row r="76">
      <c r="A76" s="1"/>
      <c r="B76" s="1"/>
      <c r="C76" s="1"/>
      <c r="D76" s="1"/>
      <c r="E76" s="1"/>
      <c r="F76" s="2"/>
      <c r="G76" s="2"/>
      <c r="H76" s="2"/>
      <c r="I76" s="2"/>
      <c r="J76" s="2"/>
      <c r="K76" s="2"/>
      <c r="L76" s="2"/>
      <c r="M76" s="2"/>
      <c r="N76" s="2"/>
      <c r="O76" s="1"/>
      <c r="P76" s="1"/>
      <c r="Q76" s="1"/>
    </row>
    <row r="77">
      <c r="A77" s="1"/>
      <c r="B77" s="1"/>
      <c r="C77" s="1"/>
      <c r="D77" s="1"/>
      <c r="E77" s="1"/>
      <c r="F77" s="2"/>
      <c r="G77" s="2"/>
      <c r="H77" s="2"/>
      <c r="I77" s="2"/>
      <c r="J77" s="2"/>
      <c r="K77" s="2"/>
      <c r="L77" s="2"/>
      <c r="M77" s="2"/>
      <c r="N77" s="2"/>
      <c r="O77" s="1"/>
      <c r="P77" s="1"/>
      <c r="Q77" s="1"/>
    </row>
    <row r="78">
      <c r="A78" s="1"/>
      <c r="B78" s="1"/>
      <c r="C78" s="1"/>
      <c r="D78" s="1"/>
      <c r="E78" s="1"/>
      <c r="F78" s="2"/>
      <c r="G78" s="2"/>
      <c r="H78" s="2"/>
      <c r="I78" s="2"/>
      <c r="J78" s="2"/>
      <c r="K78" s="2"/>
      <c r="L78" s="2"/>
      <c r="M78" s="2"/>
      <c r="N78" s="2"/>
      <c r="O78" s="1"/>
      <c r="P78" s="1"/>
      <c r="Q78" s="1"/>
    </row>
    <row r="79">
      <c r="A79" s="1"/>
      <c r="B79" s="1"/>
      <c r="C79" s="1"/>
      <c r="D79" s="1"/>
      <c r="E79" s="1"/>
      <c r="F79" s="2"/>
      <c r="G79" s="2"/>
      <c r="H79" s="2"/>
      <c r="I79" s="2"/>
      <c r="J79" s="2"/>
      <c r="K79" s="2"/>
      <c r="L79" s="2"/>
      <c r="M79" s="2"/>
      <c r="N79" s="2"/>
      <c r="O79" s="1"/>
      <c r="P79" s="1"/>
      <c r="Q79" s="1"/>
    </row>
    <row r="80">
      <c r="A80" s="1"/>
      <c r="B80" s="1"/>
      <c r="C80" s="1"/>
      <c r="D80" s="1"/>
      <c r="E80" s="1"/>
      <c r="F80" s="2"/>
      <c r="G80" s="2"/>
      <c r="H80" s="2"/>
      <c r="I80" s="2"/>
      <c r="J80" s="2"/>
      <c r="K80" s="2"/>
      <c r="L80" s="2"/>
      <c r="M80" s="2"/>
      <c r="N80" s="2"/>
      <c r="O80" s="1"/>
      <c r="P80" s="1"/>
      <c r="Q80" s="1"/>
    </row>
    <row r="81">
      <c r="A81" s="1"/>
      <c r="B81" s="1"/>
      <c r="C81" s="1"/>
      <c r="D81" s="1"/>
      <c r="E81" s="1"/>
      <c r="F81" s="2"/>
      <c r="G81" s="2"/>
      <c r="H81" s="2"/>
      <c r="I81" s="2"/>
      <c r="J81" s="2"/>
      <c r="K81" s="2"/>
      <c r="L81" s="2"/>
      <c r="M81" s="2"/>
      <c r="N81" s="2"/>
      <c r="O81" s="1"/>
      <c r="P81" s="1"/>
      <c r="Q81" s="1"/>
    </row>
    <row r="82">
      <c r="A82" s="1"/>
      <c r="B82" s="1"/>
      <c r="C82" s="1"/>
      <c r="D82" s="1"/>
      <c r="E82" s="1"/>
      <c r="F82" s="2"/>
      <c r="G82" s="2"/>
      <c r="H82" s="2"/>
      <c r="I82" s="2"/>
      <c r="J82" s="2"/>
      <c r="K82" s="2"/>
      <c r="L82" s="2"/>
      <c r="M82" s="2"/>
      <c r="N82" s="2"/>
      <c r="O82" s="1"/>
      <c r="P82" s="1"/>
      <c r="Q82" s="1"/>
    </row>
    <row r="83">
      <c r="A83" s="1"/>
      <c r="B83" s="1"/>
      <c r="C83" s="1"/>
      <c r="D83" s="1"/>
      <c r="E83" s="1"/>
      <c r="F83" s="2"/>
      <c r="G83" s="2"/>
      <c r="H83" s="2"/>
      <c r="I83" s="2"/>
      <c r="J83" s="2"/>
      <c r="K83" s="2"/>
      <c r="L83" s="2"/>
      <c r="M83" s="2"/>
      <c r="N83" s="2"/>
      <c r="O83" s="1"/>
      <c r="P83" s="1"/>
      <c r="Q83" s="1"/>
    </row>
    <row r="84">
      <c r="A84" s="1"/>
      <c r="B84" s="1"/>
      <c r="C84" s="1"/>
      <c r="D84" s="1"/>
      <c r="E84" s="1"/>
      <c r="F84" s="2"/>
      <c r="G84" s="2"/>
      <c r="H84" s="2"/>
      <c r="I84" s="2"/>
      <c r="J84" s="2"/>
      <c r="K84" s="2"/>
      <c r="L84" s="2"/>
      <c r="M84" s="2"/>
      <c r="N84" s="2"/>
      <c r="O84" s="1"/>
      <c r="P84" s="1"/>
      <c r="Q84" s="1"/>
    </row>
    <row r="85">
      <c r="A85" s="1"/>
      <c r="B85" s="1"/>
      <c r="C85" s="1"/>
      <c r="D85" s="1"/>
      <c r="E85" s="1"/>
      <c r="F85" s="2"/>
      <c r="G85" s="2"/>
      <c r="H85" s="2"/>
      <c r="I85" s="2"/>
      <c r="J85" s="2"/>
      <c r="K85" s="2"/>
      <c r="L85" s="2"/>
      <c r="M85" s="2"/>
      <c r="N85" s="2"/>
      <c r="O85" s="1"/>
      <c r="P85" s="1"/>
      <c r="Q85" s="1"/>
    </row>
    <row r="86">
      <c r="A86" s="1"/>
      <c r="B86" s="1"/>
      <c r="C86" s="1"/>
      <c r="D86" s="1"/>
      <c r="E86" s="1"/>
      <c r="F86" s="2"/>
      <c r="G86" s="2"/>
      <c r="H86" s="2"/>
      <c r="I86" s="2"/>
      <c r="J86" s="2"/>
      <c r="K86" s="2"/>
      <c r="L86" s="2"/>
      <c r="M86" s="2"/>
      <c r="N86" s="2"/>
      <c r="O86" s="1"/>
      <c r="P86" s="1"/>
      <c r="Q86" s="1"/>
    </row>
    <row r="87">
      <c r="A87" s="1"/>
      <c r="B87" s="1"/>
      <c r="C87" s="1"/>
      <c r="D87" s="1"/>
      <c r="E87" s="1"/>
      <c r="F87" s="2"/>
      <c r="G87" s="2"/>
      <c r="H87" s="2"/>
      <c r="I87" s="2"/>
      <c r="J87" s="2"/>
      <c r="K87" s="2"/>
      <c r="L87" s="2"/>
      <c r="M87" s="2"/>
      <c r="N87" s="2"/>
      <c r="O87" s="1"/>
      <c r="P87" s="1"/>
      <c r="Q87" s="1"/>
    </row>
    <row r="88">
      <c r="A88" s="1"/>
      <c r="B88" s="1"/>
      <c r="C88" s="1"/>
      <c r="D88" s="1"/>
      <c r="E88" s="1"/>
      <c r="F88" s="2"/>
      <c r="G88" s="2"/>
      <c r="H88" s="2"/>
      <c r="I88" s="2"/>
      <c r="J88" s="2"/>
      <c r="K88" s="2"/>
      <c r="L88" s="2"/>
      <c r="M88" s="2"/>
      <c r="N88" s="2"/>
      <c r="O88" s="1"/>
      <c r="P88" s="1"/>
      <c r="Q88" s="1"/>
    </row>
    <row r="89">
      <c r="A89" s="1"/>
      <c r="B89" s="1"/>
      <c r="C89" s="1"/>
      <c r="D89" s="1"/>
      <c r="E89" s="1"/>
      <c r="F89" s="2"/>
      <c r="G89" s="2"/>
      <c r="H89" s="2"/>
      <c r="I89" s="2"/>
      <c r="J89" s="2"/>
      <c r="K89" s="2"/>
      <c r="L89" s="2"/>
      <c r="M89" s="2"/>
      <c r="N89" s="2"/>
      <c r="O89" s="1"/>
      <c r="P89" s="1"/>
      <c r="Q89" s="1"/>
    </row>
    <row r="90">
      <c r="A90" s="1"/>
      <c r="B90" s="1"/>
      <c r="C90" s="1"/>
      <c r="D90" s="1"/>
      <c r="E90" s="1"/>
      <c r="F90" s="2"/>
      <c r="G90" s="2"/>
      <c r="H90" s="2"/>
      <c r="I90" s="2"/>
      <c r="J90" s="2"/>
      <c r="K90" s="2"/>
      <c r="L90" s="2"/>
      <c r="M90" s="2"/>
      <c r="N90" s="2"/>
      <c r="O90" s="1"/>
      <c r="P90" s="1"/>
      <c r="Q90" s="1"/>
    </row>
    <row r="91">
      <c r="A91" s="1"/>
      <c r="B91" s="1"/>
      <c r="C91" s="1"/>
      <c r="D91" s="1"/>
      <c r="E91" s="1"/>
      <c r="F91" s="2"/>
      <c r="G91" s="2"/>
      <c r="H91" s="2"/>
      <c r="I91" s="2"/>
      <c r="J91" s="2"/>
      <c r="K91" s="2"/>
      <c r="L91" s="2"/>
      <c r="M91" s="2"/>
      <c r="N91" s="2"/>
      <c r="O91" s="1"/>
      <c r="P91" s="1"/>
      <c r="Q91" s="1"/>
    </row>
    <row r="92">
      <c r="A92" s="1"/>
      <c r="B92" s="1"/>
      <c r="C92" s="1"/>
      <c r="D92" s="1"/>
      <c r="E92" s="1"/>
      <c r="F92" s="2"/>
      <c r="G92" s="2"/>
      <c r="H92" s="2"/>
      <c r="I92" s="2"/>
      <c r="J92" s="2"/>
      <c r="K92" s="2"/>
      <c r="L92" s="2"/>
      <c r="M92" s="2"/>
      <c r="N92" s="2"/>
      <c r="O92" s="1"/>
      <c r="P92" s="1"/>
      <c r="Q92" s="1"/>
    </row>
    <row r="93">
      <c r="A93" s="1"/>
      <c r="B93" s="1"/>
      <c r="C93" s="1"/>
      <c r="D93" s="1"/>
      <c r="E93" s="1"/>
      <c r="F93" s="2"/>
      <c r="G93" s="2"/>
      <c r="H93" s="2"/>
      <c r="I93" s="2"/>
      <c r="J93" s="2"/>
      <c r="K93" s="2"/>
      <c r="L93" s="2"/>
      <c r="M93" s="2"/>
      <c r="N93" s="2"/>
      <c r="O93" s="1"/>
      <c r="P93" s="1"/>
      <c r="Q93" s="1"/>
    </row>
    <row r="94">
      <c r="A94" s="1"/>
      <c r="B94" s="1"/>
      <c r="C94" s="1"/>
      <c r="D94" s="1"/>
      <c r="E94" s="1"/>
      <c r="F94" s="2"/>
      <c r="G94" s="2"/>
      <c r="H94" s="2"/>
      <c r="I94" s="2"/>
      <c r="J94" s="2"/>
      <c r="K94" s="2"/>
      <c r="L94" s="2"/>
      <c r="M94" s="2"/>
      <c r="N94" s="2"/>
      <c r="O94" s="1"/>
      <c r="P94" s="1"/>
      <c r="Q94" s="1"/>
    </row>
    <row r="95">
      <c r="A95" s="1"/>
      <c r="B95" s="1"/>
      <c r="C95" s="1"/>
      <c r="D95" s="1"/>
      <c r="E95" s="1"/>
      <c r="F95" s="2"/>
      <c r="G95" s="2"/>
      <c r="H95" s="2"/>
      <c r="I95" s="2"/>
      <c r="J95" s="2"/>
      <c r="K95" s="2"/>
      <c r="L95" s="2"/>
      <c r="M95" s="2"/>
      <c r="N95" s="2"/>
      <c r="O95" s="1"/>
      <c r="P95" s="1"/>
      <c r="Q95" s="1"/>
    </row>
    <row r="96">
      <c r="A96" s="1"/>
      <c r="B96" s="1"/>
      <c r="C96" s="1"/>
      <c r="D96" s="1"/>
      <c r="E96" s="1"/>
      <c r="F96" s="2"/>
      <c r="G96" s="2"/>
      <c r="H96" s="2"/>
      <c r="I96" s="2"/>
      <c r="J96" s="2"/>
      <c r="K96" s="2"/>
      <c r="L96" s="2"/>
      <c r="M96" s="2"/>
      <c r="N96" s="2"/>
      <c r="O96" s="1"/>
      <c r="P96" s="1"/>
      <c r="Q96" s="1"/>
    </row>
    <row r="97">
      <c r="A97" s="1"/>
      <c r="B97" s="1"/>
      <c r="C97" s="1"/>
      <c r="D97" s="1"/>
      <c r="E97" s="1"/>
      <c r="F97" s="2"/>
      <c r="G97" s="2"/>
      <c r="H97" s="2"/>
      <c r="I97" s="2"/>
      <c r="J97" s="2"/>
      <c r="K97" s="2"/>
      <c r="L97" s="2"/>
      <c r="M97" s="2"/>
      <c r="N97" s="2"/>
      <c r="O97" s="1"/>
      <c r="P97" s="1"/>
      <c r="Q97" s="1"/>
    </row>
    <row r="98">
      <c r="A98" s="1"/>
      <c r="B98" s="1"/>
      <c r="C98" s="1"/>
      <c r="D98" s="1"/>
      <c r="E98" s="1"/>
      <c r="F98" s="2"/>
      <c r="G98" s="2"/>
      <c r="H98" s="2"/>
      <c r="I98" s="2"/>
      <c r="J98" s="2"/>
      <c r="K98" s="2"/>
      <c r="L98" s="2"/>
      <c r="M98" s="2"/>
      <c r="N98" s="2"/>
      <c r="O98" s="1"/>
      <c r="P98" s="1"/>
      <c r="Q98" s="1"/>
    </row>
    <row r="99">
      <c r="A99" s="1"/>
      <c r="B99" s="1"/>
      <c r="C99" s="1"/>
      <c r="D99" s="1"/>
      <c r="E99" s="1"/>
      <c r="F99" s="2"/>
      <c r="G99" s="2"/>
      <c r="H99" s="2"/>
      <c r="I99" s="2"/>
      <c r="J99" s="2"/>
      <c r="K99" s="2"/>
      <c r="L99" s="2"/>
      <c r="M99" s="2"/>
      <c r="N99" s="2"/>
      <c r="O99" s="1"/>
      <c r="P99" s="1"/>
      <c r="Q99" s="1"/>
    </row>
    <row r="100">
      <c r="A100" s="1"/>
      <c r="B100" s="1"/>
      <c r="C100" s="1"/>
      <c r="D100" s="1"/>
      <c r="E100" s="1"/>
      <c r="F100" s="2"/>
      <c r="G100" s="2"/>
      <c r="H100" s="2"/>
      <c r="I100" s="2"/>
      <c r="J100" s="2"/>
      <c r="K100" s="2"/>
      <c r="L100" s="2"/>
      <c r="M100" s="2"/>
      <c r="N100" s="2"/>
      <c r="O100" s="1"/>
      <c r="P100" s="1"/>
      <c r="Q100" s="1"/>
    </row>
    <row r="101">
      <c r="A101" s="1"/>
      <c r="B101" s="1"/>
      <c r="C101" s="1"/>
      <c r="D101" s="1"/>
      <c r="E101" s="1"/>
      <c r="F101" s="2"/>
      <c r="G101" s="2"/>
      <c r="H101" s="2"/>
      <c r="I101" s="2"/>
      <c r="J101" s="2"/>
      <c r="K101" s="2"/>
      <c r="L101" s="2"/>
      <c r="M101" s="2"/>
      <c r="N101" s="2"/>
      <c r="O101" s="1"/>
      <c r="P101" s="1"/>
      <c r="Q101" s="1"/>
    </row>
    <row r="102">
      <c r="A102" s="1"/>
      <c r="B102" s="1"/>
      <c r="C102" s="1"/>
      <c r="D102" s="1"/>
      <c r="E102" s="1"/>
      <c r="F102" s="2"/>
      <c r="G102" s="2"/>
      <c r="H102" s="2"/>
      <c r="I102" s="2"/>
      <c r="J102" s="2"/>
      <c r="K102" s="2"/>
      <c r="L102" s="2"/>
      <c r="M102" s="2"/>
      <c r="N102" s="2"/>
      <c r="O102" s="1"/>
      <c r="P102" s="1"/>
      <c r="Q102" s="1"/>
    </row>
    <row r="103">
      <c r="A103" s="1"/>
      <c r="B103" s="1"/>
      <c r="C103" s="1"/>
      <c r="D103" s="1"/>
      <c r="E103" s="1"/>
      <c r="F103" s="2"/>
      <c r="G103" s="2"/>
      <c r="H103" s="2"/>
      <c r="I103" s="2"/>
      <c r="J103" s="2"/>
      <c r="K103" s="2"/>
      <c r="L103" s="2"/>
      <c r="M103" s="2"/>
      <c r="N103" s="2"/>
      <c r="O103" s="1"/>
      <c r="P103" s="1"/>
      <c r="Q103" s="1"/>
    </row>
    <row r="104">
      <c r="A104" s="1"/>
      <c r="B104" s="1"/>
      <c r="C104" s="1"/>
      <c r="D104" s="1"/>
      <c r="E104" s="1"/>
      <c r="F104" s="2"/>
      <c r="G104" s="2"/>
      <c r="H104" s="2"/>
      <c r="I104" s="2"/>
      <c r="J104" s="2"/>
      <c r="K104" s="2"/>
      <c r="L104" s="2"/>
      <c r="M104" s="2"/>
      <c r="N104" s="2"/>
      <c r="O104" s="1"/>
      <c r="P104" s="1"/>
      <c r="Q104" s="1"/>
    </row>
    <row r="105">
      <c r="A105" s="1"/>
      <c r="B105" s="1"/>
      <c r="C105" s="1"/>
      <c r="D105" s="1"/>
      <c r="E105" s="1"/>
      <c r="F105" s="2"/>
      <c r="G105" s="2"/>
      <c r="H105" s="2"/>
      <c r="I105" s="2"/>
      <c r="J105" s="2"/>
      <c r="K105" s="2"/>
      <c r="L105" s="2"/>
      <c r="M105" s="2"/>
      <c r="N105" s="2"/>
      <c r="O105" s="1"/>
      <c r="P105" s="1"/>
      <c r="Q105" s="1"/>
    </row>
    <row r="106">
      <c r="A106" s="1"/>
      <c r="B106" s="1"/>
      <c r="C106" s="1"/>
      <c r="D106" s="1"/>
      <c r="E106" s="1"/>
      <c r="F106" s="2"/>
      <c r="G106" s="2"/>
      <c r="H106" s="2"/>
      <c r="I106" s="2"/>
      <c r="J106" s="2"/>
      <c r="K106" s="2"/>
      <c r="L106" s="2"/>
      <c r="M106" s="2"/>
      <c r="N106" s="2"/>
      <c r="O106" s="1"/>
      <c r="P106" s="1"/>
      <c r="Q106" s="1"/>
    </row>
    <row r="107">
      <c r="A107" s="1"/>
      <c r="B107" s="1"/>
      <c r="C107" s="1"/>
      <c r="D107" s="1"/>
      <c r="E107" s="1"/>
      <c r="F107" s="2"/>
      <c r="G107" s="2"/>
      <c r="H107" s="2"/>
      <c r="I107" s="2"/>
      <c r="J107" s="2"/>
      <c r="K107" s="2"/>
      <c r="L107" s="2"/>
      <c r="M107" s="2"/>
      <c r="N107" s="2"/>
      <c r="O107" s="1"/>
      <c r="P107" s="1"/>
      <c r="Q107" s="1"/>
    </row>
    <row r="108">
      <c r="A108" s="1"/>
      <c r="B108" s="1"/>
      <c r="C108" s="1"/>
      <c r="D108" s="1"/>
      <c r="E108" s="1"/>
      <c r="F108" s="2"/>
      <c r="G108" s="2"/>
      <c r="H108" s="2"/>
      <c r="I108" s="2"/>
      <c r="J108" s="2"/>
      <c r="K108" s="2"/>
      <c r="L108" s="2"/>
      <c r="M108" s="2"/>
      <c r="N108" s="2"/>
      <c r="O108" s="1"/>
      <c r="P108" s="1"/>
      <c r="Q108" s="1"/>
    </row>
    <row r="109">
      <c r="A109" s="1"/>
      <c r="B109" s="1"/>
      <c r="C109" s="1"/>
      <c r="D109" s="1"/>
      <c r="E109" s="1"/>
      <c r="F109" s="2"/>
      <c r="G109" s="2"/>
      <c r="H109" s="2"/>
      <c r="I109" s="2"/>
      <c r="J109" s="2"/>
      <c r="K109" s="2"/>
      <c r="L109" s="2"/>
      <c r="M109" s="2"/>
      <c r="N109" s="2"/>
      <c r="O109" s="1"/>
      <c r="P109" s="1"/>
      <c r="Q109" s="1"/>
    </row>
    <row r="110">
      <c r="A110" s="1"/>
      <c r="B110" s="1"/>
      <c r="C110" s="1"/>
      <c r="D110" s="1"/>
      <c r="E110" s="1"/>
      <c r="F110" s="2"/>
      <c r="G110" s="2"/>
      <c r="H110" s="2"/>
      <c r="I110" s="2"/>
      <c r="J110" s="2"/>
      <c r="K110" s="2"/>
      <c r="L110" s="2"/>
      <c r="M110" s="2"/>
      <c r="N110" s="2"/>
      <c r="O110" s="1"/>
      <c r="P110" s="1"/>
      <c r="Q110" s="1"/>
    </row>
    <row r="111">
      <c r="A111" s="1"/>
      <c r="B111" s="1"/>
      <c r="C111" s="1"/>
      <c r="D111" s="1"/>
      <c r="E111" s="1"/>
      <c r="F111" s="2"/>
      <c r="G111" s="2"/>
      <c r="H111" s="2"/>
      <c r="I111" s="2"/>
      <c r="J111" s="2"/>
      <c r="K111" s="2"/>
      <c r="L111" s="2"/>
      <c r="M111" s="2"/>
      <c r="N111" s="2"/>
      <c r="O111" s="1"/>
      <c r="P111" s="1"/>
      <c r="Q111" s="1"/>
    </row>
    <row r="112">
      <c r="A112" s="1"/>
      <c r="B112" s="1"/>
      <c r="C112" s="1"/>
      <c r="D112" s="1"/>
      <c r="E112" s="1"/>
      <c r="F112" s="2"/>
      <c r="G112" s="2"/>
      <c r="H112" s="2"/>
      <c r="I112" s="2"/>
      <c r="J112" s="2"/>
      <c r="K112" s="2"/>
      <c r="L112" s="2"/>
      <c r="M112" s="2"/>
      <c r="N112" s="2"/>
      <c r="O112" s="1"/>
      <c r="P112" s="1"/>
      <c r="Q112" s="1"/>
    </row>
    <row r="113">
      <c r="A113" s="1"/>
      <c r="B113" s="1"/>
      <c r="C113" s="1"/>
      <c r="D113" s="1"/>
      <c r="E113" s="1"/>
      <c r="F113" s="2"/>
      <c r="G113" s="2"/>
      <c r="H113" s="2"/>
      <c r="I113" s="2"/>
      <c r="J113" s="2"/>
      <c r="K113" s="2"/>
      <c r="L113" s="2"/>
      <c r="M113" s="2"/>
      <c r="N113" s="2"/>
      <c r="O113" s="1"/>
      <c r="P113" s="1"/>
      <c r="Q113" s="1"/>
    </row>
    <row r="114">
      <c r="A114" s="1"/>
      <c r="B114" s="1"/>
      <c r="C114" s="1"/>
      <c r="D114" s="1"/>
      <c r="E114" s="1"/>
      <c r="F114" s="2"/>
      <c r="G114" s="2"/>
      <c r="H114" s="2"/>
      <c r="I114" s="2"/>
      <c r="J114" s="2"/>
      <c r="K114" s="2"/>
      <c r="L114" s="2"/>
      <c r="M114" s="2"/>
      <c r="N114" s="2"/>
      <c r="O114" s="1"/>
      <c r="P114" s="1"/>
      <c r="Q114" s="1"/>
    </row>
    <row r="115">
      <c r="A115" s="1"/>
      <c r="B115" s="1"/>
      <c r="C115" s="1"/>
      <c r="D115" s="1"/>
      <c r="E115" s="1"/>
      <c r="F115" s="2"/>
      <c r="G115" s="2"/>
      <c r="H115" s="2"/>
      <c r="I115" s="2"/>
      <c r="J115" s="2"/>
      <c r="K115" s="2"/>
      <c r="L115" s="2"/>
      <c r="M115" s="2"/>
      <c r="N115" s="2"/>
      <c r="O115" s="1"/>
      <c r="P115" s="1"/>
      <c r="Q115" s="1"/>
    </row>
    <row r="116">
      <c r="A116" s="1"/>
      <c r="B116" s="1"/>
      <c r="C116" s="1"/>
      <c r="D116" s="1"/>
      <c r="E116" s="1"/>
      <c r="F116" s="2"/>
      <c r="G116" s="2"/>
      <c r="H116" s="2"/>
      <c r="I116" s="2"/>
      <c r="J116" s="2"/>
      <c r="K116" s="2"/>
      <c r="L116" s="2"/>
      <c r="M116" s="2"/>
      <c r="N116" s="2"/>
      <c r="O116" s="1"/>
      <c r="P116" s="1"/>
      <c r="Q116" s="1"/>
    </row>
    <row r="117">
      <c r="A117" s="1"/>
      <c r="B117" s="1"/>
      <c r="C117" s="1"/>
      <c r="D117" s="1"/>
      <c r="E117" s="1"/>
      <c r="F117" s="2"/>
      <c r="G117" s="2"/>
      <c r="H117" s="2"/>
      <c r="I117" s="2"/>
      <c r="J117" s="2"/>
      <c r="K117" s="2"/>
      <c r="L117" s="2"/>
      <c r="M117" s="2"/>
      <c r="N117" s="2"/>
      <c r="O117" s="1"/>
      <c r="P117" s="1"/>
      <c r="Q117" s="1"/>
    </row>
    <row r="118">
      <c r="A118" s="1"/>
      <c r="B118" s="1"/>
      <c r="C118" s="1"/>
      <c r="D118" s="1"/>
      <c r="E118" s="1"/>
      <c r="F118" s="2"/>
      <c r="G118" s="2"/>
      <c r="H118" s="2"/>
      <c r="I118" s="2"/>
      <c r="J118" s="2"/>
      <c r="K118" s="2"/>
      <c r="L118" s="2"/>
      <c r="M118" s="2"/>
      <c r="N118" s="2"/>
      <c r="O118" s="1"/>
      <c r="P118" s="1"/>
      <c r="Q118" s="1"/>
    </row>
    <row r="119">
      <c r="A119" s="1"/>
      <c r="B119" s="1"/>
      <c r="C119" s="1"/>
      <c r="D119" s="1"/>
      <c r="E119" s="1"/>
      <c r="F119" s="2"/>
      <c r="G119" s="2"/>
      <c r="H119" s="2"/>
      <c r="I119" s="2"/>
      <c r="J119" s="2"/>
      <c r="K119" s="2"/>
      <c r="L119" s="2"/>
      <c r="M119" s="2"/>
      <c r="N119" s="2"/>
      <c r="O119" s="1"/>
      <c r="P119" s="1"/>
      <c r="Q119" s="1"/>
    </row>
    <row r="120">
      <c r="A120" s="1"/>
      <c r="B120" s="1"/>
      <c r="C120" s="1"/>
      <c r="D120" s="1"/>
      <c r="E120" s="1"/>
      <c r="F120" s="2"/>
      <c r="G120" s="2"/>
      <c r="H120" s="2"/>
      <c r="I120" s="2"/>
      <c r="J120" s="2"/>
      <c r="K120" s="2"/>
      <c r="L120" s="2"/>
      <c r="M120" s="2"/>
      <c r="N120" s="2"/>
      <c r="O120" s="1"/>
      <c r="P120" s="1"/>
      <c r="Q120" s="1"/>
    </row>
    <row r="121">
      <c r="A121" s="1"/>
      <c r="B121" s="1"/>
      <c r="C121" s="1"/>
      <c r="D121" s="1"/>
      <c r="E121" s="1"/>
      <c r="F121" s="2"/>
      <c r="G121" s="2"/>
      <c r="H121" s="2"/>
      <c r="I121" s="2"/>
      <c r="J121" s="2"/>
      <c r="K121" s="2"/>
      <c r="L121" s="2"/>
      <c r="M121" s="2"/>
      <c r="N121" s="2"/>
      <c r="O121" s="1"/>
      <c r="P121" s="1"/>
      <c r="Q121" s="1"/>
    </row>
    <row r="122">
      <c r="A122" s="1"/>
      <c r="B122" s="1"/>
      <c r="C122" s="1"/>
      <c r="D122" s="1"/>
      <c r="E122" s="1"/>
      <c r="F122" s="2"/>
      <c r="G122" s="2"/>
      <c r="H122" s="2"/>
      <c r="I122" s="2"/>
      <c r="J122" s="2"/>
      <c r="K122" s="2"/>
      <c r="L122" s="2"/>
      <c r="M122" s="2"/>
      <c r="N122" s="2"/>
      <c r="O122" s="1"/>
      <c r="P122" s="1"/>
      <c r="Q122" s="1"/>
    </row>
    <row r="123">
      <c r="A123" s="1"/>
      <c r="B123" s="1"/>
      <c r="C123" s="1"/>
      <c r="D123" s="1"/>
      <c r="E123" s="1"/>
      <c r="F123" s="2"/>
      <c r="G123" s="2"/>
      <c r="H123" s="2"/>
      <c r="I123" s="2"/>
      <c r="J123" s="2"/>
      <c r="K123" s="2"/>
      <c r="L123" s="2"/>
      <c r="M123" s="2"/>
      <c r="N123" s="2"/>
      <c r="O123" s="1"/>
      <c r="P123" s="1"/>
      <c r="Q123" s="1"/>
    </row>
    <row r="124">
      <c r="A124" s="1"/>
      <c r="B124" s="1"/>
      <c r="C124" s="1"/>
      <c r="D124" s="1"/>
      <c r="E124" s="1"/>
      <c r="F124" s="2"/>
      <c r="G124" s="2"/>
      <c r="H124" s="2"/>
      <c r="I124" s="2"/>
      <c r="J124" s="2"/>
      <c r="K124" s="2"/>
      <c r="L124" s="2"/>
      <c r="M124" s="2"/>
      <c r="N124" s="2"/>
      <c r="O124" s="1"/>
      <c r="P124" s="1"/>
      <c r="Q124" s="1"/>
    </row>
    <row r="125">
      <c r="A125" s="1"/>
      <c r="B125" s="1"/>
      <c r="C125" s="1"/>
      <c r="D125" s="1"/>
      <c r="E125" s="1"/>
      <c r="F125" s="2"/>
      <c r="G125" s="2"/>
      <c r="H125" s="2"/>
      <c r="I125" s="2"/>
      <c r="J125" s="2"/>
      <c r="K125" s="2"/>
      <c r="L125" s="2"/>
      <c r="M125" s="2"/>
      <c r="N125" s="2"/>
      <c r="O125" s="1"/>
      <c r="P125" s="1"/>
      <c r="Q125" s="1"/>
    </row>
    <row r="126">
      <c r="A126" s="1"/>
      <c r="B126" s="1"/>
      <c r="C126" s="1"/>
      <c r="D126" s="1"/>
      <c r="E126" s="1"/>
      <c r="F126" s="2"/>
      <c r="G126" s="2"/>
      <c r="H126" s="2"/>
      <c r="I126" s="2"/>
      <c r="J126" s="2"/>
      <c r="K126" s="2"/>
      <c r="L126" s="2"/>
      <c r="M126" s="2"/>
      <c r="N126" s="2"/>
      <c r="O126" s="1"/>
      <c r="P126" s="1"/>
      <c r="Q126" s="1"/>
    </row>
    <row r="127">
      <c r="A127" s="1"/>
      <c r="B127" s="1"/>
      <c r="C127" s="1"/>
      <c r="D127" s="1"/>
      <c r="E127" s="1"/>
      <c r="F127" s="2"/>
      <c r="G127" s="2"/>
      <c r="H127" s="2"/>
      <c r="I127" s="2"/>
      <c r="J127" s="2"/>
      <c r="K127" s="2"/>
      <c r="L127" s="2"/>
      <c r="M127" s="2"/>
      <c r="N127" s="2"/>
      <c r="O127" s="1"/>
      <c r="P127" s="1"/>
      <c r="Q127" s="1"/>
    </row>
    <row r="128">
      <c r="A128" s="1"/>
      <c r="B128" s="1"/>
      <c r="C128" s="1"/>
      <c r="D128" s="1"/>
      <c r="E128" s="1"/>
      <c r="F128" s="2"/>
      <c r="G128" s="2"/>
      <c r="H128" s="2"/>
      <c r="I128" s="2"/>
      <c r="J128" s="2"/>
      <c r="K128" s="2"/>
      <c r="L128" s="2"/>
      <c r="M128" s="2"/>
      <c r="N128" s="2"/>
      <c r="O128" s="1"/>
      <c r="P128" s="1"/>
      <c r="Q128" s="1"/>
    </row>
    <row r="129">
      <c r="A129" s="1"/>
      <c r="B129" s="1"/>
      <c r="C129" s="1"/>
      <c r="D129" s="1"/>
      <c r="E129" s="1"/>
      <c r="F129" s="2"/>
      <c r="G129" s="2"/>
      <c r="H129" s="2"/>
      <c r="I129" s="2"/>
      <c r="J129" s="2"/>
      <c r="K129" s="2"/>
      <c r="L129" s="2"/>
      <c r="M129" s="2"/>
      <c r="N129" s="2"/>
      <c r="O129" s="1"/>
      <c r="P129" s="1"/>
      <c r="Q129" s="1"/>
    </row>
    <row r="130">
      <c r="A130" s="1"/>
      <c r="B130" s="1"/>
      <c r="C130" s="1"/>
      <c r="D130" s="1"/>
      <c r="E130" s="1"/>
      <c r="F130" s="2"/>
      <c r="G130" s="2"/>
      <c r="H130" s="2"/>
      <c r="I130" s="2"/>
      <c r="J130" s="2"/>
      <c r="K130" s="2"/>
      <c r="L130" s="2"/>
      <c r="M130" s="2"/>
      <c r="N130" s="2"/>
      <c r="O130" s="1"/>
      <c r="P130" s="1"/>
      <c r="Q130" s="1"/>
    </row>
    <row r="131">
      <c r="A131" s="1"/>
      <c r="B131" s="1"/>
      <c r="C131" s="1"/>
      <c r="D131" s="1"/>
      <c r="E131" s="1"/>
      <c r="F131" s="2"/>
      <c r="G131" s="2"/>
      <c r="H131" s="2"/>
      <c r="I131" s="2"/>
      <c r="J131" s="2"/>
      <c r="K131" s="2"/>
      <c r="L131" s="2"/>
      <c r="M131" s="2"/>
      <c r="N131" s="2"/>
      <c r="O131" s="1"/>
      <c r="P131" s="1"/>
      <c r="Q131" s="1"/>
    </row>
    <row r="132">
      <c r="A132" s="1"/>
      <c r="B132" s="1"/>
      <c r="C132" s="1"/>
      <c r="D132" s="1"/>
      <c r="E132" s="1"/>
      <c r="F132" s="2"/>
      <c r="G132" s="2"/>
      <c r="H132" s="2"/>
      <c r="I132" s="2"/>
      <c r="J132" s="2"/>
      <c r="K132" s="2"/>
      <c r="L132" s="2"/>
      <c r="M132" s="2"/>
      <c r="N132" s="2"/>
      <c r="O132" s="1"/>
      <c r="P132" s="1"/>
      <c r="Q132" s="1"/>
    </row>
    <row r="133">
      <c r="A133" s="1"/>
      <c r="B133" s="1"/>
      <c r="C133" s="1"/>
      <c r="D133" s="1"/>
      <c r="E133" s="1"/>
      <c r="F133" s="2"/>
      <c r="G133" s="2"/>
      <c r="H133" s="2"/>
      <c r="I133" s="2"/>
      <c r="J133" s="2"/>
      <c r="K133" s="2"/>
      <c r="L133" s="2"/>
      <c r="M133" s="2"/>
      <c r="N133" s="2"/>
      <c r="O133" s="1"/>
      <c r="P133" s="1"/>
      <c r="Q133" s="1"/>
    </row>
    <row r="134">
      <c r="A134" s="1"/>
      <c r="B134" s="1"/>
      <c r="C134" s="1"/>
      <c r="D134" s="1"/>
      <c r="E134" s="1"/>
      <c r="F134" s="2"/>
      <c r="G134" s="2"/>
      <c r="H134" s="2"/>
      <c r="I134" s="2"/>
      <c r="J134" s="2"/>
      <c r="K134" s="2"/>
      <c r="L134" s="2"/>
      <c r="M134" s="2"/>
      <c r="N134" s="2"/>
      <c r="O134" s="1"/>
      <c r="P134" s="1"/>
      <c r="Q134" s="1"/>
    </row>
    <row r="135">
      <c r="A135" s="1"/>
      <c r="B135" s="1"/>
      <c r="C135" s="1"/>
      <c r="D135" s="1"/>
      <c r="E135" s="1"/>
      <c r="F135" s="2"/>
      <c r="G135" s="2"/>
      <c r="H135" s="2"/>
      <c r="I135" s="2"/>
      <c r="J135" s="2"/>
      <c r="K135" s="2"/>
      <c r="L135" s="2"/>
      <c r="M135" s="2"/>
      <c r="N135" s="2"/>
      <c r="O135" s="1"/>
      <c r="P135" s="1"/>
      <c r="Q135" s="1"/>
    </row>
    <row r="136">
      <c r="A136" s="1"/>
      <c r="B136" s="1"/>
      <c r="C136" s="1"/>
      <c r="D136" s="1"/>
      <c r="E136" s="1"/>
      <c r="F136" s="2"/>
      <c r="G136" s="2"/>
      <c r="H136" s="2"/>
      <c r="I136" s="2"/>
      <c r="J136" s="2"/>
      <c r="K136" s="2"/>
      <c r="L136" s="2"/>
      <c r="M136" s="2"/>
      <c r="N136" s="2"/>
      <c r="O136" s="1"/>
      <c r="P136" s="1"/>
      <c r="Q136" s="1"/>
    </row>
    <row r="137">
      <c r="A137" s="1"/>
      <c r="B137" s="1"/>
      <c r="C137" s="1"/>
      <c r="D137" s="1"/>
      <c r="E137" s="1"/>
      <c r="F137" s="2"/>
      <c r="G137" s="2"/>
      <c r="H137" s="2"/>
      <c r="I137" s="2"/>
      <c r="J137" s="2"/>
      <c r="K137" s="2"/>
      <c r="L137" s="2"/>
      <c r="M137" s="2"/>
      <c r="N137" s="2"/>
      <c r="O137" s="1"/>
      <c r="P137" s="1"/>
      <c r="Q137" s="1"/>
    </row>
    <row r="138">
      <c r="A138" s="1"/>
      <c r="B138" s="1"/>
      <c r="C138" s="1"/>
      <c r="D138" s="1"/>
      <c r="E138" s="1"/>
      <c r="F138" s="2"/>
      <c r="G138" s="2"/>
      <c r="H138" s="2"/>
      <c r="I138" s="2"/>
      <c r="J138" s="2"/>
      <c r="K138" s="2"/>
      <c r="L138" s="2"/>
      <c r="M138" s="2"/>
      <c r="N138" s="2"/>
      <c r="O138" s="1"/>
      <c r="P138" s="1"/>
      <c r="Q138" s="1"/>
    </row>
    <row r="139">
      <c r="A139" s="1"/>
      <c r="B139" s="1"/>
      <c r="C139" s="1"/>
      <c r="D139" s="1"/>
      <c r="E139" s="1"/>
      <c r="F139" s="2"/>
      <c r="G139" s="2"/>
      <c r="H139" s="2"/>
      <c r="I139" s="2"/>
      <c r="J139" s="2"/>
      <c r="K139" s="2"/>
      <c r="L139" s="2"/>
      <c r="M139" s="2"/>
      <c r="N139" s="2"/>
      <c r="O139" s="1"/>
      <c r="P139" s="1"/>
      <c r="Q139" s="1"/>
    </row>
    <row r="140">
      <c r="A140" s="1"/>
      <c r="B140" s="1"/>
      <c r="C140" s="1"/>
      <c r="D140" s="1"/>
      <c r="E140" s="1"/>
      <c r="F140" s="2"/>
      <c r="G140" s="2"/>
      <c r="H140" s="2"/>
      <c r="I140" s="2"/>
      <c r="J140" s="2"/>
      <c r="K140" s="2"/>
      <c r="L140" s="2"/>
      <c r="M140" s="2"/>
      <c r="N140" s="2"/>
      <c r="O140" s="1"/>
      <c r="P140" s="1"/>
      <c r="Q140" s="1"/>
    </row>
    <row r="141">
      <c r="A141" s="1"/>
      <c r="B141" s="1"/>
      <c r="C141" s="1"/>
      <c r="D141" s="1"/>
      <c r="E141" s="1"/>
      <c r="F141" s="2"/>
      <c r="G141" s="2"/>
      <c r="H141" s="2"/>
      <c r="I141" s="2"/>
      <c r="J141" s="2"/>
      <c r="K141" s="2"/>
      <c r="L141" s="2"/>
      <c r="M141" s="2"/>
      <c r="N141" s="2"/>
      <c r="O141" s="1"/>
      <c r="P141" s="1"/>
      <c r="Q141" s="1"/>
    </row>
    <row r="142">
      <c r="A142" s="1"/>
      <c r="B142" s="1"/>
      <c r="C142" s="1"/>
      <c r="D142" s="1"/>
      <c r="E142" s="1"/>
      <c r="F142" s="2"/>
      <c r="G142" s="2"/>
      <c r="H142" s="2"/>
      <c r="I142" s="2"/>
      <c r="J142" s="2"/>
      <c r="K142" s="2"/>
      <c r="L142" s="2"/>
      <c r="M142" s="2"/>
      <c r="N142" s="2"/>
      <c r="O142" s="1"/>
      <c r="P142" s="1"/>
      <c r="Q142" s="1"/>
    </row>
    <row r="143">
      <c r="A143" s="1"/>
      <c r="B143" s="1"/>
      <c r="C143" s="1"/>
      <c r="D143" s="1"/>
      <c r="E143" s="1"/>
      <c r="F143" s="2"/>
      <c r="G143" s="2"/>
      <c r="H143" s="2"/>
      <c r="I143" s="2"/>
      <c r="J143" s="2"/>
      <c r="K143" s="2"/>
      <c r="L143" s="2"/>
      <c r="M143" s="2"/>
      <c r="N143" s="2"/>
      <c r="O143" s="1"/>
      <c r="P143" s="1"/>
      <c r="Q143" s="1"/>
    </row>
    <row r="144">
      <c r="A144" s="1"/>
      <c r="B144" s="1"/>
      <c r="C144" s="1"/>
      <c r="D144" s="1"/>
      <c r="E144" s="1"/>
      <c r="F144" s="2"/>
      <c r="G144" s="2"/>
      <c r="H144" s="2"/>
      <c r="I144" s="2"/>
      <c r="J144" s="2"/>
      <c r="K144" s="2"/>
      <c r="L144" s="2"/>
      <c r="M144" s="2"/>
      <c r="N144" s="2"/>
      <c r="O144" s="1"/>
      <c r="P144" s="1"/>
      <c r="Q144" s="1"/>
    </row>
    <row r="145">
      <c r="A145" s="1"/>
      <c r="B145" s="1"/>
      <c r="C145" s="1"/>
      <c r="D145" s="1"/>
      <c r="E145" s="1"/>
      <c r="F145" s="2"/>
      <c r="G145" s="2"/>
      <c r="H145" s="2"/>
      <c r="I145" s="2"/>
      <c r="J145" s="2"/>
      <c r="K145" s="2"/>
      <c r="L145" s="2"/>
      <c r="M145" s="2"/>
      <c r="N145" s="2"/>
      <c r="O145" s="1"/>
      <c r="P145" s="1"/>
      <c r="Q145" s="1"/>
    </row>
    <row r="146">
      <c r="A146" s="1"/>
      <c r="B146" s="1"/>
      <c r="C146" s="1"/>
      <c r="D146" s="1"/>
      <c r="E146" s="1"/>
      <c r="F146" s="2"/>
      <c r="G146" s="2"/>
      <c r="H146" s="2"/>
      <c r="I146" s="2"/>
      <c r="J146" s="2"/>
      <c r="K146" s="2"/>
      <c r="L146" s="2"/>
      <c r="M146" s="2"/>
      <c r="N146" s="2"/>
      <c r="O146" s="1"/>
      <c r="P146" s="1"/>
      <c r="Q146" s="1"/>
    </row>
    <row r="147">
      <c r="A147" s="1"/>
      <c r="B147" s="1"/>
      <c r="C147" s="1"/>
      <c r="D147" s="1"/>
      <c r="E147" s="1"/>
      <c r="F147" s="2"/>
      <c r="G147" s="2"/>
      <c r="H147" s="2"/>
      <c r="I147" s="2"/>
      <c r="J147" s="2"/>
      <c r="K147" s="2"/>
      <c r="L147" s="2"/>
      <c r="M147" s="2"/>
      <c r="N147" s="2"/>
      <c r="O147" s="1"/>
      <c r="P147" s="1"/>
      <c r="Q147" s="1"/>
    </row>
    <row r="148">
      <c r="A148" s="1"/>
      <c r="B148" s="1"/>
      <c r="C148" s="1"/>
      <c r="D148" s="1"/>
      <c r="E148" s="1"/>
      <c r="F148" s="2"/>
      <c r="G148" s="2"/>
      <c r="H148" s="2"/>
      <c r="I148" s="2"/>
      <c r="J148" s="2"/>
      <c r="K148" s="2"/>
      <c r="L148" s="2"/>
      <c r="M148" s="2"/>
      <c r="N148" s="2"/>
      <c r="O148" s="1"/>
      <c r="P148" s="1"/>
      <c r="Q148" s="1"/>
    </row>
    <row r="149">
      <c r="A149" s="1"/>
      <c r="B149" s="1"/>
      <c r="C149" s="1"/>
      <c r="D149" s="1"/>
      <c r="E149" s="1"/>
      <c r="F149" s="2"/>
      <c r="G149" s="2"/>
      <c r="H149" s="2"/>
      <c r="I149" s="2"/>
      <c r="J149" s="2"/>
      <c r="K149" s="2"/>
      <c r="L149" s="2"/>
      <c r="M149" s="2"/>
      <c r="N149" s="2"/>
      <c r="O149" s="1"/>
      <c r="P149" s="1"/>
      <c r="Q149" s="1"/>
    </row>
    <row r="150">
      <c r="A150" s="1"/>
      <c r="B150" s="1"/>
      <c r="C150" s="1"/>
      <c r="D150" s="1"/>
      <c r="E150" s="1"/>
      <c r="F150" s="2"/>
      <c r="G150" s="2"/>
      <c r="H150" s="2"/>
      <c r="I150" s="2"/>
      <c r="J150" s="2"/>
      <c r="K150" s="2"/>
      <c r="L150" s="2"/>
      <c r="M150" s="2"/>
      <c r="N150" s="2"/>
      <c r="O150" s="1"/>
      <c r="P150" s="1"/>
      <c r="Q150" s="1"/>
    </row>
    <row r="151">
      <c r="A151" s="1"/>
      <c r="B151" s="1"/>
      <c r="C151" s="1"/>
      <c r="D151" s="1"/>
      <c r="E151" s="1"/>
      <c r="F151" s="2"/>
      <c r="G151" s="2"/>
      <c r="H151" s="2"/>
      <c r="I151" s="2"/>
      <c r="J151" s="2"/>
      <c r="K151" s="2"/>
      <c r="L151" s="2"/>
      <c r="M151" s="2"/>
      <c r="N151" s="2"/>
      <c r="O151" s="1"/>
      <c r="P151" s="1"/>
      <c r="Q151" s="1"/>
    </row>
    <row r="152">
      <c r="A152" s="1"/>
      <c r="B152" s="1"/>
      <c r="C152" s="1"/>
      <c r="D152" s="1"/>
      <c r="E152" s="1"/>
      <c r="F152" s="2"/>
      <c r="G152" s="2"/>
      <c r="H152" s="2"/>
      <c r="I152" s="2"/>
      <c r="J152" s="2"/>
      <c r="K152" s="2"/>
      <c r="L152" s="2"/>
      <c r="M152" s="2"/>
      <c r="N152" s="2"/>
      <c r="O152" s="1"/>
      <c r="P152" s="1"/>
      <c r="Q152" s="1"/>
    </row>
    <row r="153">
      <c r="A153" s="1"/>
      <c r="B153" s="1"/>
      <c r="C153" s="1"/>
      <c r="D153" s="1"/>
      <c r="E153" s="1"/>
      <c r="F153" s="2"/>
      <c r="G153" s="2"/>
      <c r="H153" s="2"/>
      <c r="I153" s="2"/>
      <c r="J153" s="2"/>
      <c r="K153" s="2"/>
      <c r="L153" s="2"/>
      <c r="M153" s="2"/>
      <c r="N153" s="2"/>
      <c r="O153" s="1"/>
      <c r="P153" s="1"/>
      <c r="Q153" s="1"/>
    </row>
    <row r="154">
      <c r="A154" s="1"/>
      <c r="B154" s="1"/>
      <c r="C154" s="1"/>
      <c r="D154" s="1"/>
      <c r="E154" s="1"/>
      <c r="F154" s="2"/>
      <c r="G154" s="2"/>
      <c r="H154" s="2"/>
      <c r="I154" s="2"/>
      <c r="J154" s="2"/>
      <c r="K154" s="2"/>
      <c r="L154" s="2"/>
      <c r="M154" s="2"/>
      <c r="N154" s="2"/>
      <c r="O154" s="1"/>
      <c r="P154" s="1"/>
      <c r="Q154" s="1"/>
    </row>
    <row r="155">
      <c r="A155" s="1"/>
      <c r="B155" s="1"/>
      <c r="C155" s="1"/>
      <c r="D155" s="1"/>
      <c r="E155" s="1"/>
      <c r="F155" s="2"/>
      <c r="G155" s="2"/>
      <c r="H155" s="2"/>
      <c r="I155" s="2"/>
      <c r="J155" s="2"/>
      <c r="K155" s="2"/>
      <c r="L155" s="2"/>
      <c r="M155" s="2"/>
      <c r="N155" s="2"/>
      <c r="O155" s="1"/>
      <c r="P155" s="1"/>
      <c r="Q155" s="1"/>
    </row>
    <row r="156">
      <c r="A156" s="1"/>
      <c r="B156" s="1"/>
      <c r="C156" s="1"/>
      <c r="D156" s="1"/>
      <c r="E156" s="1"/>
      <c r="F156" s="2"/>
      <c r="G156" s="2"/>
      <c r="H156" s="2"/>
      <c r="I156" s="2"/>
      <c r="J156" s="2"/>
      <c r="K156" s="2"/>
      <c r="L156" s="2"/>
      <c r="M156" s="2"/>
      <c r="N156" s="2"/>
      <c r="O156" s="1"/>
      <c r="P156" s="1"/>
      <c r="Q156" s="1"/>
    </row>
    <row r="157">
      <c r="A157" s="1"/>
      <c r="B157" s="1"/>
      <c r="C157" s="1"/>
      <c r="D157" s="1"/>
      <c r="E157" s="1"/>
      <c r="F157" s="2"/>
      <c r="G157" s="2"/>
      <c r="H157" s="2"/>
      <c r="I157" s="2"/>
      <c r="J157" s="2"/>
      <c r="K157" s="2"/>
      <c r="L157" s="2"/>
      <c r="M157" s="2"/>
      <c r="N157" s="2"/>
      <c r="O157" s="1"/>
      <c r="P157" s="1"/>
      <c r="Q157" s="1"/>
    </row>
    <row r="158">
      <c r="A158" s="1"/>
      <c r="B158" s="1"/>
      <c r="C158" s="1"/>
      <c r="D158" s="1"/>
      <c r="E158" s="1"/>
      <c r="F158" s="2"/>
      <c r="G158" s="2"/>
      <c r="H158" s="2"/>
      <c r="I158" s="2"/>
      <c r="J158" s="2"/>
      <c r="K158" s="2"/>
      <c r="L158" s="2"/>
      <c r="M158" s="2"/>
      <c r="N158" s="2"/>
      <c r="O158" s="1"/>
      <c r="P158" s="1"/>
      <c r="Q158" s="1"/>
    </row>
    <row r="159">
      <c r="A159" s="1"/>
      <c r="B159" s="1"/>
      <c r="C159" s="1"/>
      <c r="D159" s="1"/>
      <c r="E159" s="1"/>
      <c r="F159" s="2"/>
      <c r="G159" s="2"/>
      <c r="H159" s="2"/>
      <c r="I159" s="2"/>
      <c r="J159" s="2"/>
      <c r="K159" s="2"/>
      <c r="L159" s="2"/>
      <c r="M159" s="2"/>
      <c r="N159" s="2"/>
      <c r="O159" s="1"/>
      <c r="P159" s="1"/>
      <c r="Q159" s="1"/>
    </row>
    <row r="160">
      <c r="A160" s="1"/>
      <c r="B160" s="1"/>
      <c r="C160" s="1"/>
      <c r="D160" s="1"/>
      <c r="E160" s="1"/>
      <c r="F160" s="2"/>
      <c r="G160" s="2"/>
      <c r="H160" s="2"/>
      <c r="I160" s="2"/>
      <c r="J160" s="2"/>
      <c r="K160" s="2"/>
      <c r="L160" s="2"/>
      <c r="M160" s="2"/>
      <c r="N160" s="2"/>
      <c r="O160" s="1"/>
      <c r="P160" s="1"/>
      <c r="Q160" s="1"/>
    </row>
    <row r="161">
      <c r="A161" s="1"/>
      <c r="B161" s="1"/>
      <c r="C161" s="1"/>
      <c r="D161" s="1"/>
      <c r="E161" s="1"/>
      <c r="F161" s="2"/>
      <c r="G161" s="2"/>
      <c r="H161" s="2"/>
      <c r="I161" s="2"/>
      <c r="J161" s="2"/>
      <c r="K161" s="2"/>
      <c r="L161" s="2"/>
      <c r="M161" s="2"/>
      <c r="N161" s="2"/>
      <c r="O161" s="1"/>
      <c r="P161" s="1"/>
      <c r="Q161" s="1"/>
    </row>
    <row r="162">
      <c r="A162" s="1"/>
      <c r="B162" s="1"/>
      <c r="C162" s="1"/>
      <c r="D162" s="1"/>
      <c r="E162" s="1"/>
      <c r="F162" s="2"/>
      <c r="G162" s="2"/>
      <c r="H162" s="2"/>
      <c r="I162" s="2"/>
      <c r="J162" s="2"/>
      <c r="K162" s="2"/>
      <c r="L162" s="2"/>
      <c r="M162" s="2"/>
      <c r="N162" s="2"/>
      <c r="O162" s="1"/>
      <c r="P162" s="1"/>
      <c r="Q162" s="1"/>
    </row>
    <row r="163">
      <c r="A163" s="1"/>
      <c r="B163" s="1"/>
      <c r="C163" s="1"/>
      <c r="D163" s="1"/>
      <c r="E163" s="1"/>
      <c r="F163" s="2"/>
      <c r="G163" s="2"/>
      <c r="H163" s="2"/>
      <c r="I163" s="2"/>
      <c r="J163" s="2"/>
      <c r="K163" s="2"/>
      <c r="L163" s="2"/>
      <c r="M163" s="2"/>
      <c r="N163" s="2"/>
      <c r="O163" s="1"/>
      <c r="P163" s="1"/>
      <c r="Q163" s="1"/>
    </row>
    <row r="164">
      <c r="A164" s="1"/>
      <c r="B164" s="1"/>
      <c r="C164" s="1"/>
      <c r="D164" s="1"/>
      <c r="E164" s="1"/>
      <c r="F164" s="2"/>
      <c r="G164" s="2"/>
      <c r="H164" s="2"/>
      <c r="I164" s="2"/>
      <c r="J164" s="2"/>
      <c r="K164" s="2"/>
      <c r="L164" s="2"/>
      <c r="M164" s="2"/>
      <c r="N164" s="2"/>
      <c r="O164" s="1"/>
      <c r="P164" s="1"/>
      <c r="Q164" s="1"/>
    </row>
    <row r="165">
      <c r="A165" s="1"/>
      <c r="B165" s="1"/>
      <c r="C165" s="1"/>
      <c r="D165" s="1"/>
      <c r="E165" s="1"/>
      <c r="F165" s="2"/>
      <c r="G165" s="2"/>
      <c r="H165" s="2"/>
      <c r="I165" s="2"/>
      <c r="J165" s="2"/>
      <c r="K165" s="2"/>
      <c r="L165" s="2"/>
      <c r="M165" s="2"/>
      <c r="N165" s="2"/>
      <c r="O165" s="1"/>
      <c r="P165" s="1"/>
      <c r="Q165" s="1"/>
    </row>
    <row r="166">
      <c r="A166" s="1"/>
      <c r="B166" s="1"/>
      <c r="C166" s="1"/>
      <c r="D166" s="1"/>
      <c r="E166" s="1"/>
      <c r="F166" s="2"/>
      <c r="G166" s="2"/>
      <c r="H166" s="2"/>
      <c r="I166" s="2"/>
      <c r="J166" s="2"/>
      <c r="K166" s="2"/>
      <c r="L166" s="2"/>
      <c r="M166" s="2"/>
      <c r="N166" s="2"/>
      <c r="O166" s="1"/>
      <c r="P166" s="1"/>
      <c r="Q166" s="1"/>
    </row>
    <row r="167">
      <c r="A167" s="1"/>
      <c r="B167" s="1"/>
      <c r="C167" s="1"/>
      <c r="D167" s="1"/>
      <c r="E167" s="1"/>
      <c r="F167" s="2"/>
      <c r="G167" s="2"/>
      <c r="H167" s="2"/>
      <c r="I167" s="2"/>
      <c r="J167" s="2"/>
      <c r="K167" s="2"/>
      <c r="L167" s="2"/>
      <c r="M167" s="2"/>
      <c r="N167" s="2"/>
      <c r="O167" s="1"/>
      <c r="P167" s="1"/>
      <c r="Q167" s="1"/>
    </row>
    <row r="168">
      <c r="A168" s="1"/>
      <c r="B168" s="1"/>
      <c r="C168" s="1"/>
      <c r="D168" s="1"/>
      <c r="E168" s="1"/>
      <c r="F168" s="2"/>
      <c r="G168" s="2"/>
      <c r="H168" s="2"/>
      <c r="I168" s="2"/>
      <c r="J168" s="2"/>
      <c r="K168" s="2"/>
      <c r="L168" s="2"/>
      <c r="M168" s="2"/>
      <c r="N168" s="2"/>
      <c r="O168" s="1"/>
      <c r="P168" s="1"/>
      <c r="Q168" s="1"/>
    </row>
    <row r="169">
      <c r="A169" s="1"/>
      <c r="B169" s="1"/>
      <c r="C169" s="1"/>
      <c r="D169" s="1"/>
      <c r="E169" s="1"/>
      <c r="F169" s="2"/>
      <c r="G169" s="2"/>
      <c r="H169" s="2"/>
      <c r="I169" s="2"/>
      <c r="J169" s="2"/>
      <c r="K169" s="2"/>
      <c r="L169" s="2"/>
      <c r="M169" s="2"/>
      <c r="N169" s="2"/>
      <c r="O169" s="1"/>
      <c r="P169" s="1"/>
      <c r="Q169" s="1"/>
    </row>
    <row r="170">
      <c r="A170" s="1"/>
      <c r="B170" s="1"/>
      <c r="C170" s="1"/>
      <c r="D170" s="1"/>
      <c r="E170" s="1"/>
      <c r="F170" s="2"/>
      <c r="G170" s="2"/>
      <c r="H170" s="2"/>
      <c r="I170" s="2"/>
      <c r="J170" s="2"/>
      <c r="K170" s="2"/>
      <c r="L170" s="2"/>
      <c r="M170" s="2"/>
      <c r="N170" s="2"/>
      <c r="O170" s="1"/>
      <c r="P170" s="1"/>
      <c r="Q170" s="1"/>
    </row>
    <row r="171">
      <c r="A171" s="1"/>
      <c r="B171" s="1"/>
      <c r="C171" s="1"/>
      <c r="D171" s="1"/>
      <c r="E171" s="1"/>
      <c r="F171" s="2"/>
      <c r="G171" s="2"/>
      <c r="H171" s="2"/>
      <c r="I171" s="2"/>
      <c r="J171" s="2"/>
      <c r="K171" s="2"/>
      <c r="L171" s="2"/>
      <c r="M171" s="2"/>
      <c r="N171" s="2"/>
      <c r="O171" s="1"/>
      <c r="P171" s="1"/>
      <c r="Q171" s="1"/>
    </row>
    <row r="172">
      <c r="A172" s="1"/>
      <c r="B172" s="1"/>
      <c r="C172" s="1"/>
      <c r="D172" s="1"/>
      <c r="E172" s="1"/>
      <c r="F172" s="2"/>
      <c r="G172" s="2"/>
      <c r="H172" s="2"/>
      <c r="I172" s="2"/>
      <c r="J172" s="2"/>
      <c r="K172" s="2"/>
      <c r="L172" s="2"/>
      <c r="M172" s="2"/>
      <c r="N172" s="2"/>
      <c r="O172" s="1"/>
      <c r="P172" s="1"/>
      <c r="Q172" s="1"/>
    </row>
    <row r="173">
      <c r="A173" s="1"/>
      <c r="B173" s="1"/>
      <c r="C173" s="1"/>
      <c r="D173" s="1"/>
      <c r="E173" s="1"/>
      <c r="F173" s="2"/>
      <c r="G173" s="2"/>
      <c r="H173" s="2"/>
      <c r="I173" s="2"/>
      <c r="J173" s="2"/>
      <c r="K173" s="2"/>
      <c r="L173" s="2"/>
      <c r="M173" s="2"/>
      <c r="N173" s="2"/>
      <c r="O173" s="1"/>
      <c r="P173" s="1"/>
      <c r="Q173" s="1"/>
    </row>
    <row r="174">
      <c r="A174" s="1"/>
      <c r="B174" s="1"/>
      <c r="C174" s="1"/>
      <c r="D174" s="1"/>
      <c r="E174" s="1"/>
      <c r="F174" s="2"/>
      <c r="G174" s="2"/>
      <c r="H174" s="2"/>
      <c r="I174" s="2"/>
      <c r="J174" s="2"/>
      <c r="K174" s="2"/>
      <c r="L174" s="2"/>
      <c r="M174" s="2"/>
      <c r="N174" s="2"/>
      <c r="O174" s="1"/>
      <c r="P174" s="1"/>
      <c r="Q174" s="1"/>
    </row>
    <row r="175">
      <c r="A175" s="1"/>
      <c r="B175" s="1"/>
      <c r="C175" s="1"/>
      <c r="D175" s="1"/>
      <c r="E175" s="1"/>
      <c r="F175" s="2"/>
      <c r="G175" s="2"/>
      <c r="H175" s="2"/>
      <c r="I175" s="2"/>
      <c r="J175" s="2"/>
      <c r="K175" s="2"/>
      <c r="L175" s="2"/>
      <c r="M175" s="2"/>
      <c r="N175" s="2"/>
      <c r="O175" s="1"/>
      <c r="P175" s="1"/>
      <c r="Q175" s="1"/>
    </row>
    <row r="176">
      <c r="A176" s="1"/>
      <c r="B176" s="1"/>
      <c r="C176" s="1"/>
      <c r="D176" s="1"/>
      <c r="E176" s="1"/>
      <c r="F176" s="2"/>
      <c r="G176" s="2"/>
      <c r="H176" s="2"/>
      <c r="I176" s="2"/>
      <c r="J176" s="2"/>
      <c r="K176" s="2"/>
      <c r="L176" s="2"/>
      <c r="M176" s="2"/>
      <c r="N176" s="2"/>
      <c r="O176" s="1"/>
      <c r="P176" s="1"/>
      <c r="Q176" s="1"/>
    </row>
    <row r="177">
      <c r="A177" s="1"/>
      <c r="B177" s="1"/>
      <c r="C177" s="1"/>
      <c r="D177" s="1"/>
      <c r="E177" s="1"/>
      <c r="F177" s="2"/>
      <c r="G177" s="2"/>
      <c r="H177" s="2"/>
      <c r="I177" s="2"/>
      <c r="J177" s="2"/>
      <c r="K177" s="2"/>
      <c r="L177" s="2"/>
      <c r="M177" s="2"/>
      <c r="N177" s="2"/>
      <c r="O177" s="1"/>
      <c r="P177" s="1"/>
      <c r="Q177" s="1"/>
    </row>
    <row r="178">
      <c r="A178" s="1"/>
      <c r="B178" s="1"/>
      <c r="C178" s="1"/>
      <c r="D178" s="1"/>
      <c r="E178" s="1"/>
      <c r="F178" s="2"/>
      <c r="G178" s="2"/>
      <c r="H178" s="2"/>
      <c r="I178" s="2"/>
      <c r="J178" s="2"/>
      <c r="K178" s="2"/>
      <c r="L178" s="2"/>
      <c r="M178" s="2"/>
      <c r="N178" s="2"/>
      <c r="O178" s="1"/>
      <c r="P178" s="1"/>
      <c r="Q178" s="1"/>
    </row>
    <row r="179">
      <c r="A179" s="1"/>
      <c r="B179" s="1"/>
      <c r="C179" s="1"/>
      <c r="D179" s="1"/>
      <c r="E179" s="1"/>
      <c r="F179" s="2"/>
      <c r="G179" s="2"/>
      <c r="H179" s="2"/>
      <c r="I179" s="2"/>
      <c r="J179" s="2"/>
      <c r="K179" s="2"/>
      <c r="L179" s="2"/>
      <c r="M179" s="2"/>
      <c r="N179" s="2"/>
      <c r="O179" s="1"/>
      <c r="P179" s="1"/>
      <c r="Q179" s="1"/>
    </row>
    <row r="180">
      <c r="A180" s="1"/>
      <c r="B180" s="1"/>
      <c r="C180" s="1"/>
      <c r="D180" s="1"/>
      <c r="E180" s="1"/>
      <c r="F180" s="2"/>
      <c r="G180" s="2"/>
      <c r="H180" s="2"/>
      <c r="I180" s="2"/>
      <c r="J180" s="2"/>
      <c r="K180" s="2"/>
      <c r="L180" s="2"/>
      <c r="M180" s="2"/>
      <c r="N180" s="2"/>
      <c r="O180" s="1"/>
      <c r="P180" s="1"/>
      <c r="Q180" s="1"/>
    </row>
    <row r="181">
      <c r="A181" s="1"/>
      <c r="B181" s="1"/>
      <c r="C181" s="1"/>
      <c r="D181" s="1"/>
      <c r="E181" s="1"/>
      <c r="F181" s="2"/>
      <c r="G181" s="2"/>
      <c r="H181" s="2"/>
      <c r="I181" s="2"/>
      <c r="J181" s="2"/>
      <c r="K181" s="2"/>
      <c r="L181" s="2"/>
      <c r="M181" s="2"/>
      <c r="N181" s="2"/>
      <c r="O181" s="1"/>
      <c r="P181" s="1"/>
      <c r="Q181" s="1"/>
    </row>
    <row r="182">
      <c r="A182" s="1"/>
      <c r="B182" s="1"/>
      <c r="C182" s="1"/>
      <c r="D182" s="1"/>
      <c r="E182" s="1"/>
      <c r="F182" s="2"/>
      <c r="G182" s="2"/>
      <c r="H182" s="2"/>
      <c r="I182" s="2"/>
      <c r="J182" s="2"/>
      <c r="K182" s="2"/>
      <c r="L182" s="2"/>
      <c r="M182" s="2"/>
      <c r="N182" s="2"/>
      <c r="O182" s="1"/>
      <c r="P182" s="1"/>
      <c r="Q182" s="1"/>
    </row>
    <row r="183">
      <c r="A183" s="1"/>
      <c r="B183" s="1"/>
      <c r="C183" s="1"/>
      <c r="D183" s="1"/>
      <c r="E183" s="1"/>
      <c r="F183" s="2"/>
      <c r="G183" s="2"/>
      <c r="H183" s="2"/>
      <c r="I183" s="2"/>
      <c r="J183" s="2"/>
      <c r="K183" s="2"/>
      <c r="L183" s="2"/>
      <c r="M183" s="2"/>
      <c r="N183" s="2"/>
      <c r="O183" s="1"/>
      <c r="P183" s="1"/>
      <c r="Q183" s="1"/>
    </row>
    <row r="184">
      <c r="A184" s="1"/>
      <c r="B184" s="1"/>
      <c r="C184" s="1"/>
      <c r="D184" s="1"/>
      <c r="E184" s="1"/>
      <c r="F184" s="2"/>
      <c r="G184" s="2"/>
      <c r="H184" s="2"/>
      <c r="I184" s="2"/>
      <c r="J184" s="2"/>
      <c r="K184" s="2"/>
      <c r="L184" s="2"/>
      <c r="M184" s="2"/>
      <c r="N184" s="2"/>
      <c r="O184" s="1"/>
      <c r="P184" s="1"/>
      <c r="Q184" s="1"/>
    </row>
    <row r="185">
      <c r="A185" s="1"/>
      <c r="B185" s="1"/>
      <c r="C185" s="1"/>
      <c r="D185" s="1"/>
      <c r="E185" s="1"/>
      <c r="F185" s="2"/>
      <c r="G185" s="2"/>
      <c r="H185" s="2"/>
      <c r="I185" s="2"/>
      <c r="J185" s="2"/>
      <c r="K185" s="2"/>
      <c r="L185" s="2"/>
      <c r="M185" s="2"/>
      <c r="N185" s="2"/>
      <c r="O185" s="1"/>
      <c r="P185" s="1"/>
      <c r="Q185" s="1"/>
    </row>
    <row r="186">
      <c r="A186" s="1"/>
      <c r="B186" s="1"/>
      <c r="C186" s="1"/>
      <c r="D186" s="1"/>
      <c r="E186" s="1"/>
      <c r="F186" s="2"/>
      <c r="G186" s="2"/>
      <c r="H186" s="2"/>
      <c r="I186" s="2"/>
      <c r="J186" s="2"/>
      <c r="K186" s="2"/>
      <c r="L186" s="2"/>
      <c r="M186" s="2"/>
      <c r="N186" s="2"/>
      <c r="O186" s="1"/>
      <c r="P186" s="1"/>
      <c r="Q186" s="1"/>
    </row>
    <row r="187">
      <c r="A187" s="1"/>
      <c r="B187" s="1"/>
      <c r="C187" s="1"/>
      <c r="D187" s="1"/>
      <c r="E187" s="1"/>
      <c r="F187" s="2"/>
      <c r="G187" s="2"/>
      <c r="H187" s="2"/>
      <c r="I187" s="2"/>
      <c r="J187" s="2"/>
      <c r="K187" s="2"/>
      <c r="L187" s="2"/>
      <c r="M187" s="2"/>
      <c r="N187" s="2"/>
      <c r="O187" s="1"/>
      <c r="P187" s="1"/>
      <c r="Q187" s="1"/>
    </row>
    <row r="188">
      <c r="A188" s="1"/>
      <c r="B188" s="1"/>
      <c r="C188" s="1"/>
      <c r="D188" s="1"/>
      <c r="E188" s="1"/>
      <c r="F188" s="2"/>
      <c r="G188" s="2"/>
      <c r="H188" s="2"/>
      <c r="I188" s="2"/>
      <c r="J188" s="2"/>
      <c r="K188" s="2"/>
      <c r="L188" s="2"/>
      <c r="M188" s="2"/>
      <c r="N188" s="2"/>
      <c r="O188" s="1"/>
      <c r="P188" s="1"/>
      <c r="Q188" s="1"/>
    </row>
    <row r="189">
      <c r="A189" s="1"/>
      <c r="B189" s="1"/>
      <c r="C189" s="1"/>
      <c r="D189" s="1"/>
      <c r="E189" s="1"/>
      <c r="F189" s="2"/>
      <c r="G189" s="2"/>
      <c r="H189" s="2"/>
      <c r="I189" s="2"/>
      <c r="J189" s="2"/>
      <c r="K189" s="2"/>
      <c r="L189" s="2"/>
      <c r="M189" s="2"/>
      <c r="N189" s="2"/>
      <c r="O189" s="1"/>
      <c r="P189" s="1"/>
      <c r="Q189" s="1"/>
    </row>
    <row r="190">
      <c r="A190" s="1"/>
      <c r="B190" s="1"/>
      <c r="C190" s="1"/>
      <c r="D190" s="1"/>
      <c r="E190" s="1"/>
      <c r="F190" s="2"/>
      <c r="G190" s="2"/>
      <c r="H190" s="2"/>
      <c r="I190" s="2"/>
      <c r="J190" s="2"/>
      <c r="K190" s="2"/>
      <c r="L190" s="2"/>
      <c r="M190" s="2"/>
      <c r="N190" s="2"/>
      <c r="O190" s="1"/>
      <c r="P190" s="1"/>
      <c r="Q190" s="1"/>
    </row>
    <row r="191">
      <c r="A191" s="1"/>
      <c r="B191" s="1"/>
      <c r="C191" s="1"/>
      <c r="D191" s="1"/>
      <c r="E191" s="1"/>
      <c r="F191" s="2"/>
      <c r="G191" s="2"/>
      <c r="H191" s="2"/>
      <c r="I191" s="2"/>
      <c r="J191" s="2"/>
      <c r="K191" s="2"/>
      <c r="L191" s="2"/>
      <c r="M191" s="2"/>
      <c r="N191" s="2"/>
      <c r="O191" s="1"/>
      <c r="P191" s="1"/>
      <c r="Q191" s="1"/>
    </row>
    <row r="192">
      <c r="A192" s="1"/>
      <c r="B192" s="1"/>
      <c r="C192" s="1"/>
      <c r="D192" s="1"/>
      <c r="E192" s="1"/>
      <c r="F192" s="2"/>
      <c r="G192" s="2"/>
      <c r="H192" s="2"/>
      <c r="I192" s="2"/>
      <c r="J192" s="2"/>
      <c r="K192" s="2"/>
      <c r="L192" s="2"/>
      <c r="M192" s="2"/>
      <c r="N192" s="2"/>
      <c r="O192" s="1"/>
      <c r="P192" s="1"/>
      <c r="Q192" s="1"/>
    </row>
    <row r="193">
      <c r="A193" s="1"/>
      <c r="B193" s="1"/>
      <c r="C193" s="1"/>
      <c r="D193" s="1"/>
      <c r="E193" s="1"/>
      <c r="F193" s="2"/>
      <c r="G193" s="2"/>
      <c r="H193" s="2"/>
      <c r="I193" s="2"/>
      <c r="J193" s="2"/>
      <c r="K193" s="2"/>
      <c r="L193" s="2"/>
      <c r="M193" s="2"/>
      <c r="N193" s="2"/>
      <c r="O193" s="1"/>
      <c r="P193" s="1"/>
      <c r="Q193" s="1"/>
    </row>
    <row r="194">
      <c r="A194" s="1"/>
      <c r="B194" s="1"/>
      <c r="C194" s="1"/>
      <c r="D194" s="1"/>
      <c r="E194" s="1"/>
      <c r="F194" s="2"/>
      <c r="G194" s="2"/>
      <c r="H194" s="2"/>
      <c r="I194" s="2"/>
      <c r="J194" s="2"/>
      <c r="K194" s="2"/>
      <c r="L194" s="2"/>
      <c r="M194" s="2"/>
      <c r="N194" s="2"/>
      <c r="O194" s="1"/>
      <c r="P194" s="1"/>
      <c r="Q194" s="1"/>
    </row>
    <row r="195">
      <c r="A195" s="1"/>
      <c r="B195" s="1"/>
      <c r="C195" s="1"/>
      <c r="D195" s="1"/>
      <c r="E195" s="1"/>
      <c r="F195" s="2"/>
      <c r="G195" s="2"/>
      <c r="H195" s="2"/>
      <c r="I195" s="2"/>
      <c r="J195" s="2"/>
      <c r="K195" s="2"/>
      <c r="L195" s="2"/>
      <c r="M195" s="2"/>
      <c r="N195" s="2"/>
      <c r="O195" s="1"/>
      <c r="P195" s="1"/>
      <c r="Q195" s="1"/>
    </row>
    <row r="196">
      <c r="A196" s="1"/>
      <c r="B196" s="1"/>
      <c r="C196" s="1"/>
      <c r="D196" s="1"/>
      <c r="E196" s="1"/>
      <c r="F196" s="2"/>
      <c r="G196" s="2"/>
      <c r="H196" s="2"/>
      <c r="I196" s="2"/>
      <c r="J196" s="2"/>
      <c r="K196" s="2"/>
      <c r="L196" s="2"/>
      <c r="M196" s="2"/>
      <c r="N196" s="2"/>
      <c r="O196" s="1"/>
      <c r="P196" s="1"/>
      <c r="Q196" s="1"/>
    </row>
    <row r="197">
      <c r="A197" s="1"/>
      <c r="B197" s="1"/>
      <c r="C197" s="1"/>
      <c r="D197" s="1"/>
      <c r="E197" s="1"/>
      <c r="F197" s="2"/>
      <c r="G197" s="2"/>
      <c r="H197" s="2"/>
      <c r="I197" s="2"/>
      <c r="J197" s="2"/>
      <c r="K197" s="2"/>
      <c r="L197" s="2"/>
      <c r="M197" s="2"/>
      <c r="N197" s="2"/>
      <c r="O197" s="1"/>
      <c r="P197" s="1"/>
      <c r="Q197" s="1"/>
    </row>
    <row r="198">
      <c r="A198" s="1"/>
      <c r="B198" s="1"/>
      <c r="C198" s="1"/>
      <c r="D198" s="1"/>
      <c r="E198" s="1"/>
      <c r="F198" s="2"/>
      <c r="G198" s="2"/>
      <c r="H198" s="2"/>
      <c r="I198" s="2"/>
      <c r="J198" s="2"/>
      <c r="K198" s="2"/>
      <c r="L198" s="2"/>
      <c r="M198" s="2"/>
      <c r="N198" s="2"/>
      <c r="O198" s="1"/>
      <c r="P198" s="1"/>
      <c r="Q198" s="1"/>
    </row>
    <row r="199">
      <c r="A199" s="1"/>
      <c r="B199" s="1"/>
      <c r="C199" s="1"/>
      <c r="D199" s="1"/>
      <c r="E199" s="1"/>
      <c r="F199" s="2"/>
      <c r="G199" s="2"/>
      <c r="H199" s="2"/>
      <c r="I199" s="2"/>
      <c r="J199" s="2"/>
      <c r="K199" s="2"/>
      <c r="L199" s="2"/>
      <c r="M199" s="2"/>
      <c r="N199" s="2"/>
      <c r="O199" s="1"/>
      <c r="P199" s="1"/>
      <c r="Q199" s="1"/>
    </row>
    <row r="200">
      <c r="A200" s="1"/>
      <c r="B200" s="1"/>
      <c r="C200" s="1"/>
      <c r="D200" s="1"/>
      <c r="E200" s="1"/>
      <c r="F200" s="2"/>
      <c r="G200" s="2"/>
      <c r="H200" s="2"/>
      <c r="I200" s="2"/>
      <c r="J200" s="2"/>
      <c r="K200" s="2"/>
      <c r="L200" s="2"/>
      <c r="M200" s="2"/>
      <c r="N200" s="2"/>
      <c r="O200" s="1"/>
      <c r="P200" s="1"/>
      <c r="Q200" s="1"/>
    </row>
    <row r="201">
      <c r="A201" s="1"/>
      <c r="B201" s="1"/>
      <c r="C201" s="1"/>
      <c r="D201" s="1"/>
      <c r="E201" s="1"/>
      <c r="F201" s="2"/>
      <c r="G201" s="2"/>
      <c r="H201" s="2"/>
      <c r="I201" s="2"/>
      <c r="J201" s="2"/>
      <c r="K201" s="2"/>
      <c r="L201" s="2"/>
      <c r="M201" s="2"/>
      <c r="N201" s="2"/>
      <c r="O201" s="1"/>
      <c r="P201" s="1"/>
      <c r="Q201" s="1"/>
    </row>
    <row r="202">
      <c r="A202" s="1"/>
      <c r="B202" s="1"/>
      <c r="C202" s="1"/>
      <c r="D202" s="1"/>
      <c r="E202" s="1"/>
      <c r="F202" s="2"/>
      <c r="G202" s="2"/>
      <c r="H202" s="2"/>
      <c r="I202" s="2"/>
      <c r="J202" s="2"/>
      <c r="K202" s="2"/>
      <c r="L202" s="2"/>
      <c r="M202" s="2"/>
      <c r="N202" s="2"/>
      <c r="O202" s="1"/>
      <c r="P202" s="1"/>
      <c r="Q202" s="1"/>
    </row>
    <row r="203">
      <c r="A203" s="1"/>
      <c r="B203" s="1"/>
      <c r="C203" s="1"/>
      <c r="D203" s="1"/>
      <c r="E203" s="1"/>
      <c r="F203" s="2"/>
      <c r="G203" s="2"/>
      <c r="H203" s="2"/>
      <c r="I203" s="2"/>
      <c r="J203" s="2"/>
      <c r="K203" s="2"/>
      <c r="L203" s="2"/>
      <c r="M203" s="2"/>
      <c r="N203" s="2"/>
      <c r="O203" s="1"/>
      <c r="P203" s="1"/>
      <c r="Q203" s="1"/>
    </row>
    <row r="204">
      <c r="A204" s="1"/>
      <c r="B204" s="1"/>
      <c r="C204" s="1"/>
      <c r="D204" s="1"/>
      <c r="E204" s="1"/>
      <c r="F204" s="2"/>
      <c r="G204" s="2"/>
      <c r="H204" s="2"/>
      <c r="I204" s="2"/>
      <c r="J204" s="2"/>
      <c r="K204" s="2"/>
      <c r="L204" s="2"/>
      <c r="M204" s="2"/>
      <c r="N204" s="2"/>
      <c r="O204" s="1"/>
      <c r="P204" s="1"/>
      <c r="Q204" s="1"/>
    </row>
    <row r="205">
      <c r="A205" s="1"/>
      <c r="B205" s="1"/>
      <c r="C205" s="1"/>
      <c r="D205" s="1"/>
      <c r="E205" s="1"/>
      <c r="F205" s="2"/>
      <c r="G205" s="2"/>
      <c r="H205" s="2"/>
      <c r="I205" s="2"/>
      <c r="J205" s="2"/>
      <c r="K205" s="2"/>
      <c r="L205" s="2"/>
      <c r="M205" s="2"/>
      <c r="N205" s="2"/>
      <c r="O205" s="1"/>
      <c r="P205" s="1"/>
      <c r="Q205" s="1"/>
    </row>
    <row r="206">
      <c r="A206" s="1"/>
      <c r="B206" s="1"/>
      <c r="C206" s="1"/>
      <c r="D206" s="1"/>
      <c r="E206" s="1"/>
      <c r="F206" s="2"/>
      <c r="G206" s="2"/>
      <c r="H206" s="2"/>
      <c r="I206" s="2"/>
      <c r="J206" s="2"/>
      <c r="K206" s="2"/>
      <c r="L206" s="2"/>
      <c r="M206" s="2"/>
      <c r="N206" s="2"/>
      <c r="O206" s="1"/>
      <c r="P206" s="1"/>
      <c r="Q206" s="1"/>
    </row>
    <row r="207">
      <c r="A207" s="1"/>
      <c r="B207" s="1"/>
      <c r="C207" s="1"/>
      <c r="D207" s="1"/>
      <c r="E207" s="1"/>
      <c r="F207" s="2"/>
      <c r="G207" s="2"/>
      <c r="H207" s="2"/>
      <c r="I207" s="2"/>
      <c r="J207" s="2"/>
      <c r="K207" s="2"/>
      <c r="L207" s="2"/>
      <c r="M207" s="2"/>
      <c r="N207" s="2"/>
      <c r="O207" s="1"/>
      <c r="P207" s="1"/>
      <c r="Q207" s="1"/>
    </row>
    <row r="208">
      <c r="A208" s="1"/>
      <c r="B208" s="1"/>
      <c r="C208" s="1"/>
      <c r="D208" s="1"/>
      <c r="E208" s="1"/>
      <c r="F208" s="2"/>
      <c r="G208" s="2"/>
      <c r="H208" s="2"/>
      <c r="I208" s="2"/>
      <c r="J208" s="2"/>
      <c r="K208" s="2"/>
      <c r="L208" s="2"/>
      <c r="M208" s="2"/>
      <c r="N208" s="2"/>
      <c r="O208" s="1"/>
      <c r="P208" s="1"/>
      <c r="Q208" s="1"/>
    </row>
    <row r="209">
      <c r="A209" s="1"/>
      <c r="B209" s="1"/>
      <c r="C209" s="1"/>
      <c r="D209" s="1"/>
      <c r="E209" s="1"/>
      <c r="F209" s="2"/>
      <c r="G209" s="2"/>
      <c r="H209" s="2"/>
      <c r="I209" s="2"/>
      <c r="J209" s="2"/>
      <c r="K209" s="2"/>
      <c r="L209" s="2"/>
      <c r="M209" s="2"/>
      <c r="N209" s="2"/>
      <c r="O209" s="1"/>
      <c r="P209" s="1"/>
      <c r="Q209" s="1"/>
    </row>
    <row r="210">
      <c r="A210" s="1"/>
      <c r="B210" s="1"/>
      <c r="C210" s="1"/>
      <c r="D210" s="1"/>
      <c r="E210" s="1"/>
      <c r="F210" s="2"/>
      <c r="G210" s="2"/>
      <c r="H210" s="2"/>
      <c r="I210" s="2"/>
      <c r="J210" s="2"/>
      <c r="K210" s="2"/>
      <c r="L210" s="2"/>
      <c r="M210" s="2"/>
      <c r="N210" s="2"/>
      <c r="O210" s="1"/>
      <c r="P210" s="1"/>
      <c r="Q210" s="1"/>
    </row>
    <row r="211">
      <c r="A211" s="1"/>
      <c r="B211" s="1"/>
      <c r="C211" s="1"/>
      <c r="D211" s="1"/>
      <c r="E211" s="1"/>
      <c r="F211" s="2"/>
      <c r="G211" s="2"/>
      <c r="H211" s="2"/>
      <c r="I211" s="2"/>
      <c r="J211" s="2"/>
      <c r="K211" s="2"/>
      <c r="L211" s="2"/>
      <c r="M211" s="2"/>
      <c r="N211" s="2"/>
      <c r="O211" s="1"/>
      <c r="P211" s="1"/>
      <c r="Q211" s="1"/>
    </row>
    <row r="212">
      <c r="A212" s="1"/>
      <c r="B212" s="1"/>
      <c r="C212" s="1"/>
      <c r="D212" s="1"/>
      <c r="E212" s="1"/>
      <c r="F212" s="2"/>
      <c r="G212" s="2"/>
      <c r="H212" s="2"/>
      <c r="I212" s="2"/>
      <c r="J212" s="2"/>
      <c r="K212" s="2"/>
      <c r="L212" s="2"/>
      <c r="M212" s="2"/>
      <c r="N212" s="2"/>
      <c r="O212" s="1"/>
      <c r="P212" s="1"/>
      <c r="Q212" s="1"/>
    </row>
    <row r="213">
      <c r="A213" s="1"/>
      <c r="B213" s="1"/>
      <c r="C213" s="1"/>
      <c r="D213" s="1"/>
      <c r="E213" s="1"/>
      <c r="F213" s="2"/>
      <c r="G213" s="2"/>
      <c r="H213" s="2"/>
      <c r="I213" s="2"/>
      <c r="J213" s="2"/>
      <c r="K213" s="2"/>
      <c r="L213" s="2"/>
      <c r="M213" s="2"/>
      <c r="N213" s="2"/>
      <c r="O213" s="1"/>
      <c r="P213" s="1"/>
      <c r="Q213" s="1"/>
    </row>
    <row r="214">
      <c r="A214" s="1"/>
      <c r="B214" s="1"/>
      <c r="C214" s="1"/>
      <c r="D214" s="1"/>
      <c r="E214" s="1"/>
      <c r="F214" s="2"/>
      <c r="G214" s="2"/>
      <c r="H214" s="2"/>
      <c r="I214" s="2"/>
      <c r="J214" s="2"/>
      <c r="K214" s="2"/>
      <c r="L214" s="2"/>
      <c r="M214" s="2"/>
      <c r="N214" s="2"/>
      <c r="O214" s="1"/>
      <c r="P214" s="1"/>
      <c r="Q214" s="1"/>
    </row>
    <row r="215">
      <c r="A215" s="1"/>
      <c r="B215" s="1"/>
      <c r="C215" s="1"/>
      <c r="D215" s="1"/>
      <c r="E215" s="1"/>
      <c r="F215" s="2"/>
      <c r="G215" s="2"/>
      <c r="H215" s="2"/>
      <c r="I215" s="2"/>
      <c r="J215" s="2"/>
      <c r="K215" s="2"/>
      <c r="L215" s="2"/>
      <c r="M215" s="2"/>
      <c r="N215" s="2"/>
      <c r="O215" s="1"/>
      <c r="P215" s="1"/>
      <c r="Q215" s="1"/>
    </row>
    <row r="216">
      <c r="A216" s="1"/>
      <c r="B216" s="1"/>
      <c r="C216" s="1"/>
      <c r="D216" s="1"/>
      <c r="E216" s="1"/>
      <c r="F216" s="2"/>
      <c r="G216" s="2"/>
      <c r="H216" s="2"/>
      <c r="I216" s="2"/>
      <c r="J216" s="2"/>
      <c r="K216" s="2"/>
      <c r="L216" s="2"/>
      <c r="M216" s="2"/>
      <c r="N216" s="2"/>
      <c r="O216" s="1"/>
      <c r="P216" s="1"/>
      <c r="Q216" s="1"/>
    </row>
    <row r="217">
      <c r="A217" s="1"/>
      <c r="B217" s="1"/>
      <c r="C217" s="1"/>
      <c r="D217" s="1"/>
      <c r="E217" s="1"/>
      <c r="F217" s="2"/>
      <c r="G217" s="2"/>
      <c r="H217" s="2"/>
      <c r="I217" s="2"/>
      <c r="J217" s="2"/>
      <c r="K217" s="2"/>
      <c r="L217" s="2"/>
      <c r="M217" s="2"/>
      <c r="N217" s="2"/>
      <c r="O217" s="1"/>
      <c r="P217" s="1"/>
      <c r="Q217" s="1"/>
    </row>
    <row r="218">
      <c r="A218" s="1"/>
      <c r="B218" s="1"/>
      <c r="C218" s="1"/>
      <c r="D218" s="1"/>
      <c r="E218" s="1"/>
      <c r="F218" s="2"/>
      <c r="G218" s="2"/>
      <c r="H218" s="2"/>
      <c r="I218" s="2"/>
      <c r="J218" s="2"/>
      <c r="K218" s="2"/>
      <c r="L218" s="2"/>
      <c r="M218" s="2"/>
      <c r="N218" s="2"/>
      <c r="O218" s="1"/>
      <c r="P218" s="1"/>
      <c r="Q218" s="1"/>
    </row>
    <row r="219">
      <c r="A219" s="1"/>
      <c r="B219" s="1"/>
      <c r="C219" s="1"/>
      <c r="D219" s="1"/>
      <c r="E219" s="1"/>
      <c r="F219" s="2"/>
      <c r="G219" s="2"/>
      <c r="H219" s="2"/>
      <c r="I219" s="2"/>
      <c r="J219" s="2"/>
      <c r="K219" s="2"/>
      <c r="L219" s="2"/>
      <c r="M219" s="2"/>
      <c r="N219" s="2"/>
      <c r="O219" s="1"/>
      <c r="P219" s="1"/>
      <c r="Q219" s="1"/>
    </row>
    <row r="220">
      <c r="A220" s="1"/>
      <c r="B220" s="1"/>
      <c r="C220" s="1"/>
      <c r="D220" s="1"/>
      <c r="E220" s="1"/>
      <c r="F220" s="2"/>
      <c r="G220" s="2"/>
      <c r="H220" s="2"/>
      <c r="I220" s="2"/>
      <c r="J220" s="2"/>
      <c r="K220" s="2"/>
      <c r="L220" s="2"/>
      <c r="M220" s="2"/>
      <c r="N220" s="2"/>
      <c r="O220" s="1"/>
      <c r="P220" s="1"/>
      <c r="Q220" s="1"/>
    </row>
    <row r="221">
      <c r="A221" s="1"/>
      <c r="B221" s="1"/>
      <c r="C221" s="1"/>
      <c r="D221" s="1"/>
      <c r="E221" s="1"/>
      <c r="F221" s="2"/>
      <c r="G221" s="2"/>
      <c r="H221" s="2"/>
      <c r="I221" s="2"/>
      <c r="J221" s="2"/>
      <c r="K221" s="2"/>
      <c r="L221" s="2"/>
      <c r="M221" s="2"/>
      <c r="N221" s="2"/>
      <c r="O221" s="1"/>
      <c r="P221" s="1"/>
      <c r="Q221" s="1"/>
    </row>
    <row r="222">
      <c r="A222" s="1"/>
      <c r="B222" s="1"/>
      <c r="C222" s="1"/>
      <c r="D222" s="1"/>
      <c r="E222" s="1"/>
      <c r="F222" s="2"/>
      <c r="G222" s="2"/>
      <c r="H222" s="2"/>
      <c r="I222" s="2"/>
      <c r="J222" s="2"/>
      <c r="K222" s="2"/>
      <c r="L222" s="2"/>
      <c r="M222" s="2"/>
      <c r="N222" s="2"/>
      <c r="O222" s="1"/>
      <c r="P222" s="1"/>
      <c r="Q222" s="1"/>
    </row>
    <row r="223">
      <c r="A223" s="1"/>
      <c r="B223" s="1"/>
      <c r="C223" s="1"/>
      <c r="D223" s="1"/>
      <c r="E223" s="1"/>
      <c r="F223" s="2"/>
      <c r="G223" s="2"/>
      <c r="H223" s="2"/>
      <c r="I223" s="2"/>
      <c r="J223" s="2"/>
      <c r="K223" s="2"/>
      <c r="L223" s="2"/>
      <c r="M223" s="2"/>
      <c r="N223" s="2"/>
      <c r="O223" s="1"/>
      <c r="P223" s="1"/>
      <c r="Q223" s="1"/>
    </row>
    <row r="224">
      <c r="A224" s="1"/>
      <c r="B224" s="1"/>
      <c r="C224" s="1"/>
      <c r="D224" s="1"/>
      <c r="E224" s="1"/>
      <c r="F224" s="2"/>
      <c r="G224" s="2"/>
      <c r="H224" s="2"/>
      <c r="I224" s="2"/>
      <c r="J224" s="2"/>
      <c r="K224" s="2"/>
      <c r="L224" s="2"/>
      <c r="M224" s="2"/>
      <c r="N224" s="2"/>
      <c r="O224" s="1"/>
      <c r="P224" s="1"/>
      <c r="Q224" s="1"/>
    </row>
    <row r="225">
      <c r="A225" s="1"/>
      <c r="B225" s="1"/>
      <c r="C225" s="1"/>
      <c r="D225" s="1"/>
      <c r="E225" s="1"/>
      <c r="F225" s="2"/>
      <c r="G225" s="2"/>
      <c r="H225" s="2"/>
      <c r="I225" s="2"/>
      <c r="J225" s="2"/>
      <c r="K225" s="2"/>
      <c r="L225" s="2"/>
      <c r="M225" s="2"/>
      <c r="N225" s="2"/>
      <c r="O225" s="1"/>
      <c r="P225" s="1"/>
      <c r="Q225" s="1"/>
    </row>
    <row r="226">
      <c r="A226" s="1"/>
      <c r="B226" s="1"/>
      <c r="C226" s="1"/>
      <c r="D226" s="1"/>
      <c r="E226" s="1"/>
      <c r="F226" s="2"/>
      <c r="G226" s="2"/>
      <c r="H226" s="2"/>
      <c r="I226" s="2"/>
      <c r="J226" s="2"/>
      <c r="K226" s="2"/>
      <c r="L226" s="2"/>
      <c r="M226" s="2"/>
      <c r="N226" s="2"/>
      <c r="O226" s="1"/>
      <c r="P226" s="1"/>
      <c r="Q226" s="1"/>
    </row>
    <row r="227">
      <c r="A227" s="1"/>
      <c r="B227" s="1"/>
      <c r="C227" s="1"/>
      <c r="D227" s="1"/>
      <c r="E227" s="1"/>
      <c r="F227" s="2"/>
      <c r="G227" s="2"/>
      <c r="H227" s="2"/>
      <c r="I227" s="2"/>
      <c r="J227" s="2"/>
      <c r="K227" s="2"/>
      <c r="L227" s="2"/>
      <c r="M227" s="2"/>
      <c r="N227" s="2"/>
      <c r="O227" s="1"/>
      <c r="P227" s="1"/>
      <c r="Q227" s="1"/>
    </row>
    <row r="228">
      <c r="A228" s="1"/>
      <c r="B228" s="1"/>
      <c r="C228" s="1"/>
      <c r="D228" s="1"/>
      <c r="E228" s="1"/>
      <c r="F228" s="2"/>
      <c r="G228" s="2"/>
      <c r="H228" s="2"/>
      <c r="I228" s="2"/>
      <c r="J228" s="2"/>
      <c r="K228" s="2"/>
      <c r="L228" s="2"/>
      <c r="M228" s="2"/>
      <c r="N228" s="2"/>
      <c r="O228" s="1"/>
      <c r="P228" s="1"/>
      <c r="Q228" s="1"/>
    </row>
    <row r="229">
      <c r="A229" s="1"/>
      <c r="B229" s="1"/>
      <c r="C229" s="1"/>
      <c r="D229" s="1"/>
      <c r="E229" s="1"/>
      <c r="F229" s="2"/>
      <c r="G229" s="2"/>
      <c r="H229" s="2"/>
      <c r="I229" s="2"/>
      <c r="J229" s="2"/>
      <c r="K229" s="2"/>
      <c r="L229" s="2"/>
      <c r="M229" s="2"/>
      <c r="N229" s="2"/>
      <c r="O229" s="1"/>
      <c r="P229" s="1"/>
      <c r="Q229" s="1"/>
    </row>
    <row r="230">
      <c r="A230" s="1"/>
      <c r="B230" s="1"/>
      <c r="C230" s="1"/>
      <c r="D230" s="1"/>
      <c r="E230" s="1"/>
      <c r="F230" s="2"/>
      <c r="G230" s="2"/>
      <c r="H230" s="2"/>
      <c r="I230" s="2"/>
      <c r="J230" s="2"/>
      <c r="K230" s="2"/>
      <c r="L230" s="2"/>
      <c r="M230" s="2"/>
      <c r="N230" s="2"/>
      <c r="O230" s="1"/>
      <c r="P230" s="1"/>
      <c r="Q230" s="1"/>
    </row>
    <row r="231">
      <c r="A231" s="1"/>
      <c r="B231" s="1"/>
      <c r="C231" s="1"/>
      <c r="D231" s="1"/>
      <c r="E231" s="1"/>
      <c r="F231" s="2"/>
      <c r="G231" s="2"/>
      <c r="H231" s="2"/>
      <c r="I231" s="2"/>
      <c r="J231" s="2"/>
      <c r="K231" s="2"/>
      <c r="L231" s="2"/>
      <c r="M231" s="2"/>
      <c r="N231" s="2"/>
      <c r="O231" s="1"/>
      <c r="P231" s="1"/>
      <c r="Q231" s="1"/>
    </row>
    <row r="232">
      <c r="A232" s="1"/>
      <c r="B232" s="1"/>
      <c r="C232" s="1"/>
      <c r="D232" s="1"/>
      <c r="E232" s="1"/>
      <c r="F232" s="2"/>
      <c r="G232" s="2"/>
      <c r="H232" s="2"/>
      <c r="I232" s="2"/>
      <c r="J232" s="2"/>
      <c r="K232" s="2"/>
      <c r="L232" s="2"/>
      <c r="M232" s="2"/>
      <c r="N232" s="2"/>
      <c r="O232" s="1"/>
      <c r="P232" s="1"/>
      <c r="Q232" s="1"/>
    </row>
    <row r="233">
      <c r="A233" s="1"/>
      <c r="B233" s="1"/>
      <c r="C233" s="1"/>
      <c r="D233" s="1"/>
      <c r="E233" s="1"/>
      <c r="F233" s="2"/>
      <c r="G233" s="2"/>
      <c r="H233" s="2"/>
      <c r="I233" s="2"/>
      <c r="J233" s="2"/>
      <c r="K233" s="2"/>
      <c r="L233" s="2"/>
      <c r="M233" s="2"/>
      <c r="N233" s="2"/>
      <c r="O233" s="1"/>
      <c r="P233" s="1"/>
      <c r="Q233" s="1"/>
    </row>
    <row r="234">
      <c r="A234" s="1"/>
      <c r="B234" s="1"/>
      <c r="C234" s="1"/>
      <c r="D234" s="1"/>
      <c r="E234" s="1"/>
      <c r="F234" s="2"/>
      <c r="G234" s="2"/>
      <c r="H234" s="2"/>
      <c r="I234" s="2"/>
      <c r="J234" s="2"/>
      <c r="K234" s="2"/>
      <c r="L234" s="2"/>
      <c r="M234" s="2"/>
      <c r="N234" s="2"/>
      <c r="O234" s="1"/>
      <c r="P234" s="1"/>
      <c r="Q234" s="1"/>
    </row>
    <row r="235">
      <c r="A235" s="1"/>
      <c r="B235" s="1"/>
      <c r="C235" s="1"/>
      <c r="D235" s="1"/>
      <c r="E235" s="1"/>
      <c r="F235" s="2"/>
      <c r="G235" s="2"/>
      <c r="H235" s="2"/>
      <c r="I235" s="2"/>
      <c r="J235" s="2"/>
      <c r="K235" s="2"/>
      <c r="L235" s="2"/>
      <c r="M235" s="2"/>
      <c r="N235" s="2"/>
      <c r="O235" s="1"/>
      <c r="P235" s="1"/>
      <c r="Q235" s="1"/>
    </row>
    <row r="236">
      <c r="A236" s="1"/>
      <c r="B236" s="1"/>
      <c r="C236" s="1"/>
      <c r="D236" s="1"/>
      <c r="E236" s="1"/>
      <c r="F236" s="2"/>
      <c r="G236" s="2"/>
      <c r="H236" s="2"/>
      <c r="I236" s="2"/>
      <c r="J236" s="2"/>
      <c r="K236" s="2"/>
      <c r="L236" s="2"/>
      <c r="M236" s="2"/>
      <c r="N236" s="2"/>
      <c r="O236" s="1"/>
      <c r="P236" s="1"/>
      <c r="Q236" s="1"/>
    </row>
    <row r="237">
      <c r="A237" s="1"/>
      <c r="B237" s="1"/>
      <c r="C237" s="1"/>
      <c r="D237" s="1"/>
      <c r="E237" s="1"/>
      <c r="F237" s="2"/>
      <c r="G237" s="2"/>
      <c r="H237" s="2"/>
      <c r="I237" s="2"/>
      <c r="J237" s="2"/>
      <c r="K237" s="2"/>
      <c r="L237" s="2"/>
      <c r="M237" s="2"/>
      <c r="N237" s="2"/>
      <c r="O237" s="1"/>
      <c r="P237" s="1"/>
      <c r="Q237" s="1"/>
    </row>
    <row r="238">
      <c r="A238" s="1"/>
      <c r="B238" s="1"/>
      <c r="C238" s="1"/>
      <c r="D238" s="1"/>
      <c r="E238" s="1"/>
      <c r="F238" s="2"/>
      <c r="G238" s="2"/>
      <c r="H238" s="2"/>
      <c r="I238" s="2"/>
      <c r="J238" s="2"/>
      <c r="K238" s="2"/>
      <c r="L238" s="2"/>
      <c r="M238" s="2"/>
      <c r="N238" s="2"/>
      <c r="O238" s="1"/>
      <c r="P238" s="1"/>
      <c r="Q238" s="1"/>
    </row>
    <row r="239">
      <c r="A239" s="1"/>
      <c r="B239" s="1"/>
      <c r="C239" s="1"/>
      <c r="D239" s="1"/>
      <c r="E239" s="1"/>
      <c r="F239" s="2"/>
      <c r="G239" s="2"/>
      <c r="H239" s="2"/>
      <c r="I239" s="2"/>
      <c r="J239" s="2"/>
      <c r="K239" s="2"/>
      <c r="L239" s="2"/>
      <c r="M239" s="2"/>
      <c r="N239" s="2"/>
      <c r="O239" s="1"/>
      <c r="P239" s="1"/>
      <c r="Q239" s="1"/>
    </row>
    <row r="240">
      <c r="A240" s="1"/>
      <c r="B240" s="1"/>
      <c r="C240" s="1"/>
      <c r="D240" s="1"/>
      <c r="E240" s="1"/>
      <c r="F240" s="2"/>
      <c r="G240" s="2"/>
      <c r="H240" s="2"/>
      <c r="I240" s="2"/>
      <c r="J240" s="2"/>
      <c r="K240" s="2"/>
      <c r="L240" s="2"/>
      <c r="M240" s="2"/>
      <c r="N240" s="2"/>
      <c r="O240" s="1"/>
      <c r="P240" s="1"/>
      <c r="Q240" s="1"/>
    </row>
    <row r="241">
      <c r="A241" s="1"/>
      <c r="B241" s="1"/>
      <c r="C241" s="1"/>
      <c r="D241" s="1"/>
      <c r="E241" s="1"/>
      <c r="F241" s="2"/>
      <c r="G241" s="2"/>
      <c r="H241" s="2"/>
      <c r="I241" s="2"/>
      <c r="J241" s="2"/>
      <c r="K241" s="2"/>
      <c r="L241" s="2"/>
      <c r="M241" s="2"/>
      <c r="N241" s="2"/>
      <c r="O241" s="1"/>
      <c r="P241" s="1"/>
      <c r="Q241" s="1"/>
    </row>
    <row r="242">
      <c r="A242" s="1"/>
      <c r="B242" s="1"/>
      <c r="C242" s="1"/>
      <c r="D242" s="1"/>
      <c r="E242" s="1"/>
      <c r="F242" s="2"/>
      <c r="G242" s="2"/>
      <c r="H242" s="2"/>
      <c r="I242" s="2"/>
      <c r="J242" s="2"/>
      <c r="K242" s="2"/>
      <c r="L242" s="2"/>
      <c r="M242" s="2"/>
      <c r="N242" s="2"/>
      <c r="O242" s="1"/>
      <c r="P242" s="1"/>
      <c r="Q242" s="1"/>
    </row>
    <row r="243">
      <c r="A243" s="1"/>
      <c r="B243" s="1"/>
      <c r="C243" s="1"/>
      <c r="D243" s="1"/>
      <c r="E243" s="1"/>
      <c r="F243" s="2"/>
      <c r="G243" s="2"/>
      <c r="H243" s="2"/>
      <c r="I243" s="2"/>
      <c r="J243" s="2"/>
      <c r="K243" s="2"/>
      <c r="L243" s="2"/>
      <c r="M243" s="2"/>
      <c r="N243" s="2"/>
      <c r="O243" s="1"/>
      <c r="P243" s="1"/>
      <c r="Q243" s="1"/>
    </row>
    <row r="244">
      <c r="A244" s="1"/>
      <c r="B244" s="1"/>
      <c r="C244" s="1"/>
      <c r="D244" s="1"/>
      <c r="E244" s="1"/>
      <c r="F244" s="2"/>
      <c r="G244" s="2"/>
      <c r="H244" s="2"/>
      <c r="I244" s="2"/>
      <c r="J244" s="2"/>
      <c r="K244" s="2"/>
      <c r="L244" s="2"/>
      <c r="M244" s="2"/>
      <c r="N244" s="2"/>
      <c r="O244" s="1"/>
      <c r="P244" s="1"/>
      <c r="Q244" s="1"/>
    </row>
    <row r="245">
      <c r="A245" s="1"/>
      <c r="B245" s="1"/>
      <c r="C245" s="1"/>
      <c r="D245" s="1"/>
      <c r="E245" s="1"/>
      <c r="F245" s="2"/>
      <c r="G245" s="2"/>
      <c r="H245" s="2"/>
      <c r="I245" s="2"/>
      <c r="J245" s="2"/>
      <c r="K245" s="2"/>
      <c r="L245" s="2"/>
      <c r="M245" s="2"/>
      <c r="N245" s="2"/>
      <c r="O245" s="1"/>
      <c r="P245" s="1"/>
      <c r="Q245" s="1"/>
    </row>
    <row r="246">
      <c r="A246" s="1"/>
      <c r="B246" s="1"/>
      <c r="C246" s="1"/>
      <c r="D246" s="1"/>
      <c r="E246" s="1"/>
      <c r="F246" s="2"/>
      <c r="G246" s="2"/>
      <c r="H246" s="2"/>
      <c r="I246" s="2"/>
      <c r="J246" s="2"/>
      <c r="K246" s="2"/>
      <c r="L246" s="2"/>
      <c r="M246" s="2"/>
      <c r="N246" s="2"/>
      <c r="O246" s="1"/>
      <c r="P246" s="1"/>
      <c r="Q246" s="1"/>
    </row>
    <row r="247">
      <c r="A247" s="1"/>
      <c r="B247" s="1"/>
      <c r="C247" s="1"/>
      <c r="D247" s="1"/>
      <c r="E247" s="1"/>
      <c r="F247" s="2"/>
      <c r="G247" s="2"/>
      <c r="H247" s="2"/>
      <c r="I247" s="2"/>
      <c r="J247" s="2"/>
      <c r="K247" s="2"/>
      <c r="L247" s="2"/>
      <c r="M247" s="2"/>
      <c r="N247" s="2"/>
      <c r="O247" s="1"/>
      <c r="P247" s="1"/>
      <c r="Q247" s="1"/>
    </row>
    <row r="248">
      <c r="A248" s="1"/>
      <c r="B248" s="1"/>
      <c r="C248" s="1"/>
      <c r="D248" s="1"/>
      <c r="E248" s="1"/>
      <c r="F248" s="2"/>
      <c r="G248" s="2"/>
      <c r="H248" s="2"/>
      <c r="I248" s="2"/>
      <c r="J248" s="2"/>
      <c r="K248" s="2"/>
      <c r="L248" s="2"/>
      <c r="M248" s="2"/>
      <c r="N248" s="2"/>
      <c r="O248" s="1"/>
      <c r="P248" s="1"/>
      <c r="Q248" s="1"/>
    </row>
    <row r="249">
      <c r="A249" s="1"/>
      <c r="B249" s="1"/>
      <c r="C249" s="1"/>
      <c r="D249" s="1"/>
      <c r="E249" s="1"/>
      <c r="F249" s="2"/>
      <c r="G249" s="2"/>
      <c r="H249" s="2"/>
      <c r="I249" s="2"/>
      <c r="J249" s="2"/>
      <c r="K249" s="2"/>
      <c r="L249" s="2"/>
      <c r="M249" s="2"/>
      <c r="N249" s="2"/>
      <c r="O249" s="1"/>
      <c r="P249" s="1"/>
      <c r="Q249" s="1"/>
    </row>
    <row r="250">
      <c r="A250" s="1"/>
      <c r="B250" s="1"/>
      <c r="C250" s="1"/>
      <c r="D250" s="1"/>
      <c r="E250" s="1"/>
      <c r="F250" s="2"/>
      <c r="G250" s="2"/>
      <c r="H250" s="2"/>
      <c r="I250" s="2"/>
      <c r="J250" s="2"/>
      <c r="K250" s="2"/>
      <c r="L250" s="2"/>
      <c r="M250" s="2"/>
      <c r="N250" s="2"/>
      <c r="O250" s="1"/>
      <c r="P250" s="1"/>
      <c r="Q250" s="1"/>
    </row>
    <row r="251">
      <c r="A251" s="1"/>
      <c r="B251" s="1"/>
      <c r="C251" s="1"/>
      <c r="D251" s="1"/>
      <c r="E251" s="1"/>
      <c r="F251" s="2"/>
      <c r="G251" s="2"/>
      <c r="H251" s="2"/>
      <c r="I251" s="2"/>
      <c r="J251" s="2"/>
      <c r="K251" s="2"/>
      <c r="L251" s="2"/>
      <c r="M251" s="2"/>
      <c r="N251" s="2"/>
      <c r="O251" s="1"/>
      <c r="P251" s="1"/>
      <c r="Q251" s="1"/>
    </row>
    <row r="252">
      <c r="A252" s="1"/>
      <c r="B252" s="1"/>
      <c r="C252" s="1"/>
      <c r="D252" s="1"/>
      <c r="E252" s="1"/>
      <c r="F252" s="2"/>
      <c r="G252" s="2"/>
      <c r="H252" s="2"/>
      <c r="I252" s="2"/>
      <c r="J252" s="2"/>
      <c r="K252" s="2"/>
      <c r="L252" s="2"/>
      <c r="M252" s="2"/>
      <c r="N252" s="2"/>
      <c r="O252" s="1"/>
      <c r="P252" s="1"/>
      <c r="Q252" s="1"/>
    </row>
    <row r="253">
      <c r="A253" s="1"/>
      <c r="B253" s="1"/>
      <c r="C253" s="1"/>
      <c r="D253" s="1"/>
      <c r="E253" s="1"/>
      <c r="F253" s="2"/>
      <c r="G253" s="2"/>
      <c r="H253" s="2"/>
      <c r="I253" s="2"/>
      <c r="J253" s="2"/>
      <c r="K253" s="2"/>
      <c r="L253" s="2"/>
      <c r="M253" s="2"/>
      <c r="N253" s="2"/>
      <c r="O253" s="1"/>
      <c r="P253" s="1"/>
      <c r="Q253" s="1"/>
    </row>
    <row r="254">
      <c r="A254" s="1"/>
      <c r="B254" s="1"/>
      <c r="C254" s="1"/>
      <c r="D254" s="1"/>
      <c r="E254" s="1"/>
      <c r="F254" s="2"/>
      <c r="G254" s="2"/>
      <c r="H254" s="2"/>
      <c r="I254" s="2"/>
      <c r="J254" s="2"/>
      <c r="K254" s="2"/>
      <c r="L254" s="2"/>
      <c r="M254" s="2"/>
      <c r="N254" s="2"/>
      <c r="O254" s="1"/>
      <c r="P254" s="1"/>
      <c r="Q254" s="1"/>
    </row>
    <row r="255">
      <c r="A255" s="1"/>
      <c r="B255" s="1"/>
      <c r="C255" s="1"/>
      <c r="D255" s="1"/>
      <c r="E255" s="1"/>
      <c r="F255" s="2"/>
      <c r="G255" s="2"/>
      <c r="H255" s="2"/>
      <c r="I255" s="2"/>
      <c r="J255" s="2"/>
      <c r="K255" s="2"/>
      <c r="L255" s="2"/>
      <c r="M255" s="2"/>
      <c r="N255" s="2"/>
      <c r="O255" s="1"/>
      <c r="P255" s="1"/>
      <c r="Q255" s="1"/>
    </row>
    <row r="256">
      <c r="A256" s="1"/>
      <c r="B256" s="1"/>
      <c r="C256" s="1"/>
      <c r="D256" s="1"/>
      <c r="E256" s="1"/>
      <c r="F256" s="2"/>
      <c r="G256" s="2"/>
      <c r="H256" s="2"/>
      <c r="I256" s="2"/>
      <c r="J256" s="2"/>
      <c r="K256" s="2"/>
      <c r="L256" s="2"/>
      <c r="M256" s="2"/>
      <c r="N256" s="2"/>
      <c r="O256" s="1"/>
      <c r="P256" s="1"/>
      <c r="Q256" s="1"/>
    </row>
    <row r="257">
      <c r="A257" s="1"/>
      <c r="B257" s="1"/>
      <c r="C257" s="1"/>
      <c r="D257" s="1"/>
      <c r="E257" s="1"/>
      <c r="F257" s="2"/>
      <c r="G257" s="2"/>
      <c r="H257" s="2"/>
      <c r="I257" s="2"/>
      <c r="J257" s="2"/>
      <c r="K257" s="2"/>
      <c r="L257" s="2"/>
      <c r="M257" s="2"/>
      <c r="N257" s="2"/>
      <c r="O257" s="1"/>
      <c r="P257" s="1"/>
      <c r="Q257" s="1"/>
    </row>
    <row r="258">
      <c r="A258" s="1"/>
      <c r="B258" s="1"/>
      <c r="C258" s="1"/>
      <c r="D258" s="1"/>
      <c r="E258" s="1"/>
      <c r="F258" s="2"/>
      <c r="G258" s="2"/>
      <c r="H258" s="2"/>
      <c r="I258" s="2"/>
      <c r="J258" s="2"/>
      <c r="K258" s="2"/>
      <c r="L258" s="2"/>
      <c r="M258" s="2"/>
      <c r="N258" s="2"/>
      <c r="O258" s="1"/>
      <c r="P258" s="1"/>
      <c r="Q258" s="1"/>
    </row>
    <row r="259">
      <c r="A259" s="1"/>
      <c r="B259" s="1"/>
      <c r="C259" s="1"/>
      <c r="D259" s="1"/>
      <c r="E259" s="1"/>
      <c r="F259" s="2"/>
      <c r="G259" s="2"/>
      <c r="H259" s="2"/>
      <c r="I259" s="2"/>
      <c r="J259" s="2"/>
      <c r="K259" s="2"/>
      <c r="L259" s="2"/>
      <c r="M259" s="2"/>
      <c r="N259" s="2"/>
      <c r="O259" s="1"/>
      <c r="P259" s="1"/>
      <c r="Q259" s="1"/>
    </row>
    <row r="260">
      <c r="A260" s="1"/>
      <c r="B260" s="1"/>
      <c r="C260" s="1"/>
      <c r="D260" s="1"/>
      <c r="E260" s="1"/>
      <c r="F260" s="2"/>
      <c r="G260" s="2"/>
      <c r="H260" s="2"/>
      <c r="I260" s="2"/>
      <c r="J260" s="2"/>
      <c r="K260" s="2"/>
      <c r="L260" s="2"/>
      <c r="M260" s="2"/>
      <c r="N260" s="2"/>
      <c r="O260" s="1"/>
      <c r="P260" s="1"/>
      <c r="Q260" s="1"/>
    </row>
    <row r="261">
      <c r="A261" s="1"/>
      <c r="B261" s="1"/>
      <c r="C261" s="1"/>
      <c r="D261" s="1"/>
      <c r="E261" s="1"/>
      <c r="F261" s="2"/>
      <c r="G261" s="2"/>
      <c r="H261" s="2"/>
      <c r="I261" s="2"/>
      <c r="J261" s="2"/>
      <c r="K261" s="2"/>
      <c r="L261" s="2"/>
      <c r="M261" s="2"/>
      <c r="N261" s="2"/>
      <c r="O261" s="1"/>
      <c r="P261" s="1"/>
      <c r="Q261" s="1"/>
    </row>
    <row r="262">
      <c r="A262" s="1"/>
      <c r="B262" s="1"/>
      <c r="C262" s="1"/>
      <c r="D262" s="1"/>
      <c r="E262" s="1"/>
      <c r="F262" s="2"/>
      <c r="G262" s="2"/>
      <c r="H262" s="2"/>
      <c r="I262" s="2"/>
      <c r="J262" s="2"/>
      <c r="K262" s="2"/>
      <c r="L262" s="2"/>
      <c r="M262" s="2"/>
      <c r="N262" s="2"/>
      <c r="O262" s="1"/>
      <c r="P262" s="1"/>
      <c r="Q262" s="1"/>
    </row>
    <row r="263">
      <c r="A263" s="1"/>
      <c r="B263" s="1"/>
      <c r="C263" s="1"/>
      <c r="D263" s="1"/>
      <c r="E263" s="1"/>
      <c r="F263" s="2"/>
      <c r="G263" s="2"/>
      <c r="H263" s="2"/>
      <c r="I263" s="2"/>
      <c r="J263" s="2"/>
      <c r="K263" s="2"/>
      <c r="L263" s="2"/>
      <c r="M263" s="2"/>
      <c r="N263" s="2"/>
      <c r="O263" s="1"/>
      <c r="P263" s="1"/>
      <c r="Q263" s="1"/>
    </row>
    <row r="264">
      <c r="A264" s="1"/>
      <c r="B264" s="1"/>
      <c r="C264" s="1"/>
      <c r="D264" s="1"/>
      <c r="E264" s="1"/>
      <c r="F264" s="2"/>
      <c r="G264" s="2"/>
      <c r="H264" s="2"/>
      <c r="I264" s="2"/>
      <c r="J264" s="2"/>
      <c r="K264" s="2"/>
      <c r="L264" s="2"/>
      <c r="M264" s="2"/>
      <c r="N264" s="2"/>
      <c r="O264" s="1"/>
      <c r="P264" s="1"/>
      <c r="Q264" s="1"/>
    </row>
    <row r="265">
      <c r="A265" s="1"/>
      <c r="B265" s="1"/>
      <c r="C265" s="1"/>
      <c r="D265" s="1"/>
      <c r="E265" s="1"/>
      <c r="F265" s="2"/>
      <c r="G265" s="2"/>
      <c r="H265" s="2"/>
      <c r="I265" s="2"/>
      <c r="J265" s="2"/>
      <c r="K265" s="2"/>
      <c r="L265" s="2"/>
      <c r="M265" s="2"/>
      <c r="N265" s="2"/>
      <c r="O265" s="1"/>
      <c r="P265" s="1"/>
      <c r="Q265" s="1"/>
    </row>
    <row r="266">
      <c r="A266" s="1"/>
      <c r="B266" s="1"/>
      <c r="C266" s="1"/>
      <c r="D266" s="1"/>
      <c r="E266" s="1"/>
      <c r="F266" s="2"/>
      <c r="G266" s="2"/>
      <c r="H266" s="2"/>
      <c r="I266" s="2"/>
      <c r="J266" s="2"/>
      <c r="K266" s="2"/>
      <c r="L266" s="2"/>
      <c r="M266" s="2"/>
      <c r="N266" s="2"/>
      <c r="O266" s="1"/>
      <c r="P266" s="1"/>
      <c r="Q266" s="1"/>
    </row>
    <row r="267">
      <c r="A267" s="1"/>
      <c r="B267" s="1"/>
      <c r="C267" s="1"/>
      <c r="D267" s="1"/>
      <c r="E267" s="1"/>
      <c r="F267" s="2"/>
      <c r="G267" s="2"/>
      <c r="H267" s="2"/>
      <c r="I267" s="2"/>
      <c r="J267" s="2"/>
      <c r="K267" s="2"/>
      <c r="L267" s="2"/>
      <c r="M267" s="2"/>
      <c r="N267" s="2"/>
      <c r="O267" s="1"/>
      <c r="P267" s="1"/>
      <c r="Q267" s="1"/>
    </row>
    <row r="268">
      <c r="A268" s="1"/>
      <c r="B268" s="1"/>
      <c r="C268" s="1"/>
      <c r="D268" s="1"/>
      <c r="E268" s="1"/>
      <c r="F268" s="2"/>
      <c r="G268" s="2"/>
      <c r="H268" s="2"/>
      <c r="I268" s="2"/>
      <c r="J268" s="2"/>
      <c r="K268" s="2"/>
      <c r="L268" s="2"/>
      <c r="M268" s="2"/>
      <c r="N268" s="2"/>
      <c r="O268" s="1"/>
      <c r="P268" s="1"/>
      <c r="Q268" s="1"/>
    </row>
    <row r="269">
      <c r="A269" s="1"/>
      <c r="B269" s="1"/>
      <c r="C269" s="1"/>
      <c r="D269" s="1"/>
      <c r="E269" s="1"/>
      <c r="F269" s="2"/>
      <c r="G269" s="2"/>
      <c r="H269" s="2"/>
      <c r="I269" s="2"/>
      <c r="J269" s="2"/>
      <c r="K269" s="2"/>
      <c r="L269" s="2"/>
      <c r="M269" s="2"/>
      <c r="N269" s="2"/>
      <c r="O269" s="1"/>
      <c r="P269" s="1"/>
      <c r="Q269" s="1"/>
    </row>
    <row r="270">
      <c r="A270" s="1"/>
      <c r="B270" s="1"/>
      <c r="C270" s="1"/>
      <c r="D270" s="1"/>
      <c r="E270" s="1"/>
      <c r="F270" s="2"/>
      <c r="G270" s="2"/>
      <c r="H270" s="2"/>
      <c r="I270" s="2"/>
      <c r="J270" s="2"/>
      <c r="K270" s="2"/>
      <c r="L270" s="2"/>
      <c r="M270" s="2"/>
      <c r="N270" s="2"/>
      <c r="O270" s="1"/>
      <c r="P270" s="1"/>
      <c r="Q270" s="1"/>
    </row>
    <row r="271">
      <c r="A271" s="1"/>
      <c r="B271" s="1"/>
      <c r="C271" s="1"/>
      <c r="D271" s="1"/>
      <c r="E271" s="1"/>
      <c r="F271" s="2"/>
      <c r="G271" s="2"/>
      <c r="H271" s="2"/>
      <c r="I271" s="2"/>
      <c r="J271" s="2"/>
      <c r="K271" s="2"/>
      <c r="L271" s="2"/>
      <c r="M271" s="2"/>
      <c r="N271" s="2"/>
      <c r="O271" s="1"/>
      <c r="P271" s="1"/>
      <c r="Q271" s="1"/>
    </row>
    <row r="272">
      <c r="A272" s="1"/>
      <c r="B272" s="1"/>
      <c r="C272" s="1"/>
      <c r="D272" s="1"/>
      <c r="E272" s="1"/>
      <c r="F272" s="2"/>
      <c r="G272" s="2"/>
      <c r="H272" s="2"/>
      <c r="I272" s="2"/>
      <c r="J272" s="2"/>
      <c r="K272" s="2"/>
      <c r="L272" s="2"/>
      <c r="M272" s="2"/>
      <c r="N272" s="2"/>
      <c r="O272" s="1"/>
      <c r="P272" s="1"/>
      <c r="Q272" s="1"/>
    </row>
    <row r="273">
      <c r="A273" s="1"/>
      <c r="B273" s="1"/>
      <c r="C273" s="1"/>
      <c r="D273" s="1"/>
      <c r="E273" s="1"/>
      <c r="F273" s="2"/>
      <c r="G273" s="2"/>
      <c r="H273" s="2"/>
      <c r="I273" s="2"/>
      <c r="J273" s="2"/>
      <c r="K273" s="2"/>
      <c r="L273" s="2"/>
      <c r="M273" s="2"/>
      <c r="N273" s="2"/>
      <c r="O273" s="1"/>
      <c r="P273" s="1"/>
      <c r="Q273" s="1"/>
    </row>
    <row r="274">
      <c r="A274" s="1"/>
      <c r="B274" s="1"/>
      <c r="C274" s="1"/>
      <c r="D274" s="1"/>
      <c r="E274" s="1"/>
      <c r="F274" s="2"/>
      <c r="G274" s="2"/>
      <c r="H274" s="2"/>
      <c r="I274" s="2"/>
      <c r="J274" s="2"/>
      <c r="K274" s="2"/>
      <c r="L274" s="2"/>
      <c r="M274" s="2"/>
      <c r="N274" s="2"/>
      <c r="O274" s="1"/>
      <c r="P274" s="1"/>
      <c r="Q274" s="1"/>
    </row>
    <row r="275">
      <c r="A275" s="1"/>
      <c r="B275" s="1"/>
      <c r="C275" s="1"/>
      <c r="D275" s="1"/>
      <c r="E275" s="1"/>
      <c r="F275" s="2"/>
      <c r="G275" s="2"/>
      <c r="H275" s="2"/>
      <c r="I275" s="2"/>
      <c r="J275" s="2"/>
      <c r="K275" s="2"/>
      <c r="L275" s="2"/>
      <c r="M275" s="2"/>
      <c r="N275" s="2"/>
      <c r="O275" s="1"/>
      <c r="P275" s="1"/>
      <c r="Q275" s="1"/>
    </row>
    <row r="276">
      <c r="A276" s="1"/>
      <c r="B276" s="1"/>
      <c r="C276" s="1"/>
      <c r="D276" s="1"/>
      <c r="E276" s="1"/>
      <c r="F276" s="2"/>
      <c r="G276" s="2"/>
      <c r="H276" s="2"/>
      <c r="I276" s="2"/>
      <c r="J276" s="2"/>
      <c r="K276" s="2"/>
      <c r="L276" s="2"/>
      <c r="M276" s="2"/>
      <c r="N276" s="2"/>
      <c r="O276" s="1"/>
      <c r="P276" s="1"/>
      <c r="Q276" s="1"/>
    </row>
    <row r="277">
      <c r="A277" s="1"/>
      <c r="B277" s="1"/>
      <c r="C277" s="1"/>
      <c r="D277" s="1"/>
      <c r="E277" s="1"/>
      <c r="F277" s="2"/>
      <c r="G277" s="2"/>
      <c r="H277" s="2"/>
      <c r="I277" s="2"/>
      <c r="J277" s="2"/>
      <c r="K277" s="2"/>
      <c r="L277" s="2"/>
      <c r="M277" s="2"/>
      <c r="N277" s="2"/>
      <c r="O277" s="1"/>
      <c r="P277" s="1"/>
      <c r="Q277" s="1"/>
    </row>
    <row r="278">
      <c r="A278" s="1"/>
      <c r="B278" s="1"/>
      <c r="C278" s="1"/>
      <c r="D278" s="1"/>
      <c r="E278" s="1"/>
      <c r="F278" s="2"/>
      <c r="G278" s="2"/>
      <c r="H278" s="2"/>
      <c r="I278" s="2"/>
      <c r="J278" s="2"/>
      <c r="K278" s="2"/>
      <c r="L278" s="2"/>
      <c r="M278" s="2"/>
      <c r="N278" s="2"/>
      <c r="O278" s="1"/>
      <c r="P278" s="1"/>
      <c r="Q278" s="1"/>
    </row>
    <row r="279">
      <c r="A279" s="1"/>
      <c r="B279" s="1"/>
      <c r="C279" s="1"/>
      <c r="D279" s="1"/>
      <c r="E279" s="1"/>
      <c r="F279" s="2"/>
      <c r="G279" s="2"/>
      <c r="H279" s="2"/>
      <c r="I279" s="2"/>
      <c r="J279" s="2"/>
      <c r="K279" s="2"/>
      <c r="L279" s="2"/>
      <c r="M279" s="2"/>
      <c r="N279" s="2"/>
      <c r="O279" s="1"/>
      <c r="P279" s="1"/>
      <c r="Q279" s="1"/>
    </row>
    <row r="280">
      <c r="A280" s="1"/>
      <c r="B280" s="1"/>
      <c r="C280" s="1"/>
      <c r="D280" s="1"/>
      <c r="E280" s="1"/>
      <c r="F280" s="2"/>
      <c r="G280" s="2"/>
      <c r="H280" s="2"/>
      <c r="I280" s="2"/>
      <c r="J280" s="2"/>
      <c r="K280" s="2"/>
      <c r="L280" s="2"/>
      <c r="M280" s="2"/>
      <c r="N280" s="2"/>
      <c r="O280" s="1"/>
      <c r="P280" s="1"/>
      <c r="Q280" s="1"/>
    </row>
    <row r="281">
      <c r="A281" s="1"/>
      <c r="B281" s="1"/>
      <c r="C281" s="1"/>
      <c r="D281" s="1"/>
      <c r="E281" s="1"/>
      <c r="F281" s="2"/>
      <c r="G281" s="2"/>
      <c r="H281" s="2"/>
      <c r="I281" s="2"/>
      <c r="J281" s="2"/>
      <c r="K281" s="2"/>
      <c r="L281" s="2"/>
      <c r="M281" s="2"/>
      <c r="N281" s="2"/>
      <c r="O281" s="1"/>
      <c r="P281" s="1"/>
      <c r="Q281" s="1"/>
    </row>
    <row r="282">
      <c r="A282" s="1"/>
      <c r="B282" s="1"/>
      <c r="C282" s="1"/>
      <c r="D282" s="1"/>
      <c r="E282" s="1"/>
      <c r="F282" s="2"/>
      <c r="G282" s="2"/>
      <c r="H282" s="2"/>
      <c r="I282" s="2"/>
      <c r="J282" s="2"/>
      <c r="K282" s="2"/>
      <c r="L282" s="2"/>
      <c r="M282" s="2"/>
      <c r="N282" s="2"/>
      <c r="O282" s="1"/>
      <c r="P282" s="1"/>
      <c r="Q282" s="1"/>
    </row>
    <row r="283">
      <c r="A283" s="1"/>
      <c r="B283" s="1"/>
      <c r="C283" s="1"/>
      <c r="D283" s="1"/>
      <c r="E283" s="1"/>
      <c r="F283" s="2"/>
      <c r="G283" s="2"/>
      <c r="H283" s="2"/>
      <c r="I283" s="2"/>
      <c r="J283" s="2"/>
      <c r="K283" s="2"/>
      <c r="L283" s="2"/>
      <c r="M283" s="2"/>
      <c r="N283" s="2"/>
      <c r="O283" s="1"/>
      <c r="P283" s="1"/>
      <c r="Q283" s="1"/>
    </row>
    <row r="284">
      <c r="A284" s="1"/>
      <c r="B284" s="1"/>
      <c r="C284" s="1"/>
      <c r="D284" s="1"/>
      <c r="E284" s="1"/>
      <c r="F284" s="2"/>
      <c r="G284" s="2"/>
      <c r="H284" s="2"/>
      <c r="I284" s="2"/>
      <c r="J284" s="2"/>
      <c r="K284" s="2"/>
      <c r="L284" s="2"/>
      <c r="M284" s="2"/>
      <c r="N284" s="2"/>
      <c r="O284" s="1"/>
      <c r="P284" s="1"/>
      <c r="Q284" s="1"/>
    </row>
    <row r="285">
      <c r="A285" s="1"/>
      <c r="B285" s="1"/>
      <c r="C285" s="1"/>
      <c r="D285" s="1"/>
      <c r="E285" s="1"/>
      <c r="F285" s="2"/>
      <c r="G285" s="2"/>
      <c r="H285" s="2"/>
      <c r="I285" s="2"/>
      <c r="J285" s="2"/>
      <c r="K285" s="2"/>
      <c r="L285" s="2"/>
      <c r="M285" s="2"/>
      <c r="N285" s="2"/>
      <c r="O285" s="1"/>
      <c r="P285" s="1"/>
      <c r="Q285" s="1"/>
    </row>
    <row r="286">
      <c r="A286" s="1"/>
      <c r="B286" s="1"/>
      <c r="C286" s="1"/>
      <c r="D286" s="1"/>
      <c r="E286" s="1"/>
      <c r="F286" s="2"/>
      <c r="G286" s="2"/>
      <c r="H286" s="2"/>
      <c r="I286" s="2"/>
      <c r="J286" s="2"/>
      <c r="K286" s="2"/>
      <c r="L286" s="2"/>
      <c r="M286" s="2"/>
      <c r="N286" s="2"/>
      <c r="O286" s="1"/>
      <c r="P286" s="1"/>
      <c r="Q286" s="1"/>
    </row>
    <row r="287">
      <c r="A287" s="1"/>
      <c r="B287" s="1"/>
      <c r="C287" s="1"/>
      <c r="D287" s="1"/>
      <c r="E287" s="1"/>
      <c r="F287" s="2"/>
      <c r="G287" s="2"/>
      <c r="H287" s="2"/>
      <c r="I287" s="2"/>
      <c r="J287" s="2"/>
      <c r="K287" s="2"/>
      <c r="L287" s="2"/>
      <c r="M287" s="2"/>
      <c r="N287" s="2"/>
      <c r="O287" s="1"/>
      <c r="P287" s="1"/>
      <c r="Q287" s="1"/>
    </row>
    <row r="288">
      <c r="A288" s="1"/>
      <c r="B288" s="1"/>
      <c r="C288" s="1"/>
      <c r="D288" s="1"/>
      <c r="E288" s="1"/>
      <c r="F288" s="2"/>
      <c r="G288" s="2"/>
      <c r="H288" s="2"/>
      <c r="I288" s="2"/>
      <c r="J288" s="2"/>
      <c r="K288" s="2"/>
      <c r="L288" s="2"/>
      <c r="M288" s="2"/>
      <c r="N288" s="2"/>
      <c r="O288" s="1"/>
      <c r="P288" s="1"/>
      <c r="Q288" s="1"/>
    </row>
    <row r="289">
      <c r="A289" s="1"/>
      <c r="B289" s="1"/>
      <c r="C289" s="1"/>
      <c r="D289" s="1"/>
      <c r="E289" s="1"/>
      <c r="F289" s="2"/>
      <c r="G289" s="2"/>
      <c r="H289" s="2"/>
      <c r="I289" s="2"/>
      <c r="J289" s="2"/>
      <c r="K289" s="2"/>
      <c r="L289" s="2"/>
      <c r="M289" s="2"/>
      <c r="N289" s="2"/>
      <c r="O289" s="1"/>
      <c r="P289" s="1"/>
      <c r="Q289" s="1"/>
    </row>
    <row r="290">
      <c r="A290" s="1"/>
      <c r="B290" s="1"/>
      <c r="C290" s="1"/>
      <c r="D290" s="1"/>
      <c r="E290" s="1"/>
      <c r="F290" s="2"/>
      <c r="G290" s="2"/>
      <c r="H290" s="2"/>
      <c r="I290" s="2"/>
      <c r="J290" s="2"/>
      <c r="K290" s="2"/>
      <c r="L290" s="2"/>
      <c r="M290" s="2"/>
      <c r="N290" s="2"/>
      <c r="O290" s="1"/>
      <c r="P290" s="1"/>
      <c r="Q290" s="1"/>
    </row>
    <row r="291">
      <c r="A291" s="1"/>
      <c r="B291" s="1"/>
      <c r="C291" s="1"/>
      <c r="D291" s="1"/>
      <c r="E291" s="1"/>
      <c r="F291" s="2"/>
      <c r="G291" s="2"/>
      <c r="H291" s="2"/>
      <c r="I291" s="2"/>
      <c r="J291" s="2"/>
      <c r="K291" s="2"/>
      <c r="L291" s="2"/>
      <c r="M291" s="2"/>
      <c r="N291" s="2"/>
      <c r="O291" s="1"/>
      <c r="P291" s="1"/>
      <c r="Q291" s="1"/>
    </row>
    <row r="292">
      <c r="A292" s="1"/>
      <c r="B292" s="1"/>
      <c r="C292" s="1"/>
      <c r="D292" s="1"/>
      <c r="E292" s="1"/>
      <c r="F292" s="2"/>
      <c r="G292" s="2"/>
      <c r="H292" s="2"/>
      <c r="I292" s="2"/>
      <c r="J292" s="2"/>
      <c r="K292" s="2"/>
      <c r="L292" s="2"/>
      <c r="M292" s="2"/>
      <c r="N292" s="2"/>
      <c r="O292" s="1"/>
      <c r="P292" s="1"/>
      <c r="Q292" s="1"/>
    </row>
    <row r="293">
      <c r="A293" s="1"/>
      <c r="B293" s="1"/>
      <c r="C293" s="1"/>
      <c r="D293" s="1"/>
      <c r="E293" s="1"/>
      <c r="F293" s="2"/>
      <c r="G293" s="2"/>
      <c r="H293" s="2"/>
      <c r="I293" s="2"/>
      <c r="J293" s="2"/>
      <c r="K293" s="2"/>
      <c r="L293" s="2"/>
      <c r="M293" s="2"/>
      <c r="N293" s="2"/>
      <c r="O293" s="1"/>
      <c r="P293" s="1"/>
      <c r="Q293" s="1"/>
    </row>
    <row r="294">
      <c r="A294" s="1"/>
      <c r="B294" s="1"/>
      <c r="C294" s="1"/>
      <c r="D294" s="1"/>
      <c r="E294" s="1"/>
      <c r="F294" s="2"/>
      <c r="G294" s="2"/>
      <c r="H294" s="2"/>
      <c r="I294" s="2"/>
      <c r="J294" s="2"/>
      <c r="K294" s="2"/>
      <c r="L294" s="2"/>
      <c r="M294" s="2"/>
      <c r="N294" s="2"/>
      <c r="O294" s="1"/>
      <c r="P294" s="1"/>
      <c r="Q294" s="1"/>
    </row>
    <row r="295">
      <c r="A295" s="1"/>
      <c r="B295" s="1"/>
      <c r="C295" s="1"/>
      <c r="D295" s="1"/>
      <c r="E295" s="1"/>
      <c r="F295" s="2"/>
      <c r="G295" s="2"/>
      <c r="H295" s="2"/>
      <c r="I295" s="2"/>
      <c r="J295" s="2"/>
      <c r="K295" s="2"/>
      <c r="L295" s="2"/>
      <c r="M295" s="2"/>
      <c r="N295" s="2"/>
      <c r="O295" s="1"/>
      <c r="P295" s="1"/>
      <c r="Q295" s="1"/>
    </row>
    <row r="296">
      <c r="A296" s="1"/>
      <c r="B296" s="1"/>
      <c r="C296" s="1"/>
      <c r="D296" s="1"/>
      <c r="E296" s="1"/>
      <c r="F296" s="2"/>
      <c r="G296" s="2"/>
      <c r="H296" s="2"/>
      <c r="I296" s="2"/>
      <c r="J296" s="2"/>
      <c r="K296" s="2"/>
      <c r="L296" s="2"/>
      <c r="M296" s="2"/>
      <c r="N296" s="2"/>
      <c r="O296" s="1"/>
      <c r="P296" s="1"/>
      <c r="Q296" s="1"/>
    </row>
    <row r="297">
      <c r="A297" s="1"/>
      <c r="B297" s="1"/>
      <c r="C297" s="1"/>
      <c r="D297" s="1"/>
      <c r="E297" s="1"/>
      <c r="F297" s="2"/>
      <c r="G297" s="2"/>
      <c r="H297" s="2"/>
      <c r="I297" s="2"/>
      <c r="J297" s="2"/>
      <c r="K297" s="2"/>
      <c r="L297" s="2"/>
      <c r="M297" s="2"/>
      <c r="N297" s="2"/>
      <c r="O297" s="1"/>
      <c r="P297" s="1"/>
      <c r="Q297" s="1"/>
    </row>
    <row r="298">
      <c r="A298" s="1"/>
      <c r="B298" s="1"/>
      <c r="C298" s="1"/>
      <c r="D298" s="1"/>
      <c r="E298" s="1"/>
      <c r="F298" s="2"/>
      <c r="G298" s="2"/>
      <c r="H298" s="2"/>
      <c r="I298" s="2"/>
      <c r="J298" s="2"/>
      <c r="K298" s="2"/>
      <c r="L298" s="2"/>
      <c r="M298" s="2"/>
      <c r="N298" s="2"/>
      <c r="O298" s="1"/>
      <c r="P298" s="1"/>
      <c r="Q298" s="1"/>
    </row>
    <row r="299">
      <c r="A299" s="1"/>
      <c r="B299" s="1"/>
      <c r="C299" s="1"/>
      <c r="D299" s="1"/>
      <c r="E299" s="1"/>
      <c r="F299" s="2"/>
      <c r="G299" s="2"/>
      <c r="H299" s="2"/>
      <c r="I299" s="2"/>
      <c r="J299" s="2"/>
      <c r="K299" s="2"/>
      <c r="L299" s="2"/>
      <c r="M299" s="2"/>
      <c r="N299" s="2"/>
      <c r="O299" s="1"/>
      <c r="P299" s="1"/>
      <c r="Q299" s="1"/>
    </row>
    <row r="300">
      <c r="A300" s="1"/>
      <c r="B300" s="1"/>
      <c r="C300" s="1"/>
      <c r="D300" s="1"/>
      <c r="E300" s="1"/>
      <c r="F300" s="2"/>
      <c r="G300" s="2"/>
      <c r="H300" s="2"/>
      <c r="I300" s="2"/>
      <c r="J300" s="2"/>
      <c r="K300" s="2"/>
      <c r="L300" s="2"/>
      <c r="M300" s="2"/>
      <c r="N300" s="2"/>
      <c r="O300" s="1"/>
      <c r="P300" s="1"/>
      <c r="Q300" s="1"/>
    </row>
    <row r="301">
      <c r="A301" s="1"/>
      <c r="B301" s="1"/>
      <c r="C301" s="1"/>
      <c r="D301" s="1"/>
      <c r="E301" s="1"/>
      <c r="F301" s="2"/>
      <c r="G301" s="2"/>
      <c r="H301" s="2"/>
      <c r="I301" s="2"/>
      <c r="J301" s="2"/>
      <c r="K301" s="2"/>
      <c r="L301" s="2"/>
      <c r="M301" s="2"/>
      <c r="N301" s="2"/>
      <c r="O301" s="1"/>
      <c r="P301" s="1"/>
      <c r="Q301" s="1"/>
    </row>
    <row r="302">
      <c r="A302" s="1"/>
      <c r="B302" s="1"/>
      <c r="C302" s="1"/>
      <c r="D302" s="1"/>
      <c r="E302" s="1"/>
      <c r="F302" s="2"/>
      <c r="G302" s="2"/>
      <c r="H302" s="2"/>
      <c r="I302" s="2"/>
      <c r="J302" s="2"/>
      <c r="K302" s="2"/>
      <c r="L302" s="2"/>
      <c r="M302" s="2"/>
      <c r="N302" s="2"/>
      <c r="O302" s="1"/>
      <c r="P302" s="1"/>
      <c r="Q302" s="1"/>
    </row>
    <row r="303">
      <c r="A303" s="1"/>
      <c r="B303" s="1"/>
      <c r="C303" s="1"/>
      <c r="D303" s="1"/>
      <c r="E303" s="1"/>
      <c r="F303" s="2"/>
      <c r="G303" s="2"/>
      <c r="H303" s="2"/>
      <c r="I303" s="2"/>
      <c r="J303" s="2"/>
      <c r="K303" s="2"/>
      <c r="L303" s="2"/>
      <c r="M303" s="2"/>
      <c r="N303" s="2"/>
      <c r="O303" s="1"/>
      <c r="P303" s="1"/>
      <c r="Q303" s="1"/>
    </row>
    <row r="304">
      <c r="A304" s="1"/>
      <c r="B304" s="1"/>
      <c r="C304" s="1"/>
      <c r="D304" s="1"/>
      <c r="E304" s="1"/>
      <c r="F304" s="2"/>
      <c r="G304" s="2"/>
      <c r="H304" s="2"/>
      <c r="I304" s="2"/>
      <c r="J304" s="2"/>
      <c r="K304" s="2"/>
      <c r="L304" s="2"/>
      <c r="M304" s="2"/>
      <c r="N304" s="2"/>
      <c r="O304" s="1"/>
      <c r="P304" s="1"/>
      <c r="Q304" s="1"/>
    </row>
    <row r="305">
      <c r="A305" s="1"/>
      <c r="B305" s="1"/>
      <c r="C305" s="1"/>
      <c r="D305" s="1"/>
      <c r="E305" s="1"/>
      <c r="F305" s="2"/>
      <c r="G305" s="2"/>
      <c r="H305" s="2"/>
      <c r="I305" s="2"/>
      <c r="J305" s="2"/>
      <c r="K305" s="2"/>
      <c r="L305" s="2"/>
      <c r="M305" s="2"/>
      <c r="N305" s="2"/>
      <c r="O305" s="1"/>
      <c r="P305" s="1"/>
      <c r="Q305" s="1"/>
    </row>
    <row r="306">
      <c r="A306" s="1"/>
      <c r="B306" s="1"/>
      <c r="C306" s="1"/>
      <c r="D306" s="1"/>
      <c r="E306" s="1"/>
      <c r="F306" s="2"/>
      <c r="G306" s="2"/>
      <c r="H306" s="2"/>
      <c r="I306" s="2"/>
      <c r="J306" s="2"/>
      <c r="K306" s="2"/>
      <c r="L306" s="2"/>
      <c r="M306" s="2"/>
      <c r="N306" s="2"/>
      <c r="O306" s="1"/>
      <c r="P306" s="1"/>
      <c r="Q306" s="1"/>
    </row>
    <row r="307">
      <c r="A307" s="1"/>
      <c r="B307" s="1"/>
      <c r="C307" s="1"/>
      <c r="D307" s="1"/>
      <c r="E307" s="1"/>
      <c r="F307" s="2"/>
      <c r="G307" s="2"/>
      <c r="H307" s="2"/>
      <c r="I307" s="2"/>
      <c r="J307" s="2"/>
      <c r="K307" s="2"/>
      <c r="L307" s="2"/>
      <c r="M307" s="2"/>
      <c r="N307" s="2"/>
      <c r="O307" s="1"/>
      <c r="P307" s="1"/>
      <c r="Q307" s="1"/>
    </row>
    <row r="308">
      <c r="A308" s="1"/>
      <c r="B308" s="1"/>
      <c r="C308" s="1"/>
      <c r="D308" s="1"/>
      <c r="E308" s="1"/>
      <c r="F308" s="2"/>
      <c r="G308" s="2"/>
      <c r="H308" s="2"/>
      <c r="I308" s="2"/>
      <c r="J308" s="2"/>
      <c r="K308" s="2"/>
      <c r="L308" s="2"/>
      <c r="M308" s="2"/>
      <c r="N308" s="2"/>
      <c r="O308" s="1"/>
      <c r="P308" s="1"/>
      <c r="Q308" s="1"/>
    </row>
    <row r="309">
      <c r="A309" s="1"/>
      <c r="B309" s="1"/>
      <c r="C309" s="1"/>
      <c r="D309" s="1"/>
      <c r="E309" s="1"/>
      <c r="F309" s="2"/>
      <c r="G309" s="2"/>
      <c r="H309" s="2"/>
      <c r="I309" s="2"/>
      <c r="J309" s="2"/>
      <c r="K309" s="2"/>
      <c r="L309" s="2"/>
      <c r="M309" s="2"/>
      <c r="N309" s="2"/>
      <c r="O309" s="1"/>
      <c r="P309" s="1"/>
      <c r="Q309" s="1"/>
    </row>
    <row r="310">
      <c r="A310" s="1"/>
      <c r="B310" s="1"/>
      <c r="C310" s="1"/>
      <c r="D310" s="1"/>
      <c r="E310" s="1"/>
      <c r="F310" s="2"/>
      <c r="G310" s="2"/>
      <c r="H310" s="2"/>
      <c r="I310" s="2"/>
      <c r="J310" s="2"/>
      <c r="K310" s="2"/>
      <c r="L310" s="2"/>
      <c r="M310" s="2"/>
      <c r="N310" s="2"/>
      <c r="O310" s="1"/>
      <c r="P310" s="1"/>
      <c r="Q310" s="1"/>
    </row>
    <row r="311">
      <c r="A311" s="1"/>
      <c r="B311" s="1"/>
      <c r="C311" s="1"/>
      <c r="D311" s="1"/>
      <c r="E311" s="1"/>
      <c r="F311" s="2"/>
      <c r="G311" s="2"/>
      <c r="H311" s="2"/>
      <c r="I311" s="2"/>
      <c r="J311" s="2"/>
      <c r="K311" s="2"/>
      <c r="L311" s="2"/>
      <c r="M311" s="2"/>
      <c r="N311" s="2"/>
      <c r="O311" s="1"/>
      <c r="P311" s="1"/>
      <c r="Q311" s="1"/>
    </row>
    <row r="312">
      <c r="A312" s="1"/>
      <c r="B312" s="1"/>
      <c r="C312" s="1"/>
      <c r="D312" s="1"/>
      <c r="E312" s="1"/>
      <c r="F312" s="2"/>
      <c r="G312" s="2"/>
      <c r="H312" s="2"/>
      <c r="I312" s="2"/>
      <c r="J312" s="2"/>
      <c r="K312" s="2"/>
      <c r="L312" s="2"/>
      <c r="M312" s="2"/>
      <c r="N312" s="2"/>
      <c r="O312" s="1"/>
      <c r="P312" s="1"/>
      <c r="Q312" s="1"/>
    </row>
    <row r="313">
      <c r="A313" s="1"/>
      <c r="B313" s="1"/>
      <c r="C313" s="1"/>
      <c r="D313" s="1"/>
      <c r="E313" s="1"/>
      <c r="F313" s="2"/>
      <c r="G313" s="2"/>
      <c r="H313" s="2"/>
      <c r="I313" s="2"/>
      <c r="J313" s="2"/>
      <c r="K313" s="2"/>
      <c r="L313" s="2"/>
      <c r="M313" s="2"/>
      <c r="N313" s="2"/>
      <c r="O313" s="1"/>
      <c r="P313" s="1"/>
      <c r="Q313" s="1"/>
    </row>
    <row r="314">
      <c r="A314" s="1"/>
      <c r="B314" s="1"/>
      <c r="C314" s="1"/>
      <c r="D314" s="1"/>
      <c r="E314" s="1"/>
      <c r="F314" s="2"/>
      <c r="G314" s="2"/>
      <c r="H314" s="2"/>
      <c r="I314" s="2"/>
      <c r="J314" s="2"/>
      <c r="K314" s="2"/>
      <c r="L314" s="2"/>
      <c r="M314" s="2"/>
      <c r="N314" s="2"/>
      <c r="O314" s="1"/>
      <c r="P314" s="1"/>
      <c r="Q314" s="1"/>
    </row>
    <row r="315">
      <c r="A315" s="1"/>
      <c r="B315" s="1"/>
      <c r="C315" s="1"/>
      <c r="D315" s="1"/>
      <c r="E315" s="1"/>
      <c r="F315" s="2"/>
      <c r="G315" s="2"/>
      <c r="H315" s="2"/>
      <c r="I315" s="2"/>
      <c r="J315" s="2"/>
      <c r="K315" s="2"/>
      <c r="L315" s="2"/>
      <c r="M315" s="2"/>
      <c r="N315" s="2"/>
      <c r="O315" s="1"/>
      <c r="P315" s="1"/>
      <c r="Q315" s="1"/>
    </row>
    <row r="316">
      <c r="A316" s="1"/>
      <c r="B316" s="1"/>
      <c r="C316" s="1"/>
      <c r="D316" s="1"/>
      <c r="E316" s="1"/>
      <c r="F316" s="2"/>
      <c r="G316" s="2"/>
      <c r="H316" s="2"/>
      <c r="I316" s="2"/>
      <c r="J316" s="2"/>
      <c r="K316" s="2"/>
      <c r="L316" s="2"/>
      <c r="M316" s="2"/>
      <c r="N316" s="2"/>
      <c r="O316" s="1"/>
      <c r="P316" s="1"/>
      <c r="Q316" s="1"/>
    </row>
    <row r="317">
      <c r="A317" s="1"/>
      <c r="B317" s="1"/>
      <c r="C317" s="1"/>
      <c r="D317" s="1"/>
      <c r="E317" s="1"/>
      <c r="F317" s="2"/>
      <c r="G317" s="2"/>
      <c r="H317" s="2"/>
      <c r="I317" s="2"/>
      <c r="J317" s="2"/>
      <c r="K317" s="2"/>
      <c r="L317" s="2"/>
      <c r="M317" s="2"/>
      <c r="N317" s="2"/>
      <c r="O317" s="1"/>
      <c r="P317" s="1"/>
      <c r="Q317" s="1"/>
    </row>
    <row r="318">
      <c r="A318" s="1"/>
      <c r="B318" s="1"/>
      <c r="C318" s="1"/>
      <c r="D318" s="1"/>
      <c r="E318" s="1"/>
      <c r="F318" s="2"/>
      <c r="G318" s="2"/>
      <c r="H318" s="2"/>
      <c r="I318" s="2"/>
      <c r="J318" s="2"/>
      <c r="K318" s="2"/>
      <c r="L318" s="2"/>
      <c r="M318" s="2"/>
      <c r="N318" s="2"/>
      <c r="O318" s="1"/>
      <c r="P318" s="1"/>
      <c r="Q318" s="1"/>
    </row>
    <row r="319">
      <c r="A319" s="1"/>
      <c r="B319" s="1"/>
      <c r="C319" s="1"/>
      <c r="D319" s="1"/>
      <c r="E319" s="1"/>
      <c r="F319" s="2"/>
      <c r="G319" s="2"/>
      <c r="H319" s="2"/>
      <c r="I319" s="2"/>
      <c r="J319" s="2"/>
      <c r="K319" s="2"/>
      <c r="L319" s="2"/>
      <c r="M319" s="2"/>
      <c r="N319" s="2"/>
      <c r="O319" s="1"/>
      <c r="P319" s="1"/>
      <c r="Q319" s="1"/>
    </row>
    <row r="320">
      <c r="A320" s="1"/>
      <c r="B320" s="1"/>
      <c r="C320" s="1"/>
      <c r="D320" s="1"/>
      <c r="E320" s="1"/>
      <c r="F320" s="2"/>
      <c r="G320" s="2"/>
      <c r="H320" s="2"/>
      <c r="I320" s="2"/>
      <c r="J320" s="2"/>
      <c r="K320" s="2"/>
      <c r="L320" s="2"/>
      <c r="M320" s="2"/>
      <c r="N320" s="2"/>
      <c r="O320" s="1"/>
      <c r="P320" s="1"/>
      <c r="Q320" s="1"/>
    </row>
    <row r="321">
      <c r="A321" s="1"/>
      <c r="B321" s="1"/>
      <c r="C321" s="1"/>
      <c r="D321" s="1"/>
      <c r="E321" s="1"/>
      <c r="F321" s="2"/>
      <c r="G321" s="2"/>
      <c r="H321" s="2"/>
      <c r="I321" s="2"/>
      <c r="J321" s="2"/>
      <c r="K321" s="2"/>
      <c r="L321" s="2"/>
      <c r="M321" s="2"/>
      <c r="N321" s="2"/>
      <c r="O321" s="1"/>
      <c r="P321" s="1"/>
      <c r="Q321" s="1"/>
    </row>
    <row r="322">
      <c r="A322" s="1"/>
      <c r="B322" s="1"/>
      <c r="C322" s="1"/>
      <c r="D322" s="1"/>
      <c r="E322" s="1"/>
      <c r="F322" s="2"/>
      <c r="G322" s="2"/>
      <c r="H322" s="2"/>
      <c r="I322" s="2"/>
      <c r="J322" s="2"/>
      <c r="K322" s="2"/>
      <c r="L322" s="2"/>
      <c r="M322" s="2"/>
      <c r="N322" s="2"/>
      <c r="O322" s="1"/>
      <c r="P322" s="1"/>
      <c r="Q322" s="1"/>
    </row>
    <row r="323">
      <c r="A323" s="1"/>
      <c r="B323" s="1"/>
      <c r="C323" s="1"/>
      <c r="D323" s="1"/>
      <c r="E323" s="1"/>
      <c r="F323" s="2"/>
      <c r="G323" s="2"/>
      <c r="H323" s="2"/>
      <c r="I323" s="2"/>
      <c r="J323" s="2"/>
      <c r="K323" s="2"/>
      <c r="L323" s="2"/>
      <c r="M323" s="2"/>
      <c r="N323" s="2"/>
      <c r="O323" s="1"/>
      <c r="P323" s="1"/>
      <c r="Q323" s="1"/>
    </row>
    <row r="324">
      <c r="A324" s="1"/>
      <c r="B324" s="1"/>
      <c r="C324" s="1"/>
      <c r="D324" s="1"/>
      <c r="E324" s="1"/>
      <c r="F324" s="2"/>
      <c r="G324" s="2"/>
      <c r="H324" s="2"/>
      <c r="I324" s="2"/>
      <c r="J324" s="2"/>
      <c r="K324" s="2"/>
      <c r="L324" s="2"/>
      <c r="M324" s="2"/>
      <c r="N324" s="2"/>
      <c r="O324" s="1"/>
      <c r="P324" s="1"/>
      <c r="Q324" s="1"/>
    </row>
    <row r="325">
      <c r="A325" s="1"/>
      <c r="B325" s="1"/>
      <c r="C325" s="1"/>
      <c r="D325" s="1"/>
      <c r="E325" s="1"/>
      <c r="F325" s="2"/>
      <c r="G325" s="2"/>
      <c r="H325" s="2"/>
      <c r="I325" s="2"/>
      <c r="J325" s="2"/>
      <c r="K325" s="2"/>
      <c r="L325" s="2"/>
      <c r="M325" s="2"/>
      <c r="N325" s="2"/>
      <c r="O325" s="1"/>
      <c r="P325" s="1"/>
      <c r="Q325" s="1"/>
    </row>
    <row r="326">
      <c r="A326" s="1"/>
      <c r="B326" s="1"/>
      <c r="C326" s="1"/>
      <c r="D326" s="1"/>
      <c r="E326" s="1"/>
      <c r="F326" s="2"/>
      <c r="G326" s="2"/>
      <c r="H326" s="2"/>
      <c r="I326" s="2"/>
      <c r="J326" s="2"/>
      <c r="K326" s="2"/>
      <c r="L326" s="2"/>
      <c r="M326" s="2"/>
      <c r="N326" s="2"/>
      <c r="O326" s="1"/>
      <c r="P326" s="1"/>
      <c r="Q326" s="1"/>
    </row>
    <row r="327">
      <c r="A327" s="1"/>
      <c r="B327" s="1"/>
      <c r="C327" s="1"/>
      <c r="D327" s="1"/>
      <c r="E327" s="1"/>
      <c r="F327" s="2"/>
      <c r="G327" s="2"/>
      <c r="H327" s="2"/>
      <c r="I327" s="2"/>
      <c r="J327" s="2"/>
      <c r="K327" s="2"/>
      <c r="L327" s="2"/>
      <c r="M327" s="2"/>
      <c r="N327" s="2"/>
      <c r="O327" s="1"/>
      <c r="P327" s="1"/>
      <c r="Q327" s="1"/>
    </row>
    <row r="328">
      <c r="A328" s="1"/>
      <c r="B328" s="1"/>
      <c r="C328" s="1"/>
      <c r="D328" s="1"/>
      <c r="E328" s="1"/>
      <c r="F328" s="2"/>
      <c r="G328" s="2"/>
      <c r="H328" s="2"/>
      <c r="I328" s="2"/>
      <c r="J328" s="2"/>
      <c r="K328" s="2"/>
      <c r="L328" s="2"/>
      <c r="M328" s="2"/>
      <c r="N328" s="2"/>
      <c r="O328" s="1"/>
      <c r="P328" s="1"/>
      <c r="Q328" s="1"/>
    </row>
    <row r="329">
      <c r="A329" s="1"/>
      <c r="B329" s="1"/>
      <c r="C329" s="1"/>
      <c r="D329" s="1"/>
      <c r="E329" s="1"/>
      <c r="F329" s="2"/>
      <c r="G329" s="2"/>
      <c r="H329" s="2"/>
      <c r="I329" s="2"/>
      <c r="J329" s="2"/>
      <c r="K329" s="2"/>
      <c r="L329" s="2"/>
      <c r="M329" s="2"/>
      <c r="N329" s="2"/>
      <c r="O329" s="1"/>
      <c r="P329" s="1"/>
      <c r="Q329" s="1"/>
    </row>
    <row r="330">
      <c r="A330" s="1"/>
      <c r="B330" s="1"/>
      <c r="C330" s="1"/>
      <c r="D330" s="1"/>
      <c r="E330" s="1"/>
      <c r="F330" s="2"/>
      <c r="G330" s="2"/>
      <c r="H330" s="2"/>
      <c r="I330" s="2"/>
      <c r="J330" s="2"/>
      <c r="K330" s="2"/>
      <c r="L330" s="2"/>
      <c r="M330" s="2"/>
      <c r="N330" s="2"/>
      <c r="O330" s="1"/>
      <c r="P330" s="1"/>
      <c r="Q330" s="1"/>
    </row>
    <row r="331">
      <c r="A331" s="1"/>
      <c r="B331" s="1"/>
      <c r="C331" s="1"/>
      <c r="D331" s="1"/>
      <c r="E331" s="1"/>
      <c r="F331" s="2"/>
      <c r="G331" s="2"/>
      <c r="H331" s="2"/>
      <c r="I331" s="2"/>
      <c r="J331" s="2"/>
      <c r="K331" s="2"/>
      <c r="L331" s="2"/>
      <c r="M331" s="2"/>
      <c r="N331" s="2"/>
      <c r="O331" s="1"/>
      <c r="P331" s="1"/>
      <c r="Q331" s="1"/>
    </row>
    <row r="332">
      <c r="A332" s="1"/>
      <c r="B332" s="1"/>
      <c r="C332" s="1"/>
      <c r="D332" s="1"/>
      <c r="E332" s="1"/>
      <c r="F332" s="2"/>
      <c r="G332" s="2"/>
      <c r="H332" s="2"/>
      <c r="I332" s="2"/>
      <c r="J332" s="2"/>
      <c r="K332" s="2"/>
      <c r="L332" s="2"/>
      <c r="M332" s="2"/>
      <c r="N332" s="2"/>
      <c r="O332" s="1"/>
      <c r="P332" s="1"/>
      <c r="Q332" s="1"/>
    </row>
    <row r="333">
      <c r="A333" s="1"/>
      <c r="B333" s="1"/>
      <c r="C333" s="1"/>
      <c r="D333" s="1"/>
      <c r="E333" s="1"/>
      <c r="F333" s="2"/>
      <c r="G333" s="2"/>
      <c r="H333" s="2"/>
      <c r="I333" s="2"/>
      <c r="J333" s="2"/>
      <c r="K333" s="2"/>
      <c r="L333" s="2"/>
      <c r="M333" s="2"/>
      <c r="N333" s="2"/>
      <c r="O333" s="1"/>
      <c r="P333" s="1"/>
      <c r="Q333" s="1"/>
    </row>
    <row r="334">
      <c r="A334" s="1"/>
      <c r="B334" s="1"/>
      <c r="C334" s="1"/>
      <c r="D334" s="1"/>
      <c r="E334" s="1"/>
      <c r="F334" s="2"/>
      <c r="G334" s="2"/>
      <c r="H334" s="2"/>
      <c r="I334" s="2"/>
      <c r="J334" s="2"/>
      <c r="K334" s="2"/>
      <c r="L334" s="2"/>
      <c r="M334" s="2"/>
      <c r="N334" s="2"/>
      <c r="O334" s="1"/>
      <c r="P334" s="1"/>
      <c r="Q334" s="1"/>
    </row>
    <row r="335">
      <c r="A335" s="1"/>
      <c r="B335" s="1"/>
      <c r="C335" s="1"/>
      <c r="D335" s="1"/>
      <c r="E335" s="1"/>
      <c r="F335" s="2"/>
      <c r="G335" s="2"/>
      <c r="H335" s="2"/>
      <c r="I335" s="2"/>
      <c r="J335" s="2"/>
      <c r="K335" s="2"/>
      <c r="L335" s="2"/>
      <c r="M335" s="2"/>
      <c r="N335" s="2"/>
      <c r="O335" s="1"/>
      <c r="P335" s="1"/>
      <c r="Q335" s="1"/>
    </row>
    <row r="336">
      <c r="A336" s="1"/>
      <c r="B336" s="1"/>
      <c r="C336" s="1"/>
      <c r="D336" s="1"/>
      <c r="E336" s="1"/>
      <c r="F336" s="2"/>
      <c r="G336" s="2"/>
      <c r="H336" s="2"/>
      <c r="I336" s="2"/>
      <c r="J336" s="2"/>
      <c r="K336" s="2"/>
      <c r="L336" s="2"/>
      <c r="M336" s="2"/>
      <c r="N336" s="2"/>
      <c r="O336" s="1"/>
      <c r="P336" s="1"/>
      <c r="Q336" s="1"/>
    </row>
    <row r="337">
      <c r="A337" s="1"/>
      <c r="B337" s="1"/>
      <c r="C337" s="1"/>
      <c r="D337" s="1"/>
      <c r="E337" s="1"/>
      <c r="F337" s="2"/>
      <c r="G337" s="2"/>
      <c r="H337" s="2"/>
      <c r="I337" s="2"/>
      <c r="J337" s="2"/>
      <c r="K337" s="2"/>
      <c r="L337" s="2"/>
      <c r="M337" s="2"/>
      <c r="N337" s="2"/>
      <c r="O337" s="1"/>
      <c r="P337" s="1"/>
      <c r="Q337" s="1"/>
    </row>
    <row r="338">
      <c r="A338" s="1"/>
      <c r="B338" s="1"/>
      <c r="C338" s="1"/>
      <c r="D338" s="1"/>
      <c r="E338" s="1"/>
      <c r="F338" s="2"/>
      <c r="G338" s="2"/>
      <c r="H338" s="2"/>
      <c r="I338" s="2"/>
      <c r="J338" s="2"/>
      <c r="K338" s="2"/>
      <c r="L338" s="2"/>
      <c r="M338" s="2"/>
      <c r="N338" s="2"/>
      <c r="O338" s="1"/>
      <c r="P338" s="1"/>
      <c r="Q338" s="1"/>
    </row>
    <row r="339">
      <c r="A339" s="1"/>
      <c r="B339" s="1"/>
      <c r="C339" s="1"/>
      <c r="D339" s="1"/>
      <c r="E339" s="1"/>
      <c r="F339" s="2"/>
      <c r="G339" s="2"/>
      <c r="H339" s="2"/>
      <c r="I339" s="2"/>
      <c r="J339" s="2"/>
      <c r="K339" s="2"/>
      <c r="L339" s="2"/>
      <c r="M339" s="2"/>
      <c r="N339" s="2"/>
      <c r="O339" s="1"/>
      <c r="P339" s="1"/>
      <c r="Q339" s="1"/>
    </row>
    <row r="340">
      <c r="A340" s="1"/>
      <c r="B340" s="1"/>
      <c r="C340" s="1"/>
      <c r="D340" s="1"/>
      <c r="E340" s="1"/>
      <c r="F340" s="2"/>
      <c r="G340" s="2"/>
      <c r="H340" s="2"/>
      <c r="I340" s="2"/>
      <c r="J340" s="2"/>
      <c r="K340" s="2"/>
      <c r="L340" s="2"/>
      <c r="M340" s="2"/>
      <c r="N340" s="2"/>
      <c r="O340" s="1"/>
      <c r="P340" s="1"/>
      <c r="Q340" s="1"/>
    </row>
    <row r="341">
      <c r="A341" s="1"/>
      <c r="B341" s="1"/>
      <c r="C341" s="1"/>
      <c r="D341" s="1"/>
      <c r="E341" s="1"/>
      <c r="F341" s="2"/>
      <c r="G341" s="2"/>
      <c r="H341" s="2"/>
      <c r="I341" s="2"/>
      <c r="J341" s="2"/>
      <c r="K341" s="2"/>
      <c r="L341" s="2"/>
      <c r="M341" s="2"/>
      <c r="N341" s="2"/>
      <c r="O341" s="1"/>
      <c r="P341" s="1"/>
      <c r="Q341" s="1"/>
    </row>
    <row r="342">
      <c r="A342" s="1"/>
      <c r="B342" s="1"/>
      <c r="C342" s="1"/>
      <c r="D342" s="1"/>
      <c r="E342" s="1"/>
      <c r="F342" s="2"/>
      <c r="G342" s="2"/>
      <c r="H342" s="2"/>
      <c r="I342" s="2"/>
      <c r="J342" s="2"/>
      <c r="K342" s="2"/>
      <c r="L342" s="2"/>
      <c r="M342" s="2"/>
      <c r="N342" s="2"/>
      <c r="O342" s="1"/>
      <c r="P342" s="1"/>
      <c r="Q342" s="1"/>
    </row>
    <row r="343">
      <c r="A343" s="1"/>
      <c r="B343" s="1"/>
      <c r="C343" s="1"/>
      <c r="D343" s="1"/>
      <c r="E343" s="1"/>
      <c r="F343" s="2"/>
      <c r="G343" s="2"/>
      <c r="H343" s="2"/>
      <c r="I343" s="2"/>
      <c r="J343" s="2"/>
      <c r="K343" s="2"/>
      <c r="L343" s="2"/>
      <c r="M343" s="2"/>
      <c r="N343" s="2"/>
      <c r="O343" s="1"/>
      <c r="P343" s="1"/>
      <c r="Q343" s="1"/>
    </row>
    <row r="344">
      <c r="A344" s="1"/>
      <c r="B344" s="1"/>
      <c r="C344" s="1"/>
      <c r="D344" s="1"/>
      <c r="E344" s="1"/>
      <c r="F344" s="2"/>
      <c r="G344" s="2"/>
      <c r="H344" s="2"/>
      <c r="I344" s="2"/>
      <c r="J344" s="2"/>
      <c r="K344" s="2"/>
      <c r="L344" s="2"/>
      <c r="M344" s="2"/>
      <c r="N344" s="2"/>
      <c r="O344" s="1"/>
      <c r="P344" s="1"/>
      <c r="Q344" s="1"/>
    </row>
    <row r="345">
      <c r="A345" s="1"/>
      <c r="B345" s="1"/>
      <c r="C345" s="1"/>
      <c r="D345" s="1"/>
      <c r="E345" s="1"/>
      <c r="F345" s="2"/>
      <c r="G345" s="2"/>
      <c r="H345" s="2"/>
      <c r="I345" s="2"/>
      <c r="J345" s="2"/>
      <c r="K345" s="2"/>
      <c r="L345" s="2"/>
      <c r="M345" s="2"/>
      <c r="N345" s="2"/>
      <c r="O345" s="1"/>
      <c r="P345" s="1"/>
      <c r="Q345" s="1"/>
    </row>
    <row r="346">
      <c r="A346" s="1"/>
      <c r="B346" s="1"/>
      <c r="C346" s="1"/>
      <c r="D346" s="1"/>
      <c r="E346" s="1"/>
      <c r="F346" s="2"/>
      <c r="G346" s="2"/>
      <c r="H346" s="2"/>
      <c r="I346" s="2"/>
      <c r="J346" s="2"/>
      <c r="K346" s="2"/>
      <c r="L346" s="2"/>
      <c r="M346" s="2"/>
      <c r="N346" s="2"/>
      <c r="O346" s="1"/>
      <c r="P346" s="1"/>
      <c r="Q346" s="1"/>
    </row>
    <row r="347">
      <c r="A347" s="1"/>
      <c r="B347" s="1"/>
      <c r="C347" s="1"/>
      <c r="D347" s="1"/>
      <c r="E347" s="1"/>
      <c r="F347" s="2"/>
      <c r="G347" s="2"/>
      <c r="H347" s="2"/>
      <c r="I347" s="2"/>
      <c r="J347" s="2"/>
      <c r="K347" s="2"/>
      <c r="L347" s="2"/>
      <c r="M347" s="2"/>
      <c r="N347" s="2"/>
      <c r="O347" s="1"/>
      <c r="P347" s="1"/>
      <c r="Q347" s="1"/>
    </row>
    <row r="348">
      <c r="A348" s="1"/>
      <c r="B348" s="1"/>
      <c r="C348" s="1"/>
      <c r="D348" s="1"/>
      <c r="E348" s="1"/>
      <c r="F348" s="2"/>
      <c r="G348" s="2"/>
      <c r="H348" s="2"/>
      <c r="I348" s="2"/>
      <c r="J348" s="2"/>
      <c r="K348" s="2"/>
      <c r="L348" s="2"/>
      <c r="M348" s="2"/>
      <c r="N348" s="2"/>
      <c r="O348" s="1"/>
      <c r="P348" s="1"/>
      <c r="Q348" s="1"/>
    </row>
    <row r="349">
      <c r="A349" s="1"/>
      <c r="B349" s="1"/>
      <c r="C349" s="1"/>
      <c r="D349" s="1"/>
      <c r="E349" s="1"/>
      <c r="F349" s="2"/>
      <c r="G349" s="2"/>
      <c r="H349" s="2"/>
      <c r="I349" s="2"/>
      <c r="J349" s="2"/>
      <c r="K349" s="2"/>
      <c r="L349" s="2"/>
      <c r="M349" s="2"/>
      <c r="N349" s="2"/>
      <c r="O349" s="1"/>
      <c r="P349" s="1"/>
      <c r="Q349" s="1"/>
    </row>
    <row r="350">
      <c r="A350" s="1"/>
      <c r="B350" s="1"/>
      <c r="C350" s="1"/>
      <c r="D350" s="1"/>
      <c r="E350" s="1"/>
      <c r="F350" s="2"/>
      <c r="G350" s="2"/>
      <c r="H350" s="2"/>
      <c r="I350" s="2"/>
      <c r="J350" s="2"/>
      <c r="K350" s="2"/>
      <c r="L350" s="2"/>
      <c r="M350" s="2"/>
      <c r="N350" s="2"/>
      <c r="O350" s="1"/>
      <c r="P350" s="1"/>
      <c r="Q350" s="1"/>
    </row>
    <row r="351">
      <c r="A351" s="1"/>
      <c r="B351" s="1"/>
      <c r="C351" s="1"/>
      <c r="D351" s="1"/>
      <c r="E351" s="1"/>
      <c r="F351" s="2"/>
      <c r="G351" s="2"/>
      <c r="H351" s="2"/>
      <c r="I351" s="2"/>
      <c r="J351" s="2"/>
      <c r="K351" s="2"/>
      <c r="L351" s="2"/>
      <c r="M351" s="2"/>
      <c r="N351" s="2"/>
      <c r="O351" s="1"/>
      <c r="P351" s="1"/>
      <c r="Q351" s="1"/>
    </row>
    <row r="352">
      <c r="A352" s="1"/>
      <c r="B352" s="1"/>
      <c r="C352" s="1"/>
      <c r="D352" s="1"/>
      <c r="E352" s="1"/>
      <c r="F352" s="2"/>
      <c r="G352" s="2"/>
      <c r="H352" s="2"/>
      <c r="I352" s="2"/>
      <c r="J352" s="2"/>
      <c r="K352" s="2"/>
      <c r="L352" s="2"/>
      <c r="M352" s="2"/>
      <c r="N352" s="2"/>
      <c r="O352" s="1"/>
      <c r="P352" s="1"/>
      <c r="Q352" s="1"/>
    </row>
    <row r="353">
      <c r="A353" s="1"/>
      <c r="B353" s="1"/>
      <c r="C353" s="1"/>
      <c r="D353" s="1"/>
      <c r="E353" s="1"/>
      <c r="F353" s="2"/>
      <c r="G353" s="2"/>
      <c r="H353" s="2"/>
      <c r="I353" s="2"/>
      <c r="J353" s="2"/>
      <c r="K353" s="2"/>
      <c r="L353" s="2"/>
      <c r="M353" s="2"/>
      <c r="N353" s="2"/>
      <c r="O353" s="1"/>
      <c r="P353" s="1"/>
      <c r="Q353" s="1"/>
    </row>
    <row r="354">
      <c r="A354" s="1"/>
      <c r="B354" s="1"/>
      <c r="C354" s="1"/>
      <c r="D354" s="1"/>
      <c r="E354" s="1"/>
      <c r="F354" s="2"/>
      <c r="G354" s="2"/>
      <c r="H354" s="2"/>
      <c r="I354" s="2"/>
      <c r="J354" s="2"/>
      <c r="K354" s="2"/>
      <c r="L354" s="2"/>
      <c r="M354" s="2"/>
      <c r="N354" s="2"/>
      <c r="O354" s="1"/>
      <c r="P354" s="1"/>
      <c r="Q354" s="1"/>
    </row>
    <row r="355">
      <c r="A355" s="1"/>
      <c r="B355" s="1"/>
      <c r="C355" s="1"/>
      <c r="D355" s="1"/>
      <c r="E355" s="1"/>
      <c r="F355" s="2"/>
      <c r="G355" s="2"/>
      <c r="H355" s="2"/>
      <c r="I355" s="2"/>
      <c r="J355" s="2"/>
      <c r="K355" s="2"/>
      <c r="L355" s="2"/>
      <c r="M355" s="2"/>
      <c r="N355" s="2"/>
      <c r="O355" s="1"/>
      <c r="P355" s="1"/>
      <c r="Q355" s="1"/>
    </row>
    <row r="356">
      <c r="A356" s="1"/>
      <c r="B356" s="1"/>
      <c r="C356" s="1"/>
      <c r="D356" s="1"/>
      <c r="E356" s="1"/>
      <c r="F356" s="2"/>
      <c r="G356" s="2"/>
      <c r="H356" s="2"/>
      <c r="I356" s="2"/>
      <c r="J356" s="2"/>
      <c r="K356" s="2"/>
      <c r="L356" s="2"/>
      <c r="M356" s="2"/>
      <c r="N356" s="2"/>
      <c r="O356" s="1"/>
      <c r="P356" s="1"/>
      <c r="Q356" s="1"/>
    </row>
    <row r="357">
      <c r="A357" s="1"/>
      <c r="B357" s="1"/>
      <c r="C357" s="1"/>
      <c r="D357" s="1"/>
      <c r="E357" s="1"/>
      <c r="F357" s="2"/>
      <c r="G357" s="2"/>
      <c r="H357" s="2"/>
      <c r="I357" s="2"/>
      <c r="J357" s="2"/>
      <c r="K357" s="2"/>
      <c r="L357" s="2"/>
      <c r="M357" s="2"/>
      <c r="N357" s="2"/>
      <c r="O357" s="1"/>
      <c r="P357" s="1"/>
      <c r="Q357" s="1"/>
    </row>
    <row r="358">
      <c r="A358" s="1"/>
      <c r="B358" s="1"/>
      <c r="C358" s="1"/>
      <c r="D358" s="1"/>
      <c r="E358" s="1"/>
      <c r="F358" s="2"/>
      <c r="G358" s="2"/>
      <c r="H358" s="2"/>
      <c r="I358" s="2"/>
      <c r="J358" s="2"/>
      <c r="K358" s="2"/>
      <c r="L358" s="2"/>
      <c r="M358" s="2"/>
      <c r="N358" s="2"/>
      <c r="O358" s="1"/>
      <c r="P358" s="1"/>
      <c r="Q358" s="1"/>
    </row>
    <row r="359">
      <c r="A359" s="1"/>
      <c r="B359" s="1"/>
      <c r="C359" s="1"/>
      <c r="D359" s="1"/>
      <c r="E359" s="1"/>
      <c r="F359" s="2"/>
      <c r="G359" s="2"/>
      <c r="H359" s="2"/>
      <c r="I359" s="2"/>
      <c r="J359" s="2"/>
      <c r="K359" s="2"/>
      <c r="L359" s="2"/>
      <c r="M359" s="2"/>
      <c r="N359" s="2"/>
      <c r="O359" s="1"/>
      <c r="P359" s="1"/>
      <c r="Q359" s="1"/>
    </row>
    <row r="360">
      <c r="A360" s="1"/>
      <c r="B360" s="1"/>
      <c r="C360" s="1"/>
      <c r="D360" s="1"/>
      <c r="E360" s="1"/>
      <c r="F360" s="2"/>
      <c r="G360" s="2"/>
      <c r="H360" s="2"/>
      <c r="I360" s="2"/>
      <c r="J360" s="2"/>
      <c r="K360" s="2"/>
      <c r="L360" s="2"/>
      <c r="M360" s="2"/>
      <c r="N360" s="2"/>
      <c r="O360" s="1"/>
      <c r="P360" s="1"/>
      <c r="Q360" s="1"/>
    </row>
    <row r="361">
      <c r="A361" s="1"/>
      <c r="B361" s="1"/>
      <c r="C361" s="1"/>
      <c r="D361" s="1"/>
      <c r="E361" s="1"/>
      <c r="F361" s="2"/>
      <c r="G361" s="2"/>
      <c r="H361" s="2"/>
      <c r="I361" s="2"/>
      <c r="J361" s="2"/>
      <c r="K361" s="2"/>
      <c r="L361" s="2"/>
      <c r="M361" s="2"/>
      <c r="N361" s="2"/>
      <c r="O361" s="1"/>
      <c r="P361" s="1"/>
      <c r="Q361" s="1"/>
    </row>
    <row r="362">
      <c r="A362" s="1"/>
      <c r="B362" s="1"/>
      <c r="C362" s="1"/>
      <c r="D362" s="1"/>
      <c r="E362" s="1"/>
      <c r="F362" s="2"/>
      <c r="G362" s="2"/>
      <c r="H362" s="2"/>
      <c r="I362" s="2"/>
      <c r="J362" s="2"/>
      <c r="K362" s="2"/>
      <c r="L362" s="2"/>
      <c r="M362" s="2"/>
      <c r="N362" s="2"/>
      <c r="O362" s="1"/>
      <c r="P362" s="1"/>
      <c r="Q362" s="1"/>
    </row>
    <row r="363">
      <c r="A363" s="1"/>
      <c r="B363" s="1"/>
      <c r="C363" s="1"/>
      <c r="D363" s="1"/>
      <c r="E363" s="1"/>
      <c r="F363" s="2"/>
      <c r="G363" s="2"/>
      <c r="H363" s="2"/>
      <c r="I363" s="2"/>
      <c r="J363" s="2"/>
      <c r="K363" s="2"/>
      <c r="L363" s="2"/>
      <c r="M363" s="2"/>
      <c r="N363" s="2"/>
      <c r="O363" s="1"/>
      <c r="P363" s="1"/>
      <c r="Q363" s="1"/>
    </row>
    <row r="364">
      <c r="A364" s="1"/>
      <c r="B364" s="1"/>
      <c r="C364" s="1"/>
      <c r="D364" s="1"/>
      <c r="E364" s="1"/>
      <c r="F364" s="2"/>
      <c r="G364" s="2"/>
      <c r="H364" s="2"/>
      <c r="I364" s="2"/>
      <c r="J364" s="2"/>
      <c r="K364" s="2"/>
      <c r="L364" s="2"/>
      <c r="M364" s="2"/>
      <c r="N364" s="2"/>
      <c r="O364" s="1"/>
      <c r="P364" s="1"/>
      <c r="Q364" s="1"/>
    </row>
    <row r="365">
      <c r="A365" s="1"/>
      <c r="B365" s="1"/>
      <c r="C365" s="1"/>
      <c r="D365" s="1"/>
      <c r="E365" s="1"/>
      <c r="F365" s="2"/>
      <c r="G365" s="2"/>
      <c r="H365" s="2"/>
      <c r="I365" s="2"/>
      <c r="J365" s="2"/>
      <c r="K365" s="2"/>
      <c r="L365" s="2"/>
      <c r="M365" s="2"/>
      <c r="N365" s="2"/>
      <c r="O365" s="1"/>
      <c r="P365" s="1"/>
      <c r="Q365" s="1"/>
    </row>
    <row r="366">
      <c r="A366" s="1"/>
      <c r="B366" s="1"/>
      <c r="C366" s="1"/>
      <c r="D366" s="1"/>
      <c r="E366" s="1"/>
      <c r="F366" s="2"/>
      <c r="G366" s="2"/>
      <c r="H366" s="2"/>
      <c r="I366" s="2"/>
      <c r="J366" s="2"/>
      <c r="K366" s="2"/>
      <c r="L366" s="2"/>
      <c r="M366" s="2"/>
      <c r="N366" s="2"/>
      <c r="O366" s="1"/>
      <c r="P366" s="1"/>
      <c r="Q366" s="1"/>
    </row>
    <row r="367">
      <c r="A367" s="1"/>
      <c r="B367" s="1"/>
      <c r="C367" s="1"/>
      <c r="D367" s="1"/>
      <c r="E367" s="1"/>
      <c r="F367" s="2"/>
      <c r="G367" s="2"/>
      <c r="H367" s="2"/>
      <c r="I367" s="2"/>
      <c r="J367" s="2"/>
      <c r="K367" s="2"/>
      <c r="L367" s="2"/>
      <c r="M367" s="2"/>
      <c r="N367" s="2"/>
      <c r="O367" s="1"/>
      <c r="P367" s="1"/>
      <c r="Q367" s="1"/>
    </row>
    <row r="368">
      <c r="A368" s="1"/>
      <c r="B368" s="1"/>
      <c r="C368" s="1"/>
      <c r="D368" s="1"/>
      <c r="E368" s="1"/>
      <c r="F368" s="2"/>
      <c r="G368" s="2"/>
      <c r="H368" s="2"/>
      <c r="I368" s="2"/>
      <c r="J368" s="2"/>
      <c r="K368" s="2"/>
      <c r="L368" s="2"/>
      <c r="M368" s="2"/>
      <c r="N368" s="2"/>
      <c r="O368" s="1"/>
      <c r="P368" s="1"/>
      <c r="Q368" s="1"/>
    </row>
    <row r="369">
      <c r="A369" s="1"/>
      <c r="B369" s="1"/>
      <c r="C369" s="1"/>
      <c r="D369" s="1"/>
      <c r="E369" s="1"/>
      <c r="F369" s="2"/>
      <c r="G369" s="2"/>
      <c r="H369" s="2"/>
      <c r="I369" s="2"/>
      <c r="J369" s="2"/>
      <c r="K369" s="2"/>
      <c r="L369" s="2"/>
      <c r="M369" s="2"/>
      <c r="N369" s="2"/>
      <c r="O369" s="1"/>
      <c r="P369" s="1"/>
      <c r="Q369" s="1"/>
    </row>
    <row r="370">
      <c r="A370" s="1"/>
      <c r="B370" s="1"/>
      <c r="C370" s="1"/>
      <c r="D370" s="1"/>
      <c r="E370" s="1"/>
      <c r="F370" s="2"/>
      <c r="G370" s="2"/>
      <c r="H370" s="2"/>
      <c r="I370" s="2"/>
      <c r="J370" s="2"/>
      <c r="K370" s="2"/>
      <c r="L370" s="2"/>
      <c r="M370" s="2"/>
      <c r="N370" s="2"/>
      <c r="O370" s="1"/>
      <c r="P370" s="1"/>
      <c r="Q370" s="1"/>
    </row>
    <row r="371">
      <c r="A371" s="1"/>
      <c r="B371" s="1"/>
      <c r="C371" s="1"/>
      <c r="D371" s="1"/>
      <c r="E371" s="1"/>
      <c r="F371" s="2"/>
      <c r="G371" s="2"/>
      <c r="H371" s="2"/>
      <c r="I371" s="2"/>
      <c r="J371" s="2"/>
      <c r="K371" s="2"/>
      <c r="L371" s="2"/>
      <c r="M371" s="2"/>
      <c r="N371" s="2"/>
      <c r="O371" s="1"/>
      <c r="P371" s="1"/>
      <c r="Q371" s="1"/>
    </row>
    <row r="372">
      <c r="A372" s="1"/>
      <c r="B372" s="1"/>
      <c r="C372" s="1"/>
      <c r="D372" s="1"/>
      <c r="E372" s="1"/>
      <c r="F372" s="2"/>
      <c r="G372" s="2"/>
      <c r="H372" s="2"/>
      <c r="I372" s="2"/>
      <c r="J372" s="2"/>
      <c r="K372" s="2"/>
      <c r="L372" s="2"/>
      <c r="M372" s="2"/>
      <c r="N372" s="2"/>
      <c r="O372" s="1"/>
      <c r="P372" s="1"/>
      <c r="Q372" s="1"/>
    </row>
    <row r="373">
      <c r="A373" s="1"/>
      <c r="B373" s="1"/>
      <c r="C373" s="1"/>
      <c r="D373" s="1"/>
      <c r="E373" s="1"/>
      <c r="F373" s="2"/>
      <c r="G373" s="2"/>
      <c r="H373" s="2"/>
      <c r="I373" s="2"/>
      <c r="J373" s="2"/>
      <c r="K373" s="2"/>
      <c r="L373" s="2"/>
      <c r="M373" s="2"/>
      <c r="N373" s="2"/>
      <c r="O373" s="1"/>
      <c r="P373" s="1"/>
      <c r="Q373" s="1"/>
    </row>
    <row r="374">
      <c r="A374" s="1"/>
      <c r="B374" s="1"/>
      <c r="C374" s="1"/>
      <c r="D374" s="1"/>
      <c r="E374" s="1"/>
      <c r="F374" s="2"/>
      <c r="G374" s="2"/>
      <c r="H374" s="2"/>
      <c r="I374" s="2"/>
      <c r="J374" s="2"/>
      <c r="K374" s="2"/>
      <c r="L374" s="2"/>
      <c r="M374" s="2"/>
      <c r="N374" s="2"/>
      <c r="O374" s="1"/>
      <c r="P374" s="1"/>
      <c r="Q374" s="1"/>
    </row>
    <row r="375">
      <c r="A375" s="1"/>
      <c r="B375" s="1"/>
      <c r="C375" s="1"/>
      <c r="D375" s="1"/>
      <c r="E375" s="1"/>
      <c r="F375" s="2"/>
      <c r="G375" s="2"/>
      <c r="H375" s="2"/>
      <c r="I375" s="2"/>
      <c r="J375" s="2"/>
      <c r="K375" s="2"/>
      <c r="L375" s="2"/>
      <c r="M375" s="2"/>
      <c r="N375" s="2"/>
      <c r="O375" s="1"/>
      <c r="P375" s="1"/>
      <c r="Q375" s="1"/>
    </row>
    <row r="376">
      <c r="A376" s="1"/>
      <c r="B376" s="1"/>
      <c r="C376" s="1"/>
      <c r="D376" s="1"/>
      <c r="E376" s="1"/>
      <c r="F376" s="2"/>
      <c r="G376" s="2"/>
      <c r="H376" s="2"/>
      <c r="I376" s="2"/>
      <c r="J376" s="2"/>
      <c r="K376" s="2"/>
      <c r="L376" s="2"/>
      <c r="M376" s="2"/>
      <c r="N376" s="2"/>
      <c r="O376" s="1"/>
      <c r="P376" s="1"/>
      <c r="Q376" s="1"/>
    </row>
    <row r="377">
      <c r="A377" s="1"/>
      <c r="B377" s="1"/>
      <c r="C377" s="1"/>
      <c r="D377" s="1"/>
      <c r="E377" s="1"/>
      <c r="F377" s="2"/>
      <c r="G377" s="2"/>
      <c r="H377" s="2"/>
      <c r="I377" s="2"/>
      <c r="J377" s="2"/>
      <c r="K377" s="2"/>
      <c r="L377" s="2"/>
      <c r="M377" s="2"/>
      <c r="N377" s="2"/>
      <c r="O377" s="1"/>
      <c r="P377" s="1"/>
      <c r="Q377" s="1"/>
    </row>
    <row r="378">
      <c r="A378" s="1"/>
      <c r="B378" s="1"/>
      <c r="C378" s="1"/>
      <c r="D378" s="1"/>
      <c r="E378" s="1"/>
      <c r="F378" s="2"/>
      <c r="G378" s="2"/>
      <c r="H378" s="2"/>
      <c r="I378" s="2"/>
      <c r="J378" s="2"/>
      <c r="K378" s="2"/>
      <c r="L378" s="2"/>
      <c r="M378" s="2"/>
      <c r="N378" s="2"/>
      <c r="O378" s="1"/>
      <c r="P378" s="1"/>
      <c r="Q378" s="1"/>
    </row>
    <row r="379">
      <c r="A379" s="1"/>
      <c r="B379" s="1"/>
      <c r="C379" s="1"/>
      <c r="D379" s="1"/>
      <c r="E379" s="1"/>
      <c r="F379" s="2"/>
      <c r="G379" s="2"/>
      <c r="H379" s="2"/>
      <c r="I379" s="2"/>
      <c r="J379" s="2"/>
      <c r="K379" s="2"/>
      <c r="L379" s="2"/>
      <c r="M379" s="2"/>
      <c r="N379" s="2"/>
      <c r="O379" s="1"/>
      <c r="P379" s="1"/>
      <c r="Q379" s="1"/>
    </row>
    <row r="380">
      <c r="A380" s="1"/>
      <c r="B380" s="1"/>
      <c r="C380" s="1"/>
      <c r="D380" s="1"/>
      <c r="E380" s="1"/>
      <c r="F380" s="2"/>
      <c r="G380" s="2"/>
      <c r="H380" s="2"/>
      <c r="I380" s="2"/>
      <c r="J380" s="2"/>
      <c r="K380" s="2"/>
      <c r="L380" s="2"/>
      <c r="M380" s="2"/>
      <c r="N380" s="2"/>
      <c r="O380" s="1"/>
      <c r="P380" s="1"/>
      <c r="Q380" s="1"/>
    </row>
    <row r="381">
      <c r="A381" s="1"/>
      <c r="B381" s="1"/>
      <c r="C381" s="1"/>
      <c r="D381" s="1"/>
      <c r="E381" s="1"/>
      <c r="F381" s="2"/>
      <c r="G381" s="2"/>
      <c r="H381" s="2"/>
      <c r="I381" s="2"/>
      <c r="J381" s="2"/>
      <c r="K381" s="2"/>
      <c r="L381" s="2"/>
      <c r="M381" s="2"/>
      <c r="N381" s="2"/>
      <c r="O381" s="1"/>
      <c r="P381" s="1"/>
      <c r="Q381" s="1"/>
    </row>
    <row r="382">
      <c r="A382" s="1"/>
      <c r="B382" s="1"/>
      <c r="C382" s="1"/>
      <c r="D382" s="1"/>
      <c r="E382" s="1"/>
      <c r="F382" s="2"/>
      <c r="G382" s="2"/>
      <c r="H382" s="2"/>
      <c r="I382" s="2"/>
      <c r="J382" s="2"/>
      <c r="K382" s="2"/>
      <c r="L382" s="2"/>
      <c r="M382" s="2"/>
      <c r="N382" s="2"/>
      <c r="O382" s="1"/>
      <c r="P382" s="1"/>
      <c r="Q382" s="1"/>
    </row>
    <row r="383">
      <c r="A383" s="1"/>
      <c r="B383" s="1"/>
      <c r="C383" s="1"/>
      <c r="D383" s="1"/>
      <c r="E383" s="1"/>
      <c r="F383" s="2"/>
      <c r="G383" s="2"/>
      <c r="H383" s="2"/>
      <c r="I383" s="2"/>
      <c r="J383" s="2"/>
      <c r="K383" s="2"/>
      <c r="L383" s="2"/>
      <c r="M383" s="2"/>
      <c r="N383" s="2"/>
      <c r="O383" s="1"/>
      <c r="P383" s="1"/>
      <c r="Q383" s="1"/>
    </row>
    <row r="384">
      <c r="A384" s="1"/>
      <c r="B384" s="1"/>
      <c r="C384" s="1"/>
      <c r="D384" s="1"/>
      <c r="E384" s="1"/>
      <c r="F384" s="2"/>
      <c r="G384" s="2"/>
      <c r="H384" s="2"/>
      <c r="I384" s="2"/>
      <c r="J384" s="2"/>
      <c r="K384" s="2"/>
      <c r="L384" s="2"/>
      <c r="M384" s="2"/>
      <c r="N384" s="2"/>
      <c r="O384" s="1"/>
      <c r="P384" s="1"/>
      <c r="Q384" s="1"/>
    </row>
    <row r="385">
      <c r="A385" s="1"/>
      <c r="B385" s="1"/>
      <c r="C385" s="1"/>
      <c r="D385" s="1"/>
      <c r="E385" s="1"/>
      <c r="F385" s="2"/>
      <c r="G385" s="2"/>
      <c r="H385" s="2"/>
      <c r="I385" s="2"/>
      <c r="J385" s="2"/>
      <c r="K385" s="2"/>
      <c r="L385" s="2"/>
      <c r="M385" s="2"/>
      <c r="N385" s="2"/>
      <c r="O385" s="1"/>
      <c r="P385" s="1"/>
      <c r="Q385" s="1"/>
    </row>
    <row r="386">
      <c r="A386" s="1"/>
      <c r="B386" s="1"/>
      <c r="C386" s="1"/>
      <c r="D386" s="1"/>
      <c r="E386" s="1"/>
      <c r="F386" s="2"/>
      <c r="G386" s="2"/>
      <c r="H386" s="2"/>
      <c r="I386" s="2"/>
      <c r="J386" s="2"/>
      <c r="K386" s="2"/>
      <c r="L386" s="2"/>
      <c r="M386" s="2"/>
      <c r="N386" s="2"/>
      <c r="O386" s="1"/>
      <c r="P386" s="1"/>
      <c r="Q386" s="1"/>
    </row>
    <row r="387">
      <c r="A387" s="1"/>
      <c r="B387" s="1"/>
      <c r="C387" s="1"/>
      <c r="D387" s="1"/>
      <c r="E387" s="1"/>
      <c r="F387" s="2"/>
      <c r="G387" s="2"/>
      <c r="H387" s="2"/>
      <c r="I387" s="2"/>
      <c r="J387" s="2"/>
      <c r="K387" s="2"/>
      <c r="L387" s="2"/>
      <c r="M387" s="2"/>
      <c r="N387" s="2"/>
      <c r="O387" s="1"/>
      <c r="P387" s="1"/>
      <c r="Q387" s="1"/>
    </row>
    <row r="388">
      <c r="A388" s="1"/>
      <c r="B388" s="1"/>
      <c r="C388" s="1"/>
      <c r="D388" s="1"/>
      <c r="E388" s="1"/>
      <c r="F388" s="2"/>
      <c r="G388" s="2"/>
      <c r="H388" s="2"/>
      <c r="I388" s="2"/>
      <c r="J388" s="2"/>
      <c r="K388" s="2"/>
      <c r="L388" s="2"/>
      <c r="M388" s="2"/>
      <c r="N388" s="2"/>
      <c r="O388" s="1"/>
      <c r="P388" s="1"/>
      <c r="Q388" s="1"/>
    </row>
    <row r="389">
      <c r="A389" s="1"/>
      <c r="B389" s="1"/>
      <c r="C389" s="1"/>
      <c r="D389" s="1"/>
      <c r="E389" s="1"/>
      <c r="F389" s="2"/>
      <c r="G389" s="2"/>
      <c r="H389" s="2"/>
      <c r="I389" s="2"/>
      <c r="J389" s="2"/>
      <c r="K389" s="2"/>
      <c r="L389" s="2"/>
      <c r="M389" s="2"/>
      <c r="N389" s="2"/>
      <c r="O389" s="1"/>
      <c r="P389" s="1"/>
      <c r="Q389" s="1"/>
    </row>
    <row r="390">
      <c r="A390" s="1"/>
      <c r="B390" s="1"/>
      <c r="C390" s="1"/>
      <c r="D390" s="1"/>
      <c r="E390" s="1"/>
      <c r="F390" s="2"/>
      <c r="G390" s="2"/>
      <c r="H390" s="2"/>
      <c r="I390" s="2"/>
      <c r="J390" s="2"/>
      <c r="K390" s="2"/>
      <c r="L390" s="2"/>
      <c r="M390" s="2"/>
      <c r="N390" s="2"/>
      <c r="O390" s="1"/>
      <c r="P390" s="1"/>
      <c r="Q390" s="1"/>
    </row>
    <row r="391">
      <c r="A391" s="1"/>
      <c r="B391" s="1"/>
      <c r="C391" s="1"/>
      <c r="D391" s="1"/>
      <c r="E391" s="1"/>
      <c r="F391" s="2"/>
      <c r="G391" s="2"/>
      <c r="H391" s="2"/>
      <c r="I391" s="2"/>
      <c r="J391" s="2"/>
      <c r="K391" s="2"/>
      <c r="L391" s="2"/>
      <c r="M391" s="2"/>
      <c r="N391" s="2"/>
      <c r="O391" s="1"/>
      <c r="P391" s="1"/>
      <c r="Q391" s="1"/>
    </row>
    <row r="392">
      <c r="A392" s="1"/>
      <c r="B392" s="1"/>
      <c r="C392" s="1"/>
      <c r="D392" s="1"/>
      <c r="E392" s="1"/>
      <c r="F392" s="2"/>
      <c r="G392" s="2"/>
      <c r="H392" s="2"/>
      <c r="I392" s="2"/>
      <c r="J392" s="2"/>
      <c r="K392" s="2"/>
      <c r="L392" s="2"/>
      <c r="M392" s="2"/>
      <c r="N392" s="2"/>
      <c r="O392" s="1"/>
      <c r="P392" s="1"/>
      <c r="Q392" s="1"/>
    </row>
    <row r="393">
      <c r="A393" s="1"/>
      <c r="B393" s="1"/>
      <c r="C393" s="1"/>
      <c r="D393" s="1"/>
      <c r="E393" s="1"/>
      <c r="F393" s="2"/>
      <c r="G393" s="2"/>
      <c r="H393" s="2"/>
      <c r="I393" s="2"/>
      <c r="J393" s="2"/>
      <c r="K393" s="2"/>
      <c r="L393" s="2"/>
      <c r="M393" s="2"/>
      <c r="N393" s="2"/>
      <c r="O393" s="1"/>
      <c r="P393" s="1"/>
      <c r="Q393" s="1"/>
    </row>
    <row r="394">
      <c r="A394" s="1"/>
      <c r="B394" s="1"/>
      <c r="C394" s="1"/>
      <c r="D394" s="1"/>
      <c r="E394" s="1"/>
      <c r="F394" s="2"/>
      <c r="G394" s="2"/>
      <c r="H394" s="2"/>
      <c r="I394" s="2"/>
      <c r="J394" s="2"/>
      <c r="K394" s="2"/>
      <c r="L394" s="2"/>
      <c r="M394" s="2"/>
      <c r="N394" s="2"/>
      <c r="O394" s="1"/>
      <c r="P394" s="1"/>
      <c r="Q394" s="1"/>
    </row>
    <row r="395">
      <c r="A395" s="1"/>
      <c r="B395" s="1"/>
      <c r="C395" s="1"/>
      <c r="D395" s="1"/>
      <c r="E395" s="1"/>
      <c r="F395" s="2"/>
      <c r="G395" s="2"/>
      <c r="H395" s="2"/>
      <c r="I395" s="2"/>
      <c r="J395" s="2"/>
      <c r="K395" s="2"/>
      <c r="L395" s="2"/>
      <c r="M395" s="2"/>
      <c r="N395" s="2"/>
      <c r="O395" s="1"/>
      <c r="P395" s="1"/>
      <c r="Q395" s="1"/>
    </row>
    <row r="396">
      <c r="A396" s="1"/>
      <c r="B396" s="1"/>
      <c r="C396" s="1"/>
      <c r="D396" s="1"/>
      <c r="E396" s="1"/>
      <c r="F396" s="2"/>
      <c r="G396" s="2"/>
      <c r="H396" s="2"/>
      <c r="I396" s="2"/>
      <c r="J396" s="2"/>
      <c r="K396" s="2"/>
      <c r="L396" s="2"/>
      <c r="M396" s="2"/>
      <c r="N396" s="2"/>
      <c r="O396" s="1"/>
      <c r="P396" s="1"/>
      <c r="Q396" s="1"/>
    </row>
    <row r="397">
      <c r="A397" s="1"/>
      <c r="B397" s="1"/>
      <c r="C397" s="1"/>
      <c r="D397" s="1"/>
      <c r="E397" s="1"/>
      <c r="F397" s="2"/>
      <c r="G397" s="2"/>
      <c r="H397" s="2"/>
      <c r="I397" s="2"/>
      <c r="J397" s="2"/>
      <c r="K397" s="2"/>
      <c r="L397" s="2"/>
      <c r="M397" s="2"/>
      <c r="N397" s="2"/>
      <c r="O397" s="1"/>
      <c r="P397" s="1"/>
      <c r="Q397" s="1"/>
    </row>
    <row r="398">
      <c r="A398" s="1"/>
      <c r="B398" s="1"/>
      <c r="C398" s="1"/>
      <c r="D398" s="1"/>
      <c r="E398" s="1"/>
      <c r="F398" s="2"/>
      <c r="G398" s="2"/>
      <c r="H398" s="2"/>
      <c r="I398" s="2"/>
      <c r="J398" s="2"/>
      <c r="K398" s="2"/>
      <c r="L398" s="2"/>
      <c r="M398" s="2"/>
      <c r="N398" s="2"/>
      <c r="O398" s="1"/>
      <c r="P398" s="1"/>
      <c r="Q398" s="1"/>
    </row>
    <row r="399">
      <c r="A399" s="1"/>
      <c r="B399" s="1"/>
      <c r="C399" s="1"/>
      <c r="D399" s="1"/>
      <c r="E399" s="1"/>
      <c r="F399" s="2"/>
      <c r="G399" s="2"/>
      <c r="H399" s="2"/>
      <c r="I399" s="2"/>
      <c r="J399" s="2"/>
      <c r="K399" s="2"/>
      <c r="L399" s="2"/>
      <c r="M399" s="2"/>
      <c r="N399" s="2"/>
      <c r="O399" s="1"/>
      <c r="P399" s="1"/>
      <c r="Q399" s="1"/>
    </row>
    <row r="400">
      <c r="A400" s="1"/>
      <c r="B400" s="1"/>
      <c r="C400" s="1"/>
      <c r="D400" s="1"/>
      <c r="E400" s="1"/>
      <c r="F400" s="2"/>
      <c r="G400" s="2"/>
      <c r="H400" s="2"/>
      <c r="I400" s="2"/>
      <c r="J400" s="2"/>
      <c r="K400" s="2"/>
      <c r="L400" s="2"/>
      <c r="M400" s="2"/>
      <c r="N400" s="2"/>
      <c r="O400" s="1"/>
      <c r="P400" s="1"/>
      <c r="Q400" s="1"/>
    </row>
    <row r="401">
      <c r="A401" s="1"/>
      <c r="B401" s="1"/>
      <c r="C401" s="1"/>
      <c r="D401" s="1"/>
      <c r="E401" s="1"/>
      <c r="F401" s="2"/>
      <c r="G401" s="2"/>
      <c r="H401" s="2"/>
      <c r="I401" s="2"/>
      <c r="J401" s="2"/>
      <c r="K401" s="2"/>
      <c r="L401" s="2"/>
      <c r="M401" s="2"/>
      <c r="N401" s="2"/>
      <c r="O401" s="1"/>
      <c r="P401" s="1"/>
      <c r="Q401" s="1"/>
    </row>
    <row r="402">
      <c r="A402" s="1"/>
      <c r="B402" s="1"/>
      <c r="C402" s="1"/>
      <c r="D402" s="1"/>
      <c r="E402" s="1"/>
      <c r="F402" s="2"/>
      <c r="G402" s="2"/>
      <c r="H402" s="2"/>
      <c r="I402" s="2"/>
      <c r="J402" s="2"/>
      <c r="K402" s="2"/>
      <c r="L402" s="2"/>
      <c r="M402" s="2"/>
      <c r="N402" s="2"/>
      <c r="O402" s="1"/>
      <c r="P402" s="1"/>
      <c r="Q402" s="1"/>
    </row>
    <row r="403">
      <c r="A403" s="1"/>
      <c r="B403" s="1"/>
      <c r="C403" s="1"/>
      <c r="D403" s="1"/>
      <c r="E403" s="1"/>
      <c r="F403" s="2"/>
      <c r="G403" s="2"/>
      <c r="H403" s="2"/>
      <c r="I403" s="2"/>
      <c r="J403" s="2"/>
      <c r="K403" s="2"/>
      <c r="L403" s="2"/>
      <c r="M403" s="2"/>
      <c r="N403" s="2"/>
      <c r="O403" s="1"/>
      <c r="P403" s="1"/>
      <c r="Q403" s="1"/>
    </row>
    <row r="404">
      <c r="A404" s="1"/>
      <c r="B404" s="1"/>
      <c r="C404" s="1"/>
      <c r="D404" s="1"/>
      <c r="E404" s="1"/>
      <c r="F404" s="2"/>
      <c r="G404" s="2"/>
      <c r="H404" s="2"/>
      <c r="I404" s="2"/>
      <c r="J404" s="2"/>
      <c r="K404" s="2"/>
      <c r="L404" s="2"/>
      <c r="M404" s="2"/>
      <c r="N404" s="2"/>
      <c r="O404" s="1"/>
      <c r="P404" s="1"/>
      <c r="Q404" s="1"/>
    </row>
    <row r="405">
      <c r="A405" s="1"/>
      <c r="B405" s="1"/>
      <c r="C405" s="1"/>
      <c r="D405" s="1"/>
      <c r="E405" s="1"/>
      <c r="F405" s="2"/>
      <c r="G405" s="2"/>
      <c r="H405" s="2"/>
      <c r="I405" s="2"/>
      <c r="J405" s="2"/>
      <c r="K405" s="2"/>
      <c r="L405" s="2"/>
      <c r="M405" s="2"/>
      <c r="N405" s="2"/>
      <c r="O405" s="1"/>
      <c r="P405" s="1"/>
      <c r="Q405" s="1"/>
    </row>
    <row r="406">
      <c r="A406" s="1"/>
      <c r="B406" s="1"/>
      <c r="C406" s="1"/>
      <c r="D406" s="1"/>
      <c r="E406" s="1"/>
      <c r="F406" s="2"/>
      <c r="G406" s="2"/>
      <c r="H406" s="2"/>
      <c r="I406" s="2"/>
      <c r="J406" s="2"/>
      <c r="K406" s="2"/>
      <c r="L406" s="2"/>
      <c r="M406" s="2"/>
      <c r="N406" s="2"/>
      <c r="O406" s="1"/>
      <c r="P406" s="1"/>
      <c r="Q406" s="1"/>
    </row>
    <row r="407">
      <c r="A407" s="1"/>
      <c r="B407" s="1"/>
      <c r="C407" s="1"/>
      <c r="D407" s="1"/>
      <c r="E407" s="1"/>
      <c r="F407" s="2"/>
      <c r="G407" s="2"/>
      <c r="H407" s="2"/>
      <c r="I407" s="2"/>
      <c r="J407" s="2"/>
      <c r="K407" s="2"/>
      <c r="L407" s="2"/>
      <c r="M407" s="2"/>
      <c r="N407" s="2"/>
      <c r="O407" s="1"/>
      <c r="P407" s="1"/>
      <c r="Q407" s="1"/>
    </row>
    <row r="408">
      <c r="A408" s="1"/>
      <c r="B408" s="1"/>
      <c r="C408" s="1"/>
      <c r="D408" s="1"/>
      <c r="E408" s="1"/>
      <c r="F408" s="2"/>
      <c r="G408" s="2"/>
      <c r="H408" s="2"/>
      <c r="I408" s="2"/>
      <c r="J408" s="2"/>
      <c r="K408" s="2"/>
      <c r="L408" s="2"/>
      <c r="M408" s="2"/>
      <c r="N408" s="2"/>
      <c r="O408" s="1"/>
      <c r="P408" s="1"/>
      <c r="Q408" s="1"/>
    </row>
    <row r="409">
      <c r="A409" s="1"/>
      <c r="B409" s="1"/>
      <c r="C409" s="1"/>
      <c r="D409" s="1"/>
      <c r="E409" s="1"/>
      <c r="F409" s="2"/>
      <c r="G409" s="2"/>
      <c r="H409" s="2"/>
      <c r="I409" s="2"/>
      <c r="J409" s="2"/>
      <c r="K409" s="2"/>
      <c r="L409" s="2"/>
      <c r="M409" s="2"/>
      <c r="N409" s="2"/>
      <c r="O409" s="1"/>
      <c r="P409" s="1"/>
      <c r="Q409" s="1"/>
    </row>
    <row r="410">
      <c r="A410" s="1"/>
      <c r="B410" s="1"/>
      <c r="C410" s="1"/>
      <c r="D410" s="1"/>
      <c r="E410" s="1"/>
      <c r="F410" s="2"/>
      <c r="G410" s="2"/>
      <c r="H410" s="2"/>
      <c r="I410" s="2"/>
      <c r="J410" s="2"/>
      <c r="K410" s="2"/>
      <c r="L410" s="2"/>
      <c r="M410" s="2"/>
      <c r="N410" s="2"/>
      <c r="O410" s="1"/>
      <c r="P410" s="1"/>
      <c r="Q410" s="1"/>
    </row>
    <row r="411">
      <c r="A411" s="1"/>
      <c r="B411" s="1"/>
      <c r="C411" s="1"/>
      <c r="D411" s="1"/>
      <c r="E411" s="1"/>
      <c r="F411" s="2"/>
      <c r="G411" s="2"/>
      <c r="H411" s="2"/>
      <c r="I411" s="2"/>
      <c r="J411" s="2"/>
      <c r="K411" s="2"/>
      <c r="L411" s="2"/>
      <c r="M411" s="2"/>
      <c r="N411" s="2"/>
      <c r="O411" s="1"/>
      <c r="P411" s="1"/>
      <c r="Q411" s="1"/>
    </row>
    <row r="412">
      <c r="A412" s="1"/>
      <c r="B412" s="1"/>
      <c r="C412" s="1"/>
      <c r="D412" s="1"/>
      <c r="E412" s="1"/>
      <c r="F412" s="2"/>
      <c r="G412" s="2"/>
      <c r="H412" s="2"/>
      <c r="I412" s="2"/>
      <c r="J412" s="2"/>
      <c r="K412" s="2"/>
      <c r="L412" s="2"/>
      <c r="M412" s="2"/>
      <c r="N412" s="2"/>
      <c r="O412" s="1"/>
      <c r="P412" s="1"/>
      <c r="Q412" s="1"/>
    </row>
    <row r="413">
      <c r="A413" s="1"/>
      <c r="B413" s="1"/>
      <c r="C413" s="1"/>
      <c r="D413" s="1"/>
      <c r="E413" s="1"/>
      <c r="F413" s="2"/>
      <c r="G413" s="2"/>
      <c r="H413" s="2"/>
      <c r="I413" s="2"/>
      <c r="J413" s="2"/>
      <c r="K413" s="2"/>
      <c r="L413" s="2"/>
      <c r="M413" s="2"/>
      <c r="N413" s="2"/>
      <c r="O413" s="1"/>
      <c r="P413" s="1"/>
      <c r="Q413" s="1"/>
    </row>
    <row r="414">
      <c r="A414" s="1"/>
      <c r="B414" s="1"/>
      <c r="C414" s="1"/>
      <c r="D414" s="1"/>
      <c r="E414" s="1"/>
      <c r="F414" s="2"/>
      <c r="G414" s="2"/>
      <c r="H414" s="2"/>
      <c r="I414" s="2"/>
      <c r="J414" s="2"/>
      <c r="K414" s="2"/>
      <c r="L414" s="2"/>
      <c r="M414" s="2"/>
      <c r="N414" s="2"/>
      <c r="O414" s="1"/>
      <c r="P414" s="1"/>
      <c r="Q414" s="1"/>
    </row>
    <row r="415">
      <c r="A415" s="1"/>
      <c r="B415" s="1"/>
      <c r="C415" s="1"/>
      <c r="D415" s="1"/>
      <c r="E415" s="1"/>
      <c r="F415" s="2"/>
      <c r="G415" s="2"/>
      <c r="H415" s="2"/>
      <c r="I415" s="2"/>
      <c r="J415" s="2"/>
      <c r="K415" s="2"/>
      <c r="L415" s="2"/>
      <c r="M415" s="2"/>
      <c r="N415" s="2"/>
      <c r="O415" s="1"/>
      <c r="P415" s="1"/>
      <c r="Q415" s="1"/>
    </row>
    <row r="416">
      <c r="A416" s="1"/>
      <c r="B416" s="1"/>
      <c r="C416" s="1"/>
      <c r="D416" s="1"/>
      <c r="E416" s="1"/>
      <c r="F416" s="2"/>
      <c r="G416" s="2"/>
      <c r="H416" s="2"/>
      <c r="I416" s="2"/>
      <c r="J416" s="2"/>
      <c r="K416" s="2"/>
      <c r="L416" s="2"/>
      <c r="M416" s="2"/>
      <c r="N416" s="2"/>
      <c r="O416" s="1"/>
      <c r="P416" s="1"/>
      <c r="Q416" s="1"/>
    </row>
    <row r="417">
      <c r="A417" s="1"/>
      <c r="B417" s="1"/>
      <c r="C417" s="1"/>
      <c r="D417" s="1"/>
      <c r="E417" s="1"/>
      <c r="F417" s="2"/>
      <c r="G417" s="2"/>
      <c r="H417" s="2"/>
      <c r="I417" s="2"/>
      <c r="J417" s="2"/>
      <c r="K417" s="2"/>
      <c r="L417" s="2"/>
      <c r="M417" s="2"/>
      <c r="N417" s="2"/>
      <c r="O417" s="1"/>
      <c r="P417" s="1"/>
      <c r="Q417" s="1"/>
    </row>
    <row r="418">
      <c r="A418" s="1"/>
      <c r="B418" s="1"/>
      <c r="C418" s="1"/>
      <c r="D418" s="1"/>
      <c r="E418" s="1"/>
      <c r="F418" s="2"/>
      <c r="G418" s="2"/>
      <c r="H418" s="2"/>
      <c r="I418" s="2"/>
      <c r="J418" s="2"/>
      <c r="K418" s="2"/>
      <c r="L418" s="2"/>
      <c r="M418" s="2"/>
      <c r="N418" s="2"/>
      <c r="O418" s="1"/>
      <c r="P418" s="1"/>
      <c r="Q418" s="1"/>
    </row>
    <row r="419">
      <c r="A419" s="1"/>
      <c r="B419" s="1"/>
      <c r="C419" s="1"/>
      <c r="D419" s="1"/>
      <c r="E419" s="1"/>
      <c r="F419" s="2"/>
      <c r="G419" s="2"/>
      <c r="H419" s="2"/>
      <c r="I419" s="2"/>
      <c r="J419" s="2"/>
      <c r="K419" s="2"/>
      <c r="L419" s="2"/>
      <c r="M419" s="2"/>
      <c r="N419" s="2"/>
      <c r="O419" s="1"/>
      <c r="P419" s="1"/>
      <c r="Q419" s="1"/>
    </row>
    <row r="420">
      <c r="A420" s="1"/>
      <c r="B420" s="1"/>
      <c r="C420" s="1"/>
      <c r="D420" s="1"/>
      <c r="E420" s="1"/>
      <c r="F420" s="2"/>
      <c r="G420" s="2"/>
      <c r="H420" s="2"/>
      <c r="I420" s="2"/>
      <c r="J420" s="2"/>
      <c r="K420" s="2"/>
      <c r="L420" s="2"/>
      <c r="M420" s="2"/>
      <c r="N420" s="2"/>
      <c r="O420" s="1"/>
      <c r="P420" s="1"/>
      <c r="Q420" s="1"/>
    </row>
    <row r="421">
      <c r="A421" s="1"/>
      <c r="B421" s="1"/>
      <c r="C421" s="1"/>
      <c r="D421" s="1"/>
      <c r="E421" s="1"/>
      <c r="F421" s="2"/>
      <c r="G421" s="2"/>
      <c r="H421" s="2"/>
      <c r="I421" s="2"/>
      <c r="J421" s="2"/>
      <c r="K421" s="2"/>
      <c r="L421" s="2"/>
      <c r="M421" s="2"/>
      <c r="N421" s="2"/>
      <c r="O421" s="1"/>
      <c r="P421" s="1"/>
      <c r="Q421" s="1"/>
    </row>
    <row r="422">
      <c r="A422" s="1"/>
      <c r="B422" s="1"/>
      <c r="C422" s="1"/>
      <c r="D422" s="1"/>
      <c r="E422" s="1"/>
      <c r="F422" s="2"/>
      <c r="G422" s="2"/>
      <c r="H422" s="2"/>
      <c r="I422" s="2"/>
      <c r="J422" s="2"/>
      <c r="K422" s="2"/>
      <c r="L422" s="2"/>
      <c r="M422" s="2"/>
      <c r="N422" s="2"/>
      <c r="O422" s="1"/>
      <c r="P422" s="1"/>
      <c r="Q422" s="1"/>
    </row>
    <row r="423">
      <c r="A423" s="1"/>
      <c r="B423" s="1"/>
      <c r="C423" s="1"/>
      <c r="D423" s="1"/>
      <c r="E423" s="1"/>
      <c r="F423" s="2"/>
      <c r="G423" s="2"/>
      <c r="H423" s="2"/>
      <c r="I423" s="2"/>
      <c r="J423" s="2"/>
      <c r="K423" s="2"/>
      <c r="L423" s="2"/>
      <c r="M423" s="2"/>
      <c r="N423" s="2"/>
      <c r="O423" s="1"/>
      <c r="P423" s="1"/>
      <c r="Q423" s="1"/>
    </row>
    <row r="424">
      <c r="A424" s="1"/>
      <c r="B424" s="1"/>
      <c r="C424" s="1"/>
      <c r="D424" s="1"/>
      <c r="E424" s="1"/>
      <c r="F424" s="2"/>
      <c r="G424" s="2"/>
      <c r="H424" s="2"/>
      <c r="I424" s="2"/>
      <c r="J424" s="2"/>
      <c r="K424" s="2"/>
      <c r="L424" s="2"/>
      <c r="M424" s="2"/>
      <c r="N424" s="2"/>
      <c r="O424" s="1"/>
      <c r="P424" s="1"/>
      <c r="Q424" s="1"/>
    </row>
    <row r="425">
      <c r="A425" s="1"/>
      <c r="B425" s="1"/>
      <c r="C425" s="1"/>
      <c r="D425" s="1"/>
      <c r="E425" s="1"/>
      <c r="F425" s="2"/>
      <c r="G425" s="2"/>
      <c r="H425" s="2"/>
      <c r="I425" s="2"/>
      <c r="J425" s="2"/>
      <c r="K425" s="2"/>
      <c r="L425" s="2"/>
      <c r="M425" s="2"/>
      <c r="N425" s="2"/>
      <c r="O425" s="1"/>
      <c r="P425" s="1"/>
      <c r="Q425" s="1"/>
    </row>
    <row r="426">
      <c r="A426" s="1"/>
      <c r="B426" s="1"/>
      <c r="C426" s="1"/>
      <c r="D426" s="1"/>
      <c r="E426" s="1"/>
      <c r="F426" s="2"/>
      <c r="G426" s="2"/>
      <c r="H426" s="2"/>
      <c r="I426" s="2"/>
      <c r="J426" s="2"/>
      <c r="K426" s="2"/>
      <c r="L426" s="2"/>
      <c r="M426" s="2"/>
      <c r="N426" s="2"/>
      <c r="O426" s="1"/>
      <c r="P426" s="1"/>
      <c r="Q426" s="1"/>
    </row>
    <row r="427">
      <c r="A427" s="1"/>
      <c r="B427" s="1"/>
      <c r="C427" s="1"/>
      <c r="D427" s="1"/>
      <c r="E427" s="1"/>
      <c r="F427" s="2"/>
      <c r="G427" s="2"/>
      <c r="H427" s="2"/>
      <c r="I427" s="2"/>
      <c r="J427" s="2"/>
      <c r="K427" s="2"/>
      <c r="L427" s="2"/>
      <c r="M427" s="2"/>
      <c r="N427" s="2"/>
      <c r="O427" s="1"/>
      <c r="P427" s="1"/>
      <c r="Q427" s="1"/>
    </row>
    <row r="428">
      <c r="A428" s="1"/>
      <c r="B428" s="1"/>
      <c r="C428" s="1"/>
      <c r="D428" s="1"/>
      <c r="E428" s="1"/>
      <c r="F428" s="2"/>
      <c r="G428" s="2"/>
      <c r="H428" s="2"/>
      <c r="I428" s="2"/>
      <c r="J428" s="2"/>
      <c r="K428" s="2"/>
      <c r="L428" s="2"/>
      <c r="M428" s="2"/>
      <c r="N428" s="2"/>
      <c r="O428" s="1"/>
      <c r="P428" s="1"/>
      <c r="Q428" s="1"/>
    </row>
    <row r="429">
      <c r="A429" s="1"/>
      <c r="B429" s="1"/>
      <c r="C429" s="1"/>
      <c r="D429" s="1"/>
      <c r="E429" s="1"/>
      <c r="F429" s="2"/>
      <c r="G429" s="2"/>
      <c r="H429" s="2"/>
      <c r="I429" s="2"/>
      <c r="J429" s="2"/>
      <c r="K429" s="2"/>
      <c r="L429" s="2"/>
      <c r="M429" s="2"/>
      <c r="N429" s="2"/>
      <c r="O429" s="1"/>
      <c r="P429" s="1"/>
      <c r="Q429" s="1"/>
    </row>
    <row r="430">
      <c r="A430" s="1"/>
      <c r="B430" s="1"/>
      <c r="C430" s="1"/>
      <c r="D430" s="1"/>
      <c r="E430" s="1"/>
      <c r="F430" s="2"/>
      <c r="G430" s="2"/>
      <c r="H430" s="2"/>
      <c r="I430" s="2"/>
      <c r="J430" s="2"/>
      <c r="K430" s="2"/>
      <c r="L430" s="2"/>
      <c r="M430" s="2"/>
      <c r="N430" s="2"/>
      <c r="O430" s="1"/>
      <c r="P430" s="1"/>
      <c r="Q430" s="1"/>
    </row>
    <row r="431">
      <c r="A431" s="1"/>
      <c r="B431" s="1"/>
      <c r="C431" s="1"/>
      <c r="D431" s="1"/>
      <c r="E431" s="1"/>
      <c r="F431" s="2"/>
      <c r="G431" s="2"/>
      <c r="H431" s="2"/>
      <c r="I431" s="2"/>
      <c r="J431" s="2"/>
      <c r="K431" s="2"/>
      <c r="L431" s="2"/>
      <c r="M431" s="2"/>
      <c r="N431" s="2"/>
      <c r="O431" s="1"/>
      <c r="P431" s="1"/>
      <c r="Q431" s="1"/>
    </row>
    <row r="432">
      <c r="A432" s="1"/>
      <c r="B432" s="1"/>
      <c r="C432" s="1"/>
      <c r="D432" s="1"/>
      <c r="E432" s="1"/>
      <c r="F432" s="2"/>
      <c r="G432" s="2"/>
      <c r="H432" s="2"/>
      <c r="I432" s="2"/>
      <c r="J432" s="2"/>
      <c r="K432" s="2"/>
      <c r="L432" s="2"/>
      <c r="M432" s="2"/>
      <c r="N432" s="2"/>
      <c r="O432" s="1"/>
      <c r="P432" s="1"/>
      <c r="Q432" s="1"/>
    </row>
    <row r="433">
      <c r="A433" s="1"/>
      <c r="B433" s="1"/>
      <c r="C433" s="1"/>
      <c r="D433" s="1"/>
      <c r="E433" s="1"/>
      <c r="F433" s="2"/>
      <c r="G433" s="2"/>
      <c r="H433" s="2"/>
      <c r="I433" s="2"/>
      <c r="J433" s="2"/>
      <c r="K433" s="2"/>
      <c r="L433" s="2"/>
      <c r="M433" s="2"/>
      <c r="N433" s="2"/>
      <c r="O433" s="1"/>
      <c r="P433" s="1"/>
      <c r="Q433" s="1"/>
    </row>
    <row r="434">
      <c r="A434" s="1"/>
      <c r="B434" s="1"/>
      <c r="C434" s="1"/>
      <c r="D434" s="1"/>
      <c r="E434" s="1"/>
      <c r="F434" s="2"/>
      <c r="G434" s="2"/>
      <c r="H434" s="2"/>
      <c r="I434" s="2"/>
      <c r="J434" s="2"/>
      <c r="K434" s="2"/>
      <c r="L434" s="2"/>
      <c r="M434" s="2"/>
      <c r="N434" s="2"/>
      <c r="O434" s="1"/>
      <c r="P434" s="1"/>
      <c r="Q434" s="1"/>
    </row>
    <row r="435">
      <c r="A435" s="1"/>
      <c r="B435" s="1"/>
      <c r="C435" s="1"/>
      <c r="D435" s="1"/>
      <c r="E435" s="1"/>
      <c r="F435" s="2"/>
      <c r="G435" s="2"/>
      <c r="H435" s="2"/>
      <c r="I435" s="2"/>
      <c r="J435" s="2"/>
      <c r="K435" s="2"/>
      <c r="L435" s="2"/>
      <c r="M435" s="2"/>
      <c r="N435" s="2"/>
      <c r="O435" s="1"/>
      <c r="P435" s="1"/>
      <c r="Q435" s="1"/>
    </row>
    <row r="436">
      <c r="A436" s="1"/>
      <c r="B436" s="1"/>
      <c r="C436" s="1"/>
      <c r="D436" s="1"/>
      <c r="E436" s="1"/>
      <c r="F436" s="2"/>
      <c r="G436" s="2"/>
      <c r="H436" s="2"/>
      <c r="I436" s="2"/>
      <c r="J436" s="2"/>
      <c r="K436" s="2"/>
      <c r="L436" s="2"/>
      <c r="M436" s="2"/>
      <c r="N436" s="2"/>
      <c r="O436" s="1"/>
      <c r="P436" s="1"/>
      <c r="Q436" s="1"/>
    </row>
    <row r="437">
      <c r="A437" s="1"/>
      <c r="B437" s="1"/>
      <c r="C437" s="1"/>
      <c r="D437" s="1"/>
      <c r="E437" s="1"/>
      <c r="F437" s="2"/>
      <c r="G437" s="2"/>
      <c r="H437" s="2"/>
      <c r="I437" s="2"/>
      <c r="J437" s="2"/>
      <c r="K437" s="2"/>
      <c r="L437" s="2"/>
      <c r="M437" s="2"/>
      <c r="N437" s="2"/>
      <c r="O437" s="1"/>
      <c r="P437" s="1"/>
      <c r="Q437" s="1"/>
    </row>
    <row r="438">
      <c r="A438" s="1"/>
      <c r="B438" s="1"/>
      <c r="C438" s="1"/>
      <c r="D438" s="1"/>
      <c r="E438" s="1"/>
      <c r="F438" s="2"/>
      <c r="G438" s="2"/>
      <c r="H438" s="2"/>
      <c r="I438" s="2"/>
      <c r="J438" s="2"/>
      <c r="K438" s="2"/>
      <c r="L438" s="2"/>
      <c r="M438" s="2"/>
      <c r="N438" s="2"/>
      <c r="O438" s="1"/>
      <c r="P438" s="1"/>
      <c r="Q438" s="1"/>
    </row>
    <row r="439">
      <c r="A439" s="1"/>
      <c r="B439" s="1"/>
      <c r="C439" s="1"/>
      <c r="D439" s="1"/>
      <c r="E439" s="1"/>
      <c r="F439" s="2"/>
      <c r="G439" s="2"/>
      <c r="H439" s="2"/>
      <c r="I439" s="2"/>
      <c r="J439" s="2"/>
      <c r="K439" s="2"/>
      <c r="L439" s="2"/>
      <c r="M439" s="2"/>
      <c r="N439" s="2"/>
      <c r="O439" s="1"/>
      <c r="P439" s="1"/>
      <c r="Q439" s="1"/>
    </row>
    <row r="440">
      <c r="A440" s="1"/>
      <c r="B440" s="1"/>
      <c r="C440" s="1"/>
      <c r="D440" s="1"/>
      <c r="E440" s="1"/>
      <c r="F440" s="2"/>
      <c r="G440" s="2"/>
      <c r="H440" s="2"/>
      <c r="I440" s="2"/>
      <c r="J440" s="2"/>
      <c r="K440" s="2"/>
      <c r="L440" s="2"/>
      <c r="M440" s="2"/>
      <c r="N440" s="2"/>
      <c r="O440" s="1"/>
      <c r="P440" s="1"/>
      <c r="Q440" s="1"/>
    </row>
    <row r="441">
      <c r="A441" s="1"/>
      <c r="B441" s="1"/>
      <c r="C441" s="1"/>
      <c r="D441" s="1"/>
      <c r="E441" s="1"/>
      <c r="F441" s="2"/>
      <c r="G441" s="2"/>
      <c r="H441" s="2"/>
      <c r="I441" s="2"/>
      <c r="J441" s="2"/>
      <c r="K441" s="2"/>
      <c r="L441" s="2"/>
      <c r="M441" s="2"/>
      <c r="N441" s="2"/>
      <c r="O441" s="1"/>
      <c r="P441" s="1"/>
      <c r="Q441" s="1"/>
    </row>
    <row r="442">
      <c r="A442" s="1"/>
      <c r="B442" s="1"/>
      <c r="C442" s="1"/>
      <c r="D442" s="1"/>
      <c r="E442" s="1"/>
      <c r="F442" s="2"/>
      <c r="G442" s="2"/>
      <c r="H442" s="2"/>
      <c r="I442" s="2"/>
      <c r="J442" s="2"/>
      <c r="K442" s="2"/>
      <c r="L442" s="2"/>
      <c r="M442" s="2"/>
      <c r="N442" s="2"/>
      <c r="O442" s="1"/>
      <c r="P442" s="1"/>
      <c r="Q442" s="1"/>
    </row>
    <row r="443">
      <c r="A443" s="1"/>
      <c r="B443" s="1"/>
      <c r="C443" s="1"/>
      <c r="D443" s="1"/>
      <c r="E443" s="1"/>
      <c r="F443" s="2"/>
      <c r="G443" s="2"/>
      <c r="H443" s="2"/>
      <c r="I443" s="2"/>
      <c r="J443" s="2"/>
      <c r="K443" s="2"/>
      <c r="L443" s="2"/>
      <c r="M443" s="2"/>
      <c r="N443" s="2"/>
      <c r="O443" s="1"/>
      <c r="P443" s="1"/>
      <c r="Q443" s="1"/>
    </row>
    <row r="444">
      <c r="A444" s="1"/>
      <c r="B444" s="1"/>
      <c r="C444" s="1"/>
      <c r="D444" s="1"/>
      <c r="E444" s="1"/>
      <c r="F444" s="2"/>
      <c r="G444" s="2"/>
      <c r="H444" s="2"/>
      <c r="I444" s="2"/>
      <c r="J444" s="2"/>
      <c r="K444" s="2"/>
      <c r="L444" s="2"/>
      <c r="M444" s="2"/>
      <c r="N444" s="2"/>
      <c r="O444" s="1"/>
      <c r="P444" s="1"/>
      <c r="Q444" s="1"/>
    </row>
    <row r="445">
      <c r="A445" s="1"/>
      <c r="B445" s="1"/>
      <c r="C445" s="1"/>
      <c r="D445" s="1"/>
      <c r="E445" s="1"/>
      <c r="F445" s="2"/>
      <c r="G445" s="2"/>
      <c r="H445" s="2"/>
      <c r="I445" s="2"/>
      <c r="J445" s="2"/>
      <c r="K445" s="2"/>
      <c r="L445" s="2"/>
      <c r="M445" s="2"/>
      <c r="N445" s="2"/>
      <c r="O445" s="1"/>
      <c r="P445" s="1"/>
      <c r="Q445" s="1"/>
    </row>
    <row r="446">
      <c r="A446" s="1"/>
      <c r="B446" s="1"/>
      <c r="C446" s="1"/>
      <c r="D446" s="1"/>
      <c r="E446" s="1"/>
      <c r="F446" s="2"/>
      <c r="G446" s="2"/>
      <c r="H446" s="2"/>
      <c r="I446" s="2"/>
      <c r="J446" s="2"/>
      <c r="K446" s="2"/>
      <c r="L446" s="2"/>
      <c r="M446" s="2"/>
      <c r="N446" s="2"/>
      <c r="O446" s="1"/>
      <c r="P446" s="1"/>
      <c r="Q446" s="1"/>
    </row>
    <row r="447">
      <c r="A447" s="1"/>
      <c r="B447" s="1"/>
      <c r="C447" s="1"/>
      <c r="D447" s="1"/>
      <c r="E447" s="1"/>
      <c r="F447" s="2"/>
      <c r="G447" s="2"/>
      <c r="H447" s="2"/>
      <c r="I447" s="2"/>
      <c r="J447" s="2"/>
      <c r="K447" s="2"/>
      <c r="L447" s="2"/>
      <c r="M447" s="2"/>
      <c r="N447" s="2"/>
      <c r="O447" s="1"/>
      <c r="P447" s="1"/>
      <c r="Q447" s="1"/>
    </row>
    <row r="448">
      <c r="A448" s="1"/>
      <c r="B448" s="1"/>
      <c r="C448" s="1"/>
      <c r="D448" s="1"/>
      <c r="E448" s="1"/>
      <c r="F448" s="2"/>
      <c r="G448" s="2"/>
      <c r="H448" s="2"/>
      <c r="I448" s="2"/>
      <c r="J448" s="2"/>
      <c r="K448" s="2"/>
      <c r="L448" s="2"/>
      <c r="M448" s="2"/>
      <c r="N448" s="2"/>
      <c r="O448" s="1"/>
      <c r="P448" s="1"/>
      <c r="Q448" s="1"/>
    </row>
    <row r="449">
      <c r="A449" s="1"/>
      <c r="B449" s="1"/>
      <c r="C449" s="1"/>
      <c r="D449" s="1"/>
      <c r="E449" s="1"/>
      <c r="F449" s="2"/>
      <c r="G449" s="2"/>
      <c r="H449" s="2"/>
      <c r="I449" s="2"/>
      <c r="J449" s="2"/>
      <c r="K449" s="2"/>
      <c r="L449" s="2"/>
      <c r="M449" s="2"/>
      <c r="N449" s="2"/>
      <c r="O449" s="1"/>
      <c r="P449" s="1"/>
      <c r="Q449" s="1"/>
    </row>
    <row r="450">
      <c r="A450" s="1"/>
      <c r="B450" s="1"/>
      <c r="C450" s="1"/>
      <c r="D450" s="1"/>
      <c r="E450" s="1"/>
      <c r="F450" s="2"/>
      <c r="G450" s="2"/>
      <c r="H450" s="2"/>
      <c r="I450" s="2"/>
      <c r="J450" s="2"/>
      <c r="K450" s="2"/>
      <c r="L450" s="2"/>
      <c r="M450" s="2"/>
      <c r="N450" s="2"/>
      <c r="O450" s="1"/>
      <c r="P450" s="1"/>
      <c r="Q450" s="1"/>
    </row>
    <row r="451">
      <c r="A451" s="1"/>
      <c r="B451" s="1"/>
      <c r="C451" s="1"/>
      <c r="D451" s="1"/>
      <c r="E451" s="1"/>
      <c r="F451" s="2"/>
      <c r="G451" s="2"/>
      <c r="H451" s="2"/>
      <c r="I451" s="2"/>
      <c r="J451" s="2"/>
      <c r="K451" s="2"/>
      <c r="L451" s="2"/>
      <c r="M451" s="2"/>
      <c r="N451" s="2"/>
      <c r="O451" s="1"/>
      <c r="P451" s="1"/>
      <c r="Q451" s="1"/>
    </row>
    <row r="452">
      <c r="A452" s="1"/>
      <c r="B452" s="1"/>
      <c r="C452" s="1"/>
      <c r="D452" s="1"/>
      <c r="E452" s="1"/>
      <c r="F452" s="2"/>
      <c r="G452" s="2"/>
      <c r="H452" s="2"/>
      <c r="I452" s="2"/>
      <c r="J452" s="2"/>
      <c r="K452" s="2"/>
      <c r="L452" s="2"/>
      <c r="M452" s="2"/>
      <c r="N452" s="2"/>
      <c r="O452" s="1"/>
      <c r="P452" s="1"/>
      <c r="Q452" s="1"/>
    </row>
    <row r="453">
      <c r="A453" s="1"/>
      <c r="B453" s="1"/>
      <c r="C453" s="1"/>
      <c r="D453" s="1"/>
      <c r="E453" s="1"/>
      <c r="F453" s="2"/>
      <c r="G453" s="2"/>
      <c r="H453" s="2"/>
      <c r="I453" s="2"/>
      <c r="J453" s="2"/>
      <c r="K453" s="2"/>
      <c r="L453" s="2"/>
      <c r="M453" s="2"/>
      <c r="N453" s="2"/>
      <c r="O453" s="1"/>
      <c r="P453" s="1"/>
      <c r="Q453" s="1"/>
    </row>
    <row r="454">
      <c r="A454" s="1"/>
      <c r="B454" s="1"/>
      <c r="C454" s="1"/>
      <c r="D454" s="1"/>
      <c r="E454" s="1"/>
      <c r="F454" s="2"/>
      <c r="G454" s="2"/>
      <c r="H454" s="2"/>
      <c r="I454" s="2"/>
      <c r="J454" s="2"/>
      <c r="K454" s="2"/>
      <c r="L454" s="2"/>
      <c r="M454" s="2"/>
      <c r="N454" s="2"/>
      <c r="O454" s="1"/>
      <c r="P454" s="1"/>
      <c r="Q454" s="1"/>
    </row>
    <row r="455">
      <c r="A455" s="1"/>
      <c r="B455" s="1"/>
      <c r="C455" s="1"/>
      <c r="D455" s="1"/>
      <c r="E455" s="1"/>
      <c r="F455" s="2"/>
      <c r="G455" s="2"/>
      <c r="H455" s="2"/>
      <c r="I455" s="2"/>
      <c r="J455" s="2"/>
      <c r="K455" s="2"/>
      <c r="L455" s="2"/>
      <c r="M455" s="2"/>
      <c r="N455" s="2"/>
      <c r="O455" s="1"/>
      <c r="P455" s="1"/>
      <c r="Q455" s="1"/>
    </row>
    <row r="456">
      <c r="A456" s="1"/>
      <c r="B456" s="1"/>
      <c r="C456" s="1"/>
      <c r="D456" s="1"/>
      <c r="E456" s="1"/>
      <c r="F456" s="2"/>
      <c r="G456" s="2"/>
      <c r="H456" s="2"/>
      <c r="I456" s="2"/>
      <c r="J456" s="2"/>
      <c r="K456" s="2"/>
      <c r="L456" s="2"/>
      <c r="M456" s="2"/>
      <c r="N456" s="2"/>
      <c r="O456" s="1"/>
      <c r="P456" s="1"/>
      <c r="Q456" s="1"/>
    </row>
    <row r="457">
      <c r="A457" s="1"/>
      <c r="B457" s="1"/>
      <c r="C457" s="1"/>
      <c r="D457" s="1"/>
      <c r="E457" s="1"/>
      <c r="F457" s="2"/>
      <c r="G457" s="2"/>
      <c r="H457" s="2"/>
      <c r="I457" s="2"/>
      <c r="J457" s="2"/>
      <c r="K457" s="2"/>
      <c r="L457" s="2"/>
      <c r="M457" s="2"/>
      <c r="N457" s="2"/>
      <c r="O457" s="1"/>
      <c r="P457" s="1"/>
      <c r="Q457" s="1"/>
    </row>
    <row r="458">
      <c r="A458" s="1"/>
      <c r="B458" s="1"/>
      <c r="C458" s="1"/>
      <c r="D458" s="1"/>
      <c r="E458" s="1"/>
      <c r="F458" s="2"/>
      <c r="G458" s="2"/>
      <c r="H458" s="2"/>
      <c r="I458" s="2"/>
      <c r="J458" s="2"/>
      <c r="K458" s="2"/>
      <c r="L458" s="2"/>
      <c r="M458" s="2"/>
      <c r="N458" s="2"/>
      <c r="O458" s="1"/>
      <c r="P458" s="1"/>
      <c r="Q458" s="1"/>
    </row>
    <row r="459">
      <c r="A459" s="1"/>
      <c r="B459" s="1"/>
      <c r="C459" s="1"/>
      <c r="D459" s="1"/>
      <c r="E459" s="1"/>
      <c r="F459" s="2"/>
      <c r="G459" s="2"/>
      <c r="H459" s="2"/>
      <c r="I459" s="2"/>
      <c r="J459" s="2"/>
      <c r="K459" s="2"/>
      <c r="L459" s="2"/>
      <c r="M459" s="2"/>
      <c r="N459" s="2"/>
      <c r="O459" s="1"/>
      <c r="P459" s="1"/>
      <c r="Q459" s="1"/>
    </row>
    <row r="460">
      <c r="A460" s="1"/>
      <c r="B460" s="1"/>
      <c r="C460" s="1"/>
      <c r="D460" s="1"/>
      <c r="E460" s="1"/>
      <c r="F460" s="2"/>
      <c r="G460" s="2"/>
      <c r="H460" s="2"/>
      <c r="I460" s="2"/>
      <c r="J460" s="2"/>
      <c r="K460" s="2"/>
      <c r="L460" s="2"/>
      <c r="M460" s="2"/>
      <c r="N460" s="2"/>
      <c r="O460" s="1"/>
      <c r="P460" s="1"/>
      <c r="Q460" s="1"/>
    </row>
    <row r="461">
      <c r="A461" s="1"/>
      <c r="B461" s="1"/>
      <c r="C461" s="1"/>
      <c r="D461" s="1"/>
      <c r="E461" s="1"/>
      <c r="F461" s="2"/>
      <c r="G461" s="2"/>
      <c r="H461" s="2"/>
      <c r="I461" s="2"/>
      <c r="J461" s="2"/>
      <c r="K461" s="2"/>
      <c r="L461" s="2"/>
      <c r="M461" s="2"/>
      <c r="N461" s="2"/>
      <c r="O461" s="1"/>
      <c r="P461" s="1"/>
      <c r="Q461" s="1"/>
    </row>
    <row r="462">
      <c r="A462" s="1"/>
      <c r="B462" s="1"/>
      <c r="C462" s="1"/>
      <c r="D462" s="1"/>
      <c r="E462" s="1"/>
      <c r="F462" s="2"/>
      <c r="G462" s="2"/>
      <c r="H462" s="2"/>
      <c r="I462" s="2"/>
      <c r="J462" s="2"/>
      <c r="K462" s="2"/>
      <c r="L462" s="2"/>
      <c r="M462" s="2"/>
      <c r="N462" s="2"/>
      <c r="O462" s="1"/>
      <c r="P462" s="1"/>
      <c r="Q462" s="1"/>
    </row>
    <row r="463">
      <c r="A463" s="1"/>
      <c r="B463" s="1"/>
      <c r="C463" s="1"/>
      <c r="D463" s="1"/>
      <c r="E463" s="1"/>
      <c r="F463" s="2"/>
      <c r="G463" s="2"/>
      <c r="H463" s="2"/>
      <c r="I463" s="2"/>
      <c r="J463" s="2"/>
      <c r="K463" s="2"/>
      <c r="L463" s="2"/>
      <c r="M463" s="2"/>
      <c r="N463" s="2"/>
      <c r="O463" s="1"/>
      <c r="P463" s="1"/>
      <c r="Q463" s="1"/>
    </row>
    <row r="464">
      <c r="A464" s="1"/>
      <c r="B464" s="1"/>
      <c r="C464" s="1"/>
      <c r="D464" s="1"/>
      <c r="E464" s="1"/>
      <c r="F464" s="2"/>
      <c r="G464" s="2"/>
      <c r="H464" s="2"/>
      <c r="I464" s="2"/>
      <c r="J464" s="2"/>
      <c r="K464" s="2"/>
      <c r="L464" s="2"/>
      <c r="M464" s="2"/>
      <c r="N464" s="2"/>
      <c r="O464" s="1"/>
      <c r="P464" s="1"/>
      <c r="Q464" s="1"/>
    </row>
    <row r="465">
      <c r="A465" s="1"/>
      <c r="B465" s="1"/>
      <c r="C465" s="1"/>
      <c r="D465" s="1"/>
      <c r="E465" s="1"/>
      <c r="F465" s="2"/>
      <c r="G465" s="2"/>
      <c r="H465" s="2"/>
      <c r="I465" s="2"/>
      <c r="J465" s="2"/>
      <c r="K465" s="2"/>
      <c r="L465" s="2"/>
      <c r="M465" s="2"/>
      <c r="N465" s="2"/>
      <c r="O465" s="1"/>
      <c r="P465" s="1"/>
      <c r="Q465" s="1"/>
    </row>
    <row r="466">
      <c r="A466" s="1"/>
      <c r="B466" s="1"/>
      <c r="C466" s="1"/>
      <c r="D466" s="1"/>
      <c r="E466" s="1"/>
      <c r="F466" s="2"/>
      <c r="G466" s="2"/>
      <c r="H466" s="2"/>
      <c r="I466" s="2"/>
      <c r="J466" s="2"/>
      <c r="K466" s="2"/>
      <c r="L466" s="2"/>
      <c r="M466" s="2"/>
      <c r="N466" s="2"/>
      <c r="O466" s="1"/>
      <c r="P466" s="1"/>
      <c r="Q466" s="1"/>
    </row>
    <row r="467">
      <c r="A467" s="1"/>
      <c r="B467" s="1"/>
      <c r="C467" s="1"/>
      <c r="D467" s="1"/>
      <c r="E467" s="1"/>
      <c r="F467" s="2"/>
      <c r="G467" s="2"/>
      <c r="H467" s="2"/>
      <c r="I467" s="2"/>
      <c r="J467" s="2"/>
      <c r="K467" s="2"/>
      <c r="L467" s="2"/>
      <c r="M467" s="2"/>
      <c r="N467" s="2"/>
      <c r="O467" s="1"/>
      <c r="P467" s="1"/>
      <c r="Q467" s="1"/>
    </row>
    <row r="468">
      <c r="A468" s="1"/>
      <c r="B468" s="1"/>
      <c r="C468" s="1"/>
      <c r="D468" s="1"/>
      <c r="E468" s="1"/>
      <c r="F468" s="2"/>
      <c r="G468" s="2"/>
      <c r="H468" s="2"/>
      <c r="I468" s="2"/>
      <c r="J468" s="2"/>
      <c r="K468" s="2"/>
      <c r="L468" s="2"/>
      <c r="M468" s="2"/>
      <c r="N468" s="2"/>
      <c r="O468" s="1"/>
      <c r="P468" s="1"/>
      <c r="Q468" s="1"/>
    </row>
    <row r="469">
      <c r="A469" s="1"/>
      <c r="B469" s="1"/>
      <c r="C469" s="1"/>
      <c r="D469" s="1"/>
      <c r="E469" s="1"/>
      <c r="F469" s="2"/>
      <c r="G469" s="2"/>
      <c r="H469" s="2"/>
      <c r="I469" s="2"/>
      <c r="J469" s="2"/>
      <c r="K469" s="2"/>
      <c r="L469" s="2"/>
      <c r="M469" s="2"/>
      <c r="N469" s="2"/>
      <c r="O469" s="1"/>
      <c r="P469" s="1"/>
      <c r="Q469" s="1"/>
    </row>
    <row r="470">
      <c r="A470" s="1"/>
      <c r="B470" s="1"/>
      <c r="C470" s="1"/>
      <c r="D470" s="1"/>
      <c r="E470" s="1"/>
      <c r="F470" s="2"/>
      <c r="G470" s="2"/>
      <c r="H470" s="2"/>
      <c r="I470" s="2"/>
      <c r="J470" s="2"/>
      <c r="K470" s="2"/>
      <c r="L470" s="2"/>
      <c r="M470" s="2"/>
      <c r="N470" s="2"/>
      <c r="O470" s="1"/>
      <c r="P470" s="1"/>
      <c r="Q470" s="1"/>
    </row>
    <row r="471">
      <c r="A471" s="1"/>
      <c r="B471" s="1"/>
      <c r="C471" s="1"/>
      <c r="D471" s="1"/>
      <c r="E471" s="1"/>
      <c r="F471" s="2"/>
      <c r="G471" s="2"/>
      <c r="H471" s="2"/>
      <c r="I471" s="2"/>
      <c r="J471" s="2"/>
      <c r="K471" s="2"/>
      <c r="L471" s="2"/>
      <c r="M471" s="2"/>
      <c r="N471" s="2"/>
      <c r="O471" s="1"/>
      <c r="P471" s="1"/>
      <c r="Q471" s="1"/>
    </row>
    <row r="472">
      <c r="A472" s="1"/>
      <c r="B472" s="1"/>
      <c r="C472" s="1"/>
      <c r="D472" s="1"/>
      <c r="E472" s="1"/>
      <c r="F472" s="2"/>
      <c r="G472" s="2"/>
      <c r="H472" s="2"/>
      <c r="I472" s="2"/>
      <c r="J472" s="2"/>
      <c r="K472" s="2"/>
      <c r="L472" s="2"/>
      <c r="M472" s="2"/>
      <c r="N472" s="2"/>
      <c r="O472" s="1"/>
      <c r="P472" s="1"/>
      <c r="Q472" s="1"/>
    </row>
    <row r="473">
      <c r="A473" s="1"/>
      <c r="B473" s="1"/>
      <c r="C473" s="1"/>
      <c r="D473" s="1"/>
      <c r="E473" s="1"/>
      <c r="F473" s="2"/>
      <c r="G473" s="2"/>
      <c r="H473" s="2"/>
      <c r="I473" s="2"/>
      <c r="J473" s="2"/>
      <c r="K473" s="2"/>
      <c r="L473" s="2"/>
      <c r="M473" s="2"/>
      <c r="N473" s="2"/>
      <c r="O473" s="1"/>
      <c r="P473" s="1"/>
      <c r="Q473" s="1"/>
    </row>
    <row r="474">
      <c r="A474" s="1"/>
      <c r="B474" s="1"/>
      <c r="C474" s="1"/>
      <c r="D474" s="1"/>
      <c r="E474" s="1"/>
      <c r="F474" s="2"/>
      <c r="G474" s="2"/>
      <c r="H474" s="2"/>
      <c r="I474" s="2"/>
      <c r="J474" s="2"/>
      <c r="K474" s="2"/>
      <c r="L474" s="2"/>
      <c r="M474" s="2"/>
      <c r="N474" s="2"/>
      <c r="O474" s="1"/>
      <c r="P474" s="1"/>
      <c r="Q474" s="1"/>
    </row>
    <row r="475">
      <c r="A475" s="1"/>
      <c r="B475" s="1"/>
      <c r="C475" s="1"/>
      <c r="D475" s="1"/>
      <c r="E475" s="1"/>
      <c r="F475" s="2"/>
      <c r="G475" s="2"/>
      <c r="H475" s="2"/>
      <c r="I475" s="2"/>
      <c r="J475" s="2"/>
      <c r="K475" s="2"/>
      <c r="L475" s="2"/>
      <c r="M475" s="2"/>
      <c r="N475" s="2"/>
      <c r="O475" s="1"/>
      <c r="P475" s="1"/>
      <c r="Q475" s="1"/>
    </row>
    <row r="476">
      <c r="A476" s="1"/>
      <c r="B476" s="1"/>
      <c r="C476" s="1"/>
      <c r="D476" s="1"/>
      <c r="E476" s="1"/>
      <c r="F476" s="2"/>
      <c r="G476" s="2"/>
      <c r="H476" s="2"/>
      <c r="I476" s="2"/>
      <c r="J476" s="2"/>
      <c r="K476" s="2"/>
      <c r="L476" s="2"/>
      <c r="M476" s="2"/>
      <c r="N476" s="2"/>
      <c r="O476" s="1"/>
      <c r="P476" s="1"/>
      <c r="Q476" s="1"/>
    </row>
    <row r="477">
      <c r="A477" s="1"/>
      <c r="B477" s="1"/>
      <c r="C477" s="1"/>
      <c r="D477" s="1"/>
      <c r="E477" s="1"/>
      <c r="F477" s="2"/>
      <c r="G477" s="2"/>
      <c r="H477" s="2"/>
      <c r="I477" s="2"/>
      <c r="J477" s="2"/>
      <c r="K477" s="2"/>
      <c r="L477" s="2"/>
      <c r="M477" s="2"/>
      <c r="N477" s="2"/>
      <c r="O477" s="1"/>
      <c r="P477" s="1"/>
      <c r="Q477" s="1"/>
    </row>
    <row r="478">
      <c r="A478" s="1"/>
      <c r="B478" s="1"/>
      <c r="C478" s="1"/>
      <c r="D478" s="1"/>
      <c r="E478" s="1"/>
      <c r="F478" s="2"/>
      <c r="G478" s="2"/>
      <c r="H478" s="2"/>
      <c r="I478" s="2"/>
      <c r="J478" s="2"/>
      <c r="K478" s="2"/>
      <c r="L478" s="2"/>
      <c r="M478" s="2"/>
      <c r="N478" s="2"/>
      <c r="O478" s="1"/>
      <c r="P478" s="1"/>
      <c r="Q478" s="1"/>
    </row>
    <row r="479">
      <c r="A479" s="1"/>
      <c r="B479" s="1"/>
      <c r="C479" s="1"/>
      <c r="D479" s="1"/>
      <c r="E479" s="1"/>
      <c r="F479" s="2"/>
      <c r="G479" s="2"/>
      <c r="H479" s="2"/>
      <c r="I479" s="2"/>
      <c r="J479" s="2"/>
      <c r="K479" s="2"/>
      <c r="L479" s="2"/>
      <c r="M479" s="2"/>
      <c r="N479" s="2"/>
      <c r="O479" s="1"/>
      <c r="P479" s="1"/>
      <c r="Q479" s="1"/>
    </row>
    <row r="480">
      <c r="A480" s="1"/>
      <c r="B480" s="1"/>
      <c r="C480" s="1"/>
      <c r="D480" s="1"/>
      <c r="E480" s="1"/>
      <c r="F480" s="2"/>
      <c r="G480" s="2"/>
      <c r="H480" s="2"/>
      <c r="I480" s="2"/>
      <c r="J480" s="2"/>
      <c r="K480" s="2"/>
      <c r="L480" s="2"/>
      <c r="M480" s="2"/>
      <c r="N480" s="2"/>
      <c r="O480" s="1"/>
      <c r="P480" s="1"/>
      <c r="Q480" s="1"/>
    </row>
    <row r="481">
      <c r="A481" s="1"/>
      <c r="B481" s="1"/>
      <c r="C481" s="1"/>
      <c r="D481" s="1"/>
      <c r="E481" s="1"/>
      <c r="F481" s="2"/>
      <c r="G481" s="2"/>
      <c r="H481" s="2"/>
      <c r="I481" s="2"/>
      <c r="J481" s="2"/>
      <c r="K481" s="2"/>
      <c r="L481" s="2"/>
      <c r="M481" s="2"/>
      <c r="N481" s="2"/>
      <c r="O481" s="1"/>
      <c r="P481" s="1"/>
      <c r="Q481" s="1"/>
    </row>
    <row r="482">
      <c r="A482" s="1"/>
      <c r="B482" s="1"/>
      <c r="C482" s="1"/>
      <c r="D482" s="1"/>
      <c r="E482" s="1"/>
      <c r="F482" s="2"/>
      <c r="G482" s="2"/>
      <c r="H482" s="2"/>
      <c r="I482" s="2"/>
      <c r="J482" s="2"/>
      <c r="K482" s="2"/>
      <c r="L482" s="2"/>
      <c r="M482" s="2"/>
      <c r="N482" s="2"/>
      <c r="O482" s="1"/>
      <c r="P482" s="1"/>
      <c r="Q482" s="1"/>
    </row>
    <row r="483">
      <c r="A483" s="1"/>
      <c r="B483" s="1"/>
      <c r="C483" s="1"/>
      <c r="D483" s="1"/>
      <c r="E483" s="1"/>
      <c r="F483" s="2"/>
      <c r="G483" s="2"/>
      <c r="H483" s="2"/>
      <c r="I483" s="2"/>
      <c r="J483" s="2"/>
      <c r="K483" s="2"/>
      <c r="L483" s="2"/>
      <c r="M483" s="2"/>
      <c r="N483" s="2"/>
      <c r="O483" s="1"/>
      <c r="P483" s="1"/>
      <c r="Q483" s="1"/>
    </row>
    <row r="484">
      <c r="A484" s="1"/>
      <c r="B484" s="1"/>
      <c r="C484" s="1"/>
      <c r="D484" s="1"/>
      <c r="E484" s="1"/>
      <c r="F484" s="2"/>
      <c r="G484" s="2"/>
      <c r="H484" s="2"/>
      <c r="I484" s="2"/>
      <c r="J484" s="2"/>
      <c r="K484" s="2"/>
      <c r="L484" s="2"/>
      <c r="M484" s="2"/>
      <c r="N484" s="2"/>
      <c r="O484" s="1"/>
      <c r="P484" s="1"/>
      <c r="Q484" s="1"/>
    </row>
    <row r="485">
      <c r="A485" s="1"/>
      <c r="B485" s="1"/>
      <c r="C485" s="1"/>
      <c r="D485" s="1"/>
      <c r="E485" s="1"/>
      <c r="F485" s="2"/>
      <c r="G485" s="2"/>
      <c r="H485" s="2"/>
      <c r="I485" s="2"/>
      <c r="J485" s="2"/>
      <c r="K485" s="2"/>
      <c r="L485" s="2"/>
      <c r="M485" s="2"/>
      <c r="N485" s="2"/>
      <c r="O485" s="1"/>
      <c r="P485" s="1"/>
      <c r="Q485" s="1"/>
    </row>
    <row r="486">
      <c r="A486" s="1"/>
      <c r="B486" s="1"/>
      <c r="C486" s="1"/>
      <c r="D486" s="1"/>
      <c r="E486" s="1"/>
      <c r="F486" s="2"/>
      <c r="G486" s="2"/>
      <c r="H486" s="2"/>
      <c r="I486" s="2"/>
      <c r="J486" s="2"/>
      <c r="K486" s="2"/>
      <c r="L486" s="2"/>
      <c r="M486" s="2"/>
      <c r="N486" s="2"/>
      <c r="O486" s="1"/>
      <c r="P486" s="1"/>
      <c r="Q486" s="1"/>
    </row>
    <row r="487">
      <c r="A487" s="1"/>
      <c r="B487" s="1"/>
      <c r="C487" s="1"/>
      <c r="D487" s="1"/>
      <c r="E487" s="1"/>
      <c r="F487" s="2"/>
      <c r="G487" s="2"/>
      <c r="H487" s="2"/>
      <c r="I487" s="2"/>
      <c r="J487" s="2"/>
      <c r="K487" s="2"/>
      <c r="L487" s="2"/>
      <c r="M487" s="2"/>
      <c r="N487" s="2"/>
      <c r="O487" s="1"/>
      <c r="P487" s="1"/>
      <c r="Q487" s="1"/>
    </row>
    <row r="488">
      <c r="A488" s="1"/>
      <c r="B488" s="1"/>
      <c r="C488" s="1"/>
      <c r="D488" s="1"/>
      <c r="E488" s="1"/>
      <c r="F488" s="2"/>
      <c r="G488" s="2"/>
      <c r="H488" s="2"/>
      <c r="I488" s="2"/>
      <c r="J488" s="2"/>
      <c r="K488" s="2"/>
      <c r="L488" s="2"/>
      <c r="M488" s="2"/>
      <c r="N488" s="2"/>
      <c r="O488" s="1"/>
      <c r="P488" s="1"/>
      <c r="Q488" s="1"/>
    </row>
    <row r="489">
      <c r="A489" s="1"/>
      <c r="B489" s="1"/>
      <c r="C489" s="1"/>
      <c r="D489" s="1"/>
      <c r="E489" s="1"/>
      <c r="F489" s="2"/>
      <c r="G489" s="2"/>
      <c r="H489" s="2"/>
      <c r="I489" s="2"/>
      <c r="J489" s="2"/>
      <c r="K489" s="2"/>
      <c r="L489" s="2"/>
      <c r="M489" s="2"/>
      <c r="N489" s="2"/>
      <c r="O489" s="1"/>
      <c r="P489" s="1"/>
      <c r="Q489" s="1"/>
    </row>
    <row r="490">
      <c r="A490" s="1"/>
      <c r="B490" s="1"/>
      <c r="C490" s="1"/>
      <c r="D490" s="1"/>
      <c r="E490" s="1"/>
      <c r="F490" s="2"/>
      <c r="G490" s="2"/>
      <c r="H490" s="2"/>
      <c r="I490" s="2"/>
      <c r="J490" s="2"/>
      <c r="K490" s="2"/>
      <c r="L490" s="2"/>
      <c r="M490" s="2"/>
      <c r="N490" s="2"/>
      <c r="O490" s="1"/>
      <c r="P490" s="1"/>
      <c r="Q490" s="1"/>
    </row>
    <row r="491">
      <c r="A491" s="1"/>
      <c r="B491" s="1"/>
      <c r="C491" s="1"/>
      <c r="D491" s="1"/>
      <c r="E491" s="1"/>
      <c r="F491" s="2"/>
      <c r="G491" s="2"/>
      <c r="H491" s="2"/>
      <c r="I491" s="2"/>
      <c r="J491" s="2"/>
      <c r="K491" s="2"/>
      <c r="L491" s="2"/>
      <c r="M491" s="2"/>
      <c r="N491" s="2"/>
      <c r="O491" s="1"/>
      <c r="P491" s="1"/>
      <c r="Q491" s="1"/>
    </row>
    <row r="492">
      <c r="A492" s="1"/>
      <c r="B492" s="1"/>
      <c r="C492" s="1"/>
      <c r="D492" s="1"/>
      <c r="E492" s="1"/>
      <c r="F492" s="2"/>
      <c r="G492" s="2"/>
      <c r="H492" s="2"/>
      <c r="I492" s="2"/>
      <c r="J492" s="2"/>
      <c r="K492" s="2"/>
      <c r="L492" s="2"/>
      <c r="M492" s="2"/>
      <c r="N492" s="2"/>
      <c r="O492" s="1"/>
      <c r="P492" s="1"/>
      <c r="Q492" s="1"/>
    </row>
    <row r="493">
      <c r="A493" s="1"/>
      <c r="B493" s="1"/>
      <c r="C493" s="1"/>
      <c r="D493" s="1"/>
      <c r="E493" s="1"/>
      <c r="F493" s="2"/>
      <c r="G493" s="2"/>
      <c r="H493" s="2"/>
      <c r="I493" s="2"/>
      <c r="J493" s="2"/>
      <c r="K493" s="2"/>
      <c r="L493" s="2"/>
      <c r="M493" s="2"/>
      <c r="N493" s="2"/>
      <c r="O493" s="1"/>
      <c r="P493" s="1"/>
      <c r="Q493" s="1"/>
    </row>
    <row r="494">
      <c r="A494" s="1"/>
      <c r="B494" s="1"/>
      <c r="C494" s="1"/>
      <c r="D494" s="1"/>
      <c r="E494" s="1"/>
      <c r="F494" s="2"/>
      <c r="G494" s="2"/>
      <c r="H494" s="2"/>
      <c r="I494" s="2"/>
      <c r="J494" s="2"/>
      <c r="K494" s="2"/>
      <c r="L494" s="2"/>
      <c r="M494" s="2"/>
      <c r="N494" s="2"/>
      <c r="O494" s="1"/>
      <c r="P494" s="1"/>
      <c r="Q494" s="1"/>
    </row>
    <row r="495">
      <c r="A495" s="1"/>
      <c r="B495" s="1"/>
      <c r="C495" s="1"/>
      <c r="D495" s="1"/>
      <c r="E495" s="1"/>
      <c r="F495" s="2"/>
      <c r="G495" s="2"/>
      <c r="H495" s="2"/>
      <c r="I495" s="2"/>
      <c r="J495" s="2"/>
      <c r="K495" s="2"/>
      <c r="L495" s="2"/>
      <c r="M495" s="2"/>
      <c r="N495" s="2"/>
      <c r="O495" s="1"/>
      <c r="P495" s="1"/>
      <c r="Q495" s="1"/>
    </row>
    <row r="496">
      <c r="A496" s="1"/>
      <c r="B496" s="1"/>
      <c r="C496" s="1"/>
      <c r="D496" s="1"/>
      <c r="E496" s="1"/>
      <c r="F496" s="2"/>
      <c r="G496" s="2"/>
      <c r="H496" s="2"/>
      <c r="I496" s="2"/>
      <c r="J496" s="2"/>
      <c r="K496" s="2"/>
      <c r="L496" s="2"/>
      <c r="M496" s="2"/>
      <c r="N496" s="2"/>
      <c r="O496" s="1"/>
      <c r="P496" s="1"/>
      <c r="Q496" s="1"/>
    </row>
    <row r="497">
      <c r="A497" s="1"/>
      <c r="B497" s="1"/>
      <c r="C497" s="1"/>
      <c r="D497" s="1"/>
      <c r="E497" s="1"/>
      <c r="F497" s="2"/>
      <c r="G497" s="2"/>
      <c r="H497" s="2"/>
      <c r="I497" s="2"/>
      <c r="J497" s="2"/>
      <c r="K497" s="2"/>
      <c r="L497" s="2"/>
      <c r="M497" s="2"/>
      <c r="N497" s="2"/>
      <c r="O497" s="1"/>
      <c r="P497" s="1"/>
      <c r="Q497" s="1"/>
    </row>
    <row r="498">
      <c r="A498" s="1"/>
      <c r="B498" s="1"/>
      <c r="C498" s="1"/>
      <c r="D498" s="1"/>
      <c r="E498" s="1"/>
      <c r="F498" s="2"/>
      <c r="G498" s="2"/>
      <c r="H498" s="2"/>
      <c r="I498" s="2"/>
      <c r="J498" s="2"/>
      <c r="K498" s="2"/>
      <c r="L498" s="2"/>
      <c r="M498" s="2"/>
      <c r="N498" s="2"/>
      <c r="O498" s="1"/>
      <c r="P498" s="1"/>
      <c r="Q498" s="1"/>
    </row>
    <row r="499">
      <c r="A499" s="1"/>
      <c r="B499" s="1"/>
      <c r="C499" s="1"/>
      <c r="D499" s="1"/>
      <c r="E499" s="1"/>
      <c r="F499" s="2"/>
      <c r="G499" s="2"/>
      <c r="H499" s="2"/>
      <c r="I499" s="2"/>
      <c r="J499" s="2"/>
      <c r="K499" s="2"/>
      <c r="L499" s="2"/>
      <c r="M499" s="2"/>
      <c r="N499" s="2"/>
      <c r="O499" s="1"/>
      <c r="P499" s="1"/>
      <c r="Q499" s="1"/>
    </row>
    <row r="500">
      <c r="A500" s="1"/>
      <c r="B500" s="1"/>
      <c r="C500" s="1"/>
      <c r="D500" s="1"/>
      <c r="E500" s="1"/>
      <c r="F500" s="2"/>
      <c r="G500" s="2"/>
      <c r="H500" s="2"/>
      <c r="I500" s="2"/>
      <c r="J500" s="2"/>
      <c r="K500" s="2"/>
      <c r="L500" s="2"/>
      <c r="M500" s="2"/>
      <c r="N500" s="2"/>
      <c r="O500" s="1"/>
      <c r="P500" s="1"/>
      <c r="Q500" s="1"/>
    </row>
    <row r="501">
      <c r="A501" s="1"/>
      <c r="B501" s="1"/>
      <c r="C501" s="1"/>
      <c r="D501" s="1"/>
      <c r="E501" s="1"/>
      <c r="F501" s="2"/>
      <c r="G501" s="2"/>
      <c r="H501" s="2"/>
      <c r="I501" s="2"/>
      <c r="J501" s="2"/>
      <c r="K501" s="2"/>
      <c r="L501" s="2"/>
      <c r="M501" s="2"/>
      <c r="N501" s="2"/>
      <c r="O501" s="1"/>
      <c r="P501" s="1"/>
      <c r="Q501" s="1"/>
    </row>
    <row r="502">
      <c r="A502" s="1"/>
      <c r="B502" s="1"/>
      <c r="C502" s="1"/>
      <c r="D502" s="1"/>
      <c r="E502" s="1"/>
      <c r="F502" s="2"/>
      <c r="G502" s="2"/>
      <c r="H502" s="2"/>
      <c r="I502" s="2"/>
      <c r="J502" s="2"/>
      <c r="K502" s="2"/>
      <c r="L502" s="2"/>
      <c r="M502" s="2"/>
      <c r="N502" s="2"/>
      <c r="O502" s="1"/>
      <c r="P502" s="1"/>
      <c r="Q502" s="1"/>
    </row>
    <row r="503">
      <c r="A503" s="1"/>
      <c r="B503" s="1"/>
      <c r="C503" s="1"/>
      <c r="D503" s="1"/>
      <c r="E503" s="1"/>
      <c r="F503" s="2"/>
      <c r="G503" s="2"/>
      <c r="H503" s="2"/>
      <c r="I503" s="2"/>
      <c r="J503" s="2"/>
      <c r="K503" s="2"/>
      <c r="L503" s="2"/>
      <c r="M503" s="2"/>
      <c r="N503" s="2"/>
      <c r="O503" s="1"/>
      <c r="P503" s="1"/>
      <c r="Q503" s="1"/>
    </row>
    <row r="504">
      <c r="A504" s="1"/>
      <c r="B504" s="1"/>
      <c r="C504" s="1"/>
      <c r="D504" s="1"/>
      <c r="E504" s="1"/>
      <c r="F504" s="2"/>
      <c r="G504" s="2"/>
      <c r="H504" s="2"/>
      <c r="I504" s="2"/>
      <c r="J504" s="2"/>
      <c r="K504" s="2"/>
      <c r="L504" s="2"/>
      <c r="M504" s="2"/>
      <c r="N504" s="2"/>
      <c r="O504" s="1"/>
      <c r="P504" s="1"/>
      <c r="Q504" s="1"/>
    </row>
    <row r="505">
      <c r="A505" s="1"/>
      <c r="B505" s="1"/>
      <c r="C505" s="1"/>
      <c r="D505" s="1"/>
      <c r="E505" s="1"/>
      <c r="F505" s="2"/>
      <c r="G505" s="2"/>
      <c r="H505" s="2"/>
      <c r="I505" s="2"/>
      <c r="J505" s="2"/>
      <c r="K505" s="2"/>
      <c r="L505" s="2"/>
      <c r="M505" s="2"/>
      <c r="N505" s="2"/>
      <c r="O505" s="1"/>
      <c r="P505" s="1"/>
      <c r="Q505" s="1"/>
    </row>
    <row r="506">
      <c r="A506" s="1"/>
      <c r="B506" s="1"/>
      <c r="C506" s="1"/>
      <c r="D506" s="1"/>
      <c r="E506" s="1"/>
      <c r="F506" s="2"/>
      <c r="G506" s="2"/>
      <c r="H506" s="2"/>
      <c r="I506" s="2"/>
      <c r="J506" s="2"/>
      <c r="K506" s="2"/>
      <c r="L506" s="2"/>
      <c r="M506" s="2"/>
      <c r="N506" s="2"/>
      <c r="O506" s="1"/>
      <c r="P506" s="1"/>
      <c r="Q506" s="1"/>
    </row>
    <row r="507">
      <c r="A507" s="1"/>
      <c r="B507" s="1"/>
      <c r="C507" s="1"/>
      <c r="D507" s="1"/>
      <c r="E507" s="1"/>
      <c r="F507" s="2"/>
      <c r="G507" s="2"/>
      <c r="H507" s="2"/>
      <c r="I507" s="2"/>
      <c r="J507" s="2"/>
      <c r="K507" s="2"/>
      <c r="L507" s="2"/>
      <c r="M507" s="2"/>
      <c r="N507" s="2"/>
      <c r="O507" s="1"/>
      <c r="P507" s="1"/>
      <c r="Q507" s="1"/>
    </row>
    <row r="508">
      <c r="A508" s="1"/>
      <c r="B508" s="1"/>
      <c r="C508" s="1"/>
      <c r="D508" s="1"/>
      <c r="E508" s="1"/>
      <c r="F508" s="2"/>
      <c r="G508" s="2"/>
      <c r="H508" s="2"/>
      <c r="I508" s="2"/>
      <c r="J508" s="2"/>
      <c r="K508" s="2"/>
      <c r="L508" s="2"/>
      <c r="M508" s="2"/>
      <c r="N508" s="2"/>
      <c r="O508" s="1"/>
      <c r="P508" s="1"/>
      <c r="Q508" s="1"/>
    </row>
    <row r="509">
      <c r="A509" s="1"/>
      <c r="B509" s="1"/>
      <c r="C509" s="1"/>
      <c r="D509" s="1"/>
      <c r="E509" s="1"/>
      <c r="F509" s="2"/>
      <c r="G509" s="2"/>
      <c r="H509" s="2"/>
      <c r="I509" s="2"/>
      <c r="J509" s="2"/>
      <c r="K509" s="2"/>
      <c r="L509" s="2"/>
      <c r="M509" s="2"/>
      <c r="N509" s="2"/>
      <c r="O509" s="1"/>
      <c r="P509" s="1"/>
      <c r="Q509" s="1"/>
    </row>
    <row r="510">
      <c r="A510" s="1"/>
      <c r="B510" s="1"/>
      <c r="C510" s="1"/>
      <c r="D510" s="1"/>
      <c r="E510" s="1"/>
      <c r="F510" s="2"/>
      <c r="G510" s="2"/>
      <c r="H510" s="2"/>
      <c r="I510" s="2"/>
      <c r="J510" s="2"/>
      <c r="K510" s="2"/>
      <c r="L510" s="2"/>
      <c r="M510" s="2"/>
      <c r="N510" s="2"/>
      <c r="O510" s="1"/>
      <c r="P510" s="1"/>
      <c r="Q510" s="1"/>
    </row>
    <row r="511">
      <c r="A511" s="1"/>
      <c r="B511" s="1"/>
      <c r="C511" s="1"/>
      <c r="D511" s="1"/>
      <c r="E511" s="1"/>
      <c r="F511" s="2"/>
      <c r="G511" s="2"/>
      <c r="H511" s="2"/>
      <c r="I511" s="2"/>
      <c r="J511" s="2"/>
      <c r="K511" s="2"/>
      <c r="L511" s="2"/>
      <c r="M511" s="2"/>
      <c r="N511" s="2"/>
      <c r="O511" s="1"/>
      <c r="P511" s="1"/>
      <c r="Q511" s="1"/>
    </row>
    <row r="512">
      <c r="A512" s="1"/>
      <c r="B512" s="1"/>
      <c r="C512" s="1"/>
      <c r="D512" s="1"/>
      <c r="E512" s="1"/>
      <c r="F512" s="2"/>
      <c r="G512" s="2"/>
      <c r="H512" s="2"/>
      <c r="I512" s="2"/>
      <c r="J512" s="2"/>
      <c r="K512" s="2"/>
      <c r="L512" s="2"/>
      <c r="M512" s="2"/>
      <c r="N512" s="2"/>
      <c r="O512" s="1"/>
      <c r="P512" s="1"/>
      <c r="Q512" s="1"/>
    </row>
    <row r="513">
      <c r="A513" s="1"/>
      <c r="B513" s="1"/>
      <c r="C513" s="1"/>
      <c r="D513" s="1"/>
      <c r="E513" s="1"/>
      <c r="F513" s="2"/>
      <c r="G513" s="2"/>
      <c r="H513" s="2"/>
      <c r="I513" s="2"/>
      <c r="J513" s="2"/>
      <c r="K513" s="2"/>
      <c r="L513" s="2"/>
      <c r="M513" s="2"/>
      <c r="N513" s="2"/>
      <c r="O513" s="1"/>
      <c r="P513" s="1"/>
      <c r="Q513" s="1"/>
    </row>
    <row r="514">
      <c r="A514" s="1"/>
      <c r="B514" s="1"/>
      <c r="C514" s="1"/>
      <c r="D514" s="1"/>
      <c r="E514" s="1"/>
      <c r="F514" s="2"/>
      <c r="G514" s="2"/>
      <c r="H514" s="2"/>
      <c r="I514" s="2"/>
      <c r="J514" s="2"/>
      <c r="K514" s="2"/>
      <c r="L514" s="2"/>
      <c r="M514" s="2"/>
      <c r="N514" s="2"/>
      <c r="O514" s="1"/>
      <c r="P514" s="1"/>
      <c r="Q514" s="1"/>
    </row>
    <row r="515">
      <c r="A515" s="1"/>
      <c r="B515" s="1"/>
      <c r="C515" s="1"/>
      <c r="D515" s="1"/>
      <c r="E515" s="1"/>
      <c r="F515" s="2"/>
      <c r="G515" s="2"/>
      <c r="H515" s="2"/>
      <c r="I515" s="2"/>
      <c r="J515" s="2"/>
      <c r="K515" s="2"/>
      <c r="L515" s="2"/>
      <c r="M515" s="2"/>
      <c r="N515" s="2"/>
      <c r="O515" s="1"/>
      <c r="P515" s="1"/>
      <c r="Q515" s="1"/>
    </row>
    <row r="516">
      <c r="A516" s="1"/>
      <c r="B516" s="1"/>
      <c r="C516" s="1"/>
      <c r="D516" s="1"/>
      <c r="E516" s="1"/>
      <c r="F516" s="2"/>
      <c r="G516" s="2"/>
      <c r="H516" s="2"/>
      <c r="I516" s="2"/>
      <c r="J516" s="2"/>
      <c r="K516" s="2"/>
      <c r="L516" s="2"/>
      <c r="M516" s="2"/>
      <c r="N516" s="2"/>
      <c r="O516" s="1"/>
      <c r="P516" s="1"/>
      <c r="Q516" s="1"/>
    </row>
    <row r="517">
      <c r="A517" s="1"/>
      <c r="B517" s="1"/>
      <c r="C517" s="1"/>
      <c r="D517" s="1"/>
      <c r="E517" s="1"/>
      <c r="F517" s="2"/>
      <c r="G517" s="2"/>
      <c r="H517" s="2"/>
      <c r="I517" s="2"/>
      <c r="J517" s="2"/>
      <c r="K517" s="2"/>
      <c r="L517" s="2"/>
      <c r="M517" s="2"/>
      <c r="N517" s="2"/>
      <c r="O517" s="1"/>
      <c r="P517" s="1"/>
      <c r="Q517" s="1"/>
    </row>
    <row r="518">
      <c r="A518" s="1"/>
      <c r="B518" s="1"/>
      <c r="C518" s="1"/>
      <c r="D518" s="1"/>
      <c r="E518" s="1"/>
      <c r="F518" s="2"/>
      <c r="G518" s="2"/>
      <c r="H518" s="2"/>
      <c r="I518" s="2"/>
      <c r="J518" s="2"/>
      <c r="K518" s="2"/>
      <c r="L518" s="2"/>
      <c r="M518" s="2"/>
      <c r="N518" s="2"/>
      <c r="O518" s="1"/>
      <c r="P518" s="1"/>
      <c r="Q518" s="1"/>
    </row>
    <row r="519">
      <c r="A519" s="1"/>
      <c r="B519" s="1"/>
      <c r="C519" s="1"/>
      <c r="D519" s="1"/>
      <c r="E519" s="1"/>
      <c r="F519" s="2"/>
      <c r="G519" s="2"/>
      <c r="H519" s="2"/>
      <c r="I519" s="2"/>
      <c r="J519" s="2"/>
      <c r="K519" s="2"/>
      <c r="L519" s="2"/>
      <c r="M519" s="2"/>
      <c r="N519" s="2"/>
      <c r="O519" s="1"/>
      <c r="P519" s="1"/>
      <c r="Q519" s="1"/>
    </row>
    <row r="520">
      <c r="A520" s="1"/>
      <c r="B520" s="1"/>
      <c r="C520" s="1"/>
      <c r="D520" s="1"/>
      <c r="E520" s="1"/>
      <c r="F520" s="2"/>
      <c r="G520" s="2"/>
      <c r="H520" s="2"/>
      <c r="I520" s="2"/>
      <c r="J520" s="2"/>
      <c r="K520" s="2"/>
      <c r="L520" s="2"/>
      <c r="M520" s="2"/>
      <c r="N520" s="2"/>
      <c r="O520" s="1"/>
      <c r="P520" s="1"/>
      <c r="Q520" s="1"/>
    </row>
    <row r="521">
      <c r="A521" s="1"/>
      <c r="B521" s="1"/>
      <c r="C521" s="1"/>
      <c r="D521" s="1"/>
      <c r="E521" s="1"/>
      <c r="F521" s="2"/>
      <c r="G521" s="2"/>
      <c r="H521" s="2"/>
      <c r="I521" s="2"/>
      <c r="J521" s="2"/>
      <c r="K521" s="2"/>
      <c r="L521" s="2"/>
      <c r="M521" s="2"/>
      <c r="N521" s="2"/>
      <c r="O521" s="1"/>
      <c r="P521" s="1"/>
      <c r="Q521" s="1"/>
    </row>
    <row r="522">
      <c r="A522" s="1"/>
      <c r="B522" s="1"/>
      <c r="C522" s="1"/>
      <c r="D522" s="1"/>
      <c r="E522" s="1"/>
      <c r="F522" s="2"/>
      <c r="G522" s="2"/>
      <c r="H522" s="2"/>
      <c r="I522" s="2"/>
      <c r="J522" s="2"/>
      <c r="K522" s="2"/>
      <c r="L522" s="2"/>
      <c r="M522" s="2"/>
      <c r="N522" s="2"/>
      <c r="O522" s="1"/>
      <c r="P522" s="1"/>
      <c r="Q522" s="1"/>
    </row>
    <row r="523">
      <c r="A523" s="1"/>
      <c r="B523" s="1"/>
      <c r="C523" s="1"/>
      <c r="D523" s="1"/>
      <c r="E523" s="1"/>
      <c r="F523" s="2"/>
      <c r="G523" s="2"/>
      <c r="H523" s="2"/>
      <c r="I523" s="2"/>
      <c r="J523" s="2"/>
      <c r="K523" s="2"/>
      <c r="L523" s="2"/>
      <c r="M523" s="2"/>
      <c r="N523" s="2"/>
      <c r="O523" s="1"/>
      <c r="P523" s="1"/>
      <c r="Q523" s="1"/>
    </row>
    <row r="524">
      <c r="A524" s="1"/>
      <c r="B524" s="1"/>
      <c r="C524" s="1"/>
      <c r="D524" s="1"/>
      <c r="E524" s="1"/>
      <c r="F524" s="2"/>
      <c r="G524" s="2"/>
      <c r="H524" s="2"/>
      <c r="I524" s="2"/>
      <c r="J524" s="2"/>
      <c r="K524" s="2"/>
      <c r="L524" s="2"/>
      <c r="M524" s="2"/>
      <c r="N524" s="2"/>
      <c r="O524" s="1"/>
      <c r="P524" s="1"/>
      <c r="Q524" s="1"/>
    </row>
    <row r="525">
      <c r="A525" s="1"/>
      <c r="B525" s="1"/>
      <c r="C525" s="1"/>
      <c r="D525" s="1"/>
      <c r="E525" s="1"/>
      <c r="F525" s="2"/>
      <c r="G525" s="2"/>
      <c r="H525" s="2"/>
      <c r="I525" s="2"/>
      <c r="J525" s="2"/>
      <c r="K525" s="2"/>
      <c r="L525" s="2"/>
      <c r="M525" s="2"/>
      <c r="N525" s="2"/>
      <c r="O525" s="1"/>
      <c r="P525" s="1"/>
      <c r="Q525" s="1"/>
    </row>
    <row r="526">
      <c r="A526" s="1"/>
      <c r="B526" s="1"/>
      <c r="C526" s="1"/>
      <c r="D526" s="1"/>
      <c r="E526" s="1"/>
      <c r="F526" s="2"/>
      <c r="G526" s="2"/>
      <c r="H526" s="2"/>
      <c r="I526" s="2"/>
      <c r="J526" s="2"/>
      <c r="K526" s="2"/>
      <c r="L526" s="2"/>
      <c r="M526" s="2"/>
      <c r="N526" s="2"/>
      <c r="O526" s="1"/>
      <c r="P526" s="1"/>
      <c r="Q526" s="1"/>
    </row>
    <row r="527">
      <c r="A527" s="1"/>
      <c r="B527" s="1"/>
      <c r="C527" s="1"/>
      <c r="D527" s="1"/>
      <c r="E527" s="1"/>
      <c r="F527" s="2"/>
      <c r="G527" s="2"/>
      <c r="H527" s="2"/>
      <c r="I527" s="2"/>
      <c r="J527" s="2"/>
      <c r="K527" s="2"/>
      <c r="L527" s="2"/>
      <c r="M527" s="2"/>
      <c r="N527" s="2"/>
      <c r="O527" s="1"/>
      <c r="P527" s="1"/>
      <c r="Q527" s="1"/>
    </row>
    <row r="528">
      <c r="A528" s="1"/>
      <c r="B528" s="1"/>
      <c r="C528" s="1"/>
      <c r="D528" s="1"/>
      <c r="E528" s="1"/>
      <c r="F528" s="2"/>
      <c r="G528" s="2"/>
      <c r="H528" s="2"/>
      <c r="I528" s="2"/>
      <c r="J528" s="2"/>
      <c r="K528" s="2"/>
      <c r="L528" s="2"/>
      <c r="M528" s="2"/>
      <c r="N528" s="2"/>
      <c r="O528" s="1"/>
      <c r="P528" s="1"/>
      <c r="Q528" s="1"/>
    </row>
    <row r="529">
      <c r="A529" s="1"/>
      <c r="B529" s="1"/>
      <c r="C529" s="1"/>
      <c r="D529" s="1"/>
      <c r="E529" s="1"/>
      <c r="F529" s="2"/>
      <c r="G529" s="2"/>
      <c r="H529" s="2"/>
      <c r="I529" s="2"/>
      <c r="J529" s="2"/>
      <c r="K529" s="2"/>
      <c r="L529" s="2"/>
      <c r="M529" s="2"/>
      <c r="N529" s="2"/>
      <c r="O529" s="1"/>
      <c r="P529" s="1"/>
      <c r="Q529" s="1"/>
    </row>
    <row r="530">
      <c r="A530" s="1"/>
      <c r="B530" s="1"/>
      <c r="C530" s="1"/>
      <c r="D530" s="1"/>
      <c r="E530" s="1"/>
      <c r="F530" s="2"/>
      <c r="G530" s="2"/>
      <c r="H530" s="2"/>
      <c r="I530" s="2"/>
      <c r="J530" s="2"/>
      <c r="K530" s="2"/>
      <c r="L530" s="2"/>
      <c r="M530" s="2"/>
      <c r="N530" s="2"/>
      <c r="O530" s="1"/>
      <c r="P530" s="1"/>
      <c r="Q530" s="1"/>
    </row>
    <row r="531">
      <c r="A531" s="1"/>
      <c r="B531" s="1"/>
      <c r="C531" s="1"/>
      <c r="D531" s="1"/>
      <c r="E531" s="1"/>
      <c r="F531" s="2"/>
      <c r="G531" s="2"/>
      <c r="H531" s="2"/>
      <c r="I531" s="2"/>
      <c r="J531" s="2"/>
      <c r="K531" s="2"/>
      <c r="L531" s="2"/>
      <c r="M531" s="2"/>
      <c r="N531" s="2"/>
      <c r="O531" s="1"/>
      <c r="P531" s="1"/>
      <c r="Q531" s="1"/>
    </row>
    <row r="532">
      <c r="A532" s="1"/>
      <c r="B532" s="1"/>
      <c r="C532" s="1"/>
      <c r="D532" s="1"/>
      <c r="E532" s="1"/>
      <c r="F532" s="2"/>
      <c r="G532" s="2"/>
      <c r="H532" s="2"/>
      <c r="I532" s="2"/>
      <c r="J532" s="2"/>
      <c r="K532" s="2"/>
      <c r="L532" s="2"/>
      <c r="M532" s="2"/>
      <c r="N532" s="2"/>
      <c r="O532" s="1"/>
      <c r="P532" s="1"/>
      <c r="Q532" s="1"/>
    </row>
    <row r="533">
      <c r="A533" s="1"/>
      <c r="B533" s="1"/>
      <c r="C533" s="1"/>
      <c r="D533" s="1"/>
      <c r="E533" s="1"/>
      <c r="F533" s="2"/>
      <c r="G533" s="2"/>
      <c r="H533" s="2"/>
      <c r="I533" s="2"/>
      <c r="J533" s="2"/>
      <c r="K533" s="2"/>
      <c r="L533" s="2"/>
      <c r="M533" s="2"/>
      <c r="N533" s="2"/>
      <c r="O533" s="1"/>
      <c r="P533" s="1"/>
      <c r="Q533" s="1"/>
    </row>
    <row r="534">
      <c r="A534" s="1"/>
      <c r="B534" s="1"/>
      <c r="C534" s="1"/>
      <c r="D534" s="1"/>
      <c r="E534" s="1"/>
      <c r="F534" s="2"/>
      <c r="G534" s="2"/>
      <c r="H534" s="2"/>
      <c r="I534" s="2"/>
      <c r="J534" s="2"/>
      <c r="K534" s="2"/>
      <c r="L534" s="2"/>
      <c r="M534" s="2"/>
      <c r="N534" s="2"/>
      <c r="O534" s="1"/>
      <c r="P534" s="1"/>
      <c r="Q534" s="1"/>
    </row>
    <row r="535">
      <c r="A535" s="1"/>
      <c r="B535" s="1"/>
      <c r="C535" s="1"/>
      <c r="D535" s="1"/>
      <c r="E535" s="1"/>
      <c r="F535" s="2"/>
      <c r="G535" s="2"/>
      <c r="H535" s="2"/>
      <c r="I535" s="2"/>
      <c r="J535" s="2"/>
      <c r="K535" s="2"/>
      <c r="L535" s="2"/>
      <c r="M535" s="2"/>
      <c r="N535" s="2"/>
      <c r="O535" s="1"/>
      <c r="P535" s="1"/>
      <c r="Q535" s="1"/>
    </row>
    <row r="536">
      <c r="A536" s="1"/>
      <c r="B536" s="1"/>
      <c r="C536" s="1"/>
      <c r="D536" s="1"/>
      <c r="E536" s="1"/>
      <c r="F536" s="2"/>
      <c r="G536" s="2"/>
      <c r="H536" s="2"/>
      <c r="I536" s="2"/>
      <c r="J536" s="2"/>
      <c r="K536" s="2"/>
      <c r="L536" s="2"/>
      <c r="M536" s="2"/>
      <c r="N536" s="2"/>
      <c r="O536" s="1"/>
      <c r="P536" s="1"/>
      <c r="Q536" s="1"/>
    </row>
    <row r="537">
      <c r="A537" s="1"/>
      <c r="B537" s="1"/>
      <c r="C537" s="1"/>
      <c r="D537" s="1"/>
      <c r="E537" s="1"/>
      <c r="F537" s="2"/>
      <c r="G537" s="2"/>
      <c r="H537" s="2"/>
      <c r="I537" s="2"/>
      <c r="J537" s="2"/>
      <c r="K537" s="2"/>
      <c r="L537" s="2"/>
      <c r="M537" s="2"/>
      <c r="N537" s="2"/>
      <c r="O537" s="1"/>
      <c r="P537" s="1"/>
      <c r="Q537" s="1"/>
    </row>
    <row r="538">
      <c r="A538" s="1"/>
      <c r="B538" s="1"/>
      <c r="C538" s="1"/>
      <c r="D538" s="1"/>
      <c r="E538" s="1"/>
      <c r="F538" s="2"/>
      <c r="G538" s="2"/>
      <c r="H538" s="2"/>
      <c r="I538" s="2"/>
      <c r="J538" s="2"/>
      <c r="K538" s="2"/>
      <c r="L538" s="2"/>
      <c r="M538" s="2"/>
      <c r="N538" s="2"/>
      <c r="O538" s="1"/>
      <c r="P538" s="1"/>
      <c r="Q538" s="1"/>
    </row>
    <row r="539">
      <c r="A539" s="1"/>
      <c r="B539" s="1"/>
      <c r="C539" s="1"/>
      <c r="D539" s="1"/>
      <c r="E539" s="1"/>
      <c r="F539" s="2"/>
      <c r="G539" s="2"/>
      <c r="H539" s="2"/>
      <c r="I539" s="2"/>
      <c r="J539" s="2"/>
      <c r="K539" s="2"/>
      <c r="L539" s="2"/>
      <c r="M539" s="2"/>
      <c r="N539" s="2"/>
      <c r="O539" s="1"/>
      <c r="P539" s="1"/>
      <c r="Q539" s="1"/>
    </row>
    <row r="540">
      <c r="A540" s="1"/>
      <c r="B540" s="1"/>
      <c r="C540" s="1"/>
      <c r="D540" s="1"/>
      <c r="E540" s="1"/>
      <c r="F540" s="2"/>
      <c r="G540" s="2"/>
      <c r="H540" s="2"/>
      <c r="I540" s="2"/>
      <c r="J540" s="2"/>
      <c r="K540" s="2"/>
      <c r="L540" s="2"/>
      <c r="M540" s="2"/>
      <c r="N540" s="2"/>
      <c r="O540" s="1"/>
      <c r="P540" s="1"/>
      <c r="Q540" s="1"/>
    </row>
    <row r="541">
      <c r="A541" s="1"/>
      <c r="B541" s="1"/>
      <c r="C541" s="1"/>
      <c r="D541" s="1"/>
      <c r="E541" s="1"/>
      <c r="F541" s="2"/>
      <c r="G541" s="2"/>
      <c r="H541" s="2"/>
      <c r="I541" s="2"/>
      <c r="J541" s="2"/>
      <c r="K541" s="2"/>
      <c r="L541" s="2"/>
      <c r="M541" s="2"/>
      <c r="N541" s="2"/>
      <c r="O541" s="1"/>
      <c r="P541" s="1"/>
      <c r="Q541" s="1"/>
    </row>
    <row r="542">
      <c r="A542" s="1"/>
      <c r="B542" s="1"/>
      <c r="C542" s="1"/>
      <c r="D542" s="1"/>
      <c r="E542" s="1"/>
      <c r="F542" s="2"/>
      <c r="G542" s="2"/>
      <c r="H542" s="2"/>
      <c r="I542" s="2"/>
      <c r="J542" s="2"/>
      <c r="K542" s="2"/>
      <c r="L542" s="2"/>
      <c r="M542" s="2"/>
      <c r="N542" s="2"/>
      <c r="O542" s="1"/>
      <c r="P542" s="1"/>
      <c r="Q542" s="1"/>
    </row>
  </sheetData>
  <mergeCells count="3">
    <mergeCell ref="B5:C5"/>
    <mergeCell ref="B6:C6"/>
    <mergeCell ref="B9:C9"/>
  </mergeCells>
  <conditionalFormatting sqref="G1:G542">
    <cfRule type="colorScale" priority="1">
      <colorScale>
        <cfvo type="min"/>
        <cfvo type="max"/>
        <color rgb="FFFFFFFF"/>
        <color rgb="FFFFD666"/>
      </colorScale>
    </cfRule>
  </conditionalFormatting>
  <conditionalFormatting sqref="H1:H542">
    <cfRule type="colorScale" priority="2">
      <colorScale>
        <cfvo type="min"/>
        <cfvo type="max"/>
        <color rgb="FFFFFFFF"/>
        <color rgb="FFFFD666"/>
      </colorScale>
    </cfRule>
  </conditionalFormatting>
  <conditionalFormatting sqref="J1:J542">
    <cfRule type="colorScale" priority="3">
      <colorScale>
        <cfvo type="min"/>
        <cfvo type="max"/>
        <color rgb="FFFFFFFF"/>
        <color rgb="FFFFD666"/>
      </colorScale>
    </cfRule>
  </conditionalFormatting>
  <conditionalFormatting sqref="K1:K542">
    <cfRule type="colorScale" priority="4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L1:L542">
    <cfRule type="colorScale" priority="5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M1:M542">
    <cfRule type="colorScale" priority="6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N1:N542">
    <cfRule type="colorScale" priority="7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F1:F542">
    <cfRule type="colorScale" priority="8">
      <colorScale>
        <cfvo type="min"/>
        <cfvo type="max"/>
        <color rgb="FFFFFFFF"/>
        <color rgb="FFFFD666"/>
      </colorScale>
    </cfRule>
  </conditionalFormatting>
  <conditionalFormatting sqref="C11:C40">
    <cfRule type="colorScale" priority="9">
      <colorScale>
        <cfvo type="min"/>
        <cfvo type="percentile" val="50"/>
        <cfvo type="max"/>
        <color rgb="FFE67C73"/>
        <color rgb="FFFFFFFF"/>
        <color rgb="FF57BB8A"/>
      </colorScale>
    </cfRule>
  </conditionalFormatting>
  <dataValidations>
    <dataValidation type="list" allowBlank="1" showErrorMessage="1" sqref="C2">
      <formula1>Data!$D$2:$D542</formula1>
    </dataValidation>
    <dataValidation type="list" allowBlank="1" showErrorMessage="1" sqref="C3">
      <formula1>Data!$C:$C</formula1>
    </dataValidation>
  </dataValidations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34.71"/>
    <col customWidth="1" min="2" max="2" width="15.71"/>
    <col customWidth="1" min="3" max="3" width="20.43"/>
    <col customWidth="1" min="4" max="4" width="21.14"/>
    <col customWidth="1" min="5" max="5" width="26.0"/>
    <col customWidth="1" min="6" max="7" width="29.29"/>
  </cols>
  <sheetData>
    <row r="1">
      <c r="A1" s="169" t="s">
        <v>2</v>
      </c>
      <c r="B1" s="170" t="s">
        <v>240</v>
      </c>
      <c r="C1" s="170" t="s">
        <v>11</v>
      </c>
      <c r="D1" s="170" t="s">
        <v>241</v>
      </c>
      <c r="E1" s="171" t="s">
        <v>242</v>
      </c>
      <c r="F1" s="171" t="s">
        <v>243</v>
      </c>
      <c r="G1" s="171" t="s">
        <v>244</v>
      </c>
    </row>
    <row r="2" hidden="1">
      <c r="A2" s="172" t="s">
        <v>245</v>
      </c>
      <c r="B2" s="173">
        <f>countif(Data!B:B,A2)</f>
        <v>0</v>
      </c>
      <c r="C2" s="174">
        <f>sumif(Data!B:B,A2,Data!M:M)</f>
        <v>0</v>
      </c>
      <c r="D2" s="174" t="str">
        <f t="shared" ref="D2:D1429" si="1">C2/B2</f>
        <v>#DIV/0!</v>
      </c>
      <c r="E2" s="175" t="str">
        <f t="shared" ref="E2:E1429" si="2">F2+G2</f>
        <v>#N/A</v>
      </c>
      <c r="F2" s="175" t="str">
        <f>IFERROR(__xludf.DUMMYFUNCTION("average.weighted(filter(Data!K:K,Data!B:B=A2),filter(Data!F:F,Data!B:B=A2))"),"#N/A")</f>
        <v>#N/A</v>
      </c>
      <c r="G2" s="175" t="str">
        <f>IFERROR(__xludf.DUMMYFUNCTION("average.weighted(filter(Data!L:L,Data!B:B=A2),filter(Data!F:F,Data!B:B=A2))"),"#N/A")</f>
        <v>#N/A</v>
      </c>
    </row>
    <row r="3" hidden="1">
      <c r="A3" s="172" t="s">
        <v>246</v>
      </c>
      <c r="B3" s="173">
        <f>countif(Data!B:B,A3)</f>
        <v>0</v>
      </c>
      <c r="C3" s="174">
        <f>sumif(Data!B:B,A3,Data!M:M)</f>
        <v>0</v>
      </c>
      <c r="D3" s="174" t="str">
        <f t="shared" si="1"/>
        <v>#DIV/0!</v>
      </c>
      <c r="E3" s="175" t="str">
        <f t="shared" si="2"/>
        <v>#N/A</v>
      </c>
      <c r="F3" s="175" t="str">
        <f>IFERROR(__xludf.DUMMYFUNCTION("average.weighted(filter(Data!K:K,Data!B:B=A3),filter(Data!F:F,Data!B:B=A3))"),"#N/A")</f>
        <v>#N/A</v>
      </c>
      <c r="G3" s="175" t="str">
        <f>IFERROR(__xludf.DUMMYFUNCTION("average.weighted(filter(Data!L:L,Data!B:B=A3),filter(Data!F:F,Data!B:B=A3))"),"#N/A")</f>
        <v>#N/A</v>
      </c>
    </row>
    <row r="4" hidden="1">
      <c r="A4" s="172" t="s">
        <v>247</v>
      </c>
      <c r="B4" s="173">
        <f>countif(Data!B:B,A4)</f>
        <v>0</v>
      </c>
      <c r="C4" s="174">
        <f>sumif(Data!B:B,A4,Data!M:M)</f>
        <v>0</v>
      </c>
      <c r="D4" s="174" t="str">
        <f t="shared" si="1"/>
        <v>#DIV/0!</v>
      </c>
      <c r="E4" s="175" t="str">
        <f t="shared" si="2"/>
        <v>#N/A</v>
      </c>
      <c r="F4" s="175" t="str">
        <f>IFERROR(__xludf.DUMMYFUNCTION("average.weighted(filter(Data!K:K,Data!B:B=A4),filter(Data!F:F,Data!B:B=A4))"),"#N/A")</f>
        <v>#N/A</v>
      </c>
      <c r="G4" s="175" t="str">
        <f>IFERROR(__xludf.DUMMYFUNCTION("average.weighted(filter(Data!L:L,Data!B:B=A4),filter(Data!F:F,Data!B:B=A4))"),"#N/A")</f>
        <v>#N/A</v>
      </c>
    </row>
    <row r="5" hidden="1">
      <c r="A5" s="172" t="s">
        <v>248</v>
      </c>
      <c r="B5" s="173">
        <f>countif(Data!B:B,A5)</f>
        <v>0</v>
      </c>
      <c r="C5" s="174">
        <f>sumif(Data!B:B,A5,Data!M:M)</f>
        <v>0</v>
      </c>
      <c r="D5" s="174" t="str">
        <f t="shared" si="1"/>
        <v>#DIV/0!</v>
      </c>
      <c r="E5" s="175" t="str">
        <f t="shared" si="2"/>
        <v>#N/A</v>
      </c>
      <c r="F5" s="175" t="str">
        <f>IFERROR(__xludf.DUMMYFUNCTION("average.weighted(filter(Data!K:K,Data!B:B=A5),filter(Data!F:F,Data!B:B=A5))"),"#N/A")</f>
        <v>#N/A</v>
      </c>
      <c r="G5" s="175" t="str">
        <f>IFERROR(__xludf.DUMMYFUNCTION("average.weighted(filter(Data!L:L,Data!B:B=A5),filter(Data!F:F,Data!B:B=A5))"),"#N/A")</f>
        <v>#N/A</v>
      </c>
    </row>
    <row r="6" hidden="1">
      <c r="A6" s="172" t="s">
        <v>249</v>
      </c>
      <c r="B6" s="173">
        <f>countif(Data!B:B,A6)</f>
        <v>0</v>
      </c>
      <c r="C6" s="174">
        <f>sumif(Data!B:B,A6,Data!M:M)</f>
        <v>0</v>
      </c>
      <c r="D6" s="174" t="str">
        <f t="shared" si="1"/>
        <v>#DIV/0!</v>
      </c>
      <c r="E6" s="175" t="str">
        <f t="shared" si="2"/>
        <v>#N/A</v>
      </c>
      <c r="F6" s="175" t="str">
        <f>IFERROR(__xludf.DUMMYFUNCTION("average.weighted(filter(Data!K:K,Data!B:B=A6),filter(Data!F:F,Data!B:B=A6))"),"#N/A")</f>
        <v>#N/A</v>
      </c>
      <c r="G6" s="175" t="str">
        <f>IFERROR(__xludf.DUMMYFUNCTION("average.weighted(filter(Data!L:L,Data!B:B=A6),filter(Data!F:F,Data!B:B=A6))"),"#N/A")</f>
        <v>#N/A</v>
      </c>
    </row>
    <row r="7" hidden="1">
      <c r="A7" s="172" t="s">
        <v>250</v>
      </c>
      <c r="B7" s="173">
        <f>countif(Data!B:B,A7)</f>
        <v>0</v>
      </c>
      <c r="C7" s="174">
        <f>sumif(Data!B:B,A7,Data!M:M)</f>
        <v>0</v>
      </c>
      <c r="D7" s="174" t="str">
        <f t="shared" si="1"/>
        <v>#DIV/0!</v>
      </c>
      <c r="E7" s="175" t="str">
        <f t="shared" si="2"/>
        <v>#N/A</v>
      </c>
      <c r="F7" s="175" t="str">
        <f>IFERROR(__xludf.DUMMYFUNCTION("average.weighted(filter(Data!K:K,Data!B:B=A7),filter(Data!F:F,Data!B:B=A7))"),"#N/A")</f>
        <v>#N/A</v>
      </c>
      <c r="G7" s="175" t="str">
        <f>IFERROR(__xludf.DUMMYFUNCTION("average.weighted(filter(Data!L:L,Data!B:B=A7),filter(Data!F:F,Data!B:B=A7))"),"#N/A")</f>
        <v>#N/A</v>
      </c>
    </row>
    <row r="8" hidden="1">
      <c r="A8" s="172" t="s">
        <v>251</v>
      </c>
      <c r="B8" s="173">
        <f>countif(Data!B:B,A8)</f>
        <v>0</v>
      </c>
      <c r="C8" s="174">
        <f>sumif(Data!B:B,A8,Data!M:M)</f>
        <v>0</v>
      </c>
      <c r="D8" s="174" t="str">
        <f t="shared" si="1"/>
        <v>#DIV/0!</v>
      </c>
      <c r="E8" s="175" t="str">
        <f t="shared" si="2"/>
        <v>#N/A</v>
      </c>
      <c r="F8" s="175" t="str">
        <f>IFERROR(__xludf.DUMMYFUNCTION("average.weighted(filter(Data!K:K,Data!B:B=A8),filter(Data!F:F,Data!B:B=A8))"),"#N/A")</f>
        <v>#N/A</v>
      </c>
      <c r="G8" s="175" t="str">
        <f>IFERROR(__xludf.DUMMYFUNCTION("average.weighted(filter(Data!L:L,Data!B:B=A8),filter(Data!F:F,Data!B:B=A8))"),"#N/A")</f>
        <v>#N/A</v>
      </c>
    </row>
    <row r="9" hidden="1">
      <c r="A9" s="172" t="s">
        <v>252</v>
      </c>
      <c r="B9" s="173">
        <f>countif(Data!B:B,A9)</f>
        <v>0</v>
      </c>
      <c r="C9" s="174">
        <f>sumif(Data!B:B,A9,Data!M:M)</f>
        <v>0</v>
      </c>
      <c r="D9" s="174" t="str">
        <f t="shared" si="1"/>
        <v>#DIV/0!</v>
      </c>
      <c r="E9" s="175" t="str">
        <f t="shared" si="2"/>
        <v>#N/A</v>
      </c>
      <c r="F9" s="175" t="str">
        <f>IFERROR(__xludf.DUMMYFUNCTION("average.weighted(filter(Data!K:K,Data!B:B=A9),filter(Data!F:F,Data!B:B=A9))"),"#N/A")</f>
        <v>#N/A</v>
      </c>
      <c r="G9" s="175" t="str">
        <f>IFERROR(__xludf.DUMMYFUNCTION("average.weighted(filter(Data!L:L,Data!B:B=A9),filter(Data!F:F,Data!B:B=A9))"),"#N/A")</f>
        <v>#N/A</v>
      </c>
    </row>
    <row r="10" hidden="1">
      <c r="A10" s="172" t="s">
        <v>253</v>
      </c>
      <c r="B10" s="173">
        <f>countif(Data!B:B,A10)</f>
        <v>0</v>
      </c>
      <c r="C10" s="174">
        <f>sumif(Data!B:B,A10,Data!M:M)</f>
        <v>0</v>
      </c>
      <c r="D10" s="174" t="str">
        <f t="shared" si="1"/>
        <v>#DIV/0!</v>
      </c>
      <c r="E10" s="175" t="str">
        <f t="shared" si="2"/>
        <v>#N/A</v>
      </c>
      <c r="F10" s="175" t="str">
        <f>IFERROR(__xludf.DUMMYFUNCTION("average.weighted(filter(Data!K:K,Data!B:B=A10),filter(Data!F:F,Data!B:B=A10))"),"#N/A")</f>
        <v>#N/A</v>
      </c>
      <c r="G10" s="175" t="str">
        <f>IFERROR(__xludf.DUMMYFUNCTION("average.weighted(filter(Data!L:L,Data!B:B=A10),filter(Data!F:F,Data!B:B=A10))"),"#N/A")</f>
        <v>#N/A</v>
      </c>
    </row>
    <row r="11" hidden="1">
      <c r="A11" s="172" t="s">
        <v>254</v>
      </c>
      <c r="B11" s="173">
        <f>countif(Data!B:B,A11)</f>
        <v>0</v>
      </c>
      <c r="C11" s="174">
        <f>sumif(Data!B:B,A11,Data!M:M)</f>
        <v>0</v>
      </c>
      <c r="D11" s="174" t="str">
        <f t="shared" si="1"/>
        <v>#DIV/0!</v>
      </c>
      <c r="E11" s="175" t="str">
        <f t="shared" si="2"/>
        <v>#N/A</v>
      </c>
      <c r="F11" s="175" t="str">
        <f>IFERROR(__xludf.DUMMYFUNCTION("average.weighted(filter(Data!K:K,Data!B:B=A11),filter(Data!F:F,Data!B:B=A11))"),"#N/A")</f>
        <v>#N/A</v>
      </c>
      <c r="G11" s="175" t="str">
        <f>IFERROR(__xludf.DUMMYFUNCTION("average.weighted(filter(Data!L:L,Data!B:B=A11),filter(Data!F:F,Data!B:B=A11))"),"#N/A")</f>
        <v>#N/A</v>
      </c>
    </row>
    <row r="12" hidden="1">
      <c r="A12" s="172" t="s">
        <v>255</v>
      </c>
      <c r="B12" s="173">
        <f>countif(Data!B:B,A12)</f>
        <v>0</v>
      </c>
      <c r="C12" s="174">
        <f>sumif(Data!B:B,A12,Data!M:M)</f>
        <v>0</v>
      </c>
      <c r="D12" s="174" t="str">
        <f t="shared" si="1"/>
        <v>#DIV/0!</v>
      </c>
      <c r="E12" s="175" t="str">
        <f t="shared" si="2"/>
        <v>#N/A</v>
      </c>
      <c r="F12" s="175" t="str">
        <f>IFERROR(__xludf.DUMMYFUNCTION("average.weighted(filter(Data!K:K,Data!B:B=A12),filter(Data!F:F,Data!B:B=A12))"),"#N/A")</f>
        <v>#N/A</v>
      </c>
      <c r="G12" s="175" t="str">
        <f>IFERROR(__xludf.DUMMYFUNCTION("average.weighted(filter(Data!L:L,Data!B:B=A12),filter(Data!F:F,Data!B:B=A12))"),"#N/A")</f>
        <v>#N/A</v>
      </c>
    </row>
    <row r="13" hidden="1">
      <c r="A13" s="172" t="s">
        <v>256</v>
      </c>
      <c r="B13" s="173">
        <f>countif(Data!B:B,A13)</f>
        <v>0</v>
      </c>
      <c r="C13" s="174">
        <f>sumif(Data!B:B,A13,Data!M:M)</f>
        <v>0</v>
      </c>
      <c r="D13" s="174" t="str">
        <f t="shared" si="1"/>
        <v>#DIV/0!</v>
      </c>
      <c r="E13" s="175" t="str">
        <f t="shared" si="2"/>
        <v>#N/A</v>
      </c>
      <c r="F13" s="175" t="str">
        <f>IFERROR(__xludf.DUMMYFUNCTION("average.weighted(filter(Data!K:K,Data!B:B=A13),filter(Data!F:F,Data!B:B=A13))"),"#N/A")</f>
        <v>#N/A</v>
      </c>
      <c r="G13" s="175" t="str">
        <f>IFERROR(__xludf.DUMMYFUNCTION("average.weighted(filter(Data!L:L,Data!B:B=A13),filter(Data!F:F,Data!B:B=A13))"),"#N/A")</f>
        <v>#N/A</v>
      </c>
    </row>
    <row r="14" hidden="1">
      <c r="A14" s="172" t="s">
        <v>257</v>
      </c>
      <c r="B14" s="173">
        <f>countif(Data!B:B,A14)</f>
        <v>0</v>
      </c>
      <c r="C14" s="174">
        <f>sumif(Data!B:B,A14,Data!M:M)</f>
        <v>0</v>
      </c>
      <c r="D14" s="174" t="str">
        <f t="shared" si="1"/>
        <v>#DIV/0!</v>
      </c>
      <c r="E14" s="175" t="str">
        <f t="shared" si="2"/>
        <v>#N/A</v>
      </c>
      <c r="F14" s="175" t="str">
        <f>IFERROR(__xludf.DUMMYFUNCTION("average.weighted(filter(Data!K:K,Data!B:B=A14),filter(Data!F:F,Data!B:B=A14))"),"#N/A")</f>
        <v>#N/A</v>
      </c>
      <c r="G14" s="175" t="str">
        <f>IFERROR(__xludf.DUMMYFUNCTION("average.weighted(filter(Data!L:L,Data!B:B=A14),filter(Data!F:F,Data!B:B=A14))"),"#N/A")</f>
        <v>#N/A</v>
      </c>
    </row>
    <row r="15" hidden="1">
      <c r="A15" s="172" t="s">
        <v>258</v>
      </c>
      <c r="B15" s="173">
        <f>countif(Data!B:B,A15)</f>
        <v>0</v>
      </c>
      <c r="C15" s="174">
        <f>sumif(Data!B:B,A15,Data!M:M)</f>
        <v>0</v>
      </c>
      <c r="D15" s="174" t="str">
        <f t="shared" si="1"/>
        <v>#DIV/0!</v>
      </c>
      <c r="E15" s="175" t="str">
        <f t="shared" si="2"/>
        <v>#N/A</v>
      </c>
      <c r="F15" s="175" t="str">
        <f>IFERROR(__xludf.DUMMYFUNCTION("average.weighted(filter(Data!K:K,Data!B:B=A15),filter(Data!F:F,Data!B:B=A15))"),"#N/A")</f>
        <v>#N/A</v>
      </c>
      <c r="G15" s="175" t="str">
        <f>IFERROR(__xludf.DUMMYFUNCTION("average.weighted(filter(Data!L:L,Data!B:B=A15),filter(Data!F:F,Data!B:B=A15))"),"#N/A")</f>
        <v>#N/A</v>
      </c>
    </row>
    <row r="16" hidden="1">
      <c r="A16" s="172" t="s">
        <v>259</v>
      </c>
      <c r="B16" s="173">
        <f>countif(Data!B:B,A16)</f>
        <v>0</v>
      </c>
      <c r="C16" s="174">
        <f>sumif(Data!B:B,A16,Data!M:M)</f>
        <v>0</v>
      </c>
      <c r="D16" s="174" t="str">
        <f t="shared" si="1"/>
        <v>#DIV/0!</v>
      </c>
      <c r="E16" s="175" t="str">
        <f t="shared" si="2"/>
        <v>#N/A</v>
      </c>
      <c r="F16" s="175" t="str">
        <f>IFERROR(__xludf.DUMMYFUNCTION("average.weighted(filter(Data!K:K,Data!B:B=A16),filter(Data!F:F,Data!B:B=A16))"),"#N/A")</f>
        <v>#N/A</v>
      </c>
      <c r="G16" s="175" t="str">
        <f>IFERROR(__xludf.DUMMYFUNCTION("average.weighted(filter(Data!L:L,Data!B:B=A16),filter(Data!F:F,Data!B:B=A16))"),"#N/A")</f>
        <v>#N/A</v>
      </c>
    </row>
    <row r="17" hidden="1">
      <c r="A17" s="172" t="s">
        <v>260</v>
      </c>
      <c r="B17" s="173">
        <f>countif(Data!B:B,A17)</f>
        <v>0</v>
      </c>
      <c r="C17" s="174">
        <f>sumif(Data!B:B,A17,Data!M:M)</f>
        <v>0</v>
      </c>
      <c r="D17" s="174" t="str">
        <f t="shared" si="1"/>
        <v>#DIV/0!</v>
      </c>
      <c r="E17" s="175" t="str">
        <f t="shared" si="2"/>
        <v>#N/A</v>
      </c>
      <c r="F17" s="175" t="str">
        <f>IFERROR(__xludf.DUMMYFUNCTION("average.weighted(filter(Data!K:K,Data!B:B=A17),filter(Data!F:F,Data!B:B=A17))"),"#N/A")</f>
        <v>#N/A</v>
      </c>
      <c r="G17" s="175" t="str">
        <f>IFERROR(__xludf.DUMMYFUNCTION("average.weighted(filter(Data!L:L,Data!B:B=A17),filter(Data!F:F,Data!B:B=A17))"),"#N/A")</f>
        <v>#N/A</v>
      </c>
    </row>
    <row r="18" hidden="1">
      <c r="A18" s="172" t="s">
        <v>261</v>
      </c>
      <c r="B18" s="173">
        <f>countif(Data!B:B,A18)</f>
        <v>0</v>
      </c>
      <c r="C18" s="174">
        <f>sumif(Data!B:B,A18,Data!M:M)</f>
        <v>0</v>
      </c>
      <c r="D18" s="174" t="str">
        <f t="shared" si="1"/>
        <v>#DIV/0!</v>
      </c>
      <c r="E18" s="175" t="str">
        <f t="shared" si="2"/>
        <v>#N/A</v>
      </c>
      <c r="F18" s="175" t="str">
        <f>IFERROR(__xludf.DUMMYFUNCTION("average.weighted(filter(Data!K:K,Data!B:B=A18),filter(Data!F:F,Data!B:B=A18))"),"#N/A")</f>
        <v>#N/A</v>
      </c>
      <c r="G18" s="175" t="str">
        <f>IFERROR(__xludf.DUMMYFUNCTION("average.weighted(filter(Data!L:L,Data!B:B=A18),filter(Data!F:F,Data!B:B=A18))"),"#N/A")</f>
        <v>#N/A</v>
      </c>
    </row>
    <row r="19" hidden="1">
      <c r="A19" s="172" t="s">
        <v>262</v>
      </c>
      <c r="B19" s="173">
        <f>countif(Data!B:B,A19)</f>
        <v>0</v>
      </c>
      <c r="C19" s="174">
        <f>sumif(Data!B:B,A19,Data!M:M)</f>
        <v>0</v>
      </c>
      <c r="D19" s="174" t="str">
        <f t="shared" si="1"/>
        <v>#DIV/0!</v>
      </c>
      <c r="E19" s="175" t="str">
        <f t="shared" si="2"/>
        <v>#N/A</v>
      </c>
      <c r="F19" s="175" t="str">
        <f>IFERROR(__xludf.DUMMYFUNCTION("average.weighted(filter(Data!K:K,Data!B:B=A19),filter(Data!F:F,Data!B:B=A19))"),"#N/A")</f>
        <v>#N/A</v>
      </c>
      <c r="G19" s="175" t="str">
        <f>IFERROR(__xludf.DUMMYFUNCTION("average.weighted(filter(Data!L:L,Data!B:B=A19),filter(Data!F:F,Data!B:B=A19))"),"#N/A")</f>
        <v>#N/A</v>
      </c>
    </row>
    <row r="20" hidden="1">
      <c r="A20" s="172" t="s">
        <v>263</v>
      </c>
      <c r="B20" s="173">
        <f>countif(Data!B:B,A20)</f>
        <v>0</v>
      </c>
      <c r="C20" s="174">
        <f>sumif(Data!B:B,A20,Data!M:M)</f>
        <v>0</v>
      </c>
      <c r="D20" s="174" t="str">
        <f t="shared" si="1"/>
        <v>#DIV/0!</v>
      </c>
      <c r="E20" s="175" t="str">
        <f t="shared" si="2"/>
        <v>#N/A</v>
      </c>
      <c r="F20" s="175" t="str">
        <f>IFERROR(__xludf.DUMMYFUNCTION("average.weighted(filter(Data!K:K,Data!B:B=A20),filter(Data!F:F,Data!B:B=A20))"),"#N/A")</f>
        <v>#N/A</v>
      </c>
      <c r="G20" s="175" t="str">
        <f>IFERROR(__xludf.DUMMYFUNCTION("average.weighted(filter(Data!L:L,Data!B:B=A20),filter(Data!F:F,Data!B:B=A20))"),"#N/A")</f>
        <v>#N/A</v>
      </c>
    </row>
    <row r="21" hidden="1">
      <c r="A21" s="172" t="s">
        <v>264</v>
      </c>
      <c r="B21" s="173">
        <f>countif(Data!B:B,A21)</f>
        <v>0</v>
      </c>
      <c r="C21" s="174">
        <f>sumif(Data!B:B,A21,Data!M:M)</f>
        <v>0</v>
      </c>
      <c r="D21" s="174" t="str">
        <f t="shared" si="1"/>
        <v>#DIV/0!</v>
      </c>
      <c r="E21" s="175" t="str">
        <f t="shared" si="2"/>
        <v>#N/A</v>
      </c>
      <c r="F21" s="175" t="str">
        <f>IFERROR(__xludf.DUMMYFUNCTION("average.weighted(filter(Data!K:K,Data!B:B=A21),filter(Data!F:F,Data!B:B=A21))"),"#N/A")</f>
        <v>#N/A</v>
      </c>
      <c r="G21" s="175" t="str">
        <f>IFERROR(__xludf.DUMMYFUNCTION("average.weighted(filter(Data!L:L,Data!B:B=A21),filter(Data!F:F,Data!B:B=A21))"),"#N/A")</f>
        <v>#N/A</v>
      </c>
    </row>
    <row r="22" hidden="1">
      <c r="A22" s="172" t="s">
        <v>265</v>
      </c>
      <c r="B22" s="173">
        <f>countif(Data!B:B,A22)</f>
        <v>0</v>
      </c>
      <c r="C22" s="174">
        <f>sumif(Data!B:B,A22,Data!M:M)</f>
        <v>0</v>
      </c>
      <c r="D22" s="174" t="str">
        <f t="shared" si="1"/>
        <v>#DIV/0!</v>
      </c>
      <c r="E22" s="175" t="str">
        <f t="shared" si="2"/>
        <v>#N/A</v>
      </c>
      <c r="F22" s="175" t="str">
        <f>IFERROR(__xludf.DUMMYFUNCTION("average.weighted(filter(Data!K:K,Data!B:B=A22),filter(Data!F:F,Data!B:B=A22))"),"#N/A")</f>
        <v>#N/A</v>
      </c>
      <c r="G22" s="175" t="str">
        <f>IFERROR(__xludf.DUMMYFUNCTION("average.weighted(filter(Data!L:L,Data!B:B=A22),filter(Data!F:F,Data!B:B=A22))"),"#N/A")</f>
        <v>#N/A</v>
      </c>
    </row>
    <row r="23" hidden="1">
      <c r="A23" s="172" t="s">
        <v>266</v>
      </c>
      <c r="B23" s="173">
        <f>countif(Data!B:B,A23)</f>
        <v>0</v>
      </c>
      <c r="C23" s="174">
        <f>sumif(Data!B:B,A23,Data!M:M)</f>
        <v>0</v>
      </c>
      <c r="D23" s="174" t="str">
        <f t="shared" si="1"/>
        <v>#DIV/0!</v>
      </c>
      <c r="E23" s="175" t="str">
        <f t="shared" si="2"/>
        <v>#N/A</v>
      </c>
      <c r="F23" s="175" t="str">
        <f>IFERROR(__xludf.DUMMYFUNCTION("average.weighted(filter(Data!K:K,Data!B:B=A23),filter(Data!F:F,Data!B:B=A23))"),"#N/A")</f>
        <v>#N/A</v>
      </c>
      <c r="G23" s="175" t="str">
        <f>IFERROR(__xludf.DUMMYFUNCTION("average.weighted(filter(Data!L:L,Data!B:B=A23),filter(Data!F:F,Data!B:B=A23))"),"#N/A")</f>
        <v>#N/A</v>
      </c>
    </row>
    <row r="24" hidden="1">
      <c r="A24" s="172" t="s">
        <v>267</v>
      </c>
      <c r="B24" s="173">
        <f>countif(Data!B:B,A24)</f>
        <v>0</v>
      </c>
      <c r="C24" s="174">
        <f>sumif(Data!B:B,A24,Data!M:M)</f>
        <v>0</v>
      </c>
      <c r="D24" s="174" t="str">
        <f t="shared" si="1"/>
        <v>#DIV/0!</v>
      </c>
      <c r="E24" s="175" t="str">
        <f t="shared" si="2"/>
        <v>#N/A</v>
      </c>
      <c r="F24" s="175" t="str">
        <f>IFERROR(__xludf.DUMMYFUNCTION("average.weighted(filter(Data!K:K,Data!B:B=A24),filter(Data!F:F,Data!B:B=A24))"),"#N/A")</f>
        <v>#N/A</v>
      </c>
      <c r="G24" s="175" t="str">
        <f>IFERROR(__xludf.DUMMYFUNCTION("average.weighted(filter(Data!L:L,Data!B:B=A24),filter(Data!F:F,Data!B:B=A24))"),"#N/A")</f>
        <v>#N/A</v>
      </c>
    </row>
    <row r="25" hidden="1">
      <c r="A25" s="172" t="s">
        <v>268</v>
      </c>
      <c r="B25" s="173">
        <f>countif(Data!B:B,A25)</f>
        <v>0</v>
      </c>
      <c r="C25" s="174">
        <f>sumif(Data!B:B,A25,Data!M:M)</f>
        <v>0</v>
      </c>
      <c r="D25" s="174" t="str">
        <f t="shared" si="1"/>
        <v>#DIV/0!</v>
      </c>
      <c r="E25" s="175" t="str">
        <f t="shared" si="2"/>
        <v>#N/A</v>
      </c>
      <c r="F25" s="175" t="str">
        <f>IFERROR(__xludf.DUMMYFUNCTION("average.weighted(filter(Data!K:K,Data!B:B=A25),filter(Data!F:F,Data!B:B=A25))"),"#N/A")</f>
        <v>#N/A</v>
      </c>
      <c r="G25" s="175" t="str">
        <f>IFERROR(__xludf.DUMMYFUNCTION("average.weighted(filter(Data!L:L,Data!B:B=A25),filter(Data!F:F,Data!B:B=A25))"),"#N/A")</f>
        <v>#N/A</v>
      </c>
    </row>
    <row r="26" hidden="1">
      <c r="A26" s="172" t="s">
        <v>269</v>
      </c>
      <c r="B26" s="173">
        <f>countif(Data!B:B,A26)</f>
        <v>0</v>
      </c>
      <c r="C26" s="174">
        <f>sumif(Data!B:B,A26,Data!M:M)</f>
        <v>0</v>
      </c>
      <c r="D26" s="174" t="str">
        <f t="shared" si="1"/>
        <v>#DIV/0!</v>
      </c>
      <c r="E26" s="175" t="str">
        <f t="shared" si="2"/>
        <v>#N/A</v>
      </c>
      <c r="F26" s="175" t="str">
        <f>IFERROR(__xludf.DUMMYFUNCTION("average.weighted(filter(Data!K:K,Data!B:B=A26),filter(Data!F:F,Data!B:B=A26))"),"#N/A")</f>
        <v>#N/A</v>
      </c>
      <c r="G26" s="175" t="str">
        <f>IFERROR(__xludf.DUMMYFUNCTION("average.weighted(filter(Data!L:L,Data!B:B=A26),filter(Data!F:F,Data!B:B=A26))"),"#N/A")</f>
        <v>#N/A</v>
      </c>
    </row>
    <row r="27" hidden="1">
      <c r="A27" s="172" t="s">
        <v>270</v>
      </c>
      <c r="B27" s="173">
        <f>countif(Data!B:B,A27)</f>
        <v>0</v>
      </c>
      <c r="C27" s="174">
        <f>sumif(Data!B:B,A27,Data!M:M)</f>
        <v>0</v>
      </c>
      <c r="D27" s="174" t="str">
        <f t="shared" si="1"/>
        <v>#DIV/0!</v>
      </c>
      <c r="E27" s="175" t="str">
        <f t="shared" si="2"/>
        <v>#N/A</v>
      </c>
      <c r="F27" s="175" t="str">
        <f>IFERROR(__xludf.DUMMYFUNCTION("average.weighted(filter(Data!K:K,Data!B:B=A27),filter(Data!F:F,Data!B:B=A27))"),"#N/A")</f>
        <v>#N/A</v>
      </c>
      <c r="G27" s="175" t="str">
        <f>IFERROR(__xludf.DUMMYFUNCTION("average.weighted(filter(Data!L:L,Data!B:B=A27),filter(Data!F:F,Data!B:B=A27))"),"#N/A")</f>
        <v>#N/A</v>
      </c>
    </row>
    <row r="28" hidden="1">
      <c r="A28" s="172" t="s">
        <v>271</v>
      </c>
      <c r="B28" s="173">
        <f>countif(Data!B:B,A28)</f>
        <v>0</v>
      </c>
      <c r="C28" s="174">
        <f>sumif(Data!B:B,A28,Data!M:M)</f>
        <v>0</v>
      </c>
      <c r="D28" s="174" t="str">
        <f t="shared" si="1"/>
        <v>#DIV/0!</v>
      </c>
      <c r="E28" s="175" t="str">
        <f t="shared" si="2"/>
        <v>#N/A</v>
      </c>
      <c r="F28" s="175" t="str">
        <f>IFERROR(__xludf.DUMMYFUNCTION("average.weighted(filter(Data!K:K,Data!B:B=A28),filter(Data!F:F,Data!B:B=A28))"),"#N/A")</f>
        <v>#N/A</v>
      </c>
      <c r="G28" s="175" t="str">
        <f>IFERROR(__xludf.DUMMYFUNCTION("average.weighted(filter(Data!L:L,Data!B:B=A28),filter(Data!F:F,Data!B:B=A28))"),"#N/A")</f>
        <v>#N/A</v>
      </c>
    </row>
    <row r="29" hidden="1">
      <c r="A29" s="172" t="s">
        <v>272</v>
      </c>
      <c r="B29" s="173">
        <f>countif(Data!B:B,A29)</f>
        <v>0</v>
      </c>
      <c r="C29" s="174">
        <f>sumif(Data!B:B,A29,Data!M:M)</f>
        <v>0</v>
      </c>
      <c r="D29" s="174" t="str">
        <f t="shared" si="1"/>
        <v>#DIV/0!</v>
      </c>
      <c r="E29" s="175" t="str">
        <f t="shared" si="2"/>
        <v>#N/A</v>
      </c>
      <c r="F29" s="175" t="str">
        <f>IFERROR(__xludf.DUMMYFUNCTION("average.weighted(filter(Data!K:K,Data!B:B=A29),filter(Data!F:F,Data!B:B=A29))"),"#N/A")</f>
        <v>#N/A</v>
      </c>
      <c r="G29" s="175" t="str">
        <f>IFERROR(__xludf.DUMMYFUNCTION("average.weighted(filter(Data!L:L,Data!B:B=A29),filter(Data!F:F,Data!B:B=A29))"),"#N/A")</f>
        <v>#N/A</v>
      </c>
    </row>
    <row r="30" hidden="1">
      <c r="A30" s="172" t="s">
        <v>273</v>
      </c>
      <c r="B30" s="173">
        <f>countif(Data!B:B,A30)</f>
        <v>0</v>
      </c>
      <c r="C30" s="174">
        <f>sumif(Data!B:B,A30,Data!M:M)</f>
        <v>0</v>
      </c>
      <c r="D30" s="174" t="str">
        <f t="shared" si="1"/>
        <v>#DIV/0!</v>
      </c>
      <c r="E30" s="175" t="str">
        <f t="shared" si="2"/>
        <v>#N/A</v>
      </c>
      <c r="F30" s="175" t="str">
        <f>IFERROR(__xludf.DUMMYFUNCTION("average.weighted(filter(Data!K:K,Data!B:B=A30),filter(Data!F:F,Data!B:B=A30))"),"#N/A")</f>
        <v>#N/A</v>
      </c>
      <c r="G30" s="175" t="str">
        <f>IFERROR(__xludf.DUMMYFUNCTION("average.weighted(filter(Data!L:L,Data!B:B=A30),filter(Data!F:F,Data!B:B=A30))"),"#N/A")</f>
        <v>#N/A</v>
      </c>
    </row>
    <row r="31" hidden="1">
      <c r="A31" s="172" t="s">
        <v>274</v>
      </c>
      <c r="B31" s="173">
        <f>countif(Data!B:B,A31)</f>
        <v>0</v>
      </c>
      <c r="C31" s="174">
        <f>sumif(Data!B:B,A31,Data!M:M)</f>
        <v>0</v>
      </c>
      <c r="D31" s="174" t="str">
        <f t="shared" si="1"/>
        <v>#DIV/0!</v>
      </c>
      <c r="E31" s="175" t="str">
        <f t="shared" si="2"/>
        <v>#N/A</v>
      </c>
      <c r="F31" s="175" t="str">
        <f>IFERROR(__xludf.DUMMYFUNCTION("average.weighted(filter(Data!K:K,Data!B:B=A31),filter(Data!F:F,Data!B:B=A31))"),"#N/A")</f>
        <v>#N/A</v>
      </c>
      <c r="G31" s="175" t="str">
        <f>IFERROR(__xludf.DUMMYFUNCTION("average.weighted(filter(Data!L:L,Data!B:B=A31),filter(Data!F:F,Data!B:B=A31))"),"#N/A")</f>
        <v>#N/A</v>
      </c>
    </row>
    <row r="32" hidden="1">
      <c r="A32" s="172" t="s">
        <v>275</v>
      </c>
      <c r="B32" s="173">
        <f>countif(Data!B:B,A32)</f>
        <v>0</v>
      </c>
      <c r="C32" s="174">
        <f>sumif(Data!B:B,A32,Data!M:M)</f>
        <v>0</v>
      </c>
      <c r="D32" s="174" t="str">
        <f t="shared" si="1"/>
        <v>#DIV/0!</v>
      </c>
      <c r="E32" s="175" t="str">
        <f t="shared" si="2"/>
        <v>#N/A</v>
      </c>
      <c r="F32" s="175" t="str">
        <f>IFERROR(__xludf.DUMMYFUNCTION("average.weighted(filter(Data!K:K,Data!B:B=A32),filter(Data!F:F,Data!B:B=A32))"),"#N/A")</f>
        <v>#N/A</v>
      </c>
      <c r="G32" s="175" t="str">
        <f>IFERROR(__xludf.DUMMYFUNCTION("average.weighted(filter(Data!L:L,Data!B:B=A32),filter(Data!F:F,Data!B:B=A32))"),"#N/A")</f>
        <v>#N/A</v>
      </c>
    </row>
    <row r="33" hidden="1">
      <c r="A33" s="172" t="s">
        <v>276</v>
      </c>
      <c r="B33" s="173">
        <f>countif(Data!B:B,A33)</f>
        <v>0</v>
      </c>
      <c r="C33" s="174">
        <f>sumif(Data!B:B,A33,Data!M:M)</f>
        <v>0</v>
      </c>
      <c r="D33" s="174" t="str">
        <f t="shared" si="1"/>
        <v>#DIV/0!</v>
      </c>
      <c r="E33" s="175" t="str">
        <f t="shared" si="2"/>
        <v>#N/A</v>
      </c>
      <c r="F33" s="175" t="str">
        <f>IFERROR(__xludf.DUMMYFUNCTION("average.weighted(filter(Data!K:K,Data!B:B=A33),filter(Data!F:F,Data!B:B=A33))"),"#N/A")</f>
        <v>#N/A</v>
      </c>
      <c r="G33" s="175" t="str">
        <f>IFERROR(__xludf.DUMMYFUNCTION("average.weighted(filter(Data!L:L,Data!B:B=A33),filter(Data!F:F,Data!B:B=A33))"),"#N/A")</f>
        <v>#N/A</v>
      </c>
    </row>
    <row r="34" hidden="1">
      <c r="A34" s="172" t="s">
        <v>277</v>
      </c>
      <c r="B34" s="173">
        <f>countif(Data!B:B,A34)</f>
        <v>0</v>
      </c>
      <c r="C34" s="174">
        <f>sumif(Data!B:B,A34,Data!M:M)</f>
        <v>0</v>
      </c>
      <c r="D34" s="174" t="str">
        <f t="shared" si="1"/>
        <v>#DIV/0!</v>
      </c>
      <c r="E34" s="175" t="str">
        <f t="shared" si="2"/>
        <v>#N/A</v>
      </c>
      <c r="F34" s="175" t="str">
        <f>IFERROR(__xludf.DUMMYFUNCTION("average.weighted(filter(Data!K:K,Data!B:B=A34),filter(Data!F:F,Data!B:B=A34))"),"#N/A")</f>
        <v>#N/A</v>
      </c>
      <c r="G34" s="175" t="str">
        <f>IFERROR(__xludf.DUMMYFUNCTION("average.weighted(filter(Data!L:L,Data!B:B=A34),filter(Data!F:F,Data!B:B=A34))"),"#N/A")</f>
        <v>#N/A</v>
      </c>
    </row>
    <row r="35" hidden="1">
      <c r="A35" s="172" t="s">
        <v>278</v>
      </c>
      <c r="B35" s="173">
        <f>countif(Data!B:B,A35)</f>
        <v>0</v>
      </c>
      <c r="C35" s="174">
        <f>sumif(Data!B:B,A35,Data!M:M)</f>
        <v>0</v>
      </c>
      <c r="D35" s="174" t="str">
        <f t="shared" si="1"/>
        <v>#DIV/0!</v>
      </c>
      <c r="E35" s="175" t="str">
        <f t="shared" si="2"/>
        <v>#N/A</v>
      </c>
      <c r="F35" s="175" t="str">
        <f>IFERROR(__xludf.DUMMYFUNCTION("average.weighted(filter(Data!K:K,Data!B:B=A35),filter(Data!F:F,Data!B:B=A35))"),"#N/A")</f>
        <v>#N/A</v>
      </c>
      <c r="G35" s="175" t="str">
        <f>IFERROR(__xludf.DUMMYFUNCTION("average.weighted(filter(Data!L:L,Data!B:B=A35),filter(Data!F:F,Data!B:B=A35))"),"#N/A")</f>
        <v>#N/A</v>
      </c>
    </row>
    <row r="36" hidden="1">
      <c r="A36" s="172" t="s">
        <v>279</v>
      </c>
      <c r="B36" s="173">
        <f>countif(Data!B:B,A36)</f>
        <v>0</v>
      </c>
      <c r="C36" s="174">
        <f>sumif(Data!B:B,A36,Data!M:M)</f>
        <v>0</v>
      </c>
      <c r="D36" s="174" t="str">
        <f t="shared" si="1"/>
        <v>#DIV/0!</v>
      </c>
      <c r="E36" s="175" t="str">
        <f t="shared" si="2"/>
        <v>#N/A</v>
      </c>
      <c r="F36" s="175" t="str">
        <f>IFERROR(__xludf.DUMMYFUNCTION("average.weighted(filter(Data!K:K,Data!B:B=A36),filter(Data!F:F,Data!B:B=A36))"),"#N/A")</f>
        <v>#N/A</v>
      </c>
      <c r="G36" s="175" t="str">
        <f>IFERROR(__xludf.DUMMYFUNCTION("average.weighted(filter(Data!L:L,Data!B:B=A36),filter(Data!F:F,Data!B:B=A36))"),"#N/A")</f>
        <v>#N/A</v>
      </c>
    </row>
    <row r="37" hidden="1">
      <c r="A37" s="172" t="s">
        <v>280</v>
      </c>
      <c r="B37" s="173">
        <f>countif(Data!B:B,A37)</f>
        <v>0</v>
      </c>
      <c r="C37" s="174">
        <f>sumif(Data!B:B,A37,Data!M:M)</f>
        <v>0</v>
      </c>
      <c r="D37" s="174" t="str">
        <f t="shared" si="1"/>
        <v>#DIV/0!</v>
      </c>
      <c r="E37" s="175" t="str">
        <f t="shared" si="2"/>
        <v>#N/A</v>
      </c>
      <c r="F37" s="175" t="str">
        <f>IFERROR(__xludf.DUMMYFUNCTION("average.weighted(filter(Data!K:K,Data!B:B=A37),filter(Data!F:F,Data!B:B=A37))"),"#N/A")</f>
        <v>#N/A</v>
      </c>
      <c r="G37" s="175" t="str">
        <f>IFERROR(__xludf.DUMMYFUNCTION("average.weighted(filter(Data!L:L,Data!B:B=A37),filter(Data!F:F,Data!B:B=A37))"),"#N/A")</f>
        <v>#N/A</v>
      </c>
    </row>
    <row r="38" hidden="1">
      <c r="A38" s="172" t="s">
        <v>281</v>
      </c>
      <c r="B38" s="173">
        <f>countif(Data!B:B,A38)</f>
        <v>0</v>
      </c>
      <c r="C38" s="174">
        <f>sumif(Data!B:B,A38,Data!M:M)</f>
        <v>0</v>
      </c>
      <c r="D38" s="174" t="str">
        <f t="shared" si="1"/>
        <v>#DIV/0!</v>
      </c>
      <c r="E38" s="175" t="str">
        <f t="shared" si="2"/>
        <v>#N/A</v>
      </c>
      <c r="F38" s="175" t="str">
        <f>IFERROR(__xludf.DUMMYFUNCTION("average.weighted(filter(Data!K:K,Data!B:B=A38),filter(Data!F:F,Data!B:B=A38))"),"#N/A")</f>
        <v>#N/A</v>
      </c>
      <c r="G38" s="175" t="str">
        <f>IFERROR(__xludf.DUMMYFUNCTION("average.weighted(filter(Data!L:L,Data!B:B=A38),filter(Data!F:F,Data!B:B=A38))"),"#N/A")</f>
        <v>#N/A</v>
      </c>
    </row>
    <row r="39" hidden="1">
      <c r="A39" s="172" t="s">
        <v>282</v>
      </c>
      <c r="B39" s="173">
        <f>countif(Data!B:B,A39)</f>
        <v>0</v>
      </c>
      <c r="C39" s="174">
        <f>sumif(Data!B:B,A39,Data!M:M)</f>
        <v>0</v>
      </c>
      <c r="D39" s="174" t="str">
        <f t="shared" si="1"/>
        <v>#DIV/0!</v>
      </c>
      <c r="E39" s="175" t="str">
        <f t="shared" si="2"/>
        <v>#N/A</v>
      </c>
      <c r="F39" s="175" t="str">
        <f>IFERROR(__xludf.DUMMYFUNCTION("average.weighted(filter(Data!K:K,Data!B:B=A39),filter(Data!F:F,Data!B:B=A39))"),"#N/A")</f>
        <v>#N/A</v>
      </c>
      <c r="G39" s="175" t="str">
        <f>IFERROR(__xludf.DUMMYFUNCTION("average.weighted(filter(Data!L:L,Data!B:B=A39),filter(Data!F:F,Data!B:B=A39))"),"#N/A")</f>
        <v>#N/A</v>
      </c>
    </row>
    <row r="40" hidden="1">
      <c r="A40" s="172" t="s">
        <v>283</v>
      </c>
      <c r="B40" s="173">
        <f>countif(Data!B:B,A40)</f>
        <v>0</v>
      </c>
      <c r="C40" s="174">
        <f>sumif(Data!B:B,A40,Data!M:M)</f>
        <v>0</v>
      </c>
      <c r="D40" s="174" t="str">
        <f t="shared" si="1"/>
        <v>#DIV/0!</v>
      </c>
      <c r="E40" s="175" t="str">
        <f t="shared" si="2"/>
        <v>#N/A</v>
      </c>
      <c r="F40" s="175" t="str">
        <f>IFERROR(__xludf.DUMMYFUNCTION("average.weighted(filter(Data!K:K,Data!B:B=A40),filter(Data!F:F,Data!B:B=A40))"),"#N/A")</f>
        <v>#N/A</v>
      </c>
      <c r="G40" s="175" t="str">
        <f>IFERROR(__xludf.DUMMYFUNCTION("average.weighted(filter(Data!L:L,Data!B:B=A40),filter(Data!F:F,Data!B:B=A40))"),"#N/A")</f>
        <v>#N/A</v>
      </c>
    </row>
    <row r="41" hidden="1">
      <c r="A41" s="172" t="s">
        <v>284</v>
      </c>
      <c r="B41" s="173">
        <f>countif(Data!B:B,A41)</f>
        <v>0</v>
      </c>
      <c r="C41" s="174">
        <f>sumif(Data!B:B,A41,Data!M:M)</f>
        <v>0</v>
      </c>
      <c r="D41" s="174" t="str">
        <f t="shared" si="1"/>
        <v>#DIV/0!</v>
      </c>
      <c r="E41" s="175" t="str">
        <f t="shared" si="2"/>
        <v>#N/A</v>
      </c>
      <c r="F41" s="175" t="str">
        <f>IFERROR(__xludf.DUMMYFUNCTION("average.weighted(filter(Data!K:K,Data!B:B=A41),filter(Data!F:F,Data!B:B=A41))"),"#N/A")</f>
        <v>#N/A</v>
      </c>
      <c r="G41" s="175" t="str">
        <f>IFERROR(__xludf.DUMMYFUNCTION("average.weighted(filter(Data!L:L,Data!B:B=A41),filter(Data!F:F,Data!B:B=A41))"),"#N/A")</f>
        <v>#N/A</v>
      </c>
    </row>
    <row r="42" hidden="1">
      <c r="A42" s="172" t="s">
        <v>285</v>
      </c>
      <c r="B42" s="173">
        <f>countif(Data!B:B,A42)</f>
        <v>0</v>
      </c>
      <c r="C42" s="174">
        <f>sumif(Data!B:B,A42,Data!M:M)</f>
        <v>0</v>
      </c>
      <c r="D42" s="174" t="str">
        <f t="shared" si="1"/>
        <v>#DIV/0!</v>
      </c>
      <c r="E42" s="175" t="str">
        <f t="shared" si="2"/>
        <v>#N/A</v>
      </c>
      <c r="F42" s="175" t="str">
        <f>IFERROR(__xludf.DUMMYFUNCTION("average.weighted(filter(Data!K:K,Data!B:B=A42),filter(Data!F:F,Data!B:B=A42))"),"#N/A")</f>
        <v>#N/A</v>
      </c>
      <c r="G42" s="175" t="str">
        <f>IFERROR(__xludf.DUMMYFUNCTION("average.weighted(filter(Data!L:L,Data!B:B=A42),filter(Data!F:F,Data!B:B=A42))"),"#N/A")</f>
        <v>#N/A</v>
      </c>
    </row>
    <row r="43" hidden="1">
      <c r="A43" s="172" t="s">
        <v>286</v>
      </c>
      <c r="B43" s="173">
        <f>countif(Data!B:B,A43)</f>
        <v>0</v>
      </c>
      <c r="C43" s="174">
        <f>sumif(Data!B:B,A43,Data!M:M)</f>
        <v>0</v>
      </c>
      <c r="D43" s="174" t="str">
        <f t="shared" si="1"/>
        <v>#DIV/0!</v>
      </c>
      <c r="E43" s="175" t="str">
        <f t="shared" si="2"/>
        <v>#N/A</v>
      </c>
      <c r="F43" s="175" t="str">
        <f>IFERROR(__xludf.DUMMYFUNCTION("average.weighted(filter(Data!K:K,Data!B:B=A43),filter(Data!F:F,Data!B:B=A43))"),"#N/A")</f>
        <v>#N/A</v>
      </c>
      <c r="G43" s="175" t="str">
        <f>IFERROR(__xludf.DUMMYFUNCTION("average.weighted(filter(Data!L:L,Data!B:B=A43),filter(Data!F:F,Data!B:B=A43))"),"#N/A")</f>
        <v>#N/A</v>
      </c>
    </row>
    <row r="44" hidden="1">
      <c r="A44" s="172" t="s">
        <v>287</v>
      </c>
      <c r="B44" s="173">
        <f>countif(Data!B:B,A44)</f>
        <v>0</v>
      </c>
      <c r="C44" s="174">
        <f>sumif(Data!B:B,A44,Data!M:M)</f>
        <v>0</v>
      </c>
      <c r="D44" s="174" t="str">
        <f t="shared" si="1"/>
        <v>#DIV/0!</v>
      </c>
      <c r="E44" s="175" t="str">
        <f t="shared" si="2"/>
        <v>#N/A</v>
      </c>
      <c r="F44" s="175" t="str">
        <f>IFERROR(__xludf.DUMMYFUNCTION("average.weighted(filter(Data!K:K,Data!B:B=A44),filter(Data!F:F,Data!B:B=A44))"),"#N/A")</f>
        <v>#N/A</v>
      </c>
      <c r="G44" s="175" t="str">
        <f>IFERROR(__xludf.DUMMYFUNCTION("average.weighted(filter(Data!L:L,Data!B:B=A44),filter(Data!F:F,Data!B:B=A44))"),"#N/A")</f>
        <v>#N/A</v>
      </c>
    </row>
    <row r="45" hidden="1">
      <c r="A45" s="172" t="s">
        <v>288</v>
      </c>
      <c r="B45" s="173">
        <f>countif(Data!B:B,A45)</f>
        <v>0</v>
      </c>
      <c r="C45" s="174">
        <f>sumif(Data!B:B,A45,Data!M:M)</f>
        <v>0</v>
      </c>
      <c r="D45" s="174" t="str">
        <f t="shared" si="1"/>
        <v>#DIV/0!</v>
      </c>
      <c r="E45" s="175" t="str">
        <f t="shared" si="2"/>
        <v>#N/A</v>
      </c>
      <c r="F45" s="175" t="str">
        <f>IFERROR(__xludf.DUMMYFUNCTION("average.weighted(filter(Data!K:K,Data!B:B=A45),filter(Data!F:F,Data!B:B=A45))"),"#N/A")</f>
        <v>#N/A</v>
      </c>
      <c r="G45" s="175" t="str">
        <f>IFERROR(__xludf.DUMMYFUNCTION("average.weighted(filter(Data!L:L,Data!B:B=A45),filter(Data!F:F,Data!B:B=A45))"),"#N/A")</f>
        <v>#N/A</v>
      </c>
    </row>
    <row r="46" hidden="1">
      <c r="A46" s="172" t="s">
        <v>289</v>
      </c>
      <c r="B46" s="173">
        <f>countif(Data!B:B,A46)</f>
        <v>0</v>
      </c>
      <c r="C46" s="174">
        <f>sumif(Data!B:B,A46,Data!M:M)</f>
        <v>0</v>
      </c>
      <c r="D46" s="174" t="str">
        <f t="shared" si="1"/>
        <v>#DIV/0!</v>
      </c>
      <c r="E46" s="175" t="str">
        <f t="shared" si="2"/>
        <v>#N/A</v>
      </c>
      <c r="F46" s="175" t="str">
        <f>IFERROR(__xludf.DUMMYFUNCTION("average.weighted(filter(Data!K:K,Data!B:B=A46),filter(Data!F:F,Data!B:B=A46))"),"#N/A")</f>
        <v>#N/A</v>
      </c>
      <c r="G46" s="175" t="str">
        <f>IFERROR(__xludf.DUMMYFUNCTION("average.weighted(filter(Data!L:L,Data!B:B=A46),filter(Data!F:F,Data!B:B=A46))"),"#N/A")</f>
        <v>#N/A</v>
      </c>
    </row>
    <row r="47" hidden="1">
      <c r="A47" s="172" t="s">
        <v>290</v>
      </c>
      <c r="B47" s="173">
        <f>countif(Data!B:B,A47)</f>
        <v>0</v>
      </c>
      <c r="C47" s="174">
        <f>sumif(Data!B:B,A47,Data!M:M)</f>
        <v>0</v>
      </c>
      <c r="D47" s="174" t="str">
        <f t="shared" si="1"/>
        <v>#DIV/0!</v>
      </c>
      <c r="E47" s="175" t="str">
        <f t="shared" si="2"/>
        <v>#N/A</v>
      </c>
      <c r="F47" s="175" t="str">
        <f>IFERROR(__xludf.DUMMYFUNCTION("average.weighted(filter(Data!K:K,Data!B:B=A47),filter(Data!F:F,Data!B:B=A47))"),"#N/A")</f>
        <v>#N/A</v>
      </c>
      <c r="G47" s="175" t="str">
        <f>IFERROR(__xludf.DUMMYFUNCTION("average.weighted(filter(Data!L:L,Data!B:B=A47),filter(Data!F:F,Data!B:B=A47))"),"#N/A")</f>
        <v>#N/A</v>
      </c>
    </row>
    <row r="48" hidden="1">
      <c r="A48" s="172" t="s">
        <v>291</v>
      </c>
      <c r="B48" s="173">
        <f>countif(Data!B:B,A48)</f>
        <v>0</v>
      </c>
      <c r="C48" s="174">
        <f>sumif(Data!B:B,A48,Data!M:M)</f>
        <v>0</v>
      </c>
      <c r="D48" s="174" t="str">
        <f t="shared" si="1"/>
        <v>#DIV/0!</v>
      </c>
      <c r="E48" s="175" t="str">
        <f t="shared" si="2"/>
        <v>#N/A</v>
      </c>
      <c r="F48" s="175" t="str">
        <f>IFERROR(__xludf.DUMMYFUNCTION("average.weighted(filter(Data!K:K,Data!B:B=A48),filter(Data!F:F,Data!B:B=A48))"),"#N/A")</f>
        <v>#N/A</v>
      </c>
      <c r="G48" s="175" t="str">
        <f>IFERROR(__xludf.DUMMYFUNCTION("average.weighted(filter(Data!L:L,Data!B:B=A48),filter(Data!F:F,Data!B:B=A48))"),"#N/A")</f>
        <v>#N/A</v>
      </c>
    </row>
    <row r="49" hidden="1">
      <c r="A49" s="172" t="s">
        <v>292</v>
      </c>
      <c r="B49" s="173">
        <f>countif(Data!B:B,A49)</f>
        <v>0</v>
      </c>
      <c r="C49" s="174">
        <f>sumif(Data!B:B,A49,Data!M:M)</f>
        <v>0</v>
      </c>
      <c r="D49" s="174" t="str">
        <f t="shared" si="1"/>
        <v>#DIV/0!</v>
      </c>
      <c r="E49" s="175" t="str">
        <f t="shared" si="2"/>
        <v>#N/A</v>
      </c>
      <c r="F49" s="175" t="str">
        <f>IFERROR(__xludf.DUMMYFUNCTION("average.weighted(filter(Data!K:K,Data!B:B=A49),filter(Data!F:F,Data!B:B=A49))"),"#N/A")</f>
        <v>#N/A</v>
      </c>
      <c r="G49" s="175" t="str">
        <f>IFERROR(__xludf.DUMMYFUNCTION("average.weighted(filter(Data!L:L,Data!B:B=A49),filter(Data!F:F,Data!B:B=A49))"),"#N/A")</f>
        <v>#N/A</v>
      </c>
    </row>
    <row r="50" hidden="1">
      <c r="A50" s="172" t="s">
        <v>293</v>
      </c>
      <c r="B50" s="173">
        <f>countif(Data!B:B,A50)</f>
        <v>0</v>
      </c>
      <c r="C50" s="174">
        <f>sumif(Data!B:B,A50,Data!M:M)</f>
        <v>0</v>
      </c>
      <c r="D50" s="174" t="str">
        <f t="shared" si="1"/>
        <v>#DIV/0!</v>
      </c>
      <c r="E50" s="175" t="str">
        <f t="shared" si="2"/>
        <v>#N/A</v>
      </c>
      <c r="F50" s="175" t="str">
        <f>IFERROR(__xludf.DUMMYFUNCTION("average.weighted(filter(Data!K:K,Data!B:B=A50),filter(Data!F:F,Data!B:B=A50))"),"#N/A")</f>
        <v>#N/A</v>
      </c>
      <c r="G50" s="175" t="str">
        <f>IFERROR(__xludf.DUMMYFUNCTION("average.weighted(filter(Data!L:L,Data!B:B=A50),filter(Data!F:F,Data!B:B=A50))"),"#N/A")</f>
        <v>#N/A</v>
      </c>
    </row>
    <row r="51" hidden="1">
      <c r="A51" s="172" t="s">
        <v>294</v>
      </c>
      <c r="B51" s="173">
        <f>countif(Data!B:B,A51)</f>
        <v>0</v>
      </c>
      <c r="C51" s="174">
        <f>sumif(Data!B:B,A51,Data!M:M)</f>
        <v>0</v>
      </c>
      <c r="D51" s="174" t="str">
        <f t="shared" si="1"/>
        <v>#DIV/0!</v>
      </c>
      <c r="E51" s="175" t="str">
        <f t="shared" si="2"/>
        <v>#N/A</v>
      </c>
      <c r="F51" s="175" t="str">
        <f>IFERROR(__xludf.DUMMYFUNCTION("average.weighted(filter(Data!K:K,Data!B:B=A51),filter(Data!F:F,Data!B:B=A51))"),"#N/A")</f>
        <v>#N/A</v>
      </c>
      <c r="G51" s="175" t="str">
        <f>IFERROR(__xludf.DUMMYFUNCTION("average.weighted(filter(Data!L:L,Data!B:B=A51),filter(Data!F:F,Data!B:B=A51))"),"#N/A")</f>
        <v>#N/A</v>
      </c>
    </row>
    <row r="52" hidden="1">
      <c r="A52" s="172" t="s">
        <v>295</v>
      </c>
      <c r="B52" s="173">
        <f>countif(Data!B:B,A52)</f>
        <v>0</v>
      </c>
      <c r="C52" s="174">
        <f>sumif(Data!B:B,A52,Data!M:M)</f>
        <v>0</v>
      </c>
      <c r="D52" s="174" t="str">
        <f t="shared" si="1"/>
        <v>#DIV/0!</v>
      </c>
      <c r="E52" s="175" t="str">
        <f t="shared" si="2"/>
        <v>#N/A</v>
      </c>
      <c r="F52" s="175" t="str">
        <f>IFERROR(__xludf.DUMMYFUNCTION("average.weighted(filter(Data!K:K,Data!B:B=A52),filter(Data!F:F,Data!B:B=A52))"),"#N/A")</f>
        <v>#N/A</v>
      </c>
      <c r="G52" s="175" t="str">
        <f>IFERROR(__xludf.DUMMYFUNCTION("average.weighted(filter(Data!L:L,Data!B:B=A52),filter(Data!F:F,Data!B:B=A52))"),"#N/A")</f>
        <v>#N/A</v>
      </c>
    </row>
    <row r="53" hidden="1">
      <c r="A53" s="172" t="s">
        <v>296</v>
      </c>
      <c r="B53" s="173">
        <f>countif(Data!B:B,A53)</f>
        <v>0</v>
      </c>
      <c r="C53" s="174">
        <f>sumif(Data!B:B,A53,Data!M:M)</f>
        <v>0</v>
      </c>
      <c r="D53" s="174" t="str">
        <f t="shared" si="1"/>
        <v>#DIV/0!</v>
      </c>
      <c r="E53" s="175" t="str">
        <f t="shared" si="2"/>
        <v>#N/A</v>
      </c>
      <c r="F53" s="175" t="str">
        <f>IFERROR(__xludf.DUMMYFUNCTION("average.weighted(filter(Data!K:K,Data!B:B=A53),filter(Data!F:F,Data!B:B=A53))"),"#N/A")</f>
        <v>#N/A</v>
      </c>
      <c r="G53" s="175" t="str">
        <f>IFERROR(__xludf.DUMMYFUNCTION("average.weighted(filter(Data!L:L,Data!B:B=A53),filter(Data!F:F,Data!B:B=A53))"),"#N/A")</f>
        <v>#N/A</v>
      </c>
    </row>
    <row r="54" hidden="1">
      <c r="A54" s="172" t="s">
        <v>297</v>
      </c>
      <c r="B54" s="173">
        <f>countif(Data!B:B,A54)</f>
        <v>0</v>
      </c>
      <c r="C54" s="174">
        <f>sumif(Data!B:B,A54,Data!M:M)</f>
        <v>0</v>
      </c>
      <c r="D54" s="174" t="str">
        <f t="shared" si="1"/>
        <v>#DIV/0!</v>
      </c>
      <c r="E54" s="175" t="str">
        <f t="shared" si="2"/>
        <v>#N/A</v>
      </c>
      <c r="F54" s="175" t="str">
        <f>IFERROR(__xludf.DUMMYFUNCTION("average.weighted(filter(Data!K:K,Data!B:B=A54),filter(Data!F:F,Data!B:B=A54))"),"#N/A")</f>
        <v>#N/A</v>
      </c>
      <c r="G54" s="175" t="str">
        <f>IFERROR(__xludf.DUMMYFUNCTION("average.weighted(filter(Data!L:L,Data!B:B=A54),filter(Data!F:F,Data!B:B=A54))"),"#N/A")</f>
        <v>#N/A</v>
      </c>
    </row>
    <row r="55" hidden="1">
      <c r="A55" s="172" t="s">
        <v>298</v>
      </c>
      <c r="B55" s="173">
        <f>countif(Data!B:B,A55)</f>
        <v>0</v>
      </c>
      <c r="C55" s="174">
        <f>sumif(Data!B:B,A55,Data!M:M)</f>
        <v>0</v>
      </c>
      <c r="D55" s="174" t="str">
        <f t="shared" si="1"/>
        <v>#DIV/0!</v>
      </c>
      <c r="E55" s="175" t="str">
        <f t="shared" si="2"/>
        <v>#N/A</v>
      </c>
      <c r="F55" s="175" t="str">
        <f>IFERROR(__xludf.DUMMYFUNCTION("average.weighted(filter(Data!K:K,Data!B:B=A55),filter(Data!F:F,Data!B:B=A55))"),"#N/A")</f>
        <v>#N/A</v>
      </c>
      <c r="G55" s="175" t="str">
        <f>IFERROR(__xludf.DUMMYFUNCTION("average.weighted(filter(Data!L:L,Data!B:B=A55),filter(Data!F:F,Data!B:B=A55))"),"#N/A")</f>
        <v>#N/A</v>
      </c>
    </row>
    <row r="56" hidden="1">
      <c r="A56" s="172" t="s">
        <v>299</v>
      </c>
      <c r="B56" s="173">
        <f>countif(Data!B:B,A56)</f>
        <v>0</v>
      </c>
      <c r="C56" s="174">
        <f>sumif(Data!B:B,A56,Data!M:M)</f>
        <v>0</v>
      </c>
      <c r="D56" s="174" t="str">
        <f t="shared" si="1"/>
        <v>#DIV/0!</v>
      </c>
      <c r="E56" s="175" t="str">
        <f t="shared" si="2"/>
        <v>#N/A</v>
      </c>
      <c r="F56" s="175" t="str">
        <f>IFERROR(__xludf.DUMMYFUNCTION("average.weighted(filter(Data!K:K,Data!B:B=A56),filter(Data!F:F,Data!B:B=A56))"),"#N/A")</f>
        <v>#N/A</v>
      </c>
      <c r="G56" s="175" t="str">
        <f>IFERROR(__xludf.DUMMYFUNCTION("average.weighted(filter(Data!L:L,Data!B:B=A56),filter(Data!F:F,Data!B:B=A56))"),"#N/A")</f>
        <v>#N/A</v>
      </c>
    </row>
    <row r="57" hidden="1">
      <c r="A57" s="172" t="s">
        <v>300</v>
      </c>
      <c r="B57" s="173">
        <f>countif(Data!B:B,A57)</f>
        <v>0</v>
      </c>
      <c r="C57" s="174">
        <f>sumif(Data!B:B,A57,Data!M:M)</f>
        <v>0</v>
      </c>
      <c r="D57" s="174" t="str">
        <f t="shared" si="1"/>
        <v>#DIV/0!</v>
      </c>
      <c r="E57" s="175" t="str">
        <f t="shared" si="2"/>
        <v>#N/A</v>
      </c>
      <c r="F57" s="175" t="str">
        <f>IFERROR(__xludf.DUMMYFUNCTION("average.weighted(filter(Data!K:K,Data!B:B=A57),filter(Data!F:F,Data!B:B=A57))"),"#N/A")</f>
        <v>#N/A</v>
      </c>
      <c r="G57" s="175" t="str">
        <f>IFERROR(__xludf.DUMMYFUNCTION("average.weighted(filter(Data!L:L,Data!B:B=A57),filter(Data!F:F,Data!B:B=A57))"),"#N/A")</f>
        <v>#N/A</v>
      </c>
    </row>
    <row r="58" hidden="1">
      <c r="A58" s="172" t="s">
        <v>301</v>
      </c>
      <c r="B58" s="173">
        <f>countif(Data!B:B,A58)</f>
        <v>0</v>
      </c>
      <c r="C58" s="174">
        <f>sumif(Data!B:B,A58,Data!M:M)</f>
        <v>0</v>
      </c>
      <c r="D58" s="174" t="str">
        <f t="shared" si="1"/>
        <v>#DIV/0!</v>
      </c>
      <c r="E58" s="175" t="str">
        <f t="shared" si="2"/>
        <v>#N/A</v>
      </c>
      <c r="F58" s="175" t="str">
        <f>IFERROR(__xludf.DUMMYFUNCTION("average.weighted(filter(Data!K:K,Data!B:B=A58),filter(Data!F:F,Data!B:B=A58))"),"#N/A")</f>
        <v>#N/A</v>
      </c>
      <c r="G58" s="175" t="str">
        <f>IFERROR(__xludf.DUMMYFUNCTION("average.weighted(filter(Data!L:L,Data!B:B=A58),filter(Data!F:F,Data!B:B=A58))"),"#N/A")</f>
        <v>#N/A</v>
      </c>
    </row>
    <row r="59" hidden="1">
      <c r="A59" s="172" t="s">
        <v>302</v>
      </c>
      <c r="B59" s="173">
        <f>countif(Data!B:B,A59)</f>
        <v>0</v>
      </c>
      <c r="C59" s="174">
        <f>sumif(Data!B:B,A59,Data!M:M)</f>
        <v>0</v>
      </c>
      <c r="D59" s="174" t="str">
        <f t="shared" si="1"/>
        <v>#DIV/0!</v>
      </c>
      <c r="E59" s="175" t="str">
        <f t="shared" si="2"/>
        <v>#N/A</v>
      </c>
      <c r="F59" s="175" t="str">
        <f>IFERROR(__xludf.DUMMYFUNCTION("average.weighted(filter(Data!K:K,Data!B:B=A59),filter(Data!F:F,Data!B:B=A59))"),"#N/A")</f>
        <v>#N/A</v>
      </c>
      <c r="G59" s="175" t="str">
        <f>IFERROR(__xludf.DUMMYFUNCTION("average.weighted(filter(Data!L:L,Data!B:B=A59),filter(Data!F:F,Data!B:B=A59))"),"#N/A")</f>
        <v>#N/A</v>
      </c>
    </row>
    <row r="60" hidden="1">
      <c r="A60" s="172" t="s">
        <v>303</v>
      </c>
      <c r="B60" s="173">
        <f>countif(Data!B:B,A60)</f>
        <v>0</v>
      </c>
      <c r="C60" s="174">
        <f>sumif(Data!B:B,A60,Data!M:M)</f>
        <v>0</v>
      </c>
      <c r="D60" s="174" t="str">
        <f t="shared" si="1"/>
        <v>#DIV/0!</v>
      </c>
      <c r="E60" s="175" t="str">
        <f t="shared" si="2"/>
        <v>#N/A</v>
      </c>
      <c r="F60" s="175" t="str">
        <f>IFERROR(__xludf.DUMMYFUNCTION("average.weighted(filter(Data!K:K,Data!B:B=A60),filter(Data!F:F,Data!B:B=A60))"),"#N/A")</f>
        <v>#N/A</v>
      </c>
      <c r="G60" s="175" t="str">
        <f>IFERROR(__xludf.DUMMYFUNCTION("average.weighted(filter(Data!L:L,Data!B:B=A60),filter(Data!F:F,Data!B:B=A60))"),"#N/A")</f>
        <v>#N/A</v>
      </c>
    </row>
    <row r="61" hidden="1">
      <c r="A61" s="172" t="s">
        <v>304</v>
      </c>
      <c r="B61" s="173">
        <f>countif(Data!B:B,A61)</f>
        <v>0</v>
      </c>
      <c r="C61" s="174">
        <f>sumif(Data!B:B,A61,Data!M:M)</f>
        <v>0</v>
      </c>
      <c r="D61" s="174" t="str">
        <f t="shared" si="1"/>
        <v>#DIV/0!</v>
      </c>
      <c r="E61" s="175" t="str">
        <f t="shared" si="2"/>
        <v>#N/A</v>
      </c>
      <c r="F61" s="175" t="str">
        <f>IFERROR(__xludf.DUMMYFUNCTION("average.weighted(filter(Data!K:K,Data!B:B=A61),filter(Data!F:F,Data!B:B=A61))"),"#N/A")</f>
        <v>#N/A</v>
      </c>
      <c r="G61" s="175" t="str">
        <f>IFERROR(__xludf.DUMMYFUNCTION("average.weighted(filter(Data!L:L,Data!B:B=A61),filter(Data!F:F,Data!B:B=A61))"),"#N/A")</f>
        <v>#N/A</v>
      </c>
    </row>
    <row r="62" hidden="1">
      <c r="A62" s="172" t="s">
        <v>305</v>
      </c>
      <c r="B62" s="173">
        <f>countif(Data!B:B,A62)</f>
        <v>0</v>
      </c>
      <c r="C62" s="174">
        <f>sumif(Data!B:B,A62,Data!M:M)</f>
        <v>0</v>
      </c>
      <c r="D62" s="174" t="str">
        <f t="shared" si="1"/>
        <v>#DIV/0!</v>
      </c>
      <c r="E62" s="175" t="str">
        <f t="shared" si="2"/>
        <v>#N/A</v>
      </c>
      <c r="F62" s="175" t="str">
        <f>IFERROR(__xludf.DUMMYFUNCTION("average.weighted(filter(Data!K:K,Data!B:B=A62),filter(Data!F:F,Data!B:B=A62))"),"#N/A")</f>
        <v>#N/A</v>
      </c>
      <c r="G62" s="175" t="str">
        <f>IFERROR(__xludf.DUMMYFUNCTION("average.weighted(filter(Data!L:L,Data!B:B=A62),filter(Data!F:F,Data!B:B=A62))"),"#N/A")</f>
        <v>#N/A</v>
      </c>
    </row>
    <row r="63" hidden="1">
      <c r="A63" s="172" t="s">
        <v>306</v>
      </c>
      <c r="B63" s="173">
        <f>countif(Data!B:B,A63)</f>
        <v>0</v>
      </c>
      <c r="C63" s="174">
        <f>sumif(Data!B:B,A63,Data!M:M)</f>
        <v>0</v>
      </c>
      <c r="D63" s="174" t="str">
        <f t="shared" si="1"/>
        <v>#DIV/0!</v>
      </c>
      <c r="E63" s="175" t="str">
        <f t="shared" si="2"/>
        <v>#N/A</v>
      </c>
      <c r="F63" s="175" t="str">
        <f>IFERROR(__xludf.DUMMYFUNCTION("average.weighted(filter(Data!K:K,Data!B:B=A63),filter(Data!F:F,Data!B:B=A63))"),"#N/A")</f>
        <v>#N/A</v>
      </c>
      <c r="G63" s="175" t="str">
        <f>IFERROR(__xludf.DUMMYFUNCTION("average.weighted(filter(Data!L:L,Data!B:B=A63),filter(Data!F:F,Data!B:B=A63))"),"#N/A")</f>
        <v>#N/A</v>
      </c>
    </row>
    <row r="64" hidden="1">
      <c r="A64" s="172" t="s">
        <v>307</v>
      </c>
      <c r="B64" s="173">
        <f>countif(Data!B:B,A64)</f>
        <v>0</v>
      </c>
      <c r="C64" s="174">
        <f>sumif(Data!B:B,A64,Data!M:M)</f>
        <v>0</v>
      </c>
      <c r="D64" s="174" t="str">
        <f t="shared" si="1"/>
        <v>#DIV/0!</v>
      </c>
      <c r="E64" s="175" t="str">
        <f t="shared" si="2"/>
        <v>#N/A</v>
      </c>
      <c r="F64" s="175" t="str">
        <f>IFERROR(__xludf.DUMMYFUNCTION("average.weighted(filter(Data!K:K,Data!B:B=A64),filter(Data!F:F,Data!B:B=A64))"),"#N/A")</f>
        <v>#N/A</v>
      </c>
      <c r="G64" s="175" t="str">
        <f>IFERROR(__xludf.DUMMYFUNCTION("average.weighted(filter(Data!L:L,Data!B:B=A64),filter(Data!F:F,Data!B:B=A64))"),"#N/A")</f>
        <v>#N/A</v>
      </c>
    </row>
    <row r="65" hidden="1">
      <c r="A65" s="172" t="s">
        <v>308</v>
      </c>
      <c r="B65" s="173">
        <f>countif(Data!B:B,A65)</f>
        <v>0</v>
      </c>
      <c r="C65" s="174">
        <f>sumif(Data!B:B,A65,Data!M:M)</f>
        <v>0</v>
      </c>
      <c r="D65" s="174" t="str">
        <f t="shared" si="1"/>
        <v>#DIV/0!</v>
      </c>
      <c r="E65" s="175" t="str">
        <f t="shared" si="2"/>
        <v>#N/A</v>
      </c>
      <c r="F65" s="175" t="str">
        <f>IFERROR(__xludf.DUMMYFUNCTION("average.weighted(filter(Data!K:K,Data!B:B=A65),filter(Data!F:F,Data!B:B=A65))"),"#N/A")</f>
        <v>#N/A</v>
      </c>
      <c r="G65" s="175" t="str">
        <f>IFERROR(__xludf.DUMMYFUNCTION("average.weighted(filter(Data!L:L,Data!B:B=A65),filter(Data!F:F,Data!B:B=A65))"),"#N/A")</f>
        <v>#N/A</v>
      </c>
    </row>
    <row r="66" hidden="1">
      <c r="A66" s="172" t="s">
        <v>309</v>
      </c>
      <c r="B66" s="173">
        <f>countif(Data!B:B,A66)</f>
        <v>0</v>
      </c>
      <c r="C66" s="174">
        <f>sumif(Data!B:B,A66,Data!M:M)</f>
        <v>0</v>
      </c>
      <c r="D66" s="174" t="str">
        <f t="shared" si="1"/>
        <v>#DIV/0!</v>
      </c>
      <c r="E66" s="175" t="str">
        <f t="shared" si="2"/>
        <v>#N/A</v>
      </c>
      <c r="F66" s="175" t="str">
        <f>IFERROR(__xludf.DUMMYFUNCTION("average.weighted(filter(Data!K:K,Data!B:B=A66),filter(Data!F:F,Data!B:B=A66))"),"#N/A")</f>
        <v>#N/A</v>
      </c>
      <c r="G66" s="175" t="str">
        <f>IFERROR(__xludf.DUMMYFUNCTION("average.weighted(filter(Data!L:L,Data!B:B=A66),filter(Data!F:F,Data!B:B=A66))"),"#N/A")</f>
        <v>#N/A</v>
      </c>
    </row>
    <row r="67" hidden="1">
      <c r="A67" s="172" t="s">
        <v>310</v>
      </c>
      <c r="B67" s="173">
        <f>countif(Data!B:B,A67)</f>
        <v>0</v>
      </c>
      <c r="C67" s="174">
        <f>sumif(Data!B:B,A67,Data!M:M)</f>
        <v>0</v>
      </c>
      <c r="D67" s="174" t="str">
        <f t="shared" si="1"/>
        <v>#DIV/0!</v>
      </c>
      <c r="E67" s="175" t="str">
        <f t="shared" si="2"/>
        <v>#N/A</v>
      </c>
      <c r="F67" s="175" t="str">
        <f>IFERROR(__xludf.DUMMYFUNCTION("average.weighted(filter(Data!K:K,Data!B:B=A67),filter(Data!F:F,Data!B:B=A67))"),"#N/A")</f>
        <v>#N/A</v>
      </c>
      <c r="G67" s="175" t="str">
        <f>IFERROR(__xludf.DUMMYFUNCTION("average.weighted(filter(Data!L:L,Data!B:B=A67),filter(Data!F:F,Data!B:B=A67))"),"#N/A")</f>
        <v>#N/A</v>
      </c>
    </row>
    <row r="68" hidden="1">
      <c r="A68" s="172" t="s">
        <v>311</v>
      </c>
      <c r="B68" s="173">
        <f>countif(Data!B:B,A68)</f>
        <v>0</v>
      </c>
      <c r="C68" s="174">
        <f>sumif(Data!B:B,A68,Data!M:M)</f>
        <v>0</v>
      </c>
      <c r="D68" s="174" t="str">
        <f t="shared" si="1"/>
        <v>#DIV/0!</v>
      </c>
      <c r="E68" s="175" t="str">
        <f t="shared" si="2"/>
        <v>#N/A</v>
      </c>
      <c r="F68" s="175" t="str">
        <f>IFERROR(__xludf.DUMMYFUNCTION("average.weighted(filter(Data!K:K,Data!B:B=A68),filter(Data!F:F,Data!B:B=A68))"),"#N/A")</f>
        <v>#N/A</v>
      </c>
      <c r="G68" s="175" t="str">
        <f>IFERROR(__xludf.DUMMYFUNCTION("average.weighted(filter(Data!L:L,Data!B:B=A68),filter(Data!F:F,Data!B:B=A68))"),"#N/A")</f>
        <v>#N/A</v>
      </c>
    </row>
    <row r="69" hidden="1">
      <c r="A69" s="172" t="s">
        <v>312</v>
      </c>
      <c r="B69" s="173">
        <f>countif(Data!B:B,A69)</f>
        <v>0</v>
      </c>
      <c r="C69" s="174">
        <f>sumif(Data!B:B,A69,Data!M:M)</f>
        <v>0</v>
      </c>
      <c r="D69" s="174" t="str">
        <f t="shared" si="1"/>
        <v>#DIV/0!</v>
      </c>
      <c r="E69" s="175" t="str">
        <f t="shared" si="2"/>
        <v>#N/A</v>
      </c>
      <c r="F69" s="175" t="str">
        <f>IFERROR(__xludf.DUMMYFUNCTION("average.weighted(filter(Data!K:K,Data!B:B=A69),filter(Data!F:F,Data!B:B=A69))"),"#N/A")</f>
        <v>#N/A</v>
      </c>
      <c r="G69" s="175" t="str">
        <f>IFERROR(__xludf.DUMMYFUNCTION("average.weighted(filter(Data!L:L,Data!B:B=A69),filter(Data!F:F,Data!B:B=A69))"),"#N/A")</f>
        <v>#N/A</v>
      </c>
    </row>
    <row r="70" hidden="1">
      <c r="A70" s="172" t="s">
        <v>313</v>
      </c>
      <c r="B70" s="173">
        <f>countif(Data!B:B,A70)</f>
        <v>0</v>
      </c>
      <c r="C70" s="174">
        <f>sumif(Data!B:B,A70,Data!M:M)</f>
        <v>0</v>
      </c>
      <c r="D70" s="174" t="str">
        <f t="shared" si="1"/>
        <v>#DIV/0!</v>
      </c>
      <c r="E70" s="175" t="str">
        <f t="shared" si="2"/>
        <v>#N/A</v>
      </c>
      <c r="F70" s="175" t="str">
        <f>IFERROR(__xludf.DUMMYFUNCTION("average.weighted(filter(Data!K:K,Data!B:B=A70),filter(Data!F:F,Data!B:B=A70))"),"#N/A")</f>
        <v>#N/A</v>
      </c>
      <c r="G70" s="175" t="str">
        <f>IFERROR(__xludf.DUMMYFUNCTION("average.weighted(filter(Data!L:L,Data!B:B=A70),filter(Data!F:F,Data!B:B=A70))"),"#N/A")</f>
        <v>#N/A</v>
      </c>
    </row>
    <row r="71" hidden="1">
      <c r="A71" s="172" t="s">
        <v>314</v>
      </c>
      <c r="B71" s="173">
        <f>countif(Data!B:B,A71)</f>
        <v>0</v>
      </c>
      <c r="C71" s="174">
        <f>sumif(Data!B:B,A71,Data!M:M)</f>
        <v>0</v>
      </c>
      <c r="D71" s="174" t="str">
        <f t="shared" si="1"/>
        <v>#DIV/0!</v>
      </c>
      <c r="E71" s="175" t="str">
        <f t="shared" si="2"/>
        <v>#N/A</v>
      </c>
      <c r="F71" s="175" t="str">
        <f>IFERROR(__xludf.DUMMYFUNCTION("average.weighted(filter(Data!K:K,Data!B:B=A71),filter(Data!F:F,Data!B:B=A71))"),"#N/A")</f>
        <v>#N/A</v>
      </c>
      <c r="G71" s="175" t="str">
        <f>IFERROR(__xludf.DUMMYFUNCTION("average.weighted(filter(Data!L:L,Data!B:B=A71),filter(Data!F:F,Data!B:B=A71))"),"#N/A")</f>
        <v>#N/A</v>
      </c>
    </row>
    <row r="72" hidden="1">
      <c r="A72" s="172" t="s">
        <v>315</v>
      </c>
      <c r="B72" s="173">
        <f>countif(Data!B:B,A72)</f>
        <v>0</v>
      </c>
      <c r="C72" s="174">
        <f>sumif(Data!B:B,A72,Data!M:M)</f>
        <v>0</v>
      </c>
      <c r="D72" s="174" t="str">
        <f t="shared" si="1"/>
        <v>#DIV/0!</v>
      </c>
      <c r="E72" s="175" t="str">
        <f t="shared" si="2"/>
        <v>#N/A</v>
      </c>
      <c r="F72" s="175" t="str">
        <f>IFERROR(__xludf.DUMMYFUNCTION("average.weighted(filter(Data!K:K,Data!B:B=A72),filter(Data!F:F,Data!B:B=A72))"),"#N/A")</f>
        <v>#N/A</v>
      </c>
      <c r="G72" s="175" t="str">
        <f>IFERROR(__xludf.DUMMYFUNCTION("average.weighted(filter(Data!L:L,Data!B:B=A72),filter(Data!F:F,Data!B:B=A72))"),"#N/A")</f>
        <v>#N/A</v>
      </c>
    </row>
    <row r="73" hidden="1">
      <c r="A73" s="172" t="s">
        <v>316</v>
      </c>
      <c r="B73" s="173">
        <f>countif(Data!B:B,A73)</f>
        <v>0</v>
      </c>
      <c r="C73" s="174">
        <f>sumif(Data!B:B,A73,Data!M:M)</f>
        <v>0</v>
      </c>
      <c r="D73" s="174" t="str">
        <f t="shared" si="1"/>
        <v>#DIV/0!</v>
      </c>
      <c r="E73" s="175" t="str">
        <f t="shared" si="2"/>
        <v>#N/A</v>
      </c>
      <c r="F73" s="175" t="str">
        <f>IFERROR(__xludf.DUMMYFUNCTION("average.weighted(filter(Data!K:K,Data!B:B=A73),filter(Data!F:F,Data!B:B=A73))"),"#N/A")</f>
        <v>#N/A</v>
      </c>
      <c r="G73" s="175" t="str">
        <f>IFERROR(__xludf.DUMMYFUNCTION("average.weighted(filter(Data!L:L,Data!B:B=A73),filter(Data!F:F,Data!B:B=A73))"),"#N/A")</f>
        <v>#N/A</v>
      </c>
    </row>
    <row r="74" hidden="1">
      <c r="A74" s="172" t="s">
        <v>317</v>
      </c>
      <c r="B74" s="173">
        <f>countif(Data!B:B,A74)</f>
        <v>0</v>
      </c>
      <c r="C74" s="174">
        <f>sumif(Data!B:B,A74,Data!M:M)</f>
        <v>0</v>
      </c>
      <c r="D74" s="174" t="str">
        <f t="shared" si="1"/>
        <v>#DIV/0!</v>
      </c>
      <c r="E74" s="175" t="str">
        <f t="shared" si="2"/>
        <v>#N/A</v>
      </c>
      <c r="F74" s="175" t="str">
        <f>IFERROR(__xludf.DUMMYFUNCTION("average.weighted(filter(Data!K:K,Data!B:B=A74),filter(Data!F:F,Data!B:B=A74))"),"#N/A")</f>
        <v>#N/A</v>
      </c>
      <c r="G74" s="175" t="str">
        <f>IFERROR(__xludf.DUMMYFUNCTION("average.weighted(filter(Data!L:L,Data!B:B=A74),filter(Data!F:F,Data!B:B=A74))"),"#N/A")</f>
        <v>#N/A</v>
      </c>
    </row>
    <row r="75" hidden="1">
      <c r="A75" s="172" t="s">
        <v>318</v>
      </c>
      <c r="B75" s="173">
        <f>countif(Data!B:B,A75)</f>
        <v>0</v>
      </c>
      <c r="C75" s="174">
        <f>sumif(Data!B:B,A75,Data!M:M)</f>
        <v>0</v>
      </c>
      <c r="D75" s="174" t="str">
        <f t="shared" si="1"/>
        <v>#DIV/0!</v>
      </c>
      <c r="E75" s="175" t="str">
        <f t="shared" si="2"/>
        <v>#N/A</v>
      </c>
      <c r="F75" s="175" t="str">
        <f>IFERROR(__xludf.DUMMYFUNCTION("average.weighted(filter(Data!K:K,Data!B:B=A75),filter(Data!F:F,Data!B:B=A75))"),"#N/A")</f>
        <v>#N/A</v>
      </c>
      <c r="G75" s="175" t="str">
        <f>IFERROR(__xludf.DUMMYFUNCTION("average.weighted(filter(Data!L:L,Data!B:B=A75),filter(Data!F:F,Data!B:B=A75))"),"#N/A")</f>
        <v>#N/A</v>
      </c>
    </row>
    <row r="76" hidden="1">
      <c r="A76" s="172" t="s">
        <v>319</v>
      </c>
      <c r="B76" s="173">
        <f>countif(Data!B:B,A76)</f>
        <v>0</v>
      </c>
      <c r="C76" s="174">
        <f>sumif(Data!B:B,A76,Data!M:M)</f>
        <v>0</v>
      </c>
      <c r="D76" s="174" t="str">
        <f t="shared" si="1"/>
        <v>#DIV/0!</v>
      </c>
      <c r="E76" s="175" t="str">
        <f t="shared" si="2"/>
        <v>#N/A</v>
      </c>
      <c r="F76" s="175" t="str">
        <f>IFERROR(__xludf.DUMMYFUNCTION("average.weighted(filter(Data!K:K,Data!B:B=A76),filter(Data!F:F,Data!B:B=A76))"),"#N/A")</f>
        <v>#N/A</v>
      </c>
      <c r="G76" s="175" t="str">
        <f>IFERROR(__xludf.DUMMYFUNCTION("average.weighted(filter(Data!L:L,Data!B:B=A76),filter(Data!F:F,Data!B:B=A76))"),"#N/A")</f>
        <v>#N/A</v>
      </c>
    </row>
    <row r="77" hidden="1">
      <c r="A77" s="172" t="s">
        <v>320</v>
      </c>
      <c r="B77" s="173">
        <f>countif(Data!B:B,A77)</f>
        <v>0</v>
      </c>
      <c r="C77" s="174">
        <f>sumif(Data!B:B,A77,Data!M:M)</f>
        <v>0</v>
      </c>
      <c r="D77" s="174" t="str">
        <f t="shared" si="1"/>
        <v>#DIV/0!</v>
      </c>
      <c r="E77" s="175" t="str">
        <f t="shared" si="2"/>
        <v>#N/A</v>
      </c>
      <c r="F77" s="175" t="str">
        <f>IFERROR(__xludf.DUMMYFUNCTION("average.weighted(filter(Data!K:K,Data!B:B=A77),filter(Data!F:F,Data!B:B=A77))"),"#N/A")</f>
        <v>#N/A</v>
      </c>
      <c r="G77" s="175" t="str">
        <f>IFERROR(__xludf.DUMMYFUNCTION("average.weighted(filter(Data!L:L,Data!B:B=A77),filter(Data!F:F,Data!B:B=A77))"),"#N/A")</f>
        <v>#N/A</v>
      </c>
    </row>
    <row r="78" hidden="1">
      <c r="A78" s="172" t="s">
        <v>321</v>
      </c>
      <c r="B78" s="173">
        <f>countif(Data!B:B,A78)</f>
        <v>0</v>
      </c>
      <c r="C78" s="174">
        <f>sumif(Data!B:B,A78,Data!M:M)</f>
        <v>0</v>
      </c>
      <c r="D78" s="174" t="str">
        <f t="shared" si="1"/>
        <v>#DIV/0!</v>
      </c>
      <c r="E78" s="175" t="str">
        <f t="shared" si="2"/>
        <v>#N/A</v>
      </c>
      <c r="F78" s="175" t="str">
        <f>IFERROR(__xludf.DUMMYFUNCTION("average.weighted(filter(Data!K:K,Data!B:B=A78),filter(Data!F:F,Data!B:B=A78))"),"#N/A")</f>
        <v>#N/A</v>
      </c>
      <c r="G78" s="175" t="str">
        <f>IFERROR(__xludf.DUMMYFUNCTION("average.weighted(filter(Data!L:L,Data!B:B=A78),filter(Data!F:F,Data!B:B=A78))"),"#N/A")</f>
        <v>#N/A</v>
      </c>
    </row>
    <row r="79" hidden="1">
      <c r="A79" s="172" t="s">
        <v>322</v>
      </c>
      <c r="B79" s="173">
        <f>countif(Data!B:B,A79)</f>
        <v>0</v>
      </c>
      <c r="C79" s="174">
        <f>sumif(Data!B:B,A79,Data!M:M)</f>
        <v>0</v>
      </c>
      <c r="D79" s="174" t="str">
        <f t="shared" si="1"/>
        <v>#DIV/0!</v>
      </c>
      <c r="E79" s="175" t="str">
        <f t="shared" si="2"/>
        <v>#N/A</v>
      </c>
      <c r="F79" s="175" t="str">
        <f>IFERROR(__xludf.DUMMYFUNCTION("average.weighted(filter(Data!K:K,Data!B:B=A79),filter(Data!F:F,Data!B:B=A79))"),"#N/A")</f>
        <v>#N/A</v>
      </c>
      <c r="G79" s="175" t="str">
        <f>IFERROR(__xludf.DUMMYFUNCTION("average.weighted(filter(Data!L:L,Data!B:B=A79),filter(Data!F:F,Data!B:B=A79))"),"#N/A")</f>
        <v>#N/A</v>
      </c>
    </row>
    <row r="80" hidden="1">
      <c r="A80" s="172" t="s">
        <v>323</v>
      </c>
      <c r="B80" s="173">
        <f>countif(Data!B:B,A80)</f>
        <v>0</v>
      </c>
      <c r="C80" s="174">
        <f>sumif(Data!B:B,A80,Data!M:M)</f>
        <v>0</v>
      </c>
      <c r="D80" s="174" t="str">
        <f t="shared" si="1"/>
        <v>#DIV/0!</v>
      </c>
      <c r="E80" s="175" t="str">
        <f t="shared" si="2"/>
        <v>#N/A</v>
      </c>
      <c r="F80" s="175" t="str">
        <f>IFERROR(__xludf.DUMMYFUNCTION("average.weighted(filter(Data!K:K,Data!B:B=A80),filter(Data!F:F,Data!B:B=A80))"),"#N/A")</f>
        <v>#N/A</v>
      </c>
      <c r="G80" s="175" t="str">
        <f>IFERROR(__xludf.DUMMYFUNCTION("average.weighted(filter(Data!L:L,Data!B:B=A80),filter(Data!F:F,Data!B:B=A80))"),"#N/A")</f>
        <v>#N/A</v>
      </c>
    </row>
    <row r="81" hidden="1">
      <c r="A81" s="172" t="s">
        <v>324</v>
      </c>
      <c r="B81" s="173">
        <f>countif(Data!B:B,A81)</f>
        <v>0</v>
      </c>
      <c r="C81" s="174">
        <f>sumif(Data!B:B,A81,Data!M:M)</f>
        <v>0</v>
      </c>
      <c r="D81" s="174" t="str">
        <f t="shared" si="1"/>
        <v>#DIV/0!</v>
      </c>
      <c r="E81" s="175" t="str">
        <f t="shared" si="2"/>
        <v>#N/A</v>
      </c>
      <c r="F81" s="175" t="str">
        <f>IFERROR(__xludf.DUMMYFUNCTION("average.weighted(filter(Data!K:K,Data!B:B=A81),filter(Data!F:F,Data!B:B=A81))"),"#N/A")</f>
        <v>#N/A</v>
      </c>
      <c r="G81" s="175" t="str">
        <f>IFERROR(__xludf.DUMMYFUNCTION("average.weighted(filter(Data!L:L,Data!B:B=A81),filter(Data!F:F,Data!B:B=A81))"),"#N/A")</f>
        <v>#N/A</v>
      </c>
    </row>
    <row r="82" hidden="1">
      <c r="A82" s="172" t="s">
        <v>325</v>
      </c>
      <c r="B82" s="173">
        <f>countif(Data!B:B,A82)</f>
        <v>0</v>
      </c>
      <c r="C82" s="174">
        <f>sumif(Data!B:B,A82,Data!M:M)</f>
        <v>0</v>
      </c>
      <c r="D82" s="174" t="str">
        <f t="shared" si="1"/>
        <v>#DIV/0!</v>
      </c>
      <c r="E82" s="175" t="str">
        <f t="shared" si="2"/>
        <v>#N/A</v>
      </c>
      <c r="F82" s="175" t="str">
        <f>IFERROR(__xludf.DUMMYFUNCTION("average.weighted(filter(Data!K:K,Data!B:B=A82),filter(Data!F:F,Data!B:B=A82))"),"#N/A")</f>
        <v>#N/A</v>
      </c>
      <c r="G82" s="175" t="str">
        <f>IFERROR(__xludf.DUMMYFUNCTION("average.weighted(filter(Data!L:L,Data!B:B=A82),filter(Data!F:F,Data!B:B=A82))"),"#N/A")</f>
        <v>#N/A</v>
      </c>
    </row>
    <row r="83" hidden="1">
      <c r="A83" s="172" t="s">
        <v>326</v>
      </c>
      <c r="B83" s="173">
        <f>countif(Data!B:B,A83)</f>
        <v>0</v>
      </c>
      <c r="C83" s="174">
        <f>sumif(Data!B:B,A83,Data!M:M)</f>
        <v>0</v>
      </c>
      <c r="D83" s="174" t="str">
        <f t="shared" si="1"/>
        <v>#DIV/0!</v>
      </c>
      <c r="E83" s="175" t="str">
        <f t="shared" si="2"/>
        <v>#N/A</v>
      </c>
      <c r="F83" s="175" t="str">
        <f>IFERROR(__xludf.DUMMYFUNCTION("average.weighted(filter(Data!K:K,Data!B:B=A83),filter(Data!F:F,Data!B:B=A83))"),"#N/A")</f>
        <v>#N/A</v>
      </c>
      <c r="G83" s="175" t="str">
        <f>IFERROR(__xludf.DUMMYFUNCTION("average.weighted(filter(Data!L:L,Data!B:B=A83),filter(Data!F:F,Data!B:B=A83))"),"#N/A")</f>
        <v>#N/A</v>
      </c>
    </row>
    <row r="84" hidden="1">
      <c r="A84" s="172" t="s">
        <v>327</v>
      </c>
      <c r="B84" s="173">
        <f>countif(Data!B:B,A84)</f>
        <v>0</v>
      </c>
      <c r="C84" s="174">
        <f>sumif(Data!B:B,A84,Data!M:M)</f>
        <v>0</v>
      </c>
      <c r="D84" s="174" t="str">
        <f t="shared" si="1"/>
        <v>#DIV/0!</v>
      </c>
      <c r="E84" s="175" t="str">
        <f t="shared" si="2"/>
        <v>#N/A</v>
      </c>
      <c r="F84" s="175" t="str">
        <f>IFERROR(__xludf.DUMMYFUNCTION("average.weighted(filter(Data!K:K,Data!B:B=A84),filter(Data!F:F,Data!B:B=A84))"),"#N/A")</f>
        <v>#N/A</v>
      </c>
      <c r="G84" s="175" t="str">
        <f>IFERROR(__xludf.DUMMYFUNCTION("average.weighted(filter(Data!L:L,Data!B:B=A84),filter(Data!F:F,Data!B:B=A84))"),"#N/A")</f>
        <v>#N/A</v>
      </c>
    </row>
    <row r="85" hidden="1">
      <c r="A85" s="172" t="s">
        <v>328</v>
      </c>
      <c r="B85" s="173">
        <f>countif(Data!B:B,A85)</f>
        <v>0</v>
      </c>
      <c r="C85" s="174">
        <f>sumif(Data!B:B,A85,Data!M:M)</f>
        <v>0</v>
      </c>
      <c r="D85" s="174" t="str">
        <f t="shared" si="1"/>
        <v>#DIV/0!</v>
      </c>
      <c r="E85" s="175" t="str">
        <f t="shared" si="2"/>
        <v>#N/A</v>
      </c>
      <c r="F85" s="175" t="str">
        <f>IFERROR(__xludf.DUMMYFUNCTION("average.weighted(filter(Data!K:K,Data!B:B=A85),filter(Data!F:F,Data!B:B=A85))"),"#N/A")</f>
        <v>#N/A</v>
      </c>
      <c r="G85" s="175" t="str">
        <f>IFERROR(__xludf.DUMMYFUNCTION("average.weighted(filter(Data!L:L,Data!B:B=A85),filter(Data!F:F,Data!B:B=A85))"),"#N/A")</f>
        <v>#N/A</v>
      </c>
    </row>
    <row r="86" hidden="1">
      <c r="A86" s="172" t="s">
        <v>329</v>
      </c>
      <c r="B86" s="173">
        <f>countif(Data!B:B,A86)</f>
        <v>0</v>
      </c>
      <c r="C86" s="174">
        <f>sumif(Data!B:B,A86,Data!M:M)</f>
        <v>0</v>
      </c>
      <c r="D86" s="174" t="str">
        <f t="shared" si="1"/>
        <v>#DIV/0!</v>
      </c>
      <c r="E86" s="175" t="str">
        <f t="shared" si="2"/>
        <v>#N/A</v>
      </c>
      <c r="F86" s="175" t="str">
        <f>IFERROR(__xludf.DUMMYFUNCTION("average.weighted(filter(Data!K:K,Data!B:B=A86),filter(Data!F:F,Data!B:B=A86))"),"#N/A")</f>
        <v>#N/A</v>
      </c>
      <c r="G86" s="175" t="str">
        <f>IFERROR(__xludf.DUMMYFUNCTION("average.weighted(filter(Data!L:L,Data!B:B=A86),filter(Data!F:F,Data!B:B=A86))"),"#N/A")</f>
        <v>#N/A</v>
      </c>
    </row>
    <row r="87" hidden="1">
      <c r="A87" s="172" t="s">
        <v>330</v>
      </c>
      <c r="B87" s="173">
        <f>countif(Data!B:B,A87)</f>
        <v>0</v>
      </c>
      <c r="C87" s="174">
        <f>sumif(Data!B:B,A87,Data!M:M)</f>
        <v>0</v>
      </c>
      <c r="D87" s="174" t="str">
        <f t="shared" si="1"/>
        <v>#DIV/0!</v>
      </c>
      <c r="E87" s="175" t="str">
        <f t="shared" si="2"/>
        <v>#N/A</v>
      </c>
      <c r="F87" s="175" t="str">
        <f>IFERROR(__xludf.DUMMYFUNCTION("average.weighted(filter(Data!K:K,Data!B:B=A87),filter(Data!F:F,Data!B:B=A87))"),"#N/A")</f>
        <v>#N/A</v>
      </c>
      <c r="G87" s="175" t="str">
        <f>IFERROR(__xludf.DUMMYFUNCTION("average.weighted(filter(Data!L:L,Data!B:B=A87),filter(Data!F:F,Data!B:B=A87))"),"#N/A")</f>
        <v>#N/A</v>
      </c>
    </row>
    <row r="88" hidden="1">
      <c r="A88" s="172" t="s">
        <v>331</v>
      </c>
      <c r="B88" s="173">
        <f>countif(Data!B:B,A88)</f>
        <v>0</v>
      </c>
      <c r="C88" s="174">
        <f>sumif(Data!B:B,A88,Data!M:M)</f>
        <v>0</v>
      </c>
      <c r="D88" s="174" t="str">
        <f t="shared" si="1"/>
        <v>#DIV/0!</v>
      </c>
      <c r="E88" s="175" t="str">
        <f t="shared" si="2"/>
        <v>#N/A</v>
      </c>
      <c r="F88" s="175" t="str">
        <f>IFERROR(__xludf.DUMMYFUNCTION("average.weighted(filter(Data!K:K,Data!B:B=A88),filter(Data!F:F,Data!B:B=A88))"),"#N/A")</f>
        <v>#N/A</v>
      </c>
      <c r="G88" s="175" t="str">
        <f>IFERROR(__xludf.DUMMYFUNCTION("average.weighted(filter(Data!L:L,Data!B:B=A88),filter(Data!F:F,Data!B:B=A88))"),"#N/A")</f>
        <v>#N/A</v>
      </c>
    </row>
    <row r="89" hidden="1">
      <c r="A89" s="172" t="s">
        <v>332</v>
      </c>
      <c r="B89" s="173">
        <f>countif(Data!B:B,A89)</f>
        <v>0</v>
      </c>
      <c r="C89" s="174">
        <f>sumif(Data!B:B,A89,Data!M:M)</f>
        <v>0</v>
      </c>
      <c r="D89" s="174" t="str">
        <f t="shared" si="1"/>
        <v>#DIV/0!</v>
      </c>
      <c r="E89" s="175" t="str">
        <f t="shared" si="2"/>
        <v>#N/A</v>
      </c>
      <c r="F89" s="175" t="str">
        <f>IFERROR(__xludf.DUMMYFUNCTION("average.weighted(filter(Data!K:K,Data!B:B=A89),filter(Data!F:F,Data!B:B=A89))"),"#N/A")</f>
        <v>#N/A</v>
      </c>
      <c r="G89" s="175" t="str">
        <f>IFERROR(__xludf.DUMMYFUNCTION("average.weighted(filter(Data!L:L,Data!B:B=A89),filter(Data!F:F,Data!B:B=A89))"),"#N/A")</f>
        <v>#N/A</v>
      </c>
    </row>
    <row r="90" hidden="1">
      <c r="A90" s="172" t="s">
        <v>333</v>
      </c>
      <c r="B90" s="173">
        <f>countif(Data!B:B,A90)</f>
        <v>0</v>
      </c>
      <c r="C90" s="174">
        <f>sumif(Data!B:B,A90,Data!M:M)</f>
        <v>0</v>
      </c>
      <c r="D90" s="174" t="str">
        <f t="shared" si="1"/>
        <v>#DIV/0!</v>
      </c>
      <c r="E90" s="175" t="str">
        <f t="shared" si="2"/>
        <v>#N/A</v>
      </c>
      <c r="F90" s="175" t="str">
        <f>IFERROR(__xludf.DUMMYFUNCTION("average.weighted(filter(Data!K:K,Data!B:B=A90),filter(Data!F:F,Data!B:B=A90))"),"#N/A")</f>
        <v>#N/A</v>
      </c>
      <c r="G90" s="175" t="str">
        <f>IFERROR(__xludf.DUMMYFUNCTION("average.weighted(filter(Data!L:L,Data!B:B=A90),filter(Data!F:F,Data!B:B=A90))"),"#N/A")</f>
        <v>#N/A</v>
      </c>
    </row>
    <row r="91" hidden="1">
      <c r="A91" s="172" t="s">
        <v>334</v>
      </c>
      <c r="B91" s="173">
        <f>countif(Data!B:B,A91)</f>
        <v>0</v>
      </c>
      <c r="C91" s="174">
        <f>sumif(Data!B:B,A91,Data!M:M)</f>
        <v>0</v>
      </c>
      <c r="D91" s="174" t="str">
        <f t="shared" si="1"/>
        <v>#DIV/0!</v>
      </c>
      <c r="E91" s="175" t="str">
        <f t="shared" si="2"/>
        <v>#N/A</v>
      </c>
      <c r="F91" s="175" t="str">
        <f>IFERROR(__xludf.DUMMYFUNCTION("average.weighted(filter(Data!K:K,Data!B:B=A91),filter(Data!F:F,Data!B:B=A91))"),"#N/A")</f>
        <v>#N/A</v>
      </c>
      <c r="G91" s="175" t="str">
        <f>IFERROR(__xludf.DUMMYFUNCTION("average.weighted(filter(Data!L:L,Data!B:B=A91),filter(Data!F:F,Data!B:B=A91))"),"#N/A")</f>
        <v>#N/A</v>
      </c>
    </row>
    <row r="92" hidden="1">
      <c r="A92" s="172" t="s">
        <v>335</v>
      </c>
      <c r="B92" s="173">
        <f>countif(Data!B:B,A92)</f>
        <v>0</v>
      </c>
      <c r="C92" s="174">
        <f>sumif(Data!B:B,A92,Data!M:M)</f>
        <v>0</v>
      </c>
      <c r="D92" s="174" t="str">
        <f t="shared" si="1"/>
        <v>#DIV/0!</v>
      </c>
      <c r="E92" s="175" t="str">
        <f t="shared" si="2"/>
        <v>#N/A</v>
      </c>
      <c r="F92" s="175" t="str">
        <f>IFERROR(__xludf.DUMMYFUNCTION("average.weighted(filter(Data!K:K,Data!B:B=A92),filter(Data!F:F,Data!B:B=A92))"),"#N/A")</f>
        <v>#N/A</v>
      </c>
      <c r="G92" s="175" t="str">
        <f>IFERROR(__xludf.DUMMYFUNCTION("average.weighted(filter(Data!L:L,Data!B:B=A92),filter(Data!F:F,Data!B:B=A92))"),"#N/A")</f>
        <v>#N/A</v>
      </c>
    </row>
    <row r="93" hidden="1">
      <c r="A93" s="172" t="s">
        <v>336</v>
      </c>
      <c r="B93" s="173">
        <f>countif(Data!B:B,A93)</f>
        <v>0</v>
      </c>
      <c r="C93" s="174">
        <f>sumif(Data!B:B,A93,Data!M:M)</f>
        <v>0</v>
      </c>
      <c r="D93" s="174" t="str">
        <f t="shared" si="1"/>
        <v>#DIV/0!</v>
      </c>
      <c r="E93" s="175" t="str">
        <f t="shared" si="2"/>
        <v>#N/A</v>
      </c>
      <c r="F93" s="175" t="str">
        <f>IFERROR(__xludf.DUMMYFUNCTION("average.weighted(filter(Data!K:K,Data!B:B=A93),filter(Data!F:F,Data!B:B=A93))"),"#N/A")</f>
        <v>#N/A</v>
      </c>
      <c r="G93" s="175" t="str">
        <f>IFERROR(__xludf.DUMMYFUNCTION("average.weighted(filter(Data!L:L,Data!B:B=A93),filter(Data!F:F,Data!B:B=A93))"),"#N/A")</f>
        <v>#N/A</v>
      </c>
    </row>
    <row r="94" hidden="1">
      <c r="A94" s="172" t="s">
        <v>337</v>
      </c>
      <c r="B94" s="173">
        <f>countif(Data!B:B,A94)</f>
        <v>0</v>
      </c>
      <c r="C94" s="174">
        <f>sumif(Data!B:B,A94,Data!M:M)</f>
        <v>0</v>
      </c>
      <c r="D94" s="174" t="str">
        <f t="shared" si="1"/>
        <v>#DIV/0!</v>
      </c>
      <c r="E94" s="175" t="str">
        <f t="shared" si="2"/>
        <v>#N/A</v>
      </c>
      <c r="F94" s="175" t="str">
        <f>IFERROR(__xludf.DUMMYFUNCTION("average.weighted(filter(Data!K:K,Data!B:B=A94),filter(Data!F:F,Data!B:B=A94))"),"#N/A")</f>
        <v>#N/A</v>
      </c>
      <c r="G94" s="175" t="str">
        <f>IFERROR(__xludf.DUMMYFUNCTION("average.weighted(filter(Data!L:L,Data!B:B=A94),filter(Data!F:F,Data!B:B=A94))"),"#N/A")</f>
        <v>#N/A</v>
      </c>
    </row>
    <row r="95" hidden="1">
      <c r="A95" s="172" t="s">
        <v>338</v>
      </c>
      <c r="B95" s="173">
        <f>countif(Data!B:B,A95)</f>
        <v>0</v>
      </c>
      <c r="C95" s="174">
        <f>sumif(Data!B:B,A95,Data!M:M)</f>
        <v>0</v>
      </c>
      <c r="D95" s="174" t="str">
        <f t="shared" si="1"/>
        <v>#DIV/0!</v>
      </c>
      <c r="E95" s="175" t="str">
        <f t="shared" si="2"/>
        <v>#N/A</v>
      </c>
      <c r="F95" s="175" t="str">
        <f>IFERROR(__xludf.DUMMYFUNCTION("average.weighted(filter(Data!K:K,Data!B:B=A95),filter(Data!F:F,Data!B:B=A95))"),"#N/A")</f>
        <v>#N/A</v>
      </c>
      <c r="G95" s="175" t="str">
        <f>IFERROR(__xludf.DUMMYFUNCTION("average.weighted(filter(Data!L:L,Data!B:B=A95),filter(Data!F:F,Data!B:B=A95))"),"#N/A")</f>
        <v>#N/A</v>
      </c>
    </row>
    <row r="96" hidden="1">
      <c r="A96" s="172" t="s">
        <v>339</v>
      </c>
      <c r="B96" s="173">
        <f>countif(Data!B:B,A96)</f>
        <v>0</v>
      </c>
      <c r="C96" s="174">
        <f>sumif(Data!B:B,A96,Data!M:M)</f>
        <v>0</v>
      </c>
      <c r="D96" s="174" t="str">
        <f t="shared" si="1"/>
        <v>#DIV/0!</v>
      </c>
      <c r="E96" s="175" t="str">
        <f t="shared" si="2"/>
        <v>#N/A</v>
      </c>
      <c r="F96" s="175" t="str">
        <f>IFERROR(__xludf.DUMMYFUNCTION("average.weighted(filter(Data!K:K,Data!B:B=A96),filter(Data!F:F,Data!B:B=A96))"),"#N/A")</f>
        <v>#N/A</v>
      </c>
      <c r="G96" s="175" t="str">
        <f>IFERROR(__xludf.DUMMYFUNCTION("average.weighted(filter(Data!L:L,Data!B:B=A96),filter(Data!F:F,Data!B:B=A96))"),"#N/A")</f>
        <v>#N/A</v>
      </c>
    </row>
    <row r="97" hidden="1">
      <c r="A97" s="172" t="s">
        <v>340</v>
      </c>
      <c r="B97" s="173">
        <f>countif(Data!B:B,A97)</f>
        <v>0</v>
      </c>
      <c r="C97" s="174">
        <f>sumif(Data!B:B,A97,Data!M:M)</f>
        <v>0</v>
      </c>
      <c r="D97" s="174" t="str">
        <f t="shared" si="1"/>
        <v>#DIV/0!</v>
      </c>
      <c r="E97" s="175" t="str">
        <f t="shared" si="2"/>
        <v>#N/A</v>
      </c>
      <c r="F97" s="175" t="str">
        <f>IFERROR(__xludf.DUMMYFUNCTION("average.weighted(filter(Data!K:K,Data!B:B=A97),filter(Data!F:F,Data!B:B=A97))"),"#N/A")</f>
        <v>#N/A</v>
      </c>
      <c r="G97" s="175" t="str">
        <f>IFERROR(__xludf.DUMMYFUNCTION("average.weighted(filter(Data!L:L,Data!B:B=A97),filter(Data!F:F,Data!B:B=A97))"),"#N/A")</f>
        <v>#N/A</v>
      </c>
    </row>
    <row r="98" hidden="1">
      <c r="A98" s="172" t="s">
        <v>341</v>
      </c>
      <c r="B98" s="173">
        <f>countif(Data!B:B,A98)</f>
        <v>0</v>
      </c>
      <c r="C98" s="174">
        <f>sumif(Data!B:B,A98,Data!M:M)</f>
        <v>0</v>
      </c>
      <c r="D98" s="174" t="str">
        <f t="shared" si="1"/>
        <v>#DIV/0!</v>
      </c>
      <c r="E98" s="175" t="str">
        <f t="shared" si="2"/>
        <v>#N/A</v>
      </c>
      <c r="F98" s="175" t="str">
        <f>IFERROR(__xludf.DUMMYFUNCTION("average.weighted(filter(Data!K:K,Data!B:B=A98),filter(Data!F:F,Data!B:B=A98))"),"#N/A")</f>
        <v>#N/A</v>
      </c>
      <c r="G98" s="175" t="str">
        <f>IFERROR(__xludf.DUMMYFUNCTION("average.weighted(filter(Data!L:L,Data!B:B=A98),filter(Data!F:F,Data!B:B=A98))"),"#N/A")</f>
        <v>#N/A</v>
      </c>
    </row>
    <row r="99" hidden="1">
      <c r="A99" s="172" t="s">
        <v>342</v>
      </c>
      <c r="B99" s="173">
        <f>countif(Data!B:B,A99)</f>
        <v>0</v>
      </c>
      <c r="C99" s="174">
        <f>sumif(Data!B:B,A99,Data!M:M)</f>
        <v>0</v>
      </c>
      <c r="D99" s="174" t="str">
        <f t="shared" si="1"/>
        <v>#DIV/0!</v>
      </c>
      <c r="E99" s="175" t="str">
        <f t="shared" si="2"/>
        <v>#N/A</v>
      </c>
      <c r="F99" s="175" t="str">
        <f>IFERROR(__xludf.DUMMYFUNCTION("average.weighted(filter(Data!K:K,Data!B:B=A99),filter(Data!F:F,Data!B:B=A99))"),"#N/A")</f>
        <v>#N/A</v>
      </c>
      <c r="G99" s="175" t="str">
        <f>IFERROR(__xludf.DUMMYFUNCTION("average.weighted(filter(Data!L:L,Data!B:B=A99),filter(Data!F:F,Data!B:B=A99))"),"#N/A")</f>
        <v>#N/A</v>
      </c>
    </row>
    <row r="100" hidden="1">
      <c r="A100" s="172" t="s">
        <v>343</v>
      </c>
      <c r="B100" s="173">
        <f>countif(Data!B:B,A100)</f>
        <v>0</v>
      </c>
      <c r="C100" s="174">
        <f>sumif(Data!B:B,A100,Data!M:M)</f>
        <v>0</v>
      </c>
      <c r="D100" s="174" t="str">
        <f t="shared" si="1"/>
        <v>#DIV/0!</v>
      </c>
      <c r="E100" s="175" t="str">
        <f t="shared" si="2"/>
        <v>#N/A</v>
      </c>
      <c r="F100" s="175" t="str">
        <f>IFERROR(__xludf.DUMMYFUNCTION("average.weighted(filter(Data!K:K,Data!B:B=A100),filter(Data!F:F,Data!B:B=A100))"),"#N/A")</f>
        <v>#N/A</v>
      </c>
      <c r="G100" s="175" t="str">
        <f>IFERROR(__xludf.DUMMYFUNCTION("average.weighted(filter(Data!L:L,Data!B:B=A100),filter(Data!F:F,Data!B:B=A100))"),"#N/A")</f>
        <v>#N/A</v>
      </c>
    </row>
    <row r="101" hidden="1">
      <c r="A101" s="172" t="s">
        <v>344</v>
      </c>
      <c r="B101" s="173">
        <f>countif(Data!B:B,A101)</f>
        <v>0</v>
      </c>
      <c r="C101" s="174">
        <f>sumif(Data!B:B,A101,Data!M:M)</f>
        <v>0</v>
      </c>
      <c r="D101" s="174" t="str">
        <f t="shared" si="1"/>
        <v>#DIV/0!</v>
      </c>
      <c r="E101" s="175" t="str">
        <f t="shared" si="2"/>
        <v>#N/A</v>
      </c>
      <c r="F101" s="175" t="str">
        <f>IFERROR(__xludf.DUMMYFUNCTION("average.weighted(filter(Data!K:K,Data!B:B=A101),filter(Data!F:F,Data!B:B=A101))"),"#N/A")</f>
        <v>#N/A</v>
      </c>
      <c r="G101" s="175" t="str">
        <f>IFERROR(__xludf.DUMMYFUNCTION("average.weighted(filter(Data!L:L,Data!B:B=A101),filter(Data!F:F,Data!B:B=A101))"),"#N/A")</f>
        <v>#N/A</v>
      </c>
    </row>
    <row r="102" hidden="1">
      <c r="A102" s="172" t="s">
        <v>345</v>
      </c>
      <c r="B102" s="173">
        <f>countif(Data!B:B,A102)</f>
        <v>0</v>
      </c>
      <c r="C102" s="174">
        <f>sumif(Data!B:B,A102,Data!M:M)</f>
        <v>0</v>
      </c>
      <c r="D102" s="174" t="str">
        <f t="shared" si="1"/>
        <v>#DIV/0!</v>
      </c>
      <c r="E102" s="175" t="str">
        <f t="shared" si="2"/>
        <v>#N/A</v>
      </c>
      <c r="F102" s="175" t="str">
        <f>IFERROR(__xludf.DUMMYFUNCTION("average.weighted(filter(Data!K:K,Data!B:B=A102),filter(Data!F:F,Data!B:B=A102))"),"#N/A")</f>
        <v>#N/A</v>
      </c>
      <c r="G102" s="175" t="str">
        <f>IFERROR(__xludf.DUMMYFUNCTION("average.weighted(filter(Data!L:L,Data!B:B=A102),filter(Data!F:F,Data!B:B=A102))"),"#N/A")</f>
        <v>#N/A</v>
      </c>
    </row>
    <row r="103" hidden="1">
      <c r="A103" s="172" t="s">
        <v>346</v>
      </c>
      <c r="B103" s="173">
        <f>countif(Data!B:B,A103)</f>
        <v>0</v>
      </c>
      <c r="C103" s="174">
        <f>sumif(Data!B:B,A103,Data!M:M)</f>
        <v>0</v>
      </c>
      <c r="D103" s="174" t="str">
        <f t="shared" si="1"/>
        <v>#DIV/0!</v>
      </c>
      <c r="E103" s="175" t="str">
        <f t="shared" si="2"/>
        <v>#N/A</v>
      </c>
      <c r="F103" s="175" t="str">
        <f>IFERROR(__xludf.DUMMYFUNCTION("average.weighted(filter(Data!K:K,Data!B:B=A103),filter(Data!F:F,Data!B:B=A103))"),"#N/A")</f>
        <v>#N/A</v>
      </c>
      <c r="G103" s="175" t="str">
        <f>IFERROR(__xludf.DUMMYFUNCTION("average.weighted(filter(Data!L:L,Data!B:B=A103),filter(Data!F:F,Data!B:B=A103))"),"#N/A")</f>
        <v>#N/A</v>
      </c>
    </row>
    <row r="104" hidden="1">
      <c r="A104" s="172" t="s">
        <v>347</v>
      </c>
      <c r="B104" s="173">
        <f>countif(Data!B:B,A104)</f>
        <v>0</v>
      </c>
      <c r="C104" s="174">
        <f>sumif(Data!B:B,A104,Data!M:M)</f>
        <v>0</v>
      </c>
      <c r="D104" s="174" t="str">
        <f t="shared" si="1"/>
        <v>#DIV/0!</v>
      </c>
      <c r="E104" s="175" t="str">
        <f t="shared" si="2"/>
        <v>#N/A</v>
      </c>
      <c r="F104" s="175" t="str">
        <f>IFERROR(__xludf.DUMMYFUNCTION("average.weighted(filter(Data!K:K,Data!B:B=A104),filter(Data!F:F,Data!B:B=A104))"),"#N/A")</f>
        <v>#N/A</v>
      </c>
      <c r="G104" s="175" t="str">
        <f>IFERROR(__xludf.DUMMYFUNCTION("average.weighted(filter(Data!L:L,Data!B:B=A104),filter(Data!F:F,Data!B:B=A104))"),"#N/A")</f>
        <v>#N/A</v>
      </c>
    </row>
    <row r="105" hidden="1">
      <c r="A105" s="172" t="s">
        <v>348</v>
      </c>
      <c r="B105" s="173">
        <f>countif(Data!B:B,A105)</f>
        <v>0</v>
      </c>
      <c r="C105" s="174">
        <f>sumif(Data!B:B,A105,Data!M:M)</f>
        <v>0</v>
      </c>
      <c r="D105" s="174" t="str">
        <f t="shared" si="1"/>
        <v>#DIV/0!</v>
      </c>
      <c r="E105" s="175" t="str">
        <f t="shared" si="2"/>
        <v>#N/A</v>
      </c>
      <c r="F105" s="175" t="str">
        <f>IFERROR(__xludf.DUMMYFUNCTION("average.weighted(filter(Data!K:K,Data!B:B=A105),filter(Data!F:F,Data!B:B=A105))"),"#N/A")</f>
        <v>#N/A</v>
      </c>
      <c r="G105" s="175" t="str">
        <f>IFERROR(__xludf.DUMMYFUNCTION("average.weighted(filter(Data!L:L,Data!B:B=A105),filter(Data!F:F,Data!B:B=A105))"),"#N/A")</f>
        <v>#N/A</v>
      </c>
    </row>
    <row r="106" hidden="1">
      <c r="A106" s="172" t="s">
        <v>349</v>
      </c>
      <c r="B106" s="173">
        <f>countif(Data!B:B,A106)</f>
        <v>0</v>
      </c>
      <c r="C106" s="174">
        <f>sumif(Data!B:B,A106,Data!M:M)</f>
        <v>0</v>
      </c>
      <c r="D106" s="174" t="str">
        <f t="shared" si="1"/>
        <v>#DIV/0!</v>
      </c>
      <c r="E106" s="175" t="str">
        <f t="shared" si="2"/>
        <v>#N/A</v>
      </c>
      <c r="F106" s="175" t="str">
        <f>IFERROR(__xludf.DUMMYFUNCTION("average.weighted(filter(Data!K:K,Data!B:B=A106),filter(Data!F:F,Data!B:B=A106))"),"#N/A")</f>
        <v>#N/A</v>
      </c>
      <c r="G106" s="175" t="str">
        <f>IFERROR(__xludf.DUMMYFUNCTION("average.weighted(filter(Data!L:L,Data!B:B=A106),filter(Data!F:F,Data!B:B=A106))"),"#N/A")</f>
        <v>#N/A</v>
      </c>
    </row>
    <row r="107" hidden="1">
      <c r="A107" s="172" t="s">
        <v>350</v>
      </c>
      <c r="B107" s="173">
        <f>countif(Data!B:B,A107)</f>
        <v>0</v>
      </c>
      <c r="C107" s="174">
        <f>sumif(Data!B:B,A107,Data!M:M)</f>
        <v>0</v>
      </c>
      <c r="D107" s="174" t="str">
        <f t="shared" si="1"/>
        <v>#DIV/0!</v>
      </c>
      <c r="E107" s="175" t="str">
        <f t="shared" si="2"/>
        <v>#N/A</v>
      </c>
      <c r="F107" s="175" t="str">
        <f>IFERROR(__xludf.DUMMYFUNCTION("average.weighted(filter(Data!K:K,Data!B:B=A107),filter(Data!F:F,Data!B:B=A107))"),"#N/A")</f>
        <v>#N/A</v>
      </c>
      <c r="G107" s="175" t="str">
        <f>IFERROR(__xludf.DUMMYFUNCTION("average.weighted(filter(Data!L:L,Data!B:B=A107),filter(Data!F:F,Data!B:B=A107))"),"#N/A")</f>
        <v>#N/A</v>
      </c>
    </row>
    <row r="108" hidden="1">
      <c r="A108" s="172" t="s">
        <v>351</v>
      </c>
      <c r="B108" s="173">
        <f>countif(Data!B:B,A108)</f>
        <v>0</v>
      </c>
      <c r="C108" s="174">
        <f>sumif(Data!B:B,A108,Data!M:M)</f>
        <v>0</v>
      </c>
      <c r="D108" s="174" t="str">
        <f t="shared" si="1"/>
        <v>#DIV/0!</v>
      </c>
      <c r="E108" s="175" t="str">
        <f t="shared" si="2"/>
        <v>#N/A</v>
      </c>
      <c r="F108" s="175" t="str">
        <f>IFERROR(__xludf.DUMMYFUNCTION("average.weighted(filter(Data!K:K,Data!B:B=A108),filter(Data!F:F,Data!B:B=A108))"),"#N/A")</f>
        <v>#N/A</v>
      </c>
      <c r="G108" s="175" t="str">
        <f>IFERROR(__xludf.DUMMYFUNCTION("average.weighted(filter(Data!L:L,Data!B:B=A108),filter(Data!F:F,Data!B:B=A108))"),"#N/A")</f>
        <v>#N/A</v>
      </c>
    </row>
    <row r="109" hidden="1">
      <c r="A109" s="172" t="s">
        <v>352</v>
      </c>
      <c r="B109" s="173">
        <f>countif(Data!B:B,A109)</f>
        <v>0</v>
      </c>
      <c r="C109" s="174">
        <f>sumif(Data!B:B,A109,Data!M:M)</f>
        <v>0</v>
      </c>
      <c r="D109" s="174" t="str">
        <f t="shared" si="1"/>
        <v>#DIV/0!</v>
      </c>
      <c r="E109" s="175" t="str">
        <f t="shared" si="2"/>
        <v>#N/A</v>
      </c>
      <c r="F109" s="175" t="str">
        <f>IFERROR(__xludf.DUMMYFUNCTION("average.weighted(filter(Data!K:K,Data!B:B=A109),filter(Data!F:F,Data!B:B=A109))"),"#N/A")</f>
        <v>#N/A</v>
      </c>
      <c r="G109" s="175" t="str">
        <f>IFERROR(__xludf.DUMMYFUNCTION("average.weighted(filter(Data!L:L,Data!B:B=A109),filter(Data!F:F,Data!B:B=A109))"),"#N/A")</f>
        <v>#N/A</v>
      </c>
    </row>
    <row r="110" hidden="1">
      <c r="A110" s="172" t="s">
        <v>353</v>
      </c>
      <c r="B110" s="173">
        <f>countif(Data!B:B,A110)</f>
        <v>0</v>
      </c>
      <c r="C110" s="174">
        <f>sumif(Data!B:B,A110,Data!M:M)</f>
        <v>0</v>
      </c>
      <c r="D110" s="174" t="str">
        <f t="shared" si="1"/>
        <v>#DIV/0!</v>
      </c>
      <c r="E110" s="175" t="str">
        <f t="shared" si="2"/>
        <v>#N/A</v>
      </c>
      <c r="F110" s="175" t="str">
        <f>IFERROR(__xludf.DUMMYFUNCTION("average.weighted(filter(Data!K:K,Data!B:B=A110),filter(Data!F:F,Data!B:B=A110))"),"#N/A")</f>
        <v>#N/A</v>
      </c>
      <c r="G110" s="175" t="str">
        <f>IFERROR(__xludf.DUMMYFUNCTION("average.weighted(filter(Data!L:L,Data!B:B=A110),filter(Data!F:F,Data!B:B=A110))"),"#N/A")</f>
        <v>#N/A</v>
      </c>
    </row>
    <row r="111" hidden="1">
      <c r="A111" s="172" t="s">
        <v>354</v>
      </c>
      <c r="B111" s="173">
        <f>countif(Data!B:B,A111)</f>
        <v>0</v>
      </c>
      <c r="C111" s="174">
        <f>sumif(Data!B:B,A111,Data!M:M)</f>
        <v>0</v>
      </c>
      <c r="D111" s="174" t="str">
        <f t="shared" si="1"/>
        <v>#DIV/0!</v>
      </c>
      <c r="E111" s="175" t="str">
        <f t="shared" si="2"/>
        <v>#N/A</v>
      </c>
      <c r="F111" s="175" t="str">
        <f>IFERROR(__xludf.DUMMYFUNCTION("average.weighted(filter(Data!K:K,Data!B:B=A111),filter(Data!F:F,Data!B:B=A111))"),"#N/A")</f>
        <v>#N/A</v>
      </c>
      <c r="G111" s="175" t="str">
        <f>IFERROR(__xludf.DUMMYFUNCTION("average.weighted(filter(Data!L:L,Data!B:B=A111),filter(Data!F:F,Data!B:B=A111))"),"#N/A")</f>
        <v>#N/A</v>
      </c>
    </row>
    <row r="112" hidden="1">
      <c r="A112" s="172" t="s">
        <v>355</v>
      </c>
      <c r="B112" s="173">
        <f>countif(Data!B:B,A112)</f>
        <v>0</v>
      </c>
      <c r="C112" s="174">
        <f>sumif(Data!B:B,A112,Data!M:M)</f>
        <v>0</v>
      </c>
      <c r="D112" s="174" t="str">
        <f t="shared" si="1"/>
        <v>#DIV/0!</v>
      </c>
      <c r="E112" s="175" t="str">
        <f t="shared" si="2"/>
        <v>#N/A</v>
      </c>
      <c r="F112" s="175" t="str">
        <f>IFERROR(__xludf.DUMMYFUNCTION("average.weighted(filter(Data!K:K,Data!B:B=A112),filter(Data!F:F,Data!B:B=A112))"),"#N/A")</f>
        <v>#N/A</v>
      </c>
      <c r="G112" s="175" t="str">
        <f>IFERROR(__xludf.DUMMYFUNCTION("average.weighted(filter(Data!L:L,Data!B:B=A112),filter(Data!F:F,Data!B:B=A112))"),"#N/A")</f>
        <v>#N/A</v>
      </c>
    </row>
    <row r="113" hidden="1">
      <c r="A113" s="172" t="s">
        <v>356</v>
      </c>
      <c r="B113" s="173">
        <f>countif(Data!B:B,A113)</f>
        <v>0</v>
      </c>
      <c r="C113" s="174">
        <f>sumif(Data!B:B,A113,Data!M:M)</f>
        <v>0</v>
      </c>
      <c r="D113" s="174" t="str">
        <f t="shared" si="1"/>
        <v>#DIV/0!</v>
      </c>
      <c r="E113" s="175" t="str">
        <f t="shared" si="2"/>
        <v>#N/A</v>
      </c>
      <c r="F113" s="175" t="str">
        <f>IFERROR(__xludf.DUMMYFUNCTION("average.weighted(filter(Data!K:K,Data!B:B=A113),filter(Data!F:F,Data!B:B=A113))"),"#N/A")</f>
        <v>#N/A</v>
      </c>
      <c r="G113" s="175" t="str">
        <f>IFERROR(__xludf.DUMMYFUNCTION("average.weighted(filter(Data!L:L,Data!B:B=A113),filter(Data!F:F,Data!B:B=A113))"),"#N/A")</f>
        <v>#N/A</v>
      </c>
    </row>
    <row r="114" hidden="1">
      <c r="A114" s="172" t="s">
        <v>357</v>
      </c>
      <c r="B114" s="173">
        <f>countif(Data!B:B,A114)</f>
        <v>0</v>
      </c>
      <c r="C114" s="174">
        <f>sumif(Data!B:B,A114,Data!M:M)</f>
        <v>0</v>
      </c>
      <c r="D114" s="174" t="str">
        <f t="shared" si="1"/>
        <v>#DIV/0!</v>
      </c>
      <c r="E114" s="175" t="str">
        <f t="shared" si="2"/>
        <v>#N/A</v>
      </c>
      <c r="F114" s="175" t="str">
        <f>IFERROR(__xludf.DUMMYFUNCTION("average.weighted(filter(Data!K:K,Data!B:B=A114),filter(Data!F:F,Data!B:B=A114))"),"#N/A")</f>
        <v>#N/A</v>
      </c>
      <c r="G114" s="175" t="str">
        <f>IFERROR(__xludf.DUMMYFUNCTION("average.weighted(filter(Data!L:L,Data!B:B=A114),filter(Data!F:F,Data!B:B=A114))"),"#N/A")</f>
        <v>#N/A</v>
      </c>
    </row>
    <row r="115" hidden="1">
      <c r="A115" s="172" t="s">
        <v>358</v>
      </c>
      <c r="B115" s="173">
        <f>countif(Data!B:B,A115)</f>
        <v>0</v>
      </c>
      <c r="C115" s="174">
        <f>sumif(Data!B:B,A115,Data!M:M)</f>
        <v>0</v>
      </c>
      <c r="D115" s="174" t="str">
        <f t="shared" si="1"/>
        <v>#DIV/0!</v>
      </c>
      <c r="E115" s="175" t="str">
        <f t="shared" si="2"/>
        <v>#N/A</v>
      </c>
      <c r="F115" s="175" t="str">
        <f>IFERROR(__xludf.DUMMYFUNCTION("average.weighted(filter(Data!K:K,Data!B:B=A115),filter(Data!F:F,Data!B:B=A115))"),"#N/A")</f>
        <v>#N/A</v>
      </c>
      <c r="G115" s="175" t="str">
        <f>IFERROR(__xludf.DUMMYFUNCTION("average.weighted(filter(Data!L:L,Data!B:B=A115),filter(Data!F:F,Data!B:B=A115))"),"#N/A")</f>
        <v>#N/A</v>
      </c>
    </row>
    <row r="116" hidden="1">
      <c r="A116" s="172" t="s">
        <v>359</v>
      </c>
      <c r="B116" s="173">
        <f>countif(Data!B:B,A116)</f>
        <v>0</v>
      </c>
      <c r="C116" s="174">
        <f>sumif(Data!B:B,A116,Data!M:M)</f>
        <v>0</v>
      </c>
      <c r="D116" s="174" t="str">
        <f t="shared" si="1"/>
        <v>#DIV/0!</v>
      </c>
      <c r="E116" s="175" t="str">
        <f t="shared" si="2"/>
        <v>#N/A</v>
      </c>
      <c r="F116" s="175" t="str">
        <f>IFERROR(__xludf.DUMMYFUNCTION("average.weighted(filter(Data!K:K,Data!B:B=A116),filter(Data!F:F,Data!B:B=A116))"),"#N/A")</f>
        <v>#N/A</v>
      </c>
      <c r="G116" s="175" t="str">
        <f>IFERROR(__xludf.DUMMYFUNCTION("average.weighted(filter(Data!L:L,Data!B:B=A116),filter(Data!F:F,Data!B:B=A116))"),"#N/A")</f>
        <v>#N/A</v>
      </c>
    </row>
    <row r="117" hidden="1">
      <c r="A117" s="172" t="s">
        <v>360</v>
      </c>
      <c r="B117" s="173">
        <f>countif(Data!B:B,A117)</f>
        <v>0</v>
      </c>
      <c r="C117" s="174">
        <f>sumif(Data!B:B,A117,Data!M:M)</f>
        <v>0</v>
      </c>
      <c r="D117" s="174" t="str">
        <f t="shared" si="1"/>
        <v>#DIV/0!</v>
      </c>
      <c r="E117" s="175" t="str">
        <f t="shared" si="2"/>
        <v>#N/A</v>
      </c>
      <c r="F117" s="175" t="str">
        <f>IFERROR(__xludf.DUMMYFUNCTION("average.weighted(filter(Data!K:K,Data!B:B=A117),filter(Data!F:F,Data!B:B=A117))"),"#N/A")</f>
        <v>#N/A</v>
      </c>
      <c r="G117" s="175" t="str">
        <f>IFERROR(__xludf.DUMMYFUNCTION("average.weighted(filter(Data!L:L,Data!B:B=A117),filter(Data!F:F,Data!B:B=A117))"),"#N/A")</f>
        <v>#N/A</v>
      </c>
    </row>
    <row r="118" hidden="1">
      <c r="A118" s="172" t="s">
        <v>361</v>
      </c>
      <c r="B118" s="173">
        <f>countif(Data!B:B,A118)</f>
        <v>0</v>
      </c>
      <c r="C118" s="174">
        <f>sumif(Data!B:B,A118,Data!M:M)</f>
        <v>0</v>
      </c>
      <c r="D118" s="174" t="str">
        <f t="shared" si="1"/>
        <v>#DIV/0!</v>
      </c>
      <c r="E118" s="175" t="str">
        <f t="shared" si="2"/>
        <v>#N/A</v>
      </c>
      <c r="F118" s="175" t="str">
        <f>IFERROR(__xludf.DUMMYFUNCTION("average.weighted(filter(Data!K:K,Data!B:B=A118),filter(Data!F:F,Data!B:B=A118))"),"#N/A")</f>
        <v>#N/A</v>
      </c>
      <c r="G118" s="175" t="str">
        <f>IFERROR(__xludf.DUMMYFUNCTION("average.weighted(filter(Data!L:L,Data!B:B=A118),filter(Data!F:F,Data!B:B=A118))"),"#N/A")</f>
        <v>#N/A</v>
      </c>
    </row>
    <row r="119" hidden="1">
      <c r="A119" s="172" t="s">
        <v>362</v>
      </c>
      <c r="B119" s="173">
        <f>countif(Data!B:B,A119)</f>
        <v>0</v>
      </c>
      <c r="C119" s="174">
        <f>sumif(Data!B:B,A119,Data!M:M)</f>
        <v>0</v>
      </c>
      <c r="D119" s="174" t="str">
        <f t="shared" si="1"/>
        <v>#DIV/0!</v>
      </c>
      <c r="E119" s="175" t="str">
        <f t="shared" si="2"/>
        <v>#N/A</v>
      </c>
      <c r="F119" s="175" t="str">
        <f>IFERROR(__xludf.DUMMYFUNCTION("average.weighted(filter(Data!K:K,Data!B:B=A119),filter(Data!F:F,Data!B:B=A119))"),"#N/A")</f>
        <v>#N/A</v>
      </c>
      <c r="G119" s="175" t="str">
        <f>IFERROR(__xludf.DUMMYFUNCTION("average.weighted(filter(Data!L:L,Data!B:B=A119),filter(Data!F:F,Data!B:B=A119))"),"#N/A")</f>
        <v>#N/A</v>
      </c>
    </row>
    <row r="120" hidden="1">
      <c r="A120" s="172" t="s">
        <v>363</v>
      </c>
      <c r="B120" s="173">
        <f>countif(Data!B:B,A120)</f>
        <v>0</v>
      </c>
      <c r="C120" s="174">
        <f>sumif(Data!B:B,A120,Data!M:M)</f>
        <v>0</v>
      </c>
      <c r="D120" s="174" t="str">
        <f t="shared" si="1"/>
        <v>#DIV/0!</v>
      </c>
      <c r="E120" s="175" t="str">
        <f t="shared" si="2"/>
        <v>#N/A</v>
      </c>
      <c r="F120" s="175" t="str">
        <f>IFERROR(__xludf.DUMMYFUNCTION("average.weighted(filter(Data!K:K,Data!B:B=A120),filter(Data!F:F,Data!B:B=A120))"),"#N/A")</f>
        <v>#N/A</v>
      </c>
      <c r="G120" s="175" t="str">
        <f>IFERROR(__xludf.DUMMYFUNCTION("average.weighted(filter(Data!L:L,Data!B:B=A120),filter(Data!F:F,Data!B:B=A120))"),"#N/A")</f>
        <v>#N/A</v>
      </c>
    </row>
    <row r="121" hidden="1">
      <c r="A121" s="172" t="s">
        <v>364</v>
      </c>
      <c r="B121" s="173">
        <f>countif(Data!B:B,A121)</f>
        <v>0</v>
      </c>
      <c r="C121" s="174">
        <f>sumif(Data!B:B,A121,Data!M:M)</f>
        <v>0</v>
      </c>
      <c r="D121" s="174" t="str">
        <f t="shared" si="1"/>
        <v>#DIV/0!</v>
      </c>
      <c r="E121" s="175" t="str">
        <f t="shared" si="2"/>
        <v>#N/A</v>
      </c>
      <c r="F121" s="175" t="str">
        <f>IFERROR(__xludf.DUMMYFUNCTION("average.weighted(filter(Data!K:K,Data!B:B=A121),filter(Data!F:F,Data!B:B=A121))"),"#N/A")</f>
        <v>#N/A</v>
      </c>
      <c r="G121" s="175" t="str">
        <f>IFERROR(__xludf.DUMMYFUNCTION("average.weighted(filter(Data!L:L,Data!B:B=A121),filter(Data!F:F,Data!B:B=A121))"),"#N/A")</f>
        <v>#N/A</v>
      </c>
    </row>
    <row r="122" hidden="1">
      <c r="A122" s="172" t="s">
        <v>365</v>
      </c>
      <c r="B122" s="173">
        <f>countif(Data!B:B,A122)</f>
        <v>0</v>
      </c>
      <c r="C122" s="174">
        <f>sumif(Data!B:B,A122,Data!M:M)</f>
        <v>0</v>
      </c>
      <c r="D122" s="174" t="str">
        <f t="shared" si="1"/>
        <v>#DIV/0!</v>
      </c>
      <c r="E122" s="175" t="str">
        <f t="shared" si="2"/>
        <v>#N/A</v>
      </c>
      <c r="F122" s="175" t="str">
        <f>IFERROR(__xludf.DUMMYFUNCTION("average.weighted(filter(Data!K:K,Data!B:B=A122),filter(Data!F:F,Data!B:B=A122))"),"#N/A")</f>
        <v>#N/A</v>
      </c>
      <c r="G122" s="175" t="str">
        <f>IFERROR(__xludf.DUMMYFUNCTION("average.weighted(filter(Data!L:L,Data!B:B=A122),filter(Data!F:F,Data!B:B=A122))"),"#N/A")</f>
        <v>#N/A</v>
      </c>
    </row>
    <row r="123" hidden="1">
      <c r="A123" s="172" t="s">
        <v>366</v>
      </c>
      <c r="B123" s="173">
        <f>countif(Data!B:B,A123)</f>
        <v>0</v>
      </c>
      <c r="C123" s="174">
        <f>sumif(Data!B:B,A123,Data!M:M)</f>
        <v>0</v>
      </c>
      <c r="D123" s="174" t="str">
        <f t="shared" si="1"/>
        <v>#DIV/0!</v>
      </c>
      <c r="E123" s="175" t="str">
        <f t="shared" si="2"/>
        <v>#N/A</v>
      </c>
      <c r="F123" s="175" t="str">
        <f>IFERROR(__xludf.DUMMYFUNCTION("average.weighted(filter(Data!K:K,Data!B:B=A123),filter(Data!F:F,Data!B:B=A123))"),"#N/A")</f>
        <v>#N/A</v>
      </c>
      <c r="G123" s="175" t="str">
        <f>IFERROR(__xludf.DUMMYFUNCTION("average.weighted(filter(Data!L:L,Data!B:B=A123),filter(Data!F:F,Data!B:B=A123))"),"#N/A")</f>
        <v>#N/A</v>
      </c>
    </row>
    <row r="124" hidden="1">
      <c r="A124" s="172" t="s">
        <v>367</v>
      </c>
      <c r="B124" s="173">
        <f>countif(Data!B:B,A124)</f>
        <v>0</v>
      </c>
      <c r="C124" s="174">
        <f>sumif(Data!B:B,A124,Data!M:M)</f>
        <v>0</v>
      </c>
      <c r="D124" s="174" t="str">
        <f t="shared" si="1"/>
        <v>#DIV/0!</v>
      </c>
      <c r="E124" s="175" t="str">
        <f t="shared" si="2"/>
        <v>#N/A</v>
      </c>
      <c r="F124" s="175" t="str">
        <f>IFERROR(__xludf.DUMMYFUNCTION("average.weighted(filter(Data!K:K,Data!B:B=A124),filter(Data!F:F,Data!B:B=A124))"),"#N/A")</f>
        <v>#N/A</v>
      </c>
      <c r="G124" s="175" t="str">
        <f>IFERROR(__xludf.DUMMYFUNCTION("average.weighted(filter(Data!L:L,Data!B:B=A124),filter(Data!F:F,Data!B:B=A124))"),"#N/A")</f>
        <v>#N/A</v>
      </c>
    </row>
    <row r="125" hidden="1">
      <c r="A125" s="172" t="s">
        <v>368</v>
      </c>
      <c r="B125" s="173">
        <f>countif(Data!B:B,A125)</f>
        <v>0</v>
      </c>
      <c r="C125" s="174">
        <f>sumif(Data!B:B,A125,Data!M:M)</f>
        <v>0</v>
      </c>
      <c r="D125" s="174" t="str">
        <f t="shared" si="1"/>
        <v>#DIV/0!</v>
      </c>
      <c r="E125" s="175" t="str">
        <f t="shared" si="2"/>
        <v>#N/A</v>
      </c>
      <c r="F125" s="175" t="str">
        <f>IFERROR(__xludf.DUMMYFUNCTION("average.weighted(filter(Data!K:K,Data!B:B=A125),filter(Data!F:F,Data!B:B=A125))"),"#N/A")</f>
        <v>#N/A</v>
      </c>
      <c r="G125" s="175" t="str">
        <f>IFERROR(__xludf.DUMMYFUNCTION("average.weighted(filter(Data!L:L,Data!B:B=A125),filter(Data!F:F,Data!B:B=A125))"),"#N/A")</f>
        <v>#N/A</v>
      </c>
    </row>
    <row r="126" hidden="1">
      <c r="A126" s="172" t="s">
        <v>369</v>
      </c>
      <c r="B126" s="173">
        <f>countif(Data!B:B,A126)</f>
        <v>0</v>
      </c>
      <c r="C126" s="174">
        <f>sumif(Data!B:B,A126,Data!M:M)</f>
        <v>0</v>
      </c>
      <c r="D126" s="174" t="str">
        <f t="shared" si="1"/>
        <v>#DIV/0!</v>
      </c>
      <c r="E126" s="175" t="str">
        <f t="shared" si="2"/>
        <v>#N/A</v>
      </c>
      <c r="F126" s="175" t="str">
        <f>IFERROR(__xludf.DUMMYFUNCTION("average.weighted(filter(Data!K:K,Data!B:B=A126),filter(Data!F:F,Data!B:B=A126))"),"#N/A")</f>
        <v>#N/A</v>
      </c>
      <c r="G126" s="175" t="str">
        <f>IFERROR(__xludf.DUMMYFUNCTION("average.weighted(filter(Data!L:L,Data!B:B=A126),filter(Data!F:F,Data!B:B=A126))"),"#N/A")</f>
        <v>#N/A</v>
      </c>
    </row>
    <row r="127" hidden="1">
      <c r="A127" s="172" t="s">
        <v>370</v>
      </c>
      <c r="B127" s="173">
        <f>countif(Data!B:B,A127)</f>
        <v>0</v>
      </c>
      <c r="C127" s="174">
        <f>sumif(Data!B:B,A127,Data!M:M)</f>
        <v>0</v>
      </c>
      <c r="D127" s="174" t="str">
        <f t="shared" si="1"/>
        <v>#DIV/0!</v>
      </c>
      <c r="E127" s="175" t="str">
        <f t="shared" si="2"/>
        <v>#N/A</v>
      </c>
      <c r="F127" s="175" t="str">
        <f>IFERROR(__xludf.DUMMYFUNCTION("average.weighted(filter(Data!K:K,Data!B:B=A127),filter(Data!F:F,Data!B:B=A127))"),"#N/A")</f>
        <v>#N/A</v>
      </c>
      <c r="G127" s="175" t="str">
        <f>IFERROR(__xludf.DUMMYFUNCTION("average.weighted(filter(Data!L:L,Data!B:B=A127),filter(Data!F:F,Data!B:B=A127))"),"#N/A")</f>
        <v>#N/A</v>
      </c>
    </row>
    <row r="128" hidden="1">
      <c r="A128" s="172" t="s">
        <v>371</v>
      </c>
      <c r="B128" s="173">
        <f>countif(Data!B:B,A128)</f>
        <v>0</v>
      </c>
      <c r="C128" s="174">
        <f>sumif(Data!B:B,A128,Data!M:M)</f>
        <v>0</v>
      </c>
      <c r="D128" s="174" t="str">
        <f t="shared" si="1"/>
        <v>#DIV/0!</v>
      </c>
      <c r="E128" s="175" t="str">
        <f t="shared" si="2"/>
        <v>#N/A</v>
      </c>
      <c r="F128" s="175" t="str">
        <f>IFERROR(__xludf.DUMMYFUNCTION("average.weighted(filter(Data!K:K,Data!B:B=A128),filter(Data!F:F,Data!B:B=A128))"),"#N/A")</f>
        <v>#N/A</v>
      </c>
      <c r="G128" s="175" t="str">
        <f>IFERROR(__xludf.DUMMYFUNCTION("average.weighted(filter(Data!L:L,Data!B:B=A128),filter(Data!F:F,Data!B:B=A128))"),"#N/A")</f>
        <v>#N/A</v>
      </c>
    </row>
    <row r="129" hidden="1">
      <c r="A129" s="172" t="s">
        <v>372</v>
      </c>
      <c r="B129" s="173">
        <f>countif(Data!B:B,A129)</f>
        <v>0</v>
      </c>
      <c r="C129" s="174">
        <f>sumif(Data!B:B,A129,Data!M:M)</f>
        <v>0</v>
      </c>
      <c r="D129" s="174" t="str">
        <f t="shared" si="1"/>
        <v>#DIV/0!</v>
      </c>
      <c r="E129" s="175" t="str">
        <f t="shared" si="2"/>
        <v>#N/A</v>
      </c>
      <c r="F129" s="175" t="str">
        <f>IFERROR(__xludf.DUMMYFUNCTION("average.weighted(filter(Data!K:K,Data!B:B=A129),filter(Data!F:F,Data!B:B=A129))"),"#N/A")</f>
        <v>#N/A</v>
      </c>
      <c r="G129" s="175" t="str">
        <f>IFERROR(__xludf.DUMMYFUNCTION("average.weighted(filter(Data!L:L,Data!B:B=A129),filter(Data!F:F,Data!B:B=A129))"),"#N/A")</f>
        <v>#N/A</v>
      </c>
    </row>
    <row r="130" hidden="1">
      <c r="A130" s="172" t="s">
        <v>373</v>
      </c>
      <c r="B130" s="173">
        <f>countif(Data!B:B,A130)</f>
        <v>0</v>
      </c>
      <c r="C130" s="174">
        <f>sumif(Data!B:B,A130,Data!M:M)</f>
        <v>0</v>
      </c>
      <c r="D130" s="174" t="str">
        <f t="shared" si="1"/>
        <v>#DIV/0!</v>
      </c>
      <c r="E130" s="175" t="str">
        <f t="shared" si="2"/>
        <v>#N/A</v>
      </c>
      <c r="F130" s="175" t="str">
        <f>IFERROR(__xludf.DUMMYFUNCTION("average.weighted(filter(Data!K:K,Data!B:B=A130),filter(Data!F:F,Data!B:B=A130))"),"#N/A")</f>
        <v>#N/A</v>
      </c>
      <c r="G130" s="175" t="str">
        <f>IFERROR(__xludf.DUMMYFUNCTION("average.weighted(filter(Data!L:L,Data!B:B=A130),filter(Data!F:F,Data!B:B=A130))"),"#N/A")</f>
        <v>#N/A</v>
      </c>
    </row>
    <row r="131" hidden="1">
      <c r="A131" s="172" t="s">
        <v>374</v>
      </c>
      <c r="B131" s="173">
        <f>countif(Data!B:B,A131)</f>
        <v>0</v>
      </c>
      <c r="C131" s="174">
        <f>sumif(Data!B:B,A131,Data!M:M)</f>
        <v>0</v>
      </c>
      <c r="D131" s="174" t="str">
        <f t="shared" si="1"/>
        <v>#DIV/0!</v>
      </c>
      <c r="E131" s="175" t="str">
        <f t="shared" si="2"/>
        <v>#N/A</v>
      </c>
      <c r="F131" s="175" t="str">
        <f>IFERROR(__xludf.DUMMYFUNCTION("average.weighted(filter(Data!K:K,Data!B:B=A131),filter(Data!F:F,Data!B:B=A131))"),"#N/A")</f>
        <v>#N/A</v>
      </c>
      <c r="G131" s="175" t="str">
        <f>IFERROR(__xludf.DUMMYFUNCTION("average.weighted(filter(Data!L:L,Data!B:B=A131),filter(Data!F:F,Data!B:B=A131))"),"#N/A")</f>
        <v>#N/A</v>
      </c>
    </row>
    <row r="132" hidden="1">
      <c r="A132" s="172" t="s">
        <v>375</v>
      </c>
      <c r="B132" s="173">
        <f>countif(Data!B:B,A132)</f>
        <v>0</v>
      </c>
      <c r="C132" s="174">
        <f>sumif(Data!B:B,A132,Data!M:M)</f>
        <v>0</v>
      </c>
      <c r="D132" s="174" t="str">
        <f t="shared" si="1"/>
        <v>#DIV/0!</v>
      </c>
      <c r="E132" s="175" t="str">
        <f t="shared" si="2"/>
        <v>#N/A</v>
      </c>
      <c r="F132" s="175" t="str">
        <f>IFERROR(__xludf.DUMMYFUNCTION("average.weighted(filter(Data!K:K,Data!B:B=A132),filter(Data!F:F,Data!B:B=A132))"),"#N/A")</f>
        <v>#N/A</v>
      </c>
      <c r="G132" s="175" t="str">
        <f>IFERROR(__xludf.DUMMYFUNCTION("average.weighted(filter(Data!L:L,Data!B:B=A132),filter(Data!F:F,Data!B:B=A132))"),"#N/A")</f>
        <v>#N/A</v>
      </c>
    </row>
    <row r="133" hidden="1">
      <c r="A133" s="172" t="s">
        <v>376</v>
      </c>
      <c r="B133" s="173">
        <f>countif(Data!B:B,A133)</f>
        <v>0</v>
      </c>
      <c r="C133" s="174">
        <f>sumif(Data!B:B,A133,Data!M:M)</f>
        <v>0</v>
      </c>
      <c r="D133" s="174" t="str">
        <f t="shared" si="1"/>
        <v>#DIV/0!</v>
      </c>
      <c r="E133" s="175" t="str">
        <f t="shared" si="2"/>
        <v>#N/A</v>
      </c>
      <c r="F133" s="175" t="str">
        <f>IFERROR(__xludf.DUMMYFUNCTION("average.weighted(filter(Data!K:K,Data!B:B=A133),filter(Data!F:F,Data!B:B=A133))"),"#N/A")</f>
        <v>#N/A</v>
      </c>
      <c r="G133" s="175" t="str">
        <f>IFERROR(__xludf.DUMMYFUNCTION("average.weighted(filter(Data!L:L,Data!B:B=A133),filter(Data!F:F,Data!B:B=A133))"),"#N/A")</f>
        <v>#N/A</v>
      </c>
    </row>
    <row r="134" hidden="1">
      <c r="A134" s="172" t="s">
        <v>377</v>
      </c>
      <c r="B134" s="173">
        <f>countif(Data!B:B,A134)</f>
        <v>0</v>
      </c>
      <c r="C134" s="174">
        <f>sumif(Data!B:B,A134,Data!M:M)</f>
        <v>0</v>
      </c>
      <c r="D134" s="174" t="str">
        <f t="shared" si="1"/>
        <v>#DIV/0!</v>
      </c>
      <c r="E134" s="175" t="str">
        <f t="shared" si="2"/>
        <v>#N/A</v>
      </c>
      <c r="F134" s="175" t="str">
        <f>IFERROR(__xludf.DUMMYFUNCTION("average.weighted(filter(Data!K:K,Data!B:B=A134),filter(Data!F:F,Data!B:B=A134))"),"#N/A")</f>
        <v>#N/A</v>
      </c>
      <c r="G134" s="175" t="str">
        <f>IFERROR(__xludf.DUMMYFUNCTION("average.weighted(filter(Data!L:L,Data!B:B=A134),filter(Data!F:F,Data!B:B=A134))"),"#N/A")</f>
        <v>#N/A</v>
      </c>
    </row>
    <row r="135" hidden="1">
      <c r="A135" s="172" t="s">
        <v>378</v>
      </c>
      <c r="B135" s="173">
        <f>countif(Data!B:B,A135)</f>
        <v>0</v>
      </c>
      <c r="C135" s="174">
        <f>sumif(Data!B:B,A135,Data!M:M)</f>
        <v>0</v>
      </c>
      <c r="D135" s="174" t="str">
        <f t="shared" si="1"/>
        <v>#DIV/0!</v>
      </c>
      <c r="E135" s="175" t="str">
        <f t="shared" si="2"/>
        <v>#N/A</v>
      </c>
      <c r="F135" s="175" t="str">
        <f>IFERROR(__xludf.DUMMYFUNCTION("average.weighted(filter(Data!K:K,Data!B:B=A135),filter(Data!F:F,Data!B:B=A135))"),"#N/A")</f>
        <v>#N/A</v>
      </c>
      <c r="G135" s="175" t="str">
        <f>IFERROR(__xludf.DUMMYFUNCTION("average.weighted(filter(Data!L:L,Data!B:B=A135),filter(Data!F:F,Data!B:B=A135))"),"#N/A")</f>
        <v>#N/A</v>
      </c>
    </row>
    <row r="136" hidden="1">
      <c r="A136" s="172" t="s">
        <v>379</v>
      </c>
      <c r="B136" s="173">
        <f>countif(Data!B:B,A136)</f>
        <v>0</v>
      </c>
      <c r="C136" s="174">
        <f>sumif(Data!B:B,A136,Data!M:M)</f>
        <v>0</v>
      </c>
      <c r="D136" s="174" t="str">
        <f t="shared" si="1"/>
        <v>#DIV/0!</v>
      </c>
      <c r="E136" s="175" t="str">
        <f t="shared" si="2"/>
        <v>#N/A</v>
      </c>
      <c r="F136" s="175" t="str">
        <f>IFERROR(__xludf.DUMMYFUNCTION("average.weighted(filter(Data!K:K,Data!B:B=A136),filter(Data!F:F,Data!B:B=A136))"),"#N/A")</f>
        <v>#N/A</v>
      </c>
      <c r="G136" s="175" t="str">
        <f>IFERROR(__xludf.DUMMYFUNCTION("average.weighted(filter(Data!L:L,Data!B:B=A136),filter(Data!F:F,Data!B:B=A136))"),"#N/A")</f>
        <v>#N/A</v>
      </c>
    </row>
    <row r="137" hidden="1">
      <c r="A137" s="172" t="s">
        <v>380</v>
      </c>
      <c r="B137" s="173">
        <f>countif(Data!B:B,A137)</f>
        <v>0</v>
      </c>
      <c r="C137" s="174">
        <f>sumif(Data!B:B,A137,Data!M:M)</f>
        <v>0</v>
      </c>
      <c r="D137" s="174" t="str">
        <f t="shared" si="1"/>
        <v>#DIV/0!</v>
      </c>
      <c r="E137" s="175" t="str">
        <f t="shared" si="2"/>
        <v>#N/A</v>
      </c>
      <c r="F137" s="175" t="str">
        <f>IFERROR(__xludf.DUMMYFUNCTION("average.weighted(filter(Data!K:K,Data!B:B=A137),filter(Data!F:F,Data!B:B=A137))"),"#N/A")</f>
        <v>#N/A</v>
      </c>
      <c r="G137" s="175" t="str">
        <f>IFERROR(__xludf.DUMMYFUNCTION("average.weighted(filter(Data!L:L,Data!B:B=A137),filter(Data!F:F,Data!B:B=A137))"),"#N/A")</f>
        <v>#N/A</v>
      </c>
    </row>
    <row r="138" hidden="1">
      <c r="A138" s="172" t="s">
        <v>381</v>
      </c>
      <c r="B138" s="173">
        <f>countif(Data!B:B,A138)</f>
        <v>0</v>
      </c>
      <c r="C138" s="174">
        <f>sumif(Data!B:B,A138,Data!M:M)</f>
        <v>0</v>
      </c>
      <c r="D138" s="174" t="str">
        <f t="shared" si="1"/>
        <v>#DIV/0!</v>
      </c>
      <c r="E138" s="175" t="str">
        <f t="shared" si="2"/>
        <v>#N/A</v>
      </c>
      <c r="F138" s="175" t="str">
        <f>IFERROR(__xludf.DUMMYFUNCTION("average.weighted(filter(Data!K:K,Data!B:B=A138),filter(Data!F:F,Data!B:B=A138))"),"#N/A")</f>
        <v>#N/A</v>
      </c>
      <c r="G138" s="175" t="str">
        <f>IFERROR(__xludf.DUMMYFUNCTION("average.weighted(filter(Data!L:L,Data!B:B=A138),filter(Data!F:F,Data!B:B=A138))"),"#N/A")</f>
        <v>#N/A</v>
      </c>
    </row>
    <row r="139" hidden="1">
      <c r="A139" s="172" t="s">
        <v>382</v>
      </c>
      <c r="B139" s="173">
        <f>countif(Data!B:B,A139)</f>
        <v>0</v>
      </c>
      <c r="C139" s="174">
        <f>sumif(Data!B:B,A139,Data!M:M)</f>
        <v>0</v>
      </c>
      <c r="D139" s="174" t="str">
        <f t="shared" si="1"/>
        <v>#DIV/0!</v>
      </c>
      <c r="E139" s="175" t="str">
        <f t="shared" si="2"/>
        <v>#N/A</v>
      </c>
      <c r="F139" s="175" t="str">
        <f>IFERROR(__xludf.DUMMYFUNCTION("average.weighted(filter(Data!K:K,Data!B:B=A139),filter(Data!F:F,Data!B:B=A139))"),"#N/A")</f>
        <v>#N/A</v>
      </c>
      <c r="G139" s="175" t="str">
        <f>IFERROR(__xludf.DUMMYFUNCTION("average.weighted(filter(Data!L:L,Data!B:B=A139),filter(Data!F:F,Data!B:B=A139))"),"#N/A")</f>
        <v>#N/A</v>
      </c>
    </row>
    <row r="140" hidden="1">
      <c r="A140" s="172" t="s">
        <v>383</v>
      </c>
      <c r="B140" s="173">
        <f>countif(Data!B:B,A140)</f>
        <v>0</v>
      </c>
      <c r="C140" s="174">
        <f>sumif(Data!B:B,A140,Data!M:M)</f>
        <v>0</v>
      </c>
      <c r="D140" s="174" t="str">
        <f t="shared" si="1"/>
        <v>#DIV/0!</v>
      </c>
      <c r="E140" s="175" t="str">
        <f t="shared" si="2"/>
        <v>#N/A</v>
      </c>
      <c r="F140" s="175" t="str">
        <f>IFERROR(__xludf.DUMMYFUNCTION("average.weighted(filter(Data!K:K,Data!B:B=A140),filter(Data!F:F,Data!B:B=A140))"),"#N/A")</f>
        <v>#N/A</v>
      </c>
      <c r="G140" s="175" t="str">
        <f>IFERROR(__xludf.DUMMYFUNCTION("average.weighted(filter(Data!L:L,Data!B:B=A140),filter(Data!F:F,Data!B:B=A140))"),"#N/A")</f>
        <v>#N/A</v>
      </c>
    </row>
    <row r="141" hidden="1">
      <c r="A141" s="172" t="s">
        <v>384</v>
      </c>
      <c r="B141" s="173">
        <f>countif(Data!B:B,A141)</f>
        <v>0</v>
      </c>
      <c r="C141" s="174">
        <f>sumif(Data!B:B,A141,Data!M:M)</f>
        <v>0</v>
      </c>
      <c r="D141" s="174" t="str">
        <f t="shared" si="1"/>
        <v>#DIV/0!</v>
      </c>
      <c r="E141" s="175" t="str">
        <f t="shared" si="2"/>
        <v>#N/A</v>
      </c>
      <c r="F141" s="175" t="str">
        <f>IFERROR(__xludf.DUMMYFUNCTION("average.weighted(filter(Data!K:K,Data!B:B=A141),filter(Data!F:F,Data!B:B=A141))"),"#N/A")</f>
        <v>#N/A</v>
      </c>
      <c r="G141" s="175" t="str">
        <f>IFERROR(__xludf.DUMMYFUNCTION("average.weighted(filter(Data!L:L,Data!B:B=A141),filter(Data!F:F,Data!B:B=A141))"),"#N/A")</f>
        <v>#N/A</v>
      </c>
    </row>
    <row r="142" hidden="1">
      <c r="A142" s="172" t="s">
        <v>385</v>
      </c>
      <c r="B142" s="173">
        <f>countif(Data!B:B,A142)</f>
        <v>0</v>
      </c>
      <c r="C142" s="174">
        <f>sumif(Data!B:B,A142,Data!M:M)</f>
        <v>0</v>
      </c>
      <c r="D142" s="174" t="str">
        <f t="shared" si="1"/>
        <v>#DIV/0!</v>
      </c>
      <c r="E142" s="175" t="str">
        <f t="shared" si="2"/>
        <v>#N/A</v>
      </c>
      <c r="F142" s="175" t="str">
        <f>IFERROR(__xludf.DUMMYFUNCTION("average.weighted(filter(Data!K:K,Data!B:B=A142),filter(Data!F:F,Data!B:B=A142))"),"#N/A")</f>
        <v>#N/A</v>
      </c>
      <c r="G142" s="175" t="str">
        <f>IFERROR(__xludf.DUMMYFUNCTION("average.weighted(filter(Data!L:L,Data!B:B=A142),filter(Data!F:F,Data!B:B=A142))"),"#N/A")</f>
        <v>#N/A</v>
      </c>
    </row>
    <row r="143" hidden="1">
      <c r="A143" s="172" t="s">
        <v>386</v>
      </c>
      <c r="B143" s="173">
        <f>countif(Data!B:B,A143)</f>
        <v>0</v>
      </c>
      <c r="C143" s="174">
        <f>sumif(Data!B:B,A143,Data!M:M)</f>
        <v>0</v>
      </c>
      <c r="D143" s="174" t="str">
        <f t="shared" si="1"/>
        <v>#DIV/0!</v>
      </c>
      <c r="E143" s="175" t="str">
        <f t="shared" si="2"/>
        <v>#N/A</v>
      </c>
      <c r="F143" s="175" t="str">
        <f>IFERROR(__xludf.DUMMYFUNCTION("average.weighted(filter(Data!K:K,Data!B:B=A143),filter(Data!F:F,Data!B:B=A143))"),"#N/A")</f>
        <v>#N/A</v>
      </c>
      <c r="G143" s="175" t="str">
        <f>IFERROR(__xludf.DUMMYFUNCTION("average.weighted(filter(Data!L:L,Data!B:B=A143),filter(Data!F:F,Data!B:B=A143))"),"#N/A")</f>
        <v>#N/A</v>
      </c>
    </row>
    <row r="144" hidden="1">
      <c r="A144" s="172" t="s">
        <v>387</v>
      </c>
      <c r="B144" s="173">
        <f>countif(Data!B:B,A144)</f>
        <v>0</v>
      </c>
      <c r="C144" s="174">
        <f>sumif(Data!B:B,A144,Data!M:M)</f>
        <v>0</v>
      </c>
      <c r="D144" s="174" t="str">
        <f t="shared" si="1"/>
        <v>#DIV/0!</v>
      </c>
      <c r="E144" s="175" t="str">
        <f t="shared" si="2"/>
        <v>#N/A</v>
      </c>
      <c r="F144" s="175" t="str">
        <f>IFERROR(__xludf.DUMMYFUNCTION("average.weighted(filter(Data!K:K,Data!B:B=A144),filter(Data!F:F,Data!B:B=A144))"),"#N/A")</f>
        <v>#N/A</v>
      </c>
      <c r="G144" s="175" t="str">
        <f>IFERROR(__xludf.DUMMYFUNCTION("average.weighted(filter(Data!L:L,Data!B:B=A144),filter(Data!F:F,Data!B:B=A144))"),"#N/A")</f>
        <v>#N/A</v>
      </c>
    </row>
    <row r="145" hidden="1">
      <c r="A145" s="172" t="s">
        <v>388</v>
      </c>
      <c r="B145" s="173">
        <f>countif(Data!B:B,A145)</f>
        <v>0</v>
      </c>
      <c r="C145" s="174">
        <f>sumif(Data!B:B,A145,Data!M:M)</f>
        <v>0</v>
      </c>
      <c r="D145" s="174" t="str">
        <f t="shared" si="1"/>
        <v>#DIV/0!</v>
      </c>
      <c r="E145" s="175" t="str">
        <f t="shared" si="2"/>
        <v>#N/A</v>
      </c>
      <c r="F145" s="175" t="str">
        <f>IFERROR(__xludf.DUMMYFUNCTION("average.weighted(filter(Data!K:K,Data!B:B=A145),filter(Data!F:F,Data!B:B=A145))"),"#N/A")</f>
        <v>#N/A</v>
      </c>
      <c r="G145" s="175" t="str">
        <f>IFERROR(__xludf.DUMMYFUNCTION("average.weighted(filter(Data!L:L,Data!B:B=A145),filter(Data!F:F,Data!B:B=A145))"),"#N/A")</f>
        <v>#N/A</v>
      </c>
    </row>
    <row r="146" hidden="1">
      <c r="A146" s="172" t="s">
        <v>389</v>
      </c>
      <c r="B146" s="173">
        <f>countif(Data!B:B,A146)</f>
        <v>0</v>
      </c>
      <c r="C146" s="174">
        <f>sumif(Data!B:B,A146,Data!M:M)</f>
        <v>0</v>
      </c>
      <c r="D146" s="174" t="str">
        <f t="shared" si="1"/>
        <v>#DIV/0!</v>
      </c>
      <c r="E146" s="175" t="str">
        <f t="shared" si="2"/>
        <v>#N/A</v>
      </c>
      <c r="F146" s="175" t="str">
        <f>IFERROR(__xludf.DUMMYFUNCTION("average.weighted(filter(Data!K:K,Data!B:B=A146),filter(Data!F:F,Data!B:B=A146))"),"#N/A")</f>
        <v>#N/A</v>
      </c>
      <c r="G146" s="175" t="str">
        <f>IFERROR(__xludf.DUMMYFUNCTION("average.weighted(filter(Data!L:L,Data!B:B=A146),filter(Data!F:F,Data!B:B=A146))"),"#N/A")</f>
        <v>#N/A</v>
      </c>
    </row>
    <row r="147" hidden="1">
      <c r="A147" s="172" t="s">
        <v>390</v>
      </c>
      <c r="B147" s="173">
        <f>countif(Data!B:B,A147)</f>
        <v>0</v>
      </c>
      <c r="C147" s="174">
        <f>sumif(Data!B:B,A147,Data!M:M)</f>
        <v>0</v>
      </c>
      <c r="D147" s="174" t="str">
        <f t="shared" si="1"/>
        <v>#DIV/0!</v>
      </c>
      <c r="E147" s="175" t="str">
        <f t="shared" si="2"/>
        <v>#N/A</v>
      </c>
      <c r="F147" s="175" t="str">
        <f>IFERROR(__xludf.DUMMYFUNCTION("average.weighted(filter(Data!K:K,Data!B:B=A147),filter(Data!F:F,Data!B:B=A147))"),"#N/A")</f>
        <v>#N/A</v>
      </c>
      <c r="G147" s="175" t="str">
        <f>IFERROR(__xludf.DUMMYFUNCTION("average.weighted(filter(Data!L:L,Data!B:B=A147),filter(Data!F:F,Data!B:B=A147))"),"#N/A")</f>
        <v>#N/A</v>
      </c>
    </row>
    <row r="148" hidden="1">
      <c r="A148" s="172" t="s">
        <v>391</v>
      </c>
      <c r="B148" s="173">
        <f>countif(Data!B:B,A148)</f>
        <v>0</v>
      </c>
      <c r="C148" s="174">
        <f>sumif(Data!B:B,A148,Data!M:M)</f>
        <v>0</v>
      </c>
      <c r="D148" s="174" t="str">
        <f t="shared" si="1"/>
        <v>#DIV/0!</v>
      </c>
      <c r="E148" s="175" t="str">
        <f t="shared" si="2"/>
        <v>#N/A</v>
      </c>
      <c r="F148" s="175" t="str">
        <f>IFERROR(__xludf.DUMMYFUNCTION("average.weighted(filter(Data!K:K,Data!B:B=A148),filter(Data!F:F,Data!B:B=A148))"),"#N/A")</f>
        <v>#N/A</v>
      </c>
      <c r="G148" s="175" t="str">
        <f>IFERROR(__xludf.DUMMYFUNCTION("average.weighted(filter(Data!L:L,Data!B:B=A148),filter(Data!F:F,Data!B:B=A148))"),"#N/A")</f>
        <v>#N/A</v>
      </c>
    </row>
    <row r="149" hidden="1">
      <c r="A149" s="172" t="s">
        <v>392</v>
      </c>
      <c r="B149" s="173">
        <f>countif(Data!B:B,A149)</f>
        <v>0</v>
      </c>
      <c r="C149" s="174">
        <f>sumif(Data!B:B,A149,Data!M:M)</f>
        <v>0</v>
      </c>
      <c r="D149" s="174" t="str">
        <f t="shared" si="1"/>
        <v>#DIV/0!</v>
      </c>
      <c r="E149" s="175" t="str">
        <f t="shared" si="2"/>
        <v>#N/A</v>
      </c>
      <c r="F149" s="175" t="str">
        <f>IFERROR(__xludf.DUMMYFUNCTION("average.weighted(filter(Data!K:K,Data!B:B=A149),filter(Data!F:F,Data!B:B=A149))"),"#N/A")</f>
        <v>#N/A</v>
      </c>
      <c r="G149" s="175" t="str">
        <f>IFERROR(__xludf.DUMMYFUNCTION("average.weighted(filter(Data!L:L,Data!B:B=A149),filter(Data!F:F,Data!B:B=A149))"),"#N/A")</f>
        <v>#N/A</v>
      </c>
    </row>
    <row r="150" hidden="1">
      <c r="A150" s="172" t="s">
        <v>393</v>
      </c>
      <c r="B150" s="173">
        <f>countif(Data!B:B,A150)</f>
        <v>0</v>
      </c>
      <c r="C150" s="174">
        <f>sumif(Data!B:B,A150,Data!M:M)</f>
        <v>0</v>
      </c>
      <c r="D150" s="174" t="str">
        <f t="shared" si="1"/>
        <v>#DIV/0!</v>
      </c>
      <c r="E150" s="175" t="str">
        <f t="shared" si="2"/>
        <v>#N/A</v>
      </c>
      <c r="F150" s="175" t="str">
        <f>IFERROR(__xludf.DUMMYFUNCTION("average.weighted(filter(Data!K:K,Data!B:B=A150),filter(Data!F:F,Data!B:B=A150))"),"#N/A")</f>
        <v>#N/A</v>
      </c>
      <c r="G150" s="175" t="str">
        <f>IFERROR(__xludf.DUMMYFUNCTION("average.weighted(filter(Data!L:L,Data!B:B=A150),filter(Data!F:F,Data!B:B=A150))"),"#N/A")</f>
        <v>#N/A</v>
      </c>
    </row>
    <row r="151" hidden="1">
      <c r="A151" s="172" t="s">
        <v>394</v>
      </c>
      <c r="B151" s="173">
        <f>countif(Data!B:B,A151)</f>
        <v>0</v>
      </c>
      <c r="C151" s="174">
        <f>sumif(Data!B:B,A151,Data!M:M)</f>
        <v>0</v>
      </c>
      <c r="D151" s="174" t="str">
        <f t="shared" si="1"/>
        <v>#DIV/0!</v>
      </c>
      <c r="E151" s="175" t="str">
        <f t="shared" si="2"/>
        <v>#N/A</v>
      </c>
      <c r="F151" s="175" t="str">
        <f>IFERROR(__xludf.DUMMYFUNCTION("average.weighted(filter(Data!K:K,Data!B:B=A151),filter(Data!F:F,Data!B:B=A151))"),"#N/A")</f>
        <v>#N/A</v>
      </c>
      <c r="G151" s="175" t="str">
        <f>IFERROR(__xludf.DUMMYFUNCTION("average.weighted(filter(Data!L:L,Data!B:B=A151),filter(Data!F:F,Data!B:B=A151))"),"#N/A")</f>
        <v>#N/A</v>
      </c>
    </row>
    <row r="152" hidden="1">
      <c r="A152" s="172" t="s">
        <v>395</v>
      </c>
      <c r="B152" s="173">
        <f>countif(Data!B:B,A152)</f>
        <v>0</v>
      </c>
      <c r="C152" s="174">
        <f>sumif(Data!B:B,A152,Data!M:M)</f>
        <v>0</v>
      </c>
      <c r="D152" s="174" t="str">
        <f t="shared" si="1"/>
        <v>#DIV/0!</v>
      </c>
      <c r="E152" s="175" t="str">
        <f t="shared" si="2"/>
        <v>#N/A</v>
      </c>
      <c r="F152" s="175" t="str">
        <f>IFERROR(__xludf.DUMMYFUNCTION("average.weighted(filter(Data!K:K,Data!B:B=A152),filter(Data!F:F,Data!B:B=A152))"),"#N/A")</f>
        <v>#N/A</v>
      </c>
      <c r="G152" s="175" t="str">
        <f>IFERROR(__xludf.DUMMYFUNCTION("average.weighted(filter(Data!L:L,Data!B:B=A152),filter(Data!F:F,Data!B:B=A152))"),"#N/A")</f>
        <v>#N/A</v>
      </c>
    </row>
    <row r="153" hidden="1">
      <c r="A153" s="172" t="s">
        <v>396</v>
      </c>
      <c r="B153" s="173">
        <f>countif(Data!B:B,A153)</f>
        <v>0</v>
      </c>
      <c r="C153" s="174">
        <f>sumif(Data!B:B,A153,Data!M:M)</f>
        <v>0</v>
      </c>
      <c r="D153" s="174" t="str">
        <f t="shared" si="1"/>
        <v>#DIV/0!</v>
      </c>
      <c r="E153" s="175" t="str">
        <f t="shared" si="2"/>
        <v>#N/A</v>
      </c>
      <c r="F153" s="175" t="str">
        <f>IFERROR(__xludf.DUMMYFUNCTION("average.weighted(filter(Data!K:K,Data!B:B=A153),filter(Data!F:F,Data!B:B=A153))"),"#N/A")</f>
        <v>#N/A</v>
      </c>
      <c r="G153" s="175" t="str">
        <f>IFERROR(__xludf.DUMMYFUNCTION("average.weighted(filter(Data!L:L,Data!B:B=A153),filter(Data!F:F,Data!B:B=A153))"),"#N/A")</f>
        <v>#N/A</v>
      </c>
    </row>
    <row r="154" hidden="1">
      <c r="A154" s="172" t="s">
        <v>397</v>
      </c>
      <c r="B154" s="173">
        <f>countif(Data!B:B,A154)</f>
        <v>0</v>
      </c>
      <c r="C154" s="174">
        <f>sumif(Data!B:B,A154,Data!M:M)</f>
        <v>0</v>
      </c>
      <c r="D154" s="174" t="str">
        <f t="shared" si="1"/>
        <v>#DIV/0!</v>
      </c>
      <c r="E154" s="175" t="str">
        <f t="shared" si="2"/>
        <v>#N/A</v>
      </c>
      <c r="F154" s="175" t="str">
        <f>IFERROR(__xludf.DUMMYFUNCTION("average.weighted(filter(Data!K:K,Data!B:B=A154),filter(Data!F:F,Data!B:B=A154))"),"#N/A")</f>
        <v>#N/A</v>
      </c>
      <c r="G154" s="175" t="str">
        <f>IFERROR(__xludf.DUMMYFUNCTION("average.weighted(filter(Data!L:L,Data!B:B=A154),filter(Data!F:F,Data!B:B=A154))"),"#N/A")</f>
        <v>#N/A</v>
      </c>
    </row>
    <row r="155" hidden="1">
      <c r="A155" s="172" t="s">
        <v>398</v>
      </c>
      <c r="B155" s="173">
        <f>countif(Data!B:B,A155)</f>
        <v>0</v>
      </c>
      <c r="C155" s="174">
        <f>sumif(Data!B:B,A155,Data!M:M)</f>
        <v>0</v>
      </c>
      <c r="D155" s="174" t="str">
        <f t="shared" si="1"/>
        <v>#DIV/0!</v>
      </c>
      <c r="E155" s="175" t="str">
        <f t="shared" si="2"/>
        <v>#N/A</v>
      </c>
      <c r="F155" s="175" t="str">
        <f>IFERROR(__xludf.DUMMYFUNCTION("average.weighted(filter(Data!K:K,Data!B:B=A155),filter(Data!F:F,Data!B:B=A155))"),"#N/A")</f>
        <v>#N/A</v>
      </c>
      <c r="G155" s="175" t="str">
        <f>IFERROR(__xludf.DUMMYFUNCTION("average.weighted(filter(Data!L:L,Data!B:B=A155),filter(Data!F:F,Data!B:B=A155))"),"#N/A")</f>
        <v>#N/A</v>
      </c>
    </row>
    <row r="156" hidden="1">
      <c r="A156" s="172" t="s">
        <v>399</v>
      </c>
      <c r="B156" s="173">
        <f>countif(Data!B:B,A156)</f>
        <v>0</v>
      </c>
      <c r="C156" s="174">
        <f>sumif(Data!B:B,A156,Data!M:M)</f>
        <v>0</v>
      </c>
      <c r="D156" s="174" t="str">
        <f t="shared" si="1"/>
        <v>#DIV/0!</v>
      </c>
      <c r="E156" s="175" t="str">
        <f t="shared" si="2"/>
        <v>#N/A</v>
      </c>
      <c r="F156" s="175" t="str">
        <f>IFERROR(__xludf.DUMMYFUNCTION("average.weighted(filter(Data!K:K,Data!B:B=A156),filter(Data!F:F,Data!B:B=A156))"),"#N/A")</f>
        <v>#N/A</v>
      </c>
      <c r="G156" s="175" t="str">
        <f>IFERROR(__xludf.DUMMYFUNCTION("average.weighted(filter(Data!L:L,Data!B:B=A156),filter(Data!F:F,Data!B:B=A156))"),"#N/A")</f>
        <v>#N/A</v>
      </c>
    </row>
    <row r="157" hidden="1">
      <c r="A157" s="172" t="s">
        <v>400</v>
      </c>
      <c r="B157" s="173">
        <f>countif(Data!B:B,A157)</f>
        <v>0</v>
      </c>
      <c r="C157" s="174">
        <f>sumif(Data!B:B,A157,Data!M:M)</f>
        <v>0</v>
      </c>
      <c r="D157" s="174" t="str">
        <f t="shared" si="1"/>
        <v>#DIV/0!</v>
      </c>
      <c r="E157" s="175" t="str">
        <f t="shared" si="2"/>
        <v>#N/A</v>
      </c>
      <c r="F157" s="175" t="str">
        <f>IFERROR(__xludf.DUMMYFUNCTION("average.weighted(filter(Data!K:K,Data!B:B=A157),filter(Data!F:F,Data!B:B=A157))"),"#N/A")</f>
        <v>#N/A</v>
      </c>
      <c r="G157" s="175" t="str">
        <f>IFERROR(__xludf.DUMMYFUNCTION("average.weighted(filter(Data!L:L,Data!B:B=A157),filter(Data!F:F,Data!B:B=A157))"),"#N/A")</f>
        <v>#N/A</v>
      </c>
    </row>
    <row r="158" hidden="1">
      <c r="A158" s="172" t="s">
        <v>401</v>
      </c>
      <c r="B158" s="173">
        <f>countif(Data!B:B,A158)</f>
        <v>0</v>
      </c>
      <c r="C158" s="174">
        <f>sumif(Data!B:B,A158,Data!M:M)</f>
        <v>0</v>
      </c>
      <c r="D158" s="174" t="str">
        <f t="shared" si="1"/>
        <v>#DIV/0!</v>
      </c>
      <c r="E158" s="175" t="str">
        <f t="shared" si="2"/>
        <v>#N/A</v>
      </c>
      <c r="F158" s="175" t="str">
        <f>IFERROR(__xludf.DUMMYFUNCTION("average.weighted(filter(Data!K:K,Data!B:B=A158),filter(Data!F:F,Data!B:B=A158))"),"#N/A")</f>
        <v>#N/A</v>
      </c>
      <c r="G158" s="175" t="str">
        <f>IFERROR(__xludf.DUMMYFUNCTION("average.weighted(filter(Data!L:L,Data!B:B=A158),filter(Data!F:F,Data!B:B=A158))"),"#N/A")</f>
        <v>#N/A</v>
      </c>
    </row>
    <row r="159" hidden="1">
      <c r="A159" s="172" t="s">
        <v>402</v>
      </c>
      <c r="B159" s="173">
        <f>countif(Data!B:B,A159)</f>
        <v>0</v>
      </c>
      <c r="C159" s="174">
        <f>sumif(Data!B:B,A159,Data!M:M)</f>
        <v>0</v>
      </c>
      <c r="D159" s="174" t="str">
        <f t="shared" si="1"/>
        <v>#DIV/0!</v>
      </c>
      <c r="E159" s="175" t="str">
        <f t="shared" si="2"/>
        <v>#N/A</v>
      </c>
      <c r="F159" s="175" t="str">
        <f>IFERROR(__xludf.DUMMYFUNCTION("average.weighted(filter(Data!K:K,Data!B:B=A159),filter(Data!F:F,Data!B:B=A159))"),"#N/A")</f>
        <v>#N/A</v>
      </c>
      <c r="G159" s="175" t="str">
        <f>IFERROR(__xludf.DUMMYFUNCTION("average.weighted(filter(Data!L:L,Data!B:B=A159),filter(Data!F:F,Data!B:B=A159))"),"#N/A")</f>
        <v>#N/A</v>
      </c>
    </row>
    <row r="160" hidden="1">
      <c r="A160" s="172" t="s">
        <v>403</v>
      </c>
      <c r="B160" s="173">
        <f>countif(Data!B:B,A160)</f>
        <v>0</v>
      </c>
      <c r="C160" s="174">
        <f>sumif(Data!B:B,A160,Data!M:M)</f>
        <v>0</v>
      </c>
      <c r="D160" s="174" t="str">
        <f t="shared" si="1"/>
        <v>#DIV/0!</v>
      </c>
      <c r="E160" s="175" t="str">
        <f t="shared" si="2"/>
        <v>#N/A</v>
      </c>
      <c r="F160" s="175" t="str">
        <f>IFERROR(__xludf.DUMMYFUNCTION("average.weighted(filter(Data!K:K,Data!B:B=A160),filter(Data!F:F,Data!B:B=A160))"),"#N/A")</f>
        <v>#N/A</v>
      </c>
      <c r="G160" s="175" t="str">
        <f>IFERROR(__xludf.DUMMYFUNCTION("average.weighted(filter(Data!L:L,Data!B:B=A160),filter(Data!F:F,Data!B:B=A160))"),"#N/A")</f>
        <v>#N/A</v>
      </c>
    </row>
    <row r="161" hidden="1">
      <c r="A161" s="172" t="s">
        <v>404</v>
      </c>
      <c r="B161" s="173">
        <f>countif(Data!B:B,A161)</f>
        <v>0</v>
      </c>
      <c r="C161" s="174">
        <f>sumif(Data!B:B,A161,Data!M:M)</f>
        <v>0</v>
      </c>
      <c r="D161" s="174" t="str">
        <f t="shared" si="1"/>
        <v>#DIV/0!</v>
      </c>
      <c r="E161" s="175" t="str">
        <f t="shared" si="2"/>
        <v>#N/A</v>
      </c>
      <c r="F161" s="175" t="str">
        <f>IFERROR(__xludf.DUMMYFUNCTION("average.weighted(filter(Data!K:K,Data!B:B=A161),filter(Data!F:F,Data!B:B=A161))"),"#N/A")</f>
        <v>#N/A</v>
      </c>
      <c r="G161" s="175" t="str">
        <f>IFERROR(__xludf.DUMMYFUNCTION("average.weighted(filter(Data!L:L,Data!B:B=A161),filter(Data!F:F,Data!B:B=A161))"),"#N/A")</f>
        <v>#N/A</v>
      </c>
    </row>
    <row r="162" hidden="1">
      <c r="A162" s="172" t="s">
        <v>405</v>
      </c>
      <c r="B162" s="173">
        <f>countif(Data!B:B,A162)</f>
        <v>0</v>
      </c>
      <c r="C162" s="174">
        <f>sumif(Data!B:B,A162,Data!M:M)</f>
        <v>0</v>
      </c>
      <c r="D162" s="174" t="str">
        <f t="shared" si="1"/>
        <v>#DIV/0!</v>
      </c>
      <c r="E162" s="175" t="str">
        <f t="shared" si="2"/>
        <v>#N/A</v>
      </c>
      <c r="F162" s="175" t="str">
        <f>IFERROR(__xludf.DUMMYFUNCTION("average.weighted(filter(Data!K:K,Data!B:B=A162),filter(Data!F:F,Data!B:B=A162))"),"#N/A")</f>
        <v>#N/A</v>
      </c>
      <c r="G162" s="175" t="str">
        <f>IFERROR(__xludf.DUMMYFUNCTION("average.weighted(filter(Data!L:L,Data!B:B=A162),filter(Data!F:F,Data!B:B=A162))"),"#N/A")</f>
        <v>#N/A</v>
      </c>
    </row>
    <row r="163" hidden="1">
      <c r="A163" s="172" t="s">
        <v>406</v>
      </c>
      <c r="B163" s="173">
        <f>countif(Data!B:B,A163)</f>
        <v>0</v>
      </c>
      <c r="C163" s="174">
        <f>sumif(Data!B:B,A163,Data!M:M)</f>
        <v>0</v>
      </c>
      <c r="D163" s="174" t="str">
        <f t="shared" si="1"/>
        <v>#DIV/0!</v>
      </c>
      <c r="E163" s="175" t="str">
        <f t="shared" si="2"/>
        <v>#N/A</v>
      </c>
      <c r="F163" s="175" t="str">
        <f>IFERROR(__xludf.DUMMYFUNCTION("average.weighted(filter(Data!K:K,Data!B:B=A163),filter(Data!F:F,Data!B:B=A163))"),"#N/A")</f>
        <v>#N/A</v>
      </c>
      <c r="G163" s="175" t="str">
        <f>IFERROR(__xludf.DUMMYFUNCTION("average.weighted(filter(Data!L:L,Data!B:B=A163),filter(Data!F:F,Data!B:B=A163))"),"#N/A")</f>
        <v>#N/A</v>
      </c>
    </row>
    <row r="164" hidden="1">
      <c r="A164" s="172" t="s">
        <v>407</v>
      </c>
      <c r="B164" s="173">
        <f>countif(Data!B:B,A164)</f>
        <v>0</v>
      </c>
      <c r="C164" s="174">
        <f>sumif(Data!B:B,A164,Data!M:M)</f>
        <v>0</v>
      </c>
      <c r="D164" s="174" t="str">
        <f t="shared" si="1"/>
        <v>#DIV/0!</v>
      </c>
      <c r="E164" s="175" t="str">
        <f t="shared" si="2"/>
        <v>#N/A</v>
      </c>
      <c r="F164" s="175" t="str">
        <f>IFERROR(__xludf.DUMMYFUNCTION("average.weighted(filter(Data!K:K,Data!B:B=A164),filter(Data!F:F,Data!B:B=A164))"),"#N/A")</f>
        <v>#N/A</v>
      </c>
      <c r="G164" s="175" t="str">
        <f>IFERROR(__xludf.DUMMYFUNCTION("average.weighted(filter(Data!L:L,Data!B:B=A164),filter(Data!F:F,Data!B:B=A164))"),"#N/A")</f>
        <v>#N/A</v>
      </c>
    </row>
    <row r="165" hidden="1">
      <c r="A165" s="172" t="s">
        <v>408</v>
      </c>
      <c r="B165" s="173">
        <f>countif(Data!B:B,A165)</f>
        <v>0</v>
      </c>
      <c r="C165" s="174">
        <f>sumif(Data!B:B,A165,Data!M:M)</f>
        <v>0</v>
      </c>
      <c r="D165" s="174" t="str">
        <f t="shared" si="1"/>
        <v>#DIV/0!</v>
      </c>
      <c r="E165" s="175" t="str">
        <f t="shared" si="2"/>
        <v>#N/A</v>
      </c>
      <c r="F165" s="175" t="str">
        <f>IFERROR(__xludf.DUMMYFUNCTION("average.weighted(filter(Data!K:K,Data!B:B=A165),filter(Data!F:F,Data!B:B=A165))"),"#N/A")</f>
        <v>#N/A</v>
      </c>
      <c r="G165" s="175" t="str">
        <f>IFERROR(__xludf.DUMMYFUNCTION("average.weighted(filter(Data!L:L,Data!B:B=A165),filter(Data!F:F,Data!B:B=A165))"),"#N/A")</f>
        <v>#N/A</v>
      </c>
    </row>
    <row r="166" hidden="1">
      <c r="A166" s="172" t="s">
        <v>409</v>
      </c>
      <c r="B166" s="173">
        <f>countif(Data!B:B,A166)</f>
        <v>0</v>
      </c>
      <c r="C166" s="174">
        <f>sumif(Data!B:B,A166,Data!M:M)</f>
        <v>0</v>
      </c>
      <c r="D166" s="174" t="str">
        <f t="shared" si="1"/>
        <v>#DIV/0!</v>
      </c>
      <c r="E166" s="175" t="str">
        <f t="shared" si="2"/>
        <v>#N/A</v>
      </c>
      <c r="F166" s="175" t="str">
        <f>IFERROR(__xludf.DUMMYFUNCTION("average.weighted(filter(Data!K:K,Data!B:B=A166),filter(Data!F:F,Data!B:B=A166))"),"#N/A")</f>
        <v>#N/A</v>
      </c>
      <c r="G166" s="175" t="str">
        <f>IFERROR(__xludf.DUMMYFUNCTION("average.weighted(filter(Data!L:L,Data!B:B=A166),filter(Data!F:F,Data!B:B=A166))"),"#N/A")</f>
        <v>#N/A</v>
      </c>
    </row>
    <row r="167" hidden="1">
      <c r="A167" s="172" t="s">
        <v>410</v>
      </c>
      <c r="B167" s="173">
        <f>countif(Data!B:B,A167)</f>
        <v>0</v>
      </c>
      <c r="C167" s="174">
        <f>sumif(Data!B:B,A167,Data!M:M)</f>
        <v>0</v>
      </c>
      <c r="D167" s="174" t="str">
        <f t="shared" si="1"/>
        <v>#DIV/0!</v>
      </c>
      <c r="E167" s="175" t="str">
        <f t="shared" si="2"/>
        <v>#N/A</v>
      </c>
      <c r="F167" s="175" t="str">
        <f>IFERROR(__xludf.DUMMYFUNCTION("average.weighted(filter(Data!K:K,Data!B:B=A167),filter(Data!F:F,Data!B:B=A167))"),"#N/A")</f>
        <v>#N/A</v>
      </c>
      <c r="G167" s="175" t="str">
        <f>IFERROR(__xludf.DUMMYFUNCTION("average.weighted(filter(Data!L:L,Data!B:B=A167),filter(Data!F:F,Data!B:B=A167))"),"#N/A")</f>
        <v>#N/A</v>
      </c>
    </row>
    <row r="168" hidden="1">
      <c r="A168" s="172" t="s">
        <v>411</v>
      </c>
      <c r="B168" s="173">
        <f>countif(Data!B:B,A168)</f>
        <v>0</v>
      </c>
      <c r="C168" s="174">
        <f>sumif(Data!B:B,A168,Data!M:M)</f>
        <v>0</v>
      </c>
      <c r="D168" s="174" t="str">
        <f t="shared" si="1"/>
        <v>#DIV/0!</v>
      </c>
      <c r="E168" s="175" t="str">
        <f t="shared" si="2"/>
        <v>#N/A</v>
      </c>
      <c r="F168" s="175" t="str">
        <f>IFERROR(__xludf.DUMMYFUNCTION("average.weighted(filter(Data!K:K,Data!B:B=A168),filter(Data!F:F,Data!B:B=A168))"),"#N/A")</f>
        <v>#N/A</v>
      </c>
      <c r="G168" s="175" t="str">
        <f>IFERROR(__xludf.DUMMYFUNCTION("average.weighted(filter(Data!L:L,Data!B:B=A168),filter(Data!F:F,Data!B:B=A168))"),"#N/A")</f>
        <v>#N/A</v>
      </c>
    </row>
    <row r="169" hidden="1">
      <c r="A169" s="172" t="s">
        <v>412</v>
      </c>
      <c r="B169" s="173">
        <f>countif(Data!B:B,A169)</f>
        <v>0</v>
      </c>
      <c r="C169" s="174">
        <f>sumif(Data!B:B,A169,Data!M:M)</f>
        <v>0</v>
      </c>
      <c r="D169" s="174" t="str">
        <f t="shared" si="1"/>
        <v>#DIV/0!</v>
      </c>
      <c r="E169" s="175" t="str">
        <f t="shared" si="2"/>
        <v>#N/A</v>
      </c>
      <c r="F169" s="175" t="str">
        <f>IFERROR(__xludf.DUMMYFUNCTION("average.weighted(filter(Data!K:K,Data!B:B=A169),filter(Data!F:F,Data!B:B=A169))"),"#N/A")</f>
        <v>#N/A</v>
      </c>
      <c r="G169" s="175" t="str">
        <f>IFERROR(__xludf.DUMMYFUNCTION("average.weighted(filter(Data!L:L,Data!B:B=A169),filter(Data!F:F,Data!B:B=A169))"),"#N/A")</f>
        <v>#N/A</v>
      </c>
    </row>
    <row r="170" hidden="1">
      <c r="A170" s="172" t="s">
        <v>413</v>
      </c>
      <c r="B170" s="173">
        <f>countif(Data!B:B,A170)</f>
        <v>0</v>
      </c>
      <c r="C170" s="174">
        <f>sumif(Data!B:B,A170,Data!M:M)</f>
        <v>0</v>
      </c>
      <c r="D170" s="174" t="str">
        <f t="shared" si="1"/>
        <v>#DIV/0!</v>
      </c>
      <c r="E170" s="175" t="str">
        <f t="shared" si="2"/>
        <v>#N/A</v>
      </c>
      <c r="F170" s="175" t="str">
        <f>IFERROR(__xludf.DUMMYFUNCTION("average.weighted(filter(Data!K:K,Data!B:B=A170),filter(Data!F:F,Data!B:B=A170))"),"#N/A")</f>
        <v>#N/A</v>
      </c>
      <c r="G170" s="175" t="str">
        <f>IFERROR(__xludf.DUMMYFUNCTION("average.weighted(filter(Data!L:L,Data!B:B=A170),filter(Data!F:F,Data!B:B=A170))"),"#N/A")</f>
        <v>#N/A</v>
      </c>
    </row>
    <row r="171" hidden="1">
      <c r="A171" s="172" t="s">
        <v>414</v>
      </c>
      <c r="B171" s="173">
        <f>countif(Data!B:B,A171)</f>
        <v>0</v>
      </c>
      <c r="C171" s="174">
        <f>sumif(Data!B:B,A171,Data!M:M)</f>
        <v>0</v>
      </c>
      <c r="D171" s="174" t="str">
        <f t="shared" si="1"/>
        <v>#DIV/0!</v>
      </c>
      <c r="E171" s="175" t="str">
        <f t="shared" si="2"/>
        <v>#N/A</v>
      </c>
      <c r="F171" s="175" t="str">
        <f>IFERROR(__xludf.DUMMYFUNCTION("average.weighted(filter(Data!K:K,Data!B:B=A171),filter(Data!F:F,Data!B:B=A171))"),"#N/A")</f>
        <v>#N/A</v>
      </c>
      <c r="G171" s="175" t="str">
        <f>IFERROR(__xludf.DUMMYFUNCTION("average.weighted(filter(Data!L:L,Data!B:B=A171),filter(Data!F:F,Data!B:B=A171))"),"#N/A")</f>
        <v>#N/A</v>
      </c>
    </row>
    <row r="172" hidden="1">
      <c r="A172" s="172" t="s">
        <v>415</v>
      </c>
      <c r="B172" s="173">
        <f>countif(Data!B:B,A172)</f>
        <v>0</v>
      </c>
      <c r="C172" s="174">
        <f>sumif(Data!B:B,A172,Data!M:M)</f>
        <v>0</v>
      </c>
      <c r="D172" s="174" t="str">
        <f t="shared" si="1"/>
        <v>#DIV/0!</v>
      </c>
      <c r="E172" s="175" t="str">
        <f t="shared" si="2"/>
        <v>#N/A</v>
      </c>
      <c r="F172" s="175" t="str">
        <f>IFERROR(__xludf.DUMMYFUNCTION("average.weighted(filter(Data!K:K,Data!B:B=A172),filter(Data!F:F,Data!B:B=A172))"),"#N/A")</f>
        <v>#N/A</v>
      </c>
      <c r="G172" s="175" t="str">
        <f>IFERROR(__xludf.DUMMYFUNCTION("average.weighted(filter(Data!L:L,Data!B:B=A172),filter(Data!F:F,Data!B:B=A172))"),"#N/A")</f>
        <v>#N/A</v>
      </c>
    </row>
    <row r="173" hidden="1">
      <c r="A173" s="172" t="s">
        <v>416</v>
      </c>
      <c r="B173" s="173">
        <f>countif(Data!B:B,A173)</f>
        <v>0</v>
      </c>
      <c r="C173" s="174">
        <f>sumif(Data!B:B,A173,Data!M:M)</f>
        <v>0</v>
      </c>
      <c r="D173" s="174" t="str">
        <f t="shared" si="1"/>
        <v>#DIV/0!</v>
      </c>
      <c r="E173" s="175" t="str">
        <f t="shared" si="2"/>
        <v>#N/A</v>
      </c>
      <c r="F173" s="175" t="str">
        <f>IFERROR(__xludf.DUMMYFUNCTION("average.weighted(filter(Data!K:K,Data!B:B=A173),filter(Data!F:F,Data!B:B=A173))"),"#N/A")</f>
        <v>#N/A</v>
      </c>
      <c r="G173" s="175" t="str">
        <f>IFERROR(__xludf.DUMMYFUNCTION("average.weighted(filter(Data!L:L,Data!B:B=A173),filter(Data!F:F,Data!B:B=A173))"),"#N/A")</f>
        <v>#N/A</v>
      </c>
    </row>
    <row r="174" hidden="1">
      <c r="A174" s="172" t="s">
        <v>417</v>
      </c>
      <c r="B174" s="173">
        <f>countif(Data!B:B,A174)</f>
        <v>0</v>
      </c>
      <c r="C174" s="174">
        <f>sumif(Data!B:B,A174,Data!M:M)</f>
        <v>0</v>
      </c>
      <c r="D174" s="174" t="str">
        <f t="shared" si="1"/>
        <v>#DIV/0!</v>
      </c>
      <c r="E174" s="175" t="str">
        <f t="shared" si="2"/>
        <v>#N/A</v>
      </c>
      <c r="F174" s="175" t="str">
        <f>IFERROR(__xludf.DUMMYFUNCTION("average.weighted(filter(Data!K:K,Data!B:B=A174),filter(Data!F:F,Data!B:B=A174))"),"#N/A")</f>
        <v>#N/A</v>
      </c>
      <c r="G174" s="175" t="str">
        <f>IFERROR(__xludf.DUMMYFUNCTION("average.weighted(filter(Data!L:L,Data!B:B=A174),filter(Data!F:F,Data!B:B=A174))"),"#N/A")</f>
        <v>#N/A</v>
      </c>
    </row>
    <row r="175" hidden="1">
      <c r="A175" s="172" t="s">
        <v>418</v>
      </c>
      <c r="B175" s="173">
        <f>countif(Data!B:B,A175)</f>
        <v>0</v>
      </c>
      <c r="C175" s="174">
        <f>sumif(Data!B:B,A175,Data!M:M)</f>
        <v>0</v>
      </c>
      <c r="D175" s="174" t="str">
        <f t="shared" si="1"/>
        <v>#DIV/0!</v>
      </c>
      <c r="E175" s="175" t="str">
        <f t="shared" si="2"/>
        <v>#N/A</v>
      </c>
      <c r="F175" s="175" t="str">
        <f>IFERROR(__xludf.DUMMYFUNCTION("average.weighted(filter(Data!K:K,Data!B:B=A175),filter(Data!F:F,Data!B:B=A175))"),"#N/A")</f>
        <v>#N/A</v>
      </c>
      <c r="G175" s="175" t="str">
        <f>IFERROR(__xludf.DUMMYFUNCTION("average.weighted(filter(Data!L:L,Data!B:B=A175),filter(Data!F:F,Data!B:B=A175))"),"#N/A")</f>
        <v>#N/A</v>
      </c>
    </row>
    <row r="176" hidden="1">
      <c r="A176" s="172" t="s">
        <v>419</v>
      </c>
      <c r="B176" s="173">
        <f>countif(Data!B:B,A176)</f>
        <v>0</v>
      </c>
      <c r="C176" s="174">
        <f>sumif(Data!B:B,A176,Data!M:M)</f>
        <v>0</v>
      </c>
      <c r="D176" s="174" t="str">
        <f t="shared" si="1"/>
        <v>#DIV/0!</v>
      </c>
      <c r="E176" s="175" t="str">
        <f t="shared" si="2"/>
        <v>#N/A</v>
      </c>
      <c r="F176" s="175" t="str">
        <f>IFERROR(__xludf.DUMMYFUNCTION("average.weighted(filter(Data!K:K,Data!B:B=A176),filter(Data!F:F,Data!B:B=A176))"),"#N/A")</f>
        <v>#N/A</v>
      </c>
      <c r="G176" s="175" t="str">
        <f>IFERROR(__xludf.DUMMYFUNCTION("average.weighted(filter(Data!L:L,Data!B:B=A176),filter(Data!F:F,Data!B:B=A176))"),"#N/A")</f>
        <v>#N/A</v>
      </c>
    </row>
    <row r="177" hidden="1">
      <c r="A177" s="172" t="s">
        <v>420</v>
      </c>
      <c r="B177" s="173">
        <f>countif(Data!B:B,A177)</f>
        <v>0</v>
      </c>
      <c r="C177" s="174">
        <f>sumif(Data!B:B,A177,Data!M:M)</f>
        <v>0</v>
      </c>
      <c r="D177" s="174" t="str">
        <f t="shared" si="1"/>
        <v>#DIV/0!</v>
      </c>
      <c r="E177" s="175" t="str">
        <f t="shared" si="2"/>
        <v>#N/A</v>
      </c>
      <c r="F177" s="175" t="str">
        <f>IFERROR(__xludf.DUMMYFUNCTION("average.weighted(filter(Data!K:K,Data!B:B=A177),filter(Data!F:F,Data!B:B=A177))"),"#N/A")</f>
        <v>#N/A</v>
      </c>
      <c r="G177" s="175" t="str">
        <f>IFERROR(__xludf.DUMMYFUNCTION("average.weighted(filter(Data!L:L,Data!B:B=A177),filter(Data!F:F,Data!B:B=A177))"),"#N/A")</f>
        <v>#N/A</v>
      </c>
    </row>
    <row r="178" hidden="1">
      <c r="A178" s="172" t="s">
        <v>421</v>
      </c>
      <c r="B178" s="173">
        <f>countif(Data!B:B,A178)</f>
        <v>0</v>
      </c>
      <c r="C178" s="174">
        <f>sumif(Data!B:B,A178,Data!M:M)</f>
        <v>0</v>
      </c>
      <c r="D178" s="174" t="str">
        <f t="shared" si="1"/>
        <v>#DIV/0!</v>
      </c>
      <c r="E178" s="175" t="str">
        <f t="shared" si="2"/>
        <v>#N/A</v>
      </c>
      <c r="F178" s="175" t="str">
        <f>IFERROR(__xludf.DUMMYFUNCTION("average.weighted(filter(Data!K:K,Data!B:B=A178),filter(Data!F:F,Data!B:B=A178))"),"#N/A")</f>
        <v>#N/A</v>
      </c>
      <c r="G178" s="175" t="str">
        <f>IFERROR(__xludf.DUMMYFUNCTION("average.weighted(filter(Data!L:L,Data!B:B=A178),filter(Data!F:F,Data!B:B=A178))"),"#N/A")</f>
        <v>#N/A</v>
      </c>
    </row>
    <row r="179" hidden="1">
      <c r="A179" s="172" t="s">
        <v>422</v>
      </c>
      <c r="B179" s="173">
        <f>countif(Data!B:B,A179)</f>
        <v>0</v>
      </c>
      <c r="C179" s="174">
        <f>sumif(Data!B:B,A179,Data!M:M)</f>
        <v>0</v>
      </c>
      <c r="D179" s="174" t="str">
        <f t="shared" si="1"/>
        <v>#DIV/0!</v>
      </c>
      <c r="E179" s="175" t="str">
        <f t="shared" si="2"/>
        <v>#N/A</v>
      </c>
      <c r="F179" s="175" t="str">
        <f>IFERROR(__xludf.DUMMYFUNCTION("average.weighted(filter(Data!K:K,Data!B:B=A179),filter(Data!F:F,Data!B:B=A179))"),"#N/A")</f>
        <v>#N/A</v>
      </c>
      <c r="G179" s="175" t="str">
        <f>IFERROR(__xludf.DUMMYFUNCTION("average.weighted(filter(Data!L:L,Data!B:B=A179),filter(Data!F:F,Data!B:B=A179))"),"#N/A")</f>
        <v>#N/A</v>
      </c>
    </row>
    <row r="180" hidden="1">
      <c r="A180" s="172" t="s">
        <v>423</v>
      </c>
      <c r="B180" s="173">
        <f>countif(Data!B:B,A180)</f>
        <v>0</v>
      </c>
      <c r="C180" s="174">
        <f>sumif(Data!B:B,A180,Data!M:M)</f>
        <v>0</v>
      </c>
      <c r="D180" s="174" t="str">
        <f t="shared" si="1"/>
        <v>#DIV/0!</v>
      </c>
      <c r="E180" s="175" t="str">
        <f t="shared" si="2"/>
        <v>#N/A</v>
      </c>
      <c r="F180" s="175" t="str">
        <f>IFERROR(__xludf.DUMMYFUNCTION("average.weighted(filter(Data!K:K,Data!B:B=A180),filter(Data!F:F,Data!B:B=A180))"),"#N/A")</f>
        <v>#N/A</v>
      </c>
      <c r="G180" s="175" t="str">
        <f>IFERROR(__xludf.DUMMYFUNCTION("average.weighted(filter(Data!L:L,Data!B:B=A180),filter(Data!F:F,Data!B:B=A180))"),"#N/A")</f>
        <v>#N/A</v>
      </c>
    </row>
    <row r="181" hidden="1">
      <c r="A181" s="172" t="s">
        <v>424</v>
      </c>
      <c r="B181" s="173">
        <f>countif(Data!B:B,A181)</f>
        <v>0</v>
      </c>
      <c r="C181" s="174">
        <f>sumif(Data!B:B,A181,Data!M:M)</f>
        <v>0</v>
      </c>
      <c r="D181" s="174" t="str">
        <f t="shared" si="1"/>
        <v>#DIV/0!</v>
      </c>
      <c r="E181" s="175" t="str">
        <f t="shared" si="2"/>
        <v>#N/A</v>
      </c>
      <c r="F181" s="175" t="str">
        <f>IFERROR(__xludf.DUMMYFUNCTION("average.weighted(filter(Data!K:K,Data!B:B=A181),filter(Data!F:F,Data!B:B=A181))"),"#N/A")</f>
        <v>#N/A</v>
      </c>
      <c r="G181" s="175" t="str">
        <f>IFERROR(__xludf.DUMMYFUNCTION("average.weighted(filter(Data!L:L,Data!B:B=A181),filter(Data!F:F,Data!B:B=A181))"),"#N/A")</f>
        <v>#N/A</v>
      </c>
    </row>
    <row r="182" hidden="1">
      <c r="A182" s="172" t="s">
        <v>425</v>
      </c>
      <c r="B182" s="173">
        <f>countif(Data!B:B,A182)</f>
        <v>0</v>
      </c>
      <c r="C182" s="174">
        <f>sumif(Data!B:B,A182,Data!M:M)</f>
        <v>0</v>
      </c>
      <c r="D182" s="174" t="str">
        <f t="shared" si="1"/>
        <v>#DIV/0!</v>
      </c>
      <c r="E182" s="175" t="str">
        <f t="shared" si="2"/>
        <v>#N/A</v>
      </c>
      <c r="F182" s="175" t="str">
        <f>IFERROR(__xludf.DUMMYFUNCTION("average.weighted(filter(Data!K:K,Data!B:B=A182),filter(Data!F:F,Data!B:B=A182))"),"#N/A")</f>
        <v>#N/A</v>
      </c>
      <c r="G182" s="175" t="str">
        <f>IFERROR(__xludf.DUMMYFUNCTION("average.weighted(filter(Data!L:L,Data!B:B=A182),filter(Data!F:F,Data!B:B=A182))"),"#N/A")</f>
        <v>#N/A</v>
      </c>
    </row>
    <row r="183" hidden="1">
      <c r="A183" s="172" t="s">
        <v>426</v>
      </c>
      <c r="B183" s="173">
        <f>countif(Data!B:B,A183)</f>
        <v>0</v>
      </c>
      <c r="C183" s="174">
        <f>sumif(Data!B:B,A183,Data!M:M)</f>
        <v>0</v>
      </c>
      <c r="D183" s="174" t="str">
        <f t="shared" si="1"/>
        <v>#DIV/0!</v>
      </c>
      <c r="E183" s="175" t="str">
        <f t="shared" si="2"/>
        <v>#N/A</v>
      </c>
      <c r="F183" s="175" t="str">
        <f>IFERROR(__xludf.DUMMYFUNCTION("average.weighted(filter(Data!K:K,Data!B:B=A183),filter(Data!F:F,Data!B:B=A183))"),"#N/A")</f>
        <v>#N/A</v>
      </c>
      <c r="G183" s="175" t="str">
        <f>IFERROR(__xludf.DUMMYFUNCTION("average.weighted(filter(Data!L:L,Data!B:B=A183),filter(Data!F:F,Data!B:B=A183))"),"#N/A")</f>
        <v>#N/A</v>
      </c>
    </row>
    <row r="184" hidden="1">
      <c r="A184" s="172" t="s">
        <v>427</v>
      </c>
      <c r="B184" s="173">
        <f>countif(Data!B:B,A184)</f>
        <v>0</v>
      </c>
      <c r="C184" s="174">
        <f>sumif(Data!B:B,A184,Data!M:M)</f>
        <v>0</v>
      </c>
      <c r="D184" s="174" t="str">
        <f t="shared" si="1"/>
        <v>#DIV/0!</v>
      </c>
      <c r="E184" s="175" t="str">
        <f t="shared" si="2"/>
        <v>#N/A</v>
      </c>
      <c r="F184" s="175" t="str">
        <f>IFERROR(__xludf.DUMMYFUNCTION("average.weighted(filter(Data!K:K,Data!B:B=A184),filter(Data!F:F,Data!B:B=A184))"),"#N/A")</f>
        <v>#N/A</v>
      </c>
      <c r="G184" s="175" t="str">
        <f>IFERROR(__xludf.DUMMYFUNCTION("average.weighted(filter(Data!L:L,Data!B:B=A184),filter(Data!F:F,Data!B:B=A184))"),"#N/A")</f>
        <v>#N/A</v>
      </c>
    </row>
    <row r="185" hidden="1">
      <c r="A185" s="172" t="s">
        <v>428</v>
      </c>
      <c r="B185" s="173">
        <f>countif(Data!B:B,A185)</f>
        <v>0</v>
      </c>
      <c r="C185" s="174">
        <f>sumif(Data!B:B,A185,Data!M:M)</f>
        <v>0</v>
      </c>
      <c r="D185" s="174" t="str">
        <f t="shared" si="1"/>
        <v>#DIV/0!</v>
      </c>
      <c r="E185" s="175" t="str">
        <f t="shared" si="2"/>
        <v>#N/A</v>
      </c>
      <c r="F185" s="175" t="str">
        <f>IFERROR(__xludf.DUMMYFUNCTION("average.weighted(filter(Data!K:K,Data!B:B=A185),filter(Data!F:F,Data!B:B=A185))"),"#N/A")</f>
        <v>#N/A</v>
      </c>
      <c r="G185" s="175" t="str">
        <f>IFERROR(__xludf.DUMMYFUNCTION("average.weighted(filter(Data!L:L,Data!B:B=A185),filter(Data!F:F,Data!B:B=A185))"),"#N/A")</f>
        <v>#N/A</v>
      </c>
    </row>
    <row r="186" hidden="1">
      <c r="A186" s="172" t="s">
        <v>429</v>
      </c>
      <c r="B186" s="173">
        <f>countif(Data!B:B,A186)</f>
        <v>0</v>
      </c>
      <c r="C186" s="174">
        <f>sumif(Data!B:B,A186,Data!M:M)</f>
        <v>0</v>
      </c>
      <c r="D186" s="174" t="str">
        <f t="shared" si="1"/>
        <v>#DIV/0!</v>
      </c>
      <c r="E186" s="175" t="str">
        <f t="shared" si="2"/>
        <v>#N/A</v>
      </c>
      <c r="F186" s="175" t="str">
        <f>IFERROR(__xludf.DUMMYFUNCTION("average.weighted(filter(Data!K:K,Data!B:B=A186),filter(Data!F:F,Data!B:B=A186))"),"#N/A")</f>
        <v>#N/A</v>
      </c>
      <c r="G186" s="175" t="str">
        <f>IFERROR(__xludf.DUMMYFUNCTION("average.weighted(filter(Data!L:L,Data!B:B=A186),filter(Data!F:F,Data!B:B=A186))"),"#N/A")</f>
        <v>#N/A</v>
      </c>
    </row>
    <row r="187" hidden="1">
      <c r="A187" s="172" t="s">
        <v>430</v>
      </c>
      <c r="B187" s="173">
        <f>countif(Data!B:B,A187)</f>
        <v>0</v>
      </c>
      <c r="C187" s="174">
        <f>sumif(Data!B:B,A187,Data!M:M)</f>
        <v>0</v>
      </c>
      <c r="D187" s="174" t="str">
        <f t="shared" si="1"/>
        <v>#DIV/0!</v>
      </c>
      <c r="E187" s="175" t="str">
        <f t="shared" si="2"/>
        <v>#N/A</v>
      </c>
      <c r="F187" s="175" t="str">
        <f>IFERROR(__xludf.DUMMYFUNCTION("average.weighted(filter(Data!K:K,Data!B:B=A187),filter(Data!F:F,Data!B:B=A187))"),"#N/A")</f>
        <v>#N/A</v>
      </c>
      <c r="G187" s="175" t="str">
        <f>IFERROR(__xludf.DUMMYFUNCTION("average.weighted(filter(Data!L:L,Data!B:B=A187),filter(Data!F:F,Data!B:B=A187))"),"#N/A")</f>
        <v>#N/A</v>
      </c>
    </row>
    <row r="188" hidden="1">
      <c r="A188" s="172" t="s">
        <v>431</v>
      </c>
      <c r="B188" s="173">
        <f>countif(Data!B:B,A188)</f>
        <v>0</v>
      </c>
      <c r="C188" s="174">
        <f>sumif(Data!B:B,A188,Data!M:M)</f>
        <v>0</v>
      </c>
      <c r="D188" s="174" t="str">
        <f t="shared" si="1"/>
        <v>#DIV/0!</v>
      </c>
      <c r="E188" s="175" t="str">
        <f t="shared" si="2"/>
        <v>#N/A</v>
      </c>
      <c r="F188" s="175" t="str">
        <f>IFERROR(__xludf.DUMMYFUNCTION("average.weighted(filter(Data!K:K,Data!B:B=A188),filter(Data!F:F,Data!B:B=A188))"),"#N/A")</f>
        <v>#N/A</v>
      </c>
      <c r="G188" s="175" t="str">
        <f>IFERROR(__xludf.DUMMYFUNCTION("average.weighted(filter(Data!L:L,Data!B:B=A188),filter(Data!F:F,Data!B:B=A188))"),"#N/A")</f>
        <v>#N/A</v>
      </c>
    </row>
    <row r="189" hidden="1">
      <c r="A189" s="172" t="s">
        <v>432</v>
      </c>
      <c r="B189" s="173">
        <f>countif(Data!B:B,A189)</f>
        <v>0</v>
      </c>
      <c r="C189" s="174">
        <f>sumif(Data!B:B,A189,Data!M:M)</f>
        <v>0</v>
      </c>
      <c r="D189" s="174" t="str">
        <f t="shared" si="1"/>
        <v>#DIV/0!</v>
      </c>
      <c r="E189" s="175" t="str">
        <f t="shared" si="2"/>
        <v>#N/A</v>
      </c>
      <c r="F189" s="175" t="str">
        <f>IFERROR(__xludf.DUMMYFUNCTION("average.weighted(filter(Data!K:K,Data!B:B=A189),filter(Data!F:F,Data!B:B=A189))"),"#N/A")</f>
        <v>#N/A</v>
      </c>
      <c r="G189" s="175" t="str">
        <f>IFERROR(__xludf.DUMMYFUNCTION("average.weighted(filter(Data!L:L,Data!B:B=A189),filter(Data!F:F,Data!B:B=A189))"),"#N/A")</f>
        <v>#N/A</v>
      </c>
    </row>
    <row r="190" hidden="1">
      <c r="A190" s="172" t="s">
        <v>433</v>
      </c>
      <c r="B190" s="173">
        <f>countif(Data!B:B,A190)</f>
        <v>0</v>
      </c>
      <c r="C190" s="174">
        <f>sumif(Data!B:B,A190,Data!M:M)</f>
        <v>0</v>
      </c>
      <c r="D190" s="174" t="str">
        <f t="shared" si="1"/>
        <v>#DIV/0!</v>
      </c>
      <c r="E190" s="175" t="str">
        <f t="shared" si="2"/>
        <v>#N/A</v>
      </c>
      <c r="F190" s="175" t="str">
        <f>IFERROR(__xludf.DUMMYFUNCTION("average.weighted(filter(Data!K:K,Data!B:B=A190),filter(Data!F:F,Data!B:B=A190))"),"#N/A")</f>
        <v>#N/A</v>
      </c>
      <c r="G190" s="175" t="str">
        <f>IFERROR(__xludf.DUMMYFUNCTION("average.weighted(filter(Data!L:L,Data!B:B=A190),filter(Data!F:F,Data!B:B=A190))"),"#N/A")</f>
        <v>#N/A</v>
      </c>
    </row>
    <row r="191" hidden="1">
      <c r="A191" s="172" t="s">
        <v>434</v>
      </c>
      <c r="B191" s="173">
        <f>countif(Data!B:B,A191)</f>
        <v>0</v>
      </c>
      <c r="C191" s="174">
        <f>sumif(Data!B:B,A191,Data!M:M)</f>
        <v>0</v>
      </c>
      <c r="D191" s="174" t="str">
        <f t="shared" si="1"/>
        <v>#DIV/0!</v>
      </c>
      <c r="E191" s="175" t="str">
        <f t="shared" si="2"/>
        <v>#N/A</v>
      </c>
      <c r="F191" s="175" t="str">
        <f>IFERROR(__xludf.DUMMYFUNCTION("average.weighted(filter(Data!K:K,Data!B:B=A191),filter(Data!F:F,Data!B:B=A191))"),"#N/A")</f>
        <v>#N/A</v>
      </c>
      <c r="G191" s="175" t="str">
        <f>IFERROR(__xludf.DUMMYFUNCTION("average.weighted(filter(Data!L:L,Data!B:B=A191),filter(Data!F:F,Data!B:B=A191))"),"#N/A")</f>
        <v>#N/A</v>
      </c>
    </row>
    <row r="192" hidden="1">
      <c r="A192" s="172" t="s">
        <v>435</v>
      </c>
      <c r="B192" s="173">
        <f>countif(Data!B:B,A192)</f>
        <v>0</v>
      </c>
      <c r="C192" s="174">
        <f>sumif(Data!B:B,A192,Data!M:M)</f>
        <v>0</v>
      </c>
      <c r="D192" s="174" t="str">
        <f t="shared" si="1"/>
        <v>#DIV/0!</v>
      </c>
      <c r="E192" s="175" t="str">
        <f t="shared" si="2"/>
        <v>#N/A</v>
      </c>
      <c r="F192" s="175" t="str">
        <f>IFERROR(__xludf.DUMMYFUNCTION("average.weighted(filter(Data!K:K,Data!B:B=A192),filter(Data!F:F,Data!B:B=A192))"),"#N/A")</f>
        <v>#N/A</v>
      </c>
      <c r="G192" s="175" t="str">
        <f>IFERROR(__xludf.DUMMYFUNCTION("average.weighted(filter(Data!L:L,Data!B:B=A192),filter(Data!F:F,Data!B:B=A192))"),"#N/A")</f>
        <v>#N/A</v>
      </c>
    </row>
    <row r="193" hidden="1">
      <c r="A193" s="172" t="s">
        <v>436</v>
      </c>
      <c r="B193" s="173">
        <f>countif(Data!B:B,A193)</f>
        <v>0</v>
      </c>
      <c r="C193" s="174">
        <f>sumif(Data!B:B,A193,Data!M:M)</f>
        <v>0</v>
      </c>
      <c r="D193" s="174" t="str">
        <f t="shared" si="1"/>
        <v>#DIV/0!</v>
      </c>
      <c r="E193" s="175" t="str">
        <f t="shared" si="2"/>
        <v>#N/A</v>
      </c>
      <c r="F193" s="175" t="str">
        <f>IFERROR(__xludf.DUMMYFUNCTION("average.weighted(filter(Data!K:K,Data!B:B=A193),filter(Data!F:F,Data!B:B=A193))"),"#N/A")</f>
        <v>#N/A</v>
      </c>
      <c r="G193" s="175" t="str">
        <f>IFERROR(__xludf.DUMMYFUNCTION("average.weighted(filter(Data!L:L,Data!B:B=A193),filter(Data!F:F,Data!B:B=A193))"),"#N/A")</f>
        <v>#N/A</v>
      </c>
    </row>
    <row r="194" hidden="1">
      <c r="A194" s="172" t="s">
        <v>437</v>
      </c>
      <c r="B194" s="173">
        <f>countif(Data!B:B,A194)</f>
        <v>0</v>
      </c>
      <c r="C194" s="174">
        <f>sumif(Data!B:B,A194,Data!M:M)</f>
        <v>0</v>
      </c>
      <c r="D194" s="174" t="str">
        <f t="shared" si="1"/>
        <v>#DIV/0!</v>
      </c>
      <c r="E194" s="175" t="str">
        <f t="shared" si="2"/>
        <v>#N/A</v>
      </c>
      <c r="F194" s="175" t="str">
        <f>IFERROR(__xludf.DUMMYFUNCTION("average.weighted(filter(Data!K:K,Data!B:B=A194),filter(Data!F:F,Data!B:B=A194))"),"#N/A")</f>
        <v>#N/A</v>
      </c>
      <c r="G194" s="175" t="str">
        <f>IFERROR(__xludf.DUMMYFUNCTION("average.weighted(filter(Data!L:L,Data!B:B=A194),filter(Data!F:F,Data!B:B=A194))"),"#N/A")</f>
        <v>#N/A</v>
      </c>
    </row>
    <row r="195" hidden="1">
      <c r="A195" s="172" t="s">
        <v>438</v>
      </c>
      <c r="B195" s="173">
        <f>countif(Data!B:B,A195)</f>
        <v>0</v>
      </c>
      <c r="C195" s="174">
        <f>sumif(Data!B:B,A195,Data!M:M)</f>
        <v>0</v>
      </c>
      <c r="D195" s="174" t="str">
        <f t="shared" si="1"/>
        <v>#DIV/0!</v>
      </c>
      <c r="E195" s="175" t="str">
        <f t="shared" si="2"/>
        <v>#N/A</v>
      </c>
      <c r="F195" s="175" t="str">
        <f>IFERROR(__xludf.DUMMYFUNCTION("average.weighted(filter(Data!K:K,Data!B:B=A195),filter(Data!F:F,Data!B:B=A195))"),"#N/A")</f>
        <v>#N/A</v>
      </c>
      <c r="G195" s="175" t="str">
        <f>IFERROR(__xludf.DUMMYFUNCTION("average.weighted(filter(Data!L:L,Data!B:B=A195),filter(Data!F:F,Data!B:B=A195))"),"#N/A")</f>
        <v>#N/A</v>
      </c>
    </row>
    <row r="196" hidden="1">
      <c r="A196" s="172" t="s">
        <v>439</v>
      </c>
      <c r="B196" s="173">
        <f>countif(Data!B:B,A196)</f>
        <v>0</v>
      </c>
      <c r="C196" s="174">
        <f>sumif(Data!B:B,A196,Data!M:M)</f>
        <v>0</v>
      </c>
      <c r="D196" s="174" t="str">
        <f t="shared" si="1"/>
        <v>#DIV/0!</v>
      </c>
      <c r="E196" s="175" t="str">
        <f t="shared" si="2"/>
        <v>#N/A</v>
      </c>
      <c r="F196" s="175" t="str">
        <f>IFERROR(__xludf.DUMMYFUNCTION("average.weighted(filter(Data!K:K,Data!B:B=A196),filter(Data!F:F,Data!B:B=A196))"),"#N/A")</f>
        <v>#N/A</v>
      </c>
      <c r="G196" s="175" t="str">
        <f>IFERROR(__xludf.DUMMYFUNCTION("average.weighted(filter(Data!L:L,Data!B:B=A196),filter(Data!F:F,Data!B:B=A196))"),"#N/A")</f>
        <v>#N/A</v>
      </c>
    </row>
    <row r="197" hidden="1">
      <c r="A197" s="172" t="s">
        <v>440</v>
      </c>
      <c r="B197" s="173">
        <f>countif(Data!B:B,A197)</f>
        <v>0</v>
      </c>
      <c r="C197" s="174">
        <f>sumif(Data!B:B,A197,Data!M:M)</f>
        <v>0</v>
      </c>
      <c r="D197" s="174" t="str">
        <f t="shared" si="1"/>
        <v>#DIV/0!</v>
      </c>
      <c r="E197" s="175" t="str">
        <f t="shared" si="2"/>
        <v>#N/A</v>
      </c>
      <c r="F197" s="175" t="str">
        <f>IFERROR(__xludf.DUMMYFUNCTION("average.weighted(filter(Data!K:K,Data!B:B=A197),filter(Data!F:F,Data!B:B=A197))"),"#N/A")</f>
        <v>#N/A</v>
      </c>
      <c r="G197" s="175" t="str">
        <f>IFERROR(__xludf.DUMMYFUNCTION("average.weighted(filter(Data!L:L,Data!B:B=A197),filter(Data!F:F,Data!B:B=A197))"),"#N/A")</f>
        <v>#N/A</v>
      </c>
    </row>
    <row r="198" hidden="1">
      <c r="A198" s="172" t="s">
        <v>441</v>
      </c>
      <c r="B198" s="173">
        <f>countif(Data!B:B,A198)</f>
        <v>0</v>
      </c>
      <c r="C198" s="174">
        <f>sumif(Data!B:B,A198,Data!M:M)</f>
        <v>0</v>
      </c>
      <c r="D198" s="174" t="str">
        <f t="shared" si="1"/>
        <v>#DIV/0!</v>
      </c>
      <c r="E198" s="175" t="str">
        <f t="shared" si="2"/>
        <v>#N/A</v>
      </c>
      <c r="F198" s="175" t="str">
        <f>IFERROR(__xludf.DUMMYFUNCTION("average.weighted(filter(Data!K:K,Data!B:B=A198),filter(Data!F:F,Data!B:B=A198))"),"#N/A")</f>
        <v>#N/A</v>
      </c>
      <c r="G198" s="175" t="str">
        <f>IFERROR(__xludf.DUMMYFUNCTION("average.weighted(filter(Data!L:L,Data!B:B=A198),filter(Data!F:F,Data!B:B=A198))"),"#N/A")</f>
        <v>#N/A</v>
      </c>
    </row>
    <row r="199" hidden="1">
      <c r="A199" s="172" t="s">
        <v>442</v>
      </c>
      <c r="B199" s="173">
        <f>countif(Data!B:B,A199)</f>
        <v>0</v>
      </c>
      <c r="C199" s="174">
        <f>sumif(Data!B:B,A199,Data!M:M)</f>
        <v>0</v>
      </c>
      <c r="D199" s="174" t="str">
        <f t="shared" si="1"/>
        <v>#DIV/0!</v>
      </c>
      <c r="E199" s="175" t="str">
        <f t="shared" si="2"/>
        <v>#N/A</v>
      </c>
      <c r="F199" s="175" t="str">
        <f>IFERROR(__xludf.DUMMYFUNCTION("average.weighted(filter(Data!K:K,Data!B:B=A199),filter(Data!F:F,Data!B:B=A199))"),"#N/A")</f>
        <v>#N/A</v>
      </c>
      <c r="G199" s="175" t="str">
        <f>IFERROR(__xludf.DUMMYFUNCTION("average.weighted(filter(Data!L:L,Data!B:B=A199),filter(Data!F:F,Data!B:B=A199))"),"#N/A")</f>
        <v>#N/A</v>
      </c>
    </row>
    <row r="200" hidden="1">
      <c r="A200" s="172" t="s">
        <v>443</v>
      </c>
      <c r="B200" s="173">
        <f>countif(Data!B:B,A200)</f>
        <v>0</v>
      </c>
      <c r="C200" s="174">
        <f>sumif(Data!B:B,A200,Data!M:M)</f>
        <v>0</v>
      </c>
      <c r="D200" s="174" t="str">
        <f t="shared" si="1"/>
        <v>#DIV/0!</v>
      </c>
      <c r="E200" s="175" t="str">
        <f t="shared" si="2"/>
        <v>#N/A</v>
      </c>
      <c r="F200" s="175" t="str">
        <f>IFERROR(__xludf.DUMMYFUNCTION("average.weighted(filter(Data!K:K,Data!B:B=A200),filter(Data!F:F,Data!B:B=A200))"),"#N/A")</f>
        <v>#N/A</v>
      </c>
      <c r="G200" s="175" t="str">
        <f>IFERROR(__xludf.DUMMYFUNCTION("average.weighted(filter(Data!L:L,Data!B:B=A200),filter(Data!F:F,Data!B:B=A200))"),"#N/A")</f>
        <v>#N/A</v>
      </c>
    </row>
    <row r="201" hidden="1">
      <c r="A201" s="172" t="s">
        <v>444</v>
      </c>
      <c r="B201" s="173">
        <f>countif(Data!B:B,A201)</f>
        <v>0</v>
      </c>
      <c r="C201" s="174">
        <f>sumif(Data!B:B,A201,Data!M:M)</f>
        <v>0</v>
      </c>
      <c r="D201" s="174" t="str">
        <f t="shared" si="1"/>
        <v>#DIV/0!</v>
      </c>
      <c r="E201" s="175" t="str">
        <f t="shared" si="2"/>
        <v>#N/A</v>
      </c>
      <c r="F201" s="175" t="str">
        <f>IFERROR(__xludf.DUMMYFUNCTION("average.weighted(filter(Data!K:K,Data!B:B=A201),filter(Data!F:F,Data!B:B=A201))"),"#N/A")</f>
        <v>#N/A</v>
      </c>
      <c r="G201" s="175" t="str">
        <f>IFERROR(__xludf.DUMMYFUNCTION("average.weighted(filter(Data!L:L,Data!B:B=A201),filter(Data!F:F,Data!B:B=A201))"),"#N/A")</f>
        <v>#N/A</v>
      </c>
    </row>
    <row r="202" hidden="1">
      <c r="A202" s="172" t="s">
        <v>445</v>
      </c>
      <c r="B202" s="173">
        <f>countif(Data!B:B,A202)</f>
        <v>0</v>
      </c>
      <c r="C202" s="174">
        <f>sumif(Data!B:B,A202,Data!M:M)</f>
        <v>0</v>
      </c>
      <c r="D202" s="174" t="str">
        <f t="shared" si="1"/>
        <v>#DIV/0!</v>
      </c>
      <c r="E202" s="175" t="str">
        <f t="shared" si="2"/>
        <v>#N/A</v>
      </c>
      <c r="F202" s="175" t="str">
        <f>IFERROR(__xludf.DUMMYFUNCTION("average.weighted(filter(Data!K:K,Data!B:B=A202),filter(Data!F:F,Data!B:B=A202))"),"#N/A")</f>
        <v>#N/A</v>
      </c>
      <c r="G202" s="175" t="str">
        <f>IFERROR(__xludf.DUMMYFUNCTION("average.weighted(filter(Data!L:L,Data!B:B=A202),filter(Data!F:F,Data!B:B=A202))"),"#N/A")</f>
        <v>#N/A</v>
      </c>
    </row>
    <row r="203" hidden="1">
      <c r="A203" s="172" t="s">
        <v>446</v>
      </c>
      <c r="B203" s="173">
        <f>countif(Data!B:B,A203)</f>
        <v>0</v>
      </c>
      <c r="C203" s="174">
        <f>sumif(Data!B:B,A203,Data!M:M)</f>
        <v>0</v>
      </c>
      <c r="D203" s="174" t="str">
        <f t="shared" si="1"/>
        <v>#DIV/0!</v>
      </c>
      <c r="E203" s="175" t="str">
        <f t="shared" si="2"/>
        <v>#N/A</v>
      </c>
      <c r="F203" s="175" t="str">
        <f>IFERROR(__xludf.DUMMYFUNCTION("average.weighted(filter(Data!K:K,Data!B:B=A203),filter(Data!F:F,Data!B:B=A203))"),"#N/A")</f>
        <v>#N/A</v>
      </c>
      <c r="G203" s="175" t="str">
        <f>IFERROR(__xludf.DUMMYFUNCTION("average.weighted(filter(Data!L:L,Data!B:B=A203),filter(Data!F:F,Data!B:B=A203))"),"#N/A")</f>
        <v>#N/A</v>
      </c>
    </row>
    <row r="204" hidden="1">
      <c r="A204" s="172" t="s">
        <v>447</v>
      </c>
      <c r="B204" s="173">
        <f>countif(Data!B:B,A204)</f>
        <v>0</v>
      </c>
      <c r="C204" s="174">
        <f>sumif(Data!B:B,A204,Data!M:M)</f>
        <v>0</v>
      </c>
      <c r="D204" s="174" t="str">
        <f t="shared" si="1"/>
        <v>#DIV/0!</v>
      </c>
      <c r="E204" s="175" t="str">
        <f t="shared" si="2"/>
        <v>#N/A</v>
      </c>
      <c r="F204" s="175" t="str">
        <f>IFERROR(__xludf.DUMMYFUNCTION("average.weighted(filter(Data!K:K,Data!B:B=A204),filter(Data!F:F,Data!B:B=A204))"),"#N/A")</f>
        <v>#N/A</v>
      </c>
      <c r="G204" s="175" t="str">
        <f>IFERROR(__xludf.DUMMYFUNCTION("average.weighted(filter(Data!L:L,Data!B:B=A204),filter(Data!F:F,Data!B:B=A204))"),"#N/A")</f>
        <v>#N/A</v>
      </c>
    </row>
    <row r="205" hidden="1">
      <c r="A205" s="172" t="s">
        <v>448</v>
      </c>
      <c r="B205" s="173">
        <f>countif(Data!B:B,A205)</f>
        <v>0</v>
      </c>
      <c r="C205" s="174">
        <f>sumif(Data!B:B,A205,Data!M:M)</f>
        <v>0</v>
      </c>
      <c r="D205" s="174" t="str">
        <f t="shared" si="1"/>
        <v>#DIV/0!</v>
      </c>
      <c r="E205" s="175" t="str">
        <f t="shared" si="2"/>
        <v>#N/A</v>
      </c>
      <c r="F205" s="175" t="str">
        <f>IFERROR(__xludf.DUMMYFUNCTION("average.weighted(filter(Data!K:K,Data!B:B=A205),filter(Data!F:F,Data!B:B=A205))"),"#N/A")</f>
        <v>#N/A</v>
      </c>
      <c r="G205" s="175" t="str">
        <f>IFERROR(__xludf.DUMMYFUNCTION("average.weighted(filter(Data!L:L,Data!B:B=A205),filter(Data!F:F,Data!B:B=A205))"),"#N/A")</f>
        <v>#N/A</v>
      </c>
    </row>
    <row r="206" hidden="1">
      <c r="A206" s="172" t="s">
        <v>449</v>
      </c>
      <c r="B206" s="173">
        <f>countif(Data!B:B,A206)</f>
        <v>0</v>
      </c>
      <c r="C206" s="174">
        <f>sumif(Data!B:B,A206,Data!M:M)</f>
        <v>0</v>
      </c>
      <c r="D206" s="174" t="str">
        <f t="shared" si="1"/>
        <v>#DIV/0!</v>
      </c>
      <c r="E206" s="175" t="str">
        <f t="shared" si="2"/>
        <v>#N/A</v>
      </c>
      <c r="F206" s="175" t="str">
        <f>IFERROR(__xludf.DUMMYFUNCTION("average.weighted(filter(Data!K:K,Data!B:B=A206),filter(Data!F:F,Data!B:B=A206))"),"#N/A")</f>
        <v>#N/A</v>
      </c>
      <c r="G206" s="175" t="str">
        <f>IFERROR(__xludf.DUMMYFUNCTION("average.weighted(filter(Data!L:L,Data!B:B=A206),filter(Data!F:F,Data!B:B=A206))"),"#N/A")</f>
        <v>#N/A</v>
      </c>
    </row>
    <row r="207" hidden="1">
      <c r="A207" s="172" t="s">
        <v>450</v>
      </c>
      <c r="B207" s="173">
        <f>countif(Data!B:B,A207)</f>
        <v>0</v>
      </c>
      <c r="C207" s="174">
        <f>sumif(Data!B:B,A207,Data!M:M)</f>
        <v>0</v>
      </c>
      <c r="D207" s="174" t="str">
        <f t="shared" si="1"/>
        <v>#DIV/0!</v>
      </c>
      <c r="E207" s="175" t="str">
        <f t="shared" si="2"/>
        <v>#N/A</v>
      </c>
      <c r="F207" s="175" t="str">
        <f>IFERROR(__xludf.DUMMYFUNCTION("average.weighted(filter(Data!K:K,Data!B:B=A207),filter(Data!F:F,Data!B:B=A207))"),"#N/A")</f>
        <v>#N/A</v>
      </c>
      <c r="G207" s="175" t="str">
        <f>IFERROR(__xludf.DUMMYFUNCTION("average.weighted(filter(Data!L:L,Data!B:B=A207),filter(Data!F:F,Data!B:B=A207))"),"#N/A")</f>
        <v>#N/A</v>
      </c>
    </row>
    <row r="208" hidden="1">
      <c r="A208" s="172" t="s">
        <v>451</v>
      </c>
      <c r="B208" s="173">
        <f>countif(Data!B:B,A208)</f>
        <v>0</v>
      </c>
      <c r="C208" s="174">
        <f>sumif(Data!B:B,A208,Data!M:M)</f>
        <v>0</v>
      </c>
      <c r="D208" s="174" t="str">
        <f t="shared" si="1"/>
        <v>#DIV/0!</v>
      </c>
      <c r="E208" s="175" t="str">
        <f t="shared" si="2"/>
        <v>#N/A</v>
      </c>
      <c r="F208" s="175" t="str">
        <f>IFERROR(__xludf.DUMMYFUNCTION("average.weighted(filter(Data!K:K,Data!B:B=A208),filter(Data!F:F,Data!B:B=A208))"),"#N/A")</f>
        <v>#N/A</v>
      </c>
      <c r="G208" s="175" t="str">
        <f>IFERROR(__xludf.DUMMYFUNCTION("average.weighted(filter(Data!L:L,Data!B:B=A208),filter(Data!F:F,Data!B:B=A208))"),"#N/A")</f>
        <v>#N/A</v>
      </c>
    </row>
    <row r="209" hidden="1">
      <c r="A209" s="172" t="s">
        <v>452</v>
      </c>
      <c r="B209" s="173">
        <f>countif(Data!B:B,A209)</f>
        <v>0</v>
      </c>
      <c r="C209" s="174">
        <f>sumif(Data!B:B,A209,Data!M:M)</f>
        <v>0</v>
      </c>
      <c r="D209" s="174" t="str">
        <f t="shared" si="1"/>
        <v>#DIV/0!</v>
      </c>
      <c r="E209" s="175" t="str">
        <f t="shared" si="2"/>
        <v>#N/A</v>
      </c>
      <c r="F209" s="175" t="str">
        <f>IFERROR(__xludf.DUMMYFUNCTION("average.weighted(filter(Data!K:K,Data!B:B=A209),filter(Data!F:F,Data!B:B=A209))"),"#N/A")</f>
        <v>#N/A</v>
      </c>
      <c r="G209" s="175" t="str">
        <f>IFERROR(__xludf.DUMMYFUNCTION("average.weighted(filter(Data!L:L,Data!B:B=A209),filter(Data!F:F,Data!B:B=A209))"),"#N/A")</f>
        <v>#N/A</v>
      </c>
    </row>
    <row r="210" hidden="1">
      <c r="A210" s="172" t="s">
        <v>453</v>
      </c>
      <c r="B210" s="173">
        <f>countif(Data!B:B,A210)</f>
        <v>0</v>
      </c>
      <c r="C210" s="174">
        <f>sumif(Data!B:B,A210,Data!M:M)</f>
        <v>0</v>
      </c>
      <c r="D210" s="174" t="str">
        <f t="shared" si="1"/>
        <v>#DIV/0!</v>
      </c>
      <c r="E210" s="175" t="str">
        <f t="shared" si="2"/>
        <v>#N/A</v>
      </c>
      <c r="F210" s="175" t="str">
        <f>IFERROR(__xludf.DUMMYFUNCTION("average.weighted(filter(Data!K:K,Data!B:B=A210),filter(Data!F:F,Data!B:B=A210))"),"#N/A")</f>
        <v>#N/A</v>
      </c>
      <c r="G210" s="175" t="str">
        <f>IFERROR(__xludf.DUMMYFUNCTION("average.weighted(filter(Data!L:L,Data!B:B=A210),filter(Data!F:F,Data!B:B=A210))"),"#N/A")</f>
        <v>#N/A</v>
      </c>
    </row>
    <row r="211" hidden="1">
      <c r="A211" s="172" t="s">
        <v>454</v>
      </c>
      <c r="B211" s="173">
        <f>countif(Data!B:B,A211)</f>
        <v>0</v>
      </c>
      <c r="C211" s="174">
        <f>sumif(Data!B:B,A211,Data!M:M)</f>
        <v>0</v>
      </c>
      <c r="D211" s="174" t="str">
        <f t="shared" si="1"/>
        <v>#DIV/0!</v>
      </c>
      <c r="E211" s="175" t="str">
        <f t="shared" si="2"/>
        <v>#N/A</v>
      </c>
      <c r="F211" s="175" t="str">
        <f>IFERROR(__xludf.DUMMYFUNCTION("average.weighted(filter(Data!K:K,Data!B:B=A211),filter(Data!F:F,Data!B:B=A211))"),"#N/A")</f>
        <v>#N/A</v>
      </c>
      <c r="G211" s="175" t="str">
        <f>IFERROR(__xludf.DUMMYFUNCTION("average.weighted(filter(Data!L:L,Data!B:B=A211),filter(Data!F:F,Data!B:B=A211))"),"#N/A")</f>
        <v>#N/A</v>
      </c>
    </row>
    <row r="212" hidden="1">
      <c r="A212" s="172" t="s">
        <v>455</v>
      </c>
      <c r="B212" s="173">
        <f>countif(Data!B:B,A212)</f>
        <v>0</v>
      </c>
      <c r="C212" s="174">
        <f>sumif(Data!B:B,A212,Data!M:M)</f>
        <v>0</v>
      </c>
      <c r="D212" s="174" t="str">
        <f t="shared" si="1"/>
        <v>#DIV/0!</v>
      </c>
      <c r="E212" s="175" t="str">
        <f t="shared" si="2"/>
        <v>#N/A</v>
      </c>
      <c r="F212" s="175" t="str">
        <f>IFERROR(__xludf.DUMMYFUNCTION("average.weighted(filter(Data!K:K,Data!B:B=A212),filter(Data!F:F,Data!B:B=A212))"),"#N/A")</f>
        <v>#N/A</v>
      </c>
      <c r="G212" s="175" t="str">
        <f>IFERROR(__xludf.DUMMYFUNCTION("average.weighted(filter(Data!L:L,Data!B:B=A212),filter(Data!F:F,Data!B:B=A212))"),"#N/A")</f>
        <v>#N/A</v>
      </c>
    </row>
    <row r="213" hidden="1">
      <c r="A213" s="172" t="s">
        <v>456</v>
      </c>
      <c r="B213" s="173">
        <f>countif(Data!B:B,A213)</f>
        <v>0</v>
      </c>
      <c r="C213" s="174">
        <f>sumif(Data!B:B,A213,Data!M:M)</f>
        <v>0</v>
      </c>
      <c r="D213" s="174" t="str">
        <f t="shared" si="1"/>
        <v>#DIV/0!</v>
      </c>
      <c r="E213" s="175" t="str">
        <f t="shared" si="2"/>
        <v>#N/A</v>
      </c>
      <c r="F213" s="175" t="str">
        <f>IFERROR(__xludf.DUMMYFUNCTION("average.weighted(filter(Data!K:K,Data!B:B=A213),filter(Data!F:F,Data!B:B=A213))"),"#N/A")</f>
        <v>#N/A</v>
      </c>
      <c r="G213" s="175" t="str">
        <f>IFERROR(__xludf.DUMMYFUNCTION("average.weighted(filter(Data!L:L,Data!B:B=A213),filter(Data!F:F,Data!B:B=A213))"),"#N/A")</f>
        <v>#N/A</v>
      </c>
    </row>
    <row r="214" hidden="1">
      <c r="A214" s="172" t="s">
        <v>457</v>
      </c>
      <c r="B214" s="173">
        <f>countif(Data!B:B,A214)</f>
        <v>0</v>
      </c>
      <c r="C214" s="174">
        <f>sumif(Data!B:B,A214,Data!M:M)</f>
        <v>0</v>
      </c>
      <c r="D214" s="174" t="str">
        <f t="shared" si="1"/>
        <v>#DIV/0!</v>
      </c>
      <c r="E214" s="175" t="str">
        <f t="shared" si="2"/>
        <v>#N/A</v>
      </c>
      <c r="F214" s="175" t="str">
        <f>IFERROR(__xludf.DUMMYFUNCTION("average.weighted(filter(Data!K:K,Data!B:B=A214),filter(Data!F:F,Data!B:B=A214))"),"#N/A")</f>
        <v>#N/A</v>
      </c>
      <c r="G214" s="175" t="str">
        <f>IFERROR(__xludf.DUMMYFUNCTION("average.weighted(filter(Data!L:L,Data!B:B=A214),filter(Data!F:F,Data!B:B=A214))"),"#N/A")</f>
        <v>#N/A</v>
      </c>
    </row>
    <row r="215" hidden="1">
      <c r="A215" s="172" t="s">
        <v>458</v>
      </c>
      <c r="B215" s="173">
        <f>countif(Data!B:B,A215)</f>
        <v>0</v>
      </c>
      <c r="C215" s="174">
        <f>sumif(Data!B:B,A215,Data!M:M)</f>
        <v>0</v>
      </c>
      <c r="D215" s="174" t="str">
        <f t="shared" si="1"/>
        <v>#DIV/0!</v>
      </c>
      <c r="E215" s="175" t="str">
        <f t="shared" si="2"/>
        <v>#N/A</v>
      </c>
      <c r="F215" s="175" t="str">
        <f>IFERROR(__xludf.DUMMYFUNCTION("average.weighted(filter(Data!K:K,Data!B:B=A215),filter(Data!F:F,Data!B:B=A215))"),"#N/A")</f>
        <v>#N/A</v>
      </c>
      <c r="G215" s="175" t="str">
        <f>IFERROR(__xludf.DUMMYFUNCTION("average.weighted(filter(Data!L:L,Data!B:B=A215),filter(Data!F:F,Data!B:B=A215))"),"#N/A")</f>
        <v>#N/A</v>
      </c>
    </row>
    <row r="216" hidden="1">
      <c r="A216" s="172" t="s">
        <v>459</v>
      </c>
      <c r="B216" s="173">
        <f>countif(Data!B:B,A216)</f>
        <v>0</v>
      </c>
      <c r="C216" s="174">
        <f>sumif(Data!B:B,A216,Data!M:M)</f>
        <v>0</v>
      </c>
      <c r="D216" s="174" t="str">
        <f t="shared" si="1"/>
        <v>#DIV/0!</v>
      </c>
      <c r="E216" s="175" t="str">
        <f t="shared" si="2"/>
        <v>#N/A</v>
      </c>
      <c r="F216" s="175" t="str">
        <f>IFERROR(__xludf.DUMMYFUNCTION("average.weighted(filter(Data!K:K,Data!B:B=A216),filter(Data!F:F,Data!B:B=A216))"),"#N/A")</f>
        <v>#N/A</v>
      </c>
      <c r="G216" s="175" t="str">
        <f>IFERROR(__xludf.DUMMYFUNCTION("average.weighted(filter(Data!L:L,Data!B:B=A216),filter(Data!F:F,Data!B:B=A216))"),"#N/A")</f>
        <v>#N/A</v>
      </c>
    </row>
    <row r="217" hidden="1">
      <c r="A217" s="172" t="s">
        <v>460</v>
      </c>
      <c r="B217" s="173">
        <f>countif(Data!B:B,A217)</f>
        <v>0</v>
      </c>
      <c r="C217" s="174">
        <f>sumif(Data!B:B,A217,Data!M:M)</f>
        <v>0</v>
      </c>
      <c r="D217" s="174" t="str">
        <f t="shared" si="1"/>
        <v>#DIV/0!</v>
      </c>
      <c r="E217" s="175" t="str">
        <f t="shared" si="2"/>
        <v>#N/A</v>
      </c>
      <c r="F217" s="175" t="str">
        <f>IFERROR(__xludf.DUMMYFUNCTION("average.weighted(filter(Data!K:K,Data!B:B=A217),filter(Data!F:F,Data!B:B=A217))"),"#N/A")</f>
        <v>#N/A</v>
      </c>
      <c r="G217" s="175" t="str">
        <f>IFERROR(__xludf.DUMMYFUNCTION("average.weighted(filter(Data!L:L,Data!B:B=A217),filter(Data!F:F,Data!B:B=A217))"),"#N/A")</f>
        <v>#N/A</v>
      </c>
    </row>
    <row r="218" hidden="1">
      <c r="A218" s="172" t="s">
        <v>461</v>
      </c>
      <c r="B218" s="173">
        <f>countif(Data!B:B,A218)</f>
        <v>0</v>
      </c>
      <c r="C218" s="174">
        <f>sumif(Data!B:B,A218,Data!M:M)</f>
        <v>0</v>
      </c>
      <c r="D218" s="174" t="str">
        <f t="shared" si="1"/>
        <v>#DIV/0!</v>
      </c>
      <c r="E218" s="175" t="str">
        <f t="shared" si="2"/>
        <v>#N/A</v>
      </c>
      <c r="F218" s="175" t="str">
        <f>IFERROR(__xludf.DUMMYFUNCTION("average.weighted(filter(Data!K:K,Data!B:B=A218),filter(Data!F:F,Data!B:B=A218))"),"#N/A")</f>
        <v>#N/A</v>
      </c>
      <c r="G218" s="175" t="str">
        <f>IFERROR(__xludf.DUMMYFUNCTION("average.weighted(filter(Data!L:L,Data!B:B=A218),filter(Data!F:F,Data!B:B=A218))"),"#N/A")</f>
        <v>#N/A</v>
      </c>
    </row>
    <row r="219" hidden="1">
      <c r="A219" s="172" t="s">
        <v>462</v>
      </c>
      <c r="B219" s="173">
        <f>countif(Data!B:B,A219)</f>
        <v>0</v>
      </c>
      <c r="C219" s="174">
        <f>sumif(Data!B:B,A219,Data!M:M)</f>
        <v>0</v>
      </c>
      <c r="D219" s="174" t="str">
        <f t="shared" si="1"/>
        <v>#DIV/0!</v>
      </c>
      <c r="E219" s="175" t="str">
        <f t="shared" si="2"/>
        <v>#N/A</v>
      </c>
      <c r="F219" s="175" t="str">
        <f>IFERROR(__xludf.DUMMYFUNCTION("average.weighted(filter(Data!K:K,Data!B:B=A219),filter(Data!F:F,Data!B:B=A219))"),"#N/A")</f>
        <v>#N/A</v>
      </c>
      <c r="G219" s="175" t="str">
        <f>IFERROR(__xludf.DUMMYFUNCTION("average.weighted(filter(Data!L:L,Data!B:B=A219),filter(Data!F:F,Data!B:B=A219))"),"#N/A")</f>
        <v>#N/A</v>
      </c>
    </row>
    <row r="220" hidden="1">
      <c r="A220" s="172" t="s">
        <v>463</v>
      </c>
      <c r="B220" s="173">
        <f>countif(Data!B:B,A220)</f>
        <v>0</v>
      </c>
      <c r="C220" s="174">
        <f>sumif(Data!B:B,A220,Data!M:M)</f>
        <v>0</v>
      </c>
      <c r="D220" s="174" t="str">
        <f t="shared" si="1"/>
        <v>#DIV/0!</v>
      </c>
      <c r="E220" s="175" t="str">
        <f t="shared" si="2"/>
        <v>#N/A</v>
      </c>
      <c r="F220" s="175" t="str">
        <f>IFERROR(__xludf.DUMMYFUNCTION("average.weighted(filter(Data!K:K,Data!B:B=A220),filter(Data!F:F,Data!B:B=A220))"),"#N/A")</f>
        <v>#N/A</v>
      </c>
      <c r="G220" s="175" t="str">
        <f>IFERROR(__xludf.DUMMYFUNCTION("average.weighted(filter(Data!L:L,Data!B:B=A220),filter(Data!F:F,Data!B:B=A220))"),"#N/A")</f>
        <v>#N/A</v>
      </c>
    </row>
    <row r="221" hidden="1">
      <c r="A221" s="172" t="s">
        <v>464</v>
      </c>
      <c r="B221" s="173">
        <f>countif(Data!B:B,A221)</f>
        <v>0</v>
      </c>
      <c r="C221" s="174">
        <f>sumif(Data!B:B,A221,Data!M:M)</f>
        <v>0</v>
      </c>
      <c r="D221" s="174" t="str">
        <f t="shared" si="1"/>
        <v>#DIV/0!</v>
      </c>
      <c r="E221" s="175" t="str">
        <f t="shared" si="2"/>
        <v>#N/A</v>
      </c>
      <c r="F221" s="175" t="str">
        <f>IFERROR(__xludf.DUMMYFUNCTION("average.weighted(filter(Data!K:K,Data!B:B=A221),filter(Data!F:F,Data!B:B=A221))"),"#N/A")</f>
        <v>#N/A</v>
      </c>
      <c r="G221" s="175" t="str">
        <f>IFERROR(__xludf.DUMMYFUNCTION("average.weighted(filter(Data!L:L,Data!B:B=A221),filter(Data!F:F,Data!B:B=A221))"),"#N/A")</f>
        <v>#N/A</v>
      </c>
    </row>
    <row r="222" hidden="1">
      <c r="A222" s="172" t="s">
        <v>465</v>
      </c>
      <c r="B222" s="173">
        <f>countif(Data!B:B,A222)</f>
        <v>0</v>
      </c>
      <c r="C222" s="174">
        <f>sumif(Data!B:B,A222,Data!M:M)</f>
        <v>0</v>
      </c>
      <c r="D222" s="174" t="str">
        <f t="shared" si="1"/>
        <v>#DIV/0!</v>
      </c>
      <c r="E222" s="175" t="str">
        <f t="shared" si="2"/>
        <v>#N/A</v>
      </c>
      <c r="F222" s="175" t="str">
        <f>IFERROR(__xludf.DUMMYFUNCTION("average.weighted(filter(Data!K:K,Data!B:B=A222),filter(Data!F:F,Data!B:B=A222))"),"#N/A")</f>
        <v>#N/A</v>
      </c>
      <c r="G222" s="175" t="str">
        <f>IFERROR(__xludf.DUMMYFUNCTION("average.weighted(filter(Data!L:L,Data!B:B=A222),filter(Data!F:F,Data!B:B=A222))"),"#N/A")</f>
        <v>#N/A</v>
      </c>
    </row>
    <row r="223" hidden="1">
      <c r="A223" s="172" t="s">
        <v>466</v>
      </c>
      <c r="B223" s="173">
        <f>countif(Data!B:B,A223)</f>
        <v>0</v>
      </c>
      <c r="C223" s="174">
        <f>sumif(Data!B:B,A223,Data!M:M)</f>
        <v>0</v>
      </c>
      <c r="D223" s="174" t="str">
        <f t="shared" si="1"/>
        <v>#DIV/0!</v>
      </c>
      <c r="E223" s="175" t="str">
        <f t="shared" si="2"/>
        <v>#N/A</v>
      </c>
      <c r="F223" s="175" t="str">
        <f>IFERROR(__xludf.DUMMYFUNCTION("average.weighted(filter(Data!K:K,Data!B:B=A223),filter(Data!F:F,Data!B:B=A223))"),"#N/A")</f>
        <v>#N/A</v>
      </c>
      <c r="G223" s="175" t="str">
        <f>IFERROR(__xludf.DUMMYFUNCTION("average.weighted(filter(Data!L:L,Data!B:B=A223),filter(Data!F:F,Data!B:B=A223))"),"#N/A")</f>
        <v>#N/A</v>
      </c>
    </row>
    <row r="224" hidden="1">
      <c r="A224" s="172" t="s">
        <v>467</v>
      </c>
      <c r="B224" s="173">
        <f>countif(Data!B:B,A224)</f>
        <v>0</v>
      </c>
      <c r="C224" s="174">
        <f>sumif(Data!B:B,A224,Data!M:M)</f>
        <v>0</v>
      </c>
      <c r="D224" s="174" t="str">
        <f t="shared" si="1"/>
        <v>#DIV/0!</v>
      </c>
      <c r="E224" s="175" t="str">
        <f t="shared" si="2"/>
        <v>#N/A</v>
      </c>
      <c r="F224" s="175" t="str">
        <f>IFERROR(__xludf.DUMMYFUNCTION("average.weighted(filter(Data!K:K,Data!B:B=A224),filter(Data!F:F,Data!B:B=A224))"),"#N/A")</f>
        <v>#N/A</v>
      </c>
      <c r="G224" s="175" t="str">
        <f>IFERROR(__xludf.DUMMYFUNCTION("average.weighted(filter(Data!L:L,Data!B:B=A224),filter(Data!F:F,Data!B:B=A224))"),"#N/A")</f>
        <v>#N/A</v>
      </c>
    </row>
    <row r="225" hidden="1">
      <c r="A225" s="172" t="s">
        <v>468</v>
      </c>
      <c r="B225" s="173">
        <f>countif(Data!B:B,A225)</f>
        <v>0</v>
      </c>
      <c r="C225" s="174">
        <f>sumif(Data!B:B,A225,Data!M:M)</f>
        <v>0</v>
      </c>
      <c r="D225" s="174" t="str">
        <f t="shared" si="1"/>
        <v>#DIV/0!</v>
      </c>
      <c r="E225" s="175" t="str">
        <f t="shared" si="2"/>
        <v>#N/A</v>
      </c>
      <c r="F225" s="175" t="str">
        <f>IFERROR(__xludf.DUMMYFUNCTION("average.weighted(filter(Data!K:K,Data!B:B=A225),filter(Data!F:F,Data!B:B=A225))"),"#N/A")</f>
        <v>#N/A</v>
      </c>
      <c r="G225" s="175" t="str">
        <f>IFERROR(__xludf.DUMMYFUNCTION("average.weighted(filter(Data!L:L,Data!B:B=A225),filter(Data!F:F,Data!B:B=A225))"),"#N/A")</f>
        <v>#N/A</v>
      </c>
    </row>
    <row r="226" hidden="1">
      <c r="A226" s="172" t="s">
        <v>469</v>
      </c>
      <c r="B226" s="173">
        <f>countif(Data!B:B,A226)</f>
        <v>0</v>
      </c>
      <c r="C226" s="174">
        <f>sumif(Data!B:B,A226,Data!M:M)</f>
        <v>0</v>
      </c>
      <c r="D226" s="174" t="str">
        <f t="shared" si="1"/>
        <v>#DIV/0!</v>
      </c>
      <c r="E226" s="175" t="str">
        <f t="shared" si="2"/>
        <v>#N/A</v>
      </c>
      <c r="F226" s="175" t="str">
        <f>IFERROR(__xludf.DUMMYFUNCTION("average.weighted(filter(Data!K:K,Data!B:B=A226),filter(Data!F:F,Data!B:B=A226))"),"#N/A")</f>
        <v>#N/A</v>
      </c>
      <c r="G226" s="175" t="str">
        <f>IFERROR(__xludf.DUMMYFUNCTION("average.weighted(filter(Data!L:L,Data!B:B=A226),filter(Data!F:F,Data!B:B=A226))"),"#N/A")</f>
        <v>#N/A</v>
      </c>
    </row>
    <row r="227" hidden="1">
      <c r="A227" s="172" t="s">
        <v>470</v>
      </c>
      <c r="B227" s="173">
        <f>countif(Data!B:B,A227)</f>
        <v>0</v>
      </c>
      <c r="C227" s="174">
        <f>sumif(Data!B:B,A227,Data!M:M)</f>
        <v>0</v>
      </c>
      <c r="D227" s="174" t="str">
        <f t="shared" si="1"/>
        <v>#DIV/0!</v>
      </c>
      <c r="E227" s="175" t="str">
        <f t="shared" si="2"/>
        <v>#N/A</v>
      </c>
      <c r="F227" s="175" t="str">
        <f>IFERROR(__xludf.DUMMYFUNCTION("average.weighted(filter(Data!K:K,Data!B:B=A227),filter(Data!F:F,Data!B:B=A227))"),"#N/A")</f>
        <v>#N/A</v>
      </c>
      <c r="G227" s="175" t="str">
        <f>IFERROR(__xludf.DUMMYFUNCTION("average.weighted(filter(Data!L:L,Data!B:B=A227),filter(Data!F:F,Data!B:B=A227))"),"#N/A")</f>
        <v>#N/A</v>
      </c>
    </row>
    <row r="228" hidden="1">
      <c r="A228" s="172" t="s">
        <v>471</v>
      </c>
      <c r="B228" s="173">
        <f>countif(Data!B:B,A228)</f>
        <v>0</v>
      </c>
      <c r="C228" s="174">
        <f>sumif(Data!B:B,A228,Data!M:M)</f>
        <v>0</v>
      </c>
      <c r="D228" s="174" t="str">
        <f t="shared" si="1"/>
        <v>#DIV/0!</v>
      </c>
      <c r="E228" s="175" t="str">
        <f t="shared" si="2"/>
        <v>#N/A</v>
      </c>
      <c r="F228" s="175" t="str">
        <f>IFERROR(__xludf.DUMMYFUNCTION("average.weighted(filter(Data!K:K,Data!B:B=A228),filter(Data!F:F,Data!B:B=A228))"),"#N/A")</f>
        <v>#N/A</v>
      </c>
      <c r="G228" s="175" t="str">
        <f>IFERROR(__xludf.DUMMYFUNCTION("average.weighted(filter(Data!L:L,Data!B:B=A228),filter(Data!F:F,Data!B:B=A228))"),"#N/A")</f>
        <v>#N/A</v>
      </c>
    </row>
    <row r="229" hidden="1">
      <c r="A229" s="172" t="s">
        <v>472</v>
      </c>
      <c r="B229" s="173">
        <f>countif(Data!B:B,A229)</f>
        <v>0</v>
      </c>
      <c r="C229" s="174">
        <f>sumif(Data!B:B,A229,Data!M:M)</f>
        <v>0</v>
      </c>
      <c r="D229" s="174" t="str">
        <f t="shared" si="1"/>
        <v>#DIV/0!</v>
      </c>
      <c r="E229" s="175" t="str">
        <f t="shared" si="2"/>
        <v>#N/A</v>
      </c>
      <c r="F229" s="175" t="str">
        <f>IFERROR(__xludf.DUMMYFUNCTION("average.weighted(filter(Data!K:K,Data!B:B=A229),filter(Data!F:F,Data!B:B=A229))"),"#N/A")</f>
        <v>#N/A</v>
      </c>
      <c r="G229" s="175" t="str">
        <f>IFERROR(__xludf.DUMMYFUNCTION("average.weighted(filter(Data!L:L,Data!B:B=A229),filter(Data!F:F,Data!B:B=A229))"),"#N/A")</f>
        <v>#N/A</v>
      </c>
    </row>
    <row r="230" hidden="1">
      <c r="A230" s="172" t="s">
        <v>473</v>
      </c>
      <c r="B230" s="173">
        <f>countif(Data!B:B,A230)</f>
        <v>0</v>
      </c>
      <c r="C230" s="174">
        <f>sumif(Data!B:B,A230,Data!M:M)</f>
        <v>0</v>
      </c>
      <c r="D230" s="174" t="str">
        <f t="shared" si="1"/>
        <v>#DIV/0!</v>
      </c>
      <c r="E230" s="175" t="str">
        <f t="shared" si="2"/>
        <v>#N/A</v>
      </c>
      <c r="F230" s="175" t="str">
        <f>IFERROR(__xludf.DUMMYFUNCTION("average.weighted(filter(Data!K:K,Data!B:B=A230),filter(Data!F:F,Data!B:B=A230))"),"#N/A")</f>
        <v>#N/A</v>
      </c>
      <c r="G230" s="175" t="str">
        <f>IFERROR(__xludf.DUMMYFUNCTION("average.weighted(filter(Data!L:L,Data!B:B=A230),filter(Data!F:F,Data!B:B=A230))"),"#N/A")</f>
        <v>#N/A</v>
      </c>
    </row>
    <row r="231" hidden="1">
      <c r="A231" s="172" t="s">
        <v>474</v>
      </c>
      <c r="B231" s="173">
        <f>countif(Data!B:B,A231)</f>
        <v>0</v>
      </c>
      <c r="C231" s="174">
        <f>sumif(Data!B:B,A231,Data!M:M)</f>
        <v>0</v>
      </c>
      <c r="D231" s="174" t="str">
        <f t="shared" si="1"/>
        <v>#DIV/0!</v>
      </c>
      <c r="E231" s="175" t="str">
        <f t="shared" si="2"/>
        <v>#N/A</v>
      </c>
      <c r="F231" s="175" t="str">
        <f>IFERROR(__xludf.DUMMYFUNCTION("average.weighted(filter(Data!K:K,Data!B:B=A231),filter(Data!F:F,Data!B:B=A231))"),"#N/A")</f>
        <v>#N/A</v>
      </c>
      <c r="G231" s="175" t="str">
        <f>IFERROR(__xludf.DUMMYFUNCTION("average.weighted(filter(Data!L:L,Data!B:B=A231),filter(Data!F:F,Data!B:B=A231))"),"#N/A")</f>
        <v>#N/A</v>
      </c>
    </row>
    <row r="232" hidden="1">
      <c r="A232" s="172" t="s">
        <v>475</v>
      </c>
      <c r="B232" s="173">
        <f>countif(Data!B:B,A232)</f>
        <v>0</v>
      </c>
      <c r="C232" s="174">
        <f>sumif(Data!B:B,A232,Data!M:M)</f>
        <v>0</v>
      </c>
      <c r="D232" s="174" t="str">
        <f t="shared" si="1"/>
        <v>#DIV/0!</v>
      </c>
      <c r="E232" s="175" t="str">
        <f t="shared" si="2"/>
        <v>#N/A</v>
      </c>
      <c r="F232" s="175" t="str">
        <f>IFERROR(__xludf.DUMMYFUNCTION("average.weighted(filter(Data!K:K,Data!B:B=A232),filter(Data!F:F,Data!B:B=A232))"),"#N/A")</f>
        <v>#N/A</v>
      </c>
      <c r="G232" s="175" t="str">
        <f>IFERROR(__xludf.DUMMYFUNCTION("average.weighted(filter(Data!L:L,Data!B:B=A232),filter(Data!F:F,Data!B:B=A232))"),"#N/A")</f>
        <v>#N/A</v>
      </c>
    </row>
    <row r="233" hidden="1">
      <c r="A233" s="172" t="s">
        <v>476</v>
      </c>
      <c r="B233" s="173">
        <f>countif(Data!B:B,A233)</f>
        <v>0</v>
      </c>
      <c r="C233" s="174">
        <f>sumif(Data!B:B,A233,Data!M:M)</f>
        <v>0</v>
      </c>
      <c r="D233" s="174" t="str">
        <f t="shared" si="1"/>
        <v>#DIV/0!</v>
      </c>
      <c r="E233" s="175" t="str">
        <f t="shared" si="2"/>
        <v>#N/A</v>
      </c>
      <c r="F233" s="175" t="str">
        <f>IFERROR(__xludf.DUMMYFUNCTION("average.weighted(filter(Data!K:K,Data!B:B=A233),filter(Data!F:F,Data!B:B=A233))"),"#N/A")</f>
        <v>#N/A</v>
      </c>
      <c r="G233" s="175" t="str">
        <f>IFERROR(__xludf.DUMMYFUNCTION("average.weighted(filter(Data!L:L,Data!B:B=A233),filter(Data!F:F,Data!B:B=A233))"),"#N/A")</f>
        <v>#N/A</v>
      </c>
    </row>
    <row r="234" hidden="1">
      <c r="A234" s="172" t="s">
        <v>477</v>
      </c>
      <c r="B234" s="173">
        <f>countif(Data!B:B,A234)</f>
        <v>0</v>
      </c>
      <c r="C234" s="174">
        <f>sumif(Data!B:B,A234,Data!M:M)</f>
        <v>0</v>
      </c>
      <c r="D234" s="174" t="str">
        <f t="shared" si="1"/>
        <v>#DIV/0!</v>
      </c>
      <c r="E234" s="175" t="str">
        <f t="shared" si="2"/>
        <v>#N/A</v>
      </c>
      <c r="F234" s="175" t="str">
        <f>IFERROR(__xludf.DUMMYFUNCTION("average.weighted(filter(Data!K:K,Data!B:B=A234),filter(Data!F:F,Data!B:B=A234))"),"#N/A")</f>
        <v>#N/A</v>
      </c>
      <c r="G234" s="175" t="str">
        <f>IFERROR(__xludf.DUMMYFUNCTION("average.weighted(filter(Data!L:L,Data!B:B=A234),filter(Data!F:F,Data!B:B=A234))"),"#N/A")</f>
        <v>#N/A</v>
      </c>
    </row>
    <row r="235" hidden="1">
      <c r="A235" s="172" t="s">
        <v>478</v>
      </c>
      <c r="B235" s="173">
        <f>countif(Data!B:B,A235)</f>
        <v>0</v>
      </c>
      <c r="C235" s="174">
        <f>sumif(Data!B:B,A235,Data!M:M)</f>
        <v>0</v>
      </c>
      <c r="D235" s="174" t="str">
        <f t="shared" si="1"/>
        <v>#DIV/0!</v>
      </c>
      <c r="E235" s="175" t="str">
        <f t="shared" si="2"/>
        <v>#N/A</v>
      </c>
      <c r="F235" s="175" t="str">
        <f>IFERROR(__xludf.DUMMYFUNCTION("average.weighted(filter(Data!K:K,Data!B:B=A235),filter(Data!F:F,Data!B:B=A235))"),"#N/A")</f>
        <v>#N/A</v>
      </c>
      <c r="G235" s="175" t="str">
        <f>IFERROR(__xludf.DUMMYFUNCTION("average.weighted(filter(Data!L:L,Data!B:B=A235),filter(Data!F:F,Data!B:B=A235))"),"#N/A")</f>
        <v>#N/A</v>
      </c>
    </row>
    <row r="236" hidden="1">
      <c r="A236" s="172" t="s">
        <v>479</v>
      </c>
      <c r="B236" s="173">
        <f>countif(Data!B:B,A236)</f>
        <v>0</v>
      </c>
      <c r="C236" s="174">
        <f>sumif(Data!B:B,A236,Data!M:M)</f>
        <v>0</v>
      </c>
      <c r="D236" s="174" t="str">
        <f t="shared" si="1"/>
        <v>#DIV/0!</v>
      </c>
      <c r="E236" s="175" t="str">
        <f t="shared" si="2"/>
        <v>#N/A</v>
      </c>
      <c r="F236" s="175" t="str">
        <f>IFERROR(__xludf.DUMMYFUNCTION("average.weighted(filter(Data!K:K,Data!B:B=A236),filter(Data!F:F,Data!B:B=A236))"),"#N/A")</f>
        <v>#N/A</v>
      </c>
      <c r="G236" s="175" t="str">
        <f>IFERROR(__xludf.DUMMYFUNCTION("average.weighted(filter(Data!L:L,Data!B:B=A236),filter(Data!F:F,Data!B:B=A236))"),"#N/A")</f>
        <v>#N/A</v>
      </c>
    </row>
    <row r="237" hidden="1">
      <c r="A237" s="172" t="s">
        <v>480</v>
      </c>
      <c r="B237" s="173">
        <f>countif(Data!B:B,A237)</f>
        <v>0</v>
      </c>
      <c r="C237" s="174">
        <f>sumif(Data!B:B,A237,Data!M:M)</f>
        <v>0</v>
      </c>
      <c r="D237" s="174" t="str">
        <f t="shared" si="1"/>
        <v>#DIV/0!</v>
      </c>
      <c r="E237" s="175" t="str">
        <f t="shared" si="2"/>
        <v>#N/A</v>
      </c>
      <c r="F237" s="175" t="str">
        <f>IFERROR(__xludf.DUMMYFUNCTION("average.weighted(filter(Data!K:K,Data!B:B=A237),filter(Data!F:F,Data!B:B=A237))"),"#N/A")</f>
        <v>#N/A</v>
      </c>
      <c r="G237" s="175" t="str">
        <f>IFERROR(__xludf.DUMMYFUNCTION("average.weighted(filter(Data!L:L,Data!B:B=A237),filter(Data!F:F,Data!B:B=A237))"),"#N/A")</f>
        <v>#N/A</v>
      </c>
    </row>
    <row r="238" hidden="1">
      <c r="A238" s="172" t="s">
        <v>481</v>
      </c>
      <c r="B238" s="173">
        <f>countif(Data!B:B,A238)</f>
        <v>0</v>
      </c>
      <c r="C238" s="174">
        <f>sumif(Data!B:B,A238,Data!M:M)</f>
        <v>0</v>
      </c>
      <c r="D238" s="174" t="str">
        <f t="shared" si="1"/>
        <v>#DIV/0!</v>
      </c>
      <c r="E238" s="175" t="str">
        <f t="shared" si="2"/>
        <v>#N/A</v>
      </c>
      <c r="F238" s="175" t="str">
        <f>IFERROR(__xludf.DUMMYFUNCTION("average.weighted(filter(Data!K:K,Data!B:B=A238),filter(Data!F:F,Data!B:B=A238))"),"#N/A")</f>
        <v>#N/A</v>
      </c>
      <c r="G238" s="175" t="str">
        <f>IFERROR(__xludf.DUMMYFUNCTION("average.weighted(filter(Data!L:L,Data!B:B=A238),filter(Data!F:F,Data!B:B=A238))"),"#N/A")</f>
        <v>#N/A</v>
      </c>
    </row>
    <row r="239" hidden="1">
      <c r="A239" s="172" t="s">
        <v>482</v>
      </c>
      <c r="B239" s="173">
        <f>countif(Data!B:B,A239)</f>
        <v>0</v>
      </c>
      <c r="C239" s="174">
        <f>sumif(Data!B:B,A239,Data!M:M)</f>
        <v>0</v>
      </c>
      <c r="D239" s="174" t="str">
        <f t="shared" si="1"/>
        <v>#DIV/0!</v>
      </c>
      <c r="E239" s="175" t="str">
        <f t="shared" si="2"/>
        <v>#N/A</v>
      </c>
      <c r="F239" s="175" t="str">
        <f>IFERROR(__xludf.DUMMYFUNCTION("average.weighted(filter(Data!K:K,Data!B:B=A239),filter(Data!F:F,Data!B:B=A239))"),"#N/A")</f>
        <v>#N/A</v>
      </c>
      <c r="G239" s="175" t="str">
        <f>IFERROR(__xludf.DUMMYFUNCTION("average.weighted(filter(Data!L:L,Data!B:B=A239),filter(Data!F:F,Data!B:B=A239))"),"#N/A")</f>
        <v>#N/A</v>
      </c>
    </row>
    <row r="240" hidden="1">
      <c r="A240" s="172" t="s">
        <v>483</v>
      </c>
      <c r="B240" s="173">
        <f>countif(Data!B:B,A240)</f>
        <v>0</v>
      </c>
      <c r="C240" s="174">
        <f>sumif(Data!B:B,A240,Data!M:M)</f>
        <v>0</v>
      </c>
      <c r="D240" s="174" t="str">
        <f t="shared" si="1"/>
        <v>#DIV/0!</v>
      </c>
      <c r="E240" s="175" t="str">
        <f t="shared" si="2"/>
        <v>#N/A</v>
      </c>
      <c r="F240" s="175" t="str">
        <f>IFERROR(__xludf.DUMMYFUNCTION("average.weighted(filter(Data!K:K,Data!B:B=A240),filter(Data!F:F,Data!B:B=A240))"),"#N/A")</f>
        <v>#N/A</v>
      </c>
      <c r="G240" s="175" t="str">
        <f>IFERROR(__xludf.DUMMYFUNCTION("average.weighted(filter(Data!L:L,Data!B:B=A240),filter(Data!F:F,Data!B:B=A240))"),"#N/A")</f>
        <v>#N/A</v>
      </c>
    </row>
    <row r="241" hidden="1">
      <c r="A241" s="172" t="s">
        <v>484</v>
      </c>
      <c r="B241" s="173">
        <f>countif(Data!B:B,A241)</f>
        <v>0</v>
      </c>
      <c r="C241" s="174">
        <f>sumif(Data!B:B,A241,Data!M:M)</f>
        <v>0</v>
      </c>
      <c r="D241" s="174" t="str">
        <f t="shared" si="1"/>
        <v>#DIV/0!</v>
      </c>
      <c r="E241" s="175" t="str">
        <f t="shared" si="2"/>
        <v>#N/A</v>
      </c>
      <c r="F241" s="175" t="str">
        <f>IFERROR(__xludf.DUMMYFUNCTION("average.weighted(filter(Data!K:K,Data!B:B=A241),filter(Data!F:F,Data!B:B=A241))"),"#N/A")</f>
        <v>#N/A</v>
      </c>
      <c r="G241" s="175" t="str">
        <f>IFERROR(__xludf.DUMMYFUNCTION("average.weighted(filter(Data!L:L,Data!B:B=A241),filter(Data!F:F,Data!B:B=A241))"),"#N/A")</f>
        <v>#N/A</v>
      </c>
    </row>
    <row r="242" hidden="1">
      <c r="A242" s="172" t="s">
        <v>485</v>
      </c>
      <c r="B242" s="173">
        <f>countif(Data!B:B,A242)</f>
        <v>0</v>
      </c>
      <c r="C242" s="174">
        <f>sumif(Data!B:B,A242,Data!M:M)</f>
        <v>0</v>
      </c>
      <c r="D242" s="174" t="str">
        <f t="shared" si="1"/>
        <v>#DIV/0!</v>
      </c>
      <c r="E242" s="175" t="str">
        <f t="shared" si="2"/>
        <v>#N/A</v>
      </c>
      <c r="F242" s="175" t="str">
        <f>IFERROR(__xludf.DUMMYFUNCTION("average.weighted(filter(Data!K:K,Data!B:B=A242),filter(Data!F:F,Data!B:B=A242))"),"#N/A")</f>
        <v>#N/A</v>
      </c>
      <c r="G242" s="175" t="str">
        <f>IFERROR(__xludf.DUMMYFUNCTION("average.weighted(filter(Data!L:L,Data!B:B=A242),filter(Data!F:F,Data!B:B=A242))"),"#N/A")</f>
        <v>#N/A</v>
      </c>
    </row>
    <row r="243" hidden="1">
      <c r="A243" s="172" t="s">
        <v>486</v>
      </c>
      <c r="B243" s="173">
        <f>countif(Data!B:B,A243)</f>
        <v>0</v>
      </c>
      <c r="C243" s="174">
        <f>sumif(Data!B:B,A243,Data!M:M)</f>
        <v>0</v>
      </c>
      <c r="D243" s="174" t="str">
        <f t="shared" si="1"/>
        <v>#DIV/0!</v>
      </c>
      <c r="E243" s="175" t="str">
        <f t="shared" si="2"/>
        <v>#N/A</v>
      </c>
      <c r="F243" s="175" t="str">
        <f>IFERROR(__xludf.DUMMYFUNCTION("average.weighted(filter(Data!K:K,Data!B:B=A243),filter(Data!F:F,Data!B:B=A243))"),"#N/A")</f>
        <v>#N/A</v>
      </c>
      <c r="G243" s="175" t="str">
        <f>IFERROR(__xludf.DUMMYFUNCTION("average.weighted(filter(Data!L:L,Data!B:B=A243),filter(Data!F:F,Data!B:B=A243))"),"#N/A")</f>
        <v>#N/A</v>
      </c>
    </row>
    <row r="244" hidden="1">
      <c r="A244" s="172" t="s">
        <v>487</v>
      </c>
      <c r="B244" s="173">
        <f>countif(Data!B:B,A244)</f>
        <v>0</v>
      </c>
      <c r="C244" s="174">
        <f>sumif(Data!B:B,A244,Data!M:M)</f>
        <v>0</v>
      </c>
      <c r="D244" s="174" t="str">
        <f t="shared" si="1"/>
        <v>#DIV/0!</v>
      </c>
      <c r="E244" s="175" t="str">
        <f t="shared" si="2"/>
        <v>#N/A</v>
      </c>
      <c r="F244" s="175" t="str">
        <f>IFERROR(__xludf.DUMMYFUNCTION("average.weighted(filter(Data!K:K,Data!B:B=A244),filter(Data!F:F,Data!B:B=A244))"),"#N/A")</f>
        <v>#N/A</v>
      </c>
      <c r="G244" s="175" t="str">
        <f>IFERROR(__xludf.DUMMYFUNCTION("average.weighted(filter(Data!L:L,Data!B:B=A244),filter(Data!F:F,Data!B:B=A244))"),"#N/A")</f>
        <v>#N/A</v>
      </c>
    </row>
    <row r="245" hidden="1">
      <c r="A245" s="172" t="s">
        <v>488</v>
      </c>
      <c r="B245" s="173">
        <f>countif(Data!B:B,A245)</f>
        <v>0</v>
      </c>
      <c r="C245" s="174">
        <f>sumif(Data!B:B,A245,Data!M:M)</f>
        <v>0</v>
      </c>
      <c r="D245" s="174" t="str">
        <f t="shared" si="1"/>
        <v>#DIV/0!</v>
      </c>
      <c r="E245" s="175" t="str">
        <f t="shared" si="2"/>
        <v>#N/A</v>
      </c>
      <c r="F245" s="175" t="str">
        <f>IFERROR(__xludf.DUMMYFUNCTION("average.weighted(filter(Data!K:K,Data!B:B=A245),filter(Data!F:F,Data!B:B=A245))"),"#N/A")</f>
        <v>#N/A</v>
      </c>
      <c r="G245" s="175" t="str">
        <f>IFERROR(__xludf.DUMMYFUNCTION("average.weighted(filter(Data!L:L,Data!B:B=A245),filter(Data!F:F,Data!B:B=A245))"),"#N/A")</f>
        <v>#N/A</v>
      </c>
    </row>
    <row r="246" hidden="1">
      <c r="A246" s="172" t="s">
        <v>489</v>
      </c>
      <c r="B246" s="173">
        <f>countif(Data!B:B,A246)</f>
        <v>0</v>
      </c>
      <c r="C246" s="174">
        <f>sumif(Data!B:B,A246,Data!M:M)</f>
        <v>0</v>
      </c>
      <c r="D246" s="174" t="str">
        <f t="shared" si="1"/>
        <v>#DIV/0!</v>
      </c>
      <c r="E246" s="175" t="str">
        <f t="shared" si="2"/>
        <v>#N/A</v>
      </c>
      <c r="F246" s="175" t="str">
        <f>IFERROR(__xludf.DUMMYFUNCTION("average.weighted(filter(Data!K:K,Data!B:B=A246),filter(Data!F:F,Data!B:B=A246))"),"#N/A")</f>
        <v>#N/A</v>
      </c>
      <c r="G246" s="175" t="str">
        <f>IFERROR(__xludf.DUMMYFUNCTION("average.weighted(filter(Data!L:L,Data!B:B=A246),filter(Data!F:F,Data!B:B=A246))"),"#N/A")</f>
        <v>#N/A</v>
      </c>
    </row>
    <row r="247" hidden="1">
      <c r="A247" s="172" t="s">
        <v>490</v>
      </c>
      <c r="B247" s="173">
        <f>countif(Data!B:B,A247)</f>
        <v>0</v>
      </c>
      <c r="C247" s="174">
        <f>sumif(Data!B:B,A247,Data!M:M)</f>
        <v>0</v>
      </c>
      <c r="D247" s="174" t="str">
        <f t="shared" si="1"/>
        <v>#DIV/0!</v>
      </c>
      <c r="E247" s="175" t="str">
        <f t="shared" si="2"/>
        <v>#N/A</v>
      </c>
      <c r="F247" s="175" t="str">
        <f>IFERROR(__xludf.DUMMYFUNCTION("average.weighted(filter(Data!K:K,Data!B:B=A247),filter(Data!F:F,Data!B:B=A247))"),"#N/A")</f>
        <v>#N/A</v>
      </c>
      <c r="G247" s="175" t="str">
        <f>IFERROR(__xludf.DUMMYFUNCTION("average.weighted(filter(Data!L:L,Data!B:B=A247),filter(Data!F:F,Data!B:B=A247))"),"#N/A")</f>
        <v>#N/A</v>
      </c>
    </row>
    <row r="248" hidden="1">
      <c r="A248" s="172" t="s">
        <v>491</v>
      </c>
      <c r="B248" s="173">
        <f>countif(Data!B:B,A248)</f>
        <v>0</v>
      </c>
      <c r="C248" s="174">
        <f>sumif(Data!B:B,A248,Data!M:M)</f>
        <v>0</v>
      </c>
      <c r="D248" s="174" t="str">
        <f t="shared" si="1"/>
        <v>#DIV/0!</v>
      </c>
      <c r="E248" s="175" t="str">
        <f t="shared" si="2"/>
        <v>#N/A</v>
      </c>
      <c r="F248" s="175" t="str">
        <f>IFERROR(__xludf.DUMMYFUNCTION("average.weighted(filter(Data!K:K,Data!B:B=A248),filter(Data!F:F,Data!B:B=A248))"),"#N/A")</f>
        <v>#N/A</v>
      </c>
      <c r="G248" s="175" t="str">
        <f>IFERROR(__xludf.DUMMYFUNCTION("average.weighted(filter(Data!L:L,Data!B:B=A248),filter(Data!F:F,Data!B:B=A248))"),"#N/A")</f>
        <v>#N/A</v>
      </c>
    </row>
    <row r="249" hidden="1">
      <c r="A249" s="172" t="s">
        <v>492</v>
      </c>
      <c r="B249" s="173">
        <f>countif(Data!B:B,A249)</f>
        <v>0</v>
      </c>
      <c r="C249" s="174">
        <f>sumif(Data!B:B,A249,Data!M:M)</f>
        <v>0</v>
      </c>
      <c r="D249" s="174" t="str">
        <f t="shared" si="1"/>
        <v>#DIV/0!</v>
      </c>
      <c r="E249" s="175" t="str">
        <f t="shared" si="2"/>
        <v>#N/A</v>
      </c>
      <c r="F249" s="175" t="str">
        <f>IFERROR(__xludf.DUMMYFUNCTION("average.weighted(filter(Data!K:K,Data!B:B=A249),filter(Data!F:F,Data!B:B=A249))"),"#N/A")</f>
        <v>#N/A</v>
      </c>
      <c r="G249" s="175" t="str">
        <f>IFERROR(__xludf.DUMMYFUNCTION("average.weighted(filter(Data!L:L,Data!B:B=A249),filter(Data!F:F,Data!B:B=A249))"),"#N/A")</f>
        <v>#N/A</v>
      </c>
    </row>
    <row r="250" hidden="1">
      <c r="A250" s="172" t="s">
        <v>493</v>
      </c>
      <c r="B250" s="173">
        <f>countif(Data!B:B,A250)</f>
        <v>0</v>
      </c>
      <c r="C250" s="174">
        <f>sumif(Data!B:B,A250,Data!M:M)</f>
        <v>0</v>
      </c>
      <c r="D250" s="174" t="str">
        <f t="shared" si="1"/>
        <v>#DIV/0!</v>
      </c>
      <c r="E250" s="175" t="str">
        <f t="shared" si="2"/>
        <v>#N/A</v>
      </c>
      <c r="F250" s="175" t="str">
        <f>IFERROR(__xludf.DUMMYFUNCTION("average.weighted(filter(Data!K:K,Data!B:B=A250),filter(Data!F:F,Data!B:B=A250))"),"#N/A")</f>
        <v>#N/A</v>
      </c>
      <c r="G250" s="175" t="str">
        <f>IFERROR(__xludf.DUMMYFUNCTION("average.weighted(filter(Data!L:L,Data!B:B=A250),filter(Data!F:F,Data!B:B=A250))"),"#N/A")</f>
        <v>#N/A</v>
      </c>
    </row>
    <row r="251" hidden="1">
      <c r="A251" s="172" t="s">
        <v>494</v>
      </c>
      <c r="B251" s="173">
        <f>countif(Data!B:B,A251)</f>
        <v>0</v>
      </c>
      <c r="C251" s="174">
        <f>sumif(Data!B:B,A251,Data!M:M)</f>
        <v>0</v>
      </c>
      <c r="D251" s="174" t="str">
        <f t="shared" si="1"/>
        <v>#DIV/0!</v>
      </c>
      <c r="E251" s="175" t="str">
        <f t="shared" si="2"/>
        <v>#N/A</v>
      </c>
      <c r="F251" s="175" t="str">
        <f>IFERROR(__xludf.DUMMYFUNCTION("average.weighted(filter(Data!K:K,Data!B:B=A251),filter(Data!F:F,Data!B:B=A251))"),"#N/A")</f>
        <v>#N/A</v>
      </c>
      <c r="G251" s="175" t="str">
        <f>IFERROR(__xludf.DUMMYFUNCTION("average.weighted(filter(Data!L:L,Data!B:B=A251),filter(Data!F:F,Data!B:B=A251))"),"#N/A")</f>
        <v>#N/A</v>
      </c>
    </row>
    <row r="252" hidden="1">
      <c r="A252" s="172" t="s">
        <v>495</v>
      </c>
      <c r="B252" s="173">
        <f>countif(Data!B:B,A252)</f>
        <v>0</v>
      </c>
      <c r="C252" s="174">
        <f>sumif(Data!B:B,A252,Data!M:M)</f>
        <v>0</v>
      </c>
      <c r="D252" s="174" t="str">
        <f t="shared" si="1"/>
        <v>#DIV/0!</v>
      </c>
      <c r="E252" s="175" t="str">
        <f t="shared" si="2"/>
        <v>#N/A</v>
      </c>
      <c r="F252" s="175" t="str">
        <f>IFERROR(__xludf.DUMMYFUNCTION("average.weighted(filter(Data!K:K,Data!B:B=A252),filter(Data!F:F,Data!B:B=A252))"),"#N/A")</f>
        <v>#N/A</v>
      </c>
      <c r="G252" s="175" t="str">
        <f>IFERROR(__xludf.DUMMYFUNCTION("average.weighted(filter(Data!L:L,Data!B:B=A252),filter(Data!F:F,Data!B:B=A252))"),"#N/A")</f>
        <v>#N/A</v>
      </c>
    </row>
    <row r="253" hidden="1">
      <c r="A253" s="172" t="s">
        <v>496</v>
      </c>
      <c r="B253" s="173">
        <f>countif(Data!B:B,A253)</f>
        <v>0</v>
      </c>
      <c r="C253" s="174">
        <f>sumif(Data!B:B,A253,Data!M:M)</f>
        <v>0</v>
      </c>
      <c r="D253" s="174" t="str">
        <f t="shared" si="1"/>
        <v>#DIV/0!</v>
      </c>
      <c r="E253" s="175" t="str">
        <f t="shared" si="2"/>
        <v>#N/A</v>
      </c>
      <c r="F253" s="175" t="str">
        <f>IFERROR(__xludf.DUMMYFUNCTION("average.weighted(filter(Data!K:K,Data!B:B=A253),filter(Data!F:F,Data!B:B=A253))"),"#N/A")</f>
        <v>#N/A</v>
      </c>
      <c r="G253" s="175" t="str">
        <f>IFERROR(__xludf.DUMMYFUNCTION("average.weighted(filter(Data!L:L,Data!B:B=A253),filter(Data!F:F,Data!B:B=A253))"),"#N/A")</f>
        <v>#N/A</v>
      </c>
    </row>
    <row r="254" hidden="1">
      <c r="A254" s="172" t="s">
        <v>497</v>
      </c>
      <c r="B254" s="173">
        <f>countif(Data!B:B,A254)</f>
        <v>0</v>
      </c>
      <c r="C254" s="174">
        <f>sumif(Data!B:B,A254,Data!M:M)</f>
        <v>0</v>
      </c>
      <c r="D254" s="174" t="str">
        <f t="shared" si="1"/>
        <v>#DIV/0!</v>
      </c>
      <c r="E254" s="175" t="str">
        <f t="shared" si="2"/>
        <v>#N/A</v>
      </c>
      <c r="F254" s="175" t="str">
        <f>IFERROR(__xludf.DUMMYFUNCTION("average.weighted(filter(Data!K:K,Data!B:B=A254),filter(Data!F:F,Data!B:B=A254))"),"#N/A")</f>
        <v>#N/A</v>
      </c>
      <c r="G254" s="175" t="str">
        <f>IFERROR(__xludf.DUMMYFUNCTION("average.weighted(filter(Data!L:L,Data!B:B=A254),filter(Data!F:F,Data!B:B=A254))"),"#N/A")</f>
        <v>#N/A</v>
      </c>
    </row>
    <row r="255" hidden="1">
      <c r="A255" s="172" t="s">
        <v>498</v>
      </c>
      <c r="B255" s="173">
        <f>countif(Data!B:B,A255)</f>
        <v>0</v>
      </c>
      <c r="C255" s="174">
        <f>sumif(Data!B:B,A255,Data!M:M)</f>
        <v>0</v>
      </c>
      <c r="D255" s="174" t="str">
        <f t="shared" si="1"/>
        <v>#DIV/0!</v>
      </c>
      <c r="E255" s="175" t="str">
        <f t="shared" si="2"/>
        <v>#N/A</v>
      </c>
      <c r="F255" s="175" t="str">
        <f>IFERROR(__xludf.DUMMYFUNCTION("average.weighted(filter(Data!K:K,Data!B:B=A255),filter(Data!F:F,Data!B:B=A255))"),"#N/A")</f>
        <v>#N/A</v>
      </c>
      <c r="G255" s="175" t="str">
        <f>IFERROR(__xludf.DUMMYFUNCTION("average.weighted(filter(Data!L:L,Data!B:B=A255),filter(Data!F:F,Data!B:B=A255))"),"#N/A")</f>
        <v>#N/A</v>
      </c>
    </row>
    <row r="256" hidden="1">
      <c r="A256" s="172" t="s">
        <v>499</v>
      </c>
      <c r="B256" s="173">
        <f>countif(Data!B:B,A256)</f>
        <v>0</v>
      </c>
      <c r="C256" s="174">
        <f>sumif(Data!B:B,A256,Data!M:M)</f>
        <v>0</v>
      </c>
      <c r="D256" s="174" t="str">
        <f t="shared" si="1"/>
        <v>#DIV/0!</v>
      </c>
      <c r="E256" s="175" t="str">
        <f t="shared" si="2"/>
        <v>#N/A</v>
      </c>
      <c r="F256" s="175" t="str">
        <f>IFERROR(__xludf.DUMMYFUNCTION("average.weighted(filter(Data!K:K,Data!B:B=A256),filter(Data!F:F,Data!B:B=A256))"),"#N/A")</f>
        <v>#N/A</v>
      </c>
      <c r="G256" s="175" t="str">
        <f>IFERROR(__xludf.DUMMYFUNCTION("average.weighted(filter(Data!L:L,Data!B:B=A256),filter(Data!F:F,Data!B:B=A256))"),"#N/A")</f>
        <v>#N/A</v>
      </c>
    </row>
    <row r="257" hidden="1">
      <c r="A257" s="172" t="s">
        <v>500</v>
      </c>
      <c r="B257" s="173">
        <f>countif(Data!B:B,A257)</f>
        <v>0</v>
      </c>
      <c r="C257" s="174">
        <f>sumif(Data!B:B,A257,Data!M:M)</f>
        <v>0</v>
      </c>
      <c r="D257" s="174" t="str">
        <f t="shared" si="1"/>
        <v>#DIV/0!</v>
      </c>
      <c r="E257" s="175" t="str">
        <f t="shared" si="2"/>
        <v>#N/A</v>
      </c>
      <c r="F257" s="175" t="str">
        <f>IFERROR(__xludf.DUMMYFUNCTION("average.weighted(filter(Data!K:K,Data!B:B=A257),filter(Data!F:F,Data!B:B=A257))"),"#N/A")</f>
        <v>#N/A</v>
      </c>
      <c r="G257" s="175" t="str">
        <f>IFERROR(__xludf.DUMMYFUNCTION("average.weighted(filter(Data!L:L,Data!B:B=A257),filter(Data!F:F,Data!B:B=A257))"),"#N/A")</f>
        <v>#N/A</v>
      </c>
    </row>
    <row r="258" hidden="1">
      <c r="A258" s="172" t="s">
        <v>501</v>
      </c>
      <c r="B258" s="173">
        <f>countif(Data!B:B,A258)</f>
        <v>0</v>
      </c>
      <c r="C258" s="174">
        <f>sumif(Data!B:B,A258,Data!M:M)</f>
        <v>0</v>
      </c>
      <c r="D258" s="174" t="str">
        <f t="shared" si="1"/>
        <v>#DIV/0!</v>
      </c>
      <c r="E258" s="175" t="str">
        <f t="shared" si="2"/>
        <v>#N/A</v>
      </c>
      <c r="F258" s="175" t="str">
        <f>IFERROR(__xludf.DUMMYFUNCTION("average.weighted(filter(Data!K:K,Data!B:B=A258),filter(Data!F:F,Data!B:B=A258))"),"#N/A")</f>
        <v>#N/A</v>
      </c>
      <c r="G258" s="175" t="str">
        <f>IFERROR(__xludf.DUMMYFUNCTION("average.weighted(filter(Data!L:L,Data!B:B=A258),filter(Data!F:F,Data!B:B=A258))"),"#N/A")</f>
        <v>#N/A</v>
      </c>
    </row>
    <row r="259" hidden="1">
      <c r="A259" s="172" t="s">
        <v>502</v>
      </c>
      <c r="B259" s="173">
        <f>countif(Data!B:B,A259)</f>
        <v>0</v>
      </c>
      <c r="C259" s="174">
        <f>sumif(Data!B:B,A259,Data!M:M)</f>
        <v>0</v>
      </c>
      <c r="D259" s="174" t="str">
        <f t="shared" si="1"/>
        <v>#DIV/0!</v>
      </c>
      <c r="E259" s="175" t="str">
        <f t="shared" si="2"/>
        <v>#N/A</v>
      </c>
      <c r="F259" s="175" t="str">
        <f>IFERROR(__xludf.DUMMYFUNCTION("average.weighted(filter(Data!K:K,Data!B:B=A259),filter(Data!F:F,Data!B:B=A259))"),"#N/A")</f>
        <v>#N/A</v>
      </c>
      <c r="G259" s="175" t="str">
        <f>IFERROR(__xludf.DUMMYFUNCTION("average.weighted(filter(Data!L:L,Data!B:B=A259),filter(Data!F:F,Data!B:B=A259))"),"#N/A")</f>
        <v>#N/A</v>
      </c>
    </row>
    <row r="260" hidden="1">
      <c r="A260" s="172" t="s">
        <v>503</v>
      </c>
      <c r="B260" s="173">
        <f>countif(Data!B:B,A260)</f>
        <v>0</v>
      </c>
      <c r="C260" s="174">
        <f>sumif(Data!B:B,A260,Data!M:M)</f>
        <v>0</v>
      </c>
      <c r="D260" s="174" t="str">
        <f t="shared" si="1"/>
        <v>#DIV/0!</v>
      </c>
      <c r="E260" s="175" t="str">
        <f t="shared" si="2"/>
        <v>#N/A</v>
      </c>
      <c r="F260" s="175" t="str">
        <f>IFERROR(__xludf.DUMMYFUNCTION("average.weighted(filter(Data!K:K,Data!B:B=A260),filter(Data!F:F,Data!B:B=A260))"),"#N/A")</f>
        <v>#N/A</v>
      </c>
      <c r="G260" s="175" t="str">
        <f>IFERROR(__xludf.DUMMYFUNCTION("average.weighted(filter(Data!L:L,Data!B:B=A260),filter(Data!F:F,Data!B:B=A260))"),"#N/A")</f>
        <v>#N/A</v>
      </c>
    </row>
    <row r="261" hidden="1">
      <c r="A261" s="172" t="s">
        <v>504</v>
      </c>
      <c r="B261" s="173">
        <f>countif(Data!B:B,A261)</f>
        <v>0</v>
      </c>
      <c r="C261" s="174">
        <f>sumif(Data!B:B,A261,Data!M:M)</f>
        <v>0</v>
      </c>
      <c r="D261" s="174" t="str">
        <f t="shared" si="1"/>
        <v>#DIV/0!</v>
      </c>
      <c r="E261" s="175" t="str">
        <f t="shared" si="2"/>
        <v>#N/A</v>
      </c>
      <c r="F261" s="175" t="str">
        <f>IFERROR(__xludf.DUMMYFUNCTION("average.weighted(filter(Data!K:K,Data!B:B=A261),filter(Data!F:F,Data!B:B=A261))"),"#N/A")</f>
        <v>#N/A</v>
      </c>
      <c r="G261" s="175" t="str">
        <f>IFERROR(__xludf.DUMMYFUNCTION("average.weighted(filter(Data!L:L,Data!B:B=A261),filter(Data!F:F,Data!B:B=A261))"),"#N/A")</f>
        <v>#N/A</v>
      </c>
    </row>
    <row r="262" hidden="1">
      <c r="A262" s="172" t="s">
        <v>505</v>
      </c>
      <c r="B262" s="173">
        <f>countif(Data!B:B,A262)</f>
        <v>0</v>
      </c>
      <c r="C262" s="174">
        <f>sumif(Data!B:B,A262,Data!M:M)</f>
        <v>0</v>
      </c>
      <c r="D262" s="174" t="str">
        <f t="shared" si="1"/>
        <v>#DIV/0!</v>
      </c>
      <c r="E262" s="175" t="str">
        <f t="shared" si="2"/>
        <v>#N/A</v>
      </c>
      <c r="F262" s="175" t="str">
        <f>IFERROR(__xludf.DUMMYFUNCTION("average.weighted(filter(Data!K:K,Data!B:B=A262),filter(Data!F:F,Data!B:B=A262))"),"#N/A")</f>
        <v>#N/A</v>
      </c>
      <c r="G262" s="175" t="str">
        <f>IFERROR(__xludf.DUMMYFUNCTION("average.weighted(filter(Data!L:L,Data!B:B=A262),filter(Data!F:F,Data!B:B=A262))"),"#N/A")</f>
        <v>#N/A</v>
      </c>
    </row>
    <row r="263" hidden="1">
      <c r="A263" s="172" t="s">
        <v>506</v>
      </c>
      <c r="B263" s="173">
        <f>countif(Data!B:B,A263)</f>
        <v>0</v>
      </c>
      <c r="C263" s="174">
        <f>sumif(Data!B:B,A263,Data!M:M)</f>
        <v>0</v>
      </c>
      <c r="D263" s="174" t="str">
        <f t="shared" si="1"/>
        <v>#DIV/0!</v>
      </c>
      <c r="E263" s="175" t="str">
        <f t="shared" si="2"/>
        <v>#N/A</v>
      </c>
      <c r="F263" s="175" t="str">
        <f>IFERROR(__xludf.DUMMYFUNCTION("average.weighted(filter(Data!K:K,Data!B:B=A263),filter(Data!F:F,Data!B:B=A263))"),"#N/A")</f>
        <v>#N/A</v>
      </c>
      <c r="G263" s="175" t="str">
        <f>IFERROR(__xludf.DUMMYFUNCTION("average.weighted(filter(Data!L:L,Data!B:B=A263),filter(Data!F:F,Data!B:B=A263))"),"#N/A")</f>
        <v>#N/A</v>
      </c>
    </row>
    <row r="264" hidden="1">
      <c r="A264" s="172" t="s">
        <v>507</v>
      </c>
      <c r="B264" s="173">
        <f>countif(Data!B:B,A264)</f>
        <v>0</v>
      </c>
      <c r="C264" s="174">
        <f>sumif(Data!B:B,A264,Data!M:M)</f>
        <v>0</v>
      </c>
      <c r="D264" s="174" t="str">
        <f t="shared" si="1"/>
        <v>#DIV/0!</v>
      </c>
      <c r="E264" s="175" t="str">
        <f t="shared" si="2"/>
        <v>#N/A</v>
      </c>
      <c r="F264" s="175" t="str">
        <f>IFERROR(__xludf.DUMMYFUNCTION("average.weighted(filter(Data!K:K,Data!B:B=A264),filter(Data!F:F,Data!B:B=A264))"),"#N/A")</f>
        <v>#N/A</v>
      </c>
      <c r="G264" s="175" t="str">
        <f>IFERROR(__xludf.DUMMYFUNCTION("average.weighted(filter(Data!L:L,Data!B:B=A264),filter(Data!F:F,Data!B:B=A264))"),"#N/A")</f>
        <v>#N/A</v>
      </c>
    </row>
    <row r="265" hidden="1">
      <c r="A265" s="172" t="s">
        <v>508</v>
      </c>
      <c r="B265" s="173">
        <f>countif(Data!B:B,A265)</f>
        <v>0</v>
      </c>
      <c r="C265" s="174">
        <f>sumif(Data!B:B,A265,Data!M:M)</f>
        <v>0</v>
      </c>
      <c r="D265" s="174" t="str">
        <f t="shared" si="1"/>
        <v>#DIV/0!</v>
      </c>
      <c r="E265" s="175" t="str">
        <f t="shared" si="2"/>
        <v>#N/A</v>
      </c>
      <c r="F265" s="175" t="str">
        <f>IFERROR(__xludf.DUMMYFUNCTION("average.weighted(filter(Data!K:K,Data!B:B=A265),filter(Data!F:F,Data!B:B=A265))"),"#N/A")</f>
        <v>#N/A</v>
      </c>
      <c r="G265" s="175" t="str">
        <f>IFERROR(__xludf.DUMMYFUNCTION("average.weighted(filter(Data!L:L,Data!B:B=A265),filter(Data!F:F,Data!B:B=A265))"),"#N/A")</f>
        <v>#N/A</v>
      </c>
    </row>
    <row r="266" hidden="1">
      <c r="A266" s="172" t="s">
        <v>509</v>
      </c>
      <c r="B266" s="173">
        <f>countif(Data!B:B,A266)</f>
        <v>0</v>
      </c>
      <c r="C266" s="174">
        <f>sumif(Data!B:B,A266,Data!M:M)</f>
        <v>0</v>
      </c>
      <c r="D266" s="174" t="str">
        <f t="shared" si="1"/>
        <v>#DIV/0!</v>
      </c>
      <c r="E266" s="175" t="str">
        <f t="shared" si="2"/>
        <v>#N/A</v>
      </c>
      <c r="F266" s="175" t="str">
        <f>IFERROR(__xludf.DUMMYFUNCTION("average.weighted(filter(Data!K:K,Data!B:B=A266),filter(Data!F:F,Data!B:B=A266))"),"#N/A")</f>
        <v>#N/A</v>
      </c>
      <c r="G266" s="175" t="str">
        <f>IFERROR(__xludf.DUMMYFUNCTION("average.weighted(filter(Data!L:L,Data!B:B=A266),filter(Data!F:F,Data!B:B=A266))"),"#N/A")</f>
        <v>#N/A</v>
      </c>
    </row>
    <row r="267">
      <c r="A267" s="172" t="s">
        <v>510</v>
      </c>
      <c r="B267" s="173">
        <f>countif(Data!B:B,A267)</f>
        <v>8</v>
      </c>
      <c r="C267" s="174">
        <f>sumif(Data!B:B,A267,Data!M:M)</f>
        <v>84.19891621</v>
      </c>
      <c r="D267" s="174">
        <f t="shared" si="1"/>
        <v>10.52486453</v>
      </c>
      <c r="E267" s="175">
        <f t="shared" si="2"/>
        <v>5.836928431</v>
      </c>
      <c r="F267" s="175">
        <f>IFERROR(__xludf.DUMMYFUNCTION("average.weighted(filter(Data!K:K,Data!B:B=A267),filter(Data!F:F,Data!B:B=A267))"),5.649988046263344)</f>
        <v>5.649988046</v>
      </c>
      <c r="G267" s="175">
        <f>IFERROR(__xludf.DUMMYFUNCTION("average.weighted(filter(Data!L:L,Data!B:B=A267),filter(Data!F:F,Data!B:B=A267))"),0.1869403850180966)</f>
        <v>0.186940385</v>
      </c>
    </row>
    <row r="268">
      <c r="A268" s="172" t="s">
        <v>52</v>
      </c>
      <c r="B268" s="173">
        <f>countif(Data!B:B,A268)</f>
        <v>8</v>
      </c>
      <c r="C268" s="174">
        <f>sumif(Data!B:B,A268,Data!M:M)</f>
        <v>105.0579623</v>
      </c>
      <c r="D268" s="174">
        <f t="shared" si="1"/>
        <v>13.13224529</v>
      </c>
      <c r="E268" s="175">
        <f t="shared" si="2"/>
        <v>5.468731968</v>
      </c>
      <c r="F268" s="175">
        <f>IFERROR(__xludf.DUMMYFUNCTION("average.weighted(filter(Data!K:K,Data!B:B=A268),filter(Data!F:F,Data!B:B=A268))"),5.85093973638133)</f>
        <v>5.850939736</v>
      </c>
      <c r="G268" s="175">
        <f>IFERROR(__xludf.DUMMYFUNCTION("average.weighted(filter(Data!L:L,Data!B:B=A268),filter(Data!F:F,Data!B:B=A268))"),-0.38220776867819284)</f>
        <v>-0.3822077687</v>
      </c>
    </row>
    <row r="269">
      <c r="A269" s="172" t="s">
        <v>511</v>
      </c>
      <c r="B269" s="173">
        <f>countif(Data!B:B,A269)</f>
        <v>8</v>
      </c>
      <c r="C269" s="174">
        <f>sumif(Data!B:B,A269,Data!M:M)</f>
        <v>69.3039114</v>
      </c>
      <c r="D269" s="174">
        <f t="shared" si="1"/>
        <v>8.662988925</v>
      </c>
      <c r="E269" s="175">
        <f t="shared" si="2"/>
        <v>5.404907349</v>
      </c>
      <c r="F269" s="175">
        <f>IFERROR(__xludf.DUMMYFUNCTION("average.weighted(filter(Data!K:K,Data!B:B=A269),filter(Data!F:F,Data!B:B=A269))"),3.2888939827227683)</f>
        <v>3.288893983</v>
      </c>
      <c r="G269" s="175">
        <f>IFERROR(__xludf.DUMMYFUNCTION("average.weighted(filter(Data!L:L,Data!B:B=A269),filter(Data!F:F,Data!B:B=A269))"),2.116013366695126)</f>
        <v>2.116013367</v>
      </c>
    </row>
    <row r="270">
      <c r="A270" s="172" t="s">
        <v>512</v>
      </c>
      <c r="B270" s="173">
        <f>countif(Data!B:B,A270)</f>
        <v>8</v>
      </c>
      <c r="C270" s="174">
        <f>sumif(Data!B:B,A270,Data!M:M)</f>
        <v>97.11236098</v>
      </c>
      <c r="D270" s="174">
        <f t="shared" si="1"/>
        <v>12.13904512</v>
      </c>
      <c r="E270" s="175">
        <f t="shared" si="2"/>
        <v>5.414947244</v>
      </c>
      <c r="F270" s="175">
        <f>IFERROR(__xludf.DUMMYFUNCTION("average.weighted(filter(Data!K:K,Data!B:B=A270),filter(Data!F:F,Data!B:B=A270))"),4.832011561211273)</f>
        <v>4.832011561</v>
      </c>
      <c r="G270" s="175">
        <f>IFERROR(__xludf.DUMMYFUNCTION("average.weighted(filter(Data!L:L,Data!B:B=A270),filter(Data!F:F,Data!B:B=A270))"),0.5829356825122826)</f>
        <v>0.5829356825</v>
      </c>
    </row>
    <row r="271">
      <c r="A271" s="172" t="s">
        <v>513</v>
      </c>
      <c r="B271" s="173">
        <f>countif(Data!B:B,A271)</f>
        <v>8</v>
      </c>
      <c r="C271" s="174">
        <f>sumif(Data!B:B,A271,Data!M:M)</f>
        <v>80.8145135</v>
      </c>
      <c r="D271" s="174">
        <f t="shared" si="1"/>
        <v>10.10181419</v>
      </c>
      <c r="E271" s="175">
        <f t="shared" si="2"/>
        <v>5.353045319</v>
      </c>
      <c r="F271" s="175">
        <f>IFERROR(__xludf.DUMMYFUNCTION("average.weighted(filter(Data!K:K,Data!B:B=A271),filter(Data!F:F,Data!B:B=A271))"),4.213677958664395)</f>
        <v>4.213677959</v>
      </c>
      <c r="G271" s="175">
        <f>IFERROR(__xludf.DUMMYFUNCTION("average.weighted(filter(Data!L:L,Data!B:B=A271),filter(Data!F:F,Data!B:B=A271))"),1.1393673604930177)</f>
        <v>1.13936736</v>
      </c>
    </row>
    <row r="272">
      <c r="A272" s="172" t="s">
        <v>514</v>
      </c>
      <c r="B272" s="173">
        <f>countif(Data!B:B,A272)</f>
        <v>7</v>
      </c>
      <c r="C272" s="174">
        <f>sumif(Data!B:B,A272,Data!M:M)</f>
        <v>70.29627424</v>
      </c>
      <c r="D272" s="174">
        <f t="shared" si="1"/>
        <v>10.04232489</v>
      </c>
      <c r="E272" s="175">
        <f t="shared" si="2"/>
        <v>5.161585972</v>
      </c>
      <c r="F272" s="175">
        <f>IFERROR(__xludf.DUMMYFUNCTION("average.weighted(filter(Data!K:K,Data!B:B=A272),filter(Data!F:F,Data!B:B=A272))"),4.801204633219361)</f>
        <v>4.801204633</v>
      </c>
      <c r="G272" s="175">
        <f>IFERROR(__xludf.DUMMYFUNCTION("average.weighted(filter(Data!L:L,Data!B:B=A272),filter(Data!F:F,Data!B:B=A272))"),0.3603813390388489)</f>
        <v>0.360381339</v>
      </c>
    </row>
    <row r="273">
      <c r="A273" s="172" t="s">
        <v>515</v>
      </c>
      <c r="B273" s="173">
        <f>countif(Data!B:B,A273)</f>
        <v>8</v>
      </c>
      <c r="C273" s="174">
        <f>sumif(Data!B:B,A273,Data!M:M)</f>
        <v>78.67941218</v>
      </c>
      <c r="D273" s="174">
        <f t="shared" si="1"/>
        <v>9.834926522</v>
      </c>
      <c r="E273" s="175">
        <f t="shared" si="2"/>
        <v>4.677905255</v>
      </c>
      <c r="F273" s="175">
        <f>IFERROR(__xludf.DUMMYFUNCTION("average.weighted(filter(Data!K:K,Data!B:B=A273),filter(Data!F:F,Data!B:B=A273))"),2.5505921790488992)</f>
        <v>2.550592179</v>
      </c>
      <c r="G273" s="175">
        <f>IFERROR(__xludf.DUMMYFUNCTION("average.weighted(filter(Data!L:L,Data!B:B=A273),filter(Data!F:F,Data!B:B=A273))"),2.1273130758496652)</f>
        <v>2.127313076</v>
      </c>
    </row>
    <row r="274">
      <c r="A274" s="172" t="s">
        <v>516</v>
      </c>
      <c r="B274" s="173">
        <f>countif(Data!B:B,A274)</f>
        <v>8</v>
      </c>
      <c r="C274" s="174">
        <f>sumif(Data!B:B,A274,Data!M:M)</f>
        <v>77.98826808</v>
      </c>
      <c r="D274" s="174">
        <f t="shared" si="1"/>
        <v>9.748533509</v>
      </c>
      <c r="E274" s="175">
        <f t="shared" si="2"/>
        <v>4.486918653</v>
      </c>
      <c r="F274" s="175">
        <f>IFERROR(__xludf.DUMMYFUNCTION("average.weighted(filter(Data!K:K,Data!B:B=A274),filter(Data!F:F,Data!B:B=A274))"),4.206804220314914)</f>
        <v>4.20680422</v>
      </c>
      <c r="G274" s="175">
        <f>IFERROR(__xludf.DUMMYFUNCTION("average.weighted(filter(Data!L:L,Data!B:B=A274),filter(Data!F:F,Data!B:B=A274))"),0.28011443311817985)</f>
        <v>0.2801144331</v>
      </c>
    </row>
    <row r="275">
      <c r="A275" s="172" t="s">
        <v>517</v>
      </c>
      <c r="B275" s="173">
        <f>countif(Data!B:B,A275)</f>
        <v>5</v>
      </c>
      <c r="C275" s="174">
        <f>sumif(Data!B:B,A275,Data!M:M)</f>
        <v>32.4577885</v>
      </c>
      <c r="D275" s="174">
        <f t="shared" si="1"/>
        <v>6.4915577</v>
      </c>
      <c r="E275" s="175">
        <f t="shared" si="2"/>
        <v>4.562699789</v>
      </c>
      <c r="F275" s="175">
        <f>IFERROR(__xludf.DUMMYFUNCTION("average.weighted(filter(Data!K:K,Data!B:B=A275),filter(Data!F:F,Data!B:B=A275))"),2.385651539681841)</f>
        <v>2.38565154</v>
      </c>
      <c r="G275" s="175">
        <f>IFERROR(__xludf.DUMMYFUNCTION("average.weighted(filter(Data!L:L,Data!B:B=A275),filter(Data!F:F,Data!B:B=A275))"),2.1770482493279277)</f>
        <v>2.177048249</v>
      </c>
    </row>
    <row r="276">
      <c r="A276" s="172" t="s">
        <v>518</v>
      </c>
      <c r="B276" s="173">
        <f>countif(Data!B:B,A276)</f>
        <v>6</v>
      </c>
      <c r="C276" s="174">
        <f>sumif(Data!B:B,A276,Data!M:M)</f>
        <v>54.69794294</v>
      </c>
      <c r="D276" s="174">
        <f t="shared" si="1"/>
        <v>9.116323823</v>
      </c>
      <c r="E276" s="175">
        <f t="shared" si="2"/>
        <v>4.531496633</v>
      </c>
      <c r="F276" s="175">
        <f>IFERROR(__xludf.DUMMYFUNCTION("average.weighted(filter(Data!K:K,Data!B:B=A276),filter(Data!F:F,Data!B:B=A276))"),3.3106670704458936)</f>
        <v>3.31066707</v>
      </c>
      <c r="G276" s="175">
        <f>IFERROR(__xludf.DUMMYFUNCTION("average.weighted(filter(Data!L:L,Data!B:B=A276),filter(Data!F:F,Data!B:B=A276))"),1.220829562146862)</f>
        <v>1.220829562</v>
      </c>
    </row>
    <row r="277">
      <c r="A277" s="172" t="s">
        <v>519</v>
      </c>
      <c r="B277" s="173">
        <f>countif(Data!B:B,A277)</f>
        <v>8</v>
      </c>
      <c r="C277" s="174">
        <f>sumif(Data!B:B,A277,Data!M:M)</f>
        <v>63.75958162</v>
      </c>
      <c r="D277" s="174">
        <f t="shared" si="1"/>
        <v>7.969947703</v>
      </c>
      <c r="E277" s="175">
        <f t="shared" si="2"/>
        <v>4.17833623</v>
      </c>
      <c r="F277" s="175">
        <f>IFERROR(__xludf.DUMMYFUNCTION("average.weighted(filter(Data!K:K,Data!B:B=A277),filter(Data!F:F,Data!B:B=A277))"),0.2642559324450467)</f>
        <v>0.2642559324</v>
      </c>
      <c r="G277" s="175">
        <f>IFERROR(__xludf.DUMMYFUNCTION("average.weighted(filter(Data!L:L,Data!B:B=A277),filter(Data!F:F,Data!B:B=A277))"),3.91408029760018)</f>
        <v>3.914080298</v>
      </c>
    </row>
    <row r="278">
      <c r="A278" s="172" t="s">
        <v>520</v>
      </c>
      <c r="B278" s="173">
        <f>countif(Data!B:B,A278)</f>
        <v>8</v>
      </c>
      <c r="C278" s="174">
        <f>sumif(Data!B:B,A278,Data!M:M)</f>
        <v>74.07794459</v>
      </c>
      <c r="D278" s="174">
        <f t="shared" si="1"/>
        <v>9.259743074</v>
      </c>
      <c r="E278" s="175">
        <f t="shared" si="2"/>
        <v>3.889092627</v>
      </c>
      <c r="F278" s="175">
        <f>IFERROR(__xludf.DUMMYFUNCTION("average.weighted(filter(Data!K:K,Data!B:B=A278),filter(Data!F:F,Data!B:B=A278))"),3.137576192347674)</f>
        <v>3.137576192</v>
      </c>
      <c r="G278" s="175">
        <f>IFERROR(__xludf.DUMMYFUNCTION("average.weighted(filter(Data!L:L,Data!B:B=A278),filter(Data!F:F,Data!B:B=A278))"),0.7515164344254196)</f>
        <v>0.7515164344</v>
      </c>
    </row>
    <row r="279">
      <c r="A279" s="172" t="s">
        <v>521</v>
      </c>
      <c r="B279" s="173">
        <f>countif(Data!B:B,A279)</f>
        <v>8</v>
      </c>
      <c r="C279" s="174">
        <f>sumif(Data!B:B,A279,Data!M:M)</f>
        <v>73.87741785</v>
      </c>
      <c r="D279" s="174">
        <f t="shared" si="1"/>
        <v>9.234677231</v>
      </c>
      <c r="E279" s="175">
        <f t="shared" si="2"/>
        <v>3.983510068</v>
      </c>
      <c r="F279" s="175">
        <f>IFERROR(__xludf.DUMMYFUNCTION("average.weighted(filter(Data!K:K,Data!B:B=A279),filter(Data!F:F,Data!B:B=A279))"),2.0727594987051856)</f>
        <v>2.072759499</v>
      </c>
      <c r="G279" s="175">
        <f>IFERROR(__xludf.DUMMYFUNCTION("average.weighted(filter(Data!L:L,Data!B:B=A279),filter(Data!F:F,Data!B:B=A279))"),1.9107505691150355)</f>
        <v>1.910750569</v>
      </c>
    </row>
    <row r="280">
      <c r="A280" s="172" t="s">
        <v>90</v>
      </c>
      <c r="B280" s="173">
        <f>countif(Data!B:B,A280)</f>
        <v>3</v>
      </c>
      <c r="C280" s="174">
        <f>sumif(Data!B:B,A280,Data!M:M)</f>
        <v>23.26489227</v>
      </c>
      <c r="D280" s="174">
        <f t="shared" si="1"/>
        <v>7.754964091</v>
      </c>
      <c r="E280" s="175">
        <f t="shared" si="2"/>
        <v>3.606517612</v>
      </c>
      <c r="F280" s="175">
        <f>IFERROR(__xludf.DUMMYFUNCTION("average.weighted(filter(Data!K:K,Data!B:B=A280),filter(Data!F:F,Data!B:B=A280))"),0.1866022617361229)</f>
        <v>0.1866022617</v>
      </c>
      <c r="G280" s="175">
        <f>IFERROR(__xludf.DUMMYFUNCTION("average.weighted(filter(Data!L:L,Data!B:B=A280),filter(Data!F:F,Data!B:B=A280))"),3.4199153498955583)</f>
        <v>3.41991535</v>
      </c>
    </row>
    <row r="281">
      <c r="A281" s="172" t="s">
        <v>522</v>
      </c>
      <c r="B281" s="173">
        <f>countif(Data!B:B,A281)</f>
        <v>8</v>
      </c>
      <c r="C281" s="174">
        <f>sumif(Data!B:B,A281,Data!M:M)</f>
        <v>61.72497429</v>
      </c>
      <c r="D281" s="174">
        <f t="shared" si="1"/>
        <v>7.715621787</v>
      </c>
      <c r="E281" s="175">
        <f t="shared" si="2"/>
        <v>3.57387702</v>
      </c>
      <c r="F281" s="175">
        <f>IFERROR(__xludf.DUMMYFUNCTION("average.weighted(filter(Data!K:K,Data!B:B=A281),filter(Data!F:F,Data!B:B=A281))"),0.387530698680093)</f>
        <v>0.3875306987</v>
      </c>
      <c r="G281" s="175">
        <f>IFERROR(__xludf.DUMMYFUNCTION("average.weighted(filter(Data!L:L,Data!B:B=A281),filter(Data!F:F,Data!B:B=A281))"),3.1863463208935388)</f>
        <v>3.186346321</v>
      </c>
    </row>
    <row r="282">
      <c r="A282" s="172" t="s">
        <v>523</v>
      </c>
      <c r="B282" s="173">
        <f>countif(Data!B:B,A282)</f>
        <v>8</v>
      </c>
      <c r="C282" s="174">
        <f>sumif(Data!B:B,A282,Data!M:M)</f>
        <v>78.86754003</v>
      </c>
      <c r="D282" s="174">
        <f t="shared" si="1"/>
        <v>9.858442504</v>
      </c>
      <c r="E282" s="175">
        <f t="shared" si="2"/>
        <v>3.5752921</v>
      </c>
      <c r="F282" s="175">
        <f>IFERROR(__xludf.DUMMYFUNCTION("average.weighted(filter(Data!K:K,Data!B:B=A282),filter(Data!F:F,Data!B:B=A282))"),4.599244123064338)</f>
        <v>4.599244123</v>
      </c>
      <c r="G282" s="175">
        <f>IFERROR(__xludf.DUMMYFUNCTION("average.weighted(filter(Data!L:L,Data!B:B=A282),filter(Data!F:F,Data!B:B=A282))"),-1.0239520229375856)</f>
        <v>-1.023952023</v>
      </c>
    </row>
    <row r="283">
      <c r="A283" s="172" t="s">
        <v>524</v>
      </c>
      <c r="B283" s="173">
        <f>countif(Data!B:B,A283)</f>
        <v>7</v>
      </c>
      <c r="C283" s="174">
        <f>sumif(Data!B:B,A283,Data!M:M)</f>
        <v>45.83726469</v>
      </c>
      <c r="D283" s="174">
        <f t="shared" si="1"/>
        <v>6.548180671</v>
      </c>
      <c r="E283" s="175">
        <f t="shared" si="2"/>
        <v>3.419348361</v>
      </c>
      <c r="F283" s="175">
        <f>IFERROR(__xludf.DUMMYFUNCTION("average.weighted(filter(Data!K:K,Data!B:B=A283),filter(Data!F:F,Data!B:B=A283))"),1.5947467171182808)</f>
        <v>1.594746717</v>
      </c>
      <c r="G283" s="175">
        <f>IFERROR(__xludf.DUMMYFUNCTION("average.weighted(filter(Data!L:L,Data!B:B=A283),filter(Data!F:F,Data!B:B=A283))"),1.8246016443482247)</f>
        <v>1.824601644</v>
      </c>
    </row>
    <row r="284">
      <c r="A284" s="172" t="s">
        <v>525</v>
      </c>
      <c r="B284" s="173">
        <f>countif(Data!B:B,A284)</f>
        <v>3</v>
      </c>
      <c r="C284" s="174">
        <f>sumif(Data!B:B,A284,Data!M:M)</f>
        <v>20.16355232</v>
      </c>
      <c r="D284" s="174">
        <f t="shared" si="1"/>
        <v>6.721184105</v>
      </c>
      <c r="E284" s="175">
        <f t="shared" si="2"/>
        <v>3.421735578</v>
      </c>
      <c r="F284" s="175">
        <f>IFERROR(__xludf.DUMMYFUNCTION("average.weighted(filter(Data!K:K,Data!B:B=A284),filter(Data!F:F,Data!B:B=A284))"),4.189367057874256)</f>
        <v>4.189367058</v>
      </c>
      <c r="G284" s="175">
        <f>IFERROR(__xludf.DUMMYFUNCTION("average.weighted(filter(Data!L:L,Data!B:B=A284),filter(Data!F:F,Data!B:B=A284))"),-0.7676314799246683)</f>
        <v>-0.7676314799</v>
      </c>
    </row>
    <row r="285">
      <c r="A285" s="172" t="s">
        <v>526</v>
      </c>
      <c r="B285" s="173">
        <f>countif(Data!B:B,A285)</f>
        <v>8</v>
      </c>
      <c r="C285" s="174">
        <f>sumif(Data!B:B,A285,Data!M:M)</f>
        <v>61.67145228</v>
      </c>
      <c r="D285" s="174">
        <f t="shared" si="1"/>
        <v>7.708931535</v>
      </c>
      <c r="E285" s="175">
        <f t="shared" si="2"/>
        <v>3.368280207</v>
      </c>
      <c r="F285" s="175">
        <f>IFERROR(__xludf.DUMMYFUNCTION("average.weighted(filter(Data!K:K,Data!B:B=A285),filter(Data!F:F,Data!B:B=A285))"),2.370487781406006)</f>
        <v>2.370487781</v>
      </c>
      <c r="G285" s="175">
        <f>IFERROR(__xludf.DUMMYFUNCTION("average.weighted(filter(Data!L:L,Data!B:B=A285),filter(Data!F:F,Data!B:B=A285))"),0.9977924258634245)</f>
        <v>0.9977924259</v>
      </c>
    </row>
    <row r="286">
      <c r="A286" s="172" t="s">
        <v>527</v>
      </c>
      <c r="B286" s="173">
        <f>countif(Data!B:B,A286)</f>
        <v>8</v>
      </c>
      <c r="C286" s="174">
        <f>sumif(Data!B:B,A286,Data!M:M)</f>
        <v>64.3359333</v>
      </c>
      <c r="D286" s="174">
        <f t="shared" si="1"/>
        <v>8.041991662</v>
      </c>
      <c r="E286" s="175">
        <f t="shared" si="2"/>
        <v>3.300744098</v>
      </c>
      <c r="F286" s="175">
        <f>IFERROR(__xludf.DUMMYFUNCTION("average.weighted(filter(Data!K:K,Data!B:B=A286),filter(Data!F:F,Data!B:B=A286))"),2.387459216606693)</f>
        <v>2.387459217</v>
      </c>
      <c r="G286" s="175">
        <f>IFERROR(__xludf.DUMMYFUNCTION("average.weighted(filter(Data!L:L,Data!B:B=A286),filter(Data!F:F,Data!B:B=A286))"),0.9132848810255467)</f>
        <v>0.913284881</v>
      </c>
    </row>
    <row r="287">
      <c r="A287" s="172" t="s">
        <v>528</v>
      </c>
      <c r="B287" s="173">
        <f>countif(Data!B:B,A287)</f>
        <v>7</v>
      </c>
      <c r="C287" s="174">
        <f>sumif(Data!B:B,A287,Data!M:M)</f>
        <v>40.579373</v>
      </c>
      <c r="D287" s="174">
        <f t="shared" si="1"/>
        <v>5.797053286</v>
      </c>
      <c r="E287" s="175">
        <f t="shared" si="2"/>
        <v>3.15379512</v>
      </c>
      <c r="F287" s="175">
        <f>IFERROR(__xludf.DUMMYFUNCTION("average.weighted(filter(Data!K:K,Data!B:B=A287),filter(Data!F:F,Data!B:B=A287))"),0.3905564303078906)</f>
        <v>0.3905564303</v>
      </c>
      <c r="G287" s="175">
        <f>IFERROR(__xludf.DUMMYFUNCTION("average.weighted(filter(Data!L:L,Data!B:B=A287),filter(Data!F:F,Data!B:B=A287))"),2.7632386895790697)</f>
        <v>2.76323869</v>
      </c>
    </row>
    <row r="288">
      <c r="A288" s="172" t="s">
        <v>529</v>
      </c>
      <c r="B288" s="173">
        <f>countif(Data!B:B,A288)</f>
        <v>6</v>
      </c>
      <c r="C288" s="174">
        <f>sumif(Data!B:B,A288,Data!M:M)</f>
        <v>45.42110068</v>
      </c>
      <c r="D288" s="174">
        <f t="shared" si="1"/>
        <v>7.570183447</v>
      </c>
      <c r="E288" s="175">
        <f t="shared" si="2"/>
        <v>3.088507971</v>
      </c>
      <c r="F288" s="175">
        <f>IFERROR(__xludf.DUMMYFUNCTION("average.weighted(filter(Data!K:K,Data!B:B=A288),filter(Data!F:F,Data!B:B=A288))"),2.8106450252207487)</f>
        <v>2.810645025</v>
      </c>
      <c r="G288" s="175">
        <f>IFERROR(__xludf.DUMMYFUNCTION("average.weighted(filter(Data!L:L,Data!B:B=A288),filter(Data!F:F,Data!B:B=A288))"),0.2778629455446191)</f>
        <v>0.2778629455</v>
      </c>
    </row>
    <row r="289">
      <c r="A289" s="172" t="s">
        <v>530</v>
      </c>
      <c r="B289" s="173">
        <f>countif(Data!B:B,A289)</f>
        <v>8</v>
      </c>
      <c r="C289" s="174">
        <f>sumif(Data!B:B,A289,Data!M:M)</f>
        <v>48.13886735</v>
      </c>
      <c r="D289" s="174">
        <f t="shared" si="1"/>
        <v>6.017358418</v>
      </c>
      <c r="E289" s="175">
        <f t="shared" si="2"/>
        <v>2.969111785</v>
      </c>
      <c r="F289" s="175">
        <f>IFERROR(__xludf.DUMMYFUNCTION("average.weighted(filter(Data!K:K,Data!B:B=A289),filter(Data!F:F,Data!B:B=A289))"),2.680317126362733)</f>
        <v>2.680317126</v>
      </c>
      <c r="G289" s="175">
        <f>IFERROR(__xludf.DUMMYFUNCTION("average.weighted(filter(Data!L:L,Data!B:B=A289),filter(Data!F:F,Data!B:B=A289))"),0.288794658142794)</f>
        <v>0.2887946581</v>
      </c>
    </row>
    <row r="290">
      <c r="A290" s="172" t="s">
        <v>85</v>
      </c>
      <c r="B290" s="173">
        <f>countif(Data!B:B,A290)</f>
        <v>8</v>
      </c>
      <c r="C290" s="174">
        <f>sumif(Data!B:B,A290,Data!M:M)</f>
        <v>45.27149371</v>
      </c>
      <c r="D290" s="174">
        <f t="shared" si="1"/>
        <v>5.658936713</v>
      </c>
      <c r="E290" s="175">
        <f t="shared" si="2"/>
        <v>2.728067826</v>
      </c>
      <c r="F290" s="175">
        <f>IFERROR(__xludf.DUMMYFUNCTION("average.weighted(filter(Data!K:K,Data!B:B=A290),filter(Data!F:F,Data!B:B=A290))"),2.6946734700896706)</f>
        <v>2.69467347</v>
      </c>
      <c r="G290" s="175">
        <f>IFERROR(__xludf.DUMMYFUNCTION("average.weighted(filter(Data!L:L,Data!B:B=A290),filter(Data!F:F,Data!B:B=A290))"),0.03339435541279341)</f>
        <v>0.03339435541</v>
      </c>
    </row>
    <row r="291">
      <c r="A291" s="172" t="s">
        <v>531</v>
      </c>
      <c r="B291" s="173">
        <f>countif(Data!B:B,A291)</f>
        <v>8</v>
      </c>
      <c r="C291" s="174">
        <f>sumif(Data!B:B,A291,Data!M:M)</f>
        <v>56.50329067</v>
      </c>
      <c r="D291" s="174">
        <f t="shared" si="1"/>
        <v>7.062911334</v>
      </c>
      <c r="E291" s="175">
        <f t="shared" si="2"/>
        <v>2.631592315</v>
      </c>
      <c r="F291" s="175">
        <f>IFERROR(__xludf.DUMMYFUNCTION("average.weighted(filter(Data!K:K,Data!B:B=A291),filter(Data!F:F,Data!B:B=A291))"),0.17521490842865853)</f>
        <v>0.1752149084</v>
      </c>
      <c r="G291" s="175">
        <f>IFERROR(__xludf.DUMMYFUNCTION("average.weighted(filter(Data!L:L,Data!B:B=A291),filter(Data!F:F,Data!B:B=A291))"),2.456377406309232)</f>
        <v>2.456377406</v>
      </c>
    </row>
    <row r="292">
      <c r="A292" s="172" t="s">
        <v>532</v>
      </c>
      <c r="B292" s="173">
        <f>countif(Data!B:B,A292)</f>
        <v>8</v>
      </c>
      <c r="C292" s="174">
        <f>sumif(Data!B:B,A292,Data!M:M)</f>
        <v>59.39505928</v>
      </c>
      <c r="D292" s="174">
        <f t="shared" si="1"/>
        <v>7.42438241</v>
      </c>
      <c r="E292" s="175">
        <f t="shared" si="2"/>
        <v>2.600182244</v>
      </c>
      <c r="F292" s="175">
        <f>IFERROR(__xludf.DUMMYFUNCTION("average.weighted(filter(Data!K:K,Data!B:B=A292),filter(Data!F:F,Data!B:B=A292))"),2.75126153589502)</f>
        <v>2.751261536</v>
      </c>
      <c r="G292" s="175">
        <f>IFERROR(__xludf.DUMMYFUNCTION("average.weighted(filter(Data!L:L,Data!B:B=A292),filter(Data!F:F,Data!B:B=A292))"),-0.15107929142983345)</f>
        <v>-0.1510792914</v>
      </c>
    </row>
    <row r="293">
      <c r="A293" s="172" t="s">
        <v>533</v>
      </c>
      <c r="B293" s="173">
        <f>countif(Data!B:B,A293)</f>
        <v>7</v>
      </c>
      <c r="C293" s="174">
        <f>sumif(Data!B:B,A293,Data!M:M)</f>
        <v>47.1996183</v>
      </c>
      <c r="D293" s="174">
        <f t="shared" si="1"/>
        <v>6.742802614</v>
      </c>
      <c r="E293" s="175">
        <f t="shared" si="2"/>
        <v>2.55420037</v>
      </c>
      <c r="F293" s="175">
        <f>IFERROR(__xludf.DUMMYFUNCTION("average.weighted(filter(Data!K:K,Data!B:B=A293),filter(Data!F:F,Data!B:B=A293))"),1.972212423563168)</f>
        <v>1.972212424</v>
      </c>
      <c r="G293" s="175">
        <f>IFERROR(__xludf.DUMMYFUNCTION("average.weighted(filter(Data!L:L,Data!B:B=A293),filter(Data!F:F,Data!B:B=A293))"),0.581987946301589)</f>
        <v>0.5819879463</v>
      </c>
    </row>
    <row r="294">
      <c r="A294" s="172" t="s">
        <v>534</v>
      </c>
      <c r="B294" s="173">
        <f>countif(Data!B:B,A294)</f>
        <v>8</v>
      </c>
      <c r="C294" s="174">
        <f>sumif(Data!B:B,A294,Data!M:M)</f>
        <v>47.57674108</v>
      </c>
      <c r="D294" s="174">
        <f t="shared" si="1"/>
        <v>5.947092634</v>
      </c>
      <c r="E294" s="175">
        <f t="shared" si="2"/>
        <v>2.524512668</v>
      </c>
      <c r="F294" s="175">
        <f>IFERROR(__xludf.DUMMYFUNCTION("average.weighted(filter(Data!K:K,Data!B:B=A294),filter(Data!F:F,Data!B:B=A294))"),0.9113385334933436)</f>
        <v>0.9113385335</v>
      </c>
      <c r="G294" s="175">
        <f>IFERROR(__xludf.DUMMYFUNCTION("average.weighted(filter(Data!L:L,Data!B:B=A294),filter(Data!F:F,Data!B:B=A294))"),1.6131741347576596)</f>
        <v>1.613174135</v>
      </c>
    </row>
    <row r="295">
      <c r="A295" s="172" t="s">
        <v>535</v>
      </c>
      <c r="B295" s="173">
        <f>countif(Data!B:B,A295)</f>
        <v>8</v>
      </c>
      <c r="C295" s="174">
        <f>sumif(Data!B:B,A295,Data!M:M)</f>
        <v>54.92786648</v>
      </c>
      <c r="D295" s="174">
        <f t="shared" si="1"/>
        <v>6.86598331</v>
      </c>
      <c r="E295" s="175">
        <f t="shared" si="2"/>
        <v>2.532181794</v>
      </c>
      <c r="F295" s="175">
        <f>IFERROR(__xludf.DUMMYFUNCTION("average.weighted(filter(Data!K:K,Data!B:B=A295),filter(Data!F:F,Data!B:B=A295))"),1.611491331542385)</f>
        <v>1.611491332</v>
      </c>
      <c r="G295" s="175">
        <f>IFERROR(__xludf.DUMMYFUNCTION("average.weighted(filter(Data!L:L,Data!B:B=A295),filter(Data!F:F,Data!B:B=A295))"),0.9206904628992194)</f>
        <v>0.9206904629</v>
      </c>
    </row>
    <row r="296">
      <c r="A296" s="172" t="s">
        <v>536</v>
      </c>
      <c r="B296" s="173">
        <f>countif(Data!B:B,A296)</f>
        <v>4</v>
      </c>
      <c r="C296" s="174">
        <f>sumif(Data!B:B,A296,Data!M:M)</f>
        <v>25.73684585</v>
      </c>
      <c r="D296" s="174">
        <f t="shared" si="1"/>
        <v>6.434211463</v>
      </c>
      <c r="E296" s="175">
        <f t="shared" si="2"/>
        <v>2.494369826</v>
      </c>
      <c r="F296" s="175">
        <f>IFERROR(__xludf.DUMMYFUNCTION("average.weighted(filter(Data!K:K,Data!B:B=A296),filter(Data!F:F,Data!B:B=A296))"),1.0254404473040457)</f>
        <v>1.025440447</v>
      </c>
      <c r="G296" s="175">
        <f>IFERROR(__xludf.DUMMYFUNCTION("average.weighted(filter(Data!L:L,Data!B:B=A296),filter(Data!F:F,Data!B:B=A296))"),1.4689293789747078)</f>
        <v>1.468929379</v>
      </c>
    </row>
    <row r="297">
      <c r="A297" s="172" t="s">
        <v>537</v>
      </c>
      <c r="B297" s="173">
        <f>countif(Data!B:B,A297)</f>
        <v>8</v>
      </c>
      <c r="C297" s="174">
        <f>sumif(Data!B:B,A297,Data!M:M)</f>
        <v>46.7096867</v>
      </c>
      <c r="D297" s="174">
        <f t="shared" si="1"/>
        <v>5.838710838</v>
      </c>
      <c r="E297" s="175">
        <f t="shared" si="2"/>
        <v>2.358160949</v>
      </c>
      <c r="F297" s="175">
        <f>IFERROR(__xludf.DUMMYFUNCTION("average.weighted(filter(Data!K:K,Data!B:B=A297),filter(Data!F:F,Data!B:B=A297))"),3.3472118553815595)</f>
        <v>3.347211855</v>
      </c>
      <c r="G297" s="175">
        <f>IFERROR(__xludf.DUMMYFUNCTION("average.weighted(filter(Data!L:L,Data!B:B=A297),filter(Data!F:F,Data!B:B=A297))"),-0.9890509062403966)</f>
        <v>-0.9890509062</v>
      </c>
    </row>
    <row r="298">
      <c r="A298" s="172" t="s">
        <v>538</v>
      </c>
      <c r="B298" s="173">
        <f>countif(Data!B:B,A298)</f>
        <v>8</v>
      </c>
      <c r="C298" s="174">
        <f>sumif(Data!B:B,A298,Data!M:M)</f>
        <v>44.12208507</v>
      </c>
      <c r="D298" s="174">
        <f t="shared" si="1"/>
        <v>5.515260634</v>
      </c>
      <c r="E298" s="175">
        <f t="shared" si="2"/>
        <v>2.24294829</v>
      </c>
      <c r="F298" s="175">
        <f>IFERROR(__xludf.DUMMYFUNCTION("average.weighted(filter(Data!K:K,Data!B:B=A298),filter(Data!F:F,Data!B:B=A298))"),1.4071050460792067)</f>
        <v>1.407105046</v>
      </c>
      <c r="G298" s="175">
        <f>IFERROR(__xludf.DUMMYFUNCTION("average.weighted(filter(Data!L:L,Data!B:B=A298),filter(Data!F:F,Data!B:B=A298))"),0.8358432440289109)</f>
        <v>0.835843244</v>
      </c>
    </row>
    <row r="299">
      <c r="A299" s="172" t="s">
        <v>539</v>
      </c>
      <c r="B299" s="173">
        <f>countif(Data!B:B,A299)</f>
        <v>3</v>
      </c>
      <c r="C299" s="174">
        <f>sumif(Data!B:B,A299,Data!M:M)</f>
        <v>17.9030757</v>
      </c>
      <c r="D299" s="174">
        <f t="shared" si="1"/>
        <v>5.967691901</v>
      </c>
      <c r="E299" s="175">
        <f t="shared" si="2"/>
        <v>2.267507752</v>
      </c>
      <c r="F299" s="175">
        <f>IFERROR(__xludf.DUMMYFUNCTION("average.weighted(filter(Data!K:K,Data!B:B=A299),filter(Data!F:F,Data!B:B=A299))"),1.1854332872867925)</f>
        <v>1.185433287</v>
      </c>
      <c r="G299" s="175">
        <f>IFERROR(__xludf.DUMMYFUNCTION("average.weighted(filter(Data!L:L,Data!B:B=A299),filter(Data!F:F,Data!B:B=A299))"),1.0820744646662352)</f>
        <v>1.082074465</v>
      </c>
    </row>
    <row r="300">
      <c r="A300" s="172" t="s">
        <v>540</v>
      </c>
      <c r="B300" s="173">
        <f>countif(Data!B:B,A300)</f>
        <v>8</v>
      </c>
      <c r="C300" s="174">
        <f>sumif(Data!B:B,A300,Data!M:M)</f>
        <v>45.00387908</v>
      </c>
      <c r="D300" s="174">
        <f t="shared" si="1"/>
        <v>5.625484885</v>
      </c>
      <c r="E300" s="175">
        <f t="shared" si="2"/>
        <v>2.179390814</v>
      </c>
      <c r="F300" s="175">
        <f>IFERROR(__xludf.DUMMYFUNCTION("average.weighted(filter(Data!K:K,Data!B:B=A300),filter(Data!F:F,Data!B:B=A300))"),1.1945001335632324)</f>
        <v>1.194500134</v>
      </c>
      <c r="G300" s="175">
        <f>IFERROR(__xludf.DUMMYFUNCTION("average.weighted(filter(Data!L:L,Data!B:B=A300),filter(Data!F:F,Data!B:B=A300))"),0.9848906808535492)</f>
        <v>0.9848906809</v>
      </c>
    </row>
    <row r="301">
      <c r="A301" s="172" t="s">
        <v>201</v>
      </c>
      <c r="B301" s="173">
        <f>countif(Data!B:B,A301)</f>
        <v>8</v>
      </c>
      <c r="C301" s="174">
        <f>sumif(Data!B:B,A301,Data!M:M)</f>
        <v>53.34126567</v>
      </c>
      <c r="D301" s="174">
        <f t="shared" si="1"/>
        <v>6.667658209</v>
      </c>
      <c r="E301" s="175">
        <f t="shared" si="2"/>
        <v>2.114867464</v>
      </c>
      <c r="F301" s="175">
        <f>IFERROR(__xludf.DUMMYFUNCTION("average.weighted(filter(Data!K:K,Data!B:B=A301),filter(Data!F:F,Data!B:B=A301))"),0.28219653218972507)</f>
        <v>0.2821965322</v>
      </c>
      <c r="G301" s="175">
        <f>IFERROR(__xludf.DUMMYFUNCTION("average.weighted(filter(Data!L:L,Data!B:B=A301),filter(Data!F:F,Data!B:B=A301))"),1.832670931352718)</f>
        <v>1.832670931</v>
      </c>
    </row>
    <row r="302">
      <c r="A302" s="172" t="s">
        <v>541</v>
      </c>
      <c r="B302" s="173">
        <f>countif(Data!B:B,A302)</f>
        <v>5</v>
      </c>
      <c r="C302" s="174">
        <f>sumif(Data!B:B,A302,Data!M:M)</f>
        <v>23.91284873</v>
      </c>
      <c r="D302" s="174">
        <f t="shared" si="1"/>
        <v>4.782569745</v>
      </c>
      <c r="E302" s="175">
        <f t="shared" si="2"/>
        <v>2.124122505</v>
      </c>
      <c r="F302" s="175">
        <f>IFERROR(__xludf.DUMMYFUNCTION("average.weighted(filter(Data!K:K,Data!B:B=A302),filter(Data!F:F,Data!B:B=A302))"),0.6546883426797286)</f>
        <v>0.6546883427</v>
      </c>
      <c r="G302" s="175">
        <f>IFERROR(__xludf.DUMMYFUNCTION("average.weighted(filter(Data!L:L,Data!B:B=A302),filter(Data!F:F,Data!B:B=A302))"),1.4694341627127694)</f>
        <v>1.469434163</v>
      </c>
    </row>
    <row r="303">
      <c r="A303" s="172" t="s">
        <v>542</v>
      </c>
      <c r="B303" s="173">
        <f>countif(Data!B:B,A303)</f>
        <v>8</v>
      </c>
      <c r="C303" s="174">
        <f>sumif(Data!B:B,A303,Data!M:M)</f>
        <v>42.92190043</v>
      </c>
      <c r="D303" s="174">
        <f t="shared" si="1"/>
        <v>5.365237553</v>
      </c>
      <c r="E303" s="175">
        <f t="shared" si="2"/>
        <v>2.076660116</v>
      </c>
      <c r="F303" s="175">
        <f>IFERROR(__xludf.DUMMYFUNCTION("average.weighted(filter(Data!K:K,Data!B:B=A303),filter(Data!F:F,Data!B:B=A303))"),1.5766770258509495)</f>
        <v>1.576677026</v>
      </c>
      <c r="G303" s="175">
        <f>IFERROR(__xludf.DUMMYFUNCTION("average.weighted(filter(Data!L:L,Data!B:B=A303),filter(Data!F:F,Data!B:B=A303))"),0.4999830902312518)</f>
        <v>0.4999830902</v>
      </c>
    </row>
    <row r="304">
      <c r="A304" s="172" t="s">
        <v>543</v>
      </c>
      <c r="B304" s="173">
        <f>countif(Data!B:B,A304)</f>
        <v>8</v>
      </c>
      <c r="C304" s="174">
        <f>sumif(Data!B:B,A304,Data!M:M)</f>
        <v>45.00899853</v>
      </c>
      <c r="D304" s="174">
        <f t="shared" si="1"/>
        <v>5.626124816</v>
      </c>
      <c r="E304" s="175">
        <f t="shared" si="2"/>
        <v>2.007894515</v>
      </c>
      <c r="F304" s="175">
        <f>IFERROR(__xludf.DUMMYFUNCTION("average.weighted(filter(Data!K:K,Data!B:B=A304),filter(Data!F:F,Data!B:B=A304))"),0.13528685548077246)</f>
        <v>0.1352868555</v>
      </c>
      <c r="G304" s="175">
        <f>IFERROR(__xludf.DUMMYFUNCTION("average.weighted(filter(Data!L:L,Data!B:B=A304),filter(Data!F:F,Data!B:B=A304))"),1.8726076594190078)</f>
        <v>1.872607659</v>
      </c>
    </row>
    <row r="305">
      <c r="A305" s="172" t="s">
        <v>544</v>
      </c>
      <c r="B305" s="173">
        <f>countif(Data!B:B,A305)</f>
        <v>7</v>
      </c>
      <c r="C305" s="174">
        <f>sumif(Data!B:B,A305,Data!M:M)</f>
        <v>27.26019939</v>
      </c>
      <c r="D305" s="174">
        <f t="shared" si="1"/>
        <v>3.894314199</v>
      </c>
      <c r="E305" s="175">
        <f t="shared" si="2"/>
        <v>1.998559359</v>
      </c>
      <c r="F305" s="175">
        <f>IFERROR(__xludf.DUMMYFUNCTION("average.weighted(filter(Data!K:K,Data!B:B=A305),filter(Data!F:F,Data!B:B=A305))"),0.3076675434902784)</f>
        <v>0.3076675435</v>
      </c>
      <c r="G305" s="175">
        <f>IFERROR(__xludf.DUMMYFUNCTION("average.weighted(filter(Data!L:L,Data!B:B=A305),filter(Data!F:F,Data!B:B=A305))"),1.6908918159256867)</f>
        <v>1.690891816</v>
      </c>
    </row>
    <row r="306">
      <c r="A306" s="172" t="s">
        <v>89</v>
      </c>
      <c r="B306" s="173">
        <f>countif(Data!B:B,A306)</f>
        <v>8</v>
      </c>
      <c r="C306" s="174">
        <f>sumif(Data!B:B,A306,Data!M:M)</f>
        <v>40.40572792</v>
      </c>
      <c r="D306" s="174">
        <f t="shared" si="1"/>
        <v>5.05071599</v>
      </c>
      <c r="E306" s="175">
        <f t="shared" si="2"/>
        <v>1.955586414</v>
      </c>
      <c r="F306" s="175">
        <f>IFERROR(__xludf.DUMMYFUNCTION("average.weighted(filter(Data!K:K,Data!B:B=A306),filter(Data!F:F,Data!B:B=A306))"),1.9474032774301566)</f>
        <v>1.947403277</v>
      </c>
      <c r="G306" s="175">
        <f>IFERROR(__xludf.DUMMYFUNCTION("average.weighted(filter(Data!L:L,Data!B:B=A306),filter(Data!F:F,Data!B:B=A306))"),0.008183136353251776)</f>
        <v>0.008183136353</v>
      </c>
    </row>
    <row r="307">
      <c r="A307" s="172" t="s">
        <v>545</v>
      </c>
      <c r="B307" s="173">
        <f>countif(Data!B:B,A307)</f>
        <v>7</v>
      </c>
      <c r="C307" s="174">
        <f>sumif(Data!B:B,A307,Data!M:M)</f>
        <v>20.65125095</v>
      </c>
      <c r="D307" s="174">
        <f t="shared" si="1"/>
        <v>2.950178707</v>
      </c>
      <c r="E307" s="175">
        <f t="shared" si="2"/>
        <v>1.928445269</v>
      </c>
      <c r="F307" s="175">
        <f>IFERROR(__xludf.DUMMYFUNCTION("average.weighted(filter(Data!K:K,Data!B:B=A307),filter(Data!F:F,Data!B:B=A307))"),-0.14215831803800838)</f>
        <v>-0.142158318</v>
      </c>
      <c r="G307" s="175">
        <f>IFERROR(__xludf.DUMMYFUNCTION("average.weighted(filter(Data!L:L,Data!B:B=A307),filter(Data!F:F,Data!B:B=A307))"),2.070603587341562)</f>
        <v>2.070603587</v>
      </c>
    </row>
    <row r="308">
      <c r="A308" s="172" t="s">
        <v>546</v>
      </c>
      <c r="B308" s="173">
        <f>countif(Data!B:B,A308)</f>
        <v>7</v>
      </c>
      <c r="C308" s="174">
        <f>sumif(Data!B:B,A308,Data!M:M)</f>
        <v>21.45411727</v>
      </c>
      <c r="D308" s="174">
        <f t="shared" si="1"/>
        <v>3.064873896</v>
      </c>
      <c r="E308" s="175">
        <f t="shared" si="2"/>
        <v>1.910396561</v>
      </c>
      <c r="F308" s="175">
        <f>IFERROR(__xludf.DUMMYFUNCTION("average.weighted(filter(Data!K:K,Data!B:B=A308),filter(Data!F:F,Data!B:B=A308))"),-0.42799869070764335)</f>
        <v>-0.4279986907</v>
      </c>
      <c r="G308" s="175">
        <f>IFERROR(__xludf.DUMMYFUNCTION("average.weighted(filter(Data!L:L,Data!B:B=A308),filter(Data!F:F,Data!B:B=A308))"),2.338395251676342)</f>
        <v>2.338395252</v>
      </c>
    </row>
    <row r="309">
      <c r="A309" s="172" t="s">
        <v>547</v>
      </c>
      <c r="B309" s="173">
        <f>countif(Data!B:B,A309)</f>
        <v>6</v>
      </c>
      <c r="C309" s="174">
        <f>sumif(Data!B:B,A309,Data!M:M)</f>
        <v>31.83188647</v>
      </c>
      <c r="D309" s="174">
        <f t="shared" si="1"/>
        <v>5.305314411</v>
      </c>
      <c r="E309" s="175">
        <f t="shared" si="2"/>
        <v>1.876595664</v>
      </c>
      <c r="F309" s="175">
        <f>IFERROR(__xludf.DUMMYFUNCTION("average.weighted(filter(Data!K:K,Data!B:B=A309),filter(Data!F:F,Data!B:B=A309))"),1.3774895692357028)</f>
        <v>1.377489569</v>
      </c>
      <c r="G309" s="175">
        <f>IFERROR(__xludf.DUMMYFUNCTION("average.weighted(filter(Data!L:L,Data!B:B=A309),filter(Data!F:F,Data!B:B=A309))"),0.4991060946033316)</f>
        <v>0.4991060946</v>
      </c>
    </row>
    <row r="310">
      <c r="A310" s="172" t="s">
        <v>548</v>
      </c>
      <c r="B310" s="173">
        <f>countif(Data!B:B,A310)</f>
        <v>5</v>
      </c>
      <c r="C310" s="174">
        <f>sumif(Data!B:B,A310,Data!M:M)</f>
        <v>19.04094353</v>
      </c>
      <c r="D310" s="174">
        <f t="shared" si="1"/>
        <v>3.808188705</v>
      </c>
      <c r="E310" s="175">
        <f t="shared" si="2"/>
        <v>1.852797296</v>
      </c>
      <c r="F310" s="175">
        <f>IFERROR(__xludf.DUMMYFUNCTION("average.weighted(filter(Data!K:K,Data!B:B=A310),filter(Data!F:F,Data!B:B=A310))"),1.3094231218084398)</f>
        <v>1.309423122</v>
      </c>
      <c r="G310" s="175">
        <f>IFERROR(__xludf.DUMMYFUNCTION("average.weighted(filter(Data!L:L,Data!B:B=A310),filter(Data!F:F,Data!B:B=A310))"),0.5433741738652569)</f>
        <v>0.5433741739</v>
      </c>
    </row>
    <row r="311">
      <c r="A311" s="172" t="s">
        <v>549</v>
      </c>
      <c r="B311" s="173">
        <f>countif(Data!B:B,A311)</f>
        <v>5</v>
      </c>
      <c r="C311" s="174">
        <f>sumif(Data!B:B,A311,Data!M:M)</f>
        <v>6.621788232</v>
      </c>
      <c r="D311" s="174">
        <f t="shared" si="1"/>
        <v>1.324357646</v>
      </c>
      <c r="E311" s="175">
        <f t="shared" si="2"/>
        <v>1.896443463</v>
      </c>
      <c r="F311" s="175">
        <f>IFERROR(__xludf.DUMMYFUNCTION("average.weighted(filter(Data!K:K,Data!B:B=A311),filter(Data!F:F,Data!B:B=A311))"),1.3446273029863889)</f>
        <v>1.344627303</v>
      </c>
      <c r="G311" s="175">
        <f>IFERROR(__xludf.DUMMYFUNCTION("average.weighted(filter(Data!L:L,Data!B:B=A311),filter(Data!F:F,Data!B:B=A311))"),0.5518161603331637)</f>
        <v>0.5518161603</v>
      </c>
    </row>
    <row r="312">
      <c r="A312" s="172" t="s">
        <v>550</v>
      </c>
      <c r="B312" s="173">
        <f>countif(Data!B:B,A312)</f>
        <v>8</v>
      </c>
      <c r="C312" s="174">
        <f>sumif(Data!B:B,A312,Data!M:M)</f>
        <v>38.72269371</v>
      </c>
      <c r="D312" s="174">
        <f t="shared" si="1"/>
        <v>4.840336714</v>
      </c>
      <c r="E312" s="175">
        <f t="shared" si="2"/>
        <v>1.71378536</v>
      </c>
      <c r="F312" s="175">
        <f>IFERROR(__xludf.DUMMYFUNCTION("average.weighted(filter(Data!K:K,Data!B:B=A312),filter(Data!F:F,Data!B:B=A312))"),0.2690469034078579)</f>
        <v>0.2690469034</v>
      </c>
      <c r="G312" s="175">
        <f>IFERROR(__xludf.DUMMYFUNCTION("average.weighted(filter(Data!L:L,Data!B:B=A312),filter(Data!F:F,Data!B:B=A312))"),1.4447384561416967)</f>
        <v>1.444738456</v>
      </c>
    </row>
    <row r="313">
      <c r="A313" s="172" t="s">
        <v>551</v>
      </c>
      <c r="B313" s="173">
        <f>countif(Data!B:B,A313)</f>
        <v>7</v>
      </c>
      <c r="C313" s="174">
        <f>sumif(Data!B:B,A313,Data!M:M)</f>
        <v>27.41338239</v>
      </c>
      <c r="D313" s="174">
        <f t="shared" si="1"/>
        <v>3.916197485</v>
      </c>
      <c r="E313" s="175">
        <f t="shared" si="2"/>
        <v>1.662300038</v>
      </c>
      <c r="F313" s="175">
        <f>IFERROR(__xludf.DUMMYFUNCTION("average.weighted(filter(Data!K:K,Data!B:B=A313),filter(Data!F:F,Data!B:B=A313))"),1.9816186199433705)</f>
        <v>1.98161862</v>
      </c>
      <c r="G313" s="175">
        <f>IFERROR(__xludf.DUMMYFUNCTION("average.weighted(filter(Data!L:L,Data!B:B=A313),filter(Data!F:F,Data!B:B=A313))"),-0.3193185815172653)</f>
        <v>-0.3193185815</v>
      </c>
    </row>
    <row r="314">
      <c r="A314" s="172" t="s">
        <v>552</v>
      </c>
      <c r="B314" s="173">
        <f>countif(Data!B:B,A314)</f>
        <v>8</v>
      </c>
      <c r="C314" s="174">
        <f>sumif(Data!B:B,A314,Data!M:M)</f>
        <v>41.46690343</v>
      </c>
      <c r="D314" s="174">
        <f t="shared" si="1"/>
        <v>5.183362928</v>
      </c>
      <c r="E314" s="175">
        <f t="shared" si="2"/>
        <v>1.728559083</v>
      </c>
      <c r="F314" s="175">
        <f>IFERROR(__xludf.DUMMYFUNCTION("average.weighted(filter(Data!K:K,Data!B:B=A314),filter(Data!F:F,Data!B:B=A314))"),1.724264874344768)</f>
        <v>1.724264874</v>
      </c>
      <c r="G314" s="175">
        <f>IFERROR(__xludf.DUMMYFUNCTION("average.weighted(filter(Data!L:L,Data!B:B=A314),filter(Data!F:F,Data!B:B=A314))"),0.004294208681704651)</f>
        <v>0.004294208682</v>
      </c>
    </row>
    <row r="315">
      <c r="A315" s="172" t="s">
        <v>553</v>
      </c>
      <c r="B315" s="173">
        <f>countif(Data!B:B,A315)</f>
        <v>4</v>
      </c>
      <c r="C315" s="174">
        <f>sumif(Data!B:B,A315,Data!M:M)</f>
        <v>22.71896112</v>
      </c>
      <c r="D315" s="174">
        <f t="shared" si="1"/>
        <v>5.679740281</v>
      </c>
      <c r="E315" s="175">
        <f t="shared" si="2"/>
        <v>1.772202294</v>
      </c>
      <c r="F315" s="175">
        <f>IFERROR(__xludf.DUMMYFUNCTION("average.weighted(filter(Data!K:K,Data!B:B=A315),filter(Data!F:F,Data!B:B=A315))"),0.7703373056214712)</f>
        <v>0.7703373056</v>
      </c>
      <c r="G315" s="175">
        <f>IFERROR(__xludf.DUMMYFUNCTION("average.weighted(filter(Data!L:L,Data!B:B=A315),filter(Data!F:F,Data!B:B=A315))"),1.0018649878995964)</f>
        <v>1.001864988</v>
      </c>
    </row>
    <row r="316">
      <c r="A316" s="172" t="s">
        <v>554</v>
      </c>
      <c r="B316" s="173">
        <f>countif(Data!B:B,A316)</f>
        <v>6</v>
      </c>
      <c r="C316" s="174">
        <f>sumif(Data!B:B,A316,Data!M:M)</f>
        <v>15.24300837</v>
      </c>
      <c r="D316" s="174">
        <f t="shared" si="1"/>
        <v>2.540501394</v>
      </c>
      <c r="E316" s="175">
        <f t="shared" si="2"/>
        <v>1.665014037</v>
      </c>
      <c r="F316" s="175">
        <f>IFERROR(__xludf.DUMMYFUNCTION("average.weighted(filter(Data!K:K,Data!B:B=A316),filter(Data!F:F,Data!B:B=A316))"),-1.8715744367910416)</f>
        <v>-1.871574437</v>
      </c>
      <c r="G316" s="175">
        <f>IFERROR(__xludf.DUMMYFUNCTION("average.weighted(filter(Data!L:L,Data!B:B=A316),filter(Data!F:F,Data!B:B=A316))"),3.536588474263937)</f>
        <v>3.536588474</v>
      </c>
    </row>
    <row r="317">
      <c r="A317" s="172" t="s">
        <v>555</v>
      </c>
      <c r="B317" s="173">
        <f>countif(Data!B:B,A317)</f>
        <v>8</v>
      </c>
      <c r="C317" s="174">
        <f>sumif(Data!B:B,A317,Data!M:M)</f>
        <v>33.84338979</v>
      </c>
      <c r="D317" s="174">
        <f t="shared" si="1"/>
        <v>4.230423723</v>
      </c>
      <c r="E317" s="175">
        <f t="shared" si="2"/>
        <v>1.66684877</v>
      </c>
      <c r="F317" s="175">
        <f>IFERROR(__xludf.DUMMYFUNCTION("average.weighted(filter(Data!K:K,Data!B:B=A317),filter(Data!F:F,Data!B:B=A317))"),-0.2597733686615667)</f>
        <v>-0.2597733687</v>
      </c>
      <c r="G317" s="175">
        <f>IFERROR(__xludf.DUMMYFUNCTION("average.weighted(filter(Data!L:L,Data!B:B=A317),filter(Data!F:F,Data!B:B=A317))"),1.9266221381883921)</f>
        <v>1.926622138</v>
      </c>
    </row>
    <row r="318">
      <c r="A318" s="172" t="s">
        <v>556</v>
      </c>
      <c r="B318" s="173">
        <f>countif(Data!B:B,A318)</f>
        <v>4</v>
      </c>
      <c r="C318" s="174">
        <f>sumif(Data!B:B,A318,Data!M:M)</f>
        <v>17.72720193</v>
      </c>
      <c r="D318" s="174">
        <f t="shared" si="1"/>
        <v>4.431800483</v>
      </c>
      <c r="E318" s="175">
        <f t="shared" si="2"/>
        <v>1.686013708</v>
      </c>
      <c r="F318" s="175">
        <f>IFERROR(__xludf.DUMMYFUNCTION("average.weighted(filter(Data!K:K,Data!B:B=A318),filter(Data!F:F,Data!B:B=A318))"),-0.04054457408546002)</f>
        <v>-0.04054457409</v>
      </c>
      <c r="G318" s="175">
        <f>IFERROR(__xludf.DUMMYFUNCTION("average.weighted(filter(Data!L:L,Data!B:B=A318),filter(Data!F:F,Data!B:B=A318))"),1.7265582820974825)</f>
        <v>1.726558282</v>
      </c>
    </row>
    <row r="319">
      <c r="A319" s="172" t="s">
        <v>557</v>
      </c>
      <c r="B319" s="173">
        <f>countif(Data!B:B,A319)</f>
        <v>4</v>
      </c>
      <c r="C319" s="174">
        <f>sumif(Data!B:B,A319,Data!M:M)</f>
        <v>9.874492003</v>
      </c>
      <c r="D319" s="174">
        <f t="shared" si="1"/>
        <v>2.468623001</v>
      </c>
      <c r="E319" s="175">
        <f t="shared" si="2"/>
        <v>1.645116095</v>
      </c>
      <c r="F319" s="175">
        <f>IFERROR(__xludf.DUMMYFUNCTION("average.weighted(filter(Data!K:K,Data!B:B=A319),filter(Data!F:F,Data!B:B=A319))"),0.6321181712897003)</f>
        <v>0.6321181713</v>
      </c>
      <c r="G319" s="175">
        <f>IFERROR(__xludf.DUMMYFUNCTION("average.weighted(filter(Data!L:L,Data!B:B=A319),filter(Data!F:F,Data!B:B=A319))"),1.012997923811153)</f>
        <v>1.012997924</v>
      </c>
    </row>
    <row r="320">
      <c r="A320" s="172" t="s">
        <v>558</v>
      </c>
      <c r="B320" s="173">
        <f>countif(Data!B:B,A320)</f>
        <v>5</v>
      </c>
      <c r="C320" s="174">
        <f>sumif(Data!B:B,A320,Data!M:M)</f>
        <v>18.0208265</v>
      </c>
      <c r="D320" s="174">
        <f t="shared" si="1"/>
        <v>3.604165299</v>
      </c>
      <c r="E320" s="175">
        <f t="shared" si="2"/>
        <v>1.754325443</v>
      </c>
      <c r="F320" s="175">
        <f>IFERROR(__xludf.DUMMYFUNCTION("average.weighted(filter(Data!K:K,Data!B:B=A320),filter(Data!F:F,Data!B:B=A320))"),1.3152635543911246)</f>
        <v>1.315263554</v>
      </c>
      <c r="G320" s="175">
        <f>IFERROR(__xludf.DUMMYFUNCTION("average.weighted(filter(Data!L:L,Data!B:B=A320),filter(Data!F:F,Data!B:B=A320))"),0.4390618886418259)</f>
        <v>0.4390618886</v>
      </c>
    </row>
    <row r="321">
      <c r="A321" s="172" t="s">
        <v>559</v>
      </c>
      <c r="B321" s="173">
        <f>countif(Data!B:B,A321)</f>
        <v>8</v>
      </c>
      <c r="C321" s="174">
        <f>sumif(Data!B:B,A321,Data!M:M)</f>
        <v>32.7186869</v>
      </c>
      <c r="D321" s="174">
        <f t="shared" si="1"/>
        <v>4.089835863</v>
      </c>
      <c r="E321" s="175">
        <f t="shared" si="2"/>
        <v>1.574345215</v>
      </c>
      <c r="F321" s="175">
        <f>IFERROR(__xludf.DUMMYFUNCTION("average.weighted(filter(Data!K:K,Data!B:B=A321),filter(Data!F:F,Data!B:B=A321))"),-0.21495424488955112)</f>
        <v>-0.2149542449</v>
      </c>
      <c r="G321" s="175">
        <f>IFERROR(__xludf.DUMMYFUNCTION("average.weighted(filter(Data!L:L,Data!B:B=A321),filter(Data!F:F,Data!B:B=A321))"),1.7892994599366168)</f>
        <v>1.78929946</v>
      </c>
    </row>
    <row r="322">
      <c r="A322" s="172" t="s">
        <v>560</v>
      </c>
      <c r="B322" s="173">
        <f>countif(Data!B:B,A322)</f>
        <v>6</v>
      </c>
      <c r="C322" s="174">
        <f>sumif(Data!B:B,A322,Data!M:M)</f>
        <v>41.38312917</v>
      </c>
      <c r="D322" s="174">
        <f t="shared" si="1"/>
        <v>6.897188194</v>
      </c>
      <c r="E322" s="175">
        <f t="shared" si="2"/>
        <v>1.609896756</v>
      </c>
      <c r="F322" s="175">
        <f>IFERROR(__xludf.DUMMYFUNCTION("average.weighted(filter(Data!K:K,Data!B:B=A322),filter(Data!F:F,Data!B:B=A322))"),1.9623830700937843)</f>
        <v>1.96238307</v>
      </c>
      <c r="G322" s="175">
        <f>IFERROR(__xludf.DUMMYFUNCTION("average.weighted(filter(Data!L:L,Data!B:B=A322),filter(Data!F:F,Data!B:B=A322))"),-0.3524863139383754)</f>
        <v>-0.3524863139</v>
      </c>
    </row>
    <row r="323">
      <c r="A323" s="172" t="s">
        <v>561</v>
      </c>
      <c r="B323" s="173">
        <f>countif(Data!B:B,A323)</f>
        <v>6</v>
      </c>
      <c r="C323" s="174">
        <f>sumif(Data!B:B,A323,Data!M:M)</f>
        <v>6.144973012</v>
      </c>
      <c r="D323" s="174">
        <f t="shared" si="1"/>
        <v>1.024162169</v>
      </c>
      <c r="E323" s="175">
        <f t="shared" si="2"/>
        <v>1.601006228</v>
      </c>
      <c r="F323" s="175">
        <f>IFERROR(__xludf.DUMMYFUNCTION("average.weighted(filter(Data!K:K,Data!B:B=A323),filter(Data!F:F,Data!B:B=A323))"),1.379140897626707)</f>
        <v>1.379140898</v>
      </c>
      <c r="G323" s="175">
        <f>IFERROR(__xludf.DUMMYFUNCTION("average.weighted(filter(Data!L:L,Data!B:B=A323),filter(Data!F:F,Data!B:B=A323))"),0.22186533066511563)</f>
        <v>0.2218653307</v>
      </c>
    </row>
    <row r="324">
      <c r="A324" s="172" t="s">
        <v>562</v>
      </c>
      <c r="B324" s="173">
        <f>countif(Data!B:B,A324)</f>
        <v>8</v>
      </c>
      <c r="C324" s="174">
        <f>sumif(Data!B:B,A324,Data!M:M)</f>
        <v>36.25409913</v>
      </c>
      <c r="D324" s="174">
        <f t="shared" si="1"/>
        <v>4.531762391</v>
      </c>
      <c r="E324" s="175">
        <f t="shared" si="2"/>
        <v>1.564439725</v>
      </c>
      <c r="F324" s="175">
        <f>IFERROR(__xludf.DUMMYFUNCTION("average.weighted(filter(Data!K:K,Data!B:B=A324),filter(Data!F:F,Data!B:B=A324))"),0.21018689623090467)</f>
        <v>0.2101868962</v>
      </c>
      <c r="G324" s="175">
        <f>IFERROR(__xludf.DUMMYFUNCTION("average.weighted(filter(Data!L:L,Data!B:B=A324),filter(Data!F:F,Data!B:B=A324))"),1.3542528286798892)</f>
        <v>1.354252829</v>
      </c>
    </row>
    <row r="325">
      <c r="A325" s="172" t="s">
        <v>563</v>
      </c>
      <c r="B325" s="173">
        <f>countif(Data!B:B,A325)</f>
        <v>4</v>
      </c>
      <c r="C325" s="174">
        <f>sumif(Data!B:B,A325,Data!M:M)</f>
        <v>2.279222724</v>
      </c>
      <c r="D325" s="174">
        <f t="shared" si="1"/>
        <v>0.569805681</v>
      </c>
      <c r="E325" s="175">
        <f t="shared" si="2"/>
        <v>1.598573785</v>
      </c>
      <c r="F325" s="175">
        <f>IFERROR(__xludf.DUMMYFUNCTION("average.weighted(filter(Data!K:K,Data!B:B=A325),filter(Data!F:F,Data!B:B=A325))"),0.38500830145134907)</f>
        <v>0.3850083015</v>
      </c>
      <c r="G325" s="175">
        <f>IFERROR(__xludf.DUMMYFUNCTION("average.weighted(filter(Data!L:L,Data!B:B=A325),filter(Data!F:F,Data!B:B=A325))"),1.213565483838238)</f>
        <v>1.213565484</v>
      </c>
    </row>
    <row r="326">
      <c r="A326" s="172" t="s">
        <v>564</v>
      </c>
      <c r="B326" s="173">
        <f>countif(Data!B:B,A326)</f>
        <v>8</v>
      </c>
      <c r="C326" s="174">
        <f>sumif(Data!B:B,A326,Data!M:M)</f>
        <v>43.05640664</v>
      </c>
      <c r="D326" s="174">
        <f t="shared" si="1"/>
        <v>5.38205083</v>
      </c>
      <c r="E326" s="175">
        <f t="shared" si="2"/>
        <v>1.527245292</v>
      </c>
      <c r="F326" s="175">
        <f>IFERROR(__xludf.DUMMYFUNCTION("average.weighted(filter(Data!K:K,Data!B:B=A326),filter(Data!F:F,Data!B:B=A326))"),1.1787527197050938)</f>
        <v>1.17875272</v>
      </c>
      <c r="G326" s="175">
        <f>IFERROR(__xludf.DUMMYFUNCTION("average.weighted(filter(Data!L:L,Data!B:B=A326),filter(Data!F:F,Data!B:B=A326))"),0.34849257187317007)</f>
        <v>0.3484925719</v>
      </c>
    </row>
    <row r="327">
      <c r="A327" s="172" t="s">
        <v>565</v>
      </c>
      <c r="B327" s="173">
        <f>countif(Data!B:B,A327)</f>
        <v>5</v>
      </c>
      <c r="C327" s="174">
        <f>sumif(Data!B:B,A327,Data!M:M)</f>
        <v>19.90690802</v>
      </c>
      <c r="D327" s="174">
        <f t="shared" si="1"/>
        <v>3.981381604</v>
      </c>
      <c r="E327" s="175">
        <f t="shared" si="2"/>
        <v>1.551060725</v>
      </c>
      <c r="F327" s="175">
        <f>IFERROR(__xludf.DUMMYFUNCTION("average.weighted(filter(Data!K:K,Data!B:B=A327),filter(Data!F:F,Data!B:B=A327))"),1.2177529777296796)</f>
        <v>1.217752978</v>
      </c>
      <c r="G327" s="175">
        <f>IFERROR(__xludf.DUMMYFUNCTION("average.weighted(filter(Data!L:L,Data!B:B=A327),filter(Data!F:F,Data!B:B=A327))"),0.3333077476265561)</f>
        <v>0.3333077476</v>
      </c>
    </row>
    <row r="328">
      <c r="A328" s="172" t="s">
        <v>566</v>
      </c>
      <c r="B328" s="173">
        <f>countif(Data!B:B,A328)</f>
        <v>8</v>
      </c>
      <c r="C328" s="174">
        <f>sumif(Data!B:B,A328,Data!M:M)</f>
        <v>38.67147765</v>
      </c>
      <c r="D328" s="174">
        <f t="shared" si="1"/>
        <v>4.833934706</v>
      </c>
      <c r="E328" s="175">
        <f t="shared" si="2"/>
        <v>1.552938211</v>
      </c>
      <c r="F328" s="175">
        <f>IFERROR(__xludf.DUMMYFUNCTION("average.weighted(filter(Data!K:K,Data!B:B=A328),filter(Data!F:F,Data!B:B=A328))"),0.4417017337971144)</f>
        <v>0.4417017338</v>
      </c>
      <c r="G328" s="175">
        <f>IFERROR(__xludf.DUMMYFUNCTION("average.weighted(filter(Data!L:L,Data!B:B=A328),filter(Data!F:F,Data!B:B=A328))"),1.1112364767314904)</f>
        <v>1.111236477</v>
      </c>
    </row>
    <row r="329">
      <c r="A329" s="172" t="s">
        <v>567</v>
      </c>
      <c r="B329" s="173">
        <f>countif(Data!B:B,A329)</f>
        <v>8</v>
      </c>
      <c r="C329" s="174">
        <f>sumif(Data!B:B,A329,Data!M:M)</f>
        <v>40.40896938</v>
      </c>
      <c r="D329" s="174">
        <f t="shared" si="1"/>
        <v>5.051121173</v>
      </c>
      <c r="E329" s="175">
        <f t="shared" si="2"/>
        <v>1.535441093</v>
      </c>
      <c r="F329" s="175">
        <f>IFERROR(__xludf.DUMMYFUNCTION("average.weighted(filter(Data!K:K,Data!B:B=A329),filter(Data!F:F,Data!B:B=A329))"),0.3538297704095251)</f>
        <v>0.3538297704</v>
      </c>
      <c r="G329" s="175">
        <f>IFERROR(__xludf.DUMMYFUNCTION("average.weighted(filter(Data!L:L,Data!B:B=A329),filter(Data!F:F,Data!B:B=A329))"),1.1816113224027687)</f>
        <v>1.181611322</v>
      </c>
    </row>
    <row r="330">
      <c r="A330" s="172" t="s">
        <v>568</v>
      </c>
      <c r="B330" s="173">
        <f>countif(Data!B:B,A330)</f>
        <v>3</v>
      </c>
      <c r="C330" s="174">
        <f>sumif(Data!B:B,A330,Data!M:M)</f>
        <v>9.253272108</v>
      </c>
      <c r="D330" s="174">
        <f t="shared" si="1"/>
        <v>3.084424036</v>
      </c>
      <c r="E330" s="175">
        <f t="shared" si="2"/>
        <v>1.588032934</v>
      </c>
      <c r="F330" s="175">
        <f>IFERROR(__xludf.DUMMYFUNCTION("average.weighted(filter(Data!K:K,Data!B:B=A330),filter(Data!F:F,Data!B:B=A330))"),-0.35795341788708995)</f>
        <v>-0.3579534179</v>
      </c>
      <c r="G330" s="175">
        <f>IFERROR(__xludf.DUMMYFUNCTION("average.weighted(filter(Data!L:L,Data!B:B=A330),filter(Data!F:F,Data!B:B=A330))"),1.94598635143158)</f>
        <v>1.945986351</v>
      </c>
    </row>
    <row r="331">
      <c r="A331" s="172" t="s">
        <v>569</v>
      </c>
      <c r="B331" s="173">
        <f>countif(Data!B:B,A331)</f>
        <v>7</v>
      </c>
      <c r="C331" s="174">
        <f>sumif(Data!B:B,A331,Data!M:M)</f>
        <v>29.02223096</v>
      </c>
      <c r="D331" s="174">
        <f t="shared" si="1"/>
        <v>4.146032994</v>
      </c>
      <c r="E331" s="175">
        <f t="shared" si="2"/>
        <v>1.500251969</v>
      </c>
      <c r="F331" s="175">
        <f>IFERROR(__xludf.DUMMYFUNCTION("average.weighted(filter(Data!K:K,Data!B:B=A331),filter(Data!F:F,Data!B:B=A331))"),3.4518690962257828)</f>
        <v>3.451869096</v>
      </c>
      <c r="G331" s="175">
        <f>IFERROR(__xludf.DUMMYFUNCTION("average.weighted(filter(Data!L:L,Data!B:B=A331),filter(Data!F:F,Data!B:B=A331))"),-1.9516171272327614)</f>
        <v>-1.951617127</v>
      </c>
    </row>
    <row r="332">
      <c r="A332" s="172" t="s">
        <v>570</v>
      </c>
      <c r="B332" s="173">
        <f>countif(Data!B:B,A332)</f>
        <v>3</v>
      </c>
      <c r="C332" s="174">
        <f>sumif(Data!B:B,A332,Data!M:M)</f>
        <v>6.653568421</v>
      </c>
      <c r="D332" s="174">
        <f t="shared" si="1"/>
        <v>2.21785614</v>
      </c>
      <c r="E332" s="175">
        <f t="shared" si="2"/>
        <v>1.49495936</v>
      </c>
      <c r="F332" s="175">
        <f>IFERROR(__xludf.DUMMYFUNCTION("average.weighted(filter(Data!K:K,Data!B:B=A332),filter(Data!F:F,Data!B:B=A332))"),-1.7355118103698508)</f>
        <v>-1.73551181</v>
      </c>
      <c r="G332" s="175">
        <f>IFERROR(__xludf.DUMMYFUNCTION("average.weighted(filter(Data!L:L,Data!B:B=A332),filter(Data!F:F,Data!B:B=A332))"),3.2304711708307154)</f>
        <v>3.230471171</v>
      </c>
    </row>
    <row r="333">
      <c r="A333" s="172" t="s">
        <v>571</v>
      </c>
      <c r="B333" s="173">
        <f>countif(Data!B:B,A333)</f>
        <v>8</v>
      </c>
      <c r="C333" s="174">
        <f>sumif(Data!B:B,A333,Data!M:M)</f>
        <v>33.6672593</v>
      </c>
      <c r="D333" s="174">
        <f t="shared" si="1"/>
        <v>4.208407412</v>
      </c>
      <c r="E333" s="175">
        <f t="shared" si="2"/>
        <v>1.485518294</v>
      </c>
      <c r="F333" s="175">
        <f>IFERROR(__xludf.DUMMYFUNCTION("average.weighted(filter(Data!K:K,Data!B:B=A333),filter(Data!F:F,Data!B:B=A333))"),-0.014064275271904082)</f>
        <v>-0.01406427527</v>
      </c>
      <c r="G333" s="175">
        <f>IFERROR(__xludf.DUMMYFUNCTION("average.weighted(filter(Data!L:L,Data!B:B=A333),filter(Data!F:F,Data!B:B=A333))"),1.499582568879552)</f>
        <v>1.499582569</v>
      </c>
    </row>
    <row r="334">
      <c r="A334" s="172" t="s">
        <v>572</v>
      </c>
      <c r="B334" s="173">
        <f>countif(Data!B:B,A334)</f>
        <v>1</v>
      </c>
      <c r="C334" s="174">
        <f>sumif(Data!B:B,A334,Data!M:M)</f>
        <v>3.686157298</v>
      </c>
      <c r="D334" s="174">
        <f t="shared" si="1"/>
        <v>3.686157298</v>
      </c>
      <c r="E334" s="175">
        <f t="shared" si="2"/>
        <v>1.443001586</v>
      </c>
      <c r="F334" s="175">
        <f>IFERROR(__xludf.DUMMYFUNCTION("average.weighted(filter(Data!K:K,Data!B:B=A334),filter(Data!F:F,Data!B:B=A334))"),-0.0530677009836021)</f>
        <v>-0.05306770098</v>
      </c>
      <c r="G334" s="175">
        <f>IFERROR(__xludf.DUMMYFUNCTION("average.weighted(filter(Data!L:L,Data!B:B=A334),filter(Data!F:F,Data!B:B=A334))"),1.49606928700678)</f>
        <v>1.496069287</v>
      </c>
    </row>
    <row r="335">
      <c r="A335" s="172" t="s">
        <v>573</v>
      </c>
      <c r="B335" s="173">
        <f>countif(Data!B:B,A335)</f>
        <v>8</v>
      </c>
      <c r="C335" s="174">
        <f>sumif(Data!B:B,A335,Data!M:M)</f>
        <v>31.2993298</v>
      </c>
      <c r="D335" s="174">
        <f t="shared" si="1"/>
        <v>3.912416225</v>
      </c>
      <c r="E335" s="175">
        <f t="shared" si="2"/>
        <v>1.430695371</v>
      </c>
      <c r="F335" s="175">
        <f>IFERROR(__xludf.DUMMYFUNCTION("average.weighted(filter(Data!K:K,Data!B:B=A335),filter(Data!F:F,Data!B:B=A335))"),0.8566235949449028)</f>
        <v>0.8566235949</v>
      </c>
      <c r="G335" s="175">
        <f>IFERROR(__xludf.DUMMYFUNCTION("average.weighted(filter(Data!L:L,Data!B:B=A335),filter(Data!F:F,Data!B:B=A335))"),0.5740717758381634)</f>
        <v>0.5740717758</v>
      </c>
    </row>
    <row r="336">
      <c r="A336" s="172" t="s">
        <v>574</v>
      </c>
      <c r="B336" s="173">
        <f>countif(Data!B:B,A336)</f>
        <v>4</v>
      </c>
      <c r="C336" s="174">
        <f>sumif(Data!B:B,A336,Data!M:M)</f>
        <v>4.789965659</v>
      </c>
      <c r="D336" s="174">
        <f t="shared" si="1"/>
        <v>1.197491415</v>
      </c>
      <c r="E336" s="175">
        <f t="shared" si="2"/>
        <v>1.889022293</v>
      </c>
      <c r="F336" s="175">
        <f>IFERROR(__xludf.DUMMYFUNCTION("average.weighted(filter(Data!K:K,Data!B:B=A336),filter(Data!F:F,Data!B:B=A336))"),0.9381551078933759)</f>
        <v>0.9381551079</v>
      </c>
      <c r="G336" s="175">
        <f>IFERROR(__xludf.DUMMYFUNCTION("average.weighted(filter(Data!L:L,Data!B:B=A336),filter(Data!F:F,Data!B:B=A336))"),0.950867184933921)</f>
        <v>0.9508671849</v>
      </c>
    </row>
    <row r="337">
      <c r="A337" s="172" t="s">
        <v>575</v>
      </c>
      <c r="B337" s="173">
        <f>countif(Data!B:B,A337)</f>
        <v>4</v>
      </c>
      <c r="C337" s="174">
        <f>sumif(Data!B:B,A337,Data!M:M)</f>
        <v>2.205531219</v>
      </c>
      <c r="D337" s="174">
        <f t="shared" si="1"/>
        <v>0.5513828047</v>
      </c>
      <c r="E337" s="175">
        <f t="shared" si="2"/>
        <v>1.36129564</v>
      </c>
      <c r="F337" s="175">
        <f>IFERROR(__xludf.DUMMYFUNCTION("average.weighted(filter(Data!K:K,Data!B:B=A337),filter(Data!F:F,Data!B:B=A337))"),-1.8438866748651237)</f>
        <v>-1.843886675</v>
      </c>
      <c r="G337" s="175">
        <f>IFERROR(__xludf.DUMMYFUNCTION("average.weighted(filter(Data!L:L,Data!B:B=A337),filter(Data!F:F,Data!B:B=A337))"),3.2051823151850116)</f>
        <v>3.205182315</v>
      </c>
    </row>
    <row r="338">
      <c r="A338" s="172" t="s">
        <v>576</v>
      </c>
      <c r="B338" s="173">
        <f>countif(Data!B:B,A338)</f>
        <v>8</v>
      </c>
      <c r="C338" s="174">
        <f>sumif(Data!B:B,A338,Data!M:M)</f>
        <v>46.43557553</v>
      </c>
      <c r="D338" s="174">
        <f t="shared" si="1"/>
        <v>5.804446941</v>
      </c>
      <c r="E338" s="175">
        <f t="shared" si="2"/>
        <v>1.328868898</v>
      </c>
      <c r="F338" s="175">
        <f>IFERROR(__xludf.DUMMYFUNCTION("average.weighted(filter(Data!K:K,Data!B:B=A338),filter(Data!F:F,Data!B:B=A338))"),2.074063615752401)</f>
        <v>2.074063616</v>
      </c>
      <c r="G338" s="175">
        <f>IFERROR(__xludf.DUMMYFUNCTION("average.weighted(filter(Data!L:L,Data!B:B=A338),filter(Data!F:F,Data!B:B=A338))"),-0.7451947182401574)</f>
        <v>-0.7451947182</v>
      </c>
    </row>
    <row r="339">
      <c r="A339" s="172" t="s">
        <v>577</v>
      </c>
      <c r="B339" s="173">
        <f>countif(Data!B:B,A339)</f>
        <v>8</v>
      </c>
      <c r="C339" s="174">
        <f>sumif(Data!B:B,A339,Data!M:M)</f>
        <v>27.6257796</v>
      </c>
      <c r="D339" s="174">
        <f t="shared" si="1"/>
        <v>3.45322245</v>
      </c>
      <c r="E339" s="175">
        <f t="shared" si="2"/>
        <v>1.300125359</v>
      </c>
      <c r="F339" s="175">
        <f>IFERROR(__xludf.DUMMYFUNCTION("average.weighted(filter(Data!K:K,Data!B:B=A339),filter(Data!F:F,Data!B:B=A339))"),0.4923921463408226)</f>
        <v>0.4923921463</v>
      </c>
      <c r="G339" s="175">
        <f>IFERROR(__xludf.DUMMYFUNCTION("average.weighted(filter(Data!L:L,Data!B:B=A339),filter(Data!F:F,Data!B:B=A339))"),0.80773321242302)</f>
        <v>0.8077332124</v>
      </c>
    </row>
    <row r="340">
      <c r="A340" s="172" t="s">
        <v>578</v>
      </c>
      <c r="B340" s="173">
        <f>countif(Data!B:B,A340)</f>
        <v>4</v>
      </c>
      <c r="C340" s="174">
        <f>sumif(Data!B:B,A340,Data!M:M)</f>
        <v>5.820913702</v>
      </c>
      <c r="D340" s="174">
        <f t="shared" si="1"/>
        <v>1.455228425</v>
      </c>
      <c r="E340" s="175">
        <f t="shared" si="2"/>
        <v>1.270092644</v>
      </c>
      <c r="F340" s="175">
        <f>IFERROR(__xludf.DUMMYFUNCTION("average.weighted(filter(Data!K:K,Data!B:B=A340),filter(Data!F:F,Data!B:B=A340))"),-1.5967980126407697)</f>
        <v>-1.596798013</v>
      </c>
      <c r="G340" s="175">
        <f>IFERROR(__xludf.DUMMYFUNCTION("average.weighted(filter(Data!L:L,Data!B:B=A340),filter(Data!F:F,Data!B:B=A340))"),2.8668906562725067)</f>
        <v>2.866890656</v>
      </c>
    </row>
    <row r="341">
      <c r="A341" s="172" t="s">
        <v>579</v>
      </c>
      <c r="B341" s="173">
        <f>countif(Data!B:B,A341)</f>
        <v>6</v>
      </c>
      <c r="C341" s="174">
        <f>sumif(Data!B:B,A341,Data!M:M)</f>
        <v>25.47345215</v>
      </c>
      <c r="D341" s="174">
        <f t="shared" si="1"/>
        <v>4.245575358</v>
      </c>
      <c r="E341" s="175">
        <f t="shared" si="2"/>
        <v>1.266338466</v>
      </c>
      <c r="F341" s="175">
        <f>IFERROR(__xludf.DUMMYFUNCTION("average.weighted(filter(Data!K:K,Data!B:B=A341),filter(Data!F:F,Data!B:B=A341))"),0.20650490075766456)</f>
        <v>0.2065049008</v>
      </c>
      <c r="G341" s="175">
        <f>IFERROR(__xludf.DUMMYFUNCTION("average.weighted(filter(Data!L:L,Data!B:B=A341),filter(Data!F:F,Data!B:B=A341))"),1.0598335656727378)</f>
        <v>1.059833566</v>
      </c>
    </row>
    <row r="342">
      <c r="A342" s="172" t="s">
        <v>580</v>
      </c>
      <c r="B342" s="173">
        <f>countif(Data!B:B,A342)</f>
        <v>8</v>
      </c>
      <c r="C342" s="174">
        <f>sumif(Data!B:B,A342,Data!M:M)</f>
        <v>28.05332426</v>
      </c>
      <c r="D342" s="174">
        <f t="shared" si="1"/>
        <v>3.506665533</v>
      </c>
      <c r="E342" s="175">
        <f t="shared" si="2"/>
        <v>1.173670296</v>
      </c>
      <c r="F342" s="175">
        <f>IFERROR(__xludf.DUMMYFUNCTION("average.weighted(filter(Data!K:K,Data!B:B=A342),filter(Data!F:F,Data!B:B=A342))"),0.05249693897761216)</f>
        <v>0.05249693898</v>
      </c>
      <c r="G342" s="175">
        <f>IFERROR(__xludf.DUMMYFUNCTION("average.weighted(filter(Data!L:L,Data!B:B=A342),filter(Data!F:F,Data!B:B=A342))"),1.121173357028791)</f>
        <v>1.121173357</v>
      </c>
    </row>
    <row r="343">
      <c r="A343" s="172" t="s">
        <v>581</v>
      </c>
      <c r="B343" s="173">
        <f>countif(Data!B:B,A343)</f>
        <v>4</v>
      </c>
      <c r="C343" s="174">
        <f>sumif(Data!B:B,A343,Data!M:M)</f>
        <v>21.028771</v>
      </c>
      <c r="D343" s="174">
        <f t="shared" si="1"/>
        <v>5.257192751</v>
      </c>
      <c r="E343" s="175">
        <f t="shared" si="2"/>
        <v>1.373391648</v>
      </c>
      <c r="F343" s="175">
        <f>IFERROR(__xludf.DUMMYFUNCTION("average.weighted(filter(Data!K:K,Data!B:B=A343),filter(Data!F:F,Data!B:B=A343))"),1.6436752429184955)</f>
        <v>1.643675243</v>
      </c>
      <c r="G343" s="175">
        <f>IFERROR(__xludf.DUMMYFUNCTION("average.weighted(filter(Data!L:L,Data!B:B=A343),filter(Data!F:F,Data!B:B=A343))"),-0.27028359509909233)</f>
        <v>-0.2702835951</v>
      </c>
    </row>
    <row r="344">
      <c r="A344" s="172" t="s">
        <v>582</v>
      </c>
      <c r="B344" s="173">
        <f>countif(Data!B:B,A344)</f>
        <v>4</v>
      </c>
      <c r="C344" s="174">
        <f>sumif(Data!B:B,A344,Data!M:M)</f>
        <v>14.78296447</v>
      </c>
      <c r="D344" s="174">
        <f t="shared" si="1"/>
        <v>3.695741118</v>
      </c>
      <c r="E344" s="175">
        <f t="shared" si="2"/>
        <v>1.259483077</v>
      </c>
      <c r="F344" s="175">
        <f>IFERROR(__xludf.DUMMYFUNCTION("average.weighted(filter(Data!K:K,Data!B:B=A344),filter(Data!F:F,Data!B:B=A344))"),-0.1336059189197127)</f>
        <v>-0.1336059189</v>
      </c>
      <c r="G344" s="175">
        <f>IFERROR(__xludf.DUMMYFUNCTION("average.weighted(filter(Data!L:L,Data!B:B=A344),filter(Data!F:F,Data!B:B=A344))"),1.3930889959958708)</f>
        <v>1.393088996</v>
      </c>
    </row>
    <row r="345">
      <c r="A345" s="172" t="s">
        <v>583</v>
      </c>
      <c r="B345" s="173">
        <f>countif(Data!B:B,A345)</f>
        <v>5</v>
      </c>
      <c r="C345" s="174">
        <f>sumif(Data!B:B,A345,Data!M:M)</f>
        <v>18.03326335</v>
      </c>
      <c r="D345" s="174">
        <f t="shared" si="1"/>
        <v>3.60665267</v>
      </c>
      <c r="E345" s="175">
        <f t="shared" si="2"/>
        <v>1.2251047</v>
      </c>
      <c r="F345" s="175">
        <f>IFERROR(__xludf.DUMMYFUNCTION("average.weighted(filter(Data!K:K,Data!B:B=A345),filter(Data!F:F,Data!B:B=A345))"),-0.3229078837525393)</f>
        <v>-0.3229078838</v>
      </c>
      <c r="G345" s="175">
        <f>IFERROR(__xludf.DUMMYFUNCTION("average.weighted(filter(Data!L:L,Data!B:B=A345),filter(Data!F:F,Data!B:B=A345))"),1.5480125838084464)</f>
        <v>1.548012584</v>
      </c>
    </row>
    <row r="346">
      <c r="A346" s="172" t="s">
        <v>584</v>
      </c>
      <c r="B346" s="173">
        <f>countif(Data!B:B,A346)</f>
        <v>8</v>
      </c>
      <c r="C346" s="174">
        <f>sumif(Data!B:B,A346,Data!M:M)</f>
        <v>37.84182256</v>
      </c>
      <c r="D346" s="174">
        <f t="shared" si="1"/>
        <v>4.73022782</v>
      </c>
      <c r="E346" s="175">
        <f t="shared" si="2"/>
        <v>1.22035793</v>
      </c>
      <c r="F346" s="175">
        <f>IFERROR(__xludf.DUMMYFUNCTION("average.weighted(filter(Data!K:K,Data!B:B=A346),filter(Data!F:F,Data!B:B=A346))"),-0.05031016738821819)</f>
        <v>-0.05031016739</v>
      </c>
      <c r="G346" s="175">
        <f>IFERROR(__xludf.DUMMYFUNCTION("average.weighted(filter(Data!L:L,Data!B:B=A346),filter(Data!F:F,Data!B:B=A346))"),1.2706680975169204)</f>
        <v>1.270668098</v>
      </c>
    </row>
    <row r="347">
      <c r="A347" s="172" t="s">
        <v>585</v>
      </c>
      <c r="B347" s="173">
        <f>countif(Data!B:B,A347)</f>
        <v>5</v>
      </c>
      <c r="C347" s="174">
        <f>sumif(Data!B:B,A347,Data!M:M)</f>
        <v>9.296879222</v>
      </c>
      <c r="D347" s="174">
        <f t="shared" si="1"/>
        <v>1.859375844</v>
      </c>
      <c r="E347" s="175">
        <f t="shared" si="2"/>
        <v>1.172553357</v>
      </c>
      <c r="F347" s="175">
        <f>IFERROR(__xludf.DUMMYFUNCTION("average.weighted(filter(Data!K:K,Data!B:B=A347),filter(Data!F:F,Data!B:B=A347))"),-0.3159107523316538)</f>
        <v>-0.3159107523</v>
      </c>
      <c r="G347" s="175">
        <f>IFERROR(__xludf.DUMMYFUNCTION("average.weighted(filter(Data!L:L,Data!B:B=A347),filter(Data!F:F,Data!B:B=A347))"),1.4884641092543003)</f>
        <v>1.488464109</v>
      </c>
    </row>
    <row r="348">
      <c r="A348" s="172" t="s">
        <v>586</v>
      </c>
      <c r="B348" s="173">
        <f>countif(Data!B:B,A348)</f>
        <v>6</v>
      </c>
      <c r="C348" s="174">
        <f>sumif(Data!B:B,A348,Data!M:M)</f>
        <v>24.58276469</v>
      </c>
      <c r="D348" s="174">
        <f t="shared" si="1"/>
        <v>4.097127448</v>
      </c>
      <c r="E348" s="175">
        <f t="shared" si="2"/>
        <v>1.182741381</v>
      </c>
      <c r="F348" s="175">
        <f>IFERROR(__xludf.DUMMYFUNCTION("average.weighted(filter(Data!K:K,Data!B:B=A348),filter(Data!F:F,Data!B:B=A348))"),-1.2374699764815134)</f>
        <v>-1.237469976</v>
      </c>
      <c r="G348" s="175">
        <f>IFERROR(__xludf.DUMMYFUNCTION("average.weighted(filter(Data!L:L,Data!B:B=A348),filter(Data!F:F,Data!B:B=A348))"),2.4202113574389674)</f>
        <v>2.420211357</v>
      </c>
    </row>
    <row r="349">
      <c r="A349" s="172" t="s">
        <v>587</v>
      </c>
      <c r="B349" s="173">
        <f>countif(Data!B:B,A349)</f>
        <v>5</v>
      </c>
      <c r="C349" s="174">
        <f>sumif(Data!B:B,A349,Data!M:M)</f>
        <v>19.89052615</v>
      </c>
      <c r="D349" s="174">
        <f t="shared" si="1"/>
        <v>3.978105229</v>
      </c>
      <c r="E349" s="175">
        <f t="shared" si="2"/>
        <v>1.314718122</v>
      </c>
      <c r="F349" s="175">
        <f>IFERROR(__xludf.DUMMYFUNCTION("average.weighted(filter(Data!K:K,Data!B:B=A349),filter(Data!F:F,Data!B:B=A349))"),0.2198391673214686)</f>
        <v>0.2198391673</v>
      </c>
      <c r="G349" s="175">
        <f>IFERROR(__xludf.DUMMYFUNCTION("average.weighted(filter(Data!L:L,Data!B:B=A349),filter(Data!F:F,Data!B:B=A349))"),1.0948789549364284)</f>
        <v>1.094878955</v>
      </c>
    </row>
    <row r="350">
      <c r="A350" s="172" t="s">
        <v>588</v>
      </c>
      <c r="B350" s="173">
        <f>countif(Data!B:B,A350)</f>
        <v>1</v>
      </c>
      <c r="C350" s="174">
        <f>sumif(Data!B:B,A350,Data!M:M)</f>
        <v>0.5422182248</v>
      </c>
      <c r="D350" s="174">
        <f t="shared" si="1"/>
        <v>0.5422182248</v>
      </c>
      <c r="E350" s="175">
        <f t="shared" si="2"/>
        <v>1.15809435</v>
      </c>
      <c r="F350" s="175">
        <f>IFERROR(__xludf.DUMMYFUNCTION("average.weighted(filter(Data!K:K,Data!B:B=A350),filter(Data!F:F,Data!B:B=A350))"),1.53961845200606)</f>
        <v>1.539618452</v>
      </c>
      <c r="G350" s="175">
        <f>IFERROR(__xludf.DUMMYFUNCTION("average.weighted(filter(Data!L:L,Data!B:B=A350),filter(Data!F:F,Data!B:B=A350))"),-0.38152410158109)</f>
        <v>-0.3815241016</v>
      </c>
    </row>
    <row r="351">
      <c r="A351" s="172" t="s">
        <v>589</v>
      </c>
      <c r="B351" s="173">
        <f>countif(Data!B:B,A351)</f>
        <v>4</v>
      </c>
      <c r="C351" s="174">
        <f>sumif(Data!B:B,A351,Data!M:M)</f>
        <v>18.38291263</v>
      </c>
      <c r="D351" s="174">
        <f t="shared" si="1"/>
        <v>4.595728157</v>
      </c>
      <c r="E351" s="175">
        <f t="shared" si="2"/>
        <v>1.154700954</v>
      </c>
      <c r="F351" s="175">
        <f>IFERROR(__xludf.DUMMYFUNCTION("average.weighted(filter(Data!K:K,Data!B:B=A351),filter(Data!F:F,Data!B:B=A351))"),1.253804927721534)</f>
        <v>1.253804928</v>
      </c>
      <c r="G351" s="175">
        <f>IFERROR(__xludf.DUMMYFUNCTION("average.weighted(filter(Data!L:L,Data!B:B=A351),filter(Data!F:F,Data!B:B=A351))"),-0.09910397351297365)</f>
        <v>-0.09910397351</v>
      </c>
    </row>
    <row r="352">
      <c r="A352" s="172" t="s">
        <v>590</v>
      </c>
      <c r="B352" s="173">
        <f>countif(Data!B:B,A352)</f>
        <v>4</v>
      </c>
      <c r="C352" s="174">
        <f>sumif(Data!B:B,A352,Data!M:M)</f>
        <v>12.8383393</v>
      </c>
      <c r="D352" s="174">
        <f t="shared" si="1"/>
        <v>3.209584825</v>
      </c>
      <c r="E352" s="175">
        <f t="shared" si="2"/>
        <v>1.137923088</v>
      </c>
      <c r="F352" s="175">
        <f>IFERROR(__xludf.DUMMYFUNCTION("average.weighted(filter(Data!K:K,Data!B:B=A352),filter(Data!F:F,Data!B:B=A352))"),0.32917955965394186)</f>
        <v>0.3291795597</v>
      </c>
      <c r="G352" s="175">
        <f>IFERROR(__xludf.DUMMYFUNCTION("average.weighted(filter(Data!L:L,Data!B:B=A352),filter(Data!F:F,Data!B:B=A352))"),0.8087435279303025)</f>
        <v>0.8087435279</v>
      </c>
    </row>
    <row r="353">
      <c r="A353" s="172" t="s">
        <v>591</v>
      </c>
      <c r="B353" s="173">
        <f>countif(Data!B:B,A353)</f>
        <v>2</v>
      </c>
      <c r="C353" s="174">
        <f>sumif(Data!B:B,A353,Data!M:M)</f>
        <v>4.670627101</v>
      </c>
      <c r="D353" s="174">
        <f t="shared" si="1"/>
        <v>2.335313551</v>
      </c>
      <c r="E353" s="175">
        <f t="shared" si="2"/>
        <v>2.006602681</v>
      </c>
      <c r="F353" s="175">
        <f>IFERROR(__xludf.DUMMYFUNCTION("average.weighted(filter(Data!K:K,Data!B:B=A353),filter(Data!F:F,Data!B:B=A353))"),2.9531868519623288)</f>
        <v>2.953186852</v>
      </c>
      <c r="G353" s="175">
        <f>IFERROR(__xludf.DUMMYFUNCTION("average.weighted(filter(Data!L:L,Data!B:B=A353),filter(Data!F:F,Data!B:B=A353))"),-0.946584171233944)</f>
        <v>-0.9465841712</v>
      </c>
    </row>
    <row r="354">
      <c r="A354" s="172" t="s">
        <v>592</v>
      </c>
      <c r="B354" s="173">
        <f>countif(Data!B:B,A354)</f>
        <v>4</v>
      </c>
      <c r="C354" s="174">
        <f>sumif(Data!B:B,A354,Data!M:M)</f>
        <v>6.735675439</v>
      </c>
      <c r="D354" s="174">
        <f t="shared" si="1"/>
        <v>1.68391886</v>
      </c>
      <c r="E354" s="175">
        <f t="shared" si="2"/>
        <v>1.097108486</v>
      </c>
      <c r="F354" s="175">
        <f>IFERROR(__xludf.DUMMYFUNCTION("average.weighted(filter(Data!K:K,Data!B:B=A354),filter(Data!F:F,Data!B:B=A354))"),-0.4204740047186059)</f>
        <v>-0.4204740047</v>
      </c>
      <c r="G354" s="175">
        <f>IFERROR(__xludf.DUMMYFUNCTION("average.weighted(filter(Data!L:L,Data!B:B=A354),filter(Data!F:F,Data!B:B=A354))"),1.517582491101804)</f>
        <v>1.517582491</v>
      </c>
    </row>
    <row r="355">
      <c r="A355" s="172" t="s">
        <v>593</v>
      </c>
      <c r="B355" s="173">
        <f>countif(Data!B:B,A355)</f>
        <v>8</v>
      </c>
      <c r="C355" s="174">
        <f>sumif(Data!B:B,A355,Data!M:M)</f>
        <v>32.98736284</v>
      </c>
      <c r="D355" s="174">
        <f t="shared" si="1"/>
        <v>4.123420355</v>
      </c>
      <c r="E355" s="175">
        <f t="shared" si="2"/>
        <v>1.10181562</v>
      </c>
      <c r="F355" s="175">
        <f>IFERROR(__xludf.DUMMYFUNCTION("average.weighted(filter(Data!K:K,Data!B:B=A355),filter(Data!F:F,Data!B:B=A355))"),0.39528313562348355)</f>
        <v>0.3952831356</v>
      </c>
      <c r="G355" s="175">
        <f>IFERROR(__xludf.DUMMYFUNCTION("average.weighted(filter(Data!L:L,Data!B:B=A355),filter(Data!F:F,Data!B:B=A355))"),0.706532484723599)</f>
        <v>0.7065324847</v>
      </c>
    </row>
    <row r="356">
      <c r="A356" s="172" t="s">
        <v>594</v>
      </c>
      <c r="B356" s="173">
        <f>countif(Data!B:B,A356)</f>
        <v>8</v>
      </c>
      <c r="C356" s="174">
        <f>sumif(Data!B:B,A356,Data!M:M)</f>
        <v>27.06303842</v>
      </c>
      <c r="D356" s="174">
        <f t="shared" si="1"/>
        <v>3.382879803</v>
      </c>
      <c r="E356" s="175">
        <f t="shared" si="2"/>
        <v>1.085061834</v>
      </c>
      <c r="F356" s="175">
        <f>IFERROR(__xludf.DUMMYFUNCTION("average.weighted(filter(Data!K:K,Data!B:B=A356),filter(Data!F:F,Data!B:B=A356))"),0.41018362748961423)</f>
        <v>0.4101836275</v>
      </c>
      <c r="G356" s="175">
        <f>IFERROR(__xludf.DUMMYFUNCTION("average.weighted(filter(Data!L:L,Data!B:B=A356),filter(Data!F:F,Data!B:B=A356))"),0.6748782060653157)</f>
        <v>0.6748782061</v>
      </c>
    </row>
    <row r="357">
      <c r="A357" s="172" t="s">
        <v>595</v>
      </c>
      <c r="B357" s="173">
        <f>countif(Data!B:B,A357)</f>
        <v>2</v>
      </c>
      <c r="C357" s="174">
        <f>sumif(Data!B:B,A357,Data!M:M)</f>
        <v>3.125321931</v>
      </c>
      <c r="D357" s="174">
        <f t="shared" si="1"/>
        <v>1.562660965</v>
      </c>
      <c r="E357" s="175">
        <f t="shared" si="2"/>
        <v>0.9301341254</v>
      </c>
      <c r="F357" s="175">
        <f>IFERROR(__xludf.DUMMYFUNCTION("average.weighted(filter(Data!K:K,Data!B:B=A357),filter(Data!F:F,Data!B:B=A357))"),0.6323552490004603)</f>
        <v>0.632355249</v>
      </c>
      <c r="G357" s="175">
        <f>IFERROR(__xludf.DUMMYFUNCTION("average.weighted(filter(Data!L:L,Data!B:B=A357),filter(Data!F:F,Data!B:B=A357))"),0.29777887635856987)</f>
        <v>0.2977788764</v>
      </c>
    </row>
    <row r="358">
      <c r="A358" s="172" t="s">
        <v>596</v>
      </c>
      <c r="B358" s="173">
        <f>countif(Data!B:B,A358)</f>
        <v>8</v>
      </c>
      <c r="C358" s="174">
        <f>sumif(Data!B:B,A358,Data!M:M)</f>
        <v>11.41731954</v>
      </c>
      <c r="D358" s="174">
        <f t="shared" si="1"/>
        <v>1.427164943</v>
      </c>
      <c r="E358" s="175">
        <f t="shared" si="2"/>
        <v>0.9778867963</v>
      </c>
      <c r="F358" s="175">
        <f>IFERROR(__xludf.DUMMYFUNCTION("average.weighted(filter(Data!K:K,Data!B:B=A358),filter(Data!F:F,Data!B:B=A358))"),-0.5005766785547425)</f>
        <v>-0.5005766786</v>
      </c>
      <c r="G358" s="175">
        <f>IFERROR(__xludf.DUMMYFUNCTION("average.weighted(filter(Data!L:L,Data!B:B=A358),filter(Data!F:F,Data!B:B=A358))"),1.4784634748772105)</f>
        <v>1.478463475</v>
      </c>
    </row>
    <row r="359">
      <c r="A359" s="172" t="s">
        <v>597</v>
      </c>
      <c r="B359" s="173">
        <f>countif(Data!B:B,A359)</f>
        <v>3</v>
      </c>
      <c r="C359" s="174">
        <f>sumif(Data!B:B,A359,Data!M:M)</f>
        <v>2.414297816</v>
      </c>
      <c r="D359" s="174">
        <f t="shared" si="1"/>
        <v>0.8047659387</v>
      </c>
      <c r="E359" s="175">
        <f t="shared" si="2"/>
        <v>1.207894452</v>
      </c>
      <c r="F359" s="175">
        <f>IFERROR(__xludf.DUMMYFUNCTION("average.weighted(filter(Data!K:K,Data!B:B=A359),filter(Data!F:F,Data!B:B=A359))"),-0.9725145099332332)</f>
        <v>-0.9725145099</v>
      </c>
      <c r="G359" s="175">
        <f>IFERROR(__xludf.DUMMYFUNCTION("average.weighted(filter(Data!L:L,Data!B:B=A359),filter(Data!F:F,Data!B:B=A359))"),2.180408961860457)</f>
        <v>2.180408962</v>
      </c>
    </row>
    <row r="360">
      <c r="A360" s="172" t="s">
        <v>598</v>
      </c>
      <c r="B360" s="173">
        <f>countif(Data!B:B,A360)</f>
        <v>5</v>
      </c>
      <c r="C360" s="174">
        <f>sumif(Data!B:B,A360,Data!M:M)</f>
        <v>15.42080466</v>
      </c>
      <c r="D360" s="174">
        <f t="shared" si="1"/>
        <v>3.084160932</v>
      </c>
      <c r="E360" s="175">
        <f t="shared" si="2"/>
        <v>0.9604251968</v>
      </c>
      <c r="F360" s="175">
        <f>IFERROR(__xludf.DUMMYFUNCTION("average.weighted(filter(Data!K:K,Data!B:B=A360),filter(Data!F:F,Data!B:B=A360))"),-0.10990330468047226)</f>
        <v>-0.1099033047</v>
      </c>
      <c r="G360" s="175">
        <f>IFERROR(__xludf.DUMMYFUNCTION("average.weighted(filter(Data!L:L,Data!B:B=A360),filter(Data!F:F,Data!B:B=A360))"),1.070328501509159)</f>
        <v>1.070328502</v>
      </c>
    </row>
    <row r="361">
      <c r="A361" s="172" t="s">
        <v>599</v>
      </c>
      <c r="B361" s="173">
        <f>countif(Data!B:B,A361)</f>
        <v>8</v>
      </c>
      <c r="C361" s="174">
        <f>sumif(Data!B:B,A361,Data!M:M)</f>
        <v>39.41910192</v>
      </c>
      <c r="D361" s="174">
        <f t="shared" si="1"/>
        <v>4.92738774</v>
      </c>
      <c r="E361" s="175">
        <f t="shared" si="2"/>
        <v>0.9722944325</v>
      </c>
      <c r="F361" s="175">
        <f>IFERROR(__xludf.DUMMYFUNCTION("average.weighted(filter(Data!K:K,Data!B:B=A361),filter(Data!F:F,Data!B:B=A361))"),1.9405772074506702)</f>
        <v>1.940577207</v>
      </c>
      <c r="G361" s="175">
        <f>IFERROR(__xludf.DUMMYFUNCTION("average.weighted(filter(Data!L:L,Data!B:B=A361),filter(Data!F:F,Data!B:B=A361))"),-0.968282774956664)</f>
        <v>-0.968282775</v>
      </c>
    </row>
    <row r="362">
      <c r="A362" s="172" t="s">
        <v>600</v>
      </c>
      <c r="B362" s="173">
        <f>countif(Data!B:B,A362)</f>
        <v>5</v>
      </c>
      <c r="C362" s="174">
        <f>sumif(Data!B:B,A362,Data!M:M)</f>
        <v>4.507184337</v>
      </c>
      <c r="D362" s="174">
        <f t="shared" si="1"/>
        <v>0.9014368673</v>
      </c>
      <c r="E362" s="175">
        <f t="shared" si="2"/>
        <v>0.9410600113</v>
      </c>
      <c r="F362" s="175">
        <f>IFERROR(__xludf.DUMMYFUNCTION("average.weighted(filter(Data!K:K,Data!B:B=A362),filter(Data!F:F,Data!B:B=A362))"),-0.6887600699628825)</f>
        <v>-0.68876007</v>
      </c>
      <c r="G362" s="175">
        <f>IFERROR(__xludf.DUMMYFUNCTION("average.weighted(filter(Data!L:L,Data!B:B=A362),filter(Data!F:F,Data!B:B=A362))"),1.629820081283166)</f>
        <v>1.629820081</v>
      </c>
    </row>
    <row r="363">
      <c r="A363" s="172" t="s">
        <v>601</v>
      </c>
      <c r="B363" s="173">
        <f>countif(Data!B:B,A363)</f>
        <v>6</v>
      </c>
      <c r="C363" s="174">
        <f>sumif(Data!B:B,A363,Data!M:M)</f>
        <v>12.41012102</v>
      </c>
      <c r="D363" s="174">
        <f t="shared" si="1"/>
        <v>2.068353503</v>
      </c>
      <c r="E363" s="175">
        <f t="shared" si="2"/>
        <v>0.8779240574</v>
      </c>
      <c r="F363" s="175">
        <f>IFERROR(__xludf.DUMMYFUNCTION("average.weighted(filter(Data!K:K,Data!B:B=A363),filter(Data!F:F,Data!B:B=A363))"),-0.00198731284545598)</f>
        <v>-0.001987312845</v>
      </c>
      <c r="G363" s="175">
        <f>IFERROR(__xludf.DUMMYFUNCTION("average.weighted(filter(Data!L:L,Data!B:B=A363),filter(Data!F:F,Data!B:B=A363))"),0.8799113702520528)</f>
        <v>0.8799113703</v>
      </c>
    </row>
    <row r="364">
      <c r="A364" s="172" t="s">
        <v>602</v>
      </c>
      <c r="B364" s="173">
        <f>countif(Data!B:B,A364)</f>
        <v>7</v>
      </c>
      <c r="C364" s="174">
        <f>sumif(Data!B:B,A364,Data!M:M)</f>
        <v>13.10059927</v>
      </c>
      <c r="D364" s="174">
        <f t="shared" si="1"/>
        <v>1.871514181</v>
      </c>
      <c r="E364" s="175">
        <f t="shared" si="2"/>
        <v>0.9150725328</v>
      </c>
      <c r="F364" s="175">
        <f>IFERROR(__xludf.DUMMYFUNCTION("average.weighted(filter(Data!K:K,Data!B:B=A364),filter(Data!F:F,Data!B:B=A364))"),-0.6190937718002645)</f>
        <v>-0.6190937718</v>
      </c>
      <c r="G364" s="175">
        <f>IFERROR(__xludf.DUMMYFUNCTION("average.weighted(filter(Data!L:L,Data!B:B=A364),filter(Data!F:F,Data!B:B=A364))"),1.5341663045587066)</f>
        <v>1.534166305</v>
      </c>
    </row>
    <row r="365">
      <c r="A365" s="172" t="s">
        <v>603</v>
      </c>
      <c r="B365" s="173">
        <f>countif(Data!B:B,A365)</f>
        <v>8</v>
      </c>
      <c r="C365" s="174">
        <f>sumif(Data!B:B,A365,Data!M:M)</f>
        <v>33.05157619</v>
      </c>
      <c r="D365" s="174">
        <f t="shared" si="1"/>
        <v>4.131447023</v>
      </c>
      <c r="E365" s="175">
        <f t="shared" si="2"/>
        <v>0.9155521365</v>
      </c>
      <c r="F365" s="175">
        <f>IFERROR(__xludf.DUMMYFUNCTION("average.weighted(filter(Data!K:K,Data!B:B=A365),filter(Data!F:F,Data!B:B=A365))"),1.5285589970269926)</f>
        <v>1.528558997</v>
      </c>
      <c r="G365" s="175">
        <f>IFERROR(__xludf.DUMMYFUNCTION("average.weighted(filter(Data!L:L,Data!B:B=A365),filter(Data!F:F,Data!B:B=A365))"),-0.6130068604873389)</f>
        <v>-0.6130068605</v>
      </c>
    </row>
    <row r="366">
      <c r="A366" s="172" t="s">
        <v>604</v>
      </c>
      <c r="B366" s="173">
        <f>countif(Data!B:B,A366)</f>
        <v>8</v>
      </c>
      <c r="C366" s="174">
        <f>sumif(Data!B:B,A366,Data!M:M)</f>
        <v>32.05040735</v>
      </c>
      <c r="D366" s="174">
        <f t="shared" si="1"/>
        <v>4.006300918</v>
      </c>
      <c r="E366" s="175">
        <f t="shared" si="2"/>
        <v>0.8919759713</v>
      </c>
      <c r="F366" s="175">
        <f>IFERROR(__xludf.DUMMYFUNCTION("average.weighted(filter(Data!K:K,Data!B:B=A366),filter(Data!F:F,Data!B:B=A366))"),-0.18360357486239953)</f>
        <v>-0.1836035749</v>
      </c>
      <c r="G366" s="175">
        <f>IFERROR(__xludf.DUMMYFUNCTION("average.weighted(filter(Data!L:L,Data!B:B=A366),filter(Data!F:F,Data!B:B=A366))"),1.0755795461546782)</f>
        <v>1.075579546</v>
      </c>
    </row>
    <row r="367">
      <c r="A367" s="172" t="s">
        <v>605</v>
      </c>
      <c r="B367" s="173">
        <f>countif(Data!B:B,A367)</f>
        <v>8</v>
      </c>
      <c r="C367" s="174">
        <f>sumif(Data!B:B,A367,Data!M:M)</f>
        <v>28.38026517</v>
      </c>
      <c r="D367" s="174">
        <f t="shared" si="1"/>
        <v>3.547533146</v>
      </c>
      <c r="E367" s="175">
        <f t="shared" si="2"/>
        <v>0.8956317054</v>
      </c>
      <c r="F367" s="175">
        <f>IFERROR(__xludf.DUMMYFUNCTION("average.weighted(filter(Data!K:K,Data!B:B=A367),filter(Data!F:F,Data!B:B=A367))"),0.052948340424289295)</f>
        <v>0.05294834042</v>
      </c>
      <c r="G367" s="175">
        <f>IFERROR(__xludf.DUMMYFUNCTION("average.weighted(filter(Data!L:L,Data!B:B=A367),filter(Data!F:F,Data!B:B=A367))"),0.8426833649319981)</f>
        <v>0.8426833649</v>
      </c>
    </row>
    <row r="368">
      <c r="A368" s="172" t="s">
        <v>606</v>
      </c>
      <c r="B368" s="173">
        <f>countif(Data!B:B,A368)</f>
        <v>8</v>
      </c>
      <c r="C368" s="174">
        <f>sumif(Data!B:B,A368,Data!M:M)</f>
        <v>34.36577363</v>
      </c>
      <c r="D368" s="174">
        <f t="shared" si="1"/>
        <v>4.295721703</v>
      </c>
      <c r="E368" s="175">
        <f t="shared" si="2"/>
        <v>0.8812369125</v>
      </c>
      <c r="F368" s="175">
        <f>IFERROR(__xludf.DUMMYFUNCTION("average.weighted(filter(Data!K:K,Data!B:B=A368),filter(Data!F:F,Data!B:B=A368))"),0.5968749122877434)</f>
        <v>0.5968749123</v>
      </c>
      <c r="G368" s="175">
        <f>IFERROR(__xludf.DUMMYFUNCTION("average.weighted(filter(Data!L:L,Data!B:B=A368),filter(Data!F:F,Data!B:B=A368))"),0.284362000223679)</f>
        <v>0.2843620002</v>
      </c>
    </row>
    <row r="369">
      <c r="A369" s="172" t="s">
        <v>607</v>
      </c>
      <c r="B369" s="173">
        <f>countif(Data!B:B,A369)</f>
        <v>1</v>
      </c>
      <c r="C369" s="174">
        <f>sumif(Data!B:B,A369,Data!M:M)</f>
        <v>0.5211588142</v>
      </c>
      <c r="D369" s="174">
        <f t="shared" si="1"/>
        <v>0.5211588142</v>
      </c>
      <c r="E369" s="175">
        <f t="shared" si="2"/>
        <v>-0.5490773588</v>
      </c>
      <c r="F369" s="175">
        <f>IFERROR(__xludf.DUMMYFUNCTION("average.weighted(filter(Data!K:K,Data!B:B=A369),filter(Data!F:F,Data!B:B=A369))"),-1.2438455954138)</f>
        <v>-1.243845595</v>
      </c>
      <c r="G369" s="175">
        <f>IFERROR(__xludf.DUMMYFUNCTION("average.weighted(filter(Data!L:L,Data!B:B=A369),filter(Data!F:F,Data!B:B=A369))"),0.694768236657385)</f>
        <v>0.6947682367</v>
      </c>
    </row>
    <row r="370">
      <c r="A370" s="172" t="s">
        <v>608</v>
      </c>
      <c r="B370" s="173">
        <f>countif(Data!B:B,A370)</f>
        <v>4</v>
      </c>
      <c r="C370" s="174">
        <f>sumif(Data!B:B,A370,Data!M:M)</f>
        <v>8.707235666</v>
      </c>
      <c r="D370" s="174">
        <f t="shared" si="1"/>
        <v>2.176808916</v>
      </c>
      <c r="E370" s="175">
        <f t="shared" si="2"/>
        <v>0.8634588581</v>
      </c>
      <c r="F370" s="175">
        <f>IFERROR(__xludf.DUMMYFUNCTION("average.weighted(filter(Data!K:K,Data!B:B=A370),filter(Data!F:F,Data!B:B=A370))"),-0.6678820496632302)</f>
        <v>-0.6678820497</v>
      </c>
      <c r="G370" s="175">
        <f>IFERROR(__xludf.DUMMYFUNCTION("average.weighted(filter(Data!L:L,Data!B:B=A370),filter(Data!F:F,Data!B:B=A370))"),1.5313409077231277)</f>
        <v>1.531340908</v>
      </c>
    </row>
    <row r="371">
      <c r="A371" s="172" t="s">
        <v>609</v>
      </c>
      <c r="B371" s="173">
        <f>countif(Data!B:B,A371)</f>
        <v>4</v>
      </c>
      <c r="C371" s="174">
        <f>sumif(Data!B:B,A371,Data!M:M)</f>
        <v>3.67045219</v>
      </c>
      <c r="D371" s="174">
        <f t="shared" si="1"/>
        <v>0.9176130475</v>
      </c>
      <c r="E371" s="175">
        <f t="shared" si="2"/>
        <v>0.8195342074</v>
      </c>
      <c r="F371" s="175">
        <f>IFERROR(__xludf.DUMMYFUNCTION("average.weighted(filter(Data!K:K,Data!B:B=A371),filter(Data!F:F,Data!B:B=A371))"),-1.37035062951462)</f>
        <v>-1.37035063</v>
      </c>
      <c r="G371" s="175">
        <f>IFERROR(__xludf.DUMMYFUNCTION("average.weighted(filter(Data!L:L,Data!B:B=A371),filter(Data!F:F,Data!B:B=A371))"),2.1898848368832122)</f>
        <v>2.189884837</v>
      </c>
    </row>
    <row r="372">
      <c r="A372" s="172" t="s">
        <v>610</v>
      </c>
      <c r="B372" s="173">
        <f>countif(Data!B:B,A372)</f>
        <v>5</v>
      </c>
      <c r="C372" s="174">
        <f>sumif(Data!B:B,A372,Data!M:M)</f>
        <v>11.1309622</v>
      </c>
      <c r="D372" s="174">
        <f t="shared" si="1"/>
        <v>2.226192439</v>
      </c>
      <c r="E372" s="175">
        <f t="shared" si="2"/>
        <v>0.8982789904</v>
      </c>
      <c r="F372" s="175">
        <f>IFERROR(__xludf.DUMMYFUNCTION("average.weighted(filter(Data!K:K,Data!B:B=A372),filter(Data!F:F,Data!B:B=A372))"),-0.5229561823642822)</f>
        <v>-0.5229561824</v>
      </c>
      <c r="G372" s="175">
        <f>IFERROR(__xludf.DUMMYFUNCTION("average.weighted(filter(Data!L:L,Data!B:B=A372),filter(Data!F:F,Data!B:B=A372))"),1.4212351727844947)</f>
        <v>1.421235173</v>
      </c>
    </row>
    <row r="373">
      <c r="A373" s="172" t="s">
        <v>611</v>
      </c>
      <c r="B373" s="173">
        <f>countif(Data!B:B,A373)</f>
        <v>6</v>
      </c>
      <c r="C373" s="174">
        <f>sumif(Data!B:B,A373,Data!M:M)</f>
        <v>12.71367391</v>
      </c>
      <c r="D373" s="174">
        <f t="shared" si="1"/>
        <v>2.118945651</v>
      </c>
      <c r="E373" s="175">
        <f t="shared" si="2"/>
        <v>0.7539381639</v>
      </c>
      <c r="F373" s="175">
        <f>IFERROR(__xludf.DUMMYFUNCTION("average.weighted(filter(Data!K:K,Data!B:B=A373),filter(Data!F:F,Data!B:B=A373))"),0.6810847896013237)</f>
        <v>0.6810847896</v>
      </c>
      <c r="G373" s="175">
        <f>IFERROR(__xludf.DUMMYFUNCTION("average.weighted(filter(Data!L:L,Data!B:B=A373),filter(Data!F:F,Data!B:B=A373))"),0.07285337428017455)</f>
        <v>0.07285337428</v>
      </c>
    </row>
    <row r="374">
      <c r="A374" s="172" t="s">
        <v>612</v>
      </c>
      <c r="B374" s="173">
        <f>countif(Data!B:B,A374)</f>
        <v>4</v>
      </c>
      <c r="C374" s="174">
        <f>sumif(Data!B:B,A374,Data!M:M)</f>
        <v>11.74565923</v>
      </c>
      <c r="D374" s="174">
        <f t="shared" si="1"/>
        <v>2.936414807</v>
      </c>
      <c r="E374" s="175">
        <f t="shared" si="2"/>
        <v>0.8047228884</v>
      </c>
      <c r="F374" s="175">
        <f>IFERROR(__xludf.DUMMYFUNCTION("average.weighted(filter(Data!K:K,Data!B:B=A374),filter(Data!F:F,Data!B:B=A374))"),0.08976827089471409)</f>
        <v>0.08976827089</v>
      </c>
      <c r="G374" s="175">
        <f>IFERROR(__xludf.DUMMYFUNCTION("average.weighted(filter(Data!L:L,Data!B:B=A374),filter(Data!F:F,Data!B:B=A374))"),0.7149546175467638)</f>
        <v>0.7149546175</v>
      </c>
    </row>
    <row r="375">
      <c r="A375" s="172" t="s">
        <v>613</v>
      </c>
      <c r="B375" s="173">
        <f>countif(Data!B:B,A375)</f>
        <v>3</v>
      </c>
      <c r="C375" s="174">
        <f>sumif(Data!B:B,A375,Data!M:M)</f>
        <v>6.385918476</v>
      </c>
      <c r="D375" s="174">
        <f t="shared" si="1"/>
        <v>2.128639492</v>
      </c>
      <c r="E375" s="175">
        <f t="shared" si="2"/>
        <v>0.5653070995</v>
      </c>
      <c r="F375" s="175">
        <f>IFERROR(__xludf.DUMMYFUNCTION("average.weighted(filter(Data!K:K,Data!B:B=A375),filter(Data!F:F,Data!B:B=A375))"),0.447247291897199)</f>
        <v>0.4472472919</v>
      </c>
      <c r="G375" s="175">
        <f>IFERROR(__xludf.DUMMYFUNCTION("average.weighted(filter(Data!L:L,Data!B:B=A375),filter(Data!F:F,Data!B:B=A375))"),0.11805980757687758)</f>
        <v>0.1180598076</v>
      </c>
    </row>
    <row r="376">
      <c r="A376" s="172" t="s">
        <v>614</v>
      </c>
      <c r="B376" s="173">
        <f>countif(Data!B:B,A376)</f>
        <v>6</v>
      </c>
      <c r="C376" s="174">
        <f>sumif(Data!B:B,A376,Data!M:M)</f>
        <v>15.88105729</v>
      </c>
      <c r="D376" s="174">
        <f t="shared" si="1"/>
        <v>2.646842882</v>
      </c>
      <c r="E376" s="175">
        <f t="shared" si="2"/>
        <v>0.9029944713</v>
      </c>
      <c r="F376" s="175">
        <f>IFERROR(__xludf.DUMMYFUNCTION("average.weighted(filter(Data!K:K,Data!B:B=A376),filter(Data!F:F,Data!B:B=A376))"),0.9623257441887662)</f>
        <v>0.9623257442</v>
      </c>
      <c r="G376" s="175">
        <f>IFERROR(__xludf.DUMMYFUNCTION("average.weighted(filter(Data!L:L,Data!B:B=A376),filter(Data!F:F,Data!B:B=A376))"),-0.059331272925441686)</f>
        <v>-0.05933127293</v>
      </c>
    </row>
    <row r="377">
      <c r="A377" s="172" t="s">
        <v>615</v>
      </c>
      <c r="B377" s="173">
        <f>countif(Data!B:B,A377)</f>
        <v>7</v>
      </c>
      <c r="C377" s="174">
        <f>sumif(Data!B:B,A377,Data!M:M)</f>
        <v>27.08207948</v>
      </c>
      <c r="D377" s="174">
        <f t="shared" si="1"/>
        <v>3.868868498</v>
      </c>
      <c r="E377" s="175">
        <f t="shared" si="2"/>
        <v>0.8406205994</v>
      </c>
      <c r="F377" s="175">
        <f>IFERROR(__xludf.DUMMYFUNCTION("average.weighted(filter(Data!K:K,Data!B:B=A377),filter(Data!F:F,Data!B:B=A377))"),0.1383052724657161)</f>
        <v>0.1383052725</v>
      </c>
      <c r="G377" s="175">
        <f>IFERROR(__xludf.DUMMYFUNCTION("average.weighted(filter(Data!L:L,Data!B:B=A377),filter(Data!F:F,Data!B:B=A377))"),0.7023153269223383)</f>
        <v>0.7023153269</v>
      </c>
    </row>
    <row r="378">
      <c r="A378" s="172" t="s">
        <v>616</v>
      </c>
      <c r="B378" s="173">
        <f>countif(Data!B:B,A378)</f>
        <v>7</v>
      </c>
      <c r="C378" s="174">
        <f>sumif(Data!B:B,A378,Data!M:M)</f>
        <v>18.45858432</v>
      </c>
      <c r="D378" s="174">
        <f t="shared" si="1"/>
        <v>2.636940617</v>
      </c>
      <c r="E378" s="175">
        <f t="shared" si="2"/>
        <v>0.7752296231</v>
      </c>
      <c r="F378" s="175">
        <f>IFERROR(__xludf.DUMMYFUNCTION("average.weighted(filter(Data!K:K,Data!B:B=A378),filter(Data!F:F,Data!B:B=A378))"),-1.0749471040817449)</f>
        <v>-1.074947104</v>
      </c>
      <c r="G378" s="175">
        <f>IFERROR(__xludf.DUMMYFUNCTION("average.weighted(filter(Data!L:L,Data!B:B=A378),filter(Data!F:F,Data!B:B=A378))"),1.8501767271383496)</f>
        <v>1.850176727</v>
      </c>
    </row>
    <row r="379">
      <c r="A379" s="172" t="s">
        <v>617</v>
      </c>
      <c r="B379" s="173">
        <f>countif(Data!B:B,A379)</f>
        <v>5</v>
      </c>
      <c r="C379" s="174">
        <f>sumif(Data!B:B,A379,Data!M:M)</f>
        <v>21.25056401</v>
      </c>
      <c r="D379" s="174">
        <f t="shared" si="1"/>
        <v>4.250112802</v>
      </c>
      <c r="E379" s="175">
        <f t="shared" si="2"/>
        <v>0.7734137603</v>
      </c>
      <c r="F379" s="175">
        <f>IFERROR(__xludf.DUMMYFUNCTION("average.weighted(filter(Data!K:K,Data!B:B=A379),filter(Data!F:F,Data!B:B=A379))"),0.9208672505813801)</f>
        <v>0.9208672506</v>
      </c>
      <c r="G379" s="175">
        <f>IFERROR(__xludf.DUMMYFUNCTION("average.weighted(filter(Data!L:L,Data!B:B=A379),filter(Data!F:F,Data!B:B=A379))"),-0.14745349026176197)</f>
        <v>-0.1474534903</v>
      </c>
    </row>
    <row r="380">
      <c r="A380" s="172" t="s">
        <v>618</v>
      </c>
      <c r="B380" s="173">
        <f>countif(Data!B:B,A380)</f>
        <v>1</v>
      </c>
      <c r="C380" s="174">
        <f>sumif(Data!B:B,A380,Data!M:M)</f>
        <v>0.3527862074</v>
      </c>
      <c r="D380" s="174">
        <f t="shared" si="1"/>
        <v>0.3527862074</v>
      </c>
      <c r="E380" s="175">
        <f t="shared" si="2"/>
        <v>-0.1838212694</v>
      </c>
      <c r="F380" s="175">
        <f>IFERROR(__xludf.DUMMYFUNCTION("average.weighted(filter(Data!K:K,Data!B:B=A380),filter(Data!F:F,Data!B:B=A380))"),-0.588895008519398)</f>
        <v>-0.5888950085</v>
      </c>
      <c r="G380" s="175">
        <f>IFERROR(__xludf.DUMMYFUNCTION("average.weighted(filter(Data!L:L,Data!B:B=A380),filter(Data!F:F,Data!B:B=A380))"),0.405073739111073)</f>
        <v>0.4050737391</v>
      </c>
    </row>
    <row r="381">
      <c r="A381" s="172" t="s">
        <v>619</v>
      </c>
      <c r="B381" s="173">
        <f>countif(Data!B:B,A381)</f>
        <v>8</v>
      </c>
      <c r="C381" s="174">
        <f>sumif(Data!B:B,A381,Data!M:M)</f>
        <v>29.64100764</v>
      </c>
      <c r="D381" s="174">
        <f t="shared" si="1"/>
        <v>3.705125955</v>
      </c>
      <c r="E381" s="175">
        <f t="shared" si="2"/>
        <v>0.7708069335</v>
      </c>
      <c r="F381" s="175">
        <f>IFERROR(__xludf.DUMMYFUNCTION("average.weighted(filter(Data!K:K,Data!B:B=A381),filter(Data!F:F,Data!B:B=A381))"),0.4633371396719643)</f>
        <v>0.4633371397</v>
      </c>
      <c r="G381" s="175">
        <f>IFERROR(__xludf.DUMMYFUNCTION("average.weighted(filter(Data!L:L,Data!B:B=A381),filter(Data!F:F,Data!B:B=A381))"),0.30746979382912026)</f>
        <v>0.3074697938</v>
      </c>
    </row>
    <row r="382">
      <c r="A382" s="172" t="s">
        <v>620</v>
      </c>
      <c r="B382" s="173">
        <f>countif(Data!B:B,A382)</f>
        <v>8</v>
      </c>
      <c r="C382" s="174">
        <f>sumif(Data!B:B,A382,Data!M:M)</f>
        <v>30.36949506</v>
      </c>
      <c r="D382" s="174">
        <f t="shared" si="1"/>
        <v>3.796186883</v>
      </c>
      <c r="E382" s="175">
        <f t="shared" si="2"/>
        <v>0.7449429163</v>
      </c>
      <c r="F382" s="175">
        <f>IFERROR(__xludf.DUMMYFUNCTION("average.weighted(filter(Data!K:K,Data!B:B=A382),filter(Data!F:F,Data!B:B=A382))"),1.5514607874640864)</f>
        <v>1.551460787</v>
      </c>
      <c r="G382" s="175">
        <f>IFERROR(__xludf.DUMMYFUNCTION("average.weighted(filter(Data!L:L,Data!B:B=A382),filter(Data!F:F,Data!B:B=A382))"),-0.8065178711786207)</f>
        <v>-0.8065178712</v>
      </c>
    </row>
    <row r="383">
      <c r="A383" s="172" t="s">
        <v>621</v>
      </c>
      <c r="B383" s="173">
        <f>countif(Data!B:B,A383)</f>
        <v>4</v>
      </c>
      <c r="C383" s="174">
        <f>sumif(Data!B:B,A383,Data!M:M)</f>
        <v>6.254159309</v>
      </c>
      <c r="D383" s="174">
        <f t="shared" si="1"/>
        <v>1.563539827</v>
      </c>
      <c r="E383" s="175">
        <f t="shared" si="2"/>
        <v>0.7622825964</v>
      </c>
      <c r="F383" s="175">
        <f>IFERROR(__xludf.DUMMYFUNCTION("average.weighted(filter(Data!K:K,Data!B:B=A383),filter(Data!F:F,Data!B:B=A383))"),-0.7867614369545494)</f>
        <v>-0.786761437</v>
      </c>
      <c r="G383" s="175">
        <f>IFERROR(__xludf.DUMMYFUNCTION("average.weighted(filter(Data!L:L,Data!B:B=A383),filter(Data!F:F,Data!B:B=A383))"),1.5490440333120699)</f>
        <v>1.549044033</v>
      </c>
    </row>
    <row r="384">
      <c r="A384" s="172" t="s">
        <v>622</v>
      </c>
      <c r="B384" s="173">
        <f>countif(Data!B:B,A384)</f>
        <v>8</v>
      </c>
      <c r="C384" s="174">
        <f>sumif(Data!B:B,A384,Data!M:M)</f>
        <v>31.82091345</v>
      </c>
      <c r="D384" s="174">
        <f t="shared" si="1"/>
        <v>3.977614181</v>
      </c>
      <c r="E384" s="175">
        <f t="shared" si="2"/>
        <v>0.7446917299</v>
      </c>
      <c r="F384" s="175">
        <f>IFERROR(__xludf.DUMMYFUNCTION("average.weighted(filter(Data!K:K,Data!B:B=A384),filter(Data!F:F,Data!B:B=A384))"),1.6998043327911905)</f>
        <v>1.699804333</v>
      </c>
      <c r="G384" s="175">
        <f>IFERROR(__xludf.DUMMYFUNCTION("average.weighted(filter(Data!L:L,Data!B:B=A384),filter(Data!F:F,Data!B:B=A384))"),-0.9551126029249231)</f>
        <v>-0.9551126029</v>
      </c>
    </row>
    <row r="385">
      <c r="A385" s="172" t="s">
        <v>623</v>
      </c>
      <c r="B385" s="173">
        <f>countif(Data!B:B,A385)</f>
        <v>5</v>
      </c>
      <c r="C385" s="174">
        <f>sumif(Data!B:B,A385,Data!M:M)</f>
        <v>7.300991817</v>
      </c>
      <c r="D385" s="174">
        <f t="shared" si="1"/>
        <v>1.460198363</v>
      </c>
      <c r="E385" s="175">
        <f t="shared" si="2"/>
        <v>0.7519926384</v>
      </c>
      <c r="F385" s="175">
        <f>IFERROR(__xludf.DUMMYFUNCTION("average.weighted(filter(Data!K:K,Data!B:B=A385),filter(Data!F:F,Data!B:B=A385))"),0.3922225722741637)</f>
        <v>0.3922225723</v>
      </c>
      <c r="G385" s="175">
        <f>IFERROR(__xludf.DUMMYFUNCTION("average.weighted(filter(Data!L:L,Data!B:B=A385),filter(Data!F:F,Data!B:B=A385))"),0.3597700661388448)</f>
        <v>0.3597700661</v>
      </c>
    </row>
    <row r="386">
      <c r="A386" s="172" t="s">
        <v>624</v>
      </c>
      <c r="B386" s="173">
        <f>countif(Data!B:B,A386)</f>
        <v>5</v>
      </c>
      <c r="C386" s="174">
        <f>sumif(Data!B:B,A386,Data!M:M)</f>
        <v>15.97984933</v>
      </c>
      <c r="D386" s="174">
        <f t="shared" si="1"/>
        <v>3.195969866</v>
      </c>
      <c r="E386" s="175">
        <f t="shared" si="2"/>
        <v>0.6939369332</v>
      </c>
      <c r="F386" s="175">
        <f>IFERROR(__xludf.DUMMYFUNCTION("average.weighted(filter(Data!K:K,Data!B:B=A386),filter(Data!F:F,Data!B:B=A386))"),1.0321609818792892)</f>
        <v>1.032160982</v>
      </c>
      <c r="G386" s="175">
        <f>IFERROR(__xludf.DUMMYFUNCTION("average.weighted(filter(Data!L:L,Data!B:B=A386),filter(Data!F:F,Data!B:B=A386))"),-0.338224048637971)</f>
        <v>-0.3382240486</v>
      </c>
    </row>
    <row r="387">
      <c r="A387" s="172" t="s">
        <v>625</v>
      </c>
      <c r="B387" s="173">
        <f>countif(Data!B:B,A387)</f>
        <v>2</v>
      </c>
      <c r="C387" s="174">
        <f>sumif(Data!B:B,A387,Data!M:M)</f>
        <v>0.209275178</v>
      </c>
      <c r="D387" s="174">
        <f t="shared" si="1"/>
        <v>0.104637589</v>
      </c>
      <c r="E387" s="175">
        <f t="shared" si="2"/>
        <v>0.627965505</v>
      </c>
      <c r="F387" s="175">
        <f>IFERROR(__xludf.DUMMYFUNCTION("average.weighted(filter(Data!K:K,Data!B:B=A387),filter(Data!F:F,Data!B:B=A387))"),0.5441562315478919)</f>
        <v>0.5441562315</v>
      </c>
      <c r="G387" s="175">
        <f>IFERROR(__xludf.DUMMYFUNCTION("average.weighted(filter(Data!L:L,Data!B:B=A387),filter(Data!F:F,Data!B:B=A387))"),0.08380927349876466)</f>
        <v>0.0838092735</v>
      </c>
    </row>
    <row r="388">
      <c r="A388" s="172" t="s">
        <v>99</v>
      </c>
      <c r="B388" s="173">
        <f>countif(Data!B:B,A388)</f>
        <v>8</v>
      </c>
      <c r="C388" s="174">
        <f>sumif(Data!B:B,A388,Data!M:M)</f>
        <v>23.96794146</v>
      </c>
      <c r="D388" s="174">
        <f t="shared" si="1"/>
        <v>2.995992683</v>
      </c>
      <c r="E388" s="175">
        <f t="shared" si="2"/>
        <v>0.6963072096</v>
      </c>
      <c r="F388" s="175">
        <f>IFERROR(__xludf.DUMMYFUNCTION("average.weighted(filter(Data!K:K,Data!B:B=A388),filter(Data!F:F,Data!B:B=A388))"),1.4918420147321516)</f>
        <v>1.491842015</v>
      </c>
      <c r="G388" s="175">
        <f>IFERROR(__xludf.DUMMYFUNCTION("average.weighted(filter(Data!L:L,Data!B:B=A388),filter(Data!F:F,Data!B:B=A388))"),-0.7955348051423816)</f>
        <v>-0.7955348051</v>
      </c>
    </row>
    <row r="389">
      <c r="A389" s="172" t="s">
        <v>626</v>
      </c>
      <c r="B389" s="173">
        <f>countif(Data!B:B,A389)</f>
        <v>2</v>
      </c>
      <c r="C389" s="174">
        <f>sumif(Data!B:B,A389,Data!M:M)</f>
        <v>3.50079833</v>
      </c>
      <c r="D389" s="174">
        <f t="shared" si="1"/>
        <v>1.750399165</v>
      </c>
      <c r="E389" s="175">
        <f t="shared" si="2"/>
        <v>0.4797992866</v>
      </c>
      <c r="F389" s="175">
        <f>IFERROR(__xludf.DUMMYFUNCTION("average.weighted(filter(Data!K:K,Data!B:B=A389),filter(Data!F:F,Data!B:B=A389))"),0.3247530471970641)</f>
        <v>0.3247530472</v>
      </c>
      <c r="G389" s="175">
        <f>IFERROR(__xludf.DUMMYFUNCTION("average.weighted(filter(Data!L:L,Data!B:B=A389),filter(Data!F:F,Data!B:B=A389))"),0.1550462393991304)</f>
        <v>0.1550462394</v>
      </c>
    </row>
    <row r="390">
      <c r="A390" s="172" t="s">
        <v>627</v>
      </c>
      <c r="B390" s="173">
        <f>countif(Data!B:B,A390)</f>
        <v>3</v>
      </c>
      <c r="C390" s="174">
        <f>sumif(Data!B:B,A390,Data!M:M)</f>
        <v>5.80758828</v>
      </c>
      <c r="D390" s="174">
        <f t="shared" si="1"/>
        <v>1.93586276</v>
      </c>
      <c r="E390" s="175">
        <f t="shared" si="2"/>
        <v>0.8452098228</v>
      </c>
      <c r="F390" s="175">
        <f>IFERROR(__xludf.DUMMYFUNCTION("average.weighted(filter(Data!K:K,Data!B:B=A390),filter(Data!F:F,Data!B:B=A390))"),-0.13018399877766393)</f>
        <v>-0.1301839988</v>
      </c>
      <c r="G390" s="175">
        <f>IFERROR(__xludf.DUMMYFUNCTION("average.weighted(filter(Data!L:L,Data!B:B=A390),filter(Data!F:F,Data!B:B=A390))"),0.9753938215397194)</f>
        <v>0.9753938215</v>
      </c>
    </row>
    <row r="391">
      <c r="A391" s="172" t="s">
        <v>628</v>
      </c>
      <c r="B391" s="173">
        <f>countif(Data!B:B,A391)</f>
        <v>8</v>
      </c>
      <c r="C391" s="174">
        <f>sumif(Data!B:B,A391,Data!M:M)</f>
        <v>25.03924868</v>
      </c>
      <c r="D391" s="174">
        <f t="shared" si="1"/>
        <v>3.129906085</v>
      </c>
      <c r="E391" s="175">
        <f t="shared" si="2"/>
        <v>0.7359318576</v>
      </c>
      <c r="F391" s="175">
        <f>IFERROR(__xludf.DUMMYFUNCTION("average.weighted(filter(Data!K:K,Data!B:B=A391),filter(Data!F:F,Data!B:B=A391))"),-0.43550498612596605)</f>
        <v>-0.4355049861</v>
      </c>
      <c r="G391" s="175">
        <f>IFERROR(__xludf.DUMMYFUNCTION("average.weighted(filter(Data!L:L,Data!B:B=A391),filter(Data!F:F,Data!B:B=A391))"),1.171436843708911)</f>
        <v>1.171436844</v>
      </c>
    </row>
    <row r="392">
      <c r="A392" s="172" t="s">
        <v>629</v>
      </c>
      <c r="B392" s="173">
        <f>countif(Data!B:B,A392)</f>
        <v>6</v>
      </c>
      <c r="C392" s="174">
        <f>sumif(Data!B:B,A392,Data!M:M)</f>
        <v>25.92919259</v>
      </c>
      <c r="D392" s="174">
        <f t="shared" si="1"/>
        <v>4.321532099</v>
      </c>
      <c r="E392" s="175">
        <f t="shared" si="2"/>
        <v>0.7338497366</v>
      </c>
      <c r="F392" s="175">
        <f>IFERROR(__xludf.DUMMYFUNCTION("average.weighted(filter(Data!K:K,Data!B:B=A392),filter(Data!F:F,Data!B:B=A392))"),-0.8670382354849192)</f>
        <v>-0.8670382355</v>
      </c>
      <c r="G392" s="175">
        <f>IFERROR(__xludf.DUMMYFUNCTION("average.weighted(filter(Data!L:L,Data!B:B=A392),filter(Data!F:F,Data!B:B=A392))"),1.600887972134787)</f>
        <v>1.600887972</v>
      </c>
    </row>
    <row r="393">
      <c r="A393" s="172" t="s">
        <v>630</v>
      </c>
      <c r="B393" s="173">
        <f>countif(Data!B:B,A393)</f>
        <v>7</v>
      </c>
      <c r="C393" s="174">
        <f>sumif(Data!B:B,A393,Data!M:M)</f>
        <v>24.47586774</v>
      </c>
      <c r="D393" s="174">
        <f t="shared" si="1"/>
        <v>3.496552535</v>
      </c>
      <c r="E393" s="175">
        <f t="shared" si="2"/>
        <v>0.7223905688</v>
      </c>
      <c r="F393" s="175">
        <f>IFERROR(__xludf.DUMMYFUNCTION("average.weighted(filter(Data!K:K,Data!B:B=A393),filter(Data!F:F,Data!B:B=A393))"),0.37821603385637054)</f>
        <v>0.3782160339</v>
      </c>
      <c r="G393" s="175">
        <f>IFERROR(__xludf.DUMMYFUNCTION("average.weighted(filter(Data!L:L,Data!B:B=A393),filter(Data!F:F,Data!B:B=A393))"),0.34417453496154976)</f>
        <v>0.344174535</v>
      </c>
    </row>
    <row r="394">
      <c r="A394" s="172" t="s">
        <v>631</v>
      </c>
      <c r="B394" s="173">
        <f>countif(Data!B:B,A394)</f>
        <v>4</v>
      </c>
      <c r="C394" s="174">
        <f>sumif(Data!B:B,A394,Data!M:M)</f>
        <v>6.09634163</v>
      </c>
      <c r="D394" s="174">
        <f t="shared" si="1"/>
        <v>1.524085408</v>
      </c>
      <c r="E394" s="175">
        <f t="shared" si="2"/>
        <v>0.7091954347</v>
      </c>
      <c r="F394" s="175">
        <f>IFERROR(__xludf.DUMMYFUNCTION("average.weighted(filter(Data!K:K,Data!B:B=A394),filter(Data!F:F,Data!B:B=A394))"),-0.4011537588992988)</f>
        <v>-0.4011537589</v>
      </c>
      <c r="G394" s="175">
        <f>IFERROR(__xludf.DUMMYFUNCTION("average.weighted(filter(Data!L:L,Data!B:B=A394),filter(Data!F:F,Data!B:B=A394))"),1.1103491936464367)</f>
        <v>1.110349194</v>
      </c>
    </row>
    <row r="395">
      <c r="A395" s="172" t="s">
        <v>632</v>
      </c>
      <c r="B395" s="173">
        <f>countif(Data!B:B,A395)</f>
        <v>4</v>
      </c>
      <c r="C395" s="174">
        <f>sumif(Data!B:B,A395,Data!M:M)</f>
        <v>16.19682633</v>
      </c>
      <c r="D395" s="174">
        <f t="shared" si="1"/>
        <v>4.049206584</v>
      </c>
      <c r="E395" s="175">
        <f t="shared" si="2"/>
        <v>0.7057928781</v>
      </c>
      <c r="F395" s="175">
        <f>IFERROR(__xludf.DUMMYFUNCTION("average.weighted(filter(Data!K:K,Data!B:B=A395),filter(Data!F:F,Data!B:B=A395))"),1.718746559898261)</f>
        <v>1.71874656</v>
      </c>
      <c r="G395" s="175">
        <f>IFERROR(__xludf.DUMMYFUNCTION("average.weighted(filter(Data!L:L,Data!B:B=A395),filter(Data!F:F,Data!B:B=A395))"),-1.0129536817602662)</f>
        <v>-1.012953682</v>
      </c>
    </row>
    <row r="396">
      <c r="A396" s="172" t="s">
        <v>633</v>
      </c>
      <c r="B396" s="173">
        <f>countif(Data!B:B,A396)</f>
        <v>8</v>
      </c>
      <c r="C396" s="174">
        <f>sumif(Data!B:B,A396,Data!M:M)</f>
        <v>30.15731293</v>
      </c>
      <c r="D396" s="174">
        <f t="shared" si="1"/>
        <v>3.769664116</v>
      </c>
      <c r="E396" s="175">
        <f t="shared" si="2"/>
        <v>0.6741088617</v>
      </c>
      <c r="F396" s="175">
        <f>IFERROR(__xludf.DUMMYFUNCTION("average.weighted(filter(Data!K:K,Data!B:B=A396),filter(Data!F:F,Data!B:B=A396))"),1.0483575536301395)</f>
        <v>1.048357554</v>
      </c>
      <c r="G396" s="175">
        <f>IFERROR(__xludf.DUMMYFUNCTION("average.weighted(filter(Data!L:L,Data!B:B=A396),filter(Data!F:F,Data!B:B=A396))"),-0.37424869191719756)</f>
        <v>-0.3742486919</v>
      </c>
    </row>
    <row r="397">
      <c r="A397" s="172" t="s">
        <v>634</v>
      </c>
      <c r="B397" s="173">
        <f>countif(Data!B:B,A397)</f>
        <v>8</v>
      </c>
      <c r="C397" s="174">
        <f>sumif(Data!B:B,A397,Data!M:M)</f>
        <v>24.5515272</v>
      </c>
      <c r="D397" s="174">
        <f t="shared" si="1"/>
        <v>3.068940901</v>
      </c>
      <c r="E397" s="175">
        <f t="shared" si="2"/>
        <v>0.6847401205</v>
      </c>
      <c r="F397" s="175">
        <f>IFERROR(__xludf.DUMMYFUNCTION("average.weighted(filter(Data!K:K,Data!B:B=A397),filter(Data!F:F,Data!B:B=A397))"),-0.35535294378814875)</f>
        <v>-0.3553529438</v>
      </c>
      <c r="G397" s="175">
        <f>IFERROR(__xludf.DUMMYFUNCTION("average.weighted(filter(Data!L:L,Data!B:B=A397),filter(Data!F:F,Data!B:B=A397))"),1.0400930642421191)</f>
        <v>1.040093064</v>
      </c>
    </row>
    <row r="398">
      <c r="A398" s="172" t="s">
        <v>635</v>
      </c>
      <c r="B398" s="173">
        <f>countif(Data!B:B,A398)</f>
        <v>4</v>
      </c>
      <c r="C398" s="174">
        <f>sumif(Data!B:B,A398,Data!M:M)</f>
        <v>11.05686337</v>
      </c>
      <c r="D398" s="174">
        <f t="shared" si="1"/>
        <v>2.764215841</v>
      </c>
      <c r="E398" s="175">
        <f t="shared" si="2"/>
        <v>0.6874622632</v>
      </c>
      <c r="F398" s="175">
        <f>IFERROR(__xludf.DUMMYFUNCTION("average.weighted(filter(Data!K:K,Data!B:B=A398),filter(Data!F:F,Data!B:B=A398))"),-0.04134403253751018)</f>
        <v>-0.04134403254</v>
      </c>
      <c r="G398" s="175">
        <f>IFERROR(__xludf.DUMMYFUNCTION("average.weighted(filter(Data!L:L,Data!B:B=A398),filter(Data!F:F,Data!B:B=A398))"),0.7288062957664031)</f>
        <v>0.7288062958</v>
      </c>
    </row>
    <row r="399">
      <c r="A399" s="172" t="s">
        <v>636</v>
      </c>
      <c r="B399" s="173">
        <f>countif(Data!B:B,A399)</f>
        <v>7</v>
      </c>
      <c r="C399" s="174">
        <f>sumif(Data!B:B,A399,Data!M:M)</f>
        <v>24.21879409</v>
      </c>
      <c r="D399" s="174">
        <f t="shared" si="1"/>
        <v>3.459827728</v>
      </c>
      <c r="E399" s="175">
        <f t="shared" si="2"/>
        <v>0.6691668582</v>
      </c>
      <c r="F399" s="175">
        <f>IFERROR(__xludf.DUMMYFUNCTION("average.weighted(filter(Data!K:K,Data!B:B=A399),filter(Data!F:F,Data!B:B=A399))"),0.08462072421428732)</f>
        <v>0.08462072421</v>
      </c>
      <c r="G399" s="175">
        <f>IFERROR(__xludf.DUMMYFUNCTION("average.weighted(filter(Data!L:L,Data!B:B=A399),filter(Data!F:F,Data!B:B=A399))"),0.5845461339744582)</f>
        <v>0.584546134</v>
      </c>
    </row>
    <row r="400">
      <c r="A400" s="172" t="s">
        <v>637</v>
      </c>
      <c r="B400" s="173">
        <f>countif(Data!B:B,A400)</f>
        <v>5</v>
      </c>
      <c r="C400" s="174">
        <f>sumif(Data!B:B,A400,Data!M:M)</f>
        <v>13.27514675</v>
      </c>
      <c r="D400" s="174">
        <f t="shared" si="1"/>
        <v>2.655029349</v>
      </c>
      <c r="E400" s="175">
        <f t="shared" si="2"/>
        <v>0.6416198343</v>
      </c>
      <c r="F400" s="175">
        <f>IFERROR(__xludf.DUMMYFUNCTION("average.weighted(filter(Data!K:K,Data!B:B=A400),filter(Data!F:F,Data!B:B=A400))"),-0.9781586228441416)</f>
        <v>-0.9781586228</v>
      </c>
      <c r="G400" s="175">
        <f>IFERROR(__xludf.DUMMYFUNCTION("average.weighted(filter(Data!L:L,Data!B:B=A400),filter(Data!F:F,Data!B:B=A400))"),1.6197784571880938)</f>
        <v>1.619778457</v>
      </c>
    </row>
    <row r="401">
      <c r="A401" s="172" t="s">
        <v>638</v>
      </c>
      <c r="B401" s="173">
        <f>countif(Data!B:B,A401)</f>
        <v>1</v>
      </c>
      <c r="C401" s="174">
        <f>sumif(Data!B:B,A401,Data!M:M)</f>
        <v>0.02881061362</v>
      </c>
      <c r="D401" s="174">
        <f t="shared" si="1"/>
        <v>0.02881061362</v>
      </c>
      <c r="E401" s="175">
        <f t="shared" si="2"/>
        <v>0.4440130377</v>
      </c>
      <c r="F401" s="175">
        <f>IFERROR(__xludf.DUMMYFUNCTION("average.weighted(filter(Data!K:K,Data!B:B=A401),filter(Data!F:F,Data!B:B=A401))"),0.0737967866542515)</f>
        <v>0.07379678665</v>
      </c>
      <c r="G401" s="175">
        <f>IFERROR(__xludf.DUMMYFUNCTION("average.weighted(filter(Data!L:L,Data!B:B=A401),filter(Data!F:F,Data!B:B=A401))"),0.370216251019682)</f>
        <v>0.370216251</v>
      </c>
    </row>
    <row r="402">
      <c r="A402" s="172" t="s">
        <v>639</v>
      </c>
      <c r="B402" s="173">
        <f>countif(Data!B:B,A402)</f>
        <v>6</v>
      </c>
      <c r="C402" s="174">
        <f>sumif(Data!B:B,A402,Data!M:M)</f>
        <v>16.57402821</v>
      </c>
      <c r="D402" s="174">
        <f t="shared" si="1"/>
        <v>2.762338034</v>
      </c>
      <c r="E402" s="175">
        <f t="shared" si="2"/>
        <v>0.6254357662</v>
      </c>
      <c r="F402" s="175">
        <f>IFERROR(__xludf.DUMMYFUNCTION("average.weighted(filter(Data!K:K,Data!B:B=A402),filter(Data!F:F,Data!B:B=A402))"),0.8205624563862312)</f>
        <v>0.8205624564</v>
      </c>
      <c r="G402" s="175">
        <f>IFERROR(__xludf.DUMMYFUNCTION("average.weighted(filter(Data!L:L,Data!B:B=A402),filter(Data!F:F,Data!B:B=A402))"),-0.1951266902007752)</f>
        <v>-0.1951266902</v>
      </c>
    </row>
    <row r="403">
      <c r="A403" s="172" t="s">
        <v>640</v>
      </c>
      <c r="B403" s="173">
        <f>countif(Data!B:B,A403)</f>
        <v>4</v>
      </c>
      <c r="C403" s="174">
        <f>sumif(Data!B:B,A403,Data!M:M)</f>
        <v>9.446361521</v>
      </c>
      <c r="D403" s="174">
        <f t="shared" si="1"/>
        <v>2.36159038</v>
      </c>
      <c r="E403" s="175">
        <f t="shared" si="2"/>
        <v>0.7810599092</v>
      </c>
      <c r="F403" s="175">
        <f>IFERROR(__xludf.DUMMYFUNCTION("average.weighted(filter(Data!K:K,Data!B:B=A403),filter(Data!F:F,Data!B:B=A403))"),-0.6006483488884947)</f>
        <v>-0.6006483489</v>
      </c>
      <c r="G403" s="175">
        <f>IFERROR(__xludf.DUMMYFUNCTION("average.weighted(filter(Data!L:L,Data!B:B=A403),filter(Data!F:F,Data!B:B=A403))"),1.3817082580507807)</f>
        <v>1.381708258</v>
      </c>
    </row>
    <row r="404">
      <c r="A404" s="172" t="s">
        <v>641</v>
      </c>
      <c r="B404" s="173">
        <f>countif(Data!B:B,A404)</f>
        <v>3</v>
      </c>
      <c r="C404" s="174">
        <f>sumif(Data!B:B,A404,Data!M:M)</f>
        <v>6.841526794</v>
      </c>
      <c r="D404" s="174">
        <f t="shared" si="1"/>
        <v>2.280508931</v>
      </c>
      <c r="E404" s="175">
        <f t="shared" si="2"/>
        <v>0.6070984654</v>
      </c>
      <c r="F404" s="175">
        <f>IFERROR(__xludf.DUMMYFUNCTION("average.weighted(filter(Data!K:K,Data!B:B=A404),filter(Data!F:F,Data!B:B=A404))"),-1.5789000951356262)</f>
        <v>-1.578900095</v>
      </c>
      <c r="G404" s="175">
        <f>IFERROR(__xludf.DUMMYFUNCTION("average.weighted(filter(Data!L:L,Data!B:B=A404),filter(Data!F:F,Data!B:B=A404))"),2.1859985605555776)</f>
        <v>2.185998561</v>
      </c>
    </row>
    <row r="405">
      <c r="A405" s="172" t="s">
        <v>642</v>
      </c>
      <c r="B405" s="173">
        <f>countif(Data!B:B,A405)</f>
        <v>1</v>
      </c>
      <c r="C405" s="174">
        <f>sumif(Data!B:B,A405,Data!M:M)</f>
        <v>0.6068695869</v>
      </c>
      <c r="D405" s="174">
        <f t="shared" si="1"/>
        <v>0.6068695869</v>
      </c>
      <c r="E405" s="175">
        <f t="shared" si="2"/>
        <v>-0.2906842978</v>
      </c>
      <c r="F405" s="175">
        <f>IFERROR(__xludf.DUMMYFUNCTION("average.weighted(filter(Data!K:K,Data!B:B=A405),filter(Data!F:F,Data!B:B=A405))"),-1.50423144017967)</f>
        <v>-1.50423144</v>
      </c>
      <c r="G405" s="175">
        <f>IFERROR(__xludf.DUMMYFUNCTION("average.weighted(filter(Data!L:L,Data!B:B=A405),filter(Data!F:F,Data!B:B=A405))"),1.21354714234872)</f>
        <v>1.213547142</v>
      </c>
    </row>
    <row r="406">
      <c r="A406" s="172" t="s">
        <v>643</v>
      </c>
      <c r="B406" s="173">
        <f>countif(Data!B:B,A406)</f>
        <v>5</v>
      </c>
      <c r="C406" s="174">
        <f>sumif(Data!B:B,A406,Data!M:M)</f>
        <v>16.20856731</v>
      </c>
      <c r="D406" s="174">
        <f t="shared" si="1"/>
        <v>3.241713462</v>
      </c>
      <c r="E406" s="175">
        <f t="shared" si="2"/>
        <v>0.5472390702</v>
      </c>
      <c r="F406" s="175">
        <f>IFERROR(__xludf.DUMMYFUNCTION("average.weighted(filter(Data!K:K,Data!B:B=A406),filter(Data!F:F,Data!B:B=A406))"),-0.27608168263677857)</f>
        <v>-0.2760816826</v>
      </c>
      <c r="G406" s="175">
        <f>IFERROR(__xludf.DUMMYFUNCTION("average.weighted(filter(Data!L:L,Data!B:B=A406),filter(Data!F:F,Data!B:B=A406))"),0.82332075284339)</f>
        <v>0.8233207528</v>
      </c>
    </row>
    <row r="407">
      <c r="A407" s="172" t="s">
        <v>644</v>
      </c>
      <c r="B407" s="173">
        <f>countif(Data!B:B,A407)</f>
        <v>2</v>
      </c>
      <c r="C407" s="174">
        <f>sumif(Data!B:B,A407,Data!M:M)</f>
        <v>1.477310195</v>
      </c>
      <c r="D407" s="174">
        <f t="shared" si="1"/>
        <v>0.7386550973</v>
      </c>
      <c r="E407" s="175">
        <f t="shared" si="2"/>
        <v>0.5833602899</v>
      </c>
      <c r="F407" s="175">
        <f>IFERROR(__xludf.DUMMYFUNCTION("average.weighted(filter(Data!K:K,Data!B:B=A407),filter(Data!F:F,Data!B:B=A407))"),0.945797756678326)</f>
        <v>0.9457977567</v>
      </c>
      <c r="G407" s="175">
        <f>IFERROR(__xludf.DUMMYFUNCTION("average.weighted(filter(Data!L:L,Data!B:B=A407),filter(Data!F:F,Data!B:B=A407))"),-0.3624374667564553)</f>
        <v>-0.3624374668</v>
      </c>
    </row>
    <row r="408">
      <c r="A408" s="172" t="s">
        <v>645</v>
      </c>
      <c r="B408" s="173">
        <f>countif(Data!B:B,A408)</f>
        <v>8</v>
      </c>
      <c r="C408" s="174">
        <f>sumif(Data!B:B,A408,Data!M:M)</f>
        <v>27.3251315</v>
      </c>
      <c r="D408" s="174">
        <f t="shared" si="1"/>
        <v>3.415641437</v>
      </c>
      <c r="E408" s="175">
        <f t="shared" si="2"/>
        <v>0.5572597946</v>
      </c>
      <c r="F408" s="175">
        <f>IFERROR(__xludf.DUMMYFUNCTION("average.weighted(filter(Data!K:K,Data!B:B=A408),filter(Data!F:F,Data!B:B=A408))"),1.6496726771497285)</f>
        <v>1.649672677</v>
      </c>
      <c r="G408" s="175">
        <f>IFERROR(__xludf.DUMMYFUNCTION("average.weighted(filter(Data!L:L,Data!B:B=A408),filter(Data!F:F,Data!B:B=A408))"),-1.0924128825468464)</f>
        <v>-1.092412883</v>
      </c>
    </row>
    <row r="409">
      <c r="A409" s="172" t="s">
        <v>646</v>
      </c>
      <c r="B409" s="173">
        <f>countif(Data!B:B,A409)</f>
        <v>1</v>
      </c>
      <c r="C409" s="174">
        <f>sumif(Data!B:B,A409,Data!M:M)</f>
        <v>0.01367178481</v>
      </c>
      <c r="D409" s="174">
        <f t="shared" si="1"/>
        <v>0.01367178481</v>
      </c>
      <c r="E409" s="175">
        <f t="shared" si="2"/>
        <v>0.1565433247</v>
      </c>
      <c r="F409" s="175">
        <f>IFERROR(__xludf.DUMMYFUNCTION("average.weighted(filter(Data!K:K,Data!B:B=A409),filter(Data!F:F,Data!B:B=A409))"),-0.313529608828343)</f>
        <v>-0.3135296088</v>
      </c>
      <c r="G409" s="175">
        <f>IFERROR(__xludf.DUMMYFUNCTION("average.weighted(filter(Data!L:L,Data!B:B=A409),filter(Data!F:F,Data!B:B=A409))"),0.470072933563103)</f>
        <v>0.4700729336</v>
      </c>
    </row>
    <row r="410">
      <c r="A410" s="172" t="s">
        <v>647</v>
      </c>
      <c r="B410" s="173">
        <f>countif(Data!B:B,A410)</f>
        <v>6</v>
      </c>
      <c r="C410" s="174">
        <f>sumif(Data!B:B,A410,Data!M:M)</f>
        <v>14.99680744</v>
      </c>
      <c r="D410" s="174">
        <f t="shared" si="1"/>
        <v>2.499467907</v>
      </c>
      <c r="E410" s="175">
        <f t="shared" si="2"/>
        <v>0.5632654358</v>
      </c>
      <c r="F410" s="175">
        <f>IFERROR(__xludf.DUMMYFUNCTION("average.weighted(filter(Data!K:K,Data!B:B=A410),filter(Data!F:F,Data!B:B=A410))"),0.21506586944310785)</f>
        <v>0.2150658694</v>
      </c>
      <c r="G410" s="175">
        <f>IFERROR(__xludf.DUMMYFUNCTION("average.weighted(filter(Data!L:L,Data!B:B=A410),filter(Data!F:F,Data!B:B=A410))"),0.34819956632832005)</f>
        <v>0.3481995663</v>
      </c>
    </row>
    <row r="411">
      <c r="A411" s="172" t="s">
        <v>648</v>
      </c>
      <c r="B411" s="173">
        <f>countif(Data!B:B,A411)</f>
        <v>6</v>
      </c>
      <c r="C411" s="174">
        <f>sumif(Data!B:B,A411,Data!M:M)</f>
        <v>15.56425233</v>
      </c>
      <c r="D411" s="174">
        <f t="shared" si="1"/>
        <v>2.594042056</v>
      </c>
      <c r="E411" s="175">
        <f t="shared" si="2"/>
        <v>0.5892620201</v>
      </c>
      <c r="F411" s="175">
        <f>IFERROR(__xludf.DUMMYFUNCTION("average.weighted(filter(Data!K:K,Data!B:B=A411),filter(Data!F:F,Data!B:B=A411))"),-0.46782632211867337)</f>
        <v>-0.4678263221</v>
      </c>
      <c r="G411" s="175">
        <f>IFERROR(__xludf.DUMMYFUNCTION("average.weighted(filter(Data!L:L,Data!B:B=A411),filter(Data!F:F,Data!B:B=A411))"),1.0570883421823871)</f>
        <v>1.057088342</v>
      </c>
    </row>
    <row r="412">
      <c r="A412" s="172" t="s">
        <v>649</v>
      </c>
      <c r="B412" s="173">
        <f>countif(Data!B:B,A412)</f>
        <v>3</v>
      </c>
      <c r="C412" s="174">
        <f>sumif(Data!B:B,A412,Data!M:M)</f>
        <v>4.794288031</v>
      </c>
      <c r="D412" s="174">
        <f t="shared" si="1"/>
        <v>1.59809601</v>
      </c>
      <c r="E412" s="175">
        <f t="shared" si="2"/>
        <v>0.6168637932</v>
      </c>
      <c r="F412" s="175">
        <f>IFERROR(__xludf.DUMMYFUNCTION("average.weighted(filter(Data!K:K,Data!B:B=A412),filter(Data!F:F,Data!B:B=A412))"),-0.5901404388729613)</f>
        <v>-0.5901404389</v>
      </c>
      <c r="G412" s="175">
        <f>IFERROR(__xludf.DUMMYFUNCTION("average.weighted(filter(Data!L:L,Data!B:B=A412),filter(Data!F:F,Data!B:B=A412))"),1.2070042320518086)</f>
        <v>1.207004232</v>
      </c>
    </row>
    <row r="413">
      <c r="A413" s="172" t="s">
        <v>650</v>
      </c>
      <c r="B413" s="173">
        <f>countif(Data!B:B,A413)</f>
        <v>3</v>
      </c>
      <c r="C413" s="174">
        <f>sumif(Data!B:B,A413,Data!M:M)</f>
        <v>5.043281779</v>
      </c>
      <c r="D413" s="174">
        <f t="shared" si="1"/>
        <v>1.681093926</v>
      </c>
      <c r="E413" s="175">
        <f t="shared" si="2"/>
        <v>0.5531427381</v>
      </c>
      <c r="F413" s="175">
        <f>IFERROR(__xludf.DUMMYFUNCTION("average.weighted(filter(Data!K:K,Data!B:B=A413),filter(Data!F:F,Data!B:B=A413))"),0.2731310571249882)</f>
        <v>0.2731310571</v>
      </c>
      <c r="G413" s="175">
        <f>IFERROR(__xludf.DUMMYFUNCTION("average.weighted(filter(Data!L:L,Data!B:B=A413),filter(Data!F:F,Data!B:B=A413))"),0.28001168100858287)</f>
        <v>0.280011681</v>
      </c>
    </row>
    <row r="414">
      <c r="A414" s="172" t="s">
        <v>101</v>
      </c>
      <c r="B414" s="173">
        <f>countif(Data!B:B,A414)</f>
        <v>4</v>
      </c>
      <c r="C414" s="174">
        <f>sumif(Data!B:B,A414,Data!M:M)</f>
        <v>10.96722486</v>
      </c>
      <c r="D414" s="174">
        <f t="shared" si="1"/>
        <v>2.741806214</v>
      </c>
      <c r="E414" s="175">
        <f t="shared" si="2"/>
        <v>0.4619023667</v>
      </c>
      <c r="F414" s="175">
        <f>IFERROR(__xludf.DUMMYFUNCTION("average.weighted(filter(Data!K:K,Data!B:B=A414),filter(Data!F:F,Data!B:B=A414))"),0.48882276680480496)</f>
        <v>0.4888227668</v>
      </c>
      <c r="G414" s="175">
        <f>IFERROR(__xludf.DUMMYFUNCTION("average.weighted(filter(Data!L:L,Data!B:B=A414),filter(Data!F:F,Data!B:B=A414))"),-0.026920400134563333)</f>
        <v>-0.02692040013</v>
      </c>
    </row>
    <row r="415">
      <c r="A415" s="172" t="s">
        <v>651</v>
      </c>
      <c r="B415" s="173">
        <f>countif(Data!B:B,A415)</f>
        <v>1</v>
      </c>
      <c r="C415" s="174">
        <f>sumif(Data!B:B,A415,Data!M:M)</f>
        <v>0.1612995844</v>
      </c>
      <c r="D415" s="174">
        <f t="shared" si="1"/>
        <v>0.1612995844</v>
      </c>
      <c r="E415" s="175">
        <f t="shared" si="2"/>
        <v>0.5481873382</v>
      </c>
      <c r="F415" s="175">
        <f>IFERROR(__xludf.DUMMYFUNCTION("average.weighted(filter(Data!K:K,Data!B:B=A415),filter(Data!F:F,Data!B:B=A415))"),0.372366164498506)</f>
        <v>0.3723661645</v>
      </c>
      <c r="G415" s="175">
        <f>IFERROR(__xludf.DUMMYFUNCTION("average.weighted(filter(Data!L:L,Data!B:B=A415),filter(Data!F:F,Data!B:B=A415))"),0.175821173728542)</f>
        <v>0.1758211737</v>
      </c>
    </row>
    <row r="416">
      <c r="A416" s="172" t="s">
        <v>652</v>
      </c>
      <c r="B416" s="173">
        <f>countif(Data!B:B,A416)</f>
        <v>5</v>
      </c>
      <c r="C416" s="174">
        <f>sumif(Data!B:B,A416,Data!M:M)</f>
        <v>18.77095399</v>
      </c>
      <c r="D416" s="174">
        <f t="shared" si="1"/>
        <v>3.754190798</v>
      </c>
      <c r="E416" s="175">
        <f t="shared" si="2"/>
        <v>0.5961454744</v>
      </c>
      <c r="F416" s="175">
        <f>IFERROR(__xludf.DUMMYFUNCTION("average.weighted(filter(Data!K:K,Data!B:B=A416),filter(Data!F:F,Data!B:B=A416))"),1.3821578739212117)</f>
        <v>1.382157874</v>
      </c>
      <c r="G416" s="175">
        <f>IFERROR(__xludf.DUMMYFUNCTION("average.weighted(filter(Data!L:L,Data!B:B=A416),filter(Data!F:F,Data!B:B=A416))"),-0.7860123995361351)</f>
        <v>-0.7860123995</v>
      </c>
    </row>
    <row r="417">
      <c r="A417" s="172" t="s">
        <v>653</v>
      </c>
      <c r="B417" s="173">
        <f>countif(Data!B:B,A417)</f>
        <v>1</v>
      </c>
      <c r="C417" s="174">
        <f>sumif(Data!B:B,A417,Data!M:M)</f>
        <v>0.03554882873</v>
      </c>
      <c r="D417" s="174">
        <f t="shared" si="1"/>
        <v>0.03554882873</v>
      </c>
      <c r="E417" s="175">
        <f t="shared" si="2"/>
        <v>0.5256781484</v>
      </c>
      <c r="F417" s="175">
        <f>IFERROR(__xludf.DUMMYFUNCTION("average.weighted(filter(Data!K:K,Data!B:B=A417),filter(Data!F:F,Data!B:B=A417))"),0.00755101621307114)</f>
        <v>0.007551016213</v>
      </c>
      <c r="G417" s="175">
        <f>IFERROR(__xludf.DUMMYFUNCTION("average.weighted(filter(Data!L:L,Data!B:B=A417),filter(Data!F:F,Data!B:B=A417))"),0.518127132187253)</f>
        <v>0.5181271322</v>
      </c>
    </row>
    <row r="418">
      <c r="A418" s="172" t="s">
        <v>654</v>
      </c>
      <c r="B418" s="173">
        <f>countif(Data!B:B,A418)</f>
        <v>8</v>
      </c>
      <c r="C418" s="174">
        <f>sumif(Data!B:B,A418,Data!M:M)</f>
        <v>24.80293804</v>
      </c>
      <c r="D418" s="174">
        <f t="shared" si="1"/>
        <v>3.100367255</v>
      </c>
      <c r="E418" s="175">
        <f t="shared" si="2"/>
        <v>0.4998484189</v>
      </c>
      <c r="F418" s="175">
        <f>IFERROR(__xludf.DUMMYFUNCTION("average.weighted(filter(Data!K:K,Data!B:B=A418),filter(Data!F:F,Data!B:B=A418))"),1.2929049179421856)</f>
        <v>1.292904918</v>
      </c>
      <c r="G418" s="175">
        <f>IFERROR(__xludf.DUMMYFUNCTION("average.weighted(filter(Data!L:L,Data!B:B=A418),filter(Data!F:F,Data!B:B=A418))"),-0.7930564990350171)</f>
        <v>-0.793056499</v>
      </c>
    </row>
    <row r="419">
      <c r="A419" s="172" t="s">
        <v>655</v>
      </c>
      <c r="B419" s="173">
        <f>countif(Data!B:B,A419)</f>
        <v>7</v>
      </c>
      <c r="C419" s="174">
        <f>sumif(Data!B:B,A419,Data!M:M)</f>
        <v>21.50355831</v>
      </c>
      <c r="D419" s="174">
        <f t="shared" si="1"/>
        <v>3.071936901</v>
      </c>
      <c r="E419" s="175">
        <f t="shared" si="2"/>
        <v>0.5198101233</v>
      </c>
      <c r="F419" s="175">
        <f>IFERROR(__xludf.DUMMYFUNCTION("average.weighted(filter(Data!K:K,Data!B:B=A419),filter(Data!F:F,Data!B:B=A419))"),0.212486983684437)</f>
        <v>0.2124869837</v>
      </c>
      <c r="G419" s="175">
        <f>IFERROR(__xludf.DUMMYFUNCTION("average.weighted(filter(Data!L:L,Data!B:B=A419),filter(Data!F:F,Data!B:B=A419))"),0.3073231396574387)</f>
        <v>0.3073231397</v>
      </c>
    </row>
    <row r="420">
      <c r="A420" s="172" t="s">
        <v>656</v>
      </c>
      <c r="B420" s="173">
        <f>countif(Data!B:B,A420)</f>
        <v>6</v>
      </c>
      <c r="C420" s="174">
        <f>sumif(Data!B:B,A420,Data!M:M)</f>
        <v>11.73513985</v>
      </c>
      <c r="D420" s="174">
        <f t="shared" si="1"/>
        <v>1.955856642</v>
      </c>
      <c r="E420" s="175">
        <f t="shared" si="2"/>
        <v>0.5100870589</v>
      </c>
      <c r="F420" s="175">
        <f>IFERROR(__xludf.DUMMYFUNCTION("average.weighted(filter(Data!K:K,Data!B:B=A420),filter(Data!F:F,Data!B:B=A420))"),0.39264825928638797)</f>
        <v>0.3926482593</v>
      </c>
      <c r="G420" s="175">
        <f>IFERROR(__xludf.DUMMYFUNCTION("average.weighted(filter(Data!L:L,Data!B:B=A420),filter(Data!F:F,Data!B:B=A420))"),0.11743879961752571)</f>
        <v>0.1174387996</v>
      </c>
    </row>
    <row r="421">
      <c r="A421" s="172" t="s">
        <v>657</v>
      </c>
      <c r="B421" s="173">
        <f>countif(Data!B:B,A421)</f>
        <v>5</v>
      </c>
      <c r="C421" s="174">
        <f>sumif(Data!B:B,A421,Data!M:M)</f>
        <v>6.838825146</v>
      </c>
      <c r="D421" s="174">
        <f t="shared" si="1"/>
        <v>1.367765029</v>
      </c>
      <c r="E421" s="175">
        <f t="shared" si="2"/>
        <v>0.5025363587</v>
      </c>
      <c r="F421" s="175">
        <f>IFERROR(__xludf.DUMMYFUNCTION("average.weighted(filter(Data!K:K,Data!B:B=A421),filter(Data!F:F,Data!B:B=A421))"),0.06487166849713431)</f>
        <v>0.0648716685</v>
      </c>
      <c r="G421" s="175">
        <f>IFERROR(__xludf.DUMMYFUNCTION("average.weighted(filter(Data!L:L,Data!B:B=A421),filter(Data!F:F,Data!B:B=A421))"),0.4376646902169688)</f>
        <v>0.4376646902</v>
      </c>
    </row>
    <row r="422">
      <c r="A422" s="172" t="s">
        <v>658</v>
      </c>
      <c r="B422" s="173">
        <f>countif(Data!B:B,A422)</f>
        <v>7</v>
      </c>
      <c r="C422" s="174">
        <f>sumif(Data!B:B,A422,Data!M:M)</f>
        <v>32.55419543</v>
      </c>
      <c r="D422" s="174">
        <f t="shared" si="1"/>
        <v>4.650599347</v>
      </c>
      <c r="E422" s="175">
        <f t="shared" si="2"/>
        <v>0.4902104721</v>
      </c>
      <c r="F422" s="175">
        <f>IFERROR(__xludf.DUMMYFUNCTION("average.weighted(filter(Data!K:K,Data!B:B=A422),filter(Data!F:F,Data!B:B=A422))"),0.02618218527711636)</f>
        <v>0.02618218528</v>
      </c>
      <c r="G422" s="175">
        <f>IFERROR(__xludf.DUMMYFUNCTION("average.weighted(filter(Data!L:L,Data!B:B=A422),filter(Data!F:F,Data!B:B=A422))"),0.4640282868670928)</f>
        <v>0.4640282869</v>
      </c>
    </row>
    <row r="423">
      <c r="A423" s="172" t="s">
        <v>659</v>
      </c>
      <c r="B423" s="173">
        <f>countif(Data!B:B,A423)</f>
        <v>5</v>
      </c>
      <c r="C423" s="174">
        <f>sumif(Data!B:B,A423,Data!M:M)</f>
        <v>12.64664923</v>
      </c>
      <c r="D423" s="174">
        <f t="shared" si="1"/>
        <v>2.529329845</v>
      </c>
      <c r="E423" s="175">
        <f t="shared" si="2"/>
        <v>0.4830308471</v>
      </c>
      <c r="F423" s="175">
        <f>IFERROR(__xludf.DUMMYFUNCTION("average.weighted(filter(Data!K:K,Data!B:B=A423),filter(Data!F:F,Data!B:B=A423))"),1.7682993966680773)</f>
        <v>1.768299397</v>
      </c>
      <c r="G423" s="175">
        <f>IFERROR(__xludf.DUMMYFUNCTION("average.weighted(filter(Data!L:L,Data!B:B=A423),filter(Data!F:F,Data!B:B=A423))"),-1.28526854957008)</f>
        <v>-1.28526855</v>
      </c>
    </row>
    <row r="424">
      <c r="A424" s="172" t="s">
        <v>660</v>
      </c>
      <c r="B424" s="173">
        <f>countif(Data!B:B,A424)</f>
        <v>1</v>
      </c>
      <c r="C424" s="174">
        <f>sumif(Data!B:B,A424,Data!M:M)</f>
        <v>1.104499367</v>
      </c>
      <c r="D424" s="174">
        <f t="shared" si="1"/>
        <v>1.104499367</v>
      </c>
      <c r="E424" s="175">
        <f t="shared" si="2"/>
        <v>0.9000256426</v>
      </c>
      <c r="F424" s="175">
        <f>IFERROR(__xludf.DUMMYFUNCTION("average.weighted(filter(Data!K:K,Data!B:B=A424),filter(Data!F:F,Data!B:B=A424))"),1.68423300762015)</f>
        <v>1.684233008</v>
      </c>
      <c r="G424" s="175">
        <f>IFERROR(__xludf.DUMMYFUNCTION("average.weighted(filter(Data!L:L,Data!B:B=A424),filter(Data!F:F,Data!B:B=A424))"),-0.784207365040993)</f>
        <v>-0.784207365</v>
      </c>
    </row>
    <row r="425">
      <c r="A425" s="172" t="s">
        <v>661</v>
      </c>
      <c r="B425" s="173">
        <f>countif(Data!B:B,A425)</f>
        <v>6</v>
      </c>
      <c r="C425" s="174">
        <f>sumif(Data!B:B,A425,Data!M:M)</f>
        <v>12.66376686</v>
      </c>
      <c r="D425" s="174">
        <f t="shared" si="1"/>
        <v>2.11062781</v>
      </c>
      <c r="E425" s="175">
        <f t="shared" si="2"/>
        <v>0.4562378338</v>
      </c>
      <c r="F425" s="175">
        <f>IFERROR(__xludf.DUMMYFUNCTION("average.weighted(filter(Data!K:K,Data!B:B=A425),filter(Data!F:F,Data!B:B=A425))"),-0.8977692243767861)</f>
        <v>-0.8977692244</v>
      </c>
      <c r="G425" s="175">
        <f>IFERROR(__xludf.DUMMYFUNCTION("average.weighted(filter(Data!L:L,Data!B:B=A425),filter(Data!F:F,Data!B:B=A425))"),1.3540070581543218)</f>
        <v>1.354007058</v>
      </c>
    </row>
    <row r="426">
      <c r="A426" s="172" t="s">
        <v>662</v>
      </c>
      <c r="B426" s="173">
        <f>countif(Data!B:B,A426)</f>
        <v>1</v>
      </c>
      <c r="C426" s="174">
        <f>sumif(Data!B:B,A426,Data!M:M)</f>
        <v>0.4157655078</v>
      </c>
      <c r="D426" s="174">
        <f t="shared" si="1"/>
        <v>0.4157655078</v>
      </c>
      <c r="E426" s="175">
        <f t="shared" si="2"/>
        <v>0.4560443217</v>
      </c>
      <c r="F426" s="175">
        <f>IFERROR(__xludf.DUMMYFUNCTION("average.weighted(filter(Data!K:K,Data!B:B=A426),filter(Data!F:F,Data!B:B=A426))"),0.704129573410549)</f>
        <v>0.7041295734</v>
      </c>
      <c r="G426" s="175">
        <f>IFERROR(__xludf.DUMMYFUNCTION("average.weighted(filter(Data!L:L,Data!B:B=A426),filter(Data!F:F,Data!B:B=A426))"),-0.248085251675703)</f>
        <v>-0.2480852517</v>
      </c>
    </row>
    <row r="427">
      <c r="A427" s="172" t="s">
        <v>663</v>
      </c>
      <c r="B427" s="173">
        <f>countif(Data!B:B,A427)</f>
        <v>5</v>
      </c>
      <c r="C427" s="174">
        <f>sumif(Data!B:B,A427,Data!M:M)</f>
        <v>10.05368809</v>
      </c>
      <c r="D427" s="174">
        <f t="shared" si="1"/>
        <v>2.010737617</v>
      </c>
      <c r="E427" s="175">
        <f t="shared" si="2"/>
        <v>0.314579352</v>
      </c>
      <c r="F427" s="175">
        <f>IFERROR(__xludf.DUMMYFUNCTION("average.weighted(filter(Data!K:K,Data!B:B=A427),filter(Data!F:F,Data!B:B=A427))"),0.4997856891923864)</f>
        <v>0.4997856892</v>
      </c>
      <c r="G427" s="175">
        <f>IFERROR(__xludf.DUMMYFUNCTION("average.weighted(filter(Data!L:L,Data!B:B=A427),filter(Data!F:F,Data!B:B=A427))"),-0.18520633717777704)</f>
        <v>-0.1852063372</v>
      </c>
    </row>
    <row r="428">
      <c r="A428" s="172" t="s">
        <v>664</v>
      </c>
      <c r="B428" s="173">
        <f>countif(Data!B:B,A428)</f>
        <v>3</v>
      </c>
      <c r="C428" s="174">
        <f>sumif(Data!B:B,A428,Data!M:M)</f>
        <v>2.183107293</v>
      </c>
      <c r="D428" s="174">
        <f t="shared" si="1"/>
        <v>0.7277024311</v>
      </c>
      <c r="E428" s="175">
        <f t="shared" si="2"/>
        <v>0.4513832564</v>
      </c>
      <c r="F428" s="175">
        <f>IFERROR(__xludf.DUMMYFUNCTION("average.weighted(filter(Data!K:K,Data!B:B=A428),filter(Data!F:F,Data!B:B=A428))"),-1.8110114940278828)</f>
        <v>-1.811011494</v>
      </c>
      <c r="G428" s="175">
        <f>IFERROR(__xludf.DUMMYFUNCTION("average.weighted(filter(Data!L:L,Data!B:B=A428),filter(Data!F:F,Data!B:B=A428))"),2.262394750461563)</f>
        <v>2.26239475</v>
      </c>
    </row>
    <row r="429">
      <c r="A429" s="172" t="s">
        <v>665</v>
      </c>
      <c r="B429" s="173">
        <f>countif(Data!B:B,A429)</f>
        <v>8</v>
      </c>
      <c r="C429" s="174">
        <f>sumif(Data!B:B,A429,Data!M:M)</f>
        <v>24.59462845</v>
      </c>
      <c r="D429" s="174">
        <f t="shared" si="1"/>
        <v>3.074328556</v>
      </c>
      <c r="E429" s="175">
        <f t="shared" si="2"/>
        <v>0.4294184418</v>
      </c>
      <c r="F429" s="175">
        <f>IFERROR(__xludf.DUMMYFUNCTION("average.weighted(filter(Data!K:K,Data!B:B=A429),filter(Data!F:F,Data!B:B=A429))"),0.4552050738305761)</f>
        <v>0.4552050738</v>
      </c>
      <c r="G429" s="175">
        <f>IFERROR(__xludf.DUMMYFUNCTION("average.weighted(filter(Data!L:L,Data!B:B=A429),filter(Data!F:F,Data!B:B=A429))"),-0.025786631998960606)</f>
        <v>-0.025786632</v>
      </c>
    </row>
    <row r="430">
      <c r="A430" s="172" t="s">
        <v>666</v>
      </c>
      <c r="B430" s="173">
        <f>countif(Data!B:B,A430)</f>
        <v>7</v>
      </c>
      <c r="C430" s="174">
        <f>sumif(Data!B:B,A430,Data!M:M)</f>
        <v>14.83260033</v>
      </c>
      <c r="D430" s="174">
        <f t="shared" si="1"/>
        <v>2.118942904</v>
      </c>
      <c r="E430" s="175">
        <f t="shared" si="2"/>
        <v>0.49524141</v>
      </c>
      <c r="F430" s="175">
        <f>IFERROR(__xludf.DUMMYFUNCTION("average.weighted(filter(Data!K:K,Data!B:B=A430),filter(Data!F:F,Data!B:B=A430))"),-1.188502077331456)</f>
        <v>-1.188502077</v>
      </c>
      <c r="G430" s="175">
        <f>IFERROR(__xludf.DUMMYFUNCTION("average.weighted(filter(Data!L:L,Data!B:B=A430),filter(Data!F:F,Data!B:B=A430))"),1.6837434873732633)</f>
        <v>1.683743487</v>
      </c>
    </row>
    <row r="431">
      <c r="A431" s="172" t="s">
        <v>667</v>
      </c>
      <c r="B431" s="173">
        <f>countif(Data!B:B,A431)</f>
        <v>8</v>
      </c>
      <c r="C431" s="174">
        <f>sumif(Data!B:B,A431,Data!M:M)</f>
        <v>18.44211689</v>
      </c>
      <c r="D431" s="174">
        <f t="shared" si="1"/>
        <v>2.305264612</v>
      </c>
      <c r="E431" s="175">
        <f t="shared" si="2"/>
        <v>0.4509622929</v>
      </c>
      <c r="F431" s="175">
        <f>IFERROR(__xludf.DUMMYFUNCTION("average.weighted(filter(Data!K:K,Data!B:B=A431),filter(Data!F:F,Data!B:B=A431))"),-0.6346643191896145)</f>
        <v>-0.6346643192</v>
      </c>
      <c r="G431" s="175">
        <f>IFERROR(__xludf.DUMMYFUNCTION("average.weighted(filter(Data!L:L,Data!B:B=A431),filter(Data!F:F,Data!B:B=A431))"),1.0856266120838438)</f>
        <v>1.085626612</v>
      </c>
    </row>
    <row r="432">
      <c r="A432" s="172" t="s">
        <v>668</v>
      </c>
      <c r="B432" s="173">
        <f>countif(Data!B:B,A432)</f>
        <v>6</v>
      </c>
      <c r="C432" s="174">
        <f>sumif(Data!B:B,A432,Data!M:M)</f>
        <v>19.25362014</v>
      </c>
      <c r="D432" s="174">
        <f t="shared" si="1"/>
        <v>3.20893669</v>
      </c>
      <c r="E432" s="175">
        <f t="shared" si="2"/>
        <v>0.4387774098</v>
      </c>
      <c r="F432" s="175">
        <f>IFERROR(__xludf.DUMMYFUNCTION("average.weighted(filter(Data!K:K,Data!B:B=A432),filter(Data!F:F,Data!B:B=A432))"),0.5453996964742575)</f>
        <v>0.5453996965</v>
      </c>
      <c r="G432" s="175">
        <f>IFERROR(__xludf.DUMMYFUNCTION("average.weighted(filter(Data!L:L,Data!B:B=A432),filter(Data!F:F,Data!B:B=A432))"),-0.1066222866321431)</f>
        <v>-0.1066222866</v>
      </c>
    </row>
    <row r="433">
      <c r="A433" s="172" t="s">
        <v>669</v>
      </c>
      <c r="B433" s="173">
        <f>countif(Data!B:B,A433)</f>
        <v>4</v>
      </c>
      <c r="C433" s="174">
        <f>sumif(Data!B:B,A433,Data!M:M)</f>
        <v>3.135591871</v>
      </c>
      <c r="D433" s="174">
        <f t="shared" si="1"/>
        <v>0.7838979677</v>
      </c>
      <c r="E433" s="175">
        <f t="shared" si="2"/>
        <v>0.4220419926</v>
      </c>
      <c r="F433" s="175">
        <f>IFERROR(__xludf.DUMMYFUNCTION("average.weighted(filter(Data!K:K,Data!B:B=A433),filter(Data!F:F,Data!B:B=A433))"),-0.26219100621185526)</f>
        <v>-0.2621910062</v>
      </c>
      <c r="G433" s="175">
        <f>IFERROR(__xludf.DUMMYFUNCTION("average.weighted(filter(Data!L:L,Data!B:B=A433),filter(Data!F:F,Data!B:B=A433))"),0.6842329987696636)</f>
        <v>0.6842329988</v>
      </c>
    </row>
    <row r="434">
      <c r="A434" s="172" t="s">
        <v>670</v>
      </c>
      <c r="B434" s="173">
        <f>countif(Data!B:B,A434)</f>
        <v>7</v>
      </c>
      <c r="C434" s="174">
        <f>sumif(Data!B:B,A434,Data!M:M)</f>
        <v>15.09385845</v>
      </c>
      <c r="D434" s="174">
        <f t="shared" si="1"/>
        <v>2.156265493</v>
      </c>
      <c r="E434" s="175">
        <f t="shared" si="2"/>
        <v>0.4358498577</v>
      </c>
      <c r="F434" s="175">
        <f>IFERROR(__xludf.DUMMYFUNCTION("average.weighted(filter(Data!K:K,Data!B:B=A434),filter(Data!F:F,Data!B:B=A434))"),1.2010722051336367)</f>
        <v>1.201072205</v>
      </c>
      <c r="G434" s="175">
        <f>IFERROR(__xludf.DUMMYFUNCTION("average.weighted(filter(Data!L:L,Data!B:B=A434),filter(Data!F:F,Data!B:B=A434))"),-0.7652223474281573)</f>
        <v>-0.7652223474</v>
      </c>
    </row>
    <row r="435">
      <c r="A435" s="172" t="s">
        <v>671</v>
      </c>
      <c r="B435" s="173">
        <f>countif(Data!B:B,A435)</f>
        <v>1</v>
      </c>
      <c r="C435" s="174">
        <f>sumif(Data!B:B,A435,Data!M:M)</f>
        <v>0.0299726438</v>
      </c>
      <c r="D435" s="174">
        <f t="shared" si="1"/>
        <v>0.0299726438</v>
      </c>
      <c r="E435" s="175">
        <f t="shared" si="2"/>
        <v>0.3136952863</v>
      </c>
      <c r="F435" s="175">
        <f>IFERROR(__xludf.DUMMYFUNCTION("average.weighted(filter(Data!K:K,Data!B:B=A435),filter(Data!F:F,Data!B:B=A435))"),0.0673224713611776)</f>
        <v>0.06732247136</v>
      </c>
      <c r="G435" s="175">
        <f>IFERROR(__xludf.DUMMYFUNCTION("average.weighted(filter(Data!L:L,Data!B:B=A435),filter(Data!F:F,Data!B:B=A435))"),0.246372814980442)</f>
        <v>0.246372815</v>
      </c>
    </row>
    <row r="436">
      <c r="A436" s="172" t="s">
        <v>672</v>
      </c>
      <c r="B436" s="173">
        <f>countif(Data!B:B,A436)</f>
        <v>3</v>
      </c>
      <c r="C436" s="174">
        <f>sumif(Data!B:B,A436,Data!M:M)</f>
        <v>0.9877111401</v>
      </c>
      <c r="D436" s="174">
        <f t="shared" si="1"/>
        <v>0.3292370467</v>
      </c>
      <c r="E436" s="175">
        <f t="shared" si="2"/>
        <v>0.4038187089</v>
      </c>
      <c r="F436" s="175">
        <f>IFERROR(__xludf.DUMMYFUNCTION("average.weighted(filter(Data!K:K,Data!B:B=A436),filter(Data!F:F,Data!B:B=A436))"),0.3554100617506848)</f>
        <v>0.3554100618</v>
      </c>
      <c r="G436" s="175">
        <f>IFERROR(__xludf.DUMMYFUNCTION("average.weighted(filter(Data!L:L,Data!B:B=A436),filter(Data!F:F,Data!B:B=A436))"),0.04840864710556459)</f>
        <v>0.04840864711</v>
      </c>
    </row>
    <row r="437">
      <c r="A437" s="172" t="s">
        <v>673</v>
      </c>
      <c r="B437" s="173">
        <f>countif(Data!B:B,A437)</f>
        <v>2</v>
      </c>
      <c r="C437" s="174">
        <f>sumif(Data!B:B,A437,Data!M:M)</f>
        <v>1.344933624</v>
      </c>
      <c r="D437" s="174">
        <f t="shared" si="1"/>
        <v>0.6724668122</v>
      </c>
      <c r="E437" s="175">
        <f t="shared" si="2"/>
        <v>0.4201929064</v>
      </c>
      <c r="F437" s="175">
        <f>IFERROR(__xludf.DUMMYFUNCTION("average.weighted(filter(Data!K:K,Data!B:B=A437),filter(Data!F:F,Data!B:B=A437))"),-1.4530611192174612)</f>
        <v>-1.453061119</v>
      </c>
      <c r="G437" s="175">
        <f>IFERROR(__xludf.DUMMYFUNCTION("average.weighted(filter(Data!L:L,Data!B:B=A437),filter(Data!F:F,Data!B:B=A437))"),1.8732540255801648)</f>
        <v>1.873254026</v>
      </c>
    </row>
    <row r="438">
      <c r="A438" s="172" t="s">
        <v>674</v>
      </c>
      <c r="B438" s="173">
        <f>countif(Data!B:B,A438)</f>
        <v>4</v>
      </c>
      <c r="C438" s="174">
        <f>sumif(Data!B:B,A438,Data!M:M)</f>
        <v>13.37838207</v>
      </c>
      <c r="D438" s="174">
        <f t="shared" si="1"/>
        <v>3.344595517</v>
      </c>
      <c r="E438" s="175">
        <f t="shared" si="2"/>
        <v>0.4183927845</v>
      </c>
      <c r="F438" s="175">
        <f>IFERROR(__xludf.DUMMYFUNCTION("average.weighted(filter(Data!K:K,Data!B:B=A438),filter(Data!F:F,Data!B:B=A438))"),-0.015841090315016484)</f>
        <v>-0.01584109032</v>
      </c>
      <c r="G438" s="175">
        <f>IFERROR(__xludf.DUMMYFUNCTION("average.weighted(filter(Data!L:L,Data!B:B=A438),filter(Data!F:F,Data!B:B=A438))"),0.4342338748425273)</f>
        <v>0.4342338748</v>
      </c>
    </row>
    <row r="439">
      <c r="A439" s="172" t="s">
        <v>675</v>
      </c>
      <c r="B439" s="173">
        <f>countif(Data!B:B,A439)</f>
        <v>6</v>
      </c>
      <c r="C439" s="174">
        <f>sumif(Data!B:B,A439,Data!M:M)</f>
        <v>16.88016511</v>
      </c>
      <c r="D439" s="174">
        <f t="shared" si="1"/>
        <v>2.813360851</v>
      </c>
      <c r="E439" s="175">
        <f t="shared" si="2"/>
        <v>0.4135769131</v>
      </c>
      <c r="F439" s="175">
        <f>IFERROR(__xludf.DUMMYFUNCTION("average.weighted(filter(Data!K:K,Data!B:B=A439),filter(Data!F:F,Data!B:B=A439))"),1.1200589156402299)</f>
        <v>1.120058916</v>
      </c>
      <c r="G439" s="175">
        <f>IFERROR(__xludf.DUMMYFUNCTION("average.weighted(filter(Data!L:L,Data!B:B=A439),filter(Data!F:F,Data!B:B=A439))"),-0.7064820025323878)</f>
        <v>-0.7064820025</v>
      </c>
    </row>
    <row r="440">
      <c r="A440" s="172" t="s">
        <v>676</v>
      </c>
      <c r="B440" s="173">
        <f>countif(Data!B:B,A440)</f>
        <v>6</v>
      </c>
      <c r="C440" s="174">
        <f>sumif(Data!B:B,A440,Data!M:M)</f>
        <v>12.26595472</v>
      </c>
      <c r="D440" s="174">
        <f t="shared" si="1"/>
        <v>2.044325787</v>
      </c>
      <c r="E440" s="175">
        <f t="shared" si="2"/>
        <v>0.4129607292</v>
      </c>
      <c r="F440" s="175">
        <f>IFERROR(__xludf.DUMMYFUNCTION("average.weighted(filter(Data!K:K,Data!B:B=A440),filter(Data!F:F,Data!B:B=A440))"),-1.3226212182481394)</f>
        <v>-1.322621218</v>
      </c>
      <c r="G440" s="175">
        <f>IFERROR(__xludf.DUMMYFUNCTION("average.weighted(filter(Data!L:L,Data!B:B=A440),filter(Data!F:F,Data!B:B=A440))"),1.7355819474523635)</f>
        <v>1.735581947</v>
      </c>
    </row>
    <row r="441">
      <c r="A441" s="172" t="s">
        <v>677</v>
      </c>
      <c r="B441" s="173">
        <f>countif(Data!B:B,A441)</f>
        <v>7</v>
      </c>
      <c r="C441" s="174">
        <f>sumif(Data!B:B,A441,Data!M:M)</f>
        <v>13.19688421</v>
      </c>
      <c r="D441" s="174">
        <f t="shared" si="1"/>
        <v>1.885269173</v>
      </c>
      <c r="E441" s="175">
        <f t="shared" si="2"/>
        <v>0.4213895188</v>
      </c>
      <c r="F441" s="175">
        <f>IFERROR(__xludf.DUMMYFUNCTION("average.weighted(filter(Data!K:K,Data!B:B=A441),filter(Data!F:F,Data!B:B=A441))"),-0.24053474981312586)</f>
        <v>-0.2405347498</v>
      </c>
      <c r="G441" s="175">
        <f>IFERROR(__xludf.DUMMYFUNCTION("average.weighted(filter(Data!L:L,Data!B:B=A441),filter(Data!F:F,Data!B:B=A441))"),0.6619242686384784)</f>
        <v>0.6619242686</v>
      </c>
    </row>
    <row r="442">
      <c r="A442" s="172" t="s">
        <v>678</v>
      </c>
      <c r="B442" s="173">
        <f>countif(Data!B:B,A442)</f>
        <v>6</v>
      </c>
      <c r="C442" s="174">
        <f>sumif(Data!B:B,A442,Data!M:M)</f>
        <v>21.90318402</v>
      </c>
      <c r="D442" s="174">
        <f t="shared" si="1"/>
        <v>3.650530671</v>
      </c>
      <c r="E442" s="175">
        <f t="shared" si="2"/>
        <v>0.404142839</v>
      </c>
      <c r="F442" s="175">
        <f>IFERROR(__xludf.DUMMYFUNCTION("average.weighted(filter(Data!K:K,Data!B:B=A442),filter(Data!F:F,Data!B:B=A442))"),0.9282918069478098)</f>
        <v>0.9282918069</v>
      </c>
      <c r="G442" s="175">
        <f>IFERROR(__xludf.DUMMYFUNCTION("average.weighted(filter(Data!L:L,Data!B:B=A442),filter(Data!F:F,Data!B:B=A442))"),-0.524148967913247)</f>
        <v>-0.5241489679</v>
      </c>
    </row>
    <row r="443">
      <c r="A443" s="172" t="s">
        <v>679</v>
      </c>
      <c r="B443" s="173">
        <f>countif(Data!B:B,A443)</f>
        <v>2</v>
      </c>
      <c r="C443" s="174">
        <f>sumif(Data!B:B,A443,Data!M:M)</f>
        <v>2.122837356</v>
      </c>
      <c r="D443" s="174">
        <f t="shared" si="1"/>
        <v>1.061418678</v>
      </c>
      <c r="E443" s="175">
        <f t="shared" si="2"/>
        <v>0.3880067163</v>
      </c>
      <c r="F443" s="175">
        <f>IFERROR(__xludf.DUMMYFUNCTION("average.weighted(filter(Data!K:K,Data!B:B=A443),filter(Data!F:F,Data!B:B=A443))"),0.016871410907754972)</f>
        <v>0.01687141091</v>
      </c>
      <c r="G443" s="175">
        <f>IFERROR(__xludf.DUMMYFUNCTION("average.weighted(filter(Data!L:L,Data!B:B=A443),filter(Data!F:F,Data!B:B=A443))"),0.3711353053955716)</f>
        <v>0.3711353054</v>
      </c>
    </row>
    <row r="444">
      <c r="A444" s="172" t="s">
        <v>680</v>
      </c>
      <c r="B444" s="173">
        <f>countif(Data!B:B,A444)</f>
        <v>8</v>
      </c>
      <c r="C444" s="174">
        <f>sumif(Data!B:B,A444,Data!M:M)</f>
        <v>20.88402385</v>
      </c>
      <c r="D444" s="174">
        <f t="shared" si="1"/>
        <v>2.610502981</v>
      </c>
      <c r="E444" s="175">
        <f t="shared" si="2"/>
        <v>0.431118846</v>
      </c>
      <c r="F444" s="175">
        <f>IFERROR(__xludf.DUMMYFUNCTION("average.weighted(filter(Data!K:K,Data!B:B=A444),filter(Data!F:F,Data!B:B=A444))"),-0.07433292249594782)</f>
        <v>-0.0743329225</v>
      </c>
      <c r="G444" s="175">
        <f>IFERROR(__xludf.DUMMYFUNCTION("average.weighted(filter(Data!L:L,Data!B:B=A444),filter(Data!F:F,Data!B:B=A444))"),0.5054517685426166)</f>
        <v>0.5054517685</v>
      </c>
    </row>
    <row r="445">
      <c r="A445" s="172" t="s">
        <v>681</v>
      </c>
      <c r="B445" s="173">
        <f>countif(Data!B:B,A445)</f>
        <v>4</v>
      </c>
      <c r="C445" s="174">
        <f>sumif(Data!B:B,A445,Data!M:M)</f>
        <v>11.08225563</v>
      </c>
      <c r="D445" s="174">
        <f t="shared" si="1"/>
        <v>2.770563906</v>
      </c>
      <c r="E445" s="175">
        <f t="shared" si="2"/>
        <v>0.4206338493</v>
      </c>
      <c r="F445" s="175">
        <f>IFERROR(__xludf.DUMMYFUNCTION("average.weighted(filter(Data!K:K,Data!B:B=A445),filter(Data!F:F,Data!B:B=A445))"),-0.4737238244976077)</f>
        <v>-0.4737238245</v>
      </c>
      <c r="G445" s="175">
        <f>IFERROR(__xludf.DUMMYFUNCTION("average.weighted(filter(Data!L:L,Data!B:B=A445),filter(Data!F:F,Data!B:B=A445))"),0.8943576738317037)</f>
        <v>0.8943576738</v>
      </c>
    </row>
    <row r="446">
      <c r="A446" s="172" t="s">
        <v>682</v>
      </c>
      <c r="B446" s="173">
        <f>countif(Data!B:B,A446)</f>
        <v>1</v>
      </c>
      <c r="C446" s="174">
        <f>sumif(Data!B:B,A446,Data!M:M)</f>
        <v>0.06825782865</v>
      </c>
      <c r="D446" s="174">
        <f t="shared" si="1"/>
        <v>0.06825782865</v>
      </c>
      <c r="E446" s="175">
        <f t="shared" si="2"/>
        <v>0.3707043438</v>
      </c>
      <c r="F446" s="175">
        <f>IFERROR(__xludf.DUMMYFUNCTION("average.weighted(filter(Data!K:K,Data!B:B=A446),filter(Data!F:F,Data!B:B=A446))"),0.0639349765272922)</f>
        <v>0.06393497653</v>
      </c>
      <c r="G446" s="175">
        <f>IFERROR(__xludf.DUMMYFUNCTION("average.weighted(filter(Data!L:L,Data!B:B=A446),filter(Data!F:F,Data!B:B=A446))"),0.306769367230916)</f>
        <v>0.3067693672</v>
      </c>
    </row>
    <row r="447">
      <c r="A447" s="172" t="s">
        <v>683</v>
      </c>
      <c r="B447" s="173">
        <f>countif(Data!B:B,A447)</f>
        <v>7</v>
      </c>
      <c r="C447" s="174">
        <f>sumif(Data!B:B,A447,Data!M:M)</f>
        <v>16.27009755</v>
      </c>
      <c r="D447" s="174">
        <f t="shared" si="1"/>
        <v>2.32429965</v>
      </c>
      <c r="E447" s="175">
        <f t="shared" si="2"/>
        <v>0.3646008278</v>
      </c>
      <c r="F447" s="175">
        <f>IFERROR(__xludf.DUMMYFUNCTION("average.weighted(filter(Data!K:K,Data!B:B=A447),filter(Data!F:F,Data!B:B=A447))"),-1.3026709439419273)</f>
        <v>-1.302670944</v>
      </c>
      <c r="G447" s="175">
        <f>IFERROR(__xludf.DUMMYFUNCTION("average.weighted(filter(Data!L:L,Data!B:B=A447),filter(Data!F:F,Data!B:B=A447))"),1.6672717717147343)</f>
        <v>1.667271772</v>
      </c>
    </row>
    <row r="448">
      <c r="A448" s="172" t="s">
        <v>684</v>
      </c>
      <c r="B448" s="173">
        <f>countif(Data!B:B,A448)</f>
        <v>7</v>
      </c>
      <c r="C448" s="174">
        <f>sumif(Data!B:B,A448,Data!M:M)</f>
        <v>22.94573204</v>
      </c>
      <c r="D448" s="174">
        <f t="shared" si="1"/>
        <v>3.27796172</v>
      </c>
      <c r="E448" s="175">
        <f t="shared" si="2"/>
        <v>0.3633158089</v>
      </c>
      <c r="F448" s="175">
        <f>IFERROR(__xludf.DUMMYFUNCTION("average.weighted(filter(Data!K:K,Data!B:B=A448),filter(Data!F:F,Data!B:B=A448))"),0.4660565234996499)</f>
        <v>0.4660565235</v>
      </c>
      <c r="G448" s="175">
        <f>IFERROR(__xludf.DUMMYFUNCTION("average.weighted(filter(Data!L:L,Data!B:B=A448),filter(Data!F:F,Data!B:B=A448))"),-0.10274071457963406)</f>
        <v>-0.1027407146</v>
      </c>
    </row>
    <row r="449">
      <c r="A449" s="172" t="s">
        <v>685</v>
      </c>
      <c r="B449" s="173">
        <f>countif(Data!B:B,A449)</f>
        <v>8</v>
      </c>
      <c r="C449" s="174">
        <f>sumif(Data!B:B,A449,Data!M:M)</f>
        <v>18.42443648</v>
      </c>
      <c r="D449" s="174">
        <f t="shared" si="1"/>
        <v>2.30305456</v>
      </c>
      <c r="E449" s="175">
        <f t="shared" si="2"/>
        <v>0.3543233441</v>
      </c>
      <c r="F449" s="175">
        <f>IFERROR(__xludf.DUMMYFUNCTION("average.weighted(filter(Data!K:K,Data!B:B=A449),filter(Data!F:F,Data!B:B=A449))"),0.36024046600514986)</f>
        <v>0.360240466</v>
      </c>
      <c r="G449" s="175">
        <f>IFERROR(__xludf.DUMMYFUNCTION("average.weighted(filter(Data!L:L,Data!B:B=A449),filter(Data!F:F,Data!B:B=A449))"),-0.005917121916165066)</f>
        <v>-0.005917121916</v>
      </c>
    </row>
    <row r="450">
      <c r="A450" s="172" t="s">
        <v>686</v>
      </c>
      <c r="B450" s="173">
        <f>countif(Data!B:B,A450)</f>
        <v>2</v>
      </c>
      <c r="C450" s="174">
        <f>sumif(Data!B:B,A450,Data!M:M)</f>
        <v>1.035640688</v>
      </c>
      <c r="D450" s="174">
        <f t="shared" si="1"/>
        <v>0.517820344</v>
      </c>
      <c r="E450" s="175">
        <f t="shared" si="2"/>
        <v>0.3562953423</v>
      </c>
      <c r="F450" s="175">
        <f>IFERROR(__xludf.DUMMYFUNCTION("average.weighted(filter(Data!K:K,Data!B:B=A450),filter(Data!F:F,Data!B:B=A450))"),-0.6363646333002475)</f>
        <v>-0.6363646333</v>
      </c>
      <c r="G450" s="175">
        <f>IFERROR(__xludf.DUMMYFUNCTION("average.weighted(filter(Data!L:L,Data!B:B=A450),filter(Data!F:F,Data!B:B=A450))"),0.9926599755522346)</f>
        <v>0.9926599756</v>
      </c>
    </row>
    <row r="451">
      <c r="A451" s="172" t="s">
        <v>687</v>
      </c>
      <c r="B451" s="173">
        <f>countif(Data!B:B,A451)</f>
        <v>8</v>
      </c>
      <c r="C451" s="174">
        <f>sumif(Data!B:B,A451,Data!M:M)</f>
        <v>16.83200794</v>
      </c>
      <c r="D451" s="174">
        <f t="shared" si="1"/>
        <v>2.104000992</v>
      </c>
      <c r="E451" s="175">
        <f t="shared" si="2"/>
        <v>0.3468689239</v>
      </c>
      <c r="F451" s="175">
        <f>IFERROR(__xludf.DUMMYFUNCTION("average.weighted(filter(Data!K:K,Data!B:B=A451),filter(Data!F:F,Data!B:B=A451))"),-0.3672645553138431)</f>
        <v>-0.3672645553</v>
      </c>
      <c r="G451" s="175">
        <f>IFERROR(__xludf.DUMMYFUNCTION("average.weighted(filter(Data!L:L,Data!B:B=A451),filter(Data!F:F,Data!B:B=A451))"),0.7141334792394729)</f>
        <v>0.7141334792</v>
      </c>
    </row>
    <row r="452">
      <c r="A452" s="172" t="s">
        <v>688</v>
      </c>
      <c r="B452" s="173">
        <f>countif(Data!B:B,A452)</f>
        <v>7</v>
      </c>
      <c r="C452" s="174">
        <f>sumif(Data!B:B,A452,Data!M:M)</f>
        <v>21.4841743</v>
      </c>
      <c r="D452" s="174">
        <f t="shared" si="1"/>
        <v>3.069167757</v>
      </c>
      <c r="E452" s="175">
        <f t="shared" si="2"/>
        <v>0.3224039639</v>
      </c>
      <c r="F452" s="175">
        <f>IFERROR(__xludf.DUMMYFUNCTION("average.weighted(filter(Data!K:K,Data!B:B=A452),filter(Data!F:F,Data!B:B=A452))"),0.45827440911911144)</f>
        <v>0.4582744091</v>
      </c>
      <c r="G452" s="175">
        <f>IFERROR(__xludf.DUMMYFUNCTION("average.weighted(filter(Data!L:L,Data!B:B=A452),filter(Data!F:F,Data!B:B=A452))"),-0.1358704452540884)</f>
        <v>-0.1358704453</v>
      </c>
    </row>
    <row r="453">
      <c r="A453" s="172" t="s">
        <v>689</v>
      </c>
      <c r="B453" s="173">
        <f>countif(Data!B:B,A453)</f>
        <v>1</v>
      </c>
      <c r="C453" s="174">
        <f>sumif(Data!B:B,A453,Data!M:M)</f>
        <v>0.00647803943</v>
      </c>
      <c r="D453" s="174">
        <f t="shared" si="1"/>
        <v>0.00647803943</v>
      </c>
      <c r="E453" s="175">
        <f t="shared" si="2"/>
        <v>0.32202851</v>
      </c>
      <c r="F453" s="175">
        <f>IFERROR(__xludf.DUMMYFUNCTION("average.weighted(filter(Data!K:K,Data!B:B=A453),filter(Data!F:F,Data!B:B=A453))"),-0.0497751090831952)</f>
        <v>-0.04977510908</v>
      </c>
      <c r="G453" s="175">
        <f>IFERROR(__xludf.DUMMYFUNCTION("average.weighted(filter(Data!L:L,Data!B:B=A453),filter(Data!F:F,Data!B:B=A453))"),0.371803619041164)</f>
        <v>0.371803619</v>
      </c>
    </row>
    <row r="454">
      <c r="A454" s="172" t="s">
        <v>690</v>
      </c>
      <c r="B454" s="173">
        <f>countif(Data!B:B,A454)</f>
        <v>8</v>
      </c>
      <c r="C454" s="174">
        <f>sumif(Data!B:B,A454,Data!M:M)</f>
        <v>25.61185155</v>
      </c>
      <c r="D454" s="174">
        <f t="shared" si="1"/>
        <v>3.201481444</v>
      </c>
      <c r="E454" s="175">
        <f t="shared" si="2"/>
        <v>0.3384896472</v>
      </c>
      <c r="F454" s="175">
        <f>IFERROR(__xludf.DUMMYFUNCTION("average.weighted(filter(Data!K:K,Data!B:B=A454),filter(Data!F:F,Data!B:B=A454))"),2.6602237396115194)</f>
        <v>2.66022374</v>
      </c>
      <c r="G454" s="175">
        <f>IFERROR(__xludf.DUMMYFUNCTION("average.weighted(filter(Data!L:L,Data!B:B=A454),filter(Data!F:F,Data!B:B=A454))"),-2.321734092422664)</f>
        <v>-2.321734092</v>
      </c>
    </row>
    <row r="455">
      <c r="A455" s="172" t="s">
        <v>691</v>
      </c>
      <c r="B455" s="173">
        <f>countif(Data!B:B,A455)</f>
        <v>4</v>
      </c>
      <c r="C455" s="174">
        <f>sumif(Data!B:B,A455,Data!M:M)</f>
        <v>5.3458853</v>
      </c>
      <c r="D455" s="174">
        <f t="shared" si="1"/>
        <v>1.336471325</v>
      </c>
      <c r="E455" s="175">
        <f t="shared" si="2"/>
        <v>0.3694290746</v>
      </c>
      <c r="F455" s="175">
        <f>IFERROR(__xludf.DUMMYFUNCTION("average.weighted(filter(Data!K:K,Data!B:B=A455),filter(Data!F:F,Data!B:B=A455))"),0.09806322503843362)</f>
        <v>0.09806322504</v>
      </c>
      <c r="G455" s="175">
        <f>IFERROR(__xludf.DUMMYFUNCTION("average.weighted(filter(Data!L:L,Data!B:B=A455),filter(Data!F:F,Data!B:B=A455))"),0.2713658495940346)</f>
        <v>0.2713658496</v>
      </c>
    </row>
    <row r="456">
      <c r="A456" s="172" t="s">
        <v>692</v>
      </c>
      <c r="B456" s="173">
        <f>countif(Data!B:B,A456)</f>
        <v>5</v>
      </c>
      <c r="C456" s="174">
        <f>sumif(Data!B:B,A456,Data!M:M)</f>
        <v>4.678183859</v>
      </c>
      <c r="D456" s="174">
        <f t="shared" si="1"/>
        <v>0.9356367719</v>
      </c>
      <c r="E456" s="175">
        <f t="shared" si="2"/>
        <v>0.299435169</v>
      </c>
      <c r="F456" s="175">
        <f>IFERROR(__xludf.DUMMYFUNCTION("average.weighted(filter(Data!K:K,Data!B:B=A456),filter(Data!F:F,Data!B:B=A456))"),-1.580044416783439)</f>
        <v>-1.580044417</v>
      </c>
      <c r="G456" s="175">
        <f>IFERROR(__xludf.DUMMYFUNCTION("average.weighted(filter(Data!L:L,Data!B:B=A456),filter(Data!F:F,Data!B:B=A456))"),1.879479585742904)</f>
        <v>1.879479586</v>
      </c>
    </row>
    <row r="457">
      <c r="A457" s="172" t="s">
        <v>693</v>
      </c>
      <c r="B457" s="173">
        <f>countif(Data!B:B,A457)</f>
        <v>2</v>
      </c>
      <c r="C457" s="174">
        <f>sumif(Data!B:B,A457,Data!M:M)</f>
        <v>3.750221013</v>
      </c>
      <c r="D457" s="174">
        <f t="shared" si="1"/>
        <v>1.875110506</v>
      </c>
      <c r="E457" s="175">
        <f t="shared" si="2"/>
        <v>0.2919439757</v>
      </c>
      <c r="F457" s="175">
        <f>IFERROR(__xludf.DUMMYFUNCTION("average.weighted(filter(Data!K:K,Data!B:B=A457),filter(Data!F:F,Data!B:B=A457))"),-1.874344634343108)</f>
        <v>-1.874344634</v>
      </c>
      <c r="G457" s="175">
        <f>IFERROR(__xludf.DUMMYFUNCTION("average.weighted(filter(Data!L:L,Data!B:B=A457),filter(Data!F:F,Data!B:B=A457))"),2.166288610069765)</f>
        <v>2.16628861</v>
      </c>
    </row>
    <row r="458">
      <c r="A458" s="172" t="s">
        <v>694</v>
      </c>
      <c r="B458" s="173">
        <f>countif(Data!B:B,A458)</f>
        <v>2</v>
      </c>
      <c r="C458" s="174">
        <f>sumif(Data!B:B,A458,Data!M:M)</f>
        <v>3.494310886</v>
      </c>
      <c r="D458" s="174">
        <f t="shared" si="1"/>
        <v>1.747155443</v>
      </c>
      <c r="E458" s="175">
        <f t="shared" si="2"/>
        <v>0.2917698844</v>
      </c>
      <c r="F458" s="175">
        <f>IFERROR(__xludf.DUMMYFUNCTION("average.weighted(filter(Data!K:K,Data!B:B=A458),filter(Data!F:F,Data!B:B=A458))"),-0.9564274363601144)</f>
        <v>-0.9564274364</v>
      </c>
      <c r="G458" s="175">
        <f>IFERROR(__xludf.DUMMYFUNCTION("average.weighted(filter(Data!L:L,Data!B:B=A458),filter(Data!F:F,Data!B:B=A458))"),1.2481973207586574)</f>
        <v>1.248197321</v>
      </c>
    </row>
    <row r="459">
      <c r="A459" s="172" t="s">
        <v>695</v>
      </c>
      <c r="B459" s="173">
        <f>countif(Data!B:B,A459)</f>
        <v>6</v>
      </c>
      <c r="C459" s="174">
        <f>sumif(Data!B:B,A459,Data!M:M)</f>
        <v>16.11001041</v>
      </c>
      <c r="D459" s="174">
        <f t="shared" si="1"/>
        <v>2.685001734</v>
      </c>
      <c r="E459" s="175">
        <f t="shared" si="2"/>
        <v>0.2840797001</v>
      </c>
      <c r="F459" s="175">
        <f>IFERROR(__xludf.DUMMYFUNCTION("average.weighted(filter(Data!K:K,Data!B:B=A459),filter(Data!F:F,Data!B:B=A459))"),-0.9704238260677324)</f>
        <v>-0.9704238261</v>
      </c>
      <c r="G459" s="175">
        <f>IFERROR(__xludf.DUMMYFUNCTION("average.weighted(filter(Data!L:L,Data!B:B=A459),filter(Data!F:F,Data!B:B=A459))"),1.2545035261525939)</f>
        <v>1.254503526</v>
      </c>
    </row>
    <row r="460">
      <c r="A460" s="172" t="s">
        <v>696</v>
      </c>
      <c r="B460" s="173">
        <f>countif(Data!B:B,A460)</f>
        <v>7</v>
      </c>
      <c r="C460" s="174">
        <f>sumif(Data!B:B,A460,Data!M:M)</f>
        <v>14.98548961</v>
      </c>
      <c r="D460" s="174">
        <f t="shared" si="1"/>
        <v>2.14078423</v>
      </c>
      <c r="E460" s="175">
        <f t="shared" si="2"/>
        <v>0.2725994558</v>
      </c>
      <c r="F460" s="175">
        <f>IFERROR(__xludf.DUMMYFUNCTION("average.weighted(filter(Data!K:K,Data!B:B=A460),filter(Data!F:F,Data!B:B=A460))"),0.5674621674873959)</f>
        <v>0.5674621675</v>
      </c>
      <c r="G460" s="175">
        <f>IFERROR(__xludf.DUMMYFUNCTION("average.weighted(filter(Data!L:L,Data!B:B=A460),filter(Data!F:F,Data!B:B=A460))"),-0.2948627117147069)</f>
        <v>-0.2948627117</v>
      </c>
    </row>
    <row r="461">
      <c r="A461" s="172" t="s">
        <v>697</v>
      </c>
      <c r="B461" s="173">
        <f>countif(Data!B:B,A461)</f>
        <v>1</v>
      </c>
      <c r="C461" s="174">
        <f>sumif(Data!B:B,A461,Data!M:M)</f>
        <v>0.1894209396</v>
      </c>
      <c r="D461" s="174">
        <f t="shared" si="1"/>
        <v>0.1894209396</v>
      </c>
      <c r="E461" s="175">
        <f t="shared" si="2"/>
        <v>0.2628838977</v>
      </c>
      <c r="F461" s="175">
        <f>IFERROR(__xludf.DUMMYFUNCTION("average.weighted(filter(Data!K:K,Data!B:B=A461),filter(Data!F:F,Data!B:B=A461))"),0.0876760774512448)</f>
        <v>0.08767607745</v>
      </c>
      <c r="G461" s="175">
        <f>IFERROR(__xludf.DUMMYFUNCTION("average.weighted(filter(Data!L:L,Data!B:B=A461),filter(Data!F:F,Data!B:B=A461))"),0.175207820208075)</f>
        <v>0.1752078202</v>
      </c>
    </row>
    <row r="462">
      <c r="A462" s="172" t="s">
        <v>698</v>
      </c>
      <c r="B462" s="173">
        <f>countif(Data!B:B,A462)</f>
        <v>1</v>
      </c>
      <c r="C462" s="174">
        <f>sumif(Data!B:B,A462,Data!M:M)</f>
        <v>0.03272207289</v>
      </c>
      <c r="D462" s="174">
        <f t="shared" si="1"/>
        <v>0.03272207289</v>
      </c>
      <c r="E462" s="175">
        <f t="shared" si="2"/>
        <v>0.2622348453</v>
      </c>
      <c r="F462" s="175">
        <f>IFERROR(__xludf.DUMMYFUNCTION("average.weighted(filter(Data!K:K,Data!B:B=A462),filter(Data!F:F,Data!B:B=A462))"),0.0680661870652614)</f>
        <v>0.06806618707</v>
      </c>
      <c r="G462" s="175">
        <f>IFERROR(__xludf.DUMMYFUNCTION("average.weighted(filter(Data!L:L,Data!B:B=A462),filter(Data!F:F,Data!B:B=A462))"),0.194168658198393)</f>
        <v>0.1941686582</v>
      </c>
    </row>
    <row r="463">
      <c r="A463" s="172" t="s">
        <v>699</v>
      </c>
      <c r="B463" s="173">
        <f>countif(Data!B:B,A463)</f>
        <v>7</v>
      </c>
      <c r="C463" s="174">
        <f>sumif(Data!B:B,A463,Data!M:M)</f>
        <v>14.42071276</v>
      </c>
      <c r="D463" s="174">
        <f t="shared" si="1"/>
        <v>2.060101823</v>
      </c>
      <c r="E463" s="175">
        <f t="shared" si="2"/>
        <v>0.2548202391</v>
      </c>
      <c r="F463" s="175">
        <f>IFERROR(__xludf.DUMMYFUNCTION("average.weighted(filter(Data!K:K,Data!B:B=A463),filter(Data!F:F,Data!B:B=A463))"),0.6229518161617515)</f>
        <v>0.6229518162</v>
      </c>
      <c r="G463" s="175">
        <f>IFERROR(__xludf.DUMMYFUNCTION("average.weighted(filter(Data!L:L,Data!B:B=A463),filter(Data!F:F,Data!B:B=A463))"),-0.36813157703456606)</f>
        <v>-0.368131577</v>
      </c>
    </row>
    <row r="464">
      <c r="A464" s="172" t="s">
        <v>700</v>
      </c>
      <c r="B464" s="173">
        <f>countif(Data!B:B,A464)</f>
        <v>4</v>
      </c>
      <c r="C464" s="174">
        <f>sumif(Data!B:B,A464,Data!M:M)</f>
        <v>10.14865991</v>
      </c>
      <c r="D464" s="174">
        <f t="shared" si="1"/>
        <v>2.537164976</v>
      </c>
      <c r="E464" s="175">
        <f t="shared" si="2"/>
        <v>0.2866342743</v>
      </c>
      <c r="F464" s="175">
        <f>IFERROR(__xludf.DUMMYFUNCTION("average.weighted(filter(Data!K:K,Data!B:B=A464),filter(Data!F:F,Data!B:B=A464))"),-1.1215931539784987)</f>
        <v>-1.121593154</v>
      </c>
      <c r="G464" s="175">
        <f>IFERROR(__xludf.DUMMYFUNCTION("average.weighted(filter(Data!L:L,Data!B:B=A464),filter(Data!F:F,Data!B:B=A464))"),1.408227428275023)</f>
        <v>1.408227428</v>
      </c>
    </row>
    <row r="465">
      <c r="A465" s="172" t="s">
        <v>701</v>
      </c>
      <c r="B465" s="173">
        <f>countif(Data!B:B,A465)</f>
        <v>1</v>
      </c>
      <c r="C465" s="174">
        <f>sumif(Data!B:B,A465,Data!M:M)</f>
        <v>0.3833214066</v>
      </c>
      <c r="D465" s="174">
        <f t="shared" si="1"/>
        <v>0.3833214066</v>
      </c>
      <c r="E465" s="175">
        <f t="shared" si="2"/>
        <v>0.2426827827</v>
      </c>
      <c r="F465" s="175">
        <f>IFERROR(__xludf.DUMMYFUNCTION("average.weighted(filter(Data!K:K,Data!B:B=A465),filter(Data!F:F,Data!B:B=A465))"),-0.715698086371014)</f>
        <v>-0.7156980864</v>
      </c>
      <c r="G465" s="175">
        <f>IFERROR(__xludf.DUMMYFUNCTION("average.weighted(filter(Data!L:L,Data!B:B=A465),filter(Data!F:F,Data!B:B=A465))"),0.95838086909477)</f>
        <v>0.9583808691</v>
      </c>
    </row>
    <row r="466">
      <c r="A466" s="172" t="s">
        <v>702</v>
      </c>
      <c r="B466" s="173">
        <f>countif(Data!B:B,A466)</f>
        <v>2</v>
      </c>
      <c r="C466" s="174">
        <f>sumif(Data!B:B,A466,Data!M:M)</f>
        <v>0.4974553128</v>
      </c>
      <c r="D466" s="174">
        <f t="shared" si="1"/>
        <v>0.2487276564</v>
      </c>
      <c r="E466" s="175">
        <f t="shared" si="2"/>
        <v>0.2156886392</v>
      </c>
      <c r="F466" s="175">
        <f>IFERROR(__xludf.DUMMYFUNCTION("average.weighted(filter(Data!K:K,Data!B:B=A466),filter(Data!F:F,Data!B:B=A466))"),-0.3509512678026417)</f>
        <v>-0.3509512678</v>
      </c>
      <c r="G466" s="175">
        <f>IFERROR(__xludf.DUMMYFUNCTION("average.weighted(filter(Data!L:L,Data!B:B=A466),filter(Data!F:F,Data!B:B=A466))"),0.5666399070436877)</f>
        <v>0.566639907</v>
      </c>
    </row>
    <row r="467">
      <c r="A467" s="172" t="s">
        <v>703</v>
      </c>
      <c r="B467" s="173">
        <f>countif(Data!B:B,A467)</f>
        <v>6</v>
      </c>
      <c r="C467" s="174">
        <f>sumif(Data!B:B,A467,Data!M:M)</f>
        <v>14.72100909</v>
      </c>
      <c r="D467" s="174">
        <f t="shared" si="1"/>
        <v>2.453501515</v>
      </c>
      <c r="E467" s="175">
        <f t="shared" si="2"/>
        <v>0.241859166</v>
      </c>
      <c r="F467" s="175">
        <f>IFERROR(__xludf.DUMMYFUNCTION("average.weighted(filter(Data!K:K,Data!B:B=A467),filter(Data!F:F,Data!B:B=A467))"),-0.9595971955454285)</f>
        <v>-0.9595971955</v>
      </c>
      <c r="G467" s="175">
        <f>IFERROR(__xludf.DUMMYFUNCTION("average.weighted(filter(Data!L:L,Data!B:B=A467),filter(Data!F:F,Data!B:B=A467))"),1.201456361552585)</f>
        <v>1.201456362</v>
      </c>
    </row>
    <row r="468">
      <c r="A468" s="172" t="s">
        <v>704</v>
      </c>
      <c r="B468" s="173">
        <f>countif(Data!B:B,A468)</f>
        <v>8</v>
      </c>
      <c r="C468" s="174">
        <f>sumif(Data!B:B,A468,Data!M:M)</f>
        <v>31.04874218</v>
      </c>
      <c r="D468" s="174">
        <f t="shared" si="1"/>
        <v>3.881092773</v>
      </c>
      <c r="E468" s="175">
        <f t="shared" si="2"/>
        <v>0.2374611697</v>
      </c>
      <c r="F468" s="175">
        <f>IFERROR(__xludf.DUMMYFUNCTION("average.weighted(filter(Data!K:K,Data!B:B=A468),filter(Data!F:F,Data!B:B=A468))"),0.3603526692940542)</f>
        <v>0.3603526693</v>
      </c>
      <c r="G468" s="175">
        <f>IFERROR(__xludf.DUMMYFUNCTION("average.weighted(filter(Data!L:L,Data!B:B=A468),filter(Data!F:F,Data!B:B=A468))"),-0.12289149962995118)</f>
        <v>-0.1228914996</v>
      </c>
    </row>
    <row r="469">
      <c r="A469" s="172" t="s">
        <v>705</v>
      </c>
      <c r="B469" s="173">
        <f>countif(Data!B:B,A469)</f>
        <v>4</v>
      </c>
      <c r="C469" s="174">
        <f>sumif(Data!B:B,A469,Data!M:M)</f>
        <v>10.08294379</v>
      </c>
      <c r="D469" s="174">
        <f t="shared" si="1"/>
        <v>2.520735946</v>
      </c>
      <c r="E469" s="175">
        <f t="shared" si="2"/>
        <v>0.2194814647</v>
      </c>
      <c r="F469" s="175">
        <f>IFERROR(__xludf.DUMMYFUNCTION("average.weighted(filter(Data!K:K,Data!B:B=A469),filter(Data!F:F,Data!B:B=A469))"),-0.53217004119363)</f>
        <v>-0.5321700412</v>
      </c>
      <c r="G469" s="175">
        <f>IFERROR(__xludf.DUMMYFUNCTION("average.weighted(filter(Data!L:L,Data!B:B=A469),filter(Data!F:F,Data!B:B=A469))"),0.7516515058741519)</f>
        <v>0.7516515059</v>
      </c>
    </row>
    <row r="470">
      <c r="A470" s="172" t="s">
        <v>706</v>
      </c>
      <c r="B470" s="173">
        <f>countif(Data!B:B,A470)</f>
        <v>2</v>
      </c>
      <c r="C470" s="174">
        <f>sumif(Data!B:B,A470,Data!M:M)</f>
        <v>3.313101742</v>
      </c>
      <c r="D470" s="174">
        <f t="shared" si="1"/>
        <v>1.656550871</v>
      </c>
      <c r="E470" s="175">
        <f t="shared" si="2"/>
        <v>0.2179913839</v>
      </c>
      <c r="F470" s="175">
        <f>IFERROR(__xludf.DUMMYFUNCTION("average.weighted(filter(Data!K:K,Data!B:B=A470),filter(Data!F:F,Data!B:B=A470))"),-0.03368396031360294)</f>
        <v>-0.03368396031</v>
      </c>
      <c r="G470" s="175">
        <f>IFERROR(__xludf.DUMMYFUNCTION("average.weighted(filter(Data!L:L,Data!B:B=A470),filter(Data!F:F,Data!B:B=A470))"),0.2516753442269061)</f>
        <v>0.2516753442</v>
      </c>
    </row>
    <row r="471">
      <c r="A471" s="172" t="s">
        <v>707</v>
      </c>
      <c r="B471" s="173">
        <f>countif(Data!B:B,A471)</f>
        <v>6</v>
      </c>
      <c r="C471" s="174">
        <f>sumif(Data!B:B,A471,Data!M:M)</f>
        <v>13.8035524</v>
      </c>
      <c r="D471" s="174">
        <f t="shared" si="1"/>
        <v>2.300592066</v>
      </c>
      <c r="E471" s="175">
        <f t="shared" si="2"/>
        <v>0.2177520623</v>
      </c>
      <c r="F471" s="175">
        <f>IFERROR(__xludf.DUMMYFUNCTION("average.weighted(filter(Data!K:K,Data!B:B=A471),filter(Data!F:F,Data!B:B=A471))"),-0.9899977669134774)</f>
        <v>-0.9899977669</v>
      </c>
      <c r="G471" s="175">
        <f>IFERROR(__xludf.DUMMYFUNCTION("average.weighted(filter(Data!L:L,Data!B:B=A471),filter(Data!F:F,Data!B:B=A471))"),1.2077498292504534)</f>
        <v>1.207749829</v>
      </c>
    </row>
    <row r="472">
      <c r="A472" s="172" t="s">
        <v>708</v>
      </c>
      <c r="B472" s="173">
        <f>countif(Data!B:B,A472)</f>
        <v>6</v>
      </c>
      <c r="C472" s="174">
        <f>sumif(Data!B:B,A472,Data!M:M)</f>
        <v>12.28616368</v>
      </c>
      <c r="D472" s="174">
        <f t="shared" si="1"/>
        <v>2.047693947</v>
      </c>
      <c r="E472" s="175">
        <f t="shared" si="2"/>
        <v>0.2163583635</v>
      </c>
      <c r="F472" s="175">
        <f>IFERROR(__xludf.DUMMYFUNCTION("average.weighted(filter(Data!K:K,Data!B:B=A472),filter(Data!F:F,Data!B:B=A472))"),0.6272545697996103)</f>
        <v>0.6272545698</v>
      </c>
      <c r="G472" s="175">
        <f>IFERROR(__xludf.DUMMYFUNCTION("average.weighted(filter(Data!L:L,Data!B:B=A472),filter(Data!F:F,Data!B:B=A472))"),-0.4108962062907708)</f>
        <v>-0.4108962063</v>
      </c>
    </row>
    <row r="473">
      <c r="A473" s="172" t="s">
        <v>709</v>
      </c>
      <c r="B473" s="173">
        <f>countif(Data!B:B,A473)</f>
        <v>4</v>
      </c>
      <c r="C473" s="174">
        <f>sumif(Data!B:B,A473,Data!M:M)</f>
        <v>3.211185304</v>
      </c>
      <c r="D473" s="174">
        <f t="shared" si="1"/>
        <v>0.802796326</v>
      </c>
      <c r="E473" s="175">
        <f t="shared" si="2"/>
        <v>0.2191493635</v>
      </c>
      <c r="F473" s="175">
        <f>IFERROR(__xludf.DUMMYFUNCTION("average.weighted(filter(Data!K:K,Data!B:B=A473),filter(Data!F:F,Data!B:B=A473))"),-0.7158798962215032)</f>
        <v>-0.7158798962</v>
      </c>
      <c r="G473" s="175">
        <f>IFERROR(__xludf.DUMMYFUNCTION("average.weighted(filter(Data!L:L,Data!B:B=A473),filter(Data!F:F,Data!B:B=A473))"),0.9350292596835013)</f>
        <v>0.9350292597</v>
      </c>
    </row>
    <row r="474">
      <c r="A474" s="172" t="s">
        <v>710</v>
      </c>
      <c r="B474" s="173">
        <f>countif(Data!B:B,A474)</f>
        <v>1</v>
      </c>
      <c r="C474" s="174">
        <f>sumif(Data!B:B,A474,Data!M:M)</f>
        <v>0.06304722269</v>
      </c>
      <c r="D474" s="174">
        <f t="shared" si="1"/>
        <v>0.06304722269</v>
      </c>
      <c r="E474" s="175">
        <f t="shared" si="2"/>
        <v>0.2015343754</v>
      </c>
      <c r="F474" s="175">
        <f>IFERROR(__xludf.DUMMYFUNCTION("average.weighted(filter(Data!K:K,Data!B:B=A474),filter(Data!F:F,Data!B:B=A474))"),0.0323800682832563)</f>
        <v>0.03238006828</v>
      </c>
      <c r="G474" s="175">
        <f>IFERROR(__xludf.DUMMYFUNCTION("average.weighted(filter(Data!L:L,Data!B:B=A474),filter(Data!F:F,Data!B:B=A474))"),0.169154307132897)</f>
        <v>0.1691543071</v>
      </c>
    </row>
    <row r="475">
      <c r="A475" s="172" t="s">
        <v>711</v>
      </c>
      <c r="B475" s="173">
        <f>countif(Data!B:B,A475)</f>
        <v>2</v>
      </c>
      <c r="C475" s="174">
        <f>sumif(Data!B:B,A475,Data!M:M)</f>
        <v>3.484569361</v>
      </c>
      <c r="D475" s="174">
        <f t="shared" si="1"/>
        <v>1.742284681</v>
      </c>
      <c r="E475" s="175">
        <f t="shared" si="2"/>
        <v>0.3295605397</v>
      </c>
      <c r="F475" s="175">
        <f>IFERROR(__xludf.DUMMYFUNCTION("average.weighted(filter(Data!K:K,Data!B:B=A475),filter(Data!F:F,Data!B:B=A475))"),0.18343008197271954)</f>
        <v>0.183430082</v>
      </c>
      <c r="G475" s="175">
        <f>IFERROR(__xludf.DUMMYFUNCTION("average.weighted(filter(Data!L:L,Data!B:B=A475),filter(Data!F:F,Data!B:B=A475))"),0.14613045768412766)</f>
        <v>0.1461304577</v>
      </c>
    </row>
    <row r="476">
      <c r="A476" s="172" t="s">
        <v>712</v>
      </c>
      <c r="B476" s="173">
        <f>countif(Data!B:B,A476)</f>
        <v>1</v>
      </c>
      <c r="C476" s="174">
        <f>sumif(Data!B:B,A476,Data!M:M)</f>
        <v>0.5910729002</v>
      </c>
      <c r="D476" s="174">
        <f t="shared" si="1"/>
        <v>0.5910729002</v>
      </c>
      <c r="E476" s="175">
        <f t="shared" si="2"/>
        <v>0.1952770883</v>
      </c>
      <c r="F476" s="175">
        <f>IFERROR(__xludf.DUMMYFUNCTION("average.weighted(filter(Data!K:K,Data!B:B=A476),filter(Data!F:F,Data!B:B=A476))"),-1.30699416980188)</f>
        <v>-1.30699417</v>
      </c>
      <c r="G476" s="175">
        <f>IFERROR(__xludf.DUMMYFUNCTION("average.weighted(filter(Data!L:L,Data!B:B=A476),filter(Data!F:F,Data!B:B=A476))"),1.50227125811678)</f>
        <v>1.502271258</v>
      </c>
    </row>
    <row r="477">
      <c r="A477" s="172" t="s">
        <v>713</v>
      </c>
      <c r="B477" s="173">
        <f>countif(Data!B:B,A477)</f>
        <v>2</v>
      </c>
      <c r="C477" s="174">
        <f>sumif(Data!B:B,A477,Data!M:M)</f>
        <v>2.633926359</v>
      </c>
      <c r="D477" s="174">
        <f t="shared" si="1"/>
        <v>1.31696318</v>
      </c>
      <c r="E477" s="175">
        <f t="shared" si="2"/>
        <v>0.1911579141</v>
      </c>
      <c r="F477" s="175">
        <f>IFERROR(__xludf.DUMMYFUNCTION("average.weighted(filter(Data!K:K,Data!B:B=A477),filter(Data!F:F,Data!B:B=A477))"),0.09971898337010121)</f>
        <v>0.09971898337</v>
      </c>
      <c r="G477" s="175">
        <f>IFERROR(__xludf.DUMMYFUNCTION("average.weighted(filter(Data!L:L,Data!B:B=A477),filter(Data!F:F,Data!B:B=A477))"),0.09143893068504243)</f>
        <v>0.09143893069</v>
      </c>
    </row>
    <row r="478">
      <c r="A478" s="172" t="s">
        <v>714</v>
      </c>
      <c r="B478" s="173">
        <f>countif(Data!B:B,A478)</f>
        <v>6</v>
      </c>
      <c r="C478" s="174">
        <f>sumif(Data!B:B,A478,Data!M:M)</f>
        <v>14.83495229</v>
      </c>
      <c r="D478" s="174">
        <f t="shared" si="1"/>
        <v>2.472492049</v>
      </c>
      <c r="E478" s="175">
        <f t="shared" si="2"/>
        <v>0.1812426354</v>
      </c>
      <c r="F478" s="175">
        <f>IFERROR(__xludf.DUMMYFUNCTION("average.weighted(filter(Data!K:K,Data!B:B=A478),filter(Data!F:F,Data!B:B=A478))"),0.24579970084132463)</f>
        <v>0.2457997008</v>
      </c>
      <c r="G478" s="175">
        <f>IFERROR(__xludf.DUMMYFUNCTION("average.weighted(filter(Data!L:L,Data!B:B=A478),filter(Data!F:F,Data!B:B=A478))"),-0.06455706548169458)</f>
        <v>-0.06455706548</v>
      </c>
    </row>
    <row r="479">
      <c r="A479" s="172" t="s">
        <v>715</v>
      </c>
      <c r="B479" s="173">
        <f>countif(Data!B:B,A479)</f>
        <v>6</v>
      </c>
      <c r="C479" s="174">
        <f>sumif(Data!B:B,A479,Data!M:M)</f>
        <v>5.587699559</v>
      </c>
      <c r="D479" s="174">
        <f t="shared" si="1"/>
        <v>0.9312832598</v>
      </c>
      <c r="E479" s="175">
        <f t="shared" si="2"/>
        <v>0.1301923639</v>
      </c>
      <c r="F479" s="175">
        <f>IFERROR(__xludf.DUMMYFUNCTION("average.weighted(filter(Data!K:K,Data!B:B=A479),filter(Data!F:F,Data!B:B=A479))"),-0.3013110760401732)</f>
        <v>-0.301311076</v>
      </c>
      <c r="G479" s="175">
        <f>IFERROR(__xludf.DUMMYFUNCTION("average.weighted(filter(Data!L:L,Data!B:B=A479),filter(Data!F:F,Data!B:B=A479))"),0.4315034399155732)</f>
        <v>0.4315034399</v>
      </c>
    </row>
    <row r="480">
      <c r="A480" s="172" t="s">
        <v>716</v>
      </c>
      <c r="B480" s="173">
        <f>countif(Data!B:B,A480)</f>
        <v>4</v>
      </c>
      <c r="C480" s="174">
        <f>sumif(Data!B:B,A480,Data!M:M)</f>
        <v>6.892392457</v>
      </c>
      <c r="D480" s="174">
        <f t="shared" si="1"/>
        <v>1.723098114</v>
      </c>
      <c r="E480" s="175">
        <f t="shared" si="2"/>
        <v>0.03975041545</v>
      </c>
      <c r="F480" s="175">
        <f>IFERROR(__xludf.DUMMYFUNCTION("average.weighted(filter(Data!K:K,Data!B:B=A480),filter(Data!F:F,Data!B:B=A480))"),0.8885912286290363)</f>
        <v>0.8885912286</v>
      </c>
      <c r="G480" s="175">
        <f>IFERROR(__xludf.DUMMYFUNCTION("average.weighted(filter(Data!L:L,Data!B:B=A480),filter(Data!F:F,Data!B:B=A480))"),-0.8488408131767602)</f>
        <v>-0.8488408132</v>
      </c>
    </row>
    <row r="481">
      <c r="A481" s="172" t="s">
        <v>717</v>
      </c>
      <c r="B481" s="173">
        <f>countif(Data!B:B,A481)</f>
        <v>1</v>
      </c>
      <c r="C481" s="174">
        <f>sumif(Data!B:B,A481,Data!M:M)</f>
        <v>0.01389492523</v>
      </c>
      <c r="D481" s="174">
        <f t="shared" si="1"/>
        <v>0.01389492523</v>
      </c>
      <c r="E481" s="175">
        <f t="shared" si="2"/>
        <v>-0.1248296062</v>
      </c>
      <c r="F481" s="175">
        <f>IFERROR(__xludf.DUMMYFUNCTION("average.weighted(filter(Data!K:K,Data!B:B=A481),filter(Data!F:F,Data!B:B=A481))"),0.0252013455173321)</f>
        <v>0.02520134552</v>
      </c>
      <c r="G481" s="175">
        <f>IFERROR(__xludf.DUMMYFUNCTION("average.weighted(filter(Data!L:L,Data!B:B=A481),filter(Data!F:F,Data!B:B=A481))"),-0.150030951675601)</f>
        <v>-0.1500309517</v>
      </c>
    </row>
    <row r="482">
      <c r="A482" s="172" t="s">
        <v>718</v>
      </c>
      <c r="B482" s="173">
        <f>countif(Data!B:B,A482)</f>
        <v>7</v>
      </c>
      <c r="C482" s="174">
        <f>sumif(Data!B:B,A482,Data!M:M)</f>
        <v>22.46219442</v>
      </c>
      <c r="D482" s="174">
        <f t="shared" si="1"/>
        <v>3.208884917</v>
      </c>
      <c r="E482" s="175">
        <f t="shared" si="2"/>
        <v>0.1618559111</v>
      </c>
      <c r="F482" s="175">
        <f>IFERROR(__xludf.DUMMYFUNCTION("average.weighted(filter(Data!K:K,Data!B:B=A482),filter(Data!F:F,Data!B:B=A482))"),-0.3445953888736142)</f>
        <v>-0.3445953889</v>
      </c>
      <c r="G482" s="175">
        <f>IFERROR(__xludf.DUMMYFUNCTION("average.weighted(filter(Data!L:L,Data!B:B=A482),filter(Data!F:F,Data!B:B=A482))"),0.5064512999719506)</f>
        <v>0.5064513</v>
      </c>
    </row>
    <row r="483">
      <c r="A483" s="172" t="s">
        <v>719</v>
      </c>
      <c r="B483" s="173">
        <f>countif(Data!B:B,A483)</f>
        <v>1</v>
      </c>
      <c r="C483" s="174">
        <f>sumif(Data!B:B,A483,Data!M:M)</f>
        <v>0.07323672353</v>
      </c>
      <c r="D483" s="174">
        <f t="shared" si="1"/>
        <v>0.07323672353</v>
      </c>
      <c r="E483" s="175">
        <f t="shared" si="2"/>
        <v>0.1498529744</v>
      </c>
      <c r="F483" s="175">
        <f>IFERROR(__xludf.DUMMYFUNCTION("average.weighted(filter(Data!K:K,Data!B:B=A483),filter(Data!F:F,Data!B:B=A483))"),-0.333374885305168)</f>
        <v>-0.3333748853</v>
      </c>
      <c r="G483" s="175">
        <f>IFERROR(__xludf.DUMMYFUNCTION("average.weighted(filter(Data!L:L,Data!B:B=A483),filter(Data!F:F,Data!B:B=A483))"),0.483227859678282)</f>
        <v>0.4832278597</v>
      </c>
    </row>
    <row r="484">
      <c r="A484" s="172" t="s">
        <v>720</v>
      </c>
      <c r="B484" s="173">
        <f>countif(Data!B:B,A484)</f>
        <v>2</v>
      </c>
      <c r="C484" s="174">
        <f>sumif(Data!B:B,A484,Data!M:M)</f>
        <v>1.678756793</v>
      </c>
      <c r="D484" s="174">
        <f t="shared" si="1"/>
        <v>0.8393783965</v>
      </c>
      <c r="E484" s="175">
        <f t="shared" si="2"/>
        <v>0.05729192723</v>
      </c>
      <c r="F484" s="175">
        <f>IFERROR(__xludf.DUMMYFUNCTION("average.weighted(filter(Data!K:K,Data!B:B=A484),filter(Data!F:F,Data!B:B=A484))"),-0.4290422461434616)</f>
        <v>-0.4290422461</v>
      </c>
      <c r="G484" s="175">
        <f>IFERROR(__xludf.DUMMYFUNCTION("average.weighted(filter(Data!L:L,Data!B:B=A484),filter(Data!F:F,Data!B:B=A484))"),0.4863341733684842)</f>
        <v>0.4863341734</v>
      </c>
    </row>
    <row r="485">
      <c r="A485" s="172" t="s">
        <v>721</v>
      </c>
      <c r="B485" s="173">
        <f>countif(Data!B:B,A485)</f>
        <v>3</v>
      </c>
      <c r="C485" s="174">
        <f>sumif(Data!B:B,A485,Data!M:M)</f>
        <v>3.089771132</v>
      </c>
      <c r="D485" s="174">
        <f t="shared" si="1"/>
        <v>1.029923711</v>
      </c>
      <c r="E485" s="175">
        <f t="shared" si="2"/>
        <v>0.1456068141</v>
      </c>
      <c r="F485" s="175">
        <f>IFERROR(__xludf.DUMMYFUNCTION("average.weighted(filter(Data!K:K,Data!B:B=A485),filter(Data!F:F,Data!B:B=A485))"),-0.8064504452449482)</f>
        <v>-0.8064504452</v>
      </c>
      <c r="G485" s="175">
        <f>IFERROR(__xludf.DUMMYFUNCTION("average.weighted(filter(Data!L:L,Data!B:B=A485),filter(Data!F:F,Data!B:B=A485))"),0.9520572593776315)</f>
        <v>0.9520572594</v>
      </c>
    </row>
    <row r="486">
      <c r="A486" s="172" t="s">
        <v>722</v>
      </c>
      <c r="B486" s="173">
        <f>countif(Data!B:B,A486)</f>
        <v>2</v>
      </c>
      <c r="C486" s="174">
        <f>sumif(Data!B:B,A486,Data!M:M)</f>
        <v>1.024811008</v>
      </c>
      <c r="D486" s="174">
        <f t="shared" si="1"/>
        <v>0.5124055041</v>
      </c>
      <c r="E486" s="175">
        <f t="shared" si="2"/>
        <v>0.1453649409</v>
      </c>
      <c r="F486" s="175">
        <f>IFERROR(__xludf.DUMMYFUNCTION("average.weighted(filter(Data!K:K,Data!B:B=A486),filter(Data!F:F,Data!B:B=A486))"),-1.7375317911884416)</f>
        <v>-1.737531791</v>
      </c>
      <c r="G486" s="175">
        <f>IFERROR(__xludf.DUMMYFUNCTION("average.weighted(filter(Data!L:L,Data!B:B=A486),filter(Data!F:F,Data!B:B=A486))"),1.8828967321366346)</f>
        <v>1.882896732</v>
      </c>
    </row>
    <row r="487">
      <c r="A487" s="172" t="s">
        <v>723</v>
      </c>
      <c r="B487" s="173">
        <f>countif(Data!B:B,A487)</f>
        <v>1</v>
      </c>
      <c r="C487" s="174">
        <f>sumif(Data!B:B,A487,Data!M:M)</f>
        <v>0.02500733505</v>
      </c>
      <c r="D487" s="174">
        <f t="shared" si="1"/>
        <v>0.02500733505</v>
      </c>
      <c r="E487" s="175">
        <f t="shared" si="2"/>
        <v>0.1384424285</v>
      </c>
      <c r="F487" s="175">
        <f>IFERROR(__xludf.DUMMYFUNCTION("average.weighted(filter(Data!K:K,Data!B:B=A487),filter(Data!F:F,Data!B:B=A487))"),-0.115400240187844)</f>
        <v>-0.1154002402</v>
      </c>
      <c r="G487" s="175">
        <f>IFERROR(__xludf.DUMMYFUNCTION("average.weighted(filter(Data!L:L,Data!B:B=A487),filter(Data!F:F,Data!B:B=A487))"),0.253842668674933)</f>
        <v>0.2538426687</v>
      </c>
    </row>
    <row r="488">
      <c r="A488" s="172" t="s">
        <v>724</v>
      </c>
      <c r="B488" s="173">
        <f>countif(Data!B:B,A488)</f>
        <v>7</v>
      </c>
      <c r="C488" s="174">
        <f>sumif(Data!B:B,A488,Data!M:M)</f>
        <v>13.1827272</v>
      </c>
      <c r="D488" s="174">
        <f t="shared" si="1"/>
        <v>1.883246742</v>
      </c>
      <c r="E488" s="175">
        <f t="shared" si="2"/>
        <v>0.1348197115</v>
      </c>
      <c r="F488" s="175">
        <f>IFERROR(__xludf.DUMMYFUNCTION("average.weighted(filter(Data!K:K,Data!B:B=A488),filter(Data!F:F,Data!B:B=A488))"),1.3405782733543443)</f>
        <v>1.340578273</v>
      </c>
      <c r="G488" s="175">
        <f>IFERROR(__xludf.DUMMYFUNCTION("average.weighted(filter(Data!L:L,Data!B:B=A488),filter(Data!F:F,Data!B:B=A488))"),-1.2057585618809867)</f>
        <v>-1.205758562</v>
      </c>
    </row>
    <row r="489">
      <c r="A489" s="172" t="s">
        <v>725</v>
      </c>
      <c r="B489" s="173">
        <f>countif(Data!B:B,A489)</f>
        <v>1</v>
      </c>
      <c r="C489" s="174">
        <f>sumif(Data!B:B,A489,Data!M:M)</f>
        <v>0.087922014</v>
      </c>
      <c r="D489" s="174">
        <f t="shared" si="1"/>
        <v>0.087922014</v>
      </c>
      <c r="E489" s="175">
        <f t="shared" si="2"/>
        <v>0.1251318419</v>
      </c>
      <c r="F489" s="175">
        <f>IFERROR(__xludf.DUMMYFUNCTION("average.weighted(filter(Data!K:K,Data!B:B=A489),filter(Data!F:F,Data!B:B=A489))"),-0.122192715942808)</f>
        <v>-0.1221927159</v>
      </c>
      <c r="G489" s="175">
        <f>IFERROR(__xludf.DUMMYFUNCTION("average.weighted(filter(Data!L:L,Data!B:B=A489),filter(Data!F:F,Data!B:B=A489))"),0.247324557795272)</f>
        <v>0.2473245578</v>
      </c>
    </row>
    <row r="490">
      <c r="A490" s="172" t="s">
        <v>726</v>
      </c>
      <c r="B490" s="173">
        <f>countif(Data!B:B,A490)</f>
        <v>7</v>
      </c>
      <c r="C490" s="174">
        <f>sumif(Data!B:B,A490,Data!M:M)</f>
        <v>11.68593113</v>
      </c>
      <c r="D490" s="174">
        <f t="shared" si="1"/>
        <v>1.669418732</v>
      </c>
      <c r="E490" s="175">
        <f t="shared" si="2"/>
        <v>0.1236579116</v>
      </c>
      <c r="F490" s="175">
        <f>IFERROR(__xludf.DUMMYFUNCTION("average.weighted(filter(Data!K:K,Data!B:B=A490),filter(Data!F:F,Data!B:B=A490))"),-1.400950519642075)</f>
        <v>-1.40095052</v>
      </c>
      <c r="G490" s="175">
        <f>IFERROR(__xludf.DUMMYFUNCTION("average.weighted(filter(Data!L:L,Data!B:B=A490),filter(Data!F:F,Data!B:B=A490))"),1.5246084312443289)</f>
        <v>1.524608431</v>
      </c>
    </row>
    <row r="491">
      <c r="A491" s="172" t="s">
        <v>727</v>
      </c>
      <c r="B491" s="173">
        <f>countif(Data!B:B,A491)</f>
        <v>3</v>
      </c>
      <c r="C491" s="174">
        <f>sumif(Data!B:B,A491,Data!M:M)</f>
        <v>9.163340122</v>
      </c>
      <c r="D491" s="174">
        <f t="shared" si="1"/>
        <v>3.054446707</v>
      </c>
      <c r="E491" s="175">
        <f t="shared" si="2"/>
        <v>0.2260082627</v>
      </c>
      <c r="F491" s="175">
        <f>IFERROR(__xludf.DUMMYFUNCTION("average.weighted(filter(Data!K:K,Data!B:B=A491),filter(Data!F:F,Data!B:B=A491))"),-0.3810861016560127)</f>
        <v>-0.3810861017</v>
      </c>
      <c r="G491" s="175">
        <f>IFERROR(__xludf.DUMMYFUNCTION("average.weighted(filter(Data!L:L,Data!B:B=A491),filter(Data!F:F,Data!B:B=A491))"),0.6070943643471994)</f>
        <v>0.6070943643</v>
      </c>
    </row>
    <row r="492">
      <c r="A492" s="172" t="s">
        <v>728</v>
      </c>
      <c r="B492" s="173">
        <f>countif(Data!B:B,A492)</f>
        <v>1</v>
      </c>
      <c r="C492" s="174">
        <f>sumif(Data!B:B,A492,Data!M:M)</f>
        <v>0.1605163008</v>
      </c>
      <c r="D492" s="174">
        <f t="shared" si="1"/>
        <v>0.1605163008</v>
      </c>
      <c r="E492" s="175">
        <f t="shared" si="2"/>
        <v>0.1157255381</v>
      </c>
      <c r="F492" s="175">
        <f>IFERROR(__xludf.DUMMYFUNCTION("average.weighted(filter(Data!K:K,Data!B:B=A492),filter(Data!F:F,Data!B:B=A492))"),0.423596047466837)</f>
        <v>0.4235960475</v>
      </c>
      <c r="G492" s="175">
        <f>IFERROR(__xludf.DUMMYFUNCTION("average.weighted(filter(Data!L:L,Data!B:B=A492),filter(Data!F:F,Data!B:B=A492))"),-0.307870509410594)</f>
        <v>-0.3078705094</v>
      </c>
    </row>
    <row r="493">
      <c r="A493" s="172" t="s">
        <v>729</v>
      </c>
      <c r="B493" s="173">
        <f>countif(Data!B:B,A493)</f>
        <v>8</v>
      </c>
      <c r="C493" s="174">
        <f>sumif(Data!B:B,A493,Data!M:M)</f>
        <v>14.07415533</v>
      </c>
      <c r="D493" s="174">
        <f t="shared" si="1"/>
        <v>1.759269416</v>
      </c>
      <c r="E493" s="175">
        <f t="shared" si="2"/>
        <v>0.09968765817</v>
      </c>
      <c r="F493" s="175">
        <f>IFERROR(__xludf.DUMMYFUNCTION("average.weighted(filter(Data!K:K,Data!B:B=A493),filter(Data!F:F,Data!B:B=A493))"),-1.029150800018485)</f>
        <v>-1.0291508</v>
      </c>
      <c r="G493" s="175">
        <f>IFERROR(__xludf.DUMMYFUNCTION("average.weighted(filter(Data!L:L,Data!B:B=A493),filter(Data!F:F,Data!B:B=A493))"),1.1288384581927862)</f>
        <v>1.128838458</v>
      </c>
    </row>
    <row r="494">
      <c r="A494" s="172" t="s">
        <v>730</v>
      </c>
      <c r="B494" s="173">
        <f>countif(Data!B:B,A494)</f>
        <v>2</v>
      </c>
      <c r="C494" s="174">
        <f>sumif(Data!B:B,A494,Data!M:M)</f>
        <v>0.1435564873</v>
      </c>
      <c r="D494" s="174">
        <f t="shared" si="1"/>
        <v>0.07177824364</v>
      </c>
      <c r="E494" s="175">
        <f t="shared" si="2"/>
        <v>0.1090744284</v>
      </c>
      <c r="F494" s="175">
        <f>IFERROR(__xludf.DUMMYFUNCTION("average.weighted(filter(Data!K:K,Data!B:B=A494),filter(Data!F:F,Data!B:B=A494))"),-0.054869027038189765)</f>
        <v>-0.05486902704</v>
      </c>
      <c r="G494" s="175">
        <f>IFERROR(__xludf.DUMMYFUNCTION("average.weighted(filter(Data!L:L,Data!B:B=A494),filter(Data!F:F,Data!B:B=A494))"),0.16394345547629313)</f>
        <v>0.1639434555</v>
      </c>
    </row>
    <row r="495">
      <c r="A495" s="172" t="s">
        <v>731</v>
      </c>
      <c r="B495" s="173">
        <f>countif(Data!B:B,A495)</f>
        <v>4</v>
      </c>
      <c r="C495" s="174">
        <f>sumif(Data!B:B,A495,Data!M:M)</f>
        <v>2.797114679</v>
      </c>
      <c r="D495" s="174">
        <f t="shared" si="1"/>
        <v>0.6992786698</v>
      </c>
      <c r="E495" s="175">
        <f t="shared" si="2"/>
        <v>0.1087159705</v>
      </c>
      <c r="F495" s="175">
        <f>IFERROR(__xludf.DUMMYFUNCTION("average.weighted(filter(Data!K:K,Data!B:B=A495),filter(Data!F:F,Data!B:B=A495))"),-0.6619851090740204)</f>
        <v>-0.6619851091</v>
      </c>
      <c r="G495" s="175">
        <f>IFERROR(__xludf.DUMMYFUNCTION("average.weighted(filter(Data!L:L,Data!B:B=A495),filter(Data!F:F,Data!B:B=A495))"),0.7707010795253664)</f>
        <v>0.7707010795</v>
      </c>
    </row>
    <row r="496">
      <c r="A496" s="172" t="s">
        <v>732</v>
      </c>
      <c r="B496" s="173">
        <f>countif(Data!B:B,A496)</f>
        <v>1</v>
      </c>
      <c r="C496" s="174">
        <f>sumif(Data!B:B,A496,Data!M:M)</f>
        <v>0.2309999459</v>
      </c>
      <c r="D496" s="174">
        <f t="shared" si="1"/>
        <v>0.2309999459</v>
      </c>
      <c r="E496" s="175">
        <f t="shared" si="2"/>
        <v>0.1073909606</v>
      </c>
      <c r="F496" s="175">
        <f>IFERROR(__xludf.DUMMYFUNCTION("average.weighted(filter(Data!K:K,Data!B:B=A496),filter(Data!F:F,Data!B:B=A496))"),-0.491366481440967)</f>
        <v>-0.4913664814</v>
      </c>
      <c r="G496" s="175">
        <f>IFERROR(__xludf.DUMMYFUNCTION("average.weighted(filter(Data!L:L,Data!B:B=A496),filter(Data!F:F,Data!B:B=A496))"),0.598757442029909)</f>
        <v>0.598757442</v>
      </c>
    </row>
    <row r="497">
      <c r="A497" s="172" t="s">
        <v>733</v>
      </c>
      <c r="B497" s="173">
        <f>countif(Data!B:B,A497)</f>
        <v>2</v>
      </c>
      <c r="C497" s="174">
        <f>sumif(Data!B:B,A497,Data!M:M)</f>
        <v>0.2400659499</v>
      </c>
      <c r="D497" s="174">
        <f t="shared" si="1"/>
        <v>0.1200329749</v>
      </c>
      <c r="E497" s="175">
        <f t="shared" si="2"/>
        <v>0.1050466146</v>
      </c>
      <c r="F497" s="175">
        <f>IFERROR(__xludf.DUMMYFUNCTION("average.weighted(filter(Data!K:K,Data!B:B=A497),filter(Data!F:F,Data!B:B=A497))"),0.15419805203171275)</f>
        <v>0.154198052</v>
      </c>
      <c r="G497" s="175">
        <f>IFERROR(__xludf.DUMMYFUNCTION("average.weighted(filter(Data!L:L,Data!B:B=A497),filter(Data!F:F,Data!B:B=A497))"),-0.04915143743866749)</f>
        <v>-0.04915143744</v>
      </c>
    </row>
    <row r="498">
      <c r="A498" s="172" t="s">
        <v>734</v>
      </c>
      <c r="B498" s="173">
        <f>countif(Data!B:B,A498)</f>
        <v>2</v>
      </c>
      <c r="C498" s="174">
        <f>sumif(Data!B:B,A498,Data!M:M)</f>
        <v>0.05380366785</v>
      </c>
      <c r="D498" s="174">
        <f t="shared" si="1"/>
        <v>0.02690183393</v>
      </c>
      <c r="E498" s="175">
        <f t="shared" si="2"/>
        <v>0.2508481355</v>
      </c>
      <c r="F498" s="175">
        <f>IFERROR(__xludf.DUMMYFUNCTION("average.weighted(filter(Data!K:K,Data!B:B=A498),filter(Data!F:F,Data!B:B=A498))"),-0.23797998241130924)</f>
        <v>-0.2379799824</v>
      </c>
      <c r="G498" s="175">
        <f>IFERROR(__xludf.DUMMYFUNCTION("average.weighted(filter(Data!L:L,Data!B:B=A498),filter(Data!F:F,Data!B:B=A498))"),0.48882811789567354)</f>
        <v>0.4888281179</v>
      </c>
    </row>
    <row r="499">
      <c r="A499" s="172" t="s">
        <v>735</v>
      </c>
      <c r="B499" s="173">
        <f>countif(Data!B:B,A499)</f>
        <v>2</v>
      </c>
      <c r="C499" s="174">
        <f>sumif(Data!B:B,A499,Data!M:M)</f>
        <v>2.292187727</v>
      </c>
      <c r="D499" s="174">
        <f t="shared" si="1"/>
        <v>1.146093863</v>
      </c>
      <c r="E499" s="175">
        <f t="shared" si="2"/>
        <v>0.08889549834</v>
      </c>
      <c r="F499" s="175">
        <f>IFERROR(__xludf.DUMMYFUNCTION("average.weighted(filter(Data!K:K,Data!B:B=A499),filter(Data!F:F,Data!B:B=A499))"),0.49211749965662305)</f>
        <v>0.4921174997</v>
      </c>
      <c r="G499" s="175">
        <f>IFERROR(__xludf.DUMMYFUNCTION("average.weighted(filter(Data!L:L,Data!B:B=A499),filter(Data!F:F,Data!B:B=A499))"),-0.4032220013206258)</f>
        <v>-0.4032220013</v>
      </c>
    </row>
    <row r="500">
      <c r="A500" s="172" t="s">
        <v>736</v>
      </c>
      <c r="B500" s="173">
        <f>countif(Data!B:B,A500)</f>
        <v>3</v>
      </c>
      <c r="C500" s="174">
        <f>sumif(Data!B:B,A500,Data!M:M)</f>
        <v>9.472509587</v>
      </c>
      <c r="D500" s="174">
        <f t="shared" si="1"/>
        <v>3.157503196</v>
      </c>
      <c r="E500" s="175">
        <f t="shared" si="2"/>
        <v>0.2265776649</v>
      </c>
      <c r="F500" s="175">
        <f>IFERROR(__xludf.DUMMYFUNCTION("average.weighted(filter(Data!K:K,Data!B:B=A500),filter(Data!F:F,Data!B:B=A500))"),3.388820932240925)</f>
        <v>3.388820932</v>
      </c>
      <c r="G500" s="175">
        <f>IFERROR(__xludf.DUMMYFUNCTION("average.weighted(filter(Data!L:L,Data!B:B=A500),filter(Data!F:F,Data!B:B=A500))"),-3.162243267318542)</f>
        <v>-3.162243267</v>
      </c>
    </row>
    <row r="501">
      <c r="A501" s="172" t="s">
        <v>737</v>
      </c>
      <c r="B501" s="173">
        <f>countif(Data!B:B,A501)</f>
        <v>1</v>
      </c>
      <c r="C501" s="174">
        <f>sumif(Data!B:B,A501,Data!M:M)</f>
        <v>0.01114489772</v>
      </c>
      <c r="D501" s="174">
        <f t="shared" si="1"/>
        <v>0.01114489772</v>
      </c>
      <c r="E501" s="175">
        <f t="shared" si="2"/>
        <v>0.08614787048</v>
      </c>
      <c r="F501" s="175">
        <f>IFERROR(__xludf.DUMMYFUNCTION("average.weighted(filter(Data!K:K,Data!B:B=A501),filter(Data!F:F,Data!B:B=A501))"),0.167945743869071)</f>
        <v>0.1679457439</v>
      </c>
      <c r="G501" s="175">
        <f>IFERROR(__xludf.DUMMYFUNCTION("average.weighted(filter(Data!L:L,Data!B:B=A501),filter(Data!F:F,Data!B:B=A501))"),-0.0817978733930022)</f>
        <v>-0.08179787339</v>
      </c>
    </row>
    <row r="502">
      <c r="A502" s="172" t="s">
        <v>738</v>
      </c>
      <c r="B502" s="173">
        <f>countif(Data!B:B,A502)</f>
        <v>1</v>
      </c>
      <c r="C502" s="174">
        <f>sumif(Data!B:B,A502,Data!M:M)</f>
        <v>0.004290085838</v>
      </c>
      <c r="D502" s="174">
        <f t="shared" si="1"/>
        <v>0.004290085838</v>
      </c>
      <c r="E502" s="175">
        <f t="shared" si="2"/>
        <v>0.08325727425</v>
      </c>
      <c r="F502" s="175">
        <f>IFERROR(__xludf.DUMMYFUNCTION("average.weighted(filter(Data!K:K,Data!B:B=A502),filter(Data!F:F,Data!B:B=A502))"),0.125861089176662)</f>
        <v>0.1258610892</v>
      </c>
      <c r="G502" s="175">
        <f>IFERROR(__xludf.DUMMYFUNCTION("average.weighted(filter(Data!L:L,Data!B:B=A502),filter(Data!F:F,Data!B:B=A502))"),-0.0426038149257715)</f>
        <v>-0.04260381493</v>
      </c>
    </row>
    <row r="503">
      <c r="A503" s="172" t="s">
        <v>739</v>
      </c>
      <c r="B503" s="173">
        <f>countif(Data!B:B,A503)</f>
        <v>1</v>
      </c>
      <c r="C503" s="174">
        <f>sumif(Data!B:B,A503,Data!M:M)</f>
        <v>0.1998740924</v>
      </c>
      <c r="D503" s="174">
        <f t="shared" si="1"/>
        <v>0.1998740924</v>
      </c>
      <c r="E503" s="175">
        <f t="shared" si="2"/>
        <v>0.07545558808</v>
      </c>
      <c r="F503" s="175">
        <f>IFERROR(__xludf.DUMMYFUNCTION("average.weighted(filter(Data!K:K,Data!B:B=A503),filter(Data!F:F,Data!B:B=A503))"),-0.0250918979529832)</f>
        <v>-0.02509189795</v>
      </c>
      <c r="G503" s="175">
        <f>IFERROR(__xludf.DUMMYFUNCTION("average.weighted(filter(Data!L:L,Data!B:B=A503),filter(Data!F:F,Data!B:B=A503))"),0.10054748603419)</f>
        <v>0.100547486</v>
      </c>
    </row>
    <row r="504">
      <c r="A504" s="172" t="s">
        <v>740</v>
      </c>
      <c r="B504" s="173">
        <f>countif(Data!B:B,A504)</f>
        <v>5</v>
      </c>
      <c r="C504" s="174">
        <f>sumif(Data!B:B,A504,Data!M:M)</f>
        <v>10.5821592</v>
      </c>
      <c r="D504" s="174">
        <f t="shared" si="1"/>
        <v>2.116431841</v>
      </c>
      <c r="E504" s="175">
        <f t="shared" si="2"/>
        <v>0.07290288506</v>
      </c>
      <c r="F504" s="175">
        <f>IFERROR(__xludf.DUMMYFUNCTION("average.weighted(filter(Data!K:K,Data!B:B=A504),filter(Data!F:F,Data!B:B=A504))"),-0.8641095543388518)</f>
        <v>-0.8641095543</v>
      </c>
      <c r="G504" s="175">
        <f>IFERROR(__xludf.DUMMYFUNCTION("average.weighted(filter(Data!L:L,Data!B:B=A504),filter(Data!F:F,Data!B:B=A504))"),0.937012439399559)</f>
        <v>0.9370124394</v>
      </c>
    </row>
    <row r="505">
      <c r="A505" s="172" t="s">
        <v>741</v>
      </c>
      <c r="B505" s="173">
        <f>countif(Data!B:B,A505)</f>
        <v>2</v>
      </c>
      <c r="C505" s="174">
        <f>sumif(Data!B:B,A505,Data!M:M)</f>
        <v>0.06732273406</v>
      </c>
      <c r="D505" s="174">
        <f t="shared" si="1"/>
        <v>0.03366136703</v>
      </c>
      <c r="E505" s="175">
        <f t="shared" si="2"/>
        <v>0.06745330863</v>
      </c>
      <c r="F505" s="175">
        <f>IFERROR(__xludf.DUMMYFUNCTION("average.weighted(filter(Data!K:K,Data!B:B=A505),filter(Data!F:F,Data!B:B=A505))"),0.1694657971309331)</f>
        <v>0.1694657971</v>
      </c>
      <c r="G505" s="175">
        <f>IFERROR(__xludf.DUMMYFUNCTION("average.weighted(filter(Data!L:L,Data!B:B=A505),filter(Data!F:F,Data!B:B=A505))"),-0.10201248849908706)</f>
        <v>-0.1020124885</v>
      </c>
    </row>
    <row r="506">
      <c r="A506" s="172" t="s">
        <v>742</v>
      </c>
      <c r="B506" s="173">
        <f>countif(Data!B:B,A506)</f>
        <v>2</v>
      </c>
      <c r="C506" s="174">
        <f>sumif(Data!B:B,A506,Data!M:M)</f>
        <v>0.2755249312</v>
      </c>
      <c r="D506" s="174">
        <f t="shared" si="1"/>
        <v>0.1377624656</v>
      </c>
      <c r="E506" s="175">
        <f t="shared" si="2"/>
        <v>0.05638402333</v>
      </c>
      <c r="F506" s="175">
        <f>IFERROR(__xludf.DUMMYFUNCTION("average.weighted(filter(Data!K:K,Data!B:B=A506),filter(Data!F:F,Data!B:B=A506))"),-0.03844779131371112)</f>
        <v>-0.03844779131</v>
      </c>
      <c r="G506" s="175">
        <f>IFERROR(__xludf.DUMMYFUNCTION("average.weighted(filter(Data!L:L,Data!B:B=A506),filter(Data!F:F,Data!B:B=A506))"),0.09483181464191524)</f>
        <v>0.09483181464</v>
      </c>
    </row>
    <row r="507">
      <c r="A507" s="172" t="s">
        <v>743</v>
      </c>
      <c r="B507" s="173">
        <f>countif(Data!B:B,A507)</f>
        <v>1</v>
      </c>
      <c r="C507" s="174">
        <f>sumif(Data!B:B,A507,Data!M:M)</f>
        <v>0.01405739675</v>
      </c>
      <c r="D507" s="174">
        <f t="shared" si="1"/>
        <v>0.01405739675</v>
      </c>
      <c r="E507" s="175">
        <f t="shared" si="2"/>
        <v>0.05433783788</v>
      </c>
      <c r="F507" s="175">
        <f>IFERROR(__xludf.DUMMYFUNCTION("average.weighted(filter(Data!K:K,Data!B:B=A507),filter(Data!F:F,Data!B:B=A507))"),-0.00368736435102095)</f>
        <v>-0.003687364351</v>
      </c>
      <c r="G507" s="175">
        <f>IFERROR(__xludf.DUMMYFUNCTION("average.weighted(filter(Data!L:L,Data!B:B=A507),filter(Data!F:F,Data!B:B=A507))"),0.0580252022337693)</f>
        <v>0.05802520223</v>
      </c>
    </row>
    <row r="508">
      <c r="A508" s="172" t="s">
        <v>744</v>
      </c>
      <c r="B508" s="173">
        <f>countif(Data!B:B,A508)</f>
        <v>8</v>
      </c>
      <c r="C508" s="174">
        <f>sumif(Data!B:B,A508,Data!M:M)</f>
        <v>16.23899779</v>
      </c>
      <c r="D508" s="174">
        <f t="shared" si="1"/>
        <v>2.029874724</v>
      </c>
      <c r="E508" s="175">
        <f t="shared" si="2"/>
        <v>0.0183600784</v>
      </c>
      <c r="F508" s="175">
        <f>IFERROR(__xludf.DUMMYFUNCTION("average.weighted(filter(Data!K:K,Data!B:B=A508),filter(Data!F:F,Data!B:B=A508))"),0.12067657395201112)</f>
        <v>0.120676574</v>
      </c>
      <c r="G508" s="175">
        <f>IFERROR(__xludf.DUMMYFUNCTION("average.weighted(filter(Data!L:L,Data!B:B=A508),filter(Data!F:F,Data!B:B=A508))"),-0.10231649554745337)</f>
        <v>-0.1023164955</v>
      </c>
    </row>
    <row r="509">
      <c r="A509" s="172" t="s">
        <v>745</v>
      </c>
      <c r="B509" s="173">
        <f>countif(Data!B:B,A509)</f>
        <v>1</v>
      </c>
      <c r="C509" s="174">
        <f>sumif(Data!B:B,A509,Data!M:M)</f>
        <v>0.01850842977</v>
      </c>
      <c r="D509" s="174">
        <f t="shared" si="1"/>
        <v>0.01850842977</v>
      </c>
      <c r="E509" s="175">
        <f t="shared" si="2"/>
        <v>0.04640799603</v>
      </c>
      <c r="F509" s="175">
        <f>IFERROR(__xludf.DUMMYFUNCTION("average.weighted(filter(Data!K:K,Data!B:B=A509),filter(Data!F:F,Data!B:B=A509))"),-0.241192917945046)</f>
        <v>-0.2411929179</v>
      </c>
      <c r="G509" s="175">
        <f>IFERROR(__xludf.DUMMYFUNCTION("average.weighted(filter(Data!L:L,Data!B:B=A509),filter(Data!F:F,Data!B:B=A509))"),0.287600913970906)</f>
        <v>0.287600914</v>
      </c>
    </row>
    <row r="510">
      <c r="A510" s="172" t="s">
        <v>746</v>
      </c>
      <c r="B510" s="173">
        <f>countif(Data!B:B,A510)</f>
        <v>5</v>
      </c>
      <c r="C510" s="174">
        <f>sumif(Data!B:B,A510,Data!M:M)</f>
        <v>5.161354802</v>
      </c>
      <c r="D510" s="174">
        <f t="shared" si="1"/>
        <v>1.03227096</v>
      </c>
      <c r="E510" s="175">
        <f t="shared" si="2"/>
        <v>-0.2586368398</v>
      </c>
      <c r="F510" s="175">
        <f>IFERROR(__xludf.DUMMYFUNCTION("average.weighted(filter(Data!K:K,Data!B:B=A510),filter(Data!F:F,Data!B:B=A510))"),-0.2671234325382163)</f>
        <v>-0.2671234325</v>
      </c>
      <c r="G510" s="175">
        <f>IFERROR(__xludf.DUMMYFUNCTION("average.weighted(filter(Data!L:L,Data!B:B=A510),filter(Data!F:F,Data!B:B=A510))"),0.00848659277728509)</f>
        <v>0.008486592777</v>
      </c>
    </row>
    <row r="511">
      <c r="A511" s="172" t="s">
        <v>747</v>
      </c>
      <c r="B511" s="173">
        <f>countif(Data!B:B,A511)</f>
        <v>5</v>
      </c>
      <c r="C511" s="174">
        <f>sumif(Data!B:B,A511,Data!M:M)</f>
        <v>12.83898345</v>
      </c>
      <c r="D511" s="174">
        <f t="shared" si="1"/>
        <v>2.567796689</v>
      </c>
      <c r="E511" s="175">
        <f t="shared" si="2"/>
        <v>0.0111027289</v>
      </c>
      <c r="F511" s="175">
        <f>IFERROR(__xludf.DUMMYFUNCTION("average.weighted(filter(Data!K:K,Data!B:B=A511),filter(Data!F:F,Data!B:B=A511))"),-0.22722855571404219)</f>
        <v>-0.2272285557</v>
      </c>
      <c r="G511" s="175">
        <f>IFERROR(__xludf.DUMMYFUNCTION("average.weighted(filter(Data!L:L,Data!B:B=A511),filter(Data!F:F,Data!B:B=A511))"),0.2383312846158716)</f>
        <v>0.2383312846</v>
      </c>
    </row>
    <row r="512">
      <c r="A512" s="172" t="s">
        <v>748</v>
      </c>
      <c r="B512" s="173">
        <f>countif(Data!B:B,A512)</f>
        <v>7</v>
      </c>
      <c r="C512" s="174">
        <f>sumif(Data!B:B,A512,Data!M:M)</f>
        <v>16.86458681</v>
      </c>
      <c r="D512" s="174">
        <f t="shared" si="1"/>
        <v>2.409226687</v>
      </c>
      <c r="E512" s="175">
        <f t="shared" si="2"/>
        <v>0.03578906364</v>
      </c>
      <c r="F512" s="175">
        <f>IFERROR(__xludf.DUMMYFUNCTION("average.weighted(filter(Data!K:K,Data!B:B=A512),filter(Data!F:F,Data!B:B=A512))"),-0.06278840951309461)</f>
        <v>-0.06278840951</v>
      </c>
      <c r="G512" s="175">
        <f>IFERROR(__xludf.DUMMYFUNCTION("average.weighted(filter(Data!L:L,Data!B:B=A512),filter(Data!F:F,Data!B:B=A512))"),0.0985774731543177)</f>
        <v>0.09857747315</v>
      </c>
    </row>
    <row r="513">
      <c r="A513" s="172" t="s">
        <v>749</v>
      </c>
      <c r="B513" s="173">
        <f>countif(Data!B:B,A513)</f>
        <v>3</v>
      </c>
      <c r="C513" s="174">
        <f>sumif(Data!B:B,A513,Data!M:M)</f>
        <v>5.712269282</v>
      </c>
      <c r="D513" s="174">
        <f t="shared" si="1"/>
        <v>1.904089761</v>
      </c>
      <c r="E513" s="175">
        <f t="shared" si="2"/>
        <v>-0.001982460523</v>
      </c>
      <c r="F513" s="175">
        <f>IFERROR(__xludf.DUMMYFUNCTION("average.weighted(filter(Data!K:K,Data!B:B=A513),filter(Data!F:F,Data!B:B=A513))"),1.5808008612587832)</f>
        <v>1.580800861</v>
      </c>
      <c r="G513" s="175">
        <f>IFERROR(__xludf.DUMMYFUNCTION("average.weighted(filter(Data!L:L,Data!B:B=A513),filter(Data!F:F,Data!B:B=A513))"),-1.5827833217814018)</f>
        <v>-1.582783322</v>
      </c>
    </row>
    <row r="514">
      <c r="A514" s="172" t="s">
        <v>750</v>
      </c>
      <c r="B514" s="173">
        <f>countif(Data!B:B,A514)</f>
        <v>4</v>
      </c>
      <c r="C514" s="174">
        <f>sumif(Data!B:B,A514,Data!M:M)</f>
        <v>4.202210661</v>
      </c>
      <c r="D514" s="174">
        <f t="shared" si="1"/>
        <v>1.050552665</v>
      </c>
      <c r="E514" s="175">
        <f t="shared" si="2"/>
        <v>-0.0009863176972</v>
      </c>
      <c r="F514" s="175">
        <f>IFERROR(__xludf.DUMMYFUNCTION("average.weighted(filter(Data!K:K,Data!B:B=A514),filter(Data!F:F,Data!B:B=A514))"),-0.8882194947291351)</f>
        <v>-0.8882194947</v>
      </c>
      <c r="G514" s="175">
        <f>IFERROR(__xludf.DUMMYFUNCTION("average.weighted(filter(Data!L:L,Data!B:B=A514),filter(Data!F:F,Data!B:B=A514))"),0.887233177031957)</f>
        <v>0.887233177</v>
      </c>
    </row>
    <row r="515">
      <c r="A515" s="172" t="s">
        <v>751</v>
      </c>
      <c r="B515" s="173">
        <f>countif(Data!B:B,A515)</f>
        <v>2</v>
      </c>
      <c r="C515" s="174">
        <f>sumif(Data!B:B,A515,Data!M:M)</f>
        <v>0.09406754627</v>
      </c>
      <c r="D515" s="174">
        <f t="shared" si="1"/>
        <v>0.04703377313</v>
      </c>
      <c r="E515" s="175">
        <f t="shared" si="2"/>
        <v>-0.1120551353</v>
      </c>
      <c r="F515" s="175">
        <f>IFERROR(__xludf.DUMMYFUNCTION("average.weighted(filter(Data!K:K,Data!B:B=A515),filter(Data!F:F,Data!B:B=A515))"),-0.15889822294759354)</f>
        <v>-0.1588982229</v>
      </c>
      <c r="G515" s="175">
        <f>IFERROR(__xludf.DUMMYFUNCTION("average.weighted(filter(Data!L:L,Data!B:B=A515),filter(Data!F:F,Data!B:B=A515))"),0.04684308762321566)</f>
        <v>0.04684308762</v>
      </c>
    </row>
    <row r="516">
      <c r="A516" s="172" t="s">
        <v>752</v>
      </c>
      <c r="B516" s="173">
        <f>countif(Data!B:B,A516)</f>
        <v>1</v>
      </c>
      <c r="C516" s="174">
        <f>sumif(Data!B:B,A516,Data!M:M)</f>
        <v>0.01156257453</v>
      </c>
      <c r="D516" s="174">
        <f t="shared" si="1"/>
        <v>0.01156257453</v>
      </c>
      <c r="E516" s="175">
        <f t="shared" si="2"/>
        <v>0.02883020098</v>
      </c>
      <c r="F516" s="175">
        <f>IFERROR(__xludf.DUMMYFUNCTION("average.weighted(filter(Data!K:K,Data!B:B=A516),filter(Data!F:F,Data!B:B=A516))"),0.0569466085816578)</f>
        <v>0.05694660858</v>
      </c>
      <c r="G516" s="175">
        <f>IFERROR(__xludf.DUMMYFUNCTION("average.weighted(filter(Data!L:L,Data!B:B=A516),filter(Data!F:F,Data!B:B=A516))"),-0.0281164076001497)</f>
        <v>-0.0281164076</v>
      </c>
    </row>
    <row r="517">
      <c r="A517" s="172" t="s">
        <v>753</v>
      </c>
      <c r="B517" s="173">
        <f>countif(Data!B:B,A517)</f>
        <v>7</v>
      </c>
      <c r="C517" s="174">
        <f>sumif(Data!B:B,A517,Data!M:M)</f>
        <v>13.07247177</v>
      </c>
      <c r="D517" s="174">
        <f t="shared" si="1"/>
        <v>1.867495968</v>
      </c>
      <c r="E517" s="175">
        <f t="shared" si="2"/>
        <v>0.0008672860775</v>
      </c>
      <c r="F517" s="175">
        <f>IFERROR(__xludf.DUMMYFUNCTION("average.weighted(filter(Data!K:K,Data!B:B=A517),filter(Data!F:F,Data!B:B=A517))"),-2.4997523039449434)</f>
        <v>-2.499752304</v>
      </c>
      <c r="G517" s="175">
        <f>IFERROR(__xludf.DUMMYFUNCTION("average.weighted(filter(Data!L:L,Data!B:B=A517),filter(Data!F:F,Data!B:B=A517))"),2.500619590022432)</f>
        <v>2.50061959</v>
      </c>
    </row>
    <row r="518">
      <c r="A518" s="172" t="s">
        <v>754</v>
      </c>
      <c r="B518" s="173">
        <f>countif(Data!B:B,A518)</f>
        <v>8</v>
      </c>
      <c r="C518" s="174">
        <f>sumif(Data!B:B,A518,Data!M:M)</f>
        <v>25.07630913</v>
      </c>
      <c r="D518" s="174">
        <f t="shared" si="1"/>
        <v>3.134538642</v>
      </c>
      <c r="E518" s="175">
        <f t="shared" si="2"/>
        <v>-0.005517012187</v>
      </c>
      <c r="F518" s="175">
        <f>IFERROR(__xludf.DUMMYFUNCTION("average.weighted(filter(Data!K:K,Data!B:B=A518),filter(Data!F:F,Data!B:B=A518))"),0.14422120186536616)</f>
        <v>0.1442212019</v>
      </c>
      <c r="G518" s="175">
        <f>IFERROR(__xludf.DUMMYFUNCTION("average.weighted(filter(Data!L:L,Data!B:B=A518),filter(Data!F:F,Data!B:B=A518))"),-0.14973821405197618)</f>
        <v>-0.1497382141</v>
      </c>
    </row>
    <row r="519">
      <c r="A519" s="172" t="s">
        <v>755</v>
      </c>
      <c r="B519" s="173">
        <f>countif(Data!B:B,A519)</f>
        <v>6</v>
      </c>
      <c r="C519" s="174">
        <f>sumif(Data!B:B,A519,Data!M:M)</f>
        <v>15.50427655</v>
      </c>
      <c r="D519" s="174">
        <f t="shared" si="1"/>
        <v>2.584046092</v>
      </c>
      <c r="E519" s="175">
        <f t="shared" si="2"/>
        <v>-0.04205814025</v>
      </c>
      <c r="F519" s="175">
        <f>IFERROR(__xludf.DUMMYFUNCTION("average.weighted(filter(Data!K:K,Data!B:B=A519),filter(Data!F:F,Data!B:B=A519))"),-0.4801223225180648)</f>
        <v>-0.4801223225</v>
      </c>
      <c r="G519" s="175">
        <f>IFERROR(__xludf.DUMMYFUNCTION("average.weighted(filter(Data!L:L,Data!B:B=A519),filter(Data!F:F,Data!B:B=A519))"),0.4380641822714272)</f>
        <v>0.4380641823</v>
      </c>
    </row>
    <row r="520">
      <c r="A520" s="172" t="s">
        <v>756</v>
      </c>
      <c r="B520" s="173">
        <f>countif(Data!B:B,A520)</f>
        <v>3</v>
      </c>
      <c r="C520" s="174">
        <f>sumif(Data!B:B,A520,Data!M:M)</f>
        <v>5.072762769</v>
      </c>
      <c r="D520" s="174">
        <f t="shared" si="1"/>
        <v>1.690920923</v>
      </c>
      <c r="E520" s="175">
        <f t="shared" si="2"/>
        <v>-0.009409599851</v>
      </c>
      <c r="F520" s="175">
        <f>IFERROR(__xludf.DUMMYFUNCTION("average.weighted(filter(Data!K:K,Data!B:B=A520),filter(Data!F:F,Data!B:B=A520))"),-0.23056210264285096)</f>
        <v>-0.2305621026</v>
      </c>
      <c r="G520" s="175">
        <f>IFERROR(__xludf.DUMMYFUNCTION("average.weighted(filter(Data!L:L,Data!B:B=A520),filter(Data!F:F,Data!B:B=A520))"),0.22115250279136192)</f>
        <v>0.2211525028</v>
      </c>
    </row>
    <row r="521">
      <c r="A521" s="172" t="s">
        <v>757</v>
      </c>
      <c r="B521" s="173">
        <f>countif(Data!B:B,A521)</f>
        <v>7</v>
      </c>
      <c r="C521" s="174">
        <f>sumif(Data!B:B,A521,Data!M:M)</f>
        <v>11.07471286</v>
      </c>
      <c r="D521" s="174">
        <f t="shared" si="1"/>
        <v>1.582101837</v>
      </c>
      <c r="E521" s="175">
        <f t="shared" si="2"/>
        <v>-0.009838667081</v>
      </c>
      <c r="F521" s="175">
        <f>IFERROR(__xludf.DUMMYFUNCTION("average.weighted(filter(Data!K:K,Data!B:B=A521),filter(Data!F:F,Data!B:B=A521))"),-1.9990437418274125)</f>
        <v>-1.999043742</v>
      </c>
      <c r="G521" s="175">
        <f>IFERROR(__xludf.DUMMYFUNCTION("average.weighted(filter(Data!L:L,Data!B:B=A521),filter(Data!F:F,Data!B:B=A521))"),1.9892050747463768)</f>
        <v>1.989205075</v>
      </c>
    </row>
    <row r="522">
      <c r="A522" s="172" t="s">
        <v>758</v>
      </c>
      <c r="B522" s="173">
        <f>countif(Data!B:B,A522)</f>
        <v>2</v>
      </c>
      <c r="C522" s="174">
        <f>sumif(Data!B:B,A522,Data!M:M)</f>
        <v>4.078424056</v>
      </c>
      <c r="D522" s="174">
        <f t="shared" si="1"/>
        <v>2.039212028</v>
      </c>
      <c r="E522" s="175">
        <f t="shared" si="2"/>
        <v>0.02467042239</v>
      </c>
      <c r="F522" s="175">
        <f>IFERROR(__xludf.DUMMYFUNCTION("average.weighted(filter(Data!K:K,Data!B:B=A522),filter(Data!F:F,Data!B:B=A522))"),0.8587794896467057)</f>
        <v>0.8587794896</v>
      </c>
      <c r="G522" s="175">
        <f>IFERROR(__xludf.DUMMYFUNCTION("average.weighted(filter(Data!L:L,Data!B:B=A522),filter(Data!F:F,Data!B:B=A522))"),-0.8341090672545929)</f>
        <v>-0.8341090673</v>
      </c>
    </row>
    <row r="523">
      <c r="A523" s="172" t="s">
        <v>759</v>
      </c>
      <c r="B523" s="173">
        <f>countif(Data!B:B,A523)</f>
        <v>8</v>
      </c>
      <c r="C523" s="174">
        <f>sumif(Data!B:B,A523,Data!M:M)</f>
        <v>25.08157262</v>
      </c>
      <c r="D523" s="174">
        <f t="shared" si="1"/>
        <v>3.135196577</v>
      </c>
      <c r="E523" s="175">
        <f t="shared" si="2"/>
        <v>-0.02287202</v>
      </c>
      <c r="F523" s="175">
        <f>IFERROR(__xludf.DUMMYFUNCTION("average.weighted(filter(Data!K:K,Data!B:B=A523),filter(Data!F:F,Data!B:B=A523))"),0.35752810838647286)</f>
        <v>0.3575281084</v>
      </c>
      <c r="G523" s="175">
        <f>IFERROR(__xludf.DUMMYFUNCTION("average.weighted(filter(Data!L:L,Data!B:B=A523),filter(Data!F:F,Data!B:B=A523))"),-0.38040012838865694)</f>
        <v>-0.3804001284</v>
      </c>
    </row>
    <row r="524">
      <c r="A524" s="172" t="s">
        <v>760</v>
      </c>
      <c r="B524" s="173">
        <f>countif(Data!B:B,A524)</f>
        <v>2</v>
      </c>
      <c r="C524" s="174">
        <f>sumif(Data!B:B,A524,Data!M:M)</f>
        <v>4.804784762</v>
      </c>
      <c r="D524" s="174">
        <f t="shared" si="1"/>
        <v>2.402392381</v>
      </c>
      <c r="E524" s="175">
        <f t="shared" si="2"/>
        <v>-0.01467471458</v>
      </c>
      <c r="F524" s="175">
        <f>IFERROR(__xludf.DUMMYFUNCTION("average.weighted(filter(Data!K:K,Data!B:B=A524),filter(Data!F:F,Data!B:B=A524))"),-1.082708788268423)</f>
        <v>-1.082708788</v>
      </c>
      <c r="G524" s="175">
        <f>IFERROR(__xludf.DUMMYFUNCTION("average.weighted(filter(Data!L:L,Data!B:B=A524),filter(Data!F:F,Data!B:B=A524))"),1.0680340736912681)</f>
        <v>1.068034074</v>
      </c>
    </row>
    <row r="525">
      <c r="A525" s="172" t="s">
        <v>761</v>
      </c>
      <c r="B525" s="173">
        <f>countif(Data!B:B,A525)</f>
        <v>1</v>
      </c>
      <c r="C525" s="174">
        <f>sumif(Data!B:B,A525,Data!M:M)</f>
        <v>0.0683061602</v>
      </c>
      <c r="D525" s="174">
        <f t="shared" si="1"/>
        <v>0.0683061602</v>
      </c>
      <c r="E525" s="175">
        <f t="shared" si="2"/>
        <v>-0.3090685459</v>
      </c>
      <c r="F525" s="175">
        <f>IFERROR(__xludf.DUMMYFUNCTION("average.weighted(filter(Data!K:K,Data!B:B=A525),filter(Data!F:F,Data!B:B=A525))"),-0.4130482625633)</f>
        <v>-0.4130482626</v>
      </c>
      <c r="G525" s="175">
        <f>IFERROR(__xludf.DUMMYFUNCTION("average.weighted(filter(Data!L:L,Data!B:B=A525),filter(Data!F:F,Data!B:B=A525))"),0.103979716658452)</f>
        <v>0.1039797167</v>
      </c>
    </row>
    <row r="526">
      <c r="A526" s="172" t="s">
        <v>762</v>
      </c>
      <c r="B526" s="173">
        <f>countif(Data!B:B,A526)</f>
        <v>8</v>
      </c>
      <c r="C526" s="174">
        <f>sumif(Data!B:B,A526,Data!M:M)</f>
        <v>20.63122763</v>
      </c>
      <c r="D526" s="174">
        <f t="shared" si="1"/>
        <v>2.578903454</v>
      </c>
      <c r="E526" s="175">
        <f t="shared" si="2"/>
        <v>-0.02620957899</v>
      </c>
      <c r="F526" s="175">
        <f>IFERROR(__xludf.DUMMYFUNCTION("average.weighted(filter(Data!K:K,Data!B:B=A526),filter(Data!F:F,Data!B:B=A526))"),-0.600837858375776)</f>
        <v>-0.6008378584</v>
      </c>
      <c r="G526" s="175">
        <f>IFERROR(__xludf.DUMMYFUNCTION("average.weighted(filter(Data!L:L,Data!B:B=A526),filter(Data!F:F,Data!B:B=A526))"),0.5746282793905148)</f>
        <v>0.5746282794</v>
      </c>
    </row>
    <row r="527">
      <c r="A527" s="172" t="s">
        <v>763</v>
      </c>
      <c r="B527" s="173">
        <f>countif(Data!B:B,A527)</f>
        <v>1</v>
      </c>
      <c r="C527" s="174">
        <f>sumif(Data!B:B,A527,Data!M:M)</f>
        <v>0.03018115954</v>
      </c>
      <c r="D527" s="174">
        <f t="shared" si="1"/>
        <v>0.03018115954</v>
      </c>
      <c r="E527" s="175">
        <f t="shared" si="2"/>
        <v>-0.0257578731</v>
      </c>
      <c r="F527" s="175">
        <f>IFERROR(__xludf.DUMMYFUNCTION("average.weighted(filter(Data!K:K,Data!B:B=A527),filter(Data!F:F,Data!B:B=A527))"),-0.281623289075176)</f>
        <v>-0.2816232891</v>
      </c>
      <c r="G527" s="175">
        <f>IFERROR(__xludf.DUMMYFUNCTION("average.weighted(filter(Data!L:L,Data!B:B=A527),filter(Data!F:F,Data!B:B=A527))"),0.255865415978433)</f>
        <v>0.255865416</v>
      </c>
    </row>
    <row r="528">
      <c r="A528" s="172" t="s">
        <v>764</v>
      </c>
      <c r="B528" s="173">
        <f>countif(Data!B:B,A528)</f>
        <v>3</v>
      </c>
      <c r="C528" s="174">
        <f>sumif(Data!B:B,A528,Data!M:M)</f>
        <v>2.785301894</v>
      </c>
      <c r="D528" s="174">
        <f t="shared" si="1"/>
        <v>0.9284339646</v>
      </c>
      <c r="E528" s="175">
        <f t="shared" si="2"/>
        <v>0.05138505494</v>
      </c>
      <c r="F528" s="175">
        <f>IFERROR(__xludf.DUMMYFUNCTION("average.weighted(filter(Data!K:K,Data!B:B=A528),filter(Data!F:F,Data!B:B=A528))"),-1.83887247217417)</f>
        <v>-1.838872472</v>
      </c>
      <c r="G528" s="175">
        <f>IFERROR(__xludf.DUMMYFUNCTION("average.weighted(filter(Data!L:L,Data!B:B=A528),filter(Data!F:F,Data!B:B=A528))"),1.8902575271121274)</f>
        <v>1.890257527</v>
      </c>
    </row>
    <row r="529">
      <c r="A529" s="172" t="s">
        <v>765</v>
      </c>
      <c r="B529" s="173">
        <f>countif(Data!B:B,A529)</f>
        <v>8</v>
      </c>
      <c r="C529" s="174">
        <f>sumif(Data!B:B,A529,Data!M:M)</f>
        <v>17.81185054</v>
      </c>
      <c r="D529" s="174">
        <f t="shared" si="1"/>
        <v>2.226481317</v>
      </c>
      <c r="E529" s="175">
        <f t="shared" si="2"/>
        <v>-0.02973637875</v>
      </c>
      <c r="F529" s="175">
        <f>IFERROR(__xludf.DUMMYFUNCTION("average.weighted(filter(Data!K:K,Data!B:B=A529),filter(Data!F:F,Data!B:B=A529))"),-1.2296320657760218)</f>
        <v>-1.229632066</v>
      </c>
      <c r="G529" s="175">
        <f>IFERROR(__xludf.DUMMYFUNCTION("average.weighted(filter(Data!L:L,Data!B:B=A529),filter(Data!F:F,Data!B:B=A529))"),1.1998956870212487)</f>
        <v>1.199895687</v>
      </c>
    </row>
    <row r="530">
      <c r="A530" s="172" t="s">
        <v>766</v>
      </c>
      <c r="B530" s="173">
        <f>countif(Data!B:B,A530)</f>
        <v>2</v>
      </c>
      <c r="C530" s="174">
        <f>sumif(Data!B:B,A530,Data!M:M)</f>
        <v>0.38439476</v>
      </c>
      <c r="D530" s="174">
        <f t="shared" si="1"/>
        <v>0.19219738</v>
      </c>
      <c r="E530" s="175">
        <f t="shared" si="2"/>
        <v>-0.04253235336</v>
      </c>
      <c r="F530" s="175">
        <f>IFERROR(__xludf.DUMMYFUNCTION("average.weighted(filter(Data!K:K,Data!B:B=A530),filter(Data!F:F,Data!B:B=A530))"),-0.06967606127834924)</f>
        <v>-0.06967606128</v>
      </c>
      <c r="G530" s="175">
        <f>IFERROR(__xludf.DUMMYFUNCTION("average.weighted(filter(Data!L:L,Data!B:B=A530),filter(Data!F:F,Data!B:B=A530))"),0.027143707918122907)</f>
        <v>0.02714370792</v>
      </c>
    </row>
    <row r="531">
      <c r="A531" s="172" t="s">
        <v>767</v>
      </c>
      <c r="B531" s="173">
        <f>countif(Data!B:B,A531)</f>
        <v>7</v>
      </c>
      <c r="C531" s="174">
        <f>sumif(Data!B:B,A531,Data!M:M)</f>
        <v>1.964061213</v>
      </c>
      <c r="D531" s="174">
        <f t="shared" si="1"/>
        <v>0.2805801733</v>
      </c>
      <c r="E531" s="175">
        <f t="shared" si="2"/>
        <v>-0.03383003311</v>
      </c>
      <c r="F531" s="175">
        <f>IFERROR(__xludf.DUMMYFUNCTION("average.weighted(filter(Data!K:K,Data!B:B=A531),filter(Data!F:F,Data!B:B=A531))"),-0.6288035902920462)</f>
        <v>-0.6288035903</v>
      </c>
      <c r="G531" s="175">
        <f>IFERROR(__xludf.DUMMYFUNCTION("average.weighted(filter(Data!L:L,Data!B:B=A531),filter(Data!F:F,Data!B:B=A531))"),0.5949735571793316)</f>
        <v>0.5949735572</v>
      </c>
    </row>
    <row r="532">
      <c r="A532" s="172" t="s">
        <v>768</v>
      </c>
      <c r="B532" s="173">
        <f>countif(Data!B:B,A532)</f>
        <v>1</v>
      </c>
      <c r="C532" s="174">
        <f>sumif(Data!B:B,A532,Data!M:M)</f>
        <v>0.04234057258</v>
      </c>
      <c r="D532" s="174">
        <f t="shared" si="1"/>
        <v>0.04234057258</v>
      </c>
      <c r="E532" s="175">
        <f t="shared" si="2"/>
        <v>-0.04509562044</v>
      </c>
      <c r="F532" s="175">
        <f>IFERROR(__xludf.DUMMYFUNCTION("average.weighted(filter(Data!K:K,Data!B:B=A532),filter(Data!F:F,Data!B:B=A532))"),-0.0613398205072282)</f>
        <v>-0.06133982051</v>
      </c>
      <c r="G532" s="175">
        <f>IFERROR(__xludf.DUMMYFUNCTION("average.weighted(filter(Data!L:L,Data!B:B=A532),filter(Data!F:F,Data!B:B=A532))"),0.0162442000637623)</f>
        <v>0.01624420006</v>
      </c>
    </row>
    <row r="533">
      <c r="A533" s="172" t="s">
        <v>769</v>
      </c>
      <c r="B533" s="173">
        <f>countif(Data!B:B,A533)</f>
        <v>1</v>
      </c>
      <c r="C533" s="174">
        <f>sumif(Data!B:B,A533,Data!M:M)</f>
        <v>0.01203166004</v>
      </c>
      <c r="D533" s="174">
        <f t="shared" si="1"/>
        <v>0.01203166004</v>
      </c>
      <c r="E533" s="175">
        <f t="shared" si="2"/>
        <v>-0.0465989641</v>
      </c>
      <c r="F533" s="175">
        <f>IFERROR(__xludf.DUMMYFUNCTION("average.weighted(filter(Data!K:K,Data!B:B=A533),filter(Data!F:F,Data!B:B=A533))"),-0.0517889378533579)</f>
        <v>-0.05178893785</v>
      </c>
      <c r="G533" s="175">
        <f>IFERROR(__xludf.DUMMYFUNCTION("average.weighted(filter(Data!L:L,Data!B:B=A533),filter(Data!F:F,Data!B:B=A533))"),0.00518997375473004)</f>
        <v>0.005189973755</v>
      </c>
    </row>
    <row r="534">
      <c r="A534" s="172" t="s">
        <v>770</v>
      </c>
      <c r="B534" s="173">
        <f>countif(Data!B:B,A534)</f>
        <v>3</v>
      </c>
      <c r="C534" s="174">
        <f>sumif(Data!B:B,A534,Data!M:M)</f>
        <v>0.3282699569</v>
      </c>
      <c r="D534" s="174">
        <f t="shared" si="1"/>
        <v>0.109423319</v>
      </c>
      <c r="E534" s="175">
        <f t="shared" si="2"/>
        <v>-0.05034204539</v>
      </c>
      <c r="F534" s="175">
        <f>IFERROR(__xludf.DUMMYFUNCTION("average.weighted(filter(Data!K:K,Data!B:B=A534),filter(Data!F:F,Data!B:B=A534))"),0.3958533015402559)</f>
        <v>0.3958533015</v>
      </c>
      <c r="G534" s="175">
        <f>IFERROR(__xludf.DUMMYFUNCTION("average.weighted(filter(Data!L:L,Data!B:B=A534),filter(Data!F:F,Data!B:B=A534))"),-0.44619534693459323)</f>
        <v>-0.4461953469</v>
      </c>
    </row>
    <row r="535">
      <c r="A535" s="172" t="s">
        <v>771</v>
      </c>
      <c r="B535" s="173">
        <f>countif(Data!B:B,A535)</f>
        <v>4</v>
      </c>
      <c r="C535" s="174">
        <f>sumif(Data!B:B,A535,Data!M:M)</f>
        <v>4.049921645</v>
      </c>
      <c r="D535" s="174">
        <f t="shared" si="1"/>
        <v>1.012480411</v>
      </c>
      <c r="E535" s="175">
        <f t="shared" si="2"/>
        <v>-0.1472628759</v>
      </c>
      <c r="F535" s="175">
        <f>IFERROR(__xludf.DUMMYFUNCTION("average.weighted(filter(Data!K:K,Data!B:B=A535),filter(Data!F:F,Data!B:B=A535))"),-0.44830627067587725)</f>
        <v>-0.4483062707</v>
      </c>
      <c r="G535" s="175">
        <f>IFERROR(__xludf.DUMMYFUNCTION("average.weighted(filter(Data!L:L,Data!B:B=A535),filter(Data!F:F,Data!B:B=A535))"),0.30104339480867154)</f>
        <v>0.3010433948</v>
      </c>
    </row>
    <row r="536">
      <c r="A536" s="172" t="s">
        <v>772</v>
      </c>
      <c r="B536" s="173">
        <f>countif(Data!B:B,A536)</f>
        <v>2</v>
      </c>
      <c r="C536" s="174">
        <f>sumif(Data!B:B,A536,Data!M:M)</f>
        <v>1.992206845</v>
      </c>
      <c r="D536" s="174">
        <f t="shared" si="1"/>
        <v>0.9961034223</v>
      </c>
      <c r="E536" s="175">
        <f t="shared" si="2"/>
        <v>-0.1117451606</v>
      </c>
      <c r="F536" s="175">
        <f>IFERROR(__xludf.DUMMYFUNCTION("average.weighted(filter(Data!K:K,Data!B:B=A536),filter(Data!F:F,Data!B:B=A536))"),-1.0155963006758673)</f>
        <v>-1.015596301</v>
      </c>
      <c r="G536" s="175">
        <f>IFERROR(__xludf.DUMMYFUNCTION("average.weighted(filter(Data!L:L,Data!B:B=A536),filter(Data!F:F,Data!B:B=A536))"),0.9038511400810815)</f>
        <v>0.9038511401</v>
      </c>
    </row>
    <row r="537">
      <c r="A537" s="172" t="s">
        <v>773</v>
      </c>
      <c r="B537" s="173">
        <f>countif(Data!B:B,A537)</f>
        <v>4</v>
      </c>
      <c r="C537" s="174">
        <f>sumif(Data!B:B,A537,Data!M:M)</f>
        <v>1.218963844</v>
      </c>
      <c r="D537" s="174">
        <f t="shared" si="1"/>
        <v>0.304740961</v>
      </c>
      <c r="E537" s="175">
        <f t="shared" si="2"/>
        <v>-0.05573857146</v>
      </c>
      <c r="F537" s="175">
        <f>IFERROR(__xludf.DUMMYFUNCTION("average.weighted(filter(Data!K:K,Data!B:B=A537),filter(Data!F:F,Data!B:B=A537))"),-1.7700140472661765)</f>
        <v>-1.770014047</v>
      </c>
      <c r="G537" s="175">
        <f>IFERROR(__xludf.DUMMYFUNCTION("average.weighted(filter(Data!L:L,Data!B:B=A537),filter(Data!F:F,Data!B:B=A537))"),1.7142754758096141)</f>
        <v>1.714275476</v>
      </c>
    </row>
    <row r="538">
      <c r="A538" s="172" t="s">
        <v>774</v>
      </c>
      <c r="B538" s="173">
        <f>countif(Data!B:B,A538)</f>
        <v>1</v>
      </c>
      <c r="C538" s="174">
        <f>sumif(Data!B:B,A538,Data!M:M)</f>
        <v>0.006358161991</v>
      </c>
      <c r="D538" s="174">
        <f t="shared" si="1"/>
        <v>0.006358161991</v>
      </c>
      <c r="E538" s="175">
        <f t="shared" si="2"/>
        <v>-0.05894308711</v>
      </c>
      <c r="F538" s="175">
        <f>IFERROR(__xludf.DUMMYFUNCTION("average.weighted(filter(Data!K:K,Data!B:B=A538),filter(Data!F:F,Data!B:B=A538))"),0.0264740501753368)</f>
        <v>0.02647405018</v>
      </c>
      <c r="G538" s="175">
        <f>IFERROR(__xludf.DUMMYFUNCTION("average.weighted(filter(Data!L:L,Data!B:B=A538),filter(Data!F:F,Data!B:B=A538))"),-0.0854171372862248)</f>
        <v>-0.08541713729</v>
      </c>
    </row>
    <row r="539">
      <c r="A539" s="172" t="s">
        <v>775</v>
      </c>
      <c r="B539" s="173">
        <f>countif(Data!B:B,A539)</f>
        <v>2</v>
      </c>
      <c r="C539" s="174">
        <f>sumif(Data!B:B,A539,Data!M:M)</f>
        <v>1.569357618</v>
      </c>
      <c r="D539" s="174">
        <f t="shared" si="1"/>
        <v>0.7846788089</v>
      </c>
      <c r="E539" s="175">
        <f t="shared" si="2"/>
        <v>-0.1899093875</v>
      </c>
      <c r="F539" s="175">
        <f>IFERROR(__xludf.DUMMYFUNCTION("average.weighted(filter(Data!K:K,Data!B:B=A539),filter(Data!F:F,Data!B:B=A539))"),-0.5744367386740842)</f>
        <v>-0.5744367387</v>
      </c>
      <c r="G539" s="175">
        <f>IFERROR(__xludf.DUMMYFUNCTION("average.weighted(filter(Data!L:L,Data!B:B=A539),filter(Data!F:F,Data!B:B=A539))"),0.38452735120375153)</f>
        <v>0.3845273512</v>
      </c>
    </row>
    <row r="540">
      <c r="A540" s="172" t="s">
        <v>776</v>
      </c>
      <c r="B540" s="173">
        <f>countif(Data!B:B,A540)</f>
        <v>4</v>
      </c>
      <c r="C540" s="174">
        <f>sumif(Data!B:B,A540,Data!M:M)</f>
        <v>7.380382811</v>
      </c>
      <c r="D540" s="174">
        <f t="shared" si="1"/>
        <v>1.845095703</v>
      </c>
      <c r="E540" s="175">
        <f t="shared" si="2"/>
        <v>-0.1113682107</v>
      </c>
      <c r="F540" s="175">
        <f>IFERROR(__xludf.DUMMYFUNCTION("average.weighted(filter(Data!K:K,Data!B:B=A540),filter(Data!F:F,Data!B:B=A540))"),-0.6669162483987384)</f>
        <v>-0.6669162484</v>
      </c>
      <c r="G540" s="175">
        <f>IFERROR(__xludf.DUMMYFUNCTION("average.weighted(filter(Data!L:L,Data!B:B=A540),filter(Data!F:F,Data!B:B=A540))"),0.5555480376537124)</f>
        <v>0.5555480377</v>
      </c>
    </row>
    <row r="541">
      <c r="A541" s="172" t="s">
        <v>777</v>
      </c>
      <c r="B541" s="173">
        <f>countif(Data!B:B,A541)</f>
        <v>1</v>
      </c>
      <c r="C541" s="174">
        <f>sumif(Data!B:B,A541,Data!M:M)</f>
        <v>0.08280581244</v>
      </c>
      <c r="D541" s="174">
        <f t="shared" si="1"/>
        <v>0.08280581244</v>
      </c>
      <c r="E541" s="175">
        <f t="shared" si="2"/>
        <v>-0.06218404654</v>
      </c>
      <c r="F541" s="175">
        <f>IFERROR(__xludf.DUMMYFUNCTION("average.weighted(filter(Data!K:K,Data!B:B=A541),filter(Data!F:F,Data!B:B=A541))"),-0.235225657499981)</f>
        <v>-0.2352256575</v>
      </c>
      <c r="G541" s="175">
        <f>IFERROR(__xludf.DUMMYFUNCTION("average.weighted(filter(Data!L:L,Data!B:B=A541),filter(Data!F:F,Data!B:B=A541))"),0.173041610963594)</f>
        <v>0.173041611</v>
      </c>
    </row>
    <row r="542">
      <c r="A542" s="172" t="s">
        <v>778</v>
      </c>
      <c r="B542" s="173">
        <f>countif(Data!B:B,A542)</f>
        <v>2</v>
      </c>
      <c r="C542" s="174">
        <f>sumif(Data!B:B,A542,Data!M:M)</f>
        <v>0.244929042</v>
      </c>
      <c r="D542" s="174">
        <f t="shared" si="1"/>
        <v>0.122464521</v>
      </c>
      <c r="E542" s="175">
        <f t="shared" si="2"/>
        <v>-0.1029230149</v>
      </c>
      <c r="F542" s="175">
        <f>IFERROR(__xludf.DUMMYFUNCTION("average.weighted(filter(Data!K:K,Data!B:B=A542),filter(Data!F:F,Data!B:B=A542))"),-0.5427537772653146)</f>
        <v>-0.5427537773</v>
      </c>
      <c r="G542" s="175">
        <f>IFERROR(__xludf.DUMMYFUNCTION("average.weighted(filter(Data!L:L,Data!B:B=A542),filter(Data!F:F,Data!B:B=A542))"),0.4398307623613152)</f>
        <v>0.4398307624</v>
      </c>
    </row>
    <row r="543">
      <c r="A543" s="172" t="s">
        <v>779</v>
      </c>
      <c r="B543" s="173">
        <f>countif(Data!B:B,A543)</f>
        <v>1</v>
      </c>
      <c r="C543" s="174">
        <f>sumif(Data!B:B,A543,Data!M:M)</f>
        <v>0.04689628212</v>
      </c>
      <c r="D543" s="174">
        <f t="shared" si="1"/>
        <v>0.04689628212</v>
      </c>
      <c r="E543" s="175">
        <f t="shared" si="2"/>
        <v>-0.08195867597</v>
      </c>
      <c r="F543" s="175">
        <f>IFERROR(__xludf.DUMMYFUNCTION("average.weighted(filter(Data!K:K,Data!B:B=A543),filter(Data!F:F,Data!B:B=A543))"),-0.186119519550744)</f>
        <v>-0.1861195196</v>
      </c>
      <c r="G543" s="175">
        <f>IFERROR(__xludf.DUMMYFUNCTION("average.weighted(filter(Data!L:L,Data!B:B=A543),filter(Data!F:F,Data!B:B=A543))"),0.104160843584936)</f>
        <v>0.1041608436</v>
      </c>
    </row>
    <row r="544">
      <c r="A544" s="172" t="s">
        <v>780</v>
      </c>
      <c r="B544" s="173">
        <f>countif(Data!B:B,A544)</f>
        <v>8</v>
      </c>
      <c r="C544" s="174">
        <f>sumif(Data!B:B,A544,Data!M:M)</f>
        <v>13.84247837</v>
      </c>
      <c r="D544" s="174">
        <f t="shared" si="1"/>
        <v>1.730309796</v>
      </c>
      <c r="E544" s="175">
        <f t="shared" si="2"/>
        <v>-0.1037962299</v>
      </c>
      <c r="F544" s="175">
        <f>IFERROR(__xludf.DUMMYFUNCTION("average.weighted(filter(Data!K:K,Data!B:B=A544),filter(Data!F:F,Data!B:B=A544))"),-0.6781270804665237)</f>
        <v>-0.6781270805</v>
      </c>
      <c r="G544" s="175">
        <f>IFERROR(__xludf.DUMMYFUNCTION("average.weighted(filter(Data!L:L,Data!B:B=A544),filter(Data!F:F,Data!B:B=A544))"),0.5743308505622764)</f>
        <v>0.5743308506</v>
      </c>
    </row>
    <row r="545">
      <c r="A545" s="172" t="s">
        <v>781</v>
      </c>
      <c r="B545" s="173">
        <f>countif(Data!B:B,A545)</f>
        <v>1</v>
      </c>
      <c r="C545" s="174">
        <f>sumif(Data!B:B,A545,Data!M:M)</f>
        <v>0.1114093373</v>
      </c>
      <c r="D545" s="174">
        <f t="shared" si="1"/>
        <v>0.1114093373</v>
      </c>
      <c r="E545" s="175">
        <f t="shared" si="2"/>
        <v>-0.08630716377</v>
      </c>
      <c r="F545" s="175">
        <f>IFERROR(__xludf.DUMMYFUNCTION("average.weighted(filter(Data!K:K,Data!B:B=A545),filter(Data!F:F,Data!B:B=A545))"),0.287130939258405)</f>
        <v>0.2871309393</v>
      </c>
      <c r="G545" s="175">
        <f>IFERROR(__xludf.DUMMYFUNCTION("average.weighted(filter(Data!L:L,Data!B:B=A545),filter(Data!F:F,Data!B:B=A545))"),-0.37343810302755)</f>
        <v>-0.373438103</v>
      </c>
    </row>
    <row r="546">
      <c r="A546" s="172" t="s">
        <v>782</v>
      </c>
      <c r="B546" s="173">
        <f>countif(Data!B:B,A546)</f>
        <v>1</v>
      </c>
      <c r="C546" s="174">
        <f>sumif(Data!B:B,A546,Data!M:M)</f>
        <v>1.43795097</v>
      </c>
      <c r="D546" s="174">
        <f t="shared" si="1"/>
        <v>1.43795097</v>
      </c>
      <c r="E546" s="175">
        <f t="shared" si="2"/>
        <v>-0.09014968036</v>
      </c>
      <c r="F546" s="175">
        <f>IFERROR(__xludf.DUMMYFUNCTION("average.weighted(filter(Data!K:K,Data!B:B=A546),filter(Data!F:F,Data!B:B=A546))"),-0.209267909763108)</f>
        <v>-0.2092679098</v>
      </c>
      <c r="G546" s="175">
        <f>IFERROR(__xludf.DUMMYFUNCTION("average.weighted(filter(Data!L:L,Data!B:B=A546),filter(Data!F:F,Data!B:B=A546))"),0.119118229403903)</f>
        <v>0.1191182294</v>
      </c>
    </row>
    <row r="547">
      <c r="A547" s="172" t="s">
        <v>783</v>
      </c>
      <c r="B547" s="173">
        <f>countif(Data!B:B,A547)</f>
        <v>7</v>
      </c>
      <c r="C547" s="174">
        <f>sumif(Data!B:B,A547,Data!M:M)</f>
        <v>11.41687054</v>
      </c>
      <c r="D547" s="174">
        <f t="shared" si="1"/>
        <v>1.630981506</v>
      </c>
      <c r="E547" s="175">
        <f t="shared" si="2"/>
        <v>-0.1046815986</v>
      </c>
      <c r="F547" s="175">
        <f>IFERROR(__xludf.DUMMYFUNCTION("average.weighted(filter(Data!K:K,Data!B:B=A547),filter(Data!F:F,Data!B:B=A547))"),-1.379720034478375)</f>
        <v>-1.379720034</v>
      </c>
      <c r="G547" s="175">
        <f>IFERROR(__xludf.DUMMYFUNCTION("average.weighted(filter(Data!L:L,Data!B:B=A547),filter(Data!F:F,Data!B:B=A547))"),1.275038435895456)</f>
        <v>1.275038436</v>
      </c>
    </row>
    <row r="548">
      <c r="A548" s="172" t="s">
        <v>784</v>
      </c>
      <c r="B548" s="173">
        <f>countif(Data!B:B,A548)</f>
        <v>1</v>
      </c>
      <c r="C548" s="174">
        <f>sumif(Data!B:B,A548,Data!M:M)</f>
        <v>0.005537976456</v>
      </c>
      <c r="D548" s="174">
        <f t="shared" si="1"/>
        <v>0.005537976456</v>
      </c>
      <c r="E548" s="175">
        <f t="shared" si="2"/>
        <v>-0.2668194654</v>
      </c>
      <c r="F548" s="175">
        <f>IFERROR(__xludf.DUMMYFUNCTION("average.weighted(filter(Data!K:K,Data!B:B=A548),filter(Data!F:F,Data!B:B=A548))"),-0.351446076584507)</f>
        <v>-0.3514460766</v>
      </c>
      <c r="G548" s="175">
        <f>IFERROR(__xludf.DUMMYFUNCTION("average.weighted(filter(Data!L:L,Data!B:B=A548),filter(Data!F:F,Data!B:B=A548))"),0.084626611178321)</f>
        <v>0.08462661118</v>
      </c>
    </row>
    <row r="549">
      <c r="A549" s="172" t="s">
        <v>785</v>
      </c>
      <c r="B549" s="173">
        <f>countif(Data!B:B,A549)</f>
        <v>1</v>
      </c>
      <c r="C549" s="174">
        <f>sumif(Data!B:B,A549,Data!M:M)</f>
        <v>0.4935242027</v>
      </c>
      <c r="D549" s="174">
        <f t="shared" si="1"/>
        <v>0.4935242027</v>
      </c>
      <c r="E549" s="175">
        <f t="shared" si="2"/>
        <v>-0.5918057229</v>
      </c>
      <c r="F549" s="175">
        <f>IFERROR(__xludf.DUMMYFUNCTION("average.weighted(filter(Data!K:K,Data!B:B=A549),filter(Data!F:F,Data!B:B=A549))"),-1.72115295945915)</f>
        <v>-1.721152959</v>
      </c>
      <c r="G549" s="175">
        <f>IFERROR(__xludf.DUMMYFUNCTION("average.weighted(filter(Data!L:L,Data!B:B=A549),filter(Data!F:F,Data!B:B=A549))"),1.12934723653825)</f>
        <v>1.129347237</v>
      </c>
    </row>
    <row r="550">
      <c r="A550" s="172" t="s">
        <v>786</v>
      </c>
      <c r="B550" s="173">
        <f>countif(Data!B:B,A550)</f>
        <v>1</v>
      </c>
      <c r="C550" s="174">
        <f>sumif(Data!B:B,A550,Data!M:M)</f>
        <v>0.1412962671</v>
      </c>
      <c r="D550" s="174">
        <f t="shared" si="1"/>
        <v>0.1412962671</v>
      </c>
      <c r="E550" s="175">
        <f t="shared" si="2"/>
        <v>-0.1172512601</v>
      </c>
      <c r="F550" s="175">
        <f>IFERROR(__xludf.DUMMYFUNCTION("average.weighted(filter(Data!K:K,Data!B:B=A550),filter(Data!F:F,Data!B:B=A550))"),0.0106647634031122)</f>
        <v>0.0106647634</v>
      </c>
      <c r="G550" s="175">
        <f>IFERROR(__xludf.DUMMYFUNCTION("average.weighted(filter(Data!L:L,Data!B:B=A550),filter(Data!F:F,Data!B:B=A550))"),-0.127916023509101)</f>
        <v>-0.1279160235</v>
      </c>
    </row>
    <row r="551">
      <c r="A551" s="172" t="s">
        <v>787</v>
      </c>
      <c r="B551" s="173">
        <f>countif(Data!B:B,A551)</f>
        <v>1</v>
      </c>
      <c r="C551" s="174">
        <f>sumif(Data!B:B,A551,Data!M:M)</f>
        <v>0.4629240895</v>
      </c>
      <c r="D551" s="174">
        <f t="shared" si="1"/>
        <v>0.4629240895</v>
      </c>
      <c r="E551" s="175">
        <f t="shared" si="2"/>
        <v>-0.1232192999</v>
      </c>
      <c r="F551" s="175">
        <f>IFERROR(__xludf.DUMMYFUNCTION("average.weighted(filter(Data!K:K,Data!B:B=A551),filter(Data!F:F,Data!B:B=A551))"),-0.919139492362301)</f>
        <v>-0.9191394924</v>
      </c>
      <c r="G551" s="175">
        <f>IFERROR(__xludf.DUMMYFUNCTION("average.weighted(filter(Data!L:L,Data!B:B=A551),filter(Data!F:F,Data!B:B=A551))"),0.795920192466153)</f>
        <v>0.7959201925</v>
      </c>
    </row>
    <row r="552">
      <c r="A552" s="172" t="s">
        <v>788</v>
      </c>
      <c r="B552" s="173">
        <f>countif(Data!B:B,A552)</f>
        <v>1</v>
      </c>
      <c r="C552" s="174">
        <f>sumif(Data!B:B,A552,Data!M:M)</f>
        <v>0.2025652551</v>
      </c>
      <c r="D552" s="174">
        <f t="shared" si="1"/>
        <v>0.2025652551</v>
      </c>
      <c r="E552" s="175">
        <f t="shared" si="2"/>
        <v>-0.1234745177</v>
      </c>
      <c r="F552" s="175">
        <f>IFERROR(__xludf.DUMMYFUNCTION("average.weighted(filter(Data!K:K,Data!B:B=A552),filter(Data!F:F,Data!B:B=A552))"),-0.437430756445859)</f>
        <v>-0.4374307564</v>
      </c>
      <c r="G552" s="175">
        <f>IFERROR(__xludf.DUMMYFUNCTION("average.weighted(filter(Data!L:L,Data!B:B=A552),filter(Data!F:F,Data!B:B=A552))"),0.313956238786595)</f>
        <v>0.3139562388</v>
      </c>
    </row>
    <row r="553">
      <c r="A553" s="172" t="s">
        <v>789</v>
      </c>
      <c r="B553" s="173">
        <f>countif(Data!B:B,A553)</f>
        <v>3</v>
      </c>
      <c r="C553" s="174">
        <f>sumif(Data!B:B,A553,Data!M:M)</f>
        <v>2.934614912</v>
      </c>
      <c r="D553" s="174">
        <f t="shared" si="1"/>
        <v>0.9782049708</v>
      </c>
      <c r="E553" s="175">
        <f t="shared" si="2"/>
        <v>-0.1268025769</v>
      </c>
      <c r="F553" s="175">
        <f>IFERROR(__xludf.DUMMYFUNCTION("average.weighted(filter(Data!K:K,Data!B:B=A553),filter(Data!F:F,Data!B:B=A553))"),-0.4487157946855403)</f>
        <v>-0.4487157947</v>
      </c>
      <c r="G553" s="175">
        <f>IFERROR(__xludf.DUMMYFUNCTION("average.weighted(filter(Data!L:L,Data!B:B=A553),filter(Data!F:F,Data!B:B=A553))"),0.32191321782364696)</f>
        <v>0.3219132178</v>
      </c>
    </row>
    <row r="554">
      <c r="A554" s="172" t="s">
        <v>790</v>
      </c>
      <c r="B554" s="173">
        <f>countif(Data!B:B,A554)</f>
        <v>1</v>
      </c>
      <c r="C554" s="174">
        <f>sumif(Data!B:B,A554,Data!M:M)</f>
        <v>0.1080547396</v>
      </c>
      <c r="D554" s="174">
        <f t="shared" si="1"/>
        <v>0.1080547396</v>
      </c>
      <c r="E554" s="175">
        <f t="shared" si="2"/>
        <v>-0.1282298848</v>
      </c>
      <c r="F554" s="175">
        <f>IFERROR(__xludf.DUMMYFUNCTION("average.weighted(filter(Data!K:K,Data!B:B=A554),filter(Data!F:F,Data!B:B=A554))"),-0.510332863678496)</f>
        <v>-0.5103328637</v>
      </c>
      <c r="G554" s="175">
        <f>IFERROR(__xludf.DUMMYFUNCTION("average.weighted(filter(Data!L:L,Data!B:B=A554),filter(Data!F:F,Data!B:B=A554))"),0.382102978877624)</f>
        <v>0.3821029789</v>
      </c>
    </row>
    <row r="555">
      <c r="A555" s="172" t="s">
        <v>791</v>
      </c>
      <c r="B555" s="173">
        <f>countif(Data!B:B,A555)</f>
        <v>1</v>
      </c>
      <c r="C555" s="174">
        <f>sumif(Data!B:B,A555,Data!M:M)</f>
        <v>0.1494133127</v>
      </c>
      <c r="D555" s="174">
        <f t="shared" si="1"/>
        <v>0.1494133127</v>
      </c>
      <c r="E555" s="175">
        <f t="shared" si="2"/>
        <v>-0.1350225274</v>
      </c>
      <c r="F555" s="175">
        <f>IFERROR(__xludf.DUMMYFUNCTION("average.weighted(filter(Data!K:K,Data!B:B=A555),filter(Data!F:F,Data!B:B=A555))"),0.188032558659057)</f>
        <v>0.1880325587</v>
      </c>
      <c r="G555" s="175">
        <f>IFERROR(__xludf.DUMMYFUNCTION("average.weighted(filter(Data!L:L,Data!B:B=A555),filter(Data!F:F,Data!B:B=A555))"),-0.323055086071336)</f>
        <v>-0.3230550861</v>
      </c>
    </row>
    <row r="556">
      <c r="A556" s="172" t="s">
        <v>792</v>
      </c>
      <c r="B556" s="173">
        <f>countif(Data!B:B,A556)</f>
        <v>1</v>
      </c>
      <c r="C556" s="174">
        <f>sumif(Data!B:B,A556,Data!M:M)</f>
        <v>0.09000205768</v>
      </c>
      <c r="D556" s="174">
        <f t="shared" si="1"/>
        <v>0.09000205768</v>
      </c>
      <c r="E556" s="175">
        <f t="shared" si="2"/>
        <v>-0.1404513092</v>
      </c>
      <c r="F556" s="175">
        <f>IFERROR(__xludf.DUMMYFUNCTION("average.weighted(filter(Data!K:K,Data!B:B=A556),filter(Data!F:F,Data!B:B=A556))"),-0.258012443969821)</f>
        <v>-0.258012444</v>
      </c>
      <c r="G556" s="175">
        <f>IFERROR(__xludf.DUMMYFUNCTION("average.weighted(filter(Data!L:L,Data!B:B=A556),filter(Data!F:F,Data!B:B=A556))"),0.117561134760853)</f>
        <v>0.1175611348</v>
      </c>
    </row>
    <row r="557">
      <c r="A557" s="172" t="s">
        <v>793</v>
      </c>
      <c r="B557" s="173">
        <f>countif(Data!B:B,A557)</f>
        <v>6</v>
      </c>
      <c r="C557" s="174">
        <f>sumif(Data!B:B,A557,Data!M:M)</f>
        <v>11.15060975</v>
      </c>
      <c r="D557" s="174">
        <f t="shared" si="1"/>
        <v>1.858434959</v>
      </c>
      <c r="E557" s="175">
        <f t="shared" si="2"/>
        <v>-0.1370632947</v>
      </c>
      <c r="F557" s="175">
        <f>IFERROR(__xludf.DUMMYFUNCTION("average.weighted(filter(Data!K:K,Data!B:B=A557),filter(Data!F:F,Data!B:B=A557))"),-0.10121876498450112)</f>
        <v>-0.101218765</v>
      </c>
      <c r="G557" s="175">
        <f>IFERROR(__xludf.DUMMYFUNCTION("average.weighted(filter(Data!L:L,Data!B:B=A557),filter(Data!F:F,Data!B:B=A557))"),-0.03584452973072126)</f>
        <v>-0.03584452973</v>
      </c>
    </row>
    <row r="558">
      <c r="A558" s="172" t="s">
        <v>794</v>
      </c>
      <c r="B558" s="173">
        <f>countif(Data!B:B,A558)</f>
        <v>1</v>
      </c>
      <c r="C558" s="174">
        <f>sumif(Data!B:B,A558,Data!M:M)</f>
        <v>0.03882337413</v>
      </c>
      <c r="D558" s="174">
        <f t="shared" si="1"/>
        <v>0.03882337413</v>
      </c>
      <c r="E558" s="175">
        <f t="shared" si="2"/>
        <v>-0.1419980313</v>
      </c>
      <c r="F558" s="175">
        <f>IFERROR(__xludf.DUMMYFUNCTION("average.weighted(filter(Data!K:K,Data!B:B=A558),filter(Data!F:F,Data!B:B=A558))"),-0.118873121954649)</f>
        <v>-0.118873122</v>
      </c>
      <c r="G558" s="175">
        <f>IFERROR(__xludf.DUMMYFUNCTION("average.weighted(filter(Data!L:L,Data!B:B=A558),filter(Data!F:F,Data!B:B=A558))"),-0.0231249093591727)</f>
        <v>-0.02312490936</v>
      </c>
    </row>
    <row r="559">
      <c r="A559" s="172" t="s">
        <v>795</v>
      </c>
      <c r="B559" s="173">
        <f>countif(Data!B:B,A559)</f>
        <v>1</v>
      </c>
      <c r="C559" s="174">
        <f>sumif(Data!B:B,A559,Data!M:M)</f>
        <v>0.06801531849</v>
      </c>
      <c r="D559" s="174">
        <f t="shared" si="1"/>
        <v>0.06801531849</v>
      </c>
      <c r="E559" s="175">
        <f t="shared" si="2"/>
        <v>-0.1470491358</v>
      </c>
      <c r="F559" s="175">
        <f>IFERROR(__xludf.DUMMYFUNCTION("average.weighted(filter(Data!K:K,Data!B:B=A559),filter(Data!F:F,Data!B:B=A559))"),-0.0395436111688844)</f>
        <v>-0.03954361117</v>
      </c>
      <c r="G559" s="175">
        <f>IFERROR(__xludf.DUMMYFUNCTION("average.weighted(filter(Data!L:L,Data!B:B=A559),filter(Data!F:F,Data!B:B=A559))"),-0.107505524673048)</f>
        <v>-0.1075055247</v>
      </c>
    </row>
    <row r="560">
      <c r="A560" s="172" t="s">
        <v>796</v>
      </c>
      <c r="B560" s="173">
        <f>countif(Data!B:B,A560)</f>
        <v>2</v>
      </c>
      <c r="C560" s="174">
        <f>sumif(Data!B:B,A560,Data!M:M)</f>
        <v>1.567806442</v>
      </c>
      <c r="D560" s="174">
        <f t="shared" si="1"/>
        <v>0.7839032208</v>
      </c>
      <c r="E560" s="175">
        <f t="shared" si="2"/>
        <v>-0.1972125259</v>
      </c>
      <c r="F560" s="175">
        <f>IFERROR(__xludf.DUMMYFUNCTION("average.weighted(filter(Data!K:K,Data!B:B=A560),filter(Data!F:F,Data!B:B=A560))"),-0.35084814018958604)</f>
        <v>-0.3508481402</v>
      </c>
      <c r="G560" s="175">
        <f>IFERROR(__xludf.DUMMYFUNCTION("average.weighted(filter(Data!L:L,Data!B:B=A560),filter(Data!F:F,Data!B:B=A560))"),0.15363561428480954)</f>
        <v>0.1536356143</v>
      </c>
    </row>
    <row r="561">
      <c r="A561" s="172" t="s">
        <v>797</v>
      </c>
      <c r="B561" s="173">
        <f>countif(Data!B:B,A561)</f>
        <v>1</v>
      </c>
      <c r="C561" s="174">
        <f>sumif(Data!B:B,A561,Data!M:M)</f>
        <v>0.09113104667</v>
      </c>
      <c r="D561" s="174">
        <f t="shared" si="1"/>
        <v>0.09113104667</v>
      </c>
      <c r="E561" s="175">
        <f t="shared" si="2"/>
        <v>-0.1557830232</v>
      </c>
      <c r="F561" s="175">
        <f>IFERROR(__xludf.DUMMYFUNCTION("average.weighted(filter(Data!K:K,Data!B:B=A561),filter(Data!F:F,Data!B:B=A561))"),-0.234134589027821)</f>
        <v>-0.234134589</v>
      </c>
      <c r="G561" s="175">
        <f>IFERROR(__xludf.DUMMYFUNCTION("average.weighted(filter(Data!L:L,Data!B:B=A561),filter(Data!F:F,Data!B:B=A561))"),0.0783515657902411)</f>
        <v>0.07835156579</v>
      </c>
    </row>
    <row r="562">
      <c r="A562" s="172" t="s">
        <v>798</v>
      </c>
      <c r="B562" s="173">
        <f>countif(Data!B:B,A562)</f>
        <v>1</v>
      </c>
      <c r="C562" s="174">
        <f>sumif(Data!B:B,A562,Data!M:M)</f>
        <v>0.0697689264</v>
      </c>
      <c r="D562" s="174">
        <f t="shared" si="1"/>
        <v>0.0697689264</v>
      </c>
      <c r="E562" s="175">
        <f t="shared" si="2"/>
        <v>-0.1611585039</v>
      </c>
      <c r="F562" s="175">
        <f>IFERROR(__xludf.DUMMYFUNCTION("average.weighted(filter(Data!K:K,Data!B:B=A562),filter(Data!F:F,Data!B:B=A562))"),-0.258659333590773)</f>
        <v>-0.2586593336</v>
      </c>
      <c r="G562" s="175">
        <f>IFERROR(__xludf.DUMMYFUNCTION("average.weighted(filter(Data!L:L,Data!B:B=A562),filter(Data!F:F,Data!B:B=A562))"),0.097500829682149)</f>
        <v>0.09750082968</v>
      </c>
    </row>
    <row r="563">
      <c r="A563" s="172" t="s">
        <v>799</v>
      </c>
      <c r="B563" s="173">
        <f>countif(Data!B:B,A563)</f>
        <v>1</v>
      </c>
      <c r="C563" s="174">
        <f>sumif(Data!B:B,A563,Data!M:M)</f>
        <v>0.1219976128</v>
      </c>
      <c r="D563" s="174">
        <f t="shared" si="1"/>
        <v>0.1219976128</v>
      </c>
      <c r="E563" s="175">
        <f t="shared" si="2"/>
        <v>-0.1627818</v>
      </c>
      <c r="F563" s="175">
        <f>IFERROR(__xludf.DUMMYFUNCTION("average.weighted(filter(Data!K:K,Data!B:B=A563),filter(Data!F:F,Data!B:B=A563))"),-0.554389839889227)</f>
        <v>-0.5543898399</v>
      </c>
      <c r="G563" s="175">
        <f>IFERROR(__xludf.DUMMYFUNCTION("average.weighted(filter(Data!L:L,Data!B:B=A563),filter(Data!F:F,Data!B:B=A563))"),0.39160803991277)</f>
        <v>0.3916080399</v>
      </c>
    </row>
    <row r="564">
      <c r="A564" s="172" t="s">
        <v>800</v>
      </c>
      <c r="B564" s="173">
        <f>countif(Data!B:B,A564)</f>
        <v>1</v>
      </c>
      <c r="C564" s="174">
        <f>sumif(Data!B:B,A564,Data!M:M)</f>
        <v>0.003881807527</v>
      </c>
      <c r="D564" s="174">
        <f t="shared" si="1"/>
        <v>0.003881807527</v>
      </c>
      <c r="E564" s="175">
        <f t="shared" si="2"/>
        <v>-0.1724783563</v>
      </c>
      <c r="F564" s="175">
        <f>IFERROR(__xludf.DUMMYFUNCTION("average.weighted(filter(Data!K:K,Data!B:B=A564),filter(Data!F:F,Data!B:B=A564))"),0.0148438786749376)</f>
        <v>0.01484387867</v>
      </c>
      <c r="G564" s="175">
        <f>IFERROR(__xludf.DUMMYFUNCTION("average.weighted(filter(Data!L:L,Data!B:B=A564),filter(Data!F:F,Data!B:B=A564))"),-0.187322234983172)</f>
        <v>-0.187322235</v>
      </c>
    </row>
    <row r="565">
      <c r="A565" s="172" t="s">
        <v>801</v>
      </c>
      <c r="B565" s="173">
        <f>countif(Data!B:B,A565)</f>
        <v>4</v>
      </c>
      <c r="C565" s="174">
        <f>sumif(Data!B:B,A565,Data!M:M)</f>
        <v>3.848577239</v>
      </c>
      <c r="D565" s="174">
        <f t="shared" si="1"/>
        <v>0.9621443099</v>
      </c>
      <c r="E565" s="175">
        <f t="shared" si="2"/>
        <v>-0.1759329647</v>
      </c>
      <c r="F565" s="175">
        <f>IFERROR(__xludf.DUMMYFUNCTION("average.weighted(filter(Data!K:K,Data!B:B=A565),filter(Data!F:F,Data!B:B=A565))"),-1.0168079396225087)</f>
        <v>-1.01680794</v>
      </c>
      <c r="G565" s="175">
        <f>IFERROR(__xludf.DUMMYFUNCTION("average.weighted(filter(Data!L:L,Data!B:B=A565),filter(Data!F:F,Data!B:B=A565))"),0.8408749749599043)</f>
        <v>0.840874975</v>
      </c>
    </row>
    <row r="566">
      <c r="A566" s="172" t="s">
        <v>802</v>
      </c>
      <c r="B566" s="173">
        <f>countif(Data!B:B,A566)</f>
        <v>1</v>
      </c>
      <c r="C566" s="174">
        <f>sumif(Data!B:B,A566,Data!M:M)</f>
        <v>0.1647368038</v>
      </c>
      <c r="D566" s="174">
        <f t="shared" si="1"/>
        <v>0.1647368038</v>
      </c>
      <c r="E566" s="175">
        <f t="shared" si="2"/>
        <v>-0.1759497987</v>
      </c>
      <c r="F566" s="175">
        <f>IFERROR(__xludf.DUMMYFUNCTION("average.weighted(filter(Data!K:K,Data!B:B=A566),filter(Data!F:F,Data!B:B=A566))"),-0.211971675662472)</f>
        <v>-0.2119716757</v>
      </c>
      <c r="G566" s="175">
        <f>IFERROR(__xludf.DUMMYFUNCTION("average.weighted(filter(Data!L:L,Data!B:B=A566),filter(Data!F:F,Data!B:B=A566))"),0.0360218769615361)</f>
        <v>0.03602187696</v>
      </c>
    </row>
    <row r="567">
      <c r="A567" s="172" t="s">
        <v>803</v>
      </c>
      <c r="B567" s="173">
        <f>countif(Data!B:B,A567)</f>
        <v>2</v>
      </c>
      <c r="C567" s="174">
        <f>sumif(Data!B:B,A567,Data!M:M)</f>
        <v>0.02154322346</v>
      </c>
      <c r="D567" s="174">
        <f t="shared" si="1"/>
        <v>0.01077161173</v>
      </c>
      <c r="E567" s="175">
        <f t="shared" si="2"/>
        <v>-0.1768620226</v>
      </c>
      <c r="F567" s="175">
        <f>IFERROR(__xludf.DUMMYFUNCTION("average.weighted(filter(Data!K:K,Data!B:B=A567),filter(Data!F:F,Data!B:B=A567))"),-0.2937112397668091)</f>
        <v>-0.2937112398</v>
      </c>
      <c r="G567" s="175">
        <f>IFERROR(__xludf.DUMMYFUNCTION("average.weighted(filter(Data!L:L,Data!B:B=A567),filter(Data!F:F,Data!B:B=A567))"),0.1168492172148449)</f>
        <v>0.1168492172</v>
      </c>
    </row>
    <row r="568">
      <c r="A568" s="172" t="s">
        <v>804</v>
      </c>
      <c r="B568" s="173">
        <f>countif(Data!B:B,A568)</f>
        <v>7</v>
      </c>
      <c r="C568" s="174">
        <f>sumif(Data!B:B,A568,Data!M:M)</f>
        <v>13.32148744</v>
      </c>
      <c r="D568" s="174">
        <f t="shared" si="1"/>
        <v>1.903069635</v>
      </c>
      <c r="E568" s="175">
        <f t="shared" si="2"/>
        <v>-0.1803554283</v>
      </c>
      <c r="F568" s="175">
        <f>IFERROR(__xludf.DUMMYFUNCTION("average.weighted(filter(Data!K:K,Data!B:B=A568),filter(Data!F:F,Data!B:B=A568))"),-0.5724965774189236)</f>
        <v>-0.5724965774</v>
      </c>
      <c r="G568" s="175">
        <f>IFERROR(__xludf.DUMMYFUNCTION("average.weighted(filter(Data!L:L,Data!B:B=A568),filter(Data!F:F,Data!B:B=A568))"),0.39214114910396985)</f>
        <v>0.3921411491</v>
      </c>
    </row>
    <row r="569">
      <c r="A569" s="172" t="s">
        <v>805</v>
      </c>
      <c r="B569" s="173">
        <f>countif(Data!B:B,A569)</f>
        <v>2</v>
      </c>
      <c r="C569" s="174">
        <f>sumif(Data!B:B,A569,Data!M:M)</f>
        <v>0.1545607446</v>
      </c>
      <c r="D569" s="174">
        <f t="shared" si="1"/>
        <v>0.07728037228</v>
      </c>
      <c r="E569" s="175">
        <f t="shared" si="2"/>
        <v>-0.1864307423</v>
      </c>
      <c r="F569" s="175">
        <f>IFERROR(__xludf.DUMMYFUNCTION("average.weighted(filter(Data!K:K,Data!B:B=A569),filter(Data!F:F,Data!B:B=A569))"),-0.3092129661005184)</f>
        <v>-0.3092129661</v>
      </c>
      <c r="G569" s="175">
        <f>IFERROR(__xludf.DUMMYFUNCTION("average.weighted(filter(Data!L:L,Data!B:B=A569),filter(Data!F:F,Data!B:B=A569))"),0.12278222376328865)</f>
        <v>0.1227822238</v>
      </c>
    </row>
    <row r="570">
      <c r="A570" s="172" t="s">
        <v>806</v>
      </c>
      <c r="B570" s="173">
        <f>countif(Data!B:B,A570)</f>
        <v>6</v>
      </c>
      <c r="C570" s="174">
        <f>sumif(Data!B:B,A570,Data!M:M)</f>
        <v>15.88088616</v>
      </c>
      <c r="D570" s="174">
        <f t="shared" si="1"/>
        <v>2.64681436</v>
      </c>
      <c r="E570" s="175">
        <f t="shared" si="2"/>
        <v>-0.1874362399</v>
      </c>
      <c r="F570" s="175">
        <f>IFERROR(__xludf.DUMMYFUNCTION("average.weighted(filter(Data!K:K,Data!B:B=A570),filter(Data!F:F,Data!B:B=A570))"),0.7852229854633086)</f>
        <v>0.7852229855</v>
      </c>
      <c r="G570" s="175">
        <f>IFERROR(__xludf.DUMMYFUNCTION("average.weighted(filter(Data!L:L,Data!B:B=A570),filter(Data!F:F,Data!B:B=A570))"),-0.972659225329827)</f>
        <v>-0.9726592253</v>
      </c>
    </row>
    <row r="571">
      <c r="A571" s="172" t="s">
        <v>807</v>
      </c>
      <c r="B571" s="173">
        <f>countif(Data!B:B,A571)</f>
        <v>1</v>
      </c>
      <c r="C571" s="174">
        <f>sumif(Data!B:B,A571,Data!M:M)</f>
        <v>0.08464793325</v>
      </c>
      <c r="D571" s="174">
        <f t="shared" si="1"/>
        <v>0.08464793325</v>
      </c>
      <c r="E571" s="175">
        <f t="shared" si="2"/>
        <v>-0.05685218723</v>
      </c>
      <c r="F571" s="175">
        <f>IFERROR(__xludf.DUMMYFUNCTION("average.weighted(filter(Data!K:K,Data!B:B=A571),filter(Data!F:F,Data!B:B=A571))"),-0.0374320887735385)</f>
        <v>-0.03743208877</v>
      </c>
      <c r="G571" s="175">
        <f>IFERROR(__xludf.DUMMYFUNCTION("average.weighted(filter(Data!L:L,Data!B:B=A571),filter(Data!F:F,Data!B:B=A571))"),-0.0194200984539)</f>
        <v>-0.01942009845</v>
      </c>
    </row>
    <row r="572">
      <c r="A572" s="172" t="s">
        <v>808</v>
      </c>
      <c r="B572" s="173">
        <f>countif(Data!B:B,A572)</f>
        <v>1</v>
      </c>
      <c r="C572" s="174">
        <f>sumif(Data!B:B,A572,Data!M:M)</f>
        <v>0.03214108797</v>
      </c>
      <c r="D572" s="174">
        <f t="shared" si="1"/>
        <v>0.03214108797</v>
      </c>
      <c r="E572" s="175">
        <f t="shared" si="2"/>
        <v>-0.1894696773</v>
      </c>
      <c r="F572" s="175">
        <f>IFERROR(__xludf.DUMMYFUNCTION("average.weighted(filter(Data!K:K,Data!B:B=A572),filter(Data!F:F,Data!B:B=A572))"),0.0811614361696423)</f>
        <v>0.08116143617</v>
      </c>
      <c r="G572" s="175">
        <f>IFERROR(__xludf.DUMMYFUNCTION("average.weighted(filter(Data!L:L,Data!B:B=A572),filter(Data!F:F,Data!B:B=A572))"),-0.270631113439372)</f>
        <v>-0.2706311134</v>
      </c>
    </row>
    <row r="573">
      <c r="A573" s="172" t="s">
        <v>809</v>
      </c>
      <c r="B573" s="173">
        <f>countif(Data!B:B,A573)</f>
        <v>4</v>
      </c>
      <c r="C573" s="174">
        <f>sumif(Data!B:B,A573,Data!M:M)</f>
        <v>14.73929165</v>
      </c>
      <c r="D573" s="174">
        <f t="shared" si="1"/>
        <v>3.684822914</v>
      </c>
      <c r="E573" s="175">
        <f t="shared" si="2"/>
        <v>-0.1978146551</v>
      </c>
      <c r="F573" s="175">
        <f>IFERROR(__xludf.DUMMYFUNCTION("average.weighted(filter(Data!K:K,Data!B:B=A573),filter(Data!F:F,Data!B:B=A573))"),0.27137441275105706)</f>
        <v>0.2713744128</v>
      </c>
      <c r="G573" s="175">
        <f>IFERROR(__xludf.DUMMYFUNCTION("average.weighted(filter(Data!L:L,Data!B:B=A573),filter(Data!F:F,Data!B:B=A573))"),-0.46918906782624303)</f>
        <v>-0.4691890678</v>
      </c>
    </row>
    <row r="574">
      <c r="A574" s="172" t="s">
        <v>810</v>
      </c>
      <c r="B574" s="173">
        <f>countif(Data!B:B,A574)</f>
        <v>2</v>
      </c>
      <c r="C574" s="174">
        <f>sumif(Data!B:B,A574,Data!M:M)</f>
        <v>0.03006976763</v>
      </c>
      <c r="D574" s="174">
        <f t="shared" si="1"/>
        <v>0.01503488381</v>
      </c>
      <c r="E574" s="175">
        <f t="shared" si="2"/>
        <v>-0.1991807559</v>
      </c>
      <c r="F574" s="175">
        <f>IFERROR(__xludf.DUMMYFUNCTION("average.weighted(filter(Data!K:K,Data!B:B=A574),filter(Data!F:F,Data!B:B=A574))"),-0.20613956582455603)</f>
        <v>-0.2061395658</v>
      </c>
      <c r="G574" s="175">
        <f>IFERROR(__xludf.DUMMYFUNCTION("average.weighted(filter(Data!L:L,Data!B:B=A574),filter(Data!F:F,Data!B:B=A574))"),0.006958809950757293)</f>
        <v>0.006958809951</v>
      </c>
    </row>
    <row r="575">
      <c r="A575" s="172" t="s">
        <v>811</v>
      </c>
      <c r="B575" s="173">
        <f>countif(Data!B:B,A575)</f>
        <v>1</v>
      </c>
      <c r="C575" s="174">
        <f>sumif(Data!B:B,A575,Data!M:M)</f>
        <v>0.07122863151</v>
      </c>
      <c r="D575" s="174">
        <f t="shared" si="1"/>
        <v>0.07122863151</v>
      </c>
      <c r="E575" s="175">
        <f t="shared" si="2"/>
        <v>-0.2123466885</v>
      </c>
      <c r="F575" s="175">
        <f>IFERROR(__xludf.DUMMYFUNCTION("average.weighted(filter(Data!K:K,Data!B:B=A575),filter(Data!F:F,Data!B:B=A575))"),0.325244685325794)</f>
        <v>0.3252446853</v>
      </c>
      <c r="G575" s="175">
        <f>IFERROR(__xludf.DUMMYFUNCTION("average.weighted(filter(Data!L:L,Data!B:B=A575),filter(Data!F:F,Data!B:B=A575))"),-0.537591373817949)</f>
        <v>-0.5375913738</v>
      </c>
    </row>
    <row r="576">
      <c r="A576" s="172" t="s">
        <v>812</v>
      </c>
      <c r="B576" s="173">
        <f>countif(Data!B:B,A576)</f>
        <v>5</v>
      </c>
      <c r="C576" s="174">
        <f>sumif(Data!B:B,A576,Data!M:M)</f>
        <v>9.565392497</v>
      </c>
      <c r="D576" s="174">
        <f t="shared" si="1"/>
        <v>1.913078499</v>
      </c>
      <c r="E576" s="175">
        <f t="shared" si="2"/>
        <v>-0.215670089</v>
      </c>
      <c r="F576" s="175">
        <f>IFERROR(__xludf.DUMMYFUNCTION("average.weighted(filter(Data!K:K,Data!B:B=A576),filter(Data!F:F,Data!B:B=A576))"),-1.3674870950668025)</f>
        <v>-1.367487095</v>
      </c>
      <c r="G576" s="175">
        <f>IFERROR(__xludf.DUMMYFUNCTION("average.weighted(filter(Data!L:L,Data!B:B=A576),filter(Data!F:F,Data!B:B=A576))"),1.1518170060676025)</f>
        <v>1.151817006</v>
      </c>
    </row>
    <row r="577">
      <c r="A577" s="172" t="s">
        <v>813</v>
      </c>
      <c r="B577" s="173">
        <f>countif(Data!B:B,A577)</f>
        <v>7</v>
      </c>
      <c r="C577" s="174">
        <f>sumif(Data!B:B,A577,Data!M:M)</f>
        <v>12.71502337</v>
      </c>
      <c r="D577" s="174">
        <f t="shared" si="1"/>
        <v>1.81643191</v>
      </c>
      <c r="E577" s="175">
        <f t="shared" si="2"/>
        <v>-0.2164014406</v>
      </c>
      <c r="F577" s="175">
        <f>IFERROR(__xludf.DUMMYFUNCTION("average.weighted(filter(Data!K:K,Data!B:B=A577),filter(Data!F:F,Data!B:B=A577))"),-0.06025870187321144)</f>
        <v>-0.06025870187</v>
      </c>
      <c r="G577" s="175">
        <f>IFERROR(__xludf.DUMMYFUNCTION("average.weighted(filter(Data!L:L,Data!B:B=A577),filter(Data!F:F,Data!B:B=A577))"),-0.15614273868794043)</f>
        <v>-0.1561427387</v>
      </c>
    </row>
    <row r="578">
      <c r="A578" s="172" t="s">
        <v>814</v>
      </c>
      <c r="B578" s="173">
        <f>countif(Data!B:B,A578)</f>
        <v>1</v>
      </c>
      <c r="C578" s="174">
        <f>sumif(Data!B:B,A578,Data!M:M)</f>
        <v>0.01589773188</v>
      </c>
      <c r="D578" s="174">
        <f t="shared" si="1"/>
        <v>0.01589773188</v>
      </c>
      <c r="E578" s="175">
        <f t="shared" si="2"/>
        <v>-0.2182449421</v>
      </c>
      <c r="F578" s="175">
        <f>IFERROR(__xludf.DUMMYFUNCTION("average.weighted(filter(Data!K:K,Data!B:B=A578),filter(Data!F:F,Data!B:B=A578))"),-0.0462935479298747)</f>
        <v>-0.04629354793</v>
      </c>
      <c r="G578" s="175">
        <f>IFERROR(__xludf.DUMMYFUNCTION("average.weighted(filter(Data!L:L,Data!B:B=A578),filter(Data!F:F,Data!B:B=A578))"),-0.171951394210514)</f>
        <v>-0.1719513942</v>
      </c>
    </row>
    <row r="579">
      <c r="A579" s="172" t="s">
        <v>815</v>
      </c>
      <c r="B579" s="173">
        <f>countif(Data!B:B,A579)</f>
        <v>3</v>
      </c>
      <c r="C579" s="174">
        <f>sumif(Data!B:B,A579,Data!M:M)</f>
        <v>7.732670831</v>
      </c>
      <c r="D579" s="174">
        <f t="shared" si="1"/>
        <v>2.577556944</v>
      </c>
      <c r="E579" s="175">
        <f t="shared" si="2"/>
        <v>-0.1699373696</v>
      </c>
      <c r="F579" s="175">
        <f>IFERROR(__xludf.DUMMYFUNCTION("average.weighted(filter(Data!K:K,Data!B:B=A579),filter(Data!F:F,Data!B:B=A579))"),0.183850329199121)</f>
        <v>0.1838503292</v>
      </c>
      <c r="G579" s="175">
        <f>IFERROR(__xludf.DUMMYFUNCTION("average.weighted(filter(Data!L:L,Data!B:B=A579),filter(Data!F:F,Data!B:B=A579))"),-0.3537876987769158)</f>
        <v>-0.3537876988</v>
      </c>
    </row>
    <row r="580">
      <c r="A580" s="172" t="s">
        <v>816</v>
      </c>
      <c r="B580" s="173">
        <f>countif(Data!B:B,A580)</f>
        <v>8</v>
      </c>
      <c r="C580" s="174">
        <f>sumif(Data!B:B,A580,Data!M:M)</f>
        <v>19.33808312</v>
      </c>
      <c r="D580" s="174">
        <f t="shared" si="1"/>
        <v>2.41726039</v>
      </c>
      <c r="E580" s="175">
        <f t="shared" si="2"/>
        <v>-0.2426772438</v>
      </c>
      <c r="F580" s="175">
        <f>IFERROR(__xludf.DUMMYFUNCTION("average.weighted(filter(Data!K:K,Data!B:B=A580),filter(Data!F:F,Data!B:B=A580))"),-0.3932893587346782)</f>
        <v>-0.3932893587</v>
      </c>
      <c r="G580" s="175">
        <f>IFERROR(__xludf.DUMMYFUNCTION("average.weighted(filter(Data!L:L,Data!B:B=A580),filter(Data!F:F,Data!B:B=A580))"),0.1506121149833439)</f>
        <v>0.150612115</v>
      </c>
    </row>
    <row r="581">
      <c r="A581" s="172" t="s">
        <v>817</v>
      </c>
      <c r="B581" s="173">
        <f>countif(Data!B:B,A581)</f>
        <v>4</v>
      </c>
      <c r="C581" s="174">
        <f>sumif(Data!B:B,A581,Data!M:M)</f>
        <v>10.24653951</v>
      </c>
      <c r="D581" s="174">
        <f t="shared" si="1"/>
        <v>2.561634876</v>
      </c>
      <c r="E581" s="175">
        <f t="shared" si="2"/>
        <v>-0.1758827262</v>
      </c>
      <c r="F581" s="175">
        <f>IFERROR(__xludf.DUMMYFUNCTION("average.weighted(filter(Data!K:K,Data!B:B=A581),filter(Data!F:F,Data!B:B=A581))"),0.609579720207376)</f>
        <v>0.6095797202</v>
      </c>
      <c r="G581" s="175">
        <f>IFERROR(__xludf.DUMMYFUNCTION("average.weighted(filter(Data!L:L,Data!B:B=A581),filter(Data!F:F,Data!B:B=A581))"),-0.7854624464271138)</f>
        <v>-0.7854624464</v>
      </c>
    </row>
    <row r="582">
      <c r="A582" s="172" t="s">
        <v>818</v>
      </c>
      <c r="B582" s="173">
        <f>countif(Data!B:B,A582)</f>
        <v>3</v>
      </c>
      <c r="C582" s="174">
        <f>sumif(Data!B:B,A582,Data!M:M)</f>
        <v>0.2104574179</v>
      </c>
      <c r="D582" s="174">
        <f t="shared" si="1"/>
        <v>0.07015247264</v>
      </c>
      <c r="E582" s="175">
        <f t="shared" si="2"/>
        <v>-0.2230715769</v>
      </c>
      <c r="F582" s="175">
        <f>IFERROR(__xludf.DUMMYFUNCTION("average.weighted(filter(Data!K:K,Data!B:B=A582),filter(Data!F:F,Data!B:B=A582))"),-0.19179428415315813)</f>
        <v>-0.1917942842</v>
      </c>
      <c r="G582" s="175">
        <f>IFERROR(__xludf.DUMMYFUNCTION("average.weighted(filter(Data!L:L,Data!B:B=A582),filter(Data!F:F,Data!B:B=A582))"),-0.031277292778381295)</f>
        <v>-0.03127729278</v>
      </c>
    </row>
    <row r="583">
      <c r="A583" s="172" t="s">
        <v>819</v>
      </c>
      <c r="B583" s="173">
        <f>countif(Data!B:B,A583)</f>
        <v>3</v>
      </c>
      <c r="C583" s="174">
        <f>sumif(Data!B:B,A583,Data!M:M)</f>
        <v>1.556018355</v>
      </c>
      <c r="D583" s="174">
        <f t="shared" si="1"/>
        <v>0.518672785</v>
      </c>
      <c r="E583" s="175">
        <f t="shared" si="2"/>
        <v>-0.2251057327</v>
      </c>
      <c r="F583" s="175">
        <f>IFERROR(__xludf.DUMMYFUNCTION("average.weighted(filter(Data!K:K,Data!B:B=A583),filter(Data!F:F,Data!B:B=A583))"),-1.3682291960012685)</f>
        <v>-1.368229196</v>
      </c>
      <c r="G583" s="175">
        <f>IFERROR(__xludf.DUMMYFUNCTION("average.weighted(filter(Data!L:L,Data!B:B=A583),filter(Data!F:F,Data!B:B=A583))"),1.1431234633040182)</f>
        <v>1.143123463</v>
      </c>
    </row>
    <row r="584">
      <c r="A584" s="172" t="s">
        <v>820</v>
      </c>
      <c r="B584" s="173">
        <f>countif(Data!B:B,A584)</f>
        <v>2</v>
      </c>
      <c r="C584" s="174">
        <f>sumif(Data!B:B,A584,Data!M:M)</f>
        <v>0.08388675749</v>
      </c>
      <c r="D584" s="174">
        <f t="shared" si="1"/>
        <v>0.04194337875</v>
      </c>
      <c r="E584" s="175">
        <f t="shared" si="2"/>
        <v>-0.2248567057</v>
      </c>
      <c r="F584" s="175">
        <f>IFERROR(__xludf.DUMMYFUNCTION("average.weighted(filter(Data!K:K,Data!B:B=A584),filter(Data!F:F,Data!B:B=A584))"),0.06822634297822582)</f>
        <v>0.06822634298</v>
      </c>
      <c r="G584" s="175">
        <f>IFERROR(__xludf.DUMMYFUNCTION("average.weighted(filter(Data!L:L,Data!B:B=A584),filter(Data!F:F,Data!B:B=A584))"),-0.2930830486301937)</f>
        <v>-0.2930830486</v>
      </c>
    </row>
    <row r="585">
      <c r="A585" s="172" t="s">
        <v>821</v>
      </c>
      <c r="B585" s="173">
        <f>countif(Data!B:B,A585)</f>
        <v>1</v>
      </c>
      <c r="C585" s="174">
        <f>sumif(Data!B:B,A585,Data!M:M)</f>
        <v>0.07419236315</v>
      </c>
      <c r="D585" s="174">
        <f t="shared" si="1"/>
        <v>0.07419236315</v>
      </c>
      <c r="E585" s="175">
        <f t="shared" si="2"/>
        <v>-0.2955964179</v>
      </c>
      <c r="F585" s="175">
        <f>IFERROR(__xludf.DUMMYFUNCTION("average.weighted(filter(Data!K:K,Data!B:B=A585),filter(Data!F:F,Data!B:B=A585))"),0.0917446341192056)</f>
        <v>0.09174463412</v>
      </c>
      <c r="G585" s="175">
        <f>IFERROR(__xludf.DUMMYFUNCTION("average.weighted(filter(Data!L:L,Data!B:B=A585),filter(Data!F:F,Data!B:B=A585))"),-0.387341052002488)</f>
        <v>-0.387341052</v>
      </c>
    </row>
    <row r="586">
      <c r="A586" s="172" t="s">
        <v>822</v>
      </c>
      <c r="B586" s="173">
        <f>countif(Data!B:B,A586)</f>
        <v>7</v>
      </c>
      <c r="C586" s="174">
        <f>sumif(Data!B:B,A586,Data!M:M)</f>
        <v>11.96455174</v>
      </c>
      <c r="D586" s="174">
        <f t="shared" si="1"/>
        <v>1.709221677</v>
      </c>
      <c r="E586" s="175">
        <f t="shared" si="2"/>
        <v>-0.2369215861</v>
      </c>
      <c r="F586" s="175">
        <f>IFERROR(__xludf.DUMMYFUNCTION("average.weighted(filter(Data!K:K,Data!B:B=A586),filter(Data!F:F,Data!B:B=A586))"),1.3885834160710604)</f>
        <v>1.388583416</v>
      </c>
      <c r="G586" s="175">
        <f>IFERROR(__xludf.DUMMYFUNCTION("average.weighted(filter(Data!L:L,Data!B:B=A586),filter(Data!F:F,Data!B:B=A586))"),-1.625505002158319)</f>
        <v>-1.625505002</v>
      </c>
    </row>
    <row r="587">
      <c r="A587" s="172" t="s">
        <v>823</v>
      </c>
      <c r="B587" s="173">
        <f>countif(Data!B:B,A587)</f>
        <v>2</v>
      </c>
      <c r="C587" s="174">
        <f>sumif(Data!B:B,A587,Data!M:M)</f>
        <v>0.108759823</v>
      </c>
      <c r="D587" s="174">
        <f t="shared" si="1"/>
        <v>0.0543799115</v>
      </c>
      <c r="E587" s="175">
        <f t="shared" si="2"/>
        <v>-0.2384753003</v>
      </c>
      <c r="F587" s="175">
        <f>IFERROR(__xludf.DUMMYFUNCTION("average.weighted(filter(Data!K:K,Data!B:B=A587),filter(Data!F:F,Data!B:B=A587))"),-0.2678178578130782)</f>
        <v>-0.2678178578</v>
      </c>
      <c r="G587" s="175">
        <f>IFERROR(__xludf.DUMMYFUNCTION("average.weighted(filter(Data!L:L,Data!B:B=A587),filter(Data!F:F,Data!B:B=A587))"),0.029342557548407824)</f>
        <v>0.02934255755</v>
      </c>
    </row>
    <row r="588">
      <c r="A588" s="172" t="s">
        <v>824</v>
      </c>
      <c r="B588" s="173">
        <f>countif(Data!B:B,A588)</f>
        <v>2</v>
      </c>
      <c r="C588" s="174">
        <f>sumif(Data!B:B,A588,Data!M:M)</f>
        <v>0.5743978778</v>
      </c>
      <c r="D588" s="174">
        <f t="shared" si="1"/>
        <v>0.2871989389</v>
      </c>
      <c r="E588" s="175">
        <f t="shared" si="2"/>
        <v>-0.7003806824</v>
      </c>
      <c r="F588" s="175">
        <f>IFERROR(__xludf.DUMMYFUNCTION("average.weighted(filter(Data!K:K,Data!B:B=A588),filter(Data!F:F,Data!B:B=A588))"),-0.3861016332232991)</f>
        <v>-0.3861016332</v>
      </c>
      <c r="G588" s="175">
        <f>IFERROR(__xludf.DUMMYFUNCTION("average.weighted(filter(Data!L:L,Data!B:B=A588),filter(Data!F:F,Data!B:B=A588))"),-0.314279049144991)</f>
        <v>-0.3142790491</v>
      </c>
    </row>
    <row r="589">
      <c r="A589" s="172" t="s">
        <v>825</v>
      </c>
      <c r="B589" s="173">
        <f>countif(Data!B:B,A589)</f>
        <v>2</v>
      </c>
      <c r="C589" s="174">
        <f>sumif(Data!B:B,A589,Data!M:M)</f>
        <v>1.370948666</v>
      </c>
      <c r="D589" s="174">
        <f t="shared" si="1"/>
        <v>0.6854743329</v>
      </c>
      <c r="E589" s="175">
        <f t="shared" si="2"/>
        <v>-0.2404382906</v>
      </c>
      <c r="F589" s="175">
        <f>IFERROR(__xludf.DUMMYFUNCTION("average.weighted(filter(Data!K:K,Data!B:B=A589),filter(Data!F:F,Data!B:B=A589))"),-0.6802234496523254)</f>
        <v>-0.6802234497</v>
      </c>
      <c r="G589" s="175">
        <f>IFERROR(__xludf.DUMMYFUNCTION("average.weighted(filter(Data!L:L,Data!B:B=A589),filter(Data!F:F,Data!B:B=A589))"),0.43978515901984416)</f>
        <v>0.439785159</v>
      </c>
    </row>
    <row r="590">
      <c r="A590" s="172" t="s">
        <v>826</v>
      </c>
      <c r="B590" s="173">
        <f>countif(Data!B:B,A590)</f>
        <v>1</v>
      </c>
      <c r="C590" s="174">
        <f>sumif(Data!B:B,A590,Data!M:M)</f>
        <v>0.3840893563</v>
      </c>
      <c r="D590" s="174">
        <f t="shared" si="1"/>
        <v>0.3840893563</v>
      </c>
      <c r="E590" s="175">
        <f t="shared" si="2"/>
        <v>-0.2415113412</v>
      </c>
      <c r="F590" s="175">
        <f>IFERROR(__xludf.DUMMYFUNCTION("average.weighted(filter(Data!K:K,Data!B:B=A590),filter(Data!F:F,Data!B:B=A590))"),-0.830269751897077)</f>
        <v>-0.8302697519</v>
      </c>
      <c r="G590" s="175">
        <f>IFERROR(__xludf.DUMMYFUNCTION("average.weighted(filter(Data!L:L,Data!B:B=A590),filter(Data!F:F,Data!B:B=A590))"),0.588758410660289)</f>
        <v>0.5887584107</v>
      </c>
    </row>
    <row r="591">
      <c r="A591" s="172" t="s">
        <v>827</v>
      </c>
      <c r="B591" s="173">
        <f>countif(Data!B:B,A591)</f>
        <v>2</v>
      </c>
      <c r="C591" s="174">
        <f>sumif(Data!B:B,A591,Data!M:M)</f>
        <v>0.4952580481</v>
      </c>
      <c r="D591" s="174">
        <f t="shared" si="1"/>
        <v>0.2476290241</v>
      </c>
      <c r="E591" s="175">
        <f t="shared" si="2"/>
        <v>-0.7370208398</v>
      </c>
      <c r="F591" s="175">
        <f>IFERROR(__xludf.DUMMYFUNCTION("average.weighted(filter(Data!K:K,Data!B:B=A591),filter(Data!F:F,Data!B:B=A591))"),-0.8351942189004825)</f>
        <v>-0.8351942189</v>
      </c>
      <c r="G591" s="175">
        <f>IFERROR(__xludf.DUMMYFUNCTION("average.weighted(filter(Data!L:L,Data!B:B=A591),filter(Data!F:F,Data!B:B=A591))"),0.09817337909064847)</f>
        <v>0.09817337909</v>
      </c>
    </row>
    <row r="592">
      <c r="A592" s="172" t="s">
        <v>828</v>
      </c>
      <c r="B592" s="173">
        <f>countif(Data!B:B,A592)</f>
        <v>5</v>
      </c>
      <c r="C592" s="174">
        <f>sumif(Data!B:B,A592,Data!M:M)</f>
        <v>8.021909323</v>
      </c>
      <c r="D592" s="174">
        <f t="shared" si="1"/>
        <v>1.604381865</v>
      </c>
      <c r="E592" s="175">
        <f t="shared" si="2"/>
        <v>-0.245209268</v>
      </c>
      <c r="F592" s="175">
        <f>IFERROR(__xludf.DUMMYFUNCTION("average.weighted(filter(Data!K:K,Data!B:B=A592),filter(Data!F:F,Data!B:B=A592))"),0.4381556617378652)</f>
        <v>0.4381556617</v>
      </c>
      <c r="G592" s="175">
        <f>IFERROR(__xludf.DUMMYFUNCTION("average.weighted(filter(Data!L:L,Data!B:B=A592),filter(Data!F:F,Data!B:B=A592))"),-0.6833649297708206)</f>
        <v>-0.6833649298</v>
      </c>
    </row>
    <row r="593">
      <c r="A593" s="172" t="s">
        <v>829</v>
      </c>
      <c r="B593" s="173">
        <f>countif(Data!B:B,A593)</f>
        <v>1</v>
      </c>
      <c r="C593" s="174">
        <f>sumif(Data!B:B,A593,Data!M:M)</f>
        <v>0.0497689842</v>
      </c>
      <c r="D593" s="174">
        <f t="shared" si="1"/>
        <v>0.0497689842</v>
      </c>
      <c r="E593" s="175">
        <f t="shared" si="2"/>
        <v>-0.2399372051</v>
      </c>
      <c r="F593" s="175">
        <f>IFERROR(__xludf.DUMMYFUNCTION("average.weighted(filter(Data!K:K,Data!B:B=A593),filter(Data!F:F,Data!B:B=A593))"),0.106786056016415)</f>
        <v>0.106786056</v>
      </c>
      <c r="G593" s="175">
        <f>IFERROR(__xludf.DUMMYFUNCTION("average.weighted(filter(Data!L:L,Data!B:B=A593),filter(Data!F:F,Data!B:B=A593))"),-0.346723261126409)</f>
        <v>-0.3467232611</v>
      </c>
    </row>
    <row r="594">
      <c r="A594" s="172" t="s">
        <v>830</v>
      </c>
      <c r="B594" s="173">
        <f>countif(Data!B:B,A594)</f>
        <v>8</v>
      </c>
      <c r="C594" s="174">
        <f>sumif(Data!B:B,A594,Data!M:M)</f>
        <v>20.71900468</v>
      </c>
      <c r="D594" s="174">
        <f t="shared" si="1"/>
        <v>2.589875586</v>
      </c>
      <c r="E594" s="175">
        <f t="shared" si="2"/>
        <v>-0.2804545332</v>
      </c>
      <c r="F594" s="175">
        <f>IFERROR(__xludf.DUMMYFUNCTION("average.weighted(filter(Data!K:K,Data!B:B=A594),filter(Data!F:F,Data!B:B=A594))"),-0.053296015350201606)</f>
        <v>-0.05329601535</v>
      </c>
      <c r="G594" s="175">
        <f>IFERROR(__xludf.DUMMYFUNCTION("average.weighted(filter(Data!L:L,Data!B:B=A594),filter(Data!F:F,Data!B:B=A594))"),-0.22715851786804206)</f>
        <v>-0.2271585179</v>
      </c>
    </row>
    <row r="595">
      <c r="A595" s="172" t="s">
        <v>831</v>
      </c>
      <c r="B595" s="173">
        <f>countif(Data!B:B,A595)</f>
        <v>1</v>
      </c>
      <c r="C595" s="174">
        <f>sumif(Data!B:B,A595,Data!M:M)</f>
        <v>0.02625981876</v>
      </c>
      <c r="D595" s="174">
        <f t="shared" si="1"/>
        <v>0.02625981876</v>
      </c>
      <c r="E595" s="175">
        <f t="shared" si="2"/>
        <v>-0.2545345618</v>
      </c>
      <c r="F595" s="175">
        <f>IFERROR(__xludf.DUMMYFUNCTION("average.weighted(filter(Data!K:K,Data!B:B=A595),filter(Data!F:F,Data!B:B=A595))"),-0.0831110627124597)</f>
        <v>-0.08311106271</v>
      </c>
      <c r="G595" s="175">
        <f>IFERROR(__xludf.DUMMYFUNCTION("average.weighted(filter(Data!L:L,Data!B:B=A595),filter(Data!F:F,Data!B:B=A595))"),-0.171423499042863)</f>
        <v>-0.171423499</v>
      </c>
    </row>
    <row r="596">
      <c r="A596" s="172" t="s">
        <v>832</v>
      </c>
      <c r="B596" s="173">
        <f>countif(Data!B:B,A596)</f>
        <v>4</v>
      </c>
      <c r="C596" s="174">
        <f>sumif(Data!B:B,A596,Data!M:M)</f>
        <v>1.161029872</v>
      </c>
      <c r="D596" s="174">
        <f t="shared" si="1"/>
        <v>0.290257468</v>
      </c>
      <c r="E596" s="175">
        <f t="shared" si="2"/>
        <v>-0.2497976663</v>
      </c>
      <c r="F596" s="175">
        <f>IFERROR(__xludf.DUMMYFUNCTION("average.weighted(filter(Data!K:K,Data!B:B=A596),filter(Data!F:F,Data!B:B=A596))"),0.1711616494674688)</f>
        <v>0.1711616495</v>
      </c>
      <c r="G596" s="175">
        <f>IFERROR(__xludf.DUMMYFUNCTION("average.weighted(filter(Data!L:L,Data!B:B=A596),filter(Data!F:F,Data!B:B=A596))"),-0.4209593157313711)</f>
        <v>-0.4209593157</v>
      </c>
    </row>
    <row r="597">
      <c r="A597" s="172" t="s">
        <v>833</v>
      </c>
      <c r="B597" s="173">
        <f>countif(Data!B:B,A597)</f>
        <v>3</v>
      </c>
      <c r="C597" s="174">
        <f>sumif(Data!B:B,A597,Data!M:M)</f>
        <v>0.1734652503</v>
      </c>
      <c r="D597" s="174">
        <f t="shared" si="1"/>
        <v>0.05782175011</v>
      </c>
      <c r="E597" s="175">
        <f t="shared" si="2"/>
        <v>-0.2566964424</v>
      </c>
      <c r="F597" s="175">
        <f>IFERROR(__xludf.DUMMYFUNCTION("average.weighted(filter(Data!K:K,Data!B:B=A597),filter(Data!F:F,Data!B:B=A597))"),-0.10486767248039322)</f>
        <v>-0.1048676725</v>
      </c>
      <c r="G597" s="175">
        <f>IFERROR(__xludf.DUMMYFUNCTION("average.weighted(filter(Data!L:L,Data!B:B=A597),filter(Data!F:F,Data!B:B=A597))"),-0.15182876992109873)</f>
        <v>-0.1518287699</v>
      </c>
    </row>
    <row r="598">
      <c r="A598" s="172" t="s">
        <v>834</v>
      </c>
      <c r="B598" s="173">
        <f>countif(Data!B:B,A598)</f>
        <v>8</v>
      </c>
      <c r="C598" s="174">
        <f>sumif(Data!B:B,A598,Data!M:M)</f>
        <v>24.13324499</v>
      </c>
      <c r="D598" s="174">
        <f t="shared" si="1"/>
        <v>3.016655624</v>
      </c>
      <c r="E598" s="175">
        <f t="shared" si="2"/>
        <v>-0.2975279208</v>
      </c>
      <c r="F598" s="175">
        <f>IFERROR(__xludf.DUMMYFUNCTION("average.weighted(filter(Data!K:K,Data!B:B=A598),filter(Data!F:F,Data!B:B=A598))"),-0.9876379058851289)</f>
        <v>-0.9876379059</v>
      </c>
      <c r="G598" s="175">
        <f>IFERROR(__xludf.DUMMYFUNCTION("average.weighted(filter(Data!L:L,Data!B:B=A598),filter(Data!F:F,Data!B:B=A598))"),0.6901099851118524)</f>
        <v>0.6901099851</v>
      </c>
    </row>
    <row r="599">
      <c r="A599" s="172" t="s">
        <v>835</v>
      </c>
      <c r="B599" s="173">
        <f>countif(Data!B:B,A599)</f>
        <v>2</v>
      </c>
      <c r="C599" s="174">
        <f>sumif(Data!B:B,A599,Data!M:M)</f>
        <v>0.3377978862</v>
      </c>
      <c r="D599" s="174">
        <f t="shared" si="1"/>
        <v>0.1688989431</v>
      </c>
      <c r="E599" s="175">
        <f t="shared" si="2"/>
        <v>-0.2609585575</v>
      </c>
      <c r="F599" s="175">
        <f>IFERROR(__xludf.DUMMYFUNCTION("average.weighted(filter(Data!K:K,Data!B:B=A599),filter(Data!F:F,Data!B:B=A599))"),-0.4659515779113501)</f>
        <v>-0.4659515779</v>
      </c>
      <c r="G599" s="175">
        <f>IFERROR(__xludf.DUMMYFUNCTION("average.weighted(filter(Data!L:L,Data!B:B=A599),filter(Data!F:F,Data!B:B=A599))"),0.20499302042104312)</f>
        <v>0.2049930204</v>
      </c>
    </row>
    <row r="600">
      <c r="A600" s="172" t="s">
        <v>836</v>
      </c>
      <c r="B600" s="173">
        <f>countif(Data!B:B,A600)</f>
        <v>2</v>
      </c>
      <c r="C600" s="174">
        <f>sumif(Data!B:B,A600,Data!M:M)</f>
        <v>0.6820679651</v>
      </c>
      <c r="D600" s="174">
        <f t="shared" si="1"/>
        <v>0.3410339825</v>
      </c>
      <c r="E600" s="175">
        <f t="shared" si="2"/>
        <v>-0.4873018636</v>
      </c>
      <c r="F600" s="175">
        <f>IFERROR(__xludf.DUMMYFUNCTION("average.weighted(filter(Data!K:K,Data!B:B=A600),filter(Data!F:F,Data!B:B=A600))"),-0.22230383711408452)</f>
        <v>-0.2223038371</v>
      </c>
      <c r="G600" s="175">
        <f>IFERROR(__xludf.DUMMYFUNCTION("average.weighted(filter(Data!L:L,Data!B:B=A600),filter(Data!F:F,Data!B:B=A600))"),-0.2649980264904761)</f>
        <v>-0.2649980265</v>
      </c>
    </row>
    <row r="601">
      <c r="A601" s="172" t="s">
        <v>837</v>
      </c>
      <c r="B601" s="173">
        <f>countif(Data!B:B,A601)</f>
        <v>2</v>
      </c>
      <c r="C601" s="174">
        <f>sumif(Data!B:B,A601,Data!M:M)</f>
        <v>0.6235483883</v>
      </c>
      <c r="D601" s="174">
        <f t="shared" si="1"/>
        <v>0.3117741942</v>
      </c>
      <c r="E601" s="175">
        <f t="shared" si="2"/>
        <v>-0.2629752579</v>
      </c>
      <c r="F601" s="175">
        <f>IFERROR(__xludf.DUMMYFUNCTION("average.weighted(filter(Data!K:K,Data!B:B=A601),filter(Data!F:F,Data!B:B=A601))"),-0.5384261766987994)</f>
        <v>-0.5384261767</v>
      </c>
      <c r="G601" s="175">
        <f>IFERROR(__xludf.DUMMYFUNCTION("average.weighted(filter(Data!L:L,Data!B:B=A601),filter(Data!F:F,Data!B:B=A601))"),0.27545091875434485)</f>
        <v>0.2754509188</v>
      </c>
    </row>
    <row r="602">
      <c r="A602" s="172" t="s">
        <v>838</v>
      </c>
      <c r="B602" s="173">
        <f>countif(Data!B:B,A602)</f>
        <v>1</v>
      </c>
      <c r="C602" s="174">
        <f>sumif(Data!B:B,A602,Data!M:M)</f>
        <v>0.4627953077</v>
      </c>
      <c r="D602" s="174">
        <f t="shared" si="1"/>
        <v>0.4627953077</v>
      </c>
      <c r="E602" s="175">
        <f t="shared" si="2"/>
        <v>-0.2638334118</v>
      </c>
      <c r="F602" s="175">
        <f>IFERROR(__xludf.DUMMYFUNCTION("average.weighted(filter(Data!K:K,Data!B:B=A602),filter(Data!F:F,Data!B:B=A602))"),-1.91994310148743)</f>
        <v>-1.919943101</v>
      </c>
      <c r="G602" s="175">
        <f>IFERROR(__xludf.DUMMYFUNCTION("average.weighted(filter(Data!L:L,Data!B:B=A602),filter(Data!F:F,Data!B:B=A602))"),1.65610968967294)</f>
        <v>1.65610969</v>
      </c>
    </row>
    <row r="603">
      <c r="A603" s="172" t="s">
        <v>839</v>
      </c>
      <c r="B603" s="173">
        <f>countif(Data!B:B,A603)</f>
        <v>2</v>
      </c>
      <c r="C603" s="174">
        <f>sumif(Data!B:B,A603,Data!M:M)</f>
        <v>0.4784494852</v>
      </c>
      <c r="D603" s="174">
        <f t="shared" si="1"/>
        <v>0.2392247426</v>
      </c>
      <c r="E603" s="175">
        <f t="shared" si="2"/>
        <v>-0.5435354075</v>
      </c>
      <c r="F603" s="175">
        <f>IFERROR(__xludf.DUMMYFUNCTION("average.weighted(filter(Data!K:K,Data!B:B=A603),filter(Data!F:F,Data!B:B=A603))"),-0.17057182888127034)</f>
        <v>-0.1705718289</v>
      </c>
      <c r="G603" s="175">
        <f>IFERROR(__xludf.DUMMYFUNCTION("average.weighted(filter(Data!L:L,Data!B:B=A603),filter(Data!F:F,Data!B:B=A603))"),-0.3729635786066351)</f>
        <v>-0.3729635786</v>
      </c>
    </row>
    <row r="604">
      <c r="A604" s="172" t="s">
        <v>840</v>
      </c>
      <c r="B604" s="173">
        <f>countif(Data!B:B,A604)</f>
        <v>3</v>
      </c>
      <c r="C604" s="174">
        <f>sumif(Data!B:B,A604,Data!M:M)</f>
        <v>2.069726204</v>
      </c>
      <c r="D604" s="174">
        <f t="shared" si="1"/>
        <v>0.6899087346</v>
      </c>
      <c r="E604" s="175">
        <f t="shared" si="2"/>
        <v>-0.2707814097</v>
      </c>
      <c r="F604" s="175">
        <f>IFERROR(__xludf.DUMMYFUNCTION("average.weighted(filter(Data!K:K,Data!B:B=A604),filter(Data!F:F,Data!B:B=A604))"),0.9377199347581074)</f>
        <v>0.9377199348</v>
      </c>
      <c r="G604" s="175">
        <f>IFERROR(__xludf.DUMMYFUNCTION("average.weighted(filter(Data!L:L,Data!B:B=A604),filter(Data!F:F,Data!B:B=A604))"),-1.2085013444859765)</f>
        <v>-1.208501344</v>
      </c>
    </row>
    <row r="605">
      <c r="A605" s="172" t="s">
        <v>841</v>
      </c>
      <c r="B605" s="173">
        <f>countif(Data!B:B,A605)</f>
        <v>1</v>
      </c>
      <c r="C605" s="174">
        <f>sumif(Data!B:B,A605,Data!M:M)</f>
        <v>0.002658656266</v>
      </c>
      <c r="D605" s="174">
        <f t="shared" si="1"/>
        <v>0.002658656266</v>
      </c>
      <c r="E605" s="175">
        <f t="shared" si="2"/>
        <v>-0.2713141855</v>
      </c>
      <c r="F605" s="175">
        <f>IFERROR(__xludf.DUMMYFUNCTION("average.weighted(filter(Data!K:K,Data!B:B=A605),filter(Data!F:F,Data!B:B=A605))"),-0.116270074385948)</f>
        <v>-0.1162700744</v>
      </c>
      <c r="G605" s="175">
        <f>IFERROR(__xludf.DUMMYFUNCTION("average.weighted(filter(Data!L:L,Data!B:B=A605),filter(Data!F:F,Data!B:B=A605))"),-0.155044111154596)</f>
        <v>-0.1550441112</v>
      </c>
    </row>
    <row r="606">
      <c r="A606" s="172" t="s">
        <v>842</v>
      </c>
      <c r="B606" s="173">
        <f>countif(Data!B:B,A606)</f>
        <v>2</v>
      </c>
      <c r="C606" s="174">
        <f>sumif(Data!B:B,A606,Data!M:M)</f>
        <v>0.6064228499</v>
      </c>
      <c r="D606" s="174">
        <f t="shared" si="1"/>
        <v>0.303211425</v>
      </c>
      <c r="E606" s="175">
        <f t="shared" si="2"/>
        <v>-0.2733998984</v>
      </c>
      <c r="F606" s="175">
        <f>IFERROR(__xludf.DUMMYFUNCTION("average.weighted(filter(Data!K:K,Data!B:B=A606),filter(Data!F:F,Data!B:B=A606))"),-0.08554970754403621)</f>
        <v>-0.08554970754</v>
      </c>
      <c r="G606" s="175">
        <f>IFERROR(__xludf.DUMMYFUNCTION("average.weighted(filter(Data!L:L,Data!B:B=A606),filter(Data!F:F,Data!B:B=A606))"),-0.18785019084087246)</f>
        <v>-0.1878501908</v>
      </c>
    </row>
    <row r="607">
      <c r="A607" s="172" t="s">
        <v>843</v>
      </c>
      <c r="B607" s="173">
        <f>countif(Data!B:B,A607)</f>
        <v>1</v>
      </c>
      <c r="C607" s="174">
        <f>sumif(Data!B:B,A607,Data!M:M)</f>
        <v>0.005086495565</v>
      </c>
      <c r="D607" s="174">
        <f t="shared" si="1"/>
        <v>0.005086495565</v>
      </c>
      <c r="E607" s="175">
        <f t="shared" si="2"/>
        <v>-0.2748295573</v>
      </c>
      <c r="F607" s="175">
        <f>IFERROR(__xludf.DUMMYFUNCTION("average.weighted(filter(Data!K:K,Data!B:B=A607),filter(Data!F:F,Data!B:B=A607))"),-0.251748019075183)</f>
        <v>-0.2517480191</v>
      </c>
      <c r="G607" s="175">
        <f>IFERROR(__xludf.DUMMYFUNCTION("average.weighted(filter(Data!L:L,Data!B:B=A607),filter(Data!F:F,Data!B:B=A607))"),-0.0230815382343841)</f>
        <v>-0.02308153823</v>
      </c>
    </row>
    <row r="608">
      <c r="A608" s="172" t="s">
        <v>844</v>
      </c>
      <c r="B608" s="173">
        <f>countif(Data!B:B,A608)</f>
        <v>4</v>
      </c>
      <c r="C608" s="174">
        <f>sumif(Data!B:B,A608,Data!M:M)</f>
        <v>7.587578997</v>
      </c>
      <c r="D608" s="174">
        <f t="shared" si="1"/>
        <v>1.896894749</v>
      </c>
      <c r="E608" s="175">
        <f t="shared" si="2"/>
        <v>-0.2843101121</v>
      </c>
      <c r="F608" s="175">
        <f>IFERROR(__xludf.DUMMYFUNCTION("average.weighted(filter(Data!K:K,Data!B:B=A608),filter(Data!F:F,Data!B:B=A608))"),0.07036712858207833)</f>
        <v>0.07036712858</v>
      </c>
      <c r="G608" s="175">
        <f>IFERROR(__xludf.DUMMYFUNCTION("average.weighted(filter(Data!L:L,Data!B:B=A608),filter(Data!F:F,Data!B:B=A608))"),-0.35467724065424844)</f>
        <v>-0.3546772407</v>
      </c>
    </row>
    <row r="609">
      <c r="A609" s="172" t="s">
        <v>845</v>
      </c>
      <c r="B609" s="173">
        <f>countif(Data!B:B,A609)</f>
        <v>1</v>
      </c>
      <c r="C609" s="174">
        <f>sumif(Data!B:B,A609,Data!M:M)</f>
        <v>0.5052079057</v>
      </c>
      <c r="D609" s="174">
        <f t="shared" si="1"/>
        <v>0.5052079057</v>
      </c>
      <c r="E609" s="175">
        <f t="shared" si="2"/>
        <v>-0.8296162427</v>
      </c>
      <c r="F609" s="175">
        <f>IFERROR(__xludf.DUMMYFUNCTION("average.weighted(filter(Data!K:K,Data!B:B=A609),filter(Data!F:F,Data!B:B=A609))"),-1.61859158887542)</f>
        <v>-1.618591589</v>
      </c>
      <c r="G609" s="175">
        <f>IFERROR(__xludf.DUMMYFUNCTION("average.weighted(filter(Data!L:L,Data!B:B=A609),filter(Data!F:F,Data!B:B=A609))"),0.78897534614609)</f>
        <v>0.7889753461</v>
      </c>
    </row>
    <row r="610">
      <c r="A610" s="172" t="s">
        <v>846</v>
      </c>
      <c r="B610" s="173">
        <f>countif(Data!B:B,A610)</f>
        <v>1</v>
      </c>
      <c r="C610" s="174">
        <f>sumif(Data!B:B,A610,Data!M:M)</f>
        <v>0</v>
      </c>
      <c r="D610" s="174">
        <f t="shared" si="1"/>
        <v>0</v>
      </c>
      <c r="E610" s="175">
        <f t="shared" si="2"/>
        <v>0.03798952272</v>
      </c>
      <c r="F610" s="175">
        <f>IFERROR(__xludf.DUMMYFUNCTION("average.weighted(filter(Data!K:K,Data!B:B=A610),filter(Data!F:F,Data!B:B=A610))"),0.0513951590391788)</f>
        <v>0.05139515904</v>
      </c>
      <c r="G610" s="175">
        <f>IFERROR(__xludf.DUMMYFUNCTION("average.weighted(filter(Data!L:L,Data!B:B=A610),filter(Data!F:F,Data!B:B=A610))"),-0.0134056363214161)</f>
        <v>-0.01340563632</v>
      </c>
    </row>
    <row r="611">
      <c r="A611" s="172" t="s">
        <v>847</v>
      </c>
      <c r="B611" s="173">
        <f>countif(Data!B:B,A611)</f>
        <v>4</v>
      </c>
      <c r="C611" s="174">
        <f>sumif(Data!B:B,A611,Data!M:M)</f>
        <v>7.976184825</v>
      </c>
      <c r="D611" s="174">
        <f t="shared" si="1"/>
        <v>1.994046206</v>
      </c>
      <c r="E611" s="175">
        <f t="shared" si="2"/>
        <v>-0.2892440852</v>
      </c>
      <c r="F611" s="175">
        <f>IFERROR(__xludf.DUMMYFUNCTION("average.weighted(filter(Data!K:K,Data!B:B=A611),filter(Data!F:F,Data!B:B=A611))"),-0.9781838627254715)</f>
        <v>-0.9781838627</v>
      </c>
      <c r="G611" s="175">
        <f>IFERROR(__xludf.DUMMYFUNCTION("average.weighted(filter(Data!L:L,Data!B:B=A611),filter(Data!F:F,Data!B:B=A611))"),0.6889397775006665)</f>
        <v>0.6889397775</v>
      </c>
    </row>
    <row r="612">
      <c r="A612" s="172" t="s">
        <v>848</v>
      </c>
      <c r="B612" s="173">
        <f>countif(Data!B:B,A612)</f>
        <v>2</v>
      </c>
      <c r="C612" s="174">
        <f>sumif(Data!B:B,A612,Data!M:M)</f>
        <v>0.02345239166</v>
      </c>
      <c r="D612" s="174">
        <f t="shared" si="1"/>
        <v>0.01172619583</v>
      </c>
      <c r="E612" s="175">
        <f t="shared" si="2"/>
        <v>-0.294028145</v>
      </c>
      <c r="F612" s="175">
        <f>IFERROR(__xludf.DUMMYFUNCTION("average.weighted(filter(Data!K:K,Data!B:B=A612),filter(Data!F:F,Data!B:B=A612))"),-0.3525084905835469)</f>
        <v>-0.3525084906</v>
      </c>
      <c r="G612" s="175">
        <f>IFERROR(__xludf.DUMMYFUNCTION("average.weighted(filter(Data!L:L,Data!B:B=A612),filter(Data!F:F,Data!B:B=A612))"),0.058480345606775924)</f>
        <v>0.05848034561</v>
      </c>
    </row>
    <row r="613">
      <c r="A613" s="172" t="s">
        <v>849</v>
      </c>
      <c r="B613" s="173">
        <f>countif(Data!B:B,A613)</f>
        <v>1</v>
      </c>
      <c r="C613" s="174">
        <f>sumif(Data!B:B,A613,Data!M:M)</f>
        <v>0.01745972124</v>
      </c>
      <c r="D613" s="174">
        <f t="shared" si="1"/>
        <v>0.01745972124</v>
      </c>
      <c r="E613" s="175">
        <f t="shared" si="2"/>
        <v>-0.2997246784</v>
      </c>
      <c r="F613" s="175">
        <f>IFERROR(__xludf.DUMMYFUNCTION("average.weighted(filter(Data!K:K,Data!B:B=A613),filter(Data!F:F,Data!B:B=A613))"),-0.224562135888953)</f>
        <v>-0.2245621359</v>
      </c>
      <c r="G613" s="175">
        <f>IFERROR(__xludf.DUMMYFUNCTION("average.weighted(filter(Data!L:L,Data!B:B=A613),filter(Data!F:F,Data!B:B=A613))"),-0.0751625425399133)</f>
        <v>-0.07516254254</v>
      </c>
    </row>
    <row r="614">
      <c r="A614" s="172" t="s">
        <v>850</v>
      </c>
      <c r="B614" s="173">
        <f>countif(Data!B:B,A614)</f>
        <v>6</v>
      </c>
      <c r="C614" s="174">
        <f>sumif(Data!B:B,A614,Data!M:M)</f>
        <v>11.19286209</v>
      </c>
      <c r="D614" s="174">
        <f t="shared" si="1"/>
        <v>1.865477015</v>
      </c>
      <c r="E614" s="175">
        <f t="shared" si="2"/>
        <v>-0.2999346621</v>
      </c>
      <c r="F614" s="175">
        <f>IFERROR(__xludf.DUMMYFUNCTION("average.weighted(filter(Data!K:K,Data!B:B=A614),filter(Data!F:F,Data!B:B=A614))"),-0.18658768102433781)</f>
        <v>-0.186587681</v>
      </c>
      <c r="G614" s="175">
        <f>IFERROR(__xludf.DUMMYFUNCTION("average.weighted(filter(Data!L:L,Data!B:B=A614),filter(Data!F:F,Data!B:B=A614))"),-0.11334698108791173)</f>
        <v>-0.1133469811</v>
      </c>
    </row>
    <row r="615">
      <c r="A615" s="172" t="s">
        <v>851</v>
      </c>
      <c r="B615" s="173">
        <f>countif(Data!B:B,A615)</f>
        <v>1</v>
      </c>
      <c r="C615" s="174">
        <f>sumif(Data!B:B,A615,Data!M:M)</f>
        <v>0.04444338187</v>
      </c>
      <c r="D615" s="174">
        <f t="shared" si="1"/>
        <v>0.04444338187</v>
      </c>
      <c r="E615" s="175">
        <f t="shared" si="2"/>
        <v>-0.3045403417</v>
      </c>
      <c r="F615" s="175">
        <f>IFERROR(__xludf.DUMMYFUNCTION("average.weighted(filter(Data!K:K,Data!B:B=A615),filter(Data!F:F,Data!B:B=A615))"),-0.589705903963865)</f>
        <v>-0.589705904</v>
      </c>
      <c r="G615" s="175">
        <f>IFERROR(__xludf.DUMMYFUNCTION("average.weighted(filter(Data!L:L,Data!B:B=A615),filter(Data!F:F,Data!B:B=A615))"),0.285165562269211)</f>
        <v>0.2851655623</v>
      </c>
    </row>
    <row r="616">
      <c r="A616" s="172" t="s">
        <v>852</v>
      </c>
      <c r="B616" s="173">
        <f>countif(Data!B:B,A616)</f>
        <v>4</v>
      </c>
      <c r="C616" s="174">
        <f>sumif(Data!B:B,A616,Data!M:M)</f>
        <v>10.64034569</v>
      </c>
      <c r="D616" s="174">
        <f t="shared" si="1"/>
        <v>2.660086423</v>
      </c>
      <c r="E616" s="175">
        <f t="shared" si="2"/>
        <v>-0.3076317778</v>
      </c>
      <c r="F616" s="175">
        <f>IFERROR(__xludf.DUMMYFUNCTION("average.weighted(filter(Data!K:K,Data!B:B=A616),filter(Data!F:F,Data!B:B=A616))"),-0.11395903455131465)</f>
        <v>-0.1139590346</v>
      </c>
      <c r="G616" s="175">
        <f>IFERROR(__xludf.DUMMYFUNCTION("average.weighted(filter(Data!L:L,Data!B:B=A616),filter(Data!F:F,Data!B:B=A616))"),-0.19367274324408953)</f>
        <v>-0.1936727432</v>
      </c>
    </row>
    <row r="617">
      <c r="A617" s="172" t="s">
        <v>853</v>
      </c>
      <c r="B617" s="173">
        <f>countif(Data!B:B,A617)</f>
        <v>1</v>
      </c>
      <c r="C617" s="174">
        <f>sumif(Data!B:B,A617,Data!M:M)</f>
        <v>0.01316445051</v>
      </c>
      <c r="D617" s="174">
        <f t="shared" si="1"/>
        <v>0.01316445051</v>
      </c>
      <c r="E617" s="175">
        <f t="shared" si="2"/>
        <v>-0.3077161627</v>
      </c>
      <c r="F617" s="175">
        <f>IFERROR(__xludf.DUMMYFUNCTION("average.weighted(filter(Data!K:K,Data!B:B=A617),filter(Data!F:F,Data!B:B=A617))"),-0.294635300503535)</f>
        <v>-0.2946353005</v>
      </c>
      <c r="G617" s="175">
        <f>IFERROR(__xludf.DUMMYFUNCTION("average.weighted(filter(Data!L:L,Data!B:B=A617),filter(Data!F:F,Data!B:B=A617))"),-0.0130808621827786)</f>
        <v>-0.01308086218</v>
      </c>
    </row>
    <row r="618">
      <c r="A618" s="172" t="s">
        <v>854</v>
      </c>
      <c r="B618" s="173">
        <f>countif(Data!B:B,A618)</f>
        <v>3</v>
      </c>
      <c r="C618" s="174">
        <f>sumif(Data!B:B,A618,Data!M:M)</f>
        <v>3.795917963</v>
      </c>
      <c r="D618" s="174">
        <f t="shared" si="1"/>
        <v>1.265305988</v>
      </c>
      <c r="E618" s="175">
        <f t="shared" si="2"/>
        <v>-0.3101821172</v>
      </c>
      <c r="F618" s="175">
        <f>IFERROR(__xludf.DUMMYFUNCTION("average.weighted(filter(Data!K:K,Data!B:B=A618),filter(Data!F:F,Data!B:B=A618))"),-1.8774669055902207)</f>
        <v>-1.877466906</v>
      </c>
      <c r="G618" s="175">
        <f>IFERROR(__xludf.DUMMYFUNCTION("average.weighted(filter(Data!L:L,Data!B:B=A618),filter(Data!F:F,Data!B:B=A618))"),1.5672847883484184)</f>
        <v>1.567284788</v>
      </c>
    </row>
    <row r="619">
      <c r="A619" s="172" t="s">
        <v>855</v>
      </c>
      <c r="B619" s="173">
        <f>countif(Data!B:B,A619)</f>
        <v>1</v>
      </c>
      <c r="C619" s="174">
        <f>sumif(Data!B:B,A619,Data!M:M)</f>
        <v>0.04842619753</v>
      </c>
      <c r="D619" s="174">
        <f t="shared" si="1"/>
        <v>0.04842619753</v>
      </c>
      <c r="E619" s="175">
        <f t="shared" si="2"/>
        <v>-0.3097990805</v>
      </c>
      <c r="F619" s="175">
        <f>IFERROR(__xludf.DUMMYFUNCTION("average.weighted(filter(Data!K:K,Data!B:B=A619),filter(Data!F:F,Data!B:B=A619))"),-0.25189124071412)</f>
        <v>-0.2518912407</v>
      </c>
      <c r="G619" s="175">
        <f>IFERROR(__xludf.DUMMYFUNCTION("average.weighted(filter(Data!L:L,Data!B:B=A619),filter(Data!F:F,Data!B:B=A619))"),-0.0579078397810301)</f>
        <v>-0.05790783978</v>
      </c>
    </row>
    <row r="620">
      <c r="A620" s="172" t="s">
        <v>856</v>
      </c>
      <c r="B620" s="173">
        <f>countif(Data!B:B,A620)</f>
        <v>2</v>
      </c>
      <c r="C620" s="174">
        <f>sumif(Data!B:B,A620,Data!M:M)</f>
        <v>0.1201808469</v>
      </c>
      <c r="D620" s="174">
        <f t="shared" si="1"/>
        <v>0.06009042344</v>
      </c>
      <c r="E620" s="175">
        <f t="shared" si="2"/>
        <v>-0.3104012494</v>
      </c>
      <c r="F620" s="175">
        <f>IFERROR(__xludf.DUMMYFUNCTION("average.weighted(filter(Data!K:K,Data!B:B=A620),filter(Data!F:F,Data!B:B=A620))"),-0.13784555855908878)</f>
        <v>-0.1378455586</v>
      </c>
      <c r="G620" s="175">
        <f>IFERROR(__xludf.DUMMYFUNCTION("average.weighted(filter(Data!L:L,Data!B:B=A620),filter(Data!F:F,Data!B:B=A620))"),-0.17255569079098332)</f>
        <v>-0.1725556908</v>
      </c>
    </row>
    <row r="621">
      <c r="A621" s="172" t="s">
        <v>857</v>
      </c>
      <c r="B621" s="173">
        <f>countif(Data!B:B,A621)</f>
        <v>8</v>
      </c>
      <c r="C621" s="174">
        <f>sumif(Data!B:B,A621,Data!M:M)</f>
        <v>23.2027116</v>
      </c>
      <c r="D621" s="174">
        <f t="shared" si="1"/>
        <v>2.90033895</v>
      </c>
      <c r="E621" s="175">
        <f t="shared" si="2"/>
        <v>-0.2771029373</v>
      </c>
      <c r="F621" s="175">
        <f>IFERROR(__xludf.DUMMYFUNCTION("average.weighted(filter(Data!K:K,Data!B:B=A621),filter(Data!F:F,Data!B:B=A621))"),-0.5190653360957881)</f>
        <v>-0.5190653361</v>
      </c>
      <c r="G621" s="175">
        <f>IFERROR(__xludf.DUMMYFUNCTION("average.weighted(filter(Data!L:L,Data!B:B=A621),filter(Data!F:F,Data!B:B=A621))"),0.24196239884476586)</f>
        <v>0.2419623988</v>
      </c>
    </row>
    <row r="622">
      <c r="A622" s="172" t="s">
        <v>858</v>
      </c>
      <c r="B622" s="173">
        <f>countif(Data!B:B,A622)</f>
        <v>1</v>
      </c>
      <c r="C622" s="174">
        <f>sumif(Data!B:B,A622,Data!M:M)</f>
        <v>0.008813612515</v>
      </c>
      <c r="D622" s="174">
        <f t="shared" si="1"/>
        <v>0.008813612515</v>
      </c>
      <c r="E622" s="175">
        <f t="shared" si="2"/>
        <v>-0.3139674232</v>
      </c>
      <c r="F622" s="175">
        <f>IFERROR(__xludf.DUMMYFUNCTION("average.weighted(filter(Data!K:K,Data!B:B=A622),filter(Data!F:F,Data!B:B=A622))"),-0.256893461776458)</f>
        <v>-0.2568934618</v>
      </c>
      <c r="G622" s="175">
        <f>IFERROR(__xludf.DUMMYFUNCTION("average.weighted(filter(Data!L:L,Data!B:B=A622),filter(Data!F:F,Data!B:B=A622))"),-0.0570739614255154)</f>
        <v>-0.05707396143</v>
      </c>
    </row>
    <row r="623">
      <c r="A623" s="172" t="s">
        <v>859</v>
      </c>
      <c r="B623" s="173">
        <f>countif(Data!B:B,A623)</f>
        <v>2</v>
      </c>
      <c r="C623" s="174">
        <f>sumif(Data!B:B,A623,Data!M:M)</f>
        <v>0.1197688564</v>
      </c>
      <c r="D623" s="174">
        <f t="shared" si="1"/>
        <v>0.05988442821</v>
      </c>
      <c r="E623" s="175">
        <f t="shared" si="2"/>
        <v>-0.1093444539</v>
      </c>
      <c r="F623" s="175">
        <f>IFERROR(__xludf.DUMMYFUNCTION("average.weighted(filter(Data!K:K,Data!B:B=A623),filter(Data!F:F,Data!B:B=A623))"),-0.14864341255408542)</f>
        <v>-0.1486434126</v>
      </c>
      <c r="G623" s="175">
        <f>IFERROR(__xludf.DUMMYFUNCTION("average.weighted(filter(Data!L:L,Data!B:B=A623),filter(Data!F:F,Data!B:B=A623))"),0.039298958698085903)</f>
        <v>0.0392989587</v>
      </c>
    </row>
    <row r="624">
      <c r="A624" s="172" t="s">
        <v>860</v>
      </c>
      <c r="B624" s="173">
        <f>countif(Data!B:B,A624)</f>
        <v>2</v>
      </c>
      <c r="C624" s="174">
        <f>sumif(Data!B:B,A624,Data!M:M)</f>
        <v>0.07779903269</v>
      </c>
      <c r="D624" s="174">
        <f t="shared" si="1"/>
        <v>0.03889951635</v>
      </c>
      <c r="E624" s="175">
        <f t="shared" si="2"/>
        <v>-0.335918418</v>
      </c>
      <c r="F624" s="175">
        <f>IFERROR(__xludf.DUMMYFUNCTION("average.weighted(filter(Data!K:K,Data!B:B=A624),filter(Data!F:F,Data!B:B=A624))"),-0.22410724890514974)</f>
        <v>-0.2241072489</v>
      </c>
      <c r="G624" s="175">
        <f>IFERROR(__xludf.DUMMYFUNCTION("average.weighted(filter(Data!L:L,Data!B:B=A624),filter(Data!F:F,Data!B:B=A624))"),-0.1118111690745187)</f>
        <v>-0.1118111691</v>
      </c>
    </row>
    <row r="625">
      <c r="A625" s="172" t="s">
        <v>861</v>
      </c>
      <c r="B625" s="173">
        <f>countif(Data!B:B,A625)</f>
        <v>1</v>
      </c>
      <c r="C625" s="174">
        <f>sumif(Data!B:B,A625,Data!M:M)</f>
        <v>0.03802740768</v>
      </c>
      <c r="D625" s="174">
        <f t="shared" si="1"/>
        <v>0.03802740768</v>
      </c>
      <c r="E625" s="175">
        <f t="shared" si="2"/>
        <v>-0.323705224</v>
      </c>
      <c r="F625" s="175">
        <f>IFERROR(__xludf.DUMMYFUNCTION("average.weighted(filter(Data!K:K,Data!B:B=A625),filter(Data!F:F,Data!B:B=A625))"),-0.15224164220775)</f>
        <v>-0.1522416422</v>
      </c>
      <c r="G625" s="175">
        <f>IFERROR(__xludf.DUMMYFUNCTION("average.weighted(filter(Data!L:L,Data!B:B=A625),filter(Data!F:F,Data!B:B=A625))"),-0.17146358182136)</f>
        <v>-0.1714635818</v>
      </c>
    </row>
    <row r="626">
      <c r="A626" s="172" t="s">
        <v>862</v>
      </c>
      <c r="B626" s="173">
        <f>countif(Data!B:B,A626)</f>
        <v>3</v>
      </c>
      <c r="C626" s="174">
        <f>sumif(Data!B:B,A626,Data!M:M)</f>
        <v>5.865020833</v>
      </c>
      <c r="D626" s="174">
        <f t="shared" si="1"/>
        <v>1.955006944</v>
      </c>
      <c r="E626" s="175">
        <f t="shared" si="2"/>
        <v>-0.2839837818</v>
      </c>
      <c r="F626" s="175">
        <f>IFERROR(__xludf.DUMMYFUNCTION("average.weighted(filter(Data!K:K,Data!B:B=A626),filter(Data!F:F,Data!B:B=A626))"),-0.4200485788734068)</f>
        <v>-0.4200485789</v>
      </c>
      <c r="G626" s="175">
        <f>IFERROR(__xludf.DUMMYFUNCTION("average.weighted(filter(Data!L:L,Data!B:B=A626),filter(Data!F:F,Data!B:B=A626))"),0.13606479703311222)</f>
        <v>0.136064797</v>
      </c>
    </row>
    <row r="627">
      <c r="A627" s="172" t="s">
        <v>863</v>
      </c>
      <c r="B627" s="173">
        <f>countif(Data!B:B,A627)</f>
        <v>5</v>
      </c>
      <c r="C627" s="174">
        <f>sumif(Data!B:B,A627,Data!M:M)</f>
        <v>4.436267608</v>
      </c>
      <c r="D627" s="174">
        <f t="shared" si="1"/>
        <v>0.8872535216</v>
      </c>
      <c r="E627" s="175">
        <f t="shared" si="2"/>
        <v>-0.329358822</v>
      </c>
      <c r="F627" s="175">
        <f>IFERROR(__xludf.DUMMYFUNCTION("average.weighted(filter(Data!K:K,Data!B:B=A627),filter(Data!F:F,Data!B:B=A627))"),-1.145494876839297)</f>
        <v>-1.145494877</v>
      </c>
      <c r="G627" s="175">
        <f>IFERROR(__xludf.DUMMYFUNCTION("average.weighted(filter(Data!L:L,Data!B:B=A627),filter(Data!F:F,Data!B:B=A627))"),0.8161360548730778)</f>
        <v>0.8161360549</v>
      </c>
    </row>
    <row r="628">
      <c r="A628" s="172" t="s">
        <v>864</v>
      </c>
      <c r="B628" s="173">
        <f>countif(Data!B:B,A628)</f>
        <v>1</v>
      </c>
      <c r="C628" s="174">
        <f>sumif(Data!B:B,A628,Data!M:M)</f>
        <v>0.02010657777</v>
      </c>
      <c r="D628" s="174">
        <f t="shared" si="1"/>
        <v>0.02010657777</v>
      </c>
      <c r="E628" s="175">
        <f t="shared" si="2"/>
        <v>-0.3353854878</v>
      </c>
      <c r="F628" s="175">
        <f>IFERROR(__xludf.DUMMYFUNCTION("average.weighted(filter(Data!K:K,Data!B:B=A628),filter(Data!F:F,Data!B:B=A628))"),-0.107835926894759)</f>
        <v>-0.1078359269</v>
      </c>
      <c r="G628" s="175">
        <f>IFERROR(__xludf.DUMMYFUNCTION("average.weighted(filter(Data!L:L,Data!B:B=A628),filter(Data!F:F,Data!B:B=A628))"),-0.227549560951705)</f>
        <v>-0.227549561</v>
      </c>
    </row>
    <row r="629">
      <c r="A629" s="172" t="s">
        <v>865</v>
      </c>
      <c r="B629" s="173">
        <f>countif(Data!B:B,A629)</f>
        <v>7</v>
      </c>
      <c r="C629" s="174">
        <f>sumif(Data!B:B,A629,Data!M:M)</f>
        <v>14.48597807</v>
      </c>
      <c r="D629" s="174">
        <f t="shared" si="1"/>
        <v>2.069425439</v>
      </c>
      <c r="E629" s="175">
        <f t="shared" si="2"/>
        <v>-0.3783562544</v>
      </c>
      <c r="F629" s="175">
        <f>IFERROR(__xludf.DUMMYFUNCTION("average.weighted(filter(Data!K:K,Data!B:B=A629),filter(Data!F:F,Data!B:B=A629))"),0.356879653621418)</f>
        <v>0.3568796536</v>
      </c>
      <c r="G629" s="175">
        <f>IFERROR(__xludf.DUMMYFUNCTION("average.weighted(filter(Data!L:L,Data!B:B=A629),filter(Data!F:F,Data!B:B=A629))"),-0.7352359080477372)</f>
        <v>-0.735235908</v>
      </c>
    </row>
    <row r="630">
      <c r="A630" s="172" t="s">
        <v>866</v>
      </c>
      <c r="B630" s="173">
        <f>countif(Data!B:B,A630)</f>
        <v>2</v>
      </c>
      <c r="C630" s="174">
        <f>sumif(Data!B:B,A630,Data!M:M)</f>
        <v>0.1870766289</v>
      </c>
      <c r="D630" s="174">
        <f t="shared" si="1"/>
        <v>0.09353831447</v>
      </c>
      <c r="E630" s="175">
        <f t="shared" si="2"/>
        <v>-0.3406621832</v>
      </c>
      <c r="F630" s="175">
        <f>IFERROR(__xludf.DUMMYFUNCTION("average.weighted(filter(Data!K:K,Data!B:B=A630),filter(Data!F:F,Data!B:B=A630))"),-0.4271716098532434)</f>
        <v>-0.4271716099</v>
      </c>
      <c r="G630" s="175">
        <f>IFERROR(__xludf.DUMMYFUNCTION("average.weighted(filter(Data!L:L,Data!B:B=A630),filter(Data!F:F,Data!B:B=A630))"),0.08650942667062458)</f>
        <v>0.08650942667</v>
      </c>
    </row>
    <row r="631">
      <c r="A631" s="172" t="s">
        <v>867</v>
      </c>
      <c r="B631" s="173">
        <f>countif(Data!B:B,A631)</f>
        <v>1</v>
      </c>
      <c r="C631" s="174">
        <f>sumif(Data!B:B,A631,Data!M:M)</f>
        <v>0.0833732537</v>
      </c>
      <c r="D631" s="174">
        <f t="shared" si="1"/>
        <v>0.0833732537</v>
      </c>
      <c r="E631" s="175">
        <f t="shared" si="2"/>
        <v>-0.3433618355</v>
      </c>
      <c r="F631" s="175">
        <f>IFERROR(__xludf.DUMMYFUNCTION("average.weighted(filter(Data!K:K,Data!B:B=A631),filter(Data!F:F,Data!B:B=A631))"),-0.318579701174065)</f>
        <v>-0.3185797012</v>
      </c>
      <c r="G631" s="175">
        <f>IFERROR(__xludf.DUMMYFUNCTION("average.weighted(filter(Data!L:L,Data!B:B=A631),filter(Data!F:F,Data!B:B=A631))"),-0.0247821343518347)</f>
        <v>-0.02478213435</v>
      </c>
    </row>
    <row r="632">
      <c r="A632" s="172" t="s">
        <v>868</v>
      </c>
      <c r="B632" s="173">
        <f>countif(Data!B:B,A632)</f>
        <v>1</v>
      </c>
      <c r="C632" s="174">
        <f>sumif(Data!B:B,A632,Data!M:M)</f>
        <v>0.03515227442</v>
      </c>
      <c r="D632" s="174">
        <f t="shared" si="1"/>
        <v>0.03515227442</v>
      </c>
      <c r="E632" s="175">
        <f t="shared" si="2"/>
        <v>-0.3448518324</v>
      </c>
      <c r="F632" s="175">
        <f>IFERROR(__xludf.DUMMYFUNCTION("average.weighted(filter(Data!K:K,Data!B:B=A632),filter(Data!F:F,Data!B:B=A632))"),-0.207018025799748)</f>
        <v>-0.2070180258</v>
      </c>
      <c r="G632" s="175">
        <f>IFERROR(__xludf.DUMMYFUNCTION("average.weighted(filter(Data!L:L,Data!B:B=A632),filter(Data!F:F,Data!B:B=A632))"),-0.137833806561606)</f>
        <v>-0.1378338066</v>
      </c>
    </row>
    <row r="633">
      <c r="A633" s="172" t="s">
        <v>869</v>
      </c>
      <c r="B633" s="173">
        <f>countif(Data!B:B,A633)</f>
        <v>2</v>
      </c>
      <c r="C633" s="174">
        <f>sumif(Data!B:B,A633,Data!M:M)</f>
        <v>0.2648065931</v>
      </c>
      <c r="D633" s="174">
        <f t="shared" si="1"/>
        <v>0.1324032966</v>
      </c>
      <c r="E633" s="175">
        <f t="shared" si="2"/>
        <v>-0.3449826778</v>
      </c>
      <c r="F633" s="175">
        <f>IFERROR(__xludf.DUMMYFUNCTION("average.weighted(filter(Data!K:K,Data!B:B=A633),filter(Data!F:F,Data!B:B=A633))"),-0.282084672555075)</f>
        <v>-0.2820846726</v>
      </c>
      <c r="G633" s="175">
        <f>IFERROR(__xludf.DUMMYFUNCTION("average.weighted(filter(Data!L:L,Data!B:B=A633),filter(Data!F:F,Data!B:B=A633))"),-0.06289800521071032)</f>
        <v>-0.06289800521</v>
      </c>
    </row>
    <row r="634">
      <c r="A634" s="172" t="s">
        <v>870</v>
      </c>
      <c r="B634" s="173">
        <f>countif(Data!B:B,A634)</f>
        <v>1</v>
      </c>
      <c r="C634" s="174">
        <f>sumif(Data!B:B,A634,Data!M:M)</f>
        <v>0.06505638666</v>
      </c>
      <c r="D634" s="174">
        <f t="shared" si="1"/>
        <v>0.06505638666</v>
      </c>
      <c r="E634" s="175">
        <f t="shared" si="2"/>
        <v>-0.3492852671</v>
      </c>
      <c r="F634" s="175">
        <f>IFERROR(__xludf.DUMMYFUNCTION("average.weighted(filter(Data!K:K,Data!B:B=A634),filter(Data!F:F,Data!B:B=A634))"),-0.167105787902535)</f>
        <v>-0.1671057879</v>
      </c>
      <c r="G634" s="175">
        <f>IFERROR(__xludf.DUMMYFUNCTION("average.weighted(filter(Data!L:L,Data!B:B=A634),filter(Data!F:F,Data!B:B=A634))"),-0.182179479240613)</f>
        <v>-0.1821794792</v>
      </c>
    </row>
    <row r="635">
      <c r="A635" s="172" t="s">
        <v>871</v>
      </c>
      <c r="B635" s="173">
        <f>countif(Data!B:B,A635)</f>
        <v>8</v>
      </c>
      <c r="C635" s="174">
        <f>sumif(Data!B:B,A635,Data!M:M)</f>
        <v>11.99277862</v>
      </c>
      <c r="D635" s="174">
        <f t="shared" si="1"/>
        <v>1.499097327</v>
      </c>
      <c r="E635" s="175">
        <f t="shared" si="2"/>
        <v>-0.3547396517</v>
      </c>
      <c r="F635" s="175">
        <f>IFERROR(__xludf.DUMMYFUNCTION("average.weighted(filter(Data!K:K,Data!B:B=A635),filter(Data!F:F,Data!B:B=A635))"),-0.9226930221648979)</f>
        <v>-0.9226930222</v>
      </c>
      <c r="G635" s="175">
        <f>IFERROR(__xludf.DUMMYFUNCTION("average.weighted(filter(Data!L:L,Data!B:B=A635),filter(Data!F:F,Data!B:B=A635))"),0.5679533704832844)</f>
        <v>0.5679533705</v>
      </c>
    </row>
    <row r="636">
      <c r="A636" s="172" t="s">
        <v>872</v>
      </c>
      <c r="B636" s="173">
        <f>countif(Data!B:B,A636)</f>
        <v>1</v>
      </c>
      <c r="C636" s="174">
        <f>sumif(Data!B:B,A636,Data!M:M)</f>
        <v>0.01326159247</v>
      </c>
      <c r="D636" s="174">
        <f t="shared" si="1"/>
        <v>0.01326159247</v>
      </c>
      <c r="E636" s="175">
        <f t="shared" si="2"/>
        <v>-0.3551293124</v>
      </c>
      <c r="F636" s="175">
        <f>IFERROR(__xludf.DUMMYFUNCTION("average.weighted(filter(Data!K:K,Data!B:B=A636),filter(Data!F:F,Data!B:B=A636))"),-0.287738270836991)</f>
        <v>-0.2877382708</v>
      </c>
      <c r="G636" s="175">
        <f>IFERROR(__xludf.DUMMYFUNCTION("average.weighted(filter(Data!L:L,Data!B:B=A636),filter(Data!F:F,Data!B:B=A636))"),-0.0673910415402477)</f>
        <v>-0.06739104154</v>
      </c>
    </row>
    <row r="637">
      <c r="A637" s="172" t="s">
        <v>873</v>
      </c>
      <c r="B637" s="173">
        <f>countif(Data!B:B,A637)</f>
        <v>1</v>
      </c>
      <c r="C637" s="174">
        <f>sumif(Data!B:B,A637,Data!M:M)</f>
        <v>0.007674372019</v>
      </c>
      <c r="D637" s="174">
        <f t="shared" si="1"/>
        <v>0.007674372019</v>
      </c>
      <c r="E637" s="175">
        <f t="shared" si="2"/>
        <v>-0.3574192248</v>
      </c>
      <c r="F637" s="175">
        <f>IFERROR(__xludf.DUMMYFUNCTION("average.weighted(filter(Data!K:K,Data!B:B=A637),filter(Data!F:F,Data!B:B=A637))"),0.0382459395538235)</f>
        <v>0.03824593955</v>
      </c>
      <c r="G637" s="175">
        <f>IFERROR(__xludf.DUMMYFUNCTION("average.weighted(filter(Data!L:L,Data!B:B=A637),filter(Data!F:F,Data!B:B=A637))"),-0.395665164367841)</f>
        <v>-0.3956651644</v>
      </c>
    </row>
    <row r="638">
      <c r="A638" s="172" t="s">
        <v>874</v>
      </c>
      <c r="B638" s="173">
        <f>countif(Data!B:B,A638)</f>
        <v>3</v>
      </c>
      <c r="C638" s="174">
        <f>sumif(Data!B:B,A638,Data!M:M)</f>
        <v>2.098289633</v>
      </c>
      <c r="D638" s="174">
        <f t="shared" si="1"/>
        <v>0.6994298775</v>
      </c>
      <c r="E638" s="175">
        <f t="shared" si="2"/>
        <v>-0.3577154671</v>
      </c>
      <c r="F638" s="175">
        <f>IFERROR(__xludf.DUMMYFUNCTION("average.weighted(filter(Data!K:K,Data!B:B=A638),filter(Data!F:F,Data!B:B=A638))"),-0.6793644886077154)</f>
        <v>-0.6793644886</v>
      </c>
      <c r="G638" s="175">
        <f>IFERROR(__xludf.DUMMYFUNCTION("average.weighted(filter(Data!L:L,Data!B:B=A638),filter(Data!F:F,Data!B:B=A638))"),0.32164902150255853)</f>
        <v>0.3216490215</v>
      </c>
    </row>
    <row r="639">
      <c r="A639" s="172" t="s">
        <v>875</v>
      </c>
      <c r="B639" s="173">
        <f>countif(Data!B:B,A639)</f>
        <v>5</v>
      </c>
      <c r="C639" s="174">
        <f>sumif(Data!B:B,A639,Data!M:M)</f>
        <v>6.900700753</v>
      </c>
      <c r="D639" s="174">
        <f t="shared" si="1"/>
        <v>1.380140151</v>
      </c>
      <c r="E639" s="175">
        <f t="shared" si="2"/>
        <v>-0.3601798761</v>
      </c>
      <c r="F639" s="175">
        <f>IFERROR(__xludf.DUMMYFUNCTION("average.weighted(filter(Data!K:K,Data!B:B=A639),filter(Data!F:F,Data!B:B=A639))"),-0.41498058126531806)</f>
        <v>-0.4149805813</v>
      </c>
      <c r="G639" s="175">
        <f>IFERROR(__xludf.DUMMYFUNCTION("average.weighted(filter(Data!L:L,Data!B:B=A639),filter(Data!F:F,Data!B:B=A639))"),0.05480070514412355)</f>
        <v>0.05480070514</v>
      </c>
    </row>
    <row r="640">
      <c r="A640" s="172" t="s">
        <v>876</v>
      </c>
      <c r="B640" s="173">
        <f>countif(Data!B:B,A640)</f>
        <v>1</v>
      </c>
      <c r="C640" s="174">
        <f>sumif(Data!B:B,A640,Data!M:M)</f>
        <v>0.002618622167</v>
      </c>
      <c r="D640" s="174">
        <f t="shared" si="1"/>
        <v>0.002618622167</v>
      </c>
      <c r="E640" s="175">
        <f t="shared" si="2"/>
        <v>-0.3607593806</v>
      </c>
      <c r="F640" s="175">
        <f>IFERROR(__xludf.DUMMYFUNCTION("average.weighted(filter(Data!K:K,Data!B:B=A640),filter(Data!F:F,Data!B:B=A640))"),-0.287735769025259)</f>
        <v>-0.287735769</v>
      </c>
      <c r="G640" s="175">
        <f>IFERROR(__xludf.DUMMYFUNCTION("average.weighted(filter(Data!L:L,Data!B:B=A640),filter(Data!F:F,Data!B:B=A640))"),-0.0730236115489261)</f>
        <v>-0.07302361155</v>
      </c>
    </row>
    <row r="641">
      <c r="A641" s="172" t="s">
        <v>877</v>
      </c>
      <c r="B641" s="173">
        <f>countif(Data!B:B,A641)</f>
        <v>3</v>
      </c>
      <c r="C641" s="174">
        <f>sumif(Data!B:B,A641,Data!M:M)</f>
        <v>1.720330639</v>
      </c>
      <c r="D641" s="174">
        <f t="shared" si="1"/>
        <v>0.5734435462</v>
      </c>
      <c r="E641" s="175">
        <f t="shared" si="2"/>
        <v>-0.3636014078</v>
      </c>
      <c r="F641" s="175">
        <f>IFERROR(__xludf.DUMMYFUNCTION("average.weighted(filter(Data!K:K,Data!B:B=A641),filter(Data!F:F,Data!B:B=A641))"),-1.8280582441833413)</f>
        <v>-1.828058244</v>
      </c>
      <c r="G641" s="175">
        <f>IFERROR(__xludf.DUMMYFUNCTION("average.weighted(filter(Data!L:L,Data!B:B=A641),filter(Data!F:F,Data!B:B=A641))"),1.4644568363846255)</f>
        <v>1.464456836</v>
      </c>
    </row>
    <row r="642">
      <c r="A642" s="172" t="s">
        <v>878</v>
      </c>
      <c r="B642" s="173">
        <f>countif(Data!B:B,A642)</f>
        <v>1</v>
      </c>
      <c r="C642" s="174">
        <f>sumif(Data!B:B,A642,Data!M:M)</f>
        <v>0.3207610657</v>
      </c>
      <c r="D642" s="174">
        <f t="shared" si="1"/>
        <v>0.3207610657</v>
      </c>
      <c r="E642" s="175">
        <f t="shared" si="2"/>
        <v>-0.3648890963</v>
      </c>
      <c r="F642" s="175">
        <f>IFERROR(__xludf.DUMMYFUNCTION("average.weighted(filter(Data!K:K,Data!B:B=A642),filter(Data!F:F,Data!B:B=A642))"),-0.372869019472792)</f>
        <v>-0.3728690195</v>
      </c>
      <c r="G642" s="175">
        <f>IFERROR(__xludf.DUMMYFUNCTION("average.weighted(filter(Data!L:L,Data!B:B=A642),filter(Data!F:F,Data!B:B=A642))"),0.00797992312623097)</f>
        <v>0.007979923126</v>
      </c>
    </row>
    <row r="643">
      <c r="A643" s="172" t="s">
        <v>879</v>
      </c>
      <c r="B643" s="173">
        <f>countif(Data!B:B,A643)</f>
        <v>8</v>
      </c>
      <c r="C643" s="174">
        <f>sumif(Data!B:B,A643,Data!M:M)</f>
        <v>14.8842677</v>
      </c>
      <c r="D643" s="174">
        <f t="shared" si="1"/>
        <v>1.860533462</v>
      </c>
      <c r="E643" s="175">
        <f t="shared" si="2"/>
        <v>-0.3684147503</v>
      </c>
      <c r="F643" s="175">
        <f>IFERROR(__xludf.DUMMYFUNCTION("average.weighted(filter(Data!K:K,Data!B:B=A643),filter(Data!F:F,Data!B:B=A643))"),0.07775927295463914)</f>
        <v>0.07775927295</v>
      </c>
      <c r="G643" s="175">
        <f>IFERROR(__xludf.DUMMYFUNCTION("average.weighted(filter(Data!L:L,Data!B:B=A643),filter(Data!F:F,Data!B:B=A643))"),-0.4461740232415705)</f>
        <v>-0.4461740232</v>
      </c>
    </row>
    <row r="644">
      <c r="A644" s="172" t="s">
        <v>880</v>
      </c>
      <c r="B644" s="173">
        <f>countif(Data!B:B,A644)</f>
        <v>8</v>
      </c>
      <c r="C644" s="174">
        <f>sumif(Data!B:B,A644,Data!M:M)</f>
        <v>9.620208925</v>
      </c>
      <c r="D644" s="174">
        <f t="shared" si="1"/>
        <v>1.202526116</v>
      </c>
      <c r="E644" s="175">
        <f t="shared" si="2"/>
        <v>-0.4568031315</v>
      </c>
      <c r="F644" s="175">
        <f>IFERROR(__xludf.DUMMYFUNCTION("average.weighted(filter(Data!K:K,Data!B:B=A644),filter(Data!F:F,Data!B:B=A644))"),-1.4294258150899484)</f>
        <v>-1.429425815</v>
      </c>
      <c r="G644" s="175">
        <f>IFERROR(__xludf.DUMMYFUNCTION("average.weighted(filter(Data!L:L,Data!B:B=A644),filter(Data!F:F,Data!B:B=A644))"),0.9726226835865832)</f>
        <v>0.9726226836</v>
      </c>
    </row>
    <row r="645">
      <c r="A645" s="172" t="s">
        <v>881</v>
      </c>
      <c r="B645" s="173">
        <f>countif(Data!B:B,A645)</f>
        <v>7</v>
      </c>
      <c r="C645" s="174">
        <f>sumif(Data!B:B,A645,Data!M:M)</f>
        <v>10.26782897</v>
      </c>
      <c r="D645" s="174">
        <f t="shared" si="1"/>
        <v>1.46683271</v>
      </c>
      <c r="E645" s="175">
        <f t="shared" si="2"/>
        <v>-0.3689975546</v>
      </c>
      <c r="F645" s="175">
        <f>IFERROR(__xludf.DUMMYFUNCTION("average.weighted(filter(Data!K:K,Data!B:B=A645),filter(Data!F:F,Data!B:B=A645))"),-1.3704968520393133)</f>
        <v>-1.370496852</v>
      </c>
      <c r="G645" s="175">
        <f>IFERROR(__xludf.DUMMYFUNCTION("average.weighted(filter(Data!L:L,Data!B:B=A645),filter(Data!F:F,Data!B:B=A645))"),1.0014992974545947)</f>
        <v>1.001499297</v>
      </c>
    </row>
    <row r="646">
      <c r="A646" s="172" t="s">
        <v>882</v>
      </c>
      <c r="B646" s="173">
        <f>countif(Data!B:B,A646)</f>
        <v>1</v>
      </c>
      <c r="C646" s="174">
        <f>sumif(Data!B:B,A646,Data!M:M)</f>
        <v>0.1058384836</v>
      </c>
      <c r="D646" s="174">
        <f t="shared" si="1"/>
        <v>0.1058384836</v>
      </c>
      <c r="E646" s="175">
        <f t="shared" si="2"/>
        <v>-0.003149216448</v>
      </c>
      <c r="F646" s="175">
        <f>IFERROR(__xludf.DUMMYFUNCTION("average.weighted(filter(Data!K:K,Data!B:B=A646),filter(Data!F:F,Data!B:B=A646))"),-0.0106148860470203)</f>
        <v>-0.01061488605</v>
      </c>
      <c r="G646" s="175">
        <f>IFERROR(__xludf.DUMMYFUNCTION("average.weighted(filter(Data!L:L,Data!B:B=A646),filter(Data!F:F,Data!B:B=A646))"),0.00746566959894307)</f>
        <v>0.007465669599</v>
      </c>
    </row>
    <row r="647">
      <c r="A647" s="172" t="s">
        <v>883</v>
      </c>
      <c r="B647" s="173">
        <f>countif(Data!B:B,A647)</f>
        <v>5</v>
      </c>
      <c r="C647" s="174">
        <f>sumif(Data!B:B,A647,Data!M:M)</f>
        <v>14.38070496</v>
      </c>
      <c r="D647" s="174">
        <f t="shared" si="1"/>
        <v>2.876140992</v>
      </c>
      <c r="E647" s="175">
        <f t="shared" si="2"/>
        <v>-0.3693189639</v>
      </c>
      <c r="F647" s="175">
        <f>IFERROR(__xludf.DUMMYFUNCTION("average.weighted(filter(Data!K:K,Data!B:B=A647),filter(Data!F:F,Data!B:B=A647))"),0.6687668247113818)</f>
        <v>0.6687668247</v>
      </c>
      <c r="G647" s="175">
        <f>IFERROR(__xludf.DUMMYFUNCTION("average.weighted(filter(Data!L:L,Data!B:B=A647),filter(Data!F:F,Data!B:B=A647))"),-1.0380857886392805)</f>
        <v>-1.038085789</v>
      </c>
    </row>
    <row r="648">
      <c r="A648" s="172" t="s">
        <v>884</v>
      </c>
      <c r="B648" s="173">
        <f>countif(Data!B:B,A648)</f>
        <v>5</v>
      </c>
      <c r="C648" s="174">
        <f>sumif(Data!B:B,A648,Data!M:M)</f>
        <v>8.796430352</v>
      </c>
      <c r="D648" s="174">
        <f t="shared" si="1"/>
        <v>1.75928607</v>
      </c>
      <c r="E648" s="175">
        <f t="shared" si="2"/>
        <v>-0.3583257652</v>
      </c>
      <c r="F648" s="175">
        <f>IFERROR(__xludf.DUMMYFUNCTION("average.weighted(filter(Data!K:K,Data!B:B=A648),filter(Data!F:F,Data!B:B=A648))"),-0.009270191107651994)</f>
        <v>-0.009270191108</v>
      </c>
      <c r="G648" s="175">
        <f>IFERROR(__xludf.DUMMYFUNCTION("average.weighted(filter(Data!L:L,Data!B:B=A648),filter(Data!F:F,Data!B:B=A648))"),-0.34905557408081467)</f>
        <v>-0.3490555741</v>
      </c>
    </row>
    <row r="649">
      <c r="A649" s="172" t="s">
        <v>885</v>
      </c>
      <c r="B649" s="173">
        <f>countif(Data!B:B,A649)</f>
        <v>1</v>
      </c>
      <c r="C649" s="174">
        <f>sumif(Data!B:B,A649,Data!M:M)</f>
        <v>0.06030181524</v>
      </c>
      <c r="D649" s="174">
        <f t="shared" si="1"/>
        <v>0.06030181524</v>
      </c>
      <c r="E649" s="175">
        <f t="shared" si="2"/>
        <v>-0.3715590882</v>
      </c>
      <c r="F649" s="175">
        <f>IFERROR(__xludf.DUMMYFUNCTION("average.weighted(filter(Data!K:K,Data!B:B=A649),filter(Data!F:F,Data!B:B=A649))"),-0.140404322035327)</f>
        <v>-0.140404322</v>
      </c>
      <c r="G649" s="175">
        <f>IFERROR(__xludf.DUMMYFUNCTION("average.weighted(filter(Data!L:L,Data!B:B=A649),filter(Data!F:F,Data!B:B=A649))"),-0.231154766202214)</f>
        <v>-0.2311547662</v>
      </c>
    </row>
    <row r="650">
      <c r="A650" s="172" t="s">
        <v>886</v>
      </c>
      <c r="B650" s="173">
        <f>countif(Data!B:B,A650)</f>
        <v>3</v>
      </c>
      <c r="C650" s="174">
        <f>sumif(Data!B:B,A650,Data!M:M)</f>
        <v>3.481296091</v>
      </c>
      <c r="D650" s="174">
        <f t="shared" si="1"/>
        <v>1.16043203</v>
      </c>
      <c r="E650" s="175">
        <f t="shared" si="2"/>
        <v>-0.3720870005</v>
      </c>
      <c r="F650" s="175">
        <f>IFERROR(__xludf.DUMMYFUNCTION("average.weighted(filter(Data!K:K,Data!B:B=A650),filter(Data!F:F,Data!B:B=A650))"),-0.11583072589065443)</f>
        <v>-0.1158307259</v>
      </c>
      <c r="G650" s="175">
        <f>IFERROR(__xludf.DUMMYFUNCTION("average.weighted(filter(Data!L:L,Data!B:B=A650),filter(Data!F:F,Data!B:B=A650))"),-0.2562562745724537)</f>
        <v>-0.2562562746</v>
      </c>
    </row>
    <row r="651">
      <c r="A651" s="172" t="s">
        <v>887</v>
      </c>
      <c r="B651" s="173">
        <f>countif(Data!B:B,A651)</f>
        <v>1</v>
      </c>
      <c r="C651" s="174">
        <f>sumif(Data!B:B,A651,Data!M:M)</f>
        <v>0.07279184765</v>
      </c>
      <c r="D651" s="174">
        <f t="shared" si="1"/>
        <v>0.07279184765</v>
      </c>
      <c r="E651" s="175">
        <f t="shared" si="2"/>
        <v>-0.3735479348</v>
      </c>
      <c r="F651" s="175">
        <f>IFERROR(__xludf.DUMMYFUNCTION("average.weighted(filter(Data!K:K,Data!B:B=A651),filter(Data!F:F,Data!B:B=A651))"),-0.243011329568655)</f>
        <v>-0.2430113296</v>
      </c>
      <c r="G651" s="175">
        <f>IFERROR(__xludf.DUMMYFUNCTION("average.weighted(filter(Data!L:L,Data!B:B=A651),filter(Data!F:F,Data!B:B=A651))"),-0.130536605207417)</f>
        <v>-0.1305366052</v>
      </c>
    </row>
    <row r="652">
      <c r="A652" s="172" t="s">
        <v>888</v>
      </c>
      <c r="B652" s="173">
        <f>countif(Data!B:B,A652)</f>
        <v>6</v>
      </c>
      <c r="C652" s="174">
        <f>sumif(Data!B:B,A652,Data!M:M)</f>
        <v>12.3834968</v>
      </c>
      <c r="D652" s="174">
        <f t="shared" si="1"/>
        <v>2.063916134</v>
      </c>
      <c r="E652" s="175">
        <f t="shared" si="2"/>
        <v>-0.3735905229</v>
      </c>
      <c r="F652" s="175">
        <f>IFERROR(__xludf.DUMMYFUNCTION("average.weighted(filter(Data!K:K,Data!B:B=A652),filter(Data!F:F,Data!B:B=A652))"),0.25965087462612635)</f>
        <v>0.2596508746</v>
      </c>
      <c r="G652" s="175">
        <f>IFERROR(__xludf.DUMMYFUNCTION("average.weighted(filter(Data!L:L,Data!B:B=A652),filter(Data!F:F,Data!B:B=A652))"),-0.6332413974985367)</f>
        <v>-0.6332413975</v>
      </c>
    </row>
    <row r="653">
      <c r="A653" s="172" t="s">
        <v>889</v>
      </c>
      <c r="B653" s="173">
        <f>countif(Data!B:B,A653)</f>
        <v>1</v>
      </c>
      <c r="C653" s="174">
        <f>sumif(Data!B:B,A653,Data!M:M)</f>
        <v>0.02014808772</v>
      </c>
      <c r="D653" s="174">
        <f t="shared" si="1"/>
        <v>0.02014808772</v>
      </c>
      <c r="E653" s="175">
        <f t="shared" si="2"/>
        <v>-0.375155247</v>
      </c>
      <c r="F653" s="175">
        <f>IFERROR(__xludf.DUMMYFUNCTION("average.weighted(filter(Data!K:K,Data!B:B=A653),filter(Data!F:F,Data!B:B=A653))"),-0.142953397254535)</f>
        <v>-0.1429533973</v>
      </c>
      <c r="G653" s="175">
        <f>IFERROR(__xludf.DUMMYFUNCTION("average.weighted(filter(Data!L:L,Data!B:B=A653),filter(Data!F:F,Data!B:B=A653))"),-0.232201849766605)</f>
        <v>-0.2322018498</v>
      </c>
    </row>
    <row r="654">
      <c r="A654" s="172" t="s">
        <v>890</v>
      </c>
      <c r="B654" s="173">
        <f>countif(Data!B:B,A654)</f>
        <v>5</v>
      </c>
      <c r="C654" s="174">
        <f>sumif(Data!B:B,A654,Data!M:M)</f>
        <v>4.392597647</v>
      </c>
      <c r="D654" s="174">
        <f t="shared" si="1"/>
        <v>0.8785195293</v>
      </c>
      <c r="E654" s="175">
        <f t="shared" si="2"/>
        <v>-0.296843316</v>
      </c>
      <c r="F654" s="175">
        <f>IFERROR(__xludf.DUMMYFUNCTION("average.weighted(filter(Data!K:K,Data!B:B=A654),filter(Data!F:F,Data!B:B=A654))"),0.03379108926855686)</f>
        <v>0.03379108927</v>
      </c>
      <c r="G654" s="175">
        <f>IFERROR(__xludf.DUMMYFUNCTION("average.weighted(filter(Data!L:L,Data!B:B=A654),filter(Data!F:F,Data!B:B=A654))"),-0.3306344052643578)</f>
        <v>-0.3306344053</v>
      </c>
    </row>
    <row r="655">
      <c r="A655" s="172" t="s">
        <v>891</v>
      </c>
      <c r="B655" s="173">
        <f>countif(Data!B:B,A655)</f>
        <v>1</v>
      </c>
      <c r="C655" s="174">
        <f>sumif(Data!B:B,A655,Data!M:M)</f>
        <v>1.098942355</v>
      </c>
      <c r="D655" s="174">
        <f t="shared" si="1"/>
        <v>1.098942355</v>
      </c>
      <c r="E655" s="175">
        <f t="shared" si="2"/>
        <v>-0.3788204345</v>
      </c>
      <c r="F655" s="175">
        <f>IFERROR(__xludf.DUMMYFUNCTION("average.weighted(filter(Data!K:K,Data!B:B=A655),filter(Data!F:F,Data!B:B=A655))"),-1.52420081801833)</f>
        <v>-1.524200818</v>
      </c>
      <c r="G655" s="175">
        <f>IFERROR(__xludf.DUMMYFUNCTION("average.weighted(filter(Data!L:L,Data!B:B=A655),filter(Data!F:F,Data!B:B=A655))"),1.14538038350884)</f>
        <v>1.145380384</v>
      </c>
    </row>
    <row r="656">
      <c r="A656" s="172" t="s">
        <v>892</v>
      </c>
      <c r="B656" s="173">
        <f>countif(Data!B:B,A656)</f>
        <v>8</v>
      </c>
      <c r="C656" s="174">
        <f>sumif(Data!B:B,A656,Data!M:M)</f>
        <v>16.5330132</v>
      </c>
      <c r="D656" s="174">
        <f t="shared" si="1"/>
        <v>2.06662665</v>
      </c>
      <c r="E656" s="175">
        <f t="shared" si="2"/>
        <v>-0.4126391855</v>
      </c>
      <c r="F656" s="175">
        <f>IFERROR(__xludf.DUMMYFUNCTION("average.weighted(filter(Data!K:K,Data!B:B=A656),filter(Data!F:F,Data!B:B=A656))"),-0.3115535975161156)</f>
        <v>-0.3115535975</v>
      </c>
      <c r="G656" s="175">
        <f>IFERROR(__xludf.DUMMYFUNCTION("average.weighted(filter(Data!L:L,Data!B:B=A656),filter(Data!F:F,Data!B:B=A656))"),-0.10108558794220239)</f>
        <v>-0.1010855879</v>
      </c>
    </row>
    <row r="657">
      <c r="A657" s="172" t="s">
        <v>893</v>
      </c>
      <c r="B657" s="173">
        <f>countif(Data!B:B,A657)</f>
        <v>6</v>
      </c>
      <c r="C657" s="174">
        <f>sumif(Data!B:B,A657,Data!M:M)</f>
        <v>7.696753732</v>
      </c>
      <c r="D657" s="174">
        <f t="shared" si="1"/>
        <v>1.282792289</v>
      </c>
      <c r="E657" s="175">
        <f t="shared" si="2"/>
        <v>-0.3812937279</v>
      </c>
      <c r="F657" s="175">
        <f>IFERROR(__xludf.DUMMYFUNCTION("average.weighted(filter(Data!K:K,Data!B:B=A657),filter(Data!F:F,Data!B:B=A657))"),-0.18988374765419466)</f>
        <v>-0.1898837477</v>
      </c>
      <c r="G657" s="175">
        <f>IFERROR(__xludf.DUMMYFUNCTION("average.weighted(filter(Data!L:L,Data!B:B=A657),filter(Data!F:F,Data!B:B=A657))"),-0.19140998020789657)</f>
        <v>-0.1914099802</v>
      </c>
    </row>
    <row r="658">
      <c r="A658" s="172" t="s">
        <v>894</v>
      </c>
      <c r="B658" s="173">
        <f>countif(Data!B:B,A658)</f>
        <v>2</v>
      </c>
      <c r="C658" s="174">
        <f>sumif(Data!B:B,A658,Data!M:M)</f>
        <v>0.1375765831</v>
      </c>
      <c r="D658" s="174">
        <f t="shared" si="1"/>
        <v>0.06878829154</v>
      </c>
      <c r="E658" s="175">
        <f t="shared" si="2"/>
        <v>-0.3925837519</v>
      </c>
      <c r="F658" s="175">
        <f>IFERROR(__xludf.DUMMYFUNCTION("average.weighted(filter(Data!K:K,Data!B:B=A658),filter(Data!F:F,Data!B:B=A658))"),-0.3242613204539449)</f>
        <v>-0.3242613205</v>
      </c>
      <c r="G658" s="175">
        <f>IFERROR(__xludf.DUMMYFUNCTION("average.weighted(filter(Data!L:L,Data!B:B=A658),filter(Data!F:F,Data!B:B=A658))"),-0.06832243140213203)</f>
        <v>-0.0683224314</v>
      </c>
    </row>
    <row r="659">
      <c r="A659" s="172" t="s">
        <v>895</v>
      </c>
      <c r="B659" s="173">
        <f>countif(Data!B:B,A659)</f>
        <v>4</v>
      </c>
      <c r="C659" s="174">
        <f>sumif(Data!B:B,A659,Data!M:M)</f>
        <v>5.456388713</v>
      </c>
      <c r="D659" s="174">
        <f t="shared" si="1"/>
        <v>1.364097178</v>
      </c>
      <c r="E659" s="175">
        <f t="shared" si="2"/>
        <v>-0.3931574994</v>
      </c>
      <c r="F659" s="175">
        <f>IFERROR(__xludf.DUMMYFUNCTION("average.weighted(filter(Data!K:K,Data!B:B=A659),filter(Data!F:F,Data!B:B=A659))"),0.6043894264992643)</f>
        <v>0.6043894265</v>
      </c>
      <c r="G659" s="175">
        <f>IFERROR(__xludf.DUMMYFUNCTION("average.weighted(filter(Data!L:L,Data!B:B=A659),filter(Data!F:F,Data!B:B=A659))"),-0.9975469258686295)</f>
        <v>-0.9975469259</v>
      </c>
    </row>
    <row r="660">
      <c r="A660" s="172" t="s">
        <v>896</v>
      </c>
      <c r="B660" s="173">
        <f>countif(Data!B:B,A660)</f>
        <v>2</v>
      </c>
      <c r="C660" s="174">
        <f>sumif(Data!B:B,A660,Data!M:M)</f>
        <v>0.08468364174</v>
      </c>
      <c r="D660" s="174">
        <f t="shared" si="1"/>
        <v>0.04234182087</v>
      </c>
      <c r="E660" s="175">
        <f t="shared" si="2"/>
        <v>-0.3950956229</v>
      </c>
      <c r="F660" s="175">
        <f>IFERROR(__xludf.DUMMYFUNCTION("average.weighted(filter(Data!K:K,Data!B:B=A660),filter(Data!F:F,Data!B:B=A660))"),-0.21514862613141594)</f>
        <v>-0.2151486261</v>
      </c>
      <c r="G660" s="175">
        <f>IFERROR(__xludf.DUMMYFUNCTION("average.weighted(filter(Data!L:L,Data!B:B=A660),filter(Data!F:F,Data!B:B=A660))"),-0.17994699679700477)</f>
        <v>-0.1799469968</v>
      </c>
    </row>
    <row r="661">
      <c r="A661" s="172" t="s">
        <v>897</v>
      </c>
      <c r="B661" s="173">
        <f>countif(Data!B:B,A661)</f>
        <v>2</v>
      </c>
      <c r="C661" s="174">
        <f>sumif(Data!B:B,A661,Data!M:M)</f>
        <v>0.7098442387</v>
      </c>
      <c r="D661" s="174">
        <f t="shared" si="1"/>
        <v>0.3549221193</v>
      </c>
      <c r="E661" s="175">
        <f t="shared" si="2"/>
        <v>-0.3982678213</v>
      </c>
      <c r="F661" s="175">
        <f>IFERROR(__xludf.DUMMYFUNCTION("average.weighted(filter(Data!K:K,Data!B:B=A661),filter(Data!F:F,Data!B:B=A661))"),-0.48717282990653926)</f>
        <v>-0.4871728299</v>
      </c>
      <c r="G661" s="175">
        <f>IFERROR(__xludf.DUMMYFUNCTION("average.weighted(filter(Data!L:L,Data!B:B=A661),filter(Data!F:F,Data!B:B=A661))"),0.08890500856992735)</f>
        <v>0.08890500857</v>
      </c>
    </row>
    <row r="662">
      <c r="A662" s="172" t="s">
        <v>898</v>
      </c>
      <c r="B662" s="173">
        <f>countif(Data!B:B,A662)</f>
        <v>4</v>
      </c>
      <c r="C662" s="174">
        <f>sumif(Data!B:B,A662,Data!M:M)</f>
        <v>9.135352139</v>
      </c>
      <c r="D662" s="174">
        <f t="shared" si="1"/>
        <v>2.283838035</v>
      </c>
      <c r="E662" s="175">
        <f t="shared" si="2"/>
        <v>-0.3613186765</v>
      </c>
      <c r="F662" s="175">
        <f>IFERROR(__xludf.DUMMYFUNCTION("average.weighted(filter(Data!K:K,Data!B:B=A662),filter(Data!F:F,Data!B:B=A662))"),0.1089008476306096)</f>
        <v>0.1089008476</v>
      </c>
      <c r="G662" s="175">
        <f>IFERROR(__xludf.DUMMYFUNCTION("average.weighted(filter(Data!L:L,Data!B:B=A662),filter(Data!F:F,Data!B:B=A662))"),-0.47021952415808027)</f>
        <v>-0.4702195242</v>
      </c>
    </row>
    <row r="663">
      <c r="A663" s="172" t="s">
        <v>899</v>
      </c>
      <c r="B663" s="173">
        <f>countif(Data!B:B,A663)</f>
        <v>2</v>
      </c>
      <c r="C663" s="174">
        <f>sumif(Data!B:B,A663,Data!M:M)</f>
        <v>0.1864738985</v>
      </c>
      <c r="D663" s="174">
        <f t="shared" si="1"/>
        <v>0.09323694927</v>
      </c>
      <c r="E663" s="175">
        <f t="shared" si="2"/>
        <v>-0.4912542331</v>
      </c>
      <c r="F663" s="175">
        <f>IFERROR(__xludf.DUMMYFUNCTION("average.weighted(filter(Data!K:K,Data!B:B=A663),filter(Data!F:F,Data!B:B=A663))"),-0.19073488929328314)</f>
        <v>-0.1907348893</v>
      </c>
      <c r="G663" s="175">
        <f>IFERROR(__xludf.DUMMYFUNCTION("average.weighted(filter(Data!L:L,Data!B:B=A663),filter(Data!F:F,Data!B:B=A663))"),-0.3005193438269254)</f>
        <v>-0.3005193438</v>
      </c>
    </row>
    <row r="664">
      <c r="A664" s="172" t="s">
        <v>900</v>
      </c>
      <c r="B664" s="173">
        <f>countif(Data!B:B,A664)</f>
        <v>2</v>
      </c>
      <c r="C664" s="174">
        <f>sumif(Data!B:B,A664,Data!M:M)</f>
        <v>0.1354579454</v>
      </c>
      <c r="D664" s="174">
        <f t="shared" si="1"/>
        <v>0.0677289727</v>
      </c>
      <c r="E664" s="175">
        <f t="shared" si="2"/>
        <v>-0.4122610324</v>
      </c>
      <c r="F664" s="175">
        <f>IFERROR(__xludf.DUMMYFUNCTION("average.weighted(filter(Data!K:K,Data!B:B=A664),filter(Data!F:F,Data!B:B=A664))"),-0.278740325461042)</f>
        <v>-0.2787403255</v>
      </c>
      <c r="G664" s="175">
        <f>IFERROR(__xludf.DUMMYFUNCTION("average.weighted(filter(Data!L:L,Data!B:B=A664),filter(Data!F:F,Data!B:B=A664))"),-0.1335207069763065)</f>
        <v>-0.133520707</v>
      </c>
    </row>
    <row r="665">
      <c r="A665" s="172" t="s">
        <v>901</v>
      </c>
      <c r="B665" s="173">
        <f>countif(Data!B:B,A665)</f>
        <v>1</v>
      </c>
      <c r="C665" s="174">
        <f>sumif(Data!B:B,A665,Data!M:M)</f>
        <v>0.1542902556</v>
      </c>
      <c r="D665" s="174">
        <f t="shared" si="1"/>
        <v>0.1542902556</v>
      </c>
      <c r="E665" s="175">
        <f t="shared" si="2"/>
        <v>-0.4135863531</v>
      </c>
      <c r="F665" s="175">
        <f>IFERROR(__xludf.DUMMYFUNCTION("average.weighted(filter(Data!K:K,Data!B:B=A665),filter(Data!F:F,Data!B:B=A665))"),-0.560989082382332)</f>
        <v>-0.5609890824</v>
      </c>
      <c r="G665" s="175">
        <f>IFERROR(__xludf.DUMMYFUNCTION("average.weighted(filter(Data!L:L,Data!B:B=A665),filter(Data!F:F,Data!B:B=A665))"),0.147402729266771)</f>
        <v>0.1474027293</v>
      </c>
    </row>
    <row r="666">
      <c r="A666" s="172" t="s">
        <v>902</v>
      </c>
      <c r="B666" s="173">
        <f>countif(Data!B:B,A666)</f>
        <v>3</v>
      </c>
      <c r="C666" s="174">
        <f>sumif(Data!B:B,A666,Data!M:M)</f>
        <v>4.140403789</v>
      </c>
      <c r="D666" s="174">
        <f t="shared" si="1"/>
        <v>1.380134596</v>
      </c>
      <c r="E666" s="175">
        <f t="shared" si="2"/>
        <v>-0.362475955</v>
      </c>
      <c r="F666" s="175">
        <f>IFERROR(__xludf.DUMMYFUNCTION("average.weighted(filter(Data!K:K,Data!B:B=A666),filter(Data!F:F,Data!B:B=A666))"),0.42589390124540377)</f>
        <v>0.4258939012</v>
      </c>
      <c r="G666" s="175">
        <f>IFERROR(__xludf.DUMMYFUNCTION("average.weighted(filter(Data!L:L,Data!B:B=A666),filter(Data!F:F,Data!B:B=A666))"),-0.7883698562242915)</f>
        <v>-0.7883698562</v>
      </c>
    </row>
    <row r="667">
      <c r="A667" s="172" t="s">
        <v>903</v>
      </c>
      <c r="B667" s="173">
        <f>countif(Data!B:B,A667)</f>
        <v>1</v>
      </c>
      <c r="C667" s="174">
        <f>sumif(Data!B:B,A667,Data!M:M)</f>
        <v>0.1514693981</v>
      </c>
      <c r="D667" s="174">
        <f t="shared" si="1"/>
        <v>0.1514693981</v>
      </c>
      <c r="E667" s="175">
        <f t="shared" si="2"/>
        <v>-0.4200549612</v>
      </c>
      <c r="F667" s="175">
        <f>IFERROR(__xludf.DUMMYFUNCTION("average.weighted(filter(Data!K:K,Data!B:B=A667),filter(Data!F:F,Data!B:B=A667))"),-0.10469890169588)</f>
        <v>-0.1046989017</v>
      </c>
      <c r="G667" s="175">
        <f>IFERROR(__xludf.DUMMYFUNCTION("average.weighted(filter(Data!L:L,Data!B:B=A667),filter(Data!F:F,Data!B:B=A667))"),-0.315356059540036)</f>
        <v>-0.3153560595</v>
      </c>
    </row>
    <row r="668">
      <c r="A668" s="172" t="s">
        <v>904</v>
      </c>
      <c r="B668" s="173">
        <f>countif(Data!B:B,A668)</f>
        <v>1</v>
      </c>
      <c r="C668" s="174">
        <f>sumif(Data!B:B,A668,Data!M:M)</f>
        <v>0.007883343944</v>
      </c>
      <c r="D668" s="174">
        <f t="shared" si="1"/>
        <v>0.007883343944</v>
      </c>
      <c r="E668" s="175">
        <f t="shared" si="2"/>
        <v>-0.4208845212</v>
      </c>
      <c r="F668" s="175">
        <f>IFERROR(__xludf.DUMMYFUNCTION("average.weighted(filter(Data!K:K,Data!B:B=A668),filter(Data!F:F,Data!B:B=A668))"),-0.103644182306951)</f>
        <v>-0.1036441823</v>
      </c>
      <c r="G668" s="175">
        <f>IFERROR(__xludf.DUMMYFUNCTION("average.weighted(filter(Data!L:L,Data!B:B=A668),filter(Data!F:F,Data!B:B=A668))"),-0.31724033887948)</f>
        <v>-0.3172403389</v>
      </c>
    </row>
    <row r="669">
      <c r="A669" s="172" t="s">
        <v>905</v>
      </c>
      <c r="B669" s="173">
        <f>countif(Data!B:B,A669)</f>
        <v>5</v>
      </c>
      <c r="C669" s="174">
        <f>sumif(Data!B:B,A669,Data!M:M)</f>
        <v>8.297519023</v>
      </c>
      <c r="D669" s="174">
        <f t="shared" si="1"/>
        <v>1.659503805</v>
      </c>
      <c r="E669" s="175">
        <f t="shared" si="2"/>
        <v>-0.4253198047</v>
      </c>
      <c r="F669" s="175">
        <f>IFERROR(__xludf.DUMMYFUNCTION("average.weighted(filter(Data!K:K,Data!B:B=A669),filter(Data!F:F,Data!B:B=A669))"),-1.5169286745432262)</f>
        <v>-1.516928675</v>
      </c>
      <c r="G669" s="175">
        <f>IFERROR(__xludf.DUMMYFUNCTION("average.weighted(filter(Data!L:L,Data!B:B=A669),filter(Data!F:F,Data!B:B=A669))"),1.0916088698407633)</f>
        <v>1.09160887</v>
      </c>
    </row>
    <row r="670">
      <c r="A670" s="172" t="s">
        <v>906</v>
      </c>
      <c r="B670" s="173">
        <f>countif(Data!B:B,A670)</f>
        <v>4</v>
      </c>
      <c r="C670" s="174">
        <f>sumif(Data!B:B,A670,Data!M:M)</f>
        <v>5.379980059</v>
      </c>
      <c r="D670" s="174">
        <f t="shared" si="1"/>
        <v>1.344995015</v>
      </c>
      <c r="E670" s="175">
        <f t="shared" si="2"/>
        <v>-0.4259771671</v>
      </c>
      <c r="F670" s="175">
        <f>IFERROR(__xludf.DUMMYFUNCTION("average.weighted(filter(Data!K:K,Data!B:B=A670),filter(Data!F:F,Data!B:B=A670))"),-0.5981573708475725)</f>
        <v>-0.5981573708</v>
      </c>
      <c r="G670" s="175">
        <f>IFERROR(__xludf.DUMMYFUNCTION("average.weighted(filter(Data!L:L,Data!B:B=A670),filter(Data!F:F,Data!B:B=A670))"),0.17218020375867424)</f>
        <v>0.1721802038</v>
      </c>
    </row>
    <row r="671">
      <c r="A671" s="172" t="s">
        <v>907</v>
      </c>
      <c r="B671" s="173">
        <f>countif(Data!B:B,A671)</f>
        <v>3</v>
      </c>
      <c r="C671" s="174">
        <f>sumif(Data!B:B,A671,Data!M:M)</f>
        <v>0.8118563419</v>
      </c>
      <c r="D671" s="174">
        <f t="shared" si="1"/>
        <v>0.2706187806</v>
      </c>
      <c r="E671" s="175">
        <f t="shared" si="2"/>
        <v>-0.4795236514</v>
      </c>
      <c r="F671" s="175">
        <f>IFERROR(__xludf.DUMMYFUNCTION("average.weighted(filter(Data!K:K,Data!B:B=A671),filter(Data!F:F,Data!B:B=A671))"),-0.8642729778299442)</f>
        <v>-0.8642729778</v>
      </c>
      <c r="G671" s="175">
        <f>IFERROR(__xludf.DUMMYFUNCTION("average.weighted(filter(Data!L:L,Data!B:B=A671),filter(Data!F:F,Data!B:B=A671))"),0.3847493263864148)</f>
        <v>0.3847493264</v>
      </c>
    </row>
    <row r="672">
      <c r="A672" s="172" t="s">
        <v>908</v>
      </c>
      <c r="B672" s="173">
        <f>countif(Data!B:B,A672)</f>
        <v>2</v>
      </c>
      <c r="C672" s="174">
        <f>sumif(Data!B:B,A672,Data!M:M)</f>
        <v>0.3947634392</v>
      </c>
      <c r="D672" s="174">
        <f t="shared" si="1"/>
        <v>0.1973817196</v>
      </c>
      <c r="E672" s="175">
        <f t="shared" si="2"/>
        <v>-0.4276711338</v>
      </c>
      <c r="F672" s="175">
        <f>IFERROR(__xludf.DUMMYFUNCTION("average.weighted(filter(Data!K:K,Data!B:B=A672),filter(Data!F:F,Data!B:B=A672))"),0.47477530596993517)</f>
        <v>0.474775306</v>
      </c>
      <c r="G672" s="175">
        <f>IFERROR(__xludf.DUMMYFUNCTION("average.weighted(filter(Data!L:L,Data!B:B=A672),filter(Data!F:F,Data!B:B=A672))"),-0.9024464397645707)</f>
        <v>-0.9024464398</v>
      </c>
    </row>
    <row r="673">
      <c r="A673" s="172" t="s">
        <v>909</v>
      </c>
      <c r="B673" s="173">
        <f>countif(Data!B:B,A673)</f>
        <v>1</v>
      </c>
      <c r="C673" s="174">
        <f>sumif(Data!B:B,A673,Data!M:M)</f>
        <v>0.03034517343</v>
      </c>
      <c r="D673" s="174">
        <f t="shared" si="1"/>
        <v>0.03034517343</v>
      </c>
      <c r="E673" s="175">
        <f t="shared" si="2"/>
        <v>-0.4294530052</v>
      </c>
      <c r="F673" s="175">
        <f>IFERROR(__xludf.DUMMYFUNCTION("average.weighted(filter(Data!K:K,Data!B:B=A673),filter(Data!F:F,Data!B:B=A673))"),-0.0814635095758658)</f>
        <v>-0.08146350958</v>
      </c>
      <c r="G673" s="175">
        <f>IFERROR(__xludf.DUMMYFUNCTION("average.weighted(filter(Data!L:L,Data!B:B=A673),filter(Data!F:F,Data!B:B=A673))"),-0.347989495590982)</f>
        <v>-0.3479894956</v>
      </c>
    </row>
    <row r="674">
      <c r="A674" s="172" t="s">
        <v>910</v>
      </c>
      <c r="B674" s="173">
        <f>countif(Data!B:B,A674)</f>
        <v>8</v>
      </c>
      <c r="C674" s="174">
        <f>sumif(Data!B:B,A674,Data!M:M)</f>
        <v>16.40946832</v>
      </c>
      <c r="D674" s="174">
        <f t="shared" si="1"/>
        <v>2.05118354</v>
      </c>
      <c r="E674" s="175">
        <f t="shared" si="2"/>
        <v>-0.3794104951</v>
      </c>
      <c r="F674" s="175">
        <f>IFERROR(__xludf.DUMMYFUNCTION("average.weighted(filter(Data!K:K,Data!B:B=A674),filter(Data!F:F,Data!B:B=A674))"),0.8411758653156018)</f>
        <v>0.8411758653</v>
      </c>
      <c r="G674" s="175">
        <f>IFERROR(__xludf.DUMMYFUNCTION("average.weighted(filter(Data!L:L,Data!B:B=A674),filter(Data!F:F,Data!B:B=A674))"),-1.220586360389636)</f>
        <v>-1.22058636</v>
      </c>
    </row>
    <row r="675">
      <c r="A675" s="172" t="s">
        <v>911</v>
      </c>
      <c r="B675" s="173">
        <f>countif(Data!B:B,A675)</f>
        <v>2</v>
      </c>
      <c r="C675" s="174">
        <f>sumif(Data!B:B,A675,Data!M:M)</f>
        <v>0.2764953665</v>
      </c>
      <c r="D675" s="174">
        <f t="shared" si="1"/>
        <v>0.1382476833</v>
      </c>
      <c r="E675" s="175">
        <f t="shared" si="2"/>
        <v>-0.432729375</v>
      </c>
      <c r="F675" s="175">
        <f>IFERROR(__xludf.DUMMYFUNCTION("average.weighted(filter(Data!K:K,Data!B:B=A675),filter(Data!F:F,Data!B:B=A675))"),-0.42803393110579124)</f>
        <v>-0.4280339311</v>
      </c>
      <c r="G675" s="175">
        <f>IFERROR(__xludf.DUMMYFUNCTION("average.weighted(filter(Data!L:L,Data!B:B=A675),filter(Data!F:F,Data!B:B=A675))"),-0.0046954438682506984)</f>
        <v>-0.004695443868</v>
      </c>
    </row>
    <row r="676">
      <c r="A676" s="172" t="s">
        <v>912</v>
      </c>
      <c r="B676" s="173">
        <f>countif(Data!B:B,A676)</f>
        <v>5</v>
      </c>
      <c r="C676" s="174">
        <f>sumif(Data!B:B,A676,Data!M:M)</f>
        <v>9.592382623</v>
      </c>
      <c r="D676" s="174">
        <f t="shared" si="1"/>
        <v>1.918476525</v>
      </c>
      <c r="E676" s="175">
        <f t="shared" si="2"/>
        <v>-0.4381601643</v>
      </c>
      <c r="F676" s="175">
        <f>IFERROR(__xludf.DUMMYFUNCTION("average.weighted(filter(Data!K:K,Data!B:B=A676),filter(Data!F:F,Data!B:B=A676))"),0.39122830477036014)</f>
        <v>0.3912283048</v>
      </c>
      <c r="G676" s="175">
        <f>IFERROR(__xludf.DUMMYFUNCTION("average.weighted(filter(Data!L:L,Data!B:B=A676),filter(Data!F:F,Data!B:B=A676))"),-0.8293884690777782)</f>
        <v>-0.8293884691</v>
      </c>
    </row>
    <row r="677">
      <c r="A677" s="172" t="s">
        <v>913</v>
      </c>
      <c r="B677" s="173">
        <f>countif(Data!B:B,A677)</f>
        <v>8</v>
      </c>
      <c r="C677" s="174">
        <f>sumif(Data!B:B,A677,Data!M:M)</f>
        <v>16.45624532</v>
      </c>
      <c r="D677" s="174">
        <f t="shared" si="1"/>
        <v>2.057030664</v>
      </c>
      <c r="E677" s="175">
        <f t="shared" si="2"/>
        <v>-0.4835697021</v>
      </c>
      <c r="F677" s="175">
        <f>IFERROR(__xludf.DUMMYFUNCTION("average.weighted(filter(Data!K:K,Data!B:B=A677),filter(Data!F:F,Data!B:B=A677))"),-1.037601264636928)</f>
        <v>-1.037601265</v>
      </c>
      <c r="G677" s="175">
        <f>IFERROR(__xludf.DUMMYFUNCTION("average.weighted(filter(Data!L:L,Data!B:B=A677),filter(Data!F:F,Data!B:B=A677))"),0.554031562532851)</f>
        <v>0.5540315625</v>
      </c>
    </row>
    <row r="678">
      <c r="A678" s="172" t="s">
        <v>914</v>
      </c>
      <c r="B678" s="173">
        <f>countif(Data!B:B,A678)</f>
        <v>3</v>
      </c>
      <c r="C678" s="174">
        <f>sumif(Data!B:B,A678,Data!M:M)</f>
        <v>2.638805867</v>
      </c>
      <c r="D678" s="174">
        <f t="shared" si="1"/>
        <v>0.8796019556</v>
      </c>
      <c r="E678" s="175">
        <f t="shared" si="2"/>
        <v>-0.4452872647</v>
      </c>
      <c r="F678" s="175">
        <f>IFERROR(__xludf.DUMMYFUNCTION("average.weighted(filter(Data!K:K,Data!B:B=A678),filter(Data!F:F,Data!B:B=A678))"),-2.1035182434956043)</f>
        <v>-2.103518243</v>
      </c>
      <c r="G678" s="175">
        <f>IFERROR(__xludf.DUMMYFUNCTION("average.weighted(filter(Data!L:L,Data!B:B=A678),filter(Data!F:F,Data!B:B=A678))"),1.6582309788242011)</f>
        <v>1.658230979</v>
      </c>
    </row>
    <row r="679">
      <c r="A679" s="172" t="s">
        <v>915</v>
      </c>
      <c r="B679" s="173">
        <f>countif(Data!B:B,A679)</f>
        <v>2</v>
      </c>
      <c r="C679" s="174">
        <f>sumif(Data!B:B,A679,Data!M:M)</f>
        <v>0.2453691559</v>
      </c>
      <c r="D679" s="174">
        <f t="shared" si="1"/>
        <v>0.1226845779</v>
      </c>
      <c r="E679" s="175">
        <f t="shared" si="2"/>
        <v>-0.4500564842</v>
      </c>
      <c r="F679" s="175">
        <f>IFERROR(__xludf.DUMMYFUNCTION("average.weighted(filter(Data!K:K,Data!B:B=A679),filter(Data!F:F,Data!B:B=A679))"),0.21263198416973764)</f>
        <v>0.2126319842</v>
      </c>
      <c r="G679" s="175">
        <f>IFERROR(__xludf.DUMMYFUNCTION("average.weighted(filter(Data!L:L,Data!B:B=A679),filter(Data!F:F,Data!B:B=A679))"),-0.6626884684072547)</f>
        <v>-0.6626884684</v>
      </c>
    </row>
    <row r="680">
      <c r="A680" s="172" t="s">
        <v>916</v>
      </c>
      <c r="B680" s="173">
        <f>countif(Data!B:B,A680)</f>
        <v>2</v>
      </c>
      <c r="C680" s="174">
        <f>sumif(Data!B:B,A680,Data!M:M)</f>
        <v>2.275282122</v>
      </c>
      <c r="D680" s="174">
        <f t="shared" si="1"/>
        <v>1.137641061</v>
      </c>
      <c r="E680" s="175">
        <f t="shared" si="2"/>
        <v>-0.4503721678</v>
      </c>
      <c r="F680" s="175">
        <f>IFERROR(__xludf.DUMMYFUNCTION("average.weighted(filter(Data!K:K,Data!B:B=A680),filter(Data!F:F,Data!B:B=A680))"),-0.8439783121945684)</f>
        <v>-0.8439783122</v>
      </c>
      <c r="G680" s="175">
        <f>IFERROR(__xludf.DUMMYFUNCTION("average.weighted(filter(Data!L:L,Data!B:B=A680),filter(Data!F:F,Data!B:B=A680))"),0.3936061444232052)</f>
        <v>0.3936061444</v>
      </c>
    </row>
    <row r="681">
      <c r="A681" s="172" t="s">
        <v>917</v>
      </c>
      <c r="B681" s="173">
        <f>countif(Data!B:B,A681)</f>
        <v>3</v>
      </c>
      <c r="C681" s="174">
        <f>sumif(Data!B:B,A681,Data!M:M)</f>
        <v>0.791342434</v>
      </c>
      <c r="D681" s="174">
        <f t="shared" si="1"/>
        <v>0.2637808113</v>
      </c>
      <c r="E681" s="175">
        <f t="shared" si="2"/>
        <v>-0.4523920294</v>
      </c>
      <c r="F681" s="175">
        <f>IFERROR(__xludf.DUMMYFUNCTION("average.weighted(filter(Data!K:K,Data!B:B=A681),filter(Data!F:F,Data!B:B=A681))"),0.020766189750421903)</f>
        <v>0.02076618975</v>
      </c>
      <c r="G681" s="175">
        <f>IFERROR(__xludf.DUMMYFUNCTION("average.weighted(filter(Data!L:L,Data!B:B=A681),filter(Data!F:F,Data!B:B=A681))"),-0.4731582191635794)</f>
        <v>-0.4731582192</v>
      </c>
    </row>
    <row r="682">
      <c r="A682" s="172" t="s">
        <v>918</v>
      </c>
      <c r="B682" s="173">
        <f>countif(Data!B:B,A682)</f>
        <v>2</v>
      </c>
      <c r="C682" s="174">
        <f>sumif(Data!B:B,A682,Data!M:M)</f>
        <v>0.01373943273</v>
      </c>
      <c r="D682" s="174">
        <f t="shared" si="1"/>
        <v>0.006869716363</v>
      </c>
      <c r="E682" s="175">
        <f t="shared" si="2"/>
        <v>-0.4531651392</v>
      </c>
      <c r="F682" s="175">
        <f>IFERROR(__xludf.DUMMYFUNCTION("average.weighted(filter(Data!K:K,Data!B:B=A682),filter(Data!F:F,Data!B:B=A682))"),-0.21455093632826075)</f>
        <v>-0.2145509363</v>
      </c>
      <c r="G682" s="175">
        <f>IFERROR(__xludf.DUMMYFUNCTION("average.weighted(filter(Data!L:L,Data!B:B=A682),filter(Data!F:F,Data!B:B=A682))"),-0.23861420282673798)</f>
        <v>-0.2386142028</v>
      </c>
    </row>
    <row r="683">
      <c r="A683" s="172" t="s">
        <v>919</v>
      </c>
      <c r="B683" s="173">
        <f>countif(Data!B:B,A683)</f>
        <v>1</v>
      </c>
      <c r="C683" s="174">
        <f>sumif(Data!B:B,A683,Data!M:M)</f>
        <v>0.514247025</v>
      </c>
      <c r="D683" s="174">
        <f t="shared" si="1"/>
        <v>0.514247025</v>
      </c>
      <c r="E683" s="175">
        <f t="shared" si="2"/>
        <v>-0.4552941031</v>
      </c>
      <c r="F683" s="175">
        <f>IFERROR(__xludf.DUMMYFUNCTION("average.weighted(filter(Data!K:K,Data!B:B=A683),filter(Data!F:F,Data!B:B=A683))"),0.219129372408846)</f>
        <v>0.2191293724</v>
      </c>
      <c r="G683" s="175">
        <f>IFERROR(__xludf.DUMMYFUNCTION("average.weighted(filter(Data!L:L,Data!B:B=A683),filter(Data!F:F,Data!B:B=A683))"),-0.674423475518058)</f>
        <v>-0.6744234755</v>
      </c>
    </row>
    <row r="684">
      <c r="A684" s="172" t="s">
        <v>920</v>
      </c>
      <c r="B684" s="173">
        <f>countif(Data!B:B,A684)</f>
        <v>6</v>
      </c>
      <c r="C684" s="174">
        <f>sumif(Data!B:B,A684,Data!M:M)</f>
        <v>7.944210924</v>
      </c>
      <c r="D684" s="174">
        <f t="shared" si="1"/>
        <v>1.324035154</v>
      </c>
      <c r="E684" s="175">
        <f t="shared" si="2"/>
        <v>-0.4733096847</v>
      </c>
      <c r="F684" s="175">
        <f>IFERROR(__xludf.DUMMYFUNCTION("average.weighted(filter(Data!K:K,Data!B:B=A684),filter(Data!F:F,Data!B:B=A684))"),-0.29947550315743904)</f>
        <v>-0.2994755032</v>
      </c>
      <c r="G684" s="175">
        <f>IFERROR(__xludf.DUMMYFUNCTION("average.weighted(filter(Data!L:L,Data!B:B=A684),filter(Data!F:F,Data!B:B=A684))"),-0.17383418157161715)</f>
        <v>-0.1738341816</v>
      </c>
    </row>
    <row r="685">
      <c r="A685" s="172" t="s">
        <v>921</v>
      </c>
      <c r="B685" s="173">
        <f>countif(Data!B:B,A685)</f>
        <v>1</v>
      </c>
      <c r="C685" s="174">
        <f>sumif(Data!B:B,A685,Data!M:M)</f>
        <v>0.01894719574</v>
      </c>
      <c r="D685" s="174">
        <f t="shared" si="1"/>
        <v>0.01894719574</v>
      </c>
      <c r="E685" s="175">
        <f t="shared" si="2"/>
        <v>-0.4619196984</v>
      </c>
      <c r="F685" s="175">
        <f>IFERROR(__xludf.DUMMYFUNCTION("average.weighted(filter(Data!K:K,Data!B:B=A685),filter(Data!F:F,Data!B:B=A685))"),-0.276359410120869)</f>
        <v>-0.2763594101</v>
      </c>
      <c r="G685" s="175">
        <f>IFERROR(__xludf.DUMMYFUNCTION("average.weighted(filter(Data!L:L,Data!B:B=A685),filter(Data!F:F,Data!B:B=A685))"),-0.185560288262629)</f>
        <v>-0.1855602883</v>
      </c>
    </row>
    <row r="686">
      <c r="A686" s="172" t="s">
        <v>922</v>
      </c>
      <c r="B686" s="173">
        <f>countif(Data!B:B,A686)</f>
        <v>1</v>
      </c>
      <c r="C686" s="174">
        <f>sumif(Data!B:B,A686,Data!M:M)</f>
        <v>0.03680901878</v>
      </c>
      <c r="D686" s="174">
        <f t="shared" si="1"/>
        <v>0.03680901878</v>
      </c>
      <c r="E686" s="175">
        <f t="shared" si="2"/>
        <v>-0.4628660117</v>
      </c>
      <c r="F686" s="175">
        <f>IFERROR(__xludf.DUMMYFUNCTION("average.weighted(filter(Data!K:K,Data!B:B=A686),filter(Data!F:F,Data!B:B=A686))"),-0.072883057523242)</f>
        <v>-0.07288305752</v>
      </c>
      <c r="G686" s="175">
        <f>IFERROR(__xludf.DUMMYFUNCTION("average.weighted(filter(Data!L:L,Data!B:B=A686),filter(Data!F:F,Data!B:B=A686))"),-0.389982954141205)</f>
        <v>-0.3899829541</v>
      </c>
    </row>
    <row r="687">
      <c r="A687" s="172" t="s">
        <v>923</v>
      </c>
      <c r="B687" s="173">
        <f>countif(Data!B:B,A687)</f>
        <v>1</v>
      </c>
      <c r="C687" s="174">
        <f>sumif(Data!B:B,A687,Data!M:M)</f>
        <v>0.1210250199</v>
      </c>
      <c r="D687" s="174">
        <f t="shared" si="1"/>
        <v>0.1210250199</v>
      </c>
      <c r="E687" s="175">
        <f t="shared" si="2"/>
        <v>-0.4639474281</v>
      </c>
      <c r="F687" s="175">
        <f>IFERROR(__xludf.DUMMYFUNCTION("average.weighted(filter(Data!K:K,Data!B:B=A687),filter(Data!F:F,Data!B:B=A687))"),0.136555219354368)</f>
        <v>0.1365552194</v>
      </c>
      <c r="G687" s="175">
        <f>IFERROR(__xludf.DUMMYFUNCTION("average.weighted(filter(Data!L:L,Data!B:B=A687),filter(Data!F:F,Data!B:B=A687))"),-0.600502647419549)</f>
        <v>-0.6005026474</v>
      </c>
    </row>
    <row r="688">
      <c r="A688" s="172" t="s">
        <v>924</v>
      </c>
      <c r="B688" s="173">
        <f>countif(Data!B:B,A688)</f>
        <v>1</v>
      </c>
      <c r="C688" s="174">
        <f>sumif(Data!B:B,A688,Data!M:M)</f>
        <v>0.1634734469</v>
      </c>
      <c r="D688" s="174">
        <f t="shared" si="1"/>
        <v>0.1634734469</v>
      </c>
      <c r="E688" s="175">
        <f t="shared" si="2"/>
        <v>-0.4657544374</v>
      </c>
      <c r="F688" s="175">
        <f>IFERROR(__xludf.DUMMYFUNCTION("average.weighted(filter(Data!K:K,Data!B:B=A688),filter(Data!F:F,Data!B:B=A688))"),-0.637522326798135)</f>
        <v>-0.6375223268</v>
      </c>
      <c r="G688" s="175">
        <f>IFERROR(__xludf.DUMMYFUNCTION("average.weighted(filter(Data!L:L,Data!B:B=A688),filter(Data!F:F,Data!B:B=A688))"),0.171767889431433)</f>
        <v>0.1717678894</v>
      </c>
    </row>
    <row r="689">
      <c r="A689" s="172" t="s">
        <v>925</v>
      </c>
      <c r="B689" s="173">
        <f>countif(Data!B:B,A689)</f>
        <v>3</v>
      </c>
      <c r="C689" s="174">
        <f>sumif(Data!B:B,A689,Data!M:M)</f>
        <v>0.1633208785</v>
      </c>
      <c r="D689" s="174">
        <f t="shared" si="1"/>
        <v>0.05444029284</v>
      </c>
      <c r="E689" s="175">
        <f t="shared" si="2"/>
        <v>-0.4695955834</v>
      </c>
      <c r="F689" s="175">
        <f>IFERROR(__xludf.DUMMYFUNCTION("average.weighted(filter(Data!K:K,Data!B:B=A689),filter(Data!F:F,Data!B:B=A689))"),-0.2642295447001076)</f>
        <v>-0.2642295447</v>
      </c>
      <c r="G689" s="175">
        <f>IFERROR(__xludf.DUMMYFUNCTION("average.weighted(filter(Data!L:L,Data!B:B=A689),filter(Data!F:F,Data!B:B=A689))"),-0.20536603873718348)</f>
        <v>-0.2053660387</v>
      </c>
    </row>
    <row r="690">
      <c r="A690" s="172" t="s">
        <v>926</v>
      </c>
      <c r="B690" s="173">
        <f>countif(Data!B:B,A690)</f>
        <v>2</v>
      </c>
      <c r="C690" s="174">
        <f>sumif(Data!B:B,A690,Data!M:M)</f>
        <v>0.04816999404</v>
      </c>
      <c r="D690" s="174">
        <f t="shared" si="1"/>
        <v>0.02408499702</v>
      </c>
      <c r="E690" s="175">
        <f t="shared" si="2"/>
        <v>-0.4711525886</v>
      </c>
      <c r="F690" s="175">
        <f>IFERROR(__xludf.DUMMYFUNCTION("average.weighted(filter(Data!K:K,Data!B:B=A690),filter(Data!F:F,Data!B:B=A690))"),-0.20747858362043664)</f>
        <v>-0.2074785836</v>
      </c>
      <c r="G690" s="175">
        <f>IFERROR(__xludf.DUMMYFUNCTION("average.weighted(filter(Data!L:L,Data!B:B=A690),filter(Data!F:F,Data!B:B=A690))"),-0.2636740049302426)</f>
        <v>-0.2636740049</v>
      </c>
    </row>
    <row r="691">
      <c r="A691" s="172" t="s">
        <v>927</v>
      </c>
      <c r="B691" s="173">
        <f>countif(Data!B:B,A691)</f>
        <v>6</v>
      </c>
      <c r="C691" s="174">
        <f>sumif(Data!B:B,A691,Data!M:M)</f>
        <v>9.155395974</v>
      </c>
      <c r="D691" s="174">
        <f t="shared" si="1"/>
        <v>1.525899329</v>
      </c>
      <c r="E691" s="175">
        <f t="shared" si="2"/>
        <v>-0.4757590709</v>
      </c>
      <c r="F691" s="175">
        <f>IFERROR(__xludf.DUMMYFUNCTION("average.weighted(filter(Data!K:K,Data!B:B=A691),filter(Data!F:F,Data!B:B=A691))"),-1.7128397622879368)</f>
        <v>-1.712839762</v>
      </c>
      <c r="G691" s="175">
        <f>IFERROR(__xludf.DUMMYFUNCTION("average.weighted(filter(Data!L:L,Data!B:B=A691),filter(Data!F:F,Data!B:B=A691))"),1.2370806913843455)</f>
        <v>1.237080691</v>
      </c>
    </row>
    <row r="692">
      <c r="A692" s="172" t="s">
        <v>928</v>
      </c>
      <c r="B692" s="173">
        <f>countif(Data!B:B,A692)</f>
        <v>1</v>
      </c>
      <c r="C692" s="174">
        <f>sumif(Data!B:B,A692,Data!M:M)</f>
        <v>0.04386579046</v>
      </c>
      <c r="D692" s="174">
        <f t="shared" si="1"/>
        <v>0.04386579046</v>
      </c>
      <c r="E692" s="175">
        <f t="shared" si="2"/>
        <v>-0.4774062441</v>
      </c>
      <c r="F692" s="175">
        <f>IFERROR(__xludf.DUMMYFUNCTION("average.weighted(filter(Data!K:K,Data!B:B=A692),filter(Data!F:F,Data!B:B=A692))"),-0.349267590922269)</f>
        <v>-0.3492675909</v>
      </c>
      <c r="G692" s="175">
        <f>IFERROR(__xludf.DUMMYFUNCTION("average.weighted(filter(Data!L:L,Data!B:B=A692),filter(Data!F:F,Data!B:B=A692))"),-0.128138653200719)</f>
        <v>-0.1281386532</v>
      </c>
    </row>
    <row r="693">
      <c r="A693" s="172" t="s">
        <v>929</v>
      </c>
      <c r="B693" s="173">
        <f>countif(Data!B:B,A693)</f>
        <v>3</v>
      </c>
      <c r="C693" s="174">
        <f>sumif(Data!B:B,A693,Data!M:M)</f>
        <v>1.907900758</v>
      </c>
      <c r="D693" s="174">
        <f t="shared" si="1"/>
        <v>0.6359669194</v>
      </c>
      <c r="E693" s="175">
        <f t="shared" si="2"/>
        <v>-0.4778494684</v>
      </c>
      <c r="F693" s="175">
        <f>IFERROR(__xludf.DUMMYFUNCTION("average.weighted(filter(Data!K:K,Data!B:B=A693),filter(Data!F:F,Data!B:B=A693))"),-0.6930898904243346)</f>
        <v>-0.6930898904</v>
      </c>
      <c r="G693" s="175">
        <f>IFERROR(__xludf.DUMMYFUNCTION("average.weighted(filter(Data!L:L,Data!B:B=A693),filter(Data!F:F,Data!B:B=A693))"),0.21524042204790775)</f>
        <v>0.215240422</v>
      </c>
    </row>
    <row r="694">
      <c r="A694" s="172" t="s">
        <v>930</v>
      </c>
      <c r="B694" s="173">
        <f>countif(Data!B:B,A694)</f>
        <v>2</v>
      </c>
      <c r="C694" s="174">
        <f>sumif(Data!B:B,A694,Data!M:M)</f>
        <v>1.552161499</v>
      </c>
      <c r="D694" s="174">
        <f t="shared" si="1"/>
        <v>0.7760807497</v>
      </c>
      <c r="E694" s="175">
        <f t="shared" si="2"/>
        <v>-0.4825541017</v>
      </c>
      <c r="F694" s="175">
        <f>IFERROR(__xludf.DUMMYFUNCTION("average.weighted(filter(Data!K:K,Data!B:B=A694),filter(Data!F:F,Data!B:B=A694))"),-1.4890626034797523)</f>
        <v>-1.489062603</v>
      </c>
      <c r="G694" s="175">
        <f>IFERROR(__xludf.DUMMYFUNCTION("average.weighted(filter(Data!L:L,Data!B:B=A694),filter(Data!F:F,Data!B:B=A694))"),1.0065085017628117)</f>
        <v>1.006508502</v>
      </c>
    </row>
    <row r="695">
      <c r="A695" s="172" t="s">
        <v>931</v>
      </c>
      <c r="B695" s="173">
        <f>countif(Data!B:B,A695)</f>
        <v>2</v>
      </c>
      <c r="C695" s="174">
        <f>sumif(Data!B:B,A695,Data!M:M)</f>
        <v>0.2040288716</v>
      </c>
      <c r="D695" s="174">
        <f t="shared" si="1"/>
        <v>0.1020144358</v>
      </c>
      <c r="E695" s="175">
        <f t="shared" si="2"/>
        <v>-0.4843902882</v>
      </c>
      <c r="F695" s="175">
        <f>IFERROR(__xludf.DUMMYFUNCTION("average.weighted(filter(Data!K:K,Data!B:B=A695),filter(Data!F:F,Data!B:B=A695))"),-0.3308822803441936)</f>
        <v>-0.3308822803</v>
      </c>
      <c r="G695" s="175">
        <f>IFERROR(__xludf.DUMMYFUNCTION("average.weighted(filter(Data!L:L,Data!B:B=A695),filter(Data!F:F,Data!B:B=A695))"),-0.15350800782759835)</f>
        <v>-0.1535080078</v>
      </c>
    </row>
    <row r="696">
      <c r="A696" s="172" t="s">
        <v>932</v>
      </c>
      <c r="B696" s="173">
        <f>countif(Data!B:B,A696)</f>
        <v>1</v>
      </c>
      <c r="C696" s="174">
        <f>sumif(Data!B:B,A696,Data!M:M)</f>
        <v>0.3696358409</v>
      </c>
      <c r="D696" s="174">
        <f t="shared" si="1"/>
        <v>0.3696358409</v>
      </c>
      <c r="E696" s="175">
        <f t="shared" si="2"/>
        <v>-1.205782823</v>
      </c>
      <c r="F696" s="175">
        <f>IFERROR(__xludf.DUMMYFUNCTION("average.weighted(filter(Data!K:K,Data!B:B=A696),filter(Data!F:F,Data!B:B=A696))"),-0.879729981425701)</f>
        <v>-0.8797299814</v>
      </c>
      <c r="G696" s="175">
        <f>IFERROR(__xludf.DUMMYFUNCTION("average.weighted(filter(Data!L:L,Data!B:B=A696),filter(Data!F:F,Data!B:B=A696))"),-0.326052841316811)</f>
        <v>-0.3260528413</v>
      </c>
    </row>
    <row r="697">
      <c r="A697" s="172" t="s">
        <v>933</v>
      </c>
      <c r="B697" s="173">
        <f>countif(Data!B:B,A697)</f>
        <v>1</v>
      </c>
      <c r="C697" s="174">
        <f>sumif(Data!B:B,A697,Data!M:M)</f>
        <v>0.08752339602</v>
      </c>
      <c r="D697" s="174">
        <f t="shared" si="1"/>
        <v>0.08752339602</v>
      </c>
      <c r="E697" s="175">
        <f t="shared" si="2"/>
        <v>-0.4875892875</v>
      </c>
      <c r="F697" s="175">
        <f>IFERROR(__xludf.DUMMYFUNCTION("average.weighted(filter(Data!K:K,Data!B:B=A697),filter(Data!F:F,Data!B:B=A697))"),-0.174549496988451)</f>
        <v>-0.174549497</v>
      </c>
      <c r="G697" s="175">
        <f>IFERROR(__xludf.DUMMYFUNCTION("average.weighted(filter(Data!L:L,Data!B:B=A697),filter(Data!F:F,Data!B:B=A697))"),-0.313039790549443)</f>
        <v>-0.3130397905</v>
      </c>
    </row>
    <row r="698">
      <c r="A698" s="172" t="s">
        <v>934</v>
      </c>
      <c r="B698" s="173">
        <f>countif(Data!B:B,A698)</f>
        <v>1</v>
      </c>
      <c r="C698" s="174">
        <f>sumif(Data!B:B,A698,Data!M:M)</f>
        <v>0.639263057</v>
      </c>
      <c r="D698" s="174">
        <f t="shared" si="1"/>
        <v>0.639263057</v>
      </c>
      <c r="E698" s="175">
        <f t="shared" si="2"/>
        <v>-0.4876371766</v>
      </c>
      <c r="F698" s="175">
        <f>IFERROR(__xludf.DUMMYFUNCTION("average.weighted(filter(Data!K:K,Data!B:B=A698),filter(Data!F:F,Data!B:B=A698))"),-1.40178145653153)</f>
        <v>-1.401781457</v>
      </c>
      <c r="G698" s="175">
        <f>IFERROR(__xludf.DUMMYFUNCTION("average.weighted(filter(Data!L:L,Data!B:B=A698),filter(Data!F:F,Data!B:B=A698))"),0.914144279910815)</f>
        <v>0.9141442799</v>
      </c>
    </row>
    <row r="699">
      <c r="A699" s="172" t="s">
        <v>935</v>
      </c>
      <c r="B699" s="173">
        <f>countif(Data!B:B,A699)</f>
        <v>2</v>
      </c>
      <c r="C699" s="174">
        <f>sumif(Data!B:B,A699,Data!M:M)</f>
        <v>0.8294439449</v>
      </c>
      <c r="D699" s="174">
        <f t="shared" si="1"/>
        <v>0.4147219725</v>
      </c>
      <c r="E699" s="175">
        <f t="shared" si="2"/>
        <v>-0.4927281005</v>
      </c>
      <c r="F699" s="175">
        <f>IFERROR(__xludf.DUMMYFUNCTION("average.weighted(filter(Data!K:K,Data!B:B=A699),filter(Data!F:F,Data!B:B=A699))"),-1.2328843590483167)</f>
        <v>-1.232884359</v>
      </c>
      <c r="G699" s="175">
        <f>IFERROR(__xludf.DUMMYFUNCTION("average.weighted(filter(Data!L:L,Data!B:B=A699),filter(Data!F:F,Data!B:B=A699))"),0.7401562585843344)</f>
        <v>0.7401562586</v>
      </c>
    </row>
    <row r="700">
      <c r="A700" s="172" t="s">
        <v>936</v>
      </c>
      <c r="B700" s="173">
        <f>countif(Data!B:B,A700)</f>
        <v>2</v>
      </c>
      <c r="C700" s="174">
        <f>sumif(Data!B:B,A700,Data!M:M)</f>
        <v>0.3603711131</v>
      </c>
      <c r="D700" s="174">
        <f t="shared" si="1"/>
        <v>0.1801855566</v>
      </c>
      <c r="E700" s="175">
        <f t="shared" si="2"/>
        <v>-0.2041140383</v>
      </c>
      <c r="F700" s="175">
        <f>IFERROR(__xludf.DUMMYFUNCTION("average.weighted(filter(Data!K:K,Data!B:B=A700),filter(Data!F:F,Data!B:B=A700))"),-0.3248657541244275)</f>
        <v>-0.3248657541</v>
      </c>
      <c r="G700" s="175">
        <f>IFERROR(__xludf.DUMMYFUNCTION("average.weighted(filter(Data!L:L,Data!B:B=A700),filter(Data!F:F,Data!B:B=A700))"),0.12075171584183017)</f>
        <v>0.1207517158</v>
      </c>
    </row>
    <row r="701">
      <c r="A701" s="172" t="s">
        <v>937</v>
      </c>
      <c r="B701" s="173">
        <f>countif(Data!B:B,A701)</f>
        <v>3</v>
      </c>
      <c r="C701" s="174">
        <f>sumif(Data!B:B,A701,Data!M:M)</f>
        <v>2.212264558</v>
      </c>
      <c r="D701" s="174">
        <f t="shared" si="1"/>
        <v>0.7374215194</v>
      </c>
      <c r="E701" s="175">
        <f t="shared" si="2"/>
        <v>-0.4961953321</v>
      </c>
      <c r="F701" s="175">
        <f>IFERROR(__xludf.DUMMYFUNCTION("average.weighted(filter(Data!K:K,Data!B:B=A701),filter(Data!F:F,Data!B:B=A701))"),-0.284699683792472)</f>
        <v>-0.2846996838</v>
      </c>
      <c r="G701" s="175">
        <f>IFERROR(__xludf.DUMMYFUNCTION("average.weighted(filter(Data!L:L,Data!B:B=A701),filter(Data!F:F,Data!B:B=A701))"),-0.21149564831688053)</f>
        <v>-0.2114956483</v>
      </c>
    </row>
    <row r="702">
      <c r="A702" s="172" t="s">
        <v>938</v>
      </c>
      <c r="B702" s="173">
        <f>countif(Data!B:B,A702)</f>
        <v>1</v>
      </c>
      <c r="C702" s="174">
        <f>sumif(Data!B:B,A702,Data!M:M)</f>
        <v>0.01735079325</v>
      </c>
      <c r="D702" s="174">
        <f t="shared" si="1"/>
        <v>0.01735079325</v>
      </c>
      <c r="E702" s="175">
        <f t="shared" si="2"/>
        <v>-0.2414881746</v>
      </c>
      <c r="F702" s="175">
        <f>IFERROR(__xludf.DUMMYFUNCTION("average.weighted(filter(Data!K:K,Data!B:B=A702),filter(Data!F:F,Data!B:B=A702))"),-0.128340491501821)</f>
        <v>-0.1283404915</v>
      </c>
      <c r="G702" s="175">
        <f>IFERROR(__xludf.DUMMYFUNCTION("average.weighted(filter(Data!L:L,Data!B:B=A702),filter(Data!F:F,Data!B:B=A702))"),-0.113147683147663)</f>
        <v>-0.1131476831</v>
      </c>
    </row>
    <row r="703">
      <c r="A703" s="172" t="s">
        <v>939</v>
      </c>
      <c r="B703" s="173">
        <f>countif(Data!B:B,A703)</f>
        <v>2</v>
      </c>
      <c r="C703" s="174">
        <f>sumif(Data!B:B,A703,Data!M:M)</f>
        <v>0.1825070097</v>
      </c>
      <c r="D703" s="174">
        <f t="shared" si="1"/>
        <v>0.09125350485</v>
      </c>
      <c r="E703" s="175">
        <f t="shared" si="2"/>
        <v>-0.4968836994</v>
      </c>
      <c r="F703" s="175">
        <f>IFERROR(__xludf.DUMMYFUNCTION("average.weighted(filter(Data!K:K,Data!B:B=A703),filter(Data!F:F,Data!B:B=A703))"),-0.4743063052889425)</f>
        <v>-0.4743063053</v>
      </c>
      <c r="G703" s="175">
        <f>IFERROR(__xludf.DUMMYFUNCTION("average.weighted(filter(Data!L:L,Data!B:B=A703),filter(Data!F:F,Data!B:B=A703))"),-0.022577394096659698)</f>
        <v>-0.0225773941</v>
      </c>
    </row>
    <row r="704">
      <c r="A704" s="172" t="s">
        <v>940</v>
      </c>
      <c r="B704" s="173">
        <f>countif(Data!B:B,A704)</f>
        <v>1</v>
      </c>
      <c r="C704" s="174">
        <f>sumif(Data!B:B,A704,Data!M:M)</f>
        <v>0.01778184352</v>
      </c>
      <c r="D704" s="174">
        <f t="shared" si="1"/>
        <v>0.01778184352</v>
      </c>
      <c r="E704" s="175">
        <f t="shared" si="2"/>
        <v>-0.5007434929</v>
      </c>
      <c r="F704" s="175">
        <f>IFERROR(__xludf.DUMMYFUNCTION("average.weighted(filter(Data!K:K,Data!B:B=A704),filter(Data!F:F,Data!B:B=A704))"),-0.226867602560923)</f>
        <v>-0.2268676026</v>
      </c>
      <c r="G704" s="175">
        <f>IFERROR(__xludf.DUMMYFUNCTION("average.weighted(filter(Data!L:L,Data!B:B=A704),filter(Data!F:F,Data!B:B=A704))"),-0.273875890366266)</f>
        <v>-0.2738758904</v>
      </c>
    </row>
    <row r="705">
      <c r="A705" s="172" t="s">
        <v>941</v>
      </c>
      <c r="B705" s="173">
        <f>countif(Data!B:B,A705)</f>
        <v>6</v>
      </c>
      <c r="C705" s="174">
        <f>sumif(Data!B:B,A705,Data!M:M)</f>
        <v>6.248565067</v>
      </c>
      <c r="D705" s="174">
        <f t="shared" si="1"/>
        <v>1.041427511</v>
      </c>
      <c r="E705" s="175">
        <f t="shared" si="2"/>
        <v>-0.438927154</v>
      </c>
      <c r="F705" s="175">
        <f>IFERROR(__xludf.DUMMYFUNCTION("average.weighted(filter(Data!K:K,Data!B:B=A705),filter(Data!F:F,Data!B:B=A705))"),-0.2593322854559243)</f>
        <v>-0.2593322855</v>
      </c>
      <c r="G705" s="175">
        <f>IFERROR(__xludf.DUMMYFUNCTION("average.weighted(filter(Data!L:L,Data!B:B=A705),filter(Data!F:F,Data!B:B=A705))"),-0.17959486849411477)</f>
        <v>-0.1795948685</v>
      </c>
    </row>
    <row r="706">
      <c r="A706" s="172" t="s">
        <v>942</v>
      </c>
      <c r="B706" s="173">
        <f>countif(Data!B:B,A706)</f>
        <v>1</v>
      </c>
      <c r="C706" s="174">
        <f>sumif(Data!B:B,A706,Data!M:M)</f>
        <v>0.2082422668</v>
      </c>
      <c r="D706" s="174">
        <f t="shared" si="1"/>
        <v>0.2082422668</v>
      </c>
      <c r="E706" s="175">
        <f t="shared" si="2"/>
        <v>-0.8289324812</v>
      </c>
      <c r="F706" s="175">
        <f>IFERROR(__xludf.DUMMYFUNCTION("average.weighted(filter(Data!K:K,Data!B:B=A706),filter(Data!F:F,Data!B:B=A706))"),-0.643393772995462)</f>
        <v>-0.643393773</v>
      </c>
      <c r="G706" s="175">
        <f>IFERROR(__xludf.DUMMYFUNCTION("average.weighted(filter(Data!L:L,Data!B:B=A706),filter(Data!F:F,Data!B:B=A706))"),-0.185538708250426)</f>
        <v>-0.1855387083</v>
      </c>
    </row>
    <row r="707">
      <c r="A707" s="172" t="s">
        <v>943</v>
      </c>
      <c r="B707" s="173">
        <f>countif(Data!B:B,A707)</f>
        <v>1</v>
      </c>
      <c r="C707" s="174">
        <f>sumif(Data!B:B,A707,Data!M:M)</f>
        <v>0.009011640139</v>
      </c>
      <c r="D707" s="174">
        <f t="shared" si="1"/>
        <v>0.009011640139</v>
      </c>
      <c r="E707" s="175">
        <f t="shared" si="2"/>
        <v>-0.5042609793</v>
      </c>
      <c r="F707" s="175">
        <f>IFERROR(__xludf.DUMMYFUNCTION("average.weighted(filter(Data!K:K,Data!B:B=A707),filter(Data!F:F,Data!B:B=A707))"),-0.158947252127014)</f>
        <v>-0.1589472521</v>
      </c>
      <c r="G707" s="175">
        <f>IFERROR(__xludf.DUMMYFUNCTION("average.weighted(filter(Data!L:L,Data!B:B=A707),filter(Data!F:F,Data!B:B=A707))"),-0.345313727159287)</f>
        <v>-0.3453137272</v>
      </c>
    </row>
    <row r="708">
      <c r="A708" s="172" t="s">
        <v>944</v>
      </c>
      <c r="B708" s="173">
        <f>countif(Data!B:B,A708)</f>
        <v>1</v>
      </c>
      <c r="C708" s="174">
        <f>sumif(Data!B:B,A708,Data!M:M)</f>
        <v>0.03869419298</v>
      </c>
      <c r="D708" s="174">
        <f t="shared" si="1"/>
        <v>0.03869419298</v>
      </c>
      <c r="E708" s="175">
        <f t="shared" si="2"/>
        <v>-0.5044630322</v>
      </c>
      <c r="F708" s="175">
        <f>IFERROR(__xludf.DUMMYFUNCTION("average.weighted(filter(Data!K:K,Data!B:B=A708),filter(Data!F:F,Data!B:B=A708))"),-0.333584731668113)</f>
        <v>-0.3335847317</v>
      </c>
      <c r="G708" s="175">
        <f>IFERROR(__xludf.DUMMYFUNCTION("average.weighted(filter(Data!L:L,Data!B:B=A708),filter(Data!F:F,Data!B:B=A708))"),-0.170878300509423)</f>
        <v>-0.1708783005</v>
      </c>
    </row>
    <row r="709">
      <c r="A709" s="172" t="s">
        <v>945</v>
      </c>
      <c r="B709" s="173">
        <f>countif(Data!B:B,A709)</f>
        <v>2</v>
      </c>
      <c r="C709" s="174">
        <f>sumif(Data!B:B,A709,Data!M:M)</f>
        <v>0.1575784745</v>
      </c>
      <c r="D709" s="174">
        <f t="shared" si="1"/>
        <v>0.07878923723</v>
      </c>
      <c r="E709" s="175">
        <f t="shared" si="2"/>
        <v>-0.506105427</v>
      </c>
      <c r="F709" s="175">
        <f>IFERROR(__xludf.DUMMYFUNCTION("average.weighted(filter(Data!K:K,Data!B:B=A709),filter(Data!F:F,Data!B:B=A709))"),-0.20935107669154526)</f>
        <v>-0.2093510767</v>
      </c>
      <c r="G709" s="175">
        <f>IFERROR(__xludf.DUMMYFUNCTION("average.weighted(filter(Data!L:L,Data!B:B=A709),filter(Data!F:F,Data!B:B=A709))"),-0.2967543502651491)</f>
        <v>-0.2967543503</v>
      </c>
    </row>
    <row r="710">
      <c r="A710" s="172" t="s">
        <v>946</v>
      </c>
      <c r="B710" s="173">
        <f>countif(Data!B:B,A710)</f>
        <v>8</v>
      </c>
      <c r="C710" s="174">
        <f>sumif(Data!B:B,A710,Data!M:M)</f>
        <v>16.09526977</v>
      </c>
      <c r="D710" s="174">
        <f t="shared" si="1"/>
        <v>2.011908721</v>
      </c>
      <c r="E710" s="175">
        <f t="shared" si="2"/>
        <v>-0.5273929852</v>
      </c>
      <c r="F710" s="175">
        <f>IFERROR(__xludf.DUMMYFUNCTION("average.weighted(filter(Data!K:K,Data!B:B=A710),filter(Data!F:F,Data!B:B=A710))"),-0.7261767943421588)</f>
        <v>-0.7261767943</v>
      </c>
      <c r="G710" s="175">
        <f>IFERROR(__xludf.DUMMYFUNCTION("average.weighted(filter(Data!L:L,Data!B:B=A710),filter(Data!F:F,Data!B:B=A710))"),0.198783809107463)</f>
        <v>0.1987838091</v>
      </c>
    </row>
    <row r="711">
      <c r="A711" s="172" t="s">
        <v>947</v>
      </c>
      <c r="B711" s="173">
        <f>countif(Data!B:B,A711)</f>
        <v>8</v>
      </c>
      <c r="C711" s="174">
        <f>sumif(Data!B:B,A711,Data!M:M)</f>
        <v>16.31555907</v>
      </c>
      <c r="D711" s="174">
        <f t="shared" si="1"/>
        <v>2.039444883</v>
      </c>
      <c r="E711" s="175">
        <f t="shared" si="2"/>
        <v>-0.5451933005</v>
      </c>
      <c r="F711" s="175">
        <f>IFERROR(__xludf.DUMMYFUNCTION("average.weighted(filter(Data!K:K,Data!B:B=A711),filter(Data!F:F,Data!B:B=A711))"),1.00788868323553)</f>
        <v>1.007888683</v>
      </c>
      <c r="G711" s="175">
        <f>IFERROR(__xludf.DUMMYFUNCTION("average.weighted(filter(Data!L:L,Data!B:B=A711),filter(Data!F:F,Data!B:B=A711))"),-1.5530819837149534)</f>
        <v>-1.553081984</v>
      </c>
    </row>
    <row r="712">
      <c r="A712" s="172" t="s">
        <v>948</v>
      </c>
      <c r="B712" s="173">
        <f>countif(Data!B:B,A712)</f>
        <v>3</v>
      </c>
      <c r="C712" s="174">
        <f>sumif(Data!B:B,A712,Data!M:M)</f>
        <v>0.8324129367</v>
      </c>
      <c r="D712" s="174">
        <f t="shared" si="1"/>
        <v>0.2774709789</v>
      </c>
      <c r="E712" s="175">
        <f t="shared" si="2"/>
        <v>-0.4344277405</v>
      </c>
      <c r="F712" s="175">
        <f>IFERROR(__xludf.DUMMYFUNCTION("average.weighted(filter(Data!K:K,Data!B:B=A712),filter(Data!F:F,Data!B:B=A712))"),-2.225122627739403)</f>
        <v>-2.225122628</v>
      </c>
      <c r="G712" s="175">
        <f>IFERROR(__xludf.DUMMYFUNCTION("average.weighted(filter(Data!L:L,Data!B:B=A712),filter(Data!F:F,Data!B:B=A712))"),1.7906948872162085)</f>
        <v>1.790694887</v>
      </c>
    </row>
    <row r="713">
      <c r="A713" s="172" t="s">
        <v>949</v>
      </c>
      <c r="B713" s="173">
        <f>countif(Data!B:B,A713)</f>
        <v>3</v>
      </c>
      <c r="C713" s="174">
        <f>sumif(Data!B:B,A713,Data!M:M)</f>
        <v>2.583496478</v>
      </c>
      <c r="D713" s="174">
        <f t="shared" si="1"/>
        <v>0.8611654927</v>
      </c>
      <c r="E713" s="175">
        <f t="shared" si="2"/>
        <v>-0.5243201603</v>
      </c>
      <c r="F713" s="175">
        <f>IFERROR(__xludf.DUMMYFUNCTION("average.weighted(filter(Data!K:K,Data!B:B=A713),filter(Data!F:F,Data!B:B=A713))"),-0.5550168779329588)</f>
        <v>-0.5550168779</v>
      </c>
      <c r="G713" s="175">
        <f>IFERROR(__xludf.DUMMYFUNCTION("average.weighted(filter(Data!L:L,Data!B:B=A713),filter(Data!F:F,Data!B:B=A713))"),0.03069671761953687)</f>
        <v>0.03069671762</v>
      </c>
    </row>
    <row r="714">
      <c r="A714" s="172" t="s">
        <v>950</v>
      </c>
      <c r="B714" s="173">
        <f>countif(Data!B:B,A714)</f>
        <v>3</v>
      </c>
      <c r="C714" s="174">
        <f>sumif(Data!B:B,A714,Data!M:M)</f>
        <v>1.871316151</v>
      </c>
      <c r="D714" s="174">
        <f t="shared" si="1"/>
        <v>0.6237720503</v>
      </c>
      <c r="E714" s="175">
        <f t="shared" si="2"/>
        <v>-0.5246479768</v>
      </c>
      <c r="F714" s="175">
        <f>IFERROR(__xludf.DUMMYFUNCTION("average.weighted(filter(Data!K:K,Data!B:B=A714),filter(Data!F:F,Data!B:B=A714))"),-0.7808394808930877)</f>
        <v>-0.7808394809</v>
      </c>
      <c r="G714" s="175">
        <f>IFERROR(__xludf.DUMMYFUNCTION("average.weighted(filter(Data!L:L,Data!B:B=A714),filter(Data!F:F,Data!B:B=A714))"),0.2561915041221163)</f>
        <v>0.2561915041</v>
      </c>
    </row>
    <row r="715">
      <c r="A715" s="172" t="s">
        <v>951</v>
      </c>
      <c r="B715" s="173">
        <f>countif(Data!B:B,A715)</f>
        <v>3</v>
      </c>
      <c r="C715" s="174">
        <f>sumif(Data!B:B,A715,Data!M:M)</f>
        <v>1.836810142</v>
      </c>
      <c r="D715" s="174">
        <f t="shared" si="1"/>
        <v>0.6122700473</v>
      </c>
      <c r="E715" s="175">
        <f t="shared" si="2"/>
        <v>-0.5901238221</v>
      </c>
      <c r="F715" s="175">
        <f>IFERROR(__xludf.DUMMYFUNCTION("average.weighted(filter(Data!K:K,Data!B:B=A715),filter(Data!F:F,Data!B:B=A715))"),-2.028993428540781)</f>
        <v>-2.028993429</v>
      </c>
      <c r="G715" s="175">
        <f>IFERROR(__xludf.DUMMYFUNCTION("average.weighted(filter(Data!L:L,Data!B:B=A715),filter(Data!F:F,Data!B:B=A715))"),1.4388696064597677)</f>
        <v>1.438869606</v>
      </c>
    </row>
    <row r="716">
      <c r="A716" s="172" t="s">
        <v>952</v>
      </c>
      <c r="B716" s="173">
        <f>countif(Data!B:B,A716)</f>
        <v>8</v>
      </c>
      <c r="C716" s="174">
        <f>sumif(Data!B:B,A716,Data!M:M)</f>
        <v>12.45746668</v>
      </c>
      <c r="D716" s="174">
        <f t="shared" si="1"/>
        <v>1.557183335</v>
      </c>
      <c r="E716" s="175">
        <f t="shared" si="2"/>
        <v>-0.5321909986</v>
      </c>
      <c r="F716" s="175">
        <f>IFERROR(__xludf.DUMMYFUNCTION("average.weighted(filter(Data!K:K,Data!B:B=A716),filter(Data!F:F,Data!B:B=A716))"),-1.035483635009181)</f>
        <v>-1.035483635</v>
      </c>
      <c r="G716" s="175">
        <f>IFERROR(__xludf.DUMMYFUNCTION("average.weighted(filter(Data!L:L,Data!B:B=A716),filter(Data!F:F,Data!B:B=A716))"),0.5032926364060628)</f>
        <v>0.5032926364</v>
      </c>
    </row>
    <row r="717">
      <c r="A717" s="172" t="s">
        <v>953</v>
      </c>
      <c r="B717" s="173">
        <f>countif(Data!B:B,A717)</f>
        <v>4</v>
      </c>
      <c r="C717" s="174">
        <f>sumif(Data!B:B,A717,Data!M:M)</f>
        <v>6.723552125</v>
      </c>
      <c r="D717" s="174">
        <f t="shared" si="1"/>
        <v>1.680888031</v>
      </c>
      <c r="E717" s="175">
        <f t="shared" si="2"/>
        <v>-0.5027757783</v>
      </c>
      <c r="F717" s="175">
        <f>IFERROR(__xludf.DUMMYFUNCTION("average.weighted(filter(Data!K:K,Data!B:B=A717),filter(Data!F:F,Data!B:B=A717))"),-1.0856751088156729)</f>
        <v>-1.085675109</v>
      </c>
      <c r="G717" s="175">
        <f>IFERROR(__xludf.DUMMYFUNCTION("average.weighted(filter(Data!L:L,Data!B:B=A717),filter(Data!F:F,Data!B:B=A717))"),0.5828993305046362)</f>
        <v>0.5828993305</v>
      </c>
    </row>
    <row r="718">
      <c r="A718" s="172" t="s">
        <v>954</v>
      </c>
      <c r="B718" s="173">
        <f>countif(Data!B:B,A718)</f>
        <v>1</v>
      </c>
      <c r="C718" s="174">
        <f>sumif(Data!B:B,A718,Data!M:M)</f>
        <v>0.190765356</v>
      </c>
      <c r="D718" s="174">
        <f t="shared" si="1"/>
        <v>0.190765356</v>
      </c>
      <c r="E718" s="175">
        <f t="shared" si="2"/>
        <v>-0.533451481</v>
      </c>
      <c r="F718" s="175">
        <f>IFERROR(__xludf.DUMMYFUNCTION("average.weighted(filter(Data!K:K,Data!B:B=A718),filter(Data!F:F,Data!B:B=A718))"),-0.736671432592598)</f>
        <v>-0.7366714326</v>
      </c>
      <c r="G718" s="175">
        <f>IFERROR(__xludf.DUMMYFUNCTION("average.weighted(filter(Data!L:L,Data!B:B=A718),filter(Data!F:F,Data!B:B=A718))"),0.203219951550579)</f>
        <v>0.2032199516</v>
      </c>
    </row>
    <row r="719">
      <c r="A719" s="172" t="s">
        <v>955</v>
      </c>
      <c r="B719" s="173">
        <f>countif(Data!B:B,A719)</f>
        <v>2</v>
      </c>
      <c r="C719" s="174">
        <f>sumif(Data!B:B,A719,Data!M:M)</f>
        <v>0.01576195583</v>
      </c>
      <c r="D719" s="174">
        <f t="shared" si="1"/>
        <v>0.007880977916</v>
      </c>
      <c r="E719" s="175">
        <f t="shared" si="2"/>
        <v>-0.5091450554</v>
      </c>
      <c r="F719" s="175">
        <f>IFERROR(__xludf.DUMMYFUNCTION("average.weighted(filter(Data!K:K,Data!B:B=A719),filter(Data!F:F,Data!B:B=A719))"),-0.1955880488715022)</f>
        <v>-0.1955880489</v>
      </c>
      <c r="G719" s="175">
        <f>IFERROR(__xludf.DUMMYFUNCTION("average.weighted(filter(Data!L:L,Data!B:B=A719),filter(Data!F:F,Data!B:B=A719))"),-0.313557006577102)</f>
        <v>-0.3135570066</v>
      </c>
    </row>
    <row r="720">
      <c r="A720" s="172" t="s">
        <v>956</v>
      </c>
      <c r="B720" s="173">
        <f>countif(Data!B:B,A720)</f>
        <v>1</v>
      </c>
      <c r="C720" s="174">
        <f>sumif(Data!B:B,A720,Data!M:M)</f>
        <v>0.03013764682</v>
      </c>
      <c r="D720" s="174">
        <f t="shared" si="1"/>
        <v>0.03013764682</v>
      </c>
      <c r="E720" s="175">
        <f t="shared" si="2"/>
        <v>-0.60246098</v>
      </c>
      <c r="F720" s="175">
        <f>IFERROR(__xludf.DUMMYFUNCTION("average.weighted(filter(Data!K:K,Data!B:B=A720),filter(Data!F:F,Data!B:B=A720))"),-0.204511661590545)</f>
        <v>-0.2045116616</v>
      </c>
      <c r="G720" s="175">
        <f>IFERROR(__xludf.DUMMYFUNCTION("average.weighted(filter(Data!L:L,Data!B:B=A720),filter(Data!F:F,Data!B:B=A720))"),-0.397949318424345)</f>
        <v>-0.3979493184</v>
      </c>
    </row>
    <row r="721">
      <c r="A721" s="172" t="s">
        <v>957</v>
      </c>
      <c r="B721" s="173">
        <f>countif(Data!B:B,A721)</f>
        <v>1</v>
      </c>
      <c r="C721" s="174">
        <f>sumif(Data!B:B,A721,Data!M:M)</f>
        <v>0</v>
      </c>
      <c r="D721" s="174">
        <f t="shared" si="1"/>
        <v>0</v>
      </c>
      <c r="E721" s="175">
        <f t="shared" si="2"/>
        <v>-0.2132931843</v>
      </c>
      <c r="F721" s="175">
        <f>IFERROR(__xludf.DUMMYFUNCTION("average.weighted(filter(Data!K:K,Data!B:B=A721),filter(Data!F:F,Data!B:B=A721))"),-0.467640142116673)</f>
        <v>-0.4676401421</v>
      </c>
      <c r="G721" s="175">
        <f>IFERROR(__xludf.DUMMYFUNCTION("average.weighted(filter(Data!L:L,Data!B:B=A721),filter(Data!F:F,Data!B:B=A721))"),0.254346957831682)</f>
        <v>0.2543469578</v>
      </c>
    </row>
    <row r="722">
      <c r="A722" s="172" t="s">
        <v>958</v>
      </c>
      <c r="B722" s="173">
        <f>countif(Data!B:B,A722)</f>
        <v>1</v>
      </c>
      <c r="C722" s="174">
        <f>sumif(Data!B:B,A722,Data!M:M)</f>
        <v>1.31126839</v>
      </c>
      <c r="D722" s="174">
        <f t="shared" si="1"/>
        <v>1.31126839</v>
      </c>
      <c r="E722" s="175">
        <f t="shared" si="2"/>
        <v>0.1203096599</v>
      </c>
      <c r="F722" s="175">
        <f>IFERROR(__xludf.DUMMYFUNCTION("average.weighted(filter(Data!K:K,Data!B:B=A722),filter(Data!F:F,Data!B:B=A722))"),0.485536125066986)</f>
        <v>0.4855361251</v>
      </c>
      <c r="G722" s="175">
        <f>IFERROR(__xludf.DUMMYFUNCTION("average.weighted(filter(Data!L:L,Data!B:B=A722),filter(Data!F:F,Data!B:B=A722))"),-0.365226465146631)</f>
        <v>-0.3652264651</v>
      </c>
    </row>
    <row r="723">
      <c r="A723" s="172" t="s">
        <v>959</v>
      </c>
      <c r="B723" s="173">
        <f>countif(Data!B:B,A723)</f>
        <v>5</v>
      </c>
      <c r="C723" s="174">
        <f>sumif(Data!B:B,A723,Data!M:M)</f>
        <v>6.199446302</v>
      </c>
      <c r="D723" s="174">
        <f t="shared" si="1"/>
        <v>1.23988926</v>
      </c>
      <c r="E723" s="175">
        <f t="shared" si="2"/>
        <v>-0.5410470877</v>
      </c>
      <c r="F723" s="175">
        <f>IFERROR(__xludf.DUMMYFUNCTION("average.weighted(filter(Data!K:K,Data!B:B=A723),filter(Data!F:F,Data!B:B=A723))"),0.7087913085789633)</f>
        <v>0.7087913086</v>
      </c>
      <c r="G723" s="175">
        <f>IFERROR(__xludf.DUMMYFUNCTION("average.weighted(filter(Data!L:L,Data!B:B=A723),filter(Data!F:F,Data!B:B=A723))"),-1.249838396265037)</f>
        <v>-1.249838396</v>
      </c>
    </row>
    <row r="724">
      <c r="A724" s="172" t="s">
        <v>960</v>
      </c>
      <c r="B724" s="173">
        <f>countif(Data!B:B,A724)</f>
        <v>8</v>
      </c>
      <c r="C724" s="174">
        <f>sumif(Data!B:B,A724,Data!M:M)</f>
        <v>15.48876105</v>
      </c>
      <c r="D724" s="174">
        <f t="shared" si="1"/>
        <v>1.936095131</v>
      </c>
      <c r="E724" s="175">
        <f t="shared" si="2"/>
        <v>-0.5817571572</v>
      </c>
      <c r="F724" s="175">
        <f>IFERROR(__xludf.DUMMYFUNCTION("average.weighted(filter(Data!K:K,Data!B:B=A724),filter(Data!F:F,Data!B:B=A724))"),0.17952980516415776)</f>
        <v>0.1795298052</v>
      </c>
      <c r="G724" s="175">
        <f>IFERROR(__xludf.DUMMYFUNCTION("average.weighted(filter(Data!L:L,Data!B:B=A724),filter(Data!F:F,Data!B:B=A724))"),-0.7612869624136352)</f>
        <v>-0.7612869624</v>
      </c>
    </row>
    <row r="725">
      <c r="A725" s="172" t="s">
        <v>961</v>
      </c>
      <c r="B725" s="173">
        <f>countif(Data!B:B,A725)</f>
        <v>6</v>
      </c>
      <c r="C725" s="174">
        <f>sumif(Data!B:B,A725,Data!M:M)</f>
        <v>11.80556809</v>
      </c>
      <c r="D725" s="174">
        <f t="shared" si="1"/>
        <v>1.967594682</v>
      </c>
      <c r="E725" s="175">
        <f t="shared" si="2"/>
        <v>-0.5052068758</v>
      </c>
      <c r="F725" s="175">
        <f>IFERROR(__xludf.DUMMYFUNCTION("average.weighted(filter(Data!K:K,Data!B:B=A725),filter(Data!F:F,Data!B:B=A725))"),0.8690882086502153)</f>
        <v>0.8690882087</v>
      </c>
      <c r="G725" s="175">
        <f>IFERROR(__xludf.DUMMYFUNCTION("average.weighted(filter(Data!L:L,Data!B:B=A725),filter(Data!F:F,Data!B:B=A725))"),-1.3742950844201909)</f>
        <v>-1.374295084</v>
      </c>
    </row>
    <row r="726">
      <c r="A726" s="172" t="s">
        <v>962</v>
      </c>
      <c r="B726" s="173">
        <f>countif(Data!B:B,A726)</f>
        <v>3</v>
      </c>
      <c r="C726" s="174">
        <f>sumif(Data!B:B,A726,Data!M:M)</f>
        <v>0.04560276251</v>
      </c>
      <c r="D726" s="174">
        <f t="shared" si="1"/>
        <v>0.01520092084</v>
      </c>
      <c r="E726" s="175">
        <f t="shared" si="2"/>
        <v>-0.5226659961</v>
      </c>
      <c r="F726" s="175">
        <f>IFERROR(__xludf.DUMMYFUNCTION("average.weighted(filter(Data!K:K,Data!B:B=A726),filter(Data!F:F,Data!B:B=A726))"),-0.12277862460331856)</f>
        <v>-0.1227786246</v>
      </c>
      <c r="G726" s="175">
        <f>IFERROR(__xludf.DUMMYFUNCTION("average.weighted(filter(Data!L:L,Data!B:B=A726),filter(Data!F:F,Data!B:B=A726))"),-0.3998873715244262)</f>
        <v>-0.3998873715</v>
      </c>
    </row>
    <row r="727">
      <c r="A727" s="172" t="s">
        <v>963</v>
      </c>
      <c r="B727" s="173">
        <f>countif(Data!B:B,A727)</f>
        <v>1</v>
      </c>
      <c r="C727" s="174">
        <f>sumif(Data!B:B,A727,Data!M:M)</f>
        <v>0.02803180043</v>
      </c>
      <c r="D727" s="174">
        <f t="shared" si="1"/>
        <v>0.02803180043</v>
      </c>
      <c r="E727" s="175">
        <f t="shared" si="2"/>
        <v>-0.5430969751</v>
      </c>
      <c r="F727" s="175">
        <f>IFERROR(__xludf.DUMMYFUNCTION("average.weighted(filter(Data!K:K,Data!B:B=A727),filter(Data!F:F,Data!B:B=A727))"),0.079546632205215)</f>
        <v>0.07954663221</v>
      </c>
      <c r="G727" s="175">
        <f>IFERROR(__xludf.DUMMYFUNCTION("average.weighted(filter(Data!L:L,Data!B:B=A727),filter(Data!F:F,Data!B:B=A727))"),-0.622643607354764)</f>
        <v>-0.6226436074</v>
      </c>
    </row>
    <row r="728">
      <c r="A728" s="172" t="s">
        <v>964</v>
      </c>
      <c r="B728" s="173">
        <f>countif(Data!B:B,A728)</f>
        <v>2</v>
      </c>
      <c r="C728" s="174">
        <f>sumif(Data!B:B,A728,Data!M:M)</f>
        <v>0.3093017412</v>
      </c>
      <c r="D728" s="174">
        <f t="shared" si="1"/>
        <v>0.1546508706</v>
      </c>
      <c r="E728" s="175">
        <f t="shared" si="2"/>
        <v>-0.5431057645</v>
      </c>
      <c r="F728" s="175">
        <f>IFERROR(__xludf.DUMMYFUNCTION("average.weighted(filter(Data!K:K,Data!B:B=A728),filter(Data!F:F,Data!B:B=A728))"),-0.26850021287859965)</f>
        <v>-0.2685002129</v>
      </c>
      <c r="G728" s="175">
        <f>IFERROR(__xludf.DUMMYFUNCTION("average.weighted(filter(Data!L:L,Data!B:B=A728),filter(Data!F:F,Data!B:B=A728))"),-0.2746055516475058)</f>
        <v>-0.2746055516</v>
      </c>
    </row>
    <row r="729">
      <c r="A729" s="172" t="s">
        <v>965</v>
      </c>
      <c r="B729" s="173">
        <f>countif(Data!B:B,A729)</f>
        <v>8</v>
      </c>
      <c r="C729" s="174">
        <f>sumif(Data!B:B,A729,Data!M:M)</f>
        <v>14.00104453</v>
      </c>
      <c r="D729" s="174">
        <f t="shared" si="1"/>
        <v>1.750130566</v>
      </c>
      <c r="E729" s="175">
        <f t="shared" si="2"/>
        <v>-0.5604935527</v>
      </c>
      <c r="F729" s="175">
        <f>IFERROR(__xludf.DUMMYFUNCTION("average.weighted(filter(Data!K:K,Data!B:B=A729),filter(Data!F:F,Data!B:B=A729))"),0.34205332429780394)</f>
        <v>0.3420533243</v>
      </c>
      <c r="G729" s="175">
        <f>IFERROR(__xludf.DUMMYFUNCTION("average.weighted(filter(Data!L:L,Data!B:B=A729),filter(Data!F:F,Data!B:B=A729))"),-0.9025468769791789)</f>
        <v>-0.902546877</v>
      </c>
    </row>
    <row r="730">
      <c r="A730" s="172" t="s">
        <v>966</v>
      </c>
      <c r="B730" s="173">
        <f>countif(Data!B:B,A730)</f>
        <v>1</v>
      </c>
      <c r="C730" s="174">
        <f>sumif(Data!B:B,A730,Data!M:M)</f>
        <v>0.0519167146</v>
      </c>
      <c r="D730" s="174">
        <f t="shared" si="1"/>
        <v>0.0519167146</v>
      </c>
      <c r="E730" s="175">
        <f t="shared" si="2"/>
        <v>-0.5490311471</v>
      </c>
      <c r="F730" s="175">
        <f>IFERROR(__xludf.DUMMYFUNCTION("average.weighted(filter(Data!K:K,Data!B:B=A730),filter(Data!F:F,Data!B:B=A730))"),-0.454888100252398)</f>
        <v>-0.4548881003</v>
      </c>
      <c r="G730" s="175">
        <f>IFERROR(__xludf.DUMMYFUNCTION("average.weighted(filter(Data!L:L,Data!B:B=A730),filter(Data!F:F,Data!B:B=A730))"),-0.094143046820655)</f>
        <v>-0.09414304682</v>
      </c>
    </row>
    <row r="731">
      <c r="A731" s="172" t="s">
        <v>967</v>
      </c>
      <c r="B731" s="173">
        <f>countif(Data!B:B,A731)</f>
        <v>1</v>
      </c>
      <c r="C731" s="174">
        <f>sumif(Data!B:B,A731,Data!M:M)</f>
        <v>0.008804426407</v>
      </c>
      <c r="D731" s="174">
        <f t="shared" si="1"/>
        <v>0.008804426407</v>
      </c>
      <c r="E731" s="175">
        <f t="shared" si="2"/>
        <v>-0.5507070083</v>
      </c>
      <c r="F731" s="175">
        <f>IFERROR(__xludf.DUMMYFUNCTION("average.weighted(filter(Data!K:K,Data!B:B=A731),filter(Data!F:F,Data!B:B=A731))"),0.00506088365230774)</f>
        <v>0.005060883652</v>
      </c>
      <c r="G731" s="175">
        <f>IFERROR(__xludf.DUMMYFUNCTION("average.weighted(filter(Data!L:L,Data!B:B=A731),filter(Data!F:F,Data!B:B=A731))"),-0.555767891952664)</f>
        <v>-0.555767892</v>
      </c>
    </row>
    <row r="732">
      <c r="A732" s="172" t="s">
        <v>968</v>
      </c>
      <c r="B732" s="173">
        <f>countif(Data!B:B,A732)</f>
        <v>3</v>
      </c>
      <c r="C732" s="174">
        <f>sumif(Data!B:B,A732,Data!M:M)</f>
        <v>2.785171258</v>
      </c>
      <c r="D732" s="174">
        <f t="shared" si="1"/>
        <v>0.9283904195</v>
      </c>
      <c r="E732" s="175">
        <f t="shared" si="2"/>
        <v>-0.5509960442</v>
      </c>
      <c r="F732" s="175">
        <f>IFERROR(__xludf.DUMMYFUNCTION("average.weighted(filter(Data!K:K,Data!B:B=A732),filter(Data!F:F,Data!B:B=A732))"),-0.8049205173768096)</f>
        <v>-0.8049205174</v>
      </c>
      <c r="G732" s="175">
        <f>IFERROR(__xludf.DUMMYFUNCTION("average.weighted(filter(Data!L:L,Data!B:B=A732),filter(Data!F:F,Data!B:B=A732))"),0.25392447317547817)</f>
        <v>0.2539244732</v>
      </c>
    </row>
    <row r="733">
      <c r="A733" s="172" t="s">
        <v>969</v>
      </c>
      <c r="B733" s="173">
        <f>countif(Data!B:B,A733)</f>
        <v>3</v>
      </c>
      <c r="C733" s="174">
        <f>sumif(Data!B:B,A733,Data!M:M)</f>
        <v>2.635890848</v>
      </c>
      <c r="D733" s="174">
        <f t="shared" si="1"/>
        <v>0.8786302828</v>
      </c>
      <c r="E733" s="175">
        <f t="shared" si="2"/>
        <v>-0.6988155306</v>
      </c>
      <c r="F733" s="175">
        <f>IFERROR(__xludf.DUMMYFUNCTION("average.weighted(filter(Data!K:K,Data!B:B=A733),filter(Data!F:F,Data!B:B=A733))"),-1.5653386637061668)</f>
        <v>-1.565338664</v>
      </c>
      <c r="G733" s="175">
        <f>IFERROR(__xludf.DUMMYFUNCTION("average.weighted(filter(Data!L:L,Data!B:B=A733),filter(Data!F:F,Data!B:B=A733))"),0.8665231330612662)</f>
        <v>0.8665231331</v>
      </c>
    </row>
    <row r="734">
      <c r="A734" s="172" t="s">
        <v>970</v>
      </c>
      <c r="B734" s="173">
        <f>countif(Data!B:B,A734)</f>
        <v>8</v>
      </c>
      <c r="C734" s="174">
        <f>sumif(Data!B:B,A734,Data!M:M)</f>
        <v>15.80871307</v>
      </c>
      <c r="D734" s="174">
        <f t="shared" si="1"/>
        <v>1.976089134</v>
      </c>
      <c r="E734" s="175">
        <f t="shared" si="2"/>
        <v>-0.5622600079</v>
      </c>
      <c r="F734" s="175">
        <f>IFERROR(__xludf.DUMMYFUNCTION("average.weighted(filter(Data!K:K,Data!B:B=A734),filter(Data!F:F,Data!B:B=A734))"),0.23734780520376084)</f>
        <v>0.2373478052</v>
      </c>
      <c r="G734" s="175">
        <f>IFERROR(__xludf.DUMMYFUNCTION("average.weighted(filter(Data!L:L,Data!B:B=A734),filter(Data!F:F,Data!B:B=A734))"),-0.7996078130885605)</f>
        <v>-0.7996078131</v>
      </c>
    </row>
    <row r="735">
      <c r="A735" s="172" t="s">
        <v>971</v>
      </c>
      <c r="B735" s="173">
        <f>countif(Data!B:B,A735)</f>
        <v>2</v>
      </c>
      <c r="C735" s="174">
        <f>sumif(Data!B:B,A735,Data!M:M)</f>
        <v>0.04812964211</v>
      </c>
      <c r="D735" s="174">
        <f t="shared" si="1"/>
        <v>0.02406482105</v>
      </c>
      <c r="E735" s="175">
        <f t="shared" si="2"/>
        <v>-0.5541235836</v>
      </c>
      <c r="F735" s="175">
        <f>IFERROR(__xludf.DUMMYFUNCTION("average.weighted(filter(Data!K:K,Data!B:B=A735),filter(Data!F:F,Data!B:B=A735))"),-0.7346468486302605)</f>
        <v>-0.7346468486</v>
      </c>
      <c r="G735" s="175">
        <f>IFERROR(__xludf.DUMMYFUNCTION("average.weighted(filter(Data!L:L,Data!B:B=A735),filter(Data!F:F,Data!B:B=A735))"),0.18052326498352883)</f>
        <v>0.180523265</v>
      </c>
    </row>
    <row r="736">
      <c r="A736" s="172" t="s">
        <v>972</v>
      </c>
      <c r="B736" s="173">
        <f>countif(Data!B:B,A736)</f>
        <v>5</v>
      </c>
      <c r="C736" s="174">
        <f>sumif(Data!B:B,A736,Data!M:M)</f>
        <v>5.60074929</v>
      </c>
      <c r="D736" s="174">
        <f t="shared" si="1"/>
        <v>1.120149858</v>
      </c>
      <c r="E736" s="175">
        <f t="shared" si="2"/>
        <v>-0.554648712</v>
      </c>
      <c r="F736" s="175">
        <f>IFERROR(__xludf.DUMMYFUNCTION("average.weighted(filter(Data!K:K,Data!B:B=A736),filter(Data!F:F,Data!B:B=A736))"),-1.9381677154791244)</f>
        <v>-1.938167715</v>
      </c>
      <c r="G736" s="175">
        <f>IFERROR(__xludf.DUMMYFUNCTION("average.weighted(filter(Data!L:L,Data!B:B=A736),filter(Data!F:F,Data!B:B=A736))"),1.383519003469858)</f>
        <v>1.383519003</v>
      </c>
    </row>
    <row r="737">
      <c r="A737" s="172" t="s">
        <v>973</v>
      </c>
      <c r="B737" s="173">
        <f>countif(Data!B:B,A737)</f>
        <v>8</v>
      </c>
      <c r="C737" s="174">
        <f>sumif(Data!B:B,A737,Data!M:M)</f>
        <v>13.58090584</v>
      </c>
      <c r="D737" s="174">
        <f t="shared" si="1"/>
        <v>1.69761323</v>
      </c>
      <c r="E737" s="175">
        <f t="shared" si="2"/>
        <v>-0.5615260934</v>
      </c>
      <c r="F737" s="175">
        <f>IFERROR(__xludf.DUMMYFUNCTION("average.weighted(filter(Data!K:K,Data!B:B=A737),filter(Data!F:F,Data!B:B=A737))"),-0.44345529296263875)</f>
        <v>-0.443455293</v>
      </c>
      <c r="G737" s="175">
        <f>IFERROR(__xludf.DUMMYFUNCTION("average.weighted(filter(Data!L:L,Data!B:B=A737),filter(Data!F:F,Data!B:B=A737))"),-0.11807080044863495)</f>
        <v>-0.1180708004</v>
      </c>
    </row>
    <row r="738">
      <c r="A738" s="172" t="s">
        <v>974</v>
      </c>
      <c r="B738" s="173">
        <f>countif(Data!B:B,A738)</f>
        <v>3</v>
      </c>
      <c r="C738" s="174">
        <f>sumif(Data!B:B,A738,Data!M:M)</f>
        <v>1.328136815</v>
      </c>
      <c r="D738" s="174">
        <f t="shared" si="1"/>
        <v>0.4427122717</v>
      </c>
      <c r="E738" s="175">
        <f t="shared" si="2"/>
        <v>-0.5566460766</v>
      </c>
      <c r="F738" s="175">
        <f>IFERROR(__xludf.DUMMYFUNCTION("average.weighted(filter(Data!K:K,Data!B:B=A738),filter(Data!F:F,Data!B:B=A738))"),-0.7095408031417423)</f>
        <v>-0.7095408031</v>
      </c>
      <c r="G738" s="175">
        <f>IFERROR(__xludf.DUMMYFUNCTION("average.weighted(filter(Data!L:L,Data!B:B=A738),filter(Data!F:F,Data!B:B=A738))"),0.15289472652516942)</f>
        <v>0.1528947265</v>
      </c>
    </row>
    <row r="739">
      <c r="A739" s="172" t="s">
        <v>975</v>
      </c>
      <c r="B739" s="173">
        <f>countif(Data!B:B,A739)</f>
        <v>7</v>
      </c>
      <c r="C739" s="174">
        <f>sumif(Data!B:B,A739,Data!M:M)</f>
        <v>7.48333709</v>
      </c>
      <c r="D739" s="174">
        <f t="shared" si="1"/>
        <v>1.069048156</v>
      </c>
      <c r="E739" s="175">
        <f t="shared" si="2"/>
        <v>-0.5611654328</v>
      </c>
      <c r="F739" s="175">
        <f>IFERROR(__xludf.DUMMYFUNCTION("average.weighted(filter(Data!K:K,Data!B:B=A739),filter(Data!F:F,Data!B:B=A739))"),0.14483829982161173)</f>
        <v>0.1448382998</v>
      </c>
      <c r="G739" s="175">
        <f>IFERROR(__xludf.DUMMYFUNCTION("average.weighted(filter(Data!L:L,Data!B:B=A739),filter(Data!F:F,Data!B:B=A739))"),-0.7060037326241982)</f>
        <v>-0.7060037326</v>
      </c>
    </row>
    <row r="740">
      <c r="A740" s="172" t="s">
        <v>976</v>
      </c>
      <c r="B740" s="173">
        <f>countif(Data!B:B,A740)</f>
        <v>2</v>
      </c>
      <c r="C740" s="174">
        <f>sumif(Data!B:B,A740,Data!M:M)</f>
        <v>1.944979852</v>
      </c>
      <c r="D740" s="174">
        <f t="shared" si="1"/>
        <v>0.972489926</v>
      </c>
      <c r="E740" s="175">
        <f t="shared" si="2"/>
        <v>-0.6848801875</v>
      </c>
      <c r="F740" s="175">
        <f>IFERROR(__xludf.DUMMYFUNCTION("average.weighted(filter(Data!K:K,Data!B:B=A740),filter(Data!F:F,Data!B:B=A740))"),-1.8330304891654654)</f>
        <v>-1.833030489</v>
      </c>
      <c r="G740" s="175">
        <f>IFERROR(__xludf.DUMMYFUNCTION("average.weighted(filter(Data!L:L,Data!B:B=A740),filter(Data!F:F,Data!B:B=A740))"),1.148150301622555)</f>
        <v>1.148150302</v>
      </c>
    </row>
    <row r="741">
      <c r="A741" s="172" t="s">
        <v>977</v>
      </c>
      <c r="B741" s="173">
        <f>countif(Data!B:B,A741)</f>
        <v>4</v>
      </c>
      <c r="C741" s="174">
        <f>sumif(Data!B:B,A741,Data!M:M)</f>
        <v>2.915076354</v>
      </c>
      <c r="D741" s="174">
        <f t="shared" si="1"/>
        <v>0.7287690886</v>
      </c>
      <c r="E741" s="175">
        <f t="shared" si="2"/>
        <v>-0.5634381616</v>
      </c>
      <c r="F741" s="175">
        <f>IFERROR(__xludf.DUMMYFUNCTION("average.weighted(filter(Data!K:K,Data!B:B=A741),filter(Data!F:F,Data!B:B=A741))"),0.11248309221249217)</f>
        <v>0.1124830922</v>
      </c>
      <c r="G741" s="175">
        <f>IFERROR(__xludf.DUMMYFUNCTION("average.weighted(filter(Data!L:L,Data!B:B=A741),filter(Data!F:F,Data!B:B=A741))"),-0.6759212538230155)</f>
        <v>-0.6759212538</v>
      </c>
    </row>
    <row r="742">
      <c r="A742" s="172" t="s">
        <v>978</v>
      </c>
      <c r="B742" s="173">
        <f>countif(Data!B:B,A742)</f>
        <v>5</v>
      </c>
      <c r="C742" s="174">
        <f>sumif(Data!B:B,A742,Data!M:M)</f>
        <v>5.795234011</v>
      </c>
      <c r="D742" s="174">
        <f t="shared" si="1"/>
        <v>1.159046802</v>
      </c>
      <c r="E742" s="175">
        <f t="shared" si="2"/>
        <v>-0.5658059147</v>
      </c>
      <c r="F742" s="175">
        <f>IFERROR(__xludf.DUMMYFUNCTION("average.weighted(filter(Data!K:K,Data!B:B=A742),filter(Data!F:F,Data!B:B=A742))"),-1.2948536684797718)</f>
        <v>-1.294853668</v>
      </c>
      <c r="G742" s="175">
        <f>IFERROR(__xludf.DUMMYFUNCTION("average.weighted(filter(Data!L:L,Data!B:B=A742),filter(Data!F:F,Data!B:B=A742))"),0.7290477537552712)</f>
        <v>0.7290477538</v>
      </c>
    </row>
    <row r="743">
      <c r="A743" s="172" t="s">
        <v>979</v>
      </c>
      <c r="B743" s="173">
        <f>countif(Data!B:B,A743)</f>
        <v>5</v>
      </c>
      <c r="C743" s="174">
        <f>sumif(Data!B:B,A743,Data!M:M)</f>
        <v>5.132425226</v>
      </c>
      <c r="D743" s="174">
        <f t="shared" si="1"/>
        <v>1.026485045</v>
      </c>
      <c r="E743" s="175">
        <f t="shared" si="2"/>
        <v>-0.5747510561</v>
      </c>
      <c r="F743" s="175">
        <f>IFERROR(__xludf.DUMMYFUNCTION("average.weighted(filter(Data!K:K,Data!B:B=A743),filter(Data!F:F,Data!B:B=A743))"),-1.6520721820744384)</f>
        <v>-1.652072182</v>
      </c>
      <c r="G743" s="175">
        <f>IFERROR(__xludf.DUMMYFUNCTION("average.weighted(filter(Data!L:L,Data!B:B=A743),filter(Data!F:F,Data!B:B=A743))"),1.077321125966367)</f>
        <v>1.077321126</v>
      </c>
    </row>
    <row r="744">
      <c r="A744" s="172" t="s">
        <v>980</v>
      </c>
      <c r="B744" s="173">
        <f>countif(Data!B:B,A744)</f>
        <v>1</v>
      </c>
      <c r="C744" s="174">
        <f>sumif(Data!B:B,A744,Data!M:M)</f>
        <v>0.3031626652</v>
      </c>
      <c r="D744" s="174">
        <f t="shared" si="1"/>
        <v>0.3031626652</v>
      </c>
      <c r="E744" s="175">
        <f t="shared" si="2"/>
        <v>-0.3433268119</v>
      </c>
      <c r="F744" s="175">
        <f>IFERROR(__xludf.DUMMYFUNCTION("average.weighted(filter(Data!K:K,Data!B:B=A744),filter(Data!F:F,Data!B:B=A744))"),0.27310890261196)</f>
        <v>0.2731089026</v>
      </c>
      <c r="G744" s="175">
        <f>IFERROR(__xludf.DUMMYFUNCTION("average.weighted(filter(Data!L:L,Data!B:B=A744),filter(Data!F:F,Data!B:B=A744))"),-0.61643571455358)</f>
        <v>-0.6164357146</v>
      </c>
    </row>
    <row r="745">
      <c r="A745" s="172" t="s">
        <v>981</v>
      </c>
      <c r="B745" s="173">
        <f>countif(Data!B:B,A745)</f>
        <v>1</v>
      </c>
      <c r="C745" s="174">
        <f>sumif(Data!B:B,A745,Data!M:M)</f>
        <v>0.05011484933</v>
      </c>
      <c r="D745" s="174">
        <f t="shared" si="1"/>
        <v>0.05011484933</v>
      </c>
      <c r="E745" s="175">
        <f t="shared" si="2"/>
        <v>-0.5206219631</v>
      </c>
      <c r="F745" s="175">
        <f>IFERROR(__xludf.DUMMYFUNCTION("average.weighted(filter(Data!K:K,Data!B:B=A745),filter(Data!F:F,Data!B:B=A745))"),-0.170586976374369)</f>
        <v>-0.1705869764</v>
      </c>
      <c r="G745" s="175">
        <f>IFERROR(__xludf.DUMMYFUNCTION("average.weighted(filter(Data!L:L,Data!B:B=A745),filter(Data!F:F,Data!B:B=A745))"),-0.350034986706638)</f>
        <v>-0.3500349867</v>
      </c>
    </row>
    <row r="746">
      <c r="A746" s="172" t="s">
        <v>982</v>
      </c>
      <c r="B746" s="173">
        <f>countif(Data!B:B,A746)</f>
        <v>6</v>
      </c>
      <c r="C746" s="174">
        <f>sumif(Data!B:B,A746,Data!M:M)</f>
        <v>7.467172862</v>
      </c>
      <c r="D746" s="174">
        <f t="shared" si="1"/>
        <v>1.24452881</v>
      </c>
      <c r="E746" s="175">
        <f t="shared" si="2"/>
        <v>-0.5807458156</v>
      </c>
      <c r="F746" s="175">
        <f>IFERROR(__xludf.DUMMYFUNCTION("average.weighted(filter(Data!K:K,Data!B:B=A746),filter(Data!F:F,Data!B:B=A746))"),-0.19746058186354004)</f>
        <v>-0.1974605819</v>
      </c>
      <c r="G746" s="175">
        <f>IFERROR(__xludf.DUMMYFUNCTION("average.weighted(filter(Data!L:L,Data!B:B=A746),filter(Data!F:F,Data!B:B=A746))"),-0.38328523372200907)</f>
        <v>-0.3832852337</v>
      </c>
    </row>
    <row r="747">
      <c r="A747" s="172" t="s">
        <v>983</v>
      </c>
      <c r="B747" s="173">
        <f>countif(Data!B:B,A747)</f>
        <v>1</v>
      </c>
      <c r="C747" s="174">
        <f>sumif(Data!B:B,A747,Data!M:M)</f>
        <v>0.01522046388</v>
      </c>
      <c r="D747" s="174">
        <f t="shared" si="1"/>
        <v>0.01522046388</v>
      </c>
      <c r="E747" s="175">
        <f t="shared" si="2"/>
        <v>-0.5852701525</v>
      </c>
      <c r="F747" s="175">
        <f>IFERROR(__xludf.DUMMYFUNCTION("average.weighted(filter(Data!K:K,Data!B:B=A747),filter(Data!F:F,Data!B:B=A747))"),-0.104014528711982)</f>
        <v>-0.1040145287</v>
      </c>
      <c r="G747" s="175">
        <f>IFERROR(__xludf.DUMMYFUNCTION("average.weighted(filter(Data!L:L,Data!B:B=A747),filter(Data!F:F,Data!B:B=A747))"),-0.481255623817394)</f>
        <v>-0.4812556238</v>
      </c>
    </row>
    <row r="748">
      <c r="A748" s="172" t="s">
        <v>984</v>
      </c>
      <c r="B748" s="173">
        <f>countif(Data!B:B,A748)</f>
        <v>1</v>
      </c>
      <c r="C748" s="174">
        <f>sumif(Data!B:B,A748,Data!M:M)</f>
        <v>0.1235953185</v>
      </c>
      <c r="D748" s="174">
        <f t="shared" si="1"/>
        <v>0.1235953185</v>
      </c>
      <c r="E748" s="175">
        <f t="shared" si="2"/>
        <v>-0.5857473637</v>
      </c>
      <c r="F748" s="175">
        <f>IFERROR(__xludf.DUMMYFUNCTION("average.weighted(filter(Data!K:K,Data!B:B=A748),filter(Data!F:F,Data!B:B=A748))"),-0.739682485568229)</f>
        <v>-0.7396824856</v>
      </c>
      <c r="G748" s="175">
        <f>IFERROR(__xludf.DUMMYFUNCTION("average.weighted(filter(Data!L:L,Data!B:B=A748),filter(Data!F:F,Data!B:B=A748))"),0.153935121897678)</f>
        <v>0.1539351219</v>
      </c>
    </row>
    <row r="749">
      <c r="A749" s="172" t="s">
        <v>985</v>
      </c>
      <c r="B749" s="173">
        <f>countif(Data!B:B,A749)</f>
        <v>1</v>
      </c>
      <c r="C749" s="174">
        <f>sumif(Data!B:B,A749,Data!M:M)</f>
        <v>0.1427290803</v>
      </c>
      <c r="D749" s="174">
        <f t="shared" si="1"/>
        <v>0.1427290803</v>
      </c>
      <c r="E749" s="175">
        <f t="shared" si="2"/>
        <v>-0.5867648669</v>
      </c>
      <c r="F749" s="175">
        <f>IFERROR(__xludf.DUMMYFUNCTION("average.weighted(filter(Data!K:K,Data!B:B=A749),filter(Data!F:F,Data!B:B=A749))"),-0.572916932726681)</f>
        <v>-0.5729169327</v>
      </c>
      <c r="G749" s="175">
        <f>IFERROR(__xludf.DUMMYFUNCTION("average.weighted(filter(Data!L:L,Data!B:B=A749),filter(Data!F:F,Data!B:B=A749))"),-0.0138479341566932)</f>
        <v>-0.01384793416</v>
      </c>
    </row>
    <row r="750">
      <c r="A750" s="172" t="s">
        <v>986</v>
      </c>
      <c r="B750" s="173">
        <f>countif(Data!B:B,A750)</f>
        <v>2</v>
      </c>
      <c r="C750" s="174">
        <f>sumif(Data!B:B,A750,Data!M:M)</f>
        <v>2.871461242</v>
      </c>
      <c r="D750" s="174">
        <f t="shared" si="1"/>
        <v>1.435730621</v>
      </c>
      <c r="E750" s="175">
        <f t="shared" si="2"/>
        <v>-0.5900211543</v>
      </c>
      <c r="F750" s="175">
        <f>IFERROR(__xludf.DUMMYFUNCTION("average.weighted(filter(Data!K:K,Data!B:B=A750),filter(Data!F:F,Data!B:B=A750))"),0.3966063869502471)</f>
        <v>0.396606387</v>
      </c>
      <c r="G750" s="175">
        <f>IFERROR(__xludf.DUMMYFUNCTION("average.weighted(filter(Data!L:L,Data!B:B=A750),filter(Data!F:F,Data!B:B=A750))"),-0.9866275412394048)</f>
        <v>-0.9866275412</v>
      </c>
    </row>
    <row r="751">
      <c r="A751" s="172" t="s">
        <v>987</v>
      </c>
      <c r="B751" s="173">
        <f>countif(Data!B:B,A751)</f>
        <v>1</v>
      </c>
      <c r="C751" s="174">
        <f>sumif(Data!B:B,A751,Data!M:M)</f>
        <v>0.05163574072</v>
      </c>
      <c r="D751" s="174">
        <f t="shared" si="1"/>
        <v>0.05163574072</v>
      </c>
      <c r="E751" s="175">
        <f t="shared" si="2"/>
        <v>-0.5906508709</v>
      </c>
      <c r="F751" s="175">
        <f>IFERROR(__xludf.DUMMYFUNCTION("average.weighted(filter(Data!K:K,Data!B:B=A751),filter(Data!F:F,Data!B:B=A751))"),-0.222280169338398)</f>
        <v>-0.2222801693</v>
      </c>
      <c r="G751" s="175">
        <f>IFERROR(__xludf.DUMMYFUNCTION("average.weighted(filter(Data!L:L,Data!B:B=A751),filter(Data!F:F,Data!B:B=A751))"),-0.368370701558487)</f>
        <v>-0.3683707016</v>
      </c>
    </row>
    <row r="752">
      <c r="A752" s="172" t="s">
        <v>988</v>
      </c>
      <c r="B752" s="173">
        <f>countif(Data!B:B,A752)</f>
        <v>1</v>
      </c>
      <c r="C752" s="174">
        <f>sumif(Data!B:B,A752,Data!M:M)</f>
        <v>0.002777583833</v>
      </c>
      <c r="D752" s="174">
        <f t="shared" si="1"/>
        <v>0.002777583833</v>
      </c>
      <c r="E752" s="175">
        <f t="shared" si="2"/>
        <v>-0.5927209141</v>
      </c>
      <c r="F752" s="175">
        <f>IFERROR(__xludf.DUMMYFUNCTION("average.weighted(filter(Data!K:K,Data!B:B=A752),filter(Data!F:F,Data!B:B=A752))"),-0.11802607276972)</f>
        <v>-0.1180260728</v>
      </c>
      <c r="G752" s="175">
        <f>IFERROR(__xludf.DUMMYFUNCTION("average.weighted(filter(Data!L:L,Data!B:B=A752),filter(Data!F:F,Data!B:B=A752))"),-0.474694841355661)</f>
        <v>-0.4746948414</v>
      </c>
    </row>
    <row r="753">
      <c r="A753" s="172" t="s">
        <v>989</v>
      </c>
      <c r="B753" s="173">
        <f>countif(Data!B:B,A753)</f>
        <v>3</v>
      </c>
      <c r="C753" s="174">
        <f>sumif(Data!B:B,A753,Data!M:M)</f>
        <v>0.4248648472</v>
      </c>
      <c r="D753" s="174">
        <f t="shared" si="1"/>
        <v>0.1416216157</v>
      </c>
      <c r="E753" s="175">
        <f t="shared" si="2"/>
        <v>-0.597222556</v>
      </c>
      <c r="F753" s="175">
        <f>IFERROR(__xludf.DUMMYFUNCTION("average.weighted(filter(Data!K:K,Data!B:B=A753),filter(Data!F:F,Data!B:B=A753))"),-0.020517002721912467)</f>
        <v>-0.02051700272</v>
      </c>
      <c r="G753" s="175">
        <f>IFERROR(__xludf.DUMMYFUNCTION("average.weighted(filter(Data!L:L,Data!B:B=A753),filter(Data!F:F,Data!B:B=A753))"),-0.5767055533278754)</f>
        <v>-0.5767055533</v>
      </c>
    </row>
    <row r="754">
      <c r="A754" s="172" t="s">
        <v>990</v>
      </c>
      <c r="B754" s="173">
        <f>countif(Data!B:B,A754)</f>
        <v>1</v>
      </c>
      <c r="C754" s="174">
        <f>sumif(Data!B:B,A754,Data!M:M)</f>
        <v>0.02469205254</v>
      </c>
      <c r="D754" s="174">
        <f t="shared" si="1"/>
        <v>0.02469205254</v>
      </c>
      <c r="E754" s="175">
        <f t="shared" si="2"/>
        <v>-0.5975267964</v>
      </c>
      <c r="F754" s="175">
        <f>IFERROR(__xludf.DUMMYFUNCTION("average.weighted(filter(Data!K:K,Data!B:B=A754),filter(Data!F:F,Data!B:B=A754))"),-0.157138512101881)</f>
        <v>-0.1571385121</v>
      </c>
      <c r="G754" s="175">
        <f>IFERROR(__xludf.DUMMYFUNCTION("average.weighted(filter(Data!L:L,Data!B:B=A754),filter(Data!F:F,Data!B:B=A754))"),-0.44038828430165)</f>
        <v>-0.4403882843</v>
      </c>
    </row>
    <row r="755">
      <c r="A755" s="172" t="s">
        <v>991</v>
      </c>
      <c r="B755" s="173">
        <f>countif(Data!B:B,A755)</f>
        <v>1</v>
      </c>
      <c r="C755" s="174">
        <f>sumif(Data!B:B,A755,Data!M:M)</f>
        <v>0.05936138691</v>
      </c>
      <c r="D755" s="174">
        <f t="shared" si="1"/>
        <v>0.05936138691</v>
      </c>
      <c r="E755" s="175">
        <f t="shared" si="2"/>
        <v>-0.5979206409</v>
      </c>
      <c r="F755" s="175">
        <f>IFERROR(__xludf.DUMMYFUNCTION("average.weighted(filter(Data!K:K,Data!B:B=A755),filter(Data!F:F,Data!B:B=A755))"),-0.292339610873314)</f>
        <v>-0.2923396109</v>
      </c>
      <c r="G755" s="175">
        <f>IFERROR(__xludf.DUMMYFUNCTION("average.weighted(filter(Data!L:L,Data!B:B=A755),filter(Data!F:F,Data!B:B=A755))"),-0.305581029989909)</f>
        <v>-0.30558103</v>
      </c>
    </row>
    <row r="756">
      <c r="A756" s="172" t="s">
        <v>992</v>
      </c>
      <c r="B756" s="173">
        <f>countif(Data!B:B,A756)</f>
        <v>5</v>
      </c>
      <c r="C756" s="174">
        <f>sumif(Data!B:B,A756,Data!M:M)</f>
        <v>4.791394873</v>
      </c>
      <c r="D756" s="174">
        <f t="shared" si="1"/>
        <v>0.9582789746</v>
      </c>
      <c r="E756" s="175">
        <f t="shared" si="2"/>
        <v>-0.5105818796</v>
      </c>
      <c r="F756" s="175">
        <f>IFERROR(__xludf.DUMMYFUNCTION("average.weighted(filter(Data!K:K,Data!B:B=A756),filter(Data!F:F,Data!B:B=A756))"),-0.636078313110355)</f>
        <v>-0.6360783131</v>
      </c>
      <c r="G756" s="175">
        <f>IFERROR(__xludf.DUMMYFUNCTION("average.weighted(filter(Data!L:L,Data!B:B=A756),filter(Data!F:F,Data!B:B=A756))"),0.12549643352905912)</f>
        <v>0.1254964335</v>
      </c>
    </row>
    <row r="757">
      <c r="A757" s="172" t="s">
        <v>87</v>
      </c>
      <c r="B757" s="173">
        <f>countif(Data!B:B,A757)</f>
        <v>6</v>
      </c>
      <c r="C757" s="174">
        <f>sumif(Data!B:B,A757,Data!M:M)</f>
        <v>14.74528485</v>
      </c>
      <c r="D757" s="174">
        <f t="shared" si="1"/>
        <v>2.457547475</v>
      </c>
      <c r="E757" s="175">
        <f t="shared" si="2"/>
        <v>-0.5171547773</v>
      </c>
      <c r="F757" s="175">
        <f>IFERROR(__xludf.DUMMYFUNCTION("average.weighted(filter(Data!K:K,Data!B:B=A757),filter(Data!F:F,Data!B:B=A757))"),1.572368175995771)</f>
        <v>1.572368176</v>
      </c>
      <c r="G757" s="175">
        <f>IFERROR(__xludf.DUMMYFUNCTION("average.weighted(filter(Data!L:L,Data!B:B=A757),filter(Data!F:F,Data!B:B=A757))"),-2.0895229532759085)</f>
        <v>-2.089522953</v>
      </c>
    </row>
    <row r="758">
      <c r="A758" s="172" t="s">
        <v>993</v>
      </c>
      <c r="B758" s="173">
        <f>countif(Data!B:B,A758)</f>
        <v>1</v>
      </c>
      <c r="C758" s="174">
        <f>sumif(Data!B:B,A758,Data!M:M)</f>
        <v>0</v>
      </c>
      <c r="D758" s="174">
        <f t="shared" si="1"/>
        <v>0</v>
      </c>
      <c r="E758" s="175">
        <f t="shared" si="2"/>
        <v>-0.6313055302</v>
      </c>
      <c r="F758" s="175">
        <f>IFERROR(__xludf.DUMMYFUNCTION("average.weighted(filter(Data!K:K,Data!B:B=A758),filter(Data!F:F,Data!B:B=A758))"),-0.714032758244461)</f>
        <v>-0.7140327582</v>
      </c>
      <c r="G758" s="175">
        <f>IFERROR(__xludf.DUMMYFUNCTION("average.weighted(filter(Data!L:L,Data!B:B=A758),filter(Data!F:F,Data!B:B=A758))"),0.0827272280484315)</f>
        <v>0.08272722805</v>
      </c>
    </row>
    <row r="759">
      <c r="A759" s="172" t="s">
        <v>994</v>
      </c>
      <c r="B759" s="173">
        <f>countif(Data!B:B,A759)</f>
        <v>7</v>
      </c>
      <c r="C759" s="174">
        <f>sumif(Data!B:B,A759,Data!M:M)</f>
        <v>10.36824852</v>
      </c>
      <c r="D759" s="174">
        <f t="shared" si="1"/>
        <v>1.48117836</v>
      </c>
      <c r="E759" s="175">
        <f t="shared" si="2"/>
        <v>-0.7188299431</v>
      </c>
      <c r="F759" s="175">
        <f>IFERROR(__xludf.DUMMYFUNCTION("average.weighted(filter(Data!K:K,Data!B:B=A759),filter(Data!F:F,Data!B:B=A759))"),-0.2302243429327533)</f>
        <v>-0.2302243429</v>
      </c>
      <c r="G759" s="175">
        <f>IFERROR(__xludf.DUMMYFUNCTION("average.weighted(filter(Data!L:L,Data!B:B=A759),filter(Data!F:F,Data!B:B=A759))"),-0.48860560016825644)</f>
        <v>-0.4886056002</v>
      </c>
    </row>
    <row r="760">
      <c r="A760" s="172" t="s">
        <v>995</v>
      </c>
      <c r="B760" s="173">
        <f>countif(Data!B:B,A760)</f>
        <v>1</v>
      </c>
      <c r="C760" s="174">
        <f>sumif(Data!B:B,A760,Data!M:M)</f>
        <v>0.0461038192</v>
      </c>
      <c r="D760" s="174">
        <f t="shared" si="1"/>
        <v>0.0461038192</v>
      </c>
      <c r="E760" s="175">
        <f t="shared" si="2"/>
        <v>-0.9120421016</v>
      </c>
      <c r="F760" s="175">
        <f>IFERROR(__xludf.DUMMYFUNCTION("average.weighted(filter(Data!K:K,Data!B:B=A760),filter(Data!F:F,Data!B:B=A760))"),-0.306595402733923)</f>
        <v>-0.3065954027</v>
      </c>
      <c r="G760" s="175">
        <f>IFERROR(__xludf.DUMMYFUNCTION("average.weighted(filter(Data!L:L,Data!B:B=A760),filter(Data!F:F,Data!B:B=A760))"),-0.605446698837696)</f>
        <v>-0.6054466988</v>
      </c>
    </row>
    <row r="761">
      <c r="A761" s="172" t="s">
        <v>996</v>
      </c>
      <c r="B761" s="173">
        <f>countif(Data!B:B,A761)</f>
        <v>1</v>
      </c>
      <c r="C761" s="174">
        <f>sumif(Data!B:B,A761,Data!M:M)</f>
        <v>0.05685301125</v>
      </c>
      <c r="D761" s="174">
        <f t="shared" si="1"/>
        <v>0.05685301125</v>
      </c>
      <c r="E761" s="175">
        <f t="shared" si="2"/>
        <v>-0.3609531128</v>
      </c>
      <c r="F761" s="175">
        <f>IFERROR(__xludf.DUMMYFUNCTION("average.weighted(filter(Data!K:K,Data!B:B=A761),filter(Data!F:F,Data!B:B=A761))"),-0.244417372258838)</f>
        <v>-0.2444173723</v>
      </c>
      <c r="G761" s="175">
        <f>IFERROR(__xludf.DUMMYFUNCTION("average.weighted(filter(Data!L:L,Data!B:B=A761),filter(Data!F:F,Data!B:B=A761))"),-0.116535740543845)</f>
        <v>-0.1165357405</v>
      </c>
    </row>
    <row r="762">
      <c r="A762" s="172" t="s">
        <v>997</v>
      </c>
      <c r="B762" s="173">
        <f>countif(Data!B:B,A762)</f>
        <v>7</v>
      </c>
      <c r="C762" s="174">
        <f>sumif(Data!B:B,A762,Data!M:M)</f>
        <v>12.40174531</v>
      </c>
      <c r="D762" s="174">
        <f t="shared" si="1"/>
        <v>1.771677901</v>
      </c>
      <c r="E762" s="175">
        <f t="shared" si="2"/>
        <v>-0.5708357786</v>
      </c>
      <c r="F762" s="175">
        <f>IFERROR(__xludf.DUMMYFUNCTION("average.weighted(filter(Data!K:K,Data!B:B=A762),filter(Data!F:F,Data!B:B=A762))"),-0.9331210862965127)</f>
        <v>-0.9331210863</v>
      </c>
      <c r="G762" s="175">
        <f>IFERROR(__xludf.DUMMYFUNCTION("average.weighted(filter(Data!L:L,Data!B:B=A762),filter(Data!F:F,Data!B:B=A762))"),0.36228530771886175)</f>
        <v>0.3622853077</v>
      </c>
    </row>
    <row r="763">
      <c r="A763" s="172" t="s">
        <v>998</v>
      </c>
      <c r="B763" s="173">
        <f>countif(Data!B:B,A763)</f>
        <v>7</v>
      </c>
      <c r="C763" s="174">
        <f>sumif(Data!B:B,A763,Data!M:M)</f>
        <v>10.37339954</v>
      </c>
      <c r="D763" s="174">
        <f t="shared" si="1"/>
        <v>1.48191422</v>
      </c>
      <c r="E763" s="175">
        <f t="shared" si="2"/>
        <v>-0.6272607102</v>
      </c>
      <c r="F763" s="175">
        <f>IFERROR(__xludf.DUMMYFUNCTION("average.weighted(filter(Data!K:K,Data!B:B=A763),filter(Data!F:F,Data!B:B=A763))"),-0.4419819054980161)</f>
        <v>-0.4419819055</v>
      </c>
      <c r="G763" s="175">
        <f>IFERROR(__xludf.DUMMYFUNCTION("average.weighted(filter(Data!L:L,Data!B:B=A763),filter(Data!F:F,Data!B:B=A763))"),-0.18527880473356048)</f>
        <v>-0.1852788047</v>
      </c>
    </row>
    <row r="764">
      <c r="A764" s="172" t="s">
        <v>999</v>
      </c>
      <c r="B764" s="173">
        <f>countif(Data!B:B,A764)</f>
        <v>4</v>
      </c>
      <c r="C764" s="174">
        <f>sumif(Data!B:B,A764,Data!M:M)</f>
        <v>0.8993266908</v>
      </c>
      <c r="D764" s="174">
        <f t="shared" si="1"/>
        <v>0.2248316727</v>
      </c>
      <c r="E764" s="175">
        <f t="shared" si="2"/>
        <v>-0.6279702184</v>
      </c>
      <c r="F764" s="175">
        <f>IFERROR(__xludf.DUMMYFUNCTION("average.weighted(filter(Data!K:K,Data!B:B=A764),filter(Data!F:F,Data!B:B=A764))"),0.23980712599016252)</f>
        <v>0.239807126</v>
      </c>
      <c r="G764" s="175">
        <f>IFERROR(__xludf.DUMMYFUNCTION("average.weighted(filter(Data!L:L,Data!B:B=A764),filter(Data!F:F,Data!B:B=A764))"),-0.867777344428661)</f>
        <v>-0.8677773444</v>
      </c>
    </row>
    <row r="765">
      <c r="A765" s="172" t="s">
        <v>1000</v>
      </c>
      <c r="B765" s="173">
        <f>countif(Data!B:B,A765)</f>
        <v>1</v>
      </c>
      <c r="C765" s="174">
        <f>sumif(Data!B:B,A765,Data!M:M)</f>
        <v>0.02459225291</v>
      </c>
      <c r="D765" s="174">
        <f t="shared" si="1"/>
        <v>0.02459225291</v>
      </c>
      <c r="E765" s="175">
        <f t="shared" si="2"/>
        <v>-0.7192184166</v>
      </c>
      <c r="F765" s="175">
        <f>IFERROR(__xludf.DUMMYFUNCTION("average.weighted(filter(Data!K:K,Data!B:B=A765),filter(Data!F:F,Data!B:B=A765))"),-0.292590708377501)</f>
        <v>-0.2925907084</v>
      </c>
      <c r="G765" s="175">
        <f>IFERROR(__xludf.DUMMYFUNCTION("average.weighted(filter(Data!L:L,Data!B:B=A765),filter(Data!F:F,Data!B:B=A765))"),-0.426627708269114)</f>
        <v>-0.4266277083</v>
      </c>
    </row>
    <row r="766">
      <c r="A766" s="172" t="s">
        <v>1001</v>
      </c>
      <c r="B766" s="173">
        <f>countif(Data!B:B,A766)</f>
        <v>1</v>
      </c>
      <c r="C766" s="174">
        <f>sumif(Data!B:B,A766,Data!M:M)</f>
        <v>0.03164395802</v>
      </c>
      <c r="D766" s="174">
        <f t="shared" si="1"/>
        <v>0.03164395802</v>
      </c>
      <c r="E766" s="175">
        <f t="shared" si="2"/>
        <v>-0.6295898736</v>
      </c>
      <c r="F766" s="175">
        <f>IFERROR(__xludf.DUMMYFUNCTION("average.weighted(filter(Data!K:K,Data!B:B=A766),filter(Data!F:F,Data!B:B=A766))"),-0.35936052404078)</f>
        <v>-0.359360524</v>
      </c>
      <c r="G766" s="175">
        <f>IFERROR(__xludf.DUMMYFUNCTION("average.weighted(filter(Data!L:L,Data!B:B=A766),filter(Data!F:F,Data!B:B=A766))"),-0.270229349564674)</f>
        <v>-0.2702293496</v>
      </c>
    </row>
    <row r="767">
      <c r="A767" s="172" t="s">
        <v>1002</v>
      </c>
      <c r="B767" s="173">
        <f>countif(Data!B:B,A767)</f>
        <v>4</v>
      </c>
      <c r="C767" s="174">
        <f>sumif(Data!B:B,A767,Data!M:M)</f>
        <v>5.154872405</v>
      </c>
      <c r="D767" s="174">
        <f t="shared" si="1"/>
        <v>1.288718101</v>
      </c>
      <c r="E767" s="175">
        <f t="shared" si="2"/>
        <v>-0.632935937</v>
      </c>
      <c r="F767" s="175">
        <f>IFERROR(__xludf.DUMMYFUNCTION("average.weighted(filter(Data!K:K,Data!B:B=A767),filter(Data!F:F,Data!B:B=A767))"),-1.1613067036066707)</f>
        <v>-1.161306704</v>
      </c>
      <c r="G767" s="175">
        <f>IFERROR(__xludf.DUMMYFUNCTION("average.weighted(filter(Data!L:L,Data!B:B=A767),filter(Data!F:F,Data!B:B=A767))"),0.5283707666257308)</f>
        <v>0.5283707666</v>
      </c>
    </row>
    <row r="768">
      <c r="A768" s="172" t="s">
        <v>1003</v>
      </c>
      <c r="B768" s="173">
        <f>countif(Data!B:B,A768)</f>
        <v>7</v>
      </c>
      <c r="C768" s="174">
        <f>sumif(Data!B:B,A768,Data!M:M)</f>
        <v>9.88400384</v>
      </c>
      <c r="D768" s="174">
        <f t="shared" si="1"/>
        <v>1.412000549</v>
      </c>
      <c r="E768" s="175">
        <f t="shared" si="2"/>
        <v>-0.6348738945</v>
      </c>
      <c r="F768" s="175">
        <f>IFERROR(__xludf.DUMMYFUNCTION("average.weighted(filter(Data!K:K,Data!B:B=A768),filter(Data!F:F,Data!B:B=A768))"),-0.09432005390588408)</f>
        <v>-0.09432005391</v>
      </c>
      <c r="G768" s="175">
        <f>IFERROR(__xludf.DUMMYFUNCTION("average.weighted(filter(Data!L:L,Data!B:B=A768),filter(Data!F:F,Data!B:B=A768))"),-0.5405538405822398)</f>
        <v>-0.5405538406</v>
      </c>
    </row>
    <row r="769">
      <c r="A769" s="172" t="s">
        <v>1004</v>
      </c>
      <c r="B769" s="173">
        <f>countif(Data!B:B,A769)</f>
        <v>1</v>
      </c>
      <c r="C769" s="174">
        <f>sumif(Data!B:B,A769,Data!M:M)</f>
        <v>0.2791889266</v>
      </c>
      <c r="D769" s="174">
        <f t="shared" si="1"/>
        <v>0.2791889266</v>
      </c>
      <c r="E769" s="175">
        <f t="shared" si="2"/>
        <v>-0.6359168444</v>
      </c>
      <c r="F769" s="175">
        <f>IFERROR(__xludf.DUMMYFUNCTION("average.weighted(filter(Data!K:K,Data!B:B=A769),filter(Data!F:F,Data!B:B=A769))"),-2.06415067179129)</f>
        <v>-2.064150672</v>
      </c>
      <c r="G769" s="175">
        <f>IFERROR(__xludf.DUMMYFUNCTION("average.weighted(filter(Data!L:L,Data!B:B=A769),filter(Data!F:F,Data!B:B=A769))"),1.42823382739222)</f>
        <v>1.428233827</v>
      </c>
    </row>
    <row r="770">
      <c r="A770" s="172" t="s">
        <v>1005</v>
      </c>
      <c r="B770" s="173">
        <f>countif(Data!B:B,A770)</f>
        <v>3</v>
      </c>
      <c r="C770" s="174">
        <f>sumif(Data!B:B,A770,Data!M:M)</f>
        <v>3.60834825</v>
      </c>
      <c r="D770" s="174">
        <f t="shared" si="1"/>
        <v>1.20278275</v>
      </c>
      <c r="E770" s="175">
        <f t="shared" si="2"/>
        <v>-0.6395518655</v>
      </c>
      <c r="F770" s="175">
        <f>IFERROR(__xludf.DUMMYFUNCTION("average.weighted(filter(Data!K:K,Data!B:B=A770),filter(Data!F:F,Data!B:B=A770))"),1.4516840035495195)</f>
        <v>1.451684004</v>
      </c>
      <c r="G770" s="175">
        <f>IFERROR(__xludf.DUMMYFUNCTION("average.weighted(filter(Data!L:L,Data!B:B=A770),filter(Data!F:F,Data!B:B=A770))"),-2.0912358690356148)</f>
        <v>-2.091235869</v>
      </c>
    </row>
    <row r="771">
      <c r="A771" s="172" t="s">
        <v>1006</v>
      </c>
      <c r="B771" s="173">
        <f>countif(Data!B:B,A771)</f>
        <v>7</v>
      </c>
      <c r="C771" s="174">
        <f>sumif(Data!B:B,A771,Data!M:M)</f>
        <v>11.77414578</v>
      </c>
      <c r="D771" s="174">
        <f t="shared" si="1"/>
        <v>1.682020826</v>
      </c>
      <c r="E771" s="175">
        <f t="shared" si="2"/>
        <v>-0.6408902031</v>
      </c>
      <c r="F771" s="175">
        <f>IFERROR(__xludf.DUMMYFUNCTION("average.weighted(filter(Data!K:K,Data!B:B=A771),filter(Data!F:F,Data!B:B=A771))"),0.2086574268254787)</f>
        <v>0.2086574268</v>
      </c>
      <c r="G771" s="175">
        <f>IFERROR(__xludf.DUMMYFUNCTION("average.weighted(filter(Data!L:L,Data!B:B=A771),filter(Data!F:F,Data!B:B=A771))"),-0.849547629929006)</f>
        <v>-0.8495476299</v>
      </c>
    </row>
    <row r="772">
      <c r="A772" s="172" t="s">
        <v>1007</v>
      </c>
      <c r="B772" s="173">
        <f>countif(Data!B:B,A772)</f>
        <v>1</v>
      </c>
      <c r="C772" s="174">
        <f>sumif(Data!B:B,A772,Data!M:M)</f>
        <v>0.04521540941</v>
      </c>
      <c r="D772" s="174">
        <f t="shared" si="1"/>
        <v>0.04521540941</v>
      </c>
      <c r="E772" s="175">
        <f t="shared" si="2"/>
        <v>-0.6433504741</v>
      </c>
      <c r="F772" s="175">
        <f>IFERROR(__xludf.DUMMYFUNCTION("average.weighted(filter(Data!K:K,Data!B:B=A772),filter(Data!F:F,Data!B:B=A772))"),-0.43492137740726)</f>
        <v>-0.4349213774</v>
      </c>
      <c r="G772" s="175">
        <f>IFERROR(__xludf.DUMMYFUNCTION("average.weighted(filter(Data!L:L,Data!B:B=A772),filter(Data!F:F,Data!B:B=A772))"),-0.208429096651736)</f>
        <v>-0.2084290967</v>
      </c>
    </row>
    <row r="773">
      <c r="A773" s="172" t="s">
        <v>1008</v>
      </c>
      <c r="B773" s="173">
        <f>countif(Data!B:B,A773)</f>
        <v>1</v>
      </c>
      <c r="C773" s="174">
        <f>sumif(Data!B:B,A773,Data!M:M)</f>
        <v>0.1731687024</v>
      </c>
      <c r="D773" s="174">
        <f t="shared" si="1"/>
        <v>0.1731687024</v>
      </c>
      <c r="E773" s="175">
        <f t="shared" si="2"/>
        <v>-0.644266495</v>
      </c>
      <c r="F773" s="175">
        <f>IFERROR(__xludf.DUMMYFUNCTION("average.weighted(filter(Data!K:K,Data!B:B=A773),filter(Data!F:F,Data!B:B=A773))"),-1.01495853638485)</f>
        <v>-1.014958536</v>
      </c>
      <c r="G773" s="175">
        <f>IFERROR(__xludf.DUMMYFUNCTION("average.weighted(filter(Data!L:L,Data!B:B=A773),filter(Data!F:F,Data!B:B=A773))"),0.370692041350164)</f>
        <v>0.3706920414</v>
      </c>
    </row>
    <row r="774">
      <c r="A774" s="172" t="s">
        <v>1009</v>
      </c>
      <c r="B774" s="173">
        <f>countif(Data!B:B,A774)</f>
        <v>2</v>
      </c>
      <c r="C774" s="174">
        <f>sumif(Data!B:B,A774,Data!M:M)</f>
        <v>0.1027461789</v>
      </c>
      <c r="D774" s="174">
        <f t="shared" si="1"/>
        <v>0.05137308943</v>
      </c>
      <c r="E774" s="175">
        <f t="shared" si="2"/>
        <v>-0.644716912</v>
      </c>
      <c r="F774" s="175">
        <f>IFERROR(__xludf.DUMMYFUNCTION("average.weighted(filter(Data!K:K,Data!B:B=A774),filter(Data!F:F,Data!B:B=A774))"),-0.4522320749071246)</f>
        <v>-0.4522320749</v>
      </c>
      <c r="G774" s="175">
        <f>IFERROR(__xludf.DUMMYFUNCTION("average.weighted(filter(Data!L:L,Data!B:B=A774),filter(Data!F:F,Data!B:B=A774))"),-0.19248483711994174)</f>
        <v>-0.1924848371</v>
      </c>
    </row>
    <row r="775">
      <c r="A775" s="172" t="s">
        <v>1010</v>
      </c>
      <c r="B775" s="173">
        <f>countif(Data!B:B,A775)</f>
        <v>2</v>
      </c>
      <c r="C775" s="174">
        <f>sumif(Data!B:B,A775,Data!M:M)</f>
        <v>0.1365237166</v>
      </c>
      <c r="D775" s="174">
        <f t="shared" si="1"/>
        <v>0.06826185832</v>
      </c>
      <c r="E775" s="175">
        <f t="shared" si="2"/>
        <v>-0.7745383417</v>
      </c>
      <c r="F775" s="175">
        <f>IFERROR(__xludf.DUMMYFUNCTION("average.weighted(filter(Data!K:K,Data!B:B=A775),filter(Data!F:F,Data!B:B=A775))"),-0.31938613535949345)</f>
        <v>-0.3193861354</v>
      </c>
      <c r="G775" s="175">
        <f>IFERROR(__xludf.DUMMYFUNCTION("average.weighted(filter(Data!L:L,Data!B:B=A775),filter(Data!F:F,Data!B:B=A775))"),-0.45515220629910114)</f>
        <v>-0.4551522063</v>
      </c>
    </row>
    <row r="776">
      <c r="A776" s="172" t="s">
        <v>1011</v>
      </c>
      <c r="B776" s="173">
        <f>countif(Data!B:B,A776)</f>
        <v>1</v>
      </c>
      <c r="C776" s="174">
        <f>sumif(Data!B:B,A776,Data!M:M)</f>
        <v>0.001008458779</v>
      </c>
      <c r="D776" s="174">
        <f t="shared" si="1"/>
        <v>0.001008458779</v>
      </c>
      <c r="E776" s="175">
        <f t="shared" si="2"/>
        <v>-0.6463296349</v>
      </c>
      <c r="F776" s="175">
        <f>IFERROR(__xludf.DUMMYFUNCTION("average.weighted(filter(Data!K:K,Data!B:B=A776),filter(Data!F:F,Data!B:B=A776))"),-0.161489116121473)</f>
        <v>-0.1614891161</v>
      </c>
      <c r="G776" s="175">
        <f>IFERROR(__xludf.DUMMYFUNCTION("average.weighted(filter(Data!L:L,Data!B:B=A776),filter(Data!F:F,Data!B:B=A776))"),-0.484840518828236)</f>
        <v>-0.4848405188</v>
      </c>
    </row>
    <row r="777">
      <c r="A777" s="172" t="s">
        <v>1012</v>
      </c>
      <c r="B777" s="173">
        <f>countif(Data!B:B,A777)</f>
        <v>7</v>
      </c>
      <c r="C777" s="174">
        <f>sumif(Data!B:B,A777,Data!M:M)</f>
        <v>9.040415852</v>
      </c>
      <c r="D777" s="174">
        <f t="shared" si="1"/>
        <v>1.291487979</v>
      </c>
      <c r="E777" s="175">
        <f t="shared" si="2"/>
        <v>-0.6995075741</v>
      </c>
      <c r="F777" s="175">
        <f>IFERROR(__xludf.DUMMYFUNCTION("average.weighted(filter(Data!K:K,Data!B:B=A777),filter(Data!F:F,Data!B:B=A777))"),-1.1004609957185894)</f>
        <v>-1.100460996</v>
      </c>
      <c r="G777" s="175">
        <f>IFERROR(__xludf.DUMMYFUNCTION("average.weighted(filter(Data!L:L,Data!B:B=A777),filter(Data!F:F,Data!B:B=A777))"),0.4009534215940381)</f>
        <v>0.4009534216</v>
      </c>
    </row>
    <row r="778">
      <c r="A778" s="172" t="s">
        <v>1013</v>
      </c>
      <c r="B778" s="173">
        <f>countif(Data!B:B,A778)</f>
        <v>2</v>
      </c>
      <c r="C778" s="174">
        <f>sumif(Data!B:B,A778,Data!M:M)</f>
        <v>0.2914535283</v>
      </c>
      <c r="D778" s="174">
        <f t="shared" si="1"/>
        <v>0.1457267642</v>
      </c>
      <c r="E778" s="175">
        <f t="shared" si="2"/>
        <v>-0.6560515661</v>
      </c>
      <c r="F778" s="175">
        <f>IFERROR(__xludf.DUMMYFUNCTION("average.weighted(filter(Data!K:K,Data!B:B=A778),filter(Data!F:F,Data!B:B=A778))"),-0.7174160560344905)</f>
        <v>-0.717416056</v>
      </c>
      <c r="G778" s="175">
        <f>IFERROR(__xludf.DUMMYFUNCTION("average.weighted(filter(Data!L:L,Data!B:B=A778),filter(Data!F:F,Data!B:B=A778))"),0.061364489889437636)</f>
        <v>0.06136448989</v>
      </c>
    </row>
    <row r="779">
      <c r="A779" s="172" t="s">
        <v>1014</v>
      </c>
      <c r="B779" s="173">
        <f>countif(Data!B:B,A779)</f>
        <v>8</v>
      </c>
      <c r="C779" s="174">
        <f>sumif(Data!B:B,A779,Data!M:M)</f>
        <v>6.8727646</v>
      </c>
      <c r="D779" s="174">
        <f t="shared" si="1"/>
        <v>0.859095575</v>
      </c>
      <c r="E779" s="175">
        <f t="shared" si="2"/>
        <v>-0.5840709198</v>
      </c>
      <c r="F779" s="175">
        <f>IFERROR(__xludf.DUMMYFUNCTION("average.weighted(filter(Data!K:K,Data!B:B=A779),filter(Data!F:F,Data!B:B=A779))"),-0.7725614581606629)</f>
        <v>-0.7725614582</v>
      </c>
      <c r="G779" s="175">
        <f>IFERROR(__xludf.DUMMYFUNCTION("average.weighted(filter(Data!L:L,Data!B:B=A779),filter(Data!F:F,Data!B:B=A779))"),0.18849053838259294)</f>
        <v>0.1884905384</v>
      </c>
    </row>
    <row r="780">
      <c r="A780" s="172" t="s">
        <v>1015</v>
      </c>
      <c r="B780" s="173">
        <f>countif(Data!B:B,A780)</f>
        <v>1</v>
      </c>
      <c r="C780" s="174">
        <f>sumif(Data!B:B,A780,Data!M:M)</f>
        <v>0.1254034466</v>
      </c>
      <c r="D780" s="174">
        <f t="shared" si="1"/>
        <v>0.1254034466</v>
      </c>
      <c r="E780" s="175">
        <f t="shared" si="2"/>
        <v>-0.6630176009</v>
      </c>
      <c r="F780" s="175">
        <f>IFERROR(__xludf.DUMMYFUNCTION("average.weighted(filter(Data!K:K,Data!B:B=A780),filter(Data!F:F,Data!B:B=A780))"),-0.227134316520267)</f>
        <v>-0.2271343165</v>
      </c>
      <c r="G780" s="175">
        <f>IFERROR(__xludf.DUMMYFUNCTION("average.weighted(filter(Data!L:L,Data!B:B=A780),filter(Data!F:F,Data!B:B=A780))"),-0.435883284425317)</f>
        <v>-0.4358832844</v>
      </c>
    </row>
    <row r="781">
      <c r="A781" s="172" t="s">
        <v>1016</v>
      </c>
      <c r="B781" s="173">
        <f>countif(Data!B:B,A781)</f>
        <v>1</v>
      </c>
      <c r="C781" s="174">
        <f>sumif(Data!B:B,A781,Data!M:M)</f>
        <v>0.0470653115</v>
      </c>
      <c r="D781" s="174">
        <f t="shared" si="1"/>
        <v>0.0470653115</v>
      </c>
      <c r="E781" s="175">
        <f t="shared" si="2"/>
        <v>-0.6680094485</v>
      </c>
      <c r="F781" s="175">
        <f>IFERROR(__xludf.DUMMYFUNCTION("average.weighted(filter(Data!K:K,Data!B:B=A781),filter(Data!F:F,Data!B:B=A781))"),-0.732731066591983)</f>
        <v>-0.7327310666</v>
      </c>
      <c r="G781" s="175">
        <f>IFERROR(__xludf.DUMMYFUNCTION("average.weighted(filter(Data!L:L,Data!B:B=A781),filter(Data!F:F,Data!B:B=A781))"),0.0647216181347671)</f>
        <v>0.06472161813</v>
      </c>
    </row>
    <row r="782">
      <c r="A782" s="172" t="s">
        <v>1017</v>
      </c>
      <c r="B782" s="173">
        <f>countif(Data!B:B,A782)</f>
        <v>1</v>
      </c>
      <c r="C782" s="174">
        <f>sumif(Data!B:B,A782,Data!M:M)</f>
        <v>0.00711123499</v>
      </c>
      <c r="D782" s="174">
        <f t="shared" si="1"/>
        <v>0.00711123499</v>
      </c>
      <c r="E782" s="175">
        <f t="shared" si="2"/>
        <v>-0.6685182181</v>
      </c>
      <c r="F782" s="175">
        <f>IFERROR(__xludf.DUMMYFUNCTION("average.weighted(filter(Data!K:K,Data!B:B=A782),filter(Data!F:F,Data!B:B=A782))"),-0.126387760644132)</f>
        <v>-0.1263877606</v>
      </c>
      <c r="G782" s="175">
        <f>IFERROR(__xludf.DUMMYFUNCTION("average.weighted(filter(Data!L:L,Data!B:B=A782),filter(Data!F:F,Data!B:B=A782))"),-0.542130457453883)</f>
        <v>-0.5421304575</v>
      </c>
    </row>
    <row r="783">
      <c r="A783" s="172" t="s">
        <v>1018</v>
      </c>
      <c r="B783" s="173">
        <f>countif(Data!B:B,A783)</f>
        <v>2</v>
      </c>
      <c r="C783" s="174">
        <f>sumif(Data!B:B,A783,Data!M:M)</f>
        <v>0.1133669174</v>
      </c>
      <c r="D783" s="174">
        <f t="shared" si="1"/>
        <v>0.05668345869</v>
      </c>
      <c r="E783" s="175">
        <f t="shared" si="2"/>
        <v>-0.6694429878</v>
      </c>
      <c r="F783" s="175">
        <f>IFERROR(__xludf.DUMMYFUNCTION("average.weighted(filter(Data!K:K,Data!B:B=A783),filter(Data!F:F,Data!B:B=A783))"),-0.5105464975432898)</f>
        <v>-0.5105464975</v>
      </c>
      <c r="G783" s="175">
        <f>IFERROR(__xludf.DUMMYFUNCTION("average.weighted(filter(Data!L:L,Data!B:B=A783),filter(Data!F:F,Data!B:B=A783))"),-0.15889649024314256)</f>
        <v>-0.1588964902</v>
      </c>
    </row>
    <row r="784">
      <c r="A784" s="172" t="s">
        <v>1019</v>
      </c>
      <c r="B784" s="173">
        <f>countif(Data!B:B,A784)</f>
        <v>8</v>
      </c>
      <c r="C784" s="174">
        <f>sumif(Data!B:B,A784,Data!M:M)</f>
        <v>14.36763637</v>
      </c>
      <c r="D784" s="174">
        <f t="shared" si="1"/>
        <v>1.795954546</v>
      </c>
      <c r="E784" s="175">
        <f t="shared" si="2"/>
        <v>-0.7082133704</v>
      </c>
      <c r="F784" s="175">
        <f>IFERROR(__xludf.DUMMYFUNCTION("average.weighted(filter(Data!K:K,Data!B:B=A784),filter(Data!F:F,Data!B:B=A784))"),0.6067955897388905)</f>
        <v>0.6067955897</v>
      </c>
      <c r="G784" s="175">
        <f>IFERROR(__xludf.DUMMYFUNCTION("average.weighted(filter(Data!L:L,Data!B:B=A784),filter(Data!F:F,Data!B:B=A784))"),-1.315008960109824)</f>
        <v>-1.31500896</v>
      </c>
    </row>
    <row r="785">
      <c r="A785" s="172" t="s">
        <v>1020</v>
      </c>
      <c r="B785" s="173">
        <f>countif(Data!B:B,A785)</f>
        <v>2</v>
      </c>
      <c r="C785" s="174">
        <f>sumif(Data!B:B,A785,Data!M:M)</f>
        <v>1.023098268</v>
      </c>
      <c r="D785" s="174">
        <f t="shared" si="1"/>
        <v>0.5115491342</v>
      </c>
      <c r="E785" s="175">
        <f t="shared" si="2"/>
        <v>-0.6776136426</v>
      </c>
      <c r="F785" s="175">
        <f>IFERROR(__xludf.DUMMYFUNCTION("average.weighted(filter(Data!K:K,Data!B:B=A785),filter(Data!F:F,Data!B:B=A785))"),-0.22799755377386371)</f>
        <v>-0.2279975538</v>
      </c>
      <c r="G785" s="175">
        <f>IFERROR(__xludf.DUMMYFUNCTION("average.weighted(filter(Data!L:L,Data!B:B=A785),filter(Data!F:F,Data!B:B=A785))"),-0.4496160887803918)</f>
        <v>-0.4496160888</v>
      </c>
    </row>
    <row r="786">
      <c r="A786" s="172" t="s">
        <v>1021</v>
      </c>
      <c r="B786" s="173">
        <f>countif(Data!B:B,A786)</f>
        <v>5</v>
      </c>
      <c r="C786" s="174">
        <f>sumif(Data!B:B,A786,Data!M:M)</f>
        <v>7.1526913</v>
      </c>
      <c r="D786" s="174">
        <f t="shared" si="1"/>
        <v>1.43053826</v>
      </c>
      <c r="E786" s="175">
        <f t="shared" si="2"/>
        <v>-0.7231580895</v>
      </c>
      <c r="F786" s="175">
        <f>IFERROR(__xludf.DUMMYFUNCTION("average.weighted(filter(Data!K:K,Data!B:B=A786),filter(Data!F:F,Data!B:B=A786))"),-0.6600628125647422)</f>
        <v>-0.6600628126</v>
      </c>
      <c r="G786" s="175">
        <f>IFERROR(__xludf.DUMMYFUNCTION("average.weighted(filter(Data!L:L,Data!B:B=A786),filter(Data!F:F,Data!B:B=A786))"),-0.06309527697392543)</f>
        <v>-0.06309527697</v>
      </c>
    </row>
    <row r="787">
      <c r="A787" s="172" t="s">
        <v>1022</v>
      </c>
      <c r="B787" s="173">
        <f>countif(Data!B:B,A787)</f>
        <v>1</v>
      </c>
      <c r="C787" s="174">
        <f>sumif(Data!B:B,A787,Data!M:M)</f>
        <v>0.02957065576</v>
      </c>
      <c r="D787" s="174">
        <f t="shared" si="1"/>
        <v>0.02957065576</v>
      </c>
      <c r="E787" s="175">
        <f t="shared" si="2"/>
        <v>-0.6775481752</v>
      </c>
      <c r="F787" s="175">
        <f>IFERROR(__xludf.DUMMYFUNCTION("average.weighted(filter(Data!K:K,Data!B:B=A787),filter(Data!F:F,Data!B:B=A787))"),-0.0103005624448489)</f>
        <v>-0.01030056244</v>
      </c>
      <c r="G787" s="175">
        <f>IFERROR(__xludf.DUMMYFUNCTION("average.weighted(filter(Data!L:L,Data!B:B=A787),filter(Data!F:F,Data!B:B=A787))"),-0.667247612736062)</f>
        <v>-0.6672476127</v>
      </c>
    </row>
    <row r="788">
      <c r="A788" s="172" t="s">
        <v>1023</v>
      </c>
      <c r="B788" s="173">
        <f>countif(Data!B:B,A788)</f>
        <v>6</v>
      </c>
      <c r="C788" s="174">
        <f>sumif(Data!B:B,A788,Data!M:M)</f>
        <v>8.289522316</v>
      </c>
      <c r="D788" s="174">
        <f t="shared" si="1"/>
        <v>1.381587053</v>
      </c>
      <c r="E788" s="175">
        <f t="shared" si="2"/>
        <v>-0.6213888202</v>
      </c>
      <c r="F788" s="175">
        <f>IFERROR(__xludf.DUMMYFUNCTION("average.weighted(filter(Data!K:K,Data!B:B=A788),filter(Data!F:F,Data!B:B=A788))"),-0.014588628654467306)</f>
        <v>-0.01458862865</v>
      </c>
      <c r="G788" s="175">
        <f>IFERROR(__xludf.DUMMYFUNCTION("average.weighted(filter(Data!L:L,Data!B:B=A788),filter(Data!F:F,Data!B:B=A788))"),-0.6068001915131331)</f>
        <v>-0.6068001915</v>
      </c>
    </row>
    <row r="789">
      <c r="A789" s="172" t="s">
        <v>1024</v>
      </c>
      <c r="B789" s="173">
        <f>countif(Data!B:B,A789)</f>
        <v>2</v>
      </c>
      <c r="C789" s="174">
        <f>sumif(Data!B:B,A789,Data!M:M)</f>
        <v>0.01547593466</v>
      </c>
      <c r="D789" s="174">
        <f t="shared" si="1"/>
        <v>0.00773796733</v>
      </c>
      <c r="E789" s="175">
        <f t="shared" si="2"/>
        <v>-0.6474438241</v>
      </c>
      <c r="F789" s="175">
        <f>IFERROR(__xludf.DUMMYFUNCTION("average.weighted(filter(Data!K:K,Data!B:B=A789),filter(Data!F:F,Data!B:B=A789))"),-0.09981247753414499)</f>
        <v>-0.09981247753</v>
      </c>
      <c r="G789" s="175">
        <f>IFERROR(__xludf.DUMMYFUNCTION("average.weighted(filter(Data!L:L,Data!B:B=A789),filter(Data!F:F,Data!B:B=A789))"),-0.5476313465786242)</f>
        <v>-0.5476313466</v>
      </c>
    </row>
    <row r="790">
      <c r="A790" s="172" t="s">
        <v>1025</v>
      </c>
      <c r="B790" s="173">
        <f>countif(Data!B:B,A790)</f>
        <v>3</v>
      </c>
      <c r="C790" s="174">
        <f>sumif(Data!B:B,A790,Data!M:M)</f>
        <v>1.510202961</v>
      </c>
      <c r="D790" s="174">
        <f t="shared" si="1"/>
        <v>0.5034009869</v>
      </c>
      <c r="E790" s="175">
        <f t="shared" si="2"/>
        <v>-0.9201617136</v>
      </c>
      <c r="F790" s="175">
        <f>IFERROR(__xludf.DUMMYFUNCTION("average.weighted(filter(Data!K:K,Data!B:B=A790),filter(Data!F:F,Data!B:B=A790))"),0.4330660554629071)</f>
        <v>0.4330660555</v>
      </c>
      <c r="G790" s="175">
        <f>IFERROR(__xludf.DUMMYFUNCTION("average.weighted(filter(Data!L:L,Data!B:B=A790),filter(Data!F:F,Data!B:B=A790))"),-1.3532277690753403)</f>
        <v>-1.353227769</v>
      </c>
    </row>
    <row r="791">
      <c r="A791" s="172" t="s">
        <v>1026</v>
      </c>
      <c r="B791" s="173">
        <f>countif(Data!B:B,A791)</f>
        <v>1</v>
      </c>
      <c r="C791" s="174">
        <f>sumif(Data!B:B,A791,Data!M:M)</f>
        <v>0.1762163898</v>
      </c>
      <c r="D791" s="174">
        <f t="shared" si="1"/>
        <v>0.1762163898</v>
      </c>
      <c r="E791" s="175">
        <f t="shared" si="2"/>
        <v>-0.6858911374</v>
      </c>
      <c r="F791" s="175">
        <f>IFERROR(__xludf.DUMMYFUNCTION("average.weighted(filter(Data!K:K,Data!B:B=A791),filter(Data!F:F,Data!B:B=A791))"),-1.30076357746379)</f>
        <v>-1.300763577</v>
      </c>
      <c r="G791" s="175">
        <f>IFERROR(__xludf.DUMMYFUNCTION("average.weighted(filter(Data!L:L,Data!B:B=A791),filter(Data!F:F,Data!B:B=A791))"),0.614872440069058)</f>
        <v>0.6148724401</v>
      </c>
    </row>
    <row r="792">
      <c r="A792" s="172" t="s">
        <v>1027</v>
      </c>
      <c r="B792" s="173">
        <f>countif(Data!B:B,A792)</f>
        <v>3</v>
      </c>
      <c r="C792" s="174">
        <f>sumif(Data!B:B,A792,Data!M:M)</f>
        <v>1.59772649</v>
      </c>
      <c r="D792" s="174">
        <f t="shared" si="1"/>
        <v>0.5325754968</v>
      </c>
      <c r="E792" s="175">
        <f t="shared" si="2"/>
        <v>-0.6876051727</v>
      </c>
      <c r="F792" s="175">
        <f>IFERROR(__xludf.DUMMYFUNCTION("average.weighted(filter(Data!K:K,Data!B:B=A792),filter(Data!F:F,Data!B:B=A792))"),0.2960830782197544)</f>
        <v>0.2960830782</v>
      </c>
      <c r="G792" s="175">
        <f>IFERROR(__xludf.DUMMYFUNCTION("average.weighted(filter(Data!L:L,Data!B:B=A792),filter(Data!F:F,Data!B:B=A792))"),-0.9836882509471461)</f>
        <v>-0.9836882509</v>
      </c>
    </row>
    <row r="793">
      <c r="A793" s="172" t="s">
        <v>1028</v>
      </c>
      <c r="B793" s="173">
        <f>countif(Data!B:B,A793)</f>
        <v>7</v>
      </c>
      <c r="C793" s="174">
        <f>sumif(Data!B:B,A793,Data!M:M)</f>
        <v>10.29428117</v>
      </c>
      <c r="D793" s="174">
        <f t="shared" si="1"/>
        <v>1.470611595</v>
      </c>
      <c r="E793" s="175">
        <f t="shared" si="2"/>
        <v>-0.6911618411</v>
      </c>
      <c r="F793" s="175">
        <f>IFERROR(__xludf.DUMMYFUNCTION("average.weighted(filter(Data!K:K,Data!B:B=A793),filter(Data!F:F,Data!B:B=A793))"),0.18643086406119086)</f>
        <v>0.1864308641</v>
      </c>
      <c r="G793" s="175">
        <f>IFERROR(__xludf.DUMMYFUNCTION("average.weighted(filter(Data!L:L,Data!B:B=A793),filter(Data!F:F,Data!B:B=A793))"),-0.8775927051389542)</f>
        <v>-0.8775927051</v>
      </c>
    </row>
    <row r="794">
      <c r="A794" s="172" t="s">
        <v>1029</v>
      </c>
      <c r="B794" s="173">
        <f>countif(Data!B:B,A794)</f>
        <v>2</v>
      </c>
      <c r="C794" s="174">
        <f>sumif(Data!B:B,A794,Data!M:M)</f>
        <v>1.570271057</v>
      </c>
      <c r="D794" s="174">
        <f t="shared" si="1"/>
        <v>0.7851355287</v>
      </c>
      <c r="E794" s="175">
        <f t="shared" si="2"/>
        <v>-0.7876444469</v>
      </c>
      <c r="F794" s="175">
        <f>IFERROR(__xludf.DUMMYFUNCTION("average.weighted(filter(Data!K:K,Data!B:B=A794),filter(Data!F:F,Data!B:B=A794))"),-0.051217397794348946)</f>
        <v>-0.05121739779</v>
      </c>
      <c r="G794" s="175">
        <f>IFERROR(__xludf.DUMMYFUNCTION("average.weighted(filter(Data!L:L,Data!B:B=A794),filter(Data!F:F,Data!B:B=A794))"),-0.7364270490944554)</f>
        <v>-0.7364270491</v>
      </c>
    </row>
    <row r="795">
      <c r="A795" s="172" t="s">
        <v>1030</v>
      </c>
      <c r="B795" s="173">
        <f>countif(Data!B:B,A795)</f>
        <v>2</v>
      </c>
      <c r="C795" s="174">
        <f>sumif(Data!B:B,A795,Data!M:M)</f>
        <v>0.5670793904</v>
      </c>
      <c r="D795" s="174">
        <f t="shared" si="1"/>
        <v>0.2835396952</v>
      </c>
      <c r="E795" s="175">
        <f t="shared" si="2"/>
        <v>-0.7289299918</v>
      </c>
      <c r="F795" s="175">
        <f>IFERROR(__xludf.DUMMYFUNCTION("average.weighted(filter(Data!K:K,Data!B:B=A795),filter(Data!F:F,Data!B:B=A795))"),-1.0403793463888942)</f>
        <v>-1.040379346</v>
      </c>
      <c r="G795" s="175">
        <f>IFERROR(__xludf.DUMMYFUNCTION("average.weighted(filter(Data!L:L,Data!B:B=A795),filter(Data!F:F,Data!B:B=A795))"),0.3114493545965741)</f>
        <v>0.3114493546</v>
      </c>
    </row>
    <row r="796">
      <c r="A796" s="172" t="s">
        <v>1031</v>
      </c>
      <c r="B796" s="173">
        <f>countif(Data!B:B,A796)</f>
        <v>8</v>
      </c>
      <c r="C796" s="174">
        <f>sumif(Data!B:B,A796,Data!M:M)</f>
        <v>13.32421466</v>
      </c>
      <c r="D796" s="174">
        <f t="shared" si="1"/>
        <v>1.665526833</v>
      </c>
      <c r="E796" s="175">
        <f t="shared" si="2"/>
        <v>-0.6265701337</v>
      </c>
      <c r="F796" s="175">
        <f>IFERROR(__xludf.DUMMYFUNCTION("average.weighted(filter(Data!K:K,Data!B:B=A796),filter(Data!F:F,Data!B:B=A796))"),-1.4078059620856218)</f>
        <v>-1.407805962</v>
      </c>
      <c r="G796" s="175">
        <f>IFERROR(__xludf.DUMMYFUNCTION("average.weighted(filter(Data!L:L,Data!B:B=A796),filter(Data!F:F,Data!B:B=A796))"),0.7812358283755985)</f>
        <v>0.7812358284</v>
      </c>
    </row>
    <row r="797">
      <c r="A797" s="172" t="s">
        <v>1032</v>
      </c>
      <c r="B797" s="173">
        <f>countif(Data!B:B,A797)</f>
        <v>2</v>
      </c>
      <c r="C797" s="174">
        <f>sumif(Data!B:B,A797,Data!M:M)</f>
        <v>0.1535448131</v>
      </c>
      <c r="D797" s="174">
        <f t="shared" si="1"/>
        <v>0.07677240653</v>
      </c>
      <c r="E797" s="175">
        <f t="shared" si="2"/>
        <v>-0.6939461126</v>
      </c>
      <c r="F797" s="175">
        <f>IFERROR(__xludf.DUMMYFUNCTION("average.weighted(filter(Data!K:K,Data!B:B=A797),filter(Data!F:F,Data!B:B=A797))"),-0.10807412871003709)</f>
        <v>-0.1080741287</v>
      </c>
      <c r="G797" s="175">
        <f>IFERROR(__xludf.DUMMYFUNCTION("average.weighted(filter(Data!L:L,Data!B:B=A797),filter(Data!F:F,Data!B:B=A797))"),-0.5858719838644598)</f>
        <v>-0.5858719839</v>
      </c>
    </row>
    <row r="798">
      <c r="A798" s="172" t="s">
        <v>1033</v>
      </c>
      <c r="B798" s="173">
        <f>countif(Data!B:B,A798)</f>
        <v>3</v>
      </c>
      <c r="C798" s="174">
        <f>sumif(Data!B:B,A798,Data!M:M)</f>
        <v>0.3561324928</v>
      </c>
      <c r="D798" s="174">
        <f t="shared" si="1"/>
        <v>0.1187108309</v>
      </c>
      <c r="E798" s="175">
        <f t="shared" si="2"/>
        <v>-0.6491751082</v>
      </c>
      <c r="F798" s="175">
        <f>IFERROR(__xludf.DUMMYFUNCTION("average.weighted(filter(Data!K:K,Data!B:B=A798),filter(Data!F:F,Data!B:B=A798))"),-0.5892092253456027)</f>
        <v>-0.5892092253</v>
      </c>
      <c r="G798" s="175">
        <f>IFERROR(__xludf.DUMMYFUNCTION("average.weighted(filter(Data!L:L,Data!B:B=A798),filter(Data!F:F,Data!B:B=A798))"),-0.05996588288079168)</f>
        <v>-0.05996588288</v>
      </c>
    </row>
    <row r="799">
      <c r="A799" s="172" t="s">
        <v>1034</v>
      </c>
      <c r="B799" s="173">
        <f>countif(Data!B:B,A799)</f>
        <v>6</v>
      </c>
      <c r="C799" s="174">
        <f>sumif(Data!B:B,A799,Data!M:M)</f>
        <v>7.220533879</v>
      </c>
      <c r="D799" s="174">
        <f t="shared" si="1"/>
        <v>1.203422313</v>
      </c>
      <c r="E799" s="175">
        <f t="shared" si="2"/>
        <v>-0.6979843606</v>
      </c>
      <c r="F799" s="175">
        <f>IFERROR(__xludf.DUMMYFUNCTION("average.weighted(filter(Data!K:K,Data!B:B=A799),filter(Data!F:F,Data!B:B=A799))"),-0.5870305519344933)</f>
        <v>-0.5870305519</v>
      </c>
      <c r="G799" s="175">
        <f>IFERROR(__xludf.DUMMYFUNCTION("average.weighted(filter(Data!L:L,Data!B:B=A799),filter(Data!F:F,Data!B:B=A799))"),-0.11095380868305352)</f>
        <v>-0.1109538087</v>
      </c>
    </row>
    <row r="800">
      <c r="A800" s="172" t="s">
        <v>1035</v>
      </c>
      <c r="B800" s="173">
        <f>countif(Data!B:B,A800)</f>
        <v>7</v>
      </c>
      <c r="C800" s="174">
        <f>sumif(Data!B:B,A800,Data!M:M)</f>
        <v>8.632528122</v>
      </c>
      <c r="D800" s="174">
        <f t="shared" si="1"/>
        <v>1.233218303</v>
      </c>
      <c r="E800" s="175">
        <f t="shared" si="2"/>
        <v>-0.7080123153</v>
      </c>
      <c r="F800" s="175">
        <f>IFERROR(__xludf.DUMMYFUNCTION("average.weighted(filter(Data!K:K,Data!B:B=A800),filter(Data!F:F,Data!B:B=A800))"),-0.5013077569067546)</f>
        <v>-0.5013077569</v>
      </c>
      <c r="G800" s="175">
        <f>IFERROR(__xludf.DUMMYFUNCTION("average.weighted(filter(Data!L:L,Data!B:B=A800),filter(Data!F:F,Data!B:B=A800))"),-0.20670455840651775)</f>
        <v>-0.2067045584</v>
      </c>
    </row>
    <row r="801">
      <c r="A801" s="172" t="s">
        <v>1036</v>
      </c>
      <c r="B801" s="173">
        <f>countif(Data!B:B,A801)</f>
        <v>4</v>
      </c>
      <c r="C801" s="174">
        <f>sumif(Data!B:B,A801,Data!M:M)</f>
        <v>3.58537937</v>
      </c>
      <c r="D801" s="174">
        <f t="shared" si="1"/>
        <v>0.8963448425</v>
      </c>
      <c r="E801" s="175">
        <f t="shared" si="2"/>
        <v>-0.7011833908</v>
      </c>
      <c r="F801" s="175">
        <f>IFERROR(__xludf.DUMMYFUNCTION("average.weighted(filter(Data!K:K,Data!B:B=A801),filter(Data!F:F,Data!B:B=A801))"),-1.6745753069567706)</f>
        <v>-1.674575307</v>
      </c>
      <c r="G801" s="175">
        <f>IFERROR(__xludf.DUMMYFUNCTION("average.weighted(filter(Data!L:L,Data!B:B=A801),filter(Data!F:F,Data!B:B=A801))"),0.9733919161875936)</f>
        <v>0.9733919162</v>
      </c>
    </row>
    <row r="802">
      <c r="A802" s="172" t="s">
        <v>1037</v>
      </c>
      <c r="B802" s="173">
        <f>countif(Data!B:B,A802)</f>
        <v>2</v>
      </c>
      <c r="C802" s="174">
        <f>sumif(Data!B:B,A802,Data!M:M)</f>
        <v>0.1945981244</v>
      </c>
      <c r="D802" s="174">
        <f t="shared" si="1"/>
        <v>0.09729906221</v>
      </c>
      <c r="E802" s="175">
        <f t="shared" si="2"/>
        <v>-0.7028871379</v>
      </c>
      <c r="F802" s="175">
        <f>IFERROR(__xludf.DUMMYFUNCTION("average.weighted(filter(Data!K:K,Data!B:B=A802),filter(Data!F:F,Data!B:B=A802))"),-0.46676558122980616)</f>
        <v>-0.4667655812</v>
      </c>
      <c r="G802" s="175">
        <f>IFERROR(__xludf.DUMMYFUNCTION("average.weighted(filter(Data!L:L,Data!B:B=A802),filter(Data!F:F,Data!B:B=A802))"),-0.2361215566675974)</f>
        <v>-0.2361215567</v>
      </c>
    </row>
    <row r="803">
      <c r="A803" s="172" t="s">
        <v>1038</v>
      </c>
      <c r="B803" s="173">
        <f>countif(Data!B:B,A803)</f>
        <v>4</v>
      </c>
      <c r="C803" s="174">
        <f>sumif(Data!B:B,A803,Data!M:M)</f>
        <v>0.8005384804</v>
      </c>
      <c r="D803" s="174">
        <f t="shared" si="1"/>
        <v>0.2001346201</v>
      </c>
      <c r="E803" s="175">
        <f t="shared" si="2"/>
        <v>-0.7034588527</v>
      </c>
      <c r="F803" s="175">
        <f>IFERROR(__xludf.DUMMYFUNCTION("average.weighted(filter(Data!K:K,Data!B:B=A803),filter(Data!F:F,Data!B:B=A803))"),-0.4446227417902883)</f>
        <v>-0.4446227418</v>
      </c>
      <c r="G803" s="175">
        <f>IFERROR(__xludf.DUMMYFUNCTION("average.weighted(filter(Data!L:L,Data!B:B=A803),filter(Data!F:F,Data!B:B=A803))"),-0.25883611088967884)</f>
        <v>-0.2588361109</v>
      </c>
    </row>
    <row r="804">
      <c r="A804" s="172" t="s">
        <v>1039</v>
      </c>
      <c r="B804" s="173">
        <f>countif(Data!B:B,A804)</f>
        <v>1</v>
      </c>
      <c r="C804" s="174">
        <f>sumif(Data!B:B,A804,Data!M:M)</f>
        <v>0.005980605108</v>
      </c>
      <c r="D804" s="174">
        <f t="shared" si="1"/>
        <v>0.005980605108</v>
      </c>
      <c r="E804" s="175">
        <f t="shared" si="2"/>
        <v>-0.7040500407</v>
      </c>
      <c r="F804" s="175">
        <f>IFERROR(__xludf.DUMMYFUNCTION("average.weighted(filter(Data!K:K,Data!B:B=A804),filter(Data!F:F,Data!B:B=A804))"),-0.0928353119283121)</f>
        <v>-0.09283531193</v>
      </c>
      <c r="G804" s="175">
        <f>IFERROR(__xludf.DUMMYFUNCTION("average.weighted(filter(Data!L:L,Data!B:B=A804),filter(Data!F:F,Data!B:B=A804))"),-0.611214728758716)</f>
        <v>-0.6112147288</v>
      </c>
    </row>
    <row r="805">
      <c r="A805" s="172" t="s">
        <v>1040</v>
      </c>
      <c r="B805" s="173">
        <f>countif(Data!B:B,A805)</f>
        <v>1</v>
      </c>
      <c r="C805" s="174">
        <f>sumif(Data!B:B,A805,Data!M:M)</f>
        <v>0.4578304542</v>
      </c>
      <c r="D805" s="174">
        <f t="shared" si="1"/>
        <v>0.4578304542</v>
      </c>
      <c r="E805" s="175">
        <f t="shared" si="2"/>
        <v>-0.7051611904</v>
      </c>
      <c r="F805" s="175">
        <f>IFERROR(__xludf.DUMMYFUNCTION("average.weighted(filter(Data!K:K,Data!B:B=A805),filter(Data!F:F,Data!B:B=A805))"),-2.10024343227939)</f>
        <v>-2.100243432</v>
      </c>
      <c r="G805" s="175">
        <f>IFERROR(__xludf.DUMMYFUNCTION("average.weighted(filter(Data!L:L,Data!B:B=A805),filter(Data!F:F,Data!B:B=A805))"),1.39508224189284)</f>
        <v>1.395082242</v>
      </c>
    </row>
    <row r="806">
      <c r="A806" s="172" t="s">
        <v>1041</v>
      </c>
      <c r="B806" s="173">
        <f>countif(Data!B:B,A806)</f>
        <v>4</v>
      </c>
      <c r="C806" s="174">
        <f>sumif(Data!B:B,A806,Data!M:M)</f>
        <v>5.889801031</v>
      </c>
      <c r="D806" s="174">
        <f t="shared" si="1"/>
        <v>1.472450258</v>
      </c>
      <c r="E806" s="175">
        <f t="shared" si="2"/>
        <v>-0.7053234665</v>
      </c>
      <c r="F806" s="175">
        <f>IFERROR(__xludf.DUMMYFUNCTION("average.weighted(filter(Data!K:K,Data!B:B=A806),filter(Data!F:F,Data!B:B=A806))"),-1.4520995423301972)</f>
        <v>-1.452099542</v>
      </c>
      <c r="G806" s="175">
        <f>IFERROR(__xludf.DUMMYFUNCTION("average.weighted(filter(Data!L:L,Data!B:B=A806),filter(Data!F:F,Data!B:B=A806))"),0.7467760758497136)</f>
        <v>0.7467760758</v>
      </c>
    </row>
    <row r="807">
      <c r="A807" s="172" t="s">
        <v>1042</v>
      </c>
      <c r="B807" s="173">
        <f>countif(Data!B:B,A807)</f>
        <v>1</v>
      </c>
      <c r="C807" s="174">
        <f>sumif(Data!B:B,A807,Data!M:M)</f>
        <v>0.8261479451</v>
      </c>
      <c r="D807" s="174">
        <f t="shared" si="1"/>
        <v>0.8261479451</v>
      </c>
      <c r="E807" s="175">
        <f t="shared" si="2"/>
        <v>-0.7088435736</v>
      </c>
      <c r="F807" s="175">
        <f>IFERROR(__xludf.DUMMYFUNCTION("average.weighted(filter(Data!K:K,Data!B:B=A807),filter(Data!F:F,Data!B:B=A807))"),-2.32432948939778)</f>
        <v>-2.324329489</v>
      </c>
      <c r="G807" s="175">
        <f>IFERROR(__xludf.DUMMYFUNCTION("average.weighted(filter(Data!L:L,Data!B:B=A807),filter(Data!F:F,Data!B:B=A807))"),1.61548591577593)</f>
        <v>1.615485916</v>
      </c>
    </row>
    <row r="808">
      <c r="A808" s="172" t="s">
        <v>1043</v>
      </c>
      <c r="B808" s="173">
        <f>countif(Data!B:B,A808)</f>
        <v>1</v>
      </c>
      <c r="C808" s="174">
        <f>sumif(Data!B:B,A808,Data!M:M)</f>
        <v>0.003125752791</v>
      </c>
      <c r="D808" s="174">
        <f t="shared" si="1"/>
        <v>0.003125752791</v>
      </c>
      <c r="E808" s="175">
        <f t="shared" si="2"/>
        <v>-0.7102164237</v>
      </c>
      <c r="F808" s="175">
        <f>IFERROR(__xludf.DUMMYFUNCTION("average.weighted(filter(Data!K:K,Data!B:B=A808),filter(Data!F:F,Data!B:B=A808))"),-0.388326362550994)</f>
        <v>-0.3883263626</v>
      </c>
      <c r="G808" s="175">
        <f>IFERROR(__xludf.DUMMYFUNCTION("average.weighted(filter(Data!L:L,Data!B:B=A808),filter(Data!F:F,Data!B:B=A808))"),-0.321890061138645)</f>
        <v>-0.3218900611</v>
      </c>
    </row>
    <row r="809">
      <c r="A809" s="172" t="s">
        <v>1044</v>
      </c>
      <c r="B809" s="173">
        <f>countif(Data!B:B,A809)</f>
        <v>4</v>
      </c>
      <c r="C809" s="174">
        <f>sumif(Data!B:B,A809,Data!M:M)</f>
        <v>3.070848625</v>
      </c>
      <c r="D809" s="174">
        <f t="shared" si="1"/>
        <v>0.7677121562</v>
      </c>
      <c r="E809" s="175">
        <f t="shared" si="2"/>
        <v>-0.7126093464</v>
      </c>
      <c r="F809" s="175">
        <f>IFERROR(__xludf.DUMMYFUNCTION("average.weighted(filter(Data!K:K,Data!B:B=A809),filter(Data!F:F,Data!B:B=A809))"),-0.6922900939042624)</f>
        <v>-0.6922900939</v>
      </c>
      <c r="G809" s="175">
        <f>IFERROR(__xludf.DUMMYFUNCTION("average.weighted(filter(Data!L:L,Data!B:B=A809),filter(Data!F:F,Data!B:B=A809))"),-0.020319252539577184)</f>
        <v>-0.02031925254</v>
      </c>
    </row>
    <row r="810">
      <c r="A810" s="172" t="s">
        <v>1045</v>
      </c>
      <c r="B810" s="173">
        <f>countif(Data!B:B,A810)</f>
        <v>2</v>
      </c>
      <c r="C810" s="174">
        <f>sumif(Data!B:B,A810,Data!M:M)</f>
        <v>0.5169624734</v>
      </c>
      <c r="D810" s="174">
        <f t="shared" si="1"/>
        <v>0.2584812367</v>
      </c>
      <c r="E810" s="175">
        <f t="shared" si="2"/>
        <v>-0.713672195</v>
      </c>
      <c r="F810" s="175">
        <f>IFERROR(__xludf.DUMMYFUNCTION("average.weighted(filter(Data!K:K,Data!B:B=A810),filter(Data!F:F,Data!B:B=A810))"),-0.3992205323062805)</f>
        <v>-0.3992205323</v>
      </c>
      <c r="G810" s="175">
        <f>IFERROR(__xludf.DUMMYFUNCTION("average.weighted(filter(Data!L:L,Data!B:B=A810),filter(Data!F:F,Data!B:B=A810))"),-0.3144516627106612)</f>
        <v>-0.3144516627</v>
      </c>
    </row>
    <row r="811">
      <c r="A811" s="172" t="s">
        <v>1046</v>
      </c>
      <c r="B811" s="173">
        <f>countif(Data!B:B,A811)</f>
        <v>2</v>
      </c>
      <c r="C811" s="174">
        <f>sumif(Data!B:B,A811,Data!M:M)</f>
        <v>0.1207092247</v>
      </c>
      <c r="D811" s="174">
        <f t="shared" si="1"/>
        <v>0.06035461233</v>
      </c>
      <c r="E811" s="175">
        <f t="shared" si="2"/>
        <v>-0.7749425794</v>
      </c>
      <c r="F811" s="175">
        <f>IFERROR(__xludf.DUMMYFUNCTION("average.weighted(filter(Data!K:K,Data!B:B=A811),filter(Data!F:F,Data!B:B=A811))"),-0.7717726202216966)</f>
        <v>-0.7717726202</v>
      </c>
      <c r="G811" s="175">
        <f>IFERROR(__xludf.DUMMYFUNCTION("average.weighted(filter(Data!L:L,Data!B:B=A811),filter(Data!F:F,Data!B:B=A811))"),-0.0031699592039950656)</f>
        <v>-0.003169959204</v>
      </c>
    </row>
    <row r="812">
      <c r="A812" s="172" t="s">
        <v>1047</v>
      </c>
      <c r="B812" s="173">
        <f>countif(Data!B:B,A812)</f>
        <v>1</v>
      </c>
      <c r="C812" s="174">
        <f>sumif(Data!B:B,A812,Data!M:M)</f>
        <v>0.001306358462</v>
      </c>
      <c r="D812" s="174">
        <f t="shared" si="1"/>
        <v>0.001306358462</v>
      </c>
      <c r="E812" s="175">
        <f t="shared" si="2"/>
        <v>-0.7161199274</v>
      </c>
      <c r="F812" s="175">
        <f>IFERROR(__xludf.DUMMYFUNCTION("average.weighted(filter(Data!K:K,Data!B:B=A812),filter(Data!F:F,Data!B:B=A812))"),-0.123251008649855)</f>
        <v>-0.1232510086</v>
      </c>
      <c r="G812" s="175">
        <f>IFERROR(__xludf.DUMMYFUNCTION("average.weighted(filter(Data!L:L,Data!B:B=A812),filter(Data!F:F,Data!B:B=A812))"),-0.592868918771435)</f>
        <v>-0.5928689188</v>
      </c>
    </row>
    <row r="813">
      <c r="A813" s="172" t="s">
        <v>1048</v>
      </c>
      <c r="B813" s="173">
        <f>countif(Data!B:B,A813)</f>
        <v>6</v>
      </c>
      <c r="C813" s="174">
        <f>sumif(Data!B:B,A813,Data!M:M)</f>
        <v>5.513567352</v>
      </c>
      <c r="D813" s="174">
        <f t="shared" si="1"/>
        <v>0.9189278919</v>
      </c>
      <c r="E813" s="175">
        <f t="shared" si="2"/>
        <v>-0.7162343025</v>
      </c>
      <c r="F813" s="175">
        <f>IFERROR(__xludf.DUMMYFUNCTION("average.weighted(filter(Data!K:K,Data!B:B=A813),filter(Data!F:F,Data!B:B=A813))"),-1.1363344050493251)</f>
        <v>-1.136334405</v>
      </c>
      <c r="G813" s="175">
        <f>IFERROR(__xludf.DUMMYFUNCTION("average.weighted(filter(Data!L:L,Data!B:B=A813),filter(Data!F:F,Data!B:B=A813))"),0.4201001025488472)</f>
        <v>0.4201001025</v>
      </c>
    </row>
    <row r="814">
      <c r="A814" s="172" t="s">
        <v>1049</v>
      </c>
      <c r="B814" s="173">
        <f>countif(Data!B:B,A814)</f>
        <v>2</v>
      </c>
      <c r="C814" s="174">
        <f>sumif(Data!B:B,A814,Data!M:M)</f>
        <v>0.1659340811</v>
      </c>
      <c r="D814" s="174">
        <f t="shared" si="1"/>
        <v>0.08296704057</v>
      </c>
      <c r="E814" s="175">
        <f t="shared" si="2"/>
        <v>-1.025279361</v>
      </c>
      <c r="F814" s="175">
        <f>IFERROR(__xludf.DUMMYFUNCTION("average.weighted(filter(Data!K:K,Data!B:B=A814),filter(Data!F:F,Data!B:B=A814))"),-0.9893448943708293)</f>
        <v>-0.9893448944</v>
      </c>
      <c r="G814" s="175">
        <f>IFERROR(__xludf.DUMMYFUNCTION("average.weighted(filter(Data!L:L,Data!B:B=A814),filter(Data!F:F,Data!B:B=A814))"),-0.035934466168472026)</f>
        <v>-0.03593446617</v>
      </c>
    </row>
    <row r="815">
      <c r="A815" s="172" t="s">
        <v>1050</v>
      </c>
      <c r="B815" s="173">
        <f>countif(Data!B:B,A815)</f>
        <v>1</v>
      </c>
      <c r="C815" s="174">
        <f>sumif(Data!B:B,A815,Data!M:M)</f>
        <v>0.5067487152</v>
      </c>
      <c r="D815" s="174">
        <f t="shared" si="1"/>
        <v>0.5067487152</v>
      </c>
      <c r="E815" s="175">
        <f t="shared" si="2"/>
        <v>-0.7198465956</v>
      </c>
      <c r="F815" s="175">
        <f>IFERROR(__xludf.DUMMYFUNCTION("average.weighted(filter(Data!K:K,Data!B:B=A815),filter(Data!F:F,Data!B:B=A815))"),-0.818886242464494)</f>
        <v>-0.8188862425</v>
      </c>
      <c r="G815" s="175">
        <f>IFERROR(__xludf.DUMMYFUNCTION("average.weighted(filter(Data!L:L,Data!B:B=A815),filter(Data!F:F,Data!B:B=A815))"),0.0990396468277661)</f>
        <v>0.09903964683</v>
      </c>
    </row>
    <row r="816">
      <c r="A816" s="172" t="s">
        <v>1051</v>
      </c>
      <c r="B816" s="173">
        <f>countif(Data!B:B,A816)</f>
        <v>4</v>
      </c>
      <c r="C816" s="174">
        <f>sumif(Data!B:B,A816,Data!M:M)</f>
        <v>7.00549327</v>
      </c>
      <c r="D816" s="174">
        <f t="shared" si="1"/>
        <v>1.751373318</v>
      </c>
      <c r="E816" s="175">
        <f t="shared" si="2"/>
        <v>-0.7208426461</v>
      </c>
      <c r="F816" s="175">
        <f>IFERROR(__xludf.DUMMYFUNCTION("average.weighted(filter(Data!K:K,Data!B:B=A816),filter(Data!F:F,Data!B:B=A816))"),-0.7123114601880223)</f>
        <v>-0.7123114602</v>
      </c>
      <c r="G816" s="175">
        <f>IFERROR(__xludf.DUMMYFUNCTION("average.weighted(filter(Data!L:L,Data!B:B=A816),filter(Data!F:F,Data!B:B=A816))"),-0.008531185880452236)</f>
        <v>-0.00853118588</v>
      </c>
    </row>
    <row r="817">
      <c r="A817" s="172" t="s">
        <v>1052</v>
      </c>
      <c r="B817" s="173">
        <f>countif(Data!B:B,A817)</f>
        <v>5</v>
      </c>
      <c r="C817" s="174">
        <f>sumif(Data!B:B,A817,Data!M:M)</f>
        <v>5.395907612</v>
      </c>
      <c r="D817" s="174">
        <f t="shared" si="1"/>
        <v>1.079181522</v>
      </c>
      <c r="E817" s="175">
        <f t="shared" si="2"/>
        <v>-0.7228344354</v>
      </c>
      <c r="F817" s="175">
        <f>IFERROR(__xludf.DUMMYFUNCTION("average.weighted(filter(Data!K:K,Data!B:B=A817),filter(Data!F:F,Data!B:B=A817))"),-0.3055034704673799)</f>
        <v>-0.3055034705</v>
      </c>
      <c r="G817" s="175">
        <f>IFERROR(__xludf.DUMMYFUNCTION("average.weighted(filter(Data!L:L,Data!B:B=A817),filter(Data!F:F,Data!B:B=A817))"),-0.4173309649553548)</f>
        <v>-0.417330965</v>
      </c>
    </row>
    <row r="818">
      <c r="A818" s="172" t="s">
        <v>1053</v>
      </c>
      <c r="B818" s="173">
        <f>countif(Data!B:B,A818)</f>
        <v>1</v>
      </c>
      <c r="C818" s="174">
        <f>sumif(Data!B:B,A818,Data!M:M)</f>
        <v>0.08499009641</v>
      </c>
      <c r="D818" s="174">
        <f t="shared" si="1"/>
        <v>0.08499009641</v>
      </c>
      <c r="E818" s="175">
        <f t="shared" si="2"/>
        <v>-0.7258541889</v>
      </c>
      <c r="F818" s="175">
        <f>IFERROR(__xludf.DUMMYFUNCTION("average.weighted(filter(Data!K:K,Data!B:B=A818),filter(Data!F:F,Data!B:B=A818))"),-0.312879741565064)</f>
        <v>-0.3128797416</v>
      </c>
      <c r="G818" s="175">
        <f>IFERROR(__xludf.DUMMYFUNCTION("average.weighted(filter(Data!L:L,Data!B:B=A818),filter(Data!F:F,Data!B:B=A818))"),-0.412974447300392)</f>
        <v>-0.4129744473</v>
      </c>
    </row>
    <row r="819">
      <c r="A819" s="172" t="s">
        <v>1054</v>
      </c>
      <c r="B819" s="173">
        <f>countif(Data!B:B,A819)</f>
        <v>2</v>
      </c>
      <c r="C819" s="174">
        <f>sumif(Data!B:B,A819,Data!M:M)</f>
        <v>0.3042235507</v>
      </c>
      <c r="D819" s="174">
        <f t="shared" si="1"/>
        <v>0.1521117753</v>
      </c>
      <c r="E819" s="175">
        <f t="shared" si="2"/>
        <v>-0.726248835</v>
      </c>
      <c r="F819" s="175">
        <f>IFERROR(__xludf.DUMMYFUNCTION("average.weighted(filter(Data!K:K,Data!B:B=A819),filter(Data!F:F,Data!B:B=A819))"),-0.8763518859866714)</f>
        <v>-0.876351886</v>
      </c>
      <c r="G819" s="175">
        <f>IFERROR(__xludf.DUMMYFUNCTION("average.weighted(filter(Data!L:L,Data!B:B=A819),filter(Data!F:F,Data!B:B=A819))"),0.15010305097215051)</f>
        <v>0.150103051</v>
      </c>
    </row>
    <row r="820">
      <c r="A820" s="172" t="s">
        <v>1055</v>
      </c>
      <c r="B820" s="173">
        <f>countif(Data!B:B,A820)</f>
        <v>4</v>
      </c>
      <c r="C820" s="174">
        <f>sumif(Data!B:B,A820,Data!M:M)</f>
        <v>2.267155376</v>
      </c>
      <c r="D820" s="174">
        <f t="shared" si="1"/>
        <v>0.5667888441</v>
      </c>
      <c r="E820" s="175">
        <f t="shared" si="2"/>
        <v>-0.7267449258</v>
      </c>
      <c r="F820" s="175">
        <f>IFERROR(__xludf.DUMMYFUNCTION("average.weighted(filter(Data!K:K,Data!B:B=A820),filter(Data!F:F,Data!B:B=A820))"),-1.1971239083157053)</f>
        <v>-1.197123908</v>
      </c>
      <c r="G820" s="175">
        <f>IFERROR(__xludf.DUMMYFUNCTION("average.weighted(filter(Data!L:L,Data!B:B=A820),filter(Data!F:F,Data!B:B=A820))"),0.47037898254429683)</f>
        <v>0.4703789825</v>
      </c>
    </row>
    <row r="821">
      <c r="A821" s="172" t="s">
        <v>1056</v>
      </c>
      <c r="B821" s="173">
        <f>countif(Data!B:B,A821)</f>
        <v>4</v>
      </c>
      <c r="C821" s="174">
        <f>sumif(Data!B:B,A821,Data!M:M)</f>
        <v>3.287773003</v>
      </c>
      <c r="D821" s="174">
        <f t="shared" si="1"/>
        <v>0.8219432508</v>
      </c>
      <c r="E821" s="175">
        <f t="shared" si="2"/>
        <v>-0.7270949463</v>
      </c>
      <c r="F821" s="175">
        <f>IFERROR(__xludf.DUMMYFUNCTION("average.weighted(filter(Data!K:K,Data!B:B=A821),filter(Data!F:F,Data!B:B=A821))"),-0.739235266878215)</f>
        <v>-0.7392352669</v>
      </c>
      <c r="G821" s="175">
        <f>IFERROR(__xludf.DUMMYFUNCTION("average.weighted(filter(Data!L:L,Data!B:B=A821),filter(Data!F:F,Data!B:B=A821))"),0.012140320544138482)</f>
        <v>0.01214032054</v>
      </c>
    </row>
    <row r="822">
      <c r="A822" s="172" t="s">
        <v>1057</v>
      </c>
      <c r="B822" s="173">
        <f>countif(Data!B:B,A822)</f>
        <v>1</v>
      </c>
      <c r="C822" s="174">
        <f>sumif(Data!B:B,A822,Data!M:M)</f>
        <v>0.01197318498</v>
      </c>
      <c r="D822" s="174">
        <f t="shared" si="1"/>
        <v>0.01197318498</v>
      </c>
      <c r="E822" s="175">
        <f t="shared" si="2"/>
        <v>-0.7271086571</v>
      </c>
      <c r="F822" s="175">
        <f>IFERROR(__xludf.DUMMYFUNCTION("average.weighted(filter(Data!K:K,Data!B:B=A822),filter(Data!F:F,Data!B:B=A822))"),-0.307913956719713)</f>
        <v>-0.3079139567</v>
      </c>
      <c r="G822" s="175">
        <f>IFERROR(__xludf.DUMMYFUNCTION("average.weighted(filter(Data!L:L,Data!B:B=A822),filter(Data!F:F,Data!B:B=A822))"),-0.41919470038199)</f>
        <v>-0.4191947004</v>
      </c>
    </row>
    <row r="823">
      <c r="A823" s="172" t="s">
        <v>1058</v>
      </c>
      <c r="B823" s="173">
        <f>countif(Data!B:B,A823)</f>
        <v>2</v>
      </c>
      <c r="C823" s="174">
        <f>sumif(Data!B:B,A823,Data!M:M)</f>
        <v>0.5775946055</v>
      </c>
      <c r="D823" s="174">
        <f t="shared" si="1"/>
        <v>0.2887973028</v>
      </c>
      <c r="E823" s="175">
        <f t="shared" si="2"/>
        <v>-0.7341422737</v>
      </c>
      <c r="F823" s="175">
        <f>IFERROR(__xludf.DUMMYFUNCTION("average.weighted(filter(Data!K:K,Data!B:B=A823),filter(Data!F:F,Data!B:B=A823))"),-0.7673865018646269)</f>
        <v>-0.7673865019</v>
      </c>
      <c r="G823" s="175">
        <f>IFERROR(__xludf.DUMMYFUNCTION("average.weighted(filter(Data!L:L,Data!B:B=A823),filter(Data!F:F,Data!B:B=A823))"),0.03324422813378817)</f>
        <v>0.03324422813</v>
      </c>
    </row>
    <row r="824">
      <c r="A824" s="172" t="s">
        <v>1059</v>
      </c>
      <c r="B824" s="173">
        <f>countif(Data!B:B,A824)</f>
        <v>2</v>
      </c>
      <c r="C824" s="174">
        <f>sumif(Data!B:B,A824,Data!M:M)</f>
        <v>1.344475297</v>
      </c>
      <c r="D824" s="174">
        <f t="shared" si="1"/>
        <v>0.6722376485</v>
      </c>
      <c r="E824" s="175">
        <f t="shared" si="2"/>
        <v>-0.7344338583</v>
      </c>
      <c r="F824" s="175">
        <f>IFERROR(__xludf.DUMMYFUNCTION("average.weighted(filter(Data!K:K,Data!B:B=A824),filter(Data!F:F,Data!B:B=A824))"),0.21144644401707127)</f>
        <v>0.211446444</v>
      </c>
      <c r="G824" s="175">
        <f>IFERROR(__xludf.DUMMYFUNCTION("average.weighted(filter(Data!L:L,Data!B:B=A824),filter(Data!F:F,Data!B:B=A824))"),-0.9458803023640211)</f>
        <v>-0.9458803024</v>
      </c>
    </row>
    <row r="825">
      <c r="A825" s="172" t="s">
        <v>1060</v>
      </c>
      <c r="B825" s="173">
        <f>countif(Data!B:B,A825)</f>
        <v>1</v>
      </c>
      <c r="C825" s="174">
        <f>sumif(Data!B:B,A825,Data!M:M)</f>
        <v>1.494126018</v>
      </c>
      <c r="D825" s="174">
        <f t="shared" si="1"/>
        <v>1.494126018</v>
      </c>
      <c r="E825" s="175">
        <f t="shared" si="2"/>
        <v>-0.7353238389</v>
      </c>
      <c r="F825" s="175">
        <f>IFERROR(__xludf.DUMMYFUNCTION("average.weighted(filter(Data!K:K,Data!B:B=A825),filter(Data!F:F,Data!B:B=A825))"),-0.130204753832035)</f>
        <v>-0.1302047538</v>
      </c>
      <c r="G825" s="175">
        <f>IFERROR(__xludf.DUMMYFUNCTION("average.weighted(filter(Data!L:L,Data!B:B=A825),filter(Data!F:F,Data!B:B=A825))"),-0.605119085091619)</f>
        <v>-0.6051190851</v>
      </c>
    </row>
    <row r="826">
      <c r="A826" s="172" t="s">
        <v>1061</v>
      </c>
      <c r="B826" s="173">
        <f>countif(Data!B:B,A826)</f>
        <v>2</v>
      </c>
      <c r="C826" s="174">
        <f>sumif(Data!B:B,A826,Data!M:M)</f>
        <v>0.1758695569</v>
      </c>
      <c r="D826" s="174">
        <f t="shared" si="1"/>
        <v>0.08793477844</v>
      </c>
      <c r="E826" s="175">
        <f t="shared" si="2"/>
        <v>-0.7372569345</v>
      </c>
      <c r="F826" s="175">
        <f>IFERROR(__xludf.DUMMYFUNCTION("average.weighted(filter(Data!K:K,Data!B:B=A826),filter(Data!F:F,Data!B:B=A826))"),-0.8528387393788837)</f>
        <v>-0.8528387394</v>
      </c>
      <c r="G826" s="175">
        <f>IFERROR(__xludf.DUMMYFUNCTION("average.weighted(filter(Data!L:L,Data!B:B=A826),filter(Data!F:F,Data!B:B=A826))"),0.11558180485115283)</f>
        <v>0.1155818049</v>
      </c>
    </row>
    <row r="827">
      <c r="A827" s="172" t="s">
        <v>1062</v>
      </c>
      <c r="B827" s="173">
        <f>countif(Data!B:B,A827)</f>
        <v>1</v>
      </c>
      <c r="C827" s="174">
        <f>sumif(Data!B:B,A827,Data!M:M)</f>
        <v>0.008200584815</v>
      </c>
      <c r="D827" s="174">
        <f t="shared" si="1"/>
        <v>0.008200584815</v>
      </c>
      <c r="E827" s="175">
        <f t="shared" si="2"/>
        <v>-0.8278488297</v>
      </c>
      <c r="F827" s="175">
        <f>IFERROR(__xludf.DUMMYFUNCTION("average.weighted(filter(Data!K:K,Data!B:B=A827),filter(Data!F:F,Data!B:B=A827))"),-0.182544103412271)</f>
        <v>-0.1825441034</v>
      </c>
      <c r="G827" s="175">
        <f>IFERROR(__xludf.DUMMYFUNCTION("average.weighted(filter(Data!L:L,Data!B:B=A827),filter(Data!F:F,Data!B:B=A827))"),-0.645304726290502)</f>
        <v>-0.6453047263</v>
      </c>
    </row>
    <row r="828">
      <c r="A828" s="172" t="s">
        <v>1063</v>
      </c>
      <c r="B828" s="173">
        <f>countif(Data!B:B,A828)</f>
        <v>2</v>
      </c>
      <c r="C828" s="174">
        <f>sumif(Data!B:B,A828,Data!M:M)</f>
        <v>0.04194920022</v>
      </c>
      <c r="D828" s="174">
        <f t="shared" si="1"/>
        <v>0.02097460011</v>
      </c>
      <c r="E828" s="175">
        <f t="shared" si="2"/>
        <v>-0.7466278803</v>
      </c>
      <c r="F828" s="175">
        <f>IFERROR(__xludf.DUMMYFUNCTION("average.weighted(filter(Data!K:K,Data!B:B=A828),filter(Data!F:F,Data!B:B=A828))"),-0.5598189393575705)</f>
        <v>-0.5598189394</v>
      </c>
      <c r="G828" s="175">
        <f>IFERROR(__xludf.DUMMYFUNCTION("average.weighted(filter(Data!L:L,Data!B:B=A828),filter(Data!F:F,Data!B:B=A828))"),-0.1868089408983336)</f>
        <v>-0.1868089409</v>
      </c>
    </row>
    <row r="829">
      <c r="A829" s="172" t="s">
        <v>1064</v>
      </c>
      <c r="B829" s="173">
        <f>countif(Data!B:B,A829)</f>
        <v>3</v>
      </c>
      <c r="C829" s="174">
        <f>sumif(Data!B:B,A829,Data!M:M)</f>
        <v>1.380516269</v>
      </c>
      <c r="D829" s="174">
        <f t="shared" si="1"/>
        <v>0.4601720895</v>
      </c>
      <c r="E829" s="175">
        <f t="shared" si="2"/>
        <v>-0.7442575762</v>
      </c>
      <c r="F829" s="175">
        <f>IFERROR(__xludf.DUMMYFUNCTION("average.weighted(filter(Data!K:K,Data!B:B=A829),filter(Data!F:F,Data!B:B=A829))"),-0.46765653394494733)</f>
        <v>-0.4676565339</v>
      </c>
      <c r="G829" s="175">
        <f>IFERROR(__xludf.DUMMYFUNCTION("average.weighted(filter(Data!L:L,Data!B:B=A829),filter(Data!F:F,Data!B:B=A829))"),-0.2766010422432714)</f>
        <v>-0.2766010422</v>
      </c>
    </row>
    <row r="830">
      <c r="A830" s="172" t="s">
        <v>1065</v>
      </c>
      <c r="B830" s="173">
        <f>countif(Data!B:B,A830)</f>
        <v>2</v>
      </c>
      <c r="C830" s="174">
        <f>sumif(Data!B:B,A830,Data!M:M)</f>
        <v>0.05197230836</v>
      </c>
      <c r="D830" s="174">
        <f t="shared" si="1"/>
        <v>0.02598615418</v>
      </c>
      <c r="E830" s="175">
        <f t="shared" si="2"/>
        <v>-0.7451835927</v>
      </c>
      <c r="F830" s="175">
        <f>IFERROR(__xludf.DUMMYFUNCTION("average.weighted(filter(Data!K:K,Data!B:B=A830),filter(Data!F:F,Data!B:B=A830))"),-0.4325857173534556)</f>
        <v>-0.4325857174</v>
      </c>
      <c r="G830" s="175">
        <f>IFERROR(__xludf.DUMMYFUNCTION("average.weighted(filter(Data!L:L,Data!B:B=A830),filter(Data!F:F,Data!B:B=A830))"),-0.312597875333747)</f>
        <v>-0.3125978753</v>
      </c>
    </row>
    <row r="831">
      <c r="A831" s="172" t="s">
        <v>1066</v>
      </c>
      <c r="B831" s="173">
        <f>countif(Data!B:B,A831)</f>
        <v>1</v>
      </c>
      <c r="C831" s="174">
        <f>sumif(Data!B:B,A831,Data!M:M)</f>
        <v>0.02893525609</v>
      </c>
      <c r="D831" s="174">
        <f t="shared" si="1"/>
        <v>0.02893525609</v>
      </c>
      <c r="E831" s="175">
        <f t="shared" si="2"/>
        <v>-0.7470420587</v>
      </c>
      <c r="F831" s="175">
        <f>IFERROR(__xludf.DUMMYFUNCTION("average.weighted(filter(Data!K:K,Data!B:B=A831),filter(Data!F:F,Data!B:B=A831))"),-0.291763612538067)</f>
        <v>-0.2917636125</v>
      </c>
      <c r="G831" s="175">
        <f>IFERROR(__xludf.DUMMYFUNCTION("average.weighted(filter(Data!L:L,Data!B:B=A831),filter(Data!F:F,Data!B:B=A831))"),-0.455278446127545)</f>
        <v>-0.4552784461</v>
      </c>
    </row>
    <row r="832">
      <c r="A832" s="172" t="s">
        <v>1067</v>
      </c>
      <c r="B832" s="173">
        <f>countif(Data!B:B,A832)</f>
        <v>4</v>
      </c>
      <c r="C832" s="174">
        <f>sumif(Data!B:B,A832,Data!M:M)</f>
        <v>6.249617068</v>
      </c>
      <c r="D832" s="174">
        <f t="shared" si="1"/>
        <v>1.562404267</v>
      </c>
      <c r="E832" s="175">
        <f t="shared" si="2"/>
        <v>-0.6841432796</v>
      </c>
      <c r="F832" s="175">
        <f>IFERROR(__xludf.DUMMYFUNCTION("average.weighted(filter(Data!K:K,Data!B:B=A832),filter(Data!F:F,Data!B:B=A832))"),-0.888805665244954)</f>
        <v>-0.8888056652</v>
      </c>
      <c r="G832" s="175">
        <f>IFERROR(__xludf.DUMMYFUNCTION("average.weighted(filter(Data!L:L,Data!B:B=A832),filter(Data!F:F,Data!B:B=A832))"),0.20466238562109804)</f>
        <v>0.2046623856</v>
      </c>
    </row>
    <row r="833">
      <c r="A833" s="172" t="s">
        <v>1068</v>
      </c>
      <c r="B833" s="173">
        <f>countif(Data!B:B,A833)</f>
        <v>2</v>
      </c>
      <c r="C833" s="174">
        <f>sumif(Data!B:B,A833,Data!M:M)</f>
        <v>1.046008608</v>
      </c>
      <c r="D833" s="174">
        <f t="shared" si="1"/>
        <v>0.523004304</v>
      </c>
      <c r="E833" s="175">
        <f t="shared" si="2"/>
        <v>-0.7965928152</v>
      </c>
      <c r="F833" s="175">
        <f>IFERROR(__xludf.DUMMYFUNCTION("average.weighted(filter(Data!K:K,Data!B:B=A833),filter(Data!F:F,Data!B:B=A833))"),-0.1294370389938186)</f>
        <v>-0.129437039</v>
      </c>
      <c r="G833" s="175">
        <f>IFERROR(__xludf.DUMMYFUNCTION("average.weighted(filter(Data!L:L,Data!B:B=A833),filter(Data!F:F,Data!B:B=A833))"),-0.6671557761903132)</f>
        <v>-0.6671557762</v>
      </c>
    </row>
    <row r="834">
      <c r="A834" s="172" t="s">
        <v>1069</v>
      </c>
      <c r="B834" s="173">
        <f>countif(Data!B:B,A834)</f>
        <v>2</v>
      </c>
      <c r="C834" s="174">
        <f>sumif(Data!B:B,A834,Data!M:M)</f>
        <v>0.03762167346</v>
      </c>
      <c r="D834" s="174">
        <f t="shared" si="1"/>
        <v>0.01881083673</v>
      </c>
      <c r="E834" s="175">
        <f t="shared" si="2"/>
        <v>-0.7443585907</v>
      </c>
      <c r="F834" s="175">
        <f>IFERROR(__xludf.DUMMYFUNCTION("average.weighted(filter(Data!K:K,Data!B:B=A834),filter(Data!F:F,Data!B:B=A834))"),-0.3057876788037866)</f>
        <v>-0.3057876788</v>
      </c>
      <c r="G834" s="175">
        <f>IFERROR(__xludf.DUMMYFUNCTION("average.weighted(filter(Data!L:L,Data!B:B=A834),filter(Data!F:F,Data!B:B=A834))"),-0.43857091190728553)</f>
        <v>-0.4385709119</v>
      </c>
    </row>
    <row r="835">
      <c r="A835" s="172" t="s">
        <v>1070</v>
      </c>
      <c r="B835" s="173">
        <f>countif(Data!B:B,A835)</f>
        <v>4</v>
      </c>
      <c r="C835" s="174">
        <f>sumif(Data!B:B,A835,Data!M:M)</f>
        <v>5.763732106</v>
      </c>
      <c r="D835" s="174">
        <f t="shared" si="1"/>
        <v>1.440933027</v>
      </c>
      <c r="E835" s="175">
        <f t="shared" si="2"/>
        <v>-0.7549931123</v>
      </c>
      <c r="F835" s="175">
        <f>IFERROR(__xludf.DUMMYFUNCTION("average.weighted(filter(Data!K:K,Data!B:B=A835),filter(Data!F:F,Data!B:B=A835))"),-1.2368023651152347)</f>
        <v>-1.236802365</v>
      </c>
      <c r="G835" s="175">
        <f>IFERROR(__xludf.DUMMYFUNCTION("average.weighted(filter(Data!L:L,Data!B:B=A835),filter(Data!F:F,Data!B:B=A835))"),0.4818092528261788)</f>
        <v>0.4818092528</v>
      </c>
    </row>
    <row r="836">
      <c r="A836" s="172" t="s">
        <v>1071</v>
      </c>
      <c r="B836" s="173">
        <f>countif(Data!B:B,A836)</f>
        <v>8</v>
      </c>
      <c r="C836" s="174">
        <f>sumif(Data!B:B,A836,Data!M:M)</f>
        <v>9.921360178</v>
      </c>
      <c r="D836" s="174">
        <f t="shared" si="1"/>
        <v>1.240170022</v>
      </c>
      <c r="E836" s="175">
        <f t="shared" si="2"/>
        <v>-0.7378439435</v>
      </c>
      <c r="F836" s="175">
        <f>IFERROR(__xludf.DUMMYFUNCTION("average.weighted(filter(Data!K:K,Data!B:B=A836),filter(Data!F:F,Data!B:B=A836))"),-1.7473160628489113)</f>
        <v>-1.747316063</v>
      </c>
      <c r="G836" s="175">
        <f>IFERROR(__xludf.DUMMYFUNCTION("average.weighted(filter(Data!L:L,Data!B:B=A836),filter(Data!F:F,Data!B:B=A836))"),1.0094721192990859)</f>
        <v>1.009472119</v>
      </c>
    </row>
    <row r="837">
      <c r="A837" s="172" t="s">
        <v>1072</v>
      </c>
      <c r="B837" s="173">
        <f>countif(Data!B:B,A837)</f>
        <v>2</v>
      </c>
      <c r="C837" s="174">
        <f>sumif(Data!B:B,A837,Data!M:M)</f>
        <v>1.018321845</v>
      </c>
      <c r="D837" s="174">
        <f t="shared" si="1"/>
        <v>0.5091609226</v>
      </c>
      <c r="E837" s="175">
        <f t="shared" si="2"/>
        <v>-0.6878000951</v>
      </c>
      <c r="F837" s="175">
        <f>IFERROR(__xludf.DUMMYFUNCTION("average.weighted(filter(Data!K:K,Data!B:B=A837),filter(Data!F:F,Data!B:B=A837))"),-2.0862269953910837)</f>
        <v>-2.086226995</v>
      </c>
      <c r="G837" s="175">
        <f>IFERROR(__xludf.DUMMYFUNCTION("average.weighted(filter(Data!L:L,Data!B:B=A837),filter(Data!F:F,Data!B:B=A837))"),1.398426900251261)</f>
        <v>1.3984269</v>
      </c>
    </row>
    <row r="838">
      <c r="A838" s="172" t="s">
        <v>1073</v>
      </c>
      <c r="B838" s="173">
        <f>countif(Data!B:B,A838)</f>
        <v>1</v>
      </c>
      <c r="C838" s="174">
        <f>sumif(Data!B:B,A838,Data!M:M)</f>
        <v>0.02595732593</v>
      </c>
      <c r="D838" s="174">
        <f t="shared" si="1"/>
        <v>0.02595732593</v>
      </c>
      <c r="E838" s="175">
        <f t="shared" si="2"/>
        <v>-0.7584519526</v>
      </c>
      <c r="F838" s="175">
        <f>IFERROR(__xludf.DUMMYFUNCTION("average.weighted(filter(Data!K:K,Data!B:B=A838),filter(Data!F:F,Data!B:B=A838))"),-0.842905211574263)</f>
        <v>-0.8429052116</v>
      </c>
      <c r="G838" s="175">
        <f>IFERROR(__xludf.DUMMYFUNCTION("average.weighted(filter(Data!L:L,Data!B:B=A838),filter(Data!F:F,Data!B:B=A838))"),0.084453258989901)</f>
        <v>0.08445325899</v>
      </c>
    </row>
    <row r="839">
      <c r="A839" s="172" t="s">
        <v>1074</v>
      </c>
      <c r="B839" s="173">
        <f>countif(Data!B:B,A839)</f>
        <v>4</v>
      </c>
      <c r="C839" s="174">
        <f>sumif(Data!B:B,A839,Data!M:M)</f>
        <v>3.517785754</v>
      </c>
      <c r="D839" s="174">
        <f t="shared" si="1"/>
        <v>0.8794464384</v>
      </c>
      <c r="E839" s="175">
        <f t="shared" si="2"/>
        <v>-0.7586424484</v>
      </c>
      <c r="F839" s="175">
        <f>IFERROR(__xludf.DUMMYFUNCTION("average.weighted(filter(Data!K:K,Data!B:B=A839),filter(Data!F:F,Data!B:B=A839))"),-0.12319428230713309)</f>
        <v>-0.1231942823</v>
      </c>
      <c r="G839" s="175">
        <f>IFERROR(__xludf.DUMMYFUNCTION("average.weighted(filter(Data!L:L,Data!B:B=A839),filter(Data!F:F,Data!B:B=A839))"),-0.6354481660653584)</f>
        <v>-0.6354481661</v>
      </c>
    </row>
    <row r="840">
      <c r="A840" s="172" t="s">
        <v>1075</v>
      </c>
      <c r="B840" s="173">
        <f>countif(Data!B:B,A840)</f>
        <v>1</v>
      </c>
      <c r="C840" s="174">
        <f>sumif(Data!B:B,A840,Data!M:M)</f>
        <v>0.0290688653</v>
      </c>
      <c r="D840" s="174">
        <f t="shared" si="1"/>
        <v>0.0290688653</v>
      </c>
      <c r="E840" s="175">
        <f t="shared" si="2"/>
        <v>-0.7602380534</v>
      </c>
      <c r="F840" s="175">
        <f>IFERROR(__xludf.DUMMYFUNCTION("average.weighted(filter(Data!K:K,Data!B:B=A840),filter(Data!F:F,Data!B:B=A840))"),-0.294834011070563)</f>
        <v>-0.2948340111</v>
      </c>
      <c r="G840" s="175">
        <f>IFERROR(__xludf.DUMMYFUNCTION("average.weighted(filter(Data!L:L,Data!B:B=A840),filter(Data!F:F,Data!B:B=A840))"),-0.465404042348331)</f>
        <v>-0.4654040423</v>
      </c>
    </row>
    <row r="841">
      <c r="A841" s="172" t="s">
        <v>1076</v>
      </c>
      <c r="B841" s="173">
        <f>countif(Data!B:B,A841)</f>
        <v>1</v>
      </c>
      <c r="C841" s="174">
        <f>sumif(Data!B:B,A841,Data!M:M)</f>
        <v>0.2036170707</v>
      </c>
      <c r="D841" s="174">
        <f t="shared" si="1"/>
        <v>0.2036170707</v>
      </c>
      <c r="E841" s="175">
        <f t="shared" si="2"/>
        <v>-0.7609899382</v>
      </c>
      <c r="F841" s="175">
        <f>IFERROR(__xludf.DUMMYFUNCTION("average.weighted(filter(Data!K:K,Data!B:B=A841),filter(Data!F:F,Data!B:B=A841))"),0.192435887894294)</f>
        <v>0.1924358879</v>
      </c>
      <c r="G841" s="175">
        <f>IFERROR(__xludf.DUMMYFUNCTION("average.weighted(filter(Data!L:L,Data!B:B=A841),filter(Data!F:F,Data!B:B=A841))"),-0.95342582608878)</f>
        <v>-0.9534258261</v>
      </c>
    </row>
    <row r="842">
      <c r="A842" s="172" t="s">
        <v>1077</v>
      </c>
      <c r="B842" s="173">
        <f>countif(Data!B:B,A842)</f>
        <v>1</v>
      </c>
      <c r="C842" s="174">
        <f>sumif(Data!B:B,A842,Data!M:M)</f>
        <v>0.051799279</v>
      </c>
      <c r="D842" s="174">
        <f t="shared" si="1"/>
        <v>0.051799279</v>
      </c>
      <c r="E842" s="175">
        <f t="shared" si="2"/>
        <v>-0.761503504</v>
      </c>
      <c r="F842" s="175">
        <f>IFERROR(__xludf.DUMMYFUNCTION("average.weighted(filter(Data!K:K,Data!B:B=A842),filter(Data!F:F,Data!B:B=A842))"),-0.205932842565302)</f>
        <v>-0.2059328426</v>
      </c>
      <c r="G842" s="175">
        <f>IFERROR(__xludf.DUMMYFUNCTION("average.weighted(filter(Data!L:L,Data!B:B=A842),filter(Data!F:F,Data!B:B=A842))"),-0.555570661475435)</f>
        <v>-0.5555706615</v>
      </c>
    </row>
    <row r="843">
      <c r="A843" s="172" t="s">
        <v>1078</v>
      </c>
      <c r="B843" s="173">
        <f>countif(Data!B:B,A843)</f>
        <v>2</v>
      </c>
      <c r="C843" s="174">
        <f>sumif(Data!B:B,A843,Data!M:M)</f>
        <v>0.9176655257</v>
      </c>
      <c r="D843" s="174">
        <f t="shared" si="1"/>
        <v>0.4588327629</v>
      </c>
      <c r="E843" s="175">
        <f t="shared" si="2"/>
        <v>-0.7643104606</v>
      </c>
      <c r="F843" s="175">
        <f>IFERROR(__xludf.DUMMYFUNCTION("average.weighted(filter(Data!K:K,Data!B:B=A843),filter(Data!F:F,Data!B:B=A843))"),-0.977179337638325)</f>
        <v>-0.9771793376</v>
      </c>
      <c r="G843" s="175">
        <f>IFERROR(__xludf.DUMMYFUNCTION("average.weighted(filter(Data!L:L,Data!B:B=A843),filter(Data!F:F,Data!B:B=A843))"),0.21286887707695026)</f>
        <v>0.2128688771</v>
      </c>
    </row>
    <row r="844">
      <c r="A844" s="172" t="s">
        <v>1079</v>
      </c>
      <c r="B844" s="173">
        <f>countif(Data!B:B,A844)</f>
        <v>1</v>
      </c>
      <c r="C844" s="174">
        <f>sumif(Data!B:B,A844,Data!M:M)</f>
        <v>0.02296822829</v>
      </c>
      <c r="D844" s="174">
        <f t="shared" si="1"/>
        <v>0.02296822829</v>
      </c>
      <c r="E844" s="175">
        <f t="shared" si="2"/>
        <v>-0.4588257125</v>
      </c>
      <c r="F844" s="175">
        <f>IFERROR(__xludf.DUMMYFUNCTION("average.weighted(filter(Data!K:K,Data!B:B=A844),filter(Data!F:F,Data!B:B=A844))"),-0.187611757642974)</f>
        <v>-0.1876117576</v>
      </c>
      <c r="G844" s="175">
        <f>IFERROR(__xludf.DUMMYFUNCTION("average.weighted(filter(Data!L:L,Data!B:B=A844),filter(Data!F:F,Data!B:B=A844))"),-0.271213954856175)</f>
        <v>-0.2712139549</v>
      </c>
    </row>
    <row r="845">
      <c r="A845" s="172" t="s">
        <v>1080</v>
      </c>
      <c r="B845" s="173">
        <f>countif(Data!B:B,A845)</f>
        <v>2</v>
      </c>
      <c r="C845" s="174">
        <f>sumif(Data!B:B,A845,Data!M:M)</f>
        <v>0.1245839204</v>
      </c>
      <c r="D845" s="174">
        <f t="shared" si="1"/>
        <v>0.06229196021</v>
      </c>
      <c r="E845" s="175">
        <f t="shared" si="2"/>
        <v>-0.8710663255</v>
      </c>
      <c r="F845" s="175">
        <f>IFERROR(__xludf.DUMMYFUNCTION("average.weighted(filter(Data!K:K,Data!B:B=A845),filter(Data!F:F,Data!B:B=A845))"),-0.31253619747115413)</f>
        <v>-0.3125361975</v>
      </c>
      <c r="G845" s="175">
        <f>IFERROR(__xludf.DUMMYFUNCTION("average.weighted(filter(Data!L:L,Data!B:B=A845),filter(Data!F:F,Data!B:B=A845))"),-0.5585301280009713)</f>
        <v>-0.558530128</v>
      </c>
    </row>
    <row r="846">
      <c r="A846" s="172" t="s">
        <v>1081</v>
      </c>
      <c r="B846" s="173">
        <f>countif(Data!B:B,A846)</f>
        <v>5</v>
      </c>
      <c r="C846" s="174">
        <f>sumif(Data!B:B,A846,Data!M:M)</f>
        <v>8.609378317</v>
      </c>
      <c r="D846" s="174">
        <f t="shared" si="1"/>
        <v>1.721875663</v>
      </c>
      <c r="E846" s="175">
        <f t="shared" si="2"/>
        <v>-0.7552955809</v>
      </c>
      <c r="F846" s="175">
        <f>IFERROR(__xludf.DUMMYFUNCTION("average.weighted(filter(Data!K:K,Data!B:B=A846),filter(Data!F:F,Data!B:B=A846))"),-0.2789504162503958)</f>
        <v>-0.2789504163</v>
      </c>
      <c r="G846" s="175">
        <f>IFERROR(__xludf.DUMMYFUNCTION("average.weighted(filter(Data!L:L,Data!B:B=A846),filter(Data!F:F,Data!B:B=A846))"),-0.47634516461311094)</f>
        <v>-0.4763451646</v>
      </c>
    </row>
    <row r="847">
      <c r="A847" s="172" t="s">
        <v>1082</v>
      </c>
      <c r="B847" s="173">
        <f>countif(Data!B:B,A847)</f>
        <v>1</v>
      </c>
      <c r="C847" s="174">
        <f>sumif(Data!B:B,A847,Data!M:M)</f>
        <v>0.0136688563</v>
      </c>
      <c r="D847" s="174">
        <f t="shared" si="1"/>
        <v>0.0136688563</v>
      </c>
      <c r="E847" s="175">
        <f t="shared" si="2"/>
        <v>-0.7705352356</v>
      </c>
      <c r="F847" s="175">
        <f>IFERROR(__xludf.DUMMYFUNCTION("average.weighted(filter(Data!K:K,Data!B:B=A847),filter(Data!F:F,Data!B:B=A847))"),-0.495109157955969)</f>
        <v>-0.495109158</v>
      </c>
      <c r="G847" s="175">
        <f>IFERROR(__xludf.DUMMYFUNCTION("average.weighted(filter(Data!L:L,Data!B:B=A847),filter(Data!F:F,Data!B:B=A847))"),-0.275426077658643)</f>
        <v>-0.2754260777</v>
      </c>
    </row>
    <row r="848">
      <c r="A848" s="172" t="s">
        <v>1083</v>
      </c>
      <c r="B848" s="173">
        <f>countif(Data!B:B,A848)</f>
        <v>2</v>
      </c>
      <c r="C848" s="174">
        <f>sumif(Data!B:B,A848,Data!M:M)</f>
        <v>0.2704177834</v>
      </c>
      <c r="D848" s="174">
        <f t="shared" si="1"/>
        <v>0.1352088917</v>
      </c>
      <c r="E848" s="175">
        <f t="shared" si="2"/>
        <v>-0.7415565021</v>
      </c>
      <c r="F848" s="175">
        <f>IFERROR(__xludf.DUMMYFUNCTION("average.weighted(filter(Data!K:K,Data!B:B=A848),filter(Data!F:F,Data!B:B=A848))"),-2.3311833591481665)</f>
        <v>-2.331183359</v>
      </c>
      <c r="G848" s="175">
        <f>IFERROR(__xludf.DUMMYFUNCTION("average.weighted(filter(Data!L:L,Data!B:B=A848),filter(Data!F:F,Data!B:B=A848))"),1.5896268570276928)</f>
        <v>1.589626857</v>
      </c>
    </row>
    <row r="849">
      <c r="A849" s="172" t="s">
        <v>1084</v>
      </c>
      <c r="B849" s="173">
        <f>countif(Data!B:B,A849)</f>
        <v>7</v>
      </c>
      <c r="C849" s="174">
        <f>sumif(Data!B:B,A849,Data!M:M)</f>
        <v>18.25377699</v>
      </c>
      <c r="D849" s="174">
        <f t="shared" si="1"/>
        <v>2.607682428</v>
      </c>
      <c r="E849" s="175">
        <f t="shared" si="2"/>
        <v>-0.7196737146</v>
      </c>
      <c r="F849" s="175">
        <f>IFERROR(__xludf.DUMMYFUNCTION("average.weighted(filter(Data!K:K,Data!B:B=A849),filter(Data!F:F,Data!B:B=A849))"),0.5510467761789629)</f>
        <v>0.5510467762</v>
      </c>
      <c r="G849" s="175">
        <f>IFERROR(__xludf.DUMMYFUNCTION("average.weighted(filter(Data!L:L,Data!B:B=A849),filter(Data!F:F,Data!B:B=A849))"),-1.270720490746561)</f>
        <v>-1.270720491</v>
      </c>
    </row>
    <row r="850">
      <c r="A850" s="172" t="s">
        <v>1085</v>
      </c>
      <c r="B850" s="173">
        <f>countif(Data!B:B,A850)</f>
        <v>4</v>
      </c>
      <c r="C850" s="174">
        <f>sumif(Data!B:B,A850,Data!M:M)</f>
        <v>7.112392864</v>
      </c>
      <c r="D850" s="174">
        <f t="shared" si="1"/>
        <v>1.778098216</v>
      </c>
      <c r="E850" s="175">
        <f t="shared" si="2"/>
        <v>-0.7721439792</v>
      </c>
      <c r="F850" s="175">
        <f>IFERROR(__xludf.DUMMYFUNCTION("average.weighted(filter(Data!K:K,Data!B:B=A850),filter(Data!F:F,Data!B:B=A850))"),-2.6164613682474007)</f>
        <v>-2.616461368</v>
      </c>
      <c r="G850" s="175">
        <f>IFERROR(__xludf.DUMMYFUNCTION("average.weighted(filter(Data!L:L,Data!B:B=A850),filter(Data!F:F,Data!B:B=A850))"),1.8443173890192348)</f>
        <v>1.844317389</v>
      </c>
    </row>
    <row r="851">
      <c r="A851" s="172" t="s">
        <v>1086</v>
      </c>
      <c r="B851" s="173">
        <f>countif(Data!B:B,A851)</f>
        <v>1</v>
      </c>
      <c r="C851" s="174">
        <f>sumif(Data!B:B,A851,Data!M:M)</f>
        <v>0.02683920711</v>
      </c>
      <c r="D851" s="174">
        <f t="shared" si="1"/>
        <v>0.02683920711</v>
      </c>
      <c r="E851" s="175">
        <f t="shared" si="2"/>
        <v>-0.5549521281</v>
      </c>
      <c r="F851" s="175">
        <f>IFERROR(__xludf.DUMMYFUNCTION("average.weighted(filter(Data!K:K,Data!B:B=A851),filter(Data!F:F,Data!B:B=A851))"),-0.4099069419924)</f>
        <v>-0.409906942</v>
      </c>
      <c r="G851" s="175">
        <f>IFERROR(__xludf.DUMMYFUNCTION("average.weighted(filter(Data!L:L,Data!B:B=A851),filter(Data!F:F,Data!B:B=A851))"),-0.145045186128566)</f>
        <v>-0.1450451861</v>
      </c>
    </row>
    <row r="852">
      <c r="A852" s="172" t="s">
        <v>1087</v>
      </c>
      <c r="B852" s="173">
        <f>countif(Data!B:B,A852)</f>
        <v>2</v>
      </c>
      <c r="C852" s="174">
        <f>sumif(Data!B:B,A852,Data!M:M)</f>
        <v>0.07483338336</v>
      </c>
      <c r="D852" s="174">
        <f t="shared" si="1"/>
        <v>0.03741669168</v>
      </c>
      <c r="E852" s="175">
        <f t="shared" si="2"/>
        <v>-1.097469617</v>
      </c>
      <c r="F852" s="175">
        <f>IFERROR(__xludf.DUMMYFUNCTION("average.weighted(filter(Data!K:K,Data!B:B=A852),filter(Data!F:F,Data!B:B=A852))"),-0.5220337514030085)</f>
        <v>-0.5220337514</v>
      </c>
      <c r="G852" s="175">
        <f>IFERROR(__xludf.DUMMYFUNCTION("average.weighted(filter(Data!L:L,Data!B:B=A852),filter(Data!F:F,Data!B:B=A852))"),-0.5754358652447527)</f>
        <v>-0.5754358652</v>
      </c>
    </row>
    <row r="853">
      <c r="A853" s="172" t="s">
        <v>1088</v>
      </c>
      <c r="B853" s="173">
        <f>countif(Data!B:B,A853)</f>
        <v>7</v>
      </c>
      <c r="C853" s="174">
        <f>sumif(Data!B:B,A853,Data!M:M)</f>
        <v>4.953255</v>
      </c>
      <c r="D853" s="174">
        <f t="shared" si="1"/>
        <v>0.7076078572</v>
      </c>
      <c r="E853" s="175">
        <f t="shared" si="2"/>
        <v>-0.7739089905</v>
      </c>
      <c r="F853" s="175">
        <f>IFERROR(__xludf.DUMMYFUNCTION("average.weighted(filter(Data!K:K,Data!B:B=A853),filter(Data!F:F,Data!B:B=A853))"),-0.5032777167750175)</f>
        <v>-0.5032777168</v>
      </c>
      <c r="G853" s="175">
        <f>IFERROR(__xludf.DUMMYFUNCTION("average.weighted(filter(Data!L:L,Data!B:B=A853),filter(Data!F:F,Data!B:B=A853))"),-0.2706312737393131)</f>
        <v>-0.2706312737</v>
      </c>
    </row>
    <row r="854">
      <c r="A854" s="172" t="s">
        <v>1089</v>
      </c>
      <c r="B854" s="173">
        <f>countif(Data!B:B,A854)</f>
        <v>2</v>
      </c>
      <c r="C854" s="174">
        <f>sumif(Data!B:B,A854,Data!M:M)</f>
        <v>0.4306942771</v>
      </c>
      <c r="D854" s="174">
        <f t="shared" si="1"/>
        <v>0.2153471385</v>
      </c>
      <c r="E854" s="175">
        <f t="shared" si="2"/>
        <v>-0.7767580416</v>
      </c>
      <c r="F854" s="175">
        <f>IFERROR(__xludf.DUMMYFUNCTION("average.weighted(filter(Data!K:K,Data!B:B=A854),filter(Data!F:F,Data!B:B=A854))"),0.11015103121951943)</f>
        <v>0.1101510312</v>
      </c>
      <c r="G854" s="175">
        <f>IFERROR(__xludf.DUMMYFUNCTION("average.weighted(filter(Data!L:L,Data!B:B=A854),filter(Data!F:F,Data!B:B=A854))"),-0.8869090728223766)</f>
        <v>-0.8869090728</v>
      </c>
    </row>
    <row r="855">
      <c r="A855" s="172" t="s">
        <v>1090</v>
      </c>
      <c r="B855" s="173">
        <f>countif(Data!B:B,A855)</f>
        <v>5</v>
      </c>
      <c r="C855" s="174">
        <f>sumif(Data!B:B,A855,Data!M:M)</f>
        <v>7.819328637</v>
      </c>
      <c r="D855" s="174">
        <f t="shared" si="1"/>
        <v>1.563865727</v>
      </c>
      <c r="E855" s="175">
        <f t="shared" si="2"/>
        <v>-0.7768399026</v>
      </c>
      <c r="F855" s="175">
        <f>IFERROR(__xludf.DUMMYFUNCTION("average.weighted(filter(Data!K:K,Data!B:B=A855),filter(Data!F:F,Data!B:B=A855))"),-0.927022956967893)</f>
        <v>-0.927022957</v>
      </c>
      <c r="G855" s="175">
        <f>IFERROR(__xludf.DUMMYFUNCTION("average.weighted(filter(Data!L:L,Data!B:B=A855),filter(Data!F:F,Data!B:B=A855))"),0.15018305437270585)</f>
        <v>0.1501830544</v>
      </c>
    </row>
    <row r="856">
      <c r="A856" s="172" t="s">
        <v>1091</v>
      </c>
      <c r="B856" s="173">
        <f>countif(Data!B:B,A856)</f>
        <v>1</v>
      </c>
      <c r="C856" s="174">
        <f>sumif(Data!B:B,A856,Data!M:M)</f>
        <v>0.06670102157</v>
      </c>
      <c r="D856" s="174">
        <f t="shared" si="1"/>
        <v>0.06670102157</v>
      </c>
      <c r="E856" s="175">
        <f t="shared" si="2"/>
        <v>-0.7774260431</v>
      </c>
      <c r="F856" s="175">
        <f>IFERROR(__xludf.DUMMYFUNCTION("average.weighted(filter(Data!K:K,Data!B:B=A856),filter(Data!F:F,Data!B:B=A856))"),-0.320784614677898)</f>
        <v>-0.3207846147</v>
      </c>
      <c r="G856" s="175">
        <f>IFERROR(__xludf.DUMMYFUNCTION("average.weighted(filter(Data!L:L,Data!B:B=A856),filter(Data!F:F,Data!B:B=A856))"),-0.456641428408298)</f>
        <v>-0.4566414284</v>
      </c>
    </row>
    <row r="857">
      <c r="A857" s="172" t="s">
        <v>1092</v>
      </c>
      <c r="B857" s="173">
        <f>countif(Data!B:B,A857)</f>
        <v>5</v>
      </c>
      <c r="C857" s="174">
        <f>sumif(Data!B:B,A857,Data!M:M)</f>
        <v>10.22185062</v>
      </c>
      <c r="D857" s="174">
        <f t="shared" si="1"/>
        <v>2.044370123</v>
      </c>
      <c r="E857" s="175">
        <f t="shared" si="2"/>
        <v>-0.6368311541</v>
      </c>
      <c r="F857" s="175">
        <f>IFERROR(__xludf.DUMMYFUNCTION("average.weighted(filter(Data!K:K,Data!B:B=A857),filter(Data!F:F,Data!B:B=A857))"),0.03222258623570512)</f>
        <v>0.03222258624</v>
      </c>
      <c r="G857" s="175">
        <f>IFERROR(__xludf.DUMMYFUNCTION("average.weighted(filter(Data!L:L,Data!B:B=A857),filter(Data!F:F,Data!B:B=A857))"),-0.6690537403414392)</f>
        <v>-0.6690537403</v>
      </c>
    </row>
    <row r="858">
      <c r="A858" s="172" t="s">
        <v>1093</v>
      </c>
      <c r="B858" s="173">
        <f>countif(Data!B:B,A858)</f>
        <v>3</v>
      </c>
      <c r="C858" s="174">
        <f>sumif(Data!B:B,A858,Data!M:M)</f>
        <v>1.047971339</v>
      </c>
      <c r="D858" s="174">
        <f t="shared" si="1"/>
        <v>0.3493237796</v>
      </c>
      <c r="E858" s="175">
        <f t="shared" si="2"/>
        <v>-0.7819458659</v>
      </c>
      <c r="F858" s="175">
        <f>IFERROR(__xludf.DUMMYFUNCTION("average.weighted(filter(Data!K:K,Data!B:B=A858),filter(Data!F:F,Data!B:B=A858))"),-1.8097007909149991)</f>
        <v>-1.809700791</v>
      </c>
      <c r="G858" s="175">
        <f>IFERROR(__xludf.DUMMYFUNCTION("average.weighted(filter(Data!L:L,Data!B:B=A858),filter(Data!F:F,Data!B:B=A858))"),1.027754925059588)</f>
        <v>1.027754925</v>
      </c>
    </row>
    <row r="859">
      <c r="A859" s="172" t="s">
        <v>1094</v>
      </c>
      <c r="B859" s="173">
        <f>countif(Data!B:B,A859)</f>
        <v>1</v>
      </c>
      <c r="C859" s="174">
        <f>sumif(Data!B:B,A859,Data!M:M)</f>
        <v>0.004260183464</v>
      </c>
      <c r="D859" s="174">
        <f t="shared" si="1"/>
        <v>0.004260183464</v>
      </c>
      <c r="E859" s="175">
        <f t="shared" si="2"/>
        <v>-0.8404271674</v>
      </c>
      <c r="F859" s="175">
        <f>IFERROR(__xludf.DUMMYFUNCTION("average.weighted(filter(Data!K:K,Data!B:B=A859),filter(Data!F:F,Data!B:B=A859))"),-0.453700729307786)</f>
        <v>-0.4537007293</v>
      </c>
      <c r="G859" s="175">
        <f>IFERROR(__xludf.DUMMYFUNCTION("average.weighted(filter(Data!L:L,Data!B:B=A859),filter(Data!F:F,Data!B:B=A859))"),-0.386726438132306)</f>
        <v>-0.3867264381</v>
      </c>
    </row>
    <row r="860">
      <c r="A860" s="172" t="s">
        <v>1095</v>
      </c>
      <c r="B860" s="173">
        <f>countif(Data!B:B,A860)</f>
        <v>3</v>
      </c>
      <c r="C860" s="174">
        <f>sumif(Data!B:B,A860,Data!M:M)</f>
        <v>0.04921523555</v>
      </c>
      <c r="D860" s="174">
        <f t="shared" si="1"/>
        <v>0.01640507852</v>
      </c>
      <c r="E860" s="175">
        <f t="shared" si="2"/>
        <v>-0.7846374417</v>
      </c>
      <c r="F860" s="175">
        <f>IFERROR(__xludf.DUMMYFUNCTION("average.weighted(filter(Data!K:K,Data!B:B=A860),filter(Data!F:F,Data!B:B=A860))"),-0.21104934023772098)</f>
        <v>-0.2110493402</v>
      </c>
      <c r="G860" s="175">
        <f>IFERROR(__xludf.DUMMYFUNCTION("average.weighted(filter(Data!L:L,Data!B:B=A860),filter(Data!F:F,Data!B:B=A860))"),-0.5735881014829153)</f>
        <v>-0.5735881015</v>
      </c>
    </row>
    <row r="861">
      <c r="A861" s="172" t="s">
        <v>1096</v>
      </c>
      <c r="B861" s="173">
        <f>countif(Data!B:B,A861)</f>
        <v>4</v>
      </c>
      <c r="C861" s="174">
        <f>sumif(Data!B:B,A861,Data!M:M)</f>
        <v>3.364486637</v>
      </c>
      <c r="D861" s="174">
        <f t="shared" si="1"/>
        <v>0.8411216593</v>
      </c>
      <c r="E861" s="175">
        <f t="shared" si="2"/>
        <v>-0.7852000688</v>
      </c>
      <c r="F861" s="175">
        <f>IFERROR(__xludf.DUMMYFUNCTION("average.weighted(filter(Data!K:K,Data!B:B=A861),filter(Data!F:F,Data!B:B=A861))"),-1.518715970058312)</f>
        <v>-1.51871597</v>
      </c>
      <c r="G861" s="175">
        <f>IFERROR(__xludf.DUMMYFUNCTION("average.weighted(filter(Data!L:L,Data!B:B=A861),filter(Data!F:F,Data!B:B=A861))"),0.7335159012611775)</f>
        <v>0.7335159013</v>
      </c>
    </row>
    <row r="862">
      <c r="A862" s="172" t="s">
        <v>1097</v>
      </c>
      <c r="B862" s="173">
        <f>countif(Data!B:B,A862)</f>
        <v>5</v>
      </c>
      <c r="C862" s="174">
        <f>sumif(Data!B:B,A862,Data!M:M)</f>
        <v>1.199140343</v>
      </c>
      <c r="D862" s="174">
        <f t="shared" si="1"/>
        <v>0.2398280687</v>
      </c>
      <c r="E862" s="175">
        <f t="shared" si="2"/>
        <v>-0.7858874592</v>
      </c>
      <c r="F862" s="175">
        <f>IFERROR(__xludf.DUMMYFUNCTION("average.weighted(filter(Data!K:K,Data!B:B=A862),filter(Data!F:F,Data!B:B=A862))"),-0.7199210077824466)</f>
        <v>-0.7199210078</v>
      </c>
      <c r="G862" s="175">
        <f>IFERROR(__xludf.DUMMYFUNCTION("average.weighted(filter(Data!L:L,Data!B:B=A862),filter(Data!F:F,Data!B:B=A862))"),-0.06596645144088163)</f>
        <v>-0.06596645144</v>
      </c>
    </row>
    <row r="863">
      <c r="A863" s="172" t="s">
        <v>1098</v>
      </c>
      <c r="B863" s="173">
        <f>countif(Data!B:B,A863)</f>
        <v>6</v>
      </c>
      <c r="C863" s="174">
        <f>sumif(Data!B:B,A863,Data!M:M)</f>
        <v>9.660342811</v>
      </c>
      <c r="D863" s="174">
        <f t="shared" si="1"/>
        <v>1.610057135</v>
      </c>
      <c r="E863" s="175">
        <f t="shared" si="2"/>
        <v>-0.747958565</v>
      </c>
      <c r="F863" s="175">
        <f>IFERROR(__xludf.DUMMYFUNCTION("average.weighted(filter(Data!K:K,Data!B:B=A863),filter(Data!F:F,Data!B:B=A863))"),-0.501511453976431)</f>
        <v>-0.501511454</v>
      </c>
      <c r="G863" s="175">
        <f>IFERROR(__xludf.DUMMYFUNCTION("average.weighted(filter(Data!L:L,Data!B:B=A863),filter(Data!F:F,Data!B:B=A863))"),-0.24644711099742714)</f>
        <v>-0.246447111</v>
      </c>
    </row>
    <row r="864">
      <c r="A864" s="172" t="s">
        <v>1099</v>
      </c>
      <c r="B864" s="173">
        <f>countif(Data!B:B,A864)</f>
        <v>7</v>
      </c>
      <c r="C864" s="174">
        <f>sumif(Data!B:B,A864,Data!M:M)</f>
        <v>8.858533779</v>
      </c>
      <c r="D864" s="174">
        <f t="shared" si="1"/>
        <v>1.265504826</v>
      </c>
      <c r="E864" s="175">
        <f t="shared" si="2"/>
        <v>-0.7908396633</v>
      </c>
      <c r="F864" s="175">
        <f>IFERROR(__xludf.DUMMYFUNCTION("average.weighted(filter(Data!K:K,Data!B:B=A864),filter(Data!F:F,Data!B:B=A864))"),-0.8467381815826642)</f>
        <v>-0.8467381816</v>
      </c>
      <c r="G864" s="175">
        <f>IFERROR(__xludf.DUMMYFUNCTION("average.weighted(filter(Data!L:L,Data!B:B=A864),filter(Data!F:F,Data!B:B=A864))"),0.05589851824663129)</f>
        <v>0.05589851825</v>
      </c>
    </row>
    <row r="865">
      <c r="A865" s="172" t="s">
        <v>1100</v>
      </c>
      <c r="B865" s="173">
        <f>countif(Data!B:B,A865)</f>
        <v>1</v>
      </c>
      <c r="C865" s="174">
        <f>sumif(Data!B:B,A865,Data!M:M)</f>
        <v>0.0514911622</v>
      </c>
      <c r="D865" s="174">
        <f t="shared" si="1"/>
        <v>0.0514911622</v>
      </c>
      <c r="E865" s="175">
        <f t="shared" si="2"/>
        <v>-0.7911071611</v>
      </c>
      <c r="F865" s="175">
        <f>IFERROR(__xludf.DUMMYFUNCTION("average.weighted(filter(Data!K:K,Data!B:B=A865),filter(Data!F:F,Data!B:B=A865))"),-0.635054697490116)</f>
        <v>-0.6350546975</v>
      </c>
      <c r="G865" s="175">
        <f>IFERROR(__xludf.DUMMYFUNCTION("average.weighted(filter(Data!L:L,Data!B:B=A865),filter(Data!F:F,Data!B:B=A865))"),-0.156052463575854)</f>
        <v>-0.1560524636</v>
      </c>
    </row>
    <row r="866">
      <c r="A866" s="172" t="s">
        <v>1101</v>
      </c>
      <c r="B866" s="173">
        <f>countif(Data!B:B,A866)</f>
        <v>1</v>
      </c>
      <c r="C866" s="174">
        <f>sumif(Data!B:B,A866,Data!M:M)</f>
        <v>0.01583845471</v>
      </c>
      <c r="D866" s="174">
        <f t="shared" si="1"/>
        <v>0.01583845471</v>
      </c>
      <c r="E866" s="175">
        <f t="shared" si="2"/>
        <v>-0.7926307808</v>
      </c>
      <c r="F866" s="175">
        <f>IFERROR(__xludf.DUMMYFUNCTION("average.weighted(filter(Data!K:K,Data!B:B=A866),filter(Data!F:F,Data!B:B=A866))"),-0.0680462086398512)</f>
        <v>-0.06804620864</v>
      </c>
      <c r="G866" s="175">
        <f>IFERROR(__xludf.DUMMYFUNCTION("average.weighted(filter(Data!L:L,Data!B:B=A866),filter(Data!F:F,Data!B:B=A866))"),-0.724584572166808)</f>
        <v>-0.7245845722</v>
      </c>
    </row>
    <row r="867">
      <c r="A867" s="172" t="s">
        <v>1102</v>
      </c>
      <c r="B867" s="173">
        <f>countif(Data!B:B,A867)</f>
        <v>2</v>
      </c>
      <c r="C867" s="174">
        <f>sumif(Data!B:B,A867,Data!M:M)</f>
        <v>0.1672697173</v>
      </c>
      <c r="D867" s="174">
        <f t="shared" si="1"/>
        <v>0.08363485866</v>
      </c>
      <c r="E867" s="175">
        <f t="shared" si="2"/>
        <v>-0.7945055057</v>
      </c>
      <c r="F867" s="175">
        <f>IFERROR(__xludf.DUMMYFUNCTION("average.weighted(filter(Data!K:K,Data!B:B=A867),filter(Data!F:F,Data!B:B=A867))"),-0.6396094104952917)</f>
        <v>-0.6396094105</v>
      </c>
      <c r="G867" s="175">
        <f>IFERROR(__xludf.DUMMYFUNCTION("average.weighted(filter(Data!L:L,Data!B:B=A867),filter(Data!F:F,Data!B:B=A867))"),-0.15489609523463319)</f>
        <v>-0.1548960952</v>
      </c>
    </row>
    <row r="868">
      <c r="A868" s="172" t="s">
        <v>1103</v>
      </c>
      <c r="B868" s="173">
        <f>countif(Data!B:B,A868)</f>
        <v>1</v>
      </c>
      <c r="C868" s="174">
        <f>sumif(Data!B:B,A868,Data!M:M)</f>
        <v>0.04999847081</v>
      </c>
      <c r="D868" s="174">
        <f t="shared" si="1"/>
        <v>0.04999847081</v>
      </c>
      <c r="E868" s="175">
        <f t="shared" si="2"/>
        <v>-0.7954744993</v>
      </c>
      <c r="F868" s="175">
        <f>IFERROR(__xludf.DUMMYFUNCTION("average.weighted(filter(Data!K:K,Data!B:B=A868),filter(Data!F:F,Data!B:B=A868))"),-0.119433001122149)</f>
        <v>-0.1194330011</v>
      </c>
      <c r="G868" s="175">
        <f>IFERROR(__xludf.DUMMYFUNCTION("average.weighted(filter(Data!L:L,Data!B:B=A868),filter(Data!F:F,Data!B:B=A868))"),-0.676041498193007)</f>
        <v>-0.6760414982</v>
      </c>
    </row>
    <row r="869">
      <c r="A869" s="172" t="s">
        <v>1104</v>
      </c>
      <c r="B869" s="173">
        <f>countif(Data!B:B,A869)</f>
        <v>1</v>
      </c>
      <c r="C869" s="174">
        <f>sumif(Data!B:B,A869,Data!M:M)</f>
        <v>0.006118611361</v>
      </c>
      <c r="D869" s="174">
        <f t="shared" si="1"/>
        <v>0.006118611361</v>
      </c>
      <c r="E869" s="175">
        <f t="shared" si="2"/>
        <v>-0.7955305206</v>
      </c>
      <c r="F869" s="175">
        <f>IFERROR(__xludf.DUMMYFUNCTION("average.weighted(filter(Data!K:K,Data!B:B=A869),filter(Data!F:F,Data!B:B=A869))"),-0.135112329361775)</f>
        <v>-0.1351123294</v>
      </c>
      <c r="G869" s="175">
        <f>IFERROR(__xludf.DUMMYFUNCTION("average.weighted(filter(Data!L:L,Data!B:B=A869),filter(Data!F:F,Data!B:B=A869))"),-0.660418191231985)</f>
        <v>-0.6604181912</v>
      </c>
    </row>
    <row r="870">
      <c r="A870" s="172" t="s">
        <v>1105</v>
      </c>
      <c r="B870" s="173">
        <f>countif(Data!B:B,A870)</f>
        <v>6</v>
      </c>
      <c r="C870" s="174">
        <f>sumif(Data!B:B,A870,Data!M:M)</f>
        <v>9.496081094</v>
      </c>
      <c r="D870" s="174">
        <f t="shared" si="1"/>
        <v>1.582680182</v>
      </c>
      <c r="E870" s="175">
        <f t="shared" si="2"/>
        <v>-0.6989683551</v>
      </c>
      <c r="F870" s="175">
        <f>IFERROR(__xludf.DUMMYFUNCTION("average.weighted(filter(Data!K:K,Data!B:B=A870),filter(Data!F:F,Data!B:B=A870))"),-0.8482513945343785)</f>
        <v>-0.8482513945</v>
      </c>
      <c r="G870" s="175">
        <f>IFERROR(__xludf.DUMMYFUNCTION("average.weighted(filter(Data!L:L,Data!B:B=A870),filter(Data!F:F,Data!B:B=A870))"),0.1492830393896561)</f>
        <v>0.1492830394</v>
      </c>
    </row>
    <row r="871">
      <c r="A871" s="172" t="s">
        <v>1106</v>
      </c>
      <c r="B871" s="173">
        <f>countif(Data!B:B,A871)</f>
        <v>1</v>
      </c>
      <c r="C871" s="174">
        <f>sumif(Data!B:B,A871,Data!M:M)</f>
        <v>0.02173954147</v>
      </c>
      <c r="D871" s="174">
        <f t="shared" si="1"/>
        <v>0.02173954147</v>
      </c>
      <c r="E871" s="175">
        <f t="shared" si="2"/>
        <v>-0.79777415</v>
      </c>
      <c r="F871" s="175">
        <f>IFERROR(__xludf.DUMMYFUNCTION("average.weighted(filter(Data!K:K,Data!B:B=A871),filter(Data!F:F,Data!B:B=A871))"),-0.320494281930137)</f>
        <v>-0.3204942819</v>
      </c>
      <c r="G871" s="175">
        <f>IFERROR(__xludf.DUMMYFUNCTION("average.weighted(filter(Data!L:L,Data!B:B=A871),filter(Data!F:F,Data!B:B=A871))"),-0.477279868056262)</f>
        <v>-0.4772798681</v>
      </c>
    </row>
    <row r="872">
      <c r="A872" s="172" t="s">
        <v>1107</v>
      </c>
      <c r="B872" s="173">
        <f>countif(Data!B:B,A872)</f>
        <v>3</v>
      </c>
      <c r="C872" s="174">
        <f>sumif(Data!B:B,A872,Data!M:M)</f>
        <v>0.7106191895</v>
      </c>
      <c r="D872" s="174">
        <f t="shared" si="1"/>
        <v>0.2368730632</v>
      </c>
      <c r="E872" s="175">
        <f t="shared" si="2"/>
        <v>-0.8027717662</v>
      </c>
      <c r="F872" s="175">
        <f>IFERROR(__xludf.DUMMYFUNCTION("average.weighted(filter(Data!K:K,Data!B:B=A872),filter(Data!F:F,Data!B:B=A872))"),-2.432816535850075)</f>
        <v>-2.432816536</v>
      </c>
      <c r="G872" s="175">
        <f>IFERROR(__xludf.DUMMYFUNCTION("average.weighted(filter(Data!L:L,Data!B:B=A872),filter(Data!F:F,Data!B:B=A872))"),1.6300447696877411)</f>
        <v>1.63004477</v>
      </c>
    </row>
    <row r="873">
      <c r="A873" s="172" t="s">
        <v>1108</v>
      </c>
      <c r="B873" s="173">
        <f>countif(Data!B:B,A873)</f>
        <v>3</v>
      </c>
      <c r="C873" s="174">
        <f>sumif(Data!B:B,A873,Data!M:M)</f>
        <v>1.067066667</v>
      </c>
      <c r="D873" s="174">
        <f t="shared" si="1"/>
        <v>0.355688889</v>
      </c>
      <c r="E873" s="175">
        <f t="shared" si="2"/>
        <v>-0.8046844331</v>
      </c>
      <c r="F873" s="175">
        <f>IFERROR(__xludf.DUMMYFUNCTION("average.weighted(filter(Data!K:K,Data!B:B=A873),filter(Data!F:F,Data!B:B=A873))"),-1.5641144358989723)</f>
        <v>-1.564114436</v>
      </c>
      <c r="G873" s="175">
        <f>IFERROR(__xludf.DUMMYFUNCTION("average.weighted(filter(Data!L:L,Data!B:B=A873),filter(Data!F:F,Data!B:B=A873))"),0.7594300027845755)</f>
        <v>0.7594300028</v>
      </c>
    </row>
    <row r="874">
      <c r="A874" s="172" t="s">
        <v>1109</v>
      </c>
      <c r="B874" s="173">
        <f>countif(Data!B:B,A874)</f>
        <v>1</v>
      </c>
      <c r="C874" s="174">
        <f>sumif(Data!B:B,A874,Data!M:M)</f>
        <v>0.03708597512</v>
      </c>
      <c r="D874" s="174">
        <f t="shared" si="1"/>
        <v>0.03708597512</v>
      </c>
      <c r="E874" s="175">
        <f t="shared" si="2"/>
        <v>-1.218482804</v>
      </c>
      <c r="F874" s="175">
        <f>IFERROR(__xludf.DUMMYFUNCTION("average.weighted(filter(Data!K:K,Data!B:B=A874),filter(Data!F:F,Data!B:B=A874))"),-0.436874513034557)</f>
        <v>-0.436874513</v>
      </c>
      <c r="G874" s="175">
        <f>IFERROR(__xludf.DUMMYFUNCTION("average.weighted(filter(Data!L:L,Data!B:B=A874),filter(Data!F:F,Data!B:B=A874))"),-0.781608291060688)</f>
        <v>-0.7816082911</v>
      </c>
    </row>
    <row r="875">
      <c r="A875" s="172" t="s">
        <v>1110</v>
      </c>
      <c r="B875" s="173">
        <f>countif(Data!B:B,A875)</f>
        <v>1</v>
      </c>
      <c r="C875" s="174">
        <f>sumif(Data!B:B,A875,Data!M:M)</f>
        <v>0.4925661057</v>
      </c>
      <c r="D875" s="174">
        <f t="shared" si="1"/>
        <v>0.4925661057</v>
      </c>
      <c r="E875" s="175">
        <f t="shared" si="2"/>
        <v>-0.8095820344</v>
      </c>
      <c r="F875" s="175">
        <f>IFERROR(__xludf.DUMMYFUNCTION("average.weighted(filter(Data!K:K,Data!B:B=A875),filter(Data!F:F,Data!B:B=A875))"),0.0105409740330318)</f>
        <v>0.01054097403</v>
      </c>
      <c r="G875" s="175">
        <f>IFERROR(__xludf.DUMMYFUNCTION("average.weighted(filter(Data!L:L,Data!B:B=A875),filter(Data!F:F,Data!B:B=A875))"),-0.820123008431888)</f>
        <v>-0.8201230084</v>
      </c>
    </row>
    <row r="876">
      <c r="A876" s="172" t="s">
        <v>1111</v>
      </c>
      <c r="B876" s="173">
        <f>countif(Data!B:B,A876)</f>
        <v>2</v>
      </c>
      <c r="C876" s="174">
        <f>sumif(Data!B:B,A876,Data!M:M)</f>
        <v>0.1313770613</v>
      </c>
      <c r="D876" s="174">
        <f t="shared" si="1"/>
        <v>0.06568853063</v>
      </c>
      <c r="E876" s="175">
        <f t="shared" si="2"/>
        <v>-0.8102420855</v>
      </c>
      <c r="F876" s="175">
        <f>IFERROR(__xludf.DUMMYFUNCTION("average.weighted(filter(Data!K:K,Data!B:B=A876),filter(Data!F:F,Data!B:B=A876))"),-0.5329812686238351)</f>
        <v>-0.5329812686</v>
      </c>
      <c r="G876" s="175">
        <f>IFERROR(__xludf.DUMMYFUNCTION("average.weighted(filter(Data!L:L,Data!B:B=A876),filter(Data!F:F,Data!B:B=A876))"),-0.2772608168655165)</f>
        <v>-0.2772608169</v>
      </c>
    </row>
    <row r="877">
      <c r="A877" s="172" t="s">
        <v>1112</v>
      </c>
      <c r="B877" s="173">
        <f>countif(Data!B:B,A877)</f>
        <v>1</v>
      </c>
      <c r="C877" s="174">
        <f>sumif(Data!B:B,A877,Data!M:M)</f>
        <v>0.6245852864</v>
      </c>
      <c r="D877" s="174">
        <f t="shared" si="1"/>
        <v>0.6245852864</v>
      </c>
      <c r="E877" s="175">
        <f t="shared" si="2"/>
        <v>-0.8111775602</v>
      </c>
      <c r="F877" s="175">
        <f>IFERROR(__xludf.DUMMYFUNCTION("average.weighted(filter(Data!K:K,Data!B:B=A877),filter(Data!F:F,Data!B:B=A877))"),-0.878572526256141)</f>
        <v>-0.8785725263</v>
      </c>
      <c r="G877" s="175">
        <f>IFERROR(__xludf.DUMMYFUNCTION("average.weighted(filter(Data!L:L,Data!B:B=A877),filter(Data!F:F,Data!B:B=A877))"),0.0673949660155066)</f>
        <v>0.06739496602</v>
      </c>
    </row>
    <row r="878">
      <c r="A878" s="172" t="s">
        <v>1113</v>
      </c>
      <c r="B878" s="173">
        <f>countif(Data!B:B,A878)</f>
        <v>1</v>
      </c>
      <c r="C878" s="174">
        <f>sumif(Data!B:B,A878,Data!M:M)</f>
        <v>0.006963809274</v>
      </c>
      <c r="D878" s="174">
        <f t="shared" si="1"/>
        <v>0.006963809274</v>
      </c>
      <c r="E878" s="175">
        <f t="shared" si="2"/>
        <v>-0.6387881498</v>
      </c>
      <c r="F878" s="175">
        <f>IFERROR(__xludf.DUMMYFUNCTION("average.weighted(filter(Data!K:K,Data!B:B=A878),filter(Data!F:F,Data!B:B=A878))"),-0.2986541119235)</f>
        <v>-0.2986541119</v>
      </c>
      <c r="G878" s="175">
        <f>IFERROR(__xludf.DUMMYFUNCTION("average.weighted(filter(Data!L:L,Data!B:B=A878),filter(Data!F:F,Data!B:B=A878))"),-0.340134037921369)</f>
        <v>-0.3401340379</v>
      </c>
    </row>
    <row r="879">
      <c r="A879" s="172" t="s">
        <v>1114</v>
      </c>
      <c r="B879" s="173">
        <f>countif(Data!B:B,A879)</f>
        <v>5</v>
      </c>
      <c r="C879" s="174">
        <f>sumif(Data!B:B,A879,Data!M:M)</f>
        <v>2.947723872</v>
      </c>
      <c r="D879" s="174">
        <f t="shared" si="1"/>
        <v>0.5895447745</v>
      </c>
      <c r="E879" s="175">
        <f t="shared" si="2"/>
        <v>-0.8140515176</v>
      </c>
      <c r="F879" s="175">
        <f>IFERROR(__xludf.DUMMYFUNCTION("average.weighted(filter(Data!K:K,Data!B:B=A879),filter(Data!F:F,Data!B:B=A879))"),-0.2520205110890443)</f>
        <v>-0.2520205111</v>
      </c>
      <c r="G879" s="175">
        <f>IFERROR(__xludf.DUMMYFUNCTION("average.weighted(filter(Data!L:L,Data!B:B=A879),filter(Data!F:F,Data!B:B=A879))"),-0.5620310064956662)</f>
        <v>-0.5620310065</v>
      </c>
    </row>
    <row r="880">
      <c r="A880" s="172" t="s">
        <v>1115</v>
      </c>
      <c r="B880" s="173">
        <f>countif(Data!B:B,A880)</f>
        <v>1</v>
      </c>
      <c r="C880" s="174">
        <f>sumif(Data!B:B,A880,Data!M:M)</f>
        <v>1.922695094</v>
      </c>
      <c r="D880" s="174">
        <f t="shared" si="1"/>
        <v>1.922695094</v>
      </c>
      <c r="E880" s="175">
        <f t="shared" si="2"/>
        <v>-0.8141971458</v>
      </c>
      <c r="F880" s="175">
        <f>IFERROR(__xludf.DUMMYFUNCTION("average.weighted(filter(Data!K:K,Data!B:B=A880),filter(Data!F:F,Data!B:B=A880))"),1.03324364246566)</f>
        <v>1.033243642</v>
      </c>
      <c r="G880" s="175">
        <f>IFERROR(__xludf.DUMMYFUNCTION("average.weighted(filter(Data!L:L,Data!B:B=A880),filter(Data!F:F,Data!B:B=A880))"),-1.84744078827672)</f>
        <v>-1.847440788</v>
      </c>
    </row>
    <row r="881">
      <c r="A881" s="172" t="s">
        <v>1116</v>
      </c>
      <c r="B881" s="173">
        <f>countif(Data!B:B,A881)</f>
        <v>1</v>
      </c>
      <c r="C881" s="174">
        <f>sumif(Data!B:B,A881,Data!M:M)</f>
        <v>0.07466627772</v>
      </c>
      <c r="D881" s="174">
        <f t="shared" si="1"/>
        <v>0.07466627772</v>
      </c>
      <c r="E881" s="175">
        <f t="shared" si="2"/>
        <v>-0.8151692191</v>
      </c>
      <c r="F881" s="175">
        <f>IFERROR(__xludf.DUMMYFUNCTION("average.weighted(filter(Data!K:K,Data!B:B=A881),filter(Data!F:F,Data!B:B=A881))"),0.0106439330406974)</f>
        <v>0.01064393304</v>
      </c>
      <c r="G881" s="175">
        <f>IFERROR(__xludf.DUMMYFUNCTION("average.weighted(filter(Data!L:L,Data!B:B=A881),filter(Data!F:F,Data!B:B=A881))"),-0.82581315217046)</f>
        <v>-0.8258131522</v>
      </c>
    </row>
    <row r="882">
      <c r="A882" s="172" t="s">
        <v>1117</v>
      </c>
      <c r="B882" s="173">
        <f>countif(Data!B:B,A882)</f>
        <v>7</v>
      </c>
      <c r="C882" s="174">
        <f>sumif(Data!B:B,A882,Data!M:M)</f>
        <v>5.171261112</v>
      </c>
      <c r="D882" s="174">
        <f t="shared" si="1"/>
        <v>0.7387515874</v>
      </c>
      <c r="E882" s="175">
        <f t="shared" si="2"/>
        <v>-0.8195202457</v>
      </c>
      <c r="F882" s="175">
        <f>IFERROR(__xludf.DUMMYFUNCTION("average.weighted(filter(Data!K:K,Data!B:B=A882),filter(Data!F:F,Data!B:B=A882))"),-1.189081657940553)</f>
        <v>-1.189081658</v>
      </c>
      <c r="G882" s="175">
        <f>IFERROR(__xludf.DUMMYFUNCTION("average.weighted(filter(Data!L:L,Data!B:B=A882),filter(Data!F:F,Data!B:B=A882))"),0.3695614122621355)</f>
        <v>0.3695614123</v>
      </c>
    </row>
    <row r="883">
      <c r="A883" s="172" t="s">
        <v>1118</v>
      </c>
      <c r="B883" s="173">
        <f>countif(Data!B:B,A883)</f>
        <v>2</v>
      </c>
      <c r="C883" s="174">
        <f>sumif(Data!B:B,A883,Data!M:M)</f>
        <v>0.03555889642</v>
      </c>
      <c r="D883" s="174">
        <f t="shared" si="1"/>
        <v>0.01777944821</v>
      </c>
      <c r="E883" s="175">
        <f t="shared" si="2"/>
        <v>-0.8199464441</v>
      </c>
      <c r="F883" s="175">
        <f>IFERROR(__xludf.DUMMYFUNCTION("average.weighted(filter(Data!K:K,Data!B:B=A883),filter(Data!F:F,Data!B:B=A883))"),-0.13730032930360772)</f>
        <v>-0.1373003293</v>
      </c>
      <c r="G883" s="175">
        <f>IFERROR(__xludf.DUMMYFUNCTION("average.weighted(filter(Data!L:L,Data!B:B=A883),filter(Data!F:F,Data!B:B=A883))"),-0.6826461148440651)</f>
        <v>-0.6826461148</v>
      </c>
    </row>
    <row r="884">
      <c r="A884" s="172" t="s">
        <v>1119</v>
      </c>
      <c r="B884" s="173">
        <f>countif(Data!B:B,A884)</f>
        <v>3</v>
      </c>
      <c r="C884" s="174">
        <f>sumif(Data!B:B,A884,Data!M:M)</f>
        <v>2.791456457</v>
      </c>
      <c r="D884" s="174">
        <f t="shared" si="1"/>
        <v>0.9304854856</v>
      </c>
      <c r="E884" s="175">
        <f t="shared" si="2"/>
        <v>-0.8206679051</v>
      </c>
      <c r="F884" s="175">
        <f>IFERROR(__xludf.DUMMYFUNCTION("average.weighted(filter(Data!K:K,Data!B:B=A884),filter(Data!F:F,Data!B:B=A884))"),-0.2779390976433077)</f>
        <v>-0.2779390976</v>
      </c>
      <c r="G884" s="175">
        <f>IFERROR(__xludf.DUMMYFUNCTION("average.weighted(filter(Data!L:L,Data!B:B=A884),filter(Data!F:F,Data!B:B=A884))"),-0.5427288074187144)</f>
        <v>-0.5427288074</v>
      </c>
    </row>
    <row r="885">
      <c r="A885" s="172" t="s">
        <v>1120</v>
      </c>
      <c r="B885" s="173">
        <f>countif(Data!B:B,A885)</f>
        <v>5</v>
      </c>
      <c r="C885" s="174">
        <f>sumif(Data!B:B,A885,Data!M:M)</f>
        <v>4.93897657</v>
      </c>
      <c r="D885" s="174">
        <f t="shared" si="1"/>
        <v>0.9877953141</v>
      </c>
      <c r="E885" s="175">
        <f t="shared" si="2"/>
        <v>-0.8257965755</v>
      </c>
      <c r="F885" s="175">
        <f>IFERROR(__xludf.DUMMYFUNCTION("average.weighted(filter(Data!K:K,Data!B:B=A885),filter(Data!F:F,Data!B:B=A885))"),-0.1732695577158858)</f>
        <v>-0.1732695577</v>
      </c>
      <c r="G885" s="175">
        <f>IFERROR(__xludf.DUMMYFUNCTION("average.weighted(filter(Data!L:L,Data!B:B=A885),filter(Data!F:F,Data!B:B=A885))"),-0.6525270177403333)</f>
        <v>-0.6525270177</v>
      </c>
    </row>
    <row r="886">
      <c r="A886" s="172" t="s">
        <v>1121</v>
      </c>
      <c r="B886" s="173">
        <f>countif(Data!B:B,A886)</f>
        <v>3</v>
      </c>
      <c r="C886" s="174">
        <f>sumif(Data!B:B,A886,Data!M:M)</f>
        <v>0.4844040224</v>
      </c>
      <c r="D886" s="174">
        <f t="shared" si="1"/>
        <v>0.1614680075</v>
      </c>
      <c r="E886" s="175">
        <f t="shared" si="2"/>
        <v>-0.9036253221</v>
      </c>
      <c r="F886" s="175">
        <f>IFERROR(__xludf.DUMMYFUNCTION("average.weighted(filter(Data!K:K,Data!B:B=A886),filter(Data!F:F,Data!B:B=A886))"),-1.171168306186973)</f>
        <v>-1.171168306</v>
      </c>
      <c r="G886" s="175">
        <f>IFERROR(__xludf.DUMMYFUNCTION("average.weighted(filter(Data!L:L,Data!B:B=A886),filter(Data!F:F,Data!B:B=A886))"),0.2675429840532524)</f>
        <v>0.2675429841</v>
      </c>
    </row>
    <row r="887">
      <c r="A887" s="172" t="s">
        <v>1122</v>
      </c>
      <c r="B887" s="173">
        <f>countif(Data!B:B,A887)</f>
        <v>1</v>
      </c>
      <c r="C887" s="174">
        <f>sumif(Data!B:B,A887,Data!M:M)</f>
        <v>0.1177560628</v>
      </c>
      <c r="D887" s="174">
        <f t="shared" si="1"/>
        <v>0.1177560628</v>
      </c>
      <c r="E887" s="175">
        <f t="shared" si="2"/>
        <v>-0.8311370503</v>
      </c>
      <c r="F887" s="175">
        <f>IFERROR(__xludf.DUMMYFUNCTION("average.weighted(filter(Data!K:K,Data!B:B=A887),filter(Data!F:F,Data!B:B=A887))"),-0.638358894569788)</f>
        <v>-0.6383588946</v>
      </c>
      <c r="G887" s="175">
        <f>IFERROR(__xludf.DUMMYFUNCTION("average.weighted(filter(Data!L:L,Data!B:B=A887),filter(Data!F:F,Data!B:B=A887))"),-0.192778155727334)</f>
        <v>-0.1927781557</v>
      </c>
    </row>
    <row r="888">
      <c r="A888" s="172" t="s">
        <v>1123</v>
      </c>
      <c r="B888" s="173">
        <f>countif(Data!B:B,A888)</f>
        <v>1</v>
      </c>
      <c r="C888" s="174">
        <f>sumif(Data!B:B,A888,Data!M:M)</f>
        <v>0</v>
      </c>
      <c r="D888" s="174">
        <f t="shared" si="1"/>
        <v>0</v>
      </c>
      <c r="E888" s="175">
        <f t="shared" si="2"/>
        <v>-1.108542409</v>
      </c>
      <c r="F888" s="175">
        <f>IFERROR(__xludf.DUMMYFUNCTION("average.weighted(filter(Data!K:K,Data!B:B=A888),filter(Data!F:F,Data!B:B=A888))"),-0.617199824172196)</f>
        <v>-0.6171998242</v>
      </c>
      <c r="G888" s="175">
        <f>IFERROR(__xludf.DUMMYFUNCTION("average.weighted(filter(Data!L:L,Data!B:B=A888),filter(Data!F:F,Data!B:B=A888))"),-0.491342585194254)</f>
        <v>-0.4913425852</v>
      </c>
    </row>
    <row r="889">
      <c r="A889" s="172" t="s">
        <v>1124</v>
      </c>
      <c r="B889" s="173">
        <f>countif(Data!B:B,A889)</f>
        <v>8</v>
      </c>
      <c r="C889" s="174">
        <f>sumif(Data!B:B,A889,Data!M:M)</f>
        <v>9.71693131</v>
      </c>
      <c r="D889" s="174">
        <f t="shared" si="1"/>
        <v>1.214616414</v>
      </c>
      <c r="E889" s="175">
        <f t="shared" si="2"/>
        <v>-0.7916732288</v>
      </c>
      <c r="F889" s="175">
        <f>IFERROR(__xludf.DUMMYFUNCTION("average.weighted(filter(Data!K:K,Data!B:B=A889),filter(Data!F:F,Data!B:B=A889))"),0.7573019438423108)</f>
        <v>0.7573019438</v>
      </c>
      <c r="G889" s="175">
        <f>IFERROR(__xludf.DUMMYFUNCTION("average.weighted(filter(Data!L:L,Data!B:B=A889),filter(Data!F:F,Data!B:B=A889))"),-1.548975172599132)</f>
        <v>-1.548975173</v>
      </c>
    </row>
    <row r="890">
      <c r="A890" s="172" t="s">
        <v>1125</v>
      </c>
      <c r="B890" s="173">
        <f>countif(Data!B:B,A890)</f>
        <v>3</v>
      </c>
      <c r="C890" s="174">
        <f>sumif(Data!B:B,A890,Data!M:M)</f>
        <v>2.223539503</v>
      </c>
      <c r="D890" s="174">
        <f t="shared" si="1"/>
        <v>0.7411798342</v>
      </c>
      <c r="E890" s="175">
        <f t="shared" si="2"/>
        <v>-0.8041754992</v>
      </c>
      <c r="F890" s="175">
        <f>IFERROR(__xludf.DUMMYFUNCTION("average.weighted(filter(Data!K:K,Data!B:B=A890),filter(Data!F:F,Data!B:B=A890))"),-0.3828851068064507)</f>
        <v>-0.3828851068</v>
      </c>
      <c r="G890" s="175">
        <f>IFERROR(__xludf.DUMMYFUNCTION("average.weighted(filter(Data!L:L,Data!B:B=A890),filter(Data!F:F,Data!B:B=A890))"),-0.42129039242038807)</f>
        <v>-0.4212903924</v>
      </c>
    </row>
    <row r="891">
      <c r="A891" s="172" t="s">
        <v>1126</v>
      </c>
      <c r="B891" s="173">
        <f>countif(Data!B:B,A891)</f>
        <v>1</v>
      </c>
      <c r="C891" s="174">
        <f>sumif(Data!B:B,A891,Data!M:M)</f>
        <v>0.005656452678</v>
      </c>
      <c r="D891" s="174">
        <f t="shared" si="1"/>
        <v>0.005656452678</v>
      </c>
      <c r="E891" s="175">
        <f t="shared" si="2"/>
        <v>-0.8413855569</v>
      </c>
      <c r="F891" s="175">
        <f>IFERROR(__xludf.DUMMYFUNCTION("average.weighted(filter(Data!K:K,Data!B:B=A891),filter(Data!F:F,Data!B:B=A891))"),-0.271675078492925)</f>
        <v>-0.2716750785</v>
      </c>
      <c r="G891" s="175">
        <f>IFERROR(__xludf.DUMMYFUNCTION("average.weighted(filter(Data!L:L,Data!B:B=A891),filter(Data!F:F,Data!B:B=A891))"),-0.56971047843108)</f>
        <v>-0.5697104784</v>
      </c>
    </row>
    <row r="892">
      <c r="A892" s="172" t="s">
        <v>1127</v>
      </c>
      <c r="B892" s="173">
        <f>countif(Data!B:B,A892)</f>
        <v>2</v>
      </c>
      <c r="C892" s="174">
        <f>sumif(Data!B:B,A892,Data!M:M)</f>
        <v>0.3854894833</v>
      </c>
      <c r="D892" s="174">
        <f t="shared" si="1"/>
        <v>0.1927447417</v>
      </c>
      <c r="E892" s="175">
        <f t="shared" si="2"/>
        <v>-0.8420733234</v>
      </c>
      <c r="F892" s="175">
        <f>IFERROR(__xludf.DUMMYFUNCTION("average.weighted(filter(Data!K:K,Data!B:B=A892),filter(Data!F:F,Data!B:B=A892))"),-0.6144952935650193)</f>
        <v>-0.6144952936</v>
      </c>
      <c r="G892" s="175">
        <f>IFERROR(__xludf.DUMMYFUNCTION("average.weighted(filter(Data!L:L,Data!B:B=A892),filter(Data!F:F,Data!B:B=A892))"),-0.2275780298077702)</f>
        <v>-0.2275780298</v>
      </c>
    </row>
    <row r="893">
      <c r="A893" s="172" t="s">
        <v>1128</v>
      </c>
      <c r="B893" s="173">
        <f>countif(Data!B:B,A893)</f>
        <v>4</v>
      </c>
      <c r="C893" s="174">
        <f>sumif(Data!B:B,A893,Data!M:M)</f>
        <v>3.06475748</v>
      </c>
      <c r="D893" s="174">
        <f t="shared" si="1"/>
        <v>0.7661893699</v>
      </c>
      <c r="E893" s="175">
        <f t="shared" si="2"/>
        <v>-0.844406371</v>
      </c>
      <c r="F893" s="175">
        <f>IFERROR(__xludf.DUMMYFUNCTION("average.weighted(filter(Data!K:K,Data!B:B=A893),filter(Data!F:F,Data!B:B=A893))"),-1.0381974360350477)</f>
        <v>-1.038197436</v>
      </c>
      <c r="G893" s="175">
        <f>IFERROR(__xludf.DUMMYFUNCTION("average.weighted(filter(Data!L:L,Data!B:B=A893),filter(Data!F:F,Data!B:B=A893))"),0.1937910650198814)</f>
        <v>0.193791065</v>
      </c>
    </row>
    <row r="894">
      <c r="A894" s="172" t="s">
        <v>1129</v>
      </c>
      <c r="B894" s="173">
        <f>countif(Data!B:B,A894)</f>
        <v>8</v>
      </c>
      <c r="C894" s="174">
        <f>sumif(Data!B:B,A894,Data!M:M)</f>
        <v>9.685766839</v>
      </c>
      <c r="D894" s="174">
        <f t="shared" si="1"/>
        <v>1.210720855</v>
      </c>
      <c r="E894" s="175">
        <f t="shared" si="2"/>
        <v>-0.832859642</v>
      </c>
      <c r="F894" s="175">
        <f>IFERROR(__xludf.DUMMYFUNCTION("average.weighted(filter(Data!K:K,Data!B:B=A894),filter(Data!F:F,Data!B:B=A894))"),-2.441418893379462)</f>
        <v>-2.441418893</v>
      </c>
      <c r="G894" s="175">
        <f>IFERROR(__xludf.DUMMYFUNCTION("average.weighted(filter(Data!L:L,Data!B:B=A894),filter(Data!F:F,Data!B:B=A894))"),1.6085592513364977)</f>
        <v>1.608559251</v>
      </c>
    </row>
    <row r="895">
      <c r="A895" s="172" t="s">
        <v>1130</v>
      </c>
      <c r="B895" s="173">
        <f>countif(Data!B:B,A895)</f>
        <v>7</v>
      </c>
      <c r="C895" s="174">
        <f>sumif(Data!B:B,A895,Data!M:M)</f>
        <v>12.89158546</v>
      </c>
      <c r="D895" s="174">
        <f t="shared" si="1"/>
        <v>1.841655066</v>
      </c>
      <c r="E895" s="175">
        <f t="shared" si="2"/>
        <v>-0.7117713901</v>
      </c>
      <c r="F895" s="175">
        <f>IFERROR(__xludf.DUMMYFUNCTION("average.weighted(filter(Data!K:K,Data!B:B=A895),filter(Data!F:F,Data!B:B=A895))"),-0.11451769540481034)</f>
        <v>-0.1145176954</v>
      </c>
      <c r="G895" s="175">
        <f>IFERROR(__xludf.DUMMYFUNCTION("average.weighted(filter(Data!L:L,Data!B:B=A895),filter(Data!F:F,Data!B:B=A895))"),-0.5972536947049654)</f>
        <v>-0.5972536947</v>
      </c>
    </row>
    <row r="896">
      <c r="A896" s="172" t="s">
        <v>1131</v>
      </c>
      <c r="B896" s="173">
        <f>countif(Data!B:B,A896)</f>
        <v>1</v>
      </c>
      <c r="C896" s="174">
        <f>sumif(Data!B:B,A896,Data!M:M)</f>
        <v>0.0351993361</v>
      </c>
      <c r="D896" s="174">
        <f t="shared" si="1"/>
        <v>0.0351993361</v>
      </c>
      <c r="E896" s="175">
        <f t="shared" si="2"/>
        <v>-0.8495227027</v>
      </c>
      <c r="F896" s="175">
        <f>IFERROR(__xludf.DUMMYFUNCTION("average.weighted(filter(Data!K:K,Data!B:B=A896),filter(Data!F:F,Data!B:B=A896))"),-0.349238236620006)</f>
        <v>-0.3492382366</v>
      </c>
      <c r="G896" s="175">
        <f>IFERROR(__xludf.DUMMYFUNCTION("average.weighted(filter(Data!L:L,Data!B:B=A896),filter(Data!F:F,Data!B:B=A896))"),-0.500284466089834)</f>
        <v>-0.5002844661</v>
      </c>
    </row>
    <row r="897">
      <c r="A897" s="172" t="s">
        <v>1132</v>
      </c>
      <c r="B897" s="173">
        <f>countif(Data!B:B,A897)</f>
        <v>3</v>
      </c>
      <c r="C897" s="174">
        <f>sumif(Data!B:B,A897,Data!M:M)</f>
        <v>4.336992461</v>
      </c>
      <c r="D897" s="174">
        <f t="shared" si="1"/>
        <v>1.445664154</v>
      </c>
      <c r="E897" s="175">
        <f t="shared" si="2"/>
        <v>-0.8499466288</v>
      </c>
      <c r="F897" s="175">
        <f>IFERROR(__xludf.DUMMYFUNCTION("average.weighted(filter(Data!K:K,Data!B:B=A897),filter(Data!F:F,Data!B:B=A897))"),-1.4041197667328462)</f>
        <v>-1.404119767</v>
      </c>
      <c r="G897" s="175">
        <f>IFERROR(__xludf.DUMMYFUNCTION("average.weighted(filter(Data!L:L,Data!B:B=A897),filter(Data!F:F,Data!B:B=A897))"),0.5541731379346873)</f>
        <v>0.5541731379</v>
      </c>
    </row>
    <row r="898">
      <c r="A898" s="172" t="s">
        <v>1133</v>
      </c>
      <c r="B898" s="173">
        <f>countif(Data!B:B,A898)</f>
        <v>8</v>
      </c>
      <c r="C898" s="174">
        <f>sumif(Data!B:B,A898,Data!M:M)</f>
        <v>17.53843276</v>
      </c>
      <c r="D898" s="174">
        <f t="shared" si="1"/>
        <v>2.192304095</v>
      </c>
      <c r="E898" s="175">
        <f t="shared" si="2"/>
        <v>-0.8424923035</v>
      </c>
      <c r="F898" s="175">
        <f>IFERROR(__xludf.DUMMYFUNCTION("average.weighted(filter(Data!K:K,Data!B:B=A898),filter(Data!F:F,Data!B:B=A898))"),-0.5407040430485289)</f>
        <v>-0.540704043</v>
      </c>
      <c r="G898" s="175">
        <f>IFERROR(__xludf.DUMMYFUNCTION("average.weighted(filter(Data!L:L,Data!B:B=A898),filter(Data!F:F,Data!B:B=A898))"),-0.3017882604899722)</f>
        <v>-0.3017882605</v>
      </c>
    </row>
    <row r="899">
      <c r="A899" s="172" t="s">
        <v>1134</v>
      </c>
      <c r="B899" s="173">
        <f>countif(Data!B:B,A899)</f>
        <v>3</v>
      </c>
      <c r="C899" s="174">
        <f>sumif(Data!B:B,A899,Data!M:M)</f>
        <v>0.131274007</v>
      </c>
      <c r="D899" s="174">
        <f t="shared" si="1"/>
        <v>0.04375800234</v>
      </c>
      <c r="E899" s="175">
        <f t="shared" si="2"/>
        <v>-0.8603337886</v>
      </c>
      <c r="F899" s="175">
        <f>IFERROR(__xludf.DUMMYFUNCTION("average.weighted(filter(Data!K:K,Data!B:B=A899),filter(Data!F:F,Data!B:B=A899))"),-0.31617707970516296)</f>
        <v>-0.3161770797</v>
      </c>
      <c r="G899" s="175">
        <f>IFERROR(__xludf.DUMMYFUNCTION("average.weighted(filter(Data!L:L,Data!B:B=A899),filter(Data!F:F,Data!B:B=A899))"),-0.5441567088693946)</f>
        <v>-0.5441567089</v>
      </c>
    </row>
    <row r="900">
      <c r="A900" s="172" t="s">
        <v>1135</v>
      </c>
      <c r="B900" s="173">
        <f>countif(Data!B:B,A900)</f>
        <v>3</v>
      </c>
      <c r="C900" s="174">
        <f>sumif(Data!B:B,A900,Data!M:M)</f>
        <v>0.5119427275</v>
      </c>
      <c r="D900" s="174">
        <f t="shared" si="1"/>
        <v>0.1706475758</v>
      </c>
      <c r="E900" s="175">
        <f t="shared" si="2"/>
        <v>-0.8627700946</v>
      </c>
      <c r="F900" s="175">
        <f>IFERROR(__xludf.DUMMYFUNCTION("average.weighted(filter(Data!K:K,Data!B:B=A900),filter(Data!F:F,Data!B:B=A900))"),-0.8570855494499751)</f>
        <v>-0.8570855494</v>
      </c>
      <c r="G900" s="175">
        <f>IFERROR(__xludf.DUMMYFUNCTION("average.weighted(filter(Data!L:L,Data!B:B=A900),filter(Data!F:F,Data!B:B=A900))"),-0.005684545129608379)</f>
        <v>-0.00568454513</v>
      </c>
    </row>
    <row r="901">
      <c r="A901" s="172" t="s">
        <v>1136</v>
      </c>
      <c r="B901" s="173">
        <f>countif(Data!B:B,A901)</f>
        <v>2</v>
      </c>
      <c r="C901" s="174">
        <f>sumif(Data!B:B,A901,Data!M:M)</f>
        <v>0.3735124355</v>
      </c>
      <c r="D901" s="174">
        <f t="shared" si="1"/>
        <v>0.1867562178</v>
      </c>
      <c r="E901" s="175">
        <f t="shared" si="2"/>
        <v>-0.9001977346</v>
      </c>
      <c r="F901" s="175">
        <f>IFERROR(__xludf.DUMMYFUNCTION("average.weighted(filter(Data!K:K,Data!B:B=A901),filter(Data!F:F,Data!B:B=A901))"),-1.2224429928024434)</f>
        <v>-1.222442993</v>
      </c>
      <c r="G901" s="175">
        <f>IFERROR(__xludf.DUMMYFUNCTION("average.weighted(filter(Data!L:L,Data!B:B=A901),filter(Data!F:F,Data!B:B=A901))"),0.32224525821034233)</f>
        <v>0.3222452582</v>
      </c>
    </row>
    <row r="902">
      <c r="A902" s="172" t="s">
        <v>1137</v>
      </c>
      <c r="B902" s="173">
        <f>countif(Data!B:B,A902)</f>
        <v>3</v>
      </c>
      <c r="C902" s="174">
        <f>sumif(Data!B:B,A902,Data!M:M)</f>
        <v>1.455420959</v>
      </c>
      <c r="D902" s="174">
        <f t="shared" si="1"/>
        <v>0.4851403198</v>
      </c>
      <c r="E902" s="175">
        <f t="shared" si="2"/>
        <v>-0.8654128413</v>
      </c>
      <c r="F902" s="175">
        <f>IFERROR(__xludf.DUMMYFUNCTION("average.weighted(filter(Data!K:K,Data!B:B=A902),filter(Data!F:F,Data!B:B=A902))"),-1.127414967643381)</f>
        <v>-1.127414968</v>
      </c>
      <c r="G902" s="175">
        <f>IFERROR(__xludf.DUMMYFUNCTION("average.weighted(filter(Data!L:L,Data!B:B=A902),filter(Data!F:F,Data!B:B=A902))"),0.26200212632271724)</f>
        <v>0.2620021263</v>
      </c>
    </row>
    <row r="903">
      <c r="A903" s="172" t="s">
        <v>1138</v>
      </c>
      <c r="B903" s="173">
        <f>countif(Data!B:B,A903)</f>
        <v>1</v>
      </c>
      <c r="C903" s="174">
        <f>sumif(Data!B:B,A903,Data!M:M)</f>
        <v>0.00889070226</v>
      </c>
      <c r="D903" s="174">
        <f t="shared" si="1"/>
        <v>0.00889070226</v>
      </c>
      <c r="E903" s="175">
        <f t="shared" si="2"/>
        <v>-0.8670712741</v>
      </c>
      <c r="F903" s="175">
        <f>IFERROR(__xludf.DUMMYFUNCTION("average.weighted(filter(Data!K:K,Data!B:B=A903),filter(Data!F:F,Data!B:B=A903))"),-0.221011857190197)</f>
        <v>-0.2210118572</v>
      </c>
      <c r="G903" s="175">
        <f>IFERROR(__xludf.DUMMYFUNCTION("average.weighted(filter(Data!L:L,Data!B:B=A903),filter(Data!F:F,Data!B:B=A903))"),-0.646059416926534)</f>
        <v>-0.6460594169</v>
      </c>
    </row>
    <row r="904">
      <c r="A904" s="172" t="s">
        <v>1139</v>
      </c>
      <c r="B904" s="173">
        <f>countif(Data!B:B,A904)</f>
        <v>1</v>
      </c>
      <c r="C904" s="174">
        <f>sumif(Data!B:B,A904,Data!M:M)</f>
        <v>0.317170799</v>
      </c>
      <c r="D904" s="174">
        <f t="shared" si="1"/>
        <v>0.317170799</v>
      </c>
      <c r="E904" s="175">
        <f t="shared" si="2"/>
        <v>-0.8682634777</v>
      </c>
      <c r="F904" s="175">
        <f>IFERROR(__xludf.DUMMYFUNCTION("average.weighted(filter(Data!K:K,Data!B:B=A904),filter(Data!F:F,Data!B:B=A904))"),-1.55996007825665)</f>
        <v>-1.559960078</v>
      </c>
      <c r="G904" s="175">
        <f>IFERROR(__xludf.DUMMYFUNCTION("average.weighted(filter(Data!L:L,Data!B:B=A904),filter(Data!F:F,Data!B:B=A904))"),0.691696600591287)</f>
        <v>0.6916966006</v>
      </c>
    </row>
    <row r="905">
      <c r="A905" s="172" t="s">
        <v>1140</v>
      </c>
      <c r="B905" s="173">
        <f>countif(Data!B:B,A905)</f>
        <v>3</v>
      </c>
      <c r="C905" s="174">
        <f>sumif(Data!B:B,A905,Data!M:M)</f>
        <v>1.059630537</v>
      </c>
      <c r="D905" s="174">
        <f t="shared" si="1"/>
        <v>0.3532101789</v>
      </c>
      <c r="E905" s="175">
        <f t="shared" si="2"/>
        <v>-0.8731770099</v>
      </c>
      <c r="F905" s="175">
        <f>IFERROR(__xludf.DUMMYFUNCTION("average.weighted(filter(Data!K:K,Data!B:B=A905),filter(Data!F:F,Data!B:B=A905))"),-0.8432221023518732)</f>
        <v>-0.8432221024</v>
      </c>
      <c r="G905" s="175">
        <f>IFERROR(__xludf.DUMMYFUNCTION("average.weighted(filter(Data!L:L,Data!B:B=A905),filter(Data!F:F,Data!B:B=A905))"),-0.029954907541081908)</f>
        <v>-0.02995490754</v>
      </c>
    </row>
    <row r="906">
      <c r="A906" s="172" t="s">
        <v>1141</v>
      </c>
      <c r="B906" s="173">
        <f>countif(Data!B:B,A906)</f>
        <v>1</v>
      </c>
      <c r="C906" s="174">
        <f>sumif(Data!B:B,A906,Data!M:M)</f>
        <v>0.01006914458</v>
      </c>
      <c r="D906" s="174">
        <f t="shared" si="1"/>
        <v>0.01006914458</v>
      </c>
      <c r="E906" s="175">
        <f t="shared" si="2"/>
        <v>-0.876431423</v>
      </c>
      <c r="F906" s="175">
        <f>IFERROR(__xludf.DUMMYFUNCTION("average.weighted(filter(Data!K:K,Data!B:B=A906),filter(Data!F:F,Data!B:B=A906))"),-0.253070082140298)</f>
        <v>-0.2530700821</v>
      </c>
      <c r="G906" s="175">
        <f>IFERROR(__xludf.DUMMYFUNCTION("average.weighted(filter(Data!L:L,Data!B:B=A906),filter(Data!F:F,Data!B:B=A906))"),-0.62336134083936)</f>
        <v>-0.6233613408</v>
      </c>
    </row>
    <row r="907">
      <c r="A907" s="172" t="s">
        <v>1142</v>
      </c>
      <c r="B907" s="173">
        <f>countif(Data!B:B,A907)</f>
        <v>2</v>
      </c>
      <c r="C907" s="174">
        <f>sumif(Data!B:B,A907,Data!M:M)</f>
        <v>0.2537784397</v>
      </c>
      <c r="D907" s="174">
        <f t="shared" si="1"/>
        <v>0.1268892199</v>
      </c>
      <c r="E907" s="175">
        <f t="shared" si="2"/>
        <v>-0.877718924</v>
      </c>
      <c r="F907" s="175">
        <f>IFERROR(__xludf.DUMMYFUNCTION("average.weighted(filter(Data!K:K,Data!B:B=A907),filter(Data!F:F,Data!B:B=A907))"),-0.6521273626128661)</f>
        <v>-0.6521273626</v>
      </c>
      <c r="G907" s="175">
        <f>IFERROR(__xludf.DUMMYFUNCTION("average.weighted(filter(Data!L:L,Data!B:B=A907),filter(Data!F:F,Data!B:B=A907))"),-0.22559156134629968)</f>
        <v>-0.2255915613</v>
      </c>
    </row>
    <row r="908">
      <c r="A908" s="172" t="s">
        <v>1143</v>
      </c>
      <c r="B908" s="173">
        <f>countif(Data!B:B,A908)</f>
        <v>1</v>
      </c>
      <c r="C908" s="174">
        <f>sumif(Data!B:B,A908,Data!M:M)</f>
        <v>0.004912921927</v>
      </c>
      <c r="D908" s="174">
        <f t="shared" si="1"/>
        <v>0.004912921927</v>
      </c>
      <c r="E908" s="175">
        <f t="shared" si="2"/>
        <v>-0.7007106889</v>
      </c>
      <c r="F908" s="175">
        <f>IFERROR(__xludf.DUMMYFUNCTION("average.weighted(filter(Data!K:K,Data!B:B=A908),filter(Data!F:F,Data!B:B=A908))"),-0.545735406974961)</f>
        <v>-0.545735407</v>
      </c>
      <c r="G908" s="175">
        <f>IFERROR(__xludf.DUMMYFUNCTION("average.weighted(filter(Data!L:L,Data!B:B=A908),filter(Data!F:F,Data!B:B=A908))"),-0.154975281897307)</f>
        <v>-0.1549752819</v>
      </c>
    </row>
    <row r="909">
      <c r="A909" s="172" t="s">
        <v>1144</v>
      </c>
      <c r="B909" s="173">
        <f>countif(Data!B:B,A909)</f>
        <v>2</v>
      </c>
      <c r="C909" s="174">
        <f>sumif(Data!B:B,A909,Data!M:M)</f>
        <v>0.2795497283</v>
      </c>
      <c r="D909" s="174">
        <f t="shared" si="1"/>
        <v>0.1397748641</v>
      </c>
      <c r="E909" s="175">
        <f t="shared" si="2"/>
        <v>-0.882294652</v>
      </c>
      <c r="F909" s="175">
        <f>IFERROR(__xludf.DUMMYFUNCTION("average.weighted(filter(Data!K:K,Data!B:B=A909),filter(Data!F:F,Data!B:B=A909))"),-1.1982201611369427)</f>
        <v>-1.198220161</v>
      </c>
      <c r="G909" s="175">
        <f>IFERROR(__xludf.DUMMYFUNCTION("average.weighted(filter(Data!L:L,Data!B:B=A909),filter(Data!F:F,Data!B:B=A909))"),0.3159255091478977)</f>
        <v>0.3159255091</v>
      </c>
    </row>
    <row r="910">
      <c r="A910" s="172" t="s">
        <v>1145</v>
      </c>
      <c r="B910" s="173">
        <f>countif(Data!B:B,A910)</f>
        <v>3</v>
      </c>
      <c r="C910" s="174">
        <f>sumif(Data!B:B,A910,Data!M:M)</f>
        <v>1.848658669</v>
      </c>
      <c r="D910" s="174">
        <f t="shared" si="1"/>
        <v>0.6162195563</v>
      </c>
      <c r="E910" s="175">
        <f t="shared" si="2"/>
        <v>-1.014984373</v>
      </c>
      <c r="F910" s="175">
        <f>IFERROR(__xludf.DUMMYFUNCTION("average.weighted(filter(Data!K:K,Data!B:B=A910),filter(Data!F:F,Data!B:B=A910))"),-0.2450203512045655)</f>
        <v>-0.2450203512</v>
      </c>
      <c r="G910" s="175">
        <f>IFERROR(__xludf.DUMMYFUNCTION("average.weighted(filter(Data!L:L,Data!B:B=A910),filter(Data!F:F,Data!B:B=A910))"),-0.76996402173094)</f>
        <v>-0.7699640217</v>
      </c>
    </row>
    <row r="911">
      <c r="A911" s="172" t="s">
        <v>1146</v>
      </c>
      <c r="B911" s="173">
        <f>countif(Data!B:B,A911)</f>
        <v>3</v>
      </c>
      <c r="C911" s="174">
        <f>sumif(Data!B:B,A911,Data!M:M)</f>
        <v>0.4556580105</v>
      </c>
      <c r="D911" s="174">
        <f t="shared" si="1"/>
        <v>0.1518860035</v>
      </c>
      <c r="E911" s="175">
        <f t="shared" si="2"/>
        <v>-0.8865027349</v>
      </c>
      <c r="F911" s="175">
        <f>IFERROR(__xludf.DUMMYFUNCTION("average.weighted(filter(Data!K:K,Data!B:B=A911),filter(Data!F:F,Data!B:B=A911))"),-1.2693047007725702)</f>
        <v>-1.269304701</v>
      </c>
      <c r="G911" s="175">
        <f>IFERROR(__xludf.DUMMYFUNCTION("average.weighted(filter(Data!L:L,Data!B:B=A911),filter(Data!F:F,Data!B:B=A911))"),0.382801965875391)</f>
        <v>0.3828019659</v>
      </c>
    </row>
    <row r="912">
      <c r="A912" s="172" t="s">
        <v>1147</v>
      </c>
      <c r="B912" s="173">
        <f>countif(Data!B:B,A912)</f>
        <v>4</v>
      </c>
      <c r="C912" s="174">
        <f>sumif(Data!B:B,A912,Data!M:M)</f>
        <v>0.7716489997</v>
      </c>
      <c r="D912" s="174">
        <f t="shared" si="1"/>
        <v>0.1929122499</v>
      </c>
      <c r="E912" s="175">
        <f t="shared" si="2"/>
        <v>-0.8492631732</v>
      </c>
      <c r="F912" s="175">
        <f>IFERROR(__xludf.DUMMYFUNCTION("average.weighted(filter(Data!K:K,Data!B:B=A912),filter(Data!F:F,Data!B:B=A912))"),-0.8002128613841928)</f>
        <v>-0.8002128614</v>
      </c>
      <c r="G912" s="175">
        <f>IFERROR(__xludf.DUMMYFUNCTION("average.weighted(filter(Data!L:L,Data!B:B=A912),filter(Data!F:F,Data!B:B=A912))"),-0.04905031185215671)</f>
        <v>-0.04905031185</v>
      </c>
    </row>
    <row r="913">
      <c r="A913" s="172" t="s">
        <v>1148</v>
      </c>
      <c r="B913" s="173">
        <f>countif(Data!B:B,A913)</f>
        <v>6</v>
      </c>
      <c r="C913" s="174">
        <f>sumif(Data!B:B,A913,Data!M:M)</f>
        <v>7.743449612</v>
      </c>
      <c r="D913" s="174">
        <f t="shared" si="1"/>
        <v>1.290574935</v>
      </c>
      <c r="E913" s="175">
        <f t="shared" si="2"/>
        <v>-0.8999859408</v>
      </c>
      <c r="F913" s="175">
        <f>IFERROR(__xludf.DUMMYFUNCTION("average.weighted(filter(Data!K:K,Data!B:B=A913),filter(Data!F:F,Data!B:B=A913))"),0.005574872461091474)</f>
        <v>0.005574872461</v>
      </c>
      <c r="G913" s="175">
        <f>IFERROR(__xludf.DUMMYFUNCTION("average.weighted(filter(Data!L:L,Data!B:B=A913),filter(Data!F:F,Data!B:B=A913))"),-0.9055608132774393)</f>
        <v>-0.9055608133</v>
      </c>
    </row>
    <row r="914">
      <c r="A914" s="172" t="s">
        <v>1149</v>
      </c>
      <c r="B914" s="173">
        <f>countif(Data!B:B,A914)</f>
        <v>3</v>
      </c>
      <c r="C914" s="174">
        <f>sumif(Data!B:B,A914,Data!M:M)</f>
        <v>0.4564016351</v>
      </c>
      <c r="D914" s="174">
        <f t="shared" si="1"/>
        <v>0.1521338784</v>
      </c>
      <c r="E914" s="175">
        <f t="shared" si="2"/>
        <v>-0.9977350559</v>
      </c>
      <c r="F914" s="175">
        <f>IFERROR(__xludf.DUMMYFUNCTION("average.weighted(filter(Data!K:K,Data!B:B=A914),filter(Data!F:F,Data!B:B=A914))"),-1.569152033221406)</f>
        <v>-1.569152033</v>
      </c>
      <c r="G914" s="175">
        <f>IFERROR(__xludf.DUMMYFUNCTION("average.weighted(filter(Data!L:L,Data!B:B=A914),filter(Data!F:F,Data!B:B=A914))"),0.5714169772885309)</f>
        <v>0.5714169773</v>
      </c>
    </row>
    <row r="915">
      <c r="A915" s="172" t="s">
        <v>1150</v>
      </c>
      <c r="B915" s="173">
        <f>countif(Data!B:B,A915)</f>
        <v>1</v>
      </c>
      <c r="C915" s="174">
        <f>sumif(Data!B:B,A915,Data!M:M)</f>
        <v>0.4241751312</v>
      </c>
      <c r="D915" s="174">
        <f t="shared" si="1"/>
        <v>0.4241751312</v>
      </c>
      <c r="E915" s="175">
        <f t="shared" si="2"/>
        <v>-0.784414261</v>
      </c>
      <c r="F915" s="175">
        <f>IFERROR(__xludf.DUMMYFUNCTION("average.weighted(filter(Data!K:K,Data!B:B=A915),filter(Data!F:F,Data!B:B=A915))"),-1.55985575285649)</f>
        <v>-1.559855753</v>
      </c>
      <c r="G915" s="175">
        <f>IFERROR(__xludf.DUMMYFUNCTION("average.weighted(filter(Data!L:L,Data!B:B=A915),filter(Data!F:F,Data!B:B=A915))"),0.775441491881538)</f>
        <v>0.7754414919</v>
      </c>
    </row>
    <row r="916">
      <c r="A916" s="172" t="s">
        <v>1151</v>
      </c>
      <c r="B916" s="173">
        <f>countif(Data!B:B,A916)</f>
        <v>1</v>
      </c>
      <c r="C916" s="174">
        <f>sumif(Data!B:B,A916,Data!M:M)</f>
        <v>0.1230791178</v>
      </c>
      <c r="D916" s="174">
        <f t="shared" si="1"/>
        <v>0.1230791178</v>
      </c>
      <c r="E916" s="175">
        <f t="shared" si="2"/>
        <v>-0.9081639513</v>
      </c>
      <c r="F916" s="175">
        <f>IFERROR(__xludf.DUMMYFUNCTION("average.weighted(filter(Data!K:K,Data!B:B=A916),filter(Data!F:F,Data!B:B=A916))"),-0.448035803264842)</f>
        <v>-0.4480358033</v>
      </c>
      <c r="G916" s="175">
        <f>IFERROR(__xludf.DUMMYFUNCTION("average.weighted(filter(Data!L:L,Data!B:B=A916),filter(Data!F:F,Data!B:B=A916))"),-0.46012814804214)</f>
        <v>-0.460128148</v>
      </c>
    </row>
    <row r="917">
      <c r="A917" s="172" t="s">
        <v>1152</v>
      </c>
      <c r="B917" s="173">
        <f>countif(Data!B:B,A917)</f>
        <v>1</v>
      </c>
      <c r="C917" s="174">
        <f>sumif(Data!B:B,A917,Data!M:M)</f>
        <v>0.4773165713</v>
      </c>
      <c r="D917" s="174">
        <f t="shared" si="1"/>
        <v>0.4773165713</v>
      </c>
      <c r="E917" s="175">
        <f t="shared" si="2"/>
        <v>-0.9143913466</v>
      </c>
      <c r="F917" s="175">
        <f>IFERROR(__xludf.DUMMYFUNCTION("average.weighted(filter(Data!K:K,Data!B:B=A917),filter(Data!F:F,Data!B:B=A917))"),-1.52037079071511)</f>
        <v>-1.520370791</v>
      </c>
      <c r="G917" s="175">
        <f>IFERROR(__xludf.DUMMYFUNCTION("average.weighted(filter(Data!L:L,Data!B:B=A917),filter(Data!F:F,Data!B:B=A917))"),0.60597944413474)</f>
        <v>0.6059794441</v>
      </c>
    </row>
    <row r="918">
      <c r="A918" s="172" t="s">
        <v>1153</v>
      </c>
      <c r="B918" s="173">
        <f>countif(Data!B:B,A918)</f>
        <v>4</v>
      </c>
      <c r="C918" s="174">
        <f>sumif(Data!B:B,A918,Data!M:M)</f>
        <v>2.627716024</v>
      </c>
      <c r="D918" s="174">
        <f t="shared" si="1"/>
        <v>0.6569290059</v>
      </c>
      <c r="E918" s="175">
        <f t="shared" si="2"/>
        <v>-0.8991318886</v>
      </c>
      <c r="F918" s="175">
        <f>IFERROR(__xludf.DUMMYFUNCTION("average.weighted(filter(Data!K:K,Data!B:B=A918),filter(Data!F:F,Data!B:B=A918))"),-1.2181378072517768)</f>
        <v>-1.218137807</v>
      </c>
      <c r="G918" s="175">
        <f>IFERROR(__xludf.DUMMYFUNCTION("average.weighted(filter(Data!L:L,Data!B:B=A918),filter(Data!F:F,Data!B:B=A918))"),0.3190059186516437)</f>
        <v>0.3190059187</v>
      </c>
    </row>
    <row r="919">
      <c r="A919" s="172" t="s">
        <v>1154</v>
      </c>
      <c r="B919" s="173">
        <f>countif(Data!B:B,A919)</f>
        <v>4</v>
      </c>
      <c r="C919" s="174">
        <f>sumif(Data!B:B,A919,Data!M:M)</f>
        <v>1.270455104</v>
      </c>
      <c r="D919" s="174">
        <f t="shared" si="1"/>
        <v>0.3176137759</v>
      </c>
      <c r="E919" s="175">
        <f t="shared" si="2"/>
        <v>-0.9528122707</v>
      </c>
      <c r="F919" s="175">
        <f>IFERROR(__xludf.DUMMYFUNCTION("average.weighted(filter(Data!K:K,Data!B:B=A919),filter(Data!F:F,Data!B:B=A919))"),-1.3812103054101244)</f>
        <v>-1.381210305</v>
      </c>
      <c r="G919" s="175">
        <f>IFERROR(__xludf.DUMMYFUNCTION("average.weighted(filter(Data!L:L,Data!B:B=A919),filter(Data!F:F,Data!B:B=A919))"),0.42839803475324406)</f>
        <v>0.4283980348</v>
      </c>
    </row>
    <row r="920">
      <c r="A920" s="172" t="s">
        <v>1155</v>
      </c>
      <c r="B920" s="173">
        <f>countif(Data!B:B,A920)</f>
        <v>6</v>
      </c>
      <c r="C920" s="174">
        <f>sumif(Data!B:B,A920,Data!M:M)</f>
        <v>2.720528885</v>
      </c>
      <c r="D920" s="174">
        <f t="shared" si="1"/>
        <v>0.4534214808</v>
      </c>
      <c r="E920" s="175">
        <f t="shared" si="2"/>
        <v>-0.924104268</v>
      </c>
      <c r="F920" s="175">
        <f>IFERROR(__xludf.DUMMYFUNCTION("average.weighted(filter(Data!K:K,Data!B:B=A920),filter(Data!F:F,Data!B:B=A920))"),-0.6542236652166913)</f>
        <v>-0.6542236652</v>
      </c>
      <c r="G920" s="175">
        <f>IFERROR(__xludf.DUMMYFUNCTION("average.weighted(filter(Data!L:L,Data!B:B=A920),filter(Data!F:F,Data!B:B=A920))"),-0.269880602779094)</f>
        <v>-0.2698806028</v>
      </c>
    </row>
    <row r="921">
      <c r="A921" s="172" t="s">
        <v>1156</v>
      </c>
      <c r="B921" s="173">
        <f>countif(Data!B:B,A921)</f>
        <v>2</v>
      </c>
      <c r="C921" s="174">
        <f>sumif(Data!B:B,A921,Data!M:M)</f>
        <v>0.1169569544</v>
      </c>
      <c r="D921" s="174">
        <f t="shared" si="1"/>
        <v>0.05847847718</v>
      </c>
      <c r="E921" s="175">
        <f t="shared" si="2"/>
        <v>-0.9219575142</v>
      </c>
      <c r="F921" s="175">
        <f>IFERROR(__xludf.DUMMYFUNCTION("average.weighted(filter(Data!K:K,Data!B:B=A921),filter(Data!F:F,Data!B:B=A921))"),-0.9660999449210996)</f>
        <v>-0.9660999449</v>
      </c>
      <c r="G921" s="175">
        <f>IFERROR(__xludf.DUMMYFUNCTION("average.weighted(filter(Data!L:L,Data!B:B=A921),filter(Data!F:F,Data!B:B=A921))"),0.04414243075622375)</f>
        <v>0.04414243076</v>
      </c>
    </row>
    <row r="922">
      <c r="A922" s="172" t="s">
        <v>1157</v>
      </c>
      <c r="B922" s="173">
        <f>countif(Data!B:B,A922)</f>
        <v>2</v>
      </c>
      <c r="C922" s="174">
        <f>sumif(Data!B:B,A922,Data!M:M)</f>
        <v>0.09199971066</v>
      </c>
      <c r="D922" s="174">
        <f t="shared" si="1"/>
        <v>0.04599985533</v>
      </c>
      <c r="E922" s="175">
        <f t="shared" si="2"/>
        <v>-0.9272969062</v>
      </c>
      <c r="F922" s="175">
        <f>IFERROR(__xludf.DUMMYFUNCTION("average.weighted(filter(Data!K:K,Data!B:B=A922),filter(Data!F:F,Data!B:B=A922))"),-0.5405865436535372)</f>
        <v>-0.5405865437</v>
      </c>
      <c r="G922" s="175">
        <f>IFERROR(__xludf.DUMMYFUNCTION("average.weighted(filter(Data!L:L,Data!B:B=A922),filter(Data!F:F,Data!B:B=A922))"),-0.3867103625821868)</f>
        <v>-0.3867103626</v>
      </c>
    </row>
    <row r="923">
      <c r="A923" s="172" t="s">
        <v>1158</v>
      </c>
      <c r="B923" s="173">
        <f>countif(Data!B:B,A923)</f>
        <v>4</v>
      </c>
      <c r="C923" s="174">
        <f>sumif(Data!B:B,A923,Data!M:M)</f>
        <v>3.884852671</v>
      </c>
      <c r="D923" s="174">
        <f t="shared" si="1"/>
        <v>0.9712131677</v>
      </c>
      <c r="E923" s="175">
        <f t="shared" si="2"/>
        <v>-0.9304550615</v>
      </c>
      <c r="F923" s="175">
        <f>IFERROR(__xludf.DUMMYFUNCTION("average.weighted(filter(Data!K:K,Data!B:B=A923),filter(Data!F:F,Data!B:B=A923))"),-1.351663856583013)</f>
        <v>-1.351663857</v>
      </c>
      <c r="G923" s="175">
        <f>IFERROR(__xludf.DUMMYFUNCTION("average.weighted(filter(Data!L:L,Data!B:B=A923),filter(Data!F:F,Data!B:B=A923))"),0.42120879510402554)</f>
        <v>0.4212087951</v>
      </c>
    </row>
    <row r="924">
      <c r="A924" s="172" t="s">
        <v>1159</v>
      </c>
      <c r="B924" s="173">
        <f>countif(Data!B:B,A924)</f>
        <v>2</v>
      </c>
      <c r="C924" s="174">
        <f>sumif(Data!B:B,A924,Data!M:M)</f>
        <v>3.202916909</v>
      </c>
      <c r="D924" s="174">
        <f t="shared" si="1"/>
        <v>1.601458455</v>
      </c>
      <c r="E924" s="175">
        <f t="shared" si="2"/>
        <v>-0.9344440557</v>
      </c>
      <c r="F924" s="175">
        <f>IFERROR(__xludf.DUMMYFUNCTION("average.weighted(filter(Data!K:K,Data!B:B=A924),filter(Data!F:F,Data!B:B=A924))"),-1.004571378570615)</f>
        <v>-1.004571379</v>
      </c>
      <c r="G924" s="175">
        <f>IFERROR(__xludf.DUMMYFUNCTION("average.weighted(filter(Data!L:L,Data!B:B=A924),filter(Data!F:F,Data!B:B=A924))"),0.07012732289081934)</f>
        <v>0.07012732289</v>
      </c>
    </row>
    <row r="925">
      <c r="A925" s="172" t="s">
        <v>1160</v>
      </c>
      <c r="B925" s="173">
        <f>countif(Data!B:B,A925)</f>
        <v>3</v>
      </c>
      <c r="C925" s="174">
        <f>sumif(Data!B:B,A925,Data!M:M)</f>
        <v>0.1832232778</v>
      </c>
      <c r="D925" s="174">
        <f t="shared" si="1"/>
        <v>0.06107442594</v>
      </c>
      <c r="E925" s="175">
        <f t="shared" si="2"/>
        <v>-0.9373773101</v>
      </c>
      <c r="F925" s="175">
        <f>IFERROR(__xludf.DUMMYFUNCTION("average.weighted(filter(Data!K:K,Data!B:B=A925),filter(Data!F:F,Data!B:B=A925))"),-0.10402938000197251)</f>
        <v>-0.10402938</v>
      </c>
      <c r="G925" s="175">
        <f>IFERROR(__xludf.DUMMYFUNCTION("average.weighted(filter(Data!L:L,Data!B:B=A925),filter(Data!F:F,Data!B:B=A925))"),-0.8333479300981471)</f>
        <v>-0.8333479301</v>
      </c>
    </row>
    <row r="926">
      <c r="A926" s="172" t="s">
        <v>1161</v>
      </c>
      <c r="B926" s="173">
        <f>countif(Data!B:B,A926)</f>
        <v>7</v>
      </c>
      <c r="C926" s="174">
        <f>sumif(Data!B:B,A926,Data!M:M)</f>
        <v>11.13426858</v>
      </c>
      <c r="D926" s="174">
        <f t="shared" si="1"/>
        <v>1.590609797</v>
      </c>
      <c r="E926" s="175">
        <f t="shared" si="2"/>
        <v>-0.9398461844</v>
      </c>
      <c r="F926" s="175">
        <f>IFERROR(__xludf.DUMMYFUNCTION("average.weighted(filter(Data!K:K,Data!B:B=A926),filter(Data!F:F,Data!B:B=A926))"),-1.2453693659348535)</f>
        <v>-1.245369366</v>
      </c>
      <c r="G926" s="175">
        <f>IFERROR(__xludf.DUMMYFUNCTION("average.weighted(filter(Data!L:L,Data!B:B=A926),filter(Data!F:F,Data!B:B=A926))"),0.30552318152039376)</f>
        <v>0.3055231815</v>
      </c>
    </row>
    <row r="927">
      <c r="A927" s="172" t="s">
        <v>1162</v>
      </c>
      <c r="B927" s="173">
        <f>countif(Data!B:B,A927)</f>
        <v>1</v>
      </c>
      <c r="C927" s="174">
        <f>sumif(Data!B:B,A927,Data!M:M)</f>
        <v>0.1203404418</v>
      </c>
      <c r="D927" s="174">
        <f t="shared" si="1"/>
        <v>0.1203404418</v>
      </c>
      <c r="E927" s="175">
        <f t="shared" si="2"/>
        <v>-0.8417397092</v>
      </c>
      <c r="F927" s="175">
        <f>IFERROR(__xludf.DUMMYFUNCTION("average.weighted(filter(Data!K:K,Data!B:B=A927),filter(Data!F:F,Data!B:B=A927))"),0.23634455455272)</f>
        <v>0.2363445546</v>
      </c>
      <c r="G927" s="175">
        <f>IFERROR(__xludf.DUMMYFUNCTION("average.weighted(filter(Data!L:L,Data!B:B=A927),filter(Data!F:F,Data!B:B=A927))"),-1.07808426370671)</f>
        <v>-1.078084264</v>
      </c>
    </row>
    <row r="928">
      <c r="A928" s="172" t="s">
        <v>1163</v>
      </c>
      <c r="B928" s="173">
        <f>countif(Data!B:B,A928)</f>
        <v>1</v>
      </c>
      <c r="C928" s="174">
        <f>sumif(Data!B:B,A928,Data!M:M)</f>
        <v>0.07353808785</v>
      </c>
      <c r="D928" s="174">
        <f t="shared" si="1"/>
        <v>0.07353808785</v>
      </c>
      <c r="E928" s="175">
        <f t="shared" si="2"/>
        <v>-0.9501830352</v>
      </c>
      <c r="F928" s="175">
        <f>IFERROR(__xludf.DUMMYFUNCTION("average.weighted(filter(Data!K:K,Data!B:B=A928),filter(Data!F:F,Data!B:B=A928))"),-0.631730406642424)</f>
        <v>-0.6317304066</v>
      </c>
      <c r="G928" s="175">
        <f>IFERROR(__xludf.DUMMYFUNCTION("average.weighted(filter(Data!L:L,Data!B:B=A928),filter(Data!F:F,Data!B:B=A928))"),-0.318452628562334)</f>
        <v>-0.3184526286</v>
      </c>
    </row>
    <row r="929">
      <c r="A929" s="172" t="s">
        <v>1164</v>
      </c>
      <c r="B929" s="173">
        <f>countif(Data!B:B,A929)</f>
        <v>4</v>
      </c>
      <c r="C929" s="174">
        <f>sumif(Data!B:B,A929,Data!M:M)</f>
        <v>2.340192546</v>
      </c>
      <c r="D929" s="174">
        <f t="shared" si="1"/>
        <v>0.5850481365</v>
      </c>
      <c r="E929" s="175">
        <f t="shared" si="2"/>
        <v>-0.9509696051</v>
      </c>
      <c r="F929" s="175">
        <f>IFERROR(__xludf.DUMMYFUNCTION("average.weighted(filter(Data!K:K,Data!B:B=A929),filter(Data!F:F,Data!B:B=A929))"),-1.0467807995570826)</f>
        <v>-1.0467808</v>
      </c>
      <c r="G929" s="175">
        <f>IFERROR(__xludf.DUMMYFUNCTION("average.weighted(filter(Data!L:L,Data!B:B=A929),filter(Data!F:F,Data!B:B=A929))"),0.09581119446958457)</f>
        <v>0.09581119447</v>
      </c>
    </row>
    <row r="930">
      <c r="A930" s="172" t="s">
        <v>1165</v>
      </c>
      <c r="B930" s="173">
        <f>countif(Data!B:B,A930)</f>
        <v>5</v>
      </c>
      <c r="C930" s="174">
        <f>sumif(Data!B:B,A930,Data!M:M)</f>
        <v>6.283689962</v>
      </c>
      <c r="D930" s="174">
        <f t="shared" si="1"/>
        <v>1.256737992</v>
      </c>
      <c r="E930" s="175">
        <f t="shared" si="2"/>
        <v>-1.038434631</v>
      </c>
      <c r="F930" s="175">
        <f>IFERROR(__xludf.DUMMYFUNCTION("average.weighted(filter(Data!K:K,Data!B:B=A930),filter(Data!F:F,Data!B:B=A930))"),-1.0203860273737655)</f>
        <v>-1.020386027</v>
      </c>
      <c r="G930" s="175">
        <f>IFERROR(__xludf.DUMMYFUNCTION("average.weighted(filter(Data!L:L,Data!B:B=A930),filter(Data!F:F,Data!B:B=A930))"),-0.018048603866323478)</f>
        <v>-0.01804860387</v>
      </c>
    </row>
    <row r="931">
      <c r="A931" s="172" t="s">
        <v>1166</v>
      </c>
      <c r="B931" s="173">
        <f>countif(Data!B:B,A931)</f>
        <v>1</v>
      </c>
      <c r="C931" s="174">
        <f>sumif(Data!B:B,A931,Data!M:M)</f>
        <v>0.01744022097</v>
      </c>
      <c r="D931" s="174">
        <f t="shared" si="1"/>
        <v>0.01744022097</v>
      </c>
      <c r="E931" s="175">
        <f t="shared" si="2"/>
        <v>-0.9521742866</v>
      </c>
      <c r="F931" s="175">
        <f>IFERROR(__xludf.DUMMYFUNCTION("average.weighted(filter(Data!K:K,Data!B:B=A931),filter(Data!F:F,Data!B:B=A931))"),-0.33054141868286)</f>
        <v>-0.3305414187</v>
      </c>
      <c r="G931" s="175">
        <f>IFERROR(__xludf.DUMMYFUNCTION("average.weighted(filter(Data!L:L,Data!B:B=A931),filter(Data!F:F,Data!B:B=A931))"),-0.621632867917704)</f>
        <v>-0.6216328679</v>
      </c>
    </row>
    <row r="932">
      <c r="A932" s="172" t="s">
        <v>1167</v>
      </c>
      <c r="B932" s="173">
        <f>countif(Data!B:B,A932)</f>
        <v>1</v>
      </c>
      <c r="C932" s="174">
        <f>sumif(Data!B:B,A932,Data!M:M)</f>
        <v>1.366378677</v>
      </c>
      <c r="D932" s="174">
        <f t="shared" si="1"/>
        <v>1.366378677</v>
      </c>
      <c r="E932" s="175">
        <f t="shared" si="2"/>
        <v>-0.9522651981</v>
      </c>
      <c r="F932" s="175">
        <f>IFERROR(__xludf.DUMMYFUNCTION("average.weighted(filter(Data!K:K,Data!B:B=A932),filter(Data!F:F,Data!B:B=A932))"),-0.132414647475136)</f>
        <v>-0.1324146475</v>
      </c>
      <c r="G932" s="175">
        <f>IFERROR(__xludf.DUMMYFUNCTION("average.weighted(filter(Data!L:L,Data!B:B=A932),filter(Data!F:F,Data!B:B=A932))"),-0.819850550592884)</f>
        <v>-0.8198505506</v>
      </c>
    </row>
    <row r="933">
      <c r="A933" s="172" t="s">
        <v>1168</v>
      </c>
      <c r="B933" s="173">
        <f>countif(Data!B:B,A933)</f>
        <v>1</v>
      </c>
      <c r="C933" s="174">
        <f>sumif(Data!B:B,A933,Data!M:M)</f>
        <v>0.06245636152</v>
      </c>
      <c r="D933" s="174">
        <f t="shared" si="1"/>
        <v>0.06245636152</v>
      </c>
      <c r="E933" s="175">
        <f t="shared" si="2"/>
        <v>-0.953456309</v>
      </c>
      <c r="F933" s="175">
        <f>IFERROR(__xludf.DUMMYFUNCTION("average.weighted(filter(Data!K:K,Data!B:B=A933),filter(Data!F:F,Data!B:B=A933))"),-0.561504839131672)</f>
        <v>-0.5615048391</v>
      </c>
      <c r="G933" s="175">
        <f>IFERROR(__xludf.DUMMYFUNCTION("average.weighted(filter(Data!L:L,Data!B:B=A933),filter(Data!F:F,Data!B:B=A933))"),-0.391951469818628)</f>
        <v>-0.3919514698</v>
      </c>
    </row>
    <row r="934">
      <c r="A934" s="172" t="s">
        <v>1169</v>
      </c>
      <c r="B934" s="173">
        <f>countif(Data!B:B,A934)</f>
        <v>4</v>
      </c>
      <c r="C934" s="174">
        <f>sumif(Data!B:B,A934,Data!M:M)</f>
        <v>1.879578178</v>
      </c>
      <c r="D934" s="174">
        <f t="shared" si="1"/>
        <v>0.4698945446</v>
      </c>
      <c r="E934" s="175">
        <f t="shared" si="2"/>
        <v>-0.9534911442</v>
      </c>
      <c r="F934" s="175">
        <f>IFERROR(__xludf.DUMMYFUNCTION("average.weighted(filter(Data!K:K,Data!B:B=A934),filter(Data!F:F,Data!B:B=A934))"),-2.2818563392398112)</f>
        <v>-2.281856339</v>
      </c>
      <c r="G934" s="175">
        <f>IFERROR(__xludf.DUMMYFUNCTION("average.weighted(filter(Data!L:L,Data!B:B=A934),filter(Data!F:F,Data!B:B=A934))"),1.328365195026852)</f>
        <v>1.328365195</v>
      </c>
    </row>
    <row r="935">
      <c r="A935" s="172" t="s">
        <v>1170</v>
      </c>
      <c r="B935" s="173">
        <f>countif(Data!B:B,A935)</f>
        <v>2</v>
      </c>
      <c r="C935" s="174">
        <f>sumif(Data!B:B,A935,Data!M:M)</f>
        <v>0.4371948771</v>
      </c>
      <c r="D935" s="174">
        <f t="shared" si="1"/>
        <v>0.2185974386</v>
      </c>
      <c r="E935" s="175">
        <f t="shared" si="2"/>
        <v>-0.9540601832</v>
      </c>
      <c r="F935" s="175">
        <f>IFERROR(__xludf.DUMMYFUNCTION("average.weighted(filter(Data!K:K,Data!B:B=A935),filter(Data!F:F,Data!B:B=A935))"),-0.4257269847689446)</f>
        <v>-0.4257269848</v>
      </c>
      <c r="G935" s="175">
        <f>IFERROR(__xludf.DUMMYFUNCTION("average.weighted(filter(Data!L:L,Data!B:B=A935),filter(Data!F:F,Data!B:B=A935))"),-0.5283331984538094)</f>
        <v>-0.5283331985</v>
      </c>
    </row>
    <row r="936">
      <c r="A936" s="172" t="s">
        <v>1171</v>
      </c>
      <c r="B936" s="173">
        <f>countif(Data!B:B,A936)</f>
        <v>3</v>
      </c>
      <c r="C936" s="174">
        <f>sumif(Data!B:B,A936,Data!M:M)</f>
        <v>1.590453494</v>
      </c>
      <c r="D936" s="174">
        <f t="shared" si="1"/>
        <v>0.5301511648</v>
      </c>
      <c r="E936" s="175">
        <f t="shared" si="2"/>
        <v>-0.9683057139</v>
      </c>
      <c r="F936" s="175">
        <f>IFERROR(__xludf.DUMMYFUNCTION("average.weighted(filter(Data!K:K,Data!B:B=A936),filter(Data!F:F,Data!B:B=A936))"),-1.2875128341953734)</f>
        <v>-1.287512834</v>
      </c>
      <c r="G936" s="175">
        <f>IFERROR(__xludf.DUMMYFUNCTION("average.weighted(filter(Data!L:L,Data!B:B=A936),filter(Data!F:F,Data!B:B=A936))"),0.31920712030872544)</f>
        <v>0.3192071203</v>
      </c>
    </row>
    <row r="937">
      <c r="A937" s="172" t="s">
        <v>1172</v>
      </c>
      <c r="B937" s="173">
        <f>countif(Data!B:B,A937)</f>
        <v>3</v>
      </c>
      <c r="C937" s="174">
        <f>sumif(Data!B:B,A937,Data!M:M)</f>
        <v>2.871484089</v>
      </c>
      <c r="D937" s="174">
        <f t="shared" si="1"/>
        <v>0.9571613629</v>
      </c>
      <c r="E937" s="175">
        <f t="shared" si="2"/>
        <v>-0.9644696226</v>
      </c>
      <c r="F937" s="175">
        <f>IFERROR(__xludf.DUMMYFUNCTION("average.weighted(filter(Data!K:K,Data!B:B=A937),filter(Data!F:F,Data!B:B=A937))"),-0.9998991649661845)</f>
        <v>-0.999899165</v>
      </c>
      <c r="G937" s="175">
        <f>IFERROR(__xludf.DUMMYFUNCTION("average.weighted(filter(Data!L:L,Data!B:B=A937),filter(Data!F:F,Data!B:B=A937))"),0.03542954237934588)</f>
        <v>0.03542954238</v>
      </c>
    </row>
    <row r="938">
      <c r="A938" s="172" t="s">
        <v>1173</v>
      </c>
      <c r="B938" s="173">
        <f>countif(Data!B:B,A938)</f>
        <v>1</v>
      </c>
      <c r="C938" s="174">
        <f>sumif(Data!B:B,A938,Data!M:M)</f>
        <v>0.2562524196</v>
      </c>
      <c r="D938" s="174">
        <f t="shared" si="1"/>
        <v>0.2562524196</v>
      </c>
      <c r="E938" s="175">
        <f t="shared" si="2"/>
        <v>-1.13313242</v>
      </c>
      <c r="F938" s="175">
        <f>IFERROR(__xludf.DUMMYFUNCTION("average.weighted(filter(Data!K:K,Data!B:B=A938),filter(Data!F:F,Data!B:B=A938))"),-2.110974983985)</f>
        <v>-2.110974984</v>
      </c>
      <c r="G938" s="175">
        <f>IFERROR(__xludf.DUMMYFUNCTION("average.weighted(filter(Data!L:L,Data!B:B=A938),filter(Data!F:F,Data!B:B=A938))"),0.977842563686609)</f>
        <v>0.9778425637</v>
      </c>
    </row>
    <row r="939">
      <c r="A939" s="172" t="s">
        <v>1174</v>
      </c>
      <c r="B939" s="173">
        <f>countif(Data!B:B,A939)</f>
        <v>7</v>
      </c>
      <c r="C939" s="174">
        <f>sumif(Data!B:B,A939,Data!M:M)</f>
        <v>10.85121266</v>
      </c>
      <c r="D939" s="174">
        <f t="shared" si="1"/>
        <v>1.550173237</v>
      </c>
      <c r="E939" s="175">
        <f t="shared" si="2"/>
        <v>-0.9714387245</v>
      </c>
      <c r="F939" s="175">
        <f>IFERROR(__xludf.DUMMYFUNCTION("average.weighted(filter(Data!K:K,Data!B:B=A939),filter(Data!F:F,Data!B:B=A939))"),-0.3545197264725307)</f>
        <v>-0.3545197265</v>
      </c>
      <c r="G939" s="175">
        <f>IFERROR(__xludf.DUMMYFUNCTION("average.weighted(filter(Data!L:L,Data!B:B=A939),filter(Data!F:F,Data!B:B=A939))"),-0.6169189979953471)</f>
        <v>-0.616918998</v>
      </c>
    </row>
    <row r="940">
      <c r="A940" s="172" t="s">
        <v>1175</v>
      </c>
      <c r="B940" s="173">
        <f>countif(Data!B:B,A940)</f>
        <v>1</v>
      </c>
      <c r="C940" s="174">
        <f>sumif(Data!B:B,A940,Data!M:M)</f>
        <v>0.1044790898</v>
      </c>
      <c r="D940" s="174">
        <f t="shared" si="1"/>
        <v>0.1044790898</v>
      </c>
      <c r="E940" s="175">
        <f t="shared" si="2"/>
        <v>-0.9723251215</v>
      </c>
      <c r="F940" s="175">
        <f>IFERROR(__xludf.DUMMYFUNCTION("average.weighted(filter(Data!K:K,Data!B:B=A940),filter(Data!F:F,Data!B:B=A940))"),-0.554899970593465)</f>
        <v>-0.5548999706</v>
      </c>
      <c r="G940" s="175">
        <f>IFERROR(__xludf.DUMMYFUNCTION("average.weighted(filter(Data!L:L,Data!B:B=A940),filter(Data!F:F,Data!B:B=A940))"),-0.417425150917118)</f>
        <v>-0.4174251509</v>
      </c>
    </row>
    <row r="941">
      <c r="A941" s="172" t="s">
        <v>1176</v>
      </c>
      <c r="B941" s="173">
        <f>countif(Data!B:B,A941)</f>
        <v>3</v>
      </c>
      <c r="C941" s="174">
        <f>sumif(Data!B:B,A941,Data!M:M)</f>
        <v>2.638440968</v>
      </c>
      <c r="D941" s="174">
        <f t="shared" si="1"/>
        <v>0.8794803227</v>
      </c>
      <c r="E941" s="175">
        <f t="shared" si="2"/>
        <v>-0.9776412588</v>
      </c>
      <c r="F941" s="175">
        <f>IFERROR(__xludf.DUMMYFUNCTION("average.weighted(filter(Data!K:K,Data!B:B=A941),filter(Data!F:F,Data!B:B=A941))"),-1.0906004051757408)</f>
        <v>-1.090600405</v>
      </c>
      <c r="G941" s="175">
        <f>IFERROR(__xludf.DUMMYFUNCTION("average.weighted(filter(Data!L:L,Data!B:B=A941),filter(Data!F:F,Data!B:B=A941))"),0.1129591463390554)</f>
        <v>0.1129591463</v>
      </c>
    </row>
    <row r="942">
      <c r="A942" s="172" t="s">
        <v>1177</v>
      </c>
      <c r="B942" s="173">
        <f>countif(Data!B:B,A942)</f>
        <v>1</v>
      </c>
      <c r="C942" s="174">
        <f>sumif(Data!B:B,A942,Data!M:M)</f>
        <v>0.05188742494</v>
      </c>
      <c r="D942" s="174">
        <f t="shared" si="1"/>
        <v>0.05188742494</v>
      </c>
      <c r="E942" s="175">
        <f t="shared" si="2"/>
        <v>-0.910128319</v>
      </c>
      <c r="F942" s="175">
        <f>IFERROR(__xludf.DUMMYFUNCTION("average.weighted(filter(Data!K:K,Data!B:B=A942),filter(Data!F:F,Data!B:B=A942))"),-0.868266602064051)</f>
        <v>-0.8682666021</v>
      </c>
      <c r="G942" s="175">
        <f>IFERROR(__xludf.DUMMYFUNCTION("average.weighted(filter(Data!L:L,Data!B:B=A942),filter(Data!F:F,Data!B:B=A942))"),-0.0418617169293695)</f>
        <v>-0.04186171693</v>
      </c>
    </row>
    <row r="943">
      <c r="A943" s="172" t="s">
        <v>1178</v>
      </c>
      <c r="B943" s="173">
        <f>countif(Data!B:B,A943)</f>
        <v>1</v>
      </c>
      <c r="C943" s="174">
        <f>sumif(Data!B:B,A943,Data!M:M)</f>
        <v>0.004227663282</v>
      </c>
      <c r="D943" s="174">
        <f t="shared" si="1"/>
        <v>0.004227663282</v>
      </c>
      <c r="E943" s="175">
        <f t="shared" si="2"/>
        <v>-0.981604706</v>
      </c>
      <c r="F943" s="175">
        <f>IFERROR(__xludf.DUMMYFUNCTION("average.weighted(filter(Data!K:K,Data!B:B=A943),filter(Data!F:F,Data!B:B=A943))"),-0.108926080025284)</f>
        <v>-0.10892608</v>
      </c>
      <c r="G943" s="175">
        <f>IFERROR(__xludf.DUMMYFUNCTION("average.weighted(filter(Data!L:L,Data!B:B=A943),filter(Data!F:F,Data!B:B=A943))"),-0.872678626015791)</f>
        <v>-0.872678626</v>
      </c>
    </row>
    <row r="944">
      <c r="A944" s="172" t="s">
        <v>1179</v>
      </c>
      <c r="B944" s="173">
        <f>countif(Data!B:B,A944)</f>
        <v>4</v>
      </c>
      <c r="C944" s="174">
        <f>sumif(Data!B:B,A944,Data!M:M)</f>
        <v>4.53937784</v>
      </c>
      <c r="D944" s="174">
        <f t="shared" si="1"/>
        <v>1.13484446</v>
      </c>
      <c r="E944" s="175">
        <f t="shared" si="2"/>
        <v>-0.9833765245</v>
      </c>
      <c r="F944" s="175">
        <f>IFERROR(__xludf.DUMMYFUNCTION("average.weighted(filter(Data!K:K,Data!B:B=A944),filter(Data!F:F,Data!B:B=A944))"),-1.232218911781111)</f>
        <v>-1.232218912</v>
      </c>
      <c r="G944" s="175">
        <f>IFERROR(__xludf.DUMMYFUNCTION("average.weighted(filter(Data!L:L,Data!B:B=A944),filter(Data!F:F,Data!B:B=A944))"),0.2488423873306744)</f>
        <v>0.2488423873</v>
      </c>
    </row>
    <row r="945">
      <c r="A945" s="172" t="s">
        <v>1180</v>
      </c>
      <c r="B945" s="173">
        <f>countif(Data!B:B,A945)</f>
        <v>2</v>
      </c>
      <c r="C945" s="174">
        <f>sumif(Data!B:B,A945,Data!M:M)</f>
        <v>0.1641788925</v>
      </c>
      <c r="D945" s="174">
        <f t="shared" si="1"/>
        <v>0.08208944625</v>
      </c>
      <c r="E945" s="175">
        <f t="shared" si="2"/>
        <v>-1.064443112</v>
      </c>
      <c r="F945" s="175">
        <f>IFERROR(__xludf.DUMMYFUNCTION("average.weighted(filter(Data!K:K,Data!B:B=A945),filter(Data!F:F,Data!B:B=A945))"),-0.6680762546288518)</f>
        <v>-0.6680762546</v>
      </c>
      <c r="G945" s="175">
        <f>IFERROR(__xludf.DUMMYFUNCTION("average.weighted(filter(Data!L:L,Data!B:B=A945),filter(Data!F:F,Data!B:B=A945))"),-0.396366857392617)</f>
        <v>-0.3963668574</v>
      </c>
    </row>
    <row r="946">
      <c r="A946" s="172" t="s">
        <v>1181</v>
      </c>
      <c r="B946" s="173">
        <f>countif(Data!B:B,A946)</f>
        <v>3</v>
      </c>
      <c r="C946" s="174">
        <f>sumif(Data!B:B,A946,Data!M:M)</f>
        <v>3.148739298</v>
      </c>
      <c r="D946" s="174">
        <f t="shared" si="1"/>
        <v>1.049579766</v>
      </c>
      <c r="E946" s="175">
        <f t="shared" si="2"/>
        <v>-1.059840864</v>
      </c>
      <c r="F946" s="175">
        <f>IFERROR(__xludf.DUMMYFUNCTION("average.weighted(filter(Data!K:K,Data!B:B=A946),filter(Data!F:F,Data!B:B=A946))"),-1.259333197002033)</f>
        <v>-1.259333197</v>
      </c>
      <c r="G946" s="175">
        <f>IFERROR(__xludf.DUMMYFUNCTION("average.weighted(filter(Data!L:L,Data!B:B=A946),filter(Data!F:F,Data!B:B=A946))"),0.199492332532769)</f>
        <v>0.1994923325</v>
      </c>
    </row>
    <row r="947">
      <c r="A947" s="172" t="s">
        <v>1182</v>
      </c>
      <c r="B947" s="173">
        <f>countif(Data!B:B,A947)</f>
        <v>5</v>
      </c>
      <c r="C947" s="174">
        <f>sumif(Data!B:B,A947,Data!M:M)</f>
        <v>3.18064536</v>
      </c>
      <c r="D947" s="174">
        <f t="shared" si="1"/>
        <v>0.636129072</v>
      </c>
      <c r="E947" s="175">
        <f t="shared" si="2"/>
        <v>-0.9872924193</v>
      </c>
      <c r="F947" s="175">
        <f>IFERROR(__xludf.DUMMYFUNCTION("average.weighted(filter(Data!K:K,Data!B:B=A947),filter(Data!F:F,Data!B:B=A947))"),-1.2596872536615649)</f>
        <v>-1.259687254</v>
      </c>
      <c r="G947" s="175">
        <f>IFERROR(__xludf.DUMMYFUNCTION("average.weighted(filter(Data!L:L,Data!B:B=A947),filter(Data!F:F,Data!B:B=A947))"),0.2723948343958666)</f>
        <v>0.2723948344</v>
      </c>
    </row>
    <row r="948">
      <c r="A948" s="172" t="s">
        <v>1183</v>
      </c>
      <c r="B948" s="173">
        <f>countif(Data!B:B,A948)</f>
        <v>1</v>
      </c>
      <c r="C948" s="174">
        <f>sumif(Data!B:B,A948,Data!M:M)</f>
        <v>0.01216653965</v>
      </c>
      <c r="D948" s="174">
        <f t="shared" si="1"/>
        <v>0.01216653965</v>
      </c>
      <c r="E948" s="175">
        <f t="shared" si="2"/>
        <v>-0.9976782779</v>
      </c>
      <c r="F948" s="175">
        <f>IFERROR(__xludf.DUMMYFUNCTION("average.weighted(filter(Data!K:K,Data!B:B=A948),filter(Data!F:F,Data!B:B=A948))"),-0.546117275609915)</f>
        <v>-0.5461172756</v>
      </c>
      <c r="G948" s="175">
        <f>IFERROR(__xludf.DUMMYFUNCTION("average.weighted(filter(Data!L:L,Data!B:B=A948),filter(Data!F:F,Data!B:B=A948))"),-0.451561002272488)</f>
        <v>-0.4515610023</v>
      </c>
    </row>
    <row r="949">
      <c r="A949" s="172" t="s">
        <v>1184</v>
      </c>
      <c r="B949" s="173">
        <f>countif(Data!B:B,A949)</f>
        <v>3</v>
      </c>
      <c r="C949" s="174">
        <f>sumif(Data!B:B,A949,Data!M:M)</f>
        <v>0.1829771383</v>
      </c>
      <c r="D949" s="174">
        <f t="shared" si="1"/>
        <v>0.06099237942</v>
      </c>
      <c r="E949" s="175">
        <f t="shared" si="2"/>
        <v>-1.443635115</v>
      </c>
      <c r="F949" s="175">
        <f>IFERROR(__xludf.DUMMYFUNCTION("average.weighted(filter(Data!K:K,Data!B:B=A949),filter(Data!F:F,Data!B:B=A949))"),-1.2493002699793023)</f>
        <v>-1.24930027</v>
      </c>
      <c r="G949" s="175">
        <f>IFERROR(__xludf.DUMMYFUNCTION("average.weighted(filter(Data!L:L,Data!B:B=A949),filter(Data!F:F,Data!B:B=A949))"),-0.19433484469679968)</f>
        <v>-0.1943348447</v>
      </c>
    </row>
    <row r="950">
      <c r="A950" s="172" t="s">
        <v>1185</v>
      </c>
      <c r="B950" s="173">
        <f>countif(Data!B:B,A950)</f>
        <v>1</v>
      </c>
      <c r="C950" s="174">
        <f>sumif(Data!B:B,A950,Data!M:M)</f>
        <v>0.2374703442</v>
      </c>
      <c r="D950" s="174">
        <f t="shared" si="1"/>
        <v>0.2374703442</v>
      </c>
      <c r="E950" s="175">
        <f t="shared" si="2"/>
        <v>-1.001431989</v>
      </c>
      <c r="F950" s="175">
        <f>IFERROR(__xludf.DUMMYFUNCTION("average.weighted(filter(Data!K:K,Data!B:B=A950),filter(Data!F:F,Data!B:B=A950))"),-1.07648407806381)</f>
        <v>-1.076484078</v>
      </c>
      <c r="G950" s="175">
        <f>IFERROR(__xludf.DUMMYFUNCTION("average.weighted(filter(Data!L:L,Data!B:B=A950),filter(Data!F:F,Data!B:B=A950))"),0.075052088703232)</f>
        <v>0.0750520887</v>
      </c>
    </row>
    <row r="951">
      <c r="A951" s="172" t="s">
        <v>1186</v>
      </c>
      <c r="B951" s="173">
        <f>countif(Data!B:B,A951)</f>
        <v>8</v>
      </c>
      <c r="C951" s="174">
        <f>sumif(Data!B:B,A951,Data!M:M)</f>
        <v>13.27055332</v>
      </c>
      <c r="D951" s="174">
        <f t="shared" si="1"/>
        <v>1.658819165</v>
      </c>
      <c r="E951" s="175">
        <f t="shared" si="2"/>
        <v>-0.9707970707</v>
      </c>
      <c r="F951" s="175">
        <f>IFERROR(__xludf.DUMMYFUNCTION("average.weighted(filter(Data!K:K,Data!B:B=A951),filter(Data!F:F,Data!B:B=A951))"),0.08227526242671519)</f>
        <v>0.08227526243</v>
      </c>
      <c r="G951" s="175">
        <f>IFERROR(__xludf.DUMMYFUNCTION("average.weighted(filter(Data!L:L,Data!B:B=A951),filter(Data!F:F,Data!B:B=A951))"),-1.053072333154816)</f>
        <v>-1.053072333</v>
      </c>
    </row>
    <row r="952">
      <c r="A952" s="172" t="s">
        <v>91</v>
      </c>
      <c r="B952" s="173">
        <f>countif(Data!B:B,A952)</f>
        <v>1</v>
      </c>
      <c r="C952" s="174">
        <f>sumif(Data!B:B,A952,Data!M:M)</f>
        <v>0.2698988498</v>
      </c>
      <c r="D952" s="174">
        <f t="shared" si="1"/>
        <v>0.2698988498</v>
      </c>
      <c r="E952" s="175">
        <f t="shared" si="2"/>
        <v>-1.007540541</v>
      </c>
      <c r="F952" s="175">
        <f>IFERROR(__xludf.DUMMYFUNCTION("average.weighted(filter(Data!K:K,Data!B:B=A952),filter(Data!F:F,Data!B:B=A952))"),-0.595754475574727)</f>
        <v>-0.5957544756</v>
      </c>
      <c r="G952" s="175">
        <f>IFERROR(__xludf.DUMMYFUNCTION("average.weighted(filter(Data!L:L,Data!B:B=A952),filter(Data!F:F,Data!B:B=A952))"),-0.411786065763205)</f>
        <v>-0.4117860658</v>
      </c>
    </row>
    <row r="953">
      <c r="A953" s="172" t="s">
        <v>1187</v>
      </c>
      <c r="B953" s="173">
        <f>countif(Data!B:B,A953)</f>
        <v>1</v>
      </c>
      <c r="C953" s="174">
        <f>sumif(Data!B:B,A953,Data!M:M)</f>
        <v>0.09074800047</v>
      </c>
      <c r="D953" s="174">
        <f t="shared" si="1"/>
        <v>0.09074800047</v>
      </c>
      <c r="E953" s="175">
        <f t="shared" si="2"/>
        <v>-2.019235652</v>
      </c>
      <c r="F953" s="175">
        <f>IFERROR(__xludf.DUMMYFUNCTION("average.weighted(filter(Data!K:K,Data!B:B=A953),filter(Data!F:F,Data!B:B=A953))"),-3.31495502658425)</f>
        <v>-3.314955027</v>
      </c>
      <c r="G953" s="175">
        <f>IFERROR(__xludf.DUMMYFUNCTION("average.weighted(filter(Data!L:L,Data!B:B=A953),filter(Data!F:F,Data!B:B=A953))"),1.29571937441886)</f>
        <v>1.295719374</v>
      </c>
    </row>
    <row r="954">
      <c r="A954" s="172" t="s">
        <v>1188</v>
      </c>
      <c r="B954" s="173">
        <f>countif(Data!B:B,A954)</f>
        <v>1</v>
      </c>
      <c r="C954" s="174">
        <f>sumif(Data!B:B,A954,Data!M:M)</f>
        <v>1.394059668</v>
      </c>
      <c r="D954" s="174">
        <f t="shared" si="1"/>
        <v>1.394059668</v>
      </c>
      <c r="E954" s="175">
        <f t="shared" si="2"/>
        <v>-1.010256572</v>
      </c>
      <c r="F954" s="175">
        <f>IFERROR(__xludf.DUMMYFUNCTION("average.weighted(filter(Data!K:K,Data!B:B=A954),filter(Data!F:F,Data!B:B=A954))"),-0.147211522733895)</f>
        <v>-0.1472115227</v>
      </c>
      <c r="G954" s="175">
        <f>IFERROR(__xludf.DUMMYFUNCTION("average.weighted(filter(Data!L:L,Data!B:B=A954),filter(Data!F:F,Data!B:B=A954))"),-0.863045049593989)</f>
        <v>-0.8630450496</v>
      </c>
    </row>
    <row r="955">
      <c r="A955" s="172" t="s">
        <v>1189</v>
      </c>
      <c r="B955" s="173">
        <f>countif(Data!B:B,A955)</f>
        <v>6</v>
      </c>
      <c r="C955" s="174">
        <f>sumif(Data!B:B,A955,Data!M:M)</f>
        <v>7.479562295</v>
      </c>
      <c r="D955" s="174">
        <f t="shared" si="1"/>
        <v>1.246593716</v>
      </c>
      <c r="E955" s="175">
        <f t="shared" si="2"/>
        <v>-1.010268326</v>
      </c>
      <c r="F955" s="175">
        <f>IFERROR(__xludf.DUMMYFUNCTION("average.weighted(filter(Data!K:K,Data!B:B=A955),filter(Data!F:F,Data!B:B=A955))"),0.21589600758835056)</f>
        <v>0.2158960076</v>
      </c>
      <c r="G955" s="175">
        <f>IFERROR(__xludf.DUMMYFUNCTION("average.weighted(filter(Data!L:L,Data!B:B=A955),filter(Data!F:F,Data!B:B=A955))"),-1.226164333510121)</f>
        <v>-1.226164334</v>
      </c>
    </row>
    <row r="956">
      <c r="A956" s="172" t="s">
        <v>1190</v>
      </c>
      <c r="B956" s="173">
        <f>countif(Data!B:B,A956)</f>
        <v>8</v>
      </c>
      <c r="C956" s="174">
        <f>sumif(Data!B:B,A956,Data!M:M)</f>
        <v>10.97670518</v>
      </c>
      <c r="D956" s="174">
        <f t="shared" si="1"/>
        <v>1.372088147</v>
      </c>
      <c r="E956" s="175">
        <f t="shared" si="2"/>
        <v>-1.005266954</v>
      </c>
      <c r="F956" s="175">
        <f>IFERROR(__xludf.DUMMYFUNCTION("average.weighted(filter(Data!K:K,Data!B:B=A956),filter(Data!F:F,Data!B:B=A956))"),0.40425161874837057)</f>
        <v>0.4042516187</v>
      </c>
      <c r="G956" s="175">
        <f>IFERROR(__xludf.DUMMYFUNCTION("average.weighted(filter(Data!L:L,Data!B:B=A956),filter(Data!F:F,Data!B:B=A956))"),-1.4095185728057797)</f>
        <v>-1.409518573</v>
      </c>
    </row>
    <row r="957">
      <c r="A957" s="172" t="s">
        <v>1191</v>
      </c>
      <c r="B957" s="173">
        <f>countif(Data!B:B,A957)</f>
        <v>3</v>
      </c>
      <c r="C957" s="174">
        <f>sumif(Data!B:B,A957,Data!M:M)</f>
        <v>2.997938299</v>
      </c>
      <c r="D957" s="174">
        <f t="shared" si="1"/>
        <v>0.9993127665</v>
      </c>
      <c r="E957" s="175">
        <f t="shared" si="2"/>
        <v>-1.013037638</v>
      </c>
      <c r="F957" s="175">
        <f>IFERROR(__xludf.DUMMYFUNCTION("average.weighted(filter(Data!K:K,Data!B:B=A957),filter(Data!F:F,Data!B:B=A957))"),-0.6498988983450787)</f>
        <v>-0.6498988983</v>
      </c>
      <c r="G957" s="175">
        <f>IFERROR(__xludf.DUMMYFUNCTION("average.weighted(filter(Data!L:L,Data!B:B=A957),filter(Data!F:F,Data!B:B=A957))"),-0.3631387396065241)</f>
        <v>-0.3631387396</v>
      </c>
    </row>
    <row r="958">
      <c r="A958" s="172" t="s">
        <v>1192</v>
      </c>
      <c r="B958" s="173">
        <f>countif(Data!B:B,A958)</f>
        <v>2</v>
      </c>
      <c r="C958" s="174">
        <f>sumif(Data!B:B,A958,Data!M:M)</f>
        <v>0.2226196788</v>
      </c>
      <c r="D958" s="174">
        <f t="shared" si="1"/>
        <v>0.1113098394</v>
      </c>
      <c r="E958" s="175">
        <f t="shared" si="2"/>
        <v>-1.448837969</v>
      </c>
      <c r="F958" s="175">
        <f>IFERROR(__xludf.DUMMYFUNCTION("average.weighted(filter(Data!K:K,Data!B:B=A958),filter(Data!F:F,Data!B:B=A958))"),-0.5781526017987765)</f>
        <v>-0.5781526018</v>
      </c>
      <c r="G958" s="175">
        <f>IFERROR(__xludf.DUMMYFUNCTION("average.weighted(filter(Data!L:L,Data!B:B=A958),filter(Data!F:F,Data!B:B=A958))"),-0.8706853668351444)</f>
        <v>-0.8706853668</v>
      </c>
    </row>
    <row r="959">
      <c r="A959" s="172" t="s">
        <v>1193</v>
      </c>
      <c r="B959" s="173">
        <f>countif(Data!B:B,A959)</f>
        <v>6</v>
      </c>
      <c r="C959" s="174">
        <f>sumif(Data!B:B,A959,Data!M:M)</f>
        <v>6.80535154</v>
      </c>
      <c r="D959" s="174">
        <f t="shared" si="1"/>
        <v>1.134225257</v>
      </c>
      <c r="E959" s="175">
        <f t="shared" si="2"/>
        <v>-0.8700866751</v>
      </c>
      <c r="F959" s="175">
        <f>IFERROR(__xludf.DUMMYFUNCTION("average.weighted(filter(Data!K:K,Data!B:B=A959),filter(Data!F:F,Data!B:B=A959))"),0.04030245598747087)</f>
        <v>0.04030245599</v>
      </c>
      <c r="G959" s="175">
        <f>IFERROR(__xludf.DUMMYFUNCTION("average.weighted(filter(Data!L:L,Data!B:B=A959),filter(Data!F:F,Data!B:B=A959))"),-0.9103891310723669)</f>
        <v>-0.9103891311</v>
      </c>
    </row>
    <row r="960">
      <c r="A960" s="172" t="s">
        <v>1194</v>
      </c>
      <c r="B960" s="173">
        <f>countif(Data!B:B,A960)</f>
        <v>2</v>
      </c>
      <c r="C960" s="174">
        <f>sumif(Data!B:B,A960,Data!M:M)</f>
        <v>0.2611773169</v>
      </c>
      <c r="D960" s="174">
        <f t="shared" si="1"/>
        <v>0.1305886585</v>
      </c>
      <c r="E960" s="175">
        <f t="shared" si="2"/>
        <v>-1.014475155</v>
      </c>
      <c r="F960" s="175">
        <f>IFERROR(__xludf.DUMMYFUNCTION("average.weighted(filter(Data!K:K,Data!B:B=A960),filter(Data!F:F,Data!B:B=A960))"),-1.3435630942188312)</f>
        <v>-1.343563094</v>
      </c>
      <c r="G960" s="175">
        <f>IFERROR(__xludf.DUMMYFUNCTION("average.weighted(filter(Data!L:L,Data!B:B=A960),filter(Data!F:F,Data!B:B=A960))"),0.3290879391773573)</f>
        <v>0.3290879392</v>
      </c>
    </row>
    <row r="961">
      <c r="A961" s="172" t="s">
        <v>1195</v>
      </c>
      <c r="B961" s="173">
        <f>countif(Data!B:B,A961)</f>
        <v>6</v>
      </c>
      <c r="C961" s="174">
        <f>sumif(Data!B:B,A961,Data!M:M)</f>
        <v>4.820188231</v>
      </c>
      <c r="D961" s="174">
        <f t="shared" si="1"/>
        <v>0.8033647051</v>
      </c>
      <c r="E961" s="175">
        <f t="shared" si="2"/>
        <v>-1.015506457</v>
      </c>
      <c r="F961" s="175">
        <f>IFERROR(__xludf.DUMMYFUNCTION("average.weighted(filter(Data!K:K,Data!B:B=A961),filter(Data!F:F,Data!B:B=A961))"),-2.038605070237953)</f>
        <v>-2.03860507</v>
      </c>
      <c r="G961" s="175">
        <f>IFERROR(__xludf.DUMMYFUNCTION("average.weighted(filter(Data!L:L,Data!B:B=A961),filter(Data!F:F,Data!B:B=A961))"),1.023098613513778)</f>
        <v>1.023098614</v>
      </c>
    </row>
    <row r="962">
      <c r="A962" s="172" t="s">
        <v>1196</v>
      </c>
      <c r="B962" s="173">
        <f>countif(Data!B:B,A962)</f>
        <v>1</v>
      </c>
      <c r="C962" s="174">
        <f>sumif(Data!B:B,A962,Data!M:M)</f>
        <v>-0.1002986845</v>
      </c>
      <c r="D962" s="174">
        <f t="shared" si="1"/>
        <v>-0.1002986845</v>
      </c>
      <c r="E962" s="175">
        <f t="shared" si="2"/>
        <v>-3.030740229</v>
      </c>
      <c r="F962" s="175">
        <f>IFERROR(__xludf.DUMMYFUNCTION("average.weighted(filter(Data!K:K,Data!B:B=A962),filter(Data!F:F,Data!B:B=A962))"),-2.59303059786196)</f>
        <v>-2.593030598</v>
      </c>
      <c r="G962" s="175">
        <f>IFERROR(__xludf.DUMMYFUNCTION("average.weighted(filter(Data!L:L,Data!B:B=A962),filter(Data!F:F,Data!B:B=A962))"),-0.437709631346456)</f>
        <v>-0.4377096313</v>
      </c>
    </row>
    <row r="963">
      <c r="A963" s="172" t="s">
        <v>1197</v>
      </c>
      <c r="B963" s="173">
        <f>countif(Data!B:B,A963)</f>
        <v>1</v>
      </c>
      <c r="C963" s="174">
        <f>sumif(Data!B:B,A963,Data!M:M)</f>
        <v>0.009831366634</v>
      </c>
      <c r="D963" s="174">
        <f t="shared" si="1"/>
        <v>0.009831366634</v>
      </c>
      <c r="E963" s="175">
        <f t="shared" si="2"/>
        <v>-1.01827643</v>
      </c>
      <c r="F963" s="175">
        <f>IFERROR(__xludf.DUMMYFUNCTION("average.weighted(filter(Data!K:K,Data!B:B=A963),filter(Data!F:F,Data!B:B=A963))"),-0.246062657728626)</f>
        <v>-0.2460626577</v>
      </c>
      <c r="G963" s="175">
        <f>IFERROR(__xludf.DUMMYFUNCTION("average.weighted(filter(Data!L:L,Data!B:B=A963),filter(Data!F:F,Data!B:B=A963))"),-0.772213771842152)</f>
        <v>-0.7722137718</v>
      </c>
    </row>
    <row r="964">
      <c r="A964" s="172" t="s">
        <v>1198</v>
      </c>
      <c r="B964" s="173">
        <f>countif(Data!B:B,A964)</f>
        <v>4</v>
      </c>
      <c r="C964" s="174">
        <f>sumif(Data!B:B,A964,Data!M:M)</f>
        <v>2.026874172</v>
      </c>
      <c r="D964" s="174">
        <f t="shared" si="1"/>
        <v>0.506718543</v>
      </c>
      <c r="E964" s="175">
        <f t="shared" si="2"/>
        <v>-1.019908381</v>
      </c>
      <c r="F964" s="175">
        <f>IFERROR(__xludf.DUMMYFUNCTION("average.weighted(filter(Data!K:K,Data!B:B=A964),filter(Data!F:F,Data!B:B=A964))"),-1.3192696737441867)</f>
        <v>-1.319269674</v>
      </c>
      <c r="G964" s="175">
        <f>IFERROR(__xludf.DUMMYFUNCTION("average.weighted(filter(Data!L:L,Data!B:B=A964),filter(Data!F:F,Data!B:B=A964))"),0.29936129263651023)</f>
        <v>0.2993612926</v>
      </c>
    </row>
    <row r="965">
      <c r="A965" s="172" t="s">
        <v>1199</v>
      </c>
      <c r="B965" s="173">
        <f>countif(Data!B:B,A965)</f>
        <v>1</v>
      </c>
      <c r="C965" s="174">
        <f>sumif(Data!B:B,A965,Data!M:M)</f>
        <v>0.05287037754</v>
      </c>
      <c r="D965" s="174">
        <f t="shared" si="1"/>
        <v>0.05287037754</v>
      </c>
      <c r="E965" s="175">
        <f t="shared" si="2"/>
        <v>-1.021040673</v>
      </c>
      <c r="F965" s="175">
        <f>IFERROR(__xludf.DUMMYFUNCTION("average.weighted(filter(Data!K:K,Data!B:B=A965),filter(Data!F:F,Data!B:B=A965))"),-0.831168722737767)</f>
        <v>-0.8311687227</v>
      </c>
      <c r="G965" s="175">
        <f>IFERROR(__xludf.DUMMYFUNCTION("average.weighted(filter(Data!L:L,Data!B:B=A965),filter(Data!F:F,Data!B:B=A965))"),-0.189871950356308)</f>
        <v>-0.1898719504</v>
      </c>
    </row>
    <row r="966">
      <c r="A966" s="172" t="s">
        <v>1200</v>
      </c>
      <c r="B966" s="173">
        <f>countif(Data!B:B,A966)</f>
        <v>3</v>
      </c>
      <c r="C966" s="174">
        <f>sumif(Data!B:B,A966,Data!M:M)</f>
        <v>2.424368464</v>
      </c>
      <c r="D966" s="174">
        <f t="shared" si="1"/>
        <v>0.8081228212</v>
      </c>
      <c r="E966" s="175">
        <f t="shared" si="2"/>
        <v>-1.021874677</v>
      </c>
      <c r="F966" s="175">
        <f>IFERROR(__xludf.DUMMYFUNCTION("average.weighted(filter(Data!K:K,Data!B:B=A966),filter(Data!F:F,Data!B:B=A966))"),-0.345353247884533)</f>
        <v>-0.3453532479</v>
      </c>
      <c r="G966" s="175">
        <f>IFERROR(__xludf.DUMMYFUNCTION("average.weighted(filter(Data!L:L,Data!B:B=A966),filter(Data!F:F,Data!B:B=A966))"),-0.6765214293794787)</f>
        <v>-0.6765214294</v>
      </c>
    </row>
    <row r="967">
      <c r="A967" s="172" t="s">
        <v>1201</v>
      </c>
      <c r="B967" s="173">
        <f>countif(Data!B:B,A967)</f>
        <v>8</v>
      </c>
      <c r="C967" s="174">
        <f>sumif(Data!B:B,A967,Data!M:M)</f>
        <v>11.36621205</v>
      </c>
      <c r="D967" s="174">
        <f t="shared" si="1"/>
        <v>1.420776506</v>
      </c>
      <c r="E967" s="175">
        <f t="shared" si="2"/>
        <v>-1.035332651</v>
      </c>
      <c r="F967" s="175">
        <f>IFERROR(__xludf.DUMMYFUNCTION("average.weighted(filter(Data!K:K,Data!B:B=A967),filter(Data!F:F,Data!B:B=A967))"),-0.7630053053294821)</f>
        <v>-0.7630053053</v>
      </c>
      <c r="G967" s="175">
        <f>IFERROR(__xludf.DUMMYFUNCTION("average.weighted(filter(Data!L:L,Data!B:B=A967),filter(Data!F:F,Data!B:B=A967))"),-0.27232734557033106)</f>
        <v>-0.2723273456</v>
      </c>
    </row>
    <row r="968">
      <c r="A968" s="172" t="s">
        <v>1202</v>
      </c>
      <c r="B968" s="173">
        <f>countif(Data!B:B,A968)</f>
        <v>3</v>
      </c>
      <c r="C968" s="174">
        <f>sumif(Data!B:B,A968,Data!M:M)</f>
        <v>2.027522833</v>
      </c>
      <c r="D968" s="174">
        <f t="shared" si="1"/>
        <v>0.6758409444</v>
      </c>
      <c r="E968" s="175">
        <f t="shared" si="2"/>
        <v>-1.029200643</v>
      </c>
      <c r="F968" s="175">
        <f>IFERROR(__xludf.DUMMYFUNCTION("average.weighted(filter(Data!K:K,Data!B:B=A968),filter(Data!F:F,Data!B:B=A968))"),0.2056416145603322)</f>
        <v>0.2056416146</v>
      </c>
      <c r="G968" s="175">
        <f>IFERROR(__xludf.DUMMYFUNCTION("average.weighted(filter(Data!L:L,Data!B:B=A968),filter(Data!F:F,Data!B:B=A968))"),-1.2348422570843882)</f>
        <v>-1.234842257</v>
      </c>
    </row>
    <row r="969">
      <c r="A969" s="172" t="s">
        <v>1203</v>
      </c>
      <c r="B969" s="173">
        <f>countif(Data!B:B,A969)</f>
        <v>1</v>
      </c>
      <c r="C969" s="174">
        <f>sumif(Data!B:B,A969,Data!M:M)</f>
        <v>0.1265787536</v>
      </c>
      <c r="D969" s="174">
        <f t="shared" si="1"/>
        <v>0.1265787536</v>
      </c>
      <c r="E969" s="175">
        <f t="shared" si="2"/>
        <v>-0.5216110836</v>
      </c>
      <c r="F969" s="175">
        <f>IFERROR(__xludf.DUMMYFUNCTION("average.weighted(filter(Data!K:K,Data!B:B=A969),filter(Data!F:F,Data!B:B=A969))"),-0.639299429664592)</f>
        <v>-0.6392994297</v>
      </c>
      <c r="G969" s="175">
        <f>IFERROR(__xludf.DUMMYFUNCTION("average.weighted(filter(Data!L:L,Data!B:B=A969),filter(Data!F:F,Data!B:B=A969))"),0.117688346059798)</f>
        <v>0.1176883461</v>
      </c>
    </row>
    <row r="970">
      <c r="A970" s="172" t="s">
        <v>1204</v>
      </c>
      <c r="B970" s="173">
        <f>countif(Data!B:B,A970)</f>
        <v>2</v>
      </c>
      <c r="C970" s="174">
        <f>sumif(Data!B:B,A970,Data!M:M)</f>
        <v>0.06173279471</v>
      </c>
      <c r="D970" s="174">
        <f t="shared" si="1"/>
        <v>0.03086639736</v>
      </c>
      <c r="E970" s="175">
        <f t="shared" si="2"/>
        <v>-1.036818799</v>
      </c>
      <c r="F970" s="175">
        <f>IFERROR(__xludf.DUMMYFUNCTION("average.weighted(filter(Data!K:K,Data!B:B=A970),filter(Data!F:F,Data!B:B=A970))"),-0.46890242194390297)</f>
        <v>-0.4689024219</v>
      </c>
      <c r="G970" s="175">
        <f>IFERROR(__xludf.DUMMYFUNCTION("average.weighted(filter(Data!L:L,Data!B:B=A970),filter(Data!F:F,Data!B:B=A970))"),-0.5679163769121702)</f>
        <v>-0.5679163769</v>
      </c>
    </row>
    <row r="971">
      <c r="A971" s="172" t="s">
        <v>1205</v>
      </c>
      <c r="B971" s="173">
        <f>countif(Data!B:B,A971)</f>
        <v>4</v>
      </c>
      <c r="C971" s="174">
        <f>sumif(Data!B:B,A971,Data!M:M)</f>
        <v>0.6479563267</v>
      </c>
      <c r="D971" s="174">
        <f t="shared" si="1"/>
        <v>0.1619890817</v>
      </c>
      <c r="E971" s="175">
        <f t="shared" si="2"/>
        <v>-1.038115788</v>
      </c>
      <c r="F971" s="175">
        <f>IFERROR(__xludf.DUMMYFUNCTION("average.weighted(filter(Data!K:K,Data!B:B=A971),filter(Data!F:F,Data!B:B=A971))"),-1.1192959324818914)</f>
        <v>-1.119295932</v>
      </c>
      <c r="G971" s="175">
        <f>IFERROR(__xludf.DUMMYFUNCTION("average.weighted(filter(Data!L:L,Data!B:B=A971),filter(Data!F:F,Data!B:B=A971))"),0.08118014460132424)</f>
        <v>0.0811801446</v>
      </c>
    </row>
    <row r="972">
      <c r="A972" s="172" t="s">
        <v>1206</v>
      </c>
      <c r="B972" s="173">
        <f>countif(Data!B:B,A972)</f>
        <v>3</v>
      </c>
      <c r="C972" s="174">
        <f>sumif(Data!B:B,A972,Data!M:M)</f>
        <v>3.368950527</v>
      </c>
      <c r="D972" s="174">
        <f t="shared" si="1"/>
        <v>1.122983509</v>
      </c>
      <c r="E972" s="175">
        <f t="shared" si="2"/>
        <v>-1.044864018</v>
      </c>
      <c r="F972" s="175">
        <f>IFERROR(__xludf.DUMMYFUNCTION("average.weighted(filter(Data!K:K,Data!B:B=A972),filter(Data!F:F,Data!B:B=A972))"),-0.6219484440676665)</f>
        <v>-0.6219484441</v>
      </c>
      <c r="G972" s="175">
        <f>IFERROR(__xludf.DUMMYFUNCTION("average.weighted(filter(Data!L:L,Data!B:B=A972),filter(Data!F:F,Data!B:B=A972))"),-0.42291557392484214)</f>
        <v>-0.4229155739</v>
      </c>
    </row>
    <row r="973">
      <c r="A973" s="172" t="s">
        <v>1207</v>
      </c>
      <c r="B973" s="173">
        <f>countif(Data!B:B,A973)</f>
        <v>1</v>
      </c>
      <c r="C973" s="174">
        <f>sumif(Data!B:B,A973,Data!M:M)</f>
        <v>0.04592001004</v>
      </c>
      <c r="D973" s="174">
        <f t="shared" si="1"/>
        <v>0.04592001004</v>
      </c>
      <c r="E973" s="175">
        <f t="shared" si="2"/>
        <v>-1.046129685</v>
      </c>
      <c r="F973" s="175">
        <f>IFERROR(__xludf.DUMMYFUNCTION("average.weighted(filter(Data!K:K,Data!B:B=A973),filter(Data!F:F,Data!B:B=A973))"),-0.41139913131408)</f>
        <v>-0.4113991313</v>
      </c>
      <c r="G973" s="175">
        <f>IFERROR(__xludf.DUMMYFUNCTION("average.weighted(filter(Data!L:L,Data!B:B=A973),filter(Data!F:F,Data!B:B=A973))"),-0.634730553689247)</f>
        <v>-0.6347305537</v>
      </c>
    </row>
    <row r="974">
      <c r="A974" s="172" t="s">
        <v>1208</v>
      </c>
      <c r="B974" s="173">
        <f>countif(Data!B:B,A974)</f>
        <v>1</v>
      </c>
      <c r="C974" s="174">
        <f>sumif(Data!B:B,A974,Data!M:M)</f>
        <v>0.009102012798</v>
      </c>
      <c r="D974" s="174">
        <f t="shared" si="1"/>
        <v>0.009102012798</v>
      </c>
      <c r="E974" s="175">
        <f t="shared" si="2"/>
        <v>-1.21914013</v>
      </c>
      <c r="F974" s="175">
        <f>IFERROR(__xludf.DUMMYFUNCTION("average.weighted(filter(Data!K:K,Data!B:B=A974),filter(Data!F:F,Data!B:B=A974))"),-0.25696513849249)</f>
        <v>-0.2569651385</v>
      </c>
      <c r="G974" s="175">
        <f>IFERROR(__xludf.DUMMYFUNCTION("average.weighted(filter(Data!L:L,Data!B:B=A974),filter(Data!F:F,Data!B:B=A974))"),-0.962174991694615)</f>
        <v>-0.9621749917</v>
      </c>
    </row>
    <row r="975">
      <c r="A975" s="172" t="s">
        <v>1209</v>
      </c>
      <c r="B975" s="173">
        <f>countif(Data!B:B,A975)</f>
        <v>2</v>
      </c>
      <c r="C975" s="174">
        <f>sumif(Data!B:B,A975,Data!M:M)</f>
        <v>0.07853890282</v>
      </c>
      <c r="D975" s="174">
        <f t="shared" si="1"/>
        <v>0.03926945141</v>
      </c>
      <c r="E975" s="175">
        <f t="shared" si="2"/>
        <v>-1.143973889</v>
      </c>
      <c r="F975" s="175">
        <f>IFERROR(__xludf.DUMMYFUNCTION("average.weighted(filter(Data!K:K,Data!B:B=A975),filter(Data!F:F,Data!B:B=A975))"),-0.8616705241755571)</f>
        <v>-0.8616705242</v>
      </c>
      <c r="G975" s="175">
        <f>IFERROR(__xludf.DUMMYFUNCTION("average.weighted(filter(Data!L:L,Data!B:B=A975),filter(Data!F:F,Data!B:B=A975))"),-0.2823033649060469)</f>
        <v>-0.2823033649</v>
      </c>
    </row>
    <row r="976">
      <c r="A976" s="172" t="s">
        <v>1210</v>
      </c>
      <c r="B976" s="173">
        <f>countif(Data!B:B,A976)</f>
        <v>1</v>
      </c>
      <c r="C976" s="174">
        <f>sumif(Data!B:B,A976,Data!M:M)</f>
        <v>0.07949764907</v>
      </c>
      <c r="D976" s="174">
        <f t="shared" si="1"/>
        <v>0.07949764907</v>
      </c>
      <c r="E976" s="175">
        <f t="shared" si="2"/>
        <v>-1.05223099</v>
      </c>
      <c r="F976" s="175">
        <f>IFERROR(__xludf.DUMMYFUNCTION("average.weighted(filter(Data!K:K,Data!B:B=A976),filter(Data!F:F,Data!B:B=A976))"),-1.05879377563223)</f>
        <v>-1.058793776</v>
      </c>
      <c r="G976" s="175">
        <f>IFERROR(__xludf.DUMMYFUNCTION("average.weighted(filter(Data!L:L,Data!B:B=A976),filter(Data!F:F,Data!B:B=A976))"),0.0065627858052918)</f>
        <v>0.006562785805</v>
      </c>
    </row>
    <row r="977">
      <c r="A977" s="172" t="s">
        <v>1211</v>
      </c>
      <c r="B977" s="173">
        <f>countif(Data!B:B,A977)</f>
        <v>2</v>
      </c>
      <c r="C977" s="174">
        <f>sumif(Data!B:B,A977,Data!M:M)</f>
        <v>0.2780965504</v>
      </c>
      <c r="D977" s="174">
        <f t="shared" si="1"/>
        <v>0.1390482752</v>
      </c>
      <c r="E977" s="175">
        <f t="shared" si="2"/>
        <v>-0.7234497757</v>
      </c>
      <c r="F977" s="175">
        <f>IFERROR(__xludf.DUMMYFUNCTION("average.weighted(filter(Data!K:K,Data!B:B=A977),filter(Data!F:F,Data!B:B=A977))"),-0.9278977886740634)</f>
        <v>-0.9278977887</v>
      </c>
      <c r="G977" s="175">
        <f>IFERROR(__xludf.DUMMYFUNCTION("average.weighted(filter(Data!L:L,Data!B:B=A977),filter(Data!F:F,Data!B:B=A977))"),0.20444801297061613)</f>
        <v>0.204448013</v>
      </c>
    </row>
    <row r="978">
      <c r="A978" s="172" t="s">
        <v>1212</v>
      </c>
      <c r="B978" s="173">
        <f>countif(Data!B:B,A978)</f>
        <v>3</v>
      </c>
      <c r="C978" s="174">
        <f>sumif(Data!B:B,A978,Data!M:M)</f>
        <v>0.1092438807</v>
      </c>
      <c r="D978" s="174">
        <f t="shared" si="1"/>
        <v>0.03641462689</v>
      </c>
      <c r="E978" s="175">
        <f t="shared" si="2"/>
        <v>-1.055015751</v>
      </c>
      <c r="F978" s="175">
        <f>IFERROR(__xludf.DUMMYFUNCTION("average.weighted(filter(Data!K:K,Data!B:B=A978),filter(Data!F:F,Data!B:B=A978))"),-0.3196692268881285)</f>
        <v>-0.3196692269</v>
      </c>
      <c r="G978" s="175">
        <f>IFERROR(__xludf.DUMMYFUNCTION("average.weighted(filter(Data!L:L,Data!B:B=A978),filter(Data!F:F,Data!B:B=A978))"),-0.7353465238869338)</f>
        <v>-0.7353465239</v>
      </c>
    </row>
    <row r="979">
      <c r="A979" s="172" t="s">
        <v>1213</v>
      </c>
      <c r="B979" s="173">
        <f>countif(Data!B:B,A979)</f>
        <v>2</v>
      </c>
      <c r="C979" s="174">
        <f>sumif(Data!B:B,A979,Data!M:M)</f>
        <v>0.1229569869</v>
      </c>
      <c r="D979" s="174">
        <f t="shared" si="1"/>
        <v>0.06147849346</v>
      </c>
      <c r="E979" s="175">
        <f t="shared" si="2"/>
        <v>-1.176632329</v>
      </c>
      <c r="F979" s="175">
        <f>IFERROR(__xludf.DUMMYFUNCTION("average.weighted(filter(Data!K:K,Data!B:B=A979),filter(Data!F:F,Data!B:B=A979))"),-0.7516560406891128)</f>
        <v>-0.7516560407</v>
      </c>
      <c r="G979" s="175">
        <f>IFERROR(__xludf.DUMMYFUNCTION("average.weighted(filter(Data!L:L,Data!B:B=A979),filter(Data!F:F,Data!B:B=A979))"),-0.42497628829445594)</f>
        <v>-0.4249762883</v>
      </c>
    </row>
    <row r="980">
      <c r="A980" s="172" t="s">
        <v>1214</v>
      </c>
      <c r="B980" s="173">
        <f>countif(Data!B:B,A980)</f>
        <v>5</v>
      </c>
      <c r="C980" s="174">
        <f>sumif(Data!B:B,A980,Data!M:M)</f>
        <v>4.160199167</v>
      </c>
      <c r="D980" s="174">
        <f t="shared" si="1"/>
        <v>0.8320398333</v>
      </c>
      <c r="E980" s="175">
        <f t="shared" si="2"/>
        <v>-1.055646861</v>
      </c>
      <c r="F980" s="175">
        <f>IFERROR(__xludf.DUMMYFUNCTION("average.weighted(filter(Data!K:K,Data!B:B=A980),filter(Data!F:F,Data!B:B=A980))"),-0.773613224554665)</f>
        <v>-0.7736132246</v>
      </c>
      <c r="G980" s="175">
        <f>IFERROR(__xludf.DUMMYFUNCTION("average.weighted(filter(Data!L:L,Data!B:B=A980),filter(Data!F:F,Data!B:B=A980))"),-0.2820336360577227)</f>
        <v>-0.2820336361</v>
      </c>
    </row>
    <row r="981">
      <c r="A981" s="172" t="s">
        <v>1215</v>
      </c>
      <c r="B981" s="173">
        <f>countif(Data!B:B,A981)</f>
        <v>1</v>
      </c>
      <c r="C981" s="174">
        <f>sumif(Data!B:B,A981,Data!M:M)</f>
        <v>0.03163415487</v>
      </c>
      <c r="D981" s="174">
        <f t="shared" si="1"/>
        <v>0.03163415487</v>
      </c>
      <c r="E981" s="175">
        <f t="shared" si="2"/>
        <v>-1.056952576</v>
      </c>
      <c r="F981" s="175">
        <f>IFERROR(__xludf.DUMMYFUNCTION("average.weighted(filter(Data!K:K,Data!B:B=A981),filter(Data!F:F,Data!B:B=A981))"),-0.358637054940217)</f>
        <v>-0.3586370549</v>
      </c>
      <c r="G981" s="175">
        <f>IFERROR(__xludf.DUMMYFUNCTION("average.weighted(filter(Data!L:L,Data!B:B=A981),filter(Data!F:F,Data!B:B=A981))"),-0.698315521460812)</f>
        <v>-0.6983155215</v>
      </c>
    </row>
    <row r="982">
      <c r="A982" s="172" t="s">
        <v>1216</v>
      </c>
      <c r="B982" s="173">
        <f>countif(Data!B:B,A982)</f>
        <v>5</v>
      </c>
      <c r="C982" s="174">
        <f>sumif(Data!B:B,A982,Data!M:M)</f>
        <v>3.330832197</v>
      </c>
      <c r="D982" s="174">
        <f t="shared" si="1"/>
        <v>0.6661664394</v>
      </c>
      <c r="E982" s="175">
        <f t="shared" si="2"/>
        <v>-1.062717518</v>
      </c>
      <c r="F982" s="175">
        <f>IFERROR(__xludf.DUMMYFUNCTION("average.weighted(filter(Data!K:K,Data!B:B=A982),filter(Data!F:F,Data!B:B=A982))"),-1.156128703682147)</f>
        <v>-1.156128704</v>
      </c>
      <c r="G982" s="175">
        <f>IFERROR(__xludf.DUMMYFUNCTION("average.weighted(filter(Data!L:L,Data!B:B=A982),filter(Data!F:F,Data!B:B=A982))"),0.09341118587061299)</f>
        <v>0.09341118587</v>
      </c>
    </row>
    <row r="983">
      <c r="A983" s="172" t="s">
        <v>1217</v>
      </c>
      <c r="B983" s="173">
        <f>countif(Data!B:B,A983)</f>
        <v>1</v>
      </c>
      <c r="C983" s="174">
        <f>sumif(Data!B:B,A983,Data!M:M)</f>
        <v>0.1544879957</v>
      </c>
      <c r="D983" s="174">
        <f t="shared" si="1"/>
        <v>0.1544879957</v>
      </c>
      <c r="E983" s="175">
        <f t="shared" si="2"/>
        <v>-1.063375132</v>
      </c>
      <c r="F983" s="175">
        <f>IFERROR(__xludf.DUMMYFUNCTION("average.weighted(filter(Data!K:K,Data!B:B=A983),filter(Data!F:F,Data!B:B=A983))"),-1.1295524062981)</f>
        <v>-1.129552406</v>
      </c>
      <c r="G983" s="175">
        <f>IFERROR(__xludf.DUMMYFUNCTION("average.weighted(filter(Data!L:L,Data!B:B=A983),filter(Data!F:F,Data!B:B=A983))"),0.0661772739135286)</f>
        <v>0.06617727391</v>
      </c>
    </row>
    <row r="984">
      <c r="A984" s="172" t="s">
        <v>1218</v>
      </c>
      <c r="B984" s="173">
        <f>countif(Data!B:B,A984)</f>
        <v>4</v>
      </c>
      <c r="C984" s="174">
        <f>sumif(Data!B:B,A984,Data!M:M)</f>
        <v>5.097817167</v>
      </c>
      <c r="D984" s="174">
        <f t="shared" si="1"/>
        <v>1.274454292</v>
      </c>
      <c r="E984" s="175">
        <f t="shared" si="2"/>
        <v>-1.050770396</v>
      </c>
      <c r="F984" s="175">
        <f>IFERROR(__xludf.DUMMYFUNCTION("average.weighted(filter(Data!K:K,Data!B:B=A984),filter(Data!F:F,Data!B:B=A984))"),0.030027891037743965)</f>
        <v>0.03002789104</v>
      </c>
      <c r="G984" s="175">
        <f>IFERROR(__xludf.DUMMYFUNCTION("average.weighted(filter(Data!L:L,Data!B:B=A984),filter(Data!F:F,Data!B:B=A984))"),-1.0807982875097306)</f>
        <v>-1.080798288</v>
      </c>
    </row>
    <row r="985">
      <c r="A985" s="172" t="s">
        <v>1219</v>
      </c>
      <c r="B985" s="173">
        <f>countif(Data!B:B,A985)</f>
        <v>2</v>
      </c>
      <c r="C985" s="174">
        <f>sumif(Data!B:B,A985,Data!M:M)</f>
        <v>0.1911607883</v>
      </c>
      <c r="D985" s="174">
        <f t="shared" si="1"/>
        <v>0.09558039417</v>
      </c>
      <c r="E985" s="175">
        <f t="shared" si="2"/>
        <v>-1.065753698</v>
      </c>
      <c r="F985" s="175">
        <f>IFERROR(__xludf.DUMMYFUNCTION("average.weighted(filter(Data!K:K,Data!B:B=A985),filter(Data!F:F,Data!B:B=A985))"),-0.9627077712954881)</f>
        <v>-0.9627077713</v>
      </c>
      <c r="G985" s="175">
        <f>IFERROR(__xludf.DUMMYFUNCTION("average.weighted(filter(Data!L:L,Data!B:B=A985),filter(Data!F:F,Data!B:B=A985))"),-0.10304592695829087)</f>
        <v>-0.103045927</v>
      </c>
    </row>
    <row r="986">
      <c r="A986" s="172" t="s">
        <v>1220</v>
      </c>
      <c r="B986" s="173">
        <f>countif(Data!B:B,A986)</f>
        <v>1</v>
      </c>
      <c r="C986" s="174">
        <f>sumif(Data!B:B,A986,Data!M:M)</f>
        <v>0.0489991572</v>
      </c>
      <c r="D986" s="174">
        <f t="shared" si="1"/>
        <v>0.0489991572</v>
      </c>
      <c r="E986" s="175">
        <f t="shared" si="2"/>
        <v>-1.066202449</v>
      </c>
      <c r="F986" s="175">
        <f>IFERROR(__xludf.DUMMYFUNCTION("average.weighted(filter(Data!K:K,Data!B:B=A986),filter(Data!F:F,Data!B:B=A986))"),-0.351272779287461)</f>
        <v>-0.3512727793</v>
      </c>
      <c r="G986" s="175">
        <f>IFERROR(__xludf.DUMMYFUNCTION("average.weighted(filter(Data!L:L,Data!B:B=A986),filter(Data!F:F,Data!B:B=A986))"),-0.714929669263494)</f>
        <v>-0.7149296693</v>
      </c>
    </row>
    <row r="987">
      <c r="A987" s="172" t="s">
        <v>1221</v>
      </c>
      <c r="B987" s="173">
        <f>countif(Data!B:B,A987)</f>
        <v>8</v>
      </c>
      <c r="C987" s="174">
        <f>sumif(Data!B:B,A987,Data!M:M)</f>
        <v>8.005993701</v>
      </c>
      <c r="D987" s="174">
        <f t="shared" si="1"/>
        <v>1.000749213</v>
      </c>
      <c r="E987" s="175">
        <f t="shared" si="2"/>
        <v>-1.047132343</v>
      </c>
      <c r="F987" s="175">
        <f>IFERROR(__xludf.DUMMYFUNCTION("average.weighted(filter(Data!K:K,Data!B:B=A987),filter(Data!F:F,Data!B:B=A987))"),0.7556717376189)</f>
        <v>0.7556717376</v>
      </c>
      <c r="G987" s="175">
        <f>IFERROR(__xludf.DUMMYFUNCTION("average.weighted(filter(Data!L:L,Data!B:B=A987),filter(Data!F:F,Data!B:B=A987))"),-1.802804081051552)</f>
        <v>-1.802804081</v>
      </c>
    </row>
    <row r="988">
      <c r="A988" s="172" t="s">
        <v>1222</v>
      </c>
      <c r="B988" s="173">
        <f>countif(Data!B:B,A988)</f>
        <v>6</v>
      </c>
      <c r="C988" s="174">
        <f>sumif(Data!B:B,A988,Data!M:M)</f>
        <v>6.927339602</v>
      </c>
      <c r="D988" s="174">
        <f t="shared" si="1"/>
        <v>1.1545566</v>
      </c>
      <c r="E988" s="175">
        <f t="shared" si="2"/>
        <v>-1.069370426</v>
      </c>
      <c r="F988" s="175">
        <f>IFERROR(__xludf.DUMMYFUNCTION("average.weighted(filter(Data!K:K,Data!B:B=A988),filter(Data!F:F,Data!B:B=A988))"),-0.959737451121932)</f>
        <v>-0.9597374511</v>
      </c>
      <c r="G988" s="175">
        <f>IFERROR(__xludf.DUMMYFUNCTION("average.weighted(filter(Data!L:L,Data!B:B=A988),filter(Data!F:F,Data!B:B=A988))"),-0.10963297485292907)</f>
        <v>-0.1096329749</v>
      </c>
    </row>
    <row r="989">
      <c r="A989" s="172" t="s">
        <v>1223</v>
      </c>
      <c r="B989" s="173">
        <f>countif(Data!B:B,A989)</f>
        <v>1</v>
      </c>
      <c r="C989" s="174">
        <f>sumif(Data!B:B,A989,Data!M:M)</f>
        <v>0.0281113712</v>
      </c>
      <c r="D989" s="174">
        <f t="shared" si="1"/>
        <v>0.0281113712</v>
      </c>
      <c r="E989" s="175">
        <f t="shared" si="2"/>
        <v>-1.070981788</v>
      </c>
      <c r="F989" s="175">
        <f>IFERROR(__xludf.DUMMYFUNCTION("average.weighted(filter(Data!K:K,Data!B:B=A989),filter(Data!F:F,Data!B:B=A989))"),-0.27815209999473)</f>
        <v>-0.2781521</v>
      </c>
      <c r="G989" s="175">
        <f>IFERROR(__xludf.DUMMYFUNCTION("average.weighted(filter(Data!L:L,Data!B:B=A989),filter(Data!F:F,Data!B:B=A989))"),-0.792829688502192)</f>
        <v>-0.7928296885</v>
      </c>
    </row>
    <row r="990">
      <c r="A990" s="172" t="s">
        <v>1224</v>
      </c>
      <c r="B990" s="173">
        <f>countif(Data!B:B,A990)</f>
        <v>2</v>
      </c>
      <c r="C990" s="174">
        <f>sumif(Data!B:B,A990,Data!M:M)</f>
        <v>0.7772988935</v>
      </c>
      <c r="D990" s="174">
        <f t="shared" si="1"/>
        <v>0.3886494468</v>
      </c>
      <c r="E990" s="175">
        <f t="shared" si="2"/>
        <v>-0.542455008</v>
      </c>
      <c r="F990" s="175">
        <f>IFERROR(__xludf.DUMMYFUNCTION("average.weighted(filter(Data!K:K,Data!B:B=A990),filter(Data!F:F,Data!B:B=A990))"),-2.4356716364925757)</f>
        <v>-2.435671636</v>
      </c>
      <c r="G990" s="175">
        <f>IFERROR(__xludf.DUMMYFUNCTION("average.weighted(filter(Data!L:L,Data!B:B=A990),filter(Data!F:F,Data!B:B=A990))"),1.8932166284571912)</f>
        <v>1.893216628</v>
      </c>
    </row>
    <row r="991">
      <c r="A991" s="172" t="s">
        <v>1225</v>
      </c>
      <c r="B991" s="173">
        <f>countif(Data!B:B,A991)</f>
        <v>6</v>
      </c>
      <c r="C991" s="174">
        <f>sumif(Data!B:B,A991,Data!M:M)</f>
        <v>5.722720978</v>
      </c>
      <c r="D991" s="174">
        <f t="shared" si="1"/>
        <v>0.9537868297</v>
      </c>
      <c r="E991" s="175">
        <f t="shared" si="2"/>
        <v>-1.001384608</v>
      </c>
      <c r="F991" s="175">
        <f>IFERROR(__xludf.DUMMYFUNCTION("average.weighted(filter(Data!K:K,Data!B:B=A991),filter(Data!F:F,Data!B:B=A991))"),-0.3853618692298546)</f>
        <v>-0.3853618692</v>
      </c>
      <c r="G991" s="175">
        <f>IFERROR(__xludf.DUMMYFUNCTION("average.weighted(filter(Data!L:L,Data!B:B=A991),filter(Data!F:F,Data!B:B=A991))"),-0.616022738648866)</f>
        <v>-0.6160227386</v>
      </c>
    </row>
    <row r="992">
      <c r="A992" s="172" t="s">
        <v>1226</v>
      </c>
      <c r="B992" s="173">
        <f>countif(Data!B:B,A992)</f>
        <v>2</v>
      </c>
      <c r="C992" s="174">
        <f>sumif(Data!B:B,A992,Data!M:M)</f>
        <v>0.2097575191</v>
      </c>
      <c r="D992" s="174">
        <f t="shared" si="1"/>
        <v>0.1048787596</v>
      </c>
      <c r="E992" s="175">
        <f t="shared" si="2"/>
        <v>-1.076286846</v>
      </c>
      <c r="F992" s="175">
        <f>IFERROR(__xludf.DUMMYFUNCTION("average.weighted(filter(Data!K:K,Data!B:B=A992),filter(Data!F:F,Data!B:B=A992))"),-0.9242709088366787)</f>
        <v>-0.9242709088</v>
      </c>
      <c r="G992" s="175">
        <f>IFERROR(__xludf.DUMMYFUNCTION("average.weighted(filter(Data!L:L,Data!B:B=A992),filter(Data!F:F,Data!B:B=A992))"),-0.15201593725498896)</f>
        <v>-0.1520159373</v>
      </c>
    </row>
    <row r="993">
      <c r="A993" s="172" t="s">
        <v>1227</v>
      </c>
      <c r="B993" s="173">
        <f>countif(Data!B:B,A993)</f>
        <v>3</v>
      </c>
      <c r="C993" s="174">
        <f>sumif(Data!B:B,A993,Data!M:M)</f>
        <v>3.575331029</v>
      </c>
      <c r="D993" s="174">
        <f t="shared" si="1"/>
        <v>1.19177701</v>
      </c>
      <c r="E993" s="175">
        <f t="shared" si="2"/>
        <v>-1.08007722</v>
      </c>
      <c r="F993" s="175">
        <f>IFERROR(__xludf.DUMMYFUNCTION("average.weighted(filter(Data!K:K,Data!B:B=A993),filter(Data!F:F,Data!B:B=A993))"),-1.427311717459774)</f>
        <v>-1.427311717</v>
      </c>
      <c r="G993" s="175">
        <f>IFERROR(__xludf.DUMMYFUNCTION("average.weighted(filter(Data!L:L,Data!B:B=A993),filter(Data!F:F,Data!B:B=A993))"),0.3472344970591653)</f>
        <v>0.3472344971</v>
      </c>
    </row>
    <row r="994">
      <c r="A994" s="172" t="s">
        <v>1228</v>
      </c>
      <c r="B994" s="173">
        <f>countif(Data!B:B,A994)</f>
        <v>4</v>
      </c>
      <c r="C994" s="174">
        <f>sumif(Data!B:B,A994,Data!M:M)</f>
        <v>2.524171224</v>
      </c>
      <c r="D994" s="174">
        <f t="shared" si="1"/>
        <v>0.6310428059</v>
      </c>
      <c r="E994" s="175">
        <f t="shared" si="2"/>
        <v>-1.080551185</v>
      </c>
      <c r="F994" s="175">
        <f>IFERROR(__xludf.DUMMYFUNCTION("average.weighted(filter(Data!K:K,Data!B:B=A994),filter(Data!F:F,Data!B:B=A994))"),-0.5215140450399548)</f>
        <v>-0.521514045</v>
      </c>
      <c r="G994" s="175">
        <f>IFERROR(__xludf.DUMMYFUNCTION("average.weighted(filter(Data!L:L,Data!B:B=A994),filter(Data!F:F,Data!B:B=A994))"),-0.5590371401371069)</f>
        <v>-0.5590371401</v>
      </c>
    </row>
    <row r="995">
      <c r="A995" s="172" t="s">
        <v>1229</v>
      </c>
      <c r="B995" s="173">
        <f>countif(Data!B:B,A995)</f>
        <v>4</v>
      </c>
      <c r="C995" s="174">
        <f>sumif(Data!B:B,A995,Data!M:M)</f>
        <v>6.394681636</v>
      </c>
      <c r="D995" s="174">
        <f t="shared" si="1"/>
        <v>1.598670409</v>
      </c>
      <c r="E995" s="175">
        <f t="shared" si="2"/>
        <v>-1.089286123</v>
      </c>
      <c r="F995" s="175">
        <f>IFERROR(__xludf.DUMMYFUNCTION("average.weighted(filter(Data!K:K,Data!B:B=A995),filter(Data!F:F,Data!B:B=A995))"),-1.101812907702111)</f>
        <v>-1.101812908</v>
      </c>
      <c r="G995" s="175">
        <f>IFERROR(__xludf.DUMMYFUNCTION("average.weighted(filter(Data!L:L,Data!B:B=A995),filter(Data!F:F,Data!B:B=A995))"),0.012526785141648138)</f>
        <v>0.01252678514</v>
      </c>
    </row>
    <row r="996">
      <c r="A996" s="172" t="s">
        <v>1230</v>
      </c>
      <c r="B996" s="173">
        <f>countif(Data!B:B,A996)</f>
        <v>4</v>
      </c>
      <c r="C996" s="174">
        <f>sumif(Data!B:B,A996,Data!M:M)</f>
        <v>3.321054167</v>
      </c>
      <c r="D996" s="174">
        <f t="shared" si="1"/>
        <v>0.8302635417</v>
      </c>
      <c r="E996" s="175">
        <f t="shared" si="2"/>
        <v>-1.103499511</v>
      </c>
      <c r="F996" s="175">
        <f>IFERROR(__xludf.DUMMYFUNCTION("average.weighted(filter(Data!K:K,Data!B:B=A996),filter(Data!F:F,Data!B:B=A996))"),0.39026512301940797)</f>
        <v>0.390265123</v>
      </c>
      <c r="G996" s="175">
        <f>IFERROR(__xludf.DUMMYFUNCTION("average.weighted(filter(Data!L:L,Data!B:B=A996),filter(Data!F:F,Data!B:B=A996))"),-1.4937646339088675)</f>
        <v>-1.493764634</v>
      </c>
    </row>
    <row r="997">
      <c r="A997" s="172" t="s">
        <v>1231</v>
      </c>
      <c r="B997" s="173">
        <f>countif(Data!B:B,A997)</f>
        <v>2</v>
      </c>
      <c r="C997" s="174">
        <f>sumif(Data!B:B,A997,Data!M:M)</f>
        <v>0.4454054379</v>
      </c>
      <c r="D997" s="174">
        <f t="shared" si="1"/>
        <v>0.2227027189</v>
      </c>
      <c r="E997" s="175">
        <f t="shared" si="2"/>
        <v>-1.104551912</v>
      </c>
      <c r="F997" s="175">
        <f>IFERROR(__xludf.DUMMYFUNCTION("average.weighted(filter(Data!K:K,Data!B:B=A997),filter(Data!F:F,Data!B:B=A997))"),-0.19335841298757342)</f>
        <v>-0.193358413</v>
      </c>
      <c r="G997" s="175">
        <f>IFERROR(__xludf.DUMMYFUNCTION("average.weighted(filter(Data!L:L,Data!B:B=A997),filter(Data!F:F,Data!B:B=A997))"),-0.9111934988932998)</f>
        <v>-0.9111934989</v>
      </c>
    </row>
    <row r="998">
      <c r="A998" s="172" t="s">
        <v>1232</v>
      </c>
      <c r="B998" s="173">
        <f>countif(Data!B:B,A998)</f>
        <v>4</v>
      </c>
      <c r="C998" s="174">
        <f>sumif(Data!B:B,A998,Data!M:M)</f>
        <v>1.350629821</v>
      </c>
      <c r="D998" s="174">
        <f t="shared" si="1"/>
        <v>0.3376574553</v>
      </c>
      <c r="E998" s="175">
        <f t="shared" si="2"/>
        <v>-1.110808587</v>
      </c>
      <c r="F998" s="175">
        <f>IFERROR(__xludf.DUMMYFUNCTION("average.weighted(filter(Data!K:K,Data!B:B=A998),filter(Data!F:F,Data!B:B=A998))"),-0.18047076974867152)</f>
        <v>-0.1804707697</v>
      </c>
      <c r="G998" s="175">
        <f>IFERROR(__xludf.DUMMYFUNCTION("average.weighted(filter(Data!L:L,Data!B:B=A998),filter(Data!F:F,Data!B:B=A998))"),-0.9303378168389872)</f>
        <v>-0.9303378168</v>
      </c>
    </row>
    <row r="999">
      <c r="A999" s="172" t="s">
        <v>1233</v>
      </c>
      <c r="B999" s="173">
        <f>countif(Data!B:B,A999)</f>
        <v>4</v>
      </c>
      <c r="C999" s="174">
        <f>sumif(Data!B:B,A999,Data!M:M)</f>
        <v>2.016201908</v>
      </c>
      <c r="D999" s="174">
        <f t="shared" si="1"/>
        <v>0.5040504771</v>
      </c>
      <c r="E999" s="175">
        <f t="shared" si="2"/>
        <v>-1.175796639</v>
      </c>
      <c r="F999" s="175">
        <f>IFERROR(__xludf.DUMMYFUNCTION("average.weighted(filter(Data!K:K,Data!B:B=A999),filter(Data!F:F,Data!B:B=A999))"),-0.41584368399315136)</f>
        <v>-0.415843684</v>
      </c>
      <c r="G999" s="175">
        <f>IFERROR(__xludf.DUMMYFUNCTION("average.weighted(filter(Data!L:L,Data!B:B=A999),filter(Data!F:F,Data!B:B=A999))"),-0.759952954799598)</f>
        <v>-0.7599529548</v>
      </c>
    </row>
    <row r="1000">
      <c r="A1000" s="172" t="s">
        <v>1234</v>
      </c>
      <c r="B1000" s="173">
        <f>countif(Data!B:B,A1000)</f>
        <v>4</v>
      </c>
      <c r="C1000" s="174">
        <f>sumif(Data!B:B,A1000,Data!M:M)</f>
        <v>4.813627049</v>
      </c>
      <c r="D1000" s="174">
        <f t="shared" si="1"/>
        <v>1.203406762</v>
      </c>
      <c r="E1000" s="175">
        <f t="shared" si="2"/>
        <v>-1.128198878</v>
      </c>
      <c r="F1000" s="175">
        <f>IFERROR(__xludf.DUMMYFUNCTION("average.weighted(filter(Data!K:K,Data!B:B=A1000),filter(Data!F:F,Data!B:B=A1000))"),-0.7057578655922846)</f>
        <v>-0.7057578656</v>
      </c>
      <c r="G1000" s="175">
        <f>IFERROR(__xludf.DUMMYFUNCTION("average.weighted(filter(Data!L:L,Data!B:B=A1000),filter(Data!F:F,Data!B:B=A1000))"),-0.42244101277538904)</f>
        <v>-0.4224410128</v>
      </c>
    </row>
    <row r="1001">
      <c r="A1001" s="172" t="s">
        <v>1235</v>
      </c>
      <c r="B1001" s="173">
        <f>countif(Data!B:B,A1001)</f>
        <v>1</v>
      </c>
      <c r="C1001" s="174">
        <f>sumif(Data!B:B,A1001,Data!M:M)</f>
        <v>0.02694555848</v>
      </c>
      <c r="D1001" s="174">
        <f t="shared" si="1"/>
        <v>0.02694555848</v>
      </c>
      <c r="E1001" s="175">
        <f t="shared" si="2"/>
        <v>-1.130223684</v>
      </c>
      <c r="F1001" s="175">
        <f>IFERROR(__xludf.DUMMYFUNCTION("average.weighted(filter(Data!K:K,Data!B:B=A1001),filter(Data!F:F,Data!B:B=A1001))"),-0.313527850781669)</f>
        <v>-0.3135278508</v>
      </c>
      <c r="G1001" s="175">
        <f>IFERROR(__xludf.DUMMYFUNCTION("average.weighted(filter(Data!L:L,Data!B:B=A1001),filter(Data!F:F,Data!B:B=A1001))"),-0.816695833117157)</f>
        <v>-0.8166958331</v>
      </c>
    </row>
    <row r="1002">
      <c r="A1002" s="172" t="s">
        <v>1236</v>
      </c>
      <c r="B1002" s="173">
        <f>countif(Data!B:B,A1002)</f>
        <v>1</v>
      </c>
      <c r="C1002" s="174">
        <f>sumif(Data!B:B,A1002,Data!M:M)</f>
        <v>0.05845475673</v>
      </c>
      <c r="D1002" s="174">
        <f t="shared" si="1"/>
        <v>0.05845475673</v>
      </c>
      <c r="E1002" s="175">
        <f t="shared" si="2"/>
        <v>-1.131160251</v>
      </c>
      <c r="F1002" s="175">
        <f>IFERROR(__xludf.DUMMYFUNCTION("average.weighted(filter(Data!K:K,Data!B:B=A1002),filter(Data!F:F,Data!B:B=A1002))"),-0.61560391792889)</f>
        <v>-0.6156039179</v>
      </c>
      <c r="G1002" s="175">
        <f>IFERROR(__xludf.DUMMYFUNCTION("average.weighted(filter(Data!L:L,Data!B:B=A1002),filter(Data!F:F,Data!B:B=A1002))"),-0.515556333368164)</f>
        <v>-0.5155563334</v>
      </c>
    </row>
    <row r="1003">
      <c r="A1003" s="172" t="s">
        <v>1237</v>
      </c>
      <c r="B1003" s="173">
        <f>countif(Data!B:B,A1003)</f>
        <v>8</v>
      </c>
      <c r="C1003" s="174">
        <f>sumif(Data!B:B,A1003,Data!M:M)</f>
        <v>7.272007552</v>
      </c>
      <c r="D1003" s="174">
        <f t="shared" si="1"/>
        <v>0.909000944</v>
      </c>
      <c r="E1003" s="175">
        <f t="shared" si="2"/>
        <v>-1.174410641</v>
      </c>
      <c r="F1003" s="175">
        <f>IFERROR(__xludf.DUMMYFUNCTION("average.weighted(filter(Data!K:K,Data!B:B=A1003),filter(Data!F:F,Data!B:B=A1003))"),-0.1313011193175871)</f>
        <v>-0.1313011193</v>
      </c>
      <c r="G1003" s="175">
        <f>IFERROR(__xludf.DUMMYFUNCTION("average.weighted(filter(Data!L:L,Data!B:B=A1003),filter(Data!F:F,Data!B:B=A1003))"),-1.043109521704575)</f>
        <v>-1.043109522</v>
      </c>
    </row>
    <row r="1004">
      <c r="A1004" s="172" t="s">
        <v>1238</v>
      </c>
      <c r="B1004" s="173">
        <f>countif(Data!B:B,A1004)</f>
        <v>6</v>
      </c>
      <c r="C1004" s="174">
        <f>sumif(Data!B:B,A1004,Data!M:M)</f>
        <v>7.33299384</v>
      </c>
      <c r="D1004" s="174">
        <f t="shared" si="1"/>
        <v>1.22216564</v>
      </c>
      <c r="E1004" s="175">
        <f t="shared" si="2"/>
        <v>-1.017168</v>
      </c>
      <c r="F1004" s="175">
        <f>IFERROR(__xludf.DUMMYFUNCTION("average.weighted(filter(Data!K:K,Data!B:B=A1004),filter(Data!F:F,Data!B:B=A1004))"),-0.44126255782163193)</f>
        <v>-0.4412625578</v>
      </c>
      <c r="G1004" s="175">
        <f>IFERROR(__xludf.DUMMYFUNCTION("average.weighted(filter(Data!L:L,Data!B:B=A1004),filter(Data!F:F,Data!B:B=A1004))"),-0.5759054420199732)</f>
        <v>-0.575905442</v>
      </c>
    </row>
    <row r="1005">
      <c r="A1005" s="172" t="s">
        <v>1239</v>
      </c>
      <c r="B1005" s="173">
        <f>countif(Data!B:B,A1005)</f>
        <v>1</v>
      </c>
      <c r="C1005" s="174">
        <f>sumif(Data!B:B,A1005,Data!M:M)</f>
        <v>0.1320966979</v>
      </c>
      <c r="D1005" s="174">
        <f t="shared" si="1"/>
        <v>0.1320966979</v>
      </c>
      <c r="E1005" s="175">
        <f t="shared" si="2"/>
        <v>-0.9568068427</v>
      </c>
      <c r="F1005" s="175">
        <f>IFERROR(__xludf.DUMMYFUNCTION("average.weighted(filter(Data!K:K,Data!B:B=A1005),filter(Data!F:F,Data!B:B=A1005))"),0.0915030479620377)</f>
        <v>0.09150304796</v>
      </c>
      <c r="G1005" s="175">
        <f>IFERROR(__xludf.DUMMYFUNCTION("average.weighted(filter(Data!L:L,Data!B:B=A1005),filter(Data!F:F,Data!B:B=A1005))"),-1.04830989066126)</f>
        <v>-1.048309891</v>
      </c>
    </row>
    <row r="1006">
      <c r="A1006" s="172" t="s">
        <v>1240</v>
      </c>
      <c r="B1006" s="173">
        <f>countif(Data!B:B,A1006)</f>
        <v>3</v>
      </c>
      <c r="C1006" s="174">
        <f>sumif(Data!B:B,A1006,Data!M:M)</f>
        <v>1.51403736</v>
      </c>
      <c r="D1006" s="174">
        <f t="shared" si="1"/>
        <v>0.50467912</v>
      </c>
      <c r="E1006" s="175">
        <f t="shared" si="2"/>
        <v>-1.143719899</v>
      </c>
      <c r="F1006" s="175">
        <f>IFERROR(__xludf.DUMMYFUNCTION("average.weighted(filter(Data!K:K,Data!B:B=A1006),filter(Data!F:F,Data!B:B=A1006))"),-0.9774619486342679)</f>
        <v>-0.9774619486</v>
      </c>
      <c r="G1006" s="175">
        <f>IFERROR(__xludf.DUMMYFUNCTION("average.weighted(filter(Data!L:L,Data!B:B=A1006),filter(Data!F:F,Data!B:B=A1006))"),-0.16625795083070785)</f>
        <v>-0.1662579508</v>
      </c>
    </row>
    <row r="1007">
      <c r="A1007" s="172" t="s">
        <v>1241</v>
      </c>
      <c r="B1007" s="173">
        <f>countif(Data!B:B,A1007)</f>
        <v>1</v>
      </c>
      <c r="C1007" s="174">
        <f>sumif(Data!B:B,A1007,Data!M:M)</f>
        <v>0.3747133731</v>
      </c>
      <c r="D1007" s="174">
        <f t="shared" si="1"/>
        <v>0.3747133731</v>
      </c>
      <c r="E1007" s="175">
        <f t="shared" si="2"/>
        <v>-1.1489681</v>
      </c>
      <c r="F1007" s="175">
        <f>IFERROR(__xludf.DUMMYFUNCTION("average.weighted(filter(Data!K:K,Data!B:B=A1007),filter(Data!F:F,Data!B:B=A1007))"),-1.94945911307229)</f>
        <v>-1.949459113</v>
      </c>
      <c r="G1007" s="175">
        <f>IFERROR(__xludf.DUMMYFUNCTION("average.weighted(filter(Data!L:L,Data!B:B=A1007),filter(Data!F:F,Data!B:B=A1007))"),0.800491012722282)</f>
        <v>0.8004910127</v>
      </c>
    </row>
    <row r="1008">
      <c r="A1008" s="172" t="s">
        <v>1242</v>
      </c>
      <c r="B1008" s="173">
        <f>countif(Data!B:B,A1008)</f>
        <v>5</v>
      </c>
      <c r="C1008" s="174">
        <f>sumif(Data!B:B,A1008,Data!M:M)</f>
        <v>2.737555783</v>
      </c>
      <c r="D1008" s="174">
        <f t="shared" si="1"/>
        <v>0.5475111566</v>
      </c>
      <c r="E1008" s="175">
        <f t="shared" si="2"/>
        <v>-1.243614056</v>
      </c>
      <c r="F1008" s="175">
        <f>IFERROR(__xludf.DUMMYFUNCTION("average.weighted(filter(Data!K:K,Data!B:B=A1008),filter(Data!F:F,Data!B:B=A1008))"),-1.133000191524589)</f>
        <v>-1.133000192</v>
      </c>
      <c r="G1008" s="175">
        <f>IFERROR(__xludf.DUMMYFUNCTION("average.weighted(filter(Data!L:L,Data!B:B=A1008),filter(Data!F:F,Data!B:B=A1008))"),-0.11061386430711369)</f>
        <v>-0.1106138643</v>
      </c>
    </row>
    <row r="1009">
      <c r="A1009" s="172" t="s">
        <v>1243</v>
      </c>
      <c r="B1009" s="173">
        <f>countif(Data!B:B,A1009)</f>
        <v>1</v>
      </c>
      <c r="C1009" s="174">
        <f>sumif(Data!B:B,A1009,Data!M:M)</f>
        <v>0.05155295697</v>
      </c>
      <c r="D1009" s="174">
        <f t="shared" si="1"/>
        <v>0.05155295697</v>
      </c>
      <c r="E1009" s="175">
        <f t="shared" si="2"/>
        <v>-1.152981457</v>
      </c>
      <c r="F1009" s="175">
        <f>IFERROR(__xludf.DUMMYFUNCTION("average.weighted(filter(Data!K:K,Data!B:B=A1009),filter(Data!F:F,Data!B:B=A1009))"),-0.208986067964871)</f>
        <v>-0.208986068</v>
      </c>
      <c r="G1009" s="175">
        <f>IFERROR(__xludf.DUMMYFUNCTION("average.weighted(filter(Data!L:L,Data!B:B=A1009),filter(Data!F:F,Data!B:B=A1009))"),-0.943995389239464)</f>
        <v>-0.9439953892</v>
      </c>
    </row>
    <row r="1010">
      <c r="A1010" s="172" t="s">
        <v>1244</v>
      </c>
      <c r="B1010" s="173">
        <f>countif(Data!B:B,A1010)</f>
        <v>2</v>
      </c>
      <c r="C1010" s="174">
        <f>sumif(Data!B:B,A1010,Data!M:M)</f>
        <v>0.1978756028</v>
      </c>
      <c r="D1010" s="174">
        <f t="shared" si="1"/>
        <v>0.09893780141</v>
      </c>
      <c r="E1010" s="175">
        <f t="shared" si="2"/>
        <v>-1.159254251</v>
      </c>
      <c r="F1010" s="175">
        <f>IFERROR(__xludf.DUMMYFUNCTION("average.weighted(filter(Data!K:K,Data!B:B=A1010),filter(Data!F:F,Data!B:B=A1010))"),-1.0256452119468704)</f>
        <v>-1.025645212</v>
      </c>
      <c r="G1010" s="175">
        <f>IFERROR(__xludf.DUMMYFUNCTION("average.weighted(filter(Data!L:L,Data!B:B=A1010),filter(Data!F:F,Data!B:B=A1010))"),-0.13360903872847446)</f>
        <v>-0.1336090387</v>
      </c>
    </row>
    <row r="1011">
      <c r="A1011" s="172" t="s">
        <v>1245</v>
      </c>
      <c r="B1011" s="173">
        <f>countif(Data!B:B,A1011)</f>
        <v>3</v>
      </c>
      <c r="C1011" s="174">
        <f>sumif(Data!B:B,A1011,Data!M:M)</f>
        <v>1.36651151</v>
      </c>
      <c r="D1011" s="174">
        <f t="shared" si="1"/>
        <v>0.4555038366</v>
      </c>
      <c r="E1011" s="175">
        <f t="shared" si="2"/>
        <v>-1.160571622</v>
      </c>
      <c r="F1011" s="175">
        <f>IFERROR(__xludf.DUMMYFUNCTION("average.weighted(filter(Data!K:K,Data!B:B=A1011),filter(Data!F:F,Data!B:B=A1011))"),-0.4825392110899546)</f>
        <v>-0.4825392111</v>
      </c>
      <c r="G1011" s="175">
        <f>IFERROR(__xludf.DUMMYFUNCTION("average.weighted(filter(Data!L:L,Data!B:B=A1011),filter(Data!F:F,Data!B:B=A1011))"),-0.6780324111886205)</f>
        <v>-0.6780324112</v>
      </c>
    </row>
    <row r="1012">
      <c r="A1012" s="172" t="s">
        <v>1246</v>
      </c>
      <c r="B1012" s="173">
        <f>countif(Data!B:B,A1012)</f>
        <v>1</v>
      </c>
      <c r="C1012" s="174">
        <f>sumif(Data!B:B,A1012,Data!M:M)</f>
        <v>-0.005242485726</v>
      </c>
      <c r="D1012" s="174">
        <f t="shared" si="1"/>
        <v>-0.005242485726</v>
      </c>
      <c r="E1012" s="175">
        <f t="shared" si="2"/>
        <v>-2.357097018</v>
      </c>
      <c r="F1012" s="175">
        <f>IFERROR(__xludf.DUMMYFUNCTION("average.weighted(filter(Data!K:K,Data!B:B=A1012),filter(Data!F:F,Data!B:B=A1012))"),-1.55397709164559)</f>
        <v>-1.553977092</v>
      </c>
      <c r="G1012" s="175">
        <f>IFERROR(__xludf.DUMMYFUNCTION("average.weighted(filter(Data!L:L,Data!B:B=A1012),filter(Data!F:F,Data!B:B=A1012))"),-0.803119925887409)</f>
        <v>-0.8031199259</v>
      </c>
    </row>
    <row r="1013">
      <c r="A1013" s="172" t="s">
        <v>1247</v>
      </c>
      <c r="B1013" s="173">
        <f>countif(Data!B:B,A1013)</f>
        <v>4</v>
      </c>
      <c r="C1013" s="174">
        <f>sumif(Data!B:B,A1013,Data!M:M)</f>
        <v>3.675973864</v>
      </c>
      <c r="D1013" s="174">
        <f t="shared" si="1"/>
        <v>0.9189934661</v>
      </c>
      <c r="E1013" s="175">
        <f t="shared" si="2"/>
        <v>-1.171960485</v>
      </c>
      <c r="F1013" s="175">
        <f>IFERROR(__xludf.DUMMYFUNCTION("average.weighted(filter(Data!K:K,Data!B:B=A1013),filter(Data!F:F,Data!B:B=A1013))"),0.3213936310779463)</f>
        <v>0.3213936311</v>
      </c>
      <c r="G1013" s="175">
        <f>IFERROR(__xludf.DUMMYFUNCTION("average.weighted(filter(Data!L:L,Data!B:B=A1013),filter(Data!F:F,Data!B:B=A1013))"),-1.4933541156176442)</f>
        <v>-1.493354116</v>
      </c>
    </row>
    <row r="1014">
      <c r="A1014" s="172" t="s">
        <v>1248</v>
      </c>
      <c r="B1014" s="173">
        <f>countif(Data!B:B,A1014)</f>
        <v>2</v>
      </c>
      <c r="C1014" s="174">
        <f>sumif(Data!B:B,A1014,Data!M:M)</f>
        <v>0.167085167</v>
      </c>
      <c r="D1014" s="174">
        <f t="shared" si="1"/>
        <v>0.08354258348</v>
      </c>
      <c r="E1014" s="175">
        <f t="shared" si="2"/>
        <v>-1.17257731</v>
      </c>
      <c r="F1014" s="175">
        <f>IFERROR(__xludf.DUMMYFUNCTION("average.weighted(filter(Data!K:K,Data!B:B=A1014),filter(Data!F:F,Data!B:B=A1014))"),-0.6788558435818217)</f>
        <v>-0.6788558436</v>
      </c>
      <c r="G1014" s="175">
        <f>IFERROR(__xludf.DUMMYFUNCTION("average.weighted(filter(Data!L:L,Data!B:B=A1014),filter(Data!F:F,Data!B:B=A1014))"),-0.49372146641741227)</f>
        <v>-0.4937214664</v>
      </c>
    </row>
    <row r="1015">
      <c r="A1015" s="172" t="s">
        <v>1249</v>
      </c>
      <c r="B1015" s="173">
        <f>countif(Data!B:B,A1015)</f>
        <v>6</v>
      </c>
      <c r="C1015" s="174">
        <f>sumif(Data!B:B,A1015,Data!M:M)</f>
        <v>4.789024474</v>
      </c>
      <c r="D1015" s="174">
        <f t="shared" si="1"/>
        <v>0.7981707456</v>
      </c>
      <c r="E1015" s="175">
        <f t="shared" si="2"/>
        <v>-1.229320899</v>
      </c>
      <c r="F1015" s="175">
        <f>IFERROR(__xludf.DUMMYFUNCTION("average.weighted(filter(Data!K:K,Data!B:B=A1015),filter(Data!F:F,Data!B:B=A1015))"),-1.9114076877481736)</f>
        <v>-1.911407688</v>
      </c>
      <c r="G1015" s="175">
        <f>IFERROR(__xludf.DUMMYFUNCTION("average.weighted(filter(Data!L:L,Data!B:B=A1015),filter(Data!F:F,Data!B:B=A1015))"),0.6820867887396243)</f>
        <v>0.6820867887</v>
      </c>
    </row>
    <row r="1016">
      <c r="A1016" s="172" t="s">
        <v>1250</v>
      </c>
      <c r="B1016" s="173">
        <f>countif(Data!B:B,A1016)</f>
        <v>2</v>
      </c>
      <c r="C1016" s="174">
        <f>sumif(Data!B:B,A1016,Data!M:M)</f>
        <v>0.3984064829</v>
      </c>
      <c r="D1016" s="174">
        <f t="shared" si="1"/>
        <v>0.1992032414</v>
      </c>
      <c r="E1016" s="175">
        <f t="shared" si="2"/>
        <v>-1.176754296</v>
      </c>
      <c r="F1016" s="175">
        <f>IFERROR(__xludf.DUMMYFUNCTION("average.weighted(filter(Data!K:K,Data!B:B=A1016),filter(Data!F:F,Data!B:B=A1016))"),-0.653592732716956)</f>
        <v>-0.6535927327</v>
      </c>
      <c r="G1016" s="175">
        <f>IFERROR(__xludf.DUMMYFUNCTION("average.weighted(filter(Data!L:L,Data!B:B=A1016),filter(Data!F:F,Data!B:B=A1016))"),-0.5231615635995128)</f>
        <v>-0.5231615636</v>
      </c>
    </row>
    <row r="1017">
      <c r="A1017" s="172" t="s">
        <v>1251</v>
      </c>
      <c r="B1017" s="173">
        <f>countif(Data!B:B,A1017)</f>
        <v>1</v>
      </c>
      <c r="C1017" s="174">
        <f>sumif(Data!B:B,A1017,Data!M:M)</f>
        <v>0.2317497554</v>
      </c>
      <c r="D1017" s="174">
        <f t="shared" si="1"/>
        <v>0.2317497554</v>
      </c>
      <c r="E1017" s="175">
        <f t="shared" si="2"/>
        <v>-1.178206439</v>
      </c>
      <c r="F1017" s="175">
        <f>IFERROR(__xludf.DUMMYFUNCTION("average.weighted(filter(Data!K:K,Data!B:B=A1017),filter(Data!F:F,Data!B:B=A1017))"),-0.641556928205768)</f>
        <v>-0.6415569282</v>
      </c>
      <c r="G1017" s="175">
        <f>IFERROR(__xludf.DUMMYFUNCTION("average.weighted(filter(Data!L:L,Data!B:B=A1017),filter(Data!F:F,Data!B:B=A1017))"),-0.536649510991577)</f>
        <v>-0.536649511</v>
      </c>
    </row>
    <row r="1018">
      <c r="A1018" s="172" t="s">
        <v>1252</v>
      </c>
      <c r="B1018" s="173">
        <f>countif(Data!B:B,A1018)</f>
        <v>5</v>
      </c>
      <c r="C1018" s="174">
        <f>sumif(Data!B:B,A1018,Data!M:M)</f>
        <v>1.84198618</v>
      </c>
      <c r="D1018" s="174">
        <f t="shared" si="1"/>
        <v>0.368397236</v>
      </c>
      <c r="E1018" s="175">
        <f t="shared" si="2"/>
        <v>-1.219378307</v>
      </c>
      <c r="F1018" s="175">
        <f>IFERROR(__xludf.DUMMYFUNCTION("average.weighted(filter(Data!K:K,Data!B:B=A1018),filter(Data!F:F,Data!B:B=A1018))"),-1.0979429988336322)</f>
        <v>-1.097942999</v>
      </c>
      <c r="G1018" s="175">
        <f>IFERROR(__xludf.DUMMYFUNCTION("average.weighted(filter(Data!L:L,Data!B:B=A1018),filter(Data!F:F,Data!B:B=A1018))"),-0.12143530796254591)</f>
        <v>-0.121435308</v>
      </c>
    </row>
    <row r="1019">
      <c r="A1019" s="172" t="s">
        <v>1253</v>
      </c>
      <c r="B1019" s="173">
        <f>countif(Data!B:B,A1019)</f>
        <v>1</v>
      </c>
      <c r="C1019" s="174">
        <f>sumif(Data!B:B,A1019,Data!M:M)</f>
        <v>0.1715862284</v>
      </c>
      <c r="D1019" s="174">
        <f t="shared" si="1"/>
        <v>0.1715862284</v>
      </c>
      <c r="E1019" s="175">
        <f t="shared" si="2"/>
        <v>-1.403043969</v>
      </c>
      <c r="F1019" s="175">
        <f>IFERROR(__xludf.DUMMYFUNCTION("average.weighted(filter(Data!K:K,Data!B:B=A1019),filter(Data!F:F,Data!B:B=A1019))"),-1.95582891670837)</f>
        <v>-1.955828917</v>
      </c>
      <c r="G1019" s="175">
        <f>IFERROR(__xludf.DUMMYFUNCTION("average.weighted(filter(Data!L:L,Data!B:B=A1019),filter(Data!F:F,Data!B:B=A1019))"),0.552784947669768)</f>
        <v>0.5527849477</v>
      </c>
    </row>
    <row r="1020">
      <c r="A1020" s="172" t="s">
        <v>1254</v>
      </c>
      <c r="B1020" s="173">
        <f>countif(Data!B:B,A1020)</f>
        <v>5</v>
      </c>
      <c r="C1020" s="174">
        <f>sumif(Data!B:B,A1020,Data!M:M)</f>
        <v>7.233817738</v>
      </c>
      <c r="D1020" s="174">
        <f t="shared" si="1"/>
        <v>1.446763548</v>
      </c>
      <c r="E1020" s="175">
        <f t="shared" si="2"/>
        <v>-1.197614813</v>
      </c>
      <c r="F1020" s="175">
        <f>IFERROR(__xludf.DUMMYFUNCTION("average.weighted(filter(Data!K:K,Data!B:B=A1020),filter(Data!F:F,Data!B:B=A1020))"),0.2645873503004768)</f>
        <v>0.2645873503</v>
      </c>
      <c r="G1020" s="175">
        <f>IFERROR(__xludf.DUMMYFUNCTION("average.weighted(filter(Data!L:L,Data!B:B=A1020),filter(Data!F:F,Data!B:B=A1020))"),-1.4622021635055713)</f>
        <v>-1.462202164</v>
      </c>
    </row>
    <row r="1021">
      <c r="A1021" s="172" t="s">
        <v>1255</v>
      </c>
      <c r="B1021" s="173">
        <f>countif(Data!B:B,A1021)</f>
        <v>3</v>
      </c>
      <c r="C1021" s="174">
        <f>sumif(Data!B:B,A1021,Data!M:M)</f>
        <v>1.744220136</v>
      </c>
      <c r="D1021" s="174">
        <f t="shared" si="1"/>
        <v>0.581406712</v>
      </c>
      <c r="E1021" s="175">
        <f t="shared" si="2"/>
        <v>-1.190588163</v>
      </c>
      <c r="F1021" s="175">
        <f>IFERROR(__xludf.DUMMYFUNCTION("average.weighted(filter(Data!K:K,Data!B:B=A1021),filter(Data!F:F,Data!B:B=A1021))"),0.7100071904119238)</f>
        <v>0.7100071904</v>
      </c>
      <c r="G1021" s="175">
        <f>IFERROR(__xludf.DUMMYFUNCTION("average.weighted(filter(Data!L:L,Data!B:B=A1021),filter(Data!F:F,Data!B:B=A1021))"),-1.9005953536773856)</f>
        <v>-1.900595354</v>
      </c>
    </row>
    <row r="1022">
      <c r="A1022" s="172" t="s">
        <v>1256</v>
      </c>
      <c r="B1022" s="173">
        <f>countif(Data!B:B,A1022)</f>
        <v>7</v>
      </c>
      <c r="C1022" s="174">
        <f>sumif(Data!B:B,A1022,Data!M:M)</f>
        <v>4.225527743</v>
      </c>
      <c r="D1022" s="174">
        <f t="shared" si="1"/>
        <v>0.6036468205</v>
      </c>
      <c r="E1022" s="175">
        <f t="shared" si="2"/>
        <v>-1.190837586</v>
      </c>
      <c r="F1022" s="175">
        <f>IFERROR(__xludf.DUMMYFUNCTION("average.weighted(filter(Data!K:K,Data!B:B=A1022),filter(Data!F:F,Data!B:B=A1022))"),-2.0185872312679534)</f>
        <v>-2.018587231</v>
      </c>
      <c r="G1022" s="175">
        <f>IFERROR(__xludf.DUMMYFUNCTION("average.weighted(filter(Data!L:L,Data!B:B=A1022),filter(Data!F:F,Data!B:B=A1022))"),0.8277496456836468)</f>
        <v>0.8277496457</v>
      </c>
    </row>
    <row r="1023">
      <c r="A1023" s="172" t="s">
        <v>1257</v>
      </c>
      <c r="B1023" s="173">
        <f>countif(Data!B:B,A1023)</f>
        <v>6</v>
      </c>
      <c r="C1023" s="174">
        <f>sumif(Data!B:B,A1023,Data!M:M)</f>
        <v>6.118547678</v>
      </c>
      <c r="D1023" s="174">
        <f t="shared" si="1"/>
        <v>1.019757946</v>
      </c>
      <c r="E1023" s="175">
        <f t="shared" si="2"/>
        <v>-1.192817291</v>
      </c>
      <c r="F1023" s="175">
        <f>IFERROR(__xludf.DUMMYFUNCTION("average.weighted(filter(Data!K:K,Data!B:B=A1023),filter(Data!F:F,Data!B:B=A1023))"),0.4868933426785608)</f>
        <v>0.4868933427</v>
      </c>
      <c r="G1023" s="175">
        <f>IFERROR(__xludf.DUMMYFUNCTION("average.weighted(filter(Data!L:L,Data!B:B=A1023),filter(Data!F:F,Data!B:B=A1023))"),-1.6797106337592318)</f>
        <v>-1.679710634</v>
      </c>
    </row>
    <row r="1024">
      <c r="A1024" s="172" t="s">
        <v>1258</v>
      </c>
      <c r="B1024" s="173">
        <f>countif(Data!B:B,A1024)</f>
        <v>1</v>
      </c>
      <c r="C1024" s="174">
        <f>sumif(Data!B:B,A1024,Data!M:M)</f>
        <v>0.1286384684</v>
      </c>
      <c r="D1024" s="174">
        <f t="shared" si="1"/>
        <v>0.1286384684</v>
      </c>
      <c r="E1024" s="175">
        <f t="shared" si="2"/>
        <v>-1.195260498</v>
      </c>
      <c r="F1024" s="175">
        <f>IFERROR(__xludf.DUMMYFUNCTION("average.weighted(filter(Data!K:K,Data!B:B=A1024),filter(Data!F:F,Data!B:B=A1024))"),-0.370393811512729)</f>
        <v>-0.3703938115</v>
      </c>
      <c r="G1024" s="175">
        <f>IFERROR(__xludf.DUMMYFUNCTION("average.weighted(filter(Data!L:L,Data!B:B=A1024),filter(Data!F:F,Data!B:B=A1024))"),-0.824866686872209)</f>
        <v>-0.8248666869</v>
      </c>
    </row>
    <row r="1025">
      <c r="A1025" s="172" t="s">
        <v>1259</v>
      </c>
      <c r="B1025" s="173">
        <f>countif(Data!B:B,A1025)</f>
        <v>1</v>
      </c>
      <c r="C1025" s="174">
        <f>sumif(Data!B:B,A1025,Data!M:M)</f>
        <v>0</v>
      </c>
      <c r="D1025" s="174">
        <f t="shared" si="1"/>
        <v>0</v>
      </c>
      <c r="E1025" s="175">
        <f t="shared" si="2"/>
        <v>-0.9225756192</v>
      </c>
      <c r="F1025" s="175">
        <f>IFERROR(__xludf.DUMMYFUNCTION("average.weighted(filter(Data!K:K,Data!B:B=A1025),filter(Data!F:F,Data!B:B=A1025))"),-0.992079404884486)</f>
        <v>-0.9920794049</v>
      </c>
      <c r="G1025" s="175">
        <f>IFERROR(__xludf.DUMMYFUNCTION("average.weighted(filter(Data!L:L,Data!B:B=A1025),filter(Data!F:F,Data!B:B=A1025))"),0.0695037856386828)</f>
        <v>0.06950378564</v>
      </c>
    </row>
    <row r="1026">
      <c r="A1026" s="172" t="s">
        <v>1260</v>
      </c>
      <c r="B1026" s="173">
        <f>countif(Data!B:B,A1026)</f>
        <v>2</v>
      </c>
      <c r="C1026" s="174">
        <f>sumif(Data!B:B,A1026,Data!M:M)</f>
        <v>0.2592283596</v>
      </c>
      <c r="D1026" s="174">
        <f t="shared" si="1"/>
        <v>0.1296141798</v>
      </c>
      <c r="E1026" s="175">
        <f t="shared" si="2"/>
        <v>-1.199503033</v>
      </c>
      <c r="F1026" s="175">
        <f>IFERROR(__xludf.DUMMYFUNCTION("average.weighted(filter(Data!K:K,Data!B:B=A1026),filter(Data!F:F,Data!B:B=A1026))"),-0.928461981101002)</f>
        <v>-0.9284619811</v>
      </c>
      <c r="G1026" s="175">
        <f>IFERROR(__xludf.DUMMYFUNCTION("average.weighted(filter(Data!L:L,Data!B:B=A1026),filter(Data!F:F,Data!B:B=A1026))"),-0.27104105166124715)</f>
        <v>-0.2710410517</v>
      </c>
    </row>
    <row r="1027">
      <c r="A1027" s="172" t="s">
        <v>1261</v>
      </c>
      <c r="B1027" s="173">
        <f>countif(Data!B:B,A1027)</f>
        <v>7</v>
      </c>
      <c r="C1027" s="174">
        <f>sumif(Data!B:B,A1027,Data!M:M)</f>
        <v>6.900153364</v>
      </c>
      <c r="D1027" s="174">
        <f t="shared" si="1"/>
        <v>0.9857361949</v>
      </c>
      <c r="E1027" s="175">
        <f t="shared" si="2"/>
        <v>-1.164420786</v>
      </c>
      <c r="F1027" s="175">
        <f>IFERROR(__xludf.DUMMYFUNCTION("average.weighted(filter(Data!K:K,Data!B:B=A1027),filter(Data!F:F,Data!B:B=A1027))"),-0.02722562584088271)</f>
        <v>-0.02722562584</v>
      </c>
      <c r="G1027" s="175">
        <f>IFERROR(__xludf.DUMMYFUNCTION("average.weighted(filter(Data!L:L,Data!B:B=A1027),filter(Data!F:F,Data!B:B=A1027))"),-1.1371951602748636)</f>
        <v>-1.13719516</v>
      </c>
    </row>
    <row r="1028">
      <c r="A1028" s="172" t="s">
        <v>1262</v>
      </c>
      <c r="B1028" s="173">
        <f>countif(Data!B:B,A1028)</f>
        <v>3</v>
      </c>
      <c r="C1028" s="174">
        <f>sumif(Data!B:B,A1028,Data!M:M)</f>
        <v>2.03853882</v>
      </c>
      <c r="D1028" s="174">
        <f t="shared" si="1"/>
        <v>0.6795129401</v>
      </c>
      <c r="E1028" s="175">
        <f t="shared" si="2"/>
        <v>-1.202535117</v>
      </c>
      <c r="F1028" s="175">
        <f>IFERROR(__xludf.DUMMYFUNCTION("average.weighted(filter(Data!K:K,Data!B:B=A1028),filter(Data!F:F,Data!B:B=A1028))"),-0.3944889750027959)</f>
        <v>-0.394488975</v>
      </c>
      <c r="G1028" s="175">
        <f>IFERROR(__xludf.DUMMYFUNCTION("average.weighted(filter(Data!L:L,Data!B:B=A1028),filter(Data!F:F,Data!B:B=A1028))"),-0.8080461422709443)</f>
        <v>-0.8080461423</v>
      </c>
    </row>
    <row r="1029">
      <c r="A1029" s="172" t="s">
        <v>1263</v>
      </c>
      <c r="B1029" s="173">
        <f>countif(Data!B:B,A1029)</f>
        <v>6</v>
      </c>
      <c r="C1029" s="174">
        <f>sumif(Data!B:B,A1029,Data!M:M)</f>
        <v>7.943958963</v>
      </c>
      <c r="D1029" s="174">
        <f t="shared" si="1"/>
        <v>1.32399316</v>
      </c>
      <c r="E1029" s="175">
        <f t="shared" si="2"/>
        <v>-1.204470034</v>
      </c>
      <c r="F1029" s="175">
        <f>IFERROR(__xludf.DUMMYFUNCTION("average.weighted(filter(Data!K:K,Data!B:B=A1029),filter(Data!F:F,Data!B:B=A1029))"),-0.49300485928733134)</f>
        <v>-0.4930048593</v>
      </c>
      <c r="G1029" s="175">
        <f>IFERROR(__xludf.DUMMYFUNCTION("average.weighted(filter(Data!L:L,Data!B:B=A1029),filter(Data!F:F,Data!B:B=A1029))"),-0.7114651748436952)</f>
        <v>-0.7114651748</v>
      </c>
    </row>
    <row r="1030">
      <c r="A1030" s="172" t="s">
        <v>1264</v>
      </c>
      <c r="B1030" s="173">
        <f>countif(Data!B:B,A1030)</f>
        <v>7</v>
      </c>
      <c r="C1030" s="174">
        <f>sumif(Data!B:B,A1030,Data!M:M)</f>
        <v>7.381606196</v>
      </c>
      <c r="D1030" s="174">
        <f t="shared" si="1"/>
        <v>1.054515171</v>
      </c>
      <c r="E1030" s="175">
        <f t="shared" si="2"/>
        <v>-1.204674363</v>
      </c>
      <c r="F1030" s="175">
        <f>IFERROR(__xludf.DUMMYFUNCTION("average.weighted(filter(Data!K:K,Data!B:B=A1030),filter(Data!F:F,Data!B:B=A1030))"),-0.5049268697261611)</f>
        <v>-0.5049268697</v>
      </c>
      <c r="G1030" s="175">
        <f>IFERROR(__xludf.DUMMYFUNCTION("average.weighted(filter(Data!L:L,Data!B:B=A1030),filter(Data!F:F,Data!B:B=A1030))"),-0.6997474927825703)</f>
        <v>-0.6997474928</v>
      </c>
    </row>
    <row r="1031">
      <c r="A1031" s="172" t="s">
        <v>1265</v>
      </c>
      <c r="B1031" s="173">
        <f>countif(Data!B:B,A1031)</f>
        <v>4</v>
      </c>
      <c r="C1031" s="174">
        <f>sumif(Data!B:B,A1031,Data!M:M)</f>
        <v>2.368687231</v>
      </c>
      <c r="D1031" s="174">
        <f t="shared" si="1"/>
        <v>0.5921718076</v>
      </c>
      <c r="E1031" s="175">
        <f t="shared" si="2"/>
        <v>-1.254150279</v>
      </c>
      <c r="F1031" s="175">
        <f>IFERROR(__xludf.DUMMYFUNCTION("average.weighted(filter(Data!K:K,Data!B:B=A1031),filter(Data!F:F,Data!B:B=A1031))"),-0.9109511117403498)</f>
        <v>-0.9109511117</v>
      </c>
      <c r="G1031" s="175">
        <f>IFERROR(__xludf.DUMMYFUNCTION("average.weighted(filter(Data!L:L,Data!B:B=A1031),filter(Data!F:F,Data!B:B=A1031))"),-0.34319916720352006)</f>
        <v>-0.3431991672</v>
      </c>
    </row>
    <row r="1032">
      <c r="A1032" s="172" t="s">
        <v>1266</v>
      </c>
      <c r="B1032" s="173">
        <f>countif(Data!B:B,A1032)</f>
        <v>6</v>
      </c>
      <c r="C1032" s="174">
        <f>sumif(Data!B:B,A1032,Data!M:M)</f>
        <v>4.965146757</v>
      </c>
      <c r="D1032" s="174">
        <f t="shared" si="1"/>
        <v>0.8275244595</v>
      </c>
      <c r="E1032" s="175">
        <f t="shared" si="2"/>
        <v>-1.213321369</v>
      </c>
      <c r="F1032" s="175">
        <f>IFERROR(__xludf.DUMMYFUNCTION("average.weighted(filter(Data!K:K,Data!B:B=A1032),filter(Data!F:F,Data!B:B=A1032))"),0.5792321025563079)</f>
        <v>0.5792321026</v>
      </c>
      <c r="G1032" s="175">
        <f>IFERROR(__xludf.DUMMYFUNCTION("average.weighted(filter(Data!L:L,Data!B:B=A1032),filter(Data!F:F,Data!B:B=A1032))"),-1.7925534713873652)</f>
        <v>-1.792553471</v>
      </c>
    </row>
    <row r="1033">
      <c r="A1033" s="172" t="s">
        <v>1267</v>
      </c>
      <c r="B1033" s="173">
        <f>countif(Data!B:B,A1033)</f>
        <v>1</v>
      </c>
      <c r="C1033" s="174">
        <f>sumif(Data!B:B,A1033,Data!M:M)</f>
        <v>0.0271289495</v>
      </c>
      <c r="D1033" s="174">
        <f t="shared" si="1"/>
        <v>0.0271289495</v>
      </c>
      <c r="E1033" s="175">
        <f t="shared" si="2"/>
        <v>-1.23174649</v>
      </c>
      <c r="F1033" s="175">
        <f>IFERROR(__xludf.DUMMYFUNCTION("average.weighted(filter(Data!K:K,Data!B:B=A1033),filter(Data!F:F,Data!B:B=A1033))"),-1.0665747433271)</f>
        <v>-1.066574743</v>
      </c>
      <c r="G1033" s="175">
        <f>IFERROR(__xludf.DUMMYFUNCTION("average.weighted(filter(Data!L:L,Data!B:B=A1033),filter(Data!F:F,Data!B:B=A1033))"),-0.165171746607087)</f>
        <v>-0.1651717466</v>
      </c>
    </row>
    <row r="1034">
      <c r="A1034" s="172" t="s">
        <v>1268</v>
      </c>
      <c r="B1034" s="173">
        <f>countif(Data!B:B,A1034)</f>
        <v>6</v>
      </c>
      <c r="C1034" s="174">
        <f>sumif(Data!B:B,A1034,Data!M:M)</f>
        <v>5.690513603</v>
      </c>
      <c r="D1034" s="174">
        <f t="shared" si="1"/>
        <v>0.9484189338</v>
      </c>
      <c r="E1034" s="175">
        <f t="shared" si="2"/>
        <v>-1.217032143</v>
      </c>
      <c r="F1034" s="175">
        <f>IFERROR(__xludf.DUMMYFUNCTION("average.weighted(filter(Data!K:K,Data!B:B=A1034),filter(Data!F:F,Data!B:B=A1034))"),-0.13791558228885037)</f>
        <v>-0.1379155823</v>
      </c>
      <c r="G1034" s="175">
        <f>IFERROR(__xludf.DUMMYFUNCTION("average.weighted(filter(Data!L:L,Data!B:B=A1034),filter(Data!F:F,Data!B:B=A1034))"),-1.0791165602926462)</f>
        <v>-1.07911656</v>
      </c>
    </row>
    <row r="1035">
      <c r="A1035" s="172" t="s">
        <v>1269</v>
      </c>
      <c r="B1035" s="173">
        <f>countif(Data!B:B,A1035)</f>
        <v>1</v>
      </c>
      <c r="C1035" s="174">
        <f>sumif(Data!B:B,A1035,Data!M:M)</f>
        <v>0.02874756837</v>
      </c>
      <c r="D1035" s="174">
        <f t="shared" si="1"/>
        <v>0.02874756837</v>
      </c>
      <c r="E1035" s="175">
        <f t="shared" si="2"/>
        <v>-1.217385582</v>
      </c>
      <c r="F1035" s="175">
        <f>IFERROR(__xludf.DUMMYFUNCTION("average.weighted(filter(Data!K:K,Data!B:B=A1035),filter(Data!F:F,Data!B:B=A1035))"),-0.390239800397555)</f>
        <v>-0.3902398004</v>
      </c>
      <c r="G1035" s="175">
        <f>IFERROR(__xludf.DUMMYFUNCTION("average.weighted(filter(Data!L:L,Data!B:B=A1035),filter(Data!F:F,Data!B:B=A1035))"),-0.82714578186782)</f>
        <v>-0.8271457819</v>
      </c>
    </row>
    <row r="1036">
      <c r="A1036" s="172" t="s">
        <v>1270</v>
      </c>
      <c r="B1036" s="173">
        <f>countif(Data!B:B,A1036)</f>
        <v>3</v>
      </c>
      <c r="C1036" s="174">
        <f>sumif(Data!B:B,A1036,Data!M:M)</f>
        <v>0.4312432075</v>
      </c>
      <c r="D1036" s="174">
        <f t="shared" si="1"/>
        <v>0.1437477358</v>
      </c>
      <c r="E1036" s="175">
        <f t="shared" si="2"/>
        <v>-1.220213029</v>
      </c>
      <c r="F1036" s="175">
        <f>IFERROR(__xludf.DUMMYFUNCTION("average.weighted(filter(Data!K:K,Data!B:B=A1036),filter(Data!F:F,Data!B:B=A1036))"),-1.0383735888322352)</f>
        <v>-1.038373589</v>
      </c>
      <c r="G1036" s="175">
        <f>IFERROR(__xludf.DUMMYFUNCTION("average.weighted(filter(Data!L:L,Data!B:B=A1036),filter(Data!F:F,Data!B:B=A1036))"),-0.1818394405472046)</f>
        <v>-0.1818394405</v>
      </c>
    </row>
    <row r="1037">
      <c r="A1037" s="172" t="s">
        <v>1271</v>
      </c>
      <c r="B1037" s="173">
        <f>countif(Data!B:B,A1037)</f>
        <v>1</v>
      </c>
      <c r="C1037" s="174">
        <f>sumif(Data!B:B,A1037,Data!M:M)</f>
        <v>0.1330785073</v>
      </c>
      <c r="D1037" s="174">
        <f t="shared" si="1"/>
        <v>0.1330785073</v>
      </c>
      <c r="E1037" s="175">
        <f t="shared" si="2"/>
        <v>-1.232881692</v>
      </c>
      <c r="F1037" s="175">
        <f>IFERROR(__xludf.DUMMYFUNCTION("average.weighted(filter(Data!K:K,Data!B:B=A1037),filter(Data!F:F,Data!B:B=A1037))"),-1.07806537547516)</f>
        <v>-1.078065375</v>
      </c>
      <c r="G1037" s="175">
        <f>IFERROR(__xludf.DUMMYFUNCTION("average.weighted(filter(Data!L:L,Data!B:B=A1037),filter(Data!F:F,Data!B:B=A1037))"),-0.154816316087395)</f>
        <v>-0.1548163161</v>
      </c>
    </row>
    <row r="1038">
      <c r="A1038" s="172" t="s">
        <v>1272</v>
      </c>
      <c r="B1038" s="173">
        <f>countif(Data!B:B,A1038)</f>
        <v>1</v>
      </c>
      <c r="C1038" s="174">
        <f>sumif(Data!B:B,A1038,Data!M:M)</f>
        <v>0.01724878367</v>
      </c>
      <c r="D1038" s="174">
        <f t="shared" si="1"/>
        <v>0.01724878367</v>
      </c>
      <c r="E1038" s="175">
        <f t="shared" si="2"/>
        <v>-1.234490291</v>
      </c>
      <c r="F1038" s="175">
        <f>IFERROR(__xludf.DUMMYFUNCTION("average.weighted(filter(Data!K:K,Data!B:B=A1038),filter(Data!F:F,Data!B:B=A1038))"),-0.653339906441676)</f>
        <v>-0.6533399064</v>
      </c>
      <c r="G1038" s="175">
        <f>IFERROR(__xludf.DUMMYFUNCTION("average.weighted(filter(Data!L:L,Data!B:B=A1038),filter(Data!F:F,Data!B:B=A1038))"),-0.581150384327957)</f>
        <v>-0.5811503843</v>
      </c>
    </row>
    <row r="1039">
      <c r="A1039" s="172" t="s">
        <v>1273</v>
      </c>
      <c r="B1039" s="173">
        <f>countif(Data!B:B,A1039)</f>
        <v>2</v>
      </c>
      <c r="C1039" s="174">
        <f>sumif(Data!B:B,A1039,Data!M:M)</f>
        <v>0.1611902039</v>
      </c>
      <c r="D1039" s="174">
        <f t="shared" si="1"/>
        <v>0.08059510194</v>
      </c>
      <c r="E1039" s="175">
        <f t="shared" si="2"/>
        <v>-1.527217738</v>
      </c>
      <c r="F1039" s="175">
        <f>IFERROR(__xludf.DUMMYFUNCTION("average.weighted(filter(Data!K:K,Data!B:B=A1039),filter(Data!F:F,Data!B:B=A1039))"),-1.0929104163988017)</f>
        <v>-1.092910416</v>
      </c>
      <c r="G1039" s="175">
        <f>IFERROR(__xludf.DUMMYFUNCTION("average.weighted(filter(Data!L:L,Data!B:B=A1039),filter(Data!F:F,Data!B:B=A1039))"),-0.4343073211507822)</f>
        <v>-0.4343073212</v>
      </c>
    </row>
    <row r="1040">
      <c r="A1040" s="172" t="s">
        <v>1274</v>
      </c>
      <c r="B1040" s="173">
        <f>countif(Data!B:B,A1040)</f>
        <v>5</v>
      </c>
      <c r="C1040" s="174">
        <f>sumif(Data!B:B,A1040,Data!M:M)</f>
        <v>3.332893165</v>
      </c>
      <c r="D1040" s="174">
        <f t="shared" si="1"/>
        <v>0.666578633</v>
      </c>
      <c r="E1040" s="175">
        <f t="shared" si="2"/>
        <v>-1.272600517</v>
      </c>
      <c r="F1040" s="175">
        <f>IFERROR(__xludf.DUMMYFUNCTION("average.weighted(filter(Data!K:K,Data!B:B=A1040),filter(Data!F:F,Data!B:B=A1040))"),0.023555133275988807)</f>
        <v>0.02355513328</v>
      </c>
      <c r="G1040" s="175">
        <f>IFERROR(__xludf.DUMMYFUNCTION("average.weighted(filter(Data!L:L,Data!B:B=A1040),filter(Data!F:F,Data!B:B=A1040))"),-1.2961556502412381)</f>
        <v>-1.29615565</v>
      </c>
    </row>
    <row r="1041">
      <c r="A1041" s="172" t="s">
        <v>1275</v>
      </c>
      <c r="B1041" s="173">
        <f>countif(Data!B:B,A1041)</f>
        <v>3</v>
      </c>
      <c r="C1041" s="174">
        <f>sumif(Data!B:B,A1041,Data!M:M)</f>
        <v>3.240708611</v>
      </c>
      <c r="D1041" s="174">
        <f t="shared" si="1"/>
        <v>1.080236204</v>
      </c>
      <c r="E1041" s="175">
        <f t="shared" si="2"/>
        <v>-1.238716938</v>
      </c>
      <c r="F1041" s="175">
        <f>IFERROR(__xludf.DUMMYFUNCTION("average.weighted(filter(Data!K:K,Data!B:B=A1041),filter(Data!F:F,Data!B:B=A1041))"),0.2218777798472765)</f>
        <v>0.2218777798</v>
      </c>
      <c r="G1041" s="175">
        <f>IFERROR(__xludf.DUMMYFUNCTION("average.weighted(filter(Data!L:L,Data!B:B=A1041),filter(Data!F:F,Data!B:B=A1041))"),-1.4605947176497658)</f>
        <v>-1.460594718</v>
      </c>
    </row>
    <row r="1042">
      <c r="A1042" s="172" t="s">
        <v>1276</v>
      </c>
      <c r="B1042" s="173">
        <f>countif(Data!B:B,A1042)</f>
        <v>6</v>
      </c>
      <c r="C1042" s="174">
        <f>sumif(Data!B:B,A1042,Data!M:M)</f>
        <v>6.365276372</v>
      </c>
      <c r="D1042" s="174">
        <f t="shared" si="1"/>
        <v>1.060879395</v>
      </c>
      <c r="E1042" s="175">
        <f t="shared" si="2"/>
        <v>-1.240854062</v>
      </c>
      <c r="F1042" s="175">
        <f>IFERROR(__xludf.DUMMYFUNCTION("average.weighted(filter(Data!K:K,Data!B:B=A1042),filter(Data!F:F,Data!B:B=A1042))"),-1.6679085076194862)</f>
        <v>-1.667908508</v>
      </c>
      <c r="G1042" s="175">
        <f>IFERROR(__xludf.DUMMYFUNCTION("average.weighted(filter(Data!L:L,Data!B:B=A1042),filter(Data!F:F,Data!B:B=A1042))"),0.42705444582685564)</f>
        <v>0.4270544458</v>
      </c>
    </row>
    <row r="1043">
      <c r="A1043" s="172" t="s">
        <v>1277</v>
      </c>
      <c r="B1043" s="173">
        <f>countif(Data!B:B,A1043)</f>
        <v>4</v>
      </c>
      <c r="C1043" s="174">
        <f>sumif(Data!B:B,A1043,Data!M:M)</f>
        <v>4.590501341</v>
      </c>
      <c r="D1043" s="174">
        <f t="shared" si="1"/>
        <v>1.147625335</v>
      </c>
      <c r="E1043" s="175">
        <f t="shared" si="2"/>
        <v>-1.241825872</v>
      </c>
      <c r="F1043" s="175">
        <f>IFERROR(__xludf.DUMMYFUNCTION("average.weighted(filter(Data!K:K,Data!B:B=A1043),filter(Data!F:F,Data!B:B=A1043))"),-0.49874633027499343)</f>
        <v>-0.4987463303</v>
      </c>
      <c r="G1043" s="175">
        <f>IFERROR(__xludf.DUMMYFUNCTION("average.weighted(filter(Data!L:L,Data!B:B=A1043),filter(Data!F:F,Data!B:B=A1043))"),-0.7430795412398891)</f>
        <v>-0.7430795412</v>
      </c>
    </row>
    <row r="1044">
      <c r="A1044" s="172" t="s">
        <v>1278</v>
      </c>
      <c r="B1044" s="173">
        <f>countif(Data!B:B,A1044)</f>
        <v>5</v>
      </c>
      <c r="C1044" s="174">
        <f>sumif(Data!B:B,A1044,Data!M:M)</f>
        <v>3.347778166</v>
      </c>
      <c r="D1044" s="174">
        <f t="shared" si="1"/>
        <v>0.6695556331</v>
      </c>
      <c r="E1044" s="175">
        <f t="shared" si="2"/>
        <v>-1.244384193</v>
      </c>
      <c r="F1044" s="175">
        <f>IFERROR(__xludf.DUMMYFUNCTION("average.weighted(filter(Data!K:K,Data!B:B=A1044),filter(Data!F:F,Data!B:B=A1044))"),-0.9596303450826474)</f>
        <v>-0.9596303451</v>
      </c>
      <c r="G1044" s="175">
        <f>IFERROR(__xludf.DUMMYFUNCTION("average.weighted(filter(Data!L:L,Data!B:B=A1044),filter(Data!F:F,Data!B:B=A1044))"),-0.28475384774156975)</f>
        <v>-0.2847538477</v>
      </c>
    </row>
    <row r="1045">
      <c r="A1045" s="172" t="s">
        <v>1279</v>
      </c>
      <c r="B1045" s="173">
        <f>countif(Data!B:B,A1045)</f>
        <v>2</v>
      </c>
      <c r="C1045" s="174">
        <f>sumif(Data!B:B,A1045,Data!M:M)</f>
        <v>0.1087565669</v>
      </c>
      <c r="D1045" s="174">
        <f t="shared" si="1"/>
        <v>0.05437828347</v>
      </c>
      <c r="E1045" s="175">
        <f t="shared" si="2"/>
        <v>-1.19821812</v>
      </c>
      <c r="F1045" s="175">
        <f>IFERROR(__xludf.DUMMYFUNCTION("average.weighted(filter(Data!K:K,Data!B:B=A1045),filter(Data!F:F,Data!B:B=A1045))"),-0.9600062127969684)</f>
        <v>-0.9600062128</v>
      </c>
      <c r="G1045" s="175">
        <f>IFERROR(__xludf.DUMMYFUNCTION("average.weighted(filter(Data!L:L,Data!B:B=A1045),filter(Data!F:F,Data!B:B=A1045))"),-0.23821190769883668)</f>
        <v>-0.2382119077</v>
      </c>
    </row>
    <row r="1046">
      <c r="A1046" s="172" t="s">
        <v>1280</v>
      </c>
      <c r="B1046" s="173">
        <f>countif(Data!B:B,A1046)</f>
        <v>1</v>
      </c>
      <c r="C1046" s="174">
        <f>sumif(Data!B:B,A1046,Data!M:M)</f>
        <v>0.1851860112</v>
      </c>
      <c r="D1046" s="174">
        <f t="shared" si="1"/>
        <v>0.1851860112</v>
      </c>
      <c r="E1046" s="175">
        <f t="shared" si="2"/>
        <v>-1.732081354</v>
      </c>
      <c r="F1046" s="175">
        <f>IFERROR(__xludf.DUMMYFUNCTION("average.weighted(filter(Data!K:K,Data!B:B=A1046),filter(Data!F:F,Data!B:B=A1046))"),0.190543615309461)</f>
        <v>0.1905436153</v>
      </c>
      <c r="G1046" s="175">
        <f>IFERROR(__xludf.DUMMYFUNCTION("average.weighted(filter(Data!L:L,Data!B:B=A1046),filter(Data!F:F,Data!B:B=A1046))"),-1.92262496939823)</f>
        <v>-1.922624969</v>
      </c>
    </row>
    <row r="1047">
      <c r="A1047" s="172" t="s">
        <v>1281</v>
      </c>
      <c r="B1047" s="173">
        <f>countif(Data!B:B,A1047)</f>
        <v>6</v>
      </c>
      <c r="C1047" s="174">
        <f>sumif(Data!B:B,A1047,Data!M:M)</f>
        <v>3.535585693</v>
      </c>
      <c r="D1047" s="174">
        <f t="shared" si="1"/>
        <v>0.5892642821</v>
      </c>
      <c r="E1047" s="175">
        <f t="shared" si="2"/>
        <v>-1.253719239</v>
      </c>
      <c r="F1047" s="175">
        <f>IFERROR(__xludf.DUMMYFUNCTION("average.weighted(filter(Data!K:K,Data!B:B=A1047),filter(Data!F:F,Data!B:B=A1047))"),-1.6490203844250748)</f>
        <v>-1.649020384</v>
      </c>
      <c r="G1047" s="175">
        <f>IFERROR(__xludf.DUMMYFUNCTION("average.weighted(filter(Data!L:L,Data!B:B=A1047),filter(Data!F:F,Data!B:B=A1047))"),0.3953011451547233)</f>
        <v>0.3953011452</v>
      </c>
    </row>
    <row r="1048">
      <c r="A1048" s="172" t="s">
        <v>1282</v>
      </c>
      <c r="B1048" s="173">
        <f>countif(Data!B:B,A1048)</f>
        <v>1</v>
      </c>
      <c r="C1048" s="174">
        <f>sumif(Data!B:B,A1048,Data!M:M)</f>
        <v>0.1940724977</v>
      </c>
      <c r="D1048" s="174">
        <f t="shared" si="1"/>
        <v>0.1940724977</v>
      </c>
      <c r="E1048" s="175">
        <f t="shared" si="2"/>
        <v>-1.25772527</v>
      </c>
      <c r="F1048" s="175">
        <f>IFERROR(__xludf.DUMMYFUNCTION("average.weighted(filter(Data!K:K,Data!B:B=A1048),filter(Data!F:F,Data!B:B=A1048))"),-0.971583688355837)</f>
        <v>-0.9715836884</v>
      </c>
      <c r="G1048" s="175">
        <f>IFERROR(__xludf.DUMMYFUNCTION("average.weighted(filter(Data!L:L,Data!B:B=A1048),filter(Data!F:F,Data!B:B=A1048))"),-0.286141581426226)</f>
        <v>-0.2861415814</v>
      </c>
    </row>
    <row r="1049">
      <c r="A1049" s="172" t="s">
        <v>1283</v>
      </c>
      <c r="B1049" s="173">
        <f>countif(Data!B:B,A1049)</f>
        <v>8</v>
      </c>
      <c r="C1049" s="174">
        <f>sumif(Data!B:B,A1049,Data!M:M)</f>
        <v>6.576694594</v>
      </c>
      <c r="D1049" s="174">
        <f t="shared" si="1"/>
        <v>0.8220868242</v>
      </c>
      <c r="E1049" s="175">
        <f t="shared" si="2"/>
        <v>-1.23056143</v>
      </c>
      <c r="F1049" s="175">
        <f>IFERROR(__xludf.DUMMYFUNCTION("average.weighted(filter(Data!K:K,Data!B:B=A1049),filter(Data!F:F,Data!B:B=A1049))"),-0.20107062666868264)</f>
        <v>-0.2010706267</v>
      </c>
      <c r="G1049" s="175">
        <f>IFERROR(__xludf.DUMMYFUNCTION("average.weighted(filter(Data!L:L,Data!B:B=A1049),filter(Data!F:F,Data!B:B=A1049))"),-1.0294908037204156)</f>
        <v>-1.029490804</v>
      </c>
    </row>
    <row r="1050">
      <c r="A1050" s="172" t="s">
        <v>1284</v>
      </c>
      <c r="B1050" s="173">
        <f>countif(Data!B:B,A1050)</f>
        <v>4</v>
      </c>
      <c r="C1050" s="174">
        <f>sumif(Data!B:B,A1050,Data!M:M)</f>
        <v>1.158459714</v>
      </c>
      <c r="D1050" s="174">
        <f t="shared" si="1"/>
        <v>0.2896149286</v>
      </c>
      <c r="E1050" s="175">
        <f t="shared" si="2"/>
        <v>-1.227046778</v>
      </c>
      <c r="F1050" s="175">
        <f>IFERROR(__xludf.DUMMYFUNCTION("average.weighted(filter(Data!K:K,Data!B:B=A1050),filter(Data!F:F,Data!B:B=A1050))"),-0.3263783030993126)</f>
        <v>-0.3263783031</v>
      </c>
      <c r="G1050" s="175">
        <f>IFERROR(__xludf.DUMMYFUNCTION("average.weighted(filter(Data!L:L,Data!B:B=A1050),filter(Data!F:F,Data!B:B=A1050))"),-0.9006684753696241)</f>
        <v>-0.9006684754</v>
      </c>
    </row>
    <row r="1051">
      <c r="A1051" s="172" t="s">
        <v>1285</v>
      </c>
      <c r="B1051" s="173">
        <f>countif(Data!B:B,A1051)</f>
        <v>6</v>
      </c>
      <c r="C1051" s="174">
        <f>sumif(Data!B:B,A1051,Data!M:M)</f>
        <v>5.474390408</v>
      </c>
      <c r="D1051" s="174">
        <f t="shared" si="1"/>
        <v>0.9123984013</v>
      </c>
      <c r="E1051" s="175">
        <f t="shared" si="2"/>
        <v>-1.26932975</v>
      </c>
      <c r="F1051" s="175">
        <f>IFERROR(__xludf.DUMMYFUNCTION("average.weighted(filter(Data!K:K,Data!B:B=A1051),filter(Data!F:F,Data!B:B=A1051))"),-0.37531329600889274)</f>
        <v>-0.375313296</v>
      </c>
      <c r="G1051" s="175">
        <f>IFERROR(__xludf.DUMMYFUNCTION("average.weighted(filter(Data!L:L,Data!B:B=A1051),filter(Data!F:F,Data!B:B=A1051))"),-0.8940164538346372)</f>
        <v>-0.8940164538</v>
      </c>
    </row>
    <row r="1052">
      <c r="A1052" s="172" t="s">
        <v>1286</v>
      </c>
      <c r="B1052" s="173">
        <f>countif(Data!B:B,A1052)</f>
        <v>2</v>
      </c>
      <c r="C1052" s="174">
        <f>sumif(Data!B:B,A1052,Data!M:M)</f>
        <v>0.5743256053</v>
      </c>
      <c r="D1052" s="174">
        <f t="shared" si="1"/>
        <v>0.2871628026</v>
      </c>
      <c r="E1052" s="175">
        <f t="shared" si="2"/>
        <v>-1.269350316</v>
      </c>
      <c r="F1052" s="175">
        <f>IFERROR(__xludf.DUMMYFUNCTION("average.weighted(filter(Data!K:K,Data!B:B=A1052),filter(Data!F:F,Data!B:B=A1052))"),-1.2272096573004692)</f>
        <v>-1.227209657</v>
      </c>
      <c r="G1052" s="175">
        <f>IFERROR(__xludf.DUMMYFUNCTION("average.weighted(filter(Data!L:L,Data!B:B=A1052),filter(Data!F:F,Data!B:B=A1052))"),-0.04214065870150061)</f>
        <v>-0.0421406587</v>
      </c>
    </row>
    <row r="1053">
      <c r="A1053" s="172" t="s">
        <v>1287</v>
      </c>
      <c r="B1053" s="173">
        <f>countif(Data!B:B,A1053)</f>
        <v>1</v>
      </c>
      <c r="C1053" s="174">
        <f>sumif(Data!B:B,A1053,Data!M:M)</f>
        <v>0.8904649577</v>
      </c>
      <c r="D1053" s="174">
        <f t="shared" si="1"/>
        <v>0.8904649577</v>
      </c>
      <c r="E1053" s="175">
        <f t="shared" si="2"/>
        <v>-0.6977206019</v>
      </c>
      <c r="F1053" s="175">
        <f>IFERROR(__xludf.DUMMYFUNCTION("average.weighted(filter(Data!K:K,Data!B:B=A1053),filter(Data!F:F,Data!B:B=A1053))"),0.930490520937351)</f>
        <v>0.9304905209</v>
      </c>
      <c r="G1053" s="175">
        <f>IFERROR(__xludf.DUMMYFUNCTION("average.weighted(filter(Data!L:L,Data!B:B=A1053),filter(Data!F:F,Data!B:B=A1053))"),-1.62821112287722)</f>
        <v>-1.628211123</v>
      </c>
    </row>
    <row r="1054">
      <c r="A1054" s="172" t="s">
        <v>1288</v>
      </c>
      <c r="B1054" s="173">
        <f>countif(Data!B:B,A1054)</f>
        <v>2</v>
      </c>
      <c r="C1054" s="174">
        <f>sumif(Data!B:B,A1054,Data!M:M)</f>
        <v>0.3280069287</v>
      </c>
      <c r="D1054" s="174">
        <f t="shared" si="1"/>
        <v>0.1640034644</v>
      </c>
      <c r="E1054" s="175">
        <f t="shared" si="2"/>
        <v>-1.271016472</v>
      </c>
      <c r="F1054" s="175">
        <f>IFERROR(__xludf.DUMMYFUNCTION("average.weighted(filter(Data!K:K,Data!B:B=A1054),filter(Data!F:F,Data!B:B=A1054))"),-1.5416205743937392)</f>
        <v>-1.541620574</v>
      </c>
      <c r="G1054" s="175">
        <f>IFERROR(__xludf.DUMMYFUNCTION("average.weighted(filter(Data!L:L,Data!B:B=A1054),filter(Data!F:F,Data!B:B=A1054))"),0.27060410256217005)</f>
        <v>0.2706041026</v>
      </c>
    </row>
    <row r="1055">
      <c r="A1055" s="172" t="s">
        <v>1289</v>
      </c>
      <c r="B1055" s="173">
        <f>countif(Data!B:B,A1055)</f>
        <v>2</v>
      </c>
      <c r="C1055" s="174">
        <f>sumif(Data!B:B,A1055,Data!M:M)</f>
        <v>0.4347744674</v>
      </c>
      <c r="D1055" s="174">
        <f t="shared" si="1"/>
        <v>0.2173872337</v>
      </c>
      <c r="E1055" s="175">
        <f t="shared" si="2"/>
        <v>-1.271977148</v>
      </c>
      <c r="F1055" s="175">
        <f>IFERROR(__xludf.DUMMYFUNCTION("average.weighted(filter(Data!K:K,Data!B:B=A1055),filter(Data!F:F,Data!B:B=A1055))"),-0.5846873225227004)</f>
        <v>-0.5846873225</v>
      </c>
      <c r="G1055" s="175">
        <f>IFERROR(__xludf.DUMMYFUNCTION("average.weighted(filter(Data!L:L,Data!B:B=A1055),filter(Data!F:F,Data!B:B=A1055))"),-0.687289825714757)</f>
        <v>-0.6872898257</v>
      </c>
    </row>
    <row r="1056">
      <c r="A1056" s="172" t="s">
        <v>1290</v>
      </c>
      <c r="B1056" s="173">
        <f>countif(Data!B:B,A1056)</f>
        <v>1</v>
      </c>
      <c r="C1056" s="174">
        <f>sumif(Data!B:B,A1056,Data!M:M)</f>
        <v>0.04883011364</v>
      </c>
      <c r="D1056" s="174">
        <f t="shared" si="1"/>
        <v>0.04883011364</v>
      </c>
      <c r="E1056" s="175">
        <f t="shared" si="2"/>
        <v>-1.272087901</v>
      </c>
      <c r="F1056" s="175">
        <f>IFERROR(__xludf.DUMMYFUNCTION("average.weighted(filter(Data!K:K,Data!B:B=A1056),filter(Data!F:F,Data!B:B=A1056))"),-0.794607284192178)</f>
        <v>-0.7946072842</v>
      </c>
      <c r="G1056" s="175">
        <f>IFERROR(__xludf.DUMMYFUNCTION("average.weighted(filter(Data!L:L,Data!B:B=A1056),filter(Data!F:F,Data!B:B=A1056))"),-0.477480617024624)</f>
        <v>-0.477480617</v>
      </c>
    </row>
    <row r="1057">
      <c r="A1057" s="172" t="s">
        <v>1291</v>
      </c>
      <c r="B1057" s="173">
        <f>countif(Data!B:B,A1057)</f>
        <v>2</v>
      </c>
      <c r="C1057" s="174">
        <f>sumif(Data!B:B,A1057,Data!M:M)</f>
        <v>0.9369414306</v>
      </c>
      <c r="D1057" s="174">
        <f t="shared" si="1"/>
        <v>0.4684707153</v>
      </c>
      <c r="E1057" s="175">
        <f t="shared" si="2"/>
        <v>-1.272839627</v>
      </c>
      <c r="F1057" s="175">
        <f>IFERROR(__xludf.DUMMYFUNCTION("average.weighted(filter(Data!K:K,Data!B:B=A1057),filter(Data!F:F,Data!B:B=A1057))"),-2.406714015260586)</f>
        <v>-2.406714015</v>
      </c>
      <c r="G1057" s="175">
        <f>IFERROR(__xludf.DUMMYFUNCTION("average.weighted(filter(Data!L:L,Data!B:B=A1057),filter(Data!F:F,Data!B:B=A1057))"),1.133874388355174)</f>
        <v>1.133874388</v>
      </c>
    </row>
    <row r="1058">
      <c r="A1058" s="172" t="s">
        <v>1292</v>
      </c>
      <c r="B1058" s="173">
        <f>countif(Data!B:B,A1058)</f>
        <v>8</v>
      </c>
      <c r="C1058" s="174">
        <f>sumif(Data!B:B,A1058,Data!M:M)</f>
        <v>8.243051208</v>
      </c>
      <c r="D1058" s="174">
        <f t="shared" si="1"/>
        <v>1.030381401</v>
      </c>
      <c r="E1058" s="175">
        <f t="shared" si="2"/>
        <v>-1.20057253</v>
      </c>
      <c r="F1058" s="175">
        <f>IFERROR(__xludf.DUMMYFUNCTION("average.weighted(filter(Data!K:K,Data!B:B=A1058),filter(Data!F:F,Data!B:B=A1058))"),-1.525808155873179)</f>
        <v>-1.525808156</v>
      </c>
      <c r="G1058" s="175">
        <f>IFERROR(__xludf.DUMMYFUNCTION("average.weighted(filter(Data!L:L,Data!B:B=A1058),filter(Data!F:F,Data!B:B=A1058))"),0.3252356262100505)</f>
        <v>0.3252356262</v>
      </c>
    </row>
    <row r="1059">
      <c r="A1059" s="172" t="s">
        <v>1293</v>
      </c>
      <c r="B1059" s="173">
        <f>countif(Data!B:B,A1059)</f>
        <v>1</v>
      </c>
      <c r="C1059" s="174">
        <f>sumif(Data!B:B,A1059,Data!M:M)</f>
        <v>0.3003255328</v>
      </c>
      <c r="D1059" s="174">
        <f t="shared" si="1"/>
        <v>0.3003255328</v>
      </c>
      <c r="E1059" s="175">
        <f t="shared" si="2"/>
        <v>-1.275219571</v>
      </c>
      <c r="F1059" s="175">
        <f>IFERROR(__xludf.DUMMYFUNCTION("average.weighted(filter(Data!K:K,Data!B:B=A1059),filter(Data!F:F,Data!B:B=A1059))"),-1.49842174587192)</f>
        <v>-1.498421746</v>
      </c>
      <c r="G1059" s="175">
        <f>IFERROR(__xludf.DUMMYFUNCTION("average.weighted(filter(Data!L:L,Data!B:B=A1059),filter(Data!F:F,Data!B:B=A1059))"),0.223202174458947)</f>
        <v>0.2232021745</v>
      </c>
    </row>
    <row r="1060">
      <c r="A1060" s="172" t="s">
        <v>1294</v>
      </c>
      <c r="B1060" s="173">
        <f>countif(Data!B:B,A1060)</f>
        <v>2</v>
      </c>
      <c r="C1060" s="174">
        <f>sumif(Data!B:B,A1060,Data!M:M)</f>
        <v>0.1194915024</v>
      </c>
      <c r="D1060" s="174">
        <f t="shared" si="1"/>
        <v>0.05974575121</v>
      </c>
      <c r="E1060" s="175">
        <f t="shared" si="2"/>
        <v>-1.275317549</v>
      </c>
      <c r="F1060" s="175">
        <f>IFERROR(__xludf.DUMMYFUNCTION("average.weighted(filter(Data!K:K,Data!B:B=A1060),filter(Data!F:F,Data!B:B=A1060))"),-1.1513366610758866)</f>
        <v>-1.151336661</v>
      </c>
      <c r="G1060" s="175">
        <f>IFERROR(__xludf.DUMMYFUNCTION("average.weighted(filter(Data!L:L,Data!B:B=A1060),filter(Data!F:F,Data!B:B=A1060))"),-0.12398088784133071)</f>
        <v>-0.1239808878</v>
      </c>
    </row>
    <row r="1061">
      <c r="A1061" s="172" t="s">
        <v>1295</v>
      </c>
      <c r="B1061" s="173">
        <f>countif(Data!B:B,A1061)</f>
        <v>3</v>
      </c>
      <c r="C1061" s="174">
        <f>sumif(Data!B:B,A1061,Data!M:M)</f>
        <v>0.9512023691</v>
      </c>
      <c r="D1061" s="174">
        <f t="shared" si="1"/>
        <v>0.3170674564</v>
      </c>
      <c r="E1061" s="175">
        <f t="shared" si="2"/>
        <v>-1.278689744</v>
      </c>
      <c r="F1061" s="175">
        <f>IFERROR(__xludf.DUMMYFUNCTION("average.weighted(filter(Data!K:K,Data!B:B=A1061),filter(Data!F:F,Data!B:B=A1061))"),-1.2948158525739544)</f>
        <v>-1.294815853</v>
      </c>
      <c r="G1061" s="175">
        <f>IFERROR(__xludf.DUMMYFUNCTION("average.weighted(filter(Data!L:L,Data!B:B=A1061),filter(Data!F:F,Data!B:B=A1061))"),0.01612610818336778)</f>
        <v>0.01612610818</v>
      </c>
    </row>
    <row r="1062">
      <c r="A1062" s="172" t="s">
        <v>1296</v>
      </c>
      <c r="B1062" s="173">
        <f>countif(Data!B:B,A1062)</f>
        <v>3</v>
      </c>
      <c r="C1062" s="174">
        <f>sumif(Data!B:B,A1062,Data!M:M)</f>
        <v>0.6720405612</v>
      </c>
      <c r="D1062" s="174">
        <f t="shared" si="1"/>
        <v>0.2240135204</v>
      </c>
      <c r="E1062" s="175">
        <f t="shared" si="2"/>
        <v>-0.998507333</v>
      </c>
      <c r="F1062" s="175">
        <f>IFERROR(__xludf.DUMMYFUNCTION("average.weighted(filter(Data!K:K,Data!B:B=A1062),filter(Data!F:F,Data!B:B=A1062))"),-0.4470686807261429)</f>
        <v>-0.4470686807</v>
      </c>
      <c r="G1062" s="175">
        <f>IFERROR(__xludf.DUMMYFUNCTION("average.weighted(filter(Data!L:L,Data!B:B=A1062),filter(Data!F:F,Data!B:B=A1062))"),-0.5514386522925693)</f>
        <v>-0.5514386523</v>
      </c>
    </row>
    <row r="1063">
      <c r="A1063" s="172" t="s">
        <v>1297</v>
      </c>
      <c r="B1063" s="173">
        <f>countif(Data!B:B,A1063)</f>
        <v>2</v>
      </c>
      <c r="C1063" s="174">
        <f>sumif(Data!B:B,A1063,Data!M:M)</f>
        <v>1.123509968</v>
      </c>
      <c r="D1063" s="174">
        <f t="shared" si="1"/>
        <v>0.5617549841</v>
      </c>
      <c r="E1063" s="175">
        <f t="shared" si="2"/>
        <v>-1.288163362</v>
      </c>
      <c r="F1063" s="175">
        <f>IFERROR(__xludf.DUMMYFUNCTION("average.weighted(filter(Data!K:K,Data!B:B=A1063),filter(Data!F:F,Data!B:B=A1063))"),-1.657612935080298)</f>
        <v>-1.657612935</v>
      </c>
      <c r="G1063" s="175">
        <f>IFERROR(__xludf.DUMMYFUNCTION("average.weighted(filter(Data!L:L,Data!B:B=A1063),filter(Data!F:F,Data!B:B=A1063))"),0.36944957310034987)</f>
        <v>0.3694495731</v>
      </c>
    </row>
    <row r="1064">
      <c r="A1064" s="172" t="s">
        <v>1298</v>
      </c>
      <c r="B1064" s="173">
        <f>countif(Data!B:B,A1064)</f>
        <v>3</v>
      </c>
      <c r="C1064" s="174">
        <f>sumif(Data!B:B,A1064,Data!M:M)</f>
        <v>0.2519538591</v>
      </c>
      <c r="D1064" s="174">
        <f t="shared" si="1"/>
        <v>0.08398461971</v>
      </c>
      <c r="E1064" s="175">
        <f t="shared" si="2"/>
        <v>-1.29577628</v>
      </c>
      <c r="F1064" s="175">
        <f>IFERROR(__xludf.DUMMYFUNCTION("average.weighted(filter(Data!K:K,Data!B:B=A1064),filter(Data!F:F,Data!B:B=A1064))"),-0.5653680332865676)</f>
        <v>-0.5653680333</v>
      </c>
      <c r="G1064" s="175">
        <f>IFERROR(__xludf.DUMMYFUNCTION("average.weighted(filter(Data!L:L,Data!B:B=A1064),filter(Data!F:F,Data!B:B=A1064))"),-0.7304082464817361)</f>
        <v>-0.7304082465</v>
      </c>
    </row>
    <row r="1065">
      <c r="A1065" s="172" t="s">
        <v>1299</v>
      </c>
      <c r="B1065" s="173">
        <f>countif(Data!B:B,A1065)</f>
        <v>2</v>
      </c>
      <c r="C1065" s="174">
        <f>sumif(Data!B:B,A1065,Data!M:M)</f>
        <v>0.8278109375</v>
      </c>
      <c r="D1065" s="174">
        <f t="shared" si="1"/>
        <v>0.4139054687</v>
      </c>
      <c r="E1065" s="175">
        <f t="shared" si="2"/>
        <v>-1.296534386</v>
      </c>
      <c r="F1065" s="175">
        <f>IFERROR(__xludf.DUMMYFUNCTION("average.weighted(filter(Data!K:K,Data!B:B=A1065),filter(Data!F:F,Data!B:B=A1065))"),-1.0884580370240595)</f>
        <v>-1.088458037</v>
      </c>
      <c r="G1065" s="175">
        <f>IFERROR(__xludf.DUMMYFUNCTION("average.weighted(filter(Data!L:L,Data!B:B=A1065),filter(Data!F:F,Data!B:B=A1065))"),-0.20807634866750083)</f>
        <v>-0.2080763487</v>
      </c>
    </row>
    <row r="1066">
      <c r="A1066" s="172" t="s">
        <v>1300</v>
      </c>
      <c r="B1066" s="173">
        <f>countif(Data!B:B,A1066)</f>
        <v>6</v>
      </c>
      <c r="C1066" s="174">
        <f>sumif(Data!B:B,A1066,Data!M:M)</f>
        <v>2.765238638</v>
      </c>
      <c r="D1066" s="174">
        <f t="shared" si="1"/>
        <v>0.4608731064</v>
      </c>
      <c r="E1066" s="175">
        <f t="shared" si="2"/>
        <v>-1.239979976</v>
      </c>
      <c r="F1066" s="175">
        <f>IFERROR(__xludf.DUMMYFUNCTION("average.weighted(filter(Data!K:K,Data!B:B=A1066),filter(Data!F:F,Data!B:B=A1066))"),-0.8649857419128928)</f>
        <v>-0.8649857419</v>
      </c>
      <c r="G1066" s="175">
        <f>IFERROR(__xludf.DUMMYFUNCTION("average.weighted(filter(Data!L:L,Data!B:B=A1066),filter(Data!F:F,Data!B:B=A1066))"),-0.3749942336749985)</f>
        <v>-0.3749942337</v>
      </c>
    </row>
    <row r="1067">
      <c r="A1067" s="172" t="s">
        <v>1301</v>
      </c>
      <c r="B1067" s="173">
        <f>countif(Data!B:B,A1067)</f>
        <v>8</v>
      </c>
      <c r="C1067" s="174">
        <f>sumif(Data!B:B,A1067,Data!M:M)</f>
        <v>3.982489664</v>
      </c>
      <c r="D1067" s="174">
        <f t="shared" si="1"/>
        <v>0.497811208</v>
      </c>
      <c r="E1067" s="175">
        <f t="shared" si="2"/>
        <v>-1.29856495</v>
      </c>
      <c r="F1067" s="175">
        <f>IFERROR(__xludf.DUMMYFUNCTION("average.weighted(filter(Data!K:K,Data!B:B=A1067),filter(Data!F:F,Data!B:B=A1067))"),-1.2595089010257539)</f>
        <v>-1.259508901</v>
      </c>
      <c r="G1067" s="175">
        <f>IFERROR(__xludf.DUMMYFUNCTION("average.weighted(filter(Data!L:L,Data!B:B=A1067),filter(Data!F:F,Data!B:B=A1067))"),-0.03905604938429288)</f>
        <v>-0.03905604938</v>
      </c>
    </row>
    <row r="1068">
      <c r="A1068" s="172" t="s">
        <v>1302</v>
      </c>
      <c r="B1068" s="173">
        <f>countif(Data!B:B,A1068)</f>
        <v>1</v>
      </c>
      <c r="C1068" s="174">
        <f>sumif(Data!B:B,A1068,Data!M:M)</f>
        <v>0.07478381864</v>
      </c>
      <c r="D1068" s="174">
        <f t="shared" si="1"/>
        <v>0.07478381864</v>
      </c>
      <c r="E1068" s="175">
        <f t="shared" si="2"/>
        <v>-1.405591011</v>
      </c>
      <c r="F1068" s="175">
        <f>IFERROR(__xludf.DUMMYFUNCTION("average.weighted(filter(Data!K:K,Data!B:B=A1068),filter(Data!F:F,Data!B:B=A1068))"),-0.848027748687512)</f>
        <v>-0.8480277487</v>
      </c>
      <c r="G1068" s="175">
        <f>IFERROR(__xludf.DUMMYFUNCTION("average.weighted(filter(Data!L:L,Data!B:B=A1068),filter(Data!F:F,Data!B:B=A1068))"),-0.557563261834191)</f>
        <v>-0.5575632618</v>
      </c>
    </row>
    <row r="1069">
      <c r="A1069" s="172" t="s">
        <v>1303</v>
      </c>
      <c r="B1069" s="173">
        <f>countif(Data!B:B,A1069)</f>
        <v>7</v>
      </c>
      <c r="C1069" s="174">
        <f>sumif(Data!B:B,A1069,Data!M:M)</f>
        <v>5.088012493</v>
      </c>
      <c r="D1069" s="174">
        <f t="shared" si="1"/>
        <v>0.7268589276</v>
      </c>
      <c r="E1069" s="175">
        <f t="shared" si="2"/>
        <v>-1.305202765</v>
      </c>
      <c r="F1069" s="175">
        <f>IFERROR(__xludf.DUMMYFUNCTION("average.weighted(filter(Data!K:K,Data!B:B=A1069),filter(Data!F:F,Data!B:B=A1069))"),-2.240876067437736)</f>
        <v>-2.240876067</v>
      </c>
      <c r="G1069" s="175">
        <f>IFERROR(__xludf.DUMMYFUNCTION("average.weighted(filter(Data!L:L,Data!B:B=A1069),filter(Data!F:F,Data!B:B=A1069))"),0.9356733027773532)</f>
        <v>0.9356733028</v>
      </c>
    </row>
    <row r="1070">
      <c r="A1070" s="172" t="s">
        <v>1304</v>
      </c>
      <c r="B1070" s="173">
        <f>countif(Data!B:B,A1070)</f>
        <v>3</v>
      </c>
      <c r="C1070" s="174">
        <f>sumif(Data!B:B,A1070,Data!M:M)</f>
        <v>0.9604578745</v>
      </c>
      <c r="D1070" s="174">
        <f t="shared" si="1"/>
        <v>0.3201526248</v>
      </c>
      <c r="E1070" s="175">
        <f t="shared" si="2"/>
        <v>-1.305580935</v>
      </c>
      <c r="F1070" s="175">
        <f>IFERROR(__xludf.DUMMYFUNCTION("average.weighted(filter(Data!K:K,Data!B:B=A1070),filter(Data!F:F,Data!B:B=A1070))"),-0.8752448238145156)</f>
        <v>-0.8752448238</v>
      </c>
      <c r="G1070" s="175">
        <f>IFERROR(__xludf.DUMMYFUNCTION("average.weighted(filter(Data!L:L,Data!B:B=A1070),filter(Data!F:F,Data!B:B=A1070))"),-0.4303361107754271)</f>
        <v>-0.4303361108</v>
      </c>
    </row>
    <row r="1071">
      <c r="A1071" s="172" t="s">
        <v>1305</v>
      </c>
      <c r="B1071" s="173">
        <f>countif(Data!B:B,A1071)</f>
        <v>2</v>
      </c>
      <c r="C1071" s="174">
        <f>sumif(Data!B:B,A1071,Data!M:M)</f>
        <v>0.4142933094</v>
      </c>
      <c r="D1071" s="174">
        <f t="shared" si="1"/>
        <v>0.2071466547</v>
      </c>
      <c r="E1071" s="175">
        <f t="shared" si="2"/>
        <v>-1.436745141</v>
      </c>
      <c r="F1071" s="175">
        <f>IFERROR(__xludf.DUMMYFUNCTION("average.weighted(filter(Data!K:K,Data!B:B=A1071),filter(Data!F:F,Data!B:B=A1071))"),-1.1529808077072285)</f>
        <v>-1.152980808</v>
      </c>
      <c r="G1071" s="175">
        <f>IFERROR(__xludf.DUMMYFUNCTION("average.weighted(filter(Data!L:L,Data!B:B=A1071),filter(Data!F:F,Data!B:B=A1071))"),-0.2837643336711644)</f>
        <v>-0.2837643337</v>
      </c>
    </row>
    <row r="1072">
      <c r="A1072" s="172" t="s">
        <v>1306</v>
      </c>
      <c r="B1072" s="173">
        <f>countif(Data!B:B,A1072)</f>
        <v>3</v>
      </c>
      <c r="C1072" s="174">
        <f>sumif(Data!B:B,A1072,Data!M:M)</f>
        <v>0.3741778431</v>
      </c>
      <c r="D1072" s="174">
        <f t="shared" si="1"/>
        <v>0.1247259477</v>
      </c>
      <c r="E1072" s="175">
        <f t="shared" si="2"/>
        <v>-1.309825503</v>
      </c>
      <c r="F1072" s="175">
        <f>IFERROR(__xludf.DUMMYFUNCTION("average.weighted(filter(Data!K:K,Data!B:B=A1072),filter(Data!F:F,Data!B:B=A1072))"),-1.037399988758203)</f>
        <v>-1.037399989</v>
      </c>
      <c r="G1072" s="175">
        <f>IFERROR(__xludf.DUMMYFUNCTION("average.weighted(filter(Data!L:L,Data!B:B=A1072),filter(Data!F:F,Data!B:B=A1072))"),-0.2724255145182794)</f>
        <v>-0.2724255145</v>
      </c>
    </row>
    <row r="1073">
      <c r="A1073" s="172" t="s">
        <v>1307</v>
      </c>
      <c r="B1073" s="173">
        <f>countif(Data!B:B,A1073)</f>
        <v>2</v>
      </c>
      <c r="C1073" s="174">
        <f>sumif(Data!B:B,A1073,Data!M:M)</f>
        <v>1.114855121</v>
      </c>
      <c r="D1073" s="174">
        <f t="shared" si="1"/>
        <v>0.5574275605</v>
      </c>
      <c r="E1073" s="175">
        <f t="shared" si="2"/>
        <v>-1.318852977</v>
      </c>
      <c r="F1073" s="175">
        <f>IFERROR(__xludf.DUMMYFUNCTION("average.weighted(filter(Data!K:K,Data!B:B=A1073),filter(Data!F:F,Data!B:B=A1073))"),-2.0608828462428743)</f>
        <v>-2.060882846</v>
      </c>
      <c r="G1073" s="175">
        <f>IFERROR(__xludf.DUMMYFUNCTION("average.weighted(filter(Data!L:L,Data!B:B=A1073),filter(Data!F:F,Data!B:B=A1073))"),0.7420298697044312)</f>
        <v>0.7420298697</v>
      </c>
    </row>
    <row r="1074">
      <c r="A1074" s="172" t="s">
        <v>1308</v>
      </c>
      <c r="B1074" s="173">
        <f>countif(Data!B:B,A1074)</f>
        <v>2</v>
      </c>
      <c r="C1074" s="174">
        <f>sumif(Data!B:B,A1074,Data!M:M)</f>
        <v>0.9559153815</v>
      </c>
      <c r="D1074" s="174">
        <f t="shared" si="1"/>
        <v>0.4779576907</v>
      </c>
      <c r="E1074" s="175">
        <f t="shared" si="2"/>
        <v>-1.321275651</v>
      </c>
      <c r="F1074" s="175">
        <f>IFERROR(__xludf.DUMMYFUNCTION("average.weighted(filter(Data!K:K,Data!B:B=A1074),filter(Data!F:F,Data!B:B=A1074))"),-0.7464645276422415)</f>
        <v>-0.7464645276</v>
      </c>
      <c r="G1074" s="175">
        <f>IFERROR(__xludf.DUMMYFUNCTION("average.weighted(filter(Data!L:L,Data!B:B=A1074),filter(Data!F:F,Data!B:B=A1074))"),-0.5748111234378025)</f>
        <v>-0.5748111234</v>
      </c>
    </row>
    <row r="1075">
      <c r="A1075" s="172" t="s">
        <v>1309</v>
      </c>
      <c r="B1075" s="173">
        <f>countif(Data!B:B,A1075)</f>
        <v>3</v>
      </c>
      <c r="C1075" s="174">
        <f>sumif(Data!B:B,A1075,Data!M:M)</f>
        <v>0.4073724221</v>
      </c>
      <c r="D1075" s="174">
        <f t="shared" si="1"/>
        <v>0.1357908074</v>
      </c>
      <c r="E1075" s="175">
        <f t="shared" si="2"/>
        <v>-1.323131893</v>
      </c>
      <c r="F1075" s="175">
        <f>IFERROR(__xludf.DUMMYFUNCTION("average.weighted(filter(Data!K:K,Data!B:B=A1075),filter(Data!F:F,Data!B:B=A1075))"),-1.0099501872775696)</f>
        <v>-1.009950187</v>
      </c>
      <c r="G1075" s="175">
        <f>IFERROR(__xludf.DUMMYFUNCTION("average.weighted(filter(Data!L:L,Data!B:B=A1075),filter(Data!F:F,Data!B:B=A1075))"),-0.31318170538674106)</f>
        <v>-0.3131817054</v>
      </c>
    </row>
    <row r="1076">
      <c r="A1076" s="172" t="s">
        <v>1310</v>
      </c>
      <c r="B1076" s="173">
        <f>countif(Data!B:B,A1076)</f>
        <v>1</v>
      </c>
      <c r="C1076" s="174">
        <f>sumif(Data!B:B,A1076,Data!M:M)</f>
        <v>0.2444651174</v>
      </c>
      <c r="D1076" s="174">
        <f t="shared" si="1"/>
        <v>0.2444651174</v>
      </c>
      <c r="E1076" s="175">
        <f t="shared" si="2"/>
        <v>-1.330880385</v>
      </c>
      <c r="F1076" s="175">
        <f>IFERROR(__xludf.DUMMYFUNCTION("average.weighted(filter(Data!K:K,Data!B:B=A1076),filter(Data!F:F,Data!B:B=A1076))"),-0.790987992942904)</f>
        <v>-0.7909879929</v>
      </c>
      <c r="G1076" s="175">
        <f>IFERROR(__xludf.DUMMYFUNCTION("average.weighted(filter(Data!L:L,Data!B:B=A1076),filter(Data!F:F,Data!B:B=A1076))"),-0.539892391987247)</f>
        <v>-0.539892392</v>
      </c>
    </row>
    <row r="1077">
      <c r="A1077" s="172" t="s">
        <v>1311</v>
      </c>
      <c r="B1077" s="173">
        <f>countif(Data!B:B,A1077)</f>
        <v>1</v>
      </c>
      <c r="C1077" s="174">
        <f>sumif(Data!B:B,A1077,Data!M:M)</f>
        <v>0.1043403773</v>
      </c>
      <c r="D1077" s="174">
        <f t="shared" si="1"/>
        <v>0.1043403773</v>
      </c>
      <c r="E1077" s="175">
        <f t="shared" si="2"/>
        <v>-1.331365665</v>
      </c>
      <c r="F1077" s="175">
        <f>IFERROR(__xludf.DUMMYFUNCTION("average.weighted(filter(Data!K:K,Data!B:B=A1077),filter(Data!F:F,Data!B:B=A1077))"),-0.618900159964647)</f>
        <v>-0.61890016</v>
      </c>
      <c r="G1077" s="175">
        <f>IFERROR(__xludf.DUMMYFUNCTION("average.weighted(filter(Data!L:L,Data!B:B=A1077),filter(Data!F:F,Data!B:B=A1077))"),-0.712465504782158)</f>
        <v>-0.7124655048</v>
      </c>
    </row>
    <row r="1078">
      <c r="A1078" s="172" t="s">
        <v>1312</v>
      </c>
      <c r="B1078" s="173">
        <f>countif(Data!B:B,A1078)</f>
        <v>3</v>
      </c>
      <c r="C1078" s="174">
        <f>sumif(Data!B:B,A1078,Data!M:M)</f>
        <v>0.2215340887</v>
      </c>
      <c r="D1078" s="174">
        <f t="shared" si="1"/>
        <v>0.07384469625</v>
      </c>
      <c r="E1078" s="175">
        <f t="shared" si="2"/>
        <v>-1.33247484</v>
      </c>
      <c r="F1078" s="175">
        <f>IFERROR(__xludf.DUMMYFUNCTION("average.weighted(filter(Data!K:K,Data!B:B=A1078),filter(Data!F:F,Data!B:B=A1078))"),-0.6755866354113129)</f>
        <v>-0.6755866354</v>
      </c>
      <c r="G1078" s="175">
        <f>IFERROR(__xludf.DUMMYFUNCTION("average.weighted(filter(Data!L:L,Data!B:B=A1078),filter(Data!F:F,Data!B:B=A1078))"),-0.656888204314574)</f>
        <v>-0.6568882043</v>
      </c>
    </row>
    <row r="1079">
      <c r="A1079" s="172" t="s">
        <v>1313</v>
      </c>
      <c r="B1079" s="173">
        <f>countif(Data!B:B,A1079)</f>
        <v>1</v>
      </c>
      <c r="C1079" s="174">
        <f>sumif(Data!B:B,A1079,Data!M:M)</f>
        <v>0.09204268921</v>
      </c>
      <c r="D1079" s="174">
        <f t="shared" si="1"/>
        <v>0.09204268921</v>
      </c>
      <c r="E1079" s="175">
        <f t="shared" si="2"/>
        <v>-1.334195116</v>
      </c>
      <c r="F1079" s="175">
        <f>IFERROR(__xludf.DUMMYFUNCTION("average.weighted(filter(Data!K:K,Data!B:B=A1079),filter(Data!F:F,Data!B:B=A1079))"),-1.12984813699945)</f>
        <v>-1.129848137</v>
      </c>
      <c r="G1079" s="175">
        <f>IFERROR(__xludf.DUMMYFUNCTION("average.weighted(filter(Data!L:L,Data!B:B=A1079),filter(Data!F:F,Data!B:B=A1079))"),-0.204346978906496)</f>
        <v>-0.2043469789</v>
      </c>
    </row>
    <row r="1080">
      <c r="A1080" s="172" t="s">
        <v>1314</v>
      </c>
      <c r="B1080" s="173">
        <f>countif(Data!B:B,A1080)</f>
        <v>3</v>
      </c>
      <c r="C1080" s="174">
        <f>sumif(Data!B:B,A1080,Data!M:M)</f>
        <v>0.579311814</v>
      </c>
      <c r="D1080" s="174">
        <f t="shared" si="1"/>
        <v>0.193103938</v>
      </c>
      <c r="E1080" s="175">
        <f t="shared" si="2"/>
        <v>-1.335802323</v>
      </c>
      <c r="F1080" s="175">
        <f>IFERROR(__xludf.DUMMYFUNCTION("average.weighted(filter(Data!K:K,Data!B:B=A1080),filter(Data!F:F,Data!B:B=A1080))"),-0.41860650087303575)</f>
        <v>-0.4186065009</v>
      </c>
      <c r="G1080" s="175">
        <f>IFERROR(__xludf.DUMMYFUNCTION("average.weighted(filter(Data!L:L,Data!B:B=A1080),filter(Data!F:F,Data!B:B=A1080))"),-0.9171958225068141)</f>
        <v>-0.9171958225</v>
      </c>
    </row>
    <row r="1081">
      <c r="A1081" s="172" t="s">
        <v>1315</v>
      </c>
      <c r="B1081" s="173">
        <f>countif(Data!B:B,A1081)</f>
        <v>2</v>
      </c>
      <c r="C1081" s="174">
        <f>sumif(Data!B:B,A1081,Data!M:M)</f>
        <v>0.7184978263</v>
      </c>
      <c r="D1081" s="174">
        <f t="shared" si="1"/>
        <v>0.3592489132</v>
      </c>
      <c r="E1081" s="175">
        <f t="shared" si="2"/>
        <v>-1.339483227</v>
      </c>
      <c r="F1081" s="175">
        <f>IFERROR(__xludf.DUMMYFUNCTION("average.weighted(filter(Data!K:K,Data!B:B=A1081),filter(Data!F:F,Data!B:B=A1081))"),0.34860015630385677)</f>
        <v>0.3486001563</v>
      </c>
      <c r="G1081" s="175">
        <f>IFERROR(__xludf.DUMMYFUNCTION("average.weighted(filter(Data!L:L,Data!B:B=A1081),filter(Data!F:F,Data!B:B=A1081))"),-1.6880833830721653)</f>
        <v>-1.688083383</v>
      </c>
    </row>
    <row r="1082">
      <c r="A1082" s="172" t="s">
        <v>1316</v>
      </c>
      <c r="B1082" s="173">
        <f>countif(Data!B:B,A1082)</f>
        <v>2</v>
      </c>
      <c r="C1082" s="174">
        <f>sumif(Data!B:B,A1082,Data!M:M)</f>
        <v>1.444985253</v>
      </c>
      <c r="D1082" s="174">
        <f t="shared" si="1"/>
        <v>0.7224926263</v>
      </c>
      <c r="E1082" s="175">
        <f t="shared" si="2"/>
        <v>-1.343051735</v>
      </c>
      <c r="F1082" s="175">
        <f>IFERROR(__xludf.DUMMYFUNCTION("average.weighted(filter(Data!K:K,Data!B:B=A1082),filter(Data!F:F,Data!B:B=A1082))"),-1.0256072835062406)</f>
        <v>-1.025607284</v>
      </c>
      <c r="G1082" s="175">
        <f>IFERROR(__xludf.DUMMYFUNCTION("average.weighted(filter(Data!L:L,Data!B:B=A1082),filter(Data!F:F,Data!B:B=A1082))"),-0.31744445173614166)</f>
        <v>-0.3174444517</v>
      </c>
    </row>
    <row r="1083">
      <c r="A1083" s="172" t="s">
        <v>1317</v>
      </c>
      <c r="B1083" s="173">
        <f>countif(Data!B:B,A1083)</f>
        <v>2</v>
      </c>
      <c r="C1083" s="174">
        <f>sumif(Data!B:B,A1083,Data!M:M)</f>
        <v>0.8183591514</v>
      </c>
      <c r="D1083" s="174">
        <f t="shared" si="1"/>
        <v>0.4091795757</v>
      </c>
      <c r="E1083" s="175">
        <f t="shared" si="2"/>
        <v>-1.344819061</v>
      </c>
      <c r="F1083" s="175">
        <f>IFERROR(__xludf.DUMMYFUNCTION("average.weighted(filter(Data!K:K,Data!B:B=A1083),filter(Data!F:F,Data!B:B=A1083))"),-1.1169815469880702)</f>
        <v>-1.116981547</v>
      </c>
      <c r="G1083" s="175">
        <f>IFERROR(__xludf.DUMMYFUNCTION("average.weighted(filter(Data!L:L,Data!B:B=A1083),filter(Data!F:F,Data!B:B=A1083))"),-0.2278375136023649)</f>
        <v>-0.2278375136</v>
      </c>
    </row>
    <row r="1084">
      <c r="A1084" s="172" t="s">
        <v>1318</v>
      </c>
      <c r="B1084" s="173">
        <f>countif(Data!B:B,A1084)</f>
        <v>1</v>
      </c>
      <c r="C1084" s="174">
        <f>sumif(Data!B:B,A1084,Data!M:M)</f>
        <v>0.2616304595</v>
      </c>
      <c r="D1084" s="174">
        <f t="shared" si="1"/>
        <v>0.2616304595</v>
      </c>
      <c r="E1084" s="175">
        <f t="shared" si="2"/>
        <v>-1.52402943</v>
      </c>
      <c r="F1084" s="175">
        <f>IFERROR(__xludf.DUMMYFUNCTION("average.weighted(filter(Data!K:K,Data!B:B=A1084),filter(Data!F:F,Data!B:B=A1084))"),-0.777232293143589)</f>
        <v>-0.7772322931</v>
      </c>
      <c r="G1084" s="175">
        <f>IFERROR(__xludf.DUMMYFUNCTION("average.weighted(filter(Data!L:L,Data!B:B=A1084),filter(Data!F:F,Data!B:B=A1084))"),-0.746797137305488)</f>
        <v>-0.7467971373</v>
      </c>
    </row>
    <row r="1085">
      <c r="A1085" s="172" t="s">
        <v>1319</v>
      </c>
      <c r="B1085" s="173">
        <f>countif(Data!B:B,A1085)</f>
        <v>1</v>
      </c>
      <c r="C1085" s="174">
        <f>sumif(Data!B:B,A1085,Data!M:M)</f>
        <v>0.1087470778</v>
      </c>
      <c r="D1085" s="174">
        <f t="shared" si="1"/>
        <v>0.1087470778</v>
      </c>
      <c r="E1085" s="175">
        <f t="shared" si="2"/>
        <v>-0.4182361971</v>
      </c>
      <c r="F1085" s="175">
        <f>IFERROR(__xludf.DUMMYFUNCTION("average.weighted(filter(Data!K:K,Data!B:B=A1085),filter(Data!F:F,Data!B:B=A1085))"),-0.163356279219108)</f>
        <v>-0.1633562792</v>
      </c>
      <c r="G1085" s="175">
        <f>IFERROR(__xludf.DUMMYFUNCTION("average.weighted(filter(Data!L:L,Data!B:B=A1085),filter(Data!F:F,Data!B:B=A1085))"),-0.254879917906185)</f>
        <v>-0.2548799179</v>
      </c>
    </row>
    <row r="1086">
      <c r="A1086" s="172" t="s">
        <v>1320</v>
      </c>
      <c r="B1086" s="173">
        <f>countif(Data!B:B,A1086)</f>
        <v>2</v>
      </c>
      <c r="C1086" s="174">
        <f>sumif(Data!B:B,A1086,Data!M:M)</f>
        <v>0.06063383679</v>
      </c>
      <c r="D1086" s="174">
        <f t="shared" si="1"/>
        <v>0.03031691839</v>
      </c>
      <c r="E1086" s="175">
        <f t="shared" si="2"/>
        <v>-1.350407101</v>
      </c>
      <c r="F1086" s="175">
        <f>IFERROR(__xludf.DUMMYFUNCTION("average.weighted(filter(Data!K:K,Data!B:B=A1086),filter(Data!F:F,Data!B:B=A1086))"),-0.7073841573827522)</f>
        <v>-0.7073841574</v>
      </c>
      <c r="G1086" s="175">
        <f>IFERROR(__xludf.DUMMYFUNCTION("average.weighted(filter(Data!L:L,Data!B:B=A1086),filter(Data!F:F,Data!B:B=A1086))"),-0.6430229433983988)</f>
        <v>-0.6430229434</v>
      </c>
    </row>
    <row r="1087">
      <c r="A1087" s="172" t="s">
        <v>1321</v>
      </c>
      <c r="B1087" s="173">
        <f>countif(Data!B:B,A1087)</f>
        <v>2</v>
      </c>
      <c r="C1087" s="174">
        <f>sumif(Data!B:B,A1087,Data!M:M)</f>
        <v>0.07903413058</v>
      </c>
      <c r="D1087" s="174">
        <f t="shared" si="1"/>
        <v>0.03951706529</v>
      </c>
      <c r="E1087" s="175">
        <f t="shared" si="2"/>
        <v>-1.351712442</v>
      </c>
      <c r="F1087" s="175">
        <f>IFERROR(__xludf.DUMMYFUNCTION("average.weighted(filter(Data!K:K,Data!B:B=A1087),filter(Data!F:F,Data!B:B=A1087))"),-1.1062833230802256)</f>
        <v>-1.106283323</v>
      </c>
      <c r="G1087" s="175">
        <f>IFERROR(__xludf.DUMMYFUNCTION("average.weighted(filter(Data!L:L,Data!B:B=A1087),filter(Data!F:F,Data!B:B=A1087))"),-0.24542911865390762)</f>
        <v>-0.2454291187</v>
      </c>
    </row>
    <row r="1088">
      <c r="A1088" s="172" t="s">
        <v>1322</v>
      </c>
      <c r="B1088" s="173">
        <f>countif(Data!B:B,A1088)</f>
        <v>3</v>
      </c>
      <c r="C1088" s="174">
        <f>sumif(Data!B:B,A1088,Data!M:M)</f>
        <v>1.871047035</v>
      </c>
      <c r="D1088" s="174">
        <f t="shared" si="1"/>
        <v>0.623682345</v>
      </c>
      <c r="E1088" s="175">
        <f t="shared" si="2"/>
        <v>-1.227520309</v>
      </c>
      <c r="F1088" s="175">
        <f>IFERROR(__xludf.DUMMYFUNCTION("average.weighted(filter(Data!K:K,Data!B:B=A1088),filter(Data!F:F,Data!B:B=A1088))"),-0.19767780072814461)</f>
        <v>-0.1976778007</v>
      </c>
      <c r="G1088" s="175">
        <f>IFERROR(__xludf.DUMMYFUNCTION("average.weighted(filter(Data!L:L,Data!B:B=A1088),filter(Data!F:F,Data!B:B=A1088))"),-1.0298425079001248)</f>
        <v>-1.029842508</v>
      </c>
    </row>
    <row r="1089">
      <c r="A1089" s="172" t="s">
        <v>1323</v>
      </c>
      <c r="B1089" s="173">
        <f>countif(Data!B:B,A1089)</f>
        <v>6</v>
      </c>
      <c r="C1089" s="174">
        <f>sumif(Data!B:B,A1089,Data!M:M)</f>
        <v>4.548798519</v>
      </c>
      <c r="D1089" s="174">
        <f t="shared" si="1"/>
        <v>0.7581330865</v>
      </c>
      <c r="E1089" s="175">
        <f t="shared" si="2"/>
        <v>-1.355682185</v>
      </c>
      <c r="F1089" s="175">
        <f>IFERROR(__xludf.DUMMYFUNCTION("average.weighted(filter(Data!K:K,Data!B:B=A1089),filter(Data!F:F,Data!B:B=A1089))"),-0.5271362899638544)</f>
        <v>-0.52713629</v>
      </c>
      <c r="G1089" s="175">
        <f>IFERROR(__xludf.DUMMYFUNCTION("average.weighted(filter(Data!L:L,Data!B:B=A1089),filter(Data!F:F,Data!B:B=A1089))"),-0.8285458946421908)</f>
        <v>-0.8285458946</v>
      </c>
    </row>
    <row r="1090">
      <c r="A1090" s="172" t="s">
        <v>1324</v>
      </c>
      <c r="B1090" s="173">
        <f>countif(Data!B:B,A1090)</f>
        <v>4</v>
      </c>
      <c r="C1090" s="174">
        <f>sumif(Data!B:B,A1090,Data!M:M)</f>
        <v>0.9793126883</v>
      </c>
      <c r="D1090" s="174">
        <f t="shared" si="1"/>
        <v>0.2448281721</v>
      </c>
      <c r="E1090" s="175">
        <f t="shared" si="2"/>
        <v>-1.359790925</v>
      </c>
      <c r="F1090" s="175">
        <f>IFERROR(__xludf.DUMMYFUNCTION("average.weighted(filter(Data!K:K,Data!B:B=A1090),filter(Data!F:F,Data!B:B=A1090))"),-2.3641177062871526)</f>
        <v>-2.364117706</v>
      </c>
      <c r="G1090" s="175">
        <f>IFERROR(__xludf.DUMMYFUNCTION("average.weighted(filter(Data!L:L,Data!B:B=A1090),filter(Data!F:F,Data!B:B=A1090))"),1.0043267811886247)</f>
        <v>1.004326781</v>
      </c>
    </row>
    <row r="1091">
      <c r="A1091" s="172" t="s">
        <v>1325</v>
      </c>
      <c r="B1091" s="173">
        <f>countif(Data!B:B,A1091)</f>
        <v>3</v>
      </c>
      <c r="C1091" s="174">
        <f>sumif(Data!B:B,A1091,Data!M:M)</f>
        <v>1.867394513</v>
      </c>
      <c r="D1091" s="174">
        <f t="shared" si="1"/>
        <v>0.6224648378</v>
      </c>
      <c r="E1091" s="175">
        <f t="shared" si="2"/>
        <v>-1.358701505</v>
      </c>
      <c r="F1091" s="175">
        <f>IFERROR(__xludf.DUMMYFUNCTION("average.weighted(filter(Data!K:K,Data!B:B=A1091),filter(Data!F:F,Data!B:B=A1091))"),-0.4299686729026336)</f>
        <v>-0.4299686729</v>
      </c>
      <c r="G1091" s="175">
        <f>IFERROR(__xludf.DUMMYFUNCTION("average.weighted(filter(Data!L:L,Data!B:B=A1091),filter(Data!F:F,Data!B:B=A1091))"),-0.9287328324178773)</f>
        <v>-0.9287328324</v>
      </c>
    </row>
    <row r="1092">
      <c r="A1092" s="172" t="s">
        <v>1326</v>
      </c>
      <c r="B1092" s="173">
        <f>countif(Data!B:B,A1092)</f>
        <v>1</v>
      </c>
      <c r="C1092" s="174">
        <f>sumif(Data!B:B,A1092,Data!M:M)</f>
        <v>0.0405424151</v>
      </c>
      <c r="D1092" s="174">
        <f t="shared" si="1"/>
        <v>0.0405424151</v>
      </c>
      <c r="E1092" s="175">
        <f t="shared" si="2"/>
        <v>-1.558248376</v>
      </c>
      <c r="F1092" s="175">
        <f>IFERROR(__xludf.DUMMYFUNCTION("average.weighted(filter(Data!K:K,Data!B:B=A1092),filter(Data!F:F,Data!B:B=A1092))"),-0.840819496672097)</f>
        <v>-0.8408194967</v>
      </c>
      <c r="G1092" s="175">
        <f>IFERROR(__xludf.DUMMYFUNCTION("average.weighted(filter(Data!L:L,Data!B:B=A1092),filter(Data!F:F,Data!B:B=A1092))"),-0.717428879213621)</f>
        <v>-0.7174288792</v>
      </c>
    </row>
    <row r="1093">
      <c r="A1093" s="172" t="s">
        <v>1327</v>
      </c>
      <c r="B1093" s="173">
        <f>countif(Data!B:B,A1093)</f>
        <v>5</v>
      </c>
      <c r="C1093" s="174">
        <f>sumif(Data!B:B,A1093,Data!M:M)</f>
        <v>1.174462775</v>
      </c>
      <c r="D1093" s="174">
        <f t="shared" si="1"/>
        <v>0.234892555</v>
      </c>
      <c r="E1093" s="175">
        <f t="shared" si="2"/>
        <v>-1.399671523</v>
      </c>
      <c r="F1093" s="175">
        <f>IFERROR(__xludf.DUMMYFUNCTION("average.weighted(filter(Data!K:K,Data!B:B=A1093),filter(Data!F:F,Data!B:B=A1093))"),-0.5102593895236672)</f>
        <v>-0.5102593895</v>
      </c>
      <c r="G1093" s="175">
        <f>IFERROR(__xludf.DUMMYFUNCTION("average.weighted(filter(Data!L:L,Data!B:B=A1093),filter(Data!F:F,Data!B:B=A1093))"),-0.889412133180596)</f>
        <v>-0.8894121332</v>
      </c>
    </row>
    <row r="1094">
      <c r="A1094" s="172" t="s">
        <v>1328</v>
      </c>
      <c r="B1094" s="173">
        <f>countif(Data!B:B,A1094)</f>
        <v>1</v>
      </c>
      <c r="C1094" s="174">
        <f>sumif(Data!B:B,A1094,Data!M:M)</f>
        <v>0</v>
      </c>
      <c r="D1094" s="174">
        <f t="shared" si="1"/>
        <v>0</v>
      </c>
      <c r="E1094" s="175">
        <f t="shared" si="2"/>
        <v>-1.873723333</v>
      </c>
      <c r="F1094" s="175">
        <f>IFERROR(__xludf.DUMMYFUNCTION("average.weighted(filter(Data!K:K,Data!B:B=A1094),filter(Data!F:F,Data!B:B=A1094))"),-1.36980347399959)</f>
        <v>-1.369803474</v>
      </c>
      <c r="G1094" s="175">
        <f>IFERROR(__xludf.DUMMYFUNCTION("average.weighted(filter(Data!L:L,Data!B:B=A1094),filter(Data!F:F,Data!B:B=A1094))"),-0.503919859028529)</f>
        <v>-0.503919859</v>
      </c>
    </row>
    <row r="1095">
      <c r="A1095" s="172" t="s">
        <v>1329</v>
      </c>
      <c r="B1095" s="173">
        <f>countif(Data!B:B,A1095)</f>
        <v>2</v>
      </c>
      <c r="C1095" s="174">
        <f>sumif(Data!B:B,A1095,Data!M:M)</f>
        <v>1.591472027</v>
      </c>
      <c r="D1095" s="174">
        <f t="shared" si="1"/>
        <v>0.7957360134</v>
      </c>
      <c r="E1095" s="175">
        <f t="shared" si="2"/>
        <v>-1.370355442</v>
      </c>
      <c r="F1095" s="175">
        <f>IFERROR(__xludf.DUMMYFUNCTION("average.weighted(filter(Data!K:K,Data!B:B=A1095),filter(Data!F:F,Data!B:B=A1095))"),-2.0280134195487816)</f>
        <v>-2.02801342</v>
      </c>
      <c r="G1095" s="175">
        <f>IFERROR(__xludf.DUMMYFUNCTION("average.weighted(filter(Data!L:L,Data!B:B=A1095),filter(Data!F:F,Data!B:B=A1095))"),0.6576579771221642)</f>
        <v>0.6576579771</v>
      </c>
    </row>
    <row r="1096">
      <c r="A1096" s="172" t="s">
        <v>1330</v>
      </c>
      <c r="B1096" s="173">
        <f>countif(Data!B:B,A1096)</f>
        <v>2</v>
      </c>
      <c r="C1096" s="174">
        <f>sumif(Data!B:B,A1096,Data!M:M)</f>
        <v>0.1656745437</v>
      </c>
      <c r="D1096" s="174">
        <f t="shared" si="1"/>
        <v>0.08283727184</v>
      </c>
      <c r="E1096" s="175">
        <f t="shared" si="2"/>
        <v>-1.113420711</v>
      </c>
      <c r="F1096" s="175">
        <f>IFERROR(__xludf.DUMMYFUNCTION("average.weighted(filter(Data!K:K,Data!B:B=A1096),filter(Data!F:F,Data!B:B=A1096))"),-0.4733989832780812)</f>
        <v>-0.4733989833</v>
      </c>
      <c r="G1096" s="175">
        <f>IFERROR(__xludf.DUMMYFUNCTION("average.weighted(filter(Data!L:L,Data!B:B=A1096),filter(Data!F:F,Data!B:B=A1096))"),-0.6400217273422696)</f>
        <v>-0.6400217273</v>
      </c>
    </row>
    <row r="1097">
      <c r="A1097" s="172" t="s">
        <v>1331</v>
      </c>
      <c r="B1097" s="173">
        <f>countif(Data!B:B,A1097)</f>
        <v>4</v>
      </c>
      <c r="C1097" s="174">
        <f>sumif(Data!B:B,A1097,Data!M:M)</f>
        <v>2.09764942</v>
      </c>
      <c r="D1097" s="174">
        <f t="shared" si="1"/>
        <v>0.524412355</v>
      </c>
      <c r="E1097" s="175">
        <f t="shared" si="2"/>
        <v>-1.360670249</v>
      </c>
      <c r="F1097" s="175">
        <f>IFERROR(__xludf.DUMMYFUNCTION("average.weighted(filter(Data!K:K,Data!B:B=A1097),filter(Data!F:F,Data!B:B=A1097))"),-0.9531645238478518)</f>
        <v>-0.9531645238</v>
      </c>
      <c r="G1097" s="175">
        <f>IFERROR(__xludf.DUMMYFUNCTION("average.weighted(filter(Data!L:L,Data!B:B=A1097),filter(Data!F:F,Data!B:B=A1097))"),-0.407505724803678)</f>
        <v>-0.4075057248</v>
      </c>
    </row>
    <row r="1098">
      <c r="A1098" s="172" t="s">
        <v>1332</v>
      </c>
      <c r="B1098" s="173">
        <f>countif(Data!B:B,A1098)</f>
        <v>3</v>
      </c>
      <c r="C1098" s="174">
        <f>sumif(Data!B:B,A1098,Data!M:M)</f>
        <v>0.3770491594</v>
      </c>
      <c r="D1098" s="174">
        <f t="shared" si="1"/>
        <v>0.1256830531</v>
      </c>
      <c r="E1098" s="175">
        <f t="shared" si="2"/>
        <v>-1.373765871</v>
      </c>
      <c r="F1098" s="175">
        <f>IFERROR(__xludf.DUMMYFUNCTION("average.weighted(filter(Data!K:K,Data!B:B=A1098),filter(Data!F:F,Data!B:B=A1098))"),-0.7199577421502824)</f>
        <v>-0.7199577422</v>
      </c>
      <c r="G1098" s="175">
        <f>IFERROR(__xludf.DUMMYFUNCTION("average.weighted(filter(Data!L:L,Data!B:B=A1098),filter(Data!F:F,Data!B:B=A1098))"),-0.6538081286363324)</f>
        <v>-0.6538081286</v>
      </c>
    </row>
    <row r="1099">
      <c r="A1099" s="172" t="s">
        <v>1333</v>
      </c>
      <c r="B1099" s="173">
        <f>countif(Data!B:B,A1099)</f>
        <v>5</v>
      </c>
      <c r="C1099" s="174">
        <f>sumif(Data!B:B,A1099,Data!M:M)</f>
        <v>3.490357799</v>
      </c>
      <c r="D1099" s="174">
        <f t="shared" si="1"/>
        <v>0.6980715597</v>
      </c>
      <c r="E1099" s="175">
        <f t="shared" si="2"/>
        <v>-1.373824744</v>
      </c>
      <c r="F1099" s="175">
        <f>IFERROR(__xludf.DUMMYFUNCTION("average.weighted(filter(Data!K:K,Data!B:B=A1099),filter(Data!F:F,Data!B:B=A1099))"),0.06072954856516756)</f>
        <v>0.06072954857</v>
      </c>
      <c r="G1099" s="175">
        <f>IFERROR(__xludf.DUMMYFUNCTION("average.weighted(filter(Data!L:L,Data!B:B=A1099),filter(Data!F:F,Data!B:B=A1099))"),-1.4345542923268488)</f>
        <v>-1.434554292</v>
      </c>
    </row>
    <row r="1100">
      <c r="A1100" s="172" t="s">
        <v>1334</v>
      </c>
      <c r="B1100" s="173">
        <f>countif(Data!B:B,A1100)</f>
        <v>3</v>
      </c>
      <c r="C1100" s="174">
        <f>sumif(Data!B:B,A1100,Data!M:M)</f>
        <v>1.271380657</v>
      </c>
      <c r="D1100" s="174">
        <f t="shared" si="1"/>
        <v>0.4237935524</v>
      </c>
      <c r="E1100" s="175">
        <f t="shared" si="2"/>
        <v>-1.372988592</v>
      </c>
      <c r="F1100" s="175">
        <f>IFERROR(__xludf.DUMMYFUNCTION("average.weighted(filter(Data!K:K,Data!B:B=A1100),filter(Data!F:F,Data!B:B=A1100))"),-1.8685994552987852)</f>
        <v>-1.868599455</v>
      </c>
      <c r="G1100" s="175">
        <f>IFERROR(__xludf.DUMMYFUNCTION("average.weighted(filter(Data!L:L,Data!B:B=A1100),filter(Data!F:F,Data!B:B=A1100))"),0.49561086326474996)</f>
        <v>0.4956108633</v>
      </c>
    </row>
    <row r="1101">
      <c r="A1101" s="172" t="s">
        <v>1335</v>
      </c>
      <c r="B1101" s="173">
        <f>countif(Data!B:B,A1101)</f>
        <v>2</v>
      </c>
      <c r="C1101" s="174">
        <f>sumif(Data!B:B,A1101,Data!M:M)</f>
        <v>0.3914411485</v>
      </c>
      <c r="D1101" s="174">
        <f t="shared" si="1"/>
        <v>0.1957205743</v>
      </c>
      <c r="E1101" s="175">
        <f t="shared" si="2"/>
        <v>-1.436346152</v>
      </c>
      <c r="F1101" s="175">
        <f>IFERROR(__xludf.DUMMYFUNCTION("average.weighted(filter(Data!K:K,Data!B:B=A1101),filter(Data!F:F,Data!B:B=A1101))"),-1.3734666461563267)</f>
        <v>-1.373466646</v>
      </c>
      <c r="G1101" s="175">
        <f>IFERROR(__xludf.DUMMYFUNCTION("average.weighted(filter(Data!L:L,Data!B:B=A1101),filter(Data!F:F,Data!B:B=A1101))"),-0.06287950594111971)</f>
        <v>-0.06287950594</v>
      </c>
    </row>
    <row r="1102">
      <c r="A1102" s="172" t="s">
        <v>1336</v>
      </c>
      <c r="B1102" s="173">
        <f>countif(Data!B:B,A1102)</f>
        <v>6</v>
      </c>
      <c r="C1102" s="174">
        <f>sumif(Data!B:B,A1102,Data!M:M)</f>
        <v>5.561997153</v>
      </c>
      <c r="D1102" s="174">
        <f t="shared" si="1"/>
        <v>0.9269995255</v>
      </c>
      <c r="E1102" s="175">
        <f t="shared" si="2"/>
        <v>-1.381695788</v>
      </c>
      <c r="F1102" s="175">
        <f>IFERROR(__xludf.DUMMYFUNCTION("average.weighted(filter(Data!K:K,Data!B:B=A1102),filter(Data!F:F,Data!B:B=A1102))"),-0.7443146686103995)</f>
        <v>-0.7443146686</v>
      </c>
      <c r="G1102" s="175">
        <f>IFERROR(__xludf.DUMMYFUNCTION("average.weighted(filter(Data!L:L,Data!B:B=A1102),filter(Data!F:F,Data!B:B=A1102))"),-0.6373811194028582)</f>
        <v>-0.6373811194</v>
      </c>
    </row>
    <row r="1103">
      <c r="A1103" s="172" t="s">
        <v>1337</v>
      </c>
      <c r="B1103" s="173">
        <f>countif(Data!B:B,A1103)</f>
        <v>2</v>
      </c>
      <c r="C1103" s="174">
        <f>sumif(Data!B:B,A1103,Data!M:M)</f>
        <v>0.4615666879</v>
      </c>
      <c r="D1103" s="174">
        <f t="shared" si="1"/>
        <v>0.230783344</v>
      </c>
      <c r="E1103" s="175">
        <f t="shared" si="2"/>
        <v>-1.140325269</v>
      </c>
      <c r="F1103" s="175">
        <f>IFERROR(__xludf.DUMMYFUNCTION("average.weighted(filter(Data!K:K,Data!B:B=A1103),filter(Data!F:F,Data!B:B=A1103))"),-1.9488110690352274)</f>
        <v>-1.948811069</v>
      </c>
      <c r="G1103" s="175">
        <f>IFERROR(__xludf.DUMMYFUNCTION("average.weighted(filter(Data!L:L,Data!B:B=A1103),filter(Data!F:F,Data!B:B=A1103))"),0.8084858005320716)</f>
        <v>0.8084858005</v>
      </c>
    </row>
    <row r="1104">
      <c r="A1104" s="172" t="s">
        <v>1338</v>
      </c>
      <c r="B1104" s="173">
        <f>countif(Data!B:B,A1104)</f>
        <v>6</v>
      </c>
      <c r="C1104" s="174">
        <f>sumif(Data!B:B,A1104,Data!M:M)</f>
        <v>2.761077492</v>
      </c>
      <c r="D1104" s="174">
        <f t="shared" si="1"/>
        <v>0.460179582</v>
      </c>
      <c r="E1104" s="175">
        <f t="shared" si="2"/>
        <v>-1.393941534</v>
      </c>
      <c r="F1104" s="175">
        <f>IFERROR(__xludf.DUMMYFUNCTION("average.weighted(filter(Data!K:K,Data!B:B=A1104),filter(Data!F:F,Data!B:B=A1104))"),-0.39360659765961975)</f>
        <v>-0.3936065977</v>
      </c>
      <c r="G1104" s="175">
        <f>IFERROR(__xludf.DUMMYFUNCTION("average.weighted(filter(Data!L:L,Data!B:B=A1104),filter(Data!F:F,Data!B:B=A1104))"),-1.0003349364626632)</f>
        <v>-1.000334936</v>
      </c>
    </row>
    <row r="1105">
      <c r="A1105" s="172" t="s">
        <v>1339</v>
      </c>
      <c r="B1105" s="173">
        <f>countif(Data!B:B,A1105)</f>
        <v>1</v>
      </c>
      <c r="C1105" s="174">
        <f>sumif(Data!B:B,A1105,Data!M:M)</f>
        <v>0.03755780181</v>
      </c>
      <c r="D1105" s="174">
        <f t="shared" si="1"/>
        <v>0.03755780181</v>
      </c>
      <c r="E1105" s="175">
        <f t="shared" si="2"/>
        <v>-1.394122893</v>
      </c>
      <c r="F1105" s="175">
        <f>IFERROR(__xludf.DUMMYFUNCTION("average.weighted(filter(Data!K:K,Data!B:B=A1105),filter(Data!F:F,Data!B:B=A1105))"),-0.899367524785359)</f>
        <v>-0.8993675248</v>
      </c>
      <c r="G1105" s="175">
        <f>IFERROR(__xludf.DUMMYFUNCTION("average.weighted(filter(Data!L:L,Data!B:B=A1105),filter(Data!F:F,Data!B:B=A1105))"),-0.494755368245278)</f>
        <v>-0.4947553682</v>
      </c>
    </row>
    <row r="1106">
      <c r="A1106" s="172" t="s">
        <v>1340</v>
      </c>
      <c r="B1106" s="173">
        <f>countif(Data!B:B,A1106)</f>
        <v>2</v>
      </c>
      <c r="C1106" s="174">
        <f>sumif(Data!B:B,A1106,Data!M:M)</f>
        <v>1.5262011</v>
      </c>
      <c r="D1106" s="174">
        <f t="shared" si="1"/>
        <v>0.7631005502</v>
      </c>
      <c r="E1106" s="175">
        <f t="shared" si="2"/>
        <v>-1.382673262</v>
      </c>
      <c r="F1106" s="175">
        <f>IFERROR(__xludf.DUMMYFUNCTION("average.weighted(filter(Data!K:K,Data!B:B=A1106),filter(Data!F:F,Data!B:B=A1106))"),-2.031586223433891)</f>
        <v>-2.031586223</v>
      </c>
      <c r="G1106" s="175">
        <f>IFERROR(__xludf.DUMMYFUNCTION("average.weighted(filter(Data!L:L,Data!B:B=A1106),filter(Data!F:F,Data!B:B=A1106))"),0.6489129613003767)</f>
        <v>0.6489129613</v>
      </c>
    </row>
    <row r="1107">
      <c r="A1107" s="172" t="s">
        <v>1341</v>
      </c>
      <c r="B1107" s="173">
        <f>countif(Data!B:B,A1107)</f>
        <v>5</v>
      </c>
      <c r="C1107" s="174">
        <f>sumif(Data!B:B,A1107,Data!M:M)</f>
        <v>3.759155788</v>
      </c>
      <c r="D1107" s="174">
        <f t="shared" si="1"/>
        <v>0.7518311577</v>
      </c>
      <c r="E1107" s="175">
        <f t="shared" si="2"/>
        <v>-1.403113637</v>
      </c>
      <c r="F1107" s="175">
        <f>IFERROR(__xludf.DUMMYFUNCTION("average.weighted(filter(Data!K:K,Data!B:B=A1107),filter(Data!F:F,Data!B:B=A1107))"),0.03732121796867738)</f>
        <v>0.03732121797</v>
      </c>
      <c r="G1107" s="175">
        <f>IFERROR(__xludf.DUMMYFUNCTION("average.weighted(filter(Data!L:L,Data!B:B=A1107),filter(Data!F:F,Data!B:B=A1107))"),-1.4404348550533954)</f>
        <v>-1.440434855</v>
      </c>
    </row>
    <row r="1108">
      <c r="A1108" s="172" t="s">
        <v>1342</v>
      </c>
      <c r="B1108" s="173">
        <f>countif(Data!B:B,A1108)</f>
        <v>1</v>
      </c>
      <c r="C1108" s="174">
        <f>sumif(Data!B:B,A1108,Data!M:M)</f>
        <v>0.2564368177</v>
      </c>
      <c r="D1108" s="174">
        <f t="shared" si="1"/>
        <v>0.2564368177</v>
      </c>
      <c r="E1108" s="175">
        <f t="shared" si="2"/>
        <v>-1.040956525</v>
      </c>
      <c r="F1108" s="175">
        <f>IFERROR(__xludf.DUMMYFUNCTION("average.weighted(filter(Data!K:K,Data!B:B=A1108),filter(Data!F:F,Data!B:B=A1108))"),-0.933130854276938)</f>
        <v>-0.9331308543</v>
      </c>
      <c r="G1108" s="175">
        <f>IFERROR(__xludf.DUMMYFUNCTION("average.weighted(filter(Data!L:L,Data!B:B=A1108),filter(Data!F:F,Data!B:B=A1108))"),-0.107825671104666)</f>
        <v>-0.1078256711</v>
      </c>
    </row>
    <row r="1109">
      <c r="A1109" s="172" t="s">
        <v>1343</v>
      </c>
      <c r="B1109" s="173">
        <f>countif(Data!B:B,A1109)</f>
        <v>7</v>
      </c>
      <c r="C1109" s="174">
        <f>sumif(Data!B:B,A1109,Data!M:M)</f>
        <v>9.186699154</v>
      </c>
      <c r="D1109" s="174">
        <f t="shared" si="1"/>
        <v>1.312385593</v>
      </c>
      <c r="E1109" s="175">
        <f t="shared" si="2"/>
        <v>-1.333070549</v>
      </c>
      <c r="F1109" s="175">
        <f>IFERROR(__xludf.DUMMYFUNCTION("average.weighted(filter(Data!K:K,Data!B:B=A1109),filter(Data!F:F,Data!B:B=A1109))"),0.03960773433401629)</f>
        <v>0.03960773433</v>
      </c>
      <c r="G1109" s="175">
        <f>IFERROR(__xludf.DUMMYFUNCTION("average.weighted(filter(Data!L:L,Data!B:B=A1109),filter(Data!F:F,Data!B:B=A1109))"),-1.3726782836212026)</f>
        <v>-1.372678284</v>
      </c>
    </row>
    <row r="1110">
      <c r="A1110" s="172" t="s">
        <v>1344</v>
      </c>
      <c r="B1110" s="173">
        <f>countif(Data!B:B,A1110)</f>
        <v>1</v>
      </c>
      <c r="C1110" s="174">
        <f>sumif(Data!B:B,A1110,Data!M:M)</f>
        <v>0.1237813517</v>
      </c>
      <c r="D1110" s="174">
        <f t="shared" si="1"/>
        <v>0.1237813517</v>
      </c>
      <c r="E1110" s="175">
        <f t="shared" si="2"/>
        <v>-1.412576381</v>
      </c>
      <c r="F1110" s="175">
        <f>IFERROR(__xludf.DUMMYFUNCTION("average.weighted(filter(Data!K:K,Data!B:B=A1110),filter(Data!F:F,Data!B:B=A1110))"),-1.2324510248827)</f>
        <v>-1.232451025</v>
      </c>
      <c r="G1110" s="175">
        <f>IFERROR(__xludf.DUMMYFUNCTION("average.weighted(filter(Data!L:L,Data!B:B=A1110),filter(Data!F:F,Data!B:B=A1110))"),-0.180125355785031)</f>
        <v>-0.1801253558</v>
      </c>
    </row>
    <row r="1111">
      <c r="A1111" s="172" t="s">
        <v>1345</v>
      </c>
      <c r="B1111" s="173">
        <f>countif(Data!B:B,A1111)</f>
        <v>1</v>
      </c>
      <c r="C1111" s="174">
        <f>sumif(Data!B:B,A1111,Data!M:M)</f>
        <v>0.5217908388</v>
      </c>
      <c r="D1111" s="174">
        <f t="shared" si="1"/>
        <v>0.5217908388</v>
      </c>
      <c r="E1111" s="175">
        <f t="shared" si="2"/>
        <v>-1.414430775</v>
      </c>
      <c r="F1111" s="175">
        <f>IFERROR(__xludf.DUMMYFUNCTION("average.weighted(filter(Data!K:K,Data!B:B=A1111),filter(Data!F:F,Data!B:B=A1111))"),-1.74813832345049)</f>
        <v>-1.748138323</v>
      </c>
      <c r="G1111" s="175">
        <f>IFERROR(__xludf.DUMMYFUNCTION("average.weighted(filter(Data!L:L,Data!B:B=A1111),filter(Data!F:F,Data!B:B=A1111))"),0.333707548933749)</f>
        <v>0.3337075489</v>
      </c>
    </row>
    <row r="1112">
      <c r="A1112" s="172" t="s">
        <v>1346</v>
      </c>
      <c r="B1112" s="173">
        <f>countif(Data!B:B,A1112)</f>
        <v>3</v>
      </c>
      <c r="C1112" s="174">
        <f>sumif(Data!B:B,A1112,Data!M:M)</f>
        <v>0.8199211097</v>
      </c>
      <c r="D1112" s="174">
        <f t="shared" si="1"/>
        <v>0.2733070366</v>
      </c>
      <c r="E1112" s="175">
        <f t="shared" si="2"/>
        <v>-1.415308945</v>
      </c>
      <c r="F1112" s="175">
        <f>IFERROR(__xludf.DUMMYFUNCTION("average.weighted(filter(Data!K:K,Data!B:B=A1112),filter(Data!F:F,Data!B:B=A1112))"),-2.164010898677476)</f>
        <v>-2.164010899</v>
      </c>
      <c r="G1112" s="175">
        <f>IFERROR(__xludf.DUMMYFUNCTION("average.weighted(filter(Data!L:L,Data!B:B=A1112),filter(Data!F:F,Data!B:B=A1112))"),0.7487019535187918)</f>
        <v>0.7487019535</v>
      </c>
    </row>
    <row r="1113">
      <c r="A1113" s="172" t="s">
        <v>1347</v>
      </c>
      <c r="B1113" s="173">
        <f>countif(Data!B:B,A1113)</f>
        <v>1</v>
      </c>
      <c r="C1113" s="174">
        <f>sumif(Data!B:B,A1113,Data!M:M)</f>
        <v>0.1322880945</v>
      </c>
      <c r="D1113" s="174">
        <f t="shared" si="1"/>
        <v>0.1322880945</v>
      </c>
      <c r="E1113" s="175">
        <f t="shared" si="2"/>
        <v>-1.503507277</v>
      </c>
      <c r="F1113" s="175">
        <f>IFERROR(__xludf.DUMMYFUNCTION("average.weighted(filter(Data!K:K,Data!B:B=A1113),filter(Data!F:F,Data!B:B=A1113))"),-1.08117733392498)</f>
        <v>-1.081177334</v>
      </c>
      <c r="G1113" s="175">
        <f>IFERROR(__xludf.DUMMYFUNCTION("average.weighted(filter(Data!L:L,Data!B:B=A1113),filter(Data!F:F,Data!B:B=A1113))"),-0.422329942756765)</f>
        <v>-0.4223299428</v>
      </c>
    </row>
    <row r="1114">
      <c r="A1114" s="172" t="s">
        <v>1348</v>
      </c>
      <c r="B1114" s="173">
        <f>countif(Data!B:B,A1114)</f>
        <v>7</v>
      </c>
      <c r="C1114" s="174">
        <f>sumif(Data!B:B,A1114,Data!M:M)</f>
        <v>5.482624283</v>
      </c>
      <c r="D1114" s="174">
        <f t="shared" si="1"/>
        <v>0.7832320405</v>
      </c>
      <c r="E1114" s="175">
        <f t="shared" si="2"/>
        <v>-1.441511393</v>
      </c>
      <c r="F1114" s="175">
        <f>IFERROR(__xludf.DUMMYFUNCTION("average.weighted(filter(Data!K:K,Data!B:B=A1114),filter(Data!F:F,Data!B:B=A1114))"),-0.4829351338656137)</f>
        <v>-0.4829351339</v>
      </c>
      <c r="G1114" s="175">
        <f>IFERROR(__xludf.DUMMYFUNCTION("average.weighted(filter(Data!L:L,Data!B:B=A1114),filter(Data!F:F,Data!B:B=A1114))"),-0.9585762591349103)</f>
        <v>-0.9585762591</v>
      </c>
    </row>
    <row r="1115">
      <c r="A1115" s="172" t="s">
        <v>1349</v>
      </c>
      <c r="B1115" s="173">
        <f>countif(Data!B:B,A1115)</f>
        <v>2</v>
      </c>
      <c r="C1115" s="174">
        <f>sumif(Data!B:B,A1115,Data!M:M)</f>
        <v>0.5489956422</v>
      </c>
      <c r="D1115" s="174">
        <f t="shared" si="1"/>
        <v>0.2744978211</v>
      </c>
      <c r="E1115" s="175">
        <f t="shared" si="2"/>
        <v>-1.272184411</v>
      </c>
      <c r="F1115" s="175">
        <f>IFERROR(__xludf.DUMMYFUNCTION("average.weighted(filter(Data!K:K,Data!B:B=A1115),filter(Data!F:F,Data!B:B=A1115))"),-1.3845779747866276)</f>
        <v>-1.384577975</v>
      </c>
      <c r="G1115" s="175">
        <f>IFERROR(__xludf.DUMMYFUNCTION("average.weighted(filter(Data!L:L,Data!B:B=A1115),filter(Data!F:F,Data!B:B=A1115))"),0.1123935635425889)</f>
        <v>0.1123935635</v>
      </c>
    </row>
    <row r="1116">
      <c r="A1116" s="172" t="s">
        <v>1350</v>
      </c>
      <c r="B1116" s="173">
        <f>countif(Data!B:B,A1116)</f>
        <v>3</v>
      </c>
      <c r="C1116" s="174">
        <f>sumif(Data!B:B,A1116,Data!M:M)</f>
        <v>0.4086440568</v>
      </c>
      <c r="D1116" s="174">
        <f t="shared" si="1"/>
        <v>0.1362146856</v>
      </c>
      <c r="E1116" s="175">
        <f t="shared" si="2"/>
        <v>-1.421066714</v>
      </c>
      <c r="F1116" s="175">
        <f>IFERROR(__xludf.DUMMYFUNCTION("average.weighted(filter(Data!K:K,Data!B:B=A1116),filter(Data!F:F,Data!B:B=A1116))"),-0.8882301618355669)</f>
        <v>-0.8882301618</v>
      </c>
      <c r="G1116" s="175">
        <f>IFERROR(__xludf.DUMMYFUNCTION("average.weighted(filter(Data!L:L,Data!B:B=A1116),filter(Data!F:F,Data!B:B=A1116))"),-0.5328365525320861)</f>
        <v>-0.5328365525</v>
      </c>
    </row>
    <row r="1117">
      <c r="A1117" s="172" t="s">
        <v>1351</v>
      </c>
      <c r="B1117" s="173">
        <f>countif(Data!B:B,A1117)</f>
        <v>2</v>
      </c>
      <c r="C1117" s="174">
        <f>sumif(Data!B:B,A1117,Data!M:M)</f>
        <v>0.09981298758</v>
      </c>
      <c r="D1117" s="174">
        <f t="shared" si="1"/>
        <v>0.04990649379</v>
      </c>
      <c r="E1117" s="175">
        <f t="shared" si="2"/>
        <v>-1.422702458</v>
      </c>
      <c r="F1117" s="175">
        <f>IFERROR(__xludf.DUMMYFUNCTION("average.weighted(filter(Data!K:K,Data!B:B=A1117),filter(Data!F:F,Data!B:B=A1117))"),-0.9986685348378013)</f>
        <v>-0.9986685348</v>
      </c>
      <c r="G1117" s="175">
        <f>IFERROR(__xludf.DUMMYFUNCTION("average.weighted(filter(Data!L:L,Data!B:B=A1117),filter(Data!F:F,Data!B:B=A1117))"),-0.4240339232982267)</f>
        <v>-0.4240339233</v>
      </c>
    </row>
    <row r="1118">
      <c r="A1118" s="172" t="s">
        <v>1352</v>
      </c>
      <c r="B1118" s="173">
        <f>countif(Data!B:B,A1118)</f>
        <v>2</v>
      </c>
      <c r="C1118" s="174">
        <f>sumif(Data!B:B,A1118,Data!M:M)</f>
        <v>0.5957888497</v>
      </c>
      <c r="D1118" s="174">
        <f t="shared" si="1"/>
        <v>0.2978944249</v>
      </c>
      <c r="E1118" s="175">
        <f t="shared" si="2"/>
        <v>-1.422744087</v>
      </c>
      <c r="F1118" s="175">
        <f>IFERROR(__xludf.DUMMYFUNCTION("average.weighted(filter(Data!K:K,Data!B:B=A1118),filter(Data!F:F,Data!B:B=A1118))"),-0.06492307341795732)</f>
        <v>-0.06492307342</v>
      </c>
      <c r="G1118" s="175">
        <f>IFERROR(__xludf.DUMMYFUNCTION("average.weighted(filter(Data!L:L,Data!B:B=A1118),filter(Data!F:F,Data!B:B=A1118))"),-1.3578210135122621)</f>
        <v>-1.357821014</v>
      </c>
    </row>
    <row r="1119">
      <c r="A1119" s="172" t="s">
        <v>1353</v>
      </c>
      <c r="B1119" s="173">
        <f>countif(Data!B:B,A1119)</f>
        <v>4</v>
      </c>
      <c r="C1119" s="174">
        <f>sumif(Data!B:B,A1119,Data!M:M)</f>
        <v>1.36852703</v>
      </c>
      <c r="D1119" s="174">
        <f t="shared" si="1"/>
        <v>0.3421317575</v>
      </c>
      <c r="E1119" s="175">
        <f t="shared" si="2"/>
        <v>-1.424091865</v>
      </c>
      <c r="F1119" s="175">
        <f>IFERROR(__xludf.DUMMYFUNCTION("average.weighted(filter(Data!K:K,Data!B:B=A1119),filter(Data!F:F,Data!B:B=A1119))"),-1.2026392491597897)</f>
        <v>-1.202639249</v>
      </c>
      <c r="G1119" s="175">
        <f>IFERROR(__xludf.DUMMYFUNCTION("average.weighted(filter(Data!L:L,Data!B:B=A1119),filter(Data!F:F,Data!B:B=A1119))"),-0.22145261558833879)</f>
        <v>-0.2214526156</v>
      </c>
    </row>
    <row r="1120">
      <c r="A1120" s="172" t="s">
        <v>1354</v>
      </c>
      <c r="B1120" s="173">
        <f>countif(Data!B:B,A1120)</f>
        <v>4</v>
      </c>
      <c r="C1120" s="174">
        <f>sumif(Data!B:B,A1120,Data!M:M)</f>
        <v>3.392826337</v>
      </c>
      <c r="D1120" s="174">
        <f t="shared" si="1"/>
        <v>0.8482065842</v>
      </c>
      <c r="E1120" s="175">
        <f t="shared" si="2"/>
        <v>-1.424175021</v>
      </c>
      <c r="F1120" s="175">
        <f>IFERROR(__xludf.DUMMYFUNCTION("average.weighted(filter(Data!K:K,Data!B:B=A1120),filter(Data!F:F,Data!B:B=A1120))"),-0.3548064631078778)</f>
        <v>-0.3548064631</v>
      </c>
      <c r="G1120" s="175">
        <f>IFERROR(__xludf.DUMMYFUNCTION("average.weighted(filter(Data!L:L,Data!B:B=A1120),filter(Data!F:F,Data!B:B=A1120))"),-1.0693685578604142)</f>
        <v>-1.069368558</v>
      </c>
    </row>
    <row r="1121">
      <c r="A1121" s="172" t="s">
        <v>1355</v>
      </c>
      <c r="B1121" s="173">
        <f>countif(Data!B:B,A1121)</f>
        <v>1</v>
      </c>
      <c r="C1121" s="174">
        <f>sumif(Data!B:B,A1121,Data!M:M)</f>
        <v>0.1308828276</v>
      </c>
      <c r="D1121" s="174">
        <f t="shared" si="1"/>
        <v>0.1308828276</v>
      </c>
      <c r="E1121" s="175">
        <f t="shared" si="2"/>
        <v>-1.425350563</v>
      </c>
      <c r="F1121" s="175">
        <f>IFERROR(__xludf.DUMMYFUNCTION("average.weighted(filter(Data!K:K,Data!B:B=A1121),filter(Data!F:F,Data!B:B=A1121))"),-0.931938607153643)</f>
        <v>-0.9319386072</v>
      </c>
      <c r="G1121" s="175">
        <f>IFERROR(__xludf.DUMMYFUNCTION("average.weighted(filter(Data!L:L,Data!B:B=A1121),filter(Data!F:F,Data!B:B=A1121))"),-0.493411955604547)</f>
        <v>-0.4934119556</v>
      </c>
    </row>
    <row r="1122">
      <c r="A1122" s="172" t="s">
        <v>1356</v>
      </c>
      <c r="B1122" s="173">
        <f>countif(Data!B:B,A1122)</f>
        <v>1</v>
      </c>
      <c r="C1122" s="174">
        <f>sumif(Data!B:B,A1122,Data!M:M)</f>
        <v>0.1691917212</v>
      </c>
      <c r="D1122" s="174">
        <f t="shared" si="1"/>
        <v>0.1691917212</v>
      </c>
      <c r="E1122" s="175">
        <f t="shared" si="2"/>
        <v>-1.426907273</v>
      </c>
      <c r="F1122" s="175">
        <f>IFERROR(__xludf.DUMMYFUNCTION("average.weighted(filter(Data!K:K,Data!B:B=A1122),filter(Data!F:F,Data!B:B=A1122))"),0.407500912922864)</f>
        <v>0.4075009129</v>
      </c>
      <c r="G1122" s="175">
        <f>IFERROR(__xludf.DUMMYFUNCTION("average.weighted(filter(Data!L:L,Data!B:B=A1122),filter(Data!F:F,Data!B:B=A1122))"),-1.83440818608076)</f>
        <v>-1.834408186</v>
      </c>
    </row>
    <row r="1123">
      <c r="A1123" s="172" t="s">
        <v>1357</v>
      </c>
      <c r="B1123" s="173">
        <f>countif(Data!B:B,A1123)</f>
        <v>2</v>
      </c>
      <c r="C1123" s="174">
        <f>sumif(Data!B:B,A1123,Data!M:M)</f>
        <v>0.6176737526</v>
      </c>
      <c r="D1123" s="174">
        <f t="shared" si="1"/>
        <v>0.3088368763</v>
      </c>
      <c r="E1123" s="175">
        <f t="shared" si="2"/>
        <v>-1.432963844</v>
      </c>
      <c r="F1123" s="175">
        <f>IFERROR(__xludf.DUMMYFUNCTION("average.weighted(filter(Data!K:K,Data!B:B=A1123),filter(Data!F:F,Data!B:B=A1123))"),-1.0726784843258077)</f>
        <v>-1.072678484</v>
      </c>
      <c r="G1123" s="175">
        <f>IFERROR(__xludf.DUMMYFUNCTION("average.weighted(filter(Data!L:L,Data!B:B=A1123),filter(Data!F:F,Data!B:B=A1123))"),-0.3602853592526678)</f>
        <v>-0.3602853593</v>
      </c>
    </row>
    <row r="1124">
      <c r="A1124" s="172" t="s">
        <v>1358</v>
      </c>
      <c r="B1124" s="173">
        <f>countif(Data!B:B,A1124)</f>
        <v>8</v>
      </c>
      <c r="C1124" s="174">
        <f>sumif(Data!B:B,A1124,Data!M:M)</f>
        <v>4.774362094</v>
      </c>
      <c r="D1124" s="174">
        <f t="shared" si="1"/>
        <v>0.5967952618</v>
      </c>
      <c r="E1124" s="175">
        <f t="shared" si="2"/>
        <v>-1.469101525</v>
      </c>
      <c r="F1124" s="175">
        <f>IFERROR(__xludf.DUMMYFUNCTION("average.weighted(filter(Data!K:K,Data!B:B=A1124),filter(Data!F:F,Data!B:B=A1124))"),-1.2819303447633232)</f>
        <v>-1.281930345</v>
      </c>
      <c r="G1124" s="175">
        <f>IFERROR(__xludf.DUMMYFUNCTION("average.weighted(filter(Data!L:L,Data!B:B=A1124),filter(Data!F:F,Data!B:B=A1124))"),-0.18717118014906148)</f>
        <v>-0.1871711801</v>
      </c>
    </row>
    <row r="1125">
      <c r="A1125" s="172" t="s">
        <v>1359</v>
      </c>
      <c r="B1125" s="173">
        <f>countif(Data!B:B,A1125)</f>
        <v>1</v>
      </c>
      <c r="C1125" s="174">
        <f>sumif(Data!B:B,A1125,Data!M:M)</f>
        <v>0.04131442812</v>
      </c>
      <c r="D1125" s="174">
        <f t="shared" si="1"/>
        <v>0.04131442812</v>
      </c>
      <c r="E1125" s="175">
        <f t="shared" si="2"/>
        <v>-1.653389884</v>
      </c>
      <c r="F1125" s="175">
        <f>IFERROR(__xludf.DUMMYFUNCTION("average.weighted(filter(Data!K:K,Data!B:B=A1125),filter(Data!F:F,Data!B:B=A1125))"),-1.31974673798069)</f>
        <v>-1.319746738</v>
      </c>
      <c r="G1125" s="175">
        <f>IFERROR(__xludf.DUMMYFUNCTION("average.weighted(filter(Data!L:L,Data!B:B=A1125),filter(Data!F:F,Data!B:B=A1125))"),-0.333643145822077)</f>
        <v>-0.3336431458</v>
      </c>
    </row>
    <row r="1126">
      <c r="A1126" s="172" t="s">
        <v>1360</v>
      </c>
      <c r="B1126" s="173">
        <f>countif(Data!B:B,A1126)</f>
        <v>3</v>
      </c>
      <c r="C1126" s="174">
        <f>sumif(Data!B:B,A1126,Data!M:M)</f>
        <v>1.545609945</v>
      </c>
      <c r="D1126" s="174">
        <f t="shared" si="1"/>
        <v>0.5152033151</v>
      </c>
      <c r="E1126" s="175">
        <f t="shared" si="2"/>
        <v>-1.441370732</v>
      </c>
      <c r="F1126" s="175">
        <f>IFERROR(__xludf.DUMMYFUNCTION("average.weighted(filter(Data!K:K,Data!B:B=A1126),filter(Data!F:F,Data!B:B=A1126))"),-1.5839726319396765)</f>
        <v>-1.583972632</v>
      </c>
      <c r="G1126" s="175">
        <f>IFERROR(__xludf.DUMMYFUNCTION("average.weighted(filter(Data!L:L,Data!B:B=A1126),filter(Data!F:F,Data!B:B=A1126))"),0.14260190026033845)</f>
        <v>0.1426019003</v>
      </c>
    </row>
    <row r="1127">
      <c r="A1127" s="172" t="s">
        <v>1361</v>
      </c>
      <c r="B1127" s="173">
        <f>countif(Data!B:B,A1127)</f>
        <v>1</v>
      </c>
      <c r="C1127" s="174">
        <f>sumif(Data!B:B,A1127,Data!M:M)</f>
        <v>0.1576517542</v>
      </c>
      <c r="D1127" s="174">
        <f t="shared" si="1"/>
        <v>0.1576517542</v>
      </c>
      <c r="E1127" s="175">
        <f t="shared" si="2"/>
        <v>-1.501463963</v>
      </c>
      <c r="F1127" s="175">
        <f>IFERROR(__xludf.DUMMYFUNCTION("average.weighted(filter(Data!K:K,Data!B:B=A1127),filter(Data!F:F,Data!B:B=A1127))"),-2.15114213506749)</f>
        <v>-2.151142135</v>
      </c>
      <c r="G1127" s="175">
        <f>IFERROR(__xludf.DUMMYFUNCTION("average.weighted(filter(Data!L:L,Data!B:B=A1127),filter(Data!F:F,Data!B:B=A1127))"),0.649678172057269)</f>
        <v>0.6496781721</v>
      </c>
    </row>
    <row r="1128">
      <c r="A1128" s="172" t="s">
        <v>1362</v>
      </c>
      <c r="B1128" s="173">
        <f>countif(Data!B:B,A1128)</f>
        <v>2</v>
      </c>
      <c r="C1128" s="174">
        <f>sumif(Data!B:B,A1128,Data!M:M)</f>
        <v>0.1568805792</v>
      </c>
      <c r="D1128" s="174">
        <f t="shared" si="1"/>
        <v>0.07844028958</v>
      </c>
      <c r="E1128" s="175">
        <f t="shared" si="2"/>
        <v>-1.501362487</v>
      </c>
      <c r="F1128" s="175">
        <f>IFERROR(__xludf.DUMMYFUNCTION("average.weighted(filter(Data!K:K,Data!B:B=A1128),filter(Data!F:F,Data!B:B=A1128))"),-1.1169652092861144)</f>
        <v>-1.116965209</v>
      </c>
      <c r="G1128" s="175">
        <f>IFERROR(__xludf.DUMMYFUNCTION("average.weighted(filter(Data!L:L,Data!B:B=A1128),filter(Data!F:F,Data!B:B=A1128))"),-0.38439727751999)</f>
        <v>-0.3843972775</v>
      </c>
    </row>
    <row r="1129">
      <c r="A1129" s="172" t="s">
        <v>1363</v>
      </c>
      <c r="B1129" s="173">
        <f>countif(Data!B:B,A1129)</f>
        <v>7</v>
      </c>
      <c r="C1129" s="174">
        <f>sumif(Data!B:B,A1129,Data!M:M)</f>
        <v>6.542792123</v>
      </c>
      <c r="D1129" s="174">
        <f t="shared" si="1"/>
        <v>0.934684589</v>
      </c>
      <c r="E1129" s="175">
        <f t="shared" si="2"/>
        <v>-1.455165437</v>
      </c>
      <c r="F1129" s="175">
        <f>IFERROR(__xludf.DUMMYFUNCTION("average.weighted(filter(Data!K:K,Data!B:B=A1129),filter(Data!F:F,Data!B:B=A1129))"),0.19068025263778324)</f>
        <v>0.1906802526</v>
      </c>
      <c r="G1129" s="175">
        <f>IFERROR(__xludf.DUMMYFUNCTION("average.weighted(filter(Data!L:L,Data!B:B=A1129),filter(Data!F:F,Data!B:B=A1129))"),-1.6458456893521682)</f>
        <v>-1.645845689</v>
      </c>
    </row>
    <row r="1130">
      <c r="A1130" s="172" t="s">
        <v>1364</v>
      </c>
      <c r="B1130" s="173">
        <f>countif(Data!B:B,A1130)</f>
        <v>3</v>
      </c>
      <c r="C1130" s="174">
        <f>sumif(Data!B:B,A1130,Data!M:M)</f>
        <v>1.263470443</v>
      </c>
      <c r="D1130" s="174">
        <f t="shared" si="1"/>
        <v>0.4211568145</v>
      </c>
      <c r="E1130" s="175">
        <f t="shared" si="2"/>
        <v>-1.456686335</v>
      </c>
      <c r="F1130" s="175">
        <f>IFERROR(__xludf.DUMMYFUNCTION("average.weighted(filter(Data!K:K,Data!B:B=A1130),filter(Data!F:F,Data!B:B=A1130))"),-1.7041093354422991)</f>
        <v>-1.704109335</v>
      </c>
      <c r="G1130" s="175">
        <f>IFERROR(__xludf.DUMMYFUNCTION("average.weighted(filter(Data!L:L,Data!B:B=A1130),filter(Data!F:F,Data!B:B=A1130))"),0.24742300012080193)</f>
        <v>0.2474230001</v>
      </c>
    </row>
    <row r="1131">
      <c r="A1131" s="172" t="s">
        <v>1365</v>
      </c>
      <c r="B1131" s="173">
        <f>countif(Data!B:B,A1131)</f>
        <v>5</v>
      </c>
      <c r="C1131" s="174">
        <f>sumif(Data!B:B,A1131,Data!M:M)</f>
        <v>1.984671918</v>
      </c>
      <c r="D1131" s="174">
        <f t="shared" si="1"/>
        <v>0.3969343835</v>
      </c>
      <c r="E1131" s="175">
        <f t="shared" si="2"/>
        <v>-1.46566343</v>
      </c>
      <c r="F1131" s="175">
        <f>IFERROR(__xludf.DUMMYFUNCTION("average.weighted(filter(Data!K:K,Data!B:B=A1131),filter(Data!F:F,Data!B:B=A1131))"),-0.986854999122495)</f>
        <v>-0.9868549991</v>
      </c>
      <c r="G1131" s="175">
        <f>IFERROR(__xludf.DUMMYFUNCTION("average.weighted(filter(Data!L:L,Data!B:B=A1131),filter(Data!F:F,Data!B:B=A1131))"),-0.4788084311565363)</f>
        <v>-0.4788084312</v>
      </c>
    </row>
    <row r="1132">
      <c r="A1132" s="172" t="s">
        <v>1366</v>
      </c>
      <c r="B1132" s="173">
        <f>countif(Data!B:B,A1132)</f>
        <v>5</v>
      </c>
      <c r="C1132" s="174">
        <f>sumif(Data!B:B,A1132,Data!M:M)</f>
        <v>0.8550062046</v>
      </c>
      <c r="D1132" s="174">
        <f t="shared" si="1"/>
        <v>0.1710012409</v>
      </c>
      <c r="E1132" s="175">
        <f t="shared" si="2"/>
        <v>-1.478126637</v>
      </c>
      <c r="F1132" s="175">
        <f>IFERROR(__xludf.DUMMYFUNCTION("average.weighted(filter(Data!K:K,Data!B:B=A1132),filter(Data!F:F,Data!B:B=A1132))"),-1.4353571024193887)</f>
        <v>-1.435357102</v>
      </c>
      <c r="G1132" s="175">
        <f>IFERROR(__xludf.DUMMYFUNCTION("average.weighted(filter(Data!L:L,Data!B:B=A1132),filter(Data!F:F,Data!B:B=A1132))"),-0.04276953432490556)</f>
        <v>-0.04276953432</v>
      </c>
    </row>
    <row r="1133">
      <c r="A1133" s="172" t="s">
        <v>1367</v>
      </c>
      <c r="B1133" s="173">
        <f>countif(Data!B:B,A1133)</f>
        <v>2</v>
      </c>
      <c r="C1133" s="174">
        <f>sumif(Data!B:B,A1133,Data!M:M)</f>
        <v>0.6454815365</v>
      </c>
      <c r="D1133" s="174">
        <f t="shared" si="1"/>
        <v>0.3227407683</v>
      </c>
      <c r="E1133" s="175">
        <f t="shared" si="2"/>
        <v>-1.494492566</v>
      </c>
      <c r="F1133" s="175">
        <f>IFERROR(__xludf.DUMMYFUNCTION("average.weighted(filter(Data!K:K,Data!B:B=A1133),filter(Data!F:F,Data!B:B=A1133))"),-1.7387781667128575)</f>
        <v>-1.738778167</v>
      </c>
      <c r="G1133" s="175">
        <f>IFERROR(__xludf.DUMMYFUNCTION("average.weighted(filter(Data!L:L,Data!B:B=A1133),filter(Data!F:F,Data!B:B=A1133))"),0.24428560110926276)</f>
        <v>0.2442856011</v>
      </c>
    </row>
    <row r="1134">
      <c r="A1134" s="172" t="s">
        <v>1368</v>
      </c>
      <c r="B1134" s="173">
        <f>countif(Data!B:B,A1134)</f>
        <v>3</v>
      </c>
      <c r="C1134" s="174">
        <f>sumif(Data!B:B,A1134,Data!M:M)</f>
        <v>2.54866764</v>
      </c>
      <c r="D1134" s="174">
        <f t="shared" si="1"/>
        <v>0.8495558799</v>
      </c>
      <c r="E1134" s="175">
        <f t="shared" si="2"/>
        <v>-1.468212183</v>
      </c>
      <c r="F1134" s="175">
        <f>IFERROR(__xludf.DUMMYFUNCTION("average.weighted(filter(Data!K:K,Data!B:B=A1134),filter(Data!F:F,Data!B:B=A1134))"),0.17595801998839622)</f>
        <v>0.17595802</v>
      </c>
      <c r="G1134" s="175">
        <f>IFERROR(__xludf.DUMMYFUNCTION("average.weighted(filter(Data!L:L,Data!B:B=A1134),filter(Data!F:F,Data!B:B=A1134))"),-1.6441702033499546)</f>
        <v>-1.644170203</v>
      </c>
    </row>
    <row r="1135">
      <c r="A1135" s="172" t="s">
        <v>1369</v>
      </c>
      <c r="B1135" s="173">
        <f>countif(Data!B:B,A1135)</f>
        <v>1</v>
      </c>
      <c r="C1135" s="174">
        <f>sumif(Data!B:B,A1135,Data!M:M)</f>
        <v>0.06597783839</v>
      </c>
      <c r="D1135" s="174">
        <f t="shared" si="1"/>
        <v>0.06597783839</v>
      </c>
      <c r="E1135" s="175">
        <f t="shared" si="2"/>
        <v>-1.468916641</v>
      </c>
      <c r="F1135" s="175">
        <f>IFERROR(__xludf.DUMMYFUNCTION("average.weighted(filter(Data!K:K,Data!B:B=A1135),filter(Data!F:F,Data!B:B=A1135))"),-1.56545645990395)</f>
        <v>-1.56545646</v>
      </c>
      <c r="G1135" s="175">
        <f>IFERROR(__xludf.DUMMYFUNCTION("average.weighted(filter(Data!L:L,Data!B:B=A1135),filter(Data!F:F,Data!B:B=A1135))"),0.0965398187969629)</f>
        <v>0.0965398188</v>
      </c>
    </row>
    <row r="1136">
      <c r="A1136" s="172" t="s">
        <v>1370</v>
      </c>
      <c r="B1136" s="173">
        <f>countif(Data!B:B,A1136)</f>
        <v>2</v>
      </c>
      <c r="C1136" s="174">
        <f>sumif(Data!B:B,A1136,Data!M:M)</f>
        <v>0.613498255</v>
      </c>
      <c r="D1136" s="174">
        <f t="shared" si="1"/>
        <v>0.3067491275</v>
      </c>
      <c r="E1136" s="175">
        <f t="shared" si="2"/>
        <v>-1.469415689</v>
      </c>
      <c r="F1136" s="175">
        <f>IFERROR(__xludf.DUMMYFUNCTION("average.weighted(filter(Data!K:K,Data!B:B=A1136),filter(Data!F:F,Data!B:B=A1136))"),-0.7764957855610185)</f>
        <v>-0.7764957856</v>
      </c>
      <c r="G1136" s="175">
        <f>IFERROR(__xludf.DUMMYFUNCTION("average.weighted(filter(Data!L:L,Data!B:B=A1136),filter(Data!F:F,Data!B:B=A1136))"),-0.6929199038546869)</f>
        <v>-0.6929199039</v>
      </c>
    </row>
    <row r="1137">
      <c r="A1137" s="172" t="s">
        <v>1371</v>
      </c>
      <c r="B1137" s="173">
        <f>countif(Data!B:B,A1137)</f>
        <v>7</v>
      </c>
      <c r="C1137" s="174">
        <f>sumif(Data!B:B,A1137,Data!M:M)</f>
        <v>6.976158395</v>
      </c>
      <c r="D1137" s="174">
        <f t="shared" si="1"/>
        <v>0.9965940564</v>
      </c>
      <c r="E1137" s="175">
        <f t="shared" si="2"/>
        <v>-1.469894535</v>
      </c>
      <c r="F1137" s="175">
        <f>IFERROR(__xludf.DUMMYFUNCTION("average.weighted(filter(Data!K:K,Data!B:B=A1137),filter(Data!F:F,Data!B:B=A1137))"),-1.3122813759212022)</f>
        <v>-1.312281376</v>
      </c>
      <c r="G1137" s="175">
        <f>IFERROR(__xludf.DUMMYFUNCTION("average.weighted(filter(Data!L:L,Data!B:B=A1137),filter(Data!F:F,Data!B:B=A1137))"),-0.15761315922666955)</f>
        <v>-0.1576131592</v>
      </c>
    </row>
    <row r="1138">
      <c r="A1138" s="172" t="s">
        <v>1372</v>
      </c>
      <c r="B1138" s="173">
        <f>countif(Data!B:B,A1138)</f>
        <v>2</v>
      </c>
      <c r="C1138" s="174">
        <f>sumif(Data!B:B,A1138,Data!M:M)</f>
        <v>0.2909496954</v>
      </c>
      <c r="D1138" s="174">
        <f t="shared" si="1"/>
        <v>0.1454748477</v>
      </c>
      <c r="E1138" s="175">
        <f t="shared" si="2"/>
        <v>-1.470171321</v>
      </c>
      <c r="F1138" s="175">
        <f>IFERROR(__xludf.DUMMYFUNCTION("average.weighted(filter(Data!K:K,Data!B:B=A1138),filter(Data!F:F,Data!B:B=A1138))"),-1.366742762055133)</f>
        <v>-1.366742762</v>
      </c>
      <c r="G1138" s="175">
        <f>IFERROR(__xludf.DUMMYFUNCTION("average.weighted(filter(Data!L:L,Data!B:B=A1138),filter(Data!F:F,Data!B:B=A1138))"),-0.10342855902324326)</f>
        <v>-0.103428559</v>
      </c>
    </row>
    <row r="1139">
      <c r="A1139" s="172" t="s">
        <v>1373</v>
      </c>
      <c r="B1139" s="173">
        <f>countif(Data!B:B,A1139)</f>
        <v>1</v>
      </c>
      <c r="C1139" s="174">
        <f>sumif(Data!B:B,A1139,Data!M:M)</f>
        <v>0.02415206218</v>
      </c>
      <c r="D1139" s="174">
        <f t="shared" si="1"/>
        <v>0.02415206218</v>
      </c>
      <c r="E1139" s="175">
        <f t="shared" si="2"/>
        <v>-1.474792751</v>
      </c>
      <c r="F1139" s="175">
        <f>IFERROR(__xludf.DUMMYFUNCTION("average.weighted(filter(Data!K:K,Data!B:B=A1139),filter(Data!F:F,Data!B:B=A1139))"),-0.710858721092636)</f>
        <v>-0.7108587211</v>
      </c>
      <c r="G1139" s="175">
        <f>IFERROR(__xludf.DUMMYFUNCTION("average.weighted(filter(Data!L:L,Data!B:B=A1139),filter(Data!F:F,Data!B:B=A1139))"),-0.763934029992652)</f>
        <v>-0.76393403</v>
      </c>
    </row>
    <row r="1140">
      <c r="A1140" s="172" t="s">
        <v>1374</v>
      </c>
      <c r="B1140" s="173">
        <f>countif(Data!B:B,A1140)</f>
        <v>1</v>
      </c>
      <c r="C1140" s="174">
        <f>sumif(Data!B:B,A1140,Data!M:M)</f>
        <v>0.3868600346</v>
      </c>
      <c r="D1140" s="174">
        <f t="shared" si="1"/>
        <v>0.3868600346</v>
      </c>
      <c r="E1140" s="175">
        <f t="shared" si="2"/>
        <v>-1.14117947</v>
      </c>
      <c r="F1140" s="175">
        <f>IFERROR(__xludf.DUMMYFUNCTION("average.weighted(filter(Data!K:K,Data!B:B=A1140),filter(Data!F:F,Data!B:B=A1140))"),-2.49494893915921)</f>
        <v>-2.494948939</v>
      </c>
      <c r="G1140" s="175">
        <f>IFERROR(__xludf.DUMMYFUNCTION("average.weighted(filter(Data!L:L,Data!B:B=A1140),filter(Data!F:F,Data!B:B=A1140))"),1.35376946937928)</f>
        <v>1.353769469</v>
      </c>
    </row>
    <row r="1141">
      <c r="A1141" s="172" t="s">
        <v>1375</v>
      </c>
      <c r="B1141" s="173">
        <f>countif(Data!B:B,A1141)</f>
        <v>1</v>
      </c>
      <c r="C1141" s="174">
        <f>sumif(Data!B:B,A1141,Data!M:M)</f>
        <v>0.01582927684</v>
      </c>
      <c r="D1141" s="174">
        <f t="shared" si="1"/>
        <v>0.01582927684</v>
      </c>
      <c r="E1141" s="175">
        <f t="shared" si="2"/>
        <v>-1.477756119</v>
      </c>
      <c r="F1141" s="175">
        <f>IFERROR(__xludf.DUMMYFUNCTION("average.weighted(filter(Data!K:K,Data!B:B=A1141),filter(Data!F:F,Data!B:B=A1141))"),-0.447771058049546)</f>
        <v>-0.447771058</v>
      </c>
      <c r="G1141" s="175">
        <f>IFERROR(__xludf.DUMMYFUNCTION("average.weighted(filter(Data!L:L,Data!B:B=A1141),filter(Data!F:F,Data!B:B=A1141))"),-1.02998506125725)</f>
        <v>-1.029985061</v>
      </c>
    </row>
    <row r="1142">
      <c r="A1142" s="172" t="s">
        <v>1376</v>
      </c>
      <c r="B1142" s="173">
        <f>countif(Data!B:B,A1142)</f>
        <v>1</v>
      </c>
      <c r="C1142" s="174">
        <f>sumif(Data!B:B,A1142,Data!M:M)</f>
        <v>0.03034814623</v>
      </c>
      <c r="D1142" s="174">
        <f t="shared" si="1"/>
        <v>0.03034814623</v>
      </c>
      <c r="E1142" s="175">
        <f t="shared" si="2"/>
        <v>-1.480901708</v>
      </c>
      <c r="F1142" s="175">
        <f>IFERROR(__xludf.DUMMYFUNCTION("average.weighted(filter(Data!K:K,Data!B:B=A1142),filter(Data!F:F,Data!B:B=A1142))"),-0.911641912662989)</f>
        <v>-0.9116419127</v>
      </c>
      <c r="G1142" s="175">
        <f>IFERROR(__xludf.DUMMYFUNCTION("average.weighted(filter(Data!L:L,Data!B:B=A1142),filter(Data!F:F,Data!B:B=A1142))"),-0.569259794860245)</f>
        <v>-0.5692597949</v>
      </c>
    </row>
    <row r="1143">
      <c r="A1143" s="172" t="s">
        <v>1377</v>
      </c>
      <c r="B1143" s="173">
        <f>countif(Data!B:B,A1143)</f>
        <v>1</v>
      </c>
      <c r="C1143" s="174">
        <f>sumif(Data!B:B,A1143,Data!M:M)</f>
        <v>0.05822767442</v>
      </c>
      <c r="D1143" s="174">
        <f t="shared" si="1"/>
        <v>0.05822767442</v>
      </c>
      <c r="E1143" s="175">
        <f t="shared" si="2"/>
        <v>-1.482411987</v>
      </c>
      <c r="F1143" s="175">
        <f>IFERROR(__xludf.DUMMYFUNCTION("average.weighted(filter(Data!K:K,Data!B:B=A1143),filter(Data!F:F,Data!B:B=A1143))"),-1.14672247041382)</f>
        <v>-1.14672247</v>
      </c>
      <c r="G1143" s="175">
        <f>IFERROR(__xludf.DUMMYFUNCTION("average.weighted(filter(Data!L:L,Data!B:B=A1143),filter(Data!F:F,Data!B:B=A1143))"),-0.335689516237254)</f>
        <v>-0.3356895162</v>
      </c>
    </row>
    <row r="1144">
      <c r="A1144" s="172" t="s">
        <v>1378</v>
      </c>
      <c r="B1144" s="173">
        <f>countif(Data!B:B,A1144)</f>
        <v>2</v>
      </c>
      <c r="C1144" s="174">
        <f>sumif(Data!B:B,A1144,Data!M:M)</f>
        <v>0.2675784043</v>
      </c>
      <c r="D1144" s="174">
        <f t="shared" si="1"/>
        <v>0.1337892022</v>
      </c>
      <c r="E1144" s="175">
        <f t="shared" si="2"/>
        <v>-1.486304767</v>
      </c>
      <c r="F1144" s="175">
        <f>IFERROR(__xludf.DUMMYFUNCTION("average.weighted(filter(Data!K:K,Data!B:B=A1144),filter(Data!F:F,Data!B:B=A1144))"),-0.8072804576987589)</f>
        <v>-0.8072804577</v>
      </c>
      <c r="G1144" s="175">
        <f>IFERROR(__xludf.DUMMYFUNCTION("average.weighted(filter(Data!L:L,Data!B:B=A1144),filter(Data!F:F,Data!B:B=A1144))"),-0.6790243088479404)</f>
        <v>-0.6790243088</v>
      </c>
    </row>
    <row r="1145">
      <c r="A1145" s="172" t="s">
        <v>1379</v>
      </c>
      <c r="B1145" s="173">
        <f>countif(Data!B:B,A1145)</f>
        <v>2</v>
      </c>
      <c r="C1145" s="174">
        <f>sumif(Data!B:B,A1145,Data!M:M)</f>
        <v>0.5953469562</v>
      </c>
      <c r="D1145" s="174">
        <f t="shared" si="1"/>
        <v>0.2976734781</v>
      </c>
      <c r="E1145" s="175">
        <f t="shared" si="2"/>
        <v>-1.488554904</v>
      </c>
      <c r="F1145" s="175">
        <f>IFERROR(__xludf.DUMMYFUNCTION("average.weighted(filter(Data!K:K,Data!B:B=A1145),filter(Data!F:F,Data!B:B=A1145))"),-1.2563056994886952)</f>
        <v>-1.256305699</v>
      </c>
      <c r="G1145" s="175">
        <f>IFERROR(__xludf.DUMMYFUNCTION("average.weighted(filter(Data!L:L,Data!B:B=A1145),filter(Data!F:F,Data!B:B=A1145))"),-0.23224920478007746)</f>
        <v>-0.2322492048</v>
      </c>
    </row>
    <row r="1146">
      <c r="A1146" s="172" t="s">
        <v>1380</v>
      </c>
      <c r="B1146" s="173">
        <f>countif(Data!B:B,A1146)</f>
        <v>3</v>
      </c>
      <c r="C1146" s="174">
        <f>sumif(Data!B:B,A1146,Data!M:M)</f>
        <v>1.420781949</v>
      </c>
      <c r="D1146" s="174">
        <f t="shared" si="1"/>
        <v>0.4735939831</v>
      </c>
      <c r="E1146" s="175">
        <f t="shared" si="2"/>
        <v>-1.515951288</v>
      </c>
      <c r="F1146" s="175">
        <f>IFERROR(__xludf.DUMMYFUNCTION("average.weighted(filter(Data!K:K,Data!B:B=A1146),filter(Data!F:F,Data!B:B=A1146))"),-0.32292932416972253)</f>
        <v>-0.3229293242</v>
      </c>
      <c r="G1146" s="175">
        <f>IFERROR(__xludf.DUMMYFUNCTION("average.weighted(filter(Data!L:L,Data!B:B=A1146),filter(Data!F:F,Data!B:B=A1146))"),-1.1930219637387907)</f>
        <v>-1.193021964</v>
      </c>
    </row>
    <row r="1147">
      <c r="A1147" s="172" t="s">
        <v>1381</v>
      </c>
      <c r="B1147" s="173">
        <f>countif(Data!B:B,A1147)</f>
        <v>3</v>
      </c>
      <c r="C1147" s="174">
        <f>sumif(Data!B:B,A1147,Data!M:M)</f>
        <v>1.960386908</v>
      </c>
      <c r="D1147" s="174">
        <f t="shared" si="1"/>
        <v>0.6534623026</v>
      </c>
      <c r="E1147" s="175">
        <f t="shared" si="2"/>
        <v>-1.524829114</v>
      </c>
      <c r="F1147" s="175">
        <f>IFERROR(__xludf.DUMMYFUNCTION("average.weighted(filter(Data!K:K,Data!B:B=A1147),filter(Data!F:F,Data!B:B=A1147))"),-0.31703845072131814)</f>
        <v>-0.3170384507</v>
      </c>
      <c r="G1147" s="175">
        <f>IFERROR(__xludf.DUMMYFUNCTION("average.weighted(filter(Data!L:L,Data!B:B=A1147),filter(Data!F:F,Data!B:B=A1147))"),-1.20779066292658)</f>
        <v>-1.207790663</v>
      </c>
    </row>
    <row r="1148">
      <c r="A1148" s="172" t="s">
        <v>1382</v>
      </c>
      <c r="B1148" s="173">
        <f>countif(Data!B:B,A1148)</f>
        <v>1</v>
      </c>
      <c r="C1148" s="174">
        <f>sumif(Data!B:B,A1148,Data!M:M)</f>
        <v>0.2583381358</v>
      </c>
      <c r="D1148" s="174">
        <f t="shared" si="1"/>
        <v>0.2583381358</v>
      </c>
      <c r="E1148" s="175">
        <f t="shared" si="2"/>
        <v>-1.499026351</v>
      </c>
      <c r="F1148" s="175">
        <f>IFERROR(__xludf.DUMMYFUNCTION("average.weighted(filter(Data!K:K,Data!B:B=A1148),filter(Data!F:F,Data!B:B=A1148))"),-1.46389894213604)</f>
        <v>-1.463898942</v>
      </c>
      <c r="G1148" s="175">
        <f>IFERROR(__xludf.DUMMYFUNCTION("average.weighted(filter(Data!L:L,Data!B:B=A1148),filter(Data!F:F,Data!B:B=A1148))"),-0.0351274093572701)</f>
        <v>-0.03512740936</v>
      </c>
    </row>
    <row r="1149">
      <c r="A1149" s="172" t="s">
        <v>1383</v>
      </c>
      <c r="B1149" s="173">
        <f>countif(Data!B:B,A1149)</f>
        <v>3</v>
      </c>
      <c r="C1149" s="174">
        <f>sumif(Data!B:B,A1149,Data!M:M)</f>
        <v>0.258052809</v>
      </c>
      <c r="D1149" s="174">
        <f t="shared" si="1"/>
        <v>0.08601760299</v>
      </c>
      <c r="E1149" s="175">
        <f t="shared" si="2"/>
        <v>-1.499639355</v>
      </c>
      <c r="F1149" s="175">
        <f>IFERROR(__xludf.DUMMYFUNCTION("average.weighted(filter(Data!K:K,Data!B:B=A1149),filter(Data!F:F,Data!B:B=A1149))"),-1.0057225532872682)</f>
        <v>-1.005722553</v>
      </c>
      <c r="G1149" s="175">
        <f>IFERROR(__xludf.DUMMYFUNCTION("average.weighted(filter(Data!L:L,Data!B:B=A1149),filter(Data!F:F,Data!B:B=A1149))"),-0.4939168015349422)</f>
        <v>-0.4939168015</v>
      </c>
    </row>
    <row r="1150">
      <c r="A1150" s="172" t="s">
        <v>1384</v>
      </c>
      <c r="B1150" s="173">
        <f>countif(Data!B:B,A1150)</f>
        <v>3</v>
      </c>
      <c r="C1150" s="174">
        <f>sumif(Data!B:B,A1150,Data!M:M)</f>
        <v>1.992202899</v>
      </c>
      <c r="D1150" s="174">
        <f t="shared" si="1"/>
        <v>0.664067633</v>
      </c>
      <c r="E1150" s="175">
        <f t="shared" si="2"/>
        <v>-1.499809669</v>
      </c>
      <c r="F1150" s="175">
        <f>IFERROR(__xludf.DUMMYFUNCTION("average.weighted(filter(Data!K:K,Data!B:B=A1150),filter(Data!F:F,Data!B:B=A1150))"),-1.3179549910719492)</f>
        <v>-1.317954991</v>
      </c>
      <c r="G1150" s="175">
        <f>IFERROR(__xludf.DUMMYFUNCTION("average.weighted(filter(Data!L:L,Data!B:B=A1150),filter(Data!F:F,Data!B:B=A1150))"),-0.18185467799789426)</f>
        <v>-0.181854678</v>
      </c>
    </row>
    <row r="1151">
      <c r="A1151" s="172" t="s">
        <v>1385</v>
      </c>
      <c r="B1151" s="173">
        <f>countif(Data!B:B,A1151)</f>
        <v>1</v>
      </c>
      <c r="C1151" s="174">
        <f>sumif(Data!B:B,A1151,Data!M:M)</f>
        <v>0</v>
      </c>
      <c r="D1151" s="174">
        <f t="shared" si="1"/>
        <v>0</v>
      </c>
      <c r="E1151" s="175">
        <f t="shared" si="2"/>
        <v>-1.572023095</v>
      </c>
      <c r="F1151" s="175">
        <f>IFERROR(__xludf.DUMMYFUNCTION("average.weighted(filter(Data!K:K,Data!B:B=A1151),filter(Data!F:F,Data!B:B=A1151))"),-2.10953278813124)</f>
        <v>-2.109532788</v>
      </c>
      <c r="G1151" s="175">
        <f>IFERROR(__xludf.DUMMYFUNCTION("average.weighted(filter(Data!L:L,Data!B:B=A1151),filter(Data!F:F,Data!B:B=A1151))"),0.537509693264089)</f>
        <v>0.5375096933</v>
      </c>
    </row>
    <row r="1152">
      <c r="A1152" s="172" t="s">
        <v>1386</v>
      </c>
      <c r="B1152" s="173">
        <f>countif(Data!B:B,A1152)</f>
        <v>4</v>
      </c>
      <c r="C1152" s="174">
        <f>sumif(Data!B:B,A1152,Data!M:M)</f>
        <v>0.5849050991</v>
      </c>
      <c r="D1152" s="174">
        <f t="shared" si="1"/>
        <v>0.1462262748</v>
      </c>
      <c r="E1152" s="175">
        <f t="shared" si="2"/>
        <v>-1.510430272</v>
      </c>
      <c r="F1152" s="175">
        <f>IFERROR(__xludf.DUMMYFUNCTION("average.weighted(filter(Data!K:K,Data!B:B=A1152),filter(Data!F:F,Data!B:B=A1152))"),0.061457574296832976)</f>
        <v>0.0614575743</v>
      </c>
      <c r="G1152" s="175">
        <f>IFERROR(__xludf.DUMMYFUNCTION("average.weighted(filter(Data!L:L,Data!B:B=A1152),filter(Data!F:F,Data!B:B=A1152))"),-1.5718878464445292)</f>
        <v>-1.571887846</v>
      </c>
    </row>
    <row r="1153">
      <c r="A1153" s="172" t="s">
        <v>1387</v>
      </c>
      <c r="B1153" s="173">
        <f>countif(Data!B:B,A1153)</f>
        <v>3</v>
      </c>
      <c r="C1153" s="174">
        <f>sumif(Data!B:B,A1153,Data!M:M)</f>
        <v>0.9249746829</v>
      </c>
      <c r="D1153" s="174">
        <f t="shared" si="1"/>
        <v>0.3083248943</v>
      </c>
      <c r="E1153" s="175">
        <f t="shared" si="2"/>
        <v>-1.36663135</v>
      </c>
      <c r="F1153" s="175">
        <f>IFERROR(__xludf.DUMMYFUNCTION("average.weighted(filter(Data!K:K,Data!B:B=A1153),filter(Data!F:F,Data!B:B=A1153))"),-1.6110489598534556)</f>
        <v>-1.61104896</v>
      </c>
      <c r="G1153" s="175">
        <f>IFERROR(__xludf.DUMMYFUNCTION("average.weighted(filter(Data!L:L,Data!B:B=A1153),filter(Data!F:F,Data!B:B=A1153))"),0.24441761023540742)</f>
        <v>0.2444176102</v>
      </c>
    </row>
    <row r="1154">
      <c r="A1154" s="172" t="s">
        <v>1388</v>
      </c>
      <c r="B1154" s="173">
        <f>countif(Data!B:B,A1154)</f>
        <v>7</v>
      </c>
      <c r="C1154" s="174">
        <f>sumif(Data!B:B,A1154,Data!M:M)</f>
        <v>4.221641482</v>
      </c>
      <c r="D1154" s="174">
        <f t="shared" si="1"/>
        <v>0.6030916403</v>
      </c>
      <c r="E1154" s="175">
        <f t="shared" si="2"/>
        <v>-1.45351861</v>
      </c>
      <c r="F1154" s="175">
        <f>IFERROR(__xludf.DUMMYFUNCTION("average.weighted(filter(Data!K:K,Data!B:B=A1154),filter(Data!F:F,Data!B:B=A1154))"),-1.1241017140192808)</f>
        <v>-1.124101714</v>
      </c>
      <c r="G1154" s="175">
        <f>IFERROR(__xludf.DUMMYFUNCTION("average.weighted(filter(Data!L:L,Data!B:B=A1154),filter(Data!F:F,Data!B:B=A1154))"),-0.32941689600604046)</f>
        <v>-0.329416896</v>
      </c>
    </row>
    <row r="1155">
      <c r="A1155" s="172" t="s">
        <v>1389</v>
      </c>
      <c r="B1155" s="173">
        <f>countif(Data!B:B,A1155)</f>
        <v>8</v>
      </c>
      <c r="C1155" s="174">
        <f>sumif(Data!B:B,A1155,Data!M:M)</f>
        <v>5.315008089</v>
      </c>
      <c r="D1155" s="174">
        <f t="shared" si="1"/>
        <v>0.6643760112</v>
      </c>
      <c r="E1155" s="175">
        <f t="shared" si="2"/>
        <v>-1.537475612</v>
      </c>
      <c r="F1155" s="175">
        <f>IFERROR(__xludf.DUMMYFUNCTION("average.weighted(filter(Data!K:K,Data!B:B=A1155),filter(Data!F:F,Data!B:B=A1155))"),-1.0694970123780714)</f>
        <v>-1.069497012</v>
      </c>
      <c r="G1155" s="175">
        <f>IFERROR(__xludf.DUMMYFUNCTION("average.weighted(filter(Data!L:L,Data!B:B=A1155),filter(Data!F:F,Data!B:B=A1155))"),-0.46797859940778047)</f>
        <v>-0.4679785994</v>
      </c>
    </row>
    <row r="1156">
      <c r="A1156" s="172" t="s">
        <v>1390</v>
      </c>
      <c r="B1156" s="173">
        <f>countif(Data!B:B,A1156)</f>
        <v>1</v>
      </c>
      <c r="C1156" s="174">
        <f>sumif(Data!B:B,A1156,Data!M:M)</f>
        <v>0.06960688946</v>
      </c>
      <c r="D1156" s="174">
        <f t="shared" si="1"/>
        <v>0.06960688946</v>
      </c>
      <c r="E1156" s="175">
        <f t="shared" si="2"/>
        <v>-1.527260582</v>
      </c>
      <c r="F1156" s="175">
        <f>IFERROR(__xludf.DUMMYFUNCTION("average.weighted(filter(Data!K:K,Data!B:B=A1156),filter(Data!F:F,Data!B:B=A1156))"),-0.878635705326999)</f>
        <v>-0.8786357053</v>
      </c>
      <c r="G1156" s="175">
        <f>IFERROR(__xludf.DUMMYFUNCTION("average.weighted(filter(Data!L:L,Data!B:B=A1156),filter(Data!F:F,Data!B:B=A1156))"),-0.648624876746471)</f>
        <v>-0.6486248767</v>
      </c>
    </row>
    <row r="1157">
      <c r="A1157" s="172" t="s">
        <v>1391</v>
      </c>
      <c r="B1157" s="173">
        <f>countif(Data!B:B,A1157)</f>
        <v>2</v>
      </c>
      <c r="C1157" s="174">
        <f>sumif(Data!B:B,A1157,Data!M:M)</f>
        <v>0.1489450537</v>
      </c>
      <c r="D1157" s="174">
        <f t="shared" si="1"/>
        <v>0.07447252687</v>
      </c>
      <c r="E1157" s="175">
        <f t="shared" si="2"/>
        <v>-1.40384161</v>
      </c>
      <c r="F1157" s="175">
        <f>IFERROR(__xludf.DUMMYFUNCTION("average.weighted(filter(Data!K:K,Data!B:B=A1157),filter(Data!F:F,Data!B:B=A1157))"),-0.77294529466806)</f>
        <v>-0.7729452947</v>
      </c>
      <c r="G1157" s="175">
        <f>IFERROR(__xludf.DUMMYFUNCTION("average.weighted(filter(Data!L:L,Data!B:B=A1157),filter(Data!F:F,Data!B:B=A1157))"),-0.6308963155754804)</f>
        <v>-0.6308963156</v>
      </c>
    </row>
    <row r="1158">
      <c r="A1158" s="172" t="s">
        <v>1392</v>
      </c>
      <c r="B1158" s="173">
        <f>countif(Data!B:B,A1158)</f>
        <v>3</v>
      </c>
      <c r="C1158" s="174">
        <f>sumif(Data!B:B,A1158,Data!M:M)</f>
        <v>1.182242913</v>
      </c>
      <c r="D1158" s="174">
        <f t="shared" si="1"/>
        <v>0.394080971</v>
      </c>
      <c r="E1158" s="175">
        <f t="shared" si="2"/>
        <v>-1.537273266</v>
      </c>
      <c r="F1158" s="175">
        <f>IFERROR(__xludf.DUMMYFUNCTION("average.weighted(filter(Data!K:K,Data!B:B=A1158),filter(Data!F:F,Data!B:B=A1158))"),-0.6141180185708602)</f>
        <v>-0.6141180186</v>
      </c>
      <c r="G1158" s="175">
        <f>IFERROR(__xludf.DUMMYFUNCTION("average.weighted(filter(Data!L:L,Data!B:B=A1158),filter(Data!F:F,Data!B:B=A1158))"),-0.9231552479002902)</f>
        <v>-0.9231552479</v>
      </c>
    </row>
    <row r="1159">
      <c r="A1159" s="172" t="s">
        <v>1393</v>
      </c>
      <c r="B1159" s="173">
        <f>countif(Data!B:B,A1159)</f>
        <v>2</v>
      </c>
      <c r="C1159" s="174">
        <f>sumif(Data!B:B,A1159,Data!M:M)</f>
        <v>0.1037507072</v>
      </c>
      <c r="D1159" s="174">
        <f t="shared" si="1"/>
        <v>0.0518753536</v>
      </c>
      <c r="E1159" s="175">
        <f t="shared" si="2"/>
        <v>-1.539991567</v>
      </c>
      <c r="F1159" s="175">
        <f>IFERROR(__xludf.DUMMYFUNCTION("average.weighted(filter(Data!K:K,Data!B:B=A1159),filter(Data!F:F,Data!B:B=A1159))"),-0.6213081503122868)</f>
        <v>-0.6213081503</v>
      </c>
      <c r="G1159" s="175">
        <f>IFERROR(__xludf.DUMMYFUNCTION("average.weighted(filter(Data!L:L,Data!B:B=A1159),filter(Data!F:F,Data!B:B=A1159))"),-0.9186834168353969)</f>
        <v>-0.9186834168</v>
      </c>
    </row>
    <row r="1160">
      <c r="A1160" s="172" t="s">
        <v>1394</v>
      </c>
      <c r="B1160" s="173">
        <f>countif(Data!B:B,A1160)</f>
        <v>8</v>
      </c>
      <c r="C1160" s="174">
        <f>sumif(Data!B:B,A1160,Data!M:M)</f>
        <v>7.251519718</v>
      </c>
      <c r="D1160" s="174">
        <f t="shared" si="1"/>
        <v>0.9064399647</v>
      </c>
      <c r="E1160" s="175">
        <f t="shared" si="2"/>
        <v>-1.566618364</v>
      </c>
      <c r="F1160" s="175">
        <f>IFERROR(__xludf.DUMMYFUNCTION("average.weighted(filter(Data!K:K,Data!B:B=A1160),filter(Data!F:F,Data!B:B=A1160))"),-0.7340950756635358)</f>
        <v>-0.7340950757</v>
      </c>
      <c r="G1160" s="175">
        <f>IFERROR(__xludf.DUMMYFUNCTION("average.weighted(filter(Data!L:L,Data!B:B=A1160),filter(Data!F:F,Data!B:B=A1160))"),-0.8325232882571774)</f>
        <v>-0.8325232883</v>
      </c>
    </row>
    <row r="1161">
      <c r="A1161" s="172" t="s">
        <v>1395</v>
      </c>
      <c r="B1161" s="173">
        <f>countif(Data!B:B,A1161)</f>
        <v>2</v>
      </c>
      <c r="C1161" s="174">
        <f>sumif(Data!B:B,A1161,Data!M:M)</f>
        <v>0.7025620028</v>
      </c>
      <c r="D1161" s="174">
        <f t="shared" si="1"/>
        <v>0.3512810014</v>
      </c>
      <c r="E1161" s="175">
        <f t="shared" si="2"/>
        <v>-1.546457775</v>
      </c>
      <c r="F1161" s="175">
        <f>IFERROR(__xludf.DUMMYFUNCTION("average.weighted(filter(Data!K:K,Data!B:B=A1161),filter(Data!F:F,Data!B:B=A1161))"),-0.8303714372158405)</f>
        <v>-0.8303714372</v>
      </c>
      <c r="G1161" s="175">
        <f>IFERROR(__xludf.DUMMYFUNCTION("average.weighted(filter(Data!L:L,Data!B:B=A1161),filter(Data!F:F,Data!B:B=A1161))"),-0.7160863380234098)</f>
        <v>-0.716086338</v>
      </c>
    </row>
    <row r="1162">
      <c r="A1162" s="172" t="s">
        <v>1396</v>
      </c>
      <c r="B1162" s="173">
        <f>countif(Data!B:B,A1162)</f>
        <v>1</v>
      </c>
      <c r="C1162" s="174">
        <f>sumif(Data!B:B,A1162,Data!M:M)</f>
        <v>0.1302684799</v>
      </c>
      <c r="D1162" s="174">
        <f t="shared" si="1"/>
        <v>0.1302684799</v>
      </c>
      <c r="E1162" s="175">
        <f t="shared" si="2"/>
        <v>-1.547076062</v>
      </c>
      <c r="F1162" s="175">
        <f>IFERROR(__xludf.DUMMYFUNCTION("average.weighted(filter(Data!K:K,Data!B:B=A1162),filter(Data!F:F,Data!B:B=A1162))"),-0.91453359578704)</f>
        <v>-0.9145335958</v>
      </c>
      <c r="G1162" s="175">
        <f>IFERROR(__xludf.DUMMYFUNCTION("average.weighted(filter(Data!L:L,Data!B:B=A1162),filter(Data!F:F,Data!B:B=A1162))"),-0.632542466047257)</f>
        <v>-0.632542466</v>
      </c>
    </row>
    <row r="1163">
      <c r="A1163" s="172" t="s">
        <v>1397</v>
      </c>
      <c r="B1163" s="173">
        <f>countif(Data!B:B,A1163)</f>
        <v>2</v>
      </c>
      <c r="C1163" s="174">
        <f>sumif(Data!B:B,A1163,Data!M:M)</f>
        <v>0.2642207116</v>
      </c>
      <c r="D1163" s="174">
        <f t="shared" si="1"/>
        <v>0.1321103558</v>
      </c>
      <c r="E1163" s="175">
        <f t="shared" si="2"/>
        <v>-1.548265223</v>
      </c>
      <c r="F1163" s="175">
        <f>IFERROR(__xludf.DUMMYFUNCTION("average.weighted(filter(Data!K:K,Data!B:B=A1163),filter(Data!F:F,Data!B:B=A1163))"),-1.172700274989607)</f>
        <v>-1.172700275</v>
      </c>
      <c r="G1163" s="175">
        <f>IFERROR(__xludf.DUMMYFUNCTION("average.weighted(filter(Data!L:L,Data!B:B=A1163),filter(Data!F:F,Data!B:B=A1163))"),-0.3755649483778194)</f>
        <v>-0.3755649484</v>
      </c>
    </row>
    <row r="1164">
      <c r="A1164" s="172" t="s">
        <v>1398</v>
      </c>
      <c r="B1164" s="173">
        <f>countif(Data!B:B,A1164)</f>
        <v>2</v>
      </c>
      <c r="C1164" s="174">
        <f>sumif(Data!B:B,A1164,Data!M:M)</f>
        <v>0.5584061244</v>
      </c>
      <c r="D1164" s="174">
        <f t="shared" si="1"/>
        <v>0.2792030622</v>
      </c>
      <c r="E1164" s="175">
        <f t="shared" si="2"/>
        <v>-1.551514693</v>
      </c>
      <c r="F1164" s="175">
        <f>IFERROR(__xludf.DUMMYFUNCTION("average.weighted(filter(Data!K:K,Data!B:B=A1164),filter(Data!F:F,Data!B:B=A1164))"),-1.1718213456379463)</f>
        <v>-1.171821346</v>
      </c>
      <c r="G1164" s="175">
        <f>IFERROR(__xludf.DUMMYFUNCTION("average.weighted(filter(Data!L:L,Data!B:B=A1164),filter(Data!F:F,Data!B:B=A1164))"),-0.3796933473681298)</f>
        <v>-0.3796933474</v>
      </c>
    </row>
    <row r="1165">
      <c r="A1165" s="172" t="s">
        <v>1399</v>
      </c>
      <c r="B1165" s="173">
        <f>countif(Data!B:B,A1165)</f>
        <v>2</v>
      </c>
      <c r="C1165" s="174">
        <f>sumif(Data!B:B,A1165,Data!M:M)</f>
        <v>0.8350148192</v>
      </c>
      <c r="D1165" s="174">
        <f t="shared" si="1"/>
        <v>0.4175074096</v>
      </c>
      <c r="E1165" s="175">
        <f t="shared" si="2"/>
        <v>-1.552903157</v>
      </c>
      <c r="F1165" s="175">
        <f>IFERROR(__xludf.DUMMYFUNCTION("average.weighted(filter(Data!K:K,Data!B:B=A1165),filter(Data!F:F,Data!B:B=A1165))"),-0.48963657562354407)</f>
        <v>-0.4896365756</v>
      </c>
      <c r="G1165" s="175">
        <f>IFERROR(__xludf.DUMMYFUNCTION("average.weighted(filter(Data!L:L,Data!B:B=A1165),filter(Data!F:F,Data!B:B=A1165))"),-1.0632665814868343)</f>
        <v>-1.063266581</v>
      </c>
    </row>
    <row r="1166">
      <c r="A1166" s="172" t="s">
        <v>1400</v>
      </c>
      <c r="B1166" s="173">
        <f>countif(Data!B:B,A1166)</f>
        <v>1</v>
      </c>
      <c r="C1166" s="174">
        <f>sumif(Data!B:B,A1166,Data!M:M)</f>
        <v>0.2166194775</v>
      </c>
      <c r="D1166" s="174">
        <f t="shared" si="1"/>
        <v>0.2166194775</v>
      </c>
      <c r="E1166" s="175">
        <f t="shared" si="2"/>
        <v>-1.556490702</v>
      </c>
      <c r="F1166" s="175">
        <f>IFERROR(__xludf.DUMMYFUNCTION("average.weighted(filter(Data!K:K,Data!B:B=A1166),filter(Data!F:F,Data!B:B=A1166))"),-1.5020542079763)</f>
        <v>-1.502054208</v>
      </c>
      <c r="G1166" s="175">
        <f>IFERROR(__xludf.DUMMYFUNCTION("average.weighted(filter(Data!L:L,Data!B:B=A1166),filter(Data!F:F,Data!B:B=A1166))"),-0.0544364935427201)</f>
        <v>-0.05443649354</v>
      </c>
    </row>
    <row r="1167">
      <c r="A1167" s="172" t="s">
        <v>1401</v>
      </c>
      <c r="B1167" s="173">
        <f>countif(Data!B:B,A1167)</f>
        <v>1</v>
      </c>
      <c r="C1167" s="174">
        <f>sumif(Data!B:B,A1167,Data!M:M)</f>
        <v>0.1053254601</v>
      </c>
      <c r="D1167" s="174">
        <f t="shared" si="1"/>
        <v>0.1053254601</v>
      </c>
      <c r="E1167" s="175">
        <f t="shared" si="2"/>
        <v>-1.562992654</v>
      </c>
      <c r="F1167" s="175">
        <f>IFERROR(__xludf.DUMMYFUNCTION("average.weighted(filter(Data!K:K,Data!B:B=A1167),filter(Data!F:F,Data!B:B=A1167))"),-1.18541944045145)</f>
        <v>-1.18541944</v>
      </c>
      <c r="G1167" s="175">
        <f>IFERROR(__xludf.DUMMYFUNCTION("average.weighted(filter(Data!L:L,Data!B:B=A1167),filter(Data!F:F,Data!B:B=A1167))"),-0.377573213379304)</f>
        <v>-0.3775732134</v>
      </c>
    </row>
    <row r="1168">
      <c r="A1168" s="172" t="s">
        <v>1402</v>
      </c>
      <c r="B1168" s="173">
        <f>countif(Data!B:B,A1168)</f>
        <v>1</v>
      </c>
      <c r="C1168" s="174">
        <f>sumif(Data!B:B,A1168,Data!M:M)</f>
        <v>0.1033090981</v>
      </c>
      <c r="D1168" s="174">
        <f t="shared" si="1"/>
        <v>0.1033090981</v>
      </c>
      <c r="E1168" s="175">
        <f t="shared" si="2"/>
        <v>-1.646739174</v>
      </c>
      <c r="F1168" s="175">
        <f>IFERROR(__xludf.DUMMYFUNCTION("average.weighted(filter(Data!K:K,Data!B:B=A1168),filter(Data!F:F,Data!B:B=A1168))"),-1.56999572377865)</f>
        <v>-1.569995724</v>
      </c>
      <c r="G1168" s="175">
        <f>IFERROR(__xludf.DUMMYFUNCTION("average.weighted(filter(Data!L:L,Data!B:B=A1168),filter(Data!F:F,Data!B:B=A1168))"),-0.0767434506959309)</f>
        <v>-0.0767434507</v>
      </c>
    </row>
    <row r="1169">
      <c r="A1169" s="172" t="s">
        <v>1403</v>
      </c>
      <c r="B1169" s="173">
        <f>countif(Data!B:B,A1169)</f>
        <v>8</v>
      </c>
      <c r="C1169" s="174">
        <f>sumif(Data!B:B,A1169,Data!M:M)</f>
        <v>5.232569817</v>
      </c>
      <c r="D1169" s="174">
        <f t="shared" si="1"/>
        <v>0.6540712271</v>
      </c>
      <c r="E1169" s="175">
        <f t="shared" si="2"/>
        <v>-1.568198464</v>
      </c>
      <c r="F1169" s="175">
        <f>IFERROR(__xludf.DUMMYFUNCTION("average.weighted(filter(Data!K:K,Data!B:B=A1169),filter(Data!F:F,Data!B:B=A1169))"),-0.8049506982088888)</f>
        <v>-0.8049506982</v>
      </c>
      <c r="G1169" s="175">
        <f>IFERROR(__xludf.DUMMYFUNCTION("average.weighted(filter(Data!L:L,Data!B:B=A1169),filter(Data!F:F,Data!B:B=A1169))"),-0.7632477655849557)</f>
        <v>-0.7632477656</v>
      </c>
    </row>
    <row r="1170">
      <c r="A1170" s="172" t="s">
        <v>1404</v>
      </c>
      <c r="B1170" s="173">
        <f>countif(Data!B:B,A1170)</f>
        <v>5</v>
      </c>
      <c r="C1170" s="174">
        <f>sumif(Data!B:B,A1170,Data!M:M)</f>
        <v>3.197059043</v>
      </c>
      <c r="D1170" s="174">
        <f t="shared" si="1"/>
        <v>0.6394118087</v>
      </c>
      <c r="E1170" s="175">
        <f t="shared" si="2"/>
        <v>-1.569440443</v>
      </c>
      <c r="F1170" s="175">
        <f>IFERROR(__xludf.DUMMYFUNCTION("average.weighted(filter(Data!K:K,Data!B:B=A1170),filter(Data!F:F,Data!B:B=A1170))"),-1.344115798671574)</f>
        <v>-1.344115799</v>
      </c>
      <c r="G1170" s="175">
        <f>IFERROR(__xludf.DUMMYFUNCTION("average.weighted(filter(Data!L:L,Data!B:B=A1170),filter(Data!F:F,Data!B:B=A1170))"),-0.22532464428049276)</f>
        <v>-0.2253246443</v>
      </c>
    </row>
    <row r="1171">
      <c r="A1171" s="172" t="s">
        <v>1405</v>
      </c>
      <c r="B1171" s="173">
        <f>countif(Data!B:B,A1171)</f>
        <v>4</v>
      </c>
      <c r="C1171" s="174">
        <f>sumif(Data!B:B,A1171,Data!M:M)</f>
        <v>0.1923001064</v>
      </c>
      <c r="D1171" s="174">
        <f t="shared" si="1"/>
        <v>0.0480750266</v>
      </c>
      <c r="E1171" s="175">
        <f t="shared" si="2"/>
        <v>-1.570293003</v>
      </c>
      <c r="F1171" s="175">
        <f>IFERROR(__xludf.DUMMYFUNCTION("average.weighted(filter(Data!K:K,Data!B:B=A1171),filter(Data!F:F,Data!B:B=A1171))"),-1.3664773151709713)</f>
        <v>-1.366477315</v>
      </c>
      <c r="G1171" s="175">
        <f>IFERROR(__xludf.DUMMYFUNCTION("average.weighted(filter(Data!L:L,Data!B:B=A1171),filter(Data!F:F,Data!B:B=A1171))"),-0.20381568761655913)</f>
        <v>-0.2038156876</v>
      </c>
    </row>
    <row r="1172">
      <c r="A1172" s="172" t="s">
        <v>1406</v>
      </c>
      <c r="B1172" s="173">
        <f>countif(Data!B:B,A1172)</f>
        <v>1</v>
      </c>
      <c r="C1172" s="174">
        <f>sumif(Data!B:B,A1172,Data!M:M)</f>
        <v>0.01550991672</v>
      </c>
      <c r="D1172" s="174">
        <f t="shared" si="1"/>
        <v>0.01550991672</v>
      </c>
      <c r="E1172" s="175">
        <f t="shared" si="2"/>
        <v>-1.438293897</v>
      </c>
      <c r="F1172" s="175">
        <f>IFERROR(__xludf.DUMMYFUNCTION("average.weighted(filter(Data!K:K,Data!B:B=A1172),filter(Data!F:F,Data!B:B=A1172))"),-0.147913593990522)</f>
        <v>-0.147913594</v>
      </c>
      <c r="G1172" s="175">
        <f>IFERROR(__xludf.DUMMYFUNCTION("average.weighted(filter(Data!L:L,Data!B:B=A1172),filter(Data!F:F,Data!B:B=A1172))"),-1.29038030304138)</f>
        <v>-1.290380303</v>
      </c>
    </row>
    <row r="1173">
      <c r="A1173" s="172" t="s">
        <v>1407</v>
      </c>
      <c r="B1173" s="173">
        <f>countif(Data!B:B,A1173)</f>
        <v>6</v>
      </c>
      <c r="C1173" s="174">
        <f>sumif(Data!B:B,A1173,Data!M:M)</f>
        <v>2.210686099</v>
      </c>
      <c r="D1173" s="174">
        <f t="shared" si="1"/>
        <v>0.3684476831</v>
      </c>
      <c r="E1173" s="175">
        <f t="shared" si="2"/>
        <v>-1.572558524</v>
      </c>
      <c r="F1173" s="175">
        <f>IFERROR(__xludf.DUMMYFUNCTION("average.weighted(filter(Data!K:K,Data!B:B=A1173),filter(Data!F:F,Data!B:B=A1173))"),-1.3168768896343521)</f>
        <v>-1.31687689</v>
      </c>
      <c r="G1173" s="175">
        <f>IFERROR(__xludf.DUMMYFUNCTION("average.weighted(filter(Data!L:L,Data!B:B=A1173),filter(Data!F:F,Data!B:B=A1173))"),-0.2556816346794723)</f>
        <v>-0.2556816347</v>
      </c>
    </row>
    <row r="1174">
      <c r="A1174" s="172" t="s">
        <v>1408</v>
      </c>
      <c r="B1174" s="173">
        <f>countif(Data!B:B,A1174)</f>
        <v>2</v>
      </c>
      <c r="C1174" s="174">
        <f>sumif(Data!B:B,A1174,Data!M:M)</f>
        <v>0.07268843059</v>
      </c>
      <c r="D1174" s="174">
        <f t="shared" si="1"/>
        <v>0.03634421529</v>
      </c>
      <c r="E1174" s="175">
        <f t="shared" si="2"/>
        <v>-1.869826469</v>
      </c>
      <c r="F1174" s="175">
        <f>IFERROR(__xludf.DUMMYFUNCTION("average.weighted(filter(Data!K:K,Data!B:B=A1174),filter(Data!F:F,Data!B:B=A1174))"),-0.6406399664951508)</f>
        <v>-0.6406399665</v>
      </c>
      <c r="G1174" s="175">
        <f>IFERROR(__xludf.DUMMYFUNCTION("average.weighted(filter(Data!L:L,Data!B:B=A1174),filter(Data!F:F,Data!B:B=A1174))"),-1.2291865025045425)</f>
        <v>-1.229186503</v>
      </c>
    </row>
    <row r="1175">
      <c r="A1175" s="172" t="s">
        <v>1409</v>
      </c>
      <c r="B1175" s="173">
        <f>countif(Data!B:B,A1175)</f>
        <v>2</v>
      </c>
      <c r="C1175" s="174">
        <f>sumif(Data!B:B,A1175,Data!M:M)</f>
        <v>0.4366390218</v>
      </c>
      <c r="D1175" s="174">
        <f t="shared" si="1"/>
        <v>0.2183195109</v>
      </c>
      <c r="E1175" s="175">
        <f t="shared" si="2"/>
        <v>-1.582336356</v>
      </c>
      <c r="F1175" s="175">
        <f>IFERROR(__xludf.DUMMYFUNCTION("average.weighted(filter(Data!K:K,Data!B:B=A1175),filter(Data!F:F,Data!B:B=A1175))"),-1.4051635314856907)</f>
        <v>-1.405163531</v>
      </c>
      <c r="G1175" s="175">
        <f>IFERROR(__xludf.DUMMYFUNCTION("average.weighted(filter(Data!L:L,Data!B:B=A1175),filter(Data!F:F,Data!B:B=A1175))"),-0.1771728241440163)</f>
        <v>-0.1771728241</v>
      </c>
    </row>
    <row r="1176">
      <c r="A1176" s="172" t="s">
        <v>1410</v>
      </c>
      <c r="B1176" s="173">
        <f>countif(Data!B:B,A1176)</f>
        <v>8</v>
      </c>
      <c r="C1176" s="174">
        <f>sumif(Data!B:B,A1176,Data!M:M)</f>
        <v>3.181226301</v>
      </c>
      <c r="D1176" s="174">
        <f t="shared" si="1"/>
        <v>0.3976532876</v>
      </c>
      <c r="E1176" s="175">
        <f t="shared" si="2"/>
        <v>-1.581834324</v>
      </c>
      <c r="F1176" s="175">
        <f>IFERROR(__xludf.DUMMYFUNCTION("average.weighted(filter(Data!K:K,Data!B:B=A1176),filter(Data!F:F,Data!B:B=A1176))"),-0.9909076657634953)</f>
        <v>-0.9909076658</v>
      </c>
      <c r="G1176" s="175">
        <f>IFERROR(__xludf.DUMMYFUNCTION("average.weighted(filter(Data!L:L,Data!B:B=A1176),filter(Data!F:F,Data!B:B=A1176))"),-0.5909266584747968)</f>
        <v>-0.5909266585</v>
      </c>
    </row>
    <row r="1177">
      <c r="A1177" s="172" t="s">
        <v>83</v>
      </c>
      <c r="B1177" s="173">
        <f>countif(Data!B:B,A1177)</f>
        <v>4</v>
      </c>
      <c r="C1177" s="174">
        <f>sumif(Data!B:B,A1177,Data!M:M)</f>
        <v>1.758958801</v>
      </c>
      <c r="D1177" s="174">
        <f t="shared" si="1"/>
        <v>0.4397397002</v>
      </c>
      <c r="E1177" s="175">
        <f t="shared" si="2"/>
        <v>-1.714291049</v>
      </c>
      <c r="F1177" s="175">
        <f>IFERROR(__xludf.DUMMYFUNCTION("average.weighted(filter(Data!K:K,Data!B:B=A1177),filter(Data!F:F,Data!B:B=A1177))"),-0.5623372743548277)</f>
        <v>-0.5623372744</v>
      </c>
      <c r="G1177" s="175">
        <f>IFERROR(__xludf.DUMMYFUNCTION("average.weighted(filter(Data!L:L,Data!B:B=A1177),filter(Data!F:F,Data!B:B=A1177))"),-1.1519537749393052)</f>
        <v>-1.151953775</v>
      </c>
    </row>
    <row r="1178">
      <c r="A1178" s="172" t="s">
        <v>1411</v>
      </c>
      <c r="B1178" s="173">
        <f>countif(Data!B:B,A1178)</f>
        <v>3</v>
      </c>
      <c r="C1178" s="174">
        <f>sumif(Data!B:B,A1178,Data!M:M)</f>
        <v>0.5498588278</v>
      </c>
      <c r="D1178" s="174">
        <f t="shared" si="1"/>
        <v>0.1832862759</v>
      </c>
      <c r="E1178" s="175">
        <f t="shared" si="2"/>
        <v>-1.601000953</v>
      </c>
      <c r="F1178" s="175">
        <f>IFERROR(__xludf.DUMMYFUNCTION("average.weighted(filter(Data!K:K,Data!B:B=A1178),filter(Data!F:F,Data!B:B=A1178))"),-1.3404352834943867)</f>
        <v>-1.340435283</v>
      </c>
      <c r="G1178" s="175">
        <f>IFERROR(__xludf.DUMMYFUNCTION("average.weighted(filter(Data!L:L,Data!B:B=A1178),filter(Data!F:F,Data!B:B=A1178))"),-0.2605656699904686)</f>
        <v>-0.26056567</v>
      </c>
    </row>
    <row r="1179">
      <c r="A1179" s="172" t="s">
        <v>1412</v>
      </c>
      <c r="B1179" s="173">
        <f>countif(Data!B:B,A1179)</f>
        <v>3</v>
      </c>
      <c r="C1179" s="174">
        <f>sumif(Data!B:B,A1179,Data!M:M)</f>
        <v>0.3993185432</v>
      </c>
      <c r="D1179" s="174">
        <f t="shared" si="1"/>
        <v>0.1331061811</v>
      </c>
      <c r="E1179" s="175">
        <f t="shared" si="2"/>
        <v>-1.605319753</v>
      </c>
      <c r="F1179" s="175">
        <f>IFERROR(__xludf.DUMMYFUNCTION("average.weighted(filter(Data!K:K,Data!B:B=A1179),filter(Data!F:F,Data!B:B=A1179))"),-1.3466293974612413)</f>
        <v>-1.346629397</v>
      </c>
      <c r="G1179" s="175">
        <f>IFERROR(__xludf.DUMMYFUNCTION("average.weighted(filter(Data!L:L,Data!B:B=A1179),filter(Data!F:F,Data!B:B=A1179))"),-0.25869035601942925)</f>
        <v>-0.258690356</v>
      </c>
    </row>
    <row r="1180">
      <c r="A1180" s="172" t="s">
        <v>1413</v>
      </c>
      <c r="B1180" s="173">
        <f>countif(Data!B:B,A1180)</f>
        <v>1</v>
      </c>
      <c r="C1180" s="174">
        <f>sumif(Data!B:B,A1180,Data!M:M)</f>
        <v>0.1838283575</v>
      </c>
      <c r="D1180" s="174">
        <f t="shared" si="1"/>
        <v>0.1838283575</v>
      </c>
      <c r="E1180" s="175">
        <f t="shared" si="2"/>
        <v>-1.60651679</v>
      </c>
      <c r="F1180" s="175">
        <f>IFERROR(__xludf.DUMMYFUNCTION("average.weighted(filter(Data!K:K,Data!B:B=A1180),filter(Data!F:F,Data!B:B=A1180))"),-1.95647502627182)</f>
        <v>-1.956475026</v>
      </c>
      <c r="G1180" s="175">
        <f>IFERROR(__xludf.DUMMYFUNCTION("average.weighted(filter(Data!L:L,Data!B:B=A1180),filter(Data!F:F,Data!B:B=A1180))"),0.349958236177783)</f>
        <v>0.3499582362</v>
      </c>
    </row>
    <row r="1181">
      <c r="A1181" s="172" t="s">
        <v>1414</v>
      </c>
      <c r="B1181" s="173">
        <f>countif(Data!B:B,A1181)</f>
        <v>8</v>
      </c>
      <c r="C1181" s="174">
        <f>sumif(Data!B:B,A1181,Data!M:M)</f>
        <v>5.714084072</v>
      </c>
      <c r="D1181" s="174">
        <f t="shared" si="1"/>
        <v>0.714260509</v>
      </c>
      <c r="E1181" s="175">
        <f t="shared" si="2"/>
        <v>-1.621559279</v>
      </c>
      <c r="F1181" s="175">
        <f>IFERROR(__xludf.DUMMYFUNCTION("average.weighted(filter(Data!K:K,Data!B:B=A1181),filter(Data!F:F,Data!B:B=A1181))"),-0.16937777715947375)</f>
        <v>-0.1693777772</v>
      </c>
      <c r="G1181" s="175">
        <f>IFERROR(__xludf.DUMMYFUNCTION("average.weighted(filter(Data!L:L,Data!B:B=A1181),filter(Data!F:F,Data!B:B=A1181))"),-1.452181501986965)</f>
        <v>-1.452181502</v>
      </c>
    </row>
    <row r="1182">
      <c r="A1182" s="172" t="s">
        <v>1415</v>
      </c>
      <c r="B1182" s="173">
        <f>countif(Data!B:B,A1182)</f>
        <v>5</v>
      </c>
      <c r="C1182" s="174">
        <f>sumif(Data!B:B,A1182,Data!M:M)</f>
        <v>0.5890417294</v>
      </c>
      <c r="D1182" s="174">
        <f t="shared" si="1"/>
        <v>0.1178083459</v>
      </c>
      <c r="E1182" s="175">
        <f t="shared" si="2"/>
        <v>-1.612104404</v>
      </c>
      <c r="F1182" s="175">
        <f>IFERROR(__xludf.DUMMYFUNCTION("average.weighted(filter(Data!K:K,Data!B:B=A1182),filter(Data!F:F,Data!B:B=A1182))"),-0.7189931988120948)</f>
        <v>-0.7189931988</v>
      </c>
      <c r="G1182" s="175">
        <f>IFERROR(__xludf.DUMMYFUNCTION("average.weighted(filter(Data!L:L,Data!B:B=A1182),filter(Data!F:F,Data!B:B=A1182))"),-0.8931112055982933)</f>
        <v>-0.8931112056</v>
      </c>
    </row>
    <row r="1183">
      <c r="A1183" s="172" t="s">
        <v>1416</v>
      </c>
      <c r="B1183" s="173">
        <f>countif(Data!B:B,A1183)</f>
        <v>5</v>
      </c>
      <c r="C1183" s="174">
        <f>sumif(Data!B:B,A1183,Data!M:M)</f>
        <v>2.576259101</v>
      </c>
      <c r="D1183" s="174">
        <f t="shared" si="1"/>
        <v>0.5152518203</v>
      </c>
      <c r="E1183" s="175">
        <f t="shared" si="2"/>
        <v>-1.617178398</v>
      </c>
      <c r="F1183" s="175">
        <f>IFERROR(__xludf.DUMMYFUNCTION("average.weighted(filter(Data!K:K,Data!B:B=A1183),filter(Data!F:F,Data!B:B=A1183))"),-0.8339795787678149)</f>
        <v>-0.8339795788</v>
      </c>
      <c r="G1183" s="175">
        <f>IFERROR(__xludf.DUMMYFUNCTION("average.weighted(filter(Data!L:L,Data!B:B=A1183),filter(Data!F:F,Data!B:B=A1183))"),-0.7831988192999279)</f>
        <v>-0.7831988193</v>
      </c>
    </row>
    <row r="1184">
      <c r="A1184" s="172" t="s">
        <v>1417</v>
      </c>
      <c r="B1184" s="173">
        <f>countif(Data!B:B,A1184)</f>
        <v>2</v>
      </c>
      <c r="C1184" s="174">
        <f>sumif(Data!B:B,A1184,Data!M:M)</f>
        <v>0.6119473686</v>
      </c>
      <c r="D1184" s="174">
        <f t="shared" si="1"/>
        <v>0.3059736843</v>
      </c>
      <c r="E1184" s="175">
        <f t="shared" si="2"/>
        <v>-1.618166187</v>
      </c>
      <c r="F1184" s="175">
        <f>IFERROR(__xludf.DUMMYFUNCTION("average.weighted(filter(Data!K:K,Data!B:B=A1184),filter(Data!F:F,Data!B:B=A1184))"),-1.9256222621929941)</f>
        <v>-1.925622262</v>
      </c>
      <c r="G1184" s="175">
        <f>IFERROR(__xludf.DUMMYFUNCTION("average.weighted(filter(Data!L:L,Data!B:B=A1184),filter(Data!F:F,Data!B:B=A1184))"),0.30745607561110433)</f>
        <v>0.3074560756</v>
      </c>
    </row>
    <row r="1185">
      <c r="A1185" s="172" t="s">
        <v>1418</v>
      </c>
      <c r="B1185" s="173">
        <f>countif(Data!B:B,A1185)</f>
        <v>4</v>
      </c>
      <c r="C1185" s="174">
        <f>sumif(Data!B:B,A1185,Data!M:M)</f>
        <v>1.541334649</v>
      </c>
      <c r="D1185" s="174">
        <f t="shared" si="1"/>
        <v>0.3853336623</v>
      </c>
      <c r="E1185" s="175">
        <f t="shared" si="2"/>
        <v>-1.618814104</v>
      </c>
      <c r="F1185" s="175">
        <f>IFERROR(__xludf.DUMMYFUNCTION("average.weighted(filter(Data!K:K,Data!B:B=A1185),filter(Data!F:F,Data!B:B=A1185))"),-0.6053330665484227)</f>
        <v>-0.6053330665</v>
      </c>
      <c r="G1185" s="175">
        <f>IFERROR(__xludf.DUMMYFUNCTION("average.weighted(filter(Data!L:L,Data!B:B=A1185),filter(Data!F:F,Data!B:B=A1185))"),-1.0134810375455023)</f>
        <v>-1.013481038</v>
      </c>
    </row>
    <row r="1186">
      <c r="A1186" s="172" t="s">
        <v>1419</v>
      </c>
      <c r="B1186" s="173">
        <f>countif(Data!B:B,A1186)</f>
        <v>1</v>
      </c>
      <c r="C1186" s="174">
        <f>sumif(Data!B:B,A1186,Data!M:M)</f>
        <v>0.08802003255</v>
      </c>
      <c r="D1186" s="174">
        <f t="shared" si="1"/>
        <v>0.08802003255</v>
      </c>
      <c r="E1186" s="175">
        <f t="shared" si="2"/>
        <v>-1.620194108</v>
      </c>
      <c r="F1186" s="175">
        <f>IFERROR(__xludf.DUMMYFUNCTION("average.weighted(filter(Data!K:K,Data!B:B=A1186),filter(Data!F:F,Data!B:B=A1186))"),-1.88411823357461)</f>
        <v>-1.884118234</v>
      </c>
      <c r="G1186" s="175">
        <f>IFERROR(__xludf.DUMMYFUNCTION("average.weighted(filter(Data!L:L,Data!B:B=A1186),filter(Data!F:F,Data!B:B=A1186))"),0.263924125595287)</f>
        <v>0.2639241256</v>
      </c>
    </row>
    <row r="1187">
      <c r="A1187" s="172" t="s">
        <v>1420</v>
      </c>
      <c r="B1187" s="173">
        <f>countif(Data!B:B,A1187)</f>
        <v>2</v>
      </c>
      <c r="C1187" s="174">
        <f>sumif(Data!B:B,A1187,Data!M:M)</f>
        <v>0.1076642845</v>
      </c>
      <c r="D1187" s="174">
        <f t="shared" si="1"/>
        <v>0.05383214224</v>
      </c>
      <c r="E1187" s="175">
        <f t="shared" si="2"/>
        <v>-1.621813619</v>
      </c>
      <c r="F1187" s="175">
        <f>IFERROR(__xludf.DUMMYFUNCTION("average.weighted(filter(Data!K:K,Data!B:B=A1187),filter(Data!F:F,Data!B:B=A1187))"),-0.29224192109123087)</f>
        <v>-0.2922419211</v>
      </c>
      <c r="G1187" s="175">
        <f>IFERROR(__xludf.DUMMYFUNCTION("average.weighted(filter(Data!L:L,Data!B:B=A1187),filter(Data!F:F,Data!B:B=A1187))"),-1.3295716981969432)</f>
        <v>-1.329571698</v>
      </c>
    </row>
    <row r="1188">
      <c r="A1188" s="172" t="s">
        <v>1421</v>
      </c>
      <c r="B1188" s="173">
        <f>countif(Data!B:B,A1188)</f>
        <v>4</v>
      </c>
      <c r="C1188" s="174">
        <f>sumif(Data!B:B,A1188,Data!M:M)</f>
        <v>1.825358077</v>
      </c>
      <c r="D1188" s="174">
        <f t="shared" si="1"/>
        <v>0.4563395192</v>
      </c>
      <c r="E1188" s="175">
        <f t="shared" si="2"/>
        <v>-1.623184069</v>
      </c>
      <c r="F1188" s="175">
        <f>IFERROR(__xludf.DUMMYFUNCTION("average.weighted(filter(Data!K:K,Data!B:B=A1188),filter(Data!F:F,Data!B:B=A1188))"),-0.8952064555947692)</f>
        <v>-0.8952064556</v>
      </c>
      <c r="G1188" s="175">
        <f>IFERROR(__xludf.DUMMYFUNCTION("average.weighted(filter(Data!L:L,Data!B:B=A1188),filter(Data!F:F,Data!B:B=A1188))"),-0.7279776136122994)</f>
        <v>-0.7279776136</v>
      </c>
    </row>
    <row r="1189">
      <c r="A1189" s="172" t="s">
        <v>1422</v>
      </c>
      <c r="B1189" s="173">
        <f>countif(Data!B:B,A1189)</f>
        <v>1</v>
      </c>
      <c r="C1189" s="174">
        <f>sumif(Data!B:B,A1189,Data!M:M)</f>
        <v>0.04911409963</v>
      </c>
      <c r="D1189" s="174">
        <f t="shared" si="1"/>
        <v>0.04911409963</v>
      </c>
      <c r="E1189" s="175">
        <f t="shared" si="2"/>
        <v>-1.934515318</v>
      </c>
      <c r="F1189" s="175">
        <f>IFERROR(__xludf.DUMMYFUNCTION("average.weighted(filter(Data!K:K,Data!B:B=A1189),filter(Data!F:F,Data!B:B=A1189))"),-1.11148247603587)</f>
        <v>-1.111482476</v>
      </c>
      <c r="G1189" s="175">
        <f>IFERROR(__xludf.DUMMYFUNCTION("average.weighted(filter(Data!L:L,Data!B:B=A1189),filter(Data!F:F,Data!B:B=A1189))"),-0.823032841880006)</f>
        <v>-0.8230328419</v>
      </c>
    </row>
    <row r="1190">
      <c r="A1190" s="172" t="s">
        <v>1423</v>
      </c>
      <c r="B1190" s="173">
        <f>countif(Data!B:B,A1190)</f>
        <v>3</v>
      </c>
      <c r="C1190" s="174">
        <f>sumif(Data!B:B,A1190,Data!M:M)</f>
        <v>0.7894153337</v>
      </c>
      <c r="D1190" s="174">
        <f t="shared" si="1"/>
        <v>0.2631384446</v>
      </c>
      <c r="E1190" s="175">
        <f t="shared" si="2"/>
        <v>-1.623251453</v>
      </c>
      <c r="F1190" s="175">
        <f>IFERROR(__xludf.DUMMYFUNCTION("average.weighted(filter(Data!K:K,Data!B:B=A1190),filter(Data!F:F,Data!B:B=A1190))"),-1.5896447905553681)</f>
        <v>-1.589644791</v>
      </c>
      <c r="G1190" s="175">
        <f>IFERROR(__xludf.DUMMYFUNCTION("average.weighted(filter(Data!L:L,Data!B:B=A1190),filter(Data!F:F,Data!B:B=A1190))"),-0.03360666263740873)</f>
        <v>-0.03360666264</v>
      </c>
    </row>
    <row r="1191">
      <c r="A1191" s="172" t="s">
        <v>1424</v>
      </c>
      <c r="B1191" s="173">
        <f>countif(Data!B:B,A1191)</f>
        <v>5</v>
      </c>
      <c r="C1191" s="174">
        <f>sumif(Data!B:B,A1191,Data!M:M)</f>
        <v>1.751071963</v>
      </c>
      <c r="D1191" s="174">
        <f t="shared" si="1"/>
        <v>0.3502143926</v>
      </c>
      <c r="E1191" s="175">
        <f t="shared" si="2"/>
        <v>-1.638249202</v>
      </c>
      <c r="F1191" s="175">
        <f>IFERROR(__xludf.DUMMYFUNCTION("average.weighted(filter(Data!K:K,Data!B:B=A1191),filter(Data!F:F,Data!B:B=A1191))"),-0.9519667223749773)</f>
        <v>-0.9519667224</v>
      </c>
      <c r="G1191" s="175">
        <f>IFERROR(__xludf.DUMMYFUNCTION("average.weighted(filter(Data!L:L,Data!B:B=A1191),filter(Data!F:F,Data!B:B=A1191))"),-0.686282479320754)</f>
        <v>-0.6862824793</v>
      </c>
    </row>
    <row r="1192">
      <c r="A1192" s="172" t="s">
        <v>1425</v>
      </c>
      <c r="B1192" s="173">
        <f>countif(Data!B:B,A1192)</f>
        <v>3</v>
      </c>
      <c r="C1192" s="174">
        <f>sumif(Data!B:B,A1192,Data!M:M)</f>
        <v>0.8837191726</v>
      </c>
      <c r="D1192" s="174">
        <f t="shared" si="1"/>
        <v>0.2945730575</v>
      </c>
      <c r="E1192" s="175">
        <f t="shared" si="2"/>
        <v>-1.64095926</v>
      </c>
      <c r="F1192" s="175">
        <f>IFERROR(__xludf.DUMMYFUNCTION("average.weighted(filter(Data!K:K,Data!B:B=A1192),filter(Data!F:F,Data!B:B=A1192))"),-0.6266772753454531)</f>
        <v>-0.6266772753</v>
      </c>
      <c r="G1192" s="175">
        <f>IFERROR(__xludf.DUMMYFUNCTION("average.weighted(filter(Data!L:L,Data!B:B=A1192),filter(Data!F:F,Data!B:B=A1192))"),-1.0142819843210504)</f>
        <v>-1.014281984</v>
      </c>
    </row>
    <row r="1193">
      <c r="A1193" s="172" t="s">
        <v>1426</v>
      </c>
      <c r="B1193" s="173">
        <f>countif(Data!B:B,A1193)</f>
        <v>1</v>
      </c>
      <c r="C1193" s="174">
        <f>sumif(Data!B:B,A1193,Data!M:M)</f>
        <v>0.004083338619</v>
      </c>
      <c r="D1193" s="174">
        <f t="shared" si="1"/>
        <v>0.004083338619</v>
      </c>
      <c r="E1193" s="175">
        <f t="shared" si="2"/>
        <v>-1.646711937</v>
      </c>
      <c r="F1193" s="175">
        <f>IFERROR(__xludf.DUMMYFUNCTION("average.weighted(filter(Data!K:K,Data!B:B=A1193),filter(Data!F:F,Data!B:B=A1193))"),-0.668949491034608)</f>
        <v>-0.668949491</v>
      </c>
      <c r="G1193" s="175">
        <f>IFERROR(__xludf.DUMMYFUNCTION("average.weighted(filter(Data!L:L,Data!B:B=A1193),filter(Data!F:F,Data!B:B=A1193))"),-0.977762445919169)</f>
        <v>-0.9777624459</v>
      </c>
    </row>
    <row r="1194">
      <c r="A1194" s="172" t="s">
        <v>1427</v>
      </c>
      <c r="B1194" s="173">
        <f>countif(Data!B:B,A1194)</f>
        <v>2</v>
      </c>
      <c r="C1194" s="174">
        <f>sumif(Data!B:B,A1194,Data!M:M)</f>
        <v>0.1182486738</v>
      </c>
      <c r="D1194" s="174">
        <f t="shared" si="1"/>
        <v>0.05912433691</v>
      </c>
      <c r="E1194" s="175">
        <f t="shared" si="2"/>
        <v>-1.646978638</v>
      </c>
      <c r="F1194" s="175">
        <f>IFERROR(__xludf.DUMMYFUNCTION("average.weighted(filter(Data!K:K,Data!B:B=A1194),filter(Data!F:F,Data!B:B=A1194))"),-0.697885055739541)</f>
        <v>-0.6978850557</v>
      </c>
      <c r="G1194" s="175">
        <f>IFERROR(__xludf.DUMMYFUNCTION("average.weighted(filter(Data!L:L,Data!B:B=A1194),filter(Data!F:F,Data!B:B=A1194))"),-0.9490935820468636)</f>
        <v>-0.949093582</v>
      </c>
    </row>
    <row r="1195">
      <c r="A1195" s="172" t="s">
        <v>1428</v>
      </c>
      <c r="B1195" s="173">
        <f>countif(Data!B:B,A1195)</f>
        <v>4</v>
      </c>
      <c r="C1195" s="174">
        <f>sumif(Data!B:B,A1195,Data!M:M)</f>
        <v>0.3513824516</v>
      </c>
      <c r="D1195" s="174">
        <f t="shared" si="1"/>
        <v>0.08784561289</v>
      </c>
      <c r="E1195" s="175">
        <f t="shared" si="2"/>
        <v>-1.651338974</v>
      </c>
      <c r="F1195" s="175">
        <f>IFERROR(__xludf.DUMMYFUNCTION("average.weighted(filter(Data!K:K,Data!B:B=A1195),filter(Data!F:F,Data!B:B=A1195))"),-0.776501067378036)</f>
        <v>-0.7765010674</v>
      </c>
      <c r="G1195" s="175">
        <f>IFERROR(__xludf.DUMMYFUNCTION("average.weighted(filter(Data!L:L,Data!B:B=A1195),filter(Data!F:F,Data!B:B=A1195))"),-0.8748379070158966)</f>
        <v>-0.874837907</v>
      </c>
    </row>
    <row r="1196">
      <c r="A1196" s="172" t="s">
        <v>1429</v>
      </c>
      <c r="B1196" s="173">
        <f>countif(Data!B:B,A1196)</f>
        <v>3</v>
      </c>
      <c r="C1196" s="174">
        <f>sumif(Data!B:B,A1196,Data!M:M)</f>
        <v>1.606670926</v>
      </c>
      <c r="D1196" s="174">
        <f t="shared" si="1"/>
        <v>0.5355569752</v>
      </c>
      <c r="E1196" s="175">
        <f t="shared" si="2"/>
        <v>-1.794704747</v>
      </c>
      <c r="F1196" s="175">
        <f>IFERROR(__xludf.DUMMYFUNCTION("average.weighted(filter(Data!K:K,Data!B:B=A1196),filter(Data!F:F,Data!B:B=A1196))"),-0.8067690260125927)</f>
        <v>-0.806769026</v>
      </c>
      <c r="G1196" s="175">
        <f>IFERROR(__xludf.DUMMYFUNCTION("average.weighted(filter(Data!L:L,Data!B:B=A1196),filter(Data!F:F,Data!B:B=A1196))"),-0.9879357210072159)</f>
        <v>-0.987935721</v>
      </c>
    </row>
    <row r="1197">
      <c r="A1197" s="172" t="s">
        <v>92</v>
      </c>
      <c r="B1197" s="173">
        <f>countif(Data!B:B,A1197)</f>
        <v>7</v>
      </c>
      <c r="C1197" s="174">
        <f>sumif(Data!B:B,A1197,Data!M:M)</f>
        <v>6.121729597</v>
      </c>
      <c r="D1197" s="174">
        <f t="shared" si="1"/>
        <v>0.8745327995</v>
      </c>
      <c r="E1197" s="175">
        <f t="shared" si="2"/>
        <v>-1.555716436</v>
      </c>
      <c r="F1197" s="175">
        <f>IFERROR(__xludf.DUMMYFUNCTION("average.weighted(filter(Data!K:K,Data!B:B=A1197),filter(Data!F:F,Data!B:B=A1197))"),0.3614580138835475)</f>
        <v>0.3614580139</v>
      </c>
      <c r="G1197" s="175">
        <f>IFERROR(__xludf.DUMMYFUNCTION("average.weighted(filter(Data!L:L,Data!B:B=A1197),filter(Data!F:F,Data!B:B=A1197))"),-1.9171744499961447)</f>
        <v>-1.91717445</v>
      </c>
    </row>
    <row r="1198">
      <c r="A1198" s="172" t="s">
        <v>1430</v>
      </c>
      <c r="B1198" s="173">
        <f>countif(Data!B:B,A1198)</f>
        <v>1</v>
      </c>
      <c r="C1198" s="174">
        <f>sumif(Data!B:B,A1198,Data!M:M)</f>
        <v>0.06558025407</v>
      </c>
      <c r="D1198" s="174">
        <f t="shared" si="1"/>
        <v>0.06558025407</v>
      </c>
      <c r="E1198" s="175">
        <f t="shared" si="2"/>
        <v>-1.654709425</v>
      </c>
      <c r="F1198" s="175">
        <f>IFERROR(__xludf.DUMMYFUNCTION("average.weighted(filter(Data!K:K,Data!B:B=A1198),filter(Data!F:F,Data!B:B=A1198))"),-0.632687938799645)</f>
        <v>-0.6326879388</v>
      </c>
      <c r="G1198" s="175">
        <f>IFERROR(__xludf.DUMMYFUNCTION("average.weighted(filter(Data!L:L,Data!B:B=A1198),filter(Data!F:F,Data!B:B=A1198))"),-1.02202148579847)</f>
        <v>-1.022021486</v>
      </c>
    </row>
    <row r="1199">
      <c r="A1199" s="172" t="s">
        <v>1431</v>
      </c>
      <c r="B1199" s="173">
        <f>countif(Data!B:B,A1199)</f>
        <v>2</v>
      </c>
      <c r="C1199" s="174">
        <f>sumif(Data!B:B,A1199,Data!M:M)</f>
        <v>0.844713724</v>
      </c>
      <c r="D1199" s="174">
        <f t="shared" si="1"/>
        <v>0.422356862</v>
      </c>
      <c r="E1199" s="175">
        <f t="shared" si="2"/>
        <v>-1.666970086</v>
      </c>
      <c r="F1199" s="175">
        <f>IFERROR(__xludf.DUMMYFUNCTION("average.weighted(filter(Data!K:K,Data!B:B=A1199),filter(Data!F:F,Data!B:B=A1199))"),-1.31270601396331)</f>
        <v>-1.312706014</v>
      </c>
      <c r="G1199" s="175">
        <f>IFERROR(__xludf.DUMMYFUNCTION("average.weighted(filter(Data!L:L,Data!B:B=A1199),filter(Data!F:F,Data!B:B=A1199))"),-0.3542640724452698)</f>
        <v>-0.3542640724</v>
      </c>
    </row>
    <row r="1200">
      <c r="A1200" s="172" t="s">
        <v>1432</v>
      </c>
      <c r="B1200" s="173">
        <f>countif(Data!B:B,A1200)</f>
        <v>7</v>
      </c>
      <c r="C1200" s="174">
        <f>sumif(Data!B:B,A1200,Data!M:M)</f>
        <v>0.9377517603</v>
      </c>
      <c r="D1200" s="174">
        <f t="shared" si="1"/>
        <v>0.1339645372</v>
      </c>
      <c r="E1200" s="175">
        <f t="shared" si="2"/>
        <v>-1.670411988</v>
      </c>
      <c r="F1200" s="175">
        <f>IFERROR(__xludf.DUMMYFUNCTION("average.weighted(filter(Data!K:K,Data!B:B=A1200),filter(Data!F:F,Data!B:B=A1200))"),-1.7317241043495553)</f>
        <v>-1.731724104</v>
      </c>
      <c r="G1200" s="175">
        <f>IFERROR(__xludf.DUMMYFUNCTION("average.weighted(filter(Data!L:L,Data!B:B=A1200),filter(Data!F:F,Data!B:B=A1200))"),0.061312116059767253)</f>
        <v>0.06131211606</v>
      </c>
    </row>
    <row r="1201">
      <c r="A1201" s="172" t="s">
        <v>1433</v>
      </c>
      <c r="B1201" s="173">
        <f>countif(Data!B:B,A1201)</f>
        <v>2</v>
      </c>
      <c r="C1201" s="174">
        <f>sumif(Data!B:B,A1201,Data!M:M)</f>
        <v>0.2228656742</v>
      </c>
      <c r="D1201" s="174">
        <f t="shared" si="1"/>
        <v>0.1114328371</v>
      </c>
      <c r="E1201" s="175">
        <f t="shared" si="2"/>
        <v>-1.853574495</v>
      </c>
      <c r="F1201" s="175">
        <f>IFERROR(__xludf.DUMMYFUNCTION("average.weighted(filter(Data!K:K,Data!B:B=A1201),filter(Data!F:F,Data!B:B=A1201))"),-1.6429128028905986)</f>
        <v>-1.642912803</v>
      </c>
      <c r="G1201" s="175">
        <f>IFERROR(__xludf.DUMMYFUNCTION("average.weighted(filter(Data!L:L,Data!B:B=A1201),filter(Data!F:F,Data!B:B=A1201))"),-0.2106616922299338)</f>
        <v>-0.2106616922</v>
      </c>
    </row>
    <row r="1202">
      <c r="A1202" s="172" t="s">
        <v>1434</v>
      </c>
      <c r="B1202" s="173">
        <f>countif(Data!B:B,A1202)</f>
        <v>1</v>
      </c>
      <c r="C1202" s="174">
        <f>sumif(Data!B:B,A1202,Data!M:M)</f>
        <v>0.1047892992</v>
      </c>
      <c r="D1202" s="174">
        <f t="shared" si="1"/>
        <v>0.1047892992</v>
      </c>
      <c r="E1202" s="175">
        <f t="shared" si="2"/>
        <v>-1.681061724</v>
      </c>
      <c r="F1202" s="175">
        <f>IFERROR(__xludf.DUMMYFUNCTION("average.weighted(filter(Data!K:K,Data!B:B=A1202),filter(Data!F:F,Data!B:B=A1202))"),-1.65476927931458)</f>
        <v>-1.654769279</v>
      </c>
      <c r="G1202" s="175">
        <f>IFERROR(__xludf.DUMMYFUNCTION("average.weighted(filter(Data!L:L,Data!B:B=A1202),filter(Data!F:F,Data!B:B=A1202))"),-0.0262924449775883)</f>
        <v>-0.02629244498</v>
      </c>
    </row>
    <row r="1203">
      <c r="A1203" s="172" t="s">
        <v>1435</v>
      </c>
      <c r="B1203" s="173">
        <f>countif(Data!B:B,A1203)</f>
        <v>3</v>
      </c>
      <c r="C1203" s="174">
        <f>sumif(Data!B:B,A1203,Data!M:M)</f>
        <v>0.3143776355</v>
      </c>
      <c r="D1203" s="174">
        <f t="shared" si="1"/>
        <v>0.1047925452</v>
      </c>
      <c r="E1203" s="175">
        <f t="shared" si="2"/>
        <v>-1.681582862</v>
      </c>
      <c r="F1203" s="175">
        <f>IFERROR(__xludf.DUMMYFUNCTION("average.weighted(filter(Data!K:K,Data!B:B=A1203),filter(Data!F:F,Data!B:B=A1203))"),-1.322030676665718)</f>
        <v>-1.322030677</v>
      </c>
      <c r="G1203" s="175">
        <f>IFERROR(__xludf.DUMMYFUNCTION("average.weighted(filter(Data!L:L,Data!B:B=A1203),filter(Data!F:F,Data!B:B=A1203))"),-0.35955218562746655)</f>
        <v>-0.3595521856</v>
      </c>
    </row>
    <row r="1204">
      <c r="A1204" s="172" t="s">
        <v>1436</v>
      </c>
      <c r="B1204" s="173">
        <f>countif(Data!B:B,A1204)</f>
        <v>3</v>
      </c>
      <c r="C1204" s="174">
        <f>sumif(Data!B:B,A1204,Data!M:M)</f>
        <v>0.535907516</v>
      </c>
      <c r="D1204" s="174">
        <f t="shared" si="1"/>
        <v>0.1786358387</v>
      </c>
      <c r="E1204" s="175">
        <f t="shared" si="2"/>
        <v>-1.683957433</v>
      </c>
      <c r="F1204" s="175">
        <f>IFERROR(__xludf.DUMMYFUNCTION("average.weighted(filter(Data!K:K,Data!B:B=A1204),filter(Data!F:F,Data!B:B=A1204))"),-1.2162871809147706)</f>
        <v>-1.216287181</v>
      </c>
      <c r="G1204" s="175">
        <f>IFERROR(__xludf.DUMMYFUNCTION("average.weighted(filter(Data!L:L,Data!B:B=A1204),filter(Data!F:F,Data!B:B=A1204))"),-0.46767025205301505)</f>
        <v>-0.4676702521</v>
      </c>
    </row>
    <row r="1205">
      <c r="A1205" s="172" t="s">
        <v>1437</v>
      </c>
      <c r="B1205" s="173">
        <f>countif(Data!B:B,A1205)</f>
        <v>3</v>
      </c>
      <c r="C1205" s="174">
        <f>sumif(Data!B:B,A1205,Data!M:M)</f>
        <v>0.145491992</v>
      </c>
      <c r="D1205" s="174">
        <f t="shared" si="1"/>
        <v>0.04849733066</v>
      </c>
      <c r="E1205" s="175">
        <f t="shared" si="2"/>
        <v>-1.685469069</v>
      </c>
      <c r="F1205" s="175">
        <f>IFERROR(__xludf.DUMMYFUNCTION("average.weighted(filter(Data!K:K,Data!B:B=A1205),filter(Data!F:F,Data!B:B=A1205))"),-0.8409851176069284)</f>
        <v>-0.8409851176</v>
      </c>
      <c r="G1205" s="175">
        <f>IFERROR(__xludf.DUMMYFUNCTION("average.weighted(filter(Data!L:L,Data!B:B=A1205),filter(Data!F:F,Data!B:B=A1205))"),-0.8444839511254263)</f>
        <v>-0.8444839511</v>
      </c>
    </row>
    <row r="1206">
      <c r="A1206" s="172" t="s">
        <v>1438</v>
      </c>
      <c r="B1206" s="173">
        <f>countif(Data!B:B,A1206)</f>
        <v>2</v>
      </c>
      <c r="C1206" s="174">
        <f>sumif(Data!B:B,A1206,Data!M:M)</f>
        <v>0.2036701205</v>
      </c>
      <c r="D1206" s="174">
        <f t="shared" si="1"/>
        <v>0.1018350602</v>
      </c>
      <c r="E1206" s="175">
        <f t="shared" si="2"/>
        <v>-1.685732448</v>
      </c>
      <c r="F1206" s="175">
        <f>IFERROR(__xludf.DUMMYFUNCTION("average.weighted(filter(Data!K:K,Data!B:B=A1206),filter(Data!F:F,Data!B:B=A1206))"),-1.082843612266879)</f>
        <v>-1.082843612</v>
      </c>
      <c r="G1206" s="175">
        <f>IFERROR(__xludf.DUMMYFUNCTION("average.weighted(filter(Data!L:L,Data!B:B=A1206),filter(Data!F:F,Data!B:B=A1206))"),-0.602888835930662)</f>
        <v>-0.6028888359</v>
      </c>
    </row>
    <row r="1207">
      <c r="A1207" s="172" t="s">
        <v>1439</v>
      </c>
      <c r="B1207" s="173">
        <f>countif(Data!B:B,A1207)</f>
        <v>2</v>
      </c>
      <c r="C1207" s="174">
        <f>sumif(Data!B:B,A1207,Data!M:M)</f>
        <v>1.147486614</v>
      </c>
      <c r="D1207" s="174">
        <f t="shared" si="1"/>
        <v>0.5737433072</v>
      </c>
      <c r="E1207" s="175">
        <f t="shared" si="2"/>
        <v>-1.678046363</v>
      </c>
      <c r="F1207" s="175">
        <f>IFERROR(__xludf.DUMMYFUNCTION("average.weighted(filter(Data!K:K,Data!B:B=A1207),filter(Data!F:F,Data!B:B=A1207))"),-0.8601476647802544)</f>
        <v>-0.8601476648</v>
      </c>
      <c r="G1207" s="175">
        <f>IFERROR(__xludf.DUMMYFUNCTION("average.weighted(filter(Data!L:L,Data!B:B=A1207),filter(Data!F:F,Data!B:B=A1207))"),-0.8178986978067867)</f>
        <v>-0.8178986978</v>
      </c>
    </row>
    <row r="1208">
      <c r="A1208" s="172" t="s">
        <v>1440</v>
      </c>
      <c r="B1208" s="173">
        <f>countif(Data!B:B,A1208)</f>
        <v>1</v>
      </c>
      <c r="C1208" s="174">
        <f>sumif(Data!B:B,A1208,Data!M:M)</f>
        <v>0.1054013178</v>
      </c>
      <c r="D1208" s="174">
        <f t="shared" si="1"/>
        <v>0.1054013178</v>
      </c>
      <c r="E1208" s="175">
        <f t="shared" si="2"/>
        <v>-1.69206731</v>
      </c>
      <c r="F1208" s="175">
        <f>IFERROR(__xludf.DUMMYFUNCTION("average.weighted(filter(Data!K:K,Data!B:B=A1208),filter(Data!F:F,Data!B:B=A1208))"),-0.289985990461961)</f>
        <v>-0.2899859905</v>
      </c>
      <c r="G1208" s="175">
        <f>IFERROR(__xludf.DUMMYFUNCTION("average.weighted(filter(Data!L:L,Data!B:B=A1208),filter(Data!F:F,Data!B:B=A1208))"),-1.4020813198788)</f>
        <v>-1.40208132</v>
      </c>
    </row>
    <row r="1209">
      <c r="A1209" s="172" t="s">
        <v>1441</v>
      </c>
      <c r="B1209" s="173">
        <f>countif(Data!B:B,A1209)</f>
        <v>3</v>
      </c>
      <c r="C1209" s="174">
        <f>sumif(Data!B:B,A1209,Data!M:M)</f>
        <v>0.506210657</v>
      </c>
      <c r="D1209" s="174">
        <f t="shared" si="1"/>
        <v>0.1687368857</v>
      </c>
      <c r="E1209" s="175">
        <f t="shared" si="2"/>
        <v>-1.694326557</v>
      </c>
      <c r="F1209" s="175">
        <f>IFERROR(__xludf.DUMMYFUNCTION("average.weighted(filter(Data!K:K,Data!B:B=A1209),filter(Data!F:F,Data!B:B=A1209))"),-0.3912615220422195)</f>
        <v>-0.391261522</v>
      </c>
      <c r="G1209" s="175">
        <f>IFERROR(__xludf.DUMMYFUNCTION("average.weighted(filter(Data!L:L,Data!B:B=A1209),filter(Data!F:F,Data!B:B=A1209))"),-1.3030650351158086)</f>
        <v>-1.303065035</v>
      </c>
    </row>
    <row r="1210">
      <c r="A1210" s="172" t="s">
        <v>1442</v>
      </c>
      <c r="B1210" s="173">
        <f>countif(Data!B:B,A1210)</f>
        <v>1</v>
      </c>
      <c r="C1210" s="174">
        <f>sumif(Data!B:B,A1210,Data!M:M)</f>
        <v>0.04466003453</v>
      </c>
      <c r="D1210" s="174">
        <f t="shared" si="1"/>
        <v>0.04466003453</v>
      </c>
      <c r="E1210" s="175">
        <f t="shared" si="2"/>
        <v>-1.696241929</v>
      </c>
      <c r="F1210" s="175">
        <f>IFERROR(__xludf.DUMMYFUNCTION("average.weighted(filter(Data!K:K,Data!B:B=A1210),filter(Data!F:F,Data!B:B=A1210))"),-1.05554958572569)</f>
        <v>-1.055549586</v>
      </c>
      <c r="G1210" s="175">
        <f>IFERROR(__xludf.DUMMYFUNCTION("average.weighted(filter(Data!L:L,Data!B:B=A1210),filter(Data!F:F,Data!B:B=A1210))"),-0.640692343048947)</f>
        <v>-0.640692343</v>
      </c>
    </row>
    <row r="1211">
      <c r="A1211" s="172" t="s">
        <v>1443</v>
      </c>
      <c r="B1211" s="173">
        <f>countif(Data!B:B,A1211)</f>
        <v>2</v>
      </c>
      <c r="C1211" s="174">
        <f>sumif(Data!B:B,A1211,Data!M:M)</f>
        <v>0.1744827592</v>
      </c>
      <c r="D1211" s="174">
        <f t="shared" si="1"/>
        <v>0.08724137959</v>
      </c>
      <c r="E1211" s="175">
        <f t="shared" si="2"/>
        <v>-1.700127719</v>
      </c>
      <c r="F1211" s="175">
        <f>IFERROR(__xludf.DUMMYFUNCTION("average.weighted(filter(Data!K:K,Data!B:B=A1211),filter(Data!F:F,Data!B:B=A1211))"),-1.1662893849763505)</f>
        <v>-1.166289385</v>
      </c>
      <c r="G1211" s="175">
        <f>IFERROR(__xludf.DUMMYFUNCTION("average.weighted(filter(Data!L:L,Data!B:B=A1211),filter(Data!F:F,Data!B:B=A1211))"),-0.5338383345142256)</f>
        <v>-0.5338383345</v>
      </c>
    </row>
    <row r="1212">
      <c r="A1212" s="172" t="s">
        <v>1444</v>
      </c>
      <c r="B1212" s="173">
        <f>countif(Data!B:B,A1212)</f>
        <v>1</v>
      </c>
      <c r="C1212" s="174">
        <f>sumif(Data!B:B,A1212,Data!M:M)</f>
        <v>0.1526365906</v>
      </c>
      <c r="D1212" s="174">
        <f t="shared" si="1"/>
        <v>0.1526365906</v>
      </c>
      <c r="E1212" s="175">
        <f t="shared" si="2"/>
        <v>-1.702403944</v>
      </c>
      <c r="F1212" s="175">
        <f>IFERROR(__xludf.DUMMYFUNCTION("average.weighted(filter(Data!K:K,Data!B:B=A1212),filter(Data!F:F,Data!B:B=A1212))"),-1.26154309534039)</f>
        <v>-1.261543095</v>
      </c>
      <c r="G1212" s="175">
        <f>IFERROR(__xludf.DUMMYFUNCTION("average.weighted(filter(Data!L:L,Data!B:B=A1212),filter(Data!F:F,Data!B:B=A1212))"),-0.440860848495874)</f>
        <v>-0.4408608485</v>
      </c>
    </row>
    <row r="1213">
      <c r="A1213" s="172" t="s">
        <v>1445</v>
      </c>
      <c r="B1213" s="173">
        <f>countif(Data!B:B,A1213)</f>
        <v>2</v>
      </c>
      <c r="C1213" s="174">
        <f>sumif(Data!B:B,A1213,Data!M:M)</f>
        <v>0.1521016835</v>
      </c>
      <c r="D1213" s="174">
        <f t="shared" si="1"/>
        <v>0.07605084176</v>
      </c>
      <c r="E1213" s="175">
        <f t="shared" si="2"/>
        <v>-1.757585763</v>
      </c>
      <c r="F1213" s="175">
        <f>IFERROR(__xludf.DUMMYFUNCTION("average.weighted(filter(Data!K:K,Data!B:B=A1213),filter(Data!F:F,Data!B:B=A1213))"),-1.5559554330027356)</f>
        <v>-1.555955433</v>
      </c>
      <c r="G1213" s="175">
        <f>IFERROR(__xludf.DUMMYFUNCTION("average.weighted(filter(Data!L:L,Data!B:B=A1213),filter(Data!F:F,Data!B:B=A1213))"),-0.20163033010923564)</f>
        <v>-0.2016303301</v>
      </c>
    </row>
    <row r="1214">
      <c r="A1214" s="172" t="s">
        <v>1446</v>
      </c>
      <c r="B1214" s="173">
        <f>countif(Data!B:B,A1214)</f>
        <v>1</v>
      </c>
      <c r="C1214" s="174">
        <f>sumif(Data!B:B,A1214,Data!M:M)</f>
        <v>0.06320562665</v>
      </c>
      <c r="D1214" s="174">
        <f t="shared" si="1"/>
        <v>0.06320562665</v>
      </c>
      <c r="E1214" s="175">
        <f t="shared" si="2"/>
        <v>-1.70983006</v>
      </c>
      <c r="F1214" s="175">
        <f>IFERROR(__xludf.DUMMYFUNCTION("average.weighted(filter(Data!K:K,Data!B:B=A1214),filter(Data!F:F,Data!B:B=A1214))"),-1.76069443810983)</f>
        <v>-1.760694438</v>
      </c>
      <c r="G1214" s="175">
        <f>IFERROR(__xludf.DUMMYFUNCTION("average.weighted(filter(Data!L:L,Data!B:B=A1214),filter(Data!F:F,Data!B:B=A1214))"),0.0508643776175698)</f>
        <v>0.05086437762</v>
      </c>
    </row>
    <row r="1215">
      <c r="A1215" s="172" t="s">
        <v>1447</v>
      </c>
      <c r="B1215" s="173">
        <f>countif(Data!B:B,A1215)</f>
        <v>4</v>
      </c>
      <c r="C1215" s="174">
        <f>sumif(Data!B:B,A1215,Data!M:M)</f>
        <v>1.831851109</v>
      </c>
      <c r="D1215" s="174">
        <f t="shared" si="1"/>
        <v>0.4579627772</v>
      </c>
      <c r="E1215" s="175">
        <f t="shared" si="2"/>
        <v>-1.625924504</v>
      </c>
      <c r="F1215" s="175">
        <f>IFERROR(__xludf.DUMMYFUNCTION("average.weighted(filter(Data!K:K,Data!B:B=A1215),filter(Data!F:F,Data!B:B=A1215))"),-1.2595032050373565)</f>
        <v>-1.259503205</v>
      </c>
      <c r="G1215" s="175">
        <f>IFERROR(__xludf.DUMMYFUNCTION("average.weighted(filter(Data!L:L,Data!B:B=A1215),filter(Data!F:F,Data!B:B=A1215))"),-0.36642129918642685)</f>
        <v>-0.3664212992</v>
      </c>
    </row>
    <row r="1216">
      <c r="A1216" s="172" t="s">
        <v>1448</v>
      </c>
      <c r="B1216" s="173">
        <f>countif(Data!B:B,A1216)</f>
        <v>3</v>
      </c>
      <c r="C1216" s="174">
        <f>sumif(Data!B:B,A1216,Data!M:M)</f>
        <v>0.2554516183</v>
      </c>
      <c r="D1216" s="174">
        <f t="shared" si="1"/>
        <v>0.08515053943</v>
      </c>
      <c r="E1216" s="175">
        <f t="shared" si="2"/>
        <v>-1.716260305</v>
      </c>
      <c r="F1216" s="175">
        <f>IFERROR(__xludf.DUMMYFUNCTION("average.weighted(filter(Data!K:K,Data!B:B=A1216),filter(Data!F:F,Data!B:B=A1216))"),-1.6810188658370746)</f>
        <v>-1.681018866</v>
      </c>
      <c r="G1216" s="175">
        <f>IFERROR(__xludf.DUMMYFUNCTION("average.weighted(filter(Data!L:L,Data!B:B=A1216),filter(Data!F:F,Data!B:B=A1216))"),-0.035241438737558674)</f>
        <v>-0.03524143874</v>
      </c>
    </row>
    <row r="1217">
      <c r="A1217" s="172" t="s">
        <v>1449</v>
      </c>
      <c r="B1217" s="173">
        <f>countif(Data!B:B,A1217)</f>
        <v>7</v>
      </c>
      <c r="C1217" s="174">
        <f>sumif(Data!B:B,A1217,Data!M:M)</f>
        <v>5.575492863</v>
      </c>
      <c r="D1217" s="174">
        <f t="shared" si="1"/>
        <v>0.7964989804</v>
      </c>
      <c r="E1217" s="175">
        <f t="shared" si="2"/>
        <v>-1.667725684</v>
      </c>
      <c r="F1217" s="175">
        <f>IFERROR(__xludf.DUMMYFUNCTION("average.weighted(filter(Data!K:K,Data!B:B=A1217),filter(Data!F:F,Data!B:B=A1217))"),0.581726703180483)</f>
        <v>0.5817267032</v>
      </c>
      <c r="G1217" s="175">
        <f>IFERROR(__xludf.DUMMYFUNCTION("average.weighted(filter(Data!L:L,Data!B:B=A1217),filter(Data!F:F,Data!B:B=A1217))"),-2.2494523868313134)</f>
        <v>-2.249452387</v>
      </c>
    </row>
    <row r="1218">
      <c r="A1218" s="172" t="s">
        <v>1450</v>
      </c>
      <c r="B1218" s="173">
        <f>countif(Data!B:B,A1218)</f>
        <v>2</v>
      </c>
      <c r="C1218" s="174">
        <f>sumif(Data!B:B,A1218,Data!M:M)</f>
        <v>0.2837087021</v>
      </c>
      <c r="D1218" s="174">
        <f t="shared" si="1"/>
        <v>0.141854351</v>
      </c>
      <c r="E1218" s="175">
        <f t="shared" si="2"/>
        <v>-2.022672573</v>
      </c>
      <c r="F1218" s="175">
        <f>IFERROR(__xludf.DUMMYFUNCTION("average.weighted(filter(Data!K:K,Data!B:B=A1218),filter(Data!F:F,Data!B:B=A1218))"),-2.353331289720838)</f>
        <v>-2.35333129</v>
      </c>
      <c r="G1218" s="175">
        <f>IFERROR(__xludf.DUMMYFUNCTION("average.weighted(filter(Data!L:L,Data!B:B=A1218),filter(Data!F:F,Data!B:B=A1218))"),0.3306587167234872)</f>
        <v>0.3306587167</v>
      </c>
    </row>
    <row r="1219">
      <c r="A1219" s="172" t="s">
        <v>1451</v>
      </c>
      <c r="B1219" s="173">
        <f>countif(Data!B:B,A1219)</f>
        <v>2</v>
      </c>
      <c r="C1219" s="174">
        <f>sumif(Data!B:B,A1219,Data!M:M)</f>
        <v>0.08527797387</v>
      </c>
      <c r="D1219" s="174">
        <f t="shared" si="1"/>
        <v>0.04263898693</v>
      </c>
      <c r="E1219" s="175">
        <f t="shared" si="2"/>
        <v>-1.733140463</v>
      </c>
      <c r="F1219" s="175">
        <f>IFERROR(__xludf.DUMMYFUNCTION("average.weighted(filter(Data!K:K,Data!B:B=A1219),filter(Data!F:F,Data!B:B=A1219))"),-1.3198276265968136)</f>
        <v>-1.319827627</v>
      </c>
      <c r="G1219" s="175">
        <f>IFERROR(__xludf.DUMMYFUNCTION("average.weighted(filter(Data!L:L,Data!B:B=A1219),filter(Data!F:F,Data!B:B=A1219))"),-0.4133128367922065)</f>
        <v>-0.4133128368</v>
      </c>
    </row>
    <row r="1220">
      <c r="A1220" s="172" t="s">
        <v>1452</v>
      </c>
      <c r="B1220" s="173">
        <f>countif(Data!B:B,A1220)</f>
        <v>1</v>
      </c>
      <c r="C1220" s="174">
        <f>sumif(Data!B:B,A1220,Data!M:M)</f>
        <v>0.1913793382</v>
      </c>
      <c r="D1220" s="174">
        <f t="shared" si="1"/>
        <v>0.1913793382</v>
      </c>
      <c r="E1220" s="175">
        <f t="shared" si="2"/>
        <v>-1.738848859</v>
      </c>
      <c r="F1220" s="175">
        <f>IFERROR(__xludf.DUMMYFUNCTION("average.weighted(filter(Data!K:K,Data!B:B=A1220),filter(Data!F:F,Data!B:B=A1220))"),-0.588208993106232)</f>
        <v>-0.5882089931</v>
      </c>
      <c r="G1220" s="175">
        <f>IFERROR(__xludf.DUMMYFUNCTION("average.weighted(filter(Data!L:L,Data!B:B=A1220),filter(Data!F:F,Data!B:B=A1220))"),-1.1506398658892)</f>
        <v>-1.150639866</v>
      </c>
    </row>
    <row r="1221">
      <c r="A1221" s="172" t="s">
        <v>1453</v>
      </c>
      <c r="B1221" s="173">
        <f>countif(Data!B:B,A1221)</f>
        <v>3</v>
      </c>
      <c r="C1221" s="174">
        <f>sumif(Data!B:B,A1221,Data!M:M)</f>
        <v>1.221590207</v>
      </c>
      <c r="D1221" s="174">
        <f t="shared" si="1"/>
        <v>0.4071967357</v>
      </c>
      <c r="E1221" s="175">
        <f t="shared" si="2"/>
        <v>-1.492069243</v>
      </c>
      <c r="F1221" s="175">
        <f>IFERROR(__xludf.DUMMYFUNCTION("average.weighted(filter(Data!K:K,Data!B:B=A1221),filter(Data!F:F,Data!B:B=A1221))"),0.10322068678412853)</f>
        <v>0.1032206868</v>
      </c>
      <c r="G1221" s="175">
        <f>IFERROR(__xludf.DUMMYFUNCTION("average.weighted(filter(Data!L:L,Data!B:B=A1221),filter(Data!F:F,Data!B:B=A1221))"),-1.5952899297652279)</f>
        <v>-1.59528993</v>
      </c>
    </row>
    <row r="1222">
      <c r="A1222" s="172" t="s">
        <v>1454</v>
      </c>
      <c r="B1222" s="173">
        <f>countif(Data!B:B,A1222)</f>
        <v>4</v>
      </c>
      <c r="C1222" s="174">
        <f>sumif(Data!B:B,A1222,Data!M:M)</f>
        <v>2.002325753</v>
      </c>
      <c r="D1222" s="174">
        <f t="shared" si="1"/>
        <v>0.5005814381</v>
      </c>
      <c r="E1222" s="175">
        <f t="shared" si="2"/>
        <v>-1.755781674</v>
      </c>
      <c r="F1222" s="175">
        <f>IFERROR(__xludf.DUMMYFUNCTION("average.weighted(filter(Data!K:K,Data!B:B=A1222),filter(Data!F:F,Data!B:B=A1222))"),-1.1743110778920829)</f>
        <v>-1.174311078</v>
      </c>
      <c r="G1222" s="175">
        <f>IFERROR(__xludf.DUMMYFUNCTION("average.weighted(filter(Data!L:L,Data!B:B=A1222),filter(Data!F:F,Data!B:B=A1222))"),-0.5814705963669072)</f>
        <v>-0.5814705964</v>
      </c>
    </row>
    <row r="1223">
      <c r="A1223" s="172" t="s">
        <v>1455</v>
      </c>
      <c r="B1223" s="173">
        <f>countif(Data!B:B,A1223)</f>
        <v>5</v>
      </c>
      <c r="C1223" s="174">
        <f>sumif(Data!B:B,A1223,Data!M:M)</f>
        <v>1.386824673</v>
      </c>
      <c r="D1223" s="174">
        <f t="shared" si="1"/>
        <v>0.2773649346</v>
      </c>
      <c r="E1223" s="175">
        <f t="shared" si="2"/>
        <v>-1.799140082</v>
      </c>
      <c r="F1223" s="175">
        <f>IFERROR(__xludf.DUMMYFUNCTION("average.weighted(filter(Data!K:K,Data!B:B=A1223),filter(Data!F:F,Data!B:B=A1223))"),-1.187118643964961)</f>
        <v>-1.187118644</v>
      </c>
      <c r="G1223" s="175">
        <f>IFERROR(__xludf.DUMMYFUNCTION("average.weighted(filter(Data!L:L,Data!B:B=A1223),filter(Data!F:F,Data!B:B=A1223))"),-0.6120214381918894)</f>
        <v>-0.6120214382</v>
      </c>
    </row>
    <row r="1224">
      <c r="A1224" s="172" t="s">
        <v>1456</v>
      </c>
      <c r="B1224" s="173">
        <f>countif(Data!B:B,A1224)</f>
        <v>4</v>
      </c>
      <c r="C1224" s="174">
        <f>sumif(Data!B:B,A1224,Data!M:M)</f>
        <v>1.058735979</v>
      </c>
      <c r="D1224" s="174">
        <f t="shared" si="1"/>
        <v>0.2646839948</v>
      </c>
      <c r="E1224" s="175">
        <f t="shared" si="2"/>
        <v>-1.74427067</v>
      </c>
      <c r="F1224" s="175">
        <f>IFERROR(__xludf.DUMMYFUNCTION("average.weighted(filter(Data!K:K,Data!B:B=A1224),filter(Data!F:F,Data!B:B=A1224))"),-1.7545722570519104)</f>
        <v>-1.754572257</v>
      </c>
      <c r="G1224" s="175">
        <f>IFERROR(__xludf.DUMMYFUNCTION("average.weighted(filter(Data!L:L,Data!B:B=A1224),filter(Data!F:F,Data!B:B=A1224))"),0.010301587412471223)</f>
        <v>0.01030158741</v>
      </c>
    </row>
    <row r="1225">
      <c r="A1225" s="172" t="s">
        <v>1457</v>
      </c>
      <c r="B1225" s="173">
        <f>countif(Data!B:B,A1225)</f>
        <v>3</v>
      </c>
      <c r="C1225" s="174">
        <f>sumif(Data!B:B,A1225,Data!M:M)</f>
        <v>0.2155623207</v>
      </c>
      <c r="D1225" s="174">
        <f t="shared" si="1"/>
        <v>0.07185410691</v>
      </c>
      <c r="E1225" s="175">
        <f t="shared" si="2"/>
        <v>-1.744498718</v>
      </c>
      <c r="F1225" s="175">
        <f>IFERROR(__xludf.DUMMYFUNCTION("average.weighted(filter(Data!K:K,Data!B:B=A1225),filter(Data!F:F,Data!B:B=A1225))"),-1.3296882144645619)</f>
        <v>-1.329688214</v>
      </c>
      <c r="G1225" s="175">
        <f>IFERROR(__xludf.DUMMYFUNCTION("average.weighted(filter(Data!L:L,Data!B:B=A1225),filter(Data!F:F,Data!B:B=A1225))"),-0.4148105030898059)</f>
        <v>-0.4148105031</v>
      </c>
    </row>
    <row r="1226">
      <c r="A1226" s="172" t="s">
        <v>1458</v>
      </c>
      <c r="B1226" s="173">
        <f>countif(Data!B:B,A1226)</f>
        <v>8</v>
      </c>
      <c r="C1226" s="174">
        <f>sumif(Data!B:B,A1226,Data!M:M)</f>
        <v>3.002563107</v>
      </c>
      <c r="D1226" s="174">
        <f t="shared" si="1"/>
        <v>0.3753203884</v>
      </c>
      <c r="E1226" s="175">
        <f t="shared" si="2"/>
        <v>-1.753343118</v>
      </c>
      <c r="F1226" s="175">
        <f>IFERROR(__xludf.DUMMYFUNCTION("average.weighted(filter(Data!K:K,Data!B:B=A1226),filter(Data!F:F,Data!B:B=A1226))"),-0.6941046075885664)</f>
        <v>-0.6941046076</v>
      </c>
      <c r="G1226" s="175">
        <f>IFERROR(__xludf.DUMMYFUNCTION("average.weighted(filter(Data!L:L,Data!B:B=A1226),filter(Data!F:F,Data!B:B=A1226))"),-1.0592385104633306)</f>
        <v>-1.05923851</v>
      </c>
    </row>
    <row r="1227">
      <c r="A1227" s="172" t="s">
        <v>1459</v>
      </c>
      <c r="B1227" s="173">
        <f>countif(Data!B:B,A1227)</f>
        <v>7</v>
      </c>
      <c r="C1227" s="174">
        <f>sumif(Data!B:B,A1227,Data!M:M)</f>
        <v>3.392495206</v>
      </c>
      <c r="D1227" s="174">
        <f t="shared" si="1"/>
        <v>0.4846421724</v>
      </c>
      <c r="E1227" s="175">
        <f t="shared" si="2"/>
        <v>-1.746591556</v>
      </c>
      <c r="F1227" s="175">
        <f>IFERROR(__xludf.DUMMYFUNCTION("average.weighted(filter(Data!K:K,Data!B:B=A1227),filter(Data!F:F,Data!B:B=A1227))"),-0.7240688450558148)</f>
        <v>-0.7240688451</v>
      </c>
      <c r="G1227" s="175">
        <f>IFERROR(__xludf.DUMMYFUNCTION("average.weighted(filter(Data!L:L,Data!B:B=A1227),filter(Data!F:F,Data!B:B=A1227))"),-1.022522711440636)</f>
        <v>-1.022522711</v>
      </c>
    </row>
    <row r="1228">
      <c r="A1228" s="172" t="s">
        <v>1460</v>
      </c>
      <c r="B1228" s="173">
        <f>countif(Data!B:B,A1228)</f>
        <v>6</v>
      </c>
      <c r="C1228" s="174">
        <f>sumif(Data!B:B,A1228,Data!M:M)</f>
        <v>3.483787871</v>
      </c>
      <c r="D1228" s="174">
        <f t="shared" si="1"/>
        <v>0.5806313119</v>
      </c>
      <c r="E1228" s="175">
        <f t="shared" si="2"/>
        <v>-1.747005138</v>
      </c>
      <c r="F1228" s="175">
        <f>IFERROR(__xludf.DUMMYFUNCTION("average.weighted(filter(Data!K:K,Data!B:B=A1228),filter(Data!F:F,Data!B:B=A1228))"),-1.5587206067285506)</f>
        <v>-1.558720607</v>
      </c>
      <c r="G1228" s="175">
        <f>IFERROR(__xludf.DUMMYFUNCTION("average.weighted(filter(Data!L:L,Data!B:B=A1228),filter(Data!F:F,Data!B:B=A1228))"),-0.18828453114667854)</f>
        <v>-0.1882845311</v>
      </c>
    </row>
    <row r="1229">
      <c r="A1229" s="172" t="s">
        <v>1461</v>
      </c>
      <c r="B1229" s="173">
        <f>countif(Data!B:B,A1229)</f>
        <v>1</v>
      </c>
      <c r="C1229" s="174">
        <f>sumif(Data!B:B,A1229,Data!M:M)</f>
        <v>0.07729449042</v>
      </c>
      <c r="D1229" s="174">
        <f t="shared" si="1"/>
        <v>0.07729449042</v>
      </c>
      <c r="E1229" s="175">
        <f t="shared" si="2"/>
        <v>-1.753727296</v>
      </c>
      <c r="F1229" s="175">
        <f>IFERROR(__xludf.DUMMYFUNCTION("average.weighted(filter(Data!K:K,Data!B:B=A1229),filter(Data!F:F,Data!B:B=A1229))"),-1.80687001191096)</f>
        <v>-1.806870012</v>
      </c>
      <c r="G1229" s="175">
        <f>IFERROR(__xludf.DUMMYFUNCTION("average.weighted(filter(Data!L:L,Data!B:B=A1229),filter(Data!F:F,Data!B:B=A1229))"),0.0531427160657562)</f>
        <v>0.05314271607</v>
      </c>
    </row>
    <row r="1230">
      <c r="A1230" s="172" t="s">
        <v>1462</v>
      </c>
      <c r="B1230" s="173">
        <f>countif(Data!B:B,A1230)</f>
        <v>2</v>
      </c>
      <c r="C1230" s="174">
        <f>sumif(Data!B:B,A1230,Data!M:M)</f>
        <v>0.1446328226</v>
      </c>
      <c r="D1230" s="174">
        <f t="shared" si="1"/>
        <v>0.0723164113</v>
      </c>
      <c r="E1230" s="175">
        <f t="shared" si="2"/>
        <v>-1.756285566</v>
      </c>
      <c r="F1230" s="175">
        <f>IFERROR(__xludf.DUMMYFUNCTION("average.weighted(filter(Data!K:K,Data!B:B=A1230),filter(Data!F:F,Data!B:B=A1230))"),-1.1523200804344345)</f>
        <v>-1.15232008</v>
      </c>
      <c r="G1230" s="175">
        <f>IFERROR(__xludf.DUMMYFUNCTION("average.weighted(filter(Data!L:L,Data!B:B=A1230),filter(Data!F:F,Data!B:B=A1230))"),-0.6039654856144571)</f>
        <v>-0.6039654856</v>
      </c>
    </row>
    <row r="1231">
      <c r="A1231" s="172" t="s">
        <v>1463</v>
      </c>
      <c r="B1231" s="173">
        <f>countif(Data!B:B,A1231)</f>
        <v>2</v>
      </c>
      <c r="C1231" s="174">
        <f>sumif(Data!B:B,A1231,Data!M:M)</f>
        <v>0.6612646242</v>
      </c>
      <c r="D1231" s="174">
        <f t="shared" si="1"/>
        <v>0.3306323121</v>
      </c>
      <c r="E1231" s="175">
        <f t="shared" si="2"/>
        <v>-1.756336801</v>
      </c>
      <c r="F1231" s="175">
        <f>IFERROR(__xludf.DUMMYFUNCTION("average.weighted(filter(Data!K:K,Data!B:B=A1231),filter(Data!F:F,Data!B:B=A1231))"),-1.5368334908926315)</f>
        <v>-1.536833491</v>
      </c>
      <c r="G1231" s="175">
        <f>IFERROR(__xludf.DUMMYFUNCTION("average.weighted(filter(Data!L:L,Data!B:B=A1231),filter(Data!F:F,Data!B:B=A1231))"),-0.21950330989421946)</f>
        <v>-0.2195033099</v>
      </c>
    </row>
    <row r="1232">
      <c r="A1232" s="172" t="s">
        <v>1464</v>
      </c>
      <c r="B1232" s="173">
        <f>countif(Data!B:B,A1232)</f>
        <v>2</v>
      </c>
      <c r="C1232" s="174">
        <f>sumif(Data!B:B,A1232,Data!M:M)</f>
        <v>0.3240149895</v>
      </c>
      <c r="D1232" s="174">
        <f t="shared" si="1"/>
        <v>0.1620074948</v>
      </c>
      <c r="E1232" s="175">
        <f t="shared" si="2"/>
        <v>-1.762459092</v>
      </c>
      <c r="F1232" s="175">
        <f>IFERROR(__xludf.DUMMYFUNCTION("average.weighted(filter(Data!K:K,Data!B:B=A1232),filter(Data!F:F,Data!B:B=A1232))"),-1.9139606356460503)</f>
        <v>-1.913960636</v>
      </c>
      <c r="G1232" s="175">
        <f>IFERROR(__xludf.DUMMYFUNCTION("average.weighted(filter(Data!L:L,Data!B:B=A1232),filter(Data!F:F,Data!B:B=A1232))"),0.15150154377622838)</f>
        <v>0.1515015438</v>
      </c>
    </row>
    <row r="1233">
      <c r="A1233" s="172" t="s">
        <v>1465</v>
      </c>
      <c r="B1233" s="173">
        <f>countif(Data!B:B,A1233)</f>
        <v>2</v>
      </c>
      <c r="C1233" s="174">
        <f>sumif(Data!B:B,A1233,Data!M:M)</f>
        <v>0.09941109925</v>
      </c>
      <c r="D1233" s="174">
        <f t="shared" si="1"/>
        <v>0.04970554963</v>
      </c>
      <c r="E1233" s="175">
        <f t="shared" si="2"/>
        <v>-1.762898048</v>
      </c>
      <c r="F1233" s="175">
        <f>IFERROR(__xludf.DUMMYFUNCTION("average.weighted(filter(Data!K:K,Data!B:B=A1233),filter(Data!F:F,Data!B:B=A1233))"),-0.6378322966928971)</f>
        <v>-0.6378322967</v>
      </c>
      <c r="G1233" s="175">
        <f>IFERROR(__xludf.DUMMYFUNCTION("average.weighted(filter(Data!L:L,Data!B:B=A1233),filter(Data!F:F,Data!B:B=A1233))"),-1.1250657512168538)</f>
        <v>-1.125065751</v>
      </c>
    </row>
    <row r="1234">
      <c r="A1234" s="172" t="s">
        <v>1466</v>
      </c>
      <c r="B1234" s="173">
        <f>countif(Data!B:B,A1234)</f>
        <v>2</v>
      </c>
      <c r="C1234" s="174">
        <f>sumif(Data!B:B,A1234,Data!M:M)</f>
        <v>0.4292079421</v>
      </c>
      <c r="D1234" s="174">
        <f t="shared" si="1"/>
        <v>0.2146039711</v>
      </c>
      <c r="E1234" s="175">
        <f t="shared" si="2"/>
        <v>-1.772202194</v>
      </c>
      <c r="F1234" s="175">
        <f>IFERROR(__xludf.DUMMYFUNCTION("average.weighted(filter(Data!K:K,Data!B:B=A1234),filter(Data!F:F,Data!B:B=A1234))"),-0.826621500289551)</f>
        <v>-0.8266215003</v>
      </c>
      <c r="G1234" s="175">
        <f>IFERROR(__xludf.DUMMYFUNCTION("average.weighted(filter(Data!L:L,Data!B:B=A1234),filter(Data!F:F,Data!B:B=A1234))"),-0.9455806934098336)</f>
        <v>-0.9455806934</v>
      </c>
    </row>
    <row r="1235">
      <c r="A1235" s="172" t="s">
        <v>1467</v>
      </c>
      <c r="B1235" s="173">
        <f>countif(Data!B:B,A1235)</f>
        <v>4</v>
      </c>
      <c r="C1235" s="174">
        <f>sumif(Data!B:B,A1235,Data!M:M)</f>
        <v>1.593693358</v>
      </c>
      <c r="D1235" s="174">
        <f t="shared" si="1"/>
        <v>0.3984233396</v>
      </c>
      <c r="E1235" s="175">
        <f t="shared" si="2"/>
        <v>-1.768911584</v>
      </c>
      <c r="F1235" s="175">
        <f>IFERROR(__xludf.DUMMYFUNCTION("average.weighted(filter(Data!K:K,Data!B:B=A1235),filter(Data!F:F,Data!B:B=A1235))"),-0.9234152351044155)</f>
        <v>-0.9234152351</v>
      </c>
      <c r="G1235" s="175">
        <f>IFERROR(__xludf.DUMMYFUNCTION("average.weighted(filter(Data!L:L,Data!B:B=A1235),filter(Data!F:F,Data!B:B=A1235))"),-0.8454963486355316)</f>
        <v>-0.8454963486</v>
      </c>
    </row>
    <row r="1236">
      <c r="A1236" s="172" t="s">
        <v>1468</v>
      </c>
      <c r="B1236" s="173">
        <f>countif(Data!B:B,A1236)</f>
        <v>4</v>
      </c>
      <c r="C1236" s="174">
        <f>sumif(Data!B:B,A1236,Data!M:M)</f>
        <v>0.4589742127</v>
      </c>
      <c r="D1236" s="174">
        <f t="shared" si="1"/>
        <v>0.1147435532</v>
      </c>
      <c r="E1236" s="175">
        <f t="shared" si="2"/>
        <v>-1.699072735</v>
      </c>
      <c r="F1236" s="175">
        <f>IFERROR(__xludf.DUMMYFUNCTION("average.weighted(filter(Data!K:K,Data!B:B=A1236),filter(Data!F:F,Data!B:B=A1236))"),-0.7943376655046097)</f>
        <v>-0.7943376655</v>
      </c>
      <c r="G1236" s="175">
        <f>IFERROR(__xludf.DUMMYFUNCTION("average.weighted(filter(Data!L:L,Data!B:B=A1236),filter(Data!F:F,Data!B:B=A1236))"),-0.9047350699782556)</f>
        <v>-0.90473507</v>
      </c>
    </row>
    <row r="1237">
      <c r="A1237" s="172" t="s">
        <v>1469</v>
      </c>
      <c r="B1237" s="173">
        <f>countif(Data!B:B,A1237)</f>
        <v>2</v>
      </c>
      <c r="C1237" s="174">
        <f>sumif(Data!B:B,A1237,Data!M:M)</f>
        <v>0.1946831254</v>
      </c>
      <c r="D1237" s="174">
        <f t="shared" si="1"/>
        <v>0.09734156271</v>
      </c>
      <c r="E1237" s="175">
        <f t="shared" si="2"/>
        <v>-1.75729744</v>
      </c>
      <c r="F1237" s="175">
        <f>IFERROR(__xludf.DUMMYFUNCTION("average.weighted(filter(Data!K:K,Data!B:B=A1237),filter(Data!F:F,Data!B:B=A1237))"),-1.5808459840784383)</f>
        <v>-1.580845984</v>
      </c>
      <c r="G1237" s="175">
        <f>IFERROR(__xludf.DUMMYFUNCTION("average.weighted(filter(Data!L:L,Data!B:B=A1237),filter(Data!F:F,Data!B:B=A1237))"),-0.17645145613010743)</f>
        <v>-0.1764514561</v>
      </c>
    </row>
    <row r="1238">
      <c r="A1238" s="172" t="s">
        <v>1470</v>
      </c>
      <c r="B1238" s="173">
        <f>countif(Data!B:B,A1238)</f>
        <v>5</v>
      </c>
      <c r="C1238" s="174">
        <f>sumif(Data!B:B,A1238,Data!M:M)</f>
        <v>1.425106759</v>
      </c>
      <c r="D1238" s="174">
        <f t="shared" si="1"/>
        <v>0.2850213518</v>
      </c>
      <c r="E1238" s="175">
        <f t="shared" si="2"/>
        <v>-1.768383118</v>
      </c>
      <c r="F1238" s="175">
        <f>IFERROR(__xludf.DUMMYFUNCTION("average.weighted(filter(Data!K:K,Data!B:B=A1238),filter(Data!F:F,Data!B:B=A1238))"),-1.9569963294466999)</f>
        <v>-1.956996329</v>
      </c>
      <c r="G1238" s="175">
        <f>IFERROR(__xludf.DUMMYFUNCTION("average.weighted(filter(Data!L:L,Data!B:B=A1238),filter(Data!F:F,Data!B:B=A1238))"),0.18861321178790919)</f>
        <v>0.1886132118</v>
      </c>
    </row>
    <row r="1239">
      <c r="A1239" s="172" t="s">
        <v>1471</v>
      </c>
      <c r="B1239" s="173">
        <f>countif(Data!B:B,A1239)</f>
        <v>1</v>
      </c>
      <c r="C1239" s="174">
        <f>sumif(Data!B:B,A1239,Data!M:M)</f>
        <v>0.05456951888</v>
      </c>
      <c r="D1239" s="174">
        <f t="shared" si="1"/>
        <v>0.05456951888</v>
      </c>
      <c r="E1239" s="175">
        <f t="shared" si="2"/>
        <v>-1.78964525</v>
      </c>
      <c r="F1239" s="175">
        <f>IFERROR(__xludf.DUMMYFUNCTION("average.weighted(filter(Data!K:K,Data!B:B=A1239),filter(Data!F:F,Data!B:B=A1239))"),-1.04164863040658)</f>
        <v>-1.04164863</v>
      </c>
      <c r="G1239" s="175">
        <f>IFERROR(__xludf.DUMMYFUNCTION("average.weighted(filter(Data!L:L,Data!B:B=A1239),filter(Data!F:F,Data!B:B=A1239))"),-0.7479966195874)</f>
        <v>-0.7479966196</v>
      </c>
    </row>
    <row r="1240">
      <c r="A1240" s="172" t="s">
        <v>1472</v>
      </c>
      <c r="B1240" s="173">
        <f>countif(Data!B:B,A1240)</f>
        <v>1</v>
      </c>
      <c r="C1240" s="174">
        <f>sumif(Data!B:B,A1240,Data!M:M)</f>
        <v>0.10593905</v>
      </c>
      <c r="D1240" s="174">
        <f t="shared" si="1"/>
        <v>0.10593905</v>
      </c>
      <c r="E1240" s="175">
        <f t="shared" si="2"/>
        <v>-2.063231363</v>
      </c>
      <c r="F1240" s="175">
        <f>IFERROR(__xludf.DUMMYFUNCTION("average.weighted(filter(Data!K:K,Data!B:B=A1240),filter(Data!F:F,Data!B:B=A1240))"),-1.52212836652471)</f>
        <v>-1.522128367</v>
      </c>
      <c r="G1240" s="175">
        <f>IFERROR(__xludf.DUMMYFUNCTION("average.weighted(filter(Data!L:L,Data!B:B=A1240),filter(Data!F:F,Data!B:B=A1240))"),-0.541102996654402)</f>
        <v>-0.5411029967</v>
      </c>
    </row>
    <row r="1241">
      <c r="A1241" s="172" t="s">
        <v>1473</v>
      </c>
      <c r="B1241" s="173">
        <f>countif(Data!B:B,A1241)</f>
        <v>3</v>
      </c>
      <c r="C1241" s="174">
        <f>sumif(Data!B:B,A1241,Data!M:M)</f>
        <v>1.249392295</v>
      </c>
      <c r="D1241" s="174">
        <f t="shared" si="1"/>
        <v>0.4164640982</v>
      </c>
      <c r="E1241" s="175">
        <f t="shared" si="2"/>
        <v>-1.785211379</v>
      </c>
      <c r="F1241" s="175">
        <f>IFERROR(__xludf.DUMMYFUNCTION("average.weighted(filter(Data!K:K,Data!B:B=A1241),filter(Data!F:F,Data!B:B=A1241))"),-2.185042835435187)</f>
        <v>-2.185042835</v>
      </c>
      <c r="G1241" s="175">
        <f>IFERROR(__xludf.DUMMYFUNCTION("average.weighted(filter(Data!L:L,Data!B:B=A1241),filter(Data!F:F,Data!B:B=A1241))"),0.3998314564803368)</f>
        <v>0.3998314565</v>
      </c>
    </row>
    <row r="1242">
      <c r="A1242" s="172" t="s">
        <v>1474</v>
      </c>
      <c r="B1242" s="173">
        <f>countif(Data!B:B,A1242)</f>
        <v>1</v>
      </c>
      <c r="C1242" s="174">
        <f>sumif(Data!B:B,A1242,Data!M:M)</f>
        <v>0.1101968803</v>
      </c>
      <c r="D1242" s="174">
        <f t="shared" si="1"/>
        <v>0.1101968803</v>
      </c>
      <c r="E1242" s="175">
        <f t="shared" si="2"/>
        <v>-1.795747408</v>
      </c>
      <c r="F1242" s="175">
        <f>IFERROR(__xludf.DUMMYFUNCTION("average.weighted(filter(Data!K:K,Data!B:B=A1242),filter(Data!F:F,Data!B:B=A1242))"),-1.57493495231184)</f>
        <v>-1.574934952</v>
      </c>
      <c r="G1242" s="175">
        <f>IFERROR(__xludf.DUMMYFUNCTION("average.weighted(filter(Data!L:L,Data!B:B=A1242),filter(Data!F:F,Data!B:B=A1242))"),-0.220812456096408)</f>
        <v>-0.2208124561</v>
      </c>
    </row>
    <row r="1243">
      <c r="A1243" s="172" t="s">
        <v>1475</v>
      </c>
      <c r="B1243" s="173">
        <f>countif(Data!B:B,A1243)</f>
        <v>4</v>
      </c>
      <c r="C1243" s="174">
        <f>sumif(Data!B:B,A1243,Data!M:M)</f>
        <v>0.5906243217</v>
      </c>
      <c r="D1243" s="174">
        <f t="shared" si="1"/>
        <v>0.1476560804</v>
      </c>
      <c r="E1243" s="175">
        <f t="shared" si="2"/>
        <v>-1.796492011</v>
      </c>
      <c r="F1243" s="175">
        <f>IFERROR(__xludf.DUMMYFUNCTION("average.weighted(filter(Data!K:K,Data!B:B=A1243),filter(Data!F:F,Data!B:B=A1243))"),-0.6786677438275547)</f>
        <v>-0.6786677438</v>
      </c>
      <c r="G1243" s="175">
        <f>IFERROR(__xludf.DUMMYFUNCTION("average.weighted(filter(Data!L:L,Data!B:B=A1243),filter(Data!F:F,Data!B:B=A1243))"),-1.1178242668996023)</f>
        <v>-1.117824267</v>
      </c>
    </row>
    <row r="1244">
      <c r="A1244" s="172" t="s">
        <v>1476</v>
      </c>
      <c r="B1244" s="173">
        <f>countif(Data!B:B,A1244)</f>
        <v>3</v>
      </c>
      <c r="C1244" s="174">
        <f>sumif(Data!B:B,A1244,Data!M:M)</f>
        <v>0.5379074602</v>
      </c>
      <c r="D1244" s="174">
        <f t="shared" si="1"/>
        <v>0.1793024867</v>
      </c>
      <c r="E1244" s="175">
        <f t="shared" si="2"/>
        <v>-1.842098447</v>
      </c>
      <c r="F1244" s="175">
        <f>IFERROR(__xludf.DUMMYFUNCTION("average.weighted(filter(Data!K:K,Data!B:B=A1244),filter(Data!F:F,Data!B:B=A1244))"),-1.2819924684770558)</f>
        <v>-1.281992468</v>
      </c>
      <c r="G1244" s="175">
        <f>IFERROR(__xludf.DUMMYFUNCTION("average.weighted(filter(Data!L:L,Data!B:B=A1244),filter(Data!F:F,Data!B:B=A1244))"),-0.5601059783399792)</f>
        <v>-0.5601059783</v>
      </c>
    </row>
    <row r="1245">
      <c r="A1245" s="172" t="s">
        <v>1477</v>
      </c>
      <c r="B1245" s="173">
        <f>countif(Data!B:B,A1245)</f>
        <v>3</v>
      </c>
      <c r="C1245" s="174">
        <f>sumif(Data!B:B,A1245,Data!M:M)</f>
        <v>-0.1574324601</v>
      </c>
      <c r="D1245" s="174">
        <f t="shared" si="1"/>
        <v>-0.05247748669</v>
      </c>
      <c r="E1245" s="175">
        <f t="shared" si="2"/>
        <v>-2.441431638</v>
      </c>
      <c r="F1245" s="175">
        <f>IFERROR(__xludf.DUMMYFUNCTION("average.weighted(filter(Data!K:K,Data!B:B=A1245),filter(Data!F:F,Data!B:B=A1245))"),-1.3253339713086278)</f>
        <v>-1.325333971</v>
      </c>
      <c r="G1245" s="175">
        <f>IFERROR(__xludf.DUMMYFUNCTION("average.weighted(filter(Data!L:L,Data!B:B=A1245),filter(Data!F:F,Data!B:B=A1245))"),-1.1160976669091265)</f>
        <v>-1.116097667</v>
      </c>
    </row>
    <row r="1246">
      <c r="A1246" s="172" t="s">
        <v>1478</v>
      </c>
      <c r="B1246" s="173">
        <f>countif(Data!B:B,A1246)</f>
        <v>4</v>
      </c>
      <c r="C1246" s="174">
        <f>sumif(Data!B:B,A1246,Data!M:M)</f>
        <v>1.588968856</v>
      </c>
      <c r="D1246" s="174">
        <f t="shared" si="1"/>
        <v>0.3972422139</v>
      </c>
      <c r="E1246" s="175">
        <f t="shared" si="2"/>
        <v>-1.894455581</v>
      </c>
      <c r="F1246" s="175">
        <f>IFERROR(__xludf.DUMMYFUNCTION("average.weighted(filter(Data!K:K,Data!B:B=A1246),filter(Data!F:F,Data!B:B=A1246))"),-0.8772682277726332)</f>
        <v>-0.8772682278</v>
      </c>
      <c r="G1246" s="175">
        <f>IFERROR(__xludf.DUMMYFUNCTION("average.weighted(filter(Data!L:L,Data!B:B=A1246),filter(Data!F:F,Data!B:B=A1246))"),-1.0171873536901348)</f>
        <v>-1.017187354</v>
      </c>
    </row>
    <row r="1247">
      <c r="A1247" s="172" t="s">
        <v>1479</v>
      </c>
      <c r="B1247" s="173">
        <f>countif(Data!B:B,A1247)</f>
        <v>1</v>
      </c>
      <c r="C1247" s="174">
        <f>sumif(Data!B:B,A1247,Data!M:M)</f>
        <v>0.05324333511</v>
      </c>
      <c r="D1247" s="174">
        <f t="shared" si="1"/>
        <v>0.05324333511</v>
      </c>
      <c r="E1247" s="175">
        <f t="shared" si="2"/>
        <v>-1.82228104</v>
      </c>
      <c r="F1247" s="175">
        <f>IFERROR(__xludf.DUMMYFUNCTION("average.weighted(filter(Data!K:K,Data!B:B=A1247),filter(Data!F:F,Data!B:B=A1247))"),-0.797079250164493)</f>
        <v>-0.7970792502</v>
      </c>
      <c r="G1247" s="175">
        <f>IFERROR(__xludf.DUMMYFUNCTION("average.weighted(filter(Data!L:L,Data!B:B=A1247),filter(Data!F:F,Data!B:B=A1247))"),-1.02520178999811)</f>
        <v>-1.02520179</v>
      </c>
    </row>
    <row r="1248">
      <c r="A1248" s="172" t="s">
        <v>1480</v>
      </c>
      <c r="B1248" s="173">
        <f>countif(Data!B:B,A1248)</f>
        <v>6</v>
      </c>
      <c r="C1248" s="174">
        <f>sumif(Data!B:B,A1248,Data!M:M)</f>
        <v>1.907083561</v>
      </c>
      <c r="D1248" s="174">
        <f t="shared" si="1"/>
        <v>0.3178472602</v>
      </c>
      <c r="E1248" s="175">
        <f t="shared" si="2"/>
        <v>-1.829843402</v>
      </c>
      <c r="F1248" s="175">
        <f>IFERROR(__xludf.DUMMYFUNCTION("average.weighted(filter(Data!K:K,Data!B:B=A1248),filter(Data!F:F,Data!B:B=A1248))"),0.14226250998780055)</f>
        <v>0.14226251</v>
      </c>
      <c r="G1248" s="175">
        <f>IFERROR(__xludf.DUMMYFUNCTION("average.weighted(filter(Data!L:L,Data!B:B=A1248),filter(Data!F:F,Data!B:B=A1248))"),-1.972105912257806)</f>
        <v>-1.972105912</v>
      </c>
    </row>
    <row r="1249">
      <c r="A1249" s="172" t="s">
        <v>1481</v>
      </c>
      <c r="B1249" s="173">
        <f>countif(Data!B:B,A1249)</f>
        <v>7</v>
      </c>
      <c r="C1249" s="174">
        <f>sumif(Data!B:B,A1249,Data!M:M)</f>
        <v>3.535335406</v>
      </c>
      <c r="D1249" s="174">
        <f t="shared" si="1"/>
        <v>0.5050479151</v>
      </c>
      <c r="E1249" s="175">
        <f t="shared" si="2"/>
        <v>-1.833333848</v>
      </c>
      <c r="F1249" s="175">
        <f>IFERROR(__xludf.DUMMYFUNCTION("average.weighted(filter(Data!K:K,Data!B:B=A1249),filter(Data!F:F,Data!B:B=A1249))"),0.7753368950680005)</f>
        <v>0.7753368951</v>
      </c>
      <c r="G1249" s="175">
        <f>IFERROR(__xludf.DUMMYFUNCTION("average.weighted(filter(Data!L:L,Data!B:B=A1249),filter(Data!F:F,Data!B:B=A1249))"),-2.6086707434118472)</f>
        <v>-2.608670743</v>
      </c>
    </row>
    <row r="1250">
      <c r="A1250" s="172" t="s">
        <v>1482</v>
      </c>
      <c r="B1250" s="173">
        <f>countif(Data!B:B,A1250)</f>
        <v>4</v>
      </c>
      <c r="C1250" s="174">
        <f>sumif(Data!B:B,A1250,Data!M:M)</f>
        <v>0.8992379789</v>
      </c>
      <c r="D1250" s="174">
        <f t="shared" si="1"/>
        <v>0.2248094947</v>
      </c>
      <c r="E1250" s="175">
        <f t="shared" si="2"/>
        <v>-1.833753801</v>
      </c>
      <c r="F1250" s="175">
        <f>IFERROR(__xludf.DUMMYFUNCTION("average.weighted(filter(Data!K:K,Data!B:B=A1250),filter(Data!F:F,Data!B:B=A1250))"),-1.5699402117838437)</f>
        <v>-1.569940212</v>
      </c>
      <c r="G1250" s="175">
        <f>IFERROR(__xludf.DUMMYFUNCTION("average.weighted(filter(Data!L:L,Data!B:B=A1250),filter(Data!F:F,Data!B:B=A1250))"),-0.2638135892720219)</f>
        <v>-0.2638135893</v>
      </c>
    </row>
    <row r="1251">
      <c r="A1251" s="172" t="s">
        <v>1483</v>
      </c>
      <c r="B1251" s="173">
        <f>countif(Data!B:B,A1251)</f>
        <v>2</v>
      </c>
      <c r="C1251" s="174">
        <f>sumif(Data!B:B,A1251,Data!M:M)</f>
        <v>0.1640408107</v>
      </c>
      <c r="D1251" s="174">
        <f t="shared" si="1"/>
        <v>0.08202040536</v>
      </c>
      <c r="E1251" s="175">
        <f t="shared" si="2"/>
        <v>-1.854977265</v>
      </c>
      <c r="F1251" s="175">
        <f>IFERROR(__xludf.DUMMYFUNCTION("average.weighted(filter(Data!K:K,Data!B:B=A1251),filter(Data!F:F,Data!B:B=A1251))"),-0.6216377357803955)</f>
        <v>-0.6216377358</v>
      </c>
      <c r="G1251" s="175">
        <f>IFERROR(__xludf.DUMMYFUNCTION("average.weighted(filter(Data!L:L,Data!B:B=A1251),filter(Data!F:F,Data!B:B=A1251))"),-1.2333395293287426)</f>
        <v>-1.233339529</v>
      </c>
    </row>
    <row r="1252">
      <c r="A1252" s="172" t="s">
        <v>1484</v>
      </c>
      <c r="B1252" s="173">
        <f>countif(Data!B:B,A1252)</f>
        <v>4</v>
      </c>
      <c r="C1252" s="174">
        <f>sumif(Data!B:B,A1252,Data!M:M)</f>
        <v>0.5471486569</v>
      </c>
      <c r="D1252" s="174">
        <f t="shared" si="1"/>
        <v>0.1367871642</v>
      </c>
      <c r="E1252" s="175">
        <f t="shared" si="2"/>
        <v>-1.839453154</v>
      </c>
      <c r="F1252" s="175">
        <f>IFERROR(__xludf.DUMMYFUNCTION("average.weighted(filter(Data!K:K,Data!B:B=A1252),filter(Data!F:F,Data!B:B=A1252))"),-0.6255162457941943)</f>
        <v>-0.6255162458</v>
      </c>
      <c r="G1252" s="175">
        <f>IFERROR(__xludf.DUMMYFUNCTION("average.weighted(filter(Data!L:L,Data!B:B=A1252),filter(Data!F:F,Data!B:B=A1252))"),-1.2139369080080722)</f>
        <v>-1.213936908</v>
      </c>
    </row>
    <row r="1253">
      <c r="A1253" s="172" t="s">
        <v>1485</v>
      </c>
      <c r="B1253" s="173">
        <f>countif(Data!B:B,A1253)</f>
        <v>1</v>
      </c>
      <c r="C1253" s="174">
        <f>sumif(Data!B:B,A1253,Data!M:M)</f>
        <v>0.08298805283</v>
      </c>
      <c r="D1253" s="174">
        <f t="shared" si="1"/>
        <v>0.08298805283</v>
      </c>
      <c r="E1253" s="175">
        <f t="shared" si="2"/>
        <v>-1.866425925</v>
      </c>
      <c r="F1253" s="175">
        <f>IFERROR(__xludf.DUMMYFUNCTION("average.weighted(filter(Data!K:K,Data!B:B=A1253),filter(Data!F:F,Data!B:B=A1253))"),-1.46973787746108)</f>
        <v>-1.469737877</v>
      </c>
      <c r="G1253" s="175">
        <f>IFERROR(__xludf.DUMMYFUNCTION("average.weighted(filter(Data!L:L,Data!B:B=A1253),filter(Data!F:F,Data!B:B=A1253))"),-0.396688047241047)</f>
        <v>-0.3966880472</v>
      </c>
    </row>
    <row r="1254">
      <c r="A1254" s="172" t="s">
        <v>1486</v>
      </c>
      <c r="B1254" s="173">
        <f>countif(Data!B:B,A1254)</f>
        <v>2</v>
      </c>
      <c r="C1254" s="174">
        <f>sumif(Data!B:B,A1254,Data!M:M)</f>
        <v>0.4807947179</v>
      </c>
      <c r="D1254" s="174">
        <f t="shared" si="1"/>
        <v>0.2403973589</v>
      </c>
      <c r="E1254" s="175">
        <f t="shared" si="2"/>
        <v>-1.873938597</v>
      </c>
      <c r="F1254" s="175">
        <f>IFERROR(__xludf.DUMMYFUNCTION("average.weighted(filter(Data!K:K,Data!B:B=A1254),filter(Data!F:F,Data!B:B=A1254))"),-1.4622342172784026)</f>
        <v>-1.462234217</v>
      </c>
      <c r="G1254" s="175">
        <f>IFERROR(__xludf.DUMMYFUNCTION("average.weighted(filter(Data!L:L,Data!B:B=A1254),filter(Data!F:F,Data!B:B=A1254))"),-0.41170437953547473)</f>
        <v>-0.4117043795</v>
      </c>
    </row>
    <row r="1255">
      <c r="A1255" s="172" t="s">
        <v>1487</v>
      </c>
      <c r="B1255" s="173">
        <f>countif(Data!B:B,A1255)</f>
        <v>2</v>
      </c>
      <c r="C1255" s="174">
        <f>sumif(Data!B:B,A1255,Data!M:M)</f>
        <v>0.8362648037</v>
      </c>
      <c r="D1255" s="174">
        <f t="shared" si="1"/>
        <v>0.4181324018</v>
      </c>
      <c r="E1255" s="175">
        <f t="shared" si="2"/>
        <v>-1.824496231</v>
      </c>
      <c r="F1255" s="175">
        <f>IFERROR(__xludf.DUMMYFUNCTION("average.weighted(filter(Data!K:K,Data!B:B=A1255),filter(Data!F:F,Data!B:B=A1255))"),-0.9674330138207956)</f>
        <v>-0.9674330138</v>
      </c>
      <c r="G1255" s="175">
        <f>IFERROR(__xludf.DUMMYFUNCTION("average.weighted(filter(Data!L:L,Data!B:B=A1255),filter(Data!F:F,Data!B:B=A1255))"),-0.8570632174384075)</f>
        <v>-0.8570632174</v>
      </c>
    </row>
    <row r="1256">
      <c r="A1256" s="172" t="s">
        <v>1488</v>
      </c>
      <c r="B1256" s="173">
        <f>countif(Data!B:B,A1256)</f>
        <v>1</v>
      </c>
      <c r="C1256" s="174">
        <f>sumif(Data!B:B,A1256,Data!M:M)</f>
        <v>0.08196356016</v>
      </c>
      <c r="D1256" s="174">
        <f t="shared" si="1"/>
        <v>0.08196356016</v>
      </c>
      <c r="E1256" s="175">
        <f t="shared" si="2"/>
        <v>-1.875996668</v>
      </c>
      <c r="F1256" s="175">
        <f>IFERROR(__xludf.DUMMYFUNCTION("average.weighted(filter(Data!K:K,Data!B:B=A1256),filter(Data!F:F,Data!B:B=A1256))"),-1.09494923268579)</f>
        <v>-1.094949233</v>
      </c>
      <c r="G1256" s="175">
        <f>IFERROR(__xludf.DUMMYFUNCTION("average.weighted(filter(Data!L:L,Data!B:B=A1256),filter(Data!F:F,Data!B:B=A1256))"),-0.781047434966731)</f>
        <v>-0.781047435</v>
      </c>
    </row>
    <row r="1257">
      <c r="A1257" s="172" t="s">
        <v>1489</v>
      </c>
      <c r="B1257" s="173">
        <f>countif(Data!B:B,A1257)</f>
        <v>3</v>
      </c>
      <c r="C1257" s="174">
        <f>sumif(Data!B:B,A1257,Data!M:M)</f>
        <v>0.4046985123</v>
      </c>
      <c r="D1257" s="174">
        <f t="shared" si="1"/>
        <v>0.1348995041</v>
      </c>
      <c r="E1257" s="175">
        <f t="shared" si="2"/>
        <v>-1.879597456</v>
      </c>
      <c r="F1257" s="175">
        <f>IFERROR(__xludf.DUMMYFUNCTION("average.weighted(filter(Data!K:K,Data!B:B=A1257),filter(Data!F:F,Data!B:B=A1257))"),-1.514108586267076)</f>
        <v>-1.514108586</v>
      </c>
      <c r="G1257" s="175">
        <f>IFERROR(__xludf.DUMMYFUNCTION("average.weighted(filter(Data!L:L,Data!B:B=A1257),filter(Data!F:F,Data!B:B=A1257))"),-0.3654888699358695)</f>
        <v>-0.3654888699</v>
      </c>
    </row>
    <row r="1258">
      <c r="A1258" s="172" t="s">
        <v>1490</v>
      </c>
      <c r="B1258" s="173">
        <f>countif(Data!B:B,A1258)</f>
        <v>2</v>
      </c>
      <c r="C1258" s="174">
        <f>sumif(Data!B:B,A1258,Data!M:M)</f>
        <v>0.224413446</v>
      </c>
      <c r="D1258" s="174">
        <f t="shared" si="1"/>
        <v>0.112206723</v>
      </c>
      <c r="E1258" s="175">
        <f t="shared" si="2"/>
        <v>-1.881058072</v>
      </c>
      <c r="F1258" s="175">
        <f>IFERROR(__xludf.DUMMYFUNCTION("average.weighted(filter(Data!K:K,Data!B:B=A1258),filter(Data!F:F,Data!B:B=A1258))"),-1.7966214134097291)</f>
        <v>-1.796621413</v>
      </c>
      <c r="G1258" s="175">
        <f>IFERROR(__xludf.DUMMYFUNCTION("average.weighted(filter(Data!L:L,Data!B:B=A1258),filter(Data!F:F,Data!B:B=A1258))"),-0.08443665876299969)</f>
        <v>-0.08443665876</v>
      </c>
    </row>
    <row r="1259">
      <c r="A1259" s="172" t="s">
        <v>1491</v>
      </c>
      <c r="B1259" s="173">
        <f>countif(Data!B:B,A1259)</f>
        <v>3</v>
      </c>
      <c r="C1259" s="174">
        <f>sumif(Data!B:B,A1259,Data!M:M)</f>
        <v>0.780808643</v>
      </c>
      <c r="D1259" s="174">
        <f t="shared" si="1"/>
        <v>0.2602695477</v>
      </c>
      <c r="E1259" s="175">
        <f t="shared" si="2"/>
        <v>-1.88430069</v>
      </c>
      <c r="F1259" s="175">
        <f>IFERROR(__xludf.DUMMYFUNCTION("average.weighted(filter(Data!K:K,Data!B:B=A1259),filter(Data!F:F,Data!B:B=A1259))"),-0.31697169281711624)</f>
        <v>-0.3169716928</v>
      </c>
      <c r="G1259" s="175">
        <f>IFERROR(__xludf.DUMMYFUNCTION("average.weighted(filter(Data!L:L,Data!B:B=A1259),filter(Data!F:F,Data!B:B=A1259))"),-1.5673289967238972)</f>
        <v>-1.567328997</v>
      </c>
    </row>
    <row r="1260">
      <c r="A1260" s="172" t="s">
        <v>1492</v>
      </c>
      <c r="B1260" s="173">
        <f>countif(Data!B:B,A1260)</f>
        <v>1</v>
      </c>
      <c r="C1260" s="174">
        <f>sumif(Data!B:B,A1260,Data!M:M)</f>
        <v>0.042697994</v>
      </c>
      <c r="D1260" s="174">
        <f t="shared" si="1"/>
        <v>0.042697994</v>
      </c>
      <c r="E1260" s="175">
        <f t="shared" si="2"/>
        <v>-1.886866718</v>
      </c>
      <c r="F1260" s="175">
        <f>IFERROR(__xludf.DUMMYFUNCTION("average.weighted(filter(Data!K:K,Data!B:B=A1260),filter(Data!F:F,Data!B:B=A1260))"),-1.11919969343746)</f>
        <v>-1.119199693</v>
      </c>
      <c r="G1260" s="175">
        <f>IFERROR(__xludf.DUMMYFUNCTION("average.weighted(filter(Data!L:L,Data!B:B=A1260),filter(Data!F:F,Data!B:B=A1260))"),-0.767667024907556)</f>
        <v>-0.7676670249</v>
      </c>
    </row>
    <row r="1261">
      <c r="A1261" s="172" t="s">
        <v>1493</v>
      </c>
      <c r="B1261" s="173">
        <f>countif(Data!B:B,A1261)</f>
        <v>2</v>
      </c>
      <c r="C1261" s="174">
        <f>sumif(Data!B:B,A1261,Data!M:M)</f>
        <v>0.1660375949</v>
      </c>
      <c r="D1261" s="174">
        <f t="shared" si="1"/>
        <v>0.08301879745</v>
      </c>
      <c r="E1261" s="175">
        <f t="shared" si="2"/>
        <v>-1.895137839</v>
      </c>
      <c r="F1261" s="175">
        <f>IFERROR(__xludf.DUMMYFUNCTION("average.weighted(filter(Data!K:K,Data!B:B=A1261),filter(Data!F:F,Data!B:B=A1261))"),-1.0662253920008509)</f>
        <v>-1.066225392</v>
      </c>
      <c r="G1261" s="175">
        <f>IFERROR(__xludf.DUMMYFUNCTION("average.weighted(filter(Data!L:L,Data!B:B=A1261),filter(Data!F:F,Data!B:B=A1261))"),-0.8289124466273825)</f>
        <v>-0.8289124466</v>
      </c>
    </row>
    <row r="1262">
      <c r="A1262" s="172" t="s">
        <v>1494</v>
      </c>
      <c r="B1262" s="173">
        <f>countif(Data!B:B,A1262)</f>
        <v>4</v>
      </c>
      <c r="C1262" s="174">
        <f>sumif(Data!B:B,A1262,Data!M:M)</f>
        <v>0.6636231583</v>
      </c>
      <c r="D1262" s="174">
        <f t="shared" si="1"/>
        <v>0.1659057896</v>
      </c>
      <c r="E1262" s="175">
        <f t="shared" si="2"/>
        <v>-1.986168745</v>
      </c>
      <c r="F1262" s="175">
        <f>IFERROR(__xludf.DUMMYFUNCTION("average.weighted(filter(Data!K:K,Data!B:B=A1262),filter(Data!F:F,Data!B:B=A1262))"),-2.0757043473584)</f>
        <v>-2.075704347</v>
      </c>
      <c r="G1262" s="175">
        <f>IFERROR(__xludf.DUMMYFUNCTION("average.weighted(filter(Data!L:L,Data!B:B=A1262),filter(Data!F:F,Data!B:B=A1262))"),0.08953560266074014)</f>
        <v>0.08953560266</v>
      </c>
    </row>
    <row r="1263">
      <c r="A1263" s="172" t="s">
        <v>1495</v>
      </c>
      <c r="B1263" s="173">
        <f>countif(Data!B:B,A1263)</f>
        <v>4</v>
      </c>
      <c r="C1263" s="174">
        <f>sumif(Data!B:B,A1263,Data!M:M)</f>
        <v>1.00682405</v>
      </c>
      <c r="D1263" s="174">
        <f t="shared" si="1"/>
        <v>0.2517060125</v>
      </c>
      <c r="E1263" s="175">
        <f t="shared" si="2"/>
        <v>-1.912608353</v>
      </c>
      <c r="F1263" s="175">
        <f>IFERROR(__xludf.DUMMYFUNCTION("average.weighted(filter(Data!K:K,Data!B:B=A1263),filter(Data!F:F,Data!B:B=A1263))"),-0.4791367825898833)</f>
        <v>-0.4791367826</v>
      </c>
      <c r="G1263" s="175">
        <f>IFERROR(__xludf.DUMMYFUNCTION("average.weighted(filter(Data!L:L,Data!B:B=A1263),filter(Data!F:F,Data!B:B=A1263))"),-1.433471570151188)</f>
        <v>-1.43347157</v>
      </c>
    </row>
    <row r="1264">
      <c r="A1264" s="172" t="s">
        <v>1496</v>
      </c>
      <c r="B1264" s="173">
        <f>countif(Data!B:B,A1264)</f>
        <v>3</v>
      </c>
      <c r="C1264" s="174">
        <f>sumif(Data!B:B,A1264,Data!M:M)</f>
        <v>0.1446044041</v>
      </c>
      <c r="D1264" s="174">
        <f t="shared" si="1"/>
        <v>0.04820146805</v>
      </c>
      <c r="E1264" s="175">
        <f t="shared" si="2"/>
        <v>-1.912858319</v>
      </c>
      <c r="F1264" s="175">
        <f>IFERROR(__xludf.DUMMYFUNCTION("average.weighted(filter(Data!K:K,Data!B:B=A1264),filter(Data!F:F,Data!B:B=A1264))"),-1.5819251794530613)</f>
        <v>-1.581925179</v>
      </c>
      <c r="G1264" s="175">
        <f>IFERROR(__xludf.DUMMYFUNCTION("average.weighted(filter(Data!L:L,Data!B:B=A1264),filter(Data!F:F,Data!B:B=A1264))"),-0.33093313990876394)</f>
        <v>-0.3309331399</v>
      </c>
    </row>
    <row r="1265">
      <c r="A1265" s="172" t="s">
        <v>1497</v>
      </c>
      <c r="B1265" s="173">
        <f>countif(Data!B:B,A1265)</f>
        <v>6</v>
      </c>
      <c r="C1265" s="174">
        <f>sumif(Data!B:B,A1265,Data!M:M)</f>
        <v>1.217326259</v>
      </c>
      <c r="D1265" s="174">
        <f t="shared" si="1"/>
        <v>0.2028877099</v>
      </c>
      <c r="E1265" s="175">
        <f t="shared" si="2"/>
        <v>-1.911678083</v>
      </c>
      <c r="F1265" s="175">
        <f>IFERROR(__xludf.DUMMYFUNCTION("average.weighted(filter(Data!K:K,Data!B:B=A1265),filter(Data!F:F,Data!B:B=A1265))"),-1.719557123741753)</f>
        <v>-1.719557124</v>
      </c>
      <c r="G1265" s="175">
        <f>IFERROR(__xludf.DUMMYFUNCTION("average.weighted(filter(Data!L:L,Data!B:B=A1265),filter(Data!F:F,Data!B:B=A1265))"),-0.19212095915459948)</f>
        <v>-0.1921209592</v>
      </c>
    </row>
    <row r="1266">
      <c r="A1266" s="172" t="s">
        <v>1498</v>
      </c>
      <c r="B1266" s="173">
        <f>countif(Data!B:B,A1266)</f>
        <v>2</v>
      </c>
      <c r="C1266" s="174">
        <f>sumif(Data!B:B,A1266,Data!M:M)</f>
        <v>0.04206937257</v>
      </c>
      <c r="D1266" s="174">
        <f t="shared" si="1"/>
        <v>0.02103468629</v>
      </c>
      <c r="E1266" s="175">
        <f t="shared" si="2"/>
        <v>-1.916884901</v>
      </c>
      <c r="F1266" s="175">
        <f>IFERROR(__xludf.DUMMYFUNCTION("average.weighted(filter(Data!K:K,Data!B:B=A1266),filter(Data!F:F,Data!B:B=A1266))"),-1.0301175259997093)</f>
        <v>-1.030117526</v>
      </c>
      <c r="G1266" s="175">
        <f>IFERROR(__xludf.DUMMYFUNCTION("average.weighted(filter(Data!L:L,Data!B:B=A1266),filter(Data!F:F,Data!B:B=A1266))"),-0.8867673754921875)</f>
        <v>-0.8867673755</v>
      </c>
    </row>
    <row r="1267">
      <c r="A1267" s="172" t="s">
        <v>1499</v>
      </c>
      <c r="B1267" s="173">
        <f>countif(Data!B:B,A1267)</f>
        <v>2</v>
      </c>
      <c r="C1267" s="174">
        <f>sumif(Data!B:B,A1267,Data!M:M)</f>
        <v>0.07386919698</v>
      </c>
      <c r="D1267" s="174">
        <f t="shared" si="1"/>
        <v>0.03693459849</v>
      </c>
      <c r="E1267" s="175">
        <f t="shared" si="2"/>
        <v>-1.919125959</v>
      </c>
      <c r="F1267" s="175">
        <f>IFERROR(__xludf.DUMMYFUNCTION("average.weighted(filter(Data!K:K,Data!B:B=A1267),filter(Data!F:F,Data!B:B=A1267))"),-1.1208016623398194)</f>
        <v>-1.120801662</v>
      </c>
      <c r="G1267" s="175">
        <f>IFERROR(__xludf.DUMMYFUNCTION("average.weighted(filter(Data!L:L,Data!B:B=A1267),filter(Data!F:F,Data!B:B=A1267))"),-0.7983242968707277)</f>
        <v>-0.7983242969</v>
      </c>
    </row>
    <row r="1268">
      <c r="A1268" s="172" t="s">
        <v>1500</v>
      </c>
      <c r="B1268" s="173">
        <f>countif(Data!B:B,A1268)</f>
        <v>1</v>
      </c>
      <c r="C1268" s="174">
        <f>sumif(Data!B:B,A1268,Data!M:M)</f>
        <v>0.08215653547</v>
      </c>
      <c r="D1268" s="174">
        <f t="shared" si="1"/>
        <v>0.08215653547</v>
      </c>
      <c r="E1268" s="175">
        <f t="shared" si="2"/>
        <v>-1.923963689</v>
      </c>
      <c r="F1268" s="175">
        <f>IFERROR(__xludf.DUMMYFUNCTION("average.weighted(filter(Data!K:K,Data!B:B=A1268),filter(Data!F:F,Data!B:B=A1268))"),-0.334585729493887)</f>
        <v>-0.3345857295</v>
      </c>
      <c r="G1268" s="175">
        <f>IFERROR(__xludf.DUMMYFUNCTION("average.weighted(filter(Data!L:L,Data!B:B=A1268),filter(Data!F:F,Data!B:B=A1268))"),-1.58937795968604)</f>
        <v>-1.58937796</v>
      </c>
    </row>
    <row r="1269">
      <c r="A1269" s="172" t="s">
        <v>1501</v>
      </c>
      <c r="B1269" s="173">
        <f>countif(Data!B:B,A1269)</f>
        <v>5</v>
      </c>
      <c r="C1269" s="174">
        <f>sumif(Data!B:B,A1269,Data!M:M)</f>
        <v>1.824836443</v>
      </c>
      <c r="D1269" s="174">
        <f t="shared" si="1"/>
        <v>0.3649672887</v>
      </c>
      <c r="E1269" s="175">
        <f t="shared" si="2"/>
        <v>-1.927291297</v>
      </c>
      <c r="F1269" s="175">
        <f>IFERROR(__xludf.DUMMYFUNCTION("average.weighted(filter(Data!K:K,Data!B:B=A1269),filter(Data!F:F,Data!B:B=A1269))"),-0.7611322376974743)</f>
        <v>-0.7611322377</v>
      </c>
      <c r="G1269" s="175">
        <f>IFERROR(__xludf.DUMMYFUNCTION("average.weighted(filter(Data!L:L,Data!B:B=A1269),filter(Data!F:F,Data!B:B=A1269))"),-1.1661590597271771)</f>
        <v>-1.16615906</v>
      </c>
    </row>
    <row r="1270">
      <c r="A1270" s="172" t="s">
        <v>1502</v>
      </c>
      <c r="B1270" s="173">
        <f>countif(Data!B:B,A1270)</f>
        <v>5</v>
      </c>
      <c r="C1270" s="174">
        <f>sumif(Data!B:B,A1270,Data!M:M)</f>
        <v>1.607036893</v>
      </c>
      <c r="D1270" s="174">
        <f t="shared" si="1"/>
        <v>0.3214073787</v>
      </c>
      <c r="E1270" s="175">
        <f t="shared" si="2"/>
        <v>-1.919460388</v>
      </c>
      <c r="F1270" s="175">
        <f>IFERROR(__xludf.DUMMYFUNCTION("average.weighted(filter(Data!K:K,Data!B:B=A1270),filter(Data!F:F,Data!B:B=A1270))"),-0.7129206431825799)</f>
        <v>-0.7129206432</v>
      </c>
      <c r="G1270" s="175">
        <f>IFERROR(__xludf.DUMMYFUNCTION("average.weighted(filter(Data!L:L,Data!B:B=A1270),filter(Data!F:F,Data!B:B=A1270))"),-1.2065397443272352)</f>
        <v>-1.206539744</v>
      </c>
    </row>
    <row r="1271">
      <c r="A1271" s="172" t="s">
        <v>1503</v>
      </c>
      <c r="B1271" s="173">
        <f>countif(Data!B:B,A1271)</f>
        <v>4</v>
      </c>
      <c r="C1271" s="174">
        <f>sumif(Data!B:B,A1271,Data!M:M)</f>
        <v>0.624418727</v>
      </c>
      <c r="D1271" s="174">
        <f t="shared" si="1"/>
        <v>0.1561046817</v>
      </c>
      <c r="E1271" s="175">
        <f t="shared" si="2"/>
        <v>-1.933786932</v>
      </c>
      <c r="F1271" s="175">
        <f>IFERROR(__xludf.DUMMYFUNCTION("average.weighted(filter(Data!K:K,Data!B:B=A1271),filter(Data!F:F,Data!B:B=A1271))"),-1.0674853767592427)</f>
        <v>-1.067485377</v>
      </c>
      <c r="G1271" s="175">
        <f>IFERROR(__xludf.DUMMYFUNCTION("average.weighted(filter(Data!L:L,Data!B:B=A1271),filter(Data!F:F,Data!B:B=A1271))"),-0.8663015554514719)</f>
        <v>-0.8663015555</v>
      </c>
    </row>
    <row r="1272">
      <c r="A1272" s="172" t="s">
        <v>1504</v>
      </c>
      <c r="B1272" s="173">
        <f>countif(Data!B:B,A1272)</f>
        <v>2</v>
      </c>
      <c r="C1272" s="174">
        <f>sumif(Data!B:B,A1272,Data!M:M)</f>
        <v>0.09499152673</v>
      </c>
      <c r="D1272" s="174">
        <f t="shared" si="1"/>
        <v>0.04749576337</v>
      </c>
      <c r="E1272" s="175">
        <f t="shared" si="2"/>
        <v>-1.93681653</v>
      </c>
      <c r="F1272" s="175">
        <f>IFERROR(__xludf.DUMMYFUNCTION("average.weighted(filter(Data!K:K,Data!B:B=A1272),filter(Data!F:F,Data!B:B=A1272))"),-1.2541148359953382)</f>
        <v>-1.254114836</v>
      </c>
      <c r="G1272" s="175">
        <f>IFERROR(__xludf.DUMMYFUNCTION("average.weighted(filter(Data!L:L,Data!B:B=A1272),filter(Data!F:F,Data!B:B=A1272))"),-0.682701693709756)</f>
        <v>-0.6827016937</v>
      </c>
    </row>
    <row r="1273">
      <c r="A1273" s="172" t="s">
        <v>1505</v>
      </c>
      <c r="B1273" s="173">
        <f>countif(Data!B:B,A1273)</f>
        <v>3</v>
      </c>
      <c r="C1273" s="174">
        <f>sumif(Data!B:B,A1273,Data!M:M)</f>
        <v>0.8943141285</v>
      </c>
      <c r="D1273" s="174">
        <f t="shared" si="1"/>
        <v>0.2981047095</v>
      </c>
      <c r="E1273" s="175">
        <f t="shared" si="2"/>
        <v>-2.007431136</v>
      </c>
      <c r="F1273" s="175">
        <f>IFERROR(__xludf.DUMMYFUNCTION("average.weighted(filter(Data!K:K,Data!B:B=A1273),filter(Data!F:F,Data!B:B=A1273))"),-1.0097500855673167)</f>
        <v>-1.009750086</v>
      </c>
      <c r="G1273" s="175">
        <f>IFERROR(__xludf.DUMMYFUNCTION("average.weighted(filter(Data!L:L,Data!B:B=A1273),filter(Data!F:F,Data!B:B=A1273))"),-0.9976810502582436)</f>
        <v>-0.9976810503</v>
      </c>
    </row>
    <row r="1274">
      <c r="A1274" s="172" t="s">
        <v>1506</v>
      </c>
      <c r="B1274" s="173">
        <f>countif(Data!B:B,A1274)</f>
        <v>6</v>
      </c>
      <c r="C1274" s="174">
        <f>sumif(Data!B:B,A1274,Data!M:M)</f>
        <v>0.8053099383</v>
      </c>
      <c r="D1274" s="174">
        <f t="shared" si="1"/>
        <v>0.1342183231</v>
      </c>
      <c r="E1274" s="175">
        <f t="shared" si="2"/>
        <v>-1.943798752</v>
      </c>
      <c r="F1274" s="175">
        <f>IFERROR(__xludf.DUMMYFUNCTION("average.weighted(filter(Data!K:K,Data!B:B=A1274),filter(Data!F:F,Data!B:B=A1274))"),-2.224343677150245)</f>
        <v>-2.224343677</v>
      </c>
      <c r="G1274" s="175">
        <f>IFERROR(__xludf.DUMMYFUNCTION("average.weighted(filter(Data!L:L,Data!B:B=A1274),filter(Data!F:F,Data!B:B=A1274))"),0.28054492472886366)</f>
        <v>0.2805449247</v>
      </c>
    </row>
    <row r="1275">
      <c r="A1275" s="172" t="s">
        <v>1507</v>
      </c>
      <c r="B1275" s="173">
        <f>countif(Data!B:B,A1275)</f>
        <v>3</v>
      </c>
      <c r="C1275" s="174">
        <f>sumif(Data!B:B,A1275,Data!M:M)</f>
        <v>0.4865157069</v>
      </c>
      <c r="D1275" s="174">
        <f t="shared" si="1"/>
        <v>0.1621719023</v>
      </c>
      <c r="E1275" s="175">
        <f t="shared" si="2"/>
        <v>-1.955291068</v>
      </c>
      <c r="F1275" s="175">
        <f>IFERROR(__xludf.DUMMYFUNCTION("average.weighted(filter(Data!K:K,Data!B:B=A1275),filter(Data!F:F,Data!B:B=A1275))"),-1.5459942110491267)</f>
        <v>-1.545994211</v>
      </c>
      <c r="G1275" s="175">
        <f>IFERROR(__xludf.DUMMYFUNCTION("average.weighted(filter(Data!L:L,Data!B:B=A1275),filter(Data!F:F,Data!B:B=A1275))"),-0.4092968566930793)</f>
        <v>-0.4092968567</v>
      </c>
    </row>
    <row r="1276">
      <c r="A1276" s="172" t="s">
        <v>1508</v>
      </c>
      <c r="B1276" s="173">
        <f>countif(Data!B:B,A1276)</f>
        <v>2</v>
      </c>
      <c r="C1276" s="174">
        <f>sumif(Data!B:B,A1276,Data!M:M)</f>
        <v>0.6317184045</v>
      </c>
      <c r="D1276" s="174">
        <f t="shared" si="1"/>
        <v>0.3158592022</v>
      </c>
      <c r="E1276" s="175">
        <f t="shared" si="2"/>
        <v>-1.936577149</v>
      </c>
      <c r="F1276" s="175">
        <f>IFERROR(__xludf.DUMMYFUNCTION("average.weighted(filter(Data!K:K,Data!B:B=A1276),filter(Data!F:F,Data!B:B=A1276))"),-1.0241569609868166)</f>
        <v>-1.024156961</v>
      </c>
      <c r="G1276" s="175">
        <f>IFERROR(__xludf.DUMMYFUNCTION("average.weighted(filter(Data!L:L,Data!B:B=A1276),filter(Data!F:F,Data!B:B=A1276))"),-0.9124201875337364)</f>
        <v>-0.9124201875</v>
      </c>
    </row>
    <row r="1277">
      <c r="A1277" s="172" t="s">
        <v>1509</v>
      </c>
      <c r="B1277" s="173">
        <f>countif(Data!B:B,A1277)</f>
        <v>1</v>
      </c>
      <c r="C1277" s="174">
        <f>sumif(Data!B:B,A1277,Data!M:M)</f>
        <v>0.07940601016</v>
      </c>
      <c r="D1277" s="174">
        <f t="shared" si="1"/>
        <v>0.07940601016</v>
      </c>
      <c r="E1277" s="175">
        <f t="shared" si="2"/>
        <v>-1.964805556</v>
      </c>
      <c r="F1277" s="175">
        <f>IFERROR(__xludf.DUMMYFUNCTION("average.weighted(filter(Data!K:K,Data!B:B=A1277),filter(Data!F:F,Data!B:B=A1277))"),-2.45159261232376)</f>
        <v>-2.451592612</v>
      </c>
      <c r="G1277" s="175">
        <f>IFERROR(__xludf.DUMMYFUNCTION("average.weighted(filter(Data!L:L,Data!B:B=A1277),filter(Data!F:F,Data!B:B=A1277))"),0.486787056132318)</f>
        <v>0.4867870561</v>
      </c>
    </row>
    <row r="1278">
      <c r="A1278" s="172" t="s">
        <v>1510</v>
      </c>
      <c r="B1278" s="173">
        <f>countif(Data!B:B,A1278)</f>
        <v>3</v>
      </c>
      <c r="C1278" s="174">
        <f>sumif(Data!B:B,A1278,Data!M:M)</f>
        <v>0.607874435</v>
      </c>
      <c r="D1278" s="174">
        <f t="shared" si="1"/>
        <v>0.2026248117</v>
      </c>
      <c r="E1278" s="175">
        <f t="shared" si="2"/>
        <v>-1.975043079</v>
      </c>
      <c r="F1278" s="175">
        <f>IFERROR(__xludf.DUMMYFUNCTION("average.weighted(filter(Data!K:K,Data!B:B=A1278),filter(Data!F:F,Data!B:B=A1278))"),-0.9905993868385741)</f>
        <v>-0.9905993868</v>
      </c>
      <c r="G1278" s="175">
        <f>IFERROR(__xludf.DUMMYFUNCTION("average.weighted(filter(Data!L:L,Data!B:B=A1278),filter(Data!F:F,Data!B:B=A1278))"),-0.9844436922664915)</f>
        <v>-0.9844436923</v>
      </c>
    </row>
    <row r="1279">
      <c r="A1279" s="172" t="s">
        <v>1511</v>
      </c>
      <c r="B1279" s="173">
        <f>countif(Data!B:B,A1279)</f>
        <v>3</v>
      </c>
      <c r="C1279" s="174">
        <f>sumif(Data!B:B,A1279,Data!M:M)</f>
        <v>0.534679462</v>
      </c>
      <c r="D1279" s="174">
        <f t="shared" si="1"/>
        <v>0.1782264873</v>
      </c>
      <c r="E1279" s="175">
        <f t="shared" si="2"/>
        <v>-1.986198575</v>
      </c>
      <c r="F1279" s="175">
        <f>IFERROR(__xludf.DUMMYFUNCTION("average.weighted(filter(Data!K:K,Data!B:B=A1279),filter(Data!F:F,Data!B:B=A1279))"),-2.310463213309723)</f>
        <v>-2.310463213</v>
      </c>
      <c r="G1279" s="175">
        <f>IFERROR(__xludf.DUMMYFUNCTION("average.weighted(filter(Data!L:L,Data!B:B=A1279),filter(Data!F:F,Data!B:B=A1279))"),0.3242646380392171)</f>
        <v>0.324264638</v>
      </c>
    </row>
    <row r="1280">
      <c r="A1280" s="172" t="s">
        <v>1512</v>
      </c>
      <c r="B1280" s="173">
        <f>countif(Data!B:B,A1280)</f>
        <v>2</v>
      </c>
      <c r="C1280" s="174">
        <f>sumif(Data!B:B,A1280,Data!M:M)</f>
        <v>0.4395142019</v>
      </c>
      <c r="D1280" s="174">
        <f t="shared" si="1"/>
        <v>0.2197571009</v>
      </c>
      <c r="E1280" s="175">
        <f t="shared" si="2"/>
        <v>-1.97960333</v>
      </c>
      <c r="F1280" s="175">
        <f>IFERROR(__xludf.DUMMYFUNCTION("average.weighted(filter(Data!K:K,Data!B:B=A1280),filter(Data!F:F,Data!B:B=A1280))"),-1.4203886599346929)</f>
        <v>-1.42038866</v>
      </c>
      <c r="G1280" s="175">
        <f>IFERROR(__xludf.DUMMYFUNCTION("average.weighted(filter(Data!L:L,Data!B:B=A1280),filter(Data!F:F,Data!B:B=A1280))"),-0.5592146702336526)</f>
        <v>-0.5592146702</v>
      </c>
    </row>
    <row r="1281">
      <c r="A1281" s="172" t="s">
        <v>1513</v>
      </c>
      <c r="B1281" s="173">
        <f>countif(Data!B:B,A1281)</f>
        <v>2</v>
      </c>
      <c r="C1281" s="174">
        <f>sumif(Data!B:B,A1281,Data!M:M)</f>
        <v>0.7923495287</v>
      </c>
      <c r="D1281" s="174">
        <f t="shared" si="1"/>
        <v>0.3961747643</v>
      </c>
      <c r="E1281" s="175">
        <f t="shared" si="2"/>
        <v>-1.9923408</v>
      </c>
      <c r="F1281" s="175">
        <f>IFERROR(__xludf.DUMMYFUNCTION("average.weighted(filter(Data!K:K,Data!B:B=A1281),filter(Data!F:F,Data!B:B=A1281))"),-1.8914630279418942)</f>
        <v>-1.891463028</v>
      </c>
      <c r="G1281" s="175">
        <f>IFERROR(__xludf.DUMMYFUNCTION("average.weighted(filter(Data!L:L,Data!B:B=A1281),filter(Data!F:F,Data!B:B=A1281))"),-0.10087777231708978)</f>
        <v>-0.1008777723</v>
      </c>
    </row>
    <row r="1282">
      <c r="A1282" s="172" t="s">
        <v>1514</v>
      </c>
      <c r="B1282" s="173">
        <f>countif(Data!B:B,A1282)</f>
        <v>3</v>
      </c>
      <c r="C1282" s="174">
        <f>sumif(Data!B:B,A1282,Data!M:M)</f>
        <v>0.3386308904</v>
      </c>
      <c r="D1282" s="174">
        <f t="shared" si="1"/>
        <v>0.1128769635</v>
      </c>
      <c r="E1282" s="175">
        <f t="shared" si="2"/>
        <v>-1.992489275</v>
      </c>
      <c r="F1282" s="175">
        <f>IFERROR(__xludf.DUMMYFUNCTION("average.weighted(filter(Data!K:K,Data!B:B=A1282),filter(Data!F:F,Data!B:B=A1282))"),-1.443506008940197)</f>
        <v>-1.443506009</v>
      </c>
      <c r="G1282" s="175">
        <f>IFERROR(__xludf.DUMMYFUNCTION("average.weighted(filter(Data!L:L,Data!B:B=A1282),filter(Data!F:F,Data!B:B=A1282))"),-0.5489832659925695)</f>
        <v>-0.548983266</v>
      </c>
    </row>
    <row r="1283">
      <c r="A1283" s="172" t="s">
        <v>1515</v>
      </c>
      <c r="B1283" s="173">
        <f>countif(Data!B:B,A1283)</f>
        <v>2</v>
      </c>
      <c r="C1283" s="174">
        <f>sumif(Data!B:B,A1283,Data!M:M)</f>
        <v>0.05653121263</v>
      </c>
      <c r="D1283" s="174">
        <f t="shared" si="1"/>
        <v>0.02826560631</v>
      </c>
      <c r="E1283" s="175">
        <f t="shared" si="2"/>
        <v>-1.992661477</v>
      </c>
      <c r="F1283" s="175">
        <f>IFERROR(__xludf.DUMMYFUNCTION("average.weighted(filter(Data!K:K,Data!B:B=A1283),filter(Data!F:F,Data!B:B=A1283))"),-1.5583065129448679)</f>
        <v>-1.558306513</v>
      </c>
      <c r="G1283" s="175">
        <f>IFERROR(__xludf.DUMMYFUNCTION("average.weighted(filter(Data!L:L,Data!B:B=A1283),filter(Data!F:F,Data!B:B=A1283))"),-0.43435496366885357)</f>
        <v>-0.4343549637</v>
      </c>
    </row>
    <row r="1284">
      <c r="A1284" s="172" t="s">
        <v>1516</v>
      </c>
      <c r="B1284" s="173">
        <f>countif(Data!B:B,A1284)</f>
        <v>4</v>
      </c>
      <c r="C1284" s="174">
        <f>sumif(Data!B:B,A1284,Data!M:M)</f>
        <v>0.990705403</v>
      </c>
      <c r="D1284" s="174">
        <f t="shared" si="1"/>
        <v>0.2476763508</v>
      </c>
      <c r="E1284" s="175">
        <f t="shared" si="2"/>
        <v>-2.001407583</v>
      </c>
      <c r="F1284" s="175">
        <f>IFERROR(__xludf.DUMMYFUNCTION("average.weighted(filter(Data!K:K,Data!B:B=A1284),filter(Data!F:F,Data!B:B=A1284))"),-1.225769427798781)</f>
        <v>-1.225769428</v>
      </c>
      <c r="G1284" s="175">
        <f>IFERROR(__xludf.DUMMYFUNCTION("average.weighted(filter(Data!L:L,Data!B:B=A1284),filter(Data!F:F,Data!B:B=A1284))"),-0.7756381551518121)</f>
        <v>-0.7756381552</v>
      </c>
    </row>
    <row r="1285">
      <c r="A1285" s="172" t="s">
        <v>1517</v>
      </c>
      <c r="B1285" s="173">
        <f>countif(Data!B:B,A1285)</f>
        <v>4</v>
      </c>
      <c r="C1285" s="174">
        <f>sumif(Data!B:B,A1285,Data!M:M)</f>
        <v>0.9192196438</v>
      </c>
      <c r="D1285" s="174">
        <f t="shared" si="1"/>
        <v>0.2298049109</v>
      </c>
      <c r="E1285" s="175">
        <f t="shared" si="2"/>
        <v>-1.977171085</v>
      </c>
      <c r="F1285" s="175">
        <f>IFERROR(__xludf.DUMMYFUNCTION("average.weighted(filter(Data!K:K,Data!B:B=A1285),filter(Data!F:F,Data!B:B=A1285))"),-1.1995588516984745)</f>
        <v>-1.199558852</v>
      </c>
      <c r="G1285" s="175">
        <f>IFERROR(__xludf.DUMMYFUNCTION("average.weighted(filter(Data!L:L,Data!B:B=A1285),filter(Data!F:F,Data!B:B=A1285))"),-0.7776122335177126)</f>
        <v>-0.7776122335</v>
      </c>
    </row>
    <row r="1286">
      <c r="A1286" s="172" t="s">
        <v>1518</v>
      </c>
      <c r="B1286" s="173">
        <f>countif(Data!B:B,A1286)</f>
        <v>4</v>
      </c>
      <c r="C1286" s="174">
        <f>sumif(Data!B:B,A1286,Data!M:M)</f>
        <v>0.6075515591</v>
      </c>
      <c r="D1286" s="174">
        <f t="shared" si="1"/>
        <v>0.1518878898</v>
      </c>
      <c r="E1286" s="175">
        <f t="shared" si="2"/>
        <v>-2.007789683</v>
      </c>
      <c r="F1286" s="175">
        <f>IFERROR(__xludf.DUMMYFUNCTION("average.weighted(filter(Data!K:K,Data!B:B=A1286),filter(Data!F:F,Data!B:B=A1286))"),-0.25764862152240575)</f>
        <v>-0.2576486215</v>
      </c>
      <c r="G1286" s="175">
        <f>IFERROR(__xludf.DUMMYFUNCTION("average.weighted(filter(Data!L:L,Data!B:B=A1286),filter(Data!F:F,Data!B:B=A1286))"),-1.7501410612379222)</f>
        <v>-1.750141061</v>
      </c>
    </row>
    <row r="1287">
      <c r="A1287" s="172" t="s">
        <v>1519</v>
      </c>
      <c r="B1287" s="173">
        <f>countif(Data!B:B,A1287)</f>
        <v>1</v>
      </c>
      <c r="C1287" s="174">
        <f>sumif(Data!B:B,A1287,Data!M:M)</f>
        <v>0.2060669532</v>
      </c>
      <c r="D1287" s="174">
        <f t="shared" si="1"/>
        <v>0.2060669532</v>
      </c>
      <c r="E1287" s="175">
        <f t="shared" si="2"/>
        <v>-2.01093078</v>
      </c>
      <c r="F1287" s="175">
        <f>IFERROR(__xludf.DUMMYFUNCTION("average.weighted(filter(Data!K:K,Data!B:B=A1287),filter(Data!F:F,Data!B:B=A1287))"),-1.24697564268136)</f>
        <v>-1.246975643</v>
      </c>
      <c r="G1287" s="175">
        <f>IFERROR(__xludf.DUMMYFUNCTION("average.weighted(filter(Data!L:L,Data!B:B=A1287),filter(Data!F:F,Data!B:B=A1287))"),-0.763955137267216)</f>
        <v>-0.7639551373</v>
      </c>
    </row>
    <row r="1288">
      <c r="A1288" s="172" t="s">
        <v>1520</v>
      </c>
      <c r="B1288" s="173">
        <f>countif(Data!B:B,A1288)</f>
        <v>2</v>
      </c>
      <c r="C1288" s="174">
        <f>sumif(Data!B:B,A1288,Data!M:M)</f>
        <v>0.05290120966</v>
      </c>
      <c r="D1288" s="174">
        <f t="shared" si="1"/>
        <v>0.02645060483</v>
      </c>
      <c r="E1288" s="175">
        <f t="shared" si="2"/>
        <v>-2.0118539</v>
      </c>
      <c r="F1288" s="175">
        <f>IFERROR(__xludf.DUMMYFUNCTION("average.weighted(filter(Data!K:K,Data!B:B=A1288),filter(Data!F:F,Data!B:B=A1288))"),-1.358980517772075)</f>
        <v>-1.358980518</v>
      </c>
      <c r="G1288" s="175">
        <f>IFERROR(__xludf.DUMMYFUNCTION("average.weighted(filter(Data!L:L,Data!B:B=A1288),filter(Data!F:F,Data!B:B=A1288))"),-0.652873382364744)</f>
        <v>-0.6528733824</v>
      </c>
    </row>
    <row r="1289">
      <c r="A1289" s="172" t="s">
        <v>1521</v>
      </c>
      <c r="B1289" s="173">
        <f>countif(Data!B:B,A1289)</f>
        <v>3</v>
      </c>
      <c r="C1289" s="174">
        <f>sumif(Data!B:B,A1289,Data!M:M)</f>
        <v>0.9497010036</v>
      </c>
      <c r="D1289" s="174">
        <f t="shared" si="1"/>
        <v>0.3165670012</v>
      </c>
      <c r="E1289" s="175">
        <f t="shared" si="2"/>
        <v>-2.012058579</v>
      </c>
      <c r="F1289" s="175">
        <f>IFERROR(__xludf.DUMMYFUNCTION("average.weighted(filter(Data!K:K,Data!B:B=A1289),filter(Data!F:F,Data!B:B=A1289))"),-1.8095508228161148)</f>
        <v>-1.809550823</v>
      </c>
      <c r="G1289" s="175">
        <f>IFERROR(__xludf.DUMMYFUNCTION("average.weighted(filter(Data!L:L,Data!B:B=A1289),filter(Data!F:F,Data!B:B=A1289))"),-0.20250775590341358)</f>
        <v>-0.2025077559</v>
      </c>
    </row>
    <row r="1290">
      <c r="A1290" s="172" t="s">
        <v>1522</v>
      </c>
      <c r="B1290" s="173">
        <f>countif(Data!B:B,A1290)</f>
        <v>1</v>
      </c>
      <c r="C1290" s="174">
        <f>sumif(Data!B:B,A1290,Data!M:M)</f>
        <v>0.1010067681</v>
      </c>
      <c r="D1290" s="174">
        <f t="shared" si="1"/>
        <v>0.1010067681</v>
      </c>
      <c r="E1290" s="175">
        <f t="shared" si="2"/>
        <v>-2.020893067</v>
      </c>
      <c r="F1290" s="175">
        <f>IFERROR(__xludf.DUMMYFUNCTION("average.weighted(filter(Data!K:K,Data!B:B=A1290),filter(Data!F:F,Data!B:B=A1290))"),-1.99965106677452)</f>
        <v>-1.999651067</v>
      </c>
      <c r="G1290" s="175">
        <f>IFERROR(__xludf.DUMMYFUNCTION("average.weighted(filter(Data!L:L,Data!B:B=A1290),filter(Data!F:F,Data!B:B=A1290))"),-0.0212420005224017)</f>
        <v>-0.02124200052</v>
      </c>
    </row>
    <row r="1291">
      <c r="A1291" s="172" t="s">
        <v>1523</v>
      </c>
      <c r="B1291" s="173">
        <f>countif(Data!B:B,A1291)</f>
        <v>8</v>
      </c>
      <c r="C1291" s="174">
        <f>sumif(Data!B:B,A1291,Data!M:M)</f>
        <v>2.021691451</v>
      </c>
      <c r="D1291" s="174">
        <f t="shared" si="1"/>
        <v>0.2527114314</v>
      </c>
      <c r="E1291" s="175">
        <f t="shared" si="2"/>
        <v>-2.040325383</v>
      </c>
      <c r="F1291" s="175">
        <f>IFERROR(__xludf.DUMMYFUNCTION("average.weighted(filter(Data!K:K,Data!B:B=A1291),filter(Data!F:F,Data!B:B=A1291))"),-1.2609562542643349)</f>
        <v>-1.260956254</v>
      </c>
      <c r="G1291" s="175">
        <f>IFERROR(__xludf.DUMMYFUNCTION("average.weighted(filter(Data!L:L,Data!B:B=A1291),filter(Data!F:F,Data!B:B=A1291))"),-0.7793691283795601)</f>
        <v>-0.7793691284</v>
      </c>
    </row>
    <row r="1292">
      <c r="A1292" s="172" t="s">
        <v>1524</v>
      </c>
      <c r="B1292" s="173">
        <f>countif(Data!B:B,A1292)</f>
        <v>2</v>
      </c>
      <c r="C1292" s="174">
        <f>sumif(Data!B:B,A1292,Data!M:M)</f>
        <v>0.06119672835</v>
      </c>
      <c r="D1292" s="174">
        <f t="shared" si="1"/>
        <v>0.03059836417</v>
      </c>
      <c r="E1292" s="175">
        <f t="shared" si="2"/>
        <v>-2.03267087</v>
      </c>
      <c r="F1292" s="175">
        <f>IFERROR(__xludf.DUMMYFUNCTION("average.weighted(filter(Data!K:K,Data!B:B=A1292),filter(Data!F:F,Data!B:B=A1292))"),-1.201154968108453)</f>
        <v>-1.201154968</v>
      </c>
      <c r="G1292" s="175">
        <f>IFERROR(__xludf.DUMMYFUNCTION("average.weighted(filter(Data!L:L,Data!B:B=A1292),filter(Data!F:F,Data!B:B=A1292))"),-0.8315159014001219)</f>
        <v>-0.8315159014</v>
      </c>
    </row>
    <row r="1293">
      <c r="A1293" s="172" t="s">
        <v>1525</v>
      </c>
      <c r="B1293" s="173">
        <f>countif(Data!B:B,A1293)</f>
        <v>3</v>
      </c>
      <c r="C1293" s="174">
        <f>sumif(Data!B:B,A1293,Data!M:M)</f>
        <v>0.1161403828</v>
      </c>
      <c r="D1293" s="174">
        <f t="shared" si="1"/>
        <v>0.03871346094</v>
      </c>
      <c r="E1293" s="175">
        <f t="shared" si="2"/>
        <v>-2.037745895</v>
      </c>
      <c r="F1293" s="175">
        <f>IFERROR(__xludf.DUMMYFUNCTION("average.weighted(filter(Data!K:K,Data!B:B=A1293),filter(Data!F:F,Data!B:B=A1293))"),-2.2485120524607147)</f>
        <v>-2.248512052</v>
      </c>
      <c r="G1293" s="175">
        <f>IFERROR(__xludf.DUMMYFUNCTION("average.weighted(filter(Data!L:L,Data!B:B=A1293),filter(Data!F:F,Data!B:B=A1293))"),0.2107661576611111)</f>
        <v>0.2107661577</v>
      </c>
    </row>
    <row r="1294">
      <c r="A1294" s="172" t="s">
        <v>1526</v>
      </c>
      <c r="B1294" s="173">
        <f>countif(Data!B:B,A1294)</f>
        <v>1</v>
      </c>
      <c r="C1294" s="174">
        <f>sumif(Data!B:B,A1294,Data!M:M)</f>
        <v>0.09859833771</v>
      </c>
      <c r="D1294" s="174">
        <f t="shared" si="1"/>
        <v>0.09859833771</v>
      </c>
      <c r="E1294" s="175">
        <f t="shared" si="2"/>
        <v>-2.0445136</v>
      </c>
      <c r="F1294" s="175">
        <f>IFERROR(__xludf.DUMMYFUNCTION("average.weighted(filter(Data!K:K,Data!B:B=A1294),filter(Data!F:F,Data!B:B=A1294))"),-2.18832109665916)</f>
        <v>-2.188321097</v>
      </c>
      <c r="G1294" s="175">
        <f>IFERROR(__xludf.DUMMYFUNCTION("average.weighted(filter(Data!L:L,Data!B:B=A1294),filter(Data!F:F,Data!B:B=A1294))"),0.14380749664589)</f>
        <v>0.1438074966</v>
      </c>
    </row>
    <row r="1295">
      <c r="A1295" s="172" t="s">
        <v>1527</v>
      </c>
      <c r="B1295" s="173">
        <f>countif(Data!B:B,A1295)</f>
        <v>4</v>
      </c>
      <c r="C1295" s="174">
        <f>sumif(Data!B:B,A1295,Data!M:M)</f>
        <v>0.4889815646</v>
      </c>
      <c r="D1295" s="174">
        <f t="shared" si="1"/>
        <v>0.1222453912</v>
      </c>
      <c r="E1295" s="175">
        <f t="shared" si="2"/>
        <v>-2.053377609</v>
      </c>
      <c r="F1295" s="175">
        <f>IFERROR(__xludf.DUMMYFUNCTION("average.weighted(filter(Data!K:K,Data!B:B=A1295),filter(Data!F:F,Data!B:B=A1295))"),-2.146686928926638)</f>
        <v>-2.146686929</v>
      </c>
      <c r="G1295" s="175">
        <f>IFERROR(__xludf.DUMMYFUNCTION("average.weighted(filter(Data!L:L,Data!B:B=A1295),filter(Data!F:F,Data!B:B=A1295))"),0.093309319444997)</f>
        <v>0.09330931944</v>
      </c>
    </row>
    <row r="1296">
      <c r="A1296" s="172" t="s">
        <v>1528</v>
      </c>
      <c r="B1296" s="173">
        <f>countif(Data!B:B,A1296)</f>
        <v>4</v>
      </c>
      <c r="C1296" s="174">
        <f>sumif(Data!B:B,A1296,Data!M:M)</f>
        <v>0.6236477518</v>
      </c>
      <c r="D1296" s="174">
        <f t="shared" si="1"/>
        <v>0.1559119379</v>
      </c>
      <c r="E1296" s="175">
        <f t="shared" si="2"/>
        <v>-2.059175662</v>
      </c>
      <c r="F1296" s="175">
        <f>IFERROR(__xludf.DUMMYFUNCTION("average.weighted(filter(Data!K:K,Data!B:B=A1296),filter(Data!F:F,Data!B:B=A1296))"),-2.181038981394994)</f>
        <v>-2.181038981</v>
      </c>
      <c r="G1296" s="175">
        <f>IFERROR(__xludf.DUMMYFUNCTION("average.weighted(filter(Data!L:L,Data!B:B=A1296),filter(Data!F:F,Data!B:B=A1296))"),0.12186331950684358)</f>
        <v>0.1218633195</v>
      </c>
    </row>
    <row r="1297">
      <c r="A1297" s="172" t="s">
        <v>1529</v>
      </c>
      <c r="B1297" s="173">
        <f>countif(Data!B:B,A1297)</f>
        <v>6</v>
      </c>
      <c r="C1297" s="174">
        <f>sumif(Data!B:B,A1297,Data!M:M)</f>
        <v>0.8859967957</v>
      </c>
      <c r="D1297" s="174">
        <f t="shared" si="1"/>
        <v>0.1476661326</v>
      </c>
      <c r="E1297" s="175">
        <f t="shared" si="2"/>
        <v>-2.062119226</v>
      </c>
      <c r="F1297" s="175">
        <f>IFERROR(__xludf.DUMMYFUNCTION("average.weighted(filter(Data!K:K,Data!B:B=A1297),filter(Data!F:F,Data!B:B=A1297))"),-1.6987034096486266)</f>
        <v>-1.69870341</v>
      </c>
      <c r="G1297" s="175">
        <f>IFERROR(__xludf.DUMMYFUNCTION("average.weighted(filter(Data!L:L,Data!B:B=A1297),filter(Data!F:F,Data!B:B=A1297))"),-0.363415816773695)</f>
        <v>-0.3634158168</v>
      </c>
    </row>
    <row r="1298">
      <c r="A1298" s="172" t="s">
        <v>1530</v>
      </c>
      <c r="B1298" s="173">
        <f>countif(Data!B:B,A1298)</f>
        <v>4</v>
      </c>
      <c r="C1298" s="174">
        <f>sumif(Data!B:B,A1298,Data!M:M)</f>
        <v>0.139139134</v>
      </c>
      <c r="D1298" s="174">
        <f t="shared" si="1"/>
        <v>0.03478478351</v>
      </c>
      <c r="E1298" s="175">
        <f t="shared" si="2"/>
        <v>-2.067175256</v>
      </c>
      <c r="F1298" s="175">
        <f>IFERROR(__xludf.DUMMYFUNCTION("average.weighted(filter(Data!K:K,Data!B:B=A1298),filter(Data!F:F,Data!B:B=A1298))"),-1.7638856197445254)</f>
        <v>-1.76388562</v>
      </c>
      <c r="G1298" s="175">
        <f>IFERROR(__xludf.DUMMYFUNCTION("average.weighted(filter(Data!L:L,Data!B:B=A1298),filter(Data!F:F,Data!B:B=A1298))"),-0.3032896363597188)</f>
        <v>-0.3032896364</v>
      </c>
    </row>
    <row r="1299">
      <c r="A1299" s="172" t="s">
        <v>1531</v>
      </c>
      <c r="B1299" s="173">
        <f>countif(Data!B:B,A1299)</f>
        <v>2</v>
      </c>
      <c r="C1299" s="174">
        <f>sumif(Data!B:B,A1299,Data!M:M)</f>
        <v>0.08503834196</v>
      </c>
      <c r="D1299" s="174">
        <f t="shared" si="1"/>
        <v>0.04251917098</v>
      </c>
      <c r="E1299" s="175">
        <f t="shared" si="2"/>
        <v>-2.067657612</v>
      </c>
      <c r="F1299" s="175">
        <f>IFERROR(__xludf.DUMMYFUNCTION("average.weighted(filter(Data!K:K,Data!B:B=A1299),filter(Data!F:F,Data!B:B=A1299))"),-1.6382381476913515)</f>
        <v>-1.638238148</v>
      </c>
      <c r="G1299" s="175">
        <f>IFERROR(__xludf.DUMMYFUNCTION("average.weighted(filter(Data!L:L,Data!B:B=A1299),filter(Data!F:F,Data!B:B=A1299))"),-0.42941946393537406)</f>
        <v>-0.4294194639</v>
      </c>
    </row>
    <row r="1300">
      <c r="A1300" s="172" t="s">
        <v>1532</v>
      </c>
      <c r="B1300" s="173">
        <f>countif(Data!B:B,A1300)</f>
        <v>1</v>
      </c>
      <c r="C1300" s="174">
        <f>sumif(Data!B:B,A1300,Data!M:M)</f>
        <v>0.02202986577</v>
      </c>
      <c r="D1300" s="174">
        <f t="shared" si="1"/>
        <v>0.02202986577</v>
      </c>
      <c r="E1300" s="175">
        <f t="shared" si="2"/>
        <v>-2.069382318</v>
      </c>
      <c r="F1300" s="175">
        <f>IFERROR(__xludf.DUMMYFUNCTION("average.weighted(filter(Data!K:K,Data!B:B=A1300),filter(Data!F:F,Data!B:B=A1300))"),-1.08856560368775)</f>
        <v>-1.088565604</v>
      </c>
      <c r="G1300" s="175">
        <f>IFERROR(__xludf.DUMMYFUNCTION("average.weighted(filter(Data!L:L,Data!B:B=A1300),filter(Data!F:F,Data!B:B=A1300))"),-0.980816714579261)</f>
        <v>-0.9808167146</v>
      </c>
    </row>
    <row r="1301">
      <c r="A1301" s="172" t="s">
        <v>1533</v>
      </c>
      <c r="B1301" s="173">
        <f>countif(Data!B:B,A1301)</f>
        <v>5</v>
      </c>
      <c r="C1301" s="174">
        <f>sumif(Data!B:B,A1301,Data!M:M)</f>
        <v>0.840016047</v>
      </c>
      <c r="D1301" s="174">
        <f t="shared" si="1"/>
        <v>0.1680032094</v>
      </c>
      <c r="E1301" s="175">
        <f t="shared" si="2"/>
        <v>-2.030737144</v>
      </c>
      <c r="F1301" s="175">
        <f>IFERROR(__xludf.DUMMYFUNCTION("average.weighted(filter(Data!K:K,Data!B:B=A1301),filter(Data!F:F,Data!B:B=A1301))"),-0.37770100275204427)</f>
        <v>-0.3777010028</v>
      </c>
      <c r="G1301" s="175">
        <f>IFERROR(__xludf.DUMMYFUNCTION("average.weighted(filter(Data!L:L,Data!B:B=A1301),filter(Data!F:F,Data!B:B=A1301))"),-1.653036141260525)</f>
        <v>-1.653036141</v>
      </c>
    </row>
    <row r="1302">
      <c r="A1302" s="172" t="s">
        <v>1534</v>
      </c>
      <c r="B1302" s="173">
        <f>countif(Data!B:B,A1302)</f>
        <v>2</v>
      </c>
      <c r="C1302" s="174">
        <f>sumif(Data!B:B,A1302,Data!M:M)</f>
        <v>-0.01973579453</v>
      </c>
      <c r="D1302" s="174">
        <f t="shared" si="1"/>
        <v>-0.009867897263</v>
      </c>
      <c r="E1302" s="175">
        <f t="shared" si="2"/>
        <v>-2.321385508</v>
      </c>
      <c r="F1302" s="175">
        <f>IFERROR(__xludf.DUMMYFUNCTION("average.weighted(filter(Data!K:K,Data!B:B=A1302),filter(Data!F:F,Data!B:B=A1302))"),-1.5215603047209043)</f>
        <v>-1.521560305</v>
      </c>
      <c r="G1302" s="175">
        <f>IFERROR(__xludf.DUMMYFUNCTION("average.weighted(filter(Data!L:L,Data!B:B=A1302),filter(Data!F:F,Data!B:B=A1302))"),-0.7998252027951721)</f>
        <v>-0.7998252028</v>
      </c>
    </row>
    <row r="1303">
      <c r="A1303" s="172" t="s">
        <v>1535</v>
      </c>
      <c r="B1303" s="173">
        <f>countif(Data!B:B,A1303)</f>
        <v>2</v>
      </c>
      <c r="C1303" s="174">
        <f>sumif(Data!B:B,A1303,Data!M:M)</f>
        <v>0.1951896638</v>
      </c>
      <c r="D1303" s="174">
        <f t="shared" si="1"/>
        <v>0.09759483188</v>
      </c>
      <c r="E1303" s="175">
        <f t="shared" si="2"/>
        <v>-1.959699207</v>
      </c>
      <c r="F1303" s="175">
        <f>IFERROR(__xludf.DUMMYFUNCTION("average.weighted(filter(Data!K:K,Data!B:B=A1303),filter(Data!F:F,Data!B:B=A1303))"),-1.8753860904475925)</f>
        <v>-1.87538609</v>
      </c>
      <c r="G1303" s="175">
        <f>IFERROR(__xludf.DUMMYFUNCTION("average.weighted(filter(Data!L:L,Data!B:B=A1303),filter(Data!F:F,Data!B:B=A1303))"),-0.084313116158347)</f>
        <v>-0.08431311616</v>
      </c>
    </row>
    <row r="1304">
      <c r="A1304" s="172" t="s">
        <v>1536</v>
      </c>
      <c r="B1304" s="173">
        <f>countif(Data!B:B,A1304)</f>
        <v>3</v>
      </c>
      <c r="C1304" s="174">
        <f>sumif(Data!B:B,A1304,Data!M:M)</f>
        <v>0.514575207</v>
      </c>
      <c r="D1304" s="174">
        <f t="shared" si="1"/>
        <v>0.171525069</v>
      </c>
      <c r="E1304" s="175">
        <f t="shared" si="2"/>
        <v>-1.843322786</v>
      </c>
      <c r="F1304" s="175">
        <f>IFERROR(__xludf.DUMMYFUNCTION("average.weighted(filter(Data!K:K,Data!B:B=A1304),filter(Data!F:F,Data!B:B=A1304))"),-0.5773537773681653)</f>
        <v>-0.5773537774</v>
      </c>
      <c r="G1304" s="175">
        <f>IFERROR(__xludf.DUMMYFUNCTION("average.weighted(filter(Data!L:L,Data!B:B=A1304),filter(Data!F:F,Data!B:B=A1304))"),-1.265969009052159)</f>
        <v>-1.265969009</v>
      </c>
    </row>
    <row r="1305">
      <c r="A1305" s="172" t="s">
        <v>1537</v>
      </c>
      <c r="B1305" s="173">
        <f>countif(Data!B:B,A1305)</f>
        <v>1</v>
      </c>
      <c r="C1305" s="174">
        <f>sumif(Data!B:B,A1305,Data!M:M)</f>
        <v>0.04974946611</v>
      </c>
      <c r="D1305" s="174">
        <f t="shared" si="1"/>
        <v>0.04974946611</v>
      </c>
      <c r="E1305" s="175">
        <f t="shared" si="2"/>
        <v>-0.9130963367</v>
      </c>
      <c r="F1305" s="175">
        <f>IFERROR(__xludf.DUMMYFUNCTION("average.weighted(filter(Data!K:K,Data!B:B=A1305),filter(Data!F:F,Data!B:B=A1305))"),-0.500603933722191)</f>
        <v>-0.5006039337</v>
      </c>
      <c r="G1305" s="175">
        <f>IFERROR(__xludf.DUMMYFUNCTION("average.weighted(filter(Data!L:L,Data!B:B=A1305),filter(Data!F:F,Data!B:B=A1305))"),-0.412492403022473)</f>
        <v>-0.412492403</v>
      </c>
    </row>
    <row r="1306">
      <c r="A1306" s="172" t="s">
        <v>1538</v>
      </c>
      <c r="B1306" s="173">
        <f>countif(Data!B:B,A1306)</f>
        <v>4</v>
      </c>
      <c r="C1306" s="174">
        <f>sumif(Data!B:B,A1306,Data!M:M)</f>
        <v>0.1472040556</v>
      </c>
      <c r="D1306" s="174">
        <f t="shared" si="1"/>
        <v>0.03680101391</v>
      </c>
      <c r="E1306" s="175">
        <f t="shared" si="2"/>
        <v>-2.029704212</v>
      </c>
      <c r="F1306" s="175">
        <f>IFERROR(__xludf.DUMMYFUNCTION("average.weighted(filter(Data!K:K,Data!B:B=A1306),filter(Data!F:F,Data!B:B=A1306))"),-1.459981249573793)</f>
        <v>-1.45998125</v>
      </c>
      <c r="G1306" s="175">
        <f>IFERROR(__xludf.DUMMYFUNCTION("average.weighted(filter(Data!L:L,Data!B:B=A1306),filter(Data!F:F,Data!B:B=A1306))"),-0.5697229628458245)</f>
        <v>-0.5697229628</v>
      </c>
    </row>
    <row r="1307">
      <c r="A1307" s="172" t="s">
        <v>1539</v>
      </c>
      <c r="B1307" s="173">
        <f>countif(Data!B:B,A1307)</f>
        <v>2</v>
      </c>
      <c r="C1307" s="174">
        <f>sumif(Data!B:B,A1307,Data!M:M)</f>
        <v>0.2507479812</v>
      </c>
      <c r="D1307" s="174">
        <f t="shared" si="1"/>
        <v>0.1253739906</v>
      </c>
      <c r="E1307" s="175">
        <f t="shared" si="2"/>
        <v>-2.095262346</v>
      </c>
      <c r="F1307" s="175">
        <f>IFERROR(__xludf.DUMMYFUNCTION("average.weighted(filter(Data!K:K,Data!B:B=A1307),filter(Data!F:F,Data!B:B=A1307))"),-1.5742487498157052)</f>
        <v>-1.57424875</v>
      </c>
      <c r="G1307" s="175">
        <f>IFERROR(__xludf.DUMMYFUNCTION("average.weighted(filter(Data!L:L,Data!B:B=A1307),filter(Data!F:F,Data!B:B=A1307))"),-0.521013596372794)</f>
        <v>-0.5210135964</v>
      </c>
    </row>
    <row r="1308">
      <c r="A1308" s="172" t="s">
        <v>1540</v>
      </c>
      <c r="B1308" s="173">
        <f>countif(Data!B:B,A1308)</f>
        <v>5</v>
      </c>
      <c r="C1308" s="174">
        <f>sumif(Data!B:B,A1308,Data!M:M)</f>
        <v>0.7461345302</v>
      </c>
      <c r="D1308" s="174">
        <f t="shared" si="1"/>
        <v>0.149226906</v>
      </c>
      <c r="E1308" s="175">
        <f t="shared" si="2"/>
        <v>-2.102642501</v>
      </c>
      <c r="F1308" s="175">
        <f>IFERROR(__xludf.DUMMYFUNCTION("average.weighted(filter(Data!K:K,Data!B:B=A1308),filter(Data!F:F,Data!B:B=A1308))"),-0.5369424117816599)</f>
        <v>-0.5369424118</v>
      </c>
      <c r="G1308" s="175">
        <f>IFERROR(__xludf.DUMMYFUNCTION("average.weighted(filter(Data!L:L,Data!B:B=A1308),filter(Data!F:F,Data!B:B=A1308))"),-1.5657000894167412)</f>
        <v>-1.565700089</v>
      </c>
    </row>
    <row r="1309">
      <c r="A1309" s="172" t="s">
        <v>1541</v>
      </c>
      <c r="B1309" s="173">
        <f>countif(Data!B:B,A1309)</f>
        <v>4</v>
      </c>
      <c r="C1309" s="174">
        <f>sumif(Data!B:B,A1309,Data!M:M)</f>
        <v>0.3706751443</v>
      </c>
      <c r="D1309" s="174">
        <f t="shared" si="1"/>
        <v>0.09266878607</v>
      </c>
      <c r="E1309" s="175">
        <f t="shared" si="2"/>
        <v>-2.113633851</v>
      </c>
      <c r="F1309" s="175">
        <f>IFERROR(__xludf.DUMMYFUNCTION("average.weighted(filter(Data!K:K,Data!B:B=A1309),filter(Data!F:F,Data!B:B=A1309))"),-1.2836298972122948)</f>
        <v>-1.283629897</v>
      </c>
      <c r="G1309" s="175">
        <f>IFERROR(__xludf.DUMMYFUNCTION("average.weighted(filter(Data!L:L,Data!B:B=A1309),filter(Data!F:F,Data!B:B=A1309))"),-0.8300039534519931)</f>
        <v>-0.8300039535</v>
      </c>
    </row>
    <row r="1310">
      <c r="A1310" s="172" t="s">
        <v>1542</v>
      </c>
      <c r="B1310" s="173">
        <f>countif(Data!B:B,A1310)</f>
        <v>5</v>
      </c>
      <c r="C1310" s="174">
        <f>sumif(Data!B:B,A1310,Data!M:M)</f>
        <v>0.8800186054</v>
      </c>
      <c r="D1310" s="174">
        <f t="shared" si="1"/>
        <v>0.1760037211</v>
      </c>
      <c r="E1310" s="175">
        <f t="shared" si="2"/>
        <v>-2.119275251</v>
      </c>
      <c r="F1310" s="175">
        <f>IFERROR(__xludf.DUMMYFUNCTION("average.weighted(filter(Data!K:K,Data!B:B=A1310),filter(Data!F:F,Data!B:B=A1310))"),-0.9519924974130857)</f>
        <v>-0.9519924974</v>
      </c>
      <c r="G1310" s="175">
        <f>IFERROR(__xludf.DUMMYFUNCTION("average.weighted(filter(Data!L:L,Data!B:B=A1310),filter(Data!F:F,Data!B:B=A1310))"),-1.1672827537930106)</f>
        <v>-1.167282754</v>
      </c>
    </row>
    <row r="1311">
      <c r="A1311" s="172" t="s">
        <v>1543</v>
      </c>
      <c r="B1311" s="173">
        <f>countif(Data!B:B,A1311)</f>
        <v>7</v>
      </c>
      <c r="C1311" s="174">
        <f>sumif(Data!B:B,A1311,Data!M:M)</f>
        <v>0.5037489266</v>
      </c>
      <c r="D1311" s="174">
        <f t="shared" si="1"/>
        <v>0.07196413237</v>
      </c>
      <c r="E1311" s="175">
        <f t="shared" si="2"/>
        <v>-2.1636728</v>
      </c>
      <c r="F1311" s="175">
        <f>IFERROR(__xludf.DUMMYFUNCTION("average.weighted(filter(Data!K:K,Data!B:B=A1311),filter(Data!F:F,Data!B:B=A1311))"),-1.4997847929608046)</f>
        <v>-1.499784793</v>
      </c>
      <c r="G1311" s="175">
        <f>IFERROR(__xludf.DUMMYFUNCTION("average.weighted(filter(Data!L:L,Data!B:B=A1311),filter(Data!F:F,Data!B:B=A1311))"),-0.6638880070616455)</f>
        <v>-0.6638880071</v>
      </c>
    </row>
    <row r="1312">
      <c r="A1312" s="172" t="s">
        <v>1544</v>
      </c>
      <c r="B1312" s="173">
        <f>countif(Data!B:B,A1312)</f>
        <v>1</v>
      </c>
      <c r="C1312" s="174">
        <f>sumif(Data!B:B,A1312,Data!M:M)</f>
        <v>0.04682873825</v>
      </c>
      <c r="D1312" s="174">
        <f t="shared" si="1"/>
        <v>0.04682873825</v>
      </c>
      <c r="E1312" s="175">
        <f t="shared" si="2"/>
        <v>-2.132458513</v>
      </c>
      <c r="F1312" s="175">
        <f>IFERROR(__xludf.DUMMYFUNCTION("average.weighted(filter(Data!K:K,Data!B:B=A1312),filter(Data!F:F,Data!B:B=A1312))"),-0.773570770707257)</f>
        <v>-0.7735707707</v>
      </c>
      <c r="G1312" s="175">
        <f>IFERROR(__xludf.DUMMYFUNCTION("average.weighted(filter(Data!L:L,Data!B:B=A1312),filter(Data!F:F,Data!B:B=A1312))"),-1.35888774208517)</f>
        <v>-1.358887742</v>
      </c>
    </row>
    <row r="1313">
      <c r="A1313" s="172" t="s">
        <v>1545</v>
      </c>
      <c r="B1313" s="173">
        <f>countif(Data!B:B,A1313)</f>
        <v>2</v>
      </c>
      <c r="C1313" s="174">
        <f>sumif(Data!B:B,A1313,Data!M:M)</f>
        <v>0.3170097304</v>
      </c>
      <c r="D1313" s="174">
        <f t="shared" si="1"/>
        <v>0.1585048652</v>
      </c>
      <c r="E1313" s="175">
        <f t="shared" si="2"/>
        <v>-2.095017571</v>
      </c>
      <c r="F1313" s="175">
        <f>IFERROR(__xludf.DUMMYFUNCTION("average.weighted(filter(Data!K:K,Data!B:B=A1313),filter(Data!F:F,Data!B:B=A1313))"),-0.345986174392361)</f>
        <v>-0.3459861744</v>
      </c>
      <c r="G1313" s="175">
        <f>IFERROR(__xludf.DUMMYFUNCTION("average.weighted(filter(Data!L:L,Data!B:B=A1313),filter(Data!F:F,Data!B:B=A1313))"),-1.7490313963993085)</f>
        <v>-1.749031396</v>
      </c>
    </row>
    <row r="1314">
      <c r="A1314" s="172" t="s">
        <v>1546</v>
      </c>
      <c r="B1314" s="173">
        <f>countif(Data!B:B,A1314)</f>
        <v>4</v>
      </c>
      <c r="C1314" s="174">
        <f>sumif(Data!B:B,A1314,Data!M:M)</f>
        <v>0.3729613066</v>
      </c>
      <c r="D1314" s="174">
        <f t="shared" si="1"/>
        <v>0.09324032666</v>
      </c>
      <c r="E1314" s="175">
        <f t="shared" si="2"/>
        <v>-2.139135901</v>
      </c>
      <c r="F1314" s="175">
        <f>IFERROR(__xludf.DUMMYFUNCTION("average.weighted(filter(Data!K:K,Data!B:B=A1314),filter(Data!F:F,Data!B:B=A1314))"),-2.175984926038811)</f>
        <v>-2.175984926</v>
      </c>
      <c r="G1314" s="175">
        <f>IFERROR(__xludf.DUMMYFUNCTION("average.weighted(filter(Data!L:L,Data!B:B=A1314),filter(Data!F:F,Data!B:B=A1314))"),0.03684902543548423)</f>
        <v>0.03684902544</v>
      </c>
    </row>
    <row r="1315">
      <c r="A1315" s="172" t="s">
        <v>1547</v>
      </c>
      <c r="B1315" s="173">
        <f>countif(Data!B:B,A1315)</f>
        <v>1</v>
      </c>
      <c r="C1315" s="174">
        <f>sumif(Data!B:B,A1315,Data!M:M)</f>
        <v>0.04952061817</v>
      </c>
      <c r="D1315" s="174">
        <f t="shared" si="1"/>
        <v>0.04952061817</v>
      </c>
      <c r="E1315" s="175">
        <f t="shared" si="2"/>
        <v>-1.797867954</v>
      </c>
      <c r="F1315" s="175">
        <f>IFERROR(__xludf.DUMMYFUNCTION("average.weighted(filter(Data!K:K,Data!B:B=A1315),filter(Data!F:F,Data!B:B=A1315))"),-1.00898712449755)</f>
        <v>-1.008987124</v>
      </c>
      <c r="G1315" s="175">
        <f>IFERROR(__xludf.DUMMYFUNCTION("average.weighted(filter(Data!L:L,Data!B:B=A1315),filter(Data!F:F,Data!B:B=A1315))"),-0.788880829449892)</f>
        <v>-0.7888808294</v>
      </c>
    </row>
    <row r="1316">
      <c r="A1316" s="172" t="s">
        <v>1548</v>
      </c>
      <c r="B1316" s="173">
        <f>countif(Data!B:B,A1316)</f>
        <v>4</v>
      </c>
      <c r="C1316" s="174">
        <f>sumif(Data!B:B,A1316,Data!M:M)</f>
        <v>0.2936413349</v>
      </c>
      <c r="D1316" s="174">
        <f t="shared" si="1"/>
        <v>0.07341033373</v>
      </c>
      <c r="E1316" s="175">
        <f t="shared" si="2"/>
        <v>-2.149676283</v>
      </c>
      <c r="F1316" s="175">
        <f>IFERROR(__xludf.DUMMYFUNCTION("average.weighted(filter(Data!K:K,Data!B:B=A1316),filter(Data!F:F,Data!B:B=A1316))"),-0.7769549619367242)</f>
        <v>-0.7769549619</v>
      </c>
      <c r="G1316" s="175">
        <f>IFERROR(__xludf.DUMMYFUNCTION("average.weighted(filter(Data!L:L,Data!B:B=A1316),filter(Data!F:F,Data!B:B=A1316))"),-1.3727213209014246)</f>
        <v>-1.372721321</v>
      </c>
    </row>
    <row r="1317">
      <c r="A1317" s="172" t="s">
        <v>1549</v>
      </c>
      <c r="B1317" s="173">
        <f>countif(Data!B:B,A1317)</f>
        <v>7</v>
      </c>
      <c r="C1317" s="174">
        <f>sumif(Data!B:B,A1317,Data!M:M)</f>
        <v>1.25223038</v>
      </c>
      <c r="D1317" s="174">
        <f t="shared" si="1"/>
        <v>0.1788900544</v>
      </c>
      <c r="E1317" s="175">
        <f t="shared" si="2"/>
        <v>-2.097372535</v>
      </c>
      <c r="F1317" s="175">
        <f>IFERROR(__xludf.DUMMYFUNCTION("average.weighted(filter(Data!K:K,Data!B:B=A1317),filter(Data!F:F,Data!B:B=A1317))"),-0.5677487867226856)</f>
        <v>-0.5677487867</v>
      </c>
      <c r="G1317" s="175">
        <f>IFERROR(__xludf.DUMMYFUNCTION("average.weighted(filter(Data!L:L,Data!B:B=A1317),filter(Data!F:F,Data!B:B=A1317))"),-1.5296237478162833)</f>
        <v>-1.529623748</v>
      </c>
    </row>
    <row r="1318">
      <c r="A1318" s="172" t="s">
        <v>1550</v>
      </c>
      <c r="B1318" s="173">
        <f>countif(Data!B:B,A1318)</f>
        <v>1</v>
      </c>
      <c r="C1318" s="174">
        <f>sumif(Data!B:B,A1318,Data!M:M)</f>
        <v>0.0166638029</v>
      </c>
      <c r="D1318" s="174">
        <f t="shared" si="1"/>
        <v>0.0166638029</v>
      </c>
      <c r="E1318" s="175">
        <f t="shared" si="2"/>
        <v>-2.156916351</v>
      </c>
      <c r="F1318" s="175">
        <f>IFERROR(__xludf.DUMMYFUNCTION("average.weighted(filter(Data!K:K,Data!B:B=A1318),filter(Data!F:F,Data!B:B=A1318))"),-1.90834502461125)</f>
        <v>-1.908345025</v>
      </c>
      <c r="G1318" s="175">
        <f>IFERROR(__xludf.DUMMYFUNCTION("average.weighted(filter(Data!L:L,Data!B:B=A1318),filter(Data!F:F,Data!B:B=A1318))"),-0.248571326043099)</f>
        <v>-0.248571326</v>
      </c>
    </row>
    <row r="1319">
      <c r="A1319" s="172" t="s">
        <v>1551</v>
      </c>
      <c r="B1319" s="173">
        <f>countif(Data!B:B,A1319)</f>
        <v>7</v>
      </c>
      <c r="C1319" s="174">
        <f>sumif(Data!B:B,A1319,Data!M:M)</f>
        <v>0.5187349536</v>
      </c>
      <c r="D1319" s="174">
        <f t="shared" si="1"/>
        <v>0.07410499336</v>
      </c>
      <c r="E1319" s="175">
        <f t="shared" si="2"/>
        <v>-2.157542433</v>
      </c>
      <c r="F1319" s="175">
        <f>IFERROR(__xludf.DUMMYFUNCTION("average.weighted(filter(Data!K:K,Data!B:B=A1319),filter(Data!F:F,Data!B:B=A1319))"),-0.12368627711852102)</f>
        <v>-0.1236862771</v>
      </c>
      <c r="G1319" s="175">
        <f>IFERROR(__xludf.DUMMYFUNCTION("average.weighted(filter(Data!L:L,Data!B:B=A1319),filter(Data!F:F,Data!B:B=A1319))"),-2.033856156145318)</f>
        <v>-2.033856156</v>
      </c>
    </row>
    <row r="1320">
      <c r="A1320" s="172" t="s">
        <v>1552</v>
      </c>
      <c r="B1320" s="173">
        <f>countif(Data!B:B,A1320)</f>
        <v>2</v>
      </c>
      <c r="C1320" s="174">
        <f>sumif(Data!B:B,A1320,Data!M:M)</f>
        <v>0.07949424413</v>
      </c>
      <c r="D1320" s="174">
        <f t="shared" si="1"/>
        <v>0.03974712206</v>
      </c>
      <c r="E1320" s="175">
        <f t="shared" si="2"/>
        <v>-2.161649157</v>
      </c>
      <c r="F1320" s="175">
        <f>IFERROR(__xludf.DUMMYFUNCTION("average.weighted(filter(Data!K:K,Data!B:B=A1320),filter(Data!F:F,Data!B:B=A1320))"),-1.8329095669347037)</f>
        <v>-1.832909567</v>
      </c>
      <c r="G1320" s="175">
        <f>IFERROR(__xludf.DUMMYFUNCTION("average.weighted(filter(Data!L:L,Data!B:B=A1320),filter(Data!F:F,Data!B:B=A1320))"),-0.3287395897055963)</f>
        <v>-0.3287395897</v>
      </c>
    </row>
    <row r="1321">
      <c r="A1321" s="172" t="s">
        <v>1553</v>
      </c>
      <c r="B1321" s="173">
        <f>countif(Data!B:B,A1321)</f>
        <v>2</v>
      </c>
      <c r="C1321" s="174">
        <f>sumif(Data!B:B,A1321,Data!M:M)</f>
        <v>0.09678325861</v>
      </c>
      <c r="D1321" s="174">
        <f t="shared" si="1"/>
        <v>0.04839162931</v>
      </c>
      <c r="E1321" s="175">
        <f t="shared" si="2"/>
        <v>-2.167101824</v>
      </c>
      <c r="F1321" s="175">
        <f>IFERROR(__xludf.DUMMYFUNCTION("average.weighted(filter(Data!K:K,Data!B:B=A1321),filter(Data!F:F,Data!B:B=A1321))"),-3.6104474056745155)</f>
        <v>-3.610447406</v>
      </c>
      <c r="G1321" s="175">
        <f>IFERROR(__xludf.DUMMYFUNCTION("average.weighted(filter(Data!L:L,Data!B:B=A1321),filter(Data!F:F,Data!B:B=A1321))"),1.4433455816977883)</f>
        <v>1.443345582</v>
      </c>
    </row>
    <row r="1322">
      <c r="A1322" s="172" t="s">
        <v>1554</v>
      </c>
      <c r="B1322" s="173">
        <f>countif(Data!B:B,A1322)</f>
        <v>3</v>
      </c>
      <c r="C1322" s="174">
        <f>sumif(Data!B:B,A1322,Data!M:M)</f>
        <v>0.2639016391</v>
      </c>
      <c r="D1322" s="174">
        <f t="shared" si="1"/>
        <v>0.08796721302</v>
      </c>
      <c r="E1322" s="175">
        <f t="shared" si="2"/>
        <v>-2.170228164</v>
      </c>
      <c r="F1322" s="175">
        <f>IFERROR(__xludf.DUMMYFUNCTION("average.weighted(filter(Data!K:K,Data!B:B=A1322),filter(Data!F:F,Data!B:B=A1322))"),-1.6553494536237103)</f>
        <v>-1.655349454</v>
      </c>
      <c r="G1322" s="175">
        <f>IFERROR(__xludf.DUMMYFUNCTION("average.weighted(filter(Data!L:L,Data!B:B=A1322),filter(Data!F:F,Data!B:B=A1322))"),-0.5148787105767193)</f>
        <v>-0.5148787106</v>
      </c>
    </row>
    <row r="1323">
      <c r="A1323" s="172" t="s">
        <v>1555</v>
      </c>
      <c r="B1323" s="173">
        <f>countif(Data!B:B,A1323)</f>
        <v>6</v>
      </c>
      <c r="C1323" s="174">
        <f>sumif(Data!B:B,A1323,Data!M:M)</f>
        <v>0.353477602</v>
      </c>
      <c r="D1323" s="174">
        <f t="shared" si="1"/>
        <v>0.05891293366</v>
      </c>
      <c r="E1323" s="175">
        <f t="shared" si="2"/>
        <v>-2.167910764</v>
      </c>
      <c r="F1323" s="175">
        <f>IFERROR(__xludf.DUMMYFUNCTION("average.weighted(filter(Data!K:K,Data!B:B=A1323),filter(Data!F:F,Data!B:B=A1323))"),-1.5137514847640983)</f>
        <v>-1.513751485</v>
      </c>
      <c r="G1323" s="175">
        <f>IFERROR(__xludf.DUMMYFUNCTION("average.weighted(filter(Data!L:L,Data!B:B=A1323),filter(Data!F:F,Data!B:B=A1323))"),-0.6541592788107495)</f>
        <v>-0.6541592788</v>
      </c>
    </row>
    <row r="1324">
      <c r="A1324" s="172" t="s">
        <v>1556</v>
      </c>
      <c r="B1324" s="173">
        <f>countif(Data!B:B,A1324)</f>
        <v>2</v>
      </c>
      <c r="C1324" s="174">
        <f>sumif(Data!B:B,A1324,Data!M:M)</f>
        <v>0.01941296862</v>
      </c>
      <c r="D1324" s="174">
        <f t="shared" si="1"/>
        <v>0.009706484312</v>
      </c>
      <c r="E1324" s="175">
        <f t="shared" si="2"/>
        <v>-2.196871917</v>
      </c>
      <c r="F1324" s="175">
        <f>IFERROR(__xludf.DUMMYFUNCTION("average.weighted(filter(Data!K:K,Data!B:B=A1324),filter(Data!F:F,Data!B:B=A1324))"),-1.6094771177915674)</f>
        <v>-1.609477118</v>
      </c>
      <c r="G1324" s="175">
        <f>IFERROR(__xludf.DUMMYFUNCTION("average.weighted(filter(Data!L:L,Data!B:B=A1324),filter(Data!F:F,Data!B:B=A1324))"),-0.5873947992824688)</f>
        <v>-0.5873947993</v>
      </c>
    </row>
    <row r="1325">
      <c r="A1325" s="172" t="s">
        <v>1557</v>
      </c>
      <c r="B1325" s="173">
        <f>countif(Data!B:B,A1325)</f>
        <v>2</v>
      </c>
      <c r="C1325" s="174">
        <f>sumif(Data!B:B,A1325,Data!M:M)</f>
        <v>0.2106736779</v>
      </c>
      <c r="D1325" s="174">
        <f t="shared" si="1"/>
        <v>0.105336839</v>
      </c>
      <c r="E1325" s="175">
        <f t="shared" si="2"/>
        <v>-2.156750883</v>
      </c>
      <c r="F1325" s="175">
        <f>IFERROR(__xludf.DUMMYFUNCTION("average.weighted(filter(Data!K:K,Data!B:B=A1325),filter(Data!F:F,Data!B:B=A1325))"),-0.7578540658574333)</f>
        <v>-0.7578540659</v>
      </c>
      <c r="G1325" s="175">
        <f>IFERROR(__xludf.DUMMYFUNCTION("average.weighted(filter(Data!L:L,Data!B:B=A1325),filter(Data!F:F,Data!B:B=A1325))"),-1.3988968172583782)</f>
        <v>-1.398896817</v>
      </c>
    </row>
    <row r="1326">
      <c r="A1326" s="172" t="s">
        <v>1558</v>
      </c>
      <c r="B1326" s="173">
        <f>countif(Data!B:B,A1326)</f>
        <v>3</v>
      </c>
      <c r="C1326" s="174">
        <f>sumif(Data!B:B,A1326,Data!M:M)</f>
        <v>0.08697657121</v>
      </c>
      <c r="D1326" s="174">
        <f t="shared" si="1"/>
        <v>0.0289921904</v>
      </c>
      <c r="E1326" s="175">
        <f t="shared" si="2"/>
        <v>-2.215890669</v>
      </c>
      <c r="F1326" s="175">
        <f>IFERROR(__xludf.DUMMYFUNCTION("average.weighted(filter(Data!K:K,Data!B:B=A1326),filter(Data!F:F,Data!B:B=A1326))"),-2.790896449208623)</f>
        <v>-2.790896449</v>
      </c>
      <c r="G1326" s="175">
        <f>IFERROR(__xludf.DUMMYFUNCTION("average.weighted(filter(Data!L:L,Data!B:B=A1326),filter(Data!F:F,Data!B:B=A1326))"),0.575005779824001)</f>
        <v>0.5750057798</v>
      </c>
    </row>
    <row r="1327">
      <c r="A1327" s="172" t="s">
        <v>1559</v>
      </c>
      <c r="B1327" s="173">
        <f>countif(Data!B:B,A1327)</f>
        <v>4</v>
      </c>
      <c r="C1327" s="174">
        <f>sumif(Data!B:B,A1327,Data!M:M)</f>
        <v>0.1675635017</v>
      </c>
      <c r="D1327" s="174">
        <f t="shared" si="1"/>
        <v>0.04189087543</v>
      </c>
      <c r="E1327" s="175">
        <f t="shared" si="2"/>
        <v>-2.216845125</v>
      </c>
      <c r="F1327" s="175">
        <f>IFERROR(__xludf.DUMMYFUNCTION("average.weighted(filter(Data!K:K,Data!B:B=A1327),filter(Data!F:F,Data!B:B=A1327))"),-2.526070030979356)</f>
        <v>-2.526070031</v>
      </c>
      <c r="G1327" s="175">
        <f>IFERROR(__xludf.DUMMYFUNCTION("average.weighted(filter(Data!L:L,Data!B:B=A1327),filter(Data!F:F,Data!B:B=A1327))"),0.30922490646677614)</f>
        <v>0.3092249065</v>
      </c>
    </row>
    <row r="1328">
      <c r="A1328" s="172" t="s">
        <v>1560</v>
      </c>
      <c r="B1328" s="173">
        <f>countif(Data!B:B,A1328)</f>
        <v>2</v>
      </c>
      <c r="C1328" s="174">
        <f>sumif(Data!B:B,A1328,Data!M:M)</f>
        <v>0.08544831173</v>
      </c>
      <c r="D1328" s="174">
        <f t="shared" si="1"/>
        <v>0.04272415587</v>
      </c>
      <c r="E1328" s="175">
        <f t="shared" si="2"/>
        <v>-2.233873459</v>
      </c>
      <c r="F1328" s="175">
        <f>IFERROR(__xludf.DUMMYFUNCTION("average.weighted(filter(Data!K:K,Data!B:B=A1328),filter(Data!F:F,Data!B:B=A1328))"),-1.235217613411112)</f>
        <v>-1.235217613</v>
      </c>
      <c r="G1328" s="175">
        <f>IFERROR(__xludf.DUMMYFUNCTION("average.weighted(filter(Data!L:L,Data!B:B=A1328),filter(Data!F:F,Data!B:B=A1328))"),-0.9986558453658421)</f>
        <v>-0.9986558454</v>
      </c>
    </row>
    <row r="1329">
      <c r="A1329" s="172" t="s">
        <v>1561</v>
      </c>
      <c r="B1329" s="173">
        <f>countif(Data!B:B,A1329)</f>
        <v>2</v>
      </c>
      <c r="C1329" s="174">
        <f>sumif(Data!B:B,A1329,Data!M:M)</f>
        <v>0.03344286276</v>
      </c>
      <c r="D1329" s="174">
        <f t="shared" si="1"/>
        <v>0.01672143138</v>
      </c>
      <c r="E1329" s="175">
        <f t="shared" si="2"/>
        <v>-2.1902717</v>
      </c>
      <c r="F1329" s="175">
        <f>IFERROR(__xludf.DUMMYFUNCTION("average.weighted(filter(Data!K:K,Data!B:B=A1329),filter(Data!F:F,Data!B:B=A1329))"),-1.7790180704932292)</f>
        <v>-1.77901807</v>
      </c>
      <c r="G1329" s="175">
        <f>IFERROR(__xludf.DUMMYFUNCTION("average.weighted(filter(Data!L:L,Data!B:B=A1329),filter(Data!F:F,Data!B:B=A1329))"),-0.41125362994136566)</f>
        <v>-0.4112536299</v>
      </c>
    </row>
    <row r="1330">
      <c r="A1330" s="172" t="s">
        <v>1562</v>
      </c>
      <c r="B1330" s="173">
        <f>countif(Data!B:B,A1330)</f>
        <v>4</v>
      </c>
      <c r="C1330" s="174">
        <f>sumif(Data!B:B,A1330,Data!M:M)</f>
        <v>0.2249139455</v>
      </c>
      <c r="D1330" s="174">
        <f t="shared" si="1"/>
        <v>0.05622848638</v>
      </c>
      <c r="E1330" s="175">
        <f t="shared" si="2"/>
        <v>-2.235816655</v>
      </c>
      <c r="F1330" s="175">
        <f>IFERROR(__xludf.DUMMYFUNCTION("average.weighted(filter(Data!K:K,Data!B:B=A1330),filter(Data!F:F,Data!B:B=A1330))"),-1.5833548288684207)</f>
        <v>-1.583354829</v>
      </c>
      <c r="G1330" s="175">
        <f>IFERROR(__xludf.DUMMYFUNCTION("average.weighted(filter(Data!L:L,Data!B:B=A1330),filter(Data!F:F,Data!B:B=A1330))"),-0.6524618263989616)</f>
        <v>-0.6524618264</v>
      </c>
    </row>
    <row r="1331">
      <c r="A1331" s="172" t="s">
        <v>1563</v>
      </c>
      <c r="B1331" s="173">
        <f>countif(Data!B:B,A1331)</f>
        <v>3</v>
      </c>
      <c r="C1331" s="174">
        <f>sumif(Data!B:B,A1331,Data!M:M)</f>
        <v>0.1451233094</v>
      </c>
      <c r="D1331" s="174">
        <f t="shared" si="1"/>
        <v>0.04837443645</v>
      </c>
      <c r="E1331" s="175">
        <f t="shared" si="2"/>
        <v>-2.159159789</v>
      </c>
      <c r="F1331" s="175">
        <f>IFERROR(__xludf.DUMMYFUNCTION("average.weighted(filter(Data!K:K,Data!B:B=A1331),filter(Data!F:F,Data!B:B=A1331))"),-1.697253136278093)</f>
        <v>-1.697253136</v>
      </c>
      <c r="G1331" s="175">
        <f>IFERROR(__xludf.DUMMYFUNCTION("average.weighted(filter(Data!L:L,Data!B:B=A1331),filter(Data!F:F,Data!B:B=A1331))"),-0.461906652334962)</f>
        <v>-0.4619066523</v>
      </c>
    </row>
    <row r="1332">
      <c r="A1332" s="172" t="s">
        <v>1564</v>
      </c>
      <c r="B1332" s="173">
        <f>countif(Data!B:B,A1332)</f>
        <v>3</v>
      </c>
      <c r="C1332" s="174">
        <f>sumif(Data!B:B,A1332,Data!M:M)</f>
        <v>0.006828255492</v>
      </c>
      <c r="D1332" s="174">
        <f t="shared" si="1"/>
        <v>0.002276085164</v>
      </c>
      <c r="E1332" s="175">
        <f t="shared" si="2"/>
        <v>-2.253438593</v>
      </c>
      <c r="F1332" s="175">
        <f>IFERROR(__xludf.DUMMYFUNCTION("average.weighted(filter(Data!K:K,Data!B:B=A1332),filter(Data!F:F,Data!B:B=A1332))"),-1.3407548989181368)</f>
        <v>-1.340754899</v>
      </c>
      <c r="G1332" s="175">
        <f>IFERROR(__xludf.DUMMYFUNCTION("average.weighted(filter(Data!L:L,Data!B:B=A1332),filter(Data!F:F,Data!B:B=A1332))"),-0.9126836937931864)</f>
        <v>-0.9126836938</v>
      </c>
    </row>
    <row r="1333">
      <c r="A1333" s="172" t="s">
        <v>1565</v>
      </c>
      <c r="B1333" s="173">
        <f>countif(Data!B:B,A1333)</f>
        <v>5</v>
      </c>
      <c r="C1333" s="174">
        <f>sumif(Data!B:B,A1333,Data!M:M)</f>
        <v>0.2211633781</v>
      </c>
      <c r="D1333" s="174">
        <f t="shared" si="1"/>
        <v>0.04423267563</v>
      </c>
      <c r="E1333" s="175">
        <f t="shared" si="2"/>
        <v>-2.257222886</v>
      </c>
      <c r="F1333" s="175">
        <f>IFERROR(__xludf.DUMMYFUNCTION("average.weighted(filter(Data!K:K,Data!B:B=A1333),filter(Data!F:F,Data!B:B=A1333))"),-1.658418938418145)</f>
        <v>-1.658418938</v>
      </c>
      <c r="G1333" s="175">
        <f>IFERROR(__xludf.DUMMYFUNCTION("average.weighted(filter(Data!L:L,Data!B:B=A1333),filter(Data!F:F,Data!B:B=A1333))"),-0.5988039480504472)</f>
        <v>-0.5988039481</v>
      </c>
    </row>
    <row r="1334">
      <c r="A1334" s="172" t="s">
        <v>1566</v>
      </c>
      <c r="B1334" s="173">
        <f>countif(Data!B:B,A1334)</f>
        <v>2</v>
      </c>
      <c r="C1334" s="174">
        <f>sumif(Data!B:B,A1334,Data!M:M)</f>
        <v>0.4587472966</v>
      </c>
      <c r="D1334" s="174">
        <f t="shared" si="1"/>
        <v>0.2293736483</v>
      </c>
      <c r="E1334" s="175">
        <f t="shared" si="2"/>
        <v>-0.9193537143</v>
      </c>
      <c r="F1334" s="175">
        <f>IFERROR(__xludf.DUMMYFUNCTION("average.weighted(filter(Data!K:K,Data!B:B=A1334),filter(Data!F:F,Data!B:B=A1334))"),-1.0133031808076784)</f>
        <v>-1.013303181</v>
      </c>
      <c r="G1334" s="175">
        <f>IFERROR(__xludf.DUMMYFUNCTION("average.weighted(filter(Data!L:L,Data!B:B=A1334),filter(Data!F:F,Data!B:B=A1334))"),0.09394946654664546)</f>
        <v>0.09394946655</v>
      </c>
    </row>
    <row r="1335">
      <c r="A1335" s="172" t="s">
        <v>1567</v>
      </c>
      <c r="B1335" s="173">
        <f>countif(Data!B:B,A1335)</f>
        <v>2</v>
      </c>
      <c r="C1335" s="174">
        <f>sumif(Data!B:B,A1335,Data!M:M)</f>
        <v>0.04801609348</v>
      </c>
      <c r="D1335" s="174">
        <f t="shared" si="1"/>
        <v>0.02400804674</v>
      </c>
      <c r="E1335" s="175">
        <f t="shared" si="2"/>
        <v>-2.267937232</v>
      </c>
      <c r="F1335" s="175">
        <f>IFERROR(__xludf.DUMMYFUNCTION("average.weighted(filter(Data!K:K,Data!B:B=A1335),filter(Data!F:F,Data!B:B=A1335))"),-1.5796998173523655)</f>
        <v>-1.579699817</v>
      </c>
      <c r="G1335" s="175">
        <f>IFERROR(__xludf.DUMMYFUNCTION("average.weighted(filter(Data!L:L,Data!B:B=A1335),filter(Data!F:F,Data!B:B=A1335))"),-0.6882374148182404)</f>
        <v>-0.6882374148</v>
      </c>
    </row>
    <row r="1336">
      <c r="A1336" s="172" t="s">
        <v>1568</v>
      </c>
      <c r="B1336" s="173">
        <f>countif(Data!B:B,A1336)</f>
        <v>4</v>
      </c>
      <c r="C1336" s="174">
        <f>sumif(Data!B:B,A1336,Data!M:M)</f>
        <v>0.109492681</v>
      </c>
      <c r="D1336" s="174">
        <f t="shared" si="1"/>
        <v>0.02737317025</v>
      </c>
      <c r="E1336" s="175">
        <f t="shared" si="2"/>
        <v>-2.261095649</v>
      </c>
      <c r="F1336" s="175">
        <f>IFERROR(__xludf.DUMMYFUNCTION("average.weighted(filter(Data!K:K,Data!B:B=A1336),filter(Data!F:F,Data!B:B=A1336))"),-1.161126251295404)</f>
        <v>-1.161126251</v>
      </c>
      <c r="G1336" s="175">
        <f>IFERROR(__xludf.DUMMYFUNCTION("average.weighted(filter(Data!L:L,Data!B:B=A1336),filter(Data!F:F,Data!B:B=A1336))"),-1.0999693976297316)</f>
        <v>-1.099969398</v>
      </c>
    </row>
    <row r="1337">
      <c r="A1337" s="172" t="s">
        <v>1569</v>
      </c>
      <c r="B1337" s="173">
        <f>countif(Data!B:B,A1337)</f>
        <v>1</v>
      </c>
      <c r="C1337" s="174">
        <f>sumif(Data!B:B,A1337,Data!M:M)</f>
        <v>0.005381822629</v>
      </c>
      <c r="D1337" s="174">
        <f t="shared" si="1"/>
        <v>0.005381822629</v>
      </c>
      <c r="E1337" s="175">
        <f t="shared" si="2"/>
        <v>-2.281379174</v>
      </c>
      <c r="F1337" s="175">
        <f>IFERROR(__xludf.DUMMYFUNCTION("average.weighted(filter(Data!K:K,Data!B:B=A1337),filter(Data!F:F,Data!B:B=A1337))"),-1.9115144160767)</f>
        <v>-1.911514416</v>
      </c>
      <c r="G1337" s="175">
        <f>IFERROR(__xludf.DUMMYFUNCTION("average.weighted(filter(Data!L:L,Data!B:B=A1337),filter(Data!F:F,Data!B:B=A1337))"),-0.369864758240141)</f>
        <v>-0.3698647582</v>
      </c>
    </row>
    <row r="1338">
      <c r="A1338" s="172" t="s">
        <v>1570</v>
      </c>
      <c r="B1338" s="173">
        <f>countif(Data!B:B,A1338)</f>
        <v>2</v>
      </c>
      <c r="C1338" s="174">
        <f>sumif(Data!B:B,A1338,Data!M:M)</f>
        <v>0.0164194057</v>
      </c>
      <c r="D1338" s="174">
        <f t="shared" si="1"/>
        <v>0.008209702852</v>
      </c>
      <c r="E1338" s="175">
        <f t="shared" si="2"/>
        <v>-2.28524383</v>
      </c>
      <c r="F1338" s="175">
        <f>IFERROR(__xludf.DUMMYFUNCTION("average.weighted(filter(Data!K:K,Data!B:B=A1338),filter(Data!F:F,Data!B:B=A1338))"),-1.6662519932712678)</f>
        <v>-1.666251993</v>
      </c>
      <c r="G1338" s="175">
        <f>IFERROR(__xludf.DUMMYFUNCTION("average.weighted(filter(Data!L:L,Data!B:B=A1338),filter(Data!F:F,Data!B:B=A1338))"),-0.618991837098107)</f>
        <v>-0.6189918371</v>
      </c>
    </row>
    <row r="1339">
      <c r="A1339" s="172" t="s">
        <v>1571</v>
      </c>
      <c r="B1339" s="173">
        <f>countif(Data!B:B,A1339)</f>
        <v>4</v>
      </c>
      <c r="C1339" s="174">
        <f>sumif(Data!B:B,A1339,Data!M:M)</f>
        <v>0.07105345662</v>
      </c>
      <c r="D1339" s="174">
        <f t="shared" si="1"/>
        <v>0.01776336416</v>
      </c>
      <c r="E1339" s="175">
        <f t="shared" si="2"/>
        <v>-2.287283453</v>
      </c>
      <c r="F1339" s="175">
        <f>IFERROR(__xludf.DUMMYFUNCTION("average.weighted(filter(Data!K:K,Data!B:B=A1339),filter(Data!F:F,Data!B:B=A1339))"),-2.1651992115181176)</f>
        <v>-2.165199212</v>
      </c>
      <c r="G1339" s="175">
        <f>IFERROR(__xludf.DUMMYFUNCTION("average.weighted(filter(Data!L:L,Data!B:B=A1339),filter(Data!F:F,Data!B:B=A1339))"),-0.1220842415829029)</f>
        <v>-0.1220842416</v>
      </c>
    </row>
    <row r="1340">
      <c r="A1340" s="172" t="s">
        <v>1572</v>
      </c>
      <c r="B1340" s="173">
        <f>countif(Data!B:B,A1340)</f>
        <v>6</v>
      </c>
      <c r="C1340" s="174">
        <f>sumif(Data!B:B,A1340,Data!M:M)</f>
        <v>0.07780672026</v>
      </c>
      <c r="D1340" s="174">
        <f t="shared" si="1"/>
        <v>0.01296778671</v>
      </c>
      <c r="E1340" s="175">
        <f t="shared" si="2"/>
        <v>-2.288676837</v>
      </c>
      <c r="F1340" s="175">
        <f>IFERROR(__xludf.DUMMYFUNCTION("average.weighted(filter(Data!K:K,Data!B:B=A1340),filter(Data!F:F,Data!B:B=A1340))"),-0.9471001281984079)</f>
        <v>-0.9471001282</v>
      </c>
      <c r="G1340" s="175">
        <f>IFERROR(__xludf.DUMMYFUNCTION("average.weighted(filter(Data!L:L,Data!B:B=A1340),filter(Data!F:F,Data!B:B=A1340))"),-1.3415767085068135)</f>
        <v>-1.341576709</v>
      </c>
    </row>
    <row r="1341">
      <c r="A1341" s="172" t="s">
        <v>1573</v>
      </c>
      <c r="B1341" s="173">
        <f>countif(Data!B:B,A1341)</f>
        <v>6</v>
      </c>
      <c r="C1341" s="174">
        <f>sumif(Data!B:B,A1341,Data!M:M)</f>
        <v>0.1030987151</v>
      </c>
      <c r="D1341" s="174">
        <f t="shared" si="1"/>
        <v>0.01718311918</v>
      </c>
      <c r="E1341" s="175">
        <f t="shared" si="2"/>
        <v>-2.289494891</v>
      </c>
      <c r="F1341" s="175">
        <f>IFERROR(__xludf.DUMMYFUNCTION("average.weighted(filter(Data!K:K,Data!B:B=A1341),filter(Data!F:F,Data!B:B=A1341))"),-0.8759368971111359)</f>
        <v>-0.8759368971</v>
      </c>
      <c r="G1341" s="175">
        <f>IFERROR(__xludf.DUMMYFUNCTION("average.weighted(filter(Data!L:L,Data!B:B=A1341),filter(Data!F:F,Data!B:B=A1341))"),-1.4135579940119989)</f>
        <v>-1.413557994</v>
      </c>
    </row>
    <row r="1342">
      <c r="A1342" s="172" t="s">
        <v>1574</v>
      </c>
      <c r="B1342" s="173">
        <f>countif(Data!B:B,A1342)</f>
        <v>2</v>
      </c>
      <c r="C1342" s="174">
        <f>sumif(Data!B:B,A1342,Data!M:M)</f>
        <v>0.03453639748</v>
      </c>
      <c r="D1342" s="174">
        <f t="shared" si="1"/>
        <v>0.01726819874</v>
      </c>
      <c r="E1342" s="175">
        <f t="shared" si="2"/>
        <v>-2.197009526</v>
      </c>
      <c r="F1342" s="175">
        <f>IFERROR(__xludf.DUMMYFUNCTION("average.weighted(filter(Data!K:K,Data!B:B=A1342),filter(Data!F:F,Data!B:B=A1342))"),-1.0063987905824783)</f>
        <v>-1.006398791</v>
      </c>
      <c r="G1342" s="175">
        <f>IFERROR(__xludf.DUMMYFUNCTION("average.weighted(filter(Data!L:L,Data!B:B=A1342),filter(Data!F:F,Data!B:B=A1342))"),-1.1906107353240767)</f>
        <v>-1.190610735</v>
      </c>
    </row>
    <row r="1343">
      <c r="A1343" s="172" t="s">
        <v>1575</v>
      </c>
      <c r="B1343" s="173">
        <f>countif(Data!B:B,A1343)</f>
        <v>4</v>
      </c>
      <c r="C1343" s="174">
        <f>sumif(Data!B:B,A1343,Data!M:M)</f>
        <v>0.0203479581</v>
      </c>
      <c r="D1343" s="174">
        <f t="shared" si="1"/>
        <v>0.005086989525</v>
      </c>
      <c r="E1343" s="175">
        <f t="shared" si="2"/>
        <v>-2.296196761</v>
      </c>
      <c r="F1343" s="175">
        <f>IFERROR(__xludf.DUMMYFUNCTION("average.weighted(filter(Data!K:K,Data!B:B=A1343),filter(Data!F:F,Data!B:B=A1343))"),-0.28371506160006404)</f>
        <v>-0.2837150616</v>
      </c>
      <c r="G1343" s="175">
        <f>IFERROR(__xludf.DUMMYFUNCTION("average.weighted(filter(Data!L:L,Data!B:B=A1343),filter(Data!F:F,Data!B:B=A1343))"),-2.0124816998698707)</f>
        <v>-2.0124817</v>
      </c>
    </row>
    <row r="1344">
      <c r="A1344" s="172" t="s">
        <v>1576</v>
      </c>
      <c r="B1344" s="173">
        <f>countif(Data!B:B,A1344)</f>
        <v>5</v>
      </c>
      <c r="C1344" s="174">
        <f>sumif(Data!B:B,A1344,Data!M:M)</f>
        <v>0.03326443487</v>
      </c>
      <c r="D1344" s="174">
        <f t="shared" si="1"/>
        <v>0.006652886974</v>
      </c>
      <c r="E1344" s="175">
        <f t="shared" si="2"/>
        <v>-2.296599022</v>
      </c>
      <c r="F1344" s="175">
        <f>IFERROR(__xludf.DUMMYFUNCTION("average.weighted(filter(Data!K:K,Data!B:B=A1344),filter(Data!F:F,Data!B:B=A1344))"),0.2732029774738151)</f>
        <v>0.2732029775</v>
      </c>
      <c r="G1344" s="175">
        <f>IFERROR(__xludf.DUMMYFUNCTION("average.weighted(filter(Data!L:L,Data!B:B=A1344),filter(Data!F:F,Data!B:B=A1344))"),-2.5698019991602603)</f>
        <v>-2.569801999</v>
      </c>
    </row>
    <row r="1345">
      <c r="A1345" s="172" t="s">
        <v>1577</v>
      </c>
      <c r="B1345" s="173">
        <f>countif(Data!B:B,A1345)</f>
        <v>2</v>
      </c>
      <c r="C1345" s="174">
        <f>sumif(Data!B:B,A1345,Data!M:M)</f>
        <v>0.08161471199</v>
      </c>
      <c r="D1345" s="174">
        <f t="shared" si="1"/>
        <v>0.04080735599</v>
      </c>
      <c r="E1345" s="175">
        <f t="shared" si="2"/>
        <v>-2.243283197</v>
      </c>
      <c r="F1345" s="175">
        <f>IFERROR(__xludf.DUMMYFUNCTION("average.weighted(filter(Data!K:K,Data!B:B=A1345),filter(Data!F:F,Data!B:B=A1345))"),-2.740031471016353)</f>
        <v>-2.740031471</v>
      </c>
      <c r="G1345" s="175">
        <f>IFERROR(__xludf.DUMMYFUNCTION("average.weighted(filter(Data!L:L,Data!B:B=A1345),filter(Data!F:F,Data!B:B=A1345))"),0.49674827408119654)</f>
        <v>0.4967482741</v>
      </c>
    </row>
    <row r="1346">
      <c r="A1346" s="172" t="s">
        <v>1578</v>
      </c>
      <c r="B1346" s="173">
        <f>countif(Data!B:B,A1346)</f>
        <v>4</v>
      </c>
      <c r="C1346" s="174">
        <f>sumif(Data!B:B,A1346,Data!M:M)</f>
        <v>-0.0205609361</v>
      </c>
      <c r="D1346" s="174">
        <f t="shared" si="1"/>
        <v>-0.005140234024</v>
      </c>
      <c r="E1346" s="175">
        <f t="shared" si="2"/>
        <v>-2.31005167</v>
      </c>
      <c r="F1346" s="175">
        <f>IFERROR(__xludf.DUMMYFUNCTION("average.weighted(filter(Data!K:K,Data!B:B=A1346),filter(Data!F:F,Data!B:B=A1346))"),-0.8968425022004313)</f>
        <v>-0.8968425022</v>
      </c>
      <c r="G1346" s="175">
        <f>IFERROR(__xludf.DUMMYFUNCTION("average.weighted(filter(Data!L:L,Data!B:B=A1346),filter(Data!F:F,Data!B:B=A1346))"),-1.413209167940187)</f>
        <v>-1.413209168</v>
      </c>
    </row>
    <row r="1347">
      <c r="A1347" s="172" t="s">
        <v>1579</v>
      </c>
      <c r="B1347" s="173">
        <f>countif(Data!B:B,A1347)</f>
        <v>3</v>
      </c>
      <c r="C1347" s="174">
        <f>sumif(Data!B:B,A1347,Data!M:M)</f>
        <v>-0.02445734738</v>
      </c>
      <c r="D1347" s="174">
        <f t="shared" si="1"/>
        <v>-0.008152449125</v>
      </c>
      <c r="E1347" s="175">
        <f t="shared" si="2"/>
        <v>-2.322506611</v>
      </c>
      <c r="F1347" s="175">
        <f>IFERROR(__xludf.DUMMYFUNCTION("average.weighted(filter(Data!K:K,Data!B:B=A1347),filter(Data!F:F,Data!B:B=A1347))"),-1.1880236517608391)</f>
        <v>-1.188023652</v>
      </c>
      <c r="G1347" s="175">
        <f>IFERROR(__xludf.DUMMYFUNCTION("average.weighted(filter(Data!L:L,Data!B:B=A1347),filter(Data!F:F,Data!B:B=A1347))"),-1.1344829593263017)</f>
        <v>-1.134482959</v>
      </c>
    </row>
    <row r="1348">
      <c r="A1348" s="172" t="s">
        <v>1580</v>
      </c>
      <c r="B1348" s="173">
        <f>countif(Data!B:B,A1348)</f>
        <v>4</v>
      </c>
      <c r="C1348" s="174">
        <f>sumif(Data!B:B,A1348,Data!M:M)</f>
        <v>0.2547289517</v>
      </c>
      <c r="D1348" s="174">
        <f t="shared" si="1"/>
        <v>0.06368223793</v>
      </c>
      <c r="E1348" s="175">
        <f t="shared" si="2"/>
        <v>-2.236080869</v>
      </c>
      <c r="F1348" s="175">
        <f>IFERROR(__xludf.DUMMYFUNCTION("average.weighted(filter(Data!K:K,Data!B:B=A1348),filter(Data!F:F,Data!B:B=A1348))"),-1.7417324610760272)</f>
        <v>-1.741732461</v>
      </c>
      <c r="G1348" s="175">
        <f>IFERROR(__xludf.DUMMYFUNCTION("average.weighted(filter(Data!L:L,Data!B:B=A1348),filter(Data!F:F,Data!B:B=A1348))"),-0.4943484079802744)</f>
        <v>-0.494348408</v>
      </c>
    </row>
    <row r="1349">
      <c r="A1349" s="172" t="s">
        <v>1581</v>
      </c>
      <c r="B1349" s="173">
        <f>countif(Data!B:B,A1349)</f>
        <v>1</v>
      </c>
      <c r="C1349" s="174">
        <f>sumif(Data!B:B,A1349,Data!M:M)</f>
        <v>-0.01425340887</v>
      </c>
      <c r="D1349" s="174">
        <f t="shared" si="1"/>
        <v>-0.01425340887</v>
      </c>
      <c r="E1349" s="175">
        <f t="shared" si="2"/>
        <v>-2.346912579</v>
      </c>
      <c r="F1349" s="175">
        <f>IFERROR(__xludf.DUMMYFUNCTION("average.weighted(filter(Data!K:K,Data!B:B=A1349),filter(Data!F:F,Data!B:B=A1349))"),-2.03477225605981)</f>
        <v>-2.034772256</v>
      </c>
      <c r="G1349" s="175">
        <f>IFERROR(__xludf.DUMMYFUNCTION("average.weighted(filter(Data!L:L,Data!B:B=A1349),filter(Data!F:F,Data!B:B=A1349))"),-0.31214032341754)</f>
        <v>-0.3121403234</v>
      </c>
    </row>
    <row r="1350">
      <c r="A1350" s="172" t="s">
        <v>1582</v>
      </c>
      <c r="B1350" s="173">
        <f>countif(Data!B:B,A1350)</f>
        <v>2</v>
      </c>
      <c r="C1350" s="174">
        <f>sumif(Data!B:B,A1350,Data!M:M)</f>
        <v>-0.03824108332</v>
      </c>
      <c r="D1350" s="174">
        <f t="shared" si="1"/>
        <v>-0.01912054166</v>
      </c>
      <c r="E1350" s="175">
        <f t="shared" si="2"/>
        <v>-2.331327312</v>
      </c>
      <c r="F1350" s="175">
        <f>IFERROR(__xludf.DUMMYFUNCTION("average.weighted(filter(Data!K:K,Data!B:B=A1350),filter(Data!F:F,Data!B:B=A1350))"),-1.2116563445839967)</f>
        <v>-1.211656345</v>
      </c>
      <c r="G1350" s="175">
        <f>IFERROR(__xludf.DUMMYFUNCTION("average.weighted(filter(Data!L:L,Data!B:B=A1350),filter(Data!F:F,Data!B:B=A1350))"),-1.1196709672402878)</f>
        <v>-1.119670967</v>
      </c>
    </row>
    <row r="1351">
      <c r="A1351" s="172" t="s">
        <v>1583</v>
      </c>
      <c r="B1351" s="173">
        <f>countif(Data!B:B,A1351)</f>
        <v>4</v>
      </c>
      <c r="C1351" s="174">
        <f>sumif(Data!B:B,A1351,Data!M:M)</f>
        <v>-0.06070223214</v>
      </c>
      <c r="D1351" s="174">
        <f t="shared" si="1"/>
        <v>-0.01517555804</v>
      </c>
      <c r="E1351" s="175">
        <f t="shared" si="2"/>
        <v>-2.34926197</v>
      </c>
      <c r="F1351" s="175">
        <f>IFERROR(__xludf.DUMMYFUNCTION("average.weighted(filter(Data!K:K,Data!B:B=A1351),filter(Data!F:F,Data!B:B=A1351))"),-1.019870990468556)</f>
        <v>-1.01987099</v>
      </c>
      <c r="G1351" s="175">
        <f>IFERROR(__xludf.DUMMYFUNCTION("average.weighted(filter(Data!L:L,Data!B:B=A1351),filter(Data!F:F,Data!B:B=A1351))"),-1.3293909794676961)</f>
        <v>-1.329390979</v>
      </c>
    </row>
    <row r="1352">
      <c r="A1352" s="172" t="s">
        <v>1584</v>
      </c>
      <c r="B1352" s="173">
        <f>countif(Data!B:B,A1352)</f>
        <v>2</v>
      </c>
      <c r="C1352" s="174">
        <f>sumif(Data!B:B,A1352,Data!M:M)</f>
        <v>-0.02996777605</v>
      </c>
      <c r="D1352" s="174">
        <f t="shared" si="1"/>
        <v>-0.01498388803</v>
      </c>
      <c r="E1352" s="175">
        <f t="shared" si="2"/>
        <v>-2.349493475</v>
      </c>
      <c r="F1352" s="175">
        <f>IFERROR(__xludf.DUMMYFUNCTION("average.weighted(filter(Data!K:K,Data!B:B=A1352),filter(Data!F:F,Data!B:B=A1352))"),-2.2921089801915313)</f>
        <v>-2.29210898</v>
      </c>
      <c r="G1352" s="175">
        <f>IFERROR(__xludf.DUMMYFUNCTION("average.weighted(filter(Data!L:L,Data!B:B=A1352),filter(Data!F:F,Data!B:B=A1352))"),-0.05738449528242605)</f>
        <v>-0.05738449528</v>
      </c>
    </row>
    <row r="1353">
      <c r="A1353" s="172" t="s">
        <v>1585</v>
      </c>
      <c r="B1353" s="173">
        <f>countif(Data!B:B,A1353)</f>
        <v>4</v>
      </c>
      <c r="C1353" s="174">
        <f>sumif(Data!B:B,A1353,Data!M:M)</f>
        <v>-0.08801257814</v>
      </c>
      <c r="D1353" s="174">
        <f t="shared" si="1"/>
        <v>-0.02200314453</v>
      </c>
      <c r="E1353" s="175">
        <f t="shared" si="2"/>
        <v>-2.343725562</v>
      </c>
      <c r="F1353" s="175">
        <f>IFERROR(__xludf.DUMMYFUNCTION("average.weighted(filter(Data!K:K,Data!B:B=A1353),filter(Data!F:F,Data!B:B=A1353))"),-2.2589131163087854)</f>
        <v>-2.258913116</v>
      </c>
      <c r="G1353" s="175">
        <f>IFERROR(__xludf.DUMMYFUNCTION("average.weighted(filter(Data!L:L,Data!B:B=A1353),filter(Data!F:F,Data!B:B=A1353))"),-0.08481244578296969)</f>
        <v>-0.08481244578</v>
      </c>
    </row>
    <row r="1354">
      <c r="A1354" s="172" t="s">
        <v>1586</v>
      </c>
      <c r="B1354" s="173">
        <f>countif(Data!B:B,A1354)</f>
        <v>1</v>
      </c>
      <c r="C1354" s="174">
        <f>sumif(Data!B:B,A1354,Data!M:M)</f>
        <v>-0.006880034084</v>
      </c>
      <c r="D1354" s="174">
        <f t="shared" si="1"/>
        <v>-0.006880034084</v>
      </c>
      <c r="E1354" s="175">
        <f t="shared" si="2"/>
        <v>-2.363532865</v>
      </c>
      <c r="F1354" s="175">
        <f>IFERROR(__xludf.DUMMYFUNCTION("average.weighted(filter(Data!K:K,Data!B:B=A1354),filter(Data!F:F,Data!B:B=A1354))"),-1.26685673910962)</f>
        <v>-1.266856739</v>
      </c>
      <c r="G1354" s="175">
        <f>IFERROR(__xludf.DUMMYFUNCTION("average.weighted(filter(Data!L:L,Data!B:B=A1354),filter(Data!F:F,Data!B:B=A1354))"),-1.09667612567558)</f>
        <v>-1.096676126</v>
      </c>
    </row>
    <row r="1355">
      <c r="A1355" s="172" t="s">
        <v>1587</v>
      </c>
      <c r="B1355" s="173">
        <f>countif(Data!B:B,A1355)</f>
        <v>5</v>
      </c>
      <c r="C1355" s="174">
        <f>sumif(Data!B:B,A1355,Data!M:M)</f>
        <v>-0.2167530153</v>
      </c>
      <c r="D1355" s="174">
        <f t="shared" si="1"/>
        <v>-0.04335060307</v>
      </c>
      <c r="E1355" s="175">
        <f t="shared" si="2"/>
        <v>-2.365081239</v>
      </c>
      <c r="F1355" s="175">
        <f>IFERROR(__xludf.DUMMYFUNCTION("average.weighted(filter(Data!K:K,Data!B:B=A1355),filter(Data!F:F,Data!B:B=A1355))"),-1.3551979792802125)</f>
        <v>-1.355197979</v>
      </c>
      <c r="G1355" s="175">
        <f>IFERROR(__xludf.DUMMYFUNCTION("average.weighted(filter(Data!L:L,Data!B:B=A1355),filter(Data!F:F,Data!B:B=A1355))"),-1.009883259307293)</f>
        <v>-1.009883259</v>
      </c>
    </row>
    <row r="1356">
      <c r="A1356" s="172" t="s">
        <v>1588</v>
      </c>
      <c r="B1356" s="173">
        <f>countif(Data!B:B,A1356)</f>
        <v>2</v>
      </c>
      <c r="C1356" s="174">
        <f>sumif(Data!B:B,A1356,Data!M:M)</f>
        <v>-0.05513877515</v>
      </c>
      <c r="D1356" s="174">
        <f t="shared" si="1"/>
        <v>-0.02756938757</v>
      </c>
      <c r="E1356" s="175">
        <f t="shared" si="2"/>
        <v>-2.368295194</v>
      </c>
      <c r="F1356" s="175">
        <f>IFERROR(__xludf.DUMMYFUNCTION("average.weighted(filter(Data!K:K,Data!B:B=A1356),filter(Data!F:F,Data!B:B=A1356))"),-1.662421527090506)</f>
        <v>-1.662421527</v>
      </c>
      <c r="G1356" s="175">
        <f>IFERROR(__xludf.DUMMYFUNCTION("average.weighted(filter(Data!L:L,Data!B:B=A1356),filter(Data!F:F,Data!B:B=A1356))"),-0.7058736672173007)</f>
        <v>-0.7058736672</v>
      </c>
    </row>
    <row r="1357">
      <c r="A1357" s="172" t="s">
        <v>1589</v>
      </c>
      <c r="B1357" s="173">
        <f>countif(Data!B:B,A1357)</f>
        <v>1</v>
      </c>
      <c r="C1357" s="174">
        <f>sumif(Data!B:B,A1357,Data!M:M)</f>
        <v>-0.02204992168</v>
      </c>
      <c r="D1357" s="174">
        <f t="shared" si="1"/>
        <v>-0.02204992168</v>
      </c>
      <c r="E1357" s="175">
        <f t="shared" si="2"/>
        <v>-2.394006163</v>
      </c>
      <c r="F1357" s="175">
        <f>IFERROR(__xludf.DUMMYFUNCTION("average.weighted(filter(Data!K:K,Data!B:B=A1357),filter(Data!F:F,Data!B:B=A1357))"),-2.07327419814827)</f>
        <v>-2.073274198</v>
      </c>
      <c r="G1357" s="175">
        <f>IFERROR(__xludf.DUMMYFUNCTION("average.weighted(filter(Data!L:L,Data!B:B=A1357),filter(Data!F:F,Data!B:B=A1357))"),-0.320731964832608)</f>
        <v>-0.3207319648</v>
      </c>
    </row>
    <row r="1358">
      <c r="A1358" s="172" t="s">
        <v>1590</v>
      </c>
      <c r="B1358" s="173">
        <f>countif(Data!B:B,A1358)</f>
        <v>2</v>
      </c>
      <c r="C1358" s="174">
        <f>sumif(Data!B:B,A1358,Data!M:M)</f>
        <v>-0.1197370658</v>
      </c>
      <c r="D1358" s="174">
        <f t="shared" si="1"/>
        <v>-0.05986853288</v>
      </c>
      <c r="E1358" s="175">
        <f t="shared" si="2"/>
        <v>-2.394827838</v>
      </c>
      <c r="F1358" s="175">
        <f>IFERROR(__xludf.DUMMYFUNCTION("average.weighted(filter(Data!K:K,Data!B:B=A1358),filter(Data!F:F,Data!B:B=A1358))"),-2.251762653092269)</f>
        <v>-2.251762653</v>
      </c>
      <c r="G1358" s="175">
        <f>IFERROR(__xludf.DUMMYFUNCTION("average.weighted(filter(Data!L:L,Data!B:B=A1358),filter(Data!F:F,Data!B:B=A1358))"),-0.14306518453205813)</f>
        <v>-0.1430651845</v>
      </c>
    </row>
    <row r="1359">
      <c r="A1359" s="172" t="s">
        <v>1591</v>
      </c>
      <c r="B1359" s="173">
        <f>countif(Data!B:B,A1359)</f>
        <v>3</v>
      </c>
      <c r="C1359" s="174">
        <f>sumif(Data!B:B,A1359,Data!M:M)</f>
        <v>-0.09464985604</v>
      </c>
      <c r="D1359" s="174">
        <f t="shared" si="1"/>
        <v>-0.03154995201</v>
      </c>
      <c r="E1359" s="175">
        <f t="shared" si="2"/>
        <v>-2.405406238</v>
      </c>
      <c r="F1359" s="175">
        <f>IFERROR(__xludf.DUMMYFUNCTION("average.weighted(filter(Data!K:K,Data!B:B=A1359),filter(Data!F:F,Data!B:B=A1359))"),-2.3330917981700323)</f>
        <v>-2.333091798</v>
      </c>
      <c r="G1359" s="175">
        <f>IFERROR(__xludf.DUMMYFUNCTION("average.weighted(filter(Data!L:L,Data!B:B=A1359),filter(Data!F:F,Data!B:B=A1359))"),-0.07231444019302272)</f>
        <v>-0.07231444019</v>
      </c>
    </row>
    <row r="1360">
      <c r="A1360" s="172" t="s">
        <v>1592</v>
      </c>
      <c r="B1360" s="173">
        <f>countif(Data!B:B,A1360)</f>
        <v>1</v>
      </c>
      <c r="C1360" s="174">
        <f>sumif(Data!B:B,A1360,Data!M:M)</f>
        <v>-0.04501335006</v>
      </c>
      <c r="D1360" s="174">
        <f t="shared" si="1"/>
        <v>-0.04501335006</v>
      </c>
      <c r="E1360" s="175">
        <f t="shared" si="2"/>
        <v>-2.40185425</v>
      </c>
      <c r="F1360" s="175">
        <f>IFERROR(__xludf.DUMMYFUNCTION("average.weighted(filter(Data!K:K,Data!B:B=A1360),filter(Data!F:F,Data!B:B=A1360))"),-1.29177387184902)</f>
        <v>-1.291773872</v>
      </c>
      <c r="G1360" s="175">
        <f>IFERROR(__xludf.DUMMYFUNCTION("average.weighted(filter(Data!L:L,Data!B:B=A1360),filter(Data!F:F,Data!B:B=A1360))"),-1.11008037831858)</f>
        <v>-1.110080378</v>
      </c>
    </row>
    <row r="1361">
      <c r="A1361" s="172" t="s">
        <v>1593</v>
      </c>
      <c r="B1361" s="173">
        <f>countif(Data!B:B,A1361)</f>
        <v>2</v>
      </c>
      <c r="C1361" s="174">
        <f>sumif(Data!B:B,A1361,Data!M:M)</f>
        <v>-0.03379155899</v>
      </c>
      <c r="D1361" s="174">
        <f t="shared" si="1"/>
        <v>-0.0168957795</v>
      </c>
      <c r="E1361" s="175">
        <f t="shared" si="2"/>
        <v>-2.407675871</v>
      </c>
      <c r="F1361" s="175">
        <f>IFERROR(__xludf.DUMMYFUNCTION("average.weighted(filter(Data!K:K,Data!B:B=A1361),filter(Data!F:F,Data!B:B=A1361))"),-1.8002048610628567)</f>
        <v>-1.800204861</v>
      </c>
      <c r="G1361" s="175">
        <f>IFERROR(__xludf.DUMMYFUNCTION("average.weighted(filter(Data!L:L,Data!B:B=A1361),filter(Data!F:F,Data!B:B=A1361))"),-0.6074710100723307)</f>
        <v>-0.6074710101</v>
      </c>
    </row>
    <row r="1362">
      <c r="A1362" s="172" t="s">
        <v>1594</v>
      </c>
      <c r="B1362" s="173">
        <f>countif(Data!B:B,A1362)</f>
        <v>4</v>
      </c>
      <c r="C1362" s="174">
        <f>sumif(Data!B:B,A1362,Data!M:M)</f>
        <v>-0.3527547256</v>
      </c>
      <c r="D1362" s="174">
        <f t="shared" si="1"/>
        <v>-0.0881886814</v>
      </c>
      <c r="E1362" s="175">
        <f t="shared" si="2"/>
        <v>-2.408804197</v>
      </c>
      <c r="F1362" s="175">
        <f>IFERROR(__xludf.DUMMYFUNCTION("average.weighted(filter(Data!K:K,Data!B:B=A1362),filter(Data!F:F,Data!B:B=A1362))"),-1.5242765023481593)</f>
        <v>-1.524276502</v>
      </c>
      <c r="G1362" s="175">
        <f>IFERROR(__xludf.DUMMYFUNCTION("average.weighted(filter(Data!L:L,Data!B:B=A1362),filter(Data!F:F,Data!B:B=A1362))"),-0.8845276942206444)</f>
        <v>-0.8845276942</v>
      </c>
    </row>
    <row r="1363">
      <c r="A1363" s="172" t="s">
        <v>1595</v>
      </c>
      <c r="B1363" s="173">
        <f>countif(Data!B:B,A1363)</f>
        <v>2</v>
      </c>
      <c r="C1363" s="174">
        <f>sumif(Data!B:B,A1363,Data!M:M)</f>
        <v>0.2435028081</v>
      </c>
      <c r="D1363" s="174">
        <f t="shared" si="1"/>
        <v>0.121751404</v>
      </c>
      <c r="E1363" s="175">
        <f t="shared" si="2"/>
        <v>-2.164853552</v>
      </c>
      <c r="F1363" s="175">
        <f>IFERROR(__xludf.DUMMYFUNCTION("average.weighted(filter(Data!K:K,Data!B:B=A1363),filter(Data!F:F,Data!B:B=A1363))"),-0.4810013283778346)</f>
        <v>-0.4810013284</v>
      </c>
      <c r="G1363" s="175">
        <f>IFERROR(__xludf.DUMMYFUNCTION("average.weighted(filter(Data!L:L,Data!B:B=A1363),filter(Data!F:F,Data!B:B=A1363))"),-1.6838522237933282)</f>
        <v>-1.683852224</v>
      </c>
    </row>
    <row r="1364">
      <c r="A1364" s="172" t="s">
        <v>1596</v>
      </c>
      <c r="B1364" s="173">
        <f>countif(Data!B:B,A1364)</f>
        <v>1</v>
      </c>
      <c r="C1364" s="174">
        <f>sumif(Data!B:B,A1364,Data!M:M)</f>
        <v>0.007432071414</v>
      </c>
      <c r="D1364" s="174">
        <f t="shared" si="1"/>
        <v>0.007432071414</v>
      </c>
      <c r="E1364" s="175">
        <f t="shared" si="2"/>
        <v>-2.074027352</v>
      </c>
      <c r="F1364" s="175">
        <f>IFERROR(__xludf.DUMMYFUNCTION("average.weighted(filter(Data!K:K,Data!B:B=A1364),filter(Data!F:F,Data!B:B=A1364))"),-1.04479722455123)</f>
        <v>-1.044797225</v>
      </c>
      <c r="G1364" s="175">
        <f>IFERROR(__xludf.DUMMYFUNCTION("average.weighted(filter(Data!L:L,Data!B:B=A1364),filter(Data!F:F,Data!B:B=A1364))"),-1.02923012722693)</f>
        <v>-1.029230127</v>
      </c>
    </row>
    <row r="1365">
      <c r="A1365" s="172" t="s">
        <v>1597</v>
      </c>
      <c r="B1365" s="173">
        <f>countif(Data!B:B,A1365)</f>
        <v>5</v>
      </c>
      <c r="C1365" s="174">
        <f>sumif(Data!B:B,A1365,Data!M:M)</f>
        <v>-0.2133101991</v>
      </c>
      <c r="D1365" s="174">
        <f t="shared" si="1"/>
        <v>-0.04266203981</v>
      </c>
      <c r="E1365" s="175">
        <f t="shared" si="2"/>
        <v>-2.433451678</v>
      </c>
      <c r="F1365" s="175">
        <f>IFERROR(__xludf.DUMMYFUNCTION("average.weighted(filter(Data!K:K,Data!B:B=A1365),filter(Data!F:F,Data!B:B=A1365))"),-0.6554154905179473)</f>
        <v>-0.6554154905</v>
      </c>
      <c r="G1365" s="175">
        <f>IFERROR(__xludf.DUMMYFUNCTION("average.weighted(filter(Data!L:L,Data!B:B=A1365),filter(Data!F:F,Data!B:B=A1365))"),-1.7780361874441617)</f>
        <v>-1.778036187</v>
      </c>
    </row>
    <row r="1366">
      <c r="A1366" s="172" t="s">
        <v>1598</v>
      </c>
      <c r="B1366" s="173">
        <f>countif(Data!B:B,A1366)</f>
        <v>2</v>
      </c>
      <c r="C1366" s="174">
        <f>sumif(Data!B:B,A1366,Data!M:M)</f>
        <v>-0.1121825563</v>
      </c>
      <c r="D1366" s="174">
        <f t="shared" si="1"/>
        <v>-0.05609127816</v>
      </c>
      <c r="E1366" s="175">
        <f t="shared" si="2"/>
        <v>-2.396452312</v>
      </c>
      <c r="F1366" s="175">
        <f>IFERROR(__xludf.DUMMYFUNCTION("average.weighted(filter(Data!K:K,Data!B:B=A1366),filter(Data!F:F,Data!B:B=A1366))"),-1.8015615830174114)</f>
        <v>-1.801561583</v>
      </c>
      <c r="G1366" s="175">
        <f>IFERROR(__xludf.DUMMYFUNCTION("average.weighted(filter(Data!L:L,Data!B:B=A1366),filter(Data!F:F,Data!B:B=A1366))"),-0.5948907286753838)</f>
        <v>-0.5948907287</v>
      </c>
    </row>
    <row r="1367">
      <c r="A1367" s="172" t="s">
        <v>1599</v>
      </c>
      <c r="B1367" s="173">
        <f>countif(Data!B:B,A1367)</f>
        <v>6</v>
      </c>
      <c r="C1367" s="174">
        <f>sumif(Data!B:B,A1367,Data!M:M)</f>
        <v>-0.5164739859</v>
      </c>
      <c r="D1367" s="174">
        <f t="shared" si="1"/>
        <v>-0.08607899766</v>
      </c>
      <c r="E1367" s="175">
        <f t="shared" si="2"/>
        <v>-2.481852115</v>
      </c>
      <c r="F1367" s="175">
        <f>IFERROR(__xludf.DUMMYFUNCTION("average.weighted(filter(Data!K:K,Data!B:B=A1367),filter(Data!F:F,Data!B:B=A1367))"),-0.8255943797527279)</f>
        <v>-0.8255943798</v>
      </c>
      <c r="G1367" s="175">
        <f>IFERROR(__xludf.DUMMYFUNCTION("average.weighted(filter(Data!L:L,Data!B:B=A1367),filter(Data!F:F,Data!B:B=A1367))"),-1.6562577353403003)</f>
        <v>-1.656257735</v>
      </c>
    </row>
    <row r="1368">
      <c r="A1368" s="172" t="s">
        <v>1600</v>
      </c>
      <c r="B1368" s="173">
        <f>countif(Data!B:B,A1368)</f>
        <v>4</v>
      </c>
      <c r="C1368" s="174">
        <f>sumif(Data!B:B,A1368,Data!M:M)</f>
        <v>-0.1774350483</v>
      </c>
      <c r="D1368" s="174">
        <f t="shared" si="1"/>
        <v>-0.04435876208</v>
      </c>
      <c r="E1368" s="175">
        <f t="shared" si="2"/>
        <v>-2.463135306</v>
      </c>
      <c r="F1368" s="175">
        <f>IFERROR(__xludf.DUMMYFUNCTION("average.weighted(filter(Data!K:K,Data!B:B=A1368),filter(Data!F:F,Data!B:B=A1368))"),-1.6269798761214491)</f>
        <v>-1.626979876</v>
      </c>
      <c r="G1368" s="175">
        <f>IFERROR(__xludf.DUMMYFUNCTION("average.weighted(filter(Data!L:L,Data!B:B=A1368),filter(Data!F:F,Data!B:B=A1368))"),-0.8361554301250309)</f>
        <v>-0.8361554301</v>
      </c>
    </row>
    <row r="1369">
      <c r="A1369" s="172" t="s">
        <v>1601</v>
      </c>
      <c r="B1369" s="173">
        <f>countif(Data!B:B,A1369)</f>
        <v>4</v>
      </c>
      <c r="C1369" s="174">
        <f>sumif(Data!B:B,A1369,Data!M:M)</f>
        <v>-0.3232936112</v>
      </c>
      <c r="D1369" s="174">
        <f t="shared" si="1"/>
        <v>-0.0808234028</v>
      </c>
      <c r="E1369" s="175">
        <f t="shared" si="2"/>
        <v>-2.446698571</v>
      </c>
      <c r="F1369" s="175">
        <f>IFERROR(__xludf.DUMMYFUNCTION("average.weighted(filter(Data!K:K,Data!B:B=A1369),filter(Data!F:F,Data!B:B=A1369))"),-0.5800626023312018)</f>
        <v>-0.5800626023</v>
      </c>
      <c r="G1369" s="175">
        <f>IFERROR(__xludf.DUMMYFUNCTION("average.weighted(filter(Data!L:L,Data!B:B=A1369),filter(Data!F:F,Data!B:B=A1369))"),-1.86663596833052)</f>
        <v>-1.866635968</v>
      </c>
    </row>
    <row r="1370">
      <c r="A1370" s="172" t="s">
        <v>1602</v>
      </c>
      <c r="B1370" s="173">
        <f>countif(Data!B:B,A1370)</f>
        <v>2</v>
      </c>
      <c r="C1370" s="174">
        <f>sumif(Data!B:B,A1370,Data!M:M)</f>
        <v>-0.1056652666</v>
      </c>
      <c r="D1370" s="174">
        <f t="shared" si="1"/>
        <v>-0.0528326333</v>
      </c>
      <c r="E1370" s="175">
        <f t="shared" si="2"/>
        <v>-2.493305886</v>
      </c>
      <c r="F1370" s="175">
        <f>IFERROR(__xludf.DUMMYFUNCTION("average.weighted(filter(Data!K:K,Data!B:B=A1370),filter(Data!F:F,Data!B:B=A1370))"),-2.171681584820865)</f>
        <v>-2.171681585</v>
      </c>
      <c r="G1370" s="175">
        <f>IFERROR(__xludf.DUMMYFUNCTION("average.weighted(filter(Data!L:L,Data!B:B=A1370),filter(Data!F:F,Data!B:B=A1370))"),-0.32162430090519406)</f>
        <v>-0.3216243009</v>
      </c>
    </row>
    <row r="1371">
      <c r="A1371" s="172" t="s">
        <v>1603</v>
      </c>
      <c r="B1371" s="173">
        <f>countif(Data!B:B,A1371)</f>
        <v>2</v>
      </c>
      <c r="C1371" s="174">
        <f>sumif(Data!B:B,A1371,Data!M:M)</f>
        <v>-0.05556706769</v>
      </c>
      <c r="D1371" s="174">
        <f t="shared" si="1"/>
        <v>-0.02778353384</v>
      </c>
      <c r="E1371" s="175">
        <f t="shared" si="2"/>
        <v>-2.494417464</v>
      </c>
      <c r="F1371" s="175">
        <f>IFERROR(__xludf.DUMMYFUNCTION("average.weighted(filter(Data!K:K,Data!B:B=A1371),filter(Data!F:F,Data!B:B=A1371))"),-0.6627590325279908)</f>
        <v>-0.6627590325</v>
      </c>
      <c r="G1371" s="175">
        <f>IFERROR(__xludf.DUMMYFUNCTION("average.weighted(filter(Data!L:L,Data!B:B=A1371),filter(Data!F:F,Data!B:B=A1371))"),-1.831658431376883)</f>
        <v>-1.831658431</v>
      </c>
    </row>
    <row r="1372">
      <c r="A1372" s="172" t="s">
        <v>1604</v>
      </c>
      <c r="B1372" s="173">
        <f>countif(Data!B:B,A1372)</f>
        <v>3</v>
      </c>
      <c r="C1372" s="174">
        <f>sumif(Data!B:B,A1372,Data!M:M)</f>
        <v>-0.1403185903</v>
      </c>
      <c r="D1372" s="174">
        <f t="shared" si="1"/>
        <v>-0.04677286343</v>
      </c>
      <c r="E1372" s="175">
        <f t="shared" si="2"/>
        <v>-2.51283556</v>
      </c>
      <c r="F1372" s="175">
        <f>IFERROR(__xludf.DUMMYFUNCTION("average.weighted(filter(Data!K:K,Data!B:B=A1372),filter(Data!F:F,Data!B:B=A1372))"),-0.8719821338113134)</f>
        <v>-0.8719821338</v>
      </c>
      <c r="G1372" s="175">
        <f>IFERROR(__xludf.DUMMYFUNCTION("average.weighted(filter(Data!L:L,Data!B:B=A1372),filter(Data!F:F,Data!B:B=A1372))"),-1.6408534265331984)</f>
        <v>-1.640853427</v>
      </c>
    </row>
    <row r="1373">
      <c r="A1373" s="172" t="s">
        <v>1605</v>
      </c>
      <c r="B1373" s="173">
        <f>countif(Data!B:B,A1373)</f>
        <v>2</v>
      </c>
      <c r="C1373" s="174">
        <f>sumif(Data!B:B,A1373,Data!M:M)</f>
        <v>-0.04957179606</v>
      </c>
      <c r="D1373" s="174">
        <f t="shared" si="1"/>
        <v>-0.02478589803</v>
      </c>
      <c r="E1373" s="175">
        <f t="shared" si="2"/>
        <v>-2.532485293</v>
      </c>
      <c r="F1373" s="175">
        <f>IFERROR(__xludf.DUMMYFUNCTION("average.weighted(filter(Data!K:K,Data!B:B=A1373),filter(Data!F:F,Data!B:B=A1373))"),-1.4267171793843343)</f>
        <v>-1.426717179</v>
      </c>
      <c r="G1373" s="175">
        <f>IFERROR(__xludf.DUMMYFUNCTION("average.weighted(filter(Data!L:L,Data!B:B=A1373),filter(Data!F:F,Data!B:B=A1373))"),-1.1057681139825422)</f>
        <v>-1.105768114</v>
      </c>
    </row>
    <row r="1374">
      <c r="A1374" s="172" t="s">
        <v>1606</v>
      </c>
      <c r="B1374" s="173">
        <f>countif(Data!B:B,A1374)</f>
        <v>3</v>
      </c>
      <c r="C1374" s="174">
        <f>sumif(Data!B:B,A1374,Data!M:M)</f>
        <v>-0.1856186739</v>
      </c>
      <c r="D1374" s="174">
        <f t="shared" si="1"/>
        <v>-0.06187289131</v>
      </c>
      <c r="E1374" s="175">
        <f t="shared" si="2"/>
        <v>-2.527467203</v>
      </c>
      <c r="F1374" s="175">
        <f>IFERROR(__xludf.DUMMYFUNCTION("average.weighted(filter(Data!K:K,Data!B:B=A1374),filter(Data!F:F,Data!B:B=A1374))"),-1.806186066840586)</f>
        <v>-1.806186067</v>
      </c>
      <c r="G1374" s="175">
        <f>IFERROR(__xludf.DUMMYFUNCTION("average.weighted(filter(Data!L:L,Data!B:B=A1374),filter(Data!F:F,Data!B:B=A1374))"),-0.7212811363109285)</f>
        <v>-0.7212811363</v>
      </c>
    </row>
    <row r="1375">
      <c r="A1375" s="172" t="s">
        <v>1607</v>
      </c>
      <c r="B1375" s="173">
        <f>countif(Data!B:B,A1375)</f>
        <v>3</v>
      </c>
      <c r="C1375" s="174">
        <f>sumif(Data!B:B,A1375,Data!M:M)</f>
        <v>-0.6670083803</v>
      </c>
      <c r="D1375" s="174">
        <f t="shared" si="1"/>
        <v>-0.2223361268</v>
      </c>
      <c r="E1375" s="175">
        <f t="shared" si="2"/>
        <v>-2.556549945</v>
      </c>
      <c r="F1375" s="175">
        <f>IFERROR(__xludf.DUMMYFUNCTION("average.weighted(filter(Data!K:K,Data!B:B=A1375),filter(Data!F:F,Data!B:B=A1375))"),-1.1592625824581306)</f>
        <v>-1.159262582</v>
      </c>
      <c r="G1375" s="175">
        <f>IFERROR(__xludf.DUMMYFUNCTION("average.weighted(filter(Data!L:L,Data!B:B=A1375),filter(Data!F:F,Data!B:B=A1375))"),-1.3972873630024039)</f>
        <v>-1.397287363</v>
      </c>
    </row>
    <row r="1376">
      <c r="A1376" s="172" t="s">
        <v>1608</v>
      </c>
      <c r="B1376" s="173">
        <f>countif(Data!B:B,A1376)</f>
        <v>4</v>
      </c>
      <c r="C1376" s="174">
        <f>sumif(Data!B:B,A1376,Data!M:M)</f>
        <v>-0.3167417313</v>
      </c>
      <c r="D1376" s="174">
        <f t="shared" si="1"/>
        <v>-0.07918543281</v>
      </c>
      <c r="E1376" s="175">
        <f t="shared" si="2"/>
        <v>-2.564908971</v>
      </c>
      <c r="F1376" s="175">
        <f>IFERROR(__xludf.DUMMYFUNCTION("average.weighted(filter(Data!K:K,Data!B:B=A1376),filter(Data!F:F,Data!B:B=A1376))"),-1.748532348451749)</f>
        <v>-1.748532348</v>
      </c>
      <c r="G1376" s="175">
        <f>IFERROR(__xludf.DUMMYFUNCTION("average.weighted(filter(Data!L:L,Data!B:B=A1376),filter(Data!F:F,Data!B:B=A1376))"),-0.8163766227302282)</f>
        <v>-0.8163766227</v>
      </c>
    </row>
    <row r="1377">
      <c r="A1377" s="172" t="s">
        <v>1609</v>
      </c>
      <c r="B1377" s="173">
        <f>countif(Data!B:B,A1377)</f>
        <v>1</v>
      </c>
      <c r="C1377" s="174">
        <f>sumif(Data!B:B,A1377,Data!M:M)</f>
        <v>-0.04892841419</v>
      </c>
      <c r="D1377" s="174">
        <f t="shared" si="1"/>
        <v>-0.04892841419</v>
      </c>
      <c r="E1377" s="175">
        <f t="shared" si="2"/>
        <v>-2.601204807</v>
      </c>
      <c r="F1377" s="175">
        <f>IFERROR(__xludf.DUMMYFUNCTION("average.weighted(filter(Data!K:K,Data!B:B=A1377),filter(Data!F:F,Data!B:B=A1377))"),-1.9535568777209)</f>
        <v>-1.953556878</v>
      </c>
      <c r="G1377" s="175">
        <f>IFERROR(__xludf.DUMMYFUNCTION("average.weighted(filter(Data!L:L,Data!B:B=A1377),filter(Data!F:F,Data!B:B=A1377))"),-0.64764792958443)</f>
        <v>-0.6476479296</v>
      </c>
    </row>
    <row r="1378">
      <c r="A1378" s="172" t="s">
        <v>1610</v>
      </c>
      <c r="B1378" s="173">
        <f>countif(Data!B:B,A1378)</f>
        <v>3</v>
      </c>
      <c r="C1378" s="174">
        <f>sumif(Data!B:B,A1378,Data!M:M)</f>
        <v>-0.335559843</v>
      </c>
      <c r="D1378" s="174">
        <f t="shared" si="1"/>
        <v>-0.111853281</v>
      </c>
      <c r="E1378" s="175">
        <f t="shared" si="2"/>
        <v>-2.611095222</v>
      </c>
      <c r="F1378" s="175">
        <f>IFERROR(__xludf.DUMMYFUNCTION("average.weighted(filter(Data!K:K,Data!B:B=A1378),filter(Data!F:F,Data!B:B=A1378))"),-1.7702089608083604)</f>
        <v>-1.770208961</v>
      </c>
      <c r="G1378" s="175">
        <f>IFERROR(__xludf.DUMMYFUNCTION("average.weighted(filter(Data!L:L,Data!B:B=A1378),filter(Data!F:F,Data!B:B=A1378))"),-0.8408862611724545)</f>
        <v>-0.8408862612</v>
      </c>
    </row>
    <row r="1379">
      <c r="A1379" s="172" t="s">
        <v>1611</v>
      </c>
      <c r="B1379" s="173">
        <f>countif(Data!B:B,A1379)</f>
        <v>3</v>
      </c>
      <c r="C1379" s="174">
        <f>sumif(Data!B:B,A1379,Data!M:M)</f>
        <v>-0.5685654779</v>
      </c>
      <c r="D1379" s="174">
        <f t="shared" si="1"/>
        <v>-0.189521826</v>
      </c>
      <c r="E1379" s="175">
        <f t="shared" si="2"/>
        <v>-2.618851517</v>
      </c>
      <c r="F1379" s="175">
        <f>IFERROR(__xludf.DUMMYFUNCTION("average.weighted(filter(Data!K:K,Data!B:B=A1379),filter(Data!F:F,Data!B:B=A1379))"),-0.8222264451518774)</f>
        <v>-0.8222264452</v>
      </c>
      <c r="G1379" s="175">
        <f>IFERROR(__xludf.DUMMYFUNCTION("average.weighted(filter(Data!L:L,Data!B:B=A1379),filter(Data!F:F,Data!B:B=A1379))"),-1.7966250721479742)</f>
        <v>-1.796625072</v>
      </c>
    </row>
    <row r="1380">
      <c r="A1380" s="172" t="s">
        <v>1612</v>
      </c>
      <c r="B1380" s="173">
        <f>countif(Data!B:B,A1380)</f>
        <v>4</v>
      </c>
      <c r="C1380" s="174">
        <f>sumif(Data!B:B,A1380,Data!M:M)</f>
        <v>-0.799020349</v>
      </c>
      <c r="D1380" s="174">
        <f t="shared" si="1"/>
        <v>-0.1997550872</v>
      </c>
      <c r="E1380" s="175">
        <f t="shared" si="2"/>
        <v>-2.722177903</v>
      </c>
      <c r="F1380" s="175">
        <f>IFERROR(__xludf.DUMMYFUNCTION("average.weighted(filter(Data!K:K,Data!B:B=A1380),filter(Data!F:F,Data!B:B=A1380))"),-2.2925626911198216)</f>
        <v>-2.292562691</v>
      </c>
      <c r="G1380" s="175">
        <f>IFERROR(__xludf.DUMMYFUNCTION("average.weighted(filter(Data!L:L,Data!B:B=A1380),filter(Data!F:F,Data!B:B=A1380))"),-0.42961521160224886)</f>
        <v>-0.4296152116</v>
      </c>
    </row>
    <row r="1381">
      <c r="A1381" s="172" t="s">
        <v>1613</v>
      </c>
      <c r="B1381" s="173">
        <f>countif(Data!B:B,A1381)</f>
        <v>5</v>
      </c>
      <c r="C1381" s="174">
        <f>sumif(Data!B:B,A1381,Data!M:M)</f>
        <v>-2.1452578</v>
      </c>
      <c r="D1381" s="174">
        <f t="shared" si="1"/>
        <v>-0.42905156</v>
      </c>
      <c r="E1381" s="175">
        <f t="shared" si="2"/>
        <v>-2.647983376</v>
      </c>
      <c r="F1381" s="175">
        <f>IFERROR(__xludf.DUMMYFUNCTION("average.weighted(filter(Data!K:K,Data!B:B=A1381),filter(Data!F:F,Data!B:B=A1381))"),-0.8953844877282765)</f>
        <v>-0.8953844877</v>
      </c>
      <c r="G1381" s="175">
        <f>IFERROR(__xludf.DUMMYFUNCTION("average.weighted(filter(Data!L:L,Data!B:B=A1381),filter(Data!F:F,Data!B:B=A1381))"),-1.7525988878307608)</f>
        <v>-1.752598888</v>
      </c>
    </row>
    <row r="1382">
      <c r="A1382" s="172" t="s">
        <v>1614</v>
      </c>
      <c r="B1382" s="173">
        <f>countif(Data!B:B,A1382)</f>
        <v>3</v>
      </c>
      <c r="C1382" s="174">
        <f>sumif(Data!B:B,A1382,Data!M:M)</f>
        <v>-0.4707847839</v>
      </c>
      <c r="D1382" s="174">
        <f t="shared" si="1"/>
        <v>-0.1569282613</v>
      </c>
      <c r="E1382" s="175">
        <f t="shared" si="2"/>
        <v>-2.661505418</v>
      </c>
      <c r="F1382" s="175">
        <f>IFERROR(__xludf.DUMMYFUNCTION("average.weighted(filter(Data!K:K,Data!B:B=A1382),filter(Data!F:F,Data!B:B=A1382))"),-0.8804893077226923)</f>
        <v>-0.8804893077</v>
      </c>
      <c r="G1382" s="175">
        <f>IFERROR(__xludf.DUMMYFUNCTION("average.weighted(filter(Data!L:L,Data!B:B=A1382),filter(Data!F:F,Data!B:B=A1382))"),-1.7810161097834378)</f>
        <v>-1.78101611</v>
      </c>
    </row>
    <row r="1383">
      <c r="A1383" s="172" t="s">
        <v>1615</v>
      </c>
      <c r="B1383" s="173">
        <f>countif(Data!B:B,A1383)</f>
        <v>2</v>
      </c>
      <c r="C1383" s="174">
        <f>sumif(Data!B:B,A1383,Data!M:M)</f>
        <v>-0.2707733652</v>
      </c>
      <c r="D1383" s="174">
        <f t="shared" si="1"/>
        <v>-0.1353866826</v>
      </c>
      <c r="E1383" s="175">
        <f t="shared" si="2"/>
        <v>-2.677185616</v>
      </c>
      <c r="F1383" s="175">
        <f>IFERROR(__xludf.DUMMYFUNCTION("average.weighted(filter(Data!K:K,Data!B:B=A1383),filter(Data!F:F,Data!B:B=A1383))"),-1.2308247696478725)</f>
        <v>-1.23082477</v>
      </c>
      <c r="G1383" s="175">
        <f>IFERROR(__xludf.DUMMYFUNCTION("average.weighted(filter(Data!L:L,Data!B:B=A1383),filter(Data!F:F,Data!B:B=A1383))"),-1.4463608460380286)</f>
        <v>-1.446360846</v>
      </c>
    </row>
    <row r="1384">
      <c r="A1384" s="172" t="s">
        <v>1616</v>
      </c>
      <c r="B1384" s="173">
        <f>countif(Data!B:B,A1384)</f>
        <v>1</v>
      </c>
      <c r="C1384" s="174">
        <f>sumif(Data!B:B,A1384,Data!M:M)</f>
        <v>-0.1406942628</v>
      </c>
      <c r="D1384" s="174">
        <f t="shared" si="1"/>
        <v>-0.1406942628</v>
      </c>
      <c r="E1384" s="175">
        <f t="shared" si="2"/>
        <v>-2.686477787</v>
      </c>
      <c r="F1384" s="175">
        <f>IFERROR(__xludf.DUMMYFUNCTION("average.weighted(filter(Data!K:K,Data!B:B=A1384),filter(Data!F:F,Data!B:B=A1384))"),-2.48125117657611)</f>
        <v>-2.481251177</v>
      </c>
      <c r="G1384" s="175">
        <f>IFERROR(__xludf.DUMMYFUNCTION("average.weighted(filter(Data!L:L,Data!B:B=A1384),filter(Data!F:F,Data!B:B=A1384))"),-0.205226610100704)</f>
        <v>-0.2052266101</v>
      </c>
    </row>
    <row r="1385">
      <c r="A1385" s="172" t="s">
        <v>1617</v>
      </c>
      <c r="B1385" s="173">
        <f>countif(Data!B:B,A1385)</f>
        <v>3</v>
      </c>
      <c r="C1385" s="174">
        <f>sumif(Data!B:B,A1385,Data!M:M)</f>
        <v>-0.2162505382</v>
      </c>
      <c r="D1385" s="174">
        <f t="shared" si="1"/>
        <v>-0.07208351272</v>
      </c>
      <c r="E1385" s="175">
        <f t="shared" si="2"/>
        <v>-2.69323978</v>
      </c>
      <c r="F1385" s="175">
        <f>IFERROR(__xludf.DUMMYFUNCTION("average.weighted(filter(Data!K:K,Data!B:B=A1385),filter(Data!F:F,Data!B:B=A1385))"),-1.5156910417709863)</f>
        <v>-1.515691042</v>
      </c>
      <c r="G1385" s="175">
        <f>IFERROR(__xludf.DUMMYFUNCTION("average.weighted(filter(Data!L:L,Data!B:B=A1385),filter(Data!F:F,Data!B:B=A1385))"),-1.1775487378107592)</f>
        <v>-1.177548738</v>
      </c>
    </row>
    <row r="1386">
      <c r="A1386" s="172" t="s">
        <v>1618</v>
      </c>
      <c r="B1386" s="173">
        <f>countif(Data!B:B,A1386)</f>
        <v>3</v>
      </c>
      <c r="C1386" s="174">
        <f>sumif(Data!B:B,A1386,Data!M:M)</f>
        <v>-0.01559114923</v>
      </c>
      <c r="D1386" s="174">
        <f t="shared" si="1"/>
        <v>-0.005197049743</v>
      </c>
      <c r="E1386" s="175">
        <f t="shared" si="2"/>
        <v>-2.325327568</v>
      </c>
      <c r="F1386" s="175">
        <f>IFERROR(__xludf.DUMMYFUNCTION("average.weighted(filter(Data!K:K,Data!B:B=A1386),filter(Data!F:F,Data!B:B=A1386))"),-2.1476725639100187)</f>
        <v>-2.147672564</v>
      </c>
      <c r="G1386" s="175">
        <f>IFERROR(__xludf.DUMMYFUNCTION("average.weighted(filter(Data!L:L,Data!B:B=A1386),filter(Data!F:F,Data!B:B=A1386))"),-0.1776550037679798)</f>
        <v>-0.1776550038</v>
      </c>
    </row>
    <row r="1387">
      <c r="A1387" s="172" t="s">
        <v>1619</v>
      </c>
      <c r="B1387" s="173">
        <f>countif(Data!B:B,A1387)</f>
        <v>4</v>
      </c>
      <c r="C1387" s="174">
        <f>sumif(Data!B:B,A1387,Data!M:M)</f>
        <v>-0.7158947165</v>
      </c>
      <c r="D1387" s="174">
        <f t="shared" si="1"/>
        <v>-0.1789736791</v>
      </c>
      <c r="E1387" s="175">
        <f t="shared" si="2"/>
        <v>-2.699120476</v>
      </c>
      <c r="F1387" s="175">
        <f>IFERROR(__xludf.DUMMYFUNCTION("average.weighted(filter(Data!K:K,Data!B:B=A1387),filter(Data!F:F,Data!B:B=A1387))"),-1.612508560985246)</f>
        <v>-1.612508561</v>
      </c>
      <c r="G1387" s="175">
        <f>IFERROR(__xludf.DUMMYFUNCTION("average.weighted(filter(Data!L:L,Data!B:B=A1387),filter(Data!F:F,Data!B:B=A1387))"),-1.0866119149253275)</f>
        <v>-1.086611915</v>
      </c>
    </row>
    <row r="1388">
      <c r="A1388" s="172" t="s">
        <v>1620</v>
      </c>
      <c r="B1388" s="173">
        <f>countif(Data!B:B,A1388)</f>
        <v>5</v>
      </c>
      <c r="C1388" s="174">
        <f>sumif(Data!B:B,A1388,Data!M:M)</f>
        <v>-1.85089249</v>
      </c>
      <c r="D1388" s="174">
        <f t="shared" si="1"/>
        <v>-0.370178498</v>
      </c>
      <c r="E1388" s="175">
        <f t="shared" si="2"/>
        <v>-2.728097535</v>
      </c>
      <c r="F1388" s="175">
        <f>IFERROR(__xludf.DUMMYFUNCTION("average.weighted(filter(Data!K:K,Data!B:B=A1388),filter(Data!F:F,Data!B:B=A1388))"),-1.1008684165019866)</f>
        <v>-1.100868417</v>
      </c>
      <c r="G1388" s="175">
        <f>IFERROR(__xludf.DUMMYFUNCTION("average.weighted(filter(Data!L:L,Data!B:B=A1388),filter(Data!F:F,Data!B:B=A1388))"),-1.6272291189581327)</f>
        <v>-1.627229119</v>
      </c>
    </row>
    <row r="1389">
      <c r="A1389" s="172" t="s">
        <v>1621</v>
      </c>
      <c r="B1389" s="173">
        <f>countif(Data!B:B,A1389)</f>
        <v>1</v>
      </c>
      <c r="C1389" s="174">
        <f>sumif(Data!B:B,A1389,Data!M:M)</f>
        <v>-0.2853631789</v>
      </c>
      <c r="D1389" s="174">
        <f t="shared" si="1"/>
        <v>-0.2853631789</v>
      </c>
      <c r="E1389" s="175">
        <f t="shared" si="2"/>
        <v>-2.73159926</v>
      </c>
      <c r="F1389" s="175">
        <f>IFERROR(__xludf.DUMMYFUNCTION("average.weighted(filter(Data!K:K,Data!B:B=A1389),filter(Data!F:F,Data!B:B=A1389))"),-2.8531481591689)</f>
        <v>-2.853148159</v>
      </c>
      <c r="G1389" s="175">
        <f>IFERROR(__xludf.DUMMYFUNCTION("average.weighted(filter(Data!L:L,Data!B:B=A1389),filter(Data!F:F,Data!B:B=A1389))"),0.12154889926258)</f>
        <v>0.1215488993</v>
      </c>
    </row>
    <row r="1390">
      <c r="A1390" s="172" t="s">
        <v>1622</v>
      </c>
      <c r="B1390" s="173">
        <f>countif(Data!B:B,A1390)</f>
        <v>3</v>
      </c>
      <c r="C1390" s="174">
        <f>sumif(Data!B:B,A1390,Data!M:M)</f>
        <v>-0.6688959605</v>
      </c>
      <c r="D1390" s="174">
        <f t="shared" si="1"/>
        <v>-0.2229653202</v>
      </c>
      <c r="E1390" s="175">
        <f t="shared" si="2"/>
        <v>-2.736246687</v>
      </c>
      <c r="F1390" s="175">
        <f>IFERROR(__xludf.DUMMYFUNCTION("average.weighted(filter(Data!K:K,Data!B:B=A1390),filter(Data!F:F,Data!B:B=A1390))"),-1.4403886360698277)</f>
        <v>-1.440388636</v>
      </c>
      <c r="G1390" s="175">
        <f>IFERROR(__xludf.DUMMYFUNCTION("average.weighted(filter(Data!L:L,Data!B:B=A1390),filter(Data!F:F,Data!B:B=A1390))"),-1.2958580507266741)</f>
        <v>-1.295858051</v>
      </c>
    </row>
    <row r="1391">
      <c r="A1391" s="172" t="s">
        <v>1623</v>
      </c>
      <c r="B1391" s="173">
        <f>countif(Data!B:B,A1391)</f>
        <v>1</v>
      </c>
      <c r="C1391" s="174">
        <f>sumif(Data!B:B,A1391,Data!M:M)</f>
        <v>-0.09548008991</v>
      </c>
      <c r="D1391" s="174">
        <f t="shared" si="1"/>
        <v>-0.09548008991</v>
      </c>
      <c r="E1391" s="175">
        <f t="shared" si="2"/>
        <v>-2.748710704</v>
      </c>
      <c r="F1391" s="175">
        <f>IFERROR(__xludf.DUMMYFUNCTION("average.weighted(filter(Data!K:K,Data!B:B=A1391),filter(Data!F:F,Data!B:B=A1391))"),-1.62010170770004)</f>
        <v>-1.620101708</v>
      </c>
      <c r="G1391" s="175">
        <f>IFERROR(__xludf.DUMMYFUNCTION("average.weighted(filter(Data!L:L,Data!B:B=A1391),filter(Data!F:F,Data!B:B=A1391))"),-1.12860899659544)</f>
        <v>-1.128608997</v>
      </c>
    </row>
    <row r="1392">
      <c r="A1392" s="172" t="s">
        <v>1624</v>
      </c>
      <c r="B1392" s="173">
        <f>countif(Data!B:B,A1392)</f>
        <v>3</v>
      </c>
      <c r="C1392" s="174">
        <f>sumif(Data!B:B,A1392,Data!M:M)</f>
        <v>-0.5121405713</v>
      </c>
      <c r="D1392" s="174">
        <f t="shared" si="1"/>
        <v>-0.1707135238</v>
      </c>
      <c r="E1392" s="175">
        <f t="shared" si="2"/>
        <v>-2.784470216</v>
      </c>
      <c r="F1392" s="175">
        <f>IFERROR(__xludf.DUMMYFUNCTION("average.weighted(filter(Data!K:K,Data!B:B=A1392),filter(Data!F:F,Data!B:B=A1392))"),-1.419498251816471)</f>
        <v>-1.419498252</v>
      </c>
      <c r="G1392" s="175">
        <f>IFERROR(__xludf.DUMMYFUNCTION("average.weighted(filter(Data!L:L,Data!B:B=A1392),filter(Data!F:F,Data!B:B=A1392))"),-1.364971964174075)</f>
        <v>-1.364971964</v>
      </c>
    </row>
    <row r="1393">
      <c r="A1393" s="172" t="s">
        <v>1625</v>
      </c>
      <c r="B1393" s="173">
        <f>countif(Data!B:B,A1393)</f>
        <v>4</v>
      </c>
      <c r="C1393" s="174">
        <f>sumif(Data!B:B,A1393,Data!M:M)</f>
        <v>-0.4476014949</v>
      </c>
      <c r="D1393" s="174">
        <f t="shared" si="1"/>
        <v>-0.1119003737</v>
      </c>
      <c r="E1393" s="175">
        <f t="shared" si="2"/>
        <v>-2.798130829</v>
      </c>
      <c r="F1393" s="175">
        <f>IFERROR(__xludf.DUMMYFUNCTION("average.weighted(filter(Data!K:K,Data!B:B=A1393),filter(Data!F:F,Data!B:B=A1393))"),-2.010493411457721)</f>
        <v>-2.010493411</v>
      </c>
      <c r="G1393" s="175">
        <f>IFERROR(__xludf.DUMMYFUNCTION("average.weighted(filter(Data!L:L,Data!B:B=A1393),filter(Data!F:F,Data!B:B=A1393))"),-0.7876374174144513)</f>
        <v>-0.7876374174</v>
      </c>
    </row>
    <row r="1394">
      <c r="A1394" s="172" t="s">
        <v>1626</v>
      </c>
      <c r="B1394" s="173">
        <f>countif(Data!B:B,A1394)</f>
        <v>1</v>
      </c>
      <c r="C1394" s="174">
        <f>sumif(Data!B:B,A1394,Data!M:M)</f>
        <v>-0.06280525509</v>
      </c>
      <c r="D1394" s="174">
        <f t="shared" si="1"/>
        <v>-0.06280525509</v>
      </c>
      <c r="E1394" s="175">
        <f t="shared" si="2"/>
        <v>-2.800977978</v>
      </c>
      <c r="F1394" s="175">
        <f>IFERROR(__xludf.DUMMYFUNCTION("average.weighted(filter(Data!K:K,Data!B:B=A1394),filter(Data!F:F,Data!B:B=A1394))"),-2.77128325468496)</f>
        <v>-2.771283255</v>
      </c>
      <c r="G1394" s="175">
        <f>IFERROR(__xludf.DUMMYFUNCTION("average.weighted(filter(Data!L:L,Data!B:B=A1394),filter(Data!F:F,Data!B:B=A1394))"),-0.0296947234496266)</f>
        <v>-0.02969472345</v>
      </c>
    </row>
    <row r="1395">
      <c r="A1395" s="172" t="s">
        <v>1627</v>
      </c>
      <c r="B1395" s="173">
        <f>countif(Data!B:B,A1395)</f>
        <v>2</v>
      </c>
      <c r="C1395" s="174">
        <f>sumif(Data!B:B,A1395,Data!M:M)</f>
        <v>-0.3718592548</v>
      </c>
      <c r="D1395" s="174">
        <f t="shared" si="1"/>
        <v>-0.1859296274</v>
      </c>
      <c r="E1395" s="175">
        <f t="shared" si="2"/>
        <v>-2.838723096</v>
      </c>
      <c r="F1395" s="175">
        <f>IFERROR(__xludf.DUMMYFUNCTION("average.weighted(filter(Data!K:K,Data!B:B=A1395),filter(Data!F:F,Data!B:B=A1395))"),-2.2764906406260357)</f>
        <v>-2.276490641</v>
      </c>
      <c r="G1395" s="175">
        <f>IFERROR(__xludf.DUMMYFUNCTION("average.weighted(filter(Data!L:L,Data!B:B=A1395),filter(Data!F:F,Data!B:B=A1395))"),-0.562232455410812)</f>
        <v>-0.5622324554</v>
      </c>
    </row>
    <row r="1396">
      <c r="A1396" s="172" t="s">
        <v>1628</v>
      </c>
      <c r="B1396" s="173">
        <f>countif(Data!B:B,A1396)</f>
        <v>4</v>
      </c>
      <c r="C1396" s="174">
        <f>sumif(Data!B:B,A1396,Data!M:M)</f>
        <v>-1.471815985</v>
      </c>
      <c r="D1396" s="174">
        <f t="shared" si="1"/>
        <v>-0.3679539962</v>
      </c>
      <c r="E1396" s="175">
        <f t="shared" si="2"/>
        <v>-2.869304516</v>
      </c>
      <c r="F1396" s="175">
        <f>IFERROR(__xludf.DUMMYFUNCTION("average.weighted(filter(Data!K:K,Data!B:B=A1396),filter(Data!F:F,Data!B:B=A1396))"),-2.4084422411394524)</f>
        <v>-2.408442241</v>
      </c>
      <c r="G1396" s="175">
        <f>IFERROR(__xludf.DUMMYFUNCTION("average.weighted(filter(Data!L:L,Data!B:B=A1396),filter(Data!F:F,Data!B:B=A1396))"),-0.46086227516480094)</f>
        <v>-0.4608622752</v>
      </c>
    </row>
    <row r="1397">
      <c r="A1397" s="172" t="s">
        <v>1629</v>
      </c>
      <c r="B1397" s="173">
        <f>countif(Data!B:B,A1397)</f>
        <v>4</v>
      </c>
      <c r="C1397" s="174">
        <f>sumif(Data!B:B,A1397,Data!M:M)</f>
        <v>-1.091861917</v>
      </c>
      <c r="D1397" s="174">
        <f t="shared" si="1"/>
        <v>-0.2729654792</v>
      </c>
      <c r="E1397" s="175">
        <f t="shared" si="2"/>
        <v>-2.876043017</v>
      </c>
      <c r="F1397" s="175">
        <f>IFERROR(__xludf.DUMMYFUNCTION("average.weighted(filter(Data!K:K,Data!B:B=A1397),filter(Data!F:F,Data!B:B=A1397))"),-3.3634171347988833)</f>
        <v>-3.363417135</v>
      </c>
      <c r="G1397" s="175">
        <f>IFERROR(__xludf.DUMMYFUNCTION("average.weighted(filter(Data!L:L,Data!B:B=A1397),filter(Data!F:F,Data!B:B=A1397))"),0.4873741182459677)</f>
        <v>0.4873741182</v>
      </c>
    </row>
    <row r="1398">
      <c r="A1398" s="172" t="s">
        <v>1630</v>
      </c>
      <c r="B1398" s="173">
        <f>countif(Data!B:B,A1398)</f>
        <v>3</v>
      </c>
      <c r="C1398" s="174">
        <f>sumif(Data!B:B,A1398,Data!M:M)</f>
        <v>-0.2175712189</v>
      </c>
      <c r="D1398" s="174">
        <f t="shared" si="1"/>
        <v>-0.07252373962</v>
      </c>
      <c r="E1398" s="175">
        <f t="shared" si="2"/>
        <v>-2.890020969</v>
      </c>
      <c r="F1398" s="175">
        <f>IFERROR(__xludf.DUMMYFUNCTION("average.weighted(filter(Data!K:K,Data!B:B=A1398),filter(Data!F:F,Data!B:B=A1398))"),-2.3907456461167724)</f>
        <v>-2.390745646</v>
      </c>
      <c r="G1398" s="175">
        <f>IFERROR(__xludf.DUMMYFUNCTION("average.weighted(filter(Data!L:L,Data!B:B=A1398),filter(Data!F:F,Data!B:B=A1398))"),-0.4992753230018421)</f>
        <v>-0.499275323</v>
      </c>
    </row>
    <row r="1399">
      <c r="A1399" s="172" t="s">
        <v>1631</v>
      </c>
      <c r="B1399" s="173">
        <f>countif(Data!B:B,A1399)</f>
        <v>1</v>
      </c>
      <c r="C1399" s="174">
        <f>sumif(Data!B:B,A1399,Data!M:M)</f>
        <v>-0.1067224029</v>
      </c>
      <c r="D1399" s="174">
        <f t="shared" si="1"/>
        <v>-0.1067224029</v>
      </c>
      <c r="E1399" s="175">
        <f t="shared" si="2"/>
        <v>-2.924334853</v>
      </c>
      <c r="F1399" s="175">
        <f>IFERROR(__xludf.DUMMYFUNCTION("average.weighted(filter(Data!K:K,Data!B:B=A1399),filter(Data!F:F,Data!B:B=A1399))"),-1.7146153283425)</f>
        <v>-1.714615328</v>
      </c>
      <c r="G1399" s="175">
        <f>IFERROR(__xludf.DUMMYFUNCTION("average.weighted(filter(Data!L:L,Data!B:B=A1399),filter(Data!F:F,Data!B:B=A1399))"),-1.20971952488862)</f>
        <v>-1.209719525</v>
      </c>
    </row>
    <row r="1400">
      <c r="A1400" s="172" t="s">
        <v>1632</v>
      </c>
      <c r="B1400" s="173">
        <f>countif(Data!B:B,A1400)</f>
        <v>2</v>
      </c>
      <c r="C1400" s="174">
        <f>sumif(Data!B:B,A1400,Data!M:M)</f>
        <v>-0.2380648392</v>
      </c>
      <c r="D1400" s="174">
        <f t="shared" si="1"/>
        <v>-0.1190324196</v>
      </c>
      <c r="E1400" s="175">
        <f t="shared" si="2"/>
        <v>-2.925513891</v>
      </c>
      <c r="F1400" s="175">
        <f>IFERROR(__xludf.DUMMYFUNCTION("average.weighted(filter(Data!K:K,Data!B:B=A1400),filter(Data!F:F,Data!B:B=A1400))"),-2.7925613526928634)</f>
        <v>-2.792561353</v>
      </c>
      <c r="G1400" s="175">
        <f>IFERROR(__xludf.DUMMYFUNCTION("average.weighted(filter(Data!L:L,Data!B:B=A1400),filter(Data!F:F,Data!B:B=A1400))"),-0.13295253802947848)</f>
        <v>-0.132952538</v>
      </c>
    </row>
    <row r="1401">
      <c r="A1401" s="172" t="s">
        <v>1633</v>
      </c>
      <c r="B1401" s="173">
        <f>countif(Data!B:B,A1401)</f>
        <v>1</v>
      </c>
      <c r="C1401" s="174">
        <f>sumif(Data!B:B,A1401,Data!M:M)</f>
        <v>-0.4416474217</v>
      </c>
      <c r="D1401" s="174">
        <f t="shared" si="1"/>
        <v>-0.4416474217</v>
      </c>
      <c r="E1401" s="175">
        <f t="shared" si="2"/>
        <v>-2.997046916</v>
      </c>
      <c r="F1401" s="175">
        <f>IFERROR(__xludf.DUMMYFUNCTION("average.weighted(filter(Data!K:K,Data!B:B=A1401),filter(Data!F:F,Data!B:B=A1401))"),-1.46383063541291)</f>
        <v>-1.463830635</v>
      </c>
      <c r="G1401" s="175">
        <f>IFERROR(__xludf.DUMMYFUNCTION("average.weighted(filter(Data!L:L,Data!B:B=A1401),filter(Data!F:F,Data!B:B=A1401))"),-1.53321628009436)</f>
        <v>-1.53321628</v>
      </c>
    </row>
    <row r="1402">
      <c r="A1402" s="172" t="s">
        <v>1634</v>
      </c>
      <c r="B1402" s="173">
        <f>countif(Data!B:B,A1402)</f>
        <v>7</v>
      </c>
      <c r="C1402" s="174">
        <f>sumif(Data!B:B,A1402,Data!M:M)</f>
        <v>-2.810233302</v>
      </c>
      <c r="D1402" s="174">
        <f t="shared" si="1"/>
        <v>-0.4014619003</v>
      </c>
      <c r="E1402" s="175">
        <f t="shared" si="2"/>
        <v>-3.020211134</v>
      </c>
      <c r="F1402" s="175">
        <f>IFERROR(__xludf.DUMMYFUNCTION("average.weighted(filter(Data!K:K,Data!B:B=A1402),filter(Data!F:F,Data!B:B=A1402))"),-2.0044654278539293)</f>
        <v>-2.004465428</v>
      </c>
      <c r="G1402" s="175">
        <f>IFERROR(__xludf.DUMMYFUNCTION("average.weighted(filter(Data!L:L,Data!B:B=A1402),filter(Data!F:F,Data!B:B=A1402))"),-1.015745706117868)</f>
        <v>-1.015745706</v>
      </c>
    </row>
    <row r="1403">
      <c r="A1403" s="172" t="s">
        <v>1635</v>
      </c>
      <c r="B1403" s="173">
        <f>countif(Data!B:B,A1403)</f>
        <v>3</v>
      </c>
      <c r="C1403" s="174">
        <f>sumif(Data!B:B,A1403,Data!M:M)</f>
        <v>-2.685313641</v>
      </c>
      <c r="D1403" s="174">
        <f t="shared" si="1"/>
        <v>-0.8951045469</v>
      </c>
      <c r="E1403" s="175">
        <f t="shared" si="2"/>
        <v>-3.047377344</v>
      </c>
      <c r="F1403" s="175">
        <f>IFERROR(__xludf.DUMMYFUNCTION("average.weighted(filter(Data!K:K,Data!B:B=A1403),filter(Data!F:F,Data!B:B=A1403))"),-0.32571689948464966)</f>
        <v>-0.3257168995</v>
      </c>
      <c r="G1403" s="175">
        <f>IFERROR(__xludf.DUMMYFUNCTION("average.weighted(filter(Data!L:L,Data!B:B=A1403),filter(Data!F:F,Data!B:B=A1403))"),-2.721660444308318)</f>
        <v>-2.721660444</v>
      </c>
    </row>
    <row r="1404">
      <c r="A1404" s="172" t="s">
        <v>1636</v>
      </c>
      <c r="B1404" s="173">
        <f>countif(Data!B:B,A1404)</f>
        <v>2</v>
      </c>
      <c r="C1404" s="174">
        <f>sumif(Data!B:B,A1404,Data!M:M)</f>
        <v>-0.7890378959</v>
      </c>
      <c r="D1404" s="174">
        <f t="shared" si="1"/>
        <v>-0.394518948</v>
      </c>
      <c r="E1404" s="175">
        <f t="shared" si="2"/>
        <v>-3.029697371</v>
      </c>
      <c r="F1404" s="175">
        <f>IFERROR(__xludf.DUMMYFUNCTION("average.weighted(filter(Data!K:K,Data!B:B=A1404),filter(Data!F:F,Data!B:B=A1404))"),-2.914483986452686)</f>
        <v>-2.914483986</v>
      </c>
      <c r="G1404" s="175">
        <f>IFERROR(__xludf.DUMMYFUNCTION("average.weighted(filter(Data!L:L,Data!B:B=A1404),filter(Data!F:F,Data!B:B=A1404))"),-0.11521338439244486)</f>
        <v>-0.1152133844</v>
      </c>
    </row>
    <row r="1405">
      <c r="A1405" s="172" t="s">
        <v>1637</v>
      </c>
      <c r="B1405" s="173">
        <f>countif(Data!B:B,A1405)</f>
        <v>1</v>
      </c>
      <c r="C1405" s="174">
        <f>sumif(Data!B:B,A1405,Data!M:M)</f>
        <v>-0.5885529783</v>
      </c>
      <c r="D1405" s="174">
        <f t="shared" si="1"/>
        <v>-0.5885529783</v>
      </c>
      <c r="E1405" s="175">
        <f t="shared" si="2"/>
        <v>-3.078031629</v>
      </c>
      <c r="F1405" s="175">
        <f>IFERROR(__xludf.DUMMYFUNCTION("average.weighted(filter(Data!K:K,Data!B:B=A1405),filter(Data!F:F,Data!B:B=A1405))"),-2.18671899655299)</f>
        <v>-2.186718997</v>
      </c>
      <c r="G1405" s="175">
        <f>IFERROR(__xludf.DUMMYFUNCTION("average.weighted(filter(Data!L:L,Data!B:B=A1405),filter(Data!F:F,Data!B:B=A1405))"),-0.891312631980144)</f>
        <v>-0.891312632</v>
      </c>
    </row>
    <row r="1406">
      <c r="A1406" s="172" t="s">
        <v>1638</v>
      </c>
      <c r="B1406" s="173">
        <f>countif(Data!B:B,A1406)</f>
        <v>4</v>
      </c>
      <c r="C1406" s="174">
        <f>sumif(Data!B:B,A1406,Data!M:M)</f>
        <v>-1.120344033</v>
      </c>
      <c r="D1406" s="174">
        <f t="shared" si="1"/>
        <v>-0.2800860083</v>
      </c>
      <c r="E1406" s="175">
        <f t="shared" si="2"/>
        <v>-3.067715881</v>
      </c>
      <c r="F1406" s="175">
        <f>IFERROR(__xludf.DUMMYFUNCTION("average.weighted(filter(Data!K:K,Data!B:B=A1406),filter(Data!F:F,Data!B:B=A1406))"),-2.421952890462173)</f>
        <v>-2.42195289</v>
      </c>
      <c r="G1406" s="175">
        <f>IFERROR(__xludf.DUMMYFUNCTION("average.weighted(filter(Data!L:L,Data!B:B=A1406),filter(Data!F:F,Data!B:B=A1406))"),-0.6457629904925354)</f>
        <v>-0.6457629905</v>
      </c>
    </row>
    <row r="1407">
      <c r="A1407" s="172" t="s">
        <v>1639</v>
      </c>
      <c r="B1407" s="173">
        <f>countif(Data!B:B,A1407)</f>
        <v>2</v>
      </c>
      <c r="C1407" s="174">
        <f>sumif(Data!B:B,A1407,Data!M:M)</f>
        <v>-0.3235773917</v>
      </c>
      <c r="D1407" s="174">
        <f t="shared" si="1"/>
        <v>-0.1617886958</v>
      </c>
      <c r="E1407" s="175">
        <f t="shared" si="2"/>
        <v>-3.099963563</v>
      </c>
      <c r="F1407" s="175">
        <f>IFERROR(__xludf.DUMMYFUNCTION("average.weighted(filter(Data!K:K,Data!B:B=A1407),filter(Data!F:F,Data!B:B=A1407))"),-2.853697749545156)</f>
        <v>-2.85369775</v>
      </c>
      <c r="G1407" s="175">
        <f>IFERROR(__xludf.DUMMYFUNCTION("average.weighted(filter(Data!L:L,Data!B:B=A1407),filter(Data!F:F,Data!B:B=A1407))"),-0.2462658130146772)</f>
        <v>-0.246265813</v>
      </c>
    </row>
    <row r="1408">
      <c r="A1408" s="172" t="s">
        <v>1640</v>
      </c>
      <c r="B1408" s="173">
        <f>countif(Data!B:B,A1408)</f>
        <v>1</v>
      </c>
      <c r="C1408" s="174">
        <f>sumif(Data!B:B,A1408,Data!M:M)</f>
        <v>-0.5491751422</v>
      </c>
      <c r="D1408" s="174">
        <f t="shared" si="1"/>
        <v>-0.5491751422</v>
      </c>
      <c r="E1408" s="175">
        <f t="shared" si="2"/>
        <v>-3.105212921</v>
      </c>
      <c r="F1408" s="175">
        <f>IFERROR(__xludf.DUMMYFUNCTION("average.weighted(filter(Data!K:K,Data!B:B=A1408),filter(Data!F:F,Data!B:B=A1408))"),-2.14545650441352)</f>
        <v>-2.145456504</v>
      </c>
      <c r="G1408" s="175">
        <f>IFERROR(__xludf.DUMMYFUNCTION("average.weighted(filter(Data!L:L,Data!B:B=A1408),filter(Data!F:F,Data!B:B=A1408))"),-0.959756416226301)</f>
        <v>-0.9597564162</v>
      </c>
    </row>
    <row r="1409">
      <c r="A1409" s="172" t="s">
        <v>1641</v>
      </c>
      <c r="B1409" s="173">
        <f>countif(Data!B:B,A1409)</f>
        <v>1</v>
      </c>
      <c r="C1409" s="174">
        <f>sumif(Data!B:B,A1409,Data!M:M)</f>
        <v>0.2393029338</v>
      </c>
      <c r="D1409" s="174">
        <f t="shared" si="1"/>
        <v>0.2393029338</v>
      </c>
      <c r="E1409" s="175">
        <f t="shared" si="2"/>
        <v>-1.692594028</v>
      </c>
      <c r="F1409" s="175">
        <f>IFERROR(__xludf.DUMMYFUNCTION("average.weighted(filter(Data!K:K,Data!B:B=A1409),filter(Data!F:F,Data!B:B=A1409))"),-1.14279761579294)</f>
        <v>-1.142797616</v>
      </c>
      <c r="G1409" s="175">
        <f>IFERROR(__xludf.DUMMYFUNCTION("average.weighted(filter(Data!L:L,Data!B:B=A1409),filter(Data!F:F,Data!B:B=A1409))"),-0.549796411900025)</f>
        <v>-0.5497964119</v>
      </c>
    </row>
    <row r="1410">
      <c r="A1410" s="172" t="s">
        <v>1642</v>
      </c>
      <c r="B1410" s="173">
        <f>countif(Data!B:B,A1410)</f>
        <v>4</v>
      </c>
      <c r="C1410" s="174">
        <f>sumif(Data!B:B,A1410,Data!M:M)</f>
        <v>-1.628332149</v>
      </c>
      <c r="D1410" s="174">
        <f t="shared" si="1"/>
        <v>-0.4070830373</v>
      </c>
      <c r="E1410" s="175">
        <f t="shared" si="2"/>
        <v>-3.060980633</v>
      </c>
      <c r="F1410" s="175">
        <f>IFERROR(__xludf.DUMMYFUNCTION("average.weighted(filter(Data!K:K,Data!B:B=A1410),filter(Data!F:F,Data!B:B=A1410))"),-2.4659629269970207)</f>
        <v>-2.465962927</v>
      </c>
      <c r="G1410" s="175">
        <f>IFERROR(__xludf.DUMMYFUNCTION("average.weighted(filter(Data!L:L,Data!B:B=A1410),filter(Data!F:F,Data!B:B=A1410))"),-0.5950177063481448)</f>
        <v>-0.5950177063</v>
      </c>
    </row>
    <row r="1411">
      <c r="A1411" s="172" t="s">
        <v>1643</v>
      </c>
      <c r="B1411" s="173">
        <f>countif(Data!B:B,A1411)</f>
        <v>1</v>
      </c>
      <c r="C1411" s="174">
        <f>sumif(Data!B:B,A1411,Data!M:M)</f>
        <v>-0.3089045972</v>
      </c>
      <c r="D1411" s="174">
        <f t="shared" si="1"/>
        <v>-0.3089045972</v>
      </c>
      <c r="E1411" s="175">
        <f t="shared" si="2"/>
        <v>-3.13496113</v>
      </c>
      <c r="F1411" s="175">
        <f>IFERROR(__xludf.DUMMYFUNCTION("average.weighted(filter(Data!K:K,Data!B:B=A1411),filter(Data!F:F,Data!B:B=A1411))"),-1.00602254794724)</f>
        <v>-1.006022548</v>
      </c>
      <c r="G1411" s="175">
        <f>IFERROR(__xludf.DUMMYFUNCTION("average.weighted(filter(Data!L:L,Data!B:B=A1411),filter(Data!F:F,Data!B:B=A1411))"),-2.1289385820102)</f>
        <v>-2.128938582</v>
      </c>
    </row>
    <row r="1412">
      <c r="A1412" s="172" t="s">
        <v>1644</v>
      </c>
      <c r="B1412" s="173">
        <f>countif(Data!B:B,A1412)</f>
        <v>2</v>
      </c>
      <c r="C1412" s="174">
        <f>sumif(Data!B:B,A1412,Data!M:M)</f>
        <v>-0.6221598373</v>
      </c>
      <c r="D1412" s="174">
        <f t="shared" si="1"/>
        <v>-0.3110799186</v>
      </c>
      <c r="E1412" s="175">
        <f t="shared" si="2"/>
        <v>-3.210973581</v>
      </c>
      <c r="F1412" s="175">
        <f>IFERROR(__xludf.DUMMYFUNCTION("average.weighted(filter(Data!K:K,Data!B:B=A1412),filter(Data!F:F,Data!B:B=A1412))"),-1.2738963086178952)</f>
        <v>-1.273896309</v>
      </c>
      <c r="G1412" s="175">
        <f>IFERROR(__xludf.DUMMYFUNCTION("average.weighted(filter(Data!L:L,Data!B:B=A1412),filter(Data!F:F,Data!B:B=A1412))"),-1.9370772720050737)</f>
        <v>-1.937077272</v>
      </c>
    </row>
    <row r="1413">
      <c r="A1413" s="172" t="s">
        <v>1645</v>
      </c>
      <c r="B1413" s="173">
        <f>countif(Data!B:B,A1413)</f>
        <v>4</v>
      </c>
      <c r="C1413" s="174">
        <f>sumif(Data!B:B,A1413,Data!M:M)</f>
        <v>-2.075275258</v>
      </c>
      <c r="D1413" s="174">
        <f t="shared" si="1"/>
        <v>-0.5188188145</v>
      </c>
      <c r="E1413" s="175">
        <f t="shared" si="2"/>
        <v>-3.260399999</v>
      </c>
      <c r="F1413" s="175">
        <f>IFERROR(__xludf.DUMMYFUNCTION("average.weighted(filter(Data!K:K,Data!B:B=A1413),filter(Data!F:F,Data!B:B=A1413))"),-2.4105429237208926)</f>
        <v>-2.410542924</v>
      </c>
      <c r="G1413" s="175">
        <f>IFERROR(__xludf.DUMMYFUNCTION("average.weighted(filter(Data!L:L,Data!B:B=A1413),filter(Data!F:F,Data!B:B=A1413))"),-0.8498570755504898)</f>
        <v>-0.8498570756</v>
      </c>
    </row>
    <row r="1414">
      <c r="A1414" s="172" t="s">
        <v>1646</v>
      </c>
      <c r="B1414" s="173">
        <f>countif(Data!B:B,A1414)</f>
        <v>2</v>
      </c>
      <c r="C1414" s="174">
        <f>sumif(Data!B:B,A1414,Data!M:M)</f>
        <v>-1.119164354</v>
      </c>
      <c r="D1414" s="174">
        <f t="shared" si="1"/>
        <v>-0.559582177</v>
      </c>
      <c r="E1414" s="175">
        <f t="shared" si="2"/>
        <v>-3.29298087</v>
      </c>
      <c r="F1414" s="175">
        <f>IFERROR(__xludf.DUMMYFUNCTION("average.weighted(filter(Data!K:K,Data!B:B=A1414),filter(Data!F:F,Data!B:B=A1414))"),-1.5331452655574263)</f>
        <v>-1.533145266</v>
      </c>
      <c r="G1414" s="175">
        <f>IFERROR(__xludf.DUMMYFUNCTION("average.weighted(filter(Data!L:L,Data!B:B=A1414),filter(Data!F:F,Data!B:B=A1414))"),-1.7598356043648287)</f>
        <v>-1.759835604</v>
      </c>
    </row>
    <row r="1415">
      <c r="A1415" s="172" t="s">
        <v>1647</v>
      </c>
      <c r="B1415" s="173">
        <f>countif(Data!B:B,A1415)</f>
        <v>2</v>
      </c>
      <c r="C1415" s="174">
        <f>sumif(Data!B:B,A1415,Data!M:M)</f>
        <v>-2.086945709</v>
      </c>
      <c r="D1415" s="174">
        <f t="shared" si="1"/>
        <v>-1.043472855</v>
      </c>
      <c r="E1415" s="175">
        <f t="shared" si="2"/>
        <v>-3.36382665</v>
      </c>
      <c r="F1415" s="175">
        <f>IFERROR(__xludf.DUMMYFUNCTION("average.weighted(filter(Data!K:K,Data!B:B=A1415),filter(Data!F:F,Data!B:B=A1415))"),-2.1778864506741105)</f>
        <v>-2.177886451</v>
      </c>
      <c r="G1415" s="175">
        <f>IFERROR(__xludf.DUMMYFUNCTION("average.weighted(filter(Data!L:L,Data!B:B=A1415),filter(Data!F:F,Data!B:B=A1415))"),-1.1859401991877063)</f>
        <v>-1.185940199</v>
      </c>
    </row>
    <row r="1416">
      <c r="A1416" s="172" t="s">
        <v>1648</v>
      </c>
      <c r="B1416" s="173">
        <f>countif(Data!B:B,A1416)</f>
        <v>2</v>
      </c>
      <c r="C1416" s="174">
        <f>sumif(Data!B:B,A1416,Data!M:M)</f>
        <v>-2.230235578</v>
      </c>
      <c r="D1416" s="174">
        <f t="shared" si="1"/>
        <v>-1.115117789</v>
      </c>
      <c r="E1416" s="175">
        <f t="shared" si="2"/>
        <v>-3.636797533</v>
      </c>
      <c r="F1416" s="175">
        <f>IFERROR(__xludf.DUMMYFUNCTION("average.weighted(filter(Data!K:K,Data!B:B=A1416),filter(Data!F:F,Data!B:B=A1416))"),-1.8431995734156505)</f>
        <v>-1.843199573</v>
      </c>
      <c r="G1416" s="175">
        <f>IFERROR(__xludf.DUMMYFUNCTION("average.weighted(filter(Data!L:L,Data!B:B=A1416),filter(Data!F:F,Data!B:B=A1416))"),-1.793597959782398)</f>
        <v>-1.79359796</v>
      </c>
    </row>
    <row r="1417">
      <c r="A1417" s="172" t="s">
        <v>1649</v>
      </c>
      <c r="B1417" s="173">
        <f>countif(Data!B:B,A1417)</f>
        <v>4</v>
      </c>
      <c r="C1417" s="174">
        <f>sumif(Data!B:B,A1417,Data!M:M)</f>
        <v>-4.549581832</v>
      </c>
      <c r="D1417" s="174">
        <f t="shared" si="1"/>
        <v>-1.137395458</v>
      </c>
      <c r="E1417" s="175">
        <f t="shared" si="2"/>
        <v>-3.392090127</v>
      </c>
      <c r="F1417" s="175">
        <f>IFERROR(__xludf.DUMMYFUNCTION("average.weighted(filter(Data!K:K,Data!B:B=A1417),filter(Data!F:F,Data!B:B=A1417))"),-1.8300666576701288)</f>
        <v>-1.830066658</v>
      </c>
      <c r="G1417" s="175">
        <f>IFERROR(__xludf.DUMMYFUNCTION("average.weighted(filter(Data!L:L,Data!B:B=A1417),filter(Data!F:F,Data!B:B=A1417))"),-1.5620234697856423)</f>
        <v>-1.56202347</v>
      </c>
    </row>
    <row r="1418">
      <c r="A1418" s="172" t="s">
        <v>1650</v>
      </c>
      <c r="B1418" s="173">
        <f>countif(Data!B:B,A1418)</f>
        <v>2</v>
      </c>
      <c r="C1418" s="174">
        <f>sumif(Data!B:B,A1418,Data!M:M)</f>
        <v>-1.030330079</v>
      </c>
      <c r="D1418" s="174">
        <f t="shared" si="1"/>
        <v>-0.5151650394</v>
      </c>
      <c r="E1418" s="175">
        <f t="shared" si="2"/>
        <v>-3.429271673</v>
      </c>
      <c r="F1418" s="175">
        <f>IFERROR(__xludf.DUMMYFUNCTION("average.weighted(filter(Data!K:K,Data!B:B=A1418),filter(Data!F:F,Data!B:B=A1418))"),-2.4305928562001)</f>
        <v>-2.430592856</v>
      </c>
      <c r="G1418" s="175">
        <f>IFERROR(__xludf.DUMMYFUNCTION("average.weighted(filter(Data!L:L,Data!B:B=A1418),filter(Data!F:F,Data!B:B=A1418))"),-0.9986788167912087)</f>
        <v>-0.9986788168</v>
      </c>
    </row>
    <row r="1419">
      <c r="A1419" s="172" t="s">
        <v>1651</v>
      </c>
      <c r="B1419" s="173">
        <f>countif(Data!B:B,A1419)</f>
        <v>4</v>
      </c>
      <c r="C1419" s="174">
        <f>sumif(Data!B:B,A1419,Data!M:M)</f>
        <v>-1.271439723</v>
      </c>
      <c r="D1419" s="174">
        <f t="shared" si="1"/>
        <v>-0.3178599309</v>
      </c>
      <c r="E1419" s="175">
        <f t="shared" si="2"/>
        <v>-3.481989819</v>
      </c>
      <c r="F1419" s="175">
        <f>IFERROR(__xludf.DUMMYFUNCTION("average.weighted(filter(Data!K:K,Data!B:B=A1419),filter(Data!F:F,Data!B:B=A1419))"),-2.452183407355928)</f>
        <v>-2.452183407</v>
      </c>
      <c r="G1419" s="175">
        <f>IFERROR(__xludf.DUMMYFUNCTION("average.weighted(filter(Data!L:L,Data!B:B=A1419),filter(Data!F:F,Data!B:B=A1419))"),-1.029806412137129)</f>
        <v>-1.029806412</v>
      </c>
    </row>
    <row r="1420">
      <c r="A1420" s="172" t="s">
        <v>1652</v>
      </c>
      <c r="B1420" s="173">
        <f>countif(Data!B:B,A1420)</f>
        <v>1</v>
      </c>
      <c r="C1420" s="174">
        <f>sumif(Data!B:B,A1420,Data!M:M)</f>
        <v>-0.2177951628</v>
      </c>
      <c r="D1420" s="174">
        <f t="shared" si="1"/>
        <v>-0.2177951628</v>
      </c>
      <c r="E1420" s="175">
        <f t="shared" si="2"/>
        <v>-2.725342684</v>
      </c>
      <c r="F1420" s="175">
        <f>IFERROR(__xludf.DUMMYFUNCTION("average.weighted(filter(Data!K:K,Data!B:B=A1420),filter(Data!F:F,Data!B:B=A1420))"),-2.82188127725229)</f>
        <v>-2.821881277</v>
      </c>
      <c r="G1420" s="175">
        <f>IFERROR(__xludf.DUMMYFUNCTION("average.weighted(filter(Data!L:L,Data!B:B=A1420),filter(Data!F:F,Data!B:B=A1420))"),0.0965385934176924)</f>
        <v>0.09653859342</v>
      </c>
    </row>
    <row r="1421">
      <c r="A1421" s="172" t="s">
        <v>1653</v>
      </c>
      <c r="B1421" s="173">
        <f>countif(Data!B:B,A1421)</f>
        <v>1</v>
      </c>
      <c r="C1421" s="174">
        <f>sumif(Data!B:B,A1421,Data!M:M)</f>
        <v>-0.2173720578</v>
      </c>
      <c r="D1421" s="174">
        <f t="shared" si="1"/>
        <v>-0.2173720578</v>
      </c>
      <c r="E1421" s="175">
        <f t="shared" si="2"/>
        <v>-3.540383375</v>
      </c>
      <c r="F1421" s="175">
        <f>IFERROR(__xludf.DUMMYFUNCTION("average.weighted(filter(Data!K:K,Data!B:B=A1421),filter(Data!F:F,Data!B:B=A1421))"),-2.02967085476116)</f>
        <v>-2.029670855</v>
      </c>
      <c r="G1421" s="175">
        <f>IFERROR(__xludf.DUMMYFUNCTION("average.weighted(filter(Data!L:L,Data!B:B=A1421),filter(Data!F:F,Data!B:B=A1421))"),-1.51071252029124)</f>
        <v>-1.51071252</v>
      </c>
    </row>
    <row r="1422">
      <c r="A1422" s="172" t="s">
        <v>1654</v>
      </c>
      <c r="B1422" s="173">
        <f>countif(Data!B:B,A1422)</f>
        <v>1</v>
      </c>
      <c r="C1422" s="174">
        <f>sumif(Data!B:B,A1422,Data!M:M)</f>
        <v>-0.4184682782</v>
      </c>
      <c r="D1422" s="174">
        <f t="shared" si="1"/>
        <v>-0.4184682782</v>
      </c>
      <c r="E1422" s="175">
        <f t="shared" si="2"/>
        <v>-3.37092578</v>
      </c>
      <c r="F1422" s="175">
        <f>IFERROR(__xludf.DUMMYFUNCTION("average.weighted(filter(Data!K:K,Data!B:B=A1422),filter(Data!F:F,Data!B:B=A1422))"),-2.88908617309162)</f>
        <v>-2.889086173</v>
      </c>
      <c r="G1422" s="175">
        <f>IFERROR(__xludf.DUMMYFUNCTION("average.weighted(filter(Data!L:L,Data!B:B=A1422),filter(Data!F:F,Data!B:B=A1422))"),-0.481839607346079)</f>
        <v>-0.4818396073</v>
      </c>
    </row>
    <row r="1423">
      <c r="A1423" s="172" t="s">
        <v>1655</v>
      </c>
      <c r="B1423" s="173">
        <f>countif(Data!B:B,A1423)</f>
        <v>1</v>
      </c>
      <c r="C1423" s="174">
        <f>sumif(Data!B:B,A1423,Data!M:M)</f>
        <v>-0.6207084385</v>
      </c>
      <c r="D1423" s="174">
        <f t="shared" si="1"/>
        <v>-0.6207084385</v>
      </c>
      <c r="E1423" s="175">
        <f t="shared" si="2"/>
        <v>-3.382700502</v>
      </c>
      <c r="F1423" s="175">
        <f>IFERROR(__xludf.DUMMYFUNCTION("average.weighted(filter(Data!K:K,Data!B:B=A1423),filter(Data!F:F,Data!B:B=A1423))"),-1.15746620657944)</f>
        <v>-1.157466207</v>
      </c>
      <c r="G1423" s="175">
        <f>IFERROR(__xludf.DUMMYFUNCTION("average.weighted(filter(Data!L:L,Data!B:B=A1423),filter(Data!F:F,Data!B:B=A1423))"),-2.22523429578068)</f>
        <v>-2.225234296</v>
      </c>
    </row>
    <row r="1424">
      <c r="A1424" s="172" t="s">
        <v>1656</v>
      </c>
      <c r="B1424" s="173">
        <f>countif(Data!B:B,A1424)</f>
        <v>2</v>
      </c>
      <c r="C1424" s="174">
        <f>sumif(Data!B:B,A1424,Data!M:M)</f>
        <v>-1.223066889</v>
      </c>
      <c r="D1424" s="174">
        <f t="shared" si="1"/>
        <v>-0.6115334445</v>
      </c>
      <c r="E1424" s="175">
        <f t="shared" si="2"/>
        <v>-4.041160343</v>
      </c>
      <c r="F1424" s="175">
        <f>IFERROR(__xludf.DUMMYFUNCTION("average.weighted(filter(Data!K:K,Data!B:B=A1424),filter(Data!F:F,Data!B:B=A1424))"),-2.5248144702030793)</f>
        <v>-2.52481447</v>
      </c>
      <c r="G1424" s="175">
        <f>IFERROR(__xludf.DUMMYFUNCTION("average.weighted(filter(Data!L:L,Data!B:B=A1424),filter(Data!F:F,Data!B:B=A1424))"),-1.5163458727649026)</f>
        <v>-1.516345873</v>
      </c>
    </row>
    <row r="1425">
      <c r="A1425" s="172" t="s">
        <v>1657</v>
      </c>
      <c r="B1425" s="173">
        <f>countif(Data!B:B,A1425)</f>
        <v>3</v>
      </c>
      <c r="C1425" s="174">
        <f>sumif(Data!B:B,A1425,Data!M:M)</f>
        <v>-1.568536838</v>
      </c>
      <c r="D1425" s="174">
        <f t="shared" si="1"/>
        <v>-0.5228456127</v>
      </c>
      <c r="E1425" s="175">
        <f t="shared" si="2"/>
        <v>-4.16729887</v>
      </c>
      <c r="F1425" s="175">
        <f>IFERROR(__xludf.DUMMYFUNCTION("average.weighted(filter(Data!K:K,Data!B:B=A1425),filter(Data!F:F,Data!B:B=A1425))"),-2.5624477772798)</f>
        <v>-2.562447777</v>
      </c>
      <c r="G1425" s="175">
        <f>IFERROR(__xludf.DUMMYFUNCTION("average.weighted(filter(Data!L:L,Data!B:B=A1425),filter(Data!F:F,Data!B:B=A1425))"),-1.60485109254666)</f>
        <v>-1.604851093</v>
      </c>
    </row>
    <row r="1426">
      <c r="A1426" s="172" t="s">
        <v>1658</v>
      </c>
      <c r="B1426" s="173">
        <f>countif(Data!B:B,A1426)</f>
        <v>2</v>
      </c>
      <c r="C1426" s="174">
        <f>sumif(Data!B:B,A1426,Data!M:M)</f>
        <v>-0.7993427218</v>
      </c>
      <c r="D1426" s="174">
        <f t="shared" si="1"/>
        <v>-0.3996713609</v>
      </c>
      <c r="E1426" s="175">
        <f t="shared" si="2"/>
        <v>-4.227761139</v>
      </c>
      <c r="F1426" s="175">
        <f>IFERROR(__xludf.DUMMYFUNCTION("average.weighted(filter(Data!K:K,Data!B:B=A1426),filter(Data!F:F,Data!B:B=A1426))"),-2.0865365486131866)</f>
        <v>-2.086536549</v>
      </c>
      <c r="G1426" s="175">
        <f>IFERROR(__xludf.DUMMYFUNCTION("average.weighted(filter(Data!L:L,Data!B:B=A1426),filter(Data!F:F,Data!B:B=A1426))"),-2.141224590562511)</f>
        <v>-2.141224591</v>
      </c>
    </row>
    <row r="1427">
      <c r="A1427" s="172" t="s">
        <v>1659</v>
      </c>
      <c r="B1427" s="173">
        <f>countif(Data!B:B,A1427)</f>
        <v>3</v>
      </c>
      <c r="C1427" s="174">
        <f>sumif(Data!B:B,A1427,Data!M:M)</f>
        <v>-2.443807957</v>
      </c>
      <c r="D1427" s="174">
        <f t="shared" si="1"/>
        <v>-0.8146026524</v>
      </c>
      <c r="E1427" s="175">
        <f t="shared" si="2"/>
        <v>-4.15857092</v>
      </c>
      <c r="F1427" s="175">
        <f>IFERROR(__xludf.DUMMYFUNCTION("average.weighted(filter(Data!K:K,Data!B:B=A1427),filter(Data!F:F,Data!B:B=A1427))"),-1.4477450533637615)</f>
        <v>-1.447745053</v>
      </c>
      <c r="G1427" s="175">
        <f>IFERROR(__xludf.DUMMYFUNCTION("average.weighted(filter(Data!L:L,Data!B:B=A1427),filter(Data!F:F,Data!B:B=A1427))"),-2.710825866534101)</f>
        <v>-2.710825867</v>
      </c>
    </row>
    <row r="1428">
      <c r="A1428" s="172" t="s">
        <v>1660</v>
      </c>
      <c r="B1428" s="173">
        <f>countif(Data!B:B,A1428)</f>
        <v>1</v>
      </c>
      <c r="C1428" s="174">
        <f>sumif(Data!B:B,A1428,Data!M:M)</f>
        <v>-1.12879962</v>
      </c>
      <c r="D1428" s="174">
        <f t="shared" si="1"/>
        <v>-1.12879962</v>
      </c>
      <c r="E1428" s="175">
        <f t="shared" si="2"/>
        <v>-4.330282116</v>
      </c>
      <c r="F1428" s="175">
        <f>IFERROR(__xludf.DUMMYFUNCTION("average.weighted(filter(Data!K:K,Data!B:B=A1428),filter(Data!F:F,Data!B:B=A1428))"),-3.44644091431162)</f>
        <v>-3.446440914</v>
      </c>
      <c r="G1428" s="175">
        <f>IFERROR(__xludf.DUMMYFUNCTION("average.weighted(filter(Data!L:L,Data!B:B=A1428),filter(Data!F:F,Data!B:B=A1428))"),-0.883841201624956)</f>
        <v>-0.8838412016</v>
      </c>
    </row>
    <row r="1429">
      <c r="A1429" s="172" t="s">
        <v>1661</v>
      </c>
      <c r="B1429" s="173">
        <f>countif(Data!B:B,A1429)</f>
        <v>3</v>
      </c>
      <c r="C1429" s="174">
        <f>sumif(Data!B:B,A1429,Data!M:M)</f>
        <v>-4.759502755</v>
      </c>
      <c r="D1429" s="174">
        <f t="shared" si="1"/>
        <v>-1.586500918</v>
      </c>
      <c r="E1429" s="175">
        <f t="shared" si="2"/>
        <v>-4.309045425</v>
      </c>
      <c r="F1429" s="175">
        <f>IFERROR(__xludf.DUMMYFUNCTION("average.weighted(filter(Data!K:K,Data!B:B=A1429),filter(Data!F:F,Data!B:B=A1429))"),-2.428599726123243)</f>
        <v>-2.428599726</v>
      </c>
      <c r="G1429" s="175">
        <f>IFERROR(__xludf.DUMMYFUNCTION("average.weighted(filter(Data!L:L,Data!B:B=A1429),filter(Data!F:F,Data!B:B=A1429))"),-1.880445698986638)</f>
        <v>-1.880445699</v>
      </c>
    </row>
  </sheetData>
  <autoFilter ref="$A$1:$G$1429">
    <filterColumn colId="1">
      <filters>
        <filter val="1"/>
        <filter val="2"/>
        <filter val="3"/>
        <filter val="4"/>
        <filter val="5"/>
        <filter val="6"/>
        <filter val="7"/>
        <filter val="8"/>
      </filters>
    </filterColumn>
    <sortState ref="A1:G1429">
      <sortCondition descending="1" ref="E1:E1429"/>
    </sortState>
  </autoFilter>
  <conditionalFormatting sqref="C1:C1429">
    <cfRule type="colorScale" priority="1">
      <colorScale>
        <cfvo type="min"/>
        <cfvo type="max"/>
        <color rgb="FFFFFFFF"/>
        <color rgb="FFFFD666"/>
      </colorScale>
    </cfRule>
  </conditionalFormatting>
  <conditionalFormatting sqref="D1:D1429">
    <cfRule type="colorScale" priority="2">
      <colorScale>
        <cfvo type="min"/>
        <cfvo type="max"/>
        <color rgb="FFFFFFFF"/>
        <color rgb="FFFFD666"/>
      </colorScale>
    </cfRule>
  </conditionalFormatting>
  <conditionalFormatting sqref="B1:B1429">
    <cfRule type="colorScale" priority="3">
      <colorScale>
        <cfvo type="min"/>
        <cfvo type="max"/>
        <color rgb="FFFFFFFF"/>
        <color rgb="FFFFD666"/>
      </colorScale>
    </cfRule>
  </conditionalFormatting>
  <conditionalFormatting sqref="E1:E1429">
    <cfRule type="colorScale" priority="4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F1:F1429">
    <cfRule type="colorScale" priority="5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G1:G1429">
    <cfRule type="colorScale" priority="6">
      <colorScale>
        <cfvo type="min"/>
        <cfvo type="formula" val="0"/>
        <cfvo type="max"/>
        <color rgb="FFE67C73"/>
        <color rgb="FFFFFFFF"/>
        <color rgb="FF57BB8A"/>
      </colorScale>
    </cfRule>
  </conditionalFormatting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29"/>
    <col customWidth="1" min="2" max="2" width="11.57"/>
    <col customWidth="1" min="3" max="3" width="19.29"/>
    <col customWidth="1" min="4" max="4" width="19.14"/>
    <col customWidth="1" min="5" max="5" width="16.0"/>
    <col customWidth="1" min="6" max="6" width="35.86"/>
  </cols>
  <sheetData>
    <row r="1">
      <c r="A1" s="176" t="s">
        <v>22</v>
      </c>
      <c r="B1" s="176" t="s">
        <v>1662</v>
      </c>
      <c r="C1" s="41" t="s">
        <v>9</v>
      </c>
      <c r="D1" s="42" t="s">
        <v>10</v>
      </c>
      <c r="E1" s="43" t="s">
        <v>8</v>
      </c>
      <c r="F1" s="177" t="s">
        <v>1663</v>
      </c>
    </row>
    <row r="2" hidden="1">
      <c r="A2" s="1" t="s">
        <v>19</v>
      </c>
      <c r="B2" s="1" t="s">
        <v>68</v>
      </c>
      <c r="C2" s="10">
        <f>IFERROR(__xludf.DUMMYFUNCTION("average.weighted(filter(Data!J:J,Data!AC:AC=A2&amp;"",""&amp;B2),filter(Data!F:F,Data!AC:AC=A2&amp;"",""&amp;B2))"),2.063617989553637)</f>
        <v>2.06361799</v>
      </c>
      <c r="D2" s="10">
        <f>IFERROR(__xludf.DUMMYFUNCTION("average.weighted(filter(Data!K:K,Data!AC:AC=A2&amp;"",""&amp;B2),filter(Data!F:F,Data!AC:AC=A2&amp;"",""&amp;B2))"),1.555565749115399)</f>
        <v>1.555565749</v>
      </c>
      <c r="E2" s="10">
        <f t="shared" ref="E2:E372" si="1">D2+C2</f>
        <v>3.619183739</v>
      </c>
      <c r="F2" s="178">
        <f>IFERROR(__xludf.DUMMYFUNCTION("iferror(round(correl(filter(Data!I:I,Data!C:C=B2,Data!D:D=A2,Data!E:E&gt;=500),filter(Data!N:N,Data!C:C=B2,Data!D:D=A2,Data!E:E&gt;=500)),2),"""")"),0.1)</f>
        <v>0.1</v>
      </c>
    </row>
    <row r="3" hidden="1">
      <c r="A3" s="1" t="s">
        <v>25</v>
      </c>
      <c r="B3" s="1" t="s">
        <v>68</v>
      </c>
      <c r="C3" s="10">
        <f>IFERROR(__xludf.DUMMYFUNCTION("average.weighted(filter(Data!J:J,Data!AC:AC=A3&amp;"",""&amp;B3),filter(Data!F:F,Data!AC:AC=A3&amp;"",""&amp;B3))"),1.575140983917295)</f>
        <v>1.575140984</v>
      </c>
      <c r="D3" s="10">
        <f>IFERROR(__xludf.DUMMYFUNCTION("average.weighted(filter(Data!K:K,Data!AC:AC=A3&amp;"",""&amp;B3),filter(Data!F:F,Data!AC:AC=A3&amp;"",""&amp;B3))"),1.6627701669413621)</f>
        <v>1.662770167</v>
      </c>
      <c r="E3" s="10">
        <f t="shared" si="1"/>
        <v>3.237911151</v>
      </c>
      <c r="F3" s="178">
        <f>IFERROR(__xludf.DUMMYFUNCTION("iferror(round(correl(filter(Data!I:I,Data!C:C=B3,Data!D:D=A3,Data!E:E&gt;=500),filter(Data!N:N,Data!C:C=B3,Data!D:D=A3,Data!E:E&gt;=500)),2),"""")"),0.27)</f>
        <v>0.27</v>
      </c>
    </row>
    <row r="4" hidden="1">
      <c r="A4" s="1" t="s">
        <v>25</v>
      </c>
      <c r="B4" s="1" t="s">
        <v>69</v>
      </c>
      <c r="C4" s="10">
        <f>IFERROR(__xludf.DUMMYFUNCTION("average.weighted(filter(Data!J:J,Data!AC:AC=A4&amp;"",""&amp;B4),filter(Data!F:F,Data!AC:AC=A4&amp;"",""&amp;B4))"),1.71642660109231)</f>
        <v>1.716426601</v>
      </c>
      <c r="D4" s="10">
        <f>IFERROR(__xludf.DUMMYFUNCTION("average.weighted(filter(Data!K:K,Data!AC:AC=A4&amp;"",""&amp;B4),filter(Data!F:F,Data!AC:AC=A4&amp;"",""&amp;B4))"),1.455177389497063)</f>
        <v>1.455177389</v>
      </c>
      <c r="E4" s="10">
        <f t="shared" si="1"/>
        <v>3.171603991</v>
      </c>
      <c r="F4" s="178">
        <f>IFERROR(__xludf.DUMMYFUNCTION("iferror(round(correl(filter(Data!I:I,Data!C:C=B4,Data!D:D=A4,Data!E:E&gt;=500),filter(Data!N:N,Data!C:C=B4,Data!D:D=A4,Data!E:E&gt;=500)),2),"""")"),0.37)</f>
        <v>0.37</v>
      </c>
    </row>
    <row r="5" hidden="1">
      <c r="A5" s="1" t="s">
        <v>18</v>
      </c>
      <c r="B5" s="1" t="s">
        <v>62</v>
      </c>
      <c r="C5" s="10" t="str">
        <f>IFERROR(__xludf.DUMMYFUNCTION("average.weighted(filter(Data!J:J,Data!AC:AC=A5&amp;"",""&amp;B5),filter(Data!F:F,Data!AC:AC=A5&amp;"",""&amp;B5))"),"#N/A")</f>
        <v>#N/A</v>
      </c>
      <c r="D5" s="10" t="str">
        <f>IFERROR(__xludf.DUMMYFUNCTION("average.weighted(filter(Data!K:K,Data!AC:AC=A5&amp;"",""&amp;B5),filter(Data!F:F,Data!AC:AC=A5&amp;"",""&amp;B5))"),"#N/A")</f>
        <v>#N/A</v>
      </c>
      <c r="E5" s="10" t="str">
        <f t="shared" si="1"/>
        <v>#N/A</v>
      </c>
      <c r="F5" s="178" t="str">
        <f>IFERROR(__xludf.DUMMYFUNCTION("iferror(round(correl(filter(Data!I:I,Data!C:C=B5,Data!D:D=A5,Data!E:E&gt;=500),filter(Data!N:N,Data!C:C=B5,Data!D:D=A5,Data!E:E&gt;=500)),2),"""")"),"")</f>
        <v/>
      </c>
    </row>
    <row r="6" hidden="1">
      <c r="A6" s="1" t="s">
        <v>26</v>
      </c>
      <c r="B6" s="1" t="s">
        <v>65</v>
      </c>
      <c r="C6" s="10">
        <f>IFERROR(__xludf.DUMMYFUNCTION("average.weighted(filter(Data!J:J,Data!AC:AC=A6&amp;"",""&amp;B6),filter(Data!F:F,Data!AC:AC=A6&amp;"",""&amp;B6))"),1.5268653034497282)</f>
        <v>1.526865303</v>
      </c>
      <c r="D6" s="10">
        <f>IFERROR(__xludf.DUMMYFUNCTION("average.weighted(filter(Data!K:K,Data!AC:AC=A6&amp;"",""&amp;B6),filter(Data!F:F,Data!AC:AC=A6&amp;"",""&amp;B6))"),1.4241605139431968)</f>
        <v>1.424160514</v>
      </c>
      <c r="E6" s="10">
        <f t="shared" si="1"/>
        <v>2.951025817</v>
      </c>
      <c r="F6" s="178">
        <f>IFERROR(__xludf.DUMMYFUNCTION("iferror(round(correl(filter(Data!I:I,Data!C:C=B6,Data!D:D=A6,Data!E:E&gt;=500),filter(Data!N:N,Data!C:C=B6,Data!D:D=A6,Data!E:E&gt;=500)),2),"""")"),-0.13)</f>
        <v>-0.13</v>
      </c>
    </row>
    <row r="7" hidden="1">
      <c r="A7" s="1" t="s">
        <v>27</v>
      </c>
      <c r="B7" s="1" t="s">
        <v>63</v>
      </c>
      <c r="C7" s="10" t="str">
        <f>IFERROR(__xludf.DUMMYFUNCTION("average.weighted(filter(Data!J:J,Data!AC:AC=A7&amp;"",""&amp;B7),filter(Data!F:F,Data!AC:AC=A7&amp;"",""&amp;B7))"),"#N/A")</f>
        <v>#N/A</v>
      </c>
      <c r="D7" s="10" t="str">
        <f>IFERROR(__xludf.DUMMYFUNCTION("average.weighted(filter(Data!K:K,Data!AC:AC=A7&amp;"",""&amp;B7),filter(Data!F:F,Data!AC:AC=A7&amp;"",""&amp;B7))"),"#N/A")</f>
        <v>#N/A</v>
      </c>
      <c r="E7" s="10" t="str">
        <f t="shared" si="1"/>
        <v>#N/A</v>
      </c>
      <c r="F7" s="178" t="str">
        <f>IFERROR(__xludf.DUMMYFUNCTION("iferror(round(correl(filter(Data!I:I,Data!C:C=B7,Data!D:D=A7,Data!E:E&gt;=500),filter(Data!N:N,Data!C:C=B7,Data!D:D=A7,Data!E:E&gt;=500)),2),"""")"),"")</f>
        <v/>
      </c>
    </row>
    <row r="8" hidden="1">
      <c r="A8" s="1" t="s">
        <v>25</v>
      </c>
      <c r="B8" s="1" t="s">
        <v>70</v>
      </c>
      <c r="C8" s="10">
        <f>IFERROR(__xludf.DUMMYFUNCTION("average.weighted(filter(Data!J:J,Data!AC:AC=A8&amp;"",""&amp;B8),filter(Data!F:F,Data!AC:AC=A8&amp;"",""&amp;B8))"),1.4630783898131228)</f>
        <v>1.46307839</v>
      </c>
      <c r="D8" s="10">
        <f>IFERROR(__xludf.DUMMYFUNCTION("average.weighted(filter(Data!K:K,Data!AC:AC=A8&amp;"",""&amp;B8),filter(Data!F:F,Data!AC:AC=A8&amp;"",""&amp;B8))"),1.4633868679728446)</f>
        <v>1.463386868</v>
      </c>
      <c r="E8" s="10">
        <f t="shared" si="1"/>
        <v>2.926465258</v>
      </c>
      <c r="F8" s="178">
        <f>IFERROR(__xludf.DUMMYFUNCTION("iferror(round(correl(filter(Data!I:I,Data!C:C=B8,Data!D:D=A8,Data!E:E&gt;=500),filter(Data!N:N,Data!C:C=B8,Data!D:D=A8,Data!E:E&gt;=500)),2),"""")"),0.52)</f>
        <v>0.52</v>
      </c>
    </row>
    <row r="9">
      <c r="A9" s="1" t="s">
        <v>15</v>
      </c>
      <c r="B9" s="179" t="s">
        <v>13</v>
      </c>
      <c r="C9" s="10">
        <f>IFERROR(__xludf.DUMMYFUNCTION("average.weighted(filter(Data!J:J,Data!AC:AC=A9&amp;"",""&amp;B9),filter(Data!F:F,Data!AC:AC=A9&amp;"",""&amp;B9))"),1.4567262922416275)</f>
        <v>1.456726292</v>
      </c>
      <c r="D9" s="10">
        <f>IFERROR(__xludf.DUMMYFUNCTION("average.weighted(filter(Data!K:K,Data!AC:AC=A9&amp;"",""&amp;B9),filter(Data!F:F,Data!AC:AC=A9&amp;"",""&amp;B9))"),1.0022483543021008)</f>
        <v>1.002248354</v>
      </c>
      <c r="E9" s="10">
        <f t="shared" si="1"/>
        <v>2.458974647</v>
      </c>
      <c r="F9" s="178">
        <f>IFERROR(__xludf.DUMMYFUNCTION("iferror(round(correl(filter(Data!I:I,Data!C:C=B9,Data!D:D=A9,Data!E:E&gt;=500),filter(Data!N:N,Data!C:C=B9,Data!D:D=A9,Data!E:E&gt;=500)),2),"""")"),0.37)</f>
        <v>0.37</v>
      </c>
    </row>
    <row r="10" hidden="1">
      <c r="A10" s="1" t="s">
        <v>35</v>
      </c>
      <c r="B10" s="1" t="s">
        <v>62</v>
      </c>
      <c r="C10" s="10" t="str">
        <f>IFERROR(__xludf.DUMMYFUNCTION("average.weighted(filter(Data!J:J,Data!AC:AC=A10&amp;"",""&amp;B10),filter(Data!F:F,Data!AC:AC=A10&amp;"",""&amp;B10))"),"#N/A")</f>
        <v>#N/A</v>
      </c>
      <c r="D10" s="10" t="str">
        <f>IFERROR(__xludf.DUMMYFUNCTION("average.weighted(filter(Data!K:K,Data!AC:AC=A10&amp;"",""&amp;B10),filter(Data!F:F,Data!AC:AC=A10&amp;"",""&amp;B10))"),"#N/A")</f>
        <v>#N/A</v>
      </c>
      <c r="E10" s="10" t="str">
        <f t="shared" si="1"/>
        <v>#N/A</v>
      </c>
      <c r="F10" s="178" t="str">
        <f>IFERROR(__xludf.DUMMYFUNCTION("iferror(round(correl(filter(Data!I:I,Data!C:C=B10,Data!D:D=A10,Data!E:E&gt;=500),filter(Data!N:N,Data!C:C=B10,Data!D:D=A10,Data!E:E&gt;=500)),2),"""")"),"")</f>
        <v/>
      </c>
    </row>
    <row r="11" hidden="1">
      <c r="A11" s="1" t="s">
        <v>24</v>
      </c>
      <c r="B11" s="1" t="s">
        <v>64</v>
      </c>
      <c r="C11" s="10" t="str">
        <f>IFERROR(__xludf.DUMMYFUNCTION("average.weighted(filter(Data!J:J,Data!AC:AC=A11&amp;"",""&amp;B11),filter(Data!F:F,Data!AC:AC=A11&amp;"",""&amp;B11))"),"#N/A")</f>
        <v>#N/A</v>
      </c>
      <c r="D11" s="10" t="str">
        <f>IFERROR(__xludf.DUMMYFUNCTION("average.weighted(filter(Data!K:K,Data!AC:AC=A11&amp;"",""&amp;B11),filter(Data!F:F,Data!AC:AC=A11&amp;"",""&amp;B11))"),"#N/A")</f>
        <v>#N/A</v>
      </c>
      <c r="E11" s="10" t="str">
        <f t="shared" si="1"/>
        <v>#N/A</v>
      </c>
      <c r="F11" s="178" t="str">
        <f>IFERROR(__xludf.DUMMYFUNCTION("iferror(round(correl(filter(Data!I:I,Data!C:C=B11,Data!D:D=A11,Data!E:E&gt;=500),filter(Data!N:N,Data!C:C=B11,Data!D:D=A11,Data!E:E&gt;=500)),2),"""")"),"")</f>
        <v/>
      </c>
    </row>
    <row r="12" hidden="1">
      <c r="A12" s="1" t="s">
        <v>17</v>
      </c>
      <c r="B12" s="1" t="s">
        <v>62</v>
      </c>
      <c r="C12" s="10" t="str">
        <f>IFERROR(__xludf.DUMMYFUNCTION("average.weighted(filter(Data!J:J,Data!AC:AC=A12&amp;"",""&amp;B12),filter(Data!F:F,Data!AC:AC=A12&amp;"",""&amp;B12))"),"#N/A")</f>
        <v>#N/A</v>
      </c>
      <c r="D12" s="10" t="str">
        <f>IFERROR(__xludf.DUMMYFUNCTION("average.weighted(filter(Data!K:K,Data!AC:AC=A12&amp;"",""&amp;B12),filter(Data!F:F,Data!AC:AC=A12&amp;"",""&amp;B12))"),"#N/A")</f>
        <v>#N/A</v>
      </c>
      <c r="E12" s="10" t="str">
        <f t="shared" si="1"/>
        <v>#N/A</v>
      </c>
      <c r="F12" s="178" t="str">
        <f>IFERROR(__xludf.DUMMYFUNCTION("iferror(round(correl(filter(Data!I:I,Data!C:C=B12,Data!D:D=A12,Data!E:E&gt;=500),filter(Data!N:N,Data!C:C=B12,Data!D:D=A12,Data!E:E&gt;=500)),2),"""")"),"")</f>
        <v/>
      </c>
    </row>
    <row r="13" hidden="1">
      <c r="A13" s="1" t="s">
        <v>26</v>
      </c>
      <c r="B13" s="1" t="s">
        <v>66</v>
      </c>
      <c r="C13" s="10">
        <f>IFERROR(__xludf.DUMMYFUNCTION("average.weighted(filter(Data!J:J,Data!AC:AC=A13&amp;"",""&amp;B13),filter(Data!F:F,Data!AC:AC=A13&amp;"",""&amp;B13))"),1.5238108165188513)</f>
        <v>1.523810817</v>
      </c>
      <c r="D13" s="10">
        <f>IFERROR(__xludf.DUMMYFUNCTION("average.weighted(filter(Data!K:K,Data!AC:AC=A13&amp;"",""&amp;B13),filter(Data!F:F,Data!AC:AC=A13&amp;"",""&amp;B13))"),1.3736748466382316)</f>
        <v>1.373674847</v>
      </c>
      <c r="E13" s="10">
        <f t="shared" si="1"/>
        <v>2.897485663</v>
      </c>
      <c r="F13" s="178">
        <f>IFERROR(__xludf.DUMMYFUNCTION("iferror(round(correl(filter(Data!I:I,Data!C:C=B13,Data!D:D=A13,Data!E:E&gt;=500),filter(Data!N:N,Data!C:C=B13,Data!D:D=A13,Data!E:E&gt;=500)),2),"""")"),0.15)</f>
        <v>0.15</v>
      </c>
    </row>
    <row r="14" hidden="1">
      <c r="A14" s="1" t="s">
        <v>24</v>
      </c>
      <c r="B14" s="1" t="s">
        <v>67</v>
      </c>
      <c r="C14" s="10">
        <f>IFERROR(__xludf.DUMMYFUNCTION("average.weighted(filter(Data!J:J,Data!AC:AC=A14&amp;"",""&amp;B14),filter(Data!F:F,Data!AC:AC=A14&amp;"",""&amp;B14))"),1.4353960581836525)</f>
        <v>1.435396058</v>
      </c>
      <c r="D14" s="10">
        <f>IFERROR(__xludf.DUMMYFUNCTION("average.weighted(filter(Data!K:K,Data!AC:AC=A14&amp;"",""&amp;B14),filter(Data!F:F,Data!AC:AC=A14&amp;"",""&amp;B14))"),1.3707108523344491)</f>
        <v>1.370710852</v>
      </c>
      <c r="E14" s="10">
        <f t="shared" si="1"/>
        <v>2.806106911</v>
      </c>
      <c r="F14" s="178">
        <f>IFERROR(__xludf.DUMMYFUNCTION("iferror(round(correl(filter(Data!I:I,Data!C:C=B14,Data!D:D=A14,Data!E:E&gt;=500),filter(Data!N:N,Data!C:C=B14,Data!D:D=A14,Data!E:E&gt;=500)),2),"""")"),-0.29)</f>
        <v>-0.29</v>
      </c>
    </row>
    <row r="15" hidden="1">
      <c r="A15" s="1" t="s">
        <v>15</v>
      </c>
      <c r="B15" s="1" t="s">
        <v>71</v>
      </c>
      <c r="C15" s="10">
        <f>IFERROR(__xludf.DUMMYFUNCTION("average.weighted(filter(Data!J:J,Data!AC:AC=A15&amp;"",""&amp;B15),filter(Data!F:F,Data!AC:AC=A15&amp;"",""&amp;B15))"),2.21595761896769)</f>
        <v>2.215957619</v>
      </c>
      <c r="D15" s="10">
        <f>IFERROR(__xludf.DUMMYFUNCTION("average.weighted(filter(Data!K:K,Data!AC:AC=A15&amp;"",""&amp;B15),filter(Data!F:F,Data!AC:AC=A15&amp;"",""&amp;B15))"),0.5626253686225815)</f>
        <v>0.5626253686</v>
      </c>
      <c r="E15" s="10">
        <f t="shared" si="1"/>
        <v>2.778582988</v>
      </c>
      <c r="F15" s="178">
        <f>IFERROR(__xludf.DUMMYFUNCTION("iferror(round(correl(filter(Data!I:I,Data!C:C=B15,Data!D:D=A15,Data!E:E&gt;=500),filter(Data!N:N,Data!C:C=B15,Data!D:D=A15,Data!E:E&gt;=500)),2),"""")"),0.14)</f>
        <v>0.14</v>
      </c>
    </row>
    <row r="16" hidden="1">
      <c r="A16" s="1" t="s">
        <v>15</v>
      </c>
      <c r="B16" s="1" t="s">
        <v>70</v>
      </c>
      <c r="C16" s="10">
        <f>IFERROR(__xludf.DUMMYFUNCTION("average.weighted(filter(Data!J:J,Data!AC:AC=A16&amp;"",""&amp;B16),filter(Data!F:F,Data!AC:AC=A16&amp;"",""&amp;B16))"),2.00765428899963)</f>
        <v>2.007654289</v>
      </c>
      <c r="D16" s="10">
        <f>IFERROR(__xludf.DUMMYFUNCTION("average.weighted(filter(Data!K:K,Data!AC:AC=A16&amp;"",""&amp;B16),filter(Data!F:F,Data!AC:AC=A16&amp;"",""&amp;B16))"),0.7653559802711123)</f>
        <v>0.7653559803</v>
      </c>
      <c r="E16" s="10">
        <f t="shared" si="1"/>
        <v>2.773010269</v>
      </c>
      <c r="F16" s="178">
        <f>IFERROR(__xludf.DUMMYFUNCTION("iferror(round(correl(filter(Data!I:I,Data!C:C=B16,Data!D:D=A16,Data!E:E&gt;=500),filter(Data!N:N,Data!C:C=B16,Data!D:D=A16,Data!E:E&gt;=500)),2),"""")"),0.54)</f>
        <v>0.54</v>
      </c>
    </row>
    <row r="17" hidden="1">
      <c r="A17" s="1" t="s">
        <v>26</v>
      </c>
      <c r="B17" s="1" t="s">
        <v>64</v>
      </c>
      <c r="C17" s="10" t="str">
        <f>IFERROR(__xludf.DUMMYFUNCTION("average.weighted(filter(Data!J:J,Data!AC:AC=A17&amp;"",""&amp;B17),filter(Data!F:F,Data!AC:AC=A17&amp;"",""&amp;B17))"),"#N/A")</f>
        <v>#N/A</v>
      </c>
      <c r="D17" s="10" t="str">
        <f>IFERROR(__xludf.DUMMYFUNCTION("average.weighted(filter(Data!K:K,Data!AC:AC=A17&amp;"",""&amp;B17),filter(Data!F:F,Data!AC:AC=A17&amp;"",""&amp;B17))"),"#N/A")</f>
        <v>#N/A</v>
      </c>
      <c r="E17" s="10" t="str">
        <f t="shared" si="1"/>
        <v>#N/A</v>
      </c>
      <c r="F17" s="178" t="str">
        <f>IFERROR(__xludf.DUMMYFUNCTION("iferror(round(correl(filter(Data!I:I,Data!C:C=B17,Data!D:D=A17,Data!E:E&gt;=500),filter(Data!N:N,Data!C:C=B17,Data!D:D=A17,Data!E:E&gt;=500)),2),"""")"),"")</f>
        <v/>
      </c>
    </row>
    <row r="18" hidden="1">
      <c r="A18" s="1" t="s">
        <v>19</v>
      </c>
      <c r="B18" s="1" t="s">
        <v>67</v>
      </c>
      <c r="C18" s="10">
        <f>IFERROR(__xludf.DUMMYFUNCTION("average.weighted(filter(Data!J:J,Data!AC:AC=A18&amp;"",""&amp;B18),filter(Data!F:F,Data!AC:AC=A18&amp;"",""&amp;B18))"),1.546902309575186)</f>
        <v>1.54690231</v>
      </c>
      <c r="D18" s="10">
        <f>IFERROR(__xludf.DUMMYFUNCTION("average.weighted(filter(Data!K:K,Data!AC:AC=A18&amp;"",""&amp;B18),filter(Data!F:F,Data!AC:AC=A18&amp;"",""&amp;B18))"),1.1349561551072511)</f>
        <v>1.134956155</v>
      </c>
      <c r="E18" s="10">
        <f t="shared" si="1"/>
        <v>2.681858465</v>
      </c>
      <c r="F18" s="178">
        <f>IFERROR(__xludf.DUMMYFUNCTION("iferror(round(correl(filter(Data!I:I,Data!C:C=B18,Data!D:D=A18,Data!E:E&gt;=500),filter(Data!N:N,Data!C:C=B18,Data!D:D=A18,Data!E:E&gt;=500)),2),"""")"),0.19)</f>
        <v>0.19</v>
      </c>
    </row>
    <row r="19" hidden="1">
      <c r="A19" s="1" t="s">
        <v>14</v>
      </c>
      <c r="B19" s="1" t="s">
        <v>68</v>
      </c>
      <c r="C19" s="10">
        <f>IFERROR(__xludf.DUMMYFUNCTION("average.weighted(filter(Data!J:J,Data!AC:AC=A19&amp;"",""&amp;B19),filter(Data!F:F,Data!AC:AC=A19&amp;"",""&amp;B19))"),1.2819504402994457)</f>
        <v>1.28195044</v>
      </c>
      <c r="D19" s="10">
        <f>IFERROR(__xludf.DUMMYFUNCTION("average.weighted(filter(Data!K:K,Data!AC:AC=A19&amp;"",""&amp;B19),filter(Data!F:F,Data!AC:AC=A19&amp;"",""&amp;B19))"),1.3960467430093686)</f>
        <v>1.396046743</v>
      </c>
      <c r="E19" s="10">
        <f t="shared" si="1"/>
        <v>2.677997183</v>
      </c>
      <c r="F19" s="178">
        <f>IFERROR(__xludf.DUMMYFUNCTION("iferror(round(correl(filter(Data!I:I,Data!C:C=B19,Data!D:D=A19,Data!E:E&gt;=500),filter(Data!N:N,Data!C:C=B19,Data!D:D=A19,Data!E:E&gt;=500)),2),"""")"),-0.21)</f>
        <v>-0.21</v>
      </c>
    </row>
    <row r="20" hidden="1">
      <c r="A20" s="1" t="s">
        <v>14</v>
      </c>
      <c r="B20" s="1" t="s">
        <v>66</v>
      </c>
      <c r="C20" s="10">
        <f>IFERROR(__xludf.DUMMYFUNCTION("average.weighted(filter(Data!J:J,Data!AC:AC=A20&amp;"",""&amp;B20),filter(Data!F:F,Data!AC:AC=A20&amp;"",""&amp;B20))"),1.1325586863935504)</f>
        <v>1.132558686</v>
      </c>
      <c r="D20" s="10">
        <f>IFERROR(__xludf.DUMMYFUNCTION("average.weighted(filter(Data!K:K,Data!AC:AC=A20&amp;"",""&amp;B20),filter(Data!F:F,Data!AC:AC=A20&amp;"",""&amp;B20))"),1.4842680450289776)</f>
        <v>1.484268045</v>
      </c>
      <c r="E20" s="10">
        <f t="shared" si="1"/>
        <v>2.616826731</v>
      </c>
      <c r="F20" s="178">
        <f>IFERROR(__xludf.DUMMYFUNCTION("iferror(round(correl(filter(Data!I:I,Data!C:C=B20,Data!D:D=A20,Data!E:E&gt;=500),filter(Data!N:N,Data!C:C=B20,Data!D:D=A20,Data!E:E&gt;=500)),2),"""")"),-0.15)</f>
        <v>-0.15</v>
      </c>
    </row>
    <row r="21" hidden="1">
      <c r="A21" s="1" t="s">
        <v>19</v>
      </c>
      <c r="B21" s="1" t="s">
        <v>66</v>
      </c>
      <c r="C21" s="10">
        <f>IFERROR(__xludf.DUMMYFUNCTION("average.weighted(filter(Data!J:J,Data!AC:AC=A21&amp;"",""&amp;B21),filter(Data!F:F,Data!AC:AC=A21&amp;"",""&amp;B21))"),1.7747973361520792)</f>
        <v>1.774797336</v>
      </c>
      <c r="D21" s="10">
        <f>IFERROR(__xludf.DUMMYFUNCTION("average.weighted(filter(Data!K:K,Data!AC:AC=A21&amp;"",""&amp;B21),filter(Data!F:F,Data!AC:AC=A21&amp;"",""&amp;B21))"),0.8402797282047926)</f>
        <v>0.8402797282</v>
      </c>
      <c r="E21" s="10">
        <f t="shared" si="1"/>
        <v>2.615077064</v>
      </c>
      <c r="F21" s="178">
        <f>IFERROR(__xludf.DUMMYFUNCTION("iferror(round(correl(filter(Data!I:I,Data!C:C=B21,Data!D:D=A21,Data!E:E&gt;=500),filter(Data!N:N,Data!C:C=B21,Data!D:D=A21,Data!E:E&gt;=500)),2),"""")"),-0.02)</f>
        <v>-0.02</v>
      </c>
    </row>
    <row r="22" hidden="1">
      <c r="A22" s="1" t="s">
        <v>24</v>
      </c>
      <c r="B22" s="1" t="s">
        <v>62</v>
      </c>
      <c r="C22" s="10" t="str">
        <f>IFERROR(__xludf.DUMMYFUNCTION("average.weighted(filter(Data!J:J,Data!AC:AC=A22&amp;"",""&amp;B22),filter(Data!F:F,Data!AC:AC=A22&amp;"",""&amp;B22))"),"#N/A")</f>
        <v>#N/A</v>
      </c>
      <c r="D22" s="10" t="str">
        <f>IFERROR(__xludf.DUMMYFUNCTION("average.weighted(filter(Data!K:K,Data!AC:AC=A22&amp;"",""&amp;B22),filter(Data!F:F,Data!AC:AC=A22&amp;"",""&amp;B22))"),"#N/A")</f>
        <v>#N/A</v>
      </c>
      <c r="E22" s="10" t="str">
        <f t="shared" si="1"/>
        <v>#N/A</v>
      </c>
      <c r="F22" s="178" t="str">
        <f>IFERROR(__xludf.DUMMYFUNCTION("iferror(round(correl(filter(Data!I:I,Data!C:C=B22,Data!D:D=A22,Data!E:E&gt;=500),filter(Data!N:N,Data!C:C=B22,Data!D:D=A22,Data!E:E&gt;=500)),2),"""")"),"")</f>
        <v/>
      </c>
    </row>
    <row r="23" hidden="1">
      <c r="A23" s="1" t="s">
        <v>14</v>
      </c>
      <c r="B23" s="1" t="s">
        <v>67</v>
      </c>
      <c r="C23" s="10">
        <f>IFERROR(__xludf.DUMMYFUNCTION("average.weighted(filter(Data!J:J,Data!AC:AC=A23&amp;"",""&amp;B23),filter(Data!F:F,Data!AC:AC=A23&amp;"",""&amp;B23))"),1.420228431510966)</f>
        <v>1.420228432</v>
      </c>
      <c r="D23" s="10">
        <f>IFERROR(__xludf.DUMMYFUNCTION("average.weighted(filter(Data!K:K,Data!AC:AC=A23&amp;"",""&amp;B23),filter(Data!F:F,Data!AC:AC=A23&amp;"",""&amp;B23))"),1.184215466204731)</f>
        <v>1.184215466</v>
      </c>
      <c r="E23" s="10">
        <f t="shared" si="1"/>
        <v>2.604443898</v>
      </c>
      <c r="F23" s="178">
        <f>IFERROR(__xludf.DUMMYFUNCTION("iferror(round(correl(filter(Data!I:I,Data!C:C=B23,Data!D:D=A23,Data!E:E&gt;=500),filter(Data!N:N,Data!C:C=B23,Data!D:D=A23,Data!E:E&gt;=500)),2),"""")"),0.0)</f>
        <v>0</v>
      </c>
    </row>
    <row r="24" hidden="1">
      <c r="A24" s="1" t="s">
        <v>31</v>
      </c>
      <c r="B24" s="1" t="s">
        <v>69</v>
      </c>
      <c r="C24" s="10">
        <f>IFERROR(__xludf.DUMMYFUNCTION("average.weighted(filter(Data!J:J,Data!AC:AC=A24&amp;"",""&amp;B24),filter(Data!F:F,Data!AC:AC=A24&amp;"",""&amp;B24))"),1.4700646271424997)</f>
        <v>1.470064627</v>
      </c>
      <c r="D24" s="10">
        <f>IFERROR(__xludf.DUMMYFUNCTION("average.weighted(filter(Data!K:K,Data!AC:AC=A24&amp;"",""&amp;B24),filter(Data!F:F,Data!AC:AC=A24&amp;"",""&amp;B24))"),1.1153202958155053)</f>
        <v>1.115320296</v>
      </c>
      <c r="E24" s="10">
        <f t="shared" si="1"/>
        <v>2.585384923</v>
      </c>
      <c r="F24" s="178">
        <f>IFERROR(__xludf.DUMMYFUNCTION("iferror(round(correl(filter(Data!I:I,Data!C:C=B24,Data!D:D=A24,Data!E:E&gt;=500),filter(Data!N:N,Data!C:C=B24,Data!D:D=A24,Data!E:E&gt;=500)),2),"""")"),0.38)</f>
        <v>0.38</v>
      </c>
    </row>
    <row r="25" hidden="1">
      <c r="A25" s="1" t="s">
        <v>27</v>
      </c>
      <c r="B25" s="1" t="s">
        <v>67</v>
      </c>
      <c r="C25" s="10">
        <f>IFERROR(__xludf.DUMMYFUNCTION("average.weighted(filter(Data!J:J,Data!AC:AC=A25&amp;"",""&amp;B25),filter(Data!F:F,Data!AC:AC=A25&amp;"",""&amp;B25))"),1.9536174374619624)</f>
        <v>1.953617437</v>
      </c>
      <c r="D25" s="10">
        <f>IFERROR(__xludf.DUMMYFUNCTION("average.weighted(filter(Data!K:K,Data!AC:AC=A25&amp;"",""&amp;B25),filter(Data!F:F,Data!AC:AC=A25&amp;"",""&amp;B25))"),0.574782852372278)</f>
        <v>0.5747828524</v>
      </c>
      <c r="E25" s="10">
        <f t="shared" si="1"/>
        <v>2.52840029</v>
      </c>
      <c r="F25" s="178">
        <f>IFERROR(__xludf.DUMMYFUNCTION("iferror(round(correl(filter(Data!I:I,Data!C:C=B25,Data!D:D=A25,Data!E:E&gt;=500),filter(Data!N:N,Data!C:C=B25,Data!D:D=A25,Data!E:E&gt;=500)),2),"""")"),-0.14)</f>
        <v>-0.14</v>
      </c>
    </row>
    <row r="26" hidden="1">
      <c r="A26" s="1" t="s">
        <v>26</v>
      </c>
      <c r="B26" s="1" t="s">
        <v>71</v>
      </c>
      <c r="C26" s="10">
        <f>IFERROR(__xludf.DUMMYFUNCTION("average.weighted(filter(Data!J:J,Data!AC:AC=A26&amp;"",""&amp;B26),filter(Data!F:F,Data!AC:AC=A26&amp;"",""&amp;B26))"),1.5302145379607894)</f>
        <v>1.530214538</v>
      </c>
      <c r="D26" s="10">
        <f>IFERROR(__xludf.DUMMYFUNCTION("average.weighted(filter(Data!K:K,Data!AC:AC=A26&amp;"",""&amp;B26),filter(Data!F:F,Data!AC:AC=A26&amp;"",""&amp;B26))"),0.9919346297222651)</f>
        <v>0.9919346297</v>
      </c>
      <c r="E26" s="10">
        <f t="shared" si="1"/>
        <v>2.522149168</v>
      </c>
      <c r="F26" s="178">
        <f>IFERROR(__xludf.DUMMYFUNCTION("iferror(round(correl(filter(Data!I:I,Data!C:C=B26,Data!D:D=A26,Data!E:E&gt;=500),filter(Data!N:N,Data!C:C=B26,Data!D:D=A26,Data!E:E&gt;=500)),2),"""")"),0.35)</f>
        <v>0.35</v>
      </c>
    </row>
    <row r="27" hidden="1">
      <c r="A27" s="1" t="s">
        <v>19</v>
      </c>
      <c r="B27" s="1" t="s">
        <v>70</v>
      </c>
      <c r="C27" s="10">
        <f>IFERROR(__xludf.DUMMYFUNCTION("average.weighted(filter(Data!J:J,Data!AC:AC=A27&amp;"",""&amp;B27),filter(Data!F:F,Data!AC:AC=A27&amp;"",""&amp;B27))"),1.3364297296419982)</f>
        <v>1.33642973</v>
      </c>
      <c r="D27" s="10">
        <f>IFERROR(__xludf.DUMMYFUNCTION("average.weighted(filter(Data!K:K,Data!AC:AC=A27&amp;"",""&amp;B27),filter(Data!F:F,Data!AC:AC=A27&amp;"",""&amp;B27))"),0.9728037000900197)</f>
        <v>0.9728037001</v>
      </c>
      <c r="E27" s="10">
        <f t="shared" si="1"/>
        <v>2.30923343</v>
      </c>
      <c r="F27" s="178">
        <f>IFERROR(__xludf.DUMMYFUNCTION("iferror(round(correl(filter(Data!I:I,Data!C:C=B27,Data!D:D=A27,Data!E:E&gt;=500),filter(Data!N:N,Data!C:C=B27,Data!D:D=A27,Data!E:E&gt;=500)),2),"""")"),0.41)</f>
        <v>0.41</v>
      </c>
    </row>
    <row r="28" hidden="1">
      <c r="A28" s="1" t="s">
        <v>33</v>
      </c>
      <c r="B28" s="1" t="s">
        <v>64</v>
      </c>
      <c r="C28" s="10" t="str">
        <f>IFERROR(__xludf.DUMMYFUNCTION("average.weighted(filter(Data!J:J,Data!AC:AC=A28&amp;"",""&amp;B28),filter(Data!F:F,Data!AC:AC=A28&amp;"",""&amp;B28))"),"#N/A")</f>
        <v>#N/A</v>
      </c>
      <c r="D28" s="10" t="str">
        <f>IFERROR(__xludf.DUMMYFUNCTION("average.weighted(filter(Data!K:K,Data!AC:AC=A28&amp;"",""&amp;B28),filter(Data!F:F,Data!AC:AC=A28&amp;"",""&amp;B28))"),"#N/A")</f>
        <v>#N/A</v>
      </c>
      <c r="E28" s="10" t="str">
        <f t="shared" si="1"/>
        <v>#N/A</v>
      </c>
      <c r="F28" s="178" t="str">
        <f>IFERROR(__xludf.DUMMYFUNCTION("iferror(round(correl(filter(Data!I:I,Data!C:C=B28,Data!D:D=A28,Data!E:E&gt;=500),filter(Data!N:N,Data!C:C=B28,Data!D:D=A28,Data!E:E&gt;=500)),2),"""")"),"")</f>
        <v/>
      </c>
    </row>
    <row r="29" hidden="1">
      <c r="A29" s="1" t="s">
        <v>18</v>
      </c>
      <c r="B29" s="1" t="s">
        <v>61</v>
      </c>
      <c r="C29" s="10" t="str">
        <f>IFERROR(__xludf.DUMMYFUNCTION("average.weighted(filter(Data!J:J,Data!AC:AC=A29&amp;"",""&amp;B29),filter(Data!F:F,Data!AC:AC=A29&amp;"",""&amp;B29))"),"#N/A")</f>
        <v>#N/A</v>
      </c>
      <c r="D29" s="10" t="str">
        <f>IFERROR(__xludf.DUMMYFUNCTION("average.weighted(filter(Data!K:K,Data!AC:AC=A29&amp;"",""&amp;B29),filter(Data!F:F,Data!AC:AC=A29&amp;"",""&amp;B29))"),"#N/A")</f>
        <v>#N/A</v>
      </c>
      <c r="E29" s="10" t="str">
        <f t="shared" si="1"/>
        <v>#N/A</v>
      </c>
      <c r="F29" s="178" t="str">
        <f>IFERROR(__xludf.DUMMYFUNCTION("iferror(round(correl(filter(Data!I:I,Data!C:C=B29,Data!D:D=A29,Data!E:E&gt;=500),filter(Data!N:N,Data!C:C=B29,Data!D:D=A29,Data!E:E&gt;=500)),2),"""")"),"")</f>
        <v/>
      </c>
    </row>
    <row r="30" hidden="1">
      <c r="A30" s="1" t="s">
        <v>19</v>
      </c>
      <c r="B30" s="1" t="s">
        <v>65</v>
      </c>
      <c r="C30" s="10">
        <f>IFERROR(__xludf.DUMMYFUNCTION("average.weighted(filter(Data!J:J,Data!AC:AC=A30&amp;"",""&amp;B30),filter(Data!F:F,Data!AC:AC=A30&amp;"",""&amp;B30))"),1.7035219786439504)</f>
        <v>1.703521979</v>
      </c>
      <c r="D30" s="10">
        <f>IFERROR(__xludf.DUMMYFUNCTION("average.weighted(filter(Data!K:K,Data!AC:AC=A30&amp;"",""&amp;B30),filter(Data!F:F,Data!AC:AC=A30&amp;"",""&amp;B30))"),0.6044076538537496)</f>
        <v>0.6044076539</v>
      </c>
      <c r="E30" s="10">
        <f t="shared" si="1"/>
        <v>2.307929632</v>
      </c>
      <c r="F30" s="178">
        <f>IFERROR(__xludf.DUMMYFUNCTION("iferror(round(correl(filter(Data!I:I,Data!C:C=B30,Data!D:D=A30,Data!E:E&gt;=500),filter(Data!N:N,Data!C:C=B30,Data!D:D=A30,Data!E:E&gt;=500)),2),"""")"),0.12)</f>
        <v>0.12</v>
      </c>
    </row>
    <row r="31" hidden="1">
      <c r="A31" s="1" t="s">
        <v>25</v>
      </c>
      <c r="B31" s="1" t="s">
        <v>64</v>
      </c>
      <c r="C31" s="10" t="str">
        <f>IFERROR(__xludf.DUMMYFUNCTION("average.weighted(filter(Data!J:J,Data!AC:AC=A31&amp;"",""&amp;B31),filter(Data!F:F,Data!AC:AC=A31&amp;"",""&amp;B31))"),"#N/A")</f>
        <v>#N/A</v>
      </c>
      <c r="D31" s="10" t="str">
        <f>IFERROR(__xludf.DUMMYFUNCTION("average.weighted(filter(Data!K:K,Data!AC:AC=A31&amp;"",""&amp;B31),filter(Data!F:F,Data!AC:AC=A31&amp;"",""&amp;B31))"),"#N/A")</f>
        <v>#N/A</v>
      </c>
      <c r="E31" s="10" t="str">
        <f t="shared" si="1"/>
        <v>#N/A</v>
      </c>
      <c r="F31" s="178" t="str">
        <f>IFERROR(__xludf.DUMMYFUNCTION("iferror(round(correl(filter(Data!I:I,Data!C:C=B31,Data!D:D=A31,Data!E:E&gt;=500),filter(Data!N:N,Data!C:C=B31,Data!D:D=A31,Data!E:E&gt;=500)),2),"""")"),"")</f>
        <v/>
      </c>
    </row>
    <row r="32" hidden="1">
      <c r="A32" s="1" t="s">
        <v>17</v>
      </c>
      <c r="B32" s="1" t="s">
        <v>65</v>
      </c>
      <c r="C32" s="10">
        <f>IFERROR(__xludf.DUMMYFUNCTION("average.weighted(filter(Data!J:J,Data!AC:AC=A32&amp;"",""&amp;B32),filter(Data!F:F,Data!AC:AC=A32&amp;"",""&amp;B32))"),1.1881035696478544)</f>
        <v>1.18810357</v>
      </c>
      <c r="D32" s="10">
        <f>IFERROR(__xludf.DUMMYFUNCTION("average.weighted(filter(Data!K:K,Data!AC:AC=A32&amp;"",""&amp;B32),filter(Data!F:F,Data!AC:AC=A32&amp;"",""&amp;B32))"),1.0904061139129868)</f>
        <v>1.090406114</v>
      </c>
      <c r="E32" s="10">
        <f t="shared" si="1"/>
        <v>2.278509684</v>
      </c>
      <c r="F32" s="178">
        <f>IFERROR(__xludf.DUMMYFUNCTION("iferror(round(correl(filter(Data!I:I,Data!C:C=B32,Data!D:D=A32,Data!E:E&gt;=500),filter(Data!N:N,Data!C:C=B32,Data!D:D=A32,Data!E:E&gt;=500)),2),"""")"),0.11)</f>
        <v>0.11</v>
      </c>
    </row>
    <row r="33" hidden="1">
      <c r="A33" s="1" t="s">
        <v>31</v>
      </c>
      <c r="B33" s="1" t="s">
        <v>70</v>
      </c>
      <c r="C33" s="10">
        <f>IFERROR(__xludf.DUMMYFUNCTION("average.weighted(filter(Data!J:J,Data!AC:AC=A33&amp;"",""&amp;B33),filter(Data!F:F,Data!AC:AC=A33&amp;"",""&amp;B33))"),1.3967910118629705)</f>
        <v>1.396791012</v>
      </c>
      <c r="D33" s="10">
        <f>IFERROR(__xludf.DUMMYFUNCTION("average.weighted(filter(Data!K:K,Data!AC:AC=A33&amp;"",""&amp;B33),filter(Data!F:F,Data!AC:AC=A33&amp;"",""&amp;B33))"),0.8717824671336221)</f>
        <v>0.8717824671</v>
      </c>
      <c r="E33" s="10">
        <f t="shared" si="1"/>
        <v>2.268573479</v>
      </c>
      <c r="F33" s="178">
        <f>IFERROR(__xludf.DUMMYFUNCTION("iferror(round(correl(filter(Data!I:I,Data!C:C=B33,Data!D:D=A33,Data!E:E&gt;=500),filter(Data!N:N,Data!C:C=B33,Data!D:D=A33,Data!E:E&gt;=500)),2),"""")"),0.29)</f>
        <v>0.29</v>
      </c>
    </row>
    <row r="34" hidden="1">
      <c r="A34" s="1" t="s">
        <v>17</v>
      </c>
      <c r="B34" s="1" t="s">
        <v>64</v>
      </c>
      <c r="C34" s="10" t="str">
        <f>IFERROR(__xludf.DUMMYFUNCTION("average.weighted(filter(Data!J:J,Data!AC:AC=A34&amp;"",""&amp;B34),filter(Data!F:F,Data!AC:AC=A34&amp;"",""&amp;B34))"),"#N/A")</f>
        <v>#N/A</v>
      </c>
      <c r="D34" s="10" t="str">
        <f>IFERROR(__xludf.DUMMYFUNCTION("average.weighted(filter(Data!K:K,Data!AC:AC=A34&amp;"",""&amp;B34),filter(Data!F:F,Data!AC:AC=A34&amp;"",""&amp;B34))"),"#N/A")</f>
        <v>#N/A</v>
      </c>
      <c r="E34" s="10" t="str">
        <f t="shared" si="1"/>
        <v>#N/A</v>
      </c>
      <c r="F34" s="178" t="str">
        <f>IFERROR(__xludf.DUMMYFUNCTION("iferror(round(correl(filter(Data!I:I,Data!C:C=B34,Data!D:D=A34,Data!E:E&gt;=500),filter(Data!N:N,Data!C:C=B34,Data!D:D=A34,Data!E:E&gt;=500)),2),"""")"),"")</f>
        <v/>
      </c>
    </row>
    <row r="35" hidden="1">
      <c r="A35" s="1" t="s">
        <v>25</v>
      </c>
      <c r="B35" s="1" t="s">
        <v>65</v>
      </c>
      <c r="C35" s="10">
        <f>IFERROR(__xludf.DUMMYFUNCTION("average.weighted(filter(Data!J:J,Data!AC:AC=A35&amp;"",""&amp;B35),filter(Data!F:F,Data!AC:AC=A35&amp;"",""&amp;B35))"),1.164441372472278)</f>
        <v>1.164441372</v>
      </c>
      <c r="D35" s="10">
        <f>IFERROR(__xludf.DUMMYFUNCTION("average.weighted(filter(Data!K:K,Data!AC:AC=A35&amp;"",""&amp;B35),filter(Data!F:F,Data!AC:AC=A35&amp;"",""&amp;B35))"),1.052888549330324)</f>
        <v>1.052888549</v>
      </c>
      <c r="E35" s="10">
        <f t="shared" si="1"/>
        <v>2.217329922</v>
      </c>
      <c r="F35" s="178">
        <f>IFERROR(__xludf.DUMMYFUNCTION("iferror(round(correl(filter(Data!I:I,Data!C:C=B35,Data!D:D=A35,Data!E:E&gt;=500),filter(Data!N:N,Data!C:C=B35,Data!D:D=A35,Data!E:E&gt;=500)),2),"""")"),0.21)</f>
        <v>0.21</v>
      </c>
    </row>
    <row r="36" hidden="1">
      <c r="A36" s="1" t="s">
        <v>28</v>
      </c>
      <c r="B36" s="1" t="s">
        <v>61</v>
      </c>
      <c r="C36" s="10" t="str">
        <f>IFERROR(__xludf.DUMMYFUNCTION("average.weighted(filter(Data!J:J,Data!AC:AC=A36&amp;"",""&amp;B36),filter(Data!F:F,Data!AC:AC=A36&amp;"",""&amp;B36))"),"#N/A")</f>
        <v>#N/A</v>
      </c>
      <c r="D36" s="10" t="str">
        <f>IFERROR(__xludf.DUMMYFUNCTION("average.weighted(filter(Data!K:K,Data!AC:AC=A36&amp;"",""&amp;B36),filter(Data!F:F,Data!AC:AC=A36&amp;"",""&amp;B36))"),"#N/A")</f>
        <v>#N/A</v>
      </c>
      <c r="E36" s="10" t="str">
        <f t="shared" si="1"/>
        <v>#N/A</v>
      </c>
      <c r="F36" s="178" t="str">
        <f>IFERROR(__xludf.DUMMYFUNCTION("iferror(round(correl(filter(Data!I:I,Data!C:C=B36,Data!D:D=A36,Data!E:E&gt;=500),filter(Data!N:N,Data!C:C=B36,Data!D:D=A36,Data!E:E&gt;=500)),2),"""")"),"")</f>
        <v/>
      </c>
    </row>
    <row r="37" hidden="1">
      <c r="A37" s="1" t="s">
        <v>24</v>
      </c>
      <c r="B37" s="1" t="s">
        <v>66</v>
      </c>
      <c r="C37" s="10">
        <f>IFERROR(__xludf.DUMMYFUNCTION("average.weighted(filter(Data!J:J,Data!AC:AC=A37&amp;"",""&amp;B37),filter(Data!F:F,Data!AC:AC=A37&amp;"",""&amp;B37))"),1.35530025565391)</f>
        <v>1.355300256</v>
      </c>
      <c r="D37" s="10">
        <f>IFERROR(__xludf.DUMMYFUNCTION("average.weighted(filter(Data!K:K,Data!AC:AC=A37&amp;"",""&amp;B37),filter(Data!F:F,Data!AC:AC=A37&amp;"",""&amp;B37))"),0.8086992389185678)</f>
        <v>0.8086992389</v>
      </c>
      <c r="E37" s="10">
        <f t="shared" si="1"/>
        <v>2.163999495</v>
      </c>
      <c r="F37" s="178">
        <f>IFERROR(__xludf.DUMMYFUNCTION("iferror(round(correl(filter(Data!I:I,Data!C:C=B37,Data!D:D=A37,Data!E:E&gt;=500),filter(Data!N:N,Data!C:C=B37,Data!D:D=A37,Data!E:E&gt;=500)),2),"""")"),0.09)</f>
        <v>0.09</v>
      </c>
    </row>
    <row r="38" hidden="1">
      <c r="A38" s="1" t="s">
        <v>24</v>
      </c>
      <c r="B38" s="1" t="s">
        <v>63</v>
      </c>
      <c r="C38" s="10" t="str">
        <f>IFERROR(__xludf.DUMMYFUNCTION("average.weighted(filter(Data!J:J,Data!AC:AC=A38&amp;"",""&amp;B38),filter(Data!F:F,Data!AC:AC=A38&amp;"",""&amp;B38))"),"#N/A")</f>
        <v>#N/A</v>
      </c>
      <c r="D38" s="10" t="str">
        <f>IFERROR(__xludf.DUMMYFUNCTION("average.weighted(filter(Data!K:K,Data!AC:AC=A38&amp;"",""&amp;B38),filter(Data!F:F,Data!AC:AC=A38&amp;"",""&amp;B38))"),"#N/A")</f>
        <v>#N/A</v>
      </c>
      <c r="E38" s="10" t="str">
        <f t="shared" si="1"/>
        <v>#N/A</v>
      </c>
      <c r="F38" s="178" t="str">
        <f>IFERROR(__xludf.DUMMYFUNCTION("iferror(round(correl(filter(Data!I:I,Data!C:C=B38,Data!D:D=A38,Data!E:E&gt;=500),filter(Data!N:N,Data!C:C=B38,Data!D:D=A38,Data!E:E&gt;=500)),2),"""")"),"")</f>
        <v/>
      </c>
    </row>
    <row r="39" hidden="1">
      <c r="A39" s="1" t="s">
        <v>24</v>
      </c>
      <c r="B39" s="1" t="s">
        <v>65</v>
      </c>
      <c r="C39" s="10">
        <f>IFERROR(__xludf.DUMMYFUNCTION("average.weighted(filter(Data!J:J,Data!AC:AC=A39&amp;"",""&amp;B39),filter(Data!F:F,Data!AC:AC=A39&amp;"",""&amp;B39))"),1.3311460161402207)</f>
        <v>1.331146016</v>
      </c>
      <c r="D39" s="10">
        <f>IFERROR(__xludf.DUMMYFUNCTION("average.weighted(filter(Data!K:K,Data!AC:AC=A39&amp;"",""&amp;B39),filter(Data!F:F,Data!AC:AC=A39&amp;"",""&amp;B39))"),0.7838447689477468)</f>
        <v>0.7838447689</v>
      </c>
      <c r="E39" s="10">
        <f t="shared" si="1"/>
        <v>2.114990785</v>
      </c>
      <c r="F39" s="178">
        <f>IFERROR(__xludf.DUMMYFUNCTION("iferror(round(correl(filter(Data!I:I,Data!C:C=B39,Data!D:D=A39,Data!E:E&gt;=500),filter(Data!N:N,Data!C:C=B39,Data!D:D=A39,Data!E:E&gt;=500)),2),"""")"),-0.24)</f>
        <v>-0.24</v>
      </c>
    </row>
    <row r="40" hidden="1">
      <c r="A40" s="1" t="s">
        <v>36</v>
      </c>
      <c r="B40" s="1" t="s">
        <v>70</v>
      </c>
      <c r="C40" s="10">
        <f>IFERROR(__xludf.DUMMYFUNCTION("average.weighted(filter(Data!J:J,Data!AC:AC=A40&amp;"",""&amp;B40),filter(Data!F:F,Data!AC:AC=A40&amp;"",""&amp;B40))"),1.208732837930107)</f>
        <v>1.208732838</v>
      </c>
      <c r="D40" s="10">
        <f>IFERROR(__xludf.DUMMYFUNCTION("average.weighted(filter(Data!K:K,Data!AC:AC=A40&amp;"",""&amp;B40),filter(Data!F:F,Data!AC:AC=A40&amp;"",""&amp;B40))"),0.8718826919427364)</f>
        <v>0.8718826919</v>
      </c>
      <c r="E40" s="10">
        <f t="shared" si="1"/>
        <v>2.08061553</v>
      </c>
      <c r="F40" s="178">
        <f>IFERROR(__xludf.DUMMYFUNCTION("iferror(round(correl(filter(Data!I:I,Data!C:C=B40,Data!D:D=A40,Data!E:E&gt;=500),filter(Data!N:N,Data!C:C=B40,Data!D:D=A40,Data!E:E&gt;=500)),2),"""")"),0.71)</f>
        <v>0.71</v>
      </c>
    </row>
    <row r="41" hidden="1">
      <c r="A41" s="1" t="s">
        <v>29</v>
      </c>
      <c r="B41" s="1" t="s">
        <v>63</v>
      </c>
      <c r="C41" s="10" t="str">
        <f>IFERROR(__xludf.DUMMYFUNCTION("average.weighted(filter(Data!J:J,Data!AC:AC=A41&amp;"",""&amp;B41),filter(Data!F:F,Data!AC:AC=A41&amp;"",""&amp;B41))"),"#N/A")</f>
        <v>#N/A</v>
      </c>
      <c r="D41" s="10" t="str">
        <f>IFERROR(__xludf.DUMMYFUNCTION("average.weighted(filter(Data!K:K,Data!AC:AC=A41&amp;"",""&amp;B41),filter(Data!F:F,Data!AC:AC=A41&amp;"",""&amp;B41))"),"#N/A")</f>
        <v>#N/A</v>
      </c>
      <c r="E41" s="10" t="str">
        <f t="shared" si="1"/>
        <v>#N/A</v>
      </c>
      <c r="F41" s="178" t="str">
        <f>IFERROR(__xludf.DUMMYFUNCTION("iferror(round(correl(filter(Data!I:I,Data!C:C=B41,Data!D:D=A41,Data!E:E&gt;=500),filter(Data!N:N,Data!C:C=B41,Data!D:D=A41,Data!E:E&gt;=500)),2),"""")"),"")</f>
        <v/>
      </c>
    </row>
    <row r="42" hidden="1">
      <c r="A42" s="1" t="s">
        <v>14</v>
      </c>
      <c r="B42" s="1" t="s">
        <v>61</v>
      </c>
      <c r="C42" s="10" t="str">
        <f>IFERROR(__xludf.DUMMYFUNCTION("average.weighted(filter(Data!J:J,Data!AC:AC=A42&amp;"",""&amp;B42),filter(Data!F:F,Data!AC:AC=A42&amp;"",""&amp;B42))"),"#N/A")</f>
        <v>#N/A</v>
      </c>
      <c r="D42" s="10" t="str">
        <f>IFERROR(__xludf.DUMMYFUNCTION("average.weighted(filter(Data!K:K,Data!AC:AC=A42&amp;"",""&amp;B42),filter(Data!F:F,Data!AC:AC=A42&amp;"",""&amp;B42))"),"#N/A")</f>
        <v>#N/A</v>
      </c>
      <c r="E42" s="10" t="str">
        <f t="shared" si="1"/>
        <v>#N/A</v>
      </c>
      <c r="F42" s="178" t="str">
        <f>IFERROR(__xludf.DUMMYFUNCTION("iferror(round(correl(filter(Data!I:I,Data!C:C=B42,Data!D:D=A42,Data!E:E&gt;=500),filter(Data!N:N,Data!C:C=B42,Data!D:D=A42,Data!E:E&gt;=500)),2),"""")"),"")</f>
        <v/>
      </c>
    </row>
    <row r="43">
      <c r="A43" s="1" t="s">
        <v>34</v>
      </c>
      <c r="B43" s="179" t="s">
        <v>13</v>
      </c>
      <c r="C43" s="10">
        <f>IFERROR(__xludf.DUMMYFUNCTION("average.weighted(filter(Data!J:J,Data!AC:AC=A43&amp;"",""&amp;B43),filter(Data!F:F,Data!AC:AC=A43&amp;"",""&amp;B43))"),0.8534839973419477)</f>
        <v>0.8534839973</v>
      </c>
      <c r="D43" s="10">
        <f>IFERROR(__xludf.DUMMYFUNCTION("average.weighted(filter(Data!K:K,Data!AC:AC=A43&amp;"",""&amp;B43),filter(Data!F:F,Data!AC:AC=A43&amp;"",""&amp;B43))"),1.0391672383107713)</f>
        <v>1.039167238</v>
      </c>
      <c r="E43" s="10">
        <f t="shared" si="1"/>
        <v>1.892651236</v>
      </c>
      <c r="F43" s="178">
        <f>IFERROR(__xludf.DUMMYFUNCTION("iferror(round(correl(filter(Data!I:I,Data!C:C=B43,Data!D:D=A43,Data!E:E&gt;=500),filter(Data!N:N,Data!C:C=B43,Data!D:D=A43,Data!E:E&gt;=500)),2),"""")"),0.5)</f>
        <v>0.5</v>
      </c>
    </row>
    <row r="44" hidden="1">
      <c r="A44" s="1" t="s">
        <v>19</v>
      </c>
      <c r="B44" s="1" t="s">
        <v>69</v>
      </c>
      <c r="C44" s="10">
        <f>IFERROR(__xludf.DUMMYFUNCTION("average.weighted(filter(Data!J:J,Data!AC:AC=A44&amp;"",""&amp;B44),filter(Data!F:F,Data!AC:AC=A44&amp;"",""&amp;B44))"),1.1221272470606503)</f>
        <v>1.122127247</v>
      </c>
      <c r="D44" s="10">
        <f>IFERROR(__xludf.DUMMYFUNCTION("average.weighted(filter(Data!K:K,Data!AC:AC=A44&amp;"",""&amp;B44),filter(Data!F:F,Data!AC:AC=A44&amp;"",""&amp;B44))"),0.8665285993576919)</f>
        <v>0.8665285994</v>
      </c>
      <c r="E44" s="10">
        <f t="shared" si="1"/>
        <v>1.988655846</v>
      </c>
      <c r="F44" s="178">
        <f>IFERROR(__xludf.DUMMYFUNCTION("iferror(round(correl(filter(Data!I:I,Data!C:C=B44,Data!D:D=A44,Data!E:E&gt;=500),filter(Data!N:N,Data!C:C=B44,Data!D:D=A44,Data!E:E&gt;=500)),2),"""")"),0.15)</f>
        <v>0.15</v>
      </c>
    </row>
    <row r="45" hidden="1">
      <c r="A45" s="1" t="s">
        <v>36</v>
      </c>
      <c r="B45" s="1" t="s">
        <v>66</v>
      </c>
      <c r="C45" s="10">
        <f>IFERROR(__xludf.DUMMYFUNCTION("average.weighted(filter(Data!J:J,Data!AC:AC=A45&amp;"",""&amp;B45),filter(Data!F:F,Data!AC:AC=A45&amp;"",""&amp;B45))"),1.1700924280622542)</f>
        <v>1.170092428</v>
      </c>
      <c r="D45" s="10">
        <f>IFERROR(__xludf.DUMMYFUNCTION("average.weighted(filter(Data!K:K,Data!AC:AC=A45&amp;"",""&amp;B45),filter(Data!F:F,Data!AC:AC=A45&amp;"",""&amp;B45))"),0.8170470776748234)</f>
        <v>0.8170470777</v>
      </c>
      <c r="E45" s="10">
        <f t="shared" si="1"/>
        <v>1.987139506</v>
      </c>
      <c r="F45" s="178">
        <f>IFERROR(__xludf.DUMMYFUNCTION("iferror(round(correl(filter(Data!I:I,Data!C:C=B45,Data!D:D=A45,Data!E:E&gt;=500),filter(Data!N:N,Data!C:C=B45,Data!D:D=A45,Data!E:E&gt;=500)),2),"""")"),0.09)</f>
        <v>0.09</v>
      </c>
    </row>
    <row r="46" hidden="1">
      <c r="A46" s="1" t="s">
        <v>26</v>
      </c>
      <c r="B46" s="1" t="s">
        <v>63</v>
      </c>
      <c r="C46" s="10" t="str">
        <f>IFERROR(__xludf.DUMMYFUNCTION("average.weighted(filter(Data!J:J,Data!AC:AC=A46&amp;"",""&amp;B46),filter(Data!F:F,Data!AC:AC=A46&amp;"",""&amp;B46))"),"#N/A")</f>
        <v>#N/A</v>
      </c>
      <c r="D46" s="10" t="str">
        <f>IFERROR(__xludf.DUMMYFUNCTION("average.weighted(filter(Data!K:K,Data!AC:AC=A46&amp;"",""&amp;B46),filter(Data!F:F,Data!AC:AC=A46&amp;"",""&amp;B46))"),"#N/A")</f>
        <v>#N/A</v>
      </c>
      <c r="E46" s="10" t="str">
        <f t="shared" si="1"/>
        <v>#N/A</v>
      </c>
      <c r="F46" s="178" t="str">
        <f>IFERROR(__xludf.DUMMYFUNCTION("iferror(round(correl(filter(Data!I:I,Data!C:C=B46,Data!D:D=A46,Data!E:E&gt;=500),filter(Data!N:N,Data!C:C=B46,Data!D:D=A46,Data!E:E&gt;=500)),2),"""")"),"")</f>
        <v/>
      </c>
    </row>
    <row r="47">
      <c r="A47" s="1" t="s">
        <v>28</v>
      </c>
      <c r="B47" s="179" t="s">
        <v>13</v>
      </c>
      <c r="C47" s="10">
        <f>IFERROR(__xludf.DUMMYFUNCTION("average.weighted(filter(Data!J:J,Data!AC:AC=A47&amp;"",""&amp;B47),filter(Data!F:F,Data!AC:AC=A47&amp;"",""&amp;B47))"),1.4053636293852383)</f>
        <v>1.405363629</v>
      </c>
      <c r="D47" s="10">
        <f>IFERROR(__xludf.DUMMYFUNCTION("average.weighted(filter(Data!K:K,Data!AC:AC=A47&amp;"",""&amp;B47),filter(Data!F:F,Data!AC:AC=A47&amp;"",""&amp;B47))"),0.7169539029236708)</f>
        <v>0.7169539029</v>
      </c>
      <c r="E47" s="10">
        <f t="shared" si="1"/>
        <v>2.122317532</v>
      </c>
      <c r="F47" s="178">
        <f>IFERROR(__xludf.DUMMYFUNCTION("iferror(round(correl(filter(Data!I:I,Data!C:C=B47,Data!D:D=A47,Data!E:E&gt;=500),filter(Data!N:N,Data!C:C=B47,Data!D:D=A47,Data!E:E&gt;=500)),2),"""")"),0.68)</f>
        <v>0.68</v>
      </c>
    </row>
    <row r="48" hidden="1">
      <c r="A48" s="1" t="s">
        <v>27</v>
      </c>
      <c r="B48" s="1" t="s">
        <v>61</v>
      </c>
      <c r="C48" s="10" t="str">
        <f>IFERROR(__xludf.DUMMYFUNCTION("average.weighted(filter(Data!J:J,Data!AC:AC=A48&amp;"",""&amp;B48),filter(Data!F:F,Data!AC:AC=A48&amp;"",""&amp;B48))"),"#N/A")</f>
        <v>#N/A</v>
      </c>
      <c r="D48" s="10" t="str">
        <f>IFERROR(__xludf.DUMMYFUNCTION("average.weighted(filter(Data!K:K,Data!AC:AC=A48&amp;"",""&amp;B48),filter(Data!F:F,Data!AC:AC=A48&amp;"",""&amp;B48))"),"#N/A")</f>
        <v>#N/A</v>
      </c>
      <c r="E48" s="10" t="str">
        <f t="shared" si="1"/>
        <v>#N/A</v>
      </c>
      <c r="F48" s="178" t="str">
        <f>IFERROR(__xludf.DUMMYFUNCTION("iferror(round(correl(filter(Data!I:I,Data!C:C=B48,Data!D:D=A48,Data!E:E&gt;=500),filter(Data!N:N,Data!C:C=B48,Data!D:D=A48,Data!E:E&gt;=500)),2),"""")"),"")</f>
        <v/>
      </c>
    </row>
    <row r="49" hidden="1">
      <c r="A49" s="1" t="s">
        <v>27</v>
      </c>
      <c r="B49" s="1" t="s">
        <v>65</v>
      </c>
      <c r="C49" s="10">
        <f>IFERROR(__xludf.DUMMYFUNCTION("average.weighted(filter(Data!J:J,Data!AC:AC=A49&amp;"",""&amp;B49),filter(Data!F:F,Data!AC:AC=A49&amp;"",""&amp;B49))"),1.4251615637251678)</f>
        <v>1.425161564</v>
      </c>
      <c r="D49" s="10">
        <f>IFERROR(__xludf.DUMMYFUNCTION("average.weighted(filter(Data!K:K,Data!AC:AC=A49&amp;"",""&amp;B49),filter(Data!F:F,Data!AC:AC=A49&amp;"",""&amp;B49))"),0.5449655720696187)</f>
        <v>0.5449655721</v>
      </c>
      <c r="E49" s="10">
        <f t="shared" si="1"/>
        <v>1.970127136</v>
      </c>
      <c r="F49" s="178">
        <f>IFERROR(__xludf.DUMMYFUNCTION("iferror(round(correl(filter(Data!I:I,Data!C:C=B49,Data!D:D=A49,Data!E:E&gt;=500),filter(Data!N:N,Data!C:C=B49,Data!D:D=A49,Data!E:E&gt;=500)),2),"""")"),0.27)</f>
        <v>0.27</v>
      </c>
    </row>
    <row r="50" hidden="1">
      <c r="A50" s="1" t="s">
        <v>32</v>
      </c>
      <c r="B50" s="1" t="s">
        <v>71</v>
      </c>
      <c r="C50" s="10">
        <f>IFERROR(__xludf.DUMMYFUNCTION("average.weighted(filter(Data!J:J,Data!AC:AC=A50&amp;"",""&amp;B50),filter(Data!F:F,Data!AC:AC=A50&amp;"",""&amp;B50))"),1.408446042442774)</f>
        <v>1.408446042</v>
      </c>
      <c r="D50" s="10">
        <f>IFERROR(__xludf.DUMMYFUNCTION("average.weighted(filter(Data!K:K,Data!AC:AC=A50&amp;"",""&amp;B50),filter(Data!F:F,Data!AC:AC=A50&amp;"",""&amp;B50))"),0.5609464147310493)</f>
        <v>0.5609464147</v>
      </c>
      <c r="E50" s="10">
        <f t="shared" si="1"/>
        <v>1.969392457</v>
      </c>
      <c r="F50" s="178">
        <f>IFERROR(__xludf.DUMMYFUNCTION("iferror(round(correl(filter(Data!I:I,Data!C:C=B50,Data!D:D=A50,Data!E:E&gt;=500),filter(Data!N:N,Data!C:C=B50,Data!D:D=A50,Data!E:E&gt;=500)),2),"""")"),0.25)</f>
        <v>0.25</v>
      </c>
    </row>
    <row r="51" hidden="1">
      <c r="A51" s="1" t="s">
        <v>37</v>
      </c>
      <c r="B51" s="1" t="s">
        <v>69</v>
      </c>
      <c r="C51" s="10">
        <f>IFERROR(__xludf.DUMMYFUNCTION("average.weighted(filter(Data!J:J,Data!AC:AC=A51&amp;"",""&amp;B51),filter(Data!F:F,Data!AC:AC=A51&amp;"",""&amp;B51))"),0.8461036992929002)</f>
        <v>0.8461036993</v>
      </c>
      <c r="D51" s="10">
        <f>IFERROR(__xludf.DUMMYFUNCTION("average.weighted(filter(Data!K:K,Data!AC:AC=A51&amp;"",""&amp;B51),filter(Data!F:F,Data!AC:AC=A51&amp;"",""&amp;B51))"),1.1195743923834125)</f>
        <v>1.119574392</v>
      </c>
      <c r="E51" s="10">
        <f t="shared" si="1"/>
        <v>1.965678092</v>
      </c>
      <c r="F51" s="178">
        <f>IFERROR(__xludf.DUMMYFUNCTION("iferror(round(correl(filter(Data!I:I,Data!C:C=B51,Data!D:D=A51,Data!E:E&gt;=500),filter(Data!N:N,Data!C:C=B51,Data!D:D=A51,Data!E:E&gt;=500)),2),"""")"),0.06)</f>
        <v>0.06</v>
      </c>
    </row>
    <row r="52" hidden="1">
      <c r="A52" s="1" t="s">
        <v>17</v>
      </c>
      <c r="B52" s="1" t="s">
        <v>63</v>
      </c>
      <c r="C52" s="10" t="str">
        <f>IFERROR(__xludf.DUMMYFUNCTION("average.weighted(filter(Data!J:J,Data!AC:AC=A52&amp;"",""&amp;B52),filter(Data!F:F,Data!AC:AC=A52&amp;"",""&amp;B52))"),"#N/A")</f>
        <v>#N/A</v>
      </c>
      <c r="D52" s="10" t="str">
        <f>IFERROR(__xludf.DUMMYFUNCTION("average.weighted(filter(Data!K:K,Data!AC:AC=A52&amp;"",""&amp;B52),filter(Data!F:F,Data!AC:AC=A52&amp;"",""&amp;B52))"),"#N/A")</f>
        <v>#N/A</v>
      </c>
      <c r="E52" s="10" t="str">
        <f t="shared" si="1"/>
        <v>#N/A</v>
      </c>
      <c r="F52" s="178" t="str">
        <f>IFERROR(__xludf.DUMMYFUNCTION("iferror(round(correl(filter(Data!I:I,Data!C:C=B52,Data!D:D=A52,Data!E:E&gt;=500),filter(Data!N:N,Data!C:C=B52,Data!D:D=A52,Data!E:E&gt;=500)),2),"""")"),"")</f>
        <v/>
      </c>
    </row>
    <row r="53" hidden="1">
      <c r="A53" s="1" t="s">
        <v>29</v>
      </c>
      <c r="B53" s="1" t="s">
        <v>62</v>
      </c>
      <c r="C53" s="10" t="str">
        <f>IFERROR(__xludf.DUMMYFUNCTION("average.weighted(filter(Data!J:J,Data!AC:AC=A53&amp;"",""&amp;B53),filter(Data!F:F,Data!AC:AC=A53&amp;"",""&amp;B53))"),"#N/A")</f>
        <v>#N/A</v>
      </c>
      <c r="D53" s="10" t="str">
        <f>IFERROR(__xludf.DUMMYFUNCTION("average.weighted(filter(Data!K:K,Data!AC:AC=A53&amp;"",""&amp;B53),filter(Data!F:F,Data!AC:AC=A53&amp;"",""&amp;B53))"),"#N/A")</f>
        <v>#N/A</v>
      </c>
      <c r="E53" s="10" t="str">
        <f t="shared" si="1"/>
        <v>#N/A</v>
      </c>
      <c r="F53" s="178" t="str">
        <f>IFERROR(__xludf.DUMMYFUNCTION("iferror(round(correl(filter(Data!I:I,Data!C:C=B53,Data!D:D=A53,Data!E:E&gt;=500),filter(Data!N:N,Data!C:C=B53,Data!D:D=A53,Data!E:E&gt;=500)),2),"""")"),"")</f>
        <v/>
      </c>
    </row>
    <row r="54" hidden="1">
      <c r="A54" s="1" t="s">
        <v>30</v>
      </c>
      <c r="B54" s="1" t="s">
        <v>70</v>
      </c>
      <c r="C54" s="10">
        <f>IFERROR(__xludf.DUMMYFUNCTION("average.weighted(filter(Data!J:J,Data!AC:AC=A54&amp;"",""&amp;B54),filter(Data!F:F,Data!AC:AC=A54&amp;"",""&amp;B54))"),1.114752106006655)</f>
        <v>1.114752106</v>
      </c>
      <c r="D54" s="10">
        <f>IFERROR(__xludf.DUMMYFUNCTION("average.weighted(filter(Data!K:K,Data!AC:AC=A54&amp;"",""&amp;B54),filter(Data!F:F,Data!AC:AC=A54&amp;"",""&amp;B54))"),0.8061247289699457)</f>
        <v>0.806124729</v>
      </c>
      <c r="E54" s="10">
        <f t="shared" si="1"/>
        <v>1.920876835</v>
      </c>
      <c r="F54" s="178">
        <f>IFERROR(__xludf.DUMMYFUNCTION("iferror(round(correl(filter(Data!I:I,Data!C:C=B54,Data!D:D=A54,Data!E:E&gt;=500),filter(Data!N:N,Data!C:C=B54,Data!D:D=A54,Data!E:E&gt;=500)),2),"""")"),0.21)</f>
        <v>0.21</v>
      </c>
    </row>
    <row r="55" hidden="1">
      <c r="A55" s="1" t="s">
        <v>34</v>
      </c>
      <c r="B55" s="1" t="s">
        <v>63</v>
      </c>
      <c r="C55" s="10" t="str">
        <f>IFERROR(__xludf.DUMMYFUNCTION("average.weighted(filter(Data!J:J,Data!AC:AC=A55&amp;"",""&amp;B55),filter(Data!F:F,Data!AC:AC=A55&amp;"",""&amp;B55))"),"#N/A")</f>
        <v>#N/A</v>
      </c>
      <c r="D55" s="10" t="str">
        <f>IFERROR(__xludf.DUMMYFUNCTION("average.weighted(filter(Data!K:K,Data!AC:AC=A55&amp;"",""&amp;B55),filter(Data!F:F,Data!AC:AC=A55&amp;"",""&amp;B55))"),"#N/A")</f>
        <v>#N/A</v>
      </c>
      <c r="E55" s="10" t="str">
        <f t="shared" si="1"/>
        <v>#N/A</v>
      </c>
      <c r="F55" s="178" t="str">
        <f>IFERROR(__xludf.DUMMYFUNCTION("iferror(round(correl(filter(Data!I:I,Data!C:C=B55,Data!D:D=A55,Data!E:E&gt;=500),filter(Data!N:N,Data!C:C=B55,Data!D:D=A55,Data!E:E&gt;=500)),2),"""")"),"")</f>
        <v/>
      </c>
    </row>
    <row r="56" hidden="1">
      <c r="A56" s="1" t="s">
        <v>41</v>
      </c>
      <c r="B56" s="1" t="s">
        <v>61</v>
      </c>
      <c r="C56" s="10" t="str">
        <f>IFERROR(__xludf.DUMMYFUNCTION("average.weighted(filter(Data!J:J,Data!AC:AC=A56&amp;"",""&amp;B56),filter(Data!F:F,Data!AC:AC=A56&amp;"",""&amp;B56))"),"#N/A")</f>
        <v>#N/A</v>
      </c>
      <c r="D56" s="10" t="str">
        <f>IFERROR(__xludf.DUMMYFUNCTION("average.weighted(filter(Data!K:K,Data!AC:AC=A56&amp;"",""&amp;B56),filter(Data!F:F,Data!AC:AC=A56&amp;"",""&amp;B56))"),"#N/A")</f>
        <v>#N/A</v>
      </c>
      <c r="E56" s="10" t="str">
        <f t="shared" si="1"/>
        <v>#N/A</v>
      </c>
      <c r="F56" s="178" t="str">
        <f>IFERROR(__xludf.DUMMYFUNCTION("iferror(round(correl(filter(Data!I:I,Data!C:C=B56,Data!D:D=A56,Data!E:E&gt;=500),filter(Data!N:N,Data!C:C=B56,Data!D:D=A56,Data!E:E&gt;=500)),2),"""")"),"")</f>
        <v/>
      </c>
    </row>
    <row r="57" hidden="1">
      <c r="A57" s="1" t="s">
        <v>24</v>
      </c>
      <c r="B57" s="1" t="s">
        <v>61</v>
      </c>
      <c r="C57" s="10" t="str">
        <f>IFERROR(__xludf.DUMMYFUNCTION("average.weighted(filter(Data!J:J,Data!AC:AC=A57&amp;"",""&amp;B57),filter(Data!F:F,Data!AC:AC=A57&amp;"",""&amp;B57))"),"#N/A")</f>
        <v>#N/A</v>
      </c>
      <c r="D57" s="10" t="str">
        <f>IFERROR(__xludf.DUMMYFUNCTION("average.weighted(filter(Data!K:K,Data!AC:AC=A57&amp;"",""&amp;B57),filter(Data!F:F,Data!AC:AC=A57&amp;"",""&amp;B57))"),"#N/A")</f>
        <v>#N/A</v>
      </c>
      <c r="E57" s="10" t="str">
        <f t="shared" si="1"/>
        <v>#N/A</v>
      </c>
      <c r="F57" s="178" t="str">
        <f>IFERROR(__xludf.DUMMYFUNCTION("iferror(round(correl(filter(Data!I:I,Data!C:C=B57,Data!D:D=A57,Data!E:E&gt;=500),filter(Data!N:N,Data!C:C=B57,Data!D:D=A57,Data!E:E&gt;=500)),2),"""")"),"")</f>
        <v/>
      </c>
    </row>
    <row r="58" hidden="1">
      <c r="A58" s="1" t="s">
        <v>27</v>
      </c>
      <c r="B58" s="1" t="s">
        <v>62</v>
      </c>
      <c r="C58" s="10" t="str">
        <f>IFERROR(__xludf.DUMMYFUNCTION("average.weighted(filter(Data!J:J,Data!AC:AC=A58&amp;"",""&amp;B58),filter(Data!F:F,Data!AC:AC=A58&amp;"",""&amp;B58))"),"#N/A")</f>
        <v>#N/A</v>
      </c>
      <c r="D58" s="10" t="str">
        <f>IFERROR(__xludf.DUMMYFUNCTION("average.weighted(filter(Data!K:K,Data!AC:AC=A58&amp;"",""&amp;B58),filter(Data!F:F,Data!AC:AC=A58&amp;"",""&amp;B58))"),"#N/A")</f>
        <v>#N/A</v>
      </c>
      <c r="E58" s="10" t="str">
        <f t="shared" si="1"/>
        <v>#N/A</v>
      </c>
      <c r="F58" s="178" t="str">
        <f>IFERROR(__xludf.DUMMYFUNCTION("iferror(round(correl(filter(Data!I:I,Data!C:C=B58,Data!D:D=A58,Data!E:E&gt;=500),filter(Data!N:N,Data!C:C=B58,Data!D:D=A58,Data!E:E&gt;=500)),2),"""")"),"")</f>
        <v/>
      </c>
    </row>
    <row r="59" hidden="1">
      <c r="A59" s="1" t="s">
        <v>27</v>
      </c>
      <c r="B59" s="1" t="s">
        <v>66</v>
      </c>
      <c r="C59" s="10">
        <f>IFERROR(__xludf.DUMMYFUNCTION("average.weighted(filter(Data!J:J,Data!AC:AC=A59&amp;"",""&amp;B59),filter(Data!F:F,Data!AC:AC=A59&amp;"",""&amp;B59))"),1.4187771659211397)</f>
        <v>1.418777166</v>
      </c>
      <c r="D59" s="10">
        <f>IFERROR(__xludf.DUMMYFUNCTION("average.weighted(filter(Data!K:K,Data!AC:AC=A59&amp;"",""&amp;B59),filter(Data!F:F,Data!AC:AC=A59&amp;"",""&amp;B59))"),0.5018865297377432)</f>
        <v>0.5018865297</v>
      </c>
      <c r="E59" s="10">
        <f t="shared" si="1"/>
        <v>1.920663696</v>
      </c>
      <c r="F59" s="178">
        <f>IFERROR(__xludf.DUMMYFUNCTION("iferror(round(correl(filter(Data!I:I,Data!C:C=B59,Data!D:D=A59,Data!E:E&gt;=500),filter(Data!N:N,Data!C:C=B59,Data!D:D=A59,Data!E:E&gt;=500)),2),"""")"),0.27)</f>
        <v>0.27</v>
      </c>
    </row>
    <row r="60" hidden="1">
      <c r="A60" s="1" t="s">
        <v>41</v>
      </c>
      <c r="B60" s="1" t="s">
        <v>71</v>
      </c>
      <c r="C60" s="10">
        <f>IFERROR(__xludf.DUMMYFUNCTION("average.weighted(filter(Data!J:J,Data!AC:AC=A60&amp;"",""&amp;B60),filter(Data!F:F,Data!AC:AC=A60&amp;"",""&amp;B60))"),0.7829335856329048)</f>
        <v>0.7829335856</v>
      </c>
      <c r="D60" s="10">
        <f>IFERROR(__xludf.DUMMYFUNCTION("average.weighted(filter(Data!K:K,Data!AC:AC=A60&amp;"",""&amp;B60),filter(Data!F:F,Data!AC:AC=A60&amp;"",""&amp;B60))"),1.0974804710726946)</f>
        <v>1.097480471</v>
      </c>
      <c r="E60" s="10">
        <f t="shared" si="1"/>
        <v>1.880414057</v>
      </c>
      <c r="F60" s="178">
        <f>IFERROR(__xludf.DUMMYFUNCTION("iferror(round(correl(filter(Data!I:I,Data!C:C=B60,Data!D:D=A60,Data!E:E&gt;=500),filter(Data!N:N,Data!C:C=B60,Data!D:D=A60,Data!E:E&gt;=500)),2),"""")"),-0.24)</f>
        <v>-0.24</v>
      </c>
    </row>
    <row r="61" hidden="1">
      <c r="A61" s="1" t="s">
        <v>27</v>
      </c>
      <c r="B61" s="1" t="s">
        <v>64</v>
      </c>
      <c r="C61" s="10" t="str">
        <f>IFERROR(__xludf.DUMMYFUNCTION("average.weighted(filter(Data!J:J,Data!AC:AC=A61&amp;"",""&amp;B61),filter(Data!F:F,Data!AC:AC=A61&amp;"",""&amp;B61))"),"#N/A")</f>
        <v>#N/A</v>
      </c>
      <c r="D61" s="10" t="str">
        <f>IFERROR(__xludf.DUMMYFUNCTION("average.weighted(filter(Data!K:K,Data!AC:AC=A61&amp;"",""&amp;B61),filter(Data!F:F,Data!AC:AC=A61&amp;"",""&amp;B61))"),"#N/A")</f>
        <v>#N/A</v>
      </c>
      <c r="E61" s="10" t="str">
        <f t="shared" si="1"/>
        <v>#N/A</v>
      </c>
      <c r="F61" s="178" t="str">
        <f>IFERROR(__xludf.DUMMYFUNCTION("iferror(round(correl(filter(Data!I:I,Data!C:C=B61,Data!D:D=A61,Data!E:E&gt;=500),filter(Data!N:N,Data!C:C=B61,Data!D:D=A61,Data!E:E&gt;=500)),2),"""")"),"")</f>
        <v/>
      </c>
    </row>
    <row r="62" hidden="1">
      <c r="A62" s="1" t="s">
        <v>41</v>
      </c>
      <c r="B62" s="1" t="s">
        <v>66</v>
      </c>
      <c r="C62" s="10">
        <f>IFERROR(__xludf.DUMMYFUNCTION("average.weighted(filter(Data!J:J,Data!AC:AC=A62&amp;"",""&amp;B62),filter(Data!F:F,Data!AC:AC=A62&amp;"",""&amp;B62))"),0.96226975660993)</f>
        <v>0.9622697566</v>
      </c>
      <c r="D62" s="10">
        <f>IFERROR(__xludf.DUMMYFUNCTION("average.weighted(filter(Data!K:K,Data!AC:AC=A62&amp;"",""&amp;B62),filter(Data!F:F,Data!AC:AC=A62&amp;"",""&amp;B62))"),0.8649547816248541)</f>
        <v>0.8649547816</v>
      </c>
      <c r="E62" s="10">
        <f t="shared" si="1"/>
        <v>1.827224538</v>
      </c>
      <c r="F62" s="178">
        <f>IFERROR(__xludf.DUMMYFUNCTION("iferror(round(correl(filter(Data!I:I,Data!C:C=B62,Data!D:D=A62,Data!E:E&gt;=500),filter(Data!N:N,Data!C:C=B62,Data!D:D=A62,Data!E:E&gt;=500)),2),"""")"),0.23)</f>
        <v>0.23</v>
      </c>
    </row>
    <row r="63" hidden="1">
      <c r="A63" s="1" t="s">
        <v>25</v>
      </c>
      <c r="B63" s="1" t="s">
        <v>71</v>
      </c>
      <c r="C63" s="10">
        <f>IFERROR(__xludf.DUMMYFUNCTION("average.weighted(filter(Data!J:J,Data!AC:AC=A63&amp;"",""&amp;B63),filter(Data!F:F,Data!AC:AC=A63&amp;"",""&amp;B63))"),0.8351407827313166)</f>
        <v>0.8351407827</v>
      </c>
      <c r="D63" s="10">
        <f>IFERROR(__xludf.DUMMYFUNCTION("average.weighted(filter(Data!K:K,Data!AC:AC=A63&amp;"",""&amp;B63),filter(Data!F:F,Data!AC:AC=A63&amp;"",""&amp;B63))"),0.9881245590179772)</f>
        <v>0.988124559</v>
      </c>
      <c r="E63" s="10">
        <f t="shared" si="1"/>
        <v>1.823265342</v>
      </c>
      <c r="F63" s="178">
        <f>IFERROR(__xludf.DUMMYFUNCTION("iferror(round(correl(filter(Data!I:I,Data!C:C=B63,Data!D:D=A63,Data!E:E&gt;=500),filter(Data!N:N,Data!C:C=B63,Data!D:D=A63,Data!E:E&gt;=500)),2),"""")"),0.05)</f>
        <v>0.05</v>
      </c>
    </row>
    <row r="64" hidden="1">
      <c r="A64" s="1" t="s">
        <v>34</v>
      </c>
      <c r="B64" s="1" t="s">
        <v>64</v>
      </c>
      <c r="C64" s="10" t="str">
        <f>IFERROR(__xludf.DUMMYFUNCTION("average.weighted(filter(Data!J:J,Data!AC:AC=A64&amp;"",""&amp;B64),filter(Data!F:F,Data!AC:AC=A64&amp;"",""&amp;B64))"),"#N/A")</f>
        <v>#N/A</v>
      </c>
      <c r="D64" s="10" t="str">
        <f>IFERROR(__xludf.DUMMYFUNCTION("average.weighted(filter(Data!K:K,Data!AC:AC=A64&amp;"",""&amp;B64),filter(Data!F:F,Data!AC:AC=A64&amp;"",""&amp;B64))"),"#N/A")</f>
        <v>#N/A</v>
      </c>
      <c r="E64" s="10" t="str">
        <f t="shared" si="1"/>
        <v>#N/A</v>
      </c>
      <c r="F64" s="178" t="str">
        <f>IFERROR(__xludf.DUMMYFUNCTION("iferror(round(correl(filter(Data!I:I,Data!C:C=B64,Data!D:D=A64,Data!E:E&gt;=500),filter(Data!N:N,Data!C:C=B64,Data!D:D=A64,Data!E:E&gt;=500)),2),"""")"),"")</f>
        <v/>
      </c>
    </row>
    <row r="65" hidden="1">
      <c r="A65" s="1" t="s">
        <v>36</v>
      </c>
      <c r="B65" s="1" t="s">
        <v>65</v>
      </c>
      <c r="C65" s="10">
        <f>IFERROR(__xludf.DUMMYFUNCTION("average.weighted(filter(Data!J:J,Data!AC:AC=A65&amp;"",""&amp;B65),filter(Data!F:F,Data!AC:AC=A65&amp;"",""&amp;B65))"),0.8669509850181037)</f>
        <v>0.866950985</v>
      </c>
      <c r="D65" s="10">
        <f>IFERROR(__xludf.DUMMYFUNCTION("average.weighted(filter(Data!K:K,Data!AC:AC=A65&amp;"",""&amp;B65),filter(Data!F:F,Data!AC:AC=A65&amp;"",""&amp;B65))"),0.9529287765086651)</f>
        <v>0.9529287765</v>
      </c>
      <c r="E65" s="10">
        <f t="shared" si="1"/>
        <v>1.819879762</v>
      </c>
      <c r="F65" s="178">
        <f>IFERROR(__xludf.DUMMYFUNCTION("iferror(round(correl(filter(Data!I:I,Data!C:C=B65,Data!D:D=A65,Data!E:E&gt;=500),filter(Data!N:N,Data!C:C=B65,Data!D:D=A65,Data!E:E&gt;=500)),2),"""")"),0.16)</f>
        <v>0.16</v>
      </c>
    </row>
    <row r="66" hidden="1">
      <c r="A66" s="1" t="s">
        <v>32</v>
      </c>
      <c r="B66" s="1" t="s">
        <v>62</v>
      </c>
      <c r="C66" s="10" t="str">
        <f>IFERROR(__xludf.DUMMYFUNCTION("average.weighted(filter(Data!J:J,Data!AC:AC=A66&amp;"",""&amp;B66),filter(Data!F:F,Data!AC:AC=A66&amp;"",""&amp;B66))"),"#N/A")</f>
        <v>#N/A</v>
      </c>
      <c r="D66" s="10" t="str">
        <f>IFERROR(__xludf.DUMMYFUNCTION("average.weighted(filter(Data!K:K,Data!AC:AC=A66&amp;"",""&amp;B66),filter(Data!F:F,Data!AC:AC=A66&amp;"",""&amp;B66))"),"#N/A")</f>
        <v>#N/A</v>
      </c>
      <c r="E66" s="10" t="str">
        <f t="shared" si="1"/>
        <v>#N/A</v>
      </c>
      <c r="F66" s="178" t="str">
        <f>IFERROR(__xludf.DUMMYFUNCTION("iferror(round(correl(filter(Data!I:I,Data!C:C=B66,Data!D:D=A66,Data!E:E&gt;=500),filter(Data!N:N,Data!C:C=B66,Data!D:D=A66,Data!E:E&gt;=500)),2),"""")"),"")</f>
        <v/>
      </c>
    </row>
    <row r="67" hidden="1">
      <c r="A67" s="1" t="s">
        <v>14</v>
      </c>
      <c r="B67" s="1" t="s">
        <v>69</v>
      </c>
      <c r="C67" s="10">
        <f>IFERROR(__xludf.DUMMYFUNCTION("average.weighted(filter(Data!J:J,Data!AC:AC=A67&amp;"",""&amp;B67),filter(Data!F:F,Data!AC:AC=A67&amp;"",""&amp;B67))"),0.655727706730561)</f>
        <v>0.6557277067</v>
      </c>
      <c r="D67" s="10">
        <f>IFERROR(__xludf.DUMMYFUNCTION("average.weighted(filter(Data!K:K,Data!AC:AC=A67&amp;"",""&amp;B67),filter(Data!F:F,Data!AC:AC=A67&amp;"",""&amp;B67))"),1.1163688656293551)</f>
        <v>1.116368866</v>
      </c>
      <c r="E67" s="10">
        <f t="shared" si="1"/>
        <v>1.772096572</v>
      </c>
      <c r="F67" s="178">
        <f>IFERROR(__xludf.DUMMYFUNCTION("iferror(round(correl(filter(Data!I:I,Data!C:C=B67,Data!D:D=A67,Data!E:E&gt;=500),filter(Data!N:N,Data!C:C=B67,Data!D:D=A67,Data!E:E&gt;=500)),2),"""")"),0.56)</f>
        <v>0.56</v>
      </c>
    </row>
    <row r="68" hidden="1">
      <c r="A68" s="1" t="s">
        <v>31</v>
      </c>
      <c r="B68" s="1" t="s">
        <v>68</v>
      </c>
      <c r="C68" s="10">
        <f>IFERROR(__xludf.DUMMYFUNCTION("average.weighted(filter(Data!J:J,Data!AC:AC=A68&amp;"",""&amp;B68),filter(Data!F:F,Data!AC:AC=A68&amp;"",""&amp;B68))"),0.9749211437333689)</f>
        <v>0.9749211437</v>
      </c>
      <c r="D68" s="10">
        <f>IFERROR(__xludf.DUMMYFUNCTION("average.weighted(filter(Data!K:K,Data!AC:AC=A68&amp;"",""&amp;B68),filter(Data!F:F,Data!AC:AC=A68&amp;"",""&amp;B68))"),0.7815548233891041)</f>
        <v>0.7815548234</v>
      </c>
      <c r="E68" s="10">
        <f t="shared" si="1"/>
        <v>1.756475967</v>
      </c>
      <c r="F68" s="178">
        <f>IFERROR(__xludf.DUMMYFUNCTION("iferror(round(correl(filter(Data!I:I,Data!C:C=B68,Data!D:D=A68,Data!E:E&gt;=500),filter(Data!N:N,Data!C:C=B68,Data!D:D=A68,Data!E:E&gt;=500)),2),"""")"),0.84)</f>
        <v>0.84</v>
      </c>
    </row>
    <row r="69" hidden="1">
      <c r="A69" s="1" t="s">
        <v>28</v>
      </c>
      <c r="B69" s="1" t="s">
        <v>70</v>
      </c>
      <c r="C69" s="10">
        <f>IFERROR(__xludf.DUMMYFUNCTION("average.weighted(filter(Data!J:J,Data!AC:AC=A69&amp;"",""&amp;B69),filter(Data!F:F,Data!AC:AC=A69&amp;"",""&amp;B69))"),1.3855324626139194)</f>
        <v>1.385532463</v>
      </c>
      <c r="D69" s="10">
        <f>IFERROR(__xludf.DUMMYFUNCTION("average.weighted(filter(Data!K:K,Data!AC:AC=A69&amp;"",""&amp;B69),filter(Data!F:F,Data!AC:AC=A69&amp;"",""&amp;B69))"),0.32474483496483675)</f>
        <v>0.324744835</v>
      </c>
      <c r="E69" s="10">
        <f t="shared" si="1"/>
        <v>1.710277298</v>
      </c>
      <c r="F69" s="178">
        <f>IFERROR(__xludf.DUMMYFUNCTION("iferror(round(correl(filter(Data!I:I,Data!C:C=B69,Data!D:D=A69,Data!E:E&gt;=500),filter(Data!N:N,Data!C:C=B69,Data!D:D=A69,Data!E:E&gt;=500)),2),"""")"),0.09)</f>
        <v>0.09</v>
      </c>
    </row>
    <row r="70" hidden="1">
      <c r="A70" s="1" t="s">
        <v>27</v>
      </c>
      <c r="B70" s="1" t="s">
        <v>68</v>
      </c>
      <c r="C70" s="10">
        <f>IFERROR(__xludf.DUMMYFUNCTION("average.weighted(filter(Data!J:J,Data!AC:AC=A70&amp;"",""&amp;B70),filter(Data!F:F,Data!AC:AC=A70&amp;"",""&amp;B70))"),1.2334844476138511)</f>
        <v>1.233484448</v>
      </c>
      <c r="D70" s="10">
        <f>IFERROR(__xludf.DUMMYFUNCTION("average.weighted(filter(Data!K:K,Data!AC:AC=A70&amp;"",""&amp;B70),filter(Data!F:F,Data!AC:AC=A70&amp;"",""&amp;B70))"),0.4091462660105299)</f>
        <v>0.409146266</v>
      </c>
      <c r="E70" s="10">
        <f t="shared" si="1"/>
        <v>1.642630714</v>
      </c>
      <c r="F70" s="178">
        <f>IFERROR(__xludf.DUMMYFUNCTION("iferror(round(correl(filter(Data!I:I,Data!C:C=B70,Data!D:D=A70,Data!E:E&gt;=500),filter(Data!N:N,Data!C:C=B70,Data!D:D=A70,Data!E:E&gt;=500)),2),"""")"),0.33)</f>
        <v>0.33</v>
      </c>
    </row>
    <row r="71" hidden="1">
      <c r="A71" s="1" t="s">
        <v>31</v>
      </c>
      <c r="B71" s="1" t="s">
        <v>65</v>
      </c>
      <c r="C71" s="10">
        <f>IFERROR(__xludf.DUMMYFUNCTION("average.weighted(filter(Data!J:J,Data!AC:AC=A71&amp;"",""&amp;B71),filter(Data!F:F,Data!AC:AC=A71&amp;"",""&amp;B71))"),0.9204847500957208)</f>
        <v>0.9204847501</v>
      </c>
      <c r="D71" s="10">
        <f>IFERROR(__xludf.DUMMYFUNCTION("average.weighted(filter(Data!K:K,Data!AC:AC=A71&amp;"",""&amp;B71),filter(Data!F:F,Data!AC:AC=A71&amp;"",""&amp;B71))"),0.7153540346881565)</f>
        <v>0.7153540347</v>
      </c>
      <c r="E71" s="10">
        <f t="shared" si="1"/>
        <v>1.635838785</v>
      </c>
      <c r="F71" s="178">
        <f>IFERROR(__xludf.DUMMYFUNCTION("iferror(round(correl(filter(Data!I:I,Data!C:C=B71,Data!D:D=A71,Data!E:E&gt;=500),filter(Data!N:N,Data!C:C=B71,Data!D:D=A71,Data!E:E&gt;=500)),2),"""")"),-0.3)</f>
        <v>-0.3</v>
      </c>
    </row>
    <row r="72" hidden="1">
      <c r="A72" s="1" t="s">
        <v>37</v>
      </c>
      <c r="B72" s="1" t="s">
        <v>65</v>
      </c>
      <c r="C72" s="10">
        <f>IFERROR(__xludf.DUMMYFUNCTION("average.weighted(filter(Data!J:J,Data!AC:AC=A72&amp;"",""&amp;B72),filter(Data!F:F,Data!AC:AC=A72&amp;"",""&amp;B72))"),0.8869339828946152)</f>
        <v>0.8869339829</v>
      </c>
      <c r="D72" s="10">
        <f>IFERROR(__xludf.DUMMYFUNCTION("average.weighted(filter(Data!K:K,Data!AC:AC=A72&amp;"",""&amp;B72),filter(Data!F:F,Data!AC:AC=A72&amp;"",""&amp;B72))"),0.742625519576411)</f>
        <v>0.7426255196</v>
      </c>
      <c r="E72" s="10">
        <f t="shared" si="1"/>
        <v>1.629559502</v>
      </c>
      <c r="F72" s="178">
        <f>IFERROR(__xludf.DUMMYFUNCTION("iferror(round(correl(filter(Data!I:I,Data!C:C=B72,Data!D:D=A72,Data!E:E&gt;=500),filter(Data!N:N,Data!C:C=B72,Data!D:D=A72,Data!E:E&gt;=500)),2),"""")"),0.28)</f>
        <v>0.28</v>
      </c>
    </row>
    <row r="73" hidden="1">
      <c r="A73" s="1" t="s">
        <v>31</v>
      </c>
      <c r="B73" s="1" t="s">
        <v>66</v>
      </c>
      <c r="C73" s="10">
        <f>IFERROR(__xludf.DUMMYFUNCTION("average.weighted(filter(Data!J:J,Data!AC:AC=A73&amp;"",""&amp;B73),filter(Data!F:F,Data!AC:AC=A73&amp;"",""&amp;B73))"),0.5432491979053193)</f>
        <v>0.5432491979</v>
      </c>
      <c r="D73" s="10">
        <f>IFERROR(__xludf.DUMMYFUNCTION("average.weighted(filter(Data!K:K,Data!AC:AC=A73&amp;"",""&amp;B73),filter(Data!F:F,Data!AC:AC=A73&amp;"",""&amp;B73))"),1.080374519230564)</f>
        <v>1.080374519</v>
      </c>
      <c r="E73" s="10">
        <f t="shared" si="1"/>
        <v>1.623623717</v>
      </c>
      <c r="F73" s="178">
        <f>IFERROR(__xludf.DUMMYFUNCTION("iferror(round(correl(filter(Data!I:I,Data!C:C=B73,Data!D:D=A73,Data!E:E&gt;=500),filter(Data!N:N,Data!C:C=B73,Data!D:D=A73,Data!E:E&gt;=500)),2),"""")"),0.1)</f>
        <v>0.1</v>
      </c>
    </row>
    <row r="74" hidden="1">
      <c r="A74" s="1" t="s">
        <v>42</v>
      </c>
      <c r="B74" s="1" t="s">
        <v>61</v>
      </c>
      <c r="C74" s="10" t="str">
        <f>IFERROR(__xludf.DUMMYFUNCTION("average.weighted(filter(Data!J:J,Data!AC:AC=A74&amp;"",""&amp;B74),filter(Data!F:F,Data!AC:AC=A74&amp;"",""&amp;B74))"),"#N/A")</f>
        <v>#N/A</v>
      </c>
      <c r="D74" s="10" t="str">
        <f>IFERROR(__xludf.DUMMYFUNCTION("average.weighted(filter(Data!K:K,Data!AC:AC=A74&amp;"",""&amp;B74),filter(Data!F:F,Data!AC:AC=A74&amp;"",""&amp;B74))"),"#N/A")</f>
        <v>#N/A</v>
      </c>
      <c r="E74" s="10" t="str">
        <f t="shared" si="1"/>
        <v>#N/A</v>
      </c>
      <c r="F74" s="178" t="str">
        <f>IFERROR(__xludf.DUMMYFUNCTION("iferror(round(correl(filter(Data!I:I,Data!C:C=B74,Data!D:D=A74,Data!E:E&gt;=500),filter(Data!N:N,Data!C:C=B74,Data!D:D=A74,Data!E:E&gt;=500)),2),"""")"),"")</f>
        <v/>
      </c>
    </row>
    <row r="75" hidden="1">
      <c r="A75" s="1" t="s">
        <v>36</v>
      </c>
      <c r="B75" s="1" t="s">
        <v>62</v>
      </c>
      <c r="C75" s="10" t="str">
        <f>IFERROR(__xludf.DUMMYFUNCTION("average.weighted(filter(Data!J:J,Data!AC:AC=A75&amp;"",""&amp;B75),filter(Data!F:F,Data!AC:AC=A75&amp;"",""&amp;B75))"),"#N/A")</f>
        <v>#N/A</v>
      </c>
      <c r="D75" s="10" t="str">
        <f>IFERROR(__xludf.DUMMYFUNCTION("average.weighted(filter(Data!K:K,Data!AC:AC=A75&amp;"",""&amp;B75),filter(Data!F:F,Data!AC:AC=A75&amp;"",""&amp;B75))"),"#N/A")</f>
        <v>#N/A</v>
      </c>
      <c r="E75" s="10" t="str">
        <f t="shared" si="1"/>
        <v>#N/A</v>
      </c>
      <c r="F75" s="178" t="str">
        <f>IFERROR(__xludf.DUMMYFUNCTION("iferror(round(correl(filter(Data!I:I,Data!C:C=B75,Data!D:D=A75,Data!E:E&gt;=500),filter(Data!N:N,Data!C:C=B75,Data!D:D=A75,Data!E:E&gt;=500)),2),"""")"),"")</f>
        <v/>
      </c>
    </row>
    <row r="76" hidden="1">
      <c r="A76" s="1" t="s">
        <v>33</v>
      </c>
      <c r="B76" s="1" t="s">
        <v>62</v>
      </c>
      <c r="C76" s="10" t="str">
        <f>IFERROR(__xludf.DUMMYFUNCTION("average.weighted(filter(Data!J:J,Data!AC:AC=A76&amp;"",""&amp;B76),filter(Data!F:F,Data!AC:AC=A76&amp;"",""&amp;B76))"),"#N/A")</f>
        <v>#N/A</v>
      </c>
      <c r="D76" s="10" t="str">
        <f>IFERROR(__xludf.DUMMYFUNCTION("average.weighted(filter(Data!K:K,Data!AC:AC=A76&amp;"",""&amp;B76),filter(Data!F:F,Data!AC:AC=A76&amp;"",""&amp;B76))"),"#N/A")</f>
        <v>#N/A</v>
      </c>
      <c r="E76" s="10" t="str">
        <f t="shared" si="1"/>
        <v>#N/A</v>
      </c>
      <c r="F76" s="178" t="str">
        <f>IFERROR(__xludf.DUMMYFUNCTION("iferror(round(correl(filter(Data!I:I,Data!C:C=B76,Data!D:D=A76,Data!E:E&gt;=500),filter(Data!N:N,Data!C:C=B76,Data!D:D=A76,Data!E:E&gt;=500)),2),"""")"),"")</f>
        <v/>
      </c>
    </row>
    <row r="77" hidden="1">
      <c r="A77" s="1" t="s">
        <v>36</v>
      </c>
      <c r="B77" s="1" t="s">
        <v>61</v>
      </c>
      <c r="C77" s="10" t="str">
        <f>IFERROR(__xludf.DUMMYFUNCTION("average.weighted(filter(Data!J:J,Data!AC:AC=A77&amp;"",""&amp;B77),filter(Data!F:F,Data!AC:AC=A77&amp;"",""&amp;B77))"),"#N/A")</f>
        <v>#N/A</v>
      </c>
      <c r="D77" s="10" t="str">
        <f>IFERROR(__xludf.DUMMYFUNCTION("average.weighted(filter(Data!K:K,Data!AC:AC=A77&amp;"",""&amp;B77),filter(Data!F:F,Data!AC:AC=A77&amp;"",""&amp;B77))"),"#N/A")</f>
        <v>#N/A</v>
      </c>
      <c r="E77" s="10" t="str">
        <f t="shared" si="1"/>
        <v>#N/A</v>
      </c>
      <c r="F77" s="178" t="str">
        <f>IFERROR(__xludf.DUMMYFUNCTION("iferror(round(correl(filter(Data!I:I,Data!C:C=B77,Data!D:D=A77,Data!E:E&gt;=500),filter(Data!N:N,Data!C:C=B77,Data!D:D=A77,Data!E:E&gt;=500)),2),"""")"),"")</f>
        <v/>
      </c>
    </row>
    <row r="78" hidden="1">
      <c r="A78" s="1" t="s">
        <v>31</v>
      </c>
      <c r="B78" s="1" t="s">
        <v>67</v>
      </c>
      <c r="C78" s="10">
        <f>IFERROR(__xludf.DUMMYFUNCTION("average.weighted(filter(Data!J:J,Data!AC:AC=A78&amp;"",""&amp;B78),filter(Data!F:F,Data!AC:AC=A78&amp;"",""&amp;B78))"),0.9843780166237808)</f>
        <v>0.9843780166</v>
      </c>
      <c r="D78" s="10">
        <f>IFERROR(__xludf.DUMMYFUNCTION("average.weighted(filter(Data!K:K,Data!AC:AC=A78&amp;"",""&amp;B78),filter(Data!F:F,Data!AC:AC=A78&amp;"",""&amp;B78))"),0.6312363625782502)</f>
        <v>0.6312363626</v>
      </c>
      <c r="E78" s="10">
        <f t="shared" si="1"/>
        <v>1.615614379</v>
      </c>
      <c r="F78" s="178">
        <f>IFERROR(__xludf.DUMMYFUNCTION("iferror(round(correl(filter(Data!I:I,Data!C:C=B78,Data!D:D=A78,Data!E:E&gt;=500),filter(Data!N:N,Data!C:C=B78,Data!D:D=A78,Data!E:E&gt;=500)),2),"""")"),0.51)</f>
        <v>0.51</v>
      </c>
    </row>
    <row r="79" hidden="1">
      <c r="A79" s="1" t="s">
        <v>25</v>
      </c>
      <c r="B79" s="1" t="s">
        <v>67</v>
      </c>
      <c r="C79" s="10">
        <f>IFERROR(__xludf.DUMMYFUNCTION("average.weighted(filter(Data!J:J,Data!AC:AC=A79&amp;"",""&amp;B79),filter(Data!F:F,Data!AC:AC=A79&amp;"",""&amp;B79))"),0.7492912174338714)</f>
        <v>0.7492912174</v>
      </c>
      <c r="D79" s="10">
        <f>IFERROR(__xludf.DUMMYFUNCTION("average.weighted(filter(Data!K:K,Data!AC:AC=A79&amp;"",""&amp;B79),filter(Data!F:F,Data!AC:AC=A79&amp;"",""&amp;B79))"),0.843478825703339)</f>
        <v>0.8434788257</v>
      </c>
      <c r="E79" s="10">
        <f t="shared" si="1"/>
        <v>1.592770043</v>
      </c>
      <c r="F79" s="178">
        <f>IFERROR(__xludf.DUMMYFUNCTION("iferror(round(correl(filter(Data!I:I,Data!C:C=B79,Data!D:D=A79,Data!E:E&gt;=500),filter(Data!N:N,Data!C:C=B79,Data!D:D=A79,Data!E:E&gt;=500)),2),"""")"),0.33)</f>
        <v>0.33</v>
      </c>
    </row>
    <row r="80" hidden="1">
      <c r="A80" s="1" t="s">
        <v>20</v>
      </c>
      <c r="B80" s="1" t="s">
        <v>62</v>
      </c>
      <c r="C80" s="10" t="str">
        <f>IFERROR(__xludf.DUMMYFUNCTION("average.weighted(filter(Data!J:J,Data!AC:AC=A80&amp;"",""&amp;B80),filter(Data!F:F,Data!AC:AC=A80&amp;"",""&amp;B80))"),"#N/A")</f>
        <v>#N/A</v>
      </c>
      <c r="D80" s="10" t="str">
        <f>IFERROR(__xludf.DUMMYFUNCTION("average.weighted(filter(Data!K:K,Data!AC:AC=A80&amp;"",""&amp;B80),filter(Data!F:F,Data!AC:AC=A80&amp;"",""&amp;B80))"),"#N/A")</f>
        <v>#N/A</v>
      </c>
      <c r="E80" s="10" t="str">
        <f t="shared" si="1"/>
        <v>#N/A</v>
      </c>
      <c r="F80" s="178" t="str">
        <f>IFERROR(__xludf.DUMMYFUNCTION("iferror(round(correl(filter(Data!I:I,Data!C:C=B80,Data!D:D=A80,Data!E:E&gt;=500),filter(Data!N:N,Data!C:C=B80,Data!D:D=A80,Data!E:E&gt;=500)),2),"""")"),"")</f>
        <v/>
      </c>
    </row>
    <row r="81" hidden="1">
      <c r="A81" s="1" t="s">
        <v>32</v>
      </c>
      <c r="B81" s="1" t="s">
        <v>63</v>
      </c>
      <c r="C81" s="10" t="str">
        <f>IFERROR(__xludf.DUMMYFUNCTION("average.weighted(filter(Data!J:J,Data!AC:AC=A81&amp;"",""&amp;B81),filter(Data!F:F,Data!AC:AC=A81&amp;"",""&amp;B81))"),"#N/A")</f>
        <v>#N/A</v>
      </c>
      <c r="D81" s="10" t="str">
        <f>IFERROR(__xludf.DUMMYFUNCTION("average.weighted(filter(Data!K:K,Data!AC:AC=A81&amp;"",""&amp;B81),filter(Data!F:F,Data!AC:AC=A81&amp;"",""&amp;B81))"),"#N/A")</f>
        <v>#N/A</v>
      </c>
      <c r="E81" s="10" t="str">
        <f t="shared" si="1"/>
        <v>#N/A</v>
      </c>
      <c r="F81" s="178" t="str">
        <f>IFERROR(__xludf.DUMMYFUNCTION("iferror(round(correl(filter(Data!I:I,Data!C:C=B81,Data!D:D=A81,Data!E:E&gt;=500),filter(Data!N:N,Data!C:C=B81,Data!D:D=A81,Data!E:E&gt;=500)),2),"""")"),"")</f>
        <v/>
      </c>
    </row>
    <row r="82" hidden="1">
      <c r="A82" s="1" t="s">
        <v>48</v>
      </c>
      <c r="B82" s="1" t="s">
        <v>64</v>
      </c>
      <c r="C82" s="10" t="str">
        <f>IFERROR(__xludf.DUMMYFUNCTION("average.weighted(filter(Data!J:J,Data!AC:AC=A82&amp;"",""&amp;B82),filter(Data!F:F,Data!AC:AC=A82&amp;"",""&amp;B82))"),"#N/A")</f>
        <v>#N/A</v>
      </c>
      <c r="D82" s="10" t="str">
        <f>IFERROR(__xludf.DUMMYFUNCTION("average.weighted(filter(Data!K:K,Data!AC:AC=A82&amp;"",""&amp;B82),filter(Data!F:F,Data!AC:AC=A82&amp;"",""&amp;B82))"),"#N/A")</f>
        <v>#N/A</v>
      </c>
      <c r="E82" s="10" t="str">
        <f t="shared" si="1"/>
        <v>#N/A</v>
      </c>
      <c r="F82" s="178" t="str">
        <f>IFERROR(__xludf.DUMMYFUNCTION("iferror(round(correl(filter(Data!I:I,Data!C:C=B82,Data!D:D=A82,Data!E:E&gt;=500),filter(Data!N:N,Data!C:C=B82,Data!D:D=A82,Data!E:E&gt;=500)),2),"""")"),"")</f>
        <v/>
      </c>
    </row>
    <row r="83" hidden="1">
      <c r="A83" s="1" t="s">
        <v>41</v>
      </c>
      <c r="B83" s="1" t="s">
        <v>62</v>
      </c>
      <c r="C83" s="10" t="str">
        <f>IFERROR(__xludf.DUMMYFUNCTION("average.weighted(filter(Data!J:J,Data!AC:AC=A83&amp;"",""&amp;B83),filter(Data!F:F,Data!AC:AC=A83&amp;"",""&amp;B83))"),"#N/A")</f>
        <v>#N/A</v>
      </c>
      <c r="D83" s="10" t="str">
        <f>IFERROR(__xludf.DUMMYFUNCTION("average.weighted(filter(Data!K:K,Data!AC:AC=A83&amp;"",""&amp;B83),filter(Data!F:F,Data!AC:AC=A83&amp;"",""&amp;B83))"),"#N/A")</f>
        <v>#N/A</v>
      </c>
      <c r="E83" s="10" t="str">
        <f t="shared" si="1"/>
        <v>#N/A</v>
      </c>
      <c r="F83" s="178" t="str">
        <f>IFERROR(__xludf.DUMMYFUNCTION("iferror(round(correl(filter(Data!I:I,Data!C:C=B83,Data!D:D=A83,Data!E:E&gt;=500),filter(Data!N:N,Data!C:C=B83,Data!D:D=A83,Data!E:E&gt;=500)),2),"""")"),"")</f>
        <v/>
      </c>
    </row>
    <row r="84" hidden="1">
      <c r="A84" s="1" t="s">
        <v>26</v>
      </c>
      <c r="B84" s="1" t="s">
        <v>67</v>
      </c>
      <c r="C84" s="10">
        <f>IFERROR(__xludf.DUMMYFUNCTION("average.weighted(filter(Data!J:J,Data!AC:AC=A84&amp;"",""&amp;B84),filter(Data!F:F,Data!AC:AC=A84&amp;"",""&amp;B84))"),0.99472004606717)</f>
        <v>0.9947200461</v>
      </c>
      <c r="D84" s="10">
        <f>IFERROR(__xludf.DUMMYFUNCTION("average.weighted(filter(Data!K:K,Data!AC:AC=A84&amp;"",""&amp;B84),filter(Data!F:F,Data!AC:AC=A84&amp;"",""&amp;B84))"),0.4979344297188035)</f>
        <v>0.4979344297</v>
      </c>
      <c r="E84" s="10">
        <f t="shared" si="1"/>
        <v>1.492654476</v>
      </c>
      <c r="F84" s="178">
        <f>IFERROR(__xludf.DUMMYFUNCTION("iferror(round(correl(filter(Data!I:I,Data!C:C=B84,Data!D:D=A84,Data!E:E&gt;=500),filter(Data!N:N,Data!C:C=B84,Data!D:D=A84,Data!E:E&gt;=500)),2),"""")"),0.16)</f>
        <v>0.16</v>
      </c>
    </row>
    <row r="85" hidden="1">
      <c r="A85" s="1" t="s">
        <v>24</v>
      </c>
      <c r="B85" s="1" t="s">
        <v>69</v>
      </c>
      <c r="C85" s="10">
        <f>IFERROR(__xludf.DUMMYFUNCTION("average.weighted(filter(Data!J:J,Data!AC:AC=A85&amp;"",""&amp;B85),filter(Data!F:F,Data!AC:AC=A85&amp;"",""&amp;B85))"),0.8551865411576131)</f>
        <v>0.8551865412</v>
      </c>
      <c r="D85" s="10">
        <f>IFERROR(__xludf.DUMMYFUNCTION("average.weighted(filter(Data!K:K,Data!AC:AC=A85&amp;"",""&amp;B85),filter(Data!F:F,Data!AC:AC=A85&amp;"",""&amp;B85))"),0.6190085749866547)</f>
        <v>0.619008575</v>
      </c>
      <c r="E85" s="10">
        <f t="shared" si="1"/>
        <v>1.474195116</v>
      </c>
      <c r="F85" s="178">
        <f>IFERROR(__xludf.DUMMYFUNCTION("iferror(round(correl(filter(Data!I:I,Data!C:C=B85,Data!D:D=A85,Data!E:E&gt;=500),filter(Data!N:N,Data!C:C=B85,Data!D:D=A85,Data!E:E&gt;=500)),2),"""")"),0.19)</f>
        <v>0.19</v>
      </c>
    </row>
    <row r="86" hidden="1">
      <c r="A86" s="1" t="s">
        <v>25</v>
      </c>
      <c r="B86" s="1" t="s">
        <v>66</v>
      </c>
      <c r="C86" s="10">
        <f>IFERROR(__xludf.DUMMYFUNCTION("average.weighted(filter(Data!J:J,Data!AC:AC=A86&amp;"",""&amp;B86),filter(Data!F:F,Data!AC:AC=A86&amp;"",""&amp;B86))"),0.8298889886993313)</f>
        <v>0.8298889887</v>
      </c>
      <c r="D86" s="10">
        <f>IFERROR(__xludf.DUMMYFUNCTION("average.weighted(filter(Data!K:K,Data!AC:AC=A86&amp;"",""&amp;B86),filter(Data!F:F,Data!AC:AC=A86&amp;"",""&amp;B86))"),0.6274936062767602)</f>
        <v>0.6274936063</v>
      </c>
      <c r="E86" s="10">
        <f t="shared" si="1"/>
        <v>1.457382595</v>
      </c>
      <c r="F86" s="178">
        <f>IFERROR(__xludf.DUMMYFUNCTION("iferror(round(correl(filter(Data!I:I,Data!C:C=B86,Data!D:D=A86,Data!E:E&gt;=500),filter(Data!N:N,Data!C:C=B86,Data!D:D=A86,Data!E:E&gt;=500)),2),"""")"),0.09)</f>
        <v>0.09</v>
      </c>
    </row>
    <row r="87" hidden="1">
      <c r="A87" s="1" t="s">
        <v>39</v>
      </c>
      <c r="B87" s="1" t="s">
        <v>64</v>
      </c>
      <c r="C87" s="10" t="str">
        <f>IFERROR(__xludf.DUMMYFUNCTION("average.weighted(filter(Data!J:J,Data!AC:AC=A87&amp;"",""&amp;B87),filter(Data!F:F,Data!AC:AC=A87&amp;"",""&amp;B87))"),"#N/A")</f>
        <v>#N/A</v>
      </c>
      <c r="D87" s="10" t="str">
        <f>IFERROR(__xludf.DUMMYFUNCTION("average.weighted(filter(Data!K:K,Data!AC:AC=A87&amp;"",""&amp;B87),filter(Data!F:F,Data!AC:AC=A87&amp;"",""&amp;B87))"),"#N/A")</f>
        <v>#N/A</v>
      </c>
      <c r="E87" s="10" t="str">
        <f t="shared" si="1"/>
        <v>#N/A</v>
      </c>
      <c r="F87" s="178" t="str">
        <f>IFERROR(__xludf.DUMMYFUNCTION("iferror(round(correl(filter(Data!I:I,Data!C:C=B87,Data!D:D=A87,Data!E:E&gt;=500),filter(Data!N:N,Data!C:C=B87,Data!D:D=A87,Data!E:E&gt;=500)),2),"""")"),"")</f>
        <v/>
      </c>
    </row>
    <row r="88">
      <c r="A88" s="1" t="s">
        <v>26</v>
      </c>
      <c r="B88" s="179" t="s">
        <v>13</v>
      </c>
      <c r="C88" s="10">
        <f>IFERROR(__xludf.DUMMYFUNCTION("average.weighted(filter(Data!J:J,Data!AC:AC=A88&amp;"",""&amp;B88),filter(Data!F:F,Data!AC:AC=A88&amp;"",""&amp;B88))"),0.8034899873394543)</f>
        <v>0.8034899873</v>
      </c>
      <c r="D88" s="10">
        <f>IFERROR(__xludf.DUMMYFUNCTION("average.weighted(filter(Data!K:K,Data!AC:AC=A88&amp;"",""&amp;B88),filter(Data!F:F,Data!AC:AC=A88&amp;"",""&amp;B88))"),0.7706912759707519)</f>
        <v>0.770691276</v>
      </c>
      <c r="E88" s="10">
        <f t="shared" si="1"/>
        <v>1.574181263</v>
      </c>
      <c r="F88" s="178">
        <f>IFERROR(__xludf.DUMMYFUNCTION("iferror(round(correl(filter(Data!I:I,Data!C:C=B88,Data!D:D=A88,Data!E:E&gt;=500),filter(Data!N:N,Data!C:C=B88,Data!D:D=A88,Data!E:E&gt;=500)),2),"""")"),0.66)</f>
        <v>0.66</v>
      </c>
    </row>
    <row r="89" hidden="1">
      <c r="A89" s="1" t="s">
        <v>35</v>
      </c>
      <c r="B89" s="1" t="s">
        <v>61</v>
      </c>
      <c r="C89" s="10" t="str">
        <f>IFERROR(__xludf.DUMMYFUNCTION("average.weighted(filter(Data!J:J,Data!AC:AC=A89&amp;"",""&amp;B89),filter(Data!F:F,Data!AC:AC=A89&amp;"",""&amp;B89))"),"#N/A")</f>
        <v>#N/A</v>
      </c>
      <c r="D89" s="10" t="str">
        <f>IFERROR(__xludf.DUMMYFUNCTION("average.weighted(filter(Data!K:K,Data!AC:AC=A89&amp;"",""&amp;B89),filter(Data!F:F,Data!AC:AC=A89&amp;"",""&amp;B89))"),"#N/A")</f>
        <v>#N/A</v>
      </c>
      <c r="E89" s="10" t="str">
        <f t="shared" si="1"/>
        <v>#N/A</v>
      </c>
      <c r="F89" s="178" t="str">
        <f>IFERROR(__xludf.DUMMYFUNCTION("iferror(round(correl(filter(Data!I:I,Data!C:C=B89,Data!D:D=A89,Data!E:E&gt;=500),filter(Data!N:N,Data!C:C=B89,Data!D:D=A89,Data!E:E&gt;=500)),2),"""")"),"")</f>
        <v/>
      </c>
    </row>
    <row r="90" hidden="1">
      <c r="A90" s="1" t="s">
        <v>34</v>
      </c>
      <c r="B90" s="1" t="s">
        <v>61</v>
      </c>
      <c r="C90" s="10" t="str">
        <f>IFERROR(__xludf.DUMMYFUNCTION("average.weighted(filter(Data!J:J,Data!AC:AC=A90&amp;"",""&amp;B90),filter(Data!F:F,Data!AC:AC=A90&amp;"",""&amp;B90))"),"#N/A")</f>
        <v>#N/A</v>
      </c>
      <c r="D90" s="10" t="str">
        <f>IFERROR(__xludf.DUMMYFUNCTION("average.weighted(filter(Data!K:K,Data!AC:AC=A90&amp;"",""&amp;B90),filter(Data!F:F,Data!AC:AC=A90&amp;"",""&amp;B90))"),"#N/A")</f>
        <v>#N/A</v>
      </c>
      <c r="E90" s="10" t="str">
        <f t="shared" si="1"/>
        <v>#N/A</v>
      </c>
      <c r="F90" s="178" t="str">
        <f>IFERROR(__xludf.DUMMYFUNCTION("iferror(round(correl(filter(Data!I:I,Data!C:C=B90,Data!D:D=A90,Data!E:E&gt;=500),filter(Data!N:N,Data!C:C=B90,Data!D:D=A90,Data!E:E&gt;=500)),2),"""")"),"")</f>
        <v/>
      </c>
    </row>
    <row r="91" hidden="1">
      <c r="A91" s="1" t="s">
        <v>33</v>
      </c>
      <c r="B91" s="1" t="s">
        <v>66</v>
      </c>
      <c r="C91" s="10">
        <f>IFERROR(__xludf.DUMMYFUNCTION("average.weighted(filter(Data!J:J,Data!AC:AC=A91&amp;"",""&amp;B91),filter(Data!F:F,Data!AC:AC=A91&amp;"",""&amp;B91))"),1.213930163851252)</f>
        <v>1.213930164</v>
      </c>
      <c r="D91" s="10">
        <f>IFERROR(__xludf.DUMMYFUNCTION("average.weighted(filter(Data!K:K,Data!AC:AC=A91&amp;"",""&amp;B91),filter(Data!F:F,Data!AC:AC=A91&amp;"",""&amp;B91))"),0.21491319082220622)</f>
        <v>0.2149131908</v>
      </c>
      <c r="E91" s="10">
        <f t="shared" si="1"/>
        <v>1.428843355</v>
      </c>
      <c r="F91" s="178">
        <f>IFERROR(__xludf.DUMMYFUNCTION("iferror(round(correl(filter(Data!I:I,Data!C:C=B91,Data!D:D=A91,Data!E:E&gt;=500),filter(Data!N:N,Data!C:C=B91,Data!D:D=A91,Data!E:E&gt;=500)),2),"""")"),0.51)</f>
        <v>0.51</v>
      </c>
    </row>
    <row r="92" hidden="1">
      <c r="A92" s="1" t="s">
        <v>25</v>
      </c>
      <c r="B92" s="1" t="s">
        <v>62</v>
      </c>
      <c r="C92" s="10" t="str">
        <f>IFERROR(__xludf.DUMMYFUNCTION("average.weighted(filter(Data!J:J,Data!AC:AC=A92&amp;"",""&amp;B92),filter(Data!F:F,Data!AC:AC=A92&amp;"",""&amp;B92))"),"#N/A")</f>
        <v>#N/A</v>
      </c>
      <c r="D92" s="10" t="str">
        <f>IFERROR(__xludf.DUMMYFUNCTION("average.weighted(filter(Data!K:K,Data!AC:AC=A92&amp;"",""&amp;B92),filter(Data!F:F,Data!AC:AC=A92&amp;"",""&amp;B92))"),"#N/A")</f>
        <v>#N/A</v>
      </c>
      <c r="E92" s="10" t="str">
        <f t="shared" si="1"/>
        <v>#N/A</v>
      </c>
      <c r="F92" s="178" t="str">
        <f>IFERROR(__xludf.DUMMYFUNCTION("iferror(round(correl(filter(Data!I:I,Data!C:C=B92,Data!D:D=A92,Data!E:E&gt;=500),filter(Data!N:N,Data!C:C=B92,Data!D:D=A92,Data!E:E&gt;=500)),2),"""")"),"")</f>
        <v/>
      </c>
    </row>
    <row r="93">
      <c r="A93" s="1" t="s">
        <v>32</v>
      </c>
      <c r="B93" s="179" t="s">
        <v>13</v>
      </c>
      <c r="C93" s="10">
        <f>IFERROR(__xludf.DUMMYFUNCTION("average.weighted(filter(Data!J:J,Data!AC:AC=A93&amp;"",""&amp;B93),filter(Data!F:F,Data!AC:AC=A93&amp;"",""&amp;B93))"),1.0297172256581708)</f>
        <v>1.029717226</v>
      </c>
      <c r="D93" s="10">
        <f>IFERROR(__xludf.DUMMYFUNCTION("average.weighted(filter(Data!K:K,Data!AC:AC=A93&amp;"",""&amp;B93),filter(Data!F:F,Data!AC:AC=A93&amp;"",""&amp;B93))"),0.2637481603017528)</f>
        <v>0.2637481603</v>
      </c>
      <c r="E93" s="10">
        <f t="shared" si="1"/>
        <v>1.293465386</v>
      </c>
      <c r="F93" s="178">
        <f>IFERROR(__xludf.DUMMYFUNCTION("iferror(round(correl(filter(Data!I:I,Data!C:C=B93,Data!D:D=A93,Data!E:E&gt;=500),filter(Data!N:N,Data!C:C=B93,Data!D:D=A93,Data!E:E&gt;=500)),2),"""")"),0.16)</f>
        <v>0.16</v>
      </c>
    </row>
    <row r="94" hidden="1">
      <c r="A94" s="1" t="s">
        <v>34</v>
      </c>
      <c r="B94" s="1" t="s">
        <v>71</v>
      </c>
      <c r="C94" s="10">
        <f>IFERROR(__xludf.DUMMYFUNCTION("average.weighted(filter(Data!J:J,Data!AC:AC=A94&amp;"",""&amp;B94),filter(Data!F:F,Data!AC:AC=A94&amp;"",""&amp;B94))"),0.6540443561344633)</f>
        <v>0.6540443561</v>
      </c>
      <c r="D94" s="10">
        <f>IFERROR(__xludf.DUMMYFUNCTION("average.weighted(filter(Data!K:K,Data!AC:AC=A94&amp;"",""&amp;B94),filter(Data!F:F,Data!AC:AC=A94&amp;"",""&amp;B94))"),0.6603969832986337)</f>
        <v>0.6603969833</v>
      </c>
      <c r="E94" s="10">
        <f t="shared" si="1"/>
        <v>1.314441339</v>
      </c>
      <c r="F94" s="178">
        <f>IFERROR(__xludf.DUMMYFUNCTION("iferror(round(correl(filter(Data!I:I,Data!C:C=B94,Data!D:D=A94,Data!E:E&gt;=500),filter(Data!N:N,Data!C:C=B94,Data!D:D=A94,Data!E:E&gt;=500)),2),"""")"),0.3)</f>
        <v>0.3</v>
      </c>
    </row>
    <row r="95">
      <c r="A95" s="1" t="s">
        <v>21</v>
      </c>
      <c r="B95" s="179" t="s">
        <v>13</v>
      </c>
      <c r="C95" s="10">
        <f>IFERROR(__xludf.DUMMYFUNCTION("average.weighted(filter(Data!J:J,Data!AC:AC=A95&amp;"",""&amp;B95),filter(Data!F:F,Data!AC:AC=A95&amp;"",""&amp;B95))"),0.5586276745764591)</f>
        <v>0.5586276746</v>
      </c>
      <c r="D95" s="10">
        <f>IFERROR(__xludf.DUMMYFUNCTION("average.weighted(filter(Data!K:K,Data!AC:AC=A95&amp;"",""&amp;B95),filter(Data!F:F,Data!AC:AC=A95&amp;"",""&amp;B95))"),0.9103970116556882)</f>
        <v>0.9103970117</v>
      </c>
      <c r="E95" s="10">
        <f t="shared" si="1"/>
        <v>1.469024686</v>
      </c>
      <c r="F95" s="178">
        <f>IFERROR(__xludf.DUMMYFUNCTION("iferror(round(correl(filter(Data!I:I,Data!C:C=B95,Data!D:D=A95,Data!E:E&gt;=500),filter(Data!N:N,Data!C:C=B95,Data!D:D=A95,Data!E:E&gt;=500)),2),"""")"),0.03)</f>
        <v>0.03</v>
      </c>
    </row>
    <row r="96" hidden="1">
      <c r="A96" s="1" t="s">
        <v>34</v>
      </c>
      <c r="B96" s="1" t="s">
        <v>62</v>
      </c>
      <c r="C96" s="10" t="str">
        <f>IFERROR(__xludf.DUMMYFUNCTION("average.weighted(filter(Data!J:J,Data!AC:AC=A96&amp;"",""&amp;B96),filter(Data!F:F,Data!AC:AC=A96&amp;"",""&amp;B96))"),"#N/A")</f>
        <v>#N/A</v>
      </c>
      <c r="D96" s="10" t="str">
        <f>IFERROR(__xludf.DUMMYFUNCTION("average.weighted(filter(Data!K:K,Data!AC:AC=A96&amp;"",""&amp;B96),filter(Data!F:F,Data!AC:AC=A96&amp;"",""&amp;B96))"),"#N/A")</f>
        <v>#N/A</v>
      </c>
      <c r="E96" s="10" t="str">
        <f t="shared" si="1"/>
        <v>#N/A</v>
      </c>
      <c r="F96" s="178" t="str">
        <f>IFERROR(__xludf.DUMMYFUNCTION("iferror(round(correl(filter(Data!I:I,Data!C:C=B96,Data!D:D=A96,Data!E:E&gt;=500),filter(Data!N:N,Data!C:C=B96,Data!D:D=A96,Data!E:E&gt;=500)),2),"""")"),"")</f>
        <v/>
      </c>
    </row>
    <row r="97" hidden="1">
      <c r="A97" s="1" t="s">
        <v>32</v>
      </c>
      <c r="B97" s="1" t="s">
        <v>61</v>
      </c>
      <c r="C97" s="10" t="str">
        <f>IFERROR(__xludf.DUMMYFUNCTION("average.weighted(filter(Data!J:J,Data!AC:AC=A97&amp;"",""&amp;B97),filter(Data!F:F,Data!AC:AC=A97&amp;"",""&amp;B97))"),"#N/A")</f>
        <v>#N/A</v>
      </c>
      <c r="D97" s="10" t="str">
        <f>IFERROR(__xludf.DUMMYFUNCTION("average.weighted(filter(Data!K:K,Data!AC:AC=A97&amp;"",""&amp;B97),filter(Data!F:F,Data!AC:AC=A97&amp;"",""&amp;B97))"),"#N/A")</f>
        <v>#N/A</v>
      </c>
      <c r="E97" s="10" t="str">
        <f t="shared" si="1"/>
        <v>#N/A</v>
      </c>
      <c r="F97" s="178" t="str">
        <f>IFERROR(__xludf.DUMMYFUNCTION("iferror(round(correl(filter(Data!I:I,Data!C:C=B97,Data!D:D=A97,Data!E:E&gt;=500),filter(Data!N:N,Data!C:C=B97,Data!D:D=A97,Data!E:E&gt;=500)),2),"""")"),"")</f>
        <v/>
      </c>
    </row>
    <row r="98" hidden="1">
      <c r="A98" s="1" t="s">
        <v>28</v>
      </c>
      <c r="B98" s="1" t="s">
        <v>69</v>
      </c>
      <c r="C98" s="10">
        <f>IFERROR(__xludf.DUMMYFUNCTION("average.weighted(filter(Data!J:J,Data!AC:AC=A98&amp;"",""&amp;B98),filter(Data!F:F,Data!AC:AC=A98&amp;"",""&amp;B98))"),1.291987974277961)</f>
        <v>1.291987974</v>
      </c>
      <c r="D98" s="10">
        <f>IFERROR(__xludf.DUMMYFUNCTION("average.weighted(filter(Data!K:K,Data!AC:AC=A98&amp;"",""&amp;B98),filter(Data!F:F,Data!AC:AC=A98&amp;"",""&amp;B98))"),-0.008819643525990054)</f>
        <v>-0.008819643526</v>
      </c>
      <c r="E98" s="10">
        <f t="shared" si="1"/>
        <v>1.283168331</v>
      </c>
      <c r="F98" s="178">
        <f>IFERROR(__xludf.DUMMYFUNCTION("iferror(round(correl(filter(Data!I:I,Data!C:C=B98,Data!D:D=A98,Data!E:E&gt;=500),filter(Data!N:N,Data!C:C=B98,Data!D:D=A98,Data!E:E&gt;=500)),2),"""")"),0.23)</f>
        <v>0.23</v>
      </c>
    </row>
    <row r="99" hidden="1">
      <c r="A99" s="1" t="s">
        <v>36</v>
      </c>
      <c r="B99" s="1" t="s">
        <v>71</v>
      </c>
      <c r="C99" s="10">
        <f>IFERROR(__xludf.DUMMYFUNCTION("average.weighted(filter(Data!J:J,Data!AC:AC=A99&amp;"",""&amp;B99),filter(Data!F:F,Data!AC:AC=A99&amp;"",""&amp;B99))"),0.36364755577615365)</f>
        <v>0.3636475558</v>
      </c>
      <c r="D99" s="10">
        <f>IFERROR(__xludf.DUMMYFUNCTION("average.weighted(filter(Data!K:K,Data!AC:AC=A99&amp;"",""&amp;B99),filter(Data!F:F,Data!AC:AC=A99&amp;"",""&amp;B99))"),0.887249618801108)</f>
        <v>0.8872496188</v>
      </c>
      <c r="E99" s="10">
        <f t="shared" si="1"/>
        <v>1.250897175</v>
      </c>
      <c r="F99" s="178">
        <f>IFERROR(__xludf.DUMMYFUNCTION("iferror(round(correl(filter(Data!I:I,Data!C:C=B99,Data!D:D=A99,Data!E:E&gt;=500),filter(Data!N:N,Data!C:C=B99,Data!D:D=A99,Data!E:E&gt;=500)),2),"""")"),0.78)</f>
        <v>0.78</v>
      </c>
    </row>
    <row r="100" hidden="1">
      <c r="A100" s="1" t="s">
        <v>34</v>
      </c>
      <c r="B100" s="1" t="s">
        <v>68</v>
      </c>
      <c r="C100" s="10">
        <f>IFERROR(__xludf.DUMMYFUNCTION("average.weighted(filter(Data!J:J,Data!AC:AC=A100&amp;"",""&amp;B100),filter(Data!F:F,Data!AC:AC=A100&amp;"",""&amp;B100))"),0.3292749197059057)</f>
        <v>0.3292749197</v>
      </c>
      <c r="D100" s="10">
        <f>IFERROR(__xludf.DUMMYFUNCTION("average.weighted(filter(Data!K:K,Data!AC:AC=A100&amp;"",""&amp;B100),filter(Data!F:F,Data!AC:AC=A100&amp;"",""&amp;B100))"),0.8904003692782845)</f>
        <v>0.8904003693</v>
      </c>
      <c r="E100" s="10">
        <f t="shared" si="1"/>
        <v>1.219675289</v>
      </c>
      <c r="F100" s="178">
        <f>IFERROR(__xludf.DUMMYFUNCTION("iferror(round(correl(filter(Data!I:I,Data!C:C=B100,Data!D:D=A100,Data!E:E&gt;=500),filter(Data!N:N,Data!C:C=B100,Data!D:D=A100,Data!E:E&gt;=500)),2),"""")"),-0.03)</f>
        <v>-0.03</v>
      </c>
    </row>
    <row r="101" hidden="1">
      <c r="A101" s="1" t="s">
        <v>35</v>
      </c>
      <c r="B101" s="1" t="s">
        <v>71</v>
      </c>
      <c r="C101" s="10">
        <f>IFERROR(__xludf.DUMMYFUNCTION("average.weighted(filter(Data!J:J,Data!AC:AC=A101&amp;"",""&amp;B101),filter(Data!F:F,Data!AC:AC=A101&amp;"",""&amp;B101))"),0.8146130664377235)</f>
        <v>0.8146130664</v>
      </c>
      <c r="D101" s="10">
        <f>IFERROR(__xludf.DUMMYFUNCTION("average.weighted(filter(Data!K:K,Data!AC:AC=A101&amp;"",""&amp;B101),filter(Data!F:F,Data!AC:AC=A101&amp;"",""&amp;B101))"),0.3892795845647754)</f>
        <v>0.3892795846</v>
      </c>
      <c r="E101" s="10">
        <f t="shared" si="1"/>
        <v>1.203892651</v>
      </c>
      <c r="F101" s="178">
        <f>IFERROR(__xludf.DUMMYFUNCTION("iferror(round(correl(filter(Data!I:I,Data!C:C=B101,Data!D:D=A101,Data!E:E&gt;=500),filter(Data!N:N,Data!C:C=B101,Data!D:D=A101,Data!E:E&gt;=500)),2),"""")"),0.28)</f>
        <v>0.28</v>
      </c>
    </row>
    <row r="102" hidden="1">
      <c r="A102" s="1" t="s">
        <v>48</v>
      </c>
      <c r="B102" s="1" t="s">
        <v>63</v>
      </c>
      <c r="C102" s="10" t="str">
        <f>IFERROR(__xludf.DUMMYFUNCTION("average.weighted(filter(Data!J:J,Data!AC:AC=A102&amp;"",""&amp;B102),filter(Data!F:F,Data!AC:AC=A102&amp;"",""&amp;B102))"),"#N/A")</f>
        <v>#N/A</v>
      </c>
      <c r="D102" s="10" t="str">
        <f>IFERROR(__xludf.DUMMYFUNCTION("average.weighted(filter(Data!K:K,Data!AC:AC=A102&amp;"",""&amp;B102),filter(Data!F:F,Data!AC:AC=A102&amp;"",""&amp;B102))"),"#N/A")</f>
        <v>#N/A</v>
      </c>
      <c r="E102" s="10" t="str">
        <f t="shared" si="1"/>
        <v>#N/A</v>
      </c>
      <c r="F102" s="178" t="str">
        <f>IFERROR(__xludf.DUMMYFUNCTION("iferror(round(correl(filter(Data!I:I,Data!C:C=B102,Data!D:D=A102,Data!E:E&gt;=500),filter(Data!N:N,Data!C:C=B102,Data!D:D=A102,Data!E:E&gt;=500)),2),"""")"),"")</f>
        <v/>
      </c>
    </row>
    <row r="103" hidden="1">
      <c r="A103" s="1" t="s">
        <v>26</v>
      </c>
      <c r="B103" s="1" t="s">
        <v>68</v>
      </c>
      <c r="C103" s="10">
        <f>IFERROR(__xludf.DUMMYFUNCTION("average.weighted(filter(Data!J:J,Data!AC:AC=A103&amp;"",""&amp;B103),filter(Data!F:F,Data!AC:AC=A103&amp;"",""&amp;B103))"),0.6803710608996754)</f>
        <v>0.6803710609</v>
      </c>
      <c r="D103" s="10">
        <f>IFERROR(__xludf.DUMMYFUNCTION("average.weighted(filter(Data!K:K,Data!AC:AC=A103&amp;"",""&amp;B103),filter(Data!F:F,Data!AC:AC=A103&amp;"",""&amp;B103))"),0.5194327973455369)</f>
        <v>0.5194327973</v>
      </c>
      <c r="E103" s="10">
        <f t="shared" si="1"/>
        <v>1.199803858</v>
      </c>
      <c r="F103" s="178">
        <f>IFERROR(__xludf.DUMMYFUNCTION("iferror(round(correl(filter(Data!I:I,Data!C:C=B103,Data!D:D=A103,Data!E:E&gt;=500),filter(Data!N:N,Data!C:C=B103,Data!D:D=A103,Data!E:E&gt;=500)),2),"""")"),0.2)</f>
        <v>0.2</v>
      </c>
    </row>
    <row r="104" hidden="1">
      <c r="A104" s="1" t="s">
        <v>42</v>
      </c>
      <c r="B104" s="1" t="s">
        <v>66</v>
      </c>
      <c r="C104" s="10">
        <f>IFERROR(__xludf.DUMMYFUNCTION("average.weighted(filter(Data!J:J,Data!AC:AC=A104&amp;"",""&amp;B104),filter(Data!F:F,Data!AC:AC=A104&amp;"",""&amp;B104))"),0.7689981819519395)</f>
        <v>0.768998182</v>
      </c>
      <c r="D104" s="10">
        <f>IFERROR(__xludf.DUMMYFUNCTION("average.weighted(filter(Data!K:K,Data!AC:AC=A104&amp;"",""&amp;B104),filter(Data!F:F,Data!AC:AC=A104&amp;"",""&amp;B104))"),0.42564526273871084)</f>
        <v>0.4256452627</v>
      </c>
      <c r="E104" s="10">
        <f t="shared" si="1"/>
        <v>1.194643445</v>
      </c>
      <c r="F104" s="178">
        <f>IFERROR(__xludf.DUMMYFUNCTION("iferror(round(correl(filter(Data!I:I,Data!C:C=B104,Data!D:D=A104,Data!E:E&gt;=500),filter(Data!N:N,Data!C:C=B104,Data!D:D=A104,Data!E:E&gt;=500)),2),"""")"),0.27)</f>
        <v>0.27</v>
      </c>
    </row>
    <row r="105" hidden="1">
      <c r="A105" s="1" t="s">
        <v>28</v>
      </c>
      <c r="B105" s="1" t="s">
        <v>68</v>
      </c>
      <c r="C105" s="10">
        <f>IFERROR(__xludf.DUMMYFUNCTION("average.weighted(filter(Data!J:J,Data!AC:AC=A105&amp;"",""&amp;B105),filter(Data!F:F,Data!AC:AC=A105&amp;"",""&amp;B105))"),0.9096678480172616)</f>
        <v>0.909667848</v>
      </c>
      <c r="D105" s="10">
        <f>IFERROR(__xludf.DUMMYFUNCTION("average.weighted(filter(Data!K:K,Data!AC:AC=A105&amp;"",""&amp;B105),filter(Data!F:F,Data!AC:AC=A105&amp;"",""&amp;B105))"),0.24954073084169948)</f>
        <v>0.2495407308</v>
      </c>
      <c r="E105" s="10">
        <f t="shared" si="1"/>
        <v>1.159208579</v>
      </c>
      <c r="F105" s="178">
        <f>IFERROR(__xludf.DUMMYFUNCTION("iferror(round(correl(filter(Data!I:I,Data!C:C=B105,Data!D:D=A105,Data!E:E&gt;=500),filter(Data!N:N,Data!C:C=B105,Data!D:D=A105,Data!E:E&gt;=500)),2),"""")"),0.23)</f>
        <v>0.23</v>
      </c>
    </row>
    <row r="106" hidden="1">
      <c r="A106" s="1" t="s">
        <v>41</v>
      </c>
      <c r="B106" s="1" t="s">
        <v>65</v>
      </c>
      <c r="C106" s="10">
        <f>IFERROR(__xludf.DUMMYFUNCTION("average.weighted(filter(Data!J:J,Data!AC:AC=A106&amp;"",""&amp;B106),filter(Data!F:F,Data!AC:AC=A106&amp;"",""&amp;B106))"),0.4392192757761984)</f>
        <v>0.4392192758</v>
      </c>
      <c r="D106" s="10">
        <f>IFERROR(__xludf.DUMMYFUNCTION("average.weighted(filter(Data!K:K,Data!AC:AC=A106&amp;"",""&amp;B106),filter(Data!F:F,Data!AC:AC=A106&amp;"",""&amp;B106))"),0.7030262961671633)</f>
        <v>0.7030262962</v>
      </c>
      <c r="E106" s="10">
        <f t="shared" si="1"/>
        <v>1.142245572</v>
      </c>
      <c r="F106" s="178">
        <f>IFERROR(__xludf.DUMMYFUNCTION("iferror(round(correl(filter(Data!I:I,Data!C:C=B106,Data!D:D=A106,Data!E:E&gt;=500),filter(Data!N:N,Data!C:C=B106,Data!D:D=A106,Data!E:E&gt;=500)),2),"""")"),0.7)</f>
        <v>0.7</v>
      </c>
    </row>
    <row r="107" hidden="1">
      <c r="A107" s="1" t="s">
        <v>30</v>
      </c>
      <c r="B107" s="1" t="s">
        <v>63</v>
      </c>
      <c r="C107" s="10" t="str">
        <f>IFERROR(__xludf.DUMMYFUNCTION("average.weighted(filter(Data!J:J,Data!AC:AC=A107&amp;"",""&amp;B107),filter(Data!F:F,Data!AC:AC=A107&amp;"",""&amp;B107))"),"#N/A")</f>
        <v>#N/A</v>
      </c>
      <c r="D107" s="10" t="str">
        <f>IFERROR(__xludf.DUMMYFUNCTION("average.weighted(filter(Data!K:K,Data!AC:AC=A107&amp;"",""&amp;B107),filter(Data!F:F,Data!AC:AC=A107&amp;"",""&amp;B107))"),"#N/A")</f>
        <v>#N/A</v>
      </c>
      <c r="E107" s="10" t="str">
        <f t="shared" si="1"/>
        <v>#N/A</v>
      </c>
      <c r="F107" s="178" t="str">
        <f>IFERROR(__xludf.DUMMYFUNCTION("iferror(round(correl(filter(Data!I:I,Data!C:C=B107,Data!D:D=A107,Data!E:E&gt;=500),filter(Data!N:N,Data!C:C=B107,Data!D:D=A107,Data!E:E&gt;=500)),2),"""")"),"")</f>
        <v/>
      </c>
    </row>
    <row r="108" hidden="1">
      <c r="A108" s="1" t="s">
        <v>24</v>
      </c>
      <c r="B108" s="1" t="s">
        <v>70</v>
      </c>
      <c r="C108" s="10">
        <f>IFERROR(__xludf.DUMMYFUNCTION("average.weighted(filter(Data!J:J,Data!AC:AC=A108&amp;"",""&amp;B108),filter(Data!F:F,Data!AC:AC=A108&amp;"",""&amp;B108))"),0.8886006565384943)</f>
        <v>0.8886006565</v>
      </c>
      <c r="D108" s="10">
        <f>IFERROR(__xludf.DUMMYFUNCTION("average.weighted(filter(Data!K:K,Data!AC:AC=A108&amp;"",""&amp;B108),filter(Data!F:F,Data!AC:AC=A108&amp;"",""&amp;B108))"),0.24499481433294262)</f>
        <v>0.2449948143</v>
      </c>
      <c r="E108" s="10">
        <f t="shared" si="1"/>
        <v>1.133595471</v>
      </c>
      <c r="F108" s="178">
        <f>IFERROR(__xludf.DUMMYFUNCTION("iferror(round(correl(filter(Data!I:I,Data!C:C=B108,Data!D:D=A108,Data!E:E&gt;=500),filter(Data!N:N,Data!C:C=B108,Data!D:D=A108,Data!E:E&gt;=500)),2),"""")"),0.24)</f>
        <v>0.24</v>
      </c>
    </row>
    <row r="109" hidden="1">
      <c r="A109" s="1" t="s">
        <v>43</v>
      </c>
      <c r="B109" s="1" t="s">
        <v>67</v>
      </c>
      <c r="C109" s="10">
        <f>IFERROR(__xludf.DUMMYFUNCTION("average.weighted(filter(Data!J:J,Data!AC:AC=A109&amp;"",""&amp;B109),filter(Data!F:F,Data!AC:AC=A109&amp;"",""&amp;B109))"),0.7432334392640116)</f>
        <v>0.7432334393</v>
      </c>
      <c r="D109" s="10">
        <f>IFERROR(__xludf.DUMMYFUNCTION("average.weighted(filter(Data!K:K,Data!AC:AC=A109&amp;"",""&amp;B109),filter(Data!F:F,Data!AC:AC=A109&amp;"",""&amp;B109))"),0.37796871730212867)</f>
        <v>0.3779687173</v>
      </c>
      <c r="E109" s="10">
        <f t="shared" si="1"/>
        <v>1.121202157</v>
      </c>
      <c r="F109" s="178">
        <f>IFERROR(__xludf.DUMMYFUNCTION("iferror(round(correl(filter(Data!I:I,Data!C:C=B109,Data!D:D=A109,Data!E:E&gt;=500),filter(Data!N:N,Data!C:C=B109,Data!D:D=A109,Data!E:E&gt;=500)),2),"""")"),-0.36)</f>
        <v>-0.36</v>
      </c>
    </row>
    <row r="110" hidden="1">
      <c r="A110" s="1" t="s">
        <v>44</v>
      </c>
      <c r="B110" s="1" t="s">
        <v>61</v>
      </c>
      <c r="C110" s="10" t="str">
        <f>IFERROR(__xludf.DUMMYFUNCTION("average.weighted(filter(Data!J:J,Data!AC:AC=A110&amp;"",""&amp;B110),filter(Data!F:F,Data!AC:AC=A110&amp;"",""&amp;B110))"),"#N/A")</f>
        <v>#N/A</v>
      </c>
      <c r="D110" s="10" t="str">
        <f>IFERROR(__xludf.DUMMYFUNCTION("average.weighted(filter(Data!K:K,Data!AC:AC=A110&amp;"",""&amp;B110),filter(Data!F:F,Data!AC:AC=A110&amp;"",""&amp;B110))"),"#N/A")</f>
        <v>#N/A</v>
      </c>
      <c r="E110" s="10" t="str">
        <f t="shared" si="1"/>
        <v>#N/A</v>
      </c>
      <c r="F110" s="178" t="str">
        <f>IFERROR(__xludf.DUMMYFUNCTION("iferror(round(correl(filter(Data!I:I,Data!C:C=B110,Data!D:D=A110,Data!E:E&gt;=500),filter(Data!N:N,Data!C:C=B110,Data!D:D=A110,Data!E:E&gt;=500)),2),"""")"),"")</f>
        <v/>
      </c>
    </row>
    <row r="111" hidden="1">
      <c r="A111" s="1" t="s">
        <v>34</v>
      </c>
      <c r="B111" s="1" t="s">
        <v>70</v>
      </c>
      <c r="C111" s="10">
        <f>IFERROR(__xludf.DUMMYFUNCTION("average.weighted(filter(Data!J:J,Data!AC:AC=A111&amp;"",""&amp;B111),filter(Data!F:F,Data!AC:AC=A111&amp;"",""&amp;B111))"),0.5326486264648057)</f>
        <v>0.5326486265</v>
      </c>
      <c r="D111" s="10">
        <f>IFERROR(__xludf.DUMMYFUNCTION("average.weighted(filter(Data!K:K,Data!AC:AC=A111&amp;"",""&amp;B111),filter(Data!F:F,Data!AC:AC=A111&amp;"",""&amp;B111))"),0.5859573080088252)</f>
        <v>0.585957308</v>
      </c>
      <c r="E111" s="10">
        <f t="shared" si="1"/>
        <v>1.118605934</v>
      </c>
      <c r="F111" s="178">
        <f>IFERROR(__xludf.DUMMYFUNCTION("iferror(round(correl(filter(Data!I:I,Data!C:C=B111,Data!D:D=A111,Data!E:E&gt;=500),filter(Data!N:N,Data!C:C=B111,Data!D:D=A111,Data!E:E&gt;=500)),2),"""")"),0.15)</f>
        <v>0.15</v>
      </c>
    </row>
    <row r="112" hidden="1">
      <c r="A112" s="1" t="s">
        <v>21</v>
      </c>
      <c r="B112" s="1" t="s">
        <v>69</v>
      </c>
      <c r="C112" s="10">
        <f>IFERROR(__xludf.DUMMYFUNCTION("average.weighted(filter(Data!J:J,Data!AC:AC=A112&amp;"",""&amp;B112),filter(Data!F:F,Data!AC:AC=A112&amp;"",""&amp;B112))"),0.7077365860082067)</f>
        <v>0.707736586</v>
      </c>
      <c r="D112" s="10">
        <f>IFERROR(__xludf.DUMMYFUNCTION("average.weighted(filter(Data!K:K,Data!AC:AC=A112&amp;"",""&amp;B112),filter(Data!F:F,Data!AC:AC=A112&amp;"",""&amp;B112))"),0.4094643574438602)</f>
        <v>0.4094643574</v>
      </c>
      <c r="E112" s="10">
        <f t="shared" si="1"/>
        <v>1.117200943</v>
      </c>
      <c r="F112" s="178">
        <f>IFERROR(__xludf.DUMMYFUNCTION("iferror(round(correl(filter(Data!I:I,Data!C:C=B112,Data!D:D=A112,Data!E:E&gt;=500),filter(Data!N:N,Data!C:C=B112,Data!D:D=A112,Data!E:E&gt;=500)),2),"""")"),-0.1)</f>
        <v>-0.1</v>
      </c>
    </row>
    <row r="113" hidden="1">
      <c r="A113" s="1" t="s">
        <v>34</v>
      </c>
      <c r="B113" s="1" t="s">
        <v>69</v>
      </c>
      <c r="C113" s="10">
        <f>IFERROR(__xludf.DUMMYFUNCTION("average.weighted(filter(Data!J:J,Data!AC:AC=A113&amp;"",""&amp;B113),filter(Data!F:F,Data!AC:AC=A113&amp;"",""&amp;B113))"),0.36783707630801216)</f>
        <v>0.3678370763</v>
      </c>
      <c r="D113" s="10">
        <f>IFERROR(__xludf.DUMMYFUNCTION("average.weighted(filter(Data!K:K,Data!AC:AC=A113&amp;"",""&amp;B113),filter(Data!F:F,Data!AC:AC=A113&amp;"",""&amp;B113))"),0.6889161665611836)</f>
        <v>0.6889161666</v>
      </c>
      <c r="E113" s="10">
        <f t="shared" si="1"/>
        <v>1.056753243</v>
      </c>
      <c r="F113" s="178">
        <f>IFERROR(__xludf.DUMMYFUNCTION("iferror(round(correl(filter(Data!I:I,Data!C:C=B113,Data!D:D=A113,Data!E:E&gt;=500),filter(Data!N:N,Data!C:C=B113,Data!D:D=A113,Data!E:E&gt;=500)),2),"""")"),0.0)</f>
        <v>0</v>
      </c>
    </row>
    <row r="114" hidden="1">
      <c r="A114" s="1" t="s">
        <v>21</v>
      </c>
      <c r="B114" s="1" t="s">
        <v>66</v>
      </c>
      <c r="C114" s="10">
        <f>IFERROR(__xludf.DUMMYFUNCTION("average.weighted(filter(Data!J:J,Data!AC:AC=A114&amp;"",""&amp;B114),filter(Data!F:F,Data!AC:AC=A114&amp;"",""&amp;B114))"),0.4435833318029632)</f>
        <v>0.4435833318</v>
      </c>
      <c r="D114" s="10">
        <f>IFERROR(__xludf.DUMMYFUNCTION("average.weighted(filter(Data!K:K,Data!AC:AC=A114&amp;"",""&amp;B114),filter(Data!F:F,Data!AC:AC=A114&amp;"",""&amp;B114))"),0.6030172844137007)</f>
        <v>0.6030172844</v>
      </c>
      <c r="E114" s="10">
        <f t="shared" si="1"/>
        <v>1.046600616</v>
      </c>
      <c r="F114" s="178">
        <f>IFERROR(__xludf.DUMMYFUNCTION("iferror(round(correl(filter(Data!I:I,Data!C:C=B114,Data!D:D=A114,Data!E:E&gt;=500),filter(Data!N:N,Data!C:C=B114,Data!D:D=A114,Data!E:E&gt;=500)),2),"""")"),-0.25)</f>
        <v>-0.25</v>
      </c>
    </row>
    <row r="115" hidden="1">
      <c r="A115" s="1" t="s">
        <v>33</v>
      </c>
      <c r="B115" s="1" t="s">
        <v>63</v>
      </c>
      <c r="C115" s="10" t="str">
        <f>IFERROR(__xludf.DUMMYFUNCTION("average.weighted(filter(Data!J:J,Data!AC:AC=A115&amp;"",""&amp;B115),filter(Data!F:F,Data!AC:AC=A115&amp;"",""&amp;B115))"),"#N/A")</f>
        <v>#N/A</v>
      </c>
      <c r="D115" s="10" t="str">
        <f>IFERROR(__xludf.DUMMYFUNCTION("average.weighted(filter(Data!K:K,Data!AC:AC=A115&amp;"",""&amp;B115),filter(Data!F:F,Data!AC:AC=A115&amp;"",""&amp;B115))"),"#N/A")</f>
        <v>#N/A</v>
      </c>
      <c r="E115" s="10" t="str">
        <f t="shared" si="1"/>
        <v>#N/A</v>
      </c>
      <c r="F115" s="178" t="str">
        <f>IFERROR(__xludf.DUMMYFUNCTION("iferror(round(correl(filter(Data!I:I,Data!C:C=B115,Data!D:D=A115,Data!E:E&gt;=500),filter(Data!N:N,Data!C:C=B115,Data!D:D=A115,Data!E:E&gt;=500)),2),"""")"),"")</f>
        <v/>
      </c>
    </row>
    <row r="116" hidden="1">
      <c r="A116" s="1" t="s">
        <v>45</v>
      </c>
      <c r="B116" s="1" t="s">
        <v>68</v>
      </c>
      <c r="C116" s="10">
        <f>IFERROR(__xludf.DUMMYFUNCTION("average.weighted(filter(Data!J:J,Data!AC:AC=A116&amp;"",""&amp;B116),filter(Data!F:F,Data!AC:AC=A116&amp;"",""&amp;B116))"),0.6419893611663082)</f>
        <v>0.6419893612</v>
      </c>
      <c r="D116" s="10">
        <f>IFERROR(__xludf.DUMMYFUNCTION("average.weighted(filter(Data!K:K,Data!AC:AC=A116&amp;"",""&amp;B116),filter(Data!F:F,Data!AC:AC=A116&amp;"",""&amp;B116))"),0.39291490187259553)</f>
        <v>0.3929149019</v>
      </c>
      <c r="E116" s="10">
        <f t="shared" si="1"/>
        <v>1.034904263</v>
      </c>
      <c r="F116" s="178">
        <f>IFERROR(__xludf.DUMMYFUNCTION("iferror(round(correl(filter(Data!I:I,Data!C:C=B116,Data!D:D=A116,Data!E:E&gt;=500),filter(Data!N:N,Data!C:C=B116,Data!D:D=A116,Data!E:E&gt;=500)),2),"""")"),0.32)</f>
        <v>0.32</v>
      </c>
    </row>
    <row r="117" hidden="1">
      <c r="A117" s="1" t="s">
        <v>17</v>
      </c>
      <c r="B117" s="1" t="s">
        <v>71</v>
      </c>
      <c r="C117" s="10">
        <f>IFERROR(__xludf.DUMMYFUNCTION("average.weighted(filter(Data!J:J,Data!AC:AC=A117&amp;"",""&amp;B117),filter(Data!F:F,Data!AC:AC=A117&amp;"",""&amp;B117))"),0.5177431979285921)</f>
        <v>0.5177431979</v>
      </c>
      <c r="D117" s="10">
        <f>IFERROR(__xludf.DUMMYFUNCTION("average.weighted(filter(Data!K:K,Data!AC:AC=A117&amp;"",""&amp;B117),filter(Data!F:F,Data!AC:AC=A117&amp;"",""&amp;B117))"),0.5155860855243131)</f>
        <v>0.5155860855</v>
      </c>
      <c r="E117" s="10">
        <f t="shared" si="1"/>
        <v>1.033329283</v>
      </c>
      <c r="F117" s="178">
        <f>IFERROR(__xludf.DUMMYFUNCTION("iferror(round(correl(filter(Data!I:I,Data!C:C=B117,Data!D:D=A117,Data!E:E&gt;=500),filter(Data!N:N,Data!C:C=B117,Data!D:D=A117,Data!E:E&gt;=500)),2),"""")"),0.05)</f>
        <v>0.05</v>
      </c>
    </row>
    <row r="118" hidden="1">
      <c r="A118" s="1" t="s">
        <v>47</v>
      </c>
      <c r="B118" s="1" t="s">
        <v>70</v>
      </c>
      <c r="C118" s="10">
        <f>IFERROR(__xludf.DUMMYFUNCTION("average.weighted(filter(Data!J:J,Data!AC:AC=A118&amp;"",""&amp;B118),filter(Data!F:F,Data!AC:AC=A118&amp;"",""&amp;B118))"),0.30186269564628215)</f>
        <v>0.3018626956</v>
      </c>
      <c r="D118" s="10">
        <f>IFERROR(__xludf.DUMMYFUNCTION("average.weighted(filter(Data!K:K,Data!AC:AC=A118&amp;"",""&amp;B118),filter(Data!F:F,Data!AC:AC=A118&amp;"",""&amp;B118))"),0.7160228231320649)</f>
        <v>0.7160228231</v>
      </c>
      <c r="E118" s="10">
        <f t="shared" si="1"/>
        <v>1.017885519</v>
      </c>
      <c r="F118" s="178">
        <f>IFERROR(__xludf.DUMMYFUNCTION("iferror(round(correl(filter(Data!I:I,Data!C:C=B118,Data!D:D=A118,Data!E:E&gt;=500),filter(Data!N:N,Data!C:C=B118,Data!D:D=A118,Data!E:E&gt;=500)),2),"""")"),0.24)</f>
        <v>0.24</v>
      </c>
    </row>
    <row r="119" hidden="1">
      <c r="A119" s="1" t="s">
        <v>29</v>
      </c>
      <c r="B119" s="1" t="s">
        <v>66</v>
      </c>
      <c r="C119" s="10">
        <f>IFERROR(__xludf.DUMMYFUNCTION("average.weighted(filter(Data!J:J,Data!AC:AC=A119&amp;"",""&amp;B119),filter(Data!F:F,Data!AC:AC=A119&amp;"",""&amp;B119))"),0.6095194485116341)</f>
        <v>0.6095194485</v>
      </c>
      <c r="D119" s="10">
        <f>IFERROR(__xludf.DUMMYFUNCTION("average.weighted(filter(Data!K:K,Data!AC:AC=A119&amp;"",""&amp;B119),filter(Data!F:F,Data!AC:AC=A119&amp;"",""&amp;B119))"),0.40786858483508454)</f>
        <v>0.4078685848</v>
      </c>
      <c r="E119" s="10">
        <f t="shared" si="1"/>
        <v>1.017388033</v>
      </c>
      <c r="F119" s="178">
        <f>IFERROR(__xludf.DUMMYFUNCTION("iferror(round(correl(filter(Data!I:I,Data!C:C=B119,Data!D:D=A119,Data!E:E&gt;=500),filter(Data!N:N,Data!C:C=B119,Data!D:D=A119,Data!E:E&gt;=500)),2),"""")"),0.19)</f>
        <v>0.19</v>
      </c>
    </row>
    <row r="120" hidden="1">
      <c r="A120" s="1" t="s">
        <v>24</v>
      </c>
      <c r="B120" s="1" t="s">
        <v>68</v>
      </c>
      <c r="C120" s="10">
        <f>IFERROR(__xludf.DUMMYFUNCTION("average.weighted(filter(Data!J:J,Data!AC:AC=A120&amp;"",""&amp;B120),filter(Data!F:F,Data!AC:AC=A120&amp;"",""&amp;B120))"),0.7408282280415085)</f>
        <v>0.740828228</v>
      </c>
      <c r="D120" s="10">
        <f>IFERROR(__xludf.DUMMYFUNCTION("average.weighted(filter(Data!K:K,Data!AC:AC=A120&amp;"",""&amp;B120),filter(Data!F:F,Data!AC:AC=A120&amp;"",""&amp;B120))"),0.2718830140092153)</f>
        <v>0.271883014</v>
      </c>
      <c r="E120" s="10">
        <f t="shared" si="1"/>
        <v>1.012711242</v>
      </c>
      <c r="F120" s="178">
        <f>IFERROR(__xludf.DUMMYFUNCTION("iferror(round(correl(filter(Data!I:I,Data!C:C=B120,Data!D:D=A120,Data!E:E&gt;=500),filter(Data!N:N,Data!C:C=B120,Data!D:D=A120,Data!E:E&gt;=500)),2),"""")"),-0.43)</f>
        <v>-0.43</v>
      </c>
    </row>
    <row r="121" hidden="1">
      <c r="A121" s="1" t="s">
        <v>17</v>
      </c>
      <c r="B121" s="1" t="s">
        <v>61</v>
      </c>
      <c r="C121" s="10" t="str">
        <f>IFERROR(__xludf.DUMMYFUNCTION("average.weighted(filter(Data!J:J,Data!AC:AC=A121&amp;"",""&amp;B121),filter(Data!F:F,Data!AC:AC=A121&amp;"",""&amp;B121))"),"#N/A")</f>
        <v>#N/A</v>
      </c>
      <c r="D121" s="10" t="str">
        <f>IFERROR(__xludf.DUMMYFUNCTION("average.weighted(filter(Data!K:K,Data!AC:AC=A121&amp;"",""&amp;B121),filter(Data!F:F,Data!AC:AC=A121&amp;"",""&amp;B121))"),"#N/A")</f>
        <v>#N/A</v>
      </c>
      <c r="E121" s="10" t="str">
        <f t="shared" si="1"/>
        <v>#N/A</v>
      </c>
      <c r="F121" s="178" t="str">
        <f>IFERROR(__xludf.DUMMYFUNCTION("iferror(round(correl(filter(Data!I:I,Data!C:C=B121,Data!D:D=A121,Data!E:E&gt;=500),filter(Data!N:N,Data!C:C=B121,Data!D:D=A121,Data!E:E&gt;=500)),2),"""")"),"")</f>
        <v/>
      </c>
    </row>
    <row r="122">
      <c r="A122" s="1" t="s">
        <v>44</v>
      </c>
      <c r="B122" s="179" t="s">
        <v>13</v>
      </c>
      <c r="C122" s="10">
        <f>IFERROR(__xludf.DUMMYFUNCTION("average.weighted(filter(Data!J:J,Data!AC:AC=A122&amp;"",""&amp;B122),filter(Data!F:F,Data!AC:AC=A122&amp;"",""&amp;B122))"),0.7386489296158197)</f>
        <v>0.7386489296</v>
      </c>
      <c r="D122" s="10">
        <f>IFERROR(__xludf.DUMMYFUNCTION("average.weighted(filter(Data!K:K,Data!AC:AC=A122&amp;"",""&amp;B122),filter(Data!F:F,Data!AC:AC=A122&amp;"",""&amp;B122))"),0.5312963016567515)</f>
        <v>0.5312963017</v>
      </c>
      <c r="E122" s="10">
        <f t="shared" si="1"/>
        <v>1.269945231</v>
      </c>
      <c r="F122" s="178">
        <f>IFERROR(__xludf.DUMMYFUNCTION("iferror(round(correl(filter(Data!I:I,Data!C:C=B122,Data!D:D=A122,Data!E:E&gt;=500),filter(Data!N:N,Data!C:C=B122,Data!D:D=A122,Data!E:E&gt;=500)),2),"""")"),0.24)</f>
        <v>0.24</v>
      </c>
    </row>
    <row r="123">
      <c r="A123" s="1" t="s">
        <v>1</v>
      </c>
      <c r="B123" s="179" t="s">
        <v>13</v>
      </c>
      <c r="C123" s="10">
        <f>IFERROR(__xludf.DUMMYFUNCTION("average.weighted(filter(Data!J:J,Data!AC:AC=A123&amp;"",""&amp;B123),filter(Data!F:F,Data!AC:AC=A123&amp;"",""&amp;B123))"),0.024894992603884416)</f>
        <v>0.0248949926</v>
      </c>
      <c r="D123" s="10">
        <f>IFERROR(__xludf.DUMMYFUNCTION("average.weighted(filter(Data!K:K,Data!AC:AC=A123&amp;"",""&amp;B123),filter(Data!F:F,Data!AC:AC=A123&amp;"",""&amp;B123))"),0.9430683117818683)</f>
        <v>0.9430683118</v>
      </c>
      <c r="E123" s="10">
        <f t="shared" si="1"/>
        <v>0.9679633044</v>
      </c>
      <c r="F123" s="178">
        <f>IFERROR(__xludf.DUMMYFUNCTION("iferror(round(correl(filter(Data!I:I,Data!C:C=B123,Data!D:D=A123,Data!E:E&gt;=500),filter(Data!N:N,Data!C:C=B123,Data!D:D=A123,Data!E:E&gt;=500)),2),"""")"),0.55)</f>
        <v>0.55</v>
      </c>
    </row>
    <row r="124" hidden="1">
      <c r="A124" s="1" t="s">
        <v>35</v>
      </c>
      <c r="B124" s="1" t="s">
        <v>70</v>
      </c>
      <c r="C124" s="10">
        <f>IFERROR(__xludf.DUMMYFUNCTION("average.weighted(filter(Data!J:J,Data!AC:AC=A124&amp;"",""&amp;B124),filter(Data!F:F,Data!AC:AC=A124&amp;"",""&amp;B124))"),0.7054381723575051)</f>
        <v>0.7054381724</v>
      </c>
      <c r="D124" s="10">
        <f>IFERROR(__xludf.DUMMYFUNCTION("average.weighted(filter(Data!K:K,Data!AC:AC=A124&amp;"",""&amp;B124),filter(Data!F:F,Data!AC:AC=A124&amp;"",""&amp;B124))"),0.25034078925435455)</f>
        <v>0.2503407893</v>
      </c>
      <c r="E124" s="10">
        <f t="shared" si="1"/>
        <v>0.9557789616</v>
      </c>
      <c r="F124" s="178">
        <f>IFERROR(__xludf.DUMMYFUNCTION("iferror(round(correl(filter(Data!I:I,Data!C:C=B124,Data!D:D=A124,Data!E:E&gt;=500),filter(Data!N:N,Data!C:C=B124,Data!D:D=A124,Data!E:E&gt;=500)),2),"""")"),0.16)</f>
        <v>0.16</v>
      </c>
    </row>
    <row r="125" hidden="1">
      <c r="A125" s="1" t="s">
        <v>33</v>
      </c>
      <c r="B125" s="1" t="s">
        <v>65</v>
      </c>
      <c r="C125" s="10">
        <f>IFERROR(__xludf.DUMMYFUNCTION("average.weighted(filter(Data!J:J,Data!AC:AC=A125&amp;"",""&amp;B125),filter(Data!F:F,Data!AC:AC=A125&amp;"",""&amp;B125))"),0.7535507677142759)</f>
        <v>0.7535507677</v>
      </c>
      <c r="D125" s="10">
        <f>IFERROR(__xludf.DUMMYFUNCTION("average.weighted(filter(Data!K:K,Data!AC:AC=A125&amp;"",""&amp;B125),filter(Data!F:F,Data!AC:AC=A125&amp;"",""&amp;B125))"),0.19485764537120834)</f>
        <v>0.1948576454</v>
      </c>
      <c r="E125" s="10">
        <f t="shared" si="1"/>
        <v>0.9484084131</v>
      </c>
      <c r="F125" s="178">
        <f>IFERROR(__xludf.DUMMYFUNCTION("iferror(round(correl(filter(Data!I:I,Data!C:C=B125,Data!D:D=A125,Data!E:E&gt;=500),filter(Data!N:N,Data!C:C=B125,Data!D:D=A125,Data!E:E&gt;=500)),2),"""")"),0.64)</f>
        <v>0.64</v>
      </c>
    </row>
    <row r="126" hidden="1">
      <c r="A126" s="1" t="s">
        <v>30</v>
      </c>
      <c r="B126" s="1" t="s">
        <v>69</v>
      </c>
      <c r="C126" s="10">
        <f>IFERROR(__xludf.DUMMYFUNCTION("average.weighted(filter(Data!J:J,Data!AC:AC=A126&amp;"",""&amp;B126),filter(Data!F:F,Data!AC:AC=A126&amp;"",""&amp;B126))"),0.7486529118803363)</f>
        <v>0.7486529119</v>
      </c>
      <c r="D126" s="10">
        <f>IFERROR(__xludf.DUMMYFUNCTION("average.weighted(filter(Data!K:K,Data!AC:AC=A126&amp;"",""&amp;B126),filter(Data!F:F,Data!AC:AC=A126&amp;"",""&amp;B126))"),0.17822742497853256)</f>
        <v>0.178227425</v>
      </c>
      <c r="E126" s="10">
        <f t="shared" si="1"/>
        <v>0.9268803369</v>
      </c>
      <c r="F126" s="178">
        <f>IFERROR(__xludf.DUMMYFUNCTION("iferror(round(correl(filter(Data!I:I,Data!C:C=B126,Data!D:D=A126,Data!E:E&gt;=500),filter(Data!N:N,Data!C:C=B126,Data!D:D=A126,Data!E:E&gt;=500)),2),"""")"),0.14)</f>
        <v>0.14</v>
      </c>
    </row>
    <row r="127" hidden="1">
      <c r="A127" s="1" t="s">
        <v>41</v>
      </c>
      <c r="B127" s="1" t="s">
        <v>63</v>
      </c>
      <c r="C127" s="10" t="str">
        <f>IFERROR(__xludf.DUMMYFUNCTION("average.weighted(filter(Data!J:J,Data!AC:AC=A127&amp;"",""&amp;B127),filter(Data!F:F,Data!AC:AC=A127&amp;"",""&amp;B127))"),"#N/A")</f>
        <v>#N/A</v>
      </c>
      <c r="D127" s="10" t="str">
        <f>IFERROR(__xludf.DUMMYFUNCTION("average.weighted(filter(Data!K:K,Data!AC:AC=A127&amp;"",""&amp;B127),filter(Data!F:F,Data!AC:AC=A127&amp;"",""&amp;B127))"),"#N/A")</f>
        <v>#N/A</v>
      </c>
      <c r="E127" s="10" t="str">
        <f t="shared" si="1"/>
        <v>#N/A</v>
      </c>
      <c r="F127" s="178" t="str">
        <f>IFERROR(__xludf.DUMMYFUNCTION("iferror(round(correl(filter(Data!I:I,Data!C:C=B127,Data!D:D=A127,Data!E:E&gt;=500),filter(Data!N:N,Data!C:C=B127,Data!D:D=A127,Data!E:E&gt;=500)),2),"""")"),"")</f>
        <v/>
      </c>
    </row>
    <row r="128" hidden="1">
      <c r="A128" s="1" t="s">
        <v>40</v>
      </c>
      <c r="B128" s="1" t="s">
        <v>65</v>
      </c>
      <c r="C128" s="10">
        <f>IFERROR(__xludf.DUMMYFUNCTION("average.weighted(filter(Data!J:J,Data!AC:AC=A128&amp;"",""&amp;B128),filter(Data!F:F,Data!AC:AC=A128&amp;"",""&amp;B128))"),0.5144131018538288)</f>
        <v>0.5144131019</v>
      </c>
      <c r="D128" s="10">
        <f>IFERROR(__xludf.DUMMYFUNCTION("average.weighted(filter(Data!K:K,Data!AC:AC=A128&amp;"",""&amp;B128),filter(Data!F:F,Data!AC:AC=A128&amp;"",""&amp;B128))"),0.3911703515546049)</f>
        <v>0.3911703516</v>
      </c>
      <c r="E128" s="10">
        <f t="shared" si="1"/>
        <v>0.9055834534</v>
      </c>
      <c r="F128" s="178">
        <f>IFERROR(__xludf.DUMMYFUNCTION("iferror(round(correl(filter(Data!I:I,Data!C:C=B128,Data!D:D=A128,Data!E:E&gt;=500),filter(Data!N:N,Data!C:C=B128,Data!D:D=A128,Data!E:E&gt;=500)),2),"""")"),-0.29)</f>
        <v>-0.29</v>
      </c>
    </row>
    <row r="129" hidden="1">
      <c r="A129" s="1" t="s">
        <v>27</v>
      </c>
      <c r="B129" s="1" t="s">
        <v>69</v>
      </c>
      <c r="C129" s="10">
        <f>IFERROR(__xludf.DUMMYFUNCTION("average.weighted(filter(Data!J:J,Data!AC:AC=A129&amp;"",""&amp;B129),filter(Data!F:F,Data!AC:AC=A129&amp;"",""&amp;B129))"),0.71491019064894)</f>
        <v>0.7149101906</v>
      </c>
      <c r="D129" s="10">
        <f>IFERROR(__xludf.DUMMYFUNCTION("average.weighted(filter(Data!K:K,Data!AC:AC=A129&amp;"",""&amp;B129),filter(Data!F:F,Data!AC:AC=A129&amp;"",""&amp;B129))"),0.18166379156577697)</f>
        <v>0.1816637916</v>
      </c>
      <c r="E129" s="10">
        <f t="shared" si="1"/>
        <v>0.8965739822</v>
      </c>
      <c r="F129" s="178">
        <f>IFERROR(__xludf.DUMMYFUNCTION("iferror(round(correl(filter(Data!I:I,Data!C:C=B129,Data!D:D=A129,Data!E:E&gt;=500),filter(Data!N:N,Data!C:C=B129,Data!D:D=A129,Data!E:E&gt;=500)),2),"""")"),0.42)</f>
        <v>0.42</v>
      </c>
    </row>
    <row r="130" hidden="1">
      <c r="A130" s="1" t="s">
        <v>44</v>
      </c>
      <c r="B130" s="1" t="s">
        <v>65</v>
      </c>
      <c r="C130" s="10">
        <f>IFERROR(__xludf.DUMMYFUNCTION("average.weighted(filter(Data!J:J,Data!AC:AC=A130&amp;"",""&amp;B130),filter(Data!F:F,Data!AC:AC=A130&amp;"",""&amp;B130))"),0.39209138932818177)</f>
        <v>0.3920913893</v>
      </c>
      <c r="D130" s="10">
        <f>IFERROR(__xludf.DUMMYFUNCTION("average.weighted(filter(Data!K:K,Data!AC:AC=A130&amp;"",""&amp;B130),filter(Data!F:F,Data!AC:AC=A130&amp;"",""&amp;B130))"),0.5004158594136862)</f>
        <v>0.5004158594</v>
      </c>
      <c r="E130" s="10">
        <f t="shared" si="1"/>
        <v>0.8925072487</v>
      </c>
      <c r="F130" s="178">
        <f>IFERROR(__xludf.DUMMYFUNCTION("iferror(round(correl(filter(Data!I:I,Data!C:C=B130,Data!D:D=A130,Data!E:E&gt;=500),filter(Data!N:N,Data!C:C=B130,Data!D:D=A130,Data!E:E&gt;=500)),2),"""")"),0.2)</f>
        <v>0.2</v>
      </c>
    </row>
    <row r="131" hidden="1">
      <c r="A131" s="1" t="s">
        <v>30</v>
      </c>
      <c r="B131" s="1" t="s">
        <v>71</v>
      </c>
      <c r="C131" s="10">
        <f>IFERROR(__xludf.DUMMYFUNCTION("average.weighted(filter(Data!J:J,Data!AC:AC=A131&amp;"",""&amp;B131),filter(Data!F:F,Data!AC:AC=A131&amp;"",""&amp;B131))"),0.6651811017177767)</f>
        <v>0.6651811017</v>
      </c>
      <c r="D131" s="10">
        <f>IFERROR(__xludf.DUMMYFUNCTION("average.weighted(filter(Data!K:K,Data!AC:AC=A131&amp;"",""&amp;B131),filter(Data!F:F,Data!AC:AC=A131&amp;"",""&amp;B131))"),0.2103028658203257)</f>
        <v>0.2103028658</v>
      </c>
      <c r="E131" s="10">
        <f t="shared" si="1"/>
        <v>0.8754839675</v>
      </c>
      <c r="F131" s="178">
        <f>IFERROR(__xludf.DUMMYFUNCTION("iferror(round(correl(filter(Data!I:I,Data!C:C=B131,Data!D:D=A131,Data!E:E&gt;=500),filter(Data!N:N,Data!C:C=B131,Data!D:D=A131,Data!E:E&gt;=500)),2),"""")"),0.2)</f>
        <v>0.2</v>
      </c>
    </row>
    <row r="132" hidden="1">
      <c r="A132" s="1" t="s">
        <v>28</v>
      </c>
      <c r="B132" s="1" t="s">
        <v>71</v>
      </c>
      <c r="C132" s="10">
        <f>IFERROR(__xludf.DUMMYFUNCTION("average.weighted(filter(Data!J:J,Data!AC:AC=A132&amp;"",""&amp;B132),filter(Data!F:F,Data!AC:AC=A132&amp;"",""&amp;B132))"),0.5741151210604583)</f>
        <v>0.5741151211</v>
      </c>
      <c r="D132" s="10">
        <f>IFERROR(__xludf.DUMMYFUNCTION("average.weighted(filter(Data!K:K,Data!AC:AC=A132&amp;"",""&amp;B132),filter(Data!F:F,Data!AC:AC=A132&amp;"",""&amp;B132))"),0.28761693164416996)</f>
        <v>0.2876169316</v>
      </c>
      <c r="E132" s="10">
        <f t="shared" si="1"/>
        <v>0.8617320527</v>
      </c>
      <c r="F132" s="178">
        <f>IFERROR(__xludf.DUMMYFUNCTION("iferror(round(correl(filter(Data!I:I,Data!C:C=B132,Data!D:D=A132,Data!E:E&gt;=500),filter(Data!N:N,Data!C:C=B132,Data!D:D=A132,Data!E:E&gt;=500)),2),"""")"),0.5)</f>
        <v>0.5</v>
      </c>
    </row>
    <row r="133" hidden="1">
      <c r="A133" s="1" t="s">
        <v>35</v>
      </c>
      <c r="B133" s="1" t="s">
        <v>67</v>
      </c>
      <c r="C133" s="10">
        <f>IFERROR(__xludf.DUMMYFUNCTION("average.weighted(filter(Data!J:J,Data!AC:AC=A133&amp;"",""&amp;B133),filter(Data!F:F,Data!AC:AC=A133&amp;"",""&amp;B133))"),0.5764487918028531)</f>
        <v>0.5764487918</v>
      </c>
      <c r="D133" s="10">
        <f>IFERROR(__xludf.DUMMYFUNCTION("average.weighted(filter(Data!K:K,Data!AC:AC=A133&amp;"",""&amp;B133),filter(Data!F:F,Data!AC:AC=A133&amp;"",""&amp;B133))"),0.2715337426348884)</f>
        <v>0.2715337426</v>
      </c>
      <c r="E133" s="10">
        <f t="shared" si="1"/>
        <v>0.8479825344</v>
      </c>
      <c r="F133" s="178">
        <f>IFERROR(__xludf.DUMMYFUNCTION("iferror(round(correl(filter(Data!I:I,Data!C:C=B133,Data!D:D=A133,Data!E:E&gt;=500),filter(Data!N:N,Data!C:C=B133,Data!D:D=A133,Data!E:E&gt;=500)),2),"""")"),0.49)</f>
        <v>0.49</v>
      </c>
    </row>
    <row r="134" hidden="1">
      <c r="A134" s="1" t="s">
        <v>39</v>
      </c>
      <c r="B134" s="1" t="s">
        <v>63</v>
      </c>
      <c r="C134" s="10" t="str">
        <f>IFERROR(__xludf.DUMMYFUNCTION("average.weighted(filter(Data!J:J,Data!AC:AC=A134&amp;"",""&amp;B134),filter(Data!F:F,Data!AC:AC=A134&amp;"",""&amp;B134))"),"#N/A")</f>
        <v>#N/A</v>
      </c>
      <c r="D134" s="10" t="str">
        <f>IFERROR(__xludf.DUMMYFUNCTION("average.weighted(filter(Data!K:K,Data!AC:AC=A134&amp;"",""&amp;B134),filter(Data!F:F,Data!AC:AC=A134&amp;"",""&amp;B134))"),"#N/A")</f>
        <v>#N/A</v>
      </c>
      <c r="E134" s="10" t="str">
        <f t="shared" si="1"/>
        <v>#N/A</v>
      </c>
      <c r="F134" s="178" t="str">
        <f>IFERROR(__xludf.DUMMYFUNCTION("iferror(round(correl(filter(Data!I:I,Data!C:C=B134,Data!D:D=A134,Data!E:E&gt;=500),filter(Data!N:N,Data!C:C=B134,Data!D:D=A134,Data!E:E&gt;=500)),2),"""")"),"")</f>
        <v/>
      </c>
    </row>
    <row r="135" hidden="1">
      <c r="A135" s="1" t="s">
        <v>45</v>
      </c>
      <c r="B135" s="1" t="s">
        <v>67</v>
      </c>
      <c r="C135" s="10">
        <f>IFERROR(__xludf.DUMMYFUNCTION("average.weighted(filter(Data!J:J,Data!AC:AC=A135&amp;"",""&amp;B135),filter(Data!F:F,Data!AC:AC=A135&amp;"",""&amp;B135))"),0.6289787990248253)</f>
        <v>0.628978799</v>
      </c>
      <c r="D135" s="10">
        <f>IFERROR(__xludf.DUMMYFUNCTION("average.weighted(filter(Data!K:K,Data!AC:AC=A135&amp;"",""&amp;B135),filter(Data!F:F,Data!AC:AC=A135&amp;"",""&amp;B135))"),0.21017121385517298)</f>
        <v>0.2101712139</v>
      </c>
      <c r="E135" s="10">
        <f t="shared" si="1"/>
        <v>0.8391500129</v>
      </c>
      <c r="F135" s="178">
        <f>IFERROR(__xludf.DUMMYFUNCTION("iferror(round(correl(filter(Data!I:I,Data!C:C=B135,Data!D:D=A135,Data!E:E&gt;=500),filter(Data!N:N,Data!C:C=B135,Data!D:D=A135,Data!E:E&gt;=500)),2),"""")"),0.08)</f>
        <v>0.08</v>
      </c>
    </row>
    <row r="136" hidden="1">
      <c r="A136" s="1" t="s">
        <v>47</v>
      </c>
      <c r="B136" s="1" t="s">
        <v>68</v>
      </c>
      <c r="C136" s="10">
        <f>IFERROR(__xludf.DUMMYFUNCTION("average.weighted(filter(Data!J:J,Data!AC:AC=A136&amp;"",""&amp;B136),filter(Data!F:F,Data!AC:AC=A136&amp;"",""&amp;B136))"),0.44607524021797607)</f>
        <v>0.4460752402</v>
      </c>
      <c r="D136" s="10">
        <f>IFERROR(__xludf.DUMMYFUNCTION("average.weighted(filter(Data!K:K,Data!AC:AC=A136&amp;"",""&amp;B136),filter(Data!F:F,Data!AC:AC=A136&amp;"",""&amp;B136))"),0.39129319308424765)</f>
        <v>0.3912931931</v>
      </c>
      <c r="E136" s="10">
        <f t="shared" si="1"/>
        <v>0.8373684333</v>
      </c>
      <c r="F136" s="178">
        <f>IFERROR(__xludf.DUMMYFUNCTION("iferror(round(correl(filter(Data!I:I,Data!C:C=B136,Data!D:D=A136,Data!E:E&gt;=500),filter(Data!N:N,Data!C:C=B136,Data!D:D=A136,Data!E:E&gt;=500)),2),"""")"),0.2)</f>
        <v>0.2</v>
      </c>
    </row>
    <row r="137">
      <c r="A137" s="1" t="s">
        <v>30</v>
      </c>
      <c r="B137" s="179" t="s">
        <v>13</v>
      </c>
      <c r="C137" s="10">
        <f>IFERROR(__xludf.DUMMYFUNCTION("average.weighted(filter(Data!J:J,Data!AC:AC=A137&amp;"",""&amp;B137),filter(Data!F:F,Data!AC:AC=A137&amp;"",""&amp;B137))"),0.5416508665175599)</f>
        <v>0.5416508665</v>
      </c>
      <c r="D137" s="10">
        <f>IFERROR(__xludf.DUMMYFUNCTION("average.weighted(filter(Data!K:K,Data!AC:AC=A137&amp;"",""&amp;B137),filter(Data!F:F,Data!AC:AC=A137&amp;"",""&amp;B137))"),0.24154550235714953)</f>
        <v>0.2415455024</v>
      </c>
      <c r="E137" s="10">
        <f t="shared" si="1"/>
        <v>0.7831963689</v>
      </c>
      <c r="F137" s="178">
        <f>IFERROR(__xludf.DUMMYFUNCTION("iferror(round(correl(filter(Data!I:I,Data!C:C=B137,Data!D:D=A137,Data!E:E&gt;=500),filter(Data!N:N,Data!C:C=B137,Data!D:D=A137,Data!E:E&gt;=500)),2),"""")"),0.32)</f>
        <v>0.32</v>
      </c>
    </row>
    <row r="138" hidden="1">
      <c r="A138" s="1" t="s">
        <v>42</v>
      </c>
      <c r="B138" s="1" t="s">
        <v>63</v>
      </c>
      <c r="C138" s="10" t="str">
        <f>IFERROR(__xludf.DUMMYFUNCTION("average.weighted(filter(Data!J:J,Data!AC:AC=A138&amp;"",""&amp;B138),filter(Data!F:F,Data!AC:AC=A138&amp;"",""&amp;B138))"),"#N/A")</f>
        <v>#N/A</v>
      </c>
      <c r="D138" s="10" t="str">
        <f>IFERROR(__xludf.DUMMYFUNCTION("average.weighted(filter(Data!K:K,Data!AC:AC=A138&amp;"",""&amp;B138),filter(Data!F:F,Data!AC:AC=A138&amp;"",""&amp;B138))"),"#N/A")</f>
        <v>#N/A</v>
      </c>
      <c r="E138" s="10" t="str">
        <f t="shared" si="1"/>
        <v>#N/A</v>
      </c>
      <c r="F138" s="178" t="str">
        <f>IFERROR(__xludf.DUMMYFUNCTION("iferror(round(correl(filter(Data!I:I,Data!C:C=B138,Data!D:D=A138,Data!E:E&gt;=500),filter(Data!N:N,Data!C:C=B138,Data!D:D=A138,Data!E:E&gt;=500)),2),"""")"),"")</f>
        <v/>
      </c>
    </row>
    <row r="139" hidden="1">
      <c r="A139" s="1" t="s">
        <v>41</v>
      </c>
      <c r="B139" s="1" t="s">
        <v>70</v>
      </c>
      <c r="C139" s="10">
        <f>IFERROR(__xludf.DUMMYFUNCTION("average.weighted(filter(Data!J:J,Data!AC:AC=A139&amp;"",""&amp;B139),filter(Data!F:F,Data!AC:AC=A139&amp;"",""&amp;B139))"),0.31227199816539597)</f>
        <v>0.3122719982</v>
      </c>
      <c r="D139" s="10">
        <f>IFERROR(__xludf.DUMMYFUNCTION("average.weighted(filter(Data!K:K,Data!AC:AC=A139&amp;"",""&amp;B139),filter(Data!F:F,Data!AC:AC=A139&amp;"",""&amp;B139))"),0.5126919994993007)</f>
        <v>0.5126919995</v>
      </c>
      <c r="E139" s="10">
        <f t="shared" si="1"/>
        <v>0.8249639977</v>
      </c>
      <c r="F139" s="178">
        <f>IFERROR(__xludf.DUMMYFUNCTION("iferror(round(correl(filter(Data!I:I,Data!C:C=B139,Data!D:D=A139,Data!E:E&gt;=500),filter(Data!N:N,Data!C:C=B139,Data!D:D=A139,Data!E:E&gt;=500)),2),"""")"),-0.23)</f>
        <v>-0.23</v>
      </c>
    </row>
    <row r="140">
      <c r="A140" s="1" t="s">
        <v>39</v>
      </c>
      <c r="B140" s="179" t="s">
        <v>13</v>
      </c>
      <c r="C140" s="10">
        <f>IFERROR(__xludf.DUMMYFUNCTION("average.weighted(filter(Data!J:J,Data!AC:AC=A140&amp;"",""&amp;B140),filter(Data!F:F,Data!AC:AC=A140&amp;"",""&amp;B140))"),0.5760999587204471)</f>
        <v>0.5760999587</v>
      </c>
      <c r="D140" s="10">
        <f>IFERROR(__xludf.DUMMYFUNCTION("average.weighted(filter(Data!K:K,Data!AC:AC=A140&amp;"",""&amp;B140),filter(Data!F:F,Data!AC:AC=A140&amp;"",""&amp;B140))"),0.07751302294211887)</f>
        <v>0.07751302294</v>
      </c>
      <c r="E140" s="10">
        <f t="shared" si="1"/>
        <v>0.6536129817</v>
      </c>
      <c r="F140" s="178">
        <f>IFERROR(__xludf.DUMMYFUNCTION("iferror(round(correl(filter(Data!I:I,Data!C:C=B140,Data!D:D=A140,Data!E:E&gt;=500),filter(Data!N:N,Data!C:C=B140,Data!D:D=A140,Data!E:E&gt;=500)),2),"""")"),0.62)</f>
        <v>0.62</v>
      </c>
    </row>
    <row r="141" hidden="1">
      <c r="A141" s="1" t="s">
        <v>17</v>
      </c>
      <c r="B141" s="1" t="s">
        <v>67</v>
      </c>
      <c r="C141" s="10">
        <f>IFERROR(__xludf.DUMMYFUNCTION("average.weighted(filter(Data!J:J,Data!AC:AC=A141&amp;"",""&amp;B141),filter(Data!F:F,Data!AC:AC=A141&amp;"",""&amp;B141))"),0.5408883913130941)</f>
        <v>0.5408883913</v>
      </c>
      <c r="D141" s="10">
        <f>IFERROR(__xludf.DUMMYFUNCTION("average.weighted(filter(Data!K:K,Data!AC:AC=A141&amp;"",""&amp;B141),filter(Data!F:F,Data!AC:AC=A141&amp;"",""&amp;B141))"),0.20127396165291994)</f>
        <v>0.2012739617</v>
      </c>
      <c r="E141" s="10">
        <f t="shared" si="1"/>
        <v>0.742162353</v>
      </c>
      <c r="F141" s="178">
        <f>IFERROR(__xludf.DUMMYFUNCTION("iferror(round(correl(filter(Data!I:I,Data!C:C=B141,Data!D:D=A141,Data!E:E&gt;=500),filter(Data!N:N,Data!C:C=B141,Data!D:D=A141,Data!E:E&gt;=500)),2),"""")"),-0.24)</f>
        <v>-0.24</v>
      </c>
    </row>
    <row r="142" hidden="1">
      <c r="A142" s="1" t="s">
        <v>31</v>
      </c>
      <c r="B142" s="1" t="s">
        <v>71</v>
      </c>
      <c r="C142" s="10">
        <f>IFERROR(__xludf.DUMMYFUNCTION("average.weighted(filter(Data!J:J,Data!AC:AC=A142&amp;"",""&amp;B142),filter(Data!F:F,Data!AC:AC=A142&amp;"",""&amp;B142))"),0.7215723456645142)</f>
        <v>0.7215723457</v>
      </c>
      <c r="D142" s="10">
        <f>IFERROR(__xludf.DUMMYFUNCTION("average.weighted(filter(Data!K:K,Data!AC:AC=A142&amp;"",""&amp;B142),filter(Data!F:F,Data!AC:AC=A142&amp;"",""&amp;B142))"),0.006683554186875125)</f>
        <v>0.006683554187</v>
      </c>
      <c r="E142" s="10">
        <f t="shared" si="1"/>
        <v>0.7282558999</v>
      </c>
      <c r="F142" s="178">
        <f>IFERROR(__xludf.DUMMYFUNCTION("iferror(round(correl(filter(Data!I:I,Data!C:C=B142,Data!D:D=A142,Data!E:E&gt;=500),filter(Data!N:N,Data!C:C=B142,Data!D:D=A142,Data!E:E&gt;=500)),2),"""")"),0.49)</f>
        <v>0.49</v>
      </c>
    </row>
    <row r="143" hidden="1">
      <c r="A143" s="1" t="s">
        <v>18</v>
      </c>
      <c r="B143" s="1" t="s">
        <v>63</v>
      </c>
      <c r="C143" s="10" t="str">
        <f>IFERROR(__xludf.DUMMYFUNCTION("average.weighted(filter(Data!J:J,Data!AC:AC=A143&amp;"",""&amp;B143),filter(Data!F:F,Data!AC:AC=A143&amp;"",""&amp;B143))"),"#N/A")</f>
        <v>#N/A</v>
      </c>
      <c r="D143" s="10" t="str">
        <f>IFERROR(__xludf.DUMMYFUNCTION("average.weighted(filter(Data!K:K,Data!AC:AC=A143&amp;"",""&amp;B143),filter(Data!F:F,Data!AC:AC=A143&amp;"",""&amp;B143))"),"#N/A")</f>
        <v>#N/A</v>
      </c>
      <c r="E143" s="10" t="str">
        <f t="shared" si="1"/>
        <v>#N/A</v>
      </c>
      <c r="F143" s="178" t="str">
        <f>IFERROR(__xludf.DUMMYFUNCTION("iferror(round(correl(filter(Data!I:I,Data!C:C=B143,Data!D:D=A143,Data!E:E&gt;=500),filter(Data!N:N,Data!C:C=B143,Data!D:D=A143,Data!E:E&gt;=500)),2),"""")"),"")</f>
        <v/>
      </c>
    </row>
    <row r="144" hidden="1">
      <c r="A144" s="1" t="s">
        <v>39</v>
      </c>
      <c r="B144" s="1" t="s">
        <v>65</v>
      </c>
      <c r="C144" s="10">
        <f>IFERROR(__xludf.DUMMYFUNCTION("average.weighted(filter(Data!J:J,Data!AC:AC=A144&amp;"",""&amp;B144),filter(Data!F:F,Data!AC:AC=A144&amp;"",""&amp;B144))"),1.0470393416787032)</f>
        <v>1.047039342</v>
      </c>
      <c r="D144" s="10">
        <f>IFERROR(__xludf.DUMMYFUNCTION("average.weighted(filter(Data!K:K,Data!AC:AC=A144&amp;"",""&amp;B144),filter(Data!F:F,Data!AC:AC=A144&amp;"",""&amp;B144))"),-0.32595887637289195)</f>
        <v>-0.3259588764</v>
      </c>
      <c r="E144" s="10">
        <f t="shared" si="1"/>
        <v>0.7210804653</v>
      </c>
      <c r="F144" s="178">
        <f>IFERROR(__xludf.DUMMYFUNCTION("iferror(round(correl(filter(Data!I:I,Data!C:C=B144,Data!D:D=A144,Data!E:E&gt;=500),filter(Data!N:N,Data!C:C=B144,Data!D:D=A144,Data!E:E&gt;=500)),2),"""")"),-0.25)</f>
        <v>-0.25</v>
      </c>
    </row>
    <row r="145" hidden="1">
      <c r="A145" s="1" t="s">
        <v>44</v>
      </c>
      <c r="B145" s="1" t="s">
        <v>71</v>
      </c>
      <c r="C145" s="10">
        <f>IFERROR(__xludf.DUMMYFUNCTION("average.weighted(filter(Data!J:J,Data!AC:AC=A145&amp;"",""&amp;B145),filter(Data!F:F,Data!AC:AC=A145&amp;"",""&amp;B145))"),0.3651456431841047)</f>
        <v>0.3651456432</v>
      </c>
      <c r="D145" s="10">
        <f>IFERROR(__xludf.DUMMYFUNCTION("average.weighted(filter(Data!K:K,Data!AC:AC=A145&amp;"",""&amp;B145),filter(Data!F:F,Data!AC:AC=A145&amp;"",""&amp;B145))"),0.2844981146835651)</f>
        <v>0.2844981147</v>
      </c>
      <c r="E145" s="10">
        <f t="shared" si="1"/>
        <v>0.6496437579</v>
      </c>
      <c r="F145" s="178">
        <f>IFERROR(__xludf.DUMMYFUNCTION("iferror(round(correl(filter(Data!I:I,Data!C:C=B145,Data!D:D=A145,Data!E:E&gt;=500),filter(Data!N:N,Data!C:C=B145,Data!D:D=A145,Data!E:E&gt;=500)),2),"""")"),0.31)</f>
        <v>0.31</v>
      </c>
    </row>
    <row r="146" hidden="1">
      <c r="A146" s="1" t="s">
        <v>15</v>
      </c>
      <c r="B146" s="1" t="s">
        <v>61</v>
      </c>
      <c r="C146" s="10" t="str">
        <f>IFERROR(__xludf.DUMMYFUNCTION("average.weighted(filter(Data!J:J,Data!AC:AC=A146&amp;"",""&amp;B146),filter(Data!F:F,Data!AC:AC=A146&amp;"",""&amp;B146))"),"#N/A")</f>
        <v>#N/A</v>
      </c>
      <c r="D146" s="10" t="str">
        <f>IFERROR(__xludf.DUMMYFUNCTION("average.weighted(filter(Data!K:K,Data!AC:AC=A146&amp;"",""&amp;B146),filter(Data!F:F,Data!AC:AC=A146&amp;"",""&amp;B146))"),"#N/A")</f>
        <v>#N/A</v>
      </c>
      <c r="E146" s="10" t="str">
        <f t="shared" si="1"/>
        <v>#N/A</v>
      </c>
      <c r="F146" s="178" t="str">
        <f>IFERROR(__xludf.DUMMYFUNCTION("iferror(round(correl(filter(Data!I:I,Data!C:C=B146,Data!D:D=A146,Data!E:E&gt;=500),filter(Data!N:N,Data!C:C=B146,Data!D:D=A146,Data!E:E&gt;=500)),2),"""")"),"")</f>
        <v/>
      </c>
    </row>
    <row r="147" hidden="1">
      <c r="A147" s="1" t="s">
        <v>21</v>
      </c>
      <c r="B147" s="1" t="s">
        <v>70</v>
      </c>
      <c r="C147" s="10">
        <f>IFERROR(__xludf.DUMMYFUNCTION("average.weighted(filter(Data!J:J,Data!AC:AC=A147&amp;"",""&amp;B147),filter(Data!F:F,Data!AC:AC=A147&amp;"",""&amp;B147))"),0.22129007769965933)</f>
        <v>0.2212900777</v>
      </c>
      <c r="D147" s="10">
        <f>IFERROR(__xludf.DUMMYFUNCTION("average.weighted(filter(Data!K:K,Data!AC:AC=A147&amp;"",""&amp;B147),filter(Data!F:F,Data!AC:AC=A147&amp;"",""&amp;B147))"),0.42621962562722987)</f>
        <v>0.4262196256</v>
      </c>
      <c r="E147" s="10">
        <f t="shared" si="1"/>
        <v>0.6475097033</v>
      </c>
      <c r="F147" s="178">
        <f>IFERROR(__xludf.DUMMYFUNCTION("iferror(round(correl(filter(Data!I:I,Data!C:C=B147,Data!D:D=A147,Data!E:E&gt;=500),filter(Data!N:N,Data!C:C=B147,Data!D:D=A147,Data!E:E&gt;=500)),2),"""")"),0.2)</f>
        <v>0.2</v>
      </c>
    </row>
    <row r="148" hidden="1">
      <c r="A148" s="1" t="s">
        <v>35</v>
      </c>
      <c r="B148" s="1" t="s">
        <v>68</v>
      </c>
      <c r="C148" s="10">
        <f>IFERROR(__xludf.DUMMYFUNCTION("average.weighted(filter(Data!J:J,Data!AC:AC=A148&amp;"",""&amp;B148),filter(Data!F:F,Data!AC:AC=A148&amp;"",""&amp;B148))"),0.23305212665205904)</f>
        <v>0.2330521267</v>
      </c>
      <c r="D148" s="10">
        <f>IFERROR(__xludf.DUMMYFUNCTION("average.weighted(filter(Data!K:K,Data!AC:AC=A148&amp;"",""&amp;B148),filter(Data!F:F,Data!AC:AC=A148&amp;"",""&amp;B148))"),0.40462326859428843)</f>
        <v>0.4046232686</v>
      </c>
      <c r="E148" s="10">
        <f t="shared" si="1"/>
        <v>0.6376753952</v>
      </c>
      <c r="F148" s="178">
        <f>IFERROR(__xludf.DUMMYFUNCTION("iferror(round(correl(filter(Data!I:I,Data!C:C=B148,Data!D:D=A148,Data!E:E&gt;=500),filter(Data!N:N,Data!C:C=B148,Data!D:D=A148,Data!E:E&gt;=500)),2),"""")"),0.31)</f>
        <v>0.31</v>
      </c>
    </row>
    <row r="149" hidden="1">
      <c r="A149" s="1" t="s">
        <v>42</v>
      </c>
      <c r="B149" s="1" t="s">
        <v>64</v>
      </c>
      <c r="C149" s="10" t="str">
        <f>IFERROR(__xludf.DUMMYFUNCTION("average.weighted(filter(Data!J:J,Data!AC:AC=A149&amp;"",""&amp;B149),filter(Data!F:F,Data!AC:AC=A149&amp;"",""&amp;B149))"),"#N/A")</f>
        <v>#N/A</v>
      </c>
      <c r="D149" s="10" t="str">
        <f>IFERROR(__xludf.DUMMYFUNCTION("average.weighted(filter(Data!K:K,Data!AC:AC=A149&amp;"",""&amp;B149),filter(Data!F:F,Data!AC:AC=A149&amp;"",""&amp;B149))"),"#N/A")</f>
        <v>#N/A</v>
      </c>
      <c r="E149" s="10" t="str">
        <f t="shared" si="1"/>
        <v>#N/A</v>
      </c>
      <c r="F149" s="178" t="str">
        <f>IFERROR(__xludf.DUMMYFUNCTION("iferror(round(correl(filter(Data!I:I,Data!C:C=B149,Data!D:D=A149,Data!E:E&gt;=500),filter(Data!N:N,Data!C:C=B149,Data!D:D=A149,Data!E:E&gt;=500)),2),"""")"),"")</f>
        <v/>
      </c>
    </row>
    <row r="150" hidden="1">
      <c r="A150" s="1" t="s">
        <v>32</v>
      </c>
      <c r="B150" s="1" t="s">
        <v>64</v>
      </c>
      <c r="C150" s="10" t="str">
        <f>IFERROR(__xludf.DUMMYFUNCTION("average.weighted(filter(Data!J:J,Data!AC:AC=A150&amp;"",""&amp;B150),filter(Data!F:F,Data!AC:AC=A150&amp;"",""&amp;B150))"),"#N/A")</f>
        <v>#N/A</v>
      </c>
      <c r="D150" s="10" t="str">
        <f>IFERROR(__xludf.DUMMYFUNCTION("average.weighted(filter(Data!K:K,Data!AC:AC=A150&amp;"",""&amp;B150),filter(Data!F:F,Data!AC:AC=A150&amp;"",""&amp;B150))"),"#N/A")</f>
        <v>#N/A</v>
      </c>
      <c r="E150" s="10" t="str">
        <f t="shared" si="1"/>
        <v>#N/A</v>
      </c>
      <c r="F150" s="178" t="str">
        <f>IFERROR(__xludf.DUMMYFUNCTION("iferror(round(correl(filter(Data!I:I,Data!C:C=B150,Data!D:D=A150,Data!E:E&gt;=500),filter(Data!N:N,Data!C:C=B150,Data!D:D=A150,Data!E:E&gt;=500)),2),"""")"),"")</f>
        <v/>
      </c>
    </row>
    <row r="151" hidden="1">
      <c r="A151" s="1" t="s">
        <v>28</v>
      </c>
      <c r="B151" s="1" t="s">
        <v>66</v>
      </c>
      <c r="C151" s="10">
        <f>IFERROR(__xludf.DUMMYFUNCTION("average.weighted(filter(Data!J:J,Data!AC:AC=A151&amp;"",""&amp;B151),filter(Data!F:F,Data!AC:AC=A151&amp;"",""&amp;B151))"),0.5322121949007175)</f>
        <v>0.5322121949</v>
      </c>
      <c r="D151" s="10">
        <f>IFERROR(__xludf.DUMMYFUNCTION("average.weighted(filter(Data!K:K,Data!AC:AC=A151&amp;"",""&amp;B151),filter(Data!F:F,Data!AC:AC=A151&amp;"",""&amp;B151))"),0.08740481178922462)</f>
        <v>0.08740481179</v>
      </c>
      <c r="E151" s="10">
        <f t="shared" si="1"/>
        <v>0.6196170067</v>
      </c>
      <c r="F151" s="178">
        <f>IFERROR(__xludf.DUMMYFUNCTION("iferror(round(correl(filter(Data!I:I,Data!C:C=B151,Data!D:D=A151,Data!E:E&gt;=500),filter(Data!N:N,Data!C:C=B151,Data!D:D=A151,Data!E:E&gt;=500)),2),"""")"),-0.22)</f>
        <v>-0.22</v>
      </c>
    </row>
    <row r="152" hidden="1">
      <c r="A152" s="1" t="s">
        <v>26</v>
      </c>
      <c r="B152" s="1" t="s">
        <v>70</v>
      </c>
      <c r="C152" s="10">
        <f>IFERROR(__xludf.DUMMYFUNCTION("average.weighted(filter(Data!J:J,Data!AC:AC=A152&amp;"",""&amp;B152),filter(Data!F:F,Data!AC:AC=A152&amp;"",""&amp;B152))"),0.24048811477446635)</f>
        <v>0.2404881148</v>
      </c>
      <c r="D152" s="10">
        <f>IFERROR(__xludf.DUMMYFUNCTION("average.weighted(filter(Data!K:K,Data!AC:AC=A152&amp;"",""&amp;B152),filter(Data!F:F,Data!AC:AC=A152&amp;"",""&amp;B152))"),0.37171162276912656)</f>
        <v>0.3717116228</v>
      </c>
      <c r="E152" s="10">
        <f t="shared" si="1"/>
        <v>0.6121997375</v>
      </c>
      <c r="F152" s="178">
        <f>IFERROR(__xludf.DUMMYFUNCTION("iferror(round(correl(filter(Data!I:I,Data!C:C=B152,Data!D:D=A152,Data!E:E&gt;=500),filter(Data!N:N,Data!C:C=B152,Data!D:D=A152,Data!E:E&gt;=500)),2),"""")"),0.3)</f>
        <v>0.3</v>
      </c>
    </row>
    <row r="153" hidden="1">
      <c r="A153" s="1" t="s">
        <v>36</v>
      </c>
      <c r="B153" s="1" t="s">
        <v>69</v>
      </c>
      <c r="C153" s="10">
        <f>IFERROR(__xludf.DUMMYFUNCTION("average.weighted(filter(Data!J:J,Data!AC:AC=A153&amp;"",""&amp;B153),filter(Data!F:F,Data!AC:AC=A153&amp;"",""&amp;B153))"),0.5364763079251981)</f>
        <v>0.5364763079</v>
      </c>
      <c r="D153" s="10">
        <f>IFERROR(__xludf.DUMMYFUNCTION("average.weighted(filter(Data!K:K,Data!AC:AC=A153&amp;"",""&amp;B153),filter(Data!F:F,Data!AC:AC=A153&amp;"",""&amp;B153))"),0.07385140788326323)</f>
        <v>0.07385140788</v>
      </c>
      <c r="E153" s="10">
        <f t="shared" si="1"/>
        <v>0.6103277158</v>
      </c>
      <c r="F153" s="178">
        <f>IFERROR(__xludf.DUMMYFUNCTION("iferror(round(correl(filter(Data!I:I,Data!C:C=B153,Data!D:D=A153,Data!E:E&gt;=500),filter(Data!N:N,Data!C:C=B153,Data!D:D=A153,Data!E:E&gt;=500)),2),"""")"),0.59)</f>
        <v>0.59</v>
      </c>
    </row>
    <row r="154" hidden="1">
      <c r="A154" s="1" t="s">
        <v>42</v>
      </c>
      <c r="B154" s="1" t="s">
        <v>67</v>
      </c>
      <c r="C154" s="10">
        <f>IFERROR(__xludf.DUMMYFUNCTION("average.weighted(filter(Data!J:J,Data!AC:AC=A154&amp;"",""&amp;B154),filter(Data!F:F,Data!AC:AC=A154&amp;"",""&amp;B154))"),0.6564703971852794)</f>
        <v>0.6564703972</v>
      </c>
      <c r="D154" s="10">
        <f>IFERROR(__xludf.DUMMYFUNCTION("average.weighted(filter(Data!K:K,Data!AC:AC=A154&amp;"",""&amp;B154),filter(Data!F:F,Data!AC:AC=A154&amp;"",""&amp;B154))"),-0.07269047856960655)</f>
        <v>-0.07269047857</v>
      </c>
      <c r="E154" s="10">
        <f t="shared" si="1"/>
        <v>0.5837799186</v>
      </c>
      <c r="F154" s="178">
        <f>IFERROR(__xludf.DUMMYFUNCTION("iferror(round(correl(filter(Data!I:I,Data!C:C=B154,Data!D:D=A154,Data!E:E&gt;=500),filter(Data!N:N,Data!C:C=B154,Data!D:D=A154,Data!E:E&gt;=500)),2),"""")"),0.61)</f>
        <v>0.61</v>
      </c>
    </row>
    <row r="155">
      <c r="A155" s="1" t="s">
        <v>31</v>
      </c>
      <c r="B155" s="179" t="s">
        <v>13</v>
      </c>
      <c r="C155" s="10">
        <f>IFERROR(__xludf.DUMMYFUNCTION("average.weighted(filter(Data!J:J,Data!AC:AC=A155&amp;"",""&amp;B155),filter(Data!F:F,Data!AC:AC=A155&amp;"",""&amp;B155))"),0.4932600683819244)</f>
        <v>0.4932600684</v>
      </c>
      <c r="D155" s="10">
        <f>IFERROR(__xludf.DUMMYFUNCTION("average.weighted(filter(Data!K:K,Data!AC:AC=A155&amp;"",""&amp;B155),filter(Data!F:F,Data!AC:AC=A155&amp;"",""&amp;B155))"),0.14197858607406522)</f>
        <v>0.1419785861</v>
      </c>
      <c r="E155" s="10">
        <f t="shared" si="1"/>
        <v>0.6352386545</v>
      </c>
      <c r="F155" s="178">
        <f>IFERROR(__xludf.DUMMYFUNCTION("iferror(round(correl(filter(Data!I:I,Data!C:C=B155,Data!D:D=A155,Data!E:E&gt;=500),filter(Data!N:N,Data!C:C=B155,Data!D:D=A155,Data!E:E&gt;=500)),2),"""")"),0.37)</f>
        <v>0.37</v>
      </c>
    </row>
    <row r="156" hidden="1">
      <c r="A156" s="1" t="s">
        <v>28</v>
      </c>
      <c r="B156" s="1" t="s">
        <v>67</v>
      </c>
      <c r="C156" s="10">
        <f>IFERROR(__xludf.DUMMYFUNCTION("average.weighted(filter(Data!J:J,Data!AC:AC=A156&amp;"",""&amp;B156),filter(Data!F:F,Data!AC:AC=A156&amp;"",""&amp;B156))"),0.5300092680849802)</f>
        <v>0.5300092681</v>
      </c>
      <c r="D156" s="10">
        <f>IFERROR(__xludf.DUMMYFUNCTION("average.weighted(filter(Data!K:K,Data!AC:AC=A156&amp;"",""&amp;B156),filter(Data!F:F,Data!AC:AC=A156&amp;"",""&amp;B156))"),0.04213920634634257)</f>
        <v>0.04213920635</v>
      </c>
      <c r="E156" s="10">
        <f t="shared" si="1"/>
        <v>0.5721484744</v>
      </c>
      <c r="F156" s="178">
        <f>IFERROR(__xludf.DUMMYFUNCTION("iferror(round(correl(filter(Data!I:I,Data!C:C=B156,Data!D:D=A156,Data!E:E&gt;=500),filter(Data!N:N,Data!C:C=B156,Data!D:D=A156,Data!E:E&gt;=500)),2),"""")"),-0.25)</f>
        <v>-0.25</v>
      </c>
    </row>
    <row r="157" hidden="1">
      <c r="A157" s="1" t="s">
        <v>30</v>
      </c>
      <c r="B157" s="1" t="s">
        <v>62</v>
      </c>
      <c r="C157" s="10" t="str">
        <f>IFERROR(__xludf.DUMMYFUNCTION("average.weighted(filter(Data!J:J,Data!AC:AC=A157&amp;"",""&amp;B157),filter(Data!F:F,Data!AC:AC=A157&amp;"",""&amp;B157))"),"#N/A")</f>
        <v>#N/A</v>
      </c>
      <c r="D157" s="10" t="str">
        <f>IFERROR(__xludf.DUMMYFUNCTION("average.weighted(filter(Data!K:K,Data!AC:AC=A157&amp;"",""&amp;B157),filter(Data!F:F,Data!AC:AC=A157&amp;"",""&amp;B157))"),"#N/A")</f>
        <v>#N/A</v>
      </c>
      <c r="E157" s="10" t="str">
        <f t="shared" si="1"/>
        <v>#N/A</v>
      </c>
      <c r="F157" s="178" t="str">
        <f>IFERROR(__xludf.DUMMYFUNCTION("iferror(round(correl(filter(Data!I:I,Data!C:C=B157,Data!D:D=A157,Data!E:E&gt;=500),filter(Data!N:N,Data!C:C=B157,Data!D:D=A157,Data!E:E&gt;=500)),2),"""")"),"")</f>
        <v/>
      </c>
    </row>
    <row r="158" hidden="1">
      <c r="A158" s="1" t="s">
        <v>44</v>
      </c>
      <c r="B158" s="1" t="s">
        <v>62</v>
      </c>
      <c r="C158" s="10" t="str">
        <f>IFERROR(__xludf.DUMMYFUNCTION("average.weighted(filter(Data!J:J,Data!AC:AC=A158&amp;"",""&amp;B158),filter(Data!F:F,Data!AC:AC=A158&amp;"",""&amp;B158))"),"#N/A")</f>
        <v>#N/A</v>
      </c>
      <c r="D158" s="10" t="str">
        <f>IFERROR(__xludf.DUMMYFUNCTION("average.weighted(filter(Data!K:K,Data!AC:AC=A158&amp;"",""&amp;B158),filter(Data!F:F,Data!AC:AC=A158&amp;"",""&amp;B158))"),"#N/A")</f>
        <v>#N/A</v>
      </c>
      <c r="E158" s="10" t="str">
        <f t="shared" si="1"/>
        <v>#N/A</v>
      </c>
      <c r="F158" s="178" t="str">
        <f>IFERROR(__xludf.DUMMYFUNCTION("iferror(round(correl(filter(Data!I:I,Data!C:C=B158,Data!D:D=A158,Data!E:E&gt;=500),filter(Data!N:N,Data!C:C=B158,Data!D:D=A158,Data!E:E&gt;=500)),2),"""")"),"")</f>
        <v/>
      </c>
    </row>
    <row r="159" hidden="1">
      <c r="A159" s="1" t="s">
        <v>1</v>
      </c>
      <c r="B159" s="1" t="s">
        <v>64</v>
      </c>
      <c r="C159" s="10" t="str">
        <f>IFERROR(__xludf.DUMMYFUNCTION("average.weighted(filter(Data!J:J,Data!AC:AC=A159&amp;"",""&amp;B159),filter(Data!F:F,Data!AC:AC=A159&amp;"",""&amp;B159))"),"#N/A")</f>
        <v>#N/A</v>
      </c>
      <c r="D159" s="10" t="str">
        <f>IFERROR(__xludf.DUMMYFUNCTION("average.weighted(filter(Data!K:K,Data!AC:AC=A159&amp;"",""&amp;B159),filter(Data!F:F,Data!AC:AC=A159&amp;"",""&amp;B159))"),"#N/A")</f>
        <v>#N/A</v>
      </c>
      <c r="E159" s="10" t="str">
        <f t="shared" si="1"/>
        <v>#N/A</v>
      </c>
      <c r="F159" s="178" t="str">
        <f>IFERROR(__xludf.DUMMYFUNCTION("iferror(round(correl(filter(Data!I:I,Data!C:C=B159,Data!D:D=A159,Data!E:E&gt;=500),filter(Data!N:N,Data!C:C=B159,Data!D:D=A159,Data!E:E&gt;=500)),2),"""")"),"")</f>
        <v/>
      </c>
    </row>
    <row r="160" hidden="1">
      <c r="A160" s="1" t="s">
        <v>27</v>
      </c>
      <c r="B160" s="1" t="s">
        <v>71</v>
      </c>
      <c r="C160" s="10">
        <f>IFERROR(__xludf.DUMMYFUNCTION("average.weighted(filter(Data!J:J,Data!AC:AC=A160&amp;"",""&amp;B160),filter(Data!F:F,Data!AC:AC=A160&amp;"",""&amp;B160))"),0.24297079048202821)</f>
        <v>0.2429707905</v>
      </c>
      <c r="D160" s="10">
        <f>IFERROR(__xludf.DUMMYFUNCTION("average.weighted(filter(Data!K:K,Data!AC:AC=A160&amp;"",""&amp;B160),filter(Data!F:F,Data!AC:AC=A160&amp;"",""&amp;B160))"),0.3219427174837916)</f>
        <v>0.3219427175</v>
      </c>
      <c r="E160" s="10">
        <f t="shared" si="1"/>
        <v>0.564913508</v>
      </c>
      <c r="F160" s="178">
        <f>IFERROR(__xludf.DUMMYFUNCTION("iferror(round(correl(filter(Data!I:I,Data!C:C=B160,Data!D:D=A160,Data!E:E&gt;=500),filter(Data!N:N,Data!C:C=B160,Data!D:D=A160,Data!E:E&gt;=500)),2),"""")"),0.36)</f>
        <v>0.36</v>
      </c>
    </row>
    <row r="161" hidden="1">
      <c r="A161" s="1" t="s">
        <v>44</v>
      </c>
      <c r="B161" s="1" t="s">
        <v>63</v>
      </c>
      <c r="C161" s="10" t="str">
        <f>IFERROR(__xludf.DUMMYFUNCTION("average.weighted(filter(Data!J:J,Data!AC:AC=A161&amp;"",""&amp;B161),filter(Data!F:F,Data!AC:AC=A161&amp;"",""&amp;B161))"),"#N/A")</f>
        <v>#N/A</v>
      </c>
      <c r="D161" s="10" t="str">
        <f>IFERROR(__xludf.DUMMYFUNCTION("average.weighted(filter(Data!K:K,Data!AC:AC=A161&amp;"",""&amp;B161),filter(Data!F:F,Data!AC:AC=A161&amp;"",""&amp;B161))"),"#N/A")</f>
        <v>#N/A</v>
      </c>
      <c r="E161" s="10" t="str">
        <f t="shared" si="1"/>
        <v>#N/A</v>
      </c>
      <c r="F161" s="178" t="str">
        <f>IFERROR(__xludf.DUMMYFUNCTION("iferror(round(correl(filter(Data!I:I,Data!C:C=B161,Data!D:D=A161,Data!E:E&gt;=500),filter(Data!N:N,Data!C:C=B161,Data!D:D=A161,Data!E:E&gt;=500)),2),"""")"),"")</f>
        <v/>
      </c>
    </row>
    <row r="162" hidden="1">
      <c r="A162" s="1" t="s">
        <v>36</v>
      </c>
      <c r="B162" s="1" t="s">
        <v>67</v>
      </c>
      <c r="C162" s="10">
        <f>IFERROR(__xludf.DUMMYFUNCTION("average.weighted(filter(Data!J:J,Data!AC:AC=A162&amp;"",""&amp;B162),filter(Data!F:F,Data!AC:AC=A162&amp;"",""&amp;B162))"),0.2242381956601415)</f>
        <v>0.2242381957</v>
      </c>
      <c r="D162" s="10">
        <f>IFERROR(__xludf.DUMMYFUNCTION("average.weighted(filter(Data!K:K,Data!AC:AC=A162&amp;"",""&amp;B162),filter(Data!F:F,Data!AC:AC=A162&amp;"",""&amp;B162))"),0.3230364379349116)</f>
        <v>0.3230364379</v>
      </c>
      <c r="E162" s="10">
        <f t="shared" si="1"/>
        <v>0.5472746336</v>
      </c>
      <c r="F162" s="178">
        <f>IFERROR(__xludf.DUMMYFUNCTION("iferror(round(correl(filter(Data!I:I,Data!C:C=B162,Data!D:D=A162,Data!E:E&gt;=500),filter(Data!N:N,Data!C:C=B162,Data!D:D=A162,Data!E:E&gt;=500)),2),"""")"),0.09)</f>
        <v>0.09</v>
      </c>
    </row>
    <row r="163">
      <c r="A163" s="1" t="s">
        <v>41</v>
      </c>
      <c r="B163" s="179" t="s">
        <v>13</v>
      </c>
      <c r="C163" s="10">
        <f>IFERROR(__xludf.DUMMYFUNCTION("average.weighted(filter(Data!J:J,Data!AC:AC=A163&amp;"",""&amp;B163),filter(Data!F:F,Data!AC:AC=A163&amp;"",""&amp;B163))"),7.694720013711638E-4)</f>
        <v>0.0007694720014</v>
      </c>
      <c r="D163" s="10">
        <f>IFERROR(__xludf.DUMMYFUNCTION("average.weighted(filter(Data!K:K,Data!AC:AC=A163&amp;"",""&amp;B163),filter(Data!F:F,Data!AC:AC=A163&amp;"",""&amp;B163))"),0.6107972387470431)</f>
        <v>0.6107972387</v>
      </c>
      <c r="E163" s="10">
        <f t="shared" si="1"/>
        <v>0.6115667107</v>
      </c>
      <c r="F163" s="178">
        <f>IFERROR(__xludf.DUMMYFUNCTION("iferror(round(correl(filter(Data!I:I,Data!C:C=B163,Data!D:D=A163,Data!E:E&gt;=500),filter(Data!N:N,Data!C:C=B163,Data!D:D=A163,Data!E:E&gt;=500)),2),"""")"),0.21)</f>
        <v>0.21</v>
      </c>
    </row>
    <row r="164" hidden="1">
      <c r="A164" s="1" t="s">
        <v>15</v>
      </c>
      <c r="B164" s="1" t="s">
        <v>69</v>
      </c>
      <c r="C164" s="10">
        <f>IFERROR(__xludf.DUMMYFUNCTION("average.weighted(filter(Data!J:J,Data!AC:AC=A164&amp;"",""&amp;B164),filter(Data!F:F,Data!AC:AC=A164&amp;"",""&amp;B164))"),0.30916270458360134)</f>
        <v>0.3091627046</v>
      </c>
      <c r="D164" s="10">
        <f>IFERROR(__xludf.DUMMYFUNCTION("average.weighted(filter(Data!K:K,Data!AC:AC=A164&amp;"",""&amp;B164),filter(Data!F:F,Data!AC:AC=A164&amp;"",""&amp;B164))"),0.22264109671377566)</f>
        <v>0.2226410967</v>
      </c>
      <c r="E164" s="10">
        <f t="shared" si="1"/>
        <v>0.5318038013</v>
      </c>
      <c r="F164" s="178">
        <f>IFERROR(__xludf.DUMMYFUNCTION("iferror(round(correl(filter(Data!I:I,Data!C:C=B164,Data!D:D=A164,Data!E:E&gt;=500),filter(Data!N:N,Data!C:C=B164,Data!D:D=A164,Data!E:E&gt;=500)),2),"""")"),0.02)</f>
        <v>0.02</v>
      </c>
    </row>
    <row r="165" hidden="1">
      <c r="A165" s="1" t="s">
        <v>43</v>
      </c>
      <c r="B165" s="1" t="s">
        <v>66</v>
      </c>
      <c r="C165" s="10">
        <f>IFERROR(__xludf.DUMMYFUNCTION("average.weighted(filter(Data!J:J,Data!AC:AC=A165&amp;"",""&amp;B165),filter(Data!F:F,Data!AC:AC=A165&amp;"",""&amp;B165))"),0.367239146758438)</f>
        <v>0.3672391468</v>
      </c>
      <c r="D165" s="10">
        <f>IFERROR(__xludf.DUMMYFUNCTION("average.weighted(filter(Data!K:K,Data!AC:AC=A165&amp;"",""&amp;B165),filter(Data!F:F,Data!AC:AC=A165&amp;"",""&amp;B165))"),0.16197856930829296)</f>
        <v>0.1619785693</v>
      </c>
      <c r="E165" s="10">
        <f t="shared" si="1"/>
        <v>0.5292177161</v>
      </c>
      <c r="F165" s="178">
        <f>IFERROR(__xludf.DUMMYFUNCTION("iferror(round(correl(filter(Data!I:I,Data!C:C=B165,Data!D:D=A165,Data!E:E&gt;=500),filter(Data!N:N,Data!C:C=B165,Data!D:D=A165,Data!E:E&gt;=500)),2),"""")"),-0.61)</f>
        <v>-0.61</v>
      </c>
    </row>
    <row r="166" hidden="1">
      <c r="A166" s="1" t="s">
        <v>37</v>
      </c>
      <c r="B166" s="1" t="s">
        <v>70</v>
      </c>
      <c r="C166" s="10">
        <f>IFERROR(__xludf.DUMMYFUNCTION("average.weighted(filter(Data!J:J,Data!AC:AC=A166&amp;"",""&amp;B166),filter(Data!F:F,Data!AC:AC=A166&amp;"",""&amp;B166))"),0.21038025796897533)</f>
        <v>0.210380258</v>
      </c>
      <c r="D166" s="10">
        <f>IFERROR(__xludf.DUMMYFUNCTION("average.weighted(filter(Data!K:K,Data!AC:AC=A166&amp;"",""&amp;B166),filter(Data!F:F,Data!AC:AC=A166&amp;"",""&amp;B166))"),0.2946433474447638)</f>
        <v>0.2946433474</v>
      </c>
      <c r="E166" s="10">
        <f t="shared" si="1"/>
        <v>0.5050236054</v>
      </c>
      <c r="F166" s="178">
        <f>IFERROR(__xludf.DUMMYFUNCTION("iferror(round(correl(filter(Data!I:I,Data!C:C=B166,Data!D:D=A166,Data!E:E&gt;=500),filter(Data!N:N,Data!C:C=B166,Data!D:D=A166,Data!E:E&gt;=500)),2),"""")"),-0.09)</f>
        <v>-0.09</v>
      </c>
    </row>
    <row r="167" hidden="1">
      <c r="A167" s="1" t="s">
        <v>37</v>
      </c>
      <c r="B167" s="1" t="s">
        <v>68</v>
      </c>
      <c r="C167" s="10">
        <f>IFERROR(__xludf.DUMMYFUNCTION("average.weighted(filter(Data!J:J,Data!AC:AC=A167&amp;"",""&amp;B167),filter(Data!F:F,Data!AC:AC=A167&amp;"",""&amp;B167))"),0.025979231399994047)</f>
        <v>0.0259792314</v>
      </c>
      <c r="D167" s="10">
        <f>IFERROR(__xludf.DUMMYFUNCTION("average.weighted(filter(Data!K:K,Data!AC:AC=A167&amp;"",""&amp;B167),filter(Data!F:F,Data!AC:AC=A167&amp;"",""&amp;B167))"),0.47254470776015184)</f>
        <v>0.4725447078</v>
      </c>
      <c r="E167" s="10">
        <f t="shared" si="1"/>
        <v>0.4985239392</v>
      </c>
      <c r="F167" s="178">
        <f>IFERROR(__xludf.DUMMYFUNCTION("iferror(round(correl(filter(Data!I:I,Data!C:C=B167,Data!D:D=A167,Data!E:E&gt;=500),filter(Data!N:N,Data!C:C=B167,Data!D:D=A167,Data!E:E&gt;=500)),2),"""")"),-0.53)</f>
        <v>-0.53</v>
      </c>
    </row>
    <row r="168" hidden="1">
      <c r="A168" s="1" t="s">
        <v>40</v>
      </c>
      <c r="B168" s="1" t="s">
        <v>71</v>
      </c>
      <c r="C168" s="10">
        <f>IFERROR(__xludf.DUMMYFUNCTION("average.weighted(filter(Data!J:J,Data!AC:AC=A168&amp;"",""&amp;B168),filter(Data!F:F,Data!AC:AC=A168&amp;"",""&amp;B168))"),-0.019370432548570383)</f>
        <v>-0.01937043255</v>
      </c>
      <c r="D168" s="10">
        <f>IFERROR(__xludf.DUMMYFUNCTION("average.weighted(filter(Data!K:K,Data!AC:AC=A168&amp;"",""&amp;B168),filter(Data!F:F,Data!AC:AC=A168&amp;"",""&amp;B168))"),0.43264795194857775)</f>
        <v>0.4326479519</v>
      </c>
      <c r="E168" s="10">
        <f t="shared" si="1"/>
        <v>0.4132775194</v>
      </c>
      <c r="F168" s="178">
        <f>IFERROR(__xludf.DUMMYFUNCTION("iferror(round(correl(filter(Data!I:I,Data!C:C=B168,Data!D:D=A168,Data!E:E&gt;=500),filter(Data!N:N,Data!C:C=B168,Data!D:D=A168,Data!E:E&gt;=500)),2),"""")"),0.15)</f>
        <v>0.15</v>
      </c>
    </row>
    <row r="169" hidden="1">
      <c r="A169" s="1" t="s">
        <v>27</v>
      </c>
      <c r="B169" s="1" t="s">
        <v>70</v>
      </c>
      <c r="C169" s="10">
        <f>IFERROR(__xludf.DUMMYFUNCTION("average.weighted(filter(Data!J:J,Data!AC:AC=A169&amp;"",""&amp;B169),filter(Data!F:F,Data!AC:AC=A169&amp;"",""&amp;B169))"),0.17490830293620094)</f>
        <v>0.1749083029</v>
      </c>
      <c r="D169" s="10">
        <f>IFERROR(__xludf.DUMMYFUNCTION("average.weighted(filter(Data!K:K,Data!AC:AC=A169&amp;"",""&amp;B169),filter(Data!F:F,Data!AC:AC=A169&amp;"",""&amp;B169))"),0.1964546826599437)</f>
        <v>0.1964546827</v>
      </c>
      <c r="E169" s="10">
        <f t="shared" si="1"/>
        <v>0.3713629856</v>
      </c>
      <c r="F169" s="178">
        <f>IFERROR(__xludf.DUMMYFUNCTION("iferror(round(correl(filter(Data!I:I,Data!C:C=B169,Data!D:D=A169,Data!E:E&gt;=500),filter(Data!N:N,Data!C:C=B169,Data!D:D=A169,Data!E:E&gt;=500)),2),"""")"),0.5)</f>
        <v>0.5</v>
      </c>
    </row>
    <row r="170" hidden="1">
      <c r="A170" s="1" t="s">
        <v>25</v>
      </c>
      <c r="B170" s="1" t="s">
        <v>61</v>
      </c>
      <c r="C170" s="10" t="str">
        <f>IFERROR(__xludf.DUMMYFUNCTION("average.weighted(filter(Data!J:J,Data!AC:AC=A170&amp;"",""&amp;B170),filter(Data!F:F,Data!AC:AC=A170&amp;"",""&amp;B170))"),"#N/A")</f>
        <v>#N/A</v>
      </c>
      <c r="D170" s="10" t="str">
        <f>IFERROR(__xludf.DUMMYFUNCTION("average.weighted(filter(Data!K:K,Data!AC:AC=A170&amp;"",""&amp;B170),filter(Data!F:F,Data!AC:AC=A170&amp;"",""&amp;B170))"),"#N/A")</f>
        <v>#N/A</v>
      </c>
      <c r="E170" s="10" t="str">
        <f t="shared" si="1"/>
        <v>#N/A</v>
      </c>
      <c r="F170" s="178" t="str">
        <f>IFERROR(__xludf.DUMMYFUNCTION("iferror(round(correl(filter(Data!I:I,Data!C:C=B170,Data!D:D=A170,Data!E:E&gt;=500),filter(Data!N:N,Data!C:C=B170,Data!D:D=A170,Data!E:E&gt;=500)),2),"""")"),"")</f>
        <v/>
      </c>
    </row>
    <row r="171" hidden="1">
      <c r="A171" s="1" t="s">
        <v>47</v>
      </c>
      <c r="B171" s="1" t="s">
        <v>67</v>
      </c>
      <c r="C171" s="10">
        <f>IFERROR(__xludf.DUMMYFUNCTION("average.weighted(filter(Data!J:J,Data!AC:AC=A171&amp;"",""&amp;B171),filter(Data!F:F,Data!AC:AC=A171&amp;"",""&amp;B171))"),0.46481415000631143)</f>
        <v>0.46481415</v>
      </c>
      <c r="D171" s="10">
        <f>IFERROR(__xludf.DUMMYFUNCTION("average.weighted(filter(Data!K:K,Data!AC:AC=A171&amp;"",""&amp;B171),filter(Data!F:F,Data!AC:AC=A171&amp;"",""&amp;B171))"),-0.12920715466256957)</f>
        <v>-0.1292071547</v>
      </c>
      <c r="E171" s="10">
        <f t="shared" si="1"/>
        <v>0.3356069953</v>
      </c>
      <c r="F171" s="178">
        <f>IFERROR(__xludf.DUMMYFUNCTION("iferror(round(correl(filter(Data!I:I,Data!C:C=B171,Data!D:D=A171,Data!E:E&gt;=500),filter(Data!N:N,Data!C:C=B171,Data!D:D=A171,Data!E:E&gt;=500)),2),"""")"),-0.1)</f>
        <v>-0.1</v>
      </c>
    </row>
    <row r="172" hidden="1">
      <c r="A172" s="1" t="s">
        <v>39</v>
      </c>
      <c r="B172" s="1" t="s">
        <v>70</v>
      </c>
      <c r="C172" s="10">
        <f>IFERROR(__xludf.DUMMYFUNCTION("average.weighted(filter(Data!J:J,Data!AC:AC=A172&amp;"",""&amp;B172),filter(Data!F:F,Data!AC:AC=A172&amp;"",""&amp;B172))"),0.5988560855696585)</f>
        <v>0.5988560856</v>
      </c>
      <c r="D172" s="10">
        <f>IFERROR(__xludf.DUMMYFUNCTION("average.weighted(filter(Data!K:K,Data!AC:AC=A172&amp;"",""&amp;B172),filter(Data!F:F,Data!AC:AC=A172&amp;"",""&amp;B172))"),-0.2650879943428616)</f>
        <v>-0.2650879943</v>
      </c>
      <c r="E172" s="10">
        <f t="shared" si="1"/>
        <v>0.3337680912</v>
      </c>
      <c r="F172" s="178">
        <f>IFERROR(__xludf.DUMMYFUNCTION("iferror(round(correl(filter(Data!I:I,Data!C:C=B172,Data!D:D=A172,Data!E:E&gt;=500),filter(Data!N:N,Data!C:C=B172,Data!D:D=A172,Data!E:E&gt;=500)),2),"""")"),0.6)</f>
        <v>0.6</v>
      </c>
    </row>
    <row r="173" hidden="1">
      <c r="A173" s="1" t="s">
        <v>36</v>
      </c>
      <c r="B173" s="1" t="s">
        <v>68</v>
      </c>
      <c r="C173" s="10">
        <f>IFERROR(__xludf.DUMMYFUNCTION("average.weighted(filter(Data!J:J,Data!AC:AC=A173&amp;"",""&amp;B173),filter(Data!F:F,Data!AC:AC=A173&amp;"",""&amp;B173))"),0.03405079764305455)</f>
        <v>0.03405079764</v>
      </c>
      <c r="D173" s="10">
        <f>IFERROR(__xludf.DUMMYFUNCTION("average.weighted(filter(Data!K:K,Data!AC:AC=A173&amp;"",""&amp;B173),filter(Data!F:F,Data!AC:AC=A173&amp;"",""&amp;B173))"),0.28951556152405095)</f>
        <v>0.2895155615</v>
      </c>
      <c r="E173" s="10">
        <f t="shared" si="1"/>
        <v>0.3235663592</v>
      </c>
      <c r="F173" s="178">
        <f>IFERROR(__xludf.DUMMYFUNCTION("iferror(round(correl(filter(Data!I:I,Data!C:C=B173,Data!D:D=A173,Data!E:E&gt;=500),filter(Data!N:N,Data!C:C=B173,Data!D:D=A173,Data!E:E&gt;=500)),2),"""")"),0.46)</f>
        <v>0.46</v>
      </c>
    </row>
    <row r="174">
      <c r="A174" s="1" t="s">
        <v>36</v>
      </c>
      <c r="B174" s="179" t="s">
        <v>13</v>
      </c>
      <c r="C174" s="10">
        <f>IFERROR(__xludf.DUMMYFUNCTION("average.weighted(filter(Data!J:J,Data!AC:AC=A174&amp;"",""&amp;B174),filter(Data!F:F,Data!AC:AC=A174&amp;"",""&amp;B174))"),-0.04782965996219711)</f>
        <v>-0.04782965996</v>
      </c>
      <c r="D174" s="10">
        <f>IFERROR(__xludf.DUMMYFUNCTION("average.weighted(filter(Data!K:K,Data!AC:AC=A174&amp;"",""&amp;B174),filter(Data!F:F,Data!AC:AC=A174&amp;"",""&amp;B174))"),0.5971260832926301)</f>
        <v>0.5971260833</v>
      </c>
      <c r="E174" s="10">
        <f t="shared" si="1"/>
        <v>0.5492964233</v>
      </c>
      <c r="F174" s="178">
        <f>IFERROR(__xludf.DUMMYFUNCTION("iferror(round(correl(filter(Data!I:I,Data!C:C=B174,Data!D:D=A174,Data!E:E&gt;=500),filter(Data!N:N,Data!C:C=B174,Data!D:D=A174,Data!E:E&gt;=500)),2),"""")"),0.56)</f>
        <v>0.56</v>
      </c>
    </row>
    <row r="175" hidden="1">
      <c r="A175" s="1" t="s">
        <v>44</v>
      </c>
      <c r="B175" s="1" t="s">
        <v>66</v>
      </c>
      <c r="C175" s="10">
        <f>IFERROR(__xludf.DUMMYFUNCTION("average.weighted(filter(Data!J:J,Data!AC:AC=A175&amp;"",""&amp;B175),filter(Data!F:F,Data!AC:AC=A175&amp;"",""&amp;B175))"),0.34466793217376257)</f>
        <v>0.3446679322</v>
      </c>
      <c r="D175" s="10">
        <f>IFERROR(__xludf.DUMMYFUNCTION("average.weighted(filter(Data!K:K,Data!AC:AC=A175&amp;"",""&amp;B175),filter(Data!F:F,Data!AC:AC=A175&amp;"",""&amp;B175))"),-0.03184729138948957)</f>
        <v>-0.03184729139</v>
      </c>
      <c r="E175" s="10">
        <f t="shared" si="1"/>
        <v>0.3128206408</v>
      </c>
      <c r="F175" s="178">
        <f>IFERROR(__xludf.DUMMYFUNCTION("iferror(round(correl(filter(Data!I:I,Data!C:C=B175,Data!D:D=A175,Data!E:E&gt;=500),filter(Data!N:N,Data!C:C=B175,Data!D:D=A175,Data!E:E&gt;=500)),2),"""")"),-0.03)</f>
        <v>-0.03</v>
      </c>
    </row>
    <row r="176">
      <c r="A176" s="1" t="s">
        <v>19</v>
      </c>
      <c r="B176" s="179" t="s">
        <v>13</v>
      </c>
      <c r="C176" s="10">
        <f>IFERROR(__xludf.DUMMYFUNCTION("average.weighted(filter(Data!J:J,Data!AC:AC=A176&amp;"",""&amp;B176),filter(Data!F:F,Data!AC:AC=A176&amp;"",""&amp;B176))"),0.45496116315358365)</f>
        <v>0.4549611632</v>
      </c>
      <c r="D176" s="10">
        <f>IFERROR(__xludf.DUMMYFUNCTION("average.weighted(filter(Data!K:K,Data!AC:AC=A176&amp;"",""&amp;B176),filter(Data!F:F,Data!AC:AC=A176&amp;"",""&amp;B176))"),-0.1417378755462138)</f>
        <v>-0.1417378755</v>
      </c>
      <c r="E176" s="10">
        <f t="shared" si="1"/>
        <v>0.3132232876</v>
      </c>
      <c r="F176" s="178">
        <f>IFERROR(__xludf.DUMMYFUNCTION("iferror(round(correl(filter(Data!I:I,Data!C:C=B176,Data!D:D=A176,Data!E:E&gt;=500),filter(Data!N:N,Data!C:C=B176,Data!D:D=A176,Data!E:E&gt;=500)),2),"""")"),0.48)</f>
        <v>0.48</v>
      </c>
    </row>
    <row r="177" hidden="1">
      <c r="A177" s="1" t="s">
        <v>39</v>
      </c>
      <c r="B177" s="1" t="s">
        <v>71</v>
      </c>
      <c r="C177" s="10">
        <f>IFERROR(__xludf.DUMMYFUNCTION("average.weighted(filter(Data!J:J,Data!AC:AC=A177&amp;"",""&amp;B177),filter(Data!F:F,Data!AC:AC=A177&amp;"",""&amp;B177))"),0.2922169572704281)</f>
        <v>0.2922169573</v>
      </c>
      <c r="D177" s="10">
        <f>IFERROR(__xludf.DUMMYFUNCTION("average.weighted(filter(Data!K:K,Data!AC:AC=A177&amp;"",""&amp;B177),filter(Data!F:F,Data!AC:AC=A177&amp;"",""&amp;B177))"),-0.019675822306216895)</f>
        <v>-0.01967582231</v>
      </c>
      <c r="E177" s="10">
        <f t="shared" si="1"/>
        <v>0.272541135</v>
      </c>
      <c r="F177" s="178">
        <f>IFERROR(__xludf.DUMMYFUNCTION("iferror(round(correl(filter(Data!I:I,Data!C:C=B177,Data!D:D=A177,Data!E:E&gt;=500),filter(Data!N:N,Data!C:C=B177,Data!D:D=A177,Data!E:E&gt;=500)),2),"""")"),0.45)</f>
        <v>0.45</v>
      </c>
    </row>
    <row r="178" hidden="1">
      <c r="A178" s="1" t="s">
        <v>19</v>
      </c>
      <c r="B178" s="1" t="s">
        <v>64</v>
      </c>
      <c r="C178" s="10" t="str">
        <f>IFERROR(__xludf.DUMMYFUNCTION("average.weighted(filter(Data!J:J,Data!AC:AC=A178&amp;"",""&amp;B178),filter(Data!F:F,Data!AC:AC=A178&amp;"",""&amp;B178))"),"#N/A")</f>
        <v>#N/A</v>
      </c>
      <c r="D178" s="10" t="str">
        <f>IFERROR(__xludf.DUMMYFUNCTION("average.weighted(filter(Data!K:K,Data!AC:AC=A178&amp;"",""&amp;B178),filter(Data!F:F,Data!AC:AC=A178&amp;"",""&amp;B178))"),"#N/A")</f>
        <v>#N/A</v>
      </c>
      <c r="E178" s="10" t="str">
        <f t="shared" si="1"/>
        <v>#N/A</v>
      </c>
      <c r="F178" s="178" t="str">
        <f>IFERROR(__xludf.DUMMYFUNCTION("iferror(round(correl(filter(Data!I:I,Data!C:C=B178,Data!D:D=A178,Data!E:E&gt;=500),filter(Data!N:N,Data!C:C=B178,Data!D:D=A178,Data!E:E&gt;=500)),2),"""")"),"")</f>
        <v/>
      </c>
    </row>
    <row r="179" hidden="1">
      <c r="A179" s="1" t="s">
        <v>42</v>
      </c>
      <c r="B179" s="1" t="s">
        <v>65</v>
      </c>
      <c r="C179" s="10">
        <f>IFERROR(__xludf.DUMMYFUNCTION("average.weighted(filter(Data!J:J,Data!AC:AC=A179&amp;"",""&amp;B179),filter(Data!F:F,Data!AC:AC=A179&amp;"",""&amp;B179))"),0.1489384673702353)</f>
        <v>0.1489384674</v>
      </c>
      <c r="D179" s="10">
        <f>IFERROR(__xludf.DUMMYFUNCTION("average.weighted(filter(Data!K:K,Data!AC:AC=A179&amp;"",""&amp;B179),filter(Data!F:F,Data!AC:AC=A179&amp;"",""&amp;B179))"),0.11494841470785212)</f>
        <v>0.1149484147</v>
      </c>
      <c r="E179" s="10">
        <f t="shared" si="1"/>
        <v>0.2638868821</v>
      </c>
      <c r="F179" s="178">
        <f>IFERROR(__xludf.DUMMYFUNCTION("iferror(round(correl(filter(Data!I:I,Data!C:C=B179,Data!D:D=A179,Data!E:E&gt;=500),filter(Data!N:N,Data!C:C=B179,Data!D:D=A179,Data!E:E&gt;=500)),2),"""")"),0.42)</f>
        <v>0.42</v>
      </c>
    </row>
    <row r="180" hidden="1">
      <c r="A180" s="1" t="s">
        <v>45</v>
      </c>
      <c r="B180" s="1" t="s">
        <v>70</v>
      </c>
      <c r="C180" s="10">
        <f>IFERROR(__xludf.DUMMYFUNCTION("average.weighted(filter(Data!J:J,Data!AC:AC=A180&amp;"",""&amp;B180),filter(Data!F:F,Data!AC:AC=A180&amp;"",""&amp;B180))"),0.018157403300533705)</f>
        <v>0.0181574033</v>
      </c>
      <c r="D180" s="10">
        <f>IFERROR(__xludf.DUMMYFUNCTION("average.weighted(filter(Data!K:K,Data!AC:AC=A180&amp;"",""&amp;B180),filter(Data!F:F,Data!AC:AC=A180&amp;"",""&amp;B180))"),0.23252402208764528)</f>
        <v>0.2325240221</v>
      </c>
      <c r="E180" s="10">
        <f t="shared" si="1"/>
        <v>0.2506814254</v>
      </c>
      <c r="F180" s="178">
        <f>IFERROR(__xludf.DUMMYFUNCTION("iferror(round(correl(filter(Data!I:I,Data!C:C=B180,Data!D:D=A180,Data!E:E&gt;=500),filter(Data!N:N,Data!C:C=B180,Data!D:D=A180,Data!E:E&gt;=500)),2),"""")"),0.45)</f>
        <v>0.45</v>
      </c>
    </row>
    <row r="181" hidden="1">
      <c r="A181" s="1" t="s">
        <v>15</v>
      </c>
      <c r="B181" s="1" t="s">
        <v>68</v>
      </c>
      <c r="C181" s="10">
        <f>IFERROR(__xludf.DUMMYFUNCTION("average.weighted(filter(Data!J:J,Data!AC:AC=A181&amp;"",""&amp;B181),filter(Data!F:F,Data!AC:AC=A181&amp;"",""&amp;B181))"),0.0946735821794661)</f>
        <v>0.09467358218</v>
      </c>
      <c r="D181" s="10">
        <f>IFERROR(__xludf.DUMMYFUNCTION("average.weighted(filter(Data!K:K,Data!AC:AC=A181&amp;"",""&amp;B181),filter(Data!F:F,Data!AC:AC=A181&amp;"",""&amp;B181))"),0.13639866888075253)</f>
        <v>0.1363986689</v>
      </c>
      <c r="E181" s="10">
        <f t="shared" si="1"/>
        <v>0.2310722511</v>
      </c>
      <c r="F181" s="178">
        <f>IFERROR(__xludf.DUMMYFUNCTION("iferror(round(correl(filter(Data!I:I,Data!C:C=B181,Data!D:D=A181,Data!E:E&gt;=500),filter(Data!N:N,Data!C:C=B181,Data!D:D=A181,Data!E:E&gt;=500)),2),"""")"),-0.29)</f>
        <v>-0.29</v>
      </c>
    </row>
    <row r="182" hidden="1">
      <c r="A182" s="1" t="s">
        <v>34</v>
      </c>
      <c r="B182" s="1" t="s">
        <v>67</v>
      </c>
      <c r="C182" s="10">
        <f>IFERROR(__xludf.DUMMYFUNCTION("average.weighted(filter(Data!J:J,Data!AC:AC=A182&amp;"",""&amp;B182),filter(Data!F:F,Data!AC:AC=A182&amp;"",""&amp;B182))"),0.0115747756656321)</f>
        <v>0.01157477567</v>
      </c>
      <c r="D182" s="10">
        <f>IFERROR(__xludf.DUMMYFUNCTION("average.weighted(filter(Data!K:K,Data!AC:AC=A182&amp;"",""&amp;B182),filter(Data!F:F,Data!AC:AC=A182&amp;"",""&amp;B182))"),0.20923397832667856)</f>
        <v>0.2092339783</v>
      </c>
      <c r="E182" s="10">
        <f t="shared" si="1"/>
        <v>0.220808754</v>
      </c>
      <c r="F182" s="178">
        <f>IFERROR(__xludf.DUMMYFUNCTION("iferror(round(correl(filter(Data!I:I,Data!C:C=B182,Data!D:D=A182,Data!E:E&gt;=500),filter(Data!N:N,Data!C:C=B182,Data!D:D=A182,Data!E:E&gt;=500)),2),"""")"),-0.27)</f>
        <v>-0.27</v>
      </c>
    </row>
    <row r="183" hidden="1">
      <c r="A183" s="1" t="s">
        <v>33</v>
      </c>
      <c r="B183" s="1" t="s">
        <v>67</v>
      </c>
      <c r="C183" s="10">
        <f>IFERROR(__xludf.DUMMYFUNCTION("average.weighted(filter(Data!J:J,Data!AC:AC=A183&amp;"",""&amp;B183),filter(Data!F:F,Data!AC:AC=A183&amp;"",""&amp;B183))"),0.14551718252117238)</f>
        <v>0.1455171825</v>
      </c>
      <c r="D183" s="10">
        <f>IFERROR(__xludf.DUMMYFUNCTION("average.weighted(filter(Data!K:K,Data!AC:AC=A183&amp;"",""&amp;B183),filter(Data!F:F,Data!AC:AC=A183&amp;"",""&amp;B183))"),0.0639041186738507)</f>
        <v>0.06390411867</v>
      </c>
      <c r="E183" s="10">
        <f t="shared" si="1"/>
        <v>0.2094213012</v>
      </c>
      <c r="F183" s="178">
        <f>IFERROR(__xludf.DUMMYFUNCTION("iferror(round(correl(filter(Data!I:I,Data!C:C=B183,Data!D:D=A183,Data!E:E&gt;=500),filter(Data!N:N,Data!C:C=B183,Data!D:D=A183,Data!E:E&gt;=500)),2),"""")"),0.58)</f>
        <v>0.58</v>
      </c>
    </row>
    <row r="184" hidden="1">
      <c r="A184" s="1" t="s">
        <v>42</v>
      </c>
      <c r="B184" s="1" t="s">
        <v>62</v>
      </c>
      <c r="C184" s="10" t="str">
        <f>IFERROR(__xludf.DUMMYFUNCTION("average.weighted(filter(Data!J:J,Data!AC:AC=A184&amp;"",""&amp;B184),filter(Data!F:F,Data!AC:AC=A184&amp;"",""&amp;B184))"),"#N/A")</f>
        <v>#N/A</v>
      </c>
      <c r="D184" s="10" t="str">
        <f>IFERROR(__xludf.DUMMYFUNCTION("average.weighted(filter(Data!K:K,Data!AC:AC=A184&amp;"",""&amp;B184),filter(Data!F:F,Data!AC:AC=A184&amp;"",""&amp;B184))"),"#N/A")</f>
        <v>#N/A</v>
      </c>
      <c r="E184" s="10" t="str">
        <f t="shared" si="1"/>
        <v>#N/A</v>
      </c>
      <c r="F184" s="178" t="str">
        <f>IFERROR(__xludf.DUMMYFUNCTION("iferror(round(correl(filter(Data!I:I,Data!C:C=B184,Data!D:D=A184,Data!E:E&gt;=500),filter(Data!N:N,Data!C:C=B184,Data!D:D=A184,Data!E:E&gt;=500)),2),"""")"),"")</f>
        <v/>
      </c>
    </row>
    <row r="185" hidden="1">
      <c r="A185" s="1" t="s">
        <v>1</v>
      </c>
      <c r="B185" s="1" t="s">
        <v>65</v>
      </c>
      <c r="C185" s="10">
        <f>IFERROR(__xludf.DUMMYFUNCTION("average.weighted(filter(Data!J:J,Data!AC:AC=A185&amp;"",""&amp;B185),filter(Data!F:F,Data!AC:AC=A185&amp;"",""&amp;B185))"),0.06844906168366607)</f>
        <v>0.06844906168</v>
      </c>
      <c r="D185" s="10">
        <f>IFERROR(__xludf.DUMMYFUNCTION("average.weighted(filter(Data!K:K,Data!AC:AC=A185&amp;"",""&amp;B185),filter(Data!F:F,Data!AC:AC=A185&amp;"",""&amp;B185))"),0.1299809809961741)</f>
        <v>0.129980981</v>
      </c>
      <c r="E185" s="10">
        <f t="shared" si="1"/>
        <v>0.1984300427</v>
      </c>
      <c r="F185" s="178">
        <f>IFERROR(__xludf.DUMMYFUNCTION("iferror(round(correl(filter(Data!I:I,Data!C:C=B185,Data!D:D=A185,Data!E:E&gt;=500),filter(Data!N:N,Data!C:C=B185,Data!D:D=A185,Data!E:E&gt;=500)),2),"""")"),0.0)</f>
        <v>0</v>
      </c>
    </row>
    <row r="186" hidden="1">
      <c r="A186" s="1" t="s">
        <v>28</v>
      </c>
      <c r="B186" s="1" t="s">
        <v>63</v>
      </c>
      <c r="C186" s="10" t="str">
        <f>IFERROR(__xludf.DUMMYFUNCTION("average.weighted(filter(Data!J:J,Data!AC:AC=A186&amp;"",""&amp;B186),filter(Data!F:F,Data!AC:AC=A186&amp;"",""&amp;B186))"),"#N/A")</f>
        <v>#N/A</v>
      </c>
      <c r="D186" s="10" t="str">
        <f>IFERROR(__xludf.DUMMYFUNCTION("average.weighted(filter(Data!K:K,Data!AC:AC=A186&amp;"",""&amp;B186),filter(Data!F:F,Data!AC:AC=A186&amp;"",""&amp;B186))"),"#N/A")</f>
        <v>#N/A</v>
      </c>
      <c r="E186" s="10" t="str">
        <f t="shared" si="1"/>
        <v>#N/A</v>
      </c>
      <c r="F186" s="178" t="str">
        <f>IFERROR(__xludf.DUMMYFUNCTION("iferror(round(correl(filter(Data!I:I,Data!C:C=B186,Data!D:D=A186,Data!E:E&gt;=500),filter(Data!N:N,Data!C:C=B186,Data!D:D=A186,Data!E:E&gt;=500)),2),"""")"),"")</f>
        <v/>
      </c>
    </row>
    <row r="187" hidden="1">
      <c r="A187" s="1" t="s">
        <v>48</v>
      </c>
      <c r="B187" s="1" t="s">
        <v>62</v>
      </c>
      <c r="C187" s="10" t="str">
        <f>IFERROR(__xludf.DUMMYFUNCTION("average.weighted(filter(Data!J:J,Data!AC:AC=A187&amp;"",""&amp;B187),filter(Data!F:F,Data!AC:AC=A187&amp;"",""&amp;B187))"),"#N/A")</f>
        <v>#N/A</v>
      </c>
      <c r="D187" s="10" t="str">
        <f>IFERROR(__xludf.DUMMYFUNCTION("average.weighted(filter(Data!K:K,Data!AC:AC=A187&amp;"",""&amp;B187),filter(Data!F:F,Data!AC:AC=A187&amp;"",""&amp;B187))"),"#N/A")</f>
        <v>#N/A</v>
      </c>
      <c r="E187" s="10" t="str">
        <f t="shared" si="1"/>
        <v>#N/A</v>
      </c>
      <c r="F187" s="178" t="str">
        <f>IFERROR(__xludf.DUMMYFUNCTION("iferror(round(correl(filter(Data!I:I,Data!C:C=B187,Data!D:D=A187,Data!E:E&gt;=500),filter(Data!N:N,Data!C:C=B187,Data!D:D=A187,Data!E:E&gt;=500)),2),"""")"),"")</f>
        <v/>
      </c>
    </row>
    <row r="188" hidden="1">
      <c r="A188" s="1" t="s">
        <v>41</v>
      </c>
      <c r="B188" s="1" t="s">
        <v>67</v>
      </c>
      <c r="C188" s="10">
        <f>IFERROR(__xludf.DUMMYFUNCTION("average.weighted(filter(Data!J:J,Data!AC:AC=A188&amp;"",""&amp;B188),filter(Data!F:F,Data!AC:AC=A188&amp;"",""&amp;B188))"),-0.03122044818849669)</f>
        <v>-0.03122044819</v>
      </c>
      <c r="D188" s="10">
        <f>IFERROR(__xludf.DUMMYFUNCTION("average.weighted(filter(Data!K:K,Data!AC:AC=A188&amp;"",""&amp;B188),filter(Data!F:F,Data!AC:AC=A188&amp;"",""&amp;B188))"),0.2117035415373068)</f>
        <v>0.2117035415</v>
      </c>
      <c r="E188" s="10">
        <f t="shared" si="1"/>
        <v>0.1804830933</v>
      </c>
      <c r="F188" s="178">
        <f>IFERROR(__xludf.DUMMYFUNCTION("iferror(round(correl(filter(Data!I:I,Data!C:C=B188,Data!D:D=A188,Data!E:E&gt;=500),filter(Data!N:N,Data!C:C=B188,Data!D:D=A188,Data!E:E&gt;=500)),2),"""")"),0.49)</f>
        <v>0.49</v>
      </c>
    </row>
    <row r="189" hidden="1">
      <c r="A189" s="1" t="s">
        <v>29</v>
      </c>
      <c r="B189" s="1" t="s">
        <v>68</v>
      </c>
      <c r="C189" s="10">
        <f>IFERROR(__xludf.DUMMYFUNCTION("average.weighted(filter(Data!J:J,Data!AC:AC=A189&amp;"",""&amp;B189),filter(Data!F:F,Data!AC:AC=A189&amp;"",""&amp;B189))"),0.2686997159747079)</f>
        <v>0.268699716</v>
      </c>
      <c r="D189" s="10">
        <f>IFERROR(__xludf.DUMMYFUNCTION("average.weighted(filter(Data!K:K,Data!AC:AC=A189&amp;"",""&amp;B189),filter(Data!F:F,Data!AC:AC=A189&amp;"",""&amp;B189))"),-0.09513796311864595)</f>
        <v>-0.09513796312</v>
      </c>
      <c r="E189" s="10">
        <f t="shared" si="1"/>
        <v>0.1735617529</v>
      </c>
      <c r="F189" s="178">
        <f>IFERROR(__xludf.DUMMYFUNCTION("iferror(round(correl(filter(Data!I:I,Data!C:C=B189,Data!D:D=A189,Data!E:E&gt;=500),filter(Data!N:N,Data!C:C=B189,Data!D:D=A189,Data!E:E&gt;=500)),2),"""")"),0.66)</f>
        <v>0.66</v>
      </c>
    </row>
    <row r="190" hidden="1">
      <c r="A190" s="1" t="s">
        <v>49</v>
      </c>
      <c r="B190" s="1" t="s">
        <v>61</v>
      </c>
      <c r="C190" s="10" t="str">
        <f>IFERROR(__xludf.DUMMYFUNCTION("average.weighted(filter(Data!J:J,Data!AC:AC=A190&amp;"",""&amp;B190),filter(Data!F:F,Data!AC:AC=A190&amp;"",""&amp;B190))"),"#N/A")</f>
        <v>#N/A</v>
      </c>
      <c r="D190" s="10" t="str">
        <f>IFERROR(__xludf.DUMMYFUNCTION("average.weighted(filter(Data!K:K,Data!AC:AC=A190&amp;"",""&amp;B190),filter(Data!F:F,Data!AC:AC=A190&amp;"",""&amp;B190))"),"#N/A")</f>
        <v>#N/A</v>
      </c>
      <c r="E190" s="10" t="str">
        <f t="shared" si="1"/>
        <v>#N/A</v>
      </c>
      <c r="F190" s="178" t="str">
        <f>IFERROR(__xludf.DUMMYFUNCTION("iferror(round(correl(filter(Data!I:I,Data!C:C=B190,Data!D:D=A190,Data!E:E&gt;=500),filter(Data!N:N,Data!C:C=B190,Data!D:D=A190,Data!E:E&gt;=500)),2),"""")"),"")</f>
        <v/>
      </c>
    </row>
    <row r="191" hidden="1">
      <c r="A191" s="1" t="s">
        <v>24</v>
      </c>
      <c r="B191" s="1" t="s">
        <v>71</v>
      </c>
      <c r="C191" s="10">
        <f>IFERROR(__xludf.DUMMYFUNCTION("average.weighted(filter(Data!J:J,Data!AC:AC=A191&amp;"",""&amp;B191),filter(Data!F:F,Data!AC:AC=A191&amp;"",""&amp;B191))"),0.1358030144025263)</f>
        <v>0.1358030144</v>
      </c>
      <c r="D191" s="10">
        <f>IFERROR(__xludf.DUMMYFUNCTION("average.weighted(filter(Data!K:K,Data!AC:AC=A191&amp;"",""&amp;B191),filter(Data!F:F,Data!AC:AC=A191&amp;"",""&amp;B191))"),0.03624179008082705)</f>
        <v>0.03624179008</v>
      </c>
      <c r="E191" s="10">
        <f t="shared" si="1"/>
        <v>0.1720448045</v>
      </c>
      <c r="F191" s="178">
        <f>IFERROR(__xludf.DUMMYFUNCTION("iferror(round(correl(filter(Data!I:I,Data!C:C=B191,Data!D:D=A191,Data!E:E&gt;=500),filter(Data!N:N,Data!C:C=B191,Data!D:D=A191,Data!E:E&gt;=500)),2),"""")"),0.27)</f>
        <v>0.27</v>
      </c>
    </row>
    <row r="192" hidden="1">
      <c r="A192" s="1" t="s">
        <v>45</v>
      </c>
      <c r="B192" s="1" t="s">
        <v>69</v>
      </c>
      <c r="C192" s="10">
        <f>IFERROR(__xludf.DUMMYFUNCTION("average.weighted(filter(Data!J:J,Data!AC:AC=A192&amp;"",""&amp;B192),filter(Data!F:F,Data!AC:AC=A192&amp;"",""&amp;B192))"),0.14398589978321558)</f>
        <v>0.1439858998</v>
      </c>
      <c r="D192" s="10">
        <f>IFERROR(__xludf.DUMMYFUNCTION("average.weighted(filter(Data!K:K,Data!AC:AC=A192&amp;"",""&amp;B192),filter(Data!F:F,Data!AC:AC=A192&amp;"",""&amp;B192))"),0.012221924007616502)</f>
        <v>0.01222192401</v>
      </c>
      <c r="E192" s="10">
        <f t="shared" si="1"/>
        <v>0.1562078238</v>
      </c>
      <c r="F192" s="178">
        <f>IFERROR(__xludf.DUMMYFUNCTION("iferror(round(correl(filter(Data!I:I,Data!C:C=B192,Data!D:D=A192,Data!E:E&gt;=500),filter(Data!N:N,Data!C:C=B192,Data!D:D=A192,Data!E:E&gt;=500)),2),"""")"),0.46)</f>
        <v>0.46</v>
      </c>
    </row>
    <row r="193">
      <c r="A193" s="1" t="s">
        <v>33</v>
      </c>
      <c r="B193" s="179" t="s">
        <v>13</v>
      </c>
      <c r="C193" s="10">
        <f>IFERROR(__xludf.DUMMYFUNCTION("average.weighted(filter(Data!J:J,Data!AC:AC=A193&amp;"",""&amp;B193),filter(Data!F:F,Data!AC:AC=A193&amp;"",""&amp;B193))"),0.13108238702270816)</f>
        <v>0.131082387</v>
      </c>
      <c r="D193" s="10">
        <f>IFERROR(__xludf.DUMMYFUNCTION("average.weighted(filter(Data!K:K,Data!AC:AC=A193&amp;"",""&amp;B193),filter(Data!F:F,Data!AC:AC=A193&amp;"",""&amp;B193))"),-0.022849293096548894)</f>
        <v>-0.0228492931</v>
      </c>
      <c r="E193" s="10">
        <f t="shared" si="1"/>
        <v>0.1082330939</v>
      </c>
      <c r="F193" s="178">
        <f>IFERROR(__xludf.DUMMYFUNCTION("iferror(round(correl(filter(Data!I:I,Data!C:C=B193,Data!D:D=A193,Data!E:E&gt;=500),filter(Data!N:N,Data!C:C=B193,Data!D:D=A193,Data!E:E&gt;=500)),2),"""")"),-0.41)</f>
        <v>-0.41</v>
      </c>
    </row>
    <row r="194" hidden="1">
      <c r="A194" s="1" t="s">
        <v>33</v>
      </c>
      <c r="B194" s="1" t="s">
        <v>71</v>
      </c>
      <c r="C194" s="10">
        <f>IFERROR(__xludf.DUMMYFUNCTION("average.weighted(filter(Data!J:J,Data!AC:AC=A194&amp;"",""&amp;B194),filter(Data!F:F,Data!AC:AC=A194&amp;"",""&amp;B194))"),0.22245581447025334)</f>
        <v>0.2224558145</v>
      </c>
      <c r="D194" s="10">
        <f>IFERROR(__xludf.DUMMYFUNCTION("average.weighted(filter(Data!K:K,Data!AC:AC=A194&amp;"",""&amp;B194),filter(Data!F:F,Data!AC:AC=A194&amp;"",""&amp;B194))"),-0.07774368709321047)</f>
        <v>-0.07774368709</v>
      </c>
      <c r="E194" s="10">
        <f t="shared" si="1"/>
        <v>0.1447121274</v>
      </c>
      <c r="F194" s="178">
        <f>IFERROR(__xludf.DUMMYFUNCTION("iferror(round(correl(filter(Data!I:I,Data!C:C=B194,Data!D:D=A194,Data!E:E&gt;=500),filter(Data!N:N,Data!C:C=B194,Data!D:D=A194,Data!E:E&gt;=500)),2),"""")"),-0.4)</f>
        <v>-0.4</v>
      </c>
    </row>
    <row r="195" hidden="1">
      <c r="A195" s="1" t="s">
        <v>17</v>
      </c>
      <c r="B195" s="1" t="s">
        <v>68</v>
      </c>
      <c r="C195" s="10">
        <f>IFERROR(__xludf.DUMMYFUNCTION("average.weighted(filter(Data!J:J,Data!AC:AC=A195&amp;"",""&amp;B195),filter(Data!F:F,Data!AC:AC=A195&amp;"",""&amp;B195))"),0.17141406219563488)</f>
        <v>0.1714140622</v>
      </c>
      <c r="D195" s="10">
        <f>IFERROR(__xludf.DUMMYFUNCTION("average.weighted(filter(Data!K:K,Data!AC:AC=A195&amp;"",""&amp;B195),filter(Data!F:F,Data!AC:AC=A195&amp;"",""&amp;B195))"),-0.02879403837975431)</f>
        <v>-0.02879403838</v>
      </c>
      <c r="E195" s="10">
        <f t="shared" si="1"/>
        <v>0.1426200238</v>
      </c>
      <c r="F195" s="178">
        <f>IFERROR(__xludf.DUMMYFUNCTION("iferror(round(correl(filter(Data!I:I,Data!C:C=B195,Data!D:D=A195,Data!E:E&gt;=500),filter(Data!N:N,Data!C:C=B195,Data!D:D=A195,Data!E:E&gt;=500)),2),"""")"),-0.49)</f>
        <v>-0.49</v>
      </c>
    </row>
    <row r="196">
      <c r="A196" s="1" t="s">
        <v>35</v>
      </c>
      <c r="B196" s="179" t="s">
        <v>13</v>
      </c>
      <c r="C196" s="10">
        <f>IFERROR(__xludf.DUMMYFUNCTION("average.weighted(filter(Data!J:J,Data!AC:AC=A196&amp;"",""&amp;B196),filter(Data!F:F,Data!AC:AC=A196&amp;"",""&amp;B196))"),-0.001619948353867739)</f>
        <v>-0.001619948354</v>
      </c>
      <c r="D196" s="10">
        <f>IFERROR(__xludf.DUMMYFUNCTION("average.weighted(filter(Data!K:K,Data!AC:AC=A196&amp;"",""&amp;B196),filter(Data!F:F,Data!AC:AC=A196&amp;"",""&amp;B196))"),-0.13977672987341813)</f>
        <v>-0.1397767299</v>
      </c>
      <c r="E196" s="10">
        <f t="shared" si="1"/>
        <v>-0.1413966782</v>
      </c>
      <c r="F196" s="178">
        <f>IFERROR(__xludf.DUMMYFUNCTION("iferror(round(correl(filter(Data!I:I,Data!C:C=B196,Data!D:D=A196,Data!E:E&gt;=500),filter(Data!N:N,Data!C:C=B196,Data!D:D=A196,Data!E:E&gt;=500)),2),"""")"),0.16)</f>
        <v>0.16</v>
      </c>
    </row>
    <row r="197" hidden="1">
      <c r="A197" s="1" t="s">
        <v>33</v>
      </c>
      <c r="B197" s="1" t="s">
        <v>68</v>
      </c>
      <c r="C197" s="10">
        <f>IFERROR(__xludf.DUMMYFUNCTION("average.weighted(filter(Data!J:J,Data!AC:AC=A197&amp;"",""&amp;B197),filter(Data!F:F,Data!AC:AC=A197&amp;"",""&amp;B197))"),0.17781547297407782)</f>
        <v>0.177815473</v>
      </c>
      <c r="D197" s="10">
        <f>IFERROR(__xludf.DUMMYFUNCTION("average.weighted(filter(Data!K:K,Data!AC:AC=A197&amp;"",""&amp;B197),filter(Data!F:F,Data!AC:AC=A197&amp;"",""&amp;B197))"),-0.07501965800807896)</f>
        <v>-0.07501965801</v>
      </c>
      <c r="E197" s="10">
        <f t="shared" si="1"/>
        <v>0.102795815</v>
      </c>
      <c r="F197" s="178">
        <f>IFERROR(__xludf.DUMMYFUNCTION("iferror(round(correl(filter(Data!I:I,Data!C:C=B197,Data!D:D=A197,Data!E:E&gt;=500),filter(Data!N:N,Data!C:C=B197,Data!D:D=A197,Data!E:E&gt;=500)),2),"""")"),0.61)</f>
        <v>0.61</v>
      </c>
    </row>
    <row r="198" hidden="1">
      <c r="A198" s="1" t="s">
        <v>49</v>
      </c>
      <c r="B198" s="1" t="s">
        <v>65</v>
      </c>
      <c r="C198" s="10">
        <f>IFERROR(__xludf.DUMMYFUNCTION("average.weighted(filter(Data!J:J,Data!AC:AC=A198&amp;"",""&amp;B198),filter(Data!F:F,Data!AC:AC=A198&amp;"",""&amp;B198))"),0.5141483619048507)</f>
        <v>0.5141483619</v>
      </c>
      <c r="D198" s="10">
        <f>IFERROR(__xludf.DUMMYFUNCTION("average.weighted(filter(Data!K:K,Data!AC:AC=A198&amp;"",""&amp;B198),filter(Data!F:F,Data!AC:AC=A198&amp;"",""&amp;B198))"),-0.4183974838984487)</f>
        <v>-0.4183974839</v>
      </c>
      <c r="E198" s="10">
        <f t="shared" si="1"/>
        <v>0.09575087801</v>
      </c>
      <c r="F198" s="178">
        <f>IFERROR(__xludf.DUMMYFUNCTION("iferror(round(correl(filter(Data!I:I,Data!C:C=B198,Data!D:D=A198,Data!E:E&gt;=500),filter(Data!N:N,Data!C:C=B198,Data!D:D=A198,Data!E:E&gt;=500)),2),"""")"),-0.25)</f>
        <v>-0.25</v>
      </c>
    </row>
    <row r="199" hidden="1">
      <c r="A199" s="1" t="s">
        <v>41</v>
      </c>
      <c r="B199" s="1" t="s">
        <v>64</v>
      </c>
      <c r="C199" s="10" t="str">
        <f>IFERROR(__xludf.DUMMYFUNCTION("average.weighted(filter(Data!J:J,Data!AC:AC=A199&amp;"",""&amp;B199),filter(Data!F:F,Data!AC:AC=A199&amp;"",""&amp;B199))"),"#N/A")</f>
        <v>#N/A</v>
      </c>
      <c r="D199" s="10" t="str">
        <f>IFERROR(__xludf.DUMMYFUNCTION("average.weighted(filter(Data!K:K,Data!AC:AC=A199&amp;"",""&amp;B199),filter(Data!F:F,Data!AC:AC=A199&amp;"",""&amp;B199))"),"#N/A")</f>
        <v>#N/A</v>
      </c>
      <c r="E199" s="10" t="str">
        <f t="shared" si="1"/>
        <v>#N/A</v>
      </c>
      <c r="F199" s="178" t="str">
        <f>IFERROR(__xludf.DUMMYFUNCTION("iferror(round(correl(filter(Data!I:I,Data!C:C=B199,Data!D:D=A199,Data!E:E&gt;=500),filter(Data!N:N,Data!C:C=B199,Data!D:D=A199,Data!E:E&gt;=500)),2),"""")"),"")</f>
        <v/>
      </c>
    </row>
    <row r="200" hidden="1">
      <c r="A200" s="1" t="s">
        <v>34</v>
      </c>
      <c r="B200" s="1" t="s">
        <v>66</v>
      </c>
      <c r="C200" s="10">
        <f>IFERROR(__xludf.DUMMYFUNCTION("average.weighted(filter(Data!J:J,Data!AC:AC=A200&amp;"",""&amp;B200),filter(Data!F:F,Data!AC:AC=A200&amp;"",""&amp;B200))"),-0.20369970672833412)</f>
        <v>-0.2036997067</v>
      </c>
      <c r="D200" s="10">
        <f>IFERROR(__xludf.DUMMYFUNCTION("average.weighted(filter(Data!K:K,Data!AC:AC=A200&amp;"",""&amp;B200),filter(Data!F:F,Data!AC:AC=A200&amp;"",""&amp;B200))"),0.2816099454423067)</f>
        <v>0.2816099454</v>
      </c>
      <c r="E200" s="10">
        <f t="shared" si="1"/>
        <v>0.07791023871</v>
      </c>
      <c r="F200" s="178">
        <f>IFERROR(__xludf.DUMMYFUNCTION("iferror(round(correl(filter(Data!I:I,Data!C:C=B200,Data!D:D=A200,Data!E:E&gt;=500),filter(Data!N:N,Data!C:C=B200,Data!D:D=A200,Data!E:E&gt;=500)),2),"""")"),0.56)</f>
        <v>0.56</v>
      </c>
    </row>
    <row r="201" hidden="1">
      <c r="A201" s="1" t="s">
        <v>47</v>
      </c>
      <c r="B201" s="1" t="s">
        <v>66</v>
      </c>
      <c r="C201" s="10">
        <f>IFERROR(__xludf.DUMMYFUNCTION("average.weighted(filter(Data!J:J,Data!AC:AC=A201&amp;"",""&amp;B201),filter(Data!F:F,Data!AC:AC=A201&amp;"",""&amp;B201))"),0.30820362767782417)</f>
        <v>0.3082036277</v>
      </c>
      <c r="D201" s="10">
        <f>IFERROR(__xludf.DUMMYFUNCTION("average.weighted(filter(Data!K:K,Data!AC:AC=A201&amp;"",""&amp;B201),filter(Data!F:F,Data!AC:AC=A201&amp;"",""&amp;B201))"),-0.2415006361580724)</f>
        <v>-0.2415006362</v>
      </c>
      <c r="E201" s="10">
        <f t="shared" si="1"/>
        <v>0.06670299152</v>
      </c>
      <c r="F201" s="178">
        <f>IFERROR(__xludf.DUMMYFUNCTION("iferror(round(correl(filter(Data!I:I,Data!C:C=B201,Data!D:D=A201,Data!E:E&gt;=500),filter(Data!N:N,Data!C:C=B201,Data!D:D=A201,Data!E:E&gt;=500)),2),"""")"),-0.02)</f>
        <v>-0.02</v>
      </c>
    </row>
    <row r="202" hidden="1">
      <c r="A202" s="1" t="s">
        <v>48</v>
      </c>
      <c r="B202" s="1" t="s">
        <v>65</v>
      </c>
      <c r="C202" s="10">
        <f>IFERROR(__xludf.DUMMYFUNCTION("average.weighted(filter(Data!J:J,Data!AC:AC=A202&amp;"",""&amp;B202),filter(Data!F:F,Data!AC:AC=A202&amp;"",""&amp;B202))"),-0.12472903163595868)</f>
        <v>-0.1247290316</v>
      </c>
      <c r="D202" s="10">
        <f>IFERROR(__xludf.DUMMYFUNCTION("average.weighted(filter(Data!K:K,Data!AC:AC=A202&amp;"",""&amp;B202),filter(Data!F:F,Data!AC:AC=A202&amp;"",""&amp;B202))"),0.18735968667998046)</f>
        <v>0.1873596867</v>
      </c>
      <c r="E202" s="10">
        <f t="shared" si="1"/>
        <v>0.06263065504</v>
      </c>
      <c r="F202" s="178">
        <f>IFERROR(__xludf.DUMMYFUNCTION("iferror(round(correl(filter(Data!I:I,Data!C:C=B202,Data!D:D=A202,Data!E:E&gt;=500),filter(Data!N:N,Data!C:C=B202,Data!D:D=A202,Data!E:E&gt;=500)),2),"""")"),0.21)</f>
        <v>0.21</v>
      </c>
    </row>
    <row r="203" hidden="1">
      <c r="A203" s="1" t="s">
        <v>40</v>
      </c>
      <c r="B203" s="1" t="s">
        <v>70</v>
      </c>
      <c r="C203" s="10">
        <f>IFERROR(__xludf.DUMMYFUNCTION("average.weighted(filter(Data!J:J,Data!AC:AC=A203&amp;"",""&amp;B203),filter(Data!F:F,Data!AC:AC=A203&amp;"",""&amp;B203))"),-0.06713054768406934)</f>
        <v>-0.06713054768</v>
      </c>
      <c r="D203" s="10">
        <f>IFERROR(__xludf.DUMMYFUNCTION("average.weighted(filter(Data!K:K,Data!AC:AC=A203&amp;"",""&amp;B203),filter(Data!F:F,Data!AC:AC=A203&amp;"",""&amp;B203))"),0.12430648159351268)</f>
        <v>0.1243064816</v>
      </c>
      <c r="E203" s="10">
        <f t="shared" si="1"/>
        <v>0.05717593391</v>
      </c>
      <c r="F203" s="178">
        <f>IFERROR(__xludf.DUMMYFUNCTION("iferror(round(correl(filter(Data!I:I,Data!C:C=B203,Data!D:D=A203,Data!E:E&gt;=500),filter(Data!N:N,Data!C:C=B203,Data!D:D=A203,Data!E:E&gt;=500)),2),"""")"),-0.1)</f>
        <v>-0.1</v>
      </c>
    </row>
    <row r="204">
      <c r="A204" s="1" t="s">
        <v>40</v>
      </c>
      <c r="B204" s="179" t="s">
        <v>13</v>
      </c>
      <c r="C204" s="10">
        <f>IFERROR(__xludf.DUMMYFUNCTION("average.weighted(filter(Data!J:J,Data!AC:AC=A204&amp;"",""&amp;B204),filter(Data!F:F,Data!AC:AC=A204&amp;"",""&amp;B204))"),-0.4854057252130699)</f>
        <v>-0.4854057252</v>
      </c>
      <c r="D204" s="10">
        <f>IFERROR(__xludf.DUMMYFUNCTION("average.weighted(filter(Data!K:K,Data!AC:AC=A204&amp;"",""&amp;B204),filter(Data!F:F,Data!AC:AC=A204&amp;"",""&amp;B204))"),0.3051303617888877)</f>
        <v>0.3051303618</v>
      </c>
      <c r="E204" s="10">
        <f t="shared" si="1"/>
        <v>-0.1802753634</v>
      </c>
      <c r="F204" s="178">
        <f>IFERROR(__xludf.DUMMYFUNCTION("iferror(round(correl(filter(Data!I:I,Data!C:C=B204,Data!D:D=A204,Data!E:E&gt;=500),filter(Data!N:N,Data!C:C=B204,Data!D:D=A204,Data!E:E&gt;=500)),2),"""")"),0.27)</f>
        <v>0.27</v>
      </c>
    </row>
    <row r="205" hidden="1">
      <c r="A205" s="1" t="s">
        <v>35</v>
      </c>
      <c r="B205" s="1" t="s">
        <v>63</v>
      </c>
      <c r="C205" s="10" t="str">
        <f>IFERROR(__xludf.DUMMYFUNCTION("average.weighted(filter(Data!J:J,Data!AC:AC=A205&amp;"",""&amp;B205),filter(Data!F:F,Data!AC:AC=A205&amp;"",""&amp;B205))"),"#N/A")</f>
        <v>#N/A</v>
      </c>
      <c r="D205" s="10" t="str">
        <f>IFERROR(__xludf.DUMMYFUNCTION("average.weighted(filter(Data!K:K,Data!AC:AC=A205&amp;"",""&amp;B205),filter(Data!F:F,Data!AC:AC=A205&amp;"",""&amp;B205))"),"#N/A")</f>
        <v>#N/A</v>
      </c>
      <c r="E205" s="10" t="str">
        <f t="shared" si="1"/>
        <v>#N/A</v>
      </c>
      <c r="F205" s="178" t="str">
        <f>IFERROR(__xludf.DUMMYFUNCTION("iferror(round(correl(filter(Data!I:I,Data!C:C=B205,Data!D:D=A205,Data!E:E&gt;=500),filter(Data!N:N,Data!C:C=B205,Data!D:D=A205,Data!E:E&gt;=500)),2),"""")"),"")</f>
        <v/>
      </c>
    </row>
    <row r="206" hidden="1">
      <c r="A206" s="1" t="s">
        <v>1</v>
      </c>
      <c r="B206" s="1" t="s">
        <v>71</v>
      </c>
      <c r="C206" s="10">
        <f>IFERROR(__xludf.DUMMYFUNCTION("average.weighted(filter(Data!J:J,Data!AC:AC=A206&amp;"",""&amp;B206),filter(Data!F:F,Data!AC:AC=A206&amp;"",""&amp;B206))"),0.04717604293892193)</f>
        <v>0.04717604294</v>
      </c>
      <c r="D206" s="10">
        <f>IFERROR(__xludf.DUMMYFUNCTION("average.weighted(filter(Data!K:K,Data!AC:AC=A206&amp;"",""&amp;B206),filter(Data!F:F,Data!AC:AC=A206&amp;"",""&amp;B206))"),-0.006662437698149358)</f>
        <v>-0.006662437698</v>
      </c>
      <c r="E206" s="10">
        <f t="shared" si="1"/>
        <v>0.04051360524</v>
      </c>
      <c r="F206" s="178">
        <f>IFERROR(__xludf.DUMMYFUNCTION("iferror(round(correl(filter(Data!I:I,Data!C:C=B206,Data!D:D=A206,Data!E:E&gt;=500),filter(Data!N:N,Data!C:C=B206,Data!D:D=A206,Data!E:E&gt;=500)),2),"""")"),0.07)</f>
        <v>0.07</v>
      </c>
    </row>
    <row r="207" hidden="1">
      <c r="A207" s="1" t="s">
        <v>47</v>
      </c>
      <c r="B207" s="1" t="s">
        <v>69</v>
      </c>
      <c r="C207" s="10">
        <f>IFERROR(__xludf.DUMMYFUNCTION("average.weighted(filter(Data!J:J,Data!AC:AC=A207&amp;"",""&amp;B207),filter(Data!F:F,Data!AC:AC=A207&amp;"",""&amp;B207))"),-0.020394030474686214)</f>
        <v>-0.02039403047</v>
      </c>
      <c r="D207" s="10">
        <f>IFERROR(__xludf.DUMMYFUNCTION("average.weighted(filter(Data!K:K,Data!AC:AC=A207&amp;"",""&amp;B207),filter(Data!F:F,Data!AC:AC=A207&amp;"",""&amp;B207))"),0.04682604639555771)</f>
        <v>0.0468260464</v>
      </c>
      <c r="E207" s="10">
        <f t="shared" si="1"/>
        <v>0.02643201592</v>
      </c>
      <c r="F207" s="178">
        <f>IFERROR(__xludf.DUMMYFUNCTION("iferror(round(correl(filter(Data!I:I,Data!C:C=B207,Data!D:D=A207,Data!E:E&gt;=500),filter(Data!N:N,Data!C:C=B207,Data!D:D=A207,Data!E:E&gt;=500)),2),"""")"),-0.13)</f>
        <v>-0.13</v>
      </c>
    </row>
    <row r="208" hidden="1">
      <c r="A208" s="1" t="s">
        <v>15</v>
      </c>
      <c r="B208" s="1" t="s">
        <v>63</v>
      </c>
      <c r="C208" s="10" t="str">
        <f>IFERROR(__xludf.DUMMYFUNCTION("average.weighted(filter(Data!J:J,Data!AC:AC=A208&amp;"",""&amp;B208),filter(Data!F:F,Data!AC:AC=A208&amp;"",""&amp;B208))"),"#N/A")</f>
        <v>#N/A</v>
      </c>
      <c r="D208" s="10" t="str">
        <f>IFERROR(__xludf.DUMMYFUNCTION("average.weighted(filter(Data!K:K,Data!AC:AC=A208&amp;"",""&amp;B208),filter(Data!F:F,Data!AC:AC=A208&amp;"",""&amp;B208))"),"#N/A")</f>
        <v>#N/A</v>
      </c>
      <c r="E208" s="10" t="str">
        <f t="shared" si="1"/>
        <v>#N/A</v>
      </c>
      <c r="F208" s="178" t="str">
        <f>IFERROR(__xludf.DUMMYFUNCTION("iferror(round(correl(filter(Data!I:I,Data!C:C=B208,Data!D:D=A208,Data!E:E&gt;=500),filter(Data!N:N,Data!C:C=B208,Data!D:D=A208,Data!E:E&gt;=500)),2),"""")"),"")</f>
        <v/>
      </c>
    </row>
    <row r="209" hidden="1">
      <c r="A209" s="1" t="s">
        <v>39</v>
      </c>
      <c r="B209" s="1" t="s">
        <v>69</v>
      </c>
      <c r="C209" s="10">
        <f>IFERROR(__xludf.DUMMYFUNCTION("average.weighted(filter(Data!J:J,Data!AC:AC=A209&amp;"",""&amp;B209),filter(Data!F:F,Data!AC:AC=A209&amp;"",""&amp;B209))"),0.04672688672953544)</f>
        <v>0.04672688673</v>
      </c>
      <c r="D209" s="10">
        <f>IFERROR(__xludf.DUMMYFUNCTION("average.weighted(filter(Data!K:K,Data!AC:AC=A209&amp;"",""&amp;B209),filter(Data!F:F,Data!AC:AC=A209&amp;"",""&amp;B209))"),-0.020479185001984125)</f>
        <v>-0.020479185</v>
      </c>
      <c r="E209" s="10">
        <f t="shared" si="1"/>
        <v>0.02624770173</v>
      </c>
      <c r="F209" s="178">
        <f>IFERROR(__xludf.DUMMYFUNCTION("iferror(round(correl(filter(Data!I:I,Data!C:C=B209,Data!D:D=A209,Data!E:E&gt;=500),filter(Data!N:N,Data!C:C=B209,Data!D:D=A209,Data!E:E&gt;=500)),2),"""")"),0.17)</f>
        <v>0.17</v>
      </c>
    </row>
    <row r="210">
      <c r="A210" s="1" t="s">
        <v>42</v>
      </c>
      <c r="B210" s="179" t="s">
        <v>13</v>
      </c>
      <c r="C210" s="10">
        <f>IFERROR(__xludf.DUMMYFUNCTION("average.weighted(filter(Data!J:J,Data!AC:AC=A210&amp;"",""&amp;B210),filter(Data!F:F,Data!AC:AC=A210&amp;"",""&amp;B210))"),-0.21695871914213252)</f>
        <v>-0.2169587191</v>
      </c>
      <c r="D210" s="10">
        <f>IFERROR(__xludf.DUMMYFUNCTION("average.weighted(filter(Data!K:K,Data!AC:AC=A210&amp;"",""&amp;B210),filter(Data!F:F,Data!AC:AC=A210&amp;"",""&amp;B210))"),0.19135491548369263)</f>
        <v>0.1913549155</v>
      </c>
      <c r="E210" s="10">
        <f t="shared" si="1"/>
        <v>-0.02560380366</v>
      </c>
      <c r="F210" s="178">
        <f>IFERROR(__xludf.DUMMYFUNCTION("iferror(round(correl(filter(Data!I:I,Data!C:C=B210,Data!D:D=A210,Data!E:E&gt;=500),filter(Data!N:N,Data!C:C=B210,Data!D:D=A210,Data!E:E&gt;=500)),2),"""")"),-0.13)</f>
        <v>-0.13</v>
      </c>
    </row>
    <row r="211" hidden="1">
      <c r="A211" s="1" t="s">
        <v>33</v>
      </c>
      <c r="B211" s="1" t="s">
        <v>70</v>
      </c>
      <c r="C211" s="10">
        <f>IFERROR(__xludf.DUMMYFUNCTION("average.weighted(filter(Data!J:J,Data!AC:AC=A211&amp;"",""&amp;B211),filter(Data!F:F,Data!AC:AC=A211&amp;"",""&amp;B211))"),0.2975527354482997)</f>
        <v>0.2975527354</v>
      </c>
      <c r="D211" s="10">
        <f>IFERROR(__xludf.DUMMYFUNCTION("average.weighted(filter(Data!K:K,Data!AC:AC=A211&amp;"",""&amp;B211),filter(Data!F:F,Data!AC:AC=A211&amp;"",""&amp;B211))"),-0.2968733889756306)</f>
        <v>-0.296873389</v>
      </c>
      <c r="E211" s="10">
        <f t="shared" si="1"/>
        <v>0.0006793464727</v>
      </c>
      <c r="F211" s="178">
        <f>IFERROR(__xludf.DUMMYFUNCTION("iferror(round(correl(filter(Data!I:I,Data!C:C=B211,Data!D:D=A211,Data!E:E&gt;=500),filter(Data!N:N,Data!C:C=B211,Data!D:D=A211,Data!E:E&gt;=500)),2),"""")"),-0.07)</f>
        <v>-0.07</v>
      </c>
    </row>
    <row r="212" hidden="1">
      <c r="A212" s="1" t="s">
        <v>26</v>
      </c>
      <c r="B212" s="1" t="s">
        <v>69</v>
      </c>
      <c r="C212" s="10">
        <f>IFERROR(__xludf.DUMMYFUNCTION("average.weighted(filter(Data!J:J,Data!AC:AC=A212&amp;"",""&amp;B212),filter(Data!F:F,Data!AC:AC=A212&amp;"",""&amp;B212))"),-0.21287072902573967)</f>
        <v>-0.212870729</v>
      </c>
      <c r="D212" s="10">
        <f>IFERROR(__xludf.DUMMYFUNCTION("average.weighted(filter(Data!K:K,Data!AC:AC=A212&amp;"",""&amp;B212),filter(Data!F:F,Data!AC:AC=A212&amp;"",""&amp;B212))"),0.21328530348334385)</f>
        <v>0.2132853035</v>
      </c>
      <c r="E212" s="10">
        <f t="shared" si="1"/>
        <v>0.0004145744576</v>
      </c>
      <c r="F212" s="178">
        <f>IFERROR(__xludf.DUMMYFUNCTION("iferror(round(correl(filter(Data!I:I,Data!C:C=B212,Data!D:D=A212,Data!E:E&gt;=500),filter(Data!N:N,Data!C:C=B212,Data!D:D=A212,Data!E:E&gt;=500)),2),"""")"),0.56)</f>
        <v>0.56</v>
      </c>
    </row>
    <row r="213">
      <c r="A213" s="1" t="s">
        <v>27</v>
      </c>
      <c r="B213" s="179" t="s">
        <v>13</v>
      </c>
      <c r="C213" s="10">
        <f>IFERROR(__xludf.DUMMYFUNCTION("average.weighted(filter(Data!J:J,Data!AC:AC=A213&amp;"",""&amp;B213),filter(Data!F:F,Data!AC:AC=A213&amp;"",""&amp;B213))"),0.24161203720327082)</f>
        <v>0.2416120372</v>
      </c>
      <c r="D213" s="10">
        <f>IFERROR(__xludf.DUMMYFUNCTION("average.weighted(filter(Data!K:K,Data!AC:AC=A213&amp;"",""&amp;B213),filter(Data!F:F,Data!AC:AC=A213&amp;"",""&amp;B213))"),0.004197317579689503)</f>
        <v>0.00419731758</v>
      </c>
      <c r="E213" s="10">
        <f t="shared" si="1"/>
        <v>0.2458093548</v>
      </c>
      <c r="F213" s="178">
        <f>IFERROR(__xludf.DUMMYFUNCTION("iferror(round(correl(filter(Data!I:I,Data!C:C=B213,Data!D:D=A213,Data!E:E&gt;=500),filter(Data!N:N,Data!C:C=B213,Data!D:D=A213,Data!E:E&gt;=500)),2),"""")"),0.43)</f>
        <v>0.43</v>
      </c>
    </row>
    <row r="214" hidden="1">
      <c r="A214" s="1" t="s">
        <v>25</v>
      </c>
      <c r="B214" s="1" t="s">
        <v>63</v>
      </c>
      <c r="C214" s="10" t="str">
        <f>IFERROR(__xludf.DUMMYFUNCTION("average.weighted(filter(Data!J:J,Data!AC:AC=A214&amp;"",""&amp;B214),filter(Data!F:F,Data!AC:AC=A214&amp;"",""&amp;B214))"),"#N/A")</f>
        <v>#N/A</v>
      </c>
      <c r="D214" s="10" t="str">
        <f>IFERROR(__xludf.DUMMYFUNCTION("average.weighted(filter(Data!K:K,Data!AC:AC=A214&amp;"",""&amp;B214),filter(Data!F:F,Data!AC:AC=A214&amp;"",""&amp;B214))"),"#N/A")</f>
        <v>#N/A</v>
      </c>
      <c r="E214" s="10" t="str">
        <f t="shared" si="1"/>
        <v>#N/A</v>
      </c>
      <c r="F214" s="178" t="str">
        <f>IFERROR(__xludf.DUMMYFUNCTION("iferror(round(correl(filter(Data!I:I,Data!C:C=B214,Data!D:D=A214,Data!E:E&gt;=500),filter(Data!N:N,Data!C:C=B214,Data!D:D=A214,Data!E:E&gt;=500)),2),"""")"),"")</f>
        <v/>
      </c>
    </row>
    <row r="215" hidden="1">
      <c r="A215" s="1" t="s">
        <v>28</v>
      </c>
      <c r="B215" s="1" t="s">
        <v>64</v>
      </c>
      <c r="C215" s="10" t="str">
        <f>IFERROR(__xludf.DUMMYFUNCTION("average.weighted(filter(Data!J:J,Data!AC:AC=A215&amp;"",""&amp;B215),filter(Data!F:F,Data!AC:AC=A215&amp;"",""&amp;B215))"),"#N/A")</f>
        <v>#N/A</v>
      </c>
      <c r="D215" s="10" t="str">
        <f>IFERROR(__xludf.DUMMYFUNCTION("average.weighted(filter(Data!K:K,Data!AC:AC=A215&amp;"",""&amp;B215),filter(Data!F:F,Data!AC:AC=A215&amp;"",""&amp;B215))"),"#N/A")</f>
        <v>#N/A</v>
      </c>
      <c r="E215" s="10" t="str">
        <f t="shared" si="1"/>
        <v>#N/A</v>
      </c>
      <c r="F215" s="178" t="str">
        <f>IFERROR(__xludf.DUMMYFUNCTION("iferror(round(correl(filter(Data!I:I,Data!C:C=B215,Data!D:D=A215,Data!E:E&gt;=500),filter(Data!N:N,Data!C:C=B215,Data!D:D=A215,Data!E:E&gt;=500)),2),"""")"),"")</f>
        <v/>
      </c>
    </row>
    <row r="216" hidden="1">
      <c r="A216" s="1" t="s">
        <v>35</v>
      </c>
      <c r="B216" s="1" t="s">
        <v>69</v>
      </c>
      <c r="C216" s="10">
        <f>IFERROR(__xludf.DUMMYFUNCTION("average.weighted(filter(Data!J:J,Data!AC:AC=A216&amp;"",""&amp;B216),filter(Data!F:F,Data!AC:AC=A216&amp;"",""&amp;B216))"),0.31407664508470184)</f>
        <v>0.3140766451</v>
      </c>
      <c r="D216" s="10">
        <f>IFERROR(__xludf.DUMMYFUNCTION("average.weighted(filter(Data!K:K,Data!AC:AC=A216&amp;"",""&amp;B216),filter(Data!F:F,Data!AC:AC=A216&amp;"",""&amp;B216))"),-0.3186320219103883)</f>
        <v>-0.3186320219</v>
      </c>
      <c r="E216" s="10">
        <f t="shared" si="1"/>
        <v>-0.004555376826</v>
      </c>
      <c r="F216" s="178">
        <f>IFERROR(__xludf.DUMMYFUNCTION("iferror(round(correl(filter(Data!I:I,Data!C:C=B216,Data!D:D=A216,Data!E:E&gt;=500),filter(Data!N:N,Data!C:C=B216,Data!D:D=A216,Data!E:E&gt;=500)),2),"""")"),-0.21)</f>
        <v>-0.21</v>
      </c>
    </row>
    <row r="217" hidden="1">
      <c r="A217" s="1" t="s">
        <v>17</v>
      </c>
      <c r="B217" s="1" t="s">
        <v>69</v>
      </c>
      <c r="C217" s="10">
        <f>IFERROR(__xludf.DUMMYFUNCTION("average.weighted(filter(Data!J:J,Data!AC:AC=A217&amp;"",""&amp;B217),filter(Data!F:F,Data!AC:AC=A217&amp;"",""&amp;B217))"),0.23611731954471668)</f>
        <v>0.2361173195</v>
      </c>
      <c r="D217" s="10">
        <f>IFERROR(__xludf.DUMMYFUNCTION("average.weighted(filter(Data!K:K,Data!AC:AC=A217&amp;"",""&amp;B217),filter(Data!F:F,Data!AC:AC=A217&amp;"",""&amp;B217))"),-0.2475168199367255)</f>
        <v>-0.2475168199</v>
      </c>
      <c r="E217" s="10">
        <f t="shared" si="1"/>
        <v>-0.01139950039</v>
      </c>
      <c r="F217" s="178">
        <f>IFERROR(__xludf.DUMMYFUNCTION("iferror(round(correl(filter(Data!I:I,Data!C:C=B217,Data!D:D=A217,Data!E:E&gt;=500),filter(Data!N:N,Data!C:C=B217,Data!D:D=A217,Data!E:E&gt;=500)),2),"""")"),0.01)</f>
        <v>0.01</v>
      </c>
    </row>
    <row r="218" hidden="1">
      <c r="A218" s="1" t="s">
        <v>18</v>
      </c>
      <c r="B218" s="1" t="s">
        <v>71</v>
      </c>
      <c r="C218" s="10">
        <f>IFERROR(__xludf.DUMMYFUNCTION("average.weighted(filter(Data!J:J,Data!AC:AC=A218&amp;"",""&amp;B218),filter(Data!F:F,Data!AC:AC=A218&amp;"",""&amp;B218))"),0.1609341555654915)</f>
        <v>0.1609341556</v>
      </c>
      <c r="D218" s="10">
        <f>IFERROR(__xludf.DUMMYFUNCTION("average.weighted(filter(Data!K:K,Data!AC:AC=A218&amp;"",""&amp;B218),filter(Data!F:F,Data!AC:AC=A218&amp;"",""&amp;B218))"),-0.17393329413484196)</f>
        <v>-0.1739332941</v>
      </c>
      <c r="E218" s="10">
        <f t="shared" si="1"/>
        <v>-0.01299913857</v>
      </c>
      <c r="F218" s="178">
        <f>IFERROR(__xludf.DUMMYFUNCTION("iferror(round(correl(filter(Data!I:I,Data!C:C=B218,Data!D:D=A218,Data!E:E&gt;=500),filter(Data!N:N,Data!C:C=B218,Data!D:D=A218,Data!E:E&gt;=500)),2),"""")"),0.09)</f>
        <v>0.09</v>
      </c>
    </row>
    <row r="219" hidden="1">
      <c r="A219" s="1" t="s">
        <v>39</v>
      </c>
      <c r="B219" s="1" t="s">
        <v>67</v>
      </c>
      <c r="C219" s="10">
        <f>IFERROR(__xludf.DUMMYFUNCTION("average.weighted(filter(Data!J:J,Data!AC:AC=A219&amp;"",""&amp;B219),filter(Data!F:F,Data!AC:AC=A219&amp;"",""&amp;B219))"),0.23571640843571184)</f>
        <v>0.2357164084</v>
      </c>
      <c r="D219" s="10">
        <f>IFERROR(__xludf.DUMMYFUNCTION("average.weighted(filter(Data!K:K,Data!AC:AC=A219&amp;"",""&amp;B219),filter(Data!F:F,Data!AC:AC=A219&amp;"",""&amp;B219))"),-0.25233820538352364)</f>
        <v>-0.2523382054</v>
      </c>
      <c r="E219" s="10">
        <f t="shared" si="1"/>
        <v>-0.01662179695</v>
      </c>
      <c r="F219" s="178">
        <f>IFERROR(__xludf.DUMMYFUNCTION("iferror(round(correl(filter(Data!I:I,Data!C:C=B219,Data!D:D=A219,Data!E:E&gt;=500),filter(Data!N:N,Data!C:C=B219,Data!D:D=A219,Data!E:E&gt;=500)),2),"""")"),0.55)</f>
        <v>0.55</v>
      </c>
    </row>
    <row r="220" hidden="1">
      <c r="A220" s="1" t="s">
        <v>32</v>
      </c>
      <c r="B220" s="1" t="s">
        <v>70</v>
      </c>
      <c r="C220" s="10">
        <f>IFERROR(__xludf.DUMMYFUNCTION("average.weighted(filter(Data!J:J,Data!AC:AC=A220&amp;"",""&amp;B220),filter(Data!F:F,Data!AC:AC=A220&amp;"",""&amp;B220))"),0.004464686012357894)</f>
        <v>0.004464686012</v>
      </c>
      <c r="D220" s="10">
        <f>IFERROR(__xludf.DUMMYFUNCTION("average.weighted(filter(Data!K:K,Data!AC:AC=A220&amp;"",""&amp;B220),filter(Data!F:F,Data!AC:AC=A220&amp;"",""&amp;B220))"),-0.0914410392079417)</f>
        <v>-0.09144103921</v>
      </c>
      <c r="E220" s="10">
        <f t="shared" si="1"/>
        <v>-0.0869763532</v>
      </c>
      <c r="F220" s="178">
        <f>IFERROR(__xludf.DUMMYFUNCTION("iferror(round(correl(filter(Data!I:I,Data!C:C=B220,Data!D:D=A220,Data!E:E&gt;=500),filter(Data!N:N,Data!C:C=B220,Data!D:D=A220,Data!E:E&gt;=500)),2),"""")"),-0.03)</f>
        <v>-0.03</v>
      </c>
    </row>
    <row r="221" hidden="1">
      <c r="A221" s="1" t="s">
        <v>36</v>
      </c>
      <c r="B221" s="1" t="s">
        <v>63</v>
      </c>
      <c r="C221" s="10" t="str">
        <f>IFERROR(__xludf.DUMMYFUNCTION("average.weighted(filter(Data!J:J,Data!AC:AC=A221&amp;"",""&amp;B221),filter(Data!F:F,Data!AC:AC=A221&amp;"",""&amp;B221))"),"#N/A")</f>
        <v>#N/A</v>
      </c>
      <c r="D221" s="10" t="str">
        <f>IFERROR(__xludf.DUMMYFUNCTION("average.weighted(filter(Data!K:K,Data!AC:AC=A221&amp;"",""&amp;B221),filter(Data!F:F,Data!AC:AC=A221&amp;"",""&amp;B221))"),"#N/A")</f>
        <v>#N/A</v>
      </c>
      <c r="E221" s="10" t="str">
        <f t="shared" si="1"/>
        <v>#N/A</v>
      </c>
      <c r="F221" s="178" t="str">
        <f>IFERROR(__xludf.DUMMYFUNCTION("iferror(round(correl(filter(Data!I:I,Data!C:C=B221,Data!D:D=A221,Data!E:E&gt;=500),filter(Data!N:N,Data!C:C=B221,Data!D:D=A221,Data!E:E&gt;=500)),2),"""")"),"")</f>
        <v/>
      </c>
    </row>
    <row r="222" hidden="1">
      <c r="A222" s="1" t="s">
        <v>43</v>
      </c>
      <c r="B222" s="1" t="s">
        <v>65</v>
      </c>
      <c r="C222" s="10">
        <f>IFERROR(__xludf.DUMMYFUNCTION("average.weighted(filter(Data!J:J,Data!AC:AC=A222&amp;"",""&amp;B222),filter(Data!F:F,Data!AC:AC=A222&amp;"",""&amp;B222))"),-0.3596756177960606)</f>
        <v>-0.3596756178</v>
      </c>
      <c r="D222" s="10">
        <f>IFERROR(__xludf.DUMMYFUNCTION("average.weighted(filter(Data!K:K,Data!AC:AC=A222&amp;"",""&amp;B222),filter(Data!F:F,Data!AC:AC=A222&amp;"",""&amp;B222))"),0.25563404709315757)</f>
        <v>0.2556340471</v>
      </c>
      <c r="E222" s="10">
        <f t="shared" si="1"/>
        <v>-0.1040415707</v>
      </c>
      <c r="F222" s="178">
        <f>IFERROR(__xludf.DUMMYFUNCTION("iferror(round(correl(filter(Data!I:I,Data!C:C=B222,Data!D:D=A222,Data!E:E&gt;=500),filter(Data!N:N,Data!C:C=B222,Data!D:D=A222,Data!E:E&gt;=500)),2),"""")"),-0.08)</f>
        <v>-0.08</v>
      </c>
    </row>
    <row r="223" hidden="1">
      <c r="A223" s="1" t="s">
        <v>21</v>
      </c>
      <c r="B223" s="1" t="s">
        <v>65</v>
      </c>
      <c r="C223" s="10">
        <f>IFERROR(__xludf.DUMMYFUNCTION("average.weighted(filter(Data!J:J,Data!AC:AC=A223&amp;"",""&amp;B223),filter(Data!F:F,Data!AC:AC=A223&amp;"",""&amp;B223))"),-0.36966174113213124)</f>
        <v>-0.3696617411</v>
      </c>
      <c r="D223" s="10">
        <f>IFERROR(__xludf.DUMMYFUNCTION("average.weighted(filter(Data!K:K,Data!AC:AC=A223&amp;"",""&amp;B223),filter(Data!F:F,Data!AC:AC=A223&amp;"",""&amp;B223))"),0.2597077046381876)</f>
        <v>0.2597077046</v>
      </c>
      <c r="E223" s="10">
        <f t="shared" si="1"/>
        <v>-0.1099540365</v>
      </c>
      <c r="F223" s="178">
        <f>IFERROR(__xludf.DUMMYFUNCTION("iferror(round(correl(filter(Data!I:I,Data!C:C=B223,Data!D:D=A223,Data!E:E&gt;=500),filter(Data!N:N,Data!C:C=B223,Data!D:D=A223,Data!E:E&gt;=500)),2),"""")"),-0.41)</f>
        <v>-0.41</v>
      </c>
    </row>
    <row r="224" hidden="1">
      <c r="A224" s="1" t="s">
        <v>29</v>
      </c>
      <c r="B224" s="1" t="s">
        <v>65</v>
      </c>
      <c r="C224" s="10">
        <f>IFERROR(__xludf.DUMMYFUNCTION("average.weighted(filter(Data!J:J,Data!AC:AC=A224&amp;"",""&amp;B224),filter(Data!F:F,Data!AC:AC=A224&amp;"",""&amp;B224))"),0.619960759593803)</f>
        <v>0.6199607596</v>
      </c>
      <c r="D224" s="10">
        <f>IFERROR(__xludf.DUMMYFUNCTION("average.weighted(filter(Data!K:K,Data!AC:AC=A224&amp;"",""&amp;B224),filter(Data!F:F,Data!AC:AC=A224&amp;"",""&amp;B224))"),-0.7309560980110238)</f>
        <v>-0.730956098</v>
      </c>
      <c r="E224" s="10">
        <f t="shared" si="1"/>
        <v>-0.1109953384</v>
      </c>
      <c r="F224" s="178">
        <f>IFERROR(__xludf.DUMMYFUNCTION("iferror(round(correl(filter(Data!I:I,Data!C:C=B224,Data!D:D=A224,Data!E:E&gt;=500),filter(Data!N:N,Data!C:C=B224,Data!D:D=A224,Data!E:E&gt;=500)),2),"""")"),-0.2)</f>
        <v>-0.2</v>
      </c>
    </row>
    <row r="225" hidden="1">
      <c r="A225" s="1" t="s">
        <v>29</v>
      </c>
      <c r="B225" s="1" t="s">
        <v>64</v>
      </c>
      <c r="C225" s="10" t="str">
        <f>IFERROR(__xludf.DUMMYFUNCTION("average.weighted(filter(Data!J:J,Data!AC:AC=A225&amp;"",""&amp;B225),filter(Data!F:F,Data!AC:AC=A225&amp;"",""&amp;B225))"),"#N/A")</f>
        <v>#N/A</v>
      </c>
      <c r="D225" s="10" t="str">
        <f>IFERROR(__xludf.DUMMYFUNCTION("average.weighted(filter(Data!K:K,Data!AC:AC=A225&amp;"",""&amp;B225),filter(Data!F:F,Data!AC:AC=A225&amp;"",""&amp;B225))"),"#N/A")</f>
        <v>#N/A</v>
      </c>
      <c r="E225" s="10" t="str">
        <f t="shared" si="1"/>
        <v>#N/A</v>
      </c>
      <c r="F225" s="178" t="str">
        <f>IFERROR(__xludf.DUMMYFUNCTION("iferror(round(correl(filter(Data!I:I,Data!C:C=B225,Data!D:D=A225,Data!E:E&gt;=500),filter(Data!N:N,Data!C:C=B225,Data!D:D=A225,Data!E:E&gt;=500)),2),"""")"),"")</f>
        <v/>
      </c>
    </row>
    <row r="226" hidden="1">
      <c r="A226" s="1" t="s">
        <v>37</v>
      </c>
      <c r="B226" s="1" t="s">
        <v>64</v>
      </c>
      <c r="C226" s="10" t="str">
        <f>IFERROR(__xludf.DUMMYFUNCTION("average.weighted(filter(Data!J:J,Data!AC:AC=A226&amp;"",""&amp;B226),filter(Data!F:F,Data!AC:AC=A226&amp;"",""&amp;B226))"),"#N/A")</f>
        <v>#N/A</v>
      </c>
      <c r="D226" s="10" t="str">
        <f>IFERROR(__xludf.DUMMYFUNCTION("average.weighted(filter(Data!K:K,Data!AC:AC=A226&amp;"",""&amp;B226),filter(Data!F:F,Data!AC:AC=A226&amp;"",""&amp;B226))"),"#N/A")</f>
        <v>#N/A</v>
      </c>
      <c r="E226" s="10" t="str">
        <f t="shared" si="1"/>
        <v>#N/A</v>
      </c>
      <c r="F226" s="178" t="str">
        <f>IFERROR(__xludf.DUMMYFUNCTION("iferror(round(correl(filter(Data!I:I,Data!C:C=B226,Data!D:D=A226,Data!E:E&gt;=500),filter(Data!N:N,Data!C:C=B226,Data!D:D=A226,Data!E:E&gt;=500)),2),"""")"),"")</f>
        <v/>
      </c>
    </row>
    <row r="227" hidden="1">
      <c r="A227" s="1" t="s">
        <v>47</v>
      </c>
      <c r="B227" s="1" t="s">
        <v>65</v>
      </c>
      <c r="C227" s="10">
        <f>IFERROR(__xludf.DUMMYFUNCTION("average.weighted(filter(Data!J:J,Data!AC:AC=A227&amp;"",""&amp;B227),filter(Data!F:F,Data!AC:AC=A227&amp;"",""&amp;B227))"),0.0802747106900436)</f>
        <v>0.08027471069</v>
      </c>
      <c r="D227" s="10">
        <f>IFERROR(__xludf.DUMMYFUNCTION("average.weighted(filter(Data!K:K,Data!AC:AC=A227&amp;"",""&amp;B227),filter(Data!F:F,Data!AC:AC=A227&amp;"",""&amp;B227))"),-0.19550055610451342)</f>
        <v>-0.1955005561</v>
      </c>
      <c r="E227" s="10">
        <f t="shared" si="1"/>
        <v>-0.1152258454</v>
      </c>
      <c r="F227" s="178">
        <f>IFERROR(__xludf.DUMMYFUNCTION("iferror(round(correl(filter(Data!I:I,Data!C:C=B227,Data!D:D=A227,Data!E:E&gt;=500),filter(Data!N:N,Data!C:C=B227,Data!D:D=A227,Data!E:E&gt;=500)),2),"""")"),0.1)</f>
        <v>0.1</v>
      </c>
    </row>
    <row r="228" hidden="1">
      <c r="A228" s="1" t="s">
        <v>17</v>
      </c>
      <c r="B228" s="1" t="s">
        <v>70</v>
      </c>
      <c r="C228" s="10">
        <f>IFERROR(__xludf.DUMMYFUNCTION("average.weighted(filter(Data!J:J,Data!AC:AC=A228&amp;"",""&amp;B228),filter(Data!F:F,Data!AC:AC=A228&amp;"",""&amp;B228))"),0.2563278369962545)</f>
        <v>0.256327837</v>
      </c>
      <c r="D228" s="10">
        <f>IFERROR(__xludf.DUMMYFUNCTION("average.weighted(filter(Data!K:K,Data!AC:AC=A228&amp;"",""&amp;B228),filter(Data!F:F,Data!AC:AC=A228&amp;"",""&amp;B228))"),-0.3881101678438267)</f>
        <v>-0.3881101678</v>
      </c>
      <c r="E228" s="10">
        <f t="shared" si="1"/>
        <v>-0.1317823308</v>
      </c>
      <c r="F228" s="178">
        <f>IFERROR(__xludf.DUMMYFUNCTION("iferror(round(correl(filter(Data!I:I,Data!C:C=B228,Data!D:D=A228,Data!E:E&gt;=500),filter(Data!N:N,Data!C:C=B228,Data!D:D=A228,Data!E:E&gt;=500)),2),"""")"),-0.06)</f>
        <v>-0.06</v>
      </c>
    </row>
    <row r="229" hidden="1">
      <c r="A229" s="1" t="s">
        <v>35</v>
      </c>
      <c r="B229" s="1" t="s">
        <v>64</v>
      </c>
      <c r="C229" s="10" t="str">
        <f>IFERROR(__xludf.DUMMYFUNCTION("average.weighted(filter(Data!J:J,Data!AC:AC=A229&amp;"",""&amp;B229),filter(Data!F:F,Data!AC:AC=A229&amp;"",""&amp;B229))"),"#N/A")</f>
        <v>#N/A</v>
      </c>
      <c r="D229" s="10" t="str">
        <f>IFERROR(__xludf.DUMMYFUNCTION("average.weighted(filter(Data!K:K,Data!AC:AC=A229&amp;"",""&amp;B229),filter(Data!F:F,Data!AC:AC=A229&amp;"",""&amp;B229))"),"#N/A")</f>
        <v>#N/A</v>
      </c>
      <c r="E229" s="10" t="str">
        <f t="shared" si="1"/>
        <v>#N/A</v>
      </c>
      <c r="F229" s="178" t="str">
        <f>IFERROR(__xludf.DUMMYFUNCTION("iferror(round(correl(filter(Data!I:I,Data!C:C=B229,Data!D:D=A229,Data!E:E&gt;=500),filter(Data!N:N,Data!C:C=B229,Data!D:D=A229,Data!E:E&gt;=500)),2),"""")"),"")</f>
        <v/>
      </c>
    </row>
    <row r="230" hidden="1">
      <c r="A230" s="1" t="s">
        <v>35</v>
      </c>
      <c r="B230" s="1" t="s">
        <v>66</v>
      </c>
      <c r="C230" s="10">
        <f>IFERROR(__xludf.DUMMYFUNCTION("average.weighted(filter(Data!J:J,Data!AC:AC=A230&amp;"",""&amp;B230),filter(Data!F:F,Data!AC:AC=A230&amp;"",""&amp;B230))"),0.04150495496401769)</f>
        <v>0.04150495496</v>
      </c>
      <c r="D230" s="10">
        <f>IFERROR(__xludf.DUMMYFUNCTION("average.weighted(filter(Data!K:K,Data!AC:AC=A230&amp;"",""&amp;B230),filter(Data!F:F,Data!AC:AC=A230&amp;"",""&amp;B230))"),-0.20264634565026224)</f>
        <v>-0.2026463457</v>
      </c>
      <c r="E230" s="10">
        <f t="shared" si="1"/>
        <v>-0.1611413907</v>
      </c>
      <c r="F230" s="178">
        <f>IFERROR(__xludf.DUMMYFUNCTION("iferror(round(correl(filter(Data!I:I,Data!C:C=B230,Data!D:D=A230,Data!E:E&gt;=500),filter(Data!N:N,Data!C:C=B230,Data!D:D=A230,Data!E:E&gt;=500)),2),"""")"),-0.17)</f>
        <v>-0.17</v>
      </c>
    </row>
    <row r="231" hidden="1">
      <c r="A231" s="1" t="s">
        <v>18</v>
      </c>
      <c r="B231" s="1" t="s">
        <v>70</v>
      </c>
      <c r="C231" s="10">
        <f>IFERROR(__xludf.DUMMYFUNCTION("average.weighted(filter(Data!J:J,Data!AC:AC=A231&amp;"",""&amp;B231),filter(Data!F:F,Data!AC:AC=A231&amp;"",""&amp;B231))"),0.11555529415971141)</f>
        <v>0.1155552942</v>
      </c>
      <c r="D231" s="10">
        <f>IFERROR(__xludf.DUMMYFUNCTION("average.weighted(filter(Data!K:K,Data!AC:AC=A231&amp;"",""&amp;B231),filter(Data!F:F,Data!AC:AC=A231&amp;"",""&amp;B231))"),-0.28105569101161965)</f>
        <v>-0.281055691</v>
      </c>
      <c r="E231" s="10">
        <f t="shared" si="1"/>
        <v>-0.1655003969</v>
      </c>
      <c r="F231" s="178">
        <f>IFERROR(__xludf.DUMMYFUNCTION("iferror(round(correl(filter(Data!I:I,Data!C:C=B231,Data!D:D=A231,Data!E:E&gt;=500),filter(Data!N:N,Data!C:C=B231,Data!D:D=A231,Data!E:E&gt;=500)),2),"""")"),0.37)</f>
        <v>0.37</v>
      </c>
    </row>
    <row r="232" hidden="1">
      <c r="A232" s="1" t="s">
        <v>1</v>
      </c>
      <c r="B232" s="1" t="s">
        <v>70</v>
      </c>
      <c r="C232" s="10">
        <f>IFERROR(__xludf.DUMMYFUNCTION("average.weighted(filter(Data!J:J,Data!AC:AC=A232&amp;"",""&amp;B232),filter(Data!F:F,Data!AC:AC=A232&amp;"",""&amp;B232))"),-0.10204608779015568)</f>
        <v>-0.1020460878</v>
      </c>
      <c r="D232" s="10">
        <f>IFERROR(__xludf.DUMMYFUNCTION("average.weighted(filter(Data!K:K,Data!AC:AC=A232&amp;"",""&amp;B232),filter(Data!F:F,Data!AC:AC=A232&amp;"",""&amp;B232))"),-0.07065820165055159)</f>
        <v>-0.07065820165</v>
      </c>
      <c r="E232" s="10">
        <f t="shared" si="1"/>
        <v>-0.1727042894</v>
      </c>
      <c r="F232" s="178">
        <f>IFERROR(__xludf.DUMMYFUNCTION("iferror(round(correl(filter(Data!I:I,Data!C:C=B232,Data!D:D=A232,Data!E:E&gt;=500),filter(Data!N:N,Data!C:C=B232,Data!D:D=A232,Data!E:E&gt;=500)),2),"""")"),0.18)</f>
        <v>0.18</v>
      </c>
    </row>
    <row r="233" hidden="1">
      <c r="A233" s="1" t="s">
        <v>43</v>
      </c>
      <c r="B233" s="1" t="s">
        <v>70</v>
      </c>
      <c r="C233" s="10">
        <f>IFERROR(__xludf.DUMMYFUNCTION("average.weighted(filter(Data!J:J,Data!AC:AC=A233&amp;"",""&amp;B233),filter(Data!F:F,Data!AC:AC=A233&amp;"",""&amp;B233))"),-0.07287449014513957)</f>
        <v>-0.07287449015</v>
      </c>
      <c r="D233" s="10">
        <f>IFERROR(__xludf.DUMMYFUNCTION("average.weighted(filter(Data!K:K,Data!AC:AC=A233&amp;"",""&amp;B233),filter(Data!F:F,Data!AC:AC=A233&amp;"",""&amp;B233))"),-0.14387337284890186)</f>
        <v>-0.1438733728</v>
      </c>
      <c r="E233" s="10">
        <f t="shared" si="1"/>
        <v>-0.216747863</v>
      </c>
      <c r="F233" s="178">
        <f>IFERROR(__xludf.DUMMYFUNCTION("iferror(round(correl(filter(Data!I:I,Data!C:C=B233,Data!D:D=A233,Data!E:E&gt;=500),filter(Data!N:N,Data!C:C=B233,Data!D:D=A233,Data!E:E&gt;=500)),2),"""")"),-0.1)</f>
        <v>-0.1</v>
      </c>
    </row>
    <row r="234" hidden="1">
      <c r="A234" s="1" t="s">
        <v>37</v>
      </c>
      <c r="B234" s="1" t="s">
        <v>67</v>
      </c>
      <c r="C234" s="10">
        <f>IFERROR(__xludf.DUMMYFUNCTION("average.weighted(filter(Data!J:J,Data!AC:AC=A234&amp;"",""&amp;B234),filter(Data!F:F,Data!AC:AC=A234&amp;"",""&amp;B234))"),-0.37634740195099436)</f>
        <v>-0.376347402</v>
      </c>
      <c r="D234" s="10">
        <f>IFERROR(__xludf.DUMMYFUNCTION("average.weighted(filter(Data!K:K,Data!AC:AC=A234&amp;"",""&amp;B234),filter(Data!F:F,Data!AC:AC=A234&amp;"",""&amp;B234))"),0.15165417655242508)</f>
        <v>0.1516541766</v>
      </c>
      <c r="E234" s="10">
        <f t="shared" si="1"/>
        <v>-0.2246932254</v>
      </c>
      <c r="F234" s="178">
        <f>IFERROR(__xludf.DUMMYFUNCTION("iferror(round(correl(filter(Data!I:I,Data!C:C=B234,Data!D:D=A234,Data!E:E&gt;=500),filter(Data!N:N,Data!C:C=B234,Data!D:D=A234,Data!E:E&gt;=500)),2),"""")"),-0.45)</f>
        <v>-0.45</v>
      </c>
    </row>
    <row r="235" hidden="1">
      <c r="A235" s="1" t="s">
        <v>31</v>
      </c>
      <c r="B235" s="1" t="s">
        <v>61</v>
      </c>
      <c r="C235" s="10" t="str">
        <f>IFERROR(__xludf.DUMMYFUNCTION("average.weighted(filter(Data!J:J,Data!AC:AC=A235&amp;"",""&amp;B235),filter(Data!F:F,Data!AC:AC=A235&amp;"",""&amp;B235))"),"#N/A")</f>
        <v>#N/A</v>
      </c>
      <c r="D235" s="10" t="str">
        <f>IFERROR(__xludf.DUMMYFUNCTION("average.weighted(filter(Data!K:K,Data!AC:AC=A235&amp;"",""&amp;B235),filter(Data!F:F,Data!AC:AC=A235&amp;"",""&amp;B235))"),"#N/A")</f>
        <v>#N/A</v>
      </c>
      <c r="E235" s="10" t="str">
        <f t="shared" si="1"/>
        <v>#N/A</v>
      </c>
      <c r="F235" s="178" t="str">
        <f>IFERROR(__xludf.DUMMYFUNCTION("iferror(round(correl(filter(Data!I:I,Data!C:C=B235,Data!D:D=A235,Data!E:E&gt;=500),filter(Data!N:N,Data!C:C=B235,Data!D:D=A235,Data!E:E&gt;=500)),2),"""")"),"")</f>
        <v/>
      </c>
    </row>
    <row r="236" hidden="1">
      <c r="A236" s="1" t="s">
        <v>43</v>
      </c>
      <c r="B236" s="1" t="s">
        <v>68</v>
      </c>
      <c r="C236" s="10">
        <f>IFERROR(__xludf.DUMMYFUNCTION("average.weighted(filter(Data!J:J,Data!AC:AC=A236&amp;"",""&amp;B236),filter(Data!F:F,Data!AC:AC=A236&amp;"",""&amp;B236))"),0.02384518837583799)</f>
        <v>0.02384518838</v>
      </c>
      <c r="D236" s="10">
        <f>IFERROR(__xludf.DUMMYFUNCTION("average.weighted(filter(Data!K:K,Data!AC:AC=A236&amp;"",""&amp;B236),filter(Data!F:F,Data!AC:AC=A236&amp;"",""&amp;B236))"),-0.3643114479832757)</f>
        <v>-0.364311448</v>
      </c>
      <c r="E236" s="10">
        <f t="shared" si="1"/>
        <v>-0.3404662596</v>
      </c>
      <c r="F236" s="178">
        <f>IFERROR(__xludf.DUMMYFUNCTION("iferror(round(correl(filter(Data!I:I,Data!C:C=B236,Data!D:D=A236,Data!E:E&gt;=500),filter(Data!N:N,Data!C:C=B236,Data!D:D=A236,Data!E:E&gt;=500)),2),"""")"),0.0)</f>
        <v>0</v>
      </c>
    </row>
    <row r="237" hidden="1">
      <c r="A237" s="1" t="s">
        <v>17</v>
      </c>
      <c r="B237" s="1" t="s">
        <v>66</v>
      </c>
      <c r="C237" s="10">
        <f>IFERROR(__xludf.DUMMYFUNCTION("average.weighted(filter(Data!J:J,Data!AC:AC=A237&amp;"",""&amp;B237),filter(Data!F:F,Data!AC:AC=A237&amp;"",""&amp;B237))"),-0.27588466817575613)</f>
        <v>-0.2758846682</v>
      </c>
      <c r="D237" s="10">
        <f>IFERROR(__xludf.DUMMYFUNCTION("average.weighted(filter(Data!K:K,Data!AC:AC=A237&amp;"",""&amp;B237),filter(Data!F:F,Data!AC:AC=A237&amp;"",""&amp;B237))"),-0.06467953575717783)</f>
        <v>-0.06467953576</v>
      </c>
      <c r="E237" s="10">
        <f t="shared" si="1"/>
        <v>-0.3405642039</v>
      </c>
      <c r="F237" s="178">
        <f>IFERROR(__xludf.DUMMYFUNCTION("iferror(round(correl(filter(Data!I:I,Data!C:C=B237,Data!D:D=A237,Data!E:E&gt;=500),filter(Data!N:N,Data!C:C=B237,Data!D:D=A237,Data!E:E&gt;=500)),2),"""")"),0.31)</f>
        <v>0.31</v>
      </c>
    </row>
    <row r="238" hidden="1">
      <c r="A238" s="1" t="s">
        <v>29</v>
      </c>
      <c r="B238" s="1" t="s">
        <v>61</v>
      </c>
      <c r="C238" s="10" t="str">
        <f>IFERROR(__xludf.DUMMYFUNCTION("average.weighted(filter(Data!J:J,Data!AC:AC=A238&amp;"",""&amp;B238),filter(Data!F:F,Data!AC:AC=A238&amp;"",""&amp;B238))"),"#N/A")</f>
        <v>#N/A</v>
      </c>
      <c r="D238" s="10" t="str">
        <f>IFERROR(__xludf.DUMMYFUNCTION("average.weighted(filter(Data!K:K,Data!AC:AC=A238&amp;"",""&amp;B238),filter(Data!F:F,Data!AC:AC=A238&amp;"",""&amp;B238))"),"#N/A")</f>
        <v>#N/A</v>
      </c>
      <c r="E238" s="10" t="str">
        <f t="shared" si="1"/>
        <v>#N/A</v>
      </c>
      <c r="F238" s="178" t="str">
        <f>IFERROR(__xludf.DUMMYFUNCTION("iferror(round(correl(filter(Data!I:I,Data!C:C=B238,Data!D:D=A238,Data!E:E&gt;=500),filter(Data!N:N,Data!C:C=B238,Data!D:D=A238,Data!E:E&gt;=500)),2),"""")"),"")</f>
        <v/>
      </c>
    </row>
    <row r="239" hidden="1">
      <c r="A239" s="1" t="s">
        <v>21</v>
      </c>
      <c r="B239" s="1" t="s">
        <v>71</v>
      </c>
      <c r="C239" s="10">
        <f>IFERROR(__xludf.DUMMYFUNCTION("average.weighted(filter(Data!J:J,Data!AC:AC=A239&amp;"",""&amp;B239),filter(Data!F:F,Data!AC:AC=A239&amp;"",""&amp;B239))"),-0.280364017993969)</f>
        <v>-0.280364018</v>
      </c>
      <c r="D239" s="10">
        <f>IFERROR(__xludf.DUMMYFUNCTION("average.weighted(filter(Data!K:K,Data!AC:AC=A239&amp;"",""&amp;B239),filter(Data!F:F,Data!AC:AC=A239&amp;"",""&amp;B239))"),-0.0784766123888889)</f>
        <v>-0.07847661239</v>
      </c>
      <c r="E239" s="10">
        <f t="shared" si="1"/>
        <v>-0.3588406304</v>
      </c>
      <c r="F239" s="178">
        <f>IFERROR(__xludf.DUMMYFUNCTION("iferror(round(correl(filter(Data!I:I,Data!C:C=B239,Data!D:D=A239,Data!E:E&gt;=500),filter(Data!N:N,Data!C:C=B239,Data!D:D=A239,Data!E:E&gt;=500)),2),"""")"),0.12)</f>
        <v>0.12</v>
      </c>
    </row>
    <row r="240" hidden="1">
      <c r="A240" s="1" t="s">
        <v>42</v>
      </c>
      <c r="B240" s="1" t="s">
        <v>68</v>
      </c>
      <c r="C240" s="10">
        <f>IFERROR(__xludf.DUMMYFUNCTION("average.weighted(filter(Data!J:J,Data!AC:AC=A240&amp;"",""&amp;B240),filter(Data!F:F,Data!AC:AC=A240&amp;"",""&amp;B240))"),0.15850189612597698)</f>
        <v>0.1585018961</v>
      </c>
      <c r="D240" s="10">
        <f>IFERROR(__xludf.DUMMYFUNCTION("average.weighted(filter(Data!K:K,Data!AC:AC=A240&amp;"",""&amp;B240),filter(Data!F:F,Data!AC:AC=A240&amp;"",""&amp;B240))"),-0.5297554404753416)</f>
        <v>-0.5297554405</v>
      </c>
      <c r="E240" s="10">
        <f t="shared" si="1"/>
        <v>-0.3712535443</v>
      </c>
      <c r="F240" s="178">
        <f>IFERROR(__xludf.DUMMYFUNCTION("iferror(round(correl(filter(Data!I:I,Data!C:C=B240,Data!D:D=A240,Data!E:E&gt;=500),filter(Data!N:N,Data!C:C=B240,Data!D:D=A240,Data!E:E&gt;=500)),2),"""")"),0.18)</f>
        <v>0.18</v>
      </c>
    </row>
    <row r="241" hidden="1">
      <c r="A241" s="1" t="s">
        <v>33</v>
      </c>
      <c r="B241" s="1" t="s">
        <v>61</v>
      </c>
      <c r="C241" s="10" t="str">
        <f>IFERROR(__xludf.DUMMYFUNCTION("average.weighted(filter(Data!J:J,Data!AC:AC=A241&amp;"",""&amp;B241),filter(Data!F:F,Data!AC:AC=A241&amp;"",""&amp;B241))"),"#N/A")</f>
        <v>#N/A</v>
      </c>
      <c r="D241" s="10" t="str">
        <f>IFERROR(__xludf.DUMMYFUNCTION("average.weighted(filter(Data!K:K,Data!AC:AC=A241&amp;"",""&amp;B241),filter(Data!F:F,Data!AC:AC=A241&amp;"",""&amp;B241))"),"#N/A")</f>
        <v>#N/A</v>
      </c>
      <c r="E241" s="10" t="str">
        <f t="shared" si="1"/>
        <v>#N/A</v>
      </c>
      <c r="F241" s="178" t="str">
        <f>IFERROR(__xludf.DUMMYFUNCTION("iferror(round(correl(filter(Data!I:I,Data!C:C=B241,Data!D:D=A241,Data!E:E&gt;=500),filter(Data!N:N,Data!C:C=B241,Data!D:D=A241,Data!E:E&gt;=500)),2),"""")"),"")</f>
        <v/>
      </c>
    </row>
    <row r="242" hidden="1">
      <c r="A242" s="1" t="s">
        <v>34</v>
      </c>
      <c r="B242" s="1" t="s">
        <v>65</v>
      </c>
      <c r="C242" s="10">
        <f>IFERROR(__xludf.DUMMYFUNCTION("average.weighted(filter(Data!J:J,Data!AC:AC=A242&amp;"",""&amp;B242),filter(Data!F:F,Data!AC:AC=A242&amp;"",""&amp;B242))"),-0.3534324727169976)</f>
        <v>-0.3534324727</v>
      </c>
      <c r="D242" s="10">
        <f>IFERROR(__xludf.DUMMYFUNCTION("average.weighted(filter(Data!K:K,Data!AC:AC=A242&amp;"",""&amp;B242),filter(Data!F:F,Data!AC:AC=A242&amp;"",""&amp;B242))"),-0.027347501055202856)</f>
        <v>-0.02734750106</v>
      </c>
      <c r="E242" s="10">
        <f t="shared" si="1"/>
        <v>-0.3807799738</v>
      </c>
      <c r="F242" s="178">
        <f>IFERROR(__xludf.DUMMYFUNCTION("iferror(round(correl(filter(Data!I:I,Data!C:C=B242,Data!D:D=A242,Data!E:E&gt;=500),filter(Data!N:N,Data!C:C=B242,Data!D:D=A242,Data!E:E&gt;=500)),2),"""")"),0.4)</f>
        <v>0.4</v>
      </c>
    </row>
    <row r="243" hidden="1">
      <c r="A243" s="1" t="s">
        <v>37</v>
      </c>
      <c r="B243" s="1" t="s">
        <v>63</v>
      </c>
      <c r="C243" s="10" t="str">
        <f>IFERROR(__xludf.DUMMYFUNCTION("average.weighted(filter(Data!J:J,Data!AC:AC=A243&amp;"",""&amp;B243),filter(Data!F:F,Data!AC:AC=A243&amp;"",""&amp;B243))"),"#N/A")</f>
        <v>#N/A</v>
      </c>
      <c r="D243" s="10" t="str">
        <f>IFERROR(__xludf.DUMMYFUNCTION("average.weighted(filter(Data!K:K,Data!AC:AC=A243&amp;"",""&amp;B243),filter(Data!F:F,Data!AC:AC=A243&amp;"",""&amp;B243))"),"#N/A")</f>
        <v>#N/A</v>
      </c>
      <c r="E243" s="10" t="str">
        <f t="shared" si="1"/>
        <v>#N/A</v>
      </c>
      <c r="F243" s="178" t="str">
        <f>IFERROR(__xludf.DUMMYFUNCTION("iferror(round(correl(filter(Data!I:I,Data!C:C=B243,Data!D:D=A243,Data!E:E&gt;=500),filter(Data!N:N,Data!C:C=B243,Data!D:D=A243,Data!E:E&gt;=500)),2),"""")"),"")</f>
        <v/>
      </c>
    </row>
    <row r="244" hidden="1">
      <c r="A244" s="1" t="s">
        <v>39</v>
      </c>
      <c r="B244" s="1" t="s">
        <v>62</v>
      </c>
      <c r="C244" s="10" t="str">
        <f>IFERROR(__xludf.DUMMYFUNCTION("average.weighted(filter(Data!J:J,Data!AC:AC=A244&amp;"",""&amp;B244),filter(Data!F:F,Data!AC:AC=A244&amp;"",""&amp;B244))"),"#N/A")</f>
        <v>#N/A</v>
      </c>
      <c r="D244" s="10" t="str">
        <f>IFERROR(__xludf.DUMMYFUNCTION("average.weighted(filter(Data!K:K,Data!AC:AC=A244&amp;"",""&amp;B244),filter(Data!F:F,Data!AC:AC=A244&amp;"",""&amp;B244))"),"#N/A")</f>
        <v>#N/A</v>
      </c>
      <c r="E244" s="10" t="str">
        <f t="shared" si="1"/>
        <v>#N/A</v>
      </c>
      <c r="F244" s="178" t="str">
        <f>IFERROR(__xludf.DUMMYFUNCTION("iferror(round(correl(filter(Data!I:I,Data!C:C=B244,Data!D:D=A244,Data!E:E&gt;=500),filter(Data!N:N,Data!C:C=B244,Data!D:D=A244,Data!E:E&gt;=500)),2),"""")"),"")</f>
        <v/>
      </c>
    </row>
    <row r="245" hidden="1">
      <c r="A245" s="1" t="s">
        <v>15</v>
      </c>
      <c r="B245" s="1" t="s">
        <v>62</v>
      </c>
      <c r="C245" s="10" t="str">
        <f>IFERROR(__xludf.DUMMYFUNCTION("average.weighted(filter(Data!J:J,Data!AC:AC=A245&amp;"",""&amp;B245),filter(Data!F:F,Data!AC:AC=A245&amp;"",""&amp;B245))"),"#N/A")</f>
        <v>#N/A</v>
      </c>
      <c r="D245" s="10" t="str">
        <f>IFERROR(__xludf.DUMMYFUNCTION("average.weighted(filter(Data!K:K,Data!AC:AC=A245&amp;"",""&amp;B245),filter(Data!F:F,Data!AC:AC=A245&amp;"",""&amp;B245))"),"#N/A")</f>
        <v>#N/A</v>
      </c>
      <c r="E245" s="10" t="str">
        <f t="shared" si="1"/>
        <v>#N/A</v>
      </c>
      <c r="F245" s="178" t="str">
        <f>IFERROR(__xludf.DUMMYFUNCTION("iferror(round(correl(filter(Data!I:I,Data!C:C=B245,Data!D:D=A245,Data!E:E&gt;=500),filter(Data!N:N,Data!C:C=B245,Data!D:D=A245,Data!E:E&gt;=500)),2),"""")"),"")</f>
        <v/>
      </c>
    </row>
    <row r="246" hidden="1">
      <c r="A246" s="1" t="s">
        <v>1</v>
      </c>
      <c r="B246" s="1" t="s">
        <v>66</v>
      </c>
      <c r="C246" s="10">
        <f>IFERROR(__xludf.DUMMYFUNCTION("average.weighted(filter(Data!J:J,Data!AC:AC=A246&amp;"",""&amp;B246),filter(Data!F:F,Data!AC:AC=A246&amp;"",""&amp;B246))"),-0.5121432326740326)</f>
        <v>-0.5121432327</v>
      </c>
      <c r="D246" s="10">
        <f>IFERROR(__xludf.DUMMYFUNCTION("average.weighted(filter(Data!K:K,Data!AC:AC=A246&amp;"",""&amp;B246),filter(Data!F:F,Data!AC:AC=A246&amp;"",""&amp;B246))"),0.11186127707369493)</f>
        <v>0.1118612771</v>
      </c>
      <c r="E246" s="10">
        <f t="shared" si="1"/>
        <v>-0.4002819556</v>
      </c>
      <c r="F246" s="178">
        <f>IFERROR(__xludf.DUMMYFUNCTION("iferror(round(correl(filter(Data!I:I,Data!C:C=B246,Data!D:D=A246,Data!E:E&gt;=500),filter(Data!N:N,Data!C:C=B246,Data!D:D=A246,Data!E:E&gt;=500)),2),"""")"),0.31)</f>
        <v>0.31</v>
      </c>
    </row>
    <row r="247" hidden="1">
      <c r="A247" s="1" t="s">
        <v>39</v>
      </c>
      <c r="B247" s="1" t="s">
        <v>68</v>
      </c>
      <c r="C247" s="10">
        <f>IFERROR(__xludf.DUMMYFUNCTION("average.weighted(filter(Data!J:J,Data!AC:AC=A247&amp;"",""&amp;B247),filter(Data!F:F,Data!AC:AC=A247&amp;"",""&amp;B247))"),-0.16797971217086463)</f>
        <v>-0.1679797122</v>
      </c>
      <c r="D247" s="10">
        <f>IFERROR(__xludf.DUMMYFUNCTION("average.weighted(filter(Data!K:K,Data!AC:AC=A247&amp;"",""&amp;B247),filter(Data!F:F,Data!AC:AC=A247&amp;"",""&amp;B247))"),-0.24057361773452715)</f>
        <v>-0.2405736177</v>
      </c>
      <c r="E247" s="10">
        <f t="shared" si="1"/>
        <v>-0.4085533299</v>
      </c>
      <c r="F247" s="178">
        <f>IFERROR(__xludf.DUMMYFUNCTION("iferror(round(correl(filter(Data!I:I,Data!C:C=B247,Data!D:D=A247,Data!E:E&gt;=500),filter(Data!N:N,Data!C:C=B247,Data!D:D=A247,Data!E:E&gt;=500)),2),"""")"),0.05)</f>
        <v>0.05</v>
      </c>
    </row>
    <row r="248" hidden="1">
      <c r="A248" s="1" t="s">
        <v>48</v>
      </c>
      <c r="B248" s="1" t="s">
        <v>69</v>
      </c>
      <c r="C248" s="10">
        <f>IFERROR(__xludf.DUMMYFUNCTION("average.weighted(filter(Data!J:J,Data!AC:AC=A248&amp;"",""&amp;B248),filter(Data!F:F,Data!AC:AC=A248&amp;"",""&amp;B248))"),-0.3152304331231246)</f>
        <v>-0.3152304331</v>
      </c>
      <c r="D248" s="10">
        <f>IFERROR(__xludf.DUMMYFUNCTION("average.weighted(filter(Data!K:K,Data!AC:AC=A248&amp;"",""&amp;B248),filter(Data!F:F,Data!AC:AC=A248&amp;"",""&amp;B248))"),-0.10269273484159333)</f>
        <v>-0.1026927348</v>
      </c>
      <c r="E248" s="10">
        <f t="shared" si="1"/>
        <v>-0.417923168</v>
      </c>
      <c r="F248" s="178">
        <f>IFERROR(__xludf.DUMMYFUNCTION("iferror(round(correl(filter(Data!I:I,Data!C:C=B248,Data!D:D=A248,Data!E:E&gt;=500),filter(Data!N:N,Data!C:C=B248,Data!D:D=A248,Data!E:E&gt;=500)),2),"""")"),-0.04)</f>
        <v>-0.04</v>
      </c>
    </row>
    <row r="249" hidden="1">
      <c r="A249" s="1" t="s">
        <v>30</v>
      </c>
      <c r="B249" s="1" t="s">
        <v>61</v>
      </c>
      <c r="C249" s="10" t="str">
        <f>IFERROR(__xludf.DUMMYFUNCTION("average.weighted(filter(Data!J:J,Data!AC:AC=A249&amp;"",""&amp;B249),filter(Data!F:F,Data!AC:AC=A249&amp;"",""&amp;B249))"),"#N/A")</f>
        <v>#N/A</v>
      </c>
      <c r="D249" s="10" t="str">
        <f>IFERROR(__xludf.DUMMYFUNCTION("average.weighted(filter(Data!K:K,Data!AC:AC=A249&amp;"",""&amp;B249),filter(Data!F:F,Data!AC:AC=A249&amp;"",""&amp;B249))"),"#N/A")</f>
        <v>#N/A</v>
      </c>
      <c r="E249" s="10" t="str">
        <f t="shared" si="1"/>
        <v>#N/A</v>
      </c>
      <c r="F249" s="178" t="str">
        <f>IFERROR(__xludf.DUMMYFUNCTION("iferror(round(correl(filter(Data!I:I,Data!C:C=B249,Data!D:D=A249,Data!E:E&gt;=500),filter(Data!N:N,Data!C:C=B249,Data!D:D=A249,Data!E:E&gt;=500)),2),"""")"),"")</f>
        <v/>
      </c>
    </row>
    <row r="250" hidden="1">
      <c r="A250" s="1" t="s">
        <v>39</v>
      </c>
      <c r="B250" s="1" t="s">
        <v>66</v>
      </c>
      <c r="C250" s="10">
        <f>IFERROR(__xludf.DUMMYFUNCTION("average.weighted(filter(Data!J:J,Data!AC:AC=A250&amp;"",""&amp;B250),filter(Data!F:F,Data!AC:AC=A250&amp;"",""&amp;B250))"),-0.0010682778718142424)</f>
        <v>-0.001068277872</v>
      </c>
      <c r="D250" s="10">
        <f>IFERROR(__xludf.DUMMYFUNCTION("average.weighted(filter(Data!K:K,Data!AC:AC=A250&amp;"",""&amp;B250),filter(Data!F:F,Data!AC:AC=A250&amp;"",""&amp;B250))"),-0.41970165134380966)</f>
        <v>-0.4197016513</v>
      </c>
      <c r="E250" s="10">
        <f t="shared" si="1"/>
        <v>-0.4207699292</v>
      </c>
      <c r="F250" s="178">
        <f>IFERROR(__xludf.DUMMYFUNCTION("iferror(round(correl(filter(Data!I:I,Data!C:C=B250,Data!D:D=A250,Data!E:E&gt;=500),filter(Data!N:N,Data!C:C=B250,Data!D:D=A250,Data!E:E&gt;=500)),2),"""")"),0.35)</f>
        <v>0.35</v>
      </c>
    </row>
    <row r="251" hidden="1">
      <c r="A251" s="1" t="s">
        <v>40</v>
      </c>
      <c r="B251" s="1" t="s">
        <v>67</v>
      </c>
      <c r="C251" s="10">
        <f>IFERROR(__xludf.DUMMYFUNCTION("average.weighted(filter(Data!J:J,Data!AC:AC=A251&amp;"",""&amp;B251),filter(Data!F:F,Data!AC:AC=A251&amp;"",""&amp;B251))"),-0.3247645659965537)</f>
        <v>-0.324764566</v>
      </c>
      <c r="D251" s="10">
        <f>IFERROR(__xludf.DUMMYFUNCTION("average.weighted(filter(Data!K:K,Data!AC:AC=A251&amp;"",""&amp;B251),filter(Data!F:F,Data!AC:AC=A251&amp;"",""&amp;B251))"),-0.11380543786972917)</f>
        <v>-0.1138054379</v>
      </c>
      <c r="E251" s="10">
        <f t="shared" si="1"/>
        <v>-0.4385700039</v>
      </c>
      <c r="F251" s="178">
        <f>IFERROR(__xludf.DUMMYFUNCTION("iferror(round(correl(filter(Data!I:I,Data!C:C=B251,Data!D:D=A251,Data!E:E&gt;=500),filter(Data!N:N,Data!C:C=B251,Data!D:D=A251,Data!E:E&gt;=500)),2),"""")"),0.08)</f>
        <v>0.08</v>
      </c>
    </row>
    <row r="252" hidden="1">
      <c r="A252" s="1" t="s">
        <v>26</v>
      </c>
      <c r="B252" s="1" t="s">
        <v>62</v>
      </c>
      <c r="C252" s="10" t="str">
        <f>IFERROR(__xludf.DUMMYFUNCTION("average.weighted(filter(Data!J:J,Data!AC:AC=A252&amp;"",""&amp;B252),filter(Data!F:F,Data!AC:AC=A252&amp;"",""&amp;B252))"),"#N/A")</f>
        <v>#N/A</v>
      </c>
      <c r="D252" s="10" t="str">
        <f>IFERROR(__xludf.DUMMYFUNCTION("average.weighted(filter(Data!K:K,Data!AC:AC=A252&amp;"",""&amp;B252),filter(Data!F:F,Data!AC:AC=A252&amp;"",""&amp;B252))"),"#N/A")</f>
        <v>#N/A</v>
      </c>
      <c r="E252" s="10" t="str">
        <f t="shared" si="1"/>
        <v>#N/A</v>
      </c>
      <c r="F252" s="178" t="str">
        <f>IFERROR(__xludf.DUMMYFUNCTION("iferror(round(correl(filter(Data!I:I,Data!C:C=B252,Data!D:D=A252,Data!E:E&gt;=500),filter(Data!N:N,Data!C:C=B252,Data!D:D=A252,Data!E:E&gt;=500)),2),"""")"),"")</f>
        <v/>
      </c>
    </row>
    <row r="253">
      <c r="A253" s="1" t="s">
        <v>45</v>
      </c>
      <c r="B253" s="179" t="s">
        <v>13</v>
      </c>
      <c r="C253" s="10">
        <f>IFERROR(__xludf.DUMMYFUNCTION("average.weighted(filter(Data!J:J,Data!AC:AC=A253&amp;"",""&amp;B253),filter(Data!F:F,Data!AC:AC=A253&amp;"",""&amp;B253))"),-0.37570032243643553)</f>
        <v>-0.3757003224</v>
      </c>
      <c r="D253" s="10">
        <f>IFERROR(__xludf.DUMMYFUNCTION("average.weighted(filter(Data!K:K,Data!AC:AC=A253&amp;"",""&amp;B253),filter(Data!F:F,Data!AC:AC=A253&amp;"",""&amp;B253))"),-0.11710589388848511)</f>
        <v>-0.1171058939</v>
      </c>
      <c r="E253" s="10">
        <f t="shared" si="1"/>
        <v>-0.4928062163</v>
      </c>
      <c r="F253" s="178">
        <f>IFERROR(__xludf.DUMMYFUNCTION("iferror(round(correl(filter(Data!I:I,Data!C:C=B253,Data!D:D=A253,Data!E:E&gt;=500),filter(Data!N:N,Data!C:C=B253,Data!D:D=A253,Data!E:E&gt;=500)),2),"""")"),0.39)</f>
        <v>0.39</v>
      </c>
    </row>
    <row r="254" hidden="1">
      <c r="A254" s="1" t="s">
        <v>32</v>
      </c>
      <c r="B254" s="1" t="s">
        <v>69</v>
      </c>
      <c r="C254" s="10">
        <f>IFERROR(__xludf.DUMMYFUNCTION("average.weighted(filter(Data!J:J,Data!AC:AC=A254&amp;"",""&amp;B254),filter(Data!F:F,Data!AC:AC=A254&amp;"",""&amp;B254))"),-0.2457327232340813)</f>
        <v>-0.2457327232</v>
      </c>
      <c r="D254" s="10">
        <f>IFERROR(__xludf.DUMMYFUNCTION("average.weighted(filter(Data!K:K,Data!AC:AC=A254&amp;"",""&amp;B254),filter(Data!F:F,Data!AC:AC=A254&amp;"",""&amp;B254))"),-0.21356384028755962)</f>
        <v>-0.2135638403</v>
      </c>
      <c r="E254" s="10">
        <f t="shared" si="1"/>
        <v>-0.4592965635</v>
      </c>
      <c r="F254" s="178">
        <f>IFERROR(__xludf.DUMMYFUNCTION("iferror(round(correl(filter(Data!I:I,Data!C:C=B254,Data!D:D=A254,Data!E:E&gt;=500),filter(Data!N:N,Data!C:C=B254,Data!D:D=A254,Data!E:E&gt;=500)),2),"""")"),-0.16)</f>
        <v>-0.16</v>
      </c>
    </row>
    <row r="255" hidden="1">
      <c r="A255" s="1" t="s">
        <v>28</v>
      </c>
      <c r="B255" s="1" t="s">
        <v>62</v>
      </c>
      <c r="C255" s="10" t="str">
        <f>IFERROR(__xludf.DUMMYFUNCTION("average.weighted(filter(Data!J:J,Data!AC:AC=A255&amp;"",""&amp;B255),filter(Data!F:F,Data!AC:AC=A255&amp;"",""&amp;B255))"),"#N/A")</f>
        <v>#N/A</v>
      </c>
      <c r="D255" s="10" t="str">
        <f>IFERROR(__xludf.DUMMYFUNCTION("average.weighted(filter(Data!K:K,Data!AC:AC=A255&amp;"",""&amp;B255),filter(Data!F:F,Data!AC:AC=A255&amp;"",""&amp;B255))"),"#N/A")</f>
        <v>#N/A</v>
      </c>
      <c r="E255" s="10" t="str">
        <f t="shared" si="1"/>
        <v>#N/A</v>
      </c>
      <c r="F255" s="178" t="str">
        <f>IFERROR(__xludf.DUMMYFUNCTION("iferror(round(correl(filter(Data!I:I,Data!C:C=B255,Data!D:D=A255,Data!E:E&gt;=500),filter(Data!N:N,Data!C:C=B255,Data!D:D=A255,Data!E:E&gt;=500)),2),"""")"),"")</f>
        <v/>
      </c>
    </row>
    <row r="256" hidden="1">
      <c r="A256" s="1" t="s">
        <v>39</v>
      </c>
      <c r="B256" s="1" t="s">
        <v>61</v>
      </c>
      <c r="C256" s="10" t="str">
        <f>IFERROR(__xludf.DUMMYFUNCTION("average.weighted(filter(Data!J:J,Data!AC:AC=A256&amp;"",""&amp;B256),filter(Data!F:F,Data!AC:AC=A256&amp;"",""&amp;B256))"),"#N/A")</f>
        <v>#N/A</v>
      </c>
      <c r="D256" s="10" t="str">
        <f>IFERROR(__xludf.DUMMYFUNCTION("average.weighted(filter(Data!K:K,Data!AC:AC=A256&amp;"",""&amp;B256),filter(Data!F:F,Data!AC:AC=A256&amp;"",""&amp;B256))"),"#N/A")</f>
        <v>#N/A</v>
      </c>
      <c r="E256" s="10" t="str">
        <f t="shared" si="1"/>
        <v>#N/A</v>
      </c>
      <c r="F256" s="178" t="str">
        <f>IFERROR(__xludf.DUMMYFUNCTION("iferror(round(correl(filter(Data!I:I,Data!C:C=B256,Data!D:D=A256,Data!E:E&gt;=500),filter(Data!N:N,Data!C:C=B256,Data!D:D=A256,Data!E:E&gt;=500)),2),"""")"),"")</f>
        <v/>
      </c>
    </row>
    <row r="257" hidden="1">
      <c r="A257" s="1" t="s">
        <v>21</v>
      </c>
      <c r="B257" s="1" t="s">
        <v>68</v>
      </c>
      <c r="C257" s="10">
        <f>IFERROR(__xludf.DUMMYFUNCTION("average.weighted(filter(Data!J:J,Data!AC:AC=A257&amp;"",""&amp;B257),filter(Data!F:F,Data!AC:AC=A257&amp;"",""&amp;B257))"),-0.011223733105043269)</f>
        <v>-0.01122373311</v>
      </c>
      <c r="D257" s="10">
        <f>IFERROR(__xludf.DUMMYFUNCTION("average.weighted(filter(Data!K:K,Data!AC:AC=A257&amp;"",""&amp;B257),filter(Data!F:F,Data!AC:AC=A257&amp;"",""&amp;B257))"),-0.4860675563582328)</f>
        <v>-0.4860675564</v>
      </c>
      <c r="E257" s="10">
        <f t="shared" si="1"/>
        <v>-0.4972912895</v>
      </c>
      <c r="F257" s="178">
        <f>IFERROR(__xludf.DUMMYFUNCTION("iferror(round(correl(filter(Data!I:I,Data!C:C=B257,Data!D:D=A257,Data!E:E&gt;=500),filter(Data!N:N,Data!C:C=B257,Data!D:D=A257,Data!E:E&gt;=500)),2),"""")"),-0.26)</f>
        <v>-0.26</v>
      </c>
    </row>
    <row r="258" hidden="1">
      <c r="A258" s="1" t="s">
        <v>1</v>
      </c>
      <c r="B258" s="1" t="s">
        <v>69</v>
      </c>
      <c r="C258" s="10">
        <f>IFERROR(__xludf.DUMMYFUNCTION("average.weighted(filter(Data!J:J,Data!AC:AC=A258&amp;"",""&amp;B258),filter(Data!F:F,Data!AC:AC=A258&amp;"",""&amp;B258))"),-0.43232677180166246)</f>
        <v>-0.4323267718</v>
      </c>
      <c r="D258" s="10">
        <f>IFERROR(__xludf.DUMMYFUNCTION("average.weighted(filter(Data!K:K,Data!AC:AC=A258&amp;"",""&amp;B258),filter(Data!F:F,Data!AC:AC=A258&amp;"",""&amp;B258))"),-0.07594212008372701)</f>
        <v>-0.07594212008</v>
      </c>
      <c r="E258" s="10">
        <f t="shared" si="1"/>
        <v>-0.5082688919</v>
      </c>
      <c r="F258" s="178">
        <f>IFERROR(__xludf.DUMMYFUNCTION("iferror(round(correl(filter(Data!I:I,Data!C:C=B258,Data!D:D=A258,Data!E:E&gt;=500),filter(Data!N:N,Data!C:C=B258,Data!D:D=A258,Data!E:E&gt;=500)),2),"""")"),0.11)</f>
        <v>0.11</v>
      </c>
    </row>
    <row r="259" hidden="1">
      <c r="A259" s="1" t="s">
        <v>21</v>
      </c>
      <c r="B259" s="1" t="s">
        <v>67</v>
      </c>
      <c r="C259" s="10">
        <f>IFERROR(__xludf.DUMMYFUNCTION("average.weighted(filter(Data!J:J,Data!AC:AC=A259&amp;"",""&amp;B259),filter(Data!F:F,Data!AC:AC=A259&amp;"",""&amp;B259))"),-0.38053137890884886)</f>
        <v>-0.3805313789</v>
      </c>
      <c r="D259" s="10">
        <f>IFERROR(__xludf.DUMMYFUNCTION("average.weighted(filter(Data!K:K,Data!AC:AC=A259&amp;"",""&amp;B259),filter(Data!F:F,Data!AC:AC=A259&amp;"",""&amp;B259))"),-0.25151514685730986)</f>
        <v>-0.2515151469</v>
      </c>
      <c r="E259" s="10">
        <f t="shared" si="1"/>
        <v>-0.6320465258</v>
      </c>
      <c r="F259" s="178">
        <f>IFERROR(__xludf.DUMMYFUNCTION("iferror(round(correl(filter(Data!I:I,Data!C:C=B259,Data!D:D=A259,Data!E:E&gt;=500),filter(Data!N:N,Data!C:C=B259,Data!D:D=A259,Data!E:E&gt;=500)),2),"""")"),-0.62)</f>
        <v>-0.62</v>
      </c>
    </row>
    <row r="260">
      <c r="A260" s="1" t="s">
        <v>29</v>
      </c>
      <c r="B260" s="179" t="s">
        <v>13</v>
      </c>
      <c r="C260" s="10">
        <f>IFERROR(__xludf.DUMMYFUNCTION("average.weighted(filter(Data!J:J,Data!AC:AC=A260&amp;"",""&amp;B260),filter(Data!F:F,Data!AC:AC=A260&amp;"",""&amp;B260))"),-0.4315813761581064)</f>
        <v>-0.4315813762</v>
      </c>
      <c r="D260" s="10">
        <f>IFERROR(__xludf.DUMMYFUNCTION("average.weighted(filter(Data!K:K,Data!AC:AC=A260&amp;"",""&amp;B260),filter(Data!F:F,Data!AC:AC=A260&amp;"",""&amp;B260))"),-0.16153942299988086)</f>
        <v>-0.161539423</v>
      </c>
      <c r="E260" s="10">
        <f t="shared" si="1"/>
        <v>-0.5931207992</v>
      </c>
      <c r="F260" s="178">
        <f>IFERROR(__xludf.DUMMYFUNCTION("iferror(round(correl(filter(Data!I:I,Data!C:C=B260,Data!D:D=A260,Data!E:E&gt;=500),filter(Data!N:N,Data!C:C=B260,Data!D:D=A260,Data!E:E&gt;=500)),2),"""")"),0.02)</f>
        <v>0.02</v>
      </c>
    </row>
    <row r="261" hidden="1">
      <c r="A261" s="1" t="s">
        <v>29</v>
      </c>
      <c r="B261" s="1" t="s">
        <v>67</v>
      </c>
      <c r="C261" s="10">
        <f>IFERROR(__xludf.DUMMYFUNCTION("average.weighted(filter(Data!J:J,Data!AC:AC=A261&amp;"",""&amp;B261),filter(Data!F:F,Data!AC:AC=A261&amp;"",""&amp;B261))"),-0.4137766712251302)</f>
        <v>-0.4137766712</v>
      </c>
      <c r="D261" s="10">
        <f>IFERROR(__xludf.DUMMYFUNCTION("average.weighted(filter(Data!K:K,Data!AC:AC=A261&amp;"",""&amp;B261),filter(Data!F:F,Data!AC:AC=A261&amp;"",""&amp;B261))"),-0.23047788623945992)</f>
        <v>-0.2304778862</v>
      </c>
      <c r="E261" s="10">
        <f t="shared" si="1"/>
        <v>-0.6442545575</v>
      </c>
      <c r="F261" s="178">
        <f>IFERROR(__xludf.DUMMYFUNCTION("iferror(round(correl(filter(Data!I:I,Data!C:C=B261,Data!D:D=A261,Data!E:E&gt;=500),filter(Data!N:N,Data!C:C=B261,Data!D:D=A261,Data!E:E&gt;=500)),2),"""")"),0.33)</f>
        <v>0.33</v>
      </c>
    </row>
    <row r="262" hidden="1">
      <c r="A262" s="1" t="s">
        <v>46</v>
      </c>
      <c r="B262" s="1" t="s">
        <v>69</v>
      </c>
      <c r="C262" s="10">
        <f>IFERROR(__xludf.DUMMYFUNCTION("average.weighted(filter(Data!J:J,Data!AC:AC=A262&amp;"",""&amp;B262),filter(Data!F:F,Data!AC:AC=A262&amp;"",""&amp;B262))"),-0.5268052027217266)</f>
        <v>-0.5268052027</v>
      </c>
      <c r="D262" s="10">
        <f>IFERROR(__xludf.DUMMYFUNCTION("average.weighted(filter(Data!K:K,Data!AC:AC=A262&amp;"",""&amp;B262),filter(Data!F:F,Data!AC:AC=A262&amp;"",""&amp;B262))"),-0.1275879863983908)</f>
        <v>-0.1275879864</v>
      </c>
      <c r="E262" s="10">
        <f t="shared" si="1"/>
        <v>-0.6543931891</v>
      </c>
      <c r="F262" s="178">
        <f>IFERROR(__xludf.DUMMYFUNCTION("iferror(round(correl(filter(Data!I:I,Data!C:C=B262,Data!D:D=A262,Data!E:E&gt;=500),filter(Data!N:N,Data!C:C=B262,Data!D:D=A262,Data!E:E&gt;=500)),2),"""")"),0.32)</f>
        <v>0.32</v>
      </c>
    </row>
    <row r="263" hidden="1">
      <c r="A263" s="1" t="s">
        <v>40</v>
      </c>
      <c r="B263" s="1" t="s">
        <v>66</v>
      </c>
      <c r="C263" s="10">
        <f>IFERROR(__xludf.DUMMYFUNCTION("average.weighted(filter(Data!J:J,Data!AC:AC=A263&amp;"",""&amp;B263),filter(Data!F:F,Data!AC:AC=A263&amp;"",""&amp;B263))"),-0.6548996455525621)</f>
        <v>-0.6548996456</v>
      </c>
      <c r="D263" s="10">
        <f>IFERROR(__xludf.DUMMYFUNCTION("average.weighted(filter(Data!K:K,Data!AC:AC=A263&amp;"",""&amp;B263),filter(Data!F:F,Data!AC:AC=A263&amp;"",""&amp;B263))"),-0.04500280884306801)</f>
        <v>-0.04500280884</v>
      </c>
      <c r="E263" s="10">
        <f t="shared" si="1"/>
        <v>-0.6999024544</v>
      </c>
      <c r="F263" s="178">
        <f>IFERROR(__xludf.DUMMYFUNCTION("iferror(round(correl(filter(Data!I:I,Data!C:C=B263,Data!D:D=A263,Data!E:E&gt;=500),filter(Data!N:N,Data!C:C=B263,Data!D:D=A263,Data!E:E&gt;=500)),2),"""")"),0.12)</f>
        <v>0.12</v>
      </c>
    </row>
    <row r="264" hidden="1">
      <c r="A264" s="1" t="s">
        <v>18</v>
      </c>
      <c r="B264" s="1" t="s">
        <v>67</v>
      </c>
      <c r="C264" s="10">
        <f>IFERROR(__xludf.DUMMYFUNCTION("average.weighted(filter(Data!J:J,Data!AC:AC=A264&amp;"",""&amp;B264),filter(Data!F:F,Data!AC:AC=A264&amp;"",""&amp;B264))"),-0.43632866211177057)</f>
        <v>-0.4363286621</v>
      </c>
      <c r="D264" s="10">
        <f>IFERROR(__xludf.DUMMYFUNCTION("average.weighted(filter(Data!K:K,Data!AC:AC=A264&amp;"",""&amp;B264),filter(Data!F:F,Data!AC:AC=A264&amp;"",""&amp;B264))"),-0.26736675387667735)</f>
        <v>-0.2673667539</v>
      </c>
      <c r="E264" s="10">
        <f t="shared" si="1"/>
        <v>-0.703695416</v>
      </c>
      <c r="F264" s="178">
        <f>IFERROR(__xludf.DUMMYFUNCTION("iferror(round(correl(filter(Data!I:I,Data!C:C=B264,Data!D:D=A264,Data!E:E&gt;=500),filter(Data!N:N,Data!C:C=B264,Data!D:D=A264,Data!E:E&gt;=500)),2),"""")"),-0.19)</f>
        <v>-0.19</v>
      </c>
    </row>
    <row r="265" hidden="1">
      <c r="A265" s="1" t="s">
        <v>43</v>
      </c>
      <c r="B265" s="1" t="s">
        <v>69</v>
      </c>
      <c r="C265" s="10">
        <f>IFERROR(__xludf.DUMMYFUNCTION("average.weighted(filter(Data!J:J,Data!AC:AC=A265&amp;"",""&amp;B265),filter(Data!F:F,Data!AC:AC=A265&amp;"",""&amp;B265))"),-0.14328318480563457)</f>
        <v>-0.1432831848</v>
      </c>
      <c r="D265" s="10">
        <f>IFERROR(__xludf.DUMMYFUNCTION("average.weighted(filter(Data!K:K,Data!AC:AC=A265&amp;"",""&amp;B265),filter(Data!F:F,Data!AC:AC=A265&amp;"",""&amp;B265))"),-0.5679583315374342)</f>
        <v>-0.5679583315</v>
      </c>
      <c r="E265" s="10">
        <f t="shared" si="1"/>
        <v>-0.7112415163</v>
      </c>
      <c r="F265" s="178">
        <f>IFERROR(__xludf.DUMMYFUNCTION("iferror(round(correl(filter(Data!I:I,Data!C:C=B265,Data!D:D=A265,Data!E:E&gt;=500),filter(Data!N:N,Data!C:C=B265,Data!D:D=A265,Data!E:E&gt;=500)),2),"""")"),0.09)</f>
        <v>0.09</v>
      </c>
    </row>
    <row r="266" hidden="1">
      <c r="A266" s="1" t="s">
        <v>15</v>
      </c>
      <c r="B266" s="1" t="s">
        <v>66</v>
      </c>
      <c r="C266" s="10">
        <f>IFERROR(__xludf.DUMMYFUNCTION("average.weighted(filter(Data!J:J,Data!AC:AC=A266&amp;"",""&amp;B266),filter(Data!F:F,Data!AC:AC=A266&amp;"",""&amp;B266))"),-0.0262321638211527)</f>
        <v>-0.02623216382</v>
      </c>
      <c r="D266" s="10">
        <f>IFERROR(__xludf.DUMMYFUNCTION("average.weighted(filter(Data!K:K,Data!AC:AC=A266&amp;"",""&amp;B266),filter(Data!F:F,Data!AC:AC=A266&amp;"",""&amp;B266))"),-0.6871871079031596)</f>
        <v>-0.6871871079</v>
      </c>
      <c r="E266" s="10">
        <f t="shared" si="1"/>
        <v>-0.7134192717</v>
      </c>
      <c r="F266" s="178">
        <f>IFERROR(__xludf.DUMMYFUNCTION("iferror(round(correl(filter(Data!I:I,Data!C:C=B266,Data!D:D=A266,Data!E:E&gt;=500),filter(Data!N:N,Data!C:C=B266,Data!D:D=A266,Data!E:E&gt;=500)),2),"""")"),-0.44)</f>
        <v>-0.44</v>
      </c>
    </row>
    <row r="267" hidden="1">
      <c r="A267" s="1" t="s">
        <v>48</v>
      </c>
      <c r="B267" s="1" t="s">
        <v>61</v>
      </c>
      <c r="C267" s="10" t="str">
        <f>IFERROR(__xludf.DUMMYFUNCTION("average.weighted(filter(Data!J:J,Data!AC:AC=A267&amp;"",""&amp;B267),filter(Data!F:F,Data!AC:AC=A267&amp;"",""&amp;B267))"),"#N/A")</f>
        <v>#N/A</v>
      </c>
      <c r="D267" s="10" t="str">
        <f>IFERROR(__xludf.DUMMYFUNCTION("average.weighted(filter(Data!K:K,Data!AC:AC=A267&amp;"",""&amp;B267),filter(Data!F:F,Data!AC:AC=A267&amp;"",""&amp;B267))"),"#N/A")</f>
        <v>#N/A</v>
      </c>
      <c r="E267" s="10" t="str">
        <f t="shared" si="1"/>
        <v>#N/A</v>
      </c>
      <c r="F267" s="178" t="str">
        <f>IFERROR(__xludf.DUMMYFUNCTION("iferror(round(correl(filter(Data!I:I,Data!C:C=B267,Data!D:D=A267,Data!E:E&gt;=500),filter(Data!N:N,Data!C:C=B267,Data!D:D=A267,Data!E:E&gt;=500)),2),"""")"),"")</f>
        <v/>
      </c>
    </row>
    <row r="268" hidden="1">
      <c r="A268" s="1" t="s">
        <v>15</v>
      </c>
      <c r="B268" s="1" t="s">
        <v>64</v>
      </c>
      <c r="C268" s="10" t="str">
        <f>IFERROR(__xludf.DUMMYFUNCTION("average.weighted(filter(Data!J:J,Data!AC:AC=A268&amp;"",""&amp;B268),filter(Data!F:F,Data!AC:AC=A268&amp;"",""&amp;B268))"),"#N/A")</f>
        <v>#N/A</v>
      </c>
      <c r="D268" s="10" t="str">
        <f>IFERROR(__xludf.DUMMYFUNCTION("average.weighted(filter(Data!K:K,Data!AC:AC=A268&amp;"",""&amp;B268),filter(Data!F:F,Data!AC:AC=A268&amp;"",""&amp;B268))"),"#N/A")</f>
        <v>#N/A</v>
      </c>
      <c r="E268" s="10" t="str">
        <f t="shared" si="1"/>
        <v>#N/A</v>
      </c>
      <c r="F268" s="178" t="str">
        <f>IFERROR(__xludf.DUMMYFUNCTION("iferror(round(correl(filter(Data!I:I,Data!C:C=B268,Data!D:D=A268,Data!E:E&gt;=500),filter(Data!N:N,Data!C:C=B268,Data!D:D=A268,Data!E:E&gt;=500)),2),"""")"),"")</f>
        <v/>
      </c>
    </row>
    <row r="269" hidden="1">
      <c r="A269" s="1" t="s">
        <v>43</v>
      </c>
      <c r="B269" s="1" t="s">
        <v>61</v>
      </c>
      <c r="C269" s="10" t="str">
        <f>IFERROR(__xludf.DUMMYFUNCTION("average.weighted(filter(Data!J:J,Data!AC:AC=A269&amp;"",""&amp;B269),filter(Data!F:F,Data!AC:AC=A269&amp;"",""&amp;B269))"),"#N/A")</f>
        <v>#N/A</v>
      </c>
      <c r="D269" s="10" t="str">
        <f>IFERROR(__xludf.DUMMYFUNCTION("average.weighted(filter(Data!K:K,Data!AC:AC=A269&amp;"",""&amp;B269),filter(Data!F:F,Data!AC:AC=A269&amp;"",""&amp;B269))"),"#N/A")</f>
        <v>#N/A</v>
      </c>
      <c r="E269" s="10" t="str">
        <f t="shared" si="1"/>
        <v>#N/A</v>
      </c>
      <c r="F269" s="178" t="str">
        <f>IFERROR(__xludf.DUMMYFUNCTION("iferror(round(correl(filter(Data!I:I,Data!C:C=B269,Data!D:D=A269,Data!E:E&gt;=500),filter(Data!N:N,Data!C:C=B269,Data!D:D=A269,Data!E:E&gt;=500)),2),"""")"),"")</f>
        <v/>
      </c>
    </row>
    <row r="270" hidden="1">
      <c r="A270" s="1" t="s">
        <v>31</v>
      </c>
      <c r="B270" s="1" t="s">
        <v>64</v>
      </c>
      <c r="C270" s="10" t="str">
        <f>IFERROR(__xludf.DUMMYFUNCTION("average.weighted(filter(Data!J:J,Data!AC:AC=A270&amp;"",""&amp;B270),filter(Data!F:F,Data!AC:AC=A270&amp;"",""&amp;B270))"),"#N/A")</f>
        <v>#N/A</v>
      </c>
      <c r="D270" s="10" t="str">
        <f>IFERROR(__xludf.DUMMYFUNCTION("average.weighted(filter(Data!K:K,Data!AC:AC=A270&amp;"",""&amp;B270),filter(Data!F:F,Data!AC:AC=A270&amp;"",""&amp;B270))"),"#N/A")</f>
        <v>#N/A</v>
      </c>
      <c r="E270" s="10" t="str">
        <f t="shared" si="1"/>
        <v>#N/A</v>
      </c>
      <c r="F270" s="178" t="str">
        <f>IFERROR(__xludf.DUMMYFUNCTION("iferror(round(correl(filter(Data!I:I,Data!C:C=B270,Data!D:D=A270,Data!E:E&gt;=500),filter(Data!N:N,Data!C:C=B270,Data!D:D=A270,Data!E:E&gt;=500)),2),"""")"),"")</f>
        <v/>
      </c>
    </row>
    <row r="271" hidden="1">
      <c r="A271" s="1" t="s">
        <v>19</v>
      </c>
      <c r="B271" s="1" t="s">
        <v>61</v>
      </c>
      <c r="C271" s="10" t="str">
        <f>IFERROR(__xludf.DUMMYFUNCTION("average.weighted(filter(Data!J:J,Data!AC:AC=A271&amp;"",""&amp;B271),filter(Data!F:F,Data!AC:AC=A271&amp;"",""&amp;B271))"),"#N/A")</f>
        <v>#N/A</v>
      </c>
      <c r="D271" s="10" t="str">
        <f>IFERROR(__xludf.DUMMYFUNCTION("average.weighted(filter(Data!K:K,Data!AC:AC=A271&amp;"",""&amp;B271),filter(Data!F:F,Data!AC:AC=A271&amp;"",""&amp;B271))"),"#N/A")</f>
        <v>#N/A</v>
      </c>
      <c r="E271" s="10" t="str">
        <f t="shared" si="1"/>
        <v>#N/A</v>
      </c>
      <c r="F271" s="178" t="str">
        <f>IFERROR(__xludf.DUMMYFUNCTION("iferror(round(correl(filter(Data!I:I,Data!C:C=B271,Data!D:D=A271,Data!E:E&gt;=500),filter(Data!N:N,Data!C:C=B271,Data!D:D=A271,Data!E:E&gt;=500)),2),"""")"),"")</f>
        <v/>
      </c>
    </row>
    <row r="272" hidden="1">
      <c r="A272" s="1" t="s">
        <v>20</v>
      </c>
      <c r="B272" s="1" t="s">
        <v>64</v>
      </c>
      <c r="C272" s="10" t="str">
        <f>IFERROR(__xludf.DUMMYFUNCTION("average.weighted(filter(Data!J:J,Data!AC:AC=A272&amp;"",""&amp;B272),filter(Data!F:F,Data!AC:AC=A272&amp;"",""&amp;B272))"),"#N/A")</f>
        <v>#N/A</v>
      </c>
      <c r="D272" s="10" t="str">
        <f>IFERROR(__xludf.DUMMYFUNCTION("average.weighted(filter(Data!K:K,Data!AC:AC=A272&amp;"",""&amp;B272),filter(Data!F:F,Data!AC:AC=A272&amp;"",""&amp;B272))"),"#N/A")</f>
        <v>#N/A</v>
      </c>
      <c r="E272" s="10" t="str">
        <f t="shared" si="1"/>
        <v>#N/A</v>
      </c>
      <c r="F272" s="178" t="str">
        <f>IFERROR(__xludf.DUMMYFUNCTION("iferror(round(correl(filter(Data!I:I,Data!C:C=B272,Data!D:D=A272,Data!E:E&gt;=500),filter(Data!N:N,Data!C:C=B272,Data!D:D=A272,Data!E:E&gt;=500)),2),"""")"),"")</f>
        <v/>
      </c>
    </row>
    <row r="273" hidden="1">
      <c r="A273" s="1" t="s">
        <v>20</v>
      </c>
      <c r="B273" s="1" t="s">
        <v>61</v>
      </c>
      <c r="C273" s="10" t="str">
        <f>IFERROR(__xludf.DUMMYFUNCTION("average.weighted(filter(Data!J:J,Data!AC:AC=A273&amp;"",""&amp;B273),filter(Data!F:F,Data!AC:AC=A273&amp;"",""&amp;B273))"),"#N/A")</f>
        <v>#N/A</v>
      </c>
      <c r="D273" s="10" t="str">
        <f>IFERROR(__xludf.DUMMYFUNCTION("average.weighted(filter(Data!K:K,Data!AC:AC=A273&amp;"",""&amp;B273),filter(Data!F:F,Data!AC:AC=A273&amp;"",""&amp;B273))"),"#N/A")</f>
        <v>#N/A</v>
      </c>
      <c r="E273" s="10" t="str">
        <f t="shared" si="1"/>
        <v>#N/A</v>
      </c>
      <c r="F273" s="178" t="str">
        <f>IFERROR(__xludf.DUMMYFUNCTION("iferror(round(correl(filter(Data!I:I,Data!C:C=B273,Data!D:D=A273,Data!E:E&gt;=500),filter(Data!N:N,Data!C:C=B273,Data!D:D=A273,Data!E:E&gt;=500)),2),"""")"),"")</f>
        <v/>
      </c>
    </row>
    <row r="274" hidden="1">
      <c r="A274" s="1" t="s">
        <v>19</v>
      </c>
      <c r="B274" s="1" t="s">
        <v>62</v>
      </c>
      <c r="C274" s="10" t="str">
        <f>IFERROR(__xludf.DUMMYFUNCTION("average.weighted(filter(Data!J:J,Data!AC:AC=A274&amp;"",""&amp;B274),filter(Data!F:F,Data!AC:AC=A274&amp;"",""&amp;B274))"),"#N/A")</f>
        <v>#N/A</v>
      </c>
      <c r="D274" s="10" t="str">
        <f>IFERROR(__xludf.DUMMYFUNCTION("average.weighted(filter(Data!K:K,Data!AC:AC=A274&amp;"",""&amp;B274),filter(Data!F:F,Data!AC:AC=A274&amp;"",""&amp;B274))"),"#N/A")</f>
        <v>#N/A</v>
      </c>
      <c r="E274" s="10" t="str">
        <f t="shared" si="1"/>
        <v>#N/A</v>
      </c>
      <c r="F274" s="178" t="str">
        <f>IFERROR(__xludf.DUMMYFUNCTION("iferror(round(correl(filter(Data!I:I,Data!C:C=B274,Data!D:D=A274,Data!E:E&gt;=500),filter(Data!N:N,Data!C:C=B274,Data!D:D=A274,Data!E:E&gt;=500)),2),"""")"),"")</f>
        <v/>
      </c>
    </row>
    <row r="275" hidden="1">
      <c r="A275" s="1" t="s">
        <v>44</v>
      </c>
      <c r="B275" s="1" t="s">
        <v>68</v>
      </c>
      <c r="C275" s="10">
        <f>IFERROR(__xludf.DUMMYFUNCTION("average.weighted(filter(Data!J:J,Data!AC:AC=A275&amp;"",""&amp;B275),filter(Data!F:F,Data!AC:AC=A275&amp;"",""&amp;B275))"),-0.5419632938765465)</f>
        <v>-0.5419632939</v>
      </c>
      <c r="D275" s="10">
        <f>IFERROR(__xludf.DUMMYFUNCTION("average.weighted(filter(Data!K:K,Data!AC:AC=A275&amp;"",""&amp;B275),filter(Data!F:F,Data!AC:AC=A275&amp;"",""&amp;B275))"),-0.1815197461901953)</f>
        <v>-0.1815197462</v>
      </c>
      <c r="E275" s="10">
        <f t="shared" si="1"/>
        <v>-0.7234830401</v>
      </c>
      <c r="F275" s="178">
        <f>IFERROR(__xludf.DUMMYFUNCTION("iferror(round(correl(filter(Data!I:I,Data!C:C=B275,Data!D:D=A275,Data!E:E&gt;=500),filter(Data!N:N,Data!C:C=B275,Data!D:D=A275,Data!E:E&gt;=500)),2),"""")"),-0.13)</f>
        <v>-0.13</v>
      </c>
    </row>
    <row r="276" hidden="1">
      <c r="A276" s="1" t="s">
        <v>48</v>
      </c>
      <c r="B276" s="1" t="s">
        <v>67</v>
      </c>
      <c r="C276" s="10">
        <f>IFERROR(__xludf.DUMMYFUNCTION("average.weighted(filter(Data!J:J,Data!AC:AC=A276&amp;"",""&amp;B276),filter(Data!F:F,Data!AC:AC=A276&amp;"",""&amp;B276))"),-0.5790334153125744)</f>
        <v>-0.5790334153</v>
      </c>
      <c r="D276" s="10">
        <f>IFERROR(__xludf.DUMMYFUNCTION("average.weighted(filter(Data!K:K,Data!AC:AC=A276&amp;"",""&amp;B276),filter(Data!F:F,Data!AC:AC=A276&amp;"",""&amp;B276))"),-0.18458439696936849)</f>
        <v>-0.184584397</v>
      </c>
      <c r="E276" s="10">
        <f t="shared" si="1"/>
        <v>-0.7636178123</v>
      </c>
      <c r="F276" s="178">
        <f>IFERROR(__xludf.DUMMYFUNCTION("iferror(round(correl(filter(Data!I:I,Data!C:C=B276,Data!D:D=A276,Data!E:E&gt;=500),filter(Data!N:N,Data!C:C=B276,Data!D:D=A276,Data!E:E&gt;=500)),2),"""")"),0.23)</f>
        <v>0.23</v>
      </c>
    </row>
    <row r="277" hidden="1">
      <c r="A277" s="1" t="s">
        <v>48</v>
      </c>
      <c r="B277" s="1" t="s">
        <v>68</v>
      </c>
      <c r="C277" s="10">
        <f>IFERROR(__xludf.DUMMYFUNCTION("average.weighted(filter(Data!J:J,Data!AC:AC=A277&amp;"",""&amp;B277),filter(Data!F:F,Data!AC:AC=A277&amp;"",""&amp;B277))"),-0.6777650819384164)</f>
        <v>-0.6777650819</v>
      </c>
      <c r="D277" s="10">
        <f>IFERROR(__xludf.DUMMYFUNCTION("average.weighted(filter(Data!K:K,Data!AC:AC=A277&amp;"",""&amp;B277),filter(Data!F:F,Data!AC:AC=A277&amp;"",""&amp;B277))"),-0.11418453876921993)</f>
        <v>-0.1141845388</v>
      </c>
      <c r="E277" s="10">
        <f t="shared" si="1"/>
        <v>-0.7919496207</v>
      </c>
      <c r="F277" s="178">
        <f>IFERROR(__xludf.DUMMYFUNCTION("iferror(round(correl(filter(Data!I:I,Data!C:C=B277,Data!D:D=A277,Data!E:E&gt;=500),filter(Data!N:N,Data!C:C=B277,Data!D:D=A277,Data!E:E&gt;=500)),2),"""")"),0.24)</f>
        <v>0.24</v>
      </c>
    </row>
    <row r="278" hidden="1">
      <c r="A278" s="1" t="s">
        <v>30</v>
      </c>
      <c r="B278" s="1" t="s">
        <v>64</v>
      </c>
      <c r="C278" s="10" t="str">
        <f>IFERROR(__xludf.DUMMYFUNCTION("average.weighted(filter(Data!J:J,Data!AC:AC=A278&amp;"",""&amp;B278),filter(Data!F:F,Data!AC:AC=A278&amp;"",""&amp;B278))"),"#N/A")</f>
        <v>#N/A</v>
      </c>
      <c r="D278" s="10" t="str">
        <f>IFERROR(__xludf.DUMMYFUNCTION("average.weighted(filter(Data!K:K,Data!AC:AC=A278&amp;"",""&amp;B278),filter(Data!F:F,Data!AC:AC=A278&amp;"",""&amp;B278))"),"#N/A")</f>
        <v>#N/A</v>
      </c>
      <c r="E278" s="10" t="str">
        <f t="shared" si="1"/>
        <v>#N/A</v>
      </c>
      <c r="F278" s="178" t="str">
        <f>IFERROR(__xludf.DUMMYFUNCTION("iferror(round(correl(filter(Data!I:I,Data!C:C=B278,Data!D:D=A278,Data!E:E&gt;=500),filter(Data!N:N,Data!C:C=B278,Data!D:D=A278,Data!E:E&gt;=500)),2),"""")"),"")</f>
        <v/>
      </c>
    </row>
    <row r="279">
      <c r="A279" s="1" t="s">
        <v>17</v>
      </c>
      <c r="B279" s="179" t="s">
        <v>13</v>
      </c>
      <c r="C279" s="10">
        <f>IFERROR(__xludf.DUMMYFUNCTION("average.weighted(filter(Data!J:J,Data!AC:AC=A279&amp;"",""&amp;B279),filter(Data!F:F,Data!AC:AC=A279&amp;"",""&amp;B279))"),-0.21287274759065897)</f>
        <v>-0.2128727476</v>
      </c>
      <c r="D279" s="10">
        <f>IFERROR(__xludf.DUMMYFUNCTION("average.weighted(filter(Data!K:K,Data!AC:AC=A279&amp;"",""&amp;B279),filter(Data!F:F,Data!AC:AC=A279&amp;"",""&amp;B279))"),-0.6441564884572805)</f>
        <v>-0.6441564885</v>
      </c>
      <c r="E279" s="10">
        <f t="shared" si="1"/>
        <v>-0.857029236</v>
      </c>
      <c r="F279" s="178">
        <f>IFERROR(__xludf.DUMMYFUNCTION("iferror(round(correl(filter(Data!I:I,Data!C:C=B279,Data!D:D=A279,Data!E:E&gt;=500),filter(Data!N:N,Data!C:C=B279,Data!D:D=A279,Data!E:E&gt;=500)),2),"""")"),0.17)</f>
        <v>0.17</v>
      </c>
    </row>
    <row r="280" hidden="1">
      <c r="A280" s="1" t="s">
        <v>36</v>
      </c>
      <c r="B280" s="1" t="s">
        <v>64</v>
      </c>
      <c r="C280" s="10" t="str">
        <f>IFERROR(__xludf.DUMMYFUNCTION("average.weighted(filter(Data!J:J,Data!AC:AC=A280&amp;"",""&amp;B280),filter(Data!F:F,Data!AC:AC=A280&amp;"",""&amp;B280))"),"#N/A")</f>
        <v>#N/A</v>
      </c>
      <c r="D280" s="10" t="str">
        <f>IFERROR(__xludf.DUMMYFUNCTION("average.weighted(filter(Data!K:K,Data!AC:AC=A280&amp;"",""&amp;B280),filter(Data!F:F,Data!AC:AC=A280&amp;"",""&amp;B280))"),"#N/A")</f>
        <v>#N/A</v>
      </c>
      <c r="E280" s="10" t="str">
        <f t="shared" si="1"/>
        <v>#N/A</v>
      </c>
      <c r="F280" s="178" t="str">
        <f>IFERROR(__xludf.DUMMYFUNCTION("iferror(round(correl(filter(Data!I:I,Data!C:C=B280,Data!D:D=A280,Data!E:E&gt;=500),filter(Data!N:N,Data!C:C=B280,Data!D:D=A280,Data!E:E&gt;=500)),2),"""")"),"")</f>
        <v/>
      </c>
    </row>
    <row r="281" hidden="1">
      <c r="A281" s="1" t="s">
        <v>40</v>
      </c>
      <c r="B281" s="1" t="s">
        <v>63</v>
      </c>
      <c r="C281" s="10" t="str">
        <f>IFERROR(__xludf.DUMMYFUNCTION("average.weighted(filter(Data!J:J,Data!AC:AC=A281&amp;"",""&amp;B281),filter(Data!F:F,Data!AC:AC=A281&amp;"",""&amp;B281))"),"#N/A")</f>
        <v>#N/A</v>
      </c>
      <c r="D281" s="10" t="str">
        <f>IFERROR(__xludf.DUMMYFUNCTION("average.weighted(filter(Data!K:K,Data!AC:AC=A281&amp;"",""&amp;B281),filter(Data!F:F,Data!AC:AC=A281&amp;"",""&amp;B281))"),"#N/A")</f>
        <v>#N/A</v>
      </c>
      <c r="E281" s="10" t="str">
        <f t="shared" si="1"/>
        <v>#N/A</v>
      </c>
      <c r="F281" s="178" t="str">
        <f>IFERROR(__xludf.DUMMYFUNCTION("iferror(round(correl(filter(Data!I:I,Data!C:C=B281,Data!D:D=A281,Data!E:E&gt;=500),filter(Data!N:N,Data!C:C=B281,Data!D:D=A281,Data!E:E&gt;=500)),2),"""")"),"")</f>
        <v/>
      </c>
    </row>
    <row r="282" hidden="1">
      <c r="A282" s="1" t="s">
        <v>41</v>
      </c>
      <c r="B282" s="1" t="s">
        <v>68</v>
      </c>
      <c r="C282" s="10">
        <f>IFERROR(__xludf.DUMMYFUNCTION("average.weighted(filter(Data!J:J,Data!AC:AC=A282&amp;"",""&amp;B282),filter(Data!F:F,Data!AC:AC=A282&amp;"",""&amp;B282))"),-0.17843355846423764)</f>
        <v>-0.1784335585</v>
      </c>
      <c r="D282" s="10">
        <f>IFERROR(__xludf.DUMMYFUNCTION("average.weighted(filter(Data!K:K,Data!AC:AC=A282&amp;"",""&amp;B282),filter(Data!F:F,Data!AC:AC=A282&amp;"",""&amp;B282))"),-0.6220642525363836)</f>
        <v>-0.6220642525</v>
      </c>
      <c r="E282" s="10">
        <f t="shared" si="1"/>
        <v>-0.800497811</v>
      </c>
      <c r="F282" s="178">
        <f>IFERROR(__xludf.DUMMYFUNCTION("iferror(round(correl(filter(Data!I:I,Data!C:C=B282,Data!D:D=A282,Data!E:E&gt;=500),filter(Data!N:N,Data!C:C=B282,Data!D:D=A282,Data!E:E&gt;=500)),2),"""")"),0.37)</f>
        <v>0.37</v>
      </c>
    </row>
    <row r="283" hidden="1">
      <c r="A283" s="1" t="s">
        <v>47</v>
      </c>
      <c r="B283" s="1" t="s">
        <v>71</v>
      </c>
      <c r="C283" s="10">
        <f>IFERROR(__xludf.DUMMYFUNCTION("average.weighted(filter(Data!J:J,Data!AC:AC=A283&amp;"",""&amp;B283),filter(Data!F:F,Data!AC:AC=A283&amp;"",""&amp;B283))"),-0.7774325341657642)</f>
        <v>-0.7774325342</v>
      </c>
      <c r="D283" s="10">
        <f>IFERROR(__xludf.DUMMYFUNCTION("average.weighted(filter(Data!K:K,Data!AC:AC=A283&amp;"",""&amp;B283),filter(Data!F:F,Data!AC:AC=A283&amp;"",""&amp;B283))"),-0.0626620874326043)</f>
        <v>-0.06266208743</v>
      </c>
      <c r="E283" s="10">
        <f t="shared" si="1"/>
        <v>-0.8400946216</v>
      </c>
      <c r="F283" s="178">
        <f>IFERROR(__xludf.DUMMYFUNCTION("iferror(round(correl(filter(Data!I:I,Data!C:C=B283,Data!D:D=A283,Data!E:E&gt;=500),filter(Data!N:N,Data!C:C=B283,Data!D:D=A283,Data!E:E&gt;=500)),2),"""")"),0.13)</f>
        <v>0.13</v>
      </c>
    </row>
    <row r="284" hidden="1">
      <c r="A284" s="1" t="s">
        <v>46</v>
      </c>
      <c r="B284" s="1" t="s">
        <v>68</v>
      </c>
      <c r="C284" s="10">
        <f>IFERROR(__xludf.DUMMYFUNCTION("average.weighted(filter(Data!J:J,Data!AC:AC=A284&amp;"",""&amp;B284),filter(Data!F:F,Data!AC:AC=A284&amp;"",""&amp;B284))"),-0.501187261376846)</f>
        <v>-0.5011872614</v>
      </c>
      <c r="D284" s="10">
        <f>IFERROR(__xludf.DUMMYFUNCTION("average.weighted(filter(Data!K:K,Data!AC:AC=A284&amp;"",""&amp;B284),filter(Data!F:F,Data!AC:AC=A284&amp;"",""&amp;B284))"),-0.3550212751548872)</f>
        <v>-0.3550212752</v>
      </c>
      <c r="E284" s="10">
        <f t="shared" si="1"/>
        <v>-0.8562085365</v>
      </c>
      <c r="F284" s="178">
        <f>IFERROR(__xludf.DUMMYFUNCTION("iferror(round(correl(filter(Data!I:I,Data!C:C=B284,Data!D:D=A284,Data!E:E&gt;=500),filter(Data!N:N,Data!C:C=B284,Data!D:D=A284,Data!E:E&gt;=500)),2),"""")"),0.3)</f>
        <v>0.3</v>
      </c>
    </row>
    <row r="285" hidden="1">
      <c r="A285" s="1" t="s">
        <v>15</v>
      </c>
      <c r="B285" s="1" t="s">
        <v>67</v>
      </c>
      <c r="C285" s="10">
        <f>IFERROR(__xludf.DUMMYFUNCTION("average.weighted(filter(Data!J:J,Data!AC:AC=A285&amp;"",""&amp;B285),filter(Data!F:F,Data!AC:AC=A285&amp;"",""&amp;B285))"),-0.5925323339332338)</f>
        <v>-0.5925323339</v>
      </c>
      <c r="D285" s="10">
        <f>IFERROR(__xludf.DUMMYFUNCTION("average.weighted(filter(Data!K:K,Data!AC:AC=A285&amp;"",""&amp;B285),filter(Data!F:F,Data!AC:AC=A285&amp;"",""&amp;B285))"),-0.2663861635244067)</f>
        <v>-0.2663861635</v>
      </c>
      <c r="E285" s="10">
        <f t="shared" si="1"/>
        <v>-0.8589184975</v>
      </c>
      <c r="F285" s="178">
        <f>IFERROR(__xludf.DUMMYFUNCTION("iferror(round(correl(filter(Data!I:I,Data!C:C=B285,Data!D:D=A285,Data!E:E&gt;=500),filter(Data!N:N,Data!C:C=B285,Data!D:D=A285,Data!E:E&gt;=500)),2),"""")"),-0.08)</f>
        <v>-0.08</v>
      </c>
    </row>
    <row r="286" hidden="1">
      <c r="A286" s="1" t="s">
        <v>40</v>
      </c>
      <c r="B286" s="1" t="s">
        <v>61</v>
      </c>
      <c r="C286" s="10" t="str">
        <f>IFERROR(__xludf.DUMMYFUNCTION("average.weighted(filter(Data!J:J,Data!AC:AC=A286&amp;"",""&amp;B286),filter(Data!F:F,Data!AC:AC=A286&amp;"",""&amp;B286))"),"#N/A")</f>
        <v>#N/A</v>
      </c>
      <c r="D286" s="10" t="str">
        <f>IFERROR(__xludf.DUMMYFUNCTION("average.weighted(filter(Data!K:K,Data!AC:AC=A286&amp;"",""&amp;B286),filter(Data!F:F,Data!AC:AC=A286&amp;"",""&amp;B286))"),"#N/A")</f>
        <v>#N/A</v>
      </c>
      <c r="E286" s="10" t="str">
        <f t="shared" si="1"/>
        <v>#N/A</v>
      </c>
      <c r="F286" s="178" t="str">
        <f>IFERROR(__xludf.DUMMYFUNCTION("iferror(round(correl(filter(Data!I:I,Data!C:C=B286,Data!D:D=A286,Data!E:E&gt;=500),filter(Data!N:N,Data!C:C=B286,Data!D:D=A286,Data!E:E&gt;=500)),2),"""")"),"")</f>
        <v/>
      </c>
    </row>
    <row r="287" hidden="1">
      <c r="A287" s="1" t="s">
        <v>41</v>
      </c>
      <c r="B287" s="1" t="s">
        <v>69</v>
      </c>
      <c r="C287" s="10">
        <f>IFERROR(__xludf.DUMMYFUNCTION("average.weighted(filter(Data!J:J,Data!AC:AC=A287&amp;"",""&amp;B287),filter(Data!F:F,Data!AC:AC=A287&amp;"",""&amp;B287))"),-0.47266794329250894)</f>
        <v>-0.4726679433</v>
      </c>
      <c r="D287" s="10">
        <f>IFERROR(__xludf.DUMMYFUNCTION("average.weighted(filter(Data!K:K,Data!AC:AC=A287&amp;"",""&amp;B287),filter(Data!F:F,Data!AC:AC=A287&amp;"",""&amp;B287))"),-0.39184502744386307)</f>
        <v>-0.3918450274</v>
      </c>
      <c r="E287" s="10">
        <f t="shared" si="1"/>
        <v>-0.8645129707</v>
      </c>
      <c r="F287" s="178">
        <f>IFERROR(__xludf.DUMMYFUNCTION("iferror(round(correl(filter(Data!I:I,Data!C:C=B287,Data!D:D=A287,Data!E:E&gt;=500),filter(Data!N:N,Data!C:C=B287,Data!D:D=A287,Data!E:E&gt;=500)),2),"""")"),-0.02)</f>
        <v>-0.02</v>
      </c>
    </row>
    <row r="288" hidden="1">
      <c r="A288" s="1" t="s">
        <v>19</v>
      </c>
      <c r="B288" s="1" t="s">
        <v>63</v>
      </c>
      <c r="C288" s="10" t="str">
        <f>IFERROR(__xludf.DUMMYFUNCTION("average.weighted(filter(Data!J:J,Data!AC:AC=A288&amp;"",""&amp;B288),filter(Data!F:F,Data!AC:AC=A288&amp;"",""&amp;B288))"),"#N/A")</f>
        <v>#N/A</v>
      </c>
      <c r="D288" s="10" t="str">
        <f>IFERROR(__xludf.DUMMYFUNCTION("average.weighted(filter(Data!K:K,Data!AC:AC=A288&amp;"",""&amp;B288),filter(Data!F:F,Data!AC:AC=A288&amp;"",""&amp;B288))"),"#N/A")</f>
        <v>#N/A</v>
      </c>
      <c r="E288" s="10" t="str">
        <f t="shared" si="1"/>
        <v>#N/A</v>
      </c>
      <c r="F288" s="178" t="str">
        <f>IFERROR(__xludf.DUMMYFUNCTION("iferror(round(correl(filter(Data!I:I,Data!C:C=B288,Data!D:D=A288,Data!E:E&gt;=500),filter(Data!N:N,Data!C:C=B288,Data!D:D=A288,Data!E:E&gt;=500)),2),"""")"),"")</f>
        <v/>
      </c>
    </row>
    <row r="289" hidden="1">
      <c r="A289" s="1" t="s">
        <v>44</v>
      </c>
      <c r="B289" s="1" t="s">
        <v>64</v>
      </c>
      <c r="C289" s="10" t="str">
        <f>IFERROR(__xludf.DUMMYFUNCTION("average.weighted(filter(Data!J:J,Data!AC:AC=A289&amp;"",""&amp;B289),filter(Data!F:F,Data!AC:AC=A289&amp;"",""&amp;B289))"),"#N/A")</f>
        <v>#N/A</v>
      </c>
      <c r="D289" s="10" t="str">
        <f>IFERROR(__xludf.DUMMYFUNCTION("average.weighted(filter(Data!K:K,Data!AC:AC=A289&amp;"",""&amp;B289),filter(Data!F:F,Data!AC:AC=A289&amp;"",""&amp;B289))"),"#N/A")</f>
        <v>#N/A</v>
      </c>
      <c r="E289" s="10" t="str">
        <f t="shared" si="1"/>
        <v>#N/A</v>
      </c>
      <c r="F289" s="178" t="str">
        <f>IFERROR(__xludf.DUMMYFUNCTION("iferror(round(correl(filter(Data!I:I,Data!C:C=B289,Data!D:D=A289,Data!E:E&gt;=500),filter(Data!N:N,Data!C:C=B289,Data!D:D=A289,Data!E:E&gt;=500)),2),"""")"),"")</f>
        <v/>
      </c>
    </row>
    <row r="290" hidden="1">
      <c r="A290" s="1" t="s">
        <v>14</v>
      </c>
      <c r="B290" s="1" t="s">
        <v>65</v>
      </c>
      <c r="C290" s="10">
        <f>IFERROR(__xludf.DUMMYFUNCTION("average.weighted(filter(Data!J:J,Data!AC:AC=A290&amp;"",""&amp;B290),filter(Data!F:F,Data!AC:AC=A290&amp;"",""&amp;B290))"),-0.5832027925114189)</f>
        <v>-0.5832027925</v>
      </c>
      <c r="D290" s="10">
        <f>IFERROR(__xludf.DUMMYFUNCTION("average.weighted(filter(Data!K:K,Data!AC:AC=A290&amp;"",""&amp;B290),filter(Data!F:F,Data!AC:AC=A290&amp;"",""&amp;B290))"),-0.3007750962136144)</f>
        <v>-0.3007750962</v>
      </c>
      <c r="E290" s="10">
        <f t="shared" si="1"/>
        <v>-0.8839778887</v>
      </c>
      <c r="F290" s="178">
        <f>IFERROR(__xludf.DUMMYFUNCTION("iferror(round(correl(filter(Data!I:I,Data!C:C=B290,Data!D:D=A290,Data!E:E&gt;=500),filter(Data!N:N,Data!C:C=B290,Data!D:D=A290,Data!E:E&gt;=500)),2),"""")"),0.17)</f>
        <v>0.17</v>
      </c>
    </row>
    <row r="291" hidden="1">
      <c r="A291" s="1" t="s">
        <v>45</v>
      </c>
      <c r="B291" s="1" t="s">
        <v>66</v>
      </c>
      <c r="C291" s="10">
        <f>IFERROR(__xludf.DUMMYFUNCTION("average.weighted(filter(Data!J:J,Data!AC:AC=A291&amp;"",""&amp;B291),filter(Data!F:F,Data!AC:AC=A291&amp;"",""&amp;B291))"),-0.07730530308626547)</f>
        <v>-0.07730530309</v>
      </c>
      <c r="D291" s="10">
        <f>IFERROR(__xludf.DUMMYFUNCTION("average.weighted(filter(Data!K:K,Data!AC:AC=A291&amp;"",""&amp;B291),filter(Data!F:F,Data!AC:AC=A291&amp;"",""&amp;B291))"),-0.8275062763170039)</f>
        <v>-0.8275062763</v>
      </c>
      <c r="E291" s="10">
        <f t="shared" si="1"/>
        <v>-0.9048115794</v>
      </c>
      <c r="F291" s="178">
        <f>IFERROR(__xludf.DUMMYFUNCTION("iferror(round(correl(filter(Data!I:I,Data!C:C=B291,Data!D:D=A291,Data!E:E&gt;=500),filter(Data!N:N,Data!C:C=B291,Data!D:D=A291,Data!E:E&gt;=500)),2),"""")"),-0.16)</f>
        <v>-0.16</v>
      </c>
    </row>
    <row r="292" hidden="1">
      <c r="A292" s="1" t="s">
        <v>37</v>
      </c>
      <c r="B292" s="1" t="s">
        <v>71</v>
      </c>
      <c r="C292" s="10">
        <f>IFERROR(__xludf.DUMMYFUNCTION("average.weighted(filter(Data!J:J,Data!AC:AC=A292&amp;"",""&amp;B292),filter(Data!F:F,Data!AC:AC=A292&amp;"",""&amp;B292))"),-0.6382295564961551)</f>
        <v>-0.6382295565</v>
      </c>
      <c r="D292" s="10">
        <f>IFERROR(__xludf.DUMMYFUNCTION("average.weighted(filter(Data!K:K,Data!AC:AC=A292&amp;"",""&amp;B292),filter(Data!F:F,Data!AC:AC=A292&amp;"",""&amp;B292))"),-0.32052347911036294)</f>
        <v>-0.3205234791</v>
      </c>
      <c r="E292" s="10">
        <f t="shared" si="1"/>
        <v>-0.9587530356</v>
      </c>
      <c r="F292" s="178">
        <f>IFERROR(__xludf.DUMMYFUNCTION("iferror(round(correl(filter(Data!I:I,Data!C:C=B292,Data!D:D=A292,Data!E:E&gt;=500),filter(Data!N:N,Data!C:C=B292,Data!D:D=A292,Data!E:E&gt;=500)),2),"""")"),0.37)</f>
        <v>0.37</v>
      </c>
    </row>
    <row r="293" hidden="1">
      <c r="A293" s="1" t="s">
        <v>47</v>
      </c>
      <c r="B293" s="1" t="s">
        <v>64</v>
      </c>
      <c r="C293" s="10" t="str">
        <f>IFERROR(__xludf.DUMMYFUNCTION("average.weighted(filter(Data!J:J,Data!AC:AC=A293&amp;"",""&amp;B293),filter(Data!F:F,Data!AC:AC=A293&amp;"",""&amp;B293))"),"#N/A")</f>
        <v>#N/A</v>
      </c>
      <c r="D293" s="10" t="str">
        <f>IFERROR(__xludf.DUMMYFUNCTION("average.weighted(filter(Data!K:K,Data!AC:AC=A293&amp;"",""&amp;B293),filter(Data!F:F,Data!AC:AC=A293&amp;"",""&amp;B293))"),"#N/A")</f>
        <v>#N/A</v>
      </c>
      <c r="E293" s="10" t="str">
        <f t="shared" si="1"/>
        <v>#N/A</v>
      </c>
      <c r="F293" s="178" t="str">
        <f>IFERROR(__xludf.DUMMYFUNCTION("iferror(round(correl(filter(Data!I:I,Data!C:C=B293,Data!D:D=A293,Data!E:E&gt;=500),filter(Data!N:N,Data!C:C=B293,Data!D:D=A293,Data!E:E&gt;=500)),2),"""")"),"")</f>
        <v/>
      </c>
    </row>
    <row r="294" hidden="1">
      <c r="A294" s="1" t="s">
        <v>46</v>
      </c>
      <c r="B294" s="1" t="s">
        <v>66</v>
      </c>
      <c r="C294" s="10">
        <f>IFERROR(__xludf.DUMMYFUNCTION("average.weighted(filter(Data!J:J,Data!AC:AC=A294&amp;"",""&amp;B294),filter(Data!F:F,Data!AC:AC=A294&amp;"",""&amp;B294))"),-0.7260266021707652)</f>
        <v>-0.7260266022</v>
      </c>
      <c r="D294" s="10">
        <f>IFERROR(__xludf.DUMMYFUNCTION("average.weighted(filter(Data!K:K,Data!AC:AC=A294&amp;"",""&amp;B294),filter(Data!F:F,Data!AC:AC=A294&amp;"",""&amp;B294))"),-0.26957709370038657)</f>
        <v>-0.2695770937</v>
      </c>
      <c r="E294" s="10">
        <f t="shared" si="1"/>
        <v>-0.9956036959</v>
      </c>
      <c r="F294" s="178">
        <f>IFERROR(__xludf.DUMMYFUNCTION("iferror(round(correl(filter(Data!I:I,Data!C:C=B294,Data!D:D=A294,Data!E:E&gt;=500),filter(Data!N:N,Data!C:C=B294,Data!D:D=A294,Data!E:E&gt;=500)),2),"""")"),0.16)</f>
        <v>0.16</v>
      </c>
    </row>
    <row r="295">
      <c r="A295" s="1" t="s">
        <v>43</v>
      </c>
      <c r="B295" s="179" t="s">
        <v>13</v>
      </c>
      <c r="C295" s="10">
        <f>IFERROR(__xludf.DUMMYFUNCTION("average.weighted(filter(Data!J:J,Data!AC:AC=A295&amp;"",""&amp;B295),filter(Data!F:F,Data!AC:AC=A295&amp;"",""&amp;B295))"),-0.6747623213952954)</f>
        <v>-0.6747623214</v>
      </c>
      <c r="D295" s="10">
        <f>IFERROR(__xludf.DUMMYFUNCTION("average.weighted(filter(Data!K:K,Data!AC:AC=A295&amp;"",""&amp;B295),filter(Data!F:F,Data!AC:AC=A295&amp;"",""&amp;B295))"),-0.6084015668753955)</f>
        <v>-0.6084015669</v>
      </c>
      <c r="E295" s="10">
        <f t="shared" si="1"/>
        <v>-1.283163888</v>
      </c>
      <c r="F295" s="178">
        <f>IFERROR(__xludf.DUMMYFUNCTION("iferror(round(correl(filter(Data!I:I,Data!C:C=B295,Data!D:D=A295,Data!E:E&gt;=500),filter(Data!N:N,Data!C:C=B295,Data!D:D=A295,Data!E:E&gt;=500)),2),"""")"),0.45)</f>
        <v>0.45</v>
      </c>
    </row>
    <row r="296" hidden="1">
      <c r="A296" s="1" t="s">
        <v>43</v>
      </c>
      <c r="B296" s="1" t="s">
        <v>62</v>
      </c>
      <c r="C296" s="10" t="str">
        <f>IFERROR(__xludf.DUMMYFUNCTION("average.weighted(filter(Data!J:J,Data!AC:AC=A296&amp;"",""&amp;B296),filter(Data!F:F,Data!AC:AC=A296&amp;"",""&amp;B296))"),"#N/A")</f>
        <v>#N/A</v>
      </c>
      <c r="D296" s="10" t="str">
        <f>IFERROR(__xludf.DUMMYFUNCTION("average.weighted(filter(Data!K:K,Data!AC:AC=A296&amp;"",""&amp;B296),filter(Data!F:F,Data!AC:AC=A296&amp;"",""&amp;B296))"),"#N/A")</f>
        <v>#N/A</v>
      </c>
      <c r="E296" s="10" t="str">
        <f t="shared" si="1"/>
        <v>#N/A</v>
      </c>
      <c r="F296" s="178" t="str">
        <f>IFERROR(__xludf.DUMMYFUNCTION("iferror(round(correl(filter(Data!I:I,Data!C:C=B296,Data!D:D=A296,Data!E:E&gt;=500),filter(Data!N:N,Data!C:C=B296,Data!D:D=A296,Data!E:E&gt;=500)),2),"""")"),"")</f>
        <v/>
      </c>
    </row>
    <row r="297">
      <c r="A297" s="1" t="s">
        <v>25</v>
      </c>
      <c r="B297" s="179" t="s">
        <v>13</v>
      </c>
      <c r="C297" s="10">
        <f>IFERROR(__xludf.DUMMYFUNCTION("average.weighted(filter(Data!J:J,Data!AC:AC=A297&amp;"",""&amp;B297),filter(Data!F:F,Data!AC:AC=A297&amp;"",""&amp;B297))"),-0.5489159733284287)</f>
        <v>-0.5489159733</v>
      </c>
      <c r="D297" s="10">
        <f>IFERROR(__xludf.DUMMYFUNCTION("average.weighted(filter(Data!K:K,Data!AC:AC=A297&amp;"",""&amp;B297),filter(Data!F:F,Data!AC:AC=A297&amp;"",""&amp;B297))"),-0.8746127052572004)</f>
        <v>-0.8746127053</v>
      </c>
      <c r="E297" s="10">
        <f t="shared" si="1"/>
        <v>-1.423528679</v>
      </c>
      <c r="F297" s="178">
        <f>IFERROR(__xludf.DUMMYFUNCTION("iferror(round(correl(filter(Data!I:I,Data!C:C=B297,Data!D:D=A297,Data!E:E&gt;=500),filter(Data!N:N,Data!C:C=B297,Data!D:D=A297,Data!E:E&gt;=500)),2),"""")"),0.7)</f>
        <v>0.7</v>
      </c>
    </row>
    <row r="298" hidden="1">
      <c r="A298" s="1" t="s">
        <v>31</v>
      </c>
      <c r="B298" s="1" t="s">
        <v>62</v>
      </c>
      <c r="C298" s="10" t="str">
        <f>IFERROR(__xludf.DUMMYFUNCTION("average.weighted(filter(Data!J:J,Data!AC:AC=A298&amp;"",""&amp;B298),filter(Data!F:F,Data!AC:AC=A298&amp;"",""&amp;B298))"),"#N/A")</f>
        <v>#N/A</v>
      </c>
      <c r="D298" s="10" t="str">
        <f>IFERROR(__xludf.DUMMYFUNCTION("average.weighted(filter(Data!K:K,Data!AC:AC=A298&amp;"",""&amp;B298),filter(Data!F:F,Data!AC:AC=A298&amp;"",""&amp;B298))"),"#N/A")</f>
        <v>#N/A</v>
      </c>
      <c r="E298" s="10" t="str">
        <f t="shared" si="1"/>
        <v>#N/A</v>
      </c>
      <c r="F298" s="178" t="str">
        <f>IFERROR(__xludf.DUMMYFUNCTION("iferror(round(correl(filter(Data!I:I,Data!C:C=B298,Data!D:D=A298,Data!E:E&gt;=500),filter(Data!N:N,Data!C:C=B298,Data!D:D=A298,Data!E:E&gt;=500)),2),"""")"),"")</f>
        <v/>
      </c>
    </row>
    <row r="299" hidden="1">
      <c r="A299" s="1" t="s">
        <v>40</v>
      </c>
      <c r="B299" s="1" t="s">
        <v>62</v>
      </c>
      <c r="C299" s="10" t="str">
        <f>IFERROR(__xludf.DUMMYFUNCTION("average.weighted(filter(Data!J:J,Data!AC:AC=A299&amp;"",""&amp;B299),filter(Data!F:F,Data!AC:AC=A299&amp;"",""&amp;B299))"),"#N/A")</f>
        <v>#N/A</v>
      </c>
      <c r="D299" s="10" t="str">
        <f>IFERROR(__xludf.DUMMYFUNCTION("average.weighted(filter(Data!K:K,Data!AC:AC=A299&amp;"",""&amp;B299),filter(Data!F:F,Data!AC:AC=A299&amp;"",""&amp;B299))"),"#N/A")</f>
        <v>#N/A</v>
      </c>
      <c r="E299" s="10" t="str">
        <f t="shared" si="1"/>
        <v>#N/A</v>
      </c>
      <c r="F299" s="178" t="str">
        <f>IFERROR(__xludf.DUMMYFUNCTION("iferror(round(correl(filter(Data!I:I,Data!C:C=B299,Data!D:D=A299,Data!E:E&gt;=500),filter(Data!N:N,Data!C:C=B299,Data!D:D=A299,Data!E:E&gt;=500)),2),"""")"),"")</f>
        <v/>
      </c>
    </row>
    <row r="300" hidden="1">
      <c r="A300" s="1" t="s">
        <v>14</v>
      </c>
      <c r="B300" s="1" t="s">
        <v>64</v>
      </c>
      <c r="C300" s="10" t="str">
        <f>IFERROR(__xludf.DUMMYFUNCTION("average.weighted(filter(Data!J:J,Data!AC:AC=A300&amp;"",""&amp;B300),filter(Data!F:F,Data!AC:AC=A300&amp;"",""&amp;B300))"),"#N/A")</f>
        <v>#N/A</v>
      </c>
      <c r="D300" s="10" t="str">
        <f>IFERROR(__xludf.DUMMYFUNCTION("average.weighted(filter(Data!K:K,Data!AC:AC=A300&amp;"",""&amp;B300),filter(Data!F:F,Data!AC:AC=A300&amp;"",""&amp;B300))"),"#N/A")</f>
        <v>#N/A</v>
      </c>
      <c r="E300" s="10" t="str">
        <f t="shared" si="1"/>
        <v>#N/A</v>
      </c>
      <c r="F300" s="178" t="str">
        <f>IFERROR(__xludf.DUMMYFUNCTION("iferror(round(correl(filter(Data!I:I,Data!C:C=B300,Data!D:D=A300,Data!E:E&gt;=500),filter(Data!N:N,Data!C:C=B300,Data!D:D=A300,Data!E:E&gt;=500)),2),"""")"),"")</f>
        <v/>
      </c>
    </row>
    <row r="301" hidden="1">
      <c r="A301" s="1" t="s">
        <v>40</v>
      </c>
      <c r="B301" s="1" t="s">
        <v>64</v>
      </c>
      <c r="C301" s="10" t="str">
        <f>IFERROR(__xludf.DUMMYFUNCTION("average.weighted(filter(Data!J:J,Data!AC:AC=A301&amp;"",""&amp;B301),filter(Data!F:F,Data!AC:AC=A301&amp;"",""&amp;B301))"),"#N/A")</f>
        <v>#N/A</v>
      </c>
      <c r="D301" s="10" t="str">
        <f>IFERROR(__xludf.DUMMYFUNCTION("average.weighted(filter(Data!K:K,Data!AC:AC=A301&amp;"",""&amp;B301),filter(Data!F:F,Data!AC:AC=A301&amp;"",""&amp;B301))"),"#N/A")</f>
        <v>#N/A</v>
      </c>
      <c r="E301" s="10" t="str">
        <f t="shared" si="1"/>
        <v>#N/A</v>
      </c>
      <c r="F301" s="178" t="str">
        <f>IFERROR(__xludf.DUMMYFUNCTION("iferror(round(correl(filter(Data!I:I,Data!C:C=B301,Data!D:D=A301,Data!E:E&gt;=500),filter(Data!N:N,Data!C:C=B301,Data!D:D=A301,Data!E:E&gt;=500)),2),"""")"),"")</f>
        <v/>
      </c>
    </row>
    <row r="302">
      <c r="A302" s="1" t="s">
        <v>47</v>
      </c>
      <c r="B302" s="179" t="s">
        <v>13</v>
      </c>
      <c r="C302" s="10">
        <f>IFERROR(__xludf.DUMMYFUNCTION("average.weighted(filter(Data!J:J,Data!AC:AC=A302&amp;"",""&amp;B302),filter(Data!F:F,Data!AC:AC=A302&amp;"",""&amp;B302))"),-0.6219759258060386)</f>
        <v>-0.6219759258</v>
      </c>
      <c r="D302" s="10">
        <f>IFERROR(__xludf.DUMMYFUNCTION("average.weighted(filter(Data!K:K,Data!AC:AC=A302&amp;"",""&amp;B302),filter(Data!F:F,Data!AC:AC=A302&amp;"",""&amp;B302))"),-0.2683099727658991)</f>
        <v>-0.2683099728</v>
      </c>
      <c r="E302" s="10">
        <f t="shared" si="1"/>
        <v>-0.8902858986</v>
      </c>
      <c r="F302" s="178">
        <f>IFERROR(__xludf.DUMMYFUNCTION("iferror(round(correl(filter(Data!I:I,Data!C:C=B302,Data!D:D=A302,Data!E:E&gt;=500),filter(Data!N:N,Data!C:C=B302,Data!D:D=A302,Data!E:E&gt;=500)),2),"""")"),0.39)</f>
        <v>0.39</v>
      </c>
    </row>
    <row r="303" hidden="1">
      <c r="A303" s="1" t="s">
        <v>43</v>
      </c>
      <c r="B303" s="1" t="s">
        <v>64</v>
      </c>
      <c r="C303" s="10" t="str">
        <f>IFERROR(__xludf.DUMMYFUNCTION("average.weighted(filter(Data!J:J,Data!AC:AC=A303&amp;"",""&amp;B303),filter(Data!F:F,Data!AC:AC=A303&amp;"",""&amp;B303))"),"#N/A")</f>
        <v>#N/A</v>
      </c>
      <c r="D303" s="10" t="str">
        <f>IFERROR(__xludf.DUMMYFUNCTION("average.weighted(filter(Data!K:K,Data!AC:AC=A303&amp;"",""&amp;B303),filter(Data!F:F,Data!AC:AC=A303&amp;"",""&amp;B303))"),"#N/A")</f>
        <v>#N/A</v>
      </c>
      <c r="E303" s="10" t="str">
        <f t="shared" si="1"/>
        <v>#N/A</v>
      </c>
      <c r="F303" s="178" t="str">
        <f>IFERROR(__xludf.DUMMYFUNCTION("iferror(round(correl(filter(Data!I:I,Data!C:C=B303,Data!D:D=A303,Data!E:E&gt;=500),filter(Data!N:N,Data!C:C=B303,Data!D:D=A303,Data!E:E&gt;=500)),2),"""")"),"")</f>
        <v/>
      </c>
    </row>
    <row r="304" hidden="1">
      <c r="A304" s="1" t="s">
        <v>18</v>
      </c>
      <c r="B304" s="1" t="s">
        <v>66</v>
      </c>
      <c r="C304" s="10">
        <f>IFERROR(__xludf.DUMMYFUNCTION("average.weighted(filter(Data!J:J,Data!AC:AC=A304&amp;"",""&amp;B304),filter(Data!F:F,Data!AC:AC=A304&amp;"",""&amp;B304))"),-0.6433668473983135)</f>
        <v>-0.6433668474</v>
      </c>
      <c r="D304" s="10">
        <f>IFERROR(__xludf.DUMMYFUNCTION("average.weighted(filter(Data!K:K,Data!AC:AC=A304&amp;"",""&amp;B304),filter(Data!F:F,Data!AC:AC=A304&amp;"",""&amp;B304))"),-0.5258337306157608)</f>
        <v>-0.5258337306</v>
      </c>
      <c r="E304" s="10">
        <f t="shared" si="1"/>
        <v>-1.169200578</v>
      </c>
      <c r="F304" s="178">
        <f>IFERROR(__xludf.DUMMYFUNCTION("iferror(round(correl(filter(Data!I:I,Data!C:C=B304,Data!D:D=A304,Data!E:E&gt;=500),filter(Data!N:N,Data!C:C=B304,Data!D:D=A304,Data!E:E&gt;=500)),2),"""")"),-0.31)</f>
        <v>-0.31</v>
      </c>
    </row>
    <row r="305" hidden="1">
      <c r="A305" s="1" t="s">
        <v>31</v>
      </c>
      <c r="B305" s="1" t="s">
        <v>63</v>
      </c>
      <c r="C305" s="10" t="str">
        <f>IFERROR(__xludf.DUMMYFUNCTION("average.weighted(filter(Data!J:J,Data!AC:AC=A305&amp;"",""&amp;B305),filter(Data!F:F,Data!AC:AC=A305&amp;"",""&amp;B305))"),"#N/A")</f>
        <v>#N/A</v>
      </c>
      <c r="D305" s="10" t="str">
        <f>IFERROR(__xludf.DUMMYFUNCTION("average.weighted(filter(Data!K:K,Data!AC:AC=A305&amp;"",""&amp;B305),filter(Data!F:F,Data!AC:AC=A305&amp;"",""&amp;B305))"),"#N/A")</f>
        <v>#N/A</v>
      </c>
      <c r="E305" s="10" t="str">
        <f t="shared" si="1"/>
        <v>#N/A</v>
      </c>
      <c r="F305" s="178" t="str">
        <f>IFERROR(__xludf.DUMMYFUNCTION("iferror(round(correl(filter(Data!I:I,Data!C:C=B305,Data!D:D=A305,Data!E:E&gt;=500),filter(Data!N:N,Data!C:C=B305,Data!D:D=A305,Data!E:E&gt;=500)),2),"""")"),"")</f>
        <v/>
      </c>
    </row>
    <row r="306" hidden="1">
      <c r="A306" s="1" t="s">
        <v>26</v>
      </c>
      <c r="B306" s="1" t="s">
        <v>61</v>
      </c>
      <c r="C306" s="10" t="str">
        <f>IFERROR(__xludf.DUMMYFUNCTION("average.weighted(filter(Data!J:J,Data!AC:AC=A306&amp;"",""&amp;B306),filter(Data!F:F,Data!AC:AC=A306&amp;"",""&amp;B306))"),"#N/A")</f>
        <v>#N/A</v>
      </c>
      <c r="D306" s="10" t="str">
        <f>IFERROR(__xludf.DUMMYFUNCTION("average.weighted(filter(Data!K:K,Data!AC:AC=A306&amp;"",""&amp;B306),filter(Data!F:F,Data!AC:AC=A306&amp;"",""&amp;B306))"),"#N/A")</f>
        <v>#N/A</v>
      </c>
      <c r="E306" s="10" t="str">
        <f t="shared" si="1"/>
        <v>#N/A</v>
      </c>
      <c r="F306" s="178" t="str">
        <f>IFERROR(__xludf.DUMMYFUNCTION("iferror(round(correl(filter(Data!I:I,Data!C:C=B306,Data!D:D=A306,Data!E:E&gt;=500),filter(Data!N:N,Data!C:C=B306,Data!D:D=A306,Data!E:E&gt;=500)),2),"""")"),"")</f>
        <v/>
      </c>
    </row>
    <row r="307" hidden="1">
      <c r="A307" s="1" t="s">
        <v>29</v>
      </c>
      <c r="B307" s="1" t="s">
        <v>71</v>
      </c>
      <c r="C307" s="10">
        <f>IFERROR(__xludf.DUMMYFUNCTION("average.weighted(filter(Data!J:J,Data!AC:AC=A307&amp;"",""&amp;B307),filter(Data!F:F,Data!AC:AC=A307&amp;"",""&amp;B307))"),-0.6957709844241017)</f>
        <v>-0.6957709844</v>
      </c>
      <c r="D307" s="10">
        <f>IFERROR(__xludf.DUMMYFUNCTION("average.weighted(filter(Data!K:K,Data!AC:AC=A307&amp;"",""&amp;B307),filter(Data!F:F,Data!AC:AC=A307&amp;"",""&amp;B307))"),-0.5949505802241498)</f>
        <v>-0.5949505802</v>
      </c>
      <c r="E307" s="10">
        <f t="shared" si="1"/>
        <v>-1.290721565</v>
      </c>
      <c r="F307" s="178">
        <f>IFERROR(__xludf.DUMMYFUNCTION("iferror(round(correl(filter(Data!I:I,Data!C:C=B307,Data!D:D=A307,Data!E:E&gt;=500),filter(Data!N:N,Data!C:C=B307,Data!D:D=A307,Data!E:E&gt;=500)),2),"""")"),0.05)</f>
        <v>0.05</v>
      </c>
    </row>
    <row r="308" hidden="1">
      <c r="A308" s="1" t="s">
        <v>28</v>
      </c>
      <c r="B308" s="1" t="s">
        <v>65</v>
      </c>
      <c r="C308" s="10">
        <f>IFERROR(__xludf.DUMMYFUNCTION("average.weighted(filter(Data!J:J,Data!AC:AC=A308&amp;"",""&amp;B308),filter(Data!F:F,Data!AC:AC=A308&amp;"",""&amp;B308))"),-0.9909085295083114)</f>
        <v>-0.9909085295</v>
      </c>
      <c r="D308" s="10">
        <f>IFERROR(__xludf.DUMMYFUNCTION("average.weighted(filter(Data!K:K,Data!AC:AC=A308&amp;"",""&amp;B308),filter(Data!F:F,Data!AC:AC=A308&amp;"",""&amp;B308))"),-0.32783037212903626)</f>
        <v>-0.3278303721</v>
      </c>
      <c r="E308" s="10">
        <f t="shared" si="1"/>
        <v>-1.318738902</v>
      </c>
      <c r="F308" s="178">
        <f>IFERROR(__xludf.DUMMYFUNCTION("iferror(round(correl(filter(Data!I:I,Data!C:C=B308,Data!D:D=A308,Data!E:E&gt;=500),filter(Data!N:N,Data!C:C=B308,Data!D:D=A308,Data!E:E&gt;=500)),2),"""")"),-0.32)</f>
        <v>-0.32</v>
      </c>
    </row>
    <row r="309" hidden="1">
      <c r="A309" s="1" t="s">
        <v>47</v>
      </c>
      <c r="B309" s="1" t="s">
        <v>63</v>
      </c>
      <c r="C309" s="10" t="str">
        <f>IFERROR(__xludf.DUMMYFUNCTION("average.weighted(filter(Data!J:J,Data!AC:AC=A309&amp;"",""&amp;B309),filter(Data!F:F,Data!AC:AC=A309&amp;"",""&amp;B309))"),"#N/A")</f>
        <v>#N/A</v>
      </c>
      <c r="D309" s="10" t="str">
        <f>IFERROR(__xludf.DUMMYFUNCTION("average.weighted(filter(Data!K:K,Data!AC:AC=A309&amp;"",""&amp;B309),filter(Data!F:F,Data!AC:AC=A309&amp;"",""&amp;B309))"),"#N/A")</f>
        <v>#N/A</v>
      </c>
      <c r="E309" s="10" t="str">
        <f t="shared" si="1"/>
        <v>#N/A</v>
      </c>
      <c r="F309" s="178" t="str">
        <f>IFERROR(__xludf.DUMMYFUNCTION("iferror(round(correl(filter(Data!I:I,Data!C:C=B309,Data!D:D=A309,Data!E:E&gt;=500),filter(Data!N:N,Data!C:C=B309,Data!D:D=A309,Data!E:E&gt;=500)),2),"""")"),"")</f>
        <v/>
      </c>
    </row>
    <row r="310" hidden="1">
      <c r="A310" s="1" t="s">
        <v>46</v>
      </c>
      <c r="B310" s="1" t="s">
        <v>71</v>
      </c>
      <c r="C310" s="10">
        <f>IFERROR(__xludf.DUMMYFUNCTION("average.weighted(filter(Data!J:J,Data!AC:AC=A310&amp;"",""&amp;B310),filter(Data!F:F,Data!AC:AC=A310&amp;"",""&amp;B310))"),-0.6942326315655807)</f>
        <v>-0.6942326316</v>
      </c>
      <c r="D310" s="10">
        <f>IFERROR(__xludf.DUMMYFUNCTION("average.weighted(filter(Data!K:K,Data!AC:AC=A310&amp;"",""&amp;B310),filter(Data!F:F,Data!AC:AC=A310&amp;"",""&amp;B310))"),-0.6601526960008056)</f>
        <v>-0.660152696</v>
      </c>
      <c r="E310" s="10">
        <f t="shared" si="1"/>
        <v>-1.354385328</v>
      </c>
      <c r="F310" s="178">
        <f>IFERROR(__xludf.DUMMYFUNCTION("iferror(round(correl(filter(Data!I:I,Data!C:C=B310,Data!D:D=A310,Data!E:E&gt;=500),filter(Data!N:N,Data!C:C=B310,Data!D:D=A310,Data!E:E&gt;=500)),2),"""")"),0.39)</f>
        <v>0.39</v>
      </c>
    </row>
    <row r="311" hidden="1">
      <c r="A311" s="1" t="s">
        <v>46</v>
      </c>
      <c r="B311" s="1" t="s">
        <v>62</v>
      </c>
      <c r="C311" s="10" t="str">
        <f>IFERROR(__xludf.DUMMYFUNCTION("average.weighted(filter(Data!J:J,Data!AC:AC=A311&amp;"",""&amp;B311),filter(Data!F:F,Data!AC:AC=A311&amp;"",""&amp;B311))"),"#N/A")</f>
        <v>#N/A</v>
      </c>
      <c r="D311" s="10" t="str">
        <f>IFERROR(__xludf.DUMMYFUNCTION("average.weighted(filter(Data!K:K,Data!AC:AC=A311&amp;"",""&amp;B311),filter(Data!F:F,Data!AC:AC=A311&amp;"",""&amp;B311))"),"#N/A")</f>
        <v>#N/A</v>
      </c>
      <c r="E311" s="10" t="str">
        <f t="shared" si="1"/>
        <v>#N/A</v>
      </c>
      <c r="F311" s="178" t="str">
        <f>IFERROR(__xludf.DUMMYFUNCTION("iferror(round(correl(filter(Data!I:I,Data!C:C=B311,Data!D:D=A311,Data!E:E&gt;=500),filter(Data!N:N,Data!C:C=B311,Data!D:D=A311,Data!E:E&gt;=500)),2),"""")"),"")</f>
        <v/>
      </c>
    </row>
    <row r="312" hidden="1">
      <c r="A312" s="1" t="s">
        <v>43</v>
      </c>
      <c r="B312" s="1" t="s">
        <v>71</v>
      </c>
      <c r="C312" s="10">
        <f>IFERROR(__xludf.DUMMYFUNCTION("average.weighted(filter(Data!J:J,Data!AC:AC=A312&amp;"",""&amp;B312),filter(Data!F:F,Data!AC:AC=A312&amp;"",""&amp;B312))"),-1.1411453182269296)</f>
        <v>-1.141145318</v>
      </c>
      <c r="D312" s="10">
        <f>IFERROR(__xludf.DUMMYFUNCTION("average.weighted(filter(Data!K:K,Data!AC:AC=A312&amp;"",""&amp;B312),filter(Data!F:F,Data!AC:AC=A312&amp;"",""&amp;B312))"),-0.27377278309380154)</f>
        <v>-0.2737727831</v>
      </c>
      <c r="E312" s="10">
        <f t="shared" si="1"/>
        <v>-1.414918101</v>
      </c>
      <c r="F312" s="178">
        <f>IFERROR(__xludf.DUMMYFUNCTION("iferror(round(correl(filter(Data!I:I,Data!C:C=B312,Data!D:D=A312,Data!E:E&gt;=500),filter(Data!N:N,Data!C:C=B312,Data!D:D=A312,Data!E:E&gt;=500)),2),"""")"),0.43)</f>
        <v>0.43</v>
      </c>
    </row>
    <row r="313" hidden="1">
      <c r="A313" s="1" t="s">
        <v>20</v>
      </c>
      <c r="B313" s="1" t="s">
        <v>63</v>
      </c>
      <c r="C313" s="10" t="str">
        <f>IFERROR(__xludf.DUMMYFUNCTION("average.weighted(filter(Data!J:J,Data!AC:AC=A313&amp;"",""&amp;B313),filter(Data!F:F,Data!AC:AC=A313&amp;"",""&amp;B313))"),"#N/A")</f>
        <v>#N/A</v>
      </c>
      <c r="D313" s="10" t="str">
        <f>IFERROR(__xludf.DUMMYFUNCTION("average.weighted(filter(Data!K:K,Data!AC:AC=A313&amp;"",""&amp;B313),filter(Data!F:F,Data!AC:AC=A313&amp;"",""&amp;B313))"),"#N/A")</f>
        <v>#N/A</v>
      </c>
      <c r="E313" s="10" t="str">
        <f t="shared" si="1"/>
        <v>#N/A</v>
      </c>
      <c r="F313" s="178" t="str">
        <f>IFERROR(__xludf.DUMMYFUNCTION("iferror(round(correl(filter(Data!I:I,Data!C:C=B313,Data!D:D=A313,Data!E:E&gt;=500),filter(Data!N:N,Data!C:C=B313,Data!D:D=A313,Data!E:E&gt;=500)),2),"""")"),"")</f>
        <v/>
      </c>
    </row>
    <row r="314" hidden="1">
      <c r="A314" s="1" t="s">
        <v>46</v>
      </c>
      <c r="B314" s="1" t="s">
        <v>61</v>
      </c>
      <c r="C314" s="10" t="str">
        <f>IFERROR(__xludf.DUMMYFUNCTION("average.weighted(filter(Data!J:J,Data!AC:AC=A314&amp;"",""&amp;B314),filter(Data!F:F,Data!AC:AC=A314&amp;"",""&amp;B314))"),"#N/A")</f>
        <v>#N/A</v>
      </c>
      <c r="D314" s="10" t="str">
        <f>IFERROR(__xludf.DUMMYFUNCTION("average.weighted(filter(Data!K:K,Data!AC:AC=A314&amp;"",""&amp;B314),filter(Data!F:F,Data!AC:AC=A314&amp;"",""&amp;B314))"),"#N/A")</f>
        <v>#N/A</v>
      </c>
      <c r="E314" s="10" t="str">
        <f t="shared" si="1"/>
        <v>#N/A</v>
      </c>
      <c r="F314" s="178" t="str">
        <f>IFERROR(__xludf.DUMMYFUNCTION("iferror(round(correl(filter(Data!I:I,Data!C:C=B314,Data!D:D=A314,Data!E:E&gt;=500),filter(Data!N:N,Data!C:C=B314,Data!D:D=A314,Data!E:E&gt;=500)),2),"""")"),"")</f>
        <v/>
      </c>
    </row>
    <row r="315" hidden="1">
      <c r="A315" s="1" t="s">
        <v>46</v>
      </c>
      <c r="B315" s="1" t="s">
        <v>67</v>
      </c>
      <c r="C315" s="10">
        <f>IFERROR(__xludf.DUMMYFUNCTION("average.weighted(filter(Data!J:J,Data!AC:AC=A315&amp;"",""&amp;B315),filter(Data!F:F,Data!AC:AC=A315&amp;"",""&amp;B315))"),-0.91286051797503)</f>
        <v>-0.912860518</v>
      </c>
      <c r="D315" s="10">
        <f>IFERROR(__xludf.DUMMYFUNCTION("average.weighted(filter(Data!K:K,Data!AC:AC=A315&amp;"",""&amp;B315),filter(Data!F:F,Data!AC:AC=A315&amp;"",""&amp;B315))"),-0.5049213895374526)</f>
        <v>-0.5049213895</v>
      </c>
      <c r="E315" s="10">
        <f t="shared" si="1"/>
        <v>-1.417781908</v>
      </c>
      <c r="F315" s="178">
        <f>IFERROR(__xludf.DUMMYFUNCTION("iferror(round(correl(filter(Data!I:I,Data!C:C=B315,Data!D:D=A315,Data!E:E&gt;=500),filter(Data!N:N,Data!C:C=B315,Data!D:D=A315,Data!E:E&gt;=500)),2),"""")"),0.09)</f>
        <v>0.09</v>
      </c>
    </row>
    <row r="316" hidden="1">
      <c r="A316" s="1" t="s">
        <v>43</v>
      </c>
      <c r="B316" s="1" t="s">
        <v>63</v>
      </c>
      <c r="C316" s="10" t="str">
        <f>IFERROR(__xludf.DUMMYFUNCTION("average.weighted(filter(Data!J:J,Data!AC:AC=A316&amp;"",""&amp;B316),filter(Data!F:F,Data!AC:AC=A316&amp;"",""&amp;B316))"),"#N/A")</f>
        <v>#N/A</v>
      </c>
      <c r="D316" s="10" t="str">
        <f>IFERROR(__xludf.DUMMYFUNCTION("average.weighted(filter(Data!K:K,Data!AC:AC=A316&amp;"",""&amp;B316),filter(Data!F:F,Data!AC:AC=A316&amp;"",""&amp;B316))"),"#N/A")</f>
        <v>#N/A</v>
      </c>
      <c r="E316" s="10" t="str">
        <f t="shared" si="1"/>
        <v>#N/A</v>
      </c>
      <c r="F316" s="178" t="str">
        <f>IFERROR(__xludf.DUMMYFUNCTION("iferror(round(correl(filter(Data!I:I,Data!C:C=B316,Data!D:D=A316,Data!E:E&gt;=500),filter(Data!N:N,Data!C:C=B316,Data!D:D=A316,Data!E:E&gt;=500)),2),"""")"),"")</f>
        <v/>
      </c>
    </row>
    <row r="317" hidden="1">
      <c r="A317" s="1" t="s">
        <v>49</v>
      </c>
      <c r="B317" s="1" t="s">
        <v>62</v>
      </c>
      <c r="C317" s="10" t="str">
        <f>IFERROR(__xludf.DUMMYFUNCTION("average.weighted(filter(Data!J:J,Data!AC:AC=A317&amp;"",""&amp;B317),filter(Data!F:F,Data!AC:AC=A317&amp;"",""&amp;B317))"),"#N/A")</f>
        <v>#N/A</v>
      </c>
      <c r="D317" s="10" t="str">
        <f>IFERROR(__xludf.DUMMYFUNCTION("average.weighted(filter(Data!K:K,Data!AC:AC=A317&amp;"",""&amp;B317),filter(Data!F:F,Data!AC:AC=A317&amp;"",""&amp;B317))"),"#N/A")</f>
        <v>#N/A</v>
      </c>
      <c r="E317" s="10" t="str">
        <f t="shared" si="1"/>
        <v>#N/A</v>
      </c>
      <c r="F317" s="178" t="str">
        <f>IFERROR(__xludf.DUMMYFUNCTION("iferror(round(correl(filter(Data!I:I,Data!C:C=B317,Data!D:D=A317,Data!E:E&gt;=500),filter(Data!N:N,Data!C:C=B317,Data!D:D=A317,Data!E:E&gt;=500)),2),"""")"),"")</f>
        <v/>
      </c>
    </row>
    <row r="318" hidden="1">
      <c r="A318" s="1" t="s">
        <v>42</v>
      </c>
      <c r="B318" s="1" t="s">
        <v>70</v>
      </c>
      <c r="C318" s="10">
        <f>IFERROR(__xludf.DUMMYFUNCTION("average.weighted(filter(Data!J:J,Data!AC:AC=A318&amp;"",""&amp;B318),filter(Data!F:F,Data!AC:AC=A318&amp;"",""&amp;B318))"),-1.0827454128703013)</f>
        <v>-1.082745413</v>
      </c>
      <c r="D318" s="10">
        <f>IFERROR(__xludf.DUMMYFUNCTION("average.weighted(filter(Data!K:K,Data!AC:AC=A318&amp;"",""&amp;B318),filter(Data!F:F,Data!AC:AC=A318&amp;"",""&amp;B318))"),-0.38885781853183904)</f>
        <v>-0.3888578185</v>
      </c>
      <c r="E318" s="10">
        <f t="shared" si="1"/>
        <v>-1.471603231</v>
      </c>
      <c r="F318" s="178">
        <f>IFERROR(__xludf.DUMMYFUNCTION("iferror(round(correl(filter(Data!I:I,Data!C:C=B318,Data!D:D=A318,Data!E:E&gt;=500),filter(Data!N:N,Data!C:C=B318,Data!D:D=A318,Data!E:E&gt;=500)),2),"""")"),-0.15)</f>
        <v>-0.15</v>
      </c>
    </row>
    <row r="319">
      <c r="A319" s="1" t="s">
        <v>48</v>
      </c>
      <c r="B319" s="179" t="s">
        <v>13</v>
      </c>
      <c r="C319" s="10">
        <f>IFERROR(__xludf.DUMMYFUNCTION("average.weighted(filter(Data!J:J,Data!AC:AC=A319&amp;"",""&amp;B319),filter(Data!F:F,Data!AC:AC=A319&amp;"",""&amp;B319))"),-0.6691098262912274)</f>
        <v>-0.6691098263</v>
      </c>
      <c r="D319" s="10">
        <f>IFERROR(__xludf.DUMMYFUNCTION("average.weighted(filter(Data!K:K,Data!AC:AC=A319&amp;"",""&amp;B319),filter(Data!F:F,Data!AC:AC=A319&amp;"",""&amp;B319))"),-0.5727771777565044)</f>
        <v>-0.5727771778</v>
      </c>
      <c r="E319" s="10">
        <f t="shared" si="1"/>
        <v>-1.241887004</v>
      </c>
      <c r="F319" s="178">
        <f>IFERROR(__xludf.DUMMYFUNCTION("iferror(round(correl(filter(Data!I:I,Data!C:C=B319,Data!D:D=A319,Data!E:E&gt;=500),filter(Data!N:N,Data!C:C=B319,Data!D:D=A319,Data!E:E&gt;=500)),2),"""")"),0.12)</f>
        <v>0.12</v>
      </c>
    </row>
    <row r="320" hidden="1">
      <c r="A320" s="1" t="s">
        <v>18</v>
      </c>
      <c r="B320" s="1" t="s">
        <v>65</v>
      </c>
      <c r="C320" s="10">
        <f>IFERROR(__xludf.DUMMYFUNCTION("average.weighted(filter(Data!J:J,Data!AC:AC=A320&amp;"",""&amp;B320),filter(Data!F:F,Data!AC:AC=A320&amp;"",""&amp;B320))"),-0.7663365708515119)</f>
        <v>-0.7663365709</v>
      </c>
      <c r="D320" s="10">
        <f>IFERROR(__xludf.DUMMYFUNCTION("average.weighted(filter(Data!K:K,Data!AC:AC=A320&amp;"",""&amp;B320),filter(Data!F:F,Data!AC:AC=A320&amp;"",""&amp;B320))"),-0.722077811515633)</f>
        <v>-0.7220778115</v>
      </c>
      <c r="E320" s="10">
        <f t="shared" si="1"/>
        <v>-1.488414382</v>
      </c>
      <c r="F320" s="178">
        <f>IFERROR(__xludf.DUMMYFUNCTION("iferror(round(correl(filter(Data!I:I,Data!C:C=B320,Data!D:D=A320,Data!E:E&gt;=500),filter(Data!N:N,Data!C:C=B320,Data!D:D=A320,Data!E:E&gt;=500)),2),"""")"),-0.23)</f>
        <v>-0.23</v>
      </c>
    </row>
    <row r="321" hidden="1">
      <c r="A321" s="1" t="s">
        <v>47</v>
      </c>
      <c r="B321" s="1" t="s">
        <v>62</v>
      </c>
      <c r="C321" s="10" t="str">
        <f>IFERROR(__xludf.DUMMYFUNCTION("average.weighted(filter(Data!J:J,Data!AC:AC=A321&amp;"",""&amp;B321),filter(Data!F:F,Data!AC:AC=A321&amp;"",""&amp;B321))"),"#N/A")</f>
        <v>#N/A</v>
      </c>
      <c r="D321" s="10" t="str">
        <f>IFERROR(__xludf.DUMMYFUNCTION("average.weighted(filter(Data!K:K,Data!AC:AC=A321&amp;"",""&amp;B321),filter(Data!F:F,Data!AC:AC=A321&amp;"",""&amp;B321))"),"#N/A")</f>
        <v>#N/A</v>
      </c>
      <c r="E321" s="10" t="str">
        <f t="shared" si="1"/>
        <v>#N/A</v>
      </c>
      <c r="F321" s="178" t="str">
        <f>IFERROR(__xludf.DUMMYFUNCTION("iferror(round(correl(filter(Data!I:I,Data!C:C=B321,Data!D:D=A321,Data!E:E&gt;=500),filter(Data!N:N,Data!C:C=B321,Data!D:D=A321,Data!E:E&gt;=500)),2),"""")"),"")</f>
        <v/>
      </c>
    </row>
    <row r="322" hidden="1">
      <c r="A322" s="1" t="s">
        <v>46</v>
      </c>
      <c r="B322" s="1" t="s">
        <v>65</v>
      </c>
      <c r="C322" s="10">
        <f>IFERROR(__xludf.DUMMYFUNCTION("average.weighted(filter(Data!J:J,Data!AC:AC=A322&amp;"",""&amp;B322),filter(Data!F:F,Data!AC:AC=A322&amp;"",""&amp;B322))"),-0.930633821061204)</f>
        <v>-0.9306338211</v>
      </c>
      <c r="D322" s="10">
        <f>IFERROR(__xludf.DUMMYFUNCTION("average.weighted(filter(Data!K:K,Data!AC:AC=A322&amp;"",""&amp;B322),filter(Data!F:F,Data!AC:AC=A322&amp;"",""&amp;B322))"),-0.5600308407274246)</f>
        <v>-0.5600308407</v>
      </c>
      <c r="E322" s="10">
        <f t="shared" si="1"/>
        <v>-1.490664662</v>
      </c>
      <c r="F322" s="178">
        <f>IFERROR(__xludf.DUMMYFUNCTION("iferror(round(correl(filter(Data!I:I,Data!C:C=B322,Data!D:D=A322,Data!E:E&gt;=500),filter(Data!N:N,Data!C:C=B322,Data!D:D=A322,Data!E:E&gt;=500)),2),"""")"),0.27)</f>
        <v>0.27</v>
      </c>
    </row>
    <row r="323" hidden="1">
      <c r="A323" s="1" t="s">
        <v>14</v>
      </c>
      <c r="B323" s="1" t="s">
        <v>63</v>
      </c>
      <c r="C323" s="10" t="str">
        <f>IFERROR(__xludf.DUMMYFUNCTION("average.weighted(filter(Data!J:J,Data!AC:AC=A323&amp;"",""&amp;B323),filter(Data!F:F,Data!AC:AC=A323&amp;"",""&amp;B323))"),"#N/A")</f>
        <v>#N/A</v>
      </c>
      <c r="D323" s="10" t="str">
        <f>IFERROR(__xludf.DUMMYFUNCTION("average.weighted(filter(Data!K:K,Data!AC:AC=A323&amp;"",""&amp;B323),filter(Data!F:F,Data!AC:AC=A323&amp;"",""&amp;B323))"),"#N/A")</f>
        <v>#N/A</v>
      </c>
      <c r="E323" s="10" t="str">
        <f t="shared" si="1"/>
        <v>#N/A</v>
      </c>
      <c r="F323" s="178" t="str">
        <f>IFERROR(__xludf.DUMMYFUNCTION("iferror(round(correl(filter(Data!I:I,Data!C:C=B323,Data!D:D=A323,Data!E:E&gt;=500),filter(Data!N:N,Data!C:C=B323,Data!D:D=A323,Data!E:E&gt;=500)),2),"""")"),"")</f>
        <v/>
      </c>
    </row>
    <row r="324" hidden="1">
      <c r="A324" s="1" t="s">
        <v>32</v>
      </c>
      <c r="B324" s="1" t="s">
        <v>66</v>
      </c>
      <c r="C324" s="10">
        <f>IFERROR(__xludf.DUMMYFUNCTION("average.weighted(filter(Data!J:J,Data!AC:AC=A324&amp;"",""&amp;B324),filter(Data!F:F,Data!AC:AC=A324&amp;"",""&amp;B324))"),-1.1278289888761972)</f>
        <v>-1.127828989</v>
      </c>
      <c r="D324" s="10">
        <f>IFERROR(__xludf.DUMMYFUNCTION("average.weighted(filter(Data!K:K,Data!AC:AC=A324&amp;"",""&amp;B324),filter(Data!F:F,Data!AC:AC=A324&amp;"",""&amp;B324))"),-0.37582087833684885)</f>
        <v>-0.3758208783</v>
      </c>
      <c r="E324" s="10">
        <f t="shared" si="1"/>
        <v>-1.503649867</v>
      </c>
      <c r="F324" s="178">
        <f>IFERROR(__xludf.DUMMYFUNCTION("iferror(round(correl(filter(Data!I:I,Data!C:C=B324,Data!D:D=A324,Data!E:E&gt;=500),filter(Data!N:N,Data!C:C=B324,Data!D:D=A324,Data!E:E&gt;=500)),2),"""")"),0.32)</f>
        <v>0.32</v>
      </c>
    </row>
    <row r="325" hidden="1">
      <c r="A325" s="1" t="s">
        <v>42</v>
      </c>
      <c r="B325" s="1" t="s">
        <v>71</v>
      </c>
      <c r="C325" s="10">
        <f>IFERROR(__xludf.DUMMYFUNCTION("average.weighted(filter(Data!J:J,Data!AC:AC=A325&amp;"",""&amp;B325),filter(Data!F:F,Data!AC:AC=A325&amp;"",""&amp;B325))"),-1.2578507643261738)</f>
        <v>-1.257850764</v>
      </c>
      <c r="D325" s="10">
        <f>IFERROR(__xludf.DUMMYFUNCTION("average.weighted(filter(Data!K:K,Data!AC:AC=A325&amp;"",""&amp;B325),filter(Data!F:F,Data!AC:AC=A325&amp;"",""&amp;B325))"),-0.25404391841144125)</f>
        <v>-0.2540439184</v>
      </c>
      <c r="E325" s="10">
        <f t="shared" si="1"/>
        <v>-1.511894683</v>
      </c>
      <c r="F325" s="178">
        <f>IFERROR(__xludf.DUMMYFUNCTION("iferror(round(correl(filter(Data!I:I,Data!C:C=B325,Data!D:D=A325,Data!E:E&gt;=500),filter(Data!N:N,Data!C:C=B325,Data!D:D=A325,Data!E:E&gt;=500)),2),"""")"),-0.39)</f>
        <v>-0.39</v>
      </c>
    </row>
    <row r="326" hidden="1">
      <c r="A326" s="1" t="s">
        <v>18</v>
      </c>
      <c r="B326" s="1" t="s">
        <v>68</v>
      </c>
      <c r="C326" s="10">
        <f>IFERROR(__xludf.DUMMYFUNCTION("average.weighted(filter(Data!J:J,Data!AC:AC=A326&amp;"",""&amp;B326),filter(Data!F:F,Data!AC:AC=A326&amp;"",""&amp;B326))"),-0.9278385436938333)</f>
        <v>-0.9278385437</v>
      </c>
      <c r="D326" s="10">
        <f>IFERROR(__xludf.DUMMYFUNCTION("average.weighted(filter(Data!K:K,Data!AC:AC=A326&amp;"",""&amp;B326),filter(Data!F:F,Data!AC:AC=A326&amp;"",""&amp;B326))"),-0.6022918411831463)</f>
        <v>-0.6022918412</v>
      </c>
      <c r="E326" s="10">
        <f t="shared" si="1"/>
        <v>-1.530130385</v>
      </c>
      <c r="F326" s="178">
        <f>IFERROR(__xludf.DUMMYFUNCTION("iferror(round(correl(filter(Data!I:I,Data!C:C=B326,Data!D:D=A326,Data!E:E&gt;=500),filter(Data!N:N,Data!C:C=B326,Data!D:D=A326,Data!E:E&gt;=500)),2),"""")"),-0.1)</f>
        <v>-0.1</v>
      </c>
    </row>
    <row r="327" hidden="1">
      <c r="A327" s="1" t="s">
        <v>33</v>
      </c>
      <c r="B327" s="1" t="s">
        <v>69</v>
      </c>
      <c r="C327" s="10">
        <f>IFERROR(__xludf.DUMMYFUNCTION("average.weighted(filter(Data!J:J,Data!AC:AC=A327&amp;"",""&amp;B327),filter(Data!F:F,Data!AC:AC=A327&amp;"",""&amp;B327))"),-0.9200975646507077)</f>
        <v>-0.9200975647</v>
      </c>
      <c r="D327" s="10">
        <f>IFERROR(__xludf.DUMMYFUNCTION("average.weighted(filter(Data!K:K,Data!AC:AC=A327&amp;"",""&amp;B327),filter(Data!F:F,Data!AC:AC=A327&amp;"",""&amp;B327))"),-0.6805933015278255)</f>
        <v>-0.6805933015</v>
      </c>
      <c r="E327" s="10">
        <f t="shared" si="1"/>
        <v>-1.600690866</v>
      </c>
      <c r="F327" s="178">
        <f>IFERROR(__xludf.DUMMYFUNCTION("iferror(round(correl(filter(Data!I:I,Data!C:C=B327,Data!D:D=A327,Data!E:E&gt;=500),filter(Data!N:N,Data!C:C=B327,Data!D:D=A327,Data!E:E&gt;=500)),2),"""")"),0.51)</f>
        <v>0.51</v>
      </c>
    </row>
    <row r="328" hidden="1">
      <c r="A328" s="1" t="s">
        <v>46</v>
      </c>
      <c r="B328" s="1" t="s">
        <v>70</v>
      </c>
      <c r="C328" s="10">
        <f>IFERROR(__xludf.DUMMYFUNCTION("average.weighted(filter(Data!J:J,Data!AC:AC=A328&amp;"",""&amp;B328),filter(Data!F:F,Data!AC:AC=A328&amp;"",""&amp;B328))"),-0.9233332351421089)</f>
        <v>-0.9233332351</v>
      </c>
      <c r="D328" s="10">
        <f>IFERROR(__xludf.DUMMYFUNCTION("average.weighted(filter(Data!K:K,Data!AC:AC=A328&amp;"",""&amp;B328),filter(Data!F:F,Data!AC:AC=A328&amp;"",""&amp;B328))"),-0.6983864666165186)</f>
        <v>-0.6983864666</v>
      </c>
      <c r="E328" s="10">
        <f t="shared" si="1"/>
        <v>-1.621719702</v>
      </c>
      <c r="F328" s="178">
        <f>IFERROR(__xludf.DUMMYFUNCTION("iferror(round(correl(filter(Data!I:I,Data!C:C=B328,Data!D:D=A328,Data!E:E&gt;=500),filter(Data!N:N,Data!C:C=B328,Data!D:D=A328,Data!E:E&gt;=500)),2),"""")"),0.2)</f>
        <v>0.2</v>
      </c>
    </row>
    <row r="329" hidden="1">
      <c r="A329" s="1" t="s">
        <v>47</v>
      </c>
      <c r="B329" s="1" t="s">
        <v>61</v>
      </c>
      <c r="C329" s="10" t="str">
        <f>IFERROR(__xludf.DUMMYFUNCTION("average.weighted(filter(Data!J:J,Data!AC:AC=A329&amp;"",""&amp;B329),filter(Data!F:F,Data!AC:AC=A329&amp;"",""&amp;B329))"),"#N/A")</f>
        <v>#N/A</v>
      </c>
      <c r="D329" s="10" t="str">
        <f>IFERROR(__xludf.DUMMYFUNCTION("average.weighted(filter(Data!K:K,Data!AC:AC=A329&amp;"",""&amp;B329),filter(Data!F:F,Data!AC:AC=A329&amp;"",""&amp;B329))"),"#N/A")</f>
        <v>#N/A</v>
      </c>
      <c r="E329" s="10" t="str">
        <f t="shared" si="1"/>
        <v>#N/A</v>
      </c>
      <c r="F329" s="178" t="str">
        <f>IFERROR(__xludf.DUMMYFUNCTION("iferror(round(correl(filter(Data!I:I,Data!C:C=B329,Data!D:D=A329,Data!E:E&gt;=500),filter(Data!N:N,Data!C:C=B329,Data!D:D=A329,Data!E:E&gt;=500)),2),"""")"),"")</f>
        <v/>
      </c>
    </row>
    <row r="330" hidden="1">
      <c r="A330" s="1" t="s">
        <v>48</v>
      </c>
      <c r="B330" s="1" t="s">
        <v>71</v>
      </c>
      <c r="C330" s="10">
        <f>IFERROR(__xludf.DUMMYFUNCTION("average.weighted(filter(Data!J:J,Data!AC:AC=A330&amp;"",""&amp;B330),filter(Data!F:F,Data!AC:AC=A330&amp;"",""&amp;B330))"),-0.9224506574839193)</f>
        <v>-0.9224506575</v>
      </c>
      <c r="D330" s="10">
        <f>IFERROR(__xludf.DUMMYFUNCTION("average.weighted(filter(Data!K:K,Data!AC:AC=A330&amp;"",""&amp;B330),filter(Data!F:F,Data!AC:AC=A330&amp;"",""&amp;B330))"),-0.742291651180849)</f>
        <v>-0.7422916512</v>
      </c>
      <c r="E330" s="10">
        <f t="shared" si="1"/>
        <v>-1.664742309</v>
      </c>
      <c r="F330" s="178">
        <f>IFERROR(__xludf.DUMMYFUNCTION("iferror(round(correl(filter(Data!I:I,Data!C:C=B330,Data!D:D=A330,Data!E:E&gt;=500),filter(Data!N:N,Data!C:C=B330,Data!D:D=A330,Data!E:E&gt;=500)),2),"""")"),-0.15)</f>
        <v>-0.15</v>
      </c>
    </row>
    <row r="331">
      <c r="A331" s="1" t="s">
        <v>24</v>
      </c>
      <c r="B331" s="179" t="s">
        <v>13</v>
      </c>
      <c r="C331" s="10">
        <f>IFERROR(__xludf.DUMMYFUNCTION("average.weighted(filter(Data!J:J,Data!AC:AC=A331&amp;"",""&amp;B331),filter(Data!F:F,Data!AC:AC=A331&amp;"",""&amp;B331))"),-0.9155152774194807)</f>
        <v>-0.9155152774</v>
      </c>
      <c r="D331" s="10">
        <f>IFERROR(__xludf.DUMMYFUNCTION("average.weighted(filter(Data!K:K,Data!AC:AC=A331&amp;"",""&amp;B331),filter(Data!F:F,Data!AC:AC=A331&amp;"",""&amp;B331))"),-0.8833825472260471)</f>
        <v>-0.8833825472</v>
      </c>
      <c r="E331" s="10">
        <f t="shared" si="1"/>
        <v>-1.798897825</v>
      </c>
      <c r="F331" s="178">
        <f>IFERROR(__xludf.DUMMYFUNCTION("iferror(round(correl(filter(Data!I:I,Data!C:C=B331,Data!D:D=A331,Data!E:E&gt;=500),filter(Data!N:N,Data!C:C=B331,Data!D:D=A331,Data!E:E&gt;=500)),2),"""")"),0.07)</f>
        <v>0.07</v>
      </c>
    </row>
    <row r="332" hidden="1">
      <c r="A332" s="1" t="s">
        <v>46</v>
      </c>
      <c r="B332" s="1" t="s">
        <v>63</v>
      </c>
      <c r="C332" s="10" t="str">
        <f>IFERROR(__xludf.DUMMYFUNCTION("average.weighted(filter(Data!J:J,Data!AC:AC=A332&amp;"",""&amp;B332),filter(Data!F:F,Data!AC:AC=A332&amp;"",""&amp;B332))"),"#N/A")</f>
        <v>#N/A</v>
      </c>
      <c r="D332" s="10" t="str">
        <f>IFERROR(__xludf.DUMMYFUNCTION("average.weighted(filter(Data!K:K,Data!AC:AC=A332&amp;"",""&amp;B332),filter(Data!F:F,Data!AC:AC=A332&amp;"",""&amp;B332))"),"#N/A")</f>
        <v>#N/A</v>
      </c>
      <c r="E332" s="10" t="str">
        <f t="shared" si="1"/>
        <v>#N/A</v>
      </c>
      <c r="F332" s="178" t="str">
        <f>IFERROR(__xludf.DUMMYFUNCTION("iferror(round(correl(filter(Data!I:I,Data!C:C=B332,Data!D:D=A332,Data!E:E&gt;=500),filter(Data!N:N,Data!C:C=B332,Data!D:D=A332,Data!E:E&gt;=500)),2),"""")"),"")</f>
        <v/>
      </c>
    </row>
    <row r="333" hidden="1">
      <c r="A333" s="1" t="s">
        <v>42</v>
      </c>
      <c r="B333" s="1" t="s">
        <v>69</v>
      </c>
      <c r="C333" s="10">
        <f>IFERROR(__xludf.DUMMYFUNCTION("average.weighted(filter(Data!J:J,Data!AC:AC=A333&amp;"",""&amp;B333),filter(Data!F:F,Data!AC:AC=A333&amp;"",""&amp;B333))"),-0.9264267059610457)</f>
        <v>-0.926426706</v>
      </c>
      <c r="D333" s="10">
        <f>IFERROR(__xludf.DUMMYFUNCTION("average.weighted(filter(Data!K:K,Data!AC:AC=A333&amp;"",""&amp;B333),filter(Data!F:F,Data!AC:AC=A333&amp;"",""&amp;B333))"),-0.7723160521040642)</f>
        <v>-0.7723160521</v>
      </c>
      <c r="E333" s="10">
        <f t="shared" si="1"/>
        <v>-1.698742758</v>
      </c>
      <c r="F333" s="178">
        <f>IFERROR(__xludf.DUMMYFUNCTION("iferror(round(correl(filter(Data!I:I,Data!C:C=B333,Data!D:D=A333,Data!E:E&gt;=500),filter(Data!N:N,Data!C:C=B333,Data!D:D=A333,Data!E:E&gt;=500)),2),"""")"),-0.16)</f>
        <v>-0.16</v>
      </c>
    </row>
    <row r="334" hidden="1">
      <c r="A334" s="1" t="s">
        <v>1</v>
      </c>
      <c r="B334" s="1" t="s">
        <v>67</v>
      </c>
      <c r="C334" s="10">
        <f>IFERROR(__xludf.DUMMYFUNCTION("average.weighted(filter(Data!J:J,Data!AC:AC=A334&amp;"",""&amp;B334),filter(Data!F:F,Data!AC:AC=A334&amp;"",""&amp;B334))"),-1.0754728068874424)</f>
        <v>-1.075472807</v>
      </c>
      <c r="D334" s="10">
        <f>IFERROR(__xludf.DUMMYFUNCTION("average.weighted(filter(Data!K:K,Data!AC:AC=A334&amp;"",""&amp;B334),filter(Data!F:F,Data!AC:AC=A334&amp;"",""&amp;B334))"),-0.626163708320714)</f>
        <v>-0.6261637083</v>
      </c>
      <c r="E334" s="10">
        <f t="shared" si="1"/>
        <v>-1.701636515</v>
      </c>
      <c r="F334" s="178">
        <f>IFERROR(__xludf.DUMMYFUNCTION("iferror(round(correl(filter(Data!I:I,Data!C:C=B334,Data!D:D=A334,Data!E:E&gt;=500),filter(Data!N:N,Data!C:C=B334,Data!D:D=A334,Data!E:E&gt;=500)),2),"""")"),0.48)</f>
        <v>0.48</v>
      </c>
    </row>
    <row r="335" hidden="1">
      <c r="A335" s="1" t="s">
        <v>50</v>
      </c>
      <c r="B335" s="1" t="s">
        <v>63</v>
      </c>
      <c r="C335" s="10" t="str">
        <f>IFERROR(__xludf.DUMMYFUNCTION("average.weighted(filter(Data!J:J,Data!AC:AC=A335&amp;"",""&amp;B335),filter(Data!F:F,Data!AC:AC=A335&amp;"",""&amp;B335))"),"#N/A")</f>
        <v>#N/A</v>
      </c>
      <c r="D335" s="10" t="str">
        <f>IFERROR(__xludf.DUMMYFUNCTION("average.weighted(filter(Data!K:K,Data!AC:AC=A335&amp;"",""&amp;B335),filter(Data!F:F,Data!AC:AC=A335&amp;"",""&amp;B335))"),"#N/A")</f>
        <v>#N/A</v>
      </c>
      <c r="E335" s="10" t="str">
        <f t="shared" si="1"/>
        <v>#N/A</v>
      </c>
      <c r="F335" s="178" t="str">
        <f>IFERROR(__xludf.DUMMYFUNCTION("iferror(round(correl(filter(Data!I:I,Data!C:C=B335,Data!D:D=A335,Data!E:E&gt;=500),filter(Data!N:N,Data!C:C=B335,Data!D:D=A335,Data!E:E&gt;=500)),2),"""")"),"")</f>
        <v/>
      </c>
    </row>
    <row r="336" hidden="1">
      <c r="A336" s="1" t="s">
        <v>18</v>
      </c>
      <c r="B336" s="1" t="s">
        <v>69</v>
      </c>
      <c r="C336" s="10">
        <f>IFERROR(__xludf.DUMMYFUNCTION("average.weighted(filter(Data!J:J,Data!AC:AC=A336&amp;"",""&amp;B336),filter(Data!F:F,Data!AC:AC=A336&amp;"",""&amp;B336))"),-1.0730980151329357)</f>
        <v>-1.073098015</v>
      </c>
      <c r="D336" s="10">
        <f>IFERROR(__xludf.DUMMYFUNCTION("average.weighted(filter(Data!K:K,Data!AC:AC=A336&amp;"",""&amp;B336),filter(Data!F:F,Data!AC:AC=A336&amp;"",""&amp;B336))"),-0.6790381434772294)</f>
        <v>-0.6790381435</v>
      </c>
      <c r="E336" s="10">
        <f t="shared" si="1"/>
        <v>-1.752136159</v>
      </c>
      <c r="F336" s="178">
        <f>IFERROR(__xludf.DUMMYFUNCTION("iferror(round(correl(filter(Data!I:I,Data!C:C=B336,Data!D:D=A336,Data!E:E&gt;=500),filter(Data!N:N,Data!C:C=B336,Data!D:D=A336,Data!E:E&gt;=500)),2),"""")"),-0.19)</f>
        <v>-0.19</v>
      </c>
    </row>
    <row r="337" hidden="1">
      <c r="A337" s="1" t="s">
        <v>1</v>
      </c>
      <c r="B337" s="1" t="s">
        <v>68</v>
      </c>
      <c r="C337" s="10">
        <f>IFERROR(__xludf.DUMMYFUNCTION("average.weighted(filter(Data!J:J,Data!AC:AC=A337&amp;"",""&amp;B337),filter(Data!F:F,Data!AC:AC=A337&amp;"",""&amp;B337))"),-0.9404013768991598)</f>
        <v>-0.9404013769</v>
      </c>
      <c r="D337" s="10">
        <f>IFERROR(__xludf.DUMMYFUNCTION("average.weighted(filter(Data!K:K,Data!AC:AC=A337&amp;"",""&amp;B337),filter(Data!F:F,Data!AC:AC=A337&amp;"",""&amp;B337))"),-0.8334898645312785)</f>
        <v>-0.8334898645</v>
      </c>
      <c r="E337" s="10">
        <f t="shared" si="1"/>
        <v>-1.773891241</v>
      </c>
      <c r="F337" s="178">
        <f>IFERROR(__xludf.DUMMYFUNCTION("iferror(round(correl(filter(Data!I:I,Data!C:C=B337,Data!D:D=A337,Data!E:E&gt;=500),filter(Data!N:N,Data!C:C=B337,Data!D:D=A337,Data!E:E&gt;=500)),2),"""")"),-0.27)</f>
        <v>-0.27</v>
      </c>
    </row>
    <row r="338" hidden="1">
      <c r="A338" s="1" t="s">
        <v>32</v>
      </c>
      <c r="B338" s="1" t="s">
        <v>65</v>
      </c>
      <c r="C338" s="10">
        <f>IFERROR(__xludf.DUMMYFUNCTION("average.weighted(filter(Data!J:J,Data!AC:AC=A338&amp;"",""&amp;B338),filter(Data!F:F,Data!AC:AC=A338&amp;"",""&amp;B338))"),-1.3062581211135738)</f>
        <v>-1.306258121</v>
      </c>
      <c r="D338" s="10">
        <f>IFERROR(__xludf.DUMMYFUNCTION("average.weighted(filter(Data!K:K,Data!AC:AC=A338&amp;"",""&amp;B338),filter(Data!F:F,Data!AC:AC=A338&amp;"",""&amp;B338))"),-0.5128612731757279)</f>
        <v>-0.5128612732</v>
      </c>
      <c r="E338" s="10">
        <f t="shared" si="1"/>
        <v>-1.819119394</v>
      </c>
      <c r="F338" s="178">
        <f>IFERROR(__xludf.DUMMYFUNCTION("iferror(round(correl(filter(Data!I:I,Data!C:C=B338,Data!D:D=A338,Data!E:E&gt;=500),filter(Data!N:N,Data!C:C=B338,Data!D:D=A338,Data!E:E&gt;=500)),2),"""")"),0.23)</f>
        <v>0.23</v>
      </c>
    </row>
    <row r="339" hidden="1">
      <c r="A339" s="1" t="s">
        <v>44</v>
      </c>
      <c r="B339" s="1" t="s">
        <v>70</v>
      </c>
      <c r="C339" s="10">
        <f>IFERROR(__xludf.DUMMYFUNCTION("average.weighted(filter(Data!J:J,Data!AC:AC=A339&amp;"",""&amp;B339),filter(Data!F:F,Data!AC:AC=A339&amp;"",""&amp;B339))"),-1.278794570342286)</f>
        <v>-1.27879457</v>
      </c>
      <c r="D339" s="10">
        <f>IFERROR(__xludf.DUMMYFUNCTION("average.weighted(filter(Data!K:K,Data!AC:AC=A339&amp;"",""&amp;B339),filter(Data!F:F,Data!AC:AC=A339&amp;"",""&amp;B339))"),-0.5637528199268715)</f>
        <v>-0.5637528199</v>
      </c>
      <c r="E339" s="10">
        <f t="shared" si="1"/>
        <v>-1.84254739</v>
      </c>
      <c r="F339" s="178">
        <f>IFERROR(__xludf.DUMMYFUNCTION("iferror(round(correl(filter(Data!I:I,Data!C:C=B339,Data!D:D=A339,Data!E:E&gt;=500),filter(Data!N:N,Data!C:C=B339,Data!D:D=A339,Data!E:E&gt;=500)),2),"""")"),-0.38)</f>
        <v>-0.38</v>
      </c>
    </row>
    <row r="340" hidden="1">
      <c r="A340" s="1" t="s">
        <v>50</v>
      </c>
      <c r="B340" s="1" t="s">
        <v>62</v>
      </c>
      <c r="C340" s="10" t="str">
        <f>IFERROR(__xludf.DUMMYFUNCTION("average.weighted(filter(Data!J:J,Data!AC:AC=A340&amp;"",""&amp;B340),filter(Data!F:F,Data!AC:AC=A340&amp;"",""&amp;B340))"),"#N/A")</f>
        <v>#N/A</v>
      </c>
      <c r="D340" s="10" t="str">
        <f>IFERROR(__xludf.DUMMYFUNCTION("average.weighted(filter(Data!K:K,Data!AC:AC=A340&amp;"",""&amp;B340),filter(Data!F:F,Data!AC:AC=A340&amp;"",""&amp;B340))"),"#N/A")</f>
        <v>#N/A</v>
      </c>
      <c r="E340" s="10" t="str">
        <f t="shared" si="1"/>
        <v>#N/A</v>
      </c>
      <c r="F340" s="178" t="str">
        <f>IFERROR(__xludf.DUMMYFUNCTION("iferror(round(correl(filter(Data!I:I,Data!C:C=B340,Data!D:D=A340,Data!E:E&gt;=500),filter(Data!N:N,Data!C:C=B340,Data!D:D=A340,Data!E:E&gt;=500)),2),"""")"),"")</f>
        <v/>
      </c>
    </row>
    <row r="341">
      <c r="A341" s="1" t="s">
        <v>37</v>
      </c>
      <c r="B341" s="179" t="s">
        <v>13</v>
      </c>
      <c r="C341" s="10">
        <f>IFERROR(__xludf.DUMMYFUNCTION("average.weighted(filter(Data!J:J,Data!AC:AC=A341&amp;"",""&amp;B341),filter(Data!F:F,Data!AC:AC=A341&amp;"",""&amp;B341))"),-1.1564814603404112)</f>
        <v>-1.15648146</v>
      </c>
      <c r="D341" s="10">
        <f>IFERROR(__xludf.DUMMYFUNCTION("average.weighted(filter(Data!K:K,Data!AC:AC=A341&amp;"",""&amp;B341),filter(Data!F:F,Data!AC:AC=A341&amp;"",""&amp;B341))"),-0.8201863009056588)</f>
        <v>-0.8201863009</v>
      </c>
      <c r="E341" s="10">
        <f t="shared" si="1"/>
        <v>-1.976667761</v>
      </c>
      <c r="F341" s="178">
        <f>IFERROR(__xludf.DUMMYFUNCTION("iferror(round(correl(filter(Data!I:I,Data!C:C=B341,Data!D:D=A341,Data!E:E&gt;=500),filter(Data!N:N,Data!C:C=B341,Data!D:D=A341,Data!E:E&gt;=500)),2),"""")"),0.05)</f>
        <v>0.05</v>
      </c>
    </row>
    <row r="342" hidden="1">
      <c r="A342" s="1" t="s">
        <v>44</v>
      </c>
      <c r="B342" s="1" t="s">
        <v>67</v>
      </c>
      <c r="C342" s="10">
        <f>IFERROR(__xludf.DUMMYFUNCTION("average.weighted(filter(Data!J:J,Data!AC:AC=A342&amp;"",""&amp;B342),filter(Data!F:F,Data!AC:AC=A342&amp;"",""&amp;B342))"),-1.0851540279720806)</f>
        <v>-1.085154028</v>
      </c>
      <c r="D342" s="10">
        <f>IFERROR(__xludf.DUMMYFUNCTION("average.weighted(filter(Data!K:K,Data!AC:AC=A342&amp;"",""&amp;B342),filter(Data!F:F,Data!AC:AC=A342&amp;"",""&amp;B342))"),-0.815155860214812)</f>
        <v>-0.8151558602</v>
      </c>
      <c r="E342" s="10">
        <f t="shared" si="1"/>
        <v>-1.900309888</v>
      </c>
      <c r="F342" s="178">
        <f>IFERROR(__xludf.DUMMYFUNCTION("iferror(round(correl(filter(Data!I:I,Data!C:C=B342,Data!D:D=A342,Data!E:E&gt;=500),filter(Data!N:N,Data!C:C=B342,Data!D:D=A342,Data!E:E&gt;=500)),2),"""")"),0.08)</f>
        <v>0.08</v>
      </c>
    </row>
    <row r="343" hidden="1">
      <c r="A343" s="1" t="s">
        <v>18</v>
      </c>
      <c r="B343" s="1" t="s">
        <v>64</v>
      </c>
      <c r="C343" s="10" t="str">
        <f>IFERROR(__xludf.DUMMYFUNCTION("average.weighted(filter(Data!J:J,Data!AC:AC=A343&amp;"",""&amp;B343),filter(Data!F:F,Data!AC:AC=A343&amp;"",""&amp;B343))"),"#N/A")</f>
        <v>#N/A</v>
      </c>
      <c r="D343" s="10" t="str">
        <f>IFERROR(__xludf.DUMMYFUNCTION("average.weighted(filter(Data!K:K,Data!AC:AC=A343&amp;"",""&amp;B343),filter(Data!F:F,Data!AC:AC=A343&amp;"",""&amp;B343))"),"#N/A")</f>
        <v>#N/A</v>
      </c>
      <c r="E343" s="10" t="str">
        <f t="shared" si="1"/>
        <v>#N/A</v>
      </c>
      <c r="F343" s="178" t="str">
        <f>IFERROR(__xludf.DUMMYFUNCTION("iferror(round(correl(filter(Data!I:I,Data!C:C=B343,Data!D:D=A343,Data!E:E&gt;=500),filter(Data!N:N,Data!C:C=B343,Data!D:D=A343,Data!E:E&gt;=500)),2),"""")"),"")</f>
        <v/>
      </c>
    </row>
    <row r="344" hidden="1">
      <c r="A344" s="1" t="s">
        <v>40</v>
      </c>
      <c r="B344" s="1" t="s">
        <v>68</v>
      </c>
      <c r="C344" s="10">
        <f>IFERROR(__xludf.DUMMYFUNCTION("average.weighted(filter(Data!J:J,Data!AC:AC=A344&amp;"",""&amp;B344),filter(Data!F:F,Data!AC:AC=A344&amp;"",""&amp;B344))"),-1.092383994360493)</f>
        <v>-1.092383994</v>
      </c>
      <c r="D344" s="10">
        <f>IFERROR(__xludf.DUMMYFUNCTION("average.weighted(filter(Data!K:K,Data!AC:AC=A344&amp;"",""&amp;B344),filter(Data!F:F,Data!AC:AC=A344&amp;"",""&amp;B344))"),-0.8255948795316886)</f>
        <v>-0.8255948795</v>
      </c>
      <c r="E344" s="10">
        <f t="shared" si="1"/>
        <v>-1.917978874</v>
      </c>
      <c r="F344" s="178">
        <f>IFERROR(__xludf.DUMMYFUNCTION("iferror(round(correl(filter(Data!I:I,Data!C:C=B344,Data!D:D=A344,Data!E:E&gt;=500),filter(Data!N:N,Data!C:C=B344,Data!D:D=A344,Data!E:E&gt;=500)),2),"""")"),0.71)</f>
        <v>0.71</v>
      </c>
    </row>
    <row r="345" hidden="1">
      <c r="A345" s="1" t="s">
        <v>37</v>
      </c>
      <c r="B345" s="1" t="s">
        <v>62</v>
      </c>
      <c r="C345" s="10" t="str">
        <f>IFERROR(__xludf.DUMMYFUNCTION("average.weighted(filter(Data!J:J,Data!AC:AC=A345&amp;"",""&amp;B345),filter(Data!F:F,Data!AC:AC=A345&amp;"",""&amp;B345))"),"#N/A")</f>
        <v>#N/A</v>
      </c>
      <c r="D345" s="10" t="str">
        <f>IFERROR(__xludf.DUMMYFUNCTION("average.weighted(filter(Data!K:K,Data!AC:AC=A345&amp;"",""&amp;B345),filter(Data!F:F,Data!AC:AC=A345&amp;"",""&amp;B345))"),"#N/A")</f>
        <v>#N/A</v>
      </c>
      <c r="E345" s="10" t="str">
        <f t="shared" si="1"/>
        <v>#N/A</v>
      </c>
      <c r="F345" s="178" t="str">
        <f>IFERROR(__xludf.DUMMYFUNCTION("iferror(round(correl(filter(Data!I:I,Data!C:C=B345,Data!D:D=A345,Data!E:E&gt;=500),filter(Data!N:N,Data!C:C=B345,Data!D:D=A345,Data!E:E&gt;=500)),2),"""")"),"")</f>
        <v/>
      </c>
    </row>
    <row r="346" hidden="1">
      <c r="A346" s="1" t="s">
        <v>14</v>
      </c>
      <c r="B346" s="1" t="s">
        <v>70</v>
      </c>
      <c r="C346" s="10">
        <f>IFERROR(__xludf.DUMMYFUNCTION("average.weighted(filter(Data!J:J,Data!AC:AC=A346&amp;"",""&amp;B346),filter(Data!F:F,Data!AC:AC=A346&amp;"",""&amp;B346))"),-1.517829258579722)</f>
        <v>-1.517829259</v>
      </c>
      <c r="D346" s="10">
        <f>IFERROR(__xludf.DUMMYFUNCTION("average.weighted(filter(Data!K:K,Data!AC:AC=A346&amp;"",""&amp;B346),filter(Data!F:F,Data!AC:AC=A346&amp;"",""&amp;B346))"),-0.4354458832569257)</f>
        <v>-0.4354458833</v>
      </c>
      <c r="E346" s="10">
        <f t="shared" si="1"/>
        <v>-1.953275142</v>
      </c>
      <c r="F346" s="178">
        <f>IFERROR(__xludf.DUMMYFUNCTION("iferror(round(correl(filter(Data!I:I,Data!C:C=B346,Data!D:D=A346,Data!E:E&gt;=500),filter(Data!N:N,Data!C:C=B346,Data!D:D=A346,Data!E:E&gt;=500)),2),"""")"),-0.01)</f>
        <v>-0.01</v>
      </c>
    </row>
    <row r="347" hidden="1">
      <c r="A347" s="1" t="s">
        <v>15</v>
      </c>
      <c r="B347" s="1" t="s">
        <v>65</v>
      </c>
      <c r="C347" s="10">
        <f>IFERROR(__xludf.DUMMYFUNCTION("average.weighted(filter(Data!J:J,Data!AC:AC=A347&amp;"",""&amp;B347),filter(Data!F:F,Data!AC:AC=A347&amp;"",""&amp;B347))"),-1.3185749278162286)</f>
        <v>-1.318574928</v>
      </c>
      <c r="D347" s="10">
        <f>IFERROR(__xludf.DUMMYFUNCTION("average.weighted(filter(Data!K:K,Data!AC:AC=A347&amp;"",""&amp;B347),filter(Data!F:F,Data!AC:AC=A347&amp;"",""&amp;B347))"),-0.6760565568119148)</f>
        <v>-0.6760565568</v>
      </c>
      <c r="E347" s="10">
        <f t="shared" si="1"/>
        <v>-1.994631485</v>
      </c>
      <c r="F347" s="178">
        <f>IFERROR(__xludf.DUMMYFUNCTION("iferror(round(correl(filter(Data!I:I,Data!C:C=B347,Data!D:D=A347,Data!E:E&gt;=500),filter(Data!N:N,Data!C:C=B347,Data!D:D=A347,Data!E:E&gt;=500)),2),"""")"),-0.13)</f>
        <v>-0.13</v>
      </c>
    </row>
    <row r="348" hidden="1">
      <c r="A348" s="1" t="s">
        <v>29</v>
      </c>
      <c r="B348" s="1" t="s">
        <v>69</v>
      </c>
      <c r="C348" s="10">
        <f>IFERROR(__xludf.DUMMYFUNCTION("average.weighted(filter(Data!J:J,Data!AC:AC=A348&amp;"",""&amp;B348),filter(Data!F:F,Data!AC:AC=A348&amp;"",""&amp;B348))"),-1.1529237982973894)</f>
        <v>-1.152923798</v>
      </c>
      <c r="D348" s="10">
        <f>IFERROR(__xludf.DUMMYFUNCTION("average.weighted(filter(Data!K:K,Data!AC:AC=A348&amp;"",""&amp;B348),filter(Data!F:F,Data!AC:AC=A348&amp;"",""&amp;B348))"),-0.8689891744964344)</f>
        <v>-0.8689891745</v>
      </c>
      <c r="E348" s="10">
        <f t="shared" si="1"/>
        <v>-2.021912973</v>
      </c>
      <c r="F348" s="178">
        <f>IFERROR(__xludf.DUMMYFUNCTION("iferror(round(correl(filter(Data!I:I,Data!C:C=B348,Data!D:D=A348,Data!E:E&gt;=500),filter(Data!N:N,Data!C:C=B348,Data!D:D=A348,Data!E:E&gt;=500)),2),"""")"),-0.11)</f>
        <v>-0.11</v>
      </c>
    </row>
    <row r="349" hidden="1">
      <c r="A349" s="1" t="s">
        <v>14</v>
      </c>
      <c r="B349" s="1" t="s">
        <v>62</v>
      </c>
      <c r="C349" s="10" t="str">
        <f>IFERROR(__xludf.DUMMYFUNCTION("average.weighted(filter(Data!J:J,Data!AC:AC=A349&amp;"",""&amp;B349),filter(Data!F:F,Data!AC:AC=A349&amp;"",""&amp;B349))"),"#N/A")</f>
        <v>#N/A</v>
      </c>
      <c r="D349" s="10" t="str">
        <f>IFERROR(__xludf.DUMMYFUNCTION("average.weighted(filter(Data!K:K,Data!AC:AC=A349&amp;"",""&amp;B349),filter(Data!F:F,Data!AC:AC=A349&amp;"",""&amp;B349))"),"#N/A")</f>
        <v>#N/A</v>
      </c>
      <c r="E349" s="10" t="str">
        <f t="shared" si="1"/>
        <v>#N/A</v>
      </c>
      <c r="F349" s="178" t="str">
        <f>IFERROR(__xludf.DUMMYFUNCTION("iferror(round(correl(filter(Data!I:I,Data!C:C=B349,Data!D:D=A349,Data!E:E&gt;=500),filter(Data!N:N,Data!C:C=B349,Data!D:D=A349,Data!E:E&gt;=500)),2),"""")"),"")</f>
        <v/>
      </c>
    </row>
    <row r="350" hidden="1">
      <c r="A350" s="1" t="s">
        <v>14</v>
      </c>
      <c r="B350" s="1" t="s">
        <v>71</v>
      </c>
      <c r="C350" s="10">
        <f>IFERROR(__xludf.DUMMYFUNCTION("average.weighted(filter(Data!J:J,Data!AC:AC=A350&amp;"",""&amp;B350),filter(Data!F:F,Data!AC:AC=A350&amp;"",""&amp;B350))"),-1.4833261636589752)</f>
        <v>-1.483326164</v>
      </c>
      <c r="D350" s="10">
        <f>IFERROR(__xludf.DUMMYFUNCTION("average.weighted(filter(Data!K:K,Data!AC:AC=A350&amp;"",""&amp;B350),filter(Data!F:F,Data!AC:AC=A350&amp;"",""&amp;B350))"),-0.559129312636605)</f>
        <v>-0.5591293126</v>
      </c>
      <c r="E350" s="10">
        <f t="shared" si="1"/>
        <v>-2.042455476</v>
      </c>
      <c r="F350" s="178">
        <f>IFERROR(__xludf.DUMMYFUNCTION("iferror(round(correl(filter(Data!I:I,Data!C:C=B350,Data!D:D=A350,Data!E:E&gt;=500),filter(Data!N:N,Data!C:C=B350,Data!D:D=A350,Data!E:E&gt;=500)),2),"""")"),0.23)</f>
        <v>0.23</v>
      </c>
    </row>
    <row r="351" hidden="1">
      <c r="A351" s="1" t="s">
        <v>46</v>
      </c>
      <c r="B351" s="1" t="s">
        <v>64</v>
      </c>
      <c r="C351" s="10" t="str">
        <f>IFERROR(__xludf.DUMMYFUNCTION("average.weighted(filter(Data!J:J,Data!AC:AC=A351&amp;"",""&amp;B351),filter(Data!F:F,Data!AC:AC=A351&amp;"",""&amp;B351))"),"#N/A")</f>
        <v>#N/A</v>
      </c>
      <c r="D351" s="10" t="str">
        <f>IFERROR(__xludf.DUMMYFUNCTION("average.weighted(filter(Data!K:K,Data!AC:AC=A351&amp;"",""&amp;B351),filter(Data!F:F,Data!AC:AC=A351&amp;"",""&amp;B351))"),"#N/A")</f>
        <v>#N/A</v>
      </c>
      <c r="E351" s="10" t="str">
        <f t="shared" si="1"/>
        <v>#N/A</v>
      </c>
      <c r="F351" s="178" t="str">
        <f>IFERROR(__xludf.DUMMYFUNCTION("iferror(round(correl(filter(Data!I:I,Data!C:C=B351,Data!D:D=A351,Data!E:E&gt;=500),filter(Data!N:N,Data!C:C=B351,Data!D:D=A351,Data!E:E&gt;=500)),2),"""")"),"")</f>
        <v/>
      </c>
    </row>
    <row r="352" hidden="1">
      <c r="A352" s="1" t="s">
        <v>32</v>
      </c>
      <c r="B352" s="1" t="s">
        <v>68</v>
      </c>
      <c r="C352" s="10">
        <f>IFERROR(__xludf.DUMMYFUNCTION("average.weighted(filter(Data!J:J,Data!AC:AC=A352&amp;"",""&amp;B352),filter(Data!F:F,Data!AC:AC=A352&amp;"",""&amp;B352))"),-1.3303887769394518)</f>
        <v>-1.330388777</v>
      </c>
      <c r="D352" s="10">
        <f>IFERROR(__xludf.DUMMYFUNCTION("average.weighted(filter(Data!K:K,Data!AC:AC=A352&amp;"",""&amp;B352),filter(Data!F:F,Data!AC:AC=A352&amp;"",""&amp;B352))"),-0.7603615654992921)</f>
        <v>-0.7603615655</v>
      </c>
      <c r="E352" s="10">
        <f t="shared" si="1"/>
        <v>-2.090750342</v>
      </c>
      <c r="F352" s="178">
        <f>IFERROR(__xludf.DUMMYFUNCTION("iferror(round(correl(filter(Data!I:I,Data!C:C=B352,Data!D:D=A352,Data!E:E&gt;=500),filter(Data!N:N,Data!C:C=B352,Data!D:D=A352,Data!E:E&gt;=500)),2),"""")"),-0.52)</f>
        <v>-0.52</v>
      </c>
    </row>
    <row r="353" hidden="1">
      <c r="A353" s="1" t="s">
        <v>30</v>
      </c>
      <c r="B353" s="1" t="s">
        <v>68</v>
      </c>
      <c r="C353" s="10">
        <f>IFERROR(__xludf.DUMMYFUNCTION("average.weighted(filter(Data!J:J,Data!AC:AC=A353&amp;"",""&amp;B353),filter(Data!F:F,Data!AC:AC=A353&amp;"",""&amp;B353))"),-1.1067265423279882)</f>
        <v>-1.106726542</v>
      </c>
      <c r="D353" s="10">
        <f>IFERROR(__xludf.DUMMYFUNCTION("average.weighted(filter(Data!K:K,Data!AC:AC=A353&amp;"",""&amp;B353),filter(Data!F:F,Data!AC:AC=A353&amp;"",""&amp;B353))"),-1.0773297202863912)</f>
        <v>-1.07732972</v>
      </c>
      <c r="E353" s="10">
        <f t="shared" si="1"/>
        <v>-2.184056263</v>
      </c>
      <c r="F353" s="178">
        <f>IFERROR(__xludf.DUMMYFUNCTION("iferror(round(correl(filter(Data!I:I,Data!C:C=B353,Data!D:D=A353,Data!E:E&gt;=500),filter(Data!N:N,Data!C:C=B353,Data!D:D=A353,Data!E:E&gt;=500)),2),"""")"),-0.34)</f>
        <v>-0.34</v>
      </c>
    </row>
    <row r="354" hidden="1">
      <c r="A354" s="1" t="s">
        <v>29</v>
      </c>
      <c r="B354" s="1" t="s">
        <v>70</v>
      </c>
      <c r="C354" s="10">
        <f>IFERROR(__xludf.DUMMYFUNCTION("average.weighted(filter(Data!J:J,Data!AC:AC=A354&amp;"",""&amp;B354),filter(Data!F:F,Data!AC:AC=A354&amp;"",""&amp;B354))"),-1.3469491952419679)</f>
        <v>-1.346949195</v>
      </c>
      <c r="D354" s="10">
        <f>IFERROR(__xludf.DUMMYFUNCTION("average.weighted(filter(Data!K:K,Data!AC:AC=A354&amp;"",""&amp;B354),filter(Data!F:F,Data!AC:AC=A354&amp;"",""&amp;B354))"),-0.851561714983724)</f>
        <v>-0.851561715</v>
      </c>
      <c r="E354" s="10">
        <f t="shared" si="1"/>
        <v>-2.19851091</v>
      </c>
      <c r="F354" s="178">
        <f>IFERROR(__xludf.DUMMYFUNCTION("iferror(round(correl(filter(Data!I:I,Data!C:C=B354,Data!D:D=A354,Data!E:E&gt;=500),filter(Data!N:N,Data!C:C=B354,Data!D:D=A354,Data!E:E&gt;=500)),2),"""")"),0.07)</f>
        <v>0.07</v>
      </c>
    </row>
    <row r="355">
      <c r="A355" s="1" t="s">
        <v>18</v>
      </c>
      <c r="B355" s="179" t="s">
        <v>13</v>
      </c>
      <c r="C355" s="10">
        <f>IFERROR(__xludf.DUMMYFUNCTION("average.weighted(filter(Data!J:J,Data!AC:AC=A355&amp;"",""&amp;B355),filter(Data!F:F,Data!AC:AC=A355&amp;"",""&amp;B355))"),-1.0400913259136504)</f>
        <v>-1.040091326</v>
      </c>
      <c r="D355" s="10">
        <f>IFERROR(__xludf.DUMMYFUNCTION("average.weighted(filter(Data!K:K,Data!AC:AC=A355&amp;"",""&amp;B355),filter(Data!F:F,Data!AC:AC=A355&amp;"",""&amp;B355))"),-0.9608744027084294)</f>
        <v>-0.9608744027</v>
      </c>
      <c r="E355" s="10">
        <f t="shared" si="1"/>
        <v>-2.000965729</v>
      </c>
      <c r="F355" s="178">
        <f>IFERROR(__xludf.DUMMYFUNCTION("iferror(round(correl(filter(Data!I:I,Data!C:C=B355,Data!D:D=A355,Data!E:E&gt;=500),filter(Data!N:N,Data!C:C=B355,Data!D:D=A355,Data!E:E&gt;=500)),2),"""")"),0.33)</f>
        <v>0.33</v>
      </c>
    </row>
    <row r="356" hidden="1">
      <c r="A356" s="1" t="s">
        <v>35</v>
      </c>
      <c r="B356" s="1" t="s">
        <v>65</v>
      </c>
      <c r="C356" s="10">
        <f>IFERROR(__xludf.DUMMYFUNCTION("average.weighted(filter(Data!J:J,Data!AC:AC=A356&amp;"",""&amp;B356),filter(Data!F:F,Data!AC:AC=A356&amp;"",""&amp;B356))"),-1.20208963646127)</f>
        <v>-1.202089636</v>
      </c>
      <c r="D356" s="10">
        <f>IFERROR(__xludf.DUMMYFUNCTION("average.weighted(filter(Data!K:K,Data!AC:AC=A356&amp;"",""&amp;B356),filter(Data!F:F,Data!AC:AC=A356&amp;"",""&amp;B356))"),-0.9995892805884588)</f>
        <v>-0.9995892806</v>
      </c>
      <c r="E356" s="10">
        <f t="shared" si="1"/>
        <v>-2.201678917</v>
      </c>
      <c r="F356" s="178">
        <f>IFERROR(__xludf.DUMMYFUNCTION("iferror(round(correl(filter(Data!I:I,Data!C:C=B356,Data!D:D=A356,Data!E:E&gt;=500),filter(Data!N:N,Data!C:C=B356,Data!D:D=A356,Data!E:E&gt;=500)),2),"""")"),0.13)</f>
        <v>0.13</v>
      </c>
    </row>
    <row r="357" hidden="1">
      <c r="A357" s="1" t="s">
        <v>44</v>
      </c>
      <c r="B357" s="1" t="s">
        <v>69</v>
      </c>
      <c r="C357" s="10">
        <f>IFERROR(__xludf.DUMMYFUNCTION("average.weighted(filter(Data!J:J,Data!AC:AC=A357&amp;"",""&amp;B357),filter(Data!F:F,Data!AC:AC=A357&amp;"",""&amp;B357))"),-1.438521068592803)</f>
        <v>-1.438521069</v>
      </c>
      <c r="D357" s="10">
        <f>IFERROR(__xludf.DUMMYFUNCTION("average.weighted(filter(Data!K:K,Data!AC:AC=A357&amp;"",""&amp;B357),filter(Data!F:F,Data!AC:AC=A357&amp;"",""&amp;B357))"),-0.7860139143309853)</f>
        <v>-0.7860139143</v>
      </c>
      <c r="E357" s="10">
        <f t="shared" si="1"/>
        <v>-2.224534983</v>
      </c>
      <c r="F357" s="178">
        <f>IFERROR(__xludf.DUMMYFUNCTION("iferror(round(correl(filter(Data!I:I,Data!C:C=B357,Data!D:D=A357,Data!E:E&gt;=500),filter(Data!N:N,Data!C:C=B357,Data!D:D=A357,Data!E:E&gt;=500)),2),"""")"),-0.14)</f>
        <v>-0.14</v>
      </c>
    </row>
    <row r="358" hidden="1">
      <c r="A358" s="1" t="s">
        <v>37</v>
      </c>
      <c r="B358" s="1" t="s">
        <v>66</v>
      </c>
      <c r="C358" s="10">
        <f>IFERROR(__xludf.DUMMYFUNCTION("average.weighted(filter(Data!J:J,Data!AC:AC=A358&amp;"",""&amp;B358),filter(Data!F:F,Data!AC:AC=A358&amp;"",""&amp;B358))"),-1.7487887043391817)</f>
        <v>-1.748788704</v>
      </c>
      <c r="D358" s="10">
        <f>IFERROR(__xludf.DUMMYFUNCTION("average.weighted(filter(Data!K:K,Data!AC:AC=A358&amp;"",""&amp;B358),filter(Data!F:F,Data!AC:AC=A358&amp;"",""&amp;B358))"),-0.5479842600695051)</f>
        <v>-0.5479842601</v>
      </c>
      <c r="E358" s="10">
        <f t="shared" si="1"/>
        <v>-2.296772964</v>
      </c>
      <c r="F358" s="178">
        <f>IFERROR(__xludf.DUMMYFUNCTION("iferror(round(correl(filter(Data!I:I,Data!C:C=B358,Data!D:D=A358,Data!E:E&gt;=500),filter(Data!N:N,Data!C:C=B358,Data!D:D=A358,Data!E:E&gt;=500)),2),"""")"),-0.32)</f>
        <v>-0.32</v>
      </c>
    </row>
    <row r="359" hidden="1">
      <c r="A359" s="1" t="s">
        <v>40</v>
      </c>
      <c r="B359" s="1" t="s">
        <v>69</v>
      </c>
      <c r="C359" s="10">
        <f>IFERROR(__xludf.DUMMYFUNCTION("average.weighted(filter(Data!J:J,Data!AC:AC=A359&amp;"",""&amp;B359),filter(Data!F:F,Data!AC:AC=A359&amp;"",""&amp;B359))"),-1.3181640531009589)</f>
        <v>-1.318164053</v>
      </c>
      <c r="D359" s="10">
        <f>IFERROR(__xludf.DUMMYFUNCTION("average.weighted(filter(Data!K:K,Data!AC:AC=A359&amp;"",""&amp;B359),filter(Data!F:F,Data!AC:AC=A359&amp;"",""&amp;B359))"),-1.0700032595738873)</f>
        <v>-1.07000326</v>
      </c>
      <c r="E359" s="10">
        <f t="shared" si="1"/>
        <v>-2.388167313</v>
      </c>
      <c r="F359" s="178">
        <f>IFERROR(__xludf.DUMMYFUNCTION("iferror(round(correl(filter(Data!I:I,Data!C:C=B359,Data!D:D=A359,Data!E:E&gt;=500),filter(Data!N:N,Data!C:C=B359,Data!D:D=A359,Data!E:E&gt;=500)),2),"""")"),-0.13)</f>
        <v>-0.13</v>
      </c>
    </row>
    <row r="360" hidden="1">
      <c r="A360" s="1" t="s">
        <v>49</v>
      </c>
      <c r="B360" s="1" t="s">
        <v>64</v>
      </c>
      <c r="C360" s="10" t="str">
        <f>IFERROR(__xludf.DUMMYFUNCTION("average.weighted(filter(Data!J:J,Data!AC:AC=A360&amp;"",""&amp;B360),filter(Data!F:F,Data!AC:AC=A360&amp;"",""&amp;B360))"),"#N/A")</f>
        <v>#N/A</v>
      </c>
      <c r="D360" s="10" t="str">
        <f>IFERROR(__xludf.DUMMYFUNCTION("average.weighted(filter(Data!K:K,Data!AC:AC=A360&amp;"",""&amp;B360),filter(Data!F:F,Data!AC:AC=A360&amp;"",""&amp;B360))"),"#N/A")</f>
        <v>#N/A</v>
      </c>
      <c r="E360" s="10" t="str">
        <f t="shared" si="1"/>
        <v>#N/A</v>
      </c>
      <c r="F360" s="178" t="str">
        <f>IFERROR(__xludf.DUMMYFUNCTION("iferror(round(correl(filter(Data!I:I,Data!C:C=B360,Data!D:D=A360,Data!E:E&gt;=500),filter(Data!N:N,Data!C:C=B360,Data!D:D=A360,Data!E:E&gt;=500)),2),"""")"),"")</f>
        <v/>
      </c>
    </row>
    <row r="361" hidden="1">
      <c r="A361" s="1" t="s">
        <v>32</v>
      </c>
      <c r="B361" s="1" t="s">
        <v>67</v>
      </c>
      <c r="C361" s="10">
        <f>IFERROR(__xludf.DUMMYFUNCTION("average.weighted(filter(Data!J:J,Data!AC:AC=A361&amp;"",""&amp;B361),filter(Data!F:F,Data!AC:AC=A361&amp;"",""&amp;B361))"),-1.8155130871351408)</f>
        <v>-1.815513087</v>
      </c>
      <c r="D361" s="10">
        <f>IFERROR(__xludf.DUMMYFUNCTION("average.weighted(filter(Data!K:K,Data!AC:AC=A361&amp;"",""&amp;B361),filter(Data!F:F,Data!AC:AC=A361&amp;"",""&amp;B361))"),-0.6065633843240181)</f>
        <v>-0.6065633843</v>
      </c>
      <c r="E361" s="10">
        <f t="shared" si="1"/>
        <v>-2.422076471</v>
      </c>
      <c r="F361" s="178">
        <f>IFERROR(__xludf.DUMMYFUNCTION("iferror(round(correl(filter(Data!I:I,Data!C:C=B361,Data!D:D=A361,Data!E:E&gt;=500),filter(Data!N:N,Data!C:C=B361,Data!D:D=A361,Data!E:E&gt;=500)),2),"""")"),-0.13)</f>
        <v>-0.13</v>
      </c>
    </row>
    <row r="362">
      <c r="A362" s="1" t="s">
        <v>14</v>
      </c>
      <c r="B362" s="179" t="s">
        <v>13</v>
      </c>
      <c r="C362" s="10">
        <f>IFERROR(__xludf.DUMMYFUNCTION("average.weighted(filter(Data!J:J,Data!AC:AC=A362&amp;"",""&amp;B362),filter(Data!F:F,Data!AC:AC=A362&amp;"",""&amp;B362))"),-1.4788677784721356)</f>
        <v>-1.478867778</v>
      </c>
      <c r="D362" s="10">
        <f>IFERROR(__xludf.DUMMYFUNCTION("average.weighted(filter(Data!K:K,Data!AC:AC=A362&amp;"",""&amp;B362),filter(Data!F:F,Data!AC:AC=A362&amp;"",""&amp;B362))"),-1.2499752721467932)</f>
        <v>-1.249975272</v>
      </c>
      <c r="E362" s="10">
        <f t="shared" si="1"/>
        <v>-2.728843051</v>
      </c>
      <c r="F362" s="178">
        <f>IFERROR(__xludf.DUMMYFUNCTION("iferror(round(correl(filter(Data!I:I,Data!C:C=B362,Data!D:D=A362,Data!E:E&gt;=500),filter(Data!N:N,Data!C:C=B362,Data!D:D=A362,Data!E:E&gt;=500)),2),"""")"),-0.06)</f>
        <v>-0.06</v>
      </c>
    </row>
    <row r="363" hidden="1">
      <c r="A363" s="1" t="s">
        <v>45</v>
      </c>
      <c r="B363" s="1" t="s">
        <v>71</v>
      </c>
      <c r="C363" s="10">
        <f>IFERROR(__xludf.DUMMYFUNCTION("average.weighted(filter(Data!J:J,Data!AC:AC=A363&amp;"",""&amp;B363),filter(Data!F:F,Data!AC:AC=A363&amp;"",""&amp;B363))"),-1.7541146051493084)</f>
        <v>-1.754114605</v>
      </c>
      <c r="D363" s="10">
        <f>IFERROR(__xludf.DUMMYFUNCTION("average.weighted(filter(Data!K:K,Data!AC:AC=A363&amp;"",""&amp;B363),filter(Data!F:F,Data!AC:AC=A363&amp;"",""&amp;B363))"),-0.8158993764179117)</f>
        <v>-0.8158993764</v>
      </c>
      <c r="E363" s="10">
        <f t="shared" si="1"/>
        <v>-2.570013982</v>
      </c>
      <c r="F363" s="178">
        <f>IFERROR(__xludf.DUMMYFUNCTION("iferror(round(correl(filter(Data!I:I,Data!C:C=B363,Data!D:D=A363,Data!E:E&gt;=500),filter(Data!N:N,Data!C:C=B363,Data!D:D=A363,Data!E:E&gt;=500)),2),"""")"),-0.13)</f>
        <v>-0.13</v>
      </c>
    </row>
    <row r="364" hidden="1">
      <c r="A364" s="1" t="s">
        <v>50</v>
      </c>
      <c r="B364" s="1" t="s">
        <v>61</v>
      </c>
      <c r="C364" s="10" t="str">
        <f>IFERROR(__xludf.DUMMYFUNCTION("average.weighted(filter(Data!J:J,Data!AC:AC=A364&amp;"",""&amp;B364),filter(Data!F:F,Data!AC:AC=A364&amp;"",""&amp;B364))"),"#N/A")</f>
        <v>#N/A</v>
      </c>
      <c r="D364" s="10" t="str">
        <f>IFERROR(__xludf.DUMMYFUNCTION("average.weighted(filter(Data!K:K,Data!AC:AC=A364&amp;"",""&amp;B364),filter(Data!F:F,Data!AC:AC=A364&amp;"",""&amp;B364))"),"#N/A")</f>
        <v>#N/A</v>
      </c>
      <c r="E364" s="10" t="str">
        <f t="shared" si="1"/>
        <v>#N/A</v>
      </c>
      <c r="F364" s="178" t="str">
        <f>IFERROR(__xludf.DUMMYFUNCTION("iferror(round(correl(filter(Data!I:I,Data!C:C=B364,Data!D:D=A364,Data!E:E&gt;=500),filter(Data!N:N,Data!C:C=B364,Data!D:D=A364,Data!E:E&gt;=500)),2),"""")"),"")</f>
        <v/>
      </c>
    </row>
    <row r="365" hidden="1">
      <c r="A365" s="1" t="s">
        <v>37</v>
      </c>
      <c r="B365" s="1" t="s">
        <v>61</v>
      </c>
      <c r="C365" s="10" t="str">
        <f>IFERROR(__xludf.DUMMYFUNCTION("average.weighted(filter(Data!J:J,Data!AC:AC=A365&amp;"",""&amp;B365),filter(Data!F:F,Data!AC:AC=A365&amp;"",""&amp;B365))"),"#N/A")</f>
        <v>#N/A</v>
      </c>
      <c r="D365" s="10" t="str">
        <f>IFERROR(__xludf.DUMMYFUNCTION("average.weighted(filter(Data!K:K,Data!AC:AC=A365&amp;"",""&amp;B365),filter(Data!F:F,Data!AC:AC=A365&amp;"",""&amp;B365))"),"#N/A")</f>
        <v>#N/A</v>
      </c>
      <c r="E365" s="10" t="str">
        <f t="shared" si="1"/>
        <v>#N/A</v>
      </c>
      <c r="F365" s="178" t="str">
        <f>IFERROR(__xludf.DUMMYFUNCTION("iferror(round(correl(filter(Data!I:I,Data!C:C=B365,Data!D:D=A365,Data!E:E&gt;=500),filter(Data!N:N,Data!C:C=B365,Data!D:D=A365,Data!E:E&gt;=500)),2),"""")"),"")</f>
        <v/>
      </c>
    </row>
    <row r="366" hidden="1">
      <c r="A366" s="1" t="s">
        <v>19</v>
      </c>
      <c r="B366" s="1" t="s">
        <v>71</v>
      </c>
      <c r="C366" s="10">
        <f>IFERROR(__xludf.DUMMYFUNCTION("average.weighted(filter(Data!J:J,Data!AC:AC=A366&amp;"",""&amp;B366),filter(Data!F:F,Data!AC:AC=A366&amp;"",""&amp;B366))"),-1.2423020870549157)</f>
        <v>-1.242302087</v>
      </c>
      <c r="D366" s="10">
        <f>IFERROR(__xludf.DUMMYFUNCTION("average.weighted(filter(Data!K:K,Data!AC:AC=A366&amp;"",""&amp;B366),filter(Data!F:F,Data!AC:AC=A366&amp;"",""&amp;B366))"),-1.4666928419693201)</f>
        <v>-1.466692842</v>
      </c>
      <c r="E366" s="10">
        <f t="shared" si="1"/>
        <v>-2.708994929</v>
      </c>
      <c r="F366" s="178">
        <f>IFERROR(__xludf.DUMMYFUNCTION("iferror(round(correl(filter(Data!I:I,Data!C:C=B366,Data!D:D=A366,Data!E:E&gt;=500),filter(Data!N:N,Data!C:C=B366,Data!D:D=A366,Data!E:E&gt;=500)),2),"""")"),0.28)</f>
        <v>0.28</v>
      </c>
    </row>
    <row r="367" hidden="1">
      <c r="A367" s="1" t="s">
        <v>30</v>
      </c>
      <c r="B367" s="1" t="s">
        <v>67</v>
      </c>
      <c r="C367" s="10">
        <f>IFERROR(__xludf.DUMMYFUNCTION("average.weighted(filter(Data!J:J,Data!AC:AC=A367&amp;"",""&amp;B367),filter(Data!F:F,Data!AC:AC=A367&amp;"",""&amp;B367))"),-1.6745485788093089)</f>
        <v>-1.674548579</v>
      </c>
      <c r="D367" s="10">
        <f>IFERROR(__xludf.DUMMYFUNCTION("average.weighted(filter(Data!K:K,Data!AC:AC=A367&amp;"",""&amp;B367),filter(Data!F:F,Data!AC:AC=A367&amp;"",""&amp;B367))"),-1.3083178712487153)</f>
        <v>-1.308317871</v>
      </c>
      <c r="E367" s="10">
        <f t="shared" si="1"/>
        <v>-2.98286645</v>
      </c>
      <c r="F367" s="178">
        <f>IFERROR(__xludf.DUMMYFUNCTION("iferror(round(correl(filter(Data!I:I,Data!C:C=B367,Data!D:D=A367,Data!E:E&gt;=500),filter(Data!N:N,Data!C:C=B367,Data!D:D=A367,Data!E:E&gt;=500)),2),"""")"),-0.33)</f>
        <v>-0.33</v>
      </c>
    </row>
    <row r="368" hidden="1">
      <c r="A368" s="1" t="s">
        <v>48</v>
      </c>
      <c r="B368" s="1" t="s">
        <v>66</v>
      </c>
      <c r="C368" s="10">
        <f>IFERROR(__xludf.DUMMYFUNCTION("average.weighted(filter(Data!J:J,Data!AC:AC=A368&amp;"",""&amp;B368),filter(Data!F:F,Data!AC:AC=A368&amp;"",""&amp;B368))"),-1.8588200791933553)</f>
        <v>-1.858820079</v>
      </c>
      <c r="D368" s="10">
        <f>IFERROR(__xludf.DUMMYFUNCTION("average.weighted(filter(Data!K:K,Data!AC:AC=A368&amp;"",""&amp;B368),filter(Data!F:F,Data!AC:AC=A368&amp;"",""&amp;B368))"),-1.1637158152328673)</f>
        <v>-1.163715815</v>
      </c>
      <c r="E368" s="10">
        <f t="shared" si="1"/>
        <v>-3.022535894</v>
      </c>
      <c r="F368" s="178">
        <f>IFERROR(__xludf.DUMMYFUNCTION("iferror(round(correl(filter(Data!I:I,Data!C:C=B368,Data!D:D=A368,Data!E:E&gt;=500),filter(Data!N:N,Data!C:C=B368,Data!D:D=A368,Data!E:E&gt;=500)),2),"""")"),0.24)</f>
        <v>0.24</v>
      </c>
    </row>
    <row r="369" hidden="1">
      <c r="A369" s="1" t="s">
        <v>48</v>
      </c>
      <c r="B369" s="1" t="s">
        <v>70</v>
      </c>
      <c r="C369" s="10">
        <f>IFERROR(__xludf.DUMMYFUNCTION("average.weighted(filter(Data!J:J,Data!AC:AC=A369&amp;"",""&amp;B369),filter(Data!F:F,Data!AC:AC=A369&amp;"",""&amp;B369))"),-1.9626549530658122)</f>
        <v>-1.962654953</v>
      </c>
      <c r="D369" s="10">
        <f>IFERROR(__xludf.DUMMYFUNCTION("average.weighted(filter(Data!K:K,Data!AC:AC=A369&amp;"",""&amp;B369),filter(Data!F:F,Data!AC:AC=A369&amp;"",""&amp;B369))"),-1.4569959485870583)</f>
        <v>-1.456995949</v>
      </c>
      <c r="E369" s="10">
        <f t="shared" si="1"/>
        <v>-3.419650902</v>
      </c>
      <c r="F369" s="178">
        <f>IFERROR(__xludf.DUMMYFUNCTION("iferror(round(correl(filter(Data!I:I,Data!C:C=B369,Data!D:D=A369,Data!E:E&gt;=500),filter(Data!N:N,Data!C:C=B369,Data!D:D=A369,Data!E:E&gt;=500)),2),"""")"),-0.4)</f>
        <v>-0.4</v>
      </c>
    </row>
    <row r="370" hidden="1">
      <c r="A370" s="1" t="s">
        <v>30</v>
      </c>
      <c r="B370" s="1" t="s">
        <v>66</v>
      </c>
      <c r="C370" s="10">
        <f>IFERROR(__xludf.DUMMYFUNCTION("average.weighted(filter(Data!J:J,Data!AC:AC=A370&amp;"",""&amp;B370),filter(Data!F:F,Data!AC:AC=A370&amp;"",""&amp;B370))"),-1.7459474509133468)</f>
        <v>-1.745947451</v>
      </c>
      <c r="D370" s="10">
        <f>IFERROR(__xludf.DUMMYFUNCTION("average.weighted(filter(Data!K:K,Data!AC:AC=A370&amp;"",""&amp;B370),filter(Data!F:F,Data!AC:AC=A370&amp;"",""&amp;B370))"),-1.9559007020488304)</f>
        <v>-1.955900702</v>
      </c>
      <c r="E370" s="10">
        <f t="shared" si="1"/>
        <v>-3.701848153</v>
      </c>
      <c r="F370" s="178">
        <f>IFERROR(__xludf.DUMMYFUNCTION("iferror(round(correl(filter(Data!I:I,Data!C:C=B370,Data!D:D=A370,Data!E:E&gt;=500),filter(Data!N:N,Data!C:C=B370,Data!D:D=A370,Data!E:E&gt;=500)),2),"""")"),-0.06)</f>
        <v>-0.06</v>
      </c>
    </row>
    <row r="371" hidden="1">
      <c r="A371" s="1" t="s">
        <v>30</v>
      </c>
      <c r="B371" s="1" t="s">
        <v>65</v>
      </c>
      <c r="C371" s="10">
        <f>IFERROR(__xludf.DUMMYFUNCTION("average.weighted(filter(Data!J:J,Data!AC:AC=A371&amp;"",""&amp;B371),filter(Data!F:F,Data!AC:AC=A371&amp;"",""&amp;B371))"),-2.364934091951723)</f>
        <v>-2.364934092</v>
      </c>
      <c r="D371" s="10">
        <f>IFERROR(__xludf.DUMMYFUNCTION("average.weighted(filter(Data!K:K,Data!AC:AC=A371&amp;"",""&amp;B371),filter(Data!F:F,Data!AC:AC=A371&amp;"",""&amp;B371))"),-1.3374932903606152)</f>
        <v>-1.33749329</v>
      </c>
      <c r="E371" s="10">
        <f t="shared" si="1"/>
        <v>-3.702427382</v>
      </c>
      <c r="F371" s="178">
        <f>IFERROR(__xludf.DUMMYFUNCTION("iferror(round(correl(filter(Data!I:I,Data!C:C=B371,Data!D:D=A371,Data!E:E&gt;=500),filter(Data!N:N,Data!C:C=B371,Data!D:D=A371,Data!E:E&gt;=500)),2),"""")"),-0.06)</f>
        <v>-0.06</v>
      </c>
    </row>
    <row r="372" hidden="1">
      <c r="A372" s="1" t="s">
        <v>49</v>
      </c>
      <c r="B372" s="1" t="s">
        <v>63</v>
      </c>
      <c r="C372" s="10" t="str">
        <f>IFERROR(__xludf.DUMMYFUNCTION("average.weighted(filter(Data!J:J,Data!AC:AC=A372&amp;"",""&amp;B372),filter(Data!F:F,Data!AC:AC=A372&amp;"",""&amp;B372))"),"#N/A")</f>
        <v>#N/A</v>
      </c>
      <c r="D372" s="10" t="str">
        <f>IFERROR(__xludf.DUMMYFUNCTION("average.weighted(filter(Data!K:K,Data!AC:AC=A372&amp;"",""&amp;B372),filter(Data!F:F,Data!AC:AC=A372&amp;"",""&amp;B372))"),"#N/A")</f>
        <v>#N/A</v>
      </c>
      <c r="E372" s="10" t="str">
        <f t="shared" si="1"/>
        <v>#N/A</v>
      </c>
      <c r="F372" s="178" t="str">
        <f>IFERROR(__xludf.DUMMYFUNCTION("iferror(round(correl(filter(Data!I:I,Data!C:C=B372,Data!D:D=A372,Data!E:E&gt;=500),filter(Data!N:N,Data!C:C=B372,Data!D:D=A372,Data!E:E&gt;=500)),2),"""")"),"")</f>
        <v/>
      </c>
    </row>
    <row r="373">
      <c r="A373" s="1"/>
      <c r="B373" s="1"/>
      <c r="C373" s="10"/>
      <c r="D373" s="10"/>
      <c r="E373" s="10"/>
      <c r="F373" s="178"/>
    </row>
    <row r="374">
      <c r="A374" s="1"/>
      <c r="B374" s="1"/>
      <c r="C374" s="10"/>
      <c r="D374" s="10"/>
      <c r="E374" s="10"/>
      <c r="F374" s="178"/>
    </row>
    <row r="375">
      <c r="A375" s="1"/>
      <c r="B375" s="1"/>
      <c r="C375" s="10"/>
      <c r="D375" s="10"/>
      <c r="E375" s="10"/>
      <c r="F375" s="178"/>
    </row>
    <row r="376">
      <c r="A376" s="1"/>
      <c r="B376" s="1"/>
      <c r="C376" s="10"/>
      <c r="D376" s="10"/>
      <c r="E376" s="10"/>
      <c r="F376" s="178"/>
    </row>
    <row r="377">
      <c r="A377" s="1"/>
      <c r="B377" s="1"/>
      <c r="C377" s="10"/>
      <c r="D377" s="10"/>
      <c r="E377" s="10"/>
      <c r="F377" s="178"/>
    </row>
    <row r="378">
      <c r="A378" s="1"/>
      <c r="B378" s="1"/>
      <c r="C378" s="10"/>
      <c r="D378" s="10"/>
      <c r="E378" s="10"/>
      <c r="F378" s="178"/>
    </row>
    <row r="379">
      <c r="A379" s="1"/>
      <c r="B379" s="1"/>
      <c r="C379" s="10"/>
      <c r="D379" s="10"/>
      <c r="E379" s="10"/>
      <c r="F379" s="178"/>
    </row>
    <row r="380">
      <c r="A380" s="1"/>
      <c r="B380" s="1"/>
      <c r="C380" s="10"/>
      <c r="D380" s="10"/>
      <c r="E380" s="10"/>
      <c r="F380" s="178"/>
    </row>
    <row r="381">
      <c r="A381" s="1"/>
      <c r="B381" s="1"/>
      <c r="C381" s="10"/>
      <c r="D381" s="10"/>
      <c r="E381" s="10"/>
      <c r="F381" s="178"/>
    </row>
    <row r="382">
      <c r="A382" s="1"/>
      <c r="B382" s="1"/>
      <c r="C382" s="10"/>
      <c r="D382" s="10"/>
      <c r="E382" s="10"/>
      <c r="F382" s="178"/>
    </row>
    <row r="383">
      <c r="A383" s="1"/>
      <c r="B383" s="1"/>
      <c r="C383" s="10"/>
      <c r="D383" s="10"/>
      <c r="E383" s="10"/>
      <c r="F383" s="178"/>
    </row>
    <row r="384">
      <c r="A384" s="1"/>
      <c r="B384" s="1"/>
      <c r="C384" s="10"/>
      <c r="D384" s="10"/>
      <c r="E384" s="10"/>
      <c r="F384" s="178"/>
    </row>
    <row r="385">
      <c r="A385" s="1"/>
      <c r="B385" s="1"/>
      <c r="C385" s="10"/>
      <c r="D385" s="10"/>
      <c r="E385" s="10"/>
      <c r="F385" s="178"/>
    </row>
    <row r="386">
      <c r="A386" s="1"/>
      <c r="B386" s="1"/>
      <c r="C386" s="10"/>
      <c r="D386" s="10"/>
      <c r="E386" s="10"/>
      <c r="F386" s="178"/>
    </row>
    <row r="387">
      <c r="A387" s="1"/>
      <c r="B387" s="1"/>
      <c r="C387" s="10"/>
      <c r="D387" s="10"/>
      <c r="E387" s="10"/>
      <c r="F387" s="178"/>
    </row>
    <row r="388">
      <c r="A388" s="1"/>
      <c r="B388" s="1"/>
      <c r="C388" s="10"/>
      <c r="D388" s="10"/>
      <c r="E388" s="10"/>
      <c r="F388" s="178"/>
    </row>
    <row r="389">
      <c r="A389" s="1"/>
      <c r="B389" s="1"/>
      <c r="C389" s="10"/>
      <c r="D389" s="10"/>
      <c r="E389" s="10"/>
      <c r="F389" s="178"/>
    </row>
    <row r="390">
      <c r="A390" s="1"/>
      <c r="B390" s="1"/>
      <c r="C390" s="10"/>
      <c r="D390" s="10"/>
      <c r="E390" s="10"/>
      <c r="F390" s="178"/>
    </row>
    <row r="391">
      <c r="A391" s="1"/>
      <c r="B391" s="1"/>
      <c r="C391" s="10"/>
      <c r="D391" s="10"/>
      <c r="E391" s="10"/>
      <c r="F391" s="178"/>
    </row>
    <row r="392">
      <c r="A392" s="1"/>
      <c r="B392" s="1"/>
      <c r="C392" s="10"/>
      <c r="D392" s="10"/>
      <c r="E392" s="10"/>
      <c r="F392" s="178"/>
    </row>
    <row r="393">
      <c r="A393" s="1"/>
      <c r="B393" s="1"/>
      <c r="C393" s="10"/>
      <c r="D393" s="10"/>
      <c r="E393" s="10"/>
      <c r="F393" s="178"/>
    </row>
    <row r="394">
      <c r="A394" s="1"/>
      <c r="B394" s="1"/>
      <c r="C394" s="10"/>
      <c r="D394" s="10"/>
      <c r="E394" s="10"/>
      <c r="F394" s="178"/>
    </row>
    <row r="395">
      <c r="A395" s="1"/>
      <c r="B395" s="1"/>
      <c r="C395" s="10"/>
      <c r="D395" s="10"/>
      <c r="E395" s="10"/>
      <c r="F395" s="178"/>
    </row>
    <row r="396">
      <c r="A396" s="1"/>
      <c r="B396" s="1"/>
      <c r="C396" s="10"/>
      <c r="D396" s="10"/>
      <c r="E396" s="10"/>
      <c r="F396" s="178"/>
    </row>
    <row r="397">
      <c r="A397" s="1"/>
      <c r="B397" s="1"/>
      <c r="C397" s="10"/>
      <c r="D397" s="10"/>
      <c r="E397" s="10"/>
      <c r="F397" s="178"/>
    </row>
    <row r="398">
      <c r="A398" s="1"/>
      <c r="B398" s="1"/>
      <c r="C398" s="10"/>
      <c r="D398" s="10"/>
      <c r="E398" s="10"/>
      <c r="F398" s="178"/>
    </row>
    <row r="399">
      <c r="A399" s="1"/>
      <c r="B399" s="1"/>
      <c r="C399" s="10"/>
      <c r="D399" s="10"/>
      <c r="E399" s="10"/>
      <c r="F399" s="178"/>
    </row>
    <row r="400">
      <c r="A400" s="1"/>
      <c r="B400" s="1"/>
      <c r="C400" s="10"/>
      <c r="D400" s="10"/>
      <c r="E400" s="10"/>
      <c r="F400" s="178"/>
    </row>
    <row r="401">
      <c r="A401" s="1"/>
      <c r="B401" s="1"/>
      <c r="C401" s="10"/>
      <c r="D401" s="10"/>
      <c r="E401" s="10"/>
      <c r="F401" s="178"/>
    </row>
    <row r="402">
      <c r="A402" s="1"/>
      <c r="B402" s="1"/>
      <c r="C402" s="10"/>
      <c r="D402" s="10"/>
      <c r="E402" s="10"/>
      <c r="F402" s="178"/>
    </row>
    <row r="403">
      <c r="A403" s="1"/>
      <c r="B403" s="1"/>
      <c r="C403" s="10"/>
      <c r="D403" s="10"/>
      <c r="E403" s="10"/>
      <c r="F403" s="178"/>
    </row>
    <row r="404">
      <c r="A404" s="1"/>
      <c r="B404" s="1"/>
      <c r="C404" s="10"/>
      <c r="D404" s="10"/>
      <c r="E404" s="10"/>
      <c r="F404" s="178"/>
    </row>
    <row r="405">
      <c r="A405" s="1"/>
      <c r="B405" s="1"/>
      <c r="C405" s="10"/>
      <c r="D405" s="10"/>
      <c r="E405" s="10"/>
      <c r="F405" s="178"/>
    </row>
    <row r="406">
      <c r="A406" s="1"/>
      <c r="B406" s="1"/>
      <c r="C406" s="10"/>
      <c r="D406" s="10"/>
      <c r="E406" s="10"/>
      <c r="F406" s="178"/>
    </row>
    <row r="407">
      <c r="A407" s="1"/>
      <c r="B407" s="1"/>
      <c r="C407" s="10"/>
      <c r="D407" s="10"/>
      <c r="E407" s="10"/>
      <c r="F407" s="178"/>
    </row>
    <row r="408">
      <c r="A408" s="1"/>
      <c r="B408" s="1"/>
      <c r="C408" s="10"/>
      <c r="D408" s="10"/>
      <c r="E408" s="10"/>
      <c r="F408" s="178"/>
    </row>
    <row r="409">
      <c r="A409" s="1"/>
      <c r="B409" s="1"/>
      <c r="C409" s="10"/>
      <c r="D409" s="10"/>
      <c r="E409" s="10"/>
      <c r="F409" s="178"/>
    </row>
    <row r="410">
      <c r="A410" s="1"/>
      <c r="B410" s="1"/>
      <c r="C410" s="10"/>
      <c r="D410" s="10"/>
      <c r="E410" s="10"/>
      <c r="F410" s="178"/>
    </row>
    <row r="411">
      <c r="A411" s="1"/>
      <c r="B411" s="1"/>
      <c r="C411" s="10"/>
      <c r="D411" s="10"/>
      <c r="E411" s="10"/>
      <c r="F411" s="178"/>
    </row>
    <row r="412">
      <c r="A412" s="1"/>
      <c r="B412" s="1"/>
      <c r="C412" s="10"/>
      <c r="D412" s="10"/>
      <c r="E412" s="10"/>
      <c r="F412" s="178"/>
    </row>
    <row r="413">
      <c r="A413" s="1"/>
      <c r="B413" s="1"/>
      <c r="C413" s="10"/>
      <c r="D413" s="10"/>
      <c r="E413" s="10"/>
      <c r="F413" s="178"/>
    </row>
    <row r="414">
      <c r="A414" s="1"/>
      <c r="B414" s="1"/>
      <c r="C414" s="10"/>
      <c r="D414" s="10"/>
      <c r="E414" s="10"/>
      <c r="F414" s="178"/>
    </row>
    <row r="415">
      <c r="A415" s="1"/>
      <c r="B415" s="1"/>
      <c r="C415" s="10"/>
      <c r="D415" s="10"/>
      <c r="E415" s="10"/>
      <c r="F415" s="178"/>
    </row>
    <row r="416">
      <c r="A416" s="1"/>
      <c r="B416" s="1"/>
      <c r="C416" s="10"/>
      <c r="D416" s="10"/>
      <c r="E416" s="10"/>
      <c r="F416" s="178"/>
    </row>
    <row r="417">
      <c r="A417" s="1"/>
      <c r="B417" s="1"/>
      <c r="C417" s="10"/>
      <c r="D417" s="10"/>
      <c r="E417" s="10"/>
      <c r="F417" s="178"/>
    </row>
    <row r="418">
      <c r="A418" s="1"/>
      <c r="B418" s="1"/>
      <c r="C418" s="10"/>
      <c r="D418" s="10"/>
      <c r="E418" s="10"/>
      <c r="F418" s="178"/>
    </row>
    <row r="419">
      <c r="A419" s="1"/>
      <c r="B419" s="1"/>
      <c r="C419" s="10"/>
      <c r="D419" s="10"/>
      <c r="E419" s="10"/>
      <c r="F419" s="178"/>
    </row>
    <row r="420">
      <c r="A420" s="1"/>
      <c r="B420" s="1"/>
      <c r="C420" s="10"/>
      <c r="D420" s="10"/>
      <c r="E420" s="10"/>
      <c r="F420" s="178"/>
    </row>
    <row r="421">
      <c r="A421" s="1"/>
      <c r="B421" s="1"/>
      <c r="C421" s="10"/>
      <c r="D421" s="10"/>
      <c r="E421" s="10"/>
      <c r="F421" s="178"/>
    </row>
    <row r="422">
      <c r="A422" s="1"/>
      <c r="B422" s="1"/>
      <c r="C422" s="10"/>
      <c r="D422" s="10"/>
      <c r="E422" s="10"/>
      <c r="F422" s="178"/>
    </row>
    <row r="423">
      <c r="A423" s="1"/>
      <c r="B423" s="1"/>
      <c r="C423" s="10"/>
      <c r="D423" s="10"/>
      <c r="E423" s="10"/>
      <c r="F423" s="178"/>
    </row>
    <row r="424">
      <c r="A424" s="1"/>
      <c r="B424" s="1"/>
      <c r="C424" s="10"/>
      <c r="D424" s="10"/>
      <c r="E424" s="10"/>
      <c r="F424" s="178"/>
    </row>
    <row r="425">
      <c r="A425" s="1"/>
      <c r="B425" s="1"/>
      <c r="C425" s="10"/>
      <c r="D425" s="10"/>
      <c r="E425" s="10"/>
      <c r="F425" s="178"/>
    </row>
    <row r="426">
      <c r="A426" s="1"/>
      <c r="B426" s="1"/>
      <c r="C426" s="10"/>
      <c r="D426" s="10"/>
      <c r="E426" s="10"/>
      <c r="F426" s="178"/>
    </row>
    <row r="427">
      <c r="A427" s="1"/>
      <c r="B427" s="1"/>
      <c r="C427" s="10"/>
      <c r="D427" s="10"/>
      <c r="E427" s="10"/>
      <c r="F427" s="178"/>
    </row>
    <row r="428">
      <c r="A428" s="1"/>
      <c r="B428" s="1"/>
      <c r="C428" s="10"/>
      <c r="D428" s="10"/>
      <c r="E428" s="10"/>
      <c r="F428" s="178"/>
    </row>
    <row r="429">
      <c r="A429" s="1"/>
      <c r="B429" s="1"/>
      <c r="C429" s="10"/>
      <c r="D429" s="10"/>
      <c r="E429" s="10"/>
      <c r="F429" s="178"/>
    </row>
    <row r="430">
      <c r="A430" s="1"/>
      <c r="B430" s="1"/>
      <c r="C430" s="10"/>
      <c r="D430" s="10"/>
      <c r="E430" s="10"/>
      <c r="F430" s="178"/>
    </row>
    <row r="431">
      <c r="A431" s="1"/>
      <c r="B431" s="1"/>
      <c r="C431" s="10"/>
      <c r="D431" s="10"/>
      <c r="E431" s="10"/>
      <c r="F431" s="178"/>
    </row>
    <row r="432">
      <c r="A432" s="1"/>
      <c r="B432" s="1"/>
      <c r="C432" s="10"/>
      <c r="D432" s="10"/>
      <c r="E432" s="10"/>
      <c r="F432" s="178"/>
    </row>
    <row r="433">
      <c r="A433" s="1"/>
      <c r="B433" s="1"/>
      <c r="C433" s="10"/>
      <c r="D433" s="10"/>
      <c r="E433" s="10"/>
      <c r="F433" s="178"/>
    </row>
    <row r="434">
      <c r="A434" s="1"/>
      <c r="B434" s="1"/>
      <c r="C434" s="10"/>
      <c r="D434" s="10"/>
      <c r="E434" s="10"/>
      <c r="F434" s="178"/>
    </row>
    <row r="435">
      <c r="A435" s="1"/>
      <c r="B435" s="1"/>
      <c r="C435" s="10"/>
      <c r="D435" s="10"/>
      <c r="E435" s="10"/>
      <c r="F435" s="178"/>
    </row>
    <row r="436">
      <c r="A436" s="1"/>
      <c r="B436" s="1"/>
      <c r="C436" s="10"/>
      <c r="D436" s="10"/>
      <c r="E436" s="10"/>
      <c r="F436" s="178"/>
    </row>
    <row r="437">
      <c r="A437" s="1"/>
      <c r="B437" s="1"/>
      <c r="C437" s="10"/>
      <c r="D437" s="10"/>
      <c r="E437" s="10"/>
      <c r="F437" s="178"/>
    </row>
    <row r="438">
      <c r="A438" s="1"/>
      <c r="B438" s="1"/>
      <c r="C438" s="10"/>
      <c r="D438" s="10"/>
      <c r="E438" s="10"/>
      <c r="F438" s="178"/>
    </row>
    <row r="439">
      <c r="A439" s="1"/>
      <c r="B439" s="1"/>
      <c r="C439" s="10"/>
      <c r="D439" s="10"/>
      <c r="E439" s="10"/>
      <c r="F439" s="178"/>
    </row>
    <row r="440">
      <c r="A440" s="1"/>
      <c r="B440" s="1"/>
      <c r="C440" s="10"/>
      <c r="D440" s="10"/>
      <c r="E440" s="10"/>
      <c r="F440" s="178"/>
    </row>
    <row r="441">
      <c r="A441" s="1"/>
      <c r="B441" s="1"/>
      <c r="C441" s="10"/>
      <c r="D441" s="10"/>
      <c r="E441" s="10"/>
      <c r="F441" s="178"/>
    </row>
    <row r="442">
      <c r="A442" s="1"/>
      <c r="B442" s="1"/>
      <c r="C442" s="10"/>
      <c r="D442" s="10"/>
      <c r="E442" s="10"/>
      <c r="F442" s="178"/>
    </row>
    <row r="443">
      <c r="A443" s="1"/>
      <c r="B443" s="1"/>
      <c r="C443" s="10"/>
      <c r="D443" s="10"/>
      <c r="E443" s="10"/>
      <c r="F443" s="178"/>
    </row>
    <row r="444">
      <c r="A444" s="1"/>
      <c r="B444" s="1"/>
      <c r="C444" s="10"/>
      <c r="D444" s="10"/>
      <c r="E444" s="10"/>
      <c r="F444" s="178"/>
    </row>
    <row r="445">
      <c r="A445" s="1"/>
      <c r="B445" s="1"/>
      <c r="C445" s="10"/>
      <c r="D445" s="10"/>
      <c r="E445" s="10"/>
      <c r="F445" s="178"/>
    </row>
    <row r="446">
      <c r="A446" s="1"/>
      <c r="B446" s="1"/>
      <c r="C446" s="10"/>
      <c r="D446" s="10"/>
      <c r="E446" s="10"/>
      <c r="F446" s="178"/>
    </row>
    <row r="447">
      <c r="A447" s="1"/>
      <c r="B447" s="1"/>
      <c r="C447" s="10"/>
      <c r="D447" s="10"/>
      <c r="E447" s="10"/>
      <c r="F447" s="178"/>
    </row>
    <row r="448">
      <c r="A448" s="1"/>
      <c r="B448" s="1"/>
      <c r="C448" s="10"/>
      <c r="D448" s="10"/>
      <c r="E448" s="10"/>
      <c r="F448" s="178"/>
    </row>
    <row r="449">
      <c r="A449" s="1"/>
      <c r="B449" s="1"/>
      <c r="C449" s="10"/>
      <c r="D449" s="10"/>
      <c r="E449" s="10"/>
      <c r="F449" s="178"/>
    </row>
    <row r="450">
      <c r="A450" s="1"/>
      <c r="B450" s="1"/>
      <c r="C450" s="10"/>
      <c r="D450" s="10"/>
      <c r="E450" s="10"/>
      <c r="F450" s="178"/>
    </row>
    <row r="451">
      <c r="A451" s="1"/>
      <c r="B451" s="1"/>
      <c r="C451" s="10"/>
      <c r="D451" s="10"/>
      <c r="E451" s="10"/>
      <c r="F451" s="178"/>
    </row>
    <row r="452">
      <c r="A452" s="1"/>
      <c r="B452" s="1"/>
      <c r="C452" s="10"/>
      <c r="D452" s="10"/>
      <c r="E452" s="10"/>
      <c r="F452" s="178"/>
    </row>
    <row r="453">
      <c r="A453" s="1"/>
      <c r="B453" s="1"/>
      <c r="C453" s="10"/>
      <c r="D453" s="10"/>
      <c r="E453" s="10"/>
      <c r="F453" s="178"/>
    </row>
    <row r="454">
      <c r="A454" s="1"/>
      <c r="B454" s="1"/>
      <c r="C454" s="10"/>
      <c r="D454" s="10"/>
      <c r="E454" s="10"/>
      <c r="F454" s="178"/>
    </row>
    <row r="455">
      <c r="A455" s="1"/>
      <c r="B455" s="1"/>
      <c r="C455" s="10"/>
      <c r="D455" s="10"/>
      <c r="E455" s="10"/>
      <c r="F455" s="178"/>
    </row>
    <row r="456">
      <c r="A456" s="1"/>
      <c r="B456" s="1"/>
      <c r="C456" s="10"/>
      <c r="D456" s="10"/>
      <c r="E456" s="10"/>
      <c r="F456" s="178"/>
    </row>
    <row r="457">
      <c r="A457" s="1"/>
      <c r="B457" s="1"/>
      <c r="C457" s="10"/>
      <c r="D457" s="10"/>
      <c r="E457" s="10"/>
      <c r="F457" s="178"/>
    </row>
    <row r="458">
      <c r="A458" s="1"/>
      <c r="B458" s="1"/>
      <c r="C458" s="10"/>
      <c r="D458" s="10"/>
      <c r="E458" s="10"/>
      <c r="F458" s="178"/>
    </row>
    <row r="459">
      <c r="A459" s="1"/>
      <c r="B459" s="1"/>
      <c r="C459" s="10"/>
      <c r="D459" s="10"/>
      <c r="E459" s="10"/>
      <c r="F459" s="178"/>
    </row>
    <row r="460">
      <c r="A460" s="1"/>
      <c r="B460" s="1"/>
      <c r="C460" s="10"/>
      <c r="D460" s="10"/>
      <c r="E460" s="10"/>
      <c r="F460" s="178"/>
    </row>
    <row r="461">
      <c r="A461" s="1"/>
      <c r="B461" s="1"/>
      <c r="C461" s="10"/>
      <c r="D461" s="10"/>
      <c r="E461" s="10"/>
      <c r="F461" s="178"/>
    </row>
    <row r="462">
      <c r="A462" s="1"/>
      <c r="B462" s="1"/>
      <c r="C462" s="10"/>
      <c r="D462" s="10"/>
      <c r="E462" s="10"/>
      <c r="F462" s="178"/>
    </row>
    <row r="463">
      <c r="A463" s="1"/>
      <c r="B463" s="1"/>
      <c r="C463" s="10"/>
      <c r="D463" s="10"/>
      <c r="E463" s="10"/>
      <c r="F463" s="178"/>
    </row>
    <row r="464">
      <c r="A464" s="1"/>
      <c r="B464" s="1"/>
      <c r="C464" s="10"/>
      <c r="D464" s="10"/>
      <c r="E464" s="10"/>
      <c r="F464" s="178"/>
    </row>
    <row r="465">
      <c r="A465" s="1"/>
      <c r="B465" s="1"/>
      <c r="C465" s="10"/>
      <c r="D465" s="10"/>
      <c r="E465" s="10"/>
      <c r="F465" s="178"/>
    </row>
    <row r="466">
      <c r="A466" s="1"/>
      <c r="B466" s="1"/>
      <c r="C466" s="10"/>
      <c r="D466" s="10"/>
      <c r="E466" s="10"/>
      <c r="F466" s="178"/>
    </row>
    <row r="467">
      <c r="A467" s="1"/>
      <c r="B467" s="1"/>
      <c r="C467" s="10"/>
      <c r="D467" s="10"/>
      <c r="E467" s="10"/>
      <c r="F467" s="178"/>
    </row>
    <row r="468">
      <c r="A468" s="1"/>
      <c r="B468" s="1"/>
      <c r="C468" s="10"/>
      <c r="D468" s="10"/>
      <c r="E468" s="10"/>
      <c r="F468" s="178"/>
    </row>
    <row r="469">
      <c r="A469" s="1"/>
      <c r="B469" s="1"/>
      <c r="C469" s="10"/>
      <c r="D469" s="10"/>
      <c r="E469" s="10"/>
      <c r="F469" s="178"/>
    </row>
    <row r="470">
      <c r="A470" s="1"/>
      <c r="B470" s="1"/>
      <c r="C470" s="10"/>
      <c r="D470" s="10"/>
      <c r="E470" s="10"/>
      <c r="F470" s="178"/>
    </row>
    <row r="471">
      <c r="A471" s="1"/>
      <c r="B471" s="1"/>
      <c r="C471" s="10"/>
      <c r="D471" s="10"/>
      <c r="E471" s="10"/>
      <c r="F471" s="178"/>
    </row>
    <row r="472">
      <c r="A472" s="1"/>
      <c r="B472" s="1"/>
      <c r="C472" s="10"/>
      <c r="D472" s="10"/>
      <c r="E472" s="10"/>
      <c r="F472" s="178"/>
    </row>
    <row r="473">
      <c r="A473" s="1"/>
      <c r="B473" s="1"/>
      <c r="C473" s="10"/>
      <c r="D473" s="10"/>
      <c r="E473" s="10"/>
      <c r="F473" s="178"/>
    </row>
    <row r="474">
      <c r="A474" s="1"/>
      <c r="B474" s="1"/>
      <c r="C474" s="10"/>
      <c r="D474" s="10"/>
      <c r="E474" s="10"/>
      <c r="F474" s="178"/>
    </row>
    <row r="475">
      <c r="A475" s="1"/>
      <c r="B475" s="1"/>
      <c r="C475" s="10"/>
      <c r="D475" s="10"/>
      <c r="E475" s="10"/>
      <c r="F475" s="178"/>
    </row>
    <row r="476">
      <c r="A476" s="1"/>
      <c r="B476" s="1"/>
      <c r="C476" s="10"/>
      <c r="D476" s="10"/>
      <c r="E476" s="10"/>
      <c r="F476" s="178"/>
    </row>
    <row r="477">
      <c r="A477" s="1"/>
      <c r="B477" s="1"/>
      <c r="C477" s="10"/>
      <c r="D477" s="10"/>
      <c r="E477" s="10"/>
      <c r="F477" s="178"/>
    </row>
    <row r="478">
      <c r="A478" s="1"/>
      <c r="B478" s="1"/>
      <c r="C478" s="10"/>
      <c r="D478" s="10"/>
      <c r="E478" s="10"/>
      <c r="F478" s="178"/>
    </row>
    <row r="479">
      <c r="A479" s="1"/>
      <c r="B479" s="1"/>
      <c r="C479" s="10"/>
      <c r="D479" s="10"/>
      <c r="E479" s="10"/>
      <c r="F479" s="178"/>
    </row>
    <row r="480">
      <c r="A480" s="1"/>
      <c r="B480" s="1"/>
      <c r="C480" s="10"/>
      <c r="D480" s="10"/>
      <c r="E480" s="10"/>
      <c r="F480" s="178"/>
    </row>
    <row r="481">
      <c r="A481" s="1"/>
      <c r="B481" s="1"/>
      <c r="C481" s="10"/>
      <c r="D481" s="10"/>
      <c r="E481" s="10"/>
      <c r="F481" s="178"/>
    </row>
    <row r="482">
      <c r="A482" s="1"/>
      <c r="B482" s="1"/>
      <c r="C482" s="10"/>
      <c r="D482" s="10"/>
      <c r="E482" s="10"/>
      <c r="F482" s="178"/>
    </row>
    <row r="483">
      <c r="A483" s="1"/>
      <c r="B483" s="1"/>
      <c r="C483" s="10"/>
      <c r="D483" s="10"/>
      <c r="E483" s="10"/>
      <c r="F483" s="178"/>
    </row>
    <row r="484">
      <c r="A484" s="1"/>
      <c r="B484" s="1"/>
      <c r="C484" s="10"/>
      <c r="D484" s="10"/>
      <c r="E484" s="10"/>
      <c r="F484" s="178"/>
    </row>
    <row r="485">
      <c r="A485" s="1"/>
      <c r="B485" s="1"/>
      <c r="C485" s="10"/>
      <c r="D485" s="10"/>
      <c r="E485" s="10"/>
      <c r="F485" s="178"/>
    </row>
    <row r="486">
      <c r="A486" s="1"/>
      <c r="B486" s="1"/>
      <c r="C486" s="10"/>
      <c r="D486" s="10"/>
      <c r="E486" s="10"/>
      <c r="F486" s="178"/>
    </row>
    <row r="487">
      <c r="A487" s="1"/>
      <c r="B487" s="1"/>
      <c r="C487" s="10"/>
      <c r="D487" s="10"/>
      <c r="E487" s="10"/>
      <c r="F487" s="178"/>
    </row>
    <row r="488">
      <c r="A488" s="1"/>
      <c r="B488" s="1"/>
      <c r="C488" s="10"/>
      <c r="D488" s="10"/>
      <c r="E488" s="10"/>
      <c r="F488" s="178"/>
    </row>
    <row r="489">
      <c r="A489" s="1"/>
      <c r="B489" s="1"/>
      <c r="C489" s="10"/>
      <c r="D489" s="10"/>
      <c r="E489" s="10"/>
      <c r="F489" s="178"/>
    </row>
    <row r="490">
      <c r="A490" s="1"/>
      <c r="B490" s="1"/>
      <c r="C490" s="10"/>
      <c r="D490" s="10"/>
      <c r="E490" s="10"/>
      <c r="F490" s="178"/>
    </row>
    <row r="491">
      <c r="A491" s="1"/>
      <c r="B491" s="1"/>
      <c r="C491" s="10"/>
      <c r="D491" s="10"/>
      <c r="E491" s="10"/>
      <c r="F491" s="178"/>
    </row>
    <row r="492">
      <c r="A492" s="1"/>
      <c r="B492" s="1"/>
      <c r="C492" s="10"/>
      <c r="D492" s="10"/>
      <c r="E492" s="10"/>
      <c r="F492" s="178"/>
    </row>
    <row r="493">
      <c r="A493" s="1"/>
      <c r="B493" s="1"/>
      <c r="C493" s="10"/>
      <c r="D493" s="10"/>
      <c r="E493" s="10"/>
      <c r="F493" s="178"/>
    </row>
    <row r="494">
      <c r="A494" s="1"/>
      <c r="B494" s="1"/>
      <c r="C494" s="10"/>
      <c r="D494" s="10"/>
      <c r="E494" s="10"/>
      <c r="F494" s="178"/>
    </row>
    <row r="495">
      <c r="A495" s="1"/>
      <c r="B495" s="1"/>
      <c r="C495" s="10"/>
      <c r="D495" s="10"/>
      <c r="E495" s="10"/>
      <c r="F495" s="178"/>
    </row>
    <row r="496">
      <c r="A496" s="1"/>
      <c r="B496" s="1"/>
      <c r="C496" s="10"/>
      <c r="D496" s="10"/>
      <c r="E496" s="10"/>
      <c r="F496" s="178"/>
    </row>
    <row r="497">
      <c r="A497" s="1"/>
      <c r="B497" s="1"/>
      <c r="C497" s="10"/>
      <c r="D497" s="10"/>
      <c r="E497" s="10"/>
      <c r="F497" s="178"/>
    </row>
    <row r="498">
      <c r="A498" s="1"/>
      <c r="B498" s="1"/>
      <c r="C498" s="10"/>
      <c r="D498" s="10"/>
      <c r="E498" s="10"/>
      <c r="F498" s="178"/>
    </row>
    <row r="499">
      <c r="A499" s="1"/>
      <c r="B499" s="1"/>
      <c r="C499" s="10"/>
      <c r="D499" s="10"/>
      <c r="E499" s="10"/>
      <c r="F499" s="178"/>
    </row>
    <row r="500">
      <c r="A500" s="1"/>
      <c r="B500" s="1"/>
      <c r="C500" s="10"/>
      <c r="D500" s="10"/>
      <c r="E500" s="10"/>
      <c r="F500" s="178"/>
    </row>
    <row r="501">
      <c r="A501" s="1"/>
      <c r="B501" s="1"/>
      <c r="C501" s="10"/>
      <c r="D501" s="10"/>
      <c r="E501" s="10"/>
      <c r="F501" s="178"/>
    </row>
    <row r="502">
      <c r="A502" s="1"/>
      <c r="B502" s="1"/>
      <c r="C502" s="10"/>
      <c r="D502" s="10"/>
      <c r="E502" s="10"/>
      <c r="F502" s="178"/>
    </row>
    <row r="503">
      <c r="A503" s="1"/>
      <c r="B503" s="1"/>
      <c r="C503" s="10"/>
      <c r="D503" s="10"/>
      <c r="E503" s="10"/>
      <c r="F503" s="178"/>
    </row>
    <row r="504">
      <c r="A504" s="1"/>
      <c r="B504" s="1"/>
      <c r="C504" s="10"/>
      <c r="D504" s="10"/>
      <c r="E504" s="10"/>
      <c r="F504" s="178"/>
    </row>
    <row r="505">
      <c r="A505" s="1"/>
      <c r="B505" s="1"/>
      <c r="C505" s="10"/>
      <c r="D505" s="10"/>
      <c r="E505" s="10"/>
      <c r="F505" s="178"/>
    </row>
    <row r="506">
      <c r="A506" s="1"/>
      <c r="B506" s="1"/>
      <c r="C506" s="10"/>
      <c r="D506" s="10"/>
      <c r="E506" s="10"/>
      <c r="F506" s="178"/>
    </row>
    <row r="507">
      <c r="A507" s="1"/>
      <c r="B507" s="1"/>
      <c r="C507" s="10"/>
      <c r="D507" s="10"/>
      <c r="E507" s="10"/>
      <c r="F507" s="178"/>
    </row>
    <row r="508">
      <c r="A508" s="1"/>
      <c r="B508" s="1"/>
      <c r="C508" s="10"/>
      <c r="D508" s="10"/>
      <c r="E508" s="10"/>
      <c r="F508" s="178"/>
    </row>
    <row r="509">
      <c r="A509" s="1"/>
      <c r="B509" s="1"/>
      <c r="C509" s="10"/>
      <c r="D509" s="10"/>
      <c r="E509" s="10"/>
      <c r="F509" s="178"/>
    </row>
    <row r="510">
      <c r="A510" s="1"/>
      <c r="B510" s="1"/>
      <c r="C510" s="10"/>
      <c r="D510" s="10"/>
      <c r="E510" s="10"/>
      <c r="F510" s="178"/>
    </row>
    <row r="511">
      <c r="A511" s="1"/>
      <c r="B511" s="1"/>
      <c r="C511" s="10"/>
      <c r="D511" s="10"/>
      <c r="E511" s="10"/>
      <c r="F511" s="178"/>
    </row>
    <row r="512">
      <c r="A512" s="1"/>
      <c r="B512" s="1"/>
      <c r="C512" s="10"/>
      <c r="D512" s="10"/>
      <c r="E512" s="10"/>
      <c r="F512" s="178"/>
    </row>
    <row r="513">
      <c r="A513" s="1"/>
      <c r="B513" s="1"/>
      <c r="C513" s="10"/>
      <c r="D513" s="10"/>
      <c r="E513" s="10"/>
      <c r="F513" s="178"/>
    </row>
    <row r="514">
      <c r="A514" s="1"/>
      <c r="B514" s="1"/>
      <c r="C514" s="10"/>
      <c r="D514" s="10"/>
      <c r="E514" s="10"/>
      <c r="F514" s="178"/>
    </row>
    <row r="515">
      <c r="A515" s="1"/>
      <c r="B515" s="1"/>
      <c r="C515" s="10"/>
      <c r="D515" s="10"/>
      <c r="E515" s="10"/>
      <c r="F515" s="178"/>
    </row>
    <row r="516">
      <c r="A516" s="1"/>
      <c r="B516" s="1"/>
      <c r="C516" s="10"/>
      <c r="D516" s="10"/>
      <c r="E516" s="10"/>
      <c r="F516" s="178"/>
    </row>
    <row r="517">
      <c r="A517" s="1"/>
      <c r="B517" s="1"/>
      <c r="C517" s="10"/>
      <c r="D517" s="10"/>
      <c r="E517" s="10"/>
      <c r="F517" s="178"/>
    </row>
    <row r="518">
      <c r="A518" s="1"/>
      <c r="B518" s="1"/>
      <c r="C518" s="10"/>
      <c r="D518" s="10"/>
      <c r="E518" s="10"/>
      <c r="F518" s="178"/>
    </row>
    <row r="519">
      <c r="A519" s="1"/>
      <c r="B519" s="1"/>
      <c r="C519" s="10"/>
      <c r="D519" s="10"/>
      <c r="E519" s="10"/>
      <c r="F519" s="178"/>
    </row>
    <row r="520">
      <c r="A520" s="1"/>
      <c r="B520" s="1"/>
      <c r="C520" s="10"/>
      <c r="D520" s="10"/>
      <c r="E520" s="10"/>
      <c r="F520" s="178"/>
    </row>
    <row r="521">
      <c r="A521" s="1"/>
      <c r="B521" s="1"/>
      <c r="C521" s="10"/>
      <c r="D521" s="10"/>
      <c r="E521" s="10"/>
      <c r="F521" s="178"/>
    </row>
    <row r="522">
      <c r="A522" s="1"/>
      <c r="B522" s="1"/>
      <c r="C522" s="10"/>
      <c r="D522" s="10"/>
      <c r="E522" s="10"/>
      <c r="F522" s="178"/>
    </row>
    <row r="523">
      <c r="A523" s="1"/>
      <c r="B523" s="1"/>
      <c r="C523" s="10"/>
      <c r="D523" s="10"/>
      <c r="E523" s="10"/>
      <c r="F523" s="178"/>
    </row>
    <row r="524">
      <c r="A524" s="1"/>
      <c r="B524" s="1"/>
      <c r="C524" s="10"/>
      <c r="D524" s="10"/>
      <c r="E524" s="10"/>
      <c r="F524" s="178"/>
    </row>
    <row r="525">
      <c r="A525" s="1"/>
      <c r="B525" s="1"/>
      <c r="C525" s="10"/>
      <c r="D525" s="10"/>
      <c r="E525" s="10"/>
      <c r="F525" s="178"/>
    </row>
    <row r="526">
      <c r="A526" s="1"/>
      <c r="B526" s="1"/>
      <c r="C526" s="10"/>
      <c r="D526" s="10"/>
      <c r="E526" s="10"/>
      <c r="F526" s="178"/>
    </row>
    <row r="527">
      <c r="A527" s="1"/>
      <c r="B527" s="1"/>
      <c r="C527" s="10"/>
      <c r="D527" s="10"/>
      <c r="E527" s="10"/>
      <c r="F527" s="178"/>
    </row>
    <row r="528">
      <c r="A528" s="1"/>
      <c r="B528" s="1"/>
      <c r="C528" s="10"/>
      <c r="D528" s="10"/>
      <c r="E528" s="10"/>
      <c r="F528" s="178"/>
    </row>
    <row r="529">
      <c r="A529" s="1"/>
      <c r="B529" s="1"/>
      <c r="C529" s="10"/>
      <c r="D529" s="10"/>
      <c r="E529" s="10"/>
      <c r="F529" s="178"/>
    </row>
    <row r="530">
      <c r="A530" s="1"/>
      <c r="B530" s="1"/>
      <c r="C530" s="10"/>
      <c r="D530" s="10"/>
      <c r="E530" s="10"/>
      <c r="F530" s="178"/>
    </row>
    <row r="531">
      <c r="A531" s="1"/>
      <c r="B531" s="1"/>
      <c r="C531" s="10"/>
      <c r="D531" s="10"/>
      <c r="E531" s="10"/>
      <c r="F531" s="178"/>
    </row>
    <row r="532">
      <c r="A532" s="1"/>
      <c r="B532" s="1"/>
      <c r="C532" s="10"/>
      <c r="D532" s="10"/>
      <c r="E532" s="10"/>
      <c r="F532" s="178"/>
    </row>
    <row r="533">
      <c r="A533" s="1"/>
      <c r="B533" s="1"/>
      <c r="C533" s="10"/>
      <c r="D533" s="10"/>
      <c r="E533" s="10"/>
      <c r="F533" s="178"/>
    </row>
    <row r="534">
      <c r="A534" s="1"/>
      <c r="B534" s="1"/>
      <c r="C534" s="10"/>
      <c r="D534" s="10"/>
      <c r="E534" s="10"/>
      <c r="F534" s="178"/>
    </row>
    <row r="535">
      <c r="A535" s="1"/>
      <c r="B535" s="1"/>
      <c r="C535" s="10"/>
      <c r="D535" s="10"/>
      <c r="E535" s="10"/>
      <c r="F535" s="178"/>
    </row>
    <row r="536">
      <c r="A536" s="1"/>
      <c r="B536" s="1"/>
      <c r="C536" s="10"/>
      <c r="D536" s="10"/>
      <c r="E536" s="10"/>
      <c r="F536" s="178"/>
    </row>
    <row r="537">
      <c r="A537" s="1"/>
      <c r="B537" s="1"/>
      <c r="C537" s="10"/>
      <c r="D537" s="10"/>
      <c r="E537" s="10"/>
      <c r="F537" s="178"/>
    </row>
    <row r="538">
      <c r="A538" s="1"/>
      <c r="B538" s="1"/>
      <c r="C538" s="10"/>
      <c r="D538" s="10"/>
      <c r="E538" s="10"/>
      <c r="F538" s="178"/>
    </row>
    <row r="539">
      <c r="A539" s="1"/>
      <c r="B539" s="1"/>
      <c r="C539" s="10"/>
      <c r="D539" s="10"/>
      <c r="E539" s="10"/>
      <c r="F539" s="178"/>
    </row>
    <row r="540">
      <c r="A540" s="1"/>
      <c r="B540" s="1"/>
      <c r="C540" s="10"/>
      <c r="D540" s="10"/>
      <c r="E540" s="10"/>
      <c r="F540" s="178"/>
    </row>
    <row r="541">
      <c r="A541" s="1"/>
      <c r="B541" s="1"/>
      <c r="C541" s="10"/>
      <c r="D541" s="10"/>
      <c r="E541" s="10"/>
      <c r="F541" s="178"/>
    </row>
    <row r="542">
      <c r="A542" s="1"/>
      <c r="B542" s="1"/>
      <c r="C542" s="10"/>
      <c r="D542" s="10"/>
      <c r="E542" s="10"/>
      <c r="F542" s="178"/>
    </row>
    <row r="543">
      <c r="A543" s="1"/>
      <c r="B543" s="1"/>
      <c r="C543" s="10"/>
      <c r="D543" s="10"/>
      <c r="E543" s="10"/>
      <c r="F543" s="178"/>
    </row>
    <row r="544">
      <c r="A544" s="1"/>
      <c r="B544" s="1"/>
      <c r="C544" s="10"/>
      <c r="D544" s="10"/>
      <c r="E544" s="10"/>
      <c r="F544" s="178"/>
    </row>
    <row r="545">
      <c r="A545" s="1"/>
      <c r="B545" s="1"/>
      <c r="C545" s="10"/>
      <c r="D545" s="10"/>
      <c r="E545" s="10"/>
      <c r="F545" s="178"/>
    </row>
    <row r="546">
      <c r="A546" s="1"/>
      <c r="B546" s="1"/>
      <c r="C546" s="10"/>
      <c r="D546" s="10"/>
      <c r="E546" s="10"/>
      <c r="F546" s="178"/>
    </row>
    <row r="547">
      <c r="A547" s="1"/>
      <c r="B547" s="1"/>
      <c r="C547" s="10"/>
      <c r="D547" s="10"/>
      <c r="E547" s="10"/>
      <c r="F547" s="178"/>
    </row>
    <row r="548">
      <c r="A548" s="1"/>
      <c r="B548" s="1"/>
      <c r="C548" s="10"/>
      <c r="D548" s="10"/>
      <c r="E548" s="10"/>
      <c r="F548" s="178"/>
    </row>
    <row r="549">
      <c r="A549" s="1"/>
      <c r="B549" s="1"/>
      <c r="C549" s="10"/>
      <c r="D549" s="10"/>
      <c r="E549" s="10"/>
      <c r="F549" s="178"/>
    </row>
    <row r="550">
      <c r="A550" s="1"/>
      <c r="B550" s="1"/>
      <c r="C550" s="10"/>
      <c r="D550" s="10"/>
      <c r="E550" s="10"/>
      <c r="F550" s="178"/>
    </row>
    <row r="551">
      <c r="A551" s="1"/>
      <c r="B551" s="1"/>
      <c r="C551" s="10"/>
      <c r="D551" s="10"/>
      <c r="E551" s="10"/>
      <c r="F551" s="178"/>
    </row>
    <row r="552">
      <c r="A552" s="1"/>
      <c r="B552" s="1"/>
      <c r="C552" s="10"/>
      <c r="D552" s="10"/>
      <c r="E552" s="10"/>
      <c r="F552" s="178"/>
    </row>
    <row r="553">
      <c r="A553" s="1"/>
      <c r="B553" s="1"/>
      <c r="C553" s="10"/>
      <c r="D553" s="10"/>
      <c r="E553" s="10"/>
      <c r="F553" s="178"/>
    </row>
    <row r="554">
      <c r="A554" s="1"/>
      <c r="B554" s="1"/>
      <c r="C554" s="10"/>
      <c r="D554" s="10"/>
      <c r="E554" s="10"/>
      <c r="F554" s="178"/>
    </row>
    <row r="555">
      <c r="A555" s="1"/>
      <c r="B555" s="1"/>
      <c r="C555" s="10"/>
      <c r="D555" s="10"/>
      <c r="E555" s="10"/>
      <c r="F555" s="178"/>
    </row>
    <row r="556">
      <c r="A556" s="1"/>
      <c r="B556" s="1"/>
      <c r="C556" s="10"/>
      <c r="D556" s="10"/>
      <c r="E556" s="10"/>
      <c r="F556" s="178"/>
    </row>
    <row r="557">
      <c r="A557" s="1"/>
      <c r="B557" s="1"/>
      <c r="C557" s="10"/>
      <c r="D557" s="10"/>
      <c r="E557" s="10"/>
      <c r="F557" s="178"/>
    </row>
    <row r="558">
      <c r="A558" s="1"/>
      <c r="B558" s="1"/>
      <c r="C558" s="10"/>
      <c r="D558" s="10"/>
      <c r="E558" s="10"/>
      <c r="F558" s="178"/>
    </row>
    <row r="559">
      <c r="A559" s="1"/>
      <c r="B559" s="1"/>
      <c r="C559" s="10"/>
      <c r="D559" s="10"/>
      <c r="E559" s="10"/>
      <c r="F559" s="178"/>
    </row>
    <row r="560">
      <c r="A560" s="1"/>
      <c r="B560" s="1"/>
      <c r="C560" s="10"/>
      <c r="D560" s="10"/>
      <c r="E560" s="10"/>
      <c r="F560" s="178"/>
    </row>
    <row r="561">
      <c r="A561" s="1"/>
      <c r="B561" s="1"/>
      <c r="C561" s="10"/>
      <c r="D561" s="10"/>
      <c r="E561" s="10"/>
      <c r="F561" s="178"/>
    </row>
    <row r="562">
      <c r="A562" s="1"/>
      <c r="B562" s="1"/>
      <c r="C562" s="10"/>
      <c r="D562" s="10"/>
      <c r="E562" s="10"/>
      <c r="F562" s="178"/>
    </row>
    <row r="563">
      <c r="A563" s="1"/>
      <c r="B563" s="1"/>
      <c r="C563" s="10"/>
      <c r="D563" s="10"/>
      <c r="E563" s="10"/>
      <c r="F563" s="178"/>
    </row>
    <row r="564">
      <c r="A564" s="1"/>
      <c r="B564" s="1"/>
      <c r="C564" s="10"/>
      <c r="D564" s="10"/>
      <c r="E564" s="10"/>
      <c r="F564" s="178"/>
    </row>
    <row r="565">
      <c r="A565" s="1"/>
      <c r="B565" s="1"/>
      <c r="C565" s="10"/>
      <c r="D565" s="10"/>
      <c r="E565" s="10"/>
      <c r="F565" s="178"/>
    </row>
    <row r="566">
      <c r="A566" s="1"/>
      <c r="B566" s="1"/>
      <c r="C566" s="10"/>
      <c r="D566" s="10"/>
      <c r="E566" s="10"/>
      <c r="F566" s="178"/>
    </row>
    <row r="567">
      <c r="A567" s="1"/>
      <c r="B567" s="1"/>
      <c r="C567" s="10"/>
      <c r="D567" s="10"/>
      <c r="E567" s="10"/>
      <c r="F567" s="178"/>
    </row>
    <row r="568">
      <c r="A568" s="1"/>
      <c r="B568" s="1"/>
      <c r="C568" s="10"/>
      <c r="D568" s="10"/>
      <c r="E568" s="10"/>
      <c r="F568" s="178"/>
    </row>
    <row r="569">
      <c r="A569" s="1"/>
      <c r="B569" s="1"/>
      <c r="C569" s="10"/>
      <c r="D569" s="10"/>
      <c r="E569" s="10"/>
      <c r="F569" s="178"/>
    </row>
    <row r="570">
      <c r="A570" s="1"/>
      <c r="B570" s="1"/>
      <c r="C570" s="10"/>
      <c r="D570" s="10"/>
      <c r="E570" s="10"/>
      <c r="F570" s="178"/>
    </row>
    <row r="571">
      <c r="A571" s="1"/>
      <c r="B571" s="1"/>
      <c r="C571" s="10"/>
      <c r="D571" s="10"/>
      <c r="E571" s="10"/>
      <c r="F571" s="178"/>
    </row>
    <row r="572">
      <c r="A572" s="1"/>
      <c r="B572" s="1"/>
      <c r="C572" s="10"/>
      <c r="D572" s="10"/>
      <c r="E572" s="10"/>
      <c r="F572" s="178"/>
    </row>
    <row r="573">
      <c r="A573" s="1"/>
      <c r="B573" s="1"/>
      <c r="C573" s="10"/>
      <c r="D573" s="10"/>
      <c r="E573" s="10"/>
      <c r="F573" s="178"/>
    </row>
    <row r="574">
      <c r="A574" s="1"/>
      <c r="B574" s="1"/>
      <c r="C574" s="10"/>
      <c r="D574" s="10"/>
      <c r="E574" s="10"/>
      <c r="F574" s="178"/>
    </row>
    <row r="575">
      <c r="A575" s="1"/>
      <c r="B575" s="1"/>
      <c r="C575" s="10"/>
      <c r="D575" s="10"/>
      <c r="E575" s="10"/>
      <c r="F575" s="178"/>
    </row>
    <row r="576">
      <c r="A576" s="1"/>
      <c r="B576" s="1"/>
      <c r="C576" s="10"/>
      <c r="D576" s="10"/>
      <c r="E576" s="10"/>
      <c r="F576" s="178"/>
    </row>
    <row r="577">
      <c r="A577" s="1"/>
      <c r="B577" s="1"/>
      <c r="C577" s="10"/>
      <c r="D577" s="10"/>
      <c r="E577" s="10"/>
      <c r="F577" s="178"/>
    </row>
    <row r="578">
      <c r="A578" s="1"/>
      <c r="B578" s="1"/>
      <c r="C578" s="10"/>
      <c r="D578" s="10"/>
      <c r="E578" s="10"/>
      <c r="F578" s="178"/>
    </row>
    <row r="579">
      <c r="A579" s="1"/>
      <c r="B579" s="1"/>
      <c r="C579" s="10"/>
      <c r="D579" s="10"/>
      <c r="E579" s="10"/>
      <c r="F579" s="178"/>
    </row>
    <row r="580">
      <c r="A580" s="1"/>
      <c r="B580" s="1"/>
      <c r="C580" s="10"/>
      <c r="D580" s="10"/>
      <c r="E580" s="10"/>
      <c r="F580" s="178"/>
    </row>
    <row r="581">
      <c r="A581" s="1"/>
      <c r="B581" s="1"/>
      <c r="C581" s="10"/>
      <c r="D581" s="10"/>
      <c r="E581" s="10"/>
      <c r="F581" s="178"/>
    </row>
    <row r="582">
      <c r="A582" s="1"/>
      <c r="B582" s="1"/>
      <c r="C582" s="10"/>
      <c r="D582" s="10"/>
      <c r="E582" s="10"/>
      <c r="F582" s="178"/>
    </row>
    <row r="583">
      <c r="A583" s="1"/>
      <c r="B583" s="1"/>
      <c r="C583" s="10"/>
      <c r="D583" s="10"/>
      <c r="E583" s="10"/>
      <c r="F583" s="178"/>
    </row>
    <row r="584">
      <c r="A584" s="1"/>
      <c r="B584" s="1"/>
      <c r="C584" s="10"/>
      <c r="D584" s="10"/>
      <c r="E584" s="10"/>
      <c r="F584" s="178"/>
    </row>
    <row r="585">
      <c r="A585" s="1"/>
      <c r="B585" s="1"/>
      <c r="C585" s="10"/>
      <c r="D585" s="10"/>
      <c r="E585" s="10"/>
      <c r="F585" s="178"/>
    </row>
    <row r="586">
      <c r="A586" s="1"/>
      <c r="B586" s="1"/>
      <c r="C586" s="10"/>
      <c r="D586" s="10"/>
      <c r="E586" s="10"/>
      <c r="F586" s="178"/>
    </row>
    <row r="587">
      <c r="A587" s="1"/>
      <c r="B587" s="1"/>
      <c r="C587" s="10"/>
      <c r="D587" s="10"/>
      <c r="E587" s="10"/>
      <c r="F587" s="178"/>
    </row>
    <row r="588">
      <c r="A588" s="1"/>
      <c r="B588" s="1"/>
      <c r="C588" s="10"/>
      <c r="D588" s="10"/>
      <c r="E588" s="10"/>
      <c r="F588" s="178"/>
    </row>
    <row r="589">
      <c r="A589" s="1"/>
      <c r="B589" s="1"/>
      <c r="C589" s="10"/>
      <c r="D589" s="10"/>
      <c r="E589" s="10"/>
      <c r="F589" s="178"/>
    </row>
    <row r="590">
      <c r="A590" s="1"/>
      <c r="B590" s="1"/>
      <c r="C590" s="10"/>
      <c r="D590" s="10"/>
      <c r="E590" s="10"/>
      <c r="F590" s="178"/>
    </row>
    <row r="591">
      <c r="A591" s="1"/>
      <c r="B591" s="1"/>
      <c r="C591" s="10"/>
      <c r="D591" s="10"/>
      <c r="E591" s="10"/>
      <c r="F591" s="178"/>
    </row>
    <row r="592">
      <c r="A592" s="1"/>
      <c r="B592" s="1"/>
      <c r="C592" s="10"/>
      <c r="D592" s="10"/>
      <c r="E592" s="10"/>
      <c r="F592" s="178"/>
    </row>
    <row r="593">
      <c r="A593" s="1"/>
      <c r="B593" s="1"/>
      <c r="C593" s="10"/>
      <c r="D593" s="10"/>
      <c r="E593" s="10"/>
      <c r="F593" s="178"/>
    </row>
    <row r="594">
      <c r="A594" s="1"/>
      <c r="B594" s="1"/>
      <c r="C594" s="10"/>
      <c r="D594" s="10"/>
      <c r="E594" s="10"/>
      <c r="F594" s="178"/>
    </row>
    <row r="595">
      <c r="A595" s="1"/>
      <c r="B595" s="1"/>
      <c r="C595" s="10"/>
      <c r="D595" s="10"/>
      <c r="E595" s="10"/>
      <c r="F595" s="178"/>
    </row>
    <row r="596">
      <c r="A596" s="1"/>
      <c r="B596" s="1"/>
      <c r="C596" s="10"/>
      <c r="D596" s="10"/>
      <c r="E596" s="10"/>
      <c r="F596" s="178"/>
    </row>
    <row r="597">
      <c r="A597" s="1"/>
      <c r="B597" s="1"/>
      <c r="C597" s="10"/>
      <c r="D597" s="10"/>
      <c r="E597" s="10"/>
      <c r="F597" s="178"/>
    </row>
    <row r="598">
      <c r="A598" s="1"/>
      <c r="B598" s="1"/>
      <c r="C598" s="10"/>
      <c r="D598" s="10"/>
      <c r="E598" s="10"/>
      <c r="F598" s="178"/>
    </row>
    <row r="599">
      <c r="A599" s="1"/>
      <c r="B599" s="1"/>
      <c r="C599" s="10"/>
      <c r="D599" s="10"/>
      <c r="E599" s="10"/>
      <c r="F599" s="178"/>
    </row>
    <row r="600">
      <c r="A600" s="1"/>
      <c r="B600" s="1"/>
      <c r="C600" s="10"/>
      <c r="D600" s="10"/>
      <c r="E600" s="10"/>
      <c r="F600" s="178"/>
    </row>
    <row r="601">
      <c r="A601" s="1"/>
      <c r="B601" s="1"/>
      <c r="C601" s="10"/>
      <c r="D601" s="10"/>
      <c r="E601" s="10"/>
      <c r="F601" s="178"/>
    </row>
    <row r="602">
      <c r="A602" s="1"/>
      <c r="B602" s="1"/>
      <c r="C602" s="10"/>
      <c r="D602" s="10"/>
      <c r="E602" s="10"/>
      <c r="F602" s="178"/>
    </row>
    <row r="603">
      <c r="A603" s="1"/>
      <c r="B603" s="1"/>
      <c r="C603" s="10"/>
      <c r="D603" s="10"/>
      <c r="E603" s="10"/>
      <c r="F603" s="178"/>
    </row>
    <row r="604">
      <c r="A604" s="1"/>
      <c r="B604" s="1"/>
      <c r="C604" s="10"/>
      <c r="D604" s="10"/>
      <c r="E604" s="10"/>
      <c r="F604" s="178"/>
    </row>
    <row r="605">
      <c r="A605" s="1"/>
      <c r="B605" s="1"/>
      <c r="C605" s="10"/>
      <c r="D605" s="10"/>
      <c r="E605" s="10"/>
      <c r="F605" s="178"/>
    </row>
    <row r="606">
      <c r="A606" s="1"/>
      <c r="B606" s="1"/>
      <c r="C606" s="10"/>
      <c r="D606" s="10"/>
      <c r="E606" s="10"/>
      <c r="F606" s="178"/>
    </row>
    <row r="607">
      <c r="A607" s="1"/>
      <c r="B607" s="1"/>
      <c r="C607" s="10"/>
      <c r="D607" s="10"/>
      <c r="E607" s="10"/>
      <c r="F607" s="178"/>
    </row>
    <row r="608">
      <c r="A608" s="1"/>
      <c r="B608" s="1"/>
      <c r="C608" s="10"/>
      <c r="D608" s="10"/>
      <c r="E608" s="10"/>
      <c r="F608" s="178"/>
    </row>
    <row r="609">
      <c r="A609" s="1"/>
      <c r="B609" s="1"/>
      <c r="C609" s="10"/>
      <c r="D609" s="10"/>
      <c r="E609" s="10"/>
      <c r="F609" s="178"/>
    </row>
    <row r="610">
      <c r="A610" s="1"/>
      <c r="B610" s="1"/>
      <c r="C610" s="10"/>
      <c r="D610" s="10"/>
      <c r="E610" s="10"/>
      <c r="F610" s="178"/>
    </row>
    <row r="611">
      <c r="A611" s="1"/>
      <c r="B611" s="1"/>
      <c r="C611" s="10"/>
      <c r="D611" s="10"/>
      <c r="E611" s="10"/>
      <c r="F611" s="178"/>
    </row>
    <row r="612">
      <c r="A612" s="1"/>
      <c r="B612" s="1"/>
      <c r="C612" s="10"/>
      <c r="D612" s="10"/>
      <c r="E612" s="10"/>
      <c r="F612" s="178"/>
    </row>
    <row r="613">
      <c r="A613" s="1"/>
      <c r="B613" s="1"/>
      <c r="C613" s="10"/>
      <c r="D613" s="10"/>
      <c r="E613" s="10"/>
      <c r="F613" s="178"/>
    </row>
    <row r="614">
      <c r="A614" s="1"/>
      <c r="B614" s="1"/>
      <c r="C614" s="10"/>
      <c r="D614" s="10"/>
      <c r="E614" s="10"/>
      <c r="F614" s="178"/>
    </row>
    <row r="615">
      <c r="A615" s="1"/>
      <c r="B615" s="1"/>
      <c r="C615" s="10"/>
      <c r="D615" s="10"/>
      <c r="E615" s="10"/>
      <c r="F615" s="178"/>
    </row>
    <row r="616">
      <c r="A616" s="1"/>
      <c r="B616" s="1"/>
      <c r="C616" s="10"/>
      <c r="D616" s="10"/>
      <c r="E616" s="10"/>
      <c r="F616" s="178"/>
    </row>
    <row r="617">
      <c r="A617" s="1"/>
      <c r="B617" s="1"/>
      <c r="C617" s="10"/>
      <c r="D617" s="10"/>
      <c r="E617" s="10"/>
      <c r="F617" s="178"/>
    </row>
    <row r="618">
      <c r="A618" s="1"/>
      <c r="B618" s="1"/>
      <c r="C618" s="10"/>
      <c r="D618" s="10"/>
      <c r="E618" s="10"/>
      <c r="F618" s="178"/>
    </row>
    <row r="619">
      <c r="A619" s="1"/>
      <c r="B619" s="1"/>
      <c r="C619" s="10"/>
      <c r="D619" s="10"/>
      <c r="E619" s="10"/>
      <c r="F619" s="178"/>
    </row>
    <row r="620">
      <c r="A620" s="1"/>
      <c r="B620" s="1"/>
      <c r="C620" s="10"/>
      <c r="D620" s="10"/>
      <c r="E620" s="10"/>
      <c r="F620" s="178"/>
    </row>
    <row r="621">
      <c r="A621" s="1"/>
      <c r="B621" s="1"/>
      <c r="C621" s="10"/>
      <c r="D621" s="10"/>
      <c r="E621" s="10"/>
      <c r="F621" s="178"/>
    </row>
    <row r="622">
      <c r="A622" s="1"/>
      <c r="B622" s="1"/>
      <c r="C622" s="10"/>
      <c r="D622" s="10"/>
      <c r="E622" s="10"/>
      <c r="F622" s="178"/>
    </row>
    <row r="623">
      <c r="A623" s="1"/>
      <c r="B623" s="1"/>
      <c r="C623" s="10"/>
      <c r="D623" s="10"/>
      <c r="E623" s="10"/>
      <c r="F623" s="178"/>
    </row>
    <row r="624">
      <c r="A624" s="1"/>
      <c r="B624" s="1"/>
      <c r="C624" s="10"/>
      <c r="D624" s="10"/>
      <c r="E624" s="10"/>
      <c r="F624" s="178"/>
    </row>
    <row r="625">
      <c r="A625" s="1"/>
      <c r="B625" s="1"/>
      <c r="C625" s="10"/>
      <c r="D625" s="10"/>
      <c r="E625" s="10"/>
      <c r="F625" s="178"/>
    </row>
    <row r="626">
      <c r="A626" s="1"/>
      <c r="B626" s="1"/>
      <c r="C626" s="10"/>
      <c r="D626" s="10"/>
      <c r="E626" s="10"/>
      <c r="F626" s="178"/>
    </row>
    <row r="627">
      <c r="A627" s="1"/>
      <c r="B627" s="1"/>
      <c r="C627" s="10"/>
      <c r="D627" s="10"/>
      <c r="E627" s="10"/>
      <c r="F627" s="178"/>
    </row>
    <row r="628">
      <c r="A628" s="1"/>
      <c r="B628" s="1"/>
      <c r="C628" s="10"/>
      <c r="D628" s="10"/>
      <c r="E628" s="10"/>
      <c r="F628" s="178"/>
    </row>
    <row r="629">
      <c r="A629" s="1"/>
      <c r="B629" s="1"/>
      <c r="C629" s="10"/>
      <c r="D629" s="10"/>
      <c r="E629" s="10"/>
      <c r="F629" s="178"/>
    </row>
    <row r="630">
      <c r="A630" s="1"/>
      <c r="B630" s="1"/>
      <c r="C630" s="10"/>
      <c r="D630" s="10"/>
      <c r="E630" s="10"/>
      <c r="F630" s="178"/>
    </row>
    <row r="631">
      <c r="A631" s="1"/>
      <c r="B631" s="1"/>
      <c r="C631" s="10"/>
      <c r="D631" s="10"/>
      <c r="E631" s="10"/>
      <c r="F631" s="178"/>
    </row>
    <row r="632">
      <c r="A632" s="1"/>
      <c r="B632" s="1"/>
      <c r="C632" s="10"/>
      <c r="D632" s="10"/>
      <c r="E632" s="10"/>
      <c r="F632" s="178"/>
    </row>
    <row r="633">
      <c r="A633" s="1"/>
      <c r="B633" s="1"/>
      <c r="C633" s="10"/>
      <c r="D633" s="10"/>
      <c r="E633" s="10"/>
      <c r="F633" s="178"/>
    </row>
    <row r="634">
      <c r="A634" s="1"/>
      <c r="B634" s="1"/>
      <c r="C634" s="10"/>
      <c r="D634" s="10"/>
      <c r="E634" s="10"/>
      <c r="F634" s="178"/>
    </row>
    <row r="635">
      <c r="A635" s="1"/>
      <c r="B635" s="1"/>
      <c r="C635" s="10"/>
      <c r="D635" s="10"/>
      <c r="E635" s="10"/>
      <c r="F635" s="178"/>
    </row>
    <row r="636">
      <c r="A636" s="1"/>
      <c r="B636" s="1"/>
      <c r="C636" s="10"/>
      <c r="D636" s="10"/>
      <c r="E636" s="10"/>
      <c r="F636" s="178"/>
    </row>
    <row r="637">
      <c r="A637" s="1"/>
      <c r="B637" s="1"/>
      <c r="C637" s="10"/>
      <c r="D637" s="10"/>
      <c r="E637" s="10"/>
      <c r="F637" s="178"/>
    </row>
    <row r="638">
      <c r="A638" s="1"/>
      <c r="B638" s="1"/>
      <c r="C638" s="10"/>
      <c r="D638" s="10"/>
      <c r="E638" s="10"/>
      <c r="F638" s="178"/>
    </row>
    <row r="639">
      <c r="A639" s="1"/>
      <c r="B639" s="1"/>
      <c r="C639" s="10"/>
      <c r="D639" s="10"/>
      <c r="E639" s="10"/>
      <c r="F639" s="178"/>
    </row>
    <row r="640">
      <c r="A640" s="1"/>
      <c r="B640" s="1"/>
      <c r="C640" s="10"/>
      <c r="D640" s="10"/>
      <c r="E640" s="10"/>
      <c r="F640" s="178"/>
    </row>
    <row r="641">
      <c r="A641" s="1"/>
      <c r="B641" s="1"/>
      <c r="C641" s="10"/>
      <c r="D641" s="10"/>
      <c r="E641" s="10"/>
      <c r="F641" s="178"/>
    </row>
    <row r="642">
      <c r="A642" s="1"/>
      <c r="B642" s="1"/>
      <c r="C642" s="10"/>
      <c r="D642" s="10"/>
      <c r="E642" s="10"/>
      <c r="F642" s="178"/>
    </row>
    <row r="643">
      <c r="A643" s="1"/>
      <c r="B643" s="1"/>
      <c r="C643" s="10"/>
      <c r="D643" s="10"/>
      <c r="E643" s="10"/>
      <c r="F643" s="178"/>
    </row>
    <row r="644">
      <c r="A644" s="1"/>
      <c r="B644" s="1"/>
      <c r="C644" s="10"/>
      <c r="D644" s="10"/>
      <c r="E644" s="10"/>
      <c r="F644" s="178"/>
    </row>
    <row r="645">
      <c r="A645" s="1"/>
      <c r="B645" s="1"/>
      <c r="C645" s="10"/>
      <c r="D645" s="10"/>
      <c r="E645" s="10"/>
      <c r="F645" s="178"/>
    </row>
    <row r="646">
      <c r="A646" s="1"/>
      <c r="B646" s="1"/>
      <c r="C646" s="10"/>
      <c r="D646" s="10"/>
      <c r="E646" s="10"/>
      <c r="F646" s="178"/>
    </row>
    <row r="647">
      <c r="A647" s="1"/>
      <c r="B647" s="1"/>
      <c r="C647" s="10"/>
      <c r="D647" s="10"/>
      <c r="E647" s="10"/>
      <c r="F647" s="178"/>
    </row>
    <row r="648">
      <c r="A648" s="1"/>
      <c r="B648" s="1"/>
      <c r="C648" s="10"/>
      <c r="D648" s="10"/>
      <c r="E648" s="10"/>
      <c r="F648" s="178"/>
    </row>
    <row r="649">
      <c r="A649" s="1"/>
      <c r="B649" s="1"/>
      <c r="C649" s="10"/>
      <c r="D649" s="10"/>
      <c r="E649" s="10"/>
      <c r="F649" s="178"/>
    </row>
    <row r="650">
      <c r="A650" s="1"/>
      <c r="B650" s="1"/>
      <c r="C650" s="10"/>
      <c r="D650" s="10"/>
      <c r="E650" s="10"/>
      <c r="F650" s="178"/>
    </row>
    <row r="651">
      <c r="A651" s="1"/>
      <c r="B651" s="1"/>
      <c r="C651" s="10"/>
      <c r="D651" s="10"/>
      <c r="E651" s="10"/>
      <c r="F651" s="178"/>
    </row>
    <row r="652">
      <c r="A652" s="1"/>
      <c r="B652" s="1"/>
      <c r="C652" s="10"/>
      <c r="D652" s="10"/>
      <c r="E652" s="10"/>
      <c r="F652" s="178"/>
    </row>
    <row r="653">
      <c r="A653" s="1"/>
      <c r="B653" s="1"/>
      <c r="C653" s="10"/>
      <c r="D653" s="10"/>
      <c r="E653" s="10"/>
      <c r="F653" s="178"/>
    </row>
    <row r="654">
      <c r="A654" s="1"/>
      <c r="B654" s="1"/>
      <c r="C654" s="10"/>
      <c r="D654" s="10"/>
      <c r="E654" s="10"/>
      <c r="F654" s="178"/>
    </row>
    <row r="655">
      <c r="A655" s="1"/>
      <c r="B655" s="1"/>
      <c r="C655" s="10"/>
      <c r="D655" s="10"/>
      <c r="E655" s="10"/>
      <c r="F655" s="178"/>
    </row>
    <row r="656">
      <c r="A656" s="1"/>
      <c r="B656" s="1"/>
      <c r="C656" s="10"/>
      <c r="D656" s="10"/>
      <c r="E656" s="10"/>
      <c r="F656" s="178"/>
    </row>
    <row r="657">
      <c r="A657" s="1"/>
      <c r="B657" s="1"/>
      <c r="C657" s="10"/>
      <c r="D657" s="10"/>
      <c r="E657" s="10"/>
      <c r="F657" s="178"/>
    </row>
    <row r="658">
      <c r="A658" s="1"/>
      <c r="B658" s="1"/>
      <c r="C658" s="10"/>
      <c r="D658" s="10"/>
      <c r="E658" s="10"/>
      <c r="F658" s="178"/>
    </row>
    <row r="659">
      <c r="A659" s="1"/>
      <c r="B659" s="1"/>
      <c r="C659" s="10"/>
      <c r="D659" s="10"/>
      <c r="E659" s="10"/>
      <c r="F659" s="178"/>
    </row>
    <row r="660">
      <c r="A660" s="1"/>
      <c r="B660" s="1"/>
      <c r="C660" s="10"/>
      <c r="D660" s="10"/>
      <c r="E660" s="10"/>
      <c r="F660" s="178"/>
    </row>
    <row r="661">
      <c r="A661" s="1"/>
      <c r="B661" s="1"/>
      <c r="C661" s="10"/>
      <c r="D661" s="10"/>
      <c r="E661" s="10"/>
      <c r="F661" s="178"/>
    </row>
    <row r="662">
      <c r="A662" s="1"/>
      <c r="B662" s="1"/>
      <c r="C662" s="10"/>
      <c r="D662" s="10"/>
      <c r="E662" s="10"/>
      <c r="F662" s="178"/>
    </row>
    <row r="663">
      <c r="A663" s="1"/>
      <c r="B663" s="1"/>
      <c r="C663" s="10"/>
      <c r="D663" s="10"/>
      <c r="E663" s="10"/>
      <c r="F663" s="178"/>
    </row>
    <row r="664">
      <c r="A664" s="1"/>
      <c r="B664" s="1"/>
      <c r="C664" s="10"/>
      <c r="D664" s="10"/>
      <c r="E664" s="10"/>
      <c r="F664" s="178"/>
    </row>
    <row r="665">
      <c r="A665" s="1"/>
      <c r="B665" s="1"/>
      <c r="C665" s="10"/>
      <c r="D665" s="10"/>
      <c r="E665" s="10"/>
      <c r="F665" s="178"/>
    </row>
    <row r="666">
      <c r="A666" s="1"/>
      <c r="B666" s="1"/>
      <c r="C666" s="10"/>
      <c r="D666" s="10"/>
      <c r="E666" s="10"/>
      <c r="F666" s="178"/>
    </row>
    <row r="667">
      <c r="A667" s="1"/>
      <c r="B667" s="1"/>
      <c r="C667" s="10"/>
      <c r="D667" s="10"/>
      <c r="E667" s="10"/>
      <c r="F667" s="178"/>
    </row>
    <row r="668">
      <c r="A668" s="1"/>
      <c r="B668" s="1"/>
      <c r="C668" s="10"/>
      <c r="D668" s="10"/>
      <c r="E668" s="10"/>
      <c r="F668" s="178"/>
    </row>
    <row r="669">
      <c r="A669" s="1"/>
      <c r="B669" s="1"/>
      <c r="C669" s="10"/>
      <c r="D669" s="10"/>
      <c r="E669" s="10"/>
      <c r="F669" s="178"/>
    </row>
    <row r="670">
      <c r="A670" s="1"/>
      <c r="B670" s="1"/>
      <c r="C670" s="10"/>
      <c r="D670" s="10"/>
      <c r="E670" s="10"/>
      <c r="F670" s="178"/>
    </row>
    <row r="671">
      <c r="A671" s="1"/>
      <c r="B671" s="1"/>
      <c r="C671" s="10"/>
      <c r="D671" s="10"/>
      <c r="E671" s="10"/>
      <c r="F671" s="178"/>
    </row>
    <row r="672">
      <c r="A672" s="1"/>
      <c r="B672" s="1"/>
      <c r="C672" s="10"/>
      <c r="D672" s="10"/>
      <c r="E672" s="10"/>
      <c r="F672" s="178"/>
    </row>
    <row r="673">
      <c r="A673" s="1"/>
      <c r="B673" s="1"/>
      <c r="C673" s="10"/>
      <c r="D673" s="10"/>
      <c r="E673" s="10"/>
      <c r="F673" s="178"/>
    </row>
    <row r="674">
      <c r="A674" s="1"/>
      <c r="B674" s="1"/>
      <c r="C674" s="10"/>
      <c r="D674" s="10"/>
      <c r="E674" s="10"/>
      <c r="F674" s="178"/>
    </row>
    <row r="675">
      <c r="A675" s="1"/>
      <c r="B675" s="1"/>
      <c r="C675" s="10"/>
      <c r="D675" s="10"/>
      <c r="E675" s="10"/>
      <c r="F675" s="178"/>
    </row>
    <row r="676">
      <c r="A676" s="1"/>
      <c r="B676" s="1"/>
      <c r="C676" s="10"/>
      <c r="D676" s="10"/>
      <c r="E676" s="10"/>
      <c r="F676" s="178"/>
    </row>
    <row r="677">
      <c r="A677" s="1"/>
      <c r="B677" s="1"/>
      <c r="C677" s="10"/>
      <c r="D677" s="10"/>
      <c r="E677" s="10"/>
      <c r="F677" s="178"/>
    </row>
    <row r="678">
      <c r="A678" s="1"/>
      <c r="B678" s="1"/>
      <c r="C678" s="10"/>
      <c r="D678" s="10"/>
      <c r="E678" s="10"/>
      <c r="F678" s="178"/>
    </row>
    <row r="679">
      <c r="A679" s="1"/>
      <c r="B679" s="1"/>
      <c r="C679" s="10"/>
      <c r="D679" s="10"/>
      <c r="E679" s="10"/>
      <c r="F679" s="178"/>
    </row>
    <row r="680">
      <c r="A680" s="1"/>
      <c r="B680" s="1"/>
      <c r="C680" s="10"/>
      <c r="D680" s="10"/>
      <c r="E680" s="10"/>
      <c r="F680" s="178"/>
    </row>
    <row r="681">
      <c r="A681" s="1"/>
      <c r="B681" s="1"/>
      <c r="C681" s="10"/>
      <c r="D681" s="10"/>
      <c r="E681" s="10"/>
      <c r="F681" s="178"/>
    </row>
    <row r="682">
      <c r="A682" s="1"/>
      <c r="B682" s="1"/>
      <c r="C682" s="10"/>
      <c r="D682" s="10"/>
      <c r="E682" s="10"/>
      <c r="F682" s="178"/>
    </row>
    <row r="683">
      <c r="A683" s="1"/>
      <c r="B683" s="1"/>
      <c r="C683" s="10"/>
      <c r="D683" s="10"/>
      <c r="E683" s="10"/>
      <c r="F683" s="178"/>
    </row>
    <row r="684">
      <c r="A684" s="1"/>
      <c r="B684" s="1"/>
      <c r="C684" s="10"/>
      <c r="D684" s="10"/>
      <c r="E684" s="10"/>
      <c r="F684" s="178"/>
    </row>
    <row r="685">
      <c r="A685" s="1"/>
      <c r="B685" s="1"/>
      <c r="C685" s="10"/>
      <c r="D685" s="10"/>
      <c r="E685" s="10"/>
      <c r="F685" s="178"/>
    </row>
    <row r="686">
      <c r="A686" s="1"/>
      <c r="B686" s="1"/>
      <c r="C686" s="10"/>
      <c r="D686" s="10"/>
      <c r="E686" s="10"/>
      <c r="F686" s="178"/>
    </row>
    <row r="687">
      <c r="A687" s="1"/>
      <c r="B687" s="1"/>
      <c r="C687" s="10"/>
      <c r="D687" s="10"/>
      <c r="E687" s="10"/>
      <c r="F687" s="178"/>
    </row>
    <row r="688">
      <c r="A688" s="1"/>
      <c r="B688" s="1"/>
      <c r="C688" s="10"/>
      <c r="D688" s="10"/>
      <c r="E688" s="10"/>
      <c r="F688" s="178"/>
    </row>
    <row r="689">
      <c r="A689" s="1"/>
      <c r="B689" s="1"/>
      <c r="C689" s="10"/>
      <c r="D689" s="10"/>
      <c r="E689" s="10"/>
      <c r="F689" s="178"/>
    </row>
    <row r="690">
      <c r="A690" s="1"/>
      <c r="B690" s="1"/>
      <c r="C690" s="10"/>
      <c r="D690" s="10"/>
      <c r="E690" s="10"/>
      <c r="F690" s="178"/>
    </row>
    <row r="691">
      <c r="A691" s="1"/>
      <c r="B691" s="1"/>
      <c r="C691" s="10"/>
      <c r="D691" s="10"/>
      <c r="E691" s="10"/>
      <c r="F691" s="178"/>
    </row>
    <row r="692">
      <c r="A692" s="1"/>
      <c r="B692" s="1"/>
      <c r="C692" s="10"/>
      <c r="D692" s="10"/>
      <c r="E692" s="10"/>
      <c r="F692" s="178"/>
    </row>
    <row r="693">
      <c r="A693" s="1"/>
      <c r="B693" s="1"/>
      <c r="C693" s="10"/>
      <c r="D693" s="10"/>
      <c r="E693" s="10"/>
      <c r="F693" s="178"/>
    </row>
    <row r="694">
      <c r="A694" s="1"/>
      <c r="B694" s="1"/>
      <c r="C694" s="10"/>
      <c r="D694" s="10"/>
      <c r="E694" s="10"/>
      <c r="F694" s="178"/>
    </row>
    <row r="695">
      <c r="A695" s="1"/>
      <c r="B695" s="1"/>
      <c r="C695" s="10"/>
      <c r="D695" s="10"/>
      <c r="E695" s="10"/>
      <c r="F695" s="178"/>
    </row>
    <row r="696">
      <c r="A696" s="1"/>
      <c r="B696" s="1"/>
      <c r="C696" s="10"/>
      <c r="D696" s="10"/>
      <c r="E696" s="10"/>
      <c r="F696" s="178"/>
    </row>
    <row r="697">
      <c r="A697" s="1"/>
      <c r="B697" s="1"/>
      <c r="C697" s="10"/>
      <c r="D697" s="10"/>
      <c r="E697" s="10"/>
      <c r="F697" s="178"/>
    </row>
    <row r="698">
      <c r="A698" s="1"/>
      <c r="B698" s="1"/>
      <c r="C698" s="10"/>
      <c r="D698" s="10"/>
      <c r="E698" s="10"/>
      <c r="F698" s="178"/>
    </row>
    <row r="699">
      <c r="A699" s="1"/>
      <c r="B699" s="1"/>
      <c r="C699" s="10"/>
      <c r="D699" s="10"/>
      <c r="E699" s="10"/>
      <c r="F699" s="178"/>
    </row>
    <row r="700">
      <c r="A700" s="1"/>
      <c r="B700" s="1"/>
      <c r="C700" s="10"/>
      <c r="D700" s="10"/>
      <c r="E700" s="10"/>
      <c r="F700" s="178"/>
    </row>
    <row r="701">
      <c r="A701" s="1"/>
      <c r="B701" s="1"/>
      <c r="C701" s="10"/>
      <c r="D701" s="10"/>
      <c r="E701" s="10"/>
      <c r="F701" s="178"/>
    </row>
    <row r="702">
      <c r="A702" s="1"/>
      <c r="B702" s="1"/>
      <c r="C702" s="10"/>
      <c r="D702" s="10"/>
      <c r="E702" s="10"/>
      <c r="F702" s="178"/>
    </row>
    <row r="703">
      <c r="A703" s="1"/>
      <c r="B703" s="1"/>
      <c r="C703" s="10"/>
      <c r="D703" s="10"/>
      <c r="E703" s="10"/>
      <c r="F703" s="178"/>
    </row>
    <row r="704">
      <c r="A704" s="1"/>
      <c r="B704" s="1"/>
      <c r="C704" s="10"/>
      <c r="D704" s="10"/>
      <c r="E704" s="10"/>
      <c r="F704" s="178"/>
    </row>
    <row r="705">
      <c r="A705" s="1"/>
      <c r="B705" s="1"/>
      <c r="C705" s="10"/>
      <c r="D705" s="10"/>
      <c r="E705" s="10"/>
      <c r="F705" s="178"/>
    </row>
    <row r="706">
      <c r="A706" s="1"/>
      <c r="B706" s="1"/>
      <c r="C706" s="10"/>
      <c r="D706" s="10"/>
      <c r="E706" s="10"/>
      <c r="F706" s="178"/>
    </row>
    <row r="707">
      <c r="A707" s="1"/>
      <c r="B707" s="1"/>
      <c r="C707" s="10"/>
      <c r="D707" s="10"/>
      <c r="E707" s="10"/>
      <c r="F707" s="178"/>
    </row>
    <row r="708">
      <c r="A708" s="1"/>
      <c r="B708" s="1"/>
      <c r="C708" s="10"/>
      <c r="D708" s="10"/>
      <c r="E708" s="10"/>
      <c r="F708" s="178"/>
    </row>
    <row r="709">
      <c r="A709" s="1"/>
      <c r="B709" s="1"/>
      <c r="C709" s="10"/>
      <c r="D709" s="10"/>
      <c r="E709" s="10"/>
      <c r="F709" s="178"/>
    </row>
    <row r="710">
      <c r="A710" s="1"/>
      <c r="B710" s="1"/>
      <c r="C710" s="10"/>
      <c r="D710" s="10"/>
      <c r="E710" s="10"/>
      <c r="F710" s="178"/>
    </row>
    <row r="711">
      <c r="A711" s="1"/>
      <c r="B711" s="1"/>
      <c r="C711" s="10"/>
      <c r="D711" s="10"/>
      <c r="E711" s="10"/>
      <c r="F711" s="178"/>
    </row>
    <row r="712">
      <c r="A712" s="1"/>
      <c r="B712" s="1"/>
      <c r="C712" s="10"/>
      <c r="D712" s="10"/>
      <c r="E712" s="10"/>
      <c r="F712" s="178"/>
    </row>
    <row r="713">
      <c r="A713" s="1"/>
      <c r="B713" s="1"/>
      <c r="C713" s="10"/>
      <c r="D713" s="10"/>
      <c r="E713" s="10"/>
      <c r="F713" s="178"/>
    </row>
    <row r="714">
      <c r="A714" s="1"/>
      <c r="B714" s="1"/>
      <c r="C714" s="10"/>
      <c r="D714" s="10"/>
      <c r="E714" s="10"/>
      <c r="F714" s="178"/>
    </row>
    <row r="715">
      <c r="A715" s="1"/>
      <c r="B715" s="1"/>
      <c r="C715" s="10"/>
      <c r="D715" s="10"/>
      <c r="E715" s="10"/>
      <c r="F715" s="178"/>
    </row>
    <row r="716">
      <c r="A716" s="1"/>
      <c r="B716" s="1"/>
      <c r="C716" s="10"/>
      <c r="D716" s="10"/>
      <c r="E716" s="10"/>
      <c r="F716" s="178"/>
    </row>
    <row r="717">
      <c r="A717" s="1"/>
      <c r="B717" s="1"/>
      <c r="C717" s="10"/>
      <c r="D717" s="10"/>
      <c r="E717" s="10"/>
      <c r="F717" s="178"/>
    </row>
    <row r="718">
      <c r="A718" s="1"/>
      <c r="B718" s="1"/>
      <c r="C718" s="10"/>
      <c r="D718" s="10"/>
      <c r="E718" s="10"/>
      <c r="F718" s="178"/>
    </row>
    <row r="719">
      <c r="A719" s="1"/>
      <c r="B719" s="1"/>
      <c r="C719" s="10"/>
      <c r="D719" s="10"/>
      <c r="E719" s="10"/>
      <c r="F719" s="178"/>
    </row>
    <row r="720">
      <c r="A720" s="1"/>
      <c r="B720" s="1"/>
      <c r="C720" s="10"/>
      <c r="D720" s="10"/>
      <c r="E720" s="10"/>
      <c r="F720" s="178"/>
    </row>
    <row r="721">
      <c r="A721" s="1"/>
      <c r="B721" s="1"/>
      <c r="C721" s="10"/>
      <c r="D721" s="10"/>
      <c r="E721" s="10"/>
      <c r="F721" s="178"/>
    </row>
    <row r="722">
      <c r="A722" s="1"/>
      <c r="B722" s="1"/>
      <c r="C722" s="10"/>
      <c r="D722" s="10"/>
      <c r="E722" s="10"/>
      <c r="F722" s="178"/>
    </row>
    <row r="723">
      <c r="A723" s="1"/>
      <c r="B723" s="1"/>
      <c r="C723" s="10"/>
      <c r="D723" s="10"/>
      <c r="E723" s="10"/>
      <c r="F723" s="178"/>
    </row>
    <row r="724">
      <c r="A724" s="1"/>
      <c r="B724" s="1"/>
      <c r="C724" s="10"/>
      <c r="D724" s="10"/>
      <c r="E724" s="10"/>
      <c r="F724" s="178"/>
    </row>
    <row r="725">
      <c r="A725" s="1"/>
      <c r="B725" s="1"/>
      <c r="C725" s="10"/>
      <c r="D725" s="10"/>
      <c r="E725" s="10"/>
      <c r="F725" s="178"/>
    </row>
    <row r="726">
      <c r="A726" s="1"/>
      <c r="B726" s="1"/>
      <c r="C726" s="10"/>
      <c r="D726" s="10"/>
      <c r="E726" s="10"/>
      <c r="F726" s="178"/>
    </row>
    <row r="727">
      <c r="A727" s="1"/>
      <c r="B727" s="1"/>
      <c r="C727" s="10"/>
      <c r="D727" s="10"/>
      <c r="E727" s="10"/>
      <c r="F727" s="178"/>
    </row>
    <row r="728">
      <c r="A728" s="1"/>
      <c r="B728" s="1"/>
      <c r="C728" s="10"/>
      <c r="D728" s="10"/>
      <c r="E728" s="10"/>
      <c r="F728" s="178"/>
    </row>
    <row r="729">
      <c r="A729" s="1"/>
      <c r="B729" s="1"/>
      <c r="C729" s="10"/>
      <c r="D729" s="10"/>
      <c r="E729" s="10"/>
      <c r="F729" s="178"/>
    </row>
    <row r="730">
      <c r="A730" s="1"/>
      <c r="B730" s="1"/>
      <c r="C730" s="10"/>
      <c r="D730" s="10"/>
      <c r="E730" s="10"/>
      <c r="F730" s="178"/>
    </row>
    <row r="731">
      <c r="A731" s="1"/>
      <c r="B731" s="1"/>
      <c r="C731" s="10"/>
      <c r="D731" s="10"/>
      <c r="E731" s="10"/>
      <c r="F731" s="178"/>
    </row>
    <row r="732">
      <c r="A732" s="1"/>
      <c r="B732" s="1"/>
      <c r="C732" s="10"/>
      <c r="D732" s="10"/>
      <c r="E732" s="10"/>
      <c r="F732" s="178"/>
    </row>
    <row r="733">
      <c r="A733" s="1"/>
      <c r="B733" s="1"/>
      <c r="C733" s="10"/>
      <c r="D733" s="10"/>
      <c r="E733" s="10"/>
      <c r="F733" s="178"/>
    </row>
    <row r="734">
      <c r="A734" s="1"/>
      <c r="B734" s="1"/>
      <c r="C734" s="10"/>
      <c r="D734" s="10"/>
      <c r="E734" s="10"/>
      <c r="F734" s="178"/>
    </row>
    <row r="735">
      <c r="A735" s="1"/>
      <c r="B735" s="1"/>
      <c r="C735" s="10"/>
      <c r="D735" s="10"/>
      <c r="E735" s="10"/>
      <c r="F735" s="178"/>
    </row>
    <row r="736">
      <c r="A736" s="1"/>
      <c r="B736" s="1"/>
      <c r="C736" s="10"/>
      <c r="D736" s="10"/>
      <c r="E736" s="10"/>
      <c r="F736" s="178"/>
    </row>
    <row r="737">
      <c r="A737" s="1"/>
      <c r="B737" s="1"/>
      <c r="C737" s="10"/>
      <c r="D737" s="10"/>
      <c r="E737" s="10"/>
      <c r="F737" s="178"/>
    </row>
    <row r="738">
      <c r="A738" s="1"/>
      <c r="B738" s="1"/>
      <c r="C738" s="10"/>
      <c r="D738" s="10"/>
      <c r="E738" s="10"/>
      <c r="F738" s="178"/>
    </row>
    <row r="739">
      <c r="A739" s="1"/>
      <c r="B739" s="1"/>
      <c r="C739" s="10"/>
      <c r="D739" s="10"/>
      <c r="E739" s="10"/>
      <c r="F739" s="178"/>
    </row>
    <row r="740">
      <c r="A740" s="1"/>
      <c r="B740" s="1"/>
      <c r="C740" s="10"/>
      <c r="D740" s="10"/>
      <c r="E740" s="10"/>
      <c r="F740" s="178"/>
    </row>
    <row r="741">
      <c r="A741" s="1"/>
      <c r="B741" s="1"/>
      <c r="C741" s="10"/>
      <c r="D741" s="10"/>
      <c r="E741" s="10"/>
      <c r="F741" s="178"/>
    </row>
    <row r="742">
      <c r="A742" s="1"/>
      <c r="B742" s="1"/>
      <c r="C742" s="10"/>
      <c r="D742" s="10"/>
      <c r="E742" s="10"/>
      <c r="F742" s="178"/>
    </row>
    <row r="743">
      <c r="A743" s="1"/>
      <c r="B743" s="1"/>
      <c r="C743" s="10"/>
      <c r="D743" s="10"/>
      <c r="E743" s="10"/>
      <c r="F743" s="178"/>
    </row>
    <row r="744">
      <c r="A744" s="1"/>
      <c r="B744" s="1"/>
      <c r="C744" s="10"/>
      <c r="D744" s="10"/>
      <c r="E744" s="10"/>
      <c r="F744" s="178"/>
    </row>
    <row r="745">
      <c r="A745" s="1"/>
      <c r="B745" s="1"/>
      <c r="C745" s="10"/>
      <c r="D745" s="10"/>
      <c r="E745" s="10"/>
      <c r="F745" s="178"/>
    </row>
    <row r="746">
      <c r="A746" s="1"/>
      <c r="B746" s="1"/>
      <c r="C746" s="10"/>
      <c r="D746" s="10"/>
      <c r="E746" s="10"/>
      <c r="F746" s="178"/>
    </row>
    <row r="747">
      <c r="A747" s="1"/>
      <c r="B747" s="1"/>
      <c r="C747" s="10"/>
      <c r="D747" s="10"/>
      <c r="E747" s="10"/>
      <c r="F747" s="178"/>
    </row>
    <row r="748">
      <c r="A748" s="1"/>
      <c r="B748" s="1"/>
      <c r="C748" s="10"/>
      <c r="D748" s="10"/>
      <c r="E748" s="10"/>
      <c r="F748" s="178"/>
    </row>
    <row r="749">
      <c r="A749" s="1"/>
      <c r="B749" s="1"/>
      <c r="C749" s="10"/>
      <c r="D749" s="10"/>
      <c r="E749" s="10"/>
      <c r="F749" s="178"/>
    </row>
    <row r="750">
      <c r="A750" s="1"/>
      <c r="B750" s="1"/>
      <c r="C750" s="10"/>
      <c r="D750" s="10"/>
      <c r="E750" s="10"/>
      <c r="F750" s="178"/>
    </row>
    <row r="751">
      <c r="A751" s="1"/>
      <c r="B751" s="1"/>
      <c r="C751" s="10"/>
      <c r="D751" s="10"/>
      <c r="E751" s="10"/>
      <c r="F751" s="178"/>
    </row>
    <row r="752">
      <c r="A752" s="1"/>
      <c r="B752" s="1"/>
      <c r="C752" s="10"/>
      <c r="D752" s="10"/>
      <c r="E752" s="10"/>
      <c r="F752" s="178"/>
    </row>
    <row r="753">
      <c r="A753" s="1"/>
      <c r="B753" s="1"/>
      <c r="C753" s="10"/>
      <c r="D753" s="10"/>
      <c r="E753" s="10"/>
      <c r="F753" s="178"/>
    </row>
    <row r="754">
      <c r="A754" s="1"/>
      <c r="B754" s="1"/>
      <c r="C754" s="10"/>
      <c r="D754" s="10"/>
      <c r="E754" s="10"/>
      <c r="F754" s="178"/>
    </row>
    <row r="755">
      <c r="A755" s="1"/>
      <c r="B755" s="1"/>
      <c r="C755" s="10"/>
      <c r="D755" s="10"/>
      <c r="E755" s="10"/>
      <c r="F755" s="178"/>
    </row>
    <row r="756">
      <c r="A756" s="1"/>
      <c r="B756" s="1"/>
      <c r="C756" s="10"/>
      <c r="D756" s="10"/>
      <c r="E756" s="10"/>
      <c r="F756" s="178"/>
    </row>
    <row r="757">
      <c r="A757" s="1"/>
      <c r="B757" s="1"/>
      <c r="C757" s="10"/>
      <c r="D757" s="10"/>
      <c r="E757" s="10"/>
      <c r="F757" s="178"/>
    </row>
    <row r="758">
      <c r="A758" s="1"/>
      <c r="B758" s="1"/>
      <c r="C758" s="10"/>
      <c r="D758" s="10"/>
      <c r="E758" s="10"/>
      <c r="F758" s="178"/>
    </row>
    <row r="759">
      <c r="A759" s="1"/>
      <c r="B759" s="1"/>
      <c r="C759" s="10"/>
      <c r="D759" s="10"/>
      <c r="E759" s="10"/>
      <c r="F759" s="178"/>
    </row>
    <row r="760">
      <c r="A760" s="1"/>
      <c r="B760" s="1"/>
      <c r="C760" s="10"/>
      <c r="D760" s="10"/>
      <c r="E760" s="10"/>
      <c r="F760" s="178"/>
    </row>
    <row r="761">
      <c r="A761" s="1"/>
      <c r="B761" s="1"/>
      <c r="C761" s="10"/>
      <c r="D761" s="10"/>
      <c r="E761" s="10"/>
      <c r="F761" s="178"/>
    </row>
    <row r="762">
      <c r="A762" s="1"/>
      <c r="B762" s="1"/>
      <c r="C762" s="10"/>
      <c r="D762" s="10"/>
      <c r="E762" s="10"/>
      <c r="F762" s="178"/>
    </row>
    <row r="763">
      <c r="A763" s="1"/>
      <c r="B763" s="1"/>
      <c r="C763" s="10"/>
      <c r="D763" s="10"/>
      <c r="E763" s="10"/>
      <c r="F763" s="178"/>
    </row>
    <row r="764">
      <c r="A764" s="1"/>
      <c r="B764" s="1"/>
      <c r="C764" s="10"/>
      <c r="D764" s="10"/>
      <c r="E764" s="10"/>
      <c r="F764" s="178"/>
    </row>
    <row r="765">
      <c r="A765" s="1"/>
      <c r="B765" s="1"/>
      <c r="C765" s="10"/>
      <c r="D765" s="10"/>
      <c r="E765" s="10"/>
      <c r="F765" s="178"/>
    </row>
    <row r="766">
      <c r="A766" s="1"/>
      <c r="B766" s="1"/>
      <c r="C766" s="10"/>
      <c r="D766" s="10"/>
      <c r="E766" s="10"/>
      <c r="F766" s="178"/>
    </row>
    <row r="767">
      <c r="A767" s="1"/>
      <c r="B767" s="1"/>
      <c r="C767" s="10"/>
      <c r="D767" s="10"/>
      <c r="E767" s="10"/>
      <c r="F767" s="178"/>
    </row>
    <row r="768">
      <c r="A768" s="1"/>
      <c r="B768" s="1"/>
      <c r="C768" s="10"/>
      <c r="D768" s="10"/>
      <c r="E768" s="10"/>
      <c r="F768" s="178"/>
    </row>
    <row r="769">
      <c r="A769" s="1"/>
      <c r="B769" s="1"/>
      <c r="C769" s="10"/>
      <c r="D769" s="10"/>
      <c r="E769" s="10"/>
      <c r="F769" s="178"/>
    </row>
    <row r="770">
      <c r="A770" s="1"/>
      <c r="B770" s="1"/>
      <c r="C770" s="10"/>
      <c r="D770" s="10"/>
      <c r="E770" s="10"/>
      <c r="F770" s="178"/>
    </row>
    <row r="771">
      <c r="A771" s="1"/>
      <c r="B771" s="1"/>
      <c r="C771" s="10"/>
      <c r="D771" s="10"/>
      <c r="E771" s="10"/>
      <c r="F771" s="178"/>
    </row>
    <row r="772">
      <c r="A772" s="1"/>
      <c r="B772" s="1"/>
      <c r="C772" s="10"/>
      <c r="D772" s="10"/>
      <c r="E772" s="10"/>
      <c r="F772" s="178"/>
    </row>
    <row r="773">
      <c r="A773" s="1"/>
      <c r="B773" s="1"/>
      <c r="C773" s="10"/>
      <c r="D773" s="10"/>
      <c r="E773" s="10"/>
      <c r="F773" s="178"/>
    </row>
    <row r="774">
      <c r="A774" s="1"/>
      <c r="B774" s="1"/>
      <c r="C774" s="10"/>
      <c r="D774" s="10"/>
      <c r="E774" s="10"/>
      <c r="F774" s="178"/>
    </row>
    <row r="775">
      <c r="A775" s="1"/>
      <c r="B775" s="1"/>
      <c r="C775" s="10"/>
      <c r="D775" s="10"/>
      <c r="E775" s="10"/>
      <c r="F775" s="178"/>
    </row>
    <row r="776">
      <c r="A776" s="1"/>
      <c r="B776" s="1"/>
      <c r="C776" s="10"/>
      <c r="D776" s="10"/>
      <c r="E776" s="10"/>
      <c r="F776" s="178"/>
    </row>
    <row r="777">
      <c r="A777" s="1"/>
      <c r="B777" s="1"/>
      <c r="C777" s="10"/>
      <c r="D777" s="10"/>
      <c r="E777" s="10"/>
      <c r="F777" s="178"/>
    </row>
    <row r="778">
      <c r="A778" s="1"/>
      <c r="B778" s="1"/>
      <c r="C778" s="10"/>
      <c r="D778" s="10"/>
      <c r="E778" s="10"/>
      <c r="F778" s="178"/>
    </row>
    <row r="779">
      <c r="A779" s="1"/>
      <c r="B779" s="1"/>
      <c r="C779" s="10"/>
      <c r="D779" s="10"/>
      <c r="E779" s="10"/>
      <c r="F779" s="178"/>
    </row>
    <row r="780">
      <c r="A780" s="1"/>
      <c r="B780" s="1"/>
      <c r="C780" s="10"/>
      <c r="D780" s="10"/>
      <c r="E780" s="10"/>
      <c r="F780" s="178"/>
    </row>
    <row r="781">
      <c r="A781" s="1"/>
      <c r="B781" s="1"/>
      <c r="C781" s="10"/>
      <c r="D781" s="10"/>
      <c r="E781" s="10"/>
      <c r="F781" s="178"/>
    </row>
    <row r="782">
      <c r="A782" s="1"/>
      <c r="B782" s="1"/>
      <c r="C782" s="10"/>
      <c r="D782" s="10"/>
      <c r="E782" s="10"/>
      <c r="F782" s="178"/>
    </row>
    <row r="783">
      <c r="A783" s="1"/>
      <c r="B783" s="1"/>
      <c r="C783" s="10"/>
      <c r="D783" s="10"/>
      <c r="E783" s="10"/>
      <c r="F783" s="178"/>
    </row>
    <row r="784">
      <c r="A784" s="1"/>
      <c r="B784" s="1"/>
      <c r="C784" s="10"/>
      <c r="D784" s="10"/>
      <c r="E784" s="10"/>
      <c r="F784" s="178"/>
    </row>
    <row r="785">
      <c r="A785" s="1"/>
      <c r="B785" s="1"/>
      <c r="C785" s="10"/>
      <c r="D785" s="10"/>
      <c r="E785" s="10"/>
      <c r="F785" s="178"/>
    </row>
    <row r="786">
      <c r="A786" s="1"/>
      <c r="B786" s="1"/>
      <c r="C786" s="10"/>
      <c r="D786" s="10"/>
      <c r="E786" s="10"/>
      <c r="F786" s="178"/>
    </row>
    <row r="787">
      <c r="A787" s="1"/>
      <c r="B787" s="1"/>
      <c r="C787" s="10"/>
      <c r="D787" s="10"/>
      <c r="E787" s="10"/>
      <c r="F787" s="178"/>
    </row>
    <row r="788">
      <c r="A788" s="1"/>
      <c r="B788" s="1"/>
      <c r="C788" s="10"/>
      <c r="D788" s="10"/>
      <c r="E788" s="10"/>
      <c r="F788" s="178"/>
    </row>
    <row r="789">
      <c r="A789" s="1"/>
      <c r="B789" s="1"/>
      <c r="C789" s="10"/>
      <c r="D789" s="10"/>
      <c r="E789" s="10"/>
      <c r="F789" s="178"/>
    </row>
    <row r="790">
      <c r="A790" s="1"/>
      <c r="B790" s="1"/>
      <c r="C790" s="10"/>
      <c r="D790" s="10"/>
      <c r="E790" s="10"/>
      <c r="F790" s="178"/>
    </row>
    <row r="791">
      <c r="A791" s="1"/>
      <c r="B791" s="1"/>
      <c r="C791" s="10"/>
      <c r="D791" s="10"/>
      <c r="E791" s="10"/>
      <c r="F791" s="178"/>
    </row>
    <row r="792">
      <c r="A792" s="1"/>
      <c r="B792" s="1"/>
      <c r="C792" s="10"/>
      <c r="D792" s="10"/>
      <c r="E792" s="10"/>
      <c r="F792" s="178"/>
    </row>
    <row r="793">
      <c r="A793" s="1"/>
      <c r="B793" s="1"/>
      <c r="C793" s="10"/>
      <c r="D793" s="10"/>
      <c r="E793" s="10"/>
      <c r="F793" s="178"/>
    </row>
    <row r="794">
      <c r="A794" s="1"/>
      <c r="B794" s="1"/>
      <c r="C794" s="10"/>
      <c r="D794" s="10"/>
      <c r="E794" s="10"/>
      <c r="F794" s="178"/>
    </row>
    <row r="795">
      <c r="A795" s="1"/>
      <c r="B795" s="1"/>
      <c r="C795" s="10"/>
      <c r="D795" s="10"/>
      <c r="E795" s="10"/>
      <c r="F795" s="178"/>
    </row>
    <row r="796">
      <c r="A796" s="1"/>
      <c r="B796" s="1"/>
      <c r="C796" s="10"/>
      <c r="D796" s="10"/>
      <c r="E796" s="10"/>
      <c r="F796" s="178"/>
    </row>
    <row r="797">
      <c r="A797" s="1"/>
      <c r="B797" s="1"/>
      <c r="C797" s="10"/>
      <c r="D797" s="10"/>
      <c r="E797" s="10"/>
      <c r="F797" s="178"/>
    </row>
    <row r="798">
      <c r="A798" s="1"/>
      <c r="B798" s="1"/>
      <c r="C798" s="10"/>
      <c r="D798" s="10"/>
      <c r="E798" s="10"/>
      <c r="F798" s="178"/>
    </row>
    <row r="799">
      <c r="A799" s="1"/>
      <c r="B799" s="1"/>
      <c r="C799" s="10"/>
      <c r="D799" s="10"/>
      <c r="E799" s="10"/>
      <c r="F799" s="178"/>
    </row>
    <row r="800">
      <c r="A800" s="1"/>
      <c r="B800" s="1"/>
      <c r="C800" s="10"/>
      <c r="D800" s="10"/>
      <c r="E800" s="10"/>
      <c r="F800" s="178"/>
    </row>
    <row r="801">
      <c r="A801" s="1"/>
      <c r="B801" s="1"/>
      <c r="C801" s="10"/>
      <c r="D801" s="10"/>
      <c r="E801" s="10"/>
      <c r="F801" s="178"/>
    </row>
    <row r="802">
      <c r="A802" s="1"/>
      <c r="B802" s="1"/>
      <c r="C802" s="10"/>
      <c r="D802" s="10"/>
      <c r="E802" s="10"/>
      <c r="F802" s="178"/>
    </row>
    <row r="803">
      <c r="A803" s="1"/>
      <c r="B803" s="1"/>
      <c r="C803" s="10"/>
      <c r="D803" s="10"/>
      <c r="E803" s="10"/>
      <c r="F803" s="178"/>
    </row>
    <row r="804">
      <c r="A804" s="1"/>
      <c r="B804" s="1"/>
      <c r="C804" s="10"/>
      <c r="D804" s="10"/>
      <c r="E804" s="10"/>
      <c r="F804" s="178"/>
    </row>
    <row r="805">
      <c r="A805" s="1"/>
      <c r="B805" s="1"/>
      <c r="C805" s="10"/>
      <c r="D805" s="10"/>
      <c r="E805" s="10"/>
      <c r="F805" s="178"/>
    </row>
    <row r="806">
      <c r="A806" s="1"/>
      <c r="B806" s="1"/>
      <c r="C806" s="10"/>
      <c r="D806" s="10"/>
      <c r="E806" s="10"/>
      <c r="F806" s="178"/>
    </row>
    <row r="807">
      <c r="A807" s="1"/>
      <c r="B807" s="1"/>
      <c r="C807" s="10"/>
      <c r="D807" s="10"/>
      <c r="E807" s="10"/>
      <c r="F807" s="178"/>
    </row>
    <row r="808">
      <c r="A808" s="1"/>
      <c r="B808" s="1"/>
      <c r="C808" s="10"/>
      <c r="D808" s="10"/>
      <c r="E808" s="10"/>
      <c r="F808" s="178"/>
    </row>
    <row r="809">
      <c r="A809" s="1"/>
      <c r="B809" s="1"/>
      <c r="C809" s="10"/>
      <c r="D809" s="10"/>
      <c r="E809" s="10"/>
      <c r="F809" s="178"/>
    </row>
    <row r="810">
      <c r="A810" s="1"/>
      <c r="B810" s="1"/>
      <c r="C810" s="10"/>
      <c r="D810" s="10"/>
      <c r="E810" s="10"/>
      <c r="F810" s="178"/>
    </row>
    <row r="811">
      <c r="A811" s="1"/>
      <c r="B811" s="1"/>
      <c r="C811" s="10"/>
      <c r="D811" s="10"/>
      <c r="E811" s="10"/>
      <c r="F811" s="178"/>
    </row>
    <row r="812">
      <c r="A812" s="1"/>
      <c r="B812" s="1"/>
      <c r="C812" s="10"/>
      <c r="D812" s="10"/>
      <c r="E812" s="10"/>
      <c r="F812" s="178"/>
    </row>
    <row r="813">
      <c r="A813" s="1"/>
      <c r="B813" s="1"/>
      <c r="C813" s="10"/>
      <c r="D813" s="10"/>
      <c r="E813" s="10"/>
      <c r="F813" s="178"/>
    </row>
    <row r="814">
      <c r="A814" s="1"/>
      <c r="B814" s="1"/>
      <c r="C814" s="10"/>
      <c r="D814" s="10"/>
      <c r="E814" s="10"/>
      <c r="F814" s="178"/>
    </row>
    <row r="815">
      <c r="A815" s="1"/>
      <c r="B815" s="1"/>
      <c r="C815" s="10"/>
      <c r="D815" s="10"/>
      <c r="E815" s="10"/>
      <c r="F815" s="178"/>
    </row>
    <row r="816">
      <c r="A816" s="1"/>
      <c r="B816" s="1"/>
      <c r="C816" s="10"/>
      <c r="D816" s="10"/>
      <c r="E816" s="10"/>
      <c r="F816" s="178"/>
    </row>
    <row r="817">
      <c r="A817" s="1"/>
      <c r="B817" s="1"/>
      <c r="C817" s="10"/>
      <c r="D817" s="10"/>
      <c r="E817" s="10"/>
      <c r="F817" s="178"/>
    </row>
    <row r="818">
      <c r="A818" s="1"/>
      <c r="B818" s="1"/>
      <c r="C818" s="10"/>
      <c r="D818" s="10"/>
      <c r="E818" s="10"/>
      <c r="F818" s="178"/>
    </row>
    <row r="819">
      <c r="A819" s="1"/>
      <c r="B819" s="1"/>
      <c r="C819" s="10"/>
      <c r="D819" s="10"/>
      <c r="E819" s="10"/>
      <c r="F819" s="178"/>
    </row>
    <row r="820">
      <c r="A820" s="1"/>
      <c r="B820" s="1"/>
      <c r="C820" s="10"/>
      <c r="D820" s="10"/>
      <c r="E820" s="10"/>
      <c r="F820" s="178"/>
    </row>
    <row r="821">
      <c r="A821" s="1"/>
      <c r="B821" s="1"/>
      <c r="C821" s="10"/>
      <c r="D821" s="10"/>
      <c r="E821" s="10"/>
      <c r="F821" s="178"/>
    </row>
    <row r="822">
      <c r="A822" s="1"/>
      <c r="B822" s="1"/>
      <c r="C822" s="10"/>
      <c r="D822" s="10"/>
      <c r="E822" s="10"/>
      <c r="F822" s="178"/>
    </row>
    <row r="823">
      <c r="A823" s="1"/>
      <c r="B823" s="1"/>
      <c r="C823" s="10"/>
      <c r="D823" s="10"/>
      <c r="E823" s="10"/>
      <c r="F823" s="178"/>
    </row>
    <row r="824">
      <c r="A824" s="1"/>
      <c r="B824" s="1"/>
      <c r="C824" s="10"/>
      <c r="D824" s="10"/>
      <c r="E824" s="10"/>
      <c r="F824" s="178"/>
    </row>
    <row r="825">
      <c r="A825" s="1"/>
      <c r="B825" s="1"/>
      <c r="C825" s="10"/>
      <c r="D825" s="10"/>
      <c r="E825" s="10"/>
      <c r="F825" s="178"/>
    </row>
    <row r="826">
      <c r="A826" s="1"/>
      <c r="B826" s="1"/>
      <c r="C826" s="10"/>
      <c r="D826" s="10"/>
      <c r="E826" s="10"/>
      <c r="F826" s="178"/>
    </row>
    <row r="827">
      <c r="A827" s="1"/>
      <c r="B827" s="1"/>
      <c r="C827" s="10"/>
      <c r="D827" s="10"/>
      <c r="E827" s="10"/>
      <c r="F827" s="178"/>
    </row>
    <row r="828">
      <c r="A828" s="1"/>
      <c r="B828" s="1"/>
      <c r="C828" s="10"/>
      <c r="D828" s="10"/>
      <c r="E828" s="10"/>
      <c r="F828" s="178"/>
    </row>
    <row r="829">
      <c r="A829" s="1"/>
      <c r="B829" s="1"/>
      <c r="C829" s="10"/>
      <c r="D829" s="10"/>
      <c r="E829" s="10"/>
      <c r="F829" s="178"/>
    </row>
    <row r="830">
      <c r="A830" s="1"/>
      <c r="B830" s="1"/>
      <c r="C830" s="10"/>
      <c r="D830" s="10"/>
      <c r="E830" s="10"/>
      <c r="F830" s="178"/>
    </row>
    <row r="831">
      <c r="A831" s="1"/>
      <c r="B831" s="1"/>
      <c r="C831" s="10"/>
      <c r="D831" s="10"/>
      <c r="E831" s="10"/>
      <c r="F831" s="178"/>
    </row>
    <row r="832">
      <c r="A832" s="1"/>
      <c r="B832" s="1"/>
      <c r="C832" s="10"/>
      <c r="D832" s="10"/>
      <c r="E832" s="10"/>
      <c r="F832" s="178"/>
    </row>
    <row r="833">
      <c r="A833" s="1"/>
      <c r="B833" s="1"/>
      <c r="C833" s="10"/>
      <c r="D833" s="10"/>
      <c r="E833" s="10"/>
      <c r="F833" s="178"/>
    </row>
    <row r="834">
      <c r="A834" s="1"/>
      <c r="B834" s="1"/>
      <c r="C834" s="10"/>
      <c r="D834" s="10"/>
      <c r="E834" s="10"/>
      <c r="F834" s="178"/>
    </row>
    <row r="835">
      <c r="A835" s="1"/>
      <c r="B835" s="1"/>
      <c r="C835" s="10"/>
      <c r="D835" s="10"/>
      <c r="E835" s="10"/>
      <c r="F835" s="178"/>
    </row>
    <row r="836">
      <c r="A836" s="1"/>
      <c r="B836" s="1"/>
      <c r="C836" s="10"/>
      <c r="D836" s="10"/>
      <c r="E836" s="10"/>
      <c r="F836" s="178"/>
    </row>
    <row r="837">
      <c r="A837" s="1"/>
      <c r="B837" s="1"/>
      <c r="C837" s="10"/>
      <c r="D837" s="10"/>
      <c r="E837" s="10"/>
      <c r="F837" s="178"/>
    </row>
    <row r="838">
      <c r="A838" s="1"/>
      <c r="B838" s="1"/>
      <c r="C838" s="10"/>
      <c r="D838" s="10"/>
      <c r="E838" s="10"/>
      <c r="F838" s="178"/>
    </row>
    <row r="839">
      <c r="A839" s="1"/>
      <c r="B839" s="1"/>
      <c r="C839" s="10"/>
      <c r="D839" s="10"/>
      <c r="E839" s="10"/>
      <c r="F839" s="178"/>
    </row>
    <row r="840">
      <c r="A840" s="1"/>
      <c r="B840" s="1"/>
      <c r="C840" s="10"/>
      <c r="D840" s="10"/>
      <c r="E840" s="10"/>
      <c r="F840" s="178"/>
    </row>
    <row r="841">
      <c r="A841" s="1"/>
      <c r="B841" s="1"/>
      <c r="C841" s="10"/>
      <c r="D841" s="10"/>
      <c r="E841" s="10"/>
      <c r="F841" s="178"/>
    </row>
    <row r="842">
      <c r="A842" s="1"/>
      <c r="B842" s="1"/>
      <c r="C842" s="10"/>
      <c r="D842" s="10"/>
      <c r="E842" s="10"/>
      <c r="F842" s="178"/>
    </row>
    <row r="843">
      <c r="A843" s="1"/>
      <c r="B843" s="1"/>
      <c r="C843" s="10"/>
      <c r="D843" s="10"/>
      <c r="E843" s="10"/>
      <c r="F843" s="178"/>
    </row>
    <row r="844">
      <c r="A844" s="1"/>
      <c r="B844" s="1"/>
      <c r="C844" s="10"/>
      <c r="D844" s="10"/>
      <c r="E844" s="10"/>
      <c r="F844" s="178"/>
    </row>
    <row r="845">
      <c r="A845" s="1"/>
      <c r="B845" s="1"/>
      <c r="C845" s="10"/>
      <c r="D845" s="10"/>
      <c r="E845" s="10"/>
      <c r="F845" s="178"/>
    </row>
    <row r="846">
      <c r="A846" s="1"/>
      <c r="B846" s="1"/>
      <c r="C846" s="10"/>
      <c r="D846" s="10"/>
      <c r="E846" s="10"/>
      <c r="F846" s="178"/>
    </row>
    <row r="847">
      <c r="A847" s="1"/>
      <c r="B847" s="1"/>
      <c r="C847" s="10"/>
      <c r="D847" s="10"/>
      <c r="E847" s="10"/>
      <c r="F847" s="178"/>
    </row>
    <row r="848">
      <c r="A848" s="1"/>
      <c r="B848" s="1"/>
      <c r="C848" s="10"/>
      <c r="D848" s="10"/>
      <c r="E848" s="10"/>
      <c r="F848" s="178"/>
    </row>
    <row r="849">
      <c r="A849" s="1"/>
      <c r="B849" s="1"/>
      <c r="C849" s="10"/>
      <c r="D849" s="10"/>
      <c r="E849" s="10"/>
      <c r="F849" s="178"/>
    </row>
    <row r="850">
      <c r="A850" s="1"/>
      <c r="B850" s="1"/>
      <c r="C850" s="10"/>
      <c r="D850" s="10"/>
      <c r="E850" s="10"/>
      <c r="F850" s="178"/>
    </row>
    <row r="851">
      <c r="A851" s="1"/>
      <c r="B851" s="1"/>
      <c r="C851" s="10"/>
      <c r="D851" s="10"/>
      <c r="E851" s="10"/>
      <c r="F851" s="178"/>
    </row>
    <row r="852">
      <c r="A852" s="1"/>
      <c r="B852" s="1"/>
      <c r="C852" s="10"/>
      <c r="D852" s="10"/>
      <c r="E852" s="10"/>
      <c r="F852" s="178"/>
    </row>
    <row r="853">
      <c r="A853" s="1"/>
      <c r="B853" s="1"/>
      <c r="C853" s="10"/>
      <c r="D853" s="10"/>
      <c r="E853" s="10"/>
      <c r="F853" s="178"/>
    </row>
    <row r="854">
      <c r="A854" s="1"/>
      <c r="B854" s="1"/>
      <c r="C854" s="10"/>
      <c r="D854" s="10"/>
      <c r="E854" s="10"/>
      <c r="F854" s="178"/>
    </row>
    <row r="855">
      <c r="A855" s="1"/>
      <c r="B855" s="1"/>
      <c r="C855" s="10"/>
      <c r="D855" s="10"/>
      <c r="E855" s="10"/>
      <c r="F855" s="178"/>
    </row>
    <row r="856">
      <c r="A856" s="1"/>
      <c r="B856" s="1"/>
      <c r="C856" s="10"/>
      <c r="D856" s="10"/>
      <c r="E856" s="10"/>
      <c r="F856" s="178"/>
    </row>
    <row r="857">
      <c r="A857" s="1"/>
      <c r="B857" s="1"/>
      <c r="C857" s="10"/>
      <c r="D857" s="10"/>
      <c r="E857" s="10"/>
      <c r="F857" s="178"/>
    </row>
    <row r="858">
      <c r="A858" s="1"/>
      <c r="B858" s="1"/>
      <c r="C858" s="10"/>
      <c r="D858" s="10"/>
      <c r="E858" s="10"/>
      <c r="F858" s="178"/>
    </row>
    <row r="859">
      <c r="A859" s="1"/>
      <c r="B859" s="1"/>
      <c r="C859" s="10"/>
      <c r="D859" s="10"/>
      <c r="E859" s="10"/>
      <c r="F859" s="178"/>
    </row>
    <row r="860">
      <c r="A860" s="1"/>
      <c r="B860" s="1"/>
      <c r="C860" s="10"/>
      <c r="D860" s="10"/>
      <c r="E860" s="10"/>
      <c r="F860" s="178"/>
    </row>
    <row r="861">
      <c r="A861" s="1"/>
      <c r="B861" s="1"/>
      <c r="C861" s="10"/>
      <c r="D861" s="10"/>
      <c r="E861" s="10"/>
      <c r="F861" s="178"/>
    </row>
    <row r="862">
      <c r="A862" s="1"/>
      <c r="B862" s="1"/>
      <c r="C862" s="10"/>
      <c r="D862" s="10"/>
      <c r="E862" s="10"/>
      <c r="F862" s="178"/>
    </row>
    <row r="863">
      <c r="A863" s="1"/>
      <c r="B863" s="1"/>
      <c r="C863" s="10"/>
      <c r="D863" s="10"/>
      <c r="E863" s="10"/>
      <c r="F863" s="178"/>
    </row>
    <row r="864">
      <c r="A864" s="1"/>
      <c r="B864" s="1"/>
      <c r="C864" s="10"/>
      <c r="D864" s="10"/>
      <c r="E864" s="10"/>
      <c r="F864" s="178"/>
    </row>
    <row r="865">
      <c r="A865" s="1"/>
      <c r="B865" s="1"/>
      <c r="C865" s="10"/>
      <c r="D865" s="10"/>
      <c r="E865" s="10"/>
      <c r="F865" s="178"/>
    </row>
    <row r="866">
      <c r="A866" s="1"/>
      <c r="B866" s="1"/>
      <c r="C866" s="10"/>
      <c r="D866" s="10"/>
      <c r="E866" s="10"/>
      <c r="F866" s="178"/>
    </row>
    <row r="867">
      <c r="A867" s="1"/>
      <c r="B867" s="1"/>
      <c r="C867" s="10"/>
      <c r="D867" s="10"/>
      <c r="E867" s="10"/>
      <c r="F867" s="178"/>
    </row>
    <row r="868">
      <c r="A868" s="1"/>
      <c r="B868" s="1"/>
      <c r="C868" s="10"/>
      <c r="D868" s="10"/>
      <c r="E868" s="10"/>
      <c r="F868" s="178"/>
    </row>
    <row r="869">
      <c r="A869" s="1"/>
      <c r="B869" s="1"/>
      <c r="C869" s="10"/>
      <c r="D869" s="10"/>
      <c r="E869" s="10"/>
      <c r="F869" s="178"/>
    </row>
    <row r="870">
      <c r="A870" s="1"/>
      <c r="B870" s="1"/>
      <c r="C870" s="10"/>
      <c r="D870" s="10"/>
      <c r="E870" s="10"/>
      <c r="F870" s="178"/>
    </row>
    <row r="871">
      <c r="A871" s="1"/>
      <c r="B871" s="1"/>
      <c r="C871" s="10"/>
      <c r="D871" s="10"/>
      <c r="E871" s="10"/>
      <c r="F871" s="178"/>
    </row>
    <row r="872">
      <c r="A872" s="1"/>
      <c r="B872" s="1"/>
      <c r="C872" s="10"/>
      <c r="D872" s="10"/>
      <c r="E872" s="10"/>
      <c r="F872" s="178"/>
    </row>
  </sheetData>
  <autoFilter ref="$A$1:$F$372">
    <filterColumn colId="1">
      <filters>
        <filter val="2020-21"/>
      </filters>
    </filterColumn>
    <sortState ref="A1:F372">
      <sortCondition descending="1" ref="E1:E372"/>
      <sortCondition descending="1" ref="D1:D372"/>
      <sortCondition descending="1" ref="C1:C372"/>
    </sortState>
  </autoFilter>
  <conditionalFormatting sqref="C1:C872">
    <cfRule type="colorScale" priority="1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D1:D872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E1:E872">
    <cfRule type="colorScale" priority="3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F1:F872">
    <cfRule type="colorScale" priority="4">
      <colorScale>
        <cfvo type="min"/>
        <cfvo type="percentile" val="50"/>
        <cfvo type="max"/>
        <color rgb="FFE67C73"/>
        <color rgb="FFFFFFFF"/>
        <color rgb="FF57BB8A"/>
      </colorScale>
    </cfRule>
  </conditionalFormatting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2" t="s">
        <v>12</v>
      </c>
      <c r="B1" s="180" t="s">
        <v>1664</v>
      </c>
    </row>
    <row r="2">
      <c r="A2" s="118" t="s">
        <v>61</v>
      </c>
    </row>
    <row r="3">
      <c r="A3" s="118" t="s">
        <v>62</v>
      </c>
      <c r="B3" s="118" t="s">
        <v>61</v>
      </c>
    </row>
    <row r="4">
      <c r="A4" s="118" t="s">
        <v>63</v>
      </c>
      <c r="B4" s="118" t="s">
        <v>62</v>
      </c>
    </row>
    <row r="5">
      <c r="A5" s="118" t="s">
        <v>64</v>
      </c>
      <c r="B5" s="118" t="s">
        <v>63</v>
      </c>
    </row>
    <row r="6">
      <c r="A6" s="118" t="s">
        <v>65</v>
      </c>
      <c r="B6" s="118" t="s">
        <v>64</v>
      </c>
    </row>
    <row r="7">
      <c r="A7" s="118" t="s">
        <v>66</v>
      </c>
      <c r="B7" s="118" t="s">
        <v>65</v>
      </c>
    </row>
    <row r="8">
      <c r="A8" s="118" t="s">
        <v>67</v>
      </c>
      <c r="B8" s="118" t="s">
        <v>66</v>
      </c>
    </row>
    <row r="9">
      <c r="A9" s="118" t="s">
        <v>68</v>
      </c>
      <c r="B9" s="118" t="s">
        <v>67</v>
      </c>
    </row>
    <row r="10">
      <c r="A10" s="118" t="s">
        <v>69</v>
      </c>
      <c r="B10" s="118" t="s">
        <v>68</v>
      </c>
    </row>
    <row r="11">
      <c r="A11" s="118" t="s">
        <v>70</v>
      </c>
      <c r="B11" s="118" t="s">
        <v>69</v>
      </c>
    </row>
    <row r="12">
      <c r="A12" s="118" t="s">
        <v>71</v>
      </c>
      <c r="B12" s="118" t="s">
        <v>70</v>
      </c>
    </row>
  </sheetData>
  <drawing r:id="rId1"/>
</worksheet>
</file>